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7C12A28F-5EF0-4782-95DD-DCF86562A734}" xr6:coauthVersionLast="45" xr6:coauthVersionMax="45" xr10:uidLastSave="{00000000-0000-0000-0000-000000000000}"/>
  <bookViews>
    <workbookView xWindow="-120" yWindow="-120" windowWidth="20730" windowHeight="11160" tabRatio="839" firstSheet="74" activeTab="76" xr2:uid="{00000000-000D-0000-FFFF-FFFF00000000}"/>
  </bookViews>
  <sheets>
    <sheet name="N" sheetId="1" r:id="rId1"/>
    <sheet name="Check list" sheetId="5" r:id="rId2"/>
    <sheet name="CL SUMMARY" sheetId="113" r:id="rId3"/>
    <sheet name="DL" sheetId="53" r:id="rId4"/>
    <sheet name="PR" sheetId="4" r:id="rId5"/>
    <sheet name="EV" sheetId="54" r:id="rId6"/>
    <sheet name="BID" sheetId="3" r:id="rId7"/>
    <sheet name="SUPPLEMENTARY" sheetId="28" r:id="rId8"/>
    <sheet name="ALPHA" sheetId="78" r:id="rId9"/>
    <sheet name="BIOFEM" sheetId="205" r:id="rId10"/>
    <sheet name="BIOMED" sheetId="203" r:id="rId11"/>
    <sheet name="CHI" sheetId="210" r:id="rId12"/>
    <sheet name="CLARION" sheetId="218" r:id="rId13"/>
    <sheet name="CODIX" sheetId="234" r:id="rId14"/>
    <sheet name="COSMADE" sheetId="235" r:id="rId15"/>
    <sheet name="SANCON" sheetId="236" r:id="rId16"/>
    <sheet name="DEVON" sheetId="237" r:id="rId17"/>
    <sheet name="DORTEMAG" sheetId="238" r:id="rId18"/>
    <sheet name="DGF" sheetId="239" r:id="rId19"/>
    <sheet name="DYNAMIC" sheetId="240" r:id="rId20"/>
    <sheet name="EMZOR" sheetId="241" r:id="rId21"/>
    <sheet name="EUMATT" sheetId="242" r:id="rId22"/>
    <sheet name="FIDSON" sheetId="243" r:id="rId23"/>
    <sheet name="FGLOBAL" sheetId="244" r:id="rId24"/>
    <sheet name="GENEITH" sheetId="245" r:id="rId25"/>
    <sheet name="GINOS" sheetId="246" r:id="rId26"/>
    <sheet name="GSK" sheetId="247" r:id="rId27"/>
    <sheet name="GLOBORG" sheetId="248" r:id="rId28"/>
    <sheet name="GREENLIFE" sheetId="250" r:id="rId29"/>
    <sheet name="HLINE" sheetId="251" r:id="rId30"/>
    <sheet name="ROTECH" sheetId="252" r:id="rId31"/>
    <sheet name="ISN" sheetId="253" r:id="rId32"/>
    <sheet name="JAWA" sheetId="254" r:id="rId33"/>
    <sheet name="LAYO" sheetId="255" r:id="rId34"/>
    <sheet name="LEADWAY" sheetId="256" r:id="rId35"/>
    <sheet name="LHV" sheetId="257" r:id="rId36"/>
    <sheet name="MANOLA" sheetId="258" r:id="rId37"/>
    <sheet name="MARCSON" sheetId="259" r:id="rId38"/>
    <sheet name="M&amp;B" sheetId="260" r:id="rId39"/>
    <sheet name="MTRUST" sheetId="261" r:id="rId40"/>
    <sheet name="MEGA" sheetId="263" r:id="rId41"/>
    <sheet name="MICRONOVA" sheetId="264" r:id="rId42"/>
    <sheet name="MFLASH" sheetId="265" r:id="rId43"/>
    <sheet name="MORISON" sheetId="219" r:id="rId44"/>
    <sheet name="NHC" sheetId="222" r:id="rId45"/>
    <sheet name="OLEAF" sheetId="223" r:id="rId46"/>
    <sheet name="PACIFIC" sheetId="225" r:id="rId47"/>
    <sheet name="PHAMATEX" sheetId="226" r:id="rId48"/>
    <sheet name="PETHICS" sheetId="227" r:id="rId49"/>
    <sheet name="PHILIPS" sheetId="228" r:id="rId50"/>
    <sheet name="RANBAXY" sheetId="229" r:id="rId51"/>
    <sheet name="ROYAL" sheetId="231" r:id="rId52"/>
    <sheet name="SAM" sheetId="232" r:id="rId53"/>
    <sheet name="SEAGREEN" sheetId="233" r:id="rId54"/>
    <sheet name="SKG" sheetId="211" r:id="rId55"/>
    <sheet name="TAH" sheetId="212" r:id="rId56"/>
    <sheet name="TAYLEK" sheetId="213" r:id="rId57"/>
    <sheet name="TEMITA" sheetId="214" r:id="rId58"/>
    <sheet name="THL" sheetId="215" r:id="rId59"/>
    <sheet name="UBASTIC" sheetId="216" r:id="rId60"/>
    <sheet name="UNION" sheetId="217" r:id="rId61"/>
    <sheet name="UNIQUE" sheetId="206" r:id="rId62"/>
    <sheet name="VIXA" sheetId="207" r:id="rId63"/>
    <sheet name="WWCV" sheetId="208" r:id="rId64"/>
    <sheet name="ZOLON" sheetId="209" r:id="rId65"/>
    <sheet name="PHARMACY AWARD" sheetId="267" r:id="rId66"/>
    <sheet name="RADIOLOGY AWARD" sheetId="268" r:id="rId67"/>
    <sheet name="THEATRE AWARD" sheetId="266" r:id="rId68"/>
    <sheet name="CHEMICAL PATHOLOGY AWARD" sheetId="45" r:id="rId69"/>
    <sheet name="HISTOPATHOLOGY" sheetId="270" state="hidden" r:id="rId70"/>
    <sheet name="HAEMATOLOGY" sheetId="271" state="hidden" r:id="rId71"/>
    <sheet name="MICROBIOLOGY AWARD" sheetId="272" r:id="rId72"/>
    <sheet name="INFECTION CONTROL" sheetId="273" r:id="rId73"/>
    <sheet name="SHAJE AWARD" sheetId="275" r:id="rId74"/>
    <sheet name="OBADA AWARD" sheetId="274" r:id="rId75"/>
    <sheet name="PHASE 1 LPO 25%" sheetId="276" r:id="rId76"/>
    <sheet name="PHASE 1 LPO EDITED" sheetId="278" r:id="rId77"/>
    <sheet name="SUPPL LIST EDITED" sheetId="269" r:id="rId78"/>
    <sheet name="SUPPL 1" sheetId="116" r:id="rId79"/>
    <sheet name="EXTRACT COMPARISON" sheetId="117" r:id="rId80"/>
    <sheet name="PROFILES" sheetId="119" r:id="rId81"/>
    <sheet name="2ND SUPPL 1" sheetId="122" r:id="rId82"/>
    <sheet name="3RD SUPPL 1" sheetId="124" r:id="rId83"/>
    <sheet name="SUPPL COMP" sheetId="123" r:id="rId84"/>
    <sheet name="wwcv split" sheetId="125" r:id="rId85"/>
    <sheet name="BID PHASE 1B" sheetId="128" r:id="rId86"/>
    <sheet name="DL (2)" sheetId="131" r:id="rId87"/>
    <sheet name="2ND LPO 1" sheetId="120" r:id="rId88"/>
    <sheet name="Phase 1a " sheetId="133" r:id="rId89"/>
    <sheet name="4TH SUPPL 1" sheetId="129" r:id="rId90"/>
    <sheet name="LPO 1 Suppl Analysis" sheetId="127" r:id="rId91"/>
    <sheet name="LPO 1A Suppl Analysis" sheetId="135" r:id="rId92"/>
    <sheet name="SUPPL 1 Supply Analysis" sheetId="136" r:id="rId93"/>
    <sheet name="SUMMARY" sheetId="137" r:id="rId94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547" i="278" l="1"/>
  <c r="B137" i="269"/>
  <c r="B136" i="269"/>
  <c r="B135" i="269"/>
  <c r="B134" i="269"/>
  <c r="B133" i="269"/>
  <c r="B132" i="269"/>
  <c r="B131" i="269"/>
  <c r="B130" i="269"/>
  <c r="B129" i="269"/>
  <c r="B128" i="269"/>
  <c r="B127" i="269"/>
  <c r="B126" i="269"/>
  <c r="B125" i="269"/>
  <c r="B124" i="269"/>
  <c r="A125" i="269"/>
  <c r="A126" i="269" s="1"/>
  <c r="A127" i="269" s="1"/>
  <c r="A128" i="269" s="1"/>
  <c r="A129" i="269" s="1"/>
  <c r="A130" i="269" s="1"/>
  <c r="A131" i="269" s="1"/>
  <c r="A132" i="269" s="1"/>
  <c r="A133" i="269" s="1"/>
  <c r="A134" i="269" s="1"/>
  <c r="A135" i="269" s="1"/>
  <c r="A136" i="269" s="1"/>
  <c r="A137" i="269" s="1"/>
  <c r="C663" i="278"/>
  <c r="H20" i="273" l="1"/>
  <c r="H18" i="273"/>
  <c r="H14" i="273"/>
  <c r="G18" i="273"/>
  <c r="G17" i="273"/>
  <c r="G13" i="273"/>
  <c r="G14" i="273"/>
  <c r="G12" i="273"/>
  <c r="G568" i="278" l="1"/>
  <c r="G492" i="278"/>
  <c r="G370" i="278"/>
  <c r="G222" i="278"/>
  <c r="G234" i="278"/>
  <c r="G195" i="278"/>
  <c r="G114" i="278"/>
  <c r="G80" i="278"/>
  <c r="F20" i="269"/>
  <c r="G385" i="278" l="1"/>
  <c r="G386" i="278"/>
  <c r="F39" i="269" l="1"/>
  <c r="F38" i="269"/>
  <c r="F51" i="269"/>
  <c r="F53" i="269"/>
  <c r="F52" i="269"/>
  <c r="F43" i="269"/>
  <c r="G43" i="269" s="1"/>
  <c r="C130" i="269" s="1"/>
  <c r="G618" i="278"/>
  <c r="E16" i="269"/>
  <c r="F16" i="269" s="1"/>
  <c r="E15" i="269"/>
  <c r="F15" i="269" s="1"/>
  <c r="E14" i="269"/>
  <c r="F14" i="269" s="1"/>
  <c r="F8" i="269"/>
  <c r="F9" i="269"/>
  <c r="F10" i="269"/>
  <c r="F21" i="269"/>
  <c r="G21" i="269" s="1"/>
  <c r="C126" i="269" s="1"/>
  <c r="F25" i="269"/>
  <c r="F26" i="269"/>
  <c r="F27" i="269"/>
  <c r="F28" i="269"/>
  <c r="F29" i="269"/>
  <c r="F33" i="269"/>
  <c r="G33" i="269" s="1"/>
  <c r="C128" i="269" s="1"/>
  <c r="F47" i="269"/>
  <c r="G47" i="269" s="1"/>
  <c r="C131" i="269" s="1"/>
  <c r="F57" i="269"/>
  <c r="F58" i="269"/>
  <c r="F59" i="269"/>
  <c r="F60" i="269"/>
  <c r="F61" i="269"/>
  <c r="F62" i="269"/>
  <c r="F63" i="269"/>
  <c r="F64" i="269"/>
  <c r="F65" i="269"/>
  <c r="F69" i="269"/>
  <c r="F70" i="269"/>
  <c r="F74" i="269"/>
  <c r="G74" i="269" s="1"/>
  <c r="C135" i="269" s="1"/>
  <c r="F79" i="269"/>
  <c r="F81" i="269"/>
  <c r="F82" i="269"/>
  <c r="F83" i="269"/>
  <c r="F84" i="269"/>
  <c r="F85" i="269"/>
  <c r="F80" i="269"/>
  <c r="F89" i="269"/>
  <c r="G89" i="269" s="1"/>
  <c r="C137" i="269" s="1"/>
  <c r="F7" i="269"/>
  <c r="G39" i="269" l="1"/>
  <c r="C129" i="269" s="1"/>
  <c r="G53" i="269"/>
  <c r="C132" i="269" s="1"/>
  <c r="G16" i="269"/>
  <c r="C125" i="269" s="1"/>
  <c r="G10" i="269"/>
  <c r="C124" i="269" s="1"/>
  <c r="G70" i="269"/>
  <c r="C134" i="269" s="1"/>
  <c r="G65" i="269"/>
  <c r="C133" i="269" s="1"/>
  <c r="G29" i="269"/>
  <c r="C127" i="269" s="1"/>
  <c r="J16" i="269" l="1"/>
  <c r="J15" i="269"/>
  <c r="J14" i="269"/>
  <c r="D78" i="269"/>
  <c r="F78" i="269" s="1"/>
  <c r="G85" i="269" s="1"/>
  <c r="G91" i="269" l="1"/>
  <c r="C136" i="269"/>
  <c r="C139" i="269" s="1"/>
  <c r="G438" i="278"/>
  <c r="B51" i="45" l="1"/>
  <c r="C51" i="45"/>
  <c r="D51" i="45"/>
  <c r="E51" i="45"/>
  <c r="F51" i="45"/>
  <c r="G51" i="45"/>
  <c r="B53" i="45"/>
  <c r="C53" i="45"/>
  <c r="D53" i="45"/>
  <c r="E53" i="45"/>
  <c r="F53" i="45"/>
  <c r="G53" i="45"/>
  <c r="B59" i="45"/>
  <c r="C59" i="45"/>
  <c r="D59" i="45"/>
  <c r="E59" i="45"/>
  <c r="F59" i="45"/>
  <c r="G59" i="45"/>
  <c r="B60" i="45"/>
  <c r="C60" i="45"/>
  <c r="D60" i="45"/>
  <c r="E60" i="45"/>
  <c r="F60" i="45"/>
  <c r="G60" i="45"/>
  <c r="B54" i="45"/>
  <c r="C54" i="45"/>
  <c r="D54" i="45"/>
  <c r="E54" i="45"/>
  <c r="F54" i="45"/>
  <c r="G54" i="45"/>
  <c r="B58" i="45"/>
  <c r="C58" i="45"/>
  <c r="D58" i="45"/>
  <c r="E58" i="45"/>
  <c r="F58" i="45"/>
  <c r="G58" i="45"/>
  <c r="B55" i="45"/>
  <c r="C55" i="45"/>
  <c r="D55" i="45"/>
  <c r="E55" i="45"/>
  <c r="F55" i="45"/>
  <c r="G55" i="45"/>
  <c r="B50" i="45"/>
  <c r="C50" i="45"/>
  <c r="D50" i="45"/>
  <c r="E50" i="45"/>
  <c r="F50" i="45"/>
  <c r="G50" i="45"/>
  <c r="B47" i="45"/>
  <c r="C47" i="45"/>
  <c r="D47" i="45"/>
  <c r="E47" i="45"/>
  <c r="F47" i="45"/>
  <c r="G47" i="45"/>
  <c r="B57" i="45"/>
  <c r="C57" i="45"/>
  <c r="D57" i="45"/>
  <c r="E57" i="45"/>
  <c r="F57" i="45"/>
  <c r="G57" i="45"/>
  <c r="B49" i="45"/>
  <c r="C49" i="45"/>
  <c r="D49" i="45"/>
  <c r="E49" i="45"/>
  <c r="F49" i="45"/>
  <c r="G49" i="45"/>
  <c r="B48" i="45"/>
  <c r="C48" i="45"/>
  <c r="D48" i="45"/>
  <c r="E48" i="45"/>
  <c r="F48" i="45"/>
  <c r="G48" i="45"/>
  <c r="B52" i="45"/>
  <c r="C52" i="45"/>
  <c r="D52" i="45"/>
  <c r="E52" i="45"/>
  <c r="F52" i="45"/>
  <c r="G52" i="45"/>
  <c r="B46" i="45"/>
  <c r="C46" i="45"/>
  <c r="D46" i="45"/>
  <c r="E46" i="45"/>
  <c r="F46" i="45"/>
  <c r="G46" i="45"/>
  <c r="B45" i="45"/>
  <c r="C45" i="45"/>
  <c r="D45" i="45"/>
  <c r="E45" i="45"/>
  <c r="F45" i="45"/>
  <c r="G45" i="45"/>
  <c r="B56" i="45"/>
  <c r="C56" i="45"/>
  <c r="D56" i="45"/>
  <c r="E56" i="45"/>
  <c r="F56" i="45"/>
  <c r="G56" i="45"/>
  <c r="C44" i="45"/>
  <c r="D44" i="45"/>
  <c r="E44" i="45"/>
  <c r="F44" i="45"/>
  <c r="G44" i="45"/>
  <c r="H60" i="45" s="1"/>
  <c r="B44" i="45"/>
  <c r="G128" i="278"/>
  <c r="G126" i="278" l="1"/>
  <c r="F15" i="241"/>
  <c r="D15" i="241"/>
  <c r="C15" i="241"/>
  <c r="B15" i="241"/>
  <c r="A15" i="241"/>
  <c r="G602" i="278" l="1"/>
  <c r="G591" i="278"/>
  <c r="G494" i="278"/>
  <c r="G288" i="278"/>
  <c r="G278" i="278"/>
  <c r="G162" i="278"/>
  <c r="G153" i="278"/>
  <c r="G99" i="278"/>
  <c r="G102" i="278"/>
  <c r="G103" i="278"/>
  <c r="G19" i="278"/>
  <c r="B20" i="45" l="1"/>
  <c r="C20" i="45"/>
  <c r="D20" i="45"/>
  <c r="E20" i="45"/>
  <c r="F20" i="45"/>
  <c r="G20" i="45"/>
  <c r="B21" i="45"/>
  <c r="C21" i="45"/>
  <c r="D21" i="45"/>
  <c r="E21" i="45"/>
  <c r="F21" i="45"/>
  <c r="G21" i="45"/>
  <c r="B22" i="45"/>
  <c r="C22" i="45"/>
  <c r="D22" i="45"/>
  <c r="E22" i="45"/>
  <c r="F22" i="45"/>
  <c r="G22" i="45"/>
  <c r="B23" i="45"/>
  <c r="C23" i="45"/>
  <c r="D23" i="45"/>
  <c r="E23" i="45"/>
  <c r="F23" i="45"/>
  <c r="G23" i="45"/>
  <c r="B24" i="45"/>
  <c r="C24" i="45"/>
  <c r="D24" i="45"/>
  <c r="E24" i="45"/>
  <c r="F24" i="45"/>
  <c r="G24" i="45"/>
  <c r="B25" i="45"/>
  <c r="C25" i="45"/>
  <c r="D25" i="45"/>
  <c r="E25" i="45"/>
  <c r="F25" i="45"/>
  <c r="G25" i="45"/>
  <c r="B26" i="45"/>
  <c r="C26" i="45"/>
  <c r="D26" i="45"/>
  <c r="E26" i="45"/>
  <c r="F26" i="45"/>
  <c r="G26" i="45"/>
  <c r="F86" i="236"/>
  <c r="F85" i="236"/>
  <c r="F80" i="236" l="1"/>
  <c r="F81" i="236"/>
  <c r="F82" i="236"/>
  <c r="F83" i="236"/>
  <c r="F84" i="236"/>
  <c r="G122" i="278" l="1"/>
  <c r="B173" i="267"/>
  <c r="C173" i="267"/>
  <c r="D173" i="267"/>
  <c r="E173" i="267"/>
  <c r="F173" i="267"/>
  <c r="F9" i="241"/>
  <c r="G173" i="267" s="1"/>
  <c r="E612" i="278" l="1"/>
  <c r="E581" i="278"/>
  <c r="E533" i="278"/>
  <c r="C569" i="278"/>
  <c r="C574" i="278"/>
  <c r="C685" i="278" s="1"/>
  <c r="B561" i="278"/>
  <c r="C561" i="278"/>
  <c r="D561" i="278"/>
  <c r="F561" i="278"/>
  <c r="G561" i="278" s="1"/>
  <c r="E483" i="278"/>
  <c r="E501" i="278"/>
  <c r="E417" i="278"/>
  <c r="F35" i="278" l="1"/>
  <c r="G35" i="278" s="1"/>
  <c r="D35" i="278"/>
  <c r="C35" i="278"/>
  <c r="B35" i="278"/>
  <c r="C357" i="278"/>
  <c r="E377" i="278"/>
  <c r="E206" i="278"/>
  <c r="B279" i="278" l="1"/>
  <c r="C279" i="278"/>
  <c r="D279" i="278"/>
  <c r="F279" i="278"/>
  <c r="G279" i="278" s="1"/>
  <c r="B280" i="278"/>
  <c r="C280" i="278"/>
  <c r="D280" i="278"/>
  <c r="F280" i="278"/>
  <c r="G280" i="278" s="1"/>
  <c r="D8" i="256" l="1"/>
  <c r="F394" i="278" l="1"/>
  <c r="G394" i="278" s="1"/>
  <c r="F395" i="278"/>
  <c r="G395" i="278" s="1"/>
  <c r="F396" i="278"/>
  <c r="G396" i="278" s="1"/>
  <c r="F397" i="278"/>
  <c r="G397" i="278" s="1"/>
  <c r="B394" i="278"/>
  <c r="C394" i="278"/>
  <c r="D394" i="278"/>
  <c r="B395" i="278"/>
  <c r="C395" i="278"/>
  <c r="D395" i="278"/>
  <c r="B396" i="278"/>
  <c r="C396" i="278"/>
  <c r="D396" i="278"/>
  <c r="B397" i="278"/>
  <c r="C397" i="278"/>
  <c r="D397" i="278"/>
  <c r="F534" i="276"/>
  <c r="G534" i="276"/>
  <c r="F535" i="276"/>
  <c r="G535" i="276" s="1"/>
  <c r="F536" i="276"/>
  <c r="G536" i="276"/>
  <c r="F537" i="276"/>
  <c r="G537" i="276" s="1"/>
  <c r="F538" i="276"/>
  <c r="G538" i="276"/>
  <c r="F539" i="276"/>
  <c r="G539" i="276" s="1"/>
  <c r="B534" i="276"/>
  <c r="C534" i="276"/>
  <c r="D534" i="276"/>
  <c r="B535" i="276"/>
  <c r="C535" i="276"/>
  <c r="D535" i="276"/>
  <c r="B536" i="276"/>
  <c r="C536" i="276"/>
  <c r="D536" i="276"/>
  <c r="B537" i="276"/>
  <c r="C537" i="276"/>
  <c r="D537" i="276"/>
  <c r="B538" i="276"/>
  <c r="C538" i="276"/>
  <c r="D538" i="276"/>
  <c r="B539" i="276"/>
  <c r="C539" i="276"/>
  <c r="D539" i="276"/>
  <c r="B534" i="267"/>
  <c r="C534" i="267"/>
  <c r="D534" i="267"/>
  <c r="E534" i="267"/>
  <c r="F534" i="267"/>
  <c r="G534" i="267"/>
  <c r="B535" i="267"/>
  <c r="C535" i="267"/>
  <c r="D535" i="267"/>
  <c r="E535" i="267"/>
  <c r="F535" i="267"/>
  <c r="G535" i="267"/>
  <c r="B536" i="267"/>
  <c r="C536" i="267"/>
  <c r="D536" i="267"/>
  <c r="E536" i="267"/>
  <c r="F536" i="267"/>
  <c r="G536" i="267"/>
  <c r="B537" i="267"/>
  <c r="C537" i="267"/>
  <c r="D537" i="267"/>
  <c r="E537" i="267"/>
  <c r="F537" i="267"/>
  <c r="G537" i="267"/>
  <c r="B538" i="267"/>
  <c r="C538" i="267"/>
  <c r="D538" i="267"/>
  <c r="E538" i="267"/>
  <c r="F538" i="267"/>
  <c r="G538" i="267"/>
  <c r="F10" i="259"/>
  <c r="G29" i="278" l="1"/>
  <c r="G339" i="278" l="1"/>
  <c r="B644" i="278" l="1"/>
  <c r="B645" i="278" s="1"/>
  <c r="B646" i="278" s="1"/>
  <c r="B647" i="278" s="1"/>
  <c r="B648" i="278" s="1"/>
  <c r="B649" i="278" s="1"/>
  <c r="B650" i="278" s="1"/>
  <c r="B651" i="278" s="1"/>
  <c r="B652" i="278" s="1"/>
  <c r="B653" i="278" s="1"/>
  <c r="B654" i="278" s="1"/>
  <c r="B655" i="278" s="1"/>
  <c r="B656" i="278" s="1"/>
  <c r="B657" i="278" s="1"/>
  <c r="B658" i="278" s="1"/>
  <c r="B659" i="278" s="1"/>
  <c r="B660" i="278" s="1"/>
  <c r="B661" i="278" s="1"/>
  <c r="B662" i="278" s="1"/>
  <c r="B663" i="278" s="1"/>
  <c r="B664" i="278" s="1"/>
  <c r="B665" i="278" s="1"/>
  <c r="B666" i="278" s="1"/>
  <c r="B667" i="278" s="1"/>
  <c r="B668" i="278" s="1"/>
  <c r="B669" i="278" s="1"/>
  <c r="B670" i="278" s="1"/>
  <c r="B671" i="278" s="1"/>
  <c r="B672" i="278" s="1"/>
  <c r="B673" i="278" s="1"/>
  <c r="B674" i="278" s="1"/>
  <c r="B675" i="278" s="1"/>
  <c r="B676" i="278" s="1"/>
  <c r="B677" i="278" s="1"/>
  <c r="B678" i="278" s="1"/>
  <c r="B679" i="278" s="1"/>
  <c r="B680" i="278" s="1"/>
  <c r="B681" i="278" s="1"/>
  <c r="B682" i="278" s="1"/>
  <c r="B683" i="278" s="1"/>
  <c r="B684" i="278" s="1"/>
  <c r="B685" i="278" s="1"/>
  <c r="B686" i="278" s="1"/>
  <c r="B687" i="278" s="1"/>
  <c r="B688" i="278" s="1"/>
  <c r="B689" i="278" s="1"/>
  <c r="B690" i="278" s="1"/>
  <c r="F633" i="278"/>
  <c r="G633" i="278" s="1"/>
  <c r="D633" i="278"/>
  <c r="C633" i="278"/>
  <c r="B633" i="278"/>
  <c r="F632" i="278"/>
  <c r="G632" i="278" s="1"/>
  <c r="D632" i="278"/>
  <c r="C632" i="278"/>
  <c r="B632" i="278"/>
  <c r="F631" i="278"/>
  <c r="G631" i="278" s="1"/>
  <c r="D631" i="278"/>
  <c r="C631" i="278"/>
  <c r="B631" i="278"/>
  <c r="F630" i="278"/>
  <c r="G630" i="278" s="1"/>
  <c r="D630" i="278"/>
  <c r="C630" i="278"/>
  <c r="B630" i="278"/>
  <c r="F629" i="278"/>
  <c r="G629" i="278" s="1"/>
  <c r="D629" i="278"/>
  <c r="C629" i="278"/>
  <c r="B629" i="278"/>
  <c r="F628" i="278"/>
  <c r="G628" i="278" s="1"/>
  <c r="D628" i="278"/>
  <c r="C628" i="278"/>
  <c r="B628" i="278"/>
  <c r="F627" i="278"/>
  <c r="G627" i="278" s="1"/>
  <c r="D627" i="278"/>
  <c r="C627" i="278"/>
  <c r="B627" i="278"/>
  <c r="F626" i="278"/>
  <c r="G626" i="278" s="1"/>
  <c r="D626" i="278"/>
  <c r="C626" i="278"/>
  <c r="B626" i="278"/>
  <c r="C625" i="278"/>
  <c r="C690" i="278" s="1"/>
  <c r="F622" i="278"/>
  <c r="G622" i="278" s="1"/>
  <c r="D622" i="278"/>
  <c r="C622" i="278"/>
  <c r="B622" i="278"/>
  <c r="F621" i="278"/>
  <c r="G621" i="278" s="1"/>
  <c r="D621" i="278"/>
  <c r="C621" i="278"/>
  <c r="B621" i="278"/>
  <c r="F620" i="278"/>
  <c r="G620" i="278" s="1"/>
  <c r="D620" i="278"/>
  <c r="C620" i="278"/>
  <c r="B620" i="278"/>
  <c r="F619" i="278"/>
  <c r="G619" i="278" s="1"/>
  <c r="D619" i="278"/>
  <c r="C619" i="278"/>
  <c r="B619" i="278"/>
  <c r="F617" i="278"/>
  <c r="G617" i="278" s="1"/>
  <c r="D617" i="278"/>
  <c r="C617" i="278"/>
  <c r="B617" i="278"/>
  <c r="F616" i="278"/>
  <c r="G616" i="278" s="1"/>
  <c r="D616" i="278"/>
  <c r="C616" i="278"/>
  <c r="B616" i="278"/>
  <c r="F615" i="278"/>
  <c r="G615" i="278" s="1"/>
  <c r="D615" i="278"/>
  <c r="C615" i="278"/>
  <c r="B615" i="278"/>
  <c r="F614" i="278"/>
  <c r="G614" i="278" s="1"/>
  <c r="D614" i="278"/>
  <c r="C614" i="278"/>
  <c r="B614" i="278"/>
  <c r="F613" i="278"/>
  <c r="G613" i="278" s="1"/>
  <c r="D613" i="278"/>
  <c r="C613" i="278"/>
  <c r="B613" i="278"/>
  <c r="F612" i="278"/>
  <c r="G612" i="278" s="1"/>
  <c r="D612" i="278"/>
  <c r="C612" i="278"/>
  <c r="B612" i="278"/>
  <c r="C611" i="278"/>
  <c r="C689" i="278" s="1"/>
  <c r="F608" i="278"/>
  <c r="G608" i="278" s="1"/>
  <c r="D608" i="278"/>
  <c r="C608" i="278"/>
  <c r="B608" i="278"/>
  <c r="F607" i="278"/>
  <c r="G607" i="278" s="1"/>
  <c r="D607" i="278"/>
  <c r="C607" i="278"/>
  <c r="B607" i="278"/>
  <c r="F606" i="278"/>
  <c r="G606" i="278" s="1"/>
  <c r="D606" i="278"/>
  <c r="C606" i="278"/>
  <c r="B606" i="278"/>
  <c r="F605" i="278"/>
  <c r="G605" i="278" s="1"/>
  <c r="D605" i="278"/>
  <c r="C605" i="278"/>
  <c r="B605" i="278"/>
  <c r="F604" i="278"/>
  <c r="G604" i="278" s="1"/>
  <c r="D604" i="278"/>
  <c r="C604" i="278"/>
  <c r="B604" i="278"/>
  <c r="F603" i="278"/>
  <c r="G603" i="278" s="1"/>
  <c r="D603" i="278"/>
  <c r="C603" i="278"/>
  <c r="B603" i="278"/>
  <c r="F601" i="278"/>
  <c r="G601" i="278" s="1"/>
  <c r="D601" i="278"/>
  <c r="C601" i="278"/>
  <c r="B601" i="278"/>
  <c r="C600" i="278"/>
  <c r="C688" i="278" s="1"/>
  <c r="F598" i="278"/>
  <c r="G598" i="278" s="1"/>
  <c r="D598" i="278"/>
  <c r="C598" i="278"/>
  <c r="B598" i="278"/>
  <c r="F597" i="278"/>
  <c r="G597" i="278" s="1"/>
  <c r="D597" i="278"/>
  <c r="C597" i="278"/>
  <c r="B597" i="278"/>
  <c r="F596" i="278"/>
  <c r="G596" i="278" s="1"/>
  <c r="D596" i="278"/>
  <c r="C596" i="278"/>
  <c r="B596" i="278"/>
  <c r="F595" i="278"/>
  <c r="G595" i="278" s="1"/>
  <c r="D595" i="278"/>
  <c r="C595" i="278"/>
  <c r="B595" i="278"/>
  <c r="F594" i="278"/>
  <c r="G594" i="278" s="1"/>
  <c r="D594" i="278"/>
  <c r="C594" i="278"/>
  <c r="B594" i="278"/>
  <c r="F593" i="278"/>
  <c r="G593" i="278" s="1"/>
  <c r="D593" i="278"/>
  <c r="C593" i="278"/>
  <c r="B593" i="278"/>
  <c r="F592" i="278"/>
  <c r="G592" i="278" s="1"/>
  <c r="D592" i="278"/>
  <c r="C592" i="278"/>
  <c r="B592" i="278"/>
  <c r="F590" i="278"/>
  <c r="G590" i="278" s="1"/>
  <c r="D590" i="278"/>
  <c r="C590" i="278"/>
  <c r="B590" i="278"/>
  <c r="C589" i="278"/>
  <c r="C687" i="278" s="1"/>
  <c r="F587" i="278"/>
  <c r="G587" i="278" s="1"/>
  <c r="D587" i="278"/>
  <c r="C587" i="278"/>
  <c r="B587" i="278"/>
  <c r="F586" i="278"/>
  <c r="G586" i="278" s="1"/>
  <c r="D586" i="278"/>
  <c r="C586" i="278"/>
  <c r="B586" i="278"/>
  <c r="F585" i="278"/>
  <c r="G585" i="278" s="1"/>
  <c r="D585" i="278"/>
  <c r="C585" i="278"/>
  <c r="B585" i="278"/>
  <c r="F584" i="278"/>
  <c r="G584" i="278" s="1"/>
  <c r="D584" i="278"/>
  <c r="C584" i="278"/>
  <c r="B584" i="278"/>
  <c r="F583" i="278"/>
  <c r="G583" i="278" s="1"/>
  <c r="D583" i="278"/>
  <c r="C583" i="278"/>
  <c r="B583" i="278"/>
  <c r="F582" i="278"/>
  <c r="G582" i="278" s="1"/>
  <c r="D582" i="278"/>
  <c r="C582" i="278"/>
  <c r="B582" i="278"/>
  <c r="F581" i="278"/>
  <c r="G581" i="278" s="1"/>
  <c r="D581" i="278"/>
  <c r="C581" i="278"/>
  <c r="B581" i="278"/>
  <c r="D580" i="278"/>
  <c r="C580" i="278"/>
  <c r="B580" i="278"/>
  <c r="C579" i="278"/>
  <c r="C686" i="278" s="1"/>
  <c r="F577" i="278"/>
  <c r="G577" i="278" s="1"/>
  <c r="D577" i="278"/>
  <c r="C577" i="278"/>
  <c r="B577" i="278"/>
  <c r="F576" i="278"/>
  <c r="G576" i="278" s="1"/>
  <c r="D576" i="278"/>
  <c r="C576" i="278"/>
  <c r="B576" i="278"/>
  <c r="F575" i="278"/>
  <c r="G575" i="278" s="1"/>
  <c r="D575" i="278"/>
  <c r="C575" i="278"/>
  <c r="B575" i="278"/>
  <c r="H577" i="278"/>
  <c r="D685" i="278" s="1"/>
  <c r="F572" i="278"/>
  <c r="G572" i="278" s="1"/>
  <c r="D572" i="278"/>
  <c r="C572" i="278"/>
  <c r="B572" i="278"/>
  <c r="F571" i="278"/>
  <c r="G571" i="278" s="1"/>
  <c r="D571" i="278"/>
  <c r="C571" i="278"/>
  <c r="B571" i="278"/>
  <c r="F570" i="278"/>
  <c r="G570" i="278" s="1"/>
  <c r="D570" i="278"/>
  <c r="C570" i="278"/>
  <c r="B570" i="278"/>
  <c r="F569" i="278"/>
  <c r="G569" i="278" s="1"/>
  <c r="D569" i="278"/>
  <c r="B569" i="278"/>
  <c r="F567" i="278"/>
  <c r="G567" i="278" s="1"/>
  <c r="D567" i="278"/>
  <c r="C567" i="278"/>
  <c r="B567" i="278"/>
  <c r="F566" i="278"/>
  <c r="G566" i="278" s="1"/>
  <c r="D566" i="278"/>
  <c r="C566" i="278"/>
  <c r="B566" i="278"/>
  <c r="F565" i="278"/>
  <c r="G565" i="278" s="1"/>
  <c r="D565" i="278"/>
  <c r="C565" i="278"/>
  <c r="B565" i="278"/>
  <c r="F564" i="278"/>
  <c r="G564" i="278" s="1"/>
  <c r="D564" i="278"/>
  <c r="C564" i="278"/>
  <c r="B564" i="278"/>
  <c r="F563" i="278"/>
  <c r="G563" i="278" s="1"/>
  <c r="D563" i="278"/>
  <c r="C563" i="278"/>
  <c r="B563" i="278"/>
  <c r="F562" i="278"/>
  <c r="G562" i="278" s="1"/>
  <c r="D562" i="278"/>
  <c r="C562" i="278"/>
  <c r="B562" i="278"/>
  <c r="C560" i="278"/>
  <c r="C684" i="278" s="1"/>
  <c r="F556" i="278"/>
  <c r="G556" i="278" s="1"/>
  <c r="D556" i="278"/>
  <c r="C556" i="278"/>
  <c r="B556" i="278"/>
  <c r="F555" i="278"/>
  <c r="G555" i="278" s="1"/>
  <c r="D555" i="278"/>
  <c r="C555" i="278"/>
  <c r="B555" i="278"/>
  <c r="F554" i="278"/>
  <c r="G554" i="278" s="1"/>
  <c r="D554" i="278"/>
  <c r="C554" i="278"/>
  <c r="B554" i="278"/>
  <c r="F553" i="278"/>
  <c r="G553" i="278" s="1"/>
  <c r="D553" i="278"/>
  <c r="C553" i="278"/>
  <c r="B553" i="278"/>
  <c r="F552" i="278"/>
  <c r="G552" i="278" s="1"/>
  <c r="D552" i="278"/>
  <c r="C552" i="278"/>
  <c r="B552" i="278"/>
  <c r="C551" i="278"/>
  <c r="C683" i="278" s="1"/>
  <c r="F549" i="278"/>
  <c r="G549" i="278" s="1"/>
  <c r="D549" i="278"/>
  <c r="C549" i="278"/>
  <c r="B549" i="278"/>
  <c r="F548" i="278"/>
  <c r="G548" i="278" s="1"/>
  <c r="D548" i="278"/>
  <c r="C548" i="278"/>
  <c r="B548" i="278"/>
  <c r="F546" i="278"/>
  <c r="G546" i="278" s="1"/>
  <c r="D546" i="278"/>
  <c r="C546" i="278"/>
  <c r="B546" i="278"/>
  <c r="C545" i="278"/>
  <c r="C682" i="278" s="1"/>
  <c r="F543" i="278"/>
  <c r="G543" i="278" s="1"/>
  <c r="D543" i="278"/>
  <c r="C543" i="278"/>
  <c r="B543" i="278"/>
  <c r="F542" i="278"/>
  <c r="G542" i="278" s="1"/>
  <c r="D542" i="278"/>
  <c r="C542" i="278"/>
  <c r="B542" i="278"/>
  <c r="F541" i="278"/>
  <c r="G541" i="278" s="1"/>
  <c r="D541" i="278"/>
  <c r="C541" i="278"/>
  <c r="B541" i="278"/>
  <c r="F540" i="278"/>
  <c r="G540" i="278" s="1"/>
  <c r="D540" i="278"/>
  <c r="C540" i="278"/>
  <c r="B540" i="278"/>
  <c r="F539" i="278"/>
  <c r="G539" i="278" s="1"/>
  <c r="D539" i="278"/>
  <c r="C539" i="278"/>
  <c r="B539" i="278"/>
  <c r="F538" i="278"/>
  <c r="G538" i="278" s="1"/>
  <c r="D538" i="278"/>
  <c r="C538" i="278"/>
  <c r="B538" i="278"/>
  <c r="F537" i="278"/>
  <c r="G537" i="278" s="1"/>
  <c r="D537" i="278"/>
  <c r="C537" i="278"/>
  <c r="B537" i="278"/>
  <c r="F536" i="278"/>
  <c r="G536" i="278" s="1"/>
  <c r="D536" i="278"/>
  <c r="C536" i="278"/>
  <c r="B536" i="278"/>
  <c r="F535" i="278"/>
  <c r="G535" i="278" s="1"/>
  <c r="D535" i="278"/>
  <c r="C535" i="278"/>
  <c r="B535" i="278"/>
  <c r="F534" i="278"/>
  <c r="G534" i="278" s="1"/>
  <c r="D534" i="278"/>
  <c r="C534" i="278"/>
  <c r="B534" i="278"/>
  <c r="F533" i="278"/>
  <c r="G533" i="278" s="1"/>
  <c r="D533" i="278"/>
  <c r="C533" i="278"/>
  <c r="B533" i="278"/>
  <c r="F532" i="278"/>
  <c r="G532" i="278" s="1"/>
  <c r="D532" i="278"/>
  <c r="C532" i="278"/>
  <c r="B532" i="278"/>
  <c r="F531" i="278"/>
  <c r="G531" i="278" s="1"/>
  <c r="D531" i="278"/>
  <c r="C531" i="278"/>
  <c r="B531" i="278"/>
  <c r="C530" i="278"/>
  <c r="C681" i="278" s="1"/>
  <c r="F527" i="278"/>
  <c r="G527" i="278" s="1"/>
  <c r="D527" i="278"/>
  <c r="C527" i="278"/>
  <c r="B527" i="278"/>
  <c r="F526" i="278"/>
  <c r="G526" i="278" s="1"/>
  <c r="D526" i="278"/>
  <c r="C526" i="278"/>
  <c r="B526" i="278"/>
  <c r="F525" i="278"/>
  <c r="G525" i="278" s="1"/>
  <c r="D525" i="278"/>
  <c r="C525" i="278"/>
  <c r="B525" i="278"/>
  <c r="F524" i="278"/>
  <c r="G524" i="278" s="1"/>
  <c r="D524" i="278"/>
  <c r="C524" i="278"/>
  <c r="B524" i="278"/>
  <c r="F523" i="278"/>
  <c r="G523" i="278" s="1"/>
  <c r="D523" i="278"/>
  <c r="C523" i="278"/>
  <c r="B523" i="278"/>
  <c r="F522" i="278"/>
  <c r="G522" i="278" s="1"/>
  <c r="D522" i="278"/>
  <c r="C522" i="278"/>
  <c r="B522" i="278"/>
  <c r="C521" i="278"/>
  <c r="C680" i="278" s="1"/>
  <c r="F515" i="278"/>
  <c r="G515" i="278" s="1"/>
  <c r="D515" i="278"/>
  <c r="C515" i="278"/>
  <c r="B515" i="278"/>
  <c r="F514" i="278"/>
  <c r="G514" i="278" s="1"/>
  <c r="D514" i="278"/>
  <c r="C514" i="278"/>
  <c r="B514" i="278"/>
  <c r="F513" i="278"/>
  <c r="G513" i="278" s="1"/>
  <c r="D513" i="278"/>
  <c r="C513" i="278"/>
  <c r="B513" i="278"/>
  <c r="F512" i="278"/>
  <c r="G512" i="278" s="1"/>
  <c r="D512" i="278"/>
  <c r="C512" i="278"/>
  <c r="B512" i="278"/>
  <c r="F511" i="278"/>
  <c r="G511" i="278" s="1"/>
  <c r="D511" i="278"/>
  <c r="C511" i="278"/>
  <c r="B511" i="278"/>
  <c r="F510" i="278"/>
  <c r="G510" i="278" s="1"/>
  <c r="D510" i="278"/>
  <c r="C510" i="278"/>
  <c r="B510" i="278"/>
  <c r="F509" i="278"/>
  <c r="G509" i="278" s="1"/>
  <c r="D509" i="278"/>
  <c r="C509" i="278"/>
  <c r="B509" i="278"/>
  <c r="C508" i="278"/>
  <c r="C679" i="278" s="1"/>
  <c r="F505" i="278"/>
  <c r="G505" i="278" s="1"/>
  <c r="D505" i="278"/>
  <c r="C505" i="278"/>
  <c r="B505" i="278"/>
  <c r="F504" i="278"/>
  <c r="G504" i="278" s="1"/>
  <c r="D504" i="278"/>
  <c r="C504" i="278"/>
  <c r="B504" i="278"/>
  <c r="F503" i="278"/>
  <c r="G503" i="278" s="1"/>
  <c r="D503" i="278"/>
  <c r="C503" i="278"/>
  <c r="B503" i="278"/>
  <c r="F502" i="278"/>
  <c r="G502" i="278" s="1"/>
  <c r="D502" i="278"/>
  <c r="C502" i="278"/>
  <c r="B502" i="278"/>
  <c r="F501" i="278"/>
  <c r="G501" i="278" s="1"/>
  <c r="D501" i="278"/>
  <c r="C501" i="278"/>
  <c r="B501" i="278"/>
  <c r="F500" i="278"/>
  <c r="G500" i="278" s="1"/>
  <c r="D500" i="278"/>
  <c r="C500" i="278"/>
  <c r="B500" i="278"/>
  <c r="F499" i="278"/>
  <c r="G499" i="278" s="1"/>
  <c r="D499" i="278"/>
  <c r="C499" i="278"/>
  <c r="B499" i="278"/>
  <c r="F498" i="278"/>
  <c r="G498" i="278" s="1"/>
  <c r="D498" i="278"/>
  <c r="C498" i="278"/>
  <c r="B498" i="278"/>
  <c r="F497" i="278"/>
  <c r="G497" i="278" s="1"/>
  <c r="D497" i="278"/>
  <c r="C497" i="278"/>
  <c r="B497" i="278"/>
  <c r="F496" i="278"/>
  <c r="G496" i="278" s="1"/>
  <c r="D496" i="278"/>
  <c r="C496" i="278"/>
  <c r="B496" i="278"/>
  <c r="F495" i="278"/>
  <c r="G495" i="278" s="1"/>
  <c r="D495" i="278"/>
  <c r="C495" i="278"/>
  <c r="B495" i="278"/>
  <c r="F493" i="278"/>
  <c r="G493" i="278" s="1"/>
  <c r="H505" i="278" s="1"/>
  <c r="D678" i="278" s="1"/>
  <c r="D493" i="278"/>
  <c r="C493" i="278"/>
  <c r="B493" i="278"/>
  <c r="C491" i="278"/>
  <c r="C678" i="278" s="1"/>
  <c r="F489" i="278"/>
  <c r="G489" i="278" s="1"/>
  <c r="D489" i="278"/>
  <c r="C489" i="278"/>
  <c r="B489" i="278"/>
  <c r="F488" i="278"/>
  <c r="G488" i="278" s="1"/>
  <c r="D488" i="278"/>
  <c r="C488" i="278"/>
  <c r="B488" i="278"/>
  <c r="F487" i="278"/>
  <c r="G487" i="278" s="1"/>
  <c r="D487" i="278"/>
  <c r="C487" i="278"/>
  <c r="B487" i="278"/>
  <c r="F486" i="278"/>
  <c r="G486" i="278" s="1"/>
  <c r="D486" i="278"/>
  <c r="C486" i="278"/>
  <c r="B486" i="278"/>
  <c r="F485" i="278"/>
  <c r="G485" i="278" s="1"/>
  <c r="D485" i="278"/>
  <c r="C485" i="278"/>
  <c r="B485" i="278"/>
  <c r="F484" i="278"/>
  <c r="G484" i="278" s="1"/>
  <c r="D484" i="278"/>
  <c r="C484" i="278"/>
  <c r="B484" i="278"/>
  <c r="F483" i="278"/>
  <c r="G483" i="278" s="1"/>
  <c r="D483" i="278"/>
  <c r="C483" i="278"/>
  <c r="B483" i="278"/>
  <c r="F482" i="278"/>
  <c r="G482" i="278" s="1"/>
  <c r="D482" i="278"/>
  <c r="C482" i="278"/>
  <c r="B482" i="278"/>
  <c r="F481" i="278"/>
  <c r="G481" i="278" s="1"/>
  <c r="D481" i="278"/>
  <c r="C481" i="278"/>
  <c r="B481" i="278"/>
  <c r="F480" i="278"/>
  <c r="G480" i="278" s="1"/>
  <c r="D480" i="278"/>
  <c r="C480" i="278"/>
  <c r="B480" i="278"/>
  <c r="F479" i="278"/>
  <c r="G479" i="278" s="1"/>
  <c r="D479" i="278"/>
  <c r="C479" i="278"/>
  <c r="B479" i="278"/>
  <c r="F478" i="278"/>
  <c r="G478" i="278" s="1"/>
  <c r="D478" i="278"/>
  <c r="C478" i="278"/>
  <c r="B478" i="278"/>
  <c r="F477" i="278"/>
  <c r="G477" i="278" s="1"/>
  <c r="D477" i="278"/>
  <c r="C477" i="278"/>
  <c r="B477" i="278"/>
  <c r="F476" i="278"/>
  <c r="G476" i="278" s="1"/>
  <c r="D476" i="278"/>
  <c r="C476" i="278"/>
  <c r="B476" i="278"/>
  <c r="F475" i="278"/>
  <c r="G475" i="278" s="1"/>
  <c r="D475" i="278"/>
  <c r="C475" i="278"/>
  <c r="B475" i="278"/>
  <c r="F474" i="278"/>
  <c r="G474" i="278" s="1"/>
  <c r="D474" i="278"/>
  <c r="C474" i="278"/>
  <c r="B474" i="278"/>
  <c r="C473" i="278"/>
  <c r="C677" i="278" s="1"/>
  <c r="F471" i="278"/>
  <c r="G471" i="278" s="1"/>
  <c r="H471" i="278" s="1"/>
  <c r="D676" i="278" s="1"/>
  <c r="D471" i="278"/>
  <c r="C471" i="278"/>
  <c r="B471" i="278"/>
  <c r="C470" i="278"/>
  <c r="C676" i="278" s="1"/>
  <c r="F468" i="278"/>
  <c r="G468" i="278" s="1"/>
  <c r="D468" i="278"/>
  <c r="C468" i="278"/>
  <c r="B468" i="278"/>
  <c r="F467" i="278"/>
  <c r="G467" i="278" s="1"/>
  <c r="D467" i="278"/>
  <c r="C467" i="278"/>
  <c r="B467" i="278"/>
  <c r="F466" i="278"/>
  <c r="G466" i="278" s="1"/>
  <c r="D466" i="278"/>
  <c r="C466" i="278"/>
  <c r="B466" i="278"/>
  <c r="F465" i="278"/>
  <c r="G465" i="278" s="1"/>
  <c r="D465" i="278"/>
  <c r="C465" i="278"/>
  <c r="B465" i="278"/>
  <c r="F464" i="278"/>
  <c r="G464" i="278" s="1"/>
  <c r="D464" i="278"/>
  <c r="C464" i="278"/>
  <c r="B464" i="278"/>
  <c r="F463" i="278"/>
  <c r="G463" i="278" s="1"/>
  <c r="D463" i="278"/>
  <c r="C463" i="278"/>
  <c r="B463" i="278"/>
  <c r="F462" i="278"/>
  <c r="G462" i="278" s="1"/>
  <c r="D462" i="278"/>
  <c r="C462" i="278"/>
  <c r="B462" i="278"/>
  <c r="F461" i="278"/>
  <c r="G461" i="278" s="1"/>
  <c r="D461" i="278"/>
  <c r="C461" i="278"/>
  <c r="B461" i="278"/>
  <c r="F460" i="278"/>
  <c r="G460" i="278" s="1"/>
  <c r="D460" i="278"/>
  <c r="C460" i="278"/>
  <c r="B460" i="278"/>
  <c r="F459" i="278"/>
  <c r="G459" i="278" s="1"/>
  <c r="D459" i="278"/>
  <c r="C459" i="278"/>
  <c r="B459" i="278"/>
  <c r="F458" i="278"/>
  <c r="G458" i="278" s="1"/>
  <c r="D458" i="278"/>
  <c r="C458" i="278"/>
  <c r="B458" i="278"/>
  <c r="C457" i="278"/>
  <c r="C675" i="278" s="1"/>
  <c r="F455" i="278"/>
  <c r="G455" i="278" s="1"/>
  <c r="D455" i="278"/>
  <c r="C455" i="278"/>
  <c r="B455" i="278"/>
  <c r="F454" i="278"/>
  <c r="G454" i="278" s="1"/>
  <c r="D454" i="278"/>
  <c r="C454" i="278"/>
  <c r="B454" i="278"/>
  <c r="F453" i="278"/>
  <c r="G453" i="278" s="1"/>
  <c r="D453" i="278"/>
  <c r="C453" i="278"/>
  <c r="B453" i="278"/>
  <c r="F452" i="278"/>
  <c r="G452" i="278" s="1"/>
  <c r="H455" i="278" s="1"/>
  <c r="D674" i="278" s="1"/>
  <c r="D452" i="278"/>
  <c r="C452" i="278"/>
  <c r="B452" i="278"/>
  <c r="C451" i="278"/>
  <c r="C674" i="278" s="1"/>
  <c r="F448" i="278"/>
  <c r="G448" i="278" s="1"/>
  <c r="D448" i="278"/>
  <c r="C448" i="278"/>
  <c r="B448" i="278"/>
  <c r="F447" i="278"/>
  <c r="G447" i="278" s="1"/>
  <c r="D447" i="278"/>
  <c r="C447" i="278"/>
  <c r="B447" i="278"/>
  <c r="F446" i="278"/>
  <c r="G446" i="278" s="1"/>
  <c r="D446" i="278"/>
  <c r="C446" i="278"/>
  <c r="B446" i="278"/>
  <c r="F445" i="278"/>
  <c r="G445" i="278" s="1"/>
  <c r="D445" i="278"/>
  <c r="C445" i="278"/>
  <c r="B445" i="278"/>
  <c r="C444" i="278"/>
  <c r="C673" i="278" s="1"/>
  <c r="F440" i="278"/>
  <c r="G440" i="278" s="1"/>
  <c r="D440" i="278"/>
  <c r="C440" i="278"/>
  <c r="B440" i="278"/>
  <c r="F439" i="278"/>
  <c r="G439" i="278" s="1"/>
  <c r="D439" i="278"/>
  <c r="C439" i="278"/>
  <c r="B439" i="278"/>
  <c r="F437" i="278"/>
  <c r="G437" i="278" s="1"/>
  <c r="D437" i="278"/>
  <c r="C437" i="278"/>
  <c r="B437" i="278"/>
  <c r="F436" i="278"/>
  <c r="G436" i="278" s="1"/>
  <c r="D436" i="278"/>
  <c r="C436" i="278"/>
  <c r="B436" i="278"/>
  <c r="F435" i="278"/>
  <c r="G435" i="278" s="1"/>
  <c r="D435" i="278"/>
  <c r="C435" i="278"/>
  <c r="B435" i="278"/>
  <c r="F434" i="278"/>
  <c r="G434" i="278" s="1"/>
  <c r="D434" i="278"/>
  <c r="C434" i="278"/>
  <c r="B434" i="278"/>
  <c r="F433" i="278"/>
  <c r="G433" i="278" s="1"/>
  <c r="D433" i="278"/>
  <c r="C433" i="278"/>
  <c r="B433" i="278"/>
  <c r="F432" i="278"/>
  <c r="G432" i="278" s="1"/>
  <c r="D432" i="278"/>
  <c r="C432" i="278"/>
  <c r="B432" i="278"/>
  <c r="F431" i="278"/>
  <c r="G431" i="278" s="1"/>
  <c r="D431" i="278"/>
  <c r="C431" i="278"/>
  <c r="B431" i="278"/>
  <c r="F430" i="278"/>
  <c r="G430" i="278" s="1"/>
  <c r="D430" i="278"/>
  <c r="C430" i="278"/>
  <c r="B430" i="278"/>
  <c r="F429" i="278"/>
  <c r="G429" i="278" s="1"/>
  <c r="D429" i="278"/>
  <c r="C429" i="278"/>
  <c r="B429" i="278"/>
  <c r="F428" i="278"/>
  <c r="G428" i="278" s="1"/>
  <c r="D428" i="278"/>
  <c r="C428" i="278"/>
  <c r="B428" i="278"/>
  <c r="F427" i="278"/>
  <c r="G427" i="278" s="1"/>
  <c r="D427" i="278"/>
  <c r="C427" i="278"/>
  <c r="B427" i="278"/>
  <c r="F426" i="278"/>
  <c r="G426" i="278" s="1"/>
  <c r="D426" i="278"/>
  <c r="C426" i="278"/>
  <c r="B426" i="278"/>
  <c r="F425" i="278"/>
  <c r="G425" i="278" s="1"/>
  <c r="D425" i="278"/>
  <c r="C425" i="278"/>
  <c r="B425" i="278"/>
  <c r="F424" i="278"/>
  <c r="G424" i="278" s="1"/>
  <c r="D424" i="278"/>
  <c r="C424" i="278"/>
  <c r="B424" i="278"/>
  <c r="F423" i="278"/>
  <c r="G423" i="278" s="1"/>
  <c r="D423" i="278"/>
  <c r="C423" i="278"/>
  <c r="B423" i="278"/>
  <c r="C422" i="278"/>
  <c r="C672" i="278" s="1"/>
  <c r="F419" i="278"/>
  <c r="G419" i="278" s="1"/>
  <c r="D419" i="278"/>
  <c r="C419" i="278"/>
  <c r="B419" i="278"/>
  <c r="F418" i="278"/>
  <c r="G418" i="278" s="1"/>
  <c r="D418" i="278"/>
  <c r="C418" i="278"/>
  <c r="B418" i="278"/>
  <c r="F417" i="278"/>
  <c r="G417" i="278" s="1"/>
  <c r="D417" i="278"/>
  <c r="C417" i="278"/>
  <c r="B417" i="278"/>
  <c r="F416" i="278"/>
  <c r="G416" i="278" s="1"/>
  <c r="D416" i="278"/>
  <c r="C416" i="278"/>
  <c r="B416" i="278"/>
  <c r="F415" i="278"/>
  <c r="G415" i="278" s="1"/>
  <c r="D415" i="278"/>
  <c r="C415" i="278"/>
  <c r="B415" i="278"/>
  <c r="F414" i="278"/>
  <c r="G414" i="278" s="1"/>
  <c r="D414" i="278"/>
  <c r="C414" i="278"/>
  <c r="B414" i="278"/>
  <c r="F413" i="278"/>
  <c r="G413" i="278" s="1"/>
  <c r="D413" i="278"/>
  <c r="C413" i="278"/>
  <c r="B413" i="278"/>
  <c r="C412" i="278"/>
  <c r="C671" i="278" s="1"/>
  <c r="F410" i="278"/>
  <c r="G410" i="278" s="1"/>
  <c r="D410" i="278"/>
  <c r="C410" i="278"/>
  <c r="B410" i="278"/>
  <c r="F409" i="278"/>
  <c r="G409" i="278" s="1"/>
  <c r="D409" i="278"/>
  <c r="C409" i="278"/>
  <c r="B409" i="278"/>
  <c r="F408" i="278"/>
  <c r="G408" i="278" s="1"/>
  <c r="D408" i="278"/>
  <c r="C408" i="278"/>
  <c r="B408" i="278"/>
  <c r="F407" i="278"/>
  <c r="G407" i="278" s="1"/>
  <c r="D407" i="278"/>
  <c r="C407" i="278"/>
  <c r="B407" i="278"/>
  <c r="F406" i="278"/>
  <c r="G406" i="278" s="1"/>
  <c r="D406" i="278"/>
  <c r="C406" i="278"/>
  <c r="B406" i="278"/>
  <c r="F405" i="278"/>
  <c r="G405" i="278" s="1"/>
  <c r="D405" i="278"/>
  <c r="C405" i="278"/>
  <c r="B405" i="278"/>
  <c r="F404" i="278"/>
  <c r="G404" i="278" s="1"/>
  <c r="D404" i="278"/>
  <c r="C404" i="278"/>
  <c r="B404" i="278"/>
  <c r="F403" i="278"/>
  <c r="G403" i="278" s="1"/>
  <c r="D403" i="278"/>
  <c r="C403" i="278"/>
  <c r="B403" i="278"/>
  <c r="F402" i="278"/>
  <c r="G402" i="278" s="1"/>
  <c r="D402" i="278"/>
  <c r="C402" i="278"/>
  <c r="B402" i="278"/>
  <c r="C401" i="278"/>
  <c r="C670" i="278" s="1"/>
  <c r="F389" i="278"/>
  <c r="G389" i="278" s="1"/>
  <c r="D389" i="278"/>
  <c r="C389" i="278"/>
  <c r="B389" i="278"/>
  <c r="F388" i="278"/>
  <c r="G388" i="278" s="1"/>
  <c r="D388" i="278"/>
  <c r="C388" i="278"/>
  <c r="B388" i="278"/>
  <c r="F387" i="278"/>
  <c r="G387" i="278" s="1"/>
  <c r="C387" i="278"/>
  <c r="B387" i="278"/>
  <c r="F384" i="278"/>
  <c r="G384" i="278" s="1"/>
  <c r="C384" i="278"/>
  <c r="B384" i="278"/>
  <c r="F383" i="278"/>
  <c r="G383" i="278" s="1"/>
  <c r="D383" i="278"/>
  <c r="C383" i="278"/>
  <c r="B383" i="278"/>
  <c r="F382" i="278"/>
  <c r="G382" i="278" s="1"/>
  <c r="D382" i="278"/>
  <c r="C382" i="278"/>
  <c r="B382" i="278"/>
  <c r="C381" i="278"/>
  <c r="B381" i="278"/>
  <c r="C380" i="278"/>
  <c r="C668" i="278" s="1"/>
  <c r="F378" i="278"/>
  <c r="G378" i="278" s="1"/>
  <c r="D378" i="278"/>
  <c r="C378" i="278"/>
  <c r="B378" i="278"/>
  <c r="F377" i="278"/>
  <c r="G377" i="278" s="1"/>
  <c r="D377" i="278"/>
  <c r="C377" i="278"/>
  <c r="B377" i="278"/>
  <c r="F376" i="278"/>
  <c r="G376" i="278" s="1"/>
  <c r="D376" i="278"/>
  <c r="C376" i="278"/>
  <c r="B376" i="278"/>
  <c r="F375" i="278"/>
  <c r="G375" i="278" s="1"/>
  <c r="D375" i="278"/>
  <c r="C375" i="278"/>
  <c r="B375" i="278"/>
  <c r="F374" i="278"/>
  <c r="G374" i="278" s="1"/>
  <c r="D374" i="278"/>
  <c r="C374" i="278"/>
  <c r="B374" i="278"/>
  <c r="C373" i="278"/>
  <c r="C667" i="278" s="1"/>
  <c r="F371" i="278"/>
  <c r="G371" i="278" s="1"/>
  <c r="D371" i="278"/>
  <c r="C371" i="278"/>
  <c r="B371" i="278"/>
  <c r="F369" i="278"/>
  <c r="G369" i="278" s="1"/>
  <c r="D369" i="278"/>
  <c r="C369" i="278"/>
  <c r="B369" i="278"/>
  <c r="F368" i="278"/>
  <c r="G368" i="278" s="1"/>
  <c r="D368" i="278"/>
  <c r="C368" i="278"/>
  <c r="B368" i="278"/>
  <c r="F367" i="278"/>
  <c r="G367" i="278" s="1"/>
  <c r="D367" i="278"/>
  <c r="C367" i="278"/>
  <c r="B367" i="278"/>
  <c r="F366" i="278"/>
  <c r="G366" i="278" s="1"/>
  <c r="D366" i="278"/>
  <c r="C366" i="278"/>
  <c r="B366" i="278"/>
  <c r="F365" i="278"/>
  <c r="G365" i="278" s="1"/>
  <c r="D365" i="278"/>
  <c r="C365" i="278"/>
  <c r="B365" i="278"/>
  <c r="F364" i="278"/>
  <c r="G364" i="278" s="1"/>
  <c r="D364" i="278"/>
  <c r="C364" i="278"/>
  <c r="B364" i="278"/>
  <c r="C363" i="278"/>
  <c r="C666" i="278" s="1"/>
  <c r="F361" i="278"/>
  <c r="G361" i="278" s="1"/>
  <c r="D361" i="278"/>
  <c r="C361" i="278"/>
  <c r="B361" i="278"/>
  <c r="F360" i="278"/>
  <c r="G360" i="278" s="1"/>
  <c r="D360" i="278"/>
  <c r="C360" i="278"/>
  <c r="B360" i="278"/>
  <c r="F359" i="278"/>
  <c r="G359" i="278" s="1"/>
  <c r="D359" i="278"/>
  <c r="C359" i="278"/>
  <c r="B359" i="278"/>
  <c r="F358" i="278"/>
  <c r="G358" i="278" s="1"/>
  <c r="D358" i="278"/>
  <c r="C358" i="278"/>
  <c r="B358" i="278"/>
  <c r="F357" i="278"/>
  <c r="G357" i="278" s="1"/>
  <c r="D357" i="278"/>
  <c r="B357" i="278"/>
  <c r="F356" i="278"/>
  <c r="G356" i="278" s="1"/>
  <c r="D356" i="278"/>
  <c r="C356" i="278"/>
  <c r="B356" i="278"/>
  <c r="C355" i="278"/>
  <c r="C665" i="278" s="1"/>
  <c r="F336" i="278"/>
  <c r="G336" i="278" s="1"/>
  <c r="D336" i="278"/>
  <c r="C336" i="278"/>
  <c r="B336" i="278"/>
  <c r="F335" i="278"/>
  <c r="G335" i="278" s="1"/>
  <c r="D335" i="278"/>
  <c r="C335" i="278"/>
  <c r="B335" i="278"/>
  <c r="F334" i="278"/>
  <c r="G334" i="278" s="1"/>
  <c r="D334" i="278"/>
  <c r="C334" i="278"/>
  <c r="B334" i="278"/>
  <c r="F333" i="278"/>
  <c r="G333" i="278" s="1"/>
  <c r="D333" i="278"/>
  <c r="C333" i="278"/>
  <c r="B333" i="278"/>
  <c r="C332" i="278"/>
  <c r="C662" i="278" s="1"/>
  <c r="F330" i="278"/>
  <c r="G330" i="278" s="1"/>
  <c r="D330" i="278"/>
  <c r="C330" i="278"/>
  <c r="B330" i="278"/>
  <c r="F329" i="278"/>
  <c r="G329" i="278" s="1"/>
  <c r="D329" i="278"/>
  <c r="C329" i="278"/>
  <c r="B329" i="278"/>
  <c r="F328" i="278"/>
  <c r="G328" i="278" s="1"/>
  <c r="D328" i="278"/>
  <c r="C328" i="278"/>
  <c r="B328" i="278"/>
  <c r="F327" i="278"/>
  <c r="G327" i="278" s="1"/>
  <c r="D327" i="278"/>
  <c r="C327" i="278"/>
  <c r="B327" i="278"/>
  <c r="F326" i="278"/>
  <c r="G326" i="278" s="1"/>
  <c r="D326" i="278"/>
  <c r="C326" i="278"/>
  <c r="B326" i="278"/>
  <c r="F325" i="278"/>
  <c r="G325" i="278" s="1"/>
  <c r="D325" i="278"/>
  <c r="C325" i="278"/>
  <c r="B325" i="278"/>
  <c r="F324" i="278"/>
  <c r="G324" i="278" s="1"/>
  <c r="D324" i="278"/>
  <c r="C324" i="278"/>
  <c r="B324" i="278"/>
  <c r="F323" i="278"/>
  <c r="G323" i="278" s="1"/>
  <c r="D323" i="278"/>
  <c r="C323" i="278"/>
  <c r="B323" i="278"/>
  <c r="C322" i="278"/>
  <c r="C661" i="278" s="1"/>
  <c r="F320" i="278"/>
  <c r="G320" i="278" s="1"/>
  <c r="D320" i="278"/>
  <c r="C320" i="278"/>
  <c r="B320" i="278"/>
  <c r="F319" i="278"/>
  <c r="G319" i="278" s="1"/>
  <c r="D319" i="278"/>
  <c r="C319" i="278"/>
  <c r="B319" i="278"/>
  <c r="F318" i="278"/>
  <c r="G318" i="278" s="1"/>
  <c r="D318" i="278"/>
  <c r="C318" i="278"/>
  <c r="B318" i="278"/>
  <c r="F317" i="278"/>
  <c r="G317" i="278" s="1"/>
  <c r="D317" i="278"/>
  <c r="C317" i="278"/>
  <c r="B317" i="278"/>
  <c r="C316" i="278"/>
  <c r="C660" i="278" s="1"/>
  <c r="F314" i="278"/>
  <c r="G314" i="278" s="1"/>
  <c r="D314" i="278"/>
  <c r="C314" i="278"/>
  <c r="B314" i="278"/>
  <c r="F313" i="278"/>
  <c r="G313" i="278" s="1"/>
  <c r="D313" i="278"/>
  <c r="C313" i="278"/>
  <c r="B313" i="278"/>
  <c r="F312" i="278"/>
  <c r="G312" i="278" s="1"/>
  <c r="D312" i="278"/>
  <c r="C312" i="278"/>
  <c r="B312" i="278"/>
  <c r="F311" i="278"/>
  <c r="G311" i="278" s="1"/>
  <c r="D311" i="278"/>
  <c r="C311" i="278"/>
  <c r="B311" i="278"/>
  <c r="F310" i="278"/>
  <c r="G310" i="278" s="1"/>
  <c r="D310" i="278"/>
  <c r="C310" i="278"/>
  <c r="B310" i="278"/>
  <c r="F309" i="278"/>
  <c r="G309" i="278" s="1"/>
  <c r="D309" i="278"/>
  <c r="C309" i="278"/>
  <c r="B309" i="278"/>
  <c r="F308" i="278"/>
  <c r="G308" i="278" s="1"/>
  <c r="D308" i="278"/>
  <c r="C308" i="278"/>
  <c r="B308" i="278"/>
  <c r="F307" i="278"/>
  <c r="G307" i="278" s="1"/>
  <c r="C307" i="278"/>
  <c r="B307" i="278"/>
  <c r="F306" i="278"/>
  <c r="G306" i="278" s="1"/>
  <c r="D306" i="278"/>
  <c r="C306" i="278"/>
  <c r="B306" i="278"/>
  <c r="C305" i="278"/>
  <c r="C659" i="278" s="1"/>
  <c r="F302" i="278"/>
  <c r="G302" i="278" s="1"/>
  <c r="D302" i="278"/>
  <c r="C302" i="278"/>
  <c r="B302" i="278"/>
  <c r="F301" i="278"/>
  <c r="G301" i="278" s="1"/>
  <c r="D301" i="278"/>
  <c r="C301" i="278"/>
  <c r="B301" i="278"/>
  <c r="F300" i="278"/>
  <c r="G300" i="278" s="1"/>
  <c r="D300" i="278"/>
  <c r="C300" i="278"/>
  <c r="B300" i="278"/>
  <c r="F299" i="278"/>
  <c r="G299" i="278" s="1"/>
  <c r="D299" i="278"/>
  <c r="C299" i="278"/>
  <c r="B299" i="278"/>
  <c r="C298" i="278"/>
  <c r="C658" i="278" s="1"/>
  <c r="F296" i="278"/>
  <c r="G296" i="278" s="1"/>
  <c r="D296" i="278"/>
  <c r="C296" i="278"/>
  <c r="B296" i="278"/>
  <c r="F295" i="278"/>
  <c r="G295" i="278" s="1"/>
  <c r="D295" i="278"/>
  <c r="C295" i="278"/>
  <c r="B295" i="278"/>
  <c r="F294" i="278"/>
  <c r="G294" i="278" s="1"/>
  <c r="D294" i="278"/>
  <c r="C294" i="278"/>
  <c r="B294" i="278"/>
  <c r="F293" i="278"/>
  <c r="G293" i="278" s="1"/>
  <c r="D293" i="278"/>
  <c r="C293" i="278"/>
  <c r="B293" i="278"/>
  <c r="C292" i="278"/>
  <c r="C657" i="278" s="1"/>
  <c r="F290" i="278"/>
  <c r="G290" i="278" s="1"/>
  <c r="D290" i="278"/>
  <c r="C290" i="278"/>
  <c r="B290" i="278"/>
  <c r="F289" i="278"/>
  <c r="G289" i="278" s="1"/>
  <c r="D289" i="278"/>
  <c r="C289" i="278"/>
  <c r="B289" i="278"/>
  <c r="F287" i="278"/>
  <c r="G287" i="278" s="1"/>
  <c r="D287" i="278"/>
  <c r="C287" i="278"/>
  <c r="B287" i="278"/>
  <c r="F286" i="278"/>
  <c r="G286" i="278" s="1"/>
  <c r="D286" i="278"/>
  <c r="C286" i="278"/>
  <c r="B286" i="278"/>
  <c r="F285" i="278"/>
  <c r="G285" i="278" s="1"/>
  <c r="D285" i="278"/>
  <c r="C285" i="278"/>
  <c r="B285" i="278"/>
  <c r="F284" i="278"/>
  <c r="G284" i="278" s="1"/>
  <c r="D284" i="278"/>
  <c r="C284" i="278"/>
  <c r="B284" i="278"/>
  <c r="F283" i="278"/>
  <c r="G283" i="278" s="1"/>
  <c r="D283" i="278"/>
  <c r="C283" i="278"/>
  <c r="B283" i="278"/>
  <c r="D282" i="278"/>
  <c r="B282" i="278"/>
  <c r="F281" i="278"/>
  <c r="G281" i="278" s="1"/>
  <c r="D281" i="278"/>
  <c r="C281" i="278"/>
  <c r="B281" i="278"/>
  <c r="F277" i="278"/>
  <c r="G277" i="278" s="1"/>
  <c r="D277" i="278"/>
  <c r="C277" i="278"/>
  <c r="B277" i="278"/>
  <c r="F276" i="278"/>
  <c r="G276" i="278" s="1"/>
  <c r="D276" i="278"/>
  <c r="C276" i="278"/>
  <c r="B276" i="278"/>
  <c r="F275" i="278"/>
  <c r="G275" i="278" s="1"/>
  <c r="D275" i="278"/>
  <c r="C275" i="278"/>
  <c r="B275" i="278"/>
  <c r="F274" i="278"/>
  <c r="G274" i="278" s="1"/>
  <c r="D274" i="278"/>
  <c r="C274" i="278"/>
  <c r="B274" i="278"/>
  <c r="F273" i="278"/>
  <c r="G273" i="278" s="1"/>
  <c r="D273" i="278"/>
  <c r="C273" i="278"/>
  <c r="B273" i="278"/>
  <c r="C272" i="278"/>
  <c r="C656" i="278" s="1"/>
  <c r="F250" i="278"/>
  <c r="G250" i="278" s="1"/>
  <c r="D250" i="278"/>
  <c r="C250" i="278"/>
  <c r="B250" i="278"/>
  <c r="F249" i="278"/>
  <c r="G249" i="278" s="1"/>
  <c r="D249" i="278"/>
  <c r="C249" i="278"/>
  <c r="B249" i="278"/>
  <c r="F241" i="278"/>
  <c r="G241" i="278" s="1"/>
  <c r="D241" i="278"/>
  <c r="C241" i="278"/>
  <c r="B241" i="278"/>
  <c r="F183" i="278"/>
  <c r="G183" i="278" s="1"/>
  <c r="D183" i="278"/>
  <c r="C183" i="278"/>
  <c r="B183" i="278"/>
  <c r="F164" i="278"/>
  <c r="G164" i="278" s="1"/>
  <c r="D164" i="278"/>
  <c r="C164" i="278"/>
  <c r="B164" i="278"/>
  <c r="F163" i="278"/>
  <c r="G163" i="278" s="1"/>
  <c r="D163" i="278"/>
  <c r="C163" i="278"/>
  <c r="B163" i="278"/>
  <c r="F118" i="278"/>
  <c r="G118" i="278" s="1"/>
  <c r="D118" i="278"/>
  <c r="C118" i="278"/>
  <c r="B118" i="278"/>
  <c r="F117" i="278"/>
  <c r="G117" i="278" s="1"/>
  <c r="D117" i="278"/>
  <c r="C117" i="278"/>
  <c r="B117" i="278"/>
  <c r="F116" i="278"/>
  <c r="G116" i="278" s="1"/>
  <c r="D116" i="278"/>
  <c r="C116" i="278"/>
  <c r="B116" i="278"/>
  <c r="F115" i="278"/>
  <c r="G115" i="278" s="1"/>
  <c r="D115" i="278"/>
  <c r="C115" i="278"/>
  <c r="B115" i="278"/>
  <c r="F113" i="278"/>
  <c r="G113" i="278" s="1"/>
  <c r="D113" i="278"/>
  <c r="C113" i="278"/>
  <c r="B113" i="278"/>
  <c r="F112" i="278"/>
  <c r="G112" i="278" s="1"/>
  <c r="D112" i="278"/>
  <c r="C112" i="278"/>
  <c r="B112" i="278"/>
  <c r="F111" i="278"/>
  <c r="G111" i="278" s="1"/>
  <c r="D111" i="278"/>
  <c r="C111" i="278"/>
  <c r="B111" i="278"/>
  <c r="F110" i="278"/>
  <c r="G110" i="278" s="1"/>
  <c r="D110" i="278"/>
  <c r="C110" i="278"/>
  <c r="B110" i="278"/>
  <c r="F109" i="278"/>
  <c r="G109" i="278" s="1"/>
  <c r="D109" i="278"/>
  <c r="C109" i="278"/>
  <c r="B109" i="278"/>
  <c r="F108" i="278"/>
  <c r="G108" i="278" s="1"/>
  <c r="D108" i="278"/>
  <c r="C108" i="278"/>
  <c r="B108" i="278"/>
  <c r="C107" i="278"/>
  <c r="C653" i="278" s="1"/>
  <c r="F104" i="278"/>
  <c r="G104" i="278" s="1"/>
  <c r="D104" i="278"/>
  <c r="C104" i="278"/>
  <c r="B104" i="278"/>
  <c r="F101" i="278"/>
  <c r="G101" i="278" s="1"/>
  <c r="D101" i="278"/>
  <c r="C101" i="278"/>
  <c r="B101" i="278"/>
  <c r="F100" i="278"/>
  <c r="G100" i="278" s="1"/>
  <c r="D100" i="278"/>
  <c r="C100" i="278"/>
  <c r="B100" i="278"/>
  <c r="F98" i="278"/>
  <c r="G98" i="278" s="1"/>
  <c r="D98" i="278"/>
  <c r="C98" i="278"/>
  <c r="B98" i="278"/>
  <c r="F97" i="278"/>
  <c r="G97" i="278" s="1"/>
  <c r="D97" i="278"/>
  <c r="C97" i="278"/>
  <c r="B97" i="278"/>
  <c r="F96" i="278"/>
  <c r="G96" i="278" s="1"/>
  <c r="D96" i="278"/>
  <c r="C96" i="278"/>
  <c r="B96" i="278"/>
  <c r="C95" i="278"/>
  <c r="C652" i="278" s="1"/>
  <c r="F92" i="278"/>
  <c r="G92" i="278" s="1"/>
  <c r="D92" i="278"/>
  <c r="C92" i="278"/>
  <c r="B92" i="278"/>
  <c r="F91" i="278"/>
  <c r="G91" i="278" s="1"/>
  <c r="H92" i="278" s="1"/>
  <c r="D651" i="278" s="1"/>
  <c r="D91" i="278"/>
  <c r="C91" i="278"/>
  <c r="B91" i="278"/>
  <c r="C90" i="278"/>
  <c r="C651" i="278" s="1"/>
  <c r="F76" i="278"/>
  <c r="G76" i="278" s="1"/>
  <c r="D76" i="278"/>
  <c r="C76" i="278"/>
  <c r="B76" i="278"/>
  <c r="F75" i="278"/>
  <c r="G75" i="278" s="1"/>
  <c r="D75" i="278"/>
  <c r="C75" i="278"/>
  <c r="B75" i="278"/>
  <c r="F74" i="278"/>
  <c r="G74" i="278" s="1"/>
  <c r="D74" i="278"/>
  <c r="C74" i="278"/>
  <c r="B74" i="278"/>
  <c r="F73" i="278"/>
  <c r="G73" i="278" s="1"/>
  <c r="D73" i="278"/>
  <c r="C73" i="278"/>
  <c r="B73" i="278"/>
  <c r="F72" i="278"/>
  <c r="G72" i="278" s="1"/>
  <c r="D72" i="278"/>
  <c r="C72" i="278"/>
  <c r="B72" i="278"/>
  <c r="F71" i="278"/>
  <c r="G71" i="278" s="1"/>
  <c r="D71" i="278"/>
  <c r="C71" i="278"/>
  <c r="B71" i="278"/>
  <c r="F70" i="278"/>
  <c r="G70" i="278" s="1"/>
  <c r="D70" i="278"/>
  <c r="C70" i="278"/>
  <c r="B70" i="278"/>
  <c r="F69" i="278"/>
  <c r="G69" i="278" s="1"/>
  <c r="D69" i="278"/>
  <c r="C69" i="278"/>
  <c r="B69" i="278"/>
  <c r="C68" i="278"/>
  <c r="C649" i="278" s="1"/>
  <c r="F66" i="278"/>
  <c r="G66" i="278" s="1"/>
  <c r="D66" i="278"/>
  <c r="C66" i="278"/>
  <c r="B66" i="278"/>
  <c r="F65" i="278"/>
  <c r="G65" i="278" s="1"/>
  <c r="D65" i="278"/>
  <c r="C65" i="278"/>
  <c r="B65" i="278"/>
  <c r="F64" i="278"/>
  <c r="G64" i="278" s="1"/>
  <c r="D64" i="278"/>
  <c r="C64" i="278"/>
  <c r="B64" i="278"/>
  <c r="F63" i="278"/>
  <c r="G63" i="278" s="1"/>
  <c r="D63" i="278"/>
  <c r="C63" i="278"/>
  <c r="B63" i="278"/>
  <c r="F62" i="278"/>
  <c r="G62" i="278" s="1"/>
  <c r="D62" i="278"/>
  <c r="C62" i="278"/>
  <c r="B62" i="278"/>
  <c r="C61" i="278"/>
  <c r="C648" i="278" s="1"/>
  <c r="F58" i="278"/>
  <c r="G58" i="278" s="1"/>
  <c r="D58" i="278"/>
  <c r="C58" i="278"/>
  <c r="B58" i="278"/>
  <c r="F57" i="278"/>
  <c r="G57" i="278" s="1"/>
  <c r="D57" i="278"/>
  <c r="C57" i="278"/>
  <c r="B57" i="278"/>
  <c r="D56" i="278"/>
  <c r="C56" i="278"/>
  <c r="B56" i="278"/>
  <c r="F55" i="278"/>
  <c r="G55" i="278" s="1"/>
  <c r="D55" i="278"/>
  <c r="C55" i="278"/>
  <c r="B55" i="278"/>
  <c r="F54" i="278"/>
  <c r="G54" i="278" s="1"/>
  <c r="C54" i="278"/>
  <c r="B54" i="278"/>
  <c r="F53" i="278"/>
  <c r="G53" i="278" s="1"/>
  <c r="D53" i="278"/>
  <c r="C53" i="278"/>
  <c r="B53" i="278"/>
  <c r="F52" i="278"/>
  <c r="G52" i="278" s="1"/>
  <c r="D52" i="278"/>
  <c r="C52" i="278"/>
  <c r="B52" i="278"/>
  <c r="F51" i="278"/>
  <c r="G51" i="278" s="1"/>
  <c r="D51" i="278"/>
  <c r="C51" i="278"/>
  <c r="B51" i="278"/>
  <c r="C50" i="278"/>
  <c r="C647" i="278" s="1"/>
  <c r="F48" i="278"/>
  <c r="G48" i="278" s="1"/>
  <c r="D48" i="278"/>
  <c r="C48" i="278"/>
  <c r="B48" i="278"/>
  <c r="F47" i="278"/>
  <c r="G47" i="278" s="1"/>
  <c r="D47" i="278"/>
  <c r="C47" i="278"/>
  <c r="B47" i="278"/>
  <c r="F46" i="278"/>
  <c r="G46" i="278" s="1"/>
  <c r="D46" i="278"/>
  <c r="C46" i="278"/>
  <c r="B46" i="278"/>
  <c r="G342" i="278"/>
  <c r="D342" i="278"/>
  <c r="C342" i="278"/>
  <c r="B342" i="278"/>
  <c r="G341" i="278"/>
  <c r="D341" i="278"/>
  <c r="C341" i="278"/>
  <c r="B341" i="278"/>
  <c r="G340" i="278"/>
  <c r="H342" i="278" s="1"/>
  <c r="D663" i="278" s="1"/>
  <c r="D340" i="278"/>
  <c r="C340" i="278"/>
  <c r="B340" i="278"/>
  <c r="F45" i="278"/>
  <c r="G45" i="278" s="1"/>
  <c r="D45" i="278"/>
  <c r="C45" i="278"/>
  <c r="B45" i="278"/>
  <c r="F44" i="278"/>
  <c r="G44" i="278" s="1"/>
  <c r="D44" i="278"/>
  <c r="C44" i="278"/>
  <c r="B44" i="278"/>
  <c r="F43" i="278"/>
  <c r="G43" i="278" s="1"/>
  <c r="D43" i="278"/>
  <c r="C43" i="278"/>
  <c r="B43" i="278"/>
  <c r="F42" i="278"/>
  <c r="G42" i="278" s="1"/>
  <c r="D42" i="278"/>
  <c r="C42" i="278"/>
  <c r="B42" i="278"/>
  <c r="F41" i="278"/>
  <c r="G41" i="278" s="1"/>
  <c r="D41" i="278"/>
  <c r="C41" i="278"/>
  <c r="B41" i="278"/>
  <c r="F40" i="278"/>
  <c r="G40" i="278" s="1"/>
  <c r="D40" i="278"/>
  <c r="C40" i="278"/>
  <c r="B40" i="278"/>
  <c r="F39" i="278"/>
  <c r="G39" i="278" s="1"/>
  <c r="D39" i="278"/>
  <c r="C39" i="278"/>
  <c r="B39" i="278"/>
  <c r="C38" i="278"/>
  <c r="C646" i="278" s="1"/>
  <c r="F36" i="278"/>
  <c r="G36" i="278" s="1"/>
  <c r="D36" i="278"/>
  <c r="C36" i="278"/>
  <c r="B36" i="278"/>
  <c r="F34" i="278"/>
  <c r="G34" i="278" s="1"/>
  <c r="D34" i="278"/>
  <c r="C34" i="278"/>
  <c r="B34" i="278"/>
  <c r="C33" i="278"/>
  <c r="C645" i="278" s="1"/>
  <c r="F31" i="278"/>
  <c r="G31" i="278" s="1"/>
  <c r="D31" i="278"/>
  <c r="C31" i="278"/>
  <c r="B31" i="278"/>
  <c r="F30" i="278"/>
  <c r="G30" i="278" s="1"/>
  <c r="D30" i="278"/>
  <c r="C30" i="278"/>
  <c r="B30" i="278"/>
  <c r="F28" i="278"/>
  <c r="G28" i="278" s="1"/>
  <c r="D28" i="278"/>
  <c r="C28" i="278"/>
  <c r="B28" i="278"/>
  <c r="C27" i="278"/>
  <c r="C644" i="278" s="1"/>
  <c r="F25" i="278"/>
  <c r="G25" i="278" s="1"/>
  <c r="D25" i="278"/>
  <c r="C25" i="278"/>
  <c r="B25" i="278"/>
  <c r="F24" i="278"/>
  <c r="G24" i="278" s="1"/>
  <c r="D24" i="278"/>
  <c r="C24" i="278"/>
  <c r="B24" i="278"/>
  <c r="F23" i="278"/>
  <c r="G23" i="278" s="1"/>
  <c r="D23" i="278"/>
  <c r="C23" i="278"/>
  <c r="B23" i="278"/>
  <c r="F22" i="278"/>
  <c r="G22" i="278" s="1"/>
  <c r="D22" i="278"/>
  <c r="C22" i="278"/>
  <c r="B22" i="278"/>
  <c r="F21" i="278"/>
  <c r="G21" i="278" s="1"/>
  <c r="D21" i="278"/>
  <c r="C21" i="278"/>
  <c r="B21" i="278"/>
  <c r="F20" i="278"/>
  <c r="G20" i="278" s="1"/>
  <c r="D20" i="278"/>
  <c r="C20" i="278"/>
  <c r="B20" i="278"/>
  <c r="F18" i="278"/>
  <c r="G18" i="278" s="1"/>
  <c r="D18" i="278"/>
  <c r="C18" i="278"/>
  <c r="B18" i="278"/>
  <c r="F17" i="278"/>
  <c r="G17" i="278" s="1"/>
  <c r="D17" i="278"/>
  <c r="C17" i="278"/>
  <c r="B17" i="278"/>
  <c r="F16" i="278"/>
  <c r="G16" i="278" s="1"/>
  <c r="D16" i="278"/>
  <c r="C16" i="278"/>
  <c r="B16" i="278"/>
  <c r="F15" i="278"/>
  <c r="G15" i="278" s="1"/>
  <c r="D15" i="278"/>
  <c r="C15" i="278"/>
  <c r="B15" i="278"/>
  <c r="F14" i="278"/>
  <c r="G14" i="278" s="1"/>
  <c r="D14" i="278"/>
  <c r="C14" i="278"/>
  <c r="B14" i="278"/>
  <c r="F13" i="278"/>
  <c r="G13" i="278" s="1"/>
  <c r="D13" i="278"/>
  <c r="C13" i="278"/>
  <c r="B13" i="278"/>
  <c r="F12" i="278"/>
  <c r="G12" i="278" s="1"/>
  <c r="D12" i="278"/>
  <c r="C12" i="278"/>
  <c r="B12" i="278"/>
  <c r="F11" i="278"/>
  <c r="G11" i="278" s="1"/>
  <c r="D11" i="278"/>
  <c r="C11" i="278"/>
  <c r="B11" i="278"/>
  <c r="F10" i="278"/>
  <c r="G10" i="278" s="1"/>
  <c r="D10" i="278"/>
  <c r="C10" i="278"/>
  <c r="B10" i="278"/>
  <c r="F9" i="278"/>
  <c r="G9" i="278" s="1"/>
  <c r="D9" i="278"/>
  <c r="C9" i="278"/>
  <c r="B9" i="278"/>
  <c r="C8" i="278"/>
  <c r="C643" i="278" s="1"/>
  <c r="B15" i="276"/>
  <c r="C15" i="276"/>
  <c r="D15" i="276"/>
  <c r="F15" i="276"/>
  <c r="G15" i="276" s="1"/>
  <c r="G505" i="276"/>
  <c r="G506" i="276"/>
  <c r="G507" i="276"/>
  <c r="G508" i="276"/>
  <c r="G530" i="276"/>
  <c r="G531" i="276"/>
  <c r="G532" i="276"/>
  <c r="G540" i="276"/>
  <c r="G541" i="276"/>
  <c r="G542" i="276"/>
  <c r="G552" i="276"/>
  <c r="G553" i="276"/>
  <c r="G554" i="276"/>
  <c r="G562" i="276"/>
  <c r="G563" i="276"/>
  <c r="G564" i="276"/>
  <c r="G593" i="276"/>
  <c r="G594" i="276"/>
  <c r="G600" i="276"/>
  <c r="G601" i="276"/>
  <c r="G606" i="276"/>
  <c r="G607" i="276"/>
  <c r="G608" i="276"/>
  <c r="G620" i="276"/>
  <c r="G621" i="276"/>
  <c r="G623" i="276"/>
  <c r="G624" i="276"/>
  <c r="G625" i="276"/>
  <c r="G642" i="276"/>
  <c r="G643" i="276"/>
  <c r="G644" i="276"/>
  <c r="G649" i="276"/>
  <c r="G650" i="276"/>
  <c r="G651" i="276"/>
  <c r="G667" i="276"/>
  <c r="G668" i="276"/>
  <c r="G669" i="276"/>
  <c r="G681" i="276"/>
  <c r="G682" i="276"/>
  <c r="G683" i="276"/>
  <c r="G690" i="276"/>
  <c r="G691" i="276"/>
  <c r="G692" i="276"/>
  <c r="G708" i="276"/>
  <c r="G709" i="276"/>
  <c r="G710" i="276"/>
  <c r="G715" i="276"/>
  <c r="G716" i="276"/>
  <c r="G717" i="276"/>
  <c r="G726" i="276"/>
  <c r="G727" i="276"/>
  <c r="G728" i="276"/>
  <c r="G743" i="276"/>
  <c r="G744" i="276"/>
  <c r="G745" i="276"/>
  <c r="G753" i="276"/>
  <c r="G754" i="276"/>
  <c r="G755" i="276"/>
  <c r="G765" i="276"/>
  <c r="G766" i="276"/>
  <c r="G767" i="276"/>
  <c r="G779" i="276"/>
  <c r="G780" i="276"/>
  <c r="G781" i="276"/>
  <c r="G782" i="276"/>
  <c r="G783" i="276"/>
  <c r="G793" i="276"/>
  <c r="G794" i="276"/>
  <c r="G795" i="276"/>
  <c r="G796" i="276"/>
  <c r="G814" i="276"/>
  <c r="G815" i="276"/>
  <c r="G816" i="276"/>
  <c r="G817" i="276"/>
  <c r="G818" i="276"/>
  <c r="D479" i="276"/>
  <c r="D480" i="276"/>
  <c r="D481" i="276"/>
  <c r="D482" i="276"/>
  <c r="D483" i="276"/>
  <c r="B479" i="276"/>
  <c r="C479" i="276"/>
  <c r="F479" i="276"/>
  <c r="G479" i="276" s="1"/>
  <c r="B480" i="276"/>
  <c r="C480" i="276"/>
  <c r="F480" i="276"/>
  <c r="B481" i="276"/>
  <c r="C481" i="276"/>
  <c r="F481" i="276"/>
  <c r="G481" i="276" s="1"/>
  <c r="B482" i="276"/>
  <c r="C482" i="276"/>
  <c r="F482" i="276"/>
  <c r="G482" i="276" s="1"/>
  <c r="B483" i="276"/>
  <c r="C483" i="276"/>
  <c r="F483" i="276"/>
  <c r="G483" i="276" s="1"/>
  <c r="B479" i="267"/>
  <c r="C479" i="267"/>
  <c r="D479" i="267"/>
  <c r="E479" i="267"/>
  <c r="F479" i="267"/>
  <c r="G479" i="267"/>
  <c r="B480" i="267"/>
  <c r="C480" i="267"/>
  <c r="D480" i="267"/>
  <c r="E480" i="267"/>
  <c r="F480" i="267"/>
  <c r="G480" i="267"/>
  <c r="B481" i="267"/>
  <c r="C481" i="267"/>
  <c r="D481" i="267"/>
  <c r="E481" i="267"/>
  <c r="F481" i="267"/>
  <c r="G481" i="267"/>
  <c r="B482" i="267"/>
  <c r="C482" i="267"/>
  <c r="D482" i="267"/>
  <c r="E482" i="267"/>
  <c r="F482" i="267"/>
  <c r="G482" i="267"/>
  <c r="B483" i="267"/>
  <c r="C483" i="267"/>
  <c r="D483" i="267"/>
  <c r="E483" i="267"/>
  <c r="F483" i="267"/>
  <c r="G483" i="267"/>
  <c r="F7" i="253"/>
  <c r="F8" i="253"/>
  <c r="F9" i="253"/>
  <c r="F10" i="253"/>
  <c r="F11" i="253"/>
  <c r="D82" i="276"/>
  <c r="F828" i="276"/>
  <c r="G828" i="276" s="1"/>
  <c r="D828" i="276"/>
  <c r="C828" i="276"/>
  <c r="B828" i="276"/>
  <c r="F827" i="276"/>
  <c r="G827" i="276" s="1"/>
  <c r="D827" i="276"/>
  <c r="C827" i="276"/>
  <c r="B827" i="276"/>
  <c r="F826" i="276"/>
  <c r="G826" i="276" s="1"/>
  <c r="D826" i="276"/>
  <c r="C826" i="276"/>
  <c r="B826" i="276"/>
  <c r="F825" i="276"/>
  <c r="G825" i="276" s="1"/>
  <c r="D825" i="276"/>
  <c r="C825" i="276"/>
  <c r="B825" i="276"/>
  <c r="F824" i="276"/>
  <c r="G824" i="276" s="1"/>
  <c r="D824" i="276"/>
  <c r="C824" i="276"/>
  <c r="B824" i="276"/>
  <c r="F823" i="276"/>
  <c r="G823" i="276" s="1"/>
  <c r="D823" i="276"/>
  <c r="C823" i="276"/>
  <c r="B823" i="276"/>
  <c r="F822" i="276"/>
  <c r="G822" i="276" s="1"/>
  <c r="D822" i="276"/>
  <c r="C822" i="276"/>
  <c r="B822" i="276"/>
  <c r="F821" i="276"/>
  <c r="G821" i="276" s="1"/>
  <c r="D821" i="276"/>
  <c r="C821" i="276"/>
  <c r="B821" i="276"/>
  <c r="F820" i="276"/>
  <c r="G820" i="276" s="1"/>
  <c r="D820" i="276"/>
  <c r="C820" i="276"/>
  <c r="B820" i="276"/>
  <c r="F819" i="276"/>
  <c r="G819" i="276" s="1"/>
  <c r="D819" i="276"/>
  <c r="C819" i="276"/>
  <c r="B819" i="276"/>
  <c r="C818" i="276"/>
  <c r="F813" i="276"/>
  <c r="G813" i="276" s="1"/>
  <c r="D813" i="276"/>
  <c r="C813" i="276"/>
  <c r="B813" i="276"/>
  <c r="F812" i="276"/>
  <c r="G812" i="276" s="1"/>
  <c r="D812" i="276"/>
  <c r="C812" i="276"/>
  <c r="B812" i="276"/>
  <c r="F811" i="276"/>
  <c r="G811" i="276" s="1"/>
  <c r="D811" i="276"/>
  <c r="C811" i="276"/>
  <c r="B811" i="276"/>
  <c r="F810" i="276"/>
  <c r="G810" i="276" s="1"/>
  <c r="D810" i="276"/>
  <c r="C810" i="276"/>
  <c r="B810" i="276"/>
  <c r="F809" i="276"/>
  <c r="G809" i="276" s="1"/>
  <c r="D809" i="276"/>
  <c r="C809" i="276"/>
  <c r="B809" i="276"/>
  <c r="F808" i="276"/>
  <c r="G808" i="276" s="1"/>
  <c r="D808" i="276"/>
  <c r="C808" i="276"/>
  <c r="B808" i="276"/>
  <c r="F807" i="276"/>
  <c r="G807" i="276" s="1"/>
  <c r="D807" i="276"/>
  <c r="C807" i="276"/>
  <c r="B807" i="276"/>
  <c r="F806" i="276"/>
  <c r="G806" i="276" s="1"/>
  <c r="D806" i="276"/>
  <c r="C806" i="276"/>
  <c r="B806" i="276"/>
  <c r="F805" i="276"/>
  <c r="G805" i="276" s="1"/>
  <c r="D805" i="276"/>
  <c r="C805" i="276"/>
  <c r="B805" i="276"/>
  <c r="F804" i="276"/>
  <c r="G804" i="276" s="1"/>
  <c r="D804" i="276"/>
  <c r="C804" i="276"/>
  <c r="B804" i="276"/>
  <c r="F803" i="276"/>
  <c r="G803" i="276" s="1"/>
  <c r="D803" i="276"/>
  <c r="C803" i="276"/>
  <c r="B803" i="276"/>
  <c r="D802" i="276"/>
  <c r="C802" i="276"/>
  <c r="B802" i="276"/>
  <c r="F801" i="276"/>
  <c r="G801" i="276" s="1"/>
  <c r="D801" i="276"/>
  <c r="C801" i="276"/>
  <c r="B801" i="276"/>
  <c r="F800" i="276"/>
  <c r="G800" i="276" s="1"/>
  <c r="D800" i="276"/>
  <c r="C800" i="276"/>
  <c r="B800" i="276"/>
  <c r="F799" i="276"/>
  <c r="G799" i="276" s="1"/>
  <c r="D799" i="276"/>
  <c r="C799" i="276"/>
  <c r="B799" i="276"/>
  <c r="F798" i="276"/>
  <c r="G798" i="276" s="1"/>
  <c r="D798" i="276"/>
  <c r="C798" i="276"/>
  <c r="B798" i="276"/>
  <c r="F797" i="276"/>
  <c r="G797" i="276" s="1"/>
  <c r="D797" i="276"/>
  <c r="C797" i="276"/>
  <c r="B797" i="276"/>
  <c r="C796" i="276"/>
  <c r="F792" i="276"/>
  <c r="G792" i="276" s="1"/>
  <c r="D792" i="276"/>
  <c r="C792" i="276"/>
  <c r="B792" i="276"/>
  <c r="F791" i="276"/>
  <c r="G791" i="276" s="1"/>
  <c r="D791" i="276"/>
  <c r="C791" i="276"/>
  <c r="B791" i="276"/>
  <c r="F790" i="276"/>
  <c r="G790" i="276" s="1"/>
  <c r="D790" i="276"/>
  <c r="C790" i="276"/>
  <c r="B790" i="276"/>
  <c r="F789" i="276"/>
  <c r="G789" i="276" s="1"/>
  <c r="D789" i="276"/>
  <c r="C789" i="276"/>
  <c r="B789" i="276"/>
  <c r="F788" i="276"/>
  <c r="G788" i="276" s="1"/>
  <c r="D788" i="276"/>
  <c r="C788" i="276"/>
  <c r="B788" i="276"/>
  <c r="F787" i="276"/>
  <c r="G787" i="276" s="1"/>
  <c r="D787" i="276"/>
  <c r="C787" i="276"/>
  <c r="B787" i="276"/>
  <c r="F786" i="276"/>
  <c r="G786" i="276" s="1"/>
  <c r="D786" i="276"/>
  <c r="C786" i="276"/>
  <c r="B786" i="276"/>
  <c r="F785" i="276"/>
  <c r="G785" i="276" s="1"/>
  <c r="D785" i="276"/>
  <c r="C785" i="276"/>
  <c r="B785" i="276"/>
  <c r="F784" i="276"/>
  <c r="G784" i="276" s="1"/>
  <c r="D784" i="276"/>
  <c r="C784" i="276"/>
  <c r="B784" i="276"/>
  <c r="C783" i="276"/>
  <c r="F778" i="276"/>
  <c r="G778" i="276" s="1"/>
  <c r="D778" i="276"/>
  <c r="C778" i="276"/>
  <c r="B778" i="276"/>
  <c r="F777" i="276"/>
  <c r="G777" i="276" s="1"/>
  <c r="D777" i="276"/>
  <c r="C777" i="276"/>
  <c r="B777" i="276"/>
  <c r="F776" i="276"/>
  <c r="G776" i="276" s="1"/>
  <c r="D776" i="276"/>
  <c r="C776" i="276"/>
  <c r="B776" i="276"/>
  <c r="F775" i="276"/>
  <c r="G775" i="276" s="1"/>
  <c r="D775" i="276"/>
  <c r="C775" i="276"/>
  <c r="B775" i="276"/>
  <c r="F774" i="276"/>
  <c r="G774" i="276" s="1"/>
  <c r="D774" i="276"/>
  <c r="C774" i="276"/>
  <c r="B774" i="276"/>
  <c r="F773" i="276"/>
  <c r="G773" i="276" s="1"/>
  <c r="D773" i="276"/>
  <c r="C773" i="276"/>
  <c r="B773" i="276"/>
  <c r="F772" i="276"/>
  <c r="G772" i="276" s="1"/>
  <c r="D772" i="276"/>
  <c r="C772" i="276"/>
  <c r="B772" i="276"/>
  <c r="F771" i="276"/>
  <c r="G771" i="276" s="1"/>
  <c r="D771" i="276"/>
  <c r="C771" i="276"/>
  <c r="B771" i="276"/>
  <c r="F770" i="276"/>
  <c r="G770" i="276" s="1"/>
  <c r="D770" i="276"/>
  <c r="C770" i="276"/>
  <c r="B770" i="276"/>
  <c r="F769" i="276"/>
  <c r="G769" i="276" s="1"/>
  <c r="D769" i="276"/>
  <c r="C769" i="276"/>
  <c r="B769" i="276"/>
  <c r="F768" i="276"/>
  <c r="G768" i="276" s="1"/>
  <c r="D768" i="276"/>
  <c r="C768" i="276"/>
  <c r="B768" i="276"/>
  <c r="C767" i="276"/>
  <c r="F764" i="276"/>
  <c r="G764" i="276" s="1"/>
  <c r="D764" i="276"/>
  <c r="C764" i="276"/>
  <c r="B764" i="276"/>
  <c r="F763" i="276"/>
  <c r="G763" i="276" s="1"/>
  <c r="D763" i="276"/>
  <c r="C763" i="276"/>
  <c r="B763" i="276"/>
  <c r="F762" i="276"/>
  <c r="G762" i="276" s="1"/>
  <c r="D762" i="276"/>
  <c r="C762" i="276"/>
  <c r="B762" i="276"/>
  <c r="F761" i="276"/>
  <c r="G761" i="276" s="1"/>
  <c r="D761" i="276"/>
  <c r="C761" i="276"/>
  <c r="B761" i="276"/>
  <c r="F760" i="276"/>
  <c r="G760" i="276" s="1"/>
  <c r="D760" i="276"/>
  <c r="C760" i="276"/>
  <c r="B760" i="276"/>
  <c r="F759" i="276"/>
  <c r="G759" i="276" s="1"/>
  <c r="D759" i="276"/>
  <c r="C759" i="276"/>
  <c r="B759" i="276"/>
  <c r="F758" i="276"/>
  <c r="G758" i="276" s="1"/>
  <c r="D758" i="276"/>
  <c r="C758" i="276"/>
  <c r="B758" i="276"/>
  <c r="F757" i="276"/>
  <c r="G757" i="276" s="1"/>
  <c r="D757" i="276"/>
  <c r="C757" i="276"/>
  <c r="B757" i="276"/>
  <c r="D756" i="276"/>
  <c r="C756" i="276"/>
  <c r="B756" i="276"/>
  <c r="C755" i="276"/>
  <c r="F752" i="276"/>
  <c r="G752" i="276" s="1"/>
  <c r="D752" i="276"/>
  <c r="C752" i="276"/>
  <c r="B752" i="276"/>
  <c r="F751" i="276"/>
  <c r="G751" i="276" s="1"/>
  <c r="D751" i="276"/>
  <c r="C751" i="276"/>
  <c r="B751" i="276"/>
  <c r="F750" i="276"/>
  <c r="G750" i="276" s="1"/>
  <c r="D750" i="276"/>
  <c r="C750" i="276"/>
  <c r="B750" i="276"/>
  <c r="F749" i="276"/>
  <c r="G749" i="276" s="1"/>
  <c r="D749" i="276"/>
  <c r="C749" i="276"/>
  <c r="B749" i="276"/>
  <c r="F748" i="276"/>
  <c r="G748" i="276" s="1"/>
  <c r="D748" i="276"/>
  <c r="C748" i="276"/>
  <c r="B748" i="276"/>
  <c r="F747" i="276"/>
  <c r="G747" i="276" s="1"/>
  <c r="D747" i="276"/>
  <c r="C747" i="276"/>
  <c r="B747" i="276"/>
  <c r="F746" i="276"/>
  <c r="G746" i="276" s="1"/>
  <c r="D746" i="276"/>
  <c r="C746" i="276"/>
  <c r="B746" i="276"/>
  <c r="C745" i="276"/>
  <c r="F742" i="276"/>
  <c r="G742" i="276" s="1"/>
  <c r="D742" i="276"/>
  <c r="C742" i="276"/>
  <c r="B742" i="276"/>
  <c r="F741" i="276"/>
  <c r="G741" i="276" s="1"/>
  <c r="D741" i="276"/>
  <c r="C741" i="276"/>
  <c r="B741" i="276"/>
  <c r="F740" i="276"/>
  <c r="G740" i="276" s="1"/>
  <c r="D740" i="276"/>
  <c r="C740" i="276"/>
  <c r="B740" i="276"/>
  <c r="F739" i="276"/>
  <c r="G739" i="276" s="1"/>
  <c r="D739" i="276"/>
  <c r="C739" i="276"/>
  <c r="B739" i="276"/>
  <c r="F738" i="276"/>
  <c r="G738" i="276" s="1"/>
  <c r="D738" i="276"/>
  <c r="C738" i="276"/>
  <c r="B738" i="276"/>
  <c r="F737" i="276"/>
  <c r="G737" i="276" s="1"/>
  <c r="D737" i="276"/>
  <c r="C737" i="276"/>
  <c r="B737" i="276"/>
  <c r="F736" i="276"/>
  <c r="G736" i="276" s="1"/>
  <c r="D736" i="276"/>
  <c r="C736" i="276"/>
  <c r="B736" i="276"/>
  <c r="F735" i="276"/>
  <c r="G735" i="276" s="1"/>
  <c r="D735" i="276"/>
  <c r="C735" i="276"/>
  <c r="B735" i="276"/>
  <c r="F734" i="276"/>
  <c r="G734" i="276" s="1"/>
  <c r="D734" i="276"/>
  <c r="C734" i="276"/>
  <c r="B734" i="276"/>
  <c r="F733" i="276"/>
  <c r="G733" i="276" s="1"/>
  <c r="D733" i="276"/>
  <c r="C733" i="276"/>
  <c r="B733" i="276"/>
  <c r="F732" i="276"/>
  <c r="G732" i="276" s="1"/>
  <c r="D732" i="276"/>
  <c r="C732" i="276"/>
  <c r="B732" i="276"/>
  <c r="F731" i="276"/>
  <c r="G731" i="276" s="1"/>
  <c r="D731" i="276"/>
  <c r="C731" i="276"/>
  <c r="B731" i="276"/>
  <c r="F730" i="276"/>
  <c r="G730" i="276" s="1"/>
  <c r="D730" i="276"/>
  <c r="C730" i="276"/>
  <c r="B730" i="276"/>
  <c r="F729" i="276"/>
  <c r="G729" i="276" s="1"/>
  <c r="D729" i="276"/>
  <c r="C729" i="276"/>
  <c r="B729" i="276"/>
  <c r="C728" i="276"/>
  <c r="F725" i="276"/>
  <c r="G725" i="276" s="1"/>
  <c r="D725" i="276"/>
  <c r="C725" i="276"/>
  <c r="B725" i="276"/>
  <c r="F724" i="276"/>
  <c r="G724" i="276" s="1"/>
  <c r="D724" i="276"/>
  <c r="C724" i="276"/>
  <c r="B724" i="276"/>
  <c r="F723" i="276"/>
  <c r="G723" i="276" s="1"/>
  <c r="D723" i="276"/>
  <c r="C723" i="276"/>
  <c r="B723" i="276"/>
  <c r="F722" i="276"/>
  <c r="G722" i="276" s="1"/>
  <c r="D722" i="276"/>
  <c r="C722" i="276"/>
  <c r="B722" i="276"/>
  <c r="F721" i="276"/>
  <c r="G721" i="276" s="1"/>
  <c r="D721" i="276"/>
  <c r="C721" i="276"/>
  <c r="B721" i="276"/>
  <c r="F720" i="276"/>
  <c r="G720" i="276" s="1"/>
  <c r="D720" i="276"/>
  <c r="C720" i="276"/>
  <c r="B720" i="276"/>
  <c r="F719" i="276"/>
  <c r="G719" i="276" s="1"/>
  <c r="D719" i="276"/>
  <c r="C719" i="276"/>
  <c r="B719" i="276"/>
  <c r="F718" i="276"/>
  <c r="G718" i="276" s="1"/>
  <c r="D718" i="276"/>
  <c r="C718" i="276"/>
  <c r="B718" i="276"/>
  <c r="C717" i="276"/>
  <c r="F714" i="276"/>
  <c r="G714" i="276" s="1"/>
  <c r="D714" i="276"/>
  <c r="C714" i="276"/>
  <c r="B714" i="276"/>
  <c r="F713" i="276"/>
  <c r="G713" i="276" s="1"/>
  <c r="D713" i="276"/>
  <c r="C713" i="276"/>
  <c r="B713" i="276"/>
  <c r="F712" i="276"/>
  <c r="G712" i="276" s="1"/>
  <c r="D712" i="276"/>
  <c r="C712" i="276"/>
  <c r="B712" i="276"/>
  <c r="F711" i="276"/>
  <c r="G711" i="276" s="1"/>
  <c r="D711" i="276"/>
  <c r="C711" i="276"/>
  <c r="B711" i="276"/>
  <c r="C710" i="276"/>
  <c r="F707" i="276"/>
  <c r="G707" i="276" s="1"/>
  <c r="D707" i="276"/>
  <c r="C707" i="276"/>
  <c r="B707" i="276"/>
  <c r="D706" i="276"/>
  <c r="B706" i="276"/>
  <c r="F705" i="276"/>
  <c r="G705" i="276" s="1"/>
  <c r="D705" i="276"/>
  <c r="C705" i="276"/>
  <c r="B705" i="276"/>
  <c r="F704" i="276"/>
  <c r="G704" i="276" s="1"/>
  <c r="D704" i="276"/>
  <c r="C704" i="276"/>
  <c r="B704" i="276"/>
  <c r="F703" i="276"/>
  <c r="G703" i="276" s="1"/>
  <c r="D703" i="276"/>
  <c r="C703" i="276"/>
  <c r="B703" i="276"/>
  <c r="F702" i="276"/>
  <c r="G702" i="276" s="1"/>
  <c r="D702" i="276"/>
  <c r="C702" i="276"/>
  <c r="B702" i="276"/>
  <c r="F701" i="276"/>
  <c r="G701" i="276" s="1"/>
  <c r="D701" i="276"/>
  <c r="C701" i="276"/>
  <c r="B701" i="276"/>
  <c r="F700" i="276"/>
  <c r="G700" i="276" s="1"/>
  <c r="D700" i="276"/>
  <c r="C700" i="276"/>
  <c r="B700" i="276"/>
  <c r="F699" i="276"/>
  <c r="G699" i="276" s="1"/>
  <c r="D699" i="276"/>
  <c r="C699" i="276"/>
  <c r="B699" i="276"/>
  <c r="F698" i="276"/>
  <c r="G698" i="276" s="1"/>
  <c r="D698" i="276"/>
  <c r="C698" i="276"/>
  <c r="B698" i="276"/>
  <c r="F697" i="276"/>
  <c r="G697" i="276" s="1"/>
  <c r="D697" i="276"/>
  <c r="C697" i="276"/>
  <c r="B697" i="276"/>
  <c r="F696" i="276"/>
  <c r="G696" i="276" s="1"/>
  <c r="D696" i="276"/>
  <c r="C696" i="276"/>
  <c r="B696" i="276"/>
  <c r="F695" i="276"/>
  <c r="G695" i="276" s="1"/>
  <c r="D695" i="276"/>
  <c r="C695" i="276"/>
  <c r="B695" i="276"/>
  <c r="F694" i="276"/>
  <c r="G694" i="276" s="1"/>
  <c r="D694" i="276"/>
  <c r="C694" i="276"/>
  <c r="B694" i="276"/>
  <c r="F693" i="276"/>
  <c r="G693" i="276" s="1"/>
  <c r="D693" i="276"/>
  <c r="C693" i="276"/>
  <c r="B693" i="276"/>
  <c r="C692" i="276"/>
  <c r="F689" i="276"/>
  <c r="G689" i="276" s="1"/>
  <c r="D689" i="276"/>
  <c r="C689" i="276"/>
  <c r="B689" i="276"/>
  <c r="F688" i="276"/>
  <c r="G688" i="276" s="1"/>
  <c r="D688" i="276"/>
  <c r="C688" i="276"/>
  <c r="B688" i="276"/>
  <c r="F687" i="276"/>
  <c r="G687" i="276" s="1"/>
  <c r="D687" i="276"/>
  <c r="C687" i="276"/>
  <c r="B687" i="276"/>
  <c r="F686" i="276"/>
  <c r="G686" i="276" s="1"/>
  <c r="D686" i="276"/>
  <c r="C686" i="276"/>
  <c r="B686" i="276"/>
  <c r="F685" i="276"/>
  <c r="G685" i="276" s="1"/>
  <c r="D685" i="276"/>
  <c r="C685" i="276"/>
  <c r="B685" i="276"/>
  <c r="F684" i="276"/>
  <c r="G684" i="276" s="1"/>
  <c r="D684" i="276"/>
  <c r="C684" i="276"/>
  <c r="B684" i="276"/>
  <c r="C683" i="276"/>
  <c r="F680" i="276"/>
  <c r="G680" i="276" s="1"/>
  <c r="D680" i="276"/>
  <c r="C680" i="276"/>
  <c r="B680" i="276"/>
  <c r="F679" i="276"/>
  <c r="G679" i="276" s="1"/>
  <c r="D679" i="276"/>
  <c r="C679" i="276"/>
  <c r="B679" i="276"/>
  <c r="F678" i="276"/>
  <c r="G678" i="276" s="1"/>
  <c r="D678" i="276"/>
  <c r="C678" i="276"/>
  <c r="B678" i="276"/>
  <c r="F677" i="276"/>
  <c r="G677" i="276" s="1"/>
  <c r="D677" i="276"/>
  <c r="C677" i="276"/>
  <c r="B677" i="276"/>
  <c r="F676" i="276"/>
  <c r="G676" i="276" s="1"/>
  <c r="D676" i="276"/>
  <c r="C676" i="276"/>
  <c r="B676" i="276"/>
  <c r="F675" i="276"/>
  <c r="G675" i="276" s="1"/>
  <c r="D675" i="276"/>
  <c r="C675" i="276"/>
  <c r="B675" i="276"/>
  <c r="F674" i="276"/>
  <c r="G674" i="276" s="1"/>
  <c r="D674" i="276"/>
  <c r="C674" i="276"/>
  <c r="B674" i="276"/>
  <c r="F673" i="276"/>
  <c r="G673" i="276" s="1"/>
  <c r="D673" i="276"/>
  <c r="C673" i="276"/>
  <c r="B673" i="276"/>
  <c r="F672" i="276"/>
  <c r="G672" i="276" s="1"/>
  <c r="D672" i="276"/>
  <c r="C672" i="276"/>
  <c r="B672" i="276"/>
  <c r="F671" i="276"/>
  <c r="G671" i="276" s="1"/>
  <c r="D671" i="276"/>
  <c r="C671" i="276"/>
  <c r="B671" i="276"/>
  <c r="F670" i="276"/>
  <c r="G670" i="276" s="1"/>
  <c r="D670" i="276"/>
  <c r="C670" i="276"/>
  <c r="B670" i="276"/>
  <c r="C669" i="276"/>
  <c r="F666" i="276"/>
  <c r="G666" i="276" s="1"/>
  <c r="D666" i="276"/>
  <c r="C666" i="276"/>
  <c r="B666" i="276"/>
  <c r="F665" i="276"/>
  <c r="G665" i="276" s="1"/>
  <c r="D665" i="276"/>
  <c r="C665" i="276"/>
  <c r="B665" i="276"/>
  <c r="F664" i="276"/>
  <c r="G664" i="276" s="1"/>
  <c r="D664" i="276"/>
  <c r="C664" i="276"/>
  <c r="B664" i="276"/>
  <c r="F663" i="276"/>
  <c r="G663" i="276" s="1"/>
  <c r="D663" i="276"/>
  <c r="C663" i="276"/>
  <c r="B663" i="276"/>
  <c r="F662" i="276"/>
  <c r="G662" i="276" s="1"/>
  <c r="D662" i="276"/>
  <c r="C662" i="276"/>
  <c r="B662" i="276"/>
  <c r="F661" i="276"/>
  <c r="G661" i="276" s="1"/>
  <c r="D661" i="276"/>
  <c r="C661" i="276"/>
  <c r="B661" i="276"/>
  <c r="F660" i="276"/>
  <c r="G660" i="276" s="1"/>
  <c r="D660" i="276"/>
  <c r="C660" i="276"/>
  <c r="B660" i="276"/>
  <c r="F659" i="276"/>
  <c r="G659" i="276" s="1"/>
  <c r="D659" i="276"/>
  <c r="C659" i="276"/>
  <c r="B659" i="276"/>
  <c r="F658" i="276"/>
  <c r="G658" i="276" s="1"/>
  <c r="D658" i="276"/>
  <c r="C658" i="276"/>
  <c r="B658" i="276"/>
  <c r="F657" i="276"/>
  <c r="G657" i="276" s="1"/>
  <c r="D657" i="276"/>
  <c r="C657" i="276"/>
  <c r="B657" i="276"/>
  <c r="F656" i="276"/>
  <c r="G656" i="276" s="1"/>
  <c r="D656" i="276"/>
  <c r="C656" i="276"/>
  <c r="B656" i="276"/>
  <c r="F655" i="276"/>
  <c r="G655" i="276" s="1"/>
  <c r="D655" i="276"/>
  <c r="C655" i="276"/>
  <c r="B655" i="276"/>
  <c r="F654" i="276"/>
  <c r="G654" i="276" s="1"/>
  <c r="D654" i="276"/>
  <c r="C654" i="276"/>
  <c r="B654" i="276"/>
  <c r="F653" i="276"/>
  <c r="G653" i="276" s="1"/>
  <c r="D653" i="276"/>
  <c r="C653" i="276"/>
  <c r="B653" i="276"/>
  <c r="F652" i="276"/>
  <c r="G652" i="276" s="1"/>
  <c r="D652" i="276"/>
  <c r="C652" i="276"/>
  <c r="B652" i="276"/>
  <c r="C651" i="276"/>
  <c r="F648" i="276"/>
  <c r="G648" i="276" s="1"/>
  <c r="D648" i="276"/>
  <c r="C648" i="276"/>
  <c r="B648" i="276"/>
  <c r="F647" i="276"/>
  <c r="G647" i="276" s="1"/>
  <c r="D647" i="276"/>
  <c r="C647" i="276"/>
  <c r="B647" i="276"/>
  <c r="F646" i="276"/>
  <c r="G646" i="276" s="1"/>
  <c r="D646" i="276"/>
  <c r="C646" i="276"/>
  <c r="B646" i="276"/>
  <c r="F645" i="276"/>
  <c r="G645" i="276" s="1"/>
  <c r="D645" i="276"/>
  <c r="C645" i="276"/>
  <c r="B645" i="276"/>
  <c r="C644" i="276"/>
  <c r="F641" i="276"/>
  <c r="G641" i="276" s="1"/>
  <c r="D641" i="276"/>
  <c r="C641" i="276"/>
  <c r="B641" i="276"/>
  <c r="F640" i="276"/>
  <c r="G640" i="276" s="1"/>
  <c r="D640" i="276"/>
  <c r="C640" i="276"/>
  <c r="B640" i="276"/>
  <c r="F639" i="276"/>
  <c r="G639" i="276" s="1"/>
  <c r="D639" i="276"/>
  <c r="C639" i="276"/>
  <c r="B639" i="276"/>
  <c r="F638" i="276"/>
  <c r="G638" i="276" s="1"/>
  <c r="D638" i="276"/>
  <c r="C638" i="276"/>
  <c r="B638" i="276"/>
  <c r="F637" i="276"/>
  <c r="G637" i="276" s="1"/>
  <c r="D637" i="276"/>
  <c r="C637" i="276"/>
  <c r="B637" i="276"/>
  <c r="F636" i="276"/>
  <c r="G636" i="276" s="1"/>
  <c r="D636" i="276"/>
  <c r="C636" i="276"/>
  <c r="B636" i="276"/>
  <c r="F635" i="276"/>
  <c r="G635" i="276" s="1"/>
  <c r="D635" i="276"/>
  <c r="C635" i="276"/>
  <c r="B635" i="276"/>
  <c r="F634" i="276"/>
  <c r="G634" i="276" s="1"/>
  <c r="D634" i="276"/>
  <c r="C634" i="276"/>
  <c r="B634" i="276"/>
  <c r="F633" i="276"/>
  <c r="G633" i="276" s="1"/>
  <c r="D633" i="276"/>
  <c r="C633" i="276"/>
  <c r="B633" i="276"/>
  <c r="F632" i="276"/>
  <c r="G632" i="276" s="1"/>
  <c r="D632" i="276"/>
  <c r="C632" i="276"/>
  <c r="B632" i="276"/>
  <c r="F631" i="276"/>
  <c r="G631" i="276" s="1"/>
  <c r="D631" i="276"/>
  <c r="C631" i="276"/>
  <c r="B631" i="276"/>
  <c r="F630" i="276"/>
  <c r="G630" i="276" s="1"/>
  <c r="D630" i="276"/>
  <c r="C630" i="276"/>
  <c r="B630" i="276"/>
  <c r="F629" i="276"/>
  <c r="G629" i="276" s="1"/>
  <c r="D629" i="276"/>
  <c r="C629" i="276"/>
  <c r="B629" i="276"/>
  <c r="F628" i="276"/>
  <c r="G628" i="276" s="1"/>
  <c r="D628" i="276"/>
  <c r="C628" i="276"/>
  <c r="B628" i="276"/>
  <c r="F627" i="276"/>
  <c r="G627" i="276" s="1"/>
  <c r="D627" i="276"/>
  <c r="C627" i="276"/>
  <c r="B627" i="276"/>
  <c r="F626" i="276"/>
  <c r="G626" i="276" s="1"/>
  <c r="D626" i="276"/>
  <c r="C626" i="276"/>
  <c r="B626" i="276"/>
  <c r="C625" i="276"/>
  <c r="F622" i="276"/>
  <c r="G622" i="276" s="1"/>
  <c r="H622" i="276" s="1"/>
  <c r="D622" i="276"/>
  <c r="C622" i="276"/>
  <c r="B622" i="276"/>
  <c r="C621" i="276"/>
  <c r="F619" i="276"/>
  <c r="G619" i="276" s="1"/>
  <c r="D619" i="276"/>
  <c r="C619" i="276"/>
  <c r="B619" i="276"/>
  <c r="F618" i="276"/>
  <c r="G618" i="276" s="1"/>
  <c r="D618" i="276"/>
  <c r="C618" i="276"/>
  <c r="B618" i="276"/>
  <c r="F617" i="276"/>
  <c r="G617" i="276" s="1"/>
  <c r="D617" i="276"/>
  <c r="C617" i="276"/>
  <c r="B617" i="276"/>
  <c r="F616" i="276"/>
  <c r="G616" i="276" s="1"/>
  <c r="D616" i="276"/>
  <c r="C616" i="276"/>
  <c r="B616" i="276"/>
  <c r="F615" i="276"/>
  <c r="G615" i="276" s="1"/>
  <c r="D615" i="276"/>
  <c r="C615" i="276"/>
  <c r="B615" i="276"/>
  <c r="F614" i="276"/>
  <c r="G614" i="276" s="1"/>
  <c r="D614" i="276"/>
  <c r="C614" i="276"/>
  <c r="B614" i="276"/>
  <c r="F613" i="276"/>
  <c r="G613" i="276" s="1"/>
  <c r="D613" i="276"/>
  <c r="C613" i="276"/>
  <c r="B613" i="276"/>
  <c r="F612" i="276"/>
  <c r="G612" i="276" s="1"/>
  <c r="D612" i="276"/>
  <c r="C612" i="276"/>
  <c r="B612" i="276"/>
  <c r="F611" i="276"/>
  <c r="G611" i="276" s="1"/>
  <c r="D611" i="276"/>
  <c r="C611" i="276"/>
  <c r="B611" i="276"/>
  <c r="F610" i="276"/>
  <c r="G610" i="276" s="1"/>
  <c r="D610" i="276"/>
  <c r="C610" i="276"/>
  <c r="B610" i="276"/>
  <c r="F609" i="276"/>
  <c r="G609" i="276" s="1"/>
  <c r="D609" i="276"/>
  <c r="C609" i="276"/>
  <c r="B609" i="276"/>
  <c r="C608" i="276"/>
  <c r="F605" i="276"/>
  <c r="G605" i="276" s="1"/>
  <c r="D605" i="276"/>
  <c r="C605" i="276"/>
  <c r="B605" i="276"/>
  <c r="F604" i="276"/>
  <c r="G604" i="276" s="1"/>
  <c r="D604" i="276"/>
  <c r="C604" i="276"/>
  <c r="B604" i="276"/>
  <c r="F603" i="276"/>
  <c r="G603" i="276" s="1"/>
  <c r="D603" i="276"/>
  <c r="C603" i="276"/>
  <c r="B603" i="276"/>
  <c r="F602" i="276"/>
  <c r="G602" i="276" s="1"/>
  <c r="D602" i="276"/>
  <c r="C602" i="276"/>
  <c r="B602" i="276"/>
  <c r="C601" i="276"/>
  <c r="F599" i="276"/>
  <c r="G599" i="276" s="1"/>
  <c r="D599" i="276"/>
  <c r="C599" i="276"/>
  <c r="B599" i="276"/>
  <c r="F598" i="276"/>
  <c r="G598" i="276" s="1"/>
  <c r="D598" i="276"/>
  <c r="C598" i="276"/>
  <c r="B598" i="276"/>
  <c r="F597" i="276"/>
  <c r="G597" i="276" s="1"/>
  <c r="D597" i="276"/>
  <c r="C597" i="276"/>
  <c r="B597" i="276"/>
  <c r="F596" i="276"/>
  <c r="G596" i="276" s="1"/>
  <c r="D596" i="276"/>
  <c r="C596" i="276"/>
  <c r="B596" i="276"/>
  <c r="F595" i="276"/>
  <c r="G595" i="276" s="1"/>
  <c r="D595" i="276"/>
  <c r="C595" i="276"/>
  <c r="B595" i="276"/>
  <c r="C594" i="276"/>
  <c r="F592" i="276"/>
  <c r="G592" i="276" s="1"/>
  <c r="D592" i="276"/>
  <c r="C592" i="276"/>
  <c r="B592" i="276"/>
  <c r="F591" i="276"/>
  <c r="G591" i="276" s="1"/>
  <c r="D591" i="276"/>
  <c r="C591" i="276"/>
  <c r="B591" i="276"/>
  <c r="F590" i="276"/>
  <c r="G590" i="276" s="1"/>
  <c r="D590" i="276"/>
  <c r="C590" i="276"/>
  <c r="B590" i="276"/>
  <c r="F589" i="276"/>
  <c r="G589" i="276" s="1"/>
  <c r="D589" i="276"/>
  <c r="C589" i="276"/>
  <c r="B589" i="276"/>
  <c r="F588" i="276"/>
  <c r="G588" i="276" s="1"/>
  <c r="D588" i="276"/>
  <c r="C588" i="276"/>
  <c r="B588" i="276"/>
  <c r="F587" i="276"/>
  <c r="G587" i="276" s="1"/>
  <c r="D587" i="276"/>
  <c r="C587" i="276"/>
  <c r="B587" i="276"/>
  <c r="F586" i="276"/>
  <c r="G586" i="276" s="1"/>
  <c r="D586" i="276"/>
  <c r="C586" i="276"/>
  <c r="B586" i="276"/>
  <c r="F585" i="276"/>
  <c r="G585" i="276" s="1"/>
  <c r="D585" i="276"/>
  <c r="C585" i="276"/>
  <c r="B585" i="276"/>
  <c r="F584" i="276"/>
  <c r="G584" i="276" s="1"/>
  <c r="D584" i="276"/>
  <c r="C584" i="276"/>
  <c r="B584" i="276"/>
  <c r="F583" i="276"/>
  <c r="G583" i="276" s="1"/>
  <c r="D583" i="276"/>
  <c r="C583" i="276"/>
  <c r="B583" i="276"/>
  <c r="F582" i="276"/>
  <c r="G582" i="276" s="1"/>
  <c r="D582" i="276"/>
  <c r="C582" i="276"/>
  <c r="B582" i="276"/>
  <c r="F581" i="276"/>
  <c r="G581" i="276" s="1"/>
  <c r="D581" i="276"/>
  <c r="C581" i="276"/>
  <c r="B581" i="276"/>
  <c r="F580" i="276"/>
  <c r="G580" i="276" s="1"/>
  <c r="D580" i="276"/>
  <c r="C580" i="276"/>
  <c r="B580" i="276"/>
  <c r="F579" i="276"/>
  <c r="G579" i="276" s="1"/>
  <c r="D579" i="276"/>
  <c r="C579" i="276"/>
  <c r="B579" i="276"/>
  <c r="F578" i="276"/>
  <c r="G578" i="276" s="1"/>
  <c r="D578" i="276"/>
  <c r="C578" i="276"/>
  <c r="B578" i="276"/>
  <c r="F577" i="276"/>
  <c r="G577" i="276" s="1"/>
  <c r="D577" i="276"/>
  <c r="C577" i="276"/>
  <c r="B577" i="276"/>
  <c r="F576" i="276"/>
  <c r="G576" i="276" s="1"/>
  <c r="D576" i="276"/>
  <c r="C576" i="276"/>
  <c r="B576" i="276"/>
  <c r="F575" i="276"/>
  <c r="G575" i="276" s="1"/>
  <c r="D575" i="276"/>
  <c r="C575" i="276"/>
  <c r="B575" i="276"/>
  <c r="F574" i="276"/>
  <c r="G574" i="276" s="1"/>
  <c r="D574" i="276"/>
  <c r="C574" i="276"/>
  <c r="B574" i="276"/>
  <c r="F573" i="276"/>
  <c r="G573" i="276" s="1"/>
  <c r="D573" i="276"/>
  <c r="C573" i="276"/>
  <c r="B573" i="276"/>
  <c r="F572" i="276"/>
  <c r="G572" i="276" s="1"/>
  <c r="D572" i="276"/>
  <c r="C572" i="276"/>
  <c r="B572" i="276"/>
  <c r="F571" i="276"/>
  <c r="G571" i="276" s="1"/>
  <c r="D571" i="276"/>
  <c r="C571" i="276"/>
  <c r="B571" i="276"/>
  <c r="F570" i="276"/>
  <c r="G570" i="276" s="1"/>
  <c r="D570" i="276"/>
  <c r="C570" i="276"/>
  <c r="B570" i="276"/>
  <c r="F569" i="276"/>
  <c r="G569" i="276" s="1"/>
  <c r="D569" i="276"/>
  <c r="C569" i="276"/>
  <c r="B569" i="276"/>
  <c r="F568" i="276"/>
  <c r="G568" i="276" s="1"/>
  <c r="D568" i="276"/>
  <c r="C568" i="276"/>
  <c r="B568" i="276"/>
  <c r="F567" i="276"/>
  <c r="G567" i="276" s="1"/>
  <c r="D567" i="276"/>
  <c r="C567" i="276"/>
  <c r="B567" i="276"/>
  <c r="F566" i="276"/>
  <c r="G566" i="276" s="1"/>
  <c r="D566" i="276"/>
  <c r="C566" i="276"/>
  <c r="B566" i="276"/>
  <c r="F565" i="276"/>
  <c r="G565" i="276" s="1"/>
  <c r="D565" i="276"/>
  <c r="C565" i="276"/>
  <c r="B565" i="276"/>
  <c r="C564" i="276"/>
  <c r="F561" i="276"/>
  <c r="G561" i="276" s="1"/>
  <c r="D561" i="276"/>
  <c r="C561" i="276"/>
  <c r="B561" i="276"/>
  <c r="F560" i="276"/>
  <c r="G560" i="276" s="1"/>
  <c r="D560" i="276"/>
  <c r="C560" i="276"/>
  <c r="B560" i="276"/>
  <c r="F559" i="276"/>
  <c r="G559" i="276" s="1"/>
  <c r="D559" i="276"/>
  <c r="C559" i="276"/>
  <c r="B559" i="276"/>
  <c r="F558" i="276"/>
  <c r="G558" i="276" s="1"/>
  <c r="D558" i="276"/>
  <c r="C558" i="276"/>
  <c r="B558" i="276"/>
  <c r="F557" i="276"/>
  <c r="G557" i="276" s="1"/>
  <c r="D557" i="276"/>
  <c r="C557" i="276"/>
  <c r="B557" i="276"/>
  <c r="F556" i="276"/>
  <c r="G556" i="276" s="1"/>
  <c r="D556" i="276"/>
  <c r="C556" i="276"/>
  <c r="B556" i="276"/>
  <c r="F555" i="276"/>
  <c r="G555" i="276" s="1"/>
  <c r="D555" i="276"/>
  <c r="C555" i="276"/>
  <c r="B555" i="276"/>
  <c r="C554" i="276"/>
  <c r="F551" i="276"/>
  <c r="G551" i="276" s="1"/>
  <c r="D551" i="276"/>
  <c r="C551" i="276"/>
  <c r="B551" i="276"/>
  <c r="F550" i="276"/>
  <c r="G550" i="276" s="1"/>
  <c r="D550" i="276"/>
  <c r="C550" i="276"/>
  <c r="B550" i="276"/>
  <c r="F549" i="276"/>
  <c r="G549" i="276" s="1"/>
  <c r="D549" i="276"/>
  <c r="C549" i="276"/>
  <c r="B549" i="276"/>
  <c r="F548" i="276"/>
  <c r="G548" i="276" s="1"/>
  <c r="D548" i="276"/>
  <c r="C548" i="276"/>
  <c r="B548" i="276"/>
  <c r="F547" i="276"/>
  <c r="G547" i="276" s="1"/>
  <c r="D547" i="276"/>
  <c r="C547" i="276"/>
  <c r="B547" i="276"/>
  <c r="F546" i="276"/>
  <c r="G546" i="276" s="1"/>
  <c r="D546" i="276"/>
  <c r="C546" i="276"/>
  <c r="B546" i="276"/>
  <c r="F545" i="276"/>
  <c r="G545" i="276" s="1"/>
  <c r="D545" i="276"/>
  <c r="C545" i="276"/>
  <c r="B545" i="276"/>
  <c r="F544" i="276"/>
  <c r="G544" i="276" s="1"/>
  <c r="D544" i="276"/>
  <c r="C544" i="276"/>
  <c r="B544" i="276"/>
  <c r="F543" i="276"/>
  <c r="G543" i="276" s="1"/>
  <c r="D543" i="276"/>
  <c r="C543" i="276"/>
  <c r="B543" i="276"/>
  <c r="C542" i="276"/>
  <c r="F529" i="276"/>
  <c r="G529" i="276" s="1"/>
  <c r="D529" i="276"/>
  <c r="C529" i="276"/>
  <c r="B529" i="276"/>
  <c r="F528" i="276"/>
  <c r="G528" i="276" s="1"/>
  <c r="D528" i="276"/>
  <c r="C528" i="276"/>
  <c r="B528" i="276"/>
  <c r="F527" i="276"/>
  <c r="G527" i="276" s="1"/>
  <c r="D527" i="276"/>
  <c r="C527" i="276"/>
  <c r="B527" i="276"/>
  <c r="F526" i="276"/>
  <c r="G526" i="276" s="1"/>
  <c r="D526" i="276"/>
  <c r="C526" i="276"/>
  <c r="B526" i="276"/>
  <c r="F525" i="276"/>
  <c r="G525" i="276" s="1"/>
  <c r="D525" i="276"/>
  <c r="C525" i="276"/>
  <c r="B525" i="276"/>
  <c r="F524" i="276"/>
  <c r="G524" i="276" s="1"/>
  <c r="D524" i="276"/>
  <c r="C524" i="276"/>
  <c r="B524" i="276"/>
  <c r="F523" i="276"/>
  <c r="G523" i="276" s="1"/>
  <c r="C523" i="276"/>
  <c r="B523" i="276"/>
  <c r="F522" i="276"/>
  <c r="G522" i="276" s="1"/>
  <c r="D522" i="276"/>
  <c r="C522" i="276"/>
  <c r="B522" i="276"/>
  <c r="F521" i="276"/>
  <c r="G521" i="276" s="1"/>
  <c r="D521" i="276"/>
  <c r="C521" i="276"/>
  <c r="B521" i="276"/>
  <c r="F520" i="276"/>
  <c r="G520" i="276" s="1"/>
  <c r="D520" i="276"/>
  <c r="C520" i="276"/>
  <c r="B520" i="276"/>
  <c r="F519" i="276"/>
  <c r="G519" i="276" s="1"/>
  <c r="D519" i="276"/>
  <c r="C519" i="276"/>
  <c r="B519" i="276"/>
  <c r="F518" i="276"/>
  <c r="G518" i="276" s="1"/>
  <c r="D518" i="276"/>
  <c r="C518" i="276"/>
  <c r="B518" i="276"/>
  <c r="F517" i="276"/>
  <c r="G517" i="276" s="1"/>
  <c r="C517" i="276"/>
  <c r="B517" i="276"/>
  <c r="F516" i="276"/>
  <c r="G516" i="276" s="1"/>
  <c r="D516" i="276"/>
  <c r="C516" i="276"/>
  <c r="B516" i="276"/>
  <c r="F515" i="276"/>
  <c r="G515" i="276" s="1"/>
  <c r="D515" i="276"/>
  <c r="C515" i="276"/>
  <c r="B515" i="276"/>
  <c r="F514" i="276"/>
  <c r="G514" i="276" s="1"/>
  <c r="D514" i="276"/>
  <c r="C514" i="276"/>
  <c r="B514" i="276"/>
  <c r="F513" i="276"/>
  <c r="G513" i="276" s="1"/>
  <c r="D513" i="276"/>
  <c r="C513" i="276"/>
  <c r="B513" i="276"/>
  <c r="F512" i="276"/>
  <c r="G512" i="276" s="1"/>
  <c r="D512" i="276"/>
  <c r="C512" i="276"/>
  <c r="B512" i="276"/>
  <c r="F511" i="276"/>
  <c r="G511" i="276" s="1"/>
  <c r="D511" i="276"/>
  <c r="C511" i="276"/>
  <c r="B511" i="276"/>
  <c r="F510" i="276"/>
  <c r="G510" i="276" s="1"/>
  <c r="D510" i="276"/>
  <c r="C510" i="276"/>
  <c r="B510" i="276"/>
  <c r="C509" i="276"/>
  <c r="B509" i="276"/>
  <c r="C508" i="276"/>
  <c r="F504" i="276"/>
  <c r="G504" i="276" s="1"/>
  <c r="D504" i="276"/>
  <c r="C504" i="276"/>
  <c r="B504" i="276"/>
  <c r="F503" i="276"/>
  <c r="G503" i="276" s="1"/>
  <c r="D503" i="276"/>
  <c r="C503" i="276"/>
  <c r="B503" i="276"/>
  <c r="F502" i="276"/>
  <c r="G502" i="276" s="1"/>
  <c r="D502" i="276"/>
  <c r="C502" i="276"/>
  <c r="B502" i="276"/>
  <c r="F501" i="276"/>
  <c r="G501" i="276" s="1"/>
  <c r="D501" i="276"/>
  <c r="C501" i="276"/>
  <c r="B501" i="276"/>
  <c r="F500" i="276"/>
  <c r="G500" i="276" s="1"/>
  <c r="D500" i="276"/>
  <c r="C500" i="276"/>
  <c r="B500" i="276"/>
  <c r="C499" i="276"/>
  <c r="F496" i="276"/>
  <c r="G496" i="276" s="1"/>
  <c r="D496" i="276"/>
  <c r="C496" i="276"/>
  <c r="B496" i="276"/>
  <c r="F495" i="276"/>
  <c r="G495" i="276" s="1"/>
  <c r="D495" i="276"/>
  <c r="C495" i="276"/>
  <c r="B495" i="276"/>
  <c r="F494" i="276"/>
  <c r="G494" i="276" s="1"/>
  <c r="D494" i="276"/>
  <c r="C494" i="276"/>
  <c r="B494" i="276"/>
  <c r="F493" i="276"/>
  <c r="G493" i="276" s="1"/>
  <c r="D493" i="276"/>
  <c r="C493" i="276"/>
  <c r="B493" i="276"/>
  <c r="F492" i="276"/>
  <c r="G492" i="276" s="1"/>
  <c r="D492" i="276"/>
  <c r="C492" i="276"/>
  <c r="B492" i="276"/>
  <c r="F491" i="276"/>
  <c r="G491" i="276" s="1"/>
  <c r="D491" i="276"/>
  <c r="C491" i="276"/>
  <c r="B491" i="276"/>
  <c r="F490" i="276"/>
  <c r="G490" i="276" s="1"/>
  <c r="D490" i="276"/>
  <c r="C490" i="276"/>
  <c r="B490" i="276"/>
  <c r="F489" i="276"/>
  <c r="G489" i="276" s="1"/>
  <c r="D489" i="276"/>
  <c r="C489" i="276"/>
  <c r="B489" i="276"/>
  <c r="F488" i="276"/>
  <c r="G488" i="276" s="1"/>
  <c r="D488" i="276"/>
  <c r="C488" i="276"/>
  <c r="B488" i="276"/>
  <c r="C487" i="276"/>
  <c r="F461" i="276"/>
  <c r="G461" i="276" s="1"/>
  <c r="D461" i="276"/>
  <c r="C461" i="276"/>
  <c r="B461" i="276"/>
  <c r="F460" i="276"/>
  <c r="G460" i="276" s="1"/>
  <c r="D460" i="276"/>
  <c r="C460" i="276"/>
  <c r="B460" i="276"/>
  <c r="F459" i="276"/>
  <c r="G459" i="276" s="1"/>
  <c r="D459" i="276"/>
  <c r="C459" i="276"/>
  <c r="B459" i="276"/>
  <c r="F458" i="276"/>
  <c r="G458" i="276" s="1"/>
  <c r="D458" i="276"/>
  <c r="C458" i="276"/>
  <c r="B458" i="276"/>
  <c r="F457" i="276"/>
  <c r="G457" i="276" s="1"/>
  <c r="D457" i="276"/>
  <c r="C457" i="276"/>
  <c r="B457" i="276"/>
  <c r="F456" i="276"/>
  <c r="G456" i="276" s="1"/>
  <c r="D456" i="276"/>
  <c r="C456" i="276"/>
  <c r="B456" i="276"/>
  <c r="F455" i="276"/>
  <c r="G455" i="276" s="1"/>
  <c r="D455" i="276"/>
  <c r="C455" i="276"/>
  <c r="B455" i="276"/>
  <c r="C454" i="276"/>
  <c r="F451" i="276"/>
  <c r="G451" i="276" s="1"/>
  <c r="D451" i="276"/>
  <c r="C451" i="276"/>
  <c r="B451" i="276"/>
  <c r="F450" i="276"/>
  <c r="G450" i="276" s="1"/>
  <c r="D450" i="276"/>
  <c r="C450" i="276"/>
  <c r="B450" i="276"/>
  <c r="F449" i="276"/>
  <c r="G449" i="276" s="1"/>
  <c r="D449" i="276"/>
  <c r="C449" i="276"/>
  <c r="B449" i="276"/>
  <c r="F448" i="276"/>
  <c r="G448" i="276" s="1"/>
  <c r="D448" i="276"/>
  <c r="C448" i="276"/>
  <c r="B448" i="276"/>
  <c r="F447" i="276"/>
  <c r="G447" i="276" s="1"/>
  <c r="D447" i="276"/>
  <c r="C447" i="276"/>
  <c r="B447" i="276"/>
  <c r="F446" i="276"/>
  <c r="G446" i="276" s="1"/>
  <c r="D446" i="276"/>
  <c r="C446" i="276"/>
  <c r="B446" i="276"/>
  <c r="F445" i="276"/>
  <c r="G445" i="276" s="1"/>
  <c r="D445" i="276"/>
  <c r="C445" i="276"/>
  <c r="B445" i="276"/>
  <c r="F444" i="276"/>
  <c r="G444" i="276" s="1"/>
  <c r="D444" i="276"/>
  <c r="C444" i="276"/>
  <c r="B444" i="276"/>
  <c r="F443" i="276"/>
  <c r="G443" i="276" s="1"/>
  <c r="D443" i="276"/>
  <c r="C443" i="276"/>
  <c r="B443" i="276"/>
  <c r="F442" i="276"/>
  <c r="G442" i="276" s="1"/>
  <c r="D442" i="276"/>
  <c r="C442" i="276"/>
  <c r="B442" i="276"/>
  <c r="F441" i="276"/>
  <c r="G441" i="276" s="1"/>
  <c r="D441" i="276"/>
  <c r="C441" i="276"/>
  <c r="B441" i="276"/>
  <c r="C440" i="276"/>
  <c r="F437" i="276"/>
  <c r="G437" i="276" s="1"/>
  <c r="D437" i="276"/>
  <c r="C437" i="276"/>
  <c r="B437" i="276"/>
  <c r="F436" i="276"/>
  <c r="G436" i="276" s="1"/>
  <c r="D436" i="276"/>
  <c r="C436" i="276"/>
  <c r="B436" i="276"/>
  <c r="F435" i="276"/>
  <c r="G435" i="276" s="1"/>
  <c r="D435" i="276"/>
  <c r="C435" i="276"/>
  <c r="B435" i="276"/>
  <c r="F434" i="276"/>
  <c r="G434" i="276" s="1"/>
  <c r="D434" i="276"/>
  <c r="C434" i="276"/>
  <c r="B434" i="276"/>
  <c r="F433" i="276"/>
  <c r="G433" i="276" s="1"/>
  <c r="D433" i="276"/>
  <c r="C433" i="276"/>
  <c r="B433" i="276"/>
  <c r="F432" i="276"/>
  <c r="G432" i="276" s="1"/>
  <c r="D432" i="276"/>
  <c r="C432" i="276"/>
  <c r="B432" i="276"/>
  <c r="C431" i="276"/>
  <c r="F428" i="276"/>
  <c r="G428" i="276" s="1"/>
  <c r="D428" i="276"/>
  <c r="C428" i="276"/>
  <c r="B428" i="276"/>
  <c r="F427" i="276"/>
  <c r="G427" i="276" s="1"/>
  <c r="D427" i="276"/>
  <c r="C427" i="276"/>
  <c r="B427" i="276"/>
  <c r="F426" i="276"/>
  <c r="G426" i="276" s="1"/>
  <c r="D426" i="276"/>
  <c r="C426" i="276"/>
  <c r="B426" i="276"/>
  <c r="F425" i="276"/>
  <c r="G425" i="276" s="1"/>
  <c r="D425" i="276"/>
  <c r="C425" i="276"/>
  <c r="B425" i="276"/>
  <c r="F424" i="276"/>
  <c r="G424" i="276" s="1"/>
  <c r="D424" i="276"/>
  <c r="C424" i="276"/>
  <c r="B424" i="276"/>
  <c r="F423" i="276"/>
  <c r="G423" i="276" s="1"/>
  <c r="D423" i="276"/>
  <c r="C423" i="276"/>
  <c r="B423" i="276"/>
  <c r="F422" i="276"/>
  <c r="G422" i="276" s="1"/>
  <c r="D422" i="276"/>
  <c r="C422" i="276"/>
  <c r="B422" i="276"/>
  <c r="F421" i="276"/>
  <c r="G421" i="276" s="1"/>
  <c r="D421" i="276"/>
  <c r="C421" i="276"/>
  <c r="B421" i="276"/>
  <c r="F420" i="276"/>
  <c r="G420" i="276" s="1"/>
  <c r="D420" i="276"/>
  <c r="C420" i="276"/>
  <c r="B420" i="276"/>
  <c r="F419" i="276"/>
  <c r="G419" i="276" s="1"/>
  <c r="D419" i="276"/>
  <c r="C419" i="276"/>
  <c r="B419" i="276"/>
  <c r="F418" i="276"/>
  <c r="G418" i="276" s="1"/>
  <c r="D418" i="276"/>
  <c r="C418" i="276"/>
  <c r="B418" i="276"/>
  <c r="C417" i="276"/>
  <c r="F414" i="276"/>
  <c r="G414" i="276" s="1"/>
  <c r="D414" i="276"/>
  <c r="C414" i="276"/>
  <c r="B414" i="276"/>
  <c r="F413" i="276"/>
  <c r="G413" i="276" s="1"/>
  <c r="D413" i="276"/>
  <c r="C413" i="276"/>
  <c r="B413" i="276"/>
  <c r="F412" i="276"/>
  <c r="G412" i="276" s="1"/>
  <c r="D412" i="276"/>
  <c r="C412" i="276"/>
  <c r="B412" i="276"/>
  <c r="F411" i="276"/>
  <c r="G411" i="276" s="1"/>
  <c r="H414" i="276" s="1"/>
  <c r="D411" i="276"/>
  <c r="C411" i="276"/>
  <c r="B411" i="276"/>
  <c r="C410" i="276"/>
  <c r="F407" i="276"/>
  <c r="G407" i="276" s="1"/>
  <c r="D407" i="276"/>
  <c r="C407" i="276"/>
  <c r="B407" i="276"/>
  <c r="F406" i="276"/>
  <c r="G406" i="276" s="1"/>
  <c r="D406" i="276"/>
  <c r="C406" i="276"/>
  <c r="B406" i="276"/>
  <c r="F405" i="276"/>
  <c r="G405" i="276" s="1"/>
  <c r="D405" i="276"/>
  <c r="C405" i="276"/>
  <c r="B405" i="276"/>
  <c r="F404" i="276"/>
  <c r="G404" i="276" s="1"/>
  <c r="D404" i="276"/>
  <c r="C404" i="276"/>
  <c r="B404" i="276"/>
  <c r="F403" i="276"/>
  <c r="G403" i="276" s="1"/>
  <c r="D403" i="276"/>
  <c r="C403" i="276"/>
  <c r="B403" i="276"/>
  <c r="F402" i="276"/>
  <c r="G402" i="276" s="1"/>
  <c r="D402" i="276"/>
  <c r="C402" i="276"/>
  <c r="B402" i="276"/>
  <c r="C401" i="276"/>
  <c r="F398" i="276"/>
  <c r="G398" i="276" s="1"/>
  <c r="D398" i="276"/>
  <c r="C398" i="276"/>
  <c r="B398" i="276"/>
  <c r="F397" i="276"/>
  <c r="G397" i="276" s="1"/>
  <c r="D397" i="276"/>
  <c r="C397" i="276"/>
  <c r="B397" i="276"/>
  <c r="F396" i="276"/>
  <c r="G396" i="276" s="1"/>
  <c r="D396" i="276"/>
  <c r="C396" i="276"/>
  <c r="B396" i="276"/>
  <c r="F395" i="276"/>
  <c r="G395" i="276" s="1"/>
  <c r="D395" i="276"/>
  <c r="C395" i="276"/>
  <c r="B395" i="276"/>
  <c r="F394" i="276"/>
  <c r="G394" i="276" s="1"/>
  <c r="D394" i="276"/>
  <c r="C394" i="276"/>
  <c r="B394" i="276"/>
  <c r="F393" i="276"/>
  <c r="G393" i="276" s="1"/>
  <c r="D393" i="276"/>
  <c r="C393" i="276"/>
  <c r="B393" i="276"/>
  <c r="F392" i="276"/>
  <c r="G392" i="276" s="1"/>
  <c r="D392" i="276"/>
  <c r="C392" i="276"/>
  <c r="B392" i="276"/>
  <c r="F391" i="276"/>
  <c r="G391" i="276" s="1"/>
  <c r="D391" i="276"/>
  <c r="C391" i="276"/>
  <c r="B391" i="276"/>
  <c r="F390" i="276"/>
  <c r="G390" i="276" s="1"/>
  <c r="D390" i="276"/>
  <c r="C390" i="276"/>
  <c r="B390" i="276"/>
  <c r="D389" i="276"/>
  <c r="B389" i="276"/>
  <c r="F388" i="276"/>
  <c r="G388" i="276" s="1"/>
  <c r="D388" i="276"/>
  <c r="C388" i="276"/>
  <c r="B388" i="276"/>
  <c r="F387" i="276"/>
  <c r="G387" i="276" s="1"/>
  <c r="D387" i="276"/>
  <c r="C387" i="276"/>
  <c r="B387" i="276"/>
  <c r="F386" i="276"/>
  <c r="G386" i="276" s="1"/>
  <c r="D386" i="276"/>
  <c r="C386" i="276"/>
  <c r="B386" i="276"/>
  <c r="F385" i="276"/>
  <c r="G385" i="276" s="1"/>
  <c r="D385" i="276"/>
  <c r="C385" i="276"/>
  <c r="B385" i="276"/>
  <c r="F384" i="276"/>
  <c r="G384" i="276" s="1"/>
  <c r="D384" i="276"/>
  <c r="C384" i="276"/>
  <c r="B384" i="276"/>
  <c r="F383" i="276"/>
  <c r="G383" i="276" s="1"/>
  <c r="D383" i="276"/>
  <c r="C383" i="276"/>
  <c r="B383" i="276"/>
  <c r="F382" i="276"/>
  <c r="G382" i="276" s="1"/>
  <c r="D382" i="276"/>
  <c r="C382" i="276"/>
  <c r="B382" i="276"/>
  <c r="F381" i="276"/>
  <c r="G381" i="276" s="1"/>
  <c r="D381" i="276"/>
  <c r="C381" i="276"/>
  <c r="B381" i="276"/>
  <c r="F380" i="276"/>
  <c r="G380" i="276" s="1"/>
  <c r="D380" i="276"/>
  <c r="C380" i="276"/>
  <c r="B380" i="276"/>
  <c r="F379" i="276"/>
  <c r="G379" i="276" s="1"/>
  <c r="D379" i="276"/>
  <c r="C379" i="276"/>
  <c r="B379" i="276"/>
  <c r="F378" i="276"/>
  <c r="G378" i="276" s="1"/>
  <c r="D378" i="276"/>
  <c r="C378" i="276"/>
  <c r="B378" i="276"/>
  <c r="F377" i="276"/>
  <c r="G377" i="276" s="1"/>
  <c r="D377" i="276"/>
  <c r="C377" i="276"/>
  <c r="B377" i="276"/>
  <c r="F376" i="276"/>
  <c r="G376" i="276" s="1"/>
  <c r="D376" i="276"/>
  <c r="C376" i="276"/>
  <c r="B376" i="276"/>
  <c r="C375" i="276"/>
  <c r="D365" i="276"/>
  <c r="B365" i="276"/>
  <c r="F347" i="276"/>
  <c r="G347" i="276" s="1"/>
  <c r="D347" i="276"/>
  <c r="C347" i="276"/>
  <c r="B347" i="276"/>
  <c r="F343" i="276"/>
  <c r="G343" i="276" s="1"/>
  <c r="D343" i="276"/>
  <c r="C343" i="276"/>
  <c r="B343" i="276"/>
  <c r="F342" i="276"/>
  <c r="G342" i="276" s="1"/>
  <c r="D342" i="276"/>
  <c r="C342" i="276"/>
  <c r="B342" i="276"/>
  <c r="F326" i="276"/>
  <c r="G326" i="276" s="1"/>
  <c r="D326" i="276"/>
  <c r="C326" i="276"/>
  <c r="B326" i="276"/>
  <c r="F249" i="276"/>
  <c r="G249" i="276" s="1"/>
  <c r="D249" i="276"/>
  <c r="C249" i="276"/>
  <c r="B249" i="276"/>
  <c r="F226" i="276"/>
  <c r="G226" i="276" s="1"/>
  <c r="D226" i="276"/>
  <c r="C226" i="276"/>
  <c r="B226" i="276"/>
  <c r="F225" i="276"/>
  <c r="G225" i="276" s="1"/>
  <c r="D225" i="276"/>
  <c r="C225" i="276"/>
  <c r="B225" i="276"/>
  <c r="F167" i="276"/>
  <c r="G167" i="276" s="1"/>
  <c r="D167" i="276"/>
  <c r="C167" i="276"/>
  <c r="B167" i="276"/>
  <c r="F166" i="276"/>
  <c r="G166" i="276" s="1"/>
  <c r="D166" i="276"/>
  <c r="C166" i="276"/>
  <c r="B166" i="276"/>
  <c r="F165" i="276"/>
  <c r="G165" i="276" s="1"/>
  <c r="D165" i="276"/>
  <c r="C165" i="276"/>
  <c r="B165" i="276"/>
  <c r="F164" i="276"/>
  <c r="G164" i="276" s="1"/>
  <c r="D164" i="276"/>
  <c r="C164" i="276"/>
  <c r="B164" i="276"/>
  <c r="F163" i="276"/>
  <c r="G163" i="276" s="1"/>
  <c r="D163" i="276"/>
  <c r="C163" i="276"/>
  <c r="B163" i="276"/>
  <c r="F162" i="276"/>
  <c r="G162" i="276" s="1"/>
  <c r="D162" i="276"/>
  <c r="C162" i="276"/>
  <c r="B162" i="276"/>
  <c r="F161" i="276"/>
  <c r="G161" i="276" s="1"/>
  <c r="D161" i="276"/>
  <c r="C161" i="276"/>
  <c r="B161" i="276"/>
  <c r="F160" i="276"/>
  <c r="G160" i="276" s="1"/>
  <c r="D160" i="276"/>
  <c r="C160" i="276"/>
  <c r="B160" i="276"/>
  <c r="F159" i="276"/>
  <c r="G159" i="276" s="1"/>
  <c r="D159" i="276"/>
  <c r="C159" i="276"/>
  <c r="B159" i="276"/>
  <c r="F158" i="276"/>
  <c r="G158" i="276" s="1"/>
  <c r="D158" i="276"/>
  <c r="C158" i="276"/>
  <c r="B158" i="276"/>
  <c r="F157" i="276"/>
  <c r="G157" i="276" s="1"/>
  <c r="D157" i="276"/>
  <c r="C157" i="276"/>
  <c r="B157" i="276"/>
  <c r="C156" i="276"/>
  <c r="F153" i="276"/>
  <c r="G153" i="276" s="1"/>
  <c r="D153" i="276"/>
  <c r="C153" i="276"/>
  <c r="B153" i="276"/>
  <c r="F152" i="276"/>
  <c r="G152" i="276" s="1"/>
  <c r="D152" i="276"/>
  <c r="C152" i="276"/>
  <c r="B152" i="276"/>
  <c r="F151" i="276"/>
  <c r="G151" i="276" s="1"/>
  <c r="D151" i="276"/>
  <c r="C151" i="276"/>
  <c r="B151" i="276"/>
  <c r="F150" i="276"/>
  <c r="G150" i="276" s="1"/>
  <c r="D150" i="276"/>
  <c r="C150" i="276"/>
  <c r="B150" i="276"/>
  <c r="F149" i="276"/>
  <c r="G149" i="276" s="1"/>
  <c r="D149" i="276"/>
  <c r="C149" i="276"/>
  <c r="B149" i="276"/>
  <c r="F148" i="276"/>
  <c r="G148" i="276" s="1"/>
  <c r="D148" i="276"/>
  <c r="C148" i="276"/>
  <c r="B148" i="276"/>
  <c r="F147" i="276"/>
  <c r="G147" i="276" s="1"/>
  <c r="D147" i="276"/>
  <c r="C147" i="276"/>
  <c r="B147" i="276"/>
  <c r="F146" i="276"/>
  <c r="G146" i="276" s="1"/>
  <c r="D146" i="276"/>
  <c r="C146" i="276"/>
  <c r="B146" i="276"/>
  <c r="F145" i="276"/>
  <c r="G145" i="276" s="1"/>
  <c r="D145" i="276"/>
  <c r="C145" i="276"/>
  <c r="B145" i="276"/>
  <c r="F144" i="276"/>
  <c r="G144" i="276" s="1"/>
  <c r="D144" i="276"/>
  <c r="C144" i="276"/>
  <c r="B144" i="276"/>
  <c r="F143" i="276"/>
  <c r="G143" i="276" s="1"/>
  <c r="D143" i="276"/>
  <c r="C143" i="276"/>
  <c r="B143" i="276"/>
  <c r="F142" i="276"/>
  <c r="G142" i="276" s="1"/>
  <c r="D142" i="276"/>
  <c r="C142" i="276"/>
  <c r="B142" i="276"/>
  <c r="F141" i="276"/>
  <c r="G141" i="276" s="1"/>
  <c r="D141" i="276"/>
  <c r="C141" i="276"/>
  <c r="B141" i="276"/>
  <c r="C140" i="276"/>
  <c r="F137" i="276"/>
  <c r="G137" i="276" s="1"/>
  <c r="D137" i="276"/>
  <c r="C137" i="276"/>
  <c r="B137" i="276"/>
  <c r="F136" i="276"/>
  <c r="G136" i="276" s="1"/>
  <c r="D136" i="276"/>
  <c r="C136" i="276"/>
  <c r="B136" i="276"/>
  <c r="C135" i="276"/>
  <c r="F111" i="276"/>
  <c r="G111" i="276" s="1"/>
  <c r="D111" i="276"/>
  <c r="C111" i="276"/>
  <c r="B111" i="276"/>
  <c r="F110" i="276"/>
  <c r="G110" i="276" s="1"/>
  <c r="D110" i="276"/>
  <c r="C110" i="276"/>
  <c r="B110" i="276"/>
  <c r="F109" i="276"/>
  <c r="G109" i="276" s="1"/>
  <c r="D109" i="276"/>
  <c r="C109" i="276"/>
  <c r="B109" i="276"/>
  <c r="F108" i="276"/>
  <c r="G108" i="276" s="1"/>
  <c r="D108" i="276"/>
  <c r="C108" i="276"/>
  <c r="B108" i="276"/>
  <c r="F107" i="276"/>
  <c r="G107" i="276" s="1"/>
  <c r="D107" i="276"/>
  <c r="C107" i="276"/>
  <c r="B107" i="276"/>
  <c r="F106" i="276"/>
  <c r="G106" i="276" s="1"/>
  <c r="D106" i="276"/>
  <c r="C106" i="276"/>
  <c r="B106" i="276"/>
  <c r="F105" i="276"/>
  <c r="G105" i="276" s="1"/>
  <c r="D105" i="276"/>
  <c r="C105" i="276"/>
  <c r="B105" i="276"/>
  <c r="F104" i="276"/>
  <c r="G104" i="276" s="1"/>
  <c r="D104" i="276"/>
  <c r="C104" i="276"/>
  <c r="B104" i="276"/>
  <c r="F103" i="276"/>
  <c r="G103" i="276" s="1"/>
  <c r="D103" i="276"/>
  <c r="C103" i="276"/>
  <c r="B103" i="276"/>
  <c r="F102" i="276"/>
  <c r="G102" i="276" s="1"/>
  <c r="D102" i="276"/>
  <c r="C102" i="276"/>
  <c r="B102" i="276"/>
  <c r="F101" i="276"/>
  <c r="G101" i="276" s="1"/>
  <c r="D101" i="276"/>
  <c r="C101" i="276"/>
  <c r="B101" i="276"/>
  <c r="C100" i="276"/>
  <c r="F98" i="276"/>
  <c r="G98" i="276" s="1"/>
  <c r="D98" i="276"/>
  <c r="C98" i="276"/>
  <c r="B98" i="276"/>
  <c r="F97" i="276"/>
  <c r="G97" i="276" s="1"/>
  <c r="D97" i="276"/>
  <c r="C97" i="276"/>
  <c r="B97" i="276"/>
  <c r="F96" i="276"/>
  <c r="G96" i="276" s="1"/>
  <c r="D96" i="276"/>
  <c r="C96" i="276"/>
  <c r="B96" i="276"/>
  <c r="F95" i="276"/>
  <c r="G95" i="276" s="1"/>
  <c r="D95" i="276"/>
  <c r="C95" i="276"/>
  <c r="B95" i="276"/>
  <c r="F94" i="276"/>
  <c r="G94" i="276" s="1"/>
  <c r="D94" i="276"/>
  <c r="C94" i="276"/>
  <c r="B94" i="276"/>
  <c r="C93" i="276"/>
  <c r="F91" i="276"/>
  <c r="G91" i="276" s="1"/>
  <c r="D91" i="276"/>
  <c r="C91" i="276"/>
  <c r="B91" i="276"/>
  <c r="F90" i="276"/>
  <c r="G90" i="276" s="1"/>
  <c r="D90" i="276"/>
  <c r="C90" i="276"/>
  <c r="B90" i="276"/>
  <c r="F89" i="276"/>
  <c r="G89" i="276" s="1"/>
  <c r="D89" i="276"/>
  <c r="C89" i="276"/>
  <c r="B89" i="276"/>
  <c r="D88" i="276"/>
  <c r="C88" i="276"/>
  <c r="B88" i="276"/>
  <c r="F87" i="276"/>
  <c r="G87" i="276" s="1"/>
  <c r="D87" i="276"/>
  <c r="C87" i="276"/>
  <c r="B87" i="276"/>
  <c r="F86" i="276"/>
  <c r="G86" i="276" s="1"/>
  <c r="D86" i="276"/>
  <c r="C86" i="276"/>
  <c r="B86" i="276"/>
  <c r="F85" i="276"/>
  <c r="G85" i="276" s="1"/>
  <c r="D85" i="276"/>
  <c r="C85" i="276"/>
  <c r="B85" i="276"/>
  <c r="F84" i="276"/>
  <c r="G84" i="276" s="1"/>
  <c r="D84" i="276"/>
  <c r="C84" i="276"/>
  <c r="B84" i="276"/>
  <c r="F83" i="276"/>
  <c r="G83" i="276" s="1"/>
  <c r="D83" i="276"/>
  <c r="C83" i="276"/>
  <c r="B83" i="276"/>
  <c r="F82" i="276"/>
  <c r="G82" i="276" s="1"/>
  <c r="C82" i="276"/>
  <c r="B82" i="276"/>
  <c r="C81" i="276"/>
  <c r="F79" i="276"/>
  <c r="G79" i="276" s="1"/>
  <c r="D79" i="276"/>
  <c r="C79" i="276"/>
  <c r="B79" i="276"/>
  <c r="F78" i="276"/>
  <c r="G78" i="276" s="1"/>
  <c r="D78" i="276"/>
  <c r="C78" i="276"/>
  <c r="B78" i="276"/>
  <c r="F77" i="276"/>
  <c r="G77" i="276" s="1"/>
  <c r="D77" i="276"/>
  <c r="C77" i="276"/>
  <c r="B77" i="276"/>
  <c r="F76" i="276"/>
  <c r="G76" i="276" s="1"/>
  <c r="D76" i="276"/>
  <c r="C76" i="276"/>
  <c r="B76" i="276"/>
  <c r="F75" i="276"/>
  <c r="G75" i="276" s="1"/>
  <c r="D75" i="276"/>
  <c r="C75" i="276"/>
  <c r="B75" i="276"/>
  <c r="F74" i="276"/>
  <c r="G74" i="276" s="1"/>
  <c r="D74" i="276"/>
  <c r="C74" i="276"/>
  <c r="B74" i="276"/>
  <c r="F73" i="276"/>
  <c r="G73" i="276" s="1"/>
  <c r="D73" i="276"/>
  <c r="C73" i="276"/>
  <c r="B73" i="276"/>
  <c r="F72" i="276"/>
  <c r="G72" i="276" s="1"/>
  <c r="D72" i="276"/>
  <c r="C72" i="276"/>
  <c r="B72" i="276"/>
  <c r="F71" i="276"/>
  <c r="G71" i="276" s="1"/>
  <c r="D71" i="276"/>
  <c r="C71" i="276"/>
  <c r="B71" i="276"/>
  <c r="F70" i="276"/>
  <c r="G70" i="276" s="1"/>
  <c r="D70" i="276"/>
  <c r="C70" i="276"/>
  <c r="B70" i="276"/>
  <c r="F69" i="276"/>
  <c r="G69" i="276" s="1"/>
  <c r="D69" i="276"/>
  <c r="C69" i="276"/>
  <c r="B69" i="276"/>
  <c r="F68" i="276"/>
  <c r="G68" i="276" s="1"/>
  <c r="D68" i="276"/>
  <c r="C68" i="276"/>
  <c r="B68" i="276"/>
  <c r="F67" i="276"/>
  <c r="G67" i="276" s="1"/>
  <c r="D67" i="276"/>
  <c r="C67" i="276"/>
  <c r="B67" i="276"/>
  <c r="F66" i="276"/>
  <c r="G66" i="276" s="1"/>
  <c r="D66" i="276"/>
  <c r="C66" i="276"/>
  <c r="B66" i="276"/>
  <c r="F65" i="276"/>
  <c r="G65" i="276" s="1"/>
  <c r="D65" i="276"/>
  <c r="C65" i="276"/>
  <c r="B65" i="276"/>
  <c r="F64" i="276"/>
  <c r="G64" i="276" s="1"/>
  <c r="D64" i="276"/>
  <c r="C64" i="276"/>
  <c r="B64" i="276"/>
  <c r="F63" i="276"/>
  <c r="G63" i="276" s="1"/>
  <c r="D63" i="276"/>
  <c r="C63" i="276"/>
  <c r="B63" i="276"/>
  <c r="F62" i="276"/>
  <c r="G62" i="276" s="1"/>
  <c r="D62" i="276"/>
  <c r="C62" i="276"/>
  <c r="B62" i="276"/>
  <c r="F61" i="276"/>
  <c r="G61" i="276" s="1"/>
  <c r="D61" i="276"/>
  <c r="C61" i="276"/>
  <c r="B61" i="276"/>
  <c r="F60" i="276"/>
  <c r="G60" i="276" s="1"/>
  <c r="D60" i="276"/>
  <c r="C60" i="276"/>
  <c r="B60" i="276"/>
  <c r="F59" i="276"/>
  <c r="G59" i="276" s="1"/>
  <c r="D59" i="276"/>
  <c r="C59" i="276"/>
  <c r="B59" i="276"/>
  <c r="F58" i="276"/>
  <c r="G58" i="276" s="1"/>
  <c r="D58" i="276"/>
  <c r="C58" i="276"/>
  <c r="B58" i="276"/>
  <c r="F57" i="276"/>
  <c r="G57" i="276" s="1"/>
  <c r="D57" i="276"/>
  <c r="C57" i="276"/>
  <c r="B57" i="276"/>
  <c r="F56" i="276"/>
  <c r="G56" i="276" s="1"/>
  <c r="D56" i="276"/>
  <c r="C56" i="276"/>
  <c r="B56" i="276"/>
  <c r="C55" i="276"/>
  <c r="F53" i="276"/>
  <c r="G53" i="276" s="1"/>
  <c r="D53" i="276"/>
  <c r="C53" i="276"/>
  <c r="B53" i="276"/>
  <c r="F52" i="276"/>
  <c r="G52" i="276" s="1"/>
  <c r="D52" i="276"/>
  <c r="C52" i="276"/>
  <c r="B52" i="276"/>
  <c r="F51" i="276"/>
  <c r="G51" i="276" s="1"/>
  <c r="D51" i="276"/>
  <c r="C51" i="276"/>
  <c r="B51" i="276"/>
  <c r="F50" i="276"/>
  <c r="G50" i="276" s="1"/>
  <c r="D50" i="276"/>
  <c r="C50" i="276"/>
  <c r="B50" i="276"/>
  <c r="F49" i="276"/>
  <c r="G49" i="276" s="1"/>
  <c r="D49" i="276"/>
  <c r="C49" i="276"/>
  <c r="B49" i="276"/>
  <c r="F48" i="276"/>
  <c r="G48" i="276" s="1"/>
  <c r="D48" i="276"/>
  <c r="C48" i="276"/>
  <c r="B48" i="276"/>
  <c r="F47" i="276"/>
  <c r="G47" i="276" s="1"/>
  <c r="D47" i="276"/>
  <c r="C47" i="276"/>
  <c r="B47" i="276"/>
  <c r="F46" i="276"/>
  <c r="G46" i="276" s="1"/>
  <c r="D46" i="276"/>
  <c r="C46" i="276"/>
  <c r="B46" i="276"/>
  <c r="F45" i="276"/>
  <c r="G45" i="276" s="1"/>
  <c r="D45" i="276"/>
  <c r="C45" i="276"/>
  <c r="B45" i="276"/>
  <c r="C44" i="276"/>
  <c r="F42" i="276"/>
  <c r="G42" i="276" s="1"/>
  <c r="D42" i="276"/>
  <c r="C42" i="276"/>
  <c r="B42" i="276"/>
  <c r="F41" i="276"/>
  <c r="G41" i="276" s="1"/>
  <c r="D41" i="276"/>
  <c r="C41" i="276"/>
  <c r="B41" i="276"/>
  <c r="F40" i="276"/>
  <c r="G40" i="276" s="1"/>
  <c r="D40" i="276"/>
  <c r="C40" i="276"/>
  <c r="B40" i="276"/>
  <c r="F39" i="276"/>
  <c r="G39" i="276" s="1"/>
  <c r="D39" i="276"/>
  <c r="C39" i="276"/>
  <c r="B39" i="276"/>
  <c r="C38" i="276"/>
  <c r="F36" i="276"/>
  <c r="G36" i="276" s="1"/>
  <c r="D36" i="276"/>
  <c r="C36" i="276"/>
  <c r="B36" i="276"/>
  <c r="F35" i="276"/>
  <c r="G35" i="276" s="1"/>
  <c r="D35" i="276"/>
  <c r="C35" i="276"/>
  <c r="B35" i="276"/>
  <c r="F34" i="276"/>
  <c r="G34" i="276" s="1"/>
  <c r="D34" i="276"/>
  <c r="C34" i="276"/>
  <c r="B34" i="276"/>
  <c r="F33" i="276"/>
  <c r="G33" i="276" s="1"/>
  <c r="D33" i="276"/>
  <c r="C33" i="276"/>
  <c r="B33" i="276"/>
  <c r="F32" i="276"/>
  <c r="G32" i="276" s="1"/>
  <c r="D32" i="276"/>
  <c r="C32" i="276"/>
  <c r="B32" i="276"/>
  <c r="F31" i="276"/>
  <c r="G31" i="276" s="1"/>
  <c r="D31" i="276"/>
  <c r="C31" i="276"/>
  <c r="B31" i="276"/>
  <c r="F30" i="276"/>
  <c r="G30" i="276" s="1"/>
  <c r="D30" i="276"/>
  <c r="C30" i="276"/>
  <c r="B30" i="276"/>
  <c r="F29" i="276"/>
  <c r="G29" i="276" s="1"/>
  <c r="D29" i="276"/>
  <c r="C29" i="276"/>
  <c r="B29" i="276"/>
  <c r="F28" i="276"/>
  <c r="G28" i="276" s="1"/>
  <c r="D28" i="276"/>
  <c r="C28" i="276"/>
  <c r="B28" i="276"/>
  <c r="F27" i="276"/>
  <c r="G27" i="276" s="1"/>
  <c r="D27" i="276"/>
  <c r="C27" i="276"/>
  <c r="B27" i="276"/>
  <c r="F26" i="276"/>
  <c r="G26" i="276" s="1"/>
  <c r="D26" i="276"/>
  <c r="C26" i="276"/>
  <c r="B26" i="276"/>
  <c r="F25" i="276"/>
  <c r="G25" i="276" s="1"/>
  <c r="D25" i="276"/>
  <c r="C25" i="276"/>
  <c r="B25" i="276"/>
  <c r="F24" i="276"/>
  <c r="G24" i="276" s="1"/>
  <c r="D24" i="276"/>
  <c r="C24" i="276"/>
  <c r="B24" i="276"/>
  <c r="F23" i="276"/>
  <c r="G23" i="276" s="1"/>
  <c r="D23" i="276"/>
  <c r="C23" i="276"/>
  <c r="B23" i="276"/>
  <c r="F22" i="276"/>
  <c r="G22" i="276" s="1"/>
  <c r="D22" i="276"/>
  <c r="C22" i="276"/>
  <c r="B22" i="276"/>
  <c r="F21" i="276"/>
  <c r="G21" i="276" s="1"/>
  <c r="D21" i="276"/>
  <c r="C21" i="276"/>
  <c r="B21" i="276"/>
  <c r="F20" i="276"/>
  <c r="G20" i="276" s="1"/>
  <c r="D20" i="276"/>
  <c r="C20" i="276"/>
  <c r="B20" i="276"/>
  <c r="F19" i="276"/>
  <c r="G19" i="276" s="1"/>
  <c r="D19" i="276"/>
  <c r="C19" i="276"/>
  <c r="B19" i="276"/>
  <c r="F18" i="276"/>
  <c r="G18" i="276" s="1"/>
  <c r="D18" i="276"/>
  <c r="C18" i="276"/>
  <c r="B18" i="276"/>
  <c r="F17" i="276"/>
  <c r="G17" i="276" s="1"/>
  <c r="D17" i="276"/>
  <c r="C17" i="276"/>
  <c r="B17" i="276"/>
  <c r="F16" i="276"/>
  <c r="G16" i="276" s="1"/>
  <c r="D16" i="276"/>
  <c r="C16" i="276"/>
  <c r="B16" i="276"/>
  <c r="F14" i="276"/>
  <c r="G14" i="276" s="1"/>
  <c r="D14" i="276"/>
  <c r="C14" i="276"/>
  <c r="B14" i="276"/>
  <c r="F13" i="276"/>
  <c r="G13" i="276" s="1"/>
  <c r="D13" i="276"/>
  <c r="C13" i="276"/>
  <c r="B13" i="276"/>
  <c r="F12" i="276"/>
  <c r="G12" i="276" s="1"/>
  <c r="D12" i="276"/>
  <c r="C12" i="276"/>
  <c r="B12" i="276"/>
  <c r="F11" i="276"/>
  <c r="G11" i="276" s="1"/>
  <c r="D11" i="276"/>
  <c r="C11" i="276"/>
  <c r="B11" i="276"/>
  <c r="F10" i="276"/>
  <c r="G10" i="276" s="1"/>
  <c r="D10" i="276"/>
  <c r="C10" i="276"/>
  <c r="B10" i="276"/>
  <c r="F9" i="276"/>
  <c r="G9" i="276" s="1"/>
  <c r="D9" i="276"/>
  <c r="C9" i="276"/>
  <c r="B9" i="276"/>
  <c r="C8" i="276"/>
  <c r="H527" i="278" l="1"/>
  <c r="D680" i="278" s="1"/>
  <c r="H549" i="278"/>
  <c r="D682" i="278" s="1"/>
  <c r="H320" i="278"/>
  <c r="D660" i="278" s="1"/>
  <c r="H410" i="278"/>
  <c r="D670" i="278" s="1"/>
  <c r="H572" i="278"/>
  <c r="D684" i="278" s="1"/>
  <c r="H448" i="278"/>
  <c r="D673" i="278" s="1"/>
  <c r="H48" i="278"/>
  <c r="D646" i="278" s="1"/>
  <c r="H330" i="278"/>
  <c r="D661" i="278" s="1"/>
  <c r="H296" i="278"/>
  <c r="D657" i="278" s="1"/>
  <c r="H515" i="278"/>
  <c r="D679" i="278" s="1"/>
  <c r="H104" i="278"/>
  <c r="D652" i="278" s="1"/>
  <c r="H361" i="278"/>
  <c r="D665" i="278" s="1"/>
  <c r="H371" i="278"/>
  <c r="D666" i="278" s="1"/>
  <c r="H440" i="278"/>
  <c r="D672" i="278" s="1"/>
  <c r="H31" i="278"/>
  <c r="D644" i="278" s="1"/>
  <c r="H36" i="278"/>
  <c r="D645" i="278" s="1"/>
  <c r="H66" i="278"/>
  <c r="D648" i="278" s="1"/>
  <c r="H76" i="278"/>
  <c r="D649" i="278" s="1"/>
  <c r="H118" i="278"/>
  <c r="D653" i="278" s="1"/>
  <c r="H336" i="278"/>
  <c r="D662" i="278" s="1"/>
  <c r="H25" i="278"/>
  <c r="D643" i="278" s="1"/>
  <c r="H302" i="278"/>
  <c r="D658" i="278" s="1"/>
  <c r="H314" i="278"/>
  <c r="D659" i="278" s="1"/>
  <c r="H378" i="278"/>
  <c r="D667" i="278" s="1"/>
  <c r="H489" i="278"/>
  <c r="D677" i="278" s="1"/>
  <c r="H608" i="278"/>
  <c r="D688" i="278" s="1"/>
  <c r="H419" i="278"/>
  <c r="D671" i="278" s="1"/>
  <c r="H598" i="278"/>
  <c r="D687" i="278" s="1"/>
  <c r="H468" i="278"/>
  <c r="D675" i="278" s="1"/>
  <c r="H543" i="278"/>
  <c r="D681" i="278" s="1"/>
  <c r="H556" i="278"/>
  <c r="D683" i="278" s="1"/>
  <c r="H622" i="278"/>
  <c r="D689" i="278" s="1"/>
  <c r="H633" i="278"/>
  <c r="D690" i="278" s="1"/>
  <c r="H98" i="276"/>
  <c r="H828" i="276"/>
  <c r="H792" i="276"/>
  <c r="H778" i="276"/>
  <c r="H752" i="276"/>
  <c r="H742" i="276"/>
  <c r="H725" i="276"/>
  <c r="H648" i="276"/>
  <c r="H641" i="276"/>
  <c r="H619" i="276"/>
  <c r="H605" i="276"/>
  <c r="H551" i="276"/>
  <c r="H504" i="276"/>
  <c r="G480" i="276"/>
  <c r="H153" i="276"/>
  <c r="H42" i="276"/>
  <c r="H592" i="276"/>
  <c r="H666" i="276"/>
  <c r="H714" i="276"/>
  <c r="H53" i="276"/>
  <c r="H561" i="276"/>
  <c r="H680" i="276"/>
  <c r="F13" i="253"/>
  <c r="H461" i="276"/>
  <c r="H451" i="276"/>
  <c r="H437" i="276"/>
  <c r="H428" i="276"/>
  <c r="H407" i="276"/>
  <c r="H111" i="276"/>
  <c r="H167" i="276"/>
  <c r="H496" i="276"/>
  <c r="H599" i="276"/>
  <c r="H689" i="276"/>
  <c r="H137" i="276"/>
  <c r="H79" i="276"/>
  <c r="H36" i="276"/>
  <c r="B327" i="267" l="1"/>
  <c r="C327" i="267"/>
  <c r="D327" i="267"/>
  <c r="E327" i="267"/>
  <c r="F327" i="267"/>
  <c r="B343" i="267"/>
  <c r="C343" i="267"/>
  <c r="D343" i="267"/>
  <c r="E343" i="267"/>
  <c r="F343" i="267"/>
  <c r="B344" i="267"/>
  <c r="C344" i="267"/>
  <c r="D344" i="267"/>
  <c r="E344" i="267"/>
  <c r="F344" i="267"/>
  <c r="B348" i="267"/>
  <c r="C348" i="267"/>
  <c r="D348" i="267"/>
  <c r="E348" i="267"/>
  <c r="F348" i="267"/>
  <c r="F148" i="242"/>
  <c r="G327" i="267" s="1"/>
  <c r="F169" i="242"/>
  <c r="G348" i="267" s="1"/>
  <c r="B226" i="267" l="1"/>
  <c r="C226" i="267"/>
  <c r="D226" i="267"/>
  <c r="F226" i="267"/>
  <c r="B227" i="267"/>
  <c r="C227" i="267"/>
  <c r="D227" i="267"/>
  <c r="F227" i="267"/>
  <c r="D47" i="242"/>
  <c r="F47" i="242" s="1"/>
  <c r="G227" i="267" s="1"/>
  <c r="D46" i="242"/>
  <c r="E226" i="267" s="1"/>
  <c r="E7" i="212"/>
  <c r="L645" i="3"/>
  <c r="B845" i="276"/>
  <c r="B846" i="276" s="1"/>
  <c r="B847" i="276" s="1"/>
  <c r="B848" i="276" s="1"/>
  <c r="B849" i="276" s="1"/>
  <c r="B850" i="276" s="1"/>
  <c r="B851" i="276" s="1"/>
  <c r="B852" i="276" s="1"/>
  <c r="B853" i="276" s="1"/>
  <c r="B854" i="276" s="1"/>
  <c r="B855" i="276" s="1"/>
  <c r="B856" i="276" s="1"/>
  <c r="B857" i="276" s="1"/>
  <c r="B858" i="276" s="1"/>
  <c r="B859" i="276" s="1"/>
  <c r="B860" i="276" s="1"/>
  <c r="B861" i="276" s="1"/>
  <c r="B862" i="276" s="1"/>
  <c r="B863" i="276" s="1"/>
  <c r="B864" i="276" s="1"/>
  <c r="B865" i="276" s="1"/>
  <c r="B866" i="276" s="1"/>
  <c r="B867" i="276" s="1"/>
  <c r="B868" i="276" s="1"/>
  <c r="B869" i="276" s="1"/>
  <c r="B870" i="276" s="1"/>
  <c r="B871" i="276" s="1"/>
  <c r="B872" i="276" s="1"/>
  <c r="B873" i="276" s="1"/>
  <c r="B874" i="276" s="1"/>
  <c r="B875" i="276" s="1"/>
  <c r="B876" i="276" s="1"/>
  <c r="B877" i="276" s="1"/>
  <c r="B878" i="276" s="1"/>
  <c r="B879" i="276" s="1"/>
  <c r="B880" i="276" s="1"/>
  <c r="B881" i="276" s="1"/>
  <c r="B882" i="276" s="1"/>
  <c r="B883" i="276" s="1"/>
  <c r="B884" i="276" s="1"/>
  <c r="B885" i="276" s="1"/>
  <c r="B886" i="276" s="1"/>
  <c r="B887" i="276" s="1"/>
  <c r="B888" i="276" s="1"/>
  <c r="B889" i="276" s="1"/>
  <c r="B890" i="276" s="1"/>
  <c r="B891" i="276" s="1"/>
  <c r="F46" i="242" l="1"/>
  <c r="G226" i="267" s="1"/>
  <c r="E227" i="267"/>
  <c r="B503" i="267"/>
  <c r="C503" i="267"/>
  <c r="D503" i="267"/>
  <c r="F503" i="267"/>
  <c r="E503" i="267"/>
  <c r="B250" i="267"/>
  <c r="C250" i="267"/>
  <c r="D250" i="267"/>
  <c r="E250" i="267"/>
  <c r="F250" i="267"/>
  <c r="F71" i="242"/>
  <c r="G250" i="267" s="1"/>
  <c r="F8" i="256" l="1"/>
  <c r="G503" i="267" s="1"/>
  <c r="C608" i="267"/>
  <c r="C892" i="267" s="1"/>
  <c r="B392" i="267" l="1"/>
  <c r="C392" i="267"/>
  <c r="D392" i="267"/>
  <c r="E392" i="267"/>
  <c r="F392" i="267"/>
  <c r="F22" i="243"/>
  <c r="G392" i="267" s="1"/>
  <c r="F164" i="242"/>
  <c r="G343" i="267" s="1"/>
  <c r="F165" i="242"/>
  <c r="G344" i="267" s="1"/>
  <c r="B697" i="267" l="1"/>
  <c r="C697" i="267"/>
  <c r="D697" i="267"/>
  <c r="E697" i="267"/>
  <c r="F697" i="267"/>
  <c r="D705" i="267"/>
  <c r="F705" i="267"/>
  <c r="F10" i="232"/>
  <c r="G697" i="267" s="1"/>
  <c r="D673" i="267" l="1"/>
  <c r="F673" i="267"/>
  <c r="B674" i="267"/>
  <c r="C674" i="267"/>
  <c r="D674" i="267"/>
  <c r="E674" i="267"/>
  <c r="F674" i="267"/>
  <c r="B676" i="267"/>
  <c r="C676" i="267"/>
  <c r="D676" i="267"/>
  <c r="E676" i="267"/>
  <c r="F676" i="267"/>
  <c r="D677" i="267"/>
  <c r="F677" i="267"/>
  <c r="D678" i="267"/>
  <c r="F678" i="267"/>
  <c r="B826" i="267"/>
  <c r="C826" i="267"/>
  <c r="D826" i="267"/>
  <c r="F826" i="267"/>
  <c r="D13" i="209"/>
  <c r="F13" i="209" s="1"/>
  <c r="G826" i="267" s="1"/>
  <c r="F12" i="229"/>
  <c r="G676" i="267" s="1"/>
  <c r="F10" i="229"/>
  <c r="G674" i="267" s="1"/>
  <c r="C87" i="274"/>
  <c r="C85" i="274"/>
  <c r="E826" i="267" l="1"/>
  <c r="C93" i="270"/>
  <c r="C86" i="266"/>
  <c r="C85" i="266"/>
  <c r="C83" i="266"/>
  <c r="C80" i="266"/>
  <c r="C796" i="267"/>
  <c r="C907" i="267" s="1"/>
  <c r="C783" i="267"/>
  <c r="C906" i="267" s="1"/>
  <c r="C767" i="267"/>
  <c r="C905" i="267" s="1"/>
  <c r="C88" i="271"/>
  <c r="C129" i="271" s="1"/>
  <c r="C49" i="274"/>
  <c r="C22" i="275"/>
  <c r="C44" i="275" s="1"/>
  <c r="C78" i="45"/>
  <c r="C101" i="45" s="1"/>
  <c r="C64" i="272"/>
  <c r="C115" i="272" s="1"/>
  <c r="C71" i="270"/>
  <c r="C73" i="271"/>
  <c r="C128" i="271" s="1"/>
  <c r="C59" i="266"/>
  <c r="C755" i="267"/>
  <c r="C904" i="267" s="1"/>
  <c r="C745" i="267"/>
  <c r="C903" i="267" s="1"/>
  <c r="D735" i="267"/>
  <c r="F735" i="267"/>
  <c r="D736" i="267"/>
  <c r="F736" i="267"/>
  <c r="C728" i="267"/>
  <c r="C902" i="267" s="1"/>
  <c r="C717" i="267"/>
  <c r="C901" i="267" s="1"/>
  <c r="B712" i="267"/>
  <c r="C712" i="267"/>
  <c r="D712" i="267"/>
  <c r="E712" i="267"/>
  <c r="F712" i="267"/>
  <c r="G712" i="267"/>
  <c r="D711" i="267"/>
  <c r="F711" i="267"/>
  <c r="C710" i="267"/>
  <c r="C900" i="267" s="1"/>
  <c r="C683" i="267"/>
  <c r="C898" i="267" s="1"/>
  <c r="F661" i="267"/>
  <c r="C651" i="267"/>
  <c r="C896" i="267" s="1"/>
  <c r="C644" i="267"/>
  <c r="C895" i="267" s="1"/>
  <c r="C625" i="267"/>
  <c r="C894" i="267" s="1"/>
  <c r="C36" i="266"/>
  <c r="C621" i="267"/>
  <c r="C893" i="267" s="1"/>
  <c r="C601" i="267"/>
  <c r="C891" i="267" s="1"/>
  <c r="C594" i="267"/>
  <c r="C890" i="267" s="1"/>
  <c r="C564" i="267"/>
  <c r="C889" i="267" s="1"/>
  <c r="C554" i="267"/>
  <c r="C888" i="267" s="1"/>
  <c r="C26" i="268"/>
  <c r="C42" i="268" s="1"/>
  <c r="C542" i="267"/>
  <c r="C887" i="267" s="1"/>
  <c r="C508" i="267"/>
  <c r="C885" i="267" s="1"/>
  <c r="C33" i="274"/>
  <c r="C62" i="45"/>
  <c r="C99" i="45" s="1"/>
  <c r="C487" i="267"/>
  <c r="C883" i="267" s="1"/>
  <c r="D460" i="267"/>
  <c r="F460" i="267"/>
  <c r="C454" i="267"/>
  <c r="C880" i="267" s="1"/>
  <c r="D449" i="267"/>
  <c r="E449" i="267"/>
  <c r="F449" i="267"/>
  <c r="D450" i="267"/>
  <c r="E450" i="267"/>
  <c r="F450" i="267"/>
  <c r="C440" i="267"/>
  <c r="C879" i="267" s="1"/>
  <c r="C431" i="267"/>
  <c r="C878" i="267" s="1"/>
  <c r="C417" i="267"/>
  <c r="C877" i="267" s="1"/>
  <c r="C23" i="266"/>
  <c r="C410" i="267"/>
  <c r="C876" i="267" s="1"/>
  <c r="C155" i="267" l="1"/>
  <c r="C871" i="267" s="1"/>
  <c r="C139" i="267"/>
  <c r="C870" i="267" s="1"/>
  <c r="C134" i="267"/>
  <c r="C869" i="267" s="1"/>
  <c r="B42" i="275"/>
  <c r="B43" i="275" s="1"/>
  <c r="B44" i="275" s="1"/>
  <c r="B84" i="274"/>
  <c r="B85" i="274" s="1"/>
  <c r="B86" i="274" s="1"/>
  <c r="B87" i="274" s="1"/>
  <c r="B83" i="274"/>
  <c r="C15" i="45"/>
  <c r="C94" i="45" s="1"/>
  <c r="C7" i="270"/>
  <c r="C87" i="270" s="1"/>
  <c r="C7" i="271"/>
  <c r="C123" i="271" s="1"/>
  <c r="C7" i="266"/>
  <c r="C7" i="268"/>
  <c r="C39" i="268" s="1"/>
  <c r="C99" i="267"/>
  <c r="C867" i="267" s="1"/>
  <c r="C7" i="45"/>
  <c r="C93" i="45" s="1"/>
  <c r="B111" i="272"/>
  <c r="B124" i="271"/>
  <c r="B125" i="271" s="1"/>
  <c r="B126" i="271" s="1"/>
  <c r="B127" i="271" s="1"/>
  <c r="B128" i="271" s="1"/>
  <c r="B129" i="271" s="1"/>
  <c r="B88" i="270"/>
  <c r="B89" i="270" s="1"/>
  <c r="B90" i="270" s="1"/>
  <c r="B91" i="270" s="1"/>
  <c r="B92" i="270" s="1"/>
  <c r="B93" i="270" s="1"/>
  <c r="D94" i="267"/>
  <c r="F94" i="267"/>
  <c r="D95" i="267"/>
  <c r="F95" i="267"/>
  <c r="C92" i="267"/>
  <c r="C866" i="267" s="1"/>
  <c r="D89" i="267"/>
  <c r="F89" i="267"/>
  <c r="C80" i="267"/>
  <c r="C865" i="267" s="1"/>
  <c r="C54" i="267"/>
  <c r="C864" i="267" s="1"/>
  <c r="C43" i="267"/>
  <c r="C863" i="267" s="1"/>
  <c r="C37" i="267"/>
  <c r="C862" i="267" s="1"/>
  <c r="B40" i="268"/>
  <c r="B41" i="268" s="1"/>
  <c r="B42" i="268" s="1"/>
  <c r="B862" i="267"/>
  <c r="B863" i="267" s="1"/>
  <c r="B864" i="267" s="1"/>
  <c r="B865" i="267" s="1"/>
  <c r="B866" i="267" s="1"/>
  <c r="B867" i="267" s="1"/>
  <c r="B868" i="267" s="1"/>
  <c r="B869" i="267" s="1"/>
  <c r="B870" i="267" s="1"/>
  <c r="B871" i="267" s="1"/>
  <c r="B872" i="267" s="1"/>
  <c r="B873" i="267" s="1"/>
  <c r="B874" i="267" s="1"/>
  <c r="B875" i="267" s="1"/>
  <c r="B876" i="267" s="1"/>
  <c r="B877" i="267" s="1"/>
  <c r="B878" i="267" s="1"/>
  <c r="B879" i="267" s="1"/>
  <c r="B880" i="267" s="1"/>
  <c r="B881" i="267" s="1"/>
  <c r="B882" i="267" s="1"/>
  <c r="B883" i="267" s="1"/>
  <c r="B884" i="267" s="1"/>
  <c r="B885" i="267" s="1"/>
  <c r="B886" i="267" s="1"/>
  <c r="B887" i="267" s="1"/>
  <c r="B888" i="267" s="1"/>
  <c r="B889" i="267" s="1"/>
  <c r="B890" i="267" s="1"/>
  <c r="B81" i="266"/>
  <c r="B82" i="266" s="1"/>
  <c r="B83" i="266" s="1"/>
  <c r="B84" i="266" s="1"/>
  <c r="B85" i="266" s="1"/>
  <c r="B86" i="266" s="1"/>
  <c r="F7" i="233"/>
  <c r="B112" i="272" l="1"/>
  <c r="B113" i="272" s="1"/>
  <c r="B114" i="272" s="1"/>
  <c r="B115" i="272" s="1"/>
  <c r="B891" i="267"/>
  <c r="B892" i="267" s="1"/>
  <c r="B893" i="267" s="1"/>
  <c r="B894" i="267" s="1"/>
  <c r="B895" i="267" s="1"/>
  <c r="B896" i="267" s="1"/>
  <c r="B897" i="267" s="1"/>
  <c r="B898" i="267" s="1"/>
  <c r="B899" i="267" s="1"/>
  <c r="B900" i="267" s="1"/>
  <c r="B901" i="267" s="1"/>
  <c r="B902" i="267" s="1"/>
  <c r="B903" i="267" s="1"/>
  <c r="B904" i="267" s="1"/>
  <c r="B905" i="267" s="1"/>
  <c r="B906" i="267" s="1"/>
  <c r="B907" i="267" s="1"/>
  <c r="B908" i="267" s="1"/>
  <c r="P235" i="4" l="1"/>
  <c r="H5" i="3"/>
  <c r="K3" i="3"/>
  <c r="J2" i="3"/>
  <c r="J6" i="3"/>
  <c r="G5" i="3"/>
  <c r="J4" i="3"/>
  <c r="J3" i="3"/>
  <c r="I2" i="3"/>
  <c r="I7" i="3"/>
  <c r="I6" i="3"/>
  <c r="F5" i="3"/>
  <c r="I4" i="3"/>
  <c r="I3" i="3"/>
  <c r="H2" i="3"/>
  <c r="H7" i="3"/>
  <c r="H6" i="3"/>
  <c r="H4" i="3"/>
  <c r="H3" i="3"/>
  <c r="G2" i="3"/>
  <c r="G7" i="3"/>
  <c r="G6" i="3"/>
  <c r="G4" i="3"/>
  <c r="G3" i="3"/>
  <c r="F2" i="3"/>
  <c r="F7" i="3"/>
  <c r="F6" i="3"/>
  <c r="E5" i="3"/>
  <c r="F4" i="3"/>
  <c r="F3" i="3"/>
  <c r="E2" i="3"/>
  <c r="E7" i="3"/>
  <c r="E6" i="3"/>
  <c r="D5" i="3"/>
  <c r="E4" i="3"/>
  <c r="E3" i="3"/>
  <c r="D2" i="3"/>
  <c r="D7" i="3"/>
  <c r="D6" i="3"/>
  <c r="C5" i="3"/>
  <c r="D4" i="3"/>
  <c r="D3" i="3"/>
  <c r="C2" i="3"/>
  <c r="C7" i="3"/>
  <c r="C6" i="3"/>
  <c r="B5" i="3"/>
  <c r="C4" i="3"/>
  <c r="C3" i="3"/>
  <c r="B2" i="3"/>
  <c r="B7" i="3"/>
  <c r="B6" i="3"/>
  <c r="B4" i="3"/>
  <c r="B3" i="3"/>
  <c r="A7" i="3"/>
  <c r="A6" i="3"/>
  <c r="A5" i="3"/>
  <c r="A4" i="3"/>
  <c r="A3" i="3"/>
  <c r="A2" i="3"/>
  <c r="C1183" i="4" l="1"/>
  <c r="E6" i="209"/>
  <c r="E7" i="209"/>
  <c r="E16" i="208"/>
  <c r="E6" i="208"/>
  <c r="E7" i="207"/>
  <c r="E6" i="207"/>
  <c r="E8" i="206"/>
  <c r="E13" i="206"/>
  <c r="E10" i="206"/>
  <c r="E6" i="215"/>
  <c r="E8" i="215"/>
  <c r="E7" i="215"/>
  <c r="E12" i="215"/>
  <c r="E6" i="212"/>
  <c r="E14" i="212"/>
  <c r="E15" i="212"/>
  <c r="E10" i="212"/>
  <c r="E6" i="211"/>
  <c r="E7" i="211"/>
  <c r="E8" i="233"/>
  <c r="E15" i="232"/>
  <c r="E16" i="232"/>
  <c r="E19" i="232"/>
  <c r="F706" i="276" s="1"/>
  <c r="G706" i="276" s="1"/>
  <c r="H707" i="276" s="1"/>
  <c r="E11" i="229"/>
  <c r="E10" i="228"/>
  <c r="E19" i="228"/>
  <c r="E16" i="228"/>
  <c r="E9" i="228"/>
  <c r="E6" i="226"/>
  <c r="E7" i="226"/>
  <c r="E15" i="226"/>
  <c r="E11" i="226"/>
  <c r="E15" i="222"/>
  <c r="E6" i="265"/>
  <c r="E7" i="264"/>
  <c r="E8" i="264"/>
  <c r="E10" i="264"/>
  <c r="F756" i="276" l="1"/>
  <c r="G756" i="276" s="1"/>
  <c r="H764" i="276" s="1"/>
  <c r="F580" i="278"/>
  <c r="G580" i="278" s="1"/>
  <c r="H587" i="278" s="1"/>
  <c r="D686" i="278" s="1"/>
  <c r="F595" i="267"/>
  <c r="F703" i="267"/>
  <c r="F756" i="267"/>
  <c r="F618" i="267"/>
  <c r="F656" i="267"/>
  <c r="F567" i="267"/>
  <c r="F675" i="267"/>
  <c r="F738" i="267"/>
  <c r="F566" i="267"/>
  <c r="F635" i="267"/>
  <c r="F662" i="267"/>
  <c r="F706" i="267"/>
  <c r="F719" i="267"/>
  <c r="F737" i="267"/>
  <c r="F758" i="267"/>
  <c r="F770" i="267"/>
  <c r="F807" i="267"/>
  <c r="F665" i="267"/>
  <c r="F729" i="267"/>
  <c r="F820" i="267"/>
  <c r="F626" i="267"/>
  <c r="F733" i="267"/>
  <c r="F762" i="267"/>
  <c r="F772" i="267"/>
  <c r="F785" i="267"/>
  <c r="F819" i="267"/>
  <c r="F627" i="267"/>
  <c r="F718" i="267"/>
  <c r="F784" i="267"/>
  <c r="F569" i="267"/>
  <c r="F702" i="267"/>
  <c r="F631" i="267"/>
  <c r="F655" i="267"/>
  <c r="F713" i="267"/>
  <c r="F757" i="267"/>
  <c r="F775" i="267"/>
  <c r="F797" i="267"/>
  <c r="E7" i="263"/>
  <c r="E10" i="263"/>
  <c r="E12" i="260"/>
  <c r="E6" i="259"/>
  <c r="E13" i="254"/>
  <c r="E7" i="251"/>
  <c r="E7" i="250"/>
  <c r="E12" i="250"/>
  <c r="E6" i="250"/>
  <c r="E10" i="248"/>
  <c r="E6" i="248"/>
  <c r="E7" i="248"/>
  <c r="E7" i="245"/>
  <c r="E6" i="243"/>
  <c r="E8" i="243"/>
  <c r="E9" i="243"/>
  <c r="E10" i="243"/>
  <c r="E20" i="243"/>
  <c r="E25" i="243"/>
  <c r="E21" i="243"/>
  <c r="E22" i="242"/>
  <c r="E105" i="242"/>
  <c r="E106" i="242"/>
  <c r="E109" i="242"/>
  <c r="E160" i="242"/>
  <c r="E178" i="242"/>
  <c r="F356" i="276" s="1"/>
  <c r="G356" i="276" s="1"/>
  <c r="E26" i="242"/>
  <c r="F205" i="276" s="1"/>
  <c r="G205" i="276" s="1"/>
  <c r="E29" i="242"/>
  <c r="F208" i="276" s="1"/>
  <c r="G208" i="276" s="1"/>
  <c r="E55" i="242"/>
  <c r="F233" i="276" s="1"/>
  <c r="G233" i="276" s="1"/>
  <c r="E56" i="242"/>
  <c r="E57" i="242"/>
  <c r="E87" i="242"/>
  <c r="E104" i="242"/>
  <c r="F365" i="276"/>
  <c r="G365" i="276" s="1"/>
  <c r="E21" i="242"/>
  <c r="E115" i="242"/>
  <c r="F293" i="276" s="1"/>
  <c r="G293" i="276" s="1"/>
  <c r="E123" i="242"/>
  <c r="F301" i="276" s="1"/>
  <c r="G301" i="276" s="1"/>
  <c r="E173" i="242"/>
  <c r="E11" i="242"/>
  <c r="E48" i="242"/>
  <c r="E70" i="242"/>
  <c r="E146" i="242"/>
  <c r="E147" i="242"/>
  <c r="E128" i="242"/>
  <c r="E7" i="241"/>
  <c r="F172" i="276" s="1"/>
  <c r="G172" i="276" s="1"/>
  <c r="E10" i="241"/>
  <c r="F174" i="267" s="1"/>
  <c r="E6" i="241"/>
  <c r="F171" i="276" s="1"/>
  <c r="G171" i="276" s="1"/>
  <c r="E16" i="239"/>
  <c r="E7" i="238"/>
  <c r="E18" i="238"/>
  <c r="E6" i="237"/>
  <c r="E6" i="236"/>
  <c r="E18" i="236"/>
  <c r="E51" i="236"/>
  <c r="F24" i="270" s="1"/>
  <c r="E6" i="235"/>
  <c r="E7" i="235"/>
  <c r="E39" i="235"/>
  <c r="F8" i="270" s="1"/>
  <c r="E6" i="234"/>
  <c r="E10" i="234"/>
  <c r="E12" i="218"/>
  <c r="E13" i="218"/>
  <c r="E14" i="218"/>
  <c r="E7" i="218"/>
  <c r="E9" i="218"/>
  <c r="E10" i="218"/>
  <c r="E11" i="218"/>
  <c r="E6" i="210"/>
  <c r="E7" i="210"/>
  <c r="E18" i="210"/>
  <c r="E8" i="210"/>
  <c r="E13" i="210"/>
  <c r="E6" i="203"/>
  <c r="E7" i="203"/>
  <c r="E8" i="203"/>
  <c r="E9" i="203"/>
  <c r="E10" i="203"/>
  <c r="E13" i="203"/>
  <c r="E16" i="78"/>
  <c r="E24" i="78"/>
  <c r="E33" i="78"/>
  <c r="BI1159" i="4"/>
  <c r="AF1134" i="4"/>
  <c r="AF1133" i="4"/>
  <c r="AF1129" i="4"/>
  <c r="AF1128" i="4"/>
  <c r="AF1127" i="4"/>
  <c r="K1122" i="4"/>
  <c r="K1121" i="4"/>
  <c r="K1120" i="4"/>
  <c r="K1119" i="4"/>
  <c r="K1114" i="4"/>
  <c r="AF1124" i="4"/>
  <c r="AF1123" i="4"/>
  <c r="AF1122" i="4"/>
  <c r="AF1121" i="4"/>
  <c r="AF1120" i="4"/>
  <c r="AF1119" i="4"/>
  <c r="AF1118" i="4"/>
  <c r="AF1117" i="4"/>
  <c r="AF1116" i="4"/>
  <c r="AF1115" i="4"/>
  <c r="L1356" i="54"/>
  <c r="L1357" i="54"/>
  <c r="BK1045" i="4"/>
  <c r="BI1045" i="4"/>
  <c r="AF1045" i="4"/>
  <c r="Q1045" i="4"/>
  <c r="M1045" i="4"/>
  <c r="A923" i="4"/>
  <c r="Q923" i="4"/>
  <c r="M923" i="4"/>
  <c r="L923" i="4"/>
  <c r="BI921" i="4"/>
  <c r="L921" i="4"/>
  <c r="M915" i="4"/>
  <c r="Q910" i="4"/>
  <c r="BI877" i="4"/>
  <c r="AF877" i="4"/>
  <c r="Q877" i="4"/>
  <c r="M877" i="4"/>
  <c r="L843" i="4"/>
  <c r="AC843" i="4"/>
  <c r="BF755" i="4"/>
  <c r="E652" i="4"/>
  <c r="L640" i="4"/>
  <c r="S639" i="4"/>
  <c r="F182" i="278" l="1"/>
  <c r="G182" i="278" s="1"/>
  <c r="F248" i="276"/>
  <c r="G248" i="276" s="1"/>
  <c r="F207" i="278"/>
  <c r="G207" i="278" s="1"/>
  <c r="F282" i="276"/>
  <c r="G282" i="276" s="1"/>
  <c r="F338" i="276"/>
  <c r="G338" i="276" s="1"/>
  <c r="F339" i="267"/>
  <c r="F146" i="278"/>
  <c r="G146" i="278" s="1"/>
  <c r="F201" i="276"/>
  <c r="G201" i="276" s="1"/>
  <c r="F225" i="278"/>
  <c r="G225" i="278" s="1"/>
  <c r="F306" i="276"/>
  <c r="G306" i="276" s="1"/>
  <c r="F165" i="278"/>
  <c r="G165" i="278" s="1"/>
  <c r="F227" i="276"/>
  <c r="G227" i="276" s="1"/>
  <c r="F193" i="278"/>
  <c r="G193" i="278" s="1"/>
  <c r="F265" i="276"/>
  <c r="G265" i="276" s="1"/>
  <c r="F212" i="278"/>
  <c r="G212" i="278" s="1"/>
  <c r="F287" i="276"/>
  <c r="G287" i="276" s="1"/>
  <c r="F240" i="278"/>
  <c r="G240" i="278" s="1"/>
  <c r="F325" i="276"/>
  <c r="G325" i="276" s="1"/>
  <c r="F326" i="267"/>
  <c r="F138" i="278"/>
  <c r="G138" i="278" s="1"/>
  <c r="F190" i="276"/>
  <c r="G190" i="276" s="1"/>
  <c r="F145" i="278"/>
  <c r="G145" i="278" s="1"/>
  <c r="F200" i="276"/>
  <c r="G200" i="276" s="1"/>
  <c r="F171" i="278"/>
  <c r="G171" i="278" s="1"/>
  <c r="F235" i="276"/>
  <c r="G235" i="276" s="1"/>
  <c r="F209" i="278"/>
  <c r="G209" i="278" s="1"/>
  <c r="F284" i="276"/>
  <c r="G284" i="276" s="1"/>
  <c r="F239" i="278"/>
  <c r="G239" i="278" s="1"/>
  <c r="F324" i="276"/>
  <c r="G324" i="276" s="1"/>
  <c r="F325" i="267"/>
  <c r="F351" i="276"/>
  <c r="G351" i="276" s="1"/>
  <c r="F352" i="267"/>
  <c r="F170" i="278"/>
  <c r="G170" i="278" s="1"/>
  <c r="F234" i="276"/>
  <c r="G234" i="276" s="1"/>
  <c r="F208" i="278"/>
  <c r="G208" i="278" s="1"/>
  <c r="F283" i="276"/>
  <c r="G283" i="276" s="1"/>
  <c r="F84" i="278"/>
  <c r="G84" i="278" s="1"/>
  <c r="F126" i="276"/>
  <c r="G126" i="276" s="1"/>
  <c r="F79" i="278"/>
  <c r="G79" i="278" s="1"/>
  <c r="F114" i="276"/>
  <c r="G114" i="276" s="1"/>
  <c r="F56" i="278"/>
  <c r="G56" i="278" s="1"/>
  <c r="H58" i="278" s="1"/>
  <c r="D647" i="278" s="1"/>
  <c r="F88" i="276"/>
  <c r="G88" i="276" s="1"/>
  <c r="H91" i="276" s="1"/>
  <c r="F174" i="276"/>
  <c r="G174" i="276" s="1"/>
  <c r="F123" i="278"/>
  <c r="G123" i="278" s="1"/>
  <c r="F393" i="278"/>
  <c r="G393" i="278" s="1"/>
  <c r="F533" i="276"/>
  <c r="G533" i="276" s="1"/>
  <c r="F57" i="267"/>
  <c r="F376" i="267"/>
  <c r="F559" i="267"/>
  <c r="F51" i="267"/>
  <c r="F45" i="267"/>
  <c r="F67" i="267"/>
  <c r="F84" i="267"/>
  <c r="F87" i="267"/>
  <c r="F125" i="267"/>
  <c r="F141" i="267"/>
  <c r="F171" i="267"/>
  <c r="F380" i="267"/>
  <c r="F412" i="267"/>
  <c r="F441" i="267"/>
  <c r="F495" i="267"/>
  <c r="F556" i="267"/>
  <c r="F46" i="267"/>
  <c r="F85" i="267"/>
  <c r="F93" i="267"/>
  <c r="F152" i="267"/>
  <c r="F436" i="267"/>
  <c r="F456" i="267"/>
  <c r="F48" i="267"/>
  <c r="F44" i="267"/>
  <c r="F56" i="267"/>
  <c r="F83" i="267"/>
  <c r="F86" i="267"/>
  <c r="F101" i="267"/>
  <c r="F113" i="267"/>
  <c r="F166" i="267"/>
  <c r="F228" i="267"/>
  <c r="F391" i="267"/>
  <c r="F379" i="267"/>
  <c r="F433" i="267"/>
  <c r="F447" i="267"/>
  <c r="F533" i="267"/>
  <c r="F88" i="267"/>
  <c r="F390" i="267"/>
  <c r="F47" i="267"/>
  <c r="F62" i="267"/>
  <c r="F55" i="267"/>
  <c r="F81" i="267"/>
  <c r="F97" i="267"/>
  <c r="F100" i="267"/>
  <c r="F135" i="267"/>
  <c r="F170" i="267"/>
  <c r="F395" i="267"/>
  <c r="F378" i="267"/>
  <c r="F432" i="267"/>
  <c r="F442" i="267"/>
  <c r="F549" i="267"/>
  <c r="F249" i="267"/>
  <c r="F35" i="267"/>
  <c r="F26" i="267"/>
  <c r="F18" i="267"/>
  <c r="F307" i="267"/>
  <c r="F294" i="267"/>
  <c r="F266" i="267"/>
  <c r="F209" i="267"/>
  <c r="F288" i="267"/>
  <c r="F191" i="267"/>
  <c r="F201" i="267"/>
  <c r="F236" i="267"/>
  <c r="F206" i="267"/>
  <c r="F285" i="267"/>
  <c r="F179" i="267"/>
  <c r="F235" i="267"/>
  <c r="F357" i="267"/>
  <c r="F284" i="267"/>
  <c r="F302" i="267"/>
  <c r="F283" i="267"/>
  <c r="F234" i="267"/>
  <c r="F202" i="267"/>
  <c r="AE446" i="4"/>
  <c r="AE173" i="4"/>
  <c r="AB147" i="4"/>
  <c r="Y46" i="4"/>
  <c r="R28" i="4"/>
  <c r="F7" i="54" l="1"/>
  <c r="BP205" i="4"/>
  <c r="BP466" i="4"/>
  <c r="BN55" i="4" l="1"/>
  <c r="BN53" i="4"/>
  <c r="BM55" i="4" l="1"/>
  <c r="BM53" i="4"/>
  <c r="BI1004" i="4" l="1"/>
  <c r="BH229" i="4" l="1"/>
  <c r="BH152" i="4"/>
  <c r="BH55" i="4"/>
  <c r="BH53" i="4"/>
  <c r="BH151" i="4"/>
  <c r="BG633" i="4"/>
  <c r="BG476" i="4"/>
  <c r="BG475" i="4"/>
  <c r="BG240" i="4" l="1"/>
  <c r="BF152" i="4"/>
  <c r="BF151" i="4"/>
  <c r="BF28" i="4"/>
  <c r="BE152" i="4"/>
  <c r="BE232" i="4"/>
  <c r="BD494" i="4" l="1"/>
  <c r="BA94" i="4" l="1"/>
  <c r="BA93" i="4"/>
  <c r="BA149" i="4"/>
  <c r="BA132" i="4"/>
  <c r="BA121" i="4"/>
  <c r="BA115" i="4"/>
  <c r="BA114" i="4"/>
  <c r="BA92" i="4"/>
  <c r="BA91" i="4"/>
  <c r="BA770" i="4"/>
  <c r="BA260" i="4"/>
  <c r="BA230" i="4"/>
  <c r="BA229" i="4"/>
  <c r="BA209" i="4"/>
  <c r="BA163" i="4"/>
  <c r="AZ523" i="4"/>
  <c r="L639" i="4" l="1"/>
  <c r="L648" i="4"/>
  <c r="L655" i="4"/>
  <c r="L701" i="4"/>
  <c r="AW810" i="4" l="1"/>
  <c r="AW809" i="4"/>
  <c r="AW808" i="4"/>
  <c r="AW807" i="4"/>
  <c r="AR240" i="4" l="1"/>
  <c r="AR150" i="4"/>
  <c r="AK103" i="4" l="1"/>
  <c r="AK16" i="4"/>
  <c r="AB476" i="4" l="1"/>
  <c r="AB475" i="4"/>
  <c r="AB361" i="4"/>
  <c r="AB240" i="4"/>
  <c r="AA232" i="4" l="1"/>
  <c r="AA200" i="4"/>
  <c r="AA188" i="4"/>
  <c r="AA152" i="4"/>
  <c r="X256" i="4" l="1"/>
  <c r="V232" i="4"/>
  <c r="V53" i="4"/>
  <c r="T486" i="4" l="1"/>
  <c r="I330" i="4" l="1"/>
  <c r="I273" i="4"/>
  <c r="K65" i="4" l="1"/>
  <c r="K64" i="4"/>
  <c r="J634" i="4"/>
  <c r="J179" i="4"/>
  <c r="J126" i="4"/>
  <c r="J53" i="4"/>
  <c r="J55" i="4"/>
  <c r="H45" i="4" l="1"/>
  <c r="H44" i="4"/>
  <c r="H43" i="4"/>
  <c r="H42" i="4"/>
  <c r="H39" i="4"/>
  <c r="H38" i="4"/>
  <c r="H37" i="4"/>
  <c r="H36" i="4"/>
  <c r="H34" i="4"/>
  <c r="H33" i="4"/>
  <c r="H32" i="4"/>
  <c r="G1" i="4" l="1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F1" i="4"/>
  <c r="E1" i="4"/>
  <c r="B1" i="4" l="1"/>
  <c r="C7" i="54"/>
  <c r="B1" i="209" l="1"/>
  <c r="C818" i="267" s="1"/>
  <c r="C908" i="267" s="1"/>
  <c r="B1" i="208"/>
  <c r="B1" i="207"/>
  <c r="B1" i="206"/>
  <c r="B1" i="217"/>
  <c r="B1" i="216"/>
  <c r="B1" i="215"/>
  <c r="B1" i="214"/>
  <c r="B1" i="213"/>
  <c r="B1" i="212"/>
  <c r="B1" i="211"/>
  <c r="B1" i="233"/>
  <c r="B1" i="232"/>
  <c r="C692" i="267" s="1"/>
  <c r="C899" i="267" s="1"/>
  <c r="B1" i="231"/>
  <c r="B1" i="229"/>
  <c r="C669" i="267" s="1"/>
  <c r="C897" i="267" s="1"/>
  <c r="B1" i="228"/>
  <c r="B1" i="227"/>
  <c r="B1" i="226"/>
  <c r="B1" i="225"/>
  <c r="B1" i="223"/>
  <c r="B1" i="222"/>
  <c r="B1" i="219"/>
  <c r="B1" i="265"/>
  <c r="B1" i="264"/>
  <c r="B1" i="263"/>
  <c r="B1" i="261"/>
  <c r="B1" i="260"/>
  <c r="B1" i="259"/>
  <c r="B1" i="258"/>
  <c r="B1" i="257"/>
  <c r="B1" i="256"/>
  <c r="B1" i="255"/>
  <c r="C43" i="45" s="1"/>
  <c r="C98" i="45" s="1"/>
  <c r="B1" i="254"/>
  <c r="B1" i="253"/>
  <c r="B1" i="252"/>
  <c r="B1" i="251"/>
  <c r="B1" i="250"/>
  <c r="B1" i="248"/>
  <c r="B1" i="247"/>
  <c r="B1" i="246"/>
  <c r="B1" i="245"/>
  <c r="B1" i="244"/>
  <c r="C401" i="267" s="1"/>
  <c r="C875" i="267" s="1"/>
  <c r="B1" i="243"/>
  <c r="C375" i="267" s="1"/>
  <c r="C874" i="267" s="1"/>
  <c r="B1" i="242"/>
  <c r="B1" i="241"/>
  <c r="B1" i="240"/>
  <c r="B1" i="239"/>
  <c r="B1" i="238"/>
  <c r="B1" i="237"/>
  <c r="B1" i="236"/>
  <c r="B1" i="235"/>
  <c r="B1" i="234"/>
  <c r="C18" i="275" l="1"/>
  <c r="C43" i="275" s="1"/>
  <c r="C55" i="271"/>
  <c r="C127" i="271" s="1"/>
  <c r="C69" i="45"/>
  <c r="C100" i="45" s="1"/>
  <c r="C52" i="272"/>
  <c r="C114" i="272" s="1"/>
  <c r="C38" i="274"/>
  <c r="C86" i="274" s="1"/>
  <c r="C56" i="270"/>
  <c r="C92" i="270" s="1"/>
  <c r="C132" i="278"/>
  <c r="C655" i="278" s="1"/>
  <c r="C184" i="276"/>
  <c r="C23" i="272"/>
  <c r="C111" i="272" s="1"/>
  <c r="C12" i="268"/>
  <c r="C40" i="268" s="1"/>
  <c r="C22" i="274"/>
  <c r="C83" i="274" s="1"/>
  <c r="C32" i="270"/>
  <c r="C89" i="270" s="1"/>
  <c r="C15" i="275"/>
  <c r="C42" i="275" s="1"/>
  <c r="C33" i="271"/>
  <c r="C125" i="271" s="1"/>
  <c r="C28" i="45"/>
  <c r="C96" i="45" s="1"/>
  <c r="C17" i="266"/>
  <c r="C82" i="266" s="1"/>
  <c r="C78" i="278"/>
  <c r="C650" i="278" s="1"/>
  <c r="C113" i="276"/>
  <c r="C7" i="275"/>
  <c r="C41" i="275" s="1"/>
  <c r="C18" i="271"/>
  <c r="C124" i="271" s="1"/>
  <c r="C112" i="267"/>
  <c r="C868" i="267" s="1"/>
  <c r="C19" i="270"/>
  <c r="C88" i="270" s="1"/>
  <c r="C18" i="45"/>
  <c r="C95" i="45" s="1"/>
  <c r="C7" i="273"/>
  <c r="C11" i="266"/>
  <c r="C81" i="266" s="1"/>
  <c r="C7" i="272"/>
  <c r="C110" i="272" s="1"/>
  <c r="C7" i="274"/>
  <c r="C82" i="274" s="1"/>
  <c r="C464" i="276"/>
  <c r="C344" i="278"/>
  <c r="C664" i="278" s="1"/>
  <c r="C41" i="272"/>
  <c r="C112" i="272" s="1"/>
  <c r="C464" i="267"/>
  <c r="C881" i="267" s="1"/>
  <c r="C35" i="45"/>
  <c r="C97" i="45" s="1"/>
  <c r="C43" i="270"/>
  <c r="C90" i="270" s="1"/>
  <c r="C28" i="266"/>
  <c r="C84" i="266" s="1"/>
  <c r="C19" i="268"/>
  <c r="C41" i="268" s="1"/>
  <c r="C170" i="276"/>
  <c r="C120" i="278"/>
  <c r="C654" i="278" s="1"/>
  <c r="C169" i="267"/>
  <c r="C872" i="267" s="1"/>
  <c r="C392" i="278"/>
  <c r="C669" i="278" s="1"/>
  <c r="C532" i="276"/>
  <c r="C532" i="267"/>
  <c r="C886" i="267" s="1"/>
  <c r="C29" i="274"/>
  <c r="C84" i="274" s="1"/>
  <c r="C45" i="272"/>
  <c r="C113" i="272" s="1"/>
  <c r="C49" i="270"/>
  <c r="C91" i="270" s="1"/>
  <c r="C49" i="271"/>
  <c r="C126" i="271" s="1"/>
  <c r="C477" i="276"/>
  <c r="C477" i="267"/>
  <c r="C882" i="267" s="1"/>
  <c r="C499" i="267"/>
  <c r="C884" i="267" s="1"/>
  <c r="C185" i="267"/>
  <c r="C873" i="267" s="1"/>
  <c r="B1" i="218"/>
  <c r="B1" i="210"/>
  <c r="B1" i="203"/>
  <c r="B1" i="205"/>
  <c r="B1" i="78"/>
  <c r="L14" i="3"/>
  <c r="E7" i="228" s="1"/>
  <c r="L15" i="3"/>
  <c r="L16" i="3"/>
  <c r="L17" i="3"/>
  <c r="E6" i="245" s="1"/>
  <c r="L18" i="3"/>
  <c r="E6" i="232" s="1"/>
  <c r="L19" i="3"/>
  <c r="L20" i="3"/>
  <c r="L21" i="3"/>
  <c r="L22" i="3"/>
  <c r="L23" i="3"/>
  <c r="E79" i="242" s="1"/>
  <c r="L24" i="3"/>
  <c r="E80" i="242" s="1"/>
  <c r="L25" i="3"/>
  <c r="L26" i="3"/>
  <c r="E149" i="242" s="1"/>
  <c r="L27" i="3"/>
  <c r="E153" i="242" s="1"/>
  <c r="L28" i="3"/>
  <c r="E154" i="242" s="1"/>
  <c r="L29" i="3"/>
  <c r="E155" i="242" s="1"/>
  <c r="L30" i="3"/>
  <c r="E15" i="239" s="1"/>
  <c r="L31" i="3"/>
  <c r="L32" i="3"/>
  <c r="L33" i="3"/>
  <c r="L34" i="3"/>
  <c r="L35" i="3"/>
  <c r="E6" i="206" s="1"/>
  <c r="L36" i="3"/>
  <c r="E7" i="206" s="1"/>
  <c r="L37" i="3"/>
  <c r="E7" i="243" s="1"/>
  <c r="L38" i="3"/>
  <c r="L39" i="3"/>
  <c r="L40" i="3"/>
  <c r="L41" i="3"/>
  <c r="L42" i="3"/>
  <c r="L43" i="3"/>
  <c r="E13" i="243" s="1"/>
  <c r="L44" i="3"/>
  <c r="E11" i="203" s="1"/>
  <c r="L45" i="3"/>
  <c r="E12" i="203" s="1"/>
  <c r="L46" i="3"/>
  <c r="L47" i="3"/>
  <c r="L48" i="3"/>
  <c r="E11" i="248" s="1"/>
  <c r="L49" i="3"/>
  <c r="L50" i="3"/>
  <c r="L51" i="3"/>
  <c r="L52" i="3"/>
  <c r="L53" i="3"/>
  <c r="E6" i="264" s="1"/>
  <c r="L54" i="3"/>
  <c r="E7" i="259" s="1"/>
  <c r="L55" i="3"/>
  <c r="L56" i="3"/>
  <c r="E8" i="259" s="1"/>
  <c r="L57" i="3"/>
  <c r="L58" i="3"/>
  <c r="E7" i="229" s="1"/>
  <c r="L59" i="3"/>
  <c r="E6" i="229" s="1"/>
  <c r="L60" i="3"/>
  <c r="L61" i="3"/>
  <c r="L62" i="3"/>
  <c r="E24" i="242" s="1"/>
  <c r="L63" i="3"/>
  <c r="E23" i="242" s="1"/>
  <c r="L64" i="3"/>
  <c r="L65" i="3"/>
  <c r="E9" i="206" s="1"/>
  <c r="L66" i="3"/>
  <c r="L67" i="3"/>
  <c r="L68" i="3"/>
  <c r="E9" i="264" s="1"/>
  <c r="L69" i="3"/>
  <c r="E31" i="242" s="1"/>
  <c r="F210" i="276" s="1"/>
  <c r="G210" i="276" s="1"/>
  <c r="L70" i="3"/>
  <c r="E38" i="242" s="1"/>
  <c r="F217" i="276" s="1"/>
  <c r="G217" i="276" s="1"/>
  <c r="L71" i="3"/>
  <c r="E39" i="242" s="1"/>
  <c r="F218" i="276" s="1"/>
  <c r="G218" i="276" s="1"/>
  <c r="L72" i="3"/>
  <c r="E8" i="213" s="1"/>
  <c r="L73" i="3"/>
  <c r="E7" i="213" s="1"/>
  <c r="L74" i="3"/>
  <c r="E52" i="242" s="1"/>
  <c r="L75" i="3"/>
  <c r="L76" i="3"/>
  <c r="E77" i="242" s="1"/>
  <c r="L77" i="3"/>
  <c r="E78" i="242" s="1"/>
  <c r="F256" i="276" s="1"/>
  <c r="G256" i="276" s="1"/>
  <c r="L78" i="3"/>
  <c r="E86" i="242" s="1"/>
  <c r="F264" i="276" s="1"/>
  <c r="G264" i="276" s="1"/>
  <c r="L79" i="3"/>
  <c r="E94" i="242" s="1"/>
  <c r="L80" i="3"/>
  <c r="E9" i="234" s="1"/>
  <c r="L81" i="3"/>
  <c r="L82" i="3"/>
  <c r="E98" i="242" s="1"/>
  <c r="L83" i="3"/>
  <c r="E11" i="239" s="1"/>
  <c r="L84" i="3"/>
  <c r="E15" i="210" s="1"/>
  <c r="L85" i="3"/>
  <c r="E16" i="210" s="1"/>
  <c r="L86" i="3"/>
  <c r="E17" i="210" s="1"/>
  <c r="L87" i="3"/>
  <c r="E19" i="210" s="1"/>
  <c r="L88" i="3"/>
  <c r="E20" i="210" s="1"/>
  <c r="L89" i="3"/>
  <c r="E21" i="210" s="1"/>
  <c r="L90" i="3"/>
  <c r="L91" i="3"/>
  <c r="E101" i="242" s="1"/>
  <c r="L92" i="3"/>
  <c r="E102" i="242" s="1"/>
  <c r="L93" i="3"/>
  <c r="E12" i="232" s="1"/>
  <c r="L94" i="3"/>
  <c r="E13" i="232" s="1"/>
  <c r="L95" i="3"/>
  <c r="E108" i="242" s="1"/>
  <c r="L96" i="3"/>
  <c r="L97" i="3"/>
  <c r="E8" i="251" s="1"/>
  <c r="L98" i="3"/>
  <c r="E13" i="207" s="1"/>
  <c r="L99" i="3"/>
  <c r="E112" i="242" s="1"/>
  <c r="F290" i="276" s="1"/>
  <c r="G290" i="276" s="1"/>
  <c r="L100" i="3"/>
  <c r="E113" i="242" s="1"/>
  <c r="F291" i="276" s="1"/>
  <c r="G291" i="276" s="1"/>
  <c r="L101" i="3"/>
  <c r="E16" i="264" s="1"/>
  <c r="L102" i="3"/>
  <c r="E17" i="264" s="1"/>
  <c r="L103" i="3"/>
  <c r="E21" i="264" s="1"/>
  <c r="L104" i="3"/>
  <c r="E22" i="264" s="1"/>
  <c r="L105" i="3"/>
  <c r="E124" i="242" s="1"/>
  <c r="F302" i="276" s="1"/>
  <c r="G302" i="276" s="1"/>
  <c r="L106" i="3"/>
  <c r="E10" i="213" s="1"/>
  <c r="L107" i="3"/>
  <c r="E24" i="210" s="1"/>
  <c r="L108" i="3"/>
  <c r="E25" i="210" s="1"/>
  <c r="L109" i="3"/>
  <c r="E26" i="210" s="1"/>
  <c r="L110" i="3"/>
  <c r="E27" i="210" s="1"/>
  <c r="L111" i="3"/>
  <c r="E28" i="210" s="1"/>
  <c r="L112" i="3"/>
  <c r="E29" i="210" s="1"/>
  <c r="L113" i="3"/>
  <c r="E151" i="242" s="1"/>
  <c r="L114" i="3"/>
  <c r="E156" i="242" s="1"/>
  <c r="L115" i="3"/>
  <c r="E14" i="260" s="1"/>
  <c r="L116" i="3"/>
  <c r="E14" i="209" s="1"/>
  <c r="L117" i="3"/>
  <c r="E15" i="209" s="1"/>
  <c r="L118" i="3"/>
  <c r="L119" i="3"/>
  <c r="L120" i="3"/>
  <c r="L121" i="3"/>
  <c r="L122" i="3"/>
  <c r="E161" i="242" s="1"/>
  <c r="L123" i="3"/>
  <c r="E9" i="233" s="1"/>
  <c r="L124" i="3"/>
  <c r="L125" i="3"/>
  <c r="E11" i="263" s="1"/>
  <c r="L126" i="3"/>
  <c r="L127" i="3"/>
  <c r="L128" i="3"/>
  <c r="L129" i="3"/>
  <c r="E29" i="264" s="1"/>
  <c r="L130" i="3"/>
  <c r="E30" i="264" s="1"/>
  <c r="L131" i="3"/>
  <c r="E31" i="264" s="1"/>
  <c r="L132" i="3"/>
  <c r="E32" i="264" s="1"/>
  <c r="L133" i="3"/>
  <c r="L134" i="3"/>
  <c r="E16" i="229" s="1"/>
  <c r="L135" i="3"/>
  <c r="L136" i="3"/>
  <c r="L137" i="3"/>
  <c r="L138" i="3"/>
  <c r="E12" i="207" s="1"/>
  <c r="L139" i="3"/>
  <c r="L140" i="3"/>
  <c r="L141" i="3"/>
  <c r="E11" i="260" s="1"/>
  <c r="L142" i="3"/>
  <c r="L143" i="3"/>
  <c r="F478" i="276" s="1"/>
  <c r="G478" i="276" s="1"/>
  <c r="H483" i="276" s="1"/>
  <c r="L144" i="3"/>
  <c r="L145" i="3"/>
  <c r="L146" i="3"/>
  <c r="E13" i="208" s="1"/>
  <c r="L147" i="3"/>
  <c r="E14" i="208" s="1"/>
  <c r="L148" i="3"/>
  <c r="E15" i="208" s="1"/>
  <c r="L149" i="3"/>
  <c r="L150" i="3"/>
  <c r="L151" i="3"/>
  <c r="L152" i="3"/>
  <c r="L153" i="3"/>
  <c r="L154" i="3"/>
  <c r="L155" i="3"/>
  <c r="E17" i="208" s="1"/>
  <c r="L156" i="3"/>
  <c r="E25" i="264" s="1"/>
  <c r="L157" i="3"/>
  <c r="E18" i="208" s="1"/>
  <c r="L158" i="3"/>
  <c r="E19" i="208" s="1"/>
  <c r="L159" i="3"/>
  <c r="E184" i="242" s="1"/>
  <c r="L160" i="3"/>
  <c r="E185" i="242" s="1"/>
  <c r="L161" i="3"/>
  <c r="E186" i="242" s="1"/>
  <c r="L162" i="3"/>
  <c r="L163" i="3"/>
  <c r="L164" i="3"/>
  <c r="L165" i="3"/>
  <c r="E6" i="251" s="1"/>
  <c r="L166" i="3"/>
  <c r="E16" i="242" s="1"/>
  <c r="L167" i="3"/>
  <c r="E17" i="242" s="1"/>
  <c r="L168" i="3"/>
  <c r="E19" i="243" s="1"/>
  <c r="L169" i="3"/>
  <c r="E7" i="222" s="1"/>
  <c r="L170" i="3"/>
  <c r="E69" i="242" s="1"/>
  <c r="L171" i="3"/>
  <c r="E9" i="207" s="1"/>
  <c r="L172" i="3"/>
  <c r="E73" i="242" s="1"/>
  <c r="L173" i="3"/>
  <c r="E11" i="228" s="1"/>
  <c r="L174" i="3"/>
  <c r="L175" i="3"/>
  <c r="E75" i="242" s="1"/>
  <c r="F253" i="276" s="1"/>
  <c r="G253" i="276" s="1"/>
  <c r="L176" i="3"/>
  <c r="L177" i="3"/>
  <c r="E10" i="207" s="1"/>
  <c r="L178" i="3"/>
  <c r="L179" i="3"/>
  <c r="L180" i="3"/>
  <c r="E9" i="222" s="1"/>
  <c r="L181" i="3"/>
  <c r="E9" i="215" s="1"/>
  <c r="L182" i="3"/>
  <c r="E81" i="242" s="1"/>
  <c r="F259" i="276" s="1"/>
  <c r="G259" i="276" s="1"/>
  <c r="L183" i="3"/>
  <c r="L184" i="3"/>
  <c r="E14" i="241" s="1"/>
  <c r="L185" i="3"/>
  <c r="E12" i="226" s="1"/>
  <c r="L186" i="3"/>
  <c r="L187" i="3"/>
  <c r="E14" i="228" s="1"/>
  <c r="L188" i="3"/>
  <c r="E13" i="228" s="1"/>
  <c r="L189" i="3"/>
  <c r="E12" i="228" s="1"/>
  <c r="L190" i="3"/>
  <c r="E19" i="258" s="1"/>
  <c r="L191" i="3"/>
  <c r="E9" i="205" s="1"/>
  <c r="L192" i="3"/>
  <c r="E110" i="242" s="1"/>
  <c r="L193" i="3"/>
  <c r="E15" i="264" s="1"/>
  <c r="L194" i="3"/>
  <c r="L195" i="3"/>
  <c r="L196" i="3"/>
  <c r="L197" i="3"/>
  <c r="L198" i="3"/>
  <c r="L199" i="3"/>
  <c r="E135" i="242" s="1"/>
  <c r="L200" i="3"/>
  <c r="E12" i="259" s="1"/>
  <c r="L201" i="3"/>
  <c r="E136" i="242" s="1"/>
  <c r="L202" i="3"/>
  <c r="L203" i="3"/>
  <c r="L204" i="3"/>
  <c r="E17" i="226" s="1"/>
  <c r="L205" i="3"/>
  <c r="L206" i="3"/>
  <c r="E18" i="226" s="1"/>
  <c r="L207" i="3"/>
  <c r="L208" i="3"/>
  <c r="L209" i="3"/>
  <c r="L210" i="3"/>
  <c r="L211" i="3"/>
  <c r="L212" i="3"/>
  <c r="E32" i="78" s="1"/>
  <c r="L213" i="3"/>
  <c r="E19" i="226" s="1"/>
  <c r="L214" i="3"/>
  <c r="E20" i="208" s="1"/>
  <c r="L215" i="3"/>
  <c r="E9" i="245" s="1"/>
  <c r="L216" i="3"/>
  <c r="E16" i="222" s="1"/>
  <c r="L217" i="3"/>
  <c r="L218" i="3"/>
  <c r="L219" i="3"/>
  <c r="L220" i="3"/>
  <c r="E12" i="242" s="1"/>
  <c r="L221" i="3"/>
  <c r="E13" i="242" s="1"/>
  <c r="L222" i="3"/>
  <c r="E18" i="242" s="1"/>
  <c r="L223" i="3"/>
  <c r="E7" i="265" s="1"/>
  <c r="L224" i="3"/>
  <c r="E25" i="242" s="1"/>
  <c r="L225" i="3"/>
  <c r="L226" i="3"/>
  <c r="L227" i="3"/>
  <c r="E8" i="218" s="1"/>
  <c r="L228" i="3"/>
  <c r="E6" i="247" s="1"/>
  <c r="L229" i="3"/>
  <c r="E10" i="210" s="1"/>
  <c r="L230" i="3"/>
  <c r="E8" i="229" s="1"/>
  <c r="L231" i="3"/>
  <c r="E9" i="210" s="1"/>
  <c r="L232" i="3"/>
  <c r="L233" i="3"/>
  <c r="E11" i="210" s="1"/>
  <c r="L234" i="3"/>
  <c r="L235" i="3"/>
  <c r="E28" i="242" s="1"/>
  <c r="L236" i="3"/>
  <c r="E27" i="242" s="1"/>
  <c r="L237" i="3"/>
  <c r="L238" i="3"/>
  <c r="L239" i="3"/>
  <c r="E6" i="254" s="1"/>
  <c r="L240" i="3"/>
  <c r="E6" i="222" s="1"/>
  <c r="L241" i="3"/>
  <c r="L242" i="3"/>
  <c r="E8" i="228" s="1"/>
  <c r="L243" i="3"/>
  <c r="E16" i="218" s="1"/>
  <c r="L244" i="3"/>
  <c r="L245" i="3"/>
  <c r="E9" i="259" s="1"/>
  <c r="L246" i="3"/>
  <c r="E9" i="250" s="1"/>
  <c r="L247" i="3"/>
  <c r="E53" i="242" s="1"/>
  <c r="L248" i="3"/>
  <c r="E54" i="242" s="1"/>
  <c r="L249" i="3"/>
  <c r="E7" i="232" s="1"/>
  <c r="L250" i="3"/>
  <c r="E11" i="212" s="1"/>
  <c r="L251" i="3"/>
  <c r="E8" i="265" s="1"/>
  <c r="L252" i="3"/>
  <c r="L253" i="3"/>
  <c r="L254" i="3"/>
  <c r="E7" i="208" s="1"/>
  <c r="L255" i="3"/>
  <c r="E11" i="259" s="1"/>
  <c r="L256" i="3"/>
  <c r="E9" i="265" s="1"/>
  <c r="L257" i="3"/>
  <c r="L258" i="3"/>
  <c r="E9" i="247" s="1"/>
  <c r="L259" i="3"/>
  <c r="E8" i="260" s="1"/>
  <c r="L260" i="3"/>
  <c r="E10" i="247" s="1"/>
  <c r="L261" i="3"/>
  <c r="E10" i="265" s="1"/>
  <c r="L262" i="3"/>
  <c r="E9" i="232" s="1"/>
  <c r="L263" i="3"/>
  <c r="L264" i="3"/>
  <c r="E66" i="242" s="1"/>
  <c r="L265" i="3"/>
  <c r="E8" i="222" s="1"/>
  <c r="L266" i="3"/>
  <c r="L267" i="3"/>
  <c r="E8" i="209" s="1"/>
  <c r="L268" i="3"/>
  <c r="L269" i="3"/>
  <c r="E9" i="226" s="1"/>
  <c r="L270" i="3"/>
  <c r="E10" i="260" s="1"/>
  <c r="L271" i="3"/>
  <c r="L272" i="3"/>
  <c r="L273" i="3"/>
  <c r="L274" i="3"/>
  <c r="E85" i="242" s="1"/>
  <c r="L275" i="3"/>
  <c r="E10" i="226" s="1"/>
  <c r="L276" i="3"/>
  <c r="L277" i="3"/>
  <c r="L278" i="3"/>
  <c r="E88" i="242" s="1"/>
  <c r="L279" i="3"/>
  <c r="L280" i="3"/>
  <c r="E10" i="239" s="1"/>
  <c r="L281" i="3"/>
  <c r="E9" i="213" s="1"/>
  <c r="L282" i="3"/>
  <c r="L283" i="3"/>
  <c r="E19" i="78" s="1"/>
  <c r="L284" i="3"/>
  <c r="E13" i="226" s="1"/>
  <c r="L285" i="3"/>
  <c r="E11" i="222" s="1"/>
  <c r="L286" i="3"/>
  <c r="E13" i="239" s="1"/>
  <c r="L287" i="3"/>
  <c r="L288" i="3"/>
  <c r="E23" i="210" s="1"/>
  <c r="L289" i="3"/>
  <c r="L290" i="3"/>
  <c r="L291" i="3"/>
  <c r="E16" i="226" s="1"/>
  <c r="L292" i="3"/>
  <c r="E8" i="248" s="1"/>
  <c r="L293" i="3"/>
  <c r="E114" i="242" s="1"/>
  <c r="L294" i="3"/>
  <c r="L295" i="3"/>
  <c r="E19" i="264" s="1"/>
  <c r="L296" i="3"/>
  <c r="E122" i="242" s="1"/>
  <c r="F300" i="276" s="1"/>
  <c r="G300" i="276" s="1"/>
  <c r="L297" i="3"/>
  <c r="E126" i="242" s="1"/>
  <c r="F304" i="276" s="1"/>
  <c r="G304" i="276" s="1"/>
  <c r="L298" i="3"/>
  <c r="E25" i="78" s="1"/>
  <c r="L299" i="3"/>
  <c r="L300" i="3"/>
  <c r="E13" i="260" s="1"/>
  <c r="L301" i="3"/>
  <c r="L302" i="3"/>
  <c r="L303" i="3"/>
  <c r="L304" i="3"/>
  <c r="L305" i="3"/>
  <c r="L306" i="3"/>
  <c r="E16" i="250" s="1"/>
  <c r="L307" i="3"/>
  <c r="E11" i="213" s="1"/>
  <c r="L308" i="3"/>
  <c r="E12" i="213" s="1"/>
  <c r="L309" i="3"/>
  <c r="L310" i="3"/>
  <c r="E182" i="242" s="1"/>
  <c r="F360" i="276" s="1"/>
  <c r="G360" i="276" s="1"/>
  <c r="L311" i="3"/>
  <c r="L312" i="3"/>
  <c r="L313" i="3"/>
  <c r="L314" i="3"/>
  <c r="L315" i="3"/>
  <c r="L316" i="3"/>
  <c r="L317" i="3"/>
  <c r="L318" i="3"/>
  <c r="E14" i="243" s="1"/>
  <c r="L319" i="3"/>
  <c r="E15" i="243" s="1"/>
  <c r="L320" i="3"/>
  <c r="E16" i="243" s="1"/>
  <c r="L321" i="3"/>
  <c r="E17" i="243" s="1"/>
  <c r="L322" i="3"/>
  <c r="E42" i="242" s="1"/>
  <c r="F221" i="276" s="1"/>
  <c r="G221" i="276" s="1"/>
  <c r="L323" i="3"/>
  <c r="E43" i="242" s="1"/>
  <c r="L324" i="3"/>
  <c r="E6" i="263" s="1"/>
  <c r="L325" i="3"/>
  <c r="E8" i="250" s="1"/>
  <c r="L326" i="3"/>
  <c r="L327" i="3"/>
  <c r="E6" i="223" s="1"/>
  <c r="L328" i="3"/>
  <c r="E10" i="250" s="1"/>
  <c r="L329" i="3"/>
  <c r="E7" i="205" s="1"/>
  <c r="L330" i="3"/>
  <c r="L331" i="3"/>
  <c r="E72" i="242" s="1"/>
  <c r="F250" i="276" s="1"/>
  <c r="G250" i="276" s="1"/>
  <c r="L332" i="3"/>
  <c r="E11" i="78" s="1"/>
  <c r="L333" i="3"/>
  <c r="L334" i="3"/>
  <c r="L335" i="3"/>
  <c r="L336" i="3"/>
  <c r="E7" i="227" s="1"/>
  <c r="L337" i="3"/>
  <c r="E10" i="215" s="1"/>
  <c r="L338" i="3"/>
  <c r="E11" i="232" s="1"/>
  <c r="L339" i="3"/>
  <c r="E91" i="242" s="1"/>
  <c r="L340" i="3"/>
  <c r="E13" i="241" s="1"/>
  <c r="L341" i="3"/>
  <c r="E17" i="78" s="1"/>
  <c r="L342" i="3"/>
  <c r="E8" i="263" s="1"/>
  <c r="L343" i="3"/>
  <c r="E11" i="215" s="1"/>
  <c r="L344" i="3"/>
  <c r="E15" i="206" s="1"/>
  <c r="L345" i="3"/>
  <c r="E10" i="222" s="1"/>
  <c r="L346" i="3"/>
  <c r="E116" i="242" s="1"/>
  <c r="L347" i="3"/>
  <c r="L348" i="3"/>
  <c r="E117" i="242" s="1"/>
  <c r="L349" i="3"/>
  <c r="L350" i="3"/>
  <c r="L351" i="3"/>
  <c r="E132" i="242" s="1"/>
  <c r="L352" i="3"/>
  <c r="E13" i="250" s="1"/>
  <c r="L353" i="3"/>
  <c r="E9" i="263" s="1"/>
  <c r="L354" i="3"/>
  <c r="E9" i="227" s="1"/>
  <c r="L355" i="3"/>
  <c r="E28" i="78" s="1"/>
  <c r="L356" i="3"/>
  <c r="L357" i="3"/>
  <c r="E152" i="242" s="1"/>
  <c r="L358" i="3"/>
  <c r="E159" i="242" s="1"/>
  <c r="L359" i="3"/>
  <c r="E26" i="264" s="1"/>
  <c r="L360" i="3"/>
  <c r="E27" i="264" s="1"/>
  <c r="L361" i="3"/>
  <c r="E166" i="242" s="1"/>
  <c r="L362" i="3"/>
  <c r="L363" i="3"/>
  <c r="L364" i="3"/>
  <c r="E179" i="242" s="1"/>
  <c r="L365" i="3"/>
  <c r="L366" i="3"/>
  <c r="E12" i="263" s="1"/>
  <c r="L367" i="3"/>
  <c r="E20" i="226" s="1"/>
  <c r="L368" i="3"/>
  <c r="L369" i="3"/>
  <c r="L370" i="3"/>
  <c r="E10" i="256" s="1"/>
  <c r="L371" i="3"/>
  <c r="E188" i="242" s="1"/>
  <c r="L372" i="3"/>
  <c r="E20" i="232" s="1"/>
  <c r="L373" i="3"/>
  <c r="E16" i="241" s="1"/>
  <c r="F179" i="276" s="1"/>
  <c r="G179" i="276" s="1"/>
  <c r="L374" i="3"/>
  <c r="L375" i="3"/>
  <c r="E189" i="242" s="1"/>
  <c r="F367" i="276" s="1"/>
  <c r="G367" i="276" s="1"/>
  <c r="L376" i="3"/>
  <c r="L377" i="3"/>
  <c r="L378" i="3"/>
  <c r="L379" i="3"/>
  <c r="L380" i="3"/>
  <c r="E190" i="242" s="1"/>
  <c r="L381" i="3"/>
  <c r="E191" i="242" s="1"/>
  <c r="L382" i="3"/>
  <c r="E192" i="242" s="1"/>
  <c r="L383" i="3"/>
  <c r="L384" i="3"/>
  <c r="L385" i="3"/>
  <c r="L386" i="3"/>
  <c r="L387" i="3"/>
  <c r="E7" i="256" s="1"/>
  <c r="L388" i="3"/>
  <c r="E34" i="242" s="1"/>
  <c r="L389" i="3"/>
  <c r="E6" i="260" s="1"/>
  <c r="L390" i="3"/>
  <c r="E7" i="260" s="1"/>
  <c r="L391" i="3"/>
  <c r="E8" i="207" s="1"/>
  <c r="L392" i="3"/>
  <c r="E49" i="242" s="1"/>
  <c r="F228" i="276" s="1"/>
  <c r="G228" i="276" s="1"/>
  <c r="L393" i="3"/>
  <c r="E50" i="242" s="1"/>
  <c r="L394" i="3"/>
  <c r="E51" i="242" s="1"/>
  <c r="L395" i="3"/>
  <c r="L396" i="3"/>
  <c r="E61" i="242" s="1"/>
  <c r="L397" i="3"/>
  <c r="E11" i="208" s="1"/>
  <c r="F802" i="276" s="1"/>
  <c r="G802" i="276" s="1"/>
  <c r="H813" i="276" s="1"/>
  <c r="L398" i="3"/>
  <c r="E74" i="242" s="1"/>
  <c r="L399" i="3"/>
  <c r="L400" i="3"/>
  <c r="E89" i="242" s="1"/>
  <c r="F267" i="276" s="1"/>
  <c r="G267" i="276" s="1"/>
  <c r="L401" i="3"/>
  <c r="E90" i="242" s="1"/>
  <c r="F268" i="276" s="1"/>
  <c r="G268" i="276" s="1"/>
  <c r="L402" i="3"/>
  <c r="E8" i="205" s="1"/>
  <c r="L403" i="3"/>
  <c r="E96" i="242" s="1"/>
  <c r="F274" i="276" s="1"/>
  <c r="G274" i="276" s="1"/>
  <c r="L404" i="3"/>
  <c r="E121" i="242" s="1"/>
  <c r="L405" i="3"/>
  <c r="E125" i="242" s="1"/>
  <c r="L406" i="3"/>
  <c r="E129" i="242" s="1"/>
  <c r="L407" i="3"/>
  <c r="E130" i="242" s="1"/>
  <c r="L408" i="3"/>
  <c r="E137" i="242" s="1"/>
  <c r="L409" i="3"/>
  <c r="L410" i="3"/>
  <c r="E139" i="242" s="1"/>
  <c r="L411" i="3"/>
  <c r="E140" i="242" s="1"/>
  <c r="L412" i="3"/>
  <c r="E141" i="242" s="1"/>
  <c r="L413" i="3"/>
  <c r="E142" i="242" s="1"/>
  <c r="L414" i="3"/>
  <c r="E158" i="242" s="1"/>
  <c r="L415" i="3"/>
  <c r="L416" i="3"/>
  <c r="E181" i="242" s="1"/>
  <c r="F359" i="276" s="1"/>
  <c r="G359" i="276" s="1"/>
  <c r="L417" i="3"/>
  <c r="L418" i="3"/>
  <c r="L419" i="3"/>
  <c r="L420" i="3"/>
  <c r="L421" i="3"/>
  <c r="E12" i="243" s="1"/>
  <c r="L422" i="3"/>
  <c r="E6" i="213" s="1"/>
  <c r="L423" i="3"/>
  <c r="E68" i="242" s="1"/>
  <c r="L424" i="3"/>
  <c r="E6" i="227" s="1"/>
  <c r="L425" i="3"/>
  <c r="E12" i="78" s="1"/>
  <c r="L426" i="3"/>
  <c r="E8" i="227" s="1"/>
  <c r="L427" i="3"/>
  <c r="E21" i="78" s="1"/>
  <c r="L428" i="3"/>
  <c r="E23" i="243" s="1"/>
  <c r="L429" i="3"/>
  <c r="E10" i="209" s="1"/>
  <c r="L430" i="3"/>
  <c r="L431" i="3"/>
  <c r="L432" i="3"/>
  <c r="L433" i="3"/>
  <c r="E26" i="78" s="1"/>
  <c r="L434" i="3"/>
  <c r="E8" i="245" s="1"/>
  <c r="L435" i="3"/>
  <c r="E28" i="243" s="1"/>
  <c r="L436" i="3"/>
  <c r="L437" i="3"/>
  <c r="L438" i="3"/>
  <c r="L439" i="3"/>
  <c r="E7" i="78" s="1"/>
  <c r="L440" i="3"/>
  <c r="E8" i="78" s="1"/>
  <c r="L441" i="3"/>
  <c r="L442" i="3"/>
  <c r="E84" i="242" s="1"/>
  <c r="L443" i="3"/>
  <c r="L444" i="3"/>
  <c r="E14" i="78" s="1"/>
  <c r="L445" i="3"/>
  <c r="E15" i="78" s="1"/>
  <c r="L446" i="3"/>
  <c r="L447" i="3"/>
  <c r="E18" i="78" s="1"/>
  <c r="L448" i="3"/>
  <c r="E20" i="78" s="1"/>
  <c r="L449" i="3"/>
  <c r="E22" i="78" s="1"/>
  <c r="L450" i="3"/>
  <c r="E23" i="78" s="1"/>
  <c r="L451" i="3"/>
  <c r="L452" i="3"/>
  <c r="E27" i="78" s="1"/>
  <c r="L453" i="3"/>
  <c r="L454" i="3"/>
  <c r="E31" i="78" s="1"/>
  <c r="L455" i="3"/>
  <c r="E168" i="242" s="1"/>
  <c r="L456" i="3"/>
  <c r="L457" i="3"/>
  <c r="E14" i="254" s="1"/>
  <c r="L458" i="3"/>
  <c r="L459" i="3"/>
  <c r="L460" i="3"/>
  <c r="L461" i="3"/>
  <c r="L462" i="3"/>
  <c r="E6" i="228" s="1"/>
  <c r="L463" i="3"/>
  <c r="L464" i="3"/>
  <c r="E33" i="242" s="1"/>
  <c r="L465" i="3"/>
  <c r="E9" i="209" s="1"/>
  <c r="L466" i="3"/>
  <c r="E17" i="228" s="1"/>
  <c r="L467" i="3"/>
  <c r="L468" i="3"/>
  <c r="E175" i="242" s="1"/>
  <c r="L469" i="3"/>
  <c r="L470" i="3"/>
  <c r="L471" i="3"/>
  <c r="L472" i="3"/>
  <c r="E30" i="242" s="1"/>
  <c r="L473" i="3"/>
  <c r="L474" i="3"/>
  <c r="E8" i="232" s="1"/>
  <c r="L475" i="3"/>
  <c r="E14" i="210" s="1"/>
  <c r="L476" i="3"/>
  <c r="L477" i="3"/>
  <c r="L478" i="3"/>
  <c r="L479" i="3"/>
  <c r="L480" i="3"/>
  <c r="E8" i="254" s="1"/>
  <c r="L481" i="3"/>
  <c r="E10" i="211" s="1"/>
  <c r="L482" i="3"/>
  <c r="E107" i="242" s="1"/>
  <c r="L483" i="3"/>
  <c r="L484" i="3"/>
  <c r="E111" i="242" s="1"/>
  <c r="L485" i="3"/>
  <c r="E14" i="207" s="1"/>
  <c r="L486" i="3"/>
  <c r="E119" i="242" s="1"/>
  <c r="L487" i="3"/>
  <c r="E120" i="242" s="1"/>
  <c r="L488" i="3"/>
  <c r="E9" i="248" s="1"/>
  <c r="L489" i="3"/>
  <c r="E24" i="264" s="1"/>
  <c r="L490" i="3"/>
  <c r="E133" i="242" s="1"/>
  <c r="L491" i="3"/>
  <c r="E12" i="209" s="1"/>
  <c r="L492" i="3"/>
  <c r="E134" i="242" s="1"/>
  <c r="L493" i="3"/>
  <c r="E22" i="258" s="1"/>
  <c r="L494" i="3"/>
  <c r="E14" i="215" s="1"/>
  <c r="L495" i="3"/>
  <c r="L496" i="3"/>
  <c r="L497" i="3"/>
  <c r="E16" i="212" s="1"/>
  <c r="L498" i="3"/>
  <c r="L499" i="3"/>
  <c r="L500" i="3"/>
  <c r="E18" i="228" s="1"/>
  <c r="L501" i="3"/>
  <c r="E20" i="228" s="1"/>
  <c r="L502" i="3"/>
  <c r="E18" i="241" s="1"/>
  <c r="L503" i="3"/>
  <c r="L504" i="3"/>
  <c r="L505" i="3"/>
  <c r="L506" i="3"/>
  <c r="L507" i="3"/>
  <c r="E20" i="242" s="1"/>
  <c r="F199" i="276" s="1"/>
  <c r="G199" i="276" s="1"/>
  <c r="L508" i="3"/>
  <c r="E19" i="242" s="1"/>
  <c r="F198" i="276" s="1"/>
  <c r="G198" i="276" s="1"/>
  <c r="L509" i="3"/>
  <c r="L510" i="3"/>
  <c r="E12" i="247" s="1"/>
  <c r="L511" i="3"/>
  <c r="E13" i="247" s="1"/>
  <c r="L512" i="3"/>
  <c r="E14" i="247" s="1"/>
  <c r="L513" i="3"/>
  <c r="E15" i="247" s="1"/>
  <c r="L514" i="3"/>
  <c r="L515" i="3"/>
  <c r="L516" i="3"/>
  <c r="L517" i="3"/>
  <c r="E16" i="247" s="1"/>
  <c r="L518" i="3"/>
  <c r="E29" i="78" s="1"/>
  <c r="L519" i="3"/>
  <c r="E30" i="78" s="1"/>
  <c r="L520" i="3"/>
  <c r="E27" i="243" s="1"/>
  <c r="L521" i="3"/>
  <c r="L522" i="3"/>
  <c r="L523" i="3"/>
  <c r="E6" i="78" s="1"/>
  <c r="L524" i="3"/>
  <c r="E18" i="243" s="1"/>
  <c r="L525" i="3"/>
  <c r="L526" i="3"/>
  <c r="E12" i="241" s="1"/>
  <c r="F176" i="276" s="1"/>
  <c r="G176" i="276" s="1"/>
  <c r="L527" i="3"/>
  <c r="E9" i="260" s="1"/>
  <c r="L528" i="3"/>
  <c r="E60" i="242" s="1"/>
  <c r="F238" i="276" s="1"/>
  <c r="G238" i="276" s="1"/>
  <c r="L529" i="3"/>
  <c r="E8" i="208" s="1"/>
  <c r="L530" i="3"/>
  <c r="L531" i="3"/>
  <c r="E11" i="206" s="1"/>
  <c r="L532" i="3"/>
  <c r="E12" i="206" s="1"/>
  <c r="L533" i="3"/>
  <c r="E7" i="254" s="1"/>
  <c r="L534" i="3"/>
  <c r="E11" i="264" s="1"/>
  <c r="L535" i="3"/>
  <c r="E12" i="264" s="1"/>
  <c r="L536" i="3"/>
  <c r="L537" i="3"/>
  <c r="L538" i="3"/>
  <c r="L539" i="3"/>
  <c r="E14" i="226" s="1"/>
  <c r="L540" i="3"/>
  <c r="L541" i="3"/>
  <c r="L542" i="3"/>
  <c r="E18" i="264" s="1"/>
  <c r="L543" i="3"/>
  <c r="E17" i="232" s="1"/>
  <c r="L544" i="3"/>
  <c r="E150" i="242" s="1"/>
  <c r="L545" i="3"/>
  <c r="E16" i="206" s="1"/>
  <c r="L546" i="3"/>
  <c r="E12" i="211" s="1"/>
  <c r="L547" i="3"/>
  <c r="E13" i="211" s="1"/>
  <c r="L548" i="3"/>
  <c r="L549" i="3"/>
  <c r="L550" i="3"/>
  <c r="L551" i="3"/>
  <c r="E6" i="256" s="1"/>
  <c r="L552" i="3"/>
  <c r="E14" i="242" s="1"/>
  <c r="F193" i="276" s="1"/>
  <c r="G193" i="276" s="1"/>
  <c r="L553" i="3"/>
  <c r="E6" i="239" s="1"/>
  <c r="L554" i="3"/>
  <c r="E32" i="242" s="1"/>
  <c r="L555" i="3"/>
  <c r="E6" i="238" s="1"/>
  <c r="L556" i="3"/>
  <c r="E7" i="239" s="1"/>
  <c r="L557" i="3"/>
  <c r="E41" i="242" s="1"/>
  <c r="F220" i="276" s="1"/>
  <c r="G220" i="276" s="1"/>
  <c r="L558" i="3"/>
  <c r="L559" i="3"/>
  <c r="L560" i="3"/>
  <c r="E9" i="238" s="1"/>
  <c r="L561" i="3"/>
  <c r="E8" i="238" s="1"/>
  <c r="L562" i="3"/>
  <c r="E10" i="238" s="1"/>
  <c r="L563" i="3"/>
  <c r="E11" i="238" s="1"/>
  <c r="L564" i="3"/>
  <c r="L565" i="3"/>
  <c r="E12" i="238" s="1"/>
  <c r="L566" i="3"/>
  <c r="E8" i="239" s="1"/>
  <c r="L567" i="3"/>
  <c r="E13" i="78" s="1"/>
  <c r="L568" i="3"/>
  <c r="E9" i="239" s="1"/>
  <c r="L569" i="3"/>
  <c r="E13" i="238" s="1"/>
  <c r="L570" i="3"/>
  <c r="E14" i="238" s="1"/>
  <c r="L571" i="3"/>
  <c r="E15" i="238" s="1"/>
  <c r="L572" i="3"/>
  <c r="E14" i="264" s="1"/>
  <c r="L573" i="3"/>
  <c r="L574" i="3"/>
  <c r="E13" i="222" s="1"/>
  <c r="L575" i="3"/>
  <c r="E20" i="264" s="1"/>
  <c r="L576" i="3"/>
  <c r="L577" i="3"/>
  <c r="L578" i="3"/>
  <c r="E23" i="264" s="1"/>
  <c r="L579" i="3"/>
  <c r="E131" i="242" s="1"/>
  <c r="L580" i="3"/>
  <c r="L581" i="3"/>
  <c r="E144" i="242" s="1"/>
  <c r="L582" i="3"/>
  <c r="E143" i="242" s="1"/>
  <c r="L583" i="3"/>
  <c r="E14" i="239" s="1"/>
  <c r="L584" i="3"/>
  <c r="E167" i="242" s="1"/>
  <c r="L585" i="3"/>
  <c r="E176" i="242" s="1"/>
  <c r="F354" i="276" s="1"/>
  <c r="G354" i="276" s="1"/>
  <c r="L586" i="3"/>
  <c r="E17" i="238" s="1"/>
  <c r="L587" i="3"/>
  <c r="E28" i="264" s="1"/>
  <c r="L588" i="3"/>
  <c r="E177" i="242" s="1"/>
  <c r="L589" i="3"/>
  <c r="E180" i="242" s="1"/>
  <c r="L590" i="3"/>
  <c r="E21" i="208" s="1"/>
  <c r="L591" i="3"/>
  <c r="E22" i="208" s="1"/>
  <c r="L592" i="3"/>
  <c r="L593" i="3"/>
  <c r="E193" i="242" s="1"/>
  <c r="L594" i="3"/>
  <c r="E194" i="242" s="1"/>
  <c r="L595" i="3"/>
  <c r="E33" i="264" s="1"/>
  <c r="L596" i="3"/>
  <c r="L597" i="3"/>
  <c r="L598" i="3"/>
  <c r="L599" i="3"/>
  <c r="E6" i="258" s="1"/>
  <c r="L600" i="3"/>
  <c r="L601" i="3"/>
  <c r="E7" i="258" s="1"/>
  <c r="L602" i="3"/>
  <c r="E8" i="258" s="1"/>
  <c r="L603" i="3"/>
  <c r="E9" i="258" s="1"/>
  <c r="L604" i="3"/>
  <c r="L605" i="3"/>
  <c r="E10" i="258" s="1"/>
  <c r="L606" i="3"/>
  <c r="E11" i="258" s="1"/>
  <c r="L607" i="3"/>
  <c r="L608" i="3"/>
  <c r="E9" i="208" s="1"/>
  <c r="L609" i="3"/>
  <c r="E12" i="258" s="1"/>
  <c r="L610" i="3"/>
  <c r="E10" i="208" s="1"/>
  <c r="L611" i="3"/>
  <c r="E13" i="258" s="1"/>
  <c r="L612" i="3"/>
  <c r="E14" i="258" s="1"/>
  <c r="L613" i="3"/>
  <c r="E15" i="258" s="1"/>
  <c r="L614" i="3"/>
  <c r="L615" i="3"/>
  <c r="E16" i="258" s="1"/>
  <c r="L616" i="3"/>
  <c r="E17" i="258" s="1"/>
  <c r="L617" i="3"/>
  <c r="L618" i="3"/>
  <c r="L619" i="3"/>
  <c r="E18" i="258" s="1"/>
  <c r="L620" i="3"/>
  <c r="L621" i="3"/>
  <c r="E20" i="258" s="1"/>
  <c r="L622" i="3"/>
  <c r="E21" i="258" s="1"/>
  <c r="L623" i="3"/>
  <c r="E23" i="258" s="1"/>
  <c r="L624" i="3"/>
  <c r="L625" i="3"/>
  <c r="E25" i="258" s="1"/>
  <c r="L626" i="3"/>
  <c r="E12" i="251" s="1"/>
  <c r="L627" i="3"/>
  <c r="L628" i="3"/>
  <c r="L629" i="3"/>
  <c r="E26" i="258" s="1"/>
  <c r="L630" i="3"/>
  <c r="L631" i="3"/>
  <c r="L632" i="3"/>
  <c r="L633" i="3"/>
  <c r="L634" i="3"/>
  <c r="E6" i="242" s="1"/>
  <c r="L635" i="3"/>
  <c r="E7" i="242" s="1"/>
  <c r="L636" i="3"/>
  <c r="E6" i="252" s="1"/>
  <c r="L637" i="3"/>
  <c r="E7" i="252" s="1"/>
  <c r="L638" i="3"/>
  <c r="E8" i="242" s="1"/>
  <c r="L639" i="3"/>
  <c r="E9" i="242" s="1"/>
  <c r="L640" i="3"/>
  <c r="L641" i="3"/>
  <c r="E8" i="252" s="1"/>
  <c r="L642" i="3"/>
  <c r="L643" i="3"/>
  <c r="E45" i="242" s="1"/>
  <c r="F224" i="276" s="1"/>
  <c r="G224" i="276" s="1"/>
  <c r="E8" i="212"/>
  <c r="L646" i="3"/>
  <c r="E9" i="212" s="1"/>
  <c r="L647" i="3"/>
  <c r="L648" i="3"/>
  <c r="E67" i="242" s="1"/>
  <c r="L649" i="3"/>
  <c r="E9" i="78" s="1"/>
  <c r="L650" i="3"/>
  <c r="L651" i="3"/>
  <c r="E7" i="236" s="1"/>
  <c r="F115" i="276" s="1"/>
  <c r="G115" i="276" s="1"/>
  <c r="L652" i="3"/>
  <c r="E8" i="236" s="1"/>
  <c r="F116" i="276" s="1"/>
  <c r="G116" i="276" s="1"/>
  <c r="L653" i="3"/>
  <c r="L654" i="3"/>
  <c r="L655" i="3"/>
  <c r="E9" i="252" s="1"/>
  <c r="L656" i="3"/>
  <c r="E10" i="252" s="1"/>
  <c r="L657" i="3"/>
  <c r="E83" i="242" s="1"/>
  <c r="L658" i="3"/>
  <c r="E8" i="235" s="1"/>
  <c r="L659" i="3"/>
  <c r="E9" i="235" s="1"/>
  <c r="L660" i="3"/>
  <c r="E10" i="235" s="1"/>
  <c r="L661" i="3"/>
  <c r="E92" i="242" s="1"/>
  <c r="L662" i="3"/>
  <c r="E93" i="242" s="1"/>
  <c r="L663" i="3"/>
  <c r="E11" i="235" s="1"/>
  <c r="L664" i="3"/>
  <c r="E12" i="235" s="1"/>
  <c r="L665" i="3"/>
  <c r="E13" i="235" s="1"/>
  <c r="L666" i="3"/>
  <c r="E14" i="235" s="1"/>
  <c r="L667" i="3"/>
  <c r="E15" i="235" s="1"/>
  <c r="L668" i="3"/>
  <c r="E99" i="242" s="1"/>
  <c r="L669" i="3"/>
  <c r="E100" i="242" s="1"/>
  <c r="F278" i="276" s="1"/>
  <c r="G278" i="276" s="1"/>
  <c r="L670" i="3"/>
  <c r="L671" i="3"/>
  <c r="L672" i="3"/>
  <c r="E11" i="252" s="1"/>
  <c r="L673" i="3"/>
  <c r="E9" i="236" s="1"/>
  <c r="L674" i="3"/>
  <c r="E10" i="236" s="1"/>
  <c r="L675" i="3"/>
  <c r="E11" i="236" s="1"/>
  <c r="F119" i="276" s="1"/>
  <c r="G119" i="276" s="1"/>
  <c r="L676" i="3"/>
  <c r="E12" i="236" s="1"/>
  <c r="F120" i="276" s="1"/>
  <c r="G120" i="276" s="1"/>
  <c r="L677" i="3"/>
  <c r="E13" i="236" s="1"/>
  <c r="F121" i="276" s="1"/>
  <c r="G121" i="276" s="1"/>
  <c r="L678" i="3"/>
  <c r="E118" i="242" s="1"/>
  <c r="L679" i="3"/>
  <c r="E14" i="236" s="1"/>
  <c r="F122" i="276" s="1"/>
  <c r="G122" i="276" s="1"/>
  <c r="L680" i="3"/>
  <c r="E15" i="236" s="1"/>
  <c r="F123" i="276" s="1"/>
  <c r="G123" i="276" s="1"/>
  <c r="L681" i="3"/>
  <c r="E16" i="236" s="1"/>
  <c r="F124" i="276" s="1"/>
  <c r="G124" i="276" s="1"/>
  <c r="L682" i="3"/>
  <c r="E17" i="236" s="1"/>
  <c r="L683" i="3"/>
  <c r="L684" i="3"/>
  <c r="E12" i="252" s="1"/>
  <c r="F471" i="276" s="1"/>
  <c r="G471" i="276" s="1"/>
  <c r="L685" i="3"/>
  <c r="E145" i="242" s="1"/>
  <c r="L686" i="3"/>
  <c r="E6" i="244" s="1"/>
  <c r="L687" i="3"/>
  <c r="E8" i="244" s="1"/>
  <c r="L688" i="3"/>
  <c r="E9" i="244" s="1"/>
  <c r="L689" i="3"/>
  <c r="E11" i="244" s="1"/>
  <c r="L690" i="3"/>
  <c r="E7" i="244" s="1"/>
  <c r="L691" i="3"/>
  <c r="E10" i="244" s="1"/>
  <c r="L692" i="3"/>
  <c r="L693" i="3"/>
  <c r="L694" i="3"/>
  <c r="E95" i="242" s="1"/>
  <c r="L695" i="3"/>
  <c r="E19" i="236" s="1"/>
  <c r="F127" i="276" s="1"/>
  <c r="G127" i="276" s="1"/>
  <c r="L696" i="3"/>
  <c r="E163" i="242" s="1"/>
  <c r="L697" i="3"/>
  <c r="L698" i="3"/>
  <c r="L699" i="3"/>
  <c r="E20" i="236" s="1"/>
  <c r="F128" i="276" s="1"/>
  <c r="G128" i="276" s="1"/>
  <c r="L700" i="3"/>
  <c r="E21" i="236" s="1"/>
  <c r="F129" i="276" s="1"/>
  <c r="G129" i="276" s="1"/>
  <c r="L701" i="3"/>
  <c r="E13" i="252" s="1"/>
  <c r="L702" i="3"/>
  <c r="L703" i="3"/>
  <c r="E14" i="252" s="1"/>
  <c r="L704" i="3"/>
  <c r="E22" i="236" s="1"/>
  <c r="L705" i="3"/>
  <c r="E170" i="242" s="1"/>
  <c r="L706" i="3"/>
  <c r="E23" i="236" s="1"/>
  <c r="L707" i="3"/>
  <c r="E171" i="242" s="1"/>
  <c r="L708" i="3"/>
  <c r="E24" i="236" s="1"/>
  <c r="L709" i="3"/>
  <c r="E172" i="242" s="1"/>
  <c r="L710" i="3"/>
  <c r="E18" i="212" s="1"/>
  <c r="L711" i="3"/>
  <c r="E17" i="212" s="1"/>
  <c r="L712" i="3"/>
  <c r="E19" i="212" s="1"/>
  <c r="L713" i="3"/>
  <c r="E15" i="252" s="1"/>
  <c r="L714" i="3"/>
  <c r="L715" i="3"/>
  <c r="L716" i="3"/>
  <c r="L717" i="3"/>
  <c r="L718" i="3"/>
  <c r="E10" i="242" s="1"/>
  <c r="L719" i="3"/>
  <c r="E35" i="242" s="1"/>
  <c r="L720" i="3"/>
  <c r="E36" i="242" s="1"/>
  <c r="L721" i="3"/>
  <c r="L722" i="3"/>
  <c r="L723" i="3"/>
  <c r="E37" i="242" s="1"/>
  <c r="L724" i="3"/>
  <c r="L725" i="3"/>
  <c r="E11" i="250" s="1"/>
  <c r="L726" i="3"/>
  <c r="E82" i="242" s="1"/>
  <c r="L727" i="3"/>
  <c r="L728" i="3"/>
  <c r="E9" i="251" s="1"/>
  <c r="L729" i="3"/>
  <c r="E138" i="242" s="1"/>
  <c r="L730" i="3"/>
  <c r="E12" i="254" s="1"/>
  <c r="L731" i="3"/>
  <c r="E157" i="242" s="1"/>
  <c r="L732" i="3"/>
  <c r="L733" i="3"/>
  <c r="L734" i="3"/>
  <c r="E162" i="242" s="1"/>
  <c r="L735" i="3"/>
  <c r="L736" i="3"/>
  <c r="L737" i="3"/>
  <c r="L738" i="3"/>
  <c r="L739" i="3"/>
  <c r="L740" i="3"/>
  <c r="E6" i="231" s="1"/>
  <c r="L741" i="3"/>
  <c r="E6" i="219" s="1"/>
  <c r="L742" i="3"/>
  <c r="E7" i="231" s="1"/>
  <c r="L743" i="3"/>
  <c r="E8" i="231" s="1"/>
  <c r="L744" i="3"/>
  <c r="E7" i="219" s="1"/>
  <c r="L745" i="3"/>
  <c r="E9" i="211" s="1"/>
  <c r="L746" i="3"/>
  <c r="E7" i="237" s="1"/>
  <c r="L747" i="3"/>
  <c r="E9" i="219" s="1"/>
  <c r="L748" i="3"/>
  <c r="E9" i="231" s="1"/>
  <c r="L749" i="3"/>
  <c r="E10" i="231" s="1"/>
  <c r="L750" i="3"/>
  <c r="E8" i="219" s="1"/>
  <c r="L751" i="3"/>
  <c r="E11" i="254" s="1"/>
  <c r="L752" i="3"/>
  <c r="E10" i="254" s="1"/>
  <c r="L753" i="3"/>
  <c r="E11" i="231" s="1"/>
  <c r="L754" i="3"/>
  <c r="L755" i="3"/>
  <c r="L756" i="3"/>
  <c r="E15" i="242" s="1"/>
  <c r="L757" i="3"/>
  <c r="E8" i="211" s="1"/>
  <c r="L758" i="3"/>
  <c r="E44" i="242" s="1"/>
  <c r="F223" i="276" s="1"/>
  <c r="G223" i="276" s="1"/>
  <c r="L759" i="3"/>
  <c r="L760" i="3"/>
  <c r="L761" i="3"/>
  <c r="L762" i="3"/>
  <c r="E65" i="242" s="1"/>
  <c r="F243" i="276" s="1"/>
  <c r="G243" i="276" s="1"/>
  <c r="L763" i="3"/>
  <c r="E11" i="247" s="1"/>
  <c r="L764" i="3"/>
  <c r="E97" i="242" s="1"/>
  <c r="L765" i="3"/>
  <c r="E12" i="239" s="1"/>
  <c r="L766" i="3"/>
  <c r="L767" i="3"/>
  <c r="E9" i="254" s="1"/>
  <c r="L768" i="3"/>
  <c r="L769" i="3"/>
  <c r="L770" i="3"/>
  <c r="L771" i="3"/>
  <c r="E24" i="258" s="1"/>
  <c r="L772" i="3"/>
  <c r="E174" i="242" s="1"/>
  <c r="L773" i="3"/>
  <c r="E15" i="229" s="1"/>
  <c r="L774" i="3"/>
  <c r="L775" i="3"/>
  <c r="L776" i="3"/>
  <c r="E62" i="242" s="1"/>
  <c r="L777" i="3"/>
  <c r="E63" i="242" s="1"/>
  <c r="L778" i="3"/>
  <c r="E64" i="242" s="1"/>
  <c r="L779" i="3"/>
  <c r="E127" i="242" s="1"/>
  <c r="L780" i="3"/>
  <c r="L781" i="3"/>
  <c r="L782" i="3"/>
  <c r="E183" i="242" s="1"/>
  <c r="F361" i="276" s="1"/>
  <c r="G361" i="276" s="1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E28" i="240" s="1"/>
  <c r="F44" i="271" s="1"/>
  <c r="L853" i="3"/>
  <c r="L854" i="3"/>
  <c r="L855" i="3"/>
  <c r="L856" i="3"/>
  <c r="L857" i="3"/>
  <c r="L858" i="3"/>
  <c r="L859" i="3"/>
  <c r="L860" i="3"/>
  <c r="L861" i="3"/>
  <c r="L862" i="3"/>
  <c r="L863" i="3"/>
  <c r="E43" i="236" s="1"/>
  <c r="F30" i="271" s="1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E11" i="217" s="1"/>
  <c r="F94" i="271" s="1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A916" i="28" s="1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A940" i="28" s="1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A1013" i="28" s="1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E76" i="236" s="1"/>
  <c r="F9" i="273" s="1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E10" i="257" s="1"/>
  <c r="F67" i="45" s="1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E69" i="216" s="1"/>
  <c r="F23" i="275" s="1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E14" i="257" s="1"/>
  <c r="F34" i="274" s="1"/>
  <c r="L1182" i="3"/>
  <c r="L1183" i="3"/>
  <c r="L1184" i="3"/>
  <c r="L1185" i="3"/>
  <c r="E104" i="236" s="1"/>
  <c r="F14" i="274" s="1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E95" i="216" s="1"/>
  <c r="F65" i="274" s="1"/>
  <c r="L1202" i="3"/>
  <c r="L1203" i="3"/>
  <c r="L1204" i="3"/>
  <c r="L1205" i="3"/>
  <c r="L1206" i="3"/>
  <c r="L1207" i="3"/>
  <c r="E73" i="240" s="1"/>
  <c r="F24" i="274" s="1"/>
  <c r="L1208" i="3"/>
  <c r="L1209" i="3"/>
  <c r="L1210" i="3"/>
  <c r="L1211" i="3"/>
  <c r="L1212" i="3"/>
  <c r="L1213" i="3"/>
  <c r="L1214" i="3"/>
  <c r="L1215" i="3"/>
  <c r="L1216" i="3"/>
  <c r="E74" i="214" s="1"/>
  <c r="F46" i="274" s="1"/>
  <c r="L1217" i="3"/>
  <c r="L1218" i="3"/>
  <c r="L1219" i="3"/>
  <c r="L1220" i="3"/>
  <c r="L1221" i="3"/>
  <c r="L1222" i="3"/>
  <c r="L1223" i="3"/>
  <c r="L1224" i="3"/>
  <c r="L1225" i="3"/>
  <c r="L13" i="3"/>
  <c r="I633" i="3"/>
  <c r="G633" i="3"/>
  <c r="E633" i="3"/>
  <c r="I632" i="3"/>
  <c r="G632" i="3"/>
  <c r="E632" i="3"/>
  <c r="I631" i="3"/>
  <c r="G631" i="3"/>
  <c r="E631" i="3"/>
  <c r="I630" i="3"/>
  <c r="G630" i="3"/>
  <c r="E630" i="3"/>
  <c r="H543" i="3"/>
  <c r="G543" i="3" s="1"/>
  <c r="H542" i="3"/>
  <c r="G542" i="3" s="1"/>
  <c r="H541" i="3"/>
  <c r="G541" i="3" s="1"/>
  <c r="H540" i="3"/>
  <c r="G540" i="3" s="1"/>
  <c r="H539" i="3"/>
  <c r="G539" i="3" s="1"/>
  <c r="H538" i="3"/>
  <c r="G538" i="3" s="1"/>
  <c r="H537" i="3"/>
  <c r="G537" i="3" s="1"/>
  <c r="H536" i="3"/>
  <c r="G536" i="3" s="1"/>
  <c r="H535" i="3"/>
  <c r="G535" i="3" s="1"/>
  <c r="H534" i="3"/>
  <c r="G534" i="3" s="1"/>
  <c r="H533" i="3"/>
  <c r="G533" i="3" s="1"/>
  <c r="H532" i="3"/>
  <c r="G532" i="3" s="1"/>
  <c r="H531" i="3"/>
  <c r="G531" i="3" s="1"/>
  <c r="H530" i="3"/>
  <c r="G530" i="3" s="1"/>
  <c r="H529" i="3"/>
  <c r="G529" i="3" s="1"/>
  <c r="H528" i="3"/>
  <c r="G528" i="3" s="1"/>
  <c r="H527" i="3"/>
  <c r="G527" i="3" s="1"/>
  <c r="H526" i="3"/>
  <c r="G526" i="3" s="1"/>
  <c r="H525" i="3"/>
  <c r="G525" i="3" s="1"/>
  <c r="H524" i="3"/>
  <c r="G524" i="3" s="1"/>
  <c r="H523" i="3"/>
  <c r="G523" i="3" s="1"/>
  <c r="H520" i="3"/>
  <c r="G520" i="3" s="1"/>
  <c r="H519" i="3"/>
  <c r="G519" i="3" s="1"/>
  <c r="H518" i="3"/>
  <c r="G518" i="3" s="1"/>
  <c r="H517" i="3"/>
  <c r="G517" i="3" s="1"/>
  <c r="H516" i="3"/>
  <c r="G516" i="3" s="1"/>
  <c r="H515" i="3"/>
  <c r="G515" i="3" s="1"/>
  <c r="H514" i="3"/>
  <c r="G514" i="3" s="1"/>
  <c r="H513" i="3"/>
  <c r="G513" i="3" s="1"/>
  <c r="H512" i="3"/>
  <c r="G512" i="3" s="1"/>
  <c r="H511" i="3"/>
  <c r="G511" i="3" s="1"/>
  <c r="H510" i="3"/>
  <c r="G510" i="3" s="1"/>
  <c r="H509" i="3"/>
  <c r="G509" i="3" s="1"/>
  <c r="H508" i="3"/>
  <c r="G508" i="3" s="1"/>
  <c r="H507" i="3"/>
  <c r="G507" i="3" s="1"/>
  <c r="H502" i="3"/>
  <c r="G502" i="3" s="1"/>
  <c r="H501" i="3"/>
  <c r="G501" i="3" s="1"/>
  <c r="H500" i="3"/>
  <c r="G500" i="3" s="1"/>
  <c r="H499" i="3"/>
  <c r="G499" i="3" s="1"/>
  <c r="H498" i="3"/>
  <c r="G498" i="3" s="1"/>
  <c r="H497" i="3"/>
  <c r="G497" i="3" s="1"/>
  <c r="H496" i="3"/>
  <c r="G496" i="3" s="1"/>
  <c r="H495" i="3"/>
  <c r="G495" i="3" s="1"/>
  <c r="H494" i="3"/>
  <c r="G494" i="3" s="1"/>
  <c r="H493" i="3"/>
  <c r="G493" i="3" s="1"/>
  <c r="H492" i="3"/>
  <c r="G492" i="3" s="1"/>
  <c r="H491" i="3"/>
  <c r="G491" i="3" s="1"/>
  <c r="H490" i="3"/>
  <c r="G490" i="3" s="1"/>
  <c r="H489" i="3"/>
  <c r="G489" i="3" s="1"/>
  <c r="H488" i="3"/>
  <c r="G488" i="3" s="1"/>
  <c r="H487" i="3"/>
  <c r="G487" i="3" s="1"/>
  <c r="H486" i="3"/>
  <c r="G486" i="3" s="1"/>
  <c r="H485" i="3"/>
  <c r="G485" i="3" s="1"/>
  <c r="H484" i="3"/>
  <c r="G484" i="3" s="1"/>
  <c r="H483" i="3"/>
  <c r="G483" i="3" s="1"/>
  <c r="H482" i="3"/>
  <c r="G482" i="3" s="1"/>
  <c r="H481" i="3"/>
  <c r="G481" i="3" s="1"/>
  <c r="H480" i="3"/>
  <c r="G480" i="3" s="1"/>
  <c r="H479" i="3"/>
  <c r="G479" i="3" s="1"/>
  <c r="H478" i="3"/>
  <c r="G478" i="3" s="1"/>
  <c r="H477" i="3"/>
  <c r="G477" i="3" s="1"/>
  <c r="H476" i="3"/>
  <c r="G476" i="3" s="1"/>
  <c r="H475" i="3"/>
  <c r="G475" i="3" s="1"/>
  <c r="H474" i="3"/>
  <c r="G474" i="3" s="1"/>
  <c r="H473" i="3"/>
  <c r="G473" i="3" s="1"/>
  <c r="H472" i="3"/>
  <c r="G472" i="3" s="1"/>
  <c r="H468" i="3"/>
  <c r="G468" i="3" s="1"/>
  <c r="H467" i="3"/>
  <c r="G467" i="3" s="1"/>
  <c r="H466" i="3"/>
  <c r="G466" i="3" s="1"/>
  <c r="H68" i="3"/>
  <c r="G68" i="3" s="1"/>
  <c r="H67" i="3"/>
  <c r="G67" i="3" s="1"/>
  <c r="H66" i="3"/>
  <c r="G66" i="3" s="1"/>
  <c r="H65" i="3"/>
  <c r="G65" i="3" s="1"/>
  <c r="H64" i="3"/>
  <c r="G64" i="3" s="1"/>
  <c r="H63" i="3"/>
  <c r="G63" i="3" s="1"/>
  <c r="H62" i="3"/>
  <c r="G62" i="3" s="1"/>
  <c r="H61" i="3"/>
  <c r="G61" i="3" s="1"/>
  <c r="H60" i="3"/>
  <c r="G60" i="3" s="1"/>
  <c r="H59" i="3"/>
  <c r="G59" i="3" s="1"/>
  <c r="I31" i="3"/>
  <c r="I32" i="3"/>
  <c r="I33" i="3"/>
  <c r="I49" i="3"/>
  <c r="I50" i="3"/>
  <c r="I51" i="3"/>
  <c r="I136" i="3"/>
  <c r="I137" i="3"/>
  <c r="I162" i="3"/>
  <c r="I163" i="3"/>
  <c r="I164" i="3"/>
  <c r="I217" i="3"/>
  <c r="I218" i="3"/>
  <c r="I219" i="3"/>
  <c r="I311" i="3"/>
  <c r="I312" i="3"/>
  <c r="I313" i="3"/>
  <c r="I314" i="3"/>
  <c r="I315" i="3"/>
  <c r="I316" i="3"/>
  <c r="I383" i="3"/>
  <c r="I384" i="3"/>
  <c r="I385" i="3"/>
  <c r="I386" i="3"/>
  <c r="I417" i="3"/>
  <c r="I418" i="3"/>
  <c r="I419" i="3"/>
  <c r="I420" i="3"/>
  <c r="I436" i="3"/>
  <c r="I437" i="3"/>
  <c r="I438" i="3"/>
  <c r="I459" i="3"/>
  <c r="I460" i="3"/>
  <c r="I469" i="3"/>
  <c r="I470" i="3"/>
  <c r="I471" i="3"/>
  <c r="I503" i="3"/>
  <c r="I504" i="3"/>
  <c r="I505" i="3"/>
  <c r="I506" i="3"/>
  <c r="I521" i="3"/>
  <c r="I522" i="3"/>
  <c r="I548" i="3"/>
  <c r="I549" i="3"/>
  <c r="I550" i="3"/>
  <c r="I596" i="3"/>
  <c r="I597" i="3"/>
  <c r="I598" i="3"/>
  <c r="I715" i="3"/>
  <c r="I716" i="3"/>
  <c r="I717" i="3"/>
  <c r="I736" i="3"/>
  <c r="I737" i="3"/>
  <c r="I738" i="3"/>
  <c r="I754" i="3"/>
  <c r="I755" i="3"/>
  <c r="I774" i="3"/>
  <c r="I775" i="3"/>
  <c r="I783" i="3"/>
  <c r="I784" i="3"/>
  <c r="I785" i="3"/>
  <c r="I786" i="3"/>
  <c r="I787" i="3"/>
  <c r="I801" i="3"/>
  <c r="I802" i="3"/>
  <c r="I803" i="3"/>
  <c r="I804" i="3"/>
  <c r="I805" i="3"/>
  <c r="I806" i="3"/>
  <c r="I807" i="3"/>
  <c r="I846" i="3"/>
  <c r="I847" i="3"/>
  <c r="I848" i="3"/>
  <c r="I849" i="3"/>
  <c r="I850" i="3"/>
  <c r="I851" i="3"/>
  <c r="I938" i="3"/>
  <c r="I939" i="3"/>
  <c r="I940" i="3"/>
  <c r="I941" i="3"/>
  <c r="I942" i="3"/>
  <c r="I943" i="3"/>
  <c r="I1000" i="3"/>
  <c r="I1001" i="3"/>
  <c r="I1002" i="3"/>
  <c r="I1003" i="3"/>
  <c r="I1004" i="3"/>
  <c r="I1005" i="3"/>
  <c r="I1061" i="3"/>
  <c r="I1062" i="3"/>
  <c r="I1063" i="3"/>
  <c r="I1081" i="3"/>
  <c r="I1082" i="3"/>
  <c r="I1083" i="3"/>
  <c r="I1091" i="3"/>
  <c r="I1092" i="3"/>
  <c r="I1093" i="3"/>
  <c r="I1094" i="3"/>
  <c r="I1095" i="3"/>
  <c r="I1154" i="3"/>
  <c r="I1155" i="3"/>
  <c r="I1156" i="3"/>
  <c r="I1157" i="3"/>
  <c r="I1158" i="3"/>
  <c r="I1159" i="3"/>
  <c r="I1176" i="3"/>
  <c r="I1177" i="3"/>
  <c r="I1178" i="3"/>
  <c r="G31" i="3"/>
  <c r="G32" i="3"/>
  <c r="G33" i="3"/>
  <c r="G49" i="3"/>
  <c r="G50" i="3"/>
  <c r="G51" i="3"/>
  <c r="G136" i="3"/>
  <c r="G137" i="3"/>
  <c r="G162" i="3"/>
  <c r="G163" i="3"/>
  <c r="G164" i="3"/>
  <c r="G217" i="3"/>
  <c r="G218" i="3"/>
  <c r="G219" i="3"/>
  <c r="G311" i="3"/>
  <c r="G312" i="3"/>
  <c r="G313" i="3"/>
  <c r="G314" i="3"/>
  <c r="G315" i="3"/>
  <c r="G316" i="3"/>
  <c r="G383" i="3"/>
  <c r="G384" i="3"/>
  <c r="G385" i="3"/>
  <c r="G386" i="3"/>
  <c r="G417" i="3"/>
  <c r="G418" i="3"/>
  <c r="G419" i="3"/>
  <c r="G420" i="3"/>
  <c r="G436" i="3"/>
  <c r="G437" i="3"/>
  <c r="G438" i="3"/>
  <c r="G459" i="3"/>
  <c r="G460" i="3"/>
  <c r="G469" i="3"/>
  <c r="G470" i="3"/>
  <c r="G471" i="3"/>
  <c r="G503" i="3"/>
  <c r="G504" i="3"/>
  <c r="G505" i="3"/>
  <c r="G506" i="3"/>
  <c r="G521" i="3"/>
  <c r="G522" i="3"/>
  <c r="G548" i="3"/>
  <c r="G549" i="3"/>
  <c r="G550" i="3"/>
  <c r="G596" i="3"/>
  <c r="G597" i="3"/>
  <c r="G598" i="3"/>
  <c r="G715" i="3"/>
  <c r="G716" i="3"/>
  <c r="G717" i="3"/>
  <c r="G736" i="3"/>
  <c r="G737" i="3"/>
  <c r="G738" i="3"/>
  <c r="G754" i="3"/>
  <c r="G755" i="3"/>
  <c r="G774" i="3"/>
  <c r="G775" i="3"/>
  <c r="G783" i="3"/>
  <c r="G784" i="3"/>
  <c r="G785" i="3"/>
  <c r="G786" i="3"/>
  <c r="G787" i="3"/>
  <c r="G801" i="3"/>
  <c r="G802" i="3"/>
  <c r="G803" i="3"/>
  <c r="G804" i="3"/>
  <c r="G805" i="3"/>
  <c r="G806" i="3"/>
  <c r="G807" i="3"/>
  <c r="G846" i="3"/>
  <c r="G847" i="3"/>
  <c r="G848" i="3"/>
  <c r="G849" i="3"/>
  <c r="G850" i="3"/>
  <c r="G851" i="3"/>
  <c r="G938" i="3"/>
  <c r="G939" i="3"/>
  <c r="G940" i="3"/>
  <c r="G941" i="3"/>
  <c r="G942" i="3"/>
  <c r="G943" i="3"/>
  <c r="G1000" i="3"/>
  <c r="G1001" i="3"/>
  <c r="G1002" i="3"/>
  <c r="G1003" i="3"/>
  <c r="G1004" i="3"/>
  <c r="G1005" i="3"/>
  <c r="G1061" i="3"/>
  <c r="G1062" i="3"/>
  <c r="G1063" i="3"/>
  <c r="G1081" i="3"/>
  <c r="G1082" i="3"/>
  <c r="G1083" i="3"/>
  <c r="G1091" i="3"/>
  <c r="G1092" i="3"/>
  <c r="G1093" i="3"/>
  <c r="G1094" i="3"/>
  <c r="G1095" i="3"/>
  <c r="G1154" i="3"/>
  <c r="G1155" i="3"/>
  <c r="G1156" i="3"/>
  <c r="G1157" i="3"/>
  <c r="G1158" i="3"/>
  <c r="G1159" i="3"/>
  <c r="G1176" i="3"/>
  <c r="G1177" i="3"/>
  <c r="G1178" i="3"/>
  <c r="E31" i="3"/>
  <c r="E32" i="3"/>
  <c r="E33" i="3"/>
  <c r="E49" i="3"/>
  <c r="E50" i="3"/>
  <c r="E51" i="3"/>
  <c r="E136" i="3"/>
  <c r="E137" i="3"/>
  <c r="E162" i="3"/>
  <c r="E163" i="3"/>
  <c r="E164" i="3"/>
  <c r="E217" i="3"/>
  <c r="E218" i="3"/>
  <c r="E219" i="3"/>
  <c r="E311" i="3"/>
  <c r="E312" i="3"/>
  <c r="E313" i="3"/>
  <c r="E314" i="3"/>
  <c r="E315" i="3"/>
  <c r="E316" i="3"/>
  <c r="E383" i="3"/>
  <c r="E384" i="3"/>
  <c r="E385" i="3"/>
  <c r="E386" i="3"/>
  <c r="E417" i="3"/>
  <c r="E418" i="3"/>
  <c r="E419" i="3"/>
  <c r="E420" i="3"/>
  <c r="E436" i="3"/>
  <c r="E437" i="3"/>
  <c r="E438" i="3"/>
  <c r="E459" i="3"/>
  <c r="E460" i="3"/>
  <c r="E469" i="3"/>
  <c r="E470" i="3"/>
  <c r="E471" i="3"/>
  <c r="E503" i="3"/>
  <c r="E504" i="3"/>
  <c r="E505" i="3"/>
  <c r="E506" i="3"/>
  <c r="E521" i="3"/>
  <c r="E522" i="3"/>
  <c r="E548" i="3"/>
  <c r="E549" i="3"/>
  <c r="E550" i="3"/>
  <c r="E596" i="3"/>
  <c r="E597" i="3"/>
  <c r="E598" i="3"/>
  <c r="E715" i="3"/>
  <c r="E716" i="3"/>
  <c r="E717" i="3"/>
  <c r="E736" i="3"/>
  <c r="E737" i="3"/>
  <c r="E738" i="3"/>
  <c r="E754" i="3"/>
  <c r="E755" i="3"/>
  <c r="E774" i="3"/>
  <c r="E775" i="3"/>
  <c r="E783" i="3"/>
  <c r="E784" i="3"/>
  <c r="E785" i="3"/>
  <c r="E786" i="3"/>
  <c r="E787" i="3"/>
  <c r="E801" i="3"/>
  <c r="E802" i="3"/>
  <c r="E803" i="3"/>
  <c r="E804" i="3"/>
  <c r="E805" i="3"/>
  <c r="E806" i="3"/>
  <c r="E807" i="3"/>
  <c r="E846" i="3"/>
  <c r="E847" i="3"/>
  <c r="E848" i="3"/>
  <c r="E849" i="3"/>
  <c r="E850" i="3"/>
  <c r="E851" i="3"/>
  <c r="E938" i="3"/>
  <c r="E939" i="3"/>
  <c r="E940" i="3"/>
  <c r="E941" i="3"/>
  <c r="E942" i="3"/>
  <c r="E943" i="3"/>
  <c r="E1000" i="3"/>
  <c r="E1001" i="3"/>
  <c r="E1002" i="3"/>
  <c r="E1003" i="3"/>
  <c r="E1004" i="3"/>
  <c r="E1005" i="3"/>
  <c r="E1061" i="3"/>
  <c r="E1062" i="3"/>
  <c r="E1063" i="3"/>
  <c r="E1081" i="3"/>
  <c r="E1082" i="3"/>
  <c r="E1083" i="3"/>
  <c r="E1091" i="3"/>
  <c r="E1092" i="3"/>
  <c r="E1093" i="3"/>
  <c r="E1094" i="3"/>
  <c r="E1095" i="3"/>
  <c r="E1154" i="3"/>
  <c r="E1155" i="3"/>
  <c r="E1156" i="3"/>
  <c r="E1157" i="3"/>
  <c r="E1158" i="3"/>
  <c r="E1159" i="3"/>
  <c r="E1176" i="3"/>
  <c r="E1177" i="3"/>
  <c r="E1178" i="3"/>
  <c r="J1225" i="3"/>
  <c r="I1225" i="3" s="1"/>
  <c r="J1224" i="3"/>
  <c r="I1224" i="3" s="1"/>
  <c r="J1223" i="3"/>
  <c r="I1223" i="3" s="1"/>
  <c r="J1222" i="3"/>
  <c r="I1222" i="3" s="1"/>
  <c r="J1221" i="3"/>
  <c r="I1221" i="3" s="1"/>
  <c r="J1220" i="3"/>
  <c r="I1220" i="3" s="1"/>
  <c r="J1219" i="3"/>
  <c r="I1219" i="3" s="1"/>
  <c r="J1218" i="3"/>
  <c r="I1218" i="3" s="1"/>
  <c r="J1217" i="3"/>
  <c r="I1217" i="3" s="1"/>
  <c r="J1216" i="3"/>
  <c r="I1216" i="3" s="1"/>
  <c r="J1215" i="3"/>
  <c r="I1215" i="3" s="1"/>
  <c r="J1214" i="3"/>
  <c r="I1214" i="3" s="1"/>
  <c r="J1213" i="3"/>
  <c r="I1213" i="3" s="1"/>
  <c r="J1212" i="3"/>
  <c r="I1212" i="3" s="1"/>
  <c r="J1211" i="3"/>
  <c r="I1211" i="3" s="1"/>
  <c r="J1210" i="3"/>
  <c r="I1210" i="3" s="1"/>
  <c r="J1209" i="3"/>
  <c r="I1209" i="3" s="1"/>
  <c r="J1208" i="3"/>
  <c r="I1208" i="3" s="1"/>
  <c r="J1207" i="3"/>
  <c r="I1207" i="3" s="1"/>
  <c r="J1206" i="3"/>
  <c r="I1206" i="3" s="1"/>
  <c r="J1205" i="3"/>
  <c r="I1205" i="3" s="1"/>
  <c r="J1204" i="3"/>
  <c r="I1204" i="3" s="1"/>
  <c r="J1203" i="3"/>
  <c r="I1203" i="3" s="1"/>
  <c r="J1202" i="3"/>
  <c r="I1202" i="3" s="1"/>
  <c r="J1201" i="3"/>
  <c r="I1201" i="3" s="1"/>
  <c r="J1200" i="3"/>
  <c r="I1200" i="3" s="1"/>
  <c r="J1199" i="3"/>
  <c r="I1199" i="3" s="1"/>
  <c r="J1198" i="3"/>
  <c r="I1198" i="3" s="1"/>
  <c r="J1197" i="3"/>
  <c r="I1197" i="3" s="1"/>
  <c r="J1196" i="3"/>
  <c r="I1196" i="3" s="1"/>
  <c r="J1195" i="3"/>
  <c r="I1195" i="3" s="1"/>
  <c r="J1194" i="3"/>
  <c r="I1194" i="3" s="1"/>
  <c r="J1193" i="3"/>
  <c r="I1193" i="3" s="1"/>
  <c r="J1192" i="3"/>
  <c r="I1192" i="3" s="1"/>
  <c r="J1191" i="3"/>
  <c r="I1191" i="3" s="1"/>
  <c r="J1190" i="3"/>
  <c r="I1190" i="3" s="1"/>
  <c r="J1189" i="3"/>
  <c r="I1189" i="3" s="1"/>
  <c r="J1188" i="3"/>
  <c r="I1188" i="3" s="1"/>
  <c r="J1187" i="3"/>
  <c r="I1187" i="3" s="1"/>
  <c r="J1186" i="3"/>
  <c r="I1186" i="3" s="1"/>
  <c r="J1185" i="3"/>
  <c r="I1185" i="3" s="1"/>
  <c r="J1184" i="3"/>
  <c r="I1184" i="3" s="1"/>
  <c r="J1183" i="3"/>
  <c r="I1183" i="3" s="1"/>
  <c r="J1182" i="3"/>
  <c r="I1182" i="3" s="1"/>
  <c r="J1181" i="3"/>
  <c r="I1181" i="3" s="1"/>
  <c r="J1180" i="3"/>
  <c r="I1180" i="3" s="1"/>
  <c r="J1179" i="3"/>
  <c r="I1179" i="3" s="1"/>
  <c r="J1175" i="3"/>
  <c r="I1175" i="3" s="1"/>
  <c r="J1174" i="3"/>
  <c r="I1174" i="3" s="1"/>
  <c r="J1173" i="3"/>
  <c r="I1173" i="3" s="1"/>
  <c r="J1172" i="3"/>
  <c r="I1172" i="3" s="1"/>
  <c r="J1171" i="3"/>
  <c r="I1171" i="3" s="1"/>
  <c r="J1170" i="3"/>
  <c r="I1170" i="3" s="1"/>
  <c r="J1169" i="3"/>
  <c r="I1169" i="3" s="1"/>
  <c r="J1168" i="3"/>
  <c r="I1168" i="3" s="1"/>
  <c r="J1167" i="3"/>
  <c r="I1167" i="3" s="1"/>
  <c r="J1166" i="3"/>
  <c r="I1166" i="3" s="1"/>
  <c r="J1165" i="3"/>
  <c r="I1165" i="3" s="1"/>
  <c r="J1164" i="3"/>
  <c r="I1164" i="3" s="1"/>
  <c r="J1163" i="3"/>
  <c r="I1163" i="3" s="1"/>
  <c r="J1162" i="3"/>
  <c r="I1162" i="3" s="1"/>
  <c r="J1161" i="3"/>
  <c r="I1161" i="3" s="1"/>
  <c r="J1160" i="3"/>
  <c r="I1160" i="3" s="1"/>
  <c r="J1153" i="3"/>
  <c r="I1153" i="3" s="1"/>
  <c r="J1152" i="3"/>
  <c r="I1152" i="3" s="1"/>
  <c r="J1151" i="3"/>
  <c r="I1151" i="3" s="1"/>
  <c r="J1150" i="3"/>
  <c r="I1150" i="3" s="1"/>
  <c r="J1149" i="3"/>
  <c r="I1149" i="3" s="1"/>
  <c r="J1148" i="3"/>
  <c r="I1148" i="3" s="1"/>
  <c r="J1147" i="3"/>
  <c r="I1147" i="3" s="1"/>
  <c r="J1146" i="3"/>
  <c r="I1146" i="3" s="1"/>
  <c r="J1145" i="3"/>
  <c r="I1145" i="3" s="1"/>
  <c r="J1144" i="3"/>
  <c r="I1144" i="3" s="1"/>
  <c r="J1143" i="3"/>
  <c r="I1143" i="3" s="1"/>
  <c r="J1142" i="3"/>
  <c r="I1142" i="3" s="1"/>
  <c r="J1141" i="3"/>
  <c r="I1141" i="3" s="1"/>
  <c r="J1140" i="3"/>
  <c r="I1140" i="3" s="1"/>
  <c r="J1139" i="3"/>
  <c r="I1139" i="3" s="1"/>
  <c r="J1138" i="3"/>
  <c r="I1138" i="3" s="1"/>
  <c r="J1137" i="3"/>
  <c r="I1137" i="3" s="1"/>
  <c r="J1136" i="3"/>
  <c r="I1136" i="3" s="1"/>
  <c r="J1135" i="3"/>
  <c r="I1135" i="3" s="1"/>
  <c r="J1134" i="3"/>
  <c r="I1134" i="3" s="1"/>
  <c r="J1133" i="3"/>
  <c r="I1133" i="3" s="1"/>
  <c r="J1132" i="3"/>
  <c r="I1132" i="3" s="1"/>
  <c r="J1131" i="3"/>
  <c r="I1131" i="3" s="1"/>
  <c r="J1130" i="3"/>
  <c r="I1130" i="3" s="1"/>
  <c r="J1129" i="3"/>
  <c r="I1129" i="3" s="1"/>
  <c r="J1128" i="3"/>
  <c r="I1128" i="3" s="1"/>
  <c r="J1127" i="3"/>
  <c r="I1127" i="3" s="1"/>
  <c r="J1126" i="3"/>
  <c r="I1126" i="3" s="1"/>
  <c r="J1125" i="3"/>
  <c r="I1125" i="3" s="1"/>
  <c r="J1124" i="3"/>
  <c r="I1124" i="3" s="1"/>
  <c r="J1123" i="3"/>
  <c r="I1123" i="3" s="1"/>
  <c r="J1122" i="3"/>
  <c r="I1122" i="3" s="1"/>
  <c r="J1121" i="3"/>
  <c r="I1121" i="3" s="1"/>
  <c r="J1120" i="3"/>
  <c r="I1120" i="3" s="1"/>
  <c r="J1119" i="3"/>
  <c r="I1119" i="3" s="1"/>
  <c r="J1118" i="3"/>
  <c r="I1118" i="3" s="1"/>
  <c r="J1117" i="3"/>
  <c r="I1117" i="3" s="1"/>
  <c r="J1116" i="3"/>
  <c r="I1116" i="3" s="1"/>
  <c r="J1115" i="3"/>
  <c r="I1115" i="3" s="1"/>
  <c r="J1114" i="3"/>
  <c r="I1114" i="3" s="1"/>
  <c r="J1113" i="3"/>
  <c r="I1113" i="3" s="1"/>
  <c r="J1112" i="3"/>
  <c r="I1112" i="3" s="1"/>
  <c r="J1111" i="3"/>
  <c r="I1111" i="3" s="1"/>
  <c r="J1110" i="3"/>
  <c r="I1110" i="3" s="1"/>
  <c r="J1109" i="3"/>
  <c r="I1109" i="3" s="1"/>
  <c r="J1108" i="3"/>
  <c r="I1108" i="3" s="1"/>
  <c r="J1107" i="3"/>
  <c r="I1107" i="3" s="1"/>
  <c r="J1106" i="3"/>
  <c r="I1106" i="3" s="1"/>
  <c r="J1105" i="3"/>
  <c r="I1105" i="3" s="1"/>
  <c r="J1104" i="3"/>
  <c r="I1104" i="3" s="1"/>
  <c r="J1103" i="3"/>
  <c r="I1103" i="3" s="1"/>
  <c r="J1102" i="3"/>
  <c r="I1102" i="3" s="1"/>
  <c r="J1101" i="3"/>
  <c r="I1101" i="3" s="1"/>
  <c r="J1100" i="3"/>
  <c r="I1100" i="3" s="1"/>
  <c r="J1099" i="3"/>
  <c r="I1099" i="3" s="1"/>
  <c r="J1098" i="3"/>
  <c r="I1098" i="3" s="1"/>
  <c r="J1097" i="3"/>
  <c r="I1097" i="3" s="1"/>
  <c r="J1096" i="3"/>
  <c r="I1096" i="3" s="1"/>
  <c r="J1090" i="3"/>
  <c r="I1090" i="3" s="1"/>
  <c r="J1089" i="3"/>
  <c r="I1089" i="3" s="1"/>
  <c r="J1088" i="3"/>
  <c r="I1088" i="3" s="1"/>
  <c r="J1087" i="3"/>
  <c r="I1087" i="3" s="1"/>
  <c r="J1086" i="3"/>
  <c r="I1086" i="3" s="1"/>
  <c r="J1085" i="3"/>
  <c r="I1085" i="3" s="1"/>
  <c r="J1084" i="3"/>
  <c r="I1084" i="3" s="1"/>
  <c r="J1080" i="3"/>
  <c r="I1080" i="3" s="1"/>
  <c r="J1079" i="3"/>
  <c r="I1079" i="3" s="1"/>
  <c r="J1078" i="3"/>
  <c r="I1078" i="3" s="1"/>
  <c r="J1077" i="3"/>
  <c r="I1077" i="3" s="1"/>
  <c r="J1076" i="3"/>
  <c r="I1076" i="3" s="1"/>
  <c r="J1075" i="3"/>
  <c r="I1075" i="3" s="1"/>
  <c r="J1074" i="3"/>
  <c r="I1074" i="3" s="1"/>
  <c r="J1073" i="3"/>
  <c r="I1073" i="3" s="1"/>
  <c r="J1072" i="3"/>
  <c r="I1072" i="3" s="1"/>
  <c r="J1071" i="3"/>
  <c r="I1071" i="3" s="1"/>
  <c r="J1070" i="3"/>
  <c r="I1070" i="3" s="1"/>
  <c r="J1069" i="3"/>
  <c r="I1069" i="3" s="1"/>
  <c r="J1068" i="3"/>
  <c r="I1068" i="3" s="1"/>
  <c r="J1067" i="3"/>
  <c r="I1067" i="3" s="1"/>
  <c r="J1066" i="3"/>
  <c r="I1066" i="3" s="1"/>
  <c r="J1065" i="3"/>
  <c r="I1065" i="3" s="1"/>
  <c r="J1064" i="3"/>
  <c r="I1064" i="3" s="1"/>
  <c r="J1060" i="3"/>
  <c r="I1060" i="3" s="1"/>
  <c r="J1059" i="3"/>
  <c r="I1059" i="3" s="1"/>
  <c r="J1058" i="3"/>
  <c r="I1058" i="3" s="1"/>
  <c r="J1057" i="3"/>
  <c r="I1057" i="3" s="1"/>
  <c r="J1056" i="3"/>
  <c r="I1056" i="3" s="1"/>
  <c r="J1055" i="3"/>
  <c r="I1055" i="3" s="1"/>
  <c r="J1054" i="3"/>
  <c r="I1054" i="3" s="1"/>
  <c r="J1053" i="3"/>
  <c r="I1053" i="3" s="1"/>
  <c r="J1052" i="3"/>
  <c r="I1052" i="3" s="1"/>
  <c r="J1051" i="3"/>
  <c r="I1051" i="3" s="1"/>
  <c r="J1050" i="3"/>
  <c r="I1050" i="3" s="1"/>
  <c r="J1049" i="3"/>
  <c r="I1049" i="3" s="1"/>
  <c r="J1048" i="3"/>
  <c r="I1048" i="3" s="1"/>
  <c r="J1047" i="3"/>
  <c r="I1047" i="3" s="1"/>
  <c r="J1046" i="3"/>
  <c r="I1046" i="3" s="1"/>
  <c r="J1045" i="3"/>
  <c r="I1045" i="3" s="1"/>
  <c r="J1044" i="3"/>
  <c r="I1044" i="3" s="1"/>
  <c r="J1043" i="3"/>
  <c r="I1043" i="3" s="1"/>
  <c r="J1042" i="3"/>
  <c r="I1042" i="3" s="1"/>
  <c r="J1041" i="3"/>
  <c r="I1041" i="3" s="1"/>
  <c r="J1040" i="3"/>
  <c r="I1040" i="3" s="1"/>
  <c r="J1039" i="3"/>
  <c r="I1039" i="3" s="1"/>
  <c r="J1038" i="3"/>
  <c r="I1038" i="3" s="1"/>
  <c r="J1037" i="3"/>
  <c r="I1037" i="3" s="1"/>
  <c r="J1036" i="3"/>
  <c r="I1036" i="3" s="1"/>
  <c r="J1035" i="3"/>
  <c r="I1035" i="3" s="1"/>
  <c r="J1034" i="3"/>
  <c r="I1034" i="3" s="1"/>
  <c r="J1033" i="3"/>
  <c r="I1033" i="3" s="1"/>
  <c r="J1032" i="3"/>
  <c r="I1032" i="3" s="1"/>
  <c r="J1031" i="3"/>
  <c r="I1031" i="3" s="1"/>
  <c r="J1030" i="3"/>
  <c r="I1030" i="3" s="1"/>
  <c r="J1029" i="3"/>
  <c r="I1029" i="3" s="1"/>
  <c r="J1028" i="3"/>
  <c r="I1028" i="3" s="1"/>
  <c r="J1027" i="3"/>
  <c r="I1027" i="3" s="1"/>
  <c r="J1026" i="3"/>
  <c r="I1026" i="3" s="1"/>
  <c r="J1025" i="3"/>
  <c r="I1025" i="3" s="1"/>
  <c r="J1024" i="3"/>
  <c r="I1024" i="3" s="1"/>
  <c r="J1023" i="3"/>
  <c r="I1023" i="3" s="1"/>
  <c r="J1022" i="3"/>
  <c r="I1022" i="3" s="1"/>
  <c r="J1021" i="3"/>
  <c r="I1021" i="3" s="1"/>
  <c r="J1020" i="3"/>
  <c r="I1020" i="3" s="1"/>
  <c r="J1019" i="3"/>
  <c r="I1019" i="3" s="1"/>
  <c r="J1018" i="3"/>
  <c r="I1018" i="3" s="1"/>
  <c r="J1017" i="3"/>
  <c r="I1017" i="3" s="1"/>
  <c r="J1016" i="3"/>
  <c r="I1016" i="3" s="1"/>
  <c r="J1015" i="3"/>
  <c r="I1015" i="3" s="1"/>
  <c r="J1014" i="3"/>
  <c r="I1014" i="3" s="1"/>
  <c r="J1013" i="3"/>
  <c r="I1013" i="3" s="1"/>
  <c r="J1012" i="3"/>
  <c r="I1012" i="3" s="1"/>
  <c r="J1011" i="3"/>
  <c r="I1011" i="3" s="1"/>
  <c r="J1010" i="3"/>
  <c r="I1010" i="3" s="1"/>
  <c r="J1009" i="3"/>
  <c r="I1009" i="3" s="1"/>
  <c r="J1008" i="3"/>
  <c r="I1008" i="3" s="1"/>
  <c r="J1007" i="3"/>
  <c r="I1007" i="3" s="1"/>
  <c r="J1006" i="3"/>
  <c r="I1006" i="3" s="1"/>
  <c r="J999" i="3"/>
  <c r="I999" i="3" s="1"/>
  <c r="J998" i="3"/>
  <c r="I998" i="3" s="1"/>
  <c r="J997" i="3"/>
  <c r="I997" i="3" s="1"/>
  <c r="J996" i="3"/>
  <c r="I996" i="3" s="1"/>
  <c r="J995" i="3"/>
  <c r="I995" i="3" s="1"/>
  <c r="J994" i="3"/>
  <c r="I994" i="3" s="1"/>
  <c r="J993" i="3"/>
  <c r="I993" i="3" s="1"/>
  <c r="J992" i="3"/>
  <c r="I992" i="3" s="1"/>
  <c r="J991" i="3"/>
  <c r="I991" i="3" s="1"/>
  <c r="J990" i="3"/>
  <c r="I990" i="3" s="1"/>
  <c r="J989" i="3"/>
  <c r="I989" i="3" s="1"/>
  <c r="J988" i="3"/>
  <c r="I988" i="3" s="1"/>
  <c r="J987" i="3"/>
  <c r="I987" i="3" s="1"/>
  <c r="J986" i="3"/>
  <c r="I986" i="3" s="1"/>
  <c r="J985" i="3"/>
  <c r="I985" i="3" s="1"/>
  <c r="J984" i="3"/>
  <c r="I984" i="3" s="1"/>
  <c r="J983" i="3"/>
  <c r="I983" i="3" s="1"/>
  <c r="J982" i="3"/>
  <c r="I982" i="3" s="1"/>
  <c r="J981" i="3"/>
  <c r="I981" i="3" s="1"/>
  <c r="J980" i="3"/>
  <c r="I980" i="3" s="1"/>
  <c r="J979" i="3"/>
  <c r="I979" i="3" s="1"/>
  <c r="J978" i="3"/>
  <c r="I978" i="3" s="1"/>
  <c r="J977" i="3"/>
  <c r="I977" i="3" s="1"/>
  <c r="J976" i="3"/>
  <c r="I976" i="3" s="1"/>
  <c r="J975" i="3"/>
  <c r="I975" i="3" s="1"/>
  <c r="J974" i="3"/>
  <c r="I974" i="3" s="1"/>
  <c r="J973" i="3"/>
  <c r="I973" i="3" s="1"/>
  <c r="J972" i="3"/>
  <c r="I972" i="3" s="1"/>
  <c r="J971" i="3"/>
  <c r="I971" i="3" s="1"/>
  <c r="J970" i="3"/>
  <c r="I970" i="3" s="1"/>
  <c r="J969" i="3"/>
  <c r="I969" i="3" s="1"/>
  <c r="J968" i="3"/>
  <c r="I968" i="3" s="1"/>
  <c r="J967" i="3"/>
  <c r="I967" i="3" s="1"/>
  <c r="J966" i="3"/>
  <c r="I966" i="3" s="1"/>
  <c r="J965" i="3"/>
  <c r="I965" i="3" s="1"/>
  <c r="J964" i="3"/>
  <c r="I964" i="3" s="1"/>
  <c r="J963" i="3"/>
  <c r="I963" i="3" s="1"/>
  <c r="J962" i="3"/>
  <c r="I962" i="3" s="1"/>
  <c r="J961" i="3"/>
  <c r="I961" i="3" s="1"/>
  <c r="J960" i="3"/>
  <c r="I960" i="3" s="1"/>
  <c r="J959" i="3"/>
  <c r="I959" i="3" s="1"/>
  <c r="J958" i="3"/>
  <c r="I958" i="3" s="1"/>
  <c r="J957" i="3"/>
  <c r="I957" i="3" s="1"/>
  <c r="J956" i="3"/>
  <c r="I956" i="3" s="1"/>
  <c r="J955" i="3"/>
  <c r="I955" i="3" s="1"/>
  <c r="J954" i="3"/>
  <c r="I954" i="3" s="1"/>
  <c r="J953" i="3"/>
  <c r="I953" i="3" s="1"/>
  <c r="J952" i="3"/>
  <c r="I952" i="3" s="1"/>
  <c r="J951" i="3"/>
  <c r="I951" i="3" s="1"/>
  <c r="J950" i="3"/>
  <c r="I950" i="3" s="1"/>
  <c r="J949" i="3"/>
  <c r="I949" i="3" s="1"/>
  <c r="J948" i="3"/>
  <c r="I948" i="3" s="1"/>
  <c r="J947" i="3"/>
  <c r="I947" i="3" s="1"/>
  <c r="J946" i="3"/>
  <c r="I946" i="3" s="1"/>
  <c r="J945" i="3"/>
  <c r="I945" i="3" s="1"/>
  <c r="J944" i="3"/>
  <c r="I944" i="3" s="1"/>
  <c r="J937" i="3"/>
  <c r="I937" i="3" s="1"/>
  <c r="J936" i="3"/>
  <c r="I936" i="3" s="1"/>
  <c r="J935" i="3"/>
  <c r="I935" i="3" s="1"/>
  <c r="J934" i="3"/>
  <c r="I934" i="3" s="1"/>
  <c r="J933" i="3"/>
  <c r="I933" i="3" s="1"/>
  <c r="J932" i="3"/>
  <c r="I932" i="3" s="1"/>
  <c r="J931" i="3"/>
  <c r="I931" i="3" s="1"/>
  <c r="J930" i="3"/>
  <c r="I930" i="3" s="1"/>
  <c r="J929" i="3"/>
  <c r="I929" i="3" s="1"/>
  <c r="J928" i="3"/>
  <c r="I928" i="3" s="1"/>
  <c r="J927" i="3"/>
  <c r="I927" i="3" s="1"/>
  <c r="J926" i="3"/>
  <c r="I926" i="3" s="1"/>
  <c r="J925" i="3"/>
  <c r="I925" i="3" s="1"/>
  <c r="J924" i="3"/>
  <c r="I924" i="3" s="1"/>
  <c r="J923" i="3"/>
  <c r="I923" i="3" s="1"/>
  <c r="J922" i="3"/>
  <c r="I922" i="3" s="1"/>
  <c r="J921" i="3"/>
  <c r="I921" i="3" s="1"/>
  <c r="J920" i="3"/>
  <c r="I920" i="3" s="1"/>
  <c r="J919" i="3"/>
  <c r="I919" i="3" s="1"/>
  <c r="J918" i="3"/>
  <c r="I918" i="3" s="1"/>
  <c r="J917" i="3"/>
  <c r="I917" i="3" s="1"/>
  <c r="J916" i="3"/>
  <c r="I916" i="3" s="1"/>
  <c r="J915" i="3"/>
  <c r="I915" i="3" s="1"/>
  <c r="J914" i="3"/>
  <c r="I914" i="3" s="1"/>
  <c r="J913" i="3"/>
  <c r="I913" i="3" s="1"/>
  <c r="J912" i="3"/>
  <c r="I912" i="3" s="1"/>
  <c r="J911" i="3"/>
  <c r="I911" i="3" s="1"/>
  <c r="J910" i="3"/>
  <c r="I910" i="3" s="1"/>
  <c r="J909" i="3"/>
  <c r="I909" i="3" s="1"/>
  <c r="J908" i="3"/>
  <c r="I908" i="3" s="1"/>
  <c r="J907" i="3"/>
  <c r="I907" i="3" s="1"/>
  <c r="J906" i="3"/>
  <c r="I906" i="3" s="1"/>
  <c r="J905" i="3"/>
  <c r="I905" i="3" s="1"/>
  <c r="J904" i="3"/>
  <c r="I904" i="3" s="1"/>
  <c r="J903" i="3"/>
  <c r="I903" i="3" s="1"/>
  <c r="J902" i="3"/>
  <c r="I902" i="3" s="1"/>
  <c r="J901" i="3"/>
  <c r="I901" i="3" s="1"/>
  <c r="J900" i="3"/>
  <c r="I900" i="3" s="1"/>
  <c r="J899" i="3"/>
  <c r="I899" i="3" s="1"/>
  <c r="J898" i="3"/>
  <c r="I898" i="3" s="1"/>
  <c r="J897" i="3"/>
  <c r="I897" i="3" s="1"/>
  <c r="J896" i="3"/>
  <c r="I896" i="3" s="1"/>
  <c r="J895" i="3"/>
  <c r="I895" i="3" s="1"/>
  <c r="J894" i="3"/>
  <c r="I894" i="3" s="1"/>
  <c r="J893" i="3"/>
  <c r="I893" i="3" s="1"/>
  <c r="J892" i="3"/>
  <c r="I892" i="3" s="1"/>
  <c r="J891" i="3"/>
  <c r="I891" i="3" s="1"/>
  <c r="J890" i="3"/>
  <c r="I890" i="3" s="1"/>
  <c r="J889" i="3"/>
  <c r="I889" i="3" s="1"/>
  <c r="J888" i="3"/>
  <c r="I888" i="3" s="1"/>
  <c r="J887" i="3"/>
  <c r="I887" i="3" s="1"/>
  <c r="J886" i="3"/>
  <c r="I886" i="3" s="1"/>
  <c r="J885" i="3"/>
  <c r="I885" i="3" s="1"/>
  <c r="J884" i="3"/>
  <c r="I884" i="3" s="1"/>
  <c r="J883" i="3"/>
  <c r="I883" i="3" s="1"/>
  <c r="J882" i="3"/>
  <c r="I882" i="3" s="1"/>
  <c r="J881" i="3"/>
  <c r="I881" i="3" s="1"/>
  <c r="J880" i="3"/>
  <c r="I880" i="3" s="1"/>
  <c r="J879" i="3"/>
  <c r="I879" i="3" s="1"/>
  <c r="J878" i="3"/>
  <c r="I878" i="3" s="1"/>
  <c r="J877" i="3"/>
  <c r="I877" i="3" s="1"/>
  <c r="J876" i="3"/>
  <c r="I876" i="3" s="1"/>
  <c r="J875" i="3"/>
  <c r="I875" i="3" s="1"/>
  <c r="J874" i="3"/>
  <c r="I874" i="3" s="1"/>
  <c r="J873" i="3"/>
  <c r="I873" i="3" s="1"/>
  <c r="J872" i="3"/>
  <c r="I872" i="3" s="1"/>
  <c r="J871" i="3"/>
  <c r="I871" i="3" s="1"/>
  <c r="J870" i="3"/>
  <c r="I870" i="3" s="1"/>
  <c r="J869" i="3"/>
  <c r="I869" i="3" s="1"/>
  <c r="J868" i="3"/>
  <c r="I868" i="3" s="1"/>
  <c r="J867" i="3"/>
  <c r="I867" i="3" s="1"/>
  <c r="J866" i="3"/>
  <c r="I866" i="3" s="1"/>
  <c r="J865" i="3"/>
  <c r="I865" i="3" s="1"/>
  <c r="J864" i="3"/>
  <c r="I864" i="3" s="1"/>
  <c r="J863" i="3"/>
  <c r="I863" i="3" s="1"/>
  <c r="J862" i="3"/>
  <c r="I862" i="3" s="1"/>
  <c r="J861" i="3"/>
  <c r="I861" i="3" s="1"/>
  <c r="J860" i="3"/>
  <c r="I860" i="3" s="1"/>
  <c r="J859" i="3"/>
  <c r="I859" i="3" s="1"/>
  <c r="J858" i="3"/>
  <c r="I858" i="3" s="1"/>
  <c r="J857" i="3"/>
  <c r="I857" i="3" s="1"/>
  <c r="J856" i="3"/>
  <c r="I856" i="3" s="1"/>
  <c r="J855" i="3"/>
  <c r="I855" i="3" s="1"/>
  <c r="J854" i="3"/>
  <c r="I854" i="3" s="1"/>
  <c r="J853" i="3"/>
  <c r="I853" i="3" s="1"/>
  <c r="J852" i="3"/>
  <c r="I852" i="3" s="1"/>
  <c r="J845" i="3"/>
  <c r="I845" i="3" s="1"/>
  <c r="J844" i="3"/>
  <c r="I844" i="3" s="1"/>
  <c r="J843" i="3"/>
  <c r="I843" i="3" s="1"/>
  <c r="J842" i="3"/>
  <c r="I842" i="3" s="1"/>
  <c r="J841" i="3"/>
  <c r="I841" i="3" s="1"/>
  <c r="J840" i="3"/>
  <c r="I840" i="3" s="1"/>
  <c r="J839" i="3"/>
  <c r="I839" i="3" s="1"/>
  <c r="J838" i="3"/>
  <c r="I838" i="3" s="1"/>
  <c r="J837" i="3"/>
  <c r="I837" i="3" s="1"/>
  <c r="J836" i="3"/>
  <c r="I836" i="3" s="1"/>
  <c r="J835" i="3"/>
  <c r="I835" i="3" s="1"/>
  <c r="J834" i="3"/>
  <c r="I834" i="3" s="1"/>
  <c r="J833" i="3"/>
  <c r="I833" i="3" s="1"/>
  <c r="J832" i="3"/>
  <c r="I832" i="3" s="1"/>
  <c r="J831" i="3"/>
  <c r="I831" i="3" s="1"/>
  <c r="J830" i="3"/>
  <c r="I830" i="3" s="1"/>
  <c r="J829" i="3"/>
  <c r="I829" i="3" s="1"/>
  <c r="J828" i="3"/>
  <c r="I828" i="3" s="1"/>
  <c r="J827" i="3"/>
  <c r="I827" i="3" s="1"/>
  <c r="J826" i="3"/>
  <c r="I826" i="3" s="1"/>
  <c r="J825" i="3"/>
  <c r="I825" i="3" s="1"/>
  <c r="J824" i="3"/>
  <c r="I824" i="3" s="1"/>
  <c r="J823" i="3"/>
  <c r="I823" i="3" s="1"/>
  <c r="J822" i="3"/>
  <c r="I822" i="3" s="1"/>
  <c r="J821" i="3"/>
  <c r="I821" i="3" s="1"/>
  <c r="J820" i="3"/>
  <c r="I820" i="3" s="1"/>
  <c r="J819" i="3"/>
  <c r="I819" i="3" s="1"/>
  <c r="J818" i="3"/>
  <c r="I818" i="3" s="1"/>
  <c r="J817" i="3"/>
  <c r="I817" i="3" s="1"/>
  <c r="J816" i="3"/>
  <c r="I816" i="3" s="1"/>
  <c r="J815" i="3"/>
  <c r="I815" i="3" s="1"/>
  <c r="J814" i="3"/>
  <c r="I814" i="3" s="1"/>
  <c r="J813" i="3"/>
  <c r="I813" i="3" s="1"/>
  <c r="J812" i="3"/>
  <c r="I812" i="3" s="1"/>
  <c r="J811" i="3"/>
  <c r="I811" i="3" s="1"/>
  <c r="J810" i="3"/>
  <c r="I810" i="3" s="1"/>
  <c r="J809" i="3"/>
  <c r="I809" i="3" s="1"/>
  <c r="J808" i="3"/>
  <c r="I808" i="3" s="1"/>
  <c r="J800" i="3"/>
  <c r="I800" i="3" s="1"/>
  <c r="J799" i="3"/>
  <c r="I799" i="3" s="1"/>
  <c r="J798" i="3"/>
  <c r="I798" i="3" s="1"/>
  <c r="J797" i="3"/>
  <c r="I797" i="3" s="1"/>
  <c r="J796" i="3"/>
  <c r="I796" i="3" s="1"/>
  <c r="J795" i="3"/>
  <c r="I795" i="3" s="1"/>
  <c r="J794" i="3"/>
  <c r="I794" i="3" s="1"/>
  <c r="J793" i="3"/>
  <c r="I793" i="3" s="1"/>
  <c r="J792" i="3"/>
  <c r="I792" i="3" s="1"/>
  <c r="J791" i="3"/>
  <c r="I791" i="3" s="1"/>
  <c r="J790" i="3"/>
  <c r="I790" i="3" s="1"/>
  <c r="J789" i="3"/>
  <c r="I789" i="3" s="1"/>
  <c r="J788" i="3"/>
  <c r="I788" i="3" s="1"/>
  <c r="J782" i="3"/>
  <c r="I782" i="3" s="1"/>
  <c r="J781" i="3"/>
  <c r="I781" i="3" s="1"/>
  <c r="J780" i="3"/>
  <c r="I780" i="3" s="1"/>
  <c r="J779" i="3"/>
  <c r="I779" i="3" s="1"/>
  <c r="J778" i="3"/>
  <c r="I778" i="3" s="1"/>
  <c r="J777" i="3"/>
  <c r="I777" i="3" s="1"/>
  <c r="J776" i="3"/>
  <c r="I776" i="3" s="1"/>
  <c r="J773" i="3"/>
  <c r="I773" i="3" s="1"/>
  <c r="J772" i="3"/>
  <c r="I772" i="3" s="1"/>
  <c r="J771" i="3"/>
  <c r="I771" i="3" s="1"/>
  <c r="J770" i="3"/>
  <c r="I770" i="3" s="1"/>
  <c r="J769" i="3"/>
  <c r="I769" i="3" s="1"/>
  <c r="J768" i="3"/>
  <c r="I768" i="3" s="1"/>
  <c r="J767" i="3"/>
  <c r="I767" i="3" s="1"/>
  <c r="J766" i="3"/>
  <c r="I766" i="3" s="1"/>
  <c r="J765" i="3"/>
  <c r="I765" i="3" s="1"/>
  <c r="J764" i="3"/>
  <c r="I764" i="3" s="1"/>
  <c r="J763" i="3"/>
  <c r="I763" i="3" s="1"/>
  <c r="J762" i="3"/>
  <c r="I762" i="3" s="1"/>
  <c r="J761" i="3"/>
  <c r="I761" i="3" s="1"/>
  <c r="J760" i="3"/>
  <c r="I760" i="3" s="1"/>
  <c r="J759" i="3"/>
  <c r="I759" i="3" s="1"/>
  <c r="J758" i="3"/>
  <c r="I758" i="3" s="1"/>
  <c r="J757" i="3"/>
  <c r="I757" i="3" s="1"/>
  <c r="J756" i="3"/>
  <c r="I756" i="3" s="1"/>
  <c r="J753" i="3"/>
  <c r="I753" i="3" s="1"/>
  <c r="J752" i="3"/>
  <c r="I752" i="3" s="1"/>
  <c r="J751" i="3"/>
  <c r="I751" i="3" s="1"/>
  <c r="J750" i="3"/>
  <c r="I750" i="3" s="1"/>
  <c r="J749" i="3"/>
  <c r="I749" i="3" s="1"/>
  <c r="J748" i="3"/>
  <c r="I748" i="3" s="1"/>
  <c r="J747" i="3"/>
  <c r="I747" i="3" s="1"/>
  <c r="J746" i="3"/>
  <c r="I746" i="3" s="1"/>
  <c r="J745" i="3"/>
  <c r="I745" i="3" s="1"/>
  <c r="J744" i="3"/>
  <c r="I744" i="3" s="1"/>
  <c r="J743" i="3"/>
  <c r="I743" i="3" s="1"/>
  <c r="J742" i="3"/>
  <c r="I742" i="3" s="1"/>
  <c r="J741" i="3"/>
  <c r="I741" i="3" s="1"/>
  <c r="J740" i="3"/>
  <c r="I740" i="3" s="1"/>
  <c r="J739" i="3"/>
  <c r="I739" i="3" s="1"/>
  <c r="J735" i="3"/>
  <c r="I735" i="3" s="1"/>
  <c r="J734" i="3"/>
  <c r="I734" i="3" s="1"/>
  <c r="J733" i="3"/>
  <c r="I733" i="3" s="1"/>
  <c r="J732" i="3"/>
  <c r="I732" i="3" s="1"/>
  <c r="J731" i="3"/>
  <c r="I731" i="3" s="1"/>
  <c r="J730" i="3"/>
  <c r="I730" i="3" s="1"/>
  <c r="J729" i="3"/>
  <c r="I729" i="3" s="1"/>
  <c r="J728" i="3"/>
  <c r="I728" i="3" s="1"/>
  <c r="J727" i="3"/>
  <c r="I727" i="3" s="1"/>
  <c r="J726" i="3"/>
  <c r="I726" i="3" s="1"/>
  <c r="J725" i="3"/>
  <c r="I725" i="3" s="1"/>
  <c r="J724" i="3"/>
  <c r="I724" i="3" s="1"/>
  <c r="J723" i="3"/>
  <c r="I723" i="3" s="1"/>
  <c r="J722" i="3"/>
  <c r="I722" i="3" s="1"/>
  <c r="J721" i="3"/>
  <c r="I721" i="3" s="1"/>
  <c r="J720" i="3"/>
  <c r="I720" i="3" s="1"/>
  <c r="J719" i="3"/>
  <c r="I719" i="3" s="1"/>
  <c r="J718" i="3"/>
  <c r="I718" i="3" s="1"/>
  <c r="J714" i="3"/>
  <c r="I714" i="3" s="1"/>
  <c r="J713" i="3"/>
  <c r="I713" i="3" s="1"/>
  <c r="J712" i="3"/>
  <c r="I712" i="3" s="1"/>
  <c r="J711" i="3"/>
  <c r="I711" i="3" s="1"/>
  <c r="J710" i="3"/>
  <c r="I710" i="3" s="1"/>
  <c r="J709" i="3"/>
  <c r="I709" i="3" s="1"/>
  <c r="J708" i="3"/>
  <c r="I708" i="3" s="1"/>
  <c r="J707" i="3"/>
  <c r="I707" i="3" s="1"/>
  <c r="J706" i="3"/>
  <c r="I706" i="3" s="1"/>
  <c r="J705" i="3"/>
  <c r="I705" i="3" s="1"/>
  <c r="J704" i="3"/>
  <c r="I704" i="3" s="1"/>
  <c r="J703" i="3"/>
  <c r="I703" i="3" s="1"/>
  <c r="J702" i="3"/>
  <c r="I702" i="3" s="1"/>
  <c r="J701" i="3"/>
  <c r="I701" i="3" s="1"/>
  <c r="J700" i="3"/>
  <c r="I700" i="3" s="1"/>
  <c r="J699" i="3"/>
  <c r="I699" i="3" s="1"/>
  <c r="J698" i="3"/>
  <c r="I698" i="3" s="1"/>
  <c r="J697" i="3"/>
  <c r="I697" i="3" s="1"/>
  <c r="J696" i="3"/>
  <c r="I696" i="3" s="1"/>
  <c r="J695" i="3"/>
  <c r="I695" i="3" s="1"/>
  <c r="J694" i="3"/>
  <c r="I694" i="3" s="1"/>
  <c r="J693" i="3"/>
  <c r="I693" i="3" s="1"/>
  <c r="J692" i="3"/>
  <c r="I692" i="3" s="1"/>
  <c r="J691" i="3"/>
  <c r="I691" i="3" s="1"/>
  <c r="J690" i="3"/>
  <c r="I690" i="3" s="1"/>
  <c r="J689" i="3"/>
  <c r="I689" i="3" s="1"/>
  <c r="J688" i="3"/>
  <c r="I688" i="3" s="1"/>
  <c r="J687" i="3"/>
  <c r="I687" i="3" s="1"/>
  <c r="J686" i="3"/>
  <c r="I686" i="3" s="1"/>
  <c r="J685" i="3"/>
  <c r="I685" i="3" s="1"/>
  <c r="J684" i="3"/>
  <c r="I684" i="3" s="1"/>
  <c r="J683" i="3"/>
  <c r="I683" i="3" s="1"/>
  <c r="J682" i="3"/>
  <c r="I682" i="3" s="1"/>
  <c r="J681" i="3"/>
  <c r="I681" i="3" s="1"/>
  <c r="J680" i="3"/>
  <c r="I680" i="3" s="1"/>
  <c r="J679" i="3"/>
  <c r="I679" i="3" s="1"/>
  <c r="J678" i="3"/>
  <c r="I678" i="3" s="1"/>
  <c r="J677" i="3"/>
  <c r="I677" i="3" s="1"/>
  <c r="J676" i="3"/>
  <c r="I676" i="3" s="1"/>
  <c r="J675" i="3"/>
  <c r="I675" i="3" s="1"/>
  <c r="J674" i="3"/>
  <c r="I674" i="3" s="1"/>
  <c r="J673" i="3"/>
  <c r="I673" i="3" s="1"/>
  <c r="J672" i="3"/>
  <c r="I672" i="3" s="1"/>
  <c r="J671" i="3"/>
  <c r="I671" i="3" s="1"/>
  <c r="J670" i="3"/>
  <c r="I670" i="3" s="1"/>
  <c r="J669" i="3"/>
  <c r="I669" i="3" s="1"/>
  <c r="J668" i="3"/>
  <c r="I668" i="3" s="1"/>
  <c r="J667" i="3"/>
  <c r="I667" i="3" s="1"/>
  <c r="J666" i="3"/>
  <c r="I666" i="3" s="1"/>
  <c r="J665" i="3"/>
  <c r="I665" i="3" s="1"/>
  <c r="J664" i="3"/>
  <c r="I664" i="3" s="1"/>
  <c r="J663" i="3"/>
  <c r="I663" i="3" s="1"/>
  <c r="J662" i="3"/>
  <c r="I662" i="3" s="1"/>
  <c r="J661" i="3"/>
  <c r="I661" i="3" s="1"/>
  <c r="J660" i="3"/>
  <c r="I660" i="3" s="1"/>
  <c r="J659" i="3"/>
  <c r="I659" i="3" s="1"/>
  <c r="J658" i="3"/>
  <c r="I658" i="3" s="1"/>
  <c r="J657" i="3"/>
  <c r="I657" i="3" s="1"/>
  <c r="J656" i="3"/>
  <c r="I656" i="3" s="1"/>
  <c r="J655" i="3"/>
  <c r="I655" i="3" s="1"/>
  <c r="J654" i="3"/>
  <c r="I654" i="3" s="1"/>
  <c r="J653" i="3"/>
  <c r="I653" i="3" s="1"/>
  <c r="J652" i="3"/>
  <c r="I652" i="3" s="1"/>
  <c r="J651" i="3"/>
  <c r="I651" i="3" s="1"/>
  <c r="J650" i="3"/>
  <c r="I650" i="3" s="1"/>
  <c r="J649" i="3"/>
  <c r="I649" i="3" s="1"/>
  <c r="J648" i="3"/>
  <c r="I648" i="3" s="1"/>
  <c r="J647" i="3"/>
  <c r="I647" i="3" s="1"/>
  <c r="J646" i="3"/>
  <c r="I646" i="3" s="1"/>
  <c r="J645" i="3"/>
  <c r="I645" i="3" s="1"/>
  <c r="J644" i="3"/>
  <c r="I644" i="3" s="1"/>
  <c r="J643" i="3"/>
  <c r="I643" i="3" s="1"/>
  <c r="J642" i="3"/>
  <c r="I642" i="3" s="1"/>
  <c r="J641" i="3"/>
  <c r="I641" i="3" s="1"/>
  <c r="J640" i="3"/>
  <c r="I640" i="3" s="1"/>
  <c r="J639" i="3"/>
  <c r="I639" i="3" s="1"/>
  <c r="J638" i="3"/>
  <c r="I638" i="3" s="1"/>
  <c r="J637" i="3"/>
  <c r="I637" i="3" s="1"/>
  <c r="J636" i="3"/>
  <c r="I636" i="3" s="1"/>
  <c r="J635" i="3"/>
  <c r="I635" i="3" s="1"/>
  <c r="J634" i="3"/>
  <c r="I634" i="3" s="1"/>
  <c r="J629" i="3"/>
  <c r="I629" i="3" s="1"/>
  <c r="J628" i="3"/>
  <c r="I628" i="3" s="1"/>
  <c r="J627" i="3"/>
  <c r="I627" i="3" s="1"/>
  <c r="J626" i="3"/>
  <c r="I626" i="3" s="1"/>
  <c r="J625" i="3"/>
  <c r="I625" i="3" s="1"/>
  <c r="J624" i="3"/>
  <c r="I624" i="3" s="1"/>
  <c r="J623" i="3"/>
  <c r="I623" i="3" s="1"/>
  <c r="J622" i="3"/>
  <c r="I622" i="3" s="1"/>
  <c r="J621" i="3"/>
  <c r="I621" i="3" s="1"/>
  <c r="J620" i="3"/>
  <c r="I620" i="3" s="1"/>
  <c r="J619" i="3"/>
  <c r="I619" i="3" s="1"/>
  <c r="J618" i="3"/>
  <c r="I618" i="3" s="1"/>
  <c r="J617" i="3"/>
  <c r="I617" i="3" s="1"/>
  <c r="J616" i="3"/>
  <c r="I616" i="3" s="1"/>
  <c r="J615" i="3"/>
  <c r="I615" i="3" s="1"/>
  <c r="J614" i="3"/>
  <c r="I614" i="3" s="1"/>
  <c r="J613" i="3"/>
  <c r="I613" i="3" s="1"/>
  <c r="J612" i="3"/>
  <c r="I612" i="3" s="1"/>
  <c r="J611" i="3"/>
  <c r="I611" i="3" s="1"/>
  <c r="J610" i="3"/>
  <c r="I610" i="3" s="1"/>
  <c r="J609" i="3"/>
  <c r="I609" i="3" s="1"/>
  <c r="J608" i="3"/>
  <c r="I608" i="3" s="1"/>
  <c r="J607" i="3"/>
  <c r="I607" i="3" s="1"/>
  <c r="J606" i="3"/>
  <c r="I606" i="3" s="1"/>
  <c r="J605" i="3"/>
  <c r="I605" i="3" s="1"/>
  <c r="J604" i="3"/>
  <c r="I604" i="3" s="1"/>
  <c r="J603" i="3"/>
  <c r="I603" i="3" s="1"/>
  <c r="J602" i="3"/>
  <c r="I602" i="3" s="1"/>
  <c r="J601" i="3"/>
  <c r="I601" i="3" s="1"/>
  <c r="J600" i="3"/>
  <c r="I600" i="3" s="1"/>
  <c r="J599" i="3"/>
  <c r="I599" i="3" s="1"/>
  <c r="J595" i="3"/>
  <c r="I595" i="3" s="1"/>
  <c r="J594" i="3"/>
  <c r="I594" i="3" s="1"/>
  <c r="J593" i="3"/>
  <c r="I593" i="3" s="1"/>
  <c r="J592" i="3"/>
  <c r="I592" i="3" s="1"/>
  <c r="J591" i="3"/>
  <c r="I591" i="3" s="1"/>
  <c r="J590" i="3"/>
  <c r="I590" i="3" s="1"/>
  <c r="J589" i="3"/>
  <c r="I589" i="3" s="1"/>
  <c r="J588" i="3"/>
  <c r="I588" i="3" s="1"/>
  <c r="J587" i="3"/>
  <c r="I587" i="3" s="1"/>
  <c r="J586" i="3"/>
  <c r="I586" i="3" s="1"/>
  <c r="J585" i="3"/>
  <c r="I585" i="3" s="1"/>
  <c r="J584" i="3"/>
  <c r="I584" i="3" s="1"/>
  <c r="J583" i="3"/>
  <c r="I583" i="3" s="1"/>
  <c r="J582" i="3"/>
  <c r="I582" i="3" s="1"/>
  <c r="J581" i="3"/>
  <c r="I581" i="3" s="1"/>
  <c r="J580" i="3"/>
  <c r="I580" i="3" s="1"/>
  <c r="J579" i="3"/>
  <c r="I579" i="3" s="1"/>
  <c r="J578" i="3"/>
  <c r="I578" i="3" s="1"/>
  <c r="J577" i="3"/>
  <c r="I577" i="3" s="1"/>
  <c r="J576" i="3"/>
  <c r="I576" i="3" s="1"/>
  <c r="J575" i="3"/>
  <c r="I575" i="3" s="1"/>
  <c r="J574" i="3"/>
  <c r="I574" i="3" s="1"/>
  <c r="J573" i="3"/>
  <c r="I573" i="3" s="1"/>
  <c r="J572" i="3"/>
  <c r="I572" i="3" s="1"/>
  <c r="J571" i="3"/>
  <c r="I571" i="3" s="1"/>
  <c r="J570" i="3"/>
  <c r="I570" i="3" s="1"/>
  <c r="J569" i="3"/>
  <c r="I569" i="3" s="1"/>
  <c r="J568" i="3"/>
  <c r="I568" i="3" s="1"/>
  <c r="J567" i="3"/>
  <c r="I567" i="3" s="1"/>
  <c r="J566" i="3"/>
  <c r="I566" i="3" s="1"/>
  <c r="J565" i="3"/>
  <c r="I565" i="3" s="1"/>
  <c r="J564" i="3"/>
  <c r="I564" i="3" s="1"/>
  <c r="J563" i="3"/>
  <c r="I563" i="3" s="1"/>
  <c r="J562" i="3"/>
  <c r="I562" i="3" s="1"/>
  <c r="J561" i="3"/>
  <c r="I561" i="3" s="1"/>
  <c r="J560" i="3"/>
  <c r="I560" i="3" s="1"/>
  <c r="J559" i="3"/>
  <c r="I559" i="3" s="1"/>
  <c r="J558" i="3"/>
  <c r="I558" i="3" s="1"/>
  <c r="J557" i="3"/>
  <c r="I557" i="3" s="1"/>
  <c r="J556" i="3"/>
  <c r="I556" i="3" s="1"/>
  <c r="J555" i="3"/>
  <c r="I555" i="3" s="1"/>
  <c r="J554" i="3"/>
  <c r="I554" i="3" s="1"/>
  <c r="J553" i="3"/>
  <c r="I553" i="3" s="1"/>
  <c r="J552" i="3"/>
  <c r="I552" i="3" s="1"/>
  <c r="J551" i="3"/>
  <c r="I551" i="3" s="1"/>
  <c r="J547" i="3"/>
  <c r="I547" i="3" s="1"/>
  <c r="J546" i="3"/>
  <c r="I546" i="3" s="1"/>
  <c r="J545" i="3"/>
  <c r="I545" i="3" s="1"/>
  <c r="J544" i="3"/>
  <c r="I544" i="3" s="1"/>
  <c r="J543" i="3"/>
  <c r="I543" i="3" s="1"/>
  <c r="J542" i="3"/>
  <c r="I542" i="3" s="1"/>
  <c r="J541" i="3"/>
  <c r="I541" i="3" s="1"/>
  <c r="J540" i="3"/>
  <c r="I540" i="3" s="1"/>
  <c r="J539" i="3"/>
  <c r="I539" i="3" s="1"/>
  <c r="J538" i="3"/>
  <c r="I538" i="3" s="1"/>
  <c r="J537" i="3"/>
  <c r="I537" i="3" s="1"/>
  <c r="J536" i="3"/>
  <c r="I536" i="3" s="1"/>
  <c r="J535" i="3"/>
  <c r="I535" i="3" s="1"/>
  <c r="J534" i="3"/>
  <c r="I534" i="3" s="1"/>
  <c r="J533" i="3"/>
  <c r="I533" i="3" s="1"/>
  <c r="J532" i="3"/>
  <c r="I532" i="3" s="1"/>
  <c r="J531" i="3"/>
  <c r="I531" i="3" s="1"/>
  <c r="J530" i="3"/>
  <c r="I530" i="3" s="1"/>
  <c r="J529" i="3"/>
  <c r="I529" i="3" s="1"/>
  <c r="J528" i="3"/>
  <c r="I528" i="3" s="1"/>
  <c r="J527" i="3"/>
  <c r="I527" i="3" s="1"/>
  <c r="J526" i="3"/>
  <c r="I526" i="3" s="1"/>
  <c r="J525" i="3"/>
  <c r="I525" i="3" s="1"/>
  <c r="J524" i="3"/>
  <c r="I524" i="3" s="1"/>
  <c r="J523" i="3"/>
  <c r="I523" i="3" s="1"/>
  <c r="J520" i="3"/>
  <c r="I520" i="3" s="1"/>
  <c r="J519" i="3"/>
  <c r="I519" i="3" s="1"/>
  <c r="J518" i="3"/>
  <c r="I518" i="3" s="1"/>
  <c r="J517" i="3"/>
  <c r="I517" i="3" s="1"/>
  <c r="J516" i="3"/>
  <c r="I516" i="3" s="1"/>
  <c r="J515" i="3"/>
  <c r="I515" i="3" s="1"/>
  <c r="J514" i="3"/>
  <c r="I514" i="3" s="1"/>
  <c r="J513" i="3"/>
  <c r="I513" i="3" s="1"/>
  <c r="J512" i="3"/>
  <c r="I512" i="3" s="1"/>
  <c r="J511" i="3"/>
  <c r="I511" i="3" s="1"/>
  <c r="J510" i="3"/>
  <c r="I510" i="3" s="1"/>
  <c r="J509" i="3"/>
  <c r="I509" i="3" s="1"/>
  <c r="J508" i="3"/>
  <c r="I508" i="3" s="1"/>
  <c r="J507" i="3"/>
  <c r="I507" i="3" s="1"/>
  <c r="J502" i="3"/>
  <c r="I502" i="3" s="1"/>
  <c r="J501" i="3"/>
  <c r="I501" i="3" s="1"/>
  <c r="J500" i="3"/>
  <c r="I500" i="3" s="1"/>
  <c r="J499" i="3"/>
  <c r="I499" i="3" s="1"/>
  <c r="J498" i="3"/>
  <c r="I498" i="3" s="1"/>
  <c r="J497" i="3"/>
  <c r="I497" i="3" s="1"/>
  <c r="J496" i="3"/>
  <c r="I496" i="3" s="1"/>
  <c r="J495" i="3"/>
  <c r="I495" i="3" s="1"/>
  <c r="J494" i="3"/>
  <c r="I494" i="3" s="1"/>
  <c r="J493" i="3"/>
  <c r="I493" i="3" s="1"/>
  <c r="J492" i="3"/>
  <c r="I492" i="3" s="1"/>
  <c r="J491" i="3"/>
  <c r="I491" i="3" s="1"/>
  <c r="J490" i="3"/>
  <c r="I490" i="3" s="1"/>
  <c r="J489" i="3"/>
  <c r="I489" i="3" s="1"/>
  <c r="J488" i="3"/>
  <c r="I488" i="3" s="1"/>
  <c r="J487" i="3"/>
  <c r="I487" i="3" s="1"/>
  <c r="J486" i="3"/>
  <c r="I486" i="3" s="1"/>
  <c r="J485" i="3"/>
  <c r="I485" i="3" s="1"/>
  <c r="J484" i="3"/>
  <c r="I484" i="3" s="1"/>
  <c r="J483" i="3"/>
  <c r="I483" i="3" s="1"/>
  <c r="J482" i="3"/>
  <c r="I482" i="3" s="1"/>
  <c r="J481" i="3"/>
  <c r="I481" i="3" s="1"/>
  <c r="J480" i="3"/>
  <c r="I480" i="3" s="1"/>
  <c r="J479" i="3"/>
  <c r="I479" i="3" s="1"/>
  <c r="J478" i="3"/>
  <c r="I478" i="3" s="1"/>
  <c r="J477" i="3"/>
  <c r="I477" i="3" s="1"/>
  <c r="J476" i="3"/>
  <c r="I476" i="3" s="1"/>
  <c r="J475" i="3"/>
  <c r="I475" i="3" s="1"/>
  <c r="J474" i="3"/>
  <c r="I474" i="3" s="1"/>
  <c r="J473" i="3"/>
  <c r="I473" i="3" s="1"/>
  <c r="J472" i="3"/>
  <c r="I472" i="3" s="1"/>
  <c r="J468" i="3"/>
  <c r="I468" i="3" s="1"/>
  <c r="J467" i="3"/>
  <c r="I467" i="3" s="1"/>
  <c r="J466" i="3"/>
  <c r="I466" i="3" s="1"/>
  <c r="J465" i="3"/>
  <c r="I465" i="3" s="1"/>
  <c r="J464" i="3"/>
  <c r="I464" i="3" s="1"/>
  <c r="J463" i="3"/>
  <c r="I463" i="3" s="1"/>
  <c r="J462" i="3"/>
  <c r="I462" i="3" s="1"/>
  <c r="J461" i="3"/>
  <c r="I461" i="3" s="1"/>
  <c r="J458" i="3"/>
  <c r="I458" i="3" s="1"/>
  <c r="J457" i="3"/>
  <c r="I457" i="3" s="1"/>
  <c r="J456" i="3"/>
  <c r="I456" i="3" s="1"/>
  <c r="J455" i="3"/>
  <c r="I455" i="3" s="1"/>
  <c r="J454" i="3"/>
  <c r="I454" i="3" s="1"/>
  <c r="J453" i="3"/>
  <c r="I453" i="3" s="1"/>
  <c r="J452" i="3"/>
  <c r="I452" i="3" s="1"/>
  <c r="J451" i="3"/>
  <c r="I451" i="3" s="1"/>
  <c r="J450" i="3"/>
  <c r="I450" i="3" s="1"/>
  <c r="J449" i="3"/>
  <c r="I449" i="3" s="1"/>
  <c r="J448" i="3"/>
  <c r="I448" i="3" s="1"/>
  <c r="J447" i="3"/>
  <c r="I447" i="3" s="1"/>
  <c r="J446" i="3"/>
  <c r="I446" i="3" s="1"/>
  <c r="J445" i="3"/>
  <c r="I445" i="3" s="1"/>
  <c r="J444" i="3"/>
  <c r="I444" i="3" s="1"/>
  <c r="J443" i="3"/>
  <c r="I443" i="3" s="1"/>
  <c r="J442" i="3"/>
  <c r="I442" i="3" s="1"/>
  <c r="J441" i="3"/>
  <c r="I441" i="3" s="1"/>
  <c r="J440" i="3"/>
  <c r="I440" i="3" s="1"/>
  <c r="J439" i="3"/>
  <c r="I439" i="3" s="1"/>
  <c r="J435" i="3"/>
  <c r="I435" i="3" s="1"/>
  <c r="J434" i="3"/>
  <c r="I434" i="3" s="1"/>
  <c r="J433" i="3"/>
  <c r="I433" i="3" s="1"/>
  <c r="J432" i="3"/>
  <c r="I432" i="3" s="1"/>
  <c r="J431" i="3"/>
  <c r="I431" i="3" s="1"/>
  <c r="J430" i="3"/>
  <c r="I430" i="3" s="1"/>
  <c r="J429" i="3"/>
  <c r="I429" i="3" s="1"/>
  <c r="J428" i="3"/>
  <c r="I428" i="3" s="1"/>
  <c r="J427" i="3"/>
  <c r="I427" i="3" s="1"/>
  <c r="J426" i="3"/>
  <c r="I426" i="3" s="1"/>
  <c r="J425" i="3"/>
  <c r="I425" i="3" s="1"/>
  <c r="J424" i="3"/>
  <c r="I424" i="3" s="1"/>
  <c r="J423" i="3"/>
  <c r="I423" i="3" s="1"/>
  <c r="J422" i="3"/>
  <c r="I422" i="3" s="1"/>
  <c r="J421" i="3"/>
  <c r="I421" i="3" s="1"/>
  <c r="J416" i="3"/>
  <c r="I416" i="3" s="1"/>
  <c r="J415" i="3"/>
  <c r="I415" i="3" s="1"/>
  <c r="J414" i="3"/>
  <c r="I414" i="3" s="1"/>
  <c r="J413" i="3"/>
  <c r="I413" i="3" s="1"/>
  <c r="J412" i="3"/>
  <c r="I412" i="3" s="1"/>
  <c r="J411" i="3"/>
  <c r="I411" i="3" s="1"/>
  <c r="J410" i="3"/>
  <c r="I410" i="3" s="1"/>
  <c r="J409" i="3"/>
  <c r="I409" i="3" s="1"/>
  <c r="J408" i="3"/>
  <c r="I408" i="3" s="1"/>
  <c r="J407" i="3"/>
  <c r="I407" i="3" s="1"/>
  <c r="J406" i="3"/>
  <c r="I406" i="3" s="1"/>
  <c r="J405" i="3"/>
  <c r="I405" i="3" s="1"/>
  <c r="J404" i="3"/>
  <c r="I404" i="3" s="1"/>
  <c r="J403" i="3"/>
  <c r="I403" i="3" s="1"/>
  <c r="J402" i="3"/>
  <c r="I402" i="3" s="1"/>
  <c r="J401" i="3"/>
  <c r="I401" i="3" s="1"/>
  <c r="J400" i="3"/>
  <c r="I400" i="3" s="1"/>
  <c r="J399" i="3"/>
  <c r="I399" i="3" s="1"/>
  <c r="J398" i="3"/>
  <c r="I398" i="3" s="1"/>
  <c r="J397" i="3"/>
  <c r="I397" i="3" s="1"/>
  <c r="J396" i="3"/>
  <c r="I396" i="3" s="1"/>
  <c r="J395" i="3"/>
  <c r="I395" i="3" s="1"/>
  <c r="J394" i="3"/>
  <c r="I394" i="3" s="1"/>
  <c r="J393" i="3"/>
  <c r="I393" i="3" s="1"/>
  <c r="J392" i="3"/>
  <c r="I392" i="3" s="1"/>
  <c r="J391" i="3"/>
  <c r="I391" i="3" s="1"/>
  <c r="J390" i="3"/>
  <c r="I390" i="3" s="1"/>
  <c r="J389" i="3"/>
  <c r="I389" i="3" s="1"/>
  <c r="J388" i="3"/>
  <c r="I388" i="3" s="1"/>
  <c r="J387" i="3"/>
  <c r="I387" i="3" s="1"/>
  <c r="J382" i="3"/>
  <c r="I382" i="3" s="1"/>
  <c r="J381" i="3"/>
  <c r="I381" i="3" s="1"/>
  <c r="J380" i="3"/>
  <c r="I380" i="3" s="1"/>
  <c r="J379" i="3"/>
  <c r="I379" i="3" s="1"/>
  <c r="J378" i="3"/>
  <c r="I378" i="3" s="1"/>
  <c r="J377" i="3"/>
  <c r="I377" i="3" s="1"/>
  <c r="J376" i="3"/>
  <c r="I376" i="3" s="1"/>
  <c r="J375" i="3"/>
  <c r="I375" i="3" s="1"/>
  <c r="J374" i="3"/>
  <c r="I374" i="3" s="1"/>
  <c r="J373" i="3"/>
  <c r="I373" i="3" s="1"/>
  <c r="J372" i="3"/>
  <c r="I372" i="3" s="1"/>
  <c r="J371" i="3"/>
  <c r="I371" i="3" s="1"/>
  <c r="J370" i="3"/>
  <c r="I370" i="3" s="1"/>
  <c r="J369" i="3"/>
  <c r="I369" i="3" s="1"/>
  <c r="J368" i="3"/>
  <c r="I368" i="3" s="1"/>
  <c r="J367" i="3"/>
  <c r="I367" i="3" s="1"/>
  <c r="J366" i="3"/>
  <c r="I366" i="3" s="1"/>
  <c r="J365" i="3"/>
  <c r="I365" i="3" s="1"/>
  <c r="J364" i="3"/>
  <c r="I364" i="3" s="1"/>
  <c r="J363" i="3"/>
  <c r="I363" i="3" s="1"/>
  <c r="J362" i="3"/>
  <c r="I362" i="3" s="1"/>
  <c r="J361" i="3"/>
  <c r="I361" i="3" s="1"/>
  <c r="J360" i="3"/>
  <c r="I360" i="3" s="1"/>
  <c r="J359" i="3"/>
  <c r="I359" i="3" s="1"/>
  <c r="J358" i="3"/>
  <c r="I358" i="3" s="1"/>
  <c r="J357" i="3"/>
  <c r="I357" i="3" s="1"/>
  <c r="J356" i="3"/>
  <c r="I356" i="3" s="1"/>
  <c r="J355" i="3"/>
  <c r="I355" i="3" s="1"/>
  <c r="J354" i="3"/>
  <c r="I354" i="3" s="1"/>
  <c r="J353" i="3"/>
  <c r="I353" i="3" s="1"/>
  <c r="J352" i="3"/>
  <c r="I352" i="3" s="1"/>
  <c r="J351" i="3"/>
  <c r="I351" i="3" s="1"/>
  <c r="J350" i="3"/>
  <c r="I350" i="3" s="1"/>
  <c r="J349" i="3"/>
  <c r="I349" i="3" s="1"/>
  <c r="J348" i="3"/>
  <c r="I348" i="3" s="1"/>
  <c r="J347" i="3"/>
  <c r="I347" i="3" s="1"/>
  <c r="J346" i="3"/>
  <c r="I346" i="3" s="1"/>
  <c r="J345" i="3"/>
  <c r="I345" i="3" s="1"/>
  <c r="J344" i="3"/>
  <c r="I344" i="3" s="1"/>
  <c r="J343" i="3"/>
  <c r="I343" i="3" s="1"/>
  <c r="J342" i="3"/>
  <c r="I342" i="3" s="1"/>
  <c r="J341" i="3"/>
  <c r="I341" i="3" s="1"/>
  <c r="J340" i="3"/>
  <c r="I340" i="3" s="1"/>
  <c r="J339" i="3"/>
  <c r="I339" i="3" s="1"/>
  <c r="J338" i="3"/>
  <c r="I338" i="3" s="1"/>
  <c r="J337" i="3"/>
  <c r="I337" i="3" s="1"/>
  <c r="J336" i="3"/>
  <c r="I336" i="3" s="1"/>
  <c r="J335" i="3"/>
  <c r="I335" i="3" s="1"/>
  <c r="J334" i="3"/>
  <c r="I334" i="3" s="1"/>
  <c r="J333" i="3"/>
  <c r="I333" i="3" s="1"/>
  <c r="J332" i="3"/>
  <c r="I332" i="3" s="1"/>
  <c r="J331" i="3"/>
  <c r="I331" i="3" s="1"/>
  <c r="J330" i="3"/>
  <c r="I330" i="3" s="1"/>
  <c r="J329" i="3"/>
  <c r="I329" i="3" s="1"/>
  <c r="J328" i="3"/>
  <c r="I328" i="3" s="1"/>
  <c r="J327" i="3"/>
  <c r="I327" i="3" s="1"/>
  <c r="J326" i="3"/>
  <c r="I326" i="3" s="1"/>
  <c r="J325" i="3"/>
  <c r="I325" i="3" s="1"/>
  <c r="J324" i="3"/>
  <c r="I324" i="3" s="1"/>
  <c r="J323" i="3"/>
  <c r="I323" i="3" s="1"/>
  <c r="J322" i="3"/>
  <c r="I322" i="3" s="1"/>
  <c r="J321" i="3"/>
  <c r="I321" i="3" s="1"/>
  <c r="J320" i="3"/>
  <c r="I320" i="3" s="1"/>
  <c r="J319" i="3"/>
  <c r="I319" i="3" s="1"/>
  <c r="J318" i="3"/>
  <c r="I318" i="3" s="1"/>
  <c r="J317" i="3"/>
  <c r="I317" i="3" s="1"/>
  <c r="J310" i="3"/>
  <c r="I310" i="3" s="1"/>
  <c r="J309" i="3"/>
  <c r="I309" i="3" s="1"/>
  <c r="J308" i="3"/>
  <c r="I308" i="3" s="1"/>
  <c r="J307" i="3"/>
  <c r="I307" i="3" s="1"/>
  <c r="J306" i="3"/>
  <c r="I306" i="3" s="1"/>
  <c r="J305" i="3"/>
  <c r="I305" i="3" s="1"/>
  <c r="J304" i="3"/>
  <c r="I304" i="3" s="1"/>
  <c r="J303" i="3"/>
  <c r="I303" i="3" s="1"/>
  <c r="J302" i="3"/>
  <c r="I302" i="3" s="1"/>
  <c r="J301" i="3"/>
  <c r="I301" i="3" s="1"/>
  <c r="J300" i="3"/>
  <c r="I300" i="3" s="1"/>
  <c r="J299" i="3"/>
  <c r="I299" i="3" s="1"/>
  <c r="J298" i="3"/>
  <c r="I298" i="3" s="1"/>
  <c r="J297" i="3"/>
  <c r="I297" i="3" s="1"/>
  <c r="J296" i="3"/>
  <c r="I296" i="3" s="1"/>
  <c r="J295" i="3"/>
  <c r="I295" i="3" s="1"/>
  <c r="J294" i="3"/>
  <c r="I294" i="3" s="1"/>
  <c r="J293" i="3"/>
  <c r="I293" i="3" s="1"/>
  <c r="J292" i="3"/>
  <c r="I292" i="3" s="1"/>
  <c r="J291" i="3"/>
  <c r="I291" i="3" s="1"/>
  <c r="J290" i="3"/>
  <c r="I290" i="3" s="1"/>
  <c r="J289" i="3"/>
  <c r="I289" i="3" s="1"/>
  <c r="J288" i="3"/>
  <c r="I288" i="3" s="1"/>
  <c r="J287" i="3"/>
  <c r="I287" i="3" s="1"/>
  <c r="J286" i="3"/>
  <c r="I286" i="3" s="1"/>
  <c r="J285" i="3"/>
  <c r="I285" i="3" s="1"/>
  <c r="J284" i="3"/>
  <c r="I284" i="3" s="1"/>
  <c r="J283" i="3"/>
  <c r="I283" i="3" s="1"/>
  <c r="J282" i="3"/>
  <c r="I282" i="3" s="1"/>
  <c r="J281" i="3"/>
  <c r="I281" i="3" s="1"/>
  <c r="J280" i="3"/>
  <c r="I280" i="3" s="1"/>
  <c r="J279" i="3"/>
  <c r="I279" i="3" s="1"/>
  <c r="J278" i="3"/>
  <c r="I278" i="3" s="1"/>
  <c r="J277" i="3"/>
  <c r="I277" i="3" s="1"/>
  <c r="J276" i="3"/>
  <c r="I276" i="3" s="1"/>
  <c r="J275" i="3"/>
  <c r="I275" i="3" s="1"/>
  <c r="J274" i="3"/>
  <c r="I274" i="3" s="1"/>
  <c r="J273" i="3"/>
  <c r="I273" i="3" s="1"/>
  <c r="J272" i="3"/>
  <c r="I272" i="3" s="1"/>
  <c r="J271" i="3"/>
  <c r="I271" i="3" s="1"/>
  <c r="J270" i="3"/>
  <c r="I270" i="3" s="1"/>
  <c r="J269" i="3"/>
  <c r="I269" i="3" s="1"/>
  <c r="J268" i="3"/>
  <c r="I268" i="3" s="1"/>
  <c r="J267" i="3"/>
  <c r="I267" i="3" s="1"/>
  <c r="J266" i="3"/>
  <c r="I266" i="3" s="1"/>
  <c r="J265" i="3"/>
  <c r="I265" i="3" s="1"/>
  <c r="J264" i="3"/>
  <c r="I264" i="3" s="1"/>
  <c r="J263" i="3"/>
  <c r="I263" i="3" s="1"/>
  <c r="J262" i="3"/>
  <c r="I262" i="3" s="1"/>
  <c r="J261" i="3"/>
  <c r="I261" i="3" s="1"/>
  <c r="J260" i="3"/>
  <c r="I260" i="3" s="1"/>
  <c r="J259" i="3"/>
  <c r="I259" i="3" s="1"/>
  <c r="J258" i="3"/>
  <c r="I258" i="3" s="1"/>
  <c r="J257" i="3"/>
  <c r="I257" i="3" s="1"/>
  <c r="J256" i="3"/>
  <c r="I256" i="3" s="1"/>
  <c r="J255" i="3"/>
  <c r="I255" i="3" s="1"/>
  <c r="J254" i="3"/>
  <c r="I254" i="3" s="1"/>
  <c r="J253" i="3"/>
  <c r="I253" i="3" s="1"/>
  <c r="J252" i="3"/>
  <c r="I252" i="3" s="1"/>
  <c r="J251" i="3"/>
  <c r="I251" i="3" s="1"/>
  <c r="J250" i="3"/>
  <c r="I250" i="3" s="1"/>
  <c r="J249" i="3"/>
  <c r="I249" i="3" s="1"/>
  <c r="J248" i="3"/>
  <c r="I248" i="3" s="1"/>
  <c r="J247" i="3"/>
  <c r="I247" i="3" s="1"/>
  <c r="J246" i="3"/>
  <c r="I246" i="3" s="1"/>
  <c r="J245" i="3"/>
  <c r="I245" i="3" s="1"/>
  <c r="J244" i="3"/>
  <c r="I244" i="3" s="1"/>
  <c r="J243" i="3"/>
  <c r="I243" i="3" s="1"/>
  <c r="J242" i="3"/>
  <c r="I242" i="3" s="1"/>
  <c r="J241" i="3"/>
  <c r="I241" i="3" s="1"/>
  <c r="J240" i="3"/>
  <c r="I240" i="3" s="1"/>
  <c r="J239" i="3"/>
  <c r="I239" i="3" s="1"/>
  <c r="J238" i="3"/>
  <c r="I238" i="3" s="1"/>
  <c r="J237" i="3"/>
  <c r="I237" i="3" s="1"/>
  <c r="J236" i="3"/>
  <c r="I236" i="3" s="1"/>
  <c r="J235" i="3"/>
  <c r="I235" i="3" s="1"/>
  <c r="J234" i="3"/>
  <c r="I234" i="3" s="1"/>
  <c r="J233" i="3"/>
  <c r="I233" i="3" s="1"/>
  <c r="J232" i="3"/>
  <c r="I232" i="3" s="1"/>
  <c r="J231" i="3"/>
  <c r="I231" i="3" s="1"/>
  <c r="J230" i="3"/>
  <c r="I230" i="3" s="1"/>
  <c r="J229" i="3"/>
  <c r="I229" i="3" s="1"/>
  <c r="J228" i="3"/>
  <c r="I228" i="3" s="1"/>
  <c r="J227" i="3"/>
  <c r="I227" i="3" s="1"/>
  <c r="J226" i="3"/>
  <c r="I226" i="3" s="1"/>
  <c r="J225" i="3"/>
  <c r="I225" i="3" s="1"/>
  <c r="J224" i="3"/>
  <c r="I224" i="3" s="1"/>
  <c r="J223" i="3"/>
  <c r="I223" i="3" s="1"/>
  <c r="J222" i="3"/>
  <c r="I222" i="3" s="1"/>
  <c r="J221" i="3"/>
  <c r="I221" i="3" s="1"/>
  <c r="J220" i="3"/>
  <c r="I220" i="3" s="1"/>
  <c r="J216" i="3"/>
  <c r="I216" i="3" s="1"/>
  <c r="J215" i="3"/>
  <c r="I215" i="3" s="1"/>
  <c r="J214" i="3"/>
  <c r="I214" i="3" s="1"/>
  <c r="J213" i="3"/>
  <c r="I213" i="3" s="1"/>
  <c r="J212" i="3"/>
  <c r="I212" i="3" s="1"/>
  <c r="J211" i="3"/>
  <c r="I211" i="3" s="1"/>
  <c r="J210" i="3"/>
  <c r="I210" i="3" s="1"/>
  <c r="J209" i="3"/>
  <c r="I209" i="3" s="1"/>
  <c r="J208" i="3"/>
  <c r="I208" i="3" s="1"/>
  <c r="J207" i="3"/>
  <c r="I207" i="3" s="1"/>
  <c r="J206" i="3"/>
  <c r="I206" i="3" s="1"/>
  <c r="J205" i="3"/>
  <c r="I205" i="3" s="1"/>
  <c r="J204" i="3"/>
  <c r="I204" i="3" s="1"/>
  <c r="J203" i="3"/>
  <c r="I203" i="3" s="1"/>
  <c r="J202" i="3"/>
  <c r="I202" i="3" s="1"/>
  <c r="J201" i="3"/>
  <c r="I201" i="3" s="1"/>
  <c r="J200" i="3"/>
  <c r="I200" i="3" s="1"/>
  <c r="J199" i="3"/>
  <c r="I199" i="3" s="1"/>
  <c r="J198" i="3"/>
  <c r="I198" i="3" s="1"/>
  <c r="J197" i="3"/>
  <c r="I197" i="3" s="1"/>
  <c r="J196" i="3"/>
  <c r="I196" i="3" s="1"/>
  <c r="J195" i="3"/>
  <c r="I195" i="3" s="1"/>
  <c r="J194" i="3"/>
  <c r="I194" i="3" s="1"/>
  <c r="J193" i="3"/>
  <c r="I193" i="3" s="1"/>
  <c r="J192" i="3"/>
  <c r="I192" i="3" s="1"/>
  <c r="J191" i="3"/>
  <c r="I191" i="3" s="1"/>
  <c r="J190" i="3"/>
  <c r="I190" i="3" s="1"/>
  <c r="J189" i="3"/>
  <c r="I189" i="3" s="1"/>
  <c r="J188" i="3"/>
  <c r="I188" i="3" s="1"/>
  <c r="J187" i="3"/>
  <c r="I187" i="3" s="1"/>
  <c r="J186" i="3"/>
  <c r="I186" i="3" s="1"/>
  <c r="J185" i="3"/>
  <c r="I185" i="3" s="1"/>
  <c r="J184" i="3"/>
  <c r="I184" i="3" s="1"/>
  <c r="J183" i="3"/>
  <c r="I183" i="3" s="1"/>
  <c r="J182" i="3"/>
  <c r="I182" i="3" s="1"/>
  <c r="J181" i="3"/>
  <c r="I181" i="3" s="1"/>
  <c r="J180" i="3"/>
  <c r="I180" i="3" s="1"/>
  <c r="J179" i="3"/>
  <c r="I179" i="3" s="1"/>
  <c r="J178" i="3"/>
  <c r="I178" i="3" s="1"/>
  <c r="J177" i="3"/>
  <c r="I177" i="3" s="1"/>
  <c r="J176" i="3"/>
  <c r="I176" i="3" s="1"/>
  <c r="J175" i="3"/>
  <c r="I175" i="3" s="1"/>
  <c r="J174" i="3"/>
  <c r="I174" i="3" s="1"/>
  <c r="J173" i="3"/>
  <c r="I173" i="3" s="1"/>
  <c r="J172" i="3"/>
  <c r="I172" i="3" s="1"/>
  <c r="J171" i="3"/>
  <c r="I171" i="3" s="1"/>
  <c r="J170" i="3"/>
  <c r="I170" i="3" s="1"/>
  <c r="J169" i="3"/>
  <c r="I169" i="3" s="1"/>
  <c r="J168" i="3"/>
  <c r="I168" i="3" s="1"/>
  <c r="J167" i="3"/>
  <c r="I167" i="3" s="1"/>
  <c r="J166" i="3"/>
  <c r="I166" i="3" s="1"/>
  <c r="J165" i="3"/>
  <c r="I165" i="3" s="1"/>
  <c r="J161" i="3"/>
  <c r="I161" i="3" s="1"/>
  <c r="J160" i="3"/>
  <c r="I160" i="3" s="1"/>
  <c r="J159" i="3"/>
  <c r="I159" i="3" s="1"/>
  <c r="J158" i="3"/>
  <c r="I158" i="3" s="1"/>
  <c r="J157" i="3"/>
  <c r="I157" i="3" s="1"/>
  <c r="J156" i="3"/>
  <c r="I156" i="3" s="1"/>
  <c r="J155" i="3"/>
  <c r="I155" i="3" s="1"/>
  <c r="J154" i="3"/>
  <c r="I154" i="3" s="1"/>
  <c r="J153" i="3"/>
  <c r="I153" i="3" s="1"/>
  <c r="J152" i="3"/>
  <c r="I152" i="3" s="1"/>
  <c r="J151" i="3"/>
  <c r="I151" i="3" s="1"/>
  <c r="J150" i="3"/>
  <c r="I150" i="3" s="1"/>
  <c r="J149" i="3"/>
  <c r="I149" i="3" s="1"/>
  <c r="J148" i="3"/>
  <c r="I148" i="3" s="1"/>
  <c r="J147" i="3"/>
  <c r="I147" i="3" s="1"/>
  <c r="J146" i="3"/>
  <c r="I146" i="3" s="1"/>
  <c r="J145" i="3"/>
  <c r="I145" i="3" s="1"/>
  <c r="J144" i="3"/>
  <c r="I144" i="3" s="1"/>
  <c r="J143" i="3"/>
  <c r="I143" i="3" s="1"/>
  <c r="J142" i="3"/>
  <c r="I142" i="3" s="1"/>
  <c r="J141" i="3"/>
  <c r="I141" i="3" s="1"/>
  <c r="J140" i="3"/>
  <c r="I140" i="3" s="1"/>
  <c r="J139" i="3"/>
  <c r="I139" i="3" s="1"/>
  <c r="J138" i="3"/>
  <c r="I138" i="3" s="1"/>
  <c r="J135" i="3"/>
  <c r="I135" i="3" s="1"/>
  <c r="J134" i="3"/>
  <c r="I134" i="3" s="1"/>
  <c r="J133" i="3"/>
  <c r="I133" i="3" s="1"/>
  <c r="J132" i="3"/>
  <c r="I132" i="3" s="1"/>
  <c r="J131" i="3"/>
  <c r="I131" i="3" s="1"/>
  <c r="J130" i="3"/>
  <c r="I130" i="3" s="1"/>
  <c r="J129" i="3"/>
  <c r="I129" i="3" s="1"/>
  <c r="J128" i="3"/>
  <c r="I128" i="3" s="1"/>
  <c r="J127" i="3"/>
  <c r="I127" i="3" s="1"/>
  <c r="J126" i="3"/>
  <c r="I126" i="3" s="1"/>
  <c r="J125" i="3"/>
  <c r="I125" i="3" s="1"/>
  <c r="J124" i="3"/>
  <c r="I124" i="3" s="1"/>
  <c r="J123" i="3"/>
  <c r="I123" i="3" s="1"/>
  <c r="J122" i="3"/>
  <c r="I122" i="3" s="1"/>
  <c r="J121" i="3"/>
  <c r="I121" i="3" s="1"/>
  <c r="J120" i="3"/>
  <c r="I120" i="3" s="1"/>
  <c r="J119" i="3"/>
  <c r="I119" i="3" s="1"/>
  <c r="J118" i="3"/>
  <c r="I118" i="3" s="1"/>
  <c r="J117" i="3"/>
  <c r="I117" i="3" s="1"/>
  <c r="J116" i="3"/>
  <c r="I116" i="3" s="1"/>
  <c r="J115" i="3"/>
  <c r="I115" i="3" s="1"/>
  <c r="J114" i="3"/>
  <c r="I114" i="3" s="1"/>
  <c r="J113" i="3"/>
  <c r="I113" i="3" s="1"/>
  <c r="J112" i="3"/>
  <c r="I112" i="3" s="1"/>
  <c r="J111" i="3"/>
  <c r="I111" i="3" s="1"/>
  <c r="J110" i="3"/>
  <c r="I110" i="3" s="1"/>
  <c r="J109" i="3"/>
  <c r="I109" i="3" s="1"/>
  <c r="J108" i="3"/>
  <c r="I108" i="3" s="1"/>
  <c r="J107" i="3"/>
  <c r="I107" i="3" s="1"/>
  <c r="J106" i="3"/>
  <c r="I106" i="3" s="1"/>
  <c r="J105" i="3"/>
  <c r="I105" i="3" s="1"/>
  <c r="J104" i="3"/>
  <c r="I104" i="3" s="1"/>
  <c r="J103" i="3"/>
  <c r="I103" i="3" s="1"/>
  <c r="J102" i="3"/>
  <c r="I102" i="3" s="1"/>
  <c r="J101" i="3"/>
  <c r="I101" i="3" s="1"/>
  <c r="J100" i="3"/>
  <c r="I100" i="3" s="1"/>
  <c r="J99" i="3"/>
  <c r="I99" i="3" s="1"/>
  <c r="J98" i="3"/>
  <c r="I98" i="3" s="1"/>
  <c r="J97" i="3"/>
  <c r="I97" i="3" s="1"/>
  <c r="J96" i="3"/>
  <c r="I96" i="3" s="1"/>
  <c r="J95" i="3"/>
  <c r="I95" i="3" s="1"/>
  <c r="J94" i="3"/>
  <c r="I94" i="3" s="1"/>
  <c r="J93" i="3"/>
  <c r="I93" i="3" s="1"/>
  <c r="J92" i="3"/>
  <c r="I92" i="3" s="1"/>
  <c r="J91" i="3"/>
  <c r="I91" i="3" s="1"/>
  <c r="J90" i="3"/>
  <c r="I90" i="3" s="1"/>
  <c r="J89" i="3"/>
  <c r="I89" i="3" s="1"/>
  <c r="J88" i="3"/>
  <c r="I88" i="3" s="1"/>
  <c r="J87" i="3"/>
  <c r="I87" i="3" s="1"/>
  <c r="J86" i="3"/>
  <c r="I86" i="3" s="1"/>
  <c r="J85" i="3"/>
  <c r="I85" i="3" s="1"/>
  <c r="J84" i="3"/>
  <c r="I84" i="3" s="1"/>
  <c r="J83" i="3"/>
  <c r="I83" i="3" s="1"/>
  <c r="J82" i="3"/>
  <c r="I82" i="3" s="1"/>
  <c r="J81" i="3"/>
  <c r="I81" i="3" s="1"/>
  <c r="J80" i="3"/>
  <c r="I80" i="3" s="1"/>
  <c r="J79" i="3"/>
  <c r="I79" i="3" s="1"/>
  <c r="J78" i="3"/>
  <c r="I78" i="3" s="1"/>
  <c r="J77" i="3"/>
  <c r="I77" i="3" s="1"/>
  <c r="J76" i="3"/>
  <c r="I76" i="3" s="1"/>
  <c r="J75" i="3"/>
  <c r="I75" i="3" s="1"/>
  <c r="J74" i="3"/>
  <c r="I74" i="3" s="1"/>
  <c r="J73" i="3"/>
  <c r="I73" i="3" s="1"/>
  <c r="J72" i="3"/>
  <c r="I72" i="3" s="1"/>
  <c r="J71" i="3"/>
  <c r="I71" i="3" s="1"/>
  <c r="J70" i="3"/>
  <c r="I70" i="3" s="1"/>
  <c r="J69" i="3"/>
  <c r="I69" i="3" s="1"/>
  <c r="J68" i="3"/>
  <c r="I68" i="3" s="1"/>
  <c r="J67" i="3"/>
  <c r="I67" i="3" s="1"/>
  <c r="J66" i="3"/>
  <c r="I66" i="3" s="1"/>
  <c r="J65" i="3"/>
  <c r="I65" i="3" s="1"/>
  <c r="J64" i="3"/>
  <c r="I64" i="3" s="1"/>
  <c r="J63" i="3"/>
  <c r="I63" i="3" s="1"/>
  <c r="J62" i="3"/>
  <c r="I62" i="3" s="1"/>
  <c r="J61" i="3"/>
  <c r="I61" i="3" s="1"/>
  <c r="J60" i="3"/>
  <c r="I60" i="3" s="1"/>
  <c r="J59" i="3"/>
  <c r="I59" i="3" s="1"/>
  <c r="J58" i="3"/>
  <c r="I58" i="3" s="1"/>
  <c r="J57" i="3"/>
  <c r="I57" i="3" s="1"/>
  <c r="J56" i="3"/>
  <c r="I56" i="3" s="1"/>
  <c r="J55" i="3"/>
  <c r="I55" i="3" s="1"/>
  <c r="J54" i="3"/>
  <c r="I54" i="3" s="1"/>
  <c r="J53" i="3"/>
  <c r="I53" i="3" s="1"/>
  <c r="J52" i="3"/>
  <c r="I52" i="3" s="1"/>
  <c r="J48" i="3"/>
  <c r="I48" i="3" s="1"/>
  <c r="J47" i="3"/>
  <c r="I47" i="3" s="1"/>
  <c r="J46" i="3"/>
  <c r="I46" i="3" s="1"/>
  <c r="J45" i="3"/>
  <c r="I45" i="3" s="1"/>
  <c r="J44" i="3"/>
  <c r="I44" i="3" s="1"/>
  <c r="J43" i="3"/>
  <c r="I43" i="3" s="1"/>
  <c r="J42" i="3"/>
  <c r="I42" i="3" s="1"/>
  <c r="J41" i="3"/>
  <c r="I41" i="3" s="1"/>
  <c r="J40" i="3"/>
  <c r="I40" i="3" s="1"/>
  <c r="J39" i="3"/>
  <c r="I39" i="3" s="1"/>
  <c r="J38" i="3"/>
  <c r="I38" i="3" s="1"/>
  <c r="J37" i="3"/>
  <c r="I37" i="3" s="1"/>
  <c r="J36" i="3"/>
  <c r="I36" i="3" s="1"/>
  <c r="J35" i="3"/>
  <c r="I35" i="3" s="1"/>
  <c r="J34" i="3"/>
  <c r="I34" i="3" s="1"/>
  <c r="J30" i="3"/>
  <c r="I30" i="3" s="1"/>
  <c r="J29" i="3"/>
  <c r="I29" i="3" s="1"/>
  <c r="J28" i="3"/>
  <c r="I28" i="3" s="1"/>
  <c r="J27" i="3"/>
  <c r="I27" i="3" s="1"/>
  <c r="J26" i="3"/>
  <c r="I26" i="3" s="1"/>
  <c r="J25" i="3"/>
  <c r="I25" i="3" s="1"/>
  <c r="J24" i="3"/>
  <c r="I24" i="3" s="1"/>
  <c r="J23" i="3"/>
  <c r="I23" i="3" s="1"/>
  <c r="J22" i="3"/>
  <c r="I22" i="3" s="1"/>
  <c r="J21" i="3"/>
  <c r="I21" i="3" s="1"/>
  <c r="J20" i="3"/>
  <c r="I20" i="3" s="1"/>
  <c r="J19" i="3"/>
  <c r="I19" i="3" s="1"/>
  <c r="J18" i="3"/>
  <c r="I18" i="3" s="1"/>
  <c r="J17" i="3"/>
  <c r="I17" i="3" s="1"/>
  <c r="J16" i="3"/>
  <c r="I16" i="3" s="1"/>
  <c r="J15" i="3"/>
  <c r="I15" i="3" s="1"/>
  <c r="J14" i="3"/>
  <c r="I14" i="3" s="1"/>
  <c r="J13" i="3"/>
  <c r="I13" i="3" s="1"/>
  <c r="H1225" i="3"/>
  <c r="G1225" i="3" s="1"/>
  <c r="H1224" i="3"/>
  <c r="G1224" i="3" s="1"/>
  <c r="H1223" i="3"/>
  <c r="G1223" i="3" s="1"/>
  <c r="H1222" i="3"/>
  <c r="G1222" i="3" s="1"/>
  <c r="H1221" i="3"/>
  <c r="G1221" i="3" s="1"/>
  <c r="H1220" i="3"/>
  <c r="G1220" i="3" s="1"/>
  <c r="H1219" i="3"/>
  <c r="G1219" i="3" s="1"/>
  <c r="H1218" i="3"/>
  <c r="G1218" i="3" s="1"/>
  <c r="H1217" i="3"/>
  <c r="G1217" i="3" s="1"/>
  <c r="H1216" i="3"/>
  <c r="G1216" i="3" s="1"/>
  <c r="H1215" i="3"/>
  <c r="G1215" i="3" s="1"/>
  <c r="H1214" i="3"/>
  <c r="G1214" i="3" s="1"/>
  <c r="H1213" i="3"/>
  <c r="G1213" i="3" s="1"/>
  <c r="H1212" i="3"/>
  <c r="G1212" i="3" s="1"/>
  <c r="H1211" i="3"/>
  <c r="G1211" i="3" s="1"/>
  <c r="H1210" i="3"/>
  <c r="G1210" i="3" s="1"/>
  <c r="H1209" i="3"/>
  <c r="G1209" i="3" s="1"/>
  <c r="H1208" i="3"/>
  <c r="G1208" i="3" s="1"/>
  <c r="H1207" i="3"/>
  <c r="G1207" i="3" s="1"/>
  <c r="H1206" i="3"/>
  <c r="G1206" i="3" s="1"/>
  <c r="H1205" i="3"/>
  <c r="G1205" i="3" s="1"/>
  <c r="H1204" i="3"/>
  <c r="G1204" i="3" s="1"/>
  <c r="H1203" i="3"/>
  <c r="G1203" i="3" s="1"/>
  <c r="H1202" i="3"/>
  <c r="G1202" i="3" s="1"/>
  <c r="H1201" i="3"/>
  <c r="G1201" i="3" s="1"/>
  <c r="H1200" i="3"/>
  <c r="G1200" i="3" s="1"/>
  <c r="H1199" i="3"/>
  <c r="G1199" i="3" s="1"/>
  <c r="H1198" i="3"/>
  <c r="G1198" i="3" s="1"/>
  <c r="H1197" i="3"/>
  <c r="G1197" i="3" s="1"/>
  <c r="H1196" i="3"/>
  <c r="G1196" i="3" s="1"/>
  <c r="H1195" i="3"/>
  <c r="G1195" i="3" s="1"/>
  <c r="H1194" i="3"/>
  <c r="G1194" i="3" s="1"/>
  <c r="H1193" i="3"/>
  <c r="G1193" i="3" s="1"/>
  <c r="H1192" i="3"/>
  <c r="G1192" i="3" s="1"/>
  <c r="H1191" i="3"/>
  <c r="G1191" i="3" s="1"/>
  <c r="H1190" i="3"/>
  <c r="G1190" i="3" s="1"/>
  <c r="H1189" i="3"/>
  <c r="G1189" i="3" s="1"/>
  <c r="H1188" i="3"/>
  <c r="G1188" i="3" s="1"/>
  <c r="H1187" i="3"/>
  <c r="G1187" i="3" s="1"/>
  <c r="H1186" i="3"/>
  <c r="G1186" i="3" s="1"/>
  <c r="H1185" i="3"/>
  <c r="G1185" i="3" s="1"/>
  <c r="H1184" i="3"/>
  <c r="G1184" i="3" s="1"/>
  <c r="H1183" i="3"/>
  <c r="G1183" i="3" s="1"/>
  <c r="H1182" i="3"/>
  <c r="G1182" i="3" s="1"/>
  <c r="H1181" i="3"/>
  <c r="G1181" i="3" s="1"/>
  <c r="H1180" i="3"/>
  <c r="G1180" i="3" s="1"/>
  <c r="H1179" i="3"/>
  <c r="G1179" i="3" s="1"/>
  <c r="H1175" i="3"/>
  <c r="G1175" i="3" s="1"/>
  <c r="H1174" i="3"/>
  <c r="G1174" i="3" s="1"/>
  <c r="H1173" i="3"/>
  <c r="G1173" i="3" s="1"/>
  <c r="H1172" i="3"/>
  <c r="G1172" i="3" s="1"/>
  <c r="H1171" i="3"/>
  <c r="G1171" i="3" s="1"/>
  <c r="H1170" i="3"/>
  <c r="G1170" i="3" s="1"/>
  <c r="H1169" i="3"/>
  <c r="G1169" i="3" s="1"/>
  <c r="H1168" i="3"/>
  <c r="G1168" i="3" s="1"/>
  <c r="H1167" i="3"/>
  <c r="G1167" i="3" s="1"/>
  <c r="H1166" i="3"/>
  <c r="G1166" i="3" s="1"/>
  <c r="H1165" i="3"/>
  <c r="G1165" i="3" s="1"/>
  <c r="H1164" i="3"/>
  <c r="G1164" i="3" s="1"/>
  <c r="H1163" i="3"/>
  <c r="G1163" i="3" s="1"/>
  <c r="H1162" i="3"/>
  <c r="G1162" i="3" s="1"/>
  <c r="H1161" i="3"/>
  <c r="G1161" i="3" s="1"/>
  <c r="H1160" i="3"/>
  <c r="G1160" i="3" s="1"/>
  <c r="H1153" i="3"/>
  <c r="G1153" i="3" s="1"/>
  <c r="H1152" i="3"/>
  <c r="G1152" i="3" s="1"/>
  <c r="H1151" i="3"/>
  <c r="G1151" i="3" s="1"/>
  <c r="H1150" i="3"/>
  <c r="G1150" i="3" s="1"/>
  <c r="H1149" i="3"/>
  <c r="G1149" i="3" s="1"/>
  <c r="H1148" i="3"/>
  <c r="G1148" i="3" s="1"/>
  <c r="H1147" i="3"/>
  <c r="G1147" i="3" s="1"/>
  <c r="H1146" i="3"/>
  <c r="G1146" i="3" s="1"/>
  <c r="H1145" i="3"/>
  <c r="G1145" i="3" s="1"/>
  <c r="H1144" i="3"/>
  <c r="G1144" i="3" s="1"/>
  <c r="H1143" i="3"/>
  <c r="G1143" i="3" s="1"/>
  <c r="H1142" i="3"/>
  <c r="G1142" i="3" s="1"/>
  <c r="H1141" i="3"/>
  <c r="G1141" i="3" s="1"/>
  <c r="H1140" i="3"/>
  <c r="G1140" i="3" s="1"/>
  <c r="H1139" i="3"/>
  <c r="G1139" i="3" s="1"/>
  <c r="H1138" i="3"/>
  <c r="G1138" i="3" s="1"/>
  <c r="H1137" i="3"/>
  <c r="G1137" i="3" s="1"/>
  <c r="H1136" i="3"/>
  <c r="G1136" i="3" s="1"/>
  <c r="H1135" i="3"/>
  <c r="G1135" i="3" s="1"/>
  <c r="H1134" i="3"/>
  <c r="G1134" i="3" s="1"/>
  <c r="H1133" i="3"/>
  <c r="G1133" i="3" s="1"/>
  <c r="H1132" i="3"/>
  <c r="G1132" i="3" s="1"/>
  <c r="H1131" i="3"/>
  <c r="G1131" i="3" s="1"/>
  <c r="H1130" i="3"/>
  <c r="G1130" i="3" s="1"/>
  <c r="H1129" i="3"/>
  <c r="G1129" i="3" s="1"/>
  <c r="H1128" i="3"/>
  <c r="G1128" i="3" s="1"/>
  <c r="H1127" i="3"/>
  <c r="G1127" i="3" s="1"/>
  <c r="H1126" i="3"/>
  <c r="G1126" i="3" s="1"/>
  <c r="H1125" i="3"/>
  <c r="G1125" i="3" s="1"/>
  <c r="H1124" i="3"/>
  <c r="G1124" i="3" s="1"/>
  <c r="H1123" i="3"/>
  <c r="G1123" i="3" s="1"/>
  <c r="H1122" i="3"/>
  <c r="G1122" i="3" s="1"/>
  <c r="H1121" i="3"/>
  <c r="G1121" i="3" s="1"/>
  <c r="H1120" i="3"/>
  <c r="G1120" i="3" s="1"/>
  <c r="H1119" i="3"/>
  <c r="G1119" i="3" s="1"/>
  <c r="H1118" i="3"/>
  <c r="G1118" i="3" s="1"/>
  <c r="H1117" i="3"/>
  <c r="G1117" i="3" s="1"/>
  <c r="H1116" i="3"/>
  <c r="G1116" i="3" s="1"/>
  <c r="H1115" i="3"/>
  <c r="G1115" i="3" s="1"/>
  <c r="H1114" i="3"/>
  <c r="G1114" i="3" s="1"/>
  <c r="H1113" i="3"/>
  <c r="G1113" i="3" s="1"/>
  <c r="H1112" i="3"/>
  <c r="G1112" i="3" s="1"/>
  <c r="H1111" i="3"/>
  <c r="G1111" i="3" s="1"/>
  <c r="H1110" i="3"/>
  <c r="G1110" i="3" s="1"/>
  <c r="H1109" i="3"/>
  <c r="G1109" i="3" s="1"/>
  <c r="H1108" i="3"/>
  <c r="G1108" i="3" s="1"/>
  <c r="H1107" i="3"/>
  <c r="G1107" i="3" s="1"/>
  <c r="H1106" i="3"/>
  <c r="G1106" i="3" s="1"/>
  <c r="H1105" i="3"/>
  <c r="G1105" i="3" s="1"/>
  <c r="H1104" i="3"/>
  <c r="G1104" i="3" s="1"/>
  <c r="H1103" i="3"/>
  <c r="G1103" i="3" s="1"/>
  <c r="H1102" i="3"/>
  <c r="G1102" i="3" s="1"/>
  <c r="H1101" i="3"/>
  <c r="G1101" i="3" s="1"/>
  <c r="H1100" i="3"/>
  <c r="G1100" i="3" s="1"/>
  <c r="H1099" i="3"/>
  <c r="G1099" i="3" s="1"/>
  <c r="H1098" i="3"/>
  <c r="G1098" i="3" s="1"/>
  <c r="H1097" i="3"/>
  <c r="G1097" i="3" s="1"/>
  <c r="H1096" i="3"/>
  <c r="G1096" i="3" s="1"/>
  <c r="H1090" i="3"/>
  <c r="G1090" i="3" s="1"/>
  <c r="H1089" i="3"/>
  <c r="G1089" i="3" s="1"/>
  <c r="H1088" i="3"/>
  <c r="G1088" i="3" s="1"/>
  <c r="H1087" i="3"/>
  <c r="G1087" i="3" s="1"/>
  <c r="H1086" i="3"/>
  <c r="G1086" i="3" s="1"/>
  <c r="H1085" i="3"/>
  <c r="G1085" i="3" s="1"/>
  <c r="H1084" i="3"/>
  <c r="G1084" i="3" s="1"/>
  <c r="H1080" i="3"/>
  <c r="G1080" i="3" s="1"/>
  <c r="H1079" i="3"/>
  <c r="G1079" i="3" s="1"/>
  <c r="H1078" i="3"/>
  <c r="G1078" i="3" s="1"/>
  <c r="H1077" i="3"/>
  <c r="G1077" i="3" s="1"/>
  <c r="H1076" i="3"/>
  <c r="G1076" i="3" s="1"/>
  <c r="H1075" i="3"/>
  <c r="G1075" i="3" s="1"/>
  <c r="H1074" i="3"/>
  <c r="G1074" i="3" s="1"/>
  <c r="H1073" i="3"/>
  <c r="G1073" i="3" s="1"/>
  <c r="H1072" i="3"/>
  <c r="G1072" i="3" s="1"/>
  <c r="H1071" i="3"/>
  <c r="G1071" i="3" s="1"/>
  <c r="H1070" i="3"/>
  <c r="G1070" i="3" s="1"/>
  <c r="H1069" i="3"/>
  <c r="G1069" i="3" s="1"/>
  <c r="H1068" i="3"/>
  <c r="G1068" i="3" s="1"/>
  <c r="H1067" i="3"/>
  <c r="G1067" i="3" s="1"/>
  <c r="H1066" i="3"/>
  <c r="G1066" i="3" s="1"/>
  <c r="H1065" i="3"/>
  <c r="G1065" i="3" s="1"/>
  <c r="H1064" i="3"/>
  <c r="G1064" i="3" s="1"/>
  <c r="H1060" i="3"/>
  <c r="G1060" i="3" s="1"/>
  <c r="H1059" i="3"/>
  <c r="G1059" i="3" s="1"/>
  <c r="H1058" i="3"/>
  <c r="G1058" i="3" s="1"/>
  <c r="H1057" i="3"/>
  <c r="G1057" i="3" s="1"/>
  <c r="H1056" i="3"/>
  <c r="G1056" i="3" s="1"/>
  <c r="H1055" i="3"/>
  <c r="G1055" i="3" s="1"/>
  <c r="H1054" i="3"/>
  <c r="G1054" i="3" s="1"/>
  <c r="H1053" i="3"/>
  <c r="G1053" i="3" s="1"/>
  <c r="H1052" i="3"/>
  <c r="G1052" i="3" s="1"/>
  <c r="H1051" i="3"/>
  <c r="G1051" i="3" s="1"/>
  <c r="H1050" i="3"/>
  <c r="G1050" i="3" s="1"/>
  <c r="H1049" i="3"/>
  <c r="G1049" i="3" s="1"/>
  <c r="H1048" i="3"/>
  <c r="G1048" i="3" s="1"/>
  <c r="H1047" i="3"/>
  <c r="G1047" i="3" s="1"/>
  <c r="H1046" i="3"/>
  <c r="G1046" i="3" s="1"/>
  <c r="H1045" i="3"/>
  <c r="G1045" i="3" s="1"/>
  <c r="H1044" i="3"/>
  <c r="G1044" i="3" s="1"/>
  <c r="H1043" i="3"/>
  <c r="G1043" i="3" s="1"/>
  <c r="H1042" i="3"/>
  <c r="G1042" i="3" s="1"/>
  <c r="H1041" i="3"/>
  <c r="G1041" i="3" s="1"/>
  <c r="H1040" i="3"/>
  <c r="G1040" i="3" s="1"/>
  <c r="H1039" i="3"/>
  <c r="G1039" i="3" s="1"/>
  <c r="H1038" i="3"/>
  <c r="G1038" i="3" s="1"/>
  <c r="H1037" i="3"/>
  <c r="G1037" i="3" s="1"/>
  <c r="H1036" i="3"/>
  <c r="G1036" i="3" s="1"/>
  <c r="H1035" i="3"/>
  <c r="G1035" i="3" s="1"/>
  <c r="H1034" i="3"/>
  <c r="G1034" i="3" s="1"/>
  <c r="H1033" i="3"/>
  <c r="G1033" i="3" s="1"/>
  <c r="H1032" i="3"/>
  <c r="G1032" i="3" s="1"/>
  <c r="H1031" i="3"/>
  <c r="G1031" i="3" s="1"/>
  <c r="H1030" i="3"/>
  <c r="G1030" i="3" s="1"/>
  <c r="H1029" i="3"/>
  <c r="G1029" i="3" s="1"/>
  <c r="H1028" i="3"/>
  <c r="G1028" i="3" s="1"/>
  <c r="H1027" i="3"/>
  <c r="G1027" i="3" s="1"/>
  <c r="H1026" i="3"/>
  <c r="G1026" i="3" s="1"/>
  <c r="H1025" i="3"/>
  <c r="G1025" i="3" s="1"/>
  <c r="H1024" i="3"/>
  <c r="G1024" i="3" s="1"/>
  <c r="H1023" i="3"/>
  <c r="G1023" i="3" s="1"/>
  <c r="H1022" i="3"/>
  <c r="G1022" i="3" s="1"/>
  <c r="H1021" i="3"/>
  <c r="G1021" i="3" s="1"/>
  <c r="H1020" i="3"/>
  <c r="G1020" i="3" s="1"/>
  <c r="H1019" i="3"/>
  <c r="G1019" i="3" s="1"/>
  <c r="H1018" i="3"/>
  <c r="G1018" i="3" s="1"/>
  <c r="H1017" i="3"/>
  <c r="G1017" i="3" s="1"/>
  <c r="H1016" i="3"/>
  <c r="G1016" i="3" s="1"/>
  <c r="H1015" i="3"/>
  <c r="G1015" i="3" s="1"/>
  <c r="H1014" i="3"/>
  <c r="G1014" i="3" s="1"/>
  <c r="H1013" i="3"/>
  <c r="G1013" i="3" s="1"/>
  <c r="H1012" i="3"/>
  <c r="G1012" i="3" s="1"/>
  <c r="H1011" i="3"/>
  <c r="G1011" i="3" s="1"/>
  <c r="H1010" i="3"/>
  <c r="G1010" i="3" s="1"/>
  <c r="H1009" i="3"/>
  <c r="G1009" i="3" s="1"/>
  <c r="H1008" i="3"/>
  <c r="G1008" i="3" s="1"/>
  <c r="H1007" i="3"/>
  <c r="G1007" i="3" s="1"/>
  <c r="H1006" i="3"/>
  <c r="G1006" i="3" s="1"/>
  <c r="H999" i="3"/>
  <c r="G999" i="3" s="1"/>
  <c r="H998" i="3"/>
  <c r="G998" i="3" s="1"/>
  <c r="H997" i="3"/>
  <c r="G997" i="3" s="1"/>
  <c r="H996" i="3"/>
  <c r="G996" i="3" s="1"/>
  <c r="H995" i="3"/>
  <c r="G995" i="3" s="1"/>
  <c r="H994" i="3"/>
  <c r="G994" i="3" s="1"/>
  <c r="H993" i="3"/>
  <c r="G993" i="3" s="1"/>
  <c r="H992" i="3"/>
  <c r="G992" i="3" s="1"/>
  <c r="H991" i="3"/>
  <c r="G991" i="3" s="1"/>
  <c r="H990" i="3"/>
  <c r="G990" i="3" s="1"/>
  <c r="H989" i="3"/>
  <c r="G989" i="3" s="1"/>
  <c r="H988" i="3"/>
  <c r="G988" i="3" s="1"/>
  <c r="H987" i="3"/>
  <c r="G987" i="3" s="1"/>
  <c r="H986" i="3"/>
  <c r="G986" i="3" s="1"/>
  <c r="H985" i="3"/>
  <c r="G985" i="3" s="1"/>
  <c r="H984" i="3"/>
  <c r="G984" i="3" s="1"/>
  <c r="H983" i="3"/>
  <c r="G983" i="3" s="1"/>
  <c r="H982" i="3"/>
  <c r="G982" i="3" s="1"/>
  <c r="H981" i="3"/>
  <c r="G981" i="3" s="1"/>
  <c r="H980" i="3"/>
  <c r="G980" i="3" s="1"/>
  <c r="H979" i="3"/>
  <c r="G979" i="3" s="1"/>
  <c r="H978" i="3"/>
  <c r="G978" i="3" s="1"/>
  <c r="H977" i="3"/>
  <c r="G977" i="3" s="1"/>
  <c r="H976" i="3"/>
  <c r="G976" i="3" s="1"/>
  <c r="H975" i="3"/>
  <c r="G975" i="3" s="1"/>
  <c r="H974" i="3"/>
  <c r="G974" i="3" s="1"/>
  <c r="H973" i="3"/>
  <c r="G973" i="3" s="1"/>
  <c r="H972" i="3"/>
  <c r="G972" i="3" s="1"/>
  <c r="H971" i="3"/>
  <c r="G971" i="3" s="1"/>
  <c r="H970" i="3"/>
  <c r="G970" i="3" s="1"/>
  <c r="H969" i="3"/>
  <c r="G969" i="3" s="1"/>
  <c r="H968" i="3"/>
  <c r="G968" i="3" s="1"/>
  <c r="H967" i="3"/>
  <c r="G967" i="3" s="1"/>
  <c r="H966" i="3"/>
  <c r="G966" i="3" s="1"/>
  <c r="H965" i="3"/>
  <c r="G965" i="3" s="1"/>
  <c r="H964" i="3"/>
  <c r="G964" i="3" s="1"/>
  <c r="H963" i="3"/>
  <c r="G963" i="3" s="1"/>
  <c r="H962" i="3"/>
  <c r="G962" i="3" s="1"/>
  <c r="H961" i="3"/>
  <c r="G961" i="3" s="1"/>
  <c r="H960" i="3"/>
  <c r="G960" i="3" s="1"/>
  <c r="H959" i="3"/>
  <c r="G959" i="3" s="1"/>
  <c r="H958" i="3"/>
  <c r="G958" i="3" s="1"/>
  <c r="H957" i="3"/>
  <c r="G957" i="3" s="1"/>
  <c r="H956" i="3"/>
  <c r="G956" i="3" s="1"/>
  <c r="H955" i="3"/>
  <c r="G955" i="3" s="1"/>
  <c r="H954" i="3"/>
  <c r="G954" i="3" s="1"/>
  <c r="H953" i="3"/>
  <c r="G953" i="3" s="1"/>
  <c r="H952" i="3"/>
  <c r="G952" i="3" s="1"/>
  <c r="H951" i="3"/>
  <c r="G951" i="3" s="1"/>
  <c r="H950" i="3"/>
  <c r="G950" i="3" s="1"/>
  <c r="H949" i="3"/>
  <c r="G949" i="3" s="1"/>
  <c r="H948" i="3"/>
  <c r="G948" i="3" s="1"/>
  <c r="H947" i="3"/>
  <c r="G947" i="3" s="1"/>
  <c r="H946" i="3"/>
  <c r="G946" i="3" s="1"/>
  <c r="H945" i="3"/>
  <c r="G945" i="3" s="1"/>
  <c r="H944" i="3"/>
  <c r="G944" i="3" s="1"/>
  <c r="H937" i="3"/>
  <c r="G937" i="3" s="1"/>
  <c r="H936" i="3"/>
  <c r="G936" i="3" s="1"/>
  <c r="H935" i="3"/>
  <c r="G935" i="3" s="1"/>
  <c r="H934" i="3"/>
  <c r="G934" i="3" s="1"/>
  <c r="H933" i="3"/>
  <c r="G933" i="3" s="1"/>
  <c r="H932" i="3"/>
  <c r="G932" i="3" s="1"/>
  <c r="H931" i="3"/>
  <c r="G931" i="3" s="1"/>
  <c r="H930" i="3"/>
  <c r="G930" i="3" s="1"/>
  <c r="H929" i="3"/>
  <c r="G929" i="3" s="1"/>
  <c r="H928" i="3"/>
  <c r="G928" i="3" s="1"/>
  <c r="H927" i="3"/>
  <c r="G927" i="3" s="1"/>
  <c r="H926" i="3"/>
  <c r="G926" i="3" s="1"/>
  <c r="H925" i="3"/>
  <c r="G925" i="3" s="1"/>
  <c r="H924" i="3"/>
  <c r="G924" i="3" s="1"/>
  <c r="H923" i="3"/>
  <c r="G923" i="3" s="1"/>
  <c r="H922" i="3"/>
  <c r="G922" i="3" s="1"/>
  <c r="H921" i="3"/>
  <c r="G921" i="3" s="1"/>
  <c r="H920" i="3"/>
  <c r="G920" i="3" s="1"/>
  <c r="H919" i="3"/>
  <c r="G919" i="3" s="1"/>
  <c r="H918" i="3"/>
  <c r="G918" i="3" s="1"/>
  <c r="H917" i="3"/>
  <c r="G917" i="3" s="1"/>
  <c r="H916" i="3"/>
  <c r="G916" i="3" s="1"/>
  <c r="H915" i="3"/>
  <c r="G915" i="3" s="1"/>
  <c r="H914" i="3"/>
  <c r="G914" i="3" s="1"/>
  <c r="H913" i="3"/>
  <c r="G913" i="3" s="1"/>
  <c r="H912" i="3"/>
  <c r="G912" i="3" s="1"/>
  <c r="H911" i="3"/>
  <c r="G911" i="3" s="1"/>
  <c r="H910" i="3"/>
  <c r="G910" i="3" s="1"/>
  <c r="H909" i="3"/>
  <c r="G909" i="3" s="1"/>
  <c r="H908" i="3"/>
  <c r="G908" i="3" s="1"/>
  <c r="H907" i="3"/>
  <c r="G907" i="3" s="1"/>
  <c r="H906" i="3"/>
  <c r="G906" i="3" s="1"/>
  <c r="H905" i="3"/>
  <c r="G905" i="3" s="1"/>
  <c r="H904" i="3"/>
  <c r="G904" i="3" s="1"/>
  <c r="H903" i="3"/>
  <c r="G903" i="3" s="1"/>
  <c r="H902" i="3"/>
  <c r="G902" i="3" s="1"/>
  <c r="H901" i="3"/>
  <c r="G901" i="3" s="1"/>
  <c r="H900" i="3"/>
  <c r="G900" i="3" s="1"/>
  <c r="H899" i="3"/>
  <c r="G899" i="3" s="1"/>
  <c r="H898" i="3"/>
  <c r="G898" i="3" s="1"/>
  <c r="H897" i="3"/>
  <c r="G897" i="3" s="1"/>
  <c r="H896" i="3"/>
  <c r="G896" i="3" s="1"/>
  <c r="H895" i="3"/>
  <c r="G895" i="3" s="1"/>
  <c r="H894" i="3"/>
  <c r="G894" i="3" s="1"/>
  <c r="H893" i="3"/>
  <c r="G893" i="3" s="1"/>
  <c r="H892" i="3"/>
  <c r="G892" i="3" s="1"/>
  <c r="H891" i="3"/>
  <c r="G891" i="3" s="1"/>
  <c r="H890" i="3"/>
  <c r="G890" i="3" s="1"/>
  <c r="H889" i="3"/>
  <c r="G889" i="3" s="1"/>
  <c r="H888" i="3"/>
  <c r="G888" i="3" s="1"/>
  <c r="H887" i="3"/>
  <c r="G887" i="3" s="1"/>
  <c r="H886" i="3"/>
  <c r="G886" i="3" s="1"/>
  <c r="H885" i="3"/>
  <c r="G885" i="3" s="1"/>
  <c r="H884" i="3"/>
  <c r="G884" i="3" s="1"/>
  <c r="H883" i="3"/>
  <c r="G883" i="3" s="1"/>
  <c r="H882" i="3"/>
  <c r="G882" i="3" s="1"/>
  <c r="H881" i="3"/>
  <c r="G881" i="3" s="1"/>
  <c r="H880" i="3"/>
  <c r="G880" i="3" s="1"/>
  <c r="H879" i="3"/>
  <c r="G879" i="3" s="1"/>
  <c r="H878" i="3"/>
  <c r="G878" i="3" s="1"/>
  <c r="H877" i="3"/>
  <c r="G877" i="3" s="1"/>
  <c r="H876" i="3"/>
  <c r="G876" i="3" s="1"/>
  <c r="H875" i="3"/>
  <c r="G875" i="3" s="1"/>
  <c r="H874" i="3"/>
  <c r="G874" i="3" s="1"/>
  <c r="H873" i="3"/>
  <c r="G873" i="3" s="1"/>
  <c r="H872" i="3"/>
  <c r="G872" i="3" s="1"/>
  <c r="H871" i="3"/>
  <c r="G871" i="3" s="1"/>
  <c r="H870" i="3"/>
  <c r="G870" i="3" s="1"/>
  <c r="H869" i="3"/>
  <c r="G869" i="3" s="1"/>
  <c r="H868" i="3"/>
  <c r="G868" i="3" s="1"/>
  <c r="H867" i="3"/>
  <c r="G867" i="3" s="1"/>
  <c r="H866" i="3"/>
  <c r="G866" i="3" s="1"/>
  <c r="H865" i="3"/>
  <c r="G865" i="3" s="1"/>
  <c r="H864" i="3"/>
  <c r="G864" i="3" s="1"/>
  <c r="H863" i="3"/>
  <c r="G863" i="3" s="1"/>
  <c r="H862" i="3"/>
  <c r="G862" i="3" s="1"/>
  <c r="H861" i="3"/>
  <c r="G861" i="3" s="1"/>
  <c r="H860" i="3"/>
  <c r="G860" i="3" s="1"/>
  <c r="H859" i="3"/>
  <c r="G859" i="3" s="1"/>
  <c r="H858" i="3"/>
  <c r="G858" i="3" s="1"/>
  <c r="H857" i="3"/>
  <c r="G857" i="3" s="1"/>
  <c r="H856" i="3"/>
  <c r="G856" i="3" s="1"/>
  <c r="H855" i="3"/>
  <c r="G855" i="3" s="1"/>
  <c r="H854" i="3"/>
  <c r="G854" i="3" s="1"/>
  <c r="H853" i="3"/>
  <c r="G853" i="3" s="1"/>
  <c r="H852" i="3"/>
  <c r="G852" i="3" s="1"/>
  <c r="H845" i="3"/>
  <c r="G845" i="3" s="1"/>
  <c r="H844" i="3"/>
  <c r="G844" i="3" s="1"/>
  <c r="H843" i="3"/>
  <c r="G843" i="3" s="1"/>
  <c r="H842" i="3"/>
  <c r="G842" i="3" s="1"/>
  <c r="H841" i="3"/>
  <c r="G841" i="3" s="1"/>
  <c r="H840" i="3"/>
  <c r="G840" i="3" s="1"/>
  <c r="H839" i="3"/>
  <c r="G839" i="3" s="1"/>
  <c r="H838" i="3"/>
  <c r="G838" i="3" s="1"/>
  <c r="H837" i="3"/>
  <c r="G837" i="3" s="1"/>
  <c r="H836" i="3"/>
  <c r="G836" i="3" s="1"/>
  <c r="H835" i="3"/>
  <c r="G835" i="3" s="1"/>
  <c r="H834" i="3"/>
  <c r="G834" i="3" s="1"/>
  <c r="H833" i="3"/>
  <c r="G833" i="3" s="1"/>
  <c r="H832" i="3"/>
  <c r="G832" i="3" s="1"/>
  <c r="H831" i="3"/>
  <c r="G831" i="3" s="1"/>
  <c r="H830" i="3"/>
  <c r="G830" i="3" s="1"/>
  <c r="H829" i="3"/>
  <c r="G829" i="3" s="1"/>
  <c r="H828" i="3"/>
  <c r="G828" i="3" s="1"/>
  <c r="H827" i="3"/>
  <c r="G827" i="3" s="1"/>
  <c r="H826" i="3"/>
  <c r="G826" i="3" s="1"/>
  <c r="H825" i="3"/>
  <c r="G825" i="3" s="1"/>
  <c r="H824" i="3"/>
  <c r="G824" i="3" s="1"/>
  <c r="H823" i="3"/>
  <c r="G823" i="3" s="1"/>
  <c r="H822" i="3"/>
  <c r="G822" i="3" s="1"/>
  <c r="H821" i="3"/>
  <c r="G821" i="3" s="1"/>
  <c r="H820" i="3"/>
  <c r="G820" i="3" s="1"/>
  <c r="H819" i="3"/>
  <c r="G819" i="3" s="1"/>
  <c r="H818" i="3"/>
  <c r="G818" i="3" s="1"/>
  <c r="H817" i="3"/>
  <c r="G817" i="3" s="1"/>
  <c r="H816" i="3"/>
  <c r="G816" i="3" s="1"/>
  <c r="H815" i="3"/>
  <c r="G815" i="3" s="1"/>
  <c r="H814" i="3"/>
  <c r="G814" i="3" s="1"/>
  <c r="H813" i="3"/>
  <c r="G813" i="3" s="1"/>
  <c r="H812" i="3"/>
  <c r="G812" i="3" s="1"/>
  <c r="H811" i="3"/>
  <c r="G811" i="3" s="1"/>
  <c r="H810" i="3"/>
  <c r="G810" i="3" s="1"/>
  <c r="H809" i="3"/>
  <c r="G809" i="3" s="1"/>
  <c r="H808" i="3"/>
  <c r="G808" i="3" s="1"/>
  <c r="H800" i="3"/>
  <c r="G800" i="3" s="1"/>
  <c r="H799" i="3"/>
  <c r="G799" i="3" s="1"/>
  <c r="H798" i="3"/>
  <c r="G798" i="3" s="1"/>
  <c r="H797" i="3"/>
  <c r="G797" i="3" s="1"/>
  <c r="H796" i="3"/>
  <c r="G796" i="3" s="1"/>
  <c r="H795" i="3"/>
  <c r="G795" i="3" s="1"/>
  <c r="H794" i="3"/>
  <c r="G794" i="3" s="1"/>
  <c r="H793" i="3"/>
  <c r="G793" i="3" s="1"/>
  <c r="H792" i="3"/>
  <c r="G792" i="3" s="1"/>
  <c r="H791" i="3"/>
  <c r="G791" i="3" s="1"/>
  <c r="H790" i="3"/>
  <c r="G790" i="3" s="1"/>
  <c r="H789" i="3"/>
  <c r="G789" i="3" s="1"/>
  <c r="H788" i="3"/>
  <c r="G788" i="3" s="1"/>
  <c r="H782" i="3"/>
  <c r="G782" i="3" s="1"/>
  <c r="H781" i="3"/>
  <c r="G781" i="3" s="1"/>
  <c r="H780" i="3"/>
  <c r="G780" i="3" s="1"/>
  <c r="H779" i="3"/>
  <c r="G779" i="3" s="1"/>
  <c r="H778" i="3"/>
  <c r="G778" i="3" s="1"/>
  <c r="H777" i="3"/>
  <c r="G777" i="3" s="1"/>
  <c r="H776" i="3"/>
  <c r="G776" i="3" s="1"/>
  <c r="H773" i="3"/>
  <c r="G773" i="3" s="1"/>
  <c r="H772" i="3"/>
  <c r="G772" i="3" s="1"/>
  <c r="H771" i="3"/>
  <c r="G771" i="3" s="1"/>
  <c r="H770" i="3"/>
  <c r="G770" i="3" s="1"/>
  <c r="H769" i="3"/>
  <c r="G769" i="3" s="1"/>
  <c r="H768" i="3"/>
  <c r="G768" i="3" s="1"/>
  <c r="H767" i="3"/>
  <c r="G767" i="3" s="1"/>
  <c r="H766" i="3"/>
  <c r="G766" i="3" s="1"/>
  <c r="H765" i="3"/>
  <c r="G765" i="3" s="1"/>
  <c r="H764" i="3"/>
  <c r="G764" i="3" s="1"/>
  <c r="H763" i="3"/>
  <c r="G763" i="3" s="1"/>
  <c r="H762" i="3"/>
  <c r="G762" i="3" s="1"/>
  <c r="H761" i="3"/>
  <c r="G761" i="3" s="1"/>
  <c r="H760" i="3"/>
  <c r="G760" i="3" s="1"/>
  <c r="H759" i="3"/>
  <c r="G759" i="3" s="1"/>
  <c r="H758" i="3"/>
  <c r="G758" i="3" s="1"/>
  <c r="H757" i="3"/>
  <c r="G757" i="3" s="1"/>
  <c r="H756" i="3"/>
  <c r="G756" i="3" s="1"/>
  <c r="H753" i="3"/>
  <c r="G753" i="3" s="1"/>
  <c r="H752" i="3"/>
  <c r="G752" i="3" s="1"/>
  <c r="H751" i="3"/>
  <c r="G751" i="3" s="1"/>
  <c r="H750" i="3"/>
  <c r="G750" i="3" s="1"/>
  <c r="H749" i="3"/>
  <c r="G749" i="3" s="1"/>
  <c r="H748" i="3"/>
  <c r="G748" i="3" s="1"/>
  <c r="H747" i="3"/>
  <c r="G747" i="3" s="1"/>
  <c r="H746" i="3"/>
  <c r="G746" i="3" s="1"/>
  <c r="H745" i="3"/>
  <c r="G745" i="3" s="1"/>
  <c r="H744" i="3"/>
  <c r="G744" i="3" s="1"/>
  <c r="H743" i="3"/>
  <c r="G743" i="3" s="1"/>
  <c r="H742" i="3"/>
  <c r="G742" i="3" s="1"/>
  <c r="H741" i="3"/>
  <c r="G741" i="3" s="1"/>
  <c r="H740" i="3"/>
  <c r="G740" i="3" s="1"/>
  <c r="H739" i="3"/>
  <c r="G739" i="3" s="1"/>
  <c r="H735" i="3"/>
  <c r="G735" i="3" s="1"/>
  <c r="H734" i="3"/>
  <c r="G734" i="3" s="1"/>
  <c r="H733" i="3"/>
  <c r="G733" i="3" s="1"/>
  <c r="H732" i="3"/>
  <c r="G732" i="3" s="1"/>
  <c r="H731" i="3"/>
  <c r="G731" i="3" s="1"/>
  <c r="H730" i="3"/>
  <c r="G730" i="3" s="1"/>
  <c r="H729" i="3"/>
  <c r="G729" i="3" s="1"/>
  <c r="H728" i="3"/>
  <c r="G728" i="3" s="1"/>
  <c r="H727" i="3"/>
  <c r="G727" i="3" s="1"/>
  <c r="H726" i="3"/>
  <c r="G726" i="3" s="1"/>
  <c r="H725" i="3"/>
  <c r="G725" i="3" s="1"/>
  <c r="H724" i="3"/>
  <c r="G724" i="3" s="1"/>
  <c r="H723" i="3"/>
  <c r="G723" i="3" s="1"/>
  <c r="H722" i="3"/>
  <c r="G722" i="3" s="1"/>
  <c r="H721" i="3"/>
  <c r="G721" i="3" s="1"/>
  <c r="H720" i="3"/>
  <c r="G720" i="3" s="1"/>
  <c r="H719" i="3"/>
  <c r="G719" i="3" s="1"/>
  <c r="H718" i="3"/>
  <c r="G718" i="3" s="1"/>
  <c r="H714" i="3"/>
  <c r="G714" i="3" s="1"/>
  <c r="H713" i="3"/>
  <c r="G713" i="3" s="1"/>
  <c r="H712" i="3"/>
  <c r="G712" i="3" s="1"/>
  <c r="H711" i="3"/>
  <c r="G711" i="3" s="1"/>
  <c r="H710" i="3"/>
  <c r="G710" i="3" s="1"/>
  <c r="H709" i="3"/>
  <c r="G709" i="3" s="1"/>
  <c r="H708" i="3"/>
  <c r="G708" i="3" s="1"/>
  <c r="H707" i="3"/>
  <c r="G707" i="3" s="1"/>
  <c r="H706" i="3"/>
  <c r="G706" i="3" s="1"/>
  <c r="H705" i="3"/>
  <c r="G705" i="3" s="1"/>
  <c r="H704" i="3"/>
  <c r="G704" i="3" s="1"/>
  <c r="H703" i="3"/>
  <c r="G703" i="3" s="1"/>
  <c r="H702" i="3"/>
  <c r="G702" i="3" s="1"/>
  <c r="H701" i="3"/>
  <c r="G701" i="3" s="1"/>
  <c r="H700" i="3"/>
  <c r="G700" i="3" s="1"/>
  <c r="H699" i="3"/>
  <c r="G699" i="3" s="1"/>
  <c r="H698" i="3"/>
  <c r="G698" i="3" s="1"/>
  <c r="H697" i="3"/>
  <c r="G697" i="3" s="1"/>
  <c r="H696" i="3"/>
  <c r="G696" i="3" s="1"/>
  <c r="H695" i="3"/>
  <c r="G695" i="3" s="1"/>
  <c r="H694" i="3"/>
  <c r="G694" i="3" s="1"/>
  <c r="H693" i="3"/>
  <c r="G693" i="3" s="1"/>
  <c r="H692" i="3"/>
  <c r="G692" i="3" s="1"/>
  <c r="H691" i="3"/>
  <c r="G691" i="3" s="1"/>
  <c r="H690" i="3"/>
  <c r="G690" i="3" s="1"/>
  <c r="H689" i="3"/>
  <c r="G689" i="3" s="1"/>
  <c r="H688" i="3"/>
  <c r="G688" i="3" s="1"/>
  <c r="H687" i="3"/>
  <c r="G687" i="3" s="1"/>
  <c r="H686" i="3"/>
  <c r="G686" i="3" s="1"/>
  <c r="H685" i="3"/>
  <c r="G685" i="3" s="1"/>
  <c r="H684" i="3"/>
  <c r="G684" i="3" s="1"/>
  <c r="H683" i="3"/>
  <c r="G683" i="3" s="1"/>
  <c r="H682" i="3"/>
  <c r="G682" i="3" s="1"/>
  <c r="H681" i="3"/>
  <c r="G681" i="3" s="1"/>
  <c r="H680" i="3"/>
  <c r="G680" i="3" s="1"/>
  <c r="H679" i="3"/>
  <c r="G679" i="3" s="1"/>
  <c r="H678" i="3"/>
  <c r="G678" i="3" s="1"/>
  <c r="H677" i="3"/>
  <c r="G677" i="3" s="1"/>
  <c r="H676" i="3"/>
  <c r="G676" i="3" s="1"/>
  <c r="H675" i="3"/>
  <c r="G675" i="3" s="1"/>
  <c r="H674" i="3"/>
  <c r="G674" i="3" s="1"/>
  <c r="H673" i="3"/>
  <c r="G673" i="3" s="1"/>
  <c r="H672" i="3"/>
  <c r="G672" i="3" s="1"/>
  <c r="H671" i="3"/>
  <c r="G671" i="3" s="1"/>
  <c r="H670" i="3"/>
  <c r="G670" i="3" s="1"/>
  <c r="H669" i="3"/>
  <c r="G669" i="3" s="1"/>
  <c r="H668" i="3"/>
  <c r="G668" i="3" s="1"/>
  <c r="H667" i="3"/>
  <c r="G667" i="3" s="1"/>
  <c r="H666" i="3"/>
  <c r="G666" i="3" s="1"/>
  <c r="H665" i="3"/>
  <c r="G665" i="3" s="1"/>
  <c r="H664" i="3"/>
  <c r="G664" i="3" s="1"/>
  <c r="H663" i="3"/>
  <c r="G663" i="3" s="1"/>
  <c r="H662" i="3"/>
  <c r="G662" i="3" s="1"/>
  <c r="H661" i="3"/>
  <c r="G661" i="3" s="1"/>
  <c r="H660" i="3"/>
  <c r="G660" i="3" s="1"/>
  <c r="H659" i="3"/>
  <c r="G659" i="3" s="1"/>
  <c r="H658" i="3"/>
  <c r="G658" i="3" s="1"/>
  <c r="H657" i="3"/>
  <c r="G657" i="3" s="1"/>
  <c r="H656" i="3"/>
  <c r="G656" i="3" s="1"/>
  <c r="H655" i="3"/>
  <c r="G655" i="3" s="1"/>
  <c r="H654" i="3"/>
  <c r="G654" i="3" s="1"/>
  <c r="H653" i="3"/>
  <c r="G653" i="3" s="1"/>
  <c r="H652" i="3"/>
  <c r="G652" i="3" s="1"/>
  <c r="H651" i="3"/>
  <c r="G651" i="3" s="1"/>
  <c r="H650" i="3"/>
  <c r="G650" i="3" s="1"/>
  <c r="H649" i="3"/>
  <c r="G649" i="3" s="1"/>
  <c r="H648" i="3"/>
  <c r="G648" i="3" s="1"/>
  <c r="H647" i="3"/>
  <c r="G647" i="3" s="1"/>
  <c r="H646" i="3"/>
  <c r="G646" i="3" s="1"/>
  <c r="H645" i="3"/>
  <c r="G645" i="3" s="1"/>
  <c r="H644" i="3"/>
  <c r="G644" i="3" s="1"/>
  <c r="H643" i="3"/>
  <c r="G643" i="3" s="1"/>
  <c r="H642" i="3"/>
  <c r="G642" i="3" s="1"/>
  <c r="H641" i="3"/>
  <c r="G641" i="3" s="1"/>
  <c r="H640" i="3"/>
  <c r="G640" i="3" s="1"/>
  <c r="H639" i="3"/>
  <c r="G639" i="3" s="1"/>
  <c r="H638" i="3"/>
  <c r="G638" i="3" s="1"/>
  <c r="H637" i="3"/>
  <c r="G637" i="3" s="1"/>
  <c r="H636" i="3"/>
  <c r="G636" i="3" s="1"/>
  <c r="H635" i="3"/>
  <c r="G635" i="3" s="1"/>
  <c r="H634" i="3"/>
  <c r="G634" i="3" s="1"/>
  <c r="H629" i="3"/>
  <c r="G629" i="3" s="1"/>
  <c r="H628" i="3"/>
  <c r="G628" i="3" s="1"/>
  <c r="H627" i="3"/>
  <c r="G627" i="3" s="1"/>
  <c r="H626" i="3"/>
  <c r="G626" i="3" s="1"/>
  <c r="H625" i="3"/>
  <c r="G625" i="3" s="1"/>
  <c r="H624" i="3"/>
  <c r="G624" i="3" s="1"/>
  <c r="H623" i="3"/>
  <c r="G623" i="3" s="1"/>
  <c r="H622" i="3"/>
  <c r="G622" i="3" s="1"/>
  <c r="H621" i="3"/>
  <c r="G621" i="3" s="1"/>
  <c r="H620" i="3"/>
  <c r="G620" i="3" s="1"/>
  <c r="H619" i="3"/>
  <c r="G619" i="3" s="1"/>
  <c r="H618" i="3"/>
  <c r="G618" i="3" s="1"/>
  <c r="H617" i="3"/>
  <c r="G617" i="3" s="1"/>
  <c r="H616" i="3"/>
  <c r="G616" i="3" s="1"/>
  <c r="H615" i="3"/>
  <c r="G615" i="3" s="1"/>
  <c r="H614" i="3"/>
  <c r="G614" i="3" s="1"/>
  <c r="H613" i="3"/>
  <c r="G613" i="3" s="1"/>
  <c r="H612" i="3"/>
  <c r="G612" i="3" s="1"/>
  <c r="H611" i="3"/>
  <c r="G611" i="3" s="1"/>
  <c r="H610" i="3"/>
  <c r="G610" i="3" s="1"/>
  <c r="H609" i="3"/>
  <c r="G609" i="3" s="1"/>
  <c r="H608" i="3"/>
  <c r="G608" i="3" s="1"/>
  <c r="H607" i="3"/>
  <c r="G607" i="3" s="1"/>
  <c r="H606" i="3"/>
  <c r="G606" i="3" s="1"/>
  <c r="H605" i="3"/>
  <c r="G605" i="3" s="1"/>
  <c r="H604" i="3"/>
  <c r="G604" i="3" s="1"/>
  <c r="H603" i="3"/>
  <c r="G603" i="3" s="1"/>
  <c r="H602" i="3"/>
  <c r="G602" i="3" s="1"/>
  <c r="H601" i="3"/>
  <c r="G601" i="3" s="1"/>
  <c r="H600" i="3"/>
  <c r="G600" i="3" s="1"/>
  <c r="H599" i="3"/>
  <c r="G599" i="3" s="1"/>
  <c r="H595" i="3"/>
  <c r="G595" i="3" s="1"/>
  <c r="H594" i="3"/>
  <c r="G594" i="3" s="1"/>
  <c r="H593" i="3"/>
  <c r="G593" i="3" s="1"/>
  <c r="H592" i="3"/>
  <c r="G592" i="3" s="1"/>
  <c r="H591" i="3"/>
  <c r="G591" i="3" s="1"/>
  <c r="H590" i="3"/>
  <c r="G590" i="3" s="1"/>
  <c r="H589" i="3"/>
  <c r="G589" i="3" s="1"/>
  <c r="H588" i="3"/>
  <c r="G588" i="3" s="1"/>
  <c r="H587" i="3"/>
  <c r="G587" i="3" s="1"/>
  <c r="H586" i="3"/>
  <c r="G586" i="3" s="1"/>
  <c r="H585" i="3"/>
  <c r="G585" i="3" s="1"/>
  <c r="H584" i="3"/>
  <c r="G584" i="3" s="1"/>
  <c r="H583" i="3"/>
  <c r="G583" i="3" s="1"/>
  <c r="H582" i="3"/>
  <c r="G582" i="3" s="1"/>
  <c r="H581" i="3"/>
  <c r="G581" i="3" s="1"/>
  <c r="H580" i="3"/>
  <c r="G580" i="3" s="1"/>
  <c r="H579" i="3"/>
  <c r="G579" i="3" s="1"/>
  <c r="H578" i="3"/>
  <c r="G578" i="3" s="1"/>
  <c r="H577" i="3"/>
  <c r="G577" i="3" s="1"/>
  <c r="H576" i="3"/>
  <c r="G576" i="3" s="1"/>
  <c r="H575" i="3"/>
  <c r="G575" i="3" s="1"/>
  <c r="H574" i="3"/>
  <c r="G574" i="3" s="1"/>
  <c r="H573" i="3"/>
  <c r="G573" i="3" s="1"/>
  <c r="H572" i="3"/>
  <c r="G572" i="3" s="1"/>
  <c r="H571" i="3"/>
  <c r="G571" i="3" s="1"/>
  <c r="H570" i="3"/>
  <c r="G570" i="3" s="1"/>
  <c r="H569" i="3"/>
  <c r="G569" i="3" s="1"/>
  <c r="H568" i="3"/>
  <c r="G568" i="3" s="1"/>
  <c r="H567" i="3"/>
  <c r="G567" i="3" s="1"/>
  <c r="H566" i="3"/>
  <c r="G566" i="3" s="1"/>
  <c r="H565" i="3"/>
  <c r="G565" i="3" s="1"/>
  <c r="H564" i="3"/>
  <c r="G564" i="3" s="1"/>
  <c r="H563" i="3"/>
  <c r="G563" i="3" s="1"/>
  <c r="H562" i="3"/>
  <c r="G562" i="3" s="1"/>
  <c r="H561" i="3"/>
  <c r="G561" i="3" s="1"/>
  <c r="H560" i="3"/>
  <c r="G560" i="3" s="1"/>
  <c r="H559" i="3"/>
  <c r="G559" i="3" s="1"/>
  <c r="H558" i="3"/>
  <c r="G558" i="3" s="1"/>
  <c r="H557" i="3"/>
  <c r="G557" i="3" s="1"/>
  <c r="H556" i="3"/>
  <c r="G556" i="3" s="1"/>
  <c r="H555" i="3"/>
  <c r="G555" i="3" s="1"/>
  <c r="H554" i="3"/>
  <c r="G554" i="3" s="1"/>
  <c r="H553" i="3"/>
  <c r="G553" i="3" s="1"/>
  <c r="H552" i="3"/>
  <c r="G552" i="3" s="1"/>
  <c r="H551" i="3"/>
  <c r="G551" i="3" s="1"/>
  <c r="H547" i="3"/>
  <c r="G547" i="3" s="1"/>
  <c r="H546" i="3"/>
  <c r="G546" i="3" s="1"/>
  <c r="H545" i="3"/>
  <c r="G545" i="3" s="1"/>
  <c r="H544" i="3"/>
  <c r="G544" i="3" s="1"/>
  <c r="H465" i="3"/>
  <c r="G465" i="3" s="1"/>
  <c r="H464" i="3"/>
  <c r="G464" i="3" s="1"/>
  <c r="H463" i="3"/>
  <c r="G463" i="3" s="1"/>
  <c r="H462" i="3"/>
  <c r="G462" i="3" s="1"/>
  <c r="H461" i="3"/>
  <c r="G461" i="3" s="1"/>
  <c r="H458" i="3"/>
  <c r="G458" i="3" s="1"/>
  <c r="H457" i="3"/>
  <c r="G457" i="3" s="1"/>
  <c r="H456" i="3"/>
  <c r="G456" i="3" s="1"/>
  <c r="H455" i="3"/>
  <c r="G455" i="3" s="1"/>
  <c r="H454" i="3"/>
  <c r="G454" i="3" s="1"/>
  <c r="H453" i="3"/>
  <c r="G453" i="3" s="1"/>
  <c r="H452" i="3"/>
  <c r="G452" i="3" s="1"/>
  <c r="H451" i="3"/>
  <c r="G451" i="3" s="1"/>
  <c r="H450" i="3"/>
  <c r="G450" i="3" s="1"/>
  <c r="H449" i="3"/>
  <c r="G449" i="3" s="1"/>
  <c r="H448" i="3"/>
  <c r="G448" i="3" s="1"/>
  <c r="H447" i="3"/>
  <c r="G447" i="3" s="1"/>
  <c r="H446" i="3"/>
  <c r="G446" i="3" s="1"/>
  <c r="H445" i="3"/>
  <c r="G445" i="3" s="1"/>
  <c r="H444" i="3"/>
  <c r="G444" i="3" s="1"/>
  <c r="H443" i="3"/>
  <c r="G443" i="3" s="1"/>
  <c r="H442" i="3"/>
  <c r="G442" i="3" s="1"/>
  <c r="H441" i="3"/>
  <c r="G441" i="3" s="1"/>
  <c r="H440" i="3"/>
  <c r="G440" i="3" s="1"/>
  <c r="H439" i="3"/>
  <c r="G439" i="3" s="1"/>
  <c r="H435" i="3"/>
  <c r="G435" i="3" s="1"/>
  <c r="H434" i="3"/>
  <c r="G434" i="3" s="1"/>
  <c r="H433" i="3"/>
  <c r="G433" i="3" s="1"/>
  <c r="H432" i="3"/>
  <c r="G432" i="3" s="1"/>
  <c r="H431" i="3"/>
  <c r="G431" i="3" s="1"/>
  <c r="H430" i="3"/>
  <c r="G430" i="3" s="1"/>
  <c r="H429" i="3"/>
  <c r="G429" i="3" s="1"/>
  <c r="H428" i="3"/>
  <c r="G428" i="3" s="1"/>
  <c r="H427" i="3"/>
  <c r="G427" i="3" s="1"/>
  <c r="H426" i="3"/>
  <c r="G426" i="3" s="1"/>
  <c r="H425" i="3"/>
  <c r="G425" i="3" s="1"/>
  <c r="H424" i="3"/>
  <c r="G424" i="3" s="1"/>
  <c r="H423" i="3"/>
  <c r="G423" i="3" s="1"/>
  <c r="H422" i="3"/>
  <c r="G422" i="3" s="1"/>
  <c r="H421" i="3"/>
  <c r="G421" i="3" s="1"/>
  <c r="H416" i="3"/>
  <c r="G416" i="3" s="1"/>
  <c r="H415" i="3"/>
  <c r="G415" i="3" s="1"/>
  <c r="H414" i="3"/>
  <c r="G414" i="3" s="1"/>
  <c r="H413" i="3"/>
  <c r="G413" i="3" s="1"/>
  <c r="H412" i="3"/>
  <c r="G412" i="3" s="1"/>
  <c r="H411" i="3"/>
  <c r="G411" i="3" s="1"/>
  <c r="H410" i="3"/>
  <c r="G410" i="3" s="1"/>
  <c r="H409" i="3"/>
  <c r="G409" i="3" s="1"/>
  <c r="H408" i="3"/>
  <c r="G408" i="3" s="1"/>
  <c r="H407" i="3"/>
  <c r="G407" i="3" s="1"/>
  <c r="H406" i="3"/>
  <c r="G406" i="3" s="1"/>
  <c r="H405" i="3"/>
  <c r="G405" i="3" s="1"/>
  <c r="H404" i="3"/>
  <c r="G404" i="3" s="1"/>
  <c r="H403" i="3"/>
  <c r="G403" i="3" s="1"/>
  <c r="H402" i="3"/>
  <c r="G402" i="3" s="1"/>
  <c r="H401" i="3"/>
  <c r="G401" i="3" s="1"/>
  <c r="H400" i="3"/>
  <c r="G400" i="3" s="1"/>
  <c r="H399" i="3"/>
  <c r="G399" i="3" s="1"/>
  <c r="H398" i="3"/>
  <c r="G398" i="3" s="1"/>
  <c r="H397" i="3"/>
  <c r="G397" i="3" s="1"/>
  <c r="H396" i="3"/>
  <c r="G396" i="3" s="1"/>
  <c r="H395" i="3"/>
  <c r="G395" i="3" s="1"/>
  <c r="H394" i="3"/>
  <c r="G394" i="3" s="1"/>
  <c r="H393" i="3"/>
  <c r="G393" i="3" s="1"/>
  <c r="H392" i="3"/>
  <c r="G392" i="3" s="1"/>
  <c r="H391" i="3"/>
  <c r="G391" i="3" s="1"/>
  <c r="H390" i="3"/>
  <c r="G390" i="3" s="1"/>
  <c r="H389" i="3"/>
  <c r="G389" i="3" s="1"/>
  <c r="H388" i="3"/>
  <c r="G388" i="3" s="1"/>
  <c r="H387" i="3"/>
  <c r="G387" i="3" s="1"/>
  <c r="H382" i="3"/>
  <c r="G382" i="3" s="1"/>
  <c r="H381" i="3"/>
  <c r="G381" i="3" s="1"/>
  <c r="H380" i="3"/>
  <c r="G380" i="3" s="1"/>
  <c r="H379" i="3"/>
  <c r="G379" i="3" s="1"/>
  <c r="H378" i="3"/>
  <c r="G378" i="3" s="1"/>
  <c r="H377" i="3"/>
  <c r="G377" i="3" s="1"/>
  <c r="H376" i="3"/>
  <c r="G376" i="3" s="1"/>
  <c r="H375" i="3"/>
  <c r="G375" i="3" s="1"/>
  <c r="H374" i="3"/>
  <c r="G374" i="3" s="1"/>
  <c r="H373" i="3"/>
  <c r="G373" i="3" s="1"/>
  <c r="H372" i="3"/>
  <c r="G372" i="3" s="1"/>
  <c r="H371" i="3"/>
  <c r="G371" i="3" s="1"/>
  <c r="H370" i="3"/>
  <c r="G370" i="3" s="1"/>
  <c r="H369" i="3"/>
  <c r="G369" i="3" s="1"/>
  <c r="H368" i="3"/>
  <c r="G368" i="3" s="1"/>
  <c r="H367" i="3"/>
  <c r="G367" i="3" s="1"/>
  <c r="H366" i="3"/>
  <c r="G366" i="3" s="1"/>
  <c r="H365" i="3"/>
  <c r="G365" i="3" s="1"/>
  <c r="H364" i="3"/>
  <c r="G364" i="3" s="1"/>
  <c r="H363" i="3"/>
  <c r="G363" i="3" s="1"/>
  <c r="H362" i="3"/>
  <c r="G362" i="3" s="1"/>
  <c r="H361" i="3"/>
  <c r="G361" i="3" s="1"/>
  <c r="H360" i="3"/>
  <c r="G360" i="3" s="1"/>
  <c r="H359" i="3"/>
  <c r="G359" i="3" s="1"/>
  <c r="H358" i="3"/>
  <c r="G358" i="3" s="1"/>
  <c r="H357" i="3"/>
  <c r="G357" i="3" s="1"/>
  <c r="H356" i="3"/>
  <c r="G356" i="3" s="1"/>
  <c r="H355" i="3"/>
  <c r="G355" i="3" s="1"/>
  <c r="H354" i="3"/>
  <c r="G354" i="3" s="1"/>
  <c r="H353" i="3"/>
  <c r="G353" i="3" s="1"/>
  <c r="H352" i="3"/>
  <c r="G352" i="3" s="1"/>
  <c r="H351" i="3"/>
  <c r="G351" i="3" s="1"/>
  <c r="H350" i="3"/>
  <c r="G350" i="3" s="1"/>
  <c r="H349" i="3"/>
  <c r="G349" i="3" s="1"/>
  <c r="H348" i="3"/>
  <c r="G348" i="3" s="1"/>
  <c r="H347" i="3"/>
  <c r="G347" i="3" s="1"/>
  <c r="H346" i="3"/>
  <c r="G346" i="3" s="1"/>
  <c r="H345" i="3"/>
  <c r="G345" i="3" s="1"/>
  <c r="H344" i="3"/>
  <c r="G344" i="3" s="1"/>
  <c r="H343" i="3"/>
  <c r="G343" i="3" s="1"/>
  <c r="H342" i="3"/>
  <c r="G342" i="3" s="1"/>
  <c r="H341" i="3"/>
  <c r="G341" i="3" s="1"/>
  <c r="H340" i="3"/>
  <c r="G340" i="3" s="1"/>
  <c r="H339" i="3"/>
  <c r="G339" i="3" s="1"/>
  <c r="H338" i="3"/>
  <c r="G338" i="3" s="1"/>
  <c r="H337" i="3"/>
  <c r="G337" i="3" s="1"/>
  <c r="H336" i="3"/>
  <c r="G336" i="3" s="1"/>
  <c r="H335" i="3"/>
  <c r="G335" i="3" s="1"/>
  <c r="H334" i="3"/>
  <c r="G334" i="3" s="1"/>
  <c r="H333" i="3"/>
  <c r="G333" i="3" s="1"/>
  <c r="H332" i="3"/>
  <c r="G332" i="3" s="1"/>
  <c r="H331" i="3"/>
  <c r="G331" i="3" s="1"/>
  <c r="H330" i="3"/>
  <c r="G330" i="3" s="1"/>
  <c r="H329" i="3"/>
  <c r="G329" i="3" s="1"/>
  <c r="H328" i="3"/>
  <c r="G328" i="3" s="1"/>
  <c r="H327" i="3"/>
  <c r="G327" i="3" s="1"/>
  <c r="H326" i="3"/>
  <c r="G326" i="3" s="1"/>
  <c r="H325" i="3"/>
  <c r="G325" i="3" s="1"/>
  <c r="H324" i="3"/>
  <c r="G324" i="3" s="1"/>
  <c r="H323" i="3"/>
  <c r="G323" i="3" s="1"/>
  <c r="H322" i="3"/>
  <c r="G322" i="3" s="1"/>
  <c r="H321" i="3"/>
  <c r="G321" i="3" s="1"/>
  <c r="H320" i="3"/>
  <c r="G320" i="3" s="1"/>
  <c r="H319" i="3"/>
  <c r="G319" i="3" s="1"/>
  <c r="H318" i="3"/>
  <c r="G318" i="3" s="1"/>
  <c r="H317" i="3"/>
  <c r="G317" i="3" s="1"/>
  <c r="H310" i="3"/>
  <c r="G310" i="3" s="1"/>
  <c r="H309" i="3"/>
  <c r="G309" i="3" s="1"/>
  <c r="H308" i="3"/>
  <c r="G308" i="3" s="1"/>
  <c r="H307" i="3"/>
  <c r="G307" i="3" s="1"/>
  <c r="H306" i="3"/>
  <c r="G306" i="3" s="1"/>
  <c r="H305" i="3"/>
  <c r="G305" i="3" s="1"/>
  <c r="H304" i="3"/>
  <c r="G304" i="3" s="1"/>
  <c r="H303" i="3"/>
  <c r="G303" i="3" s="1"/>
  <c r="H302" i="3"/>
  <c r="G302" i="3" s="1"/>
  <c r="H301" i="3"/>
  <c r="G301" i="3" s="1"/>
  <c r="H300" i="3"/>
  <c r="G300" i="3" s="1"/>
  <c r="H299" i="3"/>
  <c r="G299" i="3" s="1"/>
  <c r="H298" i="3"/>
  <c r="G298" i="3" s="1"/>
  <c r="H297" i="3"/>
  <c r="G297" i="3" s="1"/>
  <c r="H296" i="3"/>
  <c r="G296" i="3" s="1"/>
  <c r="H295" i="3"/>
  <c r="G295" i="3" s="1"/>
  <c r="H294" i="3"/>
  <c r="G294" i="3" s="1"/>
  <c r="H293" i="3"/>
  <c r="G293" i="3" s="1"/>
  <c r="H292" i="3"/>
  <c r="G292" i="3" s="1"/>
  <c r="H291" i="3"/>
  <c r="G291" i="3" s="1"/>
  <c r="H290" i="3"/>
  <c r="G290" i="3" s="1"/>
  <c r="H289" i="3"/>
  <c r="G289" i="3" s="1"/>
  <c r="H288" i="3"/>
  <c r="G288" i="3" s="1"/>
  <c r="H287" i="3"/>
  <c r="G287" i="3" s="1"/>
  <c r="H286" i="3"/>
  <c r="G286" i="3" s="1"/>
  <c r="H285" i="3"/>
  <c r="G285" i="3" s="1"/>
  <c r="H284" i="3"/>
  <c r="G284" i="3" s="1"/>
  <c r="H283" i="3"/>
  <c r="G283" i="3" s="1"/>
  <c r="H282" i="3"/>
  <c r="G282" i="3" s="1"/>
  <c r="H281" i="3"/>
  <c r="G281" i="3" s="1"/>
  <c r="H280" i="3"/>
  <c r="G280" i="3" s="1"/>
  <c r="H279" i="3"/>
  <c r="G279" i="3" s="1"/>
  <c r="H278" i="3"/>
  <c r="G278" i="3" s="1"/>
  <c r="H277" i="3"/>
  <c r="G277" i="3" s="1"/>
  <c r="H276" i="3"/>
  <c r="G276" i="3" s="1"/>
  <c r="H275" i="3"/>
  <c r="G275" i="3" s="1"/>
  <c r="H274" i="3"/>
  <c r="G274" i="3" s="1"/>
  <c r="H273" i="3"/>
  <c r="G273" i="3" s="1"/>
  <c r="H272" i="3"/>
  <c r="G272" i="3" s="1"/>
  <c r="H271" i="3"/>
  <c r="G271" i="3" s="1"/>
  <c r="H270" i="3"/>
  <c r="G270" i="3" s="1"/>
  <c r="H269" i="3"/>
  <c r="G269" i="3" s="1"/>
  <c r="H268" i="3"/>
  <c r="G268" i="3" s="1"/>
  <c r="H267" i="3"/>
  <c r="G267" i="3" s="1"/>
  <c r="H266" i="3"/>
  <c r="G266" i="3" s="1"/>
  <c r="H265" i="3"/>
  <c r="G265" i="3" s="1"/>
  <c r="H264" i="3"/>
  <c r="G264" i="3" s="1"/>
  <c r="H263" i="3"/>
  <c r="G263" i="3" s="1"/>
  <c r="H262" i="3"/>
  <c r="G262" i="3" s="1"/>
  <c r="H261" i="3"/>
  <c r="G261" i="3" s="1"/>
  <c r="H260" i="3"/>
  <c r="G260" i="3" s="1"/>
  <c r="H259" i="3"/>
  <c r="G259" i="3" s="1"/>
  <c r="H258" i="3"/>
  <c r="G258" i="3" s="1"/>
  <c r="H257" i="3"/>
  <c r="G257" i="3" s="1"/>
  <c r="H256" i="3"/>
  <c r="G256" i="3" s="1"/>
  <c r="H255" i="3"/>
  <c r="G255" i="3" s="1"/>
  <c r="H254" i="3"/>
  <c r="G254" i="3" s="1"/>
  <c r="H253" i="3"/>
  <c r="G253" i="3" s="1"/>
  <c r="H252" i="3"/>
  <c r="G252" i="3" s="1"/>
  <c r="H251" i="3"/>
  <c r="G251" i="3" s="1"/>
  <c r="H250" i="3"/>
  <c r="G250" i="3" s="1"/>
  <c r="H249" i="3"/>
  <c r="G249" i="3" s="1"/>
  <c r="H248" i="3"/>
  <c r="G248" i="3" s="1"/>
  <c r="H247" i="3"/>
  <c r="G247" i="3" s="1"/>
  <c r="H246" i="3"/>
  <c r="G246" i="3" s="1"/>
  <c r="H245" i="3"/>
  <c r="G245" i="3" s="1"/>
  <c r="H244" i="3"/>
  <c r="G244" i="3" s="1"/>
  <c r="H243" i="3"/>
  <c r="G243" i="3" s="1"/>
  <c r="H242" i="3"/>
  <c r="G242" i="3" s="1"/>
  <c r="H241" i="3"/>
  <c r="G241" i="3" s="1"/>
  <c r="H240" i="3"/>
  <c r="G240" i="3" s="1"/>
  <c r="H239" i="3"/>
  <c r="G239" i="3" s="1"/>
  <c r="H238" i="3"/>
  <c r="G238" i="3" s="1"/>
  <c r="H237" i="3"/>
  <c r="G237" i="3" s="1"/>
  <c r="H236" i="3"/>
  <c r="G236" i="3" s="1"/>
  <c r="H235" i="3"/>
  <c r="G235" i="3" s="1"/>
  <c r="H234" i="3"/>
  <c r="G234" i="3" s="1"/>
  <c r="H233" i="3"/>
  <c r="G233" i="3" s="1"/>
  <c r="H232" i="3"/>
  <c r="G232" i="3" s="1"/>
  <c r="H231" i="3"/>
  <c r="G231" i="3" s="1"/>
  <c r="H230" i="3"/>
  <c r="G230" i="3" s="1"/>
  <c r="H229" i="3"/>
  <c r="G229" i="3" s="1"/>
  <c r="H228" i="3"/>
  <c r="G228" i="3" s="1"/>
  <c r="H227" i="3"/>
  <c r="G227" i="3" s="1"/>
  <c r="H226" i="3"/>
  <c r="G226" i="3" s="1"/>
  <c r="H225" i="3"/>
  <c r="G225" i="3" s="1"/>
  <c r="H224" i="3"/>
  <c r="G224" i="3" s="1"/>
  <c r="H223" i="3"/>
  <c r="G223" i="3" s="1"/>
  <c r="H222" i="3"/>
  <c r="G222" i="3" s="1"/>
  <c r="H221" i="3"/>
  <c r="G221" i="3" s="1"/>
  <c r="H220" i="3"/>
  <c r="G220" i="3" s="1"/>
  <c r="H216" i="3"/>
  <c r="G216" i="3" s="1"/>
  <c r="H215" i="3"/>
  <c r="G215" i="3" s="1"/>
  <c r="H214" i="3"/>
  <c r="G214" i="3" s="1"/>
  <c r="H213" i="3"/>
  <c r="G213" i="3" s="1"/>
  <c r="H212" i="3"/>
  <c r="G212" i="3" s="1"/>
  <c r="H211" i="3"/>
  <c r="G211" i="3" s="1"/>
  <c r="H210" i="3"/>
  <c r="G210" i="3" s="1"/>
  <c r="H209" i="3"/>
  <c r="G209" i="3" s="1"/>
  <c r="H208" i="3"/>
  <c r="G208" i="3" s="1"/>
  <c r="H207" i="3"/>
  <c r="G207" i="3" s="1"/>
  <c r="H206" i="3"/>
  <c r="G206" i="3" s="1"/>
  <c r="H205" i="3"/>
  <c r="G205" i="3" s="1"/>
  <c r="H204" i="3"/>
  <c r="G204" i="3" s="1"/>
  <c r="H203" i="3"/>
  <c r="G203" i="3" s="1"/>
  <c r="H202" i="3"/>
  <c r="G202" i="3" s="1"/>
  <c r="H201" i="3"/>
  <c r="G201" i="3" s="1"/>
  <c r="H200" i="3"/>
  <c r="G200" i="3" s="1"/>
  <c r="H199" i="3"/>
  <c r="G199" i="3" s="1"/>
  <c r="H198" i="3"/>
  <c r="G198" i="3" s="1"/>
  <c r="H197" i="3"/>
  <c r="G197" i="3" s="1"/>
  <c r="H196" i="3"/>
  <c r="G196" i="3" s="1"/>
  <c r="H195" i="3"/>
  <c r="G195" i="3" s="1"/>
  <c r="H194" i="3"/>
  <c r="G194" i="3" s="1"/>
  <c r="H193" i="3"/>
  <c r="G193" i="3" s="1"/>
  <c r="H192" i="3"/>
  <c r="G192" i="3" s="1"/>
  <c r="H191" i="3"/>
  <c r="G191" i="3" s="1"/>
  <c r="H190" i="3"/>
  <c r="G190" i="3" s="1"/>
  <c r="H189" i="3"/>
  <c r="G189" i="3" s="1"/>
  <c r="H188" i="3"/>
  <c r="G188" i="3" s="1"/>
  <c r="H187" i="3"/>
  <c r="G187" i="3" s="1"/>
  <c r="H186" i="3"/>
  <c r="G186" i="3" s="1"/>
  <c r="H185" i="3"/>
  <c r="G185" i="3" s="1"/>
  <c r="H184" i="3"/>
  <c r="G184" i="3" s="1"/>
  <c r="H183" i="3"/>
  <c r="G183" i="3" s="1"/>
  <c r="H182" i="3"/>
  <c r="G182" i="3" s="1"/>
  <c r="H181" i="3"/>
  <c r="G181" i="3" s="1"/>
  <c r="H180" i="3"/>
  <c r="G180" i="3" s="1"/>
  <c r="H179" i="3"/>
  <c r="G179" i="3" s="1"/>
  <c r="H178" i="3"/>
  <c r="G178" i="3" s="1"/>
  <c r="H177" i="3"/>
  <c r="G177" i="3" s="1"/>
  <c r="H176" i="3"/>
  <c r="G176" i="3" s="1"/>
  <c r="H175" i="3"/>
  <c r="G175" i="3" s="1"/>
  <c r="H174" i="3"/>
  <c r="G174" i="3" s="1"/>
  <c r="H173" i="3"/>
  <c r="G173" i="3" s="1"/>
  <c r="H172" i="3"/>
  <c r="G172" i="3" s="1"/>
  <c r="H171" i="3"/>
  <c r="G171" i="3" s="1"/>
  <c r="H170" i="3"/>
  <c r="G170" i="3" s="1"/>
  <c r="H169" i="3"/>
  <c r="G169" i="3" s="1"/>
  <c r="H168" i="3"/>
  <c r="G168" i="3" s="1"/>
  <c r="H167" i="3"/>
  <c r="G167" i="3" s="1"/>
  <c r="H166" i="3"/>
  <c r="G166" i="3" s="1"/>
  <c r="H165" i="3"/>
  <c r="G165" i="3" s="1"/>
  <c r="H161" i="3"/>
  <c r="G161" i="3" s="1"/>
  <c r="H160" i="3"/>
  <c r="G160" i="3" s="1"/>
  <c r="H159" i="3"/>
  <c r="G159" i="3" s="1"/>
  <c r="H158" i="3"/>
  <c r="G158" i="3" s="1"/>
  <c r="H157" i="3"/>
  <c r="G157" i="3" s="1"/>
  <c r="H156" i="3"/>
  <c r="G156" i="3" s="1"/>
  <c r="H155" i="3"/>
  <c r="G155" i="3" s="1"/>
  <c r="H154" i="3"/>
  <c r="G154" i="3" s="1"/>
  <c r="H153" i="3"/>
  <c r="G153" i="3" s="1"/>
  <c r="H152" i="3"/>
  <c r="G152" i="3" s="1"/>
  <c r="H151" i="3"/>
  <c r="G151" i="3" s="1"/>
  <c r="H150" i="3"/>
  <c r="G150" i="3" s="1"/>
  <c r="H149" i="3"/>
  <c r="G149" i="3" s="1"/>
  <c r="H148" i="3"/>
  <c r="G148" i="3" s="1"/>
  <c r="H147" i="3"/>
  <c r="G147" i="3" s="1"/>
  <c r="H146" i="3"/>
  <c r="G146" i="3" s="1"/>
  <c r="H145" i="3"/>
  <c r="G145" i="3" s="1"/>
  <c r="H144" i="3"/>
  <c r="G144" i="3" s="1"/>
  <c r="H143" i="3"/>
  <c r="G143" i="3" s="1"/>
  <c r="H142" i="3"/>
  <c r="G142" i="3" s="1"/>
  <c r="H141" i="3"/>
  <c r="G141" i="3" s="1"/>
  <c r="H140" i="3"/>
  <c r="G140" i="3" s="1"/>
  <c r="H139" i="3"/>
  <c r="G139" i="3" s="1"/>
  <c r="H138" i="3"/>
  <c r="G138" i="3" s="1"/>
  <c r="H135" i="3"/>
  <c r="G135" i="3" s="1"/>
  <c r="H134" i="3"/>
  <c r="G134" i="3" s="1"/>
  <c r="H133" i="3"/>
  <c r="G133" i="3" s="1"/>
  <c r="H132" i="3"/>
  <c r="G132" i="3" s="1"/>
  <c r="H131" i="3"/>
  <c r="G131" i="3" s="1"/>
  <c r="H130" i="3"/>
  <c r="G130" i="3" s="1"/>
  <c r="H129" i="3"/>
  <c r="G129" i="3" s="1"/>
  <c r="H128" i="3"/>
  <c r="G128" i="3" s="1"/>
  <c r="H127" i="3"/>
  <c r="G127" i="3" s="1"/>
  <c r="H126" i="3"/>
  <c r="G126" i="3" s="1"/>
  <c r="H125" i="3"/>
  <c r="G125" i="3" s="1"/>
  <c r="H124" i="3"/>
  <c r="G124" i="3" s="1"/>
  <c r="H123" i="3"/>
  <c r="G123" i="3" s="1"/>
  <c r="H122" i="3"/>
  <c r="G122" i="3" s="1"/>
  <c r="H121" i="3"/>
  <c r="G121" i="3" s="1"/>
  <c r="H120" i="3"/>
  <c r="G120" i="3" s="1"/>
  <c r="H119" i="3"/>
  <c r="G119" i="3" s="1"/>
  <c r="H118" i="3"/>
  <c r="G118" i="3" s="1"/>
  <c r="H117" i="3"/>
  <c r="G117" i="3" s="1"/>
  <c r="H116" i="3"/>
  <c r="G116" i="3" s="1"/>
  <c r="H115" i="3"/>
  <c r="G115" i="3" s="1"/>
  <c r="H114" i="3"/>
  <c r="G114" i="3" s="1"/>
  <c r="H113" i="3"/>
  <c r="G113" i="3" s="1"/>
  <c r="H112" i="3"/>
  <c r="G112" i="3" s="1"/>
  <c r="H111" i="3"/>
  <c r="G111" i="3" s="1"/>
  <c r="H110" i="3"/>
  <c r="G110" i="3" s="1"/>
  <c r="H109" i="3"/>
  <c r="G109" i="3" s="1"/>
  <c r="H108" i="3"/>
  <c r="G108" i="3" s="1"/>
  <c r="H107" i="3"/>
  <c r="G107" i="3" s="1"/>
  <c r="H106" i="3"/>
  <c r="G106" i="3" s="1"/>
  <c r="H105" i="3"/>
  <c r="G105" i="3" s="1"/>
  <c r="H104" i="3"/>
  <c r="G104" i="3" s="1"/>
  <c r="H103" i="3"/>
  <c r="G103" i="3" s="1"/>
  <c r="H102" i="3"/>
  <c r="G102" i="3" s="1"/>
  <c r="H101" i="3"/>
  <c r="G101" i="3" s="1"/>
  <c r="H100" i="3"/>
  <c r="G100" i="3" s="1"/>
  <c r="H99" i="3"/>
  <c r="G99" i="3" s="1"/>
  <c r="H98" i="3"/>
  <c r="G98" i="3" s="1"/>
  <c r="H97" i="3"/>
  <c r="G97" i="3" s="1"/>
  <c r="H96" i="3"/>
  <c r="G96" i="3" s="1"/>
  <c r="H95" i="3"/>
  <c r="G95" i="3" s="1"/>
  <c r="H94" i="3"/>
  <c r="G94" i="3" s="1"/>
  <c r="H93" i="3"/>
  <c r="G93" i="3" s="1"/>
  <c r="H92" i="3"/>
  <c r="G92" i="3" s="1"/>
  <c r="H91" i="3"/>
  <c r="G91" i="3" s="1"/>
  <c r="H90" i="3"/>
  <c r="G90" i="3" s="1"/>
  <c r="H89" i="3"/>
  <c r="G89" i="3" s="1"/>
  <c r="H88" i="3"/>
  <c r="G88" i="3" s="1"/>
  <c r="H87" i="3"/>
  <c r="G87" i="3" s="1"/>
  <c r="H86" i="3"/>
  <c r="G86" i="3" s="1"/>
  <c r="H85" i="3"/>
  <c r="G85" i="3" s="1"/>
  <c r="H84" i="3"/>
  <c r="G84" i="3" s="1"/>
  <c r="H83" i="3"/>
  <c r="G83" i="3" s="1"/>
  <c r="H82" i="3"/>
  <c r="G82" i="3" s="1"/>
  <c r="H81" i="3"/>
  <c r="G81" i="3" s="1"/>
  <c r="H80" i="3"/>
  <c r="G80" i="3" s="1"/>
  <c r="H79" i="3"/>
  <c r="G79" i="3" s="1"/>
  <c r="H78" i="3"/>
  <c r="G78" i="3" s="1"/>
  <c r="H77" i="3"/>
  <c r="G77" i="3" s="1"/>
  <c r="H76" i="3"/>
  <c r="G76" i="3" s="1"/>
  <c r="H75" i="3"/>
  <c r="G75" i="3" s="1"/>
  <c r="H74" i="3"/>
  <c r="G74" i="3" s="1"/>
  <c r="H73" i="3"/>
  <c r="G73" i="3" s="1"/>
  <c r="H72" i="3"/>
  <c r="G72" i="3" s="1"/>
  <c r="H71" i="3"/>
  <c r="G71" i="3" s="1"/>
  <c r="H70" i="3"/>
  <c r="G70" i="3" s="1"/>
  <c r="H69" i="3"/>
  <c r="G69" i="3" s="1"/>
  <c r="H58" i="3"/>
  <c r="G58" i="3" s="1"/>
  <c r="H57" i="3"/>
  <c r="G57" i="3" s="1"/>
  <c r="H56" i="3"/>
  <c r="G56" i="3" s="1"/>
  <c r="H55" i="3"/>
  <c r="G55" i="3" s="1"/>
  <c r="H54" i="3"/>
  <c r="G54" i="3" s="1"/>
  <c r="H53" i="3"/>
  <c r="G53" i="3" s="1"/>
  <c r="H52" i="3"/>
  <c r="G52" i="3" s="1"/>
  <c r="H48" i="3"/>
  <c r="G48" i="3" s="1"/>
  <c r="H47" i="3"/>
  <c r="G47" i="3" s="1"/>
  <c r="H46" i="3"/>
  <c r="G46" i="3" s="1"/>
  <c r="H45" i="3"/>
  <c r="G45" i="3" s="1"/>
  <c r="H44" i="3"/>
  <c r="G44" i="3" s="1"/>
  <c r="H43" i="3"/>
  <c r="G43" i="3" s="1"/>
  <c r="H42" i="3"/>
  <c r="G42" i="3" s="1"/>
  <c r="H41" i="3"/>
  <c r="G41" i="3" s="1"/>
  <c r="H40" i="3"/>
  <c r="G40" i="3" s="1"/>
  <c r="H39" i="3"/>
  <c r="G39" i="3" s="1"/>
  <c r="H38" i="3"/>
  <c r="G38" i="3" s="1"/>
  <c r="H37" i="3"/>
  <c r="G37" i="3" s="1"/>
  <c r="H36" i="3"/>
  <c r="G36" i="3" s="1"/>
  <c r="H35" i="3"/>
  <c r="G35" i="3" s="1"/>
  <c r="H34" i="3"/>
  <c r="G34" i="3" s="1"/>
  <c r="H30" i="3"/>
  <c r="G30" i="3" s="1"/>
  <c r="H29" i="3"/>
  <c r="G29" i="3" s="1"/>
  <c r="H28" i="3"/>
  <c r="G28" i="3" s="1"/>
  <c r="H27" i="3"/>
  <c r="G27" i="3" s="1"/>
  <c r="H26" i="3"/>
  <c r="G26" i="3" s="1"/>
  <c r="H25" i="3"/>
  <c r="G25" i="3" s="1"/>
  <c r="H24" i="3"/>
  <c r="G24" i="3" s="1"/>
  <c r="H23" i="3"/>
  <c r="G23" i="3" s="1"/>
  <c r="H22" i="3"/>
  <c r="G22" i="3" s="1"/>
  <c r="H21" i="3"/>
  <c r="G21" i="3" s="1"/>
  <c r="H20" i="3"/>
  <c r="G20" i="3" s="1"/>
  <c r="H19" i="3"/>
  <c r="G19" i="3" s="1"/>
  <c r="H18" i="3"/>
  <c r="G18" i="3" s="1"/>
  <c r="H17" i="3"/>
  <c r="G17" i="3" s="1"/>
  <c r="H16" i="3"/>
  <c r="G16" i="3" s="1"/>
  <c r="H15" i="3"/>
  <c r="G15" i="3" s="1"/>
  <c r="H14" i="3"/>
  <c r="G14" i="3" s="1"/>
  <c r="H13" i="3"/>
  <c r="G13" i="3" s="1"/>
  <c r="F1206" i="3"/>
  <c r="E1206" i="3" s="1"/>
  <c r="F1207" i="3"/>
  <c r="E1207" i="3" s="1"/>
  <c r="F1208" i="3"/>
  <c r="E1208" i="3" s="1"/>
  <c r="F1209" i="3"/>
  <c r="E1209" i="3" s="1"/>
  <c r="F1210" i="3"/>
  <c r="E1210" i="3" s="1"/>
  <c r="F1211" i="3"/>
  <c r="E1211" i="3" s="1"/>
  <c r="F1212" i="3"/>
  <c r="E1212" i="3" s="1"/>
  <c r="F1213" i="3"/>
  <c r="E1213" i="3" s="1"/>
  <c r="F1214" i="3"/>
  <c r="E1214" i="3" s="1"/>
  <c r="F1215" i="3"/>
  <c r="E1215" i="3" s="1"/>
  <c r="F1216" i="3"/>
  <c r="E1216" i="3" s="1"/>
  <c r="F1217" i="3"/>
  <c r="E1217" i="3" s="1"/>
  <c r="F1218" i="3"/>
  <c r="E1218" i="3" s="1"/>
  <c r="F1219" i="3"/>
  <c r="E1219" i="3" s="1"/>
  <c r="F1220" i="3"/>
  <c r="E1220" i="3" s="1"/>
  <c r="F1221" i="3"/>
  <c r="E1221" i="3" s="1"/>
  <c r="F1222" i="3"/>
  <c r="E1222" i="3" s="1"/>
  <c r="F1223" i="3"/>
  <c r="E1223" i="3" s="1"/>
  <c r="F1224" i="3"/>
  <c r="E1224" i="3" s="1"/>
  <c r="F1225" i="3"/>
  <c r="E1225" i="3" s="1"/>
  <c r="F1205" i="3"/>
  <c r="E1205" i="3" s="1"/>
  <c r="F1180" i="3"/>
  <c r="E1180" i="3" s="1"/>
  <c r="F1181" i="3"/>
  <c r="E1181" i="3" s="1"/>
  <c r="F1182" i="3"/>
  <c r="E1182" i="3" s="1"/>
  <c r="F1183" i="3"/>
  <c r="E1183" i="3" s="1"/>
  <c r="F1184" i="3"/>
  <c r="E1184" i="3" s="1"/>
  <c r="F1185" i="3"/>
  <c r="E1185" i="3" s="1"/>
  <c r="F1186" i="3"/>
  <c r="E1186" i="3" s="1"/>
  <c r="F1187" i="3"/>
  <c r="E1187" i="3" s="1"/>
  <c r="F1188" i="3"/>
  <c r="E1188" i="3" s="1"/>
  <c r="F1189" i="3"/>
  <c r="E1189" i="3" s="1"/>
  <c r="F1190" i="3"/>
  <c r="E1190" i="3" s="1"/>
  <c r="F1191" i="3"/>
  <c r="E1191" i="3" s="1"/>
  <c r="F1192" i="3"/>
  <c r="E1192" i="3" s="1"/>
  <c r="F1193" i="3"/>
  <c r="E1193" i="3" s="1"/>
  <c r="F1194" i="3"/>
  <c r="E1194" i="3" s="1"/>
  <c r="F1195" i="3"/>
  <c r="E1195" i="3" s="1"/>
  <c r="F1196" i="3"/>
  <c r="E1196" i="3" s="1"/>
  <c r="F1197" i="3"/>
  <c r="E1197" i="3" s="1"/>
  <c r="F1198" i="3"/>
  <c r="E1198" i="3" s="1"/>
  <c r="F1199" i="3"/>
  <c r="E1199" i="3" s="1"/>
  <c r="F1200" i="3"/>
  <c r="E1200" i="3" s="1"/>
  <c r="F1201" i="3"/>
  <c r="E1201" i="3" s="1"/>
  <c r="F1202" i="3"/>
  <c r="E1202" i="3" s="1"/>
  <c r="F1203" i="3"/>
  <c r="E1203" i="3" s="1"/>
  <c r="F1204" i="3"/>
  <c r="E1204" i="3" s="1"/>
  <c r="F1179" i="3"/>
  <c r="E1179" i="3" s="1"/>
  <c r="F1161" i="3"/>
  <c r="E1161" i="3" s="1"/>
  <c r="F1162" i="3"/>
  <c r="E1162" i="3" s="1"/>
  <c r="F1163" i="3"/>
  <c r="E1163" i="3" s="1"/>
  <c r="F1164" i="3"/>
  <c r="E1164" i="3" s="1"/>
  <c r="F1165" i="3"/>
  <c r="E1165" i="3" s="1"/>
  <c r="F1166" i="3"/>
  <c r="E1166" i="3" s="1"/>
  <c r="F1167" i="3"/>
  <c r="E1167" i="3" s="1"/>
  <c r="F1168" i="3"/>
  <c r="E1168" i="3" s="1"/>
  <c r="F1169" i="3"/>
  <c r="E1169" i="3" s="1"/>
  <c r="F1170" i="3"/>
  <c r="E1170" i="3" s="1"/>
  <c r="F1171" i="3"/>
  <c r="E1171" i="3" s="1"/>
  <c r="F1172" i="3"/>
  <c r="E1172" i="3" s="1"/>
  <c r="F1173" i="3"/>
  <c r="E1173" i="3" s="1"/>
  <c r="F1174" i="3"/>
  <c r="E1174" i="3" s="1"/>
  <c r="F1175" i="3"/>
  <c r="E1175" i="3" s="1"/>
  <c r="F1160" i="3"/>
  <c r="E1160" i="3" s="1"/>
  <c r="F1137" i="3"/>
  <c r="E1137" i="3" s="1"/>
  <c r="F1138" i="3"/>
  <c r="E1138" i="3" s="1"/>
  <c r="F1139" i="3"/>
  <c r="E1139" i="3" s="1"/>
  <c r="F1140" i="3"/>
  <c r="E1140" i="3" s="1"/>
  <c r="F1141" i="3"/>
  <c r="E1141" i="3" s="1"/>
  <c r="F1142" i="3"/>
  <c r="E1142" i="3" s="1"/>
  <c r="F1143" i="3"/>
  <c r="E1143" i="3" s="1"/>
  <c r="F1144" i="3"/>
  <c r="E1144" i="3" s="1"/>
  <c r="F1145" i="3"/>
  <c r="E1145" i="3" s="1"/>
  <c r="F1146" i="3"/>
  <c r="E1146" i="3" s="1"/>
  <c r="F1147" i="3"/>
  <c r="E1147" i="3" s="1"/>
  <c r="F1148" i="3"/>
  <c r="E1148" i="3" s="1"/>
  <c r="F1149" i="3"/>
  <c r="E1149" i="3" s="1"/>
  <c r="F1150" i="3"/>
  <c r="E1150" i="3" s="1"/>
  <c r="F1151" i="3"/>
  <c r="E1151" i="3" s="1"/>
  <c r="F1152" i="3"/>
  <c r="E1152" i="3" s="1"/>
  <c r="F1153" i="3"/>
  <c r="E1153" i="3" s="1"/>
  <c r="F1136" i="3"/>
  <c r="E1136" i="3" s="1"/>
  <c r="F1097" i="3"/>
  <c r="E1097" i="3" s="1"/>
  <c r="F1098" i="3"/>
  <c r="E1098" i="3" s="1"/>
  <c r="F1099" i="3"/>
  <c r="E1099" i="3" s="1"/>
  <c r="F1100" i="3"/>
  <c r="E1100" i="3" s="1"/>
  <c r="F1101" i="3"/>
  <c r="E1101" i="3" s="1"/>
  <c r="F1102" i="3"/>
  <c r="E1102" i="3" s="1"/>
  <c r="F1103" i="3"/>
  <c r="E1103" i="3" s="1"/>
  <c r="F1104" i="3"/>
  <c r="E1104" i="3" s="1"/>
  <c r="F1105" i="3"/>
  <c r="E1105" i="3" s="1"/>
  <c r="F1106" i="3"/>
  <c r="E1106" i="3" s="1"/>
  <c r="F1107" i="3"/>
  <c r="E1107" i="3" s="1"/>
  <c r="F1108" i="3"/>
  <c r="E1108" i="3" s="1"/>
  <c r="F1109" i="3"/>
  <c r="E1109" i="3" s="1"/>
  <c r="F1110" i="3"/>
  <c r="E1110" i="3" s="1"/>
  <c r="F1111" i="3"/>
  <c r="E1111" i="3" s="1"/>
  <c r="F1112" i="3"/>
  <c r="E1112" i="3" s="1"/>
  <c r="F1113" i="3"/>
  <c r="E1113" i="3" s="1"/>
  <c r="F1114" i="3"/>
  <c r="E1114" i="3" s="1"/>
  <c r="F1115" i="3"/>
  <c r="E1115" i="3" s="1"/>
  <c r="F1116" i="3"/>
  <c r="E1116" i="3" s="1"/>
  <c r="F1117" i="3"/>
  <c r="E1117" i="3" s="1"/>
  <c r="F1118" i="3"/>
  <c r="E1118" i="3" s="1"/>
  <c r="F1119" i="3"/>
  <c r="E1119" i="3" s="1"/>
  <c r="F1120" i="3"/>
  <c r="E1120" i="3" s="1"/>
  <c r="F1121" i="3"/>
  <c r="E1121" i="3" s="1"/>
  <c r="F1122" i="3"/>
  <c r="E1122" i="3" s="1"/>
  <c r="F1123" i="3"/>
  <c r="E1123" i="3" s="1"/>
  <c r="F1124" i="3"/>
  <c r="E1124" i="3" s="1"/>
  <c r="F1125" i="3"/>
  <c r="E1125" i="3" s="1"/>
  <c r="F1126" i="3"/>
  <c r="E1126" i="3" s="1"/>
  <c r="F1127" i="3"/>
  <c r="E1127" i="3" s="1"/>
  <c r="F1128" i="3"/>
  <c r="E1128" i="3" s="1"/>
  <c r="F1129" i="3"/>
  <c r="E1129" i="3" s="1"/>
  <c r="F1130" i="3"/>
  <c r="E1130" i="3" s="1"/>
  <c r="F1131" i="3"/>
  <c r="E1131" i="3" s="1"/>
  <c r="F1132" i="3"/>
  <c r="E1132" i="3" s="1"/>
  <c r="F1133" i="3"/>
  <c r="E1133" i="3" s="1"/>
  <c r="F1134" i="3"/>
  <c r="E1134" i="3" s="1"/>
  <c r="F1135" i="3"/>
  <c r="E1135" i="3" s="1"/>
  <c r="F1096" i="3"/>
  <c r="E1096" i="3" s="1"/>
  <c r="F1085" i="3"/>
  <c r="E1085" i="3" s="1"/>
  <c r="F1086" i="3"/>
  <c r="E1086" i="3" s="1"/>
  <c r="F1087" i="3"/>
  <c r="E1087" i="3" s="1"/>
  <c r="F1088" i="3"/>
  <c r="E1088" i="3" s="1"/>
  <c r="F1089" i="3"/>
  <c r="E1089" i="3" s="1"/>
  <c r="F1090" i="3"/>
  <c r="E1090" i="3" s="1"/>
  <c r="F1084" i="3"/>
  <c r="E1084" i="3" s="1"/>
  <c r="F1069" i="3"/>
  <c r="E1069" i="3" s="1"/>
  <c r="F1070" i="3"/>
  <c r="E1070" i="3" s="1"/>
  <c r="F1071" i="3"/>
  <c r="E1071" i="3" s="1"/>
  <c r="F1072" i="3"/>
  <c r="E1072" i="3" s="1"/>
  <c r="F1073" i="3"/>
  <c r="E1073" i="3" s="1"/>
  <c r="F1074" i="3"/>
  <c r="E1074" i="3" s="1"/>
  <c r="F1075" i="3"/>
  <c r="E1075" i="3" s="1"/>
  <c r="F1076" i="3"/>
  <c r="E1076" i="3" s="1"/>
  <c r="F1077" i="3"/>
  <c r="E1077" i="3" s="1"/>
  <c r="F1078" i="3"/>
  <c r="E1078" i="3" s="1"/>
  <c r="F1079" i="3"/>
  <c r="E1079" i="3" s="1"/>
  <c r="F1080" i="3"/>
  <c r="E1080" i="3" s="1"/>
  <c r="F1068" i="3"/>
  <c r="E1068" i="3" s="1"/>
  <c r="F1065" i="3"/>
  <c r="E1065" i="3" s="1"/>
  <c r="F1066" i="3"/>
  <c r="E1066" i="3" s="1"/>
  <c r="F1067" i="3"/>
  <c r="E1067" i="3" s="1"/>
  <c r="F1064" i="3"/>
  <c r="E1064" i="3" s="1"/>
  <c r="F1007" i="3"/>
  <c r="E1007" i="3" s="1"/>
  <c r="F1008" i="3"/>
  <c r="E1008" i="3" s="1"/>
  <c r="F1009" i="3"/>
  <c r="E1009" i="3" s="1"/>
  <c r="F1010" i="3"/>
  <c r="E1010" i="3" s="1"/>
  <c r="F1011" i="3"/>
  <c r="E1011" i="3" s="1"/>
  <c r="F1012" i="3"/>
  <c r="E1012" i="3" s="1"/>
  <c r="F1013" i="3"/>
  <c r="E1013" i="3" s="1"/>
  <c r="F1014" i="3"/>
  <c r="E1014" i="3" s="1"/>
  <c r="F1015" i="3"/>
  <c r="E1015" i="3" s="1"/>
  <c r="F1016" i="3"/>
  <c r="E1016" i="3" s="1"/>
  <c r="F1017" i="3"/>
  <c r="E1017" i="3" s="1"/>
  <c r="F1018" i="3"/>
  <c r="E1018" i="3" s="1"/>
  <c r="F1019" i="3"/>
  <c r="E1019" i="3" s="1"/>
  <c r="F1020" i="3"/>
  <c r="E1020" i="3" s="1"/>
  <c r="F1021" i="3"/>
  <c r="E1021" i="3" s="1"/>
  <c r="F1022" i="3"/>
  <c r="E1022" i="3" s="1"/>
  <c r="F1023" i="3"/>
  <c r="E1023" i="3" s="1"/>
  <c r="F1024" i="3"/>
  <c r="E1024" i="3" s="1"/>
  <c r="F1025" i="3"/>
  <c r="E1025" i="3" s="1"/>
  <c r="F1026" i="3"/>
  <c r="E1026" i="3" s="1"/>
  <c r="F1027" i="3"/>
  <c r="E1027" i="3" s="1"/>
  <c r="F1028" i="3"/>
  <c r="E1028" i="3" s="1"/>
  <c r="F1029" i="3"/>
  <c r="E1029" i="3" s="1"/>
  <c r="F1030" i="3"/>
  <c r="E1030" i="3" s="1"/>
  <c r="F1031" i="3"/>
  <c r="E1031" i="3" s="1"/>
  <c r="F1032" i="3"/>
  <c r="E1032" i="3" s="1"/>
  <c r="F1033" i="3"/>
  <c r="E1033" i="3" s="1"/>
  <c r="F1034" i="3"/>
  <c r="E1034" i="3" s="1"/>
  <c r="F1035" i="3"/>
  <c r="E1035" i="3" s="1"/>
  <c r="F1036" i="3"/>
  <c r="E1036" i="3" s="1"/>
  <c r="F1037" i="3"/>
  <c r="E1037" i="3" s="1"/>
  <c r="F1038" i="3"/>
  <c r="E1038" i="3" s="1"/>
  <c r="F1039" i="3"/>
  <c r="E1039" i="3" s="1"/>
  <c r="F1040" i="3"/>
  <c r="E1040" i="3" s="1"/>
  <c r="F1041" i="3"/>
  <c r="E1041" i="3" s="1"/>
  <c r="F1042" i="3"/>
  <c r="E1042" i="3" s="1"/>
  <c r="F1043" i="3"/>
  <c r="E1043" i="3" s="1"/>
  <c r="F1044" i="3"/>
  <c r="E1044" i="3" s="1"/>
  <c r="F1045" i="3"/>
  <c r="E1045" i="3" s="1"/>
  <c r="F1046" i="3"/>
  <c r="E1046" i="3" s="1"/>
  <c r="F1047" i="3"/>
  <c r="E1047" i="3" s="1"/>
  <c r="F1048" i="3"/>
  <c r="E1048" i="3" s="1"/>
  <c r="F1049" i="3"/>
  <c r="E1049" i="3" s="1"/>
  <c r="F1050" i="3"/>
  <c r="E1050" i="3" s="1"/>
  <c r="F1051" i="3"/>
  <c r="E1051" i="3" s="1"/>
  <c r="F1052" i="3"/>
  <c r="E1052" i="3" s="1"/>
  <c r="F1053" i="3"/>
  <c r="E1053" i="3" s="1"/>
  <c r="F1054" i="3"/>
  <c r="E1054" i="3" s="1"/>
  <c r="F1055" i="3"/>
  <c r="E1055" i="3" s="1"/>
  <c r="F1056" i="3"/>
  <c r="E1056" i="3" s="1"/>
  <c r="F1057" i="3"/>
  <c r="E1057" i="3" s="1"/>
  <c r="F1058" i="3"/>
  <c r="E1058" i="3" s="1"/>
  <c r="F1059" i="3"/>
  <c r="E1059" i="3" s="1"/>
  <c r="F1060" i="3"/>
  <c r="E1060" i="3" s="1"/>
  <c r="F1006" i="3"/>
  <c r="E1006" i="3" s="1"/>
  <c r="F999" i="3"/>
  <c r="E999" i="3" s="1"/>
  <c r="F945" i="3"/>
  <c r="E945" i="3" s="1"/>
  <c r="F946" i="3"/>
  <c r="E946" i="3" s="1"/>
  <c r="F947" i="3"/>
  <c r="E947" i="3" s="1"/>
  <c r="F948" i="3"/>
  <c r="E948" i="3" s="1"/>
  <c r="F949" i="3"/>
  <c r="E949" i="3" s="1"/>
  <c r="F950" i="3"/>
  <c r="E950" i="3" s="1"/>
  <c r="F951" i="3"/>
  <c r="E951" i="3" s="1"/>
  <c r="F952" i="3"/>
  <c r="E952" i="3" s="1"/>
  <c r="F953" i="3"/>
  <c r="E953" i="3" s="1"/>
  <c r="F954" i="3"/>
  <c r="E954" i="3" s="1"/>
  <c r="F955" i="3"/>
  <c r="E955" i="3" s="1"/>
  <c r="F956" i="3"/>
  <c r="E956" i="3" s="1"/>
  <c r="F957" i="3"/>
  <c r="E957" i="3" s="1"/>
  <c r="F958" i="3"/>
  <c r="E958" i="3" s="1"/>
  <c r="F959" i="3"/>
  <c r="E959" i="3" s="1"/>
  <c r="F960" i="3"/>
  <c r="E960" i="3" s="1"/>
  <c r="F961" i="3"/>
  <c r="E961" i="3" s="1"/>
  <c r="F962" i="3"/>
  <c r="E962" i="3" s="1"/>
  <c r="F963" i="3"/>
  <c r="E963" i="3" s="1"/>
  <c r="F964" i="3"/>
  <c r="E964" i="3" s="1"/>
  <c r="F965" i="3"/>
  <c r="E965" i="3" s="1"/>
  <c r="F966" i="3"/>
  <c r="E966" i="3" s="1"/>
  <c r="F967" i="3"/>
  <c r="E967" i="3" s="1"/>
  <c r="F968" i="3"/>
  <c r="E968" i="3" s="1"/>
  <c r="F969" i="3"/>
  <c r="E969" i="3" s="1"/>
  <c r="F970" i="3"/>
  <c r="E970" i="3" s="1"/>
  <c r="F971" i="3"/>
  <c r="E971" i="3" s="1"/>
  <c r="F972" i="3"/>
  <c r="E972" i="3" s="1"/>
  <c r="F973" i="3"/>
  <c r="E973" i="3" s="1"/>
  <c r="F974" i="3"/>
  <c r="E974" i="3" s="1"/>
  <c r="F975" i="3"/>
  <c r="E975" i="3" s="1"/>
  <c r="F976" i="3"/>
  <c r="E976" i="3" s="1"/>
  <c r="F977" i="3"/>
  <c r="E977" i="3" s="1"/>
  <c r="F978" i="3"/>
  <c r="E978" i="3" s="1"/>
  <c r="F979" i="3"/>
  <c r="E979" i="3" s="1"/>
  <c r="F980" i="3"/>
  <c r="E980" i="3" s="1"/>
  <c r="F981" i="3"/>
  <c r="E981" i="3" s="1"/>
  <c r="F982" i="3"/>
  <c r="E982" i="3" s="1"/>
  <c r="F983" i="3"/>
  <c r="E983" i="3" s="1"/>
  <c r="F984" i="3"/>
  <c r="E984" i="3" s="1"/>
  <c r="F985" i="3"/>
  <c r="E985" i="3" s="1"/>
  <c r="F986" i="3"/>
  <c r="E986" i="3" s="1"/>
  <c r="F987" i="3"/>
  <c r="E987" i="3" s="1"/>
  <c r="F988" i="3"/>
  <c r="E988" i="3" s="1"/>
  <c r="F989" i="3"/>
  <c r="E989" i="3" s="1"/>
  <c r="F990" i="3"/>
  <c r="E990" i="3" s="1"/>
  <c r="F991" i="3"/>
  <c r="E991" i="3" s="1"/>
  <c r="F992" i="3"/>
  <c r="E992" i="3" s="1"/>
  <c r="F993" i="3"/>
  <c r="E993" i="3" s="1"/>
  <c r="F994" i="3"/>
  <c r="E994" i="3" s="1"/>
  <c r="F995" i="3"/>
  <c r="E995" i="3" s="1"/>
  <c r="F996" i="3"/>
  <c r="E996" i="3" s="1"/>
  <c r="F997" i="3"/>
  <c r="E997" i="3" s="1"/>
  <c r="F998" i="3"/>
  <c r="E998" i="3" s="1"/>
  <c r="F944" i="3"/>
  <c r="E944" i="3" s="1"/>
  <c r="F934" i="3"/>
  <c r="E934" i="3" s="1"/>
  <c r="F935" i="3"/>
  <c r="E935" i="3" s="1"/>
  <c r="F936" i="3"/>
  <c r="E936" i="3" s="1"/>
  <c r="F937" i="3"/>
  <c r="E937" i="3" s="1"/>
  <c r="F933" i="3"/>
  <c r="E933" i="3" s="1"/>
  <c r="F874" i="3"/>
  <c r="E874" i="3" s="1"/>
  <c r="F875" i="3"/>
  <c r="E875" i="3" s="1"/>
  <c r="F876" i="3"/>
  <c r="E876" i="3" s="1"/>
  <c r="F877" i="3"/>
  <c r="E877" i="3" s="1"/>
  <c r="F878" i="3"/>
  <c r="E878" i="3" s="1"/>
  <c r="F879" i="3"/>
  <c r="E879" i="3" s="1"/>
  <c r="F880" i="3"/>
  <c r="E880" i="3" s="1"/>
  <c r="F881" i="3"/>
  <c r="E881" i="3" s="1"/>
  <c r="F882" i="3"/>
  <c r="E882" i="3" s="1"/>
  <c r="F883" i="3"/>
  <c r="E883" i="3" s="1"/>
  <c r="F884" i="3"/>
  <c r="E884" i="3" s="1"/>
  <c r="F885" i="3"/>
  <c r="E885" i="3" s="1"/>
  <c r="F886" i="3"/>
  <c r="E886" i="3" s="1"/>
  <c r="F887" i="3"/>
  <c r="E887" i="3" s="1"/>
  <c r="F888" i="3"/>
  <c r="E888" i="3" s="1"/>
  <c r="F889" i="3"/>
  <c r="E889" i="3" s="1"/>
  <c r="F890" i="3"/>
  <c r="E890" i="3" s="1"/>
  <c r="F891" i="3"/>
  <c r="E891" i="3" s="1"/>
  <c r="F892" i="3"/>
  <c r="E892" i="3" s="1"/>
  <c r="F893" i="3"/>
  <c r="E893" i="3" s="1"/>
  <c r="F894" i="3"/>
  <c r="E894" i="3" s="1"/>
  <c r="F895" i="3"/>
  <c r="E895" i="3" s="1"/>
  <c r="F896" i="3"/>
  <c r="E896" i="3" s="1"/>
  <c r="F897" i="3"/>
  <c r="E897" i="3" s="1"/>
  <c r="F898" i="3"/>
  <c r="E898" i="3" s="1"/>
  <c r="F899" i="3"/>
  <c r="E899" i="3" s="1"/>
  <c r="F900" i="3"/>
  <c r="E900" i="3" s="1"/>
  <c r="F901" i="3"/>
  <c r="E901" i="3" s="1"/>
  <c r="F902" i="3"/>
  <c r="E902" i="3" s="1"/>
  <c r="F903" i="3"/>
  <c r="E903" i="3" s="1"/>
  <c r="F904" i="3"/>
  <c r="E904" i="3" s="1"/>
  <c r="F905" i="3"/>
  <c r="E905" i="3" s="1"/>
  <c r="F906" i="3"/>
  <c r="E906" i="3" s="1"/>
  <c r="F907" i="3"/>
  <c r="E907" i="3" s="1"/>
  <c r="F908" i="3"/>
  <c r="E908" i="3" s="1"/>
  <c r="F909" i="3"/>
  <c r="E909" i="3" s="1"/>
  <c r="F910" i="3"/>
  <c r="E910" i="3" s="1"/>
  <c r="F911" i="3"/>
  <c r="E911" i="3" s="1"/>
  <c r="F912" i="3"/>
  <c r="E912" i="3" s="1"/>
  <c r="F913" i="3"/>
  <c r="E913" i="3" s="1"/>
  <c r="F914" i="3"/>
  <c r="E914" i="3" s="1"/>
  <c r="F915" i="3"/>
  <c r="E915" i="3" s="1"/>
  <c r="F916" i="3"/>
  <c r="E916" i="3" s="1"/>
  <c r="F917" i="3"/>
  <c r="E917" i="3" s="1"/>
  <c r="F918" i="3"/>
  <c r="E918" i="3" s="1"/>
  <c r="F919" i="3"/>
  <c r="E919" i="3" s="1"/>
  <c r="F920" i="3"/>
  <c r="E920" i="3" s="1"/>
  <c r="F921" i="3"/>
  <c r="E921" i="3" s="1"/>
  <c r="F922" i="3"/>
  <c r="E922" i="3" s="1"/>
  <c r="F923" i="3"/>
  <c r="E923" i="3" s="1"/>
  <c r="F924" i="3"/>
  <c r="E924" i="3" s="1"/>
  <c r="F925" i="3"/>
  <c r="E925" i="3" s="1"/>
  <c r="F926" i="3"/>
  <c r="E926" i="3" s="1"/>
  <c r="F927" i="3"/>
  <c r="E927" i="3" s="1"/>
  <c r="F928" i="3"/>
  <c r="E928" i="3" s="1"/>
  <c r="F929" i="3"/>
  <c r="E929" i="3" s="1"/>
  <c r="F930" i="3"/>
  <c r="E930" i="3" s="1"/>
  <c r="F931" i="3"/>
  <c r="E931" i="3" s="1"/>
  <c r="F932" i="3"/>
  <c r="E932" i="3" s="1"/>
  <c r="F873" i="3"/>
  <c r="E873" i="3" s="1"/>
  <c r="F853" i="3"/>
  <c r="E853" i="3" s="1"/>
  <c r="F854" i="3"/>
  <c r="E854" i="3" s="1"/>
  <c r="F855" i="3"/>
  <c r="E855" i="3" s="1"/>
  <c r="F856" i="3"/>
  <c r="E856" i="3" s="1"/>
  <c r="F857" i="3"/>
  <c r="E857" i="3" s="1"/>
  <c r="F858" i="3"/>
  <c r="E858" i="3" s="1"/>
  <c r="F859" i="3"/>
  <c r="E859" i="3" s="1"/>
  <c r="F860" i="3"/>
  <c r="E860" i="3" s="1"/>
  <c r="F861" i="3"/>
  <c r="E861" i="3" s="1"/>
  <c r="F862" i="3"/>
  <c r="E862" i="3" s="1"/>
  <c r="F863" i="3"/>
  <c r="E863" i="3" s="1"/>
  <c r="F864" i="3"/>
  <c r="E864" i="3" s="1"/>
  <c r="F865" i="3"/>
  <c r="E865" i="3" s="1"/>
  <c r="F866" i="3"/>
  <c r="E866" i="3" s="1"/>
  <c r="F867" i="3"/>
  <c r="E867" i="3" s="1"/>
  <c r="F868" i="3"/>
  <c r="E868" i="3" s="1"/>
  <c r="F869" i="3"/>
  <c r="E869" i="3" s="1"/>
  <c r="F870" i="3"/>
  <c r="E870" i="3" s="1"/>
  <c r="F871" i="3"/>
  <c r="E871" i="3" s="1"/>
  <c r="F872" i="3"/>
  <c r="E872" i="3" s="1"/>
  <c r="F852" i="3"/>
  <c r="E852" i="3" s="1"/>
  <c r="F809" i="3"/>
  <c r="E809" i="3" s="1"/>
  <c r="F810" i="3"/>
  <c r="E810" i="3" s="1"/>
  <c r="F811" i="3"/>
  <c r="E811" i="3" s="1"/>
  <c r="F812" i="3"/>
  <c r="E812" i="3" s="1"/>
  <c r="F813" i="3"/>
  <c r="E813" i="3" s="1"/>
  <c r="F814" i="3"/>
  <c r="E814" i="3" s="1"/>
  <c r="F815" i="3"/>
  <c r="E815" i="3" s="1"/>
  <c r="F816" i="3"/>
  <c r="E816" i="3" s="1"/>
  <c r="F817" i="3"/>
  <c r="E817" i="3" s="1"/>
  <c r="F818" i="3"/>
  <c r="E818" i="3" s="1"/>
  <c r="F819" i="3"/>
  <c r="E819" i="3" s="1"/>
  <c r="F820" i="3"/>
  <c r="E820" i="3" s="1"/>
  <c r="F821" i="3"/>
  <c r="E821" i="3" s="1"/>
  <c r="F822" i="3"/>
  <c r="E822" i="3" s="1"/>
  <c r="F823" i="3"/>
  <c r="E823" i="3" s="1"/>
  <c r="F824" i="3"/>
  <c r="E824" i="3" s="1"/>
  <c r="F825" i="3"/>
  <c r="E825" i="3" s="1"/>
  <c r="F826" i="3"/>
  <c r="E826" i="3" s="1"/>
  <c r="F827" i="3"/>
  <c r="E827" i="3" s="1"/>
  <c r="F828" i="3"/>
  <c r="E828" i="3" s="1"/>
  <c r="F829" i="3"/>
  <c r="E829" i="3" s="1"/>
  <c r="F830" i="3"/>
  <c r="E830" i="3" s="1"/>
  <c r="F831" i="3"/>
  <c r="E831" i="3" s="1"/>
  <c r="F832" i="3"/>
  <c r="E832" i="3" s="1"/>
  <c r="F833" i="3"/>
  <c r="E833" i="3" s="1"/>
  <c r="F834" i="3"/>
  <c r="E834" i="3" s="1"/>
  <c r="F835" i="3"/>
  <c r="E835" i="3" s="1"/>
  <c r="F836" i="3"/>
  <c r="E836" i="3" s="1"/>
  <c r="F837" i="3"/>
  <c r="E837" i="3" s="1"/>
  <c r="F838" i="3"/>
  <c r="E838" i="3" s="1"/>
  <c r="F839" i="3"/>
  <c r="E839" i="3" s="1"/>
  <c r="F840" i="3"/>
  <c r="E840" i="3" s="1"/>
  <c r="F841" i="3"/>
  <c r="E841" i="3" s="1"/>
  <c r="F842" i="3"/>
  <c r="E842" i="3" s="1"/>
  <c r="F843" i="3"/>
  <c r="E843" i="3" s="1"/>
  <c r="F844" i="3"/>
  <c r="E844" i="3" s="1"/>
  <c r="F845" i="3"/>
  <c r="E845" i="3" s="1"/>
  <c r="F808" i="3"/>
  <c r="E808" i="3" s="1"/>
  <c r="F800" i="3"/>
  <c r="E800" i="3" s="1"/>
  <c r="F789" i="3"/>
  <c r="E789" i="3" s="1"/>
  <c r="F790" i="3"/>
  <c r="E790" i="3" s="1"/>
  <c r="F791" i="3"/>
  <c r="E791" i="3" s="1"/>
  <c r="F792" i="3"/>
  <c r="E792" i="3" s="1"/>
  <c r="F793" i="3"/>
  <c r="E793" i="3" s="1"/>
  <c r="F794" i="3"/>
  <c r="E794" i="3" s="1"/>
  <c r="F795" i="3"/>
  <c r="E795" i="3" s="1"/>
  <c r="F796" i="3"/>
  <c r="E796" i="3" s="1"/>
  <c r="F797" i="3"/>
  <c r="E797" i="3" s="1"/>
  <c r="F798" i="3"/>
  <c r="E798" i="3" s="1"/>
  <c r="F799" i="3"/>
  <c r="E799" i="3" s="1"/>
  <c r="F788" i="3"/>
  <c r="E788" i="3" s="1"/>
  <c r="F777" i="3"/>
  <c r="E777" i="3" s="1"/>
  <c r="F778" i="3"/>
  <c r="E778" i="3" s="1"/>
  <c r="F779" i="3"/>
  <c r="E779" i="3" s="1"/>
  <c r="F780" i="3"/>
  <c r="E780" i="3" s="1"/>
  <c r="F781" i="3"/>
  <c r="E781" i="3" s="1"/>
  <c r="F782" i="3"/>
  <c r="E782" i="3" s="1"/>
  <c r="F776" i="3"/>
  <c r="E776" i="3" s="1"/>
  <c r="F757" i="3"/>
  <c r="E757" i="3" s="1"/>
  <c r="F758" i="3"/>
  <c r="E758" i="3" s="1"/>
  <c r="F759" i="3"/>
  <c r="E759" i="3" s="1"/>
  <c r="F760" i="3"/>
  <c r="E760" i="3" s="1"/>
  <c r="F761" i="3"/>
  <c r="E761" i="3" s="1"/>
  <c r="F762" i="3"/>
  <c r="E762" i="3" s="1"/>
  <c r="F763" i="3"/>
  <c r="E763" i="3" s="1"/>
  <c r="F764" i="3"/>
  <c r="E764" i="3" s="1"/>
  <c r="F765" i="3"/>
  <c r="E765" i="3" s="1"/>
  <c r="F766" i="3"/>
  <c r="E766" i="3" s="1"/>
  <c r="F767" i="3"/>
  <c r="E767" i="3" s="1"/>
  <c r="F768" i="3"/>
  <c r="E768" i="3" s="1"/>
  <c r="F769" i="3"/>
  <c r="E769" i="3" s="1"/>
  <c r="F770" i="3"/>
  <c r="E770" i="3" s="1"/>
  <c r="F771" i="3"/>
  <c r="E771" i="3" s="1"/>
  <c r="F772" i="3"/>
  <c r="E772" i="3" s="1"/>
  <c r="F773" i="3"/>
  <c r="E773" i="3" s="1"/>
  <c r="F756" i="3"/>
  <c r="E756" i="3" s="1"/>
  <c r="F740" i="3"/>
  <c r="E740" i="3" s="1"/>
  <c r="F741" i="3"/>
  <c r="E741" i="3" s="1"/>
  <c r="F742" i="3"/>
  <c r="E742" i="3" s="1"/>
  <c r="F743" i="3"/>
  <c r="E743" i="3" s="1"/>
  <c r="F744" i="3"/>
  <c r="E744" i="3" s="1"/>
  <c r="F745" i="3"/>
  <c r="E745" i="3" s="1"/>
  <c r="F746" i="3"/>
  <c r="E746" i="3" s="1"/>
  <c r="F747" i="3"/>
  <c r="E747" i="3" s="1"/>
  <c r="F748" i="3"/>
  <c r="E748" i="3" s="1"/>
  <c r="F749" i="3"/>
  <c r="E749" i="3" s="1"/>
  <c r="F750" i="3"/>
  <c r="E750" i="3" s="1"/>
  <c r="F751" i="3"/>
  <c r="E751" i="3" s="1"/>
  <c r="F752" i="3"/>
  <c r="E752" i="3" s="1"/>
  <c r="F753" i="3"/>
  <c r="E753" i="3" s="1"/>
  <c r="F739" i="3"/>
  <c r="E739" i="3" s="1"/>
  <c r="F729" i="3"/>
  <c r="E729" i="3" s="1"/>
  <c r="F730" i="3"/>
  <c r="E730" i="3" s="1"/>
  <c r="F731" i="3"/>
  <c r="E731" i="3" s="1"/>
  <c r="F732" i="3"/>
  <c r="E732" i="3" s="1"/>
  <c r="F733" i="3"/>
  <c r="E733" i="3" s="1"/>
  <c r="F734" i="3"/>
  <c r="E734" i="3" s="1"/>
  <c r="F735" i="3"/>
  <c r="E735" i="3" s="1"/>
  <c r="F728" i="3"/>
  <c r="E728" i="3" s="1"/>
  <c r="F719" i="3"/>
  <c r="E719" i="3" s="1"/>
  <c r="F720" i="3"/>
  <c r="E720" i="3" s="1"/>
  <c r="F721" i="3"/>
  <c r="E721" i="3" s="1"/>
  <c r="F722" i="3"/>
  <c r="E722" i="3" s="1"/>
  <c r="F723" i="3"/>
  <c r="E723" i="3" s="1"/>
  <c r="F724" i="3"/>
  <c r="E724" i="3" s="1"/>
  <c r="F725" i="3"/>
  <c r="E725" i="3" s="1"/>
  <c r="F726" i="3"/>
  <c r="E726" i="3" s="1"/>
  <c r="F727" i="3"/>
  <c r="E727" i="3" s="1"/>
  <c r="F718" i="3"/>
  <c r="E718" i="3" s="1"/>
  <c r="F666" i="3"/>
  <c r="E666" i="3" s="1"/>
  <c r="F667" i="3"/>
  <c r="E667" i="3" s="1"/>
  <c r="F668" i="3"/>
  <c r="E668" i="3" s="1"/>
  <c r="F669" i="3"/>
  <c r="E669" i="3" s="1"/>
  <c r="F670" i="3"/>
  <c r="E670" i="3" s="1"/>
  <c r="F671" i="3"/>
  <c r="E671" i="3" s="1"/>
  <c r="F672" i="3"/>
  <c r="E672" i="3" s="1"/>
  <c r="F673" i="3"/>
  <c r="E673" i="3" s="1"/>
  <c r="F674" i="3"/>
  <c r="E674" i="3" s="1"/>
  <c r="F675" i="3"/>
  <c r="E675" i="3" s="1"/>
  <c r="F676" i="3"/>
  <c r="E676" i="3" s="1"/>
  <c r="F677" i="3"/>
  <c r="E677" i="3" s="1"/>
  <c r="F678" i="3"/>
  <c r="E678" i="3" s="1"/>
  <c r="F679" i="3"/>
  <c r="E679" i="3" s="1"/>
  <c r="F680" i="3"/>
  <c r="E680" i="3" s="1"/>
  <c r="F681" i="3"/>
  <c r="E681" i="3" s="1"/>
  <c r="F682" i="3"/>
  <c r="E682" i="3" s="1"/>
  <c r="F683" i="3"/>
  <c r="E683" i="3" s="1"/>
  <c r="F684" i="3"/>
  <c r="E684" i="3" s="1"/>
  <c r="F685" i="3"/>
  <c r="E685" i="3" s="1"/>
  <c r="F686" i="3"/>
  <c r="E686" i="3" s="1"/>
  <c r="F687" i="3"/>
  <c r="E687" i="3" s="1"/>
  <c r="F688" i="3"/>
  <c r="E688" i="3" s="1"/>
  <c r="F689" i="3"/>
  <c r="E689" i="3" s="1"/>
  <c r="F690" i="3"/>
  <c r="E690" i="3" s="1"/>
  <c r="F691" i="3"/>
  <c r="E691" i="3" s="1"/>
  <c r="F692" i="3"/>
  <c r="E692" i="3" s="1"/>
  <c r="F693" i="3"/>
  <c r="E693" i="3" s="1"/>
  <c r="F694" i="3"/>
  <c r="E694" i="3" s="1"/>
  <c r="F695" i="3"/>
  <c r="E695" i="3" s="1"/>
  <c r="F696" i="3"/>
  <c r="E696" i="3" s="1"/>
  <c r="F697" i="3"/>
  <c r="E697" i="3" s="1"/>
  <c r="F698" i="3"/>
  <c r="E698" i="3" s="1"/>
  <c r="F699" i="3"/>
  <c r="E699" i="3" s="1"/>
  <c r="F700" i="3"/>
  <c r="E700" i="3" s="1"/>
  <c r="F701" i="3"/>
  <c r="E701" i="3" s="1"/>
  <c r="F702" i="3"/>
  <c r="E702" i="3" s="1"/>
  <c r="F703" i="3"/>
  <c r="E703" i="3" s="1"/>
  <c r="F704" i="3"/>
  <c r="E704" i="3" s="1"/>
  <c r="F705" i="3"/>
  <c r="E705" i="3" s="1"/>
  <c r="F706" i="3"/>
  <c r="E706" i="3" s="1"/>
  <c r="F707" i="3"/>
  <c r="E707" i="3" s="1"/>
  <c r="F708" i="3"/>
  <c r="E708" i="3" s="1"/>
  <c r="F709" i="3"/>
  <c r="E709" i="3" s="1"/>
  <c r="F710" i="3"/>
  <c r="E710" i="3" s="1"/>
  <c r="F711" i="3"/>
  <c r="E711" i="3" s="1"/>
  <c r="F712" i="3"/>
  <c r="E712" i="3" s="1"/>
  <c r="F713" i="3"/>
  <c r="E713" i="3" s="1"/>
  <c r="F714" i="3"/>
  <c r="E714" i="3" s="1"/>
  <c r="F665" i="3"/>
  <c r="E665" i="3" s="1"/>
  <c r="F635" i="3"/>
  <c r="E635" i="3" s="1"/>
  <c r="F636" i="3"/>
  <c r="E636" i="3" s="1"/>
  <c r="F637" i="3"/>
  <c r="E637" i="3" s="1"/>
  <c r="F638" i="3"/>
  <c r="E638" i="3" s="1"/>
  <c r="F639" i="3"/>
  <c r="E639" i="3" s="1"/>
  <c r="F640" i="3"/>
  <c r="E640" i="3" s="1"/>
  <c r="F641" i="3"/>
  <c r="E641" i="3" s="1"/>
  <c r="F642" i="3"/>
  <c r="E642" i="3" s="1"/>
  <c r="F643" i="3"/>
  <c r="E643" i="3" s="1"/>
  <c r="F644" i="3"/>
  <c r="E644" i="3" s="1"/>
  <c r="F645" i="3"/>
  <c r="E645" i="3" s="1"/>
  <c r="F646" i="3"/>
  <c r="E646" i="3" s="1"/>
  <c r="F647" i="3"/>
  <c r="E647" i="3" s="1"/>
  <c r="F648" i="3"/>
  <c r="E648" i="3" s="1"/>
  <c r="F649" i="3"/>
  <c r="E649" i="3" s="1"/>
  <c r="F650" i="3"/>
  <c r="E650" i="3" s="1"/>
  <c r="F651" i="3"/>
  <c r="E651" i="3" s="1"/>
  <c r="F652" i="3"/>
  <c r="E652" i="3" s="1"/>
  <c r="F653" i="3"/>
  <c r="E653" i="3" s="1"/>
  <c r="F654" i="3"/>
  <c r="E654" i="3" s="1"/>
  <c r="F655" i="3"/>
  <c r="E655" i="3" s="1"/>
  <c r="F656" i="3"/>
  <c r="E656" i="3" s="1"/>
  <c r="F657" i="3"/>
  <c r="E657" i="3" s="1"/>
  <c r="F658" i="3"/>
  <c r="E658" i="3" s="1"/>
  <c r="F659" i="3"/>
  <c r="E659" i="3" s="1"/>
  <c r="F660" i="3"/>
  <c r="E660" i="3" s="1"/>
  <c r="F661" i="3"/>
  <c r="E661" i="3" s="1"/>
  <c r="F662" i="3"/>
  <c r="E662" i="3" s="1"/>
  <c r="F663" i="3"/>
  <c r="E663" i="3" s="1"/>
  <c r="F664" i="3"/>
  <c r="E664" i="3" s="1"/>
  <c r="F634" i="3"/>
  <c r="E634" i="3" s="1"/>
  <c r="F602" i="3"/>
  <c r="E602" i="3" s="1"/>
  <c r="F603" i="3"/>
  <c r="E603" i="3" s="1"/>
  <c r="F604" i="3"/>
  <c r="E604" i="3" s="1"/>
  <c r="F605" i="3"/>
  <c r="E605" i="3" s="1"/>
  <c r="F606" i="3"/>
  <c r="E606" i="3" s="1"/>
  <c r="F607" i="3"/>
  <c r="E607" i="3" s="1"/>
  <c r="F608" i="3"/>
  <c r="E608" i="3" s="1"/>
  <c r="F609" i="3"/>
  <c r="E609" i="3" s="1"/>
  <c r="F610" i="3"/>
  <c r="E610" i="3" s="1"/>
  <c r="F611" i="3"/>
  <c r="E611" i="3" s="1"/>
  <c r="F612" i="3"/>
  <c r="E612" i="3" s="1"/>
  <c r="F613" i="3"/>
  <c r="E613" i="3" s="1"/>
  <c r="F614" i="3"/>
  <c r="E614" i="3" s="1"/>
  <c r="F615" i="3"/>
  <c r="E615" i="3" s="1"/>
  <c r="F616" i="3"/>
  <c r="E616" i="3" s="1"/>
  <c r="F617" i="3"/>
  <c r="E617" i="3" s="1"/>
  <c r="F618" i="3"/>
  <c r="E618" i="3" s="1"/>
  <c r="F619" i="3"/>
  <c r="E619" i="3" s="1"/>
  <c r="F620" i="3"/>
  <c r="E620" i="3" s="1"/>
  <c r="F621" i="3"/>
  <c r="E621" i="3" s="1"/>
  <c r="F622" i="3"/>
  <c r="E622" i="3" s="1"/>
  <c r="F623" i="3"/>
  <c r="E623" i="3" s="1"/>
  <c r="F624" i="3"/>
  <c r="E624" i="3" s="1"/>
  <c r="F625" i="3"/>
  <c r="E625" i="3" s="1"/>
  <c r="F626" i="3"/>
  <c r="E626" i="3" s="1"/>
  <c r="F627" i="3"/>
  <c r="E627" i="3" s="1"/>
  <c r="F628" i="3"/>
  <c r="E628" i="3" s="1"/>
  <c r="F629" i="3"/>
  <c r="E629" i="3" s="1"/>
  <c r="F601" i="3"/>
  <c r="E601" i="3" s="1"/>
  <c r="F600" i="3"/>
  <c r="E600" i="3" s="1"/>
  <c r="F599" i="3"/>
  <c r="E599" i="3" s="1"/>
  <c r="F552" i="3"/>
  <c r="E552" i="3" s="1"/>
  <c r="F553" i="3"/>
  <c r="E553" i="3" s="1"/>
  <c r="F554" i="3"/>
  <c r="E554" i="3" s="1"/>
  <c r="F555" i="3"/>
  <c r="E555" i="3" s="1"/>
  <c r="F556" i="3"/>
  <c r="E556" i="3" s="1"/>
  <c r="F557" i="3"/>
  <c r="E557" i="3" s="1"/>
  <c r="F558" i="3"/>
  <c r="E558" i="3" s="1"/>
  <c r="F559" i="3"/>
  <c r="E559" i="3" s="1"/>
  <c r="F560" i="3"/>
  <c r="E560" i="3" s="1"/>
  <c r="F561" i="3"/>
  <c r="E561" i="3" s="1"/>
  <c r="F562" i="3"/>
  <c r="E562" i="3" s="1"/>
  <c r="F563" i="3"/>
  <c r="E563" i="3" s="1"/>
  <c r="F564" i="3"/>
  <c r="E564" i="3" s="1"/>
  <c r="F565" i="3"/>
  <c r="E565" i="3" s="1"/>
  <c r="F566" i="3"/>
  <c r="E566" i="3" s="1"/>
  <c r="F567" i="3"/>
  <c r="E567" i="3" s="1"/>
  <c r="F568" i="3"/>
  <c r="E568" i="3" s="1"/>
  <c r="F569" i="3"/>
  <c r="E569" i="3" s="1"/>
  <c r="F570" i="3"/>
  <c r="E570" i="3" s="1"/>
  <c r="F571" i="3"/>
  <c r="E571" i="3" s="1"/>
  <c r="F572" i="3"/>
  <c r="E572" i="3" s="1"/>
  <c r="F573" i="3"/>
  <c r="E573" i="3" s="1"/>
  <c r="F574" i="3"/>
  <c r="E574" i="3" s="1"/>
  <c r="F575" i="3"/>
  <c r="E575" i="3" s="1"/>
  <c r="F576" i="3"/>
  <c r="E576" i="3" s="1"/>
  <c r="F577" i="3"/>
  <c r="E577" i="3" s="1"/>
  <c r="F578" i="3"/>
  <c r="E578" i="3" s="1"/>
  <c r="F579" i="3"/>
  <c r="E579" i="3" s="1"/>
  <c r="F580" i="3"/>
  <c r="E580" i="3" s="1"/>
  <c r="F581" i="3"/>
  <c r="E581" i="3" s="1"/>
  <c r="F582" i="3"/>
  <c r="E582" i="3" s="1"/>
  <c r="F583" i="3"/>
  <c r="E583" i="3" s="1"/>
  <c r="F584" i="3"/>
  <c r="E584" i="3" s="1"/>
  <c r="F585" i="3"/>
  <c r="E585" i="3" s="1"/>
  <c r="F586" i="3"/>
  <c r="E586" i="3" s="1"/>
  <c r="F587" i="3"/>
  <c r="E587" i="3" s="1"/>
  <c r="F588" i="3"/>
  <c r="E588" i="3" s="1"/>
  <c r="F589" i="3"/>
  <c r="E589" i="3" s="1"/>
  <c r="F590" i="3"/>
  <c r="E590" i="3" s="1"/>
  <c r="F591" i="3"/>
  <c r="E591" i="3" s="1"/>
  <c r="F592" i="3"/>
  <c r="E592" i="3" s="1"/>
  <c r="F593" i="3"/>
  <c r="E593" i="3" s="1"/>
  <c r="F594" i="3"/>
  <c r="E594" i="3" s="1"/>
  <c r="F595" i="3"/>
  <c r="E595" i="3" s="1"/>
  <c r="F551" i="3"/>
  <c r="E551" i="3" s="1"/>
  <c r="F536" i="3"/>
  <c r="E536" i="3" s="1"/>
  <c r="F537" i="3"/>
  <c r="E537" i="3" s="1"/>
  <c r="F538" i="3"/>
  <c r="E538" i="3" s="1"/>
  <c r="F539" i="3"/>
  <c r="E539" i="3" s="1"/>
  <c r="F540" i="3"/>
  <c r="E540" i="3" s="1"/>
  <c r="F541" i="3"/>
  <c r="E541" i="3" s="1"/>
  <c r="F542" i="3"/>
  <c r="E542" i="3" s="1"/>
  <c r="F543" i="3"/>
  <c r="E543" i="3" s="1"/>
  <c r="F544" i="3"/>
  <c r="E544" i="3" s="1"/>
  <c r="F545" i="3"/>
  <c r="E545" i="3" s="1"/>
  <c r="F546" i="3"/>
  <c r="E546" i="3" s="1"/>
  <c r="F547" i="3"/>
  <c r="E547" i="3" s="1"/>
  <c r="F535" i="3"/>
  <c r="E535" i="3" s="1"/>
  <c r="F524" i="3"/>
  <c r="E524" i="3" s="1"/>
  <c r="F525" i="3"/>
  <c r="E525" i="3" s="1"/>
  <c r="F526" i="3"/>
  <c r="E526" i="3" s="1"/>
  <c r="F527" i="3"/>
  <c r="E527" i="3" s="1"/>
  <c r="F528" i="3"/>
  <c r="E528" i="3" s="1"/>
  <c r="F529" i="3"/>
  <c r="E529" i="3" s="1"/>
  <c r="F530" i="3"/>
  <c r="E530" i="3" s="1"/>
  <c r="F531" i="3"/>
  <c r="E531" i="3" s="1"/>
  <c r="F532" i="3"/>
  <c r="E532" i="3" s="1"/>
  <c r="F533" i="3"/>
  <c r="E533" i="3" s="1"/>
  <c r="F534" i="3"/>
  <c r="E534" i="3" s="1"/>
  <c r="F523" i="3"/>
  <c r="E523" i="3" s="1"/>
  <c r="F508" i="3"/>
  <c r="E508" i="3" s="1"/>
  <c r="F509" i="3"/>
  <c r="E509" i="3" s="1"/>
  <c r="F510" i="3"/>
  <c r="E510" i="3" s="1"/>
  <c r="F511" i="3"/>
  <c r="E511" i="3" s="1"/>
  <c r="F512" i="3"/>
  <c r="E512" i="3" s="1"/>
  <c r="F513" i="3"/>
  <c r="E513" i="3" s="1"/>
  <c r="F514" i="3"/>
  <c r="E514" i="3" s="1"/>
  <c r="F515" i="3"/>
  <c r="E515" i="3" s="1"/>
  <c r="F516" i="3"/>
  <c r="E516" i="3" s="1"/>
  <c r="F517" i="3"/>
  <c r="E517" i="3" s="1"/>
  <c r="F518" i="3"/>
  <c r="E518" i="3" s="1"/>
  <c r="F519" i="3"/>
  <c r="E519" i="3" s="1"/>
  <c r="F520" i="3"/>
  <c r="E520" i="3" s="1"/>
  <c r="F507" i="3"/>
  <c r="E507" i="3" s="1"/>
  <c r="F473" i="3"/>
  <c r="E473" i="3" s="1"/>
  <c r="F474" i="3"/>
  <c r="E474" i="3" s="1"/>
  <c r="F475" i="3"/>
  <c r="E475" i="3" s="1"/>
  <c r="F476" i="3"/>
  <c r="E476" i="3" s="1"/>
  <c r="F477" i="3"/>
  <c r="E477" i="3" s="1"/>
  <c r="F478" i="3"/>
  <c r="E478" i="3" s="1"/>
  <c r="F479" i="3"/>
  <c r="E479" i="3" s="1"/>
  <c r="F480" i="3"/>
  <c r="E480" i="3" s="1"/>
  <c r="F481" i="3"/>
  <c r="E481" i="3" s="1"/>
  <c r="F482" i="3"/>
  <c r="E482" i="3" s="1"/>
  <c r="F483" i="3"/>
  <c r="E483" i="3" s="1"/>
  <c r="F484" i="3"/>
  <c r="E484" i="3" s="1"/>
  <c r="F485" i="3"/>
  <c r="E485" i="3" s="1"/>
  <c r="F486" i="3"/>
  <c r="E486" i="3" s="1"/>
  <c r="F487" i="3"/>
  <c r="E487" i="3" s="1"/>
  <c r="F488" i="3"/>
  <c r="E488" i="3" s="1"/>
  <c r="F489" i="3"/>
  <c r="E489" i="3" s="1"/>
  <c r="F490" i="3"/>
  <c r="E490" i="3" s="1"/>
  <c r="F491" i="3"/>
  <c r="E491" i="3" s="1"/>
  <c r="F492" i="3"/>
  <c r="E492" i="3" s="1"/>
  <c r="F493" i="3"/>
  <c r="E493" i="3" s="1"/>
  <c r="F494" i="3"/>
  <c r="E494" i="3" s="1"/>
  <c r="F495" i="3"/>
  <c r="E495" i="3" s="1"/>
  <c r="F496" i="3"/>
  <c r="E496" i="3" s="1"/>
  <c r="F497" i="3"/>
  <c r="E497" i="3" s="1"/>
  <c r="F498" i="3"/>
  <c r="E498" i="3" s="1"/>
  <c r="F499" i="3"/>
  <c r="E499" i="3" s="1"/>
  <c r="F500" i="3"/>
  <c r="E500" i="3" s="1"/>
  <c r="F501" i="3"/>
  <c r="E501" i="3" s="1"/>
  <c r="F502" i="3"/>
  <c r="E502" i="3" s="1"/>
  <c r="F472" i="3"/>
  <c r="E472" i="3" s="1"/>
  <c r="F467" i="3"/>
  <c r="E467" i="3" s="1"/>
  <c r="F468" i="3"/>
  <c r="E468" i="3" s="1"/>
  <c r="F466" i="3"/>
  <c r="E466" i="3" s="1"/>
  <c r="F462" i="3"/>
  <c r="E462" i="3" s="1"/>
  <c r="F463" i="3"/>
  <c r="E463" i="3" s="1"/>
  <c r="F464" i="3"/>
  <c r="E464" i="3" s="1"/>
  <c r="F465" i="3"/>
  <c r="E465" i="3" s="1"/>
  <c r="F461" i="3"/>
  <c r="E461" i="3" s="1"/>
  <c r="F440" i="3"/>
  <c r="E440" i="3" s="1"/>
  <c r="F441" i="3"/>
  <c r="E441" i="3" s="1"/>
  <c r="F442" i="3"/>
  <c r="E442" i="3" s="1"/>
  <c r="F443" i="3"/>
  <c r="E443" i="3" s="1"/>
  <c r="F444" i="3"/>
  <c r="E444" i="3" s="1"/>
  <c r="F445" i="3"/>
  <c r="E445" i="3" s="1"/>
  <c r="F446" i="3"/>
  <c r="E446" i="3" s="1"/>
  <c r="F447" i="3"/>
  <c r="E447" i="3" s="1"/>
  <c r="F448" i="3"/>
  <c r="E448" i="3" s="1"/>
  <c r="F449" i="3"/>
  <c r="E449" i="3" s="1"/>
  <c r="F450" i="3"/>
  <c r="E450" i="3" s="1"/>
  <c r="F451" i="3"/>
  <c r="E451" i="3" s="1"/>
  <c r="F452" i="3"/>
  <c r="E452" i="3" s="1"/>
  <c r="F453" i="3"/>
  <c r="E453" i="3" s="1"/>
  <c r="F454" i="3"/>
  <c r="E454" i="3" s="1"/>
  <c r="F455" i="3"/>
  <c r="E455" i="3" s="1"/>
  <c r="F456" i="3"/>
  <c r="E456" i="3" s="1"/>
  <c r="F457" i="3"/>
  <c r="E457" i="3" s="1"/>
  <c r="F458" i="3"/>
  <c r="E458" i="3" s="1"/>
  <c r="F439" i="3"/>
  <c r="E439" i="3" s="1"/>
  <c r="F422" i="3"/>
  <c r="E422" i="3" s="1"/>
  <c r="F423" i="3"/>
  <c r="E423" i="3" s="1"/>
  <c r="F424" i="3"/>
  <c r="E424" i="3" s="1"/>
  <c r="F425" i="3"/>
  <c r="E425" i="3" s="1"/>
  <c r="F426" i="3"/>
  <c r="E426" i="3" s="1"/>
  <c r="F427" i="3"/>
  <c r="E427" i="3" s="1"/>
  <c r="F428" i="3"/>
  <c r="E428" i="3" s="1"/>
  <c r="F429" i="3"/>
  <c r="E429" i="3" s="1"/>
  <c r="F430" i="3"/>
  <c r="E430" i="3" s="1"/>
  <c r="F431" i="3"/>
  <c r="E431" i="3" s="1"/>
  <c r="F432" i="3"/>
  <c r="E432" i="3" s="1"/>
  <c r="F433" i="3"/>
  <c r="E433" i="3" s="1"/>
  <c r="F434" i="3"/>
  <c r="E434" i="3" s="1"/>
  <c r="F435" i="3"/>
  <c r="E435" i="3" s="1"/>
  <c r="F421" i="3"/>
  <c r="E421" i="3" s="1"/>
  <c r="F398" i="3"/>
  <c r="E398" i="3" s="1"/>
  <c r="F399" i="3"/>
  <c r="E399" i="3" s="1"/>
  <c r="F400" i="3"/>
  <c r="E400" i="3" s="1"/>
  <c r="F401" i="3"/>
  <c r="E401" i="3" s="1"/>
  <c r="F402" i="3"/>
  <c r="E402" i="3" s="1"/>
  <c r="F403" i="3"/>
  <c r="E403" i="3" s="1"/>
  <c r="F404" i="3"/>
  <c r="E404" i="3" s="1"/>
  <c r="F405" i="3"/>
  <c r="E405" i="3" s="1"/>
  <c r="F406" i="3"/>
  <c r="E406" i="3" s="1"/>
  <c r="F407" i="3"/>
  <c r="E407" i="3" s="1"/>
  <c r="F408" i="3"/>
  <c r="E408" i="3" s="1"/>
  <c r="F409" i="3"/>
  <c r="E409" i="3" s="1"/>
  <c r="F410" i="3"/>
  <c r="E410" i="3" s="1"/>
  <c r="F411" i="3"/>
  <c r="E411" i="3" s="1"/>
  <c r="F412" i="3"/>
  <c r="E412" i="3" s="1"/>
  <c r="F413" i="3"/>
  <c r="E413" i="3" s="1"/>
  <c r="F414" i="3"/>
  <c r="E414" i="3" s="1"/>
  <c r="F415" i="3"/>
  <c r="E415" i="3" s="1"/>
  <c r="F416" i="3"/>
  <c r="E416" i="3" s="1"/>
  <c r="F397" i="3"/>
  <c r="E397" i="3" s="1"/>
  <c r="F388" i="3"/>
  <c r="E388" i="3" s="1"/>
  <c r="F389" i="3"/>
  <c r="E389" i="3" s="1"/>
  <c r="F390" i="3"/>
  <c r="E390" i="3" s="1"/>
  <c r="F391" i="3"/>
  <c r="E391" i="3" s="1"/>
  <c r="F392" i="3"/>
  <c r="E392" i="3" s="1"/>
  <c r="F393" i="3"/>
  <c r="E393" i="3" s="1"/>
  <c r="F394" i="3"/>
  <c r="E394" i="3" s="1"/>
  <c r="F395" i="3"/>
  <c r="E395" i="3" s="1"/>
  <c r="F396" i="3"/>
  <c r="E396" i="3" s="1"/>
  <c r="F387" i="3"/>
  <c r="E387" i="3" s="1"/>
  <c r="F334" i="3"/>
  <c r="E334" i="3" s="1"/>
  <c r="F335" i="3"/>
  <c r="E335" i="3" s="1"/>
  <c r="F336" i="3"/>
  <c r="E336" i="3" s="1"/>
  <c r="F337" i="3"/>
  <c r="E337" i="3" s="1"/>
  <c r="F338" i="3"/>
  <c r="E338" i="3" s="1"/>
  <c r="F339" i="3"/>
  <c r="E339" i="3" s="1"/>
  <c r="F340" i="3"/>
  <c r="E340" i="3" s="1"/>
  <c r="F341" i="3"/>
  <c r="E341" i="3" s="1"/>
  <c r="F342" i="3"/>
  <c r="E342" i="3" s="1"/>
  <c r="F343" i="3"/>
  <c r="E343" i="3" s="1"/>
  <c r="F344" i="3"/>
  <c r="E344" i="3" s="1"/>
  <c r="F345" i="3"/>
  <c r="E345" i="3" s="1"/>
  <c r="F346" i="3"/>
  <c r="E346" i="3" s="1"/>
  <c r="F347" i="3"/>
  <c r="E347" i="3" s="1"/>
  <c r="F348" i="3"/>
  <c r="E348" i="3" s="1"/>
  <c r="F349" i="3"/>
  <c r="E349" i="3" s="1"/>
  <c r="F350" i="3"/>
  <c r="E350" i="3" s="1"/>
  <c r="F351" i="3"/>
  <c r="E351" i="3" s="1"/>
  <c r="F352" i="3"/>
  <c r="E352" i="3" s="1"/>
  <c r="F353" i="3"/>
  <c r="E353" i="3" s="1"/>
  <c r="F354" i="3"/>
  <c r="E354" i="3" s="1"/>
  <c r="F355" i="3"/>
  <c r="E355" i="3" s="1"/>
  <c r="F356" i="3"/>
  <c r="E356" i="3" s="1"/>
  <c r="F357" i="3"/>
  <c r="E357" i="3" s="1"/>
  <c r="F358" i="3"/>
  <c r="E358" i="3" s="1"/>
  <c r="F359" i="3"/>
  <c r="E359" i="3" s="1"/>
  <c r="F360" i="3"/>
  <c r="E360" i="3" s="1"/>
  <c r="F361" i="3"/>
  <c r="E361" i="3" s="1"/>
  <c r="F362" i="3"/>
  <c r="E362" i="3" s="1"/>
  <c r="F363" i="3"/>
  <c r="E363" i="3" s="1"/>
  <c r="F364" i="3"/>
  <c r="E364" i="3" s="1"/>
  <c r="F365" i="3"/>
  <c r="E365" i="3" s="1"/>
  <c r="F366" i="3"/>
  <c r="E366" i="3" s="1"/>
  <c r="F367" i="3"/>
  <c r="E367" i="3" s="1"/>
  <c r="F368" i="3"/>
  <c r="E368" i="3" s="1"/>
  <c r="F369" i="3"/>
  <c r="E369" i="3" s="1"/>
  <c r="F370" i="3"/>
  <c r="E370" i="3" s="1"/>
  <c r="F371" i="3"/>
  <c r="E371" i="3" s="1"/>
  <c r="F372" i="3"/>
  <c r="E372" i="3" s="1"/>
  <c r="F373" i="3"/>
  <c r="E373" i="3" s="1"/>
  <c r="F374" i="3"/>
  <c r="E374" i="3" s="1"/>
  <c r="F375" i="3"/>
  <c r="E375" i="3" s="1"/>
  <c r="F376" i="3"/>
  <c r="E376" i="3" s="1"/>
  <c r="F377" i="3"/>
  <c r="E377" i="3" s="1"/>
  <c r="F378" i="3"/>
  <c r="E378" i="3" s="1"/>
  <c r="F379" i="3"/>
  <c r="E379" i="3" s="1"/>
  <c r="F380" i="3"/>
  <c r="E380" i="3" s="1"/>
  <c r="F381" i="3"/>
  <c r="E381" i="3" s="1"/>
  <c r="F382" i="3"/>
  <c r="E382" i="3" s="1"/>
  <c r="F333" i="3"/>
  <c r="E333" i="3" s="1"/>
  <c r="F318" i="3"/>
  <c r="E318" i="3" s="1"/>
  <c r="F319" i="3"/>
  <c r="E319" i="3" s="1"/>
  <c r="F320" i="3"/>
  <c r="E320" i="3" s="1"/>
  <c r="F321" i="3"/>
  <c r="E321" i="3" s="1"/>
  <c r="F322" i="3"/>
  <c r="E322" i="3" s="1"/>
  <c r="F323" i="3"/>
  <c r="E323" i="3" s="1"/>
  <c r="F324" i="3"/>
  <c r="E324" i="3" s="1"/>
  <c r="F325" i="3"/>
  <c r="E325" i="3" s="1"/>
  <c r="F326" i="3"/>
  <c r="E326" i="3" s="1"/>
  <c r="F327" i="3"/>
  <c r="E327" i="3" s="1"/>
  <c r="F328" i="3"/>
  <c r="E328" i="3" s="1"/>
  <c r="F329" i="3"/>
  <c r="E329" i="3" s="1"/>
  <c r="F330" i="3"/>
  <c r="E330" i="3" s="1"/>
  <c r="F331" i="3"/>
  <c r="E331" i="3" s="1"/>
  <c r="F332" i="3"/>
  <c r="E332" i="3" s="1"/>
  <c r="F317" i="3"/>
  <c r="E317" i="3" s="1"/>
  <c r="F268" i="3"/>
  <c r="E268" i="3" s="1"/>
  <c r="F269" i="3"/>
  <c r="E269" i="3" s="1"/>
  <c r="F270" i="3"/>
  <c r="E270" i="3" s="1"/>
  <c r="F271" i="3"/>
  <c r="E271" i="3" s="1"/>
  <c r="F272" i="3"/>
  <c r="E272" i="3" s="1"/>
  <c r="F273" i="3"/>
  <c r="E273" i="3" s="1"/>
  <c r="F274" i="3"/>
  <c r="E274" i="3" s="1"/>
  <c r="F275" i="3"/>
  <c r="E275" i="3" s="1"/>
  <c r="F276" i="3"/>
  <c r="E276" i="3" s="1"/>
  <c r="F277" i="3"/>
  <c r="E277" i="3" s="1"/>
  <c r="F278" i="3"/>
  <c r="E278" i="3" s="1"/>
  <c r="F279" i="3"/>
  <c r="E279" i="3" s="1"/>
  <c r="F280" i="3"/>
  <c r="E280" i="3" s="1"/>
  <c r="F281" i="3"/>
  <c r="E281" i="3" s="1"/>
  <c r="F282" i="3"/>
  <c r="E282" i="3" s="1"/>
  <c r="F283" i="3"/>
  <c r="E283" i="3" s="1"/>
  <c r="F284" i="3"/>
  <c r="E284" i="3" s="1"/>
  <c r="F285" i="3"/>
  <c r="E285" i="3" s="1"/>
  <c r="F286" i="3"/>
  <c r="E286" i="3" s="1"/>
  <c r="F287" i="3"/>
  <c r="E287" i="3" s="1"/>
  <c r="F288" i="3"/>
  <c r="E288" i="3" s="1"/>
  <c r="F289" i="3"/>
  <c r="E289" i="3" s="1"/>
  <c r="F290" i="3"/>
  <c r="E290" i="3" s="1"/>
  <c r="F291" i="3"/>
  <c r="E291" i="3" s="1"/>
  <c r="F292" i="3"/>
  <c r="E292" i="3" s="1"/>
  <c r="F293" i="3"/>
  <c r="E293" i="3" s="1"/>
  <c r="F294" i="3"/>
  <c r="E294" i="3" s="1"/>
  <c r="F295" i="3"/>
  <c r="E295" i="3" s="1"/>
  <c r="F296" i="3"/>
  <c r="E296" i="3" s="1"/>
  <c r="F297" i="3"/>
  <c r="E297" i="3" s="1"/>
  <c r="F298" i="3"/>
  <c r="E298" i="3" s="1"/>
  <c r="F299" i="3"/>
  <c r="E299" i="3" s="1"/>
  <c r="F300" i="3"/>
  <c r="E300" i="3" s="1"/>
  <c r="F301" i="3"/>
  <c r="E301" i="3" s="1"/>
  <c r="F302" i="3"/>
  <c r="E302" i="3" s="1"/>
  <c r="F303" i="3"/>
  <c r="E303" i="3" s="1"/>
  <c r="F304" i="3"/>
  <c r="E304" i="3" s="1"/>
  <c r="F305" i="3"/>
  <c r="E305" i="3" s="1"/>
  <c r="F306" i="3"/>
  <c r="E306" i="3" s="1"/>
  <c r="F307" i="3"/>
  <c r="E307" i="3" s="1"/>
  <c r="F308" i="3"/>
  <c r="E308" i="3" s="1"/>
  <c r="F309" i="3"/>
  <c r="E309" i="3" s="1"/>
  <c r="F310" i="3"/>
  <c r="E310" i="3" s="1"/>
  <c r="F267" i="3"/>
  <c r="E267" i="3" s="1"/>
  <c r="F221" i="3"/>
  <c r="E221" i="3" s="1"/>
  <c r="F222" i="3"/>
  <c r="E222" i="3" s="1"/>
  <c r="F223" i="3"/>
  <c r="E223" i="3" s="1"/>
  <c r="F224" i="3"/>
  <c r="E224" i="3" s="1"/>
  <c r="F225" i="3"/>
  <c r="E225" i="3" s="1"/>
  <c r="F226" i="3"/>
  <c r="E226" i="3" s="1"/>
  <c r="F227" i="3"/>
  <c r="E227" i="3" s="1"/>
  <c r="F228" i="3"/>
  <c r="E228" i="3" s="1"/>
  <c r="F229" i="3"/>
  <c r="E229" i="3" s="1"/>
  <c r="F230" i="3"/>
  <c r="E230" i="3" s="1"/>
  <c r="F231" i="3"/>
  <c r="E231" i="3" s="1"/>
  <c r="F232" i="3"/>
  <c r="E232" i="3" s="1"/>
  <c r="F233" i="3"/>
  <c r="E233" i="3" s="1"/>
  <c r="F234" i="3"/>
  <c r="E234" i="3" s="1"/>
  <c r="F235" i="3"/>
  <c r="E235" i="3" s="1"/>
  <c r="F236" i="3"/>
  <c r="E236" i="3" s="1"/>
  <c r="F237" i="3"/>
  <c r="E237" i="3" s="1"/>
  <c r="F238" i="3"/>
  <c r="E238" i="3" s="1"/>
  <c r="F239" i="3"/>
  <c r="E239" i="3" s="1"/>
  <c r="F240" i="3"/>
  <c r="E240" i="3" s="1"/>
  <c r="F241" i="3"/>
  <c r="E241" i="3" s="1"/>
  <c r="F242" i="3"/>
  <c r="E242" i="3" s="1"/>
  <c r="F243" i="3"/>
  <c r="E243" i="3" s="1"/>
  <c r="F244" i="3"/>
  <c r="E244" i="3" s="1"/>
  <c r="F245" i="3"/>
  <c r="E245" i="3" s="1"/>
  <c r="F246" i="3"/>
  <c r="E246" i="3" s="1"/>
  <c r="F247" i="3"/>
  <c r="E247" i="3" s="1"/>
  <c r="F248" i="3"/>
  <c r="E248" i="3" s="1"/>
  <c r="F249" i="3"/>
  <c r="E249" i="3" s="1"/>
  <c r="F250" i="3"/>
  <c r="E250" i="3" s="1"/>
  <c r="F251" i="3"/>
  <c r="E251" i="3" s="1"/>
  <c r="F252" i="3"/>
  <c r="E252" i="3" s="1"/>
  <c r="F253" i="3"/>
  <c r="E253" i="3" s="1"/>
  <c r="F254" i="3"/>
  <c r="E254" i="3" s="1"/>
  <c r="F255" i="3"/>
  <c r="E255" i="3" s="1"/>
  <c r="F256" i="3"/>
  <c r="E256" i="3" s="1"/>
  <c r="F257" i="3"/>
  <c r="E257" i="3" s="1"/>
  <c r="F258" i="3"/>
  <c r="E258" i="3" s="1"/>
  <c r="F259" i="3"/>
  <c r="E259" i="3" s="1"/>
  <c r="F260" i="3"/>
  <c r="E260" i="3" s="1"/>
  <c r="F261" i="3"/>
  <c r="E261" i="3" s="1"/>
  <c r="F262" i="3"/>
  <c r="E262" i="3" s="1"/>
  <c r="F263" i="3"/>
  <c r="E263" i="3" s="1"/>
  <c r="F264" i="3"/>
  <c r="E264" i="3" s="1"/>
  <c r="F265" i="3"/>
  <c r="E265" i="3" s="1"/>
  <c r="F266" i="3"/>
  <c r="E266" i="3" s="1"/>
  <c r="F220" i="3"/>
  <c r="E220" i="3" s="1"/>
  <c r="F205" i="3"/>
  <c r="E205" i="3" s="1"/>
  <c r="F206" i="3"/>
  <c r="E206" i="3" s="1"/>
  <c r="F207" i="3"/>
  <c r="E207" i="3" s="1"/>
  <c r="F208" i="3"/>
  <c r="E208" i="3" s="1"/>
  <c r="F209" i="3"/>
  <c r="E209" i="3" s="1"/>
  <c r="F210" i="3"/>
  <c r="E210" i="3" s="1"/>
  <c r="F211" i="3"/>
  <c r="E211" i="3" s="1"/>
  <c r="F212" i="3"/>
  <c r="E212" i="3" s="1"/>
  <c r="F213" i="3"/>
  <c r="E213" i="3" s="1"/>
  <c r="F214" i="3"/>
  <c r="E214" i="3" s="1"/>
  <c r="F215" i="3"/>
  <c r="E215" i="3" s="1"/>
  <c r="F216" i="3"/>
  <c r="E216" i="3" s="1"/>
  <c r="F204" i="3"/>
  <c r="E204" i="3" s="1"/>
  <c r="F166" i="3"/>
  <c r="E166" i="3" s="1"/>
  <c r="F167" i="3"/>
  <c r="E167" i="3" s="1"/>
  <c r="F168" i="3"/>
  <c r="E168" i="3" s="1"/>
  <c r="F169" i="3"/>
  <c r="E169" i="3" s="1"/>
  <c r="F170" i="3"/>
  <c r="E170" i="3" s="1"/>
  <c r="F171" i="3"/>
  <c r="E171" i="3" s="1"/>
  <c r="F172" i="3"/>
  <c r="E172" i="3" s="1"/>
  <c r="F173" i="3"/>
  <c r="E173" i="3" s="1"/>
  <c r="F174" i="3"/>
  <c r="E174" i="3" s="1"/>
  <c r="F175" i="3"/>
  <c r="E175" i="3" s="1"/>
  <c r="F176" i="3"/>
  <c r="E176" i="3" s="1"/>
  <c r="F177" i="3"/>
  <c r="E177" i="3" s="1"/>
  <c r="F178" i="3"/>
  <c r="E178" i="3" s="1"/>
  <c r="F179" i="3"/>
  <c r="E179" i="3" s="1"/>
  <c r="F180" i="3"/>
  <c r="E180" i="3" s="1"/>
  <c r="F181" i="3"/>
  <c r="E181" i="3" s="1"/>
  <c r="F182" i="3"/>
  <c r="E182" i="3" s="1"/>
  <c r="F183" i="3"/>
  <c r="E183" i="3" s="1"/>
  <c r="F184" i="3"/>
  <c r="E184" i="3" s="1"/>
  <c r="F185" i="3"/>
  <c r="E185" i="3" s="1"/>
  <c r="F186" i="3"/>
  <c r="E186" i="3" s="1"/>
  <c r="F187" i="3"/>
  <c r="E187" i="3" s="1"/>
  <c r="F188" i="3"/>
  <c r="E188" i="3" s="1"/>
  <c r="F189" i="3"/>
  <c r="E189" i="3" s="1"/>
  <c r="F190" i="3"/>
  <c r="E190" i="3" s="1"/>
  <c r="F191" i="3"/>
  <c r="E191" i="3" s="1"/>
  <c r="F192" i="3"/>
  <c r="E192" i="3" s="1"/>
  <c r="F193" i="3"/>
  <c r="E193" i="3" s="1"/>
  <c r="F194" i="3"/>
  <c r="E194" i="3" s="1"/>
  <c r="F195" i="3"/>
  <c r="E195" i="3" s="1"/>
  <c r="F196" i="3"/>
  <c r="E196" i="3" s="1"/>
  <c r="F197" i="3"/>
  <c r="E197" i="3" s="1"/>
  <c r="F198" i="3"/>
  <c r="E198" i="3" s="1"/>
  <c r="F199" i="3"/>
  <c r="E199" i="3" s="1"/>
  <c r="F200" i="3"/>
  <c r="E200" i="3" s="1"/>
  <c r="F201" i="3"/>
  <c r="E201" i="3" s="1"/>
  <c r="F202" i="3"/>
  <c r="E202" i="3" s="1"/>
  <c r="F203" i="3"/>
  <c r="E203" i="3" s="1"/>
  <c r="F165" i="3"/>
  <c r="E165" i="3" s="1"/>
  <c r="F142" i="3"/>
  <c r="E142" i="3" s="1"/>
  <c r="F143" i="3"/>
  <c r="E143" i="3" s="1"/>
  <c r="F144" i="3"/>
  <c r="E144" i="3" s="1"/>
  <c r="F145" i="3"/>
  <c r="E145" i="3" s="1"/>
  <c r="F146" i="3"/>
  <c r="E146" i="3" s="1"/>
  <c r="F147" i="3"/>
  <c r="E147" i="3" s="1"/>
  <c r="F148" i="3"/>
  <c r="E148" i="3" s="1"/>
  <c r="F149" i="3"/>
  <c r="E149" i="3" s="1"/>
  <c r="F150" i="3"/>
  <c r="E150" i="3" s="1"/>
  <c r="F151" i="3"/>
  <c r="E151" i="3" s="1"/>
  <c r="F152" i="3"/>
  <c r="E152" i="3" s="1"/>
  <c r="F153" i="3"/>
  <c r="E153" i="3" s="1"/>
  <c r="F154" i="3"/>
  <c r="E154" i="3" s="1"/>
  <c r="F155" i="3"/>
  <c r="E155" i="3" s="1"/>
  <c r="F156" i="3"/>
  <c r="E156" i="3" s="1"/>
  <c r="F157" i="3"/>
  <c r="E157" i="3" s="1"/>
  <c r="F158" i="3"/>
  <c r="E158" i="3" s="1"/>
  <c r="F159" i="3"/>
  <c r="E159" i="3" s="1"/>
  <c r="F160" i="3"/>
  <c r="E160" i="3" s="1"/>
  <c r="F161" i="3"/>
  <c r="E161" i="3" s="1"/>
  <c r="F141" i="3"/>
  <c r="E141" i="3" s="1"/>
  <c r="F139" i="3"/>
  <c r="E139" i="3" s="1"/>
  <c r="F140" i="3"/>
  <c r="E140" i="3" s="1"/>
  <c r="F138" i="3"/>
  <c r="E138" i="3" s="1"/>
  <c r="F80" i="3"/>
  <c r="E80" i="3" s="1"/>
  <c r="F81" i="3"/>
  <c r="E81" i="3" s="1"/>
  <c r="F82" i="3"/>
  <c r="E82" i="3" s="1"/>
  <c r="F83" i="3"/>
  <c r="E83" i="3" s="1"/>
  <c r="F84" i="3"/>
  <c r="E84" i="3" s="1"/>
  <c r="F85" i="3"/>
  <c r="E85" i="3" s="1"/>
  <c r="F86" i="3"/>
  <c r="E86" i="3" s="1"/>
  <c r="F87" i="3"/>
  <c r="E87" i="3" s="1"/>
  <c r="F88" i="3"/>
  <c r="E88" i="3" s="1"/>
  <c r="F89" i="3"/>
  <c r="E89" i="3" s="1"/>
  <c r="F90" i="3"/>
  <c r="E90" i="3" s="1"/>
  <c r="F91" i="3"/>
  <c r="E91" i="3" s="1"/>
  <c r="F92" i="3"/>
  <c r="E92" i="3" s="1"/>
  <c r="F93" i="3"/>
  <c r="E93" i="3" s="1"/>
  <c r="F94" i="3"/>
  <c r="E94" i="3" s="1"/>
  <c r="F95" i="3"/>
  <c r="E95" i="3" s="1"/>
  <c r="F96" i="3"/>
  <c r="E96" i="3" s="1"/>
  <c r="F97" i="3"/>
  <c r="E97" i="3" s="1"/>
  <c r="F98" i="3"/>
  <c r="E98" i="3" s="1"/>
  <c r="F99" i="3"/>
  <c r="E99" i="3" s="1"/>
  <c r="F100" i="3"/>
  <c r="E100" i="3" s="1"/>
  <c r="F101" i="3"/>
  <c r="E101" i="3" s="1"/>
  <c r="F102" i="3"/>
  <c r="E102" i="3" s="1"/>
  <c r="F103" i="3"/>
  <c r="E103" i="3" s="1"/>
  <c r="F104" i="3"/>
  <c r="E104" i="3" s="1"/>
  <c r="F105" i="3"/>
  <c r="E105" i="3" s="1"/>
  <c r="F106" i="3"/>
  <c r="E106" i="3" s="1"/>
  <c r="F107" i="3"/>
  <c r="E107" i="3" s="1"/>
  <c r="F108" i="3"/>
  <c r="E108" i="3" s="1"/>
  <c r="F109" i="3"/>
  <c r="E109" i="3" s="1"/>
  <c r="F110" i="3"/>
  <c r="E110" i="3" s="1"/>
  <c r="F111" i="3"/>
  <c r="E111" i="3" s="1"/>
  <c r="F112" i="3"/>
  <c r="E112" i="3" s="1"/>
  <c r="F113" i="3"/>
  <c r="E113" i="3" s="1"/>
  <c r="F114" i="3"/>
  <c r="E114" i="3" s="1"/>
  <c r="F115" i="3"/>
  <c r="E115" i="3" s="1"/>
  <c r="F116" i="3"/>
  <c r="E116" i="3" s="1"/>
  <c r="F117" i="3"/>
  <c r="E117" i="3" s="1"/>
  <c r="F118" i="3"/>
  <c r="E118" i="3" s="1"/>
  <c r="F119" i="3"/>
  <c r="E119" i="3" s="1"/>
  <c r="F120" i="3"/>
  <c r="E120" i="3" s="1"/>
  <c r="F121" i="3"/>
  <c r="E121" i="3" s="1"/>
  <c r="F122" i="3"/>
  <c r="E122" i="3" s="1"/>
  <c r="F123" i="3"/>
  <c r="E123" i="3" s="1"/>
  <c r="F124" i="3"/>
  <c r="E124" i="3" s="1"/>
  <c r="F125" i="3"/>
  <c r="E125" i="3" s="1"/>
  <c r="F126" i="3"/>
  <c r="E126" i="3" s="1"/>
  <c r="F127" i="3"/>
  <c r="E127" i="3" s="1"/>
  <c r="F128" i="3"/>
  <c r="E128" i="3" s="1"/>
  <c r="F129" i="3"/>
  <c r="E129" i="3" s="1"/>
  <c r="F130" i="3"/>
  <c r="E130" i="3" s="1"/>
  <c r="F131" i="3"/>
  <c r="E131" i="3" s="1"/>
  <c r="F132" i="3"/>
  <c r="E132" i="3" s="1"/>
  <c r="F133" i="3"/>
  <c r="E133" i="3" s="1"/>
  <c r="F134" i="3"/>
  <c r="E134" i="3" s="1"/>
  <c r="F135" i="3"/>
  <c r="E135" i="3" s="1"/>
  <c r="F79" i="3"/>
  <c r="E79" i="3" s="1"/>
  <c r="F53" i="3"/>
  <c r="E53" i="3" s="1"/>
  <c r="F54" i="3"/>
  <c r="E54" i="3" s="1"/>
  <c r="F55" i="3"/>
  <c r="E55" i="3" s="1"/>
  <c r="F56" i="3"/>
  <c r="E56" i="3" s="1"/>
  <c r="F57" i="3"/>
  <c r="E57" i="3" s="1"/>
  <c r="F58" i="3"/>
  <c r="E58" i="3" s="1"/>
  <c r="F59" i="3"/>
  <c r="E59" i="3" s="1"/>
  <c r="F60" i="3"/>
  <c r="E60" i="3" s="1"/>
  <c r="F61" i="3"/>
  <c r="E61" i="3" s="1"/>
  <c r="F62" i="3"/>
  <c r="E62" i="3" s="1"/>
  <c r="F63" i="3"/>
  <c r="E63" i="3" s="1"/>
  <c r="F64" i="3"/>
  <c r="E64" i="3" s="1"/>
  <c r="F65" i="3"/>
  <c r="E65" i="3" s="1"/>
  <c r="F66" i="3"/>
  <c r="E66" i="3" s="1"/>
  <c r="F67" i="3"/>
  <c r="E67" i="3" s="1"/>
  <c r="F68" i="3"/>
  <c r="E68" i="3" s="1"/>
  <c r="F69" i="3"/>
  <c r="E69" i="3" s="1"/>
  <c r="F70" i="3"/>
  <c r="E70" i="3" s="1"/>
  <c r="F71" i="3"/>
  <c r="E71" i="3" s="1"/>
  <c r="F72" i="3"/>
  <c r="E72" i="3" s="1"/>
  <c r="F73" i="3"/>
  <c r="E73" i="3" s="1"/>
  <c r="F74" i="3"/>
  <c r="E74" i="3" s="1"/>
  <c r="F75" i="3"/>
  <c r="E75" i="3" s="1"/>
  <c r="F76" i="3"/>
  <c r="E76" i="3" s="1"/>
  <c r="F77" i="3"/>
  <c r="E77" i="3" s="1"/>
  <c r="F78" i="3"/>
  <c r="E78" i="3" s="1"/>
  <c r="F52" i="3"/>
  <c r="E52" i="3" s="1"/>
  <c r="F35" i="3"/>
  <c r="E35" i="3" s="1"/>
  <c r="F36" i="3"/>
  <c r="E36" i="3" s="1"/>
  <c r="F37" i="3"/>
  <c r="E37" i="3" s="1"/>
  <c r="F38" i="3"/>
  <c r="E38" i="3" s="1"/>
  <c r="F39" i="3"/>
  <c r="E39" i="3" s="1"/>
  <c r="F40" i="3"/>
  <c r="E40" i="3" s="1"/>
  <c r="F41" i="3"/>
  <c r="E41" i="3" s="1"/>
  <c r="F42" i="3"/>
  <c r="E42" i="3" s="1"/>
  <c r="F43" i="3"/>
  <c r="E43" i="3" s="1"/>
  <c r="F44" i="3"/>
  <c r="E44" i="3" s="1"/>
  <c r="F45" i="3"/>
  <c r="E45" i="3" s="1"/>
  <c r="F46" i="3"/>
  <c r="E46" i="3" s="1"/>
  <c r="F47" i="3"/>
  <c r="E47" i="3" s="1"/>
  <c r="F48" i="3"/>
  <c r="E48" i="3" s="1"/>
  <c r="F34" i="3"/>
  <c r="E34" i="3" s="1"/>
  <c r="F24" i="3"/>
  <c r="E24" i="3" s="1"/>
  <c r="F25" i="3"/>
  <c r="E25" i="3" s="1"/>
  <c r="F26" i="3"/>
  <c r="E26" i="3" s="1"/>
  <c r="F27" i="3"/>
  <c r="E27" i="3" s="1"/>
  <c r="F28" i="3"/>
  <c r="E28" i="3" s="1"/>
  <c r="F29" i="3"/>
  <c r="E29" i="3" s="1"/>
  <c r="F30" i="3"/>
  <c r="E30" i="3" s="1"/>
  <c r="F14" i="3"/>
  <c r="E14" i="3" s="1"/>
  <c r="F15" i="3"/>
  <c r="E15" i="3" s="1"/>
  <c r="F16" i="3"/>
  <c r="E16" i="3" s="1"/>
  <c r="F17" i="3"/>
  <c r="E17" i="3" s="1"/>
  <c r="F18" i="3"/>
  <c r="E18" i="3" s="1"/>
  <c r="F19" i="3"/>
  <c r="E19" i="3" s="1"/>
  <c r="F20" i="3"/>
  <c r="E20" i="3" s="1"/>
  <c r="F21" i="3"/>
  <c r="E21" i="3" s="1"/>
  <c r="F22" i="3"/>
  <c r="E22" i="3" s="1"/>
  <c r="F23" i="3"/>
  <c r="E23" i="3" s="1"/>
  <c r="F13" i="3"/>
  <c r="E13" i="3" s="1"/>
  <c r="A53" i="3"/>
  <c r="B53" i="3"/>
  <c r="C53" i="3"/>
  <c r="D53" i="3"/>
  <c r="A54" i="3"/>
  <c r="B54" i="3"/>
  <c r="C54" i="3"/>
  <c r="D54" i="3"/>
  <c r="A55" i="3"/>
  <c r="B55" i="3"/>
  <c r="B6" i="210" s="1"/>
  <c r="C55" i="3"/>
  <c r="D55" i="3"/>
  <c r="A56" i="3"/>
  <c r="B56" i="3"/>
  <c r="C56" i="3"/>
  <c r="D56" i="3"/>
  <c r="A57" i="3"/>
  <c r="B57" i="3"/>
  <c r="C57" i="3"/>
  <c r="D57" i="3"/>
  <c r="A58" i="3"/>
  <c r="B58" i="3"/>
  <c r="C58" i="3"/>
  <c r="D58" i="3"/>
  <c r="A59" i="3"/>
  <c r="B59" i="3"/>
  <c r="C59" i="3"/>
  <c r="D59" i="3"/>
  <c r="A60" i="3"/>
  <c r="B60" i="3"/>
  <c r="C60" i="3"/>
  <c r="D60" i="3"/>
  <c r="A61" i="3"/>
  <c r="B61" i="3"/>
  <c r="C61" i="3"/>
  <c r="D61" i="3"/>
  <c r="A62" i="3"/>
  <c r="B62" i="3"/>
  <c r="C62" i="3"/>
  <c r="D62" i="3"/>
  <c r="A63" i="3"/>
  <c r="B63" i="3"/>
  <c r="C63" i="3"/>
  <c r="D63" i="3"/>
  <c r="A64" i="3"/>
  <c r="B64" i="3"/>
  <c r="C64" i="3"/>
  <c r="D64" i="3"/>
  <c r="A65" i="3"/>
  <c r="B65" i="3"/>
  <c r="C65" i="3"/>
  <c r="D65" i="3"/>
  <c r="A66" i="3"/>
  <c r="B66" i="3"/>
  <c r="C66" i="3"/>
  <c r="D66" i="3"/>
  <c r="A67" i="3"/>
  <c r="B67" i="3"/>
  <c r="C67" i="3"/>
  <c r="D67" i="3"/>
  <c r="A68" i="3"/>
  <c r="B68" i="3"/>
  <c r="C68" i="3"/>
  <c r="D68" i="3"/>
  <c r="A69" i="3"/>
  <c r="B69" i="3"/>
  <c r="C69" i="3"/>
  <c r="D69" i="3"/>
  <c r="A70" i="3"/>
  <c r="B70" i="3"/>
  <c r="C70" i="3"/>
  <c r="D70" i="3"/>
  <c r="A71" i="3"/>
  <c r="B71" i="3"/>
  <c r="C71" i="3"/>
  <c r="D71" i="3"/>
  <c r="A72" i="3"/>
  <c r="B72" i="3"/>
  <c r="C72" i="3"/>
  <c r="D72" i="3"/>
  <c r="A73" i="3"/>
  <c r="B73" i="3"/>
  <c r="C73" i="3"/>
  <c r="D73" i="3"/>
  <c r="A74" i="3"/>
  <c r="B74" i="3"/>
  <c r="C74" i="3"/>
  <c r="D74" i="3"/>
  <c r="A75" i="3"/>
  <c r="B75" i="3"/>
  <c r="C75" i="3"/>
  <c r="D75" i="3"/>
  <c r="A76" i="3"/>
  <c r="B76" i="3"/>
  <c r="C76" i="3"/>
  <c r="D76" i="3"/>
  <c r="A77" i="3"/>
  <c r="B77" i="3"/>
  <c r="C77" i="3"/>
  <c r="D77" i="3"/>
  <c r="A78" i="3"/>
  <c r="B78" i="3"/>
  <c r="C78" i="3"/>
  <c r="D78" i="3"/>
  <c r="A79" i="3"/>
  <c r="B79" i="3"/>
  <c r="C79" i="3"/>
  <c r="D79" i="3"/>
  <c r="A80" i="3"/>
  <c r="B80" i="3"/>
  <c r="C80" i="3"/>
  <c r="D80" i="3"/>
  <c r="A81" i="3"/>
  <c r="B81" i="3"/>
  <c r="C81" i="3"/>
  <c r="D81" i="3"/>
  <c r="A82" i="3"/>
  <c r="B82" i="3"/>
  <c r="C82" i="3"/>
  <c r="D82" i="3"/>
  <c r="A83" i="3"/>
  <c r="B83" i="3"/>
  <c r="C83" i="3"/>
  <c r="D83" i="3"/>
  <c r="A84" i="3"/>
  <c r="B84" i="3"/>
  <c r="C84" i="3"/>
  <c r="D84" i="3"/>
  <c r="A85" i="3"/>
  <c r="B85" i="3"/>
  <c r="C85" i="3"/>
  <c r="D85" i="3"/>
  <c r="A86" i="3"/>
  <c r="B86" i="3"/>
  <c r="C86" i="3"/>
  <c r="D86" i="3"/>
  <c r="A87" i="3"/>
  <c r="B87" i="3"/>
  <c r="B19" i="210" s="1"/>
  <c r="C87" i="3"/>
  <c r="D87" i="3"/>
  <c r="A88" i="3"/>
  <c r="B88" i="3"/>
  <c r="C88" i="3"/>
  <c r="D88" i="3"/>
  <c r="A89" i="3"/>
  <c r="B89" i="3"/>
  <c r="C89" i="3"/>
  <c r="D89" i="3"/>
  <c r="A90" i="3"/>
  <c r="B90" i="3"/>
  <c r="C90" i="3"/>
  <c r="D90" i="3"/>
  <c r="A91" i="3"/>
  <c r="B91" i="3"/>
  <c r="C91" i="3"/>
  <c r="D91" i="3"/>
  <c r="A92" i="3"/>
  <c r="B92" i="3"/>
  <c r="C92" i="3"/>
  <c r="D92" i="3"/>
  <c r="A93" i="3"/>
  <c r="B93" i="3"/>
  <c r="C93" i="3"/>
  <c r="D93" i="3"/>
  <c r="A94" i="3"/>
  <c r="B94" i="3"/>
  <c r="C94" i="3"/>
  <c r="D94" i="3"/>
  <c r="A95" i="3"/>
  <c r="B95" i="3"/>
  <c r="C95" i="3"/>
  <c r="D95" i="3"/>
  <c r="A96" i="3"/>
  <c r="B96" i="3"/>
  <c r="C96" i="3"/>
  <c r="D96" i="3"/>
  <c r="A97" i="3"/>
  <c r="B97" i="3"/>
  <c r="C97" i="3"/>
  <c r="D97" i="3"/>
  <c r="A98" i="3"/>
  <c r="B98" i="3"/>
  <c r="C98" i="3"/>
  <c r="D98" i="3"/>
  <c r="A99" i="3"/>
  <c r="B99" i="3"/>
  <c r="C99" i="3"/>
  <c r="D99" i="3"/>
  <c r="A100" i="3"/>
  <c r="B100" i="3"/>
  <c r="C100" i="3"/>
  <c r="D100" i="3"/>
  <c r="A101" i="3"/>
  <c r="B101" i="3"/>
  <c r="C101" i="3"/>
  <c r="D101" i="3"/>
  <c r="A102" i="3"/>
  <c r="B102" i="3"/>
  <c r="C102" i="3"/>
  <c r="D102" i="3"/>
  <c r="A103" i="3"/>
  <c r="B103" i="3"/>
  <c r="C103" i="3"/>
  <c r="D103" i="3"/>
  <c r="A104" i="3"/>
  <c r="B104" i="3"/>
  <c r="C104" i="3"/>
  <c r="D104" i="3"/>
  <c r="A105" i="3"/>
  <c r="B105" i="3"/>
  <c r="C105" i="3"/>
  <c r="D105" i="3"/>
  <c r="A106" i="3"/>
  <c r="B106" i="3"/>
  <c r="C106" i="3"/>
  <c r="D106" i="3"/>
  <c r="A107" i="3"/>
  <c r="B107" i="3"/>
  <c r="B24" i="210" s="1"/>
  <c r="C107" i="3"/>
  <c r="D107" i="3"/>
  <c r="A108" i="3"/>
  <c r="B108" i="3"/>
  <c r="C108" i="3"/>
  <c r="D108" i="3"/>
  <c r="A109" i="3"/>
  <c r="B109" i="3"/>
  <c r="C109" i="3"/>
  <c r="D109" i="3"/>
  <c r="A110" i="3"/>
  <c r="B110" i="3"/>
  <c r="C110" i="3"/>
  <c r="D110" i="3"/>
  <c r="A111" i="3"/>
  <c r="B111" i="3"/>
  <c r="B28" i="210" s="1"/>
  <c r="C111" i="3"/>
  <c r="D111" i="3"/>
  <c r="A112" i="3"/>
  <c r="B112" i="3"/>
  <c r="C112" i="3"/>
  <c r="D112" i="3"/>
  <c r="A113" i="3"/>
  <c r="B113" i="3"/>
  <c r="C113" i="3"/>
  <c r="D113" i="3"/>
  <c r="A114" i="3"/>
  <c r="B114" i="3"/>
  <c r="C114" i="3"/>
  <c r="D114" i="3"/>
  <c r="A115" i="3"/>
  <c r="B115" i="3"/>
  <c r="C115" i="3"/>
  <c r="D115" i="3"/>
  <c r="A116" i="3"/>
  <c r="B116" i="3"/>
  <c r="C116" i="3"/>
  <c r="D116" i="3"/>
  <c r="A117" i="3"/>
  <c r="B117" i="3"/>
  <c r="C117" i="3"/>
  <c r="D117" i="3"/>
  <c r="A118" i="3"/>
  <c r="B118" i="3"/>
  <c r="C118" i="3"/>
  <c r="D118" i="3"/>
  <c r="A119" i="3"/>
  <c r="B119" i="3"/>
  <c r="C119" i="3"/>
  <c r="D119" i="3"/>
  <c r="A120" i="3"/>
  <c r="B120" i="3"/>
  <c r="C120" i="3"/>
  <c r="D120" i="3"/>
  <c r="A121" i="3"/>
  <c r="B121" i="3"/>
  <c r="C121" i="3"/>
  <c r="D121" i="3"/>
  <c r="A122" i="3"/>
  <c r="B122" i="3"/>
  <c r="C122" i="3"/>
  <c r="D122" i="3"/>
  <c r="A123" i="3"/>
  <c r="B123" i="3"/>
  <c r="C123" i="3"/>
  <c r="D123" i="3"/>
  <c r="A124" i="3"/>
  <c r="B124" i="3"/>
  <c r="C124" i="3"/>
  <c r="D124" i="3"/>
  <c r="A125" i="3"/>
  <c r="B125" i="3"/>
  <c r="C125" i="3"/>
  <c r="D125" i="3"/>
  <c r="A126" i="3"/>
  <c r="B126" i="3"/>
  <c r="C126" i="3"/>
  <c r="D126" i="3"/>
  <c r="A127" i="3"/>
  <c r="B127" i="3"/>
  <c r="C127" i="3"/>
  <c r="D127" i="3"/>
  <c r="A128" i="3"/>
  <c r="B128" i="3"/>
  <c r="C128" i="3"/>
  <c r="D128" i="3"/>
  <c r="A129" i="3"/>
  <c r="B129" i="3"/>
  <c r="C129" i="3"/>
  <c r="D129" i="3"/>
  <c r="A130" i="3"/>
  <c r="B130" i="3"/>
  <c r="C130" i="3"/>
  <c r="D130" i="3"/>
  <c r="A131" i="3"/>
  <c r="B131" i="3"/>
  <c r="C131" i="3"/>
  <c r="D131" i="3"/>
  <c r="A132" i="3"/>
  <c r="B132" i="3"/>
  <c r="C132" i="3"/>
  <c r="D132" i="3"/>
  <c r="A133" i="3"/>
  <c r="B133" i="3"/>
  <c r="C133" i="3"/>
  <c r="D133" i="3"/>
  <c r="A134" i="3"/>
  <c r="B134" i="3"/>
  <c r="C134" i="3"/>
  <c r="D134" i="3"/>
  <c r="A135" i="3"/>
  <c r="B135" i="3"/>
  <c r="C135" i="3"/>
  <c r="D135" i="3"/>
  <c r="A136" i="3"/>
  <c r="B136" i="3"/>
  <c r="C136" i="3"/>
  <c r="D136" i="3"/>
  <c r="A137" i="3"/>
  <c r="B137" i="3"/>
  <c r="C137" i="3"/>
  <c r="D137" i="3"/>
  <c r="A138" i="3"/>
  <c r="B138" i="3"/>
  <c r="C138" i="3"/>
  <c r="D138" i="3"/>
  <c r="A139" i="3"/>
  <c r="B139" i="3"/>
  <c r="C139" i="3"/>
  <c r="D139" i="3"/>
  <c r="A140" i="3"/>
  <c r="B140" i="3"/>
  <c r="C140" i="3"/>
  <c r="D140" i="3"/>
  <c r="A141" i="3"/>
  <c r="B141" i="3"/>
  <c r="C141" i="3"/>
  <c r="D141" i="3"/>
  <c r="A142" i="3"/>
  <c r="B142" i="3"/>
  <c r="C142" i="3"/>
  <c r="D142" i="3"/>
  <c r="A143" i="3"/>
  <c r="B143" i="3"/>
  <c r="C143" i="3"/>
  <c r="D143" i="3"/>
  <c r="A144" i="3"/>
  <c r="B144" i="3"/>
  <c r="C144" i="3"/>
  <c r="D144" i="3"/>
  <c r="A145" i="3"/>
  <c r="B145" i="3"/>
  <c r="C145" i="3"/>
  <c r="D145" i="3"/>
  <c r="A146" i="3"/>
  <c r="B146" i="3"/>
  <c r="C146" i="3"/>
  <c r="D146" i="3"/>
  <c r="A147" i="3"/>
  <c r="B147" i="3"/>
  <c r="C147" i="3"/>
  <c r="D147" i="3"/>
  <c r="A148" i="3"/>
  <c r="B148" i="3"/>
  <c r="C148" i="3"/>
  <c r="D148" i="3"/>
  <c r="A149" i="3"/>
  <c r="B149" i="3"/>
  <c r="C149" i="3"/>
  <c r="D149" i="3"/>
  <c r="A150" i="3"/>
  <c r="B150" i="3"/>
  <c r="C150" i="3"/>
  <c r="D150" i="3"/>
  <c r="A151" i="3"/>
  <c r="B151" i="3"/>
  <c r="C151" i="3"/>
  <c r="D151" i="3"/>
  <c r="A152" i="3"/>
  <c r="B152" i="3"/>
  <c r="C152" i="3"/>
  <c r="D152" i="3"/>
  <c r="A153" i="3"/>
  <c r="B153" i="3"/>
  <c r="C153" i="3"/>
  <c r="D153" i="3"/>
  <c r="A154" i="3"/>
  <c r="B154" i="3"/>
  <c r="D154" i="3"/>
  <c r="A155" i="3"/>
  <c r="B155" i="3"/>
  <c r="C155" i="3"/>
  <c r="D155" i="3"/>
  <c r="A156" i="3"/>
  <c r="B156" i="3"/>
  <c r="C156" i="3"/>
  <c r="D156" i="3"/>
  <c r="A157" i="3"/>
  <c r="B157" i="3"/>
  <c r="C157" i="3"/>
  <c r="D157" i="3"/>
  <c r="A158" i="3"/>
  <c r="B158" i="3"/>
  <c r="C158" i="3"/>
  <c r="D158" i="3"/>
  <c r="A159" i="3"/>
  <c r="B159" i="3"/>
  <c r="C159" i="3"/>
  <c r="D159" i="3"/>
  <c r="A160" i="3"/>
  <c r="B160" i="3"/>
  <c r="C160" i="3"/>
  <c r="D160" i="3"/>
  <c r="A161" i="3"/>
  <c r="B161" i="3"/>
  <c r="C161" i="3"/>
  <c r="D161" i="3"/>
  <c r="A162" i="3"/>
  <c r="B162" i="3"/>
  <c r="C162" i="3"/>
  <c r="D162" i="3"/>
  <c r="A163" i="3"/>
  <c r="B163" i="3"/>
  <c r="C163" i="3"/>
  <c r="D163" i="3"/>
  <c r="A164" i="3"/>
  <c r="B164" i="3"/>
  <c r="C164" i="3"/>
  <c r="D164" i="3"/>
  <c r="A165" i="3"/>
  <c r="B165" i="3"/>
  <c r="C165" i="3"/>
  <c r="D165" i="3"/>
  <c r="A166" i="3"/>
  <c r="B166" i="3"/>
  <c r="C166" i="3"/>
  <c r="D166" i="3"/>
  <c r="A167" i="3"/>
  <c r="B167" i="3"/>
  <c r="C167" i="3"/>
  <c r="D167" i="3"/>
  <c r="A168" i="3"/>
  <c r="B168" i="3"/>
  <c r="C168" i="3"/>
  <c r="D168" i="3"/>
  <c r="A169" i="3"/>
  <c r="B169" i="3"/>
  <c r="C169" i="3"/>
  <c r="D169" i="3"/>
  <c r="A170" i="3"/>
  <c r="B170" i="3"/>
  <c r="C170" i="3"/>
  <c r="D170" i="3"/>
  <c r="A171" i="3"/>
  <c r="B171" i="3"/>
  <c r="C171" i="3"/>
  <c r="D171" i="3"/>
  <c r="A172" i="3"/>
  <c r="B172" i="3"/>
  <c r="C172" i="3"/>
  <c r="D172" i="3"/>
  <c r="A173" i="3"/>
  <c r="B173" i="3"/>
  <c r="C173" i="3"/>
  <c r="D173" i="3"/>
  <c r="A174" i="3"/>
  <c r="B174" i="3"/>
  <c r="C174" i="3"/>
  <c r="D174" i="3"/>
  <c r="A175" i="3"/>
  <c r="B175" i="3"/>
  <c r="C175" i="3"/>
  <c r="D175" i="3"/>
  <c r="A176" i="3"/>
  <c r="B176" i="3"/>
  <c r="C176" i="3"/>
  <c r="D176" i="3"/>
  <c r="A177" i="3"/>
  <c r="B177" i="3"/>
  <c r="C177" i="3"/>
  <c r="D177" i="3"/>
  <c r="A178" i="3"/>
  <c r="B178" i="3"/>
  <c r="C178" i="3"/>
  <c r="D178" i="3"/>
  <c r="A179" i="3"/>
  <c r="B179" i="3"/>
  <c r="C179" i="3"/>
  <c r="D179" i="3"/>
  <c r="A180" i="3"/>
  <c r="B180" i="3"/>
  <c r="C180" i="3"/>
  <c r="D180" i="3"/>
  <c r="A181" i="3"/>
  <c r="B181" i="3"/>
  <c r="C181" i="3"/>
  <c r="D181" i="3"/>
  <c r="A182" i="3"/>
  <c r="B182" i="3"/>
  <c r="C182" i="3"/>
  <c r="D182" i="3"/>
  <c r="A183" i="3"/>
  <c r="B183" i="3"/>
  <c r="C183" i="3"/>
  <c r="D183" i="3"/>
  <c r="A184" i="3"/>
  <c r="B184" i="3"/>
  <c r="C184" i="3"/>
  <c r="D184" i="3"/>
  <c r="A185" i="3"/>
  <c r="B185" i="3"/>
  <c r="C185" i="3"/>
  <c r="D185" i="3"/>
  <c r="A186" i="3"/>
  <c r="B186" i="3"/>
  <c r="C186" i="3"/>
  <c r="D186" i="3"/>
  <c r="A187" i="3"/>
  <c r="B187" i="3"/>
  <c r="C187" i="3"/>
  <c r="D187" i="3"/>
  <c r="A188" i="3"/>
  <c r="B188" i="3"/>
  <c r="C188" i="3"/>
  <c r="D188" i="3"/>
  <c r="A189" i="3"/>
  <c r="B189" i="3"/>
  <c r="C189" i="3"/>
  <c r="D189" i="3"/>
  <c r="A190" i="3"/>
  <c r="B190" i="3"/>
  <c r="C190" i="3"/>
  <c r="D190" i="3"/>
  <c r="A191" i="3"/>
  <c r="B191" i="3"/>
  <c r="C191" i="3"/>
  <c r="C9" i="205" s="1"/>
  <c r="D191" i="3"/>
  <c r="A192" i="3"/>
  <c r="B192" i="3"/>
  <c r="C192" i="3"/>
  <c r="D192" i="3"/>
  <c r="A193" i="3"/>
  <c r="B193" i="3"/>
  <c r="C193" i="3"/>
  <c r="D193" i="3"/>
  <c r="A194" i="3"/>
  <c r="B194" i="3"/>
  <c r="C194" i="3"/>
  <c r="D194" i="3"/>
  <c r="A195" i="3"/>
  <c r="B195" i="3"/>
  <c r="C195" i="3"/>
  <c r="D195" i="3"/>
  <c r="A196" i="3"/>
  <c r="B196" i="3"/>
  <c r="C196" i="3"/>
  <c r="D196" i="3"/>
  <c r="A197" i="3"/>
  <c r="B197" i="3"/>
  <c r="C197" i="3"/>
  <c r="D197" i="3"/>
  <c r="A198" i="3"/>
  <c r="B198" i="3"/>
  <c r="C198" i="3"/>
  <c r="D198" i="3"/>
  <c r="A199" i="3"/>
  <c r="B199" i="3"/>
  <c r="C199" i="3"/>
  <c r="D199" i="3"/>
  <c r="A200" i="3"/>
  <c r="B200" i="3"/>
  <c r="C200" i="3"/>
  <c r="D200" i="3"/>
  <c r="A201" i="3"/>
  <c r="B201" i="3"/>
  <c r="C201" i="3"/>
  <c r="D201" i="3"/>
  <c r="A202" i="3"/>
  <c r="B202" i="3"/>
  <c r="C202" i="3"/>
  <c r="D202" i="3"/>
  <c r="A203" i="3"/>
  <c r="B203" i="3"/>
  <c r="C203" i="3"/>
  <c r="D203" i="3"/>
  <c r="A204" i="3"/>
  <c r="B204" i="3"/>
  <c r="C204" i="3"/>
  <c r="D204" i="3"/>
  <c r="A205" i="3"/>
  <c r="B205" i="3"/>
  <c r="C205" i="3"/>
  <c r="D205" i="3"/>
  <c r="A206" i="3"/>
  <c r="B206" i="3"/>
  <c r="C206" i="3"/>
  <c r="D206" i="3"/>
  <c r="A207" i="3"/>
  <c r="B207" i="3"/>
  <c r="C207" i="3"/>
  <c r="D207" i="3"/>
  <c r="A208" i="3"/>
  <c r="B208" i="3"/>
  <c r="C208" i="3"/>
  <c r="D208" i="3"/>
  <c r="A209" i="3"/>
  <c r="B209" i="3"/>
  <c r="C209" i="3"/>
  <c r="D209" i="3"/>
  <c r="A210" i="3"/>
  <c r="B210" i="3"/>
  <c r="C210" i="3"/>
  <c r="D210" i="3"/>
  <c r="A211" i="3"/>
  <c r="B211" i="3"/>
  <c r="C211" i="3"/>
  <c r="D211" i="3"/>
  <c r="A212" i="3"/>
  <c r="B212" i="3"/>
  <c r="C212" i="3"/>
  <c r="D212" i="3"/>
  <c r="A213" i="3"/>
  <c r="B213" i="3"/>
  <c r="C213" i="3"/>
  <c r="D213" i="3"/>
  <c r="A214" i="3"/>
  <c r="B214" i="3"/>
  <c r="C214" i="3"/>
  <c r="D214" i="3"/>
  <c r="A215" i="3"/>
  <c r="B215" i="3"/>
  <c r="C215" i="3"/>
  <c r="D215" i="3"/>
  <c r="A216" i="3"/>
  <c r="B216" i="3"/>
  <c r="C216" i="3"/>
  <c r="D216" i="3"/>
  <c r="A217" i="3"/>
  <c r="B217" i="3"/>
  <c r="C217" i="3"/>
  <c r="D217" i="3"/>
  <c r="A218" i="3"/>
  <c r="B218" i="3"/>
  <c r="C218" i="3"/>
  <c r="D218" i="3"/>
  <c r="A219" i="3"/>
  <c r="B219" i="3"/>
  <c r="C219" i="3"/>
  <c r="D219" i="3"/>
  <c r="A220" i="3"/>
  <c r="B220" i="3"/>
  <c r="C220" i="3"/>
  <c r="D220" i="3"/>
  <c r="A221" i="3"/>
  <c r="B221" i="3"/>
  <c r="C221" i="3"/>
  <c r="D221" i="3"/>
  <c r="A222" i="3"/>
  <c r="B222" i="3"/>
  <c r="C222" i="3"/>
  <c r="D222" i="3"/>
  <c r="A223" i="3"/>
  <c r="B223" i="3"/>
  <c r="C223" i="3"/>
  <c r="D223" i="3"/>
  <c r="A224" i="3"/>
  <c r="B224" i="3"/>
  <c r="C224" i="3"/>
  <c r="D224" i="3"/>
  <c r="A225" i="3"/>
  <c r="B225" i="3"/>
  <c r="C225" i="3"/>
  <c r="D225" i="3"/>
  <c r="A226" i="3"/>
  <c r="B226" i="3"/>
  <c r="C226" i="3"/>
  <c r="D226" i="3"/>
  <c r="A227" i="3"/>
  <c r="B227" i="3"/>
  <c r="C227" i="3"/>
  <c r="D227" i="3"/>
  <c r="A228" i="3"/>
  <c r="B228" i="3"/>
  <c r="C228" i="3"/>
  <c r="D228" i="3"/>
  <c r="A229" i="3"/>
  <c r="B229" i="3"/>
  <c r="C229" i="3"/>
  <c r="D229" i="3"/>
  <c r="A230" i="3"/>
  <c r="B230" i="3"/>
  <c r="C230" i="3"/>
  <c r="D230" i="3"/>
  <c r="A231" i="3"/>
  <c r="B231" i="3"/>
  <c r="B9" i="210" s="1"/>
  <c r="C231" i="3"/>
  <c r="D231" i="3"/>
  <c r="A232" i="3"/>
  <c r="B232" i="3"/>
  <c r="C232" i="3"/>
  <c r="D232" i="3"/>
  <c r="A233" i="3"/>
  <c r="B233" i="3"/>
  <c r="C233" i="3"/>
  <c r="D233" i="3"/>
  <c r="A234" i="3"/>
  <c r="B234" i="3"/>
  <c r="C234" i="3"/>
  <c r="D234" i="3"/>
  <c r="A235" i="3"/>
  <c r="B235" i="3"/>
  <c r="C235" i="3"/>
  <c r="D235" i="3"/>
  <c r="A236" i="3"/>
  <c r="B236" i="3"/>
  <c r="C236" i="3"/>
  <c r="D236" i="3"/>
  <c r="A237" i="3"/>
  <c r="B237" i="3"/>
  <c r="C237" i="3"/>
  <c r="D237" i="3"/>
  <c r="A238" i="3"/>
  <c r="B238" i="3"/>
  <c r="C238" i="3"/>
  <c r="D238" i="3"/>
  <c r="A239" i="3"/>
  <c r="B239" i="3"/>
  <c r="C239" i="3"/>
  <c r="D239" i="3"/>
  <c r="A240" i="3"/>
  <c r="B240" i="3"/>
  <c r="C240" i="3"/>
  <c r="D240" i="3"/>
  <c r="A241" i="3"/>
  <c r="B241" i="3"/>
  <c r="C241" i="3"/>
  <c r="D241" i="3"/>
  <c r="A242" i="3"/>
  <c r="B242" i="3"/>
  <c r="C242" i="3"/>
  <c r="D242" i="3"/>
  <c r="A243" i="3"/>
  <c r="B243" i="3"/>
  <c r="C243" i="3"/>
  <c r="D243" i="3"/>
  <c r="A244" i="3"/>
  <c r="B244" i="3"/>
  <c r="C244" i="3"/>
  <c r="D244" i="3"/>
  <c r="A245" i="3"/>
  <c r="B245" i="3"/>
  <c r="C245" i="3"/>
  <c r="D245" i="3"/>
  <c r="A246" i="3"/>
  <c r="B246" i="3"/>
  <c r="C246" i="3"/>
  <c r="D246" i="3"/>
  <c r="A247" i="3"/>
  <c r="B247" i="3"/>
  <c r="C247" i="3"/>
  <c r="D247" i="3"/>
  <c r="A248" i="3"/>
  <c r="B248" i="3"/>
  <c r="C248" i="3"/>
  <c r="D248" i="3"/>
  <c r="A249" i="3"/>
  <c r="B249" i="3"/>
  <c r="C249" i="3"/>
  <c r="D249" i="3"/>
  <c r="A250" i="3"/>
  <c r="B250" i="3"/>
  <c r="C250" i="3"/>
  <c r="D250" i="3"/>
  <c r="A251" i="3"/>
  <c r="B251" i="3"/>
  <c r="C251" i="3"/>
  <c r="D251" i="3"/>
  <c r="A252" i="3"/>
  <c r="B252" i="3"/>
  <c r="C252" i="3"/>
  <c r="D252" i="3"/>
  <c r="A253" i="3"/>
  <c r="B253" i="3"/>
  <c r="C253" i="3"/>
  <c r="D253" i="3"/>
  <c r="A254" i="3"/>
  <c r="B254" i="3"/>
  <c r="C254" i="3"/>
  <c r="D254" i="3"/>
  <c r="A255" i="3"/>
  <c r="B255" i="3"/>
  <c r="C255" i="3"/>
  <c r="D255" i="3"/>
  <c r="A256" i="3"/>
  <c r="B256" i="3"/>
  <c r="C256" i="3"/>
  <c r="D256" i="3"/>
  <c r="A257" i="3"/>
  <c r="B257" i="3"/>
  <c r="C257" i="3"/>
  <c r="D257" i="3"/>
  <c r="A258" i="3"/>
  <c r="B258" i="3"/>
  <c r="C258" i="3"/>
  <c r="D258" i="3"/>
  <c r="A259" i="3"/>
  <c r="B259" i="3"/>
  <c r="C259" i="3"/>
  <c r="D259" i="3"/>
  <c r="A260" i="3"/>
  <c r="B260" i="3"/>
  <c r="C260" i="3"/>
  <c r="D260" i="3"/>
  <c r="A261" i="3"/>
  <c r="B261" i="3"/>
  <c r="C261" i="3"/>
  <c r="D261" i="3"/>
  <c r="A262" i="3"/>
  <c r="B262" i="3"/>
  <c r="C262" i="3"/>
  <c r="D262" i="3"/>
  <c r="A263" i="3"/>
  <c r="B263" i="3"/>
  <c r="C263" i="3"/>
  <c r="D263" i="3"/>
  <c r="A264" i="3"/>
  <c r="B264" i="3"/>
  <c r="C264" i="3"/>
  <c r="D264" i="3"/>
  <c r="A265" i="3"/>
  <c r="B265" i="3"/>
  <c r="C265" i="3"/>
  <c r="D265" i="3"/>
  <c r="A266" i="3"/>
  <c r="B266" i="3"/>
  <c r="C266" i="3"/>
  <c r="D266" i="3"/>
  <c r="A267" i="3"/>
  <c r="B267" i="3"/>
  <c r="C267" i="3"/>
  <c r="D267" i="3"/>
  <c r="A268" i="3"/>
  <c r="B268" i="3"/>
  <c r="C268" i="3"/>
  <c r="D268" i="3"/>
  <c r="A269" i="3"/>
  <c r="B269" i="3"/>
  <c r="C269" i="3"/>
  <c r="D269" i="3"/>
  <c r="A270" i="3"/>
  <c r="B270" i="3"/>
  <c r="C270" i="3"/>
  <c r="D270" i="3"/>
  <c r="A271" i="3"/>
  <c r="B271" i="3"/>
  <c r="C271" i="3"/>
  <c r="D271" i="3"/>
  <c r="A272" i="3"/>
  <c r="B272" i="3"/>
  <c r="C272" i="3"/>
  <c r="D272" i="3"/>
  <c r="A273" i="3"/>
  <c r="B273" i="3"/>
  <c r="C273" i="3"/>
  <c r="D273" i="3"/>
  <c r="A274" i="3"/>
  <c r="B274" i="3"/>
  <c r="C274" i="3"/>
  <c r="D274" i="3"/>
  <c r="A275" i="3"/>
  <c r="B275" i="3"/>
  <c r="C275" i="3"/>
  <c r="D275" i="3"/>
  <c r="A276" i="3"/>
  <c r="B276" i="3"/>
  <c r="C276" i="3"/>
  <c r="D276" i="3"/>
  <c r="A277" i="3"/>
  <c r="B277" i="3"/>
  <c r="C277" i="3"/>
  <c r="D277" i="3"/>
  <c r="A278" i="3"/>
  <c r="B278" i="3"/>
  <c r="C278" i="3"/>
  <c r="D278" i="3"/>
  <c r="A279" i="3"/>
  <c r="B279" i="3"/>
  <c r="C279" i="3"/>
  <c r="D279" i="3"/>
  <c r="A280" i="3"/>
  <c r="B280" i="3"/>
  <c r="C280" i="3"/>
  <c r="D280" i="3"/>
  <c r="A281" i="3"/>
  <c r="B281" i="3"/>
  <c r="C281" i="3"/>
  <c r="D281" i="3"/>
  <c r="A282" i="3"/>
  <c r="B282" i="3"/>
  <c r="C282" i="3"/>
  <c r="D282" i="3"/>
  <c r="A283" i="3"/>
  <c r="A19" i="78" s="1"/>
  <c r="B283" i="3"/>
  <c r="C283" i="3"/>
  <c r="D283" i="3"/>
  <c r="A284" i="3"/>
  <c r="B284" i="3"/>
  <c r="C284" i="3"/>
  <c r="D284" i="3"/>
  <c r="A285" i="3"/>
  <c r="B285" i="3"/>
  <c r="C285" i="3"/>
  <c r="D285" i="3"/>
  <c r="A286" i="3"/>
  <c r="B286" i="3"/>
  <c r="C286" i="3"/>
  <c r="D286" i="3"/>
  <c r="A287" i="3"/>
  <c r="B287" i="3"/>
  <c r="B22" i="210" s="1"/>
  <c r="C287" i="3"/>
  <c r="D287" i="3"/>
  <c r="A288" i="3"/>
  <c r="B288" i="3"/>
  <c r="C288" i="3"/>
  <c r="D288" i="3"/>
  <c r="A289" i="3"/>
  <c r="B289" i="3"/>
  <c r="C289" i="3"/>
  <c r="D289" i="3"/>
  <c r="A290" i="3"/>
  <c r="B290" i="3"/>
  <c r="C290" i="3"/>
  <c r="D290" i="3"/>
  <c r="A291" i="3"/>
  <c r="B291" i="3"/>
  <c r="C291" i="3"/>
  <c r="D291" i="3"/>
  <c r="A292" i="3"/>
  <c r="B292" i="3"/>
  <c r="C292" i="3"/>
  <c r="D292" i="3"/>
  <c r="A293" i="3"/>
  <c r="B293" i="3"/>
  <c r="C293" i="3"/>
  <c r="D293" i="3"/>
  <c r="A294" i="3"/>
  <c r="B294" i="3"/>
  <c r="C294" i="3"/>
  <c r="D294" i="3"/>
  <c r="A295" i="3"/>
  <c r="B295" i="3"/>
  <c r="C295" i="3"/>
  <c r="D295" i="3"/>
  <c r="A296" i="3"/>
  <c r="B296" i="3"/>
  <c r="C296" i="3"/>
  <c r="D296" i="3"/>
  <c r="A297" i="3"/>
  <c r="B297" i="3"/>
  <c r="C297" i="3"/>
  <c r="D297" i="3"/>
  <c r="A298" i="3"/>
  <c r="B298" i="3"/>
  <c r="C298" i="3"/>
  <c r="D298" i="3"/>
  <c r="A299" i="3"/>
  <c r="B299" i="3"/>
  <c r="C299" i="3"/>
  <c r="D299" i="3"/>
  <c r="A300" i="3"/>
  <c r="B300" i="3"/>
  <c r="C300" i="3"/>
  <c r="D300" i="3"/>
  <c r="A301" i="3"/>
  <c r="B301" i="3"/>
  <c r="C301" i="3"/>
  <c r="D301" i="3"/>
  <c r="A302" i="3"/>
  <c r="B302" i="3"/>
  <c r="C302" i="3"/>
  <c r="D302" i="3"/>
  <c r="A303" i="3"/>
  <c r="B303" i="3"/>
  <c r="C303" i="3"/>
  <c r="D303" i="3"/>
  <c r="A304" i="3"/>
  <c r="B304" i="3"/>
  <c r="C304" i="3"/>
  <c r="D304" i="3"/>
  <c r="A305" i="3"/>
  <c r="B305" i="3"/>
  <c r="C305" i="3"/>
  <c r="D305" i="3"/>
  <c r="A306" i="3"/>
  <c r="B306" i="3"/>
  <c r="D306" i="3"/>
  <c r="A307" i="3"/>
  <c r="B307" i="3"/>
  <c r="C307" i="3"/>
  <c r="D307" i="3"/>
  <c r="A308" i="3"/>
  <c r="B308" i="3"/>
  <c r="C308" i="3"/>
  <c r="D308" i="3"/>
  <c r="A309" i="3"/>
  <c r="B309" i="3"/>
  <c r="C309" i="3"/>
  <c r="D309" i="3"/>
  <c r="A310" i="3"/>
  <c r="B310" i="3"/>
  <c r="C310" i="3"/>
  <c r="D310" i="3"/>
  <c r="A311" i="3"/>
  <c r="B311" i="3"/>
  <c r="C311" i="3"/>
  <c r="D311" i="3"/>
  <c r="A312" i="3"/>
  <c r="B312" i="3"/>
  <c r="C312" i="3"/>
  <c r="D312" i="3"/>
  <c r="A313" i="3"/>
  <c r="B313" i="3"/>
  <c r="C313" i="3"/>
  <c r="D313" i="3"/>
  <c r="A314" i="3"/>
  <c r="B314" i="3"/>
  <c r="C314" i="3"/>
  <c r="D314" i="3"/>
  <c r="A315" i="3"/>
  <c r="B315" i="3"/>
  <c r="C315" i="3"/>
  <c r="D315" i="3"/>
  <c r="A316" i="3"/>
  <c r="B316" i="3"/>
  <c r="C316" i="3"/>
  <c r="D316" i="3"/>
  <c r="A317" i="3"/>
  <c r="B317" i="3"/>
  <c r="C317" i="3"/>
  <c r="D317" i="3"/>
  <c r="A318" i="3"/>
  <c r="B318" i="3"/>
  <c r="C318" i="3"/>
  <c r="D318" i="3"/>
  <c r="A319" i="3"/>
  <c r="B319" i="3"/>
  <c r="C319" i="3"/>
  <c r="D319" i="3"/>
  <c r="A320" i="3"/>
  <c r="B320" i="3"/>
  <c r="C320" i="3"/>
  <c r="D320" i="3"/>
  <c r="A321" i="3"/>
  <c r="B321" i="3"/>
  <c r="C321" i="3"/>
  <c r="D321" i="3"/>
  <c r="A322" i="3"/>
  <c r="B322" i="3"/>
  <c r="C322" i="3"/>
  <c r="D322" i="3"/>
  <c r="A323" i="3"/>
  <c r="B323" i="3"/>
  <c r="C323" i="3"/>
  <c r="D323" i="3"/>
  <c r="A324" i="3"/>
  <c r="B324" i="3"/>
  <c r="C324" i="3"/>
  <c r="D324" i="3"/>
  <c r="A325" i="3"/>
  <c r="B325" i="3"/>
  <c r="C325" i="3"/>
  <c r="D325" i="3"/>
  <c r="A326" i="3"/>
  <c r="B326" i="3"/>
  <c r="C326" i="3"/>
  <c r="D326" i="3"/>
  <c r="A327" i="3"/>
  <c r="B327" i="3"/>
  <c r="C327" i="3"/>
  <c r="D327" i="3"/>
  <c r="A328" i="3"/>
  <c r="B328" i="3"/>
  <c r="C328" i="3"/>
  <c r="D328" i="3"/>
  <c r="A329" i="3"/>
  <c r="B329" i="3"/>
  <c r="C329" i="3"/>
  <c r="D329" i="3"/>
  <c r="A330" i="3"/>
  <c r="B330" i="3"/>
  <c r="C330" i="3"/>
  <c r="D330" i="3"/>
  <c r="A331" i="3"/>
  <c r="B331" i="3"/>
  <c r="C331" i="3"/>
  <c r="D331" i="3"/>
  <c r="A332" i="3"/>
  <c r="B332" i="3"/>
  <c r="B11" i="78" s="1"/>
  <c r="C332" i="3"/>
  <c r="D332" i="3"/>
  <c r="A333" i="3"/>
  <c r="B333" i="3"/>
  <c r="C333" i="3"/>
  <c r="D333" i="3"/>
  <c r="A334" i="3"/>
  <c r="B334" i="3"/>
  <c r="C334" i="3"/>
  <c r="D334" i="3"/>
  <c r="A335" i="3"/>
  <c r="B335" i="3"/>
  <c r="C335" i="3"/>
  <c r="D335" i="3"/>
  <c r="A336" i="3"/>
  <c r="B336" i="3"/>
  <c r="C336" i="3"/>
  <c r="D336" i="3"/>
  <c r="A337" i="3"/>
  <c r="B337" i="3"/>
  <c r="C337" i="3"/>
  <c r="D337" i="3"/>
  <c r="A338" i="3"/>
  <c r="B338" i="3"/>
  <c r="C338" i="3"/>
  <c r="D338" i="3"/>
  <c r="A339" i="3"/>
  <c r="B339" i="3"/>
  <c r="C339" i="3"/>
  <c r="D339" i="3"/>
  <c r="A340" i="3"/>
  <c r="B340" i="3"/>
  <c r="C340" i="3"/>
  <c r="D340" i="3"/>
  <c r="A341" i="3"/>
  <c r="B341" i="3"/>
  <c r="C341" i="3"/>
  <c r="C17" i="78" s="1"/>
  <c r="D341" i="3"/>
  <c r="A342" i="3"/>
  <c r="B342" i="3"/>
  <c r="C342" i="3"/>
  <c r="D342" i="3"/>
  <c r="A343" i="3"/>
  <c r="B343" i="3"/>
  <c r="C343" i="3"/>
  <c r="D343" i="3"/>
  <c r="A344" i="3"/>
  <c r="B344" i="3"/>
  <c r="C344" i="3"/>
  <c r="D344" i="3"/>
  <c r="A345" i="3"/>
  <c r="B345" i="3"/>
  <c r="C345" i="3"/>
  <c r="D345" i="3"/>
  <c r="A346" i="3"/>
  <c r="B346" i="3"/>
  <c r="C346" i="3"/>
  <c r="D346" i="3"/>
  <c r="A347" i="3"/>
  <c r="B347" i="3"/>
  <c r="C347" i="3"/>
  <c r="D347" i="3"/>
  <c r="A348" i="3"/>
  <c r="B348" i="3"/>
  <c r="C348" i="3"/>
  <c r="D348" i="3"/>
  <c r="A349" i="3"/>
  <c r="B349" i="3"/>
  <c r="C349" i="3"/>
  <c r="D349" i="3"/>
  <c r="A350" i="3"/>
  <c r="B350" i="3"/>
  <c r="C350" i="3"/>
  <c r="D350" i="3"/>
  <c r="A351" i="3"/>
  <c r="B351" i="3"/>
  <c r="C351" i="3"/>
  <c r="D351" i="3"/>
  <c r="A352" i="3"/>
  <c r="B352" i="3"/>
  <c r="C352" i="3"/>
  <c r="D352" i="3"/>
  <c r="A353" i="3"/>
  <c r="B353" i="3"/>
  <c r="C353" i="3"/>
  <c r="D353" i="3"/>
  <c r="A354" i="3"/>
  <c r="B354" i="3"/>
  <c r="C354" i="3"/>
  <c r="D354" i="3"/>
  <c r="A355" i="3"/>
  <c r="A28" i="78" s="1"/>
  <c r="B355" i="3"/>
  <c r="C355" i="3"/>
  <c r="D355" i="3"/>
  <c r="A356" i="3"/>
  <c r="B356" i="3"/>
  <c r="C356" i="3"/>
  <c r="D356" i="3"/>
  <c r="A357" i="3"/>
  <c r="B357" i="3"/>
  <c r="C357" i="3"/>
  <c r="D357" i="3"/>
  <c r="A358" i="3"/>
  <c r="B358" i="3"/>
  <c r="C358" i="3"/>
  <c r="D358" i="3"/>
  <c r="A359" i="3"/>
  <c r="B359" i="3"/>
  <c r="C359" i="3"/>
  <c r="D359" i="3"/>
  <c r="A360" i="3"/>
  <c r="B360" i="3"/>
  <c r="C360" i="3"/>
  <c r="D360" i="3"/>
  <c r="A361" i="3"/>
  <c r="B361" i="3"/>
  <c r="C361" i="3"/>
  <c r="D361" i="3"/>
  <c r="A362" i="3"/>
  <c r="B362" i="3"/>
  <c r="C362" i="3"/>
  <c r="D362" i="3"/>
  <c r="A363" i="3"/>
  <c r="B363" i="3"/>
  <c r="C363" i="3"/>
  <c r="D363" i="3"/>
  <c r="A364" i="3"/>
  <c r="B364" i="3"/>
  <c r="C364" i="3"/>
  <c r="D364" i="3"/>
  <c r="A365" i="3"/>
  <c r="B365" i="3"/>
  <c r="C365" i="3"/>
  <c r="D365" i="3"/>
  <c r="A366" i="3"/>
  <c r="B366" i="3"/>
  <c r="C366" i="3"/>
  <c r="D366" i="3"/>
  <c r="A367" i="3"/>
  <c r="B367" i="3"/>
  <c r="C367" i="3"/>
  <c r="D367" i="3"/>
  <c r="A368" i="3"/>
  <c r="B368" i="3"/>
  <c r="C368" i="3"/>
  <c r="D368" i="3"/>
  <c r="A369" i="3"/>
  <c r="B369" i="3"/>
  <c r="C369" i="3"/>
  <c r="D369" i="3"/>
  <c r="A370" i="3"/>
  <c r="B370" i="3"/>
  <c r="C370" i="3"/>
  <c r="D370" i="3"/>
  <c r="A371" i="3"/>
  <c r="B371" i="3"/>
  <c r="C371" i="3"/>
  <c r="D371" i="3"/>
  <c r="A372" i="3"/>
  <c r="B372" i="3"/>
  <c r="C372" i="3"/>
  <c r="D372" i="3"/>
  <c r="A373" i="3"/>
  <c r="B373" i="3"/>
  <c r="C373" i="3"/>
  <c r="D373" i="3"/>
  <c r="A374" i="3"/>
  <c r="B374" i="3"/>
  <c r="C374" i="3"/>
  <c r="D374" i="3"/>
  <c r="A375" i="3"/>
  <c r="B375" i="3"/>
  <c r="C375" i="3"/>
  <c r="D375" i="3"/>
  <c r="A376" i="3"/>
  <c r="B376" i="3"/>
  <c r="C376" i="3"/>
  <c r="D376" i="3"/>
  <c r="A377" i="3"/>
  <c r="B377" i="3"/>
  <c r="C377" i="3"/>
  <c r="D377" i="3"/>
  <c r="A378" i="3"/>
  <c r="B378" i="3"/>
  <c r="C378" i="3"/>
  <c r="D378" i="3"/>
  <c r="A379" i="3"/>
  <c r="B379" i="3"/>
  <c r="C379" i="3"/>
  <c r="D379" i="3"/>
  <c r="A380" i="3"/>
  <c r="B380" i="3"/>
  <c r="C380" i="3"/>
  <c r="D380" i="3"/>
  <c r="A381" i="3"/>
  <c r="B381" i="3"/>
  <c r="C381" i="3"/>
  <c r="D381" i="3"/>
  <c r="A382" i="3"/>
  <c r="B382" i="3"/>
  <c r="C382" i="3"/>
  <c r="D382" i="3"/>
  <c r="A383" i="3"/>
  <c r="B383" i="3"/>
  <c r="C383" i="3"/>
  <c r="D383" i="3"/>
  <c r="A384" i="3"/>
  <c r="B384" i="3"/>
  <c r="C384" i="3"/>
  <c r="D384" i="3"/>
  <c r="A385" i="3"/>
  <c r="B385" i="3"/>
  <c r="C385" i="3"/>
  <c r="D385" i="3"/>
  <c r="A386" i="3"/>
  <c r="B386" i="3"/>
  <c r="C386" i="3"/>
  <c r="D386" i="3"/>
  <c r="A387" i="3"/>
  <c r="B387" i="3"/>
  <c r="C387" i="3"/>
  <c r="D387" i="3"/>
  <c r="A388" i="3"/>
  <c r="B388" i="3"/>
  <c r="C388" i="3"/>
  <c r="D388" i="3"/>
  <c r="A389" i="3"/>
  <c r="B389" i="3"/>
  <c r="C389" i="3"/>
  <c r="D389" i="3"/>
  <c r="A390" i="3"/>
  <c r="B390" i="3"/>
  <c r="C390" i="3"/>
  <c r="D390" i="3"/>
  <c r="A391" i="3"/>
  <c r="B391" i="3"/>
  <c r="C391" i="3"/>
  <c r="D391" i="3"/>
  <c r="A392" i="3"/>
  <c r="B392" i="3"/>
  <c r="C392" i="3"/>
  <c r="D392" i="3"/>
  <c r="A393" i="3"/>
  <c r="B393" i="3"/>
  <c r="C393" i="3"/>
  <c r="D393" i="3"/>
  <c r="A394" i="3"/>
  <c r="B394" i="3"/>
  <c r="C394" i="3"/>
  <c r="D394" i="3"/>
  <c r="A395" i="3"/>
  <c r="B395" i="3"/>
  <c r="C395" i="3"/>
  <c r="D395" i="3"/>
  <c r="A396" i="3"/>
  <c r="B396" i="3"/>
  <c r="C396" i="3"/>
  <c r="D396" i="3"/>
  <c r="A397" i="3"/>
  <c r="B397" i="3"/>
  <c r="C397" i="3"/>
  <c r="D397" i="3"/>
  <c r="A398" i="3"/>
  <c r="B398" i="3"/>
  <c r="C398" i="3"/>
  <c r="D398" i="3"/>
  <c r="A399" i="3"/>
  <c r="B399" i="3"/>
  <c r="C399" i="3"/>
  <c r="D399" i="3"/>
  <c r="A400" i="3"/>
  <c r="B400" i="3"/>
  <c r="C400" i="3"/>
  <c r="D400" i="3"/>
  <c r="A401" i="3"/>
  <c r="B401" i="3"/>
  <c r="C401" i="3"/>
  <c r="D401" i="3"/>
  <c r="A402" i="3"/>
  <c r="B402" i="3"/>
  <c r="B8" i="205" s="1"/>
  <c r="C402" i="3"/>
  <c r="D402" i="3"/>
  <c r="A403" i="3"/>
  <c r="B403" i="3"/>
  <c r="C403" i="3"/>
  <c r="D403" i="3"/>
  <c r="A404" i="3"/>
  <c r="B404" i="3"/>
  <c r="C404" i="3"/>
  <c r="D404" i="3"/>
  <c r="A405" i="3"/>
  <c r="B405" i="3"/>
  <c r="C405" i="3"/>
  <c r="D405" i="3"/>
  <c r="A406" i="3"/>
  <c r="B406" i="3"/>
  <c r="C406" i="3"/>
  <c r="D406" i="3"/>
  <c r="A407" i="3"/>
  <c r="B407" i="3"/>
  <c r="C407" i="3"/>
  <c r="D407" i="3"/>
  <c r="A408" i="3"/>
  <c r="B408" i="3"/>
  <c r="C408" i="3"/>
  <c r="D408" i="3"/>
  <c r="A409" i="3"/>
  <c r="B409" i="3"/>
  <c r="C409" i="3"/>
  <c r="D409" i="3"/>
  <c r="A410" i="3"/>
  <c r="B410" i="3"/>
  <c r="C410" i="3"/>
  <c r="D410" i="3"/>
  <c r="A411" i="3"/>
  <c r="B411" i="3"/>
  <c r="C411" i="3"/>
  <c r="D411" i="3"/>
  <c r="A412" i="3"/>
  <c r="B412" i="3"/>
  <c r="C412" i="3"/>
  <c r="D412" i="3"/>
  <c r="A413" i="3"/>
  <c r="B413" i="3"/>
  <c r="C413" i="3"/>
  <c r="D413" i="3"/>
  <c r="A414" i="3"/>
  <c r="B414" i="3"/>
  <c r="C414" i="3"/>
  <c r="D414" i="3"/>
  <c r="A415" i="3"/>
  <c r="B415" i="3"/>
  <c r="C415" i="3"/>
  <c r="D415" i="3"/>
  <c r="A416" i="3"/>
  <c r="B416" i="3"/>
  <c r="C416" i="3"/>
  <c r="D416" i="3"/>
  <c r="A417" i="3"/>
  <c r="B417" i="3"/>
  <c r="C417" i="3"/>
  <c r="D417" i="3"/>
  <c r="A418" i="3"/>
  <c r="B418" i="3"/>
  <c r="C418" i="3"/>
  <c r="D418" i="3"/>
  <c r="A419" i="3"/>
  <c r="B419" i="3"/>
  <c r="C419" i="3"/>
  <c r="D419" i="3"/>
  <c r="A420" i="3"/>
  <c r="B420" i="3"/>
  <c r="C420" i="3"/>
  <c r="D420" i="3"/>
  <c r="A421" i="3"/>
  <c r="B421" i="3"/>
  <c r="C421" i="3"/>
  <c r="D421" i="3"/>
  <c r="A422" i="3"/>
  <c r="B422" i="3"/>
  <c r="C422" i="3"/>
  <c r="D422" i="3"/>
  <c r="A423" i="3"/>
  <c r="B423" i="3"/>
  <c r="C423" i="3"/>
  <c r="D423" i="3"/>
  <c r="A424" i="3"/>
  <c r="B424" i="3"/>
  <c r="C424" i="3"/>
  <c r="D424" i="3"/>
  <c r="A425" i="3"/>
  <c r="B425" i="3"/>
  <c r="C425" i="3"/>
  <c r="D425" i="3"/>
  <c r="A426" i="3"/>
  <c r="B426" i="3"/>
  <c r="C426" i="3"/>
  <c r="D426" i="3"/>
  <c r="A427" i="3"/>
  <c r="A21" i="78" s="1"/>
  <c r="B427" i="3"/>
  <c r="C427" i="3"/>
  <c r="D427" i="3"/>
  <c r="A428" i="3"/>
  <c r="B428" i="3"/>
  <c r="C428" i="3"/>
  <c r="D428" i="3"/>
  <c r="A429" i="3"/>
  <c r="B429" i="3"/>
  <c r="C429" i="3"/>
  <c r="D429" i="3"/>
  <c r="A430" i="3"/>
  <c r="B430" i="3"/>
  <c r="C430" i="3"/>
  <c r="D430" i="3"/>
  <c r="A431" i="3"/>
  <c r="B431" i="3"/>
  <c r="C431" i="3"/>
  <c r="D431" i="3"/>
  <c r="A432" i="3"/>
  <c r="B432" i="3"/>
  <c r="C432" i="3"/>
  <c r="D432" i="3"/>
  <c r="A433" i="3"/>
  <c r="B433" i="3"/>
  <c r="C433" i="3"/>
  <c r="D433" i="3"/>
  <c r="A434" i="3"/>
  <c r="B434" i="3"/>
  <c r="C434" i="3"/>
  <c r="D434" i="3"/>
  <c r="A435" i="3"/>
  <c r="B435" i="3"/>
  <c r="C435" i="3"/>
  <c r="D435" i="3"/>
  <c r="A436" i="3"/>
  <c r="B436" i="3"/>
  <c r="C436" i="3"/>
  <c r="D436" i="3"/>
  <c r="A437" i="3"/>
  <c r="B437" i="3"/>
  <c r="C437" i="3"/>
  <c r="D437" i="3"/>
  <c r="A438" i="3"/>
  <c r="B438" i="3"/>
  <c r="C438" i="3"/>
  <c r="D438" i="3"/>
  <c r="A439" i="3"/>
  <c r="A7" i="78" s="1"/>
  <c r="B439" i="3"/>
  <c r="C439" i="3"/>
  <c r="D439" i="3"/>
  <c r="A440" i="3"/>
  <c r="B440" i="3"/>
  <c r="C440" i="3"/>
  <c r="D440" i="3"/>
  <c r="A441" i="3"/>
  <c r="B441" i="3"/>
  <c r="C441" i="3"/>
  <c r="D441" i="3"/>
  <c r="A442" i="3"/>
  <c r="B442" i="3"/>
  <c r="C442" i="3"/>
  <c r="D442" i="3"/>
  <c r="A443" i="3"/>
  <c r="B443" i="3"/>
  <c r="C443" i="3"/>
  <c r="D443" i="3"/>
  <c r="A444" i="3"/>
  <c r="B444" i="3"/>
  <c r="C444" i="3"/>
  <c r="D444" i="3"/>
  <c r="A445" i="3"/>
  <c r="B445" i="3"/>
  <c r="C445" i="3"/>
  <c r="D445" i="3"/>
  <c r="A446" i="3"/>
  <c r="B446" i="3"/>
  <c r="C446" i="3"/>
  <c r="D446" i="3"/>
  <c r="A447" i="3"/>
  <c r="A18" i="78" s="1"/>
  <c r="B447" i="3"/>
  <c r="C447" i="3"/>
  <c r="D447" i="3"/>
  <c r="A448" i="3"/>
  <c r="B448" i="3"/>
  <c r="C448" i="3"/>
  <c r="D448" i="3"/>
  <c r="A449" i="3"/>
  <c r="B449" i="3"/>
  <c r="C449" i="3"/>
  <c r="D449" i="3"/>
  <c r="A450" i="3"/>
  <c r="B450" i="3"/>
  <c r="C450" i="3"/>
  <c r="D450" i="3"/>
  <c r="A451" i="3"/>
  <c r="A24" i="78" s="1"/>
  <c r="B451" i="3"/>
  <c r="C451" i="3"/>
  <c r="D451" i="3"/>
  <c r="A452" i="3"/>
  <c r="B452" i="3"/>
  <c r="C452" i="3"/>
  <c r="D452" i="3"/>
  <c r="A453" i="3"/>
  <c r="B453" i="3"/>
  <c r="C453" i="3"/>
  <c r="D453" i="3"/>
  <c r="A454" i="3"/>
  <c r="B454" i="3"/>
  <c r="C454" i="3"/>
  <c r="D454" i="3"/>
  <c r="A455" i="3"/>
  <c r="B455" i="3"/>
  <c r="C455" i="3"/>
  <c r="D455" i="3"/>
  <c r="A456" i="3"/>
  <c r="B456" i="3"/>
  <c r="C456" i="3"/>
  <c r="D456" i="3"/>
  <c r="A457" i="3"/>
  <c r="B457" i="3"/>
  <c r="C457" i="3"/>
  <c r="D457" i="3"/>
  <c r="A458" i="3"/>
  <c r="B458" i="3"/>
  <c r="C458" i="3"/>
  <c r="D458" i="3"/>
  <c r="A459" i="3"/>
  <c r="B459" i="3"/>
  <c r="C459" i="3"/>
  <c r="D459" i="3"/>
  <c r="A460" i="3"/>
  <c r="B460" i="3"/>
  <c r="C460" i="3"/>
  <c r="D460" i="3"/>
  <c r="A461" i="3"/>
  <c r="B461" i="3"/>
  <c r="C461" i="3"/>
  <c r="D461" i="3"/>
  <c r="A462" i="3"/>
  <c r="B462" i="3"/>
  <c r="C462" i="3"/>
  <c r="D462" i="3"/>
  <c r="A463" i="3"/>
  <c r="B463" i="3"/>
  <c r="C463" i="3"/>
  <c r="D463" i="3"/>
  <c r="A464" i="3"/>
  <c r="B464" i="3"/>
  <c r="C464" i="3"/>
  <c r="D464" i="3"/>
  <c r="A465" i="3"/>
  <c r="B465" i="3"/>
  <c r="C465" i="3"/>
  <c r="D465" i="3"/>
  <c r="A466" i="3"/>
  <c r="B466" i="3"/>
  <c r="C466" i="3"/>
  <c r="D466" i="3"/>
  <c r="A467" i="3"/>
  <c r="B467" i="3"/>
  <c r="C467" i="3"/>
  <c r="D467" i="3"/>
  <c r="A468" i="3"/>
  <c r="B468" i="3"/>
  <c r="C468" i="3"/>
  <c r="D468" i="3"/>
  <c r="A469" i="3"/>
  <c r="B469" i="3"/>
  <c r="C469" i="3"/>
  <c r="D469" i="3"/>
  <c r="A470" i="3"/>
  <c r="B470" i="3"/>
  <c r="C470" i="3"/>
  <c r="D470" i="3"/>
  <c r="A471" i="3"/>
  <c r="B471" i="3"/>
  <c r="C471" i="3"/>
  <c r="D471" i="3"/>
  <c r="A472" i="3"/>
  <c r="B472" i="3"/>
  <c r="C472" i="3"/>
  <c r="D472" i="3"/>
  <c r="A473" i="3"/>
  <c r="B473" i="3"/>
  <c r="C473" i="3"/>
  <c r="D473" i="3"/>
  <c r="A474" i="3"/>
  <c r="B474" i="3"/>
  <c r="C474" i="3"/>
  <c r="D474" i="3"/>
  <c r="A475" i="3"/>
  <c r="B475" i="3"/>
  <c r="B14" i="210" s="1"/>
  <c r="C475" i="3"/>
  <c r="D475" i="3"/>
  <c r="A476" i="3"/>
  <c r="B476" i="3"/>
  <c r="C476" i="3"/>
  <c r="D476" i="3"/>
  <c r="A477" i="3"/>
  <c r="B477" i="3"/>
  <c r="C477" i="3"/>
  <c r="D477" i="3"/>
  <c r="A478" i="3"/>
  <c r="B478" i="3"/>
  <c r="C478" i="3"/>
  <c r="D478" i="3"/>
  <c r="A479" i="3"/>
  <c r="B479" i="3"/>
  <c r="C479" i="3"/>
  <c r="D479" i="3"/>
  <c r="A480" i="3"/>
  <c r="B480" i="3"/>
  <c r="C480" i="3"/>
  <c r="D480" i="3"/>
  <c r="A481" i="3"/>
  <c r="B481" i="3"/>
  <c r="C481" i="3"/>
  <c r="D481" i="3"/>
  <c r="A482" i="3"/>
  <c r="B482" i="3"/>
  <c r="C482" i="3"/>
  <c r="D482" i="3"/>
  <c r="A483" i="3"/>
  <c r="A15" i="228" s="1"/>
  <c r="B483" i="3"/>
  <c r="B15" i="228" s="1"/>
  <c r="C483" i="3"/>
  <c r="C15" i="228" s="1"/>
  <c r="D483" i="3"/>
  <c r="D15" i="228" s="1"/>
  <c r="A484" i="3"/>
  <c r="B484" i="3"/>
  <c r="C484" i="3"/>
  <c r="D484" i="3"/>
  <c r="A485" i="3"/>
  <c r="B485" i="3"/>
  <c r="C485" i="3"/>
  <c r="D485" i="3"/>
  <c r="A486" i="3"/>
  <c r="B486" i="3"/>
  <c r="C486" i="3"/>
  <c r="D486" i="3"/>
  <c r="A487" i="3"/>
  <c r="B487" i="3"/>
  <c r="C487" i="3"/>
  <c r="D487" i="3"/>
  <c r="A488" i="3"/>
  <c r="B488" i="3"/>
  <c r="C488" i="3"/>
  <c r="D488" i="3"/>
  <c r="A489" i="3"/>
  <c r="B489" i="3"/>
  <c r="C489" i="3"/>
  <c r="D489" i="3"/>
  <c r="A490" i="3"/>
  <c r="B490" i="3"/>
  <c r="C490" i="3"/>
  <c r="D490" i="3"/>
  <c r="A491" i="3"/>
  <c r="B491" i="3"/>
  <c r="C491" i="3"/>
  <c r="D491" i="3"/>
  <c r="A492" i="3"/>
  <c r="B492" i="3"/>
  <c r="C492" i="3"/>
  <c r="D492" i="3"/>
  <c r="A493" i="3"/>
  <c r="B493" i="3"/>
  <c r="C493" i="3"/>
  <c r="D493" i="3"/>
  <c r="A494" i="3"/>
  <c r="B494" i="3"/>
  <c r="C494" i="3"/>
  <c r="D494" i="3"/>
  <c r="A495" i="3"/>
  <c r="B495" i="3"/>
  <c r="C495" i="3"/>
  <c r="D495" i="3"/>
  <c r="A496" i="3"/>
  <c r="B496" i="3"/>
  <c r="C496" i="3"/>
  <c r="D496" i="3"/>
  <c r="A497" i="3"/>
  <c r="B497" i="3"/>
  <c r="C497" i="3"/>
  <c r="D497" i="3"/>
  <c r="A498" i="3"/>
  <c r="B498" i="3"/>
  <c r="C498" i="3"/>
  <c r="D498" i="3"/>
  <c r="A499" i="3"/>
  <c r="B499" i="3"/>
  <c r="C499" i="3"/>
  <c r="D499" i="3"/>
  <c r="A500" i="3"/>
  <c r="B500" i="3"/>
  <c r="C500" i="3"/>
  <c r="D500" i="3"/>
  <c r="A501" i="3"/>
  <c r="B501" i="3"/>
  <c r="C501" i="3"/>
  <c r="D501" i="3"/>
  <c r="A502" i="3"/>
  <c r="B502" i="3"/>
  <c r="C502" i="3"/>
  <c r="D502" i="3"/>
  <c r="A503" i="3"/>
  <c r="B503" i="3"/>
  <c r="C503" i="3"/>
  <c r="D503" i="3"/>
  <c r="A504" i="3"/>
  <c r="B504" i="3"/>
  <c r="C504" i="3"/>
  <c r="D504" i="3"/>
  <c r="A505" i="3"/>
  <c r="B505" i="3"/>
  <c r="C505" i="3"/>
  <c r="D505" i="3"/>
  <c r="A506" i="3"/>
  <c r="B506" i="3"/>
  <c r="C506" i="3"/>
  <c r="D506" i="3"/>
  <c r="A507" i="3"/>
  <c r="B507" i="3"/>
  <c r="C507" i="3"/>
  <c r="D507" i="3"/>
  <c r="A508" i="3"/>
  <c r="B508" i="3"/>
  <c r="C508" i="3"/>
  <c r="D508" i="3"/>
  <c r="A509" i="3"/>
  <c r="B509" i="3"/>
  <c r="C509" i="3"/>
  <c r="D509" i="3"/>
  <c r="A510" i="3"/>
  <c r="B510" i="3"/>
  <c r="C510" i="3"/>
  <c r="D510" i="3"/>
  <c r="A511" i="3"/>
  <c r="B511" i="3"/>
  <c r="C511" i="3"/>
  <c r="D511" i="3"/>
  <c r="A512" i="3"/>
  <c r="B512" i="3"/>
  <c r="C512" i="3"/>
  <c r="D512" i="3"/>
  <c r="A513" i="3"/>
  <c r="B513" i="3"/>
  <c r="C513" i="3"/>
  <c r="D513" i="3"/>
  <c r="A514" i="3"/>
  <c r="B514" i="3"/>
  <c r="C514" i="3"/>
  <c r="D514" i="3"/>
  <c r="A515" i="3"/>
  <c r="B515" i="3"/>
  <c r="C515" i="3"/>
  <c r="D515" i="3"/>
  <c r="A516" i="3"/>
  <c r="B516" i="3"/>
  <c r="C516" i="3"/>
  <c r="D516" i="3"/>
  <c r="A517" i="3"/>
  <c r="B517" i="3"/>
  <c r="C517" i="3"/>
  <c r="D517" i="3"/>
  <c r="A518" i="3"/>
  <c r="B518" i="3"/>
  <c r="C518" i="3"/>
  <c r="D518" i="3"/>
  <c r="A519" i="3"/>
  <c r="A30" i="78" s="1"/>
  <c r="B519" i="3"/>
  <c r="C519" i="3"/>
  <c r="D519" i="3"/>
  <c r="A520" i="3"/>
  <c r="B520" i="3"/>
  <c r="C520" i="3"/>
  <c r="D520" i="3"/>
  <c r="A521" i="3"/>
  <c r="B521" i="3"/>
  <c r="C521" i="3"/>
  <c r="D521" i="3"/>
  <c r="A522" i="3"/>
  <c r="B522" i="3"/>
  <c r="C522" i="3"/>
  <c r="D522" i="3"/>
  <c r="A523" i="3"/>
  <c r="A6" i="78" s="1"/>
  <c r="B523" i="3"/>
  <c r="C523" i="3"/>
  <c r="D523" i="3"/>
  <c r="A524" i="3"/>
  <c r="B524" i="3"/>
  <c r="C524" i="3"/>
  <c r="D524" i="3"/>
  <c r="A525" i="3"/>
  <c r="B525" i="3"/>
  <c r="C525" i="3"/>
  <c r="D525" i="3"/>
  <c r="A526" i="3"/>
  <c r="B526" i="3"/>
  <c r="C526" i="3"/>
  <c r="D526" i="3"/>
  <c r="A527" i="3"/>
  <c r="B527" i="3"/>
  <c r="C527" i="3"/>
  <c r="D527" i="3"/>
  <c r="A528" i="3"/>
  <c r="B528" i="3"/>
  <c r="C528" i="3"/>
  <c r="D528" i="3"/>
  <c r="A529" i="3"/>
  <c r="B529" i="3"/>
  <c r="C529" i="3"/>
  <c r="D529" i="3"/>
  <c r="A530" i="3"/>
  <c r="B530" i="3"/>
  <c r="C530" i="3"/>
  <c r="D530" i="3"/>
  <c r="A531" i="3"/>
  <c r="B531" i="3"/>
  <c r="C531" i="3"/>
  <c r="D531" i="3"/>
  <c r="A532" i="3"/>
  <c r="B532" i="3"/>
  <c r="C532" i="3"/>
  <c r="D532" i="3"/>
  <c r="A533" i="3"/>
  <c r="B533" i="3"/>
  <c r="C533" i="3"/>
  <c r="D533" i="3"/>
  <c r="A534" i="3"/>
  <c r="B534" i="3"/>
  <c r="C534" i="3"/>
  <c r="D534" i="3"/>
  <c r="A535" i="3"/>
  <c r="B535" i="3"/>
  <c r="C535" i="3"/>
  <c r="D535" i="3"/>
  <c r="A536" i="3"/>
  <c r="B536" i="3"/>
  <c r="C536" i="3"/>
  <c r="D536" i="3"/>
  <c r="A537" i="3"/>
  <c r="B537" i="3"/>
  <c r="C537" i="3"/>
  <c r="D537" i="3"/>
  <c r="A538" i="3"/>
  <c r="B538" i="3"/>
  <c r="C538" i="3"/>
  <c r="D538" i="3"/>
  <c r="A539" i="3"/>
  <c r="B539" i="3"/>
  <c r="C539" i="3"/>
  <c r="D539" i="3"/>
  <c r="A540" i="3"/>
  <c r="B540" i="3"/>
  <c r="C540" i="3"/>
  <c r="D540" i="3"/>
  <c r="A541" i="3"/>
  <c r="B541" i="3"/>
  <c r="C541" i="3"/>
  <c r="D541" i="3"/>
  <c r="A542" i="3"/>
  <c r="B542" i="3"/>
  <c r="C542" i="3"/>
  <c r="D542" i="3"/>
  <c r="A543" i="3"/>
  <c r="B543" i="3"/>
  <c r="C543" i="3"/>
  <c r="D543" i="3"/>
  <c r="A544" i="3"/>
  <c r="B544" i="3"/>
  <c r="C544" i="3"/>
  <c r="D544" i="3"/>
  <c r="A545" i="3"/>
  <c r="B545" i="3"/>
  <c r="C545" i="3"/>
  <c r="D545" i="3"/>
  <c r="A546" i="3"/>
  <c r="B546" i="3"/>
  <c r="C546" i="3"/>
  <c r="D546" i="3"/>
  <c r="A547" i="3"/>
  <c r="B547" i="3"/>
  <c r="C547" i="3"/>
  <c r="D547" i="3"/>
  <c r="A548" i="3"/>
  <c r="B548" i="3"/>
  <c r="C548" i="3"/>
  <c r="D548" i="3"/>
  <c r="A549" i="3"/>
  <c r="B549" i="3"/>
  <c r="C549" i="3"/>
  <c r="D549" i="3"/>
  <c r="A550" i="3"/>
  <c r="B550" i="3"/>
  <c r="C550" i="3"/>
  <c r="D550" i="3"/>
  <c r="A551" i="3"/>
  <c r="B551" i="3"/>
  <c r="C551" i="3"/>
  <c r="D551" i="3"/>
  <c r="A552" i="3"/>
  <c r="B552" i="3"/>
  <c r="C552" i="3"/>
  <c r="D552" i="3"/>
  <c r="A553" i="3"/>
  <c r="B553" i="3"/>
  <c r="C553" i="3"/>
  <c r="D553" i="3"/>
  <c r="A554" i="3"/>
  <c r="B554" i="3"/>
  <c r="C554" i="3"/>
  <c r="D554" i="3"/>
  <c r="A555" i="3"/>
  <c r="B555" i="3"/>
  <c r="C555" i="3"/>
  <c r="D555" i="3"/>
  <c r="A556" i="3"/>
  <c r="B556" i="3"/>
  <c r="C556" i="3"/>
  <c r="D556" i="3"/>
  <c r="A557" i="3"/>
  <c r="B557" i="3"/>
  <c r="C557" i="3"/>
  <c r="D557" i="3"/>
  <c r="A558" i="3"/>
  <c r="B558" i="3"/>
  <c r="C558" i="3"/>
  <c r="D558" i="3"/>
  <c r="A559" i="3"/>
  <c r="B559" i="3"/>
  <c r="C559" i="3"/>
  <c r="D559" i="3"/>
  <c r="A560" i="3"/>
  <c r="B560" i="3"/>
  <c r="C560" i="3"/>
  <c r="D560" i="3"/>
  <c r="A561" i="3"/>
  <c r="B561" i="3"/>
  <c r="C561" i="3"/>
  <c r="D561" i="3"/>
  <c r="A562" i="3"/>
  <c r="B562" i="3"/>
  <c r="C562" i="3"/>
  <c r="D562" i="3"/>
  <c r="A563" i="3"/>
  <c r="B563" i="3"/>
  <c r="C563" i="3"/>
  <c r="D563" i="3"/>
  <c r="A564" i="3"/>
  <c r="B564" i="3"/>
  <c r="C564" i="3"/>
  <c r="D564" i="3"/>
  <c r="A565" i="3"/>
  <c r="B565" i="3"/>
  <c r="C565" i="3"/>
  <c r="D565" i="3"/>
  <c r="A566" i="3"/>
  <c r="B566" i="3"/>
  <c r="C566" i="3"/>
  <c r="D566" i="3"/>
  <c r="A567" i="3"/>
  <c r="A13" i="78" s="1"/>
  <c r="B567" i="3"/>
  <c r="C567" i="3"/>
  <c r="D567" i="3"/>
  <c r="A568" i="3"/>
  <c r="B568" i="3"/>
  <c r="B560" i="28" s="1"/>
  <c r="C568" i="3"/>
  <c r="D568" i="3"/>
  <c r="A569" i="3"/>
  <c r="B569" i="3"/>
  <c r="C569" i="3"/>
  <c r="D569" i="3"/>
  <c r="A570" i="3"/>
  <c r="B570" i="3"/>
  <c r="C570" i="3"/>
  <c r="D570" i="3"/>
  <c r="A571" i="3"/>
  <c r="B571" i="3"/>
  <c r="C571" i="3"/>
  <c r="D571" i="3"/>
  <c r="A572" i="3"/>
  <c r="B572" i="3"/>
  <c r="C572" i="3"/>
  <c r="D572" i="3"/>
  <c r="A573" i="3"/>
  <c r="B573" i="3"/>
  <c r="C573" i="3"/>
  <c r="D573" i="3"/>
  <c r="A574" i="3"/>
  <c r="B574" i="3"/>
  <c r="C574" i="3"/>
  <c r="D574" i="3"/>
  <c r="A575" i="3"/>
  <c r="B575" i="3"/>
  <c r="C575" i="3"/>
  <c r="D575" i="3"/>
  <c r="A576" i="3"/>
  <c r="B576" i="3"/>
  <c r="C576" i="3"/>
  <c r="D576" i="3"/>
  <c r="A577" i="3"/>
  <c r="B577" i="3"/>
  <c r="C577" i="3"/>
  <c r="D577" i="3"/>
  <c r="A578" i="3"/>
  <c r="B578" i="3"/>
  <c r="C578" i="3"/>
  <c r="D578" i="3"/>
  <c r="A579" i="3"/>
  <c r="B579" i="3"/>
  <c r="C579" i="3"/>
  <c r="D579" i="3"/>
  <c r="A580" i="3"/>
  <c r="B580" i="3"/>
  <c r="C580" i="3"/>
  <c r="D580" i="3"/>
  <c r="A581" i="3"/>
  <c r="B581" i="3"/>
  <c r="C581" i="3"/>
  <c r="D581" i="3"/>
  <c r="A582" i="3"/>
  <c r="B582" i="3"/>
  <c r="C582" i="3"/>
  <c r="D582" i="3"/>
  <c r="A583" i="3"/>
  <c r="B583" i="3"/>
  <c r="C583" i="3"/>
  <c r="D583" i="3"/>
  <c r="A584" i="3"/>
  <c r="B584" i="3"/>
  <c r="C584" i="3"/>
  <c r="D584" i="3"/>
  <c r="A585" i="3"/>
  <c r="B585" i="3"/>
  <c r="C585" i="3"/>
  <c r="D585" i="3"/>
  <c r="A586" i="3"/>
  <c r="B586" i="3"/>
  <c r="C586" i="3"/>
  <c r="D586" i="3"/>
  <c r="A587" i="3"/>
  <c r="B587" i="3"/>
  <c r="C587" i="3"/>
  <c r="D587" i="3"/>
  <c r="A588" i="3"/>
  <c r="B588" i="3"/>
  <c r="C588" i="3"/>
  <c r="D588" i="3"/>
  <c r="A589" i="3"/>
  <c r="B589" i="3"/>
  <c r="C589" i="3"/>
  <c r="D589" i="3"/>
  <c r="A590" i="3"/>
  <c r="B590" i="3"/>
  <c r="C590" i="3"/>
  <c r="D590" i="3"/>
  <c r="A591" i="3"/>
  <c r="B591" i="3"/>
  <c r="C591" i="3"/>
  <c r="D591" i="3"/>
  <c r="A592" i="3"/>
  <c r="B592" i="3"/>
  <c r="C592" i="3"/>
  <c r="D592" i="3"/>
  <c r="A593" i="3"/>
  <c r="B593" i="3"/>
  <c r="C593" i="3"/>
  <c r="D593" i="3"/>
  <c r="A594" i="3"/>
  <c r="B594" i="3"/>
  <c r="C594" i="3"/>
  <c r="D594" i="3"/>
  <c r="A595" i="3"/>
  <c r="B595" i="3"/>
  <c r="C595" i="3"/>
  <c r="D595" i="3"/>
  <c r="A596" i="3"/>
  <c r="B596" i="3"/>
  <c r="B588" i="28" s="1"/>
  <c r="C596" i="3"/>
  <c r="D596" i="3"/>
  <c r="A597" i="3"/>
  <c r="B597" i="3"/>
  <c r="C597" i="3"/>
  <c r="D597" i="3"/>
  <c r="A598" i="3"/>
  <c r="B598" i="3"/>
  <c r="C598" i="3"/>
  <c r="D598" i="3"/>
  <c r="A599" i="3"/>
  <c r="B599" i="3"/>
  <c r="C599" i="3"/>
  <c r="D599" i="3"/>
  <c r="A600" i="3"/>
  <c r="B600" i="3"/>
  <c r="B592" i="28" s="1"/>
  <c r="C600" i="3"/>
  <c r="D600" i="3"/>
  <c r="A601" i="3"/>
  <c r="B601" i="3"/>
  <c r="C601" i="3"/>
  <c r="D601" i="3"/>
  <c r="A602" i="3"/>
  <c r="B602" i="3"/>
  <c r="C602" i="3"/>
  <c r="D602" i="3"/>
  <c r="A603" i="3"/>
  <c r="B603" i="3"/>
  <c r="C603" i="3"/>
  <c r="D603" i="3"/>
  <c r="A604" i="3"/>
  <c r="B604" i="3"/>
  <c r="B596" i="28" s="1"/>
  <c r="C604" i="3"/>
  <c r="D604" i="3"/>
  <c r="A605" i="3"/>
  <c r="B605" i="3"/>
  <c r="C605" i="3"/>
  <c r="D605" i="3"/>
  <c r="A606" i="3"/>
  <c r="B606" i="3"/>
  <c r="C606" i="3"/>
  <c r="D606" i="3"/>
  <c r="A607" i="3"/>
  <c r="B607" i="3"/>
  <c r="C607" i="3"/>
  <c r="D607" i="3"/>
  <c r="A608" i="3"/>
  <c r="B608" i="3"/>
  <c r="B600" i="28" s="1"/>
  <c r="C608" i="3"/>
  <c r="D608" i="3"/>
  <c r="A609" i="3"/>
  <c r="B609" i="3"/>
  <c r="C609" i="3"/>
  <c r="D609" i="3"/>
  <c r="A610" i="3"/>
  <c r="B610" i="3"/>
  <c r="C610" i="3"/>
  <c r="D610" i="3"/>
  <c r="A611" i="3"/>
  <c r="B611" i="3"/>
  <c r="C611" i="3"/>
  <c r="D611" i="3"/>
  <c r="A612" i="3"/>
  <c r="B612" i="3"/>
  <c r="B604" i="28" s="1"/>
  <c r="C612" i="3"/>
  <c r="D612" i="3"/>
  <c r="A613" i="3"/>
  <c r="B613" i="3"/>
  <c r="C613" i="3"/>
  <c r="D613" i="3"/>
  <c r="A614" i="3"/>
  <c r="B614" i="3"/>
  <c r="C614" i="3"/>
  <c r="D614" i="3"/>
  <c r="A615" i="3"/>
  <c r="B615" i="3"/>
  <c r="C615" i="3"/>
  <c r="D615" i="3"/>
  <c r="A616" i="3"/>
  <c r="B616" i="3"/>
  <c r="B608" i="28" s="1"/>
  <c r="C616" i="3"/>
  <c r="D616" i="3"/>
  <c r="A617" i="3"/>
  <c r="B617" i="3"/>
  <c r="C617" i="3"/>
  <c r="D617" i="3"/>
  <c r="A618" i="3"/>
  <c r="B618" i="3"/>
  <c r="C618" i="3"/>
  <c r="D618" i="3"/>
  <c r="A619" i="3"/>
  <c r="B619" i="3"/>
  <c r="C619" i="3"/>
  <c r="D619" i="3"/>
  <c r="A620" i="3"/>
  <c r="B620" i="3"/>
  <c r="B612" i="28" s="1"/>
  <c r="C620" i="3"/>
  <c r="D620" i="3"/>
  <c r="A621" i="3"/>
  <c r="B621" i="3"/>
  <c r="C621" i="3"/>
  <c r="D621" i="3"/>
  <c r="A622" i="3"/>
  <c r="B622" i="3"/>
  <c r="C622" i="3"/>
  <c r="D622" i="3"/>
  <c r="A623" i="3"/>
  <c r="B623" i="3"/>
  <c r="C623" i="3"/>
  <c r="D623" i="3"/>
  <c r="A624" i="3"/>
  <c r="B624" i="3"/>
  <c r="C624" i="3"/>
  <c r="D624" i="3"/>
  <c r="A625" i="3"/>
  <c r="B625" i="3"/>
  <c r="C625" i="3"/>
  <c r="D625" i="3"/>
  <c r="A626" i="3"/>
  <c r="B626" i="3"/>
  <c r="C626" i="3"/>
  <c r="D626" i="3"/>
  <c r="A627" i="3"/>
  <c r="B627" i="3"/>
  <c r="C627" i="3"/>
  <c r="D627" i="3"/>
  <c r="A628" i="3"/>
  <c r="B628" i="3"/>
  <c r="B620" i="28" s="1"/>
  <c r="C628" i="3"/>
  <c r="D628" i="3"/>
  <c r="A629" i="3"/>
  <c r="B629" i="3"/>
  <c r="C629" i="3"/>
  <c r="D629" i="3"/>
  <c r="A630" i="3"/>
  <c r="B630" i="3"/>
  <c r="C630" i="3"/>
  <c r="D630" i="3"/>
  <c r="A631" i="3"/>
  <c r="B631" i="3"/>
  <c r="C631" i="3"/>
  <c r="D631" i="3"/>
  <c r="A632" i="3"/>
  <c r="B632" i="3"/>
  <c r="C632" i="3"/>
  <c r="D632" i="3"/>
  <c r="A633" i="3"/>
  <c r="B633" i="3"/>
  <c r="C633" i="3"/>
  <c r="D633" i="3"/>
  <c r="A634" i="3"/>
  <c r="B634" i="3"/>
  <c r="C634" i="3"/>
  <c r="D634" i="3"/>
  <c r="A635" i="3"/>
  <c r="B635" i="3"/>
  <c r="C635" i="3"/>
  <c r="D635" i="3"/>
  <c r="A636" i="3"/>
  <c r="B636" i="3"/>
  <c r="C636" i="3"/>
  <c r="D636" i="3"/>
  <c r="A637" i="3"/>
  <c r="B637" i="3"/>
  <c r="C637" i="3"/>
  <c r="D637" i="3"/>
  <c r="A638" i="3"/>
  <c r="B638" i="3"/>
  <c r="C638" i="3"/>
  <c r="D638" i="3"/>
  <c r="A639" i="3"/>
  <c r="B639" i="3"/>
  <c r="C639" i="3"/>
  <c r="D639" i="3"/>
  <c r="A640" i="3"/>
  <c r="B640" i="3"/>
  <c r="C640" i="3"/>
  <c r="D640" i="3"/>
  <c r="A641" i="3"/>
  <c r="B641" i="3"/>
  <c r="C641" i="3"/>
  <c r="D641" i="3"/>
  <c r="A642" i="3"/>
  <c r="B642" i="3"/>
  <c r="C642" i="3"/>
  <c r="D642" i="3"/>
  <c r="A643" i="3"/>
  <c r="B643" i="3"/>
  <c r="C643" i="3"/>
  <c r="D643" i="3"/>
  <c r="A644" i="3"/>
  <c r="B644" i="3"/>
  <c r="C644" i="3"/>
  <c r="D644" i="3"/>
  <c r="A645" i="3"/>
  <c r="B645" i="3"/>
  <c r="C645" i="3"/>
  <c r="D645" i="3"/>
  <c r="A646" i="3"/>
  <c r="B646" i="3"/>
  <c r="C646" i="3"/>
  <c r="D646" i="3"/>
  <c r="A647" i="3"/>
  <c r="B647" i="3"/>
  <c r="C647" i="3"/>
  <c r="D647" i="3"/>
  <c r="A648" i="3"/>
  <c r="B648" i="3"/>
  <c r="B640" i="28" s="1"/>
  <c r="C648" i="3"/>
  <c r="D648" i="3"/>
  <c r="A649" i="3"/>
  <c r="B649" i="3"/>
  <c r="C649" i="3"/>
  <c r="D649" i="3"/>
  <c r="A650" i="3"/>
  <c r="B650" i="3"/>
  <c r="C650" i="3"/>
  <c r="D650" i="3"/>
  <c r="A651" i="3"/>
  <c r="B651" i="3"/>
  <c r="C651" i="3"/>
  <c r="D651" i="3"/>
  <c r="A652" i="3"/>
  <c r="B652" i="3"/>
  <c r="C652" i="3"/>
  <c r="D652" i="3"/>
  <c r="A653" i="3"/>
  <c r="B653" i="3"/>
  <c r="C653" i="3"/>
  <c r="D653" i="3"/>
  <c r="A654" i="3"/>
  <c r="B654" i="3"/>
  <c r="C654" i="3"/>
  <c r="C10" i="78" s="1"/>
  <c r="D654" i="3"/>
  <c r="A655" i="3"/>
  <c r="B655" i="3"/>
  <c r="C655" i="3"/>
  <c r="D655" i="3"/>
  <c r="A656" i="3"/>
  <c r="B656" i="3"/>
  <c r="C656" i="3"/>
  <c r="D656" i="3"/>
  <c r="A657" i="3"/>
  <c r="B657" i="3"/>
  <c r="C657" i="3"/>
  <c r="D657" i="3"/>
  <c r="A658" i="3"/>
  <c r="B658" i="3"/>
  <c r="C658" i="3"/>
  <c r="D658" i="3"/>
  <c r="A659" i="3"/>
  <c r="B659" i="3"/>
  <c r="C659" i="3"/>
  <c r="D659" i="3"/>
  <c r="A660" i="3"/>
  <c r="B660" i="3"/>
  <c r="B652" i="28" s="1"/>
  <c r="C660" i="3"/>
  <c r="D660" i="3"/>
  <c r="A661" i="3"/>
  <c r="B661" i="3"/>
  <c r="C661" i="3"/>
  <c r="D661" i="3"/>
  <c r="A662" i="3"/>
  <c r="B662" i="3"/>
  <c r="C662" i="3"/>
  <c r="D662" i="3"/>
  <c r="A663" i="3"/>
  <c r="B663" i="3"/>
  <c r="C663" i="3"/>
  <c r="D663" i="3"/>
  <c r="A664" i="3"/>
  <c r="B664" i="3"/>
  <c r="C664" i="3"/>
  <c r="D664" i="3"/>
  <c r="A665" i="3"/>
  <c r="B665" i="3"/>
  <c r="C665" i="3"/>
  <c r="D665" i="3"/>
  <c r="A666" i="3"/>
  <c r="B666" i="3"/>
  <c r="C666" i="3"/>
  <c r="D666" i="3"/>
  <c r="A667" i="3"/>
  <c r="B667" i="3"/>
  <c r="C667" i="3"/>
  <c r="D667" i="3"/>
  <c r="A668" i="3"/>
  <c r="B668" i="3"/>
  <c r="C668" i="3"/>
  <c r="D668" i="3"/>
  <c r="A669" i="3"/>
  <c r="B669" i="3"/>
  <c r="C669" i="3"/>
  <c r="D669" i="3"/>
  <c r="A670" i="3"/>
  <c r="B670" i="3"/>
  <c r="C670" i="3"/>
  <c r="D670" i="3"/>
  <c r="A671" i="3"/>
  <c r="B671" i="3"/>
  <c r="C671" i="3"/>
  <c r="D671" i="3"/>
  <c r="A672" i="3"/>
  <c r="B672" i="3"/>
  <c r="C672" i="3"/>
  <c r="D672" i="3"/>
  <c r="A673" i="3"/>
  <c r="B673" i="3"/>
  <c r="C673" i="3"/>
  <c r="D673" i="3"/>
  <c r="A674" i="3"/>
  <c r="B674" i="3"/>
  <c r="C674" i="3"/>
  <c r="D674" i="3"/>
  <c r="A675" i="3"/>
  <c r="B675" i="3"/>
  <c r="C675" i="3"/>
  <c r="D675" i="3"/>
  <c r="A676" i="3"/>
  <c r="B676" i="3"/>
  <c r="C676" i="3"/>
  <c r="D676" i="3"/>
  <c r="A677" i="3"/>
  <c r="B677" i="3"/>
  <c r="C677" i="3"/>
  <c r="D677" i="3"/>
  <c r="A678" i="3"/>
  <c r="B678" i="3"/>
  <c r="C678" i="3"/>
  <c r="D678" i="3"/>
  <c r="A679" i="3"/>
  <c r="B679" i="3"/>
  <c r="C679" i="3"/>
  <c r="D679" i="3"/>
  <c r="A680" i="3"/>
  <c r="B680" i="3"/>
  <c r="C680" i="3"/>
  <c r="D680" i="3"/>
  <c r="A681" i="3"/>
  <c r="B681" i="3"/>
  <c r="C681" i="3"/>
  <c r="D681" i="3"/>
  <c r="A682" i="3"/>
  <c r="B682" i="3"/>
  <c r="C682" i="3"/>
  <c r="D682" i="3"/>
  <c r="A683" i="3"/>
  <c r="B683" i="3"/>
  <c r="C683" i="3"/>
  <c r="D683" i="3"/>
  <c r="A684" i="3"/>
  <c r="B684" i="3"/>
  <c r="C684" i="3"/>
  <c r="D684" i="3"/>
  <c r="A685" i="3"/>
  <c r="B685" i="3"/>
  <c r="C685" i="3"/>
  <c r="D685" i="3"/>
  <c r="A686" i="3"/>
  <c r="B686" i="3"/>
  <c r="C686" i="3"/>
  <c r="D686" i="3"/>
  <c r="A687" i="3"/>
  <c r="B687" i="3"/>
  <c r="C687" i="3"/>
  <c r="D687" i="3"/>
  <c r="A688" i="3"/>
  <c r="B688" i="3"/>
  <c r="C688" i="3"/>
  <c r="D688" i="3"/>
  <c r="A689" i="3"/>
  <c r="B689" i="3"/>
  <c r="C689" i="3"/>
  <c r="D689" i="3"/>
  <c r="A690" i="3"/>
  <c r="B690" i="3"/>
  <c r="C690" i="3"/>
  <c r="D690" i="3"/>
  <c r="A691" i="3"/>
  <c r="B691" i="3"/>
  <c r="C691" i="3"/>
  <c r="D691" i="3"/>
  <c r="A692" i="3"/>
  <c r="B692" i="3"/>
  <c r="C692" i="3"/>
  <c r="D692" i="3"/>
  <c r="A693" i="3"/>
  <c r="B693" i="3"/>
  <c r="C693" i="3"/>
  <c r="D693" i="3"/>
  <c r="A694" i="3"/>
  <c r="B694" i="3"/>
  <c r="C694" i="3"/>
  <c r="D694" i="3"/>
  <c r="A695" i="3"/>
  <c r="B695" i="3"/>
  <c r="C695" i="3"/>
  <c r="D695" i="3"/>
  <c r="A696" i="3"/>
  <c r="B696" i="3"/>
  <c r="C696" i="3"/>
  <c r="D696" i="3"/>
  <c r="A697" i="3"/>
  <c r="B697" i="3"/>
  <c r="C697" i="3"/>
  <c r="D697" i="3"/>
  <c r="A698" i="3"/>
  <c r="B698" i="3"/>
  <c r="C698" i="3"/>
  <c r="D698" i="3"/>
  <c r="A699" i="3"/>
  <c r="B699" i="3"/>
  <c r="C699" i="3"/>
  <c r="D699" i="3"/>
  <c r="A700" i="3"/>
  <c r="B700" i="3"/>
  <c r="B692" i="28" s="1"/>
  <c r="C700" i="3"/>
  <c r="D700" i="3"/>
  <c r="A701" i="3"/>
  <c r="B701" i="3"/>
  <c r="C701" i="3"/>
  <c r="D701" i="3"/>
  <c r="A702" i="3"/>
  <c r="B702" i="3"/>
  <c r="C702" i="3"/>
  <c r="D702" i="3"/>
  <c r="A703" i="3"/>
  <c r="B703" i="3"/>
  <c r="C703" i="3"/>
  <c r="D703" i="3"/>
  <c r="A704" i="3"/>
  <c r="B704" i="3"/>
  <c r="C704" i="3"/>
  <c r="D704" i="3"/>
  <c r="A705" i="3"/>
  <c r="B705" i="3"/>
  <c r="C705" i="3"/>
  <c r="D705" i="3"/>
  <c r="A706" i="3"/>
  <c r="B706" i="3"/>
  <c r="C706" i="3"/>
  <c r="D706" i="3"/>
  <c r="A707" i="3"/>
  <c r="B707" i="3"/>
  <c r="C707" i="3"/>
  <c r="D707" i="3"/>
  <c r="A708" i="3"/>
  <c r="B708" i="3"/>
  <c r="C708" i="3"/>
  <c r="D708" i="3"/>
  <c r="A709" i="3"/>
  <c r="B709" i="3"/>
  <c r="C709" i="3"/>
  <c r="D709" i="3"/>
  <c r="A710" i="3"/>
  <c r="B710" i="3"/>
  <c r="C710" i="3"/>
  <c r="D710" i="3"/>
  <c r="A711" i="3"/>
  <c r="B711" i="3"/>
  <c r="C711" i="3"/>
  <c r="D711" i="3"/>
  <c r="A712" i="3"/>
  <c r="B712" i="3"/>
  <c r="C712" i="3"/>
  <c r="D712" i="3"/>
  <c r="A713" i="3"/>
  <c r="B713" i="3"/>
  <c r="C713" i="3"/>
  <c r="D713" i="3"/>
  <c r="A714" i="3"/>
  <c r="B714" i="3"/>
  <c r="C714" i="3"/>
  <c r="D714" i="3"/>
  <c r="A715" i="3"/>
  <c r="B715" i="3"/>
  <c r="C715" i="3"/>
  <c r="D715" i="3"/>
  <c r="A716" i="3"/>
  <c r="B716" i="3"/>
  <c r="C716" i="3"/>
  <c r="D716" i="3"/>
  <c r="A717" i="3"/>
  <c r="B717" i="3"/>
  <c r="C717" i="3"/>
  <c r="D717" i="3"/>
  <c r="A718" i="3"/>
  <c r="B718" i="3"/>
  <c r="C718" i="3"/>
  <c r="D718" i="3"/>
  <c r="A719" i="3"/>
  <c r="B719" i="3"/>
  <c r="C719" i="3"/>
  <c r="D719" i="3"/>
  <c r="A720" i="3"/>
  <c r="B720" i="3"/>
  <c r="C720" i="3"/>
  <c r="D720" i="3"/>
  <c r="A721" i="3"/>
  <c r="B721" i="3"/>
  <c r="C721" i="3"/>
  <c r="D721" i="3"/>
  <c r="A722" i="3"/>
  <c r="B722" i="3"/>
  <c r="C722" i="3"/>
  <c r="D722" i="3"/>
  <c r="A723" i="3"/>
  <c r="B723" i="3"/>
  <c r="C723" i="3"/>
  <c r="D723" i="3"/>
  <c r="A724" i="3"/>
  <c r="B724" i="3"/>
  <c r="C724" i="3"/>
  <c r="D724" i="3"/>
  <c r="A725" i="3"/>
  <c r="B725" i="3"/>
  <c r="C725" i="3"/>
  <c r="D725" i="3"/>
  <c r="A726" i="3"/>
  <c r="B726" i="3"/>
  <c r="C726" i="3"/>
  <c r="D726" i="3"/>
  <c r="A727" i="3"/>
  <c r="B727" i="3"/>
  <c r="C727" i="3"/>
  <c r="D727" i="3"/>
  <c r="A728" i="3"/>
  <c r="B728" i="3"/>
  <c r="C728" i="3"/>
  <c r="D728" i="3"/>
  <c r="A729" i="3"/>
  <c r="B729" i="3"/>
  <c r="C729" i="3"/>
  <c r="D729" i="3"/>
  <c r="A730" i="3"/>
  <c r="B730" i="3"/>
  <c r="C730" i="3"/>
  <c r="D730" i="3"/>
  <c r="A731" i="3"/>
  <c r="B731" i="3"/>
  <c r="C731" i="3"/>
  <c r="D731" i="3"/>
  <c r="A732" i="3"/>
  <c r="B732" i="3"/>
  <c r="C732" i="3"/>
  <c r="D732" i="3"/>
  <c r="A733" i="3"/>
  <c r="B733" i="3"/>
  <c r="C733" i="3"/>
  <c r="D733" i="3"/>
  <c r="A734" i="3"/>
  <c r="B734" i="3"/>
  <c r="C734" i="3"/>
  <c r="D734" i="3"/>
  <c r="A735" i="3"/>
  <c r="B735" i="3"/>
  <c r="C735" i="3"/>
  <c r="D735" i="3"/>
  <c r="A736" i="3"/>
  <c r="B736" i="3"/>
  <c r="C736" i="3"/>
  <c r="D736" i="3"/>
  <c r="A737" i="3"/>
  <c r="B737" i="3"/>
  <c r="C737" i="3"/>
  <c r="D737" i="3"/>
  <c r="A738" i="3"/>
  <c r="B738" i="3"/>
  <c r="C738" i="3"/>
  <c r="D738" i="3"/>
  <c r="A739" i="3"/>
  <c r="B739" i="3"/>
  <c r="C739" i="3"/>
  <c r="D739" i="3"/>
  <c r="A740" i="3"/>
  <c r="B740" i="3"/>
  <c r="C740" i="3"/>
  <c r="D740" i="3"/>
  <c r="A741" i="3"/>
  <c r="B741" i="3"/>
  <c r="C741" i="3"/>
  <c r="D741" i="3"/>
  <c r="A742" i="3"/>
  <c r="B742" i="3"/>
  <c r="C742" i="3"/>
  <c r="D742" i="3"/>
  <c r="A743" i="3"/>
  <c r="B743" i="3"/>
  <c r="C743" i="3"/>
  <c r="D743" i="3"/>
  <c r="A744" i="3"/>
  <c r="B744" i="3"/>
  <c r="B736" i="28" s="1"/>
  <c r="C744" i="3"/>
  <c r="D744" i="3"/>
  <c r="A745" i="3"/>
  <c r="B745" i="3"/>
  <c r="C745" i="3"/>
  <c r="D745" i="3"/>
  <c r="A746" i="3"/>
  <c r="B746" i="3"/>
  <c r="C746" i="3"/>
  <c r="D746" i="3"/>
  <c r="A747" i="3"/>
  <c r="B747" i="3"/>
  <c r="C747" i="3"/>
  <c r="D747" i="3"/>
  <c r="A748" i="3"/>
  <c r="B748" i="3"/>
  <c r="C748" i="3"/>
  <c r="D748" i="3"/>
  <c r="A749" i="3"/>
  <c r="B749" i="3"/>
  <c r="C749" i="3"/>
  <c r="D749" i="3"/>
  <c r="A750" i="3"/>
  <c r="B750" i="3"/>
  <c r="C750" i="3"/>
  <c r="D750" i="3"/>
  <c r="A751" i="3"/>
  <c r="B751" i="3"/>
  <c r="C751" i="3"/>
  <c r="D751" i="3"/>
  <c r="A752" i="3"/>
  <c r="B752" i="3"/>
  <c r="C752" i="3"/>
  <c r="D752" i="3"/>
  <c r="A753" i="3"/>
  <c r="B753" i="3"/>
  <c r="C753" i="3"/>
  <c r="D753" i="3"/>
  <c r="A754" i="3"/>
  <c r="B754" i="3"/>
  <c r="C754" i="3"/>
  <c r="D754" i="3"/>
  <c r="A755" i="3"/>
  <c r="B755" i="3"/>
  <c r="C755" i="3"/>
  <c r="D755" i="3"/>
  <c r="A756" i="3"/>
  <c r="B756" i="3"/>
  <c r="B748" i="28" s="1"/>
  <c r="C756" i="3"/>
  <c r="D756" i="3"/>
  <c r="A757" i="3"/>
  <c r="B757" i="3"/>
  <c r="C757" i="3"/>
  <c r="D757" i="3"/>
  <c r="A758" i="3"/>
  <c r="B758" i="3"/>
  <c r="C758" i="3"/>
  <c r="D758" i="3"/>
  <c r="A759" i="3"/>
  <c r="B759" i="3"/>
  <c r="C759" i="3"/>
  <c r="D759" i="3"/>
  <c r="A760" i="3"/>
  <c r="B760" i="3"/>
  <c r="C760" i="3"/>
  <c r="D760" i="3"/>
  <c r="A761" i="3"/>
  <c r="B761" i="3"/>
  <c r="C761" i="3"/>
  <c r="D761" i="3"/>
  <c r="A762" i="3"/>
  <c r="B762" i="3"/>
  <c r="C762" i="3"/>
  <c r="D762" i="3"/>
  <c r="A763" i="3"/>
  <c r="B763" i="3"/>
  <c r="C763" i="3"/>
  <c r="D763" i="3"/>
  <c r="A764" i="3"/>
  <c r="B764" i="3"/>
  <c r="B756" i="28" s="1"/>
  <c r="C764" i="3"/>
  <c r="D764" i="3"/>
  <c r="A765" i="3"/>
  <c r="B765" i="3"/>
  <c r="C765" i="3"/>
  <c r="D765" i="3"/>
  <c r="A766" i="3"/>
  <c r="B766" i="3"/>
  <c r="C766" i="3"/>
  <c r="D766" i="3"/>
  <c r="A767" i="3"/>
  <c r="B767" i="3"/>
  <c r="C767" i="3"/>
  <c r="D767" i="3"/>
  <c r="A768" i="3"/>
  <c r="B768" i="3"/>
  <c r="C768" i="3"/>
  <c r="D768" i="3"/>
  <c r="A769" i="3"/>
  <c r="B769" i="3"/>
  <c r="C769" i="3"/>
  <c r="D769" i="3"/>
  <c r="A770" i="3"/>
  <c r="B770" i="3"/>
  <c r="C770" i="3"/>
  <c r="D770" i="3"/>
  <c r="A771" i="3"/>
  <c r="B771" i="3"/>
  <c r="C771" i="3"/>
  <c r="D771" i="3"/>
  <c r="A772" i="3"/>
  <c r="B772" i="3"/>
  <c r="B764" i="28" s="1"/>
  <c r="C772" i="3"/>
  <c r="D772" i="3"/>
  <c r="A773" i="3"/>
  <c r="B773" i="3"/>
  <c r="C773" i="3"/>
  <c r="D773" i="3"/>
  <c r="A774" i="3"/>
  <c r="B774" i="3"/>
  <c r="C774" i="3"/>
  <c r="D774" i="3"/>
  <c r="A775" i="3"/>
  <c r="B775" i="3"/>
  <c r="C775" i="3"/>
  <c r="D775" i="3"/>
  <c r="A776" i="3"/>
  <c r="B776" i="3"/>
  <c r="C776" i="3"/>
  <c r="D776" i="3"/>
  <c r="A777" i="3"/>
  <c r="B777" i="3"/>
  <c r="C777" i="3"/>
  <c r="D777" i="3"/>
  <c r="A778" i="3"/>
  <c r="B778" i="3"/>
  <c r="C778" i="3"/>
  <c r="D778" i="3"/>
  <c r="A779" i="3"/>
  <c r="B779" i="3"/>
  <c r="C779" i="3"/>
  <c r="D779" i="3"/>
  <c r="A780" i="3"/>
  <c r="B780" i="3"/>
  <c r="C780" i="3"/>
  <c r="D780" i="3"/>
  <c r="A781" i="3"/>
  <c r="B781" i="3"/>
  <c r="C781" i="3"/>
  <c r="D781" i="3"/>
  <c r="A782" i="3"/>
  <c r="B782" i="3"/>
  <c r="C782" i="3"/>
  <c r="D782" i="3"/>
  <c r="A783" i="3"/>
  <c r="B783" i="3"/>
  <c r="C783" i="3"/>
  <c r="D783" i="3"/>
  <c r="A784" i="3"/>
  <c r="B784" i="3"/>
  <c r="C784" i="3"/>
  <c r="D784" i="3"/>
  <c r="A785" i="3"/>
  <c r="B785" i="3"/>
  <c r="C785" i="3"/>
  <c r="D785" i="3"/>
  <c r="A786" i="3"/>
  <c r="B786" i="3"/>
  <c r="C786" i="3"/>
  <c r="D786" i="3"/>
  <c r="A787" i="3"/>
  <c r="B787" i="3"/>
  <c r="C787" i="3"/>
  <c r="D787" i="3"/>
  <c r="A788" i="3"/>
  <c r="B788" i="3"/>
  <c r="C788" i="3"/>
  <c r="D788" i="3"/>
  <c r="A789" i="3"/>
  <c r="B789" i="3"/>
  <c r="C789" i="3"/>
  <c r="D789" i="3"/>
  <c r="A790" i="3"/>
  <c r="B790" i="3"/>
  <c r="C790" i="3"/>
  <c r="D790" i="3"/>
  <c r="A791" i="3"/>
  <c r="B791" i="3"/>
  <c r="C791" i="3"/>
  <c r="D791" i="3"/>
  <c r="A792" i="3"/>
  <c r="B792" i="3"/>
  <c r="C792" i="3"/>
  <c r="D792" i="3"/>
  <c r="A793" i="3"/>
  <c r="B793" i="3"/>
  <c r="C793" i="3"/>
  <c r="D793" i="3"/>
  <c r="A794" i="3"/>
  <c r="B794" i="3"/>
  <c r="C794" i="3"/>
  <c r="D794" i="3"/>
  <c r="A795" i="3"/>
  <c r="B795" i="3"/>
  <c r="C795" i="3"/>
  <c r="D795" i="3"/>
  <c r="A796" i="3"/>
  <c r="B796" i="3"/>
  <c r="C796" i="3"/>
  <c r="D796" i="3"/>
  <c r="A797" i="3"/>
  <c r="B797" i="3"/>
  <c r="C797" i="3"/>
  <c r="D797" i="3"/>
  <c r="A798" i="3"/>
  <c r="B798" i="3"/>
  <c r="C798" i="3"/>
  <c r="D798" i="3"/>
  <c r="A799" i="3"/>
  <c r="B799" i="3"/>
  <c r="C799" i="3"/>
  <c r="D799" i="3"/>
  <c r="A800" i="3"/>
  <c r="B800" i="3"/>
  <c r="C800" i="3"/>
  <c r="D800" i="3"/>
  <c r="A801" i="3"/>
  <c r="B801" i="3"/>
  <c r="C801" i="3"/>
  <c r="D801" i="3"/>
  <c r="A802" i="3"/>
  <c r="B802" i="3"/>
  <c r="C802" i="3"/>
  <c r="D802" i="3"/>
  <c r="A803" i="3"/>
  <c r="B803" i="3"/>
  <c r="C803" i="3"/>
  <c r="D803" i="3"/>
  <c r="A804" i="3"/>
  <c r="B804" i="3"/>
  <c r="C804" i="3"/>
  <c r="D804" i="3"/>
  <c r="A805" i="3"/>
  <c r="B805" i="3"/>
  <c r="C805" i="3"/>
  <c r="D805" i="3"/>
  <c r="A806" i="3"/>
  <c r="B806" i="3"/>
  <c r="C806" i="3"/>
  <c r="D806" i="3"/>
  <c r="A807" i="3"/>
  <c r="B807" i="3"/>
  <c r="C807" i="3"/>
  <c r="D807" i="3"/>
  <c r="A808" i="3"/>
  <c r="B808" i="3"/>
  <c r="C808" i="3"/>
  <c r="D808" i="3"/>
  <c r="A809" i="3"/>
  <c r="B809" i="3"/>
  <c r="C809" i="3"/>
  <c r="D809" i="3"/>
  <c r="A810" i="3"/>
  <c r="B810" i="3"/>
  <c r="C810" i="3"/>
  <c r="D810" i="3"/>
  <c r="A811" i="3"/>
  <c r="B811" i="3"/>
  <c r="C811" i="3"/>
  <c r="D811" i="3"/>
  <c r="A812" i="3"/>
  <c r="B812" i="3"/>
  <c r="C812" i="3"/>
  <c r="D812" i="3"/>
  <c r="A813" i="3"/>
  <c r="B813" i="3"/>
  <c r="C813" i="3"/>
  <c r="D813" i="3"/>
  <c r="A814" i="3"/>
  <c r="B814" i="3"/>
  <c r="C814" i="3"/>
  <c r="D814" i="3"/>
  <c r="A815" i="3"/>
  <c r="B815" i="3"/>
  <c r="C815" i="3"/>
  <c r="D815" i="3"/>
  <c r="A816" i="3"/>
  <c r="B816" i="3"/>
  <c r="C816" i="3"/>
  <c r="D816" i="3"/>
  <c r="A817" i="3"/>
  <c r="B817" i="3"/>
  <c r="C817" i="3"/>
  <c r="D817" i="3"/>
  <c r="A818" i="3"/>
  <c r="B818" i="3"/>
  <c r="C818" i="3"/>
  <c r="D818" i="3"/>
  <c r="A819" i="3"/>
  <c r="B819" i="3"/>
  <c r="C819" i="3"/>
  <c r="D819" i="3"/>
  <c r="A820" i="3"/>
  <c r="B820" i="3"/>
  <c r="C820" i="3"/>
  <c r="D820" i="3"/>
  <c r="A821" i="3"/>
  <c r="B821" i="3"/>
  <c r="C821" i="3"/>
  <c r="D821" i="3"/>
  <c r="A822" i="3"/>
  <c r="B822" i="3"/>
  <c r="C822" i="3"/>
  <c r="D822" i="3"/>
  <c r="A823" i="3"/>
  <c r="B823" i="3"/>
  <c r="C823" i="3"/>
  <c r="D823" i="3"/>
  <c r="A824" i="3"/>
  <c r="B824" i="3"/>
  <c r="C824" i="3"/>
  <c r="D824" i="3"/>
  <c r="A825" i="3"/>
  <c r="B825" i="3"/>
  <c r="C825" i="3"/>
  <c r="D825" i="3"/>
  <c r="A826" i="3"/>
  <c r="B826" i="3"/>
  <c r="C826" i="3"/>
  <c r="D826" i="3"/>
  <c r="A827" i="3"/>
  <c r="B827" i="3"/>
  <c r="C827" i="3"/>
  <c r="D827" i="3"/>
  <c r="A828" i="3"/>
  <c r="B828" i="3"/>
  <c r="C828" i="3"/>
  <c r="D828" i="3"/>
  <c r="A829" i="3"/>
  <c r="B829" i="3"/>
  <c r="C829" i="3"/>
  <c r="D829" i="3"/>
  <c r="A830" i="3"/>
  <c r="B830" i="3"/>
  <c r="C830" i="3"/>
  <c r="D830" i="3"/>
  <c r="A831" i="3"/>
  <c r="B831" i="3"/>
  <c r="C831" i="3"/>
  <c r="D831" i="3"/>
  <c r="A832" i="3"/>
  <c r="B832" i="3"/>
  <c r="C832" i="3"/>
  <c r="D832" i="3"/>
  <c r="A833" i="3"/>
  <c r="B833" i="3"/>
  <c r="C833" i="3"/>
  <c r="D833" i="3"/>
  <c r="A834" i="3"/>
  <c r="B834" i="3"/>
  <c r="C834" i="3"/>
  <c r="D834" i="3"/>
  <c r="A835" i="3"/>
  <c r="B835" i="3"/>
  <c r="C835" i="3"/>
  <c r="D835" i="3"/>
  <c r="A836" i="3"/>
  <c r="B836" i="3"/>
  <c r="C836" i="3"/>
  <c r="D836" i="3"/>
  <c r="A837" i="3"/>
  <c r="B837" i="3"/>
  <c r="C837" i="3"/>
  <c r="D837" i="3"/>
  <c r="A838" i="3"/>
  <c r="B838" i="3"/>
  <c r="C838" i="3"/>
  <c r="D838" i="3"/>
  <c r="A839" i="3"/>
  <c r="B839" i="3"/>
  <c r="C839" i="3"/>
  <c r="D839" i="3"/>
  <c r="A840" i="3"/>
  <c r="B840" i="3"/>
  <c r="C840" i="3"/>
  <c r="D840" i="3"/>
  <c r="A841" i="3"/>
  <c r="B841" i="3"/>
  <c r="C841" i="3"/>
  <c r="D841" i="3"/>
  <c r="A842" i="3"/>
  <c r="B842" i="3"/>
  <c r="C842" i="3"/>
  <c r="D842" i="3"/>
  <c r="A843" i="3"/>
  <c r="B843" i="3"/>
  <c r="C843" i="3"/>
  <c r="D843" i="3"/>
  <c r="A844" i="3"/>
  <c r="B844" i="3"/>
  <c r="C844" i="3"/>
  <c r="D844" i="3"/>
  <c r="A845" i="3"/>
  <c r="B845" i="3"/>
  <c r="C845" i="3"/>
  <c r="D845" i="3"/>
  <c r="A846" i="3"/>
  <c r="B846" i="3"/>
  <c r="C846" i="3"/>
  <c r="D846" i="3"/>
  <c r="A847" i="3"/>
  <c r="B847" i="3"/>
  <c r="C847" i="3"/>
  <c r="D847" i="3"/>
  <c r="A848" i="3"/>
  <c r="B848" i="3"/>
  <c r="C848" i="3"/>
  <c r="D848" i="3"/>
  <c r="A849" i="3"/>
  <c r="B849" i="3"/>
  <c r="C849" i="3"/>
  <c r="D849" i="3"/>
  <c r="A850" i="3"/>
  <c r="B850" i="3"/>
  <c r="C850" i="3"/>
  <c r="D850" i="3"/>
  <c r="A851" i="3"/>
  <c r="B851" i="3"/>
  <c r="C851" i="3"/>
  <c r="D851" i="3"/>
  <c r="A852" i="3"/>
  <c r="B852" i="3"/>
  <c r="C852" i="3"/>
  <c r="D852" i="3"/>
  <c r="A853" i="3"/>
  <c r="B853" i="3"/>
  <c r="C853" i="3"/>
  <c r="D853" i="3"/>
  <c r="A854" i="3"/>
  <c r="B854" i="3"/>
  <c r="C854" i="3"/>
  <c r="D854" i="3"/>
  <c r="A855" i="3"/>
  <c r="B855" i="3"/>
  <c r="C855" i="3"/>
  <c r="D855" i="3"/>
  <c r="A856" i="3"/>
  <c r="B856" i="3"/>
  <c r="C856" i="3"/>
  <c r="D856" i="3"/>
  <c r="A857" i="3"/>
  <c r="B857" i="3"/>
  <c r="C857" i="3"/>
  <c r="D857" i="3"/>
  <c r="A858" i="3"/>
  <c r="B858" i="3"/>
  <c r="C858" i="3"/>
  <c r="D858" i="3"/>
  <c r="A859" i="3"/>
  <c r="B859" i="3"/>
  <c r="C859" i="3"/>
  <c r="D859" i="3"/>
  <c r="A860" i="3"/>
  <c r="B860" i="3"/>
  <c r="C860" i="3"/>
  <c r="D860" i="3"/>
  <c r="A861" i="3"/>
  <c r="B861" i="3"/>
  <c r="C861" i="3"/>
  <c r="D861" i="3"/>
  <c r="A862" i="3"/>
  <c r="B862" i="3"/>
  <c r="C862" i="3"/>
  <c r="D862" i="3"/>
  <c r="A863" i="3"/>
  <c r="B863" i="3"/>
  <c r="C863" i="3"/>
  <c r="D863" i="3"/>
  <c r="A864" i="3"/>
  <c r="B864" i="3"/>
  <c r="C864" i="3"/>
  <c r="D864" i="3"/>
  <c r="A865" i="3"/>
  <c r="B865" i="3"/>
  <c r="C865" i="3"/>
  <c r="D865" i="3"/>
  <c r="A866" i="3"/>
  <c r="B866" i="3"/>
  <c r="C866" i="3"/>
  <c r="D866" i="3"/>
  <c r="A867" i="3"/>
  <c r="B867" i="3"/>
  <c r="C867" i="3"/>
  <c r="D867" i="3"/>
  <c r="A868" i="3"/>
  <c r="B868" i="3"/>
  <c r="C868" i="3"/>
  <c r="D868" i="3"/>
  <c r="A869" i="3"/>
  <c r="B869" i="3"/>
  <c r="C869" i="3"/>
  <c r="D869" i="3"/>
  <c r="A870" i="3"/>
  <c r="B870" i="3"/>
  <c r="C870" i="3"/>
  <c r="D870" i="3"/>
  <c r="A871" i="3"/>
  <c r="B871" i="3"/>
  <c r="C871" i="3"/>
  <c r="D871" i="3"/>
  <c r="A872" i="3"/>
  <c r="B872" i="3"/>
  <c r="C872" i="3"/>
  <c r="D872" i="3"/>
  <c r="A873" i="3"/>
  <c r="B873" i="3"/>
  <c r="C873" i="3"/>
  <c r="D873" i="3"/>
  <c r="A874" i="3"/>
  <c r="B874" i="3"/>
  <c r="C874" i="3"/>
  <c r="D874" i="3"/>
  <c r="A875" i="3"/>
  <c r="B875" i="3"/>
  <c r="C875" i="3"/>
  <c r="D875" i="3"/>
  <c r="A876" i="3"/>
  <c r="B876" i="3"/>
  <c r="C876" i="3"/>
  <c r="D876" i="3"/>
  <c r="A877" i="3"/>
  <c r="B877" i="3"/>
  <c r="C877" i="3"/>
  <c r="D877" i="3"/>
  <c r="A878" i="3"/>
  <c r="B878" i="3"/>
  <c r="C878" i="3"/>
  <c r="D878" i="3"/>
  <c r="A879" i="3"/>
  <c r="B879" i="3"/>
  <c r="C879" i="3"/>
  <c r="D879" i="3"/>
  <c r="A880" i="3"/>
  <c r="B880" i="3"/>
  <c r="C880" i="3"/>
  <c r="D880" i="3"/>
  <c r="A881" i="3"/>
  <c r="B881" i="3"/>
  <c r="C881" i="3"/>
  <c r="D881" i="3"/>
  <c r="A882" i="3"/>
  <c r="B882" i="3"/>
  <c r="C882" i="3"/>
  <c r="D882" i="3"/>
  <c r="A883" i="3"/>
  <c r="B883" i="3"/>
  <c r="C883" i="3"/>
  <c r="D883" i="3"/>
  <c r="A884" i="3"/>
  <c r="B884" i="3"/>
  <c r="C884" i="3"/>
  <c r="D884" i="3"/>
  <c r="A885" i="3"/>
  <c r="B885" i="3"/>
  <c r="C885" i="3"/>
  <c r="D885" i="3"/>
  <c r="A886" i="3"/>
  <c r="B886" i="3"/>
  <c r="C886" i="3"/>
  <c r="D886" i="3"/>
  <c r="A887" i="3"/>
  <c r="B887" i="3"/>
  <c r="C887" i="3"/>
  <c r="D887" i="3"/>
  <c r="A888" i="3"/>
  <c r="B888" i="3"/>
  <c r="C888" i="3"/>
  <c r="D888" i="3"/>
  <c r="A889" i="3"/>
  <c r="B889" i="3"/>
  <c r="C889" i="3"/>
  <c r="D889" i="3"/>
  <c r="A890" i="3"/>
  <c r="B890" i="3"/>
  <c r="C890" i="3"/>
  <c r="D890" i="3"/>
  <c r="A891" i="3"/>
  <c r="B891" i="3"/>
  <c r="C891" i="3"/>
  <c r="D891" i="3"/>
  <c r="A892" i="3"/>
  <c r="B892" i="3"/>
  <c r="C892" i="3"/>
  <c r="D892" i="3"/>
  <c r="A893" i="3"/>
  <c r="B893" i="3"/>
  <c r="C893" i="3"/>
  <c r="D893" i="3"/>
  <c r="A894" i="3"/>
  <c r="B894" i="3"/>
  <c r="C894" i="3"/>
  <c r="D894" i="3"/>
  <c r="A895" i="3"/>
  <c r="B895" i="3"/>
  <c r="C895" i="3"/>
  <c r="D895" i="3"/>
  <c r="A896" i="3"/>
  <c r="B896" i="3"/>
  <c r="C896" i="3"/>
  <c r="D896" i="3"/>
  <c r="A897" i="3"/>
  <c r="B897" i="3"/>
  <c r="C897" i="3"/>
  <c r="D897" i="3"/>
  <c r="A898" i="3"/>
  <c r="B898" i="3"/>
  <c r="C898" i="3"/>
  <c r="D898" i="3"/>
  <c r="A899" i="3"/>
  <c r="B899" i="3"/>
  <c r="C899" i="3"/>
  <c r="D899" i="3"/>
  <c r="A900" i="3"/>
  <c r="B900" i="3"/>
  <c r="C900" i="3"/>
  <c r="D900" i="3"/>
  <c r="A901" i="3"/>
  <c r="B901" i="3"/>
  <c r="C901" i="3"/>
  <c r="D901" i="3"/>
  <c r="A902" i="3"/>
  <c r="B902" i="3"/>
  <c r="C902" i="3"/>
  <c r="D902" i="3"/>
  <c r="A903" i="3"/>
  <c r="B903" i="3"/>
  <c r="C903" i="3"/>
  <c r="D903" i="3"/>
  <c r="A904" i="3"/>
  <c r="B904" i="3"/>
  <c r="C904" i="3"/>
  <c r="D904" i="3"/>
  <c r="A905" i="3"/>
  <c r="B905" i="3"/>
  <c r="C905" i="3"/>
  <c r="D905" i="3"/>
  <c r="A906" i="3"/>
  <c r="B906" i="3"/>
  <c r="C906" i="3"/>
  <c r="D906" i="3"/>
  <c r="A907" i="3"/>
  <c r="B907" i="3"/>
  <c r="C907" i="3"/>
  <c r="D907" i="3"/>
  <c r="A908" i="3"/>
  <c r="B908" i="3"/>
  <c r="C908" i="3"/>
  <c r="D908" i="3"/>
  <c r="A909" i="3"/>
  <c r="B909" i="3"/>
  <c r="C909" i="3"/>
  <c r="D909" i="3"/>
  <c r="A910" i="3"/>
  <c r="B910" i="3"/>
  <c r="C910" i="3"/>
  <c r="D910" i="3"/>
  <c r="A911" i="3"/>
  <c r="B911" i="3"/>
  <c r="C911" i="3"/>
  <c r="D911" i="3"/>
  <c r="A912" i="3"/>
  <c r="B912" i="3"/>
  <c r="C912" i="3"/>
  <c r="D912" i="3"/>
  <c r="A913" i="3"/>
  <c r="B913" i="3"/>
  <c r="C913" i="3"/>
  <c r="D913" i="3"/>
  <c r="A914" i="3"/>
  <c r="B914" i="3"/>
  <c r="C914" i="3"/>
  <c r="D914" i="3"/>
  <c r="A915" i="3"/>
  <c r="B915" i="3"/>
  <c r="C915" i="3"/>
  <c r="D915" i="3"/>
  <c r="A916" i="3"/>
  <c r="B916" i="3"/>
  <c r="C916" i="3"/>
  <c r="D916" i="3"/>
  <c r="A917" i="3"/>
  <c r="B917" i="3"/>
  <c r="C917" i="3"/>
  <c r="D917" i="3"/>
  <c r="A918" i="3"/>
  <c r="B918" i="3"/>
  <c r="C918" i="3"/>
  <c r="D918" i="3"/>
  <c r="A919" i="3"/>
  <c r="B919" i="3"/>
  <c r="C919" i="3"/>
  <c r="D919" i="3"/>
  <c r="A920" i="3"/>
  <c r="B920" i="3"/>
  <c r="C920" i="3"/>
  <c r="D920" i="3"/>
  <c r="A921" i="3"/>
  <c r="B921" i="3"/>
  <c r="C921" i="3"/>
  <c r="D921" i="3"/>
  <c r="A922" i="3"/>
  <c r="B922" i="3"/>
  <c r="C922" i="3"/>
  <c r="D922" i="3"/>
  <c r="A923" i="3"/>
  <c r="B923" i="3"/>
  <c r="C923" i="3"/>
  <c r="D923" i="3"/>
  <c r="A924" i="3"/>
  <c r="B924" i="3"/>
  <c r="C924" i="3"/>
  <c r="D924" i="3"/>
  <c r="A925" i="3"/>
  <c r="B925" i="3"/>
  <c r="C925" i="3"/>
  <c r="D925" i="3"/>
  <c r="A926" i="3"/>
  <c r="B926" i="3"/>
  <c r="C926" i="3"/>
  <c r="D926" i="3"/>
  <c r="A927" i="3"/>
  <c r="B927" i="3"/>
  <c r="C927" i="3"/>
  <c r="D927" i="3"/>
  <c r="A928" i="3"/>
  <c r="B928" i="3"/>
  <c r="C928" i="3"/>
  <c r="D928" i="3"/>
  <c r="A929" i="3"/>
  <c r="B929" i="3"/>
  <c r="C929" i="3"/>
  <c r="D929" i="3"/>
  <c r="A930" i="3"/>
  <c r="B930" i="3"/>
  <c r="C930" i="3"/>
  <c r="D930" i="3"/>
  <c r="A931" i="3"/>
  <c r="B931" i="3"/>
  <c r="C931" i="3"/>
  <c r="D931" i="3"/>
  <c r="A932" i="3"/>
  <c r="B932" i="3"/>
  <c r="C932" i="3"/>
  <c r="D932" i="3"/>
  <c r="A933" i="3"/>
  <c r="B933" i="3"/>
  <c r="C933" i="3"/>
  <c r="D933" i="3"/>
  <c r="A934" i="3"/>
  <c r="B934" i="3"/>
  <c r="C934" i="3"/>
  <c r="D934" i="3"/>
  <c r="A935" i="3"/>
  <c r="B935" i="3"/>
  <c r="C935" i="3"/>
  <c r="D935" i="3"/>
  <c r="A936" i="3"/>
  <c r="B936" i="3"/>
  <c r="C936" i="3"/>
  <c r="D936" i="3"/>
  <c r="A937" i="3"/>
  <c r="B937" i="3"/>
  <c r="C937" i="3"/>
  <c r="D937" i="3"/>
  <c r="A938" i="3"/>
  <c r="B938" i="3"/>
  <c r="C938" i="3"/>
  <c r="D938" i="3"/>
  <c r="A939" i="3"/>
  <c r="B939" i="3"/>
  <c r="C939" i="3"/>
  <c r="D939" i="3"/>
  <c r="A940" i="3"/>
  <c r="B940" i="3"/>
  <c r="C940" i="3"/>
  <c r="D940" i="3"/>
  <c r="A941" i="3"/>
  <c r="B941" i="3"/>
  <c r="C941" i="3"/>
  <c r="D941" i="3"/>
  <c r="A942" i="3"/>
  <c r="B942" i="3"/>
  <c r="C942" i="3"/>
  <c r="D942" i="3"/>
  <c r="A943" i="3"/>
  <c r="B943" i="3"/>
  <c r="C943" i="3"/>
  <c r="D943" i="3"/>
  <c r="A944" i="3"/>
  <c r="B944" i="3"/>
  <c r="C944" i="3"/>
  <c r="D944" i="3"/>
  <c r="A945" i="3"/>
  <c r="B945" i="3"/>
  <c r="C945" i="3"/>
  <c r="D945" i="3"/>
  <c r="A946" i="3"/>
  <c r="B946" i="3"/>
  <c r="C946" i="3"/>
  <c r="D946" i="3"/>
  <c r="A947" i="3"/>
  <c r="B947" i="3"/>
  <c r="C947" i="3"/>
  <c r="D947" i="3"/>
  <c r="A948" i="3"/>
  <c r="B948" i="3"/>
  <c r="C948" i="3"/>
  <c r="D948" i="3"/>
  <c r="A949" i="3"/>
  <c r="B949" i="3"/>
  <c r="C949" i="3"/>
  <c r="D949" i="3"/>
  <c r="A950" i="3"/>
  <c r="B950" i="3"/>
  <c r="C950" i="3"/>
  <c r="D950" i="3"/>
  <c r="A951" i="3"/>
  <c r="B951" i="3"/>
  <c r="C951" i="3"/>
  <c r="D951" i="3"/>
  <c r="A952" i="3"/>
  <c r="B952" i="3"/>
  <c r="C952" i="3"/>
  <c r="D952" i="3"/>
  <c r="A953" i="3"/>
  <c r="B953" i="3"/>
  <c r="C953" i="3"/>
  <c r="D953" i="3"/>
  <c r="A954" i="3"/>
  <c r="B954" i="3"/>
  <c r="C954" i="3"/>
  <c r="D954" i="3"/>
  <c r="A955" i="3"/>
  <c r="B955" i="3"/>
  <c r="C955" i="3"/>
  <c r="D955" i="3"/>
  <c r="A956" i="3"/>
  <c r="B956" i="3"/>
  <c r="C956" i="3"/>
  <c r="D956" i="3"/>
  <c r="A957" i="3"/>
  <c r="B957" i="3"/>
  <c r="C957" i="3"/>
  <c r="D957" i="3"/>
  <c r="A958" i="3"/>
  <c r="B958" i="3"/>
  <c r="C958" i="3"/>
  <c r="D958" i="3"/>
  <c r="A959" i="3"/>
  <c r="B959" i="3"/>
  <c r="C959" i="3"/>
  <c r="D959" i="3"/>
  <c r="A960" i="3"/>
  <c r="B960" i="3"/>
  <c r="C960" i="3"/>
  <c r="D960" i="3"/>
  <c r="A961" i="3"/>
  <c r="B961" i="3"/>
  <c r="C961" i="3"/>
  <c r="D961" i="3"/>
  <c r="A962" i="3"/>
  <c r="B962" i="3"/>
  <c r="C962" i="3"/>
  <c r="D962" i="3"/>
  <c r="A963" i="3"/>
  <c r="B963" i="3"/>
  <c r="C963" i="3"/>
  <c r="D963" i="3"/>
  <c r="A964" i="3"/>
  <c r="B964" i="3"/>
  <c r="C964" i="3"/>
  <c r="D964" i="3"/>
  <c r="A965" i="3"/>
  <c r="B965" i="3"/>
  <c r="C965" i="3"/>
  <c r="D965" i="3"/>
  <c r="A966" i="3"/>
  <c r="B966" i="3"/>
  <c r="C966" i="3"/>
  <c r="D966" i="3"/>
  <c r="A967" i="3"/>
  <c r="B967" i="3"/>
  <c r="C967" i="3"/>
  <c r="D967" i="3"/>
  <c r="A968" i="3"/>
  <c r="B968" i="3"/>
  <c r="C968" i="3"/>
  <c r="D968" i="3"/>
  <c r="A969" i="3"/>
  <c r="B969" i="3"/>
  <c r="C969" i="3"/>
  <c r="D969" i="3"/>
  <c r="A970" i="3"/>
  <c r="B970" i="3"/>
  <c r="C970" i="3"/>
  <c r="A971" i="3"/>
  <c r="B971" i="3"/>
  <c r="C971" i="3"/>
  <c r="D971" i="3"/>
  <c r="A972" i="3"/>
  <c r="B972" i="3"/>
  <c r="C972" i="3"/>
  <c r="D972" i="3"/>
  <c r="A973" i="3"/>
  <c r="B973" i="3"/>
  <c r="C973" i="3"/>
  <c r="D973" i="3"/>
  <c r="A974" i="3"/>
  <c r="B974" i="3"/>
  <c r="C974" i="3"/>
  <c r="D974" i="3"/>
  <c r="A975" i="3"/>
  <c r="B975" i="3"/>
  <c r="C975" i="3"/>
  <c r="A976" i="3"/>
  <c r="B976" i="3"/>
  <c r="C976" i="3"/>
  <c r="D976" i="3"/>
  <c r="A977" i="3"/>
  <c r="B977" i="3"/>
  <c r="C977" i="3"/>
  <c r="D977" i="3"/>
  <c r="A978" i="3"/>
  <c r="B978" i="3"/>
  <c r="C978" i="3"/>
  <c r="D978" i="3"/>
  <c r="A979" i="3"/>
  <c r="B979" i="3"/>
  <c r="C979" i="3"/>
  <c r="D979" i="3"/>
  <c r="A980" i="3"/>
  <c r="B980" i="3"/>
  <c r="C980" i="3"/>
  <c r="D980" i="3"/>
  <c r="A981" i="3"/>
  <c r="B981" i="3"/>
  <c r="C981" i="3"/>
  <c r="D981" i="3"/>
  <c r="A982" i="3"/>
  <c r="B982" i="3"/>
  <c r="C982" i="3"/>
  <c r="D982" i="3"/>
  <c r="A983" i="3"/>
  <c r="B983" i="3"/>
  <c r="C983" i="3"/>
  <c r="D983" i="3"/>
  <c r="A984" i="3"/>
  <c r="B984" i="3"/>
  <c r="C984" i="3"/>
  <c r="D984" i="3"/>
  <c r="A985" i="3"/>
  <c r="B985" i="3"/>
  <c r="C985" i="3"/>
  <c r="D985" i="3"/>
  <c r="A986" i="3"/>
  <c r="B986" i="3"/>
  <c r="C986" i="3"/>
  <c r="D986" i="3"/>
  <c r="A987" i="3"/>
  <c r="B987" i="3"/>
  <c r="C987" i="3"/>
  <c r="D987" i="3"/>
  <c r="A988" i="3"/>
  <c r="B988" i="3"/>
  <c r="C988" i="3"/>
  <c r="D988" i="3"/>
  <c r="A989" i="3"/>
  <c r="B989" i="3"/>
  <c r="C989" i="3"/>
  <c r="D989" i="3"/>
  <c r="A990" i="3"/>
  <c r="B990" i="3"/>
  <c r="C990" i="3"/>
  <c r="D990" i="3"/>
  <c r="A991" i="3"/>
  <c r="B991" i="3"/>
  <c r="C991" i="3"/>
  <c r="D991" i="3"/>
  <c r="A992" i="3"/>
  <c r="B992" i="3"/>
  <c r="C992" i="3"/>
  <c r="D992" i="3"/>
  <c r="A993" i="3"/>
  <c r="B993" i="3"/>
  <c r="C993" i="3"/>
  <c r="D993" i="3"/>
  <c r="A994" i="3"/>
  <c r="B994" i="3"/>
  <c r="C994" i="3"/>
  <c r="D994" i="3"/>
  <c r="A995" i="3"/>
  <c r="B995" i="3"/>
  <c r="C995" i="3"/>
  <c r="D995" i="3"/>
  <c r="A996" i="3"/>
  <c r="B996" i="3"/>
  <c r="C996" i="3"/>
  <c r="D996" i="3"/>
  <c r="A997" i="3"/>
  <c r="B997" i="3"/>
  <c r="C997" i="3"/>
  <c r="D997" i="3"/>
  <c r="A998" i="3"/>
  <c r="B998" i="3"/>
  <c r="C998" i="3"/>
  <c r="D998" i="3"/>
  <c r="A999" i="3"/>
  <c r="B999" i="3"/>
  <c r="C999" i="3"/>
  <c r="D999" i="3"/>
  <c r="A1000" i="3"/>
  <c r="B1000" i="3"/>
  <c r="C1000" i="3"/>
  <c r="D1000" i="3"/>
  <c r="A1001" i="3"/>
  <c r="B1001" i="3"/>
  <c r="C1001" i="3"/>
  <c r="D1001" i="3"/>
  <c r="A1002" i="3"/>
  <c r="B1002" i="3"/>
  <c r="C1002" i="3"/>
  <c r="D1002" i="3"/>
  <c r="A1003" i="3"/>
  <c r="B1003" i="3"/>
  <c r="C1003" i="3"/>
  <c r="D1003" i="3"/>
  <c r="A1004" i="3"/>
  <c r="B1004" i="3"/>
  <c r="C1004" i="3"/>
  <c r="D1004" i="3"/>
  <c r="A1005" i="3"/>
  <c r="B1005" i="3"/>
  <c r="C1005" i="3"/>
  <c r="D1005" i="3"/>
  <c r="A1006" i="3"/>
  <c r="B1006" i="3"/>
  <c r="C1006" i="3"/>
  <c r="D1006" i="3"/>
  <c r="A1007" i="3"/>
  <c r="B1007" i="3"/>
  <c r="C1007" i="3"/>
  <c r="D1007" i="3"/>
  <c r="A1008" i="3"/>
  <c r="B1008" i="3"/>
  <c r="C1008" i="3"/>
  <c r="D1008" i="3"/>
  <c r="A1009" i="3"/>
  <c r="B1009" i="3"/>
  <c r="C1009" i="3"/>
  <c r="D1009" i="3"/>
  <c r="A1010" i="3"/>
  <c r="B1010" i="3"/>
  <c r="C1010" i="3"/>
  <c r="D1010" i="3"/>
  <c r="A1011" i="3"/>
  <c r="B1011" i="3"/>
  <c r="C1011" i="3"/>
  <c r="D1011" i="3"/>
  <c r="A1012" i="3"/>
  <c r="B1012" i="3"/>
  <c r="C1012" i="3"/>
  <c r="D1012" i="3"/>
  <c r="A1013" i="3"/>
  <c r="B1013" i="3"/>
  <c r="C1013" i="3"/>
  <c r="D1013" i="3"/>
  <c r="A1014" i="3"/>
  <c r="B1014" i="3"/>
  <c r="C1014" i="3"/>
  <c r="D1014" i="3"/>
  <c r="A1015" i="3"/>
  <c r="B1015" i="3"/>
  <c r="C1015" i="3"/>
  <c r="D1015" i="3"/>
  <c r="A1016" i="3"/>
  <c r="B1016" i="3"/>
  <c r="C1016" i="3"/>
  <c r="D1016" i="3"/>
  <c r="A1017" i="3"/>
  <c r="B1017" i="3"/>
  <c r="C1017" i="3"/>
  <c r="D1017" i="3"/>
  <c r="A1018" i="3"/>
  <c r="B1018" i="3"/>
  <c r="C1018" i="3"/>
  <c r="D1018" i="3"/>
  <c r="A1019" i="3"/>
  <c r="B1019" i="3"/>
  <c r="C1019" i="3"/>
  <c r="D1019" i="3"/>
  <c r="A1020" i="3"/>
  <c r="B1020" i="3"/>
  <c r="C1020" i="3"/>
  <c r="D1020" i="3"/>
  <c r="A1021" i="3"/>
  <c r="B1021" i="3"/>
  <c r="C1021" i="3"/>
  <c r="D1021" i="3"/>
  <c r="A1022" i="3"/>
  <c r="B1022" i="3"/>
  <c r="C1022" i="3"/>
  <c r="D1022" i="3"/>
  <c r="A1023" i="3"/>
  <c r="B1023" i="3"/>
  <c r="C1023" i="3"/>
  <c r="D1023" i="3"/>
  <c r="A1024" i="3"/>
  <c r="B1024" i="3"/>
  <c r="C1024" i="3"/>
  <c r="D1024" i="3"/>
  <c r="A1025" i="3"/>
  <c r="B1025" i="3"/>
  <c r="C1025" i="3"/>
  <c r="D1025" i="3"/>
  <c r="A1026" i="3"/>
  <c r="B1026" i="3"/>
  <c r="C1026" i="3"/>
  <c r="D1026" i="3"/>
  <c r="A1027" i="3"/>
  <c r="B1027" i="3"/>
  <c r="C1027" i="3"/>
  <c r="D1027" i="3"/>
  <c r="A1028" i="3"/>
  <c r="B1028" i="3"/>
  <c r="C1028" i="3"/>
  <c r="D1028" i="3"/>
  <c r="A1029" i="3"/>
  <c r="B1029" i="3"/>
  <c r="C1029" i="3"/>
  <c r="D1029" i="3"/>
  <c r="A1030" i="3"/>
  <c r="B1030" i="3"/>
  <c r="C1030" i="3"/>
  <c r="D1030" i="3"/>
  <c r="A1031" i="3"/>
  <c r="B1031" i="3"/>
  <c r="C1031" i="3"/>
  <c r="D1031" i="3"/>
  <c r="A1032" i="3"/>
  <c r="B1032" i="3"/>
  <c r="C1032" i="3"/>
  <c r="D1032" i="3"/>
  <c r="A1033" i="3"/>
  <c r="B1033" i="3"/>
  <c r="C1033" i="3"/>
  <c r="D1033" i="3"/>
  <c r="A1034" i="3"/>
  <c r="B1034" i="3"/>
  <c r="C1034" i="3"/>
  <c r="D1034" i="3"/>
  <c r="A1035" i="3"/>
  <c r="B1035" i="3"/>
  <c r="C1035" i="3"/>
  <c r="D1035" i="3"/>
  <c r="A1036" i="3"/>
  <c r="B1036" i="3"/>
  <c r="C1036" i="3"/>
  <c r="D1036" i="3"/>
  <c r="A1037" i="3"/>
  <c r="B1037" i="3"/>
  <c r="C1037" i="3"/>
  <c r="D1037" i="3"/>
  <c r="A1038" i="3"/>
  <c r="B1038" i="3"/>
  <c r="C1038" i="3"/>
  <c r="D1038" i="3"/>
  <c r="A1039" i="3"/>
  <c r="B1039" i="3"/>
  <c r="C1039" i="3"/>
  <c r="D1039" i="3"/>
  <c r="A1040" i="3"/>
  <c r="B1040" i="3"/>
  <c r="C1040" i="3"/>
  <c r="D1040" i="3"/>
  <c r="A1041" i="3"/>
  <c r="B1041" i="3"/>
  <c r="C1041" i="3"/>
  <c r="D1041" i="3"/>
  <c r="A1042" i="3"/>
  <c r="B1042" i="3"/>
  <c r="C1042" i="3"/>
  <c r="D1042" i="3"/>
  <c r="A1043" i="3"/>
  <c r="B1043" i="3"/>
  <c r="C1043" i="3"/>
  <c r="D1043" i="3"/>
  <c r="A1044" i="3"/>
  <c r="B1044" i="3"/>
  <c r="C1044" i="3"/>
  <c r="D1044" i="3"/>
  <c r="A1045" i="3"/>
  <c r="B1045" i="3"/>
  <c r="C1045" i="3"/>
  <c r="D1045" i="3"/>
  <c r="A1046" i="3"/>
  <c r="B1046" i="3"/>
  <c r="C1046" i="3"/>
  <c r="D1046" i="3"/>
  <c r="A1047" i="3"/>
  <c r="B1047" i="3"/>
  <c r="C1047" i="3"/>
  <c r="D1047" i="3"/>
  <c r="A1048" i="3"/>
  <c r="B1048" i="3"/>
  <c r="C1048" i="3"/>
  <c r="D1048" i="3"/>
  <c r="A1049" i="3"/>
  <c r="B1049" i="3"/>
  <c r="C1049" i="3"/>
  <c r="D1049" i="3"/>
  <c r="A1050" i="3"/>
  <c r="B1050" i="3"/>
  <c r="C1050" i="3"/>
  <c r="D1050" i="3"/>
  <c r="A1051" i="3"/>
  <c r="B1051" i="3"/>
  <c r="C1051" i="3"/>
  <c r="D1051" i="3"/>
  <c r="A1052" i="3"/>
  <c r="B1052" i="3"/>
  <c r="C1052" i="3"/>
  <c r="D1052" i="3"/>
  <c r="A1053" i="3"/>
  <c r="B1053" i="3"/>
  <c r="C1053" i="3"/>
  <c r="D1053" i="3"/>
  <c r="A1054" i="3"/>
  <c r="B1054" i="3"/>
  <c r="C1054" i="3"/>
  <c r="D1054" i="3"/>
  <c r="A1055" i="3"/>
  <c r="B1055" i="3"/>
  <c r="C1055" i="3"/>
  <c r="D1055" i="3"/>
  <c r="A1056" i="3"/>
  <c r="B1056" i="3"/>
  <c r="C1056" i="3"/>
  <c r="D1056" i="3"/>
  <c r="A1057" i="3"/>
  <c r="B1057" i="3"/>
  <c r="C1057" i="3"/>
  <c r="D1057" i="3"/>
  <c r="A1058" i="3"/>
  <c r="B1058" i="3"/>
  <c r="C1058" i="3"/>
  <c r="D1058" i="3"/>
  <c r="A1059" i="3"/>
  <c r="B1059" i="3"/>
  <c r="C1059" i="3"/>
  <c r="D1059" i="3"/>
  <c r="A1060" i="3"/>
  <c r="B1060" i="3"/>
  <c r="C1060" i="3"/>
  <c r="D1060" i="3"/>
  <c r="A1061" i="3"/>
  <c r="B1061" i="3"/>
  <c r="C1061" i="3"/>
  <c r="D1061" i="3"/>
  <c r="A1062" i="3"/>
  <c r="B1062" i="3"/>
  <c r="C1062" i="3"/>
  <c r="D1062" i="3"/>
  <c r="A1063" i="3"/>
  <c r="B1063" i="3"/>
  <c r="C1063" i="3"/>
  <c r="D1063" i="3"/>
  <c r="A1064" i="3"/>
  <c r="B1064" i="3"/>
  <c r="A1065" i="3"/>
  <c r="B1065" i="3"/>
  <c r="A1066" i="3"/>
  <c r="B1066" i="3"/>
  <c r="A1067" i="3"/>
  <c r="B1067" i="3"/>
  <c r="A1068" i="3"/>
  <c r="B1068" i="3"/>
  <c r="A1069" i="3"/>
  <c r="B1069" i="3"/>
  <c r="A1070" i="3"/>
  <c r="B1070" i="3"/>
  <c r="A1071" i="3"/>
  <c r="B1071" i="3"/>
  <c r="A1072" i="3"/>
  <c r="B1072" i="3"/>
  <c r="A1073" i="3"/>
  <c r="B1073" i="3"/>
  <c r="A1074" i="3"/>
  <c r="B1074" i="3"/>
  <c r="A1075" i="3"/>
  <c r="B1075" i="3"/>
  <c r="A1076" i="3"/>
  <c r="B1076" i="3"/>
  <c r="A1077" i="3"/>
  <c r="B1077" i="3"/>
  <c r="A1078" i="3"/>
  <c r="B1078" i="3"/>
  <c r="A1079" i="3"/>
  <c r="B1079" i="3"/>
  <c r="A1080" i="3"/>
  <c r="B1080" i="3"/>
  <c r="A1081" i="3"/>
  <c r="B1081" i="3"/>
  <c r="C1081" i="3"/>
  <c r="D1081" i="3"/>
  <c r="A1082" i="3"/>
  <c r="B1082" i="3"/>
  <c r="C1082" i="3"/>
  <c r="D1082" i="3"/>
  <c r="A1083" i="3"/>
  <c r="B1083" i="3"/>
  <c r="C1083" i="3"/>
  <c r="D1083" i="3"/>
  <c r="A1084" i="3"/>
  <c r="B1084" i="3"/>
  <c r="C1084" i="3"/>
  <c r="D1084" i="3"/>
  <c r="A1085" i="3"/>
  <c r="B1085" i="3"/>
  <c r="C1085" i="3"/>
  <c r="D1085" i="3"/>
  <c r="A1086" i="3"/>
  <c r="B1086" i="3"/>
  <c r="C1086" i="3"/>
  <c r="D1086" i="3"/>
  <c r="A1087" i="3"/>
  <c r="B1087" i="3"/>
  <c r="C1087" i="3"/>
  <c r="D1087" i="3"/>
  <c r="A1088" i="3"/>
  <c r="B1088" i="3"/>
  <c r="C1088" i="3"/>
  <c r="D1088" i="3"/>
  <c r="A1089" i="3"/>
  <c r="B1089" i="3"/>
  <c r="C1089" i="3"/>
  <c r="D1089" i="3"/>
  <c r="A1090" i="3"/>
  <c r="B1090" i="3"/>
  <c r="C1090" i="3"/>
  <c r="D1090" i="3"/>
  <c r="A1091" i="3"/>
  <c r="B1091" i="3"/>
  <c r="C1091" i="3"/>
  <c r="D1091" i="3"/>
  <c r="A1092" i="3"/>
  <c r="B1092" i="3"/>
  <c r="C1092" i="3"/>
  <c r="D1092" i="3"/>
  <c r="A1093" i="3"/>
  <c r="B1093" i="3"/>
  <c r="C1093" i="3"/>
  <c r="D1093" i="3"/>
  <c r="A1094" i="3"/>
  <c r="B1094" i="3"/>
  <c r="C1094" i="3"/>
  <c r="D1094" i="3"/>
  <c r="A1095" i="3"/>
  <c r="B1095" i="3"/>
  <c r="C1095" i="3"/>
  <c r="D1095" i="3"/>
  <c r="A1096" i="3"/>
  <c r="B1096" i="3"/>
  <c r="C1096" i="3"/>
  <c r="D1096" i="3"/>
  <c r="A1097" i="3"/>
  <c r="B1097" i="3"/>
  <c r="C1097" i="3"/>
  <c r="D1097" i="3"/>
  <c r="A1098" i="3"/>
  <c r="B1098" i="3"/>
  <c r="C1098" i="3"/>
  <c r="D1098" i="3"/>
  <c r="A1099" i="3"/>
  <c r="B1099" i="3"/>
  <c r="C1099" i="3"/>
  <c r="D1099" i="3"/>
  <c r="A1100" i="3"/>
  <c r="B1100" i="3"/>
  <c r="C1100" i="3"/>
  <c r="D1100" i="3"/>
  <c r="A1101" i="3"/>
  <c r="B1101" i="3"/>
  <c r="C1101" i="3"/>
  <c r="D1101" i="3"/>
  <c r="A1102" i="3"/>
  <c r="B1102" i="3"/>
  <c r="C1102" i="3"/>
  <c r="D1102" i="3"/>
  <c r="A1103" i="3"/>
  <c r="B1103" i="3"/>
  <c r="C1103" i="3"/>
  <c r="D1103" i="3"/>
  <c r="A1104" i="3"/>
  <c r="B1104" i="3"/>
  <c r="C1104" i="3"/>
  <c r="D1104" i="3"/>
  <c r="A1105" i="3"/>
  <c r="B1105" i="3"/>
  <c r="C1105" i="3"/>
  <c r="D1105" i="3"/>
  <c r="A1106" i="3"/>
  <c r="B1106" i="3"/>
  <c r="C1106" i="3"/>
  <c r="D1106" i="3"/>
  <c r="A1107" i="3"/>
  <c r="B1107" i="3"/>
  <c r="C1107" i="3"/>
  <c r="D1107" i="3"/>
  <c r="A1108" i="3"/>
  <c r="B1108" i="3"/>
  <c r="C1108" i="3"/>
  <c r="D1108" i="3"/>
  <c r="A1109" i="3"/>
  <c r="B1109" i="3"/>
  <c r="C1109" i="3"/>
  <c r="D1109" i="3"/>
  <c r="A1110" i="3"/>
  <c r="B1110" i="3"/>
  <c r="C1110" i="3"/>
  <c r="D1110" i="3"/>
  <c r="A1111" i="3"/>
  <c r="B1111" i="3"/>
  <c r="C1111" i="3"/>
  <c r="D1111" i="3"/>
  <c r="A1112" i="3"/>
  <c r="B1112" i="3"/>
  <c r="C1112" i="3"/>
  <c r="D1112" i="3"/>
  <c r="A1113" i="3"/>
  <c r="B1113" i="3"/>
  <c r="C1113" i="3"/>
  <c r="D1113" i="3"/>
  <c r="A1114" i="3"/>
  <c r="B1114" i="3"/>
  <c r="C1114" i="3"/>
  <c r="D1114" i="3"/>
  <c r="A1115" i="3"/>
  <c r="B1115" i="3"/>
  <c r="C1115" i="3"/>
  <c r="D1115" i="3"/>
  <c r="A1116" i="3"/>
  <c r="B1116" i="3"/>
  <c r="C1116" i="3"/>
  <c r="D1116" i="3"/>
  <c r="A1117" i="3"/>
  <c r="B1117" i="3"/>
  <c r="C1117" i="3"/>
  <c r="D1117" i="3"/>
  <c r="A1118" i="3"/>
  <c r="B1118" i="3"/>
  <c r="C1118" i="3"/>
  <c r="D1118" i="3"/>
  <c r="A1119" i="3"/>
  <c r="B1119" i="3"/>
  <c r="C1119" i="3"/>
  <c r="D1119" i="3"/>
  <c r="A1120" i="3"/>
  <c r="B1120" i="3"/>
  <c r="C1120" i="3"/>
  <c r="D1120" i="3"/>
  <c r="A1121" i="3"/>
  <c r="B1121" i="3"/>
  <c r="C1121" i="3"/>
  <c r="D1121" i="3"/>
  <c r="A1122" i="3"/>
  <c r="B1122" i="3"/>
  <c r="C1122" i="3"/>
  <c r="D1122" i="3"/>
  <c r="A1123" i="3"/>
  <c r="B1123" i="3"/>
  <c r="C1123" i="3"/>
  <c r="D1123" i="3"/>
  <c r="A1124" i="3"/>
  <c r="B1124" i="3"/>
  <c r="C1124" i="3"/>
  <c r="D1124" i="3"/>
  <c r="A1125" i="3"/>
  <c r="B1125" i="3"/>
  <c r="C1125" i="3"/>
  <c r="D1125" i="3"/>
  <c r="A1126" i="3"/>
  <c r="B1126" i="3"/>
  <c r="C1126" i="3"/>
  <c r="D1126" i="3"/>
  <c r="A1127" i="3"/>
  <c r="B1127" i="3"/>
  <c r="C1127" i="3"/>
  <c r="D1127" i="3"/>
  <c r="A1128" i="3"/>
  <c r="B1128" i="3"/>
  <c r="C1128" i="3"/>
  <c r="D1128" i="3"/>
  <c r="A1129" i="3"/>
  <c r="B1129" i="3"/>
  <c r="C1129" i="3"/>
  <c r="D1129" i="3"/>
  <c r="A1130" i="3"/>
  <c r="B1130" i="3"/>
  <c r="C1130" i="3"/>
  <c r="D1130" i="3"/>
  <c r="A1131" i="3"/>
  <c r="B1131" i="3"/>
  <c r="C1131" i="3"/>
  <c r="D1131" i="3"/>
  <c r="A1132" i="3"/>
  <c r="B1132" i="3"/>
  <c r="C1132" i="3"/>
  <c r="D1132" i="3"/>
  <c r="A1133" i="3"/>
  <c r="B1133" i="3"/>
  <c r="C1133" i="3"/>
  <c r="D1133" i="3"/>
  <c r="A1134" i="3"/>
  <c r="B1134" i="3"/>
  <c r="C1134" i="3"/>
  <c r="D1134" i="3"/>
  <c r="A1135" i="3"/>
  <c r="B1135" i="3"/>
  <c r="C1135" i="3"/>
  <c r="D1135" i="3"/>
  <c r="A1136" i="3"/>
  <c r="B1136" i="3"/>
  <c r="C1136" i="3"/>
  <c r="D1136" i="3"/>
  <c r="A1137" i="3"/>
  <c r="B1137" i="3"/>
  <c r="C1137" i="3"/>
  <c r="D1137" i="3"/>
  <c r="A1138" i="3"/>
  <c r="B1138" i="3"/>
  <c r="C1138" i="3"/>
  <c r="D1138" i="3"/>
  <c r="A1139" i="3"/>
  <c r="B1139" i="3"/>
  <c r="C1139" i="3"/>
  <c r="D1139" i="3"/>
  <c r="A1140" i="3"/>
  <c r="B1140" i="3"/>
  <c r="C1140" i="3"/>
  <c r="D1140" i="3"/>
  <c r="A1141" i="3"/>
  <c r="B1141" i="3"/>
  <c r="C1141" i="3"/>
  <c r="D1141" i="3"/>
  <c r="A1142" i="3"/>
  <c r="B1142" i="3"/>
  <c r="C1142" i="3"/>
  <c r="D1142" i="3"/>
  <c r="A1143" i="3"/>
  <c r="B1143" i="3"/>
  <c r="C1143" i="3"/>
  <c r="D1143" i="3"/>
  <c r="A1144" i="3"/>
  <c r="B1144" i="3"/>
  <c r="C1144" i="3"/>
  <c r="D1144" i="3"/>
  <c r="A1145" i="3"/>
  <c r="B1145" i="3"/>
  <c r="C1145" i="3"/>
  <c r="D1145" i="3"/>
  <c r="A1146" i="3"/>
  <c r="B1146" i="3"/>
  <c r="C1146" i="3"/>
  <c r="D1146" i="3"/>
  <c r="A1147" i="3"/>
  <c r="B1147" i="3"/>
  <c r="C1147" i="3"/>
  <c r="D1147" i="3"/>
  <c r="A1148" i="3"/>
  <c r="B1148" i="3"/>
  <c r="C1148" i="3"/>
  <c r="D1148" i="3"/>
  <c r="A1149" i="3"/>
  <c r="B1149" i="3"/>
  <c r="C1149" i="3"/>
  <c r="D1149" i="3"/>
  <c r="A1150" i="3"/>
  <c r="B1150" i="3"/>
  <c r="C1150" i="3"/>
  <c r="D1150" i="3"/>
  <c r="A1151" i="3"/>
  <c r="B1151" i="3"/>
  <c r="C1151" i="3"/>
  <c r="D1151" i="3"/>
  <c r="A1152" i="3"/>
  <c r="B1152" i="3"/>
  <c r="C1152" i="3"/>
  <c r="D1152" i="3"/>
  <c r="A1153" i="3"/>
  <c r="B1153" i="3"/>
  <c r="C1153" i="3"/>
  <c r="D1153" i="3"/>
  <c r="A1154" i="3"/>
  <c r="B1154" i="3"/>
  <c r="C1154" i="3"/>
  <c r="D1154" i="3"/>
  <c r="A1155" i="3"/>
  <c r="B1155" i="3"/>
  <c r="C1155" i="3"/>
  <c r="D1155" i="3"/>
  <c r="A1156" i="3"/>
  <c r="C1156" i="3"/>
  <c r="D1156" i="3"/>
  <c r="A1157" i="3"/>
  <c r="B1157" i="3"/>
  <c r="C1157" i="3"/>
  <c r="D1157" i="3"/>
  <c r="A1158" i="3"/>
  <c r="B1158" i="3"/>
  <c r="C1158" i="3"/>
  <c r="D1158" i="3"/>
  <c r="A1159" i="3"/>
  <c r="B1159" i="3"/>
  <c r="C1159" i="3"/>
  <c r="D1159" i="3"/>
  <c r="A1160" i="3"/>
  <c r="B1160" i="3"/>
  <c r="C1160" i="3"/>
  <c r="D1160" i="3"/>
  <c r="A1161" i="3"/>
  <c r="B1161" i="3"/>
  <c r="C1161" i="3"/>
  <c r="D1161" i="3"/>
  <c r="A1162" i="3"/>
  <c r="B1162" i="3"/>
  <c r="C1162" i="3"/>
  <c r="D1162" i="3"/>
  <c r="A1163" i="3"/>
  <c r="B1163" i="3"/>
  <c r="C1163" i="3"/>
  <c r="D1163" i="3"/>
  <c r="A1164" i="3"/>
  <c r="B1164" i="3"/>
  <c r="C1164" i="3"/>
  <c r="D1164" i="3"/>
  <c r="A1165" i="3"/>
  <c r="B1165" i="3"/>
  <c r="C1165" i="3"/>
  <c r="D1165" i="3"/>
  <c r="A1166" i="3"/>
  <c r="B1166" i="3"/>
  <c r="C1166" i="3"/>
  <c r="D1166" i="3"/>
  <c r="A1167" i="3"/>
  <c r="B1167" i="3"/>
  <c r="C1167" i="3"/>
  <c r="D1167" i="3"/>
  <c r="A1168" i="3"/>
  <c r="B1168" i="3"/>
  <c r="C1168" i="3"/>
  <c r="D1168" i="3"/>
  <c r="A1169" i="3"/>
  <c r="B1169" i="3"/>
  <c r="C1169" i="3"/>
  <c r="D1169" i="3"/>
  <c r="A1170" i="3"/>
  <c r="B1170" i="3"/>
  <c r="C1170" i="3"/>
  <c r="D1170" i="3"/>
  <c r="A1171" i="3"/>
  <c r="B1171" i="3"/>
  <c r="C1171" i="3"/>
  <c r="D1171" i="3"/>
  <c r="A1172" i="3"/>
  <c r="B1172" i="3"/>
  <c r="C1172" i="3"/>
  <c r="D1172" i="3"/>
  <c r="A1173" i="3"/>
  <c r="B1173" i="3"/>
  <c r="C1173" i="3"/>
  <c r="D1173" i="3"/>
  <c r="A1174" i="3"/>
  <c r="B1174" i="3"/>
  <c r="C1174" i="3"/>
  <c r="D1174" i="3"/>
  <c r="A1175" i="3"/>
  <c r="B1175" i="3"/>
  <c r="C1175" i="3"/>
  <c r="D1175" i="3"/>
  <c r="A1176" i="3"/>
  <c r="B1176" i="3"/>
  <c r="C1176" i="3"/>
  <c r="D1176" i="3"/>
  <c r="A1177" i="3"/>
  <c r="B1177" i="3"/>
  <c r="C1177" i="3"/>
  <c r="D1177" i="3"/>
  <c r="A1178" i="3"/>
  <c r="B1178" i="3"/>
  <c r="C1178" i="3"/>
  <c r="D1178" i="3"/>
  <c r="A1179" i="3"/>
  <c r="B1179" i="3"/>
  <c r="C1179" i="3"/>
  <c r="D1179" i="3"/>
  <c r="A1180" i="3"/>
  <c r="B1180" i="3"/>
  <c r="C1180" i="3"/>
  <c r="D1180" i="3"/>
  <c r="A1181" i="3"/>
  <c r="B1181" i="3"/>
  <c r="C1181" i="3"/>
  <c r="D1181" i="3"/>
  <c r="A1182" i="3"/>
  <c r="B1182" i="3"/>
  <c r="C1182" i="3"/>
  <c r="D1182" i="3"/>
  <c r="A1183" i="3"/>
  <c r="B1183" i="3"/>
  <c r="C1183" i="3"/>
  <c r="D1183" i="3"/>
  <c r="A1184" i="3"/>
  <c r="B1184" i="3"/>
  <c r="C1184" i="3"/>
  <c r="D1184" i="3"/>
  <c r="A1185" i="3"/>
  <c r="B1185" i="3"/>
  <c r="C1185" i="3"/>
  <c r="D1185" i="3"/>
  <c r="A1186" i="3"/>
  <c r="B1186" i="3"/>
  <c r="C1186" i="3"/>
  <c r="D1186" i="3"/>
  <c r="A1187" i="3"/>
  <c r="B1187" i="3"/>
  <c r="C1187" i="3"/>
  <c r="D1187" i="3"/>
  <c r="A1188" i="3"/>
  <c r="B1188" i="3"/>
  <c r="C1188" i="3"/>
  <c r="D1188" i="3"/>
  <c r="A1189" i="3"/>
  <c r="B1189" i="3"/>
  <c r="C1189" i="3"/>
  <c r="D1189" i="3"/>
  <c r="A1190" i="3"/>
  <c r="B1190" i="3"/>
  <c r="C1190" i="3"/>
  <c r="D1190" i="3"/>
  <c r="A1191" i="3"/>
  <c r="B1191" i="3"/>
  <c r="C1191" i="3"/>
  <c r="D1191" i="3"/>
  <c r="A1192" i="3"/>
  <c r="B1192" i="3"/>
  <c r="C1192" i="3"/>
  <c r="D1192" i="3"/>
  <c r="A1193" i="3"/>
  <c r="B1193" i="3"/>
  <c r="C1193" i="3"/>
  <c r="D1193" i="3"/>
  <c r="A1194" i="3"/>
  <c r="B1194" i="3"/>
  <c r="C1194" i="3"/>
  <c r="D1194" i="3"/>
  <c r="A1195" i="3"/>
  <c r="B1195" i="3"/>
  <c r="C1195" i="3"/>
  <c r="D1195" i="3"/>
  <c r="A1196" i="3"/>
  <c r="B1196" i="3"/>
  <c r="C1196" i="3"/>
  <c r="D1196" i="3"/>
  <c r="A1197" i="3"/>
  <c r="B1197" i="3"/>
  <c r="C1197" i="3"/>
  <c r="D1197" i="3"/>
  <c r="A1198" i="3"/>
  <c r="B1198" i="3"/>
  <c r="C1198" i="3"/>
  <c r="D1198" i="3"/>
  <c r="A1199" i="3"/>
  <c r="B1199" i="3"/>
  <c r="C1199" i="3"/>
  <c r="D1199" i="3"/>
  <c r="A1200" i="3"/>
  <c r="B1200" i="3"/>
  <c r="C1200" i="3"/>
  <c r="D1200" i="3"/>
  <c r="A1201" i="3"/>
  <c r="B1201" i="3"/>
  <c r="C1201" i="3"/>
  <c r="D1201" i="3"/>
  <c r="A1202" i="3"/>
  <c r="B1202" i="3"/>
  <c r="C1202" i="3"/>
  <c r="D1202" i="3"/>
  <c r="A1203" i="3"/>
  <c r="B1203" i="3"/>
  <c r="C1203" i="3"/>
  <c r="D1203" i="3"/>
  <c r="A1204" i="3"/>
  <c r="B1204" i="3"/>
  <c r="C1204" i="3"/>
  <c r="D1204" i="3"/>
  <c r="A1205" i="3"/>
  <c r="B1205" i="3"/>
  <c r="C1205" i="3"/>
  <c r="D1205" i="3"/>
  <c r="A1206" i="3"/>
  <c r="B1206" i="3"/>
  <c r="C1206" i="3"/>
  <c r="D1206" i="3"/>
  <c r="A1207" i="3"/>
  <c r="B1207" i="3"/>
  <c r="C1207" i="3"/>
  <c r="D1207" i="3"/>
  <c r="A1208" i="3"/>
  <c r="B1208" i="3"/>
  <c r="C1208" i="3"/>
  <c r="D1208" i="3"/>
  <c r="A1209" i="3"/>
  <c r="B1209" i="3"/>
  <c r="C1209" i="3"/>
  <c r="D1209" i="3"/>
  <c r="A1210" i="3"/>
  <c r="B1210" i="3"/>
  <c r="C1210" i="3"/>
  <c r="D1210" i="3"/>
  <c r="A1211" i="3"/>
  <c r="B1211" i="3"/>
  <c r="C1211" i="3"/>
  <c r="D1211" i="3"/>
  <c r="A1212" i="3"/>
  <c r="B1212" i="3"/>
  <c r="C1212" i="3"/>
  <c r="D1212" i="3"/>
  <c r="A1213" i="3"/>
  <c r="B1213" i="3"/>
  <c r="C1213" i="3"/>
  <c r="D1213" i="3"/>
  <c r="A1214" i="3"/>
  <c r="B1214" i="3"/>
  <c r="C1214" i="3"/>
  <c r="D1214" i="3"/>
  <c r="A1215" i="3"/>
  <c r="B1215" i="3"/>
  <c r="C1215" i="3"/>
  <c r="D1215" i="3"/>
  <c r="A1216" i="3"/>
  <c r="B1216" i="3"/>
  <c r="C1216" i="3"/>
  <c r="D1216" i="3"/>
  <c r="A1217" i="3"/>
  <c r="B1217" i="3"/>
  <c r="C1217" i="3"/>
  <c r="D1217" i="3"/>
  <c r="A1218" i="3"/>
  <c r="B1218" i="3"/>
  <c r="C1218" i="3"/>
  <c r="D1218" i="3"/>
  <c r="A1219" i="3"/>
  <c r="B1219" i="3"/>
  <c r="C1219" i="3"/>
  <c r="D1219" i="3"/>
  <c r="A1220" i="3"/>
  <c r="B1220" i="3"/>
  <c r="C1220" i="3"/>
  <c r="D1220" i="3"/>
  <c r="A1221" i="3"/>
  <c r="B1221" i="3"/>
  <c r="C1221" i="3"/>
  <c r="D1221" i="3"/>
  <c r="A1222" i="3"/>
  <c r="B1222" i="3"/>
  <c r="C1222" i="3"/>
  <c r="D1222" i="3"/>
  <c r="A1223" i="3"/>
  <c r="B1223" i="3"/>
  <c r="C1223" i="3"/>
  <c r="D1223" i="3"/>
  <c r="A1224" i="3"/>
  <c r="B1224" i="3"/>
  <c r="C1224" i="3"/>
  <c r="D1224" i="3"/>
  <c r="A1225" i="3"/>
  <c r="B1225" i="3"/>
  <c r="C1225" i="3"/>
  <c r="D1225" i="3"/>
  <c r="A14" i="3"/>
  <c r="B14" i="3"/>
  <c r="C14" i="3"/>
  <c r="D14" i="3"/>
  <c r="A15" i="3"/>
  <c r="B15" i="3"/>
  <c r="C15" i="3"/>
  <c r="D15" i="3"/>
  <c r="A16" i="3"/>
  <c r="B16" i="3"/>
  <c r="C16" i="3"/>
  <c r="D16" i="3"/>
  <c r="A17" i="3"/>
  <c r="B17" i="3"/>
  <c r="C17" i="3"/>
  <c r="D17" i="3"/>
  <c r="A18" i="3"/>
  <c r="B18" i="3"/>
  <c r="C18" i="3"/>
  <c r="D18" i="3"/>
  <c r="A19" i="3"/>
  <c r="B19" i="3"/>
  <c r="C19" i="3"/>
  <c r="D19" i="3"/>
  <c r="A20" i="3"/>
  <c r="B20" i="3"/>
  <c r="C20" i="3"/>
  <c r="D20" i="3"/>
  <c r="A21" i="3"/>
  <c r="B21" i="3"/>
  <c r="C21" i="3"/>
  <c r="D21" i="3"/>
  <c r="A22" i="3"/>
  <c r="B22" i="3"/>
  <c r="C22" i="3"/>
  <c r="D22" i="3"/>
  <c r="A23" i="3"/>
  <c r="B23" i="3"/>
  <c r="C23" i="3"/>
  <c r="D23" i="3"/>
  <c r="A24" i="3"/>
  <c r="B24" i="3"/>
  <c r="C24" i="3"/>
  <c r="D24" i="3"/>
  <c r="A25" i="3"/>
  <c r="B25" i="3"/>
  <c r="C25" i="3"/>
  <c r="D25" i="3"/>
  <c r="A26" i="3"/>
  <c r="B26" i="3"/>
  <c r="C26" i="3"/>
  <c r="D26" i="3"/>
  <c r="A27" i="3"/>
  <c r="B27" i="3"/>
  <c r="C27" i="3"/>
  <c r="D27" i="3"/>
  <c r="A28" i="3"/>
  <c r="B28" i="3"/>
  <c r="C28" i="3"/>
  <c r="D28" i="3"/>
  <c r="A29" i="3"/>
  <c r="B29" i="3"/>
  <c r="C29" i="3"/>
  <c r="D29" i="3"/>
  <c r="A30" i="3"/>
  <c r="B30" i="3"/>
  <c r="C30" i="3"/>
  <c r="D30" i="3"/>
  <c r="A31" i="3"/>
  <c r="B31" i="3"/>
  <c r="C31" i="3"/>
  <c r="D31" i="3"/>
  <c r="A32" i="3"/>
  <c r="B32" i="3"/>
  <c r="C32" i="3"/>
  <c r="D32" i="3"/>
  <c r="A33" i="3"/>
  <c r="B33" i="3"/>
  <c r="C33" i="3"/>
  <c r="D33" i="3"/>
  <c r="A34" i="3"/>
  <c r="B34" i="3"/>
  <c r="C34" i="3"/>
  <c r="D34" i="3"/>
  <c r="A35" i="3"/>
  <c r="B35" i="3"/>
  <c r="C35" i="3"/>
  <c r="D35" i="3"/>
  <c r="A36" i="3"/>
  <c r="B36" i="3"/>
  <c r="C36" i="3"/>
  <c r="D36" i="3"/>
  <c r="A37" i="3"/>
  <c r="B37" i="3"/>
  <c r="C37" i="3"/>
  <c r="D37" i="3"/>
  <c r="A38" i="3"/>
  <c r="B38" i="3"/>
  <c r="C38" i="3"/>
  <c r="D38" i="3"/>
  <c r="A39" i="3"/>
  <c r="B39" i="3"/>
  <c r="C39" i="3"/>
  <c r="D39" i="3"/>
  <c r="A40" i="3"/>
  <c r="B40" i="3"/>
  <c r="C40" i="3"/>
  <c r="D40" i="3"/>
  <c r="A41" i="3"/>
  <c r="B41" i="3"/>
  <c r="C41" i="3"/>
  <c r="D41" i="3"/>
  <c r="A42" i="3"/>
  <c r="B42" i="3"/>
  <c r="C42" i="3"/>
  <c r="D42" i="3"/>
  <c r="A43" i="3"/>
  <c r="B43" i="3"/>
  <c r="C43" i="3"/>
  <c r="D43" i="3"/>
  <c r="A44" i="3"/>
  <c r="B44" i="3"/>
  <c r="C44" i="3"/>
  <c r="D44" i="3"/>
  <c r="A45" i="3"/>
  <c r="B45" i="3"/>
  <c r="C45" i="3"/>
  <c r="D45" i="3"/>
  <c r="A46" i="3"/>
  <c r="B46" i="3"/>
  <c r="C46" i="3"/>
  <c r="D46" i="3"/>
  <c r="A47" i="3"/>
  <c r="B47" i="3"/>
  <c r="C47" i="3"/>
  <c r="D47" i="3"/>
  <c r="A48" i="3"/>
  <c r="B48" i="3"/>
  <c r="C48" i="3"/>
  <c r="D48" i="3"/>
  <c r="A49" i="3"/>
  <c r="B49" i="3"/>
  <c r="C49" i="3"/>
  <c r="D49" i="3"/>
  <c r="A50" i="3"/>
  <c r="B50" i="3"/>
  <c r="C50" i="3"/>
  <c r="D50" i="3"/>
  <c r="A51" i="3"/>
  <c r="B51" i="3"/>
  <c r="C51" i="3"/>
  <c r="D51" i="3"/>
  <c r="A52" i="3"/>
  <c r="B52" i="3"/>
  <c r="C52" i="3"/>
  <c r="D52" i="3"/>
  <c r="D6" i="226" s="1"/>
  <c r="E626" i="267" s="1"/>
  <c r="R1536" i="54"/>
  <c r="Q1536" i="54"/>
  <c r="P1536" i="54"/>
  <c r="O1536" i="54"/>
  <c r="N1536" i="54"/>
  <c r="M1536" i="54"/>
  <c r="L1536" i="54"/>
  <c r="K1536" i="54"/>
  <c r="J1536" i="54"/>
  <c r="I1536" i="54"/>
  <c r="H1536" i="54"/>
  <c r="G1536" i="54"/>
  <c r="F1536" i="54"/>
  <c r="E1536" i="54"/>
  <c r="D1536" i="54"/>
  <c r="C1536" i="54"/>
  <c r="S1533" i="54"/>
  <c r="R1533" i="54"/>
  <c r="Q1533" i="54"/>
  <c r="P1533" i="54"/>
  <c r="O1533" i="54"/>
  <c r="N1533" i="54"/>
  <c r="M1533" i="54"/>
  <c r="L1533" i="54"/>
  <c r="K1533" i="54"/>
  <c r="J1533" i="54"/>
  <c r="I1533" i="54"/>
  <c r="H1533" i="54"/>
  <c r="G1533" i="54"/>
  <c r="F1533" i="54"/>
  <c r="E1533" i="54"/>
  <c r="D1533" i="54"/>
  <c r="C1533" i="54"/>
  <c r="S1530" i="54"/>
  <c r="R1530" i="54"/>
  <c r="Q1530" i="54"/>
  <c r="P1530" i="54"/>
  <c r="O1530" i="54"/>
  <c r="N1530" i="54"/>
  <c r="M1530" i="54"/>
  <c r="L1530" i="54"/>
  <c r="L1445" i="54"/>
  <c r="L1360" i="54"/>
  <c r="L1275" i="54"/>
  <c r="L1190" i="54"/>
  <c r="L1105" i="54"/>
  <c r="L1020" i="54"/>
  <c r="L935" i="54"/>
  <c r="L850" i="54"/>
  <c r="L765" i="54"/>
  <c r="L680" i="54"/>
  <c r="L595" i="54"/>
  <c r="L511" i="54"/>
  <c r="L427" i="54"/>
  <c r="L342" i="54"/>
  <c r="L259" i="54"/>
  <c r="L175" i="54"/>
  <c r="L91" i="54"/>
  <c r="L10" i="54"/>
  <c r="K1530" i="54"/>
  <c r="J1530" i="54"/>
  <c r="I1530" i="54"/>
  <c r="H1530" i="54"/>
  <c r="G1530" i="54"/>
  <c r="F1530" i="54"/>
  <c r="E1530" i="54"/>
  <c r="D1530" i="54"/>
  <c r="C1530" i="54"/>
  <c r="S1527" i="54"/>
  <c r="R1527" i="54"/>
  <c r="Q1527" i="54"/>
  <c r="P1527" i="54"/>
  <c r="O1527" i="54"/>
  <c r="N1527" i="54"/>
  <c r="M1527" i="54"/>
  <c r="L1527" i="54"/>
  <c r="K1527" i="54"/>
  <c r="J1527" i="54"/>
  <c r="I1527" i="54"/>
  <c r="H1527" i="54"/>
  <c r="G1527" i="54"/>
  <c r="F1527" i="54"/>
  <c r="E1527" i="54"/>
  <c r="D1527" i="54"/>
  <c r="C1527" i="54"/>
  <c r="M1524" i="54"/>
  <c r="D1524" i="54"/>
  <c r="C1523" i="54"/>
  <c r="H1522" i="54"/>
  <c r="K1541" i="54"/>
  <c r="K1542" i="54" s="1"/>
  <c r="K1543" i="54" s="1"/>
  <c r="K1544" i="54" s="1"/>
  <c r="K1545" i="54" s="1"/>
  <c r="K1546" i="54" s="1"/>
  <c r="K1547" i="54" s="1"/>
  <c r="K1548" i="54" s="1"/>
  <c r="K1549" i="54" s="1"/>
  <c r="K1550" i="54" s="1"/>
  <c r="K1551" i="54" s="1"/>
  <c r="K1552" i="54" s="1"/>
  <c r="K1553" i="54" s="1"/>
  <c r="K1554" i="54" s="1"/>
  <c r="K1555" i="54" s="1"/>
  <c r="K1556" i="54" s="1"/>
  <c r="K1557" i="54" s="1"/>
  <c r="K1558" i="54" s="1"/>
  <c r="K1559" i="54" s="1"/>
  <c r="K1560" i="54" s="1"/>
  <c r="R1535" i="54"/>
  <c r="Q1535" i="54"/>
  <c r="P1535" i="54"/>
  <c r="O1535" i="54"/>
  <c r="N1535" i="54"/>
  <c r="M1535" i="54"/>
  <c r="L1535" i="54"/>
  <c r="K1535" i="54"/>
  <c r="J1535" i="54"/>
  <c r="I1535" i="54"/>
  <c r="H1535" i="54"/>
  <c r="G1535" i="54"/>
  <c r="F1535" i="54"/>
  <c r="E1535" i="54"/>
  <c r="D1535" i="54"/>
  <c r="C1535" i="54"/>
  <c r="S1532" i="54"/>
  <c r="R1532" i="54"/>
  <c r="Q1532" i="54"/>
  <c r="P1532" i="54"/>
  <c r="O1532" i="54"/>
  <c r="N1532" i="54"/>
  <c r="M1532" i="54"/>
  <c r="L1532" i="54"/>
  <c r="K1532" i="54"/>
  <c r="J1532" i="54"/>
  <c r="I1532" i="54"/>
  <c r="H1532" i="54"/>
  <c r="G1532" i="54"/>
  <c r="F1532" i="54"/>
  <c r="E1532" i="54"/>
  <c r="D1532" i="54"/>
  <c r="C1532" i="54"/>
  <c r="S1529" i="54"/>
  <c r="R1529" i="54"/>
  <c r="Q1529" i="54"/>
  <c r="P1529" i="54"/>
  <c r="O1529" i="54"/>
  <c r="N1529" i="54"/>
  <c r="M1529" i="54"/>
  <c r="L1529" i="54"/>
  <c r="K1529" i="54"/>
  <c r="J1529" i="54"/>
  <c r="I1529" i="54"/>
  <c r="H1529" i="54"/>
  <c r="G1529" i="54"/>
  <c r="F1529" i="54"/>
  <c r="E1529" i="54"/>
  <c r="D1529" i="54"/>
  <c r="C1529" i="54"/>
  <c r="S1526" i="54"/>
  <c r="R1526" i="54"/>
  <c r="Q1526" i="54"/>
  <c r="P1526" i="54"/>
  <c r="O1526" i="54"/>
  <c r="N1526" i="54"/>
  <c r="M1526" i="54"/>
  <c r="L1526" i="54"/>
  <c r="K1526" i="54"/>
  <c r="J1526" i="54"/>
  <c r="I1526" i="54"/>
  <c r="H1526" i="54"/>
  <c r="G1526" i="54"/>
  <c r="F1526" i="54"/>
  <c r="E1526" i="54"/>
  <c r="D1526" i="54"/>
  <c r="C1526" i="54"/>
  <c r="R1451" i="54"/>
  <c r="Q1451" i="54"/>
  <c r="P1451" i="54"/>
  <c r="O1451" i="54"/>
  <c r="N1451" i="54"/>
  <c r="M1451" i="54"/>
  <c r="L1451" i="54"/>
  <c r="K1451" i="54"/>
  <c r="J1451" i="54"/>
  <c r="I1451" i="54"/>
  <c r="H1451" i="54"/>
  <c r="G1451" i="54"/>
  <c r="F1451" i="54"/>
  <c r="E1451" i="54"/>
  <c r="D1451" i="54"/>
  <c r="C1451" i="54"/>
  <c r="S1448" i="54"/>
  <c r="R1448" i="54"/>
  <c r="Q1448" i="54"/>
  <c r="P1448" i="54"/>
  <c r="O1448" i="54"/>
  <c r="N1448" i="54"/>
  <c r="M1448" i="54"/>
  <c r="L1448" i="54"/>
  <c r="K1448" i="54"/>
  <c r="J1448" i="54"/>
  <c r="I1448" i="54"/>
  <c r="H1448" i="54"/>
  <c r="G1448" i="54"/>
  <c r="F1448" i="54"/>
  <c r="E1448" i="54"/>
  <c r="D1448" i="54"/>
  <c r="C1448" i="54"/>
  <c r="S1445" i="54"/>
  <c r="R1445" i="54"/>
  <c r="Q1445" i="54"/>
  <c r="P1445" i="54"/>
  <c r="O1445" i="54"/>
  <c r="N1445" i="54"/>
  <c r="M1445" i="54"/>
  <c r="K1445" i="54"/>
  <c r="J1445" i="54"/>
  <c r="I1445" i="54"/>
  <c r="H1445" i="54"/>
  <c r="G1445" i="54"/>
  <c r="F1445" i="54"/>
  <c r="E1445" i="54"/>
  <c r="D1445" i="54"/>
  <c r="C1445" i="54"/>
  <c r="S1442" i="54"/>
  <c r="R1442" i="54"/>
  <c r="Q1442" i="54"/>
  <c r="P1442" i="54"/>
  <c r="O1442" i="54"/>
  <c r="N1442" i="54"/>
  <c r="M1442" i="54"/>
  <c r="L1442" i="54"/>
  <c r="K1442" i="54"/>
  <c r="J1442" i="54"/>
  <c r="I1442" i="54"/>
  <c r="H1442" i="54"/>
  <c r="G1442" i="54"/>
  <c r="F1442" i="54"/>
  <c r="E1442" i="54"/>
  <c r="D1442" i="54"/>
  <c r="C1442" i="54"/>
  <c r="M1439" i="54"/>
  <c r="D1439" i="54"/>
  <c r="C1438" i="54"/>
  <c r="H1437" i="54"/>
  <c r="K1456" i="54"/>
  <c r="K1457" i="54" s="1"/>
  <c r="K1458" i="54" s="1"/>
  <c r="K1459" i="54" s="1"/>
  <c r="K1460" i="54" s="1"/>
  <c r="K1461" i="54" s="1"/>
  <c r="K1462" i="54" s="1"/>
  <c r="K1463" i="54" s="1"/>
  <c r="K1464" i="54" s="1"/>
  <c r="K1465" i="54" s="1"/>
  <c r="K1466" i="54" s="1"/>
  <c r="K1467" i="54" s="1"/>
  <c r="K1468" i="54" s="1"/>
  <c r="K1469" i="54" s="1"/>
  <c r="K1470" i="54" s="1"/>
  <c r="K1471" i="54" s="1"/>
  <c r="K1472" i="54" s="1"/>
  <c r="K1473" i="54" s="1"/>
  <c r="K1474" i="54" s="1"/>
  <c r="K1475" i="54" s="1"/>
  <c r="K1476" i="54" s="1"/>
  <c r="K1477" i="54" s="1"/>
  <c r="K1478" i="54" s="1"/>
  <c r="K1479" i="54" s="1"/>
  <c r="K1480" i="54" s="1"/>
  <c r="K1481" i="54" s="1"/>
  <c r="K1482" i="54" s="1"/>
  <c r="K1483" i="54" s="1"/>
  <c r="K1484" i="54" s="1"/>
  <c r="K1485" i="54" s="1"/>
  <c r="K1486" i="54" s="1"/>
  <c r="K1487" i="54" s="1"/>
  <c r="K1488" i="54" s="1"/>
  <c r="K1489" i="54" s="1"/>
  <c r="K1490" i="54" s="1"/>
  <c r="K1491" i="54" s="1"/>
  <c r="K1492" i="54" s="1"/>
  <c r="K1493" i="54" s="1"/>
  <c r="K1494" i="54" s="1"/>
  <c r="K1495" i="54" s="1"/>
  <c r="K1496" i="54" s="1"/>
  <c r="K1497" i="54" s="1"/>
  <c r="K1498" i="54" s="1"/>
  <c r="K1499" i="54" s="1"/>
  <c r="K1500" i="54" s="1"/>
  <c r="K1501" i="54" s="1"/>
  <c r="K1502" i="54" s="1"/>
  <c r="K1503" i="54" s="1"/>
  <c r="K1504" i="54" s="1"/>
  <c r="K1505" i="54" s="1"/>
  <c r="K1506" i="54" s="1"/>
  <c r="K1507" i="54" s="1"/>
  <c r="K1508" i="54" s="1"/>
  <c r="K1509" i="54" s="1"/>
  <c r="K1510" i="54" s="1"/>
  <c r="K1511" i="54" s="1"/>
  <c r="K1512" i="54" s="1"/>
  <c r="K1513" i="54" s="1"/>
  <c r="K1514" i="54" s="1"/>
  <c r="R1450" i="54"/>
  <c r="Q1450" i="54"/>
  <c r="P1450" i="54"/>
  <c r="O1450" i="54"/>
  <c r="N1450" i="54"/>
  <c r="M1450" i="54"/>
  <c r="L1450" i="54"/>
  <c r="K1450" i="54"/>
  <c r="J1450" i="54"/>
  <c r="I1450" i="54"/>
  <c r="H1450" i="54"/>
  <c r="G1450" i="54"/>
  <c r="F1450" i="54"/>
  <c r="E1450" i="54"/>
  <c r="D1450" i="54"/>
  <c r="C1450" i="54"/>
  <c r="S1447" i="54"/>
  <c r="R1447" i="54"/>
  <c r="Q1447" i="54"/>
  <c r="P1447" i="54"/>
  <c r="O1447" i="54"/>
  <c r="N1447" i="54"/>
  <c r="M1447" i="54"/>
  <c r="L1447" i="54"/>
  <c r="K1447" i="54"/>
  <c r="J1447" i="54"/>
  <c r="I1447" i="54"/>
  <c r="H1447" i="54"/>
  <c r="G1447" i="54"/>
  <c r="F1447" i="54"/>
  <c r="E1447" i="54"/>
  <c r="D1447" i="54"/>
  <c r="C1447" i="54"/>
  <c r="S1444" i="54"/>
  <c r="R1444" i="54"/>
  <c r="Q1444" i="54"/>
  <c r="P1444" i="54"/>
  <c r="O1444" i="54"/>
  <c r="N1444" i="54"/>
  <c r="M1444" i="54"/>
  <c r="L1444" i="54"/>
  <c r="K1444" i="54"/>
  <c r="J1444" i="54"/>
  <c r="I1444" i="54"/>
  <c r="H1444" i="54"/>
  <c r="G1444" i="54"/>
  <c r="F1444" i="54"/>
  <c r="E1444" i="54"/>
  <c r="D1444" i="54"/>
  <c r="C1444" i="54"/>
  <c r="S1441" i="54"/>
  <c r="R1441" i="54"/>
  <c r="Q1441" i="54"/>
  <c r="P1441" i="54"/>
  <c r="O1441" i="54"/>
  <c r="N1441" i="54"/>
  <c r="M1441" i="54"/>
  <c r="L1441" i="54"/>
  <c r="K1441" i="54"/>
  <c r="J1441" i="54"/>
  <c r="I1441" i="54"/>
  <c r="H1441" i="54"/>
  <c r="G1441" i="54"/>
  <c r="F1441" i="54"/>
  <c r="E1441" i="54"/>
  <c r="D1441" i="54"/>
  <c r="C1441" i="54"/>
  <c r="R1366" i="54"/>
  <c r="Q1366" i="54"/>
  <c r="P1366" i="54"/>
  <c r="O1366" i="54"/>
  <c r="N1366" i="54"/>
  <c r="M1366" i="54"/>
  <c r="L1366" i="54"/>
  <c r="K1366" i="54"/>
  <c r="J1366" i="54"/>
  <c r="I1366" i="54"/>
  <c r="H1366" i="54"/>
  <c r="G1366" i="54"/>
  <c r="F1366" i="54"/>
  <c r="E1366" i="54"/>
  <c r="D1366" i="54"/>
  <c r="C1366" i="54"/>
  <c r="S1363" i="54"/>
  <c r="R1363" i="54"/>
  <c r="Q1363" i="54"/>
  <c r="P1363" i="54"/>
  <c r="O1363" i="54"/>
  <c r="N1363" i="54"/>
  <c r="M1363" i="54"/>
  <c r="L1363" i="54"/>
  <c r="K1363" i="54"/>
  <c r="J1363" i="54"/>
  <c r="I1363" i="54"/>
  <c r="H1363" i="54"/>
  <c r="G1363" i="54"/>
  <c r="F1363" i="54"/>
  <c r="E1363" i="54"/>
  <c r="E1278" i="54"/>
  <c r="E1193" i="54"/>
  <c r="E1108" i="54"/>
  <c r="E1023" i="54"/>
  <c r="E938" i="54"/>
  <c r="E853" i="54"/>
  <c r="E768" i="54"/>
  <c r="E683" i="54"/>
  <c r="E598" i="54"/>
  <c r="E514" i="54"/>
  <c r="E430" i="54"/>
  <c r="E345" i="54"/>
  <c r="E262" i="54"/>
  <c r="E178" i="54"/>
  <c r="E94" i="54"/>
  <c r="E13" i="54"/>
  <c r="D1363" i="54"/>
  <c r="C1363" i="54"/>
  <c r="S1360" i="54"/>
  <c r="R1360" i="54"/>
  <c r="Q1360" i="54"/>
  <c r="P1360" i="54"/>
  <c r="O1360" i="54"/>
  <c r="N1360" i="54"/>
  <c r="M1360" i="54"/>
  <c r="F177" i="278" l="1"/>
  <c r="G177" i="278" s="1"/>
  <c r="F242" i="276"/>
  <c r="G242" i="276" s="1"/>
  <c r="F248" i="278"/>
  <c r="G248" i="278" s="1"/>
  <c r="F340" i="276"/>
  <c r="G340" i="276" s="1"/>
  <c r="F341" i="267"/>
  <c r="F189" i="278"/>
  <c r="G189" i="278" s="1"/>
  <c r="F260" i="276"/>
  <c r="G260" i="276" s="1"/>
  <c r="F137" i="278"/>
  <c r="G137" i="278" s="1"/>
  <c r="F189" i="276"/>
  <c r="G189" i="276" s="1"/>
  <c r="F200" i="278"/>
  <c r="G200" i="278" s="1"/>
  <c r="F273" i="276"/>
  <c r="G273" i="276" s="1"/>
  <c r="F218" i="278"/>
  <c r="G218" i="278" s="1"/>
  <c r="F296" i="276"/>
  <c r="G296" i="276" s="1"/>
  <c r="F198" i="278"/>
  <c r="G198" i="278" s="1"/>
  <c r="F271" i="276"/>
  <c r="G271" i="276" s="1"/>
  <c r="F268" i="278"/>
  <c r="G268" i="278" s="1"/>
  <c r="F371" i="276"/>
  <c r="G371" i="276" s="1"/>
  <c r="F260" i="278"/>
  <c r="G260" i="278" s="1"/>
  <c r="F358" i="276"/>
  <c r="G358" i="276" s="1"/>
  <c r="F322" i="276"/>
  <c r="G322" i="276" s="1"/>
  <c r="F323" i="267"/>
  <c r="F320" i="276"/>
  <c r="G320" i="276" s="1"/>
  <c r="F321" i="267"/>
  <c r="F223" i="278"/>
  <c r="G223" i="278" s="1"/>
  <c r="F303" i="276"/>
  <c r="G303" i="276" s="1"/>
  <c r="F166" i="278"/>
  <c r="G166" i="278" s="1"/>
  <c r="F229" i="276"/>
  <c r="G229" i="276" s="1"/>
  <c r="F266" i="278"/>
  <c r="G266" i="278" s="1"/>
  <c r="F369" i="276"/>
  <c r="G369" i="276" s="1"/>
  <c r="F344" i="276"/>
  <c r="G344" i="276" s="1"/>
  <c r="F345" i="267"/>
  <c r="F330" i="276"/>
  <c r="G330" i="276" s="1"/>
  <c r="F331" i="267"/>
  <c r="F215" i="278"/>
  <c r="G215" i="278" s="1"/>
  <c r="F292" i="276"/>
  <c r="G292" i="276" s="1"/>
  <c r="F140" i="278"/>
  <c r="G140" i="278" s="1"/>
  <c r="F192" i="276"/>
  <c r="G192" i="276" s="1"/>
  <c r="F233" i="278"/>
  <c r="G233" i="278" s="1"/>
  <c r="F314" i="276"/>
  <c r="G314" i="276" s="1"/>
  <c r="F315" i="267"/>
  <c r="F263" i="278"/>
  <c r="G263" i="278" s="1"/>
  <c r="F364" i="276"/>
  <c r="G364" i="276" s="1"/>
  <c r="F242" i="278"/>
  <c r="G242" i="278" s="1"/>
  <c r="F329" i="276"/>
  <c r="G329" i="276" s="1"/>
  <c r="F330" i="267"/>
  <c r="F333" i="276"/>
  <c r="G333" i="276" s="1"/>
  <c r="F334" i="267"/>
  <c r="F176" i="278"/>
  <c r="G176" i="278" s="1"/>
  <c r="F241" i="276"/>
  <c r="G241" i="276" s="1"/>
  <c r="F235" i="278"/>
  <c r="G235" i="278" s="1"/>
  <c r="F316" i="276"/>
  <c r="G316" i="276" s="1"/>
  <c r="F317" i="267"/>
  <c r="F255" i="278"/>
  <c r="G255" i="278" s="1"/>
  <c r="F350" i="276"/>
  <c r="G350" i="276" s="1"/>
  <c r="F351" i="267"/>
  <c r="F253" i="278"/>
  <c r="G253" i="278" s="1"/>
  <c r="F348" i="276"/>
  <c r="G348" i="276" s="1"/>
  <c r="F349" i="267"/>
  <c r="F238" i="278"/>
  <c r="G238" i="278" s="1"/>
  <c r="F323" i="276"/>
  <c r="G323" i="276" s="1"/>
  <c r="F324" i="267"/>
  <c r="F197" i="278"/>
  <c r="G197" i="278" s="1"/>
  <c r="F270" i="276"/>
  <c r="G270" i="276" s="1"/>
  <c r="F190" i="278"/>
  <c r="G190" i="278" s="1"/>
  <c r="F261" i="276"/>
  <c r="G261" i="276" s="1"/>
  <c r="F258" i="278"/>
  <c r="G258" i="278" s="1"/>
  <c r="F355" i="276"/>
  <c r="G355" i="276" s="1"/>
  <c r="F251" i="278"/>
  <c r="G251" i="278" s="1"/>
  <c r="F345" i="276"/>
  <c r="G345" i="276" s="1"/>
  <c r="F346" i="267"/>
  <c r="F328" i="276"/>
  <c r="G328" i="276" s="1"/>
  <c r="F329" i="267"/>
  <c r="F231" i="278"/>
  <c r="G231" i="278" s="1"/>
  <c r="F312" i="276"/>
  <c r="G312" i="276" s="1"/>
  <c r="F214" i="278"/>
  <c r="G214" i="278" s="1"/>
  <c r="F289" i="276"/>
  <c r="G289" i="276" s="1"/>
  <c r="F152" i="278"/>
  <c r="G152" i="278" s="1"/>
  <c r="F209" i="276"/>
  <c r="G209" i="276" s="1"/>
  <c r="F257" i="278"/>
  <c r="G257" i="278" s="1"/>
  <c r="F353" i="276"/>
  <c r="G353" i="276" s="1"/>
  <c r="F354" i="267"/>
  <c r="F155" i="278"/>
  <c r="G155" i="278" s="1"/>
  <c r="F212" i="276"/>
  <c r="G212" i="276" s="1"/>
  <c r="F319" i="276"/>
  <c r="G319" i="276" s="1"/>
  <c r="F320" i="267"/>
  <c r="F315" i="276"/>
  <c r="G315" i="276" s="1"/>
  <c r="F316" i="267"/>
  <c r="F221" i="278"/>
  <c r="G221" i="278" s="1"/>
  <c r="F299" i="276"/>
  <c r="G299" i="276" s="1"/>
  <c r="F174" i="278"/>
  <c r="G174" i="278" s="1"/>
  <c r="F239" i="276"/>
  <c r="G239" i="276" s="1"/>
  <c r="F156" i="278"/>
  <c r="G156" i="278" s="1"/>
  <c r="F213" i="276"/>
  <c r="G213" i="276" s="1"/>
  <c r="F265" i="278"/>
  <c r="G265" i="278" s="1"/>
  <c r="F368" i="276"/>
  <c r="G368" i="276" s="1"/>
  <c r="F259" i="278"/>
  <c r="G259" i="278" s="1"/>
  <c r="F357" i="276"/>
  <c r="G357" i="276" s="1"/>
  <c r="F217" i="278"/>
  <c r="G217" i="278" s="1"/>
  <c r="F295" i="276"/>
  <c r="G295" i="276" s="1"/>
  <c r="F178" i="278"/>
  <c r="G178" i="278" s="1"/>
  <c r="F244" i="276"/>
  <c r="G244" i="276" s="1"/>
  <c r="F169" i="278"/>
  <c r="G169" i="278" s="1"/>
  <c r="F232" i="276"/>
  <c r="G232" i="276" s="1"/>
  <c r="F150" i="278"/>
  <c r="G150" i="278" s="1"/>
  <c r="F206" i="276"/>
  <c r="G206" i="276" s="1"/>
  <c r="F149" i="278"/>
  <c r="G149" i="278" s="1"/>
  <c r="F204" i="276"/>
  <c r="G204" i="276" s="1"/>
  <c r="F139" i="278"/>
  <c r="G139" i="278" s="1"/>
  <c r="F191" i="276"/>
  <c r="G191" i="276" s="1"/>
  <c r="F213" i="278"/>
  <c r="G213" i="278" s="1"/>
  <c r="F288" i="276"/>
  <c r="G288" i="276" s="1"/>
  <c r="F184" i="278"/>
  <c r="G184" i="278" s="1"/>
  <c r="F251" i="276"/>
  <c r="G251" i="276" s="1"/>
  <c r="F262" i="278"/>
  <c r="G262" i="278" s="1"/>
  <c r="F363" i="276"/>
  <c r="G363" i="276" s="1"/>
  <c r="F205" i="278"/>
  <c r="G205" i="278" s="1"/>
  <c r="F280" i="276"/>
  <c r="G280" i="276" s="1"/>
  <c r="F186" i="278"/>
  <c r="G186" i="278" s="1"/>
  <c r="F255" i="276"/>
  <c r="G255" i="276" s="1"/>
  <c r="F244" i="278"/>
  <c r="G244" i="278" s="1"/>
  <c r="F332" i="276"/>
  <c r="G332" i="276" s="1"/>
  <c r="F333" i="267"/>
  <c r="F188" i="278"/>
  <c r="G188" i="278" s="1"/>
  <c r="F258" i="276"/>
  <c r="G258" i="276" s="1"/>
  <c r="F175" i="278"/>
  <c r="G175" i="278" s="1"/>
  <c r="F240" i="276"/>
  <c r="G240" i="276" s="1"/>
  <c r="F256" i="278"/>
  <c r="G256" i="278" s="1"/>
  <c r="F352" i="276"/>
  <c r="G352" i="276" s="1"/>
  <c r="F353" i="267"/>
  <c r="F201" i="278"/>
  <c r="G201" i="278" s="1"/>
  <c r="F275" i="276"/>
  <c r="G275" i="276" s="1"/>
  <c r="F141" i="278"/>
  <c r="G141" i="278" s="1"/>
  <c r="F194" i="276"/>
  <c r="G194" i="276" s="1"/>
  <c r="F158" i="278"/>
  <c r="G158" i="278" s="1"/>
  <c r="F215" i="276"/>
  <c r="G215" i="276" s="1"/>
  <c r="F341" i="276"/>
  <c r="G341" i="276" s="1"/>
  <c r="F342" i="267"/>
  <c r="F203" i="278"/>
  <c r="G203" i="278" s="1"/>
  <c r="F277" i="276"/>
  <c r="G277" i="276" s="1"/>
  <c r="F179" i="278"/>
  <c r="G179" i="278" s="1"/>
  <c r="F245" i="276"/>
  <c r="G245" i="276" s="1"/>
  <c r="F136" i="278"/>
  <c r="G136" i="278" s="1"/>
  <c r="F188" i="276"/>
  <c r="G188" i="276" s="1"/>
  <c r="F134" i="278"/>
  <c r="G134" i="278" s="1"/>
  <c r="F186" i="276"/>
  <c r="G186" i="276" s="1"/>
  <c r="F228" i="278"/>
  <c r="G228" i="278" s="1"/>
  <c r="F309" i="276"/>
  <c r="G309" i="276" s="1"/>
  <c r="F220" i="278"/>
  <c r="G220" i="278" s="1"/>
  <c r="F298" i="276"/>
  <c r="G298" i="276" s="1"/>
  <c r="F252" i="278"/>
  <c r="G252" i="278" s="1"/>
  <c r="F346" i="276"/>
  <c r="G346" i="276" s="1"/>
  <c r="F347" i="267"/>
  <c r="F180" i="278"/>
  <c r="G180" i="278" s="1"/>
  <c r="F246" i="276"/>
  <c r="G246" i="276" s="1"/>
  <c r="F237" i="278"/>
  <c r="G237" i="278" s="1"/>
  <c r="F318" i="276"/>
  <c r="G318" i="276" s="1"/>
  <c r="F319" i="267"/>
  <c r="F227" i="278"/>
  <c r="G227" i="278" s="1"/>
  <c r="F308" i="276"/>
  <c r="G308" i="276" s="1"/>
  <c r="F264" i="278"/>
  <c r="G264" i="278" s="1"/>
  <c r="F366" i="276"/>
  <c r="G366" i="276" s="1"/>
  <c r="F229" i="278"/>
  <c r="G229" i="278" s="1"/>
  <c r="F310" i="276"/>
  <c r="G310" i="276" s="1"/>
  <c r="F196" i="278"/>
  <c r="G196" i="278" s="1"/>
  <c r="F269" i="276"/>
  <c r="G269" i="276" s="1"/>
  <c r="F161" i="278"/>
  <c r="G161" i="278" s="1"/>
  <c r="F222" i="276"/>
  <c r="G222" i="276" s="1"/>
  <c r="F151" i="278"/>
  <c r="G151" i="278" s="1"/>
  <c r="F207" i="276"/>
  <c r="G207" i="276" s="1"/>
  <c r="F232" i="278"/>
  <c r="G232" i="278" s="1"/>
  <c r="F313" i="276"/>
  <c r="G313" i="276" s="1"/>
  <c r="F314" i="267"/>
  <c r="F143" i="278"/>
  <c r="G143" i="278" s="1"/>
  <c r="F196" i="276"/>
  <c r="G196" i="276" s="1"/>
  <c r="F261" i="278"/>
  <c r="G261" i="278" s="1"/>
  <c r="F362" i="276"/>
  <c r="G362" i="276" s="1"/>
  <c r="F211" i="278"/>
  <c r="G211" i="278" s="1"/>
  <c r="F286" i="276"/>
  <c r="G286" i="276" s="1"/>
  <c r="F204" i="278"/>
  <c r="G204" i="278" s="1"/>
  <c r="F279" i="276"/>
  <c r="G279" i="276" s="1"/>
  <c r="F199" i="278"/>
  <c r="G199" i="278" s="1"/>
  <c r="F272" i="276"/>
  <c r="G272" i="276" s="1"/>
  <c r="F147" i="278"/>
  <c r="G147" i="278" s="1"/>
  <c r="F202" i="276"/>
  <c r="G202" i="276" s="1"/>
  <c r="F243" i="278"/>
  <c r="G243" i="278" s="1"/>
  <c r="F331" i="276"/>
  <c r="G331" i="276" s="1"/>
  <c r="F332" i="267"/>
  <c r="F187" i="278"/>
  <c r="G187" i="278" s="1"/>
  <c r="F257" i="276"/>
  <c r="G257" i="276" s="1"/>
  <c r="F224" i="278"/>
  <c r="G224" i="278" s="1"/>
  <c r="F305" i="276"/>
  <c r="G305" i="276" s="1"/>
  <c r="F246" i="278"/>
  <c r="G246" i="278" s="1"/>
  <c r="F335" i="276"/>
  <c r="G335" i="276" s="1"/>
  <c r="F336" i="267"/>
  <c r="F159" i="278"/>
  <c r="G159" i="278" s="1"/>
  <c r="F216" i="276"/>
  <c r="G216" i="276" s="1"/>
  <c r="F157" i="278"/>
  <c r="G157" i="278" s="1"/>
  <c r="F214" i="276"/>
  <c r="G214" i="276" s="1"/>
  <c r="F254" i="278"/>
  <c r="G254" i="278" s="1"/>
  <c r="F349" i="276"/>
  <c r="G349" i="276" s="1"/>
  <c r="F350" i="267"/>
  <c r="F135" i="278"/>
  <c r="G135" i="278" s="1"/>
  <c r="F187" i="276"/>
  <c r="G187" i="276" s="1"/>
  <c r="F133" i="278"/>
  <c r="G133" i="278" s="1"/>
  <c r="F185" i="276"/>
  <c r="G185" i="276" s="1"/>
  <c r="F269" i="278"/>
  <c r="G269" i="278" s="1"/>
  <c r="F372" i="276"/>
  <c r="G372" i="276" s="1"/>
  <c r="F321" i="276"/>
  <c r="G321" i="276" s="1"/>
  <c r="F322" i="267"/>
  <c r="F154" i="278"/>
  <c r="G154" i="278" s="1"/>
  <c r="F211" i="276"/>
  <c r="G211" i="276" s="1"/>
  <c r="F230" i="278"/>
  <c r="G230" i="278" s="1"/>
  <c r="F311" i="276"/>
  <c r="G311" i="276" s="1"/>
  <c r="F219" i="278"/>
  <c r="G219" i="278" s="1"/>
  <c r="F297" i="276"/>
  <c r="G297" i="276" s="1"/>
  <c r="F210" i="278"/>
  <c r="G210" i="278" s="1"/>
  <c r="F285" i="276"/>
  <c r="G285" i="276" s="1"/>
  <c r="F191" i="278"/>
  <c r="G191" i="278" s="1"/>
  <c r="F262" i="276"/>
  <c r="G262" i="276" s="1"/>
  <c r="F336" i="276"/>
  <c r="G336" i="276" s="1"/>
  <c r="F337" i="267"/>
  <c r="F236" i="278"/>
  <c r="G236" i="278" s="1"/>
  <c r="F317" i="276"/>
  <c r="G317" i="276" s="1"/>
  <c r="F318" i="267"/>
  <c r="F226" i="278"/>
  <c r="G226" i="278" s="1"/>
  <c r="F307" i="276"/>
  <c r="G307" i="276" s="1"/>
  <c r="F252" i="276"/>
  <c r="G252" i="276" s="1"/>
  <c r="F167" i="278"/>
  <c r="G167" i="278" s="1"/>
  <c r="F230" i="276"/>
  <c r="G230" i="276" s="1"/>
  <c r="F267" i="278"/>
  <c r="G267" i="278" s="1"/>
  <c r="F370" i="276"/>
  <c r="G370" i="276" s="1"/>
  <c r="F337" i="276"/>
  <c r="G337" i="276" s="1"/>
  <c r="F338" i="267"/>
  <c r="F216" i="278"/>
  <c r="G216" i="278" s="1"/>
  <c r="F294" i="276"/>
  <c r="G294" i="276" s="1"/>
  <c r="F194" i="278"/>
  <c r="G194" i="278" s="1"/>
  <c r="F266" i="276"/>
  <c r="G266" i="276" s="1"/>
  <c r="F192" i="278"/>
  <c r="G192" i="278" s="1"/>
  <c r="F263" i="276"/>
  <c r="G263" i="276" s="1"/>
  <c r="F144" i="278"/>
  <c r="G144" i="278" s="1"/>
  <c r="F197" i="276"/>
  <c r="G197" i="276" s="1"/>
  <c r="F181" i="278"/>
  <c r="G181" i="278" s="1"/>
  <c r="F247" i="276"/>
  <c r="G247" i="276" s="1"/>
  <c r="F142" i="278"/>
  <c r="G142" i="278" s="1"/>
  <c r="F195" i="276"/>
  <c r="G195" i="276" s="1"/>
  <c r="F247" i="278"/>
  <c r="G247" i="278" s="1"/>
  <c r="F339" i="276"/>
  <c r="G339" i="276" s="1"/>
  <c r="F340" i="267"/>
  <c r="F245" i="278"/>
  <c r="G245" i="278" s="1"/>
  <c r="F334" i="276"/>
  <c r="G334" i="276" s="1"/>
  <c r="F335" i="267"/>
  <c r="F202" i="278"/>
  <c r="G202" i="278" s="1"/>
  <c r="F276" i="276"/>
  <c r="G276" i="276" s="1"/>
  <c r="F168" i="278"/>
  <c r="G168" i="278" s="1"/>
  <c r="F231" i="276"/>
  <c r="G231" i="276" s="1"/>
  <c r="F148" i="278"/>
  <c r="G148" i="278" s="1"/>
  <c r="F203" i="276"/>
  <c r="G203" i="276" s="1"/>
  <c r="F327" i="276"/>
  <c r="G327" i="276" s="1"/>
  <c r="F328" i="267"/>
  <c r="F85" i="278"/>
  <c r="G85" i="278" s="1"/>
  <c r="F130" i="276"/>
  <c r="G130" i="276" s="1"/>
  <c r="F86" i="278"/>
  <c r="G86" i="278" s="1"/>
  <c r="F131" i="276"/>
  <c r="G131" i="276" s="1"/>
  <c r="F83" i="278"/>
  <c r="G83" i="278" s="1"/>
  <c r="F125" i="276"/>
  <c r="G125" i="276" s="1"/>
  <c r="F82" i="278"/>
  <c r="G82" i="278" s="1"/>
  <c r="F118" i="276"/>
  <c r="G118" i="276" s="1"/>
  <c r="H132" i="276" s="1"/>
  <c r="F87" i="278"/>
  <c r="G87" i="278" s="1"/>
  <c r="F132" i="276"/>
  <c r="G132" i="276" s="1"/>
  <c r="F81" i="278"/>
  <c r="G81" i="278" s="1"/>
  <c r="H87" i="278" s="1"/>
  <c r="D650" i="278" s="1"/>
  <c r="F117" i="276"/>
  <c r="G117" i="276" s="1"/>
  <c r="F473" i="276"/>
  <c r="G473" i="276" s="1"/>
  <c r="F352" i="278"/>
  <c r="G352" i="278" s="1"/>
  <c r="F348" i="278"/>
  <c r="G348" i="278" s="1"/>
  <c r="F468" i="276"/>
  <c r="G468" i="276" s="1"/>
  <c r="F467" i="276"/>
  <c r="G467" i="276" s="1"/>
  <c r="F347" i="278"/>
  <c r="G347" i="278" s="1"/>
  <c r="F346" i="278"/>
  <c r="G346" i="278" s="1"/>
  <c r="F466" i="276"/>
  <c r="G466" i="276" s="1"/>
  <c r="F353" i="278"/>
  <c r="G353" i="278" s="1"/>
  <c r="F474" i="276"/>
  <c r="G474" i="276" s="1"/>
  <c r="F351" i="278"/>
  <c r="G351" i="278" s="1"/>
  <c r="F472" i="276"/>
  <c r="G472" i="276" s="1"/>
  <c r="F345" i="278"/>
  <c r="G345" i="278" s="1"/>
  <c r="F465" i="276"/>
  <c r="G465" i="276" s="1"/>
  <c r="F470" i="276"/>
  <c r="G470" i="276" s="1"/>
  <c r="F350" i="278"/>
  <c r="G350" i="278" s="1"/>
  <c r="F349" i="278"/>
  <c r="G349" i="278" s="1"/>
  <c r="F469" i="276"/>
  <c r="G469" i="276" s="1"/>
  <c r="F177" i="276"/>
  <c r="G177" i="276" s="1"/>
  <c r="F124" i="278"/>
  <c r="G124" i="278" s="1"/>
  <c r="F178" i="276"/>
  <c r="G178" i="276" s="1"/>
  <c r="F125" i="278"/>
  <c r="G125" i="278" s="1"/>
  <c r="F181" i="276"/>
  <c r="G181" i="276" s="1"/>
  <c r="F129" i="278"/>
  <c r="G129" i="278" s="1"/>
  <c r="F381" i="278"/>
  <c r="G381" i="278" s="1"/>
  <c r="H389" i="278" s="1"/>
  <c r="D668" i="278" s="1"/>
  <c r="F509" i="276"/>
  <c r="G509" i="276" s="1"/>
  <c r="H529" i="276" s="1"/>
  <c r="F282" i="278"/>
  <c r="G282" i="278" s="1"/>
  <c r="H290" i="278" s="1"/>
  <c r="D656" i="278" s="1"/>
  <c r="F389" i="276"/>
  <c r="G389" i="276" s="1"/>
  <c r="H398" i="276" s="1"/>
  <c r="F398" i="278"/>
  <c r="G398" i="278" s="1"/>
  <c r="C77" i="267"/>
  <c r="C55" i="267"/>
  <c r="F527" i="267"/>
  <c r="F491" i="267"/>
  <c r="F423" i="267"/>
  <c r="F493" i="267"/>
  <c r="F605" i="267"/>
  <c r="F686" i="267"/>
  <c r="F740" i="267"/>
  <c r="F127" i="267"/>
  <c r="F126" i="267"/>
  <c r="F406" i="267"/>
  <c r="F404" i="267"/>
  <c r="F121" i="267"/>
  <c r="F118" i="267"/>
  <c r="F109" i="267"/>
  <c r="F105" i="267"/>
  <c r="F103" i="267"/>
  <c r="F468" i="267"/>
  <c r="F114" i="267"/>
  <c r="F461" i="267"/>
  <c r="F524" i="267"/>
  <c r="F801" i="267"/>
  <c r="F514" i="267"/>
  <c r="F511" i="267"/>
  <c r="F812" i="267"/>
  <c r="F151" i="267"/>
  <c r="F582" i="267"/>
  <c r="F616" i="267"/>
  <c r="F148" i="267"/>
  <c r="F158" i="267"/>
  <c r="F144" i="267"/>
  <c r="F724" i="267"/>
  <c r="F577" i="267"/>
  <c r="F570" i="267"/>
  <c r="F176" i="267"/>
  <c r="F424" i="267"/>
  <c r="F182" i="267"/>
  <c r="F764" i="267"/>
  <c r="F695" i="267"/>
  <c r="F663" i="267"/>
  <c r="F652" i="267"/>
  <c r="F413" i="267"/>
  <c r="F647" i="267"/>
  <c r="F746" i="267"/>
  <c r="F40" i="267"/>
  <c r="F231" i="267"/>
  <c r="F544" i="267"/>
  <c r="F504" i="267"/>
  <c r="F561" i="267"/>
  <c r="F648" i="267"/>
  <c r="F557" i="267"/>
  <c r="F698" i="267"/>
  <c r="F384" i="267"/>
  <c r="F451" i="267"/>
  <c r="F163" i="267"/>
  <c r="F547" i="267"/>
  <c r="F696" i="267"/>
  <c r="F421" i="267"/>
  <c r="F798" i="267"/>
  <c r="F734" i="267"/>
  <c r="F444" i="267"/>
  <c r="F654" i="267"/>
  <c r="F672" i="267"/>
  <c r="F811" i="267"/>
  <c r="F638" i="267"/>
  <c r="F522" i="267"/>
  <c r="F810" i="267"/>
  <c r="F804" i="267"/>
  <c r="F790" i="267"/>
  <c r="F680" i="267"/>
  <c r="F589" i="267"/>
  <c r="F76" i="267"/>
  <c r="F750" i="267"/>
  <c r="F576" i="267"/>
  <c r="F791" i="267"/>
  <c r="F700" i="267"/>
  <c r="F66" i="267"/>
  <c r="F232" i="267"/>
  <c r="F671" i="267"/>
  <c r="F165" i="267"/>
  <c r="F693" i="267"/>
  <c r="F653" i="267"/>
  <c r="D41" i="267"/>
  <c r="C73" i="267"/>
  <c r="C68" i="267"/>
  <c r="D661" i="267"/>
  <c r="C71" i="267"/>
  <c r="C58" i="267"/>
  <c r="F224" i="267"/>
  <c r="F604" i="267"/>
  <c r="F136" i="267"/>
  <c r="F685" i="267"/>
  <c r="F494" i="267"/>
  <c r="F741" i="267"/>
  <c r="F130" i="267"/>
  <c r="F403" i="267"/>
  <c r="F402" i="267"/>
  <c r="F124" i="267"/>
  <c r="F117" i="267"/>
  <c r="F108" i="267"/>
  <c r="F102" i="267"/>
  <c r="F467" i="267"/>
  <c r="F466" i="267"/>
  <c r="F529" i="267"/>
  <c r="F528" i="267"/>
  <c r="F523" i="267"/>
  <c r="F518" i="267"/>
  <c r="F515" i="267"/>
  <c r="F513" i="267"/>
  <c r="F510" i="267"/>
  <c r="F147" i="267"/>
  <c r="F146" i="267"/>
  <c r="F142" i="267"/>
  <c r="F156" i="267"/>
  <c r="F778" i="267"/>
  <c r="F489" i="267"/>
  <c r="F799" i="267"/>
  <c r="F428" i="267"/>
  <c r="F427" i="267"/>
  <c r="F666" i="267"/>
  <c r="F739" i="267"/>
  <c r="F525" i="267"/>
  <c r="F583" i="267"/>
  <c r="F792" i="267"/>
  <c r="F722" i="267"/>
  <c r="F822" i="267"/>
  <c r="F496" i="267"/>
  <c r="F823" i="267"/>
  <c r="F382" i="267"/>
  <c r="F802" i="267"/>
  <c r="F230" i="267"/>
  <c r="F543" i="267"/>
  <c r="F180" i="267"/>
  <c r="F558" i="267"/>
  <c r="F613" i="267"/>
  <c r="F760" i="267"/>
  <c r="F39" i="267"/>
  <c r="F443" i="267"/>
  <c r="F387" i="267"/>
  <c r="F614" i="267"/>
  <c r="F749" i="267"/>
  <c r="F629" i="267"/>
  <c r="F611" i="267"/>
  <c r="F599" i="267"/>
  <c r="F694" i="267"/>
  <c r="F60" i="267"/>
  <c r="F59" i="267"/>
  <c r="F639" i="267"/>
  <c r="F574" i="267"/>
  <c r="F658" i="267"/>
  <c r="F632" i="267"/>
  <c r="F759" i="267"/>
  <c r="F788" i="267"/>
  <c r="F657" i="267"/>
  <c r="F610" i="267"/>
  <c r="F455" i="267"/>
  <c r="F809" i="267"/>
  <c r="F548" i="267"/>
  <c r="F588" i="267"/>
  <c r="F560" i="267"/>
  <c r="F828" i="267"/>
  <c r="F75" i="267"/>
  <c r="F575" i="267"/>
  <c r="F457" i="267"/>
  <c r="F699" i="267"/>
  <c r="F70" i="267"/>
  <c r="F65" i="267"/>
  <c r="F747" i="267"/>
  <c r="F771" i="267"/>
  <c r="F565" i="267"/>
  <c r="F50" i="267"/>
  <c r="F377" i="267"/>
  <c r="C40" i="267"/>
  <c r="F679" i="267"/>
  <c r="F162" i="267"/>
  <c r="F720" i="267"/>
  <c r="F689" i="267"/>
  <c r="F688" i="267"/>
  <c r="F721" i="267"/>
  <c r="F602" i="267"/>
  <c r="F446" i="267"/>
  <c r="F474" i="267"/>
  <c r="F472" i="267"/>
  <c r="F407" i="267"/>
  <c r="F123" i="267"/>
  <c r="F120" i="267"/>
  <c r="F116" i="267"/>
  <c r="F107" i="267"/>
  <c r="F465" i="267"/>
  <c r="F520" i="267"/>
  <c r="F517" i="267"/>
  <c r="F800" i="267"/>
  <c r="F573" i="267"/>
  <c r="F159" i="267"/>
  <c r="F143" i="267"/>
  <c r="F157" i="267"/>
  <c r="F774" i="267"/>
  <c r="F388" i="267"/>
  <c r="F397" i="267"/>
  <c r="F426" i="267"/>
  <c r="F664" i="267"/>
  <c r="F435" i="267"/>
  <c r="F490" i="267"/>
  <c r="F393" i="267"/>
  <c r="F645" i="267"/>
  <c r="F229" i="267"/>
  <c r="F707" i="267"/>
  <c r="F586" i="267"/>
  <c r="F448" i="267"/>
  <c r="F777" i="267"/>
  <c r="F177" i="267"/>
  <c r="F646" i="267"/>
  <c r="F445" i="267"/>
  <c r="F555" i="267"/>
  <c r="F386" i="267"/>
  <c r="F752" i="267"/>
  <c r="F550" i="267"/>
  <c r="F434" i="267"/>
  <c r="F72" i="267"/>
  <c r="F633" i="267"/>
  <c r="F160" i="267"/>
  <c r="F422" i="267"/>
  <c r="F598" i="267"/>
  <c r="F233" i="267"/>
  <c r="F609" i="267"/>
  <c r="F418" i="267"/>
  <c r="F619" i="267"/>
  <c r="F637" i="267"/>
  <c r="F539" i="267"/>
  <c r="F659" i="267"/>
  <c r="F178" i="267"/>
  <c r="F612" i="267"/>
  <c r="F389" i="267"/>
  <c r="F584" i="267"/>
  <c r="F806" i="267"/>
  <c r="F591" i="267"/>
  <c r="F827" i="267"/>
  <c r="F78" i="267"/>
  <c r="F74" i="267"/>
  <c r="F581" i="267"/>
  <c r="F69" i="267"/>
  <c r="F64" i="267"/>
  <c r="F96" i="267"/>
  <c r="F748" i="267"/>
  <c r="F568" i="267"/>
  <c r="F437" i="267"/>
  <c r="F49" i="267"/>
  <c r="F769" i="267"/>
  <c r="C661" i="267"/>
  <c r="C63" i="267"/>
  <c r="B661" i="267"/>
  <c r="F492" i="267"/>
  <c r="F687" i="267"/>
  <c r="F603" i="267"/>
  <c r="F684" i="267"/>
  <c r="F458" i="267"/>
  <c r="F742" i="267"/>
  <c r="F131" i="267"/>
  <c r="F129" i="267"/>
  <c r="F128" i="267"/>
  <c r="F405" i="267"/>
  <c r="F471" i="267"/>
  <c r="F122" i="267"/>
  <c r="F119" i="267"/>
  <c r="F470" i="267"/>
  <c r="F106" i="267"/>
  <c r="F104" i="267"/>
  <c r="F469" i="267"/>
  <c r="F115" i="267"/>
  <c r="F225" i="267"/>
  <c r="F526" i="267"/>
  <c r="F521" i="267"/>
  <c r="F519" i="267"/>
  <c r="F516" i="267"/>
  <c r="F512" i="267"/>
  <c r="F509" i="267"/>
  <c r="F592" i="267"/>
  <c r="F813" i="267"/>
  <c r="F587" i="267"/>
  <c r="F164" i="267"/>
  <c r="F579" i="267"/>
  <c r="F149" i="267"/>
  <c r="F145" i="267"/>
  <c r="F140" i="267"/>
  <c r="F725" i="267"/>
  <c r="F704" i="267"/>
  <c r="F634" i="267"/>
  <c r="F571" i="267"/>
  <c r="F773" i="267"/>
  <c r="F546" i="267"/>
  <c r="F425" i="267"/>
  <c r="F825" i="267"/>
  <c r="F63" i="267"/>
  <c r="F398" i="267"/>
  <c r="F786" i="267"/>
  <c r="F501" i="267"/>
  <c r="F640" i="267"/>
  <c r="F585" i="267"/>
  <c r="F761" i="267"/>
  <c r="F622" i="267"/>
  <c r="F385" i="267"/>
  <c r="F751" i="267"/>
  <c r="F578" i="267"/>
  <c r="F636" i="267"/>
  <c r="F630" i="267"/>
  <c r="F821" i="267"/>
  <c r="F545" i="267"/>
  <c r="F597" i="267"/>
  <c r="F90" i="267"/>
  <c r="F488" i="267"/>
  <c r="F58" i="267"/>
  <c r="F82" i="267"/>
  <c r="F596" i="267"/>
  <c r="F414" i="267"/>
  <c r="F41" i="267"/>
  <c r="F660" i="267"/>
  <c r="F787" i="267"/>
  <c r="F808" i="267"/>
  <c r="F805" i="267"/>
  <c r="F478" i="267"/>
  <c r="F590" i="267"/>
  <c r="F714" i="267"/>
  <c r="F551" i="267"/>
  <c r="F77" i="267"/>
  <c r="F73" i="267"/>
  <c r="F580" i="267"/>
  <c r="F68" i="267"/>
  <c r="F161" i="267"/>
  <c r="F670" i="267"/>
  <c r="F383" i="267"/>
  <c r="F768" i="267"/>
  <c r="F411" i="267"/>
  <c r="F473" i="267"/>
  <c r="F248" i="267"/>
  <c r="F252" i="267"/>
  <c r="F253" i="267"/>
  <c r="F247" i="267"/>
  <c r="F251" i="267"/>
  <c r="F254" i="267"/>
  <c r="F730" i="267"/>
  <c r="F732" i="267"/>
  <c r="F731" i="267"/>
  <c r="B65" i="269"/>
  <c r="C65" i="269"/>
  <c r="C29" i="269"/>
  <c r="B29" i="269"/>
  <c r="C28" i="269"/>
  <c r="C85" i="269"/>
  <c r="B85" i="269"/>
  <c r="C61" i="269"/>
  <c r="C58" i="269"/>
  <c r="B58" i="269"/>
  <c r="B25" i="269"/>
  <c r="C25" i="269"/>
  <c r="B8" i="269"/>
  <c r="C8" i="269"/>
  <c r="C57" i="269"/>
  <c r="C81" i="269"/>
  <c r="B81" i="269"/>
  <c r="C64" i="269"/>
  <c r="B64" i="269"/>
  <c r="C82" i="269"/>
  <c r="B82" i="269"/>
  <c r="C47" i="269"/>
  <c r="B47" i="269"/>
  <c r="B9" i="269"/>
  <c r="C9" i="269"/>
  <c r="B7" i="269"/>
  <c r="C7" i="269"/>
  <c r="B10" i="269"/>
  <c r="C10" i="269"/>
  <c r="C62" i="269"/>
  <c r="B62" i="269"/>
  <c r="C70" i="269"/>
  <c r="B70" i="269"/>
  <c r="C84" i="269"/>
  <c r="B84" i="269"/>
  <c r="C78" i="269"/>
  <c r="B78" i="269"/>
  <c r="F15" i="228"/>
  <c r="G661" i="267" s="1"/>
  <c r="E661" i="267"/>
  <c r="B69" i="269"/>
  <c r="C69" i="269"/>
  <c r="B60" i="269"/>
  <c r="C60" i="269"/>
  <c r="B74" i="269"/>
  <c r="C74" i="269"/>
  <c r="B27" i="269"/>
  <c r="C27" i="269"/>
  <c r="B63" i="269"/>
  <c r="C79" i="269"/>
  <c r="B79" i="269"/>
  <c r="C26" i="269"/>
  <c r="B26" i="269"/>
  <c r="C83" i="269"/>
  <c r="C33" i="269"/>
  <c r="B33" i="269"/>
  <c r="C21" i="269"/>
  <c r="B21" i="269"/>
  <c r="C59" i="269"/>
  <c r="B59" i="269"/>
  <c r="F500" i="267"/>
  <c r="D12" i="267"/>
  <c r="D19" i="267"/>
  <c r="F31" i="267"/>
  <c r="F33" i="267"/>
  <c r="F25" i="267"/>
  <c r="F27" i="267"/>
  <c r="C13" i="267"/>
  <c r="B21" i="267"/>
  <c r="F11" i="267"/>
  <c r="F24" i="267"/>
  <c r="F17" i="267"/>
  <c r="F28" i="267"/>
  <c r="F14" i="267"/>
  <c r="F19" i="267"/>
  <c r="C7" i="267"/>
  <c r="C861" i="267" s="1"/>
  <c r="B15" i="267"/>
  <c r="B8" i="267"/>
  <c r="B32" i="267"/>
  <c r="B26" i="267"/>
  <c r="B20" i="267"/>
  <c r="B9" i="267"/>
  <c r="B23" i="267"/>
  <c r="B30" i="267"/>
  <c r="F29" i="267"/>
  <c r="F22" i="267"/>
  <c r="F16" i="267"/>
  <c r="F10" i="267"/>
  <c r="F13" i="267"/>
  <c r="F34" i="267"/>
  <c r="F15" i="267"/>
  <c r="F8" i="267"/>
  <c r="F32" i="267"/>
  <c r="F20" i="267"/>
  <c r="F9" i="267"/>
  <c r="F23" i="267"/>
  <c r="F30" i="267"/>
  <c r="F21" i="267"/>
  <c r="F362" i="267"/>
  <c r="F243" i="267"/>
  <c r="F244" i="267"/>
  <c r="F261" i="267"/>
  <c r="F190" i="267"/>
  <c r="F274" i="267"/>
  <c r="F297" i="267"/>
  <c r="F272" i="267"/>
  <c r="F188" i="267"/>
  <c r="F186" i="267"/>
  <c r="F372" i="267"/>
  <c r="F212" i="267"/>
  <c r="F312" i="267"/>
  <c r="F298" i="267"/>
  <c r="F286" i="267"/>
  <c r="F263" i="267"/>
  <c r="F308" i="267"/>
  <c r="F370" i="267"/>
  <c r="F295" i="267"/>
  <c r="F222" i="267"/>
  <c r="F361" i="267"/>
  <c r="F267" i="267"/>
  <c r="F264" i="267"/>
  <c r="F198" i="267"/>
  <c r="F260" i="267"/>
  <c r="F196" i="267"/>
  <c r="F277" i="267"/>
  <c r="F265" i="267"/>
  <c r="F218" i="267"/>
  <c r="F204" i="267"/>
  <c r="F242" i="267"/>
  <c r="F279" i="267"/>
  <c r="F271" i="267"/>
  <c r="F262" i="267"/>
  <c r="F371" i="267"/>
  <c r="F359" i="267"/>
  <c r="F355" i="267"/>
  <c r="F221" i="267"/>
  <c r="F304" i="267"/>
  <c r="F269" i="267"/>
  <c r="F369" i="267"/>
  <c r="F305" i="267"/>
  <c r="F293" i="267"/>
  <c r="F193" i="267"/>
  <c r="F365" i="267"/>
  <c r="F303" i="267"/>
  <c r="F257" i="267"/>
  <c r="F211" i="267"/>
  <c r="F241" i="267"/>
  <c r="F276" i="267"/>
  <c r="F195" i="267"/>
  <c r="F216" i="267"/>
  <c r="F278" i="267"/>
  <c r="F246" i="267"/>
  <c r="F356" i="267"/>
  <c r="F194" i="267"/>
  <c r="F239" i="267"/>
  <c r="F199" i="267"/>
  <c r="F313" i="267"/>
  <c r="F290" i="267"/>
  <c r="F210" i="267"/>
  <c r="F213" i="267"/>
  <c r="F360" i="267"/>
  <c r="F300" i="267"/>
  <c r="F268" i="267"/>
  <c r="F240" i="267"/>
  <c r="F214" i="267"/>
  <c r="F368" i="267"/>
  <c r="F358" i="267"/>
  <c r="F296" i="267"/>
  <c r="F301" i="267"/>
  <c r="F245" i="267"/>
  <c r="F207" i="267"/>
  <c r="F205" i="267"/>
  <c r="F192" i="267"/>
  <c r="F289" i="267"/>
  <c r="F364" i="267"/>
  <c r="F292" i="267"/>
  <c r="F281" i="267"/>
  <c r="F256" i="267"/>
  <c r="F259" i="267"/>
  <c r="F306" i="267"/>
  <c r="F217" i="267"/>
  <c r="F215" i="267"/>
  <c r="F189" i="267"/>
  <c r="F187" i="267"/>
  <c r="F310" i="267"/>
  <c r="F200" i="267"/>
  <c r="F299" i="267"/>
  <c r="F309" i="267"/>
  <c r="F275" i="267"/>
  <c r="F367" i="267"/>
  <c r="F366" i="267"/>
  <c r="F311" i="267"/>
  <c r="F270" i="267"/>
  <c r="F223" i="267"/>
  <c r="F208" i="267"/>
  <c r="F197" i="267"/>
  <c r="F363" i="267"/>
  <c r="F291" i="267"/>
  <c r="F287" i="267"/>
  <c r="F280" i="267"/>
  <c r="F273" i="267"/>
  <c r="F219" i="267"/>
  <c r="F203" i="267"/>
  <c r="F258" i="267"/>
  <c r="E13" i="215"/>
  <c r="E11" i="209"/>
  <c r="E11" i="241"/>
  <c r="E16" i="235"/>
  <c r="E10" i="78"/>
  <c r="E40" i="242"/>
  <c r="E12" i="208"/>
  <c r="E14" i="206"/>
  <c r="E16" i="238"/>
  <c r="E12" i="222"/>
  <c r="E59" i="242"/>
  <c r="E9" i="256"/>
  <c r="E58" i="242"/>
  <c r="E11" i="211"/>
  <c r="E14" i="232"/>
  <c r="E21" i="226"/>
  <c r="E17" i="241"/>
  <c r="E26" i="243"/>
  <c r="E103" i="242"/>
  <c r="E6" i="205"/>
  <c r="E24" i="243"/>
  <c r="E14" i="222"/>
  <c r="E22" i="210"/>
  <c r="E11" i="207"/>
  <c r="E8" i="226"/>
  <c r="E8" i="247"/>
  <c r="E12" i="210"/>
  <c r="E7" i="247"/>
  <c r="D6" i="257"/>
  <c r="E63" i="45" s="1"/>
  <c r="D34" i="255"/>
  <c r="D10" i="257"/>
  <c r="E67" i="45" s="1"/>
  <c r="D60" i="214"/>
  <c r="E76" i="45" s="1"/>
  <c r="D63" i="240"/>
  <c r="E31" i="45" s="1"/>
  <c r="D46" i="252"/>
  <c r="E36" i="45" s="1"/>
  <c r="D13" i="234"/>
  <c r="E8" i="45" s="1"/>
  <c r="D35" i="255"/>
  <c r="D29" i="255"/>
  <c r="D33" i="255"/>
  <c r="D31" i="255"/>
  <c r="D62" i="216"/>
  <c r="E79" i="45" s="1"/>
  <c r="D51" i="252"/>
  <c r="E41" i="45" s="1"/>
  <c r="D76" i="236"/>
  <c r="E9" i="273" s="1"/>
  <c r="D42" i="252"/>
  <c r="D33" i="252"/>
  <c r="E45" i="270" s="1"/>
  <c r="D32" i="252"/>
  <c r="E44" i="270" s="1"/>
  <c r="D44" i="235"/>
  <c r="E13" i="270" s="1"/>
  <c r="D28" i="216"/>
  <c r="E75" i="270" s="1"/>
  <c r="D13" i="255"/>
  <c r="E52" i="270" s="1"/>
  <c r="D27" i="214"/>
  <c r="E60" i="270" s="1"/>
  <c r="D25" i="216"/>
  <c r="E72" i="270" s="1"/>
  <c r="D24" i="240"/>
  <c r="E40" i="271" s="1"/>
  <c r="D44" i="236"/>
  <c r="E31" i="271" s="1"/>
  <c r="D28" i="235"/>
  <c r="E8" i="271" s="1"/>
  <c r="D38" i="236"/>
  <c r="E25" i="271" s="1"/>
  <c r="D41" i="236"/>
  <c r="E28" i="271" s="1"/>
  <c r="D15" i="214"/>
  <c r="E65" i="271" s="1"/>
  <c r="D33" i="236"/>
  <c r="E20" i="271" s="1"/>
  <c r="D12" i="217"/>
  <c r="E95" i="271" s="1"/>
  <c r="D35" i="235"/>
  <c r="E15" i="271" s="1"/>
  <c r="D9" i="217"/>
  <c r="E92" i="271" s="1"/>
  <c r="D16" i="217"/>
  <c r="E99" i="271" s="1"/>
  <c r="D10" i="217"/>
  <c r="E93" i="271" s="1"/>
  <c r="D30" i="240"/>
  <c r="E46" i="271" s="1"/>
  <c r="D13" i="214"/>
  <c r="E63" i="271" s="1"/>
  <c r="D16" i="216"/>
  <c r="E79" i="271" s="1"/>
  <c r="D12" i="216"/>
  <c r="E75" i="271" s="1"/>
  <c r="D6" i="255"/>
  <c r="E50" i="271" s="1"/>
  <c r="D20" i="214"/>
  <c r="E70" i="271" s="1"/>
  <c r="D28" i="240"/>
  <c r="E44" i="271" s="1"/>
  <c r="D24" i="252"/>
  <c r="E29" i="266" s="1"/>
  <c r="D27" i="252"/>
  <c r="E32" i="266" s="1"/>
  <c r="D14" i="240"/>
  <c r="E19" i="266" s="1"/>
  <c r="D24" i="225"/>
  <c r="E55" i="266" s="1"/>
  <c r="D19" i="225"/>
  <c r="E50" i="266" s="1"/>
  <c r="D11" i="225"/>
  <c r="E42" i="266" s="1"/>
  <c r="D7" i="225"/>
  <c r="E38" i="266" s="1"/>
  <c r="D13" i="225"/>
  <c r="E44" i="266" s="1"/>
  <c r="D9" i="240"/>
  <c r="E16" i="268" s="1"/>
  <c r="D7" i="240"/>
  <c r="E14" i="268" s="1"/>
  <c r="D183" i="242"/>
  <c r="D63" i="242"/>
  <c r="D174" i="242"/>
  <c r="E353" i="267" s="1"/>
  <c r="D97" i="242"/>
  <c r="D8" i="219"/>
  <c r="D7" i="237"/>
  <c r="D8" i="231"/>
  <c r="D12" i="254"/>
  <c r="D82" i="242"/>
  <c r="D19" i="212"/>
  <c r="D22" i="236"/>
  <c r="D20" i="236"/>
  <c r="D19" i="236"/>
  <c r="D10" i="244"/>
  <c r="D147" i="242"/>
  <c r="E326" i="267" s="1"/>
  <c r="D8" i="244"/>
  <c r="D14" i="236"/>
  <c r="D10" i="236"/>
  <c r="D103" i="242"/>
  <c r="D14" i="235"/>
  <c r="D93" i="242"/>
  <c r="D8" i="235"/>
  <c r="D9" i="252"/>
  <c r="D70" i="242"/>
  <c r="E249" i="267" s="1"/>
  <c r="D6" i="236"/>
  <c r="D8" i="212"/>
  <c r="D8" i="252"/>
  <c r="D7" i="252"/>
  <c r="D26" i="258"/>
  <c r="D25" i="258"/>
  <c r="D20" i="258"/>
  <c r="D15" i="258"/>
  <c r="D12" i="258"/>
  <c r="D10" i="258"/>
  <c r="D7" i="258"/>
  <c r="D193" i="242"/>
  <c r="D180" i="242"/>
  <c r="D176" i="242"/>
  <c r="D144" i="242"/>
  <c r="E323" i="267" s="1"/>
  <c r="D12" i="222"/>
  <c r="E615" i="267" s="1"/>
  <c r="D13" i="238"/>
  <c r="D9" i="238"/>
  <c r="D7" i="239"/>
  <c r="D14" i="242"/>
  <c r="D150" i="242"/>
  <c r="E329" i="267" s="1"/>
  <c r="D12" i="264"/>
  <c r="D11" i="206"/>
  <c r="D9" i="260"/>
  <c r="D6" i="78"/>
  <c r="D30" i="78"/>
  <c r="D13" i="247"/>
  <c r="D18" i="241"/>
  <c r="D22" i="258"/>
  <c r="D24" i="264"/>
  <c r="D111" i="242"/>
  <c r="D8" i="254"/>
  <c r="D14" i="210"/>
  <c r="D17" i="228"/>
  <c r="D6" i="228"/>
  <c r="D31" i="78"/>
  <c r="D20" i="78"/>
  <c r="D7" i="78"/>
  <c r="D28" i="243"/>
  <c r="E398" i="267" s="1"/>
  <c r="D8" i="227"/>
  <c r="D6" i="213"/>
  <c r="D142" i="242"/>
  <c r="E321" i="267" s="1"/>
  <c r="D125" i="242"/>
  <c r="D90" i="242"/>
  <c r="D11" i="208"/>
  <c r="D49" i="242"/>
  <c r="E229" i="267" s="1"/>
  <c r="D7" i="256"/>
  <c r="E501" i="267" s="1"/>
  <c r="D21" i="242"/>
  <c r="D16" i="241"/>
  <c r="D19" i="232"/>
  <c r="E706" i="267" s="1"/>
  <c r="D179" i="242"/>
  <c r="D26" i="264"/>
  <c r="D28" i="78"/>
  <c r="D132" i="242"/>
  <c r="D117" i="242"/>
  <c r="D11" i="215"/>
  <c r="D91" i="242"/>
  <c r="D72" i="242"/>
  <c r="E251" i="267" s="1"/>
  <c r="D6" i="223"/>
  <c r="D43" i="242"/>
  <c r="F43" i="242" s="1"/>
  <c r="D13" i="206"/>
  <c r="D13" i="203"/>
  <c r="D13" i="243"/>
  <c r="E383" i="267" s="1"/>
  <c r="D10" i="243"/>
  <c r="E380" i="267" s="1"/>
  <c r="D9" i="203"/>
  <c r="D7" i="243"/>
  <c r="E377" i="267" s="1"/>
  <c r="D6" i="243"/>
  <c r="D6" i="203"/>
  <c r="D154" i="242"/>
  <c r="E333" i="267" s="1"/>
  <c r="D6" i="209"/>
  <c r="D7" i="250"/>
  <c r="D8" i="241"/>
  <c r="E172" i="267" s="1"/>
  <c r="D94" i="216"/>
  <c r="E64" i="274" s="1"/>
  <c r="D72" i="214"/>
  <c r="E44" i="274" s="1"/>
  <c r="D98" i="236"/>
  <c r="E8" i="274" s="1"/>
  <c r="D74" i="214"/>
  <c r="D93" i="216"/>
  <c r="E63" i="274" s="1"/>
  <c r="D101" i="236"/>
  <c r="E11" i="274" s="1"/>
  <c r="D73" i="240"/>
  <c r="E24" i="274" s="1"/>
  <c r="D67" i="214"/>
  <c r="E39" i="274" s="1"/>
  <c r="D110" i="236"/>
  <c r="E20" i="274" s="1"/>
  <c r="D44" i="255"/>
  <c r="E30" i="274" s="1"/>
  <c r="D80" i="216"/>
  <c r="E50" i="274" s="1"/>
  <c r="D83" i="216"/>
  <c r="E53" i="274" s="1"/>
  <c r="D105" i="236"/>
  <c r="E15" i="274" s="1"/>
  <c r="D69" i="214"/>
  <c r="E41" i="274" s="1"/>
  <c r="D87" i="216"/>
  <c r="E57" i="274" s="1"/>
  <c r="D14" i="257"/>
  <c r="E34" i="274" s="1"/>
  <c r="D69" i="240"/>
  <c r="E16" i="275" s="1"/>
  <c r="D93" i="236"/>
  <c r="E10" i="275" s="1"/>
  <c r="D91" i="236"/>
  <c r="E8" i="275" s="1"/>
  <c r="D94" i="236"/>
  <c r="E11" i="275" s="1"/>
  <c r="D74" i="216"/>
  <c r="E28" i="275" s="1"/>
  <c r="D71" i="216"/>
  <c r="E25" i="275" s="1"/>
  <c r="D57" i="240"/>
  <c r="E37" i="272" s="1"/>
  <c r="D55" i="240"/>
  <c r="E35" i="272" s="1"/>
  <c r="D53" i="240"/>
  <c r="E33" i="272" s="1"/>
  <c r="D52" i="240"/>
  <c r="E32" i="272" s="1"/>
  <c r="D19" i="255"/>
  <c r="E47" i="272" s="1"/>
  <c r="D62" i="236"/>
  <c r="E10" i="272" s="1"/>
  <c r="D63" i="236"/>
  <c r="E11" i="272" s="1"/>
  <c r="D70" i="236"/>
  <c r="E18" i="272" s="1"/>
  <c r="D48" i="240"/>
  <c r="E28" i="272" s="1"/>
  <c r="D47" i="240"/>
  <c r="E27" i="272" s="1"/>
  <c r="D43" i="216"/>
  <c r="E77" i="272" s="1"/>
  <c r="D46" i="214"/>
  <c r="E60" i="272" s="1"/>
  <c r="D47" i="214"/>
  <c r="E61" i="272" s="1"/>
  <c r="D21" i="255"/>
  <c r="E49" i="272" s="1"/>
  <c r="D55" i="216"/>
  <c r="E89" i="272" s="1"/>
  <c r="D46" i="240"/>
  <c r="E26" i="272" s="1"/>
  <c r="D57" i="216"/>
  <c r="E91" i="272" s="1"/>
  <c r="D20" i="255"/>
  <c r="E48" i="272" s="1"/>
  <c r="D54" i="216"/>
  <c r="E88" i="272" s="1"/>
  <c r="D45" i="240"/>
  <c r="E25" i="272" s="1"/>
  <c r="D44" i="240"/>
  <c r="E24" i="272" s="1"/>
  <c r="D45" i="214"/>
  <c r="E59" i="272" s="1"/>
  <c r="D50" i="216"/>
  <c r="E84" i="272" s="1"/>
  <c r="D40" i="216"/>
  <c r="E74" i="272" s="1"/>
  <c r="D43" i="214"/>
  <c r="E57" i="272" s="1"/>
  <c r="D58" i="216"/>
  <c r="E92" i="272" s="1"/>
  <c r="D45" i="216"/>
  <c r="E79" i="272" s="1"/>
  <c r="D68" i="236"/>
  <c r="E16" i="272" s="1"/>
  <c r="D41" i="240"/>
  <c r="E41" i="270" s="1"/>
  <c r="D30" i="214"/>
  <c r="E63" i="270" s="1"/>
  <c r="D54" i="236"/>
  <c r="E27" i="270" s="1"/>
  <c r="D45" i="235"/>
  <c r="E14" i="270" s="1"/>
  <c r="D46" i="235"/>
  <c r="E15" i="270" s="1"/>
  <c r="D38" i="240"/>
  <c r="E38" i="270" s="1"/>
  <c r="D48" i="235"/>
  <c r="E17" i="270" s="1"/>
  <c r="D36" i="240"/>
  <c r="E36" i="270" s="1"/>
  <c r="D14" i="255"/>
  <c r="E53" i="270" s="1"/>
  <c r="D31" i="214"/>
  <c r="E64" i="270" s="1"/>
  <c r="D12" i="255"/>
  <c r="E51" i="270" s="1"/>
  <c r="D11" i="209"/>
  <c r="E824" i="267" s="1"/>
  <c r="D16" i="208"/>
  <c r="D18" i="210"/>
  <c r="D15" i="208"/>
  <c r="D14" i="208"/>
  <c r="E805" i="267" s="1"/>
  <c r="D13" i="208"/>
  <c r="E804" i="267" s="1"/>
  <c r="E478" i="267"/>
  <c r="D11" i="260"/>
  <c r="D13" i="264"/>
  <c r="E572" i="267" s="1"/>
  <c r="D12" i="207"/>
  <c r="E790" i="267" s="1"/>
  <c r="D16" i="229"/>
  <c r="E680" i="267" s="1"/>
  <c r="D32" i="264"/>
  <c r="E591" i="267" s="1"/>
  <c r="D31" i="264"/>
  <c r="E590" i="267" s="1"/>
  <c r="D30" i="264"/>
  <c r="E589" i="267" s="1"/>
  <c r="D29" i="264"/>
  <c r="E588" i="267" s="1"/>
  <c r="D15" i="218"/>
  <c r="E89" i="267" s="1"/>
  <c r="D11" i="263"/>
  <c r="E560" i="267" s="1"/>
  <c r="D19" i="228"/>
  <c r="D9" i="233"/>
  <c r="E714" i="267" s="1"/>
  <c r="D161" i="242"/>
  <c r="E340" i="267" s="1"/>
  <c r="D10" i="251"/>
  <c r="E459" i="267" s="1"/>
  <c r="D160" i="242"/>
  <c r="E339" i="267" s="1"/>
  <c r="D15" i="209"/>
  <c r="E828" i="267" s="1"/>
  <c r="D14" i="229"/>
  <c r="E678" i="267" s="1"/>
  <c r="D14" i="209"/>
  <c r="E827" i="267" s="1"/>
  <c r="D13" i="229"/>
  <c r="E677" i="267" s="1"/>
  <c r="D14" i="260"/>
  <c r="D10" i="234"/>
  <c r="D156" i="242"/>
  <c r="E335" i="267" s="1"/>
  <c r="D151" i="242"/>
  <c r="E330" i="267" s="1"/>
  <c r="D29" i="210"/>
  <c r="E78" i="267" s="1"/>
  <c r="D28" i="210"/>
  <c r="E77" i="267" s="1"/>
  <c r="D27" i="210"/>
  <c r="E76" i="267" s="1"/>
  <c r="D26" i="210"/>
  <c r="E75" i="267" s="1"/>
  <c r="D25" i="210"/>
  <c r="E74" i="267" s="1"/>
  <c r="D24" i="210"/>
  <c r="E73" i="267" s="1"/>
  <c r="D10" i="213"/>
  <c r="E750" i="267" s="1"/>
  <c r="D12" i="260"/>
  <c r="D124" i="242"/>
  <c r="D22" i="264"/>
  <c r="E581" i="267" s="1"/>
  <c r="D21" i="264"/>
  <c r="E580" i="267" s="1"/>
  <c r="D17" i="264"/>
  <c r="E576" i="267" s="1"/>
  <c r="D16" i="264"/>
  <c r="D113" i="242"/>
  <c r="D112" i="242"/>
  <c r="D15" i="232"/>
  <c r="E702" i="267" s="1"/>
  <c r="D13" i="207"/>
  <c r="E791" i="267" s="1"/>
  <c r="D8" i="251"/>
  <c r="D7" i="251"/>
  <c r="D109" i="242"/>
  <c r="D108" i="242"/>
  <c r="D102" i="242"/>
  <c r="D21" i="210"/>
  <c r="D20" i="210"/>
  <c r="E69" i="267" s="1"/>
  <c r="D19" i="210"/>
  <c r="E68" i="267" s="1"/>
  <c r="D17" i="210"/>
  <c r="E66" i="267" s="1"/>
  <c r="D15" i="210"/>
  <c r="E64" i="267" s="1"/>
  <c r="D11" i="239"/>
  <c r="E161" i="267" s="1"/>
  <c r="D98" i="242"/>
  <c r="D9" i="234"/>
  <c r="E96" i="267" s="1"/>
  <c r="D94" i="242"/>
  <c r="D86" i="242"/>
  <c r="D78" i="242"/>
  <c r="D77" i="242"/>
  <c r="D7" i="209"/>
  <c r="E820" i="267" s="1"/>
  <c r="D7" i="263"/>
  <c r="D10" i="228"/>
  <c r="D52" i="242"/>
  <c r="D7" i="213"/>
  <c r="D8" i="213"/>
  <c r="E748" i="267" s="1"/>
  <c r="D39" i="242"/>
  <c r="D38" i="242"/>
  <c r="D31" i="242"/>
  <c r="D9" i="264"/>
  <c r="E568" i="267" s="1"/>
  <c r="D6" i="212"/>
  <c r="D8" i="264"/>
  <c r="D8" i="234"/>
  <c r="D7" i="264"/>
  <c r="D7" i="234"/>
  <c r="D9" i="206"/>
  <c r="D7" i="226"/>
  <c r="D10" i="241"/>
  <c r="E174" i="267" s="1"/>
  <c r="D23" i="242"/>
  <c r="D24" i="242"/>
  <c r="D6" i="229"/>
  <c r="E670" i="267" s="1"/>
  <c r="D7" i="229"/>
  <c r="E671" i="267" s="1"/>
  <c r="D6" i="265"/>
  <c r="D6" i="234"/>
  <c r="D7" i="210"/>
  <c r="D8" i="259"/>
  <c r="D22" i="242"/>
  <c r="D6" i="210"/>
  <c r="D7" i="259"/>
  <c r="D6" i="264"/>
  <c r="F14" i="257"/>
  <c r="G34" i="274" s="1"/>
  <c r="A1169" i="28"/>
  <c r="A1149" i="28"/>
  <c r="C1085" i="28"/>
  <c r="C1073" i="28"/>
  <c r="A1053" i="28"/>
  <c r="A997" i="28"/>
  <c r="A993" i="28"/>
  <c r="A933" i="28"/>
  <c r="A881" i="28"/>
  <c r="A841" i="28"/>
  <c r="A797" i="28"/>
  <c r="A793" i="28"/>
  <c r="A777" i="28"/>
  <c r="A773" i="28"/>
  <c r="A769" i="28"/>
  <c r="A765" i="28"/>
  <c r="A761" i="28"/>
  <c r="C757" i="28"/>
  <c r="C753" i="28"/>
  <c r="D749" i="28"/>
  <c r="D745" i="28"/>
  <c r="D741" i="28"/>
  <c r="D737" i="28"/>
  <c r="D733" i="28"/>
  <c r="D729" i="28"/>
  <c r="D725" i="28"/>
  <c r="D721" i="28"/>
  <c r="D717" i="28"/>
  <c r="D713" i="28"/>
  <c r="D709" i="28"/>
  <c r="D705" i="28"/>
  <c r="D701" i="28"/>
  <c r="D697" i="28"/>
  <c r="D693" i="28"/>
  <c r="D689" i="28"/>
  <c r="D685" i="28"/>
  <c r="D681" i="28"/>
  <c r="D677" i="28"/>
  <c r="D673" i="28"/>
  <c r="D669" i="28"/>
  <c r="D665" i="28"/>
  <c r="D661" i="28"/>
  <c r="D657" i="28"/>
  <c r="D653" i="28"/>
  <c r="D649" i="28"/>
  <c r="C577" i="28"/>
  <c r="C569" i="28"/>
  <c r="A545" i="28"/>
  <c r="A537" i="28"/>
  <c r="A521" i="28"/>
  <c r="A513" i="28"/>
  <c r="A505" i="28"/>
  <c r="A497" i="28"/>
  <c r="A489" i="28"/>
  <c r="A481" i="28"/>
  <c r="A473" i="28"/>
  <c r="A465" i="28"/>
  <c r="D405" i="28"/>
  <c r="D389" i="28"/>
  <c r="D373" i="28"/>
  <c r="D357" i="28"/>
  <c r="D341" i="28"/>
  <c r="D325" i="28"/>
  <c r="D309" i="28"/>
  <c r="D225" i="28"/>
  <c r="C213" i="28"/>
  <c r="F29" i="264"/>
  <c r="G588" i="267" s="1"/>
  <c r="F7" i="243"/>
  <c r="G377" i="267" s="1"/>
  <c r="D7" i="257"/>
  <c r="E64" i="45" s="1"/>
  <c r="D9" i="257"/>
  <c r="E66" i="45" s="1"/>
  <c r="D32" i="255"/>
  <c r="D59" i="214"/>
  <c r="E75" i="45" s="1"/>
  <c r="D40" i="255"/>
  <c r="D55" i="214"/>
  <c r="E71" i="45" s="1"/>
  <c r="D62" i="240"/>
  <c r="E30" i="45" s="1"/>
  <c r="D26" i="255"/>
  <c r="D30" i="255"/>
  <c r="D14" i="234"/>
  <c r="E9" i="45" s="1"/>
  <c r="D38" i="255"/>
  <c r="D50" i="252"/>
  <c r="E40" i="45" s="1"/>
  <c r="D24" i="255"/>
  <c r="D49" i="252"/>
  <c r="E39" i="45" s="1"/>
  <c r="D50" i="214"/>
  <c r="D34" i="252"/>
  <c r="E46" i="270" s="1"/>
  <c r="D48" i="236"/>
  <c r="E21" i="270" s="1"/>
  <c r="D15" i="255"/>
  <c r="E54" i="270" s="1"/>
  <c r="D42" i="235"/>
  <c r="E11" i="270" s="1"/>
  <c r="D29" i="214"/>
  <c r="E62" i="270" s="1"/>
  <c r="D40" i="235"/>
  <c r="D24" i="214"/>
  <c r="E57" i="270" s="1"/>
  <c r="D42" i="236"/>
  <c r="E29" i="271" s="1"/>
  <c r="D20" i="240"/>
  <c r="E36" i="271" s="1"/>
  <c r="D19" i="214"/>
  <c r="E69" i="271" s="1"/>
  <c r="D9" i="214"/>
  <c r="E59" i="271" s="1"/>
  <c r="D18" i="214"/>
  <c r="E68" i="271" s="1"/>
  <c r="D36" i="235"/>
  <c r="E16" i="271" s="1"/>
  <c r="D14" i="217"/>
  <c r="E97" i="271" s="1"/>
  <c r="D30" i="235"/>
  <c r="E10" i="271" s="1"/>
  <c r="D18" i="217"/>
  <c r="E101" i="271" s="1"/>
  <c r="D6" i="217"/>
  <c r="E89" i="271" s="1"/>
  <c r="D15" i="217"/>
  <c r="E98" i="271" s="1"/>
  <c r="D16" i="214"/>
  <c r="E66" i="271" s="1"/>
  <c r="D21" i="240"/>
  <c r="E37" i="271" s="1"/>
  <c r="D12" i="214"/>
  <c r="E62" i="271" s="1"/>
  <c r="D18" i="216"/>
  <c r="E81" i="271" s="1"/>
  <c r="D15" i="216"/>
  <c r="E78" i="271" s="1"/>
  <c r="D27" i="240"/>
  <c r="E43" i="271" s="1"/>
  <c r="D35" i="236"/>
  <c r="E22" i="271" s="1"/>
  <c r="D32" i="236"/>
  <c r="E19" i="271" s="1"/>
  <c r="D6" i="214"/>
  <c r="E56" i="271" s="1"/>
  <c r="D8" i="216"/>
  <c r="E62" i="266" s="1"/>
  <c r="D25" i="252"/>
  <c r="E30" i="266" s="1"/>
  <c r="D13" i="240"/>
  <c r="E18" i="266" s="1"/>
  <c r="D6" i="225"/>
  <c r="E37" i="266" s="1"/>
  <c r="D23" i="225"/>
  <c r="E54" i="266" s="1"/>
  <c r="D20" i="225"/>
  <c r="E51" i="266" s="1"/>
  <c r="D16" i="225"/>
  <c r="E47" i="266" s="1"/>
  <c r="D10" i="225"/>
  <c r="E41" i="266" s="1"/>
  <c r="D15" i="225"/>
  <c r="E46" i="266" s="1"/>
  <c r="D7" i="246"/>
  <c r="E25" i="266" s="1"/>
  <c r="D6" i="261"/>
  <c r="E27" i="268" s="1"/>
  <c r="D19" i="252"/>
  <c r="E21" i="268" s="1"/>
  <c r="D6" i="240"/>
  <c r="E13" i="268" s="1"/>
  <c r="D128" i="242"/>
  <c r="D18" i="236"/>
  <c r="D62" i="242"/>
  <c r="D24" i="258"/>
  <c r="D9" i="254"/>
  <c r="D11" i="247"/>
  <c r="D11" i="241"/>
  <c r="E175" i="267" s="1"/>
  <c r="D8" i="211"/>
  <c r="D11" i="231"/>
  <c r="D10" i="231"/>
  <c r="D9" i="211"/>
  <c r="D6" i="219"/>
  <c r="D162" i="242"/>
  <c r="E341" i="267" s="1"/>
  <c r="D157" i="242"/>
  <c r="E336" i="267" s="1"/>
  <c r="D11" i="250"/>
  <c r="D36" i="242"/>
  <c r="D15" i="252"/>
  <c r="D172" i="242"/>
  <c r="E351" i="267" s="1"/>
  <c r="D170" i="242"/>
  <c r="E349" i="267" s="1"/>
  <c r="D21" i="236"/>
  <c r="D16" i="235"/>
  <c r="E110" i="267" s="1"/>
  <c r="D9" i="244"/>
  <c r="D12" i="252"/>
  <c r="D15" i="236"/>
  <c r="D11" i="252"/>
  <c r="D99" i="242"/>
  <c r="D12" i="235"/>
  <c r="D92" i="242"/>
  <c r="D83" i="242"/>
  <c r="D9" i="78"/>
  <c r="D9" i="212"/>
  <c r="D40" i="242"/>
  <c r="D8" i="242"/>
  <c r="D6" i="242"/>
  <c r="D23" i="258"/>
  <c r="D18" i="258"/>
  <c r="D16" i="258"/>
  <c r="D13" i="258"/>
  <c r="D11" i="258"/>
  <c r="D8" i="258"/>
  <c r="D194" i="242"/>
  <c r="D21" i="208"/>
  <c r="D17" i="238"/>
  <c r="D143" i="242"/>
  <c r="E322" i="267" s="1"/>
  <c r="D23" i="264"/>
  <c r="D13" i="222"/>
  <c r="D15" i="238"/>
  <c r="D13" i="78"/>
  <c r="D11" i="238"/>
  <c r="D59" i="242"/>
  <c r="D6" i="238"/>
  <c r="D6" i="256"/>
  <c r="D16" i="206"/>
  <c r="D9" i="256"/>
  <c r="E502" i="267" s="1"/>
  <c r="D12" i="206"/>
  <c r="D60" i="242"/>
  <c r="D18" i="243"/>
  <c r="E388" i="267" s="1"/>
  <c r="D27" i="243"/>
  <c r="E397" i="267" s="1"/>
  <c r="D12" i="247"/>
  <c r="D20" i="242"/>
  <c r="D18" i="228"/>
  <c r="D134" i="242"/>
  <c r="D9" i="248"/>
  <c r="D14" i="207"/>
  <c r="D10" i="211"/>
  <c r="D30" i="242"/>
  <c r="D175" i="242"/>
  <c r="E354" i="267" s="1"/>
  <c r="D9" i="209"/>
  <c r="E822" i="267" s="1"/>
  <c r="D6" i="205"/>
  <c r="E38" i="267" s="1"/>
  <c r="D14" i="254"/>
  <c r="D15" i="212"/>
  <c r="D13" i="254"/>
  <c r="D115" i="242"/>
  <c r="D23" i="78"/>
  <c r="D14" i="212"/>
  <c r="D16" i="78"/>
  <c r="D84" i="242"/>
  <c r="D8" i="245"/>
  <c r="D15" i="222"/>
  <c r="D21" i="78"/>
  <c r="D6" i="227"/>
  <c r="D141" i="242"/>
  <c r="E320" i="267" s="1"/>
  <c r="D137" i="242"/>
  <c r="E316" i="267" s="1"/>
  <c r="D96" i="242"/>
  <c r="D51" i="242"/>
  <c r="E231" i="267" s="1"/>
  <c r="D8" i="207"/>
  <c r="D34" i="242"/>
  <c r="D191" i="242"/>
  <c r="D189" i="242"/>
  <c r="D188" i="242"/>
  <c r="D20" i="226"/>
  <c r="D11" i="251"/>
  <c r="D27" i="264"/>
  <c r="D152" i="242"/>
  <c r="E331" i="267" s="1"/>
  <c r="D13" i="250"/>
  <c r="D26" i="243"/>
  <c r="E396" i="267" s="1"/>
  <c r="D15" i="206"/>
  <c r="D13" i="241"/>
  <c r="D7" i="227"/>
  <c r="D21" i="243"/>
  <c r="E391" i="267" s="1"/>
  <c r="D11" i="78"/>
  <c r="D10" i="250"/>
  <c r="D6" i="263"/>
  <c r="D17" i="243"/>
  <c r="E387" i="267" s="1"/>
  <c r="D15" i="243"/>
  <c r="E385" i="267" s="1"/>
  <c r="D12" i="213"/>
  <c r="D16" i="250"/>
  <c r="D14" i="203"/>
  <c r="E52" i="267" s="1"/>
  <c r="D11" i="203"/>
  <c r="E49" i="267" s="1"/>
  <c r="D8" i="206"/>
  <c r="D10" i="203"/>
  <c r="D8" i="243"/>
  <c r="E378" i="267" s="1"/>
  <c r="D7" i="203"/>
  <c r="D6" i="206"/>
  <c r="D155" i="242"/>
  <c r="E334" i="267" s="1"/>
  <c r="D149" i="242"/>
  <c r="E328" i="267" s="1"/>
  <c r="D79" i="242"/>
  <c r="D6" i="232"/>
  <c r="E693" i="267" s="1"/>
  <c r="D7" i="241"/>
  <c r="D12" i="218"/>
  <c r="D75" i="240"/>
  <c r="E26" i="274" s="1"/>
  <c r="D90" i="216"/>
  <c r="E60" i="274" s="1"/>
  <c r="D92" i="216"/>
  <c r="E62" i="274" s="1"/>
  <c r="D89" i="216"/>
  <c r="E59" i="274" s="1"/>
  <c r="D86" i="216"/>
  <c r="E56" i="274" s="1"/>
  <c r="D73" i="214"/>
  <c r="E45" i="274" s="1"/>
  <c r="D68" i="214"/>
  <c r="E40" i="274" s="1"/>
  <c r="D109" i="236"/>
  <c r="E19" i="274" s="1"/>
  <c r="D106" i="236"/>
  <c r="E16" i="274" s="1"/>
  <c r="D102" i="236"/>
  <c r="E12" i="274" s="1"/>
  <c r="D85" i="216"/>
  <c r="E55" i="274" s="1"/>
  <c r="D82" i="216"/>
  <c r="E52" i="274" s="1"/>
  <c r="D15" i="257"/>
  <c r="E35" i="274" s="1"/>
  <c r="D108" i="236"/>
  <c r="E18" i="274" s="1"/>
  <c r="D64" i="214"/>
  <c r="E19" i="275" s="1"/>
  <c r="D95" i="236"/>
  <c r="E12" i="275" s="1"/>
  <c r="D75" i="216"/>
  <c r="E29" i="275" s="1"/>
  <c r="D70" i="216"/>
  <c r="E24" i="275" s="1"/>
  <c r="D57" i="236"/>
  <c r="E30" i="270" s="1"/>
  <c r="D27" i="216"/>
  <c r="E74" i="270" s="1"/>
  <c r="D56" i="240"/>
  <c r="E36" i="272" s="1"/>
  <c r="D54" i="240"/>
  <c r="E34" i="272" s="1"/>
  <c r="D69" i="236"/>
  <c r="E17" i="272" s="1"/>
  <c r="D51" i="240"/>
  <c r="E31" i="272" s="1"/>
  <c r="D44" i="214"/>
  <c r="E58" i="272" s="1"/>
  <c r="D67" i="236"/>
  <c r="E15" i="272" s="1"/>
  <c r="D64" i="236"/>
  <c r="E12" i="272" s="1"/>
  <c r="D50" i="240"/>
  <c r="E30" i="272" s="1"/>
  <c r="D49" i="240"/>
  <c r="E29" i="272" s="1"/>
  <c r="D38" i="252"/>
  <c r="E42" i="272" s="1"/>
  <c r="D42" i="214"/>
  <c r="E56" i="272" s="1"/>
  <c r="D60" i="236"/>
  <c r="E8" i="272" s="1"/>
  <c r="D56" i="216"/>
  <c r="E90" i="272" s="1"/>
  <c r="D59" i="216"/>
  <c r="E93" i="272" s="1"/>
  <c r="D53" i="216"/>
  <c r="E87" i="272" s="1"/>
  <c r="D52" i="216"/>
  <c r="E86" i="272" s="1"/>
  <c r="D49" i="216"/>
  <c r="E83" i="272" s="1"/>
  <c r="D47" i="216"/>
  <c r="E81" i="272" s="1"/>
  <c r="D34" i="216"/>
  <c r="E68" i="272" s="1"/>
  <c r="D40" i="214"/>
  <c r="E54" i="272" s="1"/>
  <c r="D44" i="216"/>
  <c r="E78" i="272" s="1"/>
  <c r="D66" i="236"/>
  <c r="E14" i="272" s="1"/>
  <c r="D40" i="240"/>
  <c r="E40" i="270" s="1"/>
  <c r="D39" i="240"/>
  <c r="E39" i="270" s="1"/>
  <c r="D47" i="236"/>
  <c r="E20" i="270" s="1"/>
  <c r="D34" i="214"/>
  <c r="E67" i="270" s="1"/>
  <c r="D35" i="214"/>
  <c r="E68" i="270" s="1"/>
  <c r="D25" i="214"/>
  <c r="E58" i="270" s="1"/>
  <c r="D37" i="240"/>
  <c r="E37" i="270" s="1"/>
  <c r="D56" i="236"/>
  <c r="E29" i="270" s="1"/>
  <c r="D33" i="214"/>
  <c r="E66" i="270" s="1"/>
  <c r="D35" i="240"/>
  <c r="E35" i="270" s="1"/>
  <c r="D34" i="240"/>
  <c r="E34" i="270" s="1"/>
  <c r="D11" i="255"/>
  <c r="E50" i="270" s="1"/>
  <c r="D26" i="214"/>
  <c r="E59" i="270" s="1"/>
  <c r="D13" i="260"/>
  <c r="D25" i="78"/>
  <c r="D126" i="242"/>
  <c r="D122" i="242"/>
  <c r="D19" i="264"/>
  <c r="D114" i="242"/>
  <c r="D8" i="248"/>
  <c r="D25" i="243"/>
  <c r="E395" i="267" s="1"/>
  <c r="D16" i="226"/>
  <c r="D24" i="243"/>
  <c r="E394" i="267" s="1"/>
  <c r="D11" i="229"/>
  <c r="E675" i="267" s="1"/>
  <c r="D14" i="222"/>
  <c r="E617" i="267" s="1"/>
  <c r="D7" i="248"/>
  <c r="D23" i="210"/>
  <c r="D104" i="242"/>
  <c r="D22" i="210"/>
  <c r="E71" i="267" s="1"/>
  <c r="D13" i="239"/>
  <c r="D11" i="222"/>
  <c r="D13" i="226"/>
  <c r="D19" i="78"/>
  <c r="D9" i="213"/>
  <c r="D10" i="239"/>
  <c r="D88" i="242"/>
  <c r="D11" i="226"/>
  <c r="D87" i="242"/>
  <c r="D10" i="226"/>
  <c r="D85" i="242"/>
  <c r="D11" i="207"/>
  <c r="E789" i="267" s="1"/>
  <c r="D7" i="245"/>
  <c r="D10" i="260"/>
  <c r="D9" i="226"/>
  <c r="D8" i="226"/>
  <c r="E628" i="267" s="1"/>
  <c r="D8" i="209"/>
  <c r="E821" i="267" s="1"/>
  <c r="D10" i="206"/>
  <c r="D20" i="243"/>
  <c r="E390" i="267" s="1"/>
  <c r="D8" i="222"/>
  <c r="D66" i="242"/>
  <c r="D6" i="248"/>
  <c r="D6" i="237"/>
  <c r="D9" i="232"/>
  <c r="E696" i="267" s="1"/>
  <c r="D7" i="215"/>
  <c r="D10" i="265"/>
  <c r="D10" i="247"/>
  <c r="D8" i="260"/>
  <c r="D57" i="242"/>
  <c r="D9" i="247"/>
  <c r="D13" i="210"/>
  <c r="D8" i="247"/>
  <c r="E420" i="267" s="1"/>
  <c r="D9" i="228"/>
  <c r="D9" i="265"/>
  <c r="D11" i="259"/>
  <c r="D7" i="208"/>
  <c r="D8" i="233"/>
  <c r="D56" i="242"/>
  <c r="D6" i="208"/>
  <c r="D55" i="242"/>
  <c r="D7" i="238"/>
  <c r="D12" i="210"/>
  <c r="E61" i="267" s="1"/>
  <c r="D10" i="264"/>
  <c r="D8" i="265"/>
  <c r="D11" i="212"/>
  <c r="D7" i="232"/>
  <c r="E694" i="267" s="1"/>
  <c r="D54" i="242"/>
  <c r="E233" i="267" s="1"/>
  <c r="D53" i="242"/>
  <c r="D9" i="250"/>
  <c r="D9" i="259"/>
  <c r="D16" i="218"/>
  <c r="D8" i="228"/>
  <c r="D6" i="222"/>
  <c r="D6" i="254"/>
  <c r="D7" i="211"/>
  <c r="D6" i="241"/>
  <c r="D6" i="211"/>
  <c r="D29" i="242"/>
  <c r="D27" i="242"/>
  <c r="D28" i="242"/>
  <c r="D6" i="233"/>
  <c r="D7" i="247"/>
  <c r="D11" i="218"/>
  <c r="D11" i="210"/>
  <c r="D9" i="229"/>
  <c r="E673" i="267" s="1"/>
  <c r="D10" i="218"/>
  <c r="D9" i="210"/>
  <c r="D8" i="229"/>
  <c r="E672" i="267" s="1"/>
  <c r="D8" i="210"/>
  <c r="D10" i="210"/>
  <c r="D6" i="250"/>
  <c r="D6" i="247"/>
  <c r="D9" i="218"/>
  <c r="D8" i="218"/>
  <c r="D6" i="207"/>
  <c r="D7" i="218"/>
  <c r="D26" i="242"/>
  <c r="D25" i="242"/>
  <c r="D7" i="265"/>
  <c r="D18" i="242"/>
  <c r="D13" i="242"/>
  <c r="D12" i="242"/>
  <c r="D16" i="222"/>
  <c r="D9" i="245"/>
  <c r="D20" i="208"/>
  <c r="D178" i="242"/>
  <c r="D19" i="226"/>
  <c r="D32" i="78"/>
  <c r="D10" i="263"/>
  <c r="D16" i="228"/>
  <c r="D18" i="226"/>
  <c r="D16" i="232"/>
  <c r="E703" i="267" s="1"/>
  <c r="D10" i="248"/>
  <c r="D17" i="226"/>
  <c r="D14" i="218"/>
  <c r="F15" i="250"/>
  <c r="G450" i="267" s="1"/>
  <c r="D136" i="242"/>
  <c r="E315" i="267" s="1"/>
  <c r="D12" i="259"/>
  <c r="D135" i="242"/>
  <c r="E314" i="267" s="1"/>
  <c r="D15" i="264"/>
  <c r="D110" i="242"/>
  <c r="D9" i="205"/>
  <c r="E41" i="267" s="1"/>
  <c r="D19" i="258"/>
  <c r="E522" i="267" s="1"/>
  <c r="D12" i="228"/>
  <c r="D13" i="228"/>
  <c r="D14" i="228"/>
  <c r="E660" i="267" s="1"/>
  <c r="D14" i="206"/>
  <c r="E776" i="267" s="1"/>
  <c r="D16" i="238"/>
  <c r="E150" i="267" s="1"/>
  <c r="D12" i="226"/>
  <c r="D14" i="241"/>
  <c r="D81" i="242"/>
  <c r="D9" i="215"/>
  <c r="D9" i="222"/>
  <c r="E612" i="267" s="1"/>
  <c r="D12" i="250"/>
  <c r="D8" i="215"/>
  <c r="D76" i="242"/>
  <c r="D10" i="207"/>
  <c r="D75" i="242"/>
  <c r="E254" i="267" s="1"/>
  <c r="D11" i="228"/>
  <c r="D73" i="242"/>
  <c r="E252" i="267" s="1"/>
  <c r="D9" i="207"/>
  <c r="D69" i="242"/>
  <c r="E248" i="267" s="1"/>
  <c r="D7" i="222"/>
  <c r="D19" i="243"/>
  <c r="E389" i="267" s="1"/>
  <c r="D17" i="242"/>
  <c r="D16" i="242"/>
  <c r="D6" i="251"/>
  <c r="D186" i="242"/>
  <c r="D185" i="242"/>
  <c r="D184" i="242"/>
  <c r="D19" i="208"/>
  <c r="D18" i="208"/>
  <c r="D25" i="264"/>
  <c r="D17" i="208"/>
  <c r="D15" i="226"/>
  <c r="D13" i="215"/>
  <c r="D1168" i="28"/>
  <c r="D1148" i="28"/>
  <c r="F10" i="257"/>
  <c r="G67" i="45" s="1"/>
  <c r="C1084" i="28"/>
  <c r="A996" i="28"/>
  <c r="A992" i="28"/>
  <c r="A932" i="28"/>
  <c r="A880" i="28"/>
  <c r="F28" i="240"/>
  <c r="G44" i="271" s="1"/>
  <c r="A840" i="28"/>
  <c r="A796" i="28"/>
  <c r="A776" i="28"/>
  <c r="A772" i="28"/>
  <c r="A768" i="28"/>
  <c r="A764" i="28"/>
  <c r="A760" i="28"/>
  <c r="A756" i="28"/>
  <c r="A752" i="28"/>
  <c r="C748" i="28"/>
  <c r="C744" i="28"/>
  <c r="C740" i="28"/>
  <c r="C736" i="28"/>
  <c r="C732" i="28"/>
  <c r="C728" i="28"/>
  <c r="C724" i="28"/>
  <c r="C720" i="28"/>
  <c r="C716" i="28"/>
  <c r="C712" i="28"/>
  <c r="C708" i="28"/>
  <c r="C704" i="28"/>
  <c r="C700" i="28"/>
  <c r="C696" i="28"/>
  <c r="C692" i="28"/>
  <c r="C688" i="28"/>
  <c r="C684" i="28"/>
  <c r="C680" i="28"/>
  <c r="C676" i="28"/>
  <c r="C672" i="28"/>
  <c r="C668" i="28"/>
  <c r="C664" i="28"/>
  <c r="C660" i="28"/>
  <c r="C656" i="28"/>
  <c r="C652" i="28"/>
  <c r="C648" i="28"/>
  <c r="A644" i="28"/>
  <c r="F32" i="264"/>
  <c r="G591" i="267" s="1"/>
  <c r="F15" i="218"/>
  <c r="G89" i="267" s="1"/>
  <c r="F29" i="210"/>
  <c r="G78" i="267" s="1"/>
  <c r="F25" i="210"/>
  <c r="G74" i="267" s="1"/>
  <c r="F22" i="264"/>
  <c r="G581" i="267" s="1"/>
  <c r="F15" i="210"/>
  <c r="G64" i="267" s="1"/>
  <c r="F9" i="234"/>
  <c r="G96" i="267" s="1"/>
  <c r="D36" i="255"/>
  <c r="D51" i="235"/>
  <c r="E16" i="45" s="1"/>
  <c r="D57" i="214"/>
  <c r="E73" i="45" s="1"/>
  <c r="D39" i="255"/>
  <c r="D56" i="214"/>
  <c r="E72" i="45" s="1"/>
  <c r="D28" i="255"/>
  <c r="D15" i="234"/>
  <c r="E10" i="45" s="1"/>
  <c r="D37" i="255"/>
  <c r="D25" i="255"/>
  <c r="D64" i="216"/>
  <c r="E81" i="45" s="1"/>
  <c r="D43" i="252"/>
  <c r="D75" i="236"/>
  <c r="E8" i="273" s="1"/>
  <c r="D49" i="236"/>
  <c r="E22" i="270" s="1"/>
  <c r="D47" i="235"/>
  <c r="E16" i="270" s="1"/>
  <c r="D53" i="236"/>
  <c r="E26" i="270" s="1"/>
  <c r="D41" i="235"/>
  <c r="E10" i="270" s="1"/>
  <c r="D39" i="235"/>
  <c r="D51" i="236"/>
  <c r="D25" i="240"/>
  <c r="E41" i="271" s="1"/>
  <c r="D36" i="236"/>
  <c r="E23" i="271" s="1"/>
  <c r="D22" i="240"/>
  <c r="E38" i="271" s="1"/>
  <c r="D26" i="240"/>
  <c r="E42" i="271" s="1"/>
  <c r="D11" i="214"/>
  <c r="E61" i="271" s="1"/>
  <c r="D37" i="236"/>
  <c r="E24" i="271" s="1"/>
  <c r="D13" i="217"/>
  <c r="E96" i="271" s="1"/>
  <c r="D31" i="235"/>
  <c r="E11" i="271" s="1"/>
  <c r="D33" i="235"/>
  <c r="E13" i="271" s="1"/>
  <c r="D7" i="217"/>
  <c r="E90" i="271" s="1"/>
  <c r="D17" i="217"/>
  <c r="E100" i="271" s="1"/>
  <c r="D14" i="214"/>
  <c r="E64" i="271" s="1"/>
  <c r="D20" i="216"/>
  <c r="E83" i="271" s="1"/>
  <c r="D21" i="216"/>
  <c r="E84" i="271" s="1"/>
  <c r="D34" i="236"/>
  <c r="E21" i="271" s="1"/>
  <c r="D13" i="216"/>
  <c r="E76" i="271" s="1"/>
  <c r="D18" i="240"/>
  <c r="E34" i="271" s="1"/>
  <c r="D7" i="255"/>
  <c r="E51" i="271" s="1"/>
  <c r="D40" i="236"/>
  <c r="E27" i="271" s="1"/>
  <c r="D7" i="214"/>
  <c r="E57" i="271" s="1"/>
  <c r="D26" i="252"/>
  <c r="E31" i="266" s="1"/>
  <c r="D6" i="216"/>
  <c r="E60" i="266" s="1"/>
  <c r="D6" i="246"/>
  <c r="E24" i="266" s="1"/>
  <c r="D22" i="225"/>
  <c r="E53" i="266" s="1"/>
  <c r="D18" i="225"/>
  <c r="E49" i="266" s="1"/>
  <c r="D9" i="225"/>
  <c r="E40" i="266" s="1"/>
  <c r="D14" i="225"/>
  <c r="E45" i="266" s="1"/>
  <c r="D18" i="252"/>
  <c r="E20" i="268" s="1"/>
  <c r="D21" i="252"/>
  <c r="E23" i="268" s="1"/>
  <c r="D127" i="242"/>
  <c r="D12" i="239"/>
  <c r="D15" i="242"/>
  <c r="D10" i="254"/>
  <c r="D9" i="231"/>
  <c r="D7" i="231"/>
  <c r="D138" i="242"/>
  <c r="E317" i="267" s="1"/>
  <c r="D37" i="242"/>
  <c r="D35" i="242"/>
  <c r="D17" i="212"/>
  <c r="D171" i="242"/>
  <c r="E350" i="267" s="1"/>
  <c r="D14" i="252"/>
  <c r="D13" i="252"/>
  <c r="D163" i="242"/>
  <c r="E342" i="267" s="1"/>
  <c r="D11" i="244"/>
  <c r="D145" i="242"/>
  <c r="E324" i="267" s="1"/>
  <c r="D16" i="236"/>
  <c r="D13" i="236"/>
  <c r="D9" i="236"/>
  <c r="D100" i="242"/>
  <c r="D13" i="235"/>
  <c r="D10" i="235"/>
  <c r="D10" i="252"/>
  <c r="D8" i="236"/>
  <c r="D67" i="242"/>
  <c r="D7" i="212"/>
  <c r="D9" i="242"/>
  <c r="D6" i="235"/>
  <c r="D7" i="242"/>
  <c r="D12" i="251"/>
  <c r="D21" i="258"/>
  <c r="D12" i="208"/>
  <c r="E803" i="267" s="1"/>
  <c r="D10" i="208"/>
  <c r="D9" i="258"/>
  <c r="D6" i="258"/>
  <c r="D33" i="264"/>
  <c r="D22" i="208"/>
  <c r="D28" i="264"/>
  <c r="D14" i="239"/>
  <c r="D131" i="242"/>
  <c r="D20" i="264"/>
  <c r="D14" i="238"/>
  <c r="D8" i="239"/>
  <c r="D10" i="238"/>
  <c r="D32" i="242"/>
  <c r="D13" i="211"/>
  <c r="D17" i="232"/>
  <c r="E704" i="267" s="1"/>
  <c r="D14" i="226"/>
  <c r="D7" i="254"/>
  <c r="D8" i="208"/>
  <c r="D58" i="242"/>
  <c r="D29" i="78"/>
  <c r="D14" i="247"/>
  <c r="D19" i="242"/>
  <c r="D18" i="232"/>
  <c r="E705" i="267" s="1"/>
  <c r="D12" i="209"/>
  <c r="E825" i="267" s="1"/>
  <c r="D120" i="242"/>
  <c r="D11" i="211"/>
  <c r="E723" i="267" s="1"/>
  <c r="D14" i="232"/>
  <c r="E701" i="267" s="1"/>
  <c r="D12" i="215"/>
  <c r="D12" i="212"/>
  <c r="E735" i="267" s="1"/>
  <c r="D33" i="242"/>
  <c r="D173" i="242"/>
  <c r="E352" i="267" s="1"/>
  <c r="D33" i="78"/>
  <c r="D123" i="242"/>
  <c r="D24" i="78"/>
  <c r="D18" i="78"/>
  <c r="D14" i="78"/>
  <c r="D8" i="78"/>
  <c r="D23" i="243"/>
  <c r="E393" i="267" s="1"/>
  <c r="D68" i="242"/>
  <c r="E247" i="267" s="1"/>
  <c r="D181" i="242"/>
  <c r="D140" i="242"/>
  <c r="E319" i="267" s="1"/>
  <c r="D130" i="242"/>
  <c r="D121" i="242"/>
  <c r="D89" i="242"/>
  <c r="D61" i="242"/>
  <c r="D50" i="242"/>
  <c r="E230" i="267" s="1"/>
  <c r="D6" i="260"/>
  <c r="D190" i="242"/>
  <c r="D21" i="226"/>
  <c r="E641" i="267" s="1"/>
  <c r="D17" i="241"/>
  <c r="E181" i="267" s="1"/>
  <c r="D20" i="232"/>
  <c r="E707" i="267" s="1"/>
  <c r="D166" i="242"/>
  <c r="E345" i="267" s="1"/>
  <c r="D9" i="263"/>
  <c r="D10" i="222"/>
  <c r="D17" i="78"/>
  <c r="D10" i="215"/>
  <c r="D7" i="205"/>
  <c r="D8" i="250"/>
  <c r="D16" i="243"/>
  <c r="E386" i="267" s="1"/>
  <c r="F73" i="240"/>
  <c r="G24" i="274" s="1"/>
  <c r="C1151" i="28"/>
  <c r="C1147" i="28"/>
  <c r="C1087" i="28"/>
  <c r="C1083" i="28"/>
  <c r="C1075" i="28"/>
  <c r="A1055" i="28"/>
  <c r="A995" i="28"/>
  <c r="A935" i="28"/>
  <c r="A931" i="28"/>
  <c r="A879" i="28"/>
  <c r="A843" i="28"/>
  <c r="A839" i="28"/>
  <c r="A799" i="28"/>
  <c r="A795" i="28"/>
  <c r="D779" i="28"/>
  <c r="D775" i="28"/>
  <c r="D771" i="28"/>
  <c r="D767" i="28"/>
  <c r="D763" i="28"/>
  <c r="D759" i="28"/>
  <c r="A755" i="28"/>
  <c r="A751" i="28"/>
  <c r="A747" i="28"/>
  <c r="A743" i="28"/>
  <c r="A739" i="28"/>
  <c r="A735" i="28"/>
  <c r="A731" i="28"/>
  <c r="A727" i="28"/>
  <c r="A723" i="28"/>
  <c r="A719" i="28"/>
  <c r="A715" i="28"/>
  <c r="A711" i="28"/>
  <c r="A707" i="28"/>
  <c r="A703" i="28"/>
  <c r="A699" i="28"/>
  <c r="A695" i="28"/>
  <c r="A691" i="28"/>
  <c r="A687" i="28"/>
  <c r="A683" i="28"/>
  <c r="A679" i="28"/>
  <c r="A675" i="28"/>
  <c r="A671" i="28"/>
  <c r="A667" i="28"/>
  <c r="A663" i="28"/>
  <c r="A659" i="28"/>
  <c r="A655" i="28"/>
  <c r="A651" i="28"/>
  <c r="A647" i="28"/>
  <c r="A643" i="28"/>
  <c r="C631" i="28"/>
  <c r="C551" i="28"/>
  <c r="D539" i="28"/>
  <c r="D531" i="28"/>
  <c r="D523" i="28"/>
  <c r="D507" i="28"/>
  <c r="D491" i="28"/>
  <c r="D483" i="28"/>
  <c r="D475" i="28"/>
  <c r="D467" i="28"/>
  <c r="A459" i="28"/>
  <c r="A427" i="28"/>
  <c r="A411" i="28"/>
  <c r="A395" i="28"/>
  <c r="A379" i="28"/>
  <c r="A363" i="28"/>
  <c r="A347" i="28"/>
  <c r="A331" i="28"/>
  <c r="A315" i="28"/>
  <c r="C295" i="28"/>
  <c r="D263" i="28"/>
  <c r="F9" i="205"/>
  <c r="G41" i="267" s="1"/>
  <c r="F14" i="208"/>
  <c r="G805" i="267" s="1"/>
  <c r="F31" i="264"/>
  <c r="G590" i="267" s="1"/>
  <c r="F9" i="233"/>
  <c r="G714" i="267" s="1"/>
  <c r="F28" i="210"/>
  <c r="G77" i="267" s="1"/>
  <c r="F24" i="210"/>
  <c r="G73" i="267" s="1"/>
  <c r="F21" i="264"/>
  <c r="G580" i="267" s="1"/>
  <c r="F19" i="210"/>
  <c r="G68" i="267" s="1"/>
  <c r="F11" i="239"/>
  <c r="G161" i="267" s="1"/>
  <c r="F23" i="242"/>
  <c r="D8" i="257"/>
  <c r="E65" i="45" s="1"/>
  <c r="D27" i="255"/>
  <c r="D65" i="240"/>
  <c r="E33" i="45" s="1"/>
  <c r="D58" i="214"/>
  <c r="E74" i="45" s="1"/>
  <c r="D64" i="240"/>
  <c r="E32" i="45" s="1"/>
  <c r="D54" i="214"/>
  <c r="E70" i="45" s="1"/>
  <c r="D79" i="236"/>
  <c r="E19" i="45" s="1"/>
  <c r="D17" i="234"/>
  <c r="E12" i="45" s="1"/>
  <c r="D16" i="234"/>
  <c r="E11" i="45" s="1"/>
  <c r="D65" i="216"/>
  <c r="E82" i="45" s="1"/>
  <c r="D48" i="252"/>
  <c r="E38" i="45" s="1"/>
  <c r="D61" i="240"/>
  <c r="E29" i="45" s="1"/>
  <c r="D63" i="216"/>
  <c r="E80" i="45" s="1"/>
  <c r="D47" i="252"/>
  <c r="E37" i="45" s="1"/>
  <c r="D51" i="214"/>
  <c r="D41" i="252"/>
  <c r="D26" i="216"/>
  <c r="E73" i="270" s="1"/>
  <c r="D50" i="236"/>
  <c r="E23" i="270" s="1"/>
  <c r="D43" i="235"/>
  <c r="E12" i="270" s="1"/>
  <c r="D32" i="214"/>
  <c r="E65" i="270" s="1"/>
  <c r="D28" i="214"/>
  <c r="E61" i="270" s="1"/>
  <c r="D33" i="240"/>
  <c r="E33" i="270" s="1"/>
  <c r="D8" i="255"/>
  <c r="E52" i="271" s="1"/>
  <c r="D19" i="240"/>
  <c r="E35" i="271" s="1"/>
  <c r="D29" i="240"/>
  <c r="E45" i="271" s="1"/>
  <c r="D29" i="235"/>
  <c r="E9" i="271" s="1"/>
  <c r="D23" i="240"/>
  <c r="E39" i="271" s="1"/>
  <c r="D17" i="214"/>
  <c r="E67" i="271" s="1"/>
  <c r="D39" i="236"/>
  <c r="E26" i="271" s="1"/>
  <c r="D32" i="235"/>
  <c r="E12" i="271" s="1"/>
  <c r="D34" i="235"/>
  <c r="E14" i="271" s="1"/>
  <c r="D8" i="217"/>
  <c r="E91" i="271" s="1"/>
  <c r="D19" i="217"/>
  <c r="E102" i="271" s="1"/>
  <c r="D11" i="217"/>
  <c r="D10" i="214"/>
  <c r="E60" i="271" s="1"/>
  <c r="D19" i="216"/>
  <c r="E82" i="271" s="1"/>
  <c r="D21" i="214"/>
  <c r="E71" i="271" s="1"/>
  <c r="D22" i="216"/>
  <c r="E85" i="271" s="1"/>
  <c r="D11" i="216"/>
  <c r="E74" i="271" s="1"/>
  <c r="D14" i="216"/>
  <c r="E77" i="271" s="1"/>
  <c r="D43" i="236"/>
  <c r="D17" i="216"/>
  <c r="E80" i="271" s="1"/>
  <c r="D8" i="214"/>
  <c r="E58" i="271" s="1"/>
  <c r="D7" i="216"/>
  <c r="E61" i="266" s="1"/>
  <c r="D15" i="240"/>
  <c r="E20" i="266" s="1"/>
  <c r="D29" i="252"/>
  <c r="E34" i="266" s="1"/>
  <c r="D28" i="252"/>
  <c r="E33" i="266" s="1"/>
  <c r="D25" i="225"/>
  <c r="E56" i="266" s="1"/>
  <c r="D21" i="225"/>
  <c r="E52" i="266" s="1"/>
  <c r="D17" i="225"/>
  <c r="E48" i="266" s="1"/>
  <c r="D8" i="225"/>
  <c r="E39" i="266" s="1"/>
  <c r="D12" i="225"/>
  <c r="E43" i="266" s="1"/>
  <c r="D8" i="240"/>
  <c r="E15" i="268" s="1"/>
  <c r="D10" i="240"/>
  <c r="E17" i="268" s="1"/>
  <c r="D20" i="252"/>
  <c r="E22" i="268" s="1"/>
  <c r="D64" i="242"/>
  <c r="D15" i="229"/>
  <c r="E679" i="267" s="1"/>
  <c r="D65" i="242"/>
  <c r="D44" i="242"/>
  <c r="E224" i="267" s="1"/>
  <c r="D11" i="254"/>
  <c r="D9" i="219"/>
  <c r="D7" i="219"/>
  <c r="D6" i="231"/>
  <c r="D9" i="251"/>
  <c r="D10" i="242"/>
  <c r="D18" i="212"/>
  <c r="D23" i="236"/>
  <c r="D95" i="242"/>
  <c r="D7" i="244"/>
  <c r="D146" i="242"/>
  <c r="E325" i="267" s="1"/>
  <c r="D6" i="244"/>
  <c r="D17" i="236"/>
  <c r="D118" i="242"/>
  <c r="D11" i="236"/>
  <c r="D15" i="235"/>
  <c r="D11" i="235"/>
  <c r="D9" i="235"/>
  <c r="D7" i="236"/>
  <c r="D10" i="212"/>
  <c r="D48" i="242"/>
  <c r="E228" i="267" s="1"/>
  <c r="D45" i="242"/>
  <c r="E225" i="267" s="1"/>
  <c r="D11" i="242"/>
  <c r="D7" i="235"/>
  <c r="D6" i="252"/>
  <c r="D17" i="258"/>
  <c r="D14" i="258"/>
  <c r="D9" i="208"/>
  <c r="D16" i="239"/>
  <c r="D18" i="238"/>
  <c r="D177" i="242"/>
  <c r="D167" i="242"/>
  <c r="E346" i="267" s="1"/>
  <c r="D14" i="264"/>
  <c r="D9" i="239"/>
  <c r="D12" i="238"/>
  <c r="D8" i="238"/>
  <c r="D41" i="242"/>
  <c r="D6" i="239"/>
  <c r="D12" i="211"/>
  <c r="D18" i="264"/>
  <c r="D11" i="264"/>
  <c r="D12" i="241"/>
  <c r="D16" i="247"/>
  <c r="D15" i="247"/>
  <c r="D20" i="228"/>
  <c r="D16" i="212"/>
  <c r="D14" i="215"/>
  <c r="D133" i="242"/>
  <c r="D119" i="242"/>
  <c r="D107" i="242"/>
  <c r="D13" i="212"/>
  <c r="D8" i="232"/>
  <c r="E695" i="267" s="1"/>
  <c r="D168" i="242"/>
  <c r="E347" i="267" s="1"/>
  <c r="D27" i="78"/>
  <c r="D22" i="78"/>
  <c r="D15" i="78"/>
  <c r="D26" i="78"/>
  <c r="D10" i="209"/>
  <c r="E823" i="267" s="1"/>
  <c r="D12" i="78"/>
  <c r="D12" i="243"/>
  <c r="E382" i="267" s="1"/>
  <c r="D158" i="242"/>
  <c r="E337" i="267" s="1"/>
  <c r="D139" i="242"/>
  <c r="E318" i="267" s="1"/>
  <c r="D129" i="242"/>
  <c r="D8" i="205"/>
  <c r="D74" i="242"/>
  <c r="E253" i="267" s="1"/>
  <c r="D7" i="260"/>
  <c r="D192" i="242"/>
  <c r="D10" i="256"/>
  <c r="E504" i="267" s="1"/>
  <c r="D12" i="263"/>
  <c r="D159" i="242"/>
  <c r="E338" i="267" s="1"/>
  <c r="D9" i="227"/>
  <c r="D116" i="242"/>
  <c r="D8" i="263"/>
  <c r="D11" i="232"/>
  <c r="E698" i="267" s="1"/>
  <c r="D42" i="242"/>
  <c r="D14" i="243"/>
  <c r="E384" i="267" s="1"/>
  <c r="D182" i="242"/>
  <c r="D11" i="213"/>
  <c r="F6" i="226"/>
  <c r="G626" i="267" s="1"/>
  <c r="D11" i="248"/>
  <c r="D12" i="203"/>
  <c r="D9" i="243"/>
  <c r="E379" i="267" s="1"/>
  <c r="D8" i="203"/>
  <c r="D7" i="206"/>
  <c r="D15" i="239"/>
  <c r="D153" i="242"/>
  <c r="E332" i="267" s="1"/>
  <c r="D80" i="242"/>
  <c r="D6" i="215"/>
  <c r="D13" i="218"/>
  <c r="D6" i="245"/>
  <c r="D7" i="228"/>
  <c r="D7" i="207"/>
  <c r="D70" i="214"/>
  <c r="E42" i="274" s="1"/>
  <c r="D71" i="214"/>
  <c r="E43" i="274" s="1"/>
  <c r="D91" i="216"/>
  <c r="E61" i="274" s="1"/>
  <c r="D99" i="236"/>
  <c r="E9" i="274" s="1"/>
  <c r="D74" i="240"/>
  <c r="E25" i="274" s="1"/>
  <c r="D100" i="236"/>
  <c r="E10" i="274" s="1"/>
  <c r="D97" i="216"/>
  <c r="E67" i="274" s="1"/>
  <c r="D72" i="240"/>
  <c r="E23" i="274" s="1"/>
  <c r="D95" i="216"/>
  <c r="D107" i="236"/>
  <c r="E17" i="274" s="1"/>
  <c r="D81" i="216"/>
  <c r="E51" i="274" s="1"/>
  <c r="D84" i="216"/>
  <c r="E54" i="274" s="1"/>
  <c r="D45" i="255"/>
  <c r="E31" i="274" s="1"/>
  <c r="D96" i="216"/>
  <c r="E66" i="274" s="1"/>
  <c r="D88" i="216"/>
  <c r="E58" i="274" s="1"/>
  <c r="D103" i="236"/>
  <c r="E13" i="274" s="1"/>
  <c r="D92" i="236"/>
  <c r="E9" i="275" s="1"/>
  <c r="D77" i="216"/>
  <c r="E31" i="275" s="1"/>
  <c r="D73" i="216"/>
  <c r="E27" i="275" s="1"/>
  <c r="D76" i="216"/>
  <c r="E30" i="275" s="1"/>
  <c r="D72" i="216"/>
  <c r="E26" i="275" s="1"/>
  <c r="D69" i="216"/>
  <c r="D35" i="252"/>
  <c r="E47" i="270" s="1"/>
  <c r="D55" i="236"/>
  <c r="E28" i="270" s="1"/>
  <c r="A1170" i="28"/>
  <c r="A1150" i="28"/>
  <c r="C1146" i="28"/>
  <c r="C1086" i="28"/>
  <c r="C1074" i="28"/>
  <c r="A1054" i="28"/>
  <c r="A994" i="28"/>
  <c r="A934" i="28"/>
  <c r="A930" i="28"/>
  <c r="A902" i="28"/>
  <c r="A842" i="28"/>
  <c r="A838" i="28"/>
  <c r="A798" i="28"/>
  <c r="A794" i="28"/>
  <c r="C778" i="28"/>
  <c r="C774" i="28"/>
  <c r="C770" i="28"/>
  <c r="C766" i="28"/>
  <c r="C762" i="28"/>
  <c r="D754" i="28"/>
  <c r="A746" i="28"/>
  <c r="A742" i="28"/>
  <c r="A738" i="28"/>
  <c r="A734" i="28"/>
  <c r="A730" i="28"/>
  <c r="A726" i="28"/>
  <c r="A722" i="28"/>
  <c r="A718" i="28"/>
  <c r="A714" i="28"/>
  <c r="A710" i="28"/>
  <c r="A706" i="28"/>
  <c r="A702" i="28"/>
  <c r="A698" i="28"/>
  <c r="A694" i="28"/>
  <c r="A690" i="28"/>
  <c r="A686" i="28"/>
  <c r="A682" i="28"/>
  <c r="A678" i="28"/>
  <c r="A674" i="28"/>
  <c r="A670" i="28"/>
  <c r="A666" i="28"/>
  <c r="A662" i="28"/>
  <c r="A658" i="28"/>
  <c r="A654" i="28"/>
  <c r="A650" i="28"/>
  <c r="C542" i="28"/>
  <c r="C526" i="28"/>
  <c r="C494" i="28"/>
  <c r="C478" i="28"/>
  <c r="C462" i="28"/>
  <c r="D302" i="28"/>
  <c r="A274" i="28"/>
  <c r="F14" i="250"/>
  <c r="G449" i="267" s="1"/>
  <c r="F19" i="258"/>
  <c r="G522" i="267" s="1"/>
  <c r="F14" i="206"/>
  <c r="G776" i="267" s="1"/>
  <c r="F12" i="207"/>
  <c r="G790" i="267" s="1"/>
  <c r="F16" i="229"/>
  <c r="G680" i="267" s="1"/>
  <c r="F27" i="210"/>
  <c r="G76" i="267" s="1"/>
  <c r="F10" i="213"/>
  <c r="G750" i="267" s="1"/>
  <c r="F17" i="264"/>
  <c r="G576" i="267" s="1"/>
  <c r="F13" i="207"/>
  <c r="G791" i="267" s="1"/>
  <c r="F17" i="210"/>
  <c r="G66" i="267" s="1"/>
  <c r="F7" i="229"/>
  <c r="G671" i="267" s="1"/>
  <c r="F7" i="259"/>
  <c r="E76" i="242"/>
  <c r="E13" i="264"/>
  <c r="E10" i="251"/>
  <c r="D16" i="210"/>
  <c r="D106" i="242"/>
  <c r="D13" i="232"/>
  <c r="E700" i="267" s="1"/>
  <c r="D12" i="232"/>
  <c r="E699" i="267" s="1"/>
  <c r="D105" i="242"/>
  <c r="D101" i="242"/>
  <c r="D39" i="28"/>
  <c r="E14" i="203"/>
  <c r="E8" i="241"/>
  <c r="E11" i="243"/>
  <c r="D24" i="236"/>
  <c r="D639" i="28"/>
  <c r="D12" i="236"/>
  <c r="D10" i="78"/>
  <c r="C1145" i="28"/>
  <c r="E7" i="257"/>
  <c r="C1144" i="28"/>
  <c r="E6" i="257"/>
  <c r="C1143" i="28"/>
  <c r="E8" i="257"/>
  <c r="F65" i="45" s="1"/>
  <c r="C1142" i="28"/>
  <c r="E9" i="257"/>
  <c r="C1141" i="28"/>
  <c r="E36" i="255"/>
  <c r="C1140" i="28"/>
  <c r="E34" i="255"/>
  <c r="C1139" i="28"/>
  <c r="E27" i="255"/>
  <c r="C1138" i="28"/>
  <c r="E32" i="255"/>
  <c r="C1137" i="28"/>
  <c r="E51" i="235"/>
  <c r="C1136" i="28"/>
  <c r="C1135" i="28"/>
  <c r="E65" i="240"/>
  <c r="C1134" i="28"/>
  <c r="E57" i="214"/>
  <c r="C1133" i="28"/>
  <c r="E59" i="214"/>
  <c r="C1132" i="28"/>
  <c r="E60" i="214"/>
  <c r="F76" i="45" s="1"/>
  <c r="C1131" i="28"/>
  <c r="E58" i="214"/>
  <c r="F74" i="45" s="1"/>
  <c r="C1130" i="28"/>
  <c r="E39" i="255"/>
  <c r="C1129" i="28"/>
  <c r="E40" i="255"/>
  <c r="C1128" i="28"/>
  <c r="C1127" i="28"/>
  <c r="E64" i="240"/>
  <c r="C1126" i="28"/>
  <c r="E56" i="214"/>
  <c r="F72" i="45" s="1"/>
  <c r="C1125" i="28"/>
  <c r="E55" i="214"/>
  <c r="C1124" i="28"/>
  <c r="E54" i="214"/>
  <c r="F70" i="45" s="1"/>
  <c r="C1123" i="28"/>
  <c r="E63" i="240"/>
  <c r="C1122" i="28"/>
  <c r="C1121" i="28"/>
  <c r="E62" i="240"/>
  <c r="C1120" i="28"/>
  <c r="E79" i="236"/>
  <c r="F19" i="45" s="1"/>
  <c r="C1119" i="28"/>
  <c r="E46" i="252"/>
  <c r="C1118" i="28"/>
  <c r="E28" i="255"/>
  <c r="C1117" i="28"/>
  <c r="E26" i="255"/>
  <c r="C1116" i="28"/>
  <c r="E17" i="234"/>
  <c r="F12" i="45" s="1"/>
  <c r="C1115" i="28"/>
  <c r="E13" i="234"/>
  <c r="C1114" i="28"/>
  <c r="E15" i="234"/>
  <c r="C1113" i="28"/>
  <c r="E16" i="234"/>
  <c r="C1112" i="28"/>
  <c r="E30" i="255"/>
  <c r="C1111" i="28"/>
  <c r="E35" i="255"/>
  <c r="C1110" i="28"/>
  <c r="E37" i="255"/>
  <c r="C1109" i="28"/>
  <c r="E65" i="216"/>
  <c r="F82" i="45" s="1"/>
  <c r="C1108" i="28"/>
  <c r="E14" i="234"/>
  <c r="C1107" i="28"/>
  <c r="E29" i="255"/>
  <c r="C1106" i="28"/>
  <c r="C1105" i="28"/>
  <c r="C1104" i="28"/>
  <c r="E38" i="255"/>
  <c r="C1103" i="28"/>
  <c r="E33" i="255"/>
  <c r="C1102" i="28"/>
  <c r="E25" i="255"/>
  <c r="C1101" i="28"/>
  <c r="E48" i="252"/>
  <c r="C1100" i="28"/>
  <c r="E31" i="255"/>
  <c r="C1099" i="28"/>
  <c r="E50" i="252"/>
  <c r="F40" i="45" s="1"/>
  <c r="C1098" i="28"/>
  <c r="E61" i="240"/>
  <c r="F29" i="45" s="1"/>
  <c r="C1097" i="28"/>
  <c r="E64" i="216"/>
  <c r="F81" i="45" s="1"/>
  <c r="C1096" i="28"/>
  <c r="E24" i="255"/>
  <c r="C1095" i="28"/>
  <c r="E62" i="216"/>
  <c r="F79" i="45" s="1"/>
  <c r="C1094" i="28"/>
  <c r="E63" i="216"/>
  <c r="F80" i="45" s="1"/>
  <c r="C1093" i="28"/>
  <c r="C1092" i="28"/>
  <c r="C1091" i="28"/>
  <c r="E49" i="252"/>
  <c r="F39" i="45" s="1"/>
  <c r="C1090" i="28"/>
  <c r="C1089" i="28"/>
  <c r="E47" i="252"/>
  <c r="F37" i="45" s="1"/>
  <c r="C1088" i="28"/>
  <c r="E51" i="252"/>
  <c r="A929" i="28"/>
  <c r="E8" i="255"/>
  <c r="F52" i="271" s="1"/>
  <c r="A928" i="28"/>
  <c r="E24" i="240"/>
  <c r="A927" i="28"/>
  <c r="E42" i="236"/>
  <c r="A926" i="28"/>
  <c r="E19" i="240"/>
  <c r="F35" i="271" s="1"/>
  <c r="A925" i="28"/>
  <c r="E25" i="240"/>
  <c r="A924" i="28"/>
  <c r="E20" i="240"/>
  <c r="A923" i="28"/>
  <c r="E44" i="236"/>
  <c r="A922" i="28"/>
  <c r="E29" i="240"/>
  <c r="F45" i="271" s="1"/>
  <c r="A921" i="28"/>
  <c r="E36" i="236"/>
  <c r="A920" i="28"/>
  <c r="E19" i="214"/>
  <c r="A919" i="28"/>
  <c r="E28" i="235"/>
  <c r="A918" i="28"/>
  <c r="E29" i="235"/>
  <c r="F9" i="271" s="1"/>
  <c r="A917" i="28"/>
  <c r="E22" i="240"/>
  <c r="A915" i="28"/>
  <c r="E38" i="236"/>
  <c r="A914" i="28"/>
  <c r="E23" i="240"/>
  <c r="F39" i="271" s="1"/>
  <c r="A913" i="28"/>
  <c r="E26" i="240"/>
  <c r="A912" i="28"/>
  <c r="E9" i="214"/>
  <c r="F59" i="271" s="1"/>
  <c r="A911" i="28"/>
  <c r="E41" i="236"/>
  <c r="A910" i="28"/>
  <c r="E17" i="214"/>
  <c r="F67" i="271" s="1"/>
  <c r="A909" i="28"/>
  <c r="E11" i="214"/>
  <c r="F61" i="271" s="1"/>
  <c r="A908" i="28"/>
  <c r="E18" i="214"/>
  <c r="F68" i="271" s="1"/>
  <c r="A907" i="28"/>
  <c r="E15" i="214"/>
  <c r="A906" i="28"/>
  <c r="E39" i="236"/>
  <c r="A905" i="28"/>
  <c r="E37" i="236"/>
  <c r="F24" i="271" s="1"/>
  <c r="A904" i="28"/>
  <c r="E36" i="235"/>
  <c r="A903" i="28"/>
  <c r="E33" i="236"/>
  <c r="A901" i="28"/>
  <c r="E14" i="217"/>
  <c r="F97" i="271" s="1"/>
  <c r="A900" i="28"/>
  <c r="E13" i="217"/>
  <c r="F96" i="271" s="1"/>
  <c r="A899" i="28"/>
  <c r="E12" i="217"/>
  <c r="A898" i="28"/>
  <c r="E32" i="235"/>
  <c r="F12" i="271" s="1"/>
  <c r="A897" i="28"/>
  <c r="E30" i="235"/>
  <c r="A896" i="28"/>
  <c r="E31" i="235"/>
  <c r="F11" i="271" s="1"/>
  <c r="A895" i="28"/>
  <c r="E35" i="235"/>
  <c r="A894" i="28"/>
  <c r="E34" i="235"/>
  <c r="F14" i="271" s="1"/>
  <c r="A893" i="28"/>
  <c r="E33" i="235"/>
  <c r="A892" i="28"/>
  <c r="E18" i="217"/>
  <c r="F101" i="271" s="1"/>
  <c r="A891" i="28"/>
  <c r="E9" i="217"/>
  <c r="F92" i="271" s="1"/>
  <c r="A890" i="28"/>
  <c r="E8" i="217"/>
  <c r="F91" i="271" s="1"/>
  <c r="A889" i="28"/>
  <c r="E7" i="217"/>
  <c r="A888" i="28"/>
  <c r="E6" i="217"/>
  <c r="F89" i="271" s="1"/>
  <c r="A887" i="28"/>
  <c r="E16" i="217"/>
  <c r="A886" i="28"/>
  <c r="E19" i="217"/>
  <c r="F102" i="271" s="1"/>
  <c r="A885" i="28"/>
  <c r="E17" i="217"/>
  <c r="A884" i="28"/>
  <c r="E15" i="217"/>
  <c r="F98" i="271" s="1"/>
  <c r="A883" i="28"/>
  <c r="E10" i="217"/>
  <c r="A882" i="28"/>
  <c r="A878" i="28"/>
  <c r="E10" i="214"/>
  <c r="F60" i="271" s="1"/>
  <c r="A877" i="28"/>
  <c r="E14" i="214"/>
  <c r="F64" i="271" s="1"/>
  <c r="A876" i="28"/>
  <c r="E16" i="214"/>
  <c r="A875" i="28"/>
  <c r="E30" i="240"/>
  <c r="A874" i="28"/>
  <c r="E19" i="216"/>
  <c r="F82" i="271" s="1"/>
  <c r="A873" i="28"/>
  <c r="E20" i="216"/>
  <c r="F83" i="271" s="1"/>
  <c r="A872" i="28"/>
  <c r="E21" i="240"/>
  <c r="A871" i="28"/>
  <c r="E13" i="214"/>
  <c r="F63" i="271" s="1"/>
  <c r="A870" i="28"/>
  <c r="E21" i="214"/>
  <c r="F71" i="271" s="1"/>
  <c r="A869" i="28"/>
  <c r="E12" i="214"/>
  <c r="F62" i="271" s="1"/>
  <c r="A868" i="28"/>
  <c r="E21" i="216"/>
  <c r="F84" i="271" s="1"/>
  <c r="A867" i="28"/>
  <c r="A866" i="28"/>
  <c r="E22" i="216"/>
  <c r="F85" i="271" s="1"/>
  <c r="A865" i="28"/>
  <c r="E18" i="216"/>
  <c r="F81" i="271" s="1"/>
  <c r="A864" i="28"/>
  <c r="E34" i="236"/>
  <c r="F21" i="271" s="1"/>
  <c r="A863" i="28"/>
  <c r="E11" i="216"/>
  <c r="F74" i="271" s="1"/>
  <c r="A862" i="28"/>
  <c r="E16" i="216"/>
  <c r="A861" i="28"/>
  <c r="E15" i="216"/>
  <c r="A860" i="28"/>
  <c r="E13" i="216"/>
  <c r="F76" i="271" s="1"/>
  <c r="A859" i="28"/>
  <c r="E14" i="216"/>
  <c r="F77" i="271" s="1"/>
  <c r="A858" i="28"/>
  <c r="E12" i="216"/>
  <c r="A857" i="28"/>
  <c r="E27" i="240"/>
  <c r="A856" i="28"/>
  <c r="E18" i="240"/>
  <c r="A855" i="28"/>
  <c r="A854" i="28"/>
  <c r="E35" i="236"/>
  <c r="A853" i="28"/>
  <c r="E6" i="255"/>
  <c r="F50" i="271" s="1"/>
  <c r="A852" i="28"/>
  <c r="E7" i="255"/>
  <c r="A851" i="28"/>
  <c r="E17" i="216"/>
  <c r="F80" i="271" s="1"/>
  <c r="A850" i="28"/>
  <c r="E40" i="236"/>
  <c r="F27" i="271" s="1"/>
  <c r="A849" i="28"/>
  <c r="E32" i="236"/>
  <c r="A848" i="28"/>
  <c r="E20" i="214"/>
  <c r="A847" i="28"/>
  <c r="E8" i="214"/>
  <c r="F58" i="271" s="1"/>
  <c r="A846" i="28"/>
  <c r="E7" i="214"/>
  <c r="F57" i="271" s="1"/>
  <c r="A845" i="28"/>
  <c r="E6" i="214"/>
  <c r="A844" i="28"/>
  <c r="A1217" i="28"/>
  <c r="E94" i="216"/>
  <c r="F64" i="274" s="1"/>
  <c r="D1216" i="28"/>
  <c r="E75" i="240"/>
  <c r="C1215" i="28"/>
  <c r="E70" i="214"/>
  <c r="F42" i="274" s="1"/>
  <c r="A1214" i="28"/>
  <c r="E72" i="214"/>
  <c r="A1213" i="28"/>
  <c r="E71" i="214"/>
  <c r="F43" i="274" s="1"/>
  <c r="D1212" i="28"/>
  <c r="E90" i="216"/>
  <c r="F60" i="274" s="1"/>
  <c r="C1211" i="28"/>
  <c r="E98" i="236"/>
  <c r="A1210" i="28"/>
  <c r="E91" i="216"/>
  <c r="F61" i="274" s="1"/>
  <c r="A1209" i="28"/>
  <c r="E92" i="216"/>
  <c r="F62" i="274" s="1"/>
  <c r="D1208" i="28"/>
  <c r="C1207" i="28"/>
  <c r="E99" i="236"/>
  <c r="F9" i="274" s="1"/>
  <c r="A1206" i="28"/>
  <c r="E89" i="216"/>
  <c r="F59" i="274" s="1"/>
  <c r="A1205" i="28"/>
  <c r="E93" i="216"/>
  <c r="F63" i="274" s="1"/>
  <c r="D1204" i="28"/>
  <c r="E74" i="240"/>
  <c r="F25" i="274" s="1"/>
  <c r="C1203" i="28"/>
  <c r="E86" i="216"/>
  <c r="F56" i="274" s="1"/>
  <c r="A1202" i="28"/>
  <c r="E101" i="236"/>
  <c r="A1201" i="28"/>
  <c r="E100" i="236"/>
  <c r="F10" i="274" s="1"/>
  <c r="D1200" i="28"/>
  <c r="E73" i="214"/>
  <c r="F45" i="274" s="1"/>
  <c r="C1199" i="28"/>
  <c r="A1198" i="28"/>
  <c r="E97" i="216"/>
  <c r="F67" i="274" s="1"/>
  <c r="A1197" i="28"/>
  <c r="E68" i="214"/>
  <c r="F40" i="274" s="1"/>
  <c r="D1196" i="28"/>
  <c r="E67" i="214"/>
  <c r="F39" i="274" s="1"/>
  <c r="C1195" i="28"/>
  <c r="E72" i="240"/>
  <c r="F23" i="274" s="1"/>
  <c r="A1194" i="28"/>
  <c r="E109" i="236"/>
  <c r="A1193" i="28"/>
  <c r="D1192" i="28"/>
  <c r="E110" i="236"/>
  <c r="C1191" i="28"/>
  <c r="E106" i="236"/>
  <c r="F16" i="274" s="1"/>
  <c r="A1190" i="28"/>
  <c r="E107" i="236"/>
  <c r="F17" i="274" s="1"/>
  <c r="A1189" i="28"/>
  <c r="E44" i="255"/>
  <c r="D1188" i="28"/>
  <c r="E102" i="236"/>
  <c r="C1187" i="28"/>
  <c r="E80" i="216"/>
  <c r="F50" i="274" s="1"/>
  <c r="A1186" i="28"/>
  <c r="E81" i="216"/>
  <c r="F51" i="274" s="1"/>
  <c r="A1185" i="28"/>
  <c r="E85" i="216"/>
  <c r="F55" i="274" s="1"/>
  <c r="D1184" i="28"/>
  <c r="E83" i="216"/>
  <c r="C1183" i="28"/>
  <c r="E84" i="216"/>
  <c r="F54" i="274" s="1"/>
  <c r="A1182" i="28"/>
  <c r="E82" i="216"/>
  <c r="A1181" i="28"/>
  <c r="E105" i="236"/>
  <c r="D1180" i="28"/>
  <c r="E45" i="255"/>
  <c r="F31" i="274" s="1"/>
  <c r="C1179" i="28"/>
  <c r="E69" i="214"/>
  <c r="F41" i="274" s="1"/>
  <c r="A1178" i="28"/>
  <c r="E96" i="216"/>
  <c r="F66" i="274" s="1"/>
  <c r="A1177" i="28"/>
  <c r="D104" i="236"/>
  <c r="D1176" i="28"/>
  <c r="E87" i="216"/>
  <c r="C1175" i="28"/>
  <c r="E88" i="216"/>
  <c r="F58" i="274" s="1"/>
  <c r="A1174" i="28"/>
  <c r="E15" i="257"/>
  <c r="A1173" i="28"/>
  <c r="D1172" i="28"/>
  <c r="E103" i="236"/>
  <c r="F13" i="274" s="1"/>
  <c r="C1171" i="28"/>
  <c r="E108" i="236"/>
  <c r="C1167" i="28"/>
  <c r="E69" i="240"/>
  <c r="A1166" i="28"/>
  <c r="E92" i="236"/>
  <c r="F9" i="275" s="1"/>
  <c r="A1165" i="28"/>
  <c r="E64" i="214"/>
  <c r="D1164" i="28"/>
  <c r="E93" i="236"/>
  <c r="C1163" i="28"/>
  <c r="E77" i="216"/>
  <c r="F31" i="275" s="1"/>
  <c r="A1162" i="28"/>
  <c r="E91" i="236"/>
  <c r="A1161" i="28"/>
  <c r="E95" i="236"/>
  <c r="D1160" i="28"/>
  <c r="E73" i="216"/>
  <c r="F27" i="275" s="1"/>
  <c r="C1159" i="28"/>
  <c r="E94" i="236"/>
  <c r="A1158" i="28"/>
  <c r="E76" i="216"/>
  <c r="F30" i="275" s="1"/>
  <c r="A1157" i="28"/>
  <c r="E75" i="216"/>
  <c r="F29" i="275" s="1"/>
  <c r="C1155" i="28"/>
  <c r="E72" i="216"/>
  <c r="F26" i="275" s="1"/>
  <c r="D1156" i="28"/>
  <c r="E74" i="216"/>
  <c r="A1154" i="28"/>
  <c r="E70" i="216"/>
  <c r="F24" i="275" s="1"/>
  <c r="A1153" i="28"/>
  <c r="E71" i="216"/>
  <c r="F25" i="275" s="1"/>
  <c r="D1152" i="28"/>
  <c r="A837" i="28"/>
  <c r="E28" i="236"/>
  <c r="F13" i="266" s="1"/>
  <c r="A836" i="28"/>
  <c r="E8" i="216"/>
  <c r="F62" i="266" s="1"/>
  <c r="A835" i="28"/>
  <c r="E7" i="216"/>
  <c r="F61" i="266" s="1"/>
  <c r="A834" i="28"/>
  <c r="E26" i="252"/>
  <c r="A833" i="28"/>
  <c r="E27" i="236"/>
  <c r="F12" i="266" s="1"/>
  <c r="A832" i="28"/>
  <c r="E25" i="252"/>
  <c r="F30" i="266" s="1"/>
  <c r="A831" i="28"/>
  <c r="E15" i="240"/>
  <c r="A830" i="28"/>
  <c r="E24" i="235"/>
  <c r="F8" i="266" s="1"/>
  <c r="A829" i="28"/>
  <c r="E24" i="252"/>
  <c r="F29" i="266" s="1"/>
  <c r="A820" i="28"/>
  <c r="E6" i="225"/>
  <c r="F37" i="266" s="1"/>
  <c r="A819" i="28"/>
  <c r="E25" i="225"/>
  <c r="A818" i="28"/>
  <c r="E24" i="225"/>
  <c r="A817" i="28"/>
  <c r="E23" i="225"/>
  <c r="F54" i="266" s="1"/>
  <c r="A816" i="28"/>
  <c r="E22" i="225"/>
  <c r="A815" i="28"/>
  <c r="E21" i="225"/>
  <c r="A814" i="28"/>
  <c r="E20" i="225"/>
  <c r="F51" i="266" s="1"/>
  <c r="A813" i="28"/>
  <c r="E19" i="225"/>
  <c r="A812" i="28"/>
  <c r="E18" i="225"/>
  <c r="A811" i="28"/>
  <c r="E17" i="225"/>
  <c r="A810" i="28"/>
  <c r="E16" i="225"/>
  <c r="F47" i="266" s="1"/>
  <c r="A809" i="28"/>
  <c r="E11" i="225"/>
  <c r="A808" i="28"/>
  <c r="E10" i="225"/>
  <c r="F41" i="266" s="1"/>
  <c r="A807" i="28"/>
  <c r="E9" i="225"/>
  <c r="F40" i="266" s="1"/>
  <c r="A806" i="28"/>
  <c r="E8" i="225"/>
  <c r="A805" i="28"/>
  <c r="E7" i="225"/>
  <c r="A804" i="28"/>
  <c r="E15" i="225"/>
  <c r="F46" i="266" s="1"/>
  <c r="A803" i="28"/>
  <c r="E14" i="225"/>
  <c r="A802" i="28"/>
  <c r="E12" i="225"/>
  <c r="A801" i="28"/>
  <c r="E13" i="225"/>
  <c r="A800" i="28"/>
  <c r="E7" i="246"/>
  <c r="A828" i="28"/>
  <c r="E29" i="236"/>
  <c r="F14" i="266" s="1"/>
  <c r="A827" i="28"/>
  <c r="E29" i="252"/>
  <c r="F34" i="266" s="1"/>
  <c r="A826" i="28"/>
  <c r="E6" i="216"/>
  <c r="F60" i="266" s="1"/>
  <c r="A825" i="28"/>
  <c r="E27" i="252"/>
  <c r="A824" i="28"/>
  <c r="E13" i="240"/>
  <c r="A823" i="28"/>
  <c r="E28" i="252"/>
  <c r="F33" i="266" s="1"/>
  <c r="A822" i="28"/>
  <c r="E14" i="240"/>
  <c r="A821" i="28"/>
  <c r="E6" i="246"/>
  <c r="C1082" i="28"/>
  <c r="E43" i="252"/>
  <c r="C1080" i="28"/>
  <c r="E51" i="214"/>
  <c r="C1079" i="28"/>
  <c r="E42" i="252"/>
  <c r="C1078" i="28"/>
  <c r="E41" i="252"/>
  <c r="C1077" i="28"/>
  <c r="E75" i="236"/>
  <c r="F8" i="273" s="1"/>
  <c r="C1076" i="28"/>
  <c r="E50" i="214"/>
  <c r="C1081" i="28"/>
  <c r="D28" i="236"/>
  <c r="E13" i="266" s="1"/>
  <c r="D27" i="236"/>
  <c r="E12" i="266" s="1"/>
  <c r="D24" i="235"/>
  <c r="E8" i="266" s="1"/>
  <c r="D29" i="236"/>
  <c r="E14" i="266" s="1"/>
  <c r="A792" i="28"/>
  <c r="E6" i="261"/>
  <c r="A791" i="28"/>
  <c r="E8" i="240"/>
  <c r="A790" i="28"/>
  <c r="E9" i="240"/>
  <c r="A789" i="28"/>
  <c r="E18" i="252"/>
  <c r="F20" i="268" s="1"/>
  <c r="A788" i="28"/>
  <c r="E21" i="235"/>
  <c r="F10" i="268" s="1"/>
  <c r="A787" i="28"/>
  <c r="E19" i="252"/>
  <c r="A786" i="28"/>
  <c r="E7" i="240"/>
  <c r="A785" i="28"/>
  <c r="E10" i="240"/>
  <c r="F17" i="268" s="1"/>
  <c r="A784" i="28"/>
  <c r="E21" i="252"/>
  <c r="F23" i="268" s="1"/>
  <c r="A783" i="28"/>
  <c r="E6" i="240"/>
  <c r="A782" i="28"/>
  <c r="E20" i="235"/>
  <c r="F9" i="268" s="1"/>
  <c r="A781" i="28"/>
  <c r="E20" i="252"/>
  <c r="F22" i="268" s="1"/>
  <c r="D21" i="235"/>
  <c r="E10" i="268" s="1"/>
  <c r="D20" i="235"/>
  <c r="E9" i="268" s="1"/>
  <c r="A780" i="28"/>
  <c r="E19" i="235"/>
  <c r="F8" i="268" s="1"/>
  <c r="D19" i="235"/>
  <c r="E8" i="268" s="1"/>
  <c r="A1072" i="28"/>
  <c r="E18" i="255"/>
  <c r="F46" i="272" s="1"/>
  <c r="A1071" i="28"/>
  <c r="E58" i="240"/>
  <c r="F38" i="272" s="1"/>
  <c r="A1070" i="28"/>
  <c r="E39" i="214"/>
  <c r="F53" i="272" s="1"/>
  <c r="A1069" i="28"/>
  <c r="E41" i="214"/>
  <c r="F55" i="272" s="1"/>
  <c r="A1065" i="28"/>
  <c r="E32" i="216"/>
  <c r="F66" i="272" s="1"/>
  <c r="A1068" i="28"/>
  <c r="E33" i="216"/>
  <c r="F67" i="272" s="1"/>
  <c r="A1064" i="28"/>
  <c r="E35" i="216"/>
  <c r="F69" i="272" s="1"/>
  <c r="A1067" i="28"/>
  <c r="E51" i="216"/>
  <c r="F85" i="272" s="1"/>
  <c r="A1063" i="28"/>
  <c r="E36" i="216"/>
  <c r="F70" i="272" s="1"/>
  <c r="A1066" i="28"/>
  <c r="E48" i="216"/>
  <c r="F82" i="272" s="1"/>
  <c r="A1062" i="28"/>
  <c r="E38" i="216"/>
  <c r="F72" i="272" s="1"/>
  <c r="A1061" i="28"/>
  <c r="E39" i="216"/>
  <c r="F73" i="272" s="1"/>
  <c r="A1059" i="28"/>
  <c r="E42" i="216"/>
  <c r="F76" i="272" s="1"/>
  <c r="A1058" i="28"/>
  <c r="E41" i="216"/>
  <c r="F75" i="272" s="1"/>
  <c r="A1057" i="28"/>
  <c r="E31" i="216"/>
  <c r="F65" i="272" s="1"/>
  <c r="A1060" i="28"/>
  <c r="E46" i="216"/>
  <c r="F80" i="272" s="1"/>
  <c r="A1056" i="28"/>
  <c r="E37" i="216"/>
  <c r="F71" i="272" s="1"/>
  <c r="A1052" i="28"/>
  <c r="E57" i="240"/>
  <c r="A1051" i="28"/>
  <c r="E56" i="240"/>
  <c r="A1050" i="28"/>
  <c r="E55" i="240"/>
  <c r="A1049" i="28"/>
  <c r="E54" i="240"/>
  <c r="A1048" i="28"/>
  <c r="E53" i="240"/>
  <c r="F33" i="272" s="1"/>
  <c r="A1047" i="28"/>
  <c r="E69" i="236"/>
  <c r="A1046" i="28"/>
  <c r="E52" i="240"/>
  <c r="F32" i="272" s="1"/>
  <c r="A1045" i="28"/>
  <c r="E51" i="240"/>
  <c r="A1044" i="28"/>
  <c r="E44" i="214"/>
  <c r="A1043" i="28"/>
  <c r="E19" i="255"/>
  <c r="D65" i="236"/>
  <c r="E13" i="272" s="1"/>
  <c r="A1042" i="28"/>
  <c r="E65" i="236"/>
  <c r="F13" i="272" s="1"/>
  <c r="A1041" i="28"/>
  <c r="E62" i="236"/>
  <c r="A1040" i="28"/>
  <c r="E67" i="236"/>
  <c r="A1039" i="28"/>
  <c r="E63" i="236"/>
  <c r="A1038" i="28"/>
  <c r="E64" i="236"/>
  <c r="A1037" i="28"/>
  <c r="E70" i="236"/>
  <c r="A1036" i="28"/>
  <c r="E50" i="240"/>
  <c r="A1035" i="28"/>
  <c r="E61" i="236"/>
  <c r="F9" i="272" s="1"/>
  <c r="D61" i="236"/>
  <c r="E9" i="272" s="1"/>
  <c r="A1034" i="28"/>
  <c r="E49" i="240"/>
  <c r="F29" i="272" s="1"/>
  <c r="A1033" i="28"/>
  <c r="E48" i="240"/>
  <c r="A1032" i="28"/>
  <c r="E38" i="252"/>
  <c r="A1031" i="28"/>
  <c r="E47" i="240"/>
  <c r="F27" i="272" s="1"/>
  <c r="A1030" i="28"/>
  <c r="E42" i="214"/>
  <c r="F56" i="272" s="1"/>
  <c r="A1029" i="28"/>
  <c r="E43" i="216"/>
  <c r="A1028" i="28"/>
  <c r="E60" i="236"/>
  <c r="A1027" i="28"/>
  <c r="E46" i="214"/>
  <c r="A1026" i="28"/>
  <c r="E71" i="236"/>
  <c r="F19" i="272" s="1"/>
  <c r="D71" i="236"/>
  <c r="E19" i="272" s="1"/>
  <c r="A1025" i="28"/>
  <c r="E47" i="214"/>
  <c r="A1024" i="28"/>
  <c r="E21" i="255"/>
  <c r="F49" i="272" s="1"/>
  <c r="A1023" i="28"/>
  <c r="E56" i="216"/>
  <c r="A1022" i="28"/>
  <c r="E55" i="216"/>
  <c r="F89" i="272" s="1"/>
  <c r="A1021" i="28"/>
  <c r="E46" i="240"/>
  <c r="F26" i="272" s="1"/>
  <c r="A1020" i="28"/>
  <c r="E59" i="216"/>
  <c r="F93" i="272" s="1"/>
  <c r="A1019" i="28"/>
  <c r="E57" i="216"/>
  <c r="A1018" i="28"/>
  <c r="E20" i="255"/>
  <c r="A1017" i="28"/>
  <c r="E54" i="216"/>
  <c r="F88" i="272" s="1"/>
  <c r="A1016" i="28"/>
  <c r="E53" i="216"/>
  <c r="F87" i="272" s="1"/>
  <c r="A1015" i="28"/>
  <c r="E45" i="240"/>
  <c r="A1014" i="28"/>
  <c r="E72" i="236"/>
  <c r="F20" i="272" s="1"/>
  <c r="D72" i="236"/>
  <c r="E20" i="272" s="1"/>
  <c r="A1012" i="28"/>
  <c r="E52" i="216"/>
  <c r="A1011" i="28"/>
  <c r="E44" i="240"/>
  <c r="A1010" i="28"/>
  <c r="E45" i="214"/>
  <c r="F59" i="272" s="1"/>
  <c r="A1009" i="28"/>
  <c r="E49" i="216"/>
  <c r="F83" i="272" s="1"/>
  <c r="A1008" i="28"/>
  <c r="E50" i="216"/>
  <c r="F84" i="272" s="1"/>
  <c r="A1007" i="28"/>
  <c r="E47" i="216"/>
  <c r="A1006" i="28"/>
  <c r="E40" i="216"/>
  <c r="A1005" i="28"/>
  <c r="E34" i="216"/>
  <c r="F68" i="272" s="1"/>
  <c r="A1004" i="28"/>
  <c r="E43" i="214"/>
  <c r="F57" i="272" s="1"/>
  <c r="A1003" i="28"/>
  <c r="E40" i="214"/>
  <c r="F54" i="272" s="1"/>
  <c r="A1002" i="28"/>
  <c r="E58" i="216"/>
  <c r="A1001" i="28"/>
  <c r="E44" i="216"/>
  <c r="F78" i="272" s="1"/>
  <c r="A1000" i="28"/>
  <c r="E45" i="216"/>
  <c r="F79" i="272" s="1"/>
  <c r="A999" i="28"/>
  <c r="E66" i="236"/>
  <c r="A998" i="28"/>
  <c r="E68" i="236"/>
  <c r="A991" i="28"/>
  <c r="E41" i="240"/>
  <c r="A990" i="28"/>
  <c r="E40" i="240"/>
  <c r="A989" i="28"/>
  <c r="E30" i="214"/>
  <c r="A988" i="28"/>
  <c r="E39" i="240"/>
  <c r="A987" i="28"/>
  <c r="E54" i="236"/>
  <c r="A986" i="28"/>
  <c r="E47" i="236"/>
  <c r="A985" i="28"/>
  <c r="E45" i="235"/>
  <c r="A984" i="28"/>
  <c r="E34" i="214"/>
  <c r="A983" i="28"/>
  <c r="E46" i="235"/>
  <c r="A982" i="28"/>
  <c r="E35" i="214"/>
  <c r="A981" i="28"/>
  <c r="E38" i="240"/>
  <c r="A980" i="28"/>
  <c r="E25" i="214"/>
  <c r="F58" i="270" s="1"/>
  <c r="A979" i="28"/>
  <c r="E48" i="235"/>
  <c r="A978" i="28"/>
  <c r="E37" i="240"/>
  <c r="A977" i="28"/>
  <c r="E36" i="240"/>
  <c r="A976" i="28"/>
  <c r="E56" i="236"/>
  <c r="A975" i="28"/>
  <c r="E14" i="255"/>
  <c r="A974" i="28"/>
  <c r="E33" i="214"/>
  <c r="A973" i="28"/>
  <c r="E31" i="214"/>
  <c r="A972" i="28"/>
  <c r="E35" i="240"/>
  <c r="A971" i="28"/>
  <c r="E34" i="240"/>
  <c r="A970" i="28"/>
  <c r="E12" i="255"/>
  <c r="A969" i="28"/>
  <c r="E11" i="255"/>
  <c r="F50" i="270" s="1"/>
  <c r="A968" i="28"/>
  <c r="E26" i="214"/>
  <c r="A967" i="28"/>
  <c r="E36" i="214"/>
  <c r="F69" i="270" s="1"/>
  <c r="A966" i="28"/>
  <c r="E35" i="252"/>
  <c r="F47" i="270" s="1"/>
  <c r="A965" i="28"/>
  <c r="E57" i="236"/>
  <c r="A964" i="28"/>
  <c r="E55" i="236"/>
  <c r="F28" i="270" s="1"/>
  <c r="A963" i="28"/>
  <c r="E27" i="216"/>
  <c r="F74" i="270" s="1"/>
  <c r="A962" i="28"/>
  <c r="E52" i="236"/>
  <c r="F25" i="270" s="1"/>
  <c r="A961" i="28"/>
  <c r="E26" i="216"/>
  <c r="F73" i="270" s="1"/>
  <c r="A960" i="28"/>
  <c r="E34" i="252"/>
  <c r="A959" i="28"/>
  <c r="E33" i="252"/>
  <c r="F45" i="270" s="1"/>
  <c r="A958" i="28"/>
  <c r="E50" i="236"/>
  <c r="F23" i="270" s="1"/>
  <c r="A957" i="28"/>
  <c r="E49" i="236"/>
  <c r="F22" i="270" s="1"/>
  <c r="A956" i="28"/>
  <c r="E48" i="236"/>
  <c r="A955" i="28"/>
  <c r="E32" i="252"/>
  <c r="F44" i="270" s="1"/>
  <c r="A954" i="28"/>
  <c r="A953" i="28"/>
  <c r="E15" i="255"/>
  <c r="A952" i="28"/>
  <c r="E47" i="235"/>
  <c r="F16" i="270" s="1"/>
  <c r="A951" i="28"/>
  <c r="E44" i="235"/>
  <c r="A950" i="28"/>
  <c r="E43" i="235"/>
  <c r="A949" i="28"/>
  <c r="E42" i="235"/>
  <c r="A948" i="28"/>
  <c r="E53" i="236"/>
  <c r="F26" i="270" s="1"/>
  <c r="A947" i="28"/>
  <c r="E28" i="216"/>
  <c r="A946" i="28"/>
  <c r="E32" i="214"/>
  <c r="F65" i="270" s="1"/>
  <c r="A945" i="28"/>
  <c r="E29" i="214"/>
  <c r="A944" i="28"/>
  <c r="E41" i="235"/>
  <c r="A943" i="28"/>
  <c r="E13" i="255"/>
  <c r="A942" i="28"/>
  <c r="E28" i="214"/>
  <c r="F61" i="270" s="1"/>
  <c r="A941" i="28"/>
  <c r="E40" i="235"/>
  <c r="A939" i="28"/>
  <c r="E27" i="214"/>
  <c r="F60" i="270" s="1"/>
  <c r="A938" i="28"/>
  <c r="E33" i="240"/>
  <c r="A937" i="28"/>
  <c r="E24" i="214"/>
  <c r="A936" i="28"/>
  <c r="E25" i="216"/>
  <c r="B244" i="28"/>
  <c r="B240" i="28"/>
  <c r="B236" i="28"/>
  <c r="B232" i="28"/>
  <c r="B228" i="28"/>
  <c r="B224" i="28"/>
  <c r="B216" i="28"/>
  <c r="B212" i="28"/>
  <c r="B208" i="28"/>
  <c r="B200" i="28"/>
  <c r="B196" i="28"/>
  <c r="B192" i="28"/>
  <c r="B188" i="28"/>
  <c r="B184" i="28"/>
  <c r="B180" i="28"/>
  <c r="B676" i="28"/>
  <c r="B704" i="28"/>
  <c r="B696" i="28"/>
  <c r="B660" i="28"/>
  <c r="B220" i="28"/>
  <c r="A6" i="257"/>
  <c r="B63" i="45" s="1"/>
  <c r="A27" i="255"/>
  <c r="A57" i="214"/>
  <c r="B73" i="45" s="1"/>
  <c r="A40" i="255"/>
  <c r="A55" i="214"/>
  <c r="B71" i="45" s="1"/>
  <c r="A62" i="240"/>
  <c r="B30" i="45" s="1"/>
  <c r="A28" i="255"/>
  <c r="A15" i="234"/>
  <c r="B10" i="45" s="1"/>
  <c r="A35" i="255"/>
  <c r="A29" i="255"/>
  <c r="A25" i="255"/>
  <c r="A61" i="240"/>
  <c r="B29" i="45" s="1"/>
  <c r="A63" i="216"/>
  <c r="B80" i="45" s="1"/>
  <c r="A49" i="252"/>
  <c r="B39" i="45" s="1"/>
  <c r="A51" i="252"/>
  <c r="B41" i="45" s="1"/>
  <c r="A42" i="252"/>
  <c r="A50" i="214"/>
  <c r="A41" i="214"/>
  <c r="B55" i="272" s="1"/>
  <c r="A42" i="216"/>
  <c r="B76" i="272" s="1"/>
  <c r="C56" i="240"/>
  <c r="D36" i="272" s="1"/>
  <c r="C69" i="236"/>
  <c r="D17" i="272" s="1"/>
  <c r="C44" i="214"/>
  <c r="D58" i="272" s="1"/>
  <c r="C63" i="236"/>
  <c r="D11" i="272" s="1"/>
  <c r="C61" i="236"/>
  <c r="D9" i="272" s="1"/>
  <c r="C47" i="240"/>
  <c r="D27" i="272" s="1"/>
  <c r="C46" i="214"/>
  <c r="D60" i="272" s="1"/>
  <c r="C56" i="216"/>
  <c r="D90" i="272" s="1"/>
  <c r="C57" i="216"/>
  <c r="D91" i="272" s="1"/>
  <c r="C53" i="216"/>
  <c r="D87" i="272" s="1"/>
  <c r="C49" i="216"/>
  <c r="D83" i="272" s="1"/>
  <c r="C40" i="214"/>
  <c r="D54" i="272" s="1"/>
  <c r="C66" i="236"/>
  <c r="D14" i="272" s="1"/>
  <c r="C41" i="240"/>
  <c r="D41" i="270" s="1"/>
  <c r="C39" i="240"/>
  <c r="D39" i="270" s="1"/>
  <c r="C46" i="235"/>
  <c r="D15" i="270" s="1"/>
  <c r="C37" i="240"/>
  <c r="D37" i="270" s="1"/>
  <c r="C14" i="255"/>
  <c r="D53" i="270" s="1"/>
  <c r="C11" i="255"/>
  <c r="D50" i="270" s="1"/>
  <c r="C57" i="236"/>
  <c r="D30" i="270" s="1"/>
  <c r="C26" i="216"/>
  <c r="D73" i="270" s="1"/>
  <c r="C32" i="252"/>
  <c r="D44" i="270" s="1"/>
  <c r="C47" i="235"/>
  <c r="D16" i="270" s="1"/>
  <c r="C53" i="236"/>
  <c r="D26" i="270" s="1"/>
  <c r="C51" i="236"/>
  <c r="D24" i="270" s="1"/>
  <c r="C39" i="235"/>
  <c r="D8" i="270" s="1"/>
  <c r="C24" i="214"/>
  <c r="D57" i="270" s="1"/>
  <c r="C25" i="240"/>
  <c r="D41" i="271" s="1"/>
  <c r="C29" i="240"/>
  <c r="D45" i="271" s="1"/>
  <c r="C19" i="214"/>
  <c r="D69" i="271" s="1"/>
  <c r="C22" i="240"/>
  <c r="D38" i="271" s="1"/>
  <c r="C9" i="214"/>
  <c r="D59" i="271" s="1"/>
  <c r="C18" i="214"/>
  <c r="D68" i="271" s="1"/>
  <c r="C37" i="236"/>
  <c r="D24" i="271" s="1"/>
  <c r="C14" i="217"/>
  <c r="D97" i="271" s="1"/>
  <c r="C32" i="235"/>
  <c r="D12" i="271" s="1"/>
  <c r="C18" i="217"/>
  <c r="D101" i="271" s="1"/>
  <c r="C6" i="217"/>
  <c r="D89" i="271" s="1"/>
  <c r="C17" i="217"/>
  <c r="D100" i="271" s="1"/>
  <c r="C11" i="217"/>
  <c r="D94" i="271" s="1"/>
  <c r="C14" i="214"/>
  <c r="D64" i="271" s="1"/>
  <c r="C19" i="216"/>
  <c r="D82" i="271" s="1"/>
  <c r="C21" i="214"/>
  <c r="D71" i="271" s="1"/>
  <c r="C22" i="216"/>
  <c r="D85" i="271" s="1"/>
  <c r="C11" i="216"/>
  <c r="D74" i="271" s="1"/>
  <c r="C14" i="216"/>
  <c r="D77" i="271" s="1"/>
  <c r="C43" i="236"/>
  <c r="D30" i="271" s="1"/>
  <c r="C17" i="216"/>
  <c r="D80" i="271" s="1"/>
  <c r="C28" i="240"/>
  <c r="D44" i="271" s="1"/>
  <c r="C8" i="216"/>
  <c r="D62" i="266" s="1"/>
  <c r="C25" i="252"/>
  <c r="D30" i="266" s="1"/>
  <c r="C24" i="252"/>
  <c r="D29" i="266" s="1"/>
  <c r="C29" i="252"/>
  <c r="D34" i="266" s="1"/>
  <c r="C28" i="252"/>
  <c r="D33" i="266" s="1"/>
  <c r="C6" i="225"/>
  <c r="D37" i="266" s="1"/>
  <c r="C23" i="225"/>
  <c r="D54" i="266" s="1"/>
  <c r="C20" i="225"/>
  <c r="D51" i="266" s="1"/>
  <c r="C18" i="225"/>
  <c r="D49" i="266" s="1"/>
  <c r="C16" i="225"/>
  <c r="D47" i="266" s="1"/>
  <c r="C8" i="225"/>
  <c r="D39" i="266" s="1"/>
  <c r="C14" i="225"/>
  <c r="D45" i="266" s="1"/>
  <c r="C7" i="246"/>
  <c r="D25" i="266" s="1"/>
  <c r="C6" i="261"/>
  <c r="D27" i="268" s="1"/>
  <c r="C9" i="240"/>
  <c r="D16" i="268" s="1"/>
  <c r="C19" i="252"/>
  <c r="D21" i="268" s="1"/>
  <c r="C10" i="240"/>
  <c r="D17" i="268" s="1"/>
  <c r="C6" i="240"/>
  <c r="D13" i="268" s="1"/>
  <c r="C19" i="235"/>
  <c r="D8" i="268" s="1"/>
  <c r="C128" i="242"/>
  <c r="C18" i="236"/>
  <c r="C64" i="242"/>
  <c r="C62" i="242"/>
  <c r="C174" i="242"/>
  <c r="C97" i="242"/>
  <c r="C11" i="247"/>
  <c r="C11" i="254"/>
  <c r="C10" i="231"/>
  <c r="C7" i="219"/>
  <c r="C6" i="219"/>
  <c r="C157" i="242"/>
  <c r="C82" i="242"/>
  <c r="C35" i="242"/>
  <c r="C17" i="212"/>
  <c r="C171" i="242"/>
  <c r="C16" i="235"/>
  <c r="C9" i="244"/>
  <c r="C12" i="252"/>
  <c r="D471" i="276" s="1"/>
  <c r="C15" i="236"/>
  <c r="D123" i="276" s="1"/>
  <c r="C12" i="236"/>
  <c r="D120" i="276" s="1"/>
  <c r="C15" i="235"/>
  <c r="C11" i="235"/>
  <c r="C9" i="235"/>
  <c r="C8" i="212"/>
  <c r="C8" i="252"/>
  <c r="C7" i="252"/>
  <c r="C6" i="242"/>
  <c r="C23" i="258"/>
  <c r="C17" i="258"/>
  <c r="C15" i="258"/>
  <c r="C13" i="258"/>
  <c r="C11" i="258"/>
  <c r="C7" i="258"/>
  <c r="C193" i="242"/>
  <c r="C22" i="208"/>
  <c r="C177" i="242"/>
  <c r="C176" i="242"/>
  <c r="D354" i="276" s="1"/>
  <c r="C143" i="242"/>
  <c r="C13" i="222"/>
  <c r="C15" i="238"/>
  <c r="C13" i="238"/>
  <c r="C8" i="238"/>
  <c r="C7" i="239"/>
  <c r="C6" i="239"/>
  <c r="C6" i="256"/>
  <c r="C12" i="211"/>
  <c r="C150" i="242"/>
  <c r="C17" i="232"/>
  <c r="C11" i="264"/>
  <c r="C11" i="206"/>
  <c r="C9" i="260"/>
  <c r="C58" i="242"/>
  <c r="C16" i="247"/>
  <c r="C15" i="247"/>
  <c r="C12" i="247"/>
  <c r="C19" i="242"/>
  <c r="D198" i="276" s="1"/>
  <c r="C18" i="228"/>
  <c r="C14" i="215"/>
  <c r="C22" i="258"/>
  <c r="C12" i="209"/>
  <c r="C24" i="264"/>
  <c r="C120" i="242"/>
  <c r="C14" i="207"/>
  <c r="C10" i="211"/>
  <c r="C8" i="232"/>
  <c r="C17" i="228"/>
  <c r="C6" i="228"/>
  <c r="C168" i="242"/>
  <c r="C13" i="254"/>
  <c r="C15" i="212"/>
  <c r="C115" i="242"/>
  <c r="D293" i="276" s="1"/>
  <c r="C15" i="222"/>
  <c r="C23" i="243"/>
  <c r="C68" i="242"/>
  <c r="C158" i="242"/>
  <c r="C142" i="242"/>
  <c r="C140" i="242"/>
  <c r="C137" i="242"/>
  <c r="C129" i="242"/>
  <c r="C96" i="242"/>
  <c r="D274" i="276" s="1"/>
  <c r="C50" i="242"/>
  <c r="C8" i="207"/>
  <c r="C6" i="260"/>
  <c r="C190" i="242"/>
  <c r="C189" i="242"/>
  <c r="D367" i="276" s="1"/>
  <c r="C16" i="241"/>
  <c r="D179" i="276" s="1"/>
  <c r="C20" i="232"/>
  <c r="C19" i="232"/>
  <c r="C12" i="263"/>
  <c r="C166" i="242"/>
  <c r="C9" i="263"/>
  <c r="C116" i="242"/>
  <c r="C15" i="206"/>
  <c r="C91" i="242"/>
  <c r="C11" i="232"/>
  <c r="C7" i="227"/>
  <c r="C21" i="243"/>
  <c r="C72" i="242"/>
  <c r="D250" i="276" s="1"/>
  <c r="C10" i="250"/>
  <c r="C43" i="242"/>
  <c r="C15" i="243"/>
  <c r="C12" i="213"/>
  <c r="C122" i="242"/>
  <c r="D300" i="276" s="1"/>
  <c r="C114" i="242"/>
  <c r="C11" i="229"/>
  <c r="C14" i="222"/>
  <c r="C104" i="242"/>
  <c r="C22" i="210"/>
  <c r="C13" i="226"/>
  <c r="C85" i="242"/>
  <c r="C8" i="226"/>
  <c r="C8" i="222"/>
  <c r="C10" i="265"/>
  <c r="C9" i="247"/>
  <c r="C13" i="210"/>
  <c r="C9" i="265"/>
  <c r="C55" i="242"/>
  <c r="D233" i="276" s="1"/>
  <c r="C7" i="238"/>
  <c r="C6" i="208"/>
  <c r="C7" i="232"/>
  <c r="C53" i="242"/>
  <c r="C6" i="254"/>
  <c r="C11" i="210"/>
  <c r="C10" i="218"/>
  <c r="C9" i="210"/>
  <c r="C8" i="218"/>
  <c r="C7" i="265"/>
  <c r="C12" i="242"/>
  <c r="C178" i="242"/>
  <c r="D356" i="276" s="1"/>
  <c r="C20" i="208"/>
  <c r="C17" i="226"/>
  <c r="C14" i="218"/>
  <c r="C135" i="242"/>
  <c r="C12" i="228"/>
  <c r="C16" i="238"/>
  <c r="C14" i="206"/>
  <c r="C14" i="241"/>
  <c r="C9" i="215"/>
  <c r="C76" i="242"/>
  <c r="C69" i="242"/>
  <c r="C7" i="222"/>
  <c r="C17" i="242"/>
  <c r="C6" i="251"/>
  <c r="C185" i="242"/>
  <c r="C18" i="208"/>
  <c r="C14" i="208"/>
  <c r="C6" i="253"/>
  <c r="D478" i="276" s="1"/>
  <c r="C13" i="264"/>
  <c r="C12" i="207"/>
  <c r="C32" i="264"/>
  <c r="C29" i="264"/>
  <c r="C10" i="251"/>
  <c r="C160" i="242"/>
  <c r="C14" i="209"/>
  <c r="C151" i="242"/>
  <c r="C27" i="210"/>
  <c r="C24" i="210"/>
  <c r="C22" i="264"/>
  <c r="C16" i="264"/>
  <c r="C15" i="232"/>
  <c r="C13" i="207"/>
  <c r="C101" i="242"/>
  <c r="C20" i="210"/>
  <c r="C16" i="210"/>
  <c r="C98" i="242"/>
  <c r="C94" i="242"/>
  <c r="C78" i="242"/>
  <c r="D256" i="276" s="1"/>
  <c r="C52" i="242"/>
  <c r="C39" i="242"/>
  <c r="D218" i="276" s="1"/>
  <c r="C9" i="264"/>
  <c r="C9" i="206"/>
  <c r="C23" i="242"/>
  <c r="C6" i="265"/>
  <c r="C6" i="234"/>
  <c r="C7" i="210"/>
  <c r="C22" i="242"/>
  <c r="C6" i="210"/>
  <c r="A14" i="203"/>
  <c r="A12" i="203"/>
  <c r="A11" i="203"/>
  <c r="A13" i="243"/>
  <c r="A8" i="206"/>
  <c r="A10" i="203"/>
  <c r="A10" i="243"/>
  <c r="A9" i="203"/>
  <c r="A8" i="243"/>
  <c r="A7" i="203"/>
  <c r="A155" i="242"/>
  <c r="A153" i="242"/>
  <c r="A7" i="250"/>
  <c r="A6" i="209"/>
  <c r="A13" i="218"/>
  <c r="A6" i="215"/>
  <c r="A6" i="232"/>
  <c r="A6" i="245"/>
  <c r="A7" i="241"/>
  <c r="B172" i="276" s="1"/>
  <c r="A12" i="218"/>
  <c r="A94" i="216"/>
  <c r="B64" i="274" s="1"/>
  <c r="A70" i="214"/>
  <c r="B42" i="274" s="1"/>
  <c r="A71" i="214"/>
  <c r="B43" i="274" s="1"/>
  <c r="A98" i="236"/>
  <c r="B8" i="274" s="1"/>
  <c r="A92" i="216"/>
  <c r="B62" i="274" s="1"/>
  <c r="A99" i="236"/>
  <c r="B9" i="274" s="1"/>
  <c r="A93" i="216"/>
  <c r="B63" i="274" s="1"/>
  <c r="A74" i="240"/>
  <c r="B25" i="274" s="1"/>
  <c r="A101" i="236"/>
  <c r="B11" i="274" s="1"/>
  <c r="A73" i="214"/>
  <c r="B45" i="274" s="1"/>
  <c r="A97" i="216"/>
  <c r="B67" i="274" s="1"/>
  <c r="A68" i="214"/>
  <c r="B40" i="274" s="1"/>
  <c r="A72" i="240"/>
  <c r="B23" i="274" s="1"/>
  <c r="A95" i="216"/>
  <c r="B65" i="274" s="1"/>
  <c r="A110" i="236"/>
  <c r="B20" i="274" s="1"/>
  <c r="A107" i="236"/>
  <c r="B17" i="274" s="1"/>
  <c r="A102" i="236"/>
  <c r="B12" i="274" s="1"/>
  <c r="A81" i="216"/>
  <c r="B51" i="274" s="1"/>
  <c r="A83" i="216"/>
  <c r="B53" i="274" s="1"/>
  <c r="A82" i="216"/>
  <c r="B52" i="274" s="1"/>
  <c r="A105" i="236"/>
  <c r="B15" i="274" s="1"/>
  <c r="A45" i="255"/>
  <c r="B31" i="274" s="1"/>
  <c r="A96" i="216"/>
  <c r="B66" i="274" s="1"/>
  <c r="A87" i="216"/>
  <c r="B57" i="274" s="1"/>
  <c r="A15" i="257"/>
  <c r="B35" i="274" s="1"/>
  <c r="A108" i="236"/>
  <c r="B18" i="274" s="1"/>
  <c r="A92" i="236"/>
  <c r="B9" i="275" s="1"/>
  <c r="A93" i="236"/>
  <c r="B10" i="275" s="1"/>
  <c r="A77" i="216"/>
  <c r="B31" i="275" s="1"/>
  <c r="A73" i="216"/>
  <c r="B27" i="275" s="1"/>
  <c r="A76" i="216"/>
  <c r="B30" i="275" s="1"/>
  <c r="A75" i="216"/>
  <c r="B29" i="275" s="1"/>
  <c r="A72" i="216"/>
  <c r="B26" i="275" s="1"/>
  <c r="A71" i="216"/>
  <c r="B25" i="275" s="1"/>
  <c r="A69" i="216"/>
  <c r="B23" i="275" s="1"/>
  <c r="C645" i="28"/>
  <c r="C641" i="28"/>
  <c r="C637" i="28"/>
  <c r="A633" i="28"/>
  <c r="C629" i="28"/>
  <c r="C625" i="28"/>
  <c r="C621" i="28"/>
  <c r="C617" i="28"/>
  <c r="C613" i="28"/>
  <c r="C609" i="28"/>
  <c r="C605" i="28"/>
  <c r="C601" i="28"/>
  <c r="C597" i="28"/>
  <c r="C593" i="28"/>
  <c r="C589" i="28"/>
  <c r="C585" i="28"/>
  <c r="C581" i="28"/>
  <c r="C573" i="28"/>
  <c r="D561" i="28"/>
  <c r="A557" i="28"/>
  <c r="A541" i="28"/>
  <c r="A529" i="28"/>
  <c r="A525" i="28"/>
  <c r="A509" i="28"/>
  <c r="A493" i="28"/>
  <c r="A477" i="28"/>
  <c r="A461" i="28"/>
  <c r="D453" i="28"/>
  <c r="D437" i="28"/>
  <c r="D429" i="28"/>
  <c r="D421" i="28"/>
  <c r="D397" i="28"/>
  <c r="D365" i="28"/>
  <c r="D333" i="28"/>
  <c r="C281" i="28"/>
  <c r="C269" i="28"/>
  <c r="D253" i="28"/>
  <c r="D1217" i="28"/>
  <c r="C1216" i="28"/>
  <c r="A1215" i="28"/>
  <c r="D1213" i="28"/>
  <c r="C1212" i="28"/>
  <c r="A1211" i="28"/>
  <c r="D1209" i="28"/>
  <c r="C1208" i="28"/>
  <c r="A1207" i="28"/>
  <c r="D1205" i="28"/>
  <c r="C1204" i="28"/>
  <c r="A1203" i="28"/>
  <c r="D1201" i="28"/>
  <c r="C1200" i="28"/>
  <c r="A1199" i="28"/>
  <c r="D1197" i="28"/>
  <c r="C1196" i="28"/>
  <c r="A1195" i="28"/>
  <c r="D1193" i="28"/>
  <c r="C1192" i="28"/>
  <c r="A1191" i="28"/>
  <c r="D1189" i="28"/>
  <c r="C1188" i="28"/>
  <c r="A1187" i="28"/>
  <c r="D1185" i="28"/>
  <c r="C1184" i="28"/>
  <c r="A1183" i="28"/>
  <c r="D1181" i="28"/>
  <c r="C1180" i="28"/>
  <c r="A1179" i="28"/>
  <c r="D1177" i="28"/>
  <c r="C1176" i="28"/>
  <c r="A1175" i="28"/>
  <c r="D1173" i="28"/>
  <c r="C1172" i="28"/>
  <c r="A1171" i="28"/>
  <c r="D1169" i="28"/>
  <c r="C1168" i="28"/>
  <c r="A1167" i="28"/>
  <c r="D1165" i="28"/>
  <c r="C1164" i="28"/>
  <c r="A1163" i="28"/>
  <c r="D1161" i="28"/>
  <c r="C1160" i="28"/>
  <c r="A1159" i="28"/>
  <c r="D1157" i="28"/>
  <c r="C1156" i="28"/>
  <c r="A1155" i="28"/>
  <c r="D1153" i="28"/>
  <c r="C1152" i="28"/>
  <c r="A1151" i="28"/>
  <c r="D1149" i="28"/>
  <c r="C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1" i="28"/>
  <c r="B1069" i="28"/>
  <c r="B1067" i="28"/>
  <c r="B1065" i="28"/>
  <c r="B1063" i="28"/>
  <c r="B1061" i="28"/>
  <c r="B1059" i="28"/>
  <c r="B1057" i="28"/>
  <c r="D1055" i="28"/>
  <c r="D1054" i="28"/>
  <c r="D1053" i="28"/>
  <c r="D1052" i="28"/>
  <c r="D1051" i="28"/>
  <c r="D1050" i="28"/>
  <c r="D1049" i="28"/>
  <c r="D1048" i="28"/>
  <c r="D1047" i="28"/>
  <c r="D1046" i="28"/>
  <c r="D1045" i="28"/>
  <c r="D1044" i="28"/>
  <c r="D1043" i="28"/>
  <c r="D1042" i="28"/>
  <c r="D1041" i="28"/>
  <c r="D1040" i="28"/>
  <c r="D1039" i="28"/>
  <c r="D1038" i="28"/>
  <c r="D1037" i="28"/>
  <c r="D1036" i="28"/>
  <c r="D1035" i="28"/>
  <c r="D1034" i="28"/>
  <c r="D1033" i="28"/>
  <c r="D1032" i="28"/>
  <c r="D1031" i="28"/>
  <c r="D1030" i="28"/>
  <c r="D1029" i="28"/>
  <c r="D1028" i="28"/>
  <c r="D1027" i="28"/>
  <c r="D1026" i="28"/>
  <c r="D1025" i="28"/>
  <c r="D1024" i="28"/>
  <c r="D1023" i="28"/>
  <c r="D1022" i="28"/>
  <c r="D1021" i="28"/>
  <c r="D1020" i="28"/>
  <c r="D1019" i="28"/>
  <c r="D1018" i="28"/>
  <c r="D1017" i="28"/>
  <c r="D1016" i="28"/>
  <c r="D1015" i="28"/>
  <c r="D1014" i="28"/>
  <c r="D1013" i="28"/>
  <c r="D1012" i="28"/>
  <c r="D1011" i="28"/>
  <c r="D1010" i="28"/>
  <c r="D1009" i="28"/>
  <c r="D1008" i="28"/>
  <c r="D1007" i="28"/>
  <c r="D1006" i="28"/>
  <c r="D1005" i="28"/>
  <c r="D1004" i="28"/>
  <c r="D1003" i="28"/>
  <c r="D1002" i="28"/>
  <c r="D1001" i="28"/>
  <c r="D1000" i="28"/>
  <c r="D999" i="28"/>
  <c r="D998" i="28"/>
  <c r="D997" i="28"/>
  <c r="D996" i="28"/>
  <c r="D995" i="28"/>
  <c r="D994" i="28"/>
  <c r="D993" i="28"/>
  <c r="D992" i="28"/>
  <c r="D991" i="28"/>
  <c r="D990" i="28"/>
  <c r="D989" i="28"/>
  <c r="D988" i="28"/>
  <c r="D987" i="28"/>
  <c r="D986" i="28"/>
  <c r="D985" i="28"/>
  <c r="D984" i="28"/>
  <c r="D983" i="28"/>
  <c r="D982" i="28"/>
  <c r="D981" i="28"/>
  <c r="D980" i="28"/>
  <c r="D979" i="28"/>
  <c r="D978" i="28"/>
  <c r="D977" i="28"/>
  <c r="D976" i="28"/>
  <c r="D975" i="28"/>
  <c r="D974" i="28"/>
  <c r="D973" i="28"/>
  <c r="D972" i="28"/>
  <c r="D971" i="28"/>
  <c r="D970" i="28"/>
  <c r="D969" i="28"/>
  <c r="D968" i="28"/>
  <c r="D967" i="28"/>
  <c r="D966" i="28"/>
  <c r="D965" i="28"/>
  <c r="D964" i="28"/>
  <c r="D963" i="28"/>
  <c r="D962" i="28"/>
  <c r="D961" i="28"/>
  <c r="D960" i="28"/>
  <c r="D959" i="28"/>
  <c r="D958" i="28"/>
  <c r="D957" i="28"/>
  <c r="D956" i="28"/>
  <c r="D955" i="28"/>
  <c r="D954" i="28"/>
  <c r="D953" i="28"/>
  <c r="D952" i="28"/>
  <c r="D951" i="28"/>
  <c r="D950" i="28"/>
  <c r="D949" i="28"/>
  <c r="D948" i="28"/>
  <c r="D947" i="28"/>
  <c r="D946" i="28"/>
  <c r="D945" i="28"/>
  <c r="D944" i="28"/>
  <c r="D943" i="28"/>
  <c r="D942" i="28"/>
  <c r="D941" i="28"/>
  <c r="D940" i="28"/>
  <c r="D939" i="28"/>
  <c r="D938" i="28"/>
  <c r="D937" i="28"/>
  <c r="D936" i="28"/>
  <c r="D935" i="28"/>
  <c r="D934" i="28"/>
  <c r="D933" i="28"/>
  <c r="D932" i="28"/>
  <c r="D931" i="28"/>
  <c r="D930" i="28"/>
  <c r="D929" i="28"/>
  <c r="D928" i="28"/>
  <c r="D927" i="28"/>
  <c r="D926" i="28"/>
  <c r="D925" i="28"/>
  <c r="D924" i="28"/>
  <c r="D923" i="28"/>
  <c r="D922" i="28"/>
  <c r="D921" i="28"/>
  <c r="D920" i="28"/>
  <c r="D919" i="28"/>
  <c r="D918" i="28"/>
  <c r="D917" i="28"/>
  <c r="D916" i="28"/>
  <c r="D915" i="28"/>
  <c r="D914" i="28"/>
  <c r="D913" i="28"/>
  <c r="D912" i="28"/>
  <c r="D911" i="28"/>
  <c r="D910" i="28"/>
  <c r="D909" i="28"/>
  <c r="D908" i="28"/>
  <c r="D907" i="28"/>
  <c r="D906" i="28"/>
  <c r="D905" i="28"/>
  <c r="D904" i="28"/>
  <c r="D903" i="28"/>
  <c r="D902" i="28"/>
  <c r="D901" i="28"/>
  <c r="D900" i="28"/>
  <c r="D899" i="28"/>
  <c r="D898" i="28"/>
  <c r="D897" i="28"/>
  <c r="D896" i="28"/>
  <c r="D895" i="28"/>
  <c r="D894" i="28"/>
  <c r="D893" i="28"/>
  <c r="D892" i="28"/>
  <c r="D891" i="28"/>
  <c r="D890" i="28"/>
  <c r="D889" i="28"/>
  <c r="D888" i="28"/>
  <c r="D887" i="28"/>
  <c r="D886" i="28"/>
  <c r="D885" i="28"/>
  <c r="D884" i="28"/>
  <c r="D883" i="28"/>
  <c r="D882" i="28"/>
  <c r="D881" i="28"/>
  <c r="D880" i="28"/>
  <c r="D879" i="28"/>
  <c r="D878" i="28"/>
  <c r="D877" i="28"/>
  <c r="D876" i="28"/>
  <c r="D875" i="28"/>
  <c r="D874" i="28"/>
  <c r="D873" i="28"/>
  <c r="D872" i="28"/>
  <c r="D871" i="28"/>
  <c r="D870" i="28"/>
  <c r="D869" i="28"/>
  <c r="D868" i="28"/>
  <c r="D867" i="28"/>
  <c r="D866" i="28"/>
  <c r="D865" i="28"/>
  <c r="D864" i="28"/>
  <c r="D863" i="28"/>
  <c r="D862" i="28"/>
  <c r="D861" i="28"/>
  <c r="D860" i="28"/>
  <c r="D859" i="28"/>
  <c r="D858" i="28"/>
  <c r="D857" i="28"/>
  <c r="D856" i="28"/>
  <c r="D855" i="28"/>
  <c r="D854" i="28"/>
  <c r="D853" i="28"/>
  <c r="D852" i="28"/>
  <c r="D851" i="28"/>
  <c r="D850" i="28"/>
  <c r="D849" i="28"/>
  <c r="D848" i="28"/>
  <c r="D847" i="28"/>
  <c r="D846" i="28"/>
  <c r="D845" i="28"/>
  <c r="D844" i="28"/>
  <c r="D843" i="28"/>
  <c r="D842" i="28"/>
  <c r="D841" i="28"/>
  <c r="D840" i="28"/>
  <c r="D839" i="28"/>
  <c r="D838" i="28"/>
  <c r="D837" i="28"/>
  <c r="D836" i="28"/>
  <c r="D835" i="28"/>
  <c r="D834" i="28"/>
  <c r="D833" i="28"/>
  <c r="D832" i="28"/>
  <c r="D831" i="28"/>
  <c r="D830" i="28"/>
  <c r="D829" i="28"/>
  <c r="D828" i="28"/>
  <c r="D827" i="28"/>
  <c r="D826" i="28"/>
  <c r="D825" i="28"/>
  <c r="D824" i="28"/>
  <c r="D823" i="28"/>
  <c r="D822" i="28"/>
  <c r="D821" i="28"/>
  <c r="D820" i="28"/>
  <c r="D819" i="28"/>
  <c r="D818" i="28"/>
  <c r="D817" i="28"/>
  <c r="D816" i="28"/>
  <c r="D815" i="28"/>
  <c r="D814" i="28"/>
  <c r="D813" i="28"/>
  <c r="D812" i="28"/>
  <c r="D811" i="28"/>
  <c r="D810" i="28"/>
  <c r="D809" i="28"/>
  <c r="D808" i="28"/>
  <c r="D807" i="28"/>
  <c r="D806" i="28"/>
  <c r="D805" i="28"/>
  <c r="D804" i="28"/>
  <c r="D803" i="28"/>
  <c r="D802" i="28"/>
  <c r="D801" i="28"/>
  <c r="D800" i="28"/>
  <c r="D799" i="28"/>
  <c r="D798" i="28"/>
  <c r="D797" i="28"/>
  <c r="D796" i="28"/>
  <c r="D795" i="28"/>
  <c r="D794" i="28"/>
  <c r="D793" i="28"/>
  <c r="D792" i="28"/>
  <c r="D791" i="28"/>
  <c r="D790" i="28"/>
  <c r="D789" i="28"/>
  <c r="D788" i="28"/>
  <c r="D787" i="28"/>
  <c r="D786" i="28"/>
  <c r="D785" i="28"/>
  <c r="D784" i="28"/>
  <c r="D783" i="28"/>
  <c r="D782" i="28"/>
  <c r="D781" i="28"/>
  <c r="D780" i="28"/>
  <c r="C779" i="28"/>
  <c r="A778" i="28"/>
  <c r="D776" i="28"/>
  <c r="C775" i="28"/>
  <c r="A774" i="28"/>
  <c r="D772" i="28"/>
  <c r="C771" i="28"/>
  <c r="A770" i="28"/>
  <c r="D768" i="28"/>
  <c r="C767" i="28"/>
  <c r="A766" i="28"/>
  <c r="D764" i="28"/>
  <c r="C763" i="28"/>
  <c r="A762" i="28"/>
  <c r="D760" i="28"/>
  <c r="C759" i="28"/>
  <c r="A757" i="28"/>
  <c r="D755" i="28"/>
  <c r="C754" i="28"/>
  <c r="A753" i="28"/>
  <c r="D751" i="28"/>
  <c r="C749" i="28"/>
  <c r="A748" i="28"/>
  <c r="D746" i="28"/>
  <c r="C745" i="28"/>
  <c r="A744" i="28"/>
  <c r="D742" i="28"/>
  <c r="C741" i="28"/>
  <c r="A740" i="28"/>
  <c r="D738" i="28"/>
  <c r="C737" i="28"/>
  <c r="A736" i="28"/>
  <c r="D734" i="28"/>
  <c r="C733" i="28"/>
  <c r="A732" i="28"/>
  <c r="D730" i="28"/>
  <c r="C729" i="28"/>
  <c r="A728" i="28"/>
  <c r="D726" i="28"/>
  <c r="C725" i="28"/>
  <c r="A724" i="28"/>
  <c r="D722" i="28"/>
  <c r="C721" i="28"/>
  <c r="A720" i="28"/>
  <c r="D718" i="28"/>
  <c r="C717" i="28"/>
  <c r="A716" i="28"/>
  <c r="D714" i="28"/>
  <c r="C713" i="28"/>
  <c r="A712" i="28"/>
  <c r="D710" i="28"/>
  <c r="C709" i="28"/>
  <c r="A708" i="28"/>
  <c r="D706" i="28"/>
  <c r="C705" i="28"/>
  <c r="A704" i="28"/>
  <c r="D702" i="28"/>
  <c r="C701" i="28"/>
  <c r="A700" i="28"/>
  <c r="D698" i="28"/>
  <c r="C697" i="28"/>
  <c r="A696" i="28"/>
  <c r="D694" i="28"/>
  <c r="C693" i="28"/>
  <c r="A692" i="28"/>
  <c r="D690" i="28"/>
  <c r="C689" i="28"/>
  <c r="A688" i="28"/>
  <c r="D686" i="28"/>
  <c r="C685" i="28"/>
  <c r="A684" i="28"/>
  <c r="D682" i="28"/>
  <c r="C681" i="28"/>
  <c r="A680" i="28"/>
  <c r="D678" i="28"/>
  <c r="C677" i="28"/>
  <c r="A676" i="28"/>
  <c r="D674" i="28"/>
  <c r="C673" i="28"/>
  <c r="A672" i="28"/>
  <c r="D670" i="28"/>
  <c r="C669" i="28"/>
  <c r="A668" i="28"/>
  <c r="D666" i="28"/>
  <c r="C665" i="28"/>
  <c r="A664" i="28"/>
  <c r="D662" i="28"/>
  <c r="C661" i="28"/>
  <c r="A660" i="28"/>
  <c r="D658" i="28"/>
  <c r="C657" i="28"/>
  <c r="A656" i="28"/>
  <c r="D654" i="28"/>
  <c r="C653" i="28"/>
  <c r="A652" i="28"/>
  <c r="D650" i="28"/>
  <c r="C649" i="28"/>
  <c r="A648" i="28"/>
  <c r="A645" i="28"/>
  <c r="D643" i="28"/>
  <c r="D625" i="28"/>
  <c r="D621" i="28"/>
  <c r="D617" i="28"/>
  <c r="D613" i="28"/>
  <c r="D609" i="28"/>
  <c r="D605" i="28"/>
  <c r="D601" i="28"/>
  <c r="D597" i="28"/>
  <c r="D593" i="28"/>
  <c r="D589" i="28"/>
  <c r="D585" i="28"/>
  <c r="D581" i="28"/>
  <c r="A253" i="28"/>
  <c r="C33" i="78"/>
  <c r="C27" i="78"/>
  <c r="C20" i="78"/>
  <c r="C14" i="78"/>
  <c r="C8" i="78"/>
  <c r="C11" i="78"/>
  <c r="C7" i="205"/>
  <c r="C6" i="205"/>
  <c r="A7" i="257"/>
  <c r="B64" i="45" s="1"/>
  <c r="A34" i="255"/>
  <c r="A10" i="257"/>
  <c r="B67" i="45" s="1"/>
  <c r="A58" i="214"/>
  <c r="B74" i="45" s="1"/>
  <c r="A64" i="240"/>
  <c r="B32" i="45" s="1"/>
  <c r="A63" i="240"/>
  <c r="B31" i="45" s="1"/>
  <c r="A46" i="252"/>
  <c r="B36" i="45" s="1"/>
  <c r="A13" i="234"/>
  <c r="B8" i="45" s="1"/>
  <c r="A37" i="255"/>
  <c r="A33" i="255"/>
  <c r="A50" i="252"/>
  <c r="B40" i="45" s="1"/>
  <c r="A24" i="255"/>
  <c r="A47" i="252"/>
  <c r="B37" i="45" s="1"/>
  <c r="A76" i="236"/>
  <c r="B9" i="273" s="1"/>
  <c r="A75" i="236"/>
  <c r="B8" i="273" s="1"/>
  <c r="A58" i="240"/>
  <c r="B38" i="272" s="1"/>
  <c r="A39" i="216"/>
  <c r="B73" i="272" s="1"/>
  <c r="C57" i="240"/>
  <c r="D37" i="272" s="1"/>
  <c r="C53" i="240"/>
  <c r="D33" i="272" s="1"/>
  <c r="C19" i="255"/>
  <c r="D47" i="272" s="1"/>
  <c r="C67" i="236"/>
  <c r="D15" i="272" s="1"/>
  <c r="C50" i="240"/>
  <c r="D30" i="272" s="1"/>
  <c r="C38" i="252"/>
  <c r="D42" i="272" s="1"/>
  <c r="C60" i="236"/>
  <c r="D8" i="272" s="1"/>
  <c r="C21" i="255"/>
  <c r="D49" i="272" s="1"/>
  <c r="C59" i="216"/>
  <c r="D93" i="272" s="1"/>
  <c r="C54" i="216"/>
  <c r="D88" i="272" s="1"/>
  <c r="C52" i="216"/>
  <c r="D86" i="272" s="1"/>
  <c r="C50" i="216"/>
  <c r="D84" i="272" s="1"/>
  <c r="C58" i="216"/>
  <c r="D92" i="272" s="1"/>
  <c r="C68" i="236"/>
  <c r="D16" i="272" s="1"/>
  <c r="C54" i="236"/>
  <c r="D27" i="270" s="1"/>
  <c r="C34" i="214"/>
  <c r="D67" i="270" s="1"/>
  <c r="C36" i="240"/>
  <c r="D36" i="270" s="1"/>
  <c r="C33" i="214"/>
  <c r="D66" i="270" s="1"/>
  <c r="C12" i="255"/>
  <c r="D51" i="270" s="1"/>
  <c r="C35" i="252"/>
  <c r="D47" i="270" s="1"/>
  <c r="C52" i="236"/>
  <c r="D25" i="270" s="1"/>
  <c r="C50" i="236"/>
  <c r="D23" i="270" s="1"/>
  <c r="C44" i="235"/>
  <c r="D13" i="270" s="1"/>
  <c r="C28" i="216"/>
  <c r="D75" i="270" s="1"/>
  <c r="C41" i="235"/>
  <c r="D10" i="270" s="1"/>
  <c r="C40" i="235"/>
  <c r="D9" i="270" s="1"/>
  <c r="C25" i="216"/>
  <c r="D72" i="270" s="1"/>
  <c r="C8" i="255"/>
  <c r="D52" i="271" s="1"/>
  <c r="C42" i="236"/>
  <c r="D29" i="271" s="1"/>
  <c r="C19" i="240"/>
  <c r="D35" i="271" s="1"/>
  <c r="C36" i="236"/>
  <c r="D23" i="271" s="1"/>
  <c r="C38" i="236"/>
  <c r="D25" i="271" s="1"/>
  <c r="C41" i="236"/>
  <c r="D28" i="271" s="1"/>
  <c r="C15" i="214"/>
  <c r="D65" i="271" s="1"/>
  <c r="C36" i="235"/>
  <c r="D16" i="271" s="1"/>
  <c r="C13" i="217"/>
  <c r="D96" i="271" s="1"/>
  <c r="C31" i="235"/>
  <c r="D11" i="271" s="1"/>
  <c r="C33" i="235"/>
  <c r="D13" i="271" s="1"/>
  <c r="C7" i="217"/>
  <c r="D90" i="271" s="1"/>
  <c r="C15" i="217"/>
  <c r="D98" i="271" s="1"/>
  <c r="C16" i="214"/>
  <c r="D66" i="271" s="1"/>
  <c r="C21" i="240"/>
  <c r="D37" i="271" s="1"/>
  <c r="C21" i="216"/>
  <c r="D84" i="271" s="1"/>
  <c r="C18" i="216"/>
  <c r="D81" i="271" s="1"/>
  <c r="C13" i="216"/>
  <c r="D76" i="271" s="1"/>
  <c r="C27" i="240"/>
  <c r="D43" i="271" s="1"/>
  <c r="C7" i="255"/>
  <c r="D51" i="271" s="1"/>
  <c r="C20" i="214"/>
  <c r="D70" i="271" s="1"/>
  <c r="C6" i="214"/>
  <c r="D56" i="271" s="1"/>
  <c r="C7" i="216"/>
  <c r="D61" i="266" s="1"/>
  <c r="C15" i="240"/>
  <c r="D20" i="266" s="1"/>
  <c r="C6" i="216"/>
  <c r="D60" i="266" s="1"/>
  <c r="C14" i="240"/>
  <c r="D19" i="266" s="1"/>
  <c r="C25" i="225"/>
  <c r="D56" i="266" s="1"/>
  <c r="C21" i="225"/>
  <c r="D52" i="266" s="1"/>
  <c r="C17" i="225"/>
  <c r="D48" i="266" s="1"/>
  <c r="C11" i="225"/>
  <c r="D42" i="266" s="1"/>
  <c r="C9" i="225"/>
  <c r="D40" i="266" s="1"/>
  <c r="C15" i="225"/>
  <c r="D46" i="266" s="1"/>
  <c r="C13" i="225"/>
  <c r="D44" i="266" s="1"/>
  <c r="C18" i="252"/>
  <c r="D20" i="268" s="1"/>
  <c r="C7" i="240"/>
  <c r="D14" i="268" s="1"/>
  <c r="C20" i="235"/>
  <c r="D9" i="268" s="1"/>
  <c r="C183" i="242"/>
  <c r="D361" i="276" s="1"/>
  <c r="C127" i="242"/>
  <c r="C63" i="242"/>
  <c r="C15" i="229"/>
  <c r="C9" i="254"/>
  <c r="C8" i="211"/>
  <c r="C8" i="219"/>
  <c r="C9" i="211"/>
  <c r="C6" i="231"/>
  <c r="C162" i="242"/>
  <c r="C9" i="251"/>
  <c r="C10" i="242"/>
  <c r="C18" i="212"/>
  <c r="C23" i="236"/>
  <c r="C14" i="252"/>
  <c r="C19" i="236"/>
  <c r="D127" i="276" s="1"/>
  <c r="C10" i="244"/>
  <c r="C147" i="242"/>
  <c r="C6" i="244"/>
  <c r="C17" i="236"/>
  <c r="C118" i="242"/>
  <c r="C10" i="236"/>
  <c r="C9" i="236"/>
  <c r="C100" i="242"/>
  <c r="D278" i="276" s="1"/>
  <c r="C13" i="235"/>
  <c r="C10" i="235"/>
  <c r="C10" i="252"/>
  <c r="C8" i="236"/>
  <c r="D116" i="276" s="1"/>
  <c r="C67" i="242"/>
  <c r="C7" i="212"/>
  <c r="C11" i="242"/>
  <c r="C7" i="235"/>
  <c r="C6" i="252"/>
  <c r="C26" i="258"/>
  <c r="C25" i="258"/>
  <c r="C12" i="208"/>
  <c r="C10" i="208"/>
  <c r="C9" i="208"/>
  <c r="C10" i="258"/>
  <c r="C33" i="264"/>
  <c r="C16" i="239"/>
  <c r="C18" i="238"/>
  <c r="C180" i="242"/>
  <c r="C28" i="264"/>
  <c r="C167" i="242"/>
  <c r="C144" i="242"/>
  <c r="C131" i="242"/>
  <c r="C12" i="222"/>
  <c r="C14" i="238"/>
  <c r="C8" i="239"/>
  <c r="C12" i="238"/>
  <c r="C10" i="238"/>
  <c r="C59" i="242"/>
  <c r="C6" i="238"/>
  <c r="C14" i="242"/>
  <c r="D193" i="276" s="1"/>
  <c r="C13" i="211"/>
  <c r="C9" i="256"/>
  <c r="C12" i="264"/>
  <c r="C12" i="206"/>
  <c r="C8" i="208"/>
  <c r="C18" i="243"/>
  <c r="C27" i="243"/>
  <c r="C14" i="247"/>
  <c r="C20" i="242"/>
  <c r="D199" i="276" s="1"/>
  <c r="C18" i="241"/>
  <c r="C20" i="228"/>
  <c r="C134" i="242"/>
  <c r="C9" i="248"/>
  <c r="C14" i="232"/>
  <c r="C12" i="215"/>
  <c r="C11" i="211"/>
  <c r="C8" i="254"/>
  <c r="C14" i="210"/>
  <c r="C30" i="242"/>
  <c r="C175" i="242"/>
  <c r="C9" i="209"/>
  <c r="C33" i="242"/>
  <c r="C14" i="254"/>
  <c r="C123" i="242"/>
  <c r="D301" i="276" s="1"/>
  <c r="C84" i="242"/>
  <c r="C28" i="243"/>
  <c r="C6" i="227"/>
  <c r="C6" i="213"/>
  <c r="C181" i="242"/>
  <c r="D359" i="276" s="1"/>
  <c r="C141" i="242"/>
  <c r="C139" i="242"/>
  <c r="C130" i="242"/>
  <c r="C121" i="242"/>
  <c r="C90" i="242"/>
  <c r="D268" i="276" s="1"/>
  <c r="C74" i="242"/>
  <c r="C61" i="242"/>
  <c r="C51" i="242"/>
  <c r="C7" i="260"/>
  <c r="C34" i="242"/>
  <c r="C191" i="242"/>
  <c r="C10" i="256"/>
  <c r="C20" i="226"/>
  <c r="C179" i="242"/>
  <c r="C27" i="264"/>
  <c r="C159" i="242"/>
  <c r="C9" i="227"/>
  <c r="C132" i="242"/>
  <c r="C26" i="243"/>
  <c r="C10" i="222"/>
  <c r="C11" i="215"/>
  <c r="C8" i="263"/>
  <c r="C13" i="241"/>
  <c r="C10" i="215"/>
  <c r="C6" i="223"/>
  <c r="C6" i="263"/>
  <c r="C42" i="242"/>
  <c r="D221" i="276" s="1"/>
  <c r="C16" i="243"/>
  <c r="C182" i="242"/>
  <c r="D360" i="276" s="1"/>
  <c r="C126" i="242"/>
  <c r="D304" i="276" s="1"/>
  <c r="C16" i="226"/>
  <c r="C7" i="248"/>
  <c r="C23" i="210"/>
  <c r="C11" i="222"/>
  <c r="C10" i="239"/>
  <c r="C88" i="242"/>
  <c r="C7" i="245"/>
  <c r="C11" i="207"/>
  <c r="C10" i="260"/>
  <c r="C20" i="243"/>
  <c r="C10" i="206"/>
  <c r="C66" i="242"/>
  <c r="C9" i="232"/>
  <c r="C7" i="215"/>
  <c r="C10" i="247"/>
  <c r="C8" i="247"/>
  <c r="C9" i="228"/>
  <c r="C11" i="259"/>
  <c r="C11" i="212"/>
  <c r="C9" i="250"/>
  <c r="C16" i="218"/>
  <c r="C6" i="241"/>
  <c r="D171" i="276" s="1"/>
  <c r="C7" i="211"/>
  <c r="C27" i="242"/>
  <c r="C7" i="247"/>
  <c r="C11" i="218"/>
  <c r="C8" i="229"/>
  <c r="C8" i="210"/>
  <c r="C6" i="250"/>
  <c r="C6" i="247"/>
  <c r="C9" i="218"/>
  <c r="C7" i="218"/>
  <c r="C6" i="207"/>
  <c r="C26" i="242"/>
  <c r="D205" i="276" s="1"/>
  <c r="C25" i="242"/>
  <c r="C13" i="242"/>
  <c r="C9" i="245"/>
  <c r="C19" i="226"/>
  <c r="C18" i="226"/>
  <c r="C12" i="259"/>
  <c r="C15" i="264"/>
  <c r="C19" i="258"/>
  <c r="C13" i="228"/>
  <c r="C12" i="226"/>
  <c r="C81" i="242"/>
  <c r="D259" i="276" s="1"/>
  <c r="C9" i="222"/>
  <c r="C10" i="207"/>
  <c r="C75" i="242"/>
  <c r="D253" i="276" s="1"/>
  <c r="C11" i="228"/>
  <c r="C9" i="207"/>
  <c r="C19" i="243"/>
  <c r="C16" i="242"/>
  <c r="C186" i="242"/>
  <c r="C184" i="242"/>
  <c r="C25" i="264"/>
  <c r="C18" i="210"/>
  <c r="C16" i="208"/>
  <c r="C15" i="208"/>
  <c r="C13" i="208"/>
  <c r="C11" i="260"/>
  <c r="C30" i="264"/>
  <c r="C9" i="233"/>
  <c r="C15" i="209"/>
  <c r="C14" i="260"/>
  <c r="C10" i="234"/>
  <c r="C29" i="210"/>
  <c r="C28" i="210"/>
  <c r="C25" i="210"/>
  <c r="C12" i="260"/>
  <c r="C10" i="213"/>
  <c r="C21" i="264"/>
  <c r="C113" i="242"/>
  <c r="D291" i="276" s="1"/>
  <c r="C8" i="251"/>
  <c r="C108" i="242"/>
  <c r="C105" i="242"/>
  <c r="C12" i="232"/>
  <c r="C21" i="210"/>
  <c r="C17" i="210"/>
  <c r="C11" i="239"/>
  <c r="C86" i="242"/>
  <c r="D264" i="276" s="1"/>
  <c r="C7" i="263"/>
  <c r="C10" i="228"/>
  <c r="C7" i="209"/>
  <c r="C8" i="213"/>
  <c r="C38" i="242"/>
  <c r="D217" i="276" s="1"/>
  <c r="C8" i="264"/>
  <c r="C6" i="212"/>
  <c r="C10" i="241"/>
  <c r="D174" i="267" s="1"/>
  <c r="C7" i="226"/>
  <c r="C6" i="229"/>
  <c r="C8" i="259"/>
  <c r="C6" i="264"/>
  <c r="A6" i="226"/>
  <c r="A11" i="248"/>
  <c r="A13" i="206"/>
  <c r="A13" i="203"/>
  <c r="A9" i="243"/>
  <c r="A8" i="203"/>
  <c r="A7" i="243"/>
  <c r="A7" i="206"/>
  <c r="A6" i="206"/>
  <c r="A6" i="243"/>
  <c r="A6" i="203"/>
  <c r="A15" i="239"/>
  <c r="A154" i="242"/>
  <c r="A149" i="242"/>
  <c r="A80" i="242"/>
  <c r="A79" i="242"/>
  <c r="A8" i="241"/>
  <c r="A7" i="228"/>
  <c r="A7" i="207"/>
  <c r="A75" i="240"/>
  <c r="B26" i="274" s="1"/>
  <c r="A72" i="214"/>
  <c r="B44" i="274" s="1"/>
  <c r="A90" i="216"/>
  <c r="B60" i="274" s="1"/>
  <c r="A91" i="216"/>
  <c r="B61" i="274" s="1"/>
  <c r="A74" i="214"/>
  <c r="B46" i="274" s="1"/>
  <c r="A89" i="216"/>
  <c r="B59" i="274" s="1"/>
  <c r="A86" i="216"/>
  <c r="B56" i="274" s="1"/>
  <c r="A100" i="236"/>
  <c r="B10" i="274" s="1"/>
  <c r="A73" i="240"/>
  <c r="B24" i="274" s="1"/>
  <c r="A67" i="214"/>
  <c r="B39" i="274" s="1"/>
  <c r="A109" i="236"/>
  <c r="B19" i="274" s="1"/>
  <c r="A106" i="236"/>
  <c r="B16" i="274" s="1"/>
  <c r="A44" i="255"/>
  <c r="B30" i="274" s="1"/>
  <c r="A80" i="216"/>
  <c r="B50" i="274" s="1"/>
  <c r="A85" i="216"/>
  <c r="B55" i="274" s="1"/>
  <c r="A84" i="216"/>
  <c r="B54" i="274" s="1"/>
  <c r="A69" i="214"/>
  <c r="B41" i="274" s="1"/>
  <c r="A104" i="236"/>
  <c r="B14" i="274" s="1"/>
  <c r="A88" i="216"/>
  <c r="B58" i="274" s="1"/>
  <c r="A14" i="257"/>
  <c r="B34" i="274" s="1"/>
  <c r="A103" i="236"/>
  <c r="B13" i="274" s="1"/>
  <c r="A69" i="240"/>
  <c r="B16" i="275" s="1"/>
  <c r="A64" i="214"/>
  <c r="B19" i="275" s="1"/>
  <c r="A91" i="236"/>
  <c r="B8" i="275" s="1"/>
  <c r="A95" i="236"/>
  <c r="B12" i="275" s="1"/>
  <c r="A94" i="236"/>
  <c r="B11" i="275" s="1"/>
  <c r="A74" i="216"/>
  <c r="B28" i="275" s="1"/>
  <c r="A70" i="216"/>
  <c r="B24" i="275" s="1"/>
  <c r="C7" i="257"/>
  <c r="D64" i="45" s="1"/>
  <c r="C6" i="257"/>
  <c r="D63" i="45" s="1"/>
  <c r="C8" i="257"/>
  <c r="D65" i="45" s="1"/>
  <c r="C9" i="257"/>
  <c r="D66" i="45" s="1"/>
  <c r="C36" i="255"/>
  <c r="C34" i="255"/>
  <c r="C27" i="255"/>
  <c r="C32" i="255"/>
  <c r="C51" i="235"/>
  <c r="D16" i="45" s="1"/>
  <c r="C10" i="257"/>
  <c r="D67" i="45" s="1"/>
  <c r="C65" i="240"/>
  <c r="D33" i="45" s="1"/>
  <c r="C57" i="214"/>
  <c r="D73" i="45" s="1"/>
  <c r="C59" i="214"/>
  <c r="D75" i="45" s="1"/>
  <c r="C60" i="214"/>
  <c r="D76" i="45" s="1"/>
  <c r="C58" i="214"/>
  <c r="D74" i="45" s="1"/>
  <c r="C39" i="255"/>
  <c r="C40" i="255"/>
  <c r="C64" i="240"/>
  <c r="D32" i="45" s="1"/>
  <c r="C56" i="214"/>
  <c r="D72" i="45" s="1"/>
  <c r="C55" i="214"/>
  <c r="D71" i="45" s="1"/>
  <c r="C54" i="214"/>
  <c r="D70" i="45" s="1"/>
  <c r="C63" i="240"/>
  <c r="D31" i="45" s="1"/>
  <c r="C62" i="240"/>
  <c r="D30" i="45" s="1"/>
  <c r="C79" i="236"/>
  <c r="D19" i="45" s="1"/>
  <c r="C46" i="252"/>
  <c r="D36" i="45" s="1"/>
  <c r="C28" i="255"/>
  <c r="C26" i="255"/>
  <c r="C17" i="234"/>
  <c r="D12" i="45" s="1"/>
  <c r="C13" i="234"/>
  <c r="D8" i="45" s="1"/>
  <c r="C15" i="234"/>
  <c r="D10" i="45" s="1"/>
  <c r="C16" i="234"/>
  <c r="D11" i="45" s="1"/>
  <c r="C30" i="255"/>
  <c r="C35" i="255"/>
  <c r="C37" i="255"/>
  <c r="C65" i="216"/>
  <c r="D82" i="45" s="1"/>
  <c r="C14" i="234"/>
  <c r="D9" i="45" s="1"/>
  <c r="C29" i="255"/>
  <c r="C38" i="255"/>
  <c r="C33" i="255"/>
  <c r="C25" i="255"/>
  <c r="C48" i="252"/>
  <c r="D38" i="45" s="1"/>
  <c r="C31" i="255"/>
  <c r="C50" i="252"/>
  <c r="D40" i="45" s="1"/>
  <c r="C61" i="240"/>
  <c r="D29" i="45" s="1"/>
  <c r="C64" i="216"/>
  <c r="D81" i="45" s="1"/>
  <c r="C24" i="255"/>
  <c r="C62" i="216"/>
  <c r="D79" i="45" s="1"/>
  <c r="C63" i="216"/>
  <c r="D80" i="45" s="1"/>
  <c r="C49" i="252"/>
  <c r="D39" i="45" s="1"/>
  <c r="C47" i="252"/>
  <c r="D37" i="45" s="1"/>
  <c r="C51" i="252"/>
  <c r="D41" i="45" s="1"/>
  <c r="C43" i="252"/>
  <c r="C76" i="236"/>
  <c r="D9" i="273" s="1"/>
  <c r="C51" i="214"/>
  <c r="C42" i="252"/>
  <c r="C41" i="252"/>
  <c r="C75" i="236"/>
  <c r="D8" i="273" s="1"/>
  <c r="C50" i="214"/>
  <c r="A18" i="255"/>
  <c r="B46" i="272" s="1"/>
  <c r="A39" i="214"/>
  <c r="B53" i="272" s="1"/>
  <c r="A33" i="216"/>
  <c r="B67" i="272" s="1"/>
  <c r="A48" i="216"/>
  <c r="B82" i="272" s="1"/>
  <c r="A35" i="216"/>
  <c r="B69" i="272" s="1"/>
  <c r="A38" i="216"/>
  <c r="B72" i="272" s="1"/>
  <c r="A46" i="216"/>
  <c r="B80" i="272" s="1"/>
  <c r="A41" i="216"/>
  <c r="B75" i="272" s="1"/>
  <c r="A37" i="216"/>
  <c r="B71" i="272" s="1"/>
  <c r="A57" i="240"/>
  <c r="B37" i="272" s="1"/>
  <c r="A56" i="240"/>
  <c r="B36" i="272" s="1"/>
  <c r="A55" i="240"/>
  <c r="B35" i="272" s="1"/>
  <c r="A54" i="240"/>
  <c r="B34" i="272" s="1"/>
  <c r="A53" i="240"/>
  <c r="B33" i="272" s="1"/>
  <c r="A69" i="236"/>
  <c r="B17" i="272" s="1"/>
  <c r="A52" i="240"/>
  <c r="B32" i="272" s="1"/>
  <c r="A51" i="240"/>
  <c r="B31" i="272" s="1"/>
  <c r="A44" i="214"/>
  <c r="B58" i="272" s="1"/>
  <c r="A19" i="255"/>
  <c r="B47" i="272" s="1"/>
  <c r="A65" i="236"/>
  <c r="B13" i="272" s="1"/>
  <c r="A62" i="236"/>
  <c r="B10" i="272" s="1"/>
  <c r="A67" i="236"/>
  <c r="B15" i="272" s="1"/>
  <c r="A63" i="236"/>
  <c r="B11" i="272" s="1"/>
  <c r="A64" i="236"/>
  <c r="B12" i="272" s="1"/>
  <c r="A70" i="236"/>
  <c r="B18" i="272" s="1"/>
  <c r="A50" i="240"/>
  <c r="B30" i="272" s="1"/>
  <c r="A61" i="236"/>
  <c r="B9" i="272" s="1"/>
  <c r="A49" i="240"/>
  <c r="B29" i="272" s="1"/>
  <c r="A48" i="240"/>
  <c r="B28" i="272" s="1"/>
  <c r="A38" i="252"/>
  <c r="B42" i="272" s="1"/>
  <c r="A47" i="240"/>
  <c r="B27" i="272" s="1"/>
  <c r="A42" i="214"/>
  <c r="B56" i="272" s="1"/>
  <c r="A43" i="216"/>
  <c r="B77" i="272" s="1"/>
  <c r="A60" i="236"/>
  <c r="B8" i="272" s="1"/>
  <c r="A46" i="214"/>
  <c r="B60" i="272" s="1"/>
  <c r="A71" i="236"/>
  <c r="B19" i="272" s="1"/>
  <c r="A47" i="214"/>
  <c r="B61" i="272" s="1"/>
  <c r="A21" i="255"/>
  <c r="B49" i="272" s="1"/>
  <c r="A56" i="216"/>
  <c r="B90" i="272" s="1"/>
  <c r="A55" i="216"/>
  <c r="B89" i="272" s="1"/>
  <c r="A46" i="240"/>
  <c r="B26" i="272" s="1"/>
  <c r="A59" i="216"/>
  <c r="B93" i="272" s="1"/>
  <c r="A57" i="216"/>
  <c r="B91" i="272" s="1"/>
  <c r="A20" i="255"/>
  <c r="B48" i="272" s="1"/>
  <c r="A54" i="216"/>
  <c r="B88" i="272" s="1"/>
  <c r="A53" i="216"/>
  <c r="B87" i="272" s="1"/>
  <c r="A45" i="240"/>
  <c r="B25" i="272" s="1"/>
  <c r="A72" i="236"/>
  <c r="B20" i="272" s="1"/>
  <c r="A52" i="216"/>
  <c r="B86" i="272" s="1"/>
  <c r="A44" i="240"/>
  <c r="B24" i="272" s="1"/>
  <c r="A45" i="214"/>
  <c r="B59" i="272" s="1"/>
  <c r="A49" i="216"/>
  <c r="B83" i="272" s="1"/>
  <c r="A50" i="216"/>
  <c r="B84" i="272" s="1"/>
  <c r="A47" i="216"/>
  <c r="B81" i="272" s="1"/>
  <c r="A40" i="216"/>
  <c r="B74" i="272" s="1"/>
  <c r="A34" i="216"/>
  <c r="B68" i="272" s="1"/>
  <c r="A43" i="214"/>
  <c r="B57" i="272" s="1"/>
  <c r="A40" i="214"/>
  <c r="B54" i="272" s="1"/>
  <c r="A58" i="216"/>
  <c r="B92" i="272" s="1"/>
  <c r="A44" i="216"/>
  <c r="B78" i="272" s="1"/>
  <c r="A45" i="216"/>
  <c r="B79" i="272" s="1"/>
  <c r="A66" i="236"/>
  <c r="B14" i="272" s="1"/>
  <c r="A68" i="236"/>
  <c r="B16" i="272" s="1"/>
  <c r="A41" i="240"/>
  <c r="B41" i="270" s="1"/>
  <c r="A40" i="240"/>
  <c r="B40" i="270" s="1"/>
  <c r="A30" i="214"/>
  <c r="B63" i="270" s="1"/>
  <c r="A39" i="240"/>
  <c r="B39" i="270" s="1"/>
  <c r="A54" i="236"/>
  <c r="B27" i="270" s="1"/>
  <c r="A47" i="236"/>
  <c r="B20" i="270" s="1"/>
  <c r="A45" i="235"/>
  <c r="B14" i="270" s="1"/>
  <c r="A34" i="214"/>
  <c r="B67" i="270" s="1"/>
  <c r="A46" i="235"/>
  <c r="B15" i="270" s="1"/>
  <c r="A35" i="214"/>
  <c r="B68" i="270" s="1"/>
  <c r="A38" i="240"/>
  <c r="B38" i="270" s="1"/>
  <c r="A25" i="214"/>
  <c r="B58" i="270" s="1"/>
  <c r="A48" i="235"/>
  <c r="B17" i="270" s="1"/>
  <c r="A37" i="240"/>
  <c r="B37" i="270" s="1"/>
  <c r="A36" i="240"/>
  <c r="B36" i="270" s="1"/>
  <c r="A56" i="236"/>
  <c r="B29" i="270" s="1"/>
  <c r="A14" i="255"/>
  <c r="B53" i="270" s="1"/>
  <c r="A33" i="214"/>
  <c r="B66" i="270" s="1"/>
  <c r="A31" i="214"/>
  <c r="B64" i="270" s="1"/>
  <c r="A35" i="240"/>
  <c r="B35" i="270" s="1"/>
  <c r="A34" i="240"/>
  <c r="B34" i="270" s="1"/>
  <c r="A12" i="255"/>
  <c r="B51" i="270" s="1"/>
  <c r="A11" i="255"/>
  <c r="B50" i="270" s="1"/>
  <c r="A26" i="214"/>
  <c r="B59" i="270" s="1"/>
  <c r="A36" i="214"/>
  <c r="B69" i="270" s="1"/>
  <c r="A35" i="252"/>
  <c r="B47" i="270" s="1"/>
  <c r="A57" i="236"/>
  <c r="B30" i="270" s="1"/>
  <c r="A55" i="236"/>
  <c r="B28" i="270" s="1"/>
  <c r="A27" i="216"/>
  <c r="B74" i="270" s="1"/>
  <c r="A52" i="236"/>
  <c r="B25" i="270" s="1"/>
  <c r="A26" i="216"/>
  <c r="B73" i="270" s="1"/>
  <c r="A34" i="252"/>
  <c r="B46" i="270" s="1"/>
  <c r="A33" i="252"/>
  <c r="B45" i="270" s="1"/>
  <c r="A50" i="236"/>
  <c r="B23" i="270" s="1"/>
  <c r="A49" i="236"/>
  <c r="B22" i="270" s="1"/>
  <c r="A48" i="236"/>
  <c r="B21" i="270" s="1"/>
  <c r="A32" i="252"/>
  <c r="B44" i="270" s="1"/>
  <c r="A15" i="255"/>
  <c r="B54" i="270" s="1"/>
  <c r="A47" i="235"/>
  <c r="B16" i="270" s="1"/>
  <c r="A44" i="235"/>
  <c r="B13" i="270" s="1"/>
  <c r="A43" i="235"/>
  <c r="B12" i="270" s="1"/>
  <c r="A42" i="235"/>
  <c r="B11" i="270" s="1"/>
  <c r="A53" i="236"/>
  <c r="B26" i="270" s="1"/>
  <c r="A28" i="216"/>
  <c r="B75" i="270" s="1"/>
  <c r="A32" i="214"/>
  <c r="B65" i="270" s="1"/>
  <c r="A29" i="214"/>
  <c r="B62" i="270" s="1"/>
  <c r="A41" i="235"/>
  <c r="B10" i="270" s="1"/>
  <c r="A13" i="255"/>
  <c r="B52" i="270" s="1"/>
  <c r="A28" i="214"/>
  <c r="B61" i="270" s="1"/>
  <c r="A40" i="235"/>
  <c r="B9" i="270" s="1"/>
  <c r="A51" i="236"/>
  <c r="B24" i="270" s="1"/>
  <c r="A39" i="235"/>
  <c r="B8" i="270" s="1"/>
  <c r="A27" i="214"/>
  <c r="B60" i="270" s="1"/>
  <c r="A33" i="240"/>
  <c r="B33" i="270" s="1"/>
  <c r="A24" i="214"/>
  <c r="B57" i="270" s="1"/>
  <c r="A25" i="216"/>
  <c r="B72" i="270" s="1"/>
  <c r="A8" i="255"/>
  <c r="B52" i="271" s="1"/>
  <c r="A24" i="240"/>
  <c r="B40" i="271" s="1"/>
  <c r="A42" i="236"/>
  <c r="B29" i="271" s="1"/>
  <c r="A19" i="240"/>
  <c r="B35" i="271" s="1"/>
  <c r="A25" i="240"/>
  <c r="B41" i="271" s="1"/>
  <c r="A20" i="240"/>
  <c r="B36" i="271" s="1"/>
  <c r="A44" i="236"/>
  <c r="B31" i="271" s="1"/>
  <c r="A29" i="240"/>
  <c r="B45" i="271" s="1"/>
  <c r="A36" i="236"/>
  <c r="B23" i="271" s="1"/>
  <c r="A19" i="214"/>
  <c r="B69" i="271" s="1"/>
  <c r="A28" i="235"/>
  <c r="B8" i="271" s="1"/>
  <c r="A29" i="235"/>
  <c r="B9" i="271" s="1"/>
  <c r="A22" i="240"/>
  <c r="B38" i="271" s="1"/>
  <c r="A38" i="236"/>
  <c r="B25" i="271" s="1"/>
  <c r="A23" i="240"/>
  <c r="B39" i="271" s="1"/>
  <c r="A26" i="240"/>
  <c r="B42" i="271" s="1"/>
  <c r="A9" i="214"/>
  <c r="B59" i="271" s="1"/>
  <c r="A41" i="236"/>
  <c r="B28" i="271" s="1"/>
  <c r="A17" i="214"/>
  <c r="B67" i="271" s="1"/>
  <c r="A11" i="214"/>
  <c r="B61" i="271" s="1"/>
  <c r="A18" i="214"/>
  <c r="B68" i="271" s="1"/>
  <c r="A15" i="214"/>
  <c r="B65" i="271" s="1"/>
  <c r="A39" i="236"/>
  <c r="B26" i="271" s="1"/>
  <c r="A37" i="236"/>
  <c r="B24" i="271" s="1"/>
  <c r="A36" i="235"/>
  <c r="B16" i="271" s="1"/>
  <c r="A33" i="236"/>
  <c r="B20" i="271" s="1"/>
  <c r="A14" i="217"/>
  <c r="B97" i="271" s="1"/>
  <c r="A13" i="217"/>
  <c r="B96" i="271" s="1"/>
  <c r="A12" i="217"/>
  <c r="B95" i="271" s="1"/>
  <c r="A32" i="235"/>
  <c r="B12" i="271" s="1"/>
  <c r="A30" i="235"/>
  <c r="B10" i="271" s="1"/>
  <c r="A31" i="235"/>
  <c r="B11" i="271" s="1"/>
  <c r="A35" i="235"/>
  <c r="B15" i="271" s="1"/>
  <c r="A34" i="235"/>
  <c r="B14" i="271" s="1"/>
  <c r="A33" i="235"/>
  <c r="B13" i="271" s="1"/>
  <c r="A18" i="217"/>
  <c r="B101" i="271" s="1"/>
  <c r="A9" i="217"/>
  <c r="B92" i="271" s="1"/>
  <c r="A8" i="217"/>
  <c r="B91" i="271" s="1"/>
  <c r="A7" i="217"/>
  <c r="B90" i="271" s="1"/>
  <c r="A6" i="217"/>
  <c r="B89" i="271" s="1"/>
  <c r="A16" i="217"/>
  <c r="B99" i="271" s="1"/>
  <c r="A19" i="217"/>
  <c r="B102" i="271" s="1"/>
  <c r="A17" i="217"/>
  <c r="B100" i="271" s="1"/>
  <c r="A15" i="217"/>
  <c r="B98" i="271" s="1"/>
  <c r="A10" i="217"/>
  <c r="B93" i="271" s="1"/>
  <c r="A11" i="217"/>
  <c r="B94" i="271" s="1"/>
  <c r="A10" i="214"/>
  <c r="B60" i="271" s="1"/>
  <c r="A14" i="214"/>
  <c r="B64" i="271" s="1"/>
  <c r="A16" i="214"/>
  <c r="B66" i="271" s="1"/>
  <c r="A30" i="240"/>
  <c r="B46" i="271" s="1"/>
  <c r="A19" i="216"/>
  <c r="B82" i="271" s="1"/>
  <c r="A20" i="216"/>
  <c r="B83" i="271" s="1"/>
  <c r="A21" i="240"/>
  <c r="B37" i="271" s="1"/>
  <c r="A13" i="214"/>
  <c r="B63" i="271" s="1"/>
  <c r="A21" i="214"/>
  <c r="B71" i="271" s="1"/>
  <c r="A12" i="214"/>
  <c r="B62" i="271" s="1"/>
  <c r="A21" i="216"/>
  <c r="B84" i="271" s="1"/>
  <c r="A22" i="216"/>
  <c r="B85" i="271" s="1"/>
  <c r="A18" i="216"/>
  <c r="B81" i="271" s="1"/>
  <c r="A34" i="236"/>
  <c r="B21" i="271" s="1"/>
  <c r="A11" i="216"/>
  <c r="B74" i="271" s="1"/>
  <c r="A16" i="216"/>
  <c r="B79" i="271" s="1"/>
  <c r="A15" i="216"/>
  <c r="B78" i="271" s="1"/>
  <c r="A13" i="216"/>
  <c r="B76" i="271" s="1"/>
  <c r="A14" i="216"/>
  <c r="B77" i="271" s="1"/>
  <c r="A12" i="216"/>
  <c r="B75" i="271" s="1"/>
  <c r="A27" i="240"/>
  <c r="B43" i="271" s="1"/>
  <c r="A18" i="240"/>
  <c r="B34" i="271" s="1"/>
  <c r="A43" i="236"/>
  <c r="B30" i="271" s="1"/>
  <c r="A35" i="236"/>
  <c r="B22" i="271" s="1"/>
  <c r="A6" i="255"/>
  <c r="B50" i="271" s="1"/>
  <c r="A7" i="255"/>
  <c r="B51" i="271" s="1"/>
  <c r="A17" i="216"/>
  <c r="B80" i="271" s="1"/>
  <c r="A40" i="236"/>
  <c r="B27" i="271" s="1"/>
  <c r="A32" i="236"/>
  <c r="B19" i="271" s="1"/>
  <c r="A20" i="214"/>
  <c r="B70" i="271" s="1"/>
  <c r="A8" i="214"/>
  <c r="B58" i="271" s="1"/>
  <c r="A7" i="214"/>
  <c r="B57" i="271" s="1"/>
  <c r="A6" i="214"/>
  <c r="B56" i="271" s="1"/>
  <c r="A28" i="240"/>
  <c r="B44" i="271" s="1"/>
  <c r="A27" i="235"/>
  <c r="A28" i="236"/>
  <c r="B13" i="266" s="1"/>
  <c r="A8" i="216"/>
  <c r="B62" i="266" s="1"/>
  <c r="A7" i="216"/>
  <c r="B61" i="266" s="1"/>
  <c r="A26" i="252"/>
  <c r="B31" i="266" s="1"/>
  <c r="A27" i="236"/>
  <c r="B12" i="266" s="1"/>
  <c r="A25" i="252"/>
  <c r="B30" i="266" s="1"/>
  <c r="A15" i="240"/>
  <c r="B20" i="266" s="1"/>
  <c r="A24" i="235"/>
  <c r="B8" i="266" s="1"/>
  <c r="A24" i="252"/>
  <c r="B29" i="266" s="1"/>
  <c r="A29" i="236"/>
  <c r="B14" i="266" s="1"/>
  <c r="A29" i="252"/>
  <c r="B34" i="266" s="1"/>
  <c r="A6" i="216"/>
  <c r="B60" i="266" s="1"/>
  <c r="A27" i="252"/>
  <c r="B32" i="266" s="1"/>
  <c r="A13" i="240"/>
  <c r="B18" i="266" s="1"/>
  <c r="A28" i="252"/>
  <c r="B33" i="266" s="1"/>
  <c r="A14" i="240"/>
  <c r="B19" i="266" s="1"/>
  <c r="A6" i="246"/>
  <c r="B24" i="266" s="1"/>
  <c r="A6" i="225"/>
  <c r="B37" i="266" s="1"/>
  <c r="A25" i="225"/>
  <c r="B56" i="266" s="1"/>
  <c r="A24" i="225"/>
  <c r="B55" i="266" s="1"/>
  <c r="A23" i="225"/>
  <c r="B54" i="266" s="1"/>
  <c r="A22" i="225"/>
  <c r="B53" i="266" s="1"/>
  <c r="A21" i="225"/>
  <c r="B52" i="266" s="1"/>
  <c r="A20" i="225"/>
  <c r="B51" i="266" s="1"/>
  <c r="A19" i="225"/>
  <c r="B50" i="266" s="1"/>
  <c r="A18" i="225"/>
  <c r="B49" i="266" s="1"/>
  <c r="A17" i="225"/>
  <c r="B48" i="266" s="1"/>
  <c r="A16" i="225"/>
  <c r="B47" i="266" s="1"/>
  <c r="A11" i="225"/>
  <c r="B42" i="266" s="1"/>
  <c r="A10" i="225"/>
  <c r="B41" i="266" s="1"/>
  <c r="A9" i="225"/>
  <c r="B40" i="266" s="1"/>
  <c r="A8" i="225"/>
  <c r="B39" i="266" s="1"/>
  <c r="A7" i="225"/>
  <c r="B38" i="266" s="1"/>
  <c r="A15" i="225"/>
  <c r="B46" i="266" s="1"/>
  <c r="A14" i="225"/>
  <c r="B45" i="266" s="1"/>
  <c r="A12" i="225"/>
  <c r="B43" i="266" s="1"/>
  <c r="A13" i="225"/>
  <c r="B44" i="266" s="1"/>
  <c r="A7" i="246"/>
  <c r="B25" i="266" s="1"/>
  <c r="A6" i="261"/>
  <c r="B27" i="268" s="1"/>
  <c r="A8" i="240"/>
  <c r="B15" i="268" s="1"/>
  <c r="A9" i="240"/>
  <c r="B16" i="268" s="1"/>
  <c r="A18" i="252"/>
  <c r="B20" i="268" s="1"/>
  <c r="A21" i="235"/>
  <c r="B10" i="268" s="1"/>
  <c r="A19" i="252"/>
  <c r="B21" i="268" s="1"/>
  <c r="A7" i="240"/>
  <c r="B14" i="268" s="1"/>
  <c r="A10" i="240"/>
  <c r="B17" i="268" s="1"/>
  <c r="A21" i="252"/>
  <c r="B23" i="268" s="1"/>
  <c r="A6" i="240"/>
  <c r="B13" i="268" s="1"/>
  <c r="A20" i="235"/>
  <c r="B9" i="268" s="1"/>
  <c r="A20" i="252"/>
  <c r="B22" i="268" s="1"/>
  <c r="A19" i="235"/>
  <c r="B8" i="268" s="1"/>
  <c r="A183" i="242"/>
  <c r="B361" i="276" s="1"/>
  <c r="A128" i="242"/>
  <c r="A18" i="236"/>
  <c r="A127" i="242"/>
  <c r="A64" i="242"/>
  <c r="A63" i="242"/>
  <c r="A62" i="242"/>
  <c r="A15" i="229"/>
  <c r="A174" i="242"/>
  <c r="A24" i="258"/>
  <c r="A9" i="254"/>
  <c r="A12" i="239"/>
  <c r="A97" i="242"/>
  <c r="A11" i="247"/>
  <c r="A65" i="242"/>
  <c r="B243" i="276" s="1"/>
  <c r="A11" i="241"/>
  <c r="A44" i="242"/>
  <c r="B223" i="276" s="1"/>
  <c r="A8" i="211"/>
  <c r="A15" i="242"/>
  <c r="A11" i="231"/>
  <c r="A10" i="254"/>
  <c r="A11" i="254"/>
  <c r="A8" i="219"/>
  <c r="A10" i="231"/>
  <c r="A9" i="231"/>
  <c r="A9" i="219"/>
  <c r="A7" i="237"/>
  <c r="A9" i="211"/>
  <c r="A7" i="219"/>
  <c r="A8" i="231"/>
  <c r="A7" i="231"/>
  <c r="A6" i="219"/>
  <c r="A6" i="231"/>
  <c r="A162" i="242"/>
  <c r="A157" i="242"/>
  <c r="A12" i="254"/>
  <c r="A138" i="242"/>
  <c r="A9" i="251"/>
  <c r="A82" i="242"/>
  <c r="A11" i="250"/>
  <c r="A37" i="242"/>
  <c r="A36" i="242"/>
  <c r="A35" i="242"/>
  <c r="A10" i="242"/>
  <c r="A15" i="252"/>
  <c r="A19" i="212"/>
  <c r="A17" i="212"/>
  <c r="A18" i="212"/>
  <c r="A172" i="242"/>
  <c r="A24" i="236"/>
  <c r="A171" i="242"/>
  <c r="A23" i="236"/>
  <c r="A170" i="242"/>
  <c r="A22" i="236"/>
  <c r="A14" i="252"/>
  <c r="A13" i="252"/>
  <c r="A21" i="236"/>
  <c r="B129" i="276" s="1"/>
  <c r="A20" i="236"/>
  <c r="B128" i="276" s="1"/>
  <c r="A163" i="242"/>
  <c r="A19" i="236"/>
  <c r="B127" i="276" s="1"/>
  <c r="A95" i="242"/>
  <c r="A16" i="235"/>
  <c r="A10" i="244"/>
  <c r="A147" i="242"/>
  <c r="A7" i="244"/>
  <c r="A146" i="242"/>
  <c r="A11" i="244"/>
  <c r="A9" i="244"/>
  <c r="A8" i="244"/>
  <c r="A6" i="244"/>
  <c r="A145" i="242"/>
  <c r="A12" i="252"/>
  <c r="B471" i="276" s="1"/>
  <c r="A17" i="236"/>
  <c r="A16" i="236"/>
  <c r="B124" i="276" s="1"/>
  <c r="A15" i="236"/>
  <c r="B123" i="276" s="1"/>
  <c r="A14" i="236"/>
  <c r="B122" i="276" s="1"/>
  <c r="A118" i="242"/>
  <c r="A13" i="236"/>
  <c r="B121" i="276" s="1"/>
  <c r="A12" i="236"/>
  <c r="B120" i="276" s="1"/>
  <c r="A11" i="236"/>
  <c r="B119" i="276" s="1"/>
  <c r="A10" i="236"/>
  <c r="A9" i="236"/>
  <c r="A11" i="252"/>
  <c r="A103" i="242"/>
  <c r="A100" i="242"/>
  <c r="B278" i="276" s="1"/>
  <c r="A99" i="242"/>
  <c r="A15" i="235"/>
  <c r="A14" i="235"/>
  <c r="A13" i="235"/>
  <c r="A12" i="235"/>
  <c r="A11" i="235"/>
  <c r="A93" i="242"/>
  <c r="A92" i="242"/>
  <c r="A10" i="235"/>
  <c r="A9" i="235"/>
  <c r="A8" i="235"/>
  <c r="A83" i="242"/>
  <c r="A10" i="252"/>
  <c r="A9" i="252"/>
  <c r="A8" i="236"/>
  <c r="B116" i="276" s="1"/>
  <c r="A7" i="236"/>
  <c r="B115" i="276" s="1"/>
  <c r="A70" i="242"/>
  <c r="A6" i="236"/>
  <c r="A67" i="242"/>
  <c r="A48" i="242"/>
  <c r="A10" i="212"/>
  <c r="A9" i="212"/>
  <c r="A8" i="212"/>
  <c r="A7" i="212"/>
  <c r="A45" i="242"/>
  <c r="B224" i="276" s="1"/>
  <c r="A40" i="242"/>
  <c r="A8" i="252"/>
  <c r="A11" i="242"/>
  <c r="A7" i="235"/>
  <c r="A9" i="242"/>
  <c r="A6" i="235"/>
  <c r="A8" i="242"/>
  <c r="A7" i="252"/>
  <c r="A6" i="252"/>
  <c r="A7" i="242"/>
  <c r="A6" i="242"/>
  <c r="A26" i="258"/>
  <c r="A12" i="251"/>
  <c r="A25" i="258"/>
  <c r="A23" i="258"/>
  <c r="A21" i="258"/>
  <c r="A20" i="258"/>
  <c r="A18" i="258"/>
  <c r="A17" i="258"/>
  <c r="A16" i="258"/>
  <c r="A12" i="208"/>
  <c r="A15" i="258"/>
  <c r="A14" i="258"/>
  <c r="A13" i="258"/>
  <c r="A10" i="208"/>
  <c r="A12" i="258"/>
  <c r="A9" i="208"/>
  <c r="A11" i="258"/>
  <c r="A10" i="258"/>
  <c r="A9" i="258"/>
  <c r="A8" i="258"/>
  <c r="A7" i="258"/>
  <c r="A6" i="258"/>
  <c r="A33" i="264"/>
  <c r="A194" i="242"/>
  <c r="A193" i="242"/>
  <c r="A16" i="239"/>
  <c r="A18" i="238"/>
  <c r="A22" i="208"/>
  <c r="A21" i="208"/>
  <c r="A180" i="242"/>
  <c r="A177" i="242"/>
  <c r="A28" i="264"/>
  <c r="A17" i="238"/>
  <c r="A176" i="242"/>
  <c r="B354" i="276" s="1"/>
  <c r="A167" i="242"/>
  <c r="A14" i="239"/>
  <c r="A143" i="242"/>
  <c r="A144" i="242"/>
  <c r="A131" i="242"/>
  <c r="A23" i="264"/>
  <c r="A20" i="264"/>
  <c r="A13" i="222"/>
  <c r="A12" i="222"/>
  <c r="A14" i="264"/>
  <c r="A15" i="238"/>
  <c r="A14" i="238"/>
  <c r="A13" i="238"/>
  <c r="A9" i="239"/>
  <c r="A8" i="239"/>
  <c r="A12" i="238"/>
  <c r="A11" i="238"/>
  <c r="A10" i="238"/>
  <c r="A8" i="238"/>
  <c r="A9" i="238"/>
  <c r="A59" i="242"/>
  <c r="A41" i="242"/>
  <c r="B220" i="276" s="1"/>
  <c r="A7" i="239"/>
  <c r="A6" i="238"/>
  <c r="A32" i="242"/>
  <c r="A6" i="239"/>
  <c r="A14" i="242"/>
  <c r="B193" i="276" s="1"/>
  <c r="A6" i="256"/>
  <c r="A13" i="211"/>
  <c r="A12" i="211"/>
  <c r="A16" i="206"/>
  <c r="A150" i="242"/>
  <c r="A17" i="232"/>
  <c r="A18" i="264"/>
  <c r="A14" i="226"/>
  <c r="A9" i="256"/>
  <c r="A12" i="264"/>
  <c r="A11" i="264"/>
  <c r="A7" i="254"/>
  <c r="A12" i="206"/>
  <c r="A11" i="206"/>
  <c r="A8" i="208"/>
  <c r="A60" i="242"/>
  <c r="B238" i="276" s="1"/>
  <c r="A9" i="260"/>
  <c r="A12" i="241"/>
  <c r="B176" i="276" s="1"/>
  <c r="A58" i="242"/>
  <c r="A18" i="243"/>
  <c r="A27" i="243"/>
  <c r="A16" i="247"/>
  <c r="A15" i="247"/>
  <c r="A14" i="247"/>
  <c r="A13" i="247"/>
  <c r="A12" i="247"/>
  <c r="A19" i="242"/>
  <c r="B198" i="276" s="1"/>
  <c r="A20" i="242"/>
  <c r="B199" i="276" s="1"/>
  <c r="A18" i="241"/>
  <c r="A20" i="228"/>
  <c r="A18" i="228"/>
  <c r="A16" i="212"/>
  <c r="A18" i="232"/>
  <c r="A14" i="215"/>
  <c r="A22" i="258"/>
  <c r="A134" i="242"/>
  <c r="A12" i="209"/>
  <c r="A133" i="242"/>
  <c r="A24" i="264"/>
  <c r="A9" i="248"/>
  <c r="A120" i="242"/>
  <c r="A119" i="242"/>
  <c r="A14" i="207"/>
  <c r="A111" i="242"/>
  <c r="A14" i="232"/>
  <c r="A12" i="215"/>
  <c r="A11" i="211"/>
  <c r="A107" i="242"/>
  <c r="A10" i="211"/>
  <c r="A8" i="254"/>
  <c r="A13" i="212"/>
  <c r="A12" i="212"/>
  <c r="A14" i="210"/>
  <c r="A8" i="232"/>
  <c r="A30" i="242"/>
  <c r="A175" i="242"/>
  <c r="A17" i="228"/>
  <c r="A9" i="209"/>
  <c r="A33" i="242"/>
  <c r="A6" i="228"/>
  <c r="A6" i="205"/>
  <c r="A14" i="254"/>
  <c r="A173" i="242"/>
  <c r="A168" i="242"/>
  <c r="A13" i="254"/>
  <c r="A15" i="212"/>
  <c r="A123" i="242"/>
  <c r="B301" i="276" s="1"/>
  <c r="A115" i="242"/>
  <c r="B293" i="276" s="1"/>
  <c r="A14" i="212"/>
  <c r="A84" i="242"/>
  <c r="A28" i="243"/>
  <c r="A8" i="245"/>
  <c r="A15" i="222"/>
  <c r="A10" i="209"/>
  <c r="A23" i="243"/>
  <c r="A8" i="227"/>
  <c r="A6" i="227"/>
  <c r="A68" i="242"/>
  <c r="A6" i="213"/>
  <c r="A12" i="243"/>
  <c r="A181" i="242"/>
  <c r="B359" i="276" s="1"/>
  <c r="A158" i="242"/>
  <c r="A142" i="242"/>
  <c r="A141" i="242"/>
  <c r="A140" i="242"/>
  <c r="A139" i="242"/>
  <c r="A137" i="242"/>
  <c r="A130" i="242"/>
  <c r="A129" i="242"/>
  <c r="A125" i="242"/>
  <c r="A121" i="242"/>
  <c r="A96" i="242"/>
  <c r="B274" i="276" s="1"/>
  <c r="A8" i="205"/>
  <c r="A90" i="242"/>
  <c r="B268" i="276" s="1"/>
  <c r="A89" i="242"/>
  <c r="B267" i="276" s="1"/>
  <c r="A74" i="242"/>
  <c r="A11" i="208"/>
  <c r="A61" i="242"/>
  <c r="A51" i="242"/>
  <c r="A50" i="242"/>
  <c r="A49" i="242"/>
  <c r="B228" i="276" s="1"/>
  <c r="A8" i="207"/>
  <c r="A7" i="260"/>
  <c r="A6" i="260"/>
  <c r="A34" i="242"/>
  <c r="A7" i="256"/>
  <c r="A21" i="242"/>
  <c r="A192" i="242"/>
  <c r="A191" i="242"/>
  <c r="A190" i="242"/>
  <c r="A17" i="241"/>
  <c r="A21" i="226"/>
  <c r="A189" i="242"/>
  <c r="B367" i="276" s="1"/>
  <c r="A16" i="241"/>
  <c r="B179" i="276" s="1"/>
  <c r="A20" i="232"/>
  <c r="A188" i="242"/>
  <c r="A10" i="256"/>
  <c r="A19" i="232"/>
  <c r="A20" i="226"/>
  <c r="A12" i="263"/>
  <c r="A179" i="242"/>
  <c r="A11" i="251"/>
  <c r="A166" i="242"/>
  <c r="A27" i="264"/>
  <c r="A26" i="264"/>
  <c r="A159" i="242"/>
  <c r="A152" i="242"/>
  <c r="A9" i="227"/>
  <c r="A9" i="263"/>
  <c r="A13" i="250"/>
  <c r="A132" i="242"/>
  <c r="A117" i="242"/>
  <c r="A26" i="243"/>
  <c r="A116" i="242"/>
  <c r="A10" i="222"/>
  <c r="A15" i="206"/>
  <c r="A11" i="215"/>
  <c r="A8" i="263"/>
  <c r="A13" i="241"/>
  <c r="A91" i="242"/>
  <c r="A11" i="232"/>
  <c r="A10" i="215"/>
  <c r="A7" i="227"/>
  <c r="A21" i="243"/>
  <c r="A72" i="242"/>
  <c r="B250" i="276" s="1"/>
  <c r="A7" i="205"/>
  <c r="A10" i="250"/>
  <c r="A6" i="223"/>
  <c r="A8" i="250"/>
  <c r="A6" i="263"/>
  <c r="A43" i="242"/>
  <c r="A42" i="242"/>
  <c r="B221" i="276" s="1"/>
  <c r="A17" i="243"/>
  <c r="A16" i="243"/>
  <c r="A15" i="243"/>
  <c r="A14" i="243"/>
  <c r="A182" i="242"/>
  <c r="B360" i="276" s="1"/>
  <c r="A12" i="213"/>
  <c r="A11" i="213"/>
  <c r="A16" i="250"/>
  <c r="A13" i="260"/>
  <c r="A126" i="242"/>
  <c r="B304" i="276" s="1"/>
  <c r="A122" i="242"/>
  <c r="B300" i="276" s="1"/>
  <c r="A19" i="264"/>
  <c r="A114" i="242"/>
  <c r="A8" i="248"/>
  <c r="A25" i="243"/>
  <c r="A16" i="226"/>
  <c r="A24" i="243"/>
  <c r="A11" i="229"/>
  <c r="A14" i="222"/>
  <c r="A7" i="248"/>
  <c r="A23" i="210"/>
  <c r="A104" i="242"/>
  <c r="A22" i="210"/>
  <c r="A13" i="239"/>
  <c r="A11" i="222"/>
  <c r="A13" i="226"/>
  <c r="A9" i="213"/>
  <c r="A10" i="239"/>
  <c r="A88" i="242"/>
  <c r="A87" i="242"/>
  <c r="A11" i="226"/>
  <c r="A10" i="226"/>
  <c r="A85" i="242"/>
  <c r="A7" i="245"/>
  <c r="A11" i="207"/>
  <c r="A10" i="260"/>
  <c r="A9" i="226"/>
  <c r="A8" i="226"/>
  <c r="A8" i="209"/>
  <c r="A20" i="243"/>
  <c r="A10" i="206"/>
  <c r="A8" i="222"/>
  <c r="A66" i="242"/>
  <c r="A6" i="248"/>
  <c r="A6" i="237"/>
  <c r="A9" i="232"/>
  <c r="A7" i="215"/>
  <c r="A10" i="265"/>
  <c r="A10" i="247"/>
  <c r="A8" i="260"/>
  <c r="A57" i="242"/>
  <c r="A9" i="247"/>
  <c r="A13" i="210"/>
  <c r="A8" i="247"/>
  <c r="A9" i="228"/>
  <c r="A9" i="265"/>
  <c r="A11" i="259"/>
  <c r="A56" i="242"/>
  <c r="A8" i="233"/>
  <c r="A7" i="208"/>
  <c r="A55" i="242"/>
  <c r="B233" i="276" s="1"/>
  <c r="A7" i="238"/>
  <c r="A6" i="208"/>
  <c r="A12" i="210"/>
  <c r="A8" i="265"/>
  <c r="A10" i="264"/>
  <c r="A11" i="212"/>
  <c r="A7" i="232"/>
  <c r="A54" i="242"/>
  <c r="A53" i="242"/>
  <c r="A9" i="250"/>
  <c r="A9" i="259"/>
  <c r="A16" i="218"/>
  <c r="A8" i="228"/>
  <c r="A6" i="222"/>
  <c r="A6" i="254"/>
  <c r="A6" i="241"/>
  <c r="B171" i="276" s="1"/>
  <c r="A7" i="211"/>
  <c r="A29" i="242"/>
  <c r="B208" i="276" s="1"/>
  <c r="A6" i="211"/>
  <c r="A27" i="242"/>
  <c r="A28" i="242"/>
  <c r="A7" i="247"/>
  <c r="A6" i="233"/>
  <c r="A11" i="218"/>
  <c r="A11" i="210"/>
  <c r="A9" i="229"/>
  <c r="A10" i="218"/>
  <c r="A9" i="210"/>
  <c r="A8" i="229"/>
  <c r="A8" i="210"/>
  <c r="A10" i="210"/>
  <c r="A6" i="250"/>
  <c r="A6" i="247"/>
  <c r="A9" i="218"/>
  <c r="A8" i="218"/>
  <c r="A7" i="218"/>
  <c r="A6" i="207"/>
  <c r="A26" i="242"/>
  <c r="B205" i="276" s="1"/>
  <c r="A25" i="242"/>
  <c r="A7" i="265"/>
  <c r="A18" i="242"/>
  <c r="A13" i="242"/>
  <c r="A12" i="242"/>
  <c r="A16" i="222"/>
  <c r="A9" i="245"/>
  <c r="A178" i="242"/>
  <c r="B356" i="276" s="1"/>
  <c r="A20" i="208"/>
  <c r="A19" i="226"/>
  <c r="A32" i="78"/>
  <c r="A10" i="263"/>
  <c r="A16" i="228"/>
  <c r="A18" i="226"/>
  <c r="A10" i="248"/>
  <c r="A16" i="232"/>
  <c r="A17" i="226"/>
  <c r="A14" i="218"/>
  <c r="A15" i="250"/>
  <c r="A14" i="250"/>
  <c r="A136" i="242"/>
  <c r="A12" i="259"/>
  <c r="A135" i="242"/>
  <c r="A15" i="264"/>
  <c r="A110" i="242"/>
  <c r="A9" i="205"/>
  <c r="A19" i="258"/>
  <c r="A12" i="228"/>
  <c r="A13" i="228"/>
  <c r="A14" i="228"/>
  <c r="A16" i="238"/>
  <c r="A14" i="206"/>
  <c r="A12" i="226"/>
  <c r="A14" i="241"/>
  <c r="A81" i="242"/>
  <c r="B259" i="276" s="1"/>
  <c r="A9" i="215"/>
  <c r="A9" i="222"/>
  <c r="A12" i="250"/>
  <c r="A8" i="215"/>
  <c r="A76" i="242"/>
  <c r="A10" i="207"/>
  <c r="A75" i="242"/>
  <c r="B253" i="276" s="1"/>
  <c r="A11" i="228"/>
  <c r="A73" i="242"/>
  <c r="A9" i="207"/>
  <c r="A69" i="242"/>
  <c r="A7" i="222"/>
  <c r="A19" i="243"/>
  <c r="A17" i="242"/>
  <c r="A16" i="242"/>
  <c r="A6" i="251"/>
  <c r="A186" i="242"/>
  <c r="A185" i="242"/>
  <c r="A184" i="242"/>
  <c r="A19" i="208"/>
  <c r="A18" i="208"/>
  <c r="A25" i="264"/>
  <c r="A17" i="208"/>
  <c r="A15" i="226"/>
  <c r="A13" i="215"/>
  <c r="A11" i="209"/>
  <c r="A18" i="210"/>
  <c r="A16" i="208"/>
  <c r="A15" i="208"/>
  <c r="A14" i="208"/>
  <c r="A13" i="208"/>
  <c r="A6" i="253"/>
  <c r="B478" i="276" s="1"/>
  <c r="A11" i="260"/>
  <c r="A13" i="264"/>
  <c r="A12" i="207"/>
  <c r="A16" i="229"/>
  <c r="A32" i="264"/>
  <c r="A31" i="264"/>
  <c r="A30" i="264"/>
  <c r="A29" i="264"/>
  <c r="A15" i="218"/>
  <c r="A11" i="263"/>
  <c r="A19" i="228"/>
  <c r="A9" i="233"/>
  <c r="A161" i="242"/>
  <c r="A10" i="251"/>
  <c r="A160" i="242"/>
  <c r="A14" i="229"/>
  <c r="A15" i="209"/>
  <c r="A13" i="229"/>
  <c r="A14" i="209"/>
  <c r="A14" i="260"/>
  <c r="A10" i="234"/>
  <c r="A156" i="242"/>
  <c r="A151" i="242"/>
  <c r="A29" i="210"/>
  <c r="A28" i="210"/>
  <c r="A27" i="210"/>
  <c r="A26" i="210"/>
  <c r="A25" i="210"/>
  <c r="A24" i="210"/>
  <c r="A12" i="260"/>
  <c r="A10" i="213"/>
  <c r="A124" i="242"/>
  <c r="B302" i="276" s="1"/>
  <c r="A22" i="264"/>
  <c r="A21" i="264"/>
  <c r="A17" i="264"/>
  <c r="A16" i="264"/>
  <c r="A113" i="242"/>
  <c r="B291" i="276" s="1"/>
  <c r="A112" i="242"/>
  <c r="B290" i="276" s="1"/>
  <c r="A15" i="232"/>
  <c r="A13" i="207"/>
  <c r="A8" i="251"/>
  <c r="A7" i="251"/>
  <c r="A109" i="242"/>
  <c r="A108" i="242"/>
  <c r="A106" i="242"/>
  <c r="A13" i="232"/>
  <c r="A105" i="242"/>
  <c r="A12" i="232"/>
  <c r="A102" i="242"/>
  <c r="A101" i="242"/>
  <c r="A21" i="210"/>
  <c r="A20" i="210"/>
  <c r="A19" i="210"/>
  <c r="A17" i="210"/>
  <c r="A16" i="210"/>
  <c r="A15" i="210"/>
  <c r="A11" i="239"/>
  <c r="A98" i="242"/>
  <c r="A9" i="234"/>
  <c r="A94" i="242"/>
  <c r="A86" i="242"/>
  <c r="B264" i="276" s="1"/>
  <c r="A78" i="242"/>
  <c r="B256" i="276" s="1"/>
  <c r="A77" i="242"/>
  <c r="A7" i="263"/>
  <c r="A10" i="228"/>
  <c r="A7" i="209"/>
  <c r="A52" i="242"/>
  <c r="A7" i="213"/>
  <c r="A8" i="213"/>
  <c r="A39" i="242"/>
  <c r="B218" i="276" s="1"/>
  <c r="A38" i="242"/>
  <c r="B217" i="276" s="1"/>
  <c r="A31" i="242"/>
  <c r="B210" i="276" s="1"/>
  <c r="A9" i="264"/>
  <c r="A8" i="264"/>
  <c r="A8" i="234"/>
  <c r="A6" i="212"/>
  <c r="A7" i="264"/>
  <c r="A7" i="234"/>
  <c r="A9" i="206"/>
  <c r="A10" i="241"/>
  <c r="B174" i="267" s="1"/>
  <c r="A7" i="226"/>
  <c r="A23" i="242"/>
  <c r="A24" i="242"/>
  <c r="A6" i="229"/>
  <c r="A7" i="229"/>
  <c r="A6" i="265"/>
  <c r="A6" i="234"/>
  <c r="A7" i="210"/>
  <c r="A8" i="259"/>
  <c r="A22" i="242"/>
  <c r="A6" i="210"/>
  <c r="A7" i="259"/>
  <c r="A6" i="264"/>
  <c r="C640" i="28"/>
  <c r="C636" i="28"/>
  <c r="C632" i="28"/>
  <c r="C628" i="28"/>
  <c r="C624" i="28"/>
  <c r="C620" i="28"/>
  <c r="C616" i="28"/>
  <c r="C612" i="28"/>
  <c r="C608" i="28"/>
  <c r="C604" i="28"/>
  <c r="C600" i="28"/>
  <c r="C596" i="28"/>
  <c r="C592" i="28"/>
  <c r="C588" i="28"/>
  <c r="A584" i="28"/>
  <c r="A580" i="28"/>
  <c r="A576" i="28"/>
  <c r="A572" i="28"/>
  <c r="A568" i="28"/>
  <c r="C560" i="28"/>
  <c r="C456" i="28"/>
  <c r="C448" i="28"/>
  <c r="C440" i="28"/>
  <c r="C424" i="28"/>
  <c r="C416" i="28"/>
  <c r="C408" i="28"/>
  <c r="C392" i="28"/>
  <c r="C384" i="28"/>
  <c r="C376" i="28"/>
  <c r="C360" i="28"/>
  <c r="C352" i="28"/>
  <c r="C344" i="28"/>
  <c r="C328" i="28"/>
  <c r="C320" i="28"/>
  <c r="C312" i="28"/>
  <c r="A292" i="28"/>
  <c r="D284" i="28"/>
  <c r="D244" i="28"/>
  <c r="C232" i="28"/>
  <c r="C188" i="28"/>
  <c r="D148" i="28"/>
  <c r="A40" i="28"/>
  <c r="D36" i="28"/>
  <c r="A28" i="28"/>
  <c r="C1217" i="28"/>
  <c r="A1216" i="28"/>
  <c r="D1214" i="28"/>
  <c r="C1213" i="28"/>
  <c r="A1212" i="28"/>
  <c r="D1210" i="28"/>
  <c r="C1209" i="28"/>
  <c r="A1208" i="28"/>
  <c r="D1206" i="28"/>
  <c r="C1205" i="28"/>
  <c r="A1204" i="28"/>
  <c r="D1202" i="28"/>
  <c r="C1201" i="28"/>
  <c r="A1200" i="28"/>
  <c r="D1198" i="28"/>
  <c r="C1197" i="28"/>
  <c r="A1196" i="28"/>
  <c r="D1194" i="28"/>
  <c r="C1193" i="28"/>
  <c r="A1192" i="28"/>
  <c r="D1190" i="28"/>
  <c r="C1189" i="28"/>
  <c r="A1188" i="28"/>
  <c r="D1186" i="28"/>
  <c r="C1185" i="28"/>
  <c r="A1184" i="28"/>
  <c r="D1182" i="28"/>
  <c r="C1181" i="28"/>
  <c r="A1180" i="28"/>
  <c r="D1178" i="28"/>
  <c r="C1177" i="28"/>
  <c r="A1176" i="28"/>
  <c r="D1174" i="28"/>
  <c r="C1173" i="28"/>
  <c r="A1172" i="28"/>
  <c r="D1170" i="28"/>
  <c r="C1169" i="28"/>
  <c r="A1168" i="28"/>
  <c r="D1166" i="28"/>
  <c r="C1165" i="28"/>
  <c r="A1164" i="28"/>
  <c r="D1162" i="28"/>
  <c r="C1161" i="28"/>
  <c r="A1160" i="28"/>
  <c r="D1158" i="28"/>
  <c r="C1157" i="28"/>
  <c r="A1156" i="28"/>
  <c r="D1154" i="28"/>
  <c r="C1153" i="28"/>
  <c r="A1152" i="28"/>
  <c r="D1150" i="28"/>
  <c r="C1149" i="28"/>
  <c r="A1148" i="28"/>
  <c r="A1147" i="28"/>
  <c r="A1146" i="28"/>
  <c r="A1145" i="28"/>
  <c r="A1144" i="28"/>
  <c r="A1143" i="28"/>
  <c r="A1142" i="28"/>
  <c r="A1141" i="28"/>
  <c r="A1140" i="28"/>
  <c r="A1139" i="28"/>
  <c r="A1138" i="28"/>
  <c r="A1137" i="28"/>
  <c r="A1136" i="28"/>
  <c r="A1135" i="28"/>
  <c r="A1134" i="28"/>
  <c r="A1133" i="28"/>
  <c r="A1132" i="28"/>
  <c r="A1131" i="28"/>
  <c r="A1130" i="28"/>
  <c r="A1129" i="28"/>
  <c r="A1128" i="28"/>
  <c r="A1127" i="28"/>
  <c r="A1126" i="28"/>
  <c r="A1125" i="28"/>
  <c r="A1124" i="28"/>
  <c r="A1123" i="28"/>
  <c r="A1122" i="28"/>
  <c r="A1121" i="28"/>
  <c r="A1120" i="28"/>
  <c r="A1119" i="28"/>
  <c r="A1118" i="28"/>
  <c r="A1117" i="28"/>
  <c r="A1116" i="28"/>
  <c r="A1115" i="28"/>
  <c r="A1114" i="28"/>
  <c r="A1113" i="28"/>
  <c r="A1112" i="28"/>
  <c r="A1111" i="28"/>
  <c r="A1110" i="28"/>
  <c r="A1109" i="28"/>
  <c r="A1108" i="28"/>
  <c r="A1107" i="28"/>
  <c r="A1106" i="28"/>
  <c r="A1105" i="28"/>
  <c r="A1104" i="28"/>
  <c r="A1103" i="28"/>
  <c r="A1102" i="28"/>
  <c r="A1101" i="28"/>
  <c r="A1100" i="28"/>
  <c r="A1099" i="28"/>
  <c r="A1098" i="28"/>
  <c r="A1097" i="28"/>
  <c r="A1096" i="28"/>
  <c r="A1095" i="28"/>
  <c r="A1094" i="28"/>
  <c r="A1093" i="28"/>
  <c r="A1092" i="28"/>
  <c r="A1091" i="28"/>
  <c r="A1090" i="28"/>
  <c r="A1089" i="28"/>
  <c r="A1088" i="28"/>
  <c r="A1087" i="28"/>
  <c r="A1086" i="28"/>
  <c r="A1085" i="28"/>
  <c r="A1084" i="28"/>
  <c r="A1083" i="28"/>
  <c r="A1082" i="28"/>
  <c r="A1081" i="28"/>
  <c r="A1080" i="28"/>
  <c r="A1079" i="28"/>
  <c r="A1078" i="28"/>
  <c r="A1077" i="28"/>
  <c r="A1076" i="28"/>
  <c r="A1075" i="28"/>
  <c r="A1074" i="28"/>
  <c r="A1073" i="28"/>
  <c r="C1055" i="28"/>
  <c r="C1054" i="28"/>
  <c r="C1053" i="28"/>
  <c r="C1052" i="28"/>
  <c r="C1051" i="28"/>
  <c r="C1050" i="28"/>
  <c r="C1049" i="28"/>
  <c r="C1048" i="28"/>
  <c r="C1047" i="28"/>
  <c r="C1046" i="28"/>
  <c r="C1045" i="28"/>
  <c r="C1044" i="28"/>
  <c r="C1043" i="28"/>
  <c r="C1042" i="28"/>
  <c r="C1041" i="28"/>
  <c r="C1040" i="28"/>
  <c r="C1039" i="28"/>
  <c r="C1038" i="28"/>
  <c r="C1037" i="28"/>
  <c r="C1036" i="28"/>
  <c r="C1035" i="28"/>
  <c r="C1034" i="28"/>
  <c r="C1033" i="28"/>
  <c r="C1032" i="28"/>
  <c r="C1031" i="28"/>
  <c r="C1030" i="28"/>
  <c r="C1029" i="28"/>
  <c r="C1028" i="28"/>
  <c r="C1027" i="28"/>
  <c r="C1026" i="28"/>
  <c r="C1025" i="28"/>
  <c r="C1024" i="28"/>
  <c r="C1023" i="28"/>
  <c r="C1022" i="28"/>
  <c r="C1021" i="28"/>
  <c r="C1020" i="28"/>
  <c r="C1019" i="28"/>
  <c r="C1018" i="28"/>
  <c r="C1017" i="28"/>
  <c r="C1016" i="28"/>
  <c r="C1015" i="28"/>
  <c r="C1014" i="28"/>
  <c r="C1013" i="28"/>
  <c r="C1012" i="28"/>
  <c r="C1011" i="28"/>
  <c r="C1010" i="28"/>
  <c r="C1009" i="28"/>
  <c r="C1008" i="28"/>
  <c r="C1007" i="28"/>
  <c r="C1006" i="28"/>
  <c r="C1005" i="28"/>
  <c r="C1004" i="28"/>
  <c r="C1003" i="28"/>
  <c r="C1002" i="28"/>
  <c r="C1001" i="28"/>
  <c r="C1000" i="28"/>
  <c r="C999" i="28"/>
  <c r="C998" i="28"/>
  <c r="C997" i="28"/>
  <c r="C996" i="28"/>
  <c r="C995" i="28"/>
  <c r="C994" i="28"/>
  <c r="C993" i="28"/>
  <c r="C992" i="28"/>
  <c r="C991" i="28"/>
  <c r="C990" i="28"/>
  <c r="C989" i="28"/>
  <c r="C988" i="28"/>
  <c r="C987" i="28"/>
  <c r="C986" i="28"/>
  <c r="C985" i="28"/>
  <c r="C984" i="28"/>
  <c r="C983" i="28"/>
  <c r="C982" i="28"/>
  <c r="C981" i="28"/>
  <c r="C980" i="28"/>
  <c r="C979" i="28"/>
  <c r="C978" i="28"/>
  <c r="C977" i="28"/>
  <c r="C976" i="28"/>
  <c r="C975" i="28"/>
  <c r="C974" i="28"/>
  <c r="C973" i="28"/>
  <c r="C972" i="28"/>
  <c r="C971" i="28"/>
  <c r="C970" i="28"/>
  <c r="C969" i="28"/>
  <c r="C968" i="28"/>
  <c r="C967" i="28"/>
  <c r="C966" i="28"/>
  <c r="C965" i="28"/>
  <c r="C964" i="28"/>
  <c r="C963" i="28"/>
  <c r="C962" i="28"/>
  <c r="C961" i="28"/>
  <c r="C960" i="28"/>
  <c r="C959" i="28"/>
  <c r="C958" i="28"/>
  <c r="C957" i="28"/>
  <c r="C956" i="28"/>
  <c r="C955" i="28"/>
  <c r="C954" i="28"/>
  <c r="C953" i="28"/>
  <c r="C952" i="28"/>
  <c r="C951" i="28"/>
  <c r="C950" i="28"/>
  <c r="C949" i="28"/>
  <c r="C948" i="28"/>
  <c r="C947" i="28"/>
  <c r="C946" i="28"/>
  <c r="C945" i="28"/>
  <c r="C944" i="28"/>
  <c r="C943" i="28"/>
  <c r="C942" i="28"/>
  <c r="C941" i="28"/>
  <c r="C940" i="28"/>
  <c r="C939" i="28"/>
  <c r="C938" i="28"/>
  <c r="C937" i="28"/>
  <c r="C936" i="28"/>
  <c r="C935" i="28"/>
  <c r="C934" i="28"/>
  <c r="C933" i="28"/>
  <c r="C932" i="28"/>
  <c r="C931" i="28"/>
  <c r="C930" i="28"/>
  <c r="C929" i="28"/>
  <c r="C928" i="28"/>
  <c r="C927" i="28"/>
  <c r="C926" i="28"/>
  <c r="C925" i="28"/>
  <c r="C924" i="28"/>
  <c r="C923" i="28"/>
  <c r="C922" i="28"/>
  <c r="C921" i="28"/>
  <c r="C920" i="28"/>
  <c r="C919" i="28"/>
  <c r="C918" i="28"/>
  <c r="C917" i="28"/>
  <c r="C916" i="28"/>
  <c r="C915" i="28"/>
  <c r="C914" i="28"/>
  <c r="C913" i="28"/>
  <c r="C912" i="28"/>
  <c r="C911" i="28"/>
  <c r="C910" i="28"/>
  <c r="C909" i="28"/>
  <c r="C908" i="28"/>
  <c r="C907" i="28"/>
  <c r="C906" i="28"/>
  <c r="C905" i="28"/>
  <c r="C904" i="28"/>
  <c r="C903" i="28"/>
  <c r="C902" i="28"/>
  <c r="C901" i="28"/>
  <c r="C900" i="28"/>
  <c r="C899" i="28"/>
  <c r="C898" i="28"/>
  <c r="C897" i="28"/>
  <c r="C896" i="28"/>
  <c r="C895" i="28"/>
  <c r="C894" i="28"/>
  <c r="C893" i="28"/>
  <c r="C892" i="28"/>
  <c r="C891" i="28"/>
  <c r="C890" i="28"/>
  <c r="C889" i="28"/>
  <c r="C888" i="28"/>
  <c r="C887" i="28"/>
  <c r="C886" i="28"/>
  <c r="C885" i="28"/>
  <c r="C884" i="28"/>
  <c r="C883" i="28"/>
  <c r="C882" i="28"/>
  <c r="C881" i="28"/>
  <c r="C880" i="28"/>
  <c r="C879" i="28"/>
  <c r="C878" i="28"/>
  <c r="C877" i="28"/>
  <c r="C876" i="28"/>
  <c r="C875" i="28"/>
  <c r="C874" i="28"/>
  <c r="C873" i="28"/>
  <c r="C872" i="28"/>
  <c r="C871" i="28"/>
  <c r="C870" i="28"/>
  <c r="C869" i="28"/>
  <c r="C868" i="28"/>
  <c r="C867" i="28"/>
  <c r="C866" i="28"/>
  <c r="C865" i="28"/>
  <c r="C864" i="28"/>
  <c r="C863" i="28"/>
  <c r="C862" i="28"/>
  <c r="C861" i="28"/>
  <c r="C860" i="28"/>
  <c r="C859" i="28"/>
  <c r="C858" i="28"/>
  <c r="C857" i="28"/>
  <c r="C856" i="28"/>
  <c r="C855" i="28"/>
  <c r="C854" i="28"/>
  <c r="C853" i="28"/>
  <c r="C852" i="28"/>
  <c r="C851" i="28"/>
  <c r="C850" i="28"/>
  <c r="C849" i="28"/>
  <c r="C848" i="28"/>
  <c r="C847" i="28"/>
  <c r="C846" i="28"/>
  <c r="C845" i="28"/>
  <c r="C844" i="28"/>
  <c r="C843" i="28"/>
  <c r="C842" i="28"/>
  <c r="C841" i="28"/>
  <c r="C840" i="28"/>
  <c r="C839" i="28"/>
  <c r="C838" i="28"/>
  <c r="C837" i="28"/>
  <c r="C836" i="28"/>
  <c r="C835" i="28"/>
  <c r="C834" i="28"/>
  <c r="C833" i="28"/>
  <c r="C832" i="28"/>
  <c r="C831" i="28"/>
  <c r="C830" i="28"/>
  <c r="C829" i="28"/>
  <c r="C828" i="28"/>
  <c r="C827" i="28"/>
  <c r="C826" i="28"/>
  <c r="C825" i="28"/>
  <c r="C824" i="28"/>
  <c r="C823" i="28"/>
  <c r="C822" i="28"/>
  <c r="C821" i="28"/>
  <c r="C820" i="28"/>
  <c r="C819" i="28"/>
  <c r="C818" i="28"/>
  <c r="C817" i="28"/>
  <c r="C816" i="28"/>
  <c r="C815" i="28"/>
  <c r="C814" i="28"/>
  <c r="C813" i="28"/>
  <c r="C812" i="28"/>
  <c r="C811" i="28"/>
  <c r="C810" i="28"/>
  <c r="C809" i="28"/>
  <c r="C808" i="28"/>
  <c r="C807" i="28"/>
  <c r="C806" i="28"/>
  <c r="C805" i="28"/>
  <c r="C804" i="28"/>
  <c r="C803" i="28"/>
  <c r="C802" i="28"/>
  <c r="C801" i="28"/>
  <c r="C800" i="28"/>
  <c r="C799" i="28"/>
  <c r="C798" i="28"/>
  <c r="C797" i="28"/>
  <c r="C796" i="28"/>
  <c r="C795" i="28"/>
  <c r="C794" i="28"/>
  <c r="C793" i="28"/>
  <c r="C792" i="28"/>
  <c r="C791" i="28"/>
  <c r="C790" i="28"/>
  <c r="C789" i="28"/>
  <c r="C788" i="28"/>
  <c r="C787" i="28"/>
  <c r="C786" i="28"/>
  <c r="C785" i="28"/>
  <c r="C784" i="28"/>
  <c r="C783" i="28"/>
  <c r="C782" i="28"/>
  <c r="C781" i="28"/>
  <c r="C780" i="28"/>
  <c r="A779" i="28"/>
  <c r="D777" i="28"/>
  <c r="C776" i="28"/>
  <c r="A775" i="28"/>
  <c r="D773" i="28"/>
  <c r="C772" i="28"/>
  <c r="A771" i="28"/>
  <c r="D769" i="28"/>
  <c r="C768" i="28"/>
  <c r="A767" i="28"/>
  <c r="D765" i="28"/>
  <c r="C764" i="28"/>
  <c r="A763" i="28"/>
  <c r="D761" i="28"/>
  <c r="C760" i="28"/>
  <c r="A759" i="28"/>
  <c r="D756" i="28"/>
  <c r="C755" i="28"/>
  <c r="A754" i="28"/>
  <c r="D752" i="28"/>
  <c r="C751" i="28"/>
  <c r="A749" i="28"/>
  <c r="D747" i="28"/>
  <c r="C746" i="28"/>
  <c r="A745" i="28"/>
  <c r="D743" i="28"/>
  <c r="C742" i="28"/>
  <c r="A741" i="28"/>
  <c r="D739" i="28"/>
  <c r="C738" i="28"/>
  <c r="A737" i="28"/>
  <c r="D735" i="28"/>
  <c r="C734" i="28"/>
  <c r="A733" i="28"/>
  <c r="D731" i="28"/>
  <c r="C730" i="28"/>
  <c r="A729" i="28"/>
  <c r="D727" i="28"/>
  <c r="C726" i="28"/>
  <c r="A725" i="28"/>
  <c r="D723" i="28"/>
  <c r="C722" i="28"/>
  <c r="A721" i="28"/>
  <c r="D719" i="28"/>
  <c r="C718" i="28"/>
  <c r="A717" i="28"/>
  <c r="D715" i="28"/>
  <c r="C714" i="28"/>
  <c r="A713" i="28"/>
  <c r="D711" i="28"/>
  <c r="C710" i="28"/>
  <c r="A709" i="28"/>
  <c r="D707" i="28"/>
  <c r="C706" i="28"/>
  <c r="A705" i="28"/>
  <c r="D703" i="28"/>
  <c r="C702" i="28"/>
  <c r="A701" i="28"/>
  <c r="D699" i="28"/>
  <c r="C698" i="28"/>
  <c r="A697" i="28"/>
  <c r="D695" i="28"/>
  <c r="C694" i="28"/>
  <c r="A693" i="28"/>
  <c r="D691" i="28"/>
  <c r="C690" i="28"/>
  <c r="A689" i="28"/>
  <c r="D687" i="28"/>
  <c r="C686" i="28"/>
  <c r="A685" i="28"/>
  <c r="D683" i="28"/>
  <c r="C682" i="28"/>
  <c r="A681" i="28"/>
  <c r="D679" i="28"/>
  <c r="C678" i="28"/>
  <c r="A677" i="28"/>
  <c r="D675" i="28"/>
  <c r="C674" i="28"/>
  <c r="A673" i="28"/>
  <c r="D671" i="28"/>
  <c r="C670" i="28"/>
  <c r="A669" i="28"/>
  <c r="D667" i="28"/>
  <c r="C666" i="28"/>
  <c r="A665" i="28"/>
  <c r="D663" i="28"/>
  <c r="C662" i="28"/>
  <c r="A661" i="28"/>
  <c r="D659" i="28"/>
  <c r="C658" i="28"/>
  <c r="A657" i="28"/>
  <c r="D655" i="28"/>
  <c r="C654" i="28"/>
  <c r="A653" i="28"/>
  <c r="D651" i="28"/>
  <c r="C650" i="28"/>
  <c r="A649" i="28"/>
  <c r="D647" i="28"/>
  <c r="D644" i="28"/>
  <c r="C643" i="28"/>
  <c r="A625" i="28"/>
  <c r="A621" i="28"/>
  <c r="A617" i="28"/>
  <c r="A613" i="28"/>
  <c r="A609" i="28"/>
  <c r="A605" i="28"/>
  <c r="A601" i="28"/>
  <c r="A597" i="28"/>
  <c r="A593" i="28"/>
  <c r="A589" i="28"/>
  <c r="A585" i="28"/>
  <c r="A581" i="28"/>
  <c r="C9" i="78"/>
  <c r="A33" i="78"/>
  <c r="A27" i="78"/>
  <c r="C22" i="78"/>
  <c r="A20" i="78"/>
  <c r="C15" i="78"/>
  <c r="A14" i="78"/>
  <c r="A8" i="78"/>
  <c r="C26" i="78"/>
  <c r="C12" i="78"/>
  <c r="A11" i="78"/>
  <c r="A9" i="257"/>
  <c r="B66" i="45" s="1"/>
  <c r="A32" i="255"/>
  <c r="A65" i="240"/>
  <c r="B33" i="45" s="1"/>
  <c r="A60" i="214"/>
  <c r="B76" i="45" s="1"/>
  <c r="A54" i="214"/>
  <c r="B70" i="45" s="1"/>
  <c r="A79" i="236"/>
  <c r="B19" i="45" s="1"/>
  <c r="A26" i="255"/>
  <c r="A30" i="255"/>
  <c r="A14" i="234"/>
  <c r="B9" i="45" s="1"/>
  <c r="A38" i="255"/>
  <c r="A31" i="255"/>
  <c r="A62" i="216"/>
  <c r="B79" i="45" s="1"/>
  <c r="A43" i="252"/>
  <c r="A41" i="252"/>
  <c r="A51" i="216"/>
  <c r="B85" i="272" s="1"/>
  <c r="A36" i="216"/>
  <c r="B70" i="272" s="1"/>
  <c r="A31" i="216"/>
  <c r="B65" i="272" s="1"/>
  <c r="C54" i="240"/>
  <c r="D34" i="272" s="1"/>
  <c r="C51" i="240"/>
  <c r="D31" i="272" s="1"/>
  <c r="C65" i="236"/>
  <c r="D13" i="272" s="1"/>
  <c r="C64" i="236"/>
  <c r="D12" i="272" s="1"/>
  <c r="C49" i="240"/>
  <c r="D29" i="272" s="1"/>
  <c r="C42" i="214"/>
  <c r="D56" i="272" s="1"/>
  <c r="C71" i="236"/>
  <c r="D19" i="272" s="1"/>
  <c r="C46" i="240"/>
  <c r="D26" i="272" s="1"/>
  <c r="C45" i="240"/>
  <c r="D25" i="272" s="1"/>
  <c r="C44" i="240"/>
  <c r="D24" i="272" s="1"/>
  <c r="C47" i="216"/>
  <c r="D81" i="272" s="1"/>
  <c r="C43" i="214"/>
  <c r="D57" i="272" s="1"/>
  <c r="C45" i="216"/>
  <c r="D79" i="272" s="1"/>
  <c r="C40" i="240"/>
  <c r="D40" i="270" s="1"/>
  <c r="C47" i="236"/>
  <c r="D20" i="270" s="1"/>
  <c r="C35" i="214"/>
  <c r="D68" i="270" s="1"/>
  <c r="C25" i="214"/>
  <c r="D58" i="270" s="1"/>
  <c r="C56" i="236"/>
  <c r="D29" i="270" s="1"/>
  <c r="C35" i="240"/>
  <c r="D35" i="270" s="1"/>
  <c r="C26" i="214"/>
  <c r="D59" i="270" s="1"/>
  <c r="C55" i="236"/>
  <c r="D28" i="270" s="1"/>
  <c r="C34" i="252"/>
  <c r="D46" i="270" s="1"/>
  <c r="C49" i="236"/>
  <c r="D22" i="270" s="1"/>
  <c r="C43" i="235"/>
  <c r="D12" i="270" s="1"/>
  <c r="C29" i="214"/>
  <c r="D62" i="270" s="1"/>
  <c r="C13" i="255"/>
  <c r="D52" i="270" s="1"/>
  <c r="C27" i="214"/>
  <c r="D60" i="270" s="1"/>
  <c r="C24" i="240"/>
  <c r="D40" i="271" s="1"/>
  <c r="C20" i="240"/>
  <c r="D36" i="271" s="1"/>
  <c r="C28" i="235"/>
  <c r="D8" i="271" s="1"/>
  <c r="C23" i="240"/>
  <c r="D39" i="271" s="1"/>
  <c r="C11" i="214"/>
  <c r="D61" i="271" s="1"/>
  <c r="C30" i="235"/>
  <c r="D10" i="271" s="1"/>
  <c r="C34" i="235"/>
  <c r="D14" i="271" s="1"/>
  <c r="C8" i="217"/>
  <c r="D91" i="271" s="1"/>
  <c r="C19" i="217"/>
  <c r="D102" i="271" s="1"/>
  <c r="C10" i="214"/>
  <c r="D60" i="271" s="1"/>
  <c r="C30" i="240"/>
  <c r="D46" i="271" s="1"/>
  <c r="C13" i="214"/>
  <c r="D63" i="271" s="1"/>
  <c r="C16" i="216"/>
  <c r="D79" i="271" s="1"/>
  <c r="C12" i="216"/>
  <c r="D75" i="271" s="1"/>
  <c r="C35" i="236"/>
  <c r="D22" i="271" s="1"/>
  <c r="C40" i="236"/>
  <c r="D27" i="271" s="1"/>
  <c r="C8" i="214"/>
  <c r="D58" i="271" s="1"/>
  <c r="C27" i="236"/>
  <c r="D12" i="266" s="1"/>
  <c r="C29" i="236"/>
  <c r="D14" i="266" s="1"/>
  <c r="C27" i="252"/>
  <c r="D32" i="266" s="1"/>
  <c r="C6" i="246"/>
  <c r="D24" i="266" s="1"/>
  <c r="C24" i="225"/>
  <c r="D55" i="266" s="1"/>
  <c r="C19" i="225"/>
  <c r="D50" i="266" s="1"/>
  <c r="C10" i="225"/>
  <c r="D41" i="266" s="1"/>
  <c r="C7" i="225"/>
  <c r="D38" i="266" s="1"/>
  <c r="C12" i="225"/>
  <c r="D43" i="266" s="1"/>
  <c r="C8" i="240"/>
  <c r="D15" i="268" s="1"/>
  <c r="C21" i="235"/>
  <c r="D10" i="268" s="1"/>
  <c r="C21" i="252"/>
  <c r="D23" i="268" s="1"/>
  <c r="C20" i="252"/>
  <c r="D22" i="268" s="1"/>
  <c r="C24" i="258"/>
  <c r="C12" i="239"/>
  <c r="C11" i="241"/>
  <c r="C15" i="242"/>
  <c r="C11" i="231"/>
  <c r="C9" i="231"/>
  <c r="D136" i="267"/>
  <c r="C8" i="231"/>
  <c r="C12" i="254"/>
  <c r="C11" i="250"/>
  <c r="C36" i="242"/>
  <c r="C15" i="252"/>
  <c r="C172" i="242"/>
  <c r="C170" i="242"/>
  <c r="C21" i="236"/>
  <c r="D129" i="276" s="1"/>
  <c r="C95" i="242"/>
  <c r="C7" i="244"/>
  <c r="C146" i="242"/>
  <c r="C8" i="244"/>
  <c r="C14" i="236"/>
  <c r="D122" i="276" s="1"/>
  <c r="C11" i="236"/>
  <c r="D119" i="276" s="1"/>
  <c r="C11" i="252"/>
  <c r="C99" i="242"/>
  <c r="C12" i="235"/>
  <c r="C93" i="242"/>
  <c r="C8" i="235"/>
  <c r="C9" i="252"/>
  <c r="C7" i="236"/>
  <c r="D115" i="276" s="1"/>
  <c r="C48" i="242"/>
  <c r="C10" i="212"/>
  <c r="C45" i="242"/>
  <c r="D224" i="276" s="1"/>
  <c r="C9" i="242"/>
  <c r="C6" i="235"/>
  <c r="C7" i="242"/>
  <c r="C12" i="251"/>
  <c r="C21" i="258"/>
  <c r="C14" i="258"/>
  <c r="C8" i="258"/>
  <c r="C6" i="226"/>
  <c r="C11" i="248"/>
  <c r="C14" i="203"/>
  <c r="C13" i="206"/>
  <c r="C13" i="203"/>
  <c r="C12" i="203"/>
  <c r="C11" i="203"/>
  <c r="C13" i="243"/>
  <c r="C8" i="206"/>
  <c r="C10" i="203"/>
  <c r="C10" i="243"/>
  <c r="C9" i="203"/>
  <c r="C9" i="243"/>
  <c r="C8" i="203"/>
  <c r="C8" i="243"/>
  <c r="C7" i="203"/>
  <c r="C7" i="243"/>
  <c r="C7" i="206"/>
  <c r="C6" i="206"/>
  <c r="C6" i="243"/>
  <c r="C6" i="203"/>
  <c r="C15" i="239"/>
  <c r="C155" i="242"/>
  <c r="C154" i="242"/>
  <c r="C153" i="242"/>
  <c r="C149" i="242"/>
  <c r="C80" i="242"/>
  <c r="C79" i="242"/>
  <c r="C7" i="250"/>
  <c r="C6" i="209"/>
  <c r="C13" i="218"/>
  <c r="C6" i="215"/>
  <c r="C8" i="241"/>
  <c r="C6" i="232"/>
  <c r="C6" i="245"/>
  <c r="C7" i="241"/>
  <c r="D172" i="276" s="1"/>
  <c r="C12" i="218"/>
  <c r="C7" i="228"/>
  <c r="C7" i="207"/>
  <c r="C94" i="216"/>
  <c r="D64" i="274" s="1"/>
  <c r="C75" i="240"/>
  <c r="D26" i="274" s="1"/>
  <c r="C70" i="214"/>
  <c r="D42" i="274" s="1"/>
  <c r="C72" i="214"/>
  <c r="D44" i="274" s="1"/>
  <c r="C71" i="214"/>
  <c r="D43" i="274" s="1"/>
  <c r="C90" i="216"/>
  <c r="D60" i="274" s="1"/>
  <c r="C98" i="236"/>
  <c r="D8" i="274" s="1"/>
  <c r="C91" i="216"/>
  <c r="D61" i="274" s="1"/>
  <c r="C92" i="216"/>
  <c r="D62" i="274" s="1"/>
  <c r="C74" i="214"/>
  <c r="D46" i="274" s="1"/>
  <c r="C99" i="236"/>
  <c r="D9" i="274" s="1"/>
  <c r="C89" i="216"/>
  <c r="D59" i="274" s="1"/>
  <c r="C93" i="216"/>
  <c r="D63" i="274" s="1"/>
  <c r="C74" i="240"/>
  <c r="D25" i="274" s="1"/>
  <c r="C86" i="216"/>
  <c r="D56" i="274" s="1"/>
  <c r="C101" i="236"/>
  <c r="D11" i="274" s="1"/>
  <c r="C100" i="236"/>
  <c r="D10" i="274" s="1"/>
  <c r="C73" i="214"/>
  <c r="D45" i="274" s="1"/>
  <c r="C73" i="240"/>
  <c r="D24" i="274" s="1"/>
  <c r="C97" i="216"/>
  <c r="D67" i="274" s="1"/>
  <c r="C68" i="214"/>
  <c r="D40" i="274" s="1"/>
  <c r="C67" i="214"/>
  <c r="D39" i="274" s="1"/>
  <c r="C72" i="240"/>
  <c r="D23" i="274" s="1"/>
  <c r="C109" i="236"/>
  <c r="D19" i="274" s="1"/>
  <c r="C95" i="216"/>
  <c r="D65" i="274" s="1"/>
  <c r="C110" i="236"/>
  <c r="D20" i="274" s="1"/>
  <c r="C106" i="236"/>
  <c r="D16" i="274" s="1"/>
  <c r="C107" i="236"/>
  <c r="D17" i="274" s="1"/>
  <c r="C44" i="255"/>
  <c r="D30" i="274" s="1"/>
  <c r="C102" i="236"/>
  <c r="D12" i="274" s="1"/>
  <c r="C80" i="216"/>
  <c r="D50" i="274" s="1"/>
  <c r="C81" i="216"/>
  <c r="D51" i="274" s="1"/>
  <c r="C85" i="216"/>
  <c r="D55" i="274" s="1"/>
  <c r="C83" i="216"/>
  <c r="D53" i="274" s="1"/>
  <c r="C84" i="216"/>
  <c r="D54" i="274" s="1"/>
  <c r="C82" i="216"/>
  <c r="D52" i="274" s="1"/>
  <c r="C105" i="236"/>
  <c r="D15" i="274" s="1"/>
  <c r="C45" i="255"/>
  <c r="D31" i="274" s="1"/>
  <c r="C69" i="214"/>
  <c r="D41" i="274" s="1"/>
  <c r="C96" i="216"/>
  <c r="D66" i="274" s="1"/>
  <c r="C104" i="236"/>
  <c r="D14" i="274" s="1"/>
  <c r="C87" i="216"/>
  <c r="D57" i="274" s="1"/>
  <c r="C88" i="216"/>
  <c r="D58" i="274" s="1"/>
  <c r="C15" i="257"/>
  <c r="D35" i="274" s="1"/>
  <c r="C14" i="257"/>
  <c r="D34" i="274" s="1"/>
  <c r="C103" i="236"/>
  <c r="D13" i="274" s="1"/>
  <c r="C108" i="236"/>
  <c r="D18" i="274" s="1"/>
  <c r="C69" i="240"/>
  <c r="D16" i="275" s="1"/>
  <c r="C92" i="236"/>
  <c r="D9" i="275" s="1"/>
  <c r="C64" i="214"/>
  <c r="D19" i="275" s="1"/>
  <c r="C93" i="236"/>
  <c r="D10" i="275" s="1"/>
  <c r="C77" i="216"/>
  <c r="D31" i="275" s="1"/>
  <c r="C91" i="236"/>
  <c r="D8" i="275" s="1"/>
  <c r="C95" i="236"/>
  <c r="D12" i="275" s="1"/>
  <c r="C73" i="216"/>
  <c r="D27" i="275" s="1"/>
  <c r="C94" i="236"/>
  <c r="D11" i="275" s="1"/>
  <c r="C76" i="216"/>
  <c r="D30" i="275" s="1"/>
  <c r="C75" i="216"/>
  <c r="D29" i="275" s="1"/>
  <c r="C74" i="216"/>
  <c r="D28" i="275" s="1"/>
  <c r="C72" i="216"/>
  <c r="D26" i="275" s="1"/>
  <c r="C70" i="216"/>
  <c r="D24" i="275" s="1"/>
  <c r="C71" i="216"/>
  <c r="D25" i="275" s="1"/>
  <c r="C69" i="216"/>
  <c r="D23" i="275" s="1"/>
  <c r="C639" i="28"/>
  <c r="A635" i="28"/>
  <c r="D631" i="28"/>
  <c r="C627" i="28"/>
  <c r="C623" i="28"/>
  <c r="C619" i="28"/>
  <c r="C615" i="28"/>
  <c r="C611" i="28"/>
  <c r="C607" i="28"/>
  <c r="C603" i="28"/>
  <c r="C599" i="28"/>
  <c r="C595" i="28"/>
  <c r="C591" i="28"/>
  <c r="C587" i="28"/>
  <c r="C583" i="28"/>
  <c r="A579" i="28"/>
  <c r="A559" i="28"/>
  <c r="D515" i="28"/>
  <c r="D499" i="28"/>
  <c r="A443" i="28"/>
  <c r="C267" i="28"/>
  <c r="C31" i="28"/>
  <c r="A27" i="28"/>
  <c r="D1215" i="28"/>
  <c r="C1214" i="28"/>
  <c r="D1211" i="28"/>
  <c r="C1210" i="28"/>
  <c r="D1207" i="28"/>
  <c r="C1206" i="28"/>
  <c r="D1203" i="28"/>
  <c r="C1202" i="28"/>
  <c r="D1199" i="28"/>
  <c r="C1198" i="28"/>
  <c r="D1195" i="28"/>
  <c r="C1194" i="28"/>
  <c r="D1191" i="28"/>
  <c r="C1190" i="28"/>
  <c r="D1187" i="28"/>
  <c r="C1186" i="28"/>
  <c r="D1183" i="28"/>
  <c r="C1182" i="28"/>
  <c r="D1179" i="28"/>
  <c r="C1178" i="28"/>
  <c r="D1175" i="28"/>
  <c r="C1174" i="28"/>
  <c r="D1171" i="28"/>
  <c r="C1170" i="28"/>
  <c r="D1167" i="28"/>
  <c r="C1166" i="28"/>
  <c r="D1163" i="28"/>
  <c r="C1162" i="28"/>
  <c r="D1159" i="28"/>
  <c r="C1158" i="28"/>
  <c r="D1155" i="28"/>
  <c r="C1154" i="28"/>
  <c r="D1151" i="28"/>
  <c r="C1150" i="28"/>
  <c r="D1147" i="28"/>
  <c r="D1146" i="28"/>
  <c r="D1145" i="28"/>
  <c r="D1144" i="28"/>
  <c r="D1143" i="28"/>
  <c r="D1142" i="28"/>
  <c r="D1141" i="28"/>
  <c r="D1140" i="28"/>
  <c r="D1139" i="28"/>
  <c r="D1138" i="28"/>
  <c r="D1137" i="28"/>
  <c r="D1136" i="28"/>
  <c r="D1135" i="28"/>
  <c r="D1134" i="28"/>
  <c r="D1133" i="28"/>
  <c r="D1132" i="28"/>
  <c r="D1131" i="28"/>
  <c r="D1130" i="28"/>
  <c r="D1129" i="28"/>
  <c r="D1128" i="28"/>
  <c r="D1127" i="28"/>
  <c r="D1126" i="28"/>
  <c r="D1125" i="28"/>
  <c r="D1124" i="28"/>
  <c r="D1123" i="28"/>
  <c r="D1122" i="28"/>
  <c r="D1121" i="28"/>
  <c r="D1120" i="28"/>
  <c r="D1119" i="28"/>
  <c r="D1118" i="28"/>
  <c r="D1117" i="28"/>
  <c r="D1116" i="28"/>
  <c r="D1115" i="28"/>
  <c r="D1114" i="28"/>
  <c r="D1113" i="28"/>
  <c r="D1112" i="28"/>
  <c r="D1111" i="28"/>
  <c r="D1110" i="28"/>
  <c r="D1109" i="28"/>
  <c r="D1108" i="28"/>
  <c r="D1107" i="28"/>
  <c r="D1106" i="28"/>
  <c r="D1105" i="28"/>
  <c r="D1104" i="28"/>
  <c r="D1103" i="28"/>
  <c r="D1102" i="28"/>
  <c r="D1101" i="28"/>
  <c r="D1100" i="28"/>
  <c r="D1099" i="28"/>
  <c r="D1098" i="28"/>
  <c r="D1097" i="28"/>
  <c r="D1096" i="28"/>
  <c r="D1095" i="28"/>
  <c r="D1094" i="28"/>
  <c r="D1093" i="28"/>
  <c r="D1092" i="28"/>
  <c r="D1091" i="28"/>
  <c r="D1090" i="28"/>
  <c r="D1089" i="28"/>
  <c r="D1088" i="28"/>
  <c r="D1087" i="28"/>
  <c r="D1086" i="28"/>
  <c r="D1085" i="28"/>
  <c r="D1084" i="28"/>
  <c r="D1083" i="28"/>
  <c r="D1082" i="28"/>
  <c r="D1081" i="28"/>
  <c r="D1080" i="28"/>
  <c r="D1079" i="28"/>
  <c r="D1078" i="28"/>
  <c r="D1077" i="28"/>
  <c r="D1076" i="28"/>
  <c r="D1075" i="28"/>
  <c r="D1074" i="28"/>
  <c r="D1073" i="28"/>
  <c r="B1072" i="28"/>
  <c r="B1070" i="28"/>
  <c r="B1068" i="28"/>
  <c r="B1066" i="28"/>
  <c r="B1064" i="28"/>
  <c r="B1062" i="28"/>
  <c r="B1060" i="28"/>
  <c r="B1058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D778" i="28"/>
  <c r="C777" i="28"/>
  <c r="D774" i="28"/>
  <c r="C773" i="28"/>
  <c r="D770" i="28"/>
  <c r="C769" i="28"/>
  <c r="D766" i="28"/>
  <c r="C765" i="28"/>
  <c r="D762" i="28"/>
  <c r="C761" i="28"/>
  <c r="D757" i="28"/>
  <c r="C756" i="28"/>
  <c r="D753" i="28"/>
  <c r="C752" i="28"/>
  <c r="D748" i="28"/>
  <c r="C747" i="28"/>
  <c r="D744" i="28"/>
  <c r="C743" i="28"/>
  <c r="D740" i="28"/>
  <c r="C739" i="28"/>
  <c r="D736" i="28"/>
  <c r="C735" i="28"/>
  <c r="D732" i="28"/>
  <c r="C731" i="28"/>
  <c r="D728" i="28"/>
  <c r="C727" i="28"/>
  <c r="D724" i="28"/>
  <c r="C723" i="28"/>
  <c r="D720" i="28"/>
  <c r="C719" i="28"/>
  <c r="D716" i="28"/>
  <c r="C715" i="28"/>
  <c r="D712" i="28"/>
  <c r="C711" i="28"/>
  <c r="D708" i="28"/>
  <c r="C707" i="28"/>
  <c r="D704" i="28"/>
  <c r="C703" i="28"/>
  <c r="D700" i="28"/>
  <c r="C699" i="28"/>
  <c r="D696" i="28"/>
  <c r="C695" i="28"/>
  <c r="D692" i="28"/>
  <c r="C691" i="28"/>
  <c r="D688" i="28"/>
  <c r="C687" i="28"/>
  <c r="D684" i="28"/>
  <c r="C683" i="28"/>
  <c r="D680" i="28"/>
  <c r="C679" i="28"/>
  <c r="D676" i="28"/>
  <c r="C675" i="28"/>
  <c r="D672" i="28"/>
  <c r="C671" i="28"/>
  <c r="D668" i="28"/>
  <c r="C667" i="28"/>
  <c r="D664" i="28"/>
  <c r="C663" i="28"/>
  <c r="D660" i="28"/>
  <c r="C659" i="28"/>
  <c r="D656" i="28"/>
  <c r="C655" i="28"/>
  <c r="D652" i="28"/>
  <c r="C651" i="28"/>
  <c r="D648" i="28"/>
  <c r="C647" i="28"/>
  <c r="C644" i="28"/>
  <c r="D629" i="28"/>
  <c r="D623" i="28"/>
  <c r="D619" i="28"/>
  <c r="D615" i="28"/>
  <c r="D611" i="28"/>
  <c r="D607" i="28"/>
  <c r="D603" i="28"/>
  <c r="D599" i="28"/>
  <c r="D595" i="28"/>
  <c r="D591" i="28"/>
  <c r="D587" i="28"/>
  <c r="D583" i="28"/>
  <c r="A9" i="78"/>
  <c r="C29" i="78"/>
  <c r="C31" i="78"/>
  <c r="C23" i="78"/>
  <c r="A22" i="78"/>
  <c r="C16" i="78"/>
  <c r="A15" i="78"/>
  <c r="A26" i="78"/>
  <c r="A12" i="78"/>
  <c r="A17" i="78"/>
  <c r="C25" i="78"/>
  <c r="C32" i="78"/>
  <c r="C8" i="205"/>
  <c r="A8" i="257"/>
  <c r="B65" i="45" s="1"/>
  <c r="A36" i="255"/>
  <c r="A51" i="235"/>
  <c r="B16" i="45" s="1"/>
  <c r="A59" i="214"/>
  <c r="B75" i="45" s="1"/>
  <c r="A39" i="255"/>
  <c r="A56" i="214"/>
  <c r="B72" i="45" s="1"/>
  <c r="A17" i="234"/>
  <c r="B12" i="45" s="1"/>
  <c r="A16" i="234"/>
  <c r="B11" i="45" s="1"/>
  <c r="A65" i="216"/>
  <c r="B82" i="45" s="1"/>
  <c r="A48" i="252"/>
  <c r="B38" i="45" s="1"/>
  <c r="A64" i="216"/>
  <c r="B81" i="45" s="1"/>
  <c r="A51" i="214"/>
  <c r="A32" i="216"/>
  <c r="B66" i="272" s="1"/>
  <c r="C55" i="240"/>
  <c r="D35" i="272" s="1"/>
  <c r="C52" i="240"/>
  <c r="D32" i="272" s="1"/>
  <c r="C62" i="236"/>
  <c r="D10" i="272" s="1"/>
  <c r="C70" i="236"/>
  <c r="D18" i="272" s="1"/>
  <c r="C48" i="240"/>
  <c r="D28" i="272" s="1"/>
  <c r="C43" i="216"/>
  <c r="D77" i="272" s="1"/>
  <c r="C47" i="214"/>
  <c r="D61" i="272" s="1"/>
  <c r="C55" i="216"/>
  <c r="D89" i="272" s="1"/>
  <c r="C20" i="255"/>
  <c r="D48" i="272" s="1"/>
  <c r="C72" i="236"/>
  <c r="D20" i="272" s="1"/>
  <c r="C45" i="214"/>
  <c r="D59" i="272" s="1"/>
  <c r="C40" i="216"/>
  <c r="D74" i="272" s="1"/>
  <c r="C34" i="216"/>
  <c r="D68" i="272" s="1"/>
  <c r="C44" i="216"/>
  <c r="D78" i="272" s="1"/>
  <c r="C30" i="214"/>
  <c r="D63" i="270" s="1"/>
  <c r="C45" i="235"/>
  <c r="D14" i="270" s="1"/>
  <c r="C38" i="240"/>
  <c r="D38" i="270" s="1"/>
  <c r="C48" i="235"/>
  <c r="D17" i="270" s="1"/>
  <c r="C31" i="214"/>
  <c r="D64" i="270" s="1"/>
  <c r="C34" i="240"/>
  <c r="D34" i="270" s="1"/>
  <c r="C36" i="214"/>
  <c r="D69" i="270" s="1"/>
  <c r="C27" i="216"/>
  <c r="D74" i="270" s="1"/>
  <c r="C33" i="252"/>
  <c r="D45" i="270" s="1"/>
  <c r="C48" i="236"/>
  <c r="D21" i="270" s="1"/>
  <c r="C15" i="255"/>
  <c r="D54" i="270" s="1"/>
  <c r="C42" i="235"/>
  <c r="D11" i="270" s="1"/>
  <c r="C32" i="214"/>
  <c r="D65" i="270" s="1"/>
  <c r="C28" i="214"/>
  <c r="D61" i="270" s="1"/>
  <c r="C33" i="240"/>
  <c r="D33" i="270" s="1"/>
  <c r="C44" i="236"/>
  <c r="D31" i="271" s="1"/>
  <c r="C29" i="235"/>
  <c r="D9" i="271" s="1"/>
  <c r="C26" i="240"/>
  <c r="D42" i="271" s="1"/>
  <c r="C17" i="214"/>
  <c r="D67" i="271" s="1"/>
  <c r="C39" i="236"/>
  <c r="D26" i="271" s="1"/>
  <c r="C33" i="236"/>
  <c r="D20" i="271" s="1"/>
  <c r="C12" i="217"/>
  <c r="D95" i="271" s="1"/>
  <c r="C35" i="235"/>
  <c r="D15" i="271" s="1"/>
  <c r="C9" i="217"/>
  <c r="D92" i="271" s="1"/>
  <c r="C16" i="217"/>
  <c r="D99" i="271" s="1"/>
  <c r="C10" i="217"/>
  <c r="D93" i="271" s="1"/>
  <c r="C20" i="216"/>
  <c r="D83" i="271" s="1"/>
  <c r="C12" i="214"/>
  <c r="D62" i="271" s="1"/>
  <c r="C34" i="236"/>
  <c r="D21" i="271" s="1"/>
  <c r="C15" i="216"/>
  <c r="D78" i="271" s="1"/>
  <c r="C18" i="240"/>
  <c r="D34" i="271" s="1"/>
  <c r="C6" i="255"/>
  <c r="D50" i="271" s="1"/>
  <c r="C32" i="236"/>
  <c r="D19" i="271" s="1"/>
  <c r="C7" i="214"/>
  <c r="D57" i="271" s="1"/>
  <c r="C28" i="236"/>
  <c r="D13" i="266" s="1"/>
  <c r="C26" i="252"/>
  <c r="D31" i="266" s="1"/>
  <c r="C24" i="235"/>
  <c r="D8" i="266" s="1"/>
  <c r="C13" i="240"/>
  <c r="D18" i="266" s="1"/>
  <c r="C22" i="225"/>
  <c r="D53" i="266" s="1"/>
  <c r="C65" i="242"/>
  <c r="D243" i="276" s="1"/>
  <c r="C44" i="242"/>
  <c r="D223" i="276" s="1"/>
  <c r="C10" i="254"/>
  <c r="C9" i="219"/>
  <c r="C7" i="231"/>
  <c r="C138" i="242"/>
  <c r="C37" i="242"/>
  <c r="C19" i="212"/>
  <c r="C24" i="236"/>
  <c r="C22" i="236"/>
  <c r="C13" i="252"/>
  <c r="C20" i="236"/>
  <c r="D128" i="276" s="1"/>
  <c r="C163" i="242"/>
  <c r="C11" i="244"/>
  <c r="C145" i="242"/>
  <c r="C16" i="236"/>
  <c r="D124" i="276" s="1"/>
  <c r="C13" i="236"/>
  <c r="D121" i="276" s="1"/>
  <c r="C103" i="242"/>
  <c r="C14" i="235"/>
  <c r="C92" i="242"/>
  <c r="C83" i="242"/>
  <c r="C70" i="242"/>
  <c r="C6" i="236"/>
  <c r="C9" i="212"/>
  <c r="C40" i="242"/>
  <c r="C8" i="242"/>
  <c r="C20" i="258"/>
  <c r="C18" i="258"/>
  <c r="C16" i="258"/>
  <c r="C12" i="258"/>
  <c r="C9" i="258"/>
  <c r="C6" i="258"/>
  <c r="C194" i="242"/>
  <c r="C21" i="208"/>
  <c r="C17" i="238"/>
  <c r="C14" i="239"/>
  <c r="C23" i="264"/>
  <c r="C20" i="264"/>
  <c r="C14" i="264"/>
  <c r="C9" i="239"/>
  <c r="C11" i="238"/>
  <c r="C9" i="238"/>
  <c r="C41" i="242"/>
  <c r="D220" i="276" s="1"/>
  <c r="C32" i="242"/>
  <c r="C16" i="206"/>
  <c r="C18" i="264"/>
  <c r="C14" i="226"/>
  <c r="C7" i="254"/>
  <c r="C60" i="242"/>
  <c r="D238" i="276" s="1"/>
  <c r="C12" i="241"/>
  <c r="D176" i="276" s="1"/>
  <c r="C13" i="247"/>
  <c r="C16" i="212"/>
  <c r="C133" i="242"/>
  <c r="C119" i="242"/>
  <c r="C111" i="242"/>
  <c r="C107" i="242"/>
  <c r="C173" i="242"/>
  <c r="C14" i="212"/>
  <c r="C8" i="245"/>
  <c r="C10" i="209"/>
  <c r="C8" i="227"/>
  <c r="C12" i="243"/>
  <c r="C125" i="242"/>
  <c r="C89" i="242"/>
  <c r="D267" i="276" s="1"/>
  <c r="C11" i="208"/>
  <c r="C49" i="242"/>
  <c r="D228" i="276" s="1"/>
  <c r="C7" i="256"/>
  <c r="C21" i="242"/>
  <c r="C192" i="242"/>
  <c r="C17" i="241"/>
  <c r="C21" i="226"/>
  <c r="C188" i="242"/>
  <c r="C26" i="264"/>
  <c r="C152" i="242"/>
  <c r="C13" i="250"/>
  <c r="C117" i="242"/>
  <c r="C8" i="250"/>
  <c r="C17" i="243"/>
  <c r="C14" i="243"/>
  <c r="C11" i="213"/>
  <c r="C13" i="260"/>
  <c r="C19" i="264"/>
  <c r="C8" i="248"/>
  <c r="C25" i="243"/>
  <c r="C24" i="243"/>
  <c r="C13" i="239"/>
  <c r="C9" i="213"/>
  <c r="C87" i="242"/>
  <c r="C11" i="226"/>
  <c r="C10" i="226"/>
  <c r="C9" i="226"/>
  <c r="C8" i="209"/>
  <c r="C6" i="248"/>
  <c r="C6" i="237"/>
  <c r="C8" i="260"/>
  <c r="C57" i="242"/>
  <c r="C56" i="242"/>
  <c r="C8" i="233"/>
  <c r="C7" i="208"/>
  <c r="C12" i="210"/>
  <c r="C8" i="265"/>
  <c r="C10" i="264"/>
  <c r="C54" i="242"/>
  <c r="C9" i="259"/>
  <c r="C8" i="228"/>
  <c r="C6" i="222"/>
  <c r="C29" i="242"/>
  <c r="D208" i="276" s="1"/>
  <c r="C6" i="211"/>
  <c r="C28" i="242"/>
  <c r="C10" i="210"/>
  <c r="C18" i="242"/>
  <c r="C16" i="222"/>
  <c r="C10" i="263"/>
  <c r="C16" i="228"/>
  <c r="C10" i="248"/>
  <c r="C16" i="232"/>
  <c r="C136" i="242"/>
  <c r="C110" i="242"/>
  <c r="C14" i="228"/>
  <c r="C12" i="250"/>
  <c r="C8" i="215"/>
  <c r="C73" i="242"/>
  <c r="C19" i="208"/>
  <c r="C17" i="208"/>
  <c r="C11" i="209"/>
  <c r="C16" i="229"/>
  <c r="C31" i="264"/>
  <c r="C11" i="263"/>
  <c r="C19" i="228"/>
  <c r="C161" i="242"/>
  <c r="C156" i="242"/>
  <c r="C26" i="210"/>
  <c r="C124" i="242"/>
  <c r="D302" i="276" s="1"/>
  <c r="C17" i="264"/>
  <c r="C112" i="242"/>
  <c r="D290" i="276" s="1"/>
  <c r="C7" i="251"/>
  <c r="C109" i="242"/>
  <c r="C106" i="242"/>
  <c r="C13" i="232"/>
  <c r="C102" i="242"/>
  <c r="C19" i="210"/>
  <c r="C15" i="210"/>
  <c r="C9" i="234"/>
  <c r="C77" i="242"/>
  <c r="C7" i="213"/>
  <c r="C31" i="242"/>
  <c r="D210" i="276" s="1"/>
  <c r="C7" i="264"/>
  <c r="C24" i="242"/>
  <c r="C7" i="229"/>
  <c r="C7" i="259"/>
  <c r="C758" i="28"/>
  <c r="C750" i="28"/>
  <c r="D646" i="28"/>
  <c r="A642" i="28"/>
  <c r="C638" i="28"/>
  <c r="A634" i="28"/>
  <c r="C630" i="28"/>
  <c r="C626" i="28"/>
  <c r="A622" i="28"/>
  <c r="A618" i="28"/>
  <c r="A614" i="28"/>
  <c r="A610" i="28"/>
  <c r="A606" i="28"/>
  <c r="A602" i="28"/>
  <c r="A598" i="28"/>
  <c r="A594" i="28"/>
  <c r="A590" i="28"/>
  <c r="A586" i="28"/>
  <c r="C582" i="28"/>
  <c r="D562" i="28"/>
  <c r="A554" i="28"/>
  <c r="C546" i="28"/>
  <c r="C530" i="28"/>
  <c r="C514" i="28"/>
  <c r="C510" i="28"/>
  <c r="C498" i="28"/>
  <c r="C482" i="28"/>
  <c r="C466" i="28"/>
  <c r="C78" i="28"/>
  <c r="C30" i="28"/>
  <c r="A26" i="28"/>
  <c r="D641" i="28"/>
  <c r="D627" i="28"/>
  <c r="A623" i="28"/>
  <c r="A619" i="28"/>
  <c r="A615" i="28"/>
  <c r="A611" i="28"/>
  <c r="A607" i="28"/>
  <c r="A603" i="28"/>
  <c r="A599" i="28"/>
  <c r="A595" i="28"/>
  <c r="A591" i="28"/>
  <c r="A587" i="28"/>
  <c r="A583" i="28"/>
  <c r="C173" i="28"/>
  <c r="A10" i="78"/>
  <c r="C13" i="78"/>
  <c r="C6" i="78"/>
  <c r="C30" i="78"/>
  <c r="A29" i="78"/>
  <c r="A31" i="78"/>
  <c r="C24" i="78"/>
  <c r="A23" i="78"/>
  <c r="C18" i="78"/>
  <c r="A16" i="78"/>
  <c r="C7" i="78"/>
  <c r="C21" i="78"/>
  <c r="C28" i="78"/>
  <c r="A25" i="78"/>
  <c r="C19" i="78"/>
  <c r="A758" i="28"/>
  <c r="D758" i="28"/>
  <c r="A750" i="28"/>
  <c r="D750" i="28"/>
  <c r="C646" i="28"/>
  <c r="A646" i="28"/>
  <c r="D645" i="28"/>
  <c r="A641" i="28"/>
  <c r="D579" i="28"/>
  <c r="B204" i="28"/>
  <c r="A575" i="28"/>
  <c r="C575" i="28"/>
  <c r="D575" i="28"/>
  <c r="A571" i="28"/>
  <c r="C571" i="28"/>
  <c r="D571" i="28"/>
  <c r="A567" i="28"/>
  <c r="C567" i="28"/>
  <c r="D567" i="28"/>
  <c r="D563" i="28"/>
  <c r="A563" i="28"/>
  <c r="C563" i="28"/>
  <c r="C559" i="28"/>
  <c r="D559" i="28"/>
  <c r="D555" i="28"/>
  <c r="A555" i="28"/>
  <c r="C555" i="28"/>
  <c r="D551" i="28"/>
  <c r="A551" i="28"/>
  <c r="A543" i="28"/>
  <c r="C543" i="28"/>
  <c r="A539" i="28"/>
  <c r="C539" i="28"/>
  <c r="A535" i="28"/>
  <c r="C535" i="28"/>
  <c r="A531" i="28"/>
  <c r="C531" i="28"/>
  <c r="A527" i="28"/>
  <c r="C527" i="28"/>
  <c r="A523" i="28"/>
  <c r="C523" i="28"/>
  <c r="A519" i="28"/>
  <c r="C519" i="28"/>
  <c r="A515" i="28"/>
  <c r="C515" i="28"/>
  <c r="A511" i="28"/>
  <c r="C511" i="28"/>
  <c r="A507" i="28"/>
  <c r="C507" i="28"/>
  <c r="A503" i="28"/>
  <c r="C503" i="28"/>
  <c r="A499" i="28"/>
  <c r="C499" i="28"/>
  <c r="A495" i="28"/>
  <c r="C495" i="28"/>
  <c r="A491" i="28"/>
  <c r="C491" i="28"/>
  <c r="A487" i="28"/>
  <c r="C487" i="28"/>
  <c r="A483" i="28"/>
  <c r="C483" i="28"/>
  <c r="A479" i="28"/>
  <c r="C479" i="28"/>
  <c r="A475" i="28"/>
  <c r="C475" i="28"/>
  <c r="A471" i="28"/>
  <c r="C471" i="28"/>
  <c r="A467" i="28"/>
  <c r="C467" i="28"/>
  <c r="A463" i="28"/>
  <c r="C463" i="28"/>
  <c r="D459" i="28"/>
  <c r="C459" i="28"/>
  <c r="D455" i="28"/>
  <c r="A455" i="28"/>
  <c r="C455" i="28"/>
  <c r="D451" i="28"/>
  <c r="C451" i="28"/>
  <c r="D447" i="28"/>
  <c r="A447" i="28"/>
  <c r="C447" i="28"/>
  <c r="D443" i="28"/>
  <c r="C443" i="28"/>
  <c r="D439" i="28"/>
  <c r="A439" i="28"/>
  <c r="C439" i="28"/>
  <c r="D435" i="28"/>
  <c r="C435" i="28"/>
  <c r="D431" i="28"/>
  <c r="A431" i="28"/>
  <c r="C431" i="28"/>
  <c r="D427" i="28"/>
  <c r="C427" i="28"/>
  <c r="D423" i="28"/>
  <c r="A423" i="28"/>
  <c r="C423" i="28"/>
  <c r="D419" i="28"/>
  <c r="C419" i="28"/>
  <c r="D415" i="28"/>
  <c r="A415" i="28"/>
  <c r="C415" i="28"/>
  <c r="D411" i="28"/>
  <c r="C411" i="28"/>
  <c r="D407" i="28"/>
  <c r="A407" i="28"/>
  <c r="C407" i="28"/>
  <c r="D403" i="28"/>
  <c r="C403" i="28"/>
  <c r="D399" i="28"/>
  <c r="A399" i="28"/>
  <c r="C399" i="28"/>
  <c r="D395" i="28"/>
  <c r="C395" i="28"/>
  <c r="D391" i="28"/>
  <c r="A391" i="28"/>
  <c r="C391" i="28"/>
  <c r="D387" i="28"/>
  <c r="C387" i="28"/>
  <c r="D383" i="28"/>
  <c r="A383" i="28"/>
  <c r="C383" i="28"/>
  <c r="D379" i="28"/>
  <c r="C379" i="28"/>
  <c r="D375" i="28"/>
  <c r="A375" i="28"/>
  <c r="C375" i="28"/>
  <c r="D371" i="28"/>
  <c r="C371" i="28"/>
  <c r="D367" i="28"/>
  <c r="A367" i="28"/>
  <c r="C367" i="28"/>
  <c r="D363" i="28"/>
  <c r="C363" i="28"/>
  <c r="D359" i="28"/>
  <c r="A359" i="28"/>
  <c r="C359" i="28"/>
  <c r="D355" i="28"/>
  <c r="C355" i="28"/>
  <c r="D351" i="28"/>
  <c r="A351" i="28"/>
  <c r="C351" i="28"/>
  <c r="D347" i="28"/>
  <c r="C347" i="28"/>
  <c r="D343" i="28"/>
  <c r="A343" i="28"/>
  <c r="C343" i="28"/>
  <c r="D339" i="28"/>
  <c r="C339" i="28"/>
  <c r="D335" i="28"/>
  <c r="A335" i="28"/>
  <c r="C335" i="28"/>
  <c r="D331" i="28"/>
  <c r="C331" i="28"/>
  <c r="D327" i="28"/>
  <c r="A327" i="28"/>
  <c r="C327" i="28"/>
  <c r="D323" i="28"/>
  <c r="C323" i="28"/>
  <c r="D319" i="28"/>
  <c r="A319" i="28"/>
  <c r="C319" i="28"/>
  <c r="D315" i="28"/>
  <c r="C315" i="28"/>
  <c r="D311" i="28"/>
  <c r="A311" i="28"/>
  <c r="C311" i="28"/>
  <c r="D307" i="28"/>
  <c r="A307" i="28"/>
  <c r="C307" i="28"/>
  <c r="D303" i="28"/>
  <c r="C303" i="28"/>
  <c r="A303" i="28"/>
  <c r="D299" i="28"/>
  <c r="C299" i="28"/>
  <c r="D295" i="28"/>
  <c r="A295" i="28"/>
  <c r="D291" i="28"/>
  <c r="A291" i="28"/>
  <c r="C291" i="28"/>
  <c r="D287" i="28"/>
  <c r="C287" i="28"/>
  <c r="A287" i="28"/>
  <c r="D283" i="28"/>
  <c r="A283" i="28"/>
  <c r="C283" i="28"/>
  <c r="D279" i="28"/>
  <c r="A279" i="28"/>
  <c r="C279" i="28"/>
  <c r="D275" i="28"/>
  <c r="A275" i="28"/>
  <c r="C275" i="28"/>
  <c r="A271" i="28"/>
  <c r="C271" i="28"/>
  <c r="D271" i="28"/>
  <c r="C263" i="28"/>
  <c r="A263" i="28"/>
  <c r="C259" i="28"/>
  <c r="A259" i="28"/>
  <c r="D259" i="28"/>
  <c r="C255" i="28"/>
  <c r="D255" i="28"/>
  <c r="A255" i="28"/>
  <c r="A251" i="28"/>
  <c r="D251" i="28"/>
  <c r="C251" i="28"/>
  <c r="A247" i="28"/>
  <c r="C247" i="28"/>
  <c r="D247" i="28"/>
  <c r="D243" i="28"/>
  <c r="C243" i="28"/>
  <c r="A243" i="28"/>
  <c r="D239" i="28"/>
  <c r="A239" i="28"/>
  <c r="C239" i="28"/>
  <c r="D235" i="28"/>
  <c r="C235" i="28"/>
  <c r="A235" i="28"/>
  <c r="D231" i="28"/>
  <c r="C231" i="28"/>
  <c r="A231" i="28"/>
  <c r="D227" i="28"/>
  <c r="A227" i="28"/>
  <c r="C227" i="28"/>
  <c r="D223" i="28"/>
  <c r="A223" i="28"/>
  <c r="C223" i="28"/>
  <c r="D219" i="28"/>
  <c r="C219" i="28"/>
  <c r="D215" i="28"/>
  <c r="A215" i="28"/>
  <c r="C215" i="28"/>
  <c r="D211" i="28"/>
  <c r="C211" i="28"/>
  <c r="A211" i="28"/>
  <c r="D207" i="28"/>
  <c r="A207" i="28"/>
  <c r="C207" i="28"/>
  <c r="D203" i="28"/>
  <c r="C203" i="28"/>
  <c r="A203" i="28"/>
  <c r="D199" i="28"/>
  <c r="A199" i="28"/>
  <c r="C199" i="28"/>
  <c r="D195" i="28"/>
  <c r="A195" i="28"/>
  <c r="C195" i="28"/>
  <c r="D191" i="28"/>
  <c r="A191" i="28"/>
  <c r="C191" i="28"/>
  <c r="D187" i="28"/>
  <c r="C187" i="28"/>
  <c r="A187" i="28"/>
  <c r="D183" i="28"/>
  <c r="A183" i="28"/>
  <c r="C183" i="28"/>
  <c r="D179" i="28"/>
  <c r="A179" i="28"/>
  <c r="C179" i="28"/>
  <c r="A175" i="28"/>
  <c r="C175" i="28"/>
  <c r="D175" i="28"/>
  <c r="A171" i="28"/>
  <c r="C171" i="28"/>
  <c r="D171" i="28"/>
  <c r="A167" i="28"/>
  <c r="C167" i="28"/>
  <c r="D167" i="28"/>
  <c r="A163" i="28"/>
  <c r="C163" i="28"/>
  <c r="D163" i="28"/>
  <c r="A159" i="28"/>
  <c r="D159" i="28"/>
  <c r="C159" i="28"/>
  <c r="A155" i="28"/>
  <c r="C155" i="28"/>
  <c r="D155" i="28"/>
  <c r="A151" i="28"/>
  <c r="C151" i="28"/>
  <c r="D151" i="28"/>
  <c r="A147" i="28"/>
  <c r="C147" i="28"/>
  <c r="D147" i="28"/>
  <c r="A143" i="28"/>
  <c r="D143" i="28"/>
  <c r="C143" i="28"/>
  <c r="A139" i="28"/>
  <c r="C139" i="28"/>
  <c r="D139" i="28"/>
  <c r="C131" i="28"/>
  <c r="A131" i="28"/>
  <c r="D131" i="28"/>
  <c r="A127" i="28"/>
  <c r="C127" i="28"/>
  <c r="D127" i="28"/>
  <c r="A123" i="28"/>
  <c r="D123" i="28"/>
  <c r="C123" i="28"/>
  <c r="A119" i="28"/>
  <c r="C119" i="28"/>
  <c r="D119" i="28"/>
  <c r="A115" i="28"/>
  <c r="C115" i="28"/>
  <c r="D115" i="28"/>
  <c r="A111" i="28"/>
  <c r="C111" i="28"/>
  <c r="D111" i="28"/>
  <c r="A107" i="28"/>
  <c r="D107" i="28"/>
  <c r="C107" i="28"/>
  <c r="A103" i="28"/>
  <c r="C103" i="28"/>
  <c r="D103" i="28"/>
  <c r="A99" i="28"/>
  <c r="C99" i="28"/>
  <c r="D99" i="28"/>
  <c r="A95" i="28"/>
  <c r="C95" i="28"/>
  <c r="D95" i="28"/>
  <c r="A91" i="28"/>
  <c r="D91" i="28"/>
  <c r="C91" i="28"/>
  <c r="A87" i="28"/>
  <c r="C87" i="28"/>
  <c r="D87" i="28"/>
  <c r="A83" i="28"/>
  <c r="D83" i="28"/>
  <c r="C83" i="28"/>
  <c r="A79" i="28"/>
  <c r="C79" i="28"/>
  <c r="D79" i="28"/>
  <c r="A75" i="28"/>
  <c r="D75" i="28"/>
  <c r="C75" i="28"/>
  <c r="A71" i="28"/>
  <c r="D71" i="28"/>
  <c r="C71" i="28"/>
  <c r="A67" i="28"/>
  <c r="C67" i="28"/>
  <c r="D67" i="28"/>
  <c r="A63" i="28"/>
  <c r="C63" i="28"/>
  <c r="D63" i="28"/>
  <c r="A59" i="28"/>
  <c r="D59" i="28"/>
  <c r="C59" i="28"/>
  <c r="A55" i="28"/>
  <c r="C55" i="28"/>
  <c r="D55" i="28"/>
  <c r="A51" i="28"/>
  <c r="C51" i="28"/>
  <c r="D51" i="28"/>
  <c r="A47" i="28"/>
  <c r="C47" i="28"/>
  <c r="D47" i="28"/>
  <c r="A43" i="28"/>
  <c r="D43" i="28"/>
  <c r="C43" i="28"/>
  <c r="C39" i="28"/>
  <c r="A39" i="28"/>
  <c r="C35" i="28"/>
  <c r="D35" i="28"/>
  <c r="A35" i="28"/>
  <c r="A23" i="28"/>
  <c r="C23" i="28"/>
  <c r="D23" i="28"/>
  <c r="C19" i="28"/>
  <c r="A19" i="28"/>
  <c r="D19" i="28"/>
  <c r="D15" i="28"/>
  <c r="A15" i="28"/>
  <c r="C15" i="28"/>
  <c r="C11" i="28"/>
  <c r="D11" i="28"/>
  <c r="A11" i="28"/>
  <c r="A7" i="28"/>
  <c r="C7" i="28"/>
  <c r="D7" i="28"/>
  <c r="D642" i="28"/>
  <c r="A640" i="28"/>
  <c r="A636" i="28"/>
  <c r="A631" i="28"/>
  <c r="A629" i="28"/>
  <c r="A627" i="28"/>
  <c r="A624" i="28"/>
  <c r="D622" i="28"/>
  <c r="A620" i="28"/>
  <c r="D618" i="28"/>
  <c r="A616" i="28"/>
  <c r="D614" i="28"/>
  <c r="A612" i="28"/>
  <c r="D610" i="28"/>
  <c r="A608" i="28"/>
  <c r="D606" i="28"/>
  <c r="A604" i="28"/>
  <c r="D602" i="28"/>
  <c r="A600" i="28"/>
  <c r="D598" i="28"/>
  <c r="A596" i="28"/>
  <c r="D594" i="28"/>
  <c r="A592" i="28"/>
  <c r="D590" i="28"/>
  <c r="A588" i="28"/>
  <c r="D586" i="28"/>
  <c r="A582" i="28"/>
  <c r="D580" i="28"/>
  <c r="C579" i="28"/>
  <c r="D535" i="28"/>
  <c r="D519" i="28"/>
  <c r="D503" i="28"/>
  <c r="D487" i="28"/>
  <c r="D471" i="28"/>
  <c r="A451" i="28"/>
  <c r="A419" i="28"/>
  <c r="A387" i="28"/>
  <c r="A355" i="28"/>
  <c r="A323" i="28"/>
  <c r="A299" i="28"/>
  <c r="A219" i="28"/>
  <c r="B578" i="28"/>
  <c r="A578" i="28"/>
  <c r="A574" i="28"/>
  <c r="C574" i="28"/>
  <c r="A570" i="28"/>
  <c r="C570" i="28"/>
  <c r="A566" i="28"/>
  <c r="C566" i="28"/>
  <c r="A558" i="28"/>
  <c r="C558" i="28"/>
  <c r="D558" i="28"/>
  <c r="C554" i="28"/>
  <c r="D554" i="28"/>
  <c r="C550" i="28"/>
  <c r="D550" i="28"/>
  <c r="D546" i="28"/>
  <c r="A546" i="28"/>
  <c r="D542" i="28"/>
  <c r="A542" i="28"/>
  <c r="D538" i="28"/>
  <c r="A538" i="28"/>
  <c r="D534" i="28"/>
  <c r="A534" i="28"/>
  <c r="D530" i="28"/>
  <c r="A530" i="28"/>
  <c r="D526" i="28"/>
  <c r="A526" i="28"/>
  <c r="D522" i="28"/>
  <c r="A522" i="28"/>
  <c r="D518" i="28"/>
  <c r="A518" i="28"/>
  <c r="D514" i="28"/>
  <c r="A514" i="28"/>
  <c r="D510" i="28"/>
  <c r="A510" i="28"/>
  <c r="D506" i="28"/>
  <c r="A506" i="28"/>
  <c r="D502" i="28"/>
  <c r="A502" i="28"/>
  <c r="D498" i="28"/>
  <c r="A498" i="28"/>
  <c r="D494" i="28"/>
  <c r="A494" i="28"/>
  <c r="D490" i="28"/>
  <c r="A490" i="28"/>
  <c r="D486" i="28"/>
  <c r="A486" i="28"/>
  <c r="D482" i="28"/>
  <c r="A482" i="28"/>
  <c r="D478" i="28"/>
  <c r="A478" i="28"/>
  <c r="D474" i="28"/>
  <c r="A474" i="28"/>
  <c r="D470" i="28"/>
  <c r="A470" i="28"/>
  <c r="D466" i="28"/>
  <c r="A466" i="28"/>
  <c r="D462" i="28"/>
  <c r="A462" i="28"/>
  <c r="C458" i="28"/>
  <c r="D458" i="28"/>
  <c r="A458" i="28"/>
  <c r="C454" i="28"/>
  <c r="D454" i="28"/>
  <c r="A454" i="28"/>
  <c r="C450" i="28"/>
  <c r="D450" i="28"/>
  <c r="A450" i="28"/>
  <c r="C446" i="28"/>
  <c r="D446" i="28"/>
  <c r="A446" i="28"/>
  <c r="C442" i="28"/>
  <c r="D442" i="28"/>
  <c r="A442" i="28"/>
  <c r="C438" i="28"/>
  <c r="D438" i="28"/>
  <c r="A438" i="28"/>
  <c r="C434" i="28"/>
  <c r="D434" i="28"/>
  <c r="A434" i="28"/>
  <c r="C430" i="28"/>
  <c r="D430" i="28"/>
  <c r="A430" i="28"/>
  <c r="C426" i="28"/>
  <c r="D426" i="28"/>
  <c r="A426" i="28"/>
  <c r="C422" i="28"/>
  <c r="D422" i="28"/>
  <c r="A422" i="28"/>
  <c r="C418" i="28"/>
  <c r="D418" i="28"/>
  <c r="A418" i="28"/>
  <c r="C414" i="28"/>
  <c r="D414" i="28"/>
  <c r="A414" i="28"/>
  <c r="C410" i="28"/>
  <c r="D410" i="28"/>
  <c r="A410" i="28"/>
  <c r="C406" i="28"/>
  <c r="D406" i="28"/>
  <c r="A406" i="28"/>
  <c r="C402" i="28"/>
  <c r="D402" i="28"/>
  <c r="A402" i="28"/>
  <c r="C398" i="28"/>
  <c r="D398" i="28"/>
  <c r="A398" i="28"/>
  <c r="C394" i="28"/>
  <c r="D394" i="28"/>
  <c r="A394" i="28"/>
  <c r="C390" i="28"/>
  <c r="D390" i="28"/>
  <c r="A390" i="28"/>
  <c r="C386" i="28"/>
  <c r="D386" i="28"/>
  <c r="A386" i="28"/>
  <c r="C382" i="28"/>
  <c r="D382" i="28"/>
  <c r="A382" i="28"/>
  <c r="C378" i="28"/>
  <c r="D378" i="28"/>
  <c r="A378" i="28"/>
  <c r="C374" i="28"/>
  <c r="D374" i="28"/>
  <c r="A374" i="28"/>
  <c r="C370" i="28"/>
  <c r="D370" i="28"/>
  <c r="A370" i="28"/>
  <c r="C366" i="28"/>
  <c r="D366" i="28"/>
  <c r="A366" i="28"/>
  <c r="C362" i="28"/>
  <c r="D362" i="28"/>
  <c r="A362" i="28"/>
  <c r="C358" i="28"/>
  <c r="D358" i="28"/>
  <c r="A358" i="28"/>
  <c r="C354" i="28"/>
  <c r="D354" i="28"/>
  <c r="A354" i="28"/>
  <c r="C350" i="28"/>
  <c r="D350" i="28"/>
  <c r="A350" i="28"/>
  <c r="C346" i="28"/>
  <c r="D346" i="28"/>
  <c r="A346" i="28"/>
  <c r="C342" i="28"/>
  <c r="D342" i="28"/>
  <c r="A342" i="28"/>
  <c r="C338" i="28"/>
  <c r="D338" i="28"/>
  <c r="A338" i="28"/>
  <c r="C334" i="28"/>
  <c r="D334" i="28"/>
  <c r="A334" i="28"/>
  <c r="C330" i="28"/>
  <c r="D330" i="28"/>
  <c r="A330" i="28"/>
  <c r="C326" i="28"/>
  <c r="D326" i="28"/>
  <c r="A326" i="28"/>
  <c r="C322" i="28"/>
  <c r="D322" i="28"/>
  <c r="A322" i="28"/>
  <c r="C318" i="28"/>
  <c r="D318" i="28"/>
  <c r="A318" i="28"/>
  <c r="C314" i="28"/>
  <c r="D314" i="28"/>
  <c r="A314" i="28"/>
  <c r="C310" i="28"/>
  <c r="D310" i="28"/>
  <c r="A310" i="28"/>
  <c r="C306" i="28"/>
  <c r="D306" i="28"/>
  <c r="C302" i="28"/>
  <c r="A302" i="28"/>
  <c r="A298" i="28"/>
  <c r="D298" i="28"/>
  <c r="C294" i="28"/>
  <c r="D294" i="28"/>
  <c r="A294" i="28"/>
  <c r="C290" i="28"/>
  <c r="A290" i="28"/>
  <c r="D290" i="28"/>
  <c r="C286" i="28"/>
  <c r="A286" i="28"/>
  <c r="D286" i="28"/>
  <c r="C282" i="28"/>
  <c r="A282" i="28"/>
  <c r="D282" i="28"/>
  <c r="C278" i="28"/>
  <c r="D278" i="28"/>
  <c r="A278" i="28"/>
  <c r="C274" i="28"/>
  <c r="D274" i="28"/>
  <c r="D270" i="28"/>
  <c r="C270" i="28"/>
  <c r="A270" i="28"/>
  <c r="A266" i="28"/>
  <c r="C266" i="28"/>
  <c r="D266" i="28"/>
  <c r="A262" i="28"/>
  <c r="D262" i="28"/>
  <c r="C262" i="28"/>
  <c r="A258" i="28"/>
  <c r="C258" i="28"/>
  <c r="A254" i="28"/>
  <c r="D254" i="28"/>
  <c r="C254" i="28"/>
  <c r="B250" i="28"/>
  <c r="A250" i="28"/>
  <c r="B246" i="28"/>
  <c r="D246" i="28"/>
  <c r="A246" i="28"/>
  <c r="C242" i="28"/>
  <c r="D242" i="28"/>
  <c r="A242" i="28"/>
  <c r="C238" i="28"/>
  <c r="D238" i="28"/>
  <c r="C234" i="28"/>
  <c r="A234" i="28"/>
  <c r="D234" i="28"/>
  <c r="C230" i="28"/>
  <c r="A230" i="28"/>
  <c r="D230" i="28"/>
  <c r="C226" i="28"/>
  <c r="D226" i="28"/>
  <c r="A226" i="28"/>
  <c r="C222" i="28"/>
  <c r="A222" i="28"/>
  <c r="D222" i="28"/>
  <c r="C218" i="28"/>
  <c r="A218" i="28"/>
  <c r="D218" i="28"/>
  <c r="C214" i="28"/>
  <c r="A214" i="28"/>
  <c r="D214" i="28"/>
  <c r="C210" i="28"/>
  <c r="D210" i="28"/>
  <c r="A210" i="28"/>
  <c r="C206" i="28"/>
  <c r="A206" i="28"/>
  <c r="C202" i="28"/>
  <c r="A202" i="28"/>
  <c r="D202" i="28"/>
  <c r="C198" i="28"/>
  <c r="A198" i="28"/>
  <c r="D198" i="28"/>
  <c r="C194" i="28"/>
  <c r="D194" i="28"/>
  <c r="A194" i="28"/>
  <c r="C190" i="28"/>
  <c r="A190" i="28"/>
  <c r="D190" i="28"/>
  <c r="C186" i="28"/>
  <c r="A186" i="28"/>
  <c r="D186" i="28"/>
  <c r="C182" i="28"/>
  <c r="A182" i="28"/>
  <c r="D182" i="28"/>
  <c r="C178" i="28"/>
  <c r="A178" i="28"/>
  <c r="C174" i="28"/>
  <c r="D174" i="28"/>
  <c r="A174" i="28"/>
  <c r="D170" i="28"/>
  <c r="C170" i="28"/>
  <c r="A170" i="28"/>
  <c r="D166" i="28"/>
  <c r="A166" i="28"/>
  <c r="C166" i="28"/>
  <c r="A162" i="28"/>
  <c r="C162" i="28"/>
  <c r="D162" i="28"/>
  <c r="A158" i="28"/>
  <c r="C158" i="28"/>
  <c r="D158" i="28"/>
  <c r="C154" i="28"/>
  <c r="D154" i="28"/>
  <c r="A154" i="28"/>
  <c r="D150" i="28"/>
  <c r="A150" i="28"/>
  <c r="C150" i="28"/>
  <c r="A146" i="28"/>
  <c r="D146" i="28"/>
  <c r="A142" i="28"/>
  <c r="C142" i="28"/>
  <c r="D142" i="28"/>
  <c r="C138" i="28"/>
  <c r="D138" i="28"/>
  <c r="A138" i="28"/>
  <c r="A134" i="28"/>
  <c r="C134" i="28"/>
  <c r="D134" i="28"/>
  <c r="A130" i="28"/>
  <c r="C130" i="28"/>
  <c r="D130" i="28"/>
  <c r="C126" i="28"/>
  <c r="D126" i="28"/>
  <c r="A126" i="28"/>
  <c r="A122" i="28"/>
  <c r="C122" i="28"/>
  <c r="D122" i="28"/>
  <c r="C118" i="28"/>
  <c r="A118" i="28"/>
  <c r="D118" i="28"/>
  <c r="D114" i="28"/>
  <c r="C114" i="28"/>
  <c r="A114" i="28"/>
  <c r="A110" i="28"/>
  <c r="C110" i="28"/>
  <c r="D110" i="28"/>
  <c r="A106" i="28"/>
  <c r="C106" i="28"/>
  <c r="D106" i="28"/>
  <c r="C102" i="28"/>
  <c r="D102" i="28"/>
  <c r="A102" i="28"/>
  <c r="D98" i="28"/>
  <c r="A98" i="28"/>
  <c r="C98" i="28"/>
  <c r="A94" i="28"/>
  <c r="C94" i="28"/>
  <c r="D94" i="28"/>
  <c r="A90" i="28"/>
  <c r="D90" i="28"/>
  <c r="C90" i="28"/>
  <c r="C86" i="28"/>
  <c r="A86" i="28"/>
  <c r="D86" i="28"/>
  <c r="D82" i="28"/>
  <c r="A82" i="28"/>
  <c r="C82" i="28"/>
  <c r="D78" i="28"/>
  <c r="A78" i="28"/>
  <c r="A74" i="28"/>
  <c r="C74" i="28"/>
  <c r="D74" i="28"/>
  <c r="C70" i="28"/>
  <c r="A70" i="28"/>
  <c r="D70" i="28"/>
  <c r="D66" i="28"/>
  <c r="A66" i="28"/>
  <c r="C66" i="28"/>
  <c r="C62" i="28"/>
  <c r="D62" i="28"/>
  <c r="A62" i="28"/>
  <c r="A58" i="28"/>
  <c r="C58" i="28"/>
  <c r="D58" i="28"/>
  <c r="C54" i="28"/>
  <c r="A54" i="28"/>
  <c r="D54" i="28"/>
  <c r="D50" i="28"/>
  <c r="C50" i="28"/>
  <c r="A50" i="28"/>
  <c r="A46" i="28"/>
  <c r="C46" i="28"/>
  <c r="D46" i="28"/>
  <c r="A42" i="28"/>
  <c r="C42" i="28"/>
  <c r="D42" i="28"/>
  <c r="C38" i="28"/>
  <c r="A38" i="28"/>
  <c r="D38" i="28"/>
  <c r="D34" i="28"/>
  <c r="A34" i="28"/>
  <c r="C34" i="28"/>
  <c r="D22" i="28"/>
  <c r="A22" i="28"/>
  <c r="C22" i="28"/>
  <c r="D18" i="28"/>
  <c r="C18" i="28"/>
  <c r="A18" i="28"/>
  <c r="D14" i="28"/>
  <c r="A14" i="28"/>
  <c r="C14" i="28"/>
  <c r="D10" i="28"/>
  <c r="C10" i="28"/>
  <c r="A10" i="28"/>
  <c r="A6" i="28"/>
  <c r="D6" i="28"/>
  <c r="C642" i="28"/>
  <c r="A632" i="28"/>
  <c r="D630" i="28"/>
  <c r="D628" i="28"/>
  <c r="D626" i="28"/>
  <c r="C622" i="28"/>
  <c r="C618" i="28"/>
  <c r="C614" i="28"/>
  <c r="C610" i="28"/>
  <c r="C606" i="28"/>
  <c r="C602" i="28"/>
  <c r="C598" i="28"/>
  <c r="C594" i="28"/>
  <c r="C590" i="28"/>
  <c r="C586" i="28"/>
  <c r="C580" i="28"/>
  <c r="D566" i="28"/>
  <c r="C534" i="28"/>
  <c r="C518" i="28"/>
  <c r="C502" i="28"/>
  <c r="C486" i="28"/>
  <c r="C470" i="28"/>
  <c r="A238" i="28"/>
  <c r="D577" i="28"/>
  <c r="A577" i="28"/>
  <c r="D573" i="28"/>
  <c r="A573" i="28"/>
  <c r="D569" i="28"/>
  <c r="A569" i="28"/>
  <c r="D565" i="28"/>
  <c r="A565" i="28"/>
  <c r="D553" i="28"/>
  <c r="C553" i="28"/>
  <c r="A549" i="28"/>
  <c r="C549" i="28"/>
  <c r="D549" i="28"/>
  <c r="C545" i="28"/>
  <c r="D545" i="28"/>
  <c r="C541" i="28"/>
  <c r="D541" i="28"/>
  <c r="C537" i="28"/>
  <c r="D537" i="28"/>
  <c r="C533" i="28"/>
  <c r="D533" i="28"/>
  <c r="C529" i="28"/>
  <c r="D529" i="28"/>
  <c r="C525" i="28"/>
  <c r="D525" i="28"/>
  <c r="C521" i="28"/>
  <c r="D521" i="28"/>
  <c r="C517" i="28"/>
  <c r="D517" i="28"/>
  <c r="C513" i="28"/>
  <c r="D513" i="28"/>
  <c r="C509" i="28"/>
  <c r="D509" i="28"/>
  <c r="C505" i="28"/>
  <c r="D505" i="28"/>
  <c r="C501" i="28"/>
  <c r="D501" i="28"/>
  <c r="C497" i="28"/>
  <c r="D497" i="28"/>
  <c r="C493" i="28"/>
  <c r="D493" i="28"/>
  <c r="C489" i="28"/>
  <c r="D489" i="28"/>
  <c r="C485" i="28"/>
  <c r="D485" i="28"/>
  <c r="C481" i="28"/>
  <c r="D481" i="28"/>
  <c r="C477" i="28"/>
  <c r="D477" i="28"/>
  <c r="C473" i="28"/>
  <c r="D473" i="28"/>
  <c r="C469" i="28"/>
  <c r="D469" i="28"/>
  <c r="C465" i="28"/>
  <c r="D465" i="28"/>
  <c r="C461" i="28"/>
  <c r="D461" i="28"/>
  <c r="A457" i="28"/>
  <c r="C457" i="28"/>
  <c r="D457" i="28"/>
  <c r="A453" i="28"/>
  <c r="C453" i="28"/>
  <c r="A449" i="28"/>
  <c r="C449" i="28"/>
  <c r="D449" i="28"/>
  <c r="A445" i="28"/>
  <c r="C445" i="28"/>
  <c r="A441" i="28"/>
  <c r="C441" i="28"/>
  <c r="D441" i="28"/>
  <c r="A437" i="28"/>
  <c r="C437" i="28"/>
  <c r="A433" i="28"/>
  <c r="C433" i="28"/>
  <c r="D433" i="28"/>
  <c r="A429" i="28"/>
  <c r="C429" i="28"/>
  <c r="A425" i="28"/>
  <c r="C425" i="28"/>
  <c r="D425" i="28"/>
  <c r="A421" i="28"/>
  <c r="C421" i="28"/>
  <c r="A417" i="28"/>
  <c r="C417" i="28"/>
  <c r="D417" i="28"/>
  <c r="A413" i="28"/>
  <c r="C413" i="28"/>
  <c r="A409" i="28"/>
  <c r="C409" i="28"/>
  <c r="D409" i="28"/>
  <c r="A405" i="28"/>
  <c r="C405" i="28"/>
  <c r="A401" i="28"/>
  <c r="C401" i="28"/>
  <c r="D401" i="28"/>
  <c r="A397" i="28"/>
  <c r="C397" i="28"/>
  <c r="A393" i="28"/>
  <c r="C393" i="28"/>
  <c r="D393" i="28"/>
  <c r="A389" i="28"/>
  <c r="C389" i="28"/>
  <c r="A385" i="28"/>
  <c r="C385" i="28"/>
  <c r="D385" i="28"/>
  <c r="A381" i="28"/>
  <c r="C381" i="28"/>
  <c r="A377" i="28"/>
  <c r="C377" i="28"/>
  <c r="D377" i="28"/>
  <c r="A373" i="28"/>
  <c r="C373" i="28"/>
  <c r="A369" i="28"/>
  <c r="C369" i="28"/>
  <c r="D369" i="28"/>
  <c r="A365" i="28"/>
  <c r="C365" i="28"/>
  <c r="A361" i="28"/>
  <c r="C361" i="28"/>
  <c r="D361" i="28"/>
  <c r="A357" i="28"/>
  <c r="C357" i="28"/>
  <c r="A353" i="28"/>
  <c r="C353" i="28"/>
  <c r="D353" i="28"/>
  <c r="A349" i="28"/>
  <c r="C349" i="28"/>
  <c r="A345" i="28"/>
  <c r="C345" i="28"/>
  <c r="D345" i="28"/>
  <c r="A341" i="28"/>
  <c r="C341" i="28"/>
  <c r="A337" i="28"/>
  <c r="C337" i="28"/>
  <c r="D337" i="28"/>
  <c r="A333" i="28"/>
  <c r="C333" i="28"/>
  <c r="A329" i="28"/>
  <c r="C329" i="28"/>
  <c r="D329" i="28"/>
  <c r="A325" i="28"/>
  <c r="C325" i="28"/>
  <c r="A321" i="28"/>
  <c r="C321" i="28"/>
  <c r="D321" i="28"/>
  <c r="A317" i="28"/>
  <c r="C317" i="28"/>
  <c r="A313" i="28"/>
  <c r="C313" i="28"/>
  <c r="D313" i="28"/>
  <c r="A309" i="28"/>
  <c r="C309" i="28"/>
  <c r="A305" i="28"/>
  <c r="C305" i="28"/>
  <c r="D305" i="28"/>
  <c r="A301" i="28"/>
  <c r="D301" i="28"/>
  <c r="C301" i="28"/>
  <c r="A297" i="28"/>
  <c r="C297" i="28"/>
  <c r="D297" i="28"/>
  <c r="A293" i="28"/>
  <c r="C293" i="28"/>
  <c r="D293" i="28"/>
  <c r="A289" i="28"/>
  <c r="C289" i="28"/>
  <c r="D289" i="28"/>
  <c r="A285" i="28"/>
  <c r="D285" i="28"/>
  <c r="C285" i="28"/>
  <c r="A281" i="28"/>
  <c r="D281" i="28"/>
  <c r="A277" i="28"/>
  <c r="C277" i="28"/>
  <c r="D273" i="28"/>
  <c r="A273" i="28"/>
  <c r="C273" i="28"/>
  <c r="D269" i="28"/>
  <c r="A269" i="28"/>
  <c r="A265" i="28"/>
  <c r="C265" i="28"/>
  <c r="D265" i="28"/>
  <c r="A261" i="28"/>
  <c r="C261" i="28"/>
  <c r="D261" i="28"/>
  <c r="C257" i="28"/>
  <c r="D257" i="28"/>
  <c r="A257" i="28"/>
  <c r="A249" i="28"/>
  <c r="C249" i="28"/>
  <c r="D249" i="28"/>
  <c r="D245" i="28"/>
  <c r="A245" i="28"/>
  <c r="C245" i="28"/>
  <c r="A241" i="28"/>
  <c r="C241" i="28"/>
  <c r="D241" i="28"/>
  <c r="A237" i="28"/>
  <c r="C237" i="28"/>
  <c r="D237" i="28"/>
  <c r="A233" i="28"/>
  <c r="D233" i="28"/>
  <c r="C233" i="28"/>
  <c r="A229" i="28"/>
  <c r="C229" i="28"/>
  <c r="D229" i="28"/>
  <c r="A225" i="28"/>
  <c r="C225" i="28"/>
  <c r="A221" i="28"/>
  <c r="C221" i="28"/>
  <c r="D221" i="28"/>
  <c r="A217" i="28"/>
  <c r="D217" i="28"/>
  <c r="C217" i="28"/>
  <c r="A213" i="28"/>
  <c r="D213" i="28"/>
  <c r="A209" i="28"/>
  <c r="C209" i="28"/>
  <c r="D209" i="28"/>
  <c r="A205" i="28"/>
  <c r="C205" i="28"/>
  <c r="D205" i="28"/>
  <c r="A201" i="28"/>
  <c r="D201" i="28"/>
  <c r="C201" i="28"/>
  <c r="A197" i="28"/>
  <c r="D197" i="28"/>
  <c r="C197" i="28"/>
  <c r="A193" i="28"/>
  <c r="C193" i="28"/>
  <c r="D193" i="28"/>
  <c r="A189" i="28"/>
  <c r="C189" i="28"/>
  <c r="D189" i="28"/>
  <c r="A185" i="28"/>
  <c r="D185" i="28"/>
  <c r="C185" i="28"/>
  <c r="A181" i="28"/>
  <c r="D181" i="28"/>
  <c r="C181" i="28"/>
  <c r="D177" i="28"/>
  <c r="C177" i="28"/>
  <c r="A177" i="28"/>
  <c r="D173" i="28"/>
  <c r="A173" i="28"/>
  <c r="D169" i="28"/>
  <c r="A169" i="28"/>
  <c r="C169" i="28"/>
  <c r="D165" i="28"/>
  <c r="A165" i="28"/>
  <c r="C165" i="28"/>
  <c r="D161" i="28"/>
  <c r="C161" i="28"/>
  <c r="A161" i="28"/>
  <c r="D157" i="28"/>
  <c r="A157" i="28"/>
  <c r="C157" i="28"/>
  <c r="D153" i="28"/>
  <c r="A153" i="28"/>
  <c r="C153" i="28"/>
  <c r="D149" i="28"/>
  <c r="A149" i="28"/>
  <c r="C149" i="28"/>
  <c r="D145" i="28"/>
  <c r="C145" i="28"/>
  <c r="A145" i="28"/>
  <c r="D141" i="28"/>
  <c r="A141" i="28"/>
  <c r="C141" i="28"/>
  <c r="D137" i="28"/>
  <c r="A137" i="28"/>
  <c r="C137" i="28"/>
  <c r="D133" i="28"/>
  <c r="A133" i="28"/>
  <c r="C133" i="28"/>
  <c r="A129" i="28"/>
  <c r="C129" i="28"/>
  <c r="D129" i="28"/>
  <c r="D125" i="28"/>
  <c r="C125" i="28"/>
  <c r="A125" i="28"/>
  <c r="D121" i="28"/>
  <c r="C121" i="28"/>
  <c r="A121" i="28"/>
  <c r="D117" i="28"/>
  <c r="A117" i="28"/>
  <c r="C117" i="28"/>
  <c r="D113" i="28"/>
  <c r="A113" i="28"/>
  <c r="C113" i="28"/>
  <c r="D109" i="28"/>
  <c r="C109" i="28"/>
  <c r="A109" i="28"/>
  <c r="D105" i="28"/>
  <c r="A105" i="28"/>
  <c r="C105" i="28"/>
  <c r="D101" i="28"/>
  <c r="A101" i="28"/>
  <c r="C101" i="28"/>
  <c r="D97" i="28"/>
  <c r="A97" i="28"/>
  <c r="C97" i="28"/>
  <c r="D93" i="28"/>
  <c r="C93" i="28"/>
  <c r="A93" i="28"/>
  <c r="D89" i="28"/>
  <c r="A89" i="28"/>
  <c r="C89" i="28"/>
  <c r="D85" i="28"/>
  <c r="A85" i="28"/>
  <c r="C85" i="28"/>
  <c r="D81" i="28"/>
  <c r="A81" i="28"/>
  <c r="C81" i="28"/>
  <c r="D77" i="28"/>
  <c r="C77" i="28"/>
  <c r="A77" i="28"/>
  <c r="D73" i="28"/>
  <c r="A73" i="28"/>
  <c r="C73" i="28"/>
  <c r="D69" i="28"/>
  <c r="C69" i="28"/>
  <c r="A69" i="28"/>
  <c r="D65" i="28"/>
  <c r="A65" i="28"/>
  <c r="C65" i="28"/>
  <c r="D61" i="28"/>
  <c r="C61" i="28"/>
  <c r="A61" i="28"/>
  <c r="D57" i="28"/>
  <c r="C57" i="28"/>
  <c r="A57" i="28"/>
  <c r="D53" i="28"/>
  <c r="A53" i="28"/>
  <c r="C53" i="28"/>
  <c r="D49" i="28"/>
  <c r="A49" i="28"/>
  <c r="C49" i="28"/>
  <c r="D45" i="28"/>
  <c r="C45" i="28"/>
  <c r="A45" i="28"/>
  <c r="D41" i="28"/>
  <c r="A41" i="28"/>
  <c r="C41" i="28"/>
  <c r="D37" i="28"/>
  <c r="C37" i="28"/>
  <c r="C33" i="28"/>
  <c r="D33" i="28"/>
  <c r="A33" i="28"/>
  <c r="D29" i="28"/>
  <c r="C29" i="28"/>
  <c r="A29" i="28"/>
  <c r="C25" i="28"/>
  <c r="D25" i="28"/>
  <c r="A25" i="28"/>
  <c r="C21" i="28"/>
  <c r="A21" i="28"/>
  <c r="D21" i="28"/>
  <c r="C17" i="28"/>
  <c r="D17" i="28"/>
  <c r="A17" i="28"/>
  <c r="C13" i="28"/>
  <c r="D13" i="28"/>
  <c r="A13" i="28"/>
  <c r="C9" i="28"/>
  <c r="A9" i="28"/>
  <c r="D9" i="28"/>
  <c r="D640" i="28"/>
  <c r="A639" i="28"/>
  <c r="A630" i="28"/>
  <c r="A628" i="28"/>
  <c r="A626" i="28"/>
  <c r="D624" i="28"/>
  <c r="D620" i="28"/>
  <c r="D616" i="28"/>
  <c r="D612" i="28"/>
  <c r="D608" i="28"/>
  <c r="D604" i="28"/>
  <c r="D600" i="28"/>
  <c r="D596" i="28"/>
  <c r="D592" i="28"/>
  <c r="D588" i="28"/>
  <c r="D584" i="28"/>
  <c r="D582" i="28"/>
  <c r="D570" i="28"/>
  <c r="C565" i="28"/>
  <c r="C557" i="28"/>
  <c r="A550" i="28"/>
  <c r="D543" i="28"/>
  <c r="C538" i="28"/>
  <c r="A533" i="28"/>
  <c r="D527" i="28"/>
  <c r="C522" i="28"/>
  <c r="A517" i="28"/>
  <c r="D511" i="28"/>
  <c r="C506" i="28"/>
  <c r="A501" i="28"/>
  <c r="D495" i="28"/>
  <c r="C490" i="28"/>
  <c r="A485" i="28"/>
  <c r="D479" i="28"/>
  <c r="C474" i="28"/>
  <c r="A469" i="28"/>
  <c r="D463" i="28"/>
  <c r="D445" i="28"/>
  <c r="A435" i="28"/>
  <c r="D413" i="28"/>
  <c r="A403" i="28"/>
  <c r="D381" i="28"/>
  <c r="A371" i="28"/>
  <c r="D349" i="28"/>
  <c r="A339" i="28"/>
  <c r="D317" i="28"/>
  <c r="A306" i="28"/>
  <c r="D277" i="28"/>
  <c r="D258" i="28"/>
  <c r="D206" i="28"/>
  <c r="C576" i="28"/>
  <c r="D576" i="28"/>
  <c r="C572" i="28"/>
  <c r="D572" i="28"/>
  <c r="C568" i="28"/>
  <c r="D568" i="28"/>
  <c r="C564" i="28"/>
  <c r="D564" i="28"/>
  <c r="D560" i="28"/>
  <c r="A560" i="28"/>
  <c r="C556" i="28"/>
  <c r="D556" i="28"/>
  <c r="D552" i="28"/>
  <c r="C552" i="28"/>
  <c r="A548" i="28"/>
  <c r="C548" i="28"/>
  <c r="A544" i="28"/>
  <c r="C544" i="28"/>
  <c r="D544" i="28"/>
  <c r="A540" i="28"/>
  <c r="C540" i="28"/>
  <c r="D540" i="28"/>
  <c r="A536" i="28"/>
  <c r="C536" i="28"/>
  <c r="D536" i="28"/>
  <c r="A532" i="28"/>
  <c r="C532" i="28"/>
  <c r="D532" i="28"/>
  <c r="A528" i="28"/>
  <c r="C528" i="28"/>
  <c r="D528" i="28"/>
  <c r="A524" i="28"/>
  <c r="C524" i="28"/>
  <c r="D524" i="28"/>
  <c r="A520" i="28"/>
  <c r="C520" i="28"/>
  <c r="D520" i="28"/>
  <c r="A516" i="28"/>
  <c r="C516" i="28"/>
  <c r="D516" i="28"/>
  <c r="A512" i="28"/>
  <c r="C512" i="28"/>
  <c r="D512" i="28"/>
  <c r="A508" i="28"/>
  <c r="C508" i="28"/>
  <c r="D508" i="28"/>
  <c r="A504" i="28"/>
  <c r="C504" i="28"/>
  <c r="D504" i="28"/>
  <c r="A500" i="28"/>
  <c r="C500" i="28"/>
  <c r="D500" i="28"/>
  <c r="A496" i="28"/>
  <c r="C496" i="28"/>
  <c r="D496" i="28"/>
  <c r="A492" i="28"/>
  <c r="C492" i="28"/>
  <c r="D492" i="28"/>
  <c r="A488" i="28"/>
  <c r="C488" i="28"/>
  <c r="D488" i="28"/>
  <c r="A484" i="28"/>
  <c r="C484" i="28"/>
  <c r="D484" i="28"/>
  <c r="A480" i="28"/>
  <c r="C480" i="28"/>
  <c r="D480" i="28"/>
  <c r="A476" i="28"/>
  <c r="C476" i="28"/>
  <c r="D476" i="28"/>
  <c r="A472" i="28"/>
  <c r="C472" i="28"/>
  <c r="D472" i="28"/>
  <c r="A468" i="28"/>
  <c r="C468" i="28"/>
  <c r="D468" i="28"/>
  <c r="A464" i="28"/>
  <c r="C464" i="28"/>
  <c r="D464" i="28"/>
  <c r="A460" i="28"/>
  <c r="C460" i="28"/>
  <c r="D460" i="28"/>
  <c r="A456" i="28"/>
  <c r="D456" i="28"/>
  <c r="A452" i="28"/>
  <c r="C452" i="28"/>
  <c r="D452" i="28"/>
  <c r="A448" i="28"/>
  <c r="D448" i="28"/>
  <c r="A444" i="28"/>
  <c r="C444" i="28"/>
  <c r="D444" i="28"/>
  <c r="A440" i="28"/>
  <c r="D440" i="28"/>
  <c r="A436" i="28"/>
  <c r="C436" i="28"/>
  <c r="D436" i="28"/>
  <c r="A432" i="28"/>
  <c r="D432" i="28"/>
  <c r="A428" i="28"/>
  <c r="C428" i="28"/>
  <c r="D428" i="28"/>
  <c r="A424" i="28"/>
  <c r="D424" i="28"/>
  <c r="A420" i="28"/>
  <c r="C420" i="28"/>
  <c r="D420" i="28"/>
  <c r="A416" i="28"/>
  <c r="D416" i="28"/>
  <c r="A412" i="28"/>
  <c r="C412" i="28"/>
  <c r="D412" i="28"/>
  <c r="A408" i="28"/>
  <c r="D408" i="28"/>
  <c r="A404" i="28"/>
  <c r="C404" i="28"/>
  <c r="D404" i="28"/>
  <c r="A400" i="28"/>
  <c r="D400" i="28"/>
  <c r="A396" i="28"/>
  <c r="C396" i="28"/>
  <c r="D396" i="28"/>
  <c r="A392" i="28"/>
  <c r="D392" i="28"/>
  <c r="A388" i="28"/>
  <c r="C388" i="28"/>
  <c r="D388" i="28"/>
  <c r="A384" i="28"/>
  <c r="D384" i="28"/>
  <c r="A380" i="28"/>
  <c r="C380" i="28"/>
  <c r="D380" i="28"/>
  <c r="A376" i="28"/>
  <c r="D376" i="28"/>
  <c r="A372" i="28"/>
  <c r="C372" i="28"/>
  <c r="D372" i="28"/>
  <c r="A368" i="28"/>
  <c r="D368" i="28"/>
  <c r="A364" i="28"/>
  <c r="C364" i="28"/>
  <c r="D364" i="28"/>
  <c r="A360" i="28"/>
  <c r="D360" i="28"/>
  <c r="A356" i="28"/>
  <c r="C356" i="28"/>
  <c r="D356" i="28"/>
  <c r="A352" i="28"/>
  <c r="D352" i="28"/>
  <c r="A348" i="28"/>
  <c r="C348" i="28"/>
  <c r="D348" i="28"/>
  <c r="A344" i="28"/>
  <c r="D344" i="28"/>
  <c r="A340" i="28"/>
  <c r="C340" i="28"/>
  <c r="D340" i="28"/>
  <c r="A336" i="28"/>
  <c r="D336" i="28"/>
  <c r="A332" i="28"/>
  <c r="C332" i="28"/>
  <c r="D332" i="28"/>
  <c r="A328" i="28"/>
  <c r="D328" i="28"/>
  <c r="A324" i="28"/>
  <c r="C324" i="28"/>
  <c r="D324" i="28"/>
  <c r="A320" i="28"/>
  <c r="D320" i="28"/>
  <c r="A316" i="28"/>
  <c r="C316" i="28"/>
  <c r="D316" i="28"/>
  <c r="A312" i="28"/>
  <c r="D312" i="28"/>
  <c r="D308" i="28"/>
  <c r="A308" i="28"/>
  <c r="C308" i="28"/>
  <c r="A304" i="28"/>
  <c r="C304" i="28"/>
  <c r="D304" i="28"/>
  <c r="A300" i="28"/>
  <c r="C300" i="28"/>
  <c r="D300" i="28"/>
  <c r="C296" i="28"/>
  <c r="D296" i="28"/>
  <c r="A296" i="28"/>
  <c r="D292" i="28"/>
  <c r="C292" i="28"/>
  <c r="A288" i="28"/>
  <c r="D288" i="28"/>
  <c r="A284" i="28"/>
  <c r="C284" i="28"/>
  <c r="C280" i="28"/>
  <c r="D280" i="28"/>
  <c r="A280" i="28"/>
  <c r="D276" i="28"/>
  <c r="A276" i="28"/>
  <c r="C276" i="28"/>
  <c r="C272" i="28"/>
  <c r="D272" i="28"/>
  <c r="A272" i="28"/>
  <c r="C268" i="28"/>
  <c r="A268" i="28"/>
  <c r="D268" i="28"/>
  <c r="D264" i="28"/>
  <c r="C264" i="28"/>
  <c r="A264" i="28"/>
  <c r="D260" i="28"/>
  <c r="A260" i="28"/>
  <c r="C260" i="28"/>
  <c r="D256" i="28"/>
  <c r="A256" i="28"/>
  <c r="C256" i="28"/>
  <c r="C252" i="28"/>
  <c r="D252" i="28"/>
  <c r="A252" i="28"/>
  <c r="D248" i="28"/>
  <c r="C248" i="28"/>
  <c r="C244" i="28"/>
  <c r="A244" i="28"/>
  <c r="D240" i="28"/>
  <c r="A240" i="28"/>
  <c r="C240" i="28"/>
  <c r="C236" i="28"/>
  <c r="D236" i="28"/>
  <c r="A236" i="28"/>
  <c r="A232" i="28"/>
  <c r="D232" i="28"/>
  <c r="C228" i="28"/>
  <c r="A228" i="28"/>
  <c r="D228" i="28"/>
  <c r="D224" i="28"/>
  <c r="C224" i="28"/>
  <c r="A224" i="28"/>
  <c r="A220" i="28"/>
  <c r="D220" i="28"/>
  <c r="C220" i="28"/>
  <c r="A216" i="28"/>
  <c r="C216" i="28"/>
  <c r="D216" i="28"/>
  <c r="C212" i="28"/>
  <c r="D212" i="28"/>
  <c r="A212" i="28"/>
  <c r="D208" i="28"/>
  <c r="A208" i="28"/>
  <c r="C208" i="28"/>
  <c r="D204" i="28"/>
  <c r="A204" i="28"/>
  <c r="C204" i="28"/>
  <c r="A200" i="28"/>
  <c r="D200" i="28"/>
  <c r="C196" i="28"/>
  <c r="A196" i="28"/>
  <c r="D196" i="28"/>
  <c r="D192" i="28"/>
  <c r="C192" i="28"/>
  <c r="A192" i="28"/>
  <c r="A188" i="28"/>
  <c r="D188" i="28"/>
  <c r="A184" i="28"/>
  <c r="C184" i="28"/>
  <c r="D184" i="28"/>
  <c r="C180" i="28"/>
  <c r="D180" i="28"/>
  <c r="A180" i="28"/>
  <c r="C176" i="28"/>
  <c r="A176" i="28"/>
  <c r="D176" i="28"/>
  <c r="C172" i="28"/>
  <c r="D172" i="28"/>
  <c r="A172" i="28"/>
  <c r="C168" i="28"/>
  <c r="D168" i="28"/>
  <c r="A168" i="28"/>
  <c r="C164" i="28"/>
  <c r="A164" i="28"/>
  <c r="D164" i="28"/>
  <c r="C160" i="28"/>
  <c r="A160" i="28"/>
  <c r="D160" i="28"/>
  <c r="C156" i="28"/>
  <c r="A156" i="28"/>
  <c r="D156" i="28"/>
  <c r="C152" i="28"/>
  <c r="D152" i="28"/>
  <c r="A152" i="28"/>
  <c r="C148" i="28"/>
  <c r="A148" i="28"/>
  <c r="C144" i="28"/>
  <c r="A144" i="28"/>
  <c r="D144" i="28"/>
  <c r="C140" i="28"/>
  <c r="A140" i="28"/>
  <c r="D140" i="28"/>
  <c r="C136" i="28"/>
  <c r="D136" i="28"/>
  <c r="A136" i="28"/>
  <c r="D132" i="28"/>
  <c r="A132" i="28"/>
  <c r="C132" i="28"/>
  <c r="D128" i="28"/>
  <c r="C128" i="28"/>
  <c r="A128" i="28"/>
  <c r="C124" i="28"/>
  <c r="A124" i="28"/>
  <c r="D124" i="28"/>
  <c r="C120" i="28"/>
  <c r="A120" i="28"/>
  <c r="D120" i="28"/>
  <c r="C116" i="28"/>
  <c r="D116" i="28"/>
  <c r="C112" i="28"/>
  <c r="A112" i="28"/>
  <c r="D112" i="28"/>
  <c r="C108" i="28"/>
  <c r="A108" i="28"/>
  <c r="D108" i="28"/>
  <c r="C104" i="28"/>
  <c r="A104" i="28"/>
  <c r="D104" i="28"/>
  <c r="C100" i="28"/>
  <c r="D100" i="28"/>
  <c r="A100" i="28"/>
  <c r="C96" i="28"/>
  <c r="A96" i="28"/>
  <c r="D96" i="28"/>
  <c r="C92" i="28"/>
  <c r="A92" i="28"/>
  <c r="D92" i="28"/>
  <c r="C88" i="28"/>
  <c r="A88" i="28"/>
  <c r="D88" i="28"/>
  <c r="C84" i="28"/>
  <c r="D84" i="28"/>
  <c r="A84" i="28"/>
  <c r="C80" i="28"/>
  <c r="A80" i="28"/>
  <c r="D80" i="28"/>
  <c r="C76" i="28"/>
  <c r="D76" i="28"/>
  <c r="A76" i="28"/>
  <c r="C72" i="28"/>
  <c r="A72" i="28"/>
  <c r="D72" i="28"/>
  <c r="C68" i="28"/>
  <c r="D68" i="28"/>
  <c r="A68" i="28"/>
  <c r="C64" i="28"/>
  <c r="D64" i="28"/>
  <c r="A64" i="28"/>
  <c r="C60" i="28"/>
  <c r="A60" i="28"/>
  <c r="D60" i="28"/>
  <c r="C56" i="28"/>
  <c r="A56" i="28"/>
  <c r="D56" i="28"/>
  <c r="C52" i="28"/>
  <c r="D52" i="28"/>
  <c r="A52" i="28"/>
  <c r="C48" i="28"/>
  <c r="A48" i="28"/>
  <c r="D48" i="28"/>
  <c r="C44" i="28"/>
  <c r="A44" i="28"/>
  <c r="D44" i="28"/>
  <c r="C32" i="28"/>
  <c r="A32" i="28"/>
  <c r="D32" i="28"/>
  <c r="A24" i="28"/>
  <c r="D24" i="28"/>
  <c r="C24" i="28"/>
  <c r="A20" i="28"/>
  <c r="D20" i="28"/>
  <c r="C20" i="28"/>
  <c r="A16" i="28"/>
  <c r="C16" i="28"/>
  <c r="D16" i="28"/>
  <c r="A12" i="28"/>
  <c r="C12" i="28"/>
  <c r="D12" i="28"/>
  <c r="A8" i="28"/>
  <c r="D8" i="28"/>
  <c r="C8" i="28"/>
  <c r="D636" i="28"/>
  <c r="D574" i="28"/>
  <c r="A564" i="28"/>
  <c r="A556" i="28"/>
  <c r="D548" i="28"/>
  <c r="C432" i="28"/>
  <c r="C400" i="28"/>
  <c r="C368" i="28"/>
  <c r="C336" i="28"/>
  <c r="C288" i="28"/>
  <c r="C200" i="28"/>
  <c r="A116" i="28"/>
  <c r="A638" i="28"/>
  <c r="D638" i="28"/>
  <c r="A637" i="28"/>
  <c r="D637" i="28"/>
  <c r="D635" i="28"/>
  <c r="C635" i="28"/>
  <c r="D634" i="28"/>
  <c r="C634" i="28"/>
  <c r="D633" i="28"/>
  <c r="C633" i="28"/>
  <c r="D632" i="28"/>
  <c r="D40" i="28"/>
  <c r="C40" i="28"/>
  <c r="A37" i="28"/>
  <c r="C36" i="28"/>
  <c r="A36" i="28"/>
  <c r="A31" i="28"/>
  <c r="D31" i="28"/>
  <c r="A30" i="28"/>
  <c r="D30" i="28"/>
  <c r="D28" i="28"/>
  <c r="C28" i="28"/>
  <c r="D27" i="28"/>
  <c r="C27" i="28"/>
  <c r="D26" i="28"/>
  <c r="C26" i="28"/>
  <c r="B13" i="218"/>
  <c r="B6" i="215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3" i="28"/>
  <c r="B762" i="28"/>
  <c r="B761" i="28"/>
  <c r="B760" i="28"/>
  <c r="B759" i="28"/>
  <c r="B758" i="28"/>
  <c r="B757" i="28"/>
  <c r="B755" i="28"/>
  <c r="B754" i="28"/>
  <c r="B753" i="28"/>
  <c r="B752" i="28"/>
  <c r="B751" i="28"/>
  <c r="B750" i="28"/>
  <c r="B749" i="28"/>
  <c r="B747" i="28"/>
  <c r="B746" i="28"/>
  <c r="B745" i="28"/>
  <c r="B744" i="28"/>
  <c r="B743" i="28"/>
  <c r="B742" i="28"/>
  <c r="B741" i="28"/>
  <c r="B740" i="28"/>
  <c r="B739" i="28"/>
  <c r="B738" i="28"/>
  <c r="B737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3" i="28"/>
  <c r="B702" i="28"/>
  <c r="B701" i="28"/>
  <c r="B700" i="28"/>
  <c r="B699" i="28"/>
  <c r="B698" i="28"/>
  <c r="B697" i="28"/>
  <c r="B695" i="28"/>
  <c r="B694" i="28"/>
  <c r="B693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59" i="28"/>
  <c r="B658" i="28"/>
  <c r="B657" i="28"/>
  <c r="B656" i="28"/>
  <c r="B655" i="28"/>
  <c r="B654" i="28"/>
  <c r="B653" i="28"/>
  <c r="B651" i="28"/>
  <c r="B650" i="28"/>
  <c r="B649" i="28"/>
  <c r="B648" i="28"/>
  <c r="B647" i="28"/>
  <c r="B646" i="28"/>
  <c r="B645" i="28"/>
  <c r="B644" i="28"/>
  <c r="B643" i="28"/>
  <c r="B642" i="28"/>
  <c r="B641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19" i="28"/>
  <c r="B618" i="28"/>
  <c r="B617" i="28"/>
  <c r="B616" i="28"/>
  <c r="B615" i="28"/>
  <c r="B614" i="28"/>
  <c r="B613" i="28"/>
  <c r="B611" i="28"/>
  <c r="B610" i="28"/>
  <c r="B609" i="28"/>
  <c r="B607" i="28"/>
  <c r="B606" i="28"/>
  <c r="B605" i="28"/>
  <c r="B603" i="28"/>
  <c r="B602" i="28"/>
  <c r="B601" i="28"/>
  <c r="B599" i="28"/>
  <c r="B598" i="28"/>
  <c r="B597" i="28"/>
  <c r="B595" i="28"/>
  <c r="B594" i="28"/>
  <c r="B593" i="28"/>
  <c r="B591" i="28"/>
  <c r="B590" i="28"/>
  <c r="B589" i="28"/>
  <c r="B587" i="28"/>
  <c r="B586" i="28"/>
  <c r="B585" i="28"/>
  <c r="B559" i="28"/>
  <c r="B558" i="28"/>
  <c r="B267" i="28"/>
  <c r="B247" i="28"/>
  <c r="B243" i="28"/>
  <c r="B242" i="28"/>
  <c r="B241" i="28"/>
  <c r="B239" i="28"/>
  <c r="B238" i="28"/>
  <c r="B237" i="28"/>
  <c r="B235" i="28"/>
  <c r="B234" i="28"/>
  <c r="B233" i="28"/>
  <c r="B231" i="28"/>
  <c r="B230" i="28"/>
  <c r="B229" i="28"/>
  <c r="B227" i="28"/>
  <c r="B226" i="28"/>
  <c r="B225" i="28"/>
  <c r="B223" i="28"/>
  <c r="B222" i="28"/>
  <c r="B221" i="28"/>
  <c r="B219" i="28"/>
  <c r="B218" i="28"/>
  <c r="B217" i="28"/>
  <c r="B215" i="28"/>
  <c r="B214" i="28"/>
  <c r="B213" i="28"/>
  <c r="B211" i="28"/>
  <c r="B210" i="28"/>
  <c r="B209" i="28"/>
  <c r="B207" i="28"/>
  <c r="B206" i="28"/>
  <c r="B205" i="28"/>
  <c r="B203" i="28"/>
  <c r="B202" i="28"/>
  <c r="B201" i="28"/>
  <c r="B199" i="28"/>
  <c r="B198" i="28"/>
  <c r="B197" i="28"/>
  <c r="B195" i="28"/>
  <c r="B194" i="28"/>
  <c r="B193" i="28"/>
  <c r="B191" i="28"/>
  <c r="B190" i="28"/>
  <c r="B189" i="28"/>
  <c r="B187" i="28"/>
  <c r="B186" i="28"/>
  <c r="B185" i="28"/>
  <c r="B183" i="28"/>
  <c r="B182" i="28"/>
  <c r="B181" i="28"/>
  <c r="B179" i="28"/>
  <c r="B10" i="203"/>
  <c r="B12" i="203"/>
  <c r="B6" i="206"/>
  <c r="B11" i="206"/>
  <c r="B9" i="207"/>
  <c r="B8" i="207"/>
  <c r="B14" i="208"/>
  <c r="B17" i="208"/>
  <c r="B22" i="208"/>
  <c r="B7" i="209"/>
  <c r="B8" i="209"/>
  <c r="B12" i="209"/>
  <c r="B11" i="248"/>
  <c r="B13" i="243"/>
  <c r="B10" i="243"/>
  <c r="B8" i="243"/>
  <c r="B15" i="239"/>
  <c r="B153" i="242"/>
  <c r="B80" i="242"/>
  <c r="B6" i="245"/>
  <c r="B7" i="228"/>
  <c r="B72" i="214"/>
  <c r="C44" i="274" s="1"/>
  <c r="B98" i="236"/>
  <c r="C8" i="274" s="1"/>
  <c r="B74" i="214"/>
  <c r="C46" i="274" s="1"/>
  <c r="B93" i="216"/>
  <c r="C63" i="274" s="1"/>
  <c r="B101" i="236"/>
  <c r="C11" i="274" s="1"/>
  <c r="B97" i="216"/>
  <c r="C67" i="274" s="1"/>
  <c r="B72" i="240"/>
  <c r="C23" i="274" s="1"/>
  <c r="B106" i="236"/>
  <c r="C16" i="274" s="1"/>
  <c r="B80" i="216"/>
  <c r="C50" i="274" s="1"/>
  <c r="B83" i="216"/>
  <c r="C53" i="274" s="1"/>
  <c r="B69" i="214"/>
  <c r="C41" i="274" s="1"/>
  <c r="B87" i="216"/>
  <c r="C57" i="274" s="1"/>
  <c r="B14" i="257"/>
  <c r="C34" i="274" s="1"/>
  <c r="B13" i="257"/>
  <c r="B43" i="255"/>
  <c r="B71" i="240"/>
  <c r="B97" i="236"/>
  <c r="B79" i="216"/>
  <c r="B66" i="214"/>
  <c r="B64" i="214"/>
  <c r="C19" i="275" s="1"/>
  <c r="B94" i="236"/>
  <c r="C11" i="275" s="1"/>
  <c r="B74" i="216"/>
  <c r="C28" i="275" s="1"/>
  <c r="B71" i="216"/>
  <c r="C25" i="275" s="1"/>
  <c r="B39" i="214"/>
  <c r="C53" i="272" s="1"/>
  <c r="B48" i="216"/>
  <c r="C82" i="272" s="1"/>
  <c r="B35" i="216"/>
  <c r="C69" i="272" s="1"/>
  <c r="B46" i="216"/>
  <c r="C80" i="272" s="1"/>
  <c r="B37" i="216"/>
  <c r="C71" i="272" s="1"/>
  <c r="B55" i="240"/>
  <c r="C35" i="272" s="1"/>
  <c r="B53" i="240"/>
  <c r="C33" i="272" s="1"/>
  <c r="B52" i="240"/>
  <c r="C32" i="272" s="1"/>
  <c r="B44" i="214"/>
  <c r="C58" i="272" s="1"/>
  <c r="B62" i="236"/>
  <c r="C10" i="272" s="1"/>
  <c r="B63" i="236"/>
  <c r="C11" i="272" s="1"/>
  <c r="B70" i="236"/>
  <c r="C18" i="272" s="1"/>
  <c r="B61" i="236"/>
  <c r="C9" i="272" s="1"/>
  <c r="B48" i="240"/>
  <c r="C28" i="272" s="1"/>
  <c r="B47" i="240"/>
  <c r="C27" i="272" s="1"/>
  <c r="B60" i="236"/>
  <c r="C8" i="272" s="1"/>
  <c r="B71" i="236"/>
  <c r="C19" i="272" s="1"/>
  <c r="B56" i="216"/>
  <c r="C90" i="272" s="1"/>
  <c r="B46" i="240"/>
  <c r="C26" i="272" s="1"/>
  <c r="B57" i="216"/>
  <c r="C91" i="272" s="1"/>
  <c r="B54" i="216"/>
  <c r="C88" i="272" s="1"/>
  <c r="B45" i="240"/>
  <c r="C25" i="272" s="1"/>
  <c r="B44" i="240"/>
  <c r="C24" i="272" s="1"/>
  <c r="B49" i="216"/>
  <c r="C83" i="272" s="1"/>
  <c r="B47" i="216"/>
  <c r="C81" i="272" s="1"/>
  <c r="B34" i="216"/>
  <c r="C68" i="272" s="1"/>
  <c r="B40" i="214"/>
  <c r="C54" i="272" s="1"/>
  <c r="B44" i="216"/>
  <c r="C78" i="272" s="1"/>
  <c r="B66" i="236"/>
  <c r="C14" i="272" s="1"/>
  <c r="B41" i="240"/>
  <c r="C41" i="270" s="1"/>
  <c r="B30" i="214"/>
  <c r="C63" i="270" s="1"/>
  <c r="B54" i="236"/>
  <c r="C27" i="270" s="1"/>
  <c r="B45" i="235"/>
  <c r="C14" i="270" s="1"/>
  <c r="B46" i="235"/>
  <c r="C15" i="270" s="1"/>
  <c r="B38" i="240"/>
  <c r="C38" i="270" s="1"/>
  <c r="B48" i="235"/>
  <c r="C17" i="270" s="1"/>
  <c r="B36" i="240"/>
  <c r="C36" i="270" s="1"/>
  <c r="B14" i="255"/>
  <c r="C53" i="270" s="1"/>
  <c r="B33" i="214"/>
  <c r="C66" i="270" s="1"/>
  <c r="B34" i="240"/>
  <c r="C34" i="270" s="1"/>
  <c r="B11" i="255"/>
  <c r="C50" i="270" s="1"/>
  <c r="B36" i="214"/>
  <c r="C69" i="270" s="1"/>
  <c r="B57" i="236"/>
  <c r="C30" i="270" s="1"/>
  <c r="B27" i="216"/>
  <c r="C74" i="270" s="1"/>
  <c r="B26" i="216"/>
  <c r="C73" i="270" s="1"/>
  <c r="B33" i="252"/>
  <c r="C45" i="270" s="1"/>
  <c r="B49" i="236"/>
  <c r="C22" i="270" s="1"/>
  <c r="B32" i="252"/>
  <c r="C44" i="270" s="1"/>
  <c r="B15" i="255"/>
  <c r="C54" i="270" s="1"/>
  <c r="B44" i="235"/>
  <c r="C13" i="270" s="1"/>
  <c r="B28" i="216"/>
  <c r="C75" i="270" s="1"/>
  <c r="B42" i="236"/>
  <c r="C29" i="271" s="1"/>
  <c r="B25" i="240"/>
  <c r="C41" i="271" s="1"/>
  <c r="B44" i="236"/>
  <c r="C31" i="271" s="1"/>
  <c r="B36" i="236"/>
  <c r="C23" i="271" s="1"/>
  <c r="B28" i="235"/>
  <c r="C8" i="271" s="1"/>
  <c r="B22" i="240"/>
  <c r="C38" i="271" s="1"/>
  <c r="B38" i="236"/>
  <c r="C25" i="271" s="1"/>
  <c r="B26" i="240"/>
  <c r="C42" i="271" s="1"/>
  <c r="B41" i="236"/>
  <c r="C28" i="271" s="1"/>
  <c r="B11" i="214"/>
  <c r="C61" i="271" s="1"/>
  <c r="B15" i="214"/>
  <c r="C65" i="271" s="1"/>
  <c r="B39" i="236"/>
  <c r="C26" i="271" s="1"/>
  <c r="B36" i="235"/>
  <c r="C16" i="271" s="1"/>
  <c r="B13" i="217"/>
  <c r="C96" i="271" s="1"/>
  <c r="B32" i="235"/>
  <c r="C12" i="271" s="1"/>
  <c r="B35" i="235"/>
  <c r="C15" i="271" s="1"/>
  <c r="B33" i="235"/>
  <c r="C13" i="271" s="1"/>
  <c r="B8" i="217"/>
  <c r="C91" i="271" s="1"/>
  <c r="B16" i="217"/>
  <c r="C99" i="271" s="1"/>
  <c r="B17" i="217"/>
  <c r="C100" i="271" s="1"/>
  <c r="B10" i="217"/>
  <c r="C93" i="271" s="1"/>
  <c r="B16" i="214"/>
  <c r="C66" i="271" s="1"/>
  <c r="B20" i="216"/>
  <c r="C83" i="271" s="1"/>
  <c r="B21" i="214"/>
  <c r="C71" i="271" s="1"/>
  <c r="B21" i="216"/>
  <c r="C84" i="271" s="1"/>
  <c r="B34" i="236"/>
  <c r="C21" i="271" s="1"/>
  <c r="B15" i="216"/>
  <c r="C78" i="271" s="1"/>
  <c r="B13" i="216"/>
  <c r="C76" i="271" s="1"/>
  <c r="B18" i="240"/>
  <c r="C34" i="271" s="1"/>
  <c r="B6" i="255"/>
  <c r="C50" i="271" s="1"/>
  <c r="B40" i="236"/>
  <c r="C27" i="271" s="1"/>
  <c r="B8" i="214"/>
  <c r="C58" i="271" s="1"/>
  <c r="B6" i="214"/>
  <c r="C56" i="271" s="1"/>
  <c r="B28" i="236"/>
  <c r="C13" i="266" s="1"/>
  <c r="B26" i="252"/>
  <c r="C31" i="266" s="1"/>
  <c r="B15" i="240"/>
  <c r="C20" i="266" s="1"/>
  <c r="B29" i="252"/>
  <c r="C34" i="266" s="1"/>
  <c r="B13" i="240"/>
  <c r="C18" i="266" s="1"/>
  <c r="B6" i="246"/>
  <c r="C24" i="266" s="1"/>
  <c r="B24" i="225"/>
  <c r="C55" i="266" s="1"/>
  <c r="B21" i="225"/>
  <c r="C52" i="266" s="1"/>
  <c r="B19" i="225"/>
  <c r="C50" i="266" s="1"/>
  <c r="B16" i="225"/>
  <c r="C47" i="266" s="1"/>
  <c r="B10" i="225"/>
  <c r="C41" i="266" s="1"/>
  <c r="B7" i="225"/>
  <c r="C38" i="266" s="1"/>
  <c r="B15" i="225"/>
  <c r="C46" i="266" s="1"/>
  <c r="B13" i="225"/>
  <c r="C44" i="266" s="1"/>
  <c r="B6" i="261"/>
  <c r="C27" i="268" s="1"/>
  <c r="B18" i="252"/>
  <c r="C20" i="268" s="1"/>
  <c r="B7" i="240"/>
  <c r="C14" i="268" s="1"/>
  <c r="B6" i="240"/>
  <c r="C13" i="268" s="1"/>
  <c r="B20" i="235"/>
  <c r="C9" i="268" s="1"/>
  <c r="B183" i="242"/>
  <c r="C361" i="276" s="1"/>
  <c r="B127" i="242"/>
  <c r="B63" i="242"/>
  <c r="B174" i="242"/>
  <c r="B9" i="254"/>
  <c r="B97" i="242"/>
  <c r="B44" i="242"/>
  <c r="C223" i="276" s="1"/>
  <c r="B15" i="242"/>
  <c r="B10" i="254"/>
  <c r="B8" i="219"/>
  <c r="B9" i="219"/>
  <c r="B7" i="219"/>
  <c r="B6" i="219"/>
  <c r="B162" i="242"/>
  <c r="B157" i="242"/>
  <c r="B138" i="242"/>
  <c r="B82" i="242"/>
  <c r="B19" i="212"/>
  <c r="B172" i="242"/>
  <c r="B23" i="236"/>
  <c r="B22" i="236"/>
  <c r="B21" i="236"/>
  <c r="C129" i="276" s="1"/>
  <c r="B95" i="242"/>
  <c r="B10" i="244"/>
  <c r="B147" i="242"/>
  <c r="B8" i="244"/>
  <c r="B12" i="252"/>
  <c r="C471" i="276" s="1"/>
  <c r="B16" i="236"/>
  <c r="C124" i="276" s="1"/>
  <c r="B118" i="242"/>
  <c r="B10" i="236"/>
  <c r="B99" i="242"/>
  <c r="B13" i="235"/>
  <c r="B11" i="235"/>
  <c r="B10" i="235"/>
  <c r="B83" i="242"/>
  <c r="B7" i="236"/>
  <c r="C115" i="276" s="1"/>
  <c r="B67" i="242"/>
  <c r="B8" i="212"/>
  <c r="B40" i="242"/>
  <c r="B9" i="242"/>
  <c r="B6" i="235"/>
  <c r="B7" i="252"/>
  <c r="B6" i="242"/>
  <c r="B25" i="258"/>
  <c r="B23" i="258"/>
  <c r="B20" i="258"/>
  <c r="B18" i="258"/>
  <c r="B17" i="258"/>
  <c r="B16" i="258"/>
  <c r="B15" i="258"/>
  <c r="B14" i="258"/>
  <c r="B13" i="258"/>
  <c r="B11" i="258"/>
  <c r="B10" i="258"/>
  <c r="B9" i="258"/>
  <c r="B7" i="258"/>
  <c r="B6" i="258"/>
  <c r="B33" i="264"/>
  <c r="B194" i="242"/>
  <c r="B193" i="242"/>
  <c r="B16" i="239"/>
  <c r="B18" i="238"/>
  <c r="B180" i="242"/>
  <c r="B177" i="242"/>
  <c r="B28" i="264"/>
  <c r="B17" i="238"/>
  <c r="B176" i="242"/>
  <c r="C354" i="276" s="1"/>
  <c r="B167" i="242"/>
  <c r="B14" i="239"/>
  <c r="B143" i="242"/>
  <c r="B144" i="242"/>
  <c r="B131" i="242"/>
  <c r="B23" i="264"/>
  <c r="B20" i="264"/>
  <c r="B13" i="222"/>
  <c r="B12" i="222"/>
  <c r="B14" i="264"/>
  <c r="B15" i="238"/>
  <c r="B14" i="238"/>
  <c r="B13" i="238"/>
  <c r="B9" i="239"/>
  <c r="B8" i="239"/>
  <c r="B12" i="238"/>
  <c r="B11" i="238"/>
  <c r="B10" i="238"/>
  <c r="B8" i="238"/>
  <c r="B9" i="238"/>
  <c r="B59" i="242"/>
  <c r="B41" i="242"/>
  <c r="C220" i="276" s="1"/>
  <c r="B7" i="239"/>
  <c r="B6" i="238"/>
  <c r="B32" i="242"/>
  <c r="B6" i="239"/>
  <c r="B14" i="242"/>
  <c r="C193" i="276" s="1"/>
  <c r="B6" i="256"/>
  <c r="B13" i="211"/>
  <c r="B12" i="211"/>
  <c r="B150" i="242"/>
  <c r="B17" i="232"/>
  <c r="B18" i="264"/>
  <c r="B14" i="226"/>
  <c r="B9" i="256"/>
  <c r="B12" i="264"/>
  <c r="B11" i="264"/>
  <c r="B7" i="254"/>
  <c r="B60" i="242"/>
  <c r="C238" i="276" s="1"/>
  <c r="B9" i="260"/>
  <c r="B12" i="241"/>
  <c r="C176" i="276" s="1"/>
  <c r="B58" i="242"/>
  <c r="B18" i="243"/>
  <c r="B27" i="243"/>
  <c r="B16" i="247"/>
  <c r="B15" i="247"/>
  <c r="B14" i="247"/>
  <c r="B13" i="247"/>
  <c r="B12" i="247"/>
  <c r="B19" i="242"/>
  <c r="C198" i="276" s="1"/>
  <c r="B20" i="242"/>
  <c r="C199" i="276" s="1"/>
  <c r="B18" i="241"/>
  <c r="B20" i="228"/>
  <c r="B18" i="228"/>
  <c r="B16" i="212"/>
  <c r="B18" i="232"/>
  <c r="B14" i="215"/>
  <c r="B22" i="258"/>
  <c r="B134" i="242"/>
  <c r="B133" i="242"/>
  <c r="B24" i="264"/>
  <c r="B9" i="248"/>
  <c r="B120" i="242"/>
  <c r="B119" i="242"/>
  <c r="B111" i="242"/>
  <c r="B14" i="232"/>
  <c r="B12" i="215"/>
  <c r="B11" i="211"/>
  <c r="B107" i="242"/>
  <c r="B10" i="211"/>
  <c r="B8" i="254"/>
  <c r="B13" i="212"/>
  <c r="B12" i="212"/>
  <c r="B8" i="232"/>
  <c r="B30" i="242"/>
  <c r="B175" i="242"/>
  <c r="B17" i="228"/>
  <c r="B33" i="242"/>
  <c r="B6" i="228"/>
  <c r="B14" i="254"/>
  <c r="B173" i="242"/>
  <c r="B168" i="242"/>
  <c r="B13" i="254"/>
  <c r="B15" i="212"/>
  <c r="B123" i="242"/>
  <c r="C301" i="276" s="1"/>
  <c r="B115" i="242"/>
  <c r="C293" i="276" s="1"/>
  <c r="B14" i="212"/>
  <c r="B84" i="242"/>
  <c r="B28" i="243"/>
  <c r="B8" i="245"/>
  <c r="B15" i="222"/>
  <c r="B23" i="243"/>
  <c r="B8" i="227"/>
  <c r="B6" i="227"/>
  <c r="B68" i="242"/>
  <c r="B6" i="213"/>
  <c r="B12" i="243"/>
  <c r="B181" i="242"/>
  <c r="C359" i="276" s="1"/>
  <c r="B158" i="242"/>
  <c r="B142" i="242"/>
  <c r="B141" i="242"/>
  <c r="B140" i="242"/>
  <c r="B139" i="242"/>
  <c r="B137" i="242"/>
  <c r="B130" i="242"/>
  <c r="B129" i="242"/>
  <c r="B125" i="242"/>
  <c r="B121" i="242"/>
  <c r="B96" i="242"/>
  <c r="C274" i="276" s="1"/>
  <c r="B90" i="242"/>
  <c r="C268" i="276" s="1"/>
  <c r="B89" i="242"/>
  <c r="C267" i="276" s="1"/>
  <c r="B74" i="242"/>
  <c r="B61" i="242"/>
  <c r="B51" i="242"/>
  <c r="B50" i="242"/>
  <c r="B49" i="242"/>
  <c r="C228" i="276" s="1"/>
  <c r="B7" i="260"/>
  <c r="B6" i="260"/>
  <c r="B34" i="242"/>
  <c r="B7" i="256"/>
  <c r="B21" i="242"/>
  <c r="B192" i="242"/>
  <c r="B191" i="242"/>
  <c r="B190" i="242"/>
  <c r="B17" i="241"/>
  <c r="B21" i="226"/>
  <c r="B189" i="242"/>
  <c r="C367" i="276" s="1"/>
  <c r="B16" i="241"/>
  <c r="C179" i="276" s="1"/>
  <c r="B20" i="232"/>
  <c r="B188" i="242"/>
  <c r="B10" i="256"/>
  <c r="B19" i="232"/>
  <c r="B20" i="226"/>
  <c r="B12" i="263"/>
  <c r="B179" i="242"/>
  <c r="B11" i="251"/>
  <c r="B166" i="242"/>
  <c r="B27" i="264"/>
  <c r="B26" i="264"/>
  <c r="B159" i="242"/>
  <c r="B152" i="242"/>
  <c r="B9" i="227"/>
  <c r="B9" i="263"/>
  <c r="B13" i="250"/>
  <c r="B132" i="242"/>
  <c r="B117" i="242"/>
  <c r="B26" i="243"/>
  <c r="B116" i="242"/>
  <c r="B10" i="222"/>
  <c r="B11" i="215"/>
  <c r="B8" i="263"/>
  <c r="B13" i="241"/>
  <c r="B91" i="242"/>
  <c r="B11" i="232"/>
  <c r="B10" i="215"/>
  <c r="B7" i="227"/>
  <c r="B21" i="243"/>
  <c r="B72" i="242"/>
  <c r="C250" i="276" s="1"/>
  <c r="B10" i="250"/>
  <c r="B6" i="223"/>
  <c r="B8" i="250"/>
  <c r="B6" i="263"/>
  <c r="B43" i="242"/>
  <c r="B42" i="242"/>
  <c r="C221" i="276" s="1"/>
  <c r="B17" i="243"/>
  <c r="B16" i="243"/>
  <c r="B15" i="243"/>
  <c r="B14" i="243"/>
  <c r="B182" i="242"/>
  <c r="C360" i="276" s="1"/>
  <c r="B12" i="213"/>
  <c r="B11" i="213"/>
  <c r="B16" i="250"/>
  <c r="B13" i="260"/>
  <c r="B126" i="242"/>
  <c r="C304" i="276" s="1"/>
  <c r="B122" i="242"/>
  <c r="C300" i="276" s="1"/>
  <c r="B19" i="264"/>
  <c r="B114" i="242"/>
  <c r="B8" i="248"/>
  <c r="B25" i="243"/>
  <c r="B16" i="226"/>
  <c r="B24" i="243"/>
  <c r="B11" i="229"/>
  <c r="B14" i="222"/>
  <c r="B7" i="248"/>
  <c r="B104" i="242"/>
  <c r="B13" i="239"/>
  <c r="B11" i="222"/>
  <c r="B13" i="226"/>
  <c r="B9" i="213"/>
  <c r="B10" i="239"/>
  <c r="B88" i="242"/>
  <c r="B87" i="242"/>
  <c r="B11" i="226"/>
  <c r="B10" i="226"/>
  <c r="B85" i="242"/>
  <c r="B7" i="245"/>
  <c r="B10" i="260"/>
  <c r="B9" i="226"/>
  <c r="B8" i="226"/>
  <c r="B20" i="243"/>
  <c r="B8" i="222"/>
  <c r="B66" i="242"/>
  <c r="B6" i="248"/>
  <c r="B6" i="237"/>
  <c r="B9" i="232"/>
  <c r="B7" i="215"/>
  <c r="B10" i="265"/>
  <c r="B10" i="247"/>
  <c r="B8" i="260"/>
  <c r="B57" i="242"/>
  <c r="B9" i="247"/>
  <c r="B8" i="247"/>
  <c r="B9" i="228"/>
  <c r="B9" i="265"/>
  <c r="B11" i="259"/>
  <c r="B56" i="242"/>
  <c r="B8" i="233"/>
  <c r="B55" i="242"/>
  <c r="C233" i="276" s="1"/>
  <c r="B7" i="238"/>
  <c r="B8" i="265"/>
  <c r="B10" i="264"/>
  <c r="B11" i="212"/>
  <c r="B7" i="232"/>
  <c r="B54" i="242"/>
  <c r="B53" i="242"/>
  <c r="B9" i="250"/>
  <c r="B9" i="259"/>
  <c r="B16" i="218"/>
  <c r="B8" i="228"/>
  <c r="B6" i="222"/>
  <c r="B6" i="254"/>
  <c r="B6" i="241"/>
  <c r="C171" i="276" s="1"/>
  <c r="B7" i="211"/>
  <c r="B29" i="242"/>
  <c r="C208" i="276" s="1"/>
  <c r="B6" i="211"/>
  <c r="B27" i="242"/>
  <c r="B28" i="242"/>
  <c r="B7" i="247"/>
  <c r="B6" i="233"/>
  <c r="B11" i="218"/>
  <c r="B9" i="229"/>
  <c r="B10" i="218"/>
  <c r="B8" i="229"/>
  <c r="B6" i="250"/>
  <c r="B6" i="247"/>
  <c r="B9" i="218"/>
  <c r="B8" i="218"/>
  <c r="B7" i="218"/>
  <c r="B26" i="242"/>
  <c r="C205" i="276" s="1"/>
  <c r="B25" i="242"/>
  <c r="B7" i="265"/>
  <c r="B18" i="242"/>
  <c r="B13" i="242"/>
  <c r="B12" i="242"/>
  <c r="B16" i="222"/>
  <c r="B9" i="245"/>
  <c r="B178" i="242"/>
  <c r="C356" i="276" s="1"/>
  <c r="B19" i="226"/>
  <c r="B10" i="263"/>
  <c r="B16" i="228"/>
  <c r="B18" i="226"/>
  <c r="B10" i="248"/>
  <c r="B16" i="232"/>
  <c r="B14" i="218"/>
  <c r="B17" i="226"/>
  <c r="B15" i="250"/>
  <c r="B14" i="250"/>
  <c r="B136" i="242"/>
  <c r="B12" i="259"/>
  <c r="B135" i="242"/>
  <c r="B15" i="264"/>
  <c r="B110" i="242"/>
  <c r="B19" i="258"/>
  <c r="B12" i="228"/>
  <c r="B13" i="228"/>
  <c r="B14" i="228"/>
  <c r="B16" i="238"/>
  <c r="B12" i="226"/>
  <c r="B14" i="241"/>
  <c r="B81" i="242"/>
  <c r="C259" i="276" s="1"/>
  <c r="B9" i="215"/>
  <c r="B9" i="222"/>
  <c r="B12" i="250"/>
  <c r="B8" i="215"/>
  <c r="B76" i="242"/>
  <c r="B75" i="242"/>
  <c r="C253" i="276" s="1"/>
  <c r="B11" i="228"/>
  <c r="B73" i="242"/>
  <c r="B69" i="242"/>
  <c r="B7" i="222"/>
  <c r="B19" i="243"/>
  <c r="B17" i="242"/>
  <c r="B16" i="242"/>
  <c r="B6" i="251"/>
  <c r="B186" i="242"/>
  <c r="B185" i="242"/>
  <c r="B184" i="242"/>
  <c r="B25" i="264"/>
  <c r="B15" i="226"/>
  <c r="B13" i="215"/>
  <c r="B6" i="253"/>
  <c r="C478" i="276" s="1"/>
  <c r="B11" i="260"/>
  <c r="B13" i="264"/>
  <c r="B16" i="229"/>
  <c r="B32" i="264"/>
  <c r="B31" i="264"/>
  <c r="B30" i="264"/>
  <c r="B29" i="264"/>
  <c r="B15" i="218"/>
  <c r="B11" i="263"/>
  <c r="B19" i="228"/>
  <c r="B9" i="233"/>
  <c r="B161" i="242"/>
  <c r="B10" i="251"/>
  <c r="B160" i="242"/>
  <c r="B14" i="229"/>
  <c r="B13" i="229"/>
  <c r="B14" i="260"/>
  <c r="B10" i="234"/>
  <c r="B156" i="242"/>
  <c r="B151" i="242"/>
  <c r="B12" i="260"/>
  <c r="B10" i="213"/>
  <c r="B124" i="242"/>
  <c r="C302" i="276" s="1"/>
  <c r="B22" i="264"/>
  <c r="B21" i="264"/>
  <c r="B17" i="264"/>
  <c r="B16" i="264"/>
  <c r="B113" i="242"/>
  <c r="C291" i="276" s="1"/>
  <c r="B112" i="242"/>
  <c r="C290" i="276" s="1"/>
  <c r="B15" i="232"/>
  <c r="B8" i="251"/>
  <c r="B7" i="251"/>
  <c r="B109" i="242"/>
  <c r="B108" i="242"/>
  <c r="B106" i="242"/>
  <c r="B13" i="232"/>
  <c r="B105" i="242"/>
  <c r="B12" i="232"/>
  <c r="B102" i="242"/>
  <c r="B101" i="242"/>
  <c r="B11" i="239"/>
  <c r="B98" i="242"/>
  <c r="B9" i="234"/>
  <c r="B94" i="242"/>
  <c r="B86" i="242"/>
  <c r="C264" i="276" s="1"/>
  <c r="B78" i="242"/>
  <c r="C256" i="276" s="1"/>
  <c r="B77" i="242"/>
  <c r="B7" i="263"/>
  <c r="B10" i="228"/>
  <c r="B52" i="242"/>
  <c r="B7" i="213"/>
  <c r="B8" i="213"/>
  <c r="B39" i="242"/>
  <c r="C218" i="276" s="1"/>
  <c r="B38" i="242"/>
  <c r="C217" i="276" s="1"/>
  <c r="B31" i="242"/>
  <c r="C210" i="276" s="1"/>
  <c r="B9" i="264"/>
  <c r="B8" i="264"/>
  <c r="B8" i="234"/>
  <c r="B6" i="212"/>
  <c r="B7" i="264"/>
  <c r="B7" i="234"/>
  <c r="B10" i="241"/>
  <c r="C174" i="267" s="1"/>
  <c r="B7" i="226"/>
  <c r="B23" i="242"/>
  <c r="B24" i="242"/>
  <c r="B6" i="229"/>
  <c r="B7" i="229"/>
  <c r="B6" i="265"/>
  <c r="B6" i="234"/>
  <c r="B8" i="259"/>
  <c r="B22" i="242"/>
  <c r="B7" i="259"/>
  <c r="B6" i="264"/>
  <c r="B557" i="28"/>
  <c r="B253" i="28"/>
  <c r="B583" i="28"/>
  <c r="B582" i="28"/>
  <c r="B581" i="28"/>
  <c r="B580" i="28"/>
  <c r="B579" i="28"/>
  <c r="B252" i="28"/>
  <c r="B251" i="28"/>
  <c r="B248" i="28"/>
  <c r="B6" i="203"/>
  <c r="B7" i="203"/>
  <c r="B13" i="203"/>
  <c r="B9" i="205"/>
  <c r="B7" i="206"/>
  <c r="B15" i="206"/>
  <c r="B12" i="206"/>
  <c r="B15" i="208"/>
  <c r="B9" i="208"/>
  <c r="B14" i="209"/>
  <c r="B15" i="210"/>
  <c r="B20" i="210"/>
  <c r="B25" i="210"/>
  <c r="B29" i="210"/>
  <c r="B12" i="210"/>
  <c r="B23" i="210"/>
  <c r="B7" i="243"/>
  <c r="B155" i="242"/>
  <c r="B149" i="242"/>
  <c r="B79" i="242"/>
  <c r="B8" i="241"/>
  <c r="B7" i="241"/>
  <c r="C172" i="276" s="1"/>
  <c r="B12" i="218"/>
  <c r="B75" i="240"/>
  <c r="C26" i="274" s="1"/>
  <c r="B71" i="214"/>
  <c r="C43" i="274" s="1"/>
  <c r="B91" i="216"/>
  <c r="C61" i="274" s="1"/>
  <c r="B89" i="216"/>
  <c r="C59" i="274" s="1"/>
  <c r="B86" i="216"/>
  <c r="C56" i="274" s="1"/>
  <c r="B100" i="236"/>
  <c r="C10" i="274" s="1"/>
  <c r="B73" i="240"/>
  <c r="C24" i="274" s="1"/>
  <c r="B67" i="214"/>
  <c r="C39" i="274" s="1"/>
  <c r="B110" i="236"/>
  <c r="C20" i="274" s="1"/>
  <c r="B44" i="255"/>
  <c r="C30" i="274" s="1"/>
  <c r="B81" i="216"/>
  <c r="C51" i="274" s="1"/>
  <c r="B84" i="216"/>
  <c r="C54" i="274" s="1"/>
  <c r="B105" i="236"/>
  <c r="C15" i="274" s="1"/>
  <c r="B104" i="236"/>
  <c r="C14" i="274" s="1"/>
  <c r="B88" i="216"/>
  <c r="C58" i="274" s="1"/>
  <c r="B108" i="236"/>
  <c r="C18" i="274" s="1"/>
  <c r="B92" i="236"/>
  <c r="C9" i="275" s="1"/>
  <c r="B77" i="216"/>
  <c r="C31" i="275" s="1"/>
  <c r="B95" i="236"/>
  <c r="C12" i="275" s="1"/>
  <c r="B76" i="216"/>
  <c r="C30" i="275" s="1"/>
  <c r="B72" i="216"/>
  <c r="C26" i="275" s="1"/>
  <c r="B69" i="216"/>
  <c r="C23" i="275" s="1"/>
  <c r="B65" i="236"/>
  <c r="C13" i="272" s="1"/>
  <c r="B21" i="255"/>
  <c r="C49" i="272" s="1"/>
  <c r="B7" i="217"/>
  <c r="C90" i="271" s="1"/>
  <c r="B19" i="217"/>
  <c r="C102" i="271" s="1"/>
  <c r="B11" i="217"/>
  <c r="C94" i="271" s="1"/>
  <c r="B10" i="214"/>
  <c r="C60" i="271" s="1"/>
  <c r="B30" i="240"/>
  <c r="C46" i="271" s="1"/>
  <c r="B21" i="240"/>
  <c r="C37" i="271" s="1"/>
  <c r="B12" i="214"/>
  <c r="C62" i="271" s="1"/>
  <c r="B22" i="216"/>
  <c r="C85" i="271" s="1"/>
  <c r="B16" i="216"/>
  <c r="C79" i="271" s="1"/>
  <c r="B12" i="216"/>
  <c r="C75" i="271" s="1"/>
  <c r="B43" i="236"/>
  <c r="C30" i="271" s="1"/>
  <c r="B7" i="255"/>
  <c r="C51" i="271" s="1"/>
  <c r="B32" i="236"/>
  <c r="C19" i="271" s="1"/>
  <c r="B28" i="240"/>
  <c r="C44" i="271" s="1"/>
  <c r="B8" i="216"/>
  <c r="C62" i="266" s="1"/>
  <c r="B25" i="252"/>
  <c r="C30" i="266" s="1"/>
  <c r="B24" i="252"/>
  <c r="C29" i="266" s="1"/>
  <c r="B6" i="216"/>
  <c r="C60" i="266" s="1"/>
  <c r="B28" i="252"/>
  <c r="C33" i="266" s="1"/>
  <c r="B6" i="225"/>
  <c r="C37" i="266" s="1"/>
  <c r="B22" i="225"/>
  <c r="C53" i="266" s="1"/>
  <c r="B18" i="225"/>
  <c r="C49" i="266" s="1"/>
  <c r="B11" i="225"/>
  <c r="C42" i="266" s="1"/>
  <c r="B8" i="225"/>
  <c r="C39" i="266" s="1"/>
  <c r="B12" i="225"/>
  <c r="C43" i="266" s="1"/>
  <c r="B9" i="240"/>
  <c r="C16" i="268" s="1"/>
  <c r="B19" i="252"/>
  <c r="C21" i="268" s="1"/>
  <c r="B21" i="252"/>
  <c r="C23" i="268" s="1"/>
  <c r="B19" i="235"/>
  <c r="C8" i="268" s="1"/>
  <c r="B64" i="242"/>
  <c r="B62" i="242"/>
  <c r="B15" i="229"/>
  <c r="B12" i="239"/>
  <c r="B65" i="242"/>
  <c r="C243" i="276" s="1"/>
  <c r="B8" i="211"/>
  <c r="B11" i="231"/>
  <c r="B10" i="231"/>
  <c r="B7" i="237"/>
  <c r="B8" i="231"/>
  <c r="B6" i="231"/>
  <c r="B12" i="254"/>
  <c r="B35" i="242"/>
  <c r="B15" i="252"/>
  <c r="B24" i="236"/>
  <c r="B170" i="242"/>
  <c r="B20" i="236"/>
  <c r="C128" i="276" s="1"/>
  <c r="B163" i="242"/>
  <c r="B16" i="235"/>
  <c r="B11" i="244"/>
  <c r="B6" i="244"/>
  <c r="B15" i="236"/>
  <c r="C123" i="276" s="1"/>
  <c r="B12" i="236"/>
  <c r="C120" i="276" s="1"/>
  <c r="B9" i="236"/>
  <c r="B103" i="242"/>
  <c r="B15" i="235"/>
  <c r="B12" i="235"/>
  <c r="B93" i="242"/>
  <c r="B9" i="235"/>
  <c r="B10" i="252"/>
  <c r="B48" i="242"/>
  <c r="B10" i="212"/>
  <c r="B7" i="212"/>
  <c r="B8" i="252"/>
  <c r="B6" i="252"/>
  <c r="B26" i="258"/>
  <c r="B21" i="258"/>
  <c r="B8" i="258"/>
  <c r="B577" i="28"/>
  <c r="B575" i="28"/>
  <c r="B573" i="28"/>
  <c r="B570" i="28"/>
  <c r="B568" i="28"/>
  <c r="B566" i="28"/>
  <c r="B556" i="28"/>
  <c r="B550" i="28"/>
  <c r="B548" i="28"/>
  <c r="B545" i="28"/>
  <c r="B542" i="28"/>
  <c r="B540" i="28"/>
  <c r="B538" i="28"/>
  <c r="B536" i="28"/>
  <c r="B533" i="28"/>
  <c r="B531" i="28"/>
  <c r="B529" i="28"/>
  <c r="B527" i="28"/>
  <c r="B525" i="28"/>
  <c r="B523" i="28"/>
  <c r="B521" i="28"/>
  <c r="B518" i="28"/>
  <c r="B515" i="28"/>
  <c r="B513" i="28"/>
  <c r="B511" i="28"/>
  <c r="B508" i="28"/>
  <c r="B506" i="28"/>
  <c r="B504" i="28"/>
  <c r="B501" i="28"/>
  <c r="B499" i="28"/>
  <c r="B497" i="28"/>
  <c r="B495" i="28"/>
  <c r="B492" i="28"/>
  <c r="B490" i="28"/>
  <c r="B488" i="28"/>
  <c r="B486" i="28"/>
  <c r="B485" i="28"/>
  <c r="B484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4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10" i="78"/>
  <c r="B9" i="78"/>
  <c r="B13" i="78"/>
  <c r="B6" i="78"/>
  <c r="B30" i="78"/>
  <c r="B29" i="78"/>
  <c r="B33" i="78"/>
  <c r="B31" i="78"/>
  <c r="B27" i="78"/>
  <c r="B24" i="78"/>
  <c r="B23" i="78"/>
  <c r="B22" i="78"/>
  <c r="B20" i="78"/>
  <c r="B18" i="78"/>
  <c r="B16" i="78"/>
  <c r="B15" i="78"/>
  <c r="B14" i="78"/>
  <c r="B8" i="78"/>
  <c r="B7" i="78"/>
  <c r="B26" i="78"/>
  <c r="B21" i="78"/>
  <c r="B12" i="78"/>
  <c r="B28" i="78"/>
  <c r="B17" i="78"/>
  <c r="B25" i="78"/>
  <c r="B19" i="78"/>
  <c r="B32" i="78"/>
  <c r="B8" i="203"/>
  <c r="B14" i="203"/>
  <c r="B8" i="206"/>
  <c r="B9" i="206"/>
  <c r="B16" i="206"/>
  <c r="B10" i="207"/>
  <c r="B11" i="207"/>
  <c r="B14" i="207"/>
  <c r="B16" i="208"/>
  <c r="B18" i="208"/>
  <c r="B6" i="208"/>
  <c r="B11" i="208"/>
  <c r="B8" i="208"/>
  <c r="B15" i="209"/>
  <c r="B11" i="209"/>
  <c r="B10" i="209"/>
  <c r="B9" i="209"/>
  <c r="B7" i="210"/>
  <c r="B16" i="210"/>
  <c r="B21" i="210"/>
  <c r="B26" i="210"/>
  <c r="B18" i="210"/>
  <c r="B10" i="210"/>
  <c r="B11" i="210"/>
  <c r="B6" i="226"/>
  <c r="B9" i="243"/>
  <c r="B6" i="243"/>
  <c r="B154" i="242"/>
  <c r="B7" i="250"/>
  <c r="B6" i="232"/>
  <c r="B94" i="216"/>
  <c r="C64" i="274" s="1"/>
  <c r="B70" i="214"/>
  <c r="C42" i="274" s="1"/>
  <c r="B90" i="216"/>
  <c r="C60" i="274" s="1"/>
  <c r="B92" i="216"/>
  <c r="C62" i="274" s="1"/>
  <c r="B99" i="236"/>
  <c r="C9" i="274" s="1"/>
  <c r="B74" i="240"/>
  <c r="C25" i="274" s="1"/>
  <c r="B73" i="214"/>
  <c r="C45" i="274" s="1"/>
  <c r="B68" i="214"/>
  <c r="C40" i="274" s="1"/>
  <c r="B109" i="236"/>
  <c r="C19" i="274" s="1"/>
  <c r="B95" i="216"/>
  <c r="C65" i="274" s="1"/>
  <c r="B107" i="236"/>
  <c r="C17" i="274" s="1"/>
  <c r="B102" i="236"/>
  <c r="C12" i="274" s="1"/>
  <c r="B85" i="216"/>
  <c r="C55" i="274" s="1"/>
  <c r="B82" i="216"/>
  <c r="C52" i="274" s="1"/>
  <c r="B45" i="255"/>
  <c r="C31" i="274" s="1"/>
  <c r="B96" i="216"/>
  <c r="C66" i="274" s="1"/>
  <c r="B15" i="257"/>
  <c r="C35" i="274" s="1"/>
  <c r="B103" i="236"/>
  <c r="C13" i="274" s="1"/>
  <c r="B69" i="240"/>
  <c r="C16" i="275" s="1"/>
  <c r="B93" i="236"/>
  <c r="C10" i="275" s="1"/>
  <c r="B91" i="236"/>
  <c r="C8" i="275" s="1"/>
  <c r="B73" i="216"/>
  <c r="C27" i="275" s="1"/>
  <c r="B75" i="216"/>
  <c r="C29" i="275" s="1"/>
  <c r="B70" i="216"/>
  <c r="C24" i="275" s="1"/>
  <c r="B68" i="240"/>
  <c r="B90" i="236"/>
  <c r="B68" i="216"/>
  <c r="B63" i="214"/>
  <c r="B18" i="255"/>
  <c r="C46" i="272" s="1"/>
  <c r="B33" i="216"/>
  <c r="C67" i="272" s="1"/>
  <c r="B38" i="216"/>
  <c r="C72" i="272" s="1"/>
  <c r="B41" i="216"/>
  <c r="C75" i="272" s="1"/>
  <c r="B57" i="240"/>
  <c r="C37" i="272" s="1"/>
  <c r="B56" i="240"/>
  <c r="C36" i="272" s="1"/>
  <c r="B54" i="240"/>
  <c r="C34" i="272" s="1"/>
  <c r="B69" i="236"/>
  <c r="C17" i="272" s="1"/>
  <c r="B51" i="240"/>
  <c r="C31" i="272" s="1"/>
  <c r="B19" i="255"/>
  <c r="C47" i="272" s="1"/>
  <c r="B67" i="236"/>
  <c r="C15" i="272" s="1"/>
  <c r="B64" i="236"/>
  <c r="C12" i="272" s="1"/>
  <c r="B50" i="240"/>
  <c r="C30" i="272" s="1"/>
  <c r="B49" i="240"/>
  <c r="C29" i="272" s="1"/>
  <c r="B38" i="252"/>
  <c r="C42" i="272" s="1"/>
  <c r="B42" i="214"/>
  <c r="C56" i="272" s="1"/>
  <c r="B43" i="216"/>
  <c r="C77" i="272" s="1"/>
  <c r="B46" i="214"/>
  <c r="C60" i="272" s="1"/>
  <c r="B47" i="214"/>
  <c r="C61" i="272" s="1"/>
  <c r="B55" i="216"/>
  <c r="C89" i="272" s="1"/>
  <c r="B59" i="216"/>
  <c r="C93" i="272" s="1"/>
  <c r="B20" i="255"/>
  <c r="C48" i="272" s="1"/>
  <c r="B53" i="216"/>
  <c r="C87" i="272" s="1"/>
  <c r="B72" i="236"/>
  <c r="C20" i="272" s="1"/>
  <c r="B52" i="216"/>
  <c r="C86" i="272" s="1"/>
  <c r="B45" i="214"/>
  <c r="C59" i="272" s="1"/>
  <c r="B50" i="216"/>
  <c r="C84" i="272" s="1"/>
  <c r="B40" i="216"/>
  <c r="C74" i="272" s="1"/>
  <c r="B43" i="214"/>
  <c r="C57" i="272" s="1"/>
  <c r="B58" i="216"/>
  <c r="C92" i="272" s="1"/>
  <c r="B45" i="216"/>
  <c r="C79" i="272" s="1"/>
  <c r="B68" i="236"/>
  <c r="C16" i="272" s="1"/>
  <c r="B40" i="240"/>
  <c r="C40" i="270" s="1"/>
  <c r="B39" i="240"/>
  <c r="C39" i="270" s="1"/>
  <c r="B47" i="236"/>
  <c r="C20" i="270" s="1"/>
  <c r="B34" i="214"/>
  <c r="C67" i="270" s="1"/>
  <c r="B35" i="214"/>
  <c r="C68" i="270" s="1"/>
  <c r="B25" i="214"/>
  <c r="C58" i="270" s="1"/>
  <c r="B37" i="240"/>
  <c r="C37" i="270" s="1"/>
  <c r="B56" i="236"/>
  <c r="C29" i="270" s="1"/>
  <c r="B31" i="214"/>
  <c r="C64" i="270" s="1"/>
  <c r="B35" i="240"/>
  <c r="C35" i="270" s="1"/>
  <c r="B12" i="255"/>
  <c r="C51" i="270" s="1"/>
  <c r="B26" i="214"/>
  <c r="C59" i="270" s="1"/>
  <c r="B35" i="252"/>
  <c r="C47" i="270" s="1"/>
  <c r="B55" i="236"/>
  <c r="C28" i="270" s="1"/>
  <c r="B52" i="236"/>
  <c r="C25" i="270" s="1"/>
  <c r="B34" i="252"/>
  <c r="C46" i="270" s="1"/>
  <c r="B50" i="236"/>
  <c r="C23" i="270" s="1"/>
  <c r="B48" i="236"/>
  <c r="C21" i="270" s="1"/>
  <c r="B47" i="235"/>
  <c r="C16" i="270" s="1"/>
  <c r="B43" i="235"/>
  <c r="C12" i="270" s="1"/>
  <c r="B42" i="235"/>
  <c r="C11" i="270" s="1"/>
  <c r="B53" i="236"/>
  <c r="C26" i="270" s="1"/>
  <c r="B32" i="214"/>
  <c r="C65" i="270" s="1"/>
  <c r="B29" i="214"/>
  <c r="C62" i="270" s="1"/>
  <c r="B41" i="235"/>
  <c r="C10" i="270" s="1"/>
  <c r="B13" i="255"/>
  <c r="C52" i="270" s="1"/>
  <c r="B28" i="214"/>
  <c r="C61" i="270" s="1"/>
  <c r="B40" i="235"/>
  <c r="C9" i="270" s="1"/>
  <c r="B51" i="236"/>
  <c r="C24" i="270" s="1"/>
  <c r="B39" i="235"/>
  <c r="C8" i="270" s="1"/>
  <c r="B27" i="214"/>
  <c r="C60" i="270" s="1"/>
  <c r="B33" i="240"/>
  <c r="C33" i="270" s="1"/>
  <c r="B24" i="214"/>
  <c r="C57" i="270" s="1"/>
  <c r="B25" i="216"/>
  <c r="C72" i="270" s="1"/>
  <c r="B8" i="255"/>
  <c r="C52" i="271" s="1"/>
  <c r="B24" i="240"/>
  <c r="C40" i="271" s="1"/>
  <c r="B19" i="240"/>
  <c r="C35" i="271" s="1"/>
  <c r="B20" i="240"/>
  <c r="C36" i="271" s="1"/>
  <c r="B29" i="240"/>
  <c r="C45" i="271" s="1"/>
  <c r="B19" i="214"/>
  <c r="C69" i="271" s="1"/>
  <c r="B29" i="235"/>
  <c r="C9" i="271" s="1"/>
  <c r="B23" i="240"/>
  <c r="C39" i="271" s="1"/>
  <c r="B9" i="214"/>
  <c r="C59" i="271" s="1"/>
  <c r="B17" i="214"/>
  <c r="C67" i="271" s="1"/>
  <c r="B18" i="214"/>
  <c r="C68" i="271" s="1"/>
  <c r="B37" i="236"/>
  <c r="C24" i="271" s="1"/>
  <c r="B33" i="236"/>
  <c r="C20" i="271" s="1"/>
  <c r="B14" i="217"/>
  <c r="C97" i="271" s="1"/>
  <c r="B12" i="217"/>
  <c r="C95" i="271" s="1"/>
  <c r="B30" i="235"/>
  <c r="C10" i="271" s="1"/>
  <c r="B31" i="235"/>
  <c r="C11" i="271" s="1"/>
  <c r="B34" i="235"/>
  <c r="C14" i="271" s="1"/>
  <c r="B18" i="217"/>
  <c r="C101" i="271" s="1"/>
  <c r="B9" i="217"/>
  <c r="C92" i="271" s="1"/>
  <c r="B6" i="217"/>
  <c r="C89" i="271" s="1"/>
  <c r="B15" i="217"/>
  <c r="C98" i="271" s="1"/>
  <c r="B14" i="214"/>
  <c r="C64" i="271" s="1"/>
  <c r="B19" i="216"/>
  <c r="C82" i="271" s="1"/>
  <c r="B13" i="214"/>
  <c r="C63" i="271" s="1"/>
  <c r="B18" i="216"/>
  <c r="C81" i="271" s="1"/>
  <c r="B11" i="216"/>
  <c r="C74" i="271" s="1"/>
  <c r="B14" i="216"/>
  <c r="C77" i="271" s="1"/>
  <c r="B27" i="240"/>
  <c r="C43" i="271" s="1"/>
  <c r="B35" i="236"/>
  <c r="C22" i="271" s="1"/>
  <c r="B17" i="216"/>
  <c r="C80" i="271" s="1"/>
  <c r="B20" i="214"/>
  <c r="C70" i="271" s="1"/>
  <c r="B7" i="214"/>
  <c r="C57" i="271" s="1"/>
  <c r="B7" i="216"/>
  <c r="C61" i="266" s="1"/>
  <c r="B27" i="236"/>
  <c r="C12" i="266" s="1"/>
  <c r="B24" i="235"/>
  <c r="C8" i="266" s="1"/>
  <c r="B29" i="236"/>
  <c r="C14" i="266" s="1"/>
  <c r="B27" i="252"/>
  <c r="C32" i="266" s="1"/>
  <c r="B14" i="240"/>
  <c r="C19" i="266" s="1"/>
  <c r="B25" i="225"/>
  <c r="C56" i="266" s="1"/>
  <c r="B23" i="225"/>
  <c r="C54" i="266" s="1"/>
  <c r="B20" i="225"/>
  <c r="C51" i="266" s="1"/>
  <c r="B17" i="225"/>
  <c r="C48" i="266" s="1"/>
  <c r="B9" i="225"/>
  <c r="C40" i="266" s="1"/>
  <c r="B14" i="225"/>
  <c r="C45" i="266" s="1"/>
  <c r="B7" i="246"/>
  <c r="C25" i="266" s="1"/>
  <c r="B8" i="240"/>
  <c r="C15" i="268" s="1"/>
  <c r="B21" i="235"/>
  <c r="C10" i="268" s="1"/>
  <c r="B10" i="240"/>
  <c r="C17" i="268" s="1"/>
  <c r="B20" i="252"/>
  <c r="C22" i="268" s="1"/>
  <c r="B128" i="242"/>
  <c r="B18" i="236"/>
  <c r="B24" i="258"/>
  <c r="B11" i="247"/>
  <c r="B11" i="241"/>
  <c r="B11" i="254"/>
  <c r="B9" i="231"/>
  <c r="B9" i="211"/>
  <c r="B7" i="231"/>
  <c r="B9" i="251"/>
  <c r="B11" i="250"/>
  <c r="B37" i="242"/>
  <c r="B36" i="242"/>
  <c r="B10" i="242"/>
  <c r="B17" i="212"/>
  <c r="B18" i="212"/>
  <c r="B171" i="242"/>
  <c r="B14" i="252"/>
  <c r="B13" i="252"/>
  <c r="B19" i="236"/>
  <c r="C127" i="276" s="1"/>
  <c r="B7" i="244"/>
  <c r="B146" i="242"/>
  <c r="B9" i="244"/>
  <c r="B145" i="242"/>
  <c r="B17" i="236"/>
  <c r="B14" i="236"/>
  <c r="C122" i="276" s="1"/>
  <c r="B13" i="236"/>
  <c r="C121" i="276" s="1"/>
  <c r="B11" i="236"/>
  <c r="C119" i="276" s="1"/>
  <c r="B11" i="252"/>
  <c r="B100" i="242"/>
  <c r="C278" i="276" s="1"/>
  <c r="B14" i="235"/>
  <c r="B92" i="242"/>
  <c r="B8" i="235"/>
  <c r="B9" i="252"/>
  <c r="B8" i="236"/>
  <c r="C116" i="276" s="1"/>
  <c r="B70" i="242"/>
  <c r="B6" i="236"/>
  <c r="B9" i="212"/>
  <c r="B45" i="242"/>
  <c r="C224" i="276" s="1"/>
  <c r="B11" i="242"/>
  <c r="B7" i="235"/>
  <c r="B8" i="242"/>
  <c r="B7" i="242"/>
  <c r="B12" i="251"/>
  <c r="B12" i="258"/>
  <c r="B576" i="28"/>
  <c r="B574" i="28"/>
  <c r="B572" i="28"/>
  <c r="B571" i="28"/>
  <c r="B569" i="28"/>
  <c r="B567" i="28"/>
  <c r="B565" i="28"/>
  <c r="B564" i="28"/>
  <c r="B551" i="28"/>
  <c r="B549" i="28"/>
  <c r="B546" i="28"/>
  <c r="B544" i="28"/>
  <c r="B543" i="28"/>
  <c r="B541" i="28"/>
  <c r="B539" i="28"/>
  <c r="B537" i="28"/>
  <c r="B535" i="28"/>
  <c r="B534" i="28"/>
  <c r="B532" i="28"/>
  <c r="B530" i="28"/>
  <c r="B528" i="28"/>
  <c r="B526" i="28"/>
  <c r="B524" i="28"/>
  <c r="B522" i="28"/>
  <c r="B520" i="28"/>
  <c r="B519" i="28"/>
  <c r="B517" i="28"/>
  <c r="B516" i="28"/>
  <c r="B514" i="28"/>
  <c r="B512" i="28"/>
  <c r="B510" i="28"/>
  <c r="B509" i="28"/>
  <c r="B507" i="28"/>
  <c r="B505" i="28"/>
  <c r="B503" i="28"/>
  <c r="B502" i="28"/>
  <c r="B500" i="28"/>
  <c r="B498" i="28"/>
  <c r="B496" i="28"/>
  <c r="B494" i="28"/>
  <c r="B493" i="28"/>
  <c r="B491" i="28"/>
  <c r="B489" i="28"/>
  <c r="B487" i="28"/>
  <c r="B483" i="28"/>
  <c r="B304" i="28"/>
  <c r="B7" i="257"/>
  <c r="C64" i="45" s="1"/>
  <c r="B6" i="257"/>
  <c r="C63" i="45" s="1"/>
  <c r="B8" i="257"/>
  <c r="C65" i="45" s="1"/>
  <c r="B9" i="257"/>
  <c r="C66" i="45" s="1"/>
  <c r="B36" i="255"/>
  <c r="B34" i="255"/>
  <c r="B27" i="255"/>
  <c r="B32" i="255"/>
  <c r="B51" i="235"/>
  <c r="C16" i="45" s="1"/>
  <c r="B10" i="257"/>
  <c r="C67" i="45" s="1"/>
  <c r="B65" i="240"/>
  <c r="C33" i="45" s="1"/>
  <c r="B57" i="214"/>
  <c r="C73" i="45" s="1"/>
  <c r="B59" i="214"/>
  <c r="C75" i="45" s="1"/>
  <c r="B60" i="214"/>
  <c r="C76" i="45" s="1"/>
  <c r="B58" i="214"/>
  <c r="C74" i="45" s="1"/>
  <c r="B39" i="255"/>
  <c r="B40" i="255"/>
  <c r="B64" i="240"/>
  <c r="C32" i="45" s="1"/>
  <c r="B56" i="214"/>
  <c r="C72" i="45" s="1"/>
  <c r="B55" i="214"/>
  <c r="C71" i="45" s="1"/>
  <c r="B54" i="214"/>
  <c r="C70" i="45" s="1"/>
  <c r="B63" i="240"/>
  <c r="C31" i="45" s="1"/>
  <c r="B62" i="240"/>
  <c r="C30" i="45" s="1"/>
  <c r="B79" i="236"/>
  <c r="C19" i="45" s="1"/>
  <c r="B46" i="252"/>
  <c r="C36" i="45" s="1"/>
  <c r="B28" i="255"/>
  <c r="B26" i="255"/>
  <c r="B17" i="234"/>
  <c r="C12" i="45" s="1"/>
  <c r="B13" i="234"/>
  <c r="C8" i="45" s="1"/>
  <c r="B15" i="234"/>
  <c r="C10" i="45" s="1"/>
  <c r="B16" i="234"/>
  <c r="C11" i="45" s="1"/>
  <c r="B30" i="255"/>
  <c r="B35" i="255"/>
  <c r="B37" i="255"/>
  <c r="B65" i="216"/>
  <c r="C82" i="45" s="1"/>
  <c r="B14" i="234"/>
  <c r="C9" i="45" s="1"/>
  <c r="B29" i="255"/>
  <c r="B38" i="255"/>
  <c r="B33" i="255"/>
  <c r="B25" i="255"/>
  <c r="B48" i="252"/>
  <c r="C38" i="45" s="1"/>
  <c r="B31" i="255"/>
  <c r="B50" i="252"/>
  <c r="C40" i="45" s="1"/>
  <c r="B61" i="240"/>
  <c r="C29" i="45" s="1"/>
  <c r="B64" i="216"/>
  <c r="C81" i="45" s="1"/>
  <c r="B24" i="255"/>
  <c r="B62" i="216"/>
  <c r="C79" i="45" s="1"/>
  <c r="B63" i="216"/>
  <c r="C80" i="45" s="1"/>
  <c r="B49" i="252"/>
  <c r="C39" i="45" s="1"/>
  <c r="B47" i="252"/>
  <c r="C37" i="45" s="1"/>
  <c r="B51" i="252"/>
  <c r="C41" i="45" s="1"/>
  <c r="B43" i="252"/>
  <c r="B76" i="236"/>
  <c r="C9" i="273" s="1"/>
  <c r="B51" i="214"/>
  <c r="B42" i="252"/>
  <c r="B41" i="252"/>
  <c r="B75" i="236"/>
  <c r="C8" i="273" s="1"/>
  <c r="B50" i="214"/>
  <c r="B74" i="236"/>
  <c r="B58" i="240"/>
  <c r="C38" i="272" s="1"/>
  <c r="B41" i="214"/>
  <c r="C55" i="272" s="1"/>
  <c r="B51" i="216"/>
  <c r="C85" i="272" s="1"/>
  <c r="B32" i="216"/>
  <c r="C66" i="272" s="1"/>
  <c r="B36" i="216"/>
  <c r="C70" i="272" s="1"/>
  <c r="B39" i="216"/>
  <c r="C73" i="272" s="1"/>
  <c r="B42" i="216"/>
  <c r="C76" i="272" s="1"/>
  <c r="B31" i="216"/>
  <c r="C65" i="272" s="1"/>
  <c r="B547" i="28"/>
  <c r="B135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554" i="28"/>
  <c r="B552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9" i="203"/>
  <c r="B11" i="203"/>
  <c r="B7" i="205"/>
  <c r="B6" i="205"/>
  <c r="B13" i="206"/>
  <c r="B14" i="206"/>
  <c r="B10" i="206"/>
  <c r="B7" i="207"/>
  <c r="B13" i="207"/>
  <c r="B12" i="207"/>
  <c r="B6" i="207"/>
  <c r="B13" i="208"/>
  <c r="B19" i="208"/>
  <c r="B20" i="208"/>
  <c r="B7" i="208"/>
  <c r="B21" i="208"/>
  <c r="B10" i="208"/>
  <c r="B12" i="208"/>
  <c r="B6" i="209"/>
  <c r="B17" i="210"/>
  <c r="B27" i="210"/>
  <c r="B8" i="210"/>
  <c r="B13" i="210"/>
  <c r="C584" i="28"/>
  <c r="B584" i="28"/>
  <c r="D578" i="28"/>
  <c r="C578" i="28"/>
  <c r="B563" i="28"/>
  <c r="C562" i="28"/>
  <c r="B562" i="28"/>
  <c r="A562" i="28"/>
  <c r="C561" i="28"/>
  <c r="B561" i="28"/>
  <c r="A561" i="28"/>
  <c r="D557" i="28"/>
  <c r="B555" i="28"/>
  <c r="B553" i="28"/>
  <c r="A553" i="28"/>
  <c r="A552" i="28"/>
  <c r="A547" i="28"/>
  <c r="D547" i="28"/>
  <c r="C547" i="28"/>
  <c r="A267" i="28"/>
  <c r="D267" i="28"/>
  <c r="C253" i="28"/>
  <c r="D250" i="28"/>
  <c r="C250" i="28"/>
  <c r="A248" i="28"/>
  <c r="C246" i="28"/>
  <c r="B245" i="28"/>
  <c r="D178" i="28"/>
  <c r="A135" i="28"/>
  <c r="D135" i="28"/>
  <c r="C135" i="28"/>
  <c r="F44" i="1"/>
  <c r="F38" i="1"/>
  <c r="F5" i="1"/>
  <c r="F43" i="1"/>
  <c r="F47" i="1"/>
  <c r="F53" i="1"/>
  <c r="F25" i="1"/>
  <c r="C6" i="28"/>
  <c r="B6" i="28"/>
  <c r="K1360" i="54"/>
  <c r="J1360" i="54"/>
  <c r="I1360" i="54"/>
  <c r="I1275" i="54"/>
  <c r="I1190" i="54"/>
  <c r="I1105" i="54"/>
  <c r="I1020" i="54"/>
  <c r="I935" i="54"/>
  <c r="I850" i="54"/>
  <c r="I765" i="54"/>
  <c r="I680" i="54"/>
  <c r="I595" i="54"/>
  <c r="I511" i="54"/>
  <c r="I427" i="54"/>
  <c r="I342" i="54"/>
  <c r="I259" i="54"/>
  <c r="I175" i="54"/>
  <c r="I91" i="54"/>
  <c r="I10" i="54"/>
  <c r="H1360" i="54"/>
  <c r="G1360" i="54"/>
  <c r="F1360" i="54"/>
  <c r="E1360" i="54"/>
  <c r="D1360" i="54"/>
  <c r="C1360" i="54"/>
  <c r="S1357" i="54"/>
  <c r="R1357" i="54"/>
  <c r="Q1357" i="54"/>
  <c r="P1357" i="54"/>
  <c r="O1357" i="54"/>
  <c r="N1357" i="54"/>
  <c r="M1357" i="54"/>
  <c r="K1357" i="54"/>
  <c r="J1357" i="54"/>
  <c r="I1357" i="54"/>
  <c r="H1357" i="54"/>
  <c r="G1357" i="54"/>
  <c r="F1357" i="54"/>
  <c r="E1357" i="54"/>
  <c r="D1357" i="54"/>
  <c r="C1357" i="54"/>
  <c r="M1354" i="54"/>
  <c r="D1354" i="54"/>
  <c r="C1353" i="54"/>
  <c r="H1352" i="54"/>
  <c r="K1371" i="54"/>
  <c r="K1372" i="54" s="1"/>
  <c r="K1373" i="54" s="1"/>
  <c r="K1374" i="54" s="1"/>
  <c r="K1375" i="54" s="1"/>
  <c r="K1376" i="54" s="1"/>
  <c r="K1377" i="54" s="1"/>
  <c r="K1378" i="54" s="1"/>
  <c r="K1379" i="54" s="1"/>
  <c r="K1380" i="54" s="1"/>
  <c r="K1381" i="54" s="1"/>
  <c r="K1382" i="54" s="1"/>
  <c r="K1383" i="54" s="1"/>
  <c r="K1384" i="54" s="1"/>
  <c r="K1385" i="54" s="1"/>
  <c r="K1386" i="54" s="1"/>
  <c r="K1387" i="54" s="1"/>
  <c r="K1388" i="54" s="1"/>
  <c r="K1389" i="54" s="1"/>
  <c r="K1390" i="54" s="1"/>
  <c r="K1391" i="54" s="1"/>
  <c r="K1392" i="54" s="1"/>
  <c r="K1393" i="54" s="1"/>
  <c r="K1394" i="54" s="1"/>
  <c r="K1395" i="54" s="1"/>
  <c r="K1396" i="54" s="1"/>
  <c r="K1397" i="54" s="1"/>
  <c r="K1398" i="54" s="1"/>
  <c r="K1399" i="54" s="1"/>
  <c r="K1400" i="54" s="1"/>
  <c r="K1401" i="54" s="1"/>
  <c r="K1402" i="54" s="1"/>
  <c r="K1403" i="54" s="1"/>
  <c r="K1404" i="54" s="1"/>
  <c r="K1405" i="54" s="1"/>
  <c r="K1406" i="54" s="1"/>
  <c r="K1407" i="54" s="1"/>
  <c r="K1408" i="54" s="1"/>
  <c r="K1409" i="54" s="1"/>
  <c r="K1410" i="54" s="1"/>
  <c r="K1411" i="54" s="1"/>
  <c r="K1412" i="54" s="1"/>
  <c r="K1413" i="54" s="1"/>
  <c r="K1414" i="54" s="1"/>
  <c r="K1415" i="54" s="1"/>
  <c r="K1416" i="54" s="1"/>
  <c r="K1417" i="54" s="1"/>
  <c r="K1418" i="54" s="1"/>
  <c r="K1419" i="54" s="1"/>
  <c r="K1420" i="54" s="1"/>
  <c r="K1421" i="54" s="1"/>
  <c r="K1422" i="54" s="1"/>
  <c r="K1423" i="54" s="1"/>
  <c r="K1424" i="54" s="1"/>
  <c r="K1425" i="54" s="1"/>
  <c r="K1426" i="54" s="1"/>
  <c r="K1427" i="54" s="1"/>
  <c r="K1428" i="54" s="1"/>
  <c r="K1429" i="54" s="1"/>
  <c r="R1365" i="54"/>
  <c r="Q1365" i="54"/>
  <c r="P1365" i="54"/>
  <c r="O1365" i="54"/>
  <c r="N1365" i="54"/>
  <c r="M1365" i="54"/>
  <c r="L1365" i="54"/>
  <c r="K1365" i="54"/>
  <c r="J1365" i="54"/>
  <c r="I1365" i="54"/>
  <c r="H1365" i="54"/>
  <c r="G1365" i="54"/>
  <c r="F1365" i="54"/>
  <c r="E1365" i="54"/>
  <c r="D1365" i="54"/>
  <c r="C1365" i="54"/>
  <c r="S1362" i="54"/>
  <c r="R1362" i="54"/>
  <c r="Q1362" i="54"/>
  <c r="P1362" i="54"/>
  <c r="O1362" i="54"/>
  <c r="N1362" i="54"/>
  <c r="M1362" i="54"/>
  <c r="L1362" i="54"/>
  <c r="K1362" i="54"/>
  <c r="J1362" i="54"/>
  <c r="I1362" i="54"/>
  <c r="H1362" i="54"/>
  <c r="G1362" i="54"/>
  <c r="F1362" i="54"/>
  <c r="E1362" i="54"/>
  <c r="D1362" i="54"/>
  <c r="C1362" i="54"/>
  <c r="S1359" i="54"/>
  <c r="R1359" i="54"/>
  <c r="Q1359" i="54"/>
  <c r="P1359" i="54"/>
  <c r="O1359" i="54"/>
  <c r="N1359" i="54"/>
  <c r="M1359" i="54"/>
  <c r="L1359" i="54"/>
  <c r="K1359" i="54"/>
  <c r="J1359" i="54"/>
  <c r="I1359" i="54"/>
  <c r="H1359" i="54"/>
  <c r="G1359" i="54"/>
  <c r="F1359" i="54"/>
  <c r="E1359" i="54"/>
  <c r="D1359" i="54"/>
  <c r="C1359" i="54"/>
  <c r="S1356" i="54"/>
  <c r="R1356" i="54"/>
  <c r="Q1356" i="54"/>
  <c r="P1356" i="54"/>
  <c r="O1356" i="54"/>
  <c r="N1356" i="54"/>
  <c r="M1356" i="54"/>
  <c r="K1356" i="54"/>
  <c r="J1356" i="54"/>
  <c r="I1356" i="54"/>
  <c r="H1356" i="54"/>
  <c r="G1356" i="54"/>
  <c r="F1356" i="54"/>
  <c r="E1356" i="54"/>
  <c r="D1356" i="54"/>
  <c r="C1356" i="54"/>
  <c r="R1281" i="54"/>
  <c r="Q1281" i="54"/>
  <c r="P1281" i="54"/>
  <c r="O1281" i="54"/>
  <c r="N1281" i="54"/>
  <c r="M1281" i="54"/>
  <c r="L1281" i="54"/>
  <c r="K1281" i="54"/>
  <c r="J1281" i="54"/>
  <c r="I1281" i="54"/>
  <c r="H1281" i="54"/>
  <c r="G1281" i="54"/>
  <c r="F1281" i="54"/>
  <c r="E1281" i="54"/>
  <c r="D1281" i="54"/>
  <c r="C1281" i="54"/>
  <c r="S1278" i="54"/>
  <c r="R1278" i="54"/>
  <c r="Q1278" i="54"/>
  <c r="P1278" i="54"/>
  <c r="O1278" i="54"/>
  <c r="N1278" i="54"/>
  <c r="M1278" i="54"/>
  <c r="L1278" i="54"/>
  <c r="K1278" i="54"/>
  <c r="J1278" i="54"/>
  <c r="I1278" i="54"/>
  <c r="H1278" i="54"/>
  <c r="G1278" i="54"/>
  <c r="F1278" i="54"/>
  <c r="D1278" i="54"/>
  <c r="C1278" i="54"/>
  <c r="S1275" i="54"/>
  <c r="R1275" i="54"/>
  <c r="Q1275" i="54"/>
  <c r="P1275" i="54"/>
  <c r="O1275" i="54"/>
  <c r="N1275" i="54"/>
  <c r="M1275" i="54"/>
  <c r="K1275" i="54"/>
  <c r="J1275" i="54"/>
  <c r="H1275" i="54"/>
  <c r="G1275" i="54"/>
  <c r="F1275" i="54"/>
  <c r="E1275" i="54"/>
  <c r="D1275" i="54"/>
  <c r="C1275" i="54"/>
  <c r="S1272" i="54"/>
  <c r="R1272" i="54"/>
  <c r="Q1272" i="54"/>
  <c r="P1272" i="54"/>
  <c r="O1272" i="54"/>
  <c r="N1272" i="54"/>
  <c r="M1272" i="54"/>
  <c r="L1272" i="54"/>
  <c r="K1272" i="54"/>
  <c r="J1272" i="54"/>
  <c r="I1272" i="54"/>
  <c r="H1272" i="54"/>
  <c r="G1272" i="54"/>
  <c r="F1272" i="54"/>
  <c r="E1272" i="54"/>
  <c r="D1272" i="54"/>
  <c r="C1272" i="54"/>
  <c r="M1269" i="54"/>
  <c r="D1269" i="54"/>
  <c r="C1268" i="54"/>
  <c r="H1267" i="54"/>
  <c r="K1286" i="54"/>
  <c r="K1287" i="54" s="1"/>
  <c r="K1288" i="54" s="1"/>
  <c r="K1289" i="54" s="1"/>
  <c r="K1290" i="54" s="1"/>
  <c r="K1291" i="54" s="1"/>
  <c r="K1292" i="54" s="1"/>
  <c r="K1293" i="54" s="1"/>
  <c r="K1294" i="54" s="1"/>
  <c r="K1295" i="54" s="1"/>
  <c r="K1296" i="54" s="1"/>
  <c r="K1297" i="54" s="1"/>
  <c r="K1298" i="54" s="1"/>
  <c r="K1299" i="54" s="1"/>
  <c r="K1300" i="54" s="1"/>
  <c r="K1301" i="54" s="1"/>
  <c r="K1302" i="54" s="1"/>
  <c r="K1303" i="54" s="1"/>
  <c r="K1304" i="54" s="1"/>
  <c r="K1305" i="54" s="1"/>
  <c r="K1306" i="54" s="1"/>
  <c r="K1307" i="54" s="1"/>
  <c r="K1308" i="54" s="1"/>
  <c r="K1309" i="54" s="1"/>
  <c r="K1310" i="54" s="1"/>
  <c r="K1311" i="54" s="1"/>
  <c r="K1312" i="54" s="1"/>
  <c r="K1313" i="54" s="1"/>
  <c r="K1314" i="54" s="1"/>
  <c r="K1315" i="54" s="1"/>
  <c r="K1316" i="54" s="1"/>
  <c r="K1317" i="54" s="1"/>
  <c r="K1318" i="54" s="1"/>
  <c r="K1319" i="54" s="1"/>
  <c r="K1320" i="54" s="1"/>
  <c r="K1321" i="54" s="1"/>
  <c r="K1322" i="54" s="1"/>
  <c r="K1323" i="54" s="1"/>
  <c r="K1324" i="54" s="1"/>
  <c r="K1325" i="54" s="1"/>
  <c r="K1326" i="54" s="1"/>
  <c r="K1327" i="54" s="1"/>
  <c r="K1328" i="54" s="1"/>
  <c r="K1329" i="54" s="1"/>
  <c r="K1330" i="54" s="1"/>
  <c r="K1331" i="54" s="1"/>
  <c r="K1332" i="54" s="1"/>
  <c r="K1333" i="54" s="1"/>
  <c r="K1334" i="54" s="1"/>
  <c r="K1335" i="54" s="1"/>
  <c r="K1336" i="54" s="1"/>
  <c r="K1337" i="54" s="1"/>
  <c r="K1338" i="54" s="1"/>
  <c r="K1339" i="54" s="1"/>
  <c r="K1340" i="54" s="1"/>
  <c r="K1341" i="54" s="1"/>
  <c r="K1342" i="54" s="1"/>
  <c r="K1343" i="54" s="1"/>
  <c r="K1344" i="54" s="1"/>
  <c r="R1280" i="54"/>
  <c r="Q1280" i="54"/>
  <c r="P1280" i="54"/>
  <c r="O1280" i="54"/>
  <c r="N1280" i="54"/>
  <c r="M1280" i="54"/>
  <c r="L1280" i="54"/>
  <c r="K1280" i="54"/>
  <c r="J1280" i="54"/>
  <c r="I1280" i="54"/>
  <c r="H1280" i="54"/>
  <c r="G1280" i="54"/>
  <c r="F1280" i="54"/>
  <c r="E1280" i="54"/>
  <c r="D1280" i="54"/>
  <c r="C1280" i="54"/>
  <c r="S1277" i="54"/>
  <c r="R1277" i="54"/>
  <c r="Q1277" i="54"/>
  <c r="P1277" i="54"/>
  <c r="O1277" i="54"/>
  <c r="N1277" i="54"/>
  <c r="M1277" i="54"/>
  <c r="L1277" i="54"/>
  <c r="K1277" i="54"/>
  <c r="J1277" i="54"/>
  <c r="I1277" i="54"/>
  <c r="H1277" i="54"/>
  <c r="G1277" i="54"/>
  <c r="F1277" i="54"/>
  <c r="E1277" i="54"/>
  <c r="D1277" i="54"/>
  <c r="C1277" i="54"/>
  <c r="S1274" i="54"/>
  <c r="R1274" i="54"/>
  <c r="Q1274" i="54"/>
  <c r="P1274" i="54"/>
  <c r="O1274" i="54"/>
  <c r="N1274" i="54"/>
  <c r="M1274" i="54"/>
  <c r="L1274" i="54"/>
  <c r="K1274" i="54"/>
  <c r="J1274" i="54"/>
  <c r="I1274" i="54"/>
  <c r="H1274" i="54"/>
  <c r="G1274" i="54"/>
  <c r="F1274" i="54"/>
  <c r="E1274" i="54"/>
  <c r="D1274" i="54"/>
  <c r="C1274" i="54"/>
  <c r="S1271" i="54"/>
  <c r="R1271" i="54"/>
  <c r="Q1271" i="54"/>
  <c r="P1271" i="54"/>
  <c r="O1271" i="54"/>
  <c r="N1271" i="54"/>
  <c r="M1271" i="54"/>
  <c r="L1271" i="54"/>
  <c r="K1271" i="54"/>
  <c r="J1271" i="54"/>
  <c r="I1271" i="54"/>
  <c r="H1271" i="54"/>
  <c r="G1271" i="54"/>
  <c r="F1271" i="54"/>
  <c r="E1271" i="54"/>
  <c r="D1271" i="54"/>
  <c r="C1271" i="54"/>
  <c r="R1196" i="54"/>
  <c r="Q1196" i="54"/>
  <c r="P1196" i="54"/>
  <c r="O1196" i="54"/>
  <c r="N1196" i="54"/>
  <c r="M1196" i="54"/>
  <c r="L1196" i="54"/>
  <c r="K1196" i="54"/>
  <c r="J1196" i="54"/>
  <c r="I1196" i="54"/>
  <c r="H1196" i="54"/>
  <c r="G1196" i="54"/>
  <c r="F1196" i="54"/>
  <c r="E1196" i="54"/>
  <c r="D1196" i="54"/>
  <c r="C1196" i="54"/>
  <c r="S1193" i="54"/>
  <c r="R1193" i="54"/>
  <c r="Q1193" i="54"/>
  <c r="P1193" i="54"/>
  <c r="O1193" i="54"/>
  <c r="N1193" i="54"/>
  <c r="M1193" i="54"/>
  <c r="L1193" i="54"/>
  <c r="K1193" i="54"/>
  <c r="J1193" i="54"/>
  <c r="I1193" i="54"/>
  <c r="H1193" i="54"/>
  <c r="G1193" i="54"/>
  <c r="F1193" i="54"/>
  <c r="D1193" i="54"/>
  <c r="C1193" i="54"/>
  <c r="S1190" i="54"/>
  <c r="R1190" i="54"/>
  <c r="Q1190" i="54"/>
  <c r="P1190" i="54"/>
  <c r="O1190" i="54"/>
  <c r="N1190" i="54"/>
  <c r="M1190" i="54"/>
  <c r="K1190" i="54"/>
  <c r="J1190" i="54"/>
  <c r="H1190" i="54"/>
  <c r="G1190" i="54"/>
  <c r="F1190" i="54"/>
  <c r="E1190" i="54"/>
  <c r="D1190" i="54"/>
  <c r="C1190" i="54"/>
  <c r="S1187" i="54"/>
  <c r="R1187" i="54"/>
  <c r="Q1187" i="54"/>
  <c r="P1187" i="54"/>
  <c r="O1187" i="54"/>
  <c r="N1187" i="54"/>
  <c r="M1187" i="54"/>
  <c r="L1187" i="54"/>
  <c r="K1187" i="54"/>
  <c r="J1187" i="54"/>
  <c r="I1187" i="54"/>
  <c r="H1187" i="54"/>
  <c r="G1187" i="54"/>
  <c r="F1187" i="54"/>
  <c r="E1187" i="54"/>
  <c r="D1187" i="54"/>
  <c r="C1187" i="54"/>
  <c r="K1184" i="54"/>
  <c r="D1184" i="54"/>
  <c r="C1183" i="54"/>
  <c r="R1111" i="54"/>
  <c r="Q1111" i="54"/>
  <c r="P1111" i="54"/>
  <c r="O1111" i="54"/>
  <c r="N1111" i="54"/>
  <c r="M1111" i="54"/>
  <c r="L1111" i="54"/>
  <c r="K1111" i="54"/>
  <c r="J1111" i="54"/>
  <c r="I1111" i="54"/>
  <c r="H1111" i="54"/>
  <c r="G1111" i="54"/>
  <c r="F1111" i="54"/>
  <c r="E1111" i="54"/>
  <c r="D1111" i="54"/>
  <c r="C1111" i="54"/>
  <c r="S1108" i="54"/>
  <c r="R1108" i="54"/>
  <c r="Q1108" i="54"/>
  <c r="P1108" i="54"/>
  <c r="O1108" i="54"/>
  <c r="N1108" i="54"/>
  <c r="M1108" i="54"/>
  <c r="L1108" i="54"/>
  <c r="K1108" i="54"/>
  <c r="J1108" i="54"/>
  <c r="I1108" i="54"/>
  <c r="H1108" i="54"/>
  <c r="G1108" i="54"/>
  <c r="F1108" i="54"/>
  <c r="D1108" i="54"/>
  <c r="C1108" i="54"/>
  <c r="S1105" i="54"/>
  <c r="R1105" i="54"/>
  <c r="Q1105" i="54"/>
  <c r="P1105" i="54"/>
  <c r="O1105" i="54"/>
  <c r="N1105" i="54"/>
  <c r="M1105" i="54"/>
  <c r="K1105" i="54"/>
  <c r="J1105" i="54"/>
  <c r="H1105" i="54"/>
  <c r="G1105" i="54"/>
  <c r="F1105" i="54"/>
  <c r="E1105" i="54"/>
  <c r="D1105" i="54"/>
  <c r="C1105" i="54"/>
  <c r="S1102" i="54"/>
  <c r="R1102" i="54"/>
  <c r="Q1102" i="54"/>
  <c r="P1102" i="54"/>
  <c r="O1102" i="54"/>
  <c r="N1102" i="54"/>
  <c r="M1102" i="54"/>
  <c r="L1102" i="54"/>
  <c r="K1102" i="54"/>
  <c r="J1102" i="54"/>
  <c r="I1102" i="54"/>
  <c r="H1102" i="54"/>
  <c r="G1102" i="54"/>
  <c r="F1102" i="54"/>
  <c r="E1102" i="54"/>
  <c r="D1102" i="54"/>
  <c r="C1102" i="54"/>
  <c r="K1099" i="54"/>
  <c r="D1099" i="54"/>
  <c r="C1098" i="54"/>
  <c r="H1097" i="54"/>
  <c r="E1101" i="54"/>
  <c r="F1101" i="54"/>
  <c r="G1101" i="54"/>
  <c r="H1101" i="54"/>
  <c r="I1101" i="54"/>
  <c r="J1101" i="54"/>
  <c r="K1101" i="54"/>
  <c r="L1101" i="54"/>
  <c r="M1101" i="54"/>
  <c r="N1101" i="54"/>
  <c r="O1101" i="54"/>
  <c r="P1101" i="54"/>
  <c r="Q1101" i="54"/>
  <c r="R1101" i="54"/>
  <c r="S1101" i="54"/>
  <c r="E1104" i="54"/>
  <c r="F1104" i="54"/>
  <c r="G1104" i="54"/>
  <c r="H1104" i="54"/>
  <c r="I1104" i="54"/>
  <c r="J1104" i="54"/>
  <c r="K1104" i="54"/>
  <c r="L1104" i="54"/>
  <c r="M1104" i="54"/>
  <c r="N1104" i="54"/>
  <c r="O1104" i="54"/>
  <c r="P1104" i="54"/>
  <c r="Q1104" i="54"/>
  <c r="R1104" i="54"/>
  <c r="S1104" i="54"/>
  <c r="E1107" i="54"/>
  <c r="F1107" i="54"/>
  <c r="G1107" i="54"/>
  <c r="H1107" i="54"/>
  <c r="I1107" i="54"/>
  <c r="J1107" i="54"/>
  <c r="K1107" i="54"/>
  <c r="L1107" i="54"/>
  <c r="M1107" i="54"/>
  <c r="N1107" i="54"/>
  <c r="O1107" i="54"/>
  <c r="P1107" i="54"/>
  <c r="Q1107" i="54"/>
  <c r="R1107" i="54"/>
  <c r="S1107" i="54"/>
  <c r="E1110" i="54"/>
  <c r="F1110" i="54"/>
  <c r="G1110" i="54"/>
  <c r="H1110" i="54"/>
  <c r="I1110" i="54"/>
  <c r="J1110" i="54"/>
  <c r="K1110" i="54"/>
  <c r="L1110" i="54"/>
  <c r="M1110" i="54"/>
  <c r="N1110" i="54"/>
  <c r="O1110" i="54"/>
  <c r="P1110" i="54"/>
  <c r="Q1110" i="54"/>
  <c r="R1110" i="54"/>
  <c r="H1182" i="54"/>
  <c r="K1201" i="54"/>
  <c r="K1202" i="54" s="1"/>
  <c r="K1203" i="54" s="1"/>
  <c r="K1204" i="54" s="1"/>
  <c r="K1205" i="54" s="1"/>
  <c r="K1206" i="54" s="1"/>
  <c r="K1207" i="54" s="1"/>
  <c r="K1208" i="54" s="1"/>
  <c r="K1209" i="54" s="1"/>
  <c r="K1210" i="54" s="1"/>
  <c r="K1211" i="54" s="1"/>
  <c r="K1212" i="54" s="1"/>
  <c r="K1213" i="54" s="1"/>
  <c r="K1214" i="54" s="1"/>
  <c r="K1215" i="54" s="1"/>
  <c r="K1216" i="54" s="1"/>
  <c r="K1217" i="54" s="1"/>
  <c r="K1218" i="54" s="1"/>
  <c r="K1219" i="54" s="1"/>
  <c r="K1220" i="54" s="1"/>
  <c r="K1221" i="54" s="1"/>
  <c r="K1222" i="54" s="1"/>
  <c r="K1223" i="54" s="1"/>
  <c r="K1224" i="54" s="1"/>
  <c r="K1225" i="54" s="1"/>
  <c r="K1226" i="54" s="1"/>
  <c r="K1227" i="54" s="1"/>
  <c r="K1228" i="54" s="1"/>
  <c r="K1229" i="54" s="1"/>
  <c r="K1230" i="54" s="1"/>
  <c r="K1231" i="54" s="1"/>
  <c r="K1232" i="54" s="1"/>
  <c r="K1233" i="54" s="1"/>
  <c r="K1234" i="54" s="1"/>
  <c r="K1235" i="54" s="1"/>
  <c r="K1236" i="54" s="1"/>
  <c r="K1237" i="54" s="1"/>
  <c r="K1238" i="54" s="1"/>
  <c r="K1239" i="54" s="1"/>
  <c r="K1240" i="54" s="1"/>
  <c r="K1241" i="54" s="1"/>
  <c r="K1242" i="54" s="1"/>
  <c r="K1243" i="54" s="1"/>
  <c r="K1244" i="54" s="1"/>
  <c r="K1245" i="54" s="1"/>
  <c r="K1246" i="54" s="1"/>
  <c r="K1247" i="54" s="1"/>
  <c r="K1248" i="54" s="1"/>
  <c r="K1249" i="54" s="1"/>
  <c r="K1250" i="54" s="1"/>
  <c r="K1251" i="54" s="1"/>
  <c r="K1252" i="54" s="1"/>
  <c r="K1253" i="54" s="1"/>
  <c r="K1254" i="54" s="1"/>
  <c r="K1255" i="54" s="1"/>
  <c r="K1256" i="54" s="1"/>
  <c r="K1257" i="54" s="1"/>
  <c r="K1258" i="54" s="1"/>
  <c r="K1259" i="54" s="1"/>
  <c r="R1195" i="54"/>
  <c r="Q1195" i="54"/>
  <c r="P1195" i="54"/>
  <c r="O1195" i="54"/>
  <c r="N1195" i="54"/>
  <c r="M1195" i="54"/>
  <c r="L1195" i="54"/>
  <c r="K1195" i="54"/>
  <c r="J1195" i="54"/>
  <c r="I1195" i="54"/>
  <c r="H1195" i="54"/>
  <c r="G1195" i="54"/>
  <c r="F1195" i="54"/>
  <c r="E1195" i="54"/>
  <c r="D1195" i="54"/>
  <c r="C1195" i="54"/>
  <c r="S1192" i="54"/>
  <c r="R1192" i="54"/>
  <c r="Q1192" i="54"/>
  <c r="P1192" i="54"/>
  <c r="O1192" i="54"/>
  <c r="N1192" i="54"/>
  <c r="M1192" i="54"/>
  <c r="L1192" i="54"/>
  <c r="K1192" i="54"/>
  <c r="J1192" i="54"/>
  <c r="I1192" i="54"/>
  <c r="H1192" i="54"/>
  <c r="G1192" i="54"/>
  <c r="F1192" i="54"/>
  <c r="E1192" i="54"/>
  <c r="D1192" i="54"/>
  <c r="C1192" i="54"/>
  <c r="S1189" i="54"/>
  <c r="R1189" i="54"/>
  <c r="Q1189" i="54"/>
  <c r="P1189" i="54"/>
  <c r="O1189" i="54"/>
  <c r="N1189" i="54"/>
  <c r="M1189" i="54"/>
  <c r="L1189" i="54"/>
  <c r="K1189" i="54"/>
  <c r="J1189" i="54"/>
  <c r="I1189" i="54"/>
  <c r="H1189" i="54"/>
  <c r="G1189" i="54"/>
  <c r="F1189" i="54"/>
  <c r="E1189" i="54"/>
  <c r="D1189" i="54"/>
  <c r="C1189" i="54"/>
  <c r="S1186" i="54"/>
  <c r="R1186" i="54"/>
  <c r="Q1186" i="54"/>
  <c r="P1186" i="54"/>
  <c r="O1186" i="54"/>
  <c r="N1186" i="54"/>
  <c r="M1186" i="54"/>
  <c r="L1186" i="54"/>
  <c r="K1186" i="54"/>
  <c r="J1186" i="54"/>
  <c r="I1186" i="54"/>
  <c r="H1186" i="54"/>
  <c r="G1186" i="54"/>
  <c r="F1186" i="54"/>
  <c r="E1186" i="54"/>
  <c r="D1186" i="54"/>
  <c r="C1186" i="54"/>
  <c r="K1116" i="54"/>
  <c r="K1117" i="54" s="1"/>
  <c r="K1118" i="54" s="1"/>
  <c r="K1119" i="54" s="1"/>
  <c r="K1120" i="54" s="1"/>
  <c r="K1121" i="54" s="1"/>
  <c r="K1122" i="54" s="1"/>
  <c r="K1123" i="54" s="1"/>
  <c r="K1124" i="54" s="1"/>
  <c r="K1125" i="54" s="1"/>
  <c r="K1126" i="54" s="1"/>
  <c r="K1127" i="54" s="1"/>
  <c r="K1128" i="54" s="1"/>
  <c r="K1129" i="54" s="1"/>
  <c r="K1130" i="54" s="1"/>
  <c r="K1131" i="54" s="1"/>
  <c r="K1132" i="54" s="1"/>
  <c r="K1133" i="54" s="1"/>
  <c r="K1134" i="54" s="1"/>
  <c r="K1135" i="54" s="1"/>
  <c r="K1136" i="54" s="1"/>
  <c r="K1137" i="54" s="1"/>
  <c r="K1138" i="54" s="1"/>
  <c r="K1139" i="54" s="1"/>
  <c r="K1140" i="54" s="1"/>
  <c r="K1141" i="54" s="1"/>
  <c r="K1142" i="54" s="1"/>
  <c r="K1143" i="54" s="1"/>
  <c r="K1144" i="54" s="1"/>
  <c r="K1145" i="54" s="1"/>
  <c r="K1146" i="54" s="1"/>
  <c r="K1147" i="54" s="1"/>
  <c r="K1148" i="54" s="1"/>
  <c r="K1149" i="54" s="1"/>
  <c r="K1150" i="54" s="1"/>
  <c r="K1151" i="54" s="1"/>
  <c r="K1152" i="54" s="1"/>
  <c r="K1153" i="54" s="1"/>
  <c r="K1154" i="54" s="1"/>
  <c r="K1155" i="54" s="1"/>
  <c r="K1156" i="54" s="1"/>
  <c r="K1157" i="54" s="1"/>
  <c r="K1158" i="54" s="1"/>
  <c r="K1159" i="54" s="1"/>
  <c r="K1160" i="54" s="1"/>
  <c r="K1161" i="54" s="1"/>
  <c r="K1162" i="54" s="1"/>
  <c r="K1163" i="54" s="1"/>
  <c r="K1164" i="54" s="1"/>
  <c r="K1165" i="54" s="1"/>
  <c r="K1166" i="54" s="1"/>
  <c r="K1167" i="54" s="1"/>
  <c r="K1168" i="54" s="1"/>
  <c r="K1169" i="54" s="1"/>
  <c r="K1170" i="54" s="1"/>
  <c r="K1171" i="54" s="1"/>
  <c r="K1172" i="54" s="1"/>
  <c r="K1173" i="54" s="1"/>
  <c r="K1174" i="54" s="1"/>
  <c r="D1110" i="54"/>
  <c r="C1110" i="54"/>
  <c r="D1107" i="54"/>
  <c r="C1107" i="54"/>
  <c r="D1104" i="54"/>
  <c r="C1104" i="54"/>
  <c r="D1101" i="54"/>
  <c r="C1101" i="54"/>
  <c r="R1026" i="54"/>
  <c r="Q1026" i="54"/>
  <c r="P1026" i="54"/>
  <c r="O1026" i="54"/>
  <c r="N1026" i="54"/>
  <c r="M1026" i="54"/>
  <c r="L1026" i="54"/>
  <c r="K1026" i="54"/>
  <c r="J1026" i="54"/>
  <c r="I1026" i="54"/>
  <c r="H1026" i="54"/>
  <c r="G1026" i="54"/>
  <c r="F1026" i="54"/>
  <c r="E1026" i="54"/>
  <c r="D1026" i="54"/>
  <c r="C1026" i="54"/>
  <c r="S1023" i="54"/>
  <c r="R1023" i="54"/>
  <c r="Q1023" i="54"/>
  <c r="P1023" i="54"/>
  <c r="O1023" i="54"/>
  <c r="N1023" i="54"/>
  <c r="M1023" i="54"/>
  <c r="L1023" i="54"/>
  <c r="K1023" i="54"/>
  <c r="J1023" i="54"/>
  <c r="I1023" i="54"/>
  <c r="H1023" i="54"/>
  <c r="G1023" i="54"/>
  <c r="F1023" i="54"/>
  <c r="D1023" i="54"/>
  <c r="C1023" i="54"/>
  <c r="S1020" i="54"/>
  <c r="S935" i="54"/>
  <c r="S850" i="54"/>
  <c r="S765" i="54"/>
  <c r="S680" i="54"/>
  <c r="S595" i="54"/>
  <c r="S511" i="54"/>
  <c r="S427" i="54"/>
  <c r="S342" i="54"/>
  <c r="S259" i="54"/>
  <c r="S175" i="54"/>
  <c r="S91" i="54"/>
  <c r="S10" i="54"/>
  <c r="R1020" i="54"/>
  <c r="Q1020" i="54"/>
  <c r="P1020" i="54"/>
  <c r="O1020" i="54"/>
  <c r="N1020" i="54"/>
  <c r="M1020" i="54"/>
  <c r="K1020" i="54"/>
  <c r="J1020" i="54"/>
  <c r="H1020" i="54"/>
  <c r="G1020" i="54"/>
  <c r="F1020" i="54"/>
  <c r="E1020" i="54"/>
  <c r="D1020" i="54"/>
  <c r="C1020" i="54"/>
  <c r="S1017" i="54"/>
  <c r="R1017" i="54"/>
  <c r="Q1017" i="54"/>
  <c r="P1017" i="54"/>
  <c r="O1017" i="54"/>
  <c r="N1017" i="54"/>
  <c r="M1017" i="54"/>
  <c r="L1017" i="54"/>
  <c r="K1017" i="54"/>
  <c r="J1017" i="54"/>
  <c r="I1017" i="54"/>
  <c r="H1017" i="54"/>
  <c r="G1017" i="54"/>
  <c r="F1017" i="54"/>
  <c r="E1017" i="54"/>
  <c r="D1017" i="54"/>
  <c r="C1017" i="54"/>
  <c r="K1014" i="54"/>
  <c r="D1014" i="54"/>
  <c r="C1013" i="54"/>
  <c r="H1012" i="54"/>
  <c r="K1031" i="54"/>
  <c r="K1032" i="54" s="1"/>
  <c r="K1033" i="54" s="1"/>
  <c r="K1034" i="54" s="1"/>
  <c r="K1035" i="54" s="1"/>
  <c r="K1036" i="54" s="1"/>
  <c r="K1037" i="54" s="1"/>
  <c r="K1038" i="54" s="1"/>
  <c r="K1039" i="54" s="1"/>
  <c r="K1040" i="54" s="1"/>
  <c r="K1041" i="54" s="1"/>
  <c r="K1042" i="54" s="1"/>
  <c r="K1043" i="54" s="1"/>
  <c r="K1044" i="54" s="1"/>
  <c r="K1045" i="54" s="1"/>
  <c r="K1046" i="54" s="1"/>
  <c r="K1047" i="54" s="1"/>
  <c r="K1048" i="54" s="1"/>
  <c r="K1049" i="54" s="1"/>
  <c r="K1050" i="54" s="1"/>
  <c r="K1051" i="54" s="1"/>
  <c r="K1052" i="54" s="1"/>
  <c r="K1053" i="54" s="1"/>
  <c r="K1054" i="54" s="1"/>
  <c r="K1055" i="54" s="1"/>
  <c r="K1056" i="54" s="1"/>
  <c r="K1057" i="54" s="1"/>
  <c r="K1058" i="54" s="1"/>
  <c r="K1059" i="54" s="1"/>
  <c r="K1060" i="54" s="1"/>
  <c r="K1061" i="54" s="1"/>
  <c r="K1062" i="54" s="1"/>
  <c r="K1063" i="54" s="1"/>
  <c r="K1064" i="54" s="1"/>
  <c r="K1065" i="54" s="1"/>
  <c r="K1066" i="54" s="1"/>
  <c r="K1067" i="54" s="1"/>
  <c r="K1068" i="54" s="1"/>
  <c r="K1069" i="54" s="1"/>
  <c r="K1070" i="54" s="1"/>
  <c r="K1071" i="54" s="1"/>
  <c r="K1072" i="54" s="1"/>
  <c r="K1073" i="54" s="1"/>
  <c r="K1074" i="54" s="1"/>
  <c r="K1075" i="54" s="1"/>
  <c r="K1076" i="54" s="1"/>
  <c r="K1077" i="54" s="1"/>
  <c r="K1078" i="54" s="1"/>
  <c r="K1079" i="54" s="1"/>
  <c r="K1080" i="54" s="1"/>
  <c r="K1081" i="54" s="1"/>
  <c r="K1082" i="54" s="1"/>
  <c r="K1083" i="54" s="1"/>
  <c r="K1084" i="54" s="1"/>
  <c r="K1085" i="54" s="1"/>
  <c r="K1086" i="54" s="1"/>
  <c r="K1087" i="54" s="1"/>
  <c r="K1088" i="54" s="1"/>
  <c r="K1089" i="54" s="1"/>
  <c r="R1025" i="54"/>
  <c r="Q1025" i="54"/>
  <c r="P1025" i="54"/>
  <c r="O1025" i="54"/>
  <c r="N1025" i="54"/>
  <c r="M1025" i="54"/>
  <c r="L1025" i="54"/>
  <c r="K1025" i="54"/>
  <c r="J1025" i="54"/>
  <c r="I1025" i="54"/>
  <c r="H1025" i="54"/>
  <c r="G1025" i="54"/>
  <c r="F1025" i="54"/>
  <c r="E1025" i="54"/>
  <c r="D1025" i="54"/>
  <c r="C1025" i="54"/>
  <c r="S1022" i="54"/>
  <c r="R1022" i="54"/>
  <c r="Q1022" i="54"/>
  <c r="P1022" i="54"/>
  <c r="O1022" i="54"/>
  <c r="N1022" i="54"/>
  <c r="M1022" i="54"/>
  <c r="L1022" i="54"/>
  <c r="K1022" i="54"/>
  <c r="J1022" i="54"/>
  <c r="I1022" i="54"/>
  <c r="H1022" i="54"/>
  <c r="G1022" i="54"/>
  <c r="F1022" i="54"/>
  <c r="E1022" i="54"/>
  <c r="D1022" i="54"/>
  <c r="C1022" i="54"/>
  <c r="S1019" i="54"/>
  <c r="R1019" i="54"/>
  <c r="Q1019" i="54"/>
  <c r="P1019" i="54"/>
  <c r="O1019" i="54"/>
  <c r="N1019" i="54"/>
  <c r="M1019" i="54"/>
  <c r="L1019" i="54"/>
  <c r="K1019" i="54"/>
  <c r="J1019" i="54"/>
  <c r="I1019" i="54"/>
  <c r="H1019" i="54"/>
  <c r="G1019" i="54"/>
  <c r="F1019" i="54"/>
  <c r="E1019" i="54"/>
  <c r="D1019" i="54"/>
  <c r="C1019" i="54"/>
  <c r="S1016" i="54"/>
  <c r="R1016" i="54"/>
  <c r="Q1016" i="54"/>
  <c r="P1016" i="54"/>
  <c r="O1016" i="54"/>
  <c r="N1016" i="54"/>
  <c r="M1016" i="54"/>
  <c r="L1016" i="54"/>
  <c r="K1016" i="54"/>
  <c r="J1016" i="54"/>
  <c r="I1016" i="54"/>
  <c r="H1016" i="54"/>
  <c r="G1016" i="54"/>
  <c r="F1016" i="54"/>
  <c r="E1016" i="54"/>
  <c r="D1016" i="54"/>
  <c r="C1016" i="54"/>
  <c r="R941" i="54"/>
  <c r="Q941" i="54"/>
  <c r="P941" i="54"/>
  <c r="O941" i="54"/>
  <c r="N941" i="54"/>
  <c r="M941" i="54"/>
  <c r="L941" i="54"/>
  <c r="K941" i="54"/>
  <c r="J941" i="54"/>
  <c r="I941" i="54"/>
  <c r="H941" i="54"/>
  <c r="G941" i="54"/>
  <c r="F941" i="54"/>
  <c r="E941" i="54"/>
  <c r="D941" i="54"/>
  <c r="C941" i="54"/>
  <c r="S938" i="54"/>
  <c r="R938" i="54"/>
  <c r="Q938" i="54"/>
  <c r="P938" i="54"/>
  <c r="O938" i="54"/>
  <c r="N938" i="54"/>
  <c r="M938" i="54"/>
  <c r="L938" i="54"/>
  <c r="K938" i="54"/>
  <c r="J938" i="54"/>
  <c r="I938" i="54"/>
  <c r="H938" i="54"/>
  <c r="G938" i="54"/>
  <c r="F938" i="54"/>
  <c r="D938" i="54"/>
  <c r="C938" i="54"/>
  <c r="R935" i="54"/>
  <c r="Q935" i="54"/>
  <c r="P935" i="54"/>
  <c r="O935" i="54"/>
  <c r="N935" i="54"/>
  <c r="M935" i="54"/>
  <c r="K935" i="54"/>
  <c r="J935" i="54"/>
  <c r="H935" i="54"/>
  <c r="G935" i="54"/>
  <c r="F935" i="54"/>
  <c r="E935" i="54"/>
  <c r="D935" i="54"/>
  <c r="C935" i="54"/>
  <c r="S932" i="54"/>
  <c r="R932" i="54"/>
  <c r="Q932" i="54"/>
  <c r="P932" i="54"/>
  <c r="O932" i="54"/>
  <c r="N932" i="54"/>
  <c r="M932" i="54"/>
  <c r="L932" i="54"/>
  <c r="K932" i="54"/>
  <c r="J932" i="54"/>
  <c r="I932" i="54"/>
  <c r="G932" i="54"/>
  <c r="H932" i="54"/>
  <c r="F932" i="54"/>
  <c r="E932" i="54"/>
  <c r="D932" i="54"/>
  <c r="C932" i="54"/>
  <c r="K929" i="54"/>
  <c r="D929" i="54"/>
  <c r="C928" i="54"/>
  <c r="H927" i="54"/>
  <c r="K946" i="54"/>
  <c r="K947" i="54" s="1"/>
  <c r="K948" i="54" s="1"/>
  <c r="K949" i="54" s="1"/>
  <c r="K950" i="54" s="1"/>
  <c r="K951" i="54" s="1"/>
  <c r="K952" i="54" s="1"/>
  <c r="K953" i="54" s="1"/>
  <c r="K954" i="54" s="1"/>
  <c r="K955" i="54" s="1"/>
  <c r="K956" i="54" s="1"/>
  <c r="K957" i="54" s="1"/>
  <c r="K958" i="54" s="1"/>
  <c r="K959" i="54" s="1"/>
  <c r="K960" i="54" s="1"/>
  <c r="K961" i="54" s="1"/>
  <c r="K962" i="54" s="1"/>
  <c r="K963" i="54" s="1"/>
  <c r="K964" i="54" s="1"/>
  <c r="K965" i="54" s="1"/>
  <c r="K966" i="54" s="1"/>
  <c r="K967" i="54" s="1"/>
  <c r="K968" i="54" s="1"/>
  <c r="K969" i="54" s="1"/>
  <c r="K970" i="54" s="1"/>
  <c r="K971" i="54" s="1"/>
  <c r="K972" i="54" s="1"/>
  <c r="K973" i="54" s="1"/>
  <c r="K974" i="54" s="1"/>
  <c r="K975" i="54" s="1"/>
  <c r="K976" i="54" s="1"/>
  <c r="K977" i="54" s="1"/>
  <c r="K978" i="54" s="1"/>
  <c r="K979" i="54" s="1"/>
  <c r="K980" i="54" s="1"/>
  <c r="K981" i="54" s="1"/>
  <c r="K982" i="54" s="1"/>
  <c r="K983" i="54" s="1"/>
  <c r="K984" i="54" s="1"/>
  <c r="K985" i="54" s="1"/>
  <c r="K986" i="54" s="1"/>
  <c r="K987" i="54" s="1"/>
  <c r="K988" i="54" s="1"/>
  <c r="K989" i="54" s="1"/>
  <c r="K990" i="54" s="1"/>
  <c r="K991" i="54" s="1"/>
  <c r="K992" i="54" s="1"/>
  <c r="K993" i="54" s="1"/>
  <c r="K994" i="54" s="1"/>
  <c r="K995" i="54" s="1"/>
  <c r="K996" i="54" s="1"/>
  <c r="K997" i="54" s="1"/>
  <c r="K998" i="54" s="1"/>
  <c r="K999" i="54" s="1"/>
  <c r="K1000" i="54" s="1"/>
  <c r="K1001" i="54" s="1"/>
  <c r="K1002" i="54" s="1"/>
  <c r="K1003" i="54" s="1"/>
  <c r="K1004" i="54" s="1"/>
  <c r="R940" i="54"/>
  <c r="Q940" i="54"/>
  <c r="P940" i="54"/>
  <c r="O940" i="54"/>
  <c r="N940" i="54"/>
  <c r="M940" i="54"/>
  <c r="L940" i="54"/>
  <c r="K940" i="54"/>
  <c r="J940" i="54"/>
  <c r="I940" i="54"/>
  <c r="H940" i="54"/>
  <c r="G940" i="54"/>
  <c r="F940" i="54"/>
  <c r="E940" i="54"/>
  <c r="D940" i="54"/>
  <c r="C940" i="54"/>
  <c r="S937" i="54"/>
  <c r="R937" i="54"/>
  <c r="Q937" i="54"/>
  <c r="P937" i="54"/>
  <c r="O937" i="54"/>
  <c r="N937" i="54"/>
  <c r="M937" i="54"/>
  <c r="L937" i="54"/>
  <c r="K937" i="54"/>
  <c r="J937" i="54"/>
  <c r="I937" i="54"/>
  <c r="H937" i="54"/>
  <c r="G937" i="54"/>
  <c r="F937" i="54"/>
  <c r="E937" i="54"/>
  <c r="D937" i="54"/>
  <c r="C937" i="54"/>
  <c r="S934" i="54"/>
  <c r="R934" i="54"/>
  <c r="Q934" i="54"/>
  <c r="P934" i="54"/>
  <c r="O934" i="54"/>
  <c r="N934" i="54"/>
  <c r="M934" i="54"/>
  <c r="L934" i="54"/>
  <c r="K934" i="54"/>
  <c r="J934" i="54"/>
  <c r="I934" i="54"/>
  <c r="H934" i="54"/>
  <c r="G934" i="54"/>
  <c r="F934" i="54"/>
  <c r="E934" i="54"/>
  <c r="D934" i="54"/>
  <c r="C934" i="54"/>
  <c r="S931" i="54"/>
  <c r="R931" i="54"/>
  <c r="Q931" i="54"/>
  <c r="P931" i="54"/>
  <c r="O931" i="54"/>
  <c r="N931" i="54"/>
  <c r="M931" i="54"/>
  <c r="L931" i="54"/>
  <c r="K931" i="54"/>
  <c r="J931" i="54"/>
  <c r="I931" i="54"/>
  <c r="H931" i="54"/>
  <c r="G931" i="54"/>
  <c r="F931" i="54"/>
  <c r="E931" i="54"/>
  <c r="D931" i="54"/>
  <c r="C931" i="54"/>
  <c r="R856" i="54"/>
  <c r="Q856" i="54"/>
  <c r="P856" i="54"/>
  <c r="O856" i="54"/>
  <c r="N856" i="54"/>
  <c r="M856" i="54"/>
  <c r="L856" i="54"/>
  <c r="K856" i="54"/>
  <c r="J856" i="54"/>
  <c r="I856" i="54"/>
  <c r="H856" i="54"/>
  <c r="G856" i="54"/>
  <c r="F856" i="54"/>
  <c r="E856" i="54"/>
  <c r="D856" i="54"/>
  <c r="C856" i="54"/>
  <c r="S853" i="54"/>
  <c r="R853" i="54"/>
  <c r="Q853" i="54"/>
  <c r="P853" i="54"/>
  <c r="O853" i="54"/>
  <c r="N853" i="54"/>
  <c r="M853" i="54"/>
  <c r="L853" i="54"/>
  <c r="K853" i="54"/>
  <c r="J853" i="54"/>
  <c r="I853" i="54"/>
  <c r="H853" i="54"/>
  <c r="G853" i="54"/>
  <c r="F853" i="54"/>
  <c r="D853" i="54"/>
  <c r="C853" i="54"/>
  <c r="R850" i="54"/>
  <c r="Q850" i="54"/>
  <c r="P850" i="54"/>
  <c r="O850" i="54"/>
  <c r="N850" i="54"/>
  <c r="M850" i="54"/>
  <c r="K850" i="54"/>
  <c r="J850" i="54"/>
  <c r="H850" i="54"/>
  <c r="G850" i="54"/>
  <c r="F850" i="54"/>
  <c r="E850" i="54"/>
  <c r="D850" i="54"/>
  <c r="C850" i="54"/>
  <c r="S847" i="54"/>
  <c r="R847" i="54"/>
  <c r="Q847" i="54"/>
  <c r="P847" i="54"/>
  <c r="O847" i="54"/>
  <c r="M847" i="54"/>
  <c r="N847" i="54"/>
  <c r="L847" i="54"/>
  <c r="K847" i="54"/>
  <c r="J847" i="54"/>
  <c r="I847" i="54"/>
  <c r="H847" i="54"/>
  <c r="G847" i="54"/>
  <c r="F847" i="54"/>
  <c r="E847" i="54"/>
  <c r="D847" i="54"/>
  <c r="C847" i="54"/>
  <c r="K844" i="54"/>
  <c r="D844" i="54"/>
  <c r="C843" i="54"/>
  <c r="H842" i="54"/>
  <c r="K861" i="54"/>
  <c r="K862" i="54" s="1"/>
  <c r="K863" i="54" s="1"/>
  <c r="K864" i="54" s="1"/>
  <c r="K865" i="54" s="1"/>
  <c r="K866" i="54" s="1"/>
  <c r="K867" i="54" s="1"/>
  <c r="K868" i="54" s="1"/>
  <c r="K869" i="54" s="1"/>
  <c r="K870" i="54" s="1"/>
  <c r="K871" i="54" s="1"/>
  <c r="K872" i="54" s="1"/>
  <c r="K873" i="54" s="1"/>
  <c r="K874" i="54" s="1"/>
  <c r="K875" i="54" s="1"/>
  <c r="K876" i="54" s="1"/>
  <c r="K877" i="54" s="1"/>
  <c r="K878" i="54" s="1"/>
  <c r="K879" i="54" s="1"/>
  <c r="K880" i="54" s="1"/>
  <c r="K881" i="54" s="1"/>
  <c r="K882" i="54" s="1"/>
  <c r="K883" i="54" s="1"/>
  <c r="K884" i="54" s="1"/>
  <c r="K885" i="54" s="1"/>
  <c r="K886" i="54" s="1"/>
  <c r="K887" i="54" s="1"/>
  <c r="K888" i="54" s="1"/>
  <c r="K889" i="54" s="1"/>
  <c r="K890" i="54" s="1"/>
  <c r="K891" i="54" s="1"/>
  <c r="K892" i="54" s="1"/>
  <c r="K893" i="54" s="1"/>
  <c r="K894" i="54" s="1"/>
  <c r="K895" i="54" s="1"/>
  <c r="K896" i="54" s="1"/>
  <c r="K897" i="54" s="1"/>
  <c r="K898" i="54" s="1"/>
  <c r="K899" i="54" s="1"/>
  <c r="K900" i="54" s="1"/>
  <c r="K901" i="54" s="1"/>
  <c r="K902" i="54" s="1"/>
  <c r="K903" i="54" s="1"/>
  <c r="K904" i="54" s="1"/>
  <c r="K905" i="54" s="1"/>
  <c r="K906" i="54" s="1"/>
  <c r="K907" i="54" s="1"/>
  <c r="K908" i="54" s="1"/>
  <c r="K909" i="54" s="1"/>
  <c r="K910" i="54" s="1"/>
  <c r="K911" i="54" s="1"/>
  <c r="K912" i="54" s="1"/>
  <c r="K913" i="54" s="1"/>
  <c r="K914" i="54" s="1"/>
  <c r="K915" i="54" s="1"/>
  <c r="K916" i="54" s="1"/>
  <c r="K917" i="54" s="1"/>
  <c r="K918" i="54" s="1"/>
  <c r="K919" i="54" s="1"/>
  <c r="R855" i="54"/>
  <c r="Q855" i="54"/>
  <c r="P855" i="54"/>
  <c r="O855" i="54"/>
  <c r="N855" i="54"/>
  <c r="M855" i="54"/>
  <c r="L855" i="54"/>
  <c r="K855" i="54"/>
  <c r="J855" i="54"/>
  <c r="I855" i="54"/>
  <c r="H855" i="54"/>
  <c r="G855" i="54"/>
  <c r="F855" i="54"/>
  <c r="E855" i="54"/>
  <c r="D855" i="54"/>
  <c r="C855" i="54"/>
  <c r="S852" i="54"/>
  <c r="R852" i="54"/>
  <c r="Q852" i="54"/>
  <c r="P852" i="54"/>
  <c r="O852" i="54"/>
  <c r="N852" i="54"/>
  <c r="M852" i="54"/>
  <c r="L852" i="54"/>
  <c r="K852" i="54"/>
  <c r="J852" i="54"/>
  <c r="I852" i="54"/>
  <c r="H852" i="54"/>
  <c r="G852" i="54"/>
  <c r="F852" i="54"/>
  <c r="E852" i="54"/>
  <c r="D852" i="54"/>
  <c r="C852" i="54"/>
  <c r="S849" i="54"/>
  <c r="R849" i="54"/>
  <c r="Q849" i="54"/>
  <c r="P849" i="54"/>
  <c r="O849" i="54"/>
  <c r="N849" i="54"/>
  <c r="M849" i="54"/>
  <c r="L849" i="54"/>
  <c r="K849" i="54"/>
  <c r="J849" i="54"/>
  <c r="I849" i="54"/>
  <c r="H849" i="54"/>
  <c r="G849" i="54"/>
  <c r="F849" i="54"/>
  <c r="E849" i="54"/>
  <c r="D849" i="54"/>
  <c r="C849" i="54"/>
  <c r="S846" i="54"/>
  <c r="R846" i="54"/>
  <c r="Q846" i="54"/>
  <c r="P846" i="54"/>
  <c r="O846" i="54"/>
  <c r="N846" i="54"/>
  <c r="M846" i="54"/>
  <c r="L846" i="54"/>
  <c r="K846" i="54"/>
  <c r="J846" i="54"/>
  <c r="I846" i="54"/>
  <c r="H846" i="54"/>
  <c r="G846" i="54"/>
  <c r="F846" i="54"/>
  <c r="E846" i="54"/>
  <c r="D846" i="54"/>
  <c r="C846" i="54"/>
  <c r="R771" i="54"/>
  <c r="Q771" i="54"/>
  <c r="P771" i="54"/>
  <c r="O771" i="54"/>
  <c r="N771" i="54"/>
  <c r="M771" i="54"/>
  <c r="L771" i="54"/>
  <c r="K771" i="54"/>
  <c r="J771" i="54"/>
  <c r="I771" i="54"/>
  <c r="H771" i="54"/>
  <c r="G771" i="54"/>
  <c r="F771" i="54"/>
  <c r="E771" i="54"/>
  <c r="D771" i="54"/>
  <c r="C771" i="54"/>
  <c r="S768" i="54"/>
  <c r="R768" i="54"/>
  <c r="Q768" i="54"/>
  <c r="P768" i="54"/>
  <c r="O768" i="54"/>
  <c r="N768" i="54"/>
  <c r="M768" i="54"/>
  <c r="L768" i="54"/>
  <c r="K768" i="54"/>
  <c r="J768" i="54"/>
  <c r="I768" i="54"/>
  <c r="H768" i="54"/>
  <c r="G768" i="54"/>
  <c r="F768" i="54"/>
  <c r="D768" i="54"/>
  <c r="C768" i="54"/>
  <c r="R765" i="54"/>
  <c r="Q765" i="54"/>
  <c r="P765" i="54"/>
  <c r="O765" i="54"/>
  <c r="N765" i="54"/>
  <c r="M765" i="54"/>
  <c r="K765" i="54"/>
  <c r="J765" i="54"/>
  <c r="H765" i="54"/>
  <c r="G765" i="54"/>
  <c r="F765" i="54"/>
  <c r="E765" i="54"/>
  <c r="D765" i="54"/>
  <c r="C765" i="54"/>
  <c r="S762" i="54"/>
  <c r="R762" i="54"/>
  <c r="Q762" i="54"/>
  <c r="P762" i="54"/>
  <c r="O762" i="54"/>
  <c r="N762" i="54"/>
  <c r="M762" i="54"/>
  <c r="L762" i="54"/>
  <c r="K762" i="54"/>
  <c r="J762" i="54"/>
  <c r="I762" i="54"/>
  <c r="H762" i="54"/>
  <c r="G762" i="54"/>
  <c r="F762" i="54"/>
  <c r="E762" i="54"/>
  <c r="D762" i="54"/>
  <c r="C762" i="54"/>
  <c r="K759" i="54"/>
  <c r="D759" i="54"/>
  <c r="C758" i="54"/>
  <c r="H757" i="54"/>
  <c r="K776" i="54"/>
  <c r="K777" i="54" s="1"/>
  <c r="K778" i="54" s="1"/>
  <c r="K779" i="54" s="1"/>
  <c r="K780" i="54" s="1"/>
  <c r="K781" i="54" s="1"/>
  <c r="K782" i="54" s="1"/>
  <c r="K783" i="54" s="1"/>
  <c r="K784" i="54" s="1"/>
  <c r="K785" i="54" s="1"/>
  <c r="K786" i="54" s="1"/>
  <c r="K787" i="54" s="1"/>
  <c r="K788" i="54" s="1"/>
  <c r="K789" i="54" s="1"/>
  <c r="K790" i="54" s="1"/>
  <c r="K791" i="54" s="1"/>
  <c r="K792" i="54" s="1"/>
  <c r="K793" i="54" s="1"/>
  <c r="K794" i="54" s="1"/>
  <c r="K795" i="54" s="1"/>
  <c r="K796" i="54" s="1"/>
  <c r="K797" i="54" s="1"/>
  <c r="K798" i="54" s="1"/>
  <c r="K799" i="54" s="1"/>
  <c r="K800" i="54" s="1"/>
  <c r="K801" i="54" s="1"/>
  <c r="K802" i="54" s="1"/>
  <c r="K803" i="54" s="1"/>
  <c r="K804" i="54" s="1"/>
  <c r="K805" i="54" s="1"/>
  <c r="K806" i="54" s="1"/>
  <c r="K807" i="54" s="1"/>
  <c r="K808" i="54" s="1"/>
  <c r="K809" i="54" s="1"/>
  <c r="K810" i="54" s="1"/>
  <c r="K811" i="54" s="1"/>
  <c r="K812" i="54" s="1"/>
  <c r="K813" i="54" s="1"/>
  <c r="K814" i="54" s="1"/>
  <c r="K815" i="54" s="1"/>
  <c r="K816" i="54" s="1"/>
  <c r="K817" i="54" s="1"/>
  <c r="K818" i="54" s="1"/>
  <c r="K819" i="54" s="1"/>
  <c r="K820" i="54" s="1"/>
  <c r="K821" i="54" s="1"/>
  <c r="K822" i="54" s="1"/>
  <c r="K823" i="54" s="1"/>
  <c r="K824" i="54" s="1"/>
  <c r="K825" i="54" s="1"/>
  <c r="K826" i="54" s="1"/>
  <c r="K827" i="54" s="1"/>
  <c r="K828" i="54" s="1"/>
  <c r="K829" i="54" s="1"/>
  <c r="K830" i="54" s="1"/>
  <c r="K831" i="54" s="1"/>
  <c r="K832" i="54" s="1"/>
  <c r="K833" i="54" s="1"/>
  <c r="K834" i="54" s="1"/>
  <c r="R770" i="54"/>
  <c r="Q770" i="54"/>
  <c r="P770" i="54"/>
  <c r="O770" i="54"/>
  <c r="N770" i="54"/>
  <c r="M770" i="54"/>
  <c r="L770" i="54"/>
  <c r="K770" i="54"/>
  <c r="J770" i="54"/>
  <c r="I770" i="54"/>
  <c r="H770" i="54"/>
  <c r="G770" i="54"/>
  <c r="F770" i="54"/>
  <c r="E770" i="54"/>
  <c r="D770" i="54"/>
  <c r="C770" i="54"/>
  <c r="S767" i="54"/>
  <c r="R767" i="54"/>
  <c r="Q767" i="54"/>
  <c r="P767" i="54"/>
  <c r="O767" i="54"/>
  <c r="N767" i="54"/>
  <c r="M767" i="54"/>
  <c r="L767" i="54"/>
  <c r="K767" i="54"/>
  <c r="J767" i="54"/>
  <c r="I767" i="54"/>
  <c r="H767" i="54"/>
  <c r="G767" i="54"/>
  <c r="F767" i="54"/>
  <c r="E767" i="54"/>
  <c r="D767" i="54"/>
  <c r="C767" i="54"/>
  <c r="S764" i="54"/>
  <c r="R764" i="54"/>
  <c r="Q764" i="54"/>
  <c r="P764" i="54"/>
  <c r="O764" i="54"/>
  <c r="N764" i="54"/>
  <c r="M764" i="54"/>
  <c r="L764" i="54"/>
  <c r="K764" i="54"/>
  <c r="J764" i="54"/>
  <c r="I764" i="54"/>
  <c r="H764" i="54"/>
  <c r="G764" i="54"/>
  <c r="F764" i="54"/>
  <c r="E764" i="54"/>
  <c r="D764" i="54"/>
  <c r="C764" i="54"/>
  <c r="S761" i="54"/>
  <c r="R761" i="54"/>
  <c r="Q761" i="54"/>
  <c r="P761" i="54"/>
  <c r="O761" i="54"/>
  <c r="N761" i="54"/>
  <c r="M761" i="54"/>
  <c r="L761" i="54"/>
  <c r="K761" i="54"/>
  <c r="J761" i="54"/>
  <c r="I761" i="54"/>
  <c r="H761" i="54"/>
  <c r="G761" i="54"/>
  <c r="F761" i="54"/>
  <c r="E761" i="54"/>
  <c r="D761" i="54"/>
  <c r="C761" i="54"/>
  <c r="R686" i="54"/>
  <c r="Q686" i="54"/>
  <c r="P686" i="54"/>
  <c r="O686" i="54"/>
  <c r="N686" i="54"/>
  <c r="M686" i="54"/>
  <c r="L686" i="54"/>
  <c r="K686" i="54"/>
  <c r="J686" i="54"/>
  <c r="I686" i="54"/>
  <c r="H686" i="54"/>
  <c r="G686" i="54"/>
  <c r="F686" i="54"/>
  <c r="E686" i="54"/>
  <c r="D686" i="54"/>
  <c r="C686" i="54"/>
  <c r="S683" i="54"/>
  <c r="R683" i="54"/>
  <c r="Q683" i="54"/>
  <c r="P683" i="54"/>
  <c r="O683" i="54"/>
  <c r="N683" i="54"/>
  <c r="M683" i="54"/>
  <c r="L683" i="54"/>
  <c r="K683" i="54"/>
  <c r="J683" i="54"/>
  <c r="I683" i="54"/>
  <c r="H683" i="54"/>
  <c r="G683" i="54"/>
  <c r="F683" i="54"/>
  <c r="D683" i="54"/>
  <c r="C683" i="54"/>
  <c r="C598" i="54"/>
  <c r="R680" i="54"/>
  <c r="Q680" i="54"/>
  <c r="P680" i="54"/>
  <c r="O680" i="54"/>
  <c r="N680" i="54"/>
  <c r="M680" i="54"/>
  <c r="K680" i="54"/>
  <c r="J680" i="54"/>
  <c r="H680" i="54"/>
  <c r="G680" i="54"/>
  <c r="F680" i="54"/>
  <c r="E680" i="54"/>
  <c r="D680" i="54"/>
  <c r="C680" i="54"/>
  <c r="S677" i="54"/>
  <c r="R677" i="54"/>
  <c r="Q677" i="54"/>
  <c r="P677" i="54"/>
  <c r="O677" i="54"/>
  <c r="N677" i="54"/>
  <c r="M677" i="54"/>
  <c r="L677" i="54"/>
  <c r="K677" i="54"/>
  <c r="J677" i="54"/>
  <c r="I677" i="54"/>
  <c r="H677" i="54"/>
  <c r="G677" i="54"/>
  <c r="F677" i="54"/>
  <c r="E677" i="54"/>
  <c r="D677" i="54"/>
  <c r="C677" i="54"/>
  <c r="K674" i="54"/>
  <c r="D674" i="54"/>
  <c r="C673" i="54"/>
  <c r="H672" i="54"/>
  <c r="R685" i="54"/>
  <c r="Q685" i="54"/>
  <c r="P685" i="54"/>
  <c r="O685" i="54"/>
  <c r="N685" i="54"/>
  <c r="M685" i="54"/>
  <c r="L685" i="54"/>
  <c r="K685" i="54"/>
  <c r="J685" i="54"/>
  <c r="I685" i="54"/>
  <c r="H685" i="54"/>
  <c r="G685" i="54"/>
  <c r="F685" i="54"/>
  <c r="E685" i="54"/>
  <c r="D685" i="54"/>
  <c r="C685" i="54"/>
  <c r="S682" i="54"/>
  <c r="R682" i="54"/>
  <c r="Q682" i="54"/>
  <c r="P682" i="54"/>
  <c r="O682" i="54"/>
  <c r="N682" i="54"/>
  <c r="M682" i="54"/>
  <c r="L682" i="54"/>
  <c r="K682" i="54"/>
  <c r="J682" i="54"/>
  <c r="I682" i="54"/>
  <c r="H682" i="54"/>
  <c r="G682" i="54"/>
  <c r="F682" i="54"/>
  <c r="E682" i="54"/>
  <c r="D682" i="54"/>
  <c r="C682" i="54"/>
  <c r="S679" i="54"/>
  <c r="R679" i="54"/>
  <c r="Q679" i="54"/>
  <c r="P679" i="54"/>
  <c r="O679" i="54"/>
  <c r="N679" i="54"/>
  <c r="M679" i="54"/>
  <c r="L679" i="54"/>
  <c r="K679" i="54"/>
  <c r="J679" i="54"/>
  <c r="I679" i="54"/>
  <c r="H679" i="54"/>
  <c r="G679" i="54"/>
  <c r="F679" i="54"/>
  <c r="E679" i="54"/>
  <c r="D679" i="54"/>
  <c r="C679" i="54"/>
  <c r="S676" i="54"/>
  <c r="R676" i="54"/>
  <c r="Q676" i="54"/>
  <c r="P676" i="54"/>
  <c r="O676" i="54"/>
  <c r="N676" i="54"/>
  <c r="M676" i="54"/>
  <c r="L676" i="54"/>
  <c r="K676" i="54"/>
  <c r="J676" i="54"/>
  <c r="I676" i="54"/>
  <c r="H676" i="54"/>
  <c r="G676" i="54"/>
  <c r="F676" i="54"/>
  <c r="E676" i="54"/>
  <c r="D676" i="54"/>
  <c r="C676" i="54"/>
  <c r="R601" i="54"/>
  <c r="Q601" i="54"/>
  <c r="P601" i="54"/>
  <c r="O601" i="54"/>
  <c r="N601" i="54"/>
  <c r="M601" i="54"/>
  <c r="L601" i="54"/>
  <c r="K601" i="54"/>
  <c r="J601" i="54"/>
  <c r="I601" i="54"/>
  <c r="H601" i="54"/>
  <c r="G601" i="54"/>
  <c r="F601" i="54"/>
  <c r="E601" i="54"/>
  <c r="D601" i="54"/>
  <c r="C601" i="54"/>
  <c r="S598" i="54"/>
  <c r="R598" i="54"/>
  <c r="Q598" i="54"/>
  <c r="P598" i="54"/>
  <c r="O598" i="54"/>
  <c r="N598" i="54"/>
  <c r="M598" i="54"/>
  <c r="L598" i="54"/>
  <c r="H474" i="276" l="1"/>
  <c r="C175" i="276"/>
  <c r="C175" i="267"/>
  <c r="D175" i="276"/>
  <c r="D175" i="267"/>
  <c r="B175" i="276"/>
  <c r="B175" i="267"/>
  <c r="F175" i="276"/>
  <c r="G175" i="276" s="1"/>
  <c r="F175" i="267"/>
  <c r="C138" i="278"/>
  <c r="C190" i="276"/>
  <c r="C197" i="278"/>
  <c r="C270" i="276"/>
  <c r="C238" i="278"/>
  <c r="C323" i="276"/>
  <c r="C324" i="267"/>
  <c r="C165" i="278"/>
  <c r="C227" i="276"/>
  <c r="C168" i="278"/>
  <c r="C231" i="276"/>
  <c r="C202" i="278"/>
  <c r="C276" i="276"/>
  <c r="C338" i="276"/>
  <c r="C339" i="267"/>
  <c r="C263" i="278"/>
  <c r="C364" i="276"/>
  <c r="C192" i="278"/>
  <c r="C263" i="276"/>
  <c r="C194" i="278"/>
  <c r="C266" i="276"/>
  <c r="C161" i="278"/>
  <c r="C222" i="276"/>
  <c r="C259" i="278"/>
  <c r="C357" i="276"/>
  <c r="C266" i="278"/>
  <c r="C369" i="276"/>
  <c r="C156" i="278"/>
  <c r="C213" i="276"/>
  <c r="C166" i="278"/>
  <c r="C229" i="276"/>
  <c r="C223" i="278"/>
  <c r="C303" i="276"/>
  <c r="C236" i="278"/>
  <c r="C317" i="276"/>
  <c r="C318" i="267"/>
  <c r="C180" i="278"/>
  <c r="C246" i="276"/>
  <c r="C152" i="278"/>
  <c r="C209" i="276"/>
  <c r="C220" i="278"/>
  <c r="C298" i="276"/>
  <c r="C231" i="278"/>
  <c r="C312" i="276"/>
  <c r="C328" i="276"/>
  <c r="C329" i="267"/>
  <c r="C321" i="276"/>
  <c r="C322" i="267"/>
  <c r="C248" i="278"/>
  <c r="C340" i="276"/>
  <c r="C341" i="267"/>
  <c r="C201" i="278"/>
  <c r="C275" i="276"/>
  <c r="C224" i="278"/>
  <c r="C305" i="276"/>
  <c r="D212" i="278"/>
  <c r="D287" i="276"/>
  <c r="D233" i="278"/>
  <c r="D314" i="276"/>
  <c r="D315" i="267"/>
  <c r="D151" i="278"/>
  <c r="D207" i="276"/>
  <c r="D170" i="278"/>
  <c r="D234" i="276"/>
  <c r="D267" i="278"/>
  <c r="D370" i="276"/>
  <c r="D351" i="276"/>
  <c r="D352" i="267"/>
  <c r="D230" i="278"/>
  <c r="D311" i="276"/>
  <c r="D269" i="278"/>
  <c r="D372" i="276"/>
  <c r="D160" i="278"/>
  <c r="D219" i="276"/>
  <c r="D190" i="278"/>
  <c r="D261" i="276"/>
  <c r="D341" i="276"/>
  <c r="D342" i="267"/>
  <c r="D243" i="278"/>
  <c r="D331" i="276"/>
  <c r="D332" i="267"/>
  <c r="D203" i="278"/>
  <c r="D277" i="276"/>
  <c r="D158" i="278"/>
  <c r="D215" i="276"/>
  <c r="B205" i="278"/>
  <c r="B280" i="276"/>
  <c r="B209" i="278"/>
  <c r="B284" i="276"/>
  <c r="B247" i="278"/>
  <c r="B339" i="276"/>
  <c r="B340" i="267"/>
  <c r="B263" i="278"/>
  <c r="B364" i="276"/>
  <c r="B184" i="278"/>
  <c r="B251" i="276"/>
  <c r="B185" i="278"/>
  <c r="B254" i="276"/>
  <c r="B140" i="278"/>
  <c r="B192" i="276"/>
  <c r="B171" i="278"/>
  <c r="B235" i="276"/>
  <c r="B178" i="278"/>
  <c r="B244" i="276"/>
  <c r="B161" i="278"/>
  <c r="B222" i="276"/>
  <c r="B229" i="278"/>
  <c r="B310" i="276"/>
  <c r="B330" i="276"/>
  <c r="B331" i="267"/>
  <c r="B344" i="276"/>
  <c r="B345" i="267"/>
  <c r="B145" i="278"/>
  <c r="B200" i="276"/>
  <c r="B167" i="278"/>
  <c r="B230" i="276"/>
  <c r="B221" i="278"/>
  <c r="B299" i="276"/>
  <c r="B315" i="276"/>
  <c r="B316" i="267"/>
  <c r="B320" i="276"/>
  <c r="B321" i="267"/>
  <c r="B351" i="276"/>
  <c r="B352" i="267"/>
  <c r="B155" i="278"/>
  <c r="B212" i="276"/>
  <c r="B152" i="278"/>
  <c r="B209" i="276"/>
  <c r="B172" i="278"/>
  <c r="B236" i="276"/>
  <c r="B269" i="278"/>
  <c r="B372" i="276"/>
  <c r="B133" i="278"/>
  <c r="B185" i="276"/>
  <c r="B135" i="278"/>
  <c r="B187" i="276"/>
  <c r="B138" i="278"/>
  <c r="B190" i="276"/>
  <c r="B165" i="278"/>
  <c r="B227" i="276"/>
  <c r="B190" i="278"/>
  <c r="B261" i="276"/>
  <c r="B197" i="278"/>
  <c r="B270" i="276"/>
  <c r="B218" i="278"/>
  <c r="B296" i="276"/>
  <c r="B200" i="278"/>
  <c r="B273" i="276"/>
  <c r="B253" i="278"/>
  <c r="B348" i="276"/>
  <c r="B349" i="267"/>
  <c r="B255" i="278"/>
  <c r="B350" i="276"/>
  <c r="B351" i="267"/>
  <c r="B159" i="278"/>
  <c r="B216" i="276"/>
  <c r="B235" i="278"/>
  <c r="B316" i="276"/>
  <c r="B317" i="267"/>
  <c r="B201" i="278"/>
  <c r="B275" i="276"/>
  <c r="B256" i="278"/>
  <c r="B352" i="276"/>
  <c r="B353" i="267"/>
  <c r="B177" i="278"/>
  <c r="B242" i="276"/>
  <c r="B244" i="278"/>
  <c r="B332" i="276"/>
  <c r="B333" i="267"/>
  <c r="D263" i="278"/>
  <c r="D364" i="276"/>
  <c r="D266" i="278"/>
  <c r="D369" i="276"/>
  <c r="D174" i="278"/>
  <c r="D239" i="276"/>
  <c r="D227" i="278"/>
  <c r="D308" i="276"/>
  <c r="D257" i="278"/>
  <c r="D353" i="276"/>
  <c r="D354" i="267"/>
  <c r="D231" i="278"/>
  <c r="D312" i="276"/>
  <c r="D228" i="278"/>
  <c r="D309" i="276"/>
  <c r="D260" i="278"/>
  <c r="D358" i="276"/>
  <c r="D138" i="278"/>
  <c r="D190" i="276"/>
  <c r="D176" i="278"/>
  <c r="D241" i="276"/>
  <c r="B243" i="278"/>
  <c r="B331" i="276"/>
  <c r="B332" i="267"/>
  <c r="D202" i="278"/>
  <c r="D276" i="276"/>
  <c r="D338" i="276"/>
  <c r="D339" i="267"/>
  <c r="D232" i="278"/>
  <c r="D313" i="276"/>
  <c r="D314" i="267"/>
  <c r="D166" i="278"/>
  <c r="D229" i="276"/>
  <c r="D237" i="278"/>
  <c r="D318" i="276"/>
  <c r="D319" i="267"/>
  <c r="D157" i="278"/>
  <c r="D214" i="276"/>
  <c r="D201" i="278"/>
  <c r="D275" i="276"/>
  <c r="F172" i="278"/>
  <c r="G172" i="278" s="1"/>
  <c r="F236" i="276"/>
  <c r="G236" i="276" s="1"/>
  <c r="C134" i="278"/>
  <c r="C186" i="276"/>
  <c r="C341" i="276"/>
  <c r="C342" i="267"/>
  <c r="C175" i="278"/>
  <c r="C240" i="276"/>
  <c r="C333" i="276"/>
  <c r="C334" i="267"/>
  <c r="C148" i="278"/>
  <c r="C203" i="276"/>
  <c r="C208" i="278"/>
  <c r="C283" i="276"/>
  <c r="C212" i="278"/>
  <c r="C287" i="276"/>
  <c r="C232" i="278"/>
  <c r="C313" i="276"/>
  <c r="C314" i="267"/>
  <c r="C139" i="278"/>
  <c r="C191" i="276"/>
  <c r="C149" i="278"/>
  <c r="C204" i="276"/>
  <c r="C171" i="278"/>
  <c r="C235" i="276"/>
  <c r="C178" i="278"/>
  <c r="C244" i="276"/>
  <c r="C217" i="278"/>
  <c r="C295" i="276"/>
  <c r="C264" i="278"/>
  <c r="C366" i="276"/>
  <c r="C267" i="278"/>
  <c r="C370" i="276"/>
  <c r="C167" i="278"/>
  <c r="C230" i="276"/>
  <c r="C226" i="278"/>
  <c r="C307" i="276"/>
  <c r="C237" i="278"/>
  <c r="C318" i="276"/>
  <c r="C319" i="267"/>
  <c r="C252" i="278"/>
  <c r="C346" i="276"/>
  <c r="C347" i="267"/>
  <c r="C155" i="278"/>
  <c r="C212" i="276"/>
  <c r="C172" i="278"/>
  <c r="C236" i="276"/>
  <c r="C179" i="278"/>
  <c r="C245" i="276"/>
  <c r="C218" i="278"/>
  <c r="C296" i="276"/>
  <c r="C240" i="278"/>
  <c r="C325" i="276"/>
  <c r="C326" i="267"/>
  <c r="C189" i="278"/>
  <c r="C260" i="276"/>
  <c r="D148" i="278"/>
  <c r="D203" i="276"/>
  <c r="D186" i="278"/>
  <c r="D255" i="276"/>
  <c r="D205" i="278"/>
  <c r="D280" i="276"/>
  <c r="D171" i="278"/>
  <c r="D235" i="276"/>
  <c r="D193" i="278"/>
  <c r="D265" i="276"/>
  <c r="D217" i="278"/>
  <c r="D295" i="276"/>
  <c r="D264" i="278"/>
  <c r="D366" i="276"/>
  <c r="D145" i="278"/>
  <c r="D200" i="276"/>
  <c r="D210" i="278"/>
  <c r="D285" i="276"/>
  <c r="D154" i="278"/>
  <c r="D211" i="276"/>
  <c r="D197" i="278"/>
  <c r="D270" i="276"/>
  <c r="D187" i="278"/>
  <c r="D257" i="276"/>
  <c r="D244" i="278"/>
  <c r="D332" i="276"/>
  <c r="D333" i="267"/>
  <c r="D134" i="278"/>
  <c r="D186" i="276"/>
  <c r="D239" i="278"/>
  <c r="D324" i="276"/>
  <c r="D325" i="267"/>
  <c r="D253" i="278"/>
  <c r="D348" i="276"/>
  <c r="D349" i="267"/>
  <c r="B199" i="278"/>
  <c r="B272" i="276"/>
  <c r="B211" i="278"/>
  <c r="B286" i="276"/>
  <c r="B232" i="278"/>
  <c r="B313" i="276"/>
  <c r="B314" i="267"/>
  <c r="B144" i="278"/>
  <c r="B197" i="276"/>
  <c r="B151" i="278"/>
  <c r="B207" i="276"/>
  <c r="B170" i="278"/>
  <c r="B234" i="276"/>
  <c r="B193" i="278"/>
  <c r="B265" i="276"/>
  <c r="B207" i="278"/>
  <c r="B282" i="276"/>
  <c r="B216" i="278"/>
  <c r="B294" i="276"/>
  <c r="B337" i="276"/>
  <c r="B338" i="267"/>
  <c r="B265" i="278"/>
  <c r="B368" i="276"/>
  <c r="B174" i="278"/>
  <c r="B239" i="276"/>
  <c r="B223" i="278"/>
  <c r="B303" i="276"/>
  <c r="B236" i="278"/>
  <c r="B317" i="276"/>
  <c r="B318" i="267"/>
  <c r="B336" i="276"/>
  <c r="B337" i="267"/>
  <c r="B180" i="278"/>
  <c r="B246" i="276"/>
  <c r="B191" i="278"/>
  <c r="B262" i="276"/>
  <c r="B219" i="278"/>
  <c r="B297" i="276"/>
  <c r="B230" i="278"/>
  <c r="B311" i="276"/>
  <c r="B154" i="278"/>
  <c r="B211" i="276"/>
  <c r="B173" i="278"/>
  <c r="B237" i="276"/>
  <c r="B228" i="278"/>
  <c r="B309" i="276"/>
  <c r="B251" i="278"/>
  <c r="B345" i="276"/>
  <c r="B346" i="267"/>
  <c r="B258" i="278"/>
  <c r="B355" i="276"/>
  <c r="B134" i="278"/>
  <c r="B186" i="276"/>
  <c r="B179" i="278"/>
  <c r="B245" i="276"/>
  <c r="B198" i="278"/>
  <c r="B271" i="276"/>
  <c r="B206" i="278"/>
  <c r="B281" i="276"/>
  <c r="B240" i="278"/>
  <c r="B325" i="276"/>
  <c r="B326" i="267"/>
  <c r="B137" i="278"/>
  <c r="B189" i="276"/>
  <c r="B224" i="278"/>
  <c r="B305" i="276"/>
  <c r="B187" i="278"/>
  <c r="B257" i="276"/>
  <c r="D142" i="278"/>
  <c r="D195" i="276"/>
  <c r="D140" i="278"/>
  <c r="D192" i="276"/>
  <c r="D150" i="278"/>
  <c r="D206" i="276"/>
  <c r="D178" i="278"/>
  <c r="D244" i="276"/>
  <c r="D229" i="278"/>
  <c r="D310" i="276"/>
  <c r="D259" i="278"/>
  <c r="D357" i="276"/>
  <c r="D156" i="278"/>
  <c r="D213" i="276"/>
  <c r="D252" i="276"/>
  <c r="D236" i="278"/>
  <c r="D317" i="276"/>
  <c r="D318" i="267"/>
  <c r="D152" i="278"/>
  <c r="D209" i="276"/>
  <c r="D322" i="276"/>
  <c r="D323" i="267"/>
  <c r="D240" i="278"/>
  <c r="D325" i="276"/>
  <c r="D326" i="267"/>
  <c r="D248" i="278"/>
  <c r="D340" i="276"/>
  <c r="D341" i="267"/>
  <c r="D224" i="278"/>
  <c r="D305" i="276"/>
  <c r="B333" i="276"/>
  <c r="B334" i="267"/>
  <c r="D146" i="278"/>
  <c r="D201" i="276"/>
  <c r="D147" i="278"/>
  <c r="D202" i="276"/>
  <c r="D168" i="278"/>
  <c r="D231" i="276"/>
  <c r="D262" i="278"/>
  <c r="D363" i="276"/>
  <c r="D181" i="278"/>
  <c r="D247" i="276"/>
  <c r="D139" i="278"/>
  <c r="D191" i="276"/>
  <c r="D215" i="278"/>
  <c r="D292" i="276"/>
  <c r="D161" i="278"/>
  <c r="D222" i="276"/>
  <c r="D216" i="278"/>
  <c r="D294" i="276"/>
  <c r="D265" i="278"/>
  <c r="D368" i="276"/>
  <c r="D320" i="276"/>
  <c r="D321" i="267"/>
  <c r="D252" i="278"/>
  <c r="D346" i="276"/>
  <c r="D347" i="267"/>
  <c r="D172" i="278"/>
  <c r="D236" i="276"/>
  <c r="D258" i="278"/>
  <c r="D355" i="276"/>
  <c r="D189" i="278"/>
  <c r="D260" i="276"/>
  <c r="D256" i="278"/>
  <c r="D352" i="276"/>
  <c r="D353" i="267"/>
  <c r="D225" i="278"/>
  <c r="D306" i="276"/>
  <c r="F185" i="278"/>
  <c r="G185" i="278" s="1"/>
  <c r="F254" i="276"/>
  <c r="G254" i="276" s="1"/>
  <c r="C182" i="278"/>
  <c r="C248" i="276"/>
  <c r="C159" i="278"/>
  <c r="C216" i="276"/>
  <c r="C327" i="276"/>
  <c r="C328" i="267"/>
  <c r="C211" i="278"/>
  <c r="C286" i="276"/>
  <c r="C336" i="276"/>
  <c r="C337" i="267"/>
  <c r="C135" i="278"/>
  <c r="C187" i="276"/>
  <c r="C239" i="278"/>
  <c r="C324" i="276"/>
  <c r="C325" i="267"/>
  <c r="C137" i="278"/>
  <c r="C189" i="276"/>
  <c r="C244" i="278"/>
  <c r="C332" i="276"/>
  <c r="C333" i="267"/>
  <c r="C206" i="278"/>
  <c r="C281" i="276"/>
  <c r="C157" i="278"/>
  <c r="C214" i="276"/>
  <c r="C177" i="278"/>
  <c r="C242" i="276"/>
  <c r="C147" i="278"/>
  <c r="C202" i="276"/>
  <c r="C199" i="278"/>
  <c r="C272" i="276"/>
  <c r="C204" i="278"/>
  <c r="C279" i="276"/>
  <c r="C242" i="278"/>
  <c r="C329" i="276"/>
  <c r="C330" i="267"/>
  <c r="C247" i="278"/>
  <c r="C339" i="276"/>
  <c r="C340" i="267"/>
  <c r="C261" i="278"/>
  <c r="C362" i="276"/>
  <c r="C142" i="278"/>
  <c r="C195" i="276"/>
  <c r="C185" i="278"/>
  <c r="C254" i="276"/>
  <c r="C140" i="278"/>
  <c r="C192" i="276"/>
  <c r="C151" i="278"/>
  <c r="C207" i="276"/>
  <c r="C207" i="278"/>
  <c r="C282" i="276"/>
  <c r="C215" i="278"/>
  <c r="C292" i="276"/>
  <c r="C196" i="278"/>
  <c r="C269" i="276"/>
  <c r="C229" i="278"/>
  <c r="C310" i="276"/>
  <c r="C330" i="276"/>
  <c r="C331" i="267"/>
  <c r="C344" i="276"/>
  <c r="C345" i="267"/>
  <c r="C145" i="278"/>
  <c r="C200" i="276"/>
  <c r="C174" i="278"/>
  <c r="C239" i="276"/>
  <c r="C227" i="278"/>
  <c r="C308" i="276"/>
  <c r="C319" i="276"/>
  <c r="C320" i="267"/>
  <c r="C351" i="276"/>
  <c r="C352" i="267"/>
  <c r="C210" i="278"/>
  <c r="C285" i="276"/>
  <c r="C214" i="278"/>
  <c r="C289" i="276"/>
  <c r="C154" i="278"/>
  <c r="C211" i="276"/>
  <c r="C173" i="278"/>
  <c r="C237" i="276"/>
  <c r="C228" i="278"/>
  <c r="C309" i="276"/>
  <c r="C251" i="278"/>
  <c r="C345" i="276"/>
  <c r="C346" i="267"/>
  <c r="C258" i="278"/>
  <c r="C355" i="276"/>
  <c r="C268" i="278"/>
  <c r="C371" i="276"/>
  <c r="C136" i="278"/>
  <c r="C188" i="276"/>
  <c r="C235" i="278"/>
  <c r="C316" i="276"/>
  <c r="C317" i="267"/>
  <c r="C141" i="278"/>
  <c r="C194" i="276"/>
  <c r="C256" i="278"/>
  <c r="C352" i="276"/>
  <c r="C353" i="267"/>
  <c r="C188" i="278"/>
  <c r="C258" i="276"/>
  <c r="B259" i="278"/>
  <c r="B357" i="276"/>
  <c r="B266" i="278"/>
  <c r="B369" i="276"/>
  <c r="B156" i="278"/>
  <c r="B213" i="276"/>
  <c r="B226" i="278"/>
  <c r="B307" i="276"/>
  <c r="B237" i="278"/>
  <c r="B318" i="276"/>
  <c r="B319" i="267"/>
  <c r="B220" i="278"/>
  <c r="B298" i="276"/>
  <c r="B328" i="276"/>
  <c r="B329" i="267"/>
  <c r="B322" i="276"/>
  <c r="B323" i="267"/>
  <c r="B260" i="278"/>
  <c r="B358" i="276"/>
  <c r="B136" i="278"/>
  <c r="B188" i="276"/>
  <c r="B160" i="278"/>
  <c r="B219" i="276"/>
  <c r="B238" i="278"/>
  <c r="B323" i="276"/>
  <c r="B324" i="267"/>
  <c r="B341" i="276"/>
  <c r="B342" i="267"/>
  <c r="B254" i="278"/>
  <c r="B349" i="276"/>
  <c r="B350" i="267"/>
  <c r="B157" i="278"/>
  <c r="B214" i="276"/>
  <c r="B189" i="278"/>
  <c r="B260" i="276"/>
  <c r="B246" i="278"/>
  <c r="B335" i="276"/>
  <c r="B336" i="267"/>
  <c r="B141" i="278"/>
  <c r="B194" i="276"/>
  <c r="B175" i="278"/>
  <c r="B240" i="276"/>
  <c r="B188" i="278"/>
  <c r="B258" i="276"/>
  <c r="D208" i="278"/>
  <c r="D283" i="276"/>
  <c r="D149" i="278"/>
  <c r="D204" i="276"/>
  <c r="D319" i="276"/>
  <c r="D320" i="267"/>
  <c r="D155" i="278"/>
  <c r="D212" i="276"/>
  <c r="D173" i="278"/>
  <c r="D237" i="276"/>
  <c r="D251" i="278"/>
  <c r="D345" i="276"/>
  <c r="D346" i="267"/>
  <c r="D179" i="278"/>
  <c r="D245" i="276"/>
  <c r="D218" i="278"/>
  <c r="D296" i="276"/>
  <c r="D242" i="278"/>
  <c r="D329" i="276"/>
  <c r="D330" i="267"/>
  <c r="D185" i="278"/>
  <c r="D254" i="276"/>
  <c r="D207" i="278"/>
  <c r="D282" i="276"/>
  <c r="D226" i="278"/>
  <c r="D307" i="276"/>
  <c r="D336" i="276"/>
  <c r="D337" i="267"/>
  <c r="D328" i="276"/>
  <c r="D329" i="267"/>
  <c r="D133" i="278"/>
  <c r="D185" i="276"/>
  <c r="D254" i="278"/>
  <c r="D349" i="276"/>
  <c r="D350" i="267"/>
  <c r="D246" i="278"/>
  <c r="D335" i="276"/>
  <c r="D336" i="267"/>
  <c r="D175" i="278"/>
  <c r="D240" i="276"/>
  <c r="F206" i="278"/>
  <c r="G206" i="278" s="1"/>
  <c r="F281" i="276"/>
  <c r="G281" i="276" s="1"/>
  <c r="F173" i="278"/>
  <c r="G173" i="278" s="1"/>
  <c r="F237" i="276"/>
  <c r="G237" i="276" s="1"/>
  <c r="C181" i="278"/>
  <c r="C247" i="276"/>
  <c r="D245" i="278"/>
  <c r="D334" i="276"/>
  <c r="D335" i="267"/>
  <c r="D144" i="278"/>
  <c r="D197" i="276"/>
  <c r="D169" i="278"/>
  <c r="D232" i="276"/>
  <c r="D223" i="278"/>
  <c r="D303" i="276"/>
  <c r="D214" i="278"/>
  <c r="D289" i="276"/>
  <c r="D238" i="278"/>
  <c r="D323" i="276"/>
  <c r="D324" i="267"/>
  <c r="D159" i="278"/>
  <c r="D216" i="276"/>
  <c r="D188" i="278"/>
  <c r="D258" i="276"/>
  <c r="D333" i="276"/>
  <c r="D334" i="267"/>
  <c r="D165" i="278"/>
  <c r="D227" i="276"/>
  <c r="D198" i="278"/>
  <c r="D271" i="276"/>
  <c r="D255" i="278"/>
  <c r="D350" i="276"/>
  <c r="D351" i="267"/>
  <c r="B148" i="278"/>
  <c r="B203" i="276"/>
  <c r="B168" i="278"/>
  <c r="B231" i="276"/>
  <c r="B186" i="278"/>
  <c r="B255" i="276"/>
  <c r="B208" i="278"/>
  <c r="B283" i="276"/>
  <c r="B212" i="278"/>
  <c r="B287" i="276"/>
  <c r="B242" i="278"/>
  <c r="B329" i="276"/>
  <c r="B330" i="267"/>
  <c r="B338" i="276"/>
  <c r="B339" i="267"/>
  <c r="B261" i="278"/>
  <c r="B362" i="276"/>
  <c r="B142" i="278"/>
  <c r="B195" i="276"/>
  <c r="B181" i="278"/>
  <c r="B247" i="276"/>
  <c r="B150" i="278"/>
  <c r="B206" i="276"/>
  <c r="B169" i="278"/>
  <c r="B232" i="276"/>
  <c r="B192" i="278"/>
  <c r="B263" i="276"/>
  <c r="B194" i="278"/>
  <c r="B266" i="276"/>
  <c r="B215" i="278"/>
  <c r="B292" i="276"/>
  <c r="C254" i="278"/>
  <c r="C349" i="276"/>
  <c r="C350" i="267"/>
  <c r="C158" i="278"/>
  <c r="C215" i="276"/>
  <c r="C225" i="278"/>
  <c r="C306" i="276"/>
  <c r="C198" i="278"/>
  <c r="C271" i="276"/>
  <c r="C253" i="278"/>
  <c r="C348" i="276"/>
  <c r="C349" i="267"/>
  <c r="C187" i="278"/>
  <c r="C257" i="276"/>
  <c r="C146" i="278"/>
  <c r="C201" i="276"/>
  <c r="C186" i="278"/>
  <c r="C255" i="276"/>
  <c r="C205" i="278"/>
  <c r="C280" i="276"/>
  <c r="C209" i="278"/>
  <c r="C284" i="276"/>
  <c r="C245" i="278"/>
  <c r="C334" i="276"/>
  <c r="C335" i="267"/>
  <c r="C262" i="278"/>
  <c r="C363" i="276"/>
  <c r="C143" i="278"/>
  <c r="C196" i="276"/>
  <c r="C184" i="278"/>
  <c r="C251" i="276"/>
  <c r="C213" i="278"/>
  <c r="C288" i="276"/>
  <c r="C233" i="278"/>
  <c r="C314" i="276"/>
  <c r="C315" i="267"/>
  <c r="C144" i="278"/>
  <c r="C197" i="276"/>
  <c r="C150" i="278"/>
  <c r="C206" i="276"/>
  <c r="C169" i="278"/>
  <c r="C232" i="276"/>
  <c r="C170" i="278"/>
  <c r="C234" i="276"/>
  <c r="C193" i="278"/>
  <c r="C265" i="276"/>
  <c r="C216" i="278"/>
  <c r="C294" i="276"/>
  <c r="C337" i="276"/>
  <c r="C338" i="267"/>
  <c r="C265" i="278"/>
  <c r="C368" i="276"/>
  <c r="C252" i="276"/>
  <c r="C221" i="278"/>
  <c r="C299" i="276"/>
  <c r="C315" i="276"/>
  <c r="C316" i="267"/>
  <c r="C320" i="276"/>
  <c r="C321" i="267"/>
  <c r="C191" i="278"/>
  <c r="C262" i="276"/>
  <c r="C257" i="278"/>
  <c r="C353" i="276"/>
  <c r="C354" i="267"/>
  <c r="C219" i="278"/>
  <c r="C297" i="276"/>
  <c r="C230" i="278"/>
  <c r="C311" i="276"/>
  <c r="C322" i="276"/>
  <c r="C323" i="267"/>
  <c r="C260" i="278"/>
  <c r="C358" i="276"/>
  <c r="C269" i="278"/>
  <c r="C372" i="276"/>
  <c r="C133" i="278"/>
  <c r="C185" i="276"/>
  <c r="C160" i="278"/>
  <c r="C219" i="276"/>
  <c r="C190" i="278"/>
  <c r="C261" i="276"/>
  <c r="C203" i="278"/>
  <c r="C277" i="276"/>
  <c r="C200" i="278"/>
  <c r="C273" i="276"/>
  <c r="C255" i="278"/>
  <c r="C350" i="276"/>
  <c r="C351" i="267"/>
  <c r="C246" i="278"/>
  <c r="C335" i="276"/>
  <c r="C336" i="267"/>
  <c r="C176" i="278"/>
  <c r="C241" i="276"/>
  <c r="C243" i="278"/>
  <c r="C331" i="276"/>
  <c r="C332" i="267"/>
  <c r="D209" i="278"/>
  <c r="D284" i="276"/>
  <c r="D247" i="278"/>
  <c r="D339" i="276"/>
  <c r="D340" i="267"/>
  <c r="D184" i="278"/>
  <c r="D251" i="276"/>
  <c r="D213" i="278"/>
  <c r="D288" i="276"/>
  <c r="D330" i="276"/>
  <c r="D331" i="267"/>
  <c r="D219" i="278"/>
  <c r="D297" i="276"/>
  <c r="D135" i="278"/>
  <c r="D187" i="276"/>
  <c r="D182" i="278"/>
  <c r="D248" i="276"/>
  <c r="D206" i="278"/>
  <c r="D281" i="276"/>
  <c r="D235" i="278"/>
  <c r="D316" i="276"/>
  <c r="D317" i="267"/>
  <c r="D327" i="276"/>
  <c r="D328" i="267"/>
  <c r="D136" i="278"/>
  <c r="D188" i="276"/>
  <c r="D200" i="278"/>
  <c r="D273" i="276"/>
  <c r="D141" i="278"/>
  <c r="D194" i="276"/>
  <c r="B146" i="278"/>
  <c r="B201" i="276"/>
  <c r="B147" i="278"/>
  <c r="B202" i="276"/>
  <c r="B202" i="278"/>
  <c r="B276" i="276"/>
  <c r="B204" i="278"/>
  <c r="B279" i="276"/>
  <c r="B245" i="278"/>
  <c r="B334" i="276"/>
  <c r="B335" i="267"/>
  <c r="B262" i="278"/>
  <c r="B363" i="276"/>
  <c r="B143" i="278"/>
  <c r="B196" i="276"/>
  <c r="B213" i="278"/>
  <c r="B288" i="276"/>
  <c r="B233" i="278"/>
  <c r="B314" i="276"/>
  <c r="B315" i="267"/>
  <c r="B139" i="278"/>
  <c r="B191" i="276"/>
  <c r="B149" i="278"/>
  <c r="B204" i="276"/>
  <c r="B196" i="278"/>
  <c r="B269" i="276"/>
  <c r="B217" i="278"/>
  <c r="B295" i="276"/>
  <c r="B264" i="278"/>
  <c r="B366" i="276"/>
  <c r="B267" i="278"/>
  <c r="B370" i="276"/>
  <c r="B166" i="278"/>
  <c r="B229" i="276"/>
  <c r="B252" i="276"/>
  <c r="B227" i="278"/>
  <c r="B308" i="276"/>
  <c r="B319" i="276"/>
  <c r="B320" i="267"/>
  <c r="B252" i="278"/>
  <c r="B346" i="276"/>
  <c r="B347" i="267"/>
  <c r="B257" i="278"/>
  <c r="B353" i="276"/>
  <c r="B354" i="267"/>
  <c r="B210" i="278"/>
  <c r="B285" i="276"/>
  <c r="B214" i="278"/>
  <c r="B289" i="276"/>
  <c r="B231" i="278"/>
  <c r="B312" i="276"/>
  <c r="B321" i="276"/>
  <c r="B322" i="267"/>
  <c r="B268" i="278"/>
  <c r="B371" i="276"/>
  <c r="B182" i="278"/>
  <c r="B248" i="276"/>
  <c r="B203" i="278"/>
  <c r="B277" i="276"/>
  <c r="B239" i="278"/>
  <c r="B324" i="276"/>
  <c r="B325" i="267"/>
  <c r="B158" i="278"/>
  <c r="B215" i="276"/>
  <c r="B248" i="278"/>
  <c r="B340" i="276"/>
  <c r="B341" i="267"/>
  <c r="B176" i="278"/>
  <c r="B241" i="276"/>
  <c r="B225" i="278"/>
  <c r="B306" i="276"/>
  <c r="B327" i="276"/>
  <c r="B328" i="267"/>
  <c r="D211" i="278"/>
  <c r="D286" i="276"/>
  <c r="D261" i="278"/>
  <c r="D362" i="276"/>
  <c r="D194" i="278"/>
  <c r="D266" i="276"/>
  <c r="D337" i="276"/>
  <c r="D338" i="267"/>
  <c r="D167" i="278"/>
  <c r="D230" i="276"/>
  <c r="D221" i="278"/>
  <c r="D299" i="276"/>
  <c r="D191" i="278"/>
  <c r="D262" i="276"/>
  <c r="D137" i="278"/>
  <c r="D189" i="276"/>
  <c r="D199" i="278"/>
  <c r="D272" i="276"/>
  <c r="D204" i="278"/>
  <c r="D279" i="276"/>
  <c r="D143" i="278"/>
  <c r="D196" i="276"/>
  <c r="D192" i="278"/>
  <c r="D263" i="276"/>
  <c r="D196" i="278"/>
  <c r="D269" i="276"/>
  <c r="D344" i="276"/>
  <c r="D345" i="267"/>
  <c r="D315" i="276"/>
  <c r="D316" i="267"/>
  <c r="D180" i="278"/>
  <c r="D246" i="276"/>
  <c r="D220" i="278"/>
  <c r="D298" i="276"/>
  <c r="D321" i="276"/>
  <c r="D322" i="267"/>
  <c r="D268" i="278"/>
  <c r="D371" i="276"/>
  <c r="D177" i="278"/>
  <c r="D242" i="276"/>
  <c r="F160" i="278"/>
  <c r="G160" i="278" s="1"/>
  <c r="F219" i="276"/>
  <c r="G219" i="276" s="1"/>
  <c r="H372" i="276" s="1"/>
  <c r="C118" i="276"/>
  <c r="C82" i="278"/>
  <c r="C130" i="276"/>
  <c r="C85" i="278"/>
  <c r="B87" i="278"/>
  <c r="B132" i="276"/>
  <c r="D81" i="278"/>
  <c r="D117" i="276"/>
  <c r="C114" i="276"/>
  <c r="C79" i="278"/>
  <c r="C81" i="278"/>
  <c r="C117" i="276"/>
  <c r="C131" i="276"/>
  <c r="C86" i="278"/>
  <c r="D79" i="278"/>
  <c r="D114" i="276"/>
  <c r="B82" i="278"/>
  <c r="B118" i="276"/>
  <c r="B83" i="278"/>
  <c r="B125" i="276"/>
  <c r="D82" i="278"/>
  <c r="D118" i="276"/>
  <c r="D86" i="278"/>
  <c r="D131" i="276"/>
  <c r="F76" i="236"/>
  <c r="G9" i="273" s="1"/>
  <c r="D87" i="278"/>
  <c r="D132" i="276"/>
  <c r="B79" i="278"/>
  <c r="B114" i="276"/>
  <c r="B84" i="278"/>
  <c r="B126" i="276"/>
  <c r="D83" i="278"/>
  <c r="D125" i="276"/>
  <c r="D84" i="278"/>
  <c r="D126" i="276"/>
  <c r="C126" i="276"/>
  <c r="C84" i="278"/>
  <c r="B81" i="278"/>
  <c r="B117" i="276"/>
  <c r="B85" i="278"/>
  <c r="B130" i="276"/>
  <c r="C83" i="278"/>
  <c r="C125" i="276"/>
  <c r="C87" i="278"/>
  <c r="C132" i="276"/>
  <c r="D85" i="278"/>
  <c r="D130" i="276"/>
  <c r="B86" i="278"/>
  <c r="B131" i="276"/>
  <c r="C351" i="278"/>
  <c r="C472" i="276"/>
  <c r="C347" i="278"/>
  <c r="C467" i="276"/>
  <c r="C349" i="278"/>
  <c r="C469" i="276"/>
  <c r="C474" i="276"/>
  <c r="C353" i="278"/>
  <c r="C346" i="278"/>
  <c r="C466" i="276"/>
  <c r="D348" i="278"/>
  <c r="D468" i="276"/>
  <c r="B345" i="278"/>
  <c r="B465" i="276"/>
  <c r="B348" i="278"/>
  <c r="B468" i="276"/>
  <c r="B350" i="278"/>
  <c r="B470" i="276"/>
  <c r="B352" i="278"/>
  <c r="B473" i="276"/>
  <c r="D347" i="278"/>
  <c r="D467" i="276"/>
  <c r="C348" i="278"/>
  <c r="C468" i="276"/>
  <c r="D350" i="278"/>
  <c r="D470" i="276"/>
  <c r="B346" i="278"/>
  <c r="B466" i="276"/>
  <c r="B349" i="278"/>
  <c r="B469" i="276"/>
  <c r="D349" i="278"/>
  <c r="D469" i="276"/>
  <c r="D352" i="278"/>
  <c r="D473" i="276"/>
  <c r="C350" i="278"/>
  <c r="C470" i="276"/>
  <c r="D351" i="278"/>
  <c r="D472" i="276"/>
  <c r="B474" i="276"/>
  <c r="B353" i="278"/>
  <c r="C345" i="278"/>
  <c r="C465" i="276"/>
  <c r="D353" i="278"/>
  <c r="D474" i="276"/>
  <c r="B347" i="278"/>
  <c r="B467" i="276"/>
  <c r="B351" i="278"/>
  <c r="B472" i="276"/>
  <c r="D345" i="278"/>
  <c r="D465" i="276"/>
  <c r="D346" i="278"/>
  <c r="D466" i="276"/>
  <c r="H353" i="278"/>
  <c r="D664" i="278" s="1"/>
  <c r="B129" i="278"/>
  <c r="B181" i="276"/>
  <c r="F180" i="276"/>
  <c r="G180" i="276" s="1"/>
  <c r="F127" i="278"/>
  <c r="G127" i="278" s="1"/>
  <c r="C121" i="278"/>
  <c r="C173" i="276"/>
  <c r="B124" i="278"/>
  <c r="B177" i="276"/>
  <c r="B121" i="278"/>
  <c r="B173" i="276"/>
  <c r="D177" i="276"/>
  <c r="D124" i="278"/>
  <c r="F173" i="276"/>
  <c r="G173" i="276" s="1"/>
  <c r="F121" i="278"/>
  <c r="G121" i="278" s="1"/>
  <c r="D173" i="276"/>
  <c r="D121" i="278"/>
  <c r="C124" i="278"/>
  <c r="C177" i="276"/>
  <c r="C127" i="278"/>
  <c r="C180" i="276"/>
  <c r="B123" i="278"/>
  <c r="B174" i="276"/>
  <c r="B127" i="278"/>
  <c r="B180" i="276"/>
  <c r="D174" i="276"/>
  <c r="D123" i="278"/>
  <c r="C123" i="278"/>
  <c r="C174" i="276"/>
  <c r="C125" i="278"/>
  <c r="C178" i="276"/>
  <c r="C129" i="278"/>
  <c r="C181" i="276"/>
  <c r="D180" i="276"/>
  <c r="D127" i="278"/>
  <c r="B125" i="278"/>
  <c r="B178" i="276"/>
  <c r="D181" i="276"/>
  <c r="D129" i="278"/>
  <c r="D178" i="276"/>
  <c r="D125" i="278"/>
  <c r="E9" i="270"/>
  <c r="D523" i="276"/>
  <c r="D387" i="278"/>
  <c r="D517" i="276"/>
  <c r="D384" i="278"/>
  <c r="D509" i="276"/>
  <c r="D381" i="278"/>
  <c r="C473" i="276"/>
  <c r="C352" i="278"/>
  <c r="C389" i="276"/>
  <c r="C282" i="278"/>
  <c r="C706" i="276"/>
  <c r="C365" i="276"/>
  <c r="H398" i="278"/>
  <c r="D669" i="278" s="1"/>
  <c r="H539" i="276"/>
  <c r="C398" i="278"/>
  <c r="D398" i="278"/>
  <c r="B398" i="278"/>
  <c r="F6" i="253"/>
  <c r="G478" i="267" s="1"/>
  <c r="F13" i="208"/>
  <c r="G804" i="267" s="1"/>
  <c r="F9" i="264"/>
  <c r="G568" i="267" s="1"/>
  <c r="F20" i="210"/>
  <c r="G69" i="267" s="1"/>
  <c r="F30" i="264"/>
  <c r="G589" i="267" s="1"/>
  <c r="F8" i="213"/>
  <c r="G748" i="267" s="1"/>
  <c r="F11" i="203"/>
  <c r="G49" i="267" s="1"/>
  <c r="F26" i="210"/>
  <c r="G75" i="267" s="1"/>
  <c r="F8" i="259"/>
  <c r="F11" i="263"/>
  <c r="G560" i="267" s="1"/>
  <c r="F14" i="228"/>
  <c r="G660" i="267" s="1"/>
  <c r="C801" i="267"/>
  <c r="C47" i="267"/>
  <c r="C804" i="267"/>
  <c r="C38" i="267"/>
  <c r="C225" i="267"/>
  <c r="C115" i="267"/>
  <c r="C108" i="267"/>
  <c r="C120" i="267"/>
  <c r="C405" i="267"/>
  <c r="C472" i="267"/>
  <c r="C740" i="267"/>
  <c r="C446" i="267"/>
  <c r="C687" i="267"/>
  <c r="C527" i="267"/>
  <c r="C442" i="267"/>
  <c r="C626" i="267"/>
  <c r="C75" i="267"/>
  <c r="C822" i="267"/>
  <c r="C799" i="267"/>
  <c r="C807" i="267"/>
  <c r="C778" i="267"/>
  <c r="C46" i="267"/>
  <c r="C511" i="267"/>
  <c r="C467" i="267"/>
  <c r="C469" i="267"/>
  <c r="C109" i="267"/>
  <c r="C122" i="267"/>
  <c r="C474" i="267"/>
  <c r="C686" i="267"/>
  <c r="C720" i="267"/>
  <c r="C171" i="267"/>
  <c r="C78" i="267"/>
  <c r="C827" i="267"/>
  <c r="C777" i="267"/>
  <c r="C45" i="267"/>
  <c r="C565" i="267"/>
  <c r="C93" i="267"/>
  <c r="C94" i="267"/>
  <c r="C567" i="267"/>
  <c r="C656" i="267"/>
  <c r="C161" i="267"/>
  <c r="C580" i="267"/>
  <c r="C549" i="267"/>
  <c r="C551" i="267"/>
  <c r="C459" i="267"/>
  <c r="C560" i="267"/>
  <c r="C590" i="267"/>
  <c r="C548" i="267"/>
  <c r="C584" i="267"/>
  <c r="C455" i="267"/>
  <c r="C610" i="267"/>
  <c r="C612" i="267"/>
  <c r="C632" i="267"/>
  <c r="C658" i="267"/>
  <c r="C450" i="267"/>
  <c r="C436" i="267"/>
  <c r="C639" i="267"/>
  <c r="C83" i="267"/>
  <c r="C84" i="267"/>
  <c r="C419" i="267"/>
  <c r="C609" i="267"/>
  <c r="C444" i="267"/>
  <c r="C734" i="267"/>
  <c r="C598" i="267"/>
  <c r="C757" i="267"/>
  <c r="C629" i="267"/>
  <c r="C630" i="267"/>
  <c r="C160" i="267"/>
  <c r="C163" i="267"/>
  <c r="C675" i="267"/>
  <c r="C434" i="267"/>
  <c r="C752" i="267"/>
  <c r="C386" i="267"/>
  <c r="C555" i="267"/>
  <c r="C698" i="267"/>
  <c r="C761" i="267"/>
  <c r="C648" i="267"/>
  <c r="C586" i="267"/>
  <c r="C561" i="267"/>
  <c r="C504" i="267"/>
  <c r="C230" i="267"/>
  <c r="C618" i="267"/>
  <c r="C737" i="267"/>
  <c r="C495" i="267"/>
  <c r="C652" i="267"/>
  <c r="C490" i="267"/>
  <c r="C762" i="267"/>
  <c r="C739" i="267"/>
  <c r="C426" i="267"/>
  <c r="C388" i="267"/>
  <c r="C502" i="267"/>
  <c r="C157" i="267"/>
  <c r="C142" i="267"/>
  <c r="C158" i="267"/>
  <c r="C149" i="267"/>
  <c r="C579" i="267"/>
  <c r="C151" i="267"/>
  <c r="C152" i="267"/>
  <c r="C592" i="267"/>
  <c r="C513" i="267"/>
  <c r="C518" i="267"/>
  <c r="C523" i="267"/>
  <c r="C466" i="267"/>
  <c r="C731" i="267"/>
  <c r="C104" i="267"/>
  <c r="C117" i="267"/>
  <c r="C404" i="267"/>
  <c r="C128" i="267"/>
  <c r="C742" i="267"/>
  <c r="C604" i="267"/>
  <c r="C653" i="267"/>
  <c r="C165" i="267"/>
  <c r="C437" i="267"/>
  <c r="C813" i="267"/>
  <c r="C787" i="267"/>
  <c r="C48" i="267"/>
  <c r="C87" i="267"/>
  <c r="C791" i="267"/>
  <c r="C812" i="267"/>
  <c r="C785" i="267"/>
  <c r="C62" i="267"/>
  <c r="C819" i="267"/>
  <c r="C798" i="267"/>
  <c r="C784" i="267"/>
  <c r="C772" i="267"/>
  <c r="C39" i="267"/>
  <c r="C732" i="267"/>
  <c r="C468" i="267"/>
  <c r="C121" i="267"/>
  <c r="C473" i="267"/>
  <c r="C458" i="267"/>
  <c r="C493" i="267"/>
  <c r="C60" i="267"/>
  <c r="C70" i="267"/>
  <c r="C823" i="267"/>
  <c r="C802" i="267"/>
  <c r="C792" i="267"/>
  <c r="C771" i="267"/>
  <c r="C524" i="267"/>
  <c r="C730" i="267"/>
  <c r="C103" i="267"/>
  <c r="C402" i="267"/>
  <c r="C127" i="267"/>
  <c r="C136" i="267"/>
  <c r="C172" i="267"/>
  <c r="C377" i="267"/>
  <c r="C74" i="267"/>
  <c r="C800" i="267"/>
  <c r="C769" i="267"/>
  <c r="C44" i="267"/>
  <c r="C595" i="267"/>
  <c r="C566" i="267"/>
  <c r="C568" i="267"/>
  <c r="C748" i="267"/>
  <c r="C556" i="267"/>
  <c r="C700" i="267"/>
  <c r="C456" i="267"/>
  <c r="C581" i="267"/>
  <c r="C677" i="267"/>
  <c r="C89" i="267"/>
  <c r="C591" i="267"/>
  <c r="C478" i="267"/>
  <c r="C759" i="267"/>
  <c r="C150" i="267"/>
  <c r="C522" i="267"/>
  <c r="C539" i="267"/>
  <c r="C637" i="267"/>
  <c r="C638" i="267"/>
  <c r="C418" i="267"/>
  <c r="C673" i="267"/>
  <c r="C719" i="267"/>
  <c r="C654" i="267"/>
  <c r="C569" i="267"/>
  <c r="C713" i="267"/>
  <c r="C655" i="267"/>
  <c r="C545" i="267"/>
  <c r="C696" i="267"/>
  <c r="C611" i="267"/>
  <c r="C547" i="267"/>
  <c r="C631" i="267"/>
  <c r="C749" i="267"/>
  <c r="C394" i="267"/>
  <c r="C550" i="267"/>
  <c r="C387" i="267"/>
  <c r="C443" i="267"/>
  <c r="C391" i="267"/>
  <c r="C613" i="267"/>
  <c r="C640" i="267"/>
  <c r="C641" i="267"/>
  <c r="C543" i="267"/>
  <c r="C231" i="267"/>
  <c r="C645" i="267"/>
  <c r="C413" i="267"/>
  <c r="C695" i="267"/>
  <c r="C722" i="267"/>
  <c r="C701" i="267"/>
  <c r="C435" i="267"/>
  <c r="C525" i="267"/>
  <c r="C664" i="267"/>
  <c r="C427" i="267"/>
  <c r="C489" i="267"/>
  <c r="C634" i="267"/>
  <c r="C724" i="267"/>
  <c r="C156" i="267"/>
  <c r="C144" i="267"/>
  <c r="C159" i="267"/>
  <c r="C573" i="267"/>
  <c r="C582" i="267"/>
  <c r="C164" i="267"/>
  <c r="C587" i="267"/>
  <c r="C166" i="267"/>
  <c r="C509" i="267"/>
  <c r="C514" i="267"/>
  <c r="C519" i="267"/>
  <c r="C526" i="267"/>
  <c r="C100" i="267"/>
  <c r="C105" i="267"/>
  <c r="C129" i="267"/>
  <c r="C810" i="267"/>
  <c r="C66" i="267"/>
  <c r="C57" i="267"/>
  <c r="C803" i="267"/>
  <c r="C811" i="267"/>
  <c r="C790" i="267"/>
  <c r="C776" i="267"/>
  <c r="C49" i="267"/>
  <c r="C515" i="267"/>
  <c r="C101" i="267"/>
  <c r="C113" i="267"/>
  <c r="C102" i="267"/>
  <c r="C470" i="267"/>
  <c r="C124" i="267"/>
  <c r="C403" i="267"/>
  <c r="C685" i="267"/>
  <c r="C376" i="267"/>
  <c r="C59" i="267"/>
  <c r="C65" i="267"/>
  <c r="C824" i="267"/>
  <c r="C797" i="267"/>
  <c r="C789" i="267"/>
  <c r="C770" i="267"/>
  <c r="C529" i="267"/>
  <c r="C733" i="267"/>
  <c r="C116" i="267"/>
  <c r="C407" i="267"/>
  <c r="C494" i="267"/>
  <c r="C688" i="267"/>
  <c r="C162" i="267"/>
  <c r="C72" i="267"/>
  <c r="C69" i="267"/>
  <c r="C806" i="267"/>
  <c r="C41" i="267"/>
  <c r="C671" i="267"/>
  <c r="C627" i="267"/>
  <c r="C729" i="267"/>
  <c r="C747" i="267"/>
  <c r="C96" i="267"/>
  <c r="C457" i="267"/>
  <c r="C575" i="267"/>
  <c r="C678" i="267"/>
  <c r="C714" i="267"/>
  <c r="C588" i="267"/>
  <c r="C680" i="267"/>
  <c r="C763" i="267"/>
  <c r="C758" i="267"/>
  <c r="C660" i="267"/>
  <c r="C88" i="267"/>
  <c r="C662" i="267"/>
  <c r="C414" i="267"/>
  <c r="C81" i="267"/>
  <c r="C441" i="267"/>
  <c r="C85" i="267"/>
  <c r="C170" i="267"/>
  <c r="C90" i="267"/>
  <c r="C233" i="267"/>
  <c r="C597" i="267"/>
  <c r="C420" i="267"/>
  <c r="C422" i="267"/>
  <c r="C135" i="267"/>
  <c r="C390" i="267"/>
  <c r="C412" i="267"/>
  <c r="C633" i="267"/>
  <c r="C433" i="267"/>
  <c r="C636" i="267"/>
  <c r="C578" i="267"/>
  <c r="C451" i="267"/>
  <c r="C384" i="267"/>
  <c r="C622" i="267"/>
  <c r="C646" i="267"/>
  <c r="C177" i="267"/>
  <c r="C448" i="267"/>
  <c r="C460" i="267"/>
  <c r="C706" i="267"/>
  <c r="C707" i="267"/>
  <c r="C181" i="267"/>
  <c r="C544" i="267"/>
  <c r="C382" i="267"/>
  <c r="C647" i="267"/>
  <c r="C398" i="267"/>
  <c r="C663" i="267"/>
  <c r="C735" i="267"/>
  <c r="C583" i="267"/>
  <c r="C764" i="267"/>
  <c r="C666" i="267"/>
  <c r="C424" i="267"/>
  <c r="C428" i="267"/>
  <c r="C176" i="267"/>
  <c r="C570" i="267"/>
  <c r="C577" i="267"/>
  <c r="C725" i="267"/>
  <c r="C145" i="267"/>
  <c r="C147" i="267"/>
  <c r="C615" i="267"/>
  <c r="C510" i="267"/>
  <c r="C516" i="267"/>
  <c r="C520" i="267"/>
  <c r="C528" i="267"/>
  <c r="C114" i="267"/>
  <c r="C107" i="267"/>
  <c r="C123" i="267"/>
  <c r="C406" i="267"/>
  <c r="C130" i="267"/>
  <c r="C603" i="267"/>
  <c r="C76" i="267"/>
  <c r="C775" i="267"/>
  <c r="C461" i="267"/>
  <c r="C118" i="267"/>
  <c r="C126" i="267"/>
  <c r="C741" i="267"/>
  <c r="C721" i="267"/>
  <c r="C423" i="267"/>
  <c r="C693" i="267"/>
  <c r="C379" i="267"/>
  <c r="C67" i="267"/>
  <c r="C56" i="267"/>
  <c r="C828" i="267"/>
  <c r="C809" i="267"/>
  <c r="C788" i="267"/>
  <c r="C52" i="267"/>
  <c r="C465" i="267"/>
  <c r="C228" i="267"/>
  <c r="C106" i="267"/>
  <c r="C119" i="267"/>
  <c r="C110" i="267"/>
  <c r="C131" i="267"/>
  <c r="C684" i="267"/>
  <c r="C689" i="267"/>
  <c r="C679" i="267"/>
  <c r="C86" i="267"/>
  <c r="C61" i="267"/>
  <c r="C64" i="267"/>
  <c r="C774" i="267"/>
  <c r="C51" i="267"/>
  <c r="C670" i="267"/>
  <c r="C95" i="267"/>
  <c r="C232" i="267"/>
  <c r="C699" i="267"/>
  <c r="C702" i="267"/>
  <c r="C576" i="267"/>
  <c r="C750" i="267"/>
  <c r="C97" i="267"/>
  <c r="C665" i="267"/>
  <c r="C589" i="267"/>
  <c r="C572" i="267"/>
  <c r="C635" i="267"/>
  <c r="C389" i="267"/>
  <c r="C657" i="267"/>
  <c r="C447" i="267"/>
  <c r="C178" i="267"/>
  <c r="C659" i="267"/>
  <c r="C574" i="267"/>
  <c r="C449" i="267"/>
  <c r="C703" i="267"/>
  <c r="C559" i="267"/>
  <c r="C619" i="267"/>
  <c r="C596" i="267"/>
  <c r="C82" i="267"/>
  <c r="C672" i="267"/>
  <c r="C711" i="267"/>
  <c r="C718" i="267"/>
  <c r="C488" i="267"/>
  <c r="C694" i="267"/>
  <c r="C141" i="267"/>
  <c r="C421" i="267"/>
  <c r="C599" i="267"/>
  <c r="C432" i="267"/>
  <c r="C628" i="267"/>
  <c r="C614" i="267"/>
  <c r="C617" i="267"/>
  <c r="C395" i="267"/>
  <c r="C751" i="267"/>
  <c r="C385" i="267"/>
  <c r="C445" i="267"/>
  <c r="C760" i="267"/>
  <c r="C557" i="267"/>
  <c r="C396" i="267"/>
  <c r="C558" i="267"/>
  <c r="C585" i="267"/>
  <c r="C180" i="267"/>
  <c r="C501" i="267"/>
  <c r="C229" i="267"/>
  <c r="C746" i="267"/>
  <c r="C393" i="267"/>
  <c r="C738" i="267"/>
  <c r="C496" i="267"/>
  <c r="C736" i="267"/>
  <c r="C723" i="267"/>
  <c r="C705" i="267"/>
  <c r="C182" i="267"/>
  <c r="C425" i="267"/>
  <c r="C397" i="267"/>
  <c r="C546" i="267"/>
  <c r="C571" i="267"/>
  <c r="C704" i="267"/>
  <c r="C140" i="267"/>
  <c r="C143" i="267"/>
  <c r="C146" i="267"/>
  <c r="C148" i="267"/>
  <c r="C616" i="267"/>
  <c r="C512" i="267"/>
  <c r="C517" i="267"/>
  <c r="C521" i="267"/>
  <c r="C471" i="267"/>
  <c r="C605" i="267"/>
  <c r="C224" i="267"/>
  <c r="C383" i="267"/>
  <c r="C820" i="267"/>
  <c r="C786" i="267"/>
  <c r="C50" i="267"/>
  <c r="C756" i="267"/>
  <c r="C602" i="267"/>
  <c r="C492" i="267"/>
  <c r="C491" i="267"/>
  <c r="C411" i="267"/>
  <c r="C378" i="267"/>
  <c r="C825" i="267"/>
  <c r="C808" i="267"/>
  <c r="C773" i="267"/>
  <c r="D456" i="267"/>
  <c r="D75" i="267"/>
  <c r="D560" i="267"/>
  <c r="D808" i="267"/>
  <c r="D447" i="267"/>
  <c r="D703" i="267"/>
  <c r="D619" i="267"/>
  <c r="D718" i="267"/>
  <c r="D61" i="267"/>
  <c r="D821" i="267"/>
  <c r="D395" i="267"/>
  <c r="D751" i="267"/>
  <c r="D823" i="267"/>
  <c r="D739" i="267"/>
  <c r="D489" i="267"/>
  <c r="D159" i="267"/>
  <c r="D164" i="267"/>
  <c r="D509" i="267"/>
  <c r="D521" i="267"/>
  <c r="D732" i="267"/>
  <c r="D123" i="267"/>
  <c r="D127" i="267"/>
  <c r="D742" i="267"/>
  <c r="D605" i="267"/>
  <c r="D171" i="267"/>
  <c r="D756" i="267"/>
  <c r="D376" i="267"/>
  <c r="D45" i="267"/>
  <c r="D47" i="267"/>
  <c r="D383" i="267"/>
  <c r="D775" i="267"/>
  <c r="D511" i="267"/>
  <c r="D733" i="267"/>
  <c r="D102" i="267"/>
  <c r="D470" i="267"/>
  <c r="D446" i="267"/>
  <c r="D687" i="267"/>
  <c r="D162" i="267"/>
  <c r="B565" i="267"/>
  <c r="B671" i="267"/>
  <c r="B627" i="267"/>
  <c r="B566" i="267"/>
  <c r="B568" i="267"/>
  <c r="B748" i="267"/>
  <c r="B656" i="267"/>
  <c r="B161" i="267"/>
  <c r="B68" i="267"/>
  <c r="B457" i="267"/>
  <c r="B581" i="267"/>
  <c r="B73" i="267"/>
  <c r="B77" i="267"/>
  <c r="B97" i="267"/>
  <c r="B828" i="267"/>
  <c r="B89" i="267"/>
  <c r="B591" i="267"/>
  <c r="B548" i="267"/>
  <c r="B806" i="267"/>
  <c r="B763" i="267"/>
  <c r="B809" i="267"/>
  <c r="B389" i="267"/>
  <c r="B759" i="267"/>
  <c r="B776" i="267"/>
  <c r="B658" i="267"/>
  <c r="B574" i="267"/>
  <c r="B449" i="267"/>
  <c r="B703" i="267"/>
  <c r="B559" i="267"/>
  <c r="B83" i="267"/>
  <c r="B57" i="267"/>
  <c r="B673" i="267"/>
  <c r="B419" i="267"/>
  <c r="B609" i="267"/>
  <c r="B444" i="267"/>
  <c r="B734" i="267"/>
  <c r="B797" i="267"/>
  <c r="B713" i="267"/>
  <c r="B655" i="267"/>
  <c r="B757" i="267"/>
  <c r="B821" i="267"/>
  <c r="B789" i="267"/>
  <c r="B631" i="267"/>
  <c r="B749" i="267"/>
  <c r="B71" i="267"/>
  <c r="B617" i="267"/>
  <c r="B395" i="267"/>
  <c r="B751" i="267"/>
  <c r="B385" i="267"/>
  <c r="B445" i="267"/>
  <c r="B646" i="267"/>
  <c r="B177" i="267"/>
  <c r="B613" i="267"/>
  <c r="B640" i="267"/>
  <c r="B641" i="267"/>
  <c r="B543" i="267"/>
  <c r="B230" i="267"/>
  <c r="B382" i="267"/>
  <c r="B647" i="267"/>
  <c r="B413" i="267"/>
  <c r="B652" i="267"/>
  <c r="B735" i="267"/>
  <c r="B435" i="267"/>
  <c r="B739" i="267"/>
  <c r="B426" i="267"/>
  <c r="B388" i="267"/>
  <c r="B489" i="267"/>
  <c r="B634" i="267"/>
  <c r="B778" i="267"/>
  <c r="B157" i="267"/>
  <c r="B142" i="267"/>
  <c r="B158" i="267"/>
  <c r="B149" i="267"/>
  <c r="B579" i="267"/>
  <c r="B151" i="267"/>
  <c r="B812" i="267"/>
  <c r="B510" i="267"/>
  <c r="B514" i="267"/>
  <c r="B516" i="267"/>
  <c r="B519" i="267"/>
  <c r="B524" i="267"/>
  <c r="B529" i="267"/>
  <c r="B466" i="267"/>
  <c r="B101" i="267"/>
  <c r="B225" i="267"/>
  <c r="B733" i="267"/>
  <c r="B469" i="267"/>
  <c r="B104" i="267"/>
  <c r="B106" i="267"/>
  <c r="B116" i="267"/>
  <c r="B120" i="267"/>
  <c r="B123" i="267"/>
  <c r="B402" i="267"/>
  <c r="B110" i="267"/>
  <c r="B127" i="267"/>
  <c r="B129" i="267"/>
  <c r="B131" i="267"/>
  <c r="B742" i="267"/>
  <c r="B458" i="267"/>
  <c r="B686" i="267"/>
  <c r="B605" i="267"/>
  <c r="B493" i="267"/>
  <c r="B720" i="267"/>
  <c r="B423" i="267"/>
  <c r="B527" i="267"/>
  <c r="B172" i="267"/>
  <c r="B768" i="267"/>
  <c r="B379" i="267"/>
  <c r="B626" i="267"/>
  <c r="D627" i="267"/>
  <c r="D556" i="267"/>
  <c r="D70" i="267"/>
  <c r="D457" i="267"/>
  <c r="D549" i="267"/>
  <c r="D97" i="267"/>
  <c r="D589" i="267"/>
  <c r="D807" i="267"/>
  <c r="D657" i="267"/>
  <c r="D574" i="267"/>
  <c r="D414" i="267"/>
  <c r="D784" i="267"/>
  <c r="D441" i="267"/>
  <c r="D419" i="267"/>
  <c r="D90" i="267"/>
  <c r="D655" i="267"/>
  <c r="D696" i="267"/>
  <c r="D547" i="267"/>
  <c r="D160" i="267"/>
  <c r="D636" i="267"/>
  <c r="D177" i="267"/>
  <c r="D396" i="267"/>
  <c r="D586" i="267"/>
  <c r="D746" i="267"/>
  <c r="D723" i="267"/>
  <c r="D426" i="267"/>
  <c r="D774" i="267"/>
  <c r="D146" i="267"/>
  <c r="D513" i="267"/>
  <c r="D528" i="267"/>
  <c r="D469" i="267"/>
  <c r="D116" i="267"/>
  <c r="D402" i="267"/>
  <c r="D473" i="267"/>
  <c r="D458" i="267"/>
  <c r="D604" i="267"/>
  <c r="B411" i="267"/>
  <c r="B819" i="267"/>
  <c r="B45" i="267"/>
  <c r="B48" i="267"/>
  <c r="B50" i="267"/>
  <c r="D56" i="267"/>
  <c r="D771" i="267"/>
  <c r="D69" i="267"/>
  <c r="D575" i="267"/>
  <c r="D588" i="267"/>
  <c r="D478" i="267"/>
  <c r="D455" i="267"/>
  <c r="D150" i="267"/>
  <c r="D637" i="267"/>
  <c r="D596" i="267"/>
  <c r="D60" i="267"/>
  <c r="D797" i="267"/>
  <c r="D62" i="267"/>
  <c r="D628" i="267"/>
  <c r="D445" i="267"/>
  <c r="D698" i="267"/>
  <c r="D558" i="267"/>
  <c r="D618" i="267"/>
  <c r="D722" i="267"/>
  <c r="D825" i="267"/>
  <c r="D704" i="267"/>
  <c r="D156" i="267"/>
  <c r="D149" i="267"/>
  <c r="D514" i="267"/>
  <c r="D526" i="267"/>
  <c r="D731" i="267"/>
  <c r="D119" i="267"/>
  <c r="D110" i="267"/>
  <c r="D688" i="267"/>
  <c r="F52" i="242"/>
  <c r="G232" i="267" s="1"/>
  <c r="E232" i="267"/>
  <c r="F61" i="267"/>
  <c r="F71" i="267"/>
  <c r="F701" i="267"/>
  <c r="F803" i="267"/>
  <c r="C380" i="267"/>
  <c r="C821" i="267"/>
  <c r="C805" i="267"/>
  <c r="C768" i="267"/>
  <c r="D566" i="267"/>
  <c r="D96" i="267"/>
  <c r="D700" i="267"/>
  <c r="D590" i="267"/>
  <c r="D810" i="267"/>
  <c r="D660" i="267"/>
  <c r="D436" i="267"/>
  <c r="D233" i="267"/>
  <c r="D798" i="267"/>
  <c r="D545" i="267"/>
  <c r="D629" i="267"/>
  <c r="D749" i="267"/>
  <c r="D434" i="267"/>
  <c r="D384" i="267"/>
  <c r="D448" i="267"/>
  <c r="D641" i="267"/>
  <c r="D501" i="267"/>
  <c r="D413" i="267"/>
  <c r="D425" i="267"/>
  <c r="D634" i="267"/>
  <c r="D573" i="267"/>
  <c r="D151" i="267"/>
  <c r="D512" i="267"/>
  <c r="D523" i="267"/>
  <c r="D113" i="267"/>
  <c r="D108" i="267"/>
  <c r="D472" i="267"/>
  <c r="D492" i="267"/>
  <c r="D785" i="267"/>
  <c r="D411" i="267"/>
  <c r="D87" i="267"/>
  <c r="D768" i="267"/>
  <c r="D378" i="267"/>
  <c r="D380" i="267"/>
  <c r="D49" i="267"/>
  <c r="D52" i="267"/>
  <c r="D517" i="267"/>
  <c r="D100" i="267"/>
  <c r="D228" i="267"/>
  <c r="D118" i="267"/>
  <c r="D403" i="267"/>
  <c r="D494" i="267"/>
  <c r="D689" i="267"/>
  <c r="D527" i="267"/>
  <c r="B56" i="267"/>
  <c r="B670" i="267"/>
  <c r="B729" i="267"/>
  <c r="B747" i="267"/>
  <c r="B556" i="267"/>
  <c r="B64" i="267"/>
  <c r="B69" i="267"/>
  <c r="B699" i="267"/>
  <c r="B791" i="267"/>
  <c r="B575" i="267"/>
  <c r="B74" i="267"/>
  <c r="B78" i="267"/>
  <c r="B551" i="267"/>
  <c r="B678" i="267"/>
  <c r="B714" i="267"/>
  <c r="B588" i="267"/>
  <c r="B680" i="267"/>
  <c r="B478" i="267"/>
  <c r="B807" i="267"/>
  <c r="B635" i="267"/>
  <c r="B810" i="267"/>
  <c r="B455" i="267"/>
  <c r="B610" i="267"/>
  <c r="B657" i="267"/>
  <c r="B758" i="267"/>
  <c r="B150" i="267"/>
  <c r="B522" i="267"/>
  <c r="B450" i="267"/>
  <c r="B436" i="267"/>
  <c r="B414" i="267"/>
  <c r="B784" i="267"/>
  <c r="B418" i="267"/>
  <c r="B672" i="267"/>
  <c r="B60" i="267"/>
  <c r="B719" i="267"/>
  <c r="B654" i="267"/>
  <c r="B569" i="267"/>
  <c r="B141" i="267"/>
  <c r="B420" i="267"/>
  <c r="B545" i="267"/>
  <c r="B696" i="267"/>
  <c r="B611" i="267"/>
  <c r="B628" i="267"/>
  <c r="B412" i="267"/>
  <c r="B633" i="267"/>
  <c r="B675" i="267"/>
  <c r="B434" i="267"/>
  <c r="B752" i="267"/>
  <c r="B386" i="267"/>
  <c r="B555" i="267"/>
  <c r="B39" i="267"/>
  <c r="B760" i="267"/>
  <c r="B557" i="267"/>
  <c r="B448" i="267"/>
  <c r="B460" i="267"/>
  <c r="B706" i="267"/>
  <c r="B707" i="267"/>
  <c r="B181" i="267"/>
  <c r="B544" i="267"/>
  <c r="B231" i="267"/>
  <c r="B746" i="267"/>
  <c r="B393" i="267"/>
  <c r="B398" i="267"/>
  <c r="B736" i="267"/>
  <c r="B723" i="267"/>
  <c r="B792" i="267"/>
  <c r="B583" i="267"/>
  <c r="B525" i="267"/>
  <c r="B664" i="267"/>
  <c r="B427" i="267"/>
  <c r="B799" i="267"/>
  <c r="B570" i="267"/>
  <c r="B577" i="267"/>
  <c r="B724" i="267"/>
  <c r="B156" i="267"/>
  <c r="B144" i="267"/>
  <c r="B159" i="267"/>
  <c r="B573" i="267"/>
  <c r="B582" i="267"/>
  <c r="B164" i="267"/>
  <c r="B587" i="267"/>
  <c r="B813" i="267"/>
  <c r="B511" i="267"/>
  <c r="B800" i="267"/>
  <c r="B517" i="267"/>
  <c r="B520" i="267"/>
  <c r="B526" i="267"/>
  <c r="B730" i="267"/>
  <c r="B228" i="267"/>
  <c r="B114" i="267"/>
  <c r="B107" i="267"/>
  <c r="B117" i="267"/>
  <c r="B124" i="267"/>
  <c r="B404" i="267"/>
  <c r="B403" i="267"/>
  <c r="B128" i="267"/>
  <c r="B474" i="267"/>
  <c r="B684" i="267"/>
  <c r="B603" i="267"/>
  <c r="B687" i="267"/>
  <c r="B492" i="267"/>
  <c r="B224" i="267"/>
  <c r="B165" i="267"/>
  <c r="B769" i="267"/>
  <c r="B51" i="267"/>
  <c r="D565" i="267"/>
  <c r="D748" i="267"/>
  <c r="D699" i="267"/>
  <c r="D74" i="267"/>
  <c r="D551" i="267"/>
  <c r="D548" i="267"/>
  <c r="D67" i="267"/>
  <c r="D632" i="267"/>
  <c r="D539" i="267"/>
  <c r="D81" i="267"/>
  <c r="D57" i="267"/>
  <c r="D444" i="267"/>
  <c r="D420" i="267"/>
  <c r="D789" i="267"/>
  <c r="D614" i="267"/>
  <c r="D555" i="267"/>
  <c r="D557" i="267"/>
  <c r="D645" i="267"/>
  <c r="D496" i="267"/>
  <c r="D762" i="267"/>
  <c r="D666" i="267"/>
  <c r="D397" i="267"/>
  <c r="D571" i="267"/>
  <c r="D140" i="267"/>
  <c r="D158" i="267"/>
  <c r="D152" i="267"/>
  <c r="D800" i="267"/>
  <c r="D529" i="267"/>
  <c r="D730" i="267"/>
  <c r="D104" i="267"/>
  <c r="D117" i="267"/>
  <c r="D130" i="267"/>
  <c r="D720" i="267"/>
  <c r="D38" i="267"/>
  <c r="B693" i="267"/>
  <c r="B442" i="267"/>
  <c r="B378" i="267"/>
  <c r="B770" i="267"/>
  <c r="B52" i="267"/>
  <c r="D93" i="267"/>
  <c r="D568" i="267"/>
  <c r="D581" i="267"/>
  <c r="D827" i="267"/>
  <c r="D591" i="267"/>
  <c r="D805" i="267"/>
  <c r="D759" i="267"/>
  <c r="D658" i="267"/>
  <c r="D811" i="267"/>
  <c r="D82" i="267"/>
  <c r="D488" i="267"/>
  <c r="D141" i="267"/>
  <c r="D421" i="267"/>
  <c r="D617" i="267"/>
  <c r="D752" i="267"/>
  <c r="D707" i="267"/>
  <c r="D543" i="267"/>
  <c r="D652" i="267"/>
  <c r="D792" i="267"/>
  <c r="D525" i="267"/>
  <c r="D424" i="267"/>
  <c r="D546" i="267"/>
  <c r="D157" i="267"/>
  <c r="D616" i="267"/>
  <c r="D813" i="267"/>
  <c r="D516" i="267"/>
  <c r="D103" i="267"/>
  <c r="D122" i="267"/>
  <c r="D493" i="267"/>
  <c r="F420" i="267"/>
  <c r="F617" i="267"/>
  <c r="F396" i="267"/>
  <c r="F723" i="267"/>
  <c r="F615" i="267"/>
  <c r="F824" i="267"/>
  <c r="D64" i="267"/>
  <c r="D576" i="267"/>
  <c r="D680" i="267"/>
  <c r="D662" i="267"/>
  <c r="D59" i="267"/>
  <c r="D609" i="267"/>
  <c r="D569" i="267"/>
  <c r="D713" i="267"/>
  <c r="D135" i="267"/>
  <c r="D630" i="267"/>
  <c r="D163" i="267"/>
  <c r="D578" i="267"/>
  <c r="D387" i="267"/>
  <c r="D181" i="267"/>
  <c r="D229" i="267"/>
  <c r="D382" i="267"/>
  <c r="D737" i="267"/>
  <c r="D176" i="267"/>
  <c r="D577" i="267"/>
  <c r="D143" i="267"/>
  <c r="D579" i="267"/>
  <c r="D812" i="267"/>
  <c r="D515" i="267"/>
  <c r="D407" i="267"/>
  <c r="D129" i="267"/>
  <c r="D224" i="267"/>
  <c r="D40" i="267"/>
  <c r="D653" i="267"/>
  <c r="D693" i="267"/>
  <c r="D819" i="267"/>
  <c r="D165" i="267"/>
  <c r="D769" i="267"/>
  <c r="D46" i="267"/>
  <c r="D48" i="267"/>
  <c r="D50" i="267"/>
  <c r="D437" i="267"/>
  <c r="D524" i="267"/>
  <c r="D114" i="267"/>
  <c r="D106" i="267"/>
  <c r="D121" i="267"/>
  <c r="D474" i="267"/>
  <c r="D686" i="267"/>
  <c r="B55" i="267"/>
  <c r="B93" i="267"/>
  <c r="B771" i="267"/>
  <c r="B95" i="267"/>
  <c r="B232" i="267"/>
  <c r="B96" i="267"/>
  <c r="B65" i="267"/>
  <c r="B70" i="267"/>
  <c r="B702" i="267"/>
  <c r="B576" i="267"/>
  <c r="B750" i="267"/>
  <c r="B75" i="267"/>
  <c r="B827" i="267"/>
  <c r="B665" i="267"/>
  <c r="B589" i="267"/>
  <c r="B790" i="267"/>
  <c r="B804" i="267"/>
  <c r="B67" i="267"/>
  <c r="B808" i="267"/>
  <c r="B447" i="267"/>
  <c r="B178" i="267"/>
  <c r="B660" i="267"/>
  <c r="B41" i="267"/>
  <c r="B539" i="267"/>
  <c r="B88" i="267"/>
  <c r="B638" i="267"/>
  <c r="B639" i="267"/>
  <c r="B619" i="267"/>
  <c r="B596" i="267"/>
  <c r="B81" i="267"/>
  <c r="B441" i="267"/>
  <c r="B58" i="267"/>
  <c r="B85" i="267"/>
  <c r="B170" i="267"/>
  <c r="B90" i="267"/>
  <c r="B233" i="267"/>
  <c r="B597" i="267"/>
  <c r="B62" i="267"/>
  <c r="B422" i="267"/>
  <c r="B135" i="267"/>
  <c r="B772" i="267"/>
  <c r="B629" i="267"/>
  <c r="B614" i="267"/>
  <c r="B72" i="267"/>
  <c r="B394" i="267"/>
  <c r="B550" i="267"/>
  <c r="B387" i="267"/>
  <c r="B443" i="267"/>
  <c r="B698" i="267"/>
  <c r="B761" i="267"/>
  <c r="B396" i="267"/>
  <c r="B558" i="267"/>
  <c r="B585" i="267"/>
  <c r="B180" i="267"/>
  <c r="B501" i="267"/>
  <c r="B786" i="267"/>
  <c r="B823" i="267"/>
  <c r="B738" i="267"/>
  <c r="B496" i="267"/>
  <c r="B822" i="267"/>
  <c r="B695" i="267"/>
  <c r="B490" i="267"/>
  <c r="B762" i="267"/>
  <c r="B764" i="267"/>
  <c r="B666" i="267"/>
  <c r="B424" i="267"/>
  <c r="B428" i="267"/>
  <c r="B176" i="267"/>
  <c r="B773" i="267"/>
  <c r="B571" i="267"/>
  <c r="B704" i="267"/>
  <c r="B725" i="267"/>
  <c r="B145" i="267"/>
  <c r="B147" i="267"/>
  <c r="B615" i="267"/>
  <c r="B152" i="267"/>
  <c r="B592" i="267"/>
  <c r="B512" i="267"/>
  <c r="B515" i="267"/>
  <c r="B518" i="267"/>
  <c r="B521" i="267"/>
  <c r="B528" i="267"/>
  <c r="B100" i="267"/>
  <c r="B467" i="267"/>
  <c r="B731" i="267"/>
  <c r="B115" i="267"/>
  <c r="B102" i="267"/>
  <c r="B108" i="267"/>
  <c r="B118" i="267"/>
  <c r="B121" i="267"/>
  <c r="B471" i="267"/>
  <c r="B405" i="267"/>
  <c r="B126" i="267"/>
  <c r="B472" i="267"/>
  <c r="B130" i="267"/>
  <c r="B741" i="267"/>
  <c r="B446" i="267"/>
  <c r="B494" i="267"/>
  <c r="B602" i="267"/>
  <c r="B721" i="267"/>
  <c r="B688" i="267"/>
  <c r="B689" i="267"/>
  <c r="B162" i="267"/>
  <c r="B679" i="267"/>
  <c r="B785" i="267"/>
  <c r="B44" i="267"/>
  <c r="B377" i="267"/>
  <c r="B775" i="267"/>
  <c r="D729" i="267"/>
  <c r="D820" i="267"/>
  <c r="D161" i="267"/>
  <c r="D580" i="267"/>
  <c r="D77" i="267"/>
  <c r="D828" i="267"/>
  <c r="D804" i="267"/>
  <c r="D584" i="267"/>
  <c r="D389" i="267"/>
  <c r="D788" i="267"/>
  <c r="D659" i="267"/>
  <c r="D638" i="267"/>
  <c r="D83" i="267"/>
  <c r="D672" i="267"/>
  <c r="D719" i="267"/>
  <c r="D734" i="267"/>
  <c r="D422" i="267"/>
  <c r="D772" i="267"/>
  <c r="D412" i="267"/>
  <c r="D72" i="267"/>
  <c r="D622" i="267"/>
  <c r="D761" i="267"/>
  <c r="D648" i="267"/>
  <c r="D640" i="267"/>
  <c r="D544" i="267"/>
  <c r="D398" i="267"/>
  <c r="D63" i="267"/>
  <c r="D701" i="267"/>
  <c r="D182" i="267"/>
  <c r="D388" i="267"/>
  <c r="D502" i="267"/>
  <c r="D148" i="267"/>
  <c r="D166" i="267"/>
  <c r="D801" i="267"/>
  <c r="D465" i="267"/>
  <c r="D107" i="267"/>
  <c r="D406" i="267"/>
  <c r="D741" i="267"/>
  <c r="D684" i="267"/>
  <c r="D491" i="267"/>
  <c r="D39" i="267"/>
  <c r="B86" i="267"/>
  <c r="B756" i="267"/>
  <c r="B47" i="267"/>
  <c r="B383" i="267"/>
  <c r="D55" i="267"/>
  <c r="D595" i="267"/>
  <c r="D791" i="267"/>
  <c r="D73" i="267"/>
  <c r="D790" i="267"/>
  <c r="D809" i="267"/>
  <c r="D610" i="267"/>
  <c r="D178" i="267"/>
  <c r="D58" i="267"/>
  <c r="D599" i="267"/>
  <c r="D633" i="267"/>
  <c r="D675" i="267"/>
  <c r="D385" i="267"/>
  <c r="D391" i="267"/>
  <c r="D777" i="267"/>
  <c r="D561" i="267"/>
  <c r="D180" i="267"/>
  <c r="D786" i="267"/>
  <c r="D738" i="267"/>
  <c r="D663" i="267"/>
  <c r="D764" i="267"/>
  <c r="D427" i="267"/>
  <c r="D773" i="267"/>
  <c r="D724" i="267"/>
  <c r="D142" i="267"/>
  <c r="D518" i="267"/>
  <c r="D466" i="267"/>
  <c r="D105" i="267"/>
  <c r="D471" i="267"/>
  <c r="D740" i="267"/>
  <c r="D602" i="267"/>
  <c r="D423" i="267"/>
  <c r="F628" i="267"/>
  <c r="F394" i="267"/>
  <c r="F181" i="267"/>
  <c r="F150" i="267"/>
  <c r="F763" i="267"/>
  <c r="F44" i="242"/>
  <c r="G224" i="267" s="1"/>
  <c r="D671" i="267"/>
  <c r="D747" i="267"/>
  <c r="D68" i="267"/>
  <c r="D665" i="267"/>
  <c r="D824" i="267"/>
  <c r="D758" i="267"/>
  <c r="D559" i="267"/>
  <c r="D654" i="267"/>
  <c r="D597" i="267"/>
  <c r="D432" i="267"/>
  <c r="D631" i="267"/>
  <c r="D394" i="267"/>
  <c r="D550" i="267"/>
  <c r="D443" i="267"/>
  <c r="D585" i="267"/>
  <c r="D802" i="267"/>
  <c r="D647" i="267"/>
  <c r="D778" i="267"/>
  <c r="D145" i="267"/>
  <c r="D582" i="267"/>
  <c r="D519" i="267"/>
  <c r="D120" i="267"/>
  <c r="D131" i="267"/>
  <c r="D685" i="267"/>
  <c r="D86" i="267"/>
  <c r="D172" i="267"/>
  <c r="D442" i="267"/>
  <c r="D44" i="267"/>
  <c r="D377" i="267"/>
  <c r="D379" i="267"/>
  <c r="D770" i="267"/>
  <c r="D51" i="267"/>
  <c r="D626" i="267"/>
  <c r="D461" i="267"/>
  <c r="D225" i="267"/>
  <c r="D468" i="267"/>
  <c r="D404" i="267"/>
  <c r="D128" i="267"/>
  <c r="B595" i="267"/>
  <c r="B94" i="267"/>
  <c r="B567" i="267"/>
  <c r="B820" i="267"/>
  <c r="B66" i="267"/>
  <c r="B700" i="267"/>
  <c r="B456" i="267"/>
  <c r="B580" i="267"/>
  <c r="B549" i="267"/>
  <c r="B76" i="267"/>
  <c r="B677" i="267"/>
  <c r="B459" i="267"/>
  <c r="B560" i="267"/>
  <c r="B590" i="267"/>
  <c r="B572" i="267"/>
  <c r="B805" i="267"/>
  <c r="B824" i="267"/>
  <c r="B584" i="267"/>
  <c r="B787" i="267"/>
  <c r="B788" i="267"/>
  <c r="B612" i="267"/>
  <c r="B632" i="267"/>
  <c r="B659" i="267"/>
  <c r="B637" i="267"/>
  <c r="B662" i="267"/>
  <c r="B811" i="267"/>
  <c r="B82" i="267"/>
  <c r="B59" i="267"/>
  <c r="B84" i="267"/>
  <c r="B711" i="267"/>
  <c r="B718" i="267"/>
  <c r="B488" i="267"/>
  <c r="B694" i="267"/>
  <c r="B61" i="267"/>
  <c r="B798" i="267"/>
  <c r="B598" i="267"/>
  <c r="B421" i="267"/>
  <c r="B599" i="267"/>
  <c r="B432" i="267"/>
  <c r="B390" i="267"/>
  <c r="B547" i="267"/>
  <c r="B630" i="267"/>
  <c r="B160" i="267"/>
  <c r="B163" i="267"/>
  <c r="B433" i="267"/>
  <c r="B636" i="267"/>
  <c r="B578" i="267"/>
  <c r="B451" i="267"/>
  <c r="B384" i="267"/>
  <c r="B622" i="267"/>
  <c r="B391" i="267"/>
  <c r="B777" i="267"/>
  <c r="B648" i="267"/>
  <c r="B586" i="267"/>
  <c r="B561" i="267"/>
  <c r="B504" i="267"/>
  <c r="B229" i="267"/>
  <c r="B802" i="267"/>
  <c r="B40" i="267"/>
  <c r="B645" i="267"/>
  <c r="B618" i="267"/>
  <c r="B737" i="267"/>
  <c r="B495" i="267"/>
  <c r="B38" i="267"/>
  <c r="B663" i="267"/>
  <c r="B63" i="267"/>
  <c r="B722" i="267"/>
  <c r="B701" i="267"/>
  <c r="B825" i="267"/>
  <c r="B705" i="267"/>
  <c r="B182" i="267"/>
  <c r="B425" i="267"/>
  <c r="B397" i="267"/>
  <c r="B546" i="267"/>
  <c r="B774" i="267"/>
  <c r="B502" i="267"/>
  <c r="B140" i="267"/>
  <c r="B143" i="267"/>
  <c r="B146" i="267"/>
  <c r="B148" i="267"/>
  <c r="B616" i="267"/>
  <c r="B166" i="267"/>
  <c r="B509" i="267"/>
  <c r="B513" i="267"/>
  <c r="B801" i="267"/>
  <c r="B803" i="267"/>
  <c r="B523" i="267"/>
  <c r="B461" i="267"/>
  <c r="B465" i="267"/>
  <c r="B732" i="267"/>
  <c r="B113" i="267"/>
  <c r="B468" i="267"/>
  <c r="B103" i="267"/>
  <c r="B105" i="267"/>
  <c r="B109" i="267"/>
  <c r="B470" i="267"/>
  <c r="B119" i="267"/>
  <c r="B122" i="267"/>
  <c r="B407" i="267"/>
  <c r="B406" i="267"/>
  <c r="B473" i="267"/>
  <c r="B740" i="267"/>
  <c r="B685" i="267"/>
  <c r="B136" i="267"/>
  <c r="B604" i="267"/>
  <c r="B491" i="267"/>
  <c r="B125" i="267"/>
  <c r="B653" i="267"/>
  <c r="B376" i="267"/>
  <c r="B46" i="267"/>
  <c r="B437" i="267"/>
  <c r="D670" i="267"/>
  <c r="D567" i="267"/>
  <c r="D656" i="267"/>
  <c r="D66" i="267"/>
  <c r="D750" i="267"/>
  <c r="D78" i="267"/>
  <c r="D714" i="267"/>
  <c r="D806" i="267"/>
  <c r="D787" i="267"/>
  <c r="D612" i="267"/>
  <c r="D522" i="267"/>
  <c r="D639" i="267"/>
  <c r="D418" i="267"/>
  <c r="D85" i="267"/>
  <c r="D170" i="267"/>
  <c r="D757" i="267"/>
  <c r="D390" i="267"/>
  <c r="D433" i="267"/>
  <c r="D386" i="267"/>
  <c r="D760" i="267"/>
  <c r="D613" i="267"/>
  <c r="D504" i="267"/>
  <c r="D231" i="267"/>
  <c r="D822" i="267"/>
  <c r="D490" i="267"/>
  <c r="D435" i="267"/>
  <c r="D799" i="267"/>
  <c r="D725" i="267"/>
  <c r="D144" i="267"/>
  <c r="D615" i="267"/>
  <c r="D587" i="267"/>
  <c r="D592" i="267"/>
  <c r="D803" i="267"/>
  <c r="D101" i="267"/>
  <c r="D115" i="267"/>
  <c r="D124" i="267"/>
  <c r="D126" i="267"/>
  <c r="D721" i="267"/>
  <c r="D679" i="267"/>
  <c r="B171" i="267"/>
  <c r="B87" i="267"/>
  <c r="B380" i="267"/>
  <c r="B49" i="267"/>
  <c r="D232" i="267"/>
  <c r="D65" i="267"/>
  <c r="D702" i="267"/>
  <c r="D76" i="267"/>
  <c r="D459" i="267"/>
  <c r="D572" i="267"/>
  <c r="D776" i="267"/>
  <c r="D88" i="267"/>
  <c r="D84" i="267"/>
  <c r="D694" i="267"/>
  <c r="D598" i="267"/>
  <c r="D611" i="267"/>
  <c r="D71" i="267"/>
  <c r="D646" i="267"/>
  <c r="D706" i="267"/>
  <c r="D230" i="267"/>
  <c r="D393" i="267"/>
  <c r="D495" i="267"/>
  <c r="D695" i="267"/>
  <c r="D583" i="267"/>
  <c r="D664" i="267"/>
  <c r="D428" i="267"/>
  <c r="D570" i="267"/>
  <c r="D147" i="267"/>
  <c r="D510" i="267"/>
  <c r="D520" i="267"/>
  <c r="D467" i="267"/>
  <c r="D109" i="267"/>
  <c r="D405" i="267"/>
  <c r="D603" i="267"/>
  <c r="D125" i="267"/>
  <c r="F381" i="267"/>
  <c r="F419" i="267"/>
  <c r="F789" i="267"/>
  <c r="F38" i="267"/>
  <c r="F641" i="267"/>
  <c r="F502" i="267"/>
  <c r="F776" i="267"/>
  <c r="F110" i="267"/>
  <c r="F45" i="242"/>
  <c r="G225" i="267" s="1"/>
  <c r="B252" i="267"/>
  <c r="B253" i="267"/>
  <c r="B249" i="267"/>
  <c r="C252" i="267"/>
  <c r="D254" i="267"/>
  <c r="D253" i="267"/>
  <c r="D251" i="267"/>
  <c r="C248" i="267"/>
  <c r="C249" i="267"/>
  <c r="C253" i="267"/>
  <c r="D252" i="267"/>
  <c r="D249" i="267"/>
  <c r="B248" i="267"/>
  <c r="B254" i="267"/>
  <c r="B251" i="267"/>
  <c r="B247" i="267"/>
  <c r="D247" i="267"/>
  <c r="C254" i="267"/>
  <c r="C251" i="267"/>
  <c r="C247" i="267"/>
  <c r="D248" i="267"/>
  <c r="F9" i="222"/>
  <c r="G612" i="267" s="1"/>
  <c r="F24" i="214"/>
  <c r="G57" i="270" s="1"/>
  <c r="F57" i="270"/>
  <c r="F41" i="235"/>
  <c r="G10" i="270" s="1"/>
  <c r="F10" i="270"/>
  <c r="F43" i="235"/>
  <c r="G12" i="270" s="1"/>
  <c r="F12" i="270"/>
  <c r="F45" i="240"/>
  <c r="G25" i="272" s="1"/>
  <c r="F25" i="272"/>
  <c r="F57" i="216"/>
  <c r="G91" i="272" s="1"/>
  <c r="F91" i="272"/>
  <c r="F56" i="216"/>
  <c r="G90" i="272" s="1"/>
  <c r="F90" i="272"/>
  <c r="F47" i="214"/>
  <c r="G61" i="272" s="1"/>
  <c r="F61" i="272"/>
  <c r="F50" i="240"/>
  <c r="G30" i="272" s="1"/>
  <c r="F30" i="272"/>
  <c r="F64" i="236"/>
  <c r="G12" i="272" s="1"/>
  <c r="F12" i="272"/>
  <c r="F67" i="236"/>
  <c r="G15" i="272" s="1"/>
  <c r="F15" i="272"/>
  <c r="F7" i="240"/>
  <c r="G14" i="268" s="1"/>
  <c r="F14" i="268"/>
  <c r="F9" i="240"/>
  <c r="G16" i="268" s="1"/>
  <c r="F16" i="268"/>
  <c r="F6" i="261"/>
  <c r="F27" i="268"/>
  <c r="F74" i="216"/>
  <c r="G28" i="275" s="1"/>
  <c r="F28" i="275"/>
  <c r="F94" i="236"/>
  <c r="G11" i="275" s="1"/>
  <c r="F11" i="275"/>
  <c r="F95" i="236"/>
  <c r="G12" i="275" s="1"/>
  <c r="F12" i="275"/>
  <c r="F64" i="214"/>
  <c r="G19" i="275" s="1"/>
  <c r="H19" i="275" s="1"/>
  <c r="D43" i="275" s="1"/>
  <c r="F19" i="275"/>
  <c r="F69" i="240"/>
  <c r="G16" i="275" s="1"/>
  <c r="H16" i="275" s="1"/>
  <c r="D42" i="275" s="1"/>
  <c r="F16" i="275"/>
  <c r="F72" i="214"/>
  <c r="G44" i="274" s="1"/>
  <c r="F44" i="274"/>
  <c r="F75" i="240"/>
  <c r="G26" i="274" s="1"/>
  <c r="F26" i="274"/>
  <c r="F27" i="240"/>
  <c r="G43" i="271" s="1"/>
  <c r="F43" i="271"/>
  <c r="F15" i="216"/>
  <c r="G78" i="271" s="1"/>
  <c r="F78" i="271"/>
  <c r="F10" i="217"/>
  <c r="G93" i="271" s="1"/>
  <c r="F93" i="271"/>
  <c r="F17" i="217"/>
  <c r="G100" i="271" s="1"/>
  <c r="F100" i="271"/>
  <c r="F16" i="217"/>
  <c r="G99" i="271" s="1"/>
  <c r="F99" i="271"/>
  <c r="F7" i="217"/>
  <c r="G90" i="271" s="1"/>
  <c r="F90" i="271"/>
  <c r="F33" i="235"/>
  <c r="G13" i="271" s="1"/>
  <c r="F13" i="271"/>
  <c r="F35" i="235"/>
  <c r="G15" i="271" s="1"/>
  <c r="F15" i="271"/>
  <c r="F30" i="235"/>
  <c r="G10" i="271" s="1"/>
  <c r="F10" i="271"/>
  <c r="F12" i="217"/>
  <c r="G95" i="271" s="1"/>
  <c r="F95" i="271"/>
  <c r="F36" i="235"/>
  <c r="G16" i="271" s="1"/>
  <c r="F16" i="271"/>
  <c r="F39" i="236"/>
  <c r="G26" i="271" s="1"/>
  <c r="F26" i="271"/>
  <c r="F22" i="240"/>
  <c r="G38" i="271" s="1"/>
  <c r="F38" i="271"/>
  <c r="F28" i="235"/>
  <c r="G8" i="271" s="1"/>
  <c r="F8" i="271"/>
  <c r="F36" i="236"/>
  <c r="G23" i="271" s="1"/>
  <c r="F23" i="271"/>
  <c r="F44" i="236"/>
  <c r="G31" i="271" s="1"/>
  <c r="F31" i="271"/>
  <c r="F25" i="240"/>
  <c r="G41" i="271" s="1"/>
  <c r="F41" i="271"/>
  <c r="F42" i="236"/>
  <c r="G29" i="271" s="1"/>
  <c r="F29" i="271"/>
  <c r="F48" i="252"/>
  <c r="G38" i="45" s="1"/>
  <c r="F38" i="45"/>
  <c r="F33" i="255"/>
  <c r="F29" i="255"/>
  <c r="F35" i="255"/>
  <c r="F16" i="234"/>
  <c r="G11" i="45" s="1"/>
  <c r="F11" i="45"/>
  <c r="F13" i="234"/>
  <c r="G8" i="45" s="1"/>
  <c r="F8" i="45"/>
  <c r="F46" i="252"/>
  <c r="G36" i="45" s="1"/>
  <c r="F36" i="45"/>
  <c r="F62" i="240"/>
  <c r="G30" i="45" s="1"/>
  <c r="F30" i="45"/>
  <c r="F63" i="240"/>
  <c r="G31" i="45" s="1"/>
  <c r="F31" i="45"/>
  <c r="F55" i="214"/>
  <c r="G71" i="45" s="1"/>
  <c r="F71" i="45"/>
  <c r="F64" i="240"/>
  <c r="G32" i="45" s="1"/>
  <c r="F32" i="45"/>
  <c r="F40" i="255"/>
  <c r="F59" i="214"/>
  <c r="G75" i="45" s="1"/>
  <c r="F75" i="45"/>
  <c r="F65" i="240"/>
  <c r="G33" i="45" s="1"/>
  <c r="F33" i="45"/>
  <c r="F24" i="236"/>
  <c r="G131" i="267" s="1"/>
  <c r="E131" i="267"/>
  <c r="F13" i="264"/>
  <c r="G572" i="267" s="1"/>
  <c r="F572" i="267"/>
  <c r="F95" i="216"/>
  <c r="G65" i="274" s="1"/>
  <c r="E65" i="274"/>
  <c r="F13" i="218"/>
  <c r="G87" i="267" s="1"/>
  <c r="E87" i="267"/>
  <c r="F15" i="239"/>
  <c r="G165" i="267" s="1"/>
  <c r="E165" i="267"/>
  <c r="F12" i="203"/>
  <c r="G50" i="267" s="1"/>
  <c r="E50" i="267"/>
  <c r="F8" i="263"/>
  <c r="G557" i="267" s="1"/>
  <c r="E557" i="267"/>
  <c r="F12" i="263"/>
  <c r="G561" i="267" s="1"/>
  <c r="E561" i="267"/>
  <c r="F20" i="228"/>
  <c r="G666" i="267" s="1"/>
  <c r="E666" i="267"/>
  <c r="F11" i="264"/>
  <c r="G570" i="267" s="1"/>
  <c r="E570" i="267"/>
  <c r="F14" i="264"/>
  <c r="G573" i="267" s="1"/>
  <c r="E573" i="267"/>
  <c r="F16" i="239"/>
  <c r="G166" i="267" s="1"/>
  <c r="E166" i="267"/>
  <c r="F6" i="252"/>
  <c r="G465" i="267" s="1"/>
  <c r="E465" i="267"/>
  <c r="F11" i="235"/>
  <c r="G105" i="267" s="1"/>
  <c r="E105" i="267"/>
  <c r="F17" i="236"/>
  <c r="G124" i="267" s="1"/>
  <c r="E124" i="267"/>
  <c r="F9" i="251"/>
  <c r="G458" i="267" s="1"/>
  <c r="E458" i="267"/>
  <c r="F11" i="254"/>
  <c r="G493" i="267" s="1"/>
  <c r="E493" i="267"/>
  <c r="F10" i="215"/>
  <c r="G760" i="267" s="1"/>
  <c r="E760" i="267"/>
  <c r="F12" i="215"/>
  <c r="G762" i="267" s="1"/>
  <c r="E762" i="267"/>
  <c r="F14" i="226"/>
  <c r="G634" i="267" s="1"/>
  <c r="E634" i="267"/>
  <c r="F10" i="238"/>
  <c r="G144" i="267" s="1"/>
  <c r="E144" i="267"/>
  <c r="F33" i="264"/>
  <c r="G592" i="267" s="1"/>
  <c r="E592" i="267"/>
  <c r="F6" i="235"/>
  <c r="G100" i="267" s="1"/>
  <c r="E100" i="267"/>
  <c r="F8" i="236"/>
  <c r="G115" i="267" s="1"/>
  <c r="E115" i="267"/>
  <c r="F14" i="252"/>
  <c r="G473" i="267" s="1"/>
  <c r="E473" i="267"/>
  <c r="F10" i="254"/>
  <c r="G492" i="267" s="1"/>
  <c r="E492" i="267"/>
  <c r="F13" i="215"/>
  <c r="G763" i="267" s="1"/>
  <c r="E763" i="267"/>
  <c r="F18" i="208"/>
  <c r="G809" i="267" s="1"/>
  <c r="E809" i="267"/>
  <c r="F9" i="215"/>
  <c r="G759" i="267" s="1"/>
  <c r="E759" i="267"/>
  <c r="F12" i="228"/>
  <c r="G658" i="267" s="1"/>
  <c r="E658" i="267"/>
  <c r="F15" i="264"/>
  <c r="G574" i="267" s="1"/>
  <c r="E574" i="267"/>
  <c r="F9" i="245"/>
  <c r="G414" i="267" s="1"/>
  <c r="E414" i="267"/>
  <c r="F7" i="218"/>
  <c r="G81" i="267" s="1"/>
  <c r="E81" i="267"/>
  <c r="F6" i="247"/>
  <c r="G418" i="267" s="1"/>
  <c r="E418" i="267"/>
  <c r="F11" i="210"/>
  <c r="G60" i="267" s="1"/>
  <c r="E60" i="267"/>
  <c r="F6" i="241"/>
  <c r="G170" i="267" s="1"/>
  <c r="E170" i="267"/>
  <c r="F8" i="228"/>
  <c r="G654" i="267" s="1"/>
  <c r="E654" i="267"/>
  <c r="F8" i="265"/>
  <c r="G597" i="267" s="1"/>
  <c r="E597" i="267"/>
  <c r="F7" i="208"/>
  <c r="G798" i="267" s="1"/>
  <c r="E798" i="267"/>
  <c r="F8" i="260"/>
  <c r="G545" i="267" s="1"/>
  <c r="E545" i="267"/>
  <c r="F8" i="222"/>
  <c r="G611" i="267" s="1"/>
  <c r="E611" i="267"/>
  <c r="F11" i="226"/>
  <c r="G631" i="267" s="1"/>
  <c r="E631" i="267"/>
  <c r="F7" i="241"/>
  <c r="G171" i="267" s="1"/>
  <c r="E171" i="267"/>
  <c r="F10" i="203"/>
  <c r="G48" i="267" s="1"/>
  <c r="E48" i="267"/>
  <c r="F16" i="250"/>
  <c r="G451" i="267" s="1"/>
  <c r="E451" i="267"/>
  <c r="F6" i="263"/>
  <c r="E555" i="267"/>
  <c r="F7" i="227"/>
  <c r="G646" i="267" s="1"/>
  <c r="E646" i="267"/>
  <c r="F13" i="250"/>
  <c r="G448" i="267" s="1"/>
  <c r="E448" i="267"/>
  <c r="F20" i="226"/>
  <c r="G640" i="267" s="1"/>
  <c r="E640" i="267"/>
  <c r="F15" i="222"/>
  <c r="G618" i="267" s="1"/>
  <c r="E618" i="267"/>
  <c r="F14" i="212"/>
  <c r="G737" i="267" s="1"/>
  <c r="E737" i="267"/>
  <c r="F15" i="212"/>
  <c r="G738" i="267" s="1"/>
  <c r="E738" i="267"/>
  <c r="F9" i="248"/>
  <c r="G435" i="267" s="1"/>
  <c r="E435" i="267"/>
  <c r="F12" i="247"/>
  <c r="G424" i="267" s="1"/>
  <c r="E424" i="267"/>
  <c r="F12" i="206"/>
  <c r="G774" i="267" s="1"/>
  <c r="E774" i="267"/>
  <c r="F6" i="238"/>
  <c r="G140" i="267" s="1"/>
  <c r="E140" i="267"/>
  <c r="F15" i="238"/>
  <c r="G149" i="267" s="1"/>
  <c r="E149" i="267"/>
  <c r="F17" i="238"/>
  <c r="G151" i="267" s="1"/>
  <c r="E151" i="267"/>
  <c r="F11" i="258"/>
  <c r="G514" i="267" s="1"/>
  <c r="E514" i="267"/>
  <c r="F23" i="258"/>
  <c r="G526" i="267" s="1"/>
  <c r="E526" i="267"/>
  <c r="F9" i="212"/>
  <c r="G732" i="267" s="1"/>
  <c r="E732" i="267"/>
  <c r="F12" i="235"/>
  <c r="G106" i="267" s="1"/>
  <c r="E106" i="267"/>
  <c r="F12" i="252"/>
  <c r="G471" i="267" s="1"/>
  <c r="E471" i="267"/>
  <c r="F11" i="250"/>
  <c r="G446" i="267" s="1"/>
  <c r="E446" i="267"/>
  <c r="F9" i="211"/>
  <c r="G721" i="267" s="1"/>
  <c r="E721" i="267"/>
  <c r="F6" i="210"/>
  <c r="G55" i="267" s="1"/>
  <c r="E55" i="267"/>
  <c r="F6" i="234"/>
  <c r="G93" i="267" s="1"/>
  <c r="E93" i="267"/>
  <c r="F9" i="206"/>
  <c r="G771" i="267" s="1"/>
  <c r="E771" i="267"/>
  <c r="F8" i="264"/>
  <c r="G567" i="267" s="1"/>
  <c r="E567" i="267"/>
  <c r="F8" i="251"/>
  <c r="G457" i="267" s="1"/>
  <c r="E457" i="267"/>
  <c r="F10" i="234"/>
  <c r="G97" i="267" s="1"/>
  <c r="E97" i="267"/>
  <c r="F11" i="260"/>
  <c r="G548" i="267" s="1"/>
  <c r="E548" i="267"/>
  <c r="F15" i="208"/>
  <c r="G806" i="267" s="1"/>
  <c r="E806" i="267"/>
  <c r="F9" i="203"/>
  <c r="G47" i="267" s="1"/>
  <c r="E47" i="267"/>
  <c r="F13" i="206"/>
  <c r="G775" i="267" s="1"/>
  <c r="E775" i="267"/>
  <c r="F17" i="228"/>
  <c r="G663" i="267" s="1"/>
  <c r="E663" i="267"/>
  <c r="F24" i="264"/>
  <c r="G583" i="267" s="1"/>
  <c r="E583" i="267"/>
  <c r="F12" i="264"/>
  <c r="G571" i="267" s="1"/>
  <c r="E571" i="267"/>
  <c r="F9" i="238"/>
  <c r="G143" i="267" s="1"/>
  <c r="E143" i="267"/>
  <c r="F10" i="258"/>
  <c r="G513" i="267" s="1"/>
  <c r="E513" i="267"/>
  <c r="F25" i="258"/>
  <c r="G528" i="267" s="1"/>
  <c r="E528" i="267"/>
  <c r="F8" i="212"/>
  <c r="G731" i="267" s="1"/>
  <c r="E731" i="267"/>
  <c r="F8" i="235"/>
  <c r="G102" i="267" s="1"/>
  <c r="E102" i="267"/>
  <c r="F10" i="236"/>
  <c r="G117" i="267" s="1"/>
  <c r="E117" i="267"/>
  <c r="F19" i="212"/>
  <c r="G742" i="267" s="1"/>
  <c r="E742" i="267"/>
  <c r="F7" i="237"/>
  <c r="G136" i="267" s="1"/>
  <c r="E136" i="267"/>
  <c r="F57" i="236"/>
  <c r="G30" i="270" s="1"/>
  <c r="F30" i="270"/>
  <c r="F34" i="240"/>
  <c r="G34" i="270" s="1"/>
  <c r="F34" i="270"/>
  <c r="F31" i="214"/>
  <c r="G64" i="270" s="1"/>
  <c r="F64" i="270"/>
  <c r="F14" i="255"/>
  <c r="G53" i="270" s="1"/>
  <c r="F53" i="270"/>
  <c r="F36" i="240"/>
  <c r="G36" i="270" s="1"/>
  <c r="F36" i="270"/>
  <c r="F48" i="235"/>
  <c r="G17" i="270" s="1"/>
  <c r="F17" i="270"/>
  <c r="F38" i="240"/>
  <c r="G38" i="270" s="1"/>
  <c r="F38" i="270"/>
  <c r="F46" i="235"/>
  <c r="G15" i="270" s="1"/>
  <c r="F15" i="270"/>
  <c r="F45" i="235"/>
  <c r="G14" i="270" s="1"/>
  <c r="F14" i="270"/>
  <c r="F54" i="236"/>
  <c r="G27" i="270" s="1"/>
  <c r="F27" i="270"/>
  <c r="F30" i="214"/>
  <c r="G63" i="270" s="1"/>
  <c r="F63" i="270"/>
  <c r="F41" i="240"/>
  <c r="G41" i="270" s="1"/>
  <c r="F41" i="270"/>
  <c r="F66" i="236"/>
  <c r="G14" i="272" s="1"/>
  <c r="F14" i="272"/>
  <c r="F47" i="216"/>
  <c r="G81" i="272" s="1"/>
  <c r="F81" i="272"/>
  <c r="F44" i="240"/>
  <c r="G24" i="272" s="1"/>
  <c r="F24" i="272"/>
  <c r="F46" i="214"/>
  <c r="G60" i="272" s="1"/>
  <c r="F60" i="272"/>
  <c r="F43" i="216"/>
  <c r="G77" i="272" s="1"/>
  <c r="F77" i="272"/>
  <c r="F48" i="240"/>
  <c r="G28" i="272" s="1"/>
  <c r="F28" i="272"/>
  <c r="F44" i="214"/>
  <c r="G58" i="272" s="1"/>
  <c r="F58" i="272"/>
  <c r="F55" i="240"/>
  <c r="G35" i="272" s="1"/>
  <c r="F35" i="272"/>
  <c r="F57" i="240"/>
  <c r="G37" i="272" s="1"/>
  <c r="F37" i="272"/>
  <c r="F14" i="240"/>
  <c r="G19" i="266" s="1"/>
  <c r="F19" i="266"/>
  <c r="F13" i="240"/>
  <c r="G18" i="266" s="1"/>
  <c r="F18" i="266"/>
  <c r="F13" i="225"/>
  <c r="G44" i="266" s="1"/>
  <c r="F44" i="266"/>
  <c r="F14" i="225"/>
  <c r="G45" i="266" s="1"/>
  <c r="F45" i="266"/>
  <c r="F7" i="225"/>
  <c r="G38" i="266" s="1"/>
  <c r="F38" i="266"/>
  <c r="F11" i="225"/>
  <c r="G42" i="266" s="1"/>
  <c r="F42" i="266"/>
  <c r="F17" i="225"/>
  <c r="G48" i="266" s="1"/>
  <c r="F48" i="266"/>
  <c r="F19" i="225"/>
  <c r="G50" i="266" s="1"/>
  <c r="F50" i="266"/>
  <c r="F21" i="225"/>
  <c r="G52" i="266" s="1"/>
  <c r="F52" i="266"/>
  <c r="F25" i="225"/>
  <c r="G56" i="266" s="1"/>
  <c r="F56" i="266"/>
  <c r="F15" i="240"/>
  <c r="G20" i="266" s="1"/>
  <c r="F20" i="266"/>
  <c r="F104" i="236"/>
  <c r="G14" i="274" s="1"/>
  <c r="E14" i="274"/>
  <c r="F105" i="236"/>
  <c r="G15" i="274" s="1"/>
  <c r="F15" i="274"/>
  <c r="F44" i="255"/>
  <c r="G30" i="274" s="1"/>
  <c r="F30" i="274"/>
  <c r="F101" i="236"/>
  <c r="G11" i="274" s="1"/>
  <c r="F11" i="274"/>
  <c r="F6" i="214"/>
  <c r="G56" i="271" s="1"/>
  <c r="F56" i="271"/>
  <c r="F32" i="236"/>
  <c r="G19" i="271" s="1"/>
  <c r="F19" i="271"/>
  <c r="F21" i="240"/>
  <c r="G37" i="271" s="1"/>
  <c r="F37" i="271"/>
  <c r="F16" i="214"/>
  <c r="G66" i="271" s="1"/>
  <c r="F66" i="271"/>
  <c r="F32" i="255"/>
  <c r="F34" i="255"/>
  <c r="F9" i="257"/>
  <c r="G66" i="45" s="1"/>
  <c r="F66" i="45"/>
  <c r="F6" i="257"/>
  <c r="G63" i="45" s="1"/>
  <c r="F63" i="45"/>
  <c r="F7" i="207"/>
  <c r="G785" i="267" s="1"/>
  <c r="E785" i="267"/>
  <c r="F6" i="215"/>
  <c r="G756" i="267" s="1"/>
  <c r="E756" i="267"/>
  <c r="F7" i="206"/>
  <c r="G769" i="267" s="1"/>
  <c r="E769" i="267"/>
  <c r="F11" i="248"/>
  <c r="G437" i="267" s="1"/>
  <c r="E437" i="267"/>
  <c r="F8" i="205"/>
  <c r="G40" i="267" s="1"/>
  <c r="E40" i="267"/>
  <c r="F15" i="247"/>
  <c r="G427" i="267" s="1"/>
  <c r="E427" i="267"/>
  <c r="F18" i="264"/>
  <c r="G577" i="267" s="1"/>
  <c r="E577" i="267"/>
  <c r="F8" i="238"/>
  <c r="G142" i="267" s="1"/>
  <c r="E142" i="267"/>
  <c r="F9" i="208"/>
  <c r="G800" i="267" s="1"/>
  <c r="E800" i="267"/>
  <c r="F10" i="212"/>
  <c r="G733" i="267" s="1"/>
  <c r="E733" i="267"/>
  <c r="F15" i="235"/>
  <c r="G109" i="267" s="1"/>
  <c r="E109" i="267"/>
  <c r="F23" i="236"/>
  <c r="G130" i="267" s="1"/>
  <c r="E130" i="267"/>
  <c r="F6" i="231"/>
  <c r="E684" i="267"/>
  <c r="F6" i="260"/>
  <c r="G543" i="267" s="1"/>
  <c r="E543" i="267"/>
  <c r="F8" i="239"/>
  <c r="G158" i="267" s="1"/>
  <c r="E158" i="267"/>
  <c r="F14" i="239"/>
  <c r="G164" i="267" s="1"/>
  <c r="E164" i="267"/>
  <c r="F6" i="258"/>
  <c r="E509" i="267"/>
  <c r="F21" i="258"/>
  <c r="G524" i="267" s="1"/>
  <c r="E524" i="267"/>
  <c r="F10" i="252"/>
  <c r="G469" i="267" s="1"/>
  <c r="E469" i="267"/>
  <c r="F9" i="236"/>
  <c r="G116" i="267" s="1"/>
  <c r="E116" i="267"/>
  <c r="F51" i="236"/>
  <c r="G24" i="270" s="1"/>
  <c r="E24" i="270"/>
  <c r="F15" i="226"/>
  <c r="G635" i="267" s="1"/>
  <c r="E635" i="267"/>
  <c r="F19" i="208"/>
  <c r="G810" i="267" s="1"/>
  <c r="E810" i="267"/>
  <c r="F6" i="251"/>
  <c r="G455" i="267" s="1"/>
  <c r="E455" i="267"/>
  <c r="F7" i="222"/>
  <c r="G610" i="267" s="1"/>
  <c r="E610" i="267"/>
  <c r="F11" i="228"/>
  <c r="G657" i="267" s="1"/>
  <c r="E657" i="267"/>
  <c r="F8" i="215"/>
  <c r="G758" i="267" s="1"/>
  <c r="E758" i="267"/>
  <c r="F18" i="226"/>
  <c r="G638" i="267" s="1"/>
  <c r="E638" i="267"/>
  <c r="F19" i="226"/>
  <c r="G639" i="267" s="1"/>
  <c r="E639" i="267"/>
  <c r="F16" i="222"/>
  <c r="G619" i="267" s="1"/>
  <c r="E619" i="267"/>
  <c r="F7" i="265"/>
  <c r="G596" i="267" s="1"/>
  <c r="E596" i="267"/>
  <c r="F6" i="207"/>
  <c r="G784" i="267" s="1"/>
  <c r="E784" i="267"/>
  <c r="F6" i="250"/>
  <c r="G441" i="267" s="1"/>
  <c r="E441" i="267"/>
  <c r="F7" i="211"/>
  <c r="G719" i="267" s="1"/>
  <c r="E719" i="267"/>
  <c r="F16" i="218"/>
  <c r="G90" i="267" s="1"/>
  <c r="E90" i="267"/>
  <c r="F10" i="264"/>
  <c r="G569" i="267" s="1"/>
  <c r="E569" i="267"/>
  <c r="F6" i="208"/>
  <c r="G797" i="267" s="1"/>
  <c r="E797" i="267"/>
  <c r="F11" i="259"/>
  <c r="F13" i="210"/>
  <c r="G62" i="267" s="1"/>
  <c r="E62" i="267"/>
  <c r="F10" i="247"/>
  <c r="G422" i="267" s="1"/>
  <c r="E422" i="267"/>
  <c r="F6" i="237"/>
  <c r="E135" i="267"/>
  <c r="F9" i="226"/>
  <c r="G629" i="267" s="1"/>
  <c r="E629" i="267"/>
  <c r="F13" i="226"/>
  <c r="G633" i="267" s="1"/>
  <c r="E633" i="267"/>
  <c r="F8" i="248"/>
  <c r="G434" i="267" s="1"/>
  <c r="E434" i="267"/>
  <c r="F6" i="206"/>
  <c r="G768" i="267" s="1"/>
  <c r="E768" i="267"/>
  <c r="F8" i="206"/>
  <c r="G770" i="267" s="1"/>
  <c r="E770" i="267"/>
  <c r="F12" i="213"/>
  <c r="G752" i="267" s="1"/>
  <c r="E752" i="267"/>
  <c r="F10" i="250"/>
  <c r="G445" i="267" s="1"/>
  <c r="E445" i="267"/>
  <c r="F13" i="241"/>
  <c r="G177" i="267" s="1"/>
  <c r="E177" i="267"/>
  <c r="F8" i="207"/>
  <c r="G786" i="267" s="1"/>
  <c r="E786" i="267"/>
  <c r="F8" i="245"/>
  <c r="G413" i="267" s="1"/>
  <c r="E413" i="267"/>
  <c r="F14" i="254"/>
  <c r="G496" i="267" s="1"/>
  <c r="E496" i="267"/>
  <c r="F13" i="222"/>
  <c r="G616" i="267" s="1"/>
  <c r="E616" i="267"/>
  <c r="F21" i="208"/>
  <c r="G812" i="267" s="1"/>
  <c r="E812" i="267"/>
  <c r="F13" i="258"/>
  <c r="G516" i="267" s="1"/>
  <c r="E516" i="267"/>
  <c r="F10" i="231"/>
  <c r="G688" i="267" s="1"/>
  <c r="E688" i="267"/>
  <c r="F11" i="247"/>
  <c r="G423" i="267" s="1"/>
  <c r="E423" i="267"/>
  <c r="F6" i="265"/>
  <c r="G595" i="267" s="1"/>
  <c r="E595" i="267"/>
  <c r="F7" i="234"/>
  <c r="G94" i="267" s="1"/>
  <c r="E94" i="267"/>
  <c r="F6" i="212"/>
  <c r="G729" i="267" s="1"/>
  <c r="E729" i="267"/>
  <c r="F10" i="228"/>
  <c r="G656" i="267" s="1"/>
  <c r="E656" i="267"/>
  <c r="F16" i="264"/>
  <c r="G575" i="267" s="1"/>
  <c r="E575" i="267"/>
  <c r="F14" i="260"/>
  <c r="G551" i="267" s="1"/>
  <c r="E551" i="267"/>
  <c r="F18" i="210"/>
  <c r="G67" i="267" s="1"/>
  <c r="E67" i="267"/>
  <c r="F74" i="214"/>
  <c r="G46" i="274" s="1"/>
  <c r="E46" i="274"/>
  <c r="F6" i="203"/>
  <c r="G44" i="267" s="1"/>
  <c r="E44" i="267"/>
  <c r="F11" i="215"/>
  <c r="G761" i="267" s="1"/>
  <c r="E761" i="267"/>
  <c r="F26" i="264"/>
  <c r="G585" i="267" s="1"/>
  <c r="E585" i="267"/>
  <c r="F16" i="241"/>
  <c r="G180" i="267" s="1"/>
  <c r="E180" i="267"/>
  <c r="F11" i="208"/>
  <c r="G802" i="267" s="1"/>
  <c r="E802" i="267"/>
  <c r="F6" i="213"/>
  <c r="G746" i="267" s="1"/>
  <c r="E746" i="267"/>
  <c r="F14" i="210"/>
  <c r="G63" i="267" s="1"/>
  <c r="E63" i="267"/>
  <c r="F22" i="258"/>
  <c r="G525" i="267" s="1"/>
  <c r="E525" i="267"/>
  <c r="F13" i="238"/>
  <c r="G147" i="267" s="1"/>
  <c r="E147" i="267"/>
  <c r="F12" i="258"/>
  <c r="G515" i="267" s="1"/>
  <c r="E515" i="267"/>
  <c r="F26" i="258"/>
  <c r="G529" i="267" s="1"/>
  <c r="E529" i="267"/>
  <c r="F6" i="236"/>
  <c r="G113" i="267" s="1"/>
  <c r="E113" i="267"/>
  <c r="F14" i="236"/>
  <c r="G121" i="267" s="1"/>
  <c r="E121" i="267"/>
  <c r="F19" i="236"/>
  <c r="G126" i="267" s="1"/>
  <c r="E126" i="267"/>
  <c r="F8" i="219"/>
  <c r="G604" i="267" s="1"/>
  <c r="E604" i="267"/>
  <c r="F25" i="216"/>
  <c r="G72" i="270" s="1"/>
  <c r="F72" i="270"/>
  <c r="F33" i="240"/>
  <c r="G33" i="270" s="1"/>
  <c r="F33" i="270"/>
  <c r="F40" i="235"/>
  <c r="F9" i="270"/>
  <c r="F13" i="255"/>
  <c r="G52" i="270" s="1"/>
  <c r="F52" i="270"/>
  <c r="F29" i="214"/>
  <c r="G62" i="270" s="1"/>
  <c r="F62" i="270"/>
  <c r="F28" i="216"/>
  <c r="G75" i="270" s="1"/>
  <c r="F75" i="270"/>
  <c r="F42" i="235"/>
  <c r="G11" i="270" s="1"/>
  <c r="F11" i="270"/>
  <c r="F44" i="235"/>
  <c r="G13" i="270" s="1"/>
  <c r="F13" i="270"/>
  <c r="F15" i="255"/>
  <c r="G54" i="270" s="1"/>
  <c r="F54" i="270"/>
  <c r="F20" i="255"/>
  <c r="G48" i="272" s="1"/>
  <c r="F48" i="272"/>
  <c r="F70" i="236"/>
  <c r="G18" i="272" s="1"/>
  <c r="F18" i="272"/>
  <c r="F63" i="236"/>
  <c r="G11" i="272" s="1"/>
  <c r="F11" i="272"/>
  <c r="F62" i="236"/>
  <c r="G10" i="272" s="1"/>
  <c r="F10" i="272"/>
  <c r="F6" i="240"/>
  <c r="G13" i="268" s="1"/>
  <c r="F13" i="268"/>
  <c r="F19" i="252"/>
  <c r="G21" i="268" s="1"/>
  <c r="F21" i="268"/>
  <c r="F8" i="240"/>
  <c r="G15" i="268" s="1"/>
  <c r="F15" i="268"/>
  <c r="F91" i="236"/>
  <c r="G8" i="275" s="1"/>
  <c r="F8" i="275"/>
  <c r="F93" i="236"/>
  <c r="G10" i="275" s="1"/>
  <c r="F10" i="275"/>
  <c r="F108" i="236"/>
  <c r="G18" i="274" s="1"/>
  <c r="F18" i="274"/>
  <c r="F109" i="236"/>
  <c r="G19" i="274" s="1"/>
  <c r="F19" i="274"/>
  <c r="F98" i="236"/>
  <c r="G8" i="274" s="1"/>
  <c r="F8" i="274"/>
  <c r="F18" i="240"/>
  <c r="G34" i="271" s="1"/>
  <c r="F34" i="271"/>
  <c r="F12" i="216"/>
  <c r="G75" i="271" s="1"/>
  <c r="F75" i="271"/>
  <c r="F16" i="216"/>
  <c r="G79" i="271" s="1"/>
  <c r="F79" i="271"/>
  <c r="F33" i="236"/>
  <c r="G20" i="271" s="1"/>
  <c r="F20" i="271"/>
  <c r="F15" i="214"/>
  <c r="G65" i="271" s="1"/>
  <c r="F65" i="271"/>
  <c r="F41" i="236"/>
  <c r="G28" i="271" s="1"/>
  <c r="F28" i="271"/>
  <c r="F26" i="240"/>
  <c r="G42" i="271" s="1"/>
  <c r="F42" i="271"/>
  <c r="F38" i="236"/>
  <c r="G25" i="271" s="1"/>
  <c r="F25" i="271"/>
  <c r="F19" i="214"/>
  <c r="G69" i="271" s="1"/>
  <c r="F69" i="271"/>
  <c r="F20" i="240"/>
  <c r="G36" i="271" s="1"/>
  <c r="F36" i="271"/>
  <c r="F24" i="240"/>
  <c r="G40" i="271" s="1"/>
  <c r="F40" i="271"/>
  <c r="F51" i="252"/>
  <c r="G41" i="45" s="1"/>
  <c r="F41" i="45"/>
  <c r="F24" i="255"/>
  <c r="F31" i="255"/>
  <c r="F14" i="234"/>
  <c r="G9" i="45" s="1"/>
  <c r="F9" i="45"/>
  <c r="F15" i="234"/>
  <c r="G10" i="45" s="1"/>
  <c r="F10" i="45"/>
  <c r="F57" i="214"/>
  <c r="G73" i="45" s="1"/>
  <c r="F73" i="45"/>
  <c r="F12" i="236"/>
  <c r="G119" i="267" s="1"/>
  <c r="E119" i="267"/>
  <c r="F8" i="241"/>
  <c r="G172" i="267" s="1"/>
  <c r="F172" i="267"/>
  <c r="F16" i="210"/>
  <c r="G65" i="267" s="1"/>
  <c r="E65" i="267"/>
  <c r="F7" i="228"/>
  <c r="G653" i="267" s="1"/>
  <c r="E653" i="267"/>
  <c r="F8" i="203"/>
  <c r="G46" i="267" s="1"/>
  <c r="E46" i="267"/>
  <c r="F9" i="227"/>
  <c r="G648" i="267" s="1"/>
  <c r="E648" i="267"/>
  <c r="F13" i="212"/>
  <c r="G736" i="267" s="1"/>
  <c r="E736" i="267"/>
  <c r="F14" i="215"/>
  <c r="G764" i="267" s="1"/>
  <c r="E764" i="267"/>
  <c r="F16" i="247"/>
  <c r="G428" i="267" s="1"/>
  <c r="E428" i="267"/>
  <c r="F12" i="211"/>
  <c r="G724" i="267" s="1"/>
  <c r="E724" i="267"/>
  <c r="F12" i="238"/>
  <c r="G146" i="267" s="1"/>
  <c r="E146" i="267"/>
  <c r="F14" i="258"/>
  <c r="G517" i="267" s="1"/>
  <c r="E517" i="267"/>
  <c r="F7" i="236"/>
  <c r="G114" i="267" s="1"/>
  <c r="E114" i="267"/>
  <c r="F11" i="236"/>
  <c r="G118" i="267" s="1"/>
  <c r="E118" i="267"/>
  <c r="F18" i="212"/>
  <c r="G741" i="267" s="1"/>
  <c r="E741" i="267"/>
  <c r="F7" i="219"/>
  <c r="G603" i="267" s="1"/>
  <c r="E603" i="267"/>
  <c r="F11" i="217"/>
  <c r="G94" i="271" s="1"/>
  <c r="E94" i="271"/>
  <c r="F8" i="250"/>
  <c r="G443" i="267" s="1"/>
  <c r="E443" i="267"/>
  <c r="F10" i="222"/>
  <c r="G613" i="267" s="1"/>
  <c r="E613" i="267"/>
  <c r="F8" i="208"/>
  <c r="G799" i="267" s="1"/>
  <c r="E799" i="267"/>
  <c r="F13" i="211"/>
  <c r="G725" i="267" s="1"/>
  <c r="E725" i="267"/>
  <c r="F14" i="238"/>
  <c r="G148" i="267" s="1"/>
  <c r="E148" i="267"/>
  <c r="F28" i="264"/>
  <c r="G587" i="267" s="1"/>
  <c r="E587" i="267"/>
  <c r="F9" i="258"/>
  <c r="G512" i="267" s="1"/>
  <c r="E512" i="267"/>
  <c r="F12" i="251"/>
  <c r="G461" i="267" s="1"/>
  <c r="E461" i="267"/>
  <c r="F7" i="212"/>
  <c r="G730" i="267" s="1"/>
  <c r="E730" i="267"/>
  <c r="F10" i="235"/>
  <c r="G104" i="267" s="1"/>
  <c r="E104" i="267"/>
  <c r="F13" i="236"/>
  <c r="G120" i="267" s="1"/>
  <c r="E120" i="267"/>
  <c r="F17" i="212"/>
  <c r="G740" i="267" s="1"/>
  <c r="E740" i="267"/>
  <c r="F7" i="231"/>
  <c r="G685" i="267" s="1"/>
  <c r="E685" i="267"/>
  <c r="F12" i="239"/>
  <c r="G162" i="267" s="1"/>
  <c r="E162" i="267"/>
  <c r="F39" i="235"/>
  <c r="G8" i="270" s="1"/>
  <c r="E8" i="270"/>
  <c r="F17" i="208"/>
  <c r="G808" i="267" s="1"/>
  <c r="E808" i="267"/>
  <c r="F12" i="250"/>
  <c r="G447" i="267" s="1"/>
  <c r="E447" i="267"/>
  <c r="F14" i="241"/>
  <c r="G178" i="267" s="1"/>
  <c r="E178" i="267"/>
  <c r="F12" i="259"/>
  <c r="G539" i="267" s="1"/>
  <c r="E539" i="267"/>
  <c r="F16" i="228"/>
  <c r="G662" i="267" s="1"/>
  <c r="E662" i="267"/>
  <c r="F8" i="218"/>
  <c r="G82" i="267" s="1"/>
  <c r="E82" i="267"/>
  <c r="F10" i="210"/>
  <c r="G59" i="267" s="1"/>
  <c r="E59" i="267"/>
  <c r="F6" i="254"/>
  <c r="G488" i="267" s="1"/>
  <c r="E488" i="267"/>
  <c r="F9" i="259"/>
  <c r="F9" i="265"/>
  <c r="G598" i="267" s="1"/>
  <c r="E598" i="267"/>
  <c r="F9" i="247"/>
  <c r="G421" i="267" s="1"/>
  <c r="E421" i="267"/>
  <c r="F10" i="265"/>
  <c r="G599" i="267" s="1"/>
  <c r="E599" i="267"/>
  <c r="F6" i="248"/>
  <c r="G432" i="267" s="1"/>
  <c r="E432" i="267"/>
  <c r="F10" i="206"/>
  <c r="G772" i="267" s="1"/>
  <c r="E772" i="267"/>
  <c r="F10" i="260"/>
  <c r="G547" i="267" s="1"/>
  <c r="E547" i="267"/>
  <c r="F10" i="226"/>
  <c r="G630" i="267" s="1"/>
  <c r="E630" i="267"/>
  <c r="F10" i="239"/>
  <c r="G160" i="267" s="1"/>
  <c r="E160" i="267"/>
  <c r="F11" i="222"/>
  <c r="G614" i="267" s="1"/>
  <c r="E614" i="267"/>
  <c r="F23" i="210"/>
  <c r="G72" i="267" s="1"/>
  <c r="E72" i="267"/>
  <c r="F7" i="203"/>
  <c r="G45" i="267" s="1"/>
  <c r="E45" i="267"/>
  <c r="F15" i="206"/>
  <c r="G777" i="267" s="1"/>
  <c r="E777" i="267"/>
  <c r="F27" i="264"/>
  <c r="G586" i="267" s="1"/>
  <c r="E586" i="267"/>
  <c r="F6" i="227"/>
  <c r="E645" i="267"/>
  <c r="F10" i="211"/>
  <c r="G722" i="267" s="1"/>
  <c r="E722" i="267"/>
  <c r="F18" i="228"/>
  <c r="G664" i="267" s="1"/>
  <c r="E664" i="267"/>
  <c r="F16" i="206"/>
  <c r="G778" i="267" s="1"/>
  <c r="E778" i="267"/>
  <c r="F11" i="238"/>
  <c r="G145" i="267" s="1"/>
  <c r="E145" i="267"/>
  <c r="F23" i="264"/>
  <c r="G582" i="267" s="1"/>
  <c r="E582" i="267"/>
  <c r="F16" i="258"/>
  <c r="G519" i="267" s="1"/>
  <c r="E519" i="267"/>
  <c r="F11" i="252"/>
  <c r="G470" i="267" s="1"/>
  <c r="E470" i="267"/>
  <c r="F15" i="252"/>
  <c r="G474" i="267" s="1"/>
  <c r="E474" i="267"/>
  <c r="F11" i="231"/>
  <c r="G689" i="267" s="1"/>
  <c r="E689" i="267"/>
  <c r="F9" i="254"/>
  <c r="G491" i="267" s="1"/>
  <c r="E491" i="267"/>
  <c r="F6" i="264"/>
  <c r="G565" i="267" s="1"/>
  <c r="E565" i="267"/>
  <c r="F10" i="241"/>
  <c r="G174" i="267" s="1"/>
  <c r="F7" i="264"/>
  <c r="G566" i="267" s="1"/>
  <c r="E566" i="267"/>
  <c r="F7" i="263"/>
  <c r="G556" i="267" s="1"/>
  <c r="E556" i="267"/>
  <c r="F12" i="260"/>
  <c r="G549" i="267" s="1"/>
  <c r="E549" i="267"/>
  <c r="F19" i="228"/>
  <c r="G665" i="267" s="1"/>
  <c r="E665" i="267"/>
  <c r="F16" i="208"/>
  <c r="G807" i="267" s="1"/>
  <c r="E807" i="267"/>
  <c r="F7" i="250"/>
  <c r="G442" i="267" s="1"/>
  <c r="E442" i="267"/>
  <c r="F6" i="223"/>
  <c r="E622" i="267"/>
  <c r="F8" i="227"/>
  <c r="G647" i="267" s="1"/>
  <c r="E647" i="267"/>
  <c r="F8" i="254"/>
  <c r="G490" i="267" s="1"/>
  <c r="E490" i="267"/>
  <c r="F18" i="241"/>
  <c r="G182" i="267" s="1"/>
  <c r="E182" i="267"/>
  <c r="F9" i="260"/>
  <c r="G546" i="267" s="1"/>
  <c r="E546" i="267"/>
  <c r="F15" i="258"/>
  <c r="G518" i="267" s="1"/>
  <c r="E518" i="267"/>
  <c r="F14" i="235"/>
  <c r="G108" i="267" s="1"/>
  <c r="E108" i="267"/>
  <c r="F20" i="236"/>
  <c r="G127" i="267" s="1"/>
  <c r="E127" i="267"/>
  <c r="F12" i="254"/>
  <c r="G494" i="267" s="1"/>
  <c r="E494" i="267"/>
  <c r="F48" i="236"/>
  <c r="G21" i="270" s="1"/>
  <c r="F21" i="270"/>
  <c r="F34" i="252"/>
  <c r="G46" i="270" s="1"/>
  <c r="F46" i="270"/>
  <c r="F26" i="214"/>
  <c r="G59" i="270" s="1"/>
  <c r="F59" i="270"/>
  <c r="F12" i="255"/>
  <c r="G51" i="270" s="1"/>
  <c r="F51" i="270"/>
  <c r="F35" i="240"/>
  <c r="G35" i="270" s="1"/>
  <c r="F35" i="270"/>
  <c r="F33" i="214"/>
  <c r="G66" i="270" s="1"/>
  <c r="F66" i="270"/>
  <c r="F56" i="236"/>
  <c r="G29" i="270" s="1"/>
  <c r="F29" i="270"/>
  <c r="F37" i="240"/>
  <c r="G37" i="270" s="1"/>
  <c r="F37" i="270"/>
  <c r="F35" i="214"/>
  <c r="G68" i="270" s="1"/>
  <c r="F68" i="270"/>
  <c r="F34" i="214"/>
  <c r="G67" i="270" s="1"/>
  <c r="F67" i="270"/>
  <c r="F47" i="236"/>
  <c r="G20" i="270" s="1"/>
  <c r="F20" i="270"/>
  <c r="F39" i="240"/>
  <c r="G39" i="270" s="1"/>
  <c r="F39" i="270"/>
  <c r="F40" i="240"/>
  <c r="G40" i="270" s="1"/>
  <c r="F40" i="270"/>
  <c r="F68" i="236"/>
  <c r="G16" i="272" s="1"/>
  <c r="F16" i="272"/>
  <c r="F58" i="216"/>
  <c r="G92" i="272" s="1"/>
  <c r="F92" i="272"/>
  <c r="F40" i="216"/>
  <c r="G74" i="272" s="1"/>
  <c r="F74" i="272"/>
  <c r="F52" i="216"/>
  <c r="G86" i="272" s="1"/>
  <c r="F86" i="272"/>
  <c r="F60" i="236"/>
  <c r="G8" i="272" s="1"/>
  <c r="F8" i="272"/>
  <c r="F38" i="252"/>
  <c r="G42" i="272" s="1"/>
  <c r="F42" i="272"/>
  <c r="F19" i="255"/>
  <c r="G47" i="272" s="1"/>
  <c r="F47" i="272"/>
  <c r="F51" i="240"/>
  <c r="G31" i="272" s="1"/>
  <c r="F31" i="272"/>
  <c r="F69" i="236"/>
  <c r="G17" i="272" s="1"/>
  <c r="F17" i="272"/>
  <c r="F54" i="240"/>
  <c r="G34" i="272" s="1"/>
  <c r="F34" i="272"/>
  <c r="F56" i="240"/>
  <c r="G36" i="272" s="1"/>
  <c r="F36" i="272"/>
  <c r="F50" i="214"/>
  <c r="F6" i="246"/>
  <c r="F24" i="266"/>
  <c r="F27" i="252"/>
  <c r="G32" i="266" s="1"/>
  <c r="F32" i="266"/>
  <c r="F7" i="246"/>
  <c r="G25" i="266" s="1"/>
  <c r="F25" i="266"/>
  <c r="F12" i="225"/>
  <c r="G43" i="266" s="1"/>
  <c r="F43" i="266"/>
  <c r="F8" i="225"/>
  <c r="G39" i="266" s="1"/>
  <c r="F39" i="266"/>
  <c r="F18" i="225"/>
  <c r="G49" i="266" s="1"/>
  <c r="F49" i="266"/>
  <c r="F22" i="225"/>
  <c r="G53" i="266" s="1"/>
  <c r="F53" i="266"/>
  <c r="F24" i="225"/>
  <c r="G55" i="266" s="1"/>
  <c r="F55" i="266"/>
  <c r="F26" i="252"/>
  <c r="G31" i="266" s="1"/>
  <c r="F31" i="266"/>
  <c r="F15" i="257"/>
  <c r="G35" i="274" s="1"/>
  <c r="H35" i="274" s="1"/>
  <c r="D85" i="274" s="1"/>
  <c r="F35" i="274"/>
  <c r="F87" i="216"/>
  <c r="G57" i="274" s="1"/>
  <c r="F57" i="274"/>
  <c r="F82" i="216"/>
  <c r="G52" i="274" s="1"/>
  <c r="F52" i="274"/>
  <c r="F83" i="216"/>
  <c r="G53" i="274" s="1"/>
  <c r="F53" i="274"/>
  <c r="F102" i="236"/>
  <c r="G12" i="274" s="1"/>
  <c r="F12" i="274"/>
  <c r="F110" i="236"/>
  <c r="G20" i="274" s="1"/>
  <c r="F20" i="274"/>
  <c r="F20" i="214"/>
  <c r="G70" i="271" s="1"/>
  <c r="F70" i="271"/>
  <c r="F7" i="255"/>
  <c r="G51" i="271" s="1"/>
  <c r="F51" i="271"/>
  <c r="F35" i="236"/>
  <c r="G22" i="271" s="1"/>
  <c r="F22" i="271"/>
  <c r="F30" i="240"/>
  <c r="G46" i="271" s="1"/>
  <c r="F46" i="271"/>
  <c r="F51" i="235"/>
  <c r="G16" i="45" s="1"/>
  <c r="H16" i="45" s="1"/>
  <c r="D94" i="45" s="1"/>
  <c r="F16" i="45"/>
  <c r="F7" i="257"/>
  <c r="G64" i="45" s="1"/>
  <c r="F64" i="45"/>
  <c r="F14" i="203"/>
  <c r="G52" i="267" s="1"/>
  <c r="F52" i="267"/>
  <c r="F10" i="251"/>
  <c r="G459" i="267" s="1"/>
  <c r="F459" i="267"/>
  <c r="F69" i="216"/>
  <c r="G23" i="275" s="1"/>
  <c r="E23" i="275"/>
  <c r="F6" i="245"/>
  <c r="G411" i="267" s="1"/>
  <c r="E411" i="267"/>
  <c r="F11" i="213"/>
  <c r="G751" i="267" s="1"/>
  <c r="E751" i="267"/>
  <c r="F7" i="260"/>
  <c r="G544" i="267" s="1"/>
  <c r="E544" i="267"/>
  <c r="F16" i="212"/>
  <c r="G739" i="267" s="1"/>
  <c r="E739" i="267"/>
  <c r="F12" i="241"/>
  <c r="G176" i="267" s="1"/>
  <c r="E176" i="267"/>
  <c r="F6" i="239"/>
  <c r="G156" i="267" s="1"/>
  <c r="E156" i="267"/>
  <c r="F9" i="239"/>
  <c r="G159" i="267" s="1"/>
  <c r="E159" i="267"/>
  <c r="F18" i="238"/>
  <c r="G152" i="267" s="1"/>
  <c r="E152" i="267"/>
  <c r="F17" i="258"/>
  <c r="G520" i="267" s="1"/>
  <c r="E520" i="267"/>
  <c r="F9" i="235"/>
  <c r="G103" i="267" s="1"/>
  <c r="E103" i="267"/>
  <c r="F9" i="219"/>
  <c r="G605" i="267" s="1"/>
  <c r="E605" i="267"/>
  <c r="F43" i="236"/>
  <c r="G30" i="271" s="1"/>
  <c r="E30" i="271"/>
  <c r="F7" i="205"/>
  <c r="G39" i="267" s="1"/>
  <c r="E39" i="267"/>
  <c r="F9" i="263"/>
  <c r="G558" i="267" s="1"/>
  <c r="E558" i="267"/>
  <c r="F14" i="247"/>
  <c r="G426" i="267" s="1"/>
  <c r="E426" i="267"/>
  <c r="F7" i="254"/>
  <c r="G489" i="267" s="1"/>
  <c r="E489" i="267"/>
  <c r="F20" i="264"/>
  <c r="G579" i="267" s="1"/>
  <c r="E579" i="267"/>
  <c r="F22" i="208"/>
  <c r="G813" i="267" s="1"/>
  <c r="E813" i="267"/>
  <c r="F10" i="208"/>
  <c r="G801" i="267" s="1"/>
  <c r="E801" i="267"/>
  <c r="F13" i="235"/>
  <c r="G107" i="267" s="1"/>
  <c r="E107" i="267"/>
  <c r="F16" i="236"/>
  <c r="G123" i="267" s="1"/>
  <c r="E123" i="267"/>
  <c r="F13" i="252"/>
  <c r="G472" i="267" s="1"/>
  <c r="E472" i="267"/>
  <c r="F9" i="231"/>
  <c r="G687" i="267" s="1"/>
  <c r="E687" i="267"/>
  <c r="F25" i="264"/>
  <c r="G584" i="267" s="1"/>
  <c r="E584" i="267"/>
  <c r="F9" i="207"/>
  <c r="G787" i="267" s="1"/>
  <c r="E787" i="267"/>
  <c r="F10" i="207"/>
  <c r="G788" i="267" s="1"/>
  <c r="E788" i="267"/>
  <c r="F12" i="226"/>
  <c r="G632" i="267" s="1"/>
  <c r="E632" i="267"/>
  <c r="F13" i="228"/>
  <c r="G659" i="267" s="1"/>
  <c r="E659" i="267"/>
  <c r="F10" i="248"/>
  <c r="G436" i="267" s="1"/>
  <c r="E436" i="267"/>
  <c r="F10" i="263"/>
  <c r="G559" i="267" s="1"/>
  <c r="E559" i="267"/>
  <c r="F20" i="208"/>
  <c r="G811" i="267" s="1"/>
  <c r="E811" i="267"/>
  <c r="F9" i="218"/>
  <c r="G83" i="267" s="1"/>
  <c r="E83" i="267"/>
  <c r="F8" i="210"/>
  <c r="G57" i="267" s="1"/>
  <c r="E57" i="267"/>
  <c r="F6" i="211"/>
  <c r="G718" i="267" s="1"/>
  <c r="E718" i="267"/>
  <c r="F6" i="222"/>
  <c r="G609" i="267" s="1"/>
  <c r="E609" i="267"/>
  <c r="F9" i="250"/>
  <c r="G444" i="267" s="1"/>
  <c r="E444" i="267"/>
  <c r="F11" i="212"/>
  <c r="G734" i="267" s="1"/>
  <c r="E734" i="267"/>
  <c r="F7" i="238"/>
  <c r="G141" i="267" s="1"/>
  <c r="E141" i="267"/>
  <c r="F8" i="233"/>
  <c r="G713" i="267" s="1"/>
  <c r="E713" i="267"/>
  <c r="F9" i="228"/>
  <c r="G655" i="267" s="1"/>
  <c r="E655" i="267"/>
  <c r="F7" i="215"/>
  <c r="G757" i="267" s="1"/>
  <c r="E757" i="267"/>
  <c r="F7" i="245"/>
  <c r="G412" i="267" s="1"/>
  <c r="E412" i="267"/>
  <c r="F9" i="213"/>
  <c r="G749" i="267" s="1"/>
  <c r="E749" i="267"/>
  <c r="F13" i="239"/>
  <c r="G163" i="267" s="1"/>
  <c r="E163" i="267"/>
  <c r="F7" i="248"/>
  <c r="G433" i="267" s="1"/>
  <c r="E433" i="267"/>
  <c r="F16" i="226"/>
  <c r="G636" i="267" s="1"/>
  <c r="E636" i="267"/>
  <c r="F19" i="264"/>
  <c r="G578" i="267" s="1"/>
  <c r="E578" i="267"/>
  <c r="F13" i="260"/>
  <c r="G550" i="267" s="1"/>
  <c r="E550" i="267"/>
  <c r="F12" i="218"/>
  <c r="G86" i="267" s="1"/>
  <c r="E86" i="267"/>
  <c r="F11" i="251"/>
  <c r="G460" i="267" s="1"/>
  <c r="E460" i="267"/>
  <c r="F13" i="254"/>
  <c r="G495" i="267" s="1"/>
  <c r="E495" i="267"/>
  <c r="F14" i="207"/>
  <c r="G792" i="267" s="1"/>
  <c r="E792" i="267"/>
  <c r="F8" i="258"/>
  <c r="G511" i="267" s="1"/>
  <c r="E511" i="267"/>
  <c r="F18" i="258"/>
  <c r="G521" i="267" s="1"/>
  <c r="E521" i="267"/>
  <c r="F15" i="236"/>
  <c r="G122" i="267" s="1"/>
  <c r="E122" i="267"/>
  <c r="F21" i="236"/>
  <c r="G128" i="267" s="1"/>
  <c r="E128" i="267"/>
  <c r="F6" i="219"/>
  <c r="E602" i="267"/>
  <c r="F8" i="211"/>
  <c r="G720" i="267" s="1"/>
  <c r="E720" i="267"/>
  <c r="F24" i="258"/>
  <c r="G527" i="267" s="1"/>
  <c r="E527" i="267"/>
  <c r="F7" i="210"/>
  <c r="G56" i="267" s="1"/>
  <c r="E56" i="267"/>
  <c r="F7" i="226"/>
  <c r="G627" i="267" s="1"/>
  <c r="E627" i="267"/>
  <c r="F8" i="234"/>
  <c r="G95" i="267" s="1"/>
  <c r="E95" i="267"/>
  <c r="F7" i="213"/>
  <c r="G747" i="267" s="1"/>
  <c r="E747" i="267"/>
  <c r="F21" i="210"/>
  <c r="G70" i="267" s="1"/>
  <c r="E70" i="267"/>
  <c r="F7" i="251"/>
  <c r="G456" i="267" s="1"/>
  <c r="E456" i="267"/>
  <c r="F13" i="203"/>
  <c r="G51" i="267" s="1"/>
  <c r="E51" i="267"/>
  <c r="F6" i="228"/>
  <c r="G652" i="267" s="1"/>
  <c r="E652" i="267"/>
  <c r="F13" i="247"/>
  <c r="G425" i="267" s="1"/>
  <c r="E425" i="267"/>
  <c r="F11" i="206"/>
  <c r="G773" i="267" s="1"/>
  <c r="E773" i="267"/>
  <c r="F7" i="239"/>
  <c r="G157" i="267" s="1"/>
  <c r="E157" i="267"/>
  <c r="F7" i="258"/>
  <c r="G510" i="267" s="1"/>
  <c r="E510" i="267"/>
  <c r="F20" i="258"/>
  <c r="G523" i="267" s="1"/>
  <c r="E523" i="267"/>
  <c r="F8" i="252"/>
  <c r="G467" i="267" s="1"/>
  <c r="E467" i="267"/>
  <c r="F9" i="252"/>
  <c r="G468" i="267" s="1"/>
  <c r="E468" i="267"/>
  <c r="F22" i="236"/>
  <c r="G129" i="267" s="1"/>
  <c r="E129" i="267"/>
  <c r="F8" i="231"/>
  <c r="G686" i="267" s="1"/>
  <c r="E686" i="267"/>
  <c r="F6" i="256"/>
  <c r="E500" i="267"/>
  <c r="F7" i="256"/>
  <c r="G501" i="267" s="1"/>
  <c r="C500" i="267"/>
  <c r="B500" i="267"/>
  <c r="D500" i="267"/>
  <c r="F10" i="256"/>
  <c r="G504" i="267" s="1"/>
  <c r="C34" i="267"/>
  <c r="C30" i="267"/>
  <c r="C9" i="267"/>
  <c r="C18" i="267"/>
  <c r="C25" i="267"/>
  <c r="C35" i="267"/>
  <c r="C15" i="267"/>
  <c r="D30" i="267"/>
  <c r="D20" i="267"/>
  <c r="B31" i="267"/>
  <c r="B12" i="267"/>
  <c r="D27" i="267"/>
  <c r="B17" i="267"/>
  <c r="D33" i="267"/>
  <c r="B10" i="267"/>
  <c r="D24" i="267"/>
  <c r="D10" i="267"/>
  <c r="D35" i="267"/>
  <c r="F12" i="78"/>
  <c r="E14" i="267"/>
  <c r="F22" i="78"/>
  <c r="E24" i="267"/>
  <c r="F24" i="78"/>
  <c r="E26" i="267"/>
  <c r="F25" i="78"/>
  <c r="E27" i="267"/>
  <c r="F11" i="78"/>
  <c r="E13" i="267"/>
  <c r="F31" i="78"/>
  <c r="E33" i="267"/>
  <c r="F12" i="267"/>
  <c r="C21" i="267"/>
  <c r="C14" i="267"/>
  <c r="C10" i="267"/>
  <c r="C20" i="267"/>
  <c r="C26" i="267"/>
  <c r="C31" i="267"/>
  <c r="C11" i="267"/>
  <c r="D23" i="267"/>
  <c r="B25" i="267"/>
  <c r="D32" i="267"/>
  <c r="B19" i="267"/>
  <c r="D18" i="267"/>
  <c r="D31" i="267"/>
  <c r="B13" i="267"/>
  <c r="B16" i="267"/>
  <c r="B29" i="267"/>
  <c r="B34" i="267"/>
  <c r="D16" i="267"/>
  <c r="F27" i="78"/>
  <c r="E29" i="267"/>
  <c r="F8" i="78"/>
  <c r="E10" i="267"/>
  <c r="F21" i="78"/>
  <c r="E23" i="267"/>
  <c r="F16" i="78"/>
  <c r="E18" i="267"/>
  <c r="F13" i="78"/>
  <c r="E15" i="267"/>
  <c r="C27" i="267"/>
  <c r="C23" i="267"/>
  <c r="C16" i="267"/>
  <c r="C22" i="267"/>
  <c r="C29" i="267"/>
  <c r="C32" i="267"/>
  <c r="C12" i="267"/>
  <c r="D21" i="267"/>
  <c r="D9" i="267"/>
  <c r="D26" i="267"/>
  <c r="D8" i="267"/>
  <c r="B14" i="267"/>
  <c r="B24" i="267"/>
  <c r="B11" i="267"/>
  <c r="D14" i="267"/>
  <c r="D17" i="267"/>
  <c r="B35" i="267"/>
  <c r="D22" i="267"/>
  <c r="F14" i="78"/>
  <c r="E16" i="267"/>
  <c r="F33" i="78"/>
  <c r="E35" i="267"/>
  <c r="F29" i="78"/>
  <c r="E31" i="267"/>
  <c r="F32" i="78"/>
  <c r="E34" i="267"/>
  <c r="F19" i="78"/>
  <c r="E21" i="267"/>
  <c r="F28" i="78"/>
  <c r="E30" i="267"/>
  <c r="F30" i="78"/>
  <c r="E32" i="267"/>
  <c r="C19" i="267"/>
  <c r="C28" i="267"/>
  <c r="C17" i="267"/>
  <c r="C24" i="267"/>
  <c r="C33" i="267"/>
  <c r="C8" i="267"/>
  <c r="B27" i="267"/>
  <c r="B18" i="267"/>
  <c r="B33" i="267"/>
  <c r="D15" i="267"/>
  <c r="D34" i="267"/>
  <c r="B28" i="267"/>
  <c r="D25" i="267"/>
  <c r="D28" i="267"/>
  <c r="B22" i="267"/>
  <c r="D11" i="267"/>
  <c r="D13" i="267"/>
  <c r="D29" i="267"/>
  <c r="E12" i="267"/>
  <c r="F15" i="78"/>
  <c r="E17" i="267"/>
  <c r="F17" i="78"/>
  <c r="E19" i="267"/>
  <c r="F23" i="78"/>
  <c r="E25" i="267"/>
  <c r="F9" i="78"/>
  <c r="E11" i="267"/>
  <c r="F20" i="78"/>
  <c r="E22" i="267"/>
  <c r="F6" i="78"/>
  <c r="E8" i="267"/>
  <c r="C221" i="267"/>
  <c r="C246" i="267"/>
  <c r="C297" i="267"/>
  <c r="C261" i="267"/>
  <c r="C362" i="267"/>
  <c r="D204" i="267"/>
  <c r="D256" i="267"/>
  <c r="D281" i="267"/>
  <c r="D236" i="267"/>
  <c r="D266" i="267"/>
  <c r="D296" i="267"/>
  <c r="D366" i="267"/>
  <c r="D201" i="267"/>
  <c r="D268" i="267"/>
  <c r="D286" i="267"/>
  <c r="D212" i="267"/>
  <c r="D271" i="267"/>
  <c r="D278" i="267"/>
  <c r="D216" i="267"/>
  <c r="B204" i="267"/>
  <c r="B218" i="267"/>
  <c r="B256" i="267"/>
  <c r="B284" i="267"/>
  <c r="B288" i="267"/>
  <c r="B363" i="267"/>
  <c r="B196" i="267"/>
  <c r="B207" i="267"/>
  <c r="B234" i="267"/>
  <c r="B264" i="267"/>
  <c r="B267" i="267"/>
  <c r="B293" i="267"/>
  <c r="B361" i="267"/>
  <c r="B358" i="267"/>
  <c r="B179" i="267"/>
  <c r="B368" i="267"/>
  <c r="B240" i="267"/>
  <c r="B269" i="267"/>
  <c r="B304" i="267"/>
  <c r="B263" i="267"/>
  <c r="B298" i="267"/>
  <c r="B312" i="267"/>
  <c r="B212" i="267"/>
  <c r="B238" i="267"/>
  <c r="B310" i="267"/>
  <c r="B356" i="267"/>
  <c r="B187" i="267"/>
  <c r="B246" i="267"/>
  <c r="B272" i="267"/>
  <c r="B282" i="267"/>
  <c r="B190" i="267"/>
  <c r="B306" i="267"/>
  <c r="B259" i="267"/>
  <c r="D284" i="267"/>
  <c r="D205" i="267"/>
  <c r="D361" i="267"/>
  <c r="D269" i="267"/>
  <c r="D213" i="267"/>
  <c r="D238" i="267"/>
  <c r="D246" i="267"/>
  <c r="D297" i="267"/>
  <c r="D362" i="267"/>
  <c r="D219" i="267"/>
  <c r="D277" i="267"/>
  <c r="D357" i="267"/>
  <c r="D234" i="267"/>
  <c r="D299" i="267"/>
  <c r="D371" i="267"/>
  <c r="D243" i="267"/>
  <c r="E255" i="267"/>
  <c r="E282" i="267"/>
  <c r="F166" i="242"/>
  <c r="G345" i="267" s="1"/>
  <c r="C282" i="267"/>
  <c r="C243" i="267"/>
  <c r="C273" i="267"/>
  <c r="C363" i="267"/>
  <c r="C255" i="267"/>
  <c r="C206" i="267"/>
  <c r="C361" i="267"/>
  <c r="C370" i="267"/>
  <c r="C269" i="267"/>
  <c r="C360" i="267"/>
  <c r="C213" i="267"/>
  <c r="C199" i="267"/>
  <c r="C191" i="267"/>
  <c r="C271" i="267"/>
  <c r="C217" i="267"/>
  <c r="C272" i="267"/>
  <c r="C258" i="267"/>
  <c r="C202" i="267"/>
  <c r="C211" i="267"/>
  <c r="C256" i="267"/>
  <c r="C281" i="267"/>
  <c r="C285" i="267"/>
  <c r="C303" i="267"/>
  <c r="C364" i="267"/>
  <c r="C197" i="267"/>
  <c r="C260" i="267"/>
  <c r="C289" i="267"/>
  <c r="C198" i="267"/>
  <c r="C207" i="267"/>
  <c r="C235" i="267"/>
  <c r="C266" i="267"/>
  <c r="C222" i="267"/>
  <c r="C295" i="267"/>
  <c r="C201" i="267"/>
  <c r="C240" i="267"/>
  <c r="C275" i="267"/>
  <c r="C309" i="267"/>
  <c r="C302" i="267"/>
  <c r="C286" i="267"/>
  <c r="C290" i="267"/>
  <c r="C212" i="267"/>
  <c r="C238" i="267"/>
  <c r="C310" i="267"/>
  <c r="C356" i="267"/>
  <c r="C371" i="267"/>
  <c r="C189" i="267"/>
  <c r="C195" i="267"/>
  <c r="C259" i="267"/>
  <c r="D291" i="267"/>
  <c r="D198" i="267"/>
  <c r="D209" i="267"/>
  <c r="D304" i="267"/>
  <c r="D290" i="267"/>
  <c r="D221" i="267"/>
  <c r="D217" i="267"/>
  <c r="D258" i="267"/>
  <c r="D187" i="267"/>
  <c r="B202" i="267"/>
  <c r="B203" i="267"/>
  <c r="B219" i="267"/>
  <c r="B257" i="267"/>
  <c r="B277" i="267"/>
  <c r="B280" i="267"/>
  <c r="B291" i="267"/>
  <c r="B364" i="267"/>
  <c r="B197" i="267"/>
  <c r="B289" i="267"/>
  <c r="B192" i="267"/>
  <c r="B205" i="267"/>
  <c r="B222" i="267"/>
  <c r="B270" i="267"/>
  <c r="B296" i="267"/>
  <c r="B367" i="267"/>
  <c r="B369" i="267"/>
  <c r="B214" i="267"/>
  <c r="B308" i="267"/>
  <c r="B360" i="267"/>
  <c r="B299" i="267"/>
  <c r="B355" i="267"/>
  <c r="B359" i="267"/>
  <c r="B189" i="267"/>
  <c r="B220" i="267"/>
  <c r="B215" i="267"/>
  <c r="B261" i="267"/>
  <c r="B195" i="267"/>
  <c r="B244" i="267"/>
  <c r="B241" i="267"/>
  <c r="D287" i="267"/>
  <c r="D363" i="267"/>
  <c r="D206" i="267"/>
  <c r="D267" i="267"/>
  <c r="D300" i="267"/>
  <c r="D360" i="267"/>
  <c r="D263" i="267"/>
  <c r="D200" i="267"/>
  <c r="D279" i="267"/>
  <c r="D190" i="267"/>
  <c r="D202" i="267"/>
  <c r="D203" i="267"/>
  <c r="D364" i="267"/>
  <c r="D192" i="267"/>
  <c r="D293" i="267"/>
  <c r="D223" i="267"/>
  <c r="D295" i="267"/>
  <c r="D367" i="267"/>
  <c r="D355" i="267"/>
  <c r="D215" i="267"/>
  <c r="D276" i="267"/>
  <c r="F255" i="267"/>
  <c r="E237" i="267"/>
  <c r="E238" i="267"/>
  <c r="E256" i="267"/>
  <c r="F282" i="267"/>
  <c r="F238" i="267"/>
  <c r="C203" i="267"/>
  <c r="C292" i="267"/>
  <c r="C193" i="267"/>
  <c r="C293" i="267"/>
  <c r="C311" i="267"/>
  <c r="C294" i="267"/>
  <c r="C187" i="267"/>
  <c r="C218" i="267"/>
  <c r="C257" i="267"/>
  <c r="C277" i="267"/>
  <c r="C287" i="267"/>
  <c r="C365" i="267"/>
  <c r="C264" i="267"/>
  <c r="C267" i="267"/>
  <c r="C301" i="267"/>
  <c r="C223" i="267"/>
  <c r="C358" i="267"/>
  <c r="C179" i="267"/>
  <c r="C368" i="267"/>
  <c r="C300" i="267"/>
  <c r="C263" i="267"/>
  <c r="C298" i="267"/>
  <c r="C312" i="267"/>
  <c r="C355" i="267"/>
  <c r="C359" i="267"/>
  <c r="C372" i="267"/>
  <c r="C186" i="267"/>
  <c r="C220" i="267"/>
  <c r="C262" i="267"/>
  <c r="C278" i="267"/>
  <c r="C274" i="267"/>
  <c r="C242" i="267"/>
  <c r="D211" i="267"/>
  <c r="D285" i="267"/>
  <c r="D289" i="267"/>
  <c r="D298" i="267"/>
  <c r="D188" i="267"/>
  <c r="D282" i="267"/>
  <c r="D259" i="267"/>
  <c r="D272" i="267"/>
  <c r="B265" i="267"/>
  <c r="B281" i="267"/>
  <c r="B285" i="267"/>
  <c r="B292" i="267"/>
  <c r="B365" i="267"/>
  <c r="B255" i="267"/>
  <c r="B357" i="267"/>
  <c r="B193" i="267"/>
  <c r="B206" i="267"/>
  <c r="B209" i="267"/>
  <c r="B236" i="267"/>
  <c r="B245" i="267"/>
  <c r="B301" i="267"/>
  <c r="B223" i="267"/>
  <c r="B311" i="267"/>
  <c r="B366" i="267"/>
  <c r="B370" i="267"/>
  <c r="B275" i="267"/>
  <c r="B309" i="267"/>
  <c r="B294" i="267"/>
  <c r="B286" i="267"/>
  <c r="B290" i="267"/>
  <c r="B313" i="267"/>
  <c r="B200" i="267"/>
  <c r="B239" i="267"/>
  <c r="B194" i="267"/>
  <c r="B371" i="267"/>
  <c r="B278" i="267"/>
  <c r="B216" i="267"/>
  <c r="B242" i="267"/>
  <c r="B307" i="267"/>
  <c r="D218" i="267"/>
  <c r="D365" i="267"/>
  <c r="D260" i="267"/>
  <c r="D222" i="267"/>
  <c r="D369" i="267"/>
  <c r="D240" i="267"/>
  <c r="D309" i="267"/>
  <c r="D302" i="267"/>
  <c r="D313" i="267"/>
  <c r="D194" i="267"/>
  <c r="D310" i="267"/>
  <c r="D359" i="267"/>
  <c r="D191" i="267"/>
  <c r="D242" i="267"/>
  <c r="D257" i="267"/>
  <c r="D255" i="267"/>
  <c r="D283" i="267"/>
  <c r="D301" i="267"/>
  <c r="D179" i="267"/>
  <c r="D368" i="267"/>
  <c r="D275" i="267"/>
  <c r="D199" i="267"/>
  <c r="D237" i="267"/>
  <c r="D356" i="267"/>
  <c r="D261" i="267"/>
  <c r="D307" i="267"/>
  <c r="G203" i="267"/>
  <c r="E203" i="267"/>
  <c r="F220" i="267"/>
  <c r="C216" i="267"/>
  <c r="C215" i="267"/>
  <c r="C244" i="267"/>
  <c r="C280" i="267"/>
  <c r="C196" i="267"/>
  <c r="C357" i="267"/>
  <c r="C208" i="267"/>
  <c r="C283" i="267"/>
  <c r="C270" i="267"/>
  <c r="C366" i="267"/>
  <c r="C308" i="267"/>
  <c r="C237" i="267"/>
  <c r="C188" i="267"/>
  <c r="C279" i="267"/>
  <c r="C190" i="267"/>
  <c r="C241" i="267"/>
  <c r="C204" i="267"/>
  <c r="C219" i="267"/>
  <c r="C265" i="267"/>
  <c r="C284" i="267"/>
  <c r="C288" i="267"/>
  <c r="C291" i="267"/>
  <c r="C192" i="267"/>
  <c r="C205" i="267"/>
  <c r="C209" i="267"/>
  <c r="C234" i="267"/>
  <c r="C236" i="267"/>
  <c r="C245" i="267"/>
  <c r="C305" i="267"/>
  <c r="C296" i="267"/>
  <c r="C367" i="267"/>
  <c r="C369" i="267"/>
  <c r="C214" i="267"/>
  <c r="C268" i="267"/>
  <c r="C304" i="267"/>
  <c r="C210" i="267"/>
  <c r="C299" i="267"/>
  <c r="C313" i="267"/>
  <c r="C200" i="267"/>
  <c r="C239" i="267"/>
  <c r="C194" i="267"/>
  <c r="C276" i="267"/>
  <c r="C306" i="267"/>
  <c r="D288" i="267"/>
  <c r="D303" i="267"/>
  <c r="D208" i="267"/>
  <c r="D235" i="267"/>
  <c r="D370" i="267"/>
  <c r="D312" i="267"/>
  <c r="D239" i="267"/>
  <c r="D372" i="267"/>
  <c r="D220" i="267"/>
  <c r="D262" i="267"/>
  <c r="D244" i="267"/>
  <c r="D189" i="267"/>
  <c r="D274" i="267"/>
  <c r="D195" i="267"/>
  <c r="B211" i="267"/>
  <c r="B273" i="267"/>
  <c r="B287" i="267"/>
  <c r="B303" i="267"/>
  <c r="B260" i="267"/>
  <c r="B198" i="267"/>
  <c r="B208" i="267"/>
  <c r="B235" i="267"/>
  <c r="B266" i="267"/>
  <c r="B283" i="267"/>
  <c r="B305" i="267"/>
  <c r="B295" i="267"/>
  <c r="B201" i="267"/>
  <c r="B268" i="267"/>
  <c r="B300" i="267"/>
  <c r="B302" i="267"/>
  <c r="B213" i="267"/>
  <c r="B210" i="267"/>
  <c r="B199" i="267"/>
  <c r="B237" i="267"/>
  <c r="B221" i="267"/>
  <c r="B372" i="267"/>
  <c r="B186" i="267"/>
  <c r="B188" i="267"/>
  <c r="B191" i="267"/>
  <c r="B262" i="267"/>
  <c r="B271" i="267"/>
  <c r="B279" i="267"/>
  <c r="B297" i="267"/>
  <c r="B274" i="267"/>
  <c r="B217" i="267"/>
  <c r="B276" i="267"/>
  <c r="B243" i="267"/>
  <c r="B362" i="267"/>
  <c r="B258" i="267"/>
  <c r="D265" i="267"/>
  <c r="D292" i="267"/>
  <c r="D196" i="267"/>
  <c r="D193" i="267"/>
  <c r="D207" i="267"/>
  <c r="D245" i="267"/>
  <c r="D305" i="267"/>
  <c r="D311" i="267"/>
  <c r="D358" i="267"/>
  <c r="D214" i="267"/>
  <c r="D210" i="267"/>
  <c r="D306" i="267"/>
  <c r="D273" i="267"/>
  <c r="D280" i="267"/>
  <c r="D197" i="267"/>
  <c r="D264" i="267"/>
  <c r="D270" i="267"/>
  <c r="D308" i="267"/>
  <c r="D294" i="267"/>
  <c r="D186" i="267"/>
  <c r="D241" i="267"/>
  <c r="E220" i="267"/>
  <c r="F237" i="267"/>
  <c r="F7" i="252"/>
  <c r="E466" i="267"/>
  <c r="F18" i="236"/>
  <c r="E125" i="267"/>
  <c r="C125" i="267"/>
  <c r="C307" i="267"/>
  <c r="F7" i="235"/>
  <c r="E101" i="267"/>
  <c r="F14" i="218"/>
  <c r="E88" i="267"/>
  <c r="F17" i="226"/>
  <c r="E637" i="267"/>
  <c r="F6" i="233"/>
  <c r="E711" i="267"/>
  <c r="F11" i="218"/>
  <c r="E85" i="267"/>
  <c r="E419" i="267"/>
  <c r="F9" i="210"/>
  <c r="G58" i="267" s="1"/>
  <c r="E58" i="267"/>
  <c r="F10" i="218"/>
  <c r="G84" i="267" s="1"/>
  <c r="E84" i="267"/>
  <c r="F7" i="78"/>
  <c r="E9" i="267"/>
  <c r="F18" i="78"/>
  <c r="E20" i="267"/>
  <c r="F26" i="78"/>
  <c r="E28" i="267"/>
  <c r="F12" i="243"/>
  <c r="G382" i="267" s="1"/>
  <c r="F13" i="243"/>
  <c r="G383" i="267" s="1"/>
  <c r="F16" i="243"/>
  <c r="G386" i="267" s="1"/>
  <c r="F20" i="243"/>
  <c r="G390" i="267" s="1"/>
  <c r="F27" i="243"/>
  <c r="G397" i="267" s="1"/>
  <c r="F8" i="243"/>
  <c r="G378" i="267" s="1"/>
  <c r="F17" i="243"/>
  <c r="G387" i="267" s="1"/>
  <c r="F21" i="243"/>
  <c r="G391" i="267" s="1"/>
  <c r="F6" i="243"/>
  <c r="G376" i="267" s="1"/>
  <c r="E376" i="267"/>
  <c r="F14" i="243"/>
  <c r="G384" i="267" s="1"/>
  <c r="F19" i="243"/>
  <c r="G389" i="267" s="1"/>
  <c r="F25" i="243"/>
  <c r="G395" i="267" s="1"/>
  <c r="F28" i="243"/>
  <c r="G398" i="267" s="1"/>
  <c r="F9" i="243"/>
  <c r="G379" i="267" s="1"/>
  <c r="F23" i="243"/>
  <c r="G393" i="267" s="1"/>
  <c r="F15" i="243"/>
  <c r="G385" i="267" s="1"/>
  <c r="F18" i="243"/>
  <c r="G388" i="267" s="1"/>
  <c r="F10" i="243"/>
  <c r="G380" i="267" s="1"/>
  <c r="F6" i="244"/>
  <c r="G402" i="267" s="1"/>
  <c r="E402" i="267"/>
  <c r="F9" i="244"/>
  <c r="G405" i="267" s="1"/>
  <c r="E405" i="267"/>
  <c r="F10" i="244"/>
  <c r="G406" i="267" s="1"/>
  <c r="E406" i="267"/>
  <c r="F7" i="244"/>
  <c r="G403" i="267" s="1"/>
  <c r="E403" i="267"/>
  <c r="F11" i="244"/>
  <c r="G407" i="267" s="1"/>
  <c r="E407" i="267"/>
  <c r="F8" i="244"/>
  <c r="G404" i="267" s="1"/>
  <c r="E404" i="267"/>
  <c r="F30" i="242"/>
  <c r="E210" i="267"/>
  <c r="F192" i="242"/>
  <c r="E370" i="267"/>
  <c r="F100" i="242"/>
  <c r="E279" i="267"/>
  <c r="F101" i="242"/>
  <c r="E280" i="267"/>
  <c r="F106" i="242"/>
  <c r="E285" i="267"/>
  <c r="F182" i="242"/>
  <c r="E361" i="267"/>
  <c r="F74" i="242"/>
  <c r="G253" i="267" s="1"/>
  <c r="F158" i="242"/>
  <c r="G337" i="267" s="1"/>
  <c r="F168" i="242"/>
  <c r="G347" i="267" s="1"/>
  <c r="F119" i="242"/>
  <c r="E298" i="267"/>
  <c r="F41" i="242"/>
  <c r="E221" i="267"/>
  <c r="F48" i="242"/>
  <c r="G228" i="267" s="1"/>
  <c r="F95" i="242"/>
  <c r="E274" i="267"/>
  <c r="F10" i="242"/>
  <c r="E190" i="267"/>
  <c r="F50" i="242"/>
  <c r="G230" i="267" s="1"/>
  <c r="F130" i="242"/>
  <c r="E309" i="267"/>
  <c r="F33" i="242"/>
  <c r="E213" i="267"/>
  <c r="F19" i="242"/>
  <c r="E199" i="267"/>
  <c r="F163" i="242"/>
  <c r="G342" i="267" s="1"/>
  <c r="F77" i="242"/>
  <c r="F18" i="242"/>
  <c r="E198" i="267"/>
  <c r="F57" i="242"/>
  <c r="E236" i="267"/>
  <c r="F66" i="242"/>
  <c r="E245" i="267"/>
  <c r="F87" i="242"/>
  <c r="E266" i="267"/>
  <c r="F149" i="242"/>
  <c r="G328" i="267" s="1"/>
  <c r="F191" i="242"/>
  <c r="E369" i="267"/>
  <c r="F96" i="242"/>
  <c r="E275" i="267"/>
  <c r="F20" i="242"/>
  <c r="E200" i="267"/>
  <c r="F60" i="242"/>
  <c r="E239" i="267"/>
  <c r="F143" i="242"/>
  <c r="G322" i="267" s="1"/>
  <c r="F83" i="242"/>
  <c r="E262" i="267"/>
  <c r="F172" i="242"/>
  <c r="G351" i="267" s="1"/>
  <c r="F157" i="242"/>
  <c r="G336" i="267" s="1"/>
  <c r="F22" i="242"/>
  <c r="E202" i="267"/>
  <c r="F39" i="242"/>
  <c r="E219" i="267"/>
  <c r="F78" i="242"/>
  <c r="E257" i="267"/>
  <c r="F98" i="242"/>
  <c r="E277" i="267"/>
  <c r="F108" i="242"/>
  <c r="E287" i="267"/>
  <c r="F124" i="242"/>
  <c r="E303" i="267"/>
  <c r="E223" i="267"/>
  <c r="F150" i="242"/>
  <c r="G329" i="267" s="1"/>
  <c r="F180" i="242"/>
  <c r="E359" i="267"/>
  <c r="F93" i="242"/>
  <c r="E272" i="267"/>
  <c r="F82" i="242"/>
  <c r="E261" i="267"/>
  <c r="F183" i="242"/>
  <c r="E362" i="267"/>
  <c r="F80" i="242"/>
  <c r="E259" i="267"/>
  <c r="F42" i="242"/>
  <c r="E222" i="267"/>
  <c r="F129" i="242"/>
  <c r="E308" i="267"/>
  <c r="F177" i="242"/>
  <c r="E356" i="267"/>
  <c r="F11" i="242"/>
  <c r="E191" i="267"/>
  <c r="F146" i="242"/>
  <c r="G325" i="267" s="1"/>
  <c r="F190" i="242"/>
  <c r="E368" i="267"/>
  <c r="F89" i="242"/>
  <c r="E268" i="267"/>
  <c r="F181" i="242"/>
  <c r="E360" i="267"/>
  <c r="F131" i="242"/>
  <c r="E310" i="267"/>
  <c r="F145" i="242"/>
  <c r="G324" i="267" s="1"/>
  <c r="F37" i="242"/>
  <c r="E217" i="267"/>
  <c r="F185" i="242"/>
  <c r="E364" i="267"/>
  <c r="F17" i="242"/>
  <c r="E197" i="267"/>
  <c r="F75" i="242"/>
  <c r="G254" i="267" s="1"/>
  <c r="F178" i="242"/>
  <c r="E357" i="267"/>
  <c r="F12" i="242"/>
  <c r="E192" i="267"/>
  <c r="F25" i="242"/>
  <c r="E205" i="267"/>
  <c r="F27" i="242"/>
  <c r="E207" i="267"/>
  <c r="F54" i="242"/>
  <c r="G233" i="267" s="1"/>
  <c r="F85" i="242"/>
  <c r="E264" i="267"/>
  <c r="F88" i="242"/>
  <c r="E267" i="267"/>
  <c r="F104" i="242"/>
  <c r="E283" i="267"/>
  <c r="F126" i="242"/>
  <c r="E305" i="267"/>
  <c r="F152" i="242"/>
  <c r="G331" i="267" s="1"/>
  <c r="F188" i="242"/>
  <c r="E366" i="267"/>
  <c r="F141" i="242"/>
  <c r="G320" i="267" s="1"/>
  <c r="F134" i="242"/>
  <c r="E313" i="267"/>
  <c r="F6" i="242"/>
  <c r="E186" i="267"/>
  <c r="F36" i="242"/>
  <c r="E216" i="267"/>
  <c r="F31" i="242"/>
  <c r="E211" i="267"/>
  <c r="F94" i="242"/>
  <c r="E273" i="267"/>
  <c r="F112" i="242"/>
  <c r="E291" i="267"/>
  <c r="F156" i="242"/>
  <c r="G335" i="267" s="1"/>
  <c r="F72" i="242"/>
  <c r="G251" i="267" s="1"/>
  <c r="F132" i="242"/>
  <c r="E311" i="267"/>
  <c r="E179" i="267"/>
  <c r="F125" i="242"/>
  <c r="E304" i="267"/>
  <c r="F111" i="242"/>
  <c r="E290" i="267"/>
  <c r="F144" i="242"/>
  <c r="G323" i="267" s="1"/>
  <c r="F147" i="242"/>
  <c r="G326" i="267" s="1"/>
  <c r="F174" i="242"/>
  <c r="G353" i="267" s="1"/>
  <c r="F153" i="242"/>
  <c r="G332" i="267" s="1"/>
  <c r="F159" i="242"/>
  <c r="G338" i="267" s="1"/>
  <c r="F139" i="242"/>
  <c r="G318" i="267" s="1"/>
  <c r="F107" i="242"/>
  <c r="E286" i="267"/>
  <c r="F118" i="242"/>
  <c r="E297" i="267"/>
  <c r="F65" i="242"/>
  <c r="E244" i="267"/>
  <c r="F121" i="242"/>
  <c r="E300" i="267"/>
  <c r="F68" i="242"/>
  <c r="G247" i="267" s="1"/>
  <c r="F173" i="242"/>
  <c r="G352" i="267" s="1"/>
  <c r="F9" i="242"/>
  <c r="E189" i="267"/>
  <c r="F171" i="242"/>
  <c r="G350" i="267" s="1"/>
  <c r="F138" i="242"/>
  <c r="G317" i="267" s="1"/>
  <c r="F15" i="242"/>
  <c r="E195" i="267"/>
  <c r="F186" i="242"/>
  <c r="E365" i="267"/>
  <c r="F73" i="242"/>
  <c r="G252" i="267" s="1"/>
  <c r="F110" i="242"/>
  <c r="E289" i="267"/>
  <c r="F136" i="242"/>
  <c r="G315" i="267" s="1"/>
  <c r="F13" i="242"/>
  <c r="E193" i="267"/>
  <c r="F26" i="242"/>
  <c r="E206" i="267"/>
  <c r="F29" i="242"/>
  <c r="E209" i="267"/>
  <c r="F56" i="242"/>
  <c r="E235" i="267"/>
  <c r="F114" i="242"/>
  <c r="E293" i="267"/>
  <c r="F79" i="242"/>
  <c r="E258" i="267"/>
  <c r="F189" i="242"/>
  <c r="E367" i="267"/>
  <c r="F51" i="242"/>
  <c r="G231" i="267" s="1"/>
  <c r="F84" i="242"/>
  <c r="E263" i="267"/>
  <c r="F115" i="242"/>
  <c r="E294" i="267"/>
  <c r="F194" i="242"/>
  <c r="E372" i="267"/>
  <c r="F8" i="242"/>
  <c r="E188" i="267"/>
  <c r="F99" i="242"/>
  <c r="E278" i="267"/>
  <c r="F170" i="242"/>
  <c r="G349" i="267" s="1"/>
  <c r="F62" i="242"/>
  <c r="E241" i="267"/>
  <c r="F24" i="242"/>
  <c r="E204" i="267"/>
  <c r="F38" i="242"/>
  <c r="E218" i="267"/>
  <c r="F102" i="242"/>
  <c r="E281" i="267"/>
  <c r="F113" i="242"/>
  <c r="E292" i="267"/>
  <c r="F161" i="242"/>
  <c r="G340" i="267" s="1"/>
  <c r="F154" i="242"/>
  <c r="G333" i="267" s="1"/>
  <c r="F91" i="242"/>
  <c r="E270" i="267"/>
  <c r="F49" i="242"/>
  <c r="G229" i="267" s="1"/>
  <c r="F142" i="242"/>
  <c r="G321" i="267" s="1"/>
  <c r="F176" i="242"/>
  <c r="E355" i="267"/>
  <c r="F63" i="242"/>
  <c r="E242" i="267"/>
  <c r="F105" i="242"/>
  <c r="E284" i="267"/>
  <c r="F116" i="242"/>
  <c r="E295" i="267"/>
  <c r="F133" i="242"/>
  <c r="E312" i="267"/>
  <c r="F167" i="242"/>
  <c r="G346" i="267" s="1"/>
  <c r="F64" i="242"/>
  <c r="E243" i="267"/>
  <c r="F61" i="242"/>
  <c r="E240" i="267"/>
  <c r="F140" i="242"/>
  <c r="G319" i="267" s="1"/>
  <c r="F123" i="242"/>
  <c r="E302" i="267"/>
  <c r="F120" i="242"/>
  <c r="E299" i="267"/>
  <c r="F32" i="242"/>
  <c r="E212" i="267"/>
  <c r="F7" i="242"/>
  <c r="E187" i="267"/>
  <c r="F67" i="242"/>
  <c r="E246" i="267"/>
  <c r="F35" i="242"/>
  <c r="E215" i="267"/>
  <c r="F127" i="242"/>
  <c r="E306" i="267"/>
  <c r="F184" i="242"/>
  <c r="E363" i="267"/>
  <c r="F16" i="242"/>
  <c r="E196" i="267"/>
  <c r="F69" i="242"/>
  <c r="G248" i="267" s="1"/>
  <c r="F81" i="242"/>
  <c r="E260" i="267"/>
  <c r="F135" i="242"/>
  <c r="G314" i="267" s="1"/>
  <c r="F28" i="242"/>
  <c r="E208" i="267"/>
  <c r="F53" i="242"/>
  <c r="F55" i="242"/>
  <c r="E234" i="267"/>
  <c r="F122" i="242"/>
  <c r="E301" i="267"/>
  <c r="F155" i="242"/>
  <c r="G334" i="267" s="1"/>
  <c r="F34" i="242"/>
  <c r="E214" i="267"/>
  <c r="F137" i="242"/>
  <c r="G316" i="267" s="1"/>
  <c r="F175" i="242"/>
  <c r="G354" i="267" s="1"/>
  <c r="F92" i="242"/>
  <c r="E271" i="267"/>
  <c r="F162" i="242"/>
  <c r="G341" i="267" s="1"/>
  <c r="F128" i="242"/>
  <c r="E307" i="267"/>
  <c r="F86" i="242"/>
  <c r="E265" i="267"/>
  <c r="F109" i="242"/>
  <c r="E288" i="267"/>
  <c r="F151" i="242"/>
  <c r="G330" i="267" s="1"/>
  <c r="F160" i="242"/>
  <c r="G339" i="267" s="1"/>
  <c r="F117" i="242"/>
  <c r="E296" i="267"/>
  <c r="F179" i="242"/>
  <c r="E358" i="267"/>
  <c r="F21" i="242"/>
  <c r="E201" i="267"/>
  <c r="F90" i="242"/>
  <c r="E269" i="267"/>
  <c r="F14" i="242"/>
  <c r="E194" i="267"/>
  <c r="F193" i="242"/>
  <c r="E371" i="267"/>
  <c r="F70" i="242"/>
  <c r="G249" i="267" s="1"/>
  <c r="F97" i="242"/>
  <c r="E276" i="267"/>
  <c r="F11" i="232"/>
  <c r="G698" i="267" s="1"/>
  <c r="F20" i="232"/>
  <c r="G707" i="267" s="1"/>
  <c r="F17" i="232"/>
  <c r="G704" i="267" s="1"/>
  <c r="F7" i="232"/>
  <c r="G694" i="267" s="1"/>
  <c r="F19" i="232"/>
  <c r="G706" i="267" s="1"/>
  <c r="F13" i="232"/>
  <c r="G700" i="267" s="1"/>
  <c r="F6" i="232"/>
  <c r="G693" i="267" s="1"/>
  <c r="F16" i="232"/>
  <c r="G703" i="267" s="1"/>
  <c r="F12" i="232"/>
  <c r="G699" i="267" s="1"/>
  <c r="F8" i="232"/>
  <c r="G695" i="267" s="1"/>
  <c r="F9" i="232"/>
  <c r="G696" i="267" s="1"/>
  <c r="F15" i="232"/>
  <c r="G702" i="267" s="1"/>
  <c r="F12" i="209"/>
  <c r="G825" i="267" s="1"/>
  <c r="F7" i="209"/>
  <c r="G820" i="267" s="1"/>
  <c r="F14" i="209"/>
  <c r="G827" i="267" s="1"/>
  <c r="F6" i="209"/>
  <c r="G819" i="267" s="1"/>
  <c r="E819" i="267"/>
  <c r="F10" i="209"/>
  <c r="G823" i="267" s="1"/>
  <c r="F8" i="209"/>
  <c r="G821" i="267" s="1"/>
  <c r="F9" i="209"/>
  <c r="G822" i="267" s="1"/>
  <c r="F15" i="209"/>
  <c r="G828" i="267" s="1"/>
  <c r="F6" i="229"/>
  <c r="G670" i="267" s="1"/>
  <c r="F18" i="232"/>
  <c r="G705" i="267" s="1"/>
  <c r="F14" i="229"/>
  <c r="G678" i="267" s="1"/>
  <c r="F9" i="229"/>
  <c r="G673" i="267" s="1"/>
  <c r="F8" i="229"/>
  <c r="G672" i="267" s="1"/>
  <c r="F13" i="229"/>
  <c r="G677" i="267" s="1"/>
  <c r="F15" i="229"/>
  <c r="G679" i="267" s="1"/>
  <c r="F11" i="229"/>
  <c r="G675" i="267" s="1"/>
  <c r="F15" i="217"/>
  <c r="G98" i="271" s="1"/>
  <c r="F14" i="217"/>
  <c r="G97" i="271" s="1"/>
  <c r="F21" i="216"/>
  <c r="G84" i="271" s="1"/>
  <c r="F13" i="216"/>
  <c r="G76" i="271" s="1"/>
  <c r="F20" i="216"/>
  <c r="G83" i="271" s="1"/>
  <c r="F6" i="217"/>
  <c r="G89" i="271" s="1"/>
  <c r="F18" i="217"/>
  <c r="G101" i="271" s="1"/>
  <c r="F13" i="217"/>
  <c r="G96" i="271" s="1"/>
  <c r="F9" i="217"/>
  <c r="G92" i="271" s="1"/>
  <c r="F19" i="217"/>
  <c r="G102" i="271" s="1"/>
  <c r="F8" i="217"/>
  <c r="G91" i="271" s="1"/>
  <c r="F71" i="216"/>
  <c r="G25" i="275" s="1"/>
  <c r="F93" i="216"/>
  <c r="G63" i="274" s="1"/>
  <c r="F62" i="216"/>
  <c r="G79" i="45" s="1"/>
  <c r="F64" i="216"/>
  <c r="G81" i="45" s="1"/>
  <c r="F65" i="216"/>
  <c r="G82" i="45" s="1"/>
  <c r="F92" i="216"/>
  <c r="G62" i="274" s="1"/>
  <c r="F94" i="216"/>
  <c r="G64" i="274" s="1"/>
  <c r="F44" i="216"/>
  <c r="G78" i="272" s="1"/>
  <c r="F86" i="216"/>
  <c r="G56" i="274" s="1"/>
  <c r="F19" i="216"/>
  <c r="G82" i="271" s="1"/>
  <c r="F22" i="216"/>
  <c r="G85" i="271" s="1"/>
  <c r="F8" i="216"/>
  <c r="G62" i="266" s="1"/>
  <c r="F75" i="216"/>
  <c r="G29" i="275" s="1"/>
  <c r="F34" i="216"/>
  <c r="G68" i="272" s="1"/>
  <c r="F49" i="216"/>
  <c r="G83" i="272" s="1"/>
  <c r="F7" i="216"/>
  <c r="G61" i="266" s="1"/>
  <c r="F55" i="216"/>
  <c r="G89" i="272" s="1"/>
  <c r="F85" i="216"/>
  <c r="G55" i="274" s="1"/>
  <c r="F80" i="216"/>
  <c r="G50" i="274" s="1"/>
  <c r="F90" i="216"/>
  <c r="G60" i="274" s="1"/>
  <c r="F18" i="216"/>
  <c r="G81" i="271" s="1"/>
  <c r="F63" i="216"/>
  <c r="G80" i="45" s="1"/>
  <c r="F45" i="216"/>
  <c r="G79" i="272" s="1"/>
  <c r="F50" i="216"/>
  <c r="G84" i="272" s="1"/>
  <c r="F89" i="216"/>
  <c r="G59" i="274" s="1"/>
  <c r="F40" i="214"/>
  <c r="G54" i="272" s="1"/>
  <c r="F73" i="214"/>
  <c r="G45" i="274" s="1"/>
  <c r="F14" i="214"/>
  <c r="G64" i="271" s="1"/>
  <c r="F11" i="214"/>
  <c r="G61" i="271" s="1"/>
  <c r="F56" i="214"/>
  <c r="G72" i="45" s="1"/>
  <c r="F67" i="214"/>
  <c r="G39" i="274" s="1"/>
  <c r="F18" i="214"/>
  <c r="G68" i="271" s="1"/>
  <c r="F9" i="214"/>
  <c r="G59" i="271" s="1"/>
  <c r="F7" i="214"/>
  <c r="G57" i="271" s="1"/>
  <c r="F27" i="214"/>
  <c r="G60" i="270" s="1"/>
  <c r="F25" i="214"/>
  <c r="G58" i="270" s="1"/>
  <c r="F43" i="214"/>
  <c r="G57" i="272" s="1"/>
  <c r="F45" i="214"/>
  <c r="G59" i="272" s="1"/>
  <c r="F51" i="214"/>
  <c r="F69" i="214"/>
  <c r="G41" i="274" s="1"/>
  <c r="F12" i="214"/>
  <c r="G62" i="271" s="1"/>
  <c r="F13" i="214"/>
  <c r="G63" i="271" s="1"/>
  <c r="F54" i="214"/>
  <c r="G70" i="45" s="1"/>
  <c r="F60" i="214"/>
  <c r="G76" i="45" s="1"/>
  <c r="F28" i="214"/>
  <c r="G61" i="270" s="1"/>
  <c r="F32" i="214"/>
  <c r="G65" i="270" s="1"/>
  <c r="F58" i="214"/>
  <c r="G74" i="45" s="1"/>
  <c r="F21" i="214"/>
  <c r="G71" i="271" s="1"/>
  <c r="F10" i="214"/>
  <c r="G60" i="271" s="1"/>
  <c r="F17" i="214"/>
  <c r="G67" i="271" s="1"/>
  <c r="F15" i="225"/>
  <c r="G46" i="266" s="1"/>
  <c r="F10" i="225"/>
  <c r="G41" i="266" s="1"/>
  <c r="F16" i="225"/>
  <c r="G47" i="266" s="1"/>
  <c r="F20" i="225"/>
  <c r="G51" i="266" s="1"/>
  <c r="F6" i="225"/>
  <c r="G37" i="266" s="1"/>
  <c r="F23" i="225"/>
  <c r="G54" i="266" s="1"/>
  <c r="F8" i="257"/>
  <c r="F6" i="255"/>
  <c r="G50" i="271" s="1"/>
  <c r="F38" i="255"/>
  <c r="F36" i="255"/>
  <c r="F37" i="255"/>
  <c r="F25" i="255"/>
  <c r="F27" i="255"/>
  <c r="F11" i="255"/>
  <c r="G50" i="270" s="1"/>
  <c r="F30" i="255"/>
  <c r="F28" i="255"/>
  <c r="F39" i="255"/>
  <c r="F21" i="255"/>
  <c r="G49" i="272" s="1"/>
  <c r="F8" i="255"/>
  <c r="G52" i="271" s="1"/>
  <c r="F28" i="252"/>
  <c r="G33" i="266" s="1"/>
  <c r="F32" i="252"/>
  <c r="G44" i="270" s="1"/>
  <c r="F33" i="252"/>
  <c r="G45" i="270" s="1"/>
  <c r="F42" i="252"/>
  <c r="F24" i="252"/>
  <c r="G29" i="266" s="1"/>
  <c r="F25" i="252"/>
  <c r="G30" i="266" s="1"/>
  <c r="F49" i="252"/>
  <c r="G39" i="45" s="1"/>
  <c r="F50" i="252"/>
  <c r="G40" i="45" s="1"/>
  <c r="F18" i="252"/>
  <c r="G20" i="268" s="1"/>
  <c r="F47" i="252"/>
  <c r="G37" i="45" s="1"/>
  <c r="F35" i="252"/>
  <c r="G47" i="270" s="1"/>
  <c r="F76" i="242"/>
  <c r="F10" i="240"/>
  <c r="G17" i="268" s="1"/>
  <c r="F40" i="236"/>
  <c r="G27" i="271" s="1"/>
  <c r="F103" i="236"/>
  <c r="G13" i="274" s="1"/>
  <c r="F34" i="236"/>
  <c r="G21" i="271" s="1"/>
  <c r="F65" i="236"/>
  <c r="G13" i="272" s="1"/>
  <c r="F31" i="235"/>
  <c r="G11" i="271" s="1"/>
  <c r="F47" i="235"/>
  <c r="G16" i="270" s="1"/>
  <c r="F11" i="209"/>
  <c r="G824" i="267" s="1"/>
  <c r="F17" i="254"/>
  <c r="F30" i="1" s="1"/>
  <c r="F103" i="242"/>
  <c r="F12" i="222"/>
  <c r="G615" i="267" s="1"/>
  <c r="F11" i="241"/>
  <c r="G175" i="267" s="1"/>
  <c r="F6" i="205"/>
  <c r="F26" i="243"/>
  <c r="G396" i="267" s="1"/>
  <c r="F58" i="242"/>
  <c r="F59" i="242"/>
  <c r="F40" i="242"/>
  <c r="F16" i="235"/>
  <c r="G110" i="267" s="1"/>
  <c r="F12" i="212"/>
  <c r="F9" i="256"/>
  <c r="G502" i="267" s="1"/>
  <c r="F12" i="208"/>
  <c r="F10" i="78"/>
  <c r="F16" i="238"/>
  <c r="F14" i="232"/>
  <c r="G701" i="267" s="1"/>
  <c r="F11" i="211"/>
  <c r="F21" i="226"/>
  <c r="G641" i="267" s="1"/>
  <c r="F17" i="241"/>
  <c r="F49" i="236"/>
  <c r="G22" i="270" s="1"/>
  <c r="F26" i="216"/>
  <c r="G73" i="270" s="1"/>
  <c r="F27" i="216"/>
  <c r="G74" i="270" s="1"/>
  <c r="F42" i="214"/>
  <c r="G56" i="272" s="1"/>
  <c r="F21" i="252"/>
  <c r="G23" i="268" s="1"/>
  <c r="F41" i="252"/>
  <c r="F29" i="252"/>
  <c r="G34" i="266" s="1"/>
  <c r="F70" i="216"/>
  <c r="G24" i="275" s="1"/>
  <c r="F53" i="236"/>
  <c r="G26" i="270" s="1"/>
  <c r="F50" i="236"/>
  <c r="G23" i="270" s="1"/>
  <c r="F20" i="252"/>
  <c r="G22" i="268" s="1"/>
  <c r="F75" i="236"/>
  <c r="G8" i="273" s="1"/>
  <c r="H9" i="273" s="1"/>
  <c r="F43" i="252"/>
  <c r="F6" i="216"/>
  <c r="G60" i="266" s="1"/>
  <c r="F9" i="225"/>
  <c r="F49" i="240"/>
  <c r="G29" i="272" s="1"/>
  <c r="F106" i="236"/>
  <c r="G16" i="274" s="1"/>
  <c r="F68" i="214"/>
  <c r="G40" i="274" s="1"/>
  <c r="F8" i="214"/>
  <c r="G58" i="271" s="1"/>
  <c r="F17" i="216"/>
  <c r="G80" i="271" s="1"/>
  <c r="F14" i="216"/>
  <c r="G77" i="271" s="1"/>
  <c r="F11" i="216"/>
  <c r="G74" i="271" s="1"/>
  <c r="F37" i="236"/>
  <c r="G24" i="271" s="1"/>
  <c r="F19" i="240"/>
  <c r="G35" i="271" s="1"/>
  <c r="F61" i="240"/>
  <c r="G29" i="45" s="1"/>
  <c r="F17" i="234"/>
  <c r="F79" i="236"/>
  <c r="G19" i="45" s="1"/>
  <c r="F92" i="236"/>
  <c r="G9" i="275" s="1"/>
  <c r="F45" i="255"/>
  <c r="G31" i="274" s="1"/>
  <c r="F19" i="250"/>
  <c r="F26" i="1" s="1"/>
  <c r="F12" i="210"/>
  <c r="G61" i="267" s="1"/>
  <c r="F24" i="243"/>
  <c r="G394" i="267" s="1"/>
  <c r="F8" i="226"/>
  <c r="G628" i="267" s="1"/>
  <c r="F55" i="236"/>
  <c r="G28" i="270" s="1"/>
  <c r="F14" i="222"/>
  <c r="F22" i="210"/>
  <c r="G71" i="267" s="1"/>
  <c r="F11" i="207"/>
  <c r="F8" i="247"/>
  <c r="G420" i="267" s="1"/>
  <c r="F7" i="247"/>
  <c r="F77" i="216"/>
  <c r="G31" i="275" s="1"/>
  <c r="F72" i="240"/>
  <c r="G23" i="274" s="1"/>
  <c r="F99" i="236"/>
  <c r="G9" i="274" s="1"/>
  <c r="F71" i="214"/>
  <c r="G43" i="274" s="1"/>
  <c r="F70" i="214"/>
  <c r="G42" i="274" s="1"/>
  <c r="F100" i="236"/>
  <c r="G10" i="274" s="1"/>
  <c r="F34" i="235"/>
  <c r="G14" i="271" s="1"/>
  <c r="F32" i="235"/>
  <c r="G12" i="271" s="1"/>
  <c r="F29" i="235"/>
  <c r="G9" i="271" s="1"/>
  <c r="F29" i="240"/>
  <c r="G45" i="271" s="1"/>
  <c r="F107" i="236"/>
  <c r="G17" i="274" s="1"/>
  <c r="F23" i="240"/>
  <c r="G39" i="271" s="1"/>
  <c r="F84" i="216"/>
  <c r="G54" i="274" s="1"/>
  <c r="F61" i="236"/>
  <c r="G9" i="272" s="1"/>
  <c r="F19" i="235"/>
  <c r="G8" i="268" s="1"/>
  <c r="F72" i="216"/>
  <c r="G26" i="275" s="1"/>
  <c r="F76" i="216"/>
  <c r="G30" i="275" s="1"/>
  <c r="F73" i="216"/>
  <c r="G27" i="275" s="1"/>
  <c r="F88" i="216"/>
  <c r="G58" i="274" s="1"/>
  <c r="F96" i="216"/>
  <c r="G66" i="274" s="1"/>
  <c r="F81" i="216"/>
  <c r="G51" i="274" s="1"/>
  <c r="F97" i="216"/>
  <c r="G67" i="274" s="1"/>
  <c r="F74" i="240"/>
  <c r="G25" i="274" s="1"/>
  <c r="F91" i="216"/>
  <c r="G61" i="274" s="1"/>
  <c r="F29" i="236"/>
  <c r="G14" i="266" s="1"/>
  <c r="F27" i="236"/>
  <c r="G12" i="266" s="1"/>
  <c r="F28" i="236"/>
  <c r="G13" i="266" s="1"/>
  <c r="F72" i="236"/>
  <c r="G20" i="272" s="1"/>
  <c r="F71" i="236"/>
  <c r="G19" i="272" s="1"/>
  <c r="F20" i="235"/>
  <c r="G9" i="268" s="1"/>
  <c r="F21" i="235"/>
  <c r="G10" i="268" s="1"/>
  <c r="F24" i="235"/>
  <c r="G8" i="266" s="1"/>
  <c r="H8" i="266" s="1"/>
  <c r="D80" i="266" s="1"/>
  <c r="F26" i="255"/>
  <c r="F53" i="240"/>
  <c r="G33" i="272" s="1"/>
  <c r="F52" i="240"/>
  <c r="G32" i="272" s="1"/>
  <c r="F47" i="240"/>
  <c r="G27" i="272" s="1"/>
  <c r="F46" i="240"/>
  <c r="G26" i="272" s="1"/>
  <c r="F59" i="216"/>
  <c r="G93" i="272" s="1"/>
  <c r="F54" i="216"/>
  <c r="G88" i="272" s="1"/>
  <c r="F53" i="216"/>
  <c r="G87" i="272" s="1"/>
  <c r="K598" i="54"/>
  <c r="J598" i="54"/>
  <c r="I598" i="54"/>
  <c r="H598" i="54"/>
  <c r="G598" i="54"/>
  <c r="F598" i="54"/>
  <c r="D598" i="54"/>
  <c r="C514" i="54"/>
  <c r="C430" i="54"/>
  <c r="C345" i="54"/>
  <c r="C262" i="54"/>
  <c r="C178" i="54"/>
  <c r="C94" i="54"/>
  <c r="C13" i="54"/>
  <c r="R595" i="54"/>
  <c r="Q595" i="54"/>
  <c r="P595" i="54"/>
  <c r="O595" i="54"/>
  <c r="N595" i="54"/>
  <c r="M595" i="54"/>
  <c r="K595" i="54"/>
  <c r="J595" i="54"/>
  <c r="H595" i="54"/>
  <c r="G595" i="54"/>
  <c r="F595" i="54"/>
  <c r="E595" i="54"/>
  <c r="D595" i="54"/>
  <c r="C595" i="54"/>
  <c r="S592" i="54"/>
  <c r="R592" i="54"/>
  <c r="Q592" i="54"/>
  <c r="P592" i="54"/>
  <c r="O592" i="54"/>
  <c r="N592" i="54"/>
  <c r="M592" i="54"/>
  <c r="L592" i="54"/>
  <c r="K592" i="54"/>
  <c r="J592" i="54"/>
  <c r="I592" i="54"/>
  <c r="H592" i="54"/>
  <c r="G592" i="54"/>
  <c r="F592" i="54"/>
  <c r="E592" i="54"/>
  <c r="D592" i="54"/>
  <c r="C592" i="54"/>
  <c r="K589" i="54"/>
  <c r="D589" i="54"/>
  <c r="C588" i="54"/>
  <c r="H587" i="54"/>
  <c r="K606" i="54"/>
  <c r="K607" i="54" s="1"/>
  <c r="K608" i="54" s="1"/>
  <c r="K609" i="54" s="1"/>
  <c r="K610" i="54" s="1"/>
  <c r="K611" i="54" s="1"/>
  <c r="K612" i="54" s="1"/>
  <c r="K613" i="54" s="1"/>
  <c r="K614" i="54" s="1"/>
  <c r="K615" i="54" s="1"/>
  <c r="K616" i="54" s="1"/>
  <c r="K617" i="54" s="1"/>
  <c r="K618" i="54" s="1"/>
  <c r="K619" i="54" s="1"/>
  <c r="K620" i="54" s="1"/>
  <c r="K621" i="54" s="1"/>
  <c r="K622" i="54" s="1"/>
  <c r="K623" i="54" s="1"/>
  <c r="K624" i="54" s="1"/>
  <c r="K625" i="54" s="1"/>
  <c r="K626" i="54" s="1"/>
  <c r="K627" i="54" s="1"/>
  <c r="K628" i="54" s="1"/>
  <c r="K629" i="54" s="1"/>
  <c r="K630" i="54" s="1"/>
  <c r="K631" i="54" s="1"/>
  <c r="K632" i="54" s="1"/>
  <c r="K633" i="54" s="1"/>
  <c r="K634" i="54" s="1"/>
  <c r="K635" i="54" s="1"/>
  <c r="K636" i="54" s="1"/>
  <c r="K637" i="54" s="1"/>
  <c r="K638" i="54" s="1"/>
  <c r="K639" i="54" s="1"/>
  <c r="K640" i="54" s="1"/>
  <c r="K641" i="54" s="1"/>
  <c r="K642" i="54" s="1"/>
  <c r="K643" i="54" s="1"/>
  <c r="K644" i="54" s="1"/>
  <c r="K645" i="54" s="1"/>
  <c r="K646" i="54" s="1"/>
  <c r="K647" i="54" s="1"/>
  <c r="K648" i="54" s="1"/>
  <c r="K649" i="54" s="1"/>
  <c r="K650" i="54" s="1"/>
  <c r="K651" i="54" s="1"/>
  <c r="K652" i="54" s="1"/>
  <c r="K653" i="54" s="1"/>
  <c r="K654" i="54" s="1"/>
  <c r="K655" i="54" s="1"/>
  <c r="K656" i="54" s="1"/>
  <c r="K657" i="54" s="1"/>
  <c r="K658" i="54" s="1"/>
  <c r="K659" i="54" s="1"/>
  <c r="K660" i="54" s="1"/>
  <c r="K661" i="54" s="1"/>
  <c r="K662" i="54" s="1"/>
  <c r="K663" i="54" s="1"/>
  <c r="K664" i="54" s="1"/>
  <c r="R600" i="54"/>
  <c r="Q600" i="54"/>
  <c r="P600" i="54"/>
  <c r="O600" i="54"/>
  <c r="N600" i="54"/>
  <c r="M600" i="54"/>
  <c r="L600" i="54"/>
  <c r="K600" i="54"/>
  <c r="J600" i="54"/>
  <c r="I600" i="54"/>
  <c r="H600" i="54"/>
  <c r="G600" i="54"/>
  <c r="F600" i="54"/>
  <c r="E600" i="54"/>
  <c r="D600" i="54"/>
  <c r="C600" i="54"/>
  <c r="S597" i="54"/>
  <c r="R597" i="54"/>
  <c r="Q597" i="54"/>
  <c r="P597" i="54"/>
  <c r="O597" i="54"/>
  <c r="N597" i="54"/>
  <c r="M597" i="54"/>
  <c r="L597" i="54"/>
  <c r="K597" i="54"/>
  <c r="J597" i="54"/>
  <c r="I597" i="54"/>
  <c r="H597" i="54"/>
  <c r="G597" i="54"/>
  <c r="F597" i="54"/>
  <c r="E597" i="54"/>
  <c r="D597" i="54"/>
  <c r="C597" i="54"/>
  <c r="S594" i="54"/>
  <c r="R594" i="54"/>
  <c r="Q594" i="54"/>
  <c r="P594" i="54"/>
  <c r="O594" i="54"/>
  <c r="N594" i="54"/>
  <c r="M594" i="54"/>
  <c r="L594" i="54"/>
  <c r="K594" i="54"/>
  <c r="J594" i="54"/>
  <c r="I594" i="54"/>
  <c r="H594" i="54"/>
  <c r="G594" i="54"/>
  <c r="F594" i="54"/>
  <c r="E594" i="54"/>
  <c r="D594" i="54"/>
  <c r="C594" i="54"/>
  <c r="S591" i="54"/>
  <c r="R591" i="54"/>
  <c r="Q591" i="54"/>
  <c r="P591" i="54"/>
  <c r="O591" i="54"/>
  <c r="N591" i="54"/>
  <c r="M591" i="54"/>
  <c r="L591" i="54"/>
  <c r="K591" i="54"/>
  <c r="J591" i="54"/>
  <c r="I591" i="54"/>
  <c r="H591" i="54"/>
  <c r="G591" i="54"/>
  <c r="F591" i="54"/>
  <c r="E591" i="54"/>
  <c r="D591" i="54"/>
  <c r="C591" i="54"/>
  <c r="C504" i="54"/>
  <c r="R517" i="54"/>
  <c r="Q517" i="54"/>
  <c r="P517" i="54"/>
  <c r="O517" i="54"/>
  <c r="N517" i="54"/>
  <c r="M517" i="54"/>
  <c r="L517" i="54"/>
  <c r="K517" i="54"/>
  <c r="J517" i="54"/>
  <c r="I517" i="54"/>
  <c r="H517" i="54"/>
  <c r="G517" i="54"/>
  <c r="F517" i="54"/>
  <c r="E517" i="54"/>
  <c r="D517" i="54"/>
  <c r="C517" i="54"/>
  <c r="S514" i="54"/>
  <c r="R514" i="54"/>
  <c r="Q514" i="54"/>
  <c r="P514" i="54"/>
  <c r="O514" i="54"/>
  <c r="N514" i="54"/>
  <c r="M514" i="54"/>
  <c r="L514" i="54"/>
  <c r="K514" i="54"/>
  <c r="J514" i="54"/>
  <c r="I514" i="54"/>
  <c r="H514" i="54"/>
  <c r="G514" i="54"/>
  <c r="F514" i="54"/>
  <c r="D514" i="54"/>
  <c r="R511" i="54"/>
  <c r="Q511" i="54"/>
  <c r="P511" i="54"/>
  <c r="O511" i="54"/>
  <c r="N511" i="54"/>
  <c r="M511" i="54"/>
  <c r="K511" i="54"/>
  <c r="J511" i="54"/>
  <c r="H511" i="54"/>
  <c r="G511" i="54"/>
  <c r="F511" i="54"/>
  <c r="E511" i="54"/>
  <c r="D511" i="54"/>
  <c r="C511" i="54"/>
  <c r="S508" i="54"/>
  <c r="R508" i="54"/>
  <c r="Q508" i="54"/>
  <c r="P508" i="54"/>
  <c r="O508" i="54"/>
  <c r="N508" i="54"/>
  <c r="M508" i="54"/>
  <c r="L508" i="54"/>
  <c r="K508" i="54"/>
  <c r="J508" i="54"/>
  <c r="I508" i="54"/>
  <c r="H508" i="54"/>
  <c r="G508" i="54"/>
  <c r="F508" i="54"/>
  <c r="E508" i="54"/>
  <c r="D508" i="54"/>
  <c r="C508" i="54"/>
  <c r="K505" i="54"/>
  <c r="D505" i="54"/>
  <c r="H503" i="54"/>
  <c r="R516" i="54"/>
  <c r="Q516" i="54"/>
  <c r="P516" i="54"/>
  <c r="O516" i="54"/>
  <c r="N516" i="54"/>
  <c r="M516" i="54"/>
  <c r="L516" i="54"/>
  <c r="K516" i="54"/>
  <c r="J516" i="54"/>
  <c r="I516" i="54"/>
  <c r="H516" i="54"/>
  <c r="G516" i="54"/>
  <c r="F516" i="54"/>
  <c r="E516" i="54"/>
  <c r="D516" i="54"/>
  <c r="C516" i="54"/>
  <c r="S513" i="54"/>
  <c r="R513" i="54"/>
  <c r="Q513" i="54"/>
  <c r="P513" i="54"/>
  <c r="O513" i="54"/>
  <c r="N513" i="54"/>
  <c r="M513" i="54"/>
  <c r="L513" i="54"/>
  <c r="K513" i="54"/>
  <c r="J513" i="54"/>
  <c r="I513" i="54"/>
  <c r="H513" i="54"/>
  <c r="G513" i="54"/>
  <c r="F513" i="54"/>
  <c r="E513" i="54"/>
  <c r="D513" i="54"/>
  <c r="C513" i="54"/>
  <c r="S510" i="54"/>
  <c r="R510" i="54"/>
  <c r="Q510" i="54"/>
  <c r="P510" i="54"/>
  <c r="O510" i="54"/>
  <c r="N510" i="54"/>
  <c r="M510" i="54"/>
  <c r="L510" i="54"/>
  <c r="K510" i="54"/>
  <c r="J510" i="54"/>
  <c r="I510" i="54"/>
  <c r="H510" i="54"/>
  <c r="G510" i="54"/>
  <c r="F510" i="54"/>
  <c r="E510" i="54"/>
  <c r="D510" i="54"/>
  <c r="C510" i="54"/>
  <c r="S507" i="54"/>
  <c r="R507" i="54"/>
  <c r="Q507" i="54"/>
  <c r="P507" i="54"/>
  <c r="O507" i="54"/>
  <c r="N507" i="54"/>
  <c r="M507" i="54"/>
  <c r="L507" i="54"/>
  <c r="K507" i="54"/>
  <c r="J507" i="54"/>
  <c r="I507" i="54"/>
  <c r="H507" i="54"/>
  <c r="G507" i="54"/>
  <c r="F507" i="54"/>
  <c r="E507" i="54"/>
  <c r="D507" i="54"/>
  <c r="C507" i="54"/>
  <c r="R433" i="54"/>
  <c r="Q433" i="54"/>
  <c r="P433" i="54"/>
  <c r="O433" i="54"/>
  <c r="N433" i="54"/>
  <c r="M433" i="54"/>
  <c r="L433" i="54"/>
  <c r="K433" i="54"/>
  <c r="J433" i="54"/>
  <c r="I433" i="54"/>
  <c r="H433" i="54"/>
  <c r="G433" i="54"/>
  <c r="F433" i="54"/>
  <c r="E433" i="54"/>
  <c r="D433" i="54"/>
  <c r="C433" i="54"/>
  <c r="S430" i="54"/>
  <c r="R430" i="54"/>
  <c r="D98" i="45" l="1"/>
  <c r="H269" i="278"/>
  <c r="D655" i="278" s="1"/>
  <c r="D692" i="278" s="1"/>
  <c r="H26" i="45"/>
  <c r="D95" i="45" s="1"/>
  <c r="H636" i="278"/>
  <c r="H129" i="278"/>
  <c r="D654" i="278" s="1"/>
  <c r="H181" i="276"/>
  <c r="H831" i="276"/>
  <c r="G9" i="270"/>
  <c r="H97" i="267"/>
  <c r="D866" i="267" s="1"/>
  <c r="H483" i="267"/>
  <c r="D882" i="267" s="1"/>
  <c r="F29" i="1"/>
  <c r="F19" i="206"/>
  <c r="F64" i="1" s="1"/>
  <c r="F15" i="213"/>
  <c r="F59" i="1" s="1"/>
  <c r="F17" i="260"/>
  <c r="F36" i="1" s="1"/>
  <c r="F12" i="245"/>
  <c r="F21" i="1" s="1"/>
  <c r="H14" i="266"/>
  <c r="H666" i="267"/>
  <c r="D896" i="267" s="1"/>
  <c r="H414" i="267"/>
  <c r="D876" i="267" s="1"/>
  <c r="H451" i="267"/>
  <c r="D879" i="267" s="1"/>
  <c r="H85" i="271"/>
  <c r="D128" i="271" s="1"/>
  <c r="H62" i="266"/>
  <c r="D86" i="266" s="1"/>
  <c r="H76" i="45"/>
  <c r="D100" i="45" s="1"/>
  <c r="H82" i="45"/>
  <c r="D101" i="45" s="1"/>
  <c r="D81" i="266"/>
  <c r="G602" i="267"/>
  <c r="H605" i="267" s="1"/>
  <c r="D891" i="267" s="1"/>
  <c r="F12" i="219"/>
  <c r="F42" i="1" s="1"/>
  <c r="H46" i="271"/>
  <c r="D125" i="271" s="1"/>
  <c r="H17" i="268"/>
  <c r="D40" i="268" s="1"/>
  <c r="H599" i="267"/>
  <c r="D890" i="267" s="1"/>
  <c r="H10" i="268"/>
  <c r="F36" i="264"/>
  <c r="F40" i="1" s="1"/>
  <c r="F14" i="248"/>
  <c r="F24" i="1" s="1"/>
  <c r="F13" i="265"/>
  <c r="F41" i="1" s="1"/>
  <c r="F19" i="229"/>
  <c r="F52" i="1" s="1"/>
  <c r="H33" i="45"/>
  <c r="D96" i="45" s="1"/>
  <c r="H23" i="268"/>
  <c r="D41" i="268" s="1"/>
  <c r="H52" i="271"/>
  <c r="D126" i="271" s="1"/>
  <c r="H551" i="267"/>
  <c r="D887" i="267" s="1"/>
  <c r="H764" i="267"/>
  <c r="D904" i="267" s="1"/>
  <c r="H31" i="271"/>
  <c r="D124" i="271" s="1"/>
  <c r="G555" i="267"/>
  <c r="H561" i="267" s="1"/>
  <c r="D888" i="267" s="1"/>
  <c r="F15" i="263"/>
  <c r="F39" i="1" s="1"/>
  <c r="H106" i="271"/>
  <c r="H16" i="271"/>
  <c r="D123" i="271" s="1"/>
  <c r="F21" i="238"/>
  <c r="F14" i="1" s="1"/>
  <c r="G150" i="267"/>
  <c r="H152" i="267" s="1"/>
  <c r="D870" i="267" s="1"/>
  <c r="H47" i="270"/>
  <c r="D90" i="270" s="1"/>
  <c r="F18" i="257"/>
  <c r="F33" i="1" s="1"/>
  <c r="G65" i="45"/>
  <c r="H67" i="45" s="1"/>
  <c r="D99" i="45" s="1"/>
  <c r="H461" i="267"/>
  <c r="D880" i="267" s="1"/>
  <c r="H166" i="267"/>
  <c r="D871" i="267" s="1"/>
  <c r="H31" i="275"/>
  <c r="D44" i="275" s="1"/>
  <c r="H52" i="267"/>
  <c r="D863" i="267" s="1"/>
  <c r="H42" i="272"/>
  <c r="D112" i="272" s="1"/>
  <c r="G645" i="267"/>
  <c r="H648" i="267" s="1"/>
  <c r="D895" i="267" s="1"/>
  <c r="F12" i="227"/>
  <c r="F50" i="1" s="1"/>
  <c r="H437" i="267"/>
  <c r="D878" i="267" s="1"/>
  <c r="H20" i="274"/>
  <c r="D82" i="274" s="1"/>
  <c r="H70" i="274"/>
  <c r="H34" i="275"/>
  <c r="H12" i="275"/>
  <c r="D41" i="275" s="1"/>
  <c r="H75" i="270"/>
  <c r="D93" i="270" s="1"/>
  <c r="H752" i="267"/>
  <c r="D903" i="267" s="1"/>
  <c r="F20" i="234"/>
  <c r="F10" i="1" s="1"/>
  <c r="G12" i="45"/>
  <c r="H12" i="45" s="1"/>
  <c r="D93" i="45" s="1"/>
  <c r="F16" i="211"/>
  <c r="F57" i="1" s="1"/>
  <c r="G723" i="267"/>
  <c r="H725" i="267" s="1"/>
  <c r="D901" i="267" s="1"/>
  <c r="F25" i="208"/>
  <c r="F66" i="1" s="1"/>
  <c r="G803" i="267"/>
  <c r="H813" i="267" s="1"/>
  <c r="D907" i="267" s="1"/>
  <c r="F12" i="205"/>
  <c r="F6" i="1" s="1"/>
  <c r="G38" i="267"/>
  <c r="H41" i="267" s="1"/>
  <c r="D862" i="267" s="1"/>
  <c r="H46" i="274"/>
  <c r="D86" i="274" s="1"/>
  <c r="H67" i="274"/>
  <c r="D87" i="274" s="1"/>
  <c r="H102" i="271"/>
  <c r="D129" i="271" s="1"/>
  <c r="H78" i="267"/>
  <c r="D864" i="267" s="1"/>
  <c r="G24" i="266"/>
  <c r="H25" i="266" s="1"/>
  <c r="D83" i="266" s="1"/>
  <c r="F10" i="246"/>
  <c r="F22" i="1" s="1"/>
  <c r="H20" i="272"/>
  <c r="D110" i="272" s="1"/>
  <c r="G622" i="267"/>
  <c r="H622" i="267" s="1"/>
  <c r="D893" i="267" s="1"/>
  <c r="F9" i="223"/>
  <c r="F46" i="1" s="1"/>
  <c r="H592" i="267"/>
  <c r="D889" i="267" s="1"/>
  <c r="H496" i="267"/>
  <c r="D883" i="267" s="1"/>
  <c r="H17" i="270"/>
  <c r="D87" i="270" s="1"/>
  <c r="H41" i="270"/>
  <c r="D89" i="270" s="1"/>
  <c r="F15" i="251"/>
  <c r="F27" i="1" s="1"/>
  <c r="F23" i="228"/>
  <c r="F51" i="1" s="1"/>
  <c r="F21" i="241"/>
  <c r="F17" i="1" s="1"/>
  <c r="G181" i="267"/>
  <c r="F17" i="215"/>
  <c r="F61" i="1" s="1"/>
  <c r="F17" i="203"/>
  <c r="F7" i="1" s="1"/>
  <c r="H26" i="274"/>
  <c r="D83" i="274" s="1"/>
  <c r="F17" i="207"/>
  <c r="F65" i="1" s="1"/>
  <c r="G789" i="267"/>
  <c r="H792" i="267" s="1"/>
  <c r="D906" i="267" s="1"/>
  <c r="F19" i="239"/>
  <c r="F15" i="1" s="1"/>
  <c r="F28" i="225"/>
  <c r="F48" i="1" s="1"/>
  <c r="G40" i="266"/>
  <c r="H56" i="266" s="1"/>
  <c r="D85" i="266" s="1"/>
  <c r="H34" i="266"/>
  <c r="D84" i="266" s="1"/>
  <c r="H54" i="270"/>
  <c r="D91" i="270" s="1"/>
  <c r="H778" i="267"/>
  <c r="D905" i="267" s="1"/>
  <c r="G135" i="267"/>
  <c r="H136" i="267" s="1"/>
  <c r="D869" i="267" s="1"/>
  <c r="F9" i="237"/>
  <c r="F13" i="1" s="1"/>
  <c r="G509" i="267"/>
  <c r="H529" i="267" s="1"/>
  <c r="D885" i="267" s="1"/>
  <c r="F29" i="258"/>
  <c r="F34" i="1" s="1"/>
  <c r="G684" i="267"/>
  <c r="H689" i="267" s="1"/>
  <c r="D898" i="267" s="1"/>
  <c r="F14" i="231"/>
  <c r="F54" i="1" s="1"/>
  <c r="H71" i="271"/>
  <c r="D127" i="271" s="1"/>
  <c r="H31" i="274"/>
  <c r="D84" i="274" s="1"/>
  <c r="H20" i="266"/>
  <c r="D82" i="266" s="1"/>
  <c r="H41" i="45"/>
  <c r="D97" i="45" s="1"/>
  <c r="G27" i="268"/>
  <c r="H27" i="268" s="1"/>
  <c r="D42" i="268" s="1"/>
  <c r="F9" i="261"/>
  <c r="F37" i="1" s="1"/>
  <c r="G500" i="267"/>
  <c r="F13" i="256"/>
  <c r="F32" i="1" s="1"/>
  <c r="G12" i="267"/>
  <c r="G20" i="267"/>
  <c r="G11" i="267"/>
  <c r="G21" i="267"/>
  <c r="G16" i="267"/>
  <c r="G10" i="267"/>
  <c r="G33" i="267"/>
  <c r="G24" i="267"/>
  <c r="G22" i="267"/>
  <c r="G17" i="267"/>
  <c r="G30" i="267"/>
  <c r="G35" i="267"/>
  <c r="G23" i="267"/>
  <c r="G26" i="267"/>
  <c r="F36" i="78"/>
  <c r="F4" i="1" s="1"/>
  <c r="G28" i="267"/>
  <c r="G9" i="267"/>
  <c r="G8" i="267"/>
  <c r="G19" i="267"/>
  <c r="G32" i="267"/>
  <c r="G31" i="267"/>
  <c r="G18" i="267"/>
  <c r="G27" i="267"/>
  <c r="G25" i="267"/>
  <c r="G34" i="267"/>
  <c r="G15" i="267"/>
  <c r="G29" i="267"/>
  <c r="G13" i="267"/>
  <c r="G14" i="267"/>
  <c r="G276" i="267"/>
  <c r="G214" i="267"/>
  <c r="G243" i="267"/>
  <c r="G204" i="267"/>
  <c r="G262" i="267"/>
  <c r="G198" i="267"/>
  <c r="G269" i="267"/>
  <c r="G301" i="267"/>
  <c r="G363" i="267"/>
  <c r="G299" i="267"/>
  <c r="G309" i="267"/>
  <c r="G298" i="267"/>
  <c r="G210" i="267"/>
  <c r="G282" i="267"/>
  <c r="G265" i="267"/>
  <c r="G295" i="267"/>
  <c r="G242" i="267"/>
  <c r="G270" i="267"/>
  <c r="G278" i="267"/>
  <c r="G372" i="267"/>
  <c r="G263" i="267"/>
  <c r="G367" i="267"/>
  <c r="G293" i="267"/>
  <c r="G209" i="267"/>
  <c r="G193" i="267"/>
  <c r="G289" i="267"/>
  <c r="G365" i="267"/>
  <c r="G300" i="267"/>
  <c r="G297" i="267"/>
  <c r="G286" i="267"/>
  <c r="G290" i="267"/>
  <c r="G179" i="267"/>
  <c r="G291" i="267"/>
  <c r="G211" i="267"/>
  <c r="G186" i="267"/>
  <c r="G283" i="267"/>
  <c r="G264" i="267"/>
  <c r="G207" i="267"/>
  <c r="G192" i="267"/>
  <c r="G364" i="267"/>
  <c r="G360" i="267"/>
  <c r="G368" i="267"/>
  <c r="G356" i="267"/>
  <c r="G222" i="267"/>
  <c r="G362" i="267"/>
  <c r="G272" i="267"/>
  <c r="G303" i="267"/>
  <c r="G277" i="267"/>
  <c r="G219" i="267"/>
  <c r="G256" i="267"/>
  <c r="G255" i="267"/>
  <c r="G371" i="267"/>
  <c r="G187" i="267"/>
  <c r="G281" i="267"/>
  <c r="G275" i="267"/>
  <c r="G199" i="267"/>
  <c r="G279" i="267"/>
  <c r="G296" i="267"/>
  <c r="G271" i="267"/>
  <c r="G208" i="267"/>
  <c r="G306" i="267"/>
  <c r="G302" i="267"/>
  <c r="G218" i="267"/>
  <c r="G200" i="267"/>
  <c r="G280" i="267"/>
  <c r="G237" i="267"/>
  <c r="G358" i="267"/>
  <c r="G215" i="267"/>
  <c r="G189" i="267"/>
  <c r="G239" i="267"/>
  <c r="G245" i="267"/>
  <c r="G190" i="267"/>
  <c r="G285" i="267"/>
  <c r="G220" i="267"/>
  <c r="G194" i="267"/>
  <c r="G201" i="267"/>
  <c r="G234" i="267"/>
  <c r="G260" i="267"/>
  <c r="G196" i="267"/>
  <c r="G246" i="267"/>
  <c r="G212" i="267"/>
  <c r="G240" i="267"/>
  <c r="G292" i="267"/>
  <c r="G241" i="267"/>
  <c r="G369" i="267"/>
  <c r="G266" i="267"/>
  <c r="G236" i="267"/>
  <c r="G213" i="267"/>
  <c r="G274" i="267"/>
  <c r="G221" i="267"/>
  <c r="G361" i="267"/>
  <c r="G370" i="267"/>
  <c r="G238" i="267"/>
  <c r="G288" i="267"/>
  <c r="G312" i="267"/>
  <c r="G284" i="267"/>
  <c r="G355" i="267"/>
  <c r="G294" i="267"/>
  <c r="G258" i="267"/>
  <c r="G235" i="267"/>
  <c r="G206" i="267"/>
  <c r="G195" i="267"/>
  <c r="G244" i="267"/>
  <c r="G304" i="267"/>
  <c r="G311" i="267"/>
  <c r="G273" i="267"/>
  <c r="G216" i="267"/>
  <c r="G313" i="267"/>
  <c r="G366" i="267"/>
  <c r="G305" i="267"/>
  <c r="G267" i="267"/>
  <c r="G205" i="267"/>
  <c r="G357" i="267"/>
  <c r="G197" i="267"/>
  <c r="G217" i="267"/>
  <c r="G310" i="267"/>
  <c r="G268" i="267"/>
  <c r="G308" i="267"/>
  <c r="G259" i="267"/>
  <c r="G261" i="267"/>
  <c r="G359" i="267"/>
  <c r="G223" i="267"/>
  <c r="G287" i="267"/>
  <c r="G257" i="267"/>
  <c r="G202" i="267"/>
  <c r="G188" i="267"/>
  <c r="G466" i="267"/>
  <c r="H474" i="267" s="1"/>
  <c r="D881" i="267" s="1"/>
  <c r="G307" i="267"/>
  <c r="G125" i="267"/>
  <c r="H131" i="267" s="1"/>
  <c r="D868" i="267" s="1"/>
  <c r="G191" i="267"/>
  <c r="G101" i="267"/>
  <c r="H110" i="267" s="1"/>
  <c r="D867" i="267" s="1"/>
  <c r="G88" i="267"/>
  <c r="G637" i="267"/>
  <c r="H641" i="267" s="1"/>
  <c r="D894" i="267" s="1"/>
  <c r="G85" i="267"/>
  <c r="G711" i="267"/>
  <c r="H714" i="267" s="1"/>
  <c r="D900" i="267" s="1"/>
  <c r="F12" i="233"/>
  <c r="F56" i="1" s="1"/>
  <c r="F19" i="218"/>
  <c r="F9" i="1" s="1"/>
  <c r="F19" i="247"/>
  <c r="F23" i="1" s="1"/>
  <c r="G419" i="267"/>
  <c r="H428" i="267" s="1"/>
  <c r="D877" i="267" s="1"/>
  <c r="F19" i="222"/>
  <c r="F45" i="1" s="1"/>
  <c r="G617" i="267"/>
  <c r="H619" i="267" s="1"/>
  <c r="D892" i="267" s="1"/>
  <c r="H407" i="267"/>
  <c r="D875" i="267" s="1"/>
  <c r="F14" i="244"/>
  <c r="F20" i="1" s="1"/>
  <c r="F23" i="232"/>
  <c r="F55" i="1" s="1"/>
  <c r="H707" i="267"/>
  <c r="D899" i="267" s="1"/>
  <c r="F18" i="209"/>
  <c r="F67" i="1" s="1"/>
  <c r="H828" i="267"/>
  <c r="D908" i="267" s="1"/>
  <c r="F22" i="212"/>
  <c r="F58" i="1" s="1"/>
  <c r="G735" i="267"/>
  <c r="H680" i="267"/>
  <c r="D897" i="267" s="1"/>
  <c r="F22" i="217"/>
  <c r="F63" i="1" s="1"/>
  <c r="F24" i="226"/>
  <c r="F49" i="1" s="1"/>
  <c r="F54" i="252"/>
  <c r="F28" i="1" s="1"/>
  <c r="F197" i="242"/>
  <c r="F18" i="1" s="1"/>
  <c r="F32" i="210"/>
  <c r="F8" i="1" s="1"/>
  <c r="F53" i="235"/>
  <c r="F11" i="1" s="1"/>
  <c r="Q430" i="54"/>
  <c r="P430" i="54"/>
  <c r="O430" i="54"/>
  <c r="N430" i="54"/>
  <c r="M430" i="54"/>
  <c r="L430" i="54"/>
  <c r="K430" i="54"/>
  <c r="J430" i="54"/>
  <c r="I430" i="54"/>
  <c r="H430" i="54"/>
  <c r="G430" i="54"/>
  <c r="F430" i="54"/>
  <c r="D430" i="54"/>
  <c r="R427" i="54"/>
  <c r="Q427" i="54"/>
  <c r="P427" i="54"/>
  <c r="O427" i="54"/>
  <c r="N427" i="54"/>
  <c r="M427" i="54"/>
  <c r="K427" i="54"/>
  <c r="J427" i="54"/>
  <c r="H427" i="54"/>
  <c r="G427" i="54"/>
  <c r="F427" i="54"/>
  <c r="E427" i="54"/>
  <c r="D427" i="54"/>
  <c r="C427" i="54"/>
  <c r="S424" i="54"/>
  <c r="R424" i="54"/>
  <c r="Q424" i="54"/>
  <c r="P424" i="54"/>
  <c r="O424" i="54"/>
  <c r="N424" i="54"/>
  <c r="M424" i="54"/>
  <c r="L424" i="54"/>
  <c r="K424" i="54"/>
  <c r="J424" i="54"/>
  <c r="I424" i="54"/>
  <c r="H424" i="54"/>
  <c r="G424" i="54"/>
  <c r="F424" i="54"/>
  <c r="E424" i="54"/>
  <c r="D424" i="54"/>
  <c r="C424" i="54"/>
  <c r="K421" i="54"/>
  <c r="D421" i="54"/>
  <c r="C420" i="54"/>
  <c r="H419" i="54"/>
  <c r="R432" i="54"/>
  <c r="Q432" i="54"/>
  <c r="P432" i="54"/>
  <c r="O432" i="54"/>
  <c r="N432" i="54"/>
  <c r="M432" i="54"/>
  <c r="L432" i="54"/>
  <c r="K432" i="54"/>
  <c r="J432" i="54"/>
  <c r="I432" i="54"/>
  <c r="H432" i="54"/>
  <c r="G432" i="54"/>
  <c r="F432" i="54"/>
  <c r="E432" i="54"/>
  <c r="D432" i="54"/>
  <c r="C432" i="54"/>
  <c r="S429" i="54"/>
  <c r="R429" i="54"/>
  <c r="Q429" i="54"/>
  <c r="P429" i="54"/>
  <c r="O429" i="54"/>
  <c r="N429" i="54"/>
  <c r="M429" i="54"/>
  <c r="L429" i="54"/>
  <c r="K429" i="54"/>
  <c r="J429" i="54"/>
  <c r="I429" i="54"/>
  <c r="H429" i="54"/>
  <c r="G429" i="54"/>
  <c r="F429" i="54"/>
  <c r="E429" i="54"/>
  <c r="D429" i="54"/>
  <c r="C429" i="54"/>
  <c r="S426" i="54"/>
  <c r="R426" i="54"/>
  <c r="Q426" i="54"/>
  <c r="P426" i="54"/>
  <c r="O426" i="54"/>
  <c r="N426" i="54"/>
  <c r="M426" i="54"/>
  <c r="L426" i="54"/>
  <c r="K426" i="54"/>
  <c r="J426" i="54"/>
  <c r="I426" i="54"/>
  <c r="H426" i="54"/>
  <c r="G426" i="54"/>
  <c r="F426" i="54"/>
  <c r="E426" i="54"/>
  <c r="D426" i="54"/>
  <c r="C426" i="54"/>
  <c r="S423" i="54"/>
  <c r="R423" i="54"/>
  <c r="Q423" i="54"/>
  <c r="P423" i="54"/>
  <c r="O423" i="54"/>
  <c r="N423" i="54"/>
  <c r="M423" i="54"/>
  <c r="L423" i="54"/>
  <c r="K423" i="54"/>
  <c r="J423" i="54"/>
  <c r="I423" i="54"/>
  <c r="H423" i="54"/>
  <c r="G423" i="54"/>
  <c r="F423" i="54"/>
  <c r="E423" i="54"/>
  <c r="D423" i="54"/>
  <c r="C423" i="54"/>
  <c r="R348" i="54"/>
  <c r="Q348" i="54"/>
  <c r="P348" i="54"/>
  <c r="O348" i="54"/>
  <c r="N348" i="54"/>
  <c r="M348" i="54"/>
  <c r="L348" i="54"/>
  <c r="K348" i="54"/>
  <c r="J348" i="54"/>
  <c r="I348" i="54"/>
  <c r="H348" i="54"/>
  <c r="G348" i="54"/>
  <c r="F348" i="54"/>
  <c r="E348" i="54"/>
  <c r="D348" i="54"/>
  <c r="C348" i="54"/>
  <c r="S345" i="54"/>
  <c r="R345" i="54"/>
  <c r="Q345" i="54"/>
  <c r="P345" i="54"/>
  <c r="O345" i="54"/>
  <c r="N345" i="54"/>
  <c r="M345" i="54"/>
  <c r="L345" i="54"/>
  <c r="K345" i="54"/>
  <c r="J345" i="54"/>
  <c r="I345" i="54"/>
  <c r="H345" i="54"/>
  <c r="G345" i="54"/>
  <c r="F345" i="54"/>
  <c r="D345" i="54"/>
  <c r="R342" i="54"/>
  <c r="Q342" i="54"/>
  <c r="P342" i="54"/>
  <c r="O342" i="54"/>
  <c r="N342" i="54"/>
  <c r="M342" i="54"/>
  <c r="K342" i="54"/>
  <c r="J342" i="54"/>
  <c r="H342" i="54"/>
  <c r="G342" i="54"/>
  <c r="F342" i="54"/>
  <c r="E342" i="54"/>
  <c r="D342" i="54"/>
  <c r="C342" i="54"/>
  <c r="S339" i="54"/>
  <c r="R339" i="54"/>
  <c r="Q339" i="54"/>
  <c r="P339" i="54"/>
  <c r="O339" i="54"/>
  <c r="N339" i="54"/>
  <c r="M339" i="54"/>
  <c r="L339" i="54"/>
  <c r="K339" i="54"/>
  <c r="J339" i="54"/>
  <c r="I339" i="54"/>
  <c r="H339" i="54"/>
  <c r="G339" i="54"/>
  <c r="F339" i="54"/>
  <c r="E339" i="54"/>
  <c r="D339" i="54"/>
  <c r="C339" i="54"/>
  <c r="K336" i="54"/>
  <c r="D336" i="54"/>
  <c r="C335" i="54"/>
  <c r="H334" i="54"/>
  <c r="R347" i="54"/>
  <c r="Q347" i="54"/>
  <c r="P347" i="54"/>
  <c r="O347" i="54"/>
  <c r="N347" i="54"/>
  <c r="M347" i="54"/>
  <c r="L347" i="54"/>
  <c r="K347" i="54"/>
  <c r="J347" i="54"/>
  <c r="I347" i="54"/>
  <c r="H347" i="54"/>
  <c r="G347" i="54"/>
  <c r="F347" i="54"/>
  <c r="E347" i="54"/>
  <c r="D347" i="54"/>
  <c r="C347" i="54"/>
  <c r="S344" i="54"/>
  <c r="R344" i="54"/>
  <c r="Q344" i="54"/>
  <c r="P344" i="54"/>
  <c r="O344" i="54"/>
  <c r="N344" i="54"/>
  <c r="M344" i="54"/>
  <c r="L344" i="54"/>
  <c r="K344" i="54"/>
  <c r="J344" i="54"/>
  <c r="I344" i="54"/>
  <c r="H344" i="54"/>
  <c r="G344" i="54"/>
  <c r="F344" i="54"/>
  <c r="E344" i="54"/>
  <c r="D344" i="54"/>
  <c r="C344" i="54"/>
  <c r="S341" i="54"/>
  <c r="R341" i="54"/>
  <c r="Q341" i="54"/>
  <c r="P341" i="54"/>
  <c r="O341" i="54"/>
  <c r="N341" i="54"/>
  <c r="M341" i="54"/>
  <c r="L341" i="54"/>
  <c r="K341" i="54"/>
  <c r="J341" i="54"/>
  <c r="I341" i="54"/>
  <c r="H341" i="54"/>
  <c r="G341" i="54"/>
  <c r="F341" i="54"/>
  <c r="E341" i="54"/>
  <c r="D341" i="54"/>
  <c r="C341" i="54"/>
  <c r="S338" i="54"/>
  <c r="R338" i="54"/>
  <c r="Q338" i="54"/>
  <c r="P338" i="54"/>
  <c r="O338" i="54"/>
  <c r="N338" i="54"/>
  <c r="M338" i="54"/>
  <c r="L338" i="54"/>
  <c r="K338" i="54"/>
  <c r="J338" i="54"/>
  <c r="I338" i="54"/>
  <c r="H338" i="54"/>
  <c r="G338" i="54"/>
  <c r="F338" i="54"/>
  <c r="E338" i="54"/>
  <c r="D338" i="54"/>
  <c r="C338" i="54"/>
  <c r="R265" i="54"/>
  <c r="Q265" i="54"/>
  <c r="P265" i="54"/>
  <c r="O266" i="53"/>
  <c r="O265" i="54"/>
  <c r="N265" i="54"/>
  <c r="M265" i="54"/>
  <c r="L265" i="54"/>
  <c r="K265" i="54"/>
  <c r="J265" i="54"/>
  <c r="I265" i="54"/>
  <c r="H265" i="54"/>
  <c r="G265" i="54"/>
  <c r="F265" i="54"/>
  <c r="E265" i="54"/>
  <c r="D265" i="54"/>
  <c r="C265" i="54"/>
  <c r="S262" i="54"/>
  <c r="R262" i="54"/>
  <c r="Q262" i="54"/>
  <c r="P262" i="54"/>
  <c r="O262" i="54"/>
  <c r="N262" i="54"/>
  <c r="M262" i="54"/>
  <c r="L262" i="54"/>
  <c r="K262" i="54"/>
  <c r="J262" i="54"/>
  <c r="I262" i="54"/>
  <c r="H262" i="54"/>
  <c r="G262" i="54"/>
  <c r="F262" i="54"/>
  <c r="D262" i="54"/>
  <c r="R259" i="54"/>
  <c r="Q259" i="54"/>
  <c r="P259" i="54"/>
  <c r="O259" i="54"/>
  <c r="N259" i="54"/>
  <c r="M259" i="54"/>
  <c r="K259" i="54"/>
  <c r="J259" i="54"/>
  <c r="H259" i="54"/>
  <c r="G259" i="54"/>
  <c r="F259" i="54"/>
  <c r="E259" i="54"/>
  <c r="D259" i="54"/>
  <c r="C259" i="54"/>
  <c r="S256" i="54"/>
  <c r="R256" i="54"/>
  <c r="Q256" i="54"/>
  <c r="P256" i="54"/>
  <c r="O256" i="54"/>
  <c r="N256" i="54"/>
  <c r="M256" i="54"/>
  <c r="L256" i="54"/>
  <c r="K256" i="54"/>
  <c r="J256" i="54"/>
  <c r="I256" i="54"/>
  <c r="H256" i="54"/>
  <c r="G256" i="54"/>
  <c r="F256" i="54"/>
  <c r="E256" i="54"/>
  <c r="D256" i="54"/>
  <c r="C256" i="54"/>
  <c r="K253" i="54"/>
  <c r="D253" i="54"/>
  <c r="C252" i="54"/>
  <c r="H251" i="54"/>
  <c r="R264" i="54"/>
  <c r="Q264" i="54"/>
  <c r="P264" i="54"/>
  <c r="O264" i="54"/>
  <c r="N264" i="54"/>
  <c r="M264" i="54"/>
  <c r="L264" i="54"/>
  <c r="K264" i="54"/>
  <c r="J264" i="54"/>
  <c r="I264" i="54"/>
  <c r="H264" i="54"/>
  <c r="G264" i="54"/>
  <c r="F264" i="54"/>
  <c r="E264" i="54"/>
  <c r="D264" i="54"/>
  <c r="C264" i="54"/>
  <c r="S261" i="54"/>
  <c r="R261" i="54"/>
  <c r="Q261" i="54"/>
  <c r="P261" i="54"/>
  <c r="O261" i="54"/>
  <c r="N261" i="54"/>
  <c r="M261" i="54"/>
  <c r="L261" i="54"/>
  <c r="K261" i="54"/>
  <c r="J261" i="54"/>
  <c r="I261" i="54"/>
  <c r="H261" i="54"/>
  <c r="G261" i="54"/>
  <c r="F261" i="54"/>
  <c r="E261" i="54"/>
  <c r="D261" i="54"/>
  <c r="C261" i="54"/>
  <c r="S258" i="54"/>
  <c r="R258" i="54"/>
  <c r="Q258" i="54"/>
  <c r="P258" i="54"/>
  <c r="O258" i="54"/>
  <c r="N258" i="54"/>
  <c r="M258" i="54"/>
  <c r="L258" i="54"/>
  <c r="K258" i="54"/>
  <c r="J258" i="54"/>
  <c r="I258" i="54"/>
  <c r="H258" i="54"/>
  <c r="G258" i="54"/>
  <c r="F258" i="54"/>
  <c r="E258" i="54"/>
  <c r="D258" i="54"/>
  <c r="C258" i="54"/>
  <c r="S255" i="54"/>
  <c r="R255" i="54"/>
  <c r="Q255" i="54"/>
  <c r="P255" i="54"/>
  <c r="O255" i="54"/>
  <c r="N255" i="54"/>
  <c r="M255" i="54"/>
  <c r="L255" i="54"/>
  <c r="K255" i="54"/>
  <c r="J255" i="54"/>
  <c r="I255" i="54"/>
  <c r="H255" i="54"/>
  <c r="G255" i="54"/>
  <c r="F255" i="54"/>
  <c r="E255" i="54"/>
  <c r="D255" i="54"/>
  <c r="C255" i="54"/>
  <c r="R181" i="54"/>
  <c r="Q181" i="54"/>
  <c r="P181" i="54"/>
  <c r="O181" i="54"/>
  <c r="N181" i="54"/>
  <c r="M181" i="54"/>
  <c r="L181" i="54"/>
  <c r="K181" i="54"/>
  <c r="J181" i="54"/>
  <c r="I181" i="54"/>
  <c r="H181" i="54"/>
  <c r="G181" i="54"/>
  <c r="F181" i="54"/>
  <c r="E181" i="54"/>
  <c r="D181" i="54"/>
  <c r="C181" i="54"/>
  <c r="S178" i="54"/>
  <c r="R178" i="54"/>
  <c r="Q178" i="54"/>
  <c r="P178" i="54"/>
  <c r="O178" i="54"/>
  <c r="N178" i="54"/>
  <c r="M178" i="54"/>
  <c r="L178" i="54"/>
  <c r="K178" i="54"/>
  <c r="J178" i="54"/>
  <c r="I178" i="54"/>
  <c r="H178" i="54"/>
  <c r="G178" i="54"/>
  <c r="F178" i="54"/>
  <c r="D178" i="54"/>
  <c r="R175" i="54"/>
  <c r="Q175" i="54"/>
  <c r="P175" i="54"/>
  <c r="O175" i="54"/>
  <c r="N175" i="54"/>
  <c r="M175" i="54"/>
  <c r="K175" i="54"/>
  <c r="J175" i="54"/>
  <c r="H175" i="54"/>
  <c r="G175" i="54"/>
  <c r="H182" i="267" l="1"/>
  <c r="D872" i="267" s="1"/>
  <c r="D893" i="276"/>
  <c r="D88" i="266"/>
  <c r="D46" i="275"/>
  <c r="D131" i="271"/>
  <c r="H90" i="267"/>
  <c r="D865" i="267" s="1"/>
  <c r="D89" i="274"/>
  <c r="H30" i="268"/>
  <c r="D39" i="268"/>
  <c r="D44" i="268" s="1"/>
  <c r="H65" i="266"/>
  <c r="H504" i="267"/>
  <c r="D884" i="267" s="1"/>
  <c r="H372" i="267"/>
  <c r="D873" i="267" s="1"/>
  <c r="H35" i="267"/>
  <c r="D861" i="267" s="1"/>
  <c r="H742" i="267"/>
  <c r="D902" i="267" s="1"/>
  <c r="F175" i="54"/>
  <c r="E175" i="54"/>
  <c r="D175" i="54"/>
  <c r="C175" i="54"/>
  <c r="S172" i="54"/>
  <c r="R172" i="54"/>
  <c r="Q172" i="54"/>
  <c r="P172" i="54" l="1"/>
  <c r="O172" i="54"/>
  <c r="N172" i="54"/>
  <c r="M172" i="54"/>
  <c r="L172" i="54"/>
  <c r="K172" i="54"/>
  <c r="J172" i="54"/>
  <c r="I172" i="54"/>
  <c r="H172" i="54"/>
  <c r="G172" i="54"/>
  <c r="F172" i="54"/>
  <c r="E172" i="54"/>
  <c r="D172" i="54"/>
  <c r="C172" i="54"/>
  <c r="C168" i="54"/>
  <c r="K169" i="54"/>
  <c r="H2" i="54"/>
  <c r="R16" i="54"/>
  <c r="Q16" i="54"/>
  <c r="P16" i="54"/>
  <c r="O16" i="54"/>
  <c r="N16" i="54"/>
  <c r="M16" i="54"/>
  <c r="L16" i="54"/>
  <c r="K16" i="54"/>
  <c r="J16" i="54"/>
  <c r="I16" i="54"/>
  <c r="H16" i="54"/>
  <c r="G16" i="54"/>
  <c r="F16" i="54"/>
  <c r="E16" i="54"/>
  <c r="D16" i="54"/>
  <c r="C16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D13" i="54"/>
  <c r="R10" i="54"/>
  <c r="Q10" i="54"/>
  <c r="P10" i="54"/>
  <c r="O10" i="54"/>
  <c r="N10" i="54"/>
  <c r="M10" i="54"/>
  <c r="K10" i="54"/>
  <c r="J10" i="54"/>
  <c r="H10" i="54"/>
  <c r="G10" i="54"/>
  <c r="F10" i="54"/>
  <c r="E10" i="54"/>
  <c r="D10" i="54"/>
  <c r="C10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E7" i="54"/>
  <c r="D7" i="54"/>
  <c r="K4" i="54"/>
  <c r="D4" i="54"/>
  <c r="C3" i="54"/>
  <c r="D169" i="54"/>
  <c r="H167" i="54"/>
  <c r="R180" i="54"/>
  <c r="Q180" i="54"/>
  <c r="P180" i="54"/>
  <c r="O180" i="54"/>
  <c r="N180" i="54"/>
  <c r="M180" i="54"/>
  <c r="L180" i="54"/>
  <c r="K180" i="54"/>
  <c r="J180" i="54"/>
  <c r="I180" i="54"/>
  <c r="H180" i="54"/>
  <c r="G180" i="54"/>
  <c r="F180" i="54"/>
  <c r="E180" i="54"/>
  <c r="D180" i="54"/>
  <c r="C180" i="54"/>
  <c r="S177" i="54"/>
  <c r="R177" i="54"/>
  <c r="Q177" i="54"/>
  <c r="P177" i="54"/>
  <c r="O177" i="54"/>
  <c r="N177" i="54"/>
  <c r="M177" i="54"/>
  <c r="L177" i="54"/>
  <c r="K177" i="54"/>
  <c r="J177" i="54"/>
  <c r="I177" i="54"/>
  <c r="H177" i="54"/>
  <c r="G177" i="54"/>
  <c r="F177" i="54"/>
  <c r="E177" i="54"/>
  <c r="D177" i="54"/>
  <c r="C177" i="54"/>
  <c r="S174" i="54"/>
  <c r="R174" i="54"/>
  <c r="Q174" i="54"/>
  <c r="P174" i="54"/>
  <c r="O174" i="54"/>
  <c r="N174" i="54"/>
  <c r="M174" i="54"/>
  <c r="L174" i="54"/>
  <c r="K174" i="54"/>
  <c r="J174" i="54"/>
  <c r="I174" i="54"/>
  <c r="H174" i="54"/>
  <c r="G174" i="54"/>
  <c r="F174" i="54"/>
  <c r="E174" i="54"/>
  <c r="D174" i="54"/>
  <c r="C174" i="54"/>
  <c r="S171" i="54"/>
  <c r="R171" i="54"/>
  <c r="Q171" i="54"/>
  <c r="P171" i="54"/>
  <c r="O171" i="54"/>
  <c r="N171" i="54"/>
  <c r="M171" i="54"/>
  <c r="L171" i="54"/>
  <c r="K171" i="54"/>
  <c r="J171" i="54"/>
  <c r="I171" i="54"/>
  <c r="H171" i="54"/>
  <c r="G171" i="54"/>
  <c r="F171" i="54"/>
  <c r="E171" i="54"/>
  <c r="D171" i="54"/>
  <c r="C171" i="54"/>
  <c r="R97" i="54"/>
  <c r="Q97" i="54"/>
  <c r="P97" i="54"/>
  <c r="O97" i="54"/>
  <c r="N97" i="54"/>
  <c r="M97" i="54"/>
  <c r="K97" i="54"/>
  <c r="L97" i="54"/>
  <c r="J97" i="54"/>
  <c r="I97" i="54"/>
  <c r="H97" i="54"/>
  <c r="G97" i="54"/>
  <c r="F97" i="54"/>
  <c r="E97" i="54"/>
  <c r="D97" i="54"/>
  <c r="C97" i="54"/>
  <c r="S94" i="54"/>
  <c r="R94" i="54"/>
  <c r="Q94" i="54"/>
  <c r="P94" i="54"/>
  <c r="O94" i="54"/>
  <c r="N94" i="54"/>
  <c r="M94" i="54"/>
  <c r="L94" i="54"/>
  <c r="K94" i="54"/>
  <c r="J94" i="54"/>
  <c r="I94" i="54"/>
  <c r="H94" i="54"/>
  <c r="G94" i="54"/>
  <c r="F94" i="54"/>
  <c r="D94" i="54"/>
  <c r="R91" i="54"/>
  <c r="Q91" i="54"/>
  <c r="P91" i="54"/>
  <c r="O91" i="54"/>
  <c r="N91" i="54"/>
  <c r="M91" i="54"/>
  <c r="K91" i="54"/>
  <c r="J91" i="54"/>
  <c r="H91" i="54"/>
  <c r="G91" i="54"/>
  <c r="F91" i="54"/>
  <c r="E91" i="54"/>
  <c r="D91" i="54"/>
  <c r="C91" i="54"/>
  <c r="S88" i="54"/>
  <c r="R88" i="54"/>
  <c r="Q88" i="54"/>
  <c r="P88" i="54"/>
  <c r="O88" i="54"/>
  <c r="N88" i="54"/>
  <c r="M88" i="54"/>
  <c r="L88" i="54"/>
  <c r="K88" i="54"/>
  <c r="J88" i="54"/>
  <c r="I88" i="54"/>
  <c r="H88" i="54"/>
  <c r="G88" i="54"/>
  <c r="F88" i="54"/>
  <c r="E88" i="54"/>
  <c r="D88" i="54"/>
  <c r="C88" i="54"/>
  <c r="K85" i="54"/>
  <c r="D85" i="54"/>
  <c r="C84" i="5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H83" i="54"/>
  <c r="R96" i="54"/>
  <c r="Q96" i="54"/>
  <c r="P96" i="54"/>
  <c r="O96" i="54"/>
  <c r="N96" i="54"/>
  <c r="M96" i="54"/>
  <c r="L96" i="54"/>
  <c r="K96" i="54"/>
  <c r="J96" i="54"/>
  <c r="I96" i="54"/>
  <c r="H96" i="54"/>
  <c r="G96" i="54"/>
  <c r="F96" i="54"/>
  <c r="E96" i="54"/>
  <c r="D96" i="54"/>
  <c r="C96" i="54"/>
  <c r="S93" i="54"/>
  <c r="R93" i="54"/>
  <c r="Q93" i="54"/>
  <c r="P93" i="54"/>
  <c r="O93" i="54"/>
  <c r="N93" i="54"/>
  <c r="M93" i="54"/>
  <c r="L93" i="54"/>
  <c r="K93" i="54"/>
  <c r="J93" i="54"/>
  <c r="I93" i="54"/>
  <c r="H93" i="54"/>
  <c r="G93" i="54"/>
  <c r="F93" i="54"/>
  <c r="E93" i="54"/>
  <c r="D93" i="54"/>
  <c r="C93" i="54"/>
  <c r="S90" i="54"/>
  <c r="R90" i="54"/>
  <c r="Q90" i="54"/>
  <c r="P90" i="54"/>
  <c r="O90" i="54"/>
  <c r="N90" i="54"/>
  <c r="M90" i="54"/>
  <c r="L90" i="54"/>
  <c r="K90" i="54"/>
  <c r="J90" i="54"/>
  <c r="I90" i="54"/>
  <c r="H90" i="54"/>
  <c r="G90" i="54"/>
  <c r="F90" i="54"/>
  <c r="E90" i="54"/>
  <c r="D90" i="54"/>
  <c r="C90" i="54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R15" i="54" l="1"/>
  <c r="Q15" i="54"/>
  <c r="P15" i="54"/>
  <c r="O15" i="54"/>
  <c r="N15" i="54"/>
  <c r="M15" i="54"/>
  <c r="L15" i="54"/>
  <c r="K15" i="54"/>
  <c r="J15" i="54"/>
  <c r="I15" i="54"/>
  <c r="H15" i="54"/>
  <c r="G15" i="54"/>
  <c r="F15" i="54"/>
  <c r="E15" i="54"/>
  <c r="D15" i="54"/>
  <c r="C15" i="54"/>
  <c r="S12" i="54"/>
  <c r="R12" i="54"/>
  <c r="Q12" i="54"/>
  <c r="P12" i="54"/>
  <c r="O12" i="54"/>
  <c r="N12" i="54"/>
  <c r="M12" i="54"/>
  <c r="L12" i="54"/>
  <c r="K12" i="54"/>
  <c r="J12" i="54"/>
  <c r="I12" i="54"/>
  <c r="H12" i="54"/>
  <c r="G12" i="54"/>
  <c r="F12" i="54"/>
  <c r="E12" i="54"/>
  <c r="D12" i="54"/>
  <c r="C12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Q6" i="54"/>
  <c r="P6" i="54"/>
  <c r="O6" i="54"/>
  <c r="N6" i="54"/>
  <c r="M6" i="54"/>
  <c r="L6" i="54"/>
  <c r="K6" i="54"/>
  <c r="J6" i="54"/>
  <c r="I6" i="54"/>
  <c r="H6" i="54"/>
  <c r="G6" i="54"/>
  <c r="F6" i="54"/>
  <c r="E6" i="54"/>
  <c r="D6" i="54"/>
  <c r="C6" i="54"/>
  <c r="S9" i="54"/>
  <c r="R9" i="54"/>
  <c r="S6" i="54"/>
  <c r="R6" i="54"/>
  <c r="BS3" i="4" l="1"/>
  <c r="BR3" i="4"/>
  <c r="BQ3" i="4"/>
  <c r="BP3" i="4"/>
  <c r="BO3" i="4"/>
  <c r="BN3" i="4"/>
  <c r="BM3" i="4"/>
  <c r="A1115" i="4"/>
  <c r="D1115" i="4"/>
  <c r="A1116" i="4"/>
  <c r="D1116" i="4"/>
  <c r="A1117" i="4"/>
  <c r="D1117" i="4"/>
  <c r="A1118" i="4"/>
  <c r="D1118" i="4"/>
  <c r="A1119" i="4"/>
  <c r="D1119" i="4"/>
  <c r="A1120" i="4"/>
  <c r="D1120" i="4"/>
  <c r="A1121" i="4"/>
  <c r="D1121" i="4"/>
  <c r="A1122" i="4"/>
  <c r="D1122" i="4"/>
  <c r="A1123" i="4"/>
  <c r="D1123" i="4"/>
  <c r="A1124" i="4"/>
  <c r="D1124" i="4"/>
  <c r="A1125" i="4"/>
  <c r="C1125" i="4"/>
  <c r="D1125" i="4"/>
  <c r="A1126" i="4"/>
  <c r="C1126" i="4"/>
  <c r="D1126" i="4"/>
  <c r="A1127" i="4"/>
  <c r="D1127" i="4"/>
  <c r="A1128" i="4"/>
  <c r="D1128" i="4"/>
  <c r="A1129" i="4"/>
  <c r="D1129" i="4"/>
  <c r="A1130" i="4"/>
  <c r="C1130" i="4"/>
  <c r="D1130" i="4"/>
  <c r="A1131" i="4"/>
  <c r="C1131" i="4"/>
  <c r="D1131" i="4"/>
  <c r="A1132" i="4"/>
  <c r="C1132" i="4"/>
  <c r="D1132" i="4"/>
  <c r="A1133" i="4"/>
  <c r="D1133" i="4"/>
  <c r="A1134" i="4"/>
  <c r="D1134" i="4"/>
  <c r="A1135" i="4"/>
  <c r="C1135" i="4"/>
  <c r="D1135" i="4"/>
  <c r="A1136" i="4"/>
  <c r="C1136" i="4"/>
  <c r="D1136" i="4"/>
  <c r="A1137" i="4"/>
  <c r="C1137" i="4"/>
  <c r="D1137" i="4"/>
  <c r="A1138" i="4"/>
  <c r="C1138" i="4"/>
  <c r="D1138" i="4"/>
  <c r="A1139" i="4"/>
  <c r="C1139" i="4"/>
  <c r="D1139" i="4"/>
  <c r="A1140" i="4"/>
  <c r="C1140" i="4"/>
  <c r="D1140" i="4"/>
  <c r="A1141" i="4"/>
  <c r="C1141" i="4"/>
  <c r="D1141" i="4"/>
  <c r="A1142" i="4"/>
  <c r="C1142" i="4"/>
  <c r="D1142" i="4"/>
  <c r="A1143" i="4"/>
  <c r="C1143" i="4"/>
  <c r="D1143" i="4"/>
  <c r="A1144" i="4"/>
  <c r="C1144" i="4"/>
  <c r="D1144" i="4"/>
  <c r="A1145" i="4"/>
  <c r="C1145" i="4"/>
  <c r="D1145" i="4"/>
  <c r="A1146" i="4"/>
  <c r="C1146" i="4"/>
  <c r="D1146" i="4"/>
  <c r="A1147" i="4"/>
  <c r="C1147" i="4"/>
  <c r="D1147" i="4"/>
  <c r="A1148" i="4"/>
  <c r="C1148" i="4"/>
  <c r="D1148" i="4"/>
  <c r="A1149" i="4"/>
  <c r="C1149" i="4"/>
  <c r="D1149" i="4"/>
  <c r="A1150" i="4"/>
  <c r="C1150" i="4"/>
  <c r="D1150" i="4"/>
  <c r="A1151" i="4"/>
  <c r="C1151" i="4"/>
  <c r="D1151" i="4"/>
  <c r="C1152" i="4"/>
  <c r="D1152" i="4"/>
  <c r="C1153" i="4"/>
  <c r="D1153" i="4"/>
  <c r="B1156" i="3"/>
  <c r="C1154" i="4"/>
  <c r="D1154" i="4"/>
  <c r="A1155" i="4"/>
  <c r="C1155" i="4"/>
  <c r="D1155" i="4"/>
  <c r="C1156" i="4"/>
  <c r="D1156" i="4"/>
  <c r="C1157" i="4"/>
  <c r="D1157" i="4"/>
  <c r="A1158" i="4"/>
  <c r="C1158" i="4"/>
  <c r="D1158" i="4"/>
  <c r="A1159" i="4"/>
  <c r="C1159" i="4"/>
  <c r="D1159" i="4"/>
  <c r="A1160" i="4"/>
  <c r="C1160" i="4"/>
  <c r="D1160" i="4"/>
  <c r="A1161" i="4"/>
  <c r="C1161" i="4"/>
  <c r="D1161" i="4"/>
  <c r="A1162" i="4"/>
  <c r="C1162" i="4"/>
  <c r="D1162" i="4"/>
  <c r="A1163" i="4"/>
  <c r="C1163" i="4"/>
  <c r="D1163" i="4"/>
  <c r="A1164" i="4"/>
  <c r="C1164" i="4"/>
  <c r="D1164" i="4"/>
  <c r="A1165" i="4"/>
  <c r="C1165" i="4"/>
  <c r="D1165" i="4"/>
  <c r="A1166" i="4"/>
  <c r="C1166" i="4"/>
  <c r="D1166" i="4"/>
  <c r="A1167" i="4"/>
  <c r="C1167" i="4"/>
  <c r="D1167" i="4"/>
  <c r="A1168" i="4"/>
  <c r="C1168" i="4"/>
  <c r="D1168" i="4"/>
  <c r="A1169" i="4"/>
  <c r="C1169" i="4"/>
  <c r="D1169" i="4"/>
  <c r="A1170" i="4"/>
  <c r="C1170" i="4"/>
  <c r="D1170" i="4"/>
  <c r="A1171" i="4"/>
  <c r="C1171" i="4"/>
  <c r="D1171" i="4"/>
  <c r="A1172" i="4"/>
  <c r="C1172" i="4"/>
  <c r="D1172" i="4"/>
  <c r="A1173" i="4"/>
  <c r="C1173" i="4"/>
  <c r="D1173" i="4"/>
  <c r="C1174" i="4"/>
  <c r="D1174" i="4"/>
  <c r="C1175" i="4"/>
  <c r="D1175" i="4"/>
  <c r="C1176" i="4"/>
  <c r="D1176" i="4"/>
  <c r="A1177" i="4"/>
  <c r="C1177" i="4"/>
  <c r="D1177" i="4"/>
  <c r="A1178" i="4"/>
  <c r="C1178" i="4"/>
  <c r="D1178" i="4"/>
  <c r="A1179" i="4"/>
  <c r="C1179" i="4"/>
  <c r="D1179" i="4"/>
  <c r="A1180" i="4"/>
  <c r="C1180" i="4"/>
  <c r="D1180" i="4"/>
  <c r="A1181" i="4"/>
  <c r="C1181" i="4"/>
  <c r="D1181" i="4"/>
  <c r="A1182" i="4"/>
  <c r="C1182" i="4"/>
  <c r="D1182" i="4"/>
  <c r="A1183" i="4"/>
  <c r="D1183" i="4"/>
  <c r="A1184" i="4"/>
  <c r="C1184" i="4"/>
  <c r="D1184" i="4"/>
  <c r="A1185" i="4"/>
  <c r="C1185" i="4"/>
  <c r="D1185" i="4"/>
  <c r="A1186" i="4"/>
  <c r="C1186" i="4"/>
  <c r="D1186" i="4"/>
  <c r="A1187" i="4"/>
  <c r="C1187" i="4"/>
  <c r="D1187" i="4"/>
  <c r="A1188" i="4"/>
  <c r="C1188" i="4"/>
  <c r="D1188" i="4"/>
  <c r="A1189" i="4"/>
  <c r="C1189" i="4"/>
  <c r="D1189" i="4"/>
  <c r="A1190" i="4"/>
  <c r="C1190" i="4"/>
  <c r="D1190" i="4"/>
  <c r="A1191" i="4"/>
  <c r="C1191" i="4"/>
  <c r="D1191" i="4"/>
  <c r="A1192" i="4"/>
  <c r="C1192" i="4"/>
  <c r="D1192" i="4"/>
  <c r="A1193" i="4"/>
  <c r="C1193" i="4"/>
  <c r="D1193" i="4"/>
  <c r="A1194" i="4"/>
  <c r="C1194" i="4"/>
  <c r="D1194" i="4"/>
  <c r="A1195" i="4"/>
  <c r="C1195" i="4"/>
  <c r="D1195" i="4"/>
  <c r="A1196" i="4"/>
  <c r="C1196" i="4"/>
  <c r="D1196" i="4"/>
  <c r="A1197" i="4"/>
  <c r="C1197" i="4"/>
  <c r="D1197" i="4"/>
  <c r="A1198" i="4"/>
  <c r="C1198" i="4"/>
  <c r="D1198" i="4"/>
  <c r="A1199" i="4"/>
  <c r="C1199" i="4"/>
  <c r="D1199" i="4"/>
  <c r="A1200" i="4"/>
  <c r="C1200" i="4"/>
  <c r="D1200" i="4"/>
  <c r="A1201" i="4"/>
  <c r="C1201" i="4"/>
  <c r="D1201" i="4"/>
  <c r="A1202" i="4"/>
  <c r="C1202" i="4"/>
  <c r="D1202" i="4"/>
  <c r="A1203" i="4"/>
  <c r="C1203" i="4"/>
  <c r="D1203" i="4"/>
  <c r="A1204" i="4"/>
  <c r="C1204" i="4"/>
  <c r="D1204" i="4"/>
  <c r="A1205" i="4"/>
  <c r="C1205" i="4"/>
  <c r="D1205" i="4"/>
  <c r="A1206" i="4"/>
  <c r="C1206" i="4"/>
  <c r="D1206" i="4"/>
  <c r="A1207" i="4"/>
  <c r="C1207" i="4"/>
  <c r="D1207" i="4"/>
  <c r="A1208" i="4"/>
  <c r="C1208" i="4"/>
  <c r="D1208" i="4"/>
  <c r="A1209" i="4"/>
  <c r="C1209" i="4"/>
  <c r="D1209" i="4"/>
  <c r="A1210" i="4"/>
  <c r="C1210" i="4"/>
  <c r="D1210" i="4"/>
  <c r="A1211" i="4"/>
  <c r="C1211" i="4"/>
  <c r="D1211" i="4"/>
  <c r="A1212" i="4"/>
  <c r="C1212" i="4"/>
  <c r="D1212" i="4"/>
  <c r="A1213" i="4"/>
  <c r="C1213" i="4"/>
  <c r="D1213" i="4"/>
  <c r="A1214" i="4"/>
  <c r="C1214" i="4"/>
  <c r="D1214" i="4"/>
  <c r="A1215" i="4"/>
  <c r="C1215" i="4"/>
  <c r="D1215" i="4"/>
  <c r="A1216" i="4"/>
  <c r="C1216" i="4"/>
  <c r="D1216" i="4"/>
  <c r="A1217" i="4"/>
  <c r="C1217" i="4"/>
  <c r="D1217" i="4"/>
  <c r="A1218" i="4"/>
  <c r="C1218" i="4"/>
  <c r="D1218" i="4"/>
  <c r="A1219" i="4"/>
  <c r="C1219" i="4"/>
  <c r="D1219" i="4"/>
  <c r="A1220" i="4"/>
  <c r="C1220" i="4"/>
  <c r="D1220" i="4"/>
  <c r="A1221" i="4"/>
  <c r="C1221" i="4"/>
  <c r="D1221" i="4"/>
  <c r="A1222" i="4"/>
  <c r="C1222" i="4"/>
  <c r="D1222" i="4"/>
  <c r="A1223" i="4"/>
  <c r="C1223" i="4"/>
  <c r="D1223" i="4"/>
  <c r="A12" i="4"/>
  <c r="C12" i="4"/>
  <c r="D12" i="4"/>
  <c r="A13" i="4"/>
  <c r="C13" i="4"/>
  <c r="D13" i="4"/>
  <c r="A14" i="4"/>
  <c r="C14" i="4"/>
  <c r="D14" i="4"/>
  <c r="A15" i="4"/>
  <c r="C15" i="4"/>
  <c r="D15" i="4"/>
  <c r="A16" i="4"/>
  <c r="D16" i="4"/>
  <c r="A17" i="4"/>
  <c r="C17" i="4"/>
  <c r="D17" i="4"/>
  <c r="A18" i="4"/>
  <c r="D18" i="4"/>
  <c r="A19" i="4"/>
  <c r="D19" i="4"/>
  <c r="A20" i="4"/>
  <c r="C20" i="4"/>
  <c r="D20" i="4"/>
  <c r="A21" i="4"/>
  <c r="C21" i="4"/>
  <c r="D21" i="4"/>
  <c r="A22" i="4"/>
  <c r="C22" i="4"/>
  <c r="D22" i="4"/>
  <c r="A23" i="4"/>
  <c r="D23" i="4"/>
  <c r="A24" i="4"/>
  <c r="C24" i="4"/>
  <c r="D24" i="4"/>
  <c r="A25" i="4"/>
  <c r="C25" i="4"/>
  <c r="D25" i="4"/>
  <c r="A26" i="4"/>
  <c r="C26" i="4"/>
  <c r="D26" i="4"/>
  <c r="A27" i="4"/>
  <c r="C27" i="4"/>
  <c r="D27" i="4"/>
  <c r="A28" i="4"/>
  <c r="C28" i="4"/>
  <c r="D28" i="4"/>
  <c r="C29" i="4"/>
  <c r="D29" i="4"/>
  <c r="C30" i="4"/>
  <c r="D30" i="4"/>
  <c r="A31" i="4"/>
  <c r="C31" i="4"/>
  <c r="D31" i="4"/>
  <c r="A32" i="4"/>
  <c r="D32" i="4"/>
  <c r="A33" i="4"/>
  <c r="C33" i="4"/>
  <c r="D33" i="4"/>
  <c r="A34" i="4"/>
  <c r="C34" i="4"/>
  <c r="D34" i="4"/>
  <c r="A35" i="4"/>
  <c r="C35" i="4"/>
  <c r="D35" i="4"/>
  <c r="A36" i="4"/>
  <c r="C36" i="4"/>
  <c r="D36" i="4"/>
  <c r="A37" i="4"/>
  <c r="C37" i="4"/>
  <c r="D37" i="4"/>
  <c r="A38" i="4"/>
  <c r="C38" i="4"/>
  <c r="D38" i="4"/>
  <c r="A39" i="4"/>
  <c r="C39" i="4"/>
  <c r="D39" i="4"/>
  <c r="A40" i="4"/>
  <c r="C40" i="4"/>
  <c r="D40" i="4"/>
  <c r="A41" i="4"/>
  <c r="C41" i="4"/>
  <c r="D41" i="4"/>
  <c r="A42" i="4"/>
  <c r="C42" i="4"/>
  <c r="D42" i="4"/>
  <c r="A43" i="4"/>
  <c r="C43" i="4"/>
  <c r="D43" i="4"/>
  <c r="A44" i="4"/>
  <c r="C44" i="4"/>
  <c r="D44" i="4"/>
  <c r="A45" i="4"/>
  <c r="A46" i="4"/>
  <c r="D46" i="4"/>
  <c r="C47" i="4"/>
  <c r="D47" i="4"/>
  <c r="A48" i="4"/>
  <c r="C48" i="4"/>
  <c r="D48" i="4"/>
  <c r="C49" i="4"/>
  <c r="D49" i="4"/>
  <c r="A50" i="4"/>
  <c r="C50" i="4"/>
  <c r="D50" i="4"/>
  <c r="A51" i="4"/>
  <c r="C51" i="4"/>
  <c r="D51" i="4"/>
  <c r="C52" i="4"/>
  <c r="D52" i="4"/>
  <c r="D53" i="4"/>
  <c r="C54" i="4"/>
  <c r="D54" i="4"/>
  <c r="D55" i="4"/>
  <c r="C56" i="4"/>
  <c r="D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D83" i="4"/>
  <c r="C84" i="4"/>
  <c r="D84" i="4"/>
  <c r="C85" i="4"/>
  <c r="D85" i="4"/>
  <c r="C86" i="4"/>
  <c r="D86" i="4"/>
  <c r="C87" i="4"/>
  <c r="D87" i="4"/>
  <c r="C88" i="4"/>
  <c r="D88" i="4"/>
  <c r="D89" i="4"/>
  <c r="C90" i="4"/>
  <c r="D90" i="4"/>
  <c r="D91" i="4"/>
  <c r="D92" i="4"/>
  <c r="C93" i="4"/>
  <c r="D93" i="4"/>
  <c r="C94" i="4"/>
  <c r="D94" i="4"/>
  <c r="D95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D106" i="4"/>
  <c r="C107" i="4"/>
  <c r="D107" i="4"/>
  <c r="C108" i="4"/>
  <c r="D108" i="4"/>
  <c r="C109" i="4"/>
  <c r="D109" i="4"/>
  <c r="C110" i="4"/>
  <c r="D110" i="4"/>
  <c r="C111" i="4"/>
  <c r="D111" i="4"/>
  <c r="C112" i="4"/>
  <c r="D112" i="4"/>
  <c r="D113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C131" i="4"/>
  <c r="D131" i="4"/>
  <c r="C132" i="4"/>
  <c r="D132" i="4"/>
  <c r="C133" i="4"/>
  <c r="D133" i="4"/>
  <c r="C134" i="4"/>
  <c r="D134" i="4"/>
  <c r="C135" i="4"/>
  <c r="D135" i="4"/>
  <c r="A136" i="4"/>
  <c r="C136" i="4"/>
  <c r="D136" i="4"/>
  <c r="A137" i="4"/>
  <c r="C137" i="4"/>
  <c r="D137" i="4"/>
  <c r="A138" i="4"/>
  <c r="C138" i="4"/>
  <c r="D138" i="4"/>
  <c r="A139" i="4"/>
  <c r="C139" i="4"/>
  <c r="D139" i="4"/>
  <c r="A140" i="4"/>
  <c r="C140" i="4"/>
  <c r="D140" i="4"/>
  <c r="A141" i="4"/>
  <c r="C141" i="4"/>
  <c r="D141" i="4"/>
  <c r="A142" i="4"/>
  <c r="C142" i="4"/>
  <c r="D142" i="4"/>
  <c r="A143" i="4"/>
  <c r="C143" i="4"/>
  <c r="D143" i="4"/>
  <c r="A144" i="4"/>
  <c r="C144" i="4"/>
  <c r="D144" i="4"/>
  <c r="A145" i="4"/>
  <c r="C145" i="4"/>
  <c r="D145" i="4"/>
  <c r="A146" i="4"/>
  <c r="C146" i="4"/>
  <c r="D146" i="4"/>
  <c r="A147" i="4"/>
  <c r="C147" i="4"/>
  <c r="D147" i="4"/>
  <c r="A148" i="4"/>
  <c r="C148" i="4"/>
  <c r="D148" i="4"/>
  <c r="A149" i="4"/>
  <c r="C149" i="4"/>
  <c r="D149" i="4"/>
  <c r="A150" i="4"/>
  <c r="C150" i="4"/>
  <c r="D150" i="4"/>
  <c r="A151" i="4"/>
  <c r="D151" i="4"/>
  <c r="A152" i="4"/>
  <c r="C152" i="4"/>
  <c r="D152" i="4"/>
  <c r="C154" i="3" s="1"/>
  <c r="A153" i="4"/>
  <c r="C153" i="4"/>
  <c r="D153" i="4"/>
  <c r="A154" i="4"/>
  <c r="C154" i="4"/>
  <c r="D154" i="4"/>
  <c r="A155" i="4"/>
  <c r="C155" i="4"/>
  <c r="D155" i="4"/>
  <c r="A156" i="4"/>
  <c r="C156" i="4"/>
  <c r="D156" i="4"/>
  <c r="A157" i="4"/>
  <c r="C157" i="4"/>
  <c r="D157" i="4"/>
  <c r="A158" i="4"/>
  <c r="C158" i="4"/>
  <c r="D158" i="4"/>
  <c r="A159" i="4"/>
  <c r="C159" i="4"/>
  <c r="D159" i="4"/>
  <c r="C160" i="4"/>
  <c r="D160" i="4"/>
  <c r="C161" i="4"/>
  <c r="D161" i="4"/>
  <c r="A162" i="4"/>
  <c r="C162" i="4"/>
  <c r="D162" i="4"/>
  <c r="A163" i="4"/>
  <c r="C163" i="4"/>
  <c r="D163" i="4"/>
  <c r="A164" i="4"/>
  <c r="D164" i="4"/>
  <c r="A165" i="4"/>
  <c r="D165" i="4"/>
  <c r="A166" i="4"/>
  <c r="D166" i="4"/>
  <c r="A167" i="4"/>
  <c r="C167" i="4"/>
  <c r="D167" i="4"/>
  <c r="A168" i="4"/>
  <c r="C168" i="4"/>
  <c r="D168" i="4"/>
  <c r="A169" i="4"/>
  <c r="C169" i="4"/>
  <c r="D169" i="4"/>
  <c r="A170" i="4"/>
  <c r="C170" i="4"/>
  <c r="D170" i="4"/>
  <c r="A171" i="4"/>
  <c r="C171" i="4"/>
  <c r="D171" i="4"/>
  <c r="A172" i="4"/>
  <c r="C172" i="4"/>
  <c r="D172" i="4"/>
  <c r="A173" i="4"/>
  <c r="C173" i="4"/>
  <c r="D173" i="4"/>
  <c r="A174" i="4"/>
  <c r="C174" i="4"/>
  <c r="D174" i="4"/>
  <c r="A175" i="4"/>
  <c r="C175" i="4"/>
  <c r="D175" i="4"/>
  <c r="A176" i="4"/>
  <c r="C176" i="4"/>
  <c r="D176" i="4"/>
  <c r="A177" i="4"/>
  <c r="C177" i="4"/>
  <c r="D177" i="4"/>
  <c r="A178" i="4"/>
  <c r="D178" i="4"/>
  <c r="A179" i="4"/>
  <c r="C179" i="4"/>
  <c r="D179" i="4"/>
  <c r="A180" i="4"/>
  <c r="C180" i="4"/>
  <c r="D180" i="4"/>
  <c r="A181" i="4"/>
  <c r="C181" i="4"/>
  <c r="D181" i="4"/>
  <c r="A182" i="4"/>
  <c r="C182" i="4"/>
  <c r="D182" i="4"/>
  <c r="A183" i="4"/>
  <c r="D183" i="4"/>
  <c r="A184" i="4"/>
  <c r="D184" i="4"/>
  <c r="A185" i="4"/>
  <c r="C185" i="4"/>
  <c r="D185" i="4"/>
  <c r="A186" i="4"/>
  <c r="C186" i="4"/>
  <c r="D186" i="4"/>
  <c r="A187" i="4"/>
  <c r="C187" i="4"/>
  <c r="D187" i="4"/>
  <c r="A188" i="4"/>
  <c r="C188" i="4"/>
  <c r="D188" i="4"/>
  <c r="A189" i="4"/>
  <c r="C189" i="4"/>
  <c r="D189" i="4"/>
  <c r="A190" i="4"/>
  <c r="C190" i="4"/>
  <c r="D190" i="4"/>
  <c r="A191" i="4"/>
  <c r="C191" i="4"/>
  <c r="D191" i="4"/>
  <c r="A192" i="4"/>
  <c r="C192" i="4"/>
  <c r="D192" i="4"/>
  <c r="A193" i="4"/>
  <c r="C193" i="4"/>
  <c r="D193" i="4"/>
  <c r="A194" i="4"/>
  <c r="C194" i="4"/>
  <c r="D194" i="4"/>
  <c r="A195" i="4"/>
  <c r="C195" i="4"/>
  <c r="D195" i="4"/>
  <c r="A196" i="4"/>
  <c r="C196" i="4"/>
  <c r="D196" i="4"/>
  <c r="A197" i="4"/>
  <c r="C197" i="4"/>
  <c r="D197" i="4"/>
  <c r="A198" i="4"/>
  <c r="D198" i="4"/>
  <c r="A199" i="4"/>
  <c r="C199" i="4"/>
  <c r="D199" i="4"/>
  <c r="A200" i="4"/>
  <c r="C200" i="4"/>
  <c r="D200" i="4"/>
  <c r="A201" i="4"/>
  <c r="C201" i="4"/>
  <c r="D201" i="4"/>
  <c r="A202" i="4"/>
  <c r="D202" i="4"/>
  <c r="A203" i="4"/>
  <c r="C203" i="4"/>
  <c r="D203" i="4"/>
  <c r="A204" i="4"/>
  <c r="C204" i="4"/>
  <c r="D204" i="4"/>
  <c r="A205" i="4"/>
  <c r="C205" i="4"/>
  <c r="D205" i="4"/>
  <c r="A206" i="4"/>
  <c r="C206" i="4"/>
  <c r="D206" i="4"/>
  <c r="A207" i="4"/>
  <c r="C207" i="4"/>
  <c r="D207" i="4"/>
  <c r="A208" i="4"/>
  <c r="C208" i="4"/>
  <c r="D208" i="4"/>
  <c r="A209" i="4"/>
  <c r="C209" i="4"/>
  <c r="D209" i="4"/>
  <c r="A210" i="4"/>
  <c r="C210" i="4"/>
  <c r="D210" i="4"/>
  <c r="A211" i="4"/>
  <c r="C211" i="4"/>
  <c r="D211" i="4"/>
  <c r="A212" i="4"/>
  <c r="D212" i="4"/>
  <c r="A213" i="4"/>
  <c r="C213" i="4"/>
  <c r="D213" i="4"/>
  <c r="A214" i="4"/>
  <c r="C214" i="4"/>
  <c r="D214" i="4"/>
  <c r="C215" i="4"/>
  <c r="D215" i="4"/>
  <c r="C216" i="4"/>
  <c r="D216" i="4"/>
  <c r="A217" i="4"/>
  <c r="C217" i="4"/>
  <c r="D217" i="4"/>
  <c r="A218" i="4"/>
  <c r="C218" i="4"/>
  <c r="D218" i="4"/>
  <c r="A219" i="4"/>
  <c r="C219" i="4"/>
  <c r="D219" i="4"/>
  <c r="A220" i="4"/>
  <c r="C220" i="4"/>
  <c r="D220" i="4"/>
  <c r="A221" i="4"/>
  <c r="C221" i="4"/>
  <c r="D221" i="4"/>
  <c r="A222" i="4"/>
  <c r="C222" i="4"/>
  <c r="D222" i="4"/>
  <c r="A223" i="4"/>
  <c r="C223" i="4"/>
  <c r="D223" i="4"/>
  <c r="A224" i="4"/>
  <c r="D224" i="4"/>
  <c r="A225" i="4"/>
  <c r="C225" i="4"/>
  <c r="D225" i="4"/>
  <c r="A226" i="4"/>
  <c r="C226" i="4"/>
  <c r="D226" i="4"/>
  <c r="A227" i="4"/>
  <c r="C227" i="4"/>
  <c r="D227" i="4"/>
  <c r="A228" i="4"/>
  <c r="D228" i="4"/>
  <c r="A229" i="4"/>
  <c r="D229" i="4"/>
  <c r="A230" i="4"/>
  <c r="C230" i="4"/>
  <c r="D230" i="4"/>
  <c r="A231" i="4"/>
  <c r="C231" i="4"/>
  <c r="D231" i="4"/>
  <c r="A232" i="4"/>
  <c r="D232" i="4"/>
  <c r="A233" i="4"/>
  <c r="C233" i="4"/>
  <c r="D233" i="4"/>
  <c r="A234" i="4"/>
  <c r="C234" i="4"/>
  <c r="D234" i="4"/>
  <c r="A235" i="4"/>
  <c r="C235" i="4"/>
  <c r="D235" i="4"/>
  <c r="A236" i="4"/>
  <c r="C236" i="4"/>
  <c r="D236" i="4"/>
  <c r="A237" i="4"/>
  <c r="C237" i="4"/>
  <c r="D237" i="4"/>
  <c r="A238" i="4"/>
  <c r="C238" i="4"/>
  <c r="D238" i="4"/>
  <c r="A239" i="4"/>
  <c r="C239" i="4"/>
  <c r="D239" i="4"/>
  <c r="A240" i="4"/>
  <c r="C240" i="4"/>
  <c r="D240" i="4"/>
  <c r="A241" i="4"/>
  <c r="C241" i="4"/>
  <c r="D241" i="4"/>
  <c r="A242" i="4"/>
  <c r="C242" i="4"/>
  <c r="D242" i="4"/>
  <c r="A243" i="4"/>
  <c r="C243" i="4"/>
  <c r="D243" i="4"/>
  <c r="A244" i="4"/>
  <c r="C244" i="4"/>
  <c r="D244" i="4"/>
  <c r="A245" i="4"/>
  <c r="C245" i="4"/>
  <c r="D245" i="4"/>
  <c r="A246" i="4"/>
  <c r="C246" i="4"/>
  <c r="D246" i="4"/>
  <c r="A247" i="4"/>
  <c r="C247" i="4"/>
  <c r="D247" i="4"/>
  <c r="A248" i="4"/>
  <c r="C248" i="4"/>
  <c r="D248" i="4"/>
  <c r="A249" i="4"/>
  <c r="C249" i="4"/>
  <c r="D249" i="4"/>
  <c r="A250" i="4"/>
  <c r="C250" i="4"/>
  <c r="D250" i="4"/>
  <c r="A251" i="4"/>
  <c r="C251" i="4"/>
  <c r="D251" i="4"/>
  <c r="A252" i="4"/>
  <c r="C252" i="4"/>
  <c r="D252" i="4"/>
  <c r="A253" i="4"/>
  <c r="C253" i="4"/>
  <c r="D253" i="4"/>
  <c r="A254" i="4"/>
  <c r="C254" i="4"/>
  <c r="D254" i="4"/>
  <c r="A255" i="4"/>
  <c r="C255" i="4"/>
  <c r="D255" i="4"/>
  <c r="A256" i="4"/>
  <c r="D256" i="4"/>
  <c r="A257" i="4"/>
  <c r="C257" i="4"/>
  <c r="D257" i="4"/>
  <c r="A258" i="4"/>
  <c r="C258" i="4"/>
  <c r="D258" i="4"/>
  <c r="A259" i="4"/>
  <c r="C259" i="4"/>
  <c r="D259" i="4"/>
  <c r="A260" i="4"/>
  <c r="C260" i="4"/>
  <c r="D260" i="4"/>
  <c r="A261" i="4"/>
  <c r="C261" i="4"/>
  <c r="D261" i="4"/>
  <c r="A262" i="4"/>
  <c r="C262" i="4"/>
  <c r="D262" i="4"/>
  <c r="A263" i="4"/>
  <c r="D263" i="4"/>
  <c r="A264" i="4"/>
  <c r="C264" i="4"/>
  <c r="D264" i="4"/>
  <c r="A265" i="4"/>
  <c r="C265" i="4"/>
  <c r="D265" i="4"/>
  <c r="A266" i="4"/>
  <c r="C266" i="4"/>
  <c r="D266" i="4"/>
  <c r="A267" i="4"/>
  <c r="C267" i="4"/>
  <c r="D267" i="4"/>
  <c r="A268" i="4"/>
  <c r="C268" i="4"/>
  <c r="D268" i="4"/>
  <c r="A269" i="4"/>
  <c r="C269" i="4"/>
  <c r="D269" i="4"/>
  <c r="A270" i="4"/>
  <c r="C270" i="4"/>
  <c r="D270" i="4"/>
  <c r="A271" i="4"/>
  <c r="C271" i="4"/>
  <c r="D271" i="4"/>
  <c r="A272" i="4"/>
  <c r="C272" i="4"/>
  <c r="D272" i="4"/>
  <c r="A273" i="4"/>
  <c r="D273" i="4"/>
  <c r="A274" i="4"/>
  <c r="C274" i="4"/>
  <c r="D274" i="4"/>
  <c r="A275" i="4"/>
  <c r="D275" i="4"/>
  <c r="A276" i="4"/>
  <c r="D276" i="4"/>
  <c r="A277" i="4"/>
  <c r="C277" i="4"/>
  <c r="D277" i="4"/>
  <c r="A278" i="4"/>
  <c r="C278" i="4"/>
  <c r="D278" i="4"/>
  <c r="A279" i="4"/>
  <c r="C279" i="4"/>
  <c r="D279" i="4"/>
  <c r="A280" i="4"/>
  <c r="C280" i="4"/>
  <c r="D280" i="4"/>
  <c r="A281" i="4"/>
  <c r="C281" i="4"/>
  <c r="D281" i="4"/>
  <c r="A282" i="4"/>
  <c r="C282" i="4"/>
  <c r="D282" i="4"/>
  <c r="A283" i="4"/>
  <c r="C283" i="4"/>
  <c r="D283" i="4"/>
  <c r="A284" i="4"/>
  <c r="C284" i="4"/>
  <c r="D284" i="4"/>
  <c r="A285" i="4"/>
  <c r="C285" i="4"/>
  <c r="D285" i="4"/>
  <c r="A286" i="4"/>
  <c r="C286" i="4"/>
  <c r="D286" i="4"/>
  <c r="A287" i="4"/>
  <c r="D287" i="4"/>
  <c r="A288" i="4"/>
  <c r="C288" i="4"/>
  <c r="D288" i="4"/>
  <c r="A289" i="4"/>
  <c r="D289" i="4"/>
  <c r="A290" i="4"/>
  <c r="C290" i="4"/>
  <c r="D290" i="4"/>
  <c r="A291" i="4"/>
  <c r="C291" i="4"/>
  <c r="D291" i="4"/>
  <c r="A292" i="4"/>
  <c r="C292" i="4"/>
  <c r="D292" i="4"/>
  <c r="A293" i="4"/>
  <c r="C293" i="4"/>
  <c r="D293" i="4"/>
  <c r="A294" i="4"/>
  <c r="C294" i="4"/>
  <c r="D294" i="4"/>
  <c r="A295" i="4"/>
  <c r="C295" i="4"/>
  <c r="D295" i="4"/>
  <c r="A296" i="4"/>
  <c r="C296" i="4"/>
  <c r="D296" i="4"/>
  <c r="A297" i="4"/>
  <c r="C297" i="4"/>
  <c r="D297" i="4"/>
  <c r="A298" i="4"/>
  <c r="C298" i="4"/>
  <c r="D298" i="4"/>
  <c r="A299" i="4"/>
  <c r="C299" i="4"/>
  <c r="D299" i="4"/>
  <c r="A300" i="4"/>
  <c r="C300" i="4"/>
  <c r="D300" i="4"/>
  <c r="A301" i="4"/>
  <c r="C301" i="4"/>
  <c r="D301" i="4"/>
  <c r="A302" i="4"/>
  <c r="C302" i="4"/>
  <c r="D302" i="4"/>
  <c r="A303" i="4"/>
  <c r="C303" i="4"/>
  <c r="D303" i="4"/>
  <c r="A304" i="4"/>
  <c r="C304" i="4"/>
  <c r="D304" i="4"/>
  <c r="C306" i="3" s="1"/>
  <c r="A305" i="4"/>
  <c r="C305" i="4"/>
  <c r="D305" i="4"/>
  <c r="A306" i="4"/>
  <c r="C306" i="4"/>
  <c r="D306" i="4"/>
  <c r="A307" i="4"/>
  <c r="C307" i="4"/>
  <c r="D307" i="4"/>
  <c r="A308" i="4"/>
  <c r="C308" i="4"/>
  <c r="D308" i="4"/>
  <c r="C309" i="4"/>
  <c r="D309" i="4"/>
  <c r="C310" i="4"/>
  <c r="D310" i="4"/>
  <c r="C311" i="4"/>
  <c r="D311" i="4"/>
  <c r="C312" i="4"/>
  <c r="D312" i="4"/>
  <c r="A313" i="4"/>
  <c r="C313" i="4"/>
  <c r="D313" i="4"/>
  <c r="C314" i="4"/>
  <c r="D314" i="4"/>
  <c r="A315" i="4"/>
  <c r="C315" i="4"/>
  <c r="D315" i="4"/>
  <c r="A316" i="4"/>
  <c r="D316" i="4"/>
  <c r="A317" i="4"/>
  <c r="D317" i="4"/>
  <c r="A318" i="4"/>
  <c r="D318" i="4"/>
  <c r="A319" i="4"/>
  <c r="D319" i="4"/>
  <c r="A320" i="4"/>
  <c r="C320" i="4"/>
  <c r="D320" i="4"/>
  <c r="A321" i="4"/>
  <c r="D321" i="4"/>
  <c r="A322" i="4"/>
  <c r="C322" i="4"/>
  <c r="D322" i="4"/>
  <c r="A323" i="4"/>
  <c r="C323" i="4"/>
  <c r="D323" i="4"/>
  <c r="A324" i="4"/>
  <c r="C324" i="4"/>
  <c r="D324" i="4"/>
  <c r="A325" i="4"/>
  <c r="D325" i="4"/>
  <c r="A326" i="4"/>
  <c r="C326" i="4"/>
  <c r="D326" i="4"/>
  <c r="A327" i="4"/>
  <c r="C327" i="4"/>
  <c r="D327" i="4"/>
  <c r="A328" i="4"/>
  <c r="C328" i="4"/>
  <c r="D328" i="4"/>
  <c r="A329" i="4"/>
  <c r="C329" i="4"/>
  <c r="A330" i="4"/>
  <c r="D330" i="4"/>
  <c r="A331" i="4"/>
  <c r="C331" i="4"/>
  <c r="D331" i="4"/>
  <c r="A332" i="4"/>
  <c r="C332" i="4"/>
  <c r="D332" i="4"/>
  <c r="A333" i="4"/>
  <c r="C333" i="4"/>
  <c r="D333" i="4"/>
  <c r="A334" i="4"/>
  <c r="C334" i="4"/>
  <c r="D334" i="4"/>
  <c r="A335" i="4"/>
  <c r="C335" i="4"/>
  <c r="D335" i="4"/>
  <c r="A336" i="4"/>
  <c r="C336" i="4"/>
  <c r="D336" i="4"/>
  <c r="A337" i="4"/>
  <c r="C337" i="4"/>
  <c r="D337" i="4"/>
  <c r="A338" i="4"/>
  <c r="C338" i="4"/>
  <c r="D338" i="4"/>
  <c r="A339" i="4"/>
  <c r="C339" i="4"/>
  <c r="D339" i="4"/>
  <c r="A340" i="4"/>
  <c r="C340" i="4"/>
  <c r="D340" i="4"/>
  <c r="A341" i="4"/>
  <c r="C341" i="4"/>
  <c r="D341" i="4"/>
  <c r="A342" i="4"/>
  <c r="C342" i="4"/>
  <c r="D342" i="4"/>
  <c r="A343" i="4"/>
  <c r="C343" i="4"/>
  <c r="D343" i="4"/>
  <c r="A344" i="4"/>
  <c r="C344" i="4"/>
  <c r="D344" i="4"/>
  <c r="A345" i="4"/>
  <c r="C345" i="4"/>
  <c r="D345" i="4"/>
  <c r="A346" i="4"/>
  <c r="C346" i="4"/>
  <c r="D346" i="4"/>
  <c r="A347" i="4"/>
  <c r="C347" i="4"/>
  <c r="D347" i="4"/>
  <c r="A348" i="4"/>
  <c r="C348" i="4"/>
  <c r="D348" i="4"/>
  <c r="A349" i="4"/>
  <c r="D349" i="4"/>
  <c r="A350" i="4"/>
  <c r="C350" i="4"/>
  <c r="D350" i="4"/>
  <c r="A351" i="4"/>
  <c r="C351" i="4"/>
  <c r="D351" i="4"/>
  <c r="A352" i="4"/>
  <c r="C352" i="4"/>
  <c r="D352" i="4"/>
  <c r="A353" i="4"/>
  <c r="C353" i="4"/>
  <c r="D353" i="4"/>
  <c r="A354" i="4"/>
  <c r="C354" i="4"/>
  <c r="D354" i="4"/>
  <c r="A355" i="4"/>
  <c r="C355" i="4"/>
  <c r="D355" i="4"/>
  <c r="A356" i="4"/>
  <c r="C356" i="4"/>
  <c r="D356" i="4"/>
  <c r="A357" i="4"/>
  <c r="C357" i="4"/>
  <c r="D357" i="4"/>
  <c r="A358" i="4"/>
  <c r="C358" i="4"/>
  <c r="D358" i="4"/>
  <c r="A359" i="4"/>
  <c r="C359" i="4"/>
  <c r="D359" i="4"/>
  <c r="A360" i="4"/>
  <c r="C360" i="4"/>
  <c r="D360" i="4"/>
  <c r="A361" i="4"/>
  <c r="C361" i="4"/>
  <c r="D361" i="4"/>
  <c r="A362" i="4"/>
  <c r="C362" i="4"/>
  <c r="D362" i="4"/>
  <c r="A363" i="4"/>
  <c r="C363" i="4"/>
  <c r="D363" i="4"/>
  <c r="A364" i="4"/>
  <c r="C364" i="4"/>
  <c r="D364" i="4"/>
  <c r="A365" i="4"/>
  <c r="D365" i="4"/>
  <c r="A366" i="4"/>
  <c r="C366" i="4"/>
  <c r="D366" i="4"/>
  <c r="A367" i="4"/>
  <c r="C367" i="4"/>
  <c r="D367" i="4"/>
  <c r="A368" i="4"/>
  <c r="C368" i="4"/>
  <c r="D368" i="4"/>
  <c r="A369" i="4"/>
  <c r="C369" i="4"/>
  <c r="D369" i="4"/>
  <c r="A370" i="4"/>
  <c r="D370" i="4"/>
  <c r="A371" i="4"/>
  <c r="C371" i="4"/>
  <c r="D371" i="4"/>
  <c r="A372" i="4"/>
  <c r="C372" i="4"/>
  <c r="D372" i="4"/>
  <c r="A373" i="4"/>
  <c r="C373" i="4"/>
  <c r="D373" i="4"/>
  <c r="A374" i="4"/>
  <c r="C374" i="4"/>
  <c r="D374" i="4"/>
  <c r="A375" i="4"/>
  <c r="C375" i="4"/>
  <c r="D375" i="4"/>
  <c r="A376" i="4"/>
  <c r="C376" i="4"/>
  <c r="D376" i="4"/>
  <c r="A377" i="4"/>
  <c r="C377" i="4"/>
  <c r="D377" i="4"/>
  <c r="A378" i="4"/>
  <c r="C378" i="4"/>
  <c r="D378" i="4"/>
  <c r="A379" i="4"/>
  <c r="C379" i="4"/>
  <c r="D379" i="4"/>
  <c r="A380" i="4"/>
  <c r="C380" i="4"/>
  <c r="D380" i="4"/>
  <c r="C381" i="4"/>
  <c r="D381" i="4"/>
  <c r="C382" i="4"/>
  <c r="D382" i="4"/>
  <c r="A383" i="4"/>
  <c r="C383" i="4"/>
  <c r="D383" i="4"/>
  <c r="C384" i="4"/>
  <c r="D384" i="4"/>
  <c r="A385" i="4"/>
  <c r="C385" i="4"/>
  <c r="D385" i="4"/>
  <c r="A386" i="4"/>
  <c r="D386" i="4"/>
  <c r="A387" i="4"/>
  <c r="C387" i="4"/>
  <c r="D387" i="4"/>
  <c r="A388" i="4"/>
  <c r="D388" i="4"/>
  <c r="A389" i="4"/>
  <c r="D389" i="4"/>
  <c r="A390" i="4"/>
  <c r="C390" i="4"/>
  <c r="D390" i="4"/>
  <c r="A391" i="4"/>
  <c r="C391" i="4"/>
  <c r="D391" i="4"/>
  <c r="A392" i="4"/>
  <c r="D392" i="4"/>
  <c r="A393" i="4"/>
  <c r="C393" i="4"/>
  <c r="D393" i="4"/>
  <c r="A394" i="4"/>
  <c r="C394" i="4"/>
  <c r="D394" i="4"/>
  <c r="A395" i="4"/>
  <c r="C395" i="4"/>
  <c r="D395" i="4"/>
  <c r="A396" i="4"/>
  <c r="C396" i="4"/>
  <c r="D396" i="4"/>
  <c r="A397" i="4"/>
  <c r="C397" i="4"/>
  <c r="D397" i="4"/>
  <c r="A398" i="4"/>
  <c r="C398" i="4"/>
  <c r="D398" i="4"/>
  <c r="A399" i="4"/>
  <c r="C399" i="4"/>
  <c r="D399" i="4"/>
  <c r="A400" i="4"/>
  <c r="C400" i="4"/>
  <c r="D400" i="4"/>
  <c r="A401" i="4"/>
  <c r="C401" i="4"/>
  <c r="D401" i="4"/>
  <c r="A402" i="4"/>
  <c r="D402" i="4"/>
  <c r="A403" i="4"/>
  <c r="C403" i="4"/>
  <c r="D403" i="4"/>
  <c r="A404" i="4"/>
  <c r="C404" i="4"/>
  <c r="D404" i="4"/>
  <c r="A405" i="4"/>
  <c r="C405" i="4"/>
  <c r="D405" i="4"/>
  <c r="A406" i="4"/>
  <c r="C406" i="4"/>
  <c r="D406" i="4"/>
  <c r="A407" i="4"/>
  <c r="C407" i="4"/>
  <c r="D407" i="4"/>
  <c r="A408" i="4"/>
  <c r="C408" i="4"/>
  <c r="D408" i="4"/>
  <c r="A409" i="4"/>
  <c r="C409" i="4"/>
  <c r="D409" i="4"/>
  <c r="A410" i="4"/>
  <c r="C410" i="4"/>
  <c r="D410" i="4"/>
  <c r="A411" i="4"/>
  <c r="C411" i="4"/>
  <c r="D411" i="4"/>
  <c r="A412" i="4"/>
  <c r="C412" i="4"/>
  <c r="D412" i="4"/>
  <c r="A413" i="4"/>
  <c r="C413" i="4"/>
  <c r="D413" i="4"/>
  <c r="A414" i="4"/>
  <c r="C414" i="4"/>
  <c r="D414" i="4"/>
  <c r="C415" i="4"/>
  <c r="D415" i="4"/>
  <c r="C416" i="4"/>
  <c r="D416" i="4"/>
  <c r="A417" i="4"/>
  <c r="C417" i="4"/>
  <c r="D417" i="4"/>
  <c r="C418" i="4"/>
  <c r="D418" i="4"/>
  <c r="A419" i="4"/>
  <c r="C419" i="4"/>
  <c r="D419" i="4"/>
  <c r="A420" i="4"/>
  <c r="C420" i="4"/>
  <c r="D420" i="4"/>
  <c r="A421" i="4"/>
  <c r="C421" i="4"/>
  <c r="D421" i="4"/>
  <c r="A422" i="4"/>
  <c r="C422" i="4"/>
  <c r="D422" i="4"/>
  <c r="A423" i="4"/>
  <c r="C423" i="4"/>
  <c r="D423" i="4"/>
  <c r="A424" i="4"/>
  <c r="C424" i="4"/>
  <c r="D424" i="4"/>
  <c r="A425" i="4"/>
  <c r="C425" i="4"/>
  <c r="D425" i="4"/>
  <c r="A426" i="4"/>
  <c r="C426" i="4"/>
  <c r="D426" i="4"/>
  <c r="A427" i="4"/>
  <c r="C427" i="4"/>
  <c r="D427" i="4"/>
  <c r="A428" i="4"/>
  <c r="C428" i="4"/>
  <c r="D428" i="4"/>
  <c r="A429" i="4"/>
  <c r="C429" i="4"/>
  <c r="D429" i="4"/>
  <c r="A430" i="4"/>
  <c r="C430" i="4"/>
  <c r="D430" i="4"/>
  <c r="A431" i="4"/>
  <c r="D431" i="4"/>
  <c r="A432" i="4"/>
  <c r="C432" i="4"/>
  <c r="D432" i="4"/>
  <c r="A433" i="4"/>
  <c r="C433" i="4"/>
  <c r="D433" i="4"/>
  <c r="C434" i="4"/>
  <c r="D434" i="4"/>
  <c r="C435" i="4"/>
  <c r="D435" i="4"/>
  <c r="C436" i="4"/>
  <c r="D436" i="4"/>
  <c r="A437" i="4"/>
  <c r="D437" i="4"/>
  <c r="A438" i="4"/>
  <c r="D438" i="4"/>
  <c r="A439" i="4"/>
  <c r="C439" i="4"/>
  <c r="D439" i="4"/>
  <c r="A440" i="4"/>
  <c r="C440" i="4"/>
  <c r="D440" i="4"/>
  <c r="A441" i="4"/>
  <c r="C441" i="4"/>
  <c r="D441" i="4"/>
  <c r="A442" i="4"/>
  <c r="C442" i="4"/>
  <c r="D442" i="4"/>
  <c r="A443" i="4"/>
  <c r="D443" i="4"/>
  <c r="A444" i="4"/>
  <c r="C444" i="4"/>
  <c r="D444" i="4"/>
  <c r="A445" i="4"/>
  <c r="D445" i="4"/>
  <c r="A446" i="4"/>
  <c r="C446" i="4"/>
  <c r="D446" i="4"/>
  <c r="A447" i="4"/>
  <c r="C447" i="4"/>
  <c r="D447" i="4"/>
  <c r="A448" i="4"/>
  <c r="C448" i="4"/>
  <c r="D448" i="4"/>
  <c r="A449" i="4"/>
  <c r="D449" i="4"/>
  <c r="A450" i="4"/>
  <c r="C450" i="4"/>
  <c r="D450" i="4"/>
  <c r="A451" i="4"/>
  <c r="C451" i="4"/>
  <c r="D451" i="4"/>
  <c r="A452" i="4"/>
  <c r="C452" i="4"/>
  <c r="D452" i="4"/>
  <c r="A453" i="4"/>
  <c r="C453" i="4"/>
  <c r="D453" i="4"/>
  <c r="A454" i="4"/>
  <c r="C454" i="4"/>
  <c r="D454" i="4"/>
  <c r="A455" i="4"/>
  <c r="D455" i="4"/>
  <c r="A456" i="4"/>
  <c r="C456" i="4"/>
  <c r="D456" i="4"/>
  <c r="C457" i="4"/>
  <c r="D457" i="4"/>
  <c r="C458" i="4"/>
  <c r="D458" i="4"/>
  <c r="A459" i="4"/>
  <c r="C459" i="4"/>
  <c r="D459" i="4"/>
  <c r="A460" i="4"/>
  <c r="C460" i="4"/>
  <c r="D460" i="4"/>
  <c r="A461" i="4"/>
  <c r="C461" i="4"/>
  <c r="D461" i="4"/>
  <c r="A462" i="4"/>
  <c r="D462" i="4"/>
  <c r="A463" i="4"/>
  <c r="C463" i="4"/>
  <c r="D463" i="4"/>
  <c r="A464" i="4"/>
  <c r="D464" i="4"/>
  <c r="A465" i="4"/>
  <c r="C465" i="4"/>
  <c r="D465" i="4"/>
  <c r="A466" i="4"/>
  <c r="C466" i="4"/>
  <c r="D466" i="4"/>
  <c r="C467" i="4"/>
  <c r="D467" i="4"/>
  <c r="C468" i="4"/>
  <c r="D468" i="4"/>
  <c r="A469" i="4"/>
  <c r="C469" i="4"/>
  <c r="D469" i="4"/>
  <c r="A470" i="4"/>
  <c r="C470" i="4"/>
  <c r="D470" i="4"/>
  <c r="A471" i="4"/>
  <c r="C471" i="4"/>
  <c r="D471" i="4"/>
  <c r="A472" i="4"/>
  <c r="C472" i="4"/>
  <c r="D472" i="4"/>
  <c r="A473" i="4"/>
  <c r="C473" i="4"/>
  <c r="D473" i="4"/>
  <c r="A474" i="4"/>
  <c r="C474" i="4"/>
  <c r="D474" i="4"/>
  <c r="A475" i="4"/>
  <c r="C475" i="4"/>
  <c r="D475" i="4"/>
  <c r="A476" i="4"/>
  <c r="C476" i="4"/>
  <c r="D476" i="4"/>
  <c r="A477" i="4"/>
  <c r="C477" i="4"/>
  <c r="D477" i="4"/>
  <c r="A478" i="4"/>
  <c r="D478" i="4"/>
  <c r="A479" i="4"/>
  <c r="D479" i="4"/>
  <c r="A480" i="4"/>
  <c r="C480" i="4"/>
  <c r="D480" i="4"/>
  <c r="A481" i="4"/>
  <c r="C481" i="4"/>
  <c r="D481" i="4"/>
  <c r="A482" i="4"/>
  <c r="C482" i="4"/>
  <c r="D482" i="4"/>
  <c r="A483" i="4"/>
  <c r="C483" i="4"/>
  <c r="D483" i="4"/>
  <c r="A484" i="4"/>
  <c r="C484" i="4"/>
  <c r="D484" i="4"/>
  <c r="A485" i="4"/>
  <c r="C485" i="4"/>
  <c r="D485" i="4"/>
  <c r="A486" i="4"/>
  <c r="C486" i="4"/>
  <c r="D486" i="4"/>
  <c r="A487" i="4"/>
  <c r="C487" i="4"/>
  <c r="D487" i="4"/>
  <c r="A488" i="4"/>
  <c r="D488" i="4"/>
  <c r="A489" i="4"/>
  <c r="C489" i="4"/>
  <c r="D489" i="4"/>
  <c r="A490" i="4"/>
  <c r="D490" i="4"/>
  <c r="A491" i="4"/>
  <c r="C491" i="4"/>
  <c r="D491" i="4"/>
  <c r="A492" i="4"/>
  <c r="C492" i="4"/>
  <c r="D492" i="4"/>
  <c r="A493" i="4"/>
  <c r="C493" i="4"/>
  <c r="D493" i="4"/>
  <c r="A494" i="4"/>
  <c r="A495" i="4"/>
  <c r="C495" i="4"/>
  <c r="D495" i="4"/>
  <c r="A496" i="4"/>
  <c r="C496" i="4"/>
  <c r="D496" i="4"/>
  <c r="A497" i="4"/>
  <c r="C497" i="4"/>
  <c r="D497" i="4"/>
  <c r="A498" i="4"/>
  <c r="D498" i="4"/>
  <c r="A499" i="4"/>
  <c r="C499" i="4"/>
  <c r="D499" i="4"/>
  <c r="A500" i="4"/>
  <c r="C500" i="4"/>
  <c r="D500" i="4"/>
  <c r="C501" i="4"/>
  <c r="D501" i="4"/>
  <c r="C502" i="4"/>
  <c r="D502" i="4"/>
  <c r="A503" i="4"/>
  <c r="C503" i="4"/>
  <c r="D503" i="4"/>
  <c r="C504" i="4"/>
  <c r="D504" i="4"/>
  <c r="A505" i="4"/>
  <c r="C505" i="4"/>
  <c r="D505" i="4"/>
  <c r="A506" i="4"/>
  <c r="C506" i="4"/>
  <c r="D506" i="4"/>
  <c r="A507" i="4"/>
  <c r="C507" i="4"/>
  <c r="D507" i="4"/>
  <c r="A508" i="4"/>
  <c r="C508" i="4"/>
  <c r="D508" i="4"/>
  <c r="A509" i="4"/>
  <c r="C509" i="4"/>
  <c r="D509" i="4"/>
  <c r="A510" i="4"/>
  <c r="C510" i="4"/>
  <c r="D510" i="4"/>
  <c r="A511" i="4"/>
  <c r="C511" i="4"/>
  <c r="D511" i="4"/>
  <c r="A512" i="4"/>
  <c r="C512" i="4"/>
  <c r="D512" i="4"/>
  <c r="A513" i="4"/>
  <c r="C513" i="4"/>
  <c r="D513" i="4"/>
  <c r="A514" i="4"/>
  <c r="D514" i="4"/>
  <c r="A515" i="4"/>
  <c r="C515" i="4"/>
  <c r="D515" i="4"/>
  <c r="A516" i="4"/>
  <c r="C516" i="4"/>
  <c r="D516" i="4"/>
  <c r="A517" i="4"/>
  <c r="C517" i="4"/>
  <c r="D517" i="4"/>
  <c r="A518" i="4"/>
  <c r="C518" i="4"/>
  <c r="D518" i="4"/>
  <c r="C519" i="4"/>
  <c r="D519" i="4"/>
  <c r="C520" i="4"/>
  <c r="D520" i="4"/>
  <c r="A521" i="4"/>
  <c r="C521" i="4"/>
  <c r="D521" i="4"/>
  <c r="A522" i="4"/>
  <c r="C522" i="4"/>
  <c r="D522" i="4"/>
  <c r="A523" i="4"/>
  <c r="C523" i="4"/>
  <c r="D523" i="4"/>
  <c r="A524" i="4"/>
  <c r="C524" i="4"/>
  <c r="D524" i="4"/>
  <c r="A525" i="4"/>
  <c r="C525" i="4"/>
  <c r="D525" i="4"/>
  <c r="A526" i="4"/>
  <c r="C526" i="4"/>
  <c r="D526" i="4"/>
  <c r="A527" i="4"/>
  <c r="C527" i="4"/>
  <c r="D527" i="4"/>
  <c r="A528" i="4"/>
  <c r="C528" i="4"/>
  <c r="D528" i="4"/>
  <c r="A529" i="4"/>
  <c r="C529" i="4"/>
  <c r="D529" i="4"/>
  <c r="A530" i="4"/>
  <c r="C530" i="4"/>
  <c r="D530" i="4"/>
  <c r="A531" i="4"/>
  <c r="D531" i="4"/>
  <c r="A532" i="4"/>
  <c r="C532" i="4"/>
  <c r="D532" i="4"/>
  <c r="A533" i="4"/>
  <c r="D533" i="4"/>
  <c r="A534" i="4"/>
  <c r="C534" i="4"/>
  <c r="D534" i="4"/>
  <c r="A535" i="4"/>
  <c r="D535" i="4"/>
  <c r="A536" i="4"/>
  <c r="C536" i="4"/>
  <c r="D536" i="4"/>
  <c r="A537" i="4"/>
  <c r="C537" i="4"/>
  <c r="D537" i="4"/>
  <c r="A538" i="4"/>
  <c r="C538" i="4"/>
  <c r="D538" i="4"/>
  <c r="A539" i="4"/>
  <c r="C539" i="4"/>
  <c r="D539" i="4"/>
  <c r="A540" i="4"/>
  <c r="C540" i="4"/>
  <c r="D540" i="4"/>
  <c r="A541" i="4"/>
  <c r="C541" i="4"/>
  <c r="D541" i="4"/>
  <c r="A542" i="4"/>
  <c r="C542" i="4"/>
  <c r="D542" i="4"/>
  <c r="A543" i="4"/>
  <c r="C543" i="4"/>
  <c r="D543" i="4"/>
  <c r="A544" i="4"/>
  <c r="C544" i="4"/>
  <c r="D544" i="4"/>
  <c r="A545" i="4"/>
  <c r="C545" i="4"/>
  <c r="D545" i="4"/>
  <c r="C546" i="4"/>
  <c r="D546" i="4"/>
  <c r="C547" i="4"/>
  <c r="D547" i="4"/>
  <c r="A548" i="4"/>
  <c r="C548" i="4"/>
  <c r="D548" i="4"/>
  <c r="A549" i="4"/>
  <c r="C549" i="4"/>
  <c r="D549" i="4"/>
  <c r="A550" i="4"/>
  <c r="C550" i="4"/>
  <c r="D550" i="4"/>
  <c r="A551" i="4"/>
  <c r="D551" i="4"/>
  <c r="A552" i="4"/>
  <c r="C552" i="4"/>
  <c r="D552" i="4"/>
  <c r="A553" i="4"/>
  <c r="C553" i="4"/>
  <c r="D553" i="4"/>
  <c r="A554" i="4"/>
  <c r="C554" i="4"/>
  <c r="D554" i="4"/>
  <c r="A555" i="4"/>
  <c r="C555" i="4"/>
  <c r="D555" i="4"/>
  <c r="A556" i="4"/>
  <c r="C556" i="4"/>
  <c r="D556" i="4"/>
  <c r="A557" i="4"/>
  <c r="C557" i="4"/>
  <c r="D557" i="4"/>
  <c r="A558" i="4"/>
  <c r="C558" i="4"/>
  <c r="D558" i="4"/>
  <c r="A559" i="4"/>
  <c r="C559" i="4"/>
  <c r="D559" i="4"/>
  <c r="A560" i="4"/>
  <c r="C560" i="4"/>
  <c r="D560" i="4"/>
  <c r="A561" i="4"/>
  <c r="C561" i="4"/>
  <c r="D561" i="4"/>
  <c r="A562" i="4"/>
  <c r="C562" i="4"/>
  <c r="D562" i="4"/>
  <c r="A563" i="4"/>
  <c r="C563" i="4"/>
  <c r="D563" i="4"/>
  <c r="A564" i="4"/>
  <c r="C564" i="4"/>
  <c r="D564" i="4"/>
  <c r="A565" i="4"/>
  <c r="C565" i="4"/>
  <c r="D565" i="4"/>
  <c r="A566" i="4"/>
  <c r="C566" i="4"/>
  <c r="D566" i="4"/>
  <c r="A567" i="4"/>
  <c r="C567" i="4"/>
  <c r="D567" i="4"/>
  <c r="A568" i="4"/>
  <c r="C568" i="4"/>
  <c r="D568" i="4"/>
  <c r="A569" i="4"/>
  <c r="C569" i="4"/>
  <c r="D569" i="4"/>
  <c r="A570" i="4"/>
  <c r="C570" i="4"/>
  <c r="D570" i="4"/>
  <c r="A571" i="4"/>
  <c r="C571" i="4"/>
  <c r="D571" i="4"/>
  <c r="A572" i="4"/>
  <c r="C572" i="4"/>
  <c r="D572" i="4"/>
  <c r="A573" i="4"/>
  <c r="C573" i="4"/>
  <c r="D573" i="4"/>
  <c r="A574" i="4"/>
  <c r="C574" i="4"/>
  <c r="D574" i="4"/>
  <c r="A575" i="4"/>
  <c r="C575" i="4"/>
  <c r="D575" i="4"/>
  <c r="A576" i="4"/>
  <c r="C576" i="4"/>
  <c r="D576" i="4"/>
  <c r="A577" i="4"/>
  <c r="C577" i="4"/>
  <c r="D577" i="4"/>
  <c r="A578" i="4"/>
  <c r="D578" i="4"/>
  <c r="A579" i="4"/>
  <c r="C579" i="4"/>
  <c r="D579" i="4"/>
  <c r="A580" i="4"/>
  <c r="C580" i="4"/>
  <c r="D580" i="4"/>
  <c r="A581" i="4"/>
  <c r="C581" i="4"/>
  <c r="D581" i="4"/>
  <c r="A582" i="4"/>
  <c r="C582" i="4"/>
  <c r="D582" i="4"/>
  <c r="A583" i="4"/>
  <c r="C583" i="4"/>
  <c r="D583" i="4"/>
  <c r="A584" i="4"/>
  <c r="C584" i="4"/>
  <c r="D584" i="4"/>
  <c r="A585" i="4"/>
  <c r="C585" i="4"/>
  <c r="D585" i="4"/>
  <c r="A586" i="4"/>
  <c r="C586" i="4"/>
  <c r="D586" i="4"/>
  <c r="A587" i="4"/>
  <c r="C587" i="4"/>
  <c r="D587" i="4"/>
  <c r="A588" i="4"/>
  <c r="C588" i="4"/>
  <c r="D588" i="4"/>
  <c r="A589" i="4"/>
  <c r="C589" i="4"/>
  <c r="D589" i="4"/>
  <c r="A590" i="4"/>
  <c r="C590" i="4"/>
  <c r="D590" i="4"/>
  <c r="A591" i="4"/>
  <c r="C591" i="4"/>
  <c r="D591" i="4"/>
  <c r="A592" i="4"/>
  <c r="C592" i="4"/>
  <c r="D592" i="4"/>
  <c r="A593" i="4"/>
  <c r="C593" i="4"/>
  <c r="D593" i="4"/>
  <c r="C594" i="4"/>
  <c r="D594" i="4"/>
  <c r="C595" i="4"/>
  <c r="D595" i="4"/>
  <c r="A596" i="4"/>
  <c r="C596" i="4"/>
  <c r="D596" i="4"/>
  <c r="A597" i="4"/>
  <c r="C597" i="4"/>
  <c r="A598" i="4"/>
  <c r="C598" i="4"/>
  <c r="D598" i="4"/>
  <c r="A599" i="4"/>
  <c r="C599" i="4"/>
  <c r="D599" i="4"/>
  <c r="A600" i="4"/>
  <c r="C600" i="4"/>
  <c r="D600" i="4"/>
  <c r="A601" i="4"/>
  <c r="C601" i="4"/>
  <c r="D601" i="4"/>
  <c r="A602" i="4"/>
  <c r="C602" i="4"/>
  <c r="D602" i="4"/>
  <c r="A603" i="4"/>
  <c r="C603" i="4"/>
  <c r="D603" i="4"/>
  <c r="A604" i="4"/>
  <c r="C604" i="4"/>
  <c r="D604" i="4"/>
  <c r="A605" i="4"/>
  <c r="C605" i="4"/>
  <c r="D605" i="4"/>
  <c r="A606" i="4"/>
  <c r="C606" i="4"/>
  <c r="D606" i="4"/>
  <c r="A607" i="4"/>
  <c r="C607" i="4"/>
  <c r="D607" i="4"/>
  <c r="A608" i="4"/>
  <c r="C608" i="4"/>
  <c r="D608" i="4"/>
  <c r="A609" i="4"/>
  <c r="C609" i="4"/>
  <c r="D609" i="4"/>
  <c r="A610" i="4"/>
  <c r="C610" i="4"/>
  <c r="A611" i="4"/>
  <c r="C611" i="4"/>
  <c r="D611" i="4"/>
  <c r="A612" i="4"/>
  <c r="C612" i="4"/>
  <c r="D612" i="4"/>
  <c r="A613" i="4"/>
  <c r="C613" i="4"/>
  <c r="D613" i="4"/>
  <c r="A614" i="4"/>
  <c r="C614" i="4"/>
  <c r="D614" i="4"/>
  <c r="A615" i="4"/>
  <c r="C615" i="4"/>
  <c r="D615" i="4"/>
  <c r="A616" i="4"/>
  <c r="C616" i="4"/>
  <c r="D616" i="4"/>
  <c r="A617" i="4"/>
  <c r="C617" i="4"/>
  <c r="D617" i="4"/>
  <c r="A618" i="4"/>
  <c r="C618" i="4"/>
  <c r="D618" i="4"/>
  <c r="A619" i="4"/>
  <c r="C619" i="4"/>
  <c r="A620" i="4"/>
  <c r="C620" i="4"/>
  <c r="D620" i="4"/>
  <c r="A621" i="4"/>
  <c r="C621" i="4"/>
  <c r="D621" i="4"/>
  <c r="A622" i="4"/>
  <c r="C622" i="4"/>
  <c r="D622" i="4"/>
  <c r="A623" i="4"/>
  <c r="C623" i="4"/>
  <c r="D623" i="4"/>
  <c r="A624" i="4"/>
  <c r="C624" i="4"/>
  <c r="D624" i="4"/>
  <c r="A625" i="4"/>
  <c r="C625" i="4"/>
  <c r="D625" i="4"/>
  <c r="A626" i="4"/>
  <c r="C626" i="4"/>
  <c r="D626" i="4"/>
  <c r="A627" i="4"/>
  <c r="C627" i="4"/>
  <c r="D627" i="4"/>
  <c r="C628" i="4"/>
  <c r="D628" i="4"/>
  <c r="C629" i="4"/>
  <c r="D629" i="4"/>
  <c r="A630" i="4"/>
  <c r="C630" i="4"/>
  <c r="D630" i="4"/>
  <c r="C631" i="4"/>
  <c r="D631" i="4"/>
  <c r="A632" i="4"/>
  <c r="D632" i="4"/>
  <c r="A633" i="4"/>
  <c r="D633" i="4"/>
  <c r="A634" i="4"/>
  <c r="C634" i="4"/>
  <c r="D634" i="4"/>
  <c r="A635" i="4"/>
  <c r="D635" i="4"/>
  <c r="A636" i="4"/>
  <c r="D636" i="4"/>
  <c r="A637" i="4"/>
  <c r="D637" i="4"/>
  <c r="A638" i="4"/>
  <c r="D638" i="4"/>
  <c r="A639" i="4"/>
  <c r="C639" i="4"/>
  <c r="D639" i="4"/>
  <c r="A640" i="4"/>
  <c r="D640" i="4"/>
  <c r="A641" i="4"/>
  <c r="D641" i="4"/>
  <c r="A642" i="4"/>
  <c r="D642" i="4"/>
  <c r="A643" i="4"/>
  <c r="D643" i="4"/>
  <c r="A644" i="4"/>
  <c r="D644" i="4"/>
  <c r="A645" i="4"/>
  <c r="D645" i="4"/>
  <c r="A646" i="4"/>
  <c r="D646" i="4"/>
  <c r="A647" i="4"/>
  <c r="C647" i="4"/>
  <c r="D647" i="4"/>
  <c r="A648" i="4"/>
  <c r="C648" i="4"/>
  <c r="D648" i="4"/>
  <c r="A649" i="4"/>
  <c r="C649" i="4"/>
  <c r="D649" i="4"/>
  <c r="A650" i="4"/>
  <c r="C650" i="4"/>
  <c r="D650" i="4"/>
  <c r="A651" i="4"/>
  <c r="D651" i="4"/>
  <c r="A652" i="4"/>
  <c r="D652" i="4"/>
  <c r="A653" i="4"/>
  <c r="D653" i="4"/>
  <c r="A654" i="4"/>
  <c r="D654" i="4"/>
  <c r="A655" i="4"/>
  <c r="C655" i="4"/>
  <c r="D655" i="4"/>
  <c r="A656" i="4"/>
  <c r="C656" i="4"/>
  <c r="D656" i="4"/>
  <c r="A657" i="4"/>
  <c r="C657" i="4"/>
  <c r="D657" i="4"/>
  <c r="A658" i="4"/>
  <c r="C658" i="4"/>
  <c r="D658" i="4"/>
  <c r="A659" i="4"/>
  <c r="D659" i="4"/>
  <c r="A660" i="4"/>
  <c r="D660" i="4"/>
  <c r="A661" i="4"/>
  <c r="C661" i="4"/>
  <c r="D661" i="4"/>
  <c r="A662" i="4"/>
  <c r="C662" i="4"/>
  <c r="D662" i="4"/>
  <c r="A663" i="4"/>
  <c r="C663" i="4"/>
  <c r="D663" i="4"/>
  <c r="A664" i="4"/>
  <c r="C664" i="4"/>
  <c r="D664" i="4"/>
  <c r="A665" i="4"/>
  <c r="C665" i="4"/>
  <c r="D665" i="4"/>
  <c r="A666" i="4"/>
  <c r="D666" i="4"/>
  <c r="A667" i="4"/>
  <c r="D667" i="4"/>
  <c r="A668" i="4"/>
  <c r="D668" i="4"/>
  <c r="A669" i="4"/>
  <c r="C669" i="4"/>
  <c r="D669" i="4"/>
  <c r="A670" i="4"/>
  <c r="C670" i="4"/>
  <c r="D670" i="4"/>
  <c r="A671" i="4"/>
  <c r="C671" i="4"/>
  <c r="D671" i="4"/>
  <c r="A672" i="4"/>
  <c r="C672" i="4"/>
  <c r="D672" i="4"/>
  <c r="A673" i="4"/>
  <c r="D673" i="4"/>
  <c r="A674" i="4"/>
  <c r="D674" i="4"/>
  <c r="A675" i="4"/>
  <c r="C675" i="4"/>
  <c r="D675" i="4"/>
  <c r="A676" i="4"/>
  <c r="C676" i="4"/>
  <c r="D676" i="4"/>
  <c r="A677" i="4"/>
  <c r="C677" i="4"/>
  <c r="D677" i="4"/>
  <c r="A678" i="4"/>
  <c r="D678" i="4"/>
  <c r="A679" i="4"/>
  <c r="D679" i="4"/>
  <c r="A680" i="4"/>
  <c r="C680" i="4"/>
  <c r="D680" i="4"/>
  <c r="A681" i="4"/>
  <c r="C681" i="4"/>
  <c r="D681" i="4"/>
  <c r="A682" i="4"/>
  <c r="C682" i="4"/>
  <c r="D682" i="4"/>
  <c r="A683" i="4"/>
  <c r="C683" i="4"/>
  <c r="D683" i="4"/>
  <c r="A684" i="4"/>
  <c r="C684" i="4"/>
  <c r="D684" i="4"/>
  <c r="A685" i="4"/>
  <c r="C685" i="4"/>
  <c r="D685" i="4"/>
  <c r="A686" i="4"/>
  <c r="D686" i="4"/>
  <c r="A687" i="4"/>
  <c r="C687" i="4"/>
  <c r="D687" i="4"/>
  <c r="A688" i="4"/>
  <c r="C688" i="4"/>
  <c r="D688" i="4"/>
  <c r="A689" i="4"/>
  <c r="C689" i="4"/>
  <c r="D689" i="4"/>
  <c r="A690" i="4"/>
  <c r="C690" i="4"/>
  <c r="D690" i="4"/>
  <c r="A691" i="4"/>
  <c r="D691" i="4"/>
  <c r="A692" i="4"/>
  <c r="D692" i="4"/>
  <c r="A693" i="4"/>
  <c r="C693" i="4"/>
  <c r="D693" i="4"/>
  <c r="A694" i="4"/>
  <c r="C694" i="4"/>
  <c r="D694" i="4"/>
  <c r="A695" i="4"/>
  <c r="C695" i="4"/>
  <c r="D695" i="4"/>
  <c r="A696" i="4"/>
  <c r="C696" i="4"/>
  <c r="D696" i="4"/>
  <c r="A697" i="4"/>
  <c r="C697" i="4"/>
  <c r="D697" i="4"/>
  <c r="A698" i="4"/>
  <c r="C698" i="4"/>
  <c r="D698" i="4"/>
  <c r="A699" i="4"/>
  <c r="D699" i="4"/>
  <c r="A700" i="4"/>
  <c r="C700" i="4"/>
  <c r="D700" i="4"/>
  <c r="A701" i="4"/>
  <c r="C701" i="4"/>
  <c r="D701" i="4"/>
  <c r="A702" i="4"/>
  <c r="C702" i="4"/>
  <c r="D702" i="4"/>
  <c r="A703" i="4"/>
  <c r="C703" i="4"/>
  <c r="D703" i="4"/>
  <c r="A704" i="4"/>
  <c r="C704" i="4"/>
  <c r="D704" i="4"/>
  <c r="A705" i="4"/>
  <c r="D705" i="4"/>
  <c r="A706" i="4"/>
  <c r="D706" i="4"/>
  <c r="A707" i="4"/>
  <c r="C707" i="4"/>
  <c r="D707" i="4"/>
  <c r="A708" i="4"/>
  <c r="D708" i="4"/>
  <c r="A709" i="4"/>
  <c r="D709" i="4"/>
  <c r="A710" i="4"/>
  <c r="D710" i="4"/>
  <c r="A711" i="4"/>
  <c r="D711" i="4"/>
  <c r="A712" i="4"/>
  <c r="C712" i="4"/>
  <c r="D712" i="4"/>
  <c r="C713" i="4"/>
  <c r="D713" i="4"/>
  <c r="C714" i="4"/>
  <c r="D714" i="4"/>
  <c r="C715" i="4"/>
  <c r="D715" i="4"/>
  <c r="A716" i="4"/>
  <c r="C716" i="4"/>
  <c r="D716" i="4"/>
  <c r="A717" i="4"/>
  <c r="C717" i="4"/>
  <c r="D717" i="4"/>
  <c r="A718" i="4"/>
  <c r="C718" i="4"/>
  <c r="D718" i="4"/>
  <c r="A719" i="4"/>
  <c r="C719" i="4"/>
  <c r="D719" i="4"/>
  <c r="A720" i="4"/>
  <c r="C720" i="4"/>
  <c r="D720" i="4"/>
  <c r="A721" i="4"/>
  <c r="C721" i="4"/>
  <c r="D721" i="4"/>
  <c r="A722" i="4"/>
  <c r="C722" i="4"/>
  <c r="D722" i="4"/>
  <c r="A723" i="4"/>
  <c r="C723" i="4"/>
  <c r="D723" i="4"/>
  <c r="A724" i="4"/>
  <c r="C724" i="4"/>
  <c r="D724" i="4"/>
  <c r="A725" i="4"/>
  <c r="C725" i="4"/>
  <c r="D725" i="4"/>
  <c r="A726" i="4"/>
  <c r="C726" i="4"/>
  <c r="D726" i="4"/>
  <c r="A727" i="4"/>
  <c r="C727" i="4"/>
  <c r="D727" i="4"/>
  <c r="A728" i="4"/>
  <c r="C728" i="4"/>
  <c r="D728" i="4"/>
  <c r="A729" i="4"/>
  <c r="C729" i="4"/>
  <c r="D729" i="4"/>
  <c r="A730" i="4"/>
  <c r="C730" i="4"/>
  <c r="D730" i="4"/>
  <c r="A731" i="4"/>
  <c r="C731" i="4"/>
  <c r="D731" i="4"/>
  <c r="A732" i="4"/>
  <c r="C732" i="4"/>
  <c r="D732" i="4"/>
  <c r="A733" i="4"/>
  <c r="C733" i="4"/>
  <c r="D733" i="4"/>
  <c r="C734" i="4"/>
  <c r="D734" i="4"/>
  <c r="C735" i="4"/>
  <c r="D735" i="4"/>
  <c r="C736" i="4"/>
  <c r="D736" i="4"/>
  <c r="A737" i="4"/>
  <c r="C737" i="4"/>
  <c r="D737" i="4"/>
  <c r="A738" i="4"/>
  <c r="C738" i="4"/>
  <c r="D738" i="4"/>
  <c r="A739" i="4"/>
  <c r="D739" i="4"/>
  <c r="A740" i="4"/>
  <c r="D740" i="4"/>
  <c r="A741" i="4"/>
  <c r="D741" i="4"/>
  <c r="A742" i="4"/>
  <c r="D742" i="4"/>
  <c r="A743" i="4"/>
  <c r="C743" i="4"/>
  <c r="D743" i="4"/>
  <c r="A744" i="4"/>
  <c r="C744" i="4"/>
  <c r="D744" i="4"/>
  <c r="A745" i="4"/>
  <c r="C745" i="4"/>
  <c r="D745" i="4"/>
  <c r="A746" i="4"/>
  <c r="D746" i="4"/>
  <c r="A747" i="4"/>
  <c r="D747" i="4"/>
  <c r="A748" i="4"/>
  <c r="C748" i="4"/>
  <c r="D748" i="4"/>
  <c r="A749" i="4"/>
  <c r="C749" i="4"/>
  <c r="D749" i="4"/>
  <c r="A750" i="4"/>
  <c r="C750" i="4"/>
  <c r="D750" i="4"/>
  <c r="A751" i="4"/>
  <c r="D751" i="4"/>
  <c r="C752" i="4"/>
  <c r="D752" i="4"/>
  <c r="C753" i="4"/>
  <c r="D753" i="4"/>
  <c r="A754" i="4"/>
  <c r="C754" i="4"/>
  <c r="D754" i="4"/>
  <c r="A755" i="4"/>
  <c r="C755" i="4"/>
  <c r="D755" i="4"/>
  <c r="A756" i="4"/>
  <c r="C756" i="4"/>
  <c r="D756" i="4"/>
  <c r="A757" i="4"/>
  <c r="C757" i="4"/>
  <c r="D757" i="4"/>
  <c r="A758" i="4"/>
  <c r="C758" i="4"/>
  <c r="D758" i="4"/>
  <c r="A759" i="4"/>
  <c r="C759" i="4"/>
  <c r="D759" i="4"/>
  <c r="A760" i="4"/>
  <c r="C760" i="4"/>
  <c r="D760" i="4"/>
  <c r="A761" i="4"/>
  <c r="C761" i="4"/>
  <c r="D761" i="4"/>
  <c r="A762" i="4"/>
  <c r="C762" i="4"/>
  <c r="D762" i="4"/>
  <c r="A763" i="4"/>
  <c r="C763" i="4"/>
  <c r="D763" i="4"/>
  <c r="A764" i="4"/>
  <c r="C764" i="4"/>
  <c r="D764" i="4"/>
  <c r="A765" i="4"/>
  <c r="C765" i="4"/>
  <c r="D765" i="4"/>
  <c r="A766" i="4"/>
  <c r="C766" i="4"/>
  <c r="D766" i="4"/>
  <c r="A767" i="4"/>
  <c r="C767" i="4"/>
  <c r="D767" i="4"/>
  <c r="A768" i="4"/>
  <c r="C768" i="4"/>
  <c r="D768" i="4"/>
  <c r="A769" i="4"/>
  <c r="C769" i="4"/>
  <c r="D769" i="4"/>
  <c r="A770" i="4"/>
  <c r="C770" i="4"/>
  <c r="D770" i="4"/>
  <c r="A771" i="4"/>
  <c r="C771" i="4"/>
  <c r="D771" i="4"/>
  <c r="C772" i="4"/>
  <c r="D772" i="4"/>
  <c r="C773" i="4"/>
  <c r="D773" i="4"/>
  <c r="A774" i="4"/>
  <c r="C774" i="4"/>
  <c r="D774" i="4"/>
  <c r="A775" i="4"/>
  <c r="C775" i="4"/>
  <c r="D775" i="4"/>
  <c r="A776" i="4"/>
  <c r="C776" i="4"/>
  <c r="D776" i="4"/>
  <c r="A777" i="4"/>
  <c r="C777" i="4"/>
  <c r="D777" i="4"/>
  <c r="A778" i="4"/>
  <c r="D778" i="4"/>
  <c r="A779" i="4"/>
  <c r="C779" i="4"/>
  <c r="D779" i="4"/>
  <c r="A780" i="4"/>
  <c r="C780" i="4"/>
  <c r="D780" i="4"/>
  <c r="C781" i="4"/>
  <c r="D781" i="4"/>
  <c r="C782" i="4"/>
  <c r="D782" i="4"/>
  <c r="C783" i="4"/>
  <c r="D783" i="4"/>
  <c r="A784" i="4"/>
  <c r="C784" i="4"/>
  <c r="D784" i="4"/>
  <c r="C785" i="4"/>
  <c r="D785" i="4"/>
  <c r="A786" i="4"/>
  <c r="D786" i="4"/>
  <c r="A787" i="4"/>
  <c r="D787" i="4"/>
  <c r="A788" i="4"/>
  <c r="D788" i="4"/>
  <c r="A789" i="4"/>
  <c r="D789" i="4"/>
  <c r="A790" i="4"/>
  <c r="C790" i="4"/>
  <c r="D790" i="4"/>
  <c r="A791" i="4"/>
  <c r="D791" i="4"/>
  <c r="A792" i="4"/>
  <c r="D792" i="4"/>
  <c r="A793" i="4"/>
  <c r="D793" i="4"/>
  <c r="A794" i="4"/>
  <c r="D794" i="4"/>
  <c r="A795" i="4"/>
  <c r="D795" i="4"/>
  <c r="A796" i="4"/>
  <c r="C796" i="4"/>
  <c r="D796" i="4"/>
  <c r="A797" i="4"/>
  <c r="C797" i="4"/>
  <c r="D797" i="4"/>
  <c r="A798" i="4"/>
  <c r="C798" i="4"/>
  <c r="D798" i="4"/>
  <c r="C799" i="4"/>
  <c r="D799" i="4"/>
  <c r="C800" i="4"/>
  <c r="D800" i="4"/>
  <c r="C801" i="4"/>
  <c r="D801" i="4"/>
  <c r="C802" i="4"/>
  <c r="D802" i="4"/>
  <c r="C803" i="4"/>
  <c r="D803" i="4"/>
  <c r="A804" i="4"/>
  <c r="C804" i="4"/>
  <c r="D804" i="4"/>
  <c r="C805" i="4"/>
  <c r="D805" i="4"/>
  <c r="A806" i="4"/>
  <c r="C806" i="4"/>
  <c r="D806" i="4"/>
  <c r="A807" i="4"/>
  <c r="C807" i="4"/>
  <c r="D807" i="4"/>
  <c r="A808" i="4"/>
  <c r="C808" i="4"/>
  <c r="D808" i="4"/>
  <c r="A809" i="4"/>
  <c r="C809" i="4"/>
  <c r="D809" i="4"/>
  <c r="A810" i="4"/>
  <c r="C810" i="4"/>
  <c r="D810" i="4"/>
  <c r="A811" i="4"/>
  <c r="D811" i="4"/>
  <c r="A812" i="4"/>
  <c r="D812" i="4"/>
  <c r="A813" i="4"/>
  <c r="D813" i="4"/>
  <c r="A814" i="4"/>
  <c r="D814" i="4"/>
  <c r="A815" i="4"/>
  <c r="D815" i="4"/>
  <c r="A816" i="4"/>
  <c r="D816" i="4"/>
  <c r="A817" i="4"/>
  <c r="D817" i="4"/>
  <c r="A818" i="4"/>
  <c r="D818" i="4"/>
  <c r="A819" i="4"/>
  <c r="D819" i="4"/>
  <c r="A820" i="4"/>
  <c r="D820" i="4"/>
  <c r="A821" i="4"/>
  <c r="D821" i="4"/>
  <c r="A822" i="4"/>
  <c r="D822" i="4"/>
  <c r="A823" i="4"/>
  <c r="D823" i="4"/>
  <c r="A824" i="4"/>
  <c r="D824" i="4"/>
  <c r="A825" i="4"/>
  <c r="D825" i="4"/>
  <c r="A826" i="4"/>
  <c r="D826" i="4"/>
  <c r="A827" i="4"/>
  <c r="D827" i="4"/>
  <c r="A828" i="4"/>
  <c r="D828" i="4"/>
  <c r="A829" i="4"/>
  <c r="D829" i="4"/>
  <c r="A830" i="4"/>
  <c r="D830" i="4"/>
  <c r="A831" i="4"/>
  <c r="D831" i="4"/>
  <c r="A832" i="4"/>
  <c r="D832" i="4"/>
  <c r="A833" i="4"/>
  <c r="D833" i="4"/>
  <c r="A834" i="4"/>
  <c r="D834" i="4"/>
  <c r="A835" i="4"/>
  <c r="D835" i="4"/>
  <c r="A836" i="4"/>
  <c r="D836" i="4"/>
  <c r="A837" i="4"/>
  <c r="D837" i="4"/>
  <c r="A838" i="4"/>
  <c r="D838" i="4"/>
  <c r="A839" i="4"/>
  <c r="D839" i="4"/>
  <c r="A840" i="4"/>
  <c r="D840" i="4"/>
  <c r="A841" i="4"/>
  <c r="C841" i="4"/>
  <c r="D841" i="4"/>
  <c r="A842" i="4"/>
  <c r="C842" i="4"/>
  <c r="D842" i="4"/>
  <c r="A843" i="4"/>
  <c r="D843" i="4"/>
  <c r="C844" i="4"/>
  <c r="D844" i="4"/>
  <c r="C845" i="4"/>
  <c r="D845" i="4"/>
  <c r="C846" i="4"/>
  <c r="D846" i="4"/>
  <c r="C847" i="4"/>
  <c r="D847" i="4"/>
  <c r="A848" i="4"/>
  <c r="C848" i="4"/>
  <c r="D848" i="4"/>
  <c r="C849" i="4"/>
  <c r="D849" i="4"/>
  <c r="A850" i="4"/>
  <c r="C850" i="4"/>
  <c r="D850" i="4"/>
  <c r="A851" i="4"/>
  <c r="C851" i="4"/>
  <c r="D851" i="4"/>
  <c r="A852" i="4"/>
  <c r="C852" i="4"/>
  <c r="D852" i="4"/>
  <c r="A853" i="4"/>
  <c r="C853" i="4"/>
  <c r="D853" i="4"/>
  <c r="A854" i="4"/>
  <c r="C854" i="4"/>
  <c r="D854" i="4"/>
  <c r="A855" i="4"/>
  <c r="C855" i="4"/>
  <c r="D855" i="4"/>
  <c r="A856" i="4"/>
  <c r="C856" i="4"/>
  <c r="D856" i="4"/>
  <c r="A857" i="4"/>
  <c r="C857" i="4"/>
  <c r="D857" i="4"/>
  <c r="A858" i="4"/>
  <c r="C858" i="4"/>
  <c r="D858" i="4"/>
  <c r="A859" i="4"/>
  <c r="C859" i="4"/>
  <c r="D859" i="4"/>
  <c r="A860" i="4"/>
  <c r="C860" i="4"/>
  <c r="D860" i="4"/>
  <c r="A861" i="4"/>
  <c r="C861" i="4"/>
  <c r="D861" i="4"/>
  <c r="A862" i="4"/>
  <c r="C862" i="4"/>
  <c r="D862" i="4"/>
  <c r="A863" i="4"/>
  <c r="C863" i="4"/>
  <c r="D863" i="4"/>
  <c r="A864" i="4"/>
  <c r="C864" i="4"/>
  <c r="D864" i="4"/>
  <c r="A865" i="4"/>
  <c r="C865" i="4"/>
  <c r="D865" i="4"/>
  <c r="A866" i="4"/>
  <c r="C866" i="4"/>
  <c r="D866" i="4"/>
  <c r="A867" i="4"/>
  <c r="C867" i="4"/>
  <c r="D867" i="4"/>
  <c r="A868" i="4"/>
  <c r="C868" i="4"/>
  <c r="D868" i="4"/>
  <c r="A869" i="4"/>
  <c r="C869" i="4"/>
  <c r="D869" i="4"/>
  <c r="A870" i="4"/>
  <c r="C870" i="4"/>
  <c r="D870" i="4"/>
  <c r="A871" i="4"/>
  <c r="C871" i="4"/>
  <c r="D871" i="4"/>
  <c r="A872" i="4"/>
  <c r="C872" i="4"/>
  <c r="D872" i="4"/>
  <c r="A873" i="4"/>
  <c r="C873" i="4"/>
  <c r="D873" i="4"/>
  <c r="A874" i="4"/>
  <c r="C874" i="4"/>
  <c r="D874" i="4"/>
  <c r="A875" i="4"/>
  <c r="C875" i="4"/>
  <c r="D875" i="4"/>
  <c r="A876" i="4"/>
  <c r="C876" i="4"/>
  <c r="D876" i="4"/>
  <c r="A877" i="4"/>
  <c r="C877" i="4"/>
  <c r="D877" i="4"/>
  <c r="A878" i="4"/>
  <c r="C878" i="4"/>
  <c r="D878" i="4"/>
  <c r="A879" i="4"/>
  <c r="C879" i="4"/>
  <c r="D879" i="4"/>
  <c r="A880" i="4"/>
  <c r="C880" i="4"/>
  <c r="D880" i="4"/>
  <c r="A881" i="4"/>
  <c r="C881" i="4"/>
  <c r="D881" i="4"/>
  <c r="A882" i="4"/>
  <c r="C882" i="4"/>
  <c r="D882" i="4"/>
  <c r="A883" i="4"/>
  <c r="C883" i="4"/>
  <c r="D883" i="4"/>
  <c r="A884" i="4"/>
  <c r="C884" i="4"/>
  <c r="D884" i="4"/>
  <c r="A885" i="4"/>
  <c r="C885" i="4"/>
  <c r="D885" i="4"/>
  <c r="A886" i="4"/>
  <c r="C886" i="4"/>
  <c r="D886" i="4"/>
  <c r="A887" i="4"/>
  <c r="C887" i="4"/>
  <c r="D887" i="4"/>
  <c r="A888" i="4"/>
  <c r="C888" i="4"/>
  <c r="D888" i="4"/>
  <c r="A889" i="4"/>
  <c r="C889" i="4"/>
  <c r="D889" i="4"/>
  <c r="A890" i="4"/>
  <c r="C890" i="4"/>
  <c r="D890" i="4"/>
  <c r="A891" i="4"/>
  <c r="C891" i="4"/>
  <c r="D891" i="4"/>
  <c r="A892" i="4"/>
  <c r="C892" i="4"/>
  <c r="D892" i="4"/>
  <c r="A893" i="4"/>
  <c r="C893" i="4"/>
  <c r="D893" i="4"/>
  <c r="A894" i="4"/>
  <c r="C894" i="4"/>
  <c r="D894" i="4"/>
  <c r="A895" i="4"/>
  <c r="C895" i="4"/>
  <c r="D895" i="4"/>
  <c r="A896" i="4"/>
  <c r="C896" i="4"/>
  <c r="D896" i="4"/>
  <c r="A897" i="4"/>
  <c r="C897" i="4"/>
  <c r="D897" i="4"/>
  <c r="A898" i="4"/>
  <c r="C898" i="4"/>
  <c r="D898" i="4"/>
  <c r="A899" i="4"/>
  <c r="C899" i="4"/>
  <c r="D899" i="4"/>
  <c r="A900" i="4"/>
  <c r="C900" i="4"/>
  <c r="D900" i="4"/>
  <c r="A901" i="4"/>
  <c r="C901" i="4"/>
  <c r="D901" i="4"/>
  <c r="A902" i="4"/>
  <c r="C902" i="4"/>
  <c r="D902" i="4"/>
  <c r="A903" i="4"/>
  <c r="C903" i="4"/>
  <c r="D903" i="4"/>
  <c r="A904" i="4"/>
  <c r="C904" i="4"/>
  <c r="D904" i="4"/>
  <c r="A905" i="4"/>
  <c r="C905" i="4"/>
  <c r="D905" i="4"/>
  <c r="A906" i="4"/>
  <c r="C906" i="4"/>
  <c r="D906" i="4"/>
  <c r="A907" i="4"/>
  <c r="C907" i="4"/>
  <c r="D907" i="4"/>
  <c r="A908" i="4"/>
  <c r="C908" i="4"/>
  <c r="D908" i="4"/>
  <c r="A909" i="4"/>
  <c r="C909" i="4"/>
  <c r="D909" i="4"/>
  <c r="A910" i="4"/>
  <c r="C910" i="4"/>
  <c r="D910" i="4"/>
  <c r="A911" i="4"/>
  <c r="C911" i="4"/>
  <c r="D911" i="4"/>
  <c r="A912" i="4"/>
  <c r="C912" i="4"/>
  <c r="D912" i="4"/>
  <c r="A913" i="4"/>
  <c r="C913" i="4"/>
  <c r="D913" i="4"/>
  <c r="A914" i="4"/>
  <c r="C914" i="4"/>
  <c r="D914" i="4"/>
  <c r="A915" i="4"/>
  <c r="C915" i="4"/>
  <c r="D915" i="4"/>
  <c r="A916" i="4"/>
  <c r="C916" i="4"/>
  <c r="D916" i="4"/>
  <c r="A917" i="4"/>
  <c r="C917" i="4"/>
  <c r="D917" i="4"/>
  <c r="A918" i="4"/>
  <c r="C918" i="4"/>
  <c r="D918" i="4"/>
  <c r="A919" i="4"/>
  <c r="C919" i="4"/>
  <c r="D919" i="4"/>
  <c r="A920" i="4"/>
  <c r="C920" i="4"/>
  <c r="D920" i="4"/>
  <c r="A921" i="4"/>
  <c r="C921" i="4"/>
  <c r="D921" i="4"/>
  <c r="A922" i="4"/>
  <c r="C922" i="4"/>
  <c r="D922" i="4"/>
  <c r="A924" i="4"/>
  <c r="C924" i="4"/>
  <c r="D924" i="4"/>
  <c r="A925" i="4"/>
  <c r="C925" i="4"/>
  <c r="D925" i="4"/>
  <c r="A926" i="4"/>
  <c r="C926" i="4"/>
  <c r="D926" i="4"/>
  <c r="A927" i="4"/>
  <c r="C927" i="4"/>
  <c r="D927" i="4"/>
  <c r="A928" i="4"/>
  <c r="C928" i="4"/>
  <c r="D928" i="4"/>
  <c r="A929" i="4"/>
  <c r="C929" i="4"/>
  <c r="D929" i="4"/>
  <c r="A930" i="4"/>
  <c r="C930" i="4"/>
  <c r="D930" i="4"/>
  <c r="A931" i="4"/>
  <c r="C931" i="4"/>
  <c r="D931" i="4"/>
  <c r="A932" i="4"/>
  <c r="C932" i="4"/>
  <c r="D932" i="4"/>
  <c r="A933" i="4"/>
  <c r="C933" i="4"/>
  <c r="D933" i="4"/>
  <c r="A934" i="4"/>
  <c r="C934" i="4"/>
  <c r="D934" i="4"/>
  <c r="A935" i="4"/>
  <c r="C935" i="4"/>
  <c r="D935" i="4"/>
  <c r="C936" i="4"/>
  <c r="D936" i="4"/>
  <c r="C937" i="4"/>
  <c r="D937" i="4"/>
  <c r="C938" i="4"/>
  <c r="D938" i="4"/>
  <c r="C939" i="4"/>
  <c r="D939" i="4"/>
  <c r="A940" i="4"/>
  <c r="C940" i="4"/>
  <c r="D940" i="4"/>
  <c r="C941" i="4"/>
  <c r="D941" i="4"/>
  <c r="A942" i="4"/>
  <c r="C942" i="4"/>
  <c r="D942" i="4"/>
  <c r="A943" i="4"/>
  <c r="C943" i="4"/>
  <c r="D943" i="4"/>
  <c r="A944" i="4"/>
  <c r="C944" i="4"/>
  <c r="D944" i="4"/>
  <c r="A945" i="4"/>
  <c r="C945" i="4"/>
  <c r="D945" i="4"/>
  <c r="A946" i="4"/>
  <c r="C946" i="4"/>
  <c r="D946" i="4"/>
  <c r="A947" i="4"/>
  <c r="D947" i="4"/>
  <c r="A948" i="4"/>
  <c r="C948" i="4"/>
  <c r="D948" i="4"/>
  <c r="A949" i="4"/>
  <c r="C949" i="4"/>
  <c r="D949" i="4"/>
  <c r="A950" i="4"/>
  <c r="C950" i="4"/>
  <c r="D950" i="4"/>
  <c r="A951" i="4"/>
  <c r="C951" i="4"/>
  <c r="D951" i="4"/>
  <c r="A952" i="4"/>
  <c r="C952" i="4"/>
  <c r="D952" i="4"/>
  <c r="A953" i="4"/>
  <c r="C953" i="4"/>
  <c r="D953" i="4"/>
  <c r="A954" i="4"/>
  <c r="C954" i="4"/>
  <c r="D954" i="4"/>
  <c r="A955" i="4"/>
  <c r="C955" i="4"/>
  <c r="D955" i="4"/>
  <c r="A956" i="4"/>
  <c r="C956" i="4"/>
  <c r="D956" i="4"/>
  <c r="A957" i="4"/>
  <c r="C957" i="4"/>
  <c r="D957" i="4"/>
  <c r="A958" i="4"/>
  <c r="C958" i="4"/>
  <c r="D958" i="4"/>
  <c r="A959" i="4"/>
  <c r="C959" i="4"/>
  <c r="D959" i="4"/>
  <c r="A960" i="4"/>
  <c r="C960" i="4"/>
  <c r="D960" i="4"/>
  <c r="A961" i="4"/>
  <c r="C961" i="4"/>
  <c r="D961" i="4"/>
  <c r="A962" i="4"/>
  <c r="C962" i="4"/>
  <c r="D962" i="4"/>
  <c r="A963" i="4"/>
  <c r="C963" i="4"/>
  <c r="D963" i="4"/>
  <c r="A964" i="4"/>
  <c r="C964" i="4"/>
  <c r="D964" i="4"/>
  <c r="A965" i="4"/>
  <c r="C965" i="4"/>
  <c r="D965" i="4"/>
  <c r="A966" i="4"/>
  <c r="C966" i="4"/>
  <c r="D966" i="4"/>
  <c r="A967" i="4"/>
  <c r="C967" i="4"/>
  <c r="D967" i="4"/>
  <c r="A968" i="4"/>
  <c r="C968" i="4"/>
  <c r="D970" i="3" s="1"/>
  <c r="D968" i="4"/>
  <c r="A969" i="4"/>
  <c r="C969" i="4"/>
  <c r="D969" i="4"/>
  <c r="A970" i="4"/>
  <c r="C970" i="4"/>
  <c r="D970" i="4"/>
  <c r="A971" i="4"/>
  <c r="C971" i="4"/>
  <c r="D971" i="4"/>
  <c r="A972" i="4"/>
  <c r="C972" i="4"/>
  <c r="D972" i="4"/>
  <c r="A973" i="4"/>
  <c r="C973" i="4"/>
  <c r="D975" i="3" s="1"/>
  <c r="D973" i="4"/>
  <c r="A974" i="4"/>
  <c r="C974" i="4"/>
  <c r="D974" i="4"/>
  <c r="A975" i="4"/>
  <c r="C975" i="4"/>
  <c r="D975" i="4"/>
  <c r="A976" i="4"/>
  <c r="C976" i="4"/>
  <c r="D976" i="4"/>
  <c r="A977" i="4"/>
  <c r="C977" i="4"/>
  <c r="D977" i="4"/>
  <c r="A978" i="4"/>
  <c r="C978" i="4"/>
  <c r="D978" i="4"/>
  <c r="A979" i="4"/>
  <c r="C979" i="4"/>
  <c r="D979" i="4"/>
  <c r="A980" i="4"/>
  <c r="C980" i="4"/>
  <c r="D980" i="4"/>
  <c r="A981" i="4"/>
  <c r="C981" i="4"/>
  <c r="D981" i="4"/>
  <c r="A982" i="4"/>
  <c r="C982" i="4"/>
  <c r="D982" i="4"/>
  <c r="A983" i="4"/>
  <c r="C983" i="4"/>
  <c r="D983" i="4"/>
  <c r="A984" i="4"/>
  <c r="C984" i="4"/>
  <c r="D984" i="4"/>
  <c r="A985" i="4"/>
  <c r="C985" i="4"/>
  <c r="D985" i="4"/>
  <c r="A986" i="4"/>
  <c r="C986" i="4"/>
  <c r="D986" i="4"/>
  <c r="A987" i="4"/>
  <c r="C987" i="4"/>
  <c r="D987" i="4"/>
  <c r="A988" i="4"/>
  <c r="C988" i="4"/>
  <c r="D988" i="4"/>
  <c r="A989" i="4"/>
  <c r="C989" i="4"/>
  <c r="D989" i="4"/>
  <c r="A990" i="4"/>
  <c r="C990" i="4"/>
  <c r="D990" i="4"/>
  <c r="A991" i="4"/>
  <c r="C991" i="4"/>
  <c r="D991" i="4"/>
  <c r="A992" i="4"/>
  <c r="C992" i="4"/>
  <c r="D992" i="4"/>
  <c r="A993" i="4"/>
  <c r="C993" i="4"/>
  <c r="D993" i="4"/>
  <c r="A994" i="4"/>
  <c r="C994" i="4"/>
  <c r="D994" i="4"/>
  <c r="A995" i="4"/>
  <c r="C995" i="4"/>
  <c r="D995" i="4"/>
  <c r="A996" i="4"/>
  <c r="C996" i="4"/>
  <c r="D996" i="4"/>
  <c r="A997" i="4"/>
  <c r="C997" i="4"/>
  <c r="D997" i="4"/>
  <c r="C998" i="4"/>
  <c r="D998" i="4"/>
  <c r="C999" i="4"/>
  <c r="D999" i="4"/>
  <c r="C1000" i="4"/>
  <c r="D1000" i="4"/>
  <c r="C1001" i="4"/>
  <c r="D1001" i="4"/>
  <c r="A1002" i="4"/>
  <c r="C1002" i="4"/>
  <c r="D1002" i="4"/>
  <c r="C1003" i="4"/>
  <c r="D1003" i="4"/>
  <c r="A1004" i="4"/>
  <c r="C1004" i="4"/>
  <c r="D1004" i="4"/>
  <c r="A1005" i="4"/>
  <c r="C1005" i="4"/>
  <c r="D1005" i="4"/>
  <c r="A1006" i="4"/>
  <c r="C1006" i="4"/>
  <c r="D1006" i="4"/>
  <c r="A1007" i="4"/>
  <c r="C1007" i="4"/>
  <c r="D1007" i="4"/>
  <c r="A1008" i="4"/>
  <c r="C1008" i="4"/>
  <c r="D1008" i="4"/>
  <c r="A1009" i="4"/>
  <c r="C1009" i="4"/>
  <c r="D1009" i="4"/>
  <c r="A1010" i="4"/>
  <c r="C1010" i="4"/>
  <c r="D1010" i="4"/>
  <c r="A1011" i="4"/>
  <c r="C1011" i="4"/>
  <c r="D1011" i="4"/>
  <c r="A1012" i="4"/>
  <c r="C1012" i="4"/>
  <c r="D1012" i="4"/>
  <c r="A1013" i="4"/>
  <c r="C1013" i="4"/>
  <c r="D1013" i="4"/>
  <c r="A1014" i="4"/>
  <c r="C1014" i="4"/>
  <c r="D1014" i="4"/>
  <c r="A1015" i="4"/>
  <c r="C1015" i="4"/>
  <c r="D1015" i="4"/>
  <c r="A1016" i="4"/>
  <c r="C1016" i="4"/>
  <c r="D1016" i="4"/>
  <c r="A1017" i="4"/>
  <c r="C1017" i="4"/>
  <c r="D1017" i="4"/>
  <c r="A1018" i="4"/>
  <c r="C1018" i="4"/>
  <c r="D1018" i="4"/>
  <c r="A1019" i="4"/>
  <c r="C1019" i="4"/>
  <c r="D1019" i="4"/>
  <c r="A1020" i="4"/>
  <c r="D1020" i="4"/>
  <c r="A1021" i="4"/>
  <c r="D1021" i="4"/>
  <c r="A1022" i="4"/>
  <c r="D1022" i="4"/>
  <c r="A1023" i="4"/>
  <c r="D1023" i="4"/>
  <c r="A1024" i="4"/>
  <c r="C1024" i="4"/>
  <c r="D1024" i="4"/>
  <c r="A1025" i="4"/>
  <c r="D1025" i="4"/>
  <c r="A1026" i="4"/>
  <c r="D1026" i="4"/>
  <c r="A1027" i="4"/>
  <c r="D1027" i="4"/>
  <c r="A1028" i="4"/>
  <c r="C1028" i="4"/>
  <c r="D1028" i="4"/>
  <c r="A1029" i="4"/>
  <c r="C1029" i="4"/>
  <c r="D1029" i="4"/>
  <c r="A1030" i="4"/>
  <c r="C1030" i="4"/>
  <c r="D1030" i="4"/>
  <c r="A1031" i="4"/>
  <c r="C1031" i="4"/>
  <c r="D1031" i="4"/>
  <c r="A1032" i="4"/>
  <c r="D1032" i="4"/>
  <c r="A1033" i="4"/>
  <c r="C1033" i="4"/>
  <c r="D1033" i="4"/>
  <c r="A1034" i="4"/>
  <c r="C1034" i="4"/>
  <c r="D1034" i="4"/>
  <c r="A1035" i="4"/>
  <c r="C1035" i="4"/>
  <c r="D1035" i="4"/>
  <c r="A1036" i="4"/>
  <c r="C1036" i="4"/>
  <c r="D1036" i="4"/>
  <c r="A1037" i="4"/>
  <c r="D1037" i="4"/>
  <c r="A1038" i="4"/>
  <c r="C1038" i="4"/>
  <c r="D1038" i="4"/>
  <c r="A1039" i="4"/>
  <c r="C1039" i="4"/>
  <c r="D1039" i="4"/>
  <c r="A1040" i="4"/>
  <c r="C1040" i="4"/>
  <c r="D1040" i="4"/>
  <c r="A1041" i="4"/>
  <c r="D1041" i="4"/>
  <c r="A1042" i="4"/>
  <c r="C1042" i="4"/>
  <c r="D1042" i="4"/>
  <c r="A1043" i="4"/>
  <c r="C1043" i="4"/>
  <c r="D1043" i="4"/>
  <c r="A1044" i="4"/>
  <c r="C1044" i="4"/>
  <c r="D1044" i="4"/>
  <c r="A1045" i="4"/>
  <c r="C1045" i="4"/>
  <c r="D1045" i="4"/>
  <c r="A1046" i="4"/>
  <c r="A1047" i="4"/>
  <c r="C1047" i="4"/>
  <c r="D1047" i="4"/>
  <c r="A1048" i="4"/>
  <c r="D1048" i="4"/>
  <c r="A1049" i="4"/>
  <c r="D1049" i="4"/>
  <c r="A1050" i="4"/>
  <c r="C1050" i="4"/>
  <c r="D1050" i="4"/>
  <c r="A1051" i="4"/>
  <c r="C1051" i="4"/>
  <c r="D1051" i="4"/>
  <c r="A1052" i="4"/>
  <c r="D1052" i="4"/>
  <c r="A1053" i="4"/>
  <c r="C1053" i="4"/>
  <c r="D1053" i="4"/>
  <c r="A1054" i="4"/>
  <c r="D1054" i="4"/>
  <c r="A1055" i="4"/>
  <c r="C1055" i="4"/>
  <c r="D1055" i="4"/>
  <c r="A1056" i="4"/>
  <c r="C1056" i="4"/>
  <c r="D1056" i="4"/>
  <c r="A1057" i="4"/>
  <c r="C1057" i="4"/>
  <c r="D1057" i="4"/>
  <c r="A1058" i="4"/>
  <c r="D1058" i="4"/>
  <c r="C1059" i="4"/>
  <c r="D1059" i="4"/>
  <c r="C1060" i="4"/>
  <c r="D1060" i="4"/>
  <c r="A1061" i="4"/>
  <c r="C1061" i="4"/>
  <c r="D1061" i="4"/>
  <c r="A1062" i="4"/>
  <c r="D1064" i="3"/>
  <c r="D1062" i="4"/>
  <c r="C1064" i="3" s="1"/>
  <c r="A1063" i="4"/>
  <c r="D1065" i="3"/>
  <c r="D1063" i="4"/>
  <c r="C1065" i="3" s="1"/>
  <c r="A1064" i="4"/>
  <c r="D1066" i="3"/>
  <c r="D1064" i="4"/>
  <c r="C1066" i="3" s="1"/>
  <c r="A1065" i="4"/>
  <c r="D1067" i="3"/>
  <c r="D1065" i="4"/>
  <c r="C1067" i="3" s="1"/>
  <c r="A1066" i="4"/>
  <c r="D1068" i="3"/>
  <c r="D1066" i="4"/>
  <c r="C1068" i="3" s="1"/>
  <c r="A1067" i="4"/>
  <c r="D1069" i="3"/>
  <c r="D1067" i="4"/>
  <c r="C1069" i="3" s="1"/>
  <c r="A1068" i="4"/>
  <c r="D1070" i="3"/>
  <c r="D1068" i="4"/>
  <c r="C1070" i="3" s="1"/>
  <c r="A1069" i="4"/>
  <c r="D1071" i="3"/>
  <c r="D1069" i="4"/>
  <c r="C1071" i="3" s="1"/>
  <c r="A1070" i="4"/>
  <c r="D1072" i="3"/>
  <c r="D1070" i="4"/>
  <c r="C1072" i="3" s="1"/>
  <c r="A1071" i="4"/>
  <c r="D1073" i="3"/>
  <c r="D1071" i="4"/>
  <c r="C1073" i="3" s="1"/>
  <c r="A1072" i="4"/>
  <c r="D1074" i="3"/>
  <c r="D1072" i="4"/>
  <c r="C1074" i="3" s="1"/>
  <c r="A1073" i="4"/>
  <c r="D1075" i="3"/>
  <c r="D1073" i="4"/>
  <c r="C1075" i="3" s="1"/>
  <c r="A1074" i="4"/>
  <c r="D1076" i="3"/>
  <c r="D1074" i="4"/>
  <c r="C1076" i="3" s="1"/>
  <c r="A1075" i="4"/>
  <c r="D1077" i="3"/>
  <c r="D1075" i="4"/>
  <c r="C1077" i="3" s="1"/>
  <c r="A1076" i="4"/>
  <c r="C1076" i="4"/>
  <c r="D1078" i="3" s="1"/>
  <c r="D1076" i="4"/>
  <c r="C1078" i="3" s="1"/>
  <c r="A1077" i="4"/>
  <c r="C1077" i="4"/>
  <c r="D1079" i="3" s="1"/>
  <c r="D1077" i="4"/>
  <c r="C1079" i="3" s="1"/>
  <c r="A1078" i="4"/>
  <c r="C1078" i="4"/>
  <c r="D1080" i="3" s="1"/>
  <c r="D1078" i="4"/>
  <c r="C1080" i="3" s="1"/>
  <c r="C1079" i="4"/>
  <c r="D1079" i="4"/>
  <c r="C1080" i="4"/>
  <c r="D1080" i="4"/>
  <c r="C1081" i="4"/>
  <c r="D1081" i="4"/>
  <c r="A1082" i="4"/>
  <c r="D1082" i="4"/>
  <c r="A1083" i="4"/>
  <c r="C1083" i="4"/>
  <c r="D1083" i="4"/>
  <c r="A1084" i="4"/>
  <c r="D1084" i="4"/>
  <c r="A1085" i="4"/>
  <c r="D1085" i="4"/>
  <c r="A1086" i="4"/>
  <c r="D1086" i="4"/>
  <c r="A1087" i="4"/>
  <c r="C1087" i="4"/>
  <c r="A1088" i="4"/>
  <c r="C1088" i="4"/>
  <c r="D1088" i="4"/>
  <c r="C1089" i="4"/>
  <c r="D1089" i="4"/>
  <c r="C1090" i="4"/>
  <c r="D1090" i="4"/>
  <c r="C1091" i="4"/>
  <c r="D1091" i="4"/>
  <c r="A1092" i="4"/>
  <c r="C1092" i="4"/>
  <c r="D1092" i="4"/>
  <c r="C1093" i="4"/>
  <c r="D1093" i="4"/>
  <c r="A1094" i="4"/>
  <c r="C1094" i="4"/>
  <c r="D1094" i="4"/>
  <c r="A1095" i="4"/>
  <c r="C1095" i="4"/>
  <c r="D1095" i="4"/>
  <c r="A1096" i="4"/>
  <c r="C1096" i="4"/>
  <c r="D1096" i="4"/>
  <c r="A1097" i="4"/>
  <c r="C1097" i="4"/>
  <c r="D1097" i="4"/>
  <c r="A1098" i="4"/>
  <c r="C1098" i="4"/>
  <c r="D1098" i="4"/>
  <c r="A1099" i="4"/>
  <c r="C1099" i="4"/>
  <c r="D1099" i="4"/>
  <c r="A1100" i="4"/>
  <c r="C1100" i="4"/>
  <c r="D1100" i="4"/>
  <c r="A1101" i="4"/>
  <c r="C1101" i="4"/>
  <c r="D1101" i="4"/>
  <c r="A1102" i="4"/>
  <c r="C1102" i="4"/>
  <c r="D1102" i="4"/>
  <c r="A1103" i="4"/>
  <c r="C1103" i="4"/>
  <c r="D1103" i="4"/>
  <c r="A1104" i="4"/>
  <c r="C1104" i="4"/>
  <c r="D1104" i="4"/>
  <c r="A1105" i="4"/>
  <c r="C1105" i="4"/>
  <c r="D1105" i="4"/>
  <c r="A1106" i="4"/>
  <c r="C1106" i="4"/>
  <c r="D1106" i="4"/>
  <c r="A1107" i="4"/>
  <c r="C1107" i="4"/>
  <c r="D1107" i="4"/>
  <c r="A1108" i="4"/>
  <c r="C1108" i="4"/>
  <c r="D1108" i="4"/>
  <c r="A1109" i="4"/>
  <c r="C1109" i="4"/>
  <c r="D1109" i="4"/>
  <c r="A1110" i="4"/>
  <c r="C1110" i="4"/>
  <c r="D1110" i="4"/>
  <c r="A1111" i="4"/>
  <c r="C1111" i="4"/>
  <c r="D1111" i="4"/>
  <c r="A1112" i="4"/>
  <c r="C1112" i="4"/>
  <c r="D1112" i="4"/>
  <c r="A1113" i="4"/>
  <c r="C1113" i="4"/>
  <c r="D1113" i="4"/>
  <c r="A1114" i="4"/>
  <c r="D1114" i="4"/>
  <c r="A1176" i="53"/>
  <c r="A1177" i="53"/>
  <c r="A1178" i="53" s="1"/>
  <c r="A1179" i="53" s="1"/>
  <c r="A1180" i="53" s="1"/>
  <c r="A1181" i="53" s="1"/>
  <c r="A1182" i="53" s="1"/>
  <c r="A1183" i="53" s="1"/>
  <c r="A1184" i="53" s="1"/>
  <c r="A1185" i="53" s="1"/>
  <c r="A1186" i="53" s="1"/>
  <c r="A1187" i="53" s="1"/>
  <c r="A1188" i="53" s="1"/>
  <c r="A1189" i="53" s="1"/>
  <c r="A1190" i="53" s="1"/>
  <c r="A1191" i="53" s="1"/>
  <c r="A1192" i="53" s="1"/>
  <c r="A1193" i="53" s="1"/>
  <c r="A1194" i="53" s="1"/>
  <c r="A1195" i="53" s="1"/>
  <c r="A1196" i="53" s="1"/>
  <c r="A1197" i="53" s="1"/>
  <c r="A1198" i="53" s="1"/>
  <c r="A1199" i="53" s="1"/>
  <c r="A1200" i="53" s="1"/>
  <c r="A1201" i="53" s="1"/>
  <c r="A1202" i="53" s="1"/>
  <c r="A1203" i="53" s="1"/>
  <c r="A1204" i="53" s="1"/>
  <c r="A1205" i="53" s="1"/>
  <c r="A1206" i="53" s="1"/>
  <c r="A1207" i="53" s="1"/>
  <c r="A1208" i="53" s="1"/>
  <c r="A1209" i="53" s="1"/>
  <c r="A1210" i="53" s="1"/>
  <c r="A1211" i="53" s="1"/>
  <c r="A1212" i="53" s="1"/>
  <c r="A1213" i="53" s="1"/>
  <c r="A1214" i="53" s="1"/>
  <c r="A1215" i="53" s="1"/>
  <c r="A1216" i="53" s="1"/>
  <c r="A1217" i="53" s="1"/>
  <c r="A1218" i="53" s="1"/>
  <c r="A1219" i="53" s="1"/>
  <c r="A1220" i="53" s="1"/>
  <c r="A1175" i="53"/>
  <c r="A1174" i="53"/>
  <c r="D18" i="255" l="1"/>
  <c r="D33" i="216"/>
  <c r="D35" i="216"/>
  <c r="D46" i="216"/>
  <c r="D37" i="216"/>
  <c r="D41" i="214"/>
  <c r="D32" i="216"/>
  <c r="D39" i="216"/>
  <c r="D31" i="216"/>
  <c r="D39" i="214"/>
  <c r="D48" i="216"/>
  <c r="D38" i="216"/>
  <c r="D41" i="216"/>
  <c r="D58" i="240"/>
  <c r="D51" i="216"/>
  <c r="D36" i="216"/>
  <c r="D42" i="216"/>
  <c r="D36" i="214"/>
  <c r="D52" i="236"/>
  <c r="C13" i="215"/>
  <c r="C146" i="28"/>
  <c r="C15" i="226"/>
  <c r="C298" i="28"/>
  <c r="C16" i="250"/>
  <c r="B1148" i="28"/>
  <c r="C18" i="255"/>
  <c r="D46" i="272" s="1"/>
  <c r="C1072" i="28"/>
  <c r="C1071" i="28"/>
  <c r="C58" i="240"/>
  <c r="D38" i="272" s="1"/>
  <c r="C1070" i="28"/>
  <c r="C39" i="214"/>
  <c r="D53" i="272" s="1"/>
  <c r="C1069" i="28"/>
  <c r="C41" i="214"/>
  <c r="D55" i="272" s="1"/>
  <c r="C33" i="216"/>
  <c r="D67" i="272" s="1"/>
  <c r="C1068" i="28"/>
  <c r="C48" i="216"/>
  <c r="D82" i="272" s="1"/>
  <c r="C1066" i="28"/>
  <c r="C32" i="216"/>
  <c r="D66" i="272" s="1"/>
  <c r="C1065" i="28"/>
  <c r="C1063" i="28"/>
  <c r="C36" i="216"/>
  <c r="D70" i="272" s="1"/>
  <c r="C39" i="216"/>
  <c r="D73" i="272" s="1"/>
  <c r="C1061" i="28"/>
  <c r="C46" i="216"/>
  <c r="D80" i="272" s="1"/>
  <c r="C1060" i="28"/>
  <c r="C41" i="216"/>
  <c r="D75" i="272" s="1"/>
  <c r="C1058" i="28"/>
  <c r="C31" i="216"/>
  <c r="D65" i="272" s="1"/>
  <c r="C1057" i="28"/>
  <c r="C1067" i="28"/>
  <c r="C51" i="216"/>
  <c r="D85" i="272" s="1"/>
  <c r="C35" i="216"/>
  <c r="D69" i="272" s="1"/>
  <c r="C1064" i="28"/>
  <c r="C38" i="216"/>
  <c r="D72" i="272" s="1"/>
  <c r="C1062" i="28"/>
  <c r="C42" i="216"/>
  <c r="D76" i="272" s="1"/>
  <c r="C1059" i="28"/>
  <c r="C1056" i="28"/>
  <c r="C37" i="216"/>
  <c r="D71" i="272" s="1"/>
  <c r="D1072" i="28"/>
  <c r="D1071" i="28"/>
  <c r="D1070" i="28"/>
  <c r="D1069" i="28"/>
  <c r="D1068" i="28"/>
  <c r="D1067" i="28"/>
  <c r="D1066" i="28"/>
  <c r="D1065" i="28"/>
  <c r="D1064" i="28"/>
  <c r="D1063" i="28"/>
  <c r="D1062" i="28"/>
  <c r="D1061" i="28"/>
  <c r="D1060" i="28"/>
  <c r="D1059" i="28"/>
  <c r="D1058" i="28"/>
  <c r="D1057" i="28"/>
  <c r="D1056" i="28"/>
  <c r="I26" i="113"/>
  <c r="I20" i="113"/>
  <c r="I14" i="113"/>
  <c r="I16" i="113"/>
  <c r="I32" i="113"/>
  <c r="I15" i="113"/>
  <c r="D451" i="267" l="1"/>
  <c r="D763" i="267"/>
  <c r="D635" i="267"/>
  <c r="F52" i="236"/>
  <c r="E25" i="270"/>
  <c r="F51" i="216"/>
  <c r="G85" i="272" s="1"/>
  <c r="E85" i="272"/>
  <c r="F48" i="216"/>
  <c r="G82" i="272" s="1"/>
  <c r="E82" i="272"/>
  <c r="F32" i="216"/>
  <c r="G66" i="272" s="1"/>
  <c r="E66" i="272"/>
  <c r="F35" i="216"/>
  <c r="G69" i="272" s="1"/>
  <c r="E69" i="272"/>
  <c r="F36" i="216"/>
  <c r="G70" i="272" s="1"/>
  <c r="E70" i="272"/>
  <c r="F38" i="216"/>
  <c r="G72" i="272" s="1"/>
  <c r="E72" i="272"/>
  <c r="F39" i="216"/>
  <c r="G73" i="272" s="1"/>
  <c r="E73" i="272"/>
  <c r="F36" i="214"/>
  <c r="G69" i="270" s="1"/>
  <c r="H69" i="270" s="1"/>
  <c r="D92" i="270" s="1"/>
  <c r="E69" i="270"/>
  <c r="F58" i="240"/>
  <c r="E38" i="272"/>
  <c r="F39" i="214"/>
  <c r="G53" i="272" s="1"/>
  <c r="E53" i="272"/>
  <c r="F41" i="214"/>
  <c r="G55" i="272" s="1"/>
  <c r="E55" i="272"/>
  <c r="F33" i="216"/>
  <c r="G67" i="272" s="1"/>
  <c r="E67" i="272"/>
  <c r="F46" i="216"/>
  <c r="G80" i="272" s="1"/>
  <c r="E80" i="272"/>
  <c r="F42" i="216"/>
  <c r="G76" i="272" s="1"/>
  <c r="E76" i="272"/>
  <c r="F41" i="216"/>
  <c r="G75" i="272" s="1"/>
  <c r="E75" i="272"/>
  <c r="F31" i="216"/>
  <c r="G65" i="272" s="1"/>
  <c r="E65" i="272"/>
  <c r="F37" i="216"/>
  <c r="G71" i="272" s="1"/>
  <c r="E71" i="272"/>
  <c r="F18" i="255"/>
  <c r="E46" i="272"/>
  <c r="B19" i="113"/>
  <c r="J60" i="113"/>
  <c r="I67" i="113"/>
  <c r="I66" i="113"/>
  <c r="B71" i="113"/>
  <c r="J71" i="113"/>
  <c r="J3" i="113"/>
  <c r="H93" i="272" l="1"/>
  <c r="D115" i="272" s="1"/>
  <c r="H61" i="272"/>
  <c r="D114" i="272" s="1"/>
  <c r="F48" i="255"/>
  <c r="F31" i="1" s="1"/>
  <c r="G46" i="272"/>
  <c r="H49" i="272" s="1"/>
  <c r="D113" i="272" s="1"/>
  <c r="F100" i="216"/>
  <c r="F62" i="1" s="1"/>
  <c r="F78" i="240"/>
  <c r="F16" i="1" s="1"/>
  <c r="G38" i="272"/>
  <c r="F77" i="214"/>
  <c r="F60" i="1" s="1"/>
  <c r="F113" i="236"/>
  <c r="F12" i="1" s="1"/>
  <c r="G25" i="270"/>
  <c r="K9" i="113"/>
  <c r="K10" i="113"/>
  <c r="K11" i="113"/>
  <c r="K12" i="113"/>
  <c r="K13" i="113"/>
  <c r="K14" i="113"/>
  <c r="K15" i="113"/>
  <c r="K16" i="113"/>
  <c r="K17" i="113"/>
  <c r="K18" i="113"/>
  <c r="K19" i="113"/>
  <c r="K20" i="113"/>
  <c r="K21" i="113"/>
  <c r="K22" i="113"/>
  <c r="K23" i="113"/>
  <c r="K24" i="113"/>
  <c r="K25" i="113"/>
  <c r="K26" i="113"/>
  <c r="K27" i="113"/>
  <c r="K28" i="113"/>
  <c r="K29" i="113"/>
  <c r="K30" i="113"/>
  <c r="K31" i="113"/>
  <c r="K32" i="113"/>
  <c r="K33" i="113"/>
  <c r="K34" i="113"/>
  <c r="K35" i="113"/>
  <c r="K36" i="113"/>
  <c r="K37" i="113"/>
  <c r="K38" i="113"/>
  <c r="K39" i="113"/>
  <c r="K40" i="113"/>
  <c r="K41" i="113"/>
  <c r="K42" i="113"/>
  <c r="K43" i="113"/>
  <c r="K44" i="113"/>
  <c r="K45" i="113"/>
  <c r="K46" i="113"/>
  <c r="K47" i="113"/>
  <c r="K48" i="113"/>
  <c r="K49" i="113"/>
  <c r="K50" i="113"/>
  <c r="K51" i="113"/>
  <c r="K52" i="113"/>
  <c r="K53" i="113"/>
  <c r="K54" i="113"/>
  <c r="K55" i="113"/>
  <c r="K56" i="113"/>
  <c r="K57" i="113"/>
  <c r="K58" i="113"/>
  <c r="K59" i="113"/>
  <c r="K60" i="113"/>
  <c r="K61" i="113"/>
  <c r="K62" i="113"/>
  <c r="K63" i="113"/>
  <c r="K64" i="113"/>
  <c r="K65" i="113"/>
  <c r="K66" i="113"/>
  <c r="K67" i="113"/>
  <c r="K68" i="113"/>
  <c r="K69" i="113"/>
  <c r="K70" i="113"/>
  <c r="K71" i="113"/>
  <c r="K72" i="113"/>
  <c r="K8" i="113"/>
  <c r="H30" i="270" l="1"/>
  <c r="D88" i="270" s="1"/>
  <c r="D95" i="270" s="1"/>
  <c r="H78" i="270"/>
  <c r="H96" i="272"/>
  <c r="H38" i="272"/>
  <c r="D111" i="272" s="1"/>
  <c r="D117" i="272" s="1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L102" i="53"/>
  <c r="L103" i="53"/>
  <c r="L104" i="53"/>
  <c r="L105" i="53"/>
  <c r="L106" i="53"/>
  <c r="L107" i="53"/>
  <c r="L108" i="53"/>
  <c r="L109" i="53"/>
  <c r="L110" i="53"/>
  <c r="L111" i="53"/>
  <c r="L112" i="53"/>
  <c r="L113" i="53"/>
  <c r="L114" i="53"/>
  <c r="L115" i="53"/>
  <c r="L116" i="53"/>
  <c r="L117" i="53"/>
  <c r="L118" i="53"/>
  <c r="L119" i="53"/>
  <c r="L120" i="53"/>
  <c r="L121" i="53"/>
  <c r="L122" i="53"/>
  <c r="L123" i="53"/>
  <c r="L124" i="53"/>
  <c r="L125" i="53"/>
  <c r="L126" i="53"/>
  <c r="L127" i="53"/>
  <c r="L128" i="53"/>
  <c r="L129" i="53"/>
  <c r="L130" i="53"/>
  <c r="L131" i="53"/>
  <c r="L132" i="53"/>
  <c r="L133" i="53"/>
  <c r="L134" i="53"/>
  <c r="L135" i="53"/>
  <c r="L136" i="53"/>
  <c r="L137" i="53"/>
  <c r="L138" i="53"/>
  <c r="L139" i="53"/>
  <c r="L140" i="53"/>
  <c r="L141" i="53"/>
  <c r="L142" i="53"/>
  <c r="L143" i="53"/>
  <c r="L144" i="53"/>
  <c r="L145" i="53"/>
  <c r="L146" i="53"/>
  <c r="L147" i="53"/>
  <c r="L148" i="53"/>
  <c r="L149" i="53"/>
  <c r="L150" i="53"/>
  <c r="L151" i="53"/>
  <c r="L152" i="53"/>
  <c r="L153" i="53"/>
  <c r="L154" i="53"/>
  <c r="L155" i="53"/>
  <c r="L156" i="53"/>
  <c r="L157" i="53"/>
  <c r="L158" i="53"/>
  <c r="L159" i="53"/>
  <c r="L160" i="53"/>
  <c r="L161" i="53"/>
  <c r="L162" i="53"/>
  <c r="L163" i="53"/>
  <c r="L164" i="53"/>
  <c r="L165" i="53"/>
  <c r="L166" i="53"/>
  <c r="L167" i="53"/>
  <c r="L168" i="53"/>
  <c r="L169" i="53"/>
  <c r="L170" i="53"/>
  <c r="L171" i="53"/>
  <c r="L172" i="53"/>
  <c r="L173" i="53"/>
  <c r="L174" i="53"/>
  <c r="L175" i="53"/>
  <c r="L176" i="53"/>
  <c r="L177" i="53"/>
  <c r="L178" i="53"/>
  <c r="L179" i="53"/>
  <c r="L180" i="53"/>
  <c r="L181" i="53"/>
  <c r="L182" i="53"/>
  <c r="L183" i="53"/>
  <c r="L184" i="53"/>
  <c r="L185" i="53"/>
  <c r="L186" i="53"/>
  <c r="L187" i="53"/>
  <c r="L188" i="53"/>
  <c r="L189" i="53"/>
  <c r="L190" i="53"/>
  <c r="L191" i="53"/>
  <c r="L192" i="53"/>
  <c r="L193" i="53"/>
  <c r="L194" i="53"/>
  <c r="L195" i="53"/>
  <c r="L196" i="53"/>
  <c r="L197" i="53"/>
  <c r="L198" i="53"/>
  <c r="L199" i="53"/>
  <c r="L200" i="53"/>
  <c r="L201" i="53"/>
  <c r="L202" i="53"/>
  <c r="L203" i="53"/>
  <c r="L204" i="53"/>
  <c r="L205" i="53"/>
  <c r="L206" i="53"/>
  <c r="L207" i="53"/>
  <c r="L208" i="53"/>
  <c r="L209" i="53"/>
  <c r="L210" i="53"/>
  <c r="L211" i="53"/>
  <c r="L212" i="53"/>
  <c r="L213" i="53"/>
  <c r="L214" i="53"/>
  <c r="L215" i="53"/>
  <c r="L216" i="53"/>
  <c r="L217" i="53"/>
  <c r="L218" i="53"/>
  <c r="L219" i="53"/>
  <c r="L220" i="53"/>
  <c r="L221" i="53"/>
  <c r="L222" i="53"/>
  <c r="L223" i="53"/>
  <c r="L224" i="53"/>
  <c r="L225" i="53"/>
  <c r="L226" i="53"/>
  <c r="L227" i="53"/>
  <c r="L228" i="53"/>
  <c r="L229" i="53"/>
  <c r="L230" i="53"/>
  <c r="L231" i="53"/>
  <c r="L232" i="53"/>
  <c r="L233" i="53"/>
  <c r="L234" i="53"/>
  <c r="L235" i="53"/>
  <c r="L236" i="53"/>
  <c r="L237" i="53"/>
  <c r="L238" i="53"/>
  <c r="L239" i="53"/>
  <c r="L240" i="53"/>
  <c r="L241" i="53"/>
  <c r="L242" i="53"/>
  <c r="L243" i="53"/>
  <c r="L244" i="53"/>
  <c r="L245" i="53"/>
  <c r="L246" i="53"/>
  <c r="L247" i="53"/>
  <c r="L248" i="53"/>
  <c r="L249" i="53"/>
  <c r="L250" i="53"/>
  <c r="L251" i="53"/>
  <c r="L252" i="53"/>
  <c r="L254" i="53"/>
  <c r="L255" i="53"/>
  <c r="L256" i="53"/>
  <c r="L257" i="53"/>
  <c r="L258" i="53"/>
  <c r="L259" i="53"/>
  <c r="L260" i="53"/>
  <c r="L261" i="53"/>
  <c r="L262" i="53"/>
  <c r="L263" i="53"/>
  <c r="L264" i="53"/>
  <c r="L265" i="53"/>
  <c r="L266" i="53"/>
  <c r="L267" i="53"/>
  <c r="L268" i="53"/>
  <c r="L269" i="53"/>
  <c r="L270" i="53"/>
  <c r="L271" i="53"/>
  <c r="L272" i="53"/>
  <c r="L273" i="53"/>
  <c r="L274" i="53"/>
  <c r="L275" i="53"/>
  <c r="L276" i="53"/>
  <c r="L277" i="53"/>
  <c r="L278" i="53"/>
  <c r="L279" i="53"/>
  <c r="L280" i="53"/>
  <c r="L281" i="53"/>
  <c r="L282" i="53"/>
  <c r="L283" i="53"/>
  <c r="L284" i="53"/>
  <c r="L285" i="53"/>
  <c r="L286" i="53"/>
  <c r="L287" i="53"/>
  <c r="L288" i="53"/>
  <c r="L289" i="53"/>
  <c r="L290" i="53"/>
  <c r="L291" i="53"/>
  <c r="L292" i="53"/>
  <c r="L293" i="53"/>
  <c r="L294" i="53"/>
  <c r="L295" i="53"/>
  <c r="L296" i="53"/>
  <c r="L297" i="53"/>
  <c r="L298" i="53"/>
  <c r="L299" i="53"/>
  <c r="L300" i="53"/>
  <c r="L301" i="53"/>
  <c r="L302" i="53"/>
  <c r="L303" i="53"/>
  <c r="L304" i="53"/>
  <c r="L305" i="53"/>
  <c r="L306" i="53"/>
  <c r="L307" i="53"/>
  <c r="L308" i="53"/>
  <c r="L309" i="53"/>
  <c r="L310" i="53"/>
  <c r="L311" i="53"/>
  <c r="L312" i="53"/>
  <c r="L313" i="53"/>
  <c r="L314" i="53"/>
  <c r="L315" i="53"/>
  <c r="L316" i="53"/>
  <c r="L317" i="53"/>
  <c r="L318" i="53"/>
  <c r="L319" i="53"/>
  <c r="L320" i="53"/>
  <c r="L321" i="53"/>
  <c r="L322" i="53"/>
  <c r="L323" i="53"/>
  <c r="L324" i="53"/>
  <c r="L325" i="53"/>
  <c r="L326" i="53"/>
  <c r="L327" i="53"/>
  <c r="L328" i="53"/>
  <c r="L329" i="53"/>
  <c r="L330" i="53"/>
  <c r="L331" i="53"/>
  <c r="L332" i="53"/>
  <c r="L333" i="53"/>
  <c r="L334" i="53"/>
  <c r="L335" i="53"/>
  <c r="L336" i="53"/>
  <c r="L337" i="53"/>
  <c r="L338" i="53"/>
  <c r="L339" i="53"/>
  <c r="L340" i="53"/>
  <c r="L341" i="53"/>
  <c r="L342" i="53"/>
  <c r="L343" i="53"/>
  <c r="L344" i="53"/>
  <c r="L345" i="53"/>
  <c r="L346" i="53"/>
  <c r="L347" i="53"/>
  <c r="L348" i="53"/>
  <c r="L349" i="53"/>
  <c r="L350" i="53"/>
  <c r="L351" i="53"/>
  <c r="L352" i="53"/>
  <c r="L353" i="53"/>
  <c r="L354" i="53"/>
  <c r="L355" i="53"/>
  <c r="L356" i="53"/>
  <c r="L357" i="53"/>
  <c r="L358" i="53"/>
  <c r="L360" i="53"/>
  <c r="L361" i="53"/>
  <c r="L362" i="53"/>
  <c r="L363" i="53"/>
  <c r="L364" i="53"/>
  <c r="L365" i="53"/>
  <c r="L366" i="53"/>
  <c r="L367" i="53"/>
  <c r="L368" i="53"/>
  <c r="L369" i="53"/>
  <c r="L370" i="53"/>
  <c r="L371" i="53"/>
  <c r="L372" i="53"/>
  <c r="L373" i="53"/>
  <c r="L374" i="53"/>
  <c r="L375" i="53"/>
  <c r="L376" i="53"/>
  <c r="L377" i="53"/>
  <c r="L378" i="53"/>
  <c r="L379" i="53"/>
  <c r="L380" i="53"/>
  <c r="L381" i="53"/>
  <c r="L382" i="53"/>
  <c r="L383" i="53"/>
  <c r="L384" i="53"/>
  <c r="L385" i="53"/>
  <c r="L386" i="53"/>
  <c r="L387" i="53"/>
  <c r="L388" i="53"/>
  <c r="L389" i="53"/>
  <c r="L390" i="53"/>
  <c r="L391" i="53"/>
  <c r="L392" i="53"/>
  <c r="L393" i="53"/>
  <c r="L394" i="53"/>
  <c r="L395" i="53"/>
  <c r="L396" i="53"/>
  <c r="L397" i="53"/>
  <c r="L398" i="53"/>
  <c r="L399" i="53"/>
  <c r="L400" i="53"/>
  <c r="L401" i="53"/>
  <c r="L402" i="53"/>
  <c r="L403" i="53"/>
  <c r="L404" i="53"/>
  <c r="L405" i="53"/>
  <c r="L406" i="53"/>
  <c r="L407" i="53"/>
  <c r="L408" i="53"/>
  <c r="L409" i="53"/>
  <c r="L410" i="53"/>
  <c r="L411" i="53"/>
  <c r="L412" i="53"/>
  <c r="L413" i="53"/>
  <c r="L414" i="53"/>
  <c r="L415" i="53"/>
  <c r="L416" i="53"/>
  <c r="L417" i="53"/>
  <c r="L418" i="53"/>
  <c r="L419" i="53"/>
  <c r="L420" i="53"/>
  <c r="L421" i="53"/>
  <c r="L422" i="53"/>
  <c r="L423" i="53"/>
  <c r="L424" i="53"/>
  <c r="L425" i="53"/>
  <c r="L426" i="53"/>
  <c r="L427" i="53"/>
  <c r="L428" i="53"/>
  <c r="L429" i="53"/>
  <c r="L430" i="53"/>
  <c r="L431" i="53"/>
  <c r="L432" i="53"/>
  <c r="L433" i="53"/>
  <c r="L434" i="53"/>
  <c r="L435" i="53"/>
  <c r="L436" i="53"/>
  <c r="L437" i="53"/>
  <c r="L438" i="53"/>
  <c r="L439" i="53"/>
  <c r="L440" i="53"/>
  <c r="L441" i="53"/>
  <c r="L442" i="53"/>
  <c r="L443" i="53"/>
  <c r="L444" i="53"/>
  <c r="L445" i="53"/>
  <c r="L446" i="53"/>
  <c r="L447" i="53"/>
  <c r="L448" i="53"/>
  <c r="L449" i="53"/>
  <c r="L450" i="53"/>
  <c r="L451" i="53"/>
  <c r="L452" i="53"/>
  <c r="L453" i="53"/>
  <c r="L454" i="53"/>
  <c r="L455" i="53"/>
  <c r="L456" i="53"/>
  <c r="L457" i="53"/>
  <c r="L458" i="53"/>
  <c r="L459" i="53"/>
  <c r="L460" i="53"/>
  <c r="L461" i="53"/>
  <c r="L462" i="53"/>
  <c r="L463" i="53"/>
  <c r="L464" i="53"/>
  <c r="L465" i="53"/>
  <c r="L466" i="53"/>
  <c r="L467" i="53"/>
  <c r="L468" i="53"/>
  <c r="L469" i="53"/>
  <c r="L470" i="53"/>
  <c r="L471" i="53"/>
  <c r="L472" i="53"/>
  <c r="L473" i="53"/>
  <c r="L474" i="53"/>
  <c r="L475" i="53"/>
  <c r="L476" i="53"/>
  <c r="L477" i="53"/>
  <c r="L478" i="53"/>
  <c r="L479" i="53"/>
  <c r="L480" i="53"/>
  <c r="L481" i="53"/>
  <c r="L482" i="53"/>
  <c r="L483" i="53"/>
  <c r="L484" i="53"/>
  <c r="L485" i="53"/>
  <c r="L486" i="53"/>
  <c r="L487" i="53"/>
  <c r="L488" i="53"/>
  <c r="L489" i="53"/>
  <c r="L490" i="53"/>
  <c r="L491" i="53"/>
  <c r="L492" i="53"/>
  <c r="L493" i="53"/>
  <c r="L494" i="53"/>
  <c r="L495" i="53"/>
  <c r="L496" i="53"/>
  <c r="L497" i="53"/>
  <c r="L498" i="53"/>
  <c r="L499" i="53"/>
  <c r="L500" i="53"/>
  <c r="L501" i="53"/>
  <c r="L502" i="53"/>
  <c r="L503" i="53"/>
  <c r="L504" i="53"/>
  <c r="L505" i="53"/>
  <c r="L506" i="53"/>
  <c r="L507" i="53"/>
  <c r="L508" i="53"/>
  <c r="L509" i="53"/>
  <c r="L510" i="53"/>
  <c r="L511" i="53"/>
  <c r="L512" i="53"/>
  <c r="L513" i="53"/>
  <c r="L514" i="53"/>
  <c r="L515" i="53"/>
  <c r="L516" i="53"/>
  <c r="L517" i="53"/>
  <c r="L518" i="53"/>
  <c r="L519" i="53"/>
  <c r="L520" i="53"/>
  <c r="L521" i="53"/>
  <c r="L522" i="53"/>
  <c r="L523" i="53"/>
  <c r="L524" i="53"/>
  <c r="L525" i="53"/>
  <c r="L526" i="53"/>
  <c r="L527" i="53"/>
  <c r="L528" i="53"/>
  <c r="L529" i="53"/>
  <c r="L530" i="53"/>
  <c r="L531" i="53"/>
  <c r="L532" i="53"/>
  <c r="L533" i="53"/>
  <c r="L534" i="53"/>
  <c r="L535" i="53"/>
  <c r="L536" i="53"/>
  <c r="L537" i="53"/>
  <c r="L538" i="53"/>
  <c r="L539" i="53"/>
  <c r="L540" i="53"/>
  <c r="L541" i="53"/>
  <c r="L542" i="53"/>
  <c r="L543" i="53"/>
  <c r="L544" i="53"/>
  <c r="L545" i="53"/>
  <c r="L546" i="53"/>
  <c r="L547" i="53"/>
  <c r="L548" i="53"/>
  <c r="L549" i="53"/>
  <c r="L550" i="53"/>
  <c r="L551" i="53"/>
  <c r="L552" i="53"/>
  <c r="L553" i="53"/>
  <c r="L554" i="53"/>
  <c r="L555" i="53"/>
  <c r="L556" i="53"/>
  <c r="L557" i="53"/>
  <c r="L558" i="53"/>
  <c r="L559" i="53"/>
  <c r="L560" i="53"/>
  <c r="L561" i="53"/>
  <c r="L562" i="53"/>
  <c r="L563" i="53"/>
  <c r="L564" i="53"/>
  <c r="L565" i="53"/>
  <c r="L566" i="53"/>
  <c r="L567" i="53"/>
  <c r="L568" i="53"/>
  <c r="L569" i="53"/>
  <c r="L570" i="53"/>
  <c r="L571" i="53"/>
  <c r="L572" i="53"/>
  <c r="L573" i="53"/>
  <c r="L574" i="53"/>
  <c r="L575" i="53"/>
  <c r="L576" i="53"/>
  <c r="L577" i="53"/>
  <c r="L578" i="53"/>
  <c r="L579" i="53"/>
  <c r="L580" i="53"/>
  <c r="L581" i="53"/>
  <c r="L582" i="53"/>
  <c r="L583" i="53"/>
  <c r="L584" i="53"/>
  <c r="L585" i="53"/>
  <c r="L586" i="53"/>
  <c r="L587" i="53"/>
  <c r="L588" i="53"/>
  <c r="L589" i="53"/>
  <c r="L590" i="53"/>
  <c r="L591" i="53"/>
  <c r="L592" i="53"/>
  <c r="L593" i="53"/>
  <c r="L594" i="53"/>
  <c r="L595" i="53"/>
  <c r="L596" i="53"/>
  <c r="L597" i="53"/>
  <c r="L598" i="53"/>
  <c r="L599" i="53"/>
  <c r="L600" i="53"/>
  <c r="L601" i="53"/>
  <c r="L602" i="53"/>
  <c r="L603" i="53"/>
  <c r="L604" i="53"/>
  <c r="L605" i="53"/>
  <c r="L606" i="53"/>
  <c r="L607" i="53"/>
  <c r="L608" i="53"/>
  <c r="L609" i="53"/>
  <c r="L610" i="53"/>
  <c r="L611" i="53"/>
  <c r="L612" i="53"/>
  <c r="L613" i="53"/>
  <c r="L614" i="53"/>
  <c r="L615" i="53"/>
  <c r="L616" i="53"/>
  <c r="L617" i="53"/>
  <c r="L618" i="53"/>
  <c r="L619" i="53"/>
  <c r="L620" i="53"/>
  <c r="L621" i="53"/>
  <c r="L622" i="53"/>
  <c r="L623" i="53"/>
  <c r="L624" i="53"/>
  <c r="L625" i="53"/>
  <c r="L626" i="53"/>
  <c r="L627" i="53"/>
  <c r="L628" i="53"/>
  <c r="L629" i="53"/>
  <c r="L630" i="53"/>
  <c r="L631" i="53"/>
  <c r="L632" i="53"/>
  <c r="L633" i="53"/>
  <c r="L634" i="53"/>
  <c r="L635" i="53"/>
  <c r="L637" i="53"/>
  <c r="L638" i="53"/>
  <c r="L639" i="53"/>
  <c r="L640" i="53"/>
  <c r="L641" i="53"/>
  <c r="L642" i="53"/>
  <c r="L643" i="53"/>
  <c r="L644" i="53"/>
  <c r="L645" i="53"/>
  <c r="L646" i="53"/>
  <c r="L647" i="53"/>
  <c r="L648" i="53"/>
  <c r="L649" i="53"/>
  <c r="L650" i="53"/>
  <c r="L651" i="53"/>
  <c r="L652" i="53"/>
  <c r="L653" i="53"/>
  <c r="L654" i="53"/>
  <c r="L655" i="53"/>
  <c r="L656" i="53"/>
  <c r="L657" i="53"/>
  <c r="L658" i="53"/>
  <c r="L659" i="53"/>
  <c r="L660" i="53"/>
  <c r="L661" i="53"/>
  <c r="L662" i="53"/>
  <c r="L663" i="53"/>
  <c r="L664" i="53"/>
  <c r="L665" i="53"/>
  <c r="L666" i="53"/>
  <c r="L667" i="53"/>
  <c r="L668" i="53"/>
  <c r="L669" i="53"/>
  <c r="L670" i="53"/>
  <c r="L671" i="53"/>
  <c r="L672" i="53"/>
  <c r="L673" i="53"/>
  <c r="L674" i="53"/>
  <c r="L675" i="53"/>
  <c r="L676" i="53"/>
  <c r="L677" i="53"/>
  <c r="L678" i="53"/>
  <c r="L679" i="53"/>
  <c r="L680" i="53"/>
  <c r="L681" i="53"/>
  <c r="L682" i="53"/>
  <c r="L683" i="53"/>
  <c r="L684" i="53"/>
  <c r="L685" i="53"/>
  <c r="L686" i="53"/>
  <c r="L687" i="53"/>
  <c r="L688" i="53"/>
  <c r="L689" i="53"/>
  <c r="L690" i="53"/>
  <c r="L691" i="53"/>
  <c r="L692" i="53"/>
  <c r="L693" i="53"/>
  <c r="L694" i="53"/>
  <c r="L695" i="53"/>
  <c r="L696" i="53"/>
  <c r="L697" i="53"/>
  <c r="L698" i="53"/>
  <c r="L699" i="53"/>
  <c r="L700" i="53"/>
  <c r="L701" i="53"/>
  <c r="L702" i="53"/>
  <c r="L703" i="53"/>
  <c r="L704" i="53"/>
  <c r="L705" i="53"/>
  <c r="L706" i="53"/>
  <c r="L707" i="53"/>
  <c r="L708" i="53"/>
  <c r="L709" i="53"/>
  <c r="L710" i="53"/>
  <c r="L711" i="53"/>
  <c r="L712" i="53"/>
  <c r="L713" i="53"/>
  <c r="L714" i="53"/>
  <c r="L715" i="53"/>
  <c r="L716" i="53"/>
  <c r="L717" i="53"/>
  <c r="L718" i="53"/>
  <c r="L719" i="53"/>
  <c r="L720" i="53"/>
  <c r="L721" i="53"/>
  <c r="L722" i="53"/>
  <c r="L723" i="53"/>
  <c r="L724" i="53"/>
  <c r="L725" i="53"/>
  <c r="L726" i="53"/>
  <c r="L727" i="53"/>
  <c r="L728" i="53"/>
  <c r="L729" i="53"/>
  <c r="L730" i="53"/>
  <c r="L731" i="53"/>
  <c r="L732" i="53"/>
  <c r="L733" i="53"/>
  <c r="L734" i="53"/>
  <c r="L736" i="53"/>
  <c r="L737" i="53"/>
  <c r="L738" i="53"/>
  <c r="L740" i="53"/>
  <c r="L741" i="53"/>
  <c r="L742" i="53"/>
  <c r="L743" i="53"/>
  <c r="L744" i="53"/>
  <c r="L745" i="53"/>
  <c r="L746" i="53"/>
  <c r="L747" i="53"/>
  <c r="L748" i="53"/>
  <c r="L749" i="53"/>
  <c r="L750" i="53"/>
  <c r="L751" i="53"/>
  <c r="L752" i="53"/>
  <c r="L753" i="53"/>
  <c r="L754" i="53"/>
  <c r="L755" i="53"/>
  <c r="L756" i="53"/>
  <c r="L757" i="53"/>
  <c r="L758" i="53"/>
  <c r="L760" i="53"/>
  <c r="L761" i="53"/>
  <c r="L762" i="53"/>
  <c r="L763" i="53"/>
  <c r="L764" i="53"/>
  <c r="L765" i="53"/>
  <c r="L766" i="53"/>
  <c r="L767" i="53"/>
  <c r="L768" i="53"/>
  <c r="L769" i="53"/>
  <c r="L770" i="53"/>
  <c r="L771" i="53"/>
  <c r="L772" i="53"/>
  <c r="L773" i="53"/>
  <c r="L774" i="53"/>
  <c r="L775" i="53"/>
  <c r="L776" i="53"/>
  <c r="L777" i="53"/>
  <c r="K735" i="53" l="1"/>
  <c r="L735" i="53" s="1"/>
  <c r="L8" i="53"/>
  <c r="D759" i="53"/>
  <c r="L759" i="53" s="1"/>
  <c r="D359" i="53"/>
  <c r="L359" i="53" s="1"/>
  <c r="D253" i="53"/>
  <c r="L253" i="53" s="1"/>
  <c r="A11" i="4" l="1"/>
  <c r="D11" i="4"/>
  <c r="A9" i="53"/>
  <c r="A10" i="53" l="1"/>
  <c r="A11" i="53" l="1"/>
  <c r="A12" i="53" l="1"/>
  <c r="A13" i="53" l="1"/>
  <c r="A14" i="53" l="1"/>
  <c r="A15" i="53" l="1"/>
  <c r="A16" i="53" l="1"/>
  <c r="A17" i="53" l="1"/>
  <c r="A18" i="53" l="1"/>
  <c r="A19" i="53" l="1"/>
  <c r="A20" i="53" l="1"/>
  <c r="A21" i="53" l="1"/>
  <c r="A22" i="53" l="1"/>
  <c r="A23" i="53" l="1"/>
  <c r="A24" i="53" l="1"/>
  <c r="A25" i="53" l="1"/>
  <c r="A29" i="53" l="1"/>
  <c r="A30" i="53" l="1"/>
  <c r="A31" i="53" l="1"/>
  <c r="A32" i="53" l="1"/>
  <c r="A33" i="53" l="1"/>
  <c r="A34" i="53" l="1"/>
  <c r="A35" i="53" l="1"/>
  <c r="D31" i="5"/>
  <c r="J26" i="113"/>
  <c r="C56" i="5"/>
  <c r="C54" i="5"/>
  <c r="I7" i="5"/>
  <c r="A36" i="53" l="1"/>
  <c r="A72" i="113"/>
  <c r="A37" i="53" l="1"/>
  <c r="A38" i="53" l="1"/>
  <c r="C27" i="137"/>
  <c r="A39" i="53" l="1"/>
  <c r="B17" i="137"/>
  <c r="B16" i="137"/>
  <c r="B15" i="137"/>
  <c r="B12" i="137"/>
  <c r="B11" i="137"/>
  <c r="B10" i="137"/>
  <c r="B7" i="137"/>
  <c r="B6" i="137"/>
  <c r="B5" i="137"/>
  <c r="A40" i="53" l="1"/>
  <c r="K19" i="127"/>
  <c r="K20" i="127"/>
  <c r="A41" i="53" l="1"/>
  <c r="J9" i="136"/>
  <c r="J10" i="136"/>
  <c r="J11" i="136"/>
  <c r="J12" i="136"/>
  <c r="J13" i="136"/>
  <c r="J14" i="136"/>
  <c r="J15" i="136"/>
  <c r="J16" i="136"/>
  <c r="J17" i="136"/>
  <c r="J18" i="136"/>
  <c r="J19" i="136"/>
  <c r="J20" i="136"/>
  <c r="J21" i="136"/>
  <c r="J22" i="136"/>
  <c r="J23" i="136"/>
  <c r="J24" i="136"/>
  <c r="J25" i="136"/>
  <c r="J26" i="136"/>
  <c r="J27" i="136"/>
  <c r="J28" i="136"/>
  <c r="J29" i="136"/>
  <c r="J30" i="136"/>
  <c r="J31" i="136"/>
  <c r="J32" i="136"/>
  <c r="J33" i="136"/>
  <c r="J34" i="136"/>
  <c r="J35" i="136"/>
  <c r="J36" i="136"/>
  <c r="J37" i="136"/>
  <c r="J38" i="136"/>
  <c r="J39" i="136"/>
  <c r="J40" i="136"/>
  <c r="J41" i="136"/>
  <c r="J42" i="136"/>
  <c r="J43" i="136"/>
  <c r="J44" i="136"/>
  <c r="J45" i="136"/>
  <c r="J46" i="136"/>
  <c r="J47" i="136"/>
  <c r="J48" i="136"/>
  <c r="J49" i="136"/>
  <c r="J50" i="136"/>
  <c r="J51" i="136"/>
  <c r="J52" i="136"/>
  <c r="J53" i="136"/>
  <c r="J54" i="136"/>
  <c r="J55" i="136"/>
  <c r="J56" i="136"/>
  <c r="J57" i="136"/>
  <c r="J58" i="136"/>
  <c r="J59" i="136"/>
  <c r="J60" i="136"/>
  <c r="J61" i="136"/>
  <c r="J62" i="136"/>
  <c r="J63" i="136"/>
  <c r="J64" i="136"/>
  <c r="J65" i="136"/>
  <c r="J66" i="136"/>
  <c r="J67" i="136"/>
  <c r="J68" i="136"/>
  <c r="J69" i="136"/>
  <c r="J70" i="136"/>
  <c r="J71" i="136"/>
  <c r="J72" i="136"/>
  <c r="J73" i="136"/>
  <c r="J74" i="136"/>
  <c r="J75" i="136"/>
  <c r="J76" i="136"/>
  <c r="J77" i="136"/>
  <c r="J78" i="136"/>
  <c r="J79" i="136"/>
  <c r="J80" i="136"/>
  <c r="J81" i="136"/>
  <c r="J82" i="136"/>
  <c r="J83" i="136"/>
  <c r="J84" i="136"/>
  <c r="J85" i="136"/>
  <c r="J86" i="136"/>
  <c r="J87" i="136"/>
  <c r="J88" i="136"/>
  <c r="J89" i="136"/>
  <c r="J90" i="136"/>
  <c r="J91" i="136"/>
  <c r="J92" i="136"/>
  <c r="J93" i="136"/>
  <c r="J8" i="136"/>
  <c r="J7" i="136"/>
  <c r="J6" i="136"/>
  <c r="F92" i="136"/>
  <c r="G92" i="136" s="1"/>
  <c r="F89" i="136"/>
  <c r="G89" i="136" s="1"/>
  <c r="F86" i="136"/>
  <c r="F85" i="136"/>
  <c r="F84" i="136"/>
  <c r="F81" i="136"/>
  <c r="F80" i="136"/>
  <c r="F79" i="136"/>
  <c r="F78" i="136"/>
  <c r="F75" i="136"/>
  <c r="F74" i="136"/>
  <c r="F73" i="136"/>
  <c r="F72" i="136"/>
  <c r="F71" i="136"/>
  <c r="F68" i="136"/>
  <c r="F67" i="136"/>
  <c r="F66" i="136"/>
  <c r="F65" i="136"/>
  <c r="F64" i="136"/>
  <c r="F63" i="136"/>
  <c r="F62" i="136"/>
  <c r="F61" i="136"/>
  <c r="F60" i="136"/>
  <c r="F57" i="136"/>
  <c r="G57" i="136" s="1"/>
  <c r="F54" i="136"/>
  <c r="G54" i="136" s="1"/>
  <c r="F51" i="136"/>
  <c r="F50" i="136"/>
  <c r="F47" i="136"/>
  <c r="F46" i="136"/>
  <c r="F45" i="136"/>
  <c r="F42" i="136"/>
  <c r="F41" i="136"/>
  <c r="F40" i="136"/>
  <c r="F39" i="136"/>
  <c r="F36" i="136"/>
  <c r="F35" i="136"/>
  <c r="F34" i="136"/>
  <c r="F33" i="136"/>
  <c r="F32" i="136"/>
  <c r="F29" i="136"/>
  <c r="F28" i="136"/>
  <c r="F25" i="136"/>
  <c r="G25" i="136" s="1"/>
  <c r="F22" i="136"/>
  <c r="F21" i="136"/>
  <c r="F20" i="136"/>
  <c r="F19" i="136"/>
  <c r="F18" i="136"/>
  <c r="F15" i="136"/>
  <c r="G15" i="136" s="1"/>
  <c r="F12" i="136"/>
  <c r="G12" i="136" s="1"/>
  <c r="F9" i="136"/>
  <c r="F8" i="136"/>
  <c r="F7" i="136"/>
  <c r="F6" i="136"/>
  <c r="K7" i="135"/>
  <c r="K8" i="135"/>
  <c r="K9" i="135"/>
  <c r="K10" i="135"/>
  <c r="K11" i="135"/>
  <c r="K12" i="135"/>
  <c r="K13" i="135"/>
  <c r="K14" i="135"/>
  <c r="K15" i="135"/>
  <c r="K16" i="135"/>
  <c r="K17" i="135"/>
  <c r="K18" i="135"/>
  <c r="K19" i="135"/>
  <c r="K20" i="135"/>
  <c r="K21" i="135"/>
  <c r="K22" i="135"/>
  <c r="K23" i="135"/>
  <c r="K24" i="135"/>
  <c r="K25" i="135"/>
  <c r="K26" i="135"/>
  <c r="K27" i="135"/>
  <c r="K28" i="135"/>
  <c r="K29" i="135"/>
  <c r="K30" i="135"/>
  <c r="K31" i="135"/>
  <c r="K32" i="135"/>
  <c r="K33" i="135"/>
  <c r="K34" i="135"/>
  <c r="K35" i="135"/>
  <c r="K36" i="135"/>
  <c r="K37" i="135"/>
  <c r="K38" i="135"/>
  <c r="K39" i="135"/>
  <c r="K40" i="135"/>
  <c r="K41" i="135"/>
  <c r="K42" i="135"/>
  <c r="K43" i="135"/>
  <c r="K44" i="135"/>
  <c r="K45" i="135"/>
  <c r="K46" i="135"/>
  <c r="K47" i="135"/>
  <c r="K48" i="135"/>
  <c r="K49" i="135"/>
  <c r="K50" i="135"/>
  <c r="K51" i="135"/>
  <c r="K52" i="135"/>
  <c r="K53" i="135"/>
  <c r="K54" i="135"/>
  <c r="K55" i="135"/>
  <c r="K56" i="135"/>
  <c r="K57" i="135"/>
  <c r="K58" i="135"/>
  <c r="K59" i="135"/>
  <c r="K60" i="135"/>
  <c r="K61" i="135"/>
  <c r="K62" i="135"/>
  <c r="K63" i="135"/>
  <c r="K64" i="135"/>
  <c r="K65" i="135"/>
  <c r="K66" i="135"/>
  <c r="K67" i="135"/>
  <c r="K68" i="135"/>
  <c r="K69" i="135"/>
  <c r="K70" i="135"/>
  <c r="K71" i="135"/>
  <c r="K72" i="135"/>
  <c r="K73" i="135"/>
  <c r="K74" i="135"/>
  <c r="K75" i="135"/>
  <c r="K76" i="135"/>
  <c r="K77" i="135"/>
  <c r="K78" i="135"/>
  <c r="K79" i="135"/>
  <c r="K80" i="135"/>
  <c r="K81" i="135"/>
  <c r="K82" i="135"/>
  <c r="K83" i="135"/>
  <c r="K84" i="135"/>
  <c r="K85" i="135"/>
  <c r="K86" i="135"/>
  <c r="K87" i="135"/>
  <c r="K88" i="135"/>
  <c r="K89" i="135"/>
  <c r="K90" i="135"/>
  <c r="K91" i="135"/>
  <c r="K92" i="135"/>
  <c r="K93" i="135"/>
  <c r="K94" i="135"/>
  <c r="K95" i="135"/>
  <c r="K96" i="135"/>
  <c r="K97" i="135"/>
  <c r="K98" i="135"/>
  <c r="K99" i="135"/>
  <c r="K100" i="135"/>
  <c r="K101" i="135"/>
  <c r="K102" i="135"/>
  <c r="K103" i="135"/>
  <c r="K104" i="135"/>
  <c r="K105" i="135"/>
  <c r="K106" i="135"/>
  <c r="K107" i="135"/>
  <c r="K108" i="135"/>
  <c r="K109" i="135"/>
  <c r="K110" i="135"/>
  <c r="K111" i="135"/>
  <c r="K112" i="135"/>
  <c r="K113" i="135"/>
  <c r="K114" i="135"/>
  <c r="K115" i="135"/>
  <c r="K116" i="135"/>
  <c r="K117" i="135"/>
  <c r="K118" i="135"/>
  <c r="K119" i="135"/>
  <c r="K120" i="135"/>
  <c r="K121" i="135"/>
  <c r="K122" i="135"/>
  <c r="K123" i="135"/>
  <c r="K124" i="135"/>
  <c r="K125" i="135"/>
  <c r="K127" i="135"/>
  <c r="K128" i="135"/>
  <c r="K129" i="135"/>
  <c r="K130" i="135"/>
  <c r="K131" i="135"/>
  <c r="K132" i="135"/>
  <c r="K133" i="135"/>
  <c r="K134" i="135"/>
  <c r="K135" i="135"/>
  <c r="K136" i="135"/>
  <c r="K137" i="135"/>
  <c r="K138" i="135"/>
  <c r="K139" i="135"/>
  <c r="K140" i="135"/>
  <c r="K141" i="135"/>
  <c r="K142" i="135"/>
  <c r="K143" i="135"/>
  <c r="K144" i="135"/>
  <c r="K145" i="135"/>
  <c r="K146" i="135"/>
  <c r="K147" i="135"/>
  <c r="K148" i="135"/>
  <c r="K149" i="135"/>
  <c r="K150" i="135"/>
  <c r="K151" i="135"/>
  <c r="K152" i="135"/>
  <c r="K153" i="135"/>
  <c r="K154" i="135"/>
  <c r="K6" i="135"/>
  <c r="G154" i="135"/>
  <c r="G153" i="135"/>
  <c r="G152" i="135"/>
  <c r="G151" i="135"/>
  <c r="G150" i="135"/>
  <c r="G149" i="135"/>
  <c r="G148" i="135"/>
  <c r="E147" i="135"/>
  <c r="G147" i="135" s="1"/>
  <c r="G146" i="135"/>
  <c r="G142" i="135"/>
  <c r="G141" i="135"/>
  <c r="G140" i="135"/>
  <c r="G139" i="135"/>
  <c r="G136" i="135"/>
  <c r="H136" i="135" s="1"/>
  <c r="G133" i="135"/>
  <c r="H133" i="135" s="1"/>
  <c r="G130" i="135"/>
  <c r="G129" i="135"/>
  <c r="G128" i="135"/>
  <c r="G124" i="135"/>
  <c r="G123" i="135"/>
  <c r="G120" i="135"/>
  <c r="G119" i="135"/>
  <c r="G118" i="135"/>
  <c r="G115" i="135"/>
  <c r="H115" i="135" s="1"/>
  <c r="G112" i="135"/>
  <c r="H112" i="135" s="1"/>
  <c r="G109" i="135"/>
  <c r="G108" i="135"/>
  <c r="G107" i="135"/>
  <c r="G104" i="135"/>
  <c r="H104" i="135" s="1"/>
  <c r="G101" i="135"/>
  <c r="H101" i="135" s="1"/>
  <c r="G98" i="135"/>
  <c r="H98" i="135" s="1"/>
  <c r="G95" i="135"/>
  <c r="G94" i="135"/>
  <c r="G93" i="135"/>
  <c r="G92" i="135"/>
  <c r="G89" i="135"/>
  <c r="G88" i="135"/>
  <c r="G87" i="135"/>
  <c r="G84" i="135"/>
  <c r="G83" i="135"/>
  <c r="G82" i="135"/>
  <c r="G81" i="135"/>
  <c r="G80" i="135"/>
  <c r="G77" i="135"/>
  <c r="G76" i="135"/>
  <c r="G75" i="135"/>
  <c r="G72" i="135"/>
  <c r="G71" i="135"/>
  <c r="G68" i="135"/>
  <c r="G67" i="135"/>
  <c r="G64" i="135"/>
  <c r="G63" i="135"/>
  <c r="G60" i="135"/>
  <c r="H60" i="135" s="1"/>
  <c r="G57" i="135"/>
  <c r="G56" i="135"/>
  <c r="G55" i="135"/>
  <c r="G54" i="135"/>
  <c r="G53" i="135"/>
  <c r="G50" i="135"/>
  <c r="G49" i="135"/>
  <c r="G48" i="135"/>
  <c r="G47" i="135"/>
  <c r="G46" i="135"/>
  <c r="G45" i="135"/>
  <c r="G44" i="135"/>
  <c r="G43" i="135"/>
  <c r="G42" i="135"/>
  <c r="G41" i="135"/>
  <c r="G40" i="135"/>
  <c r="G39" i="135"/>
  <c r="G38" i="135"/>
  <c r="G37" i="135"/>
  <c r="G36" i="135"/>
  <c r="G35" i="135"/>
  <c r="G34" i="135"/>
  <c r="G33" i="135"/>
  <c r="G32" i="135"/>
  <c r="G31" i="135"/>
  <c r="G30" i="135"/>
  <c r="G29" i="135"/>
  <c r="G28" i="135"/>
  <c r="G27" i="135"/>
  <c r="G26" i="135"/>
  <c r="G25" i="135"/>
  <c r="G24" i="135"/>
  <c r="G23" i="135"/>
  <c r="G22" i="135"/>
  <c r="G19" i="135"/>
  <c r="G18" i="135"/>
  <c r="G17" i="135"/>
  <c r="G14" i="135"/>
  <c r="G13" i="135"/>
  <c r="G10" i="135"/>
  <c r="H10" i="135" s="1"/>
  <c r="G7" i="135"/>
  <c r="G6" i="135"/>
  <c r="A42" i="53" l="1"/>
  <c r="G51" i="136"/>
  <c r="G29" i="136"/>
  <c r="G86" i="136"/>
  <c r="G75" i="136"/>
  <c r="H124" i="135"/>
  <c r="H68" i="135"/>
  <c r="H64" i="135"/>
  <c r="H142" i="135"/>
  <c r="H120" i="135"/>
  <c r="H19" i="135"/>
  <c r="H109" i="135"/>
  <c r="J94" i="136"/>
  <c r="H14" i="135"/>
  <c r="H72" i="135"/>
  <c r="H89" i="135"/>
  <c r="H7" i="135"/>
  <c r="H50" i="135"/>
  <c r="G22" i="136"/>
  <c r="G81" i="136"/>
  <c r="G9" i="136"/>
  <c r="G36" i="136"/>
  <c r="G42" i="136"/>
  <c r="G47" i="136"/>
  <c r="G68" i="136"/>
  <c r="K157" i="135"/>
  <c r="H57" i="135"/>
  <c r="H77" i="135"/>
  <c r="H154" i="135"/>
  <c r="H84" i="135"/>
  <c r="H95" i="135"/>
  <c r="H130" i="135"/>
  <c r="A43" i="53" l="1"/>
  <c r="G94" i="136"/>
  <c r="C98" i="136" s="1"/>
  <c r="C10" i="137" s="1"/>
  <c r="H157" i="135"/>
  <c r="A47" i="53" l="1"/>
  <c r="C102" i="136"/>
  <c r="C12" i="137" s="1"/>
  <c r="C100" i="136"/>
  <c r="C11" i="137" s="1"/>
  <c r="D163" i="135"/>
  <c r="C16" i="137" s="1"/>
  <c r="D161" i="135"/>
  <c r="C15" i="137" s="1"/>
  <c r="D165" i="135"/>
  <c r="C17" i="137" s="1"/>
  <c r="A48" i="53" l="1"/>
  <c r="C232" i="133"/>
  <c r="C231" i="133"/>
  <c r="C230" i="133"/>
  <c r="C229" i="133"/>
  <c r="C228" i="133"/>
  <c r="C227" i="133"/>
  <c r="C226" i="133"/>
  <c r="C225" i="133"/>
  <c r="C224" i="133"/>
  <c r="C223" i="133"/>
  <c r="C222" i="133"/>
  <c r="C221" i="133"/>
  <c r="C220" i="133"/>
  <c r="C219" i="133"/>
  <c r="C218" i="133"/>
  <c r="C217" i="133"/>
  <c r="C216" i="133"/>
  <c r="C215" i="133"/>
  <c r="C214" i="133"/>
  <c r="C213" i="133"/>
  <c r="C212" i="133"/>
  <c r="C211" i="133"/>
  <c r="C210" i="133"/>
  <c r="C209" i="133"/>
  <c r="C208" i="133"/>
  <c r="C207" i="133"/>
  <c r="B207" i="133"/>
  <c r="B208" i="133" s="1"/>
  <c r="B209" i="133" s="1"/>
  <c r="B210" i="133" s="1"/>
  <c r="B211" i="133" s="1"/>
  <c r="B212" i="133" s="1"/>
  <c r="B213" i="133" s="1"/>
  <c r="B214" i="133" s="1"/>
  <c r="B215" i="133" s="1"/>
  <c r="B216" i="133" s="1"/>
  <c r="B217" i="133" s="1"/>
  <c r="B218" i="133" s="1"/>
  <c r="B219" i="133" s="1"/>
  <c r="B220" i="133" s="1"/>
  <c r="B221" i="133" s="1"/>
  <c r="B222" i="133" s="1"/>
  <c r="B223" i="133" s="1"/>
  <c r="B224" i="133" s="1"/>
  <c r="B225" i="133" s="1"/>
  <c r="B226" i="133" s="1"/>
  <c r="B227" i="133" s="1"/>
  <c r="B228" i="133" s="1"/>
  <c r="B229" i="133" s="1"/>
  <c r="B230" i="133" s="1"/>
  <c r="B231" i="133" s="1"/>
  <c r="B232" i="133" s="1"/>
  <c r="C206" i="133"/>
  <c r="G167" i="133"/>
  <c r="G166" i="133"/>
  <c r="G165" i="133"/>
  <c r="G164" i="133"/>
  <c r="G163" i="133"/>
  <c r="G162" i="133"/>
  <c r="G161" i="133"/>
  <c r="E160" i="133"/>
  <c r="G160" i="133" s="1"/>
  <c r="G159" i="133"/>
  <c r="G155" i="133"/>
  <c r="G154" i="133"/>
  <c r="G153" i="133"/>
  <c r="G152" i="133"/>
  <c r="G149" i="133"/>
  <c r="H149" i="133" s="1"/>
  <c r="D230" i="133" s="1"/>
  <c r="G146" i="133"/>
  <c r="H146" i="133" s="1"/>
  <c r="D229" i="133" s="1"/>
  <c r="G143" i="133"/>
  <c r="G142" i="133"/>
  <c r="G141" i="133"/>
  <c r="G138" i="133"/>
  <c r="G137" i="133"/>
  <c r="G134" i="133"/>
  <c r="G133" i="133"/>
  <c r="G132" i="133"/>
  <c r="G129" i="133"/>
  <c r="H129" i="133" s="1"/>
  <c r="D225" i="133" s="1"/>
  <c r="G126" i="133"/>
  <c r="H126" i="133" s="1"/>
  <c r="D224" i="133" s="1"/>
  <c r="G123" i="133"/>
  <c r="G122" i="133"/>
  <c r="G121" i="133"/>
  <c r="G117" i="133"/>
  <c r="H117" i="133" s="1"/>
  <c r="D222" i="133" s="1"/>
  <c r="G114" i="133"/>
  <c r="H114" i="133" s="1"/>
  <c r="D221" i="133" s="1"/>
  <c r="G110" i="133"/>
  <c r="H110" i="133" s="1"/>
  <c r="D220" i="133" s="1"/>
  <c r="G106" i="133"/>
  <c r="G105" i="133"/>
  <c r="G104" i="133"/>
  <c r="G103" i="133"/>
  <c r="G99" i="133"/>
  <c r="G98" i="133"/>
  <c r="G97" i="133"/>
  <c r="G93" i="133"/>
  <c r="G92" i="133"/>
  <c r="G91" i="133"/>
  <c r="G90" i="133"/>
  <c r="G89" i="133"/>
  <c r="G85" i="133"/>
  <c r="G84" i="133"/>
  <c r="G83" i="133"/>
  <c r="G80" i="133"/>
  <c r="G79" i="133"/>
  <c r="G75" i="133"/>
  <c r="G74" i="133"/>
  <c r="G70" i="133"/>
  <c r="G69" i="133"/>
  <c r="G65" i="133"/>
  <c r="H65" i="133" s="1"/>
  <c r="D212" i="133" s="1"/>
  <c r="G60" i="133"/>
  <c r="G59" i="133"/>
  <c r="G58" i="133"/>
  <c r="G57" i="133"/>
  <c r="G56" i="133"/>
  <c r="G52" i="133"/>
  <c r="G51" i="133"/>
  <c r="G50" i="133"/>
  <c r="G49" i="133"/>
  <c r="G48" i="133"/>
  <c r="G47" i="133"/>
  <c r="G46" i="133"/>
  <c r="G45" i="133"/>
  <c r="G44" i="133"/>
  <c r="G43" i="133"/>
  <c r="G42" i="133"/>
  <c r="G41" i="133"/>
  <c r="G40" i="133"/>
  <c r="G39" i="133"/>
  <c r="G38" i="133"/>
  <c r="G37" i="133"/>
  <c r="G36" i="133"/>
  <c r="G35" i="133"/>
  <c r="G34" i="133"/>
  <c r="G33" i="133"/>
  <c r="G32" i="133"/>
  <c r="G31" i="133"/>
  <c r="G30" i="133"/>
  <c r="G29" i="133"/>
  <c r="G28" i="133"/>
  <c r="G27" i="133"/>
  <c r="G26" i="133"/>
  <c r="G25" i="133"/>
  <c r="G24" i="133"/>
  <c r="G20" i="133"/>
  <c r="G19" i="133"/>
  <c r="G18" i="133"/>
  <c r="G14" i="133"/>
  <c r="G13" i="133"/>
  <c r="G9" i="133"/>
  <c r="H9" i="133" s="1"/>
  <c r="D207" i="133" s="1"/>
  <c r="G6" i="133"/>
  <c r="G5" i="133"/>
  <c r="H637" i="131"/>
  <c r="I637" i="131" s="1"/>
  <c r="H636" i="131"/>
  <c r="I636" i="131" s="1"/>
  <c r="H635" i="131"/>
  <c r="I635" i="131" s="1"/>
  <c r="H634" i="131"/>
  <c r="I634" i="131" s="1"/>
  <c r="H633" i="131"/>
  <c r="I633" i="131" s="1"/>
  <c r="H629" i="131"/>
  <c r="I629" i="131" s="1"/>
  <c r="H626" i="131"/>
  <c r="I626" i="131" s="1"/>
  <c r="H625" i="131"/>
  <c r="I625" i="131" s="1"/>
  <c r="H623" i="131"/>
  <c r="I623" i="131" s="1"/>
  <c r="H622" i="131"/>
  <c r="I622" i="131" s="1"/>
  <c r="K621" i="131"/>
  <c r="H621" i="131"/>
  <c r="I621" i="131" s="1"/>
  <c r="H620" i="131"/>
  <c r="I620" i="131" s="1"/>
  <c r="H619" i="131"/>
  <c r="I619" i="131" s="1"/>
  <c r="H618" i="131"/>
  <c r="I618" i="131" s="1"/>
  <c r="H617" i="131"/>
  <c r="I617" i="131" s="1"/>
  <c r="H616" i="131"/>
  <c r="I616" i="131" s="1"/>
  <c r="H615" i="131"/>
  <c r="I615" i="131" s="1"/>
  <c r="H612" i="131"/>
  <c r="I612" i="131" s="1"/>
  <c r="H611" i="131"/>
  <c r="I611" i="131" s="1"/>
  <c r="H610" i="131"/>
  <c r="I610" i="131" s="1"/>
  <c r="H609" i="131"/>
  <c r="I609" i="131" s="1"/>
  <c r="H608" i="131"/>
  <c r="I608" i="131" s="1"/>
  <c r="H607" i="131"/>
  <c r="I607" i="131" s="1"/>
  <c r="H606" i="131"/>
  <c r="I606" i="131" s="1"/>
  <c r="H605" i="131"/>
  <c r="I605" i="131" s="1"/>
  <c r="H604" i="131"/>
  <c r="I604" i="131" s="1"/>
  <c r="H601" i="131"/>
  <c r="I601" i="131" s="1"/>
  <c r="H600" i="131"/>
  <c r="I600" i="131" s="1"/>
  <c r="H599" i="131"/>
  <c r="I599" i="131" s="1"/>
  <c r="H598" i="131"/>
  <c r="I598" i="131" s="1"/>
  <c r="H597" i="131"/>
  <c r="I597" i="131" s="1"/>
  <c r="H596" i="131"/>
  <c r="I596" i="131" s="1"/>
  <c r="H595" i="131"/>
  <c r="I595" i="131" s="1"/>
  <c r="H594" i="131"/>
  <c r="I594" i="131" s="1"/>
  <c r="H593" i="131"/>
  <c r="I593" i="131" s="1"/>
  <c r="H592" i="131"/>
  <c r="I592" i="131" s="1"/>
  <c r="H591" i="131"/>
  <c r="I591" i="131" s="1"/>
  <c r="H590" i="131"/>
  <c r="I590" i="131" s="1"/>
  <c r="H589" i="131"/>
  <c r="I589" i="131" s="1"/>
  <c r="H588" i="131"/>
  <c r="I588" i="131" s="1"/>
  <c r="H587" i="131"/>
  <c r="I587" i="131" s="1"/>
  <c r="H586" i="131"/>
  <c r="I586" i="131" s="1"/>
  <c r="H585" i="131"/>
  <c r="I585" i="131" s="1"/>
  <c r="H584" i="131"/>
  <c r="I584" i="131" s="1"/>
  <c r="H580" i="131"/>
  <c r="I580" i="131" s="1"/>
  <c r="H577" i="131"/>
  <c r="I577" i="131" s="1"/>
  <c r="H575" i="131"/>
  <c r="I575" i="131" s="1"/>
  <c r="H574" i="131"/>
  <c r="I574" i="131" s="1"/>
  <c r="H573" i="131"/>
  <c r="I573" i="131" s="1"/>
  <c r="H572" i="131"/>
  <c r="I572" i="131" s="1"/>
  <c r="H571" i="131"/>
  <c r="I571" i="131" s="1"/>
  <c r="H570" i="131"/>
  <c r="I570" i="131" s="1"/>
  <c r="H569" i="131"/>
  <c r="I569" i="131" s="1"/>
  <c r="H568" i="131"/>
  <c r="I568" i="131" s="1"/>
  <c r="H567" i="131"/>
  <c r="I567" i="131" s="1"/>
  <c r="H566" i="131"/>
  <c r="I566" i="131" s="1"/>
  <c r="H565" i="131"/>
  <c r="I565" i="131" s="1"/>
  <c r="H564" i="131"/>
  <c r="I564" i="131" s="1"/>
  <c r="H563" i="131"/>
  <c r="I563" i="131" s="1"/>
  <c r="H562" i="131"/>
  <c r="I562" i="131" s="1"/>
  <c r="H561" i="131"/>
  <c r="I561" i="131" s="1"/>
  <c r="H560" i="131"/>
  <c r="I560" i="131" s="1"/>
  <c r="H559" i="131"/>
  <c r="I559" i="131" s="1"/>
  <c r="H558" i="131"/>
  <c r="I558" i="131" s="1"/>
  <c r="H557" i="131"/>
  <c r="I557" i="131" s="1"/>
  <c r="H556" i="131"/>
  <c r="I556" i="131" s="1"/>
  <c r="H555" i="131"/>
  <c r="I555" i="131" s="1"/>
  <c r="H554" i="131"/>
  <c r="I554" i="131" s="1"/>
  <c r="H553" i="131"/>
  <c r="I553" i="131" s="1"/>
  <c r="H552" i="131"/>
  <c r="I552" i="131" s="1"/>
  <c r="H551" i="131"/>
  <c r="I551" i="131" s="1"/>
  <c r="H550" i="131"/>
  <c r="I550" i="131" s="1"/>
  <c r="H549" i="131"/>
  <c r="I549" i="131" s="1"/>
  <c r="H548" i="131"/>
  <c r="I548" i="131" s="1"/>
  <c r="H547" i="131"/>
  <c r="I547" i="131" s="1"/>
  <c r="H546" i="131"/>
  <c r="I546" i="131" s="1"/>
  <c r="H545" i="131"/>
  <c r="I545" i="131" s="1"/>
  <c r="H544" i="131"/>
  <c r="I544" i="131" s="1"/>
  <c r="H543" i="131"/>
  <c r="I543" i="131" s="1"/>
  <c r="H542" i="131"/>
  <c r="I542" i="131" s="1"/>
  <c r="H541" i="131"/>
  <c r="I541" i="131" s="1"/>
  <c r="H540" i="131"/>
  <c r="I540" i="131" s="1"/>
  <c r="H539" i="131"/>
  <c r="I539" i="131" s="1"/>
  <c r="H538" i="131"/>
  <c r="I538" i="131" s="1"/>
  <c r="H537" i="131"/>
  <c r="I537" i="131" s="1"/>
  <c r="H536" i="131"/>
  <c r="I536" i="131" s="1"/>
  <c r="H535" i="131"/>
  <c r="I535" i="131" s="1"/>
  <c r="H534" i="131"/>
  <c r="I534" i="131" s="1"/>
  <c r="H533" i="131"/>
  <c r="I533" i="131" s="1"/>
  <c r="H532" i="131"/>
  <c r="I532" i="131" s="1"/>
  <c r="H531" i="131"/>
  <c r="I531" i="131" s="1"/>
  <c r="H530" i="131"/>
  <c r="I530" i="131" s="1"/>
  <c r="H529" i="131"/>
  <c r="I529" i="131" s="1"/>
  <c r="H528" i="131"/>
  <c r="I528" i="131" s="1"/>
  <c r="H527" i="131"/>
  <c r="I527" i="131" s="1"/>
  <c r="H522" i="131"/>
  <c r="I522" i="131" s="1"/>
  <c r="H521" i="131"/>
  <c r="I521" i="131" s="1"/>
  <c r="H520" i="131"/>
  <c r="I520" i="131" s="1"/>
  <c r="H519" i="131"/>
  <c r="I519" i="131" s="1"/>
  <c r="H518" i="131"/>
  <c r="I518" i="131" s="1"/>
  <c r="H517" i="131"/>
  <c r="I517" i="131" s="1"/>
  <c r="H516" i="131"/>
  <c r="I516" i="131" s="1"/>
  <c r="H515" i="131"/>
  <c r="I515" i="131" s="1"/>
  <c r="H514" i="131"/>
  <c r="I514" i="131" s="1"/>
  <c r="H513" i="131"/>
  <c r="I513" i="131" s="1"/>
  <c r="H512" i="131"/>
  <c r="I512" i="131" s="1"/>
  <c r="H511" i="131"/>
  <c r="I511" i="131" s="1"/>
  <c r="H510" i="131"/>
  <c r="I510" i="131" s="1"/>
  <c r="H509" i="131"/>
  <c r="I509" i="131" s="1"/>
  <c r="H508" i="131"/>
  <c r="I508" i="131" s="1"/>
  <c r="H507" i="131"/>
  <c r="I507" i="131" s="1"/>
  <c r="H506" i="131"/>
  <c r="I506" i="131" s="1"/>
  <c r="H505" i="131"/>
  <c r="I505" i="131" s="1"/>
  <c r="H504" i="131"/>
  <c r="I504" i="131" s="1"/>
  <c r="H503" i="131"/>
  <c r="I503" i="131" s="1"/>
  <c r="H501" i="131"/>
  <c r="I501" i="131" s="1"/>
  <c r="H500" i="131"/>
  <c r="I500" i="131" s="1"/>
  <c r="H499" i="131"/>
  <c r="I499" i="131" s="1"/>
  <c r="H498" i="131"/>
  <c r="I498" i="131" s="1"/>
  <c r="H497" i="131"/>
  <c r="I497" i="131" s="1"/>
  <c r="H496" i="131"/>
  <c r="I496" i="131" s="1"/>
  <c r="H495" i="131"/>
  <c r="I495" i="131" s="1"/>
  <c r="H491" i="131"/>
  <c r="I491" i="131" s="1"/>
  <c r="H490" i="131"/>
  <c r="I490" i="131" s="1"/>
  <c r="H489" i="131"/>
  <c r="I489" i="131" s="1"/>
  <c r="H488" i="131"/>
  <c r="I488" i="131" s="1"/>
  <c r="H487" i="131"/>
  <c r="I487" i="131" s="1"/>
  <c r="H486" i="131"/>
  <c r="I486" i="131" s="1"/>
  <c r="H485" i="131"/>
  <c r="I485" i="131" s="1"/>
  <c r="H484" i="131"/>
  <c r="I484" i="131" s="1"/>
  <c r="H482" i="131"/>
  <c r="I482" i="131" s="1"/>
  <c r="H481" i="131"/>
  <c r="I481" i="131" s="1"/>
  <c r="H480" i="131"/>
  <c r="I480" i="131" s="1"/>
  <c r="H479" i="131"/>
  <c r="I479" i="131" s="1"/>
  <c r="H478" i="131"/>
  <c r="I478" i="131" s="1"/>
  <c r="H477" i="131"/>
  <c r="I477" i="131" s="1"/>
  <c r="H476" i="131"/>
  <c r="I476" i="131" s="1"/>
  <c r="H475" i="131"/>
  <c r="I475" i="131" s="1"/>
  <c r="H474" i="131"/>
  <c r="I474" i="131" s="1"/>
  <c r="H473" i="131"/>
  <c r="I473" i="131" s="1"/>
  <c r="H472" i="131"/>
  <c r="I472" i="131" s="1"/>
  <c r="H471" i="131"/>
  <c r="I471" i="131" s="1"/>
  <c r="H470" i="131"/>
  <c r="I470" i="131" s="1"/>
  <c r="H469" i="131"/>
  <c r="I469" i="131" s="1"/>
  <c r="H468" i="131"/>
  <c r="I468" i="131" s="1"/>
  <c r="H466" i="131"/>
  <c r="I466" i="131" s="1"/>
  <c r="H465" i="131"/>
  <c r="I465" i="131" s="1"/>
  <c r="H464" i="131"/>
  <c r="I464" i="131" s="1"/>
  <c r="H463" i="131"/>
  <c r="I463" i="131" s="1"/>
  <c r="H462" i="131"/>
  <c r="I462" i="131" s="1"/>
  <c r="H461" i="131"/>
  <c r="I461" i="131" s="1"/>
  <c r="H460" i="131"/>
  <c r="I460" i="131" s="1"/>
  <c r="H459" i="131"/>
  <c r="I459" i="131" s="1"/>
  <c r="H458" i="131"/>
  <c r="I458" i="131" s="1"/>
  <c r="H457" i="131"/>
  <c r="I457" i="131" s="1"/>
  <c r="H456" i="131"/>
  <c r="I456" i="131" s="1"/>
  <c r="H455" i="131"/>
  <c r="I455" i="131" s="1"/>
  <c r="H454" i="131"/>
  <c r="I454" i="131" s="1"/>
  <c r="H450" i="131"/>
  <c r="I450" i="131" s="1"/>
  <c r="H449" i="131"/>
  <c r="I449" i="131" s="1"/>
  <c r="H448" i="131"/>
  <c r="I448" i="131" s="1"/>
  <c r="H447" i="131"/>
  <c r="I447" i="131" s="1"/>
  <c r="H446" i="131"/>
  <c r="I446" i="131" s="1"/>
  <c r="H445" i="131"/>
  <c r="I445" i="131" s="1"/>
  <c r="H444" i="131"/>
  <c r="I444" i="131" s="1"/>
  <c r="H442" i="131"/>
  <c r="I442" i="131" s="1"/>
  <c r="H441" i="131"/>
  <c r="I441" i="131" s="1"/>
  <c r="H440" i="131"/>
  <c r="I440" i="131" s="1"/>
  <c r="H439" i="131"/>
  <c r="I439" i="131" s="1"/>
  <c r="H438" i="131"/>
  <c r="I438" i="131" s="1"/>
  <c r="H437" i="131"/>
  <c r="I437" i="131" s="1"/>
  <c r="H436" i="131"/>
  <c r="I436" i="131" s="1"/>
  <c r="H435" i="131"/>
  <c r="I435" i="131" s="1"/>
  <c r="H434" i="131"/>
  <c r="I434" i="131" s="1"/>
  <c r="H433" i="131"/>
  <c r="I433" i="131" s="1"/>
  <c r="H430" i="131"/>
  <c r="I430" i="131" s="1"/>
  <c r="H429" i="131"/>
  <c r="I429" i="131" s="1"/>
  <c r="H428" i="131"/>
  <c r="I428" i="131" s="1"/>
  <c r="H427" i="131"/>
  <c r="I427" i="131" s="1"/>
  <c r="H426" i="131"/>
  <c r="I426" i="131" s="1"/>
  <c r="H425" i="131"/>
  <c r="I425" i="131" s="1"/>
  <c r="H424" i="131"/>
  <c r="I424" i="131" s="1"/>
  <c r="H423" i="131"/>
  <c r="I423" i="131" s="1"/>
  <c r="H422" i="131"/>
  <c r="I422" i="131" s="1"/>
  <c r="H421" i="131"/>
  <c r="I421" i="131" s="1"/>
  <c r="H420" i="131"/>
  <c r="I420" i="131" s="1"/>
  <c r="H419" i="131"/>
  <c r="I419" i="131" s="1"/>
  <c r="H417" i="131"/>
  <c r="I417" i="131" s="1"/>
  <c r="H412" i="131"/>
  <c r="I412" i="131" s="1"/>
  <c r="H411" i="131"/>
  <c r="I411" i="131" s="1"/>
  <c r="H410" i="131"/>
  <c r="I410" i="131" s="1"/>
  <c r="H409" i="131"/>
  <c r="I409" i="131" s="1"/>
  <c r="H408" i="131"/>
  <c r="I408" i="131" s="1"/>
  <c r="H407" i="131"/>
  <c r="I407" i="131" s="1"/>
  <c r="H406" i="131"/>
  <c r="I406" i="131" s="1"/>
  <c r="H405" i="131"/>
  <c r="I405" i="131" s="1"/>
  <c r="H404" i="131"/>
  <c r="I404" i="131" s="1"/>
  <c r="H403" i="131"/>
  <c r="I403" i="131" s="1"/>
  <c r="H402" i="131"/>
  <c r="I402" i="131" s="1"/>
  <c r="H401" i="131"/>
  <c r="I401" i="131" s="1"/>
  <c r="H400" i="131"/>
  <c r="I400" i="131" s="1"/>
  <c r="H398" i="131"/>
  <c r="I398" i="131" s="1"/>
  <c r="H397" i="131"/>
  <c r="I397" i="131" s="1"/>
  <c r="H396" i="131"/>
  <c r="I396" i="131" s="1"/>
  <c r="H395" i="131"/>
  <c r="I395" i="131" s="1"/>
  <c r="H394" i="131"/>
  <c r="I394" i="131" s="1"/>
  <c r="H393" i="131"/>
  <c r="I393" i="131" s="1"/>
  <c r="H389" i="131"/>
  <c r="I389" i="131" s="1"/>
  <c r="H388" i="131"/>
  <c r="I388" i="131" s="1"/>
  <c r="H387" i="131"/>
  <c r="I387" i="131" s="1"/>
  <c r="H386" i="131"/>
  <c r="I386" i="131" s="1"/>
  <c r="H385" i="131"/>
  <c r="I385" i="131" s="1"/>
  <c r="H384" i="131"/>
  <c r="I384" i="131" s="1"/>
  <c r="H383" i="131"/>
  <c r="I383" i="131" s="1"/>
  <c r="H382" i="131"/>
  <c r="I382" i="131" s="1"/>
  <c r="H379" i="131"/>
  <c r="I379" i="131" s="1"/>
  <c r="H378" i="131"/>
  <c r="I378" i="131" s="1"/>
  <c r="H377" i="131"/>
  <c r="I377" i="131" s="1"/>
  <c r="H376" i="131"/>
  <c r="I376" i="131" s="1"/>
  <c r="H375" i="131"/>
  <c r="I375" i="131" s="1"/>
  <c r="H374" i="131"/>
  <c r="I374" i="131" s="1"/>
  <c r="H373" i="131"/>
  <c r="I373" i="131" s="1"/>
  <c r="H372" i="131"/>
  <c r="I372" i="131" s="1"/>
  <c r="H371" i="131"/>
  <c r="I371" i="131" s="1"/>
  <c r="H370" i="131"/>
  <c r="I370" i="131" s="1"/>
  <c r="H369" i="131"/>
  <c r="I369" i="131" s="1"/>
  <c r="H368" i="131"/>
  <c r="I368" i="131" s="1"/>
  <c r="H367" i="131"/>
  <c r="I367" i="131" s="1"/>
  <c r="H366" i="131"/>
  <c r="I366" i="131" s="1"/>
  <c r="H365" i="131"/>
  <c r="I365" i="131" s="1"/>
  <c r="H362" i="131"/>
  <c r="I362" i="131" s="1"/>
  <c r="H361" i="131"/>
  <c r="I361" i="131" s="1"/>
  <c r="H358" i="131"/>
  <c r="I358" i="131" s="1"/>
  <c r="H357" i="131"/>
  <c r="I357" i="131" s="1"/>
  <c r="H356" i="131"/>
  <c r="I356" i="131" s="1"/>
  <c r="H355" i="131"/>
  <c r="I355" i="131" s="1"/>
  <c r="H354" i="131"/>
  <c r="I354" i="131" s="1"/>
  <c r="H353" i="131"/>
  <c r="I353" i="131" s="1"/>
  <c r="H352" i="131"/>
  <c r="I352" i="131" s="1"/>
  <c r="H351" i="131"/>
  <c r="I351" i="131" s="1"/>
  <c r="H346" i="131"/>
  <c r="I346" i="131" s="1"/>
  <c r="H345" i="131"/>
  <c r="I345" i="131" s="1"/>
  <c r="H344" i="131"/>
  <c r="I344" i="131" s="1"/>
  <c r="H343" i="131"/>
  <c r="I343" i="131" s="1"/>
  <c r="H342" i="131"/>
  <c r="I342" i="131" s="1"/>
  <c r="H340" i="131"/>
  <c r="I340" i="131" s="1"/>
  <c r="H338" i="131"/>
  <c r="I338" i="131" s="1"/>
  <c r="H337" i="131"/>
  <c r="I337" i="131" s="1"/>
  <c r="H336" i="131"/>
  <c r="I336" i="131" s="1"/>
  <c r="H335" i="131"/>
  <c r="I335" i="131" s="1"/>
  <c r="H334" i="131"/>
  <c r="I334" i="131" s="1"/>
  <c r="H332" i="131"/>
  <c r="I332" i="131" s="1"/>
  <c r="H331" i="131"/>
  <c r="I331" i="131" s="1"/>
  <c r="H330" i="131"/>
  <c r="I330" i="131" s="1"/>
  <c r="H329" i="131"/>
  <c r="I329" i="131" s="1"/>
  <c r="H328" i="131"/>
  <c r="I328" i="131" s="1"/>
  <c r="H327" i="131"/>
  <c r="I327" i="131" s="1"/>
  <c r="H326" i="131"/>
  <c r="I326" i="131" s="1"/>
  <c r="H325" i="131"/>
  <c r="I325" i="131" s="1"/>
  <c r="H324" i="131"/>
  <c r="I324" i="131" s="1"/>
  <c r="H323" i="131"/>
  <c r="I323" i="131" s="1"/>
  <c r="H322" i="131"/>
  <c r="I322" i="131" s="1"/>
  <c r="H321" i="131"/>
  <c r="I321" i="131" s="1"/>
  <c r="H320" i="131"/>
  <c r="I320" i="131" s="1"/>
  <c r="H319" i="131"/>
  <c r="I319" i="131" s="1"/>
  <c r="H318" i="131"/>
  <c r="I318" i="131" s="1"/>
  <c r="H313" i="131"/>
  <c r="I313" i="131" s="1"/>
  <c r="H312" i="131"/>
  <c r="I312" i="131" s="1"/>
  <c r="H311" i="131"/>
  <c r="I311" i="131" s="1"/>
  <c r="H309" i="131"/>
  <c r="I309" i="131" s="1"/>
  <c r="H308" i="131"/>
  <c r="I308" i="131" s="1"/>
  <c r="H307" i="131"/>
  <c r="I307" i="131" s="1"/>
  <c r="H306" i="131"/>
  <c r="I306" i="131" s="1"/>
  <c r="H305" i="131"/>
  <c r="I305" i="131" s="1"/>
  <c r="H304" i="131"/>
  <c r="I304" i="131" s="1"/>
  <c r="H303" i="131"/>
  <c r="I303" i="131" s="1"/>
  <c r="H302" i="131"/>
  <c r="I302" i="131" s="1"/>
  <c r="H301" i="131"/>
  <c r="I301" i="131" s="1"/>
  <c r="H300" i="131"/>
  <c r="I300" i="131" s="1"/>
  <c r="H298" i="131"/>
  <c r="I298" i="131" s="1"/>
  <c r="H297" i="131"/>
  <c r="I297" i="131" s="1"/>
  <c r="H296" i="131"/>
  <c r="I296" i="131" s="1"/>
  <c r="H295" i="131"/>
  <c r="I295" i="131" s="1"/>
  <c r="H294" i="131"/>
  <c r="I294" i="131" s="1"/>
  <c r="H293" i="131"/>
  <c r="I293" i="131" s="1"/>
  <c r="H292" i="131"/>
  <c r="I292" i="131" s="1"/>
  <c r="H291" i="131"/>
  <c r="I291" i="131" s="1"/>
  <c r="H290" i="131"/>
  <c r="I290" i="131" s="1"/>
  <c r="H287" i="131"/>
  <c r="I287" i="131" s="1"/>
  <c r="H285" i="131"/>
  <c r="I285" i="131" s="1"/>
  <c r="H284" i="131"/>
  <c r="I284" i="131" s="1"/>
  <c r="H283" i="131"/>
  <c r="I283" i="131" s="1"/>
  <c r="H282" i="131"/>
  <c r="I282" i="131" s="1"/>
  <c r="H281" i="131"/>
  <c r="I281" i="131" s="1"/>
  <c r="H280" i="131"/>
  <c r="I280" i="131" s="1"/>
  <c r="H279" i="131"/>
  <c r="I279" i="131" s="1"/>
  <c r="H278" i="131"/>
  <c r="I278" i="131" s="1"/>
  <c r="H277" i="131"/>
  <c r="I277" i="131" s="1"/>
  <c r="H275" i="131"/>
  <c r="I275" i="131" s="1"/>
  <c r="H274" i="131"/>
  <c r="I274" i="131" s="1"/>
  <c r="H273" i="131"/>
  <c r="I273" i="131" s="1"/>
  <c r="H272" i="131"/>
  <c r="I272" i="131" s="1"/>
  <c r="H271" i="131"/>
  <c r="I271" i="131" s="1"/>
  <c r="H270" i="131"/>
  <c r="I270" i="131" s="1"/>
  <c r="H269" i="131"/>
  <c r="I269" i="131" s="1"/>
  <c r="H268" i="131"/>
  <c r="I268" i="131" s="1"/>
  <c r="H267" i="131"/>
  <c r="I267" i="131" s="1"/>
  <c r="H266" i="131"/>
  <c r="I266" i="131" s="1"/>
  <c r="H264" i="131"/>
  <c r="I264" i="131" s="1"/>
  <c r="H263" i="131"/>
  <c r="I263" i="131" s="1"/>
  <c r="H262" i="131"/>
  <c r="I262" i="131" s="1"/>
  <c r="H261" i="131"/>
  <c r="I261" i="131" s="1"/>
  <c r="H260" i="131"/>
  <c r="I260" i="131" s="1"/>
  <c r="H259" i="131"/>
  <c r="I259" i="131" s="1"/>
  <c r="H252" i="131"/>
  <c r="I252" i="131" s="1"/>
  <c r="H251" i="131"/>
  <c r="I251" i="131" s="1"/>
  <c r="H250" i="131"/>
  <c r="I250" i="131" s="1"/>
  <c r="H249" i="131"/>
  <c r="I249" i="131" s="1"/>
  <c r="H248" i="131"/>
  <c r="I248" i="131" s="1"/>
  <c r="H246" i="131"/>
  <c r="I246" i="131" s="1"/>
  <c r="H245" i="131"/>
  <c r="I245" i="131" s="1"/>
  <c r="H244" i="131"/>
  <c r="I244" i="131" s="1"/>
  <c r="H243" i="131"/>
  <c r="I243" i="131" s="1"/>
  <c r="H239" i="131"/>
  <c r="I239" i="131" s="1"/>
  <c r="H238" i="131"/>
  <c r="I238" i="131" s="1"/>
  <c r="H237" i="131"/>
  <c r="I237" i="131" s="1"/>
  <c r="H236" i="131"/>
  <c r="I236" i="131" s="1"/>
  <c r="H235" i="131"/>
  <c r="I235" i="131" s="1"/>
  <c r="H234" i="131"/>
  <c r="I234" i="131" s="1"/>
  <c r="H233" i="131"/>
  <c r="I233" i="131" s="1"/>
  <c r="H232" i="131"/>
  <c r="I232" i="131" s="1"/>
  <c r="H231" i="131"/>
  <c r="I231" i="131" s="1"/>
  <c r="H230" i="131"/>
  <c r="I230" i="131" s="1"/>
  <c r="H229" i="131"/>
  <c r="I229" i="131" s="1"/>
  <c r="H228" i="131"/>
  <c r="I228" i="131" s="1"/>
  <c r="H227" i="131"/>
  <c r="I227" i="131" s="1"/>
  <c r="H226" i="131"/>
  <c r="I226" i="131" s="1"/>
  <c r="H225" i="131"/>
  <c r="I225" i="131" s="1"/>
  <c r="H224" i="131"/>
  <c r="I224" i="131" s="1"/>
  <c r="H223" i="131"/>
  <c r="I223" i="131" s="1"/>
  <c r="H221" i="131"/>
  <c r="I221" i="131" s="1"/>
  <c r="H220" i="131"/>
  <c r="I220" i="131" s="1"/>
  <c r="H219" i="131"/>
  <c r="I219" i="131" s="1"/>
  <c r="H218" i="131"/>
  <c r="I218" i="131" s="1"/>
  <c r="H217" i="131"/>
  <c r="I217" i="131" s="1"/>
  <c r="H215" i="131"/>
  <c r="I215" i="131" s="1"/>
  <c r="H214" i="131"/>
  <c r="I214" i="131" s="1"/>
  <c r="H213" i="131"/>
  <c r="I213" i="131" s="1"/>
  <c r="H212" i="131"/>
  <c r="I212" i="131" s="1"/>
  <c r="H211" i="131"/>
  <c r="I211" i="131" s="1"/>
  <c r="H210" i="131"/>
  <c r="I210" i="131" s="1"/>
  <c r="H209" i="131"/>
  <c r="I209" i="131" s="1"/>
  <c r="H208" i="131"/>
  <c r="I208" i="131" s="1"/>
  <c r="H207" i="131"/>
  <c r="I207" i="131" s="1"/>
  <c r="K206" i="131"/>
  <c r="H206" i="131"/>
  <c r="I206" i="131" s="1"/>
  <c r="H205" i="131"/>
  <c r="I205" i="131" s="1"/>
  <c r="H204" i="131"/>
  <c r="I204" i="131" s="1"/>
  <c r="H203" i="131"/>
  <c r="I203" i="131" s="1"/>
  <c r="H202" i="131"/>
  <c r="I202" i="131" s="1"/>
  <c r="H201" i="131"/>
  <c r="I201" i="131" s="1"/>
  <c r="H199" i="131"/>
  <c r="I199" i="131" s="1"/>
  <c r="H198" i="131"/>
  <c r="I198" i="131" s="1"/>
  <c r="H197" i="131"/>
  <c r="I197" i="131" s="1"/>
  <c r="H196" i="131"/>
  <c r="I196" i="131" s="1"/>
  <c r="H195" i="131"/>
  <c r="I195" i="131" s="1"/>
  <c r="H194" i="131"/>
  <c r="I194" i="131" s="1"/>
  <c r="H192" i="131"/>
  <c r="I192" i="131" s="1"/>
  <c r="H191" i="131"/>
  <c r="I191" i="131" s="1"/>
  <c r="H190" i="131"/>
  <c r="I190" i="131" s="1"/>
  <c r="H189" i="131"/>
  <c r="I189" i="131" s="1"/>
  <c r="H188" i="131"/>
  <c r="I188" i="131" s="1"/>
  <c r="H187" i="131"/>
  <c r="I187" i="131" s="1"/>
  <c r="H186" i="131"/>
  <c r="I186" i="131" s="1"/>
  <c r="H185" i="131"/>
  <c r="I185" i="131" s="1"/>
  <c r="H184" i="131"/>
  <c r="I184" i="131" s="1"/>
  <c r="H183" i="131"/>
  <c r="I183" i="131" s="1"/>
  <c r="H182" i="131"/>
  <c r="I182" i="131" s="1"/>
  <c r="H181" i="131"/>
  <c r="I181" i="131" s="1"/>
  <c r="H180" i="131"/>
  <c r="I180" i="131" s="1"/>
  <c r="H178" i="131"/>
  <c r="I178" i="131" s="1"/>
  <c r="H177" i="131"/>
  <c r="I177" i="131" s="1"/>
  <c r="H176" i="131"/>
  <c r="I176" i="131" s="1"/>
  <c r="H175" i="131"/>
  <c r="I175" i="131" s="1"/>
  <c r="H170" i="131"/>
  <c r="I170" i="131" s="1"/>
  <c r="H169" i="131"/>
  <c r="I169" i="131" s="1"/>
  <c r="H168" i="131"/>
  <c r="I168" i="131" s="1"/>
  <c r="H167" i="131"/>
  <c r="I167" i="131" s="1"/>
  <c r="H165" i="131"/>
  <c r="I165" i="131" s="1"/>
  <c r="H164" i="131"/>
  <c r="I164" i="131" s="1"/>
  <c r="H163" i="131"/>
  <c r="I163" i="131" s="1"/>
  <c r="H162" i="131"/>
  <c r="I162" i="131" s="1"/>
  <c r="H161" i="131"/>
  <c r="I161" i="131" s="1"/>
  <c r="H160" i="131"/>
  <c r="I160" i="131" s="1"/>
  <c r="H159" i="131"/>
  <c r="I159" i="131" s="1"/>
  <c r="H158" i="131"/>
  <c r="I158" i="131" s="1"/>
  <c r="H157" i="131"/>
  <c r="I157" i="131" s="1"/>
  <c r="H156" i="131"/>
  <c r="I156" i="131" s="1"/>
  <c r="H155" i="131"/>
  <c r="I155" i="131" s="1"/>
  <c r="H154" i="131"/>
  <c r="I154" i="131" s="1"/>
  <c r="H153" i="131"/>
  <c r="I153" i="131" s="1"/>
  <c r="H152" i="131"/>
  <c r="I152" i="131" s="1"/>
  <c r="H151" i="131"/>
  <c r="I151" i="131" s="1"/>
  <c r="H149" i="131"/>
  <c r="I149" i="131" s="1"/>
  <c r="H148" i="131"/>
  <c r="I148" i="131" s="1"/>
  <c r="H147" i="131"/>
  <c r="I147" i="131" s="1"/>
  <c r="H146" i="131"/>
  <c r="I146" i="131" s="1"/>
  <c r="H145" i="131"/>
  <c r="I145" i="131" s="1"/>
  <c r="H143" i="131"/>
  <c r="I143" i="131" s="1"/>
  <c r="H142" i="131"/>
  <c r="I142" i="131" s="1"/>
  <c r="H141" i="131"/>
  <c r="I141" i="131" s="1"/>
  <c r="H140" i="131"/>
  <c r="I140" i="131" s="1"/>
  <c r="H139" i="131"/>
  <c r="I139" i="131" s="1"/>
  <c r="H138" i="131"/>
  <c r="I138" i="131" s="1"/>
  <c r="H137" i="131"/>
  <c r="I137" i="131" s="1"/>
  <c r="H136" i="131"/>
  <c r="I136" i="131" s="1"/>
  <c r="H135" i="131"/>
  <c r="I135" i="131" s="1"/>
  <c r="H134" i="131"/>
  <c r="I134" i="131" s="1"/>
  <c r="H133" i="131"/>
  <c r="I133" i="131" s="1"/>
  <c r="H131" i="131"/>
  <c r="I131" i="131" s="1"/>
  <c r="H130" i="131"/>
  <c r="I130" i="131" s="1"/>
  <c r="H129" i="131"/>
  <c r="I129" i="131" s="1"/>
  <c r="H125" i="131"/>
  <c r="I125" i="131" s="1"/>
  <c r="H124" i="131"/>
  <c r="I124" i="131" s="1"/>
  <c r="H123" i="131"/>
  <c r="I123" i="131" s="1"/>
  <c r="H120" i="131"/>
  <c r="I120" i="131" s="1"/>
  <c r="H119" i="131"/>
  <c r="I119" i="131" s="1"/>
  <c r="H118" i="131"/>
  <c r="I118" i="131" s="1"/>
  <c r="H117" i="131"/>
  <c r="I117" i="131" s="1"/>
  <c r="H116" i="131"/>
  <c r="I116" i="131" s="1"/>
  <c r="H114" i="131"/>
  <c r="I114" i="131" s="1"/>
  <c r="H112" i="131"/>
  <c r="I112" i="131" s="1"/>
  <c r="H111" i="131"/>
  <c r="I111" i="131" s="1"/>
  <c r="H110" i="131"/>
  <c r="I110" i="131" s="1"/>
  <c r="H109" i="131"/>
  <c r="I109" i="131" s="1"/>
  <c r="H106" i="131"/>
  <c r="I106" i="131" s="1"/>
  <c r="H105" i="131"/>
  <c r="I105" i="131" s="1"/>
  <c r="H104" i="131"/>
  <c r="I104" i="131" s="1"/>
  <c r="H103" i="131"/>
  <c r="I103" i="131" s="1"/>
  <c r="H102" i="131"/>
  <c r="I102" i="131" s="1"/>
  <c r="H101" i="131"/>
  <c r="I101" i="131" s="1"/>
  <c r="H100" i="131"/>
  <c r="I100" i="131" s="1"/>
  <c r="H99" i="131"/>
  <c r="I99" i="131" s="1"/>
  <c r="H97" i="131"/>
  <c r="I97" i="131" s="1"/>
  <c r="H96" i="131"/>
  <c r="I96" i="131" s="1"/>
  <c r="H95" i="131"/>
  <c r="I95" i="131" s="1"/>
  <c r="H94" i="131"/>
  <c r="I94" i="131" s="1"/>
  <c r="H93" i="131"/>
  <c r="I93" i="131" s="1"/>
  <c r="H92" i="131"/>
  <c r="I92" i="131" s="1"/>
  <c r="H89" i="131"/>
  <c r="I89" i="131" s="1"/>
  <c r="H88" i="131"/>
  <c r="I88" i="131" s="1"/>
  <c r="H87" i="131"/>
  <c r="I87" i="131" s="1"/>
  <c r="H86" i="131"/>
  <c r="I86" i="131" s="1"/>
  <c r="H85" i="131"/>
  <c r="I85" i="131" s="1"/>
  <c r="H83" i="131"/>
  <c r="I83" i="131" s="1"/>
  <c r="H82" i="131"/>
  <c r="I82" i="131" s="1"/>
  <c r="H81" i="131"/>
  <c r="I81" i="131" s="1"/>
  <c r="H80" i="131"/>
  <c r="I80" i="131" s="1"/>
  <c r="H79" i="131"/>
  <c r="I79" i="131" s="1"/>
  <c r="H78" i="131"/>
  <c r="I78" i="131" s="1"/>
  <c r="H77" i="131"/>
  <c r="I77" i="131" s="1"/>
  <c r="H76" i="131"/>
  <c r="I76" i="131" s="1"/>
  <c r="H74" i="131"/>
  <c r="I74" i="131" s="1"/>
  <c r="H73" i="131"/>
  <c r="I73" i="131" s="1"/>
  <c r="N72" i="131"/>
  <c r="N71" i="131"/>
  <c r="H70" i="131"/>
  <c r="I70" i="131" s="1"/>
  <c r="H69" i="131"/>
  <c r="I69" i="131" s="1"/>
  <c r="H68" i="131"/>
  <c r="I68" i="131" s="1"/>
  <c r="H67" i="131"/>
  <c r="I67" i="131" s="1"/>
  <c r="H66" i="131"/>
  <c r="I66" i="131" s="1"/>
  <c r="H65" i="131"/>
  <c r="I65" i="131" s="1"/>
  <c r="H64" i="131"/>
  <c r="I64" i="131" s="1"/>
  <c r="H63" i="131"/>
  <c r="I63" i="131" s="1"/>
  <c r="H62" i="131"/>
  <c r="I62" i="131" s="1"/>
  <c r="H61" i="131"/>
  <c r="I61" i="131" s="1"/>
  <c r="H60" i="131"/>
  <c r="I60" i="131" s="1"/>
  <c r="H59" i="131"/>
  <c r="I59" i="131" s="1"/>
  <c r="H58" i="131"/>
  <c r="I58" i="131" s="1"/>
  <c r="H57" i="131"/>
  <c r="I57" i="131" s="1"/>
  <c r="H55" i="131"/>
  <c r="I55" i="131" s="1"/>
  <c r="H54" i="131"/>
  <c r="I54" i="131" s="1"/>
  <c r="H53" i="131"/>
  <c r="I53" i="131" s="1"/>
  <c r="H52" i="131"/>
  <c r="I52" i="131" s="1"/>
  <c r="H51" i="131"/>
  <c r="I51" i="131" s="1"/>
  <c r="H50" i="131"/>
  <c r="I50" i="131" s="1"/>
  <c r="H49" i="131"/>
  <c r="I49" i="131" s="1"/>
  <c r="H48" i="131"/>
  <c r="I48" i="131" s="1"/>
  <c r="H47" i="131"/>
  <c r="I47" i="131" s="1"/>
  <c r="H46" i="131"/>
  <c r="I46" i="131" s="1"/>
  <c r="H41" i="131"/>
  <c r="I41" i="131" s="1"/>
  <c r="H40" i="131"/>
  <c r="I40" i="131" s="1"/>
  <c r="H39" i="131"/>
  <c r="I39" i="131" s="1"/>
  <c r="H38" i="131"/>
  <c r="I38" i="131" s="1"/>
  <c r="H37" i="131"/>
  <c r="I37" i="131" s="1"/>
  <c r="H36" i="131"/>
  <c r="I36" i="131" s="1"/>
  <c r="H35" i="131"/>
  <c r="I35" i="131" s="1"/>
  <c r="H34" i="131"/>
  <c r="I34" i="131" s="1"/>
  <c r="H33" i="131"/>
  <c r="I33" i="131" s="1"/>
  <c r="H32" i="131"/>
  <c r="I32" i="131" s="1"/>
  <c r="H31" i="131"/>
  <c r="I31" i="131" s="1"/>
  <c r="H30" i="131"/>
  <c r="I30" i="131" s="1"/>
  <c r="H29" i="131"/>
  <c r="I29" i="131" s="1"/>
  <c r="H28" i="131"/>
  <c r="I28" i="131" s="1"/>
  <c r="H27" i="131"/>
  <c r="I27" i="131" s="1"/>
  <c r="H26" i="131"/>
  <c r="I26" i="131" s="1"/>
  <c r="H25" i="131"/>
  <c r="I25" i="131" s="1"/>
  <c r="H24" i="131"/>
  <c r="I24" i="131" s="1"/>
  <c r="H23" i="131"/>
  <c r="I23" i="131" s="1"/>
  <c r="H22" i="131"/>
  <c r="I22" i="131" s="1"/>
  <c r="H21" i="131"/>
  <c r="I21" i="131" s="1"/>
  <c r="H19" i="131"/>
  <c r="I19" i="131" s="1"/>
  <c r="H17" i="131"/>
  <c r="I17" i="131" s="1"/>
  <c r="H16" i="131"/>
  <c r="I16" i="131" s="1"/>
  <c r="H15" i="131"/>
  <c r="I15" i="131" s="1"/>
  <c r="H14" i="131"/>
  <c r="I14" i="131" s="1"/>
  <c r="H13" i="131"/>
  <c r="I13" i="131" s="1"/>
  <c r="H10" i="131"/>
  <c r="I10" i="131" s="1"/>
  <c r="H9" i="131"/>
  <c r="I9" i="131" s="1"/>
  <c r="H8" i="131"/>
  <c r="I8" i="131" s="1"/>
  <c r="A8" i="131"/>
  <c r="A9" i="131" s="1"/>
  <c r="A10" i="131" s="1"/>
  <c r="A11" i="131" s="1"/>
  <c r="A12" i="131" s="1"/>
  <c r="A13" i="131" s="1"/>
  <c r="A14" i="131" s="1"/>
  <c r="A15" i="131" s="1"/>
  <c r="A16" i="131" s="1"/>
  <c r="A17" i="131" s="1"/>
  <c r="A18" i="131" s="1"/>
  <c r="A19" i="131" s="1"/>
  <c r="A20" i="131" s="1"/>
  <c r="A21" i="131" s="1"/>
  <c r="A22" i="131" s="1"/>
  <c r="A23" i="131" s="1"/>
  <c r="A27" i="131" s="1"/>
  <c r="A28" i="131" s="1"/>
  <c r="A29" i="131" s="1"/>
  <c r="A30" i="131" s="1"/>
  <c r="A31" i="131" s="1"/>
  <c r="A32" i="131" s="1"/>
  <c r="A33" i="131" s="1"/>
  <c r="A34" i="131" s="1"/>
  <c r="A35" i="131" s="1"/>
  <c r="A36" i="131" s="1"/>
  <c r="A37" i="131" s="1"/>
  <c r="A38" i="131" s="1"/>
  <c r="A39" i="131" s="1"/>
  <c r="A40" i="131" s="1"/>
  <c r="A41" i="131" s="1"/>
  <c r="A46" i="131" s="1"/>
  <c r="A47" i="131" s="1"/>
  <c r="A48" i="131" s="1"/>
  <c r="A49" i="131" s="1"/>
  <c r="A50" i="131" s="1"/>
  <c r="A51" i="131" s="1"/>
  <c r="A52" i="131" s="1"/>
  <c r="A53" i="131" s="1"/>
  <c r="A54" i="131" s="1"/>
  <c r="A55" i="131" s="1"/>
  <c r="A56" i="131" s="1"/>
  <c r="A57" i="131" s="1"/>
  <c r="A58" i="131" s="1"/>
  <c r="A59" i="131" s="1"/>
  <c r="A60" i="131" s="1"/>
  <c r="A61" i="131" s="1"/>
  <c r="A62" i="131" s="1"/>
  <c r="A63" i="131" s="1"/>
  <c r="A64" i="131" s="1"/>
  <c r="A65" i="131" s="1"/>
  <c r="A66" i="131" s="1"/>
  <c r="A67" i="131" s="1"/>
  <c r="A68" i="131" s="1"/>
  <c r="A69" i="131" s="1"/>
  <c r="A70" i="131" s="1"/>
  <c r="A71" i="131" s="1"/>
  <c r="A72" i="131" s="1"/>
  <c r="A73" i="131" s="1"/>
  <c r="A74" i="131" s="1"/>
  <c r="A75" i="131" s="1"/>
  <c r="A76" i="131" s="1"/>
  <c r="A77" i="131" s="1"/>
  <c r="A78" i="131" s="1"/>
  <c r="A79" i="131" s="1"/>
  <c r="A80" i="131" s="1"/>
  <c r="A81" i="131" s="1"/>
  <c r="A82" i="131" s="1"/>
  <c r="A83" i="131" s="1"/>
  <c r="A84" i="131" s="1"/>
  <c r="A85" i="131" s="1"/>
  <c r="A86" i="131" s="1"/>
  <c r="A87" i="131" s="1"/>
  <c r="A88" i="131" s="1"/>
  <c r="A89" i="131" s="1"/>
  <c r="A90" i="131" s="1"/>
  <c r="A91" i="131" s="1"/>
  <c r="A92" i="131" s="1"/>
  <c r="A93" i="131" s="1"/>
  <c r="A94" i="131" s="1"/>
  <c r="A95" i="131" s="1"/>
  <c r="A96" i="131" s="1"/>
  <c r="A97" i="131" s="1"/>
  <c r="A98" i="131" s="1"/>
  <c r="A99" i="131" s="1"/>
  <c r="A100" i="131" s="1"/>
  <c r="A101" i="131" s="1"/>
  <c r="A102" i="131" s="1"/>
  <c r="A103" i="131" s="1"/>
  <c r="A104" i="131" s="1"/>
  <c r="A105" i="131" s="1"/>
  <c r="A106" i="131" s="1"/>
  <c r="A109" i="131" s="1"/>
  <c r="A110" i="131" s="1"/>
  <c r="A111" i="131" s="1"/>
  <c r="A112" i="131" s="1"/>
  <c r="A113" i="131" s="1"/>
  <c r="A114" i="131" s="1"/>
  <c r="A115" i="131" s="1"/>
  <c r="A116" i="131" s="1"/>
  <c r="A117" i="131" s="1"/>
  <c r="A118" i="131" s="1"/>
  <c r="A119" i="131" s="1"/>
  <c r="A120" i="131" s="1"/>
  <c r="A121" i="131" s="1"/>
  <c r="A122" i="131" s="1"/>
  <c r="A123" i="131" s="1"/>
  <c r="A124" i="131" s="1"/>
  <c r="A125" i="131" s="1"/>
  <c r="A129" i="131" s="1"/>
  <c r="A130" i="131" s="1"/>
  <c r="A131" i="131" s="1"/>
  <c r="A132" i="131" s="1"/>
  <c r="A133" i="131" s="1"/>
  <c r="A134" i="131" s="1"/>
  <c r="A135" i="131" s="1"/>
  <c r="A136" i="131" s="1"/>
  <c r="A137" i="131" s="1"/>
  <c r="A138" i="131" s="1"/>
  <c r="A139" i="131" s="1"/>
  <c r="A140" i="131" s="1"/>
  <c r="A141" i="131" s="1"/>
  <c r="A142" i="131" s="1"/>
  <c r="A143" i="131" s="1"/>
  <c r="A144" i="131" s="1"/>
  <c r="A145" i="131" s="1"/>
  <c r="A146" i="131" s="1"/>
  <c r="A147" i="131" s="1"/>
  <c r="A148" i="131" s="1"/>
  <c r="A149" i="131" s="1"/>
  <c r="A150" i="131" s="1"/>
  <c r="A151" i="131" s="1"/>
  <c r="A152" i="131" s="1"/>
  <c r="A153" i="131" s="1"/>
  <c r="A154" i="131" s="1"/>
  <c r="A155" i="131" s="1"/>
  <c r="A156" i="131" s="1"/>
  <c r="A157" i="131" s="1"/>
  <c r="A158" i="131" s="1"/>
  <c r="A159" i="131" s="1"/>
  <c r="A160" i="131" s="1"/>
  <c r="A161" i="131" s="1"/>
  <c r="A162" i="131" s="1"/>
  <c r="A163" i="131" s="1"/>
  <c r="A164" i="131" s="1"/>
  <c r="A165" i="131" s="1"/>
  <c r="A166" i="131" s="1"/>
  <c r="A167" i="131" s="1"/>
  <c r="A168" i="131" s="1"/>
  <c r="A169" i="131" s="1"/>
  <c r="A170" i="131" s="1"/>
  <c r="A174" i="131" s="1"/>
  <c r="A175" i="131" s="1"/>
  <c r="A176" i="131" s="1"/>
  <c r="A177" i="131" s="1"/>
  <c r="A178" i="131" s="1"/>
  <c r="A179" i="131" s="1"/>
  <c r="A180" i="131" s="1"/>
  <c r="A181" i="131" s="1"/>
  <c r="A182" i="131" s="1"/>
  <c r="A183" i="131" s="1"/>
  <c r="A184" i="131" s="1"/>
  <c r="A185" i="131" s="1"/>
  <c r="A186" i="131" s="1"/>
  <c r="A187" i="131" s="1"/>
  <c r="A188" i="131" s="1"/>
  <c r="A189" i="131" s="1"/>
  <c r="A190" i="131" s="1"/>
  <c r="A191" i="131" s="1"/>
  <c r="A192" i="131" s="1"/>
  <c r="A193" i="131" s="1"/>
  <c r="A194" i="131" s="1"/>
  <c r="A195" i="131" s="1"/>
  <c r="A196" i="131" s="1"/>
  <c r="A197" i="131" s="1"/>
  <c r="A198" i="131" s="1"/>
  <c r="A199" i="131" s="1"/>
  <c r="A200" i="131" s="1"/>
  <c r="A201" i="131" s="1"/>
  <c r="A202" i="131" s="1"/>
  <c r="A203" i="131" s="1"/>
  <c r="A204" i="131" s="1"/>
  <c r="A205" i="131" s="1"/>
  <c r="A206" i="131" s="1"/>
  <c r="A207" i="131" s="1"/>
  <c r="A208" i="131" s="1"/>
  <c r="A209" i="131" s="1"/>
  <c r="A210" i="131" s="1"/>
  <c r="A211" i="131" s="1"/>
  <c r="A212" i="131" s="1"/>
  <c r="A213" i="131" s="1"/>
  <c r="A214" i="131" s="1"/>
  <c r="A215" i="131" s="1"/>
  <c r="A216" i="131" s="1"/>
  <c r="A217" i="131" s="1"/>
  <c r="A218" i="131" s="1"/>
  <c r="A219" i="131" s="1"/>
  <c r="A220" i="131" s="1"/>
  <c r="A221" i="131" s="1"/>
  <c r="A222" i="131" s="1"/>
  <c r="A223" i="131" s="1"/>
  <c r="A224" i="131" s="1"/>
  <c r="A225" i="131" s="1"/>
  <c r="A226" i="131" s="1"/>
  <c r="A227" i="131" s="1"/>
  <c r="A228" i="131" s="1"/>
  <c r="A229" i="131" s="1"/>
  <c r="A230" i="131" s="1"/>
  <c r="A231" i="131" s="1"/>
  <c r="A232" i="131" s="1"/>
  <c r="A233" i="131" s="1"/>
  <c r="A234" i="131" s="1"/>
  <c r="A235" i="131" s="1"/>
  <c r="A236" i="131" s="1"/>
  <c r="A237" i="131" s="1"/>
  <c r="A238" i="131" s="1"/>
  <c r="A239" i="131" s="1"/>
  <c r="A240" i="131" s="1"/>
  <c r="A241" i="131" s="1"/>
  <c r="A242" i="131" s="1"/>
  <c r="A243" i="131" s="1"/>
  <c r="A244" i="131" s="1"/>
  <c r="A245" i="131" s="1"/>
  <c r="A246" i="131" s="1"/>
  <c r="A247" i="131" s="1"/>
  <c r="A248" i="131" s="1"/>
  <c r="A249" i="131" s="1"/>
  <c r="A250" i="131" s="1"/>
  <c r="A251" i="131" s="1"/>
  <c r="A252" i="131" s="1"/>
  <c r="A259" i="131" s="1"/>
  <c r="A260" i="131" s="1"/>
  <c r="A261" i="131" s="1"/>
  <c r="A262" i="131" s="1"/>
  <c r="A263" i="131" s="1"/>
  <c r="A264" i="131" s="1"/>
  <c r="A265" i="131" s="1"/>
  <c r="A266" i="131" s="1"/>
  <c r="A267" i="131" s="1"/>
  <c r="A268" i="131" s="1"/>
  <c r="A269" i="131" s="1"/>
  <c r="A270" i="131" s="1"/>
  <c r="A271" i="131" s="1"/>
  <c r="A272" i="131" s="1"/>
  <c r="A273" i="131" s="1"/>
  <c r="A274" i="131" s="1"/>
  <c r="A275" i="131" s="1"/>
  <c r="A276" i="131" s="1"/>
  <c r="A277" i="131" s="1"/>
  <c r="A278" i="131" s="1"/>
  <c r="A279" i="131" s="1"/>
  <c r="A280" i="131" s="1"/>
  <c r="A281" i="131" s="1"/>
  <c r="A282" i="131" s="1"/>
  <c r="A283" i="131" s="1"/>
  <c r="A284" i="131" s="1"/>
  <c r="A285" i="131" s="1"/>
  <c r="A286" i="131" s="1"/>
  <c r="A287" i="131" s="1"/>
  <c r="A288" i="131" s="1"/>
  <c r="A289" i="131" s="1"/>
  <c r="A290" i="131" s="1"/>
  <c r="A291" i="131" s="1"/>
  <c r="A292" i="131" s="1"/>
  <c r="A293" i="131" s="1"/>
  <c r="A294" i="131" s="1"/>
  <c r="A295" i="131" s="1"/>
  <c r="A296" i="131" s="1"/>
  <c r="A297" i="131" s="1"/>
  <c r="A298" i="131" s="1"/>
  <c r="A299" i="131" s="1"/>
  <c r="A300" i="131" s="1"/>
  <c r="A301" i="131" s="1"/>
  <c r="A302" i="131" s="1"/>
  <c r="A303" i="131" s="1"/>
  <c r="A304" i="131" s="1"/>
  <c r="A305" i="131" s="1"/>
  <c r="A306" i="131" s="1"/>
  <c r="A307" i="131" s="1"/>
  <c r="A308" i="131" s="1"/>
  <c r="A309" i="131" s="1"/>
  <c r="A310" i="131" s="1"/>
  <c r="A311" i="131" s="1"/>
  <c r="A312" i="131" s="1"/>
  <c r="A313" i="131" s="1"/>
  <c r="A318" i="131" s="1"/>
  <c r="A319" i="131" s="1"/>
  <c r="A320" i="131" s="1"/>
  <c r="A321" i="131" s="1"/>
  <c r="A322" i="131" s="1"/>
  <c r="A323" i="131" s="1"/>
  <c r="A324" i="131" s="1"/>
  <c r="A325" i="131" s="1"/>
  <c r="A326" i="131" s="1"/>
  <c r="A327" i="131" s="1"/>
  <c r="A328" i="131" s="1"/>
  <c r="A329" i="131" s="1"/>
  <c r="A330" i="131" s="1"/>
  <c r="A331" i="131" s="1"/>
  <c r="A332" i="131" s="1"/>
  <c r="A333" i="131" s="1"/>
  <c r="A334" i="131" s="1"/>
  <c r="A335" i="131" s="1"/>
  <c r="A336" i="131" s="1"/>
  <c r="A337" i="131" s="1"/>
  <c r="A338" i="131" s="1"/>
  <c r="A339" i="131" s="1"/>
  <c r="A340" i="131" s="1"/>
  <c r="A341" i="131" s="1"/>
  <c r="A342" i="131" s="1"/>
  <c r="A343" i="131" s="1"/>
  <c r="A344" i="131" s="1"/>
  <c r="A345" i="131" s="1"/>
  <c r="A346" i="131" s="1"/>
  <c r="A351" i="131" s="1"/>
  <c r="A352" i="131" s="1"/>
  <c r="A353" i="131" s="1"/>
  <c r="A354" i="131" s="1"/>
  <c r="A355" i="131" s="1"/>
  <c r="A356" i="131" s="1"/>
  <c r="A357" i="131" s="1"/>
  <c r="A358" i="131" s="1"/>
  <c r="A361" i="131" s="1"/>
  <c r="A362" i="131" s="1"/>
  <c r="A363" i="131" s="1"/>
  <c r="A364" i="131" s="1"/>
  <c r="A365" i="131" s="1"/>
  <c r="A366" i="131" s="1"/>
  <c r="A367" i="131" s="1"/>
  <c r="A368" i="131" s="1"/>
  <c r="A369" i="131" s="1"/>
  <c r="A370" i="131" s="1"/>
  <c r="A371" i="131" s="1"/>
  <c r="A372" i="131" s="1"/>
  <c r="A373" i="131" s="1"/>
  <c r="A374" i="131" s="1"/>
  <c r="A375" i="131" s="1"/>
  <c r="A376" i="131" s="1"/>
  <c r="A377" i="131" s="1"/>
  <c r="A378" i="131" s="1"/>
  <c r="A379" i="131" s="1"/>
  <c r="A382" i="131" s="1"/>
  <c r="A383" i="131" s="1"/>
  <c r="A384" i="131" s="1"/>
  <c r="A385" i="131" s="1"/>
  <c r="A386" i="131" s="1"/>
  <c r="A387" i="131" s="1"/>
  <c r="A388" i="131" s="1"/>
  <c r="A389" i="131" s="1"/>
  <c r="A393" i="131" s="1"/>
  <c r="A394" i="131" s="1"/>
  <c r="A395" i="131" s="1"/>
  <c r="A396" i="131" s="1"/>
  <c r="A397" i="131" s="1"/>
  <c r="A398" i="131" s="1"/>
  <c r="A399" i="131" s="1"/>
  <c r="A400" i="131" s="1"/>
  <c r="A401" i="131" s="1"/>
  <c r="A402" i="131" s="1"/>
  <c r="A403" i="131" s="1"/>
  <c r="A404" i="131" s="1"/>
  <c r="A405" i="131" s="1"/>
  <c r="A406" i="131" s="1"/>
  <c r="A407" i="131" s="1"/>
  <c r="A408" i="131" s="1"/>
  <c r="A409" i="131" s="1"/>
  <c r="A410" i="131" s="1"/>
  <c r="A411" i="131" s="1"/>
  <c r="A412" i="131" s="1"/>
  <c r="A417" i="131" s="1"/>
  <c r="A418" i="131" s="1"/>
  <c r="A419" i="131" s="1"/>
  <c r="A420" i="131" s="1"/>
  <c r="A421" i="131" s="1"/>
  <c r="A422" i="131" s="1"/>
  <c r="A423" i="131" s="1"/>
  <c r="A424" i="131" s="1"/>
  <c r="A425" i="131" s="1"/>
  <c r="A426" i="131" s="1"/>
  <c r="A427" i="131" s="1"/>
  <c r="A428" i="131" s="1"/>
  <c r="A429" i="131" s="1"/>
  <c r="A430" i="131" s="1"/>
  <c r="A433" i="131" s="1"/>
  <c r="A434" i="131" s="1"/>
  <c r="A435" i="131" s="1"/>
  <c r="A436" i="131" s="1"/>
  <c r="A437" i="131" s="1"/>
  <c r="A438" i="131" s="1"/>
  <c r="A439" i="131" s="1"/>
  <c r="A440" i="131" s="1"/>
  <c r="A441" i="131" s="1"/>
  <c r="A442" i="131" s="1"/>
  <c r="A443" i="131" s="1"/>
  <c r="A444" i="131" s="1"/>
  <c r="A445" i="131" s="1"/>
  <c r="A446" i="131" s="1"/>
  <c r="A447" i="131" s="1"/>
  <c r="A448" i="131" s="1"/>
  <c r="A449" i="131" s="1"/>
  <c r="A450" i="131" s="1"/>
  <c r="A454" i="131" s="1"/>
  <c r="A455" i="131" s="1"/>
  <c r="A456" i="131" s="1"/>
  <c r="A457" i="131" s="1"/>
  <c r="A458" i="131" s="1"/>
  <c r="A459" i="131" s="1"/>
  <c r="A460" i="131" s="1"/>
  <c r="A461" i="131" s="1"/>
  <c r="A462" i="131" s="1"/>
  <c r="A463" i="131" s="1"/>
  <c r="A464" i="131" s="1"/>
  <c r="A465" i="131" s="1"/>
  <c r="A466" i="131" s="1"/>
  <c r="A467" i="131" s="1"/>
  <c r="A468" i="131" s="1"/>
  <c r="A469" i="131" s="1"/>
  <c r="A470" i="131" s="1"/>
  <c r="A471" i="131" s="1"/>
  <c r="A472" i="131" s="1"/>
  <c r="A473" i="131" s="1"/>
  <c r="A474" i="131" s="1"/>
  <c r="A475" i="131" s="1"/>
  <c r="A476" i="131" s="1"/>
  <c r="A477" i="131" s="1"/>
  <c r="A478" i="131" s="1"/>
  <c r="A479" i="131" s="1"/>
  <c r="A480" i="131" s="1"/>
  <c r="A481" i="131" s="1"/>
  <c r="A482" i="131" s="1"/>
  <c r="A483" i="131" s="1"/>
  <c r="A484" i="131" s="1"/>
  <c r="A485" i="131" s="1"/>
  <c r="A486" i="131" s="1"/>
  <c r="A487" i="131" s="1"/>
  <c r="A488" i="131" s="1"/>
  <c r="A489" i="131" s="1"/>
  <c r="A490" i="131" s="1"/>
  <c r="A491" i="131" s="1"/>
  <c r="A495" i="131" s="1"/>
  <c r="A496" i="131" s="1"/>
  <c r="A497" i="131" s="1"/>
  <c r="A498" i="131" s="1"/>
  <c r="A499" i="131" s="1"/>
  <c r="A500" i="131" s="1"/>
  <c r="A501" i="131" s="1"/>
  <c r="A502" i="131" s="1"/>
  <c r="A503" i="131" s="1"/>
  <c r="A504" i="131" s="1"/>
  <c r="A505" i="131" s="1"/>
  <c r="A506" i="131" s="1"/>
  <c r="A507" i="131" s="1"/>
  <c r="A508" i="131" s="1"/>
  <c r="A509" i="131" s="1"/>
  <c r="A510" i="131" s="1"/>
  <c r="A511" i="131" s="1"/>
  <c r="A512" i="131" s="1"/>
  <c r="A513" i="131" s="1"/>
  <c r="A514" i="131" s="1"/>
  <c r="A515" i="131" s="1"/>
  <c r="A516" i="131" s="1"/>
  <c r="A517" i="131" s="1"/>
  <c r="A518" i="131" s="1"/>
  <c r="A519" i="131" s="1"/>
  <c r="A520" i="131" s="1"/>
  <c r="A521" i="131" s="1"/>
  <c r="A522" i="131" s="1"/>
  <c r="A527" i="131" s="1"/>
  <c r="A528" i="131" s="1"/>
  <c r="A529" i="131" s="1"/>
  <c r="A530" i="131" s="1"/>
  <c r="A531" i="131" s="1"/>
  <c r="A532" i="131" s="1"/>
  <c r="A533" i="131" s="1"/>
  <c r="A534" i="131" s="1"/>
  <c r="A535" i="131" s="1"/>
  <c r="A536" i="131" s="1"/>
  <c r="A537" i="131" s="1"/>
  <c r="A538" i="131" s="1"/>
  <c r="A539" i="131" s="1"/>
  <c r="A540" i="131" s="1"/>
  <c r="A541" i="131" s="1"/>
  <c r="A542" i="131" s="1"/>
  <c r="A543" i="131" s="1"/>
  <c r="A544" i="131" s="1"/>
  <c r="A545" i="131" s="1"/>
  <c r="A546" i="131" s="1"/>
  <c r="A547" i="131" s="1"/>
  <c r="A548" i="131" s="1"/>
  <c r="A549" i="131" s="1"/>
  <c r="A550" i="131" s="1"/>
  <c r="A551" i="131" s="1"/>
  <c r="A552" i="131" s="1"/>
  <c r="A553" i="131" s="1"/>
  <c r="A554" i="131" s="1"/>
  <c r="A555" i="131" s="1"/>
  <c r="A556" i="131" s="1"/>
  <c r="A557" i="131" s="1"/>
  <c r="A558" i="131" s="1"/>
  <c r="A559" i="131" s="1"/>
  <c r="A560" i="131" s="1"/>
  <c r="A561" i="131" s="1"/>
  <c r="A562" i="131" s="1"/>
  <c r="A563" i="131" s="1"/>
  <c r="A564" i="131" s="1"/>
  <c r="A565" i="131" s="1"/>
  <c r="A566" i="131" s="1"/>
  <c r="A567" i="131" s="1"/>
  <c r="A568" i="131" s="1"/>
  <c r="A569" i="131" s="1"/>
  <c r="A570" i="131" s="1"/>
  <c r="A571" i="131" s="1"/>
  <c r="A572" i="131" s="1"/>
  <c r="A573" i="131" s="1"/>
  <c r="A574" i="131" s="1"/>
  <c r="A575" i="131" s="1"/>
  <c r="A576" i="131" s="1"/>
  <c r="A577" i="131" s="1"/>
  <c r="A578" i="131" s="1"/>
  <c r="A579" i="131" s="1"/>
  <c r="A580" i="131" s="1"/>
  <c r="A581" i="131" s="1"/>
  <c r="A582" i="131" s="1"/>
  <c r="A583" i="131" s="1"/>
  <c r="A584" i="131" s="1"/>
  <c r="A585" i="131" s="1"/>
  <c r="A586" i="131" s="1"/>
  <c r="A587" i="131" s="1"/>
  <c r="A588" i="131" s="1"/>
  <c r="A589" i="131" s="1"/>
  <c r="A590" i="131" s="1"/>
  <c r="A591" i="131" s="1"/>
  <c r="A592" i="131" s="1"/>
  <c r="A593" i="131" s="1"/>
  <c r="A594" i="131" s="1"/>
  <c r="A595" i="131" s="1"/>
  <c r="A596" i="131" s="1"/>
  <c r="A597" i="131" s="1"/>
  <c r="A598" i="131" s="1"/>
  <c r="A599" i="131" s="1"/>
  <c r="A600" i="131" s="1"/>
  <c r="A601" i="131" s="1"/>
  <c r="A604" i="131" s="1"/>
  <c r="A605" i="131" s="1"/>
  <c r="A606" i="131" s="1"/>
  <c r="A607" i="131" s="1"/>
  <c r="A608" i="131" s="1"/>
  <c r="A609" i="131" s="1"/>
  <c r="A610" i="131" s="1"/>
  <c r="A611" i="131" s="1"/>
  <c r="A612" i="131" s="1"/>
  <c r="A615" i="131" s="1"/>
  <c r="A616" i="131" s="1"/>
  <c r="A617" i="131" s="1"/>
  <c r="A618" i="131" s="1"/>
  <c r="A619" i="131" s="1"/>
  <c r="A620" i="131" s="1"/>
  <c r="A621" i="131" s="1"/>
  <c r="A622" i="131" s="1"/>
  <c r="A623" i="131" s="1"/>
  <c r="A624" i="131" s="1"/>
  <c r="A625" i="131" s="1"/>
  <c r="A626" i="131" s="1"/>
  <c r="A627" i="131" s="1"/>
  <c r="A628" i="131" s="1"/>
  <c r="A629" i="131" s="1"/>
  <c r="A630" i="131" s="1"/>
  <c r="A633" i="131" s="1"/>
  <c r="A634" i="131" s="1"/>
  <c r="A635" i="131" s="1"/>
  <c r="A636" i="131" s="1"/>
  <c r="A637" i="131" s="1"/>
  <c r="H7" i="131"/>
  <c r="I7" i="131" s="1"/>
  <c r="A49" i="53" l="1"/>
  <c r="H85" i="133"/>
  <c r="D216" i="133" s="1"/>
  <c r="H99" i="133"/>
  <c r="D218" i="133" s="1"/>
  <c r="H20" i="133"/>
  <c r="D209" i="133" s="1"/>
  <c r="H75" i="133"/>
  <c r="D214" i="133" s="1"/>
  <c r="H143" i="133"/>
  <c r="D228" i="133" s="1"/>
  <c r="H6" i="133"/>
  <c r="D206" i="133" s="1"/>
  <c r="H70" i="133"/>
  <c r="D213" i="133" s="1"/>
  <c r="H80" i="133"/>
  <c r="D215" i="133" s="1"/>
  <c r="H134" i="133"/>
  <c r="D226" i="133" s="1"/>
  <c r="H93" i="133"/>
  <c r="D217" i="133" s="1"/>
  <c r="H106" i="133"/>
  <c r="D219" i="133" s="1"/>
  <c r="H138" i="133"/>
  <c r="D227" i="133" s="1"/>
  <c r="H167" i="133"/>
  <c r="D232" i="133" s="1"/>
  <c r="H14" i="133"/>
  <c r="D208" i="133" s="1"/>
  <c r="H52" i="133"/>
  <c r="D210" i="133" s="1"/>
  <c r="H60" i="133"/>
  <c r="D211" i="133" s="1"/>
  <c r="H123" i="133"/>
  <c r="D223" i="133" s="1"/>
  <c r="H155" i="133"/>
  <c r="D231" i="133" s="1"/>
  <c r="B126" i="129"/>
  <c r="B124" i="129"/>
  <c r="B123" i="129"/>
  <c r="B122" i="129"/>
  <c r="B121" i="129"/>
  <c r="B120" i="129"/>
  <c r="B119" i="129"/>
  <c r="B118" i="129"/>
  <c r="B116" i="129"/>
  <c r="B115" i="129"/>
  <c r="B114" i="129"/>
  <c r="B113" i="129"/>
  <c r="B112" i="129"/>
  <c r="B111" i="129"/>
  <c r="B110" i="129"/>
  <c r="B109" i="129"/>
  <c r="G69" i="128"/>
  <c r="C199" i="128"/>
  <c r="C198" i="128"/>
  <c r="B197" i="128"/>
  <c r="B198" i="128" s="1"/>
  <c r="B199" i="128" s="1"/>
  <c r="B200" i="128" s="1"/>
  <c r="B201" i="128" s="1"/>
  <c r="B202" i="128" s="1"/>
  <c r="B203" i="128" s="1"/>
  <c r="B204" i="128" s="1"/>
  <c r="B205" i="128" s="1"/>
  <c r="B206" i="128" s="1"/>
  <c r="B207" i="128" s="1"/>
  <c r="B208" i="128" s="1"/>
  <c r="B209" i="128" s="1"/>
  <c r="B210" i="128" s="1"/>
  <c r="B211" i="128" s="1"/>
  <c r="B212" i="128" s="1"/>
  <c r="B213" i="128" s="1"/>
  <c r="B214" i="128" s="1"/>
  <c r="B215" i="128" s="1"/>
  <c r="B216" i="128" s="1"/>
  <c r="B217" i="128" s="1"/>
  <c r="B218" i="128" s="1"/>
  <c r="B219" i="128" s="1"/>
  <c r="B220" i="128" s="1"/>
  <c r="B221" i="128" s="1"/>
  <c r="B222" i="128" s="1"/>
  <c r="G165" i="128"/>
  <c r="G142" i="128"/>
  <c r="G14" i="128"/>
  <c r="G28" i="128"/>
  <c r="G37" i="128"/>
  <c r="G50" i="128"/>
  <c r="G80" i="128"/>
  <c r="G27" i="128"/>
  <c r="G52" i="128"/>
  <c r="A50" i="53" l="1"/>
  <c r="D234" i="133"/>
  <c r="H170" i="133"/>
  <c r="G20" i="128"/>
  <c r="G19" i="128"/>
  <c r="G18" i="128"/>
  <c r="G41" i="128"/>
  <c r="G32" i="128"/>
  <c r="G122" i="128"/>
  <c r="A51" i="53" l="1"/>
  <c r="H20" i="128"/>
  <c r="D199" i="128" s="1"/>
  <c r="A52" i="53" l="1"/>
  <c r="C197" i="128"/>
  <c r="A53" i="53" l="1"/>
  <c r="G98" i="128"/>
  <c r="G49" i="128"/>
  <c r="A54" i="53" l="1"/>
  <c r="G83" i="128"/>
  <c r="G56" i="128"/>
  <c r="A110" i="129"/>
  <c r="A111" i="129" s="1"/>
  <c r="A112" i="129" s="1"/>
  <c r="A113" i="129" s="1"/>
  <c r="A114" i="129" s="1"/>
  <c r="A115" i="129" s="1"/>
  <c r="A116" i="129" s="1"/>
  <c r="A117" i="129" s="1"/>
  <c r="A118" i="129" s="1"/>
  <c r="A119" i="129" s="1"/>
  <c r="A120" i="129" s="1"/>
  <c r="A121" i="129" s="1"/>
  <c r="A122" i="129" s="1"/>
  <c r="A123" i="129" s="1"/>
  <c r="A124" i="129" s="1"/>
  <c r="A125" i="129" s="1"/>
  <c r="A126" i="129" s="1"/>
  <c r="B125" i="129"/>
  <c r="F93" i="129"/>
  <c r="G93" i="129" s="1"/>
  <c r="C125" i="129" s="1"/>
  <c r="A55" i="53" l="1"/>
  <c r="F52" i="129"/>
  <c r="F51" i="129"/>
  <c r="G92" i="128"/>
  <c r="G51" i="128"/>
  <c r="G133" i="128"/>
  <c r="G40" i="128"/>
  <c r="G39" i="128"/>
  <c r="C216" i="128"/>
  <c r="B117" i="129"/>
  <c r="G135" i="128"/>
  <c r="G134" i="128"/>
  <c r="C215" i="128"/>
  <c r="G130" i="128"/>
  <c r="H130" i="128" s="1"/>
  <c r="D215" i="128" s="1"/>
  <c r="G29" i="128"/>
  <c r="C205" i="128"/>
  <c r="G79" i="128"/>
  <c r="H80" i="128" s="1"/>
  <c r="E164" i="128"/>
  <c r="G164" i="128" s="1"/>
  <c r="G75" i="128"/>
  <c r="G30" i="128"/>
  <c r="G43" i="128"/>
  <c r="F34" i="129"/>
  <c r="C219" i="128"/>
  <c r="G147" i="128"/>
  <c r="H147" i="128" s="1"/>
  <c r="D219" i="128" s="1"/>
  <c r="G59" i="128"/>
  <c r="G25" i="128"/>
  <c r="G35" i="128"/>
  <c r="G45" i="128"/>
  <c r="G46" i="128"/>
  <c r="G24" i="128"/>
  <c r="F12" i="129"/>
  <c r="G12" i="129" s="1"/>
  <c r="C110" i="129" s="1"/>
  <c r="A56" i="53" l="1"/>
  <c r="G52" i="129"/>
  <c r="C118" i="129" s="1"/>
  <c r="D205" i="128"/>
  <c r="H135" i="128"/>
  <c r="D216" i="128" s="1"/>
  <c r="A57" i="53" l="1"/>
  <c r="F90" i="129"/>
  <c r="G163" i="128"/>
  <c r="F35" i="129"/>
  <c r="F36" i="129"/>
  <c r="F8" i="129"/>
  <c r="F9" i="129"/>
  <c r="F6" i="129"/>
  <c r="F7" i="129"/>
  <c r="F97" i="129"/>
  <c r="G97" i="129" s="1"/>
  <c r="C126" i="129" s="1"/>
  <c r="F88" i="129"/>
  <c r="F89" i="129"/>
  <c r="F58" i="129"/>
  <c r="G58" i="129" s="1"/>
  <c r="C120" i="129" s="1"/>
  <c r="F15" i="129"/>
  <c r="F62" i="129"/>
  <c r="F68" i="129"/>
  <c r="F69" i="129"/>
  <c r="F66" i="129"/>
  <c r="F67" i="129"/>
  <c r="F61" i="129"/>
  <c r="F65" i="129"/>
  <c r="F64" i="129"/>
  <c r="F63" i="129"/>
  <c r="F41" i="129"/>
  <c r="F43" i="129"/>
  <c r="F40" i="129"/>
  <c r="F42" i="129"/>
  <c r="F48" i="129"/>
  <c r="F46" i="129"/>
  <c r="F47" i="129"/>
  <c r="F75" i="129"/>
  <c r="F77" i="129"/>
  <c r="F76" i="129"/>
  <c r="F73" i="129"/>
  <c r="F74" i="129"/>
  <c r="F23" i="129"/>
  <c r="F20" i="129"/>
  <c r="F22" i="129"/>
  <c r="F21" i="129"/>
  <c r="F19" i="129"/>
  <c r="F26" i="129"/>
  <c r="G26" i="129" s="1"/>
  <c r="C113" i="129" s="1"/>
  <c r="F30" i="129"/>
  <c r="F29" i="129"/>
  <c r="F81" i="129"/>
  <c r="F83" i="129"/>
  <c r="F84" i="129"/>
  <c r="F82" i="129"/>
  <c r="F55" i="129"/>
  <c r="G55" i="129" s="1"/>
  <c r="C119" i="129" s="1"/>
  <c r="F33" i="129"/>
  <c r="F37" i="129"/>
  <c r="A58" i="53" l="1"/>
  <c r="G90" i="129"/>
  <c r="C124" i="129" s="1"/>
  <c r="G37" i="129"/>
  <c r="C115" i="129" s="1"/>
  <c r="G48" i="129"/>
  <c r="C117" i="129" s="1"/>
  <c r="G84" i="129"/>
  <c r="C123" i="129" s="1"/>
  <c r="G30" i="129"/>
  <c r="C114" i="129" s="1"/>
  <c r="G23" i="129"/>
  <c r="C112" i="129" s="1"/>
  <c r="G77" i="129"/>
  <c r="C122" i="129" s="1"/>
  <c r="G43" i="129"/>
  <c r="C116" i="129" s="1"/>
  <c r="G69" i="129"/>
  <c r="C121" i="129" s="1"/>
  <c r="G9" i="129"/>
  <c r="A59" i="53" l="1"/>
  <c r="C109" i="129"/>
  <c r="C202" i="128"/>
  <c r="G65" i="128"/>
  <c r="H65" i="128" s="1"/>
  <c r="D202" i="128" s="1"/>
  <c r="G26" i="128"/>
  <c r="G15" i="129"/>
  <c r="C111" i="129" s="1"/>
  <c r="C222" i="128"/>
  <c r="C221" i="128"/>
  <c r="C220" i="128"/>
  <c r="C218" i="128"/>
  <c r="C217" i="128"/>
  <c r="C214" i="128"/>
  <c r="C213" i="128"/>
  <c r="C212" i="128"/>
  <c r="C211" i="128"/>
  <c r="C210" i="128"/>
  <c r="C209" i="128"/>
  <c r="C208" i="128"/>
  <c r="C207" i="128"/>
  <c r="C206" i="128"/>
  <c r="C204" i="128"/>
  <c r="C203" i="128"/>
  <c r="C201" i="128"/>
  <c r="C200" i="128"/>
  <c r="C196" i="128"/>
  <c r="G48" i="128"/>
  <c r="G38" i="128"/>
  <c r="G84" i="128"/>
  <c r="G150" i="128"/>
  <c r="H150" i="128" s="1"/>
  <c r="D220" i="128" s="1"/>
  <c r="G97" i="128"/>
  <c r="G99" i="128"/>
  <c r="G106" i="128"/>
  <c r="G105" i="128"/>
  <c r="G103" i="128"/>
  <c r="G104" i="128"/>
  <c r="G169" i="128"/>
  <c r="G166" i="128"/>
  <c r="G171" i="128"/>
  <c r="G170" i="128"/>
  <c r="G167" i="128"/>
  <c r="G168" i="128"/>
  <c r="G117" i="128"/>
  <c r="H117" i="128" s="1"/>
  <c r="G34" i="128"/>
  <c r="G31" i="128"/>
  <c r="G47" i="128"/>
  <c r="G36" i="128"/>
  <c r="G42" i="128"/>
  <c r="G33" i="128"/>
  <c r="G9" i="128"/>
  <c r="H9" i="128" s="1"/>
  <c r="D197" i="128" s="1"/>
  <c r="G114" i="128"/>
  <c r="H114" i="128" s="1"/>
  <c r="D211" i="128" s="1"/>
  <c r="G138" i="128"/>
  <c r="G139" i="128"/>
  <c r="G110" i="128"/>
  <c r="H110" i="128" s="1"/>
  <c r="D210" i="128" s="1"/>
  <c r="G93" i="128"/>
  <c r="G91" i="128"/>
  <c r="G89" i="128"/>
  <c r="G90" i="128"/>
  <c r="G70" i="128"/>
  <c r="G74" i="128"/>
  <c r="G121" i="128"/>
  <c r="G123" i="128"/>
  <c r="G44" i="128"/>
  <c r="G60" i="128"/>
  <c r="G58" i="128"/>
  <c r="G57" i="128"/>
  <c r="G85" i="128"/>
  <c r="G6" i="128"/>
  <c r="G5" i="128"/>
  <c r="G13" i="128"/>
  <c r="H14" i="128" s="1"/>
  <c r="D198" i="128" s="1"/>
  <c r="G154" i="128"/>
  <c r="G127" i="128"/>
  <c r="H127" i="128" s="1"/>
  <c r="D214" i="128" s="1"/>
  <c r="G143" i="128"/>
  <c r="G153" i="128"/>
  <c r="G156" i="128"/>
  <c r="G155" i="128"/>
  <c r="G144" i="128"/>
  <c r="A60" i="53" l="1"/>
  <c r="H52" i="128"/>
  <c r="D200" i="128" s="1"/>
  <c r="H144" i="128"/>
  <c r="D218" i="128" s="1"/>
  <c r="H70" i="128"/>
  <c r="D203" i="128" s="1"/>
  <c r="G99" i="129"/>
  <c r="D212" i="128"/>
  <c r="H171" i="128"/>
  <c r="D222" i="128" s="1"/>
  <c r="H156" i="128"/>
  <c r="D221" i="128" s="1"/>
  <c r="H106" i="128"/>
  <c r="D209" i="128" s="1"/>
  <c r="H93" i="128"/>
  <c r="D207" i="128" s="1"/>
  <c r="H75" i="128"/>
  <c r="D204" i="128" s="1"/>
  <c r="H60" i="128"/>
  <c r="D201" i="128" s="1"/>
  <c r="H6" i="128"/>
  <c r="D196" i="128" s="1"/>
  <c r="H99" i="128"/>
  <c r="D208" i="128" s="1"/>
  <c r="H85" i="128"/>
  <c r="D206" i="128" s="1"/>
  <c r="H123" i="128"/>
  <c r="D213" i="128" s="1"/>
  <c r="H139" i="128"/>
  <c r="D217" i="128" s="1"/>
  <c r="J404" i="127"/>
  <c r="A61" i="53" l="1"/>
  <c r="C128" i="129"/>
  <c r="D224" i="128"/>
  <c r="H174" i="128"/>
  <c r="I475" i="127"/>
  <c r="A62" i="53" l="1"/>
  <c r="E37" i="125"/>
  <c r="F37" i="125" s="1"/>
  <c r="C37" i="125"/>
  <c r="B37" i="125"/>
  <c r="A37" i="125"/>
  <c r="E22" i="125"/>
  <c r="F22" i="125" s="1"/>
  <c r="C22" i="125"/>
  <c r="B22" i="125"/>
  <c r="A22" i="125"/>
  <c r="E21" i="125"/>
  <c r="F21" i="125" s="1"/>
  <c r="C21" i="125"/>
  <c r="B21" i="125"/>
  <c r="A21" i="125"/>
  <c r="F14" i="125"/>
  <c r="E13" i="125"/>
  <c r="F13" i="125" s="1"/>
  <c r="C13" i="125"/>
  <c r="B13" i="125"/>
  <c r="A13" i="125"/>
  <c r="F20" i="125"/>
  <c r="E31" i="125"/>
  <c r="F31" i="125" s="1"/>
  <c r="C31" i="125"/>
  <c r="B31" i="125"/>
  <c r="A31" i="125"/>
  <c r="E35" i="125"/>
  <c r="F35" i="125" s="1"/>
  <c r="C35" i="125"/>
  <c r="B35" i="125"/>
  <c r="A35" i="125"/>
  <c r="E30" i="125"/>
  <c r="F30" i="125" s="1"/>
  <c r="C30" i="125"/>
  <c r="B30" i="125"/>
  <c r="A30" i="125"/>
  <c r="E19" i="125"/>
  <c r="F19" i="125" s="1"/>
  <c r="C19" i="125"/>
  <c r="B19" i="125"/>
  <c r="A19" i="125"/>
  <c r="E18" i="125"/>
  <c r="F18" i="125" s="1"/>
  <c r="C18" i="125"/>
  <c r="B18" i="125"/>
  <c r="A18" i="125"/>
  <c r="E9" i="125"/>
  <c r="F9" i="125" s="1"/>
  <c r="C9" i="125"/>
  <c r="B9" i="125"/>
  <c r="A9" i="125"/>
  <c r="E12" i="125"/>
  <c r="F12" i="125" s="1"/>
  <c r="C12" i="125"/>
  <c r="B12" i="125"/>
  <c r="A12" i="125"/>
  <c r="E8" i="125"/>
  <c r="F8" i="125" s="1"/>
  <c r="C8" i="125"/>
  <c r="B8" i="125"/>
  <c r="A8" i="125"/>
  <c r="E40" i="125"/>
  <c r="F40" i="125" s="1"/>
  <c r="C40" i="125"/>
  <c r="B40" i="125"/>
  <c r="A40" i="125"/>
  <c r="E29" i="125"/>
  <c r="F29" i="125" s="1"/>
  <c r="C29" i="125"/>
  <c r="B29" i="125"/>
  <c r="A29" i="125"/>
  <c r="E16" i="125"/>
  <c r="F16" i="125" s="1"/>
  <c r="C16" i="125"/>
  <c r="B16" i="125"/>
  <c r="A16" i="125"/>
  <c r="E7" i="125"/>
  <c r="F7" i="125" s="1"/>
  <c r="C7" i="125"/>
  <c r="B7" i="125"/>
  <c r="A7" i="125"/>
  <c r="E34" i="125"/>
  <c r="F34" i="125" s="1"/>
  <c r="C34" i="125"/>
  <c r="B34" i="125"/>
  <c r="A34" i="125"/>
  <c r="E4" i="125"/>
  <c r="F4" i="125" s="1"/>
  <c r="C4" i="125"/>
  <c r="B4" i="125"/>
  <c r="A4" i="125"/>
  <c r="E28" i="125"/>
  <c r="F28" i="125" s="1"/>
  <c r="C28" i="125"/>
  <c r="B28" i="125"/>
  <c r="A28" i="125"/>
  <c r="E27" i="125"/>
  <c r="F27" i="125" s="1"/>
  <c r="C27" i="125"/>
  <c r="B27" i="125"/>
  <c r="A27" i="125"/>
  <c r="E33" i="125"/>
  <c r="F33" i="125" s="1"/>
  <c r="E11" i="125"/>
  <c r="F11" i="125" s="1"/>
  <c r="E39" i="125"/>
  <c r="F39" i="125" s="1"/>
  <c r="C39" i="125"/>
  <c r="B39" i="125"/>
  <c r="A39" i="125"/>
  <c r="E26" i="125"/>
  <c r="F26" i="125" s="1"/>
  <c r="C26" i="125"/>
  <c r="B26" i="125"/>
  <c r="A26" i="125"/>
  <c r="E25" i="125"/>
  <c r="F25" i="125" s="1"/>
  <c r="C25" i="125"/>
  <c r="B25" i="125"/>
  <c r="A25" i="125"/>
  <c r="E6" i="125"/>
  <c r="F6" i="125" s="1"/>
  <c r="C6" i="125"/>
  <c r="B6" i="125"/>
  <c r="A6" i="125"/>
  <c r="E24" i="125"/>
  <c r="F24" i="125" s="1"/>
  <c r="C24" i="125"/>
  <c r="B24" i="125"/>
  <c r="A24" i="125"/>
  <c r="A63" i="53" l="1"/>
  <c r="F42" i="125"/>
  <c r="K21" i="127"/>
  <c r="K22" i="127"/>
  <c r="K23" i="127"/>
  <c r="K24" i="127"/>
  <c r="K25" i="127"/>
  <c r="K26" i="127"/>
  <c r="K27" i="127"/>
  <c r="K28" i="127"/>
  <c r="K29" i="127"/>
  <c r="K30" i="127"/>
  <c r="K31" i="127"/>
  <c r="K32" i="127"/>
  <c r="K33" i="127"/>
  <c r="L33" i="127" s="1"/>
  <c r="K34" i="127"/>
  <c r="L34" i="127" s="1"/>
  <c r="K35" i="127"/>
  <c r="K36" i="127"/>
  <c r="K37" i="127"/>
  <c r="K38" i="127"/>
  <c r="L38" i="127" s="1"/>
  <c r="K39" i="127"/>
  <c r="K40" i="127"/>
  <c r="K41" i="127"/>
  <c r="L41" i="127" s="1"/>
  <c r="K42" i="127"/>
  <c r="L42" i="127" s="1"/>
  <c r="K43" i="127"/>
  <c r="K44" i="127"/>
  <c r="K45" i="127"/>
  <c r="K46" i="127"/>
  <c r="L46" i="127" s="1"/>
  <c r="K47" i="127"/>
  <c r="L47" i="127" s="1"/>
  <c r="K48" i="127"/>
  <c r="K49" i="127"/>
  <c r="K50" i="127"/>
  <c r="K51" i="127"/>
  <c r="K52" i="127"/>
  <c r="K53" i="127"/>
  <c r="L53" i="127" s="1"/>
  <c r="K54" i="127"/>
  <c r="L54" i="127" s="1"/>
  <c r="K55" i="127"/>
  <c r="K56" i="127"/>
  <c r="K57" i="127"/>
  <c r="K58" i="127"/>
  <c r="K59" i="127"/>
  <c r="K60" i="127"/>
  <c r="K61" i="127"/>
  <c r="K62" i="127"/>
  <c r="L62" i="127" s="1"/>
  <c r="K63" i="127"/>
  <c r="L63" i="127" s="1"/>
  <c r="K64" i="127"/>
  <c r="K65" i="127"/>
  <c r="K66" i="127"/>
  <c r="K67" i="127"/>
  <c r="K68" i="127"/>
  <c r="K69" i="127"/>
  <c r="K70" i="127"/>
  <c r="L70" i="127" s="1"/>
  <c r="K71" i="127"/>
  <c r="L71" i="127" s="1"/>
  <c r="K72" i="127"/>
  <c r="K73" i="127"/>
  <c r="K74" i="127"/>
  <c r="K75" i="127"/>
  <c r="K76" i="127"/>
  <c r="K77" i="127"/>
  <c r="L77" i="127" s="1"/>
  <c r="K78" i="127"/>
  <c r="L78" i="127" s="1"/>
  <c r="K79" i="127"/>
  <c r="K80" i="127"/>
  <c r="K81" i="127"/>
  <c r="K82" i="127"/>
  <c r="K83" i="127"/>
  <c r="K84" i="127"/>
  <c r="K85" i="127"/>
  <c r="L85" i="127" s="1"/>
  <c r="K86" i="127"/>
  <c r="L86" i="127" s="1"/>
  <c r="K87" i="127"/>
  <c r="K88" i="127"/>
  <c r="K89" i="127"/>
  <c r="K90" i="127"/>
  <c r="K91" i="127"/>
  <c r="K92" i="127"/>
  <c r="K93" i="127"/>
  <c r="K94" i="127"/>
  <c r="K95" i="127"/>
  <c r="K96" i="127"/>
  <c r="K97" i="127"/>
  <c r="K98" i="127"/>
  <c r="L98" i="127" s="1"/>
  <c r="K99" i="127"/>
  <c r="L99" i="127" s="1"/>
  <c r="K100" i="127"/>
  <c r="K101" i="127"/>
  <c r="K102" i="127"/>
  <c r="K103" i="127"/>
  <c r="K104" i="127"/>
  <c r="K105" i="127"/>
  <c r="K106" i="127"/>
  <c r="K107" i="127"/>
  <c r="K108" i="127"/>
  <c r="K109" i="127"/>
  <c r="K110" i="127"/>
  <c r="K111" i="127"/>
  <c r="K112" i="127"/>
  <c r="K113" i="127"/>
  <c r="K114" i="127"/>
  <c r="K115" i="127"/>
  <c r="K116" i="127"/>
  <c r="K117" i="127"/>
  <c r="K118" i="127"/>
  <c r="K119" i="127"/>
  <c r="K120" i="127"/>
  <c r="K121" i="127"/>
  <c r="K122" i="127"/>
  <c r="K123" i="127"/>
  <c r="K124" i="127"/>
  <c r="K125" i="127"/>
  <c r="K126" i="127"/>
  <c r="K127" i="127"/>
  <c r="K128" i="127"/>
  <c r="K129" i="127"/>
  <c r="K130" i="127"/>
  <c r="K131" i="127"/>
  <c r="K132" i="127"/>
  <c r="K133" i="127"/>
  <c r="K134" i="127"/>
  <c r="K135" i="127"/>
  <c r="K136" i="127"/>
  <c r="K137" i="127"/>
  <c r="K138" i="127"/>
  <c r="K139" i="127"/>
  <c r="K140" i="127"/>
  <c r="K141" i="127"/>
  <c r="L141" i="127" s="1"/>
  <c r="K142" i="127"/>
  <c r="K143" i="127"/>
  <c r="K144" i="127"/>
  <c r="K145" i="127"/>
  <c r="K146" i="127"/>
  <c r="K147" i="127"/>
  <c r="K148" i="127"/>
  <c r="K149" i="127"/>
  <c r="K150" i="127"/>
  <c r="K151" i="127"/>
  <c r="K152" i="127"/>
  <c r="K153" i="127"/>
  <c r="K154" i="127"/>
  <c r="K155" i="127"/>
  <c r="K156" i="127"/>
  <c r="K157" i="127"/>
  <c r="K158" i="127"/>
  <c r="K159" i="127"/>
  <c r="K160" i="127"/>
  <c r="K161" i="127"/>
  <c r="K162" i="127"/>
  <c r="K163" i="127"/>
  <c r="K164" i="127"/>
  <c r="K165" i="127"/>
  <c r="K166" i="127"/>
  <c r="K167" i="127"/>
  <c r="K168" i="127"/>
  <c r="K169" i="127"/>
  <c r="K170" i="127"/>
  <c r="K171" i="127"/>
  <c r="K172" i="127"/>
  <c r="K173" i="127"/>
  <c r="K174" i="127"/>
  <c r="K175" i="127"/>
  <c r="K176" i="127"/>
  <c r="K177" i="127"/>
  <c r="K178" i="127"/>
  <c r="K179" i="127"/>
  <c r="K180" i="127"/>
  <c r="K181" i="127"/>
  <c r="K182" i="127"/>
  <c r="K183" i="127"/>
  <c r="K184" i="127"/>
  <c r="K185" i="127"/>
  <c r="K186" i="127"/>
  <c r="K187" i="127"/>
  <c r="K188" i="127"/>
  <c r="K189" i="127"/>
  <c r="K190" i="127"/>
  <c r="K191" i="127"/>
  <c r="K192" i="127"/>
  <c r="K193" i="127"/>
  <c r="K194" i="127"/>
  <c r="K195" i="127"/>
  <c r="K196" i="127"/>
  <c r="K197" i="127"/>
  <c r="K198" i="127"/>
  <c r="K199" i="127"/>
  <c r="K200" i="127"/>
  <c r="K201" i="127"/>
  <c r="K202" i="127"/>
  <c r="K203" i="127"/>
  <c r="K204" i="127"/>
  <c r="K205" i="127"/>
  <c r="K206" i="127"/>
  <c r="K207" i="127"/>
  <c r="K208" i="127"/>
  <c r="K209" i="127"/>
  <c r="K210" i="127"/>
  <c r="K211" i="127"/>
  <c r="L211" i="127" s="1"/>
  <c r="K212" i="127"/>
  <c r="L212" i="127" s="1"/>
  <c r="K213" i="127"/>
  <c r="L213" i="127" s="1"/>
  <c r="K214" i="127"/>
  <c r="K215" i="127"/>
  <c r="K216" i="127"/>
  <c r="K217" i="127"/>
  <c r="K218" i="127"/>
  <c r="K219" i="127"/>
  <c r="L219" i="127" s="1"/>
  <c r="K220" i="127"/>
  <c r="L220" i="127" s="1"/>
  <c r="K221" i="127"/>
  <c r="K222" i="127"/>
  <c r="K223" i="127"/>
  <c r="K224" i="127"/>
  <c r="K225" i="127"/>
  <c r="K226" i="127"/>
  <c r="K227" i="127"/>
  <c r="K228" i="127"/>
  <c r="K229" i="127"/>
  <c r="K230" i="127"/>
  <c r="K231" i="127"/>
  <c r="K232" i="127"/>
  <c r="K233" i="127"/>
  <c r="K234" i="127"/>
  <c r="K235" i="127"/>
  <c r="L235" i="127" s="1"/>
  <c r="K236" i="127"/>
  <c r="L236" i="127" s="1"/>
  <c r="K237" i="127"/>
  <c r="L237" i="127" s="1"/>
  <c r="K238" i="127"/>
  <c r="K239" i="127"/>
  <c r="K240" i="127"/>
  <c r="K241" i="127"/>
  <c r="K242" i="127"/>
  <c r="K243" i="127"/>
  <c r="K244" i="127"/>
  <c r="L244" i="127" s="1"/>
  <c r="K245" i="127"/>
  <c r="L245" i="127" s="1"/>
  <c r="K246" i="127"/>
  <c r="K247" i="127"/>
  <c r="K248" i="127"/>
  <c r="K249" i="127"/>
  <c r="K250" i="127"/>
  <c r="K251" i="127"/>
  <c r="K252" i="127"/>
  <c r="K253" i="127"/>
  <c r="K254" i="127"/>
  <c r="K255" i="127"/>
  <c r="L255" i="127" s="1"/>
  <c r="K256" i="127"/>
  <c r="L256" i="127" s="1"/>
  <c r="K257" i="127"/>
  <c r="L257" i="127" s="1"/>
  <c r="K258" i="127"/>
  <c r="K259" i="127"/>
  <c r="K260" i="127"/>
  <c r="K261" i="127"/>
  <c r="K262" i="127"/>
  <c r="K263" i="127"/>
  <c r="L263" i="127" s="1"/>
  <c r="K264" i="127"/>
  <c r="L264" i="127" s="1"/>
  <c r="K265" i="127"/>
  <c r="L265" i="127" s="1"/>
  <c r="K266" i="127"/>
  <c r="K267" i="127"/>
  <c r="K268" i="127"/>
  <c r="L268" i="127" s="1"/>
  <c r="K269" i="127"/>
  <c r="L269" i="127" s="1"/>
  <c r="K270" i="127"/>
  <c r="L270" i="127" s="1"/>
  <c r="K271" i="127"/>
  <c r="L271" i="127" s="1"/>
  <c r="K272" i="127"/>
  <c r="L272" i="127" s="1"/>
  <c r="K273" i="127"/>
  <c r="L273" i="127" s="1"/>
  <c r="K274" i="127"/>
  <c r="L274" i="127" s="1"/>
  <c r="K275" i="127"/>
  <c r="L275" i="127" s="1"/>
  <c r="K276" i="127"/>
  <c r="L276" i="127" s="1"/>
  <c r="K277" i="127"/>
  <c r="K278" i="127"/>
  <c r="K279" i="127"/>
  <c r="K280" i="127"/>
  <c r="K281" i="127"/>
  <c r="L281" i="127" s="1"/>
  <c r="K282" i="127"/>
  <c r="L282" i="127" s="1"/>
  <c r="K283" i="127"/>
  <c r="K284" i="127"/>
  <c r="K285" i="127"/>
  <c r="K286" i="127"/>
  <c r="K287" i="127"/>
  <c r="K288" i="127"/>
  <c r="L288" i="127" s="1"/>
  <c r="K289" i="127"/>
  <c r="L289" i="127" s="1"/>
  <c r="K290" i="127"/>
  <c r="K291" i="127"/>
  <c r="K292" i="127"/>
  <c r="K293" i="127"/>
  <c r="K294" i="127"/>
  <c r="K295" i="127"/>
  <c r="L295" i="127" s="1"/>
  <c r="K296" i="127"/>
  <c r="K297" i="127"/>
  <c r="K298" i="127"/>
  <c r="K299" i="127"/>
  <c r="K300" i="127"/>
  <c r="K301" i="127"/>
  <c r="K302" i="127"/>
  <c r="K303" i="127"/>
  <c r="L303" i="127" s="1"/>
  <c r="K304" i="127"/>
  <c r="L304" i="127" s="1"/>
  <c r="K305" i="127"/>
  <c r="L305" i="127" s="1"/>
  <c r="K306" i="127"/>
  <c r="L306" i="127" s="1"/>
  <c r="K308" i="127"/>
  <c r="L308" i="127" s="1"/>
  <c r="K309" i="127"/>
  <c r="L309" i="127" s="1"/>
  <c r="K310" i="127"/>
  <c r="K311" i="127"/>
  <c r="K312" i="127"/>
  <c r="K313" i="127"/>
  <c r="K314" i="127"/>
  <c r="K315" i="127"/>
  <c r="K316" i="127"/>
  <c r="K317" i="127"/>
  <c r="K318" i="127"/>
  <c r="L318" i="127" s="1"/>
  <c r="K319" i="127"/>
  <c r="L319" i="127" s="1"/>
  <c r="K320" i="127"/>
  <c r="K321" i="127"/>
  <c r="K322" i="127"/>
  <c r="K323" i="127"/>
  <c r="K324" i="127"/>
  <c r="K325" i="127"/>
  <c r="L325" i="127" s="1"/>
  <c r="K326" i="127"/>
  <c r="L326" i="127" s="1"/>
  <c r="K327" i="127"/>
  <c r="K328" i="127"/>
  <c r="K329" i="127"/>
  <c r="K330" i="127"/>
  <c r="K331" i="127"/>
  <c r="K332" i="127"/>
  <c r="K333" i="127"/>
  <c r="K334" i="127"/>
  <c r="K335" i="127"/>
  <c r="L335" i="127" s="1"/>
  <c r="K336" i="127"/>
  <c r="L336" i="127" s="1"/>
  <c r="K337" i="127"/>
  <c r="K338" i="127"/>
  <c r="K339" i="127"/>
  <c r="K340" i="127"/>
  <c r="K341" i="127"/>
  <c r="K342" i="127"/>
  <c r="L342" i="127" s="1"/>
  <c r="K343" i="127"/>
  <c r="L343" i="127" s="1"/>
  <c r="K344" i="127"/>
  <c r="K345" i="127"/>
  <c r="K346" i="127"/>
  <c r="K347" i="127"/>
  <c r="K348" i="127"/>
  <c r="K349" i="127"/>
  <c r="K350" i="127"/>
  <c r="K351" i="127"/>
  <c r="K352" i="127"/>
  <c r="K353" i="127"/>
  <c r="L353" i="127" s="1"/>
  <c r="K354" i="127"/>
  <c r="L354" i="127" s="1"/>
  <c r="K355" i="127"/>
  <c r="K356" i="127"/>
  <c r="K357" i="127"/>
  <c r="K358" i="127"/>
  <c r="K359" i="127"/>
  <c r="L359" i="127" s="1"/>
  <c r="K360" i="127"/>
  <c r="L360" i="127" s="1"/>
  <c r="K361" i="127"/>
  <c r="K362" i="127"/>
  <c r="K363" i="127"/>
  <c r="L363" i="127" s="1"/>
  <c r="K364" i="127"/>
  <c r="L364" i="127" s="1"/>
  <c r="K365" i="127"/>
  <c r="K366" i="127"/>
  <c r="K367" i="127"/>
  <c r="K368" i="127"/>
  <c r="L368" i="127" s="1"/>
  <c r="K369" i="127"/>
  <c r="L369" i="127" s="1"/>
  <c r="K370" i="127"/>
  <c r="K371" i="127"/>
  <c r="K372" i="127"/>
  <c r="K373" i="127"/>
  <c r="K374" i="127"/>
  <c r="K375" i="127"/>
  <c r="K376" i="127"/>
  <c r="K377" i="127"/>
  <c r="K378" i="127"/>
  <c r="L378" i="127" s="1"/>
  <c r="K379" i="127"/>
  <c r="L379" i="127" s="1"/>
  <c r="K380" i="127"/>
  <c r="K381" i="127"/>
  <c r="K382" i="127"/>
  <c r="K383" i="127"/>
  <c r="L383" i="127" s="1"/>
  <c r="K384" i="127"/>
  <c r="L384" i="127" s="1"/>
  <c r="K385" i="127"/>
  <c r="K386" i="127"/>
  <c r="K387" i="127"/>
  <c r="K388" i="127"/>
  <c r="L388" i="127" s="1"/>
  <c r="K389" i="127"/>
  <c r="L389" i="127" s="1"/>
  <c r="K390" i="127"/>
  <c r="K391" i="127"/>
  <c r="K392" i="127"/>
  <c r="K393" i="127"/>
  <c r="K394" i="127"/>
  <c r="K395" i="127"/>
  <c r="K396" i="127"/>
  <c r="K397" i="127"/>
  <c r="L397" i="127" s="1"/>
  <c r="K398" i="127"/>
  <c r="L398" i="127" s="1"/>
  <c r="K399" i="127"/>
  <c r="L399" i="127" s="1"/>
  <c r="K400" i="127"/>
  <c r="K401" i="127"/>
  <c r="K402" i="127"/>
  <c r="K403" i="127"/>
  <c r="K404" i="127"/>
  <c r="K405" i="127"/>
  <c r="L405" i="127" s="1"/>
  <c r="K406" i="127"/>
  <c r="L406" i="127" s="1"/>
  <c r="K407" i="127"/>
  <c r="L407" i="127" s="1"/>
  <c r="K408" i="127"/>
  <c r="K409" i="127"/>
  <c r="K410" i="127"/>
  <c r="K411" i="127"/>
  <c r="K412" i="127"/>
  <c r="K413" i="127"/>
  <c r="K414" i="127"/>
  <c r="L414" i="127" s="1"/>
  <c r="K415" i="127"/>
  <c r="L415" i="127" s="1"/>
  <c r="K416" i="127"/>
  <c r="K417" i="127"/>
  <c r="K418" i="127"/>
  <c r="K419" i="127"/>
  <c r="K420" i="127"/>
  <c r="K421" i="127"/>
  <c r="K422" i="127"/>
  <c r="K423" i="127"/>
  <c r="K424" i="127"/>
  <c r="K425" i="127"/>
  <c r="L425" i="127" s="1"/>
  <c r="K426" i="127"/>
  <c r="L426" i="127" s="1"/>
  <c r="K427" i="127"/>
  <c r="K428" i="127"/>
  <c r="K429" i="127"/>
  <c r="K430" i="127"/>
  <c r="K431" i="127"/>
  <c r="K432" i="127"/>
  <c r="K433" i="127"/>
  <c r="L433" i="127" s="1"/>
  <c r="K434" i="127"/>
  <c r="L434" i="127" s="1"/>
  <c r="K435" i="127"/>
  <c r="L435" i="127" s="1"/>
  <c r="K436" i="127"/>
  <c r="K437" i="127"/>
  <c r="K438" i="127"/>
  <c r="K439" i="127"/>
  <c r="K440" i="127"/>
  <c r="L440" i="127" s="1"/>
  <c r="K441" i="127"/>
  <c r="L441" i="127" s="1"/>
  <c r="K442" i="127"/>
  <c r="K443" i="127"/>
  <c r="K444" i="127"/>
  <c r="K445" i="127"/>
  <c r="K446" i="127"/>
  <c r="K447" i="127"/>
  <c r="K448" i="127"/>
  <c r="K449" i="127"/>
  <c r="K450" i="127"/>
  <c r="K451" i="127"/>
  <c r="K452" i="127"/>
  <c r="K453" i="127"/>
  <c r="K454" i="127"/>
  <c r="K455" i="127"/>
  <c r="K456" i="127"/>
  <c r="K457" i="127"/>
  <c r="L457" i="127" s="1"/>
  <c r="K458" i="127"/>
  <c r="L458" i="127" s="1"/>
  <c r="K459" i="127"/>
  <c r="K460" i="127"/>
  <c r="K461" i="127"/>
  <c r="K462" i="127"/>
  <c r="K463" i="127"/>
  <c r="K464" i="127"/>
  <c r="K465" i="127"/>
  <c r="K466" i="127"/>
  <c r="L466" i="127" s="1"/>
  <c r="K467" i="127"/>
  <c r="L467" i="127" s="1"/>
  <c r="K468" i="127"/>
  <c r="L468" i="127" s="1"/>
  <c r="K469" i="127"/>
  <c r="K470" i="127"/>
  <c r="K471" i="127"/>
  <c r="K472" i="127"/>
  <c r="K473" i="127"/>
  <c r="K474" i="127"/>
  <c r="K475" i="127"/>
  <c r="K476" i="127"/>
  <c r="K477" i="127"/>
  <c r="K478" i="127"/>
  <c r="K479" i="127"/>
  <c r="K480" i="127"/>
  <c r="K481" i="127"/>
  <c r="K482" i="127"/>
  <c r="K483" i="127"/>
  <c r="K484" i="127"/>
  <c r="K485" i="127"/>
  <c r="K486" i="127"/>
  <c r="K487" i="127"/>
  <c r="K488" i="127"/>
  <c r="K489" i="127"/>
  <c r="K490" i="127"/>
  <c r="K491" i="127"/>
  <c r="K492" i="127"/>
  <c r="L492" i="127" s="1"/>
  <c r="K493" i="127"/>
  <c r="K494" i="127"/>
  <c r="L494" i="127" s="1"/>
  <c r="K495" i="127"/>
  <c r="K496" i="127"/>
  <c r="K497" i="127"/>
  <c r="K498" i="127"/>
  <c r="L498" i="127" s="1"/>
  <c r="K499" i="127"/>
  <c r="L499" i="127" s="1"/>
  <c r="K500" i="127"/>
  <c r="L500" i="127" s="1"/>
  <c r="K501" i="127"/>
  <c r="L501" i="127" s="1"/>
  <c r="K502" i="127"/>
  <c r="K503" i="127"/>
  <c r="K504" i="127"/>
  <c r="K7" i="127"/>
  <c r="K8" i="127"/>
  <c r="K9" i="127"/>
  <c r="K10" i="127"/>
  <c r="K11" i="127"/>
  <c r="K12" i="127"/>
  <c r="K13" i="127"/>
  <c r="K14" i="127"/>
  <c r="K15" i="127"/>
  <c r="K16" i="127"/>
  <c r="K17" i="127"/>
  <c r="K18" i="127"/>
  <c r="F502" i="127"/>
  <c r="F497" i="127"/>
  <c r="G497" i="127" s="1"/>
  <c r="D497" i="127"/>
  <c r="C497" i="127"/>
  <c r="B497" i="127"/>
  <c r="F496" i="127"/>
  <c r="G496" i="127" s="1"/>
  <c r="D496" i="127"/>
  <c r="C496" i="127"/>
  <c r="B496" i="127"/>
  <c r="F495" i="127"/>
  <c r="D495" i="127"/>
  <c r="C495" i="127"/>
  <c r="B495" i="127"/>
  <c r="G494" i="127"/>
  <c r="F493" i="127"/>
  <c r="D493" i="127"/>
  <c r="C493" i="127"/>
  <c r="B493" i="127"/>
  <c r="G492" i="127"/>
  <c r="F491" i="127"/>
  <c r="G491" i="127" s="1"/>
  <c r="D491" i="127"/>
  <c r="C491" i="127"/>
  <c r="B491" i="127"/>
  <c r="F490" i="127"/>
  <c r="D490" i="127"/>
  <c r="C490" i="127"/>
  <c r="B490" i="127"/>
  <c r="F489" i="127"/>
  <c r="D489" i="127"/>
  <c r="C489" i="127"/>
  <c r="B489" i="127"/>
  <c r="F488" i="127"/>
  <c r="D488" i="127"/>
  <c r="C488" i="127"/>
  <c r="B488" i="127"/>
  <c r="F487" i="127"/>
  <c r="G487" i="127" s="1"/>
  <c r="D487" i="127"/>
  <c r="C487" i="127"/>
  <c r="B487" i="127"/>
  <c r="F486" i="127"/>
  <c r="D486" i="127"/>
  <c r="C486" i="127"/>
  <c r="B486" i="127"/>
  <c r="F485" i="127"/>
  <c r="G485" i="127" s="1"/>
  <c r="D485" i="127"/>
  <c r="C485" i="127"/>
  <c r="B485" i="127"/>
  <c r="F484" i="127"/>
  <c r="D484" i="127"/>
  <c r="C484" i="127"/>
  <c r="B484" i="127"/>
  <c r="F483" i="127"/>
  <c r="D483" i="127"/>
  <c r="C483" i="127"/>
  <c r="B483" i="127"/>
  <c r="F482" i="127"/>
  <c r="G482" i="127" s="1"/>
  <c r="D482" i="127"/>
  <c r="C482" i="127"/>
  <c r="B482" i="127"/>
  <c r="F481" i="127"/>
  <c r="D481" i="127"/>
  <c r="C481" i="127"/>
  <c r="B481" i="127"/>
  <c r="F480" i="127"/>
  <c r="G480" i="127" s="1"/>
  <c r="D480" i="127"/>
  <c r="C480" i="127"/>
  <c r="B480" i="127"/>
  <c r="F479" i="127"/>
  <c r="D479" i="127"/>
  <c r="C479" i="127"/>
  <c r="B479" i="127"/>
  <c r="F478" i="127"/>
  <c r="D478" i="127"/>
  <c r="C478" i="127"/>
  <c r="B478" i="127"/>
  <c r="F477" i="127"/>
  <c r="G477" i="127" s="1"/>
  <c r="D477" i="127"/>
  <c r="C477" i="127"/>
  <c r="B477" i="127"/>
  <c r="F476" i="127"/>
  <c r="G476" i="127" s="1"/>
  <c r="D476" i="127"/>
  <c r="C476" i="127"/>
  <c r="B476" i="127"/>
  <c r="F475" i="127"/>
  <c r="G475" i="127" s="1"/>
  <c r="F474" i="127"/>
  <c r="G474" i="127" s="1"/>
  <c r="F473" i="127"/>
  <c r="D473" i="127"/>
  <c r="C473" i="127"/>
  <c r="B473" i="127"/>
  <c r="F472" i="127"/>
  <c r="G472" i="127" s="1"/>
  <c r="D472" i="127"/>
  <c r="C472" i="127"/>
  <c r="B472" i="127"/>
  <c r="F471" i="127"/>
  <c r="G471" i="127" s="1"/>
  <c r="D471" i="127"/>
  <c r="C471" i="127"/>
  <c r="B471" i="127"/>
  <c r="F470" i="127"/>
  <c r="G470" i="127" s="1"/>
  <c r="D470" i="127"/>
  <c r="C470" i="127"/>
  <c r="B470" i="127"/>
  <c r="F469" i="127"/>
  <c r="G469" i="127" s="1"/>
  <c r="D469" i="127"/>
  <c r="C469" i="127"/>
  <c r="B469" i="127"/>
  <c r="F454" i="127"/>
  <c r="G454" i="127" s="1"/>
  <c r="F448" i="127"/>
  <c r="G448" i="127" s="1"/>
  <c r="F447" i="127"/>
  <c r="G447" i="127" s="1"/>
  <c r="F446" i="127"/>
  <c r="G446" i="127" s="1"/>
  <c r="F442" i="127"/>
  <c r="G442" i="127" s="1"/>
  <c r="F438" i="127"/>
  <c r="F430" i="127"/>
  <c r="G430" i="127" s="1"/>
  <c r="D430" i="127"/>
  <c r="C430" i="127"/>
  <c r="B430" i="127"/>
  <c r="F428" i="127"/>
  <c r="G428" i="127" s="1"/>
  <c r="F412" i="127"/>
  <c r="G412" i="127" s="1"/>
  <c r="F402" i="127"/>
  <c r="G402" i="127" s="1"/>
  <c r="F400" i="127"/>
  <c r="G400" i="127" s="1"/>
  <c r="F396" i="127"/>
  <c r="D396" i="127"/>
  <c r="F395" i="127"/>
  <c r="D395" i="127"/>
  <c r="F394" i="127"/>
  <c r="G394" i="127" s="1"/>
  <c r="F391" i="127"/>
  <c r="G391" i="127" s="1"/>
  <c r="D391" i="127"/>
  <c r="C391" i="127"/>
  <c r="B391" i="127"/>
  <c r="F387" i="127"/>
  <c r="G387" i="127" s="1"/>
  <c r="D387" i="127"/>
  <c r="C387" i="127"/>
  <c r="B387" i="127"/>
  <c r="F386" i="127"/>
  <c r="G386" i="127" s="1"/>
  <c r="F380" i="127"/>
  <c r="G380" i="127" s="1"/>
  <c r="F370" i="127"/>
  <c r="G370" i="127" s="1"/>
  <c r="D370" i="127"/>
  <c r="F366" i="127"/>
  <c r="G366" i="127" s="1"/>
  <c r="F365" i="127"/>
  <c r="G365" i="127" s="1"/>
  <c r="F361" i="127"/>
  <c r="G361" i="127" s="1"/>
  <c r="D361" i="127"/>
  <c r="C361" i="127"/>
  <c r="B361" i="127"/>
  <c r="F332" i="127"/>
  <c r="G332" i="127" s="1"/>
  <c r="F329" i="127"/>
  <c r="G329" i="127" s="1"/>
  <c r="F313" i="127"/>
  <c r="G313" i="127" s="1"/>
  <c r="D313" i="127"/>
  <c r="G295" i="127"/>
  <c r="F293" i="127"/>
  <c r="G293" i="127" s="1"/>
  <c r="F280" i="127"/>
  <c r="G280" i="127" s="1"/>
  <c r="D280" i="127"/>
  <c r="C280" i="127"/>
  <c r="B280" i="127"/>
  <c r="G274" i="127"/>
  <c r="G273" i="127"/>
  <c r="G272" i="127"/>
  <c r="G271" i="127"/>
  <c r="F261" i="127"/>
  <c r="G261" i="127" s="1"/>
  <c r="F253" i="127"/>
  <c r="G253" i="127" s="1"/>
  <c r="D253" i="127"/>
  <c r="C253" i="127"/>
  <c r="B253" i="127"/>
  <c r="F249" i="127"/>
  <c r="G249" i="127" s="1"/>
  <c r="F248" i="127"/>
  <c r="G248" i="127" s="1"/>
  <c r="D248" i="127"/>
  <c r="C248" i="127"/>
  <c r="B248" i="127"/>
  <c r="F247" i="127"/>
  <c r="G247" i="127" s="1"/>
  <c r="D247" i="127"/>
  <c r="C247" i="127"/>
  <c r="B247" i="127"/>
  <c r="F246" i="127"/>
  <c r="G246" i="127" s="1"/>
  <c r="D246" i="127"/>
  <c r="C246" i="127"/>
  <c r="B246" i="127"/>
  <c r="F239" i="127"/>
  <c r="G239" i="127" s="1"/>
  <c r="D239" i="127"/>
  <c r="C239" i="127"/>
  <c r="B239" i="127"/>
  <c r="F238" i="127"/>
  <c r="G238" i="127" s="1"/>
  <c r="F231" i="127"/>
  <c r="G231" i="127" s="1"/>
  <c r="F227" i="127"/>
  <c r="G227" i="127" s="1"/>
  <c r="F221" i="127"/>
  <c r="G221" i="127" s="1"/>
  <c r="F201" i="127"/>
  <c r="G201" i="127" s="1"/>
  <c r="F162" i="127"/>
  <c r="G162" i="127" s="1"/>
  <c r="D162" i="127"/>
  <c r="C162" i="127"/>
  <c r="B162" i="127"/>
  <c r="F161" i="127"/>
  <c r="G161" i="127" s="1"/>
  <c r="D161" i="127"/>
  <c r="C161" i="127"/>
  <c r="B161" i="127"/>
  <c r="G141" i="127"/>
  <c r="F132" i="127"/>
  <c r="G132" i="127" s="1"/>
  <c r="D132" i="127"/>
  <c r="C132" i="127"/>
  <c r="B132" i="127"/>
  <c r="F131" i="127"/>
  <c r="G131" i="127" s="1"/>
  <c r="F129" i="127"/>
  <c r="G129" i="127" s="1"/>
  <c r="F128" i="127"/>
  <c r="G128" i="127" s="1"/>
  <c r="F115" i="127"/>
  <c r="G115" i="127" s="1"/>
  <c r="F111" i="127"/>
  <c r="G111" i="127" s="1"/>
  <c r="F110" i="127"/>
  <c r="G110" i="127" s="1"/>
  <c r="D110" i="127"/>
  <c r="F95" i="127"/>
  <c r="G95" i="127" s="1"/>
  <c r="F94" i="127"/>
  <c r="F92" i="127"/>
  <c r="G92" i="127" s="1"/>
  <c r="F73" i="127"/>
  <c r="G73" i="127" s="1"/>
  <c r="D73" i="127"/>
  <c r="C73" i="127"/>
  <c r="B73" i="127"/>
  <c r="F61" i="127"/>
  <c r="D61" i="127"/>
  <c r="C61" i="127"/>
  <c r="B61" i="127"/>
  <c r="F60" i="127"/>
  <c r="G60" i="127" s="1"/>
  <c r="D60" i="127"/>
  <c r="C60" i="127"/>
  <c r="B60" i="127"/>
  <c r="F56" i="127"/>
  <c r="G56" i="127" s="1"/>
  <c r="D56" i="127"/>
  <c r="F55" i="127"/>
  <c r="G55" i="127" s="1"/>
  <c r="D55" i="127"/>
  <c r="F52" i="127"/>
  <c r="G52" i="127" s="1"/>
  <c r="F51" i="127"/>
  <c r="G51" i="127" s="1"/>
  <c r="F50" i="127"/>
  <c r="G50" i="127" s="1"/>
  <c r="F49" i="127"/>
  <c r="G49" i="127" s="1"/>
  <c r="F48" i="127"/>
  <c r="G48" i="127" s="1"/>
  <c r="G38" i="127"/>
  <c r="F37" i="127"/>
  <c r="G37" i="127" s="1"/>
  <c r="F35" i="127"/>
  <c r="G35" i="127" s="1"/>
  <c r="D35" i="127"/>
  <c r="C35" i="127"/>
  <c r="B35" i="127"/>
  <c r="F20" i="127"/>
  <c r="G20" i="127" s="1"/>
  <c r="C20" i="127"/>
  <c r="F10" i="127"/>
  <c r="G10" i="127" s="1"/>
  <c r="D10" i="127"/>
  <c r="C10" i="127"/>
  <c r="B10" i="127"/>
  <c r="F9" i="127"/>
  <c r="A64" i="53" l="1"/>
  <c r="M274" i="127"/>
  <c r="L438" i="127"/>
  <c r="L10" i="127"/>
  <c r="G438" i="127"/>
  <c r="L496" i="127"/>
  <c r="L428" i="127"/>
  <c r="L386" i="127"/>
  <c r="L280" i="127"/>
  <c r="L261" i="127"/>
  <c r="L253" i="127"/>
  <c r="L249" i="127"/>
  <c r="L238" i="127"/>
  <c r="L162" i="127"/>
  <c r="L51" i="127"/>
  <c r="L37" i="127"/>
  <c r="G94" i="127"/>
  <c r="L94" i="127"/>
  <c r="G473" i="127"/>
  <c r="L473" i="127"/>
  <c r="G478" i="127"/>
  <c r="L478" i="127"/>
  <c r="G486" i="127"/>
  <c r="L486" i="127"/>
  <c r="G488" i="127"/>
  <c r="L488" i="127"/>
  <c r="L480" i="127"/>
  <c r="L472" i="127"/>
  <c r="L448" i="127"/>
  <c r="L110" i="127"/>
  <c r="G9" i="127"/>
  <c r="L9" i="127"/>
  <c r="G493" i="127"/>
  <c r="L493" i="127"/>
  <c r="L471" i="127"/>
  <c r="L447" i="127"/>
  <c r="L412" i="127"/>
  <c r="L400" i="127"/>
  <c r="L487" i="127"/>
  <c r="L361" i="127"/>
  <c r="G479" i="127"/>
  <c r="L479" i="127"/>
  <c r="G481" i="127"/>
  <c r="L481" i="127"/>
  <c r="G483" i="127"/>
  <c r="L483" i="127"/>
  <c r="G484" i="127"/>
  <c r="L484" i="127"/>
  <c r="G489" i="127"/>
  <c r="L489" i="127"/>
  <c r="G490" i="127"/>
  <c r="L490" i="127"/>
  <c r="L476" i="127"/>
  <c r="G395" i="127"/>
  <c r="L395" i="127"/>
  <c r="G396" i="127"/>
  <c r="L396" i="127"/>
  <c r="G495" i="127"/>
  <c r="L495" i="127"/>
  <c r="G502" i="127"/>
  <c r="L502" i="127"/>
  <c r="L474" i="127"/>
  <c r="L470" i="127"/>
  <c r="L454" i="127"/>
  <c r="L446" i="127"/>
  <c r="L442" i="127"/>
  <c r="L430" i="127"/>
  <c r="L482" i="127"/>
  <c r="L391" i="127"/>
  <c r="L491" i="127"/>
  <c r="G61" i="127"/>
  <c r="L61" i="127"/>
  <c r="L497" i="127"/>
  <c r="L485" i="127"/>
  <c r="L477" i="127"/>
  <c r="L469" i="127"/>
  <c r="L402" i="127"/>
  <c r="L394" i="127"/>
  <c r="L387" i="127"/>
  <c r="L475" i="127"/>
  <c r="L20" i="127"/>
  <c r="L370" i="127"/>
  <c r="L248" i="127"/>
  <c r="L221" i="127"/>
  <c r="L201" i="127"/>
  <c r="L161" i="127"/>
  <c r="L129" i="127"/>
  <c r="L73" i="127"/>
  <c r="L60" i="127"/>
  <c r="L56" i="127"/>
  <c r="L50" i="127"/>
  <c r="L380" i="127"/>
  <c r="L366" i="127"/>
  <c r="L329" i="127"/>
  <c r="L293" i="127"/>
  <c r="L247" i="127"/>
  <c r="L132" i="127"/>
  <c r="L128" i="127"/>
  <c r="L92" i="127"/>
  <c r="L55" i="127"/>
  <c r="L49" i="127"/>
  <c r="L35" i="127"/>
  <c r="L365" i="127"/>
  <c r="L332" i="127"/>
  <c r="L313" i="127"/>
  <c r="L246" i="127"/>
  <c r="L239" i="127"/>
  <c r="L231" i="127"/>
  <c r="L227" i="127"/>
  <c r="L131" i="127"/>
  <c r="L115" i="127"/>
  <c r="L111" i="127"/>
  <c r="L95" i="127"/>
  <c r="L52" i="127"/>
  <c r="L48" i="127"/>
  <c r="A65" i="53" l="1"/>
  <c r="M497" i="127"/>
  <c r="M52" i="127"/>
  <c r="A5" i="124"/>
  <c r="A6" i="124" s="1"/>
  <c r="A7" i="124" s="1"/>
  <c r="A8" i="124" s="1"/>
  <c r="A9" i="124" s="1"/>
  <c r="A10" i="124" s="1"/>
  <c r="A11" i="124" s="1"/>
  <c r="A12" i="124" s="1"/>
  <c r="A13" i="124" s="1"/>
  <c r="A14" i="124" s="1"/>
  <c r="A15" i="124" s="1"/>
  <c r="A16" i="124" s="1"/>
  <c r="A17" i="124" s="1"/>
  <c r="A18" i="124" s="1"/>
  <c r="A19" i="124" s="1"/>
  <c r="A20" i="124" s="1"/>
  <c r="A21" i="124" s="1"/>
  <c r="A22" i="124" s="1"/>
  <c r="A23" i="124" s="1"/>
  <c r="A24" i="124" s="1"/>
  <c r="A25" i="124" s="1"/>
  <c r="A26" i="124" s="1"/>
  <c r="A5" i="122"/>
  <c r="A6" i="122" s="1"/>
  <c r="A7" i="122" s="1"/>
  <c r="A8" i="122" s="1"/>
  <c r="A9" i="122" s="1"/>
  <c r="A10" i="122" s="1"/>
  <c r="A11" i="122" s="1"/>
  <c r="A12" i="122" s="1"/>
  <c r="A13" i="122" s="1"/>
  <c r="A14" i="122" s="1"/>
  <c r="A15" i="122" s="1"/>
  <c r="A16" i="122" s="1"/>
  <c r="A17" i="122" s="1"/>
  <c r="A18" i="122" s="1"/>
  <c r="A19" i="122" s="1"/>
  <c r="A20" i="122" s="1"/>
  <c r="A21" i="122" s="1"/>
  <c r="A22" i="122" s="1"/>
  <c r="A23" i="122" s="1"/>
  <c r="A24" i="122" s="1"/>
  <c r="A25" i="122" s="1"/>
  <c r="A26" i="122" s="1"/>
  <c r="A27" i="122" s="1"/>
  <c r="A28" i="122" s="1"/>
  <c r="A29" i="122" s="1"/>
  <c r="A30" i="122" s="1"/>
  <c r="A31" i="122" s="1"/>
  <c r="A32" i="122" s="1"/>
  <c r="A33" i="122" s="1"/>
  <c r="A34" i="122" s="1"/>
  <c r="A35" i="122" s="1"/>
  <c r="A36" i="122" s="1"/>
  <c r="A37" i="122" s="1"/>
  <c r="A38" i="122" s="1"/>
  <c r="A39" i="122" s="1"/>
  <c r="A40" i="122" s="1"/>
  <c r="A41" i="122" s="1"/>
  <c r="A42" i="122" s="1"/>
  <c r="A43" i="122" s="1"/>
  <c r="A44" i="122" s="1"/>
  <c r="A45" i="122" s="1"/>
  <c r="A46" i="122" s="1"/>
  <c r="A47" i="122" s="1"/>
  <c r="A48" i="122" s="1"/>
  <c r="A49" i="122" s="1"/>
  <c r="A50" i="122" s="1"/>
  <c r="A51" i="122" s="1"/>
  <c r="A52" i="122" s="1"/>
  <c r="A53" i="122" s="1"/>
  <c r="A54" i="122" s="1"/>
  <c r="A55" i="122" s="1"/>
  <c r="A56" i="122" s="1"/>
  <c r="A57" i="122" s="1"/>
  <c r="A58" i="122" s="1"/>
  <c r="A59" i="122" s="1"/>
  <c r="A60" i="122" s="1"/>
  <c r="A61" i="122" s="1"/>
  <c r="A62" i="122" s="1"/>
  <c r="A63" i="122" s="1"/>
  <c r="A64" i="122" s="1"/>
  <c r="A65" i="122" s="1"/>
  <c r="A66" i="122" s="1"/>
  <c r="A67" i="122" s="1"/>
  <c r="A68" i="122" s="1"/>
  <c r="A69" i="122" s="1"/>
  <c r="A70" i="122" s="1"/>
  <c r="C89" i="124"/>
  <c r="B89" i="124"/>
  <c r="C88" i="124"/>
  <c r="B88" i="124"/>
  <c r="C87" i="124"/>
  <c r="B87" i="124"/>
  <c r="C86" i="124"/>
  <c r="B86" i="124"/>
  <c r="C85" i="124"/>
  <c r="C84" i="124"/>
  <c r="B84" i="124"/>
  <c r="C83" i="124"/>
  <c r="B83" i="124"/>
  <c r="C82" i="124"/>
  <c r="B82" i="124"/>
  <c r="C81" i="124"/>
  <c r="B81" i="124"/>
  <c r="C80" i="124"/>
  <c r="B80" i="124"/>
  <c r="C79" i="124"/>
  <c r="B79" i="124"/>
  <c r="C78" i="124"/>
  <c r="B78" i="124"/>
  <c r="C77" i="124"/>
  <c r="B77" i="124"/>
  <c r="C76" i="124"/>
  <c r="B76" i="124"/>
  <c r="C75" i="124"/>
  <c r="B75" i="124"/>
  <c r="C74" i="124"/>
  <c r="B74" i="124"/>
  <c r="A74" i="124"/>
  <c r="A75" i="124" s="1"/>
  <c r="A76" i="124" s="1"/>
  <c r="A77" i="124" s="1"/>
  <c r="A78" i="124" s="1"/>
  <c r="A79" i="124" s="1"/>
  <c r="A80" i="124" s="1"/>
  <c r="A81" i="124" s="1"/>
  <c r="A82" i="124" s="1"/>
  <c r="A83" i="124" s="1"/>
  <c r="A84" i="124" s="1"/>
  <c r="A85" i="124" s="1"/>
  <c r="A86" i="124" s="1"/>
  <c r="A87" i="124" s="1"/>
  <c r="A88" i="124" s="1"/>
  <c r="A89" i="124" s="1"/>
  <c r="C73" i="124"/>
  <c r="C91" i="124" s="1"/>
  <c r="B73" i="124"/>
  <c r="F49" i="124"/>
  <c r="F47" i="124"/>
  <c r="F46" i="124"/>
  <c r="F45" i="124"/>
  <c r="F44" i="124"/>
  <c r="F41" i="124"/>
  <c r="F37" i="124"/>
  <c r="F36" i="124"/>
  <c r="F35" i="124"/>
  <c r="F34" i="124"/>
  <c r="F33" i="124"/>
  <c r="F32" i="124"/>
  <c r="F28" i="124"/>
  <c r="F27" i="124"/>
  <c r="F26" i="124"/>
  <c r="F25" i="124"/>
  <c r="F24" i="124"/>
  <c r="F23" i="124"/>
  <c r="F22" i="124"/>
  <c r="F21" i="124"/>
  <c r="F20" i="124"/>
  <c r="F19" i="124"/>
  <c r="F18" i="124"/>
  <c r="F15" i="124"/>
  <c r="F13" i="124"/>
  <c r="F12" i="124"/>
  <c r="F11" i="124"/>
  <c r="F10" i="124"/>
  <c r="F9" i="124"/>
  <c r="F8" i="124"/>
  <c r="F7" i="124"/>
  <c r="F6" i="124"/>
  <c r="F5" i="124"/>
  <c r="F4" i="124"/>
  <c r="A66" i="53" l="1"/>
  <c r="A27" i="124"/>
  <c r="A28" i="124" s="1"/>
  <c r="A29" i="124" s="1"/>
  <c r="A30" i="124" s="1"/>
  <c r="A31" i="124" s="1"/>
  <c r="A32" i="124" s="1"/>
  <c r="A33" i="124" s="1"/>
  <c r="A34" i="124" s="1"/>
  <c r="A35" i="124" s="1"/>
  <c r="A36" i="124" s="1"/>
  <c r="A37" i="124" s="1"/>
  <c r="A38" i="124" s="1"/>
  <c r="A39" i="124" s="1"/>
  <c r="A40" i="124" s="1"/>
  <c r="A41" i="124" s="1"/>
  <c r="A42" i="124" s="1"/>
  <c r="A43" i="124" s="1"/>
  <c r="A44" i="124" s="1"/>
  <c r="A45" i="124" s="1"/>
  <c r="A46" i="124" s="1"/>
  <c r="A47" i="124" s="1"/>
  <c r="A48" i="124" s="1"/>
  <c r="A49" i="124" s="1"/>
  <c r="F51" i="124"/>
  <c r="C562" i="120"/>
  <c r="F6" i="122"/>
  <c r="F7" i="122"/>
  <c r="F8" i="122"/>
  <c r="F9" i="122"/>
  <c r="F10" i="122"/>
  <c r="F11" i="122"/>
  <c r="F12" i="122"/>
  <c r="F13" i="122"/>
  <c r="F14" i="122"/>
  <c r="F15" i="122"/>
  <c r="F16" i="122"/>
  <c r="F17" i="122"/>
  <c r="F18" i="122"/>
  <c r="F19" i="122"/>
  <c r="F20" i="122"/>
  <c r="F21" i="122"/>
  <c r="F22" i="122"/>
  <c r="F24" i="122"/>
  <c r="F27" i="122"/>
  <c r="F28" i="122"/>
  <c r="F29" i="122"/>
  <c r="F30" i="122"/>
  <c r="F31" i="122"/>
  <c r="F32" i="122"/>
  <c r="F33" i="122"/>
  <c r="F34" i="122"/>
  <c r="F35" i="122"/>
  <c r="F36" i="122"/>
  <c r="F37" i="122"/>
  <c r="F39" i="122"/>
  <c r="F41" i="122"/>
  <c r="F42" i="122"/>
  <c r="F43" i="122"/>
  <c r="F44" i="122"/>
  <c r="F45" i="122"/>
  <c r="F46" i="122"/>
  <c r="F47" i="122"/>
  <c r="F48" i="122"/>
  <c r="F49" i="122"/>
  <c r="F50" i="122"/>
  <c r="F52" i="122"/>
  <c r="F55" i="122"/>
  <c r="F56" i="122"/>
  <c r="F57" i="122"/>
  <c r="F58" i="122"/>
  <c r="F61" i="122"/>
  <c r="F62" i="122"/>
  <c r="F63" i="122"/>
  <c r="F64" i="122"/>
  <c r="F66" i="122"/>
  <c r="F68" i="122"/>
  <c r="F69" i="122"/>
  <c r="F70" i="122"/>
  <c r="B111" i="122"/>
  <c r="B110" i="122"/>
  <c r="B109" i="122"/>
  <c r="B108" i="122"/>
  <c r="B106" i="122"/>
  <c r="B105" i="122"/>
  <c r="B104" i="122"/>
  <c r="B103" i="122"/>
  <c r="B102" i="122"/>
  <c r="B101" i="122"/>
  <c r="B100" i="122"/>
  <c r="B99" i="122"/>
  <c r="B98" i="122"/>
  <c r="B97" i="122"/>
  <c r="B96" i="122"/>
  <c r="A96" i="122"/>
  <c r="A97" i="122" s="1"/>
  <c r="A98" i="122" s="1"/>
  <c r="A99" i="122" s="1"/>
  <c r="A100" i="122" s="1"/>
  <c r="A101" i="122" s="1"/>
  <c r="A102" i="122" s="1"/>
  <c r="A103" i="122" s="1"/>
  <c r="A104" i="122" s="1"/>
  <c r="A105" i="122" s="1"/>
  <c r="A106" i="122" s="1"/>
  <c r="A107" i="122" s="1"/>
  <c r="A108" i="122" s="1"/>
  <c r="A109" i="122" s="1"/>
  <c r="A110" i="122" s="1"/>
  <c r="A111" i="122" s="1"/>
  <c r="B95" i="122"/>
  <c r="C110" i="122"/>
  <c r="C109" i="122"/>
  <c r="C107" i="122"/>
  <c r="C106" i="122"/>
  <c r="F5" i="122"/>
  <c r="C102" i="122"/>
  <c r="C100" i="122"/>
  <c r="C98" i="122"/>
  <c r="G290" i="120"/>
  <c r="G289" i="120"/>
  <c r="G288" i="120"/>
  <c r="G287" i="120"/>
  <c r="C586" i="120"/>
  <c r="C585" i="120"/>
  <c r="C584" i="120"/>
  <c r="C583" i="120"/>
  <c r="C582" i="120"/>
  <c r="C581" i="120"/>
  <c r="C580" i="120"/>
  <c r="C579" i="120"/>
  <c r="C578" i="120"/>
  <c r="C577" i="120"/>
  <c r="C576" i="120"/>
  <c r="C575" i="120"/>
  <c r="C574" i="120"/>
  <c r="C573" i="120"/>
  <c r="C572" i="120"/>
  <c r="C571" i="120"/>
  <c r="C570" i="120"/>
  <c r="C569" i="120"/>
  <c r="C568" i="120"/>
  <c r="C567" i="120"/>
  <c r="C566" i="120"/>
  <c r="C565" i="120"/>
  <c r="C564" i="120"/>
  <c r="C563" i="120"/>
  <c r="C561" i="120"/>
  <c r="C560" i="120"/>
  <c r="C559" i="120"/>
  <c r="C558" i="120"/>
  <c r="C557" i="120"/>
  <c r="C556" i="120"/>
  <c r="C555" i="120"/>
  <c r="C554" i="120"/>
  <c r="C553" i="120"/>
  <c r="C552" i="120"/>
  <c r="C551" i="120"/>
  <c r="C550" i="120"/>
  <c r="C549" i="120"/>
  <c r="C548" i="120"/>
  <c r="C547" i="120"/>
  <c r="B547" i="120"/>
  <c r="B548" i="120" s="1"/>
  <c r="B549" i="120" s="1"/>
  <c r="B550" i="120" s="1"/>
  <c r="B551" i="120" s="1"/>
  <c r="B552" i="120" s="1"/>
  <c r="B553" i="120" s="1"/>
  <c r="B554" i="120" s="1"/>
  <c r="B555" i="120" s="1"/>
  <c r="B556" i="120" s="1"/>
  <c r="B557" i="120" s="1"/>
  <c r="B558" i="120" s="1"/>
  <c r="B559" i="120" s="1"/>
  <c r="B560" i="120" s="1"/>
  <c r="B561" i="120" s="1"/>
  <c r="B562" i="120" s="1"/>
  <c r="B563" i="120" s="1"/>
  <c r="B564" i="120" s="1"/>
  <c r="B565" i="120" s="1"/>
  <c r="B566" i="120" s="1"/>
  <c r="B567" i="120" s="1"/>
  <c r="B568" i="120" s="1"/>
  <c r="B569" i="120" s="1"/>
  <c r="B570" i="120" s="1"/>
  <c r="B571" i="120" s="1"/>
  <c r="B572" i="120" s="1"/>
  <c r="B573" i="120" s="1"/>
  <c r="B574" i="120" s="1"/>
  <c r="B575" i="120" s="1"/>
  <c r="B576" i="120" s="1"/>
  <c r="B577" i="120" s="1"/>
  <c r="B578" i="120" s="1"/>
  <c r="B579" i="120" s="1"/>
  <c r="B580" i="120" s="1"/>
  <c r="B581" i="120" s="1"/>
  <c r="B582" i="120" s="1"/>
  <c r="B583" i="120" s="1"/>
  <c r="B584" i="120" s="1"/>
  <c r="B585" i="120" s="1"/>
  <c r="B586" i="120" s="1"/>
  <c r="C546" i="120"/>
  <c r="F534" i="120"/>
  <c r="G534" i="120" s="1"/>
  <c r="F529" i="120"/>
  <c r="G529" i="120" s="1"/>
  <c r="D529" i="120"/>
  <c r="C529" i="120"/>
  <c r="B529" i="120"/>
  <c r="F528" i="120"/>
  <c r="G528" i="120" s="1"/>
  <c r="D528" i="120"/>
  <c r="C528" i="120"/>
  <c r="B528" i="120"/>
  <c r="F527" i="120"/>
  <c r="G527" i="120" s="1"/>
  <c r="D527" i="120"/>
  <c r="C527" i="120"/>
  <c r="B527" i="120"/>
  <c r="G526" i="120"/>
  <c r="F525" i="120"/>
  <c r="D525" i="120"/>
  <c r="C525" i="120"/>
  <c r="B525" i="120"/>
  <c r="G524" i="120"/>
  <c r="F523" i="120"/>
  <c r="G523" i="120" s="1"/>
  <c r="D523" i="120"/>
  <c r="C523" i="120"/>
  <c r="B523" i="120"/>
  <c r="F522" i="120"/>
  <c r="D522" i="120"/>
  <c r="C522" i="120"/>
  <c r="B522" i="120"/>
  <c r="F521" i="120"/>
  <c r="G521" i="120" s="1"/>
  <c r="D521" i="120"/>
  <c r="C521" i="120"/>
  <c r="B521" i="120"/>
  <c r="F520" i="120"/>
  <c r="G520" i="120" s="1"/>
  <c r="D520" i="120"/>
  <c r="C520" i="120"/>
  <c r="B520" i="120"/>
  <c r="F519" i="120"/>
  <c r="G519" i="120" s="1"/>
  <c r="D519" i="120"/>
  <c r="C519" i="120"/>
  <c r="B519" i="120"/>
  <c r="F518" i="120"/>
  <c r="G518" i="120" s="1"/>
  <c r="D518" i="120"/>
  <c r="C518" i="120"/>
  <c r="B518" i="120"/>
  <c r="F517" i="120"/>
  <c r="D517" i="120"/>
  <c r="C517" i="120"/>
  <c r="B517" i="120"/>
  <c r="F516" i="120"/>
  <c r="D516" i="120"/>
  <c r="C516" i="120"/>
  <c r="B516" i="120"/>
  <c r="F515" i="120"/>
  <c r="D515" i="120"/>
  <c r="C515" i="120"/>
  <c r="B515" i="120"/>
  <c r="F514" i="120"/>
  <c r="G514" i="120" s="1"/>
  <c r="D514" i="120"/>
  <c r="C514" i="120"/>
  <c r="B514" i="120"/>
  <c r="F513" i="120"/>
  <c r="G513" i="120" s="1"/>
  <c r="D513" i="120"/>
  <c r="C513" i="120"/>
  <c r="B513" i="120"/>
  <c r="F512" i="120"/>
  <c r="G512" i="120" s="1"/>
  <c r="D512" i="120"/>
  <c r="C512" i="120"/>
  <c r="B512" i="120"/>
  <c r="F511" i="120"/>
  <c r="G511" i="120" s="1"/>
  <c r="D511" i="120"/>
  <c r="C511" i="120"/>
  <c r="B511" i="120"/>
  <c r="F510" i="120"/>
  <c r="G510" i="120" s="1"/>
  <c r="D510" i="120"/>
  <c r="C510" i="120"/>
  <c r="B510" i="120"/>
  <c r="F509" i="120"/>
  <c r="G509" i="120" s="1"/>
  <c r="D509" i="120"/>
  <c r="C509" i="120"/>
  <c r="B509" i="120"/>
  <c r="F508" i="120"/>
  <c r="G508" i="120" s="1"/>
  <c r="D508" i="120"/>
  <c r="C508" i="120"/>
  <c r="B508" i="120"/>
  <c r="F507" i="120"/>
  <c r="G507" i="120" s="1"/>
  <c r="F506" i="120"/>
  <c r="G506" i="120" s="1"/>
  <c r="F505" i="120"/>
  <c r="D505" i="120"/>
  <c r="C505" i="120"/>
  <c r="B505" i="120"/>
  <c r="F504" i="120"/>
  <c r="G504" i="120" s="1"/>
  <c r="D504" i="120"/>
  <c r="C504" i="120"/>
  <c r="B504" i="120"/>
  <c r="F503" i="120"/>
  <c r="G503" i="120" s="1"/>
  <c r="D503" i="120"/>
  <c r="C503" i="120"/>
  <c r="B503" i="120"/>
  <c r="F502" i="120"/>
  <c r="G502" i="120" s="1"/>
  <c r="D502" i="120"/>
  <c r="C502" i="120"/>
  <c r="B502" i="120"/>
  <c r="F501" i="120"/>
  <c r="G501" i="120" s="1"/>
  <c r="D501" i="120"/>
  <c r="C501" i="120"/>
  <c r="B501" i="120"/>
  <c r="F486" i="120"/>
  <c r="G486" i="120" s="1"/>
  <c r="F480" i="120"/>
  <c r="G480" i="120" s="1"/>
  <c r="F479" i="120"/>
  <c r="G479" i="120" s="1"/>
  <c r="F478" i="120"/>
  <c r="G478" i="120" s="1"/>
  <c r="F474" i="120"/>
  <c r="G474" i="120" s="1"/>
  <c r="F470" i="120"/>
  <c r="G470" i="120" s="1"/>
  <c r="F462" i="120"/>
  <c r="G462" i="120" s="1"/>
  <c r="D462" i="120"/>
  <c r="C462" i="120"/>
  <c r="B462" i="120"/>
  <c r="F460" i="120"/>
  <c r="G460" i="120" s="1"/>
  <c r="F443" i="120"/>
  <c r="G443" i="120" s="1"/>
  <c r="F433" i="120"/>
  <c r="G433" i="120" s="1"/>
  <c r="F431" i="120"/>
  <c r="G431" i="120" s="1"/>
  <c r="F427" i="120"/>
  <c r="G427" i="120" s="1"/>
  <c r="D427" i="120"/>
  <c r="F426" i="120"/>
  <c r="G426" i="120" s="1"/>
  <c r="D426" i="120"/>
  <c r="F425" i="120"/>
  <c r="G425" i="120" s="1"/>
  <c r="F422" i="120"/>
  <c r="G422" i="120" s="1"/>
  <c r="D422" i="120"/>
  <c r="C422" i="120"/>
  <c r="B422" i="120"/>
  <c r="F417" i="120"/>
  <c r="G417" i="120" s="1"/>
  <c r="D417" i="120"/>
  <c r="C417" i="120"/>
  <c r="B417" i="120"/>
  <c r="F416" i="120"/>
  <c r="G416" i="120" s="1"/>
  <c r="F410" i="120"/>
  <c r="G410" i="120" s="1"/>
  <c r="F399" i="120"/>
  <c r="G399" i="120" s="1"/>
  <c r="D399" i="120"/>
  <c r="F394" i="120"/>
  <c r="G394" i="120" s="1"/>
  <c r="F393" i="120"/>
  <c r="G393" i="120" s="1"/>
  <c r="F388" i="120"/>
  <c r="G388" i="120" s="1"/>
  <c r="D388" i="120"/>
  <c r="C388" i="120"/>
  <c r="B388" i="120"/>
  <c r="F357" i="120"/>
  <c r="G357" i="120" s="1"/>
  <c r="F354" i="120"/>
  <c r="G354" i="120" s="1"/>
  <c r="F337" i="120"/>
  <c r="G337" i="120" s="1"/>
  <c r="D337" i="120"/>
  <c r="G320" i="120"/>
  <c r="F318" i="120"/>
  <c r="G318" i="120" s="1"/>
  <c r="F300" i="120"/>
  <c r="G300" i="120" s="1"/>
  <c r="D300" i="120"/>
  <c r="C300" i="120"/>
  <c r="B300" i="120"/>
  <c r="F276" i="120"/>
  <c r="G276" i="120" s="1"/>
  <c r="F268" i="120"/>
  <c r="G268" i="120" s="1"/>
  <c r="D268" i="120"/>
  <c r="C268" i="120"/>
  <c r="B268" i="120"/>
  <c r="F264" i="120"/>
  <c r="G264" i="120" s="1"/>
  <c r="F263" i="120"/>
  <c r="G263" i="120" s="1"/>
  <c r="D263" i="120"/>
  <c r="C263" i="120"/>
  <c r="B263" i="120"/>
  <c r="F262" i="120"/>
  <c r="G262" i="120" s="1"/>
  <c r="D262" i="120"/>
  <c r="C262" i="120"/>
  <c r="B262" i="120"/>
  <c r="F261" i="120"/>
  <c r="G261" i="120" s="1"/>
  <c r="D261" i="120"/>
  <c r="C261" i="120"/>
  <c r="B261" i="120"/>
  <c r="F249" i="120"/>
  <c r="G249" i="120" s="1"/>
  <c r="D249" i="120"/>
  <c r="C249" i="120"/>
  <c r="B249" i="120"/>
  <c r="F248" i="120"/>
  <c r="G248" i="120" s="1"/>
  <c r="F241" i="120"/>
  <c r="G241" i="120" s="1"/>
  <c r="F237" i="120"/>
  <c r="G237" i="120" s="1"/>
  <c r="F231" i="120"/>
  <c r="G231" i="120" s="1"/>
  <c r="F211" i="120"/>
  <c r="G211" i="120" s="1"/>
  <c r="F172" i="120"/>
  <c r="G172" i="120" s="1"/>
  <c r="D172" i="120"/>
  <c r="C172" i="120"/>
  <c r="B172" i="120"/>
  <c r="F171" i="120"/>
  <c r="G171" i="120" s="1"/>
  <c r="D171" i="120"/>
  <c r="C171" i="120"/>
  <c r="B171" i="120"/>
  <c r="G151" i="120"/>
  <c r="F142" i="120"/>
  <c r="G142" i="120" s="1"/>
  <c r="D142" i="120"/>
  <c r="C142" i="120"/>
  <c r="B142" i="120"/>
  <c r="F141" i="120"/>
  <c r="G141" i="120" s="1"/>
  <c r="F139" i="120"/>
  <c r="G139" i="120" s="1"/>
  <c r="F138" i="120"/>
  <c r="G138" i="120" s="1"/>
  <c r="F125" i="120"/>
  <c r="G125" i="120" s="1"/>
  <c r="F121" i="120"/>
  <c r="G121" i="120" s="1"/>
  <c r="F120" i="120"/>
  <c r="G120" i="120" s="1"/>
  <c r="D120" i="120"/>
  <c r="F105" i="120"/>
  <c r="G105" i="120" s="1"/>
  <c r="F104" i="120"/>
  <c r="G104" i="120" s="1"/>
  <c r="F102" i="120"/>
  <c r="G102" i="120" s="1"/>
  <c r="F83" i="120"/>
  <c r="G83" i="120" s="1"/>
  <c r="D83" i="120"/>
  <c r="C83" i="120"/>
  <c r="B83" i="120"/>
  <c r="F68" i="120"/>
  <c r="G68" i="120" s="1"/>
  <c r="D68" i="120"/>
  <c r="C68" i="120"/>
  <c r="B68" i="120"/>
  <c r="F67" i="120"/>
  <c r="G67" i="120" s="1"/>
  <c r="D67" i="120"/>
  <c r="C67" i="120"/>
  <c r="B67" i="120"/>
  <c r="F63" i="120"/>
  <c r="G63" i="120" s="1"/>
  <c r="D63" i="120"/>
  <c r="F62" i="120"/>
  <c r="G62" i="120" s="1"/>
  <c r="D62" i="120"/>
  <c r="F57" i="120"/>
  <c r="G57" i="120" s="1"/>
  <c r="F56" i="120"/>
  <c r="G56" i="120" s="1"/>
  <c r="F55" i="120"/>
  <c r="G55" i="120" s="1"/>
  <c r="F54" i="120"/>
  <c r="G54" i="120" s="1"/>
  <c r="F53" i="120"/>
  <c r="G53" i="120" s="1"/>
  <c r="G41" i="120"/>
  <c r="F40" i="120"/>
  <c r="G40" i="120" s="1"/>
  <c r="F38" i="120"/>
  <c r="G38" i="120" s="1"/>
  <c r="D38" i="120"/>
  <c r="C38" i="120"/>
  <c r="B38" i="120"/>
  <c r="F18" i="120"/>
  <c r="G18" i="120" s="1"/>
  <c r="C18" i="120"/>
  <c r="F8" i="120"/>
  <c r="G8" i="120" s="1"/>
  <c r="D8" i="120"/>
  <c r="C8" i="120"/>
  <c r="B8" i="120"/>
  <c r="F7" i="120"/>
  <c r="G7" i="120" s="1"/>
  <c r="A67" i="53" l="1"/>
  <c r="H290" i="120"/>
  <c r="D562" i="120" s="1"/>
  <c r="F73" i="122"/>
  <c r="C111" i="122"/>
  <c r="C96" i="122"/>
  <c r="C104" i="122"/>
  <c r="C97" i="122"/>
  <c r="C105" i="122"/>
  <c r="C99" i="122"/>
  <c r="C101" i="122"/>
  <c r="C108" i="122"/>
  <c r="C95" i="122"/>
  <c r="C103" i="122"/>
  <c r="H57" i="120"/>
  <c r="D549" i="120" s="1"/>
  <c r="H529" i="120"/>
  <c r="D585" i="120" s="1"/>
  <c r="D50" i="119"/>
  <c r="B50" i="119"/>
  <c r="D49" i="119"/>
  <c r="B49" i="119"/>
  <c r="D48" i="119"/>
  <c r="B48" i="119"/>
  <c r="D47" i="119"/>
  <c r="B47" i="119"/>
  <c r="D46" i="119"/>
  <c r="B46" i="119"/>
  <c r="D45" i="119"/>
  <c r="B45" i="119"/>
  <c r="D44" i="119"/>
  <c r="B44" i="119"/>
  <c r="D43" i="119"/>
  <c r="B43" i="119"/>
  <c r="D42" i="119"/>
  <c r="B42" i="119"/>
  <c r="D41" i="119"/>
  <c r="B41" i="119"/>
  <c r="D40" i="119"/>
  <c r="B40" i="119"/>
  <c r="D39" i="119"/>
  <c r="B39" i="119"/>
  <c r="D38" i="119"/>
  <c r="B38" i="119"/>
  <c r="D37" i="119"/>
  <c r="B37" i="119"/>
  <c r="D36" i="119"/>
  <c r="B36" i="119"/>
  <c r="D35" i="119"/>
  <c r="B35" i="119"/>
  <c r="D34" i="119"/>
  <c r="B34" i="119"/>
  <c r="D33" i="119"/>
  <c r="B33" i="119"/>
  <c r="D32" i="119"/>
  <c r="B32" i="119"/>
  <c r="D31" i="119"/>
  <c r="B31" i="119"/>
  <c r="D30" i="119"/>
  <c r="B30" i="119"/>
  <c r="D29" i="119"/>
  <c r="B29" i="119"/>
  <c r="D28" i="119"/>
  <c r="B28" i="119"/>
  <c r="D27" i="119"/>
  <c r="B27" i="119"/>
  <c r="D26" i="119"/>
  <c r="B26" i="119"/>
  <c r="D25" i="119"/>
  <c r="B25" i="119"/>
  <c r="D24" i="119"/>
  <c r="B24" i="119"/>
  <c r="D23" i="119"/>
  <c r="B23" i="119"/>
  <c r="D22" i="119"/>
  <c r="B22" i="119"/>
  <c r="D21" i="119"/>
  <c r="B21" i="119"/>
  <c r="D20" i="119"/>
  <c r="B20" i="119"/>
  <c r="D19" i="119"/>
  <c r="B19" i="119"/>
  <c r="D18" i="119"/>
  <c r="B18" i="119"/>
  <c r="D17" i="119"/>
  <c r="B17" i="119"/>
  <c r="D16" i="119"/>
  <c r="B16" i="119"/>
  <c r="D15" i="119"/>
  <c r="B15" i="119"/>
  <c r="D14" i="119"/>
  <c r="B14" i="119"/>
  <c r="D13" i="119"/>
  <c r="B13" i="119"/>
  <c r="D12" i="119"/>
  <c r="B12" i="119"/>
  <c r="D11" i="119"/>
  <c r="B11" i="119"/>
  <c r="D10" i="119"/>
  <c r="B10" i="119"/>
  <c r="D9" i="119"/>
  <c r="B9" i="119"/>
  <c r="D8" i="119"/>
  <c r="B8" i="119"/>
  <c r="D7" i="119"/>
  <c r="B7" i="119"/>
  <c r="D6" i="119"/>
  <c r="B6" i="119"/>
  <c r="A6" i="119"/>
  <c r="A68" i="53" l="1"/>
  <c r="C113" i="122"/>
  <c r="K34" i="117"/>
  <c r="L34" i="117" s="1"/>
  <c r="K30" i="117"/>
  <c r="L30" i="117" s="1"/>
  <c r="K26" i="117"/>
  <c r="K25" i="117"/>
  <c r="K21" i="117"/>
  <c r="L21" i="117" s="1"/>
  <c r="K15" i="117"/>
  <c r="K16" i="117"/>
  <c r="K17" i="117"/>
  <c r="K14" i="117"/>
  <c r="K10" i="117"/>
  <c r="K9" i="117"/>
  <c r="K5" i="117"/>
  <c r="L5" i="117" s="1"/>
  <c r="B59" i="117"/>
  <c r="B58" i="117"/>
  <c r="B57" i="117"/>
  <c r="B56" i="117"/>
  <c r="B55" i="117"/>
  <c r="B54" i="117"/>
  <c r="A54" i="117"/>
  <c r="A55" i="117" s="1"/>
  <c r="A56" i="117" s="1"/>
  <c r="A57" i="117" s="1"/>
  <c r="A58" i="117" s="1"/>
  <c r="A59" i="117" s="1"/>
  <c r="B53" i="117"/>
  <c r="G34" i="117"/>
  <c r="H34" i="117" s="1"/>
  <c r="D59" i="117" s="1"/>
  <c r="G30" i="117"/>
  <c r="H30" i="117" s="1"/>
  <c r="D58" i="117" s="1"/>
  <c r="G26" i="117"/>
  <c r="G25" i="117"/>
  <c r="G21" i="117"/>
  <c r="H21" i="117" s="1"/>
  <c r="D56" i="117" s="1"/>
  <c r="G17" i="117"/>
  <c r="G16" i="117"/>
  <c r="G15" i="117"/>
  <c r="G14" i="117"/>
  <c r="G10" i="117"/>
  <c r="G9" i="117"/>
  <c r="G5" i="117"/>
  <c r="H5" i="117" s="1"/>
  <c r="A69" i="53" l="1"/>
  <c r="L10" i="117"/>
  <c r="H10" i="117"/>
  <c r="D54" i="117" s="1"/>
  <c r="L26" i="117"/>
  <c r="H26" i="117"/>
  <c r="D57" i="117" s="1"/>
  <c r="L17" i="117"/>
  <c r="H17" i="117"/>
  <c r="D55" i="117" s="1"/>
  <c r="D53" i="117"/>
  <c r="A70" i="53" l="1"/>
  <c r="L38" i="117"/>
  <c r="H38" i="117"/>
  <c r="D61" i="117"/>
  <c r="A71" i="53" l="1"/>
  <c r="A72" i="53" l="1"/>
  <c r="F14" i="116"/>
  <c r="A73" i="53" l="1"/>
  <c r="A74" i="53" l="1"/>
  <c r="F87" i="116"/>
  <c r="F86" i="116"/>
  <c r="F21" i="116"/>
  <c r="F22" i="116"/>
  <c r="B153" i="116"/>
  <c r="B152" i="116"/>
  <c r="B151" i="116"/>
  <c r="B150" i="116"/>
  <c r="B148" i="116"/>
  <c r="B147" i="116"/>
  <c r="B146" i="116"/>
  <c r="B145" i="116"/>
  <c r="B144" i="116"/>
  <c r="B143" i="116"/>
  <c r="B142" i="116"/>
  <c r="B141" i="116"/>
  <c r="B140" i="116"/>
  <c r="B139" i="116"/>
  <c r="B138" i="116"/>
  <c r="A138" i="116"/>
  <c r="A139" i="116" s="1"/>
  <c r="A140" i="116" s="1"/>
  <c r="A141" i="116" s="1"/>
  <c r="A142" i="116" s="1"/>
  <c r="A143" i="116" s="1"/>
  <c r="A144" i="116" s="1"/>
  <c r="A145" i="116" s="1"/>
  <c r="A146" i="116" s="1"/>
  <c r="A147" i="116" s="1"/>
  <c r="A148" i="116" s="1"/>
  <c r="A149" i="116" s="1"/>
  <c r="A150" i="116" s="1"/>
  <c r="A151" i="116" s="1"/>
  <c r="A152" i="116" s="1"/>
  <c r="A153" i="116" s="1"/>
  <c r="B137" i="116"/>
  <c r="F109" i="116"/>
  <c r="F108" i="116"/>
  <c r="F103" i="116"/>
  <c r="F98" i="116"/>
  <c r="F93" i="116"/>
  <c r="F92" i="116"/>
  <c r="F91" i="116"/>
  <c r="F90" i="116"/>
  <c r="F89" i="116"/>
  <c r="F88" i="116"/>
  <c r="F85" i="116"/>
  <c r="F84" i="116"/>
  <c r="F76" i="116"/>
  <c r="F72" i="116"/>
  <c r="F71" i="116"/>
  <c r="F70" i="116"/>
  <c r="F69" i="116"/>
  <c r="F68" i="116"/>
  <c r="F65" i="116"/>
  <c r="F64" i="116"/>
  <c r="F63" i="116"/>
  <c r="F62" i="116"/>
  <c r="F61" i="116"/>
  <c r="F58" i="116"/>
  <c r="F57" i="116"/>
  <c r="F56" i="116"/>
  <c r="F55" i="116"/>
  <c r="F51" i="116"/>
  <c r="F50" i="116"/>
  <c r="F46" i="116"/>
  <c r="F45" i="116"/>
  <c r="F44" i="116"/>
  <c r="F43" i="116"/>
  <c r="F39" i="116"/>
  <c r="F35" i="116"/>
  <c r="F34" i="116"/>
  <c r="F33" i="116"/>
  <c r="F27" i="116"/>
  <c r="F23" i="116"/>
  <c r="F80" i="116"/>
  <c r="G80" i="116" s="1"/>
  <c r="C149" i="116" s="1"/>
  <c r="F20" i="116"/>
  <c r="F16" i="116"/>
  <c r="F15" i="116"/>
  <c r="F13" i="116"/>
  <c r="F9" i="116"/>
  <c r="F8" i="116"/>
  <c r="F7" i="116"/>
  <c r="F6" i="116"/>
  <c r="F5" i="116"/>
  <c r="A75" i="53" l="1"/>
  <c r="G27" i="116"/>
  <c r="C140" i="116" s="1"/>
  <c r="G65" i="116"/>
  <c r="C146" i="116" s="1"/>
  <c r="G23" i="116"/>
  <c r="C139" i="116" s="1"/>
  <c r="G16" i="116"/>
  <c r="C138" i="116" s="1"/>
  <c r="G72" i="116"/>
  <c r="C147" i="116" s="1"/>
  <c r="G51" i="116"/>
  <c r="C144" i="116" s="1"/>
  <c r="G76" i="116"/>
  <c r="C148" i="116" s="1"/>
  <c r="G46" i="116"/>
  <c r="C143" i="116" s="1"/>
  <c r="G39" i="116"/>
  <c r="C142" i="116" s="1"/>
  <c r="G93" i="116"/>
  <c r="C150" i="116" s="1"/>
  <c r="G9" i="116"/>
  <c r="G35" i="116"/>
  <c r="C141" i="116" s="1"/>
  <c r="G109" i="116"/>
  <c r="C153" i="116" s="1"/>
  <c r="G98" i="116"/>
  <c r="C151" i="116" s="1"/>
  <c r="G58" i="116"/>
  <c r="C145" i="116" s="1"/>
  <c r="G103" i="116"/>
  <c r="C152" i="116" s="1"/>
  <c r="A76" i="53" l="1"/>
  <c r="G115" i="116"/>
  <c r="C137" i="116"/>
  <c r="C155" i="116" s="1"/>
  <c r="A77" i="53" l="1"/>
  <c r="B94" i="45"/>
  <c r="B95" i="45" s="1"/>
  <c r="B96" i="45" s="1"/>
  <c r="B97" i="45" s="1"/>
  <c r="B98" i="45" s="1"/>
  <c r="B99" i="45" s="1"/>
  <c r="B100" i="45" s="1"/>
  <c r="B101" i="45" s="1"/>
  <c r="A78" i="53" l="1"/>
  <c r="A79" i="53" l="1"/>
  <c r="F58" i="127"/>
  <c r="F65" i="120"/>
  <c r="G65" i="120" s="1"/>
  <c r="B55" i="127"/>
  <c r="B62" i="120"/>
  <c r="B57" i="127"/>
  <c r="B64" i="120"/>
  <c r="B58" i="127"/>
  <c r="B65" i="120"/>
  <c r="B59" i="127"/>
  <c r="B66" i="120"/>
  <c r="C57" i="127"/>
  <c r="C64" i="120"/>
  <c r="C59" i="127"/>
  <c r="C66" i="120"/>
  <c r="C55" i="127"/>
  <c r="C62" i="120"/>
  <c r="B56" i="127"/>
  <c r="B63" i="120"/>
  <c r="C56" i="127"/>
  <c r="C63" i="120"/>
  <c r="D57" i="127"/>
  <c r="D64" i="120"/>
  <c r="D58" i="127"/>
  <c r="D65" i="120"/>
  <c r="D59" i="127"/>
  <c r="D66" i="120"/>
  <c r="C58" i="127"/>
  <c r="C65" i="120"/>
  <c r="F57" i="127"/>
  <c r="F64" i="120"/>
  <c r="G64" i="120" s="1"/>
  <c r="F59" i="127"/>
  <c r="F66" i="120"/>
  <c r="G66" i="120" s="1"/>
  <c r="A80" i="53" l="1"/>
  <c r="H68" i="120"/>
  <c r="G59" i="127"/>
  <c r="L59" i="127"/>
  <c r="G57" i="127"/>
  <c r="L57" i="127"/>
  <c r="G58" i="127"/>
  <c r="L58" i="127"/>
  <c r="A81" i="53" l="1"/>
  <c r="M61" i="127"/>
  <c r="D550" i="120"/>
  <c r="A82" i="53" l="1"/>
  <c r="A83" i="53" l="1"/>
  <c r="A84" i="53" l="1"/>
  <c r="A85" i="53" l="1"/>
  <c r="A86" i="53" l="1"/>
  <c r="A87" i="53" l="1"/>
  <c r="A88" i="53" l="1"/>
  <c r="A89" i="53" l="1"/>
  <c r="A90" i="53" l="1"/>
  <c r="K691" i="54"/>
  <c r="K692" i="54" s="1"/>
  <c r="K693" i="54" s="1"/>
  <c r="K694" i="54" s="1"/>
  <c r="K695" i="54" s="1"/>
  <c r="K696" i="54" s="1"/>
  <c r="K697" i="54" s="1"/>
  <c r="K698" i="54" s="1"/>
  <c r="K699" i="54" s="1"/>
  <c r="K700" i="54" s="1"/>
  <c r="K701" i="54" s="1"/>
  <c r="K702" i="54" s="1"/>
  <c r="K703" i="54" s="1"/>
  <c r="K704" i="54" s="1"/>
  <c r="K705" i="54" s="1"/>
  <c r="K706" i="54" s="1"/>
  <c r="K707" i="54" s="1"/>
  <c r="K708" i="54" s="1"/>
  <c r="K709" i="54" s="1"/>
  <c r="K710" i="54" s="1"/>
  <c r="K711" i="54" s="1"/>
  <c r="K712" i="54" s="1"/>
  <c r="K713" i="54" s="1"/>
  <c r="K714" i="54" s="1"/>
  <c r="K715" i="54" s="1"/>
  <c r="K716" i="54" s="1"/>
  <c r="A91" i="53" l="1"/>
  <c r="W3" i="4"/>
  <c r="A92" i="53" l="1"/>
  <c r="A93" i="53" l="1"/>
  <c r="A94" i="53" l="1"/>
  <c r="A95" i="53" l="1"/>
  <c r="A96" i="53" l="1"/>
  <c r="A97" i="53" l="1"/>
  <c r="A98" i="53" l="1"/>
  <c r="A99" i="53" l="1"/>
  <c r="J32" i="113"/>
  <c r="A100" i="53" l="1"/>
  <c r="B11" i="113"/>
  <c r="B10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7" i="113"/>
  <c r="J28" i="113"/>
  <c r="J29" i="113"/>
  <c r="J30" i="113"/>
  <c r="J31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1" i="113"/>
  <c r="J62" i="113"/>
  <c r="J63" i="113"/>
  <c r="J64" i="113"/>
  <c r="J65" i="113"/>
  <c r="J66" i="113"/>
  <c r="J67" i="113"/>
  <c r="J68" i="113"/>
  <c r="J69" i="113"/>
  <c r="J70" i="113"/>
  <c r="J72" i="113"/>
  <c r="A8" i="113"/>
  <c r="B8" i="113"/>
  <c r="B9" i="113"/>
  <c r="B12" i="113"/>
  <c r="B13" i="113"/>
  <c r="B14" i="113"/>
  <c r="B15" i="113"/>
  <c r="B16" i="113"/>
  <c r="B17" i="113"/>
  <c r="B18" i="113"/>
  <c r="B20" i="113"/>
  <c r="B21" i="113"/>
  <c r="B22" i="113"/>
  <c r="B23" i="113"/>
  <c r="B24" i="113"/>
  <c r="B25" i="113"/>
  <c r="B26" i="113"/>
  <c r="B27" i="113"/>
  <c r="B28" i="113"/>
  <c r="B29" i="113"/>
  <c r="B30" i="113"/>
  <c r="B31" i="113"/>
  <c r="B32" i="113"/>
  <c r="B33" i="113"/>
  <c r="B34" i="113"/>
  <c r="B35" i="113"/>
  <c r="B36" i="113"/>
  <c r="B37" i="113"/>
  <c r="B38" i="113"/>
  <c r="B39" i="113"/>
  <c r="B40" i="113"/>
  <c r="B41" i="113"/>
  <c r="B42" i="113"/>
  <c r="B43" i="113"/>
  <c r="B44" i="113"/>
  <c r="B45" i="113"/>
  <c r="B46" i="113"/>
  <c r="B47" i="113"/>
  <c r="B48" i="113"/>
  <c r="B49" i="113"/>
  <c r="B50" i="113"/>
  <c r="B51" i="113"/>
  <c r="B52" i="113"/>
  <c r="B53" i="113"/>
  <c r="B54" i="113"/>
  <c r="B55" i="113"/>
  <c r="B56" i="113"/>
  <c r="B57" i="113"/>
  <c r="B58" i="113"/>
  <c r="B59" i="113"/>
  <c r="B60" i="113"/>
  <c r="B61" i="113"/>
  <c r="B62" i="113"/>
  <c r="B63" i="113"/>
  <c r="B64" i="113"/>
  <c r="B65" i="113"/>
  <c r="B66" i="113"/>
  <c r="B67" i="113"/>
  <c r="B68" i="113"/>
  <c r="B69" i="113"/>
  <c r="B70" i="113"/>
  <c r="B72" i="113"/>
  <c r="A101" i="53" l="1"/>
  <c r="F357" i="127"/>
  <c r="F383" i="120"/>
  <c r="G383" i="120" s="1"/>
  <c r="F356" i="127"/>
  <c r="F382" i="120"/>
  <c r="G382" i="120" s="1"/>
  <c r="F358" i="127"/>
  <c r="F384" i="120"/>
  <c r="G384" i="120" s="1"/>
  <c r="F355" i="127"/>
  <c r="F381" i="120"/>
  <c r="G381" i="120" s="1"/>
  <c r="J7" i="5"/>
  <c r="A102" i="53" l="1"/>
  <c r="H384" i="120"/>
  <c r="D571" i="120" s="1"/>
  <c r="G358" i="127"/>
  <c r="L358" i="127"/>
  <c r="G356" i="127"/>
  <c r="L356" i="127"/>
  <c r="G355" i="127"/>
  <c r="L355" i="127"/>
  <c r="G357" i="127"/>
  <c r="L357" i="127"/>
  <c r="BL3" i="4"/>
  <c r="I80" i="5"/>
  <c r="I82" i="5"/>
  <c r="A103" i="53" l="1"/>
  <c r="M358" i="127"/>
  <c r="F251" i="127"/>
  <c r="F266" i="120"/>
  <c r="G266" i="120" s="1"/>
  <c r="C254" i="127"/>
  <c r="C269" i="120"/>
  <c r="C251" i="127"/>
  <c r="C266" i="120"/>
  <c r="C252" i="127"/>
  <c r="C267" i="120"/>
  <c r="C250" i="127"/>
  <c r="C265" i="120"/>
  <c r="F254" i="127"/>
  <c r="F269" i="120"/>
  <c r="G269" i="120" s="1"/>
  <c r="C249" i="127"/>
  <c r="C264" i="120"/>
  <c r="D254" i="127"/>
  <c r="D269" i="120"/>
  <c r="D251" i="127"/>
  <c r="D266" i="120"/>
  <c r="D252" i="127"/>
  <c r="D267" i="120"/>
  <c r="D250" i="127"/>
  <c r="D265" i="120"/>
  <c r="F252" i="127"/>
  <c r="F267" i="120"/>
  <c r="G267" i="120" s="1"/>
  <c r="F250" i="127"/>
  <c r="F265" i="120"/>
  <c r="G265" i="120" s="1"/>
  <c r="D249" i="127"/>
  <c r="D264" i="120"/>
  <c r="A104" i="53" l="1"/>
  <c r="D149" i="127"/>
  <c r="D159" i="120"/>
  <c r="C152" i="127"/>
  <c r="C162" i="120"/>
  <c r="D153" i="127"/>
  <c r="D163" i="120"/>
  <c r="C170" i="127"/>
  <c r="C180" i="120"/>
  <c r="D171" i="127"/>
  <c r="D181" i="120"/>
  <c r="C174" i="127"/>
  <c r="C184" i="120"/>
  <c r="D175" i="127"/>
  <c r="D185" i="120"/>
  <c r="C194" i="127"/>
  <c r="C204" i="120"/>
  <c r="C195" i="127"/>
  <c r="C205" i="120"/>
  <c r="D196" i="127"/>
  <c r="D206" i="120"/>
  <c r="C205" i="127"/>
  <c r="C215" i="120"/>
  <c r="D120" i="127"/>
  <c r="D130" i="120"/>
  <c r="C199" i="127"/>
  <c r="C209" i="120"/>
  <c r="D181" i="127"/>
  <c r="D191" i="120"/>
  <c r="F198" i="127"/>
  <c r="F208" i="120"/>
  <c r="G208" i="120" s="1"/>
  <c r="F173" i="127"/>
  <c r="F183" i="120"/>
  <c r="G183" i="120" s="1"/>
  <c r="F169" i="127"/>
  <c r="F179" i="120"/>
  <c r="G179" i="120" s="1"/>
  <c r="F151" i="127"/>
  <c r="F161" i="120"/>
  <c r="G161" i="120" s="1"/>
  <c r="F148" i="127"/>
  <c r="F158" i="120"/>
  <c r="G158" i="120" s="1"/>
  <c r="F140" i="127"/>
  <c r="F150" i="120"/>
  <c r="G150" i="120" s="1"/>
  <c r="F125" i="127"/>
  <c r="F135" i="120"/>
  <c r="G135" i="120" s="1"/>
  <c r="F121" i="127"/>
  <c r="F131" i="120"/>
  <c r="G131" i="120" s="1"/>
  <c r="F103" i="127"/>
  <c r="F113" i="120"/>
  <c r="G113" i="120" s="1"/>
  <c r="F109" i="127"/>
  <c r="F119" i="120"/>
  <c r="G119" i="120" s="1"/>
  <c r="F177" i="127"/>
  <c r="F187" i="120"/>
  <c r="G187" i="120" s="1"/>
  <c r="F200" i="127"/>
  <c r="F210" i="120"/>
  <c r="G210" i="120" s="1"/>
  <c r="F190" i="127"/>
  <c r="F200" i="120"/>
  <c r="G200" i="120" s="1"/>
  <c r="F184" i="127"/>
  <c r="F194" i="120"/>
  <c r="G194" i="120" s="1"/>
  <c r="F144" i="127"/>
  <c r="F154" i="120"/>
  <c r="G154" i="120" s="1"/>
  <c r="F209" i="127"/>
  <c r="F219" i="120"/>
  <c r="G219" i="120" s="1"/>
  <c r="F203" i="127"/>
  <c r="F213" i="120"/>
  <c r="G213" i="120" s="1"/>
  <c r="F178" i="127"/>
  <c r="F188" i="120"/>
  <c r="G188" i="120" s="1"/>
  <c r="F163" i="127"/>
  <c r="F173" i="120"/>
  <c r="G173" i="120" s="1"/>
  <c r="F108" i="127"/>
  <c r="F118" i="120"/>
  <c r="G118" i="120" s="1"/>
  <c r="F159" i="127"/>
  <c r="F169" i="120"/>
  <c r="G169" i="120" s="1"/>
  <c r="F134" i="127"/>
  <c r="F144" i="120"/>
  <c r="G144" i="120" s="1"/>
  <c r="F137" i="127"/>
  <c r="F147" i="120"/>
  <c r="G147" i="120" s="1"/>
  <c r="F114" i="127"/>
  <c r="F124" i="120"/>
  <c r="G124" i="120" s="1"/>
  <c r="D417" i="127"/>
  <c r="D448" i="120"/>
  <c r="D424" i="127"/>
  <c r="D455" i="120"/>
  <c r="D416" i="127"/>
  <c r="D447" i="120"/>
  <c r="D420" i="127"/>
  <c r="D451" i="120"/>
  <c r="D421" i="127"/>
  <c r="D452" i="120"/>
  <c r="D422" i="127"/>
  <c r="D453" i="120"/>
  <c r="D423" i="127"/>
  <c r="D454" i="120"/>
  <c r="D419" i="127"/>
  <c r="D450" i="120"/>
  <c r="D418" i="127"/>
  <c r="D449" i="120"/>
  <c r="F419" i="127"/>
  <c r="F450" i="120"/>
  <c r="G450" i="120" s="1"/>
  <c r="F451" i="120"/>
  <c r="G451" i="120" s="1"/>
  <c r="F420" i="127"/>
  <c r="F321" i="127"/>
  <c r="F345" i="120"/>
  <c r="G345" i="120" s="1"/>
  <c r="F43" i="127"/>
  <c r="F47" i="120"/>
  <c r="G47" i="120" s="1"/>
  <c r="C330" i="127"/>
  <c r="C355" i="120"/>
  <c r="D331" i="127"/>
  <c r="D356" i="120"/>
  <c r="C327" i="127"/>
  <c r="C352" i="120"/>
  <c r="D328" i="127"/>
  <c r="D353" i="120"/>
  <c r="F333" i="127"/>
  <c r="F358" i="120"/>
  <c r="G358" i="120" s="1"/>
  <c r="F277" i="127"/>
  <c r="F297" i="120"/>
  <c r="G297" i="120" s="1"/>
  <c r="C24" i="127"/>
  <c r="C22" i="120"/>
  <c r="D14" i="127"/>
  <c r="D12" i="120"/>
  <c r="C32" i="127"/>
  <c r="C30" i="120"/>
  <c r="D9" i="127"/>
  <c r="D7" i="120"/>
  <c r="D25" i="127"/>
  <c r="D23" i="120"/>
  <c r="D12" i="127"/>
  <c r="D10" i="120"/>
  <c r="C19" i="127"/>
  <c r="C17" i="120"/>
  <c r="D21" i="127"/>
  <c r="D19" i="120"/>
  <c r="C31" i="127"/>
  <c r="C29" i="120"/>
  <c r="D16" i="127"/>
  <c r="D14" i="120"/>
  <c r="C7" i="127"/>
  <c r="C5" i="120"/>
  <c r="D11" i="127"/>
  <c r="D9" i="120"/>
  <c r="F22" i="127"/>
  <c r="F20" i="120"/>
  <c r="G20" i="120" s="1"/>
  <c r="F29" i="127"/>
  <c r="F27" i="120"/>
  <c r="G27" i="120" s="1"/>
  <c r="F21" i="127"/>
  <c r="F19" i="120"/>
  <c r="G19" i="120" s="1"/>
  <c r="F12" i="127"/>
  <c r="F10" i="120"/>
  <c r="G10" i="120" s="1"/>
  <c r="F25" i="127"/>
  <c r="F23" i="120"/>
  <c r="G23" i="120" s="1"/>
  <c r="F14" i="127"/>
  <c r="F12" i="120"/>
  <c r="G12" i="120" s="1"/>
  <c r="C293" i="127"/>
  <c r="C318" i="120"/>
  <c r="D299" i="127"/>
  <c r="D324" i="120"/>
  <c r="D297" i="127"/>
  <c r="D322" i="120"/>
  <c r="D300" i="127"/>
  <c r="D325" i="120"/>
  <c r="D296" i="127"/>
  <c r="D321" i="120"/>
  <c r="D301" i="127"/>
  <c r="D326" i="120"/>
  <c r="D295" i="127"/>
  <c r="D320" i="120"/>
  <c r="D302" i="127"/>
  <c r="D327" i="120"/>
  <c r="D292" i="127"/>
  <c r="D317" i="120"/>
  <c r="D298" i="127"/>
  <c r="D323" i="120"/>
  <c r="D290" i="127"/>
  <c r="D315" i="120"/>
  <c r="D291" i="127"/>
  <c r="D316" i="120"/>
  <c r="D294" i="127"/>
  <c r="D319" i="120"/>
  <c r="F294" i="127"/>
  <c r="F319" i="120"/>
  <c r="G319" i="120" s="1"/>
  <c r="F292" i="127"/>
  <c r="F317" i="120"/>
  <c r="G317" i="120" s="1"/>
  <c r="F297" i="127"/>
  <c r="F322" i="120"/>
  <c r="G322" i="120" s="1"/>
  <c r="C400" i="127"/>
  <c r="C431" i="120"/>
  <c r="D401" i="127"/>
  <c r="D432" i="120"/>
  <c r="D402" i="127"/>
  <c r="D433" i="120"/>
  <c r="D403" i="127"/>
  <c r="D434" i="120"/>
  <c r="D404" i="127"/>
  <c r="D435" i="120"/>
  <c r="F403" i="127"/>
  <c r="F434" i="120"/>
  <c r="G434" i="120" s="1"/>
  <c r="D381" i="127"/>
  <c r="D411" i="120"/>
  <c r="D382" i="127"/>
  <c r="D412" i="120"/>
  <c r="D380" i="127"/>
  <c r="D410" i="120"/>
  <c r="F381" i="127"/>
  <c r="F411" i="120"/>
  <c r="G411" i="120" s="1"/>
  <c r="F436" i="127"/>
  <c r="F468" i="120"/>
  <c r="G468" i="120" s="1"/>
  <c r="F437" i="127"/>
  <c r="F469" i="120"/>
  <c r="G469" i="120" s="1"/>
  <c r="D79" i="127"/>
  <c r="D89" i="120"/>
  <c r="D80" i="127"/>
  <c r="D90" i="120"/>
  <c r="D81" i="127"/>
  <c r="D91" i="120"/>
  <c r="D82" i="127"/>
  <c r="D92" i="120"/>
  <c r="D83" i="127"/>
  <c r="D93" i="120"/>
  <c r="D84" i="127"/>
  <c r="D94" i="120"/>
  <c r="F83" i="127"/>
  <c r="F93" i="120"/>
  <c r="G93" i="120" s="1"/>
  <c r="F80" i="127"/>
  <c r="F90" i="120"/>
  <c r="G90" i="120" s="1"/>
  <c r="C357" i="127"/>
  <c r="C383" i="120"/>
  <c r="C355" i="127"/>
  <c r="C381" i="120"/>
  <c r="C356" i="127"/>
  <c r="C382" i="120"/>
  <c r="C358" i="127"/>
  <c r="C384" i="120"/>
  <c r="C385" i="127"/>
  <c r="C415" i="120"/>
  <c r="C40" i="127"/>
  <c r="C43" i="120"/>
  <c r="D36" i="127"/>
  <c r="D39" i="120"/>
  <c r="D37" i="127"/>
  <c r="D40" i="120"/>
  <c r="F39" i="127"/>
  <c r="F42" i="120"/>
  <c r="G42" i="120" s="1"/>
  <c r="C267" i="127"/>
  <c r="C282" i="120"/>
  <c r="D266" i="127"/>
  <c r="D281" i="120"/>
  <c r="D347" i="127"/>
  <c r="D373" i="120"/>
  <c r="D346" i="127"/>
  <c r="D372" i="120"/>
  <c r="D349" i="127"/>
  <c r="D375" i="120"/>
  <c r="D350" i="127"/>
  <c r="D376" i="120"/>
  <c r="D351" i="127"/>
  <c r="D377" i="120"/>
  <c r="D344" i="127"/>
  <c r="D370" i="120"/>
  <c r="D345" i="127"/>
  <c r="D371" i="120"/>
  <c r="D348" i="127"/>
  <c r="D374" i="120"/>
  <c r="D352" i="127"/>
  <c r="D378" i="120"/>
  <c r="F348" i="127"/>
  <c r="F374" i="120"/>
  <c r="G374" i="120" s="1"/>
  <c r="F345" i="127"/>
  <c r="F371" i="120"/>
  <c r="G371" i="120" s="1"/>
  <c r="F350" i="127"/>
  <c r="F376" i="120"/>
  <c r="G376" i="120" s="1"/>
  <c r="F347" i="127"/>
  <c r="F373" i="120"/>
  <c r="G373" i="120" s="1"/>
  <c r="D392" i="127"/>
  <c r="D423" i="120"/>
  <c r="C394" i="127"/>
  <c r="C425" i="120"/>
  <c r="D390" i="127"/>
  <c r="D421" i="120"/>
  <c r="D393" i="127"/>
  <c r="D424" i="120"/>
  <c r="H269" i="120"/>
  <c r="D559" i="120" s="1"/>
  <c r="G252" i="127"/>
  <c r="L252" i="127"/>
  <c r="D340" i="127"/>
  <c r="D366" i="120"/>
  <c r="D374" i="127"/>
  <c r="D403" i="120"/>
  <c r="F372" i="127"/>
  <c r="F401" i="120"/>
  <c r="G401" i="120" s="1"/>
  <c r="C283" i="127"/>
  <c r="C306" i="120"/>
  <c r="C48" i="127"/>
  <c r="C53" i="120"/>
  <c r="D49" i="127"/>
  <c r="D54" i="120"/>
  <c r="D50" i="127"/>
  <c r="D55" i="120"/>
  <c r="D52" i="127"/>
  <c r="D57" i="120"/>
  <c r="C431" i="127"/>
  <c r="C463" i="120"/>
  <c r="D463" i="127"/>
  <c r="D495" i="120"/>
  <c r="C119" i="127"/>
  <c r="C129" i="120"/>
  <c r="D143" i="127"/>
  <c r="D153" i="120"/>
  <c r="D202" i="127"/>
  <c r="D212" i="120"/>
  <c r="D208" i="127"/>
  <c r="D218" i="120"/>
  <c r="C156" i="127"/>
  <c r="C166" i="120"/>
  <c r="C188" i="127"/>
  <c r="C198" i="120"/>
  <c r="C116" i="127"/>
  <c r="C126" i="120"/>
  <c r="C177" i="127"/>
  <c r="C187" i="120"/>
  <c r="C104" i="127"/>
  <c r="C114" i="120"/>
  <c r="D105" i="127"/>
  <c r="D115" i="120"/>
  <c r="C153" i="127"/>
  <c r="C163" i="120"/>
  <c r="C175" i="127"/>
  <c r="C185" i="120"/>
  <c r="D176" i="127"/>
  <c r="D186" i="120"/>
  <c r="F104" i="127"/>
  <c r="F114" i="120"/>
  <c r="G114" i="120" s="1"/>
  <c r="F210" i="127"/>
  <c r="F220" i="120"/>
  <c r="G220" i="120" s="1"/>
  <c r="F180" i="127"/>
  <c r="F190" i="120"/>
  <c r="G190" i="120" s="1"/>
  <c r="F112" i="127"/>
  <c r="F122" i="120"/>
  <c r="G122" i="120" s="1"/>
  <c r="F136" i="127"/>
  <c r="F146" i="120"/>
  <c r="G146" i="120" s="1"/>
  <c r="F138" i="127"/>
  <c r="F148" i="120"/>
  <c r="G148" i="120" s="1"/>
  <c r="C417" i="127"/>
  <c r="C448" i="120"/>
  <c r="C424" i="127"/>
  <c r="C455" i="120"/>
  <c r="C416" i="127"/>
  <c r="C447" i="120"/>
  <c r="C420" i="127"/>
  <c r="C451" i="120"/>
  <c r="C421" i="127"/>
  <c r="C452" i="120"/>
  <c r="C423" i="127"/>
  <c r="C454" i="120"/>
  <c r="C418" i="127"/>
  <c r="C449" i="120"/>
  <c r="F421" i="127"/>
  <c r="F452" i="120"/>
  <c r="G452" i="120" s="1"/>
  <c r="F324" i="127"/>
  <c r="F348" i="120"/>
  <c r="G348" i="120" s="1"/>
  <c r="D329" i="127"/>
  <c r="D354" i="120"/>
  <c r="F327" i="127"/>
  <c r="F352" i="120"/>
  <c r="G352" i="120" s="1"/>
  <c r="C9" i="127"/>
  <c r="C7" i="120"/>
  <c r="D15" i="127"/>
  <c r="D13" i="120"/>
  <c r="F7" i="127"/>
  <c r="F5" i="120"/>
  <c r="G5" i="120" s="1"/>
  <c r="F23" i="127"/>
  <c r="F21" i="120"/>
  <c r="G21" i="120" s="1"/>
  <c r="F8" i="127"/>
  <c r="F6" i="120"/>
  <c r="G6" i="120" s="1"/>
  <c r="C297" i="127"/>
  <c r="C322" i="120"/>
  <c r="C300" i="127"/>
  <c r="C325" i="120"/>
  <c r="C301" i="127"/>
  <c r="C326" i="120"/>
  <c r="C302" i="127"/>
  <c r="C327" i="120"/>
  <c r="C298" i="127"/>
  <c r="C323" i="120"/>
  <c r="C291" i="127"/>
  <c r="C316" i="120"/>
  <c r="F298" i="127"/>
  <c r="F323" i="120"/>
  <c r="G323" i="120" s="1"/>
  <c r="F300" i="127"/>
  <c r="F325" i="120"/>
  <c r="G325" i="120" s="1"/>
  <c r="C402" i="127"/>
  <c r="C433" i="120"/>
  <c r="C404" i="127"/>
  <c r="C435" i="120"/>
  <c r="C381" i="127"/>
  <c r="C411" i="120"/>
  <c r="C380" i="127"/>
  <c r="C410" i="120"/>
  <c r="D438" i="127"/>
  <c r="D470" i="120"/>
  <c r="D439" i="127"/>
  <c r="D471" i="120"/>
  <c r="C80" i="127"/>
  <c r="C90" i="120"/>
  <c r="C81" i="127"/>
  <c r="C91" i="120"/>
  <c r="C83" i="127"/>
  <c r="C93" i="120"/>
  <c r="F84" i="127"/>
  <c r="F94" i="120"/>
  <c r="G94" i="120" s="1"/>
  <c r="C37" i="127"/>
  <c r="C40" i="120"/>
  <c r="C349" i="127"/>
  <c r="C375" i="120"/>
  <c r="C350" i="127"/>
  <c r="C376" i="120"/>
  <c r="C351" i="127"/>
  <c r="C377" i="120"/>
  <c r="C348" i="127"/>
  <c r="C374" i="120"/>
  <c r="F346" i="127"/>
  <c r="F372" i="120"/>
  <c r="G372" i="120" s="1"/>
  <c r="C392" i="127"/>
  <c r="C423" i="120"/>
  <c r="C390" i="127"/>
  <c r="C421" i="120"/>
  <c r="C396" i="127"/>
  <c r="C427" i="120"/>
  <c r="F390" i="127"/>
  <c r="F421" i="120"/>
  <c r="G421" i="120" s="1"/>
  <c r="G254" i="127"/>
  <c r="L254" i="127"/>
  <c r="C340" i="127"/>
  <c r="C366" i="120"/>
  <c r="C341" i="127"/>
  <c r="C367" i="120"/>
  <c r="C370" i="127"/>
  <c r="C399" i="120"/>
  <c r="D284" i="127"/>
  <c r="D307" i="120"/>
  <c r="D286" i="127"/>
  <c r="D309" i="120"/>
  <c r="F283" i="127"/>
  <c r="F306" i="120"/>
  <c r="G306" i="120" s="1"/>
  <c r="F66" i="127"/>
  <c r="F75" i="120"/>
  <c r="G75" i="120" s="1"/>
  <c r="D455" i="127"/>
  <c r="D487" i="120"/>
  <c r="D452" i="127"/>
  <c r="D484" i="120"/>
  <c r="F453" i="127"/>
  <c r="F485" i="120"/>
  <c r="G485" i="120" s="1"/>
  <c r="F259" i="127"/>
  <c r="F274" i="120"/>
  <c r="G274" i="120" s="1"/>
  <c r="D431" i="127"/>
  <c r="D463" i="120"/>
  <c r="D432" i="127"/>
  <c r="D464" i="120"/>
  <c r="F429" i="127"/>
  <c r="F461" i="120"/>
  <c r="G461" i="120" s="1"/>
  <c r="F465" i="127"/>
  <c r="F497" i="120"/>
  <c r="G497" i="120" s="1"/>
  <c r="C315" i="127"/>
  <c r="C339" i="120"/>
  <c r="D238" i="127"/>
  <c r="D248" i="120"/>
  <c r="C87" i="127"/>
  <c r="C97" i="120"/>
  <c r="C92" i="127"/>
  <c r="C102" i="120"/>
  <c r="C88" i="127"/>
  <c r="C98" i="120"/>
  <c r="C91" i="127"/>
  <c r="C101" i="120"/>
  <c r="C93" i="127"/>
  <c r="C103" i="120"/>
  <c r="C95" i="127"/>
  <c r="C105" i="120"/>
  <c r="D89" i="127"/>
  <c r="D99" i="120"/>
  <c r="D94" i="127"/>
  <c r="D104" i="120"/>
  <c r="F89" i="127"/>
  <c r="F99" i="120"/>
  <c r="G99" i="120" s="1"/>
  <c r="C502" i="127"/>
  <c r="C534" i="120"/>
  <c r="D504" i="127"/>
  <c r="D536" i="120"/>
  <c r="D111" i="127"/>
  <c r="D121" i="120"/>
  <c r="D126" i="127"/>
  <c r="D136" i="120"/>
  <c r="C165" i="127"/>
  <c r="C175" i="120"/>
  <c r="D179" i="127"/>
  <c r="D189" i="120"/>
  <c r="D107" i="127"/>
  <c r="D117" i="120"/>
  <c r="D131" i="127"/>
  <c r="D141" i="120"/>
  <c r="C180" i="127"/>
  <c r="C190" i="120"/>
  <c r="C185" i="127"/>
  <c r="C195" i="120"/>
  <c r="C206" i="127"/>
  <c r="C216" i="120"/>
  <c r="C210" i="127"/>
  <c r="C220" i="120"/>
  <c r="D189" i="127"/>
  <c r="D199" i="120"/>
  <c r="D100" i="127"/>
  <c r="D110" i="120"/>
  <c r="C121" i="127"/>
  <c r="C131" i="120"/>
  <c r="D122" i="127"/>
  <c r="D132" i="120"/>
  <c r="C140" i="127"/>
  <c r="C150" i="120"/>
  <c r="F285" i="127"/>
  <c r="F308" i="120"/>
  <c r="G308" i="120" s="1"/>
  <c r="F69" i="127"/>
  <c r="F78" i="120"/>
  <c r="G78" i="120" s="1"/>
  <c r="C443" i="127"/>
  <c r="C475" i="120"/>
  <c r="C444" i="127"/>
  <c r="C476" i="120"/>
  <c r="C445" i="127"/>
  <c r="C477" i="120"/>
  <c r="C446" i="127"/>
  <c r="C478" i="120"/>
  <c r="C447" i="127"/>
  <c r="C479" i="120"/>
  <c r="C448" i="127"/>
  <c r="C480" i="120"/>
  <c r="C449" i="127"/>
  <c r="C481" i="120"/>
  <c r="F455" i="127"/>
  <c r="F487" i="120"/>
  <c r="G487" i="120" s="1"/>
  <c r="F450" i="127"/>
  <c r="F482" i="120"/>
  <c r="G482" i="120" s="1"/>
  <c r="F445" i="127"/>
  <c r="F477" i="120"/>
  <c r="G477" i="120" s="1"/>
  <c r="C262" i="127"/>
  <c r="C277" i="120"/>
  <c r="F262" i="127"/>
  <c r="F277" i="120"/>
  <c r="G277" i="120" s="1"/>
  <c r="F258" i="127"/>
  <c r="F273" i="120"/>
  <c r="G273" i="120" s="1"/>
  <c r="C51" i="127"/>
  <c r="C56" i="120"/>
  <c r="D429" i="127"/>
  <c r="D461" i="120"/>
  <c r="D428" i="127"/>
  <c r="D460" i="120"/>
  <c r="F463" i="127"/>
  <c r="F495" i="120"/>
  <c r="G495" i="120" s="1"/>
  <c r="C11" i="125"/>
  <c r="D474" i="127"/>
  <c r="D506" i="120"/>
  <c r="D315" i="127"/>
  <c r="D339" i="120"/>
  <c r="D310" i="127"/>
  <c r="D334" i="120"/>
  <c r="D311" i="127"/>
  <c r="D335" i="120"/>
  <c r="D312" i="127"/>
  <c r="D336" i="120"/>
  <c r="D314" i="127"/>
  <c r="D338" i="120"/>
  <c r="D316" i="127"/>
  <c r="D340" i="120"/>
  <c r="D317" i="127"/>
  <c r="D341" i="120"/>
  <c r="F316" i="127"/>
  <c r="F340" i="120"/>
  <c r="G340" i="120" s="1"/>
  <c r="F243" i="127"/>
  <c r="F253" i="120"/>
  <c r="G253" i="120" s="1"/>
  <c r="D87" i="127"/>
  <c r="D97" i="120"/>
  <c r="D92" i="127"/>
  <c r="D102" i="120"/>
  <c r="D88" i="127"/>
  <c r="D98" i="120"/>
  <c r="D91" i="127"/>
  <c r="D101" i="120"/>
  <c r="D93" i="127"/>
  <c r="D103" i="120"/>
  <c r="D95" i="127"/>
  <c r="D105" i="120"/>
  <c r="F97" i="127"/>
  <c r="F107" i="120"/>
  <c r="G107" i="120" s="1"/>
  <c r="F88" i="127"/>
  <c r="F98" i="120"/>
  <c r="G98" i="120" s="1"/>
  <c r="D502" i="127"/>
  <c r="D534" i="120"/>
  <c r="F503" i="127"/>
  <c r="F535" i="120"/>
  <c r="G535" i="120" s="1"/>
  <c r="C114" i="127"/>
  <c r="C124" i="120"/>
  <c r="C110" i="127"/>
  <c r="C120" i="120"/>
  <c r="C138" i="127"/>
  <c r="C148" i="120"/>
  <c r="D155" i="127"/>
  <c r="D165" i="120"/>
  <c r="C164" i="127"/>
  <c r="C174" i="120"/>
  <c r="D165" i="127"/>
  <c r="D175" i="120"/>
  <c r="C193" i="127"/>
  <c r="C203" i="120"/>
  <c r="D106" i="127"/>
  <c r="D116" i="120"/>
  <c r="C136" i="127"/>
  <c r="C146" i="120"/>
  <c r="D139" i="127"/>
  <c r="D149" i="120"/>
  <c r="C160" i="127"/>
  <c r="C170" i="120"/>
  <c r="D166" i="127"/>
  <c r="D176" i="120"/>
  <c r="C112" i="127"/>
  <c r="C122" i="120"/>
  <c r="D127" i="127"/>
  <c r="D137" i="120"/>
  <c r="C129" i="127"/>
  <c r="C139" i="120"/>
  <c r="D130" i="127"/>
  <c r="D140" i="120"/>
  <c r="D180" i="127"/>
  <c r="D190" i="120"/>
  <c r="C163" i="127"/>
  <c r="C173" i="120"/>
  <c r="C178" i="127"/>
  <c r="C188" i="120"/>
  <c r="D185" i="127"/>
  <c r="D195" i="120"/>
  <c r="C203" i="127"/>
  <c r="C213" i="120"/>
  <c r="D206" i="127"/>
  <c r="D216" i="120"/>
  <c r="C209" i="127"/>
  <c r="C219" i="120"/>
  <c r="D210" i="127"/>
  <c r="D220" i="120"/>
  <c r="C144" i="127"/>
  <c r="C154" i="120"/>
  <c r="D145" i="127"/>
  <c r="D155" i="120"/>
  <c r="C184" i="127"/>
  <c r="C194" i="120"/>
  <c r="C191" i="127"/>
  <c r="C201" i="120"/>
  <c r="D204" i="127"/>
  <c r="D214" i="120"/>
  <c r="C142" i="127"/>
  <c r="C152" i="120"/>
  <c r="D167" i="127"/>
  <c r="D177" i="120"/>
  <c r="C186" i="127"/>
  <c r="C196" i="120"/>
  <c r="D109" i="127"/>
  <c r="D119" i="120"/>
  <c r="C158" i="127"/>
  <c r="C168" i="120"/>
  <c r="C102" i="127"/>
  <c r="C112" i="120"/>
  <c r="D103" i="127"/>
  <c r="D113" i="120"/>
  <c r="C118" i="127"/>
  <c r="C128" i="120"/>
  <c r="D121" i="127"/>
  <c r="D131" i="120"/>
  <c r="C124" i="127"/>
  <c r="C134" i="120"/>
  <c r="D125" i="127"/>
  <c r="D135" i="120"/>
  <c r="C133" i="127"/>
  <c r="C143" i="120"/>
  <c r="D140" i="127"/>
  <c r="D150" i="120"/>
  <c r="C147" i="127"/>
  <c r="C157" i="120"/>
  <c r="D148" i="127"/>
  <c r="D158" i="120"/>
  <c r="C151" i="127"/>
  <c r="C161" i="120"/>
  <c r="D152" i="127"/>
  <c r="D162" i="120"/>
  <c r="C169" i="127"/>
  <c r="C179" i="120"/>
  <c r="D170" i="127"/>
  <c r="D180" i="120"/>
  <c r="C173" i="127"/>
  <c r="C183" i="120"/>
  <c r="D174" i="127"/>
  <c r="D184" i="120"/>
  <c r="D194" i="127"/>
  <c r="D204" i="120"/>
  <c r="D195" i="127"/>
  <c r="D205" i="120"/>
  <c r="C198" i="127"/>
  <c r="C208" i="120"/>
  <c r="D205" i="127"/>
  <c r="D215" i="120"/>
  <c r="C201" i="127"/>
  <c r="C211" i="120"/>
  <c r="D199" i="127"/>
  <c r="D209" i="120"/>
  <c r="F182" i="127"/>
  <c r="F192" i="120"/>
  <c r="G192" i="120" s="1"/>
  <c r="F168" i="127"/>
  <c r="F178" i="120"/>
  <c r="G178" i="120" s="1"/>
  <c r="F197" i="127"/>
  <c r="F207" i="120"/>
  <c r="G207" i="120" s="1"/>
  <c r="F176" i="127"/>
  <c r="F186" i="120"/>
  <c r="G186" i="120" s="1"/>
  <c r="F172" i="127"/>
  <c r="F182" i="120"/>
  <c r="G182" i="120" s="1"/>
  <c r="F154" i="127"/>
  <c r="F164" i="120"/>
  <c r="G164" i="120" s="1"/>
  <c r="F150" i="127"/>
  <c r="F160" i="120"/>
  <c r="G160" i="120" s="1"/>
  <c r="F147" i="127"/>
  <c r="F157" i="120"/>
  <c r="G157" i="120" s="1"/>
  <c r="F133" i="127"/>
  <c r="F143" i="120"/>
  <c r="G143" i="120" s="1"/>
  <c r="F124" i="127"/>
  <c r="F134" i="120"/>
  <c r="G134" i="120" s="1"/>
  <c r="F118" i="127"/>
  <c r="F128" i="120"/>
  <c r="G128" i="120" s="1"/>
  <c r="F102" i="127"/>
  <c r="F112" i="120"/>
  <c r="G112" i="120" s="1"/>
  <c r="F158" i="127"/>
  <c r="F168" i="120"/>
  <c r="G168" i="120" s="1"/>
  <c r="F167" i="127"/>
  <c r="F177" i="120"/>
  <c r="G177" i="120" s="1"/>
  <c r="F116" i="127"/>
  <c r="F126" i="120"/>
  <c r="G126" i="120" s="1"/>
  <c r="F189" i="127"/>
  <c r="F199" i="120"/>
  <c r="G199" i="120" s="1"/>
  <c r="F183" i="127"/>
  <c r="F193" i="120"/>
  <c r="G193" i="120" s="1"/>
  <c r="F135" i="127"/>
  <c r="F145" i="120"/>
  <c r="G145" i="120" s="1"/>
  <c r="F208" i="127"/>
  <c r="F218" i="120"/>
  <c r="G218" i="120" s="1"/>
  <c r="F202" i="127"/>
  <c r="F212" i="120"/>
  <c r="G212" i="120" s="1"/>
  <c r="F143" i="127"/>
  <c r="F153" i="120"/>
  <c r="G153" i="120" s="1"/>
  <c r="F187" i="127"/>
  <c r="F197" i="120"/>
  <c r="G197" i="120" s="1"/>
  <c r="F107" i="127"/>
  <c r="F117" i="120"/>
  <c r="G117" i="120" s="1"/>
  <c r="F179" i="127"/>
  <c r="F189" i="120"/>
  <c r="G189" i="120" s="1"/>
  <c r="F157" i="127"/>
  <c r="F167" i="120"/>
  <c r="G167" i="120" s="1"/>
  <c r="F126" i="127"/>
  <c r="F136" i="120"/>
  <c r="G136" i="120" s="1"/>
  <c r="F113" i="127"/>
  <c r="F123" i="120"/>
  <c r="G123" i="120" s="1"/>
  <c r="F423" i="127"/>
  <c r="F454" i="120"/>
  <c r="G454" i="120" s="1"/>
  <c r="F416" i="127"/>
  <c r="F447" i="120"/>
  <c r="G447" i="120" s="1"/>
  <c r="C320" i="127"/>
  <c r="C344" i="120"/>
  <c r="C321" i="127"/>
  <c r="C345" i="120"/>
  <c r="C324" i="127"/>
  <c r="C348" i="120"/>
  <c r="C323" i="127"/>
  <c r="C347" i="120"/>
  <c r="F323" i="127"/>
  <c r="F347" i="120"/>
  <c r="G347" i="120" s="1"/>
  <c r="F320" i="127"/>
  <c r="F344" i="120"/>
  <c r="G344" i="120" s="1"/>
  <c r="C45" i="127"/>
  <c r="C49" i="120"/>
  <c r="C43" i="127"/>
  <c r="C47" i="120"/>
  <c r="F45" i="127"/>
  <c r="F49" i="120"/>
  <c r="G49" i="120" s="1"/>
  <c r="C332" i="127"/>
  <c r="C357" i="120"/>
  <c r="C334" i="127"/>
  <c r="C359" i="120"/>
  <c r="D330" i="127"/>
  <c r="D355" i="120"/>
  <c r="C333" i="127"/>
  <c r="C358" i="120"/>
  <c r="D327" i="127"/>
  <c r="D352" i="120"/>
  <c r="F331" i="127"/>
  <c r="F356" i="120"/>
  <c r="G356" i="120" s="1"/>
  <c r="C277" i="127"/>
  <c r="C297" i="120"/>
  <c r="C278" i="127"/>
  <c r="C298" i="120"/>
  <c r="C279" i="127"/>
  <c r="C299" i="120"/>
  <c r="F279" i="127"/>
  <c r="F299" i="120"/>
  <c r="G299" i="120" s="1"/>
  <c r="C18" i="127"/>
  <c r="C16" i="120"/>
  <c r="D24" i="127"/>
  <c r="D22" i="120"/>
  <c r="C30" i="127"/>
  <c r="C28" i="120"/>
  <c r="D32" i="127"/>
  <c r="D30" i="120"/>
  <c r="C17" i="127"/>
  <c r="C15" i="120"/>
  <c r="D19" i="127"/>
  <c r="D17" i="120"/>
  <c r="C26" i="127"/>
  <c r="C24" i="120"/>
  <c r="D31" i="127"/>
  <c r="D29" i="120"/>
  <c r="D20" i="127"/>
  <c r="D18" i="120"/>
  <c r="C29" i="127"/>
  <c r="C27" i="120"/>
  <c r="D7" i="127"/>
  <c r="D5" i="120"/>
  <c r="C22" i="127"/>
  <c r="C20" i="120"/>
  <c r="F15" i="127"/>
  <c r="F13" i="120"/>
  <c r="G13" i="120" s="1"/>
  <c r="F28" i="127"/>
  <c r="F26" i="120"/>
  <c r="G26" i="120" s="1"/>
  <c r="F31" i="127"/>
  <c r="F29" i="120"/>
  <c r="G29" i="120" s="1"/>
  <c r="F19" i="127"/>
  <c r="F17" i="120"/>
  <c r="G17" i="120" s="1"/>
  <c r="F32" i="127"/>
  <c r="F30" i="120"/>
  <c r="G30" i="120" s="1"/>
  <c r="F24" i="127"/>
  <c r="F22" i="120"/>
  <c r="G22" i="120" s="1"/>
  <c r="D293" i="127"/>
  <c r="D318" i="120"/>
  <c r="F291" i="127"/>
  <c r="F316" i="120"/>
  <c r="G316" i="120" s="1"/>
  <c r="F302" i="127"/>
  <c r="F327" i="120"/>
  <c r="G327" i="120" s="1"/>
  <c r="F301" i="127"/>
  <c r="F326" i="120"/>
  <c r="G326" i="120" s="1"/>
  <c r="F299" i="127"/>
  <c r="F324" i="120"/>
  <c r="G324" i="120" s="1"/>
  <c r="D400" i="127"/>
  <c r="D431" i="120"/>
  <c r="F401" i="127"/>
  <c r="F432" i="120"/>
  <c r="G432" i="120" s="1"/>
  <c r="C437" i="127"/>
  <c r="C469" i="120"/>
  <c r="C436" i="127"/>
  <c r="C468" i="120"/>
  <c r="F439" i="127"/>
  <c r="F471" i="120"/>
  <c r="G471" i="120" s="1"/>
  <c r="F82" i="127"/>
  <c r="F92" i="120"/>
  <c r="G92" i="120" s="1"/>
  <c r="F79" i="127"/>
  <c r="F89" i="120"/>
  <c r="G89" i="120" s="1"/>
  <c r="D357" i="127"/>
  <c r="D383" i="120"/>
  <c r="D355" i="127"/>
  <c r="D381" i="120"/>
  <c r="D356" i="127"/>
  <c r="D382" i="120"/>
  <c r="D358" i="127"/>
  <c r="D384" i="120"/>
  <c r="C386" i="127"/>
  <c r="C416" i="120"/>
  <c r="D385" i="127"/>
  <c r="D415" i="120"/>
  <c r="F385" i="127"/>
  <c r="F415" i="120"/>
  <c r="G415" i="120" s="1"/>
  <c r="H417" i="120" s="1"/>
  <c r="D576" i="120" s="1"/>
  <c r="C39" i="127"/>
  <c r="C42" i="120"/>
  <c r="D40" i="127"/>
  <c r="D43" i="120"/>
  <c r="F76" i="127"/>
  <c r="F86" i="120"/>
  <c r="G86" i="120" s="1"/>
  <c r="C362" i="127"/>
  <c r="C389" i="120"/>
  <c r="D267" i="127"/>
  <c r="D282" i="120"/>
  <c r="F267" i="127"/>
  <c r="F282" i="120"/>
  <c r="G282" i="120" s="1"/>
  <c r="F344" i="127"/>
  <c r="F370" i="120"/>
  <c r="G370" i="120" s="1"/>
  <c r="F349" i="127"/>
  <c r="F375" i="120"/>
  <c r="G375" i="120" s="1"/>
  <c r="B365" i="127"/>
  <c r="B393" i="120"/>
  <c r="C367" i="127"/>
  <c r="C395" i="120"/>
  <c r="C366" i="127"/>
  <c r="C394" i="120"/>
  <c r="F367" i="127"/>
  <c r="F395" i="120"/>
  <c r="G395" i="120" s="1"/>
  <c r="H395" i="120" s="1"/>
  <c r="D573" i="120" s="1"/>
  <c r="D394" i="127"/>
  <c r="D425" i="120"/>
  <c r="F392" i="127"/>
  <c r="F423" i="120"/>
  <c r="G423" i="120" s="1"/>
  <c r="G250" i="127"/>
  <c r="L250" i="127"/>
  <c r="D339" i="127"/>
  <c r="D365" i="120"/>
  <c r="D337" i="127"/>
  <c r="D363" i="120"/>
  <c r="D341" i="127"/>
  <c r="D367" i="120"/>
  <c r="D338" i="127"/>
  <c r="D364" i="120"/>
  <c r="D375" i="127"/>
  <c r="D404" i="120"/>
  <c r="D376" i="127"/>
  <c r="D405" i="120"/>
  <c r="D371" i="127"/>
  <c r="D400" i="120"/>
  <c r="D372" i="127"/>
  <c r="D401" i="120"/>
  <c r="D373" i="127"/>
  <c r="D402" i="120"/>
  <c r="D377" i="127"/>
  <c r="D406" i="120"/>
  <c r="F374" i="127"/>
  <c r="F403" i="120"/>
  <c r="G403" i="120" s="1"/>
  <c r="C284" i="127"/>
  <c r="C307" i="120"/>
  <c r="C287" i="127"/>
  <c r="C310" i="120"/>
  <c r="C285" i="127"/>
  <c r="C308" i="120"/>
  <c r="C286" i="127"/>
  <c r="C309" i="120"/>
  <c r="F286" i="127"/>
  <c r="F309" i="120"/>
  <c r="G309" i="120" s="1"/>
  <c r="F284" i="127"/>
  <c r="F307" i="120"/>
  <c r="G307" i="120" s="1"/>
  <c r="D66" i="127"/>
  <c r="D75" i="120"/>
  <c r="D67" i="127"/>
  <c r="D76" i="120"/>
  <c r="D68" i="127"/>
  <c r="D77" i="120"/>
  <c r="D69" i="127"/>
  <c r="D78" i="120"/>
  <c r="D64" i="127"/>
  <c r="D73" i="120"/>
  <c r="D65" i="127"/>
  <c r="D74" i="120"/>
  <c r="F64" i="127"/>
  <c r="F73" i="120"/>
  <c r="G73" i="120" s="1"/>
  <c r="F67" i="127"/>
  <c r="F76" i="120"/>
  <c r="G76" i="120" s="1"/>
  <c r="D442" i="127"/>
  <c r="D474" i="120"/>
  <c r="C454" i="127"/>
  <c r="C486" i="120"/>
  <c r="C450" i="127"/>
  <c r="C482" i="120"/>
  <c r="C453" i="127"/>
  <c r="C485" i="120"/>
  <c r="C456" i="127"/>
  <c r="C488" i="120"/>
  <c r="C455" i="127"/>
  <c r="C487" i="120"/>
  <c r="C451" i="127"/>
  <c r="C483" i="120"/>
  <c r="C452" i="127"/>
  <c r="C484" i="120"/>
  <c r="F452" i="127"/>
  <c r="F484" i="120"/>
  <c r="G484" i="120" s="1"/>
  <c r="F456" i="127"/>
  <c r="F488" i="120"/>
  <c r="G488" i="120" s="1"/>
  <c r="F443" i="127"/>
  <c r="F475" i="120"/>
  <c r="G475" i="120" s="1"/>
  <c r="D258" i="127"/>
  <c r="D273" i="120"/>
  <c r="D259" i="127"/>
  <c r="D274" i="120"/>
  <c r="D260" i="127"/>
  <c r="D275" i="120"/>
  <c r="D261" i="127"/>
  <c r="D276" i="120"/>
  <c r="F260" i="127"/>
  <c r="F275" i="120"/>
  <c r="G275" i="120" s="1"/>
  <c r="C427" i="127"/>
  <c r="C459" i="120"/>
  <c r="C432" i="127"/>
  <c r="C464" i="120"/>
  <c r="F432" i="127"/>
  <c r="F464" i="120"/>
  <c r="G464" i="120" s="1"/>
  <c r="D465" i="127"/>
  <c r="D497" i="120"/>
  <c r="D462" i="127"/>
  <c r="D494" i="120"/>
  <c r="D461" i="127"/>
  <c r="D493" i="120"/>
  <c r="D464" i="127"/>
  <c r="D496" i="120"/>
  <c r="D459" i="127"/>
  <c r="D491" i="120"/>
  <c r="D460" i="127"/>
  <c r="D492" i="120"/>
  <c r="F459" i="127"/>
  <c r="F491" i="120"/>
  <c r="G491" i="120" s="1"/>
  <c r="F462" i="127"/>
  <c r="F494" i="120"/>
  <c r="G494" i="120" s="1"/>
  <c r="B33" i="125"/>
  <c r="C475" i="127"/>
  <c r="C507" i="120"/>
  <c r="F314" i="127"/>
  <c r="F338" i="120"/>
  <c r="G338" i="120" s="1"/>
  <c r="F310" i="127"/>
  <c r="F334" i="120"/>
  <c r="G334" i="120" s="1"/>
  <c r="C240" i="127"/>
  <c r="C250" i="120"/>
  <c r="C243" i="127"/>
  <c r="C253" i="120"/>
  <c r="C238" i="127"/>
  <c r="C248" i="120"/>
  <c r="D241" i="127"/>
  <c r="D251" i="120"/>
  <c r="D242" i="127"/>
  <c r="D252" i="120"/>
  <c r="F241" i="127"/>
  <c r="F251" i="120"/>
  <c r="G251" i="120" s="1"/>
  <c r="C96" i="127"/>
  <c r="C106" i="120"/>
  <c r="C97" i="127"/>
  <c r="C107" i="120"/>
  <c r="C89" i="127"/>
  <c r="C99" i="120"/>
  <c r="C90" i="127"/>
  <c r="C100" i="120"/>
  <c r="C94" i="127"/>
  <c r="C104" i="120"/>
  <c r="F90" i="127"/>
  <c r="F100" i="120"/>
  <c r="G100" i="120" s="1"/>
  <c r="F96" i="127"/>
  <c r="F106" i="120"/>
  <c r="G106" i="120" s="1"/>
  <c r="F91" i="127"/>
  <c r="F101" i="120"/>
  <c r="G101" i="120" s="1"/>
  <c r="C503" i="127"/>
  <c r="C535" i="120"/>
  <c r="C504" i="127"/>
  <c r="C536" i="120"/>
  <c r="F504" i="127"/>
  <c r="F536" i="120"/>
  <c r="G536" i="120" s="1"/>
  <c r="D113" i="127"/>
  <c r="D123" i="120"/>
  <c r="C111" i="127"/>
  <c r="C121" i="120"/>
  <c r="D115" i="127"/>
  <c r="D125" i="120"/>
  <c r="C126" i="127"/>
  <c r="C136" i="120"/>
  <c r="D137" i="127"/>
  <c r="D147" i="120"/>
  <c r="C157" i="127"/>
  <c r="C167" i="120"/>
  <c r="C179" i="127"/>
  <c r="C189" i="120"/>
  <c r="C107" i="127"/>
  <c r="C117" i="120"/>
  <c r="D134" i="127"/>
  <c r="D144" i="120"/>
  <c r="D159" i="127"/>
  <c r="D169" i="120"/>
  <c r="C187" i="127"/>
  <c r="C197" i="120"/>
  <c r="D108" i="127"/>
  <c r="D118" i="120"/>
  <c r="D128" i="127"/>
  <c r="D138" i="120"/>
  <c r="C131" i="127"/>
  <c r="C141" i="120"/>
  <c r="C192" i="127"/>
  <c r="C202" i="120"/>
  <c r="C207" i="127"/>
  <c r="C217" i="120"/>
  <c r="C117" i="127"/>
  <c r="C127" i="120"/>
  <c r="D135" i="127"/>
  <c r="D145" i="120"/>
  <c r="C189" i="127"/>
  <c r="C199" i="120"/>
  <c r="D190" i="127"/>
  <c r="D200" i="120"/>
  <c r="D200" i="127"/>
  <c r="D210" i="120"/>
  <c r="C100" i="127"/>
  <c r="C110" i="120"/>
  <c r="D101" i="127"/>
  <c r="D111" i="120"/>
  <c r="C122" i="127"/>
  <c r="C132" i="120"/>
  <c r="D123" i="127"/>
  <c r="D133" i="120"/>
  <c r="D146" i="127"/>
  <c r="D156" i="120"/>
  <c r="C149" i="127"/>
  <c r="C159" i="120"/>
  <c r="D150" i="127"/>
  <c r="D160" i="120"/>
  <c r="D154" i="127"/>
  <c r="D164" i="120"/>
  <c r="C171" i="127"/>
  <c r="C181" i="120"/>
  <c r="D172" i="127"/>
  <c r="D182" i="120"/>
  <c r="C196" i="127"/>
  <c r="C206" i="120"/>
  <c r="D197" i="127"/>
  <c r="D207" i="120"/>
  <c r="C120" i="127"/>
  <c r="C130" i="120"/>
  <c r="D168" i="127"/>
  <c r="D178" i="120"/>
  <c r="C181" i="127"/>
  <c r="C191" i="120"/>
  <c r="D182" i="127"/>
  <c r="D192" i="120"/>
  <c r="F199" i="127"/>
  <c r="F209" i="120"/>
  <c r="G209" i="120" s="1"/>
  <c r="F205" i="127"/>
  <c r="F215" i="120"/>
  <c r="G215" i="120" s="1"/>
  <c r="F195" i="127"/>
  <c r="F205" i="120"/>
  <c r="G205" i="120" s="1"/>
  <c r="F194" i="127"/>
  <c r="F204" i="120"/>
  <c r="G204" i="120" s="1"/>
  <c r="F174" i="127"/>
  <c r="F184" i="120"/>
  <c r="G184" i="120" s="1"/>
  <c r="F170" i="127"/>
  <c r="F180" i="120"/>
  <c r="G180" i="120" s="1"/>
  <c r="F152" i="127"/>
  <c r="F162" i="120"/>
  <c r="G162" i="120" s="1"/>
  <c r="F122" i="127"/>
  <c r="F132" i="120"/>
  <c r="G132" i="120" s="1"/>
  <c r="F100" i="127"/>
  <c r="F110" i="120"/>
  <c r="G110" i="120" s="1"/>
  <c r="F191" i="127"/>
  <c r="F201" i="120"/>
  <c r="G201" i="120" s="1"/>
  <c r="F145" i="127"/>
  <c r="F155" i="120"/>
  <c r="G155" i="120" s="1"/>
  <c r="F206" i="127"/>
  <c r="F216" i="120"/>
  <c r="G216" i="120" s="1"/>
  <c r="F185" i="127"/>
  <c r="F195" i="120"/>
  <c r="G195" i="120" s="1"/>
  <c r="F160" i="127"/>
  <c r="F170" i="120"/>
  <c r="G170" i="120" s="1"/>
  <c r="F193" i="127"/>
  <c r="F203" i="120"/>
  <c r="G203" i="120" s="1"/>
  <c r="F164" i="127"/>
  <c r="F174" i="120"/>
  <c r="G174" i="120" s="1"/>
  <c r="C422" i="127"/>
  <c r="C453" i="120"/>
  <c r="C419" i="127"/>
  <c r="C450" i="120"/>
  <c r="F418" i="127"/>
  <c r="F449" i="120"/>
  <c r="G449" i="120" s="1"/>
  <c r="F417" i="127"/>
  <c r="F448" i="120"/>
  <c r="G448" i="120" s="1"/>
  <c r="D44" i="127"/>
  <c r="D48" i="120"/>
  <c r="C331" i="127"/>
  <c r="C356" i="120"/>
  <c r="C328" i="127"/>
  <c r="C353" i="120"/>
  <c r="F334" i="127"/>
  <c r="F359" i="120"/>
  <c r="G359" i="120" s="1"/>
  <c r="C14" i="127"/>
  <c r="C12" i="120"/>
  <c r="D27" i="127"/>
  <c r="D25" i="120"/>
  <c r="C25" i="127"/>
  <c r="C23" i="120"/>
  <c r="D8" i="127"/>
  <c r="D6" i="120"/>
  <c r="C12" i="127"/>
  <c r="C10" i="120"/>
  <c r="D13" i="127"/>
  <c r="D11" i="120"/>
  <c r="C21" i="127"/>
  <c r="C19" i="120"/>
  <c r="D23" i="127"/>
  <c r="D21" i="120"/>
  <c r="C16" i="127"/>
  <c r="C14" i="120"/>
  <c r="D28" i="127"/>
  <c r="D26" i="120"/>
  <c r="C11" i="127"/>
  <c r="C9" i="120"/>
  <c r="F13" i="127"/>
  <c r="F11" i="120"/>
  <c r="G11" i="120" s="1"/>
  <c r="F27" i="127"/>
  <c r="F25" i="120"/>
  <c r="G25" i="120" s="1"/>
  <c r="C299" i="127"/>
  <c r="C324" i="120"/>
  <c r="C296" i="127"/>
  <c r="C321" i="120"/>
  <c r="C295" i="127"/>
  <c r="C320" i="120"/>
  <c r="C292" i="127"/>
  <c r="C317" i="120"/>
  <c r="C290" i="127"/>
  <c r="C315" i="120"/>
  <c r="C294" i="127"/>
  <c r="C319" i="120"/>
  <c r="C401" i="127"/>
  <c r="C432" i="120"/>
  <c r="C403" i="127"/>
  <c r="C434" i="120"/>
  <c r="F404" i="127"/>
  <c r="F435" i="120"/>
  <c r="G435" i="120" s="1"/>
  <c r="C382" i="127"/>
  <c r="C412" i="120"/>
  <c r="F382" i="127"/>
  <c r="F412" i="120"/>
  <c r="G412" i="120" s="1"/>
  <c r="C79" i="127"/>
  <c r="C89" i="120"/>
  <c r="C82" i="127"/>
  <c r="C92" i="120"/>
  <c r="C84" i="127"/>
  <c r="C94" i="120"/>
  <c r="C36" i="127"/>
  <c r="C39" i="120"/>
  <c r="F40" i="127"/>
  <c r="F43" i="120"/>
  <c r="G43" i="120" s="1"/>
  <c r="D75" i="127"/>
  <c r="D85" i="120"/>
  <c r="D74" i="127"/>
  <c r="D84" i="120"/>
  <c r="D76" i="127"/>
  <c r="D86" i="120"/>
  <c r="D72" i="127"/>
  <c r="D82" i="120"/>
  <c r="F72" i="127"/>
  <c r="F82" i="120"/>
  <c r="G82" i="120" s="1"/>
  <c r="F75" i="127"/>
  <c r="F85" i="120"/>
  <c r="G85" i="120" s="1"/>
  <c r="C266" i="127"/>
  <c r="C281" i="120"/>
  <c r="F266" i="127"/>
  <c r="F281" i="120"/>
  <c r="G281" i="120" s="1"/>
  <c r="C347" i="127"/>
  <c r="C373" i="120"/>
  <c r="C346" i="127"/>
  <c r="C372" i="120"/>
  <c r="C344" i="127"/>
  <c r="C370" i="120"/>
  <c r="C345" i="127"/>
  <c r="C371" i="120"/>
  <c r="C352" i="127"/>
  <c r="C378" i="120"/>
  <c r="F352" i="127"/>
  <c r="F378" i="120"/>
  <c r="G378" i="120" s="1"/>
  <c r="F351" i="127"/>
  <c r="F377" i="120"/>
  <c r="G377" i="120" s="1"/>
  <c r="D365" i="127"/>
  <c r="D393" i="120"/>
  <c r="C395" i="127"/>
  <c r="C426" i="120"/>
  <c r="C393" i="127"/>
  <c r="C424" i="120"/>
  <c r="C339" i="127"/>
  <c r="C365" i="120"/>
  <c r="C337" i="127"/>
  <c r="C363" i="120"/>
  <c r="C338" i="127"/>
  <c r="C364" i="120"/>
  <c r="F371" i="127"/>
  <c r="F400" i="120"/>
  <c r="G400" i="120" s="1"/>
  <c r="D283" i="127"/>
  <c r="D306" i="120"/>
  <c r="D287" i="127"/>
  <c r="D310" i="120"/>
  <c r="D285" i="127"/>
  <c r="D308" i="120"/>
  <c r="D454" i="127"/>
  <c r="D486" i="120"/>
  <c r="D450" i="127"/>
  <c r="D482" i="120"/>
  <c r="D453" i="127"/>
  <c r="D485" i="120"/>
  <c r="D456" i="127"/>
  <c r="D488" i="120"/>
  <c r="D451" i="127"/>
  <c r="D483" i="120"/>
  <c r="F451" i="127"/>
  <c r="F483" i="120"/>
  <c r="G483" i="120" s="1"/>
  <c r="F449" i="127"/>
  <c r="F481" i="120"/>
  <c r="G481" i="120" s="1"/>
  <c r="D48" i="127"/>
  <c r="D53" i="120"/>
  <c r="C429" i="127"/>
  <c r="C461" i="120"/>
  <c r="C428" i="127"/>
  <c r="C460" i="120"/>
  <c r="D427" i="127"/>
  <c r="D459" i="120"/>
  <c r="F431" i="127"/>
  <c r="F463" i="120"/>
  <c r="G463" i="120" s="1"/>
  <c r="F464" i="127"/>
  <c r="F496" i="120"/>
  <c r="G496" i="120" s="1"/>
  <c r="B11" i="125"/>
  <c r="C474" i="127"/>
  <c r="C506" i="120"/>
  <c r="C33" i="125"/>
  <c r="D475" i="127"/>
  <c r="D507" i="120"/>
  <c r="C310" i="127"/>
  <c r="C334" i="120"/>
  <c r="C311" i="127"/>
  <c r="C335" i="120"/>
  <c r="C312" i="127"/>
  <c r="C336" i="120"/>
  <c r="C314" i="127"/>
  <c r="C338" i="120"/>
  <c r="C316" i="127"/>
  <c r="C340" i="120"/>
  <c r="C317" i="127"/>
  <c r="C341" i="120"/>
  <c r="F317" i="127"/>
  <c r="F341" i="120"/>
  <c r="G341" i="120" s="1"/>
  <c r="F312" i="127"/>
  <c r="F336" i="120"/>
  <c r="G336" i="120" s="1"/>
  <c r="F315" i="127"/>
  <c r="F339" i="120"/>
  <c r="G339" i="120" s="1"/>
  <c r="D240" i="127"/>
  <c r="D250" i="120"/>
  <c r="D243" i="127"/>
  <c r="D253" i="120"/>
  <c r="D96" i="127"/>
  <c r="D106" i="120"/>
  <c r="D97" i="127"/>
  <c r="D107" i="120"/>
  <c r="D90" i="127"/>
  <c r="D100" i="120"/>
  <c r="D503" i="127"/>
  <c r="D535" i="120"/>
  <c r="C155" i="127"/>
  <c r="C165" i="120"/>
  <c r="D157" i="127"/>
  <c r="D167" i="120"/>
  <c r="C106" i="127"/>
  <c r="C116" i="120"/>
  <c r="C139" i="127"/>
  <c r="C149" i="120"/>
  <c r="C166" i="127"/>
  <c r="C176" i="120"/>
  <c r="D187" i="127"/>
  <c r="D197" i="120"/>
  <c r="C127" i="127"/>
  <c r="C137" i="120"/>
  <c r="C130" i="127"/>
  <c r="C140" i="120"/>
  <c r="D119" i="127"/>
  <c r="D129" i="120"/>
  <c r="D192" i="127"/>
  <c r="D202" i="120"/>
  <c r="D207" i="127"/>
  <c r="D217" i="120"/>
  <c r="D117" i="127"/>
  <c r="D127" i="120"/>
  <c r="C145" i="127"/>
  <c r="C155" i="120"/>
  <c r="D156" i="127"/>
  <c r="D166" i="120"/>
  <c r="D188" i="127"/>
  <c r="D198" i="120"/>
  <c r="C204" i="127"/>
  <c r="C214" i="120"/>
  <c r="D116" i="127"/>
  <c r="D126" i="120"/>
  <c r="C167" i="127"/>
  <c r="C177" i="120"/>
  <c r="D177" i="127"/>
  <c r="D187" i="120"/>
  <c r="C109" i="127"/>
  <c r="C119" i="120"/>
  <c r="C103" i="127"/>
  <c r="C113" i="120"/>
  <c r="D104" i="127"/>
  <c r="D114" i="120"/>
  <c r="C125" i="127"/>
  <c r="C135" i="120"/>
  <c r="C148" i="127"/>
  <c r="C158" i="120"/>
  <c r="F377" i="127"/>
  <c r="F406" i="120"/>
  <c r="G406" i="120" s="1"/>
  <c r="F376" i="127"/>
  <c r="F405" i="120"/>
  <c r="G405" i="120" s="1"/>
  <c r="F340" i="127"/>
  <c r="F366" i="120"/>
  <c r="G366" i="120" s="1"/>
  <c r="F339" i="127"/>
  <c r="F365" i="120"/>
  <c r="G365" i="120" s="1"/>
  <c r="F337" i="127"/>
  <c r="F363" i="120"/>
  <c r="G363" i="120" s="1"/>
  <c r="F341" i="127"/>
  <c r="F367" i="120"/>
  <c r="G367" i="120" s="1"/>
  <c r="F338" i="127"/>
  <c r="F364" i="120"/>
  <c r="G364" i="120" s="1"/>
  <c r="C374" i="127"/>
  <c r="C403" i="120"/>
  <c r="C375" i="127"/>
  <c r="C404" i="120"/>
  <c r="C376" i="127"/>
  <c r="C405" i="120"/>
  <c r="C371" i="127"/>
  <c r="C400" i="120"/>
  <c r="C372" i="127"/>
  <c r="C401" i="120"/>
  <c r="C373" i="127"/>
  <c r="C402" i="120"/>
  <c r="C377" i="127"/>
  <c r="C406" i="120"/>
  <c r="F373" i="127"/>
  <c r="F402" i="120"/>
  <c r="G402" i="120" s="1"/>
  <c r="F375" i="127"/>
  <c r="F404" i="120"/>
  <c r="G404" i="120" s="1"/>
  <c r="F287" i="127"/>
  <c r="F310" i="120"/>
  <c r="G310" i="120" s="1"/>
  <c r="C66" i="127"/>
  <c r="C75" i="120"/>
  <c r="C67" i="127"/>
  <c r="C76" i="120"/>
  <c r="C68" i="127"/>
  <c r="C77" i="120"/>
  <c r="C69" i="127"/>
  <c r="C78" i="120"/>
  <c r="C64" i="127"/>
  <c r="C73" i="120"/>
  <c r="C65" i="127"/>
  <c r="C74" i="120"/>
  <c r="F65" i="127"/>
  <c r="F74" i="120"/>
  <c r="G74" i="120" s="1"/>
  <c r="F68" i="127"/>
  <c r="F77" i="120"/>
  <c r="G77" i="120" s="1"/>
  <c r="C442" i="127"/>
  <c r="C474" i="120"/>
  <c r="D443" i="127"/>
  <c r="D475" i="120"/>
  <c r="D444" i="127"/>
  <c r="D476" i="120"/>
  <c r="D445" i="127"/>
  <c r="D477" i="120"/>
  <c r="D446" i="127"/>
  <c r="D478" i="120"/>
  <c r="D447" i="127"/>
  <c r="D479" i="120"/>
  <c r="D448" i="127"/>
  <c r="D480" i="120"/>
  <c r="D449" i="127"/>
  <c r="D481" i="120"/>
  <c r="F444" i="127"/>
  <c r="F476" i="120"/>
  <c r="G476" i="120" s="1"/>
  <c r="C258" i="127"/>
  <c r="C273" i="120"/>
  <c r="C259" i="127"/>
  <c r="C274" i="120"/>
  <c r="C260" i="127"/>
  <c r="C275" i="120"/>
  <c r="C261" i="127"/>
  <c r="C276" i="120"/>
  <c r="D262" i="127"/>
  <c r="D277" i="120"/>
  <c r="C49" i="127"/>
  <c r="C54" i="120"/>
  <c r="C50" i="127"/>
  <c r="C55" i="120"/>
  <c r="D51" i="127"/>
  <c r="D56" i="120"/>
  <c r="C52" i="127"/>
  <c r="C57" i="120"/>
  <c r="F427" i="127"/>
  <c r="F459" i="120"/>
  <c r="G459" i="120" s="1"/>
  <c r="C465" i="127"/>
  <c r="C497" i="120"/>
  <c r="C462" i="127"/>
  <c r="C494" i="120"/>
  <c r="C461" i="127"/>
  <c r="C493" i="120"/>
  <c r="C463" i="127"/>
  <c r="C495" i="120"/>
  <c r="C464" i="127"/>
  <c r="C496" i="120"/>
  <c r="C459" i="127"/>
  <c r="C491" i="120"/>
  <c r="C460" i="127"/>
  <c r="C492" i="120"/>
  <c r="F460" i="127"/>
  <c r="F492" i="120"/>
  <c r="G492" i="120" s="1"/>
  <c r="F461" i="127"/>
  <c r="F493" i="120"/>
  <c r="G493" i="120" s="1"/>
  <c r="C313" i="127"/>
  <c r="C337" i="120"/>
  <c r="F311" i="127"/>
  <c r="F335" i="120"/>
  <c r="G335" i="120" s="1"/>
  <c r="C241" i="127"/>
  <c r="C251" i="120"/>
  <c r="C242" i="127"/>
  <c r="C252" i="120"/>
  <c r="F242" i="127"/>
  <c r="F252" i="120"/>
  <c r="G252" i="120" s="1"/>
  <c r="F240" i="127"/>
  <c r="F250" i="120"/>
  <c r="G250" i="120" s="1"/>
  <c r="F93" i="127"/>
  <c r="F103" i="120"/>
  <c r="G103" i="120" s="1"/>
  <c r="F87" i="127"/>
  <c r="F97" i="120"/>
  <c r="G97" i="120" s="1"/>
  <c r="C113" i="127"/>
  <c r="C123" i="120"/>
  <c r="D114" i="127"/>
  <c r="D124" i="120"/>
  <c r="C115" i="127"/>
  <c r="C125" i="120"/>
  <c r="C137" i="127"/>
  <c r="C147" i="120"/>
  <c r="D138" i="127"/>
  <c r="D148" i="120"/>
  <c r="D164" i="127"/>
  <c r="D174" i="120"/>
  <c r="D193" i="127"/>
  <c r="D203" i="120"/>
  <c r="C134" i="127"/>
  <c r="C144" i="120"/>
  <c r="D136" i="127"/>
  <c r="D146" i="120"/>
  <c r="C159" i="127"/>
  <c r="C169" i="120"/>
  <c r="D160" i="127"/>
  <c r="D170" i="120"/>
  <c r="C108" i="127"/>
  <c r="C118" i="120"/>
  <c r="D112" i="127"/>
  <c r="D122" i="120"/>
  <c r="C128" i="127"/>
  <c r="C138" i="120"/>
  <c r="D129" i="127"/>
  <c r="D139" i="120"/>
  <c r="D163" i="127"/>
  <c r="D173" i="120"/>
  <c r="C143" i="127"/>
  <c r="C153" i="120"/>
  <c r="D178" i="127"/>
  <c r="D188" i="120"/>
  <c r="C202" i="127"/>
  <c r="C212" i="120"/>
  <c r="D203" i="127"/>
  <c r="D213" i="120"/>
  <c r="C208" i="127"/>
  <c r="C218" i="120"/>
  <c r="D209" i="127"/>
  <c r="D219" i="120"/>
  <c r="C135" i="127"/>
  <c r="C145" i="120"/>
  <c r="D144" i="127"/>
  <c r="D154" i="120"/>
  <c r="C183" i="127"/>
  <c r="C193" i="120"/>
  <c r="C190" i="127"/>
  <c r="C200" i="120"/>
  <c r="D191" i="127"/>
  <c r="D201" i="120"/>
  <c r="C200" i="127"/>
  <c r="C210" i="120"/>
  <c r="D142" i="127"/>
  <c r="D152" i="120"/>
  <c r="D186" i="127"/>
  <c r="D196" i="120"/>
  <c r="D158" i="127"/>
  <c r="D168" i="120"/>
  <c r="C101" i="127"/>
  <c r="C111" i="120"/>
  <c r="D102" i="127"/>
  <c r="D112" i="120"/>
  <c r="C105" i="127"/>
  <c r="C115" i="120"/>
  <c r="D118" i="127"/>
  <c r="D128" i="120"/>
  <c r="C123" i="127"/>
  <c r="C133" i="120"/>
  <c r="D124" i="127"/>
  <c r="D134" i="120"/>
  <c r="D133" i="127"/>
  <c r="D143" i="120"/>
  <c r="C146" i="127"/>
  <c r="C156" i="120"/>
  <c r="D147" i="127"/>
  <c r="D157" i="120"/>
  <c r="C150" i="127"/>
  <c r="C160" i="120"/>
  <c r="D151" i="127"/>
  <c r="D161" i="120"/>
  <c r="C154" i="127"/>
  <c r="C164" i="120"/>
  <c r="D169" i="127"/>
  <c r="D179" i="120"/>
  <c r="C172" i="127"/>
  <c r="C182" i="120"/>
  <c r="D173" i="127"/>
  <c r="D183" i="120"/>
  <c r="C176" i="127"/>
  <c r="C186" i="120"/>
  <c r="C197" i="127"/>
  <c r="C207" i="120"/>
  <c r="D198" i="127"/>
  <c r="D208" i="120"/>
  <c r="C168" i="127"/>
  <c r="C178" i="120"/>
  <c r="D201" i="127"/>
  <c r="D211" i="120"/>
  <c r="C182" i="127"/>
  <c r="C192" i="120"/>
  <c r="F181" i="127"/>
  <c r="F191" i="120"/>
  <c r="G191" i="120" s="1"/>
  <c r="F120" i="127"/>
  <c r="F130" i="120"/>
  <c r="G130" i="120" s="1"/>
  <c r="F196" i="127"/>
  <c r="F206" i="120"/>
  <c r="G206" i="120" s="1"/>
  <c r="F175" i="127"/>
  <c r="F185" i="120"/>
  <c r="G185" i="120" s="1"/>
  <c r="F171" i="127"/>
  <c r="F181" i="120"/>
  <c r="G181" i="120" s="1"/>
  <c r="F153" i="127"/>
  <c r="F163" i="120"/>
  <c r="G163" i="120" s="1"/>
  <c r="F149" i="127"/>
  <c r="F159" i="120"/>
  <c r="G159" i="120" s="1"/>
  <c r="F146" i="127"/>
  <c r="F156" i="120"/>
  <c r="G156" i="120" s="1"/>
  <c r="F123" i="127"/>
  <c r="F133" i="120"/>
  <c r="G133" i="120" s="1"/>
  <c r="F105" i="127"/>
  <c r="F115" i="120"/>
  <c r="G115" i="120" s="1"/>
  <c r="F101" i="127"/>
  <c r="F111" i="120"/>
  <c r="G111" i="120" s="1"/>
  <c r="F186" i="127"/>
  <c r="F196" i="120"/>
  <c r="G196" i="120" s="1"/>
  <c r="F142" i="127"/>
  <c r="F152" i="120"/>
  <c r="G152" i="120" s="1"/>
  <c r="F204" i="127"/>
  <c r="F214" i="120"/>
  <c r="G214" i="120" s="1"/>
  <c r="F188" i="127"/>
  <c r="F198" i="120"/>
  <c r="G198" i="120" s="1"/>
  <c r="F156" i="127"/>
  <c r="F166" i="120"/>
  <c r="G166" i="120" s="1"/>
  <c r="F117" i="127"/>
  <c r="F127" i="120"/>
  <c r="G127" i="120" s="1"/>
  <c r="F207" i="127"/>
  <c r="F217" i="120"/>
  <c r="G217" i="120" s="1"/>
  <c r="F192" i="127"/>
  <c r="F202" i="120"/>
  <c r="G202" i="120" s="1"/>
  <c r="F119" i="127"/>
  <c r="F129" i="120"/>
  <c r="G129" i="120" s="1"/>
  <c r="F130" i="127"/>
  <c r="F140" i="120"/>
  <c r="G140" i="120" s="1"/>
  <c r="F127" i="127"/>
  <c r="F137" i="120"/>
  <c r="G137" i="120" s="1"/>
  <c r="F166" i="127"/>
  <c r="F176" i="120"/>
  <c r="G176" i="120" s="1"/>
  <c r="F139" i="127"/>
  <c r="F149" i="120"/>
  <c r="G149" i="120" s="1"/>
  <c r="F106" i="127"/>
  <c r="F116" i="120"/>
  <c r="G116" i="120" s="1"/>
  <c r="F165" i="127"/>
  <c r="F175" i="120"/>
  <c r="G175" i="120" s="1"/>
  <c r="F155" i="127"/>
  <c r="F165" i="120"/>
  <c r="G165" i="120" s="1"/>
  <c r="F422" i="127"/>
  <c r="F453" i="120"/>
  <c r="G453" i="120" s="1"/>
  <c r="F424" i="127"/>
  <c r="F455" i="120"/>
  <c r="G455" i="120" s="1"/>
  <c r="D320" i="127"/>
  <c r="D344" i="120"/>
  <c r="D321" i="127"/>
  <c r="D345" i="120"/>
  <c r="D324" i="127"/>
  <c r="D348" i="120"/>
  <c r="D322" i="127"/>
  <c r="D346" i="120"/>
  <c r="D323" i="127"/>
  <c r="D347" i="120"/>
  <c r="F322" i="127"/>
  <c r="F346" i="120"/>
  <c r="G346" i="120" s="1"/>
  <c r="C44" i="127"/>
  <c r="C48" i="120"/>
  <c r="D45" i="127"/>
  <c r="D49" i="120"/>
  <c r="D43" i="127"/>
  <c r="D47" i="120"/>
  <c r="F44" i="127"/>
  <c r="F48" i="120"/>
  <c r="G48" i="120" s="1"/>
  <c r="D332" i="127"/>
  <c r="D357" i="120"/>
  <c r="D334" i="127"/>
  <c r="D359" i="120"/>
  <c r="C329" i="127"/>
  <c r="C354" i="120"/>
  <c r="D333" i="127"/>
  <c r="D358" i="120"/>
  <c r="F328" i="127"/>
  <c r="F353" i="120"/>
  <c r="G353" i="120" s="1"/>
  <c r="F330" i="127"/>
  <c r="F355" i="120"/>
  <c r="G355" i="120" s="1"/>
  <c r="D277" i="127"/>
  <c r="D297" i="120"/>
  <c r="D278" i="127"/>
  <c r="D298" i="120"/>
  <c r="D279" i="127"/>
  <c r="D299" i="120"/>
  <c r="F278" i="127"/>
  <c r="F298" i="120"/>
  <c r="G298" i="120" s="1"/>
  <c r="D18" i="127"/>
  <c r="D16" i="120"/>
  <c r="C27" i="127"/>
  <c r="C25" i="120"/>
  <c r="D30" i="127"/>
  <c r="D28" i="120"/>
  <c r="C8" i="127"/>
  <c r="C6" i="120"/>
  <c r="C13" i="127"/>
  <c r="C11" i="120"/>
  <c r="D17" i="127"/>
  <c r="D15" i="120"/>
  <c r="C23" i="127"/>
  <c r="C21" i="120"/>
  <c r="D26" i="127"/>
  <c r="D24" i="120"/>
  <c r="C28" i="127"/>
  <c r="C26" i="120"/>
  <c r="D29" i="127"/>
  <c r="D27" i="120"/>
  <c r="C15" i="127"/>
  <c r="C13" i="120"/>
  <c r="D22" i="127"/>
  <c r="D20" i="120"/>
  <c r="F11" i="127"/>
  <c r="F9" i="120"/>
  <c r="G9" i="120" s="1"/>
  <c r="F16" i="127"/>
  <c r="F14" i="120"/>
  <c r="G14" i="120" s="1"/>
  <c r="F26" i="127"/>
  <c r="F24" i="120"/>
  <c r="G24" i="120" s="1"/>
  <c r="F17" i="127"/>
  <c r="F15" i="120"/>
  <c r="G15" i="120" s="1"/>
  <c r="F30" i="127"/>
  <c r="F28" i="120"/>
  <c r="G28" i="120" s="1"/>
  <c r="F18" i="127"/>
  <c r="F16" i="120"/>
  <c r="G16" i="120" s="1"/>
  <c r="F290" i="127"/>
  <c r="F315" i="120"/>
  <c r="G315" i="120" s="1"/>
  <c r="F296" i="127"/>
  <c r="F321" i="120"/>
  <c r="G321" i="120" s="1"/>
  <c r="C438" i="127"/>
  <c r="C470" i="120"/>
  <c r="D437" i="127"/>
  <c r="D469" i="120"/>
  <c r="C439" i="127"/>
  <c r="C471" i="120"/>
  <c r="D436" i="127"/>
  <c r="D468" i="120"/>
  <c r="F81" i="127"/>
  <c r="F91" i="120"/>
  <c r="G91" i="120" s="1"/>
  <c r="D386" i="127"/>
  <c r="D416" i="120"/>
  <c r="D39" i="127"/>
  <c r="D42" i="120"/>
  <c r="F36" i="127"/>
  <c r="F39" i="120"/>
  <c r="G39" i="120" s="1"/>
  <c r="H43" i="120" s="1"/>
  <c r="D547" i="120" s="1"/>
  <c r="C75" i="127"/>
  <c r="C85" i="120"/>
  <c r="C74" i="127"/>
  <c r="C84" i="120"/>
  <c r="C76" i="127"/>
  <c r="C86" i="120"/>
  <c r="C72" i="127"/>
  <c r="C82" i="120"/>
  <c r="F74" i="127"/>
  <c r="F84" i="120"/>
  <c r="G84" i="120" s="1"/>
  <c r="D362" i="127"/>
  <c r="D389" i="120"/>
  <c r="F362" i="127"/>
  <c r="F389" i="120"/>
  <c r="G389" i="120" s="1"/>
  <c r="H389" i="120" s="1"/>
  <c r="D572" i="120" s="1"/>
  <c r="C365" i="127"/>
  <c r="C393" i="120"/>
  <c r="D367" i="127"/>
  <c r="D395" i="120"/>
  <c r="D366" i="127"/>
  <c r="D394" i="120"/>
  <c r="F393" i="127"/>
  <c r="F424" i="120"/>
  <c r="G424" i="120" s="1"/>
  <c r="G251" i="127"/>
  <c r="L251" i="127"/>
  <c r="H253" i="120" l="1"/>
  <c r="D558" i="120" s="1"/>
  <c r="A105" i="53"/>
  <c r="M254" i="127"/>
  <c r="H327" i="120"/>
  <c r="D565" i="120" s="1"/>
  <c r="H406" i="120"/>
  <c r="D574" i="120" s="1"/>
  <c r="F411" i="127"/>
  <c r="F442" i="120"/>
  <c r="G442" i="120" s="1"/>
  <c r="F409" i="127"/>
  <c r="F440" i="120"/>
  <c r="G440" i="120" s="1"/>
  <c r="F216" i="127"/>
  <c r="F226" i="120"/>
  <c r="G226" i="120" s="1"/>
  <c r="G322" i="127"/>
  <c r="L322" i="127"/>
  <c r="G117" i="127"/>
  <c r="L117" i="127"/>
  <c r="G142" i="127"/>
  <c r="L142" i="127"/>
  <c r="G123" i="127"/>
  <c r="L123" i="127"/>
  <c r="G181" i="127"/>
  <c r="L181" i="127"/>
  <c r="G27" i="127"/>
  <c r="L27" i="127"/>
  <c r="G334" i="127"/>
  <c r="L334" i="127"/>
  <c r="G193" i="127"/>
  <c r="L193" i="127"/>
  <c r="G145" i="127"/>
  <c r="L145" i="127"/>
  <c r="G152" i="127"/>
  <c r="L152" i="127"/>
  <c r="G91" i="127"/>
  <c r="L91" i="127"/>
  <c r="G310" i="127"/>
  <c r="L310" i="127"/>
  <c r="G260" i="127"/>
  <c r="L260" i="127"/>
  <c r="G67" i="127"/>
  <c r="L67" i="127"/>
  <c r="G374" i="127"/>
  <c r="L374" i="127"/>
  <c r="G367" i="127"/>
  <c r="L367" i="127"/>
  <c r="M367" i="127" s="1"/>
  <c r="G76" i="127"/>
  <c r="L76" i="127"/>
  <c r="H435" i="120"/>
  <c r="D578" i="120" s="1"/>
  <c r="G299" i="127"/>
  <c r="L299" i="127"/>
  <c r="G24" i="127"/>
  <c r="L24" i="127"/>
  <c r="G28" i="127"/>
  <c r="L28" i="127"/>
  <c r="G45" i="127"/>
  <c r="L45" i="127"/>
  <c r="H455" i="120"/>
  <c r="D580" i="120" s="1"/>
  <c r="G423" i="127"/>
  <c r="L423" i="127"/>
  <c r="G179" i="127"/>
  <c r="L179" i="127"/>
  <c r="G202" i="127"/>
  <c r="L202" i="127"/>
  <c r="G189" i="127"/>
  <c r="L189" i="127"/>
  <c r="G102" i="127"/>
  <c r="L102" i="127"/>
  <c r="G147" i="127"/>
  <c r="L147" i="127"/>
  <c r="G176" i="127"/>
  <c r="L176" i="127"/>
  <c r="G503" i="127"/>
  <c r="L503" i="127"/>
  <c r="G316" i="127"/>
  <c r="L316" i="127"/>
  <c r="G463" i="127"/>
  <c r="L463" i="127"/>
  <c r="G450" i="127"/>
  <c r="L450" i="127"/>
  <c r="G89" i="127"/>
  <c r="L89" i="127"/>
  <c r="G453" i="127"/>
  <c r="L453" i="127"/>
  <c r="G300" i="127"/>
  <c r="L300" i="127"/>
  <c r="G7" i="127"/>
  <c r="L7" i="127"/>
  <c r="G138" i="127"/>
  <c r="L138" i="127"/>
  <c r="G210" i="127"/>
  <c r="L210" i="127"/>
  <c r="L347" i="127"/>
  <c r="G347" i="127"/>
  <c r="G39" i="127"/>
  <c r="L39" i="127"/>
  <c r="G436" i="127"/>
  <c r="L436" i="127"/>
  <c r="G292" i="127"/>
  <c r="L292" i="127"/>
  <c r="G12" i="127"/>
  <c r="L12" i="127"/>
  <c r="G277" i="127"/>
  <c r="L277" i="127"/>
  <c r="G134" i="127"/>
  <c r="L134" i="127"/>
  <c r="G178" i="127"/>
  <c r="L178" i="127"/>
  <c r="G184" i="127"/>
  <c r="L184" i="127"/>
  <c r="G109" i="127"/>
  <c r="L109" i="127"/>
  <c r="G140" i="127"/>
  <c r="L140" i="127"/>
  <c r="G173" i="127"/>
  <c r="L173" i="127"/>
  <c r="F233" i="127"/>
  <c r="F243" i="120"/>
  <c r="G243" i="120" s="1"/>
  <c r="F413" i="127"/>
  <c r="F444" i="120"/>
  <c r="G444" i="120" s="1"/>
  <c r="F408" i="127"/>
  <c r="F439" i="120"/>
  <c r="G439" i="120" s="1"/>
  <c r="F215" i="127"/>
  <c r="F225" i="120"/>
  <c r="G225" i="120" s="1"/>
  <c r="G74" i="127"/>
  <c r="L74" i="127"/>
  <c r="G81" i="127"/>
  <c r="L81" i="127"/>
  <c r="G30" i="127"/>
  <c r="L30" i="127"/>
  <c r="G278" i="127"/>
  <c r="L278" i="127"/>
  <c r="G287" i="127"/>
  <c r="L287" i="127"/>
  <c r="G341" i="127"/>
  <c r="L341" i="127"/>
  <c r="G376" i="127"/>
  <c r="L376" i="127"/>
  <c r="G317" i="127"/>
  <c r="L317" i="127"/>
  <c r="F225" i="127"/>
  <c r="F235" i="120"/>
  <c r="G235" i="120" s="1"/>
  <c r="D412" i="127"/>
  <c r="D443" i="120"/>
  <c r="D218" i="127"/>
  <c r="D228" i="120"/>
  <c r="D214" i="127"/>
  <c r="D224" i="120"/>
  <c r="G18" i="127"/>
  <c r="L18" i="127"/>
  <c r="G11" i="127"/>
  <c r="L11" i="127"/>
  <c r="G44" i="127"/>
  <c r="L44" i="127"/>
  <c r="G165" i="127"/>
  <c r="L165" i="127"/>
  <c r="G127" i="127"/>
  <c r="L127" i="127"/>
  <c r="G204" i="127"/>
  <c r="L204" i="127"/>
  <c r="G105" i="127"/>
  <c r="L105" i="127"/>
  <c r="G153" i="127"/>
  <c r="L153" i="127"/>
  <c r="G120" i="127"/>
  <c r="L120" i="127"/>
  <c r="G240" i="127"/>
  <c r="L240" i="127"/>
  <c r="G460" i="127"/>
  <c r="L460" i="127"/>
  <c r="G65" i="127"/>
  <c r="L65" i="127"/>
  <c r="G338" i="127"/>
  <c r="L338" i="127"/>
  <c r="G340" i="127"/>
  <c r="L340" i="127"/>
  <c r="G312" i="127"/>
  <c r="L312" i="127"/>
  <c r="G464" i="127"/>
  <c r="L464" i="127"/>
  <c r="G371" i="127"/>
  <c r="L371" i="127"/>
  <c r="H282" i="120"/>
  <c r="D561" i="120" s="1"/>
  <c r="G75" i="127"/>
  <c r="L75" i="127"/>
  <c r="G404" i="127"/>
  <c r="L404" i="127"/>
  <c r="G164" i="127"/>
  <c r="L164" i="127"/>
  <c r="G206" i="127"/>
  <c r="L206" i="127"/>
  <c r="H220" i="120"/>
  <c r="D555" i="120" s="1"/>
  <c r="G122" i="127"/>
  <c r="L122" i="127"/>
  <c r="G194" i="127"/>
  <c r="L194" i="127"/>
  <c r="G504" i="127"/>
  <c r="L504" i="127"/>
  <c r="G241" i="127"/>
  <c r="L241" i="127"/>
  <c r="H497" i="120"/>
  <c r="D584" i="120" s="1"/>
  <c r="G432" i="127"/>
  <c r="L432" i="127"/>
  <c r="G452" i="127"/>
  <c r="L452" i="127"/>
  <c r="G286" i="127"/>
  <c r="L286" i="127"/>
  <c r="G392" i="127"/>
  <c r="L392" i="127"/>
  <c r="H378" i="120"/>
  <c r="D570" i="120" s="1"/>
  <c r="G267" i="127"/>
  <c r="L267" i="127"/>
  <c r="H94" i="120"/>
  <c r="D553" i="120" s="1"/>
  <c r="G82" i="127"/>
  <c r="L82" i="127"/>
  <c r="G401" i="127"/>
  <c r="L401" i="127"/>
  <c r="G291" i="127"/>
  <c r="L291" i="127"/>
  <c r="G31" i="127"/>
  <c r="L31" i="127"/>
  <c r="G331" i="127"/>
  <c r="L331" i="127"/>
  <c r="G416" i="127"/>
  <c r="L416" i="127"/>
  <c r="G157" i="127"/>
  <c r="L157" i="127"/>
  <c r="G143" i="127"/>
  <c r="L143" i="127"/>
  <c r="G183" i="127"/>
  <c r="L183" i="127"/>
  <c r="G158" i="127"/>
  <c r="L158" i="127"/>
  <c r="G133" i="127"/>
  <c r="L133" i="127"/>
  <c r="G172" i="127"/>
  <c r="L172" i="127"/>
  <c r="G182" i="127"/>
  <c r="L182" i="127"/>
  <c r="G243" i="127"/>
  <c r="L243" i="127"/>
  <c r="L445" i="127"/>
  <c r="G445" i="127"/>
  <c r="G285" i="127"/>
  <c r="L285" i="127"/>
  <c r="G259" i="127"/>
  <c r="L259" i="127"/>
  <c r="H310" i="120"/>
  <c r="D564" i="120" s="1"/>
  <c r="G84" i="127"/>
  <c r="L84" i="127"/>
  <c r="G23" i="127"/>
  <c r="L23" i="127"/>
  <c r="G421" i="127"/>
  <c r="L421" i="127"/>
  <c r="G180" i="127"/>
  <c r="L180" i="127"/>
  <c r="G348" i="127"/>
  <c r="L348" i="127"/>
  <c r="G437" i="127"/>
  <c r="L437" i="127"/>
  <c r="G297" i="127"/>
  <c r="L297" i="127"/>
  <c r="G25" i="127"/>
  <c r="L25" i="127"/>
  <c r="G22" i="127"/>
  <c r="L22" i="127"/>
  <c r="H49" i="120"/>
  <c r="D548" i="120" s="1"/>
  <c r="G321" i="127"/>
  <c r="L321" i="127"/>
  <c r="G137" i="127"/>
  <c r="L137" i="127"/>
  <c r="G163" i="127"/>
  <c r="L163" i="127"/>
  <c r="G144" i="127"/>
  <c r="L144" i="127"/>
  <c r="G177" i="127"/>
  <c r="L177" i="127"/>
  <c r="G125" i="127"/>
  <c r="L125" i="127"/>
  <c r="G169" i="127"/>
  <c r="L169" i="127"/>
  <c r="F410" i="127"/>
  <c r="F441" i="120"/>
  <c r="G441" i="120" s="1"/>
  <c r="F217" i="127"/>
  <c r="F227" i="120"/>
  <c r="G227" i="120" s="1"/>
  <c r="F214" i="127"/>
  <c r="F224" i="120"/>
  <c r="G224" i="120" s="1"/>
  <c r="G171" i="127"/>
  <c r="L171" i="127"/>
  <c r="G427" i="127"/>
  <c r="L427" i="127"/>
  <c r="G351" i="127"/>
  <c r="L351" i="127"/>
  <c r="F232" i="127"/>
  <c r="F242" i="120"/>
  <c r="G242" i="120" s="1"/>
  <c r="D411" i="127"/>
  <c r="D442" i="120"/>
  <c r="D215" i="127"/>
  <c r="D225" i="120"/>
  <c r="G362" i="127"/>
  <c r="L362" i="127"/>
  <c r="M362" i="127" s="1"/>
  <c r="G207" i="127"/>
  <c r="L207" i="127"/>
  <c r="F230" i="127"/>
  <c r="F240" i="120"/>
  <c r="G240" i="120" s="1"/>
  <c r="F224" i="127"/>
  <c r="F234" i="120"/>
  <c r="G234" i="120" s="1"/>
  <c r="F234" i="127"/>
  <c r="F244" i="120"/>
  <c r="G244" i="120" s="1"/>
  <c r="C411" i="127"/>
  <c r="C442" i="120"/>
  <c r="C413" i="127"/>
  <c r="C444" i="120"/>
  <c r="C412" i="127"/>
  <c r="C443" i="120"/>
  <c r="C410" i="127"/>
  <c r="C441" i="120"/>
  <c r="C409" i="127"/>
  <c r="C440" i="120"/>
  <c r="C408" i="127"/>
  <c r="C439" i="120"/>
  <c r="C218" i="127"/>
  <c r="C228" i="120"/>
  <c r="C217" i="127"/>
  <c r="C227" i="120"/>
  <c r="C216" i="127"/>
  <c r="C226" i="120"/>
  <c r="C215" i="127"/>
  <c r="C225" i="120"/>
  <c r="C214" i="127"/>
  <c r="C224" i="120"/>
  <c r="G393" i="127"/>
  <c r="L393" i="127"/>
  <c r="G290" i="127"/>
  <c r="L290" i="127"/>
  <c r="L26" i="127"/>
  <c r="G26" i="127"/>
  <c r="G328" i="127"/>
  <c r="L328" i="127"/>
  <c r="G422" i="127"/>
  <c r="L422" i="127"/>
  <c r="G155" i="127"/>
  <c r="L155" i="127"/>
  <c r="G166" i="127"/>
  <c r="L166" i="127"/>
  <c r="G192" i="127"/>
  <c r="L192" i="127"/>
  <c r="G188" i="127"/>
  <c r="L188" i="127"/>
  <c r="L101" i="127"/>
  <c r="G101" i="127"/>
  <c r="G149" i="127"/>
  <c r="L149" i="127"/>
  <c r="G196" i="127"/>
  <c r="L196" i="127"/>
  <c r="H107" i="120"/>
  <c r="D554" i="120" s="1"/>
  <c r="G93" i="127"/>
  <c r="L93" i="127"/>
  <c r="G461" i="127"/>
  <c r="L461" i="127"/>
  <c r="G68" i="127"/>
  <c r="L68" i="127"/>
  <c r="G373" i="127"/>
  <c r="L373" i="127"/>
  <c r="H367" i="120"/>
  <c r="D569" i="120" s="1"/>
  <c r="G339" i="127"/>
  <c r="L339" i="127"/>
  <c r="G315" i="127"/>
  <c r="L315" i="127"/>
  <c r="G431" i="127"/>
  <c r="L431" i="127"/>
  <c r="G451" i="127"/>
  <c r="L451" i="127"/>
  <c r="G266" i="127"/>
  <c r="L266" i="127"/>
  <c r="M267" i="127" s="1"/>
  <c r="G382" i="127"/>
  <c r="L382" i="127"/>
  <c r="G418" i="127"/>
  <c r="L418" i="127"/>
  <c r="G185" i="127"/>
  <c r="L185" i="127"/>
  <c r="G100" i="127"/>
  <c r="L100" i="127"/>
  <c r="G174" i="127"/>
  <c r="L174" i="127"/>
  <c r="G199" i="127"/>
  <c r="L199" i="127"/>
  <c r="G90" i="127"/>
  <c r="L90" i="127"/>
  <c r="G459" i="127"/>
  <c r="L459" i="127"/>
  <c r="H488" i="120"/>
  <c r="D583" i="120" s="1"/>
  <c r="G456" i="127"/>
  <c r="L456" i="127"/>
  <c r="H78" i="120"/>
  <c r="D551" i="120" s="1"/>
  <c r="G284" i="127"/>
  <c r="L284" i="127"/>
  <c r="G344" i="127"/>
  <c r="L344" i="127"/>
  <c r="G79" i="127"/>
  <c r="L79" i="127"/>
  <c r="G439" i="127"/>
  <c r="L439" i="127"/>
  <c r="G302" i="127"/>
  <c r="L302" i="127"/>
  <c r="G19" i="127"/>
  <c r="L19" i="127"/>
  <c r="G279" i="127"/>
  <c r="L279" i="127"/>
  <c r="H348" i="120"/>
  <c r="D567" i="120" s="1"/>
  <c r="G323" i="127"/>
  <c r="L323" i="127"/>
  <c r="G126" i="127"/>
  <c r="L126" i="127"/>
  <c r="G187" i="127"/>
  <c r="L187" i="127"/>
  <c r="G135" i="127"/>
  <c r="L135" i="127"/>
  <c r="G167" i="127"/>
  <c r="L167" i="127"/>
  <c r="G124" i="127"/>
  <c r="L124" i="127"/>
  <c r="G154" i="127"/>
  <c r="L154" i="127"/>
  <c r="G168" i="127"/>
  <c r="L168" i="127"/>
  <c r="G97" i="127"/>
  <c r="L97" i="127"/>
  <c r="H277" i="120"/>
  <c r="D560" i="120" s="1"/>
  <c r="G262" i="127"/>
  <c r="L262" i="127"/>
  <c r="G69" i="127"/>
  <c r="L69" i="127"/>
  <c r="G429" i="127"/>
  <c r="L429" i="127"/>
  <c r="G283" i="127"/>
  <c r="L283" i="127"/>
  <c r="H427" i="120"/>
  <c r="D577" i="120" s="1"/>
  <c r="G346" i="127"/>
  <c r="L346" i="127"/>
  <c r="G8" i="127"/>
  <c r="L8" i="127"/>
  <c r="H359" i="120"/>
  <c r="D568" i="120" s="1"/>
  <c r="G324" i="127"/>
  <c r="L324" i="127"/>
  <c r="G112" i="127"/>
  <c r="L112" i="127"/>
  <c r="G372" i="127"/>
  <c r="L372" i="127"/>
  <c r="G345" i="127"/>
  <c r="L345" i="127"/>
  <c r="G83" i="127"/>
  <c r="L83" i="127"/>
  <c r="H412" i="120"/>
  <c r="D575" i="120" s="1"/>
  <c r="G403" i="127"/>
  <c r="L403" i="127"/>
  <c r="G14" i="127"/>
  <c r="L14" i="127"/>
  <c r="G29" i="127"/>
  <c r="L29" i="127"/>
  <c r="G43" i="127"/>
  <c r="L43" i="127"/>
  <c r="G114" i="127"/>
  <c r="L114" i="127"/>
  <c r="G108" i="127"/>
  <c r="L108" i="127"/>
  <c r="G209" i="127"/>
  <c r="L209" i="127"/>
  <c r="G200" i="127"/>
  <c r="L200" i="127"/>
  <c r="G121" i="127"/>
  <c r="L121" i="127"/>
  <c r="G151" i="127"/>
  <c r="L151" i="127"/>
  <c r="F226" i="127"/>
  <c r="F236" i="120"/>
  <c r="G236" i="120" s="1"/>
  <c r="F218" i="127"/>
  <c r="F228" i="120"/>
  <c r="G228" i="120" s="1"/>
  <c r="G106" i="127"/>
  <c r="L106" i="127"/>
  <c r="G130" i="127"/>
  <c r="L130" i="127"/>
  <c r="G242" i="127"/>
  <c r="L242" i="127"/>
  <c r="G72" i="127"/>
  <c r="L72" i="127"/>
  <c r="G195" i="127"/>
  <c r="L195" i="127"/>
  <c r="F228" i="127"/>
  <c r="F238" i="120"/>
  <c r="G238" i="120" s="1"/>
  <c r="D413" i="127"/>
  <c r="D444" i="120"/>
  <c r="D410" i="127"/>
  <c r="D441" i="120"/>
  <c r="D409" i="127"/>
  <c r="D440" i="120"/>
  <c r="D408" i="127"/>
  <c r="D439" i="120"/>
  <c r="D217" i="127"/>
  <c r="D227" i="120"/>
  <c r="D216" i="127"/>
  <c r="D226" i="120"/>
  <c r="G16" i="127"/>
  <c r="L16" i="127"/>
  <c r="F229" i="127"/>
  <c r="F239" i="120"/>
  <c r="G239" i="120" s="1"/>
  <c r="F223" i="127"/>
  <c r="F233" i="120"/>
  <c r="G233" i="120" s="1"/>
  <c r="F222" i="127"/>
  <c r="F232" i="120"/>
  <c r="G232" i="120" s="1"/>
  <c r="G36" i="127"/>
  <c r="L36" i="127"/>
  <c r="G296" i="127"/>
  <c r="L296" i="127"/>
  <c r="G17" i="127"/>
  <c r="L17" i="127"/>
  <c r="G330" i="127"/>
  <c r="L330" i="127"/>
  <c r="G424" i="127"/>
  <c r="L424" i="127"/>
  <c r="G139" i="127"/>
  <c r="L139" i="127"/>
  <c r="G119" i="127"/>
  <c r="L119" i="127"/>
  <c r="G156" i="127"/>
  <c r="L156" i="127"/>
  <c r="G186" i="127"/>
  <c r="L186" i="127"/>
  <c r="G146" i="127"/>
  <c r="L146" i="127"/>
  <c r="G175" i="127"/>
  <c r="L175" i="127"/>
  <c r="G87" i="127"/>
  <c r="L87" i="127"/>
  <c r="G311" i="127"/>
  <c r="L311" i="127"/>
  <c r="H464" i="120"/>
  <c r="D581" i="120" s="1"/>
  <c r="G444" i="127"/>
  <c r="L444" i="127"/>
  <c r="G375" i="127"/>
  <c r="L375" i="127"/>
  <c r="G337" i="127"/>
  <c r="L337" i="127"/>
  <c r="G377" i="127"/>
  <c r="L377" i="127"/>
  <c r="G449" i="127"/>
  <c r="L449" i="127"/>
  <c r="G352" i="127"/>
  <c r="L352" i="127"/>
  <c r="H86" i="120"/>
  <c r="D552" i="120" s="1"/>
  <c r="G40" i="127"/>
  <c r="L40" i="127"/>
  <c r="G13" i="127"/>
  <c r="L13" i="127"/>
  <c r="G417" i="127"/>
  <c r="L417" i="127"/>
  <c r="L160" i="127"/>
  <c r="G160" i="127"/>
  <c r="G191" i="127"/>
  <c r="L191" i="127"/>
  <c r="G170" i="127"/>
  <c r="L170" i="127"/>
  <c r="G205" i="127"/>
  <c r="L205" i="127"/>
  <c r="G96" i="127"/>
  <c r="L96" i="127"/>
  <c r="H341" i="120"/>
  <c r="D566" i="120" s="1"/>
  <c r="G314" i="127"/>
  <c r="L314" i="127"/>
  <c r="G462" i="127"/>
  <c r="L462" i="127"/>
  <c r="G443" i="127"/>
  <c r="L443" i="127"/>
  <c r="G64" i="127"/>
  <c r="L64" i="127"/>
  <c r="G349" i="127"/>
  <c r="L349" i="127"/>
  <c r="G385" i="127"/>
  <c r="L385" i="127"/>
  <c r="M387" i="127" s="1"/>
  <c r="G301" i="127"/>
  <c r="L301" i="127"/>
  <c r="G32" i="127"/>
  <c r="L32" i="127"/>
  <c r="G15" i="127"/>
  <c r="L15" i="127"/>
  <c r="G320" i="127"/>
  <c r="L320" i="127"/>
  <c r="G113" i="127"/>
  <c r="L113" i="127"/>
  <c r="G107" i="127"/>
  <c r="L107" i="127"/>
  <c r="G208" i="127"/>
  <c r="L208" i="127"/>
  <c r="G116" i="127"/>
  <c r="L116" i="127"/>
  <c r="G118" i="127"/>
  <c r="L118" i="127"/>
  <c r="G150" i="127"/>
  <c r="L150" i="127"/>
  <c r="G197" i="127"/>
  <c r="L197" i="127"/>
  <c r="H536" i="120"/>
  <c r="D586" i="120" s="1"/>
  <c r="G88" i="127"/>
  <c r="L88" i="127"/>
  <c r="G258" i="127"/>
  <c r="L258" i="127"/>
  <c r="G455" i="127"/>
  <c r="L455" i="127"/>
  <c r="G465" i="127"/>
  <c r="L465" i="127"/>
  <c r="G66" i="127"/>
  <c r="L66" i="127"/>
  <c r="G390" i="127"/>
  <c r="L390" i="127"/>
  <c r="G298" i="127"/>
  <c r="L298" i="127"/>
  <c r="H30" i="120"/>
  <c r="G327" i="127"/>
  <c r="L327" i="127"/>
  <c r="G136" i="127"/>
  <c r="L136" i="127"/>
  <c r="G104" i="127"/>
  <c r="L104" i="127"/>
  <c r="G350" i="127"/>
  <c r="L350" i="127"/>
  <c r="G80" i="127"/>
  <c r="L80" i="127"/>
  <c r="H471" i="120"/>
  <c r="D582" i="120" s="1"/>
  <c r="G381" i="127"/>
  <c r="L381" i="127"/>
  <c r="G294" i="127"/>
  <c r="L294" i="127"/>
  <c r="G21" i="127"/>
  <c r="L21" i="127"/>
  <c r="H300" i="120"/>
  <c r="D563" i="120" s="1"/>
  <c r="G333" i="127"/>
  <c r="L333" i="127"/>
  <c r="G420" i="127"/>
  <c r="L420" i="127"/>
  <c r="G419" i="127"/>
  <c r="L419" i="127"/>
  <c r="G159" i="127"/>
  <c r="L159" i="127"/>
  <c r="G203" i="127"/>
  <c r="L203" i="127"/>
  <c r="G190" i="127"/>
  <c r="L190" i="127"/>
  <c r="G103" i="127"/>
  <c r="L103" i="127"/>
  <c r="G148" i="127"/>
  <c r="L148" i="127"/>
  <c r="L198" i="127"/>
  <c r="G198" i="127"/>
  <c r="M396" i="127" l="1"/>
  <c r="A106" i="53"/>
  <c r="M45" i="127"/>
  <c r="M382" i="127"/>
  <c r="M262" i="127"/>
  <c r="M324" i="127"/>
  <c r="M76" i="127"/>
  <c r="M341" i="127"/>
  <c r="M287" i="127"/>
  <c r="M69" i="127"/>
  <c r="M97" i="127"/>
  <c r="M84" i="127"/>
  <c r="M432" i="127"/>
  <c r="M302" i="127"/>
  <c r="M424" i="127"/>
  <c r="M439" i="127"/>
  <c r="M40" i="127"/>
  <c r="M352" i="127"/>
  <c r="M465" i="127"/>
  <c r="M404" i="127"/>
  <c r="M243" i="127"/>
  <c r="M504" i="127"/>
  <c r="M334" i="127"/>
  <c r="M456" i="127"/>
  <c r="M210" i="127"/>
  <c r="M377" i="127"/>
  <c r="M280" i="127"/>
  <c r="M32" i="127"/>
  <c r="M317" i="127"/>
  <c r="G228" i="127"/>
  <c r="L228" i="127"/>
  <c r="G226" i="127"/>
  <c r="L226" i="127"/>
  <c r="G224" i="127"/>
  <c r="L224" i="127"/>
  <c r="G232" i="127"/>
  <c r="L232" i="127"/>
  <c r="H228" i="120"/>
  <c r="D556" i="120" s="1"/>
  <c r="G217" i="127"/>
  <c r="L217" i="127"/>
  <c r="G225" i="127"/>
  <c r="L225" i="127"/>
  <c r="G233" i="127"/>
  <c r="L233" i="127"/>
  <c r="G409" i="127"/>
  <c r="L409" i="127"/>
  <c r="G229" i="127"/>
  <c r="L229" i="127"/>
  <c r="G218" i="127"/>
  <c r="L218" i="127"/>
  <c r="G234" i="127"/>
  <c r="L234" i="127"/>
  <c r="G214" i="127"/>
  <c r="L214" i="127"/>
  <c r="H444" i="120"/>
  <c r="D579" i="120" s="1"/>
  <c r="G413" i="127"/>
  <c r="L413" i="127"/>
  <c r="G216" i="127"/>
  <c r="L216" i="127"/>
  <c r="H244" i="120"/>
  <c r="D557" i="120" s="1"/>
  <c r="G223" i="127"/>
  <c r="L223" i="127"/>
  <c r="G408" i="127"/>
  <c r="L408" i="127"/>
  <c r="D546" i="120"/>
  <c r="L222" i="127"/>
  <c r="G222" i="127"/>
  <c r="L230" i="127"/>
  <c r="G230" i="127"/>
  <c r="G410" i="127"/>
  <c r="L410" i="127"/>
  <c r="G215" i="127"/>
  <c r="L215" i="127"/>
  <c r="G411" i="127"/>
  <c r="L411" i="127"/>
  <c r="A107" i="53" l="1"/>
  <c r="H539" i="120"/>
  <c r="M218" i="127"/>
  <c r="M413" i="127"/>
  <c r="M234" i="127"/>
  <c r="G507" i="127"/>
  <c r="D510" i="127" s="1"/>
  <c r="L507" i="127"/>
  <c r="D588" i="120"/>
  <c r="A108" i="53" l="1"/>
  <c r="C5" i="137"/>
  <c r="C20" i="137" s="1"/>
  <c r="D514" i="127"/>
  <c r="C7" i="137" s="1"/>
  <c r="D512" i="127"/>
  <c r="C6" i="137" s="1"/>
  <c r="C224" i="127"/>
  <c r="C234" i="120"/>
  <c r="D231" i="127"/>
  <c r="D241" i="120"/>
  <c r="D233" i="127"/>
  <c r="D243" i="120"/>
  <c r="D226" i="127"/>
  <c r="D236" i="120"/>
  <c r="C225" i="127"/>
  <c r="C235" i="120"/>
  <c r="C231" i="127"/>
  <c r="C241" i="120"/>
  <c r="D222" i="127"/>
  <c r="D232" i="120"/>
  <c r="D232" i="127"/>
  <c r="D242" i="120"/>
  <c r="C228" i="127"/>
  <c r="C238" i="120"/>
  <c r="B221" i="127"/>
  <c r="B231" i="120"/>
  <c r="C232" i="127"/>
  <c r="C242" i="120"/>
  <c r="D229" i="127"/>
  <c r="D239" i="120"/>
  <c r="C226" i="127"/>
  <c r="C236" i="120"/>
  <c r="D223" i="127"/>
  <c r="D233" i="120"/>
  <c r="D234" i="127"/>
  <c r="D244" i="120"/>
  <c r="C222" i="127"/>
  <c r="C232" i="120"/>
  <c r="D221" i="127"/>
  <c r="D231" i="120"/>
  <c r="C230" i="127"/>
  <c r="C240" i="120"/>
  <c r="D225" i="127"/>
  <c r="D235" i="120"/>
  <c r="C227" i="127"/>
  <c r="C237" i="120"/>
  <c r="C233" i="127"/>
  <c r="C243" i="120"/>
  <c r="D230" i="127"/>
  <c r="D240" i="120"/>
  <c r="C229" i="127"/>
  <c r="C239" i="120"/>
  <c r="D224" i="127"/>
  <c r="D234" i="120"/>
  <c r="C223" i="127"/>
  <c r="C233" i="120"/>
  <c r="D228" i="127"/>
  <c r="D238" i="120"/>
  <c r="C234" i="127"/>
  <c r="C244" i="120"/>
  <c r="D227" i="127"/>
  <c r="D237" i="120"/>
  <c r="C221" i="127"/>
  <c r="C231" i="120"/>
  <c r="K717" i="54"/>
  <c r="K718" i="54" s="1"/>
  <c r="K719" i="54" s="1"/>
  <c r="K720" i="54" s="1"/>
  <c r="K721" i="54" s="1"/>
  <c r="K722" i="54" s="1"/>
  <c r="K723" i="54" s="1"/>
  <c r="K724" i="54" s="1"/>
  <c r="K725" i="54" s="1"/>
  <c r="K726" i="54" s="1"/>
  <c r="K727" i="54" s="1"/>
  <c r="K728" i="54" s="1"/>
  <c r="K729" i="54" s="1"/>
  <c r="K730" i="54" s="1"/>
  <c r="K731" i="54" s="1"/>
  <c r="K732" i="54" s="1"/>
  <c r="K733" i="54" s="1"/>
  <c r="K734" i="54" s="1"/>
  <c r="K735" i="54" s="1"/>
  <c r="K736" i="54" s="1"/>
  <c r="K737" i="54" s="1"/>
  <c r="K738" i="54" s="1"/>
  <c r="K739" i="54" s="1"/>
  <c r="K740" i="54" s="1"/>
  <c r="K741" i="54" s="1"/>
  <c r="K742" i="54" s="1"/>
  <c r="K743" i="54" s="1"/>
  <c r="K744" i="54" s="1"/>
  <c r="K745" i="54" s="1"/>
  <c r="K746" i="54" s="1"/>
  <c r="K747" i="54" s="1"/>
  <c r="K748" i="54" s="1"/>
  <c r="K749" i="54" s="1"/>
  <c r="K522" i="54"/>
  <c r="K523" i="54" s="1"/>
  <c r="K524" i="54" s="1"/>
  <c r="K525" i="54" s="1"/>
  <c r="K526" i="54" s="1"/>
  <c r="K527" i="54" s="1"/>
  <c r="K528" i="54" s="1"/>
  <c r="K529" i="54" s="1"/>
  <c r="K530" i="54" s="1"/>
  <c r="K531" i="54" s="1"/>
  <c r="K532" i="54" s="1"/>
  <c r="K533" i="54" s="1"/>
  <c r="K534" i="54" s="1"/>
  <c r="K535" i="54" s="1"/>
  <c r="K536" i="54" s="1"/>
  <c r="K537" i="54" s="1"/>
  <c r="K538" i="54" s="1"/>
  <c r="K539" i="54" s="1"/>
  <c r="K540" i="54" s="1"/>
  <c r="K541" i="54" s="1"/>
  <c r="K542" i="54" s="1"/>
  <c r="K543" i="54" s="1"/>
  <c r="K544" i="54" s="1"/>
  <c r="K545" i="54" s="1"/>
  <c r="K546" i="54" s="1"/>
  <c r="K547" i="54" s="1"/>
  <c r="K548" i="54" s="1"/>
  <c r="K549" i="54" s="1"/>
  <c r="K550" i="54" s="1"/>
  <c r="K551" i="54" s="1"/>
  <c r="K552" i="54" s="1"/>
  <c r="K553" i="54" s="1"/>
  <c r="K554" i="54" s="1"/>
  <c r="K555" i="54" s="1"/>
  <c r="K556" i="54" s="1"/>
  <c r="K557" i="54" s="1"/>
  <c r="K558" i="54" s="1"/>
  <c r="K559" i="54" s="1"/>
  <c r="K560" i="54" s="1"/>
  <c r="K561" i="54" s="1"/>
  <c r="K562" i="54" s="1"/>
  <c r="K563" i="54" s="1"/>
  <c r="K564" i="54" s="1"/>
  <c r="K565" i="54" s="1"/>
  <c r="K566" i="54" s="1"/>
  <c r="K567" i="54" s="1"/>
  <c r="K568" i="54" s="1"/>
  <c r="K569" i="54" s="1"/>
  <c r="K570" i="54" s="1"/>
  <c r="K571" i="54" s="1"/>
  <c r="K572" i="54" s="1"/>
  <c r="K573" i="54" s="1"/>
  <c r="K574" i="54" s="1"/>
  <c r="K575" i="54" s="1"/>
  <c r="K576" i="54" s="1"/>
  <c r="K577" i="54" s="1"/>
  <c r="K578" i="54" s="1"/>
  <c r="K579" i="54" s="1"/>
  <c r="K580" i="54" s="1"/>
  <c r="K438" i="54"/>
  <c r="K439" i="54" s="1"/>
  <c r="K440" i="54" s="1"/>
  <c r="K441" i="54" s="1"/>
  <c r="K442" i="54" s="1"/>
  <c r="K443" i="54" s="1"/>
  <c r="K444" i="54" s="1"/>
  <c r="K445" i="54" s="1"/>
  <c r="K446" i="54" s="1"/>
  <c r="K447" i="54" s="1"/>
  <c r="K448" i="54" s="1"/>
  <c r="K449" i="54" s="1"/>
  <c r="K450" i="54" s="1"/>
  <c r="K451" i="54" s="1"/>
  <c r="K452" i="54" s="1"/>
  <c r="K453" i="54" s="1"/>
  <c r="K454" i="54" s="1"/>
  <c r="K455" i="54" s="1"/>
  <c r="K456" i="54" s="1"/>
  <c r="K457" i="54" s="1"/>
  <c r="K458" i="54" s="1"/>
  <c r="K459" i="54" s="1"/>
  <c r="K460" i="54" s="1"/>
  <c r="K461" i="54" s="1"/>
  <c r="K462" i="54" s="1"/>
  <c r="K463" i="54" s="1"/>
  <c r="K464" i="54" s="1"/>
  <c r="K465" i="54" s="1"/>
  <c r="K466" i="54" s="1"/>
  <c r="K467" i="54" s="1"/>
  <c r="K468" i="54" s="1"/>
  <c r="K469" i="54" s="1"/>
  <c r="K470" i="54" s="1"/>
  <c r="K471" i="54" s="1"/>
  <c r="K472" i="54" s="1"/>
  <c r="K473" i="54" s="1"/>
  <c r="K474" i="54" s="1"/>
  <c r="K475" i="54" s="1"/>
  <c r="K476" i="54" s="1"/>
  <c r="K477" i="54" s="1"/>
  <c r="K478" i="54" s="1"/>
  <c r="K479" i="54" s="1"/>
  <c r="K480" i="54" s="1"/>
  <c r="K481" i="54" s="1"/>
  <c r="K482" i="54" s="1"/>
  <c r="K483" i="54" s="1"/>
  <c r="K484" i="54" s="1"/>
  <c r="K485" i="54" s="1"/>
  <c r="K486" i="54" s="1"/>
  <c r="K487" i="54" s="1"/>
  <c r="K488" i="54" s="1"/>
  <c r="K489" i="54" s="1"/>
  <c r="K490" i="54" s="1"/>
  <c r="K491" i="54" s="1"/>
  <c r="K492" i="54" s="1"/>
  <c r="K493" i="54" s="1"/>
  <c r="K494" i="54" s="1"/>
  <c r="K495" i="54" s="1"/>
  <c r="K496" i="54" s="1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H80" i="5"/>
  <c r="G80" i="5"/>
  <c r="F80" i="5"/>
  <c r="E80" i="5"/>
  <c r="D80" i="5"/>
  <c r="C80" i="5"/>
  <c r="H82" i="5"/>
  <c r="G82" i="5"/>
  <c r="F82" i="5"/>
  <c r="E82" i="5"/>
  <c r="D82" i="5"/>
  <c r="C82" i="5"/>
  <c r="K353" i="54"/>
  <c r="K354" i="54" s="1"/>
  <c r="K355" i="54" s="1"/>
  <c r="K356" i="54" s="1"/>
  <c r="K357" i="54" s="1"/>
  <c r="K358" i="54" s="1"/>
  <c r="K359" i="54" s="1"/>
  <c r="K360" i="54" s="1"/>
  <c r="K361" i="54" s="1"/>
  <c r="K362" i="54" s="1"/>
  <c r="K363" i="54" s="1"/>
  <c r="K364" i="54" s="1"/>
  <c r="K365" i="54" s="1"/>
  <c r="K366" i="54" s="1"/>
  <c r="K367" i="54" s="1"/>
  <c r="K368" i="54" s="1"/>
  <c r="K369" i="54" s="1"/>
  <c r="K370" i="54" s="1"/>
  <c r="K371" i="54" s="1"/>
  <c r="K372" i="54" s="1"/>
  <c r="K373" i="54" s="1"/>
  <c r="K374" i="54" s="1"/>
  <c r="K375" i="54" s="1"/>
  <c r="K376" i="54" s="1"/>
  <c r="K377" i="54" s="1"/>
  <c r="K378" i="54" s="1"/>
  <c r="K379" i="54" s="1"/>
  <c r="K380" i="54" s="1"/>
  <c r="K381" i="54" s="1"/>
  <c r="K382" i="54" s="1"/>
  <c r="K383" i="54" s="1"/>
  <c r="K384" i="54" s="1"/>
  <c r="K385" i="54" s="1"/>
  <c r="K386" i="54" s="1"/>
  <c r="K387" i="54" s="1"/>
  <c r="K388" i="54" s="1"/>
  <c r="K389" i="54" s="1"/>
  <c r="K390" i="54" s="1"/>
  <c r="K391" i="54" s="1"/>
  <c r="K392" i="54" s="1"/>
  <c r="K393" i="54" s="1"/>
  <c r="K394" i="54" s="1"/>
  <c r="K395" i="54" s="1"/>
  <c r="K396" i="54" s="1"/>
  <c r="K397" i="54" s="1"/>
  <c r="K398" i="54" s="1"/>
  <c r="K399" i="54" s="1"/>
  <c r="K400" i="54" s="1"/>
  <c r="K401" i="54" s="1"/>
  <c r="K402" i="54" s="1"/>
  <c r="K403" i="54" s="1"/>
  <c r="K404" i="54" s="1"/>
  <c r="K405" i="54" s="1"/>
  <c r="K406" i="54" s="1"/>
  <c r="K407" i="54" s="1"/>
  <c r="K408" i="54" s="1"/>
  <c r="K409" i="54" s="1"/>
  <c r="K410" i="54" s="1"/>
  <c r="K411" i="54" s="1"/>
  <c r="K270" i="54"/>
  <c r="K271" i="54" s="1"/>
  <c r="K272" i="54" s="1"/>
  <c r="K273" i="54" s="1"/>
  <c r="K274" i="54" s="1"/>
  <c r="K275" i="54" s="1"/>
  <c r="K276" i="54" s="1"/>
  <c r="K277" i="54" s="1"/>
  <c r="K278" i="54" s="1"/>
  <c r="K279" i="54" s="1"/>
  <c r="K280" i="54" s="1"/>
  <c r="K281" i="54" s="1"/>
  <c r="K282" i="54" s="1"/>
  <c r="K283" i="54" s="1"/>
  <c r="K284" i="54" s="1"/>
  <c r="K285" i="54" s="1"/>
  <c r="K286" i="54" s="1"/>
  <c r="K287" i="54" s="1"/>
  <c r="K288" i="54" s="1"/>
  <c r="K289" i="54" s="1"/>
  <c r="K290" i="54" s="1"/>
  <c r="K291" i="54" s="1"/>
  <c r="K292" i="54" s="1"/>
  <c r="K293" i="54" s="1"/>
  <c r="K294" i="54" s="1"/>
  <c r="K295" i="54" s="1"/>
  <c r="K296" i="54" s="1"/>
  <c r="K297" i="54" s="1"/>
  <c r="K298" i="54" s="1"/>
  <c r="K299" i="54" s="1"/>
  <c r="K300" i="54" s="1"/>
  <c r="K301" i="54" s="1"/>
  <c r="K302" i="54" s="1"/>
  <c r="K303" i="54" s="1"/>
  <c r="K304" i="54" s="1"/>
  <c r="K305" i="54" s="1"/>
  <c r="K306" i="54" s="1"/>
  <c r="K307" i="54" s="1"/>
  <c r="K308" i="54" s="1"/>
  <c r="K309" i="54" s="1"/>
  <c r="K310" i="54" s="1"/>
  <c r="K311" i="54" s="1"/>
  <c r="K312" i="54" s="1"/>
  <c r="K313" i="54" s="1"/>
  <c r="K314" i="54" s="1"/>
  <c r="K315" i="54" s="1"/>
  <c r="K316" i="54" s="1"/>
  <c r="K317" i="54" s="1"/>
  <c r="K318" i="54" s="1"/>
  <c r="K319" i="54" s="1"/>
  <c r="K320" i="54" s="1"/>
  <c r="K321" i="54" s="1"/>
  <c r="K322" i="54" s="1"/>
  <c r="K323" i="54" s="1"/>
  <c r="K324" i="54" s="1"/>
  <c r="K325" i="54" s="1"/>
  <c r="K326" i="54" s="1"/>
  <c r="K327" i="54" s="1"/>
  <c r="K328" i="54" s="1"/>
  <c r="K186" i="54"/>
  <c r="K187" i="54" s="1"/>
  <c r="K188" i="54" s="1"/>
  <c r="K189" i="54" s="1"/>
  <c r="K190" i="54" s="1"/>
  <c r="K191" i="54" s="1"/>
  <c r="K192" i="54" s="1"/>
  <c r="K193" i="54" s="1"/>
  <c r="K194" i="54" s="1"/>
  <c r="K195" i="54" s="1"/>
  <c r="K196" i="54" s="1"/>
  <c r="K197" i="54" s="1"/>
  <c r="K198" i="54" s="1"/>
  <c r="K199" i="54" s="1"/>
  <c r="K200" i="54" s="1"/>
  <c r="K201" i="54" s="1"/>
  <c r="K202" i="54" s="1"/>
  <c r="K203" i="54" s="1"/>
  <c r="K204" i="54" s="1"/>
  <c r="K205" i="54" s="1"/>
  <c r="K206" i="54" s="1"/>
  <c r="K207" i="54" s="1"/>
  <c r="K208" i="54" s="1"/>
  <c r="K209" i="54" s="1"/>
  <c r="K210" i="54" s="1"/>
  <c r="K211" i="54" s="1"/>
  <c r="K212" i="54" s="1"/>
  <c r="K213" i="54" s="1"/>
  <c r="K214" i="54" s="1"/>
  <c r="K215" i="54" s="1"/>
  <c r="K216" i="54" s="1"/>
  <c r="K217" i="54" s="1"/>
  <c r="K218" i="54" s="1"/>
  <c r="K219" i="54" s="1"/>
  <c r="K220" i="54" s="1"/>
  <c r="K221" i="54" s="1"/>
  <c r="K222" i="54" s="1"/>
  <c r="K223" i="54" s="1"/>
  <c r="K224" i="54" s="1"/>
  <c r="K225" i="54" s="1"/>
  <c r="K226" i="54" s="1"/>
  <c r="K227" i="54" s="1"/>
  <c r="K228" i="54" s="1"/>
  <c r="K229" i="54" s="1"/>
  <c r="K230" i="54" s="1"/>
  <c r="K231" i="54" s="1"/>
  <c r="K232" i="54" s="1"/>
  <c r="K233" i="54" s="1"/>
  <c r="K234" i="54" s="1"/>
  <c r="K235" i="54" s="1"/>
  <c r="K236" i="54" s="1"/>
  <c r="K237" i="54" s="1"/>
  <c r="K238" i="54" s="1"/>
  <c r="K239" i="54" s="1"/>
  <c r="K240" i="54" s="1"/>
  <c r="K241" i="54" s="1"/>
  <c r="K242" i="54" s="1"/>
  <c r="K243" i="54" s="1"/>
  <c r="K244" i="54" s="1"/>
  <c r="K102" i="54"/>
  <c r="K103" i="54" s="1"/>
  <c r="K104" i="54" s="1"/>
  <c r="K105" i="54" s="1"/>
  <c r="K106" i="54" s="1"/>
  <c r="K107" i="54" s="1"/>
  <c r="K108" i="54" s="1"/>
  <c r="K109" i="54" s="1"/>
  <c r="K110" i="54" s="1"/>
  <c r="K111" i="54" s="1"/>
  <c r="K112" i="54" s="1"/>
  <c r="K113" i="54" s="1"/>
  <c r="K114" i="54" s="1"/>
  <c r="K115" i="54" s="1"/>
  <c r="K116" i="54" s="1"/>
  <c r="K117" i="54" s="1"/>
  <c r="K118" i="54" s="1"/>
  <c r="K119" i="54" s="1"/>
  <c r="K120" i="54" s="1"/>
  <c r="K121" i="54" s="1"/>
  <c r="K122" i="54" s="1"/>
  <c r="K123" i="54" s="1"/>
  <c r="K124" i="54" s="1"/>
  <c r="K125" i="54" s="1"/>
  <c r="K126" i="54" s="1"/>
  <c r="K127" i="54" s="1"/>
  <c r="K128" i="54" s="1"/>
  <c r="K129" i="54" s="1"/>
  <c r="K130" i="54" s="1"/>
  <c r="K131" i="54" s="1"/>
  <c r="K132" i="54" s="1"/>
  <c r="K133" i="54" s="1"/>
  <c r="K134" i="54" s="1"/>
  <c r="K135" i="54" s="1"/>
  <c r="K136" i="54" s="1"/>
  <c r="K137" i="54" s="1"/>
  <c r="K138" i="54" s="1"/>
  <c r="K139" i="54" s="1"/>
  <c r="K140" i="54" s="1"/>
  <c r="K141" i="54" s="1"/>
  <c r="K142" i="54" s="1"/>
  <c r="K143" i="54" s="1"/>
  <c r="K144" i="54" s="1"/>
  <c r="K145" i="54" s="1"/>
  <c r="K146" i="54" s="1"/>
  <c r="K147" i="54" s="1"/>
  <c r="K148" i="54" s="1"/>
  <c r="K149" i="54" s="1"/>
  <c r="K150" i="54" s="1"/>
  <c r="K151" i="54" s="1"/>
  <c r="K152" i="54" s="1"/>
  <c r="K153" i="54" s="1"/>
  <c r="K154" i="54" s="1"/>
  <c r="K155" i="54" s="1"/>
  <c r="K156" i="54" s="1"/>
  <c r="K157" i="54" s="1"/>
  <c r="K158" i="54" s="1"/>
  <c r="K159" i="54" s="1"/>
  <c r="K160" i="54" s="1"/>
  <c r="K20" i="54"/>
  <c r="K21" i="54" s="1"/>
  <c r="K22" i="54" s="1"/>
  <c r="K23" i="54" s="1"/>
  <c r="K24" i="54" s="1"/>
  <c r="K25" i="54" s="1"/>
  <c r="K26" i="54" s="1"/>
  <c r="K27" i="54" s="1"/>
  <c r="K28" i="54" s="1"/>
  <c r="K29" i="54" s="1"/>
  <c r="K30" i="54" s="1"/>
  <c r="K31" i="54" s="1"/>
  <c r="K32" i="54" s="1"/>
  <c r="K33" i="54" s="1"/>
  <c r="K34" i="54" s="1"/>
  <c r="K35" i="54" s="1"/>
  <c r="K36" i="54" s="1"/>
  <c r="K37" i="54" s="1"/>
  <c r="K38" i="54" s="1"/>
  <c r="K39" i="54" s="1"/>
  <c r="K40" i="54" s="1"/>
  <c r="K41" i="54" s="1"/>
  <c r="K42" i="54" s="1"/>
  <c r="K43" i="54" s="1"/>
  <c r="K44" i="54" s="1"/>
  <c r="K45" i="54" s="1"/>
  <c r="K46" i="54" s="1"/>
  <c r="K47" i="54" s="1"/>
  <c r="K48" i="54" s="1"/>
  <c r="K49" i="54" s="1"/>
  <c r="K50" i="54" s="1"/>
  <c r="K51" i="54" s="1"/>
  <c r="K52" i="54" s="1"/>
  <c r="K53" i="54" s="1"/>
  <c r="K54" i="54" s="1"/>
  <c r="K55" i="54" s="1"/>
  <c r="K56" i="54" s="1"/>
  <c r="K57" i="54" s="1"/>
  <c r="K58" i="54" s="1"/>
  <c r="K59" i="54" s="1"/>
  <c r="K60" i="54" s="1"/>
  <c r="K61" i="54" s="1"/>
  <c r="K62" i="54" s="1"/>
  <c r="K63" i="54" s="1"/>
  <c r="K64" i="54" s="1"/>
  <c r="K65" i="54" s="1"/>
  <c r="K66" i="54" s="1"/>
  <c r="K67" i="54" s="1"/>
  <c r="K68" i="54" s="1"/>
  <c r="K69" i="54" s="1"/>
  <c r="K70" i="54" s="1"/>
  <c r="K71" i="54" s="1"/>
  <c r="K72" i="54" s="1"/>
  <c r="K73" i="54" s="1"/>
  <c r="K74" i="54" s="1"/>
  <c r="K75" i="54" s="1"/>
  <c r="K76" i="54" s="1"/>
  <c r="K77" i="54" s="1"/>
  <c r="K78" i="54" s="1"/>
  <c r="A109" i="53" l="1"/>
  <c r="C21" i="137"/>
  <c r="C28" i="137" s="1"/>
  <c r="C30" i="137" s="1"/>
  <c r="C34" i="137" s="1"/>
  <c r="K67" i="5"/>
  <c r="J67" i="5"/>
  <c r="I67" i="5"/>
  <c r="H67" i="5"/>
  <c r="G67" i="5"/>
  <c r="F67" i="5"/>
  <c r="E67" i="5"/>
  <c r="D67" i="5"/>
  <c r="C67" i="5"/>
  <c r="K69" i="5"/>
  <c r="J69" i="5"/>
  <c r="I69" i="5"/>
  <c r="H69" i="5"/>
  <c r="G69" i="5"/>
  <c r="F69" i="5"/>
  <c r="E69" i="5"/>
  <c r="D69" i="5"/>
  <c r="C69" i="5"/>
  <c r="G54" i="5"/>
  <c r="F54" i="5"/>
  <c r="E54" i="5"/>
  <c r="D54" i="5"/>
  <c r="K42" i="5"/>
  <c r="J42" i="5"/>
  <c r="I42" i="5"/>
  <c r="H42" i="5"/>
  <c r="G42" i="5"/>
  <c r="F42" i="5"/>
  <c r="E42" i="5"/>
  <c r="D42" i="5"/>
  <c r="C42" i="5"/>
  <c r="K29" i="5"/>
  <c r="J29" i="5"/>
  <c r="I29" i="5"/>
  <c r="H29" i="5"/>
  <c r="G29" i="5"/>
  <c r="F29" i="5"/>
  <c r="E29" i="5"/>
  <c r="D29" i="5"/>
  <c r="C29" i="5"/>
  <c r="K17" i="5"/>
  <c r="J17" i="5"/>
  <c r="I17" i="5"/>
  <c r="H17" i="5"/>
  <c r="G17" i="5"/>
  <c r="F17" i="5"/>
  <c r="E17" i="5"/>
  <c r="B10" i="4"/>
  <c r="A10" i="4"/>
  <c r="A110" i="53" l="1"/>
  <c r="C22" i="137"/>
  <c r="A13" i="3"/>
  <c r="B113" i="127"/>
  <c r="B123" i="120"/>
  <c r="A12" i="3"/>
  <c r="B114" i="127"/>
  <c r="B124" i="120"/>
  <c r="B12" i="3"/>
  <c r="C13" i="3"/>
  <c r="B13" i="3"/>
  <c r="D13" i="3"/>
  <c r="C6" i="259" l="1"/>
  <c r="C11" i="243"/>
  <c r="A5" i="28"/>
  <c r="A6" i="259"/>
  <c r="A11" i="243"/>
  <c r="D6" i="259"/>
  <c r="D11" i="243"/>
  <c r="E381" i="267" s="1"/>
  <c r="B6" i="259"/>
  <c r="B11" i="243"/>
  <c r="A111" i="53"/>
  <c r="F3" i="4"/>
  <c r="G3" i="4"/>
  <c r="C393" i="278" l="1"/>
  <c r="C533" i="276"/>
  <c r="B393" i="278"/>
  <c r="B533" i="276"/>
  <c r="D533" i="276"/>
  <c r="D393" i="278"/>
  <c r="C533" i="267"/>
  <c r="B533" i="267"/>
  <c r="D381" i="267"/>
  <c r="C381" i="267"/>
  <c r="B381" i="267"/>
  <c r="D533" i="267"/>
  <c r="F6" i="259"/>
  <c r="E533" i="267"/>
  <c r="F11" i="243"/>
  <c r="G381" i="267" s="1"/>
  <c r="G3" i="1"/>
  <c r="A112" i="53"/>
  <c r="B408" i="127"/>
  <c r="B439" i="120"/>
  <c r="AQ3" i="4"/>
  <c r="AO3" i="4"/>
  <c r="AN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V3" i="4"/>
  <c r="U3" i="4"/>
  <c r="T3" i="4"/>
  <c r="S3" i="4"/>
  <c r="R3" i="4"/>
  <c r="Q3" i="4"/>
  <c r="P3" i="4"/>
  <c r="O3" i="4"/>
  <c r="I44" i="5"/>
  <c r="C7" i="5"/>
  <c r="K54" i="5"/>
  <c r="J54" i="5"/>
  <c r="I54" i="5"/>
  <c r="H54" i="5"/>
  <c r="K56" i="5"/>
  <c r="J56" i="5"/>
  <c r="I56" i="5"/>
  <c r="H56" i="5"/>
  <c r="G56" i="5"/>
  <c r="F56" i="5"/>
  <c r="E56" i="5"/>
  <c r="D56" i="5"/>
  <c r="K31" i="5"/>
  <c r="J31" i="5"/>
  <c r="I31" i="5"/>
  <c r="H31" i="5"/>
  <c r="G31" i="5"/>
  <c r="F31" i="5"/>
  <c r="E31" i="5"/>
  <c r="K44" i="5"/>
  <c r="J44" i="5"/>
  <c r="H44" i="5"/>
  <c r="G44" i="5"/>
  <c r="F44" i="5"/>
  <c r="E44" i="5"/>
  <c r="D44" i="5"/>
  <c r="C44" i="5"/>
  <c r="D17" i="5"/>
  <c r="C17" i="5"/>
  <c r="J5" i="5"/>
  <c r="I5" i="5"/>
  <c r="H5" i="5"/>
  <c r="G5" i="5"/>
  <c r="F5" i="5"/>
  <c r="E5" i="5"/>
  <c r="D5" i="5"/>
  <c r="C5" i="5"/>
  <c r="D7" i="5"/>
  <c r="C5" i="28"/>
  <c r="B5" i="28"/>
  <c r="A4" i="28"/>
  <c r="AT3" i="4"/>
  <c r="AS3" i="4"/>
  <c r="AR3" i="4"/>
  <c r="AP3" i="4"/>
  <c r="AM3" i="4"/>
  <c r="N3" i="4"/>
  <c r="M3" i="4"/>
  <c r="L3" i="4"/>
  <c r="K3" i="4"/>
  <c r="J3" i="4"/>
  <c r="I3" i="4"/>
  <c r="H3" i="4"/>
  <c r="E3" i="4"/>
  <c r="A5" i="1"/>
  <c r="E19" i="5"/>
  <c r="C31" i="5"/>
  <c r="K19" i="5"/>
  <c r="E7" i="5"/>
  <c r="F19" i="5"/>
  <c r="F7" i="5"/>
  <c r="H19" i="5"/>
  <c r="G7" i="5"/>
  <c r="I19" i="5"/>
  <c r="D19" i="5"/>
  <c r="G19" i="5"/>
  <c r="C19" i="5"/>
  <c r="J19" i="5"/>
  <c r="H7" i="5"/>
  <c r="F15" i="259" l="1"/>
  <c r="F35" i="1" s="1"/>
  <c r="G533" i="267"/>
  <c r="H539" i="267" s="1"/>
  <c r="D886" i="267" s="1"/>
  <c r="F31" i="243"/>
  <c r="F19" i="1" s="1"/>
  <c r="A113" i="53"/>
  <c r="A6" i="1"/>
  <c r="A8" i="119" s="1"/>
  <c r="A7" i="119"/>
  <c r="A9" i="113"/>
  <c r="B87" i="127"/>
  <c r="B97" i="120"/>
  <c r="B4" i="28"/>
  <c r="C4" i="28"/>
  <c r="D4" i="28"/>
  <c r="D5" i="28"/>
  <c r="H398" i="267" l="1"/>
  <c r="D874" i="267" s="1"/>
  <c r="D910" i="267" s="1"/>
  <c r="H831" i="267"/>
  <c r="A7" i="1"/>
  <c r="A9" i="119" s="1"/>
  <c r="A114" i="53"/>
  <c r="A10" i="113"/>
  <c r="B417" i="127"/>
  <c r="B448" i="120"/>
  <c r="A8" i="1"/>
  <c r="A11" i="113" l="1"/>
  <c r="A10" i="119"/>
  <c r="A12" i="113"/>
  <c r="A115" i="53"/>
  <c r="B227" i="127"/>
  <c r="B237" i="120"/>
  <c r="D103" i="45"/>
  <c r="H85" i="45"/>
  <c r="B293" i="127"/>
  <c r="B318" i="120"/>
  <c r="A9" i="1"/>
  <c r="A13" i="113" s="1"/>
  <c r="A116" i="53" l="1"/>
  <c r="A11" i="119"/>
  <c r="A10" i="1"/>
  <c r="B392" i="127"/>
  <c r="B423" i="120"/>
  <c r="A11" i="1" l="1"/>
  <c r="A13" i="119" s="1"/>
  <c r="A14" i="113"/>
  <c r="A117" i="53"/>
  <c r="A12" i="119"/>
  <c r="A12" i="1" l="1"/>
  <c r="A14" i="119" s="1"/>
  <c r="A15" i="113"/>
  <c r="A118" i="53"/>
  <c r="A13" i="1" l="1"/>
  <c r="A15" i="119" s="1"/>
  <c r="A16" i="113"/>
  <c r="A119" i="53"/>
  <c r="B240" i="127"/>
  <c r="B250" i="120"/>
  <c r="A14" i="1" l="1"/>
  <c r="A16" i="119" s="1"/>
  <c r="A17" i="113"/>
  <c r="A120" i="53"/>
  <c r="B367" i="127"/>
  <c r="B395" i="120"/>
  <c r="A15" i="1" l="1"/>
  <c r="A17" i="119" s="1"/>
  <c r="A18" i="113"/>
  <c r="A121" i="53"/>
  <c r="B299" i="127"/>
  <c r="B324" i="120"/>
  <c r="A16" i="1" l="1"/>
  <c r="A18" i="119" s="1"/>
  <c r="A19" i="113"/>
  <c r="A122" i="53"/>
  <c r="B424" i="127"/>
  <c r="B455" i="120"/>
  <c r="A17" i="1" l="1"/>
  <c r="A19" i="119" s="1"/>
  <c r="A20" i="113"/>
  <c r="A123" i="53"/>
  <c r="A18" i="1" l="1"/>
  <c r="A20" i="119" s="1"/>
  <c r="A21" i="113"/>
  <c r="A124" i="53"/>
  <c r="A19" i="1" l="1"/>
  <c r="A21" i="119" s="1"/>
  <c r="A22" i="113"/>
  <c r="A125" i="53"/>
  <c r="A20" i="1" l="1"/>
  <c r="A22" i="119" s="1"/>
  <c r="A23" i="113"/>
  <c r="A126" i="53"/>
  <c r="B48" i="127"/>
  <c r="B53" i="120"/>
  <c r="B442" i="127"/>
  <c r="B474" i="120"/>
  <c r="A21" i="1" l="1"/>
  <c r="A24" i="113"/>
  <c r="A127" i="53"/>
  <c r="B443" i="127"/>
  <c r="B475" i="120"/>
  <c r="A23" i="119"/>
  <c r="A22" i="1" l="1"/>
  <c r="A24" i="119" s="1"/>
  <c r="A25" i="113"/>
  <c r="A128" i="53"/>
  <c r="B444" i="127"/>
  <c r="B476" i="120"/>
  <c r="A23" i="1" l="1"/>
  <c r="A25" i="119" s="1"/>
  <c r="A26" i="113"/>
  <c r="A129" i="53"/>
  <c r="B445" i="127"/>
  <c r="B477" i="120"/>
  <c r="A24" i="1" l="1"/>
  <c r="A26" i="119" s="1"/>
  <c r="A27" i="113"/>
  <c r="A130" i="53"/>
  <c r="B49" i="127"/>
  <c r="B54" i="120"/>
  <c r="B446" i="127"/>
  <c r="B478" i="120"/>
  <c r="A25" i="1" l="1"/>
  <c r="A27" i="119" s="1"/>
  <c r="A28" i="113"/>
  <c r="A133" i="53"/>
  <c r="B447" i="127"/>
  <c r="B479" i="120"/>
  <c r="B50" i="127"/>
  <c r="B55" i="120"/>
  <c r="A26" i="1" l="1"/>
  <c r="A28" i="119" s="1"/>
  <c r="A29" i="113"/>
  <c r="A134" i="53"/>
  <c r="B51" i="127"/>
  <c r="B56" i="120"/>
  <c r="B448" i="127"/>
  <c r="B480" i="120"/>
  <c r="A27" i="1" l="1"/>
  <c r="A29" i="119" s="1"/>
  <c r="A30" i="113"/>
  <c r="A135" i="53"/>
  <c r="B449" i="127"/>
  <c r="B481" i="120"/>
  <c r="A28" i="1" l="1"/>
  <c r="A30" i="119" s="1"/>
  <c r="A31" i="113"/>
  <c r="A136" i="53"/>
  <c r="A29" i="1" l="1"/>
  <c r="A31" i="119" s="1"/>
  <c r="A32" i="113"/>
  <c r="A137" i="53"/>
  <c r="B222" i="127"/>
  <c r="B232" i="120"/>
  <c r="A30" i="1" l="1"/>
  <c r="A32" i="119" s="1"/>
  <c r="A33" i="113"/>
  <c r="A138" i="53"/>
  <c r="A31" i="1" l="1"/>
  <c r="A33" i="119" s="1"/>
  <c r="A34" i="113"/>
  <c r="A139" i="53"/>
  <c r="A32" i="1" l="1"/>
  <c r="A34" i="119" s="1"/>
  <c r="A35" i="113"/>
  <c r="A140" i="53"/>
  <c r="B52" i="127"/>
  <c r="B57" i="120"/>
  <c r="B454" i="127"/>
  <c r="B486" i="120"/>
  <c r="A33" i="1" l="1"/>
  <c r="A35" i="119" s="1"/>
  <c r="A36" i="113"/>
  <c r="A141" i="53"/>
  <c r="B92" i="127"/>
  <c r="B102" i="120"/>
  <c r="A34" i="1" l="1"/>
  <c r="A36" i="119" s="1"/>
  <c r="A37" i="113"/>
  <c r="A142" i="53"/>
  <c r="B234" i="127"/>
  <c r="B244" i="120"/>
  <c r="A35" i="1" l="1"/>
  <c r="A37" i="119" s="1"/>
  <c r="A38" i="113"/>
  <c r="A143" i="53"/>
  <c r="A36" i="1" l="1"/>
  <c r="A38" i="119" s="1"/>
  <c r="A39" i="113"/>
  <c r="A144" i="53"/>
  <c r="B110" i="127"/>
  <c r="B120" i="120"/>
  <c r="A37" i="1" l="1"/>
  <c r="A39" i="119" s="1"/>
  <c r="A40" i="113"/>
  <c r="A145" i="53"/>
  <c r="B320" i="127"/>
  <c r="B344" i="120"/>
  <c r="A38" i="1" l="1"/>
  <c r="A40" i="119" s="1"/>
  <c r="A41" i="113"/>
  <c r="A146" i="53"/>
  <c r="B111" i="127"/>
  <c r="B121" i="120"/>
  <c r="A39" i="1" l="1"/>
  <c r="A41" i="119" s="1"/>
  <c r="A42" i="113"/>
  <c r="A147" i="53"/>
  <c r="B321" i="127"/>
  <c r="B345" i="120"/>
  <c r="A40" i="1" l="1"/>
  <c r="A42" i="119" s="1"/>
  <c r="A43" i="113"/>
  <c r="A148" i="53"/>
  <c r="A41" i="1" l="1"/>
  <c r="A43" i="119" s="1"/>
  <c r="A44" i="113"/>
  <c r="A149" i="53"/>
  <c r="B88" i="127"/>
  <c r="B98" i="120"/>
  <c r="A42" i="1" l="1"/>
  <c r="A44" i="119" s="1"/>
  <c r="A45" i="113"/>
  <c r="A150" i="53"/>
  <c r="B450" i="127"/>
  <c r="B482" i="120"/>
  <c r="A43" i="1" l="1"/>
  <c r="A45" i="119" s="1"/>
  <c r="A46" i="113"/>
  <c r="A151" i="53"/>
  <c r="A44" i="1" l="1"/>
  <c r="A46" i="119" s="1"/>
  <c r="A47" i="113"/>
  <c r="A152" i="53"/>
  <c r="A45" i="1" l="1"/>
  <c r="A48" i="113"/>
  <c r="A153" i="53"/>
  <c r="B115" i="127"/>
  <c r="B125" i="120"/>
  <c r="A47" i="119"/>
  <c r="A46" i="1" l="1"/>
  <c r="A48" i="119" s="1"/>
  <c r="A49" i="113"/>
  <c r="A154" i="53"/>
  <c r="A47" i="1" l="1"/>
  <c r="A49" i="119" s="1"/>
  <c r="A50" i="113"/>
  <c r="A155" i="53"/>
  <c r="A48" i="1" l="1"/>
  <c r="A51" i="113"/>
  <c r="A156" i="53"/>
  <c r="A49" i="1" l="1"/>
  <c r="A52" i="113"/>
  <c r="A160" i="53"/>
  <c r="A50" i="1" l="1"/>
  <c r="A53" i="113"/>
  <c r="A161" i="53"/>
  <c r="B126" i="127"/>
  <c r="B136" i="120"/>
  <c r="A54" i="113" l="1"/>
  <c r="A51" i="1"/>
  <c r="A162" i="53"/>
  <c r="B338" i="127"/>
  <c r="B364" i="120"/>
  <c r="A55" i="113" l="1"/>
  <c r="A52" i="1"/>
  <c r="A163" i="53"/>
  <c r="B137" i="127"/>
  <c r="B147" i="120"/>
  <c r="A56" i="113" l="1"/>
  <c r="A53" i="1"/>
  <c r="A164" i="53"/>
  <c r="B138" i="127"/>
  <c r="B148" i="120"/>
  <c r="A57" i="113" l="1"/>
  <c r="A54" i="1"/>
  <c r="A165" i="53"/>
  <c r="B155" i="127"/>
  <c r="B165" i="120"/>
  <c r="A58" i="113" l="1"/>
  <c r="A55" i="1"/>
  <c r="A166" i="53"/>
  <c r="A59" i="113" l="1"/>
  <c r="A56" i="1"/>
  <c r="A167" i="53"/>
  <c r="A60" i="113" l="1"/>
  <c r="A57" i="1"/>
  <c r="A168" i="53"/>
  <c r="B157" i="127"/>
  <c r="B167" i="120"/>
  <c r="A61" i="113" l="1"/>
  <c r="A58" i="1"/>
  <c r="A169" i="53"/>
  <c r="B75" i="127"/>
  <c r="B85" i="120"/>
  <c r="A62" i="113" l="1"/>
  <c r="A59" i="1"/>
  <c r="A170" i="53"/>
  <c r="A63" i="113" l="1"/>
  <c r="A60" i="1"/>
  <c r="A171" i="53"/>
  <c r="A64" i="113" l="1"/>
  <c r="A61" i="1"/>
  <c r="A172" i="53"/>
  <c r="A65" i="113" l="1"/>
  <c r="A62" i="1"/>
  <c r="A173" i="53"/>
  <c r="A66" i="113" l="1"/>
  <c r="A63" i="1"/>
  <c r="A174" i="53"/>
  <c r="A67" i="113" l="1"/>
  <c r="A64" i="1"/>
  <c r="A175" i="53"/>
  <c r="A68" i="113" l="1"/>
  <c r="A65" i="1"/>
  <c r="A176" i="53"/>
  <c r="A50" i="119"/>
  <c r="A69" i="113" l="1"/>
  <c r="A66" i="1"/>
  <c r="A177" i="53"/>
  <c r="A70" i="113" l="1"/>
  <c r="A67" i="1"/>
  <c r="A71" i="113" s="1"/>
  <c r="A178" i="53"/>
  <c r="B164" i="127"/>
  <c r="B174" i="120"/>
  <c r="A179" i="53" l="1"/>
  <c r="B165" i="127"/>
  <c r="B175" i="120"/>
  <c r="A180" i="53" l="1"/>
  <c r="B381" i="127"/>
  <c r="B411" i="120"/>
  <c r="A181" i="53" l="1"/>
  <c r="B297" i="127"/>
  <c r="B322" i="120"/>
  <c r="A182" i="53" l="1"/>
  <c r="B382" i="127"/>
  <c r="B412" i="120"/>
  <c r="A183" i="53" l="1"/>
  <c r="B465" i="127"/>
  <c r="B497" i="120"/>
  <c r="A184" i="53" l="1"/>
  <c r="B347" i="127"/>
  <c r="B373" i="120"/>
  <c r="A185" i="53" l="1"/>
  <c r="B346" i="127"/>
  <c r="B372" i="120"/>
  <c r="A186" i="53" l="1"/>
  <c r="B179" i="127"/>
  <c r="B189" i="120"/>
  <c r="A187" i="53" l="1"/>
  <c r="B332" i="127"/>
  <c r="B357" i="120"/>
  <c r="B438" i="127"/>
  <c r="B470" i="120"/>
  <c r="A188" i="53" l="1"/>
  <c r="A189" i="53" l="1"/>
  <c r="A190" i="53" l="1"/>
  <c r="B39" i="127"/>
  <c r="B42" i="120"/>
  <c r="A191" i="53" l="1"/>
  <c r="B40" i="127"/>
  <c r="B43" i="120"/>
  <c r="A192" i="53" l="1"/>
  <c r="A193" i="53" l="1"/>
  <c r="A194" i="53" l="1"/>
  <c r="B334" i="127"/>
  <c r="B359" i="120"/>
  <c r="A195" i="53" l="1"/>
  <c r="B300" i="127"/>
  <c r="B325" i="120"/>
  <c r="A196" i="53" l="1"/>
  <c r="B395" i="127"/>
  <c r="B426" i="120"/>
  <c r="A197" i="53" l="1"/>
  <c r="A198" i="53" l="1"/>
  <c r="B193" i="127"/>
  <c r="B203" i="120"/>
  <c r="A199" i="53" l="1"/>
  <c r="A200" i="53" l="1"/>
  <c r="B341" i="127"/>
  <c r="B367" i="120"/>
  <c r="A201" i="53" l="1"/>
  <c r="A202" i="53" l="1"/>
  <c r="B349" i="127"/>
  <c r="B375" i="120"/>
  <c r="A203" i="53" l="1"/>
  <c r="B350" i="127"/>
  <c r="B376" i="120"/>
  <c r="A204" i="53" l="1"/>
  <c r="B351" i="127"/>
  <c r="B377" i="120"/>
  <c r="A205" i="53" l="1"/>
  <c r="A206" i="53" l="1"/>
  <c r="A207" i="53" l="1"/>
  <c r="B453" i="127"/>
  <c r="B485" i="120"/>
  <c r="A208" i="53" l="1"/>
  <c r="A209" i="53" l="1"/>
  <c r="B330" i="127"/>
  <c r="B355" i="120"/>
  <c r="A210" i="53" l="1"/>
  <c r="B331" i="127"/>
  <c r="B356" i="120"/>
  <c r="A211" i="53" l="1"/>
  <c r="A215" i="53" l="1"/>
  <c r="A216" i="53" l="1"/>
  <c r="A217" i="53" l="1"/>
  <c r="A218" i="53" l="1"/>
  <c r="A219" i="53" l="1"/>
  <c r="A220" i="53" l="1"/>
  <c r="A221" i="53" l="1"/>
  <c r="A222" i="53" l="1"/>
  <c r="A223" i="53" l="1"/>
  <c r="A224" i="53" l="1"/>
  <c r="A225" i="53" l="1"/>
  <c r="A226" i="53" l="1"/>
  <c r="A227" i="53" l="1"/>
  <c r="B370" i="127"/>
  <c r="B399" i="120"/>
  <c r="A228" i="53" l="1"/>
  <c r="B106" i="127"/>
  <c r="B116" i="120"/>
  <c r="A229" i="53" l="1"/>
  <c r="B107" i="127"/>
  <c r="B117" i="120"/>
  <c r="A230" i="53" l="1"/>
  <c r="A231" i="53" l="1"/>
  <c r="A232" i="53" l="1"/>
  <c r="B296" i="127"/>
  <c r="B321" i="120"/>
  <c r="A233" i="53" l="1"/>
  <c r="B462" i="127"/>
  <c r="B494" i="120"/>
  <c r="A234" i="53" l="1"/>
  <c r="B134" i="127"/>
  <c r="B144" i="120"/>
  <c r="A235" i="53" l="1"/>
  <c r="B136" i="127"/>
  <c r="B146" i="120"/>
  <c r="A236" i="53" l="1"/>
  <c r="B357" i="127"/>
  <c r="B383" i="120"/>
  <c r="A237" i="53" l="1"/>
  <c r="A238" i="53" l="1"/>
  <c r="A239" i="53" l="1"/>
  <c r="B267" i="127"/>
  <c r="B282" i="120"/>
  <c r="A240" i="53" l="1"/>
  <c r="A241" i="53" l="1"/>
  <c r="B139" i="127"/>
  <c r="B149" i="120"/>
  <c r="A242" i="53" l="1"/>
  <c r="A243" i="53" l="1"/>
  <c r="A244" i="53" l="1"/>
  <c r="B159" i="127"/>
  <c r="B169" i="120"/>
  <c r="A245" i="53" l="1"/>
  <c r="A246" i="53" l="1"/>
  <c r="B160" i="127"/>
  <c r="B170" i="120"/>
  <c r="A247" i="53" l="1"/>
  <c r="B313" i="127"/>
  <c r="B337" i="120"/>
  <c r="A248" i="53" l="1"/>
  <c r="A249" i="53" l="1"/>
  <c r="B166" i="127"/>
  <c r="B176" i="120"/>
  <c r="A250" i="53" l="1"/>
  <c r="A251" i="53" l="1"/>
  <c r="A252" i="53" l="1"/>
  <c r="A253" i="53" l="1"/>
  <c r="A254" i="53" l="1"/>
  <c r="A255" i="53" l="1"/>
  <c r="B324" i="127"/>
  <c r="B348" i="120"/>
  <c r="A256" i="53" l="1"/>
  <c r="B187" i="127"/>
  <c r="B197" i="120"/>
  <c r="A257" i="53" l="1"/>
  <c r="B374" i="127"/>
  <c r="B403" i="120"/>
  <c r="A258" i="53" l="1"/>
  <c r="B429" i="127"/>
  <c r="B461" i="120"/>
  <c r="A259" i="53" l="1"/>
  <c r="B375" i="127"/>
  <c r="B404" i="120"/>
  <c r="A260" i="53" l="1"/>
  <c r="B502" i="127"/>
  <c r="B534" i="120"/>
  <c r="B394" i="127"/>
  <c r="B425" i="120"/>
  <c r="A261" i="53" l="1"/>
  <c r="A262" i="53" l="1"/>
  <c r="A263" i="53" l="1"/>
  <c r="B386" i="127"/>
  <c r="B416" i="120"/>
  <c r="A264" i="53" l="1"/>
  <c r="A265" i="53" l="1"/>
  <c r="B376" i="127"/>
  <c r="B405" i="120"/>
  <c r="A266" i="53" l="1"/>
  <c r="A267" i="53" l="1"/>
  <c r="B301" i="127"/>
  <c r="B326" i="120"/>
  <c r="A268" i="53" l="1"/>
  <c r="B243" i="127"/>
  <c r="B253" i="120"/>
  <c r="A269" i="53" l="1"/>
  <c r="A270" i="53" l="1"/>
  <c r="A271" i="53" l="1"/>
  <c r="B108" i="127"/>
  <c r="B118" i="120"/>
  <c r="A272" i="53" l="1"/>
  <c r="B355" i="127"/>
  <c r="B381" i="120"/>
  <c r="A273" i="53" l="1"/>
  <c r="B461" i="127"/>
  <c r="B493" i="120"/>
  <c r="A274" i="53" l="1"/>
  <c r="A275" i="53" l="1"/>
  <c r="B463" i="127"/>
  <c r="B495" i="120"/>
  <c r="A276" i="53" l="1"/>
  <c r="B112" i="127"/>
  <c r="B122" i="120"/>
  <c r="A277" i="53" l="1"/>
  <c r="B366" i="127"/>
  <c r="B394" i="120"/>
  <c r="A278" i="53" l="1"/>
  <c r="B390" i="127"/>
  <c r="B421" i="120"/>
  <c r="A279" i="53" l="1"/>
  <c r="B238" i="127"/>
  <c r="B248" i="120"/>
  <c r="A280" i="53" l="1"/>
  <c r="A281" i="53" l="1"/>
  <c r="A282" i="53" l="1"/>
  <c r="A283" i="53" l="1"/>
  <c r="B416" i="127"/>
  <c r="B447" i="120"/>
  <c r="A284" i="53" l="1"/>
  <c r="A285" i="53" l="1"/>
  <c r="B283" i="127"/>
  <c r="B306" i="120"/>
  <c r="A286" i="53" l="1"/>
  <c r="A287" i="53" l="1"/>
  <c r="A288" i="53" l="1"/>
  <c r="B385" i="127"/>
  <c r="B415" i="120"/>
  <c r="A289" i="53" l="1"/>
  <c r="A290" i="53" l="1"/>
  <c r="B322" i="127"/>
  <c r="B346" i="120"/>
  <c r="A291" i="53" l="1"/>
  <c r="B127" i="127"/>
  <c r="B137" i="120"/>
  <c r="A292" i="53" l="1"/>
  <c r="B258" i="127"/>
  <c r="B273" i="120"/>
  <c r="A293" i="53" l="1"/>
  <c r="A294" i="53" l="1"/>
  <c r="B344" i="127"/>
  <c r="B370" i="120"/>
  <c r="A295" i="53" l="1"/>
  <c r="B36" i="127"/>
  <c r="B39" i="120"/>
  <c r="A296" i="53" l="1"/>
  <c r="B128" i="127"/>
  <c r="B138" i="120"/>
  <c r="A11" i="125"/>
  <c r="B474" i="127"/>
  <c r="B506" i="120"/>
  <c r="A297" i="53" l="1"/>
  <c r="B129" i="127"/>
  <c r="B139" i="120"/>
  <c r="A33" i="125"/>
  <c r="B475" i="127"/>
  <c r="B507" i="120"/>
  <c r="B380" i="127"/>
  <c r="B410" i="120"/>
  <c r="A298" i="53" l="1"/>
  <c r="B323" i="127"/>
  <c r="B347" i="120"/>
  <c r="A299" i="53" l="1"/>
  <c r="B130" i="127"/>
  <c r="B140" i="120"/>
  <c r="A300" i="53" l="1"/>
  <c r="B131" i="127"/>
  <c r="B141" i="120"/>
  <c r="A301" i="53" l="1"/>
  <c r="B249" i="127"/>
  <c r="B264" i="120"/>
  <c r="B37" i="127"/>
  <c r="B40" i="120"/>
  <c r="A302" i="53" l="1"/>
  <c r="B329" i="127"/>
  <c r="B354" i="120"/>
  <c r="A303" i="53" l="1"/>
  <c r="A304" i="53" l="1"/>
  <c r="B356" i="127"/>
  <c r="B382" i="120"/>
  <c r="A305" i="53" l="1"/>
  <c r="B409" i="127"/>
  <c r="B440" i="120"/>
  <c r="A312" i="53" l="1"/>
  <c r="B259" i="127"/>
  <c r="B274" i="120"/>
  <c r="A313" i="53" l="1"/>
  <c r="B345" i="127"/>
  <c r="B371" i="120"/>
  <c r="A314" i="53" l="1"/>
  <c r="A315" i="53" l="1"/>
  <c r="B228" i="127"/>
  <c r="B238" i="120"/>
  <c r="A316" i="53" l="1"/>
  <c r="A317" i="53" l="1"/>
  <c r="B371" i="127"/>
  <c r="B400" i="120"/>
  <c r="A318" i="53" l="1"/>
  <c r="B372" i="127"/>
  <c r="B401" i="120"/>
  <c r="A319" i="53" l="1"/>
  <c r="A320" i="53" l="1"/>
  <c r="A321" i="53" l="1"/>
  <c r="B241" i="127"/>
  <c r="B251" i="120"/>
  <c r="A322" i="53" l="1"/>
  <c r="A323" i="53" l="1"/>
  <c r="B180" i="127"/>
  <c r="B190" i="120"/>
  <c r="A324" i="53" l="1"/>
  <c r="B242" i="127"/>
  <c r="B252" i="120"/>
  <c r="A325" i="53" l="1"/>
  <c r="A326" i="53" l="1"/>
  <c r="B358" i="127"/>
  <c r="B384" i="120"/>
  <c r="A327" i="53" l="1"/>
  <c r="B74" i="127"/>
  <c r="B84" i="120"/>
  <c r="A328" i="53" l="1"/>
  <c r="B437" i="127"/>
  <c r="B469" i="120"/>
  <c r="A329" i="53" l="1"/>
  <c r="A330" i="53" l="1"/>
  <c r="B18" i="127"/>
  <c r="B16" i="120"/>
  <c r="A331" i="53" l="1"/>
  <c r="A332" i="53" l="1"/>
  <c r="B76" i="127"/>
  <c r="B86" i="120"/>
  <c r="A333" i="53" l="1"/>
  <c r="B163" i="127"/>
  <c r="B173" i="120"/>
  <c r="A334" i="53" l="1"/>
  <c r="B260" i="127"/>
  <c r="B275" i="120"/>
  <c r="A335" i="53" l="1"/>
  <c r="B393" i="127"/>
  <c r="B424" i="120"/>
  <c r="A336" i="53" l="1"/>
  <c r="B456" i="127"/>
  <c r="B488" i="120"/>
  <c r="A337" i="53" l="1"/>
  <c r="B373" i="127"/>
  <c r="B402" i="120"/>
  <c r="A338" i="53" l="1"/>
  <c r="B428" i="127"/>
  <c r="B460" i="120"/>
  <c r="B231" i="127"/>
  <c r="B241" i="120"/>
  <c r="B261" i="127"/>
  <c r="B276" i="120"/>
  <c r="A339" i="53" l="1"/>
  <c r="A340" i="53" l="1"/>
  <c r="A341" i="53" l="1"/>
  <c r="A342" i="53" l="1"/>
  <c r="B24" i="127"/>
  <c r="B22" i="120"/>
  <c r="A343" i="53" l="1"/>
  <c r="A344" i="53" l="1"/>
  <c r="B333" i="127"/>
  <c r="B358" i="120"/>
  <c r="A345" i="53" l="1"/>
  <c r="A346" i="53" l="1"/>
  <c r="A347" i="53" l="1"/>
  <c r="A348" i="53" l="1"/>
  <c r="A349" i="53" l="1"/>
  <c r="A350" i="53" l="1"/>
  <c r="A351" i="53" l="1"/>
  <c r="A352" i="53" l="1"/>
  <c r="B439" i="127"/>
  <c r="B471" i="120"/>
  <c r="A353" i="53" l="1"/>
  <c r="A354" i="53" l="1"/>
  <c r="A355" i="53" l="1"/>
  <c r="B223" i="127"/>
  <c r="B233" i="120"/>
  <c r="A356" i="53" l="1"/>
  <c r="B224" i="127"/>
  <c r="B234" i="120"/>
  <c r="A357" i="53" l="1"/>
  <c r="B225" i="127"/>
  <c r="B235" i="120"/>
  <c r="A358" i="53" l="1"/>
  <c r="B226" i="127"/>
  <c r="B236" i="120"/>
  <c r="A359" i="53" l="1"/>
  <c r="B119" i="127"/>
  <c r="B129" i="120"/>
  <c r="A360" i="53" l="1"/>
  <c r="B295" i="127"/>
  <c r="B320" i="120"/>
  <c r="A361" i="53" l="1"/>
  <c r="B337" i="127"/>
  <c r="B363" i="120"/>
  <c r="A362" i="53" l="1"/>
  <c r="B266" i="127"/>
  <c r="B281" i="120"/>
  <c r="A363" i="53" l="1"/>
  <c r="A364" i="53" l="1"/>
  <c r="B44" i="127"/>
  <c r="B48" i="120"/>
  <c r="A365" i="53" l="1"/>
  <c r="B45" i="127"/>
  <c r="B49" i="120"/>
  <c r="A366" i="53" l="1"/>
  <c r="A367" i="53" l="1"/>
  <c r="A368" i="53" l="1"/>
  <c r="B229" i="127"/>
  <c r="B239" i="120"/>
  <c r="A369" i="53" l="1"/>
  <c r="A370" i="53" l="1"/>
  <c r="A371" i="53" l="1"/>
  <c r="A372" i="53" l="1"/>
  <c r="A373" i="53" l="1"/>
  <c r="B143" i="127"/>
  <c r="B153" i="120"/>
  <c r="A374" i="53" l="1"/>
  <c r="B410" i="127"/>
  <c r="B441" i="120"/>
  <c r="A375" i="53" l="1"/>
  <c r="B230" i="127"/>
  <c r="B240" i="120"/>
  <c r="A376" i="53" l="1"/>
  <c r="B91" i="127"/>
  <c r="B101" i="120"/>
  <c r="A377" i="53" l="1"/>
  <c r="B14" i="127"/>
  <c r="B12" i="120"/>
  <c r="A382" i="53" l="1"/>
  <c r="B339" i="127"/>
  <c r="B365" i="120"/>
  <c r="A383" i="53" l="1"/>
  <c r="B455" i="127"/>
  <c r="B487" i="120"/>
  <c r="A384" i="53" l="1"/>
  <c r="A385" i="53" l="1"/>
  <c r="B232" i="127"/>
  <c r="B242" i="120"/>
  <c r="A386" i="53" l="1"/>
  <c r="B93" i="127"/>
  <c r="B103" i="120"/>
  <c r="A387" i="53" l="1"/>
  <c r="A388" i="53" l="1"/>
  <c r="B178" i="127"/>
  <c r="B188" i="120"/>
  <c r="A389" i="53" l="1"/>
  <c r="B185" i="127"/>
  <c r="B195" i="120"/>
  <c r="A390" i="53" l="1"/>
  <c r="A391" i="53" l="1"/>
  <c r="B340" i="127"/>
  <c r="B366" i="120"/>
  <c r="A392" i="53" l="1"/>
  <c r="A393" i="53" l="1"/>
  <c r="B27" i="127"/>
  <c r="B25" i="120"/>
  <c r="A394" i="53" l="1"/>
  <c r="A395" i="53" l="1"/>
  <c r="B192" i="127"/>
  <c r="B202" i="120"/>
  <c r="A396" i="53" l="1"/>
  <c r="A397" i="53" l="1"/>
  <c r="B30" i="127"/>
  <c r="B28" i="120"/>
  <c r="A398" i="53" l="1"/>
  <c r="A399" i="53" l="1"/>
  <c r="B202" i="127"/>
  <c r="B212" i="120"/>
  <c r="A400" i="53" l="1"/>
  <c r="B203" i="127"/>
  <c r="B213" i="120"/>
  <c r="A401" i="53" l="1"/>
  <c r="B377" i="127"/>
  <c r="B406" i="120"/>
  <c r="A402" i="53" l="1"/>
  <c r="B95" i="127"/>
  <c r="B105" i="120"/>
  <c r="B412" i="127"/>
  <c r="B443" i="120"/>
  <c r="A403" i="53" l="1"/>
  <c r="B302" i="127"/>
  <c r="B327" i="120"/>
  <c r="A404" i="53" l="1"/>
  <c r="B206" i="127"/>
  <c r="B216" i="120"/>
  <c r="A405" i="53" l="1"/>
  <c r="B413" i="127"/>
  <c r="B444" i="120"/>
  <c r="A406" i="53" l="1"/>
  <c r="B96" i="127"/>
  <c r="B106" i="120"/>
  <c r="A407" i="53" l="1"/>
  <c r="B207" i="127"/>
  <c r="B217" i="120"/>
  <c r="A408" i="53" l="1"/>
  <c r="B208" i="127"/>
  <c r="B218" i="120"/>
  <c r="A409" i="53" l="1"/>
  <c r="A410" i="53" l="1"/>
  <c r="B32" i="127"/>
  <c r="B30" i="120"/>
  <c r="A411" i="53" l="1"/>
  <c r="B209" i="127"/>
  <c r="B219" i="120"/>
  <c r="A416" i="53" l="1"/>
  <c r="B210" i="127"/>
  <c r="B220" i="120"/>
  <c r="A417" i="53" l="1"/>
  <c r="B292" i="127"/>
  <c r="B317" i="120"/>
  <c r="A418" i="53" l="1"/>
  <c r="B117" i="127"/>
  <c r="B127" i="120"/>
  <c r="A419" i="53" l="1"/>
  <c r="B327" i="127"/>
  <c r="B352" i="120"/>
  <c r="A420" i="53" l="1"/>
  <c r="B328" i="127"/>
  <c r="B353" i="120"/>
  <c r="A421" i="53" l="1"/>
  <c r="B464" i="127"/>
  <c r="B496" i="120"/>
  <c r="A422" i="53" l="1"/>
  <c r="A423" i="53" l="1"/>
  <c r="A424" i="53" l="1"/>
  <c r="A425" i="53" l="1"/>
  <c r="A426" i="53" l="1"/>
  <c r="A427" i="53" l="1"/>
  <c r="B9" i="127"/>
  <c r="B7" i="120"/>
  <c r="A428" i="53" l="1"/>
  <c r="A429" i="53" l="1"/>
  <c r="B135" i="127"/>
  <c r="B145" i="120"/>
  <c r="A430" i="53" l="1"/>
  <c r="B144" i="127"/>
  <c r="B154" i="120"/>
  <c r="A434" i="53" l="1"/>
  <c r="B145" i="127"/>
  <c r="B155" i="120"/>
  <c r="A435" i="53" l="1"/>
  <c r="A436" i="53" l="1"/>
  <c r="B156" i="127"/>
  <c r="B166" i="120"/>
  <c r="A437" i="53" l="1"/>
  <c r="A438" i="53" l="1"/>
  <c r="B183" i="127"/>
  <c r="B193" i="120"/>
  <c r="A439" i="53" l="1"/>
  <c r="B184" i="127"/>
  <c r="B194" i="120"/>
  <c r="A440" i="53" l="1"/>
  <c r="A441" i="53" l="1"/>
  <c r="B254" i="127"/>
  <c r="B269" i="120"/>
  <c r="A442" i="53" l="1"/>
  <c r="B188" i="127"/>
  <c r="B198" i="120"/>
  <c r="A443" i="53" l="1"/>
  <c r="B189" i="127"/>
  <c r="B199" i="120"/>
  <c r="A444" i="53" l="1"/>
  <c r="B190" i="127"/>
  <c r="B200" i="120"/>
  <c r="A445" i="53" l="1"/>
  <c r="B191" i="127"/>
  <c r="B201" i="120"/>
  <c r="A446" i="53" l="1"/>
  <c r="B362" i="127"/>
  <c r="B389" i="120"/>
  <c r="A447" i="53" l="1"/>
  <c r="A448" i="53" l="1"/>
  <c r="B204" i="127"/>
  <c r="B214" i="120"/>
  <c r="A449" i="53" l="1"/>
  <c r="B436" i="127"/>
  <c r="B468" i="120"/>
  <c r="A450" i="53" l="1"/>
  <c r="A451" i="53" l="1"/>
  <c r="A452" i="53" l="1"/>
  <c r="A453" i="53" l="1"/>
  <c r="B503" i="127"/>
  <c r="B535" i="120"/>
  <c r="A456" i="53" l="1"/>
  <c r="A457" i="53" l="1"/>
  <c r="A458" i="53" l="1"/>
  <c r="B25" i="127"/>
  <c r="B23" i="120"/>
  <c r="A459" i="53" l="1"/>
  <c r="B8" i="127"/>
  <c r="B6" i="120"/>
  <c r="A460" i="53" l="1"/>
  <c r="A461" i="53" l="1"/>
  <c r="B284" i="127"/>
  <c r="B307" i="120"/>
  <c r="A462" i="53" l="1"/>
  <c r="A463" i="53" l="1"/>
  <c r="A467" i="53" l="1"/>
  <c r="A468" i="53" l="1"/>
  <c r="B12" i="127"/>
  <c r="B10" i="120"/>
  <c r="A469" i="53" l="1"/>
  <c r="B13" i="127"/>
  <c r="B11" i="120"/>
  <c r="A470" i="53" l="1"/>
  <c r="B427" i="127"/>
  <c r="B459" i="120"/>
  <c r="A471" i="53" l="1"/>
  <c r="B17" i="127"/>
  <c r="B15" i="120"/>
  <c r="A472" i="53" l="1"/>
  <c r="B19" i="127"/>
  <c r="B17" i="120"/>
  <c r="A473" i="53" l="1"/>
  <c r="B21" i="127"/>
  <c r="B19" i="120"/>
  <c r="A474" i="53" l="1"/>
  <c r="A475" i="53" l="1"/>
  <c r="B23" i="127"/>
  <c r="B21" i="120"/>
  <c r="A476" i="53" l="1"/>
  <c r="B26" i="127"/>
  <c r="B24" i="120"/>
  <c r="A477" i="53" l="1"/>
  <c r="A478" i="53" l="1"/>
  <c r="B31" i="127"/>
  <c r="B29" i="120"/>
  <c r="A479" i="53" l="1"/>
  <c r="B287" i="127"/>
  <c r="B310" i="120"/>
  <c r="A480" i="53" l="1"/>
  <c r="A481" i="53" l="1"/>
  <c r="B43" i="127"/>
  <c r="B47" i="120"/>
  <c r="A482" i="53" l="1"/>
  <c r="A483" i="53" l="1"/>
  <c r="A484" i="53" l="1"/>
  <c r="B116" i="127"/>
  <c r="B126" i="120"/>
  <c r="A485" i="53" l="1"/>
  <c r="A486" i="53" l="1"/>
  <c r="A487" i="53" l="1"/>
  <c r="A488" i="53" l="1"/>
  <c r="B200" i="127"/>
  <c r="B210" i="120"/>
  <c r="A489" i="53" l="1"/>
  <c r="A490" i="53" l="1"/>
  <c r="A491" i="53" l="1"/>
  <c r="A492" i="53" l="1"/>
  <c r="B142" i="127"/>
  <c r="B152" i="120"/>
  <c r="A493" i="53" l="1"/>
  <c r="B20" i="127"/>
  <c r="B18" i="120"/>
  <c r="A494" i="53" l="1"/>
  <c r="B420" i="127"/>
  <c r="B451" i="120"/>
  <c r="A495" i="53" l="1"/>
  <c r="B459" i="127"/>
  <c r="B491" i="120"/>
  <c r="A496" i="53" l="1"/>
  <c r="B421" i="127"/>
  <c r="B452" i="120"/>
  <c r="A497" i="53" l="1"/>
  <c r="B167" i="127"/>
  <c r="B177" i="120"/>
  <c r="A502" i="53" l="1"/>
  <c r="B460" i="127"/>
  <c r="B492" i="120"/>
  <c r="A503" i="53" l="1"/>
  <c r="B177" i="127"/>
  <c r="B187" i="120"/>
  <c r="A504" i="53" l="1"/>
  <c r="A505" i="53" l="1"/>
  <c r="B262" i="127"/>
  <c r="B277" i="120"/>
  <c r="A506" i="53" l="1"/>
  <c r="B186" i="127"/>
  <c r="B196" i="120"/>
  <c r="A507" i="53" l="1"/>
  <c r="B504" i="127"/>
  <c r="B536" i="120"/>
  <c r="A508" i="53" l="1"/>
  <c r="B298" i="127"/>
  <c r="B323" i="120"/>
  <c r="A509" i="53" l="1"/>
  <c r="B315" i="127"/>
  <c r="B339" i="120"/>
  <c r="A510" i="53" l="1"/>
  <c r="A511" i="53" l="1"/>
  <c r="A512" i="53" l="1"/>
  <c r="B97" i="127"/>
  <c r="B107" i="120"/>
  <c r="A513" i="53" l="1"/>
  <c r="A514" i="53" l="1"/>
  <c r="B109" i="127"/>
  <c r="B119" i="120"/>
  <c r="A515" i="53" l="1"/>
  <c r="A518" i="53" l="1"/>
  <c r="B251" i="127"/>
  <c r="B266" i="120"/>
  <c r="A519" i="53" l="1"/>
  <c r="A520" i="53" l="1"/>
  <c r="A521" i="53" l="1"/>
  <c r="B252" i="127"/>
  <c r="B267" i="120"/>
  <c r="A522" i="53" l="1"/>
  <c r="A523" i="53" l="1"/>
  <c r="B16" i="127"/>
  <c r="B14" i="120"/>
  <c r="A524" i="53" l="1"/>
  <c r="A525" i="53" l="1"/>
  <c r="A526" i="53" l="1"/>
  <c r="B28" i="127"/>
  <c r="B26" i="120"/>
  <c r="A527" i="53" l="1"/>
  <c r="B29" i="127"/>
  <c r="B27" i="120"/>
  <c r="A528" i="53" l="1"/>
  <c r="B233" i="127"/>
  <c r="B243" i="120"/>
  <c r="A529" i="53" l="1"/>
  <c r="B7" i="127"/>
  <c r="B5" i="120"/>
  <c r="A530" i="53" l="1"/>
  <c r="B89" i="127"/>
  <c r="B99" i="120"/>
  <c r="A531" i="53" l="1"/>
  <c r="B90" i="127"/>
  <c r="B100" i="120"/>
  <c r="A532" i="53" l="1"/>
  <c r="A533" i="53" l="1"/>
  <c r="A534" i="53" l="1"/>
  <c r="B451" i="127"/>
  <c r="B483" i="120"/>
  <c r="A535" i="53" l="1"/>
  <c r="B452" i="127"/>
  <c r="B484" i="120"/>
  <c r="A536" i="53" l="1"/>
  <c r="B285" i="127"/>
  <c r="B308" i="120"/>
  <c r="A537" i="53" l="1"/>
  <c r="A538" i="53" l="1"/>
  <c r="A539" i="53" l="1"/>
  <c r="A540" i="53" l="1"/>
  <c r="B158" i="127"/>
  <c r="B168" i="120"/>
  <c r="A541" i="53" l="1"/>
  <c r="A542" i="53" l="1"/>
  <c r="A546" i="53" l="1"/>
  <c r="B411" i="127"/>
  <c r="B442" i="120"/>
  <c r="A547" i="53" l="1"/>
  <c r="A548" i="53" l="1"/>
  <c r="B422" i="127"/>
  <c r="B453" i="120"/>
  <c r="A549" i="53" l="1"/>
  <c r="B423" i="127"/>
  <c r="B454" i="120"/>
  <c r="A550" i="53" l="1"/>
  <c r="B290" i="127"/>
  <c r="B315" i="120"/>
  <c r="A551" i="53" l="1"/>
  <c r="B291" i="127"/>
  <c r="B316" i="120"/>
  <c r="A552" i="53" l="1"/>
  <c r="A553" i="53" l="1"/>
  <c r="B294" i="127"/>
  <c r="B319" i="120"/>
  <c r="A554" i="53" l="1"/>
  <c r="A555" i="53" l="1"/>
  <c r="A556" i="53" l="1"/>
  <c r="A557" i="53" l="1"/>
  <c r="A558" i="53" l="1"/>
  <c r="A559" i="53" l="1"/>
  <c r="B72" i="127"/>
  <c r="B82" i="120"/>
  <c r="A560" i="53" l="1"/>
  <c r="B79" i="127"/>
  <c r="B89" i="120"/>
  <c r="A561" i="53" l="1"/>
  <c r="B80" i="127"/>
  <c r="B90" i="120"/>
  <c r="A562" i="53" l="1"/>
  <c r="A563" i="53" l="1"/>
  <c r="A564" i="53" l="1"/>
  <c r="B81" i="127"/>
  <c r="B91" i="120"/>
  <c r="A565" i="53" l="1"/>
  <c r="A566" i="53" l="1"/>
  <c r="B11" i="127"/>
  <c r="B9" i="120"/>
  <c r="A567" i="53" l="1"/>
  <c r="A568" i="53" l="1"/>
  <c r="B82" i="127"/>
  <c r="B92" i="120"/>
  <c r="A569" i="53" l="1"/>
  <c r="B83" i="127"/>
  <c r="B93" i="120"/>
  <c r="A570" i="53" l="1"/>
  <c r="A571" i="53" l="1"/>
  <c r="A572" i="53" l="1"/>
  <c r="A573" i="53" l="1"/>
  <c r="A574" i="53" l="1"/>
  <c r="A575" i="53" l="1"/>
  <c r="A576" i="53" l="1"/>
  <c r="A577" i="53" l="1"/>
  <c r="A578" i="53" l="1"/>
  <c r="A579" i="53" l="1"/>
  <c r="A580" i="53" l="1"/>
  <c r="B84" i="127"/>
  <c r="B94" i="120"/>
  <c r="A581" i="53" l="1"/>
  <c r="B348" i="127"/>
  <c r="B374" i="120"/>
  <c r="A582" i="53" l="1"/>
  <c r="A583" i="53" l="1"/>
  <c r="A584" i="53" l="1"/>
  <c r="A585" i="53" l="1"/>
  <c r="A586" i="53" l="1"/>
  <c r="A587" i="53" l="1"/>
  <c r="B352" i="127"/>
  <c r="B378" i="120"/>
  <c r="A588" i="53" l="1"/>
  <c r="B310" i="127"/>
  <c r="B334" i="120"/>
  <c r="A589" i="53" l="1"/>
  <c r="A590" i="53" l="1"/>
  <c r="A594" i="53" l="1"/>
  <c r="A595" i="53" l="1"/>
  <c r="A596" i="53" l="1"/>
  <c r="A597" i="53" l="1"/>
  <c r="B311" i="127"/>
  <c r="B335" i="120"/>
  <c r="A598" i="53" l="1"/>
  <c r="A599" i="53" l="1"/>
  <c r="B312" i="127"/>
  <c r="B336" i="120"/>
  <c r="A600" i="53" l="1"/>
  <c r="A601" i="53" l="1"/>
  <c r="A602" i="53" l="1"/>
  <c r="A603" i="53" l="1"/>
  <c r="A604" i="53" l="1"/>
  <c r="A605" i="53" l="1"/>
  <c r="A606" i="53" l="1"/>
  <c r="A607" i="53" l="1"/>
  <c r="B15" i="127"/>
  <c r="B13" i="120"/>
  <c r="A608" i="53" l="1"/>
  <c r="A609" i="53" l="1"/>
  <c r="A610" i="53" l="1"/>
  <c r="B314" i="127"/>
  <c r="B338" i="120"/>
  <c r="A611" i="53" l="1"/>
  <c r="B22" i="127"/>
  <c r="B20" i="120"/>
  <c r="A612" i="53" l="1"/>
  <c r="A613" i="53" l="1"/>
  <c r="A614" i="53" l="1"/>
  <c r="B316" i="127"/>
  <c r="B340" i="120"/>
  <c r="A615" i="53" l="1"/>
  <c r="A616" i="53" l="1"/>
  <c r="A617" i="53" l="1"/>
  <c r="A618" i="53" l="1"/>
  <c r="B317" i="127"/>
  <c r="B341" i="120"/>
  <c r="A619" i="53" l="1"/>
  <c r="B100" i="127"/>
  <c r="B110" i="120"/>
  <c r="A620" i="53" l="1"/>
  <c r="B101" i="127"/>
  <c r="B111" i="120"/>
  <c r="A621" i="53" l="1"/>
  <c r="B102" i="127"/>
  <c r="B112" i="120"/>
  <c r="A622" i="53" l="1"/>
  <c r="B103" i="127"/>
  <c r="B113" i="120"/>
  <c r="A623" i="53" l="1"/>
  <c r="B104" i="127"/>
  <c r="B114" i="120"/>
  <c r="A624" i="53" l="1"/>
  <c r="B105" i="127"/>
  <c r="B115" i="120"/>
  <c r="A629" i="53" l="1"/>
  <c r="A630" i="53" s="1"/>
  <c r="A631" i="53" s="1"/>
  <c r="A632" i="53" s="1"/>
  <c r="A633" i="53" s="1"/>
  <c r="A634" i="53" s="1"/>
  <c r="A635" i="53" s="1"/>
  <c r="A636" i="53" s="1"/>
  <c r="A637" i="53" s="1"/>
  <c r="A638" i="53" s="1"/>
  <c r="A639" i="53" s="1"/>
  <c r="A640" i="53" s="1"/>
  <c r="B118" i="127"/>
  <c r="B128" i="120"/>
  <c r="B121" i="127" l="1"/>
  <c r="B131" i="120"/>
  <c r="B122" i="127" l="1"/>
  <c r="B132" i="120"/>
  <c r="B123" i="127" l="1"/>
  <c r="B133" i="120"/>
  <c r="B124" i="127" l="1"/>
  <c r="B134" i="120"/>
  <c r="B125" i="127" l="1"/>
  <c r="B135" i="120"/>
  <c r="B277" i="127" l="1"/>
  <c r="B297" i="120"/>
  <c r="A641" i="53" l="1"/>
  <c r="A642" i="53" l="1"/>
  <c r="A643" i="53" l="1"/>
  <c r="B133" i="127"/>
  <c r="B143" i="120"/>
  <c r="A644" i="53" l="1"/>
  <c r="B278" i="127"/>
  <c r="B298" i="120"/>
  <c r="A645" i="53" l="1"/>
  <c r="B140" i="127"/>
  <c r="B150" i="120"/>
  <c r="A646" i="53" l="1"/>
  <c r="A647" i="53" l="1"/>
  <c r="B146" i="127"/>
  <c r="B156" i="120"/>
  <c r="A648" i="53" l="1"/>
  <c r="B147" i="127"/>
  <c r="B157" i="120"/>
  <c r="A649" i="53" l="1"/>
  <c r="B148" i="127"/>
  <c r="B158" i="120"/>
  <c r="A650" i="53" l="1"/>
  <c r="A651" i="53" l="1"/>
  <c r="B149" i="127"/>
  <c r="B159" i="120"/>
  <c r="A652" i="53" l="1"/>
  <c r="B150" i="127"/>
  <c r="B160" i="120"/>
  <c r="A653" i="53" l="1"/>
  <c r="B151" i="127"/>
  <c r="B161" i="120"/>
  <c r="A654" i="53" l="1"/>
  <c r="B152" i="127"/>
  <c r="B162" i="120"/>
  <c r="A655" i="53" l="1"/>
  <c r="B153" i="127"/>
  <c r="B163" i="120"/>
  <c r="A656" i="53" l="1"/>
  <c r="B154" i="127"/>
  <c r="B164" i="120"/>
  <c r="A657" i="53" l="1"/>
  <c r="A658" i="53" l="1"/>
  <c r="B279" i="127"/>
  <c r="B299" i="120"/>
  <c r="A659" i="53" l="1"/>
  <c r="A660" i="53" l="1"/>
  <c r="A661" i="53" l="1"/>
  <c r="B169" i="127"/>
  <c r="B179" i="120"/>
  <c r="A662" i="53" l="1"/>
  <c r="B170" i="127"/>
  <c r="B180" i="120"/>
  <c r="A663" i="53" l="1"/>
  <c r="B171" i="127"/>
  <c r="B181" i="120"/>
  <c r="A664" i="53" l="1"/>
  <c r="B172" i="127"/>
  <c r="B182" i="120"/>
  <c r="A665" i="53" l="1"/>
  <c r="B66" i="127"/>
  <c r="B75" i="120"/>
  <c r="A666" i="53" l="1"/>
  <c r="B67" i="127"/>
  <c r="B76" i="120"/>
  <c r="A667" i="53" l="1"/>
  <c r="B173" i="127"/>
  <c r="B183" i="120"/>
  <c r="A668" i="53" l="1"/>
  <c r="B68" i="127"/>
  <c r="B77" i="120"/>
  <c r="A669" i="53" l="1"/>
  <c r="B174" i="127"/>
  <c r="B184" i="120"/>
  <c r="A670" i="53" l="1"/>
  <c r="B175" i="127"/>
  <c r="B185" i="120"/>
  <c r="A671" i="53" l="1"/>
  <c r="B176" i="127"/>
  <c r="B186" i="120"/>
  <c r="A672" i="53" l="1"/>
  <c r="A673" i="53" l="1"/>
  <c r="B69" i="127"/>
  <c r="B78" i="120"/>
  <c r="A674" i="53" l="1"/>
  <c r="B214" i="127"/>
  <c r="B224" i="120"/>
  <c r="A675" i="53" l="1"/>
  <c r="A676" i="53" l="1"/>
  <c r="B215" i="127"/>
  <c r="B225" i="120"/>
  <c r="A677" i="53" l="1"/>
  <c r="B216" i="127"/>
  <c r="B226" i="120"/>
  <c r="A678" i="53" l="1"/>
  <c r="A679" i="53" l="1"/>
  <c r="A680" i="53" l="1"/>
  <c r="B217" i="127"/>
  <c r="B227" i="120"/>
  <c r="A681" i="53" l="1"/>
  <c r="A682" i="53" s="1"/>
  <c r="A683" i="53" s="1"/>
  <c r="A684" i="53" s="1"/>
  <c r="A685" i="53" s="1"/>
  <c r="A686" i="53" s="1"/>
  <c r="A687" i="53" s="1"/>
  <c r="B218" i="127"/>
  <c r="B228" i="120"/>
  <c r="B94" i="127" l="1"/>
  <c r="B104" i="120"/>
  <c r="A688" i="53" l="1"/>
  <c r="A689" i="53" l="1"/>
  <c r="A690" i="53" l="1"/>
  <c r="A691" i="53" l="1"/>
  <c r="B194" i="127"/>
  <c r="B204" i="120"/>
  <c r="A692" i="53" l="1"/>
  <c r="A693" i="53" l="1"/>
  <c r="A694" i="53" l="1"/>
  <c r="A695" i="53" l="1"/>
  <c r="A696" i="53" l="1"/>
  <c r="A697" i="53" l="1"/>
  <c r="B195" i="127"/>
  <c r="B205" i="120"/>
  <c r="A698" i="53" l="1"/>
  <c r="B196" i="127"/>
  <c r="B206" i="120"/>
  <c r="A699" i="53" l="1"/>
  <c r="A700" i="53" s="1"/>
  <c r="A701" i="53" s="1"/>
  <c r="A702" i="53" s="1"/>
  <c r="A703" i="53" s="1"/>
  <c r="A704" i="53" s="1"/>
  <c r="B197" i="127"/>
  <c r="B207" i="120"/>
  <c r="B198" i="127" l="1"/>
  <c r="B208" i="120"/>
  <c r="B205" i="127" l="1"/>
  <c r="B215" i="120"/>
  <c r="A705" i="53" l="1"/>
  <c r="A706" i="53" s="1"/>
  <c r="A707" i="53" s="1"/>
  <c r="A708" i="53" s="1"/>
  <c r="A709" i="53" s="1"/>
  <c r="B400" i="127" l="1"/>
  <c r="B431" i="120"/>
  <c r="B401" i="127" l="1"/>
  <c r="B432" i="120"/>
  <c r="B419" i="127" l="1"/>
  <c r="B450" i="120"/>
  <c r="A713" i="53" l="1"/>
  <c r="B402" i="127"/>
  <c r="B433" i="120"/>
  <c r="A714" i="53" l="1"/>
  <c r="B403" i="127"/>
  <c r="B434" i="120"/>
  <c r="A715" i="53" l="1"/>
  <c r="A716" i="53" l="1"/>
  <c r="B404" i="127"/>
  <c r="B435" i="120"/>
  <c r="A717" i="53" l="1"/>
  <c r="B418" i="127"/>
  <c r="B449" i="120"/>
  <c r="A718" i="53" l="1"/>
  <c r="B120" i="127"/>
  <c r="B130" i="120"/>
  <c r="A719" i="53" l="1"/>
  <c r="A720" i="53" l="1"/>
  <c r="A721" i="53" l="1"/>
  <c r="A722" i="53" l="1"/>
  <c r="A723" i="53" l="1"/>
  <c r="A724" i="53" l="1"/>
  <c r="A725" i="53" l="1"/>
  <c r="B168" i="127"/>
  <c r="B178" i="120"/>
  <c r="A726" i="53" l="1"/>
  <c r="A727" i="53" l="1"/>
  <c r="B431" i="127"/>
  <c r="B463" i="120"/>
  <c r="A728" i="53" l="1"/>
  <c r="B432" i="127"/>
  <c r="B464" i="120"/>
  <c r="A729" i="53" l="1"/>
  <c r="B250" i="127"/>
  <c r="B265" i="120"/>
  <c r="A730" i="53" l="1"/>
  <c r="B201" i="127"/>
  <c r="B211" i="120"/>
  <c r="B396" i="127"/>
  <c r="B427" i="120"/>
  <c r="A734" i="53" l="1"/>
  <c r="A735" i="53" s="1"/>
  <c r="A736" i="53" s="1"/>
  <c r="A737" i="53" s="1"/>
  <c r="A738" i="53" s="1"/>
  <c r="A739" i="53" s="1"/>
  <c r="A740" i="53" s="1"/>
  <c r="A741" i="53" s="1"/>
  <c r="B199" i="127"/>
  <c r="B209" i="120"/>
  <c r="B64" i="127" l="1"/>
  <c r="B73" i="120"/>
  <c r="A742" i="53" l="1"/>
  <c r="B65" i="127"/>
  <c r="B74" i="120"/>
  <c r="A743" i="53" l="1"/>
  <c r="A744" i="53" s="1"/>
  <c r="A745" i="53" s="1"/>
  <c r="A746" i="53" s="1"/>
  <c r="A747" i="53" s="1"/>
  <c r="A748" i="53" s="1"/>
  <c r="B181" i="127"/>
  <c r="B191" i="120"/>
  <c r="B182" i="127" l="1"/>
  <c r="B192" i="120"/>
  <c r="B286" i="127" l="1"/>
  <c r="B309" i="120"/>
  <c r="A751" i="53" l="1"/>
  <c r="A752" i="53" l="1"/>
  <c r="A753" i="53" l="1"/>
  <c r="A754" i="53" l="1"/>
  <c r="A755" i="53" l="1"/>
  <c r="A756" i="53" l="1"/>
  <c r="A757" i="53" l="1"/>
  <c r="A758" i="53" l="1"/>
  <c r="A759" i="53" l="1"/>
  <c r="A760" i="53" l="1"/>
  <c r="A761" i="53" l="1"/>
  <c r="A762" i="53" l="1"/>
  <c r="A763" i="53" l="1"/>
  <c r="A764" i="53" l="1"/>
  <c r="A765" i="53" l="1"/>
  <c r="A766" i="53" l="1"/>
  <c r="A767" i="53" l="1"/>
  <c r="A768" i="53" l="1"/>
  <c r="A771" i="53" l="1"/>
  <c r="A772" i="53" l="1"/>
  <c r="A773" i="53" l="1"/>
  <c r="A774" i="53" l="1"/>
  <c r="A775" i="53" l="1"/>
  <c r="A776" i="53" l="1"/>
  <c r="A777" i="53" l="1"/>
  <c r="A783" i="53" l="1"/>
  <c r="A784" i="53" s="1"/>
  <c r="A785" i="53" s="1"/>
  <c r="A786" i="53" l="1"/>
  <c r="A787" i="53" s="1"/>
  <c r="A788" i="53" s="1"/>
  <c r="A789" i="53" s="1"/>
  <c r="A790" i="53" s="1"/>
  <c r="A791" i="53" s="1"/>
  <c r="A792" i="53" s="1"/>
  <c r="A793" i="53" s="1"/>
  <c r="A794" i="53" s="1"/>
  <c r="A795" i="53" s="1"/>
  <c r="A803" i="53" s="1"/>
  <c r="A804" i="53" s="1"/>
  <c r="A805" i="53" s="1"/>
  <c r="A806" i="53" s="1"/>
  <c r="A807" i="53" s="1"/>
  <c r="A808" i="53" s="1"/>
  <c r="A809" i="53" s="1"/>
  <c r="A810" i="53" s="1"/>
  <c r="A811" i="53" s="1"/>
  <c r="A812" i="53" s="1"/>
  <c r="A813" i="53" s="1"/>
  <c r="A814" i="53" s="1"/>
  <c r="A815" i="53" s="1"/>
  <c r="A816" i="53" s="1"/>
  <c r="A817" i="53" s="1"/>
  <c r="A818" i="53" s="1"/>
  <c r="A819" i="53" s="1"/>
  <c r="A820" i="53" s="1"/>
  <c r="A821" i="53" s="1"/>
  <c r="A822" i="53" s="1"/>
  <c r="A823" i="53" s="1"/>
  <c r="A824" i="53" s="1"/>
  <c r="A825" i="53" s="1"/>
  <c r="A826" i="53" s="1"/>
  <c r="A827" i="53" s="1"/>
  <c r="A828" i="53" s="1"/>
  <c r="A829" i="53" s="1"/>
  <c r="A830" i="53" s="1"/>
  <c r="A831" i="53" s="1"/>
  <c r="A832" i="53" s="1"/>
  <c r="A833" i="53" s="1"/>
  <c r="A834" i="53" s="1"/>
  <c r="A835" i="53" s="1"/>
  <c r="A836" i="53" s="1"/>
  <c r="A837" i="53" s="1"/>
  <c r="A838" i="53" s="1"/>
  <c r="A839" i="53" s="1"/>
  <c r="A840" i="53" s="1"/>
  <c r="A847" i="53" s="1"/>
  <c r="A848" i="53" s="1"/>
  <c r="A849" i="53" s="1"/>
  <c r="A850" i="53" s="1"/>
  <c r="A851" i="53" s="1"/>
  <c r="A852" i="53" s="1"/>
  <c r="A853" i="53" s="1"/>
  <c r="A854" i="53" s="1"/>
  <c r="A855" i="53" s="1"/>
  <c r="A856" i="53" s="1"/>
  <c r="A857" i="53" s="1"/>
  <c r="A858" i="53" s="1"/>
  <c r="A859" i="53" s="1"/>
  <c r="A860" i="53" s="1"/>
  <c r="A861" i="53" s="1"/>
  <c r="A862" i="53" s="1"/>
  <c r="A863" i="53" s="1"/>
  <c r="A864" i="53" s="1"/>
  <c r="A865" i="53" s="1"/>
  <c r="A866" i="53" s="1"/>
  <c r="A867" i="53" s="1"/>
  <c r="A868" i="53" s="1"/>
  <c r="A869" i="53" s="1"/>
  <c r="A870" i="53" s="1"/>
  <c r="A871" i="53" s="1"/>
  <c r="A872" i="53" s="1"/>
  <c r="A873" i="53" s="1"/>
  <c r="A874" i="53" s="1"/>
  <c r="A875" i="53" s="1"/>
  <c r="A876" i="53" s="1"/>
  <c r="A877" i="53" s="1"/>
  <c r="A878" i="53" s="1"/>
  <c r="A879" i="53" s="1"/>
  <c r="A880" i="53" s="1"/>
  <c r="A881" i="53" s="1"/>
  <c r="A882" i="53" s="1"/>
  <c r="A883" i="53" s="1"/>
  <c r="A884" i="53" s="1"/>
  <c r="A885" i="53" s="1"/>
  <c r="A886" i="53" s="1"/>
  <c r="A887" i="53" s="1"/>
  <c r="A888" i="53" s="1"/>
  <c r="A889" i="53" s="1"/>
  <c r="A890" i="53" s="1"/>
  <c r="A891" i="53" s="1"/>
  <c r="A892" i="53" s="1"/>
  <c r="A893" i="53" s="1"/>
  <c r="A894" i="53" s="1"/>
  <c r="A895" i="53" s="1"/>
  <c r="A896" i="53" s="1"/>
  <c r="A897" i="53" s="1"/>
  <c r="A898" i="53" s="1"/>
  <c r="A899" i="53" s="1"/>
  <c r="A900" i="53" s="1"/>
  <c r="A901" i="53" s="1"/>
  <c r="A902" i="53" s="1"/>
  <c r="A903" i="53" s="1"/>
  <c r="A904" i="53" s="1"/>
  <c r="A905" i="53" s="1"/>
  <c r="A906" i="53" s="1"/>
  <c r="A907" i="53" s="1"/>
  <c r="A908" i="53" s="1"/>
  <c r="A909" i="53" s="1"/>
  <c r="A910" i="53" s="1"/>
  <c r="A911" i="53" s="1"/>
  <c r="A912" i="53" s="1"/>
  <c r="A913" i="53" s="1"/>
  <c r="A914" i="53" s="1"/>
  <c r="A915" i="53" s="1"/>
  <c r="A916" i="53" s="1"/>
  <c r="A917" i="53" s="1"/>
  <c r="A918" i="53" s="1"/>
  <c r="A919" i="53" s="1"/>
  <c r="A920" i="53" s="1"/>
  <c r="A921" i="53" s="1"/>
  <c r="A922" i="53" s="1"/>
  <c r="A923" i="53" s="1"/>
  <c r="A924" i="53" s="1"/>
  <c r="A925" i="53" s="1"/>
  <c r="A926" i="53" s="1"/>
  <c r="A927" i="53" s="1"/>
  <c r="A928" i="53" s="1"/>
  <c r="A929" i="53" s="1"/>
  <c r="A930" i="53" s="1"/>
  <c r="A931" i="53" s="1"/>
  <c r="A932" i="53" s="1"/>
  <c r="A939" i="53" s="1"/>
  <c r="A940" i="53" s="1"/>
  <c r="A941" i="53" s="1"/>
  <c r="A942" i="53" s="1"/>
  <c r="A943" i="53" s="1"/>
  <c r="A944" i="53" s="1"/>
  <c r="A945" i="53" s="1"/>
  <c r="A946" i="53" s="1"/>
  <c r="A947" i="53" s="1"/>
  <c r="A948" i="53" s="1"/>
  <c r="A949" i="53" s="1"/>
  <c r="A950" i="53" s="1"/>
  <c r="A951" i="53" s="1"/>
  <c r="A952" i="53" s="1"/>
  <c r="A953" i="53" s="1"/>
  <c r="A954" i="53" s="1"/>
  <c r="A955" i="53" s="1"/>
  <c r="A956" i="53" s="1"/>
  <c r="A957" i="53" s="1"/>
  <c r="A958" i="53" s="1"/>
  <c r="A959" i="53" s="1"/>
  <c r="A960" i="53" s="1"/>
  <c r="A961" i="53" s="1"/>
  <c r="A962" i="53" s="1"/>
  <c r="A963" i="53" s="1"/>
  <c r="A964" i="53" s="1"/>
  <c r="A965" i="53" s="1"/>
  <c r="A966" i="53" s="1"/>
  <c r="A967" i="53" s="1"/>
  <c r="A968" i="53" s="1"/>
  <c r="A969" i="53" s="1"/>
  <c r="A970" i="53" s="1"/>
  <c r="A971" i="53" s="1"/>
  <c r="A972" i="53" s="1"/>
  <c r="A973" i="53" s="1"/>
  <c r="A974" i="53" s="1"/>
  <c r="A975" i="53" s="1"/>
  <c r="A976" i="53" s="1"/>
  <c r="A977" i="53" s="1"/>
  <c r="A978" i="53" s="1"/>
  <c r="A979" i="53" s="1"/>
  <c r="A980" i="53" s="1"/>
  <c r="A981" i="53" s="1"/>
  <c r="A982" i="53" s="1"/>
  <c r="A983" i="53" s="1"/>
  <c r="A984" i="53" s="1"/>
  <c r="A985" i="53" s="1"/>
  <c r="A986" i="53" s="1"/>
  <c r="A987" i="53" s="1"/>
  <c r="A988" i="53" s="1"/>
  <c r="A989" i="53" s="1"/>
  <c r="A990" i="53" s="1"/>
  <c r="A991" i="53" s="1"/>
  <c r="A992" i="53" s="1"/>
  <c r="A993" i="53" s="1"/>
  <c r="A994" i="53" s="1"/>
  <c r="A1001" i="53" s="1"/>
  <c r="A1002" i="53" s="1"/>
  <c r="A1003" i="53" s="1"/>
  <c r="A1004" i="53" s="1"/>
  <c r="A1005" i="53" s="1"/>
  <c r="A1006" i="53" s="1"/>
  <c r="A1007" i="53" s="1"/>
  <c r="A1008" i="53" s="1"/>
  <c r="A1009" i="53" s="1"/>
  <c r="A1010" i="53" s="1"/>
  <c r="A1011" i="53" s="1"/>
  <c r="A1012" i="53" s="1"/>
  <c r="A1013" i="53" s="1"/>
  <c r="A1014" i="53" s="1"/>
  <c r="A1015" i="53" s="1"/>
  <c r="A1016" i="53" s="1"/>
  <c r="A1017" i="53" s="1"/>
  <c r="A1018" i="53" s="1"/>
  <c r="A1019" i="53" s="1"/>
  <c r="A1020" i="53" s="1"/>
  <c r="A1021" i="53" s="1"/>
  <c r="A1022" i="53" s="1"/>
  <c r="A1023" i="53" s="1"/>
  <c r="A1024" i="53" s="1"/>
  <c r="A1025" i="53" s="1"/>
  <c r="A1026" i="53" s="1"/>
  <c r="A1027" i="53" s="1"/>
  <c r="A1028" i="53" s="1"/>
  <c r="A1029" i="53" s="1"/>
  <c r="A1030" i="53" s="1"/>
  <c r="A1031" i="53" s="1"/>
  <c r="A1032" i="53" s="1"/>
  <c r="A1033" i="53" s="1"/>
  <c r="A1034" i="53" s="1"/>
  <c r="A1035" i="53" s="1"/>
  <c r="A1036" i="53" s="1"/>
  <c r="A1037" i="53" s="1"/>
  <c r="A1038" i="53" s="1"/>
  <c r="A1039" i="53" s="1"/>
  <c r="A1040" i="53" s="1"/>
  <c r="A1041" i="53" s="1"/>
  <c r="A1042" i="53" s="1"/>
  <c r="A1043" i="53" s="1"/>
  <c r="A1044" i="53" s="1"/>
  <c r="A1045" i="53" s="1"/>
  <c r="A1046" i="53" s="1"/>
  <c r="A1047" i="53" s="1"/>
  <c r="A1048" i="53" s="1"/>
  <c r="A1049" i="53" s="1"/>
  <c r="A1050" i="53" s="1"/>
  <c r="A1051" i="53" s="1"/>
  <c r="A1052" i="53" s="1"/>
  <c r="A1053" i="53" s="1"/>
  <c r="A1054" i="53" s="1"/>
  <c r="A1055" i="53" s="1"/>
  <c r="A1059" i="53" s="1"/>
  <c r="A1060" i="53" s="1"/>
  <c r="A1061" i="53" s="1"/>
  <c r="A1062" i="53" s="1"/>
  <c r="A1063" i="53" s="1"/>
  <c r="A1064" i="53" s="1"/>
  <c r="A1065" i="53" s="1"/>
  <c r="A1066" i="53" s="1"/>
  <c r="A1067" i="53" s="1"/>
  <c r="A1068" i="53" s="1"/>
  <c r="A1069" i="53" s="1"/>
  <c r="A1070" i="53" s="1"/>
  <c r="A1071" i="53" s="1"/>
  <c r="A1072" i="53" s="1"/>
  <c r="A1073" i="53" s="1"/>
  <c r="A1074" i="53" s="1"/>
  <c r="A1075" i="53" s="1"/>
  <c r="A1079" i="53" s="1"/>
  <c r="A1080" i="53" s="1"/>
  <c r="A1081" i="53" s="1"/>
  <c r="A1082" i="53" s="1"/>
  <c r="A1083" i="53" s="1"/>
  <c r="A1084" i="53" s="1"/>
  <c r="A1085" i="53" s="1"/>
  <c r="A1091" i="53" s="1"/>
  <c r="A1092" i="53" s="1"/>
  <c r="A1093" i="53" s="1"/>
  <c r="A1094" i="53" s="1"/>
  <c r="A1095" i="53" s="1"/>
  <c r="A1096" i="53" s="1"/>
  <c r="A1097" i="53" s="1"/>
  <c r="A1098" i="53" s="1"/>
  <c r="A1099" i="53" s="1"/>
  <c r="A1100" i="53" s="1"/>
  <c r="A1101" i="53" s="1"/>
  <c r="A1102" i="53" s="1"/>
  <c r="A1103" i="53" s="1"/>
  <c r="A1104" i="53" s="1"/>
  <c r="A1105" i="53" s="1"/>
  <c r="A1106" i="53" s="1"/>
  <c r="A1107" i="53" s="1"/>
  <c r="A1108" i="53" s="1"/>
  <c r="A1109" i="53" s="1"/>
  <c r="A1110" i="53" s="1"/>
  <c r="A1111" i="53" s="1"/>
  <c r="A1112" i="53" s="1"/>
  <c r="A1113" i="53" s="1"/>
  <c r="A1114" i="53" s="1"/>
  <c r="A1115" i="53" s="1"/>
  <c r="A1116" i="53" s="1"/>
  <c r="A1117" i="53" s="1"/>
  <c r="A1118" i="53" s="1"/>
  <c r="A1119" i="53" s="1"/>
  <c r="A1120" i="53" s="1"/>
  <c r="A1121" i="53" s="1"/>
  <c r="A1122" i="53" s="1"/>
  <c r="A1123" i="53" s="1"/>
  <c r="A1124" i="53" s="1"/>
  <c r="A1125" i="53" s="1"/>
  <c r="A1126" i="53" s="1"/>
  <c r="A1127" i="53" s="1"/>
  <c r="A1128" i="53" s="1"/>
  <c r="A1129" i="53" s="1"/>
  <c r="A1130" i="53" s="1"/>
  <c r="A1131" i="53" s="1"/>
  <c r="A1132" i="53" s="1"/>
  <c r="A1133" i="53" s="1"/>
  <c r="A1134" i="53" s="1"/>
  <c r="A1135" i="53" s="1"/>
  <c r="A1136" i="53" s="1"/>
  <c r="A1137" i="53" s="1"/>
  <c r="A1138" i="53" s="1"/>
  <c r="A1139" i="53" s="1"/>
  <c r="A1140" i="53" s="1"/>
  <c r="A1141" i="53" s="1"/>
  <c r="A1142" i="53" s="1"/>
  <c r="A1143" i="53" s="1"/>
  <c r="A1144" i="53" s="1"/>
  <c r="A1145" i="53" s="1"/>
  <c r="A1146" i="53" s="1"/>
  <c r="A1147" i="53" s="1"/>
  <c r="A1148" i="53" s="1"/>
  <c r="A1155" i="53" s="1"/>
  <c r="A1156" i="53" s="1"/>
  <c r="A1157" i="53" s="1"/>
  <c r="A1158" i="53" s="1"/>
  <c r="A1159" i="53" s="1"/>
  <c r="A1160" i="53" s="1"/>
  <c r="A1161" i="53" s="1"/>
  <c r="A1162" i="53" s="1"/>
  <c r="A1163" i="53" s="1"/>
  <c r="A1164" i="53" s="1"/>
  <c r="A1165" i="53" s="1"/>
  <c r="A1166" i="53" s="1"/>
  <c r="A1167" i="53" s="1"/>
  <c r="A1168" i="53" s="1"/>
  <c r="A1169" i="53" s="1"/>
  <c r="A1170" i="5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E1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 xml:space="preserve">TO DESIGN THE PRICE SECTION, WAIT FOR THEPICKING OF PARTICIPATING COMPANIES
</t>
        </r>
      </text>
    </comment>
  </commentList>
</comments>
</file>

<file path=xl/sharedStrings.xml><?xml version="1.0" encoding="utf-8"?>
<sst xmlns="http://schemas.openxmlformats.org/spreadsheetml/2006/main" count="10422" uniqueCount="2246">
  <si>
    <t>S/N</t>
  </si>
  <si>
    <t>LOT 1</t>
  </si>
  <si>
    <t>ANTIMALARIALS</t>
  </si>
  <si>
    <t>ab-ARTEETHER 150MG INJ</t>
  </si>
  <si>
    <t>ARTEMETHER 80MG INJ</t>
  </si>
  <si>
    <t>ARTEMETHER/LUMEFANTRINE (20/120) SYR</t>
  </si>
  <si>
    <t>ARTEMETHER/LUMEFANTRINE (20/120) TAB</t>
  </si>
  <si>
    <t>ARTEMETHER/LUMEFANTRINE (80/480) TAB</t>
  </si>
  <si>
    <t>ARTEROLANE + PIPERAQUINE</t>
  </si>
  <si>
    <t>ARTESUNATE 60MG INJ</t>
  </si>
  <si>
    <t>DIHYDROARTEMISININ/PIPERAQUINE SYR</t>
  </si>
  <si>
    <t>DIHYDROARTEMISININ/PIPERAQUINE TAB</t>
  </si>
  <si>
    <t>PROGUANIL 100MG TAB</t>
  </si>
  <si>
    <t>QUININE 200ML SYR</t>
  </si>
  <si>
    <t>QUININE INJ</t>
  </si>
  <si>
    <t>SULPHADOXINE/PYRIMETHAMINE TAB</t>
  </si>
  <si>
    <t>LOT 2</t>
  </si>
  <si>
    <t>STERILE SOLUTION/INTRAVENOUS FLUIDS</t>
  </si>
  <si>
    <t xml:space="preserve">0.9% NORMAL SALINE </t>
  </si>
  <si>
    <t>10% DEXTROSE WATER</t>
  </si>
  <si>
    <t>10% MANNITOL</t>
  </si>
  <si>
    <t>20% MANNITOL</t>
  </si>
  <si>
    <t>4.3% DEXTROSE IN 0.18% SALINE</t>
  </si>
  <si>
    <t>5% DEXTROSE SALINE</t>
  </si>
  <si>
    <t>5% DEXTROSE WATER</t>
  </si>
  <si>
    <t>50% DEXTROSE WATER</t>
  </si>
  <si>
    <t>8% DEXTROSE SALINE</t>
  </si>
  <si>
    <t>AMINO ACID INFUSION</t>
  </si>
  <si>
    <t>FULL STRENGTH DARROWS SOLUTION</t>
  </si>
  <si>
    <t>HALF STRENGTH DARROWS SOLUTION</t>
  </si>
  <si>
    <t>HARTMANNS (RINGERS LACTATE SOLUTION)</t>
  </si>
  <si>
    <t>STERILE WATER FOR INJECTION</t>
  </si>
  <si>
    <t>LOT 3</t>
  </si>
  <si>
    <t>CARDIOVASCULAR AGENTS/HYPOGLYCEMICS</t>
  </si>
  <si>
    <t>ANTIHYPERTENSIVES</t>
  </si>
  <si>
    <t>AMILORIDE/HCT 5/50MG TAB</t>
  </si>
  <si>
    <t>AMLODIPINE 10MG + RAMIPRIL 5MG</t>
  </si>
  <si>
    <t>AMLODIPINE 10MG TAB</t>
  </si>
  <si>
    <t>AMLODIPINE 5MG + RAMIPRIL 2.5MG</t>
  </si>
  <si>
    <t>AMLODIPINE 5MG TAB</t>
  </si>
  <si>
    <t>ASPIRIN 75MG TAB</t>
  </si>
  <si>
    <t>ATENOLOL 50MG</t>
  </si>
  <si>
    <t>ATORVASTATIN 10MG</t>
  </si>
  <si>
    <t>ATORVASTATIN 20MG</t>
  </si>
  <si>
    <t>ATORVASTATIN 80MG</t>
  </si>
  <si>
    <t>CANDESARTAN 8MG TAB</t>
  </si>
  <si>
    <t xml:space="preserve">CARVEDILOL 6.25MG TAB </t>
  </si>
  <si>
    <t>CLOPIDOGREL 75MG TAB</t>
  </si>
  <si>
    <t>DIGOXIN 0.25MG TAB</t>
  </si>
  <si>
    <t>DIGOXIN INJ</t>
  </si>
  <si>
    <t>FRUSEMIDE 20MG INJ</t>
  </si>
  <si>
    <t>FRUSEMIDE 40MG TAB</t>
  </si>
  <si>
    <t>GLYCERYL TRINITRATE TAB</t>
  </si>
  <si>
    <t>HYDRALLAZINE INJ</t>
  </si>
  <si>
    <t>HYDROCHLOROTHIAZIDE 25MG TAB</t>
  </si>
  <si>
    <t>INDAPAMIDE 1.5MG</t>
  </si>
  <si>
    <t>LABETALOL INJ</t>
  </si>
  <si>
    <t>VIAL</t>
  </si>
  <si>
    <t>LISINOPRIL 10MG</t>
  </si>
  <si>
    <t>LISINOPRIL 5MG</t>
  </si>
  <si>
    <t>LOSARTAN 25MG</t>
  </si>
  <si>
    <t>LOSARTAN 50MG</t>
  </si>
  <si>
    <t xml:space="preserve">LOSARTAN 50MG/ HCT 12.5MG </t>
  </si>
  <si>
    <t>METHYL-DOPA 250MG TAB</t>
  </si>
  <si>
    <t>NIFEDIPINE 20MG</t>
  </si>
  <si>
    <t xml:space="preserve">NIFEDIPINE 30MG </t>
  </si>
  <si>
    <t xml:space="preserve">PROPRANOLOL 40MG </t>
  </si>
  <si>
    <t>RAMIPRIL 10MG TAB</t>
  </si>
  <si>
    <t>RAMIPRIL 5MG TAB</t>
  </si>
  <si>
    <t>ROSUVASTATIN 10MG</t>
  </si>
  <si>
    <t xml:space="preserve">ROSUVASTATIN 20MG </t>
  </si>
  <si>
    <t>S-AMLODIPINE 5MG TAB</t>
  </si>
  <si>
    <t>SPIRINOLACTONE 25MG TAB</t>
  </si>
  <si>
    <t>TELMISARTAN 80MG TAB</t>
  </si>
  <si>
    <t>TORSEMIDE 100MG TAB</t>
  </si>
  <si>
    <t>TORSEMIDE 10MG TAB</t>
  </si>
  <si>
    <t>TORSEMIDE 20MG TAB</t>
  </si>
  <si>
    <t>TORSEMIDE INJ</t>
  </si>
  <si>
    <t>HYPOGLYCEMIC AGENTS</t>
  </si>
  <si>
    <t>GLIBENCLAMIDE 5MG</t>
  </si>
  <si>
    <t>GLICLAZIDE 60MG</t>
  </si>
  <si>
    <t>GLIMEPIRIDE 2MG TAB</t>
  </si>
  <si>
    <t>GLIMEPIRIDE 4MG TAB</t>
  </si>
  <si>
    <t>INSULIN GLULISINE INJ</t>
  </si>
  <si>
    <t>METFORMIN HCL 1000MG TAB</t>
  </si>
  <si>
    <t>METFORMIN HCL 500MG TAB</t>
  </si>
  <si>
    <t>VILDAGLIPTIN 50MG</t>
  </si>
  <si>
    <t>VILDAGLIPTIN/METFORMIN (GALVUS-MET)</t>
  </si>
  <si>
    <t>LOT 4</t>
  </si>
  <si>
    <t>ANTI-INFLAMMATORIES/ANALGESICS/ANTIPYRETICS</t>
  </si>
  <si>
    <t xml:space="preserve">ACECLOFENAC 100MG </t>
  </si>
  <si>
    <t>ALLOPURINOL 100MG  TAB</t>
  </si>
  <si>
    <t>ALLOPURINOL 300MG  TAB</t>
  </si>
  <si>
    <t>CELECOXIB 200MG CAP</t>
  </si>
  <si>
    <t>COCODAMOL TAB</t>
  </si>
  <si>
    <t>DICLOFENAC 50MG TAB</t>
  </si>
  <si>
    <t>DICLOFENAC 75MG INJ</t>
  </si>
  <si>
    <t>DICLOFENAC/CHOLESTYRAMINE TAB</t>
  </si>
  <si>
    <t>DICLOFENAC/MISOPROSTOL TAB</t>
  </si>
  <si>
    <t>IBUPROFEN 200MG TAB</t>
  </si>
  <si>
    <t>IBUPROFEN 400MG TAB</t>
  </si>
  <si>
    <t>NAPROXEN 500MG+ESOMEPRAZOLR 20MG</t>
  </si>
  <si>
    <t>ORPHENADRINE TAB</t>
  </si>
  <si>
    <t>ORPHENADRINE/PARACETAMOL TAB</t>
  </si>
  <si>
    <t>PARACETAMOL 300MG INJ</t>
  </si>
  <si>
    <t>PARACETAMOL 500MG TAB</t>
  </si>
  <si>
    <t>PARACETAMOL INFUSION</t>
  </si>
  <si>
    <t>PARACETAMOL SYR</t>
  </si>
  <si>
    <t>PREGABALIN 75MG CAP</t>
  </si>
  <si>
    <t>TENOXICAM 20MG CAP</t>
  </si>
  <si>
    <t>TIZANIDINE 2MG TAB</t>
  </si>
  <si>
    <t>TRAMADOL 100MG INJ</t>
  </si>
  <si>
    <t>TRAMADOL 50MG CAP</t>
  </si>
  <si>
    <t>LOT 5</t>
  </si>
  <si>
    <t>ANTIBIOTICS/ANTI-INFECTIVES</t>
  </si>
  <si>
    <t>ACYCLOVIR 400MG</t>
  </si>
  <si>
    <t>AMIKACIN INJ</t>
  </si>
  <si>
    <t>AMOXICILLIN 250MG CAP</t>
  </si>
  <si>
    <t>AMOXICILLIN 500MG CAP</t>
  </si>
  <si>
    <t>AMOXICILLIN 500MG INJ</t>
  </si>
  <si>
    <t>AMOXICILLIN/CLAVULANIC ACID  228MG/5ML</t>
  </si>
  <si>
    <t>AMOXICILLIN/CLAVULANIC ACID 1.2G INJ</t>
  </si>
  <si>
    <t>AMOXICILLIN/CLAVULANIC ACID 1G TAB</t>
  </si>
  <si>
    <t>AMOXICILLIN/CLAVULANIC ACID 375MG TAB</t>
  </si>
  <si>
    <t>AMOXICILLIN/CLAVULANIC ACID 625MG TAB</t>
  </si>
  <si>
    <t>AMPICILLIN/CLOXACILLIIN 500MG CAP</t>
  </si>
  <si>
    <t>AMPICILLIN/CLOXACILLIN 250MG/5ML SUSP</t>
  </si>
  <si>
    <t>AMPICILLIN/CLOXACILLIN 500MG INJ</t>
  </si>
  <si>
    <t>AMPICILLIN+SULBACTAM INJ</t>
  </si>
  <si>
    <t>CEFIXIME 200MG TAB</t>
  </si>
  <si>
    <t>CEFIXIME + SULBACTAM SUSPENSION</t>
  </si>
  <si>
    <t>CEFOTAXIME 1G INJ</t>
  </si>
  <si>
    <t>CEFPODOXIME 200MG TAB</t>
  </si>
  <si>
    <t>CEFTAZIDIME 1G INJ</t>
  </si>
  <si>
    <t>CEFTRIAXONE 1G INJ</t>
  </si>
  <si>
    <t>CEFTRIAXONE+SULBACTAM INJ</t>
  </si>
  <si>
    <t>CEFUROXIME 250MG TAB</t>
  </si>
  <si>
    <t>CEFUROXIME 500MG TAB</t>
  </si>
  <si>
    <t>CEFUROXIME 750MG INJ</t>
  </si>
  <si>
    <t>CIPROFLOXACIN 500MG TAB</t>
  </si>
  <si>
    <t>CIPROFLOXACIN INJ</t>
  </si>
  <si>
    <t>CLARITHROMYCIN 500MG</t>
  </si>
  <si>
    <t>CLINDAMYCIN 300MG CAP</t>
  </si>
  <si>
    <t>CLOTRIMAZOLE 1% CREAM 20g</t>
  </si>
  <si>
    <t>BOTT</t>
  </si>
  <si>
    <t>DOXYCYCLINE 100MG CAP</t>
  </si>
  <si>
    <t>ERYTHROMYCIN 125MG/5ML SUSP</t>
  </si>
  <si>
    <t>ERYTHROMYCIN 250MG TAB</t>
  </si>
  <si>
    <t>ERYTHROMYCIN 500MG TAB</t>
  </si>
  <si>
    <t>ETHAMBUTOL 400MG TAB</t>
  </si>
  <si>
    <t>FLUCONAZOLE 50MG CAP</t>
  </si>
  <si>
    <t>GENTICIN 80MG INJ</t>
  </si>
  <si>
    <t>ISONIAZID 300MG TAB</t>
  </si>
  <si>
    <t>ITRACONAZOLE CAP</t>
  </si>
  <si>
    <t>KETOCONAZOLE 200MG TAB</t>
  </si>
  <si>
    <t>20g</t>
  </si>
  <si>
    <t>LEVOFLOXACIN 500MG TAB</t>
  </si>
  <si>
    <t>LEVOFLOXACIN IV</t>
  </si>
  <si>
    <t>METRONIDAZOLE 200MG TAB</t>
  </si>
  <si>
    <t>METRONIDAZOLE 400MG TAB</t>
  </si>
  <si>
    <t xml:space="preserve">METRONIDAZOLE INJ </t>
  </si>
  <si>
    <t>METRONIDAZOLE SUSP</t>
  </si>
  <si>
    <t>MICONAZOLE CREAM</t>
  </si>
  <si>
    <t>OFLOXACIN 200MG TAB</t>
  </si>
  <si>
    <t>OFLOXACIN INJ</t>
  </si>
  <si>
    <t>PYRAZINAMIDE 500MG TAB</t>
  </si>
  <si>
    <t>SECNIDAZOLE 500MG TAB</t>
  </si>
  <si>
    <t>SILVER SULPHADIAZINE 25G CREAM</t>
  </si>
  <si>
    <t>SILVER SULPHADIAZINE 50G CREAM</t>
  </si>
  <si>
    <t>LOT 6</t>
  </si>
  <si>
    <t>BLOOD &amp; NUTRITIONAL DRUGS</t>
  </si>
  <si>
    <t>ALPHA-LIPOIC ACID+THAURINE+LYCOPENE</t>
  </si>
  <si>
    <t>CALCITROL 0.25MCG TAB</t>
  </si>
  <si>
    <t>CALCIUM LACTATE 300MG TAB</t>
  </si>
  <si>
    <t>CALCIUM+VITAMIN C</t>
  </si>
  <si>
    <t>ENOXAPARIN 40MG INJ</t>
  </si>
  <si>
    <t>ETHAMSYLATE  TAB</t>
  </si>
  <si>
    <t>ETHAMSYLATE 250MG/2ML INJ</t>
  </si>
  <si>
    <t>FERRIC SUCROSE COMPLEX INJ</t>
  </si>
  <si>
    <t>FERROUS SULPHATE 200MG TAB</t>
  </si>
  <si>
    <t>FOLIC ACID TAB</t>
  </si>
  <si>
    <t>IRON MINERAL VITAMINS CAP</t>
  </si>
  <si>
    <t>HEPARIN INJ</t>
  </si>
  <si>
    <t>HIGH POTENCY VITAMIN B FORMULA TAB</t>
  </si>
  <si>
    <t>MULTIVITE TAB</t>
  </si>
  <si>
    <t>PHOSPHOLIPIDS/VIT E/VIT B COMPLEX</t>
  </si>
  <si>
    <t>POTASSIUM CHLORIDE TAB</t>
  </si>
  <si>
    <t>POTASSIUM CHLORIDE INJ</t>
  </si>
  <si>
    <t>PYRIDOXINE 50MG</t>
  </si>
  <si>
    <t>SODIUM BICARBONATE INJ</t>
  </si>
  <si>
    <t>TRANEXAMIC ACID 500MG CAP</t>
  </si>
  <si>
    <t>TRANEXAMIC ACID INJ</t>
  </si>
  <si>
    <t>VIT B1/VIT B2/VIT B6 TAB</t>
  </si>
  <si>
    <t>VITAMIN B COMPLEX</t>
  </si>
  <si>
    <t>VITAMIN B COMPLEX INJ</t>
  </si>
  <si>
    <t>VITAMIN B COMPLEX SYRUP</t>
  </si>
  <si>
    <t>VITAMIN C (CHEWABLE)</t>
  </si>
  <si>
    <t>VITAMIN C (WHITE)</t>
  </si>
  <si>
    <t>VITAMIN C INJ</t>
  </si>
  <si>
    <t>VITAMIN C SYRUP</t>
  </si>
  <si>
    <t>VITAMIN K1</t>
  </si>
  <si>
    <t>WARFARIN 3MG TAB</t>
  </si>
  <si>
    <t>WARFARIN 5MG TAB</t>
  </si>
  <si>
    <t>LOT 7</t>
  </si>
  <si>
    <t>HYPNOTICS/SEDATIVES/TRANQUILIZERS/ANTI-DEPRESSANTS</t>
  </si>
  <si>
    <t>AMITRYPTILLINE 25MG</t>
  </si>
  <si>
    <t>BENZHEXOL 5MG</t>
  </si>
  <si>
    <t>BROMAZEPAM 1.5MG</t>
  </si>
  <si>
    <t>BROMAZEPAM 3MG</t>
  </si>
  <si>
    <t>CARBAMAZEPINE 200MG</t>
  </si>
  <si>
    <t>CARBAMAZEPINE 200MG CR</t>
  </si>
  <si>
    <t>CARBAMAZEPINE SYR</t>
  </si>
  <si>
    <t>200ML</t>
  </si>
  <si>
    <t>CARBIDOPA+L-DOPA</t>
  </si>
  <si>
    <t>CHLORPROMAZINE 50MG INJ</t>
  </si>
  <si>
    <t>CHLORPROMAZINE 50MG TAB</t>
  </si>
  <si>
    <t>FLUPENTHIXOL DECANOATE 20MG</t>
  </si>
  <si>
    <t>FLUPENTHIXOL DECANOATE 40MG</t>
  </si>
  <si>
    <t>NITRAZEPAM 5MG</t>
  </si>
  <si>
    <t>OLANZEPINE 10MG</t>
  </si>
  <si>
    <t>OLANZEPINE 5MG</t>
  </si>
  <si>
    <t>PARALDEHYDE INJ</t>
  </si>
  <si>
    <t>PHENOBARBITONE 200MG INJ</t>
  </si>
  <si>
    <t>RISPERIDONE 2MG</t>
  </si>
  <si>
    <t>SODIUM VALPROATE INJ</t>
  </si>
  <si>
    <t>LOT 8</t>
  </si>
  <si>
    <t>OXYTOCICS/ANAESTHETICS/IMMUNOLOGICALS</t>
  </si>
  <si>
    <t>OXYTOCIN INJ</t>
  </si>
  <si>
    <t>CLOMIPHENE CITRATE TAB</t>
  </si>
  <si>
    <t>ERGOMETRINE 500MCG INJ</t>
  </si>
  <si>
    <t>MAGNESIUM SULPHATE INJ</t>
  </si>
  <si>
    <t>MISOPROSTOL200MCG TAB</t>
  </si>
  <si>
    <t>NORETHISTERONE</t>
  </si>
  <si>
    <t>HYDROXYPROGESTERONE INJ</t>
  </si>
  <si>
    <t>ANAESTHETIC AGENTS</t>
  </si>
  <si>
    <t>ATROPINE INJ</t>
  </si>
  <si>
    <t>DOPAMINE INJ</t>
  </si>
  <si>
    <t>HALOTHANE</t>
  </si>
  <si>
    <t>250ML</t>
  </si>
  <si>
    <t>HEAVY MARCAINE INJ</t>
  </si>
  <si>
    <t>ISOFLUORANE</t>
  </si>
  <si>
    <t>KETAMINE HCL 50MG/ML INJ</t>
  </si>
  <si>
    <t>LIGHT MARCAINE INJ</t>
  </si>
  <si>
    <t>MIDAZOLAM INJ</t>
  </si>
  <si>
    <t>NEOSTIGMINE INJ</t>
  </si>
  <si>
    <t>PANCURONIUM INJ</t>
  </si>
  <si>
    <t>SUXAMETHONIUM INJ</t>
  </si>
  <si>
    <t>XYLOCAINE 2% INJ</t>
  </si>
  <si>
    <t>XYLOCAINE/ADRENALINE INJ</t>
  </si>
  <si>
    <t>IMMUNOLOGICALS</t>
  </si>
  <si>
    <t>ANTI D IMMUNOGLOBULIN</t>
  </si>
  <si>
    <t>ANTI-SNAKE VENOM INJ</t>
  </si>
  <si>
    <t>ATS 10,000 IU INJ</t>
  </si>
  <si>
    <t>ATS 1500 IU INJ</t>
  </si>
  <si>
    <t>TETANUS IMMUNOGLOBULIN INJ</t>
  </si>
  <si>
    <t>TETANUS TOXOID 0.5ML INJ</t>
  </si>
  <si>
    <t>LOT 9</t>
  </si>
  <si>
    <t>ANTACIDS/GASTRO-INTESTINAL AGENTS</t>
  </si>
  <si>
    <t>ANUSOL SUPP</t>
  </si>
  <si>
    <t>BISACODYL TAB</t>
  </si>
  <si>
    <t>LIQUID PARAFFIN</t>
  </si>
  <si>
    <t>METOCLOPRAMIDE 10MG INJ</t>
  </si>
  <si>
    <t>METOCLOPRAMIDE 10MG TAB</t>
  </si>
  <si>
    <t>N-BUTYL HYOSCINE HYDROBROMIDE 10MG/ML INJ</t>
  </si>
  <si>
    <t>N-BUTYL HYOSCINE HYDROBROMIDE TAB</t>
  </si>
  <si>
    <t>OMEPRAZOLE 20MG CAP</t>
  </si>
  <si>
    <t>OMEPRAZOLE IV</t>
  </si>
  <si>
    <t>OMEPRAZOLE+CLARITHROMYCIN+TINIDAZOLE CAP</t>
  </si>
  <si>
    <t>ONDASETRON INJ</t>
  </si>
  <si>
    <t>ONDASETRON TAB</t>
  </si>
  <si>
    <t>PROCHLORPERAZINE TAB</t>
  </si>
  <si>
    <t>RANITIDINE IV</t>
  </si>
  <si>
    <t>ZINC SULPHATE TAB</t>
  </si>
  <si>
    <t>LOT 10</t>
  </si>
  <si>
    <t>ANTITUSSIVES/BRONCHODILATORS/ANTI-HISTAMINES</t>
  </si>
  <si>
    <t>ANTITUSSIVES/BRONCHODILATORS</t>
  </si>
  <si>
    <t>AMINOPHYLLINE 250MG INJ</t>
  </si>
  <si>
    <t>FLUTICASONE FUROATE NASAL SPRAY</t>
  </si>
  <si>
    <t>FLUTICASONE PROPIONATE NASAL SPRAY</t>
  </si>
  <si>
    <t>FLUTICASONE+SALMETEROL (ADULT)</t>
  </si>
  <si>
    <t>SALBUTAMOL 4MG TAB</t>
  </si>
  <si>
    <t>SALBUTAMOL NEBULES 2.5MG</t>
  </si>
  <si>
    <t>SALBUTAMOL SYRUP</t>
  </si>
  <si>
    <t>ANTIHISTAMINES</t>
  </si>
  <si>
    <t>ADRENALINE INJ</t>
  </si>
  <si>
    <t>CHLORPHENIRAMINE 4MG TAB</t>
  </si>
  <si>
    <t>CHLORPHENIRAMINE INJ</t>
  </si>
  <si>
    <t>CINNARIZINE 25MG</t>
  </si>
  <si>
    <t>DEXAMETHASONE 1MG TAB</t>
  </si>
  <si>
    <t>DEXAMETHASONE 4MG INJ</t>
  </si>
  <si>
    <t>DIPHENHYDRAMINE HCL+ AMMONIUM CHLORIDE SYR (Adult)</t>
  </si>
  <si>
    <t>DIPHENHYDRAMINE HCL+ AMMONIUM CHLORIDE SYR (PAED)</t>
  </si>
  <si>
    <t>DIPHENHYDRAMINE HCL+ BROMHEXINE HCL+AMMONIUM CHLORIDE SYR</t>
  </si>
  <si>
    <t>FEXOFENADINE 120MG</t>
  </si>
  <si>
    <t>FEXOFENADINE 180MG</t>
  </si>
  <si>
    <t>HYDROCORTISONE 100MG INJ</t>
  </si>
  <si>
    <t>LORATIDINE 10MG TAB</t>
  </si>
  <si>
    <t>PREDNISOLONE 5MG TAB</t>
  </si>
  <si>
    <t>PROMETHAZINE 50MG INJ</t>
  </si>
  <si>
    <t>PSEUDOEPHEDRINE/TRIPROLIDINE SYR</t>
  </si>
  <si>
    <t>PSEUDOEPHEDRINE/TRIPROLIDINE TAB</t>
  </si>
  <si>
    <t>KETOTIFEN TAB</t>
  </si>
  <si>
    <t>LOT 11</t>
  </si>
  <si>
    <t>ANTIGLAUCOMA/EYE/EAR MEDICATIONS</t>
  </si>
  <si>
    <t>ACETAZOLAMIDE 250MG TAB</t>
  </si>
  <si>
    <t>ANTAZOLINE HCL+TETRAZOLINE HCL</t>
  </si>
  <si>
    <t>ATROPINE GTT</t>
  </si>
  <si>
    <t>BETAXOLOL GTT</t>
  </si>
  <si>
    <t>BRIMONIDINE GTT</t>
  </si>
  <si>
    <t xml:space="preserve">BRINZOLAMIDE GTT </t>
  </si>
  <si>
    <t>CANDIBIOTIC GTT</t>
  </si>
  <si>
    <t>CERUMOL EAR DROP</t>
  </si>
  <si>
    <t>CHLORAMPHENICOL EYE OINTMENT</t>
  </si>
  <si>
    <t>CIPROFLOXACIN EYE/EAR DROP</t>
  </si>
  <si>
    <t>CROMOGLYCATE EYE DROP</t>
  </si>
  <si>
    <t>DEXAMETHSAONE EYE DROP</t>
  </si>
  <si>
    <t>DICLOFENAC GTT</t>
  </si>
  <si>
    <t>EYE ANTI-OXIDANT TAB</t>
  </si>
  <si>
    <t>FLUCONAZOLE GTT</t>
  </si>
  <si>
    <t>FLURBIPROFEN EYE DROP</t>
  </si>
  <si>
    <t>HYDROXYPROPYLMETHYLCELLULOSE GTT</t>
  </si>
  <si>
    <t>LATANOPROST 0.05%</t>
  </si>
  <si>
    <t>LATANOPROST+TIMOLOL GTT</t>
  </si>
  <si>
    <t>MOXIFLOXACIN GT</t>
  </si>
  <si>
    <t>NEOMYCIN+POLYMYCIN  B+DEXAMETHASONE GTT</t>
  </si>
  <si>
    <t>NEOMYCIN+POLYMYCIN  B+DEXAMETHASONE OINTMENT</t>
  </si>
  <si>
    <t>OFLOXACIN+DEXAMETHASONE</t>
  </si>
  <si>
    <t>OTOMED EAR DROP</t>
  </si>
  <si>
    <t>XYLOMETHAZOLINE NASAL DROP (ADULT)</t>
  </si>
  <si>
    <t>XYLOMETHAZOLINE NASAL DROP (PAED)</t>
  </si>
  <si>
    <t>POTASSIUM IODIDE+SODIUM IODIDE</t>
  </si>
  <si>
    <t>SALBUTAMOL INHALER</t>
  </si>
  <si>
    <t>SODIUM CHLORIDE GTT</t>
  </si>
  <si>
    <t>PCS</t>
  </si>
  <si>
    <t>TIMOLOL EYE DROPS</t>
  </si>
  <si>
    <t>TIMOLOL+DORZOLAMIDE GTT</t>
  </si>
  <si>
    <t>TOBRAMYCIN EYE DROP</t>
  </si>
  <si>
    <t>TOBRAMYCIN EYE OINTMENT</t>
  </si>
  <si>
    <t>TROPICAMIDE GTT</t>
  </si>
  <si>
    <t>LOT 12</t>
  </si>
  <si>
    <t>DRESSINGS/CONSUMABLES/DISINFECTANTS/OTHERS</t>
  </si>
  <si>
    <t>DRESSINGS/CONSUMABLES</t>
  </si>
  <si>
    <t>10CC NEEDLE/SYRINGE</t>
  </si>
  <si>
    <t>20CC NEEDLE/SYRINGE</t>
  </si>
  <si>
    <t>23G NEEDLE</t>
  </si>
  <si>
    <t>25G NEEDLE</t>
  </si>
  <si>
    <t>2CC NEEDLE/SYRINGE</t>
  </si>
  <si>
    <t xml:space="preserve">5CC NEEDLE/SYRINGE </t>
  </si>
  <si>
    <t xml:space="preserve">BLOOD GIVING SET </t>
  </si>
  <si>
    <t>CLINICAL THERMOMETER B/S</t>
  </si>
  <si>
    <t>COLOSTOMY BAG</t>
  </si>
  <si>
    <t>CONDOM CATHETER</t>
  </si>
  <si>
    <t>COTTON BANDAGE 6"</t>
  </si>
  <si>
    <t>ROLL</t>
  </si>
  <si>
    <t>COTTON WOOL 50G</t>
  </si>
  <si>
    <t>ELASTIC BANDAGE 4"</t>
  </si>
  <si>
    <t>ELASTIC BANDAGE 6"</t>
  </si>
  <si>
    <t>ELBOW LENGTH GLOVES</t>
  </si>
  <si>
    <t>CARTON</t>
  </si>
  <si>
    <t>MUCUS EXRACTOR</t>
  </si>
  <si>
    <t>NOVOTWIST NEEDLE</t>
  </si>
  <si>
    <t>NYLON DRUG ENVELOPE</t>
  </si>
  <si>
    <t>PLASTER 4" (ZINC OXIDE)</t>
  </si>
  <si>
    <t>POP 6" (GYPSONA)</t>
  </si>
  <si>
    <t>SCOTCH CAST 5"</t>
  </si>
  <si>
    <t>SHOULDER LENGTH GLOVES</t>
  </si>
  <si>
    <t>SKIN TRACTION KIT (ADULT)</t>
  </si>
  <si>
    <t>SKIN TRACTION KIT (PAED)</t>
  </si>
  <si>
    <t>SOFRATULLE</t>
  </si>
  <si>
    <t>SOFT BAN 6"</t>
  </si>
  <si>
    <t>SURGICAL BLADE 11"</t>
  </si>
  <si>
    <t>SURGICAL BLADE 12"</t>
  </si>
  <si>
    <t>SURGICAL BLADE 15"</t>
  </si>
  <si>
    <t>SURGICAL BLADE 22"</t>
  </si>
  <si>
    <t>SURGICAL BLADE 24"</t>
  </si>
  <si>
    <t>SURGICAL GLOVES 7 1/2</t>
  </si>
  <si>
    <t>SURGICAL GLOVES 8</t>
  </si>
  <si>
    <t>URINE BAG</t>
  </si>
  <si>
    <t>XYLOCAINE GEL 35g</t>
  </si>
  <si>
    <t>DISINFECTANTS</t>
  </si>
  <si>
    <t>BORIC ACID 1% + CHLORINATED LIME 1%</t>
  </si>
  <si>
    <t>2L</t>
  </si>
  <si>
    <t>CHLORHEXIDINE GLUCONATE 5%</t>
  </si>
  <si>
    <t>4L</t>
  </si>
  <si>
    <t>CHLORHEXIDINE GLUCONATE+CETRIMIDE LOTION 100ML</t>
  </si>
  <si>
    <t>CHLORHEXIDINE GLUCONATE+CETRIMIDE LOTION 4L</t>
  </si>
  <si>
    <t>HYDROGEN PEROXIDE 100ML</t>
  </si>
  <si>
    <t>SKG</t>
  </si>
  <si>
    <t xml:space="preserve">SODIUM HYPOCHLORITE SOLUTION 3.5%W/V </t>
  </si>
  <si>
    <t>OTHERS</t>
  </si>
  <si>
    <t>5-FLUOROURACIL INJ</t>
  </si>
  <si>
    <t>BROMOCRYPTINE 2.5MG TAB</t>
  </si>
  <si>
    <t>CALAMINE LOTION</t>
  </si>
  <si>
    <t>CALCIUM GLUCONATE INJ</t>
  </si>
  <si>
    <t>CHLORHEXIDINE GEL 25G</t>
  </si>
  <si>
    <t>CHLORHEXIDINE GEL 3G</t>
  </si>
  <si>
    <t>HEXETIDINE MOUTH WASH</t>
  </si>
  <si>
    <t>CIKLAVIT SYR</t>
  </si>
  <si>
    <t>GENTAMICIN CREAM</t>
  </si>
  <si>
    <t>20G</t>
  </si>
  <si>
    <t>GOSERELIN ACETATE INJ</t>
  </si>
  <si>
    <t>HYDROCORTICONE  CREAM</t>
  </si>
  <si>
    <t>METHOTREXATE INJ</t>
  </si>
  <si>
    <t>METHOTREXATE TAB</t>
  </si>
  <si>
    <t>MIST. POTASSIUM CITRATE 200ML</t>
  </si>
  <si>
    <t>POVIDONE IODINE+METRONIDAZOLE POWDER</t>
  </si>
  <si>
    <t>POVIDONE IODINE+METRONIDAZOLE SOLUTION</t>
  </si>
  <si>
    <t>RISENDRONATE TAB</t>
  </si>
  <si>
    <t>TAMSULOSIN 0.4MG</t>
  </si>
  <si>
    <t>TRIAMCINOLONE INJ</t>
  </si>
  <si>
    <t>SUTURES</t>
  </si>
  <si>
    <t>CHROMIC 2</t>
  </si>
  <si>
    <t>CHROMIC 2/0</t>
  </si>
  <si>
    <t>NYLON 2</t>
  </si>
  <si>
    <t>NYLON 2/0</t>
  </si>
  <si>
    <t>UNIT/PACK</t>
  </si>
  <si>
    <t>TOTAL QTY/YR</t>
  </si>
  <si>
    <t>UNIT PRICE</t>
  </si>
  <si>
    <t>LOWEST</t>
  </si>
  <si>
    <t>2ND LOWEST</t>
  </si>
  <si>
    <t>3RD LOWEST</t>
  </si>
  <si>
    <t xml:space="preserve">PRICE </t>
  </si>
  <si>
    <t>PRICE</t>
  </si>
  <si>
    <t>COMPANY NAME</t>
  </si>
  <si>
    <t>ABBREV.</t>
  </si>
  <si>
    <t>AMIODARONE 200MG TAB</t>
  </si>
  <si>
    <t>BISOPROLOL 10MG TAB</t>
  </si>
  <si>
    <t>BISOPROLOL 5MG TAB</t>
  </si>
  <si>
    <t>IRBESARTAN 150MG TAB</t>
  </si>
  <si>
    <t>IRBESARTAN 300MG TAB</t>
  </si>
  <si>
    <t>IVABRADINE 5MG TAB</t>
  </si>
  <si>
    <t>PERINDOPRIL 10MG TAB</t>
  </si>
  <si>
    <t>PERINDOPRIL 5MG TAB</t>
  </si>
  <si>
    <t>VARSALTAN/HYDROCHLOROTHIAZIDE</t>
  </si>
  <si>
    <t>VERAPAMIL 240MG TAG</t>
  </si>
  <si>
    <t>INSULIN GLARGIN</t>
  </si>
  <si>
    <t>NOVOMIX INSULIN</t>
  </si>
  <si>
    <t>MORPHINE POWDER</t>
  </si>
  <si>
    <t>25G</t>
  </si>
  <si>
    <t xml:space="preserve">DICLOFENAC/METHYL SALICYLATE CREAM </t>
  </si>
  <si>
    <t>MORPHINE 10MG INJ</t>
  </si>
  <si>
    <t>MORPHINE 15MG INJ</t>
  </si>
  <si>
    <t>PETHIDINE 50MG INJ</t>
  </si>
  <si>
    <t>PETHIDINE 100MG INJ</t>
  </si>
  <si>
    <t>HYDROXYCHLOROQUINE 200MG TAB</t>
  </si>
  <si>
    <t>MEFENAMIC ACID 250MG CAP</t>
  </si>
  <si>
    <t xml:space="preserve">METHYL PREDNISOLONE INJ </t>
  </si>
  <si>
    <t>AMOXICILLIN/CLAVULANIC ACID 600MG INJ</t>
  </si>
  <si>
    <t>AMPICILLIN+SULBACTAM SUSP</t>
  </si>
  <si>
    <t xml:space="preserve">BENZATHINE PENICILLIN </t>
  </si>
  <si>
    <t>CLOTRIMAZOLE PESSARY</t>
  </si>
  <si>
    <t>RIFABUTIN 300GM TAB</t>
  </si>
  <si>
    <t>RIFAMPICIN/ISONIAZID TAB</t>
  </si>
  <si>
    <t>COD LIVER OIL (LIQUID)</t>
  </si>
  <si>
    <t>CYANOCOBALAMINE (VITAMIN B12) INJ</t>
  </si>
  <si>
    <t>AMP</t>
  </si>
  <si>
    <t>FOLIC ACID SYR</t>
  </si>
  <si>
    <t>ORAL REHYDRATION SALT</t>
  </si>
  <si>
    <t>PLANT STEROLS/RESVERATROL/LYCOPEINE/ANTIOXIDANTS</t>
  </si>
  <si>
    <t>RIVAROXABAN 15MG TAB</t>
  </si>
  <si>
    <t>HALOPERIDOL 5MG TAB</t>
  </si>
  <si>
    <t>PHENYTOIN CAP</t>
  </si>
  <si>
    <t>PHENYTOIN INJ</t>
  </si>
  <si>
    <t>OBSTETRICS/GYNAECOLOGICAL DRUGS</t>
  </si>
  <si>
    <t>FENTANYL INJ</t>
  </si>
  <si>
    <t>RABBIES VACCINE INJ</t>
  </si>
  <si>
    <t xml:space="preserve">HEPATITIS B IMMUNOGLOBULIN </t>
  </si>
  <si>
    <t>CIMETIDINE 200MG TAB</t>
  </si>
  <si>
    <t>EPHEDRINE/THEOPHYLLINE</t>
  </si>
  <si>
    <t>FLUTICASONE/SALMETEROL (SERETIDE EVOHALER)</t>
  </si>
  <si>
    <t>FLUTICASONE+SALMETEROL (PAED)</t>
  </si>
  <si>
    <t>IPRATROPIUM BROMIDE NEBULES</t>
  </si>
  <si>
    <t>ACYCLOVIR EYE OINTMENT</t>
  </si>
  <si>
    <t>ZINC/CHLORPHENIRAMINE/NAPHAZOLINE</t>
  </si>
  <si>
    <t>ANTI-CANCER DRUGS</t>
  </si>
  <si>
    <t>ANASTROZOLE 1MG TAB</t>
  </si>
  <si>
    <t>BLEOMYCIN SULPHATE INJ (15 UNITS)</t>
  </si>
  <si>
    <t>CAPECITABINE 150MG TAB</t>
  </si>
  <si>
    <t>CHLORAMBUCIL 2MG TAB</t>
  </si>
  <si>
    <t>CISPLATIN 1MG/ML INJ</t>
  </si>
  <si>
    <t>CYCLOPHOSPHAMIDE 500MG INJ</t>
  </si>
  <si>
    <t>CYCLOPHOSPHAMIDE 50MG TAB</t>
  </si>
  <si>
    <t>CYCLOSPORIN 50MG CAP</t>
  </si>
  <si>
    <t>DACARBAZINE 100MG INJ</t>
  </si>
  <si>
    <t>DEPO-PROVERA (150MG/ML) INJ</t>
  </si>
  <si>
    <t>DOCETAXEL 80MG INJ</t>
  </si>
  <si>
    <t>DOXORUBICIN HCL 20MG/10ML INJ</t>
  </si>
  <si>
    <t>FOLINIC ACID</t>
  </si>
  <si>
    <t>HYDROXYUREA 500MG CAP</t>
  </si>
  <si>
    <t>LETROZOLE 2.5MG TAB</t>
  </si>
  <si>
    <t>MEGESTROL ACETATE 20MG TAB</t>
  </si>
  <si>
    <t>PACLITAXEL 30MG INJ</t>
  </si>
  <si>
    <t>TRASTUZUMAB INJ</t>
  </si>
  <si>
    <t>VINBLASTINE 10MG INJ</t>
  </si>
  <si>
    <t xml:space="preserve">VINCRISTINE 5MG/5ML INJ </t>
  </si>
  <si>
    <t>LOT 13</t>
  </si>
  <si>
    <t>INSULIN SYRINGE 100IU/ML</t>
  </si>
  <si>
    <t>METHYLATED SPIRIT B.P 100ML</t>
  </si>
  <si>
    <t>METHYLATED SPIRIT B.P 2L</t>
  </si>
  <si>
    <t>VICRYL 2/0</t>
  </si>
  <si>
    <t>PACK SIZE</t>
  </si>
  <si>
    <t>Requirements</t>
  </si>
  <si>
    <t>Registration with CAC</t>
  </si>
  <si>
    <t>Bid Security</t>
  </si>
  <si>
    <t>Registration with PCN</t>
  </si>
  <si>
    <t>Annual Licence to Practice</t>
  </si>
  <si>
    <t xml:space="preserve">Evidence of Previous performance </t>
  </si>
  <si>
    <t>Evidence of tax clearance 3yrs</t>
  </si>
  <si>
    <t>TOTAL BID AMOUNT</t>
  </si>
  <si>
    <t>Requirement</t>
  </si>
  <si>
    <t>DICLOFENAC 75MG SR TAB</t>
  </si>
  <si>
    <t>DIHYDROCODEINE TAB (DF118)</t>
  </si>
  <si>
    <t>AMINO ACIDS + IRON CAP</t>
  </si>
  <si>
    <t>AMINO ACIDS + IRON SYR</t>
  </si>
  <si>
    <t>AMINO ACIDS CAP</t>
  </si>
  <si>
    <t>AMINO ACIDS SYR</t>
  </si>
  <si>
    <t>SOLUSET (TROGE - GERMANY)</t>
  </si>
  <si>
    <t>OOUTH              6 MONTHS</t>
  </si>
  <si>
    <t>SHAJE                       6 MONTHS</t>
  </si>
  <si>
    <t>NHIS                           6 MONTHS</t>
  </si>
  <si>
    <t>THEATRE                   6 MONTHS</t>
  </si>
  <si>
    <t>TOTAL                  (6 MONTHS)</t>
  </si>
  <si>
    <t>TOTAL              12 MONTHS</t>
  </si>
  <si>
    <t>CANNULA 16G GREY</t>
  </si>
  <si>
    <t>20PCS</t>
  </si>
  <si>
    <t>CANNULA 18G GREEN</t>
  </si>
  <si>
    <t xml:space="preserve">CANNULA 20G PINK </t>
  </si>
  <si>
    <t xml:space="preserve">CANNULA 22G BLUE </t>
  </si>
  <si>
    <t xml:space="preserve">CANNULA 24G YELLOW </t>
  </si>
  <si>
    <t>CORD CLAMP</t>
  </si>
  <si>
    <t>FOLLEY CATHETER SIZE 10"</t>
  </si>
  <si>
    <t>FOLLEY CATHETER SIZE 12"</t>
  </si>
  <si>
    <t>FOLLEY CATHETER SIZE 14"</t>
  </si>
  <si>
    <t>FOLLEY CATHETER SIZE 16"</t>
  </si>
  <si>
    <t>FOLLEY CATHETER SIZE 18"</t>
  </si>
  <si>
    <t>FOLLEY CATHETER SIZE 20"</t>
  </si>
  <si>
    <t>FOLLEY CATHETER SIZE 22"</t>
  </si>
  <si>
    <t>FOLLEY CATHETER SIZE 24"</t>
  </si>
  <si>
    <t>FOLLEY CATHETER SIZE 6"</t>
  </si>
  <si>
    <t>FOLLEY CATHETER SIZE 8"</t>
  </si>
  <si>
    <t>NASOGASTRIC TUBE 10"</t>
  </si>
  <si>
    <t>NASOGASTRIC TUBE 12"</t>
  </si>
  <si>
    <t>NASOGASTRIC TUBE 14"</t>
  </si>
  <si>
    <t>NASOGASTRIC TUBE 16"</t>
  </si>
  <si>
    <t>NASOGASTRIC TUBE 18"</t>
  </si>
  <si>
    <t>NASOGASTRIC TUBE 20"</t>
  </si>
  <si>
    <t>NASOGASTRIC TUBE 5"</t>
  </si>
  <si>
    <t>NASOGASTRIC TUBE 6"</t>
  </si>
  <si>
    <t>NASOGASTRIC TUBE 8"</t>
  </si>
  <si>
    <t>QUOTED PRICE</t>
  </si>
  <si>
    <t>AMOUNT</t>
  </si>
  <si>
    <t>PREFERRED PRICE</t>
  </si>
  <si>
    <t>CODE</t>
  </si>
  <si>
    <t>NC4</t>
  </si>
  <si>
    <t>NC5</t>
  </si>
  <si>
    <t>NC6</t>
  </si>
  <si>
    <t>NC7</t>
  </si>
  <si>
    <t>NC8</t>
  </si>
  <si>
    <t>NC9</t>
  </si>
  <si>
    <t>NC11</t>
  </si>
  <si>
    <t>NC12</t>
  </si>
  <si>
    <t>NC13</t>
  </si>
  <si>
    <t>NC14</t>
  </si>
  <si>
    <t>NC15</t>
  </si>
  <si>
    <t>NC16</t>
  </si>
  <si>
    <t>NC17</t>
  </si>
  <si>
    <t>NC18</t>
  </si>
  <si>
    <t>NC19</t>
  </si>
  <si>
    <t>NC20</t>
  </si>
  <si>
    <t>NC21</t>
  </si>
  <si>
    <t>NC22</t>
  </si>
  <si>
    <t>NC23</t>
  </si>
  <si>
    <t>CODES</t>
  </si>
  <si>
    <t>N!C4</t>
  </si>
  <si>
    <t>N!C5</t>
  </si>
  <si>
    <t>N!C6</t>
  </si>
  <si>
    <t>N!C7</t>
  </si>
  <si>
    <t>N!C8</t>
  </si>
  <si>
    <t>N!C9</t>
  </si>
  <si>
    <t>N!C10</t>
  </si>
  <si>
    <t>N!C11</t>
  </si>
  <si>
    <t>N!C12</t>
  </si>
  <si>
    <t>N!C13</t>
  </si>
  <si>
    <t>N!C14</t>
  </si>
  <si>
    <t>N!C15</t>
  </si>
  <si>
    <t>N!C16</t>
  </si>
  <si>
    <t>N!C17</t>
  </si>
  <si>
    <t>N!C18</t>
  </si>
  <si>
    <t>N!C19</t>
  </si>
  <si>
    <t>N!C20</t>
  </si>
  <si>
    <t>N!C21</t>
  </si>
  <si>
    <t>N!C22</t>
  </si>
  <si>
    <t>N!C23</t>
  </si>
  <si>
    <t>N!C24</t>
  </si>
  <si>
    <t>N!C25</t>
  </si>
  <si>
    <t>N!C26</t>
  </si>
  <si>
    <t>N!C27</t>
  </si>
  <si>
    <t>N!C28</t>
  </si>
  <si>
    <t>N!C29</t>
  </si>
  <si>
    <t>N!C30</t>
  </si>
  <si>
    <t>N!C31</t>
  </si>
  <si>
    <t>N!C32</t>
  </si>
  <si>
    <t>N!C33</t>
  </si>
  <si>
    <t>NC24</t>
  </si>
  <si>
    <t>NC25</t>
  </si>
  <si>
    <t>NC26</t>
  </si>
  <si>
    <t>NC27</t>
  </si>
  <si>
    <t>NC28</t>
  </si>
  <si>
    <t>NC29</t>
  </si>
  <si>
    <t>NC30</t>
  </si>
  <si>
    <t>NC31</t>
  </si>
  <si>
    <t>NC32</t>
  </si>
  <si>
    <t>NC33</t>
  </si>
  <si>
    <t>OLABISI ONABANJO UNIVERSITY TEACHING HOSPITAL MODIFIED NCB EVALUATION</t>
  </si>
  <si>
    <t>EMZOR</t>
  </si>
  <si>
    <t>ZOLON</t>
  </si>
  <si>
    <t>M&amp;B</t>
  </si>
  <si>
    <t>CODIX</t>
  </si>
  <si>
    <t>PHILIPS</t>
  </si>
  <si>
    <t>GENEITH</t>
  </si>
  <si>
    <t>VIXA</t>
  </si>
  <si>
    <t>TAH</t>
  </si>
  <si>
    <t>SAM</t>
  </si>
  <si>
    <t>LEADWAY</t>
  </si>
  <si>
    <t>ASSENE</t>
  </si>
  <si>
    <t>ROYAL</t>
  </si>
  <si>
    <t>DYNAMIC</t>
  </si>
  <si>
    <t>PHAMATEX</t>
  </si>
  <si>
    <t>BIOFEM</t>
  </si>
  <si>
    <t>JAWA INTERNATIONAL LIMITED</t>
  </si>
  <si>
    <t>JAWA</t>
  </si>
  <si>
    <t>FIDSON</t>
  </si>
  <si>
    <t>MICRONOVA</t>
  </si>
  <si>
    <t>UNIQUE</t>
  </si>
  <si>
    <t>ALPHA</t>
  </si>
  <si>
    <t>GREENLIFE</t>
  </si>
  <si>
    <t>RANBAXY</t>
  </si>
  <si>
    <t>N!C34</t>
  </si>
  <si>
    <t>N!C35</t>
  </si>
  <si>
    <t>N!C36</t>
  </si>
  <si>
    <t>N!C37</t>
  </si>
  <si>
    <t>N!C38</t>
  </si>
  <si>
    <t>N!C39</t>
  </si>
  <si>
    <t>N!C40</t>
  </si>
  <si>
    <t>N!C41</t>
  </si>
  <si>
    <t>N!C42</t>
  </si>
  <si>
    <t>TAYLEK</t>
  </si>
  <si>
    <t>NC34</t>
  </si>
  <si>
    <t>NC35</t>
  </si>
  <si>
    <t>NC36</t>
  </si>
  <si>
    <t>NC37</t>
  </si>
  <si>
    <t>NC38</t>
  </si>
  <si>
    <t>Registration with OOUTH</t>
  </si>
  <si>
    <t>QTY/YEAR</t>
  </si>
  <si>
    <t>COUNTING BIDDED ITEMS</t>
  </si>
  <si>
    <t>DECISION</t>
  </si>
  <si>
    <t>TUBE</t>
  </si>
  <si>
    <t>DRUGS/ITEMS</t>
  </si>
  <si>
    <t>NO:</t>
  </si>
  <si>
    <t>LOT NO:</t>
  </si>
  <si>
    <t>NAME OF DRUG COMPANIES/ITEMS</t>
  </si>
  <si>
    <t>UNIT COST</t>
  </si>
  <si>
    <t>TOTAL COST</t>
  </si>
  <si>
    <t>QUANTITY REQUIRED/YEAR</t>
  </si>
  <si>
    <t>DE SANCON &amp; ASSOCIATES</t>
  </si>
  <si>
    <t>FIDSON HEALTHCARE</t>
  </si>
  <si>
    <t>TOTAL</t>
  </si>
  <si>
    <t>AZITHROMYCIN 500MG</t>
  </si>
  <si>
    <t>GABAPENTIN+METHYLCOBALAMIN (500MCG/300MG)</t>
  </si>
  <si>
    <t>METOPROLOL SUCCINATE 25MG TAB</t>
  </si>
  <si>
    <t>NC39</t>
  </si>
  <si>
    <t>NC40</t>
  </si>
  <si>
    <t>NC41</t>
  </si>
  <si>
    <t>NC42</t>
  </si>
  <si>
    <t>NC43</t>
  </si>
  <si>
    <t>NC44</t>
  </si>
  <si>
    <t>NC45</t>
  </si>
  <si>
    <t>NC46</t>
  </si>
  <si>
    <t>ALLENDRONATE 70MG TAB</t>
  </si>
  <si>
    <t>RIFAMPICIN 300MG CAP</t>
  </si>
  <si>
    <t>VITAMIN E 400IU</t>
  </si>
  <si>
    <t>PAROXETIN 20MG</t>
  </si>
  <si>
    <t>DUTASTERIDE+TAMSULOSIN   0.5MG/0.4MG</t>
  </si>
  <si>
    <t>PIOGLITAZONE 30MG</t>
  </si>
  <si>
    <t>DEXAMETHASONE/CHLORAMPHENICOL/TETRAZOLINE</t>
  </si>
  <si>
    <t>TOLTERODINE 2MG</t>
  </si>
  <si>
    <t>PERINDOPRIL/AMLODIPINE 10/5MG</t>
  </si>
  <si>
    <t>PERINDOPRIL/AMLODIPINE 5/5MG</t>
  </si>
  <si>
    <t>ARTHOGRATIS TAB</t>
  </si>
  <si>
    <t xml:space="preserve">VIAL </t>
  </si>
  <si>
    <t>PYRIMETHAMINE TAB</t>
  </si>
  <si>
    <t>MULTIVITE SYRUP</t>
  </si>
  <si>
    <t>CARBOPLASTIN INJ</t>
  </si>
  <si>
    <t>CALCIMAX TAB</t>
  </si>
  <si>
    <t>AMINOPHYLLINE 100MG TAB</t>
  </si>
  <si>
    <t>DIHYDROARTEMISININ/PIPERAQUINE/TRIMETHOPRIM TAB</t>
  </si>
  <si>
    <t>EVENING PRIMROSE</t>
  </si>
  <si>
    <t>IRBESARTAN 300MG/HCT 12.5MG</t>
  </si>
  <si>
    <t>POVIDONE IODINE+METRONIDAZOLE OINTMENT</t>
  </si>
  <si>
    <t>HYDROCORTISONE  TAB</t>
  </si>
  <si>
    <t>KETOCONAZOLE CREAM 2% COMPOUND</t>
  </si>
  <si>
    <t>MELOXICAM 15MG TAB</t>
  </si>
  <si>
    <t>INDAPAMIDE/AMLODIPINE 1.5/5MG</t>
  </si>
  <si>
    <t>INDAPAMIDE/AMLODIPINE 1.5/10MG</t>
  </si>
  <si>
    <t>NASOGASTRIC TUBE 22"</t>
  </si>
  <si>
    <t xml:space="preserve">NICOTINIC ACID </t>
  </si>
  <si>
    <t>INSULIN DETEMIR</t>
  </si>
  <si>
    <t>PHENOBARBITONE 30MG TAB</t>
  </si>
  <si>
    <t>CO-TRIMOXAZOLE 960MG TAB</t>
  </si>
  <si>
    <t>CO-TRIMOXAZOLE 480MG TAB</t>
  </si>
  <si>
    <t>SIMVASTATIN 20MG TAB</t>
  </si>
  <si>
    <t>TOCOTRIENOLS</t>
  </si>
  <si>
    <t>PLASTER 1" (2.5CM X 9.1M)</t>
  </si>
  <si>
    <t>PLASTER 1" (2.5CM X 5M)</t>
  </si>
  <si>
    <t>ARTEMETHER/LUMEFANTRINE (20/120) TAB DISPERSIBLE</t>
  </si>
  <si>
    <t>SOLUBLE INSULIN FLEX-PEN</t>
  </si>
  <si>
    <t xml:space="preserve">INSULIN 30/70 FLEX-PEN </t>
  </si>
  <si>
    <t>SULPHASALAZINE 500MG TAB</t>
  </si>
  <si>
    <t>ACYCLOVIR 200MG</t>
  </si>
  <si>
    <t>NEOMYCIN 500MG TAB</t>
  </si>
  <si>
    <t>CALCIUM+VITAMIN C+VITAMIN D3</t>
  </si>
  <si>
    <t>BROMELAIN/TRYPSIN TAB</t>
  </si>
  <si>
    <t>FERROUS SULPHATE/FOLIC ACID</t>
  </si>
  <si>
    <t>NATTOENZYMS</t>
  </si>
  <si>
    <t>DIAZEPAM 10MG INJ  ROCHE</t>
  </si>
  <si>
    <t>LOPERAMIDE CAP</t>
  </si>
  <si>
    <t>PLASTER 2" (5CM X 9.1M)</t>
  </si>
  <si>
    <t>AUTOCLAVE TAPE 18MM (3/4")</t>
  </si>
  <si>
    <t>PLASTER 3"(7.5CM X 9.1M)</t>
  </si>
  <si>
    <t>SALBUTAMOL NEBULES 5MG</t>
  </si>
  <si>
    <t>ATORVASTATIN 40MG</t>
  </si>
  <si>
    <t>TETRAHYDROZOLINE HCL/FLUOROMETHOLONE</t>
  </si>
  <si>
    <t>NYSTATIN ORAL DROPS (100,000 IU/ML)</t>
  </si>
  <si>
    <t>NYSTATIN TAB 500,000IU</t>
  </si>
  <si>
    <t>COTTON WOOL 500G</t>
  </si>
  <si>
    <t xml:space="preserve">INFUSION GIVING SET </t>
  </si>
  <si>
    <t>SKIN REMOVER</t>
  </si>
  <si>
    <t>SKIN STAPLER</t>
  </si>
  <si>
    <t>OOUTH SCHEDULE OF REQUIREMENT FOR YEAR 2018</t>
  </si>
  <si>
    <t>TOTAL QUANTITY PER YEAR</t>
  </si>
  <si>
    <t>ISOPLASMA INFUSION (SUCCINYLATED GELATIN)</t>
  </si>
  <si>
    <t>METOPROLOL SUCCINATE 50MG TAB</t>
  </si>
  <si>
    <t>INSULIN 30/70 INJ  (10ML)</t>
  </si>
  <si>
    <t>SOLUBLE INSULIN INJ  (10ML)</t>
  </si>
  <si>
    <t>METHYLCOBALAMINE/MULTIVITAMINS/MULTIMINERALS/ANTIOXIDANTS</t>
  </si>
  <si>
    <t>PENTAZOCIN 30MG INJ</t>
  </si>
  <si>
    <t>DICHLOROBENZYL ALCOHOL/AMYLMETACRESOL (STREPSIL LOZENGES)</t>
  </si>
  <si>
    <t>CEFPODOXIME SUSPENSION  (100ML)</t>
  </si>
  <si>
    <t>CEFUROXIME SUSPENSION 125MG/5ML (100ML)</t>
  </si>
  <si>
    <t>CEFUROXIME SUSPENSION 250MG/5ML (100ML)</t>
  </si>
  <si>
    <t>NITROFURANTOIN 100MG TAB</t>
  </si>
  <si>
    <t>MEROPENEM 1GM INJ</t>
  </si>
  <si>
    <t>VANCOMYCIN 1GM INJ</t>
  </si>
  <si>
    <t>MULTIVITE DROPS  (ABIDEC)</t>
  </si>
  <si>
    <t>OMEGA3 FATTY ACIDS  (MARINA 1000)</t>
  </si>
  <si>
    <t>DIAZEPAM 5MG TAB (X96)</t>
  </si>
  <si>
    <t>DIAZEPAM 5MG TAB (X1000)</t>
  </si>
  <si>
    <t>TRIFLUOPERAZINE 5MG TAB</t>
  </si>
  <si>
    <t>SODIUM THIOPENTONE 1GM</t>
  </si>
  <si>
    <t>EPHEDRINE INJ (STEROP)</t>
  </si>
  <si>
    <t>ESOMEPRAZOLE 20MG CAP</t>
  </si>
  <si>
    <t>LATEX GLOVES (SUPER CARE)</t>
  </si>
  <si>
    <t>ROLL GAUZE 500G  (90CM X 100 YARD) CUTISOFT BSN</t>
  </si>
  <si>
    <t>CARBIMAZOLE 5MG TAB</t>
  </si>
  <si>
    <t>N!C43</t>
  </si>
  <si>
    <t>N!C44</t>
  </si>
  <si>
    <t>N!C45</t>
  </si>
  <si>
    <t>N!C46</t>
  </si>
  <si>
    <t>N!C47</t>
  </si>
  <si>
    <t>N!C48</t>
  </si>
  <si>
    <t>N!C49</t>
  </si>
  <si>
    <t>N!C50</t>
  </si>
  <si>
    <t>N!C51</t>
  </si>
  <si>
    <t>N!C52</t>
  </si>
  <si>
    <t>N!C53</t>
  </si>
  <si>
    <t>N!C54</t>
  </si>
  <si>
    <t>N!C55</t>
  </si>
  <si>
    <t>N!C56</t>
  </si>
  <si>
    <t>N!C57</t>
  </si>
  <si>
    <t xml:space="preserve">NAME OF ITEM/COMMODITY:  </t>
  </si>
  <si>
    <t>PACK SIZE:</t>
  </si>
  <si>
    <t>QUANTITY DESIRED/YEAR:</t>
  </si>
  <si>
    <t>COMPANIES/ QUOTED PRICES</t>
  </si>
  <si>
    <t>LOT NO</t>
  </si>
  <si>
    <t>61-120</t>
  </si>
  <si>
    <t>FREEZE</t>
  </si>
  <si>
    <t>121-180</t>
  </si>
  <si>
    <t>181-240</t>
  </si>
  <si>
    <t>241-300</t>
  </si>
  <si>
    <t>NC47</t>
  </si>
  <si>
    <t>NC48</t>
  </si>
  <si>
    <t>NC49</t>
  </si>
  <si>
    <t>NC50</t>
  </si>
  <si>
    <t>NC51</t>
  </si>
  <si>
    <t>NC52</t>
  </si>
  <si>
    <t>NC53</t>
  </si>
  <si>
    <t>NC54</t>
  </si>
  <si>
    <t>NC55</t>
  </si>
  <si>
    <t>NC56</t>
  </si>
  <si>
    <t>NC57</t>
  </si>
  <si>
    <t>NC58</t>
  </si>
  <si>
    <t>NC59</t>
  </si>
  <si>
    <t>NC60</t>
  </si>
  <si>
    <t>NC61</t>
  </si>
  <si>
    <t>NC62</t>
  </si>
  <si>
    <t>NC63</t>
  </si>
  <si>
    <t>301-360</t>
  </si>
  <si>
    <t>361-420</t>
  </si>
  <si>
    <t>481-540</t>
  </si>
  <si>
    <t>N!C58</t>
  </si>
  <si>
    <t>N!C59</t>
  </si>
  <si>
    <t>N!C60</t>
  </si>
  <si>
    <t>N!C61</t>
  </si>
  <si>
    <t>N!C62</t>
  </si>
  <si>
    <t>N!C63</t>
  </si>
  <si>
    <t>FCGLOBAL</t>
  </si>
  <si>
    <t>MEGA</t>
  </si>
  <si>
    <t>SANCON</t>
  </si>
  <si>
    <t>GLOBORG</t>
  </si>
  <si>
    <t>BIOMED</t>
  </si>
  <si>
    <t>MANOLA</t>
  </si>
  <si>
    <t>EUMATT</t>
  </si>
  <si>
    <t>MARCSON HEALTHCARE</t>
  </si>
  <si>
    <t>MARCSON</t>
  </si>
  <si>
    <t>CLARION</t>
  </si>
  <si>
    <t>ROTECH</t>
  </si>
  <si>
    <t>ALPHA PHARMACY LIMITED</t>
  </si>
  <si>
    <t>PETHICS</t>
  </si>
  <si>
    <t>DORTEMAG</t>
  </si>
  <si>
    <t>DGF</t>
  </si>
  <si>
    <t>MORISON INDUSTRIES PLC</t>
  </si>
  <si>
    <t>MORISON</t>
  </si>
  <si>
    <t>MICRONOVA PHARM. IND. LTD</t>
  </si>
  <si>
    <t>OMAK HEALTHCARE SERVICES</t>
  </si>
  <si>
    <t>SUPPLEMENTARY LIST</t>
  </si>
  <si>
    <t>LIST OF DRUGS/ITEMS</t>
  </si>
  <si>
    <t>GLAXOSMITHKLINE PHARMACEUTICALS NIGERIA</t>
  </si>
  <si>
    <t>GSK</t>
  </si>
  <si>
    <t>N!C64</t>
  </si>
  <si>
    <t>N!C65</t>
  </si>
  <si>
    <t>N!C66</t>
  </si>
  <si>
    <t>YES</t>
  </si>
  <si>
    <t>1T1</t>
  </si>
  <si>
    <t>1T2</t>
  </si>
  <si>
    <t>2T1</t>
  </si>
  <si>
    <t>2T2</t>
  </si>
  <si>
    <t>3T1</t>
  </si>
  <si>
    <t>3T2</t>
  </si>
  <si>
    <t>4T1</t>
  </si>
  <si>
    <t>CHECKLIST 2018</t>
  </si>
  <si>
    <t>COMPANIES</t>
  </si>
  <si>
    <t>REQUIREMENTS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</si>
  <si>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</si>
  <si>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</si>
  <si>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</si>
  <si>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</si>
  <si>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</si>
  <si>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</si>
  <si>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</si>
  <si>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</si>
  <si>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</si>
  <si>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</si>
  <si>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MFLASH</t>
  </si>
  <si>
    <r>
      <t xml:space="preserve">LACTULOSE           </t>
    </r>
    <r>
      <rPr>
        <b/>
        <sz val="14"/>
        <color rgb="FFFF0000"/>
        <rFont val="Calibri"/>
        <family val="2"/>
        <scheme val="minor"/>
      </rPr>
      <t>120MLS</t>
    </r>
  </si>
  <si>
    <t>AMOXICILLIN 125MG/5ML SUSPENSION                    100MLS</t>
  </si>
  <si>
    <t>CEPHALEXIN SUSP   125MG/5ML</t>
  </si>
  <si>
    <t>CO-TRIMOXAZOLE SUSP.   50ML</t>
  </si>
  <si>
    <t>MAGNESIUM HYDROXIDE/ALUMINIUM HYDROXIDE+ DIMETHICONE SUSP 200ML</t>
  </si>
  <si>
    <t>CEFIXIME SUSPENSION 100ML</t>
  </si>
  <si>
    <t>ATRACURIUM INJ   50MG</t>
  </si>
  <si>
    <t>PROPOFOL 1%    20ML</t>
  </si>
  <si>
    <t>IBUPROFEN SUSPENSION   100ML</t>
  </si>
  <si>
    <t>PACK</t>
  </si>
  <si>
    <t>TAMOXIFEN CITRATE 20MG TAB</t>
  </si>
  <si>
    <t>UNIT/ PACK</t>
  </si>
  <si>
    <t>MAY &amp; BAKER NIGERIA LIMITED</t>
  </si>
  <si>
    <t>EUMATT SERVICES LIMITED</t>
  </si>
  <si>
    <t>CODIX PHARMA LIMITED</t>
  </si>
  <si>
    <t>BIOMEDICAL LIMITED</t>
  </si>
  <si>
    <t>UNIQUE PHARMACEUTICALS LIMITED</t>
  </si>
  <si>
    <t>MEGA LIFESCIENCES NIGERIA LIMITED</t>
  </si>
  <si>
    <t>PHAMATEX INDUSTRIES LIMITED</t>
  </si>
  <si>
    <t>GLOBAL ORGANICS NIGERIA LIMITED</t>
  </si>
  <si>
    <t>PURCHASE OF HEALTH COMMODITIES THROUGH COMPETITIVE BIDDING, JUNE 2018</t>
  </si>
  <si>
    <t>ASSENE LABOREX LIMITED</t>
  </si>
  <si>
    <t>BIOFEM PHARMACEUTICALS LIMITED</t>
  </si>
  <si>
    <t>DRUGFIELD SPECIALTIES LIMITED</t>
  </si>
  <si>
    <t>DORTEMAG VENTURES LIMITED</t>
  </si>
  <si>
    <t>DYNAMIC ANCHOR SOURCE LIMITED</t>
  </si>
  <si>
    <t>EMZOR PHARMACEUTICAL INDUSTRIES LIMITED</t>
  </si>
  <si>
    <t>GENEITH PHARMACEUTICALS LIMITED</t>
  </si>
  <si>
    <t>GREENLIFE PHARMACEUTICALS LIMITED</t>
  </si>
  <si>
    <t>LEADWAY PHARMACEUTICALS LIMITED</t>
  </si>
  <si>
    <t>MANOLA PHARMACEUTICALS LIMITED</t>
  </si>
  <si>
    <t>MIRAFLASH NIGERIA LIMITED</t>
  </si>
  <si>
    <t>PHARMAETHICS LIMITED</t>
  </si>
  <si>
    <t>PHILIPS PHARMACEUTICALS NIGERIA LIMITED</t>
  </si>
  <si>
    <t>RANBAXY NIGERIA LIMITED</t>
  </si>
  <si>
    <t>INTER-ROTECH NIGERIA LIMTIED</t>
  </si>
  <si>
    <t>ROYAL PRIESTHOOD LIMITED</t>
  </si>
  <si>
    <t>SAM PHARMACEUTICALS LIMITED</t>
  </si>
  <si>
    <t>SKG PHARMA LIMITED</t>
  </si>
  <si>
    <t>TAH PHARMACEUTICALS LIMITED</t>
  </si>
  <si>
    <t>TAYLEK DRUGS COMPANY LTD</t>
  </si>
  <si>
    <t>VIXA PHARMACEUTICALS COMPANY LIMITED</t>
  </si>
  <si>
    <t>WORLDWIDE COMMERCIAL VENTURES</t>
  </si>
  <si>
    <t>ZOLON HEALTHCARE LIMITED</t>
  </si>
  <si>
    <t>LUBRIGEL 85G</t>
  </si>
  <si>
    <t>CHLORAMPHENICOL EYE DROPS</t>
  </si>
  <si>
    <t>POVIDONE IODINE 100ML 5%</t>
  </si>
  <si>
    <t>CHLORPHENIRAMINE 2MG/5ML  SYR</t>
  </si>
  <si>
    <t>PFIZER</t>
  </si>
  <si>
    <t>SANOFI</t>
  </si>
  <si>
    <t>NOVARTIS</t>
  </si>
  <si>
    <t>ROCHE</t>
  </si>
  <si>
    <t>DABIGATRAN 110MG CAP</t>
  </si>
  <si>
    <t>DRUGFIELD</t>
  </si>
  <si>
    <t xml:space="preserve">COMPANIES </t>
  </si>
  <si>
    <t xml:space="preserve">AMOUNT WON </t>
  </si>
  <si>
    <t>GLYCOPYROLATE INJ</t>
  </si>
  <si>
    <t>QUANTITY REQUIRED/QUARTER</t>
  </si>
  <si>
    <t xml:space="preserve">CEFIXIME/CLAVULANIC ACID </t>
  </si>
  <si>
    <t>EXCEL CHARIS PHARM. CHEM. LTD</t>
  </si>
  <si>
    <t xml:space="preserve">INJ DOPAMINE 40MG </t>
  </si>
  <si>
    <t>GRAY PHARMACEUTICALS LIMITED</t>
  </si>
  <si>
    <t>GAUZE ROLL 500G (BSN)</t>
  </si>
  <si>
    <t>HOSPITAL MANAGEMENT BOARD (CENTRAL MEDICAL STORE), ABEOKUTA</t>
  </si>
  <si>
    <t>TAB INDAPAMIDE 1.5MG</t>
  </si>
  <si>
    <t>TAB INDAPAMIDE/AMLODIPINE 1.5/5MG</t>
  </si>
  <si>
    <t>TAB INDAPAMIDE/AMLODIPINE 1.5/10MG</t>
  </si>
  <si>
    <t>IPCA</t>
  </si>
  <si>
    <t>TAB HYDROXYCHLOROQUINE 200MG</t>
  </si>
  <si>
    <t>PEACEMARK PHARMACEUTICALS NIG. LTD.</t>
  </si>
  <si>
    <t xml:space="preserve">INJ XYLOCAINE/ADRENALINE </t>
  </si>
  <si>
    <t>PHAMATEX NIGERIA LIMITED</t>
  </si>
  <si>
    <t>TAB CARBIMAZOLE 5MG</t>
  </si>
  <si>
    <t>UNILAG PHARMACEUTICALS LTD</t>
  </si>
  <si>
    <t>INJ EPHEDRINE (STEROP)</t>
  </si>
  <si>
    <t>WORLDWIDE COMMERCIAL VENTURES (STRIDES SHASUN)</t>
  </si>
  <si>
    <t>TAB ERYTHROMYCIN 250MG</t>
  </si>
  <si>
    <t>TAB NATTOENZYME</t>
  </si>
  <si>
    <t>TAB PROPRANOLOL 40MG</t>
  </si>
  <si>
    <t>TAB METOZOLONE 2.5MG</t>
  </si>
  <si>
    <t>TAB METOZOLONE 5MG</t>
  </si>
  <si>
    <t>CAP GLUCOSAMINE 250MG</t>
  </si>
  <si>
    <t>TAB FEROSOFT</t>
  </si>
  <si>
    <t>AMOXICILLIN/CLAVULANIC ACID 457MG/5ML  SUSP       70ML</t>
  </si>
  <si>
    <t>TAB KETOTIFEN 1MG</t>
  </si>
  <si>
    <t>BERNADOS PHARMACEUTICALS &amp; CHEMICAL LTD</t>
  </si>
  <si>
    <t>TAB GLYCERYL TRINITRATE</t>
  </si>
  <si>
    <t>TAB ETHAMSYLATE</t>
  </si>
  <si>
    <t>GTT BRINZOLAMIDE (AZOPT)</t>
  </si>
  <si>
    <t>TAB CHLORPROMAZINE 50MG</t>
  </si>
  <si>
    <t>TAB ALLENDRONATE 70MG</t>
  </si>
  <si>
    <t>PURCHASE OF DRUGS FROM THE SUPPLEMENTARY LIST - 2018 COMPETITIVE BIDDING PHASE 1</t>
  </si>
  <si>
    <t>BIOFEM PHARMACEUTICALS LTD</t>
  </si>
  <si>
    <t>CAP GABAPENTIN/METHYLCOBALAMIN</t>
  </si>
  <si>
    <t>AL-TINEZ VISION LIMITED</t>
  </si>
  <si>
    <t>DONY TRIUMPH</t>
  </si>
  <si>
    <t>TAB NORETHISTERONE 5MG</t>
  </si>
  <si>
    <t>TAB AZITHROMYCIN 500MG</t>
  </si>
  <si>
    <t>EXCEL CHARIS</t>
  </si>
  <si>
    <t>INJ THIOPENTONE 1G</t>
  </si>
  <si>
    <t>GRAY PHARMACEUTICALS LTD</t>
  </si>
  <si>
    <t>SOFF BAN 6"</t>
  </si>
  <si>
    <t>PLASTER 4" BSN</t>
  </si>
  <si>
    <t>PC</t>
  </si>
  <si>
    <t>OCULUS PHARMACARE LTD</t>
  </si>
  <si>
    <t>XYLOMETAZOLINE 0.05%</t>
  </si>
  <si>
    <t>XYLOMETAZOLINE 0.1%</t>
  </si>
  <si>
    <t>PEACEMARK PHARMACEUTICALS NIG. LTD</t>
  </si>
  <si>
    <t>XYLOCAINE GEL 35G (NEON)</t>
  </si>
  <si>
    <t>INJ ETHAMSYLATE</t>
  </si>
  <si>
    <t>TAB NEOMYCIN 500MG</t>
  </si>
  <si>
    <t xml:space="preserve">TAB ORPHENADRINE </t>
  </si>
  <si>
    <t>PHAMATEX NIG. LTD.</t>
  </si>
  <si>
    <t>CAP DOXYCYCLINE 100MG</t>
  </si>
  <si>
    <t>TAB ACYCLOVIR 200MG</t>
  </si>
  <si>
    <t>TAB ACYCLOVIR 400MG</t>
  </si>
  <si>
    <t>ACYCLOVIR CREAM 5G</t>
  </si>
  <si>
    <t>TOCOTRIENOLS (TOCOVID)</t>
  </si>
  <si>
    <t>PHARMACY PLUS</t>
  </si>
  <si>
    <t>TAB ALPHABETIC</t>
  </si>
  <si>
    <t>TAB FINAESTERIDE 5MG</t>
  </si>
  <si>
    <t>TAB TAMSULOSIN/FINASTERIDE</t>
  </si>
  <si>
    <t>TAB FLUTAMIDE</t>
  </si>
  <si>
    <t>TAB CARBAMAZEPINE 200MG CR</t>
  </si>
  <si>
    <t>SEAL HEALTHCARE LIMITED</t>
  </si>
  <si>
    <t>TAB HEALBATIC</t>
  </si>
  <si>
    <t>TAB CARBIDOPA/L-DOPA 25/250MG</t>
  </si>
  <si>
    <t>TAB CLOMIPHENE CITRATE</t>
  </si>
  <si>
    <t>TAB LORATIDINE 10MG</t>
  </si>
  <si>
    <t xml:space="preserve">INJ TRIAMCINOLONE </t>
  </si>
  <si>
    <t xml:space="preserve">INJ RANITIDINE </t>
  </si>
  <si>
    <t>TAB CIMETIDINE 200MG</t>
  </si>
  <si>
    <t xml:space="preserve">INJ CHLORPROMAZINE </t>
  </si>
  <si>
    <t>WORLDWIDE COMMERCIAL VENTURES (ASTRA ZENECA)</t>
  </si>
  <si>
    <t>TAB BICALUTAMIDE</t>
  </si>
  <si>
    <t>WORLDWIDE COMMERCIAL VENTURES (NEIMETH)</t>
  </si>
  <si>
    <t>TAB AMILORIDE/HYDROCHLOROTHIAZIDE</t>
  </si>
  <si>
    <t>CAP EVENING PRIMROSE</t>
  </si>
  <si>
    <t>CAP VITAMIN E 400IU</t>
  </si>
  <si>
    <t>PURCHASE OF HEALTH COMMODITIES THROUGH COMPETITIVE BIDDING, JUNE 2018 -  EXTRACTIONS</t>
  </si>
  <si>
    <t>TOTHEMA DRINK SOLUTION AMP 1OML</t>
  </si>
  <si>
    <t>TAB SPIRONOLACTONE 25MG</t>
  </si>
  <si>
    <t>SUMMIT HEALTHCARE</t>
  </si>
  <si>
    <t>VALUES IF GIVEN TO BIDDERS</t>
  </si>
  <si>
    <t>ALPHA PHARMACY</t>
  </si>
  <si>
    <t>TAB GLICLAZIDE 30MG</t>
  </si>
  <si>
    <t>ASSENE  LABOREX LTD</t>
  </si>
  <si>
    <t>VALUES IF AWARDED TO LOWER PRICED SUPPLIERS</t>
  </si>
  <si>
    <t>SUMMARY</t>
  </si>
  <si>
    <t>MANUFACTURER AUTHORIZATION</t>
  </si>
  <si>
    <t>NATTOENZYME TAB</t>
  </si>
  <si>
    <t>PROPRANOLOL 40MG TAB</t>
  </si>
  <si>
    <t>METOZOLONE 2.5MG TAB</t>
  </si>
  <si>
    <t>METOZOLONE 5MG TAB</t>
  </si>
  <si>
    <t>GLUCOSAMINE 250MG TAB</t>
  </si>
  <si>
    <t>FEROSOFT TAB</t>
  </si>
  <si>
    <t>KETOTIFEN 1MG TAB</t>
  </si>
  <si>
    <t>GABAPENTIN/METHYLCOBALAMIN CAP</t>
  </si>
  <si>
    <t>NORETHISTERONE 5MG TAB</t>
  </si>
  <si>
    <t>AZITHROMYCIN 500MG TAB</t>
  </si>
  <si>
    <t>SPIRONOLACTONE 25MG TAB</t>
  </si>
  <si>
    <t>THIOPENTONE 1G INJ</t>
  </si>
  <si>
    <t>ETHAMSYLATE INJ</t>
  </si>
  <si>
    <t>ORPHENADRINE  TAB</t>
  </si>
  <si>
    <t>ACYCLOVIR 200MG TAB</t>
  </si>
  <si>
    <t>ACYCLOVIR 400MG TAB</t>
  </si>
  <si>
    <t>ALPHABETIC TAB</t>
  </si>
  <si>
    <t>FINAESTERIDE 5MG TAB</t>
  </si>
  <si>
    <t>FINASTERIDE/TAMSULOSIN TAB</t>
  </si>
  <si>
    <t>FLUTAMIDE TAB</t>
  </si>
  <si>
    <t>CARBAMAZEPINE 200MG CR TAB</t>
  </si>
  <si>
    <t>HEALBATIC TAB</t>
  </si>
  <si>
    <t>BRINZOLAMIDE (AZOPT) GTT</t>
  </si>
  <si>
    <t>CARBIDOPA/L-DOPA 25/250MG TAB</t>
  </si>
  <si>
    <t>RANITIDINE INJ</t>
  </si>
  <si>
    <t>CHLORPROMAZINE INJ</t>
  </si>
  <si>
    <t>BICALUTAMIDE TAB</t>
  </si>
  <si>
    <t>AMILORIDE/HYDROCHLOROTHIAZIDE TAB</t>
  </si>
  <si>
    <t>EVENING PRIMROSE CAP</t>
  </si>
  <si>
    <t>VITAMIN E 400IU CAP</t>
  </si>
  <si>
    <t>ETHAMSYLATE TAB</t>
  </si>
  <si>
    <t>UNIENZYME</t>
  </si>
  <si>
    <t>LANZOPRAZOLE TAB</t>
  </si>
  <si>
    <t>RABEPRAZOLE</t>
  </si>
  <si>
    <t>ACUPAN INJ</t>
  </si>
  <si>
    <t xml:space="preserve">ERYTHROMYCIN 250MG </t>
  </si>
  <si>
    <t xml:space="preserve">2018 COMPETITIVE BIDDING - PHASE 1 </t>
  </si>
  <si>
    <t>COMPANIES TO BE INVITED FOR PHARMACY 2018 - COMPETITIVE SUPPLEMENTARY BIDDING</t>
  </si>
  <si>
    <t xml:space="preserve">COMPANIES TO BE ENLISTED </t>
  </si>
  <si>
    <t>PEACEMARK PHARMACEUTICALS NIGERIA LIMITED</t>
  </si>
  <si>
    <t>DONY TRIUMPH &amp; CO. NIG. LTD.</t>
  </si>
  <si>
    <t>PHARMACY PLUS NIG. LTD</t>
  </si>
  <si>
    <t>FIRST CHOICE GLOBAL UTILITIES LIMITED</t>
  </si>
  <si>
    <t>COLCHICINE TAB</t>
  </si>
  <si>
    <t>TADALAFIL 10MG TAB</t>
  </si>
  <si>
    <t>SILDENAFIL 100MG</t>
  </si>
  <si>
    <t>TADALAFIL 20MG TAB</t>
  </si>
  <si>
    <t>DYNAMOGEN DRINK SOLUTION</t>
  </si>
  <si>
    <t>10ML</t>
  </si>
  <si>
    <t>RENERVE PLUS</t>
  </si>
  <si>
    <t>XYLOCAINE/ADRENALINE</t>
  </si>
  <si>
    <t>(EDITED)</t>
  </si>
  <si>
    <t>FEROSOFT FA TAB</t>
  </si>
  <si>
    <t>IRON SUCROSE INJ</t>
  </si>
  <si>
    <t>SUPPLY ANALYSIS</t>
  </si>
  <si>
    <t>OOUTH PHARMACY COMPETITIVE BIDDING 2018/2019 - PHASE 1</t>
  </si>
  <si>
    <t>QUANTITY SUPPLIED</t>
  </si>
  <si>
    <t>TOTAL QUANTITY SUPPLIED</t>
  </si>
  <si>
    <t>CASH WORTH</t>
  </si>
  <si>
    <t>TOTAL AMOUNT OF DRUGS APPROVED FOR PHASE 1 2018/2019</t>
  </si>
  <si>
    <t>TOTAL AMOUNT OF DRUGS NOT SUPPLIED</t>
  </si>
  <si>
    <t>TOTAL PERCENTAGE OF DRUGS SUPPLIED</t>
  </si>
  <si>
    <t>NOVO NORDISK</t>
  </si>
  <si>
    <t>SANDOZ</t>
  </si>
  <si>
    <t>BOEHRINGER</t>
  </si>
  <si>
    <t>QUANTITY REQUIRED</t>
  </si>
  <si>
    <t xml:space="preserve">MANOLA PHARMACEUTICALS </t>
  </si>
  <si>
    <t>DOXORUBICIN INJ</t>
  </si>
  <si>
    <t>BROMAZEPAM 1.5MG TAB</t>
  </si>
  <si>
    <t>CEFTRIAXONE/SULBACTAM INJ</t>
  </si>
  <si>
    <t>AMLODIPINE 10MG/RAMIPRIL 5MG</t>
  </si>
  <si>
    <t>TAB</t>
  </si>
  <si>
    <t>AMLODIPINE 5MG/RAMIPRIL 2.5MG</t>
  </si>
  <si>
    <t>DIHYDROARTEMISININ/PIPERAQUINE/TRIMETHOPRIM</t>
  </si>
  <si>
    <t>FLUPENTHIXOL DECANOATE 20MG INJ</t>
  </si>
  <si>
    <t>SAM PHARMACEUTICALS NIG. LTD</t>
  </si>
  <si>
    <t>MEGA LIFESCIENCES</t>
  </si>
  <si>
    <t>HIGH POTENCY VITAMIN B FORMULA</t>
  </si>
  <si>
    <t>DUTASTERIDE/TAMSULOSIN TAB</t>
  </si>
  <si>
    <t>CANULA GREY (16G)</t>
  </si>
  <si>
    <t>GLOBAL ORGANICS NIG. LTD.</t>
  </si>
  <si>
    <t>CIPROFLOXACIN INFUSION</t>
  </si>
  <si>
    <t>FOLLEY CATHETER 24"</t>
  </si>
  <si>
    <t>VITAMIN BCO TAB</t>
  </si>
  <si>
    <t>ALPHA PHARMACY &amp; STORES</t>
  </si>
  <si>
    <t>ASTYMIN SYRUP</t>
  </si>
  <si>
    <t>ASTYFER SYRUP</t>
  </si>
  <si>
    <t>ATORVASTATIN 20MG TAB</t>
  </si>
  <si>
    <t>SOLUBLE INSULIN</t>
  </si>
  <si>
    <t>ARTEMETHER/LUMEFANTRINE SUSPENSION</t>
  </si>
  <si>
    <t>AMITRYPTILLINE 25MG TAB</t>
  </si>
  <si>
    <t>HYDROGEN PEROXIDE</t>
  </si>
  <si>
    <t>IBUPROFEN 400MG CAP</t>
  </si>
  <si>
    <t>PHARMAETHICS NIG. LTD.</t>
  </si>
  <si>
    <t>LOSARTAN 25MG TAB</t>
  </si>
  <si>
    <t>INSULIN 30/70 INJ</t>
  </si>
  <si>
    <t>TOTAL AMOUNT</t>
  </si>
  <si>
    <t>TAYLEK DRUGS &amp; CO</t>
  </si>
  <si>
    <t>HYDRALLZINE INJ</t>
  </si>
  <si>
    <t>MICRONOVA PHARM. IND. LTD.</t>
  </si>
  <si>
    <t>GLAXOSMITHKLINE PHARMACEUTICALS NIG. LTD.</t>
  </si>
  <si>
    <t>VILDAGLIPTIN/METFORMIN 50/1000MG</t>
  </si>
  <si>
    <t>2018 COMPETITIVE BIDDING - PHASE 1B - SUMMARY</t>
  </si>
  <si>
    <t>MIXTURE OF POTASSIUM CITRATE 200ML</t>
  </si>
  <si>
    <t>ETERVAL LIMITED</t>
  </si>
  <si>
    <t>ATORVASTATIN 40MG TAB</t>
  </si>
  <si>
    <t>AL-TINEZ PHARMA</t>
  </si>
  <si>
    <t>NATTOENZYMES TAB</t>
  </si>
  <si>
    <t>SEAL HEALTHCARE LTD</t>
  </si>
  <si>
    <t>PHILLIPS PHARM. NIG. LTD</t>
  </si>
  <si>
    <t>UNIENZYME TAB</t>
  </si>
  <si>
    <t>DEXKETOPROFEN 25MG TAB</t>
  </si>
  <si>
    <t>KETOPROFEN GEL</t>
  </si>
  <si>
    <t>50g</t>
  </si>
  <si>
    <t>OCULUS PHARMACARE</t>
  </si>
  <si>
    <t>APHANTEE PHARM LTD</t>
  </si>
  <si>
    <t>GLUCOSAMINE/CHONDROITIN SULPHATE CAP</t>
  </si>
  <si>
    <t>PEACEMARK PHARM LTD</t>
  </si>
  <si>
    <t>XYLOCAINE GEL (NEON)</t>
  </si>
  <si>
    <t>35g</t>
  </si>
  <si>
    <t>XYLOCAINE+ADRENALINE INJ</t>
  </si>
  <si>
    <t>SOLUSET (TROGE)</t>
  </si>
  <si>
    <t>SPIRINOLACTONE 25MG TAB (REMEDICA)</t>
  </si>
  <si>
    <t>LORATADINE 10MG TAB</t>
  </si>
  <si>
    <t>FOLIC ACID SYRUP</t>
  </si>
  <si>
    <t>ATRACURIUM 50MG INJ</t>
  </si>
  <si>
    <t>SKIN TRACTION KIT (ADULT) BSN</t>
  </si>
  <si>
    <t>GYPSONA 8"</t>
  </si>
  <si>
    <t>GAUZE ROLL 90CM x 100YARDS (CUTISOFT)</t>
  </si>
  <si>
    <t>PHAMATEX NIGERIA LTD</t>
  </si>
  <si>
    <t>ACYCLOVIR CREAM 5%</t>
  </si>
  <si>
    <t>5g</t>
  </si>
  <si>
    <t>ASSENE-LABOREX</t>
  </si>
  <si>
    <t>TO'THEMA DRINK SOLUTION</t>
  </si>
  <si>
    <t>CO-AMOKSICLAV 457MG/5ML SUSPENSION</t>
  </si>
  <si>
    <t>TOBRAMYCIN GTT</t>
  </si>
  <si>
    <t>MAXITROL EYE OINTMENT</t>
  </si>
  <si>
    <t>AZOPT 1% GTT</t>
  </si>
  <si>
    <t>BIOFEM PHARMACEUTICALS NIG. LTD</t>
  </si>
  <si>
    <t>METHYLCOBALAMINE/GABAPENTIN CAP (BIOPENTIN)</t>
  </si>
  <si>
    <t>MERIT HEALTHCARE LTD</t>
  </si>
  <si>
    <t>NEFOPAM INJ (ACUPAN)</t>
  </si>
  <si>
    <t>STIMOL POWDER</t>
  </si>
  <si>
    <t>FINASTERIDE 5MG TAB</t>
  </si>
  <si>
    <t>ACIPEP SUSPENSION</t>
  </si>
  <si>
    <t>ATS 1500IU INJ</t>
  </si>
  <si>
    <t>CANULA GREEN 18G</t>
  </si>
  <si>
    <t>FOLLEY CATHETER 16"</t>
  </si>
  <si>
    <t>METRONIDAZOLE INFUSION</t>
  </si>
  <si>
    <t>MUCUS EXTRACTOR</t>
  </si>
  <si>
    <t>NIFEDIPINE 20MG TAB</t>
  </si>
  <si>
    <t>CEFTRIAXONE 1G INJ (ROCEPHIN)</t>
  </si>
  <si>
    <t>INTER-ROTECH NIGERIA LIMITED</t>
  </si>
  <si>
    <t>PHILLIPS PHARMACEUTICALS NIGERIA LIMITED</t>
  </si>
  <si>
    <t>ATENOLOL 50MG TAB</t>
  </si>
  <si>
    <t>IRON MINERALS VITAMINS CAP</t>
  </si>
  <si>
    <t xml:space="preserve">EPHEDRINE INJ </t>
  </si>
  <si>
    <t>ROSUVASTATIN 10MG TAB</t>
  </si>
  <si>
    <t>OMEGA-3 FATTY ACIDS CAP</t>
  </si>
  <si>
    <t>CHI PHARMACEUTICALS LIMITED</t>
  </si>
  <si>
    <t>PRIMOLUT N</t>
  </si>
  <si>
    <t>PRIMOLUT DEPOT</t>
  </si>
  <si>
    <t>NEIMETH PHARMACEUTICALS COMPANY</t>
  </si>
  <si>
    <t>AMILORIDE/HYDROCHLOROTHIAZIDE</t>
  </si>
  <si>
    <t>ASTYFER CAP</t>
  </si>
  <si>
    <t>AMPICILLIN/CLOXACILIN 500MG INJ</t>
  </si>
  <si>
    <t>TRANEXAMIC ACID CAP</t>
  </si>
  <si>
    <t>ASSENE LABOREX</t>
  </si>
  <si>
    <t>METHYLPREDNISOLONE INJ</t>
  </si>
  <si>
    <t>EMZOR PHARMACEUTICALS INDUSTRIES LIMITED</t>
  </si>
  <si>
    <t>VITAMIN B COMPLEX TAB</t>
  </si>
  <si>
    <t>INSULIN SYRINGE</t>
  </si>
  <si>
    <t>ALLOPURINOL 100MG TAB</t>
  </si>
  <si>
    <t>METFORMIN 1000MG</t>
  </si>
  <si>
    <t>LATANOPROST/TIMOLOL GTT</t>
  </si>
  <si>
    <t>PURCHASE OF HEALTH COMMODITIES THROUGH COMPETITIVE BIDDING - PHASE 1B</t>
  </si>
  <si>
    <t>PURCHASE OF HEALTH COMMODITIES 2018 - PHASE 1 SUPPLEMENTARY LIST</t>
  </si>
  <si>
    <t>FLUTICASONE/SALMETEROL (ADULT)</t>
  </si>
  <si>
    <t>NIL</t>
  </si>
  <si>
    <t>STOCK BALANCE AS AT END OF SEPTEMBER 2018</t>
  </si>
  <si>
    <t>5PCS</t>
  </si>
  <si>
    <t>10PCS</t>
  </si>
  <si>
    <t>30AMP</t>
  </si>
  <si>
    <t>QUANTITY PURCHASED AT 2018 PHASE 1 EXERCISE</t>
  </si>
  <si>
    <t>NOT SUPPLIED</t>
  </si>
  <si>
    <t xml:space="preserve">NB: THE 25% OF TOTAL BID FOR YEAR 2018 WAS PURCHASED AT PHASE 1, WHICH IS EQUIVALENT TO MAXIMUM STOCK LEVEL. </t>
  </si>
  <si>
    <t>PURCHASE OF HEALTH COMMODITIES THROUGH COMPETITIVE BIDDING - PHASE 1A</t>
  </si>
  <si>
    <t>TOTAL AMOUNT OF DRUGS APPROVED FOR SUPPLEMENATRY 1 2018/2019</t>
  </si>
  <si>
    <t>TOTAL AMOUNT OF DRUGS APPROVED FOR PHASE 1A 2018/2019</t>
  </si>
  <si>
    <t>SUMMARY OF DRUGS SUPPLIED TO PHARMACY IN PHASE 1/1A, 2018</t>
  </si>
  <si>
    <t>PHASE 1</t>
  </si>
  <si>
    <t>PHASE 1A</t>
  </si>
  <si>
    <t>TOTAL DRUGS SUPPLIED IN THE FIRST QUARTER OF 2018 BID</t>
  </si>
  <si>
    <t>TOTAL QUANTITIES NOT SUPPLIED</t>
  </si>
  <si>
    <t>TOTAL PERCENTAGE OF APPROVED COMMODITIES SUPPLIED</t>
  </si>
  <si>
    <t>TOTAL AMOUNT OF AVAILABLE DRUGS BEFORE SUPPLY COMMENCES (END OF JULY 2018)</t>
  </si>
  <si>
    <t>TOTAL AMOUNT OF APPROVED COMMODITIES SUPPLIED</t>
  </si>
  <si>
    <t>TOTAL AMOUNT OF AVAILABLE DRUGS IN FIRST QUARTER OF BID 2018/2019</t>
  </si>
  <si>
    <t>TOTAL AMOUNT OF DRUGS/COMMODITIES AVAILABLE AS AT THE 23/11/2018</t>
  </si>
  <si>
    <t>TOTAL AMOUNT OF DRUGS CONSUMED BETWEEN AUG AND NOVEMBER 2018</t>
  </si>
  <si>
    <t>TOTAL AMOUNT OF DRUGS AND COMMODITIES APPROVED FOR YEAR 2018/2019</t>
  </si>
  <si>
    <t>MUPIROCIN CREAM</t>
  </si>
  <si>
    <t>ALPHA PHARMACY AND STORES LTD</t>
  </si>
  <si>
    <t>CODIX PHARMACEUTICALS LIMITED</t>
  </si>
  <si>
    <t>DE SANCON &amp; ASSOCIATES LIMITED</t>
  </si>
  <si>
    <t>EMZOR PHARMACEUTICALS LIMITED</t>
  </si>
  <si>
    <t>FIDSON HEALTHCARE LIMITED</t>
  </si>
  <si>
    <t>GLAXOSMITHKLINE PHARM. LTD</t>
  </si>
  <si>
    <t>GLOBAL ORGANICS LIMITED</t>
  </si>
  <si>
    <t>MANOLA PHARMACEUTICALS</t>
  </si>
  <si>
    <t>MARCSON HEALTHCARE LIMITED</t>
  </si>
  <si>
    <t>MICRONOVA PHARMACEUTICALS</t>
  </si>
  <si>
    <t>ROYAL PRIESTHOOD LABORATORIES LIMITED</t>
  </si>
  <si>
    <t>SKG PHARMACEUTICALS LIMITED</t>
  </si>
  <si>
    <t>TAYLEK DRUGS COMPANY LIMITED</t>
  </si>
  <si>
    <t>BIOMEDICALS LIMITED</t>
  </si>
  <si>
    <t>VIXA PHARMACEUTICALS LIMITED</t>
  </si>
  <si>
    <t>WORLDWIDE COMMERCIAL VENTURES LIMITED</t>
  </si>
  <si>
    <t>WWCV</t>
  </si>
  <si>
    <t>REALS PHARMACEUTICALS LIMITED</t>
  </si>
  <si>
    <t>REALS</t>
  </si>
  <si>
    <t>THERAPEUTIC LABORATORIES NIGERIA LIMITED</t>
  </si>
  <si>
    <t>THL</t>
  </si>
  <si>
    <t>OCULUS PHARMACARE LIMITED</t>
  </si>
  <si>
    <t>OCULUS</t>
  </si>
  <si>
    <t>CLARION MEDICALS LIMITED</t>
  </si>
  <si>
    <t>DRUGFIELD PHARMACEUTICALS LIMITED</t>
  </si>
  <si>
    <t>OAK-LEAF PHARM. NIGERIA LIMITED</t>
  </si>
  <si>
    <t>OLEAF</t>
  </si>
  <si>
    <t>HEALTHLINE PHARMACEUTICALS LIMITED</t>
  </si>
  <si>
    <t>HLINE</t>
  </si>
  <si>
    <t>NHP</t>
  </si>
  <si>
    <t>NHC PHARMACEUTICALS LIMITED</t>
  </si>
  <si>
    <t>NHC</t>
  </si>
  <si>
    <t>ISN PRODUCTS NIGERIA LIMITED</t>
  </si>
  <si>
    <t>ISN</t>
  </si>
  <si>
    <t>CHECK LIST 2019/2020</t>
  </si>
  <si>
    <t>NAME OF ENLISTED COMPANIES - 2019/2020</t>
  </si>
  <si>
    <t>ARTEMETHER/LUMEFANTRINE (20/120) SOFT GEL</t>
  </si>
  <si>
    <t>ARTEMETHER/LUMEFANTRINE (80/480) SOFT GEL</t>
  </si>
  <si>
    <t>AMLODIPINE/VALSARTAN 5/160MG TAB</t>
  </si>
  <si>
    <t>AMLODIPINE/VALSARTAN 10/160MG TAB</t>
  </si>
  <si>
    <t>AMLODIPINE/VALSARTAN 5/320MG TAB</t>
  </si>
  <si>
    <t>AMLODIPINE/VALSARTAN 10/320MG TAB</t>
  </si>
  <si>
    <t>AMLODIPINE/VALSARTAN/HYDROCHLOROTHIAZIDE 5/160/25MG TAB</t>
  </si>
  <si>
    <t>AMLODIPINE/VALSARTAN/HYDROCHLOROTHIAZIDE 10/160/25MG TAB</t>
  </si>
  <si>
    <t>CANDESARTAN 16MG TAB</t>
  </si>
  <si>
    <t>FENOFIBRATE 200MG TAB</t>
  </si>
  <si>
    <t>LABETALOL TAB</t>
  </si>
  <si>
    <t>METOLAZONE 2.5MG TAB</t>
  </si>
  <si>
    <t>METOLAZONE 5MG TAB</t>
  </si>
  <si>
    <t>NEBIVOLOL 5MG</t>
  </si>
  <si>
    <t>NEBIVOLOL 5MG/HYDROCHLOROTHIAZIDE 12.5MG</t>
  </si>
  <si>
    <t>PERINDOPRIL/AMLODIPINE/INDAPAMIDE 10/10/2.5MG</t>
  </si>
  <si>
    <t>PERINDOPRIL/AMLODIPINE/INDAPAMIDE 10/5/2.5MG</t>
  </si>
  <si>
    <t>SACUBITRIL/VALSARTAN 100MG TAB</t>
  </si>
  <si>
    <t>SACUBITRIL/VALSARTAN 200MG TAB</t>
  </si>
  <si>
    <t>SACUBITRIL/VALSARTAN 50MG TAB</t>
  </si>
  <si>
    <t>S-AMLODIPINE 2.5MG TAB</t>
  </si>
  <si>
    <t>TELMISARTAN/AMLODIPINE 80/10MG TAB</t>
  </si>
  <si>
    <t>TELMISARTAN/AMLODIPINE 80/5MG TAB</t>
  </si>
  <si>
    <t>TELMISARTAN/HYDROCHLOROTHIAZIDE 80/12.5 TAB</t>
  </si>
  <si>
    <t>TRIMETAZIDINE 35MG TAB</t>
  </si>
  <si>
    <t>GLUCAGON INJ</t>
  </si>
  <si>
    <t>GLUCOMETER  (ACCU-CHEK) ACTIVE</t>
  </si>
  <si>
    <t>HUMALOG MIX 50 INJ (VIAL)</t>
  </si>
  <si>
    <t>HUMALOG MIX 75-25 INJ</t>
  </si>
  <si>
    <t>METFORMIN HCL 1000MG SR TAB</t>
  </si>
  <si>
    <t>METFORMIN HCL 500MG SR TAB</t>
  </si>
  <si>
    <t>VILDAGLIPTIN/METFORMIN 50/1000MG TAB</t>
  </si>
  <si>
    <t>VILDAGLIPTIN/METFORMIN 50/500MG TAB</t>
  </si>
  <si>
    <t>CHONDROITIN SULPHATE/GLUCOSAMINE</t>
  </si>
  <si>
    <t>DEXKETOPROFEN 25MG</t>
  </si>
  <si>
    <t>DICLOFENAC 100MG TAB</t>
  </si>
  <si>
    <t xml:space="preserve">DICLOFENAC/PARACETAMOL </t>
  </si>
  <si>
    <t>IBUPROFEN SYRUP</t>
  </si>
  <si>
    <t>KETOPROFEN 2.5% GEL 50G</t>
  </si>
  <si>
    <t>KETOPROFEN 2.5% GEL 10G</t>
  </si>
  <si>
    <t>KETOPROFEN 2.5% GEL 100G</t>
  </si>
  <si>
    <t>NALOXONE INJ</t>
  </si>
  <si>
    <t>NAPROXEN 500MG+ESOMEPRAZOLE 20MG</t>
  </si>
  <si>
    <t>ORPHENADRINE 100MG TAB</t>
  </si>
  <si>
    <t>PHENYLRAMIDOL 400MG TAB</t>
  </si>
  <si>
    <t>AMOXICILLIN 125MG/5ML SUSPENSION</t>
  </si>
  <si>
    <t>AMOXICILLIN 250MG DISPERSIBLE TAB</t>
  </si>
  <si>
    <t>AMOXICILLIN/CLAVULANIC ACID 457MG/5ML</t>
  </si>
  <si>
    <t>AMOXICILLIN/FLUCLOXACILLIN 250/250MG CAP</t>
  </si>
  <si>
    <t>AMOXICILLIN/FLUCLOXACILLIN 125/125MG SUSPENSION</t>
  </si>
  <si>
    <t>VAZEL KIT</t>
  </si>
  <si>
    <t>CEFIXIME 200MG/CLAVULANIC ACID 125MG</t>
  </si>
  <si>
    <t>CEFIXIME 400MG TAB</t>
  </si>
  <si>
    <t>CEFIXIME SUSPENSION</t>
  </si>
  <si>
    <t>CO-TRIMOXAZOLE SUSP.</t>
  </si>
  <si>
    <t>CHLORHEXIDINE HCL/LIDOCAINE LOZENGES</t>
  </si>
  <si>
    <t>FLUCONAZOLE 150MG CAP</t>
  </si>
  <si>
    <t>FLUCONAZOLE 200MG CAP</t>
  </si>
  <si>
    <t>KETOCONAZOLE SHAMPOO</t>
  </si>
  <si>
    <t>MOXIFLOXACIN 400MG TAB</t>
  </si>
  <si>
    <t>SILVER SUDIAZEPLPHADIAZINE 25G CREAM</t>
  </si>
  <si>
    <t>TINIDAZOLE 500MG TAB</t>
  </si>
  <si>
    <t>CHYMOTRYPSIN/TRYPSIN</t>
  </si>
  <si>
    <t>DABIGATRAN 75MG CAP</t>
  </si>
  <si>
    <t>IRON (III) HYDROXIDE POLYMALTOSE COMPLEX 50MG STERROP (TOT'HEMA)</t>
  </si>
  <si>
    <t>JOBELYN CAP</t>
  </si>
  <si>
    <t>SILYMARIN 140MG TAB</t>
  </si>
  <si>
    <t>SILYMARIN 70MG TAB</t>
  </si>
  <si>
    <t>URSODEOXYCHOLIC ACID 150MG TAB</t>
  </si>
  <si>
    <t>URSODEOXYCHOLIC ACID 300MG TAB</t>
  </si>
  <si>
    <t>VITAMIN A 50,000IU</t>
  </si>
  <si>
    <t>VITAMIN C 100MG (CHEWABLE)</t>
  </si>
  <si>
    <t>VITAMIN C 100MG (WHITE)</t>
  </si>
  <si>
    <t>VITAMIN C 500MG TAB</t>
  </si>
  <si>
    <t>VITAMIN E 300IU INJ</t>
  </si>
  <si>
    <t>VITAMIN E 1000IU</t>
  </si>
  <si>
    <t>NEFOPAM INJ</t>
  </si>
  <si>
    <t>ADDYZOA CAP</t>
  </si>
  <si>
    <t>DYDROSTERONE TAB</t>
  </si>
  <si>
    <t>LEUPROLIDE ACETATE 3.75MG INJ</t>
  </si>
  <si>
    <t>M2TONE TAB</t>
  </si>
  <si>
    <t>MIFEPRESTONE200MG/MISOPROSTOL 800MCG</t>
  </si>
  <si>
    <t>TADALAFIL</t>
  </si>
  <si>
    <t>VIGOMAX TAB</t>
  </si>
  <si>
    <t>ATRACURIUM INJ</t>
  </si>
  <si>
    <t>GLYCOPYRULLATE INJ</t>
  </si>
  <si>
    <t>PROPOFOL 1%</t>
  </si>
  <si>
    <t>SEVOFLUORANE</t>
  </si>
  <si>
    <t>DIOSMINE 500MG TAB</t>
  </si>
  <si>
    <t>DIOSMINE GEL</t>
  </si>
  <si>
    <t>ESOMEPRAZOLE 40MG CAP</t>
  </si>
  <si>
    <t>ESOMEPRAZOLE 40MG/CLARITHROMYCIN 500MG/AMOXICILLIN 1GM</t>
  </si>
  <si>
    <t>MAGNESIUM HYDROXIDE/ALUMINIUM HYDROXIDE+ DIMETHICONE SUSP</t>
  </si>
  <si>
    <t>OMEPRAZOLE 20MG/DOMPERIDONE 10MG</t>
  </si>
  <si>
    <t>OMEPRAZOLE/CLARITHROMYCIN+TINIDAZOLE CAP</t>
  </si>
  <si>
    <t>OXATHAZINE/MAGNESIUM HYDROXIDE/ALUMINIUM HYDROXIDE/SIMETHICONE</t>
  </si>
  <si>
    <t>RABEPRAZOLE 20MG CAP</t>
  </si>
  <si>
    <t>RABEPRAZOLE 20MG INJ</t>
  </si>
  <si>
    <t>SACCHAROMYCES BOULARDII 100mg</t>
  </si>
  <si>
    <t>SACCHAROMYCES BOULARDII 250mg</t>
  </si>
  <si>
    <t>CETIRIZINE SYRUP</t>
  </si>
  <si>
    <t>CETIRIZINE TAB</t>
  </si>
  <si>
    <t>CHLORPHENIRAMINE 4MG/5ML  SYR</t>
  </si>
  <si>
    <t>CLINDAMYCIN 100MG/CLOTRIMAZOLE 100MG</t>
  </si>
  <si>
    <t>LEVOCETIRIZINE</t>
  </si>
  <si>
    <t>LORATIDINE 5MG/5ML SYRUP</t>
  </si>
  <si>
    <t>MONTELUKAST 10MG/LEVOCETIRIZIN 5MG</t>
  </si>
  <si>
    <t>PROMETHAZINE SYR</t>
  </si>
  <si>
    <t xml:space="preserve">PSEUDOEPHEDRINE/TRIPROLIDINE SYR             </t>
  </si>
  <si>
    <t>CHLORAMPHENICOL EAR DROP</t>
  </si>
  <si>
    <t>CHLORAMPHENICOL EYE/EAR DROPS</t>
  </si>
  <si>
    <t>GENTAMYCIN EYE DROP</t>
  </si>
  <si>
    <t>KETOROLAC TROMETHAMINE GTT</t>
  </si>
  <si>
    <t>OLOPATADINE GTT</t>
  </si>
  <si>
    <t>PILOCARPINE 4% GTT</t>
  </si>
  <si>
    <t>PILOCARPINE 2% GTT</t>
  </si>
  <si>
    <t>POTASSIUM IODIDE+SODIUM IODIDE GTT</t>
  </si>
  <si>
    <t>TIMOLOL/DORZOLAMIDE GTT</t>
  </si>
  <si>
    <t>TIMOLOL/TRAVOPROST 5MG/40MCG</t>
  </si>
  <si>
    <t>TRAVOPROST 40MCG</t>
  </si>
  <si>
    <t>IFOSFAMIDE 3G</t>
  </si>
  <si>
    <t>IFOSFAMIDE 50MG</t>
  </si>
  <si>
    <t>IFOSFAMIDE 1G</t>
  </si>
  <si>
    <t>TAMOXIFEN CITRATE 10MG TAB</t>
  </si>
  <si>
    <t>LUBRICATING GEL 85g</t>
  </si>
  <si>
    <t>PLASTER 1" (2.5CM X 5M) BROWN</t>
  </si>
  <si>
    <t>PLASTER 1" (2.5CM X 9.1M) TRANSPARENT</t>
  </si>
  <si>
    <t>PLASTER 2" (5CM X 9.1M) TRANSPARENT</t>
  </si>
  <si>
    <t>PLASTER 3"(7.5CM X 9.1M) TRANSPARENT</t>
  </si>
  <si>
    <t xml:space="preserve">SOLUSET </t>
  </si>
  <si>
    <t>DERMATOLOGICAL PREPARATIONS</t>
  </si>
  <si>
    <t>50SPF SUNSCREEN</t>
  </si>
  <si>
    <t>BENZOYL PEROXIDE 10% CREAM</t>
  </si>
  <si>
    <t>BENZOYL PEROXIDE 5% CREAM</t>
  </si>
  <si>
    <t>BENZYL BENZOATE 25% LOTION</t>
  </si>
  <si>
    <t>BETAMETHASONE SCALP WASH</t>
  </si>
  <si>
    <t>BETNOVATE CREAM 0.05% (PLAIN)</t>
  </si>
  <si>
    <t>CLINDAMYCIN CREAM</t>
  </si>
  <si>
    <t>CLOBESTASOL 0.05% CREAM</t>
  </si>
  <si>
    <t>DIPROSALIC OINTMENT</t>
  </si>
  <si>
    <t>IVERMECTIN TAB</t>
  </si>
  <si>
    <t>PERMETHRIN CREAM</t>
  </si>
  <si>
    <t>POVIDONE IODINE OINTMENT</t>
  </si>
  <si>
    <t>RETIN A GEL</t>
  </si>
  <si>
    <t>SALICYLIC ACID OINTMENT 20%</t>
  </si>
  <si>
    <t>SEBAMED CREAM/SHAMPOO</t>
  </si>
  <si>
    <t xml:space="preserve">SELENIUM SULPHIDE SHAMPOO (SELSUN) </t>
  </si>
  <si>
    <t>UREA 50% CREAM</t>
  </si>
  <si>
    <t>POVIDONE IODINE 100ML 5% (100ML)</t>
  </si>
  <si>
    <t>POVIDONE IODINE 100ML 10% (100ML)</t>
  </si>
  <si>
    <t>LEUPROLIDE ACETATE 3.75MG INJ (DEPOT)</t>
  </si>
  <si>
    <t>POVIDONE IODINE+METRONIDAZOLE SOLUTION 30MLS</t>
  </si>
  <si>
    <t>SILVER NITRATE SOLUTION (250ML)</t>
  </si>
  <si>
    <t xml:space="preserve">TAMSULOSIN 0.4MG TAB  </t>
  </si>
  <si>
    <t>CHROMIC 1</t>
  </si>
  <si>
    <t>PROLYENE</t>
  </si>
  <si>
    <t>TOTAL QUANTITY FOR  YEAR 2019/2020</t>
  </si>
  <si>
    <t>PARACETAMOL 125MG SUPPOSITORY</t>
  </si>
  <si>
    <t>PARACETAMOL 250MG SUPPOSITORY</t>
  </si>
  <si>
    <t>PHARMACY</t>
  </si>
  <si>
    <t>THEATRE</t>
  </si>
  <si>
    <t>RADIOLOGY</t>
  </si>
  <si>
    <t>HAEMATOLOGY/BLOOD TRANSFUSION</t>
  </si>
  <si>
    <t>MORBID ANATOMY/HISTOPATHOLOGY</t>
  </si>
  <si>
    <t>OOUTH SCHEDULE OF REQUIREMENT FOR YEAR 2019/2020</t>
  </si>
  <si>
    <t>PLASTER 3"(7.5CM X 9.1M) BROWN</t>
  </si>
  <si>
    <t>CHEMICAL PATHOLOGY</t>
  </si>
  <si>
    <t>GAUZE ROLL 500G  (90CM X 100 YARD) CUTISOFT BSN</t>
  </si>
  <si>
    <t>SURGICAL GLOVES 7"</t>
  </si>
  <si>
    <t>SURGICAL GLOVES 7 1/2"</t>
  </si>
  <si>
    <t>SURGICAL GLOVES 8"</t>
  </si>
  <si>
    <t>SURGICAL BLADE 23"</t>
  </si>
  <si>
    <t>PLASTER 3"(7.5CM X 9.1M) - DURAPORE</t>
  </si>
  <si>
    <t>500ML</t>
  </si>
  <si>
    <t>21G NEEDLE</t>
  </si>
  <si>
    <t>MEDICAL MICROBIOLOGY/PARASITOLOGY</t>
  </si>
  <si>
    <t>PLASTER 2" (5CM X 9.1M) BROWN</t>
  </si>
  <si>
    <t>IOHEXOL - CONTRAST MEDIA</t>
  </si>
  <si>
    <t>MORIGAD DISINFECTANT (4 LITRES)</t>
  </si>
  <si>
    <t>DEVON PHARMACEUTICALS</t>
  </si>
  <si>
    <t>DEVON</t>
  </si>
  <si>
    <t>COTTON WOOL 500G (DELE)</t>
  </si>
  <si>
    <t>IJEBU-IGBO LAB.</t>
  </si>
  <si>
    <t>MORIGAD GERMICIDE (4 LITRE)</t>
  </si>
  <si>
    <t>GLUTARALDEHYDE (4 LITRES)</t>
  </si>
  <si>
    <t>KEG</t>
  </si>
  <si>
    <t xml:space="preserve">50CC NEEDLE/SYRINGE </t>
  </si>
  <si>
    <t>BID SECURITY</t>
  </si>
  <si>
    <t>EVIDENCE OF TAX CLEARANCE OF 3 YEARS</t>
  </si>
  <si>
    <t>EVIDENCE OF PREVIOUS PERFORMANCE</t>
  </si>
  <si>
    <t>ANNUAL LICENCE TO PRACTICE</t>
  </si>
  <si>
    <t>REGISTRATION WITH PCN</t>
  </si>
  <si>
    <t>REGISTRATION WITH OOUTH</t>
  </si>
  <si>
    <t>REGISTRATION WITH CAC</t>
  </si>
  <si>
    <t>CHI PHARMACEUTICALS</t>
  </si>
  <si>
    <t>CHI</t>
  </si>
  <si>
    <t>NEMEL PHARMACEUTICALS LIMITED</t>
  </si>
  <si>
    <t>NEMEL</t>
  </si>
  <si>
    <t>SEAGREEN PHARMACEUTICALS LIMITED</t>
  </si>
  <si>
    <t>SEAGREEN</t>
  </si>
  <si>
    <t>COSMADE EASY MEDICALS LIMITED</t>
  </si>
  <si>
    <t>COSMADE</t>
  </si>
  <si>
    <t>GINOS VENTURES LIMITED</t>
  </si>
  <si>
    <t>GINOS</t>
  </si>
  <si>
    <t>NEW HEIGHTS PHARMACEUTICALS IND. LIMITED</t>
  </si>
  <si>
    <t>PACIFIC DIAGNOSTIC LIMITED</t>
  </si>
  <si>
    <t>PACIFIC</t>
  </si>
  <si>
    <t>UBASTIC NIGERIA LIMITED</t>
  </si>
  <si>
    <t>UBASTIC</t>
  </si>
  <si>
    <t>LAYO-JAT NIGERIA LIMITED</t>
  </si>
  <si>
    <t>LAYO</t>
  </si>
  <si>
    <t>TEMITA SCIENTIFIC VENTURES</t>
  </si>
  <si>
    <t>TEMITA</t>
  </si>
  <si>
    <t>MEDWORLD MEDICAL COMPANY LIMITED</t>
  </si>
  <si>
    <t>GOODNEWS UNIVERSAL TECHNOLOGIES</t>
  </si>
  <si>
    <t>GOODNEWS</t>
  </si>
  <si>
    <t>LIFTED HANDS VENTURES</t>
  </si>
  <si>
    <t>LHV</t>
  </si>
  <si>
    <t>UNION DIAGNOSTIC AND CLINICAL SERVICES</t>
  </si>
  <si>
    <t>UNION</t>
  </si>
  <si>
    <t>MEDITRUST NIGERIA LIMITED</t>
  </si>
  <si>
    <t>MTRUST</t>
  </si>
  <si>
    <t>N!C67</t>
  </si>
  <si>
    <t>BIDDED DEPT</t>
  </si>
  <si>
    <t>P</t>
  </si>
  <si>
    <t>T</t>
  </si>
  <si>
    <t>L</t>
  </si>
  <si>
    <t>R</t>
  </si>
  <si>
    <t>LT</t>
  </si>
  <si>
    <t>LP</t>
  </si>
  <si>
    <t>LR</t>
  </si>
  <si>
    <t>LPRT</t>
  </si>
  <si>
    <t>PT</t>
  </si>
  <si>
    <t>LPT</t>
  </si>
  <si>
    <t>MWORLD</t>
  </si>
  <si>
    <t>LRT</t>
  </si>
  <si>
    <t>AGGREGATE CONTRACT SUM</t>
  </si>
  <si>
    <t>PHARMACY DEPARTMENT</t>
  </si>
  <si>
    <t>RADIOLOGY DEPARTMENT</t>
  </si>
  <si>
    <t>LOT 14</t>
  </si>
  <si>
    <t>= 60pkts</t>
  </si>
  <si>
    <t>ULTRASOUND GEL</t>
  </si>
  <si>
    <t>5L</t>
  </si>
  <si>
    <t>TOILET ROLL</t>
  </si>
  <si>
    <t>CONDOM</t>
  </si>
  <si>
    <t>BOXES</t>
  </si>
  <si>
    <t>FACE MASK</t>
  </si>
  <si>
    <t>UROGRAPHIN</t>
  </si>
  <si>
    <t>BLADDER SYRINGE 50ML</t>
  </si>
  <si>
    <t>REQUEST FORMS</t>
  </si>
  <si>
    <t>ENVELOPES LARGE (18" X 15")</t>
  </si>
  <si>
    <t>ENVELOPES MEDIUM (14" X 12")</t>
  </si>
  <si>
    <t>FILMS AGFA 14" X 17" DRYSTAR DT 5 B (DRY MEDICAL FILM) 7</t>
  </si>
  <si>
    <t>FILMS AGFA 10" x 12" DRYSTAR DT 5 B (DRY MEDICAL FILM) 5</t>
  </si>
  <si>
    <t>CARESTREAM DRY VIEW LASER IMAGING FILM 17" x 14"</t>
  </si>
  <si>
    <t>CARESTREAM DRY VIEW LASER IMAGING FILM 12" x 10"</t>
  </si>
  <si>
    <t>THEATRE DEPARTMENT</t>
  </si>
  <si>
    <t>SILK 1 CUTTING 1/2 CIRCLE (ETHICON)</t>
  </si>
  <si>
    <t>SILK 2/0 ROUND BODY 1/2 CIRCLE (ETHICON)</t>
  </si>
  <si>
    <t>SILK 2/0 CUTTING 1/2 CIRCLE (ETHICON)</t>
  </si>
  <si>
    <t>SILK 3/0 CUTTING 1/2 CIRCLE (ETHICON)</t>
  </si>
  <si>
    <t>NYLON 1 ROUND BODY 1/2 CIRCLE (ETHICON)</t>
  </si>
  <si>
    <t>NYLON 0 ROUND BODY 1/2 CIRCLE (ETHICON)</t>
  </si>
  <si>
    <t>SILK 3/0 ROUND BODY 1/2 CIRCLE (ETHICON)</t>
  </si>
  <si>
    <t>NYLON 2/0 CUTTING 1/2 CIRCLE (ETHICON)</t>
  </si>
  <si>
    <t>NYLON 4/0 CUTTING 1/2 CIRCLE</t>
  </si>
  <si>
    <t>NYLON 9/0 ROUND  BODY 1/2 CIRCLE (AURO LAB.)</t>
  </si>
  <si>
    <t>VICRYL 0 CUTTING 1/2 CIRCLE (ETHICON)</t>
  </si>
  <si>
    <t>VICRYL 0 R/BODY 1/2 CIRCLE (ETHICON)</t>
  </si>
  <si>
    <t>VICRYL 2/0 CUTTING 1/2 CIRCLE (ETHICON)</t>
  </si>
  <si>
    <t>VICRYL 1 CUTTING 1/2 CIRCLE (ETHICON)</t>
  </si>
  <si>
    <t>VICRYL 1 ROUND BODY 1/2 CIRCLE (ETHICON)</t>
  </si>
  <si>
    <t>VICRYL 2 R/BODY 1/2 CIRCLE (ETHICON)</t>
  </si>
  <si>
    <t>VICRYL 2/0 ROUND BODY 1/2 CIRCLE (ETHICON)</t>
  </si>
  <si>
    <t>VICRYL 3/0 CUTTING 1/2 CIRCLE (ETHICON)</t>
  </si>
  <si>
    <t>VICRYL 3/0 ROUND BODY 1/2 CIRCLE (ETHICON)</t>
  </si>
  <si>
    <t>VICRYL 4/0 ROUND BODY 1/2 CIRCLE (ETHICON)</t>
  </si>
  <si>
    <t xml:space="preserve"> VICRYL 6/0 ROUND BODY 1/2 CIRCLE (ETHICON)</t>
  </si>
  <si>
    <t>PROLENE MESH (B/BRAUN)</t>
  </si>
  <si>
    <t>DISPOSABLE CAPS (SILVER HEALTH CARE)</t>
  </si>
  <si>
    <t>GLUTARALDEHYDE CIDEX (ASP)</t>
  </si>
  <si>
    <t>CARAT SOAPS</t>
  </si>
  <si>
    <t>ENDOTRACHEAL TUBE SIZE 7.5 (DGL)</t>
  </si>
  <si>
    <t>FACE MASK (AGARY)</t>
  </si>
  <si>
    <t>PURIT 4 LITRE (SAROLIFE)</t>
  </si>
  <si>
    <t>SODALIME 5 LITRE (SPHERASORB)</t>
  </si>
  <si>
    <t>AIRWAYS ADULT SIZE</t>
  </si>
  <si>
    <t>MORNING FRESH LIQUID 475MLS (PZ)</t>
  </si>
  <si>
    <t>O SHINE LIQUID SOAPS 4 LITRE</t>
  </si>
  <si>
    <t>COMBI 2 (URS - 2P)</t>
  </si>
  <si>
    <t>AUTOCLAVE TAPES (B-10)</t>
  </si>
  <si>
    <t>DISPOSABLE THEATRE GOWN</t>
  </si>
  <si>
    <t>SMALLEST BATTERY AAA (DURACELL)</t>
  </si>
  <si>
    <t>SMALL BATTERY R6 (DURACELL)</t>
  </si>
  <si>
    <t>EPIDURAL SETS (PORTEX)</t>
  </si>
  <si>
    <t>PIECE</t>
  </si>
  <si>
    <t>BOTTLE</t>
  </si>
  <si>
    <t>LABORATORY DEPARTMENT - HAEMATOLOGY</t>
  </si>
  <si>
    <t>1 pack of 100</t>
  </si>
  <si>
    <t>2 pcs</t>
  </si>
  <si>
    <t>6 pcs</t>
  </si>
  <si>
    <t>10 pcs</t>
  </si>
  <si>
    <t>5 pcs</t>
  </si>
  <si>
    <t>4 pcs</t>
  </si>
  <si>
    <t>1 pack of 10</t>
  </si>
  <si>
    <t>1 cnt of 10</t>
  </si>
  <si>
    <t>1 pack of 50</t>
  </si>
  <si>
    <t>1 pack of 96</t>
  </si>
  <si>
    <t>30 pcs</t>
  </si>
  <si>
    <t>6 packs</t>
  </si>
  <si>
    <t>1 pc</t>
  </si>
  <si>
    <t>1cnt of 50</t>
  </si>
  <si>
    <t>1 pack of 20L</t>
  </si>
  <si>
    <t>M-53-LEO (I) LYSE (BC-5300) 1L</t>
  </si>
  <si>
    <t>1 cnt of 1</t>
  </si>
  <si>
    <t>1 cnt x 40</t>
  </si>
  <si>
    <t>1 bottle of 50</t>
  </si>
  <si>
    <t>1 bottle</t>
  </si>
  <si>
    <t>M-53 PROBE CLEANSER (BC-5300) 50ML</t>
  </si>
  <si>
    <t>1 pkt of 12</t>
  </si>
  <si>
    <t>1 packs of 6</t>
  </si>
  <si>
    <t>PASTURE PIPETTE (DISPOSABLE)</t>
  </si>
  <si>
    <t>AUTOMATIC MICRO PIPETTE ADJUSTABLE 0-100ML</t>
  </si>
  <si>
    <t>AUTOMATIC MICRO PIPETTE ADJUSTABLE 1000 - 5000ML</t>
  </si>
  <si>
    <t>AUTOMATIC MICRO PIPETTE ADJUSTABLE 5 - 50ML</t>
  </si>
  <si>
    <t>WASH BOTTLES PLASTIC (BIG) 1L</t>
  </si>
  <si>
    <t>BEAKER 500ML PYREX GLASS</t>
  </si>
  <si>
    <t>NON-DIGITAL LAB. THERMOMETER</t>
  </si>
  <si>
    <t>ELASTIC TORNIQUETS</t>
  </si>
  <si>
    <t>ELECTRONIC THERMOMETER</t>
  </si>
  <si>
    <t>DIFFERENTIAL COUNTER-7</t>
  </si>
  <si>
    <t>FIN TIPS (BLUE) (0 - 100ML)</t>
  </si>
  <si>
    <t>STOP WATCH</t>
  </si>
  <si>
    <t>B. D VACUTAINER NEEDLE (21 x 0.8 x 32ML)</t>
  </si>
  <si>
    <t>LABORATORY TIMER</t>
  </si>
  <si>
    <t>ANTI-A (BIOTEC) (10ML)</t>
  </si>
  <si>
    <t>ANTI-B (BIOTEC) (10ML)</t>
  </si>
  <si>
    <t>ANTI-A+B (BIOTEC) (10ML)</t>
  </si>
  <si>
    <t>ANTI-D (BIOTEC) (10ML)</t>
  </si>
  <si>
    <t>ANTI-HUMAN GLOBULIN (10ML)</t>
  </si>
  <si>
    <t>30% BOVINE ALBUMIN</t>
  </si>
  <si>
    <t>BLOOD BAG (PAED) CPDAL (AXIOM)</t>
  </si>
  <si>
    <t>HEPATITIS B SCREENING RAPID KIT</t>
  </si>
  <si>
    <t>VDRL SCREENING RAPID KIT</t>
  </si>
  <si>
    <t>ELISA VDRL SCREENING KIT</t>
  </si>
  <si>
    <t>METHANOL (2.5L) (HONEY WELL)</t>
  </si>
  <si>
    <t>FILTER PAPER (150MM) (WHATMAN)</t>
  </si>
  <si>
    <t>WESTER GREEN TUBE/CUP</t>
  </si>
  <si>
    <t>GLASS SLIDES</t>
  </si>
  <si>
    <t>CELLULOSE ACETATE PAPER - TITIAN</t>
  </si>
  <si>
    <t>HIV I &amp; II SCREENING RAPID KIT</t>
  </si>
  <si>
    <t>HEPATITIS C SCREENING RAPID KIT</t>
  </si>
  <si>
    <t>POUCEAU'S STAIN POWDER (25G)</t>
  </si>
  <si>
    <t>PLAIN CAPILLARY TUBE</t>
  </si>
  <si>
    <t>HEPARINIZED CAPILLARY TUBE</t>
  </si>
  <si>
    <t>COVER SLIPS (22MM x 22MM)</t>
  </si>
  <si>
    <t>ELISA HIV I &amp; II SCREENING KIT</t>
  </si>
  <si>
    <t>ELISA HEPATITIS B SCREENING KIT</t>
  </si>
  <si>
    <t>ELISA HEPATITIS C SCREENING KIT</t>
  </si>
  <si>
    <t>CELL PACK DCL (C1661628) 20L</t>
  </si>
  <si>
    <t>CELL CLEAN (83401621) 50ML</t>
  </si>
  <si>
    <t>FLUOROCELL IVDF (CV377552) 42ML</t>
  </si>
  <si>
    <t>LYSERCELL WDF (AL337564) 5L</t>
  </si>
  <si>
    <t>SULFOLYSER (90411317) 500ML</t>
  </si>
  <si>
    <t>INNOVIN (B42182-40) 4ML</t>
  </si>
  <si>
    <t>ACTIN FS (B4218-20) 4ML</t>
  </si>
  <si>
    <t>C2 - TROL 2E (291071) 1ML</t>
  </si>
  <si>
    <t>CALCIUM CHLORIDE (OR H037) 25ML</t>
  </si>
  <si>
    <t>SUL-400A CUVETTE FL (AG405069)</t>
  </si>
  <si>
    <t>M-53D DILUENT (BC-5300) 20L</t>
  </si>
  <si>
    <t>M-53-LEO (II) LYSE (BC-5300) 400ML</t>
  </si>
  <si>
    <t>M53 LH LYSE (BC-5300) 500ML</t>
  </si>
  <si>
    <t>M-53 CLEANSER (BC-5300) 1 LITRE</t>
  </si>
  <si>
    <t>CONTROL XN CHECK L1 (213484) 3ML</t>
  </si>
  <si>
    <t>CONTROL XN CHECK L2 (213485) 3ML</t>
  </si>
  <si>
    <t>CONTROL XN CHECK L3 (213486) 3ML</t>
  </si>
  <si>
    <t>CDC-5MR CONTROL (BC-5300)</t>
  </si>
  <si>
    <t>BLOOD BAG (ADULT) CPDAL (AXIOM)</t>
  </si>
  <si>
    <t>TRIS BUFFER POWDER</t>
  </si>
  <si>
    <t>LEISHMAN STAIN POWDER (25G)</t>
  </si>
  <si>
    <t>MALACHITE GREEN STAIN</t>
  </si>
  <si>
    <t>NEW METHYLENE BLUE STAIN (25G)</t>
  </si>
  <si>
    <t>SODIUM CHLORIDE POWDER (500MG)</t>
  </si>
  <si>
    <t>EDTA VACUTAINER BOTTLE</t>
  </si>
  <si>
    <t>PLAIN VACUTAINER BOTTLES</t>
  </si>
  <si>
    <t>PAEDIATRIC EDTA VAC. BOTTLES</t>
  </si>
  <si>
    <t>CITRATE VACUTAINER BOTTLES</t>
  </si>
  <si>
    <t>KHAN TUBES</t>
  </si>
  <si>
    <t>EPPENDORF TUBE</t>
  </si>
  <si>
    <t>LIQUID SOAP (500ML)</t>
  </si>
  <si>
    <t>GREASE PENCILS</t>
  </si>
  <si>
    <t>BODY THERMOMETER</t>
  </si>
  <si>
    <t>DIGITAL WEIGHING BALANCE</t>
  </si>
  <si>
    <t>DIGITAL SPHYGMOMANOMETER (OMRON)</t>
  </si>
  <si>
    <t>VACUTAINER HOLDER</t>
  </si>
  <si>
    <t>GROUPING TILES</t>
  </si>
  <si>
    <t>PCV TRAY</t>
  </si>
  <si>
    <t>TENNIS BALLS</t>
  </si>
  <si>
    <t>CALCIUM RABIT BRAIN THROMBOPLASTIN</t>
  </si>
  <si>
    <t>KAOLIN PLATELET SUBSTITUTE</t>
  </si>
  <si>
    <t>BLOOD WEIGHING SCALE</t>
  </si>
  <si>
    <t>PLASTIC SLIDE BOX</t>
  </si>
  <si>
    <t>INSULATED BLOOD BOX</t>
  </si>
  <si>
    <t>ICE PACK CONTAINER</t>
  </si>
  <si>
    <t>LOT 15</t>
  </si>
  <si>
    <t>LOT 16</t>
  </si>
  <si>
    <t>LABORATORY DEPARTMENT - HISTOPATHOLOGY</t>
  </si>
  <si>
    <t>LOT 17</t>
  </si>
  <si>
    <r>
      <t>C</t>
    </r>
    <r>
      <rPr>
        <b/>
        <vertAlign val="subscript"/>
        <sz val="18"/>
        <color theme="1"/>
        <rFont val="Calibri"/>
        <family val="2"/>
        <scheme val="minor"/>
      </rPr>
      <t>1</t>
    </r>
    <r>
      <rPr>
        <b/>
        <sz val="18"/>
        <color theme="1"/>
        <rFont val="Calibri"/>
        <family val="2"/>
        <scheme val="minor"/>
      </rPr>
      <t xml:space="preserve"> - TROL 1E (291070) 1ML</t>
    </r>
  </si>
  <si>
    <t>Bottle (2.5L)</t>
  </si>
  <si>
    <t>1 bottle (25G)</t>
  </si>
  <si>
    <t>1 keg (40 Ltrs)</t>
  </si>
  <si>
    <t>1 Carton (40packs)</t>
  </si>
  <si>
    <t>1 bottle (2.5L)</t>
  </si>
  <si>
    <t>1Carton (10x100)</t>
  </si>
  <si>
    <t>1 Carton (10x100)</t>
  </si>
  <si>
    <t>1 pack (50pcs)</t>
  </si>
  <si>
    <t>1 pack (20pcs)</t>
  </si>
  <si>
    <t>1 bottle (1 liter)</t>
  </si>
  <si>
    <t>1 pack (5 x25KG SLAB</t>
  </si>
  <si>
    <t>1 bag (25KG)</t>
  </si>
  <si>
    <t>1 Carton (24pcs)</t>
  </si>
  <si>
    <t>1Bottle (20MLS)</t>
  </si>
  <si>
    <t>DD FORCE</t>
  </si>
  <si>
    <t>1 Carton (12 x 1 litre)</t>
  </si>
  <si>
    <t>1 Carton (10pcs)</t>
  </si>
  <si>
    <t>1 Carton (50x10)</t>
  </si>
  <si>
    <t>1 pack (25pcs) Medium</t>
  </si>
  <si>
    <t>1 piece</t>
  </si>
  <si>
    <t>1 bottle (500MLS)</t>
  </si>
  <si>
    <t>1 Drum (200 LTRS</t>
  </si>
  <si>
    <t>1 bottle (500g)</t>
  </si>
  <si>
    <t>1 Carton (10 x500ml)</t>
  </si>
  <si>
    <t>1 pair</t>
  </si>
  <si>
    <t>XYLINE</t>
  </si>
  <si>
    <t>1 Drum (200 LTRS)</t>
  </si>
  <si>
    <t>1 pack of 5 Slides</t>
  </si>
  <si>
    <t>1 pack (12pcs)</t>
  </si>
  <si>
    <t>1 bottle (500mls)</t>
  </si>
  <si>
    <t>1 keg (1liter)</t>
  </si>
  <si>
    <t>1 carton (12 x 500mls)</t>
  </si>
  <si>
    <t>1 bottle (500ml)</t>
  </si>
  <si>
    <t>1 Carton (100pcs)</t>
  </si>
  <si>
    <t>SLIDE TRAY</t>
  </si>
  <si>
    <t>1 bottle (6pcs)</t>
  </si>
  <si>
    <t>1 pack (10pcs)</t>
  </si>
  <si>
    <t>1 Pack of 500 pcs</t>
  </si>
  <si>
    <t>500ml</t>
  </si>
  <si>
    <t>25g</t>
  </si>
  <si>
    <t>500mls</t>
  </si>
  <si>
    <t>ACETIC</t>
  </si>
  <si>
    <t>ACETONE</t>
  </si>
  <si>
    <t>CRESYL VIOLET</t>
  </si>
  <si>
    <t>FORMALIN</t>
  </si>
  <si>
    <t>FROSTED END SLIDE</t>
  </si>
  <si>
    <t>GLACIAL ACETIC ACID</t>
  </si>
  <si>
    <t>GLASS COVER SLIPS 22 x 32</t>
  </si>
  <si>
    <t>GLASS COVER SLIPS 22x40</t>
  </si>
  <si>
    <t>GLASS COVER SLIPS 22x50</t>
  </si>
  <si>
    <t>HYDROCHLORIC ACID (HCL)</t>
  </si>
  <si>
    <t>METHANOL</t>
  </si>
  <si>
    <t>MICROTOME BLADE</t>
  </si>
  <si>
    <t>NYLON APRON (DISPOSABLE)</t>
  </si>
  <si>
    <t>OIL IMMERSION 100ML</t>
  </si>
  <si>
    <t>ORANGE G 6 (OG6)</t>
  </si>
  <si>
    <t>PARAFFIN WAX</t>
  </si>
  <si>
    <t>POWDERED FORMALIN</t>
  </si>
  <si>
    <t>TISSUE PAPER</t>
  </si>
  <si>
    <t>CYTOFIX SOLUTION</t>
  </si>
  <si>
    <t>DELTA FORCE</t>
  </si>
  <si>
    <t>FACE MASK SURGICAL</t>
  </si>
  <si>
    <t>FILTER PAPER</t>
  </si>
  <si>
    <t>FORCEPS NON TOOTHED</t>
  </si>
  <si>
    <t>FORCEPS TOOTHED</t>
  </si>
  <si>
    <t>HARPIC</t>
  </si>
  <si>
    <t>I P A ALCOHOL</t>
  </si>
  <si>
    <t>IRON SPONGE</t>
  </si>
  <si>
    <t>POTASSIUM ALUM</t>
  </si>
  <si>
    <t>SNAPER</t>
  </si>
  <si>
    <t>THICK RED RUBBER GLOVES</t>
  </si>
  <si>
    <t>CONGO</t>
  </si>
  <si>
    <t>COUPLING JAR</t>
  </si>
  <si>
    <t>EMBEDDING MOULD STAINLESS</t>
  </si>
  <si>
    <t>EOSIN ESURE (EA 360R 50)</t>
  </si>
  <si>
    <t>IZAL</t>
  </si>
  <si>
    <t>LIQUID SOAPS</t>
  </si>
  <si>
    <t>MOUNTANT DPX</t>
  </si>
  <si>
    <t>PLASTIC DISPOSABLE SPECULUM</t>
  </si>
  <si>
    <t>EYES CAP</t>
  </si>
  <si>
    <t>NAME LABEL (MORTUARY)</t>
  </si>
  <si>
    <t>UNIVERSAL CONTAINERS</t>
  </si>
  <si>
    <t>CITRIC ACID</t>
  </si>
  <si>
    <t>CHLORALHYDRATE</t>
  </si>
  <si>
    <t>SODIUM IODATE</t>
  </si>
  <si>
    <t>POTASSIUM FERROCYANIDE</t>
  </si>
  <si>
    <t>SCHIFF REGENT</t>
  </si>
  <si>
    <t>PERIODIC ACID</t>
  </si>
  <si>
    <t>ACID FUCHSIN</t>
  </si>
  <si>
    <t>PONCEAN 2R</t>
  </si>
  <si>
    <t>FERRIC ACID</t>
  </si>
  <si>
    <t>LIGHT GREEN ANITINE BLUE</t>
  </si>
  <si>
    <t>HEAMATOXYLIN</t>
  </si>
  <si>
    <t xml:space="preserve">EOSIN  </t>
  </si>
  <si>
    <t>LABORATORY DEPARTMENT - MICROBIOLOGY</t>
  </si>
  <si>
    <t>1 cartoon (500)</t>
  </si>
  <si>
    <t>1 cartoon of 24 pieces</t>
  </si>
  <si>
    <t>1 pack of 50 kit</t>
  </si>
  <si>
    <t>1 bottle of 2.5L</t>
  </si>
  <si>
    <t>1 bottle of 500g</t>
  </si>
  <si>
    <t>1 bottle of500g</t>
  </si>
  <si>
    <t>1 cartoon of 500pieces</t>
  </si>
  <si>
    <t>1 cartoon 1000pieces</t>
  </si>
  <si>
    <t>1 cartoon 500pieces</t>
  </si>
  <si>
    <t>1 pack of 100 tests</t>
  </si>
  <si>
    <t>1 box (8 bottle)</t>
  </si>
  <si>
    <t>1 bottle of 1000</t>
  </si>
  <si>
    <t>1 bottle of (2L)</t>
  </si>
  <si>
    <t>1 pack of 25kit</t>
  </si>
  <si>
    <t>1 bottle of 25g</t>
  </si>
  <si>
    <t>1 bottle of 2ml</t>
  </si>
  <si>
    <t>1 pack of 1000pieces</t>
  </si>
  <si>
    <t>100 x 10 pieces</t>
  </si>
  <si>
    <t>8pack x 50 pieces</t>
  </si>
  <si>
    <t>1 cartoon (144)pieces</t>
  </si>
  <si>
    <t>1 pack (20 roll)</t>
  </si>
  <si>
    <t>1 pack of 72pieces</t>
  </si>
  <si>
    <t>1 pack of 12pieces</t>
  </si>
  <si>
    <t>1 pack of 100pieces</t>
  </si>
  <si>
    <t>1 bottle of 2L</t>
  </si>
  <si>
    <t>1 bottle of 250g</t>
  </si>
  <si>
    <t>1 x 10 pieces</t>
  </si>
  <si>
    <t>1 pack (8pcs)</t>
  </si>
  <si>
    <t>1 box (10 x 50) pieces</t>
  </si>
  <si>
    <t>1 pack (25 pcs)</t>
  </si>
  <si>
    <t>ANTIBIOTICS SENSITIVITY DISCS</t>
  </si>
  <si>
    <t>REAGENTS/KITS</t>
  </si>
  <si>
    <t>LIQUID SOAP</t>
  </si>
  <si>
    <t>HAND SANITIZER</t>
  </si>
  <si>
    <t>HEPATITIS B</t>
  </si>
  <si>
    <t>HCV (HEPATITIS C)</t>
  </si>
  <si>
    <t>VDRL SCREENING KIT</t>
  </si>
  <si>
    <t>ETHANOL</t>
  </si>
  <si>
    <t>BLOOD AGAR BASE</t>
  </si>
  <si>
    <t>CLED AGAR</t>
  </si>
  <si>
    <t>MACCONKEY AGAR</t>
  </si>
  <si>
    <t>NUTRIENT AGAR</t>
  </si>
  <si>
    <t>MULLER HINTON AGAR</t>
  </si>
  <si>
    <t>NUTRIENT BROTH AGAR</t>
  </si>
  <si>
    <t>PEPTONE POWDER AGAR</t>
  </si>
  <si>
    <t>SALMONELLA SHIGELLAR AGAR</t>
  </si>
  <si>
    <t>SWAB STICKS</t>
  </si>
  <si>
    <t>STERILE URINE BOTTLE</t>
  </si>
  <si>
    <t>WIDE MOUTH BOTTLE STERILE</t>
  </si>
  <si>
    <t>SIMON CITRATE AGAR</t>
  </si>
  <si>
    <t>TRIPLE SUGAR IRON AGAR</t>
  </si>
  <si>
    <t>HAEMA SCREEN</t>
  </si>
  <si>
    <t>UREA SALT AGAR</t>
  </si>
  <si>
    <t>WIDAL KIT</t>
  </si>
  <si>
    <t>THIOGLYCOLLATE BROTH AGAR</t>
  </si>
  <si>
    <t>TSI AGAR</t>
  </si>
  <si>
    <t>UREA AGAR BASE</t>
  </si>
  <si>
    <t>IODINE CRYSTALS</t>
  </si>
  <si>
    <t>POTASSIUM IODINE</t>
  </si>
  <si>
    <t>POTASSIUM HYDROXIDE 2L</t>
  </si>
  <si>
    <t>PHENOL CRYSTALS</t>
  </si>
  <si>
    <t>CARE START MALARIA SCREENING KIT</t>
  </si>
  <si>
    <t>GIEM STAIN POWDER</t>
  </si>
  <si>
    <t>CRYSTAL VIOLET POWDER</t>
  </si>
  <si>
    <t>PPD PROTEIN TUBERCULIN</t>
  </si>
  <si>
    <t>APPLICATOR STICK</t>
  </si>
  <si>
    <t>COVERSLIPS (22MM)</t>
  </si>
  <si>
    <t>PLAIN VACUTAINER BOTTLE</t>
  </si>
  <si>
    <t>BIJOU BOTTLES</t>
  </si>
  <si>
    <t>PLASTIC PETRI DISHES</t>
  </si>
  <si>
    <t>GLASS SLIDE</t>
  </si>
  <si>
    <t>FROOSTED SLIDE</t>
  </si>
  <si>
    <t>IMMERSION OIL</t>
  </si>
  <si>
    <t>FIN TIPS</t>
  </si>
  <si>
    <t>GREASE PENCIL</t>
  </si>
  <si>
    <t>BCG NEEDLES</t>
  </si>
  <si>
    <t>GLYCERINE</t>
  </si>
  <si>
    <t>EOSIN (COLOUR INDEX 45380)</t>
  </si>
  <si>
    <t>NIGROSIN (COLOUR INDEX 50420)</t>
  </si>
  <si>
    <t>NEUBAR COUNTING CHAMBER</t>
  </si>
  <si>
    <t>SALMONELLA TYPING SERA</t>
  </si>
  <si>
    <t>E COLI TYPING SERA</t>
  </si>
  <si>
    <t>OXIDSE REAGENT</t>
  </si>
  <si>
    <t>LENS TISSUE</t>
  </si>
  <si>
    <t>HEPATITIS PROFILE SCREENING KITS</t>
  </si>
  <si>
    <t>LOT 18</t>
  </si>
  <si>
    <t>CEFTRIAZONE</t>
  </si>
  <si>
    <t>AMOXICILLIN</t>
  </si>
  <si>
    <t>ERYTHROMYCIN</t>
  </si>
  <si>
    <t>GENTAMYCIN</t>
  </si>
  <si>
    <t>IMIPENEM</t>
  </si>
  <si>
    <t>CIPROFLOXACIN</t>
  </si>
  <si>
    <t>CEFUROSIME</t>
  </si>
  <si>
    <t>CEFTAZIDIME</t>
  </si>
  <si>
    <t>CEFOXITIN</t>
  </si>
  <si>
    <t>AUGMENTIN</t>
  </si>
  <si>
    <t>MEROPENEM</t>
  </si>
  <si>
    <t>OPTOCHIN DISC</t>
  </si>
  <si>
    <t>BACITRACIN</t>
  </si>
  <si>
    <t>ACETIC ACID</t>
  </si>
  <si>
    <t>TALLY COUNTERS</t>
  </si>
  <si>
    <t>ANTIBIOTICS DISC DISPENSER</t>
  </si>
  <si>
    <t>INFECTION CONTROL</t>
  </si>
  <si>
    <t>HAND WASHING SOAP (500MLS)</t>
  </si>
  <si>
    <t>12 PCS/CARTON</t>
  </si>
  <si>
    <t>INJECTION SAFETY BOX</t>
  </si>
  <si>
    <t>MEDICAL WASTE BIN LINERS-RED</t>
  </si>
  <si>
    <t>MEDICAL WASTE BIN LINERS-YELLOW</t>
  </si>
  <si>
    <t>MEDICAL WASTE BIN LINERS-BLACK</t>
  </si>
  <si>
    <t>UTILITY GLOVES</t>
  </si>
  <si>
    <t>NOSE MASK</t>
  </si>
  <si>
    <t>25/CARTON</t>
  </si>
  <si>
    <t>100/PACK</t>
  </si>
  <si>
    <t>LABORATORY DEPARTMENT - CHEMICAL PATHOLOGY</t>
  </si>
  <si>
    <t>LOT 19</t>
  </si>
  <si>
    <t>6*15ml</t>
  </si>
  <si>
    <t>6*30ml</t>
  </si>
  <si>
    <t>2*100ml</t>
  </si>
  <si>
    <t>1*300ml</t>
  </si>
  <si>
    <t>Urease</t>
  </si>
  <si>
    <t>10*100ml</t>
  </si>
  <si>
    <t>1*100pcs</t>
  </si>
  <si>
    <t>1*25</t>
  </si>
  <si>
    <t>20*25ml</t>
  </si>
  <si>
    <t>1*100ml</t>
  </si>
  <si>
    <t>1*5 PACKS</t>
  </si>
  <si>
    <t>30ml</t>
  </si>
  <si>
    <t>20*5ml</t>
  </si>
  <si>
    <t>1*20</t>
  </si>
  <si>
    <t>1*10</t>
  </si>
  <si>
    <t>1*500</t>
  </si>
  <si>
    <t>1*1000</t>
  </si>
  <si>
    <t>10-100ul</t>
  </si>
  <si>
    <t>100-1000ul</t>
  </si>
  <si>
    <t>1-5ul</t>
  </si>
  <si>
    <t>Roll</t>
  </si>
  <si>
    <t>500g</t>
  </si>
  <si>
    <t>100ml</t>
  </si>
  <si>
    <t>96 wells</t>
  </si>
  <si>
    <t>RIGLYCERIDE KIT (RANDOX)</t>
  </si>
  <si>
    <t>CHOLESTEROL KIT (RANDOX)</t>
  </si>
  <si>
    <t>CALCIUM KIT (RANDOX)</t>
  </si>
  <si>
    <t>PHOSPHORUS KIT (SFRI)</t>
  </si>
  <si>
    <t>UREA KIT (RANDOX)</t>
  </si>
  <si>
    <t>CREATININE KIT (QCA)</t>
  </si>
  <si>
    <t>ASPARTATE TRANSFERASE KIT (RANDOX)</t>
  </si>
  <si>
    <t>ALANINE TRANSFERASE KIT (RANDOX)</t>
  </si>
  <si>
    <t>ALKALINE PHOSPHATE KIT (TECO)</t>
  </si>
  <si>
    <t>GLUCOSE KIT (RANDOX)</t>
  </si>
  <si>
    <t>COMBI 10 URINE STRIP (UNISCREEN)</t>
  </si>
  <si>
    <t>PREGNANCY TEST CASSETTE (LABMAN)</t>
  </si>
  <si>
    <t>ION SELECTIVE ELECTRODE (ISE) REAGENT PACK (ISE 6000)</t>
  </si>
  <si>
    <t>MULTISERA CONTROL LEVEL 3 (RANDOX)</t>
  </si>
  <si>
    <t>HDL CHOLESTEROL KIT (RANDOX)</t>
  </si>
  <si>
    <t>CALIBRATOR (ISE 6000)</t>
  </si>
  <si>
    <t>CLEANING SOLUTION (ISE 6000)</t>
  </si>
  <si>
    <t>ALBUMIN KIT (RANDOX)</t>
  </si>
  <si>
    <t>URIC ACID KIT (RANDOX)</t>
  </si>
  <si>
    <t>MULTISERA CONTROL LEVEL 2 (RANDOX)</t>
  </si>
  <si>
    <t>PROSTRATE SPECIFIC ANTIGEN (PSA) (SELEX ONCATRIDGE)</t>
  </si>
  <si>
    <t>PROGESTERONE (ICHROMACATRIDGE)</t>
  </si>
  <si>
    <t>LEUTENIZING HORMONE (LH) (ICHROMACARTRIDGE)</t>
  </si>
  <si>
    <t>FOLLICLE STIMULATING HORMONE (FSH) (ICHROMACARTRIDGE)</t>
  </si>
  <si>
    <t>PROLACTIN (PRL) (ICHROMACARTRIDGE)</t>
  </si>
  <si>
    <t>THYROID STIMULATING HORMONE (TSH) SELEXONCARTRIDGE</t>
  </si>
  <si>
    <t>TETRA-IODOTHYRONINE/THYROXINE (T4) (SELEXONCARTRIDGE)</t>
  </si>
  <si>
    <t>GLYCOSYLATED HAEMOGLOBIN (HbA1c) (COVER A1c CARTRIDGES)</t>
  </si>
  <si>
    <t>TRI-IODOTHYRONINE (T3) (SELEXOCARTRIDGES)</t>
  </si>
  <si>
    <t>MICROALBUMIN (ICHROMACARTRIDGES)</t>
  </si>
  <si>
    <t>TESTOSTERONE (ICHROMACARTRIDGES)</t>
  </si>
  <si>
    <t xml:space="preserve">100ul FIN PIPETTE TIPS (YELLOW) </t>
  </si>
  <si>
    <t>1000ul FIN PIPETTE TIPS (BLUE)</t>
  </si>
  <si>
    <t>5ML PLAIN VACUUM TUBE (SILVER HEALTH DIAGNOSTIC)</t>
  </si>
  <si>
    <t>5ML HEPARIN VACUUM TUBE (SILVER HEALTH DIAGNOSTIC)</t>
  </si>
  <si>
    <t>UNIVERSAL PLASTIC BOTTLES  (SILVER HEALTH DIAGNOSTIC)</t>
  </si>
  <si>
    <t>ADJUSTABLE MICROPIPETTE (HITECH)</t>
  </si>
  <si>
    <t>SODIUM POTASSIUM TARTRATE (BDH)</t>
  </si>
  <si>
    <t>SODIUM BENZOATE(BDH)</t>
  </si>
  <si>
    <t>CAFFEINE (BDH)</t>
  </si>
  <si>
    <t>PRINTING PAPER (ISE 6000)</t>
  </si>
  <si>
    <t>5ML FLUORIDE VACUUM TUBE (SILVER HEALTH DIAGNOSTIC)</t>
  </si>
  <si>
    <t>5ML EDTA VACUUM TUBE (SILVER HEALTH DIAGNOSTIC)</t>
  </si>
  <si>
    <t>SODIUM HYDROXIDE (BDH)</t>
  </si>
  <si>
    <t>LIQUID SOAP (ZENON)</t>
  </si>
  <si>
    <t>HAND SANITIZER (STERLINK)</t>
  </si>
  <si>
    <t>THYROID STIMULATING HORMONE (ELISA KIT) (MONOBIND)</t>
  </si>
  <si>
    <t>FREE T3 - ELISA KIT (MONOBIND)</t>
  </si>
  <si>
    <t>FREE T4 - ELISA KIT (MONOBIND)</t>
  </si>
  <si>
    <t>PROSTRATE SPECIFIC ANTIGEN - ELISA KIT (MONOBIND)</t>
  </si>
  <si>
    <t>PROGESTERONE - ELISA KIT (MONOBIND)</t>
  </si>
  <si>
    <t>ESTRADIOL - ELISA KIT (MONOBIND)</t>
  </si>
  <si>
    <t>PROLACTIN - ELISA KIT (MONOBIND)</t>
  </si>
  <si>
    <t>LEUTINIZING HORMONE - ELISA KIT (MONOBIND)</t>
  </si>
  <si>
    <t>FOLLICLE STIMULATING HORMONE - ELISA KIT (MONOBIND)</t>
  </si>
  <si>
    <t>FREE PSA - ELISA KIT (MONOBIND)</t>
  </si>
  <si>
    <t>LABORATORY DEPARTMENT - OOUTH ANNEXES</t>
  </si>
  <si>
    <t>SHAJE ANNEX</t>
  </si>
  <si>
    <t>1 x 10 pcs</t>
  </si>
  <si>
    <t>1 x 50 pcs</t>
  </si>
  <si>
    <t>1 x 25</t>
  </si>
  <si>
    <t>1 x 100 pcs</t>
  </si>
  <si>
    <t>1 x 400 pcs</t>
  </si>
  <si>
    <t>1 x 200 pcs</t>
  </si>
  <si>
    <t>-</t>
  </si>
  <si>
    <t>1 x 1000 pcs</t>
  </si>
  <si>
    <t>ANTI SERA A (BIOTECH)</t>
  </si>
  <si>
    <t>ANTI SERA B  (BIOTECH)</t>
  </si>
  <si>
    <t>ANTI SERA A+B  (BIOTECH)</t>
  </si>
  <si>
    <t>ANTI SERA D  (BIOTECH)</t>
  </si>
  <si>
    <t>HEPATITIS B KITS (DIASPOT)</t>
  </si>
  <si>
    <t>HEPATITIS C KITS (DIASPOT)</t>
  </si>
  <si>
    <t>VDRL KITS (DIASPOT)</t>
  </si>
  <si>
    <t>PREGNANCY TEST CASSETTE (BIO-CHECK)</t>
  </si>
  <si>
    <t>COMBI 10 URINE STRIPS (RAPID LAB)</t>
  </si>
  <si>
    <t>UNIVERSAL PLASTIC BOTTLE (SILVER HEALTH)</t>
  </si>
  <si>
    <t>BLOOD LANCET (SILVER HEALTH)</t>
  </si>
  <si>
    <t>WIDAL KIT (CROMA TEST)</t>
  </si>
  <si>
    <t>WHATMAN FILTER PAPER (WHATMAN)</t>
  </si>
  <si>
    <t>EDTA VACUTAINER BOTTLE (MICROPOINT)</t>
  </si>
  <si>
    <t>Packs</t>
  </si>
  <si>
    <t>Cartons</t>
  </si>
  <si>
    <t>Pcs</t>
  </si>
  <si>
    <t>Pkts</t>
  </si>
  <si>
    <t>Bottles</t>
  </si>
  <si>
    <t>Pkt (10)</t>
  </si>
  <si>
    <t>Pack</t>
  </si>
  <si>
    <t>Pkt</t>
  </si>
  <si>
    <t>1 x 10</t>
  </si>
  <si>
    <t>Bottle</t>
  </si>
  <si>
    <t>Carton</t>
  </si>
  <si>
    <t>Box</t>
  </si>
  <si>
    <t>packs</t>
  </si>
  <si>
    <t>OBADA ANNEX</t>
  </si>
  <si>
    <t>RDT FOR MALARIA PARASITE (CARESTART)</t>
  </si>
  <si>
    <t>EDTA BOTTLES</t>
  </si>
  <si>
    <t>UNIVERSAL PLASTIC BOTTLES (FOR URINE)</t>
  </si>
  <si>
    <t>HbsAG KITS (LAB CON)</t>
  </si>
  <si>
    <t>HCV KIT (LAB CON)</t>
  </si>
  <si>
    <t>HIV KITS</t>
  </si>
  <si>
    <t>LANCET</t>
  </si>
  <si>
    <t>VDRL (BIO CHECK)</t>
  </si>
  <si>
    <t>LEISHMAN STAINER POWDER 25g</t>
  </si>
  <si>
    <t>ANTISERA A</t>
  </si>
  <si>
    <t>ANTISERA B</t>
  </si>
  <si>
    <t>ANTISERA AB</t>
  </si>
  <si>
    <t>ANTISERA D</t>
  </si>
  <si>
    <t>ANTI HUMAN GLOBULIN (AHG)</t>
  </si>
  <si>
    <t>FROSTED GLASS SLIDE</t>
  </si>
  <si>
    <t>CELLULOSE ACETATE PAPER</t>
  </si>
  <si>
    <t>PIPETTE TIPS YELLOW (10 - 100)</t>
  </si>
  <si>
    <t>PIPETTE TIPS BLUE (100 - 1000)</t>
  </si>
  <si>
    <t>STOP CLOCK</t>
  </si>
  <si>
    <t>UNIGOLD FOR HIV</t>
  </si>
  <si>
    <t>STAR PACK FOR HIV</t>
  </si>
  <si>
    <t>COVER SLIP</t>
  </si>
  <si>
    <t>METHANOL (2.5 LITRE)</t>
  </si>
  <si>
    <t>PLASTERCINE</t>
  </si>
  <si>
    <t>FIELDS STAIN A (25g)</t>
  </si>
  <si>
    <t>FIELDS STAIN B (25g)</t>
  </si>
  <si>
    <t>GIEMSA STAIN 25g</t>
  </si>
  <si>
    <t>MISSION HAEMOGLOBIN TEST STRIP</t>
  </si>
  <si>
    <t>NUTRIENTS AGAR</t>
  </si>
  <si>
    <t>DISPOSABLE PETRI DISH</t>
  </si>
  <si>
    <t>SWAB STICK</t>
  </si>
  <si>
    <t>MULTI DISC GRAM POSITIVE</t>
  </si>
  <si>
    <t>MULTI DISC GRAM NEGATIVE</t>
  </si>
  <si>
    <t>5ML GLASS TUBES</t>
  </si>
  <si>
    <t>MEASURING CYLINDER (GLASS) 100ML</t>
  </si>
  <si>
    <t>MEASURING CYLINDER (GLASS) 250ML</t>
  </si>
  <si>
    <t>MEASURING CYLINDER (GLASS) 500ML</t>
  </si>
  <si>
    <t>MEASURING CYLINDER (GLASS) 1000ML</t>
  </si>
  <si>
    <t>NEW IMPROVED NEUBER COUNTING CHAMBER (CRYSTALLIZED)</t>
  </si>
  <si>
    <t>PREGNANT KIT CASSETTE (LABACON)</t>
  </si>
  <si>
    <t>NC64</t>
  </si>
  <si>
    <t>NC65</t>
  </si>
  <si>
    <t>NC66</t>
  </si>
  <si>
    <t>NC67</t>
  </si>
  <si>
    <t>NC68</t>
  </si>
  <si>
    <t>NC69</t>
  </si>
  <si>
    <t>NC10</t>
  </si>
  <si>
    <t>NC70</t>
  </si>
  <si>
    <t>BID OPENING ACTIVITY - CHECKLIST 2019/2020</t>
  </si>
  <si>
    <t>LOT 20</t>
  </si>
  <si>
    <t>LOT 21</t>
  </si>
  <si>
    <t>1-60</t>
  </si>
  <si>
    <t>421-480</t>
  </si>
  <si>
    <t>541-600</t>
  </si>
  <si>
    <t>601-660</t>
  </si>
  <si>
    <t>661-720</t>
  </si>
  <si>
    <t>721-780</t>
  </si>
  <si>
    <t>781-840</t>
  </si>
  <si>
    <t>841-900</t>
  </si>
  <si>
    <t>901-960</t>
  </si>
  <si>
    <t>961-1020</t>
  </si>
  <si>
    <t>1021-1080</t>
  </si>
  <si>
    <t>1081-1101</t>
  </si>
  <si>
    <t>2019/2020 MODIFIED NATIONAL COMPETITIVE BID (DECISION)</t>
  </si>
  <si>
    <t>SHARING %</t>
  </si>
  <si>
    <t>1 PACK OF 250 PCS</t>
  </si>
  <si>
    <t>BOTTLE (2.5L)</t>
  </si>
  <si>
    <t>1 X 1 PIECE</t>
  </si>
  <si>
    <r>
      <t>C</t>
    </r>
    <r>
      <rPr>
        <b/>
        <vertAlign val="subscript"/>
        <sz val="14"/>
        <color theme="1"/>
        <rFont val="Calibri"/>
        <family val="2"/>
        <scheme val="minor"/>
      </rPr>
      <t>1</t>
    </r>
    <r>
      <rPr>
        <b/>
        <sz val="14"/>
        <color theme="1"/>
        <rFont val="Calibri"/>
        <family val="2"/>
        <scheme val="minor"/>
      </rPr>
      <t xml:space="preserve"> - TROL 1E (291070) 1ML</t>
    </r>
  </si>
  <si>
    <t>TRIGLYCERIDE KIT (RANDOX)</t>
  </si>
  <si>
    <t>TRASTUZUMAB 440MG INJ</t>
  </si>
  <si>
    <t>LACTULOSE 100mls</t>
  </si>
  <si>
    <t>LACTULOSE 100MLS</t>
  </si>
  <si>
    <t>LIQUID PARAFFIN 100MLS</t>
  </si>
  <si>
    <t>CEPHALEXIN SUSP 125MG/5ML</t>
  </si>
  <si>
    <t>VARSALTAN/HYDROCHLOROTHIAZIDE 160/12.5MG</t>
  </si>
  <si>
    <t>CHLORHEXIDINE GLUCONATE 4% (HIBISCRUB)</t>
  </si>
  <si>
    <t>CHLORHEXIDINE GLUCONATE 5% (HIBITANE)</t>
  </si>
  <si>
    <t>CHLORHEXIDINE GLUCONATE+CETRIMIDE LOTION 100ML (VALON)</t>
  </si>
  <si>
    <t xml:space="preserve">CHLORHEXIDINE GLUCONATE+CETRIMIDE LOTION 4L </t>
  </si>
  <si>
    <t>CHLORHEXIDINE GLUCONATE+CETRIMIDE LOTION 100ML  (VALON)</t>
  </si>
  <si>
    <t>GLUCOSE STRIPS</t>
  </si>
  <si>
    <t>GREELIFE</t>
  </si>
  <si>
    <t xml:space="preserve"> EUMATT</t>
  </si>
  <si>
    <t>PHILLIPS</t>
  </si>
  <si>
    <t>CLINICAL THERMOMETER</t>
  </si>
  <si>
    <t>OXIDASE REAGENT</t>
  </si>
  <si>
    <t>CEFUROXIME</t>
  </si>
  <si>
    <t>COSMADE/SANCON 50/50</t>
  </si>
  <si>
    <t>NOT REQUIRED</t>
  </si>
  <si>
    <t>PAIRS</t>
  </si>
  <si>
    <t>AIRWAYS ADULT SIZE 3&amp;4</t>
  </si>
  <si>
    <t>PHILIPS/VIXA 50/50</t>
  </si>
  <si>
    <t>CLARION/EMZOR 50/50</t>
  </si>
  <si>
    <t>FIDSON/MARCSON  70/30</t>
  </si>
  <si>
    <t>CLARION/THL  50/50</t>
  </si>
  <si>
    <t>GREENLIFE/ZOLON  70/30</t>
  </si>
  <si>
    <t>FIDSON/BIOMEDICAL  80/20</t>
  </si>
  <si>
    <t>UNIQUE/BIOMEDICAL  80/20</t>
  </si>
  <si>
    <t>PHAMATEX/NEIMETH</t>
  </si>
  <si>
    <t>EUMATT/CHI  50/50</t>
  </si>
  <si>
    <t>CHI/MFLASH/CODIX</t>
  </si>
  <si>
    <t>EMZOR/PHAMATEX  50/50</t>
  </si>
  <si>
    <t>MICRONOVA/CODIX  50/50</t>
  </si>
  <si>
    <t>TAH/MICRONOVA/CODIX 25/25/50</t>
  </si>
  <si>
    <t>ZOLON/MEGA/PHILIPS  50/25/25</t>
  </si>
  <si>
    <t>SAM/EUMATT  80/20</t>
  </si>
  <si>
    <t>EUMATT/SAM  50/50</t>
  </si>
  <si>
    <t>HLINE/EUMATT  70/30</t>
  </si>
  <si>
    <t>VIXA/SAM  60/40</t>
  </si>
  <si>
    <t>TAYLEK/M&amp;B  60/40</t>
  </si>
  <si>
    <t>M&amp;B/CODIX  80/20</t>
  </si>
  <si>
    <t>ZOLON/RANBAXY  80/20</t>
  </si>
  <si>
    <t>ZOLON/RANBAXY  50/50</t>
  </si>
  <si>
    <t>HLINE/EUMATT  50/50</t>
  </si>
  <si>
    <t>MEGA/PHILIPS  50/50</t>
  </si>
  <si>
    <t>WWCV/CHI  50/50</t>
  </si>
  <si>
    <t>THL/PHAMATEX  60/40</t>
  </si>
  <si>
    <t>FIDSON/APHANTEE</t>
  </si>
  <si>
    <t>THL/GREENLIFE  50/50</t>
  </si>
  <si>
    <t>PHAMATEX/CLARION  70/30</t>
  </si>
  <si>
    <t>GLOBORG/SAM  50/50</t>
  </si>
  <si>
    <t>RANBAXY/ZOLON  70/30</t>
  </si>
  <si>
    <t>PHILIPS/MEGA  70/30</t>
  </si>
  <si>
    <t>WWCV/EUMATT  80/20</t>
  </si>
  <si>
    <t>CLARION/VIXA  70/30</t>
  </si>
  <si>
    <t>GSK/GREENLIFE/CLARION  20/40/40</t>
  </si>
  <si>
    <t>CHI/RANBAXY  80/20</t>
  </si>
  <si>
    <t>CHI/CLARION</t>
  </si>
  <si>
    <t>GSK/SEAGREEN/CLARION  60/20/20</t>
  </si>
  <si>
    <t>EUMATT/SKG  50/50</t>
  </si>
  <si>
    <t>EMZOR/SKG  50/50</t>
  </si>
  <si>
    <t>MICRONOVA/MFLASH  50/50</t>
  </si>
  <si>
    <t>WWCV/SEAGREEN  30/70</t>
  </si>
  <si>
    <t>GSK/PHILIPS  50/50</t>
  </si>
  <si>
    <t>GSK/CHI  60/40</t>
  </si>
  <si>
    <t>M&amp;B/EUMATT  40/60</t>
  </si>
  <si>
    <t>SAM/THL   60/40</t>
  </si>
  <si>
    <t>DEVON/GLOBORG     70/30</t>
  </si>
  <si>
    <t>FIDSON/UNIQUE   70/30</t>
  </si>
  <si>
    <t>GENEITH/VIXA   50/50</t>
  </si>
  <si>
    <t>EUMATT/PHAMATEX  50/50</t>
  </si>
  <si>
    <t>EUMATT/CHI  80/20</t>
  </si>
  <si>
    <t>CHI/GLOBORG  10/90</t>
  </si>
  <si>
    <t>GLOBORG/FIDSON  70/30</t>
  </si>
  <si>
    <t>NHC/RANBAXY   20/80</t>
  </si>
  <si>
    <t>TOTAL AMOUNT AWARDED</t>
  </si>
  <si>
    <t xml:space="preserve">OLABISI ONABANJO UNIVERSITY TEACHING HOSPITAL, SAGAMU </t>
  </si>
  <si>
    <t>PURCHASE OF HEALTH COMMODITIES THROUGH COMPETITIVE BIDDING, 2019-2020</t>
  </si>
  <si>
    <t>ANNUAL LETTER OF AWARD (SUMMARY)</t>
  </si>
  <si>
    <t>ALPHA/FIDSON  70/30</t>
  </si>
  <si>
    <t>LEADWAY/EUMATT  50/50</t>
  </si>
  <si>
    <t>WWCV/SW   60/40</t>
  </si>
  <si>
    <t>NHC/DKT   20/80</t>
  </si>
  <si>
    <t>TAH/ALPHA    30/70</t>
  </si>
  <si>
    <t>EUMATT/ALPHA    50/50</t>
  </si>
  <si>
    <t>TAH/JAWA  30/70</t>
  </si>
  <si>
    <t>ALPHA/EUMATT   50/50</t>
  </si>
  <si>
    <t>WWCV/DORTEMAG/EUMATT  80/20/20</t>
  </si>
  <si>
    <t>UNIQUE/DORTEMAG 50/50</t>
  </si>
  <si>
    <t>DGF/DORTEMAG   20/80</t>
  </si>
  <si>
    <t>COSMADE/EUMATT   50/50</t>
  </si>
  <si>
    <t>EUMATT/TAH  70/30</t>
  </si>
  <si>
    <t>SANCON/EUMATT  70/30</t>
  </si>
  <si>
    <t>FCGLOBAL/EUMATT   40/60</t>
  </si>
  <si>
    <t>FCGLOBAL/EUMATT   60/40</t>
  </si>
  <si>
    <t>SANCON/EUMATT   50/50</t>
  </si>
  <si>
    <t xml:space="preserve">PHARMACY DEPARTMENT </t>
  </si>
  <si>
    <t>CLOTRIMAZOLE/METRONIDAZOLE/LACTOBACILLUS SPORES</t>
  </si>
  <si>
    <t>PHILIPS/SKG/SAM/THL  25/25/25/25</t>
  </si>
  <si>
    <t>SUMMARY - PHARMACY</t>
  </si>
  <si>
    <t>SUMMARY - RADIOLOGY</t>
  </si>
  <si>
    <t>SUMMARY - THEATRE</t>
  </si>
  <si>
    <t>LABORATORY DEPARTMENT - (CHEMICAL PATHOLOGY)</t>
  </si>
  <si>
    <t>SUMMARY - LABORATORY (CHEMICAL PATHOLOGY)</t>
  </si>
  <si>
    <t>LABORATORY DEPARTMENT (HISTOPATHOLOGY)</t>
  </si>
  <si>
    <t>SUMMARY - LABORATORY(HISTOPATHOLOGY)</t>
  </si>
  <si>
    <t>LABORATORY DEPARTMENT (HAEMATOLOGY)</t>
  </si>
  <si>
    <t>SUMMARY - HAEMATOLOGY</t>
  </si>
  <si>
    <t>LABORATORY DEPARTMENT (MICROBIOLOGY)</t>
  </si>
  <si>
    <t>SUMMARY - MICROBIOLOGY</t>
  </si>
  <si>
    <t>LABORATORY DEPARTMENT (MICROBIOLOGY) - INFECTION CONTROL</t>
  </si>
  <si>
    <t>SUMMARY - LABORATORY (OOUTH ANNEX, SHAJE)</t>
  </si>
  <si>
    <t>LABORATORY DEPARTMENT - OOUTH ANNEX, SHAJE</t>
  </si>
  <si>
    <t>LABORATORY DEPARTMENT - OOUTH ANNEX, OBADA</t>
  </si>
  <si>
    <t>SUMMARY - LABORATORY (OOUTH ANNEX, OBADA)</t>
  </si>
  <si>
    <t>ARTEROLANE/PIPERAQUINE</t>
  </si>
  <si>
    <t>ALPHA-LIPOIC ACID+THAURINE+LYCOPENE (FEROBIN PLUS)</t>
  </si>
  <si>
    <t>FERROUS FUMARATE/FOLIC ACID/VIT.B12</t>
  </si>
  <si>
    <t>NYLON 2/0  (40-45) LONG NEEDLE</t>
  </si>
  <si>
    <t>EUMATT/LEADWAY   70/30</t>
  </si>
  <si>
    <t>PHASE 1 LPO (DECEMBER 2019)</t>
  </si>
  <si>
    <t>CANNULA 20G PINK</t>
  </si>
  <si>
    <t>ACCU-CHEK SAFE T PRO UNO LANCETS</t>
  </si>
  <si>
    <t>ACCU-CHEK SOFT CLIX LANCETS</t>
  </si>
  <si>
    <t>HOSPITAL MANAGEMENT BOARD (CENTRAL MEDICAL STORES, ABEOKUTA)</t>
  </si>
  <si>
    <t>GLICLAZIDE 60MG TAB</t>
  </si>
  <si>
    <t>CHONDROITIN SULPHATE/GLUCOSAMINE (FORTE)</t>
  </si>
  <si>
    <t>SOLUSET La MED</t>
  </si>
  <si>
    <t>ACCU-CHEK STRIPS x25</t>
  </si>
  <si>
    <t>ACCU-CHEK STRIPS x50</t>
  </si>
  <si>
    <t>6*30ML</t>
  </si>
  <si>
    <t>2*100ML</t>
  </si>
  <si>
    <t>6*15ML</t>
  </si>
  <si>
    <t>TIMOLOL GTT</t>
  </si>
  <si>
    <t>FLURBIPROFEN GTT</t>
  </si>
  <si>
    <t>AMINO ACIDS+ IRON SYRUP</t>
  </si>
  <si>
    <t>MANNITOL 20% INFUSION</t>
  </si>
  <si>
    <t>QUANTITY REQUIRED/PHASE</t>
  </si>
  <si>
    <t>SAM/EMZOR  50/50</t>
  </si>
  <si>
    <t>VITAMIN C TAB</t>
  </si>
  <si>
    <t>QUANTITY</t>
  </si>
  <si>
    <t>RACHEDAN</t>
  </si>
  <si>
    <t>CYANOCOBALAMINE INJ (VITAMIN B12)</t>
  </si>
  <si>
    <t>7000/50</t>
  </si>
  <si>
    <t>OMAK</t>
  </si>
  <si>
    <t>BM</t>
  </si>
  <si>
    <t>KADARK</t>
  </si>
  <si>
    <t>PEACEMARK</t>
  </si>
  <si>
    <t>AFRAB</t>
  </si>
  <si>
    <t>SEAL</t>
  </si>
  <si>
    <t>LAIDER</t>
  </si>
  <si>
    <t>ETERVAL</t>
  </si>
  <si>
    <t>600 (KY GEL)</t>
  </si>
  <si>
    <t>PHASE 1 LPO (JANUARY 2020)</t>
  </si>
  <si>
    <t>COMPANY THAT WON</t>
  </si>
  <si>
    <t>PHARMACY-PLUS</t>
  </si>
  <si>
    <t>P-PLUS</t>
  </si>
  <si>
    <t>AFRAB-CHEM LTD.</t>
  </si>
  <si>
    <t>BENJAMIN MICHAELS LIMITED</t>
  </si>
  <si>
    <t>KADARK PHARMACEUTICALS LIMITED</t>
  </si>
  <si>
    <t>OMAK PHARMACEUTICAL NIGERIA LIMITED</t>
  </si>
  <si>
    <t>PEACEMARK PHARMACEUTICALS LIMITED</t>
  </si>
  <si>
    <t>RACHEDAN PHARM. &amp; HEALTHCARE LIMITED</t>
  </si>
  <si>
    <t>SEAL HEALTHCARE LTD.</t>
  </si>
  <si>
    <t xml:space="preserve">SUPPLEMENTARY LIST </t>
  </si>
  <si>
    <t>PHARMACY DEPARTMENT, JANUARY 2020 (PHASE 1)</t>
  </si>
  <si>
    <t>NEIMETH INTERNATIONAL PHARMACEUTICAL PLC</t>
  </si>
  <si>
    <t>HOMTAMIN GINSENG</t>
  </si>
  <si>
    <t>OXPHARM SPECIALTIES LIMITED</t>
  </si>
  <si>
    <t>COUNTING TRAYS</t>
  </si>
  <si>
    <t>MEDIO PHARMACEUTICAL LIMITED</t>
  </si>
  <si>
    <t>DIAZEPAM 10MG INJ</t>
  </si>
  <si>
    <t>DIAZEPAM 5MG TAB</t>
  </si>
  <si>
    <t>IFOSFAMIDE 2G</t>
  </si>
  <si>
    <t>INSULIN SYRINGE 100IU/30G NEEDLE</t>
  </si>
  <si>
    <t>HYDROCORTISONE CREAM</t>
  </si>
  <si>
    <t>FLUPENTIXOL 20MG INJ</t>
  </si>
  <si>
    <t>PROPOFOL 1% INJ</t>
  </si>
  <si>
    <t>NYLON DRUG ENVELOPE 7 x 10CM</t>
  </si>
  <si>
    <t>NYLON DRUG ENVELOPE 8.5 x 13CM</t>
  </si>
  <si>
    <t>MEDICAL WASTE BIN LINER-BLACK</t>
  </si>
  <si>
    <t>12PCS/CARTON</t>
  </si>
  <si>
    <t>EPHEDRINE/THEOPHYLLINE TAB</t>
  </si>
  <si>
    <t>NICOTINIC ACID TAB.</t>
  </si>
  <si>
    <t>NYSTATIN 500,000IU TAB</t>
  </si>
  <si>
    <t>UNIT/  PACK</t>
  </si>
  <si>
    <t>OLABISI ONABANJO UNIVERSITY TEACHING HOSPTIAL, SAGAMU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</si>
</sst>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₦-468]\ #,##0.00"/>
    <numFmt numFmtId="166" formatCode="_-[$₦-468]\ * #,##0.00_-;\-[$₦-468]\ * #,##0.00_-;_-[$₦-468]\ * &quot;-&quot;??_-;_-@_-"/>
  </numFmts>
  <fonts count="7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Arial Black"/>
      <family val="2"/>
    </font>
    <font>
      <b/>
      <sz val="9"/>
      <color theme="1"/>
      <name val="Arial Black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26"/>
      <color theme="1"/>
      <name val="Calibri"/>
      <family val="2"/>
      <scheme val="minor"/>
    </font>
    <font>
      <b/>
      <sz val="14"/>
      <color theme="1"/>
      <name val="Arial Black"/>
      <family val="2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22"/>
      <color theme="0"/>
      <name val="Calibri"/>
      <family val="2"/>
      <scheme val="minor"/>
    </font>
    <font>
      <b/>
      <sz val="9"/>
      <color indexed="81"/>
      <name val="Tahoma"/>
      <family val="2"/>
    </font>
    <font>
      <u/>
      <sz val="24"/>
      <color theme="1"/>
      <name val="Britannic Bold"/>
      <family val="2"/>
    </font>
    <font>
      <b/>
      <sz val="26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name val="Calibri"/>
      <family val="2"/>
      <scheme val="minor"/>
    </font>
    <font>
      <b/>
      <sz val="14"/>
      <name val="Arial Black"/>
      <family val="2"/>
    </font>
    <font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u/>
      <sz val="36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 val="singleAccounting"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Tahoma"/>
      <family val="2"/>
    </font>
    <font>
      <sz val="18"/>
      <color theme="1"/>
      <name val="Calibri"/>
      <family val="2"/>
      <scheme val="minor"/>
    </font>
    <font>
      <b/>
      <vertAlign val="subscript"/>
      <sz val="1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5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32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u/>
      <sz val="16"/>
      <name val="Calibri"/>
      <family val="2"/>
      <scheme val="minor"/>
    </font>
    <font>
      <sz val="11"/>
      <name val="Calibri"/>
      <family val="2"/>
      <scheme val="minor"/>
    </font>
    <font>
      <sz val="28"/>
      <name val="Calibri"/>
      <family val="2"/>
      <scheme val="minor"/>
    </font>
    <font>
      <b/>
      <sz val="11"/>
      <name val="Calibri"/>
      <family val="2"/>
      <scheme val="minor"/>
    </font>
    <font>
      <sz val="32"/>
      <name val="Calibri"/>
      <family val="2"/>
      <scheme val="minor"/>
    </font>
    <font>
      <sz val="22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sz val="18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double">
        <color theme="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/>
      <top style="medium">
        <color theme="0"/>
      </top>
      <bottom style="double">
        <color theme="0"/>
      </bottom>
      <diagonal/>
    </border>
    <border>
      <left/>
      <right style="medium">
        <color theme="0"/>
      </right>
      <top style="medium">
        <color theme="0"/>
      </top>
      <bottom style="double">
        <color theme="0"/>
      </bottom>
      <diagonal/>
    </border>
    <border>
      <left style="medium">
        <color theme="0"/>
      </left>
      <right/>
      <top style="medium">
        <color theme="0"/>
      </top>
      <bottom style="double">
        <color theme="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99"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0" xfId="1" applyNumberFormat="1" applyFont="1"/>
    <xf numFmtId="164" fontId="0" fillId="0" borderId="0" xfId="1" applyNumberFormat="1" applyFont="1" applyAlignment="1">
      <alignment vertical="center"/>
    </xf>
    <xf numFmtId="0" fontId="6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9" fillId="2" borderId="1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2" borderId="1" xfId="0" applyFont="1" applyFill="1" applyBorder="1" applyAlignment="1">
      <alignment vertical="center"/>
    </xf>
    <xf numFmtId="164" fontId="9" fillId="2" borderId="1" xfId="1" applyNumberFormat="1" applyFont="1" applyFill="1" applyBorder="1" applyAlignment="1">
      <alignment vertical="center"/>
    </xf>
    <xf numFmtId="164" fontId="9" fillId="0" borderId="1" xfId="1" applyNumberFormat="1" applyFont="1" applyBorder="1" applyAlignment="1">
      <alignment vertical="center"/>
    </xf>
    <xf numFmtId="0" fontId="9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9" fillId="2" borderId="0" xfId="0" applyFont="1" applyFill="1" applyAlignment="1">
      <alignment vertical="center"/>
    </xf>
    <xf numFmtId="0" fontId="9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9" fillId="0" borderId="0" xfId="0" applyFont="1" applyAlignment="1">
      <alignment horizontal="center" vertical="center" wrapText="1"/>
    </xf>
    <xf numFmtId="164" fontId="9" fillId="0" borderId="0" xfId="1" applyNumberFormat="1" applyFont="1" applyAlignment="1">
      <alignment vertical="center"/>
    </xf>
    <xf numFmtId="0" fontId="0" fillId="0" borderId="0" xfId="0" applyAlignment="1">
      <alignment horizontal="right"/>
    </xf>
    <xf numFmtId="43" fontId="0" fillId="0" borderId="0" xfId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164" fontId="0" fillId="0" borderId="1" xfId="1" applyNumberFormat="1" applyFont="1" applyBorder="1" applyAlignment="1">
      <alignment horizontal="right"/>
    </xf>
    <xf numFmtId="164" fontId="4" fillId="2" borderId="1" xfId="1" applyNumberFormat="1" applyFont="1" applyFill="1" applyBorder="1" applyAlignment="1">
      <alignment vertical="center"/>
    </xf>
    <xf numFmtId="0" fontId="0" fillId="2" borderId="0" xfId="0" applyFill="1"/>
    <xf numFmtId="0" fontId="7" fillId="2" borderId="0" xfId="0" applyFont="1" applyFill="1"/>
    <xf numFmtId="0" fontId="2" fillId="0" borderId="0" xfId="0" applyFont="1"/>
    <xf numFmtId="0" fontId="9" fillId="0" borderId="1" xfId="0" applyFont="1" applyBorder="1"/>
    <xf numFmtId="0" fontId="9" fillId="0" borderId="13" xfId="0" applyFont="1" applyBorder="1"/>
    <xf numFmtId="0" fontId="9" fillId="2" borderId="4" xfId="0" applyFont="1" applyFill="1" applyBorder="1" applyAlignment="1">
      <alignment horizontal="center" vertical="center"/>
    </xf>
    <xf numFmtId="43" fontId="9" fillId="0" borderId="1" xfId="1" applyFont="1" applyBorder="1"/>
    <xf numFmtId="43" fontId="9" fillId="0" borderId="13" xfId="1" applyFont="1" applyBorder="1"/>
    <xf numFmtId="43" fontId="9" fillId="0" borderId="0" xfId="1" applyFont="1"/>
    <xf numFmtId="0" fontId="9" fillId="2" borderId="0" xfId="0" applyFont="1" applyFill="1"/>
    <xf numFmtId="0" fontId="9" fillId="0" borderId="0" xfId="0" applyFont="1"/>
    <xf numFmtId="0" fontId="9" fillId="2" borderId="5" xfId="0" applyFont="1" applyFill="1" applyBorder="1"/>
    <xf numFmtId="0" fontId="9" fillId="2" borderId="1" xfId="0" applyFont="1" applyFill="1" applyBorder="1"/>
    <xf numFmtId="0" fontId="9" fillId="2" borderId="14" xfId="0" applyFont="1" applyFill="1" applyBorder="1"/>
    <xf numFmtId="0" fontId="9" fillId="2" borderId="15" xfId="0" applyFont="1" applyFill="1" applyBorder="1"/>
    <xf numFmtId="0" fontId="9" fillId="2" borderId="4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43" fontId="9" fillId="0" borderId="1" xfId="1" applyFont="1" applyBorder="1" applyAlignment="1">
      <alignment horizontal="center"/>
    </xf>
    <xf numFmtId="43" fontId="9" fillId="0" borderId="13" xfId="1" applyFont="1" applyBorder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horizontal="right"/>
    </xf>
    <xf numFmtId="43" fontId="2" fillId="0" borderId="0" xfId="1" applyFont="1"/>
    <xf numFmtId="43" fontId="2" fillId="0" borderId="0" xfId="1" applyFont="1" applyAlignment="1">
      <alignment horizontal="right"/>
    </xf>
    <xf numFmtId="0" fontId="11" fillId="0" borderId="1" xfId="0" applyFont="1" applyBorder="1" applyAlignment="1">
      <alignment horizontal="center" vertical="center" wrapText="1"/>
    </xf>
    <xf numFmtId="0" fontId="11" fillId="2" borderId="1" xfId="0" applyFont="1" applyFill="1" applyBorder="1" applyAlignment="1">
      <alignment vertical="center"/>
    </xf>
    <xf numFmtId="43" fontId="9" fillId="0" borderId="1" xfId="1" applyFont="1" applyBorder="1" applyAlignment="1">
      <alignment horizontal="right"/>
    </xf>
    <xf numFmtId="43" fontId="9" fillId="0" borderId="1" xfId="1" applyFont="1" applyBorder="1" applyAlignment="1">
      <alignment horizontal="right" vertical="center"/>
    </xf>
    <xf numFmtId="43" fontId="13" fillId="0" borderId="1" xfId="1" applyFont="1" applyBorder="1"/>
    <xf numFmtId="0" fontId="13" fillId="0" borderId="0" xfId="0" applyFont="1"/>
    <xf numFmtId="43" fontId="13" fillId="0" borderId="0" xfId="1" applyFont="1"/>
    <xf numFmtId="43" fontId="9" fillId="0" borderId="1" xfId="1" applyFont="1" applyBorder="1" applyAlignment="1">
      <alignment horizontal="center" vertical="center" wrapText="1"/>
    </xf>
    <xf numFmtId="0" fontId="9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0" fontId="3" fillId="0" borderId="1" xfId="0" applyFont="1" applyBorder="1"/>
    <xf numFmtId="43" fontId="9" fillId="2" borderId="1" xfId="1" applyFont="1" applyFill="1" applyBorder="1"/>
    <xf numFmtId="1" fontId="9" fillId="0" borderId="1" xfId="0" applyNumberFormat="1" applyFont="1" applyBorder="1" applyAlignment="1">
      <alignment horizontal="center"/>
    </xf>
    <xf numFmtId="43" fontId="6" fillId="0" borderId="0" xfId="1" applyFont="1"/>
    <xf numFmtId="43" fontId="9" fillId="2" borderId="1" xfId="1" applyFont="1" applyFill="1" applyBorder="1" applyAlignment="1">
      <alignment horizontal="center" vertical="center" wrapText="1"/>
    </xf>
    <xf numFmtId="43" fontId="6" fillId="2" borderId="0" xfId="1" applyFont="1" applyFill="1"/>
    <xf numFmtId="1" fontId="9" fillId="0" borderId="1" xfId="0" applyNumberFormat="1" applyFont="1" applyBorder="1" applyAlignment="1">
      <alignment horizontal="center" vertical="center" wrapText="1"/>
    </xf>
    <xf numFmtId="1" fontId="6" fillId="0" borderId="0" xfId="0" applyNumberFormat="1" applyFont="1" applyAlignment="1">
      <alignment horizontal="center"/>
    </xf>
    <xf numFmtId="43" fontId="3" fillId="0" borderId="1" xfId="1" applyFont="1" applyBorder="1"/>
    <xf numFmtId="0" fontId="8" fillId="0" borderId="1" xfId="0" applyFont="1" applyBorder="1"/>
    <xf numFmtId="43" fontId="3" fillId="0" borderId="1" xfId="1" applyFont="1" applyBorder="1" applyAlignment="1">
      <alignment horizontal="center" vertical="center" wrapText="1"/>
    </xf>
    <xf numFmtId="43" fontId="8" fillId="0" borderId="1" xfId="1" applyFont="1" applyBorder="1"/>
    <xf numFmtId="43" fontId="3" fillId="0" borderId="0" xfId="1" applyFont="1"/>
    <xf numFmtId="164" fontId="9" fillId="0" borderId="1" xfId="1" applyNumberFormat="1" applyFont="1" applyBorder="1"/>
    <xf numFmtId="164" fontId="9" fillId="2" borderId="21" xfId="1" applyNumberFormat="1" applyFont="1" applyFill="1" applyBorder="1" applyAlignment="1">
      <alignment vertical="center"/>
    </xf>
    <xf numFmtId="164" fontId="9" fillId="0" borderId="21" xfId="1" applyNumberFormat="1" applyFont="1" applyBorder="1" applyAlignment="1">
      <alignment vertical="center"/>
    </xf>
    <xf numFmtId="0" fontId="14" fillId="2" borderId="0" xfId="0" applyFont="1" applyFill="1" applyAlignment="1">
      <alignment horizontal="center" vertical="center"/>
    </xf>
    <xf numFmtId="164" fontId="9" fillId="2" borderId="1" xfId="1" applyNumberFormat="1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/>
    </xf>
    <xf numFmtId="164" fontId="9" fillId="2" borderId="6" xfId="1" applyNumberFormat="1" applyFont="1" applyFill="1" applyBorder="1" applyAlignment="1">
      <alignment horizontal="center" vertical="center"/>
    </xf>
    <xf numFmtId="164" fontId="9" fillId="2" borderId="28" xfId="1" applyNumberFormat="1" applyFont="1" applyFill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2" fillId="2" borderId="0" xfId="0" applyFont="1" applyFill="1"/>
    <xf numFmtId="0" fontId="0" fillId="4" borderId="0" xfId="0" applyFill="1"/>
    <xf numFmtId="0" fontId="19" fillId="4" borderId="0" xfId="0" applyFont="1" applyFill="1" applyAlignment="1">
      <alignment horizontal="center"/>
    </xf>
    <xf numFmtId="0" fontId="20" fillId="4" borderId="0" xfId="0" applyFont="1" applyFill="1"/>
    <xf numFmtId="0" fontId="20" fillId="4" borderId="0" xfId="0" applyFont="1" applyFill="1" applyAlignment="1">
      <alignment horizontal="center"/>
    </xf>
    <xf numFmtId="0" fontId="9" fillId="4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right"/>
    </xf>
    <xf numFmtId="0" fontId="2" fillId="0" borderId="1" xfId="0" applyFont="1" applyBorder="1" applyAlignment="1">
      <alignment horizontal="center" vertical="center"/>
    </xf>
    <xf numFmtId="0" fontId="0" fillId="8" borderId="1" xfId="0" applyFill="1" applyBorder="1"/>
    <xf numFmtId="0" fontId="0" fillId="9" borderId="1" xfId="0" applyFill="1" applyBorder="1"/>
    <xf numFmtId="0" fontId="0" fillId="6" borderId="1" xfId="0" applyFill="1" applyBorder="1"/>
    <xf numFmtId="0" fontId="2" fillId="2" borderId="0" xfId="0" applyFont="1" applyFill="1" applyAlignment="1">
      <alignment horizontal="center" vertical="center"/>
    </xf>
    <xf numFmtId="43" fontId="9" fillId="6" borderId="1" xfId="1" applyFont="1" applyFill="1" applyBorder="1"/>
    <xf numFmtId="0" fontId="9" fillId="5" borderId="11" xfId="0" applyFont="1" applyFill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/>
    </xf>
    <xf numFmtId="0" fontId="21" fillId="7" borderId="3" xfId="0" applyFont="1" applyFill="1" applyBorder="1" applyAlignment="1">
      <alignment horizontal="center" vertical="center"/>
    </xf>
    <xf numFmtId="43" fontId="9" fillId="2" borderId="3" xfId="0" applyNumberFormat="1" applyFont="1" applyFill="1" applyBorder="1" applyAlignment="1">
      <alignment horizontal="right" vertical="center"/>
    </xf>
    <xf numFmtId="43" fontId="9" fillId="2" borderId="1" xfId="1" applyFont="1" applyFill="1" applyBorder="1" applyAlignment="1">
      <alignment horizontal="right"/>
    </xf>
    <xf numFmtId="164" fontId="0" fillId="0" borderId="0" xfId="1" applyNumberFormat="1" applyFont="1" applyAlignment="1">
      <alignment horizontal="right"/>
    </xf>
    <xf numFmtId="164" fontId="5" fillId="0" borderId="33" xfId="1" applyNumberFormat="1" applyFont="1" applyBorder="1" applyAlignment="1">
      <alignment horizontal="right" vertical="center"/>
    </xf>
    <xf numFmtId="164" fontId="5" fillId="0" borderId="9" xfId="1" applyNumberFormat="1" applyFont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right" vertical="center"/>
    </xf>
    <xf numFmtId="164" fontId="9" fillId="0" borderId="1" xfId="1" applyNumberFormat="1" applyFont="1" applyBorder="1" applyAlignment="1">
      <alignment horizontal="right"/>
    </xf>
    <xf numFmtId="164" fontId="0" fillId="0" borderId="1" xfId="1" applyNumberFormat="1" applyFont="1" applyBorder="1"/>
    <xf numFmtId="43" fontId="9" fillId="10" borderId="1" xfId="1" applyFont="1" applyFill="1" applyBorder="1"/>
    <xf numFmtId="43" fontId="9" fillId="10" borderId="13" xfId="1" applyFont="1" applyFill="1" applyBorder="1"/>
    <xf numFmtId="43" fontId="9" fillId="10" borderId="1" xfId="1" applyFont="1" applyFill="1" applyBorder="1" applyAlignment="1">
      <alignment horizontal="center"/>
    </xf>
    <xf numFmtId="43" fontId="9" fillId="10" borderId="13" xfId="1" applyFont="1" applyFill="1" applyBorder="1" applyAlignment="1">
      <alignment horizontal="center"/>
    </xf>
    <xf numFmtId="43" fontId="9" fillId="9" borderId="15" xfId="1" applyFont="1" applyFill="1" applyBorder="1"/>
    <xf numFmtId="43" fontId="9" fillId="9" borderId="15" xfId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wrapText="1"/>
    </xf>
    <xf numFmtId="0" fontId="9" fillId="2" borderId="0" xfId="0" applyFont="1" applyFill="1" applyAlignment="1">
      <alignment horizontal="center" vertical="center" wrapText="1"/>
    </xf>
    <xf numFmtId="43" fontId="9" fillId="2" borderId="0" xfId="1" applyFont="1" applyFill="1" applyAlignment="1">
      <alignment horizontal="center" vertical="center" wrapText="1"/>
    </xf>
    <xf numFmtId="0" fontId="9" fillId="0" borderId="0" xfId="0" applyFont="1" applyAlignment="1">
      <alignment horizontal="center"/>
    </xf>
    <xf numFmtId="43" fontId="9" fillId="0" borderId="0" xfId="1" applyFont="1" applyAlignment="1">
      <alignment horizontal="center"/>
    </xf>
    <xf numFmtId="0" fontId="9" fillId="0" borderId="0" xfId="0" applyFont="1" applyAlignment="1">
      <alignment horizontal="center" wrapText="1"/>
    </xf>
    <xf numFmtId="43" fontId="9" fillId="0" borderId="0" xfId="1" applyFont="1" applyAlignment="1">
      <alignment horizontal="center" wrapText="1"/>
    </xf>
    <xf numFmtId="0" fontId="9" fillId="11" borderId="0" xfId="0" applyFont="1" applyFill="1" applyAlignment="1">
      <alignment horizontal="center" wrapText="1"/>
    </xf>
    <xf numFmtId="43" fontId="9" fillId="11" borderId="0" xfId="1" applyFont="1" applyFill="1" applyAlignment="1">
      <alignment horizontal="center" wrapText="1"/>
    </xf>
    <xf numFmtId="43" fontId="9" fillId="3" borderId="0" xfId="1" applyFont="1" applyFill="1" applyAlignment="1">
      <alignment horizontal="center" wrapText="1"/>
    </xf>
    <xf numFmtId="164" fontId="13" fillId="0" borderId="0" xfId="1" applyNumberFormat="1" applyFont="1" applyAlignment="1">
      <alignment horizontal="right" vertical="center"/>
    </xf>
    <xf numFmtId="0" fontId="13" fillId="0" borderId="0" xfId="0" applyFont="1" applyAlignment="1">
      <alignment horizontal="right"/>
    </xf>
    <xf numFmtId="164" fontId="26" fillId="2" borderId="0" xfId="1" applyNumberFormat="1" applyFont="1" applyFill="1"/>
    <xf numFmtId="164" fontId="26" fillId="2" borderId="0" xfId="0" applyNumberFormat="1" applyFont="1" applyFill="1"/>
    <xf numFmtId="0" fontId="11" fillId="0" borderId="3" xfId="0" applyFont="1" applyBorder="1" applyAlignment="1">
      <alignment horizontal="center" vertical="center"/>
    </xf>
    <xf numFmtId="164" fontId="11" fillId="0" borderId="0" xfId="1" applyNumberFormat="1" applyFont="1" applyAlignment="1">
      <alignment horizontal="right" vertical="center"/>
    </xf>
    <xf numFmtId="0" fontId="9" fillId="0" borderId="0" xfId="0" applyFont="1" applyAlignment="1">
      <alignment horizontal="right"/>
    </xf>
    <xf numFmtId="0" fontId="12" fillId="2" borderId="24" xfId="0" applyFont="1" applyFill="1" applyBorder="1" applyAlignment="1">
      <alignment horizontal="center" vertical="center" wrapText="1"/>
    </xf>
    <xf numFmtId="43" fontId="12" fillId="2" borderId="10" xfId="1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43" fontId="12" fillId="2" borderId="36" xfId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vertical="center"/>
    </xf>
    <xf numFmtId="164" fontId="9" fillId="0" borderId="1" xfId="1" applyNumberFormat="1" applyFont="1" applyBorder="1" applyAlignment="1">
      <alignment horizontal="right" vertical="center"/>
    </xf>
    <xf numFmtId="0" fontId="27" fillId="2" borderId="1" xfId="0" applyFont="1" applyFill="1" applyBorder="1" applyAlignment="1">
      <alignment horizontal="center" vertical="center" wrapText="1"/>
    </xf>
    <xf numFmtId="43" fontId="27" fillId="2" borderId="1" xfId="1" applyFont="1" applyFill="1" applyBorder="1" applyAlignment="1">
      <alignment horizontal="center" vertical="center" wrapText="1"/>
    </xf>
    <xf numFmtId="43" fontId="27" fillId="2" borderId="21" xfId="1" applyFont="1" applyFill="1" applyBorder="1" applyAlignment="1">
      <alignment horizontal="center" vertical="center" wrapText="1"/>
    </xf>
    <xf numFmtId="164" fontId="9" fillId="2" borderId="1" xfId="1" applyNumberFormat="1" applyFont="1" applyFill="1" applyBorder="1" applyAlignment="1">
      <alignment horizontal="right" vertical="center"/>
    </xf>
    <xf numFmtId="43" fontId="26" fillId="2" borderId="1" xfId="1" applyFont="1" applyFill="1" applyBorder="1"/>
    <xf numFmtId="0" fontId="26" fillId="2" borderId="1" xfId="0" applyFont="1" applyFill="1" applyBorder="1"/>
    <xf numFmtId="43" fontId="26" fillId="2" borderId="21" xfId="1" applyFont="1" applyFill="1" applyBorder="1"/>
    <xf numFmtId="0" fontId="13" fillId="7" borderId="0" xfId="0" applyFont="1" applyFill="1"/>
    <xf numFmtId="0" fontId="9" fillId="7" borderId="0" xfId="0" applyFont="1" applyFill="1" applyAlignment="1">
      <alignment vertical="center"/>
    </xf>
    <xf numFmtId="0" fontId="13" fillId="7" borderId="0" xfId="0" applyFont="1" applyFill="1" applyAlignment="1">
      <alignment vertical="center"/>
    </xf>
    <xf numFmtId="43" fontId="12" fillId="2" borderId="1" xfId="1" applyFont="1" applyFill="1" applyBorder="1"/>
    <xf numFmtId="0" fontId="26" fillId="2" borderId="0" xfId="0" applyFont="1" applyFill="1"/>
    <xf numFmtId="43" fontId="26" fillId="2" borderId="0" xfId="1" applyFont="1" applyFill="1"/>
    <xf numFmtId="43" fontId="28" fillId="2" borderId="1" xfId="1" applyFont="1" applyFill="1" applyBorder="1"/>
    <xf numFmtId="43" fontId="13" fillId="2" borderId="1" xfId="1" applyFont="1" applyFill="1" applyBorder="1"/>
    <xf numFmtId="43" fontId="13" fillId="2" borderId="0" xfId="1" applyFont="1" applyFill="1"/>
    <xf numFmtId="0" fontId="28" fillId="2" borderId="1" xfId="0" applyFont="1" applyFill="1" applyBorder="1"/>
    <xf numFmtId="0" fontId="0" fillId="12" borderId="0" xfId="0" applyFill="1" applyAlignment="1">
      <alignment horizontal="left" wrapText="1"/>
    </xf>
    <xf numFmtId="164" fontId="13" fillId="0" borderId="0" xfId="1" applyNumberFormat="1" applyFont="1" applyAlignment="1">
      <alignment horizontal="center" vertical="center"/>
    </xf>
    <xf numFmtId="164" fontId="13" fillId="7" borderId="0" xfId="1" applyNumberFormat="1" applyFont="1" applyFill="1" applyAlignment="1">
      <alignment vertical="center"/>
    </xf>
    <xf numFmtId="164" fontId="26" fillId="0" borderId="0" xfId="1" applyNumberFormat="1" applyFont="1"/>
    <xf numFmtId="43" fontId="27" fillId="0" borderId="1" xfId="1" applyFont="1" applyBorder="1" applyAlignment="1">
      <alignment horizontal="center" vertical="center" wrapText="1"/>
    </xf>
    <xf numFmtId="43" fontId="26" fillId="0" borderId="1" xfId="1" applyFont="1" applyBorder="1"/>
    <xf numFmtId="43" fontId="26" fillId="0" borderId="0" xfId="1" applyFont="1"/>
    <xf numFmtId="0" fontId="12" fillId="0" borderId="10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 wrapText="1"/>
    </xf>
    <xf numFmtId="43" fontId="28" fillId="0" borderId="1" xfId="1" applyFont="1" applyBorder="1"/>
    <xf numFmtId="0" fontId="26" fillId="0" borderId="0" xfId="0" applyFont="1"/>
    <xf numFmtId="0" fontId="9" fillId="0" borderId="1" xfId="0" applyFont="1" applyBorder="1" applyAlignment="1">
      <alignment horizontal="right"/>
    </xf>
    <xf numFmtId="0" fontId="9" fillId="2" borderId="1" xfId="0" applyFont="1" applyFill="1" applyBorder="1" applyAlignment="1">
      <alignment horizontal="right"/>
    </xf>
    <xf numFmtId="43" fontId="9" fillId="0" borderId="1" xfId="1" applyFont="1" applyBorder="1" applyAlignment="1">
      <alignment horizontal="center" vertical="center"/>
    </xf>
    <xf numFmtId="164" fontId="8" fillId="0" borderId="1" xfId="1" applyNumberFormat="1" applyFont="1" applyBorder="1" applyAlignment="1">
      <alignment vertical="center"/>
    </xf>
    <xf numFmtId="0" fontId="12" fillId="3" borderId="1" xfId="0" applyFont="1" applyFill="1" applyBorder="1" applyAlignment="1">
      <alignment horizontal="center" vertical="center"/>
    </xf>
    <xf numFmtId="0" fontId="2" fillId="13" borderId="0" xfId="0" applyFont="1" applyFill="1"/>
    <xf numFmtId="43" fontId="9" fillId="0" borderId="1" xfId="0" applyNumberFormat="1" applyFont="1" applyBorder="1" applyAlignment="1">
      <alignment horizontal="right"/>
    </xf>
    <xf numFmtId="0" fontId="6" fillId="0" borderId="1" xfId="0" applyFont="1" applyBorder="1" applyAlignment="1">
      <alignment horizontal="right"/>
    </xf>
    <xf numFmtId="0" fontId="6" fillId="0" borderId="0" xfId="0" applyFont="1" applyAlignment="1">
      <alignment horizontal="right"/>
    </xf>
    <xf numFmtId="43" fontId="9" fillId="2" borderId="1" xfId="1" applyFont="1" applyFill="1" applyBorder="1" applyAlignment="1">
      <alignment horizontal="right" vertical="center"/>
    </xf>
    <xf numFmtId="0" fontId="8" fillId="0" borderId="1" xfId="0" applyFont="1" applyBorder="1" applyAlignment="1">
      <alignment horizontal="right"/>
    </xf>
    <xf numFmtId="43" fontId="3" fillId="0" borderId="9" xfId="1" applyFont="1" applyBorder="1"/>
    <xf numFmtId="43" fontId="8" fillId="0" borderId="1" xfId="0" applyNumberFormat="1" applyFont="1" applyBorder="1"/>
    <xf numFmtId="43" fontId="8" fillId="2" borderId="1" xfId="1" applyFont="1" applyFill="1" applyBorder="1"/>
    <xf numFmtId="0" fontId="6" fillId="0" borderId="1" xfId="0" applyFont="1" applyBorder="1"/>
    <xf numFmtId="1" fontId="6" fillId="0" borderId="1" xfId="0" applyNumberFormat="1" applyFont="1" applyBorder="1" applyAlignment="1">
      <alignment horizontal="center"/>
    </xf>
    <xf numFmtId="43" fontId="6" fillId="0" borderId="1" xfId="1" applyFont="1" applyBorder="1"/>
    <xf numFmtId="43" fontId="6" fillId="2" borderId="1" xfId="1" applyFont="1" applyFill="1" applyBorder="1"/>
    <xf numFmtId="43" fontId="8" fillId="0" borderId="1" xfId="0" applyNumberFormat="1" applyFont="1" applyBorder="1" applyAlignment="1">
      <alignment horizontal="right"/>
    </xf>
    <xf numFmtId="43" fontId="6" fillId="2" borderId="21" xfId="1" applyFont="1" applyFill="1" applyBorder="1"/>
    <xf numFmtId="43" fontId="16" fillId="0" borderId="3" xfId="1" applyFont="1" applyBorder="1"/>
    <xf numFmtId="0" fontId="16" fillId="0" borderId="1" xfId="0" applyFont="1" applyBorder="1" applyAlignment="1">
      <alignment horizontal="center"/>
    </xf>
    <xf numFmtId="0" fontId="9" fillId="0" borderId="21" xfId="0" applyFont="1" applyBorder="1"/>
    <xf numFmtId="0" fontId="9" fillId="0" borderId="5" xfId="0" applyFont="1" applyBorder="1"/>
    <xf numFmtId="43" fontId="9" fillId="0" borderId="5" xfId="1" applyFont="1" applyBorder="1"/>
    <xf numFmtId="0" fontId="6" fillId="0" borderId="5" xfId="0" applyFont="1" applyBorder="1"/>
    <xf numFmtId="0" fontId="6" fillId="0" borderId="13" xfId="0" applyFont="1" applyBorder="1"/>
    <xf numFmtId="43" fontId="6" fillId="0" borderId="5" xfId="1" applyFont="1" applyBorder="1"/>
    <xf numFmtId="0" fontId="6" fillId="0" borderId="14" xfId="0" applyFont="1" applyBorder="1"/>
    <xf numFmtId="43" fontId="8" fillId="0" borderId="37" xfId="1" applyFont="1" applyBorder="1" applyAlignment="1">
      <alignment horizontal="center" vertical="center"/>
    </xf>
    <xf numFmtId="43" fontId="3" fillId="0" borderId="22" xfId="1" applyFont="1" applyBorder="1" applyAlignment="1">
      <alignment horizontal="center" vertical="center" wrapText="1"/>
    </xf>
    <xf numFmtId="43" fontId="9" fillId="0" borderId="22" xfId="1" applyFont="1" applyBorder="1"/>
    <xf numFmtId="43" fontId="8" fillId="0" borderId="22" xfId="0" applyNumberFormat="1" applyFont="1" applyBorder="1"/>
    <xf numFmtId="0" fontId="9" fillId="0" borderId="22" xfId="0" applyFont="1" applyBorder="1"/>
    <xf numFmtId="43" fontId="8" fillId="0" borderId="22" xfId="1" applyFont="1" applyBorder="1"/>
    <xf numFmtId="43" fontId="3" fillId="0" borderId="22" xfId="1" applyFont="1" applyBorder="1"/>
    <xf numFmtId="43" fontId="3" fillId="0" borderId="39" xfId="1" applyFont="1" applyBorder="1"/>
    <xf numFmtId="43" fontId="9" fillId="0" borderId="40" xfId="1" applyFont="1" applyBorder="1" applyAlignment="1">
      <alignment horizontal="center" vertical="center" wrapText="1"/>
    </xf>
    <xf numFmtId="43" fontId="9" fillId="2" borderId="6" xfId="1" applyFont="1" applyFill="1" applyBorder="1" applyAlignment="1">
      <alignment horizontal="center" vertical="center" wrapText="1"/>
    </xf>
    <xf numFmtId="43" fontId="3" fillId="0" borderId="6" xfId="1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 wrapText="1"/>
    </xf>
    <xf numFmtId="0" fontId="6" fillId="0" borderId="42" xfId="0" applyFont="1" applyBorder="1"/>
    <xf numFmtId="0" fontId="6" fillId="0" borderId="43" xfId="0" applyFont="1" applyBorder="1"/>
    <xf numFmtId="0" fontId="6" fillId="0" borderId="9" xfId="0" applyFont="1" applyBorder="1"/>
    <xf numFmtId="43" fontId="16" fillId="0" borderId="3" xfId="0" applyNumberFormat="1" applyFont="1" applyBorder="1"/>
    <xf numFmtId="43" fontId="9" fillId="0" borderId="6" xfId="1" applyFont="1" applyBorder="1" applyAlignment="1">
      <alignment horizontal="center" vertical="center" wrapText="1"/>
    </xf>
    <xf numFmtId="0" fontId="6" fillId="0" borderId="21" xfId="0" applyFont="1" applyBorder="1"/>
    <xf numFmtId="0" fontId="9" fillId="0" borderId="21" xfId="0" applyFont="1" applyBorder="1" applyAlignment="1">
      <alignment horizontal="center" vertical="center" wrapText="1"/>
    </xf>
    <xf numFmtId="0" fontId="8" fillId="0" borderId="21" xfId="0" applyFont="1" applyBorder="1"/>
    <xf numFmtId="43" fontId="16" fillId="0" borderId="23" xfId="1" applyFont="1" applyBorder="1"/>
    <xf numFmtId="0" fontId="6" fillId="0" borderId="4" xfId="0" applyFont="1" applyBorder="1" applyAlignment="1">
      <alignment horizontal="right"/>
    </xf>
    <xf numFmtId="1" fontId="6" fillId="0" borderId="44" xfId="0" applyNumberFormat="1" applyFont="1" applyBorder="1" applyAlignment="1">
      <alignment horizontal="center"/>
    </xf>
    <xf numFmtId="0" fontId="9" fillId="0" borderId="5" xfId="0" applyFont="1" applyBorder="1" applyAlignment="1">
      <alignment horizontal="right" vertical="center" wrapText="1"/>
    </xf>
    <xf numFmtId="43" fontId="3" fillId="0" borderId="41" xfId="1" applyFont="1" applyBorder="1" applyAlignment="1">
      <alignment horizontal="center" vertical="center" wrapText="1"/>
    </xf>
    <xf numFmtId="0" fontId="9" fillId="0" borderId="5" xfId="0" applyFont="1" applyBorder="1" applyAlignment="1">
      <alignment horizontal="right"/>
    </xf>
    <xf numFmtId="43" fontId="8" fillId="0" borderId="13" xfId="0" applyNumberFormat="1" applyFont="1" applyBorder="1"/>
    <xf numFmtId="0" fontId="8" fillId="0" borderId="5" xfId="0" applyFont="1" applyBorder="1" applyAlignment="1">
      <alignment horizontal="right"/>
    </xf>
    <xf numFmtId="43" fontId="8" fillId="0" borderId="13" xfId="1" applyFont="1" applyBorder="1"/>
    <xf numFmtId="43" fontId="8" fillId="0" borderId="5" xfId="0" applyNumberFormat="1" applyFont="1" applyBorder="1" applyAlignment="1">
      <alignment horizontal="right"/>
    </xf>
    <xf numFmtId="0" fontId="6" fillId="0" borderId="5" xfId="0" applyFont="1" applyBorder="1" applyAlignment="1">
      <alignment horizontal="right"/>
    </xf>
    <xf numFmtId="43" fontId="3" fillId="0" borderId="13" xfId="1" applyFont="1" applyBorder="1"/>
    <xf numFmtId="43" fontId="3" fillId="0" borderId="45" xfId="1" applyFont="1" applyBorder="1"/>
    <xf numFmtId="0" fontId="6" fillId="0" borderId="14" xfId="0" applyFont="1" applyBorder="1" applyAlignment="1">
      <alignment horizontal="right"/>
    </xf>
    <xf numFmtId="1" fontId="6" fillId="0" borderId="15" xfId="0" applyNumberFormat="1" applyFont="1" applyBorder="1" applyAlignment="1">
      <alignment horizontal="center"/>
    </xf>
    <xf numFmtId="43" fontId="6" fillId="0" borderId="15" xfId="1" applyFont="1" applyBorder="1"/>
    <xf numFmtId="43" fontId="6" fillId="2" borderId="42" xfId="1" applyFont="1" applyFill="1" applyBorder="1"/>
    <xf numFmtId="0" fontId="6" fillId="0" borderId="37" xfId="0" applyFont="1" applyBorder="1"/>
    <xf numFmtId="0" fontId="9" fillId="0" borderId="22" xfId="0" applyFont="1" applyBorder="1" applyAlignment="1">
      <alignment horizontal="center" vertical="center" wrapText="1"/>
    </xf>
    <xf numFmtId="0" fontId="8" fillId="0" borderId="22" xfId="0" applyFont="1" applyBorder="1"/>
    <xf numFmtId="0" fontId="6" fillId="0" borderId="22" xfId="0" applyFont="1" applyBorder="1"/>
    <xf numFmtId="0" fontId="6" fillId="0" borderId="39" xfId="0" applyFont="1" applyBorder="1"/>
    <xf numFmtId="43" fontId="9" fillId="2" borderId="42" xfId="1" applyFont="1" applyFill="1" applyBorder="1" applyAlignment="1">
      <alignment horizontal="center" vertical="center" wrapText="1"/>
    </xf>
    <xf numFmtId="43" fontId="9" fillId="9" borderId="42" xfId="1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wrapText="1"/>
    </xf>
    <xf numFmtId="43" fontId="16" fillId="2" borderId="1" xfId="1" applyFont="1" applyFill="1" applyBorder="1"/>
    <xf numFmtId="0" fontId="7" fillId="0" borderId="0" xfId="0" applyFont="1"/>
    <xf numFmtId="0" fontId="9" fillId="0" borderId="0" xfId="0" applyFont="1" applyAlignment="1">
      <alignment wrapText="1"/>
    </xf>
    <xf numFmtId="43" fontId="6" fillId="0" borderId="21" xfId="1" applyFont="1" applyBorder="1"/>
    <xf numFmtId="43" fontId="6" fillId="2" borderId="9" xfId="1" applyFont="1" applyFill="1" applyBorder="1"/>
    <xf numFmtId="43" fontId="8" fillId="0" borderId="3" xfId="0" applyNumberFormat="1" applyFont="1" applyBorder="1"/>
    <xf numFmtId="43" fontId="9" fillId="2" borderId="21" xfId="1" applyFont="1" applyFill="1" applyBorder="1" applyAlignment="1">
      <alignment horizontal="center" vertical="center" wrapText="1"/>
    </xf>
    <xf numFmtId="43" fontId="9" fillId="0" borderId="21" xfId="1" applyFont="1" applyBorder="1"/>
    <xf numFmtId="43" fontId="8" fillId="0" borderId="21" xfId="1" applyFont="1" applyBorder="1"/>
    <xf numFmtId="43" fontId="8" fillId="2" borderId="21" xfId="1" applyFont="1" applyFill="1" applyBorder="1"/>
    <xf numFmtId="43" fontId="9" fillId="2" borderId="21" xfId="1" applyFont="1" applyFill="1" applyBorder="1"/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/>
    <xf numFmtId="43" fontId="9" fillId="0" borderId="2" xfId="1" applyFont="1" applyBorder="1"/>
    <xf numFmtId="0" fontId="9" fillId="0" borderId="9" xfId="0" applyFont="1" applyBorder="1" applyAlignment="1">
      <alignment horizontal="center" vertical="center" wrapText="1"/>
    </xf>
    <xf numFmtId="0" fontId="6" fillId="0" borderId="6" xfId="0" applyFont="1" applyBorder="1"/>
    <xf numFmtId="0" fontId="9" fillId="0" borderId="4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164" fontId="9" fillId="0" borderId="13" xfId="1" applyNumberFormat="1" applyFont="1" applyBorder="1" applyAlignment="1">
      <alignment horizontal="center" vertical="center" wrapText="1"/>
    </xf>
    <xf numFmtId="0" fontId="3" fillId="0" borderId="5" xfId="0" applyFont="1" applyBorder="1"/>
    <xf numFmtId="0" fontId="6" fillId="0" borderId="15" xfId="0" applyFont="1" applyBorder="1"/>
    <xf numFmtId="164" fontId="9" fillId="0" borderId="46" xfId="1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0" fillId="0" borderId="1" xfId="0" applyBorder="1" applyAlignment="1">
      <alignment horizontal="right"/>
    </xf>
    <xf numFmtId="43" fontId="0" fillId="0" borderId="1" xfId="1" applyFont="1" applyBorder="1"/>
    <xf numFmtId="43" fontId="9" fillId="0" borderId="1" xfId="0" applyNumberFormat="1" applyFont="1" applyBorder="1"/>
    <xf numFmtId="0" fontId="7" fillId="0" borderId="1" xfId="0" applyFont="1" applyBorder="1" applyAlignment="1">
      <alignment horizontal="right"/>
    </xf>
    <xf numFmtId="0" fontId="7" fillId="0" borderId="1" xfId="0" applyFont="1" applyBorder="1"/>
    <xf numFmtId="43" fontId="7" fillId="0" borderId="1" xfId="1" applyFont="1" applyBorder="1"/>
    <xf numFmtId="43" fontId="3" fillId="0" borderId="3" xfId="1" applyFont="1" applyBorder="1"/>
    <xf numFmtId="0" fontId="7" fillId="0" borderId="1" xfId="0" applyFont="1" applyBorder="1" applyAlignment="1">
      <alignment vertical="center"/>
    </xf>
    <xf numFmtId="0" fontId="7" fillId="0" borderId="0" xfId="0" applyFont="1" applyAlignment="1">
      <alignment horizontal="right"/>
    </xf>
    <xf numFmtId="43" fontId="7" fillId="0" borderId="0" xfId="1" applyFont="1"/>
    <xf numFmtId="0" fontId="0" fillId="0" borderId="0" xfId="0" applyAlignment="1">
      <alignment horizontal="left"/>
    </xf>
    <xf numFmtId="0" fontId="9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43" fontId="3" fillId="0" borderId="47" xfId="1" applyFont="1" applyBorder="1"/>
    <xf numFmtId="0" fontId="9" fillId="0" borderId="6" xfId="0" applyFont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center" vertical="center" wrapText="1"/>
    </xf>
    <xf numFmtId="43" fontId="9" fillId="0" borderId="11" xfId="1" applyFont="1" applyBorder="1" applyAlignment="1">
      <alignment horizontal="center" vertical="center" wrapText="1"/>
    </xf>
    <xf numFmtId="43" fontId="9" fillId="2" borderId="11" xfId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13" xfId="0" applyFont="1" applyBorder="1"/>
    <xf numFmtId="0" fontId="3" fillId="0" borderId="5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2" fillId="0" borderId="0" xfId="0" applyFont="1"/>
    <xf numFmtId="43" fontId="3" fillId="0" borderId="13" xfId="0" applyNumberFormat="1" applyFont="1" applyBorder="1"/>
    <xf numFmtId="43" fontId="3" fillId="0" borderId="0" xfId="0" applyNumberFormat="1" applyFont="1"/>
    <xf numFmtId="0" fontId="3" fillId="0" borderId="14" xfId="0" applyFont="1" applyBorder="1"/>
    <xf numFmtId="0" fontId="3" fillId="0" borderId="15" xfId="0" applyFont="1" applyBorder="1"/>
    <xf numFmtId="0" fontId="3" fillId="0" borderId="15" xfId="0" applyFont="1" applyBorder="1" applyAlignment="1">
      <alignment horizontal="right"/>
    </xf>
    <xf numFmtId="43" fontId="3" fillId="0" borderId="15" xfId="1" applyFont="1" applyBorder="1"/>
    <xf numFmtId="43" fontId="3" fillId="0" borderId="46" xfId="0" applyNumberFormat="1" applyFont="1" applyBorder="1"/>
    <xf numFmtId="0" fontId="3" fillId="0" borderId="14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6" fillId="4" borderId="1" xfId="0" applyFont="1" applyFill="1" applyBorder="1"/>
    <xf numFmtId="0" fontId="0" fillId="4" borderId="1" xfId="0" applyFill="1" applyBorder="1"/>
    <xf numFmtId="0" fontId="32" fillId="0" borderId="5" xfId="0" applyFont="1" applyBorder="1"/>
    <xf numFmtId="0" fontId="32" fillId="0" borderId="13" xfId="0" applyFont="1" applyBorder="1"/>
    <xf numFmtId="0" fontId="32" fillId="0" borderId="14" xfId="0" applyFont="1" applyBorder="1"/>
    <xf numFmtId="0" fontId="32" fillId="0" borderId="46" xfId="0" applyFont="1" applyBorder="1"/>
    <xf numFmtId="43" fontId="32" fillId="0" borderId="13" xfId="0" applyNumberFormat="1" applyFont="1" applyBorder="1"/>
    <xf numFmtId="0" fontId="3" fillId="0" borderId="40" xfId="0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9" fillId="0" borderId="41" xfId="0" applyFont="1" applyBorder="1" applyAlignment="1">
      <alignment horizontal="center" vertical="center" wrapText="1"/>
    </xf>
    <xf numFmtId="0" fontId="9" fillId="0" borderId="40" xfId="0" applyFont="1" applyBorder="1" applyAlignment="1">
      <alignment horizontal="center" vertical="center" wrapText="1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0" xfId="0" applyFont="1" applyAlignment="1">
      <alignment horizontal="right"/>
    </xf>
    <xf numFmtId="43" fontId="34" fillId="0" borderId="0" xfId="1" applyFont="1"/>
    <xf numFmtId="0" fontId="35" fillId="0" borderId="0" xfId="0" applyFont="1"/>
    <xf numFmtId="0" fontId="36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1" fontId="35" fillId="0" borderId="1" xfId="0" applyNumberFormat="1" applyFont="1" applyBorder="1" applyAlignment="1">
      <alignment horizontal="center" vertical="center" wrapText="1"/>
    </xf>
    <xf numFmtId="43" fontId="35" fillId="0" borderId="1" xfId="1" applyFont="1" applyBorder="1" applyAlignment="1">
      <alignment horizontal="center" vertical="center" wrapText="1"/>
    </xf>
    <xf numFmtId="43" fontId="35" fillId="2" borderId="1" xfId="1" applyFont="1" applyFill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7" fillId="0" borderId="5" xfId="0" applyFont="1" applyBorder="1"/>
    <xf numFmtId="0" fontId="37" fillId="0" borderId="13" xfId="0" applyFont="1" applyBorder="1"/>
    <xf numFmtId="0" fontId="38" fillId="0" borderId="1" xfId="0" applyFont="1" applyBorder="1"/>
    <xf numFmtId="0" fontId="35" fillId="0" borderId="1" xfId="0" applyFont="1" applyBorder="1" applyAlignment="1">
      <alignment horizontal="left"/>
    </xf>
    <xf numFmtId="0" fontId="39" fillId="0" borderId="1" xfId="0" applyFont="1" applyBorder="1" applyAlignment="1">
      <alignment horizontal="right"/>
    </xf>
    <xf numFmtId="0" fontId="39" fillId="0" borderId="1" xfId="0" applyFont="1" applyBorder="1"/>
    <xf numFmtId="43" fontId="39" fillId="0" borderId="1" xfId="1" applyFont="1" applyBorder="1"/>
    <xf numFmtId="0" fontId="35" fillId="0" borderId="1" xfId="0" applyFont="1" applyBorder="1"/>
    <xf numFmtId="43" fontId="37" fillId="0" borderId="13" xfId="0" applyNumberFormat="1" applyFont="1" applyBorder="1"/>
    <xf numFmtId="0" fontId="39" fillId="0" borderId="1" xfId="0" applyFont="1" applyBorder="1" applyAlignment="1">
      <alignment horizontal="left"/>
    </xf>
    <xf numFmtId="43" fontId="35" fillId="0" borderId="1" xfId="0" applyNumberFormat="1" applyFont="1" applyBorder="1"/>
    <xf numFmtId="0" fontId="38" fillId="0" borderId="1" xfId="0" applyFont="1" applyBorder="1" applyAlignment="1">
      <alignment horizontal="left"/>
    </xf>
    <xf numFmtId="0" fontId="34" fillId="0" borderId="1" xfId="0" applyFont="1" applyBorder="1"/>
    <xf numFmtId="0" fontId="34" fillId="0" borderId="1" xfId="0" applyFont="1" applyBorder="1" applyAlignment="1">
      <alignment horizontal="right"/>
    </xf>
    <xf numFmtId="43" fontId="34" fillId="0" borderId="1" xfId="1" applyFont="1" applyBorder="1"/>
    <xf numFmtId="0" fontId="39" fillId="0" borderId="1" xfId="0" applyFont="1" applyBorder="1" applyAlignment="1">
      <alignment horizontal="left" vertical="center"/>
    </xf>
    <xf numFmtId="0" fontId="39" fillId="0" borderId="0" xfId="0" applyFont="1"/>
    <xf numFmtId="0" fontId="39" fillId="0" borderId="0" xfId="0" applyFont="1" applyAlignment="1">
      <alignment horizontal="left"/>
    </xf>
    <xf numFmtId="0" fontId="39" fillId="0" borderId="0" xfId="0" applyFont="1" applyAlignment="1">
      <alignment horizontal="right"/>
    </xf>
    <xf numFmtId="43" fontId="39" fillId="0" borderId="0" xfId="1" applyFont="1"/>
    <xf numFmtId="43" fontId="36" fillId="0" borderId="47" xfId="1" applyFont="1" applyBorder="1"/>
    <xf numFmtId="0" fontId="36" fillId="0" borderId="0" xfId="0" applyFont="1"/>
    <xf numFmtId="0" fontId="38" fillId="0" borderId="0" xfId="0" applyFont="1"/>
    <xf numFmtId="0" fontId="38" fillId="0" borderId="0" xfId="0" applyFont="1" applyAlignment="1">
      <alignment horizontal="right"/>
    </xf>
    <xf numFmtId="1" fontId="38" fillId="0" borderId="0" xfId="0" applyNumberFormat="1" applyFont="1" applyAlignment="1">
      <alignment horizontal="center"/>
    </xf>
    <xf numFmtId="9" fontId="7" fillId="0" borderId="1" xfId="2" applyFont="1" applyBorder="1"/>
    <xf numFmtId="9" fontId="6" fillId="0" borderId="1" xfId="2" applyFont="1" applyBorder="1"/>
    <xf numFmtId="43" fontId="6" fillId="0" borderId="1" xfId="0" applyNumberFormat="1" applyFont="1" applyBorder="1"/>
    <xf numFmtId="43" fontId="41" fillId="0" borderId="1" xfId="1" applyFont="1" applyBorder="1"/>
    <xf numFmtId="43" fontId="9" fillId="0" borderId="0" xfId="0" applyNumberFormat="1" applyFont="1"/>
    <xf numFmtId="0" fontId="9" fillId="0" borderId="1" xfId="0" applyFont="1" applyBorder="1" applyAlignment="1">
      <alignment horizontal="center"/>
    </xf>
    <xf numFmtId="164" fontId="12" fillId="2" borderId="7" xfId="1" applyNumberFormat="1" applyFont="1" applyFill="1" applyBorder="1" applyAlignment="1">
      <alignment horizontal="center" vertical="center"/>
    </xf>
    <xf numFmtId="164" fontId="9" fillId="2" borderId="1" xfId="1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64" fontId="8" fillId="2" borderId="1" xfId="1" applyNumberFormat="1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29" fillId="2" borderId="6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 indent="5"/>
    </xf>
    <xf numFmtId="0" fontId="8" fillId="0" borderId="0" xfId="0" applyFont="1"/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left" vertical="center" wrapText="1"/>
    </xf>
    <xf numFmtId="0" fontId="29" fillId="0" borderId="1" xfId="0" applyFont="1" applyBorder="1" applyAlignment="1">
      <alignment horizontal="center" vertical="center"/>
    </xf>
    <xf numFmtId="0" fontId="46" fillId="0" borderId="0" xfId="0" applyFont="1"/>
    <xf numFmtId="0" fontId="45" fillId="0" borderId="1" xfId="0" applyFont="1" applyBorder="1" applyAlignment="1">
      <alignment horizontal="left" vertical="center" indent="5"/>
    </xf>
    <xf numFmtId="0" fontId="8" fillId="0" borderId="1" xfId="0" applyFont="1" applyBorder="1" applyAlignment="1">
      <alignment horizontal="center" vertical="center" wrapText="1"/>
    </xf>
    <xf numFmtId="0" fontId="0" fillId="11" borderId="0" xfId="0" applyFill="1" applyAlignment="1" applyProtection="1">
      <alignment horizontal="left" vertical="center"/>
      <protection hidden="1"/>
    </xf>
    <xf numFmtId="0" fontId="0" fillId="0" borderId="0" xfId="0" applyProtection="1">
      <protection hidden="1"/>
    </xf>
    <xf numFmtId="0" fontId="0" fillId="7" borderId="0" xfId="0" applyFill="1" applyAlignment="1" applyProtection="1">
      <alignment horizontal="left" vertical="center"/>
      <protection hidden="1"/>
    </xf>
    <xf numFmtId="0" fontId="9" fillId="0" borderId="0" xfId="0" applyFont="1" applyAlignment="1" applyProtection="1">
      <alignment horizontal="center"/>
      <protection hidden="1"/>
    </xf>
    <xf numFmtId="43" fontId="9" fillId="0" borderId="0" xfId="1" applyFont="1" applyAlignment="1" applyProtection="1">
      <alignment horizontal="center"/>
      <protection hidden="1"/>
    </xf>
    <xf numFmtId="0" fontId="0" fillId="0" borderId="0" xfId="0" applyAlignment="1" applyProtection="1">
      <alignment horizontal="left" vertical="center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9" fillId="0" borderId="1" xfId="0" applyFont="1" applyBorder="1" applyAlignment="1" applyProtection="1">
      <alignment horizontal="center" vertical="center" wrapText="1"/>
      <protection hidden="1"/>
    </xf>
    <xf numFmtId="0" fontId="9" fillId="2" borderId="6" xfId="0" applyFont="1" applyFill="1" applyBorder="1" applyAlignment="1" applyProtection="1">
      <alignment horizontal="center" vertical="center" wrapText="1"/>
      <protection hidden="1"/>
    </xf>
    <xf numFmtId="43" fontId="9" fillId="2" borderId="48" xfId="1" applyFont="1" applyFill="1" applyBorder="1" applyAlignment="1" applyProtection="1">
      <alignment horizontal="center" vertical="center" wrapText="1"/>
      <protection hidden="1"/>
    </xf>
    <xf numFmtId="43" fontId="9" fillId="2" borderId="28" xfId="1" applyFont="1" applyFill="1" applyBorder="1" applyAlignment="1" applyProtection="1">
      <alignment horizontal="center" vertical="center" wrapText="1"/>
      <protection hidden="1"/>
    </xf>
    <xf numFmtId="0" fontId="9" fillId="0" borderId="37" xfId="0" applyFont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 wrapText="1"/>
      <protection hidden="1"/>
    </xf>
    <xf numFmtId="0" fontId="9" fillId="2" borderId="0" xfId="0" applyFont="1" applyFill="1" applyAlignment="1" applyProtection="1">
      <alignment horizontal="center" vertical="center" wrapText="1"/>
      <protection hidden="1"/>
    </xf>
    <xf numFmtId="43" fontId="9" fillId="2" borderId="0" xfId="1" applyFont="1" applyFill="1" applyAlignment="1" applyProtection="1">
      <alignment horizontal="center" vertical="center" wrapText="1"/>
      <protection hidden="1"/>
    </xf>
    <xf numFmtId="0" fontId="0" fillId="0" borderId="22" xfId="0" applyBorder="1" applyAlignment="1" applyProtection="1">
      <alignment horizontal="left" vertical="center" wrapText="1"/>
      <protection hidden="1"/>
    </xf>
    <xf numFmtId="0" fontId="0" fillId="0" borderId="0" xfId="0" applyAlignment="1" applyProtection="1">
      <alignment horizontal="left" vertical="center" wrapText="1"/>
      <protection hidden="1"/>
    </xf>
    <xf numFmtId="43" fontId="9" fillId="0" borderId="0" xfId="1" applyFont="1" applyAlignment="1" applyProtection="1">
      <alignment horizontal="center" vertical="center" wrapText="1"/>
      <protection hidden="1"/>
    </xf>
    <xf numFmtId="0" fontId="44" fillId="0" borderId="22" xfId="0" applyFont="1" applyBorder="1" applyAlignment="1" applyProtection="1">
      <alignment horizontal="center" vertical="center" wrapText="1"/>
      <protection hidden="1"/>
    </xf>
    <xf numFmtId="43" fontId="9" fillId="11" borderId="0" xfId="1" applyFont="1" applyFill="1" applyAlignment="1" applyProtection="1">
      <alignment horizontal="center" vertical="center" wrapText="1"/>
      <protection hidden="1"/>
    </xf>
    <xf numFmtId="43" fontId="6" fillId="0" borderId="0" xfId="1" applyFont="1" applyAlignment="1" applyProtection="1">
      <alignment horizontal="center" vertical="center" wrapText="1"/>
      <protection hidden="1"/>
    </xf>
    <xf numFmtId="43" fontId="9" fillId="3" borderId="0" xfId="1" applyFont="1" applyFill="1" applyAlignment="1" applyProtection="1">
      <alignment horizontal="center" vertical="center" wrapText="1"/>
      <protection hidden="1"/>
    </xf>
    <xf numFmtId="0" fontId="44" fillId="0" borderId="22" xfId="0" applyFont="1" applyBorder="1" applyAlignment="1" applyProtection="1">
      <alignment horizontal="left" vertical="center" wrapText="1"/>
      <protection hidden="1"/>
    </xf>
    <xf numFmtId="43" fontId="9" fillId="0" borderId="0" xfId="1" applyFont="1" applyAlignment="1" applyProtection="1">
      <alignment horizontal="left" vertical="center"/>
      <protection hidden="1"/>
    </xf>
    <xf numFmtId="0" fontId="8" fillId="0" borderId="1" xfId="0" applyFont="1" applyBorder="1" applyAlignment="1">
      <alignment wrapText="1"/>
    </xf>
    <xf numFmtId="0" fontId="8" fillId="0" borderId="1" xfId="0" applyFont="1" applyBorder="1" applyAlignment="1">
      <alignment horizontal="center" wrapText="1"/>
    </xf>
    <xf numFmtId="0" fontId="8" fillId="0" borderId="21" xfId="0" applyFont="1" applyBorder="1" applyAlignment="1">
      <alignment wrapText="1"/>
    </xf>
    <xf numFmtId="0" fontId="8" fillId="0" borderId="32" xfId="0" applyFont="1" applyBorder="1" applyAlignment="1">
      <alignment wrapText="1"/>
    </xf>
    <xf numFmtId="0" fontId="29" fillId="0" borderId="1" xfId="0" applyFont="1" applyBorder="1" applyAlignment="1">
      <alignment vertical="center"/>
    </xf>
    <xf numFmtId="3" fontId="8" fillId="0" borderId="1" xfId="0" applyNumberFormat="1" applyFont="1" applyBorder="1" applyAlignment="1">
      <alignment vertical="center" wrapText="1"/>
    </xf>
    <xf numFmtId="0" fontId="13" fillId="2" borderId="0" xfId="1" applyNumberFormat="1" applyFont="1" applyFill="1" applyAlignment="1">
      <alignment vertical="center"/>
    </xf>
    <xf numFmtId="0" fontId="13" fillId="2" borderId="0" xfId="1" applyNumberFormat="1" applyFont="1" applyFill="1"/>
    <xf numFmtId="0" fontId="13" fillId="2" borderId="1" xfId="1" applyNumberFormat="1" applyFont="1" applyFill="1" applyBorder="1" applyAlignment="1">
      <alignment vertical="center"/>
    </xf>
    <xf numFmtId="0" fontId="9" fillId="2" borderId="1" xfId="1" applyNumberFormat="1" applyFont="1" applyFill="1" applyBorder="1" applyAlignment="1">
      <alignment vertical="center"/>
    </xf>
    <xf numFmtId="0" fontId="13" fillId="2" borderId="0" xfId="1" applyNumberFormat="1" applyFont="1" applyFill="1" applyAlignment="1">
      <alignment horizontal="center"/>
    </xf>
    <xf numFmtId="0" fontId="13" fillId="0" borderId="0" xfId="0" applyFont="1" applyAlignment="1">
      <alignment horizontal="center"/>
    </xf>
    <xf numFmtId="43" fontId="9" fillId="2" borderId="1" xfId="1" applyFont="1" applyFill="1" applyBorder="1" applyAlignment="1">
      <alignment horizontal="center"/>
    </xf>
    <xf numFmtId="0" fontId="13" fillId="7" borderId="0" xfId="0" applyFont="1" applyFill="1" applyAlignment="1">
      <alignment horizontal="center"/>
    </xf>
    <xf numFmtId="0" fontId="9" fillId="7" borderId="0" xfId="0" applyFont="1" applyFill="1" applyAlignment="1">
      <alignment horizontal="center" vertical="center"/>
    </xf>
    <xf numFmtId="43" fontId="9" fillId="0" borderId="0" xfId="1" applyFont="1" applyFill="1" applyAlignment="1" applyProtection="1">
      <alignment horizontal="center" vertical="center" wrapText="1"/>
      <protection hidden="1"/>
    </xf>
    <xf numFmtId="2" fontId="0" fillId="0" borderId="0" xfId="0" applyNumberFormat="1"/>
    <xf numFmtId="1" fontId="0" fillId="0" borderId="0" xfId="0" quotePrefix="1" applyNumberFormat="1"/>
    <xf numFmtId="0" fontId="48" fillId="4" borderId="50" xfId="0" applyFont="1" applyFill="1" applyBorder="1" applyAlignment="1"/>
    <xf numFmtId="1" fontId="9" fillId="0" borderId="1" xfId="1" applyNumberFormat="1" applyFont="1" applyBorder="1" applyAlignment="1">
      <alignment vertical="center"/>
    </xf>
    <xf numFmtId="1" fontId="8" fillId="0" borderId="1" xfId="1" applyNumberFormat="1" applyFont="1" applyBorder="1" applyAlignment="1">
      <alignment vertical="center"/>
    </xf>
    <xf numFmtId="1" fontId="2" fillId="0" borderId="0" xfId="1" applyNumberFormat="1" applyFont="1"/>
    <xf numFmtId="0" fontId="12" fillId="15" borderId="1" xfId="0" applyFont="1" applyFill="1" applyBorder="1" applyAlignment="1">
      <alignment horizontal="center" vertical="center"/>
    </xf>
    <xf numFmtId="1" fontId="2" fillId="0" borderId="1" xfId="1" applyNumberFormat="1" applyFont="1" applyBorder="1" applyAlignment="1">
      <alignment vertical="center"/>
    </xf>
    <xf numFmtId="1" fontId="9" fillId="0" borderId="1" xfId="1" applyNumberFormat="1" applyFont="1" applyBorder="1"/>
    <xf numFmtId="1" fontId="0" fillId="0" borderId="0" xfId="1" applyNumberFormat="1" applyFont="1"/>
    <xf numFmtId="1" fontId="2" fillId="0" borderId="0" xfId="1" applyNumberFormat="1" applyFont="1" applyAlignment="1">
      <alignment vertical="center"/>
    </xf>
    <xf numFmtId="1" fontId="2" fillId="0" borderId="1" xfId="1" applyNumberFormat="1" applyFont="1" applyBorder="1"/>
    <xf numFmtId="1" fontId="0" fillId="0" borderId="0" xfId="0" applyNumberFormat="1"/>
    <xf numFmtId="1" fontId="13" fillId="0" borderId="0" xfId="0" applyNumberFormat="1" applyFont="1"/>
    <xf numFmtId="43" fontId="9" fillId="0" borderId="21" xfId="1" applyFont="1" applyBorder="1" applyAlignment="1">
      <alignment horizontal="right" vertical="center"/>
    </xf>
    <xf numFmtId="43" fontId="13" fillId="0" borderId="9" xfId="1" applyFont="1" applyBorder="1"/>
    <xf numFmtId="43" fontId="3" fillId="0" borderId="57" xfId="1" applyFont="1" applyBorder="1"/>
    <xf numFmtId="0" fontId="6" fillId="0" borderId="58" xfId="0" applyFont="1" applyBorder="1"/>
    <xf numFmtId="0" fontId="0" fillId="0" borderId="58" xfId="0" applyBorder="1"/>
    <xf numFmtId="0" fontId="6" fillId="0" borderId="58" xfId="0" applyFont="1" applyBorder="1" applyAlignment="1">
      <alignment horizontal="center" vertical="center"/>
    </xf>
    <xf numFmtId="0" fontId="8" fillId="0" borderId="1" xfId="0" quotePrefix="1" applyFont="1" applyBorder="1" applyAlignment="1">
      <alignment horizontal="center" vertical="center"/>
    </xf>
    <xf numFmtId="0" fontId="29" fillId="0" borderId="21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9" fillId="0" borderId="1" xfId="0" applyFont="1" applyBorder="1" applyAlignment="1">
      <alignment horizontal="left" vertical="center"/>
    </xf>
    <xf numFmtId="0" fontId="9" fillId="0" borderId="21" xfId="0" applyFont="1" applyBorder="1" applyAlignment="1">
      <alignment vertical="center"/>
    </xf>
    <xf numFmtId="0" fontId="9" fillId="7" borderId="1" xfId="1" applyNumberFormat="1" applyFont="1" applyFill="1" applyBorder="1" applyAlignment="1">
      <alignment vertical="center"/>
    </xf>
    <xf numFmtId="0" fontId="9" fillId="7" borderId="1" xfId="0" applyFont="1" applyFill="1" applyBorder="1" applyAlignment="1">
      <alignment vertical="center"/>
    </xf>
    <xf numFmtId="164" fontId="9" fillId="7" borderId="1" xfId="1" applyNumberFormat="1" applyFont="1" applyFill="1" applyBorder="1" applyAlignment="1">
      <alignment horizontal="right" vertical="center"/>
    </xf>
    <xf numFmtId="43" fontId="26" fillId="7" borderId="1" xfId="1" applyFont="1" applyFill="1" applyBorder="1"/>
    <xf numFmtId="0" fontId="26" fillId="7" borderId="1" xfId="0" applyFont="1" applyFill="1" applyBorder="1"/>
    <xf numFmtId="43" fontId="26" fillId="7" borderId="21" xfId="1" applyFont="1" applyFill="1" applyBorder="1"/>
    <xf numFmtId="43" fontId="13" fillId="7" borderId="1" xfId="1" applyFont="1" applyFill="1" applyBorder="1"/>
    <xf numFmtId="164" fontId="12" fillId="12" borderId="7" xfId="1" applyNumberFormat="1" applyFont="1" applyFill="1" applyBorder="1" applyAlignment="1">
      <alignment horizontal="center" vertical="center"/>
    </xf>
    <xf numFmtId="164" fontId="26" fillId="12" borderId="0" xfId="1" applyNumberFormat="1" applyFont="1" applyFill="1"/>
    <xf numFmtId="43" fontId="12" fillId="12" borderId="10" xfId="1" applyFont="1" applyFill="1" applyBorder="1" applyAlignment="1">
      <alignment horizontal="center" vertical="center" wrapText="1"/>
    </xf>
    <xf numFmtId="43" fontId="27" fillId="12" borderId="1" xfId="1" applyFont="1" applyFill="1" applyBorder="1" applyAlignment="1">
      <alignment horizontal="center" vertical="center" wrapText="1"/>
    </xf>
    <xf numFmtId="43" fontId="26" fillId="12" borderId="1" xfId="1" applyFont="1" applyFill="1" applyBorder="1"/>
    <xf numFmtId="43" fontId="28" fillId="12" borderId="1" xfId="1" applyFont="1" applyFill="1" applyBorder="1"/>
    <xf numFmtId="43" fontId="26" fillId="12" borderId="0" xfId="1" applyFont="1" applyFill="1"/>
    <xf numFmtId="0" fontId="9" fillId="0" borderId="1" xfId="0" applyFont="1" applyFill="1" applyBorder="1" applyAlignment="1">
      <alignment vertical="center"/>
    </xf>
    <xf numFmtId="3" fontId="9" fillId="0" borderId="1" xfId="0" applyNumberFormat="1" applyFont="1" applyFill="1" applyBorder="1" applyAlignment="1">
      <alignment vertical="center"/>
    </xf>
    <xf numFmtId="4" fontId="9" fillId="0" borderId="1" xfId="0" applyNumberFormat="1" applyFont="1" applyFill="1" applyBorder="1" applyAlignment="1">
      <alignment vertical="center"/>
    </xf>
    <xf numFmtId="0" fontId="0" fillId="0" borderId="1" xfId="0" applyFill="1" applyBorder="1"/>
    <xf numFmtId="0" fontId="25" fillId="0" borderId="1" xfId="0" applyFont="1" applyFill="1" applyBorder="1" applyAlignment="1">
      <alignment vertical="center"/>
    </xf>
    <xf numFmtId="4" fontId="25" fillId="0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39" fontId="7" fillId="0" borderId="1" xfId="0" applyNumberFormat="1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/>
    <xf numFmtId="0" fontId="9" fillId="0" borderId="1" xfId="0" applyFont="1" applyFill="1" applyBorder="1"/>
    <xf numFmtId="164" fontId="12" fillId="7" borderId="7" xfId="1" applyNumberFormat="1" applyFont="1" applyFill="1" applyBorder="1" applyAlignment="1">
      <alignment horizontal="center" vertical="center"/>
    </xf>
    <xf numFmtId="164" fontId="26" fillId="7" borderId="0" xfId="1" applyNumberFormat="1" applyFont="1" applyFill="1"/>
    <xf numFmtId="43" fontId="12" fillId="7" borderId="10" xfId="1" applyFont="1" applyFill="1" applyBorder="1" applyAlignment="1">
      <alignment horizontal="center" vertical="center" wrapText="1"/>
    </xf>
    <xf numFmtId="0" fontId="27" fillId="7" borderId="1" xfId="0" applyFont="1" applyFill="1" applyBorder="1" applyAlignment="1">
      <alignment horizontal="center" vertical="center" wrapText="1"/>
    </xf>
    <xf numFmtId="43" fontId="28" fillId="7" borderId="1" xfId="1" applyFont="1" applyFill="1" applyBorder="1"/>
    <xf numFmtId="0" fontId="26" fillId="7" borderId="0" xfId="0" applyFont="1" applyFill="1"/>
    <xf numFmtId="164" fontId="12" fillId="17" borderId="7" xfId="1" applyNumberFormat="1" applyFont="1" applyFill="1" applyBorder="1" applyAlignment="1">
      <alignment horizontal="center" vertical="center"/>
    </xf>
    <xf numFmtId="164" fontId="26" fillId="17" borderId="0" xfId="1" applyNumberFormat="1" applyFont="1" applyFill="1"/>
    <xf numFmtId="43" fontId="12" fillId="17" borderId="10" xfId="1" applyFont="1" applyFill="1" applyBorder="1" applyAlignment="1">
      <alignment horizontal="center" vertical="center" wrapText="1"/>
    </xf>
    <xf numFmtId="43" fontId="27" fillId="17" borderId="1" xfId="1" applyFont="1" applyFill="1" applyBorder="1" applyAlignment="1">
      <alignment horizontal="center" vertical="center" wrapText="1"/>
    </xf>
    <xf numFmtId="43" fontId="26" fillId="17" borderId="1" xfId="1" applyFont="1" applyFill="1" applyBorder="1"/>
    <xf numFmtId="43" fontId="26" fillId="17" borderId="0" xfId="1" applyFont="1" applyFill="1"/>
    <xf numFmtId="43" fontId="12" fillId="2" borderId="7" xfId="1" applyFont="1" applyFill="1" applyBorder="1" applyAlignment="1">
      <alignment horizontal="center" vertical="center"/>
    </xf>
    <xf numFmtId="43" fontId="9" fillId="2" borderId="1" xfId="1" applyFont="1" applyFill="1" applyBorder="1" applyAlignment="1">
      <alignment vertical="center"/>
    </xf>
    <xf numFmtId="43" fontId="51" fillId="2" borderId="1" xfId="1" applyFont="1" applyFill="1" applyBorder="1" applyAlignment="1">
      <alignment vertical="center"/>
    </xf>
    <xf numFmtId="43" fontId="0" fillId="2" borderId="1" xfId="1" applyFont="1" applyFill="1" applyBorder="1"/>
    <xf numFmtId="0" fontId="50" fillId="0" borderId="0" xfId="1" applyNumberFormat="1" applyFont="1" applyAlignment="1">
      <alignment horizontal="center" vertical="center"/>
    </xf>
    <xf numFmtId="0" fontId="53" fillId="0" borderId="1" xfId="0" applyFont="1" applyFill="1" applyBorder="1" applyAlignment="1">
      <alignment vertical="center"/>
    </xf>
    <xf numFmtId="3" fontId="53" fillId="0" borderId="1" xfId="0" applyNumberFormat="1" applyFont="1" applyFill="1" applyBorder="1" applyAlignment="1">
      <alignment vertical="center"/>
    </xf>
    <xf numFmtId="4" fontId="53" fillId="0" borderId="1" xfId="0" applyNumberFormat="1" applyFont="1" applyFill="1" applyBorder="1" applyAlignment="1">
      <alignment vertical="center"/>
    </xf>
    <xf numFmtId="3" fontId="53" fillId="0" borderId="2" xfId="0" applyNumberFormat="1" applyFont="1" applyFill="1" applyBorder="1" applyAlignment="1">
      <alignment vertical="center"/>
    </xf>
    <xf numFmtId="0" fontId="53" fillId="0" borderId="2" xfId="0" applyFont="1" applyFill="1" applyBorder="1" applyAlignment="1">
      <alignment vertical="center"/>
    </xf>
    <xf numFmtId="43" fontId="52" fillId="0" borderId="1" xfId="1" applyFont="1" applyFill="1" applyBorder="1"/>
    <xf numFmtId="43" fontId="26" fillId="0" borderId="1" xfId="1" applyFont="1" applyFill="1" applyBorder="1"/>
    <xf numFmtId="0" fontId="12" fillId="0" borderId="1" xfId="0" applyFont="1" applyFill="1" applyBorder="1" applyAlignment="1">
      <alignment vertical="center"/>
    </xf>
    <xf numFmtId="3" fontId="12" fillId="0" borderId="1" xfId="0" applyNumberFormat="1" applyFont="1" applyFill="1" applyBorder="1" applyAlignment="1">
      <alignment vertical="center"/>
    </xf>
    <xf numFmtId="164" fontId="26" fillId="7" borderId="0" xfId="0" applyNumberFormat="1" applyFont="1" applyFill="1"/>
    <xf numFmtId="0" fontId="12" fillId="7" borderId="10" xfId="0" applyFont="1" applyFill="1" applyBorder="1" applyAlignment="1">
      <alignment horizontal="center" vertical="center" wrapText="1"/>
    </xf>
    <xf numFmtId="164" fontId="12" fillId="0" borderId="7" xfId="1" applyNumberFormat="1" applyFont="1" applyFill="1" applyBorder="1" applyAlignment="1">
      <alignment horizontal="center" vertical="center"/>
    </xf>
    <xf numFmtId="164" fontId="26" fillId="0" borderId="0" xfId="1" applyNumberFormat="1" applyFont="1" applyFill="1"/>
    <xf numFmtId="43" fontId="12" fillId="0" borderId="10" xfId="1" applyFont="1" applyFill="1" applyBorder="1" applyAlignment="1">
      <alignment horizontal="center" vertical="center" wrapText="1"/>
    </xf>
    <xf numFmtId="43" fontId="27" fillId="0" borderId="1" xfId="1" applyFont="1" applyFill="1" applyBorder="1" applyAlignment="1">
      <alignment horizontal="center" vertical="center" wrapText="1"/>
    </xf>
    <xf numFmtId="43" fontId="26" fillId="0" borderId="0" xfId="1" applyFont="1" applyFill="1"/>
    <xf numFmtId="43" fontId="25" fillId="0" borderId="1" xfId="1" applyFont="1" applyFill="1" applyBorder="1" applyAlignment="1">
      <alignment vertical="center"/>
    </xf>
    <xf numFmtId="3" fontId="54" fillId="0" borderId="2" xfId="0" applyNumberFormat="1" applyFont="1" applyFill="1" applyBorder="1" applyAlignment="1">
      <alignment vertical="center"/>
    </xf>
    <xf numFmtId="3" fontId="8" fillId="0" borderId="2" xfId="0" applyNumberFormat="1" applyFont="1" applyFill="1" applyBorder="1" applyAlignment="1">
      <alignment vertical="center"/>
    </xf>
    <xf numFmtId="0" fontId="8" fillId="0" borderId="2" xfId="0" applyFont="1" applyFill="1" applyBorder="1" applyAlignment="1">
      <alignment vertical="center"/>
    </xf>
    <xf numFmtId="3" fontId="8" fillId="0" borderId="1" xfId="0" applyNumberFormat="1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39" fontId="7" fillId="0" borderId="1" xfId="0" applyNumberFormat="1" applyFont="1" applyFill="1" applyBorder="1" applyAlignment="1">
      <alignment horizontal="center" vertical="center"/>
    </xf>
    <xf numFmtId="0" fontId="57" fillId="7" borderId="0" xfId="0" applyFont="1" applyFill="1" applyAlignment="1">
      <alignment horizontal="center"/>
    </xf>
    <xf numFmtId="0" fontId="56" fillId="7" borderId="0" xfId="0" applyFont="1" applyFill="1"/>
    <xf numFmtId="0" fontId="58" fillId="7" borderId="0" xfId="0" applyFont="1" applyFill="1" applyBorder="1"/>
    <xf numFmtId="0" fontId="56" fillId="7" borderId="0" xfId="0" applyFont="1" applyFill="1" applyBorder="1"/>
    <xf numFmtId="0" fontId="55" fillId="7" borderId="0" xfId="0" applyFont="1" applyFill="1" applyAlignment="1">
      <alignment horizontal="center" vertical="center"/>
    </xf>
    <xf numFmtId="0" fontId="59" fillId="7" borderId="0" xfId="0" applyFont="1" applyFill="1" applyAlignment="1">
      <alignment horizontal="center" vertical="center" wrapText="1"/>
    </xf>
    <xf numFmtId="0" fontId="60" fillId="7" borderId="50" xfId="0" applyFont="1" applyFill="1" applyBorder="1"/>
    <xf numFmtId="0" fontId="56" fillId="7" borderId="51" xfId="0" applyFont="1" applyFill="1" applyBorder="1"/>
    <xf numFmtId="0" fontId="56" fillId="7" borderId="49" xfId="0" applyFont="1" applyFill="1" applyBorder="1"/>
    <xf numFmtId="0" fontId="55" fillId="7" borderId="30" xfId="0" applyFont="1" applyFill="1" applyBorder="1" applyAlignment="1">
      <alignment horizontal="right" vertical="center"/>
    </xf>
    <xf numFmtId="0" fontId="55" fillId="7" borderId="0" xfId="0" applyFont="1" applyFill="1" applyAlignment="1">
      <alignment horizontal="right" vertical="center"/>
    </xf>
    <xf numFmtId="0" fontId="59" fillId="7" borderId="0" xfId="0" applyFont="1" applyFill="1" applyAlignment="1">
      <alignment horizontal="left" vertical="center"/>
    </xf>
    <xf numFmtId="0" fontId="55" fillId="7" borderId="0" xfId="0" applyFont="1" applyFill="1" applyAlignment="1">
      <alignment horizontal="right"/>
    </xf>
    <xf numFmtId="164" fontId="59" fillId="7" borderId="0" xfId="1" applyNumberFormat="1" applyFont="1" applyFill="1" applyAlignment="1">
      <alignment vertical="center"/>
    </xf>
    <xf numFmtId="0" fontId="61" fillId="7" borderId="0" xfId="0" applyFont="1" applyFill="1" applyAlignment="1">
      <alignment horizontal="center"/>
    </xf>
    <xf numFmtId="0" fontId="61" fillId="7" borderId="0" xfId="0" applyFont="1" applyFill="1" applyAlignment="1">
      <alignment horizontal="center" vertical="center" wrapText="1"/>
    </xf>
    <xf numFmtId="0" fontId="61" fillId="7" borderId="0" xfId="0" applyFont="1" applyFill="1"/>
    <xf numFmtId="43" fontId="62" fillId="7" borderId="29" xfId="1" applyFont="1" applyFill="1" applyBorder="1"/>
    <xf numFmtId="0" fontId="63" fillId="7" borderId="0" xfId="0" applyFont="1" applyFill="1" applyAlignment="1">
      <alignment horizontal="center" vertical="center"/>
    </xf>
    <xf numFmtId="0" fontId="63" fillId="7" borderId="31" xfId="0" applyFont="1" applyFill="1" applyBorder="1" applyAlignment="1">
      <alignment horizontal="center" vertical="center"/>
    </xf>
    <xf numFmtId="0" fontId="55" fillId="7" borderId="32" xfId="0" applyFont="1" applyFill="1" applyBorder="1" applyAlignment="1">
      <alignment horizontal="center" vertical="center" wrapText="1"/>
    </xf>
    <xf numFmtId="0" fontId="55" fillId="7" borderId="31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/>
    </xf>
    <xf numFmtId="0" fontId="60" fillId="7" borderId="50" xfId="0" applyFont="1" applyFill="1" applyBorder="1" applyAlignment="1"/>
    <xf numFmtId="0" fontId="60" fillId="7" borderId="51" xfId="0" applyFont="1" applyFill="1" applyBorder="1" applyAlignment="1"/>
    <xf numFmtId="0" fontId="60" fillId="7" borderId="49" xfId="0" applyFont="1" applyFill="1" applyBorder="1" applyAlignment="1"/>
    <xf numFmtId="0" fontId="60" fillId="7" borderId="0" xfId="0" applyFont="1" applyFill="1" applyAlignment="1"/>
    <xf numFmtId="43" fontId="62" fillId="7" borderId="29" xfId="1" applyFont="1" applyFill="1" applyBorder="1" applyAlignment="1"/>
    <xf numFmtId="43" fontId="55" fillId="7" borderId="0" xfId="1" applyFont="1" applyFill="1" applyAlignment="1">
      <alignment horizontal="right"/>
    </xf>
    <xf numFmtId="43" fontId="56" fillId="7" borderId="0" xfId="1" applyFont="1" applyFill="1"/>
    <xf numFmtId="43" fontId="55" fillId="7" borderId="0" xfId="1" applyFont="1" applyFill="1" applyAlignment="1">
      <alignment horizontal="center" vertical="center"/>
    </xf>
    <xf numFmtId="43" fontId="61" fillId="7" borderId="0" xfId="1" applyFont="1" applyFill="1" applyAlignment="1">
      <alignment horizontal="center"/>
    </xf>
    <xf numFmtId="43" fontId="63" fillId="7" borderId="0" xfId="1" applyFont="1" applyFill="1" applyAlignment="1">
      <alignment horizontal="center" vertical="center"/>
    </xf>
    <xf numFmtId="43" fontId="62" fillId="7" borderId="50" xfId="1" applyFont="1" applyFill="1" applyBorder="1" applyAlignment="1"/>
    <xf numFmtId="0" fontId="65" fillId="2" borderId="0" xfId="0" applyFont="1" applyFill="1" applyAlignment="1">
      <alignment horizontal="center"/>
    </xf>
    <xf numFmtId="0" fontId="66" fillId="2" borderId="0" xfId="0" applyFont="1" applyFill="1"/>
    <xf numFmtId="0" fontId="67" fillId="2" borderId="0" xfId="0" applyFont="1" applyFill="1" applyBorder="1"/>
    <xf numFmtId="0" fontId="66" fillId="2" borderId="0" xfId="0" applyFont="1" applyFill="1" applyBorder="1"/>
    <xf numFmtId="0" fontId="68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 wrapText="1"/>
    </xf>
    <xf numFmtId="0" fontId="69" fillId="2" borderId="50" xfId="0" applyFont="1" applyFill="1" applyBorder="1" applyAlignment="1"/>
    <xf numFmtId="0" fontId="69" fillId="2" borderId="51" xfId="0" applyFont="1" applyFill="1" applyBorder="1" applyAlignment="1"/>
    <xf numFmtId="0" fontId="69" fillId="2" borderId="49" xfId="0" applyFont="1" applyFill="1" applyBorder="1" applyAlignment="1"/>
    <xf numFmtId="0" fontId="69" fillId="2" borderId="0" xfId="0" applyFont="1" applyFill="1" applyAlignment="1"/>
    <xf numFmtId="0" fontId="70" fillId="2" borderId="3" xfId="0" applyFont="1" applyFill="1" applyBorder="1" applyAlignment="1">
      <alignment horizontal="center" vertical="center"/>
    </xf>
    <xf numFmtId="0" fontId="68" fillId="2" borderId="30" xfId="0" applyFont="1" applyFill="1" applyBorder="1" applyAlignment="1">
      <alignment horizontal="right" vertical="center"/>
    </xf>
    <xf numFmtId="0" fontId="68" fillId="2" borderId="0" xfId="0" applyFont="1" applyFill="1" applyAlignment="1">
      <alignment horizontal="right" vertical="center"/>
    </xf>
    <xf numFmtId="0" fontId="12" fillId="2" borderId="0" xfId="0" applyFont="1" applyFill="1" applyAlignment="1">
      <alignment horizontal="left" vertical="center"/>
    </xf>
    <xf numFmtId="0" fontId="68" fillId="2" borderId="0" xfId="0" applyFont="1" applyFill="1" applyAlignment="1">
      <alignment horizontal="right"/>
    </xf>
    <xf numFmtId="164" fontId="12" fillId="2" borderId="0" xfId="1" applyNumberFormat="1" applyFont="1" applyFill="1" applyAlignment="1">
      <alignment vertical="center"/>
    </xf>
    <xf numFmtId="0" fontId="71" fillId="2" borderId="0" xfId="0" applyFont="1" applyFill="1" applyAlignment="1">
      <alignment horizontal="center"/>
    </xf>
    <xf numFmtId="0" fontId="71" fillId="2" borderId="0" xfId="0" applyFont="1" applyFill="1" applyAlignment="1">
      <alignment horizontal="center" vertical="center" wrapText="1"/>
    </xf>
    <xf numFmtId="0" fontId="71" fillId="2" borderId="0" xfId="0" applyFont="1" applyFill="1"/>
    <xf numFmtId="43" fontId="72" fillId="2" borderId="50" xfId="1" applyFont="1" applyFill="1" applyBorder="1" applyAlignment="1"/>
    <xf numFmtId="43" fontId="68" fillId="2" borderId="0" xfId="1" applyFont="1" applyFill="1" applyAlignment="1">
      <alignment horizontal="right"/>
    </xf>
    <xf numFmtId="43" fontId="66" fillId="2" borderId="0" xfId="1" applyFont="1" applyFill="1"/>
    <xf numFmtId="43" fontId="68" fillId="2" borderId="0" xfId="1" applyFont="1" applyFill="1" applyAlignment="1">
      <alignment horizontal="center" vertical="center"/>
    </xf>
    <xf numFmtId="43" fontId="71" fillId="2" borderId="0" xfId="1" applyFont="1" applyFill="1" applyAlignment="1">
      <alignment horizontal="center"/>
    </xf>
    <xf numFmtId="43" fontId="73" fillId="2" borderId="0" xfId="1" applyFont="1" applyFill="1" applyAlignment="1">
      <alignment horizontal="center" vertical="center"/>
    </xf>
    <xf numFmtId="0" fontId="73" fillId="2" borderId="31" xfId="0" applyFont="1" applyFill="1" applyBorder="1" applyAlignment="1">
      <alignment horizontal="center" vertical="center"/>
    </xf>
    <xf numFmtId="0" fontId="68" fillId="2" borderId="32" xfId="0" applyFont="1" applyFill="1" applyBorder="1" applyAlignment="1">
      <alignment horizontal="center" vertical="center" wrapText="1"/>
    </xf>
    <xf numFmtId="0" fontId="68" fillId="2" borderId="31" xfId="0" applyFont="1" applyFill="1" applyBorder="1" applyAlignment="1">
      <alignment horizontal="center" vertical="center" wrapText="1"/>
    </xf>
    <xf numFmtId="0" fontId="65" fillId="0" borderId="0" xfId="0" applyFont="1" applyFill="1" applyAlignment="1">
      <alignment horizontal="center"/>
    </xf>
    <xf numFmtId="0" fontId="66" fillId="0" borderId="0" xfId="0" applyFont="1" applyFill="1"/>
    <xf numFmtId="0" fontId="67" fillId="0" borderId="0" xfId="0" applyFont="1" applyFill="1" applyBorder="1"/>
    <xf numFmtId="0" fontId="66" fillId="0" borderId="0" xfId="0" applyFont="1" applyFill="1" applyBorder="1"/>
    <xf numFmtId="0" fontId="68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 wrapText="1"/>
    </xf>
    <xf numFmtId="0" fontId="69" fillId="0" borderId="50" xfId="0" applyFont="1" applyFill="1" applyBorder="1" applyAlignment="1"/>
    <xf numFmtId="0" fontId="69" fillId="0" borderId="51" xfId="0" applyFont="1" applyFill="1" applyBorder="1" applyAlignment="1"/>
    <xf numFmtId="0" fontId="69" fillId="0" borderId="49" xfId="0" applyFont="1" applyFill="1" applyBorder="1" applyAlignment="1"/>
    <xf numFmtId="0" fontId="69" fillId="0" borderId="0" xfId="0" applyFont="1" applyFill="1" applyAlignment="1"/>
    <xf numFmtId="0" fontId="70" fillId="0" borderId="3" xfId="0" applyFont="1" applyFill="1" applyBorder="1" applyAlignment="1">
      <alignment horizontal="center" vertical="center"/>
    </xf>
    <xf numFmtId="0" fontId="68" fillId="0" borderId="30" xfId="0" applyFont="1" applyFill="1" applyBorder="1" applyAlignment="1">
      <alignment horizontal="right" vertical="center"/>
    </xf>
    <xf numFmtId="0" fontId="68" fillId="0" borderId="0" xfId="0" applyFont="1" applyFill="1" applyAlignment="1">
      <alignment horizontal="right" vertical="center"/>
    </xf>
    <xf numFmtId="0" fontId="12" fillId="0" borderId="0" xfId="0" applyFont="1" applyFill="1" applyAlignment="1">
      <alignment horizontal="left" vertical="center"/>
    </xf>
    <xf numFmtId="0" fontId="68" fillId="0" borderId="0" xfId="0" applyFont="1" applyFill="1" applyAlignment="1">
      <alignment horizontal="right"/>
    </xf>
    <xf numFmtId="164" fontId="12" fillId="0" borderId="0" xfId="1" applyNumberFormat="1" applyFont="1" applyFill="1" applyAlignment="1">
      <alignment vertical="center"/>
    </xf>
    <xf numFmtId="0" fontId="71" fillId="0" borderId="0" xfId="0" applyFont="1" applyFill="1" applyAlignment="1">
      <alignment horizontal="center"/>
    </xf>
    <xf numFmtId="0" fontId="71" fillId="0" borderId="0" xfId="0" applyFont="1" applyFill="1"/>
    <xf numFmtId="0" fontId="73" fillId="0" borderId="31" xfId="0" applyFont="1" applyFill="1" applyBorder="1" applyAlignment="1">
      <alignment horizontal="center" vertical="center"/>
    </xf>
    <xf numFmtId="0" fontId="68" fillId="0" borderId="32" xfId="0" applyFont="1" applyFill="1" applyBorder="1" applyAlignment="1">
      <alignment horizontal="center" vertical="center" wrapText="1"/>
    </xf>
    <xf numFmtId="0" fontId="68" fillId="0" borderId="31" xfId="0" applyFont="1" applyFill="1" applyBorder="1" applyAlignment="1">
      <alignment horizontal="center" vertical="center" wrapText="1"/>
    </xf>
    <xf numFmtId="43" fontId="71" fillId="0" borderId="0" xfId="1" applyFont="1" applyFill="1" applyAlignment="1">
      <alignment horizontal="center"/>
    </xf>
    <xf numFmtId="43" fontId="71" fillId="0" borderId="0" xfId="1" applyFont="1" applyFill="1" applyAlignment="1">
      <alignment horizontal="center" vertical="center" wrapText="1"/>
    </xf>
    <xf numFmtId="43" fontId="72" fillId="0" borderId="50" xfId="1" applyFont="1" applyFill="1" applyBorder="1" applyAlignment="1"/>
    <xf numFmtId="43" fontId="68" fillId="0" borderId="0" xfId="1" applyFont="1" applyFill="1" applyAlignment="1">
      <alignment horizontal="right"/>
    </xf>
    <xf numFmtId="43" fontId="66" fillId="0" borderId="0" xfId="1" applyFont="1" applyFill="1"/>
    <xf numFmtId="43" fontId="68" fillId="0" borderId="0" xfId="1" applyFont="1" applyFill="1" applyAlignment="1">
      <alignment horizontal="center" vertical="center"/>
    </xf>
    <xf numFmtId="43" fontId="73" fillId="0" borderId="0" xfId="1" applyFont="1" applyFill="1" applyAlignment="1">
      <alignment horizontal="center" vertical="center"/>
    </xf>
    <xf numFmtId="1" fontId="66" fillId="0" borderId="0" xfId="0" quotePrefix="1" applyNumberFormat="1" applyFont="1" applyFill="1"/>
    <xf numFmtId="2" fontId="66" fillId="0" borderId="0" xfId="0" applyNumberFormat="1" applyFont="1" applyFill="1"/>
    <xf numFmtId="43" fontId="12" fillId="0" borderId="0" xfId="1" applyFont="1" applyFill="1" applyAlignment="1">
      <alignment horizontal="center" vertical="center" wrapText="1"/>
    </xf>
    <xf numFmtId="43" fontId="69" fillId="0" borderId="50" xfId="1" applyFont="1" applyFill="1" applyBorder="1" applyAlignment="1"/>
    <xf numFmtId="43" fontId="69" fillId="0" borderId="51" xfId="1" applyFont="1" applyFill="1" applyBorder="1" applyAlignment="1"/>
    <xf numFmtId="43" fontId="69" fillId="0" borderId="0" xfId="1" applyFont="1" applyFill="1" applyAlignment="1"/>
    <xf numFmtId="43" fontId="68" fillId="0" borderId="30" xfId="1" applyFont="1" applyFill="1" applyBorder="1" applyAlignment="1">
      <alignment horizontal="right" vertical="center"/>
    </xf>
    <xf numFmtId="43" fontId="68" fillId="0" borderId="0" xfId="1" applyFont="1" applyFill="1" applyAlignment="1">
      <alignment horizontal="right" vertical="center"/>
    </xf>
    <xf numFmtId="43" fontId="12" fillId="0" borderId="0" xfId="1" applyFont="1" applyFill="1" applyAlignment="1">
      <alignment horizontal="left" vertical="center"/>
    </xf>
    <xf numFmtId="43" fontId="12" fillId="0" borderId="0" xfId="1" applyFont="1" applyFill="1" applyAlignment="1">
      <alignment vertical="center"/>
    </xf>
    <xf numFmtId="43" fontId="71" fillId="0" borderId="0" xfId="1" applyFont="1" applyFill="1"/>
    <xf numFmtId="43" fontId="73" fillId="0" borderId="31" xfId="1" applyFont="1" applyFill="1" applyBorder="1" applyAlignment="1">
      <alignment horizontal="center" vertical="center"/>
    </xf>
    <xf numFmtId="43" fontId="68" fillId="0" borderId="32" xfId="1" applyFont="1" applyFill="1" applyBorder="1" applyAlignment="1">
      <alignment horizontal="center" vertical="center" wrapText="1"/>
    </xf>
    <xf numFmtId="43" fontId="68" fillId="0" borderId="31" xfId="1" applyFont="1" applyFill="1" applyBorder="1" applyAlignment="1">
      <alignment horizontal="center" vertical="center" wrapText="1"/>
    </xf>
    <xf numFmtId="0" fontId="70" fillId="0" borderId="3" xfId="1" applyNumberFormat="1" applyFont="1" applyFill="1" applyBorder="1" applyAlignment="1">
      <alignment horizontal="center" vertical="center"/>
    </xf>
    <xf numFmtId="0" fontId="69" fillId="0" borderId="51" xfId="1" applyNumberFormat="1" applyFont="1" applyFill="1" applyBorder="1" applyAlignment="1"/>
    <xf numFmtId="0" fontId="69" fillId="0" borderId="49" xfId="1" applyNumberFormat="1" applyFont="1" applyFill="1" applyBorder="1" applyAlignment="1"/>
    <xf numFmtId="43" fontId="65" fillId="0" borderId="0" xfId="1" applyFont="1" applyFill="1" applyAlignment="1">
      <alignment horizontal="center"/>
    </xf>
    <xf numFmtId="43" fontId="67" fillId="0" borderId="0" xfId="1" applyFont="1" applyFill="1" applyBorder="1"/>
    <xf numFmtId="43" fontId="66" fillId="0" borderId="0" xfId="1" applyFont="1" applyFill="1" applyBorder="1"/>
    <xf numFmtId="43" fontId="69" fillId="0" borderId="49" xfId="1" applyFont="1" applyFill="1" applyBorder="1" applyAlignment="1"/>
    <xf numFmtId="43" fontId="69" fillId="0" borderId="53" xfId="1" applyFont="1" applyFill="1" applyBorder="1" applyAlignment="1"/>
    <xf numFmtId="0" fontId="69" fillId="0" borderId="53" xfId="0" applyFont="1" applyFill="1" applyBorder="1" applyAlignment="1"/>
    <xf numFmtId="0" fontId="66" fillId="0" borderId="51" xfId="0" applyFont="1" applyFill="1" applyBorder="1"/>
    <xf numFmtId="0" fontId="66" fillId="0" borderId="49" xfId="0" applyFont="1" applyFill="1" applyBorder="1"/>
    <xf numFmtId="0" fontId="69" fillId="0" borderId="50" xfId="0" applyFont="1" applyFill="1" applyBorder="1" applyAlignment="1">
      <alignment horizontal="left" vertical="center"/>
    </xf>
    <xf numFmtId="43" fontId="43" fillId="0" borderId="50" xfId="1" applyFont="1" applyFill="1" applyBorder="1" applyAlignment="1"/>
    <xf numFmtId="0" fontId="74" fillId="0" borderId="3" xfId="0" applyFont="1" applyFill="1" applyBorder="1" applyAlignment="1">
      <alignment horizontal="center" vertical="center"/>
    </xf>
    <xf numFmtId="0" fontId="12" fillId="15" borderId="1" xfId="0" applyFont="1" applyFill="1" applyBorder="1" applyAlignment="1" applyProtection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43" fontId="2" fillId="4" borderId="0" xfId="1" applyFont="1" applyFill="1" applyAlignment="1">
      <alignment horizontal="center"/>
    </xf>
    <xf numFmtId="43" fontId="2" fillId="6" borderId="0" xfId="1" applyFont="1" applyFill="1" applyAlignment="1">
      <alignment horizontal="center"/>
    </xf>
    <xf numFmtId="43" fontId="2" fillId="8" borderId="0" xfId="1" applyFont="1" applyFill="1" applyAlignment="1">
      <alignment horizontal="center"/>
    </xf>
    <xf numFmtId="43" fontId="2" fillId="15" borderId="0" xfId="1" applyFont="1" applyFill="1" applyAlignment="1">
      <alignment horizontal="center"/>
    </xf>
    <xf numFmtId="43" fontId="2" fillId="21" borderId="0" xfId="1" applyFont="1" applyFill="1" applyAlignment="1">
      <alignment horizontal="center"/>
    </xf>
    <xf numFmtId="43" fontId="2" fillId="22" borderId="0" xfId="1" applyFont="1" applyFill="1" applyAlignment="1">
      <alignment horizontal="center"/>
    </xf>
    <xf numFmtId="0" fontId="2" fillId="0" borderId="0" xfId="0" applyFont="1" applyAlignment="1">
      <alignment horizontal="center"/>
    </xf>
    <xf numFmtId="166" fontId="3" fillId="0" borderId="0" xfId="0" applyNumberFormat="1" applyFont="1" applyAlignment="1">
      <alignment vertical="center"/>
    </xf>
    <xf numFmtId="0" fontId="12" fillId="11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0" fontId="9" fillId="0" borderId="1" xfId="0" applyFont="1" applyBorder="1" applyAlignment="1">
      <alignment horizontal="right"/>
    </xf>
    <xf numFmtId="0" fontId="6" fillId="0" borderId="0" xfId="0" applyFont="1" applyAlignment="1">
      <alignment horizontal="right"/>
    </xf>
    <xf numFmtId="164" fontId="8" fillId="0" borderId="21" xfId="1" applyNumberFormat="1" applyFont="1" applyBorder="1" applyAlignment="1">
      <alignment horizontal="center" vertical="center"/>
    </xf>
    <xf numFmtId="164" fontId="8" fillId="0" borderId="22" xfId="1" applyNumberFormat="1" applyFont="1" applyBorder="1" applyAlignment="1">
      <alignment horizontal="center" vertical="center"/>
    </xf>
    <xf numFmtId="164" fontId="8" fillId="0" borderId="2" xfId="1" applyNumberFormat="1" applyFont="1" applyBorder="1" applyAlignment="1">
      <alignment horizontal="center" vertical="center"/>
    </xf>
    <xf numFmtId="1" fontId="9" fillId="0" borderId="1" xfId="0" applyNumberFormat="1" applyFont="1" applyBorder="1"/>
    <xf numFmtId="1" fontId="9" fillId="0" borderId="1" xfId="0" applyNumberFormat="1" applyFont="1" applyBorder="1" applyAlignment="1">
      <alignment horizontal="right"/>
    </xf>
    <xf numFmtId="1" fontId="3" fillId="0" borderId="1" xfId="0" applyNumberFormat="1" applyFont="1" applyBorder="1"/>
    <xf numFmtId="1" fontId="8" fillId="0" borderId="1" xfId="0" applyNumberFormat="1" applyFont="1" applyBorder="1"/>
    <xf numFmtId="0" fontId="16" fillId="0" borderId="0" xfId="0" applyFont="1" applyBorder="1" applyAlignment="1"/>
    <xf numFmtId="0" fontId="29" fillId="0" borderId="0" xfId="0" applyFont="1" applyBorder="1" applyAlignment="1"/>
    <xf numFmtId="43" fontId="6" fillId="2" borderId="21" xfId="1" applyFont="1" applyFill="1" applyBorder="1" applyAlignment="1">
      <alignment horizontal="right"/>
    </xf>
    <xf numFmtId="0" fontId="75" fillId="0" borderId="1" xfId="0" applyFont="1" applyFill="1" applyBorder="1"/>
    <xf numFmtId="39" fontId="76" fillId="0" borderId="1" xfId="0" applyNumberFormat="1" applyFont="1" applyFill="1" applyBorder="1" applyAlignment="1">
      <alignment vertical="center"/>
    </xf>
    <xf numFmtId="43" fontId="25" fillId="2" borderId="1" xfId="1" applyFont="1" applyFill="1" applyBorder="1" applyAlignment="1">
      <alignment vertical="center"/>
    </xf>
    <xf numFmtId="39" fontId="76" fillId="0" borderId="1" xfId="0" applyNumberFormat="1" applyFont="1" applyFill="1" applyBorder="1" applyAlignment="1">
      <alignment horizontal="center" vertical="center"/>
    </xf>
    <xf numFmtId="1" fontId="9" fillId="14" borderId="1" xfId="1" applyNumberFormat="1" applyFont="1" applyFill="1" applyBorder="1" applyAlignment="1">
      <alignment vertical="center"/>
    </xf>
    <xf numFmtId="0" fontId="10" fillId="0" borderId="2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9" fillId="0" borderId="1" xfId="0" applyFont="1" applyBorder="1" applyAlignment="1">
      <alignment horizontal="right"/>
    </xf>
    <xf numFmtId="0" fontId="6" fillId="0" borderId="1" xfId="0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0" fillId="0" borderId="0" xfId="0" applyBorder="1"/>
    <xf numFmtId="0" fontId="6" fillId="0" borderId="0" xfId="0" applyFont="1" applyAlignment="1">
      <alignment horizontal="right"/>
    </xf>
    <xf numFmtId="0" fontId="16" fillId="0" borderId="1" xfId="0" applyFont="1" applyBorder="1" applyAlignment="1">
      <alignment horizontal="center"/>
    </xf>
    <xf numFmtId="43" fontId="9" fillId="0" borderId="0" xfId="1" applyFont="1" applyBorder="1"/>
    <xf numFmtId="0" fontId="3" fillId="0" borderId="1" xfId="0" applyFont="1" applyFill="1" applyBorder="1"/>
    <xf numFmtId="0" fontId="3" fillId="0" borderId="1" xfId="0" applyFont="1" applyFill="1" applyBorder="1" applyAlignment="1">
      <alignment horizontal="center" vertical="center" wrapText="1"/>
    </xf>
    <xf numFmtId="0" fontId="6" fillId="0" borderId="0" xfId="0" applyFont="1" applyFill="1"/>
    <xf numFmtId="0" fontId="9" fillId="0" borderId="0" xfId="0" applyFont="1" applyFill="1"/>
    <xf numFmtId="0" fontId="2" fillId="0" borderId="0" xfId="0" applyFont="1" applyFill="1" applyBorder="1"/>
    <xf numFmtId="0" fontId="0" fillId="0" borderId="0" xfId="0" applyFill="1" applyBorder="1"/>
    <xf numFmtId="0" fontId="0" fillId="0" borderId="0" xfId="0" applyFill="1"/>
    <xf numFmtId="164" fontId="0" fillId="0" borderId="0" xfId="1" applyNumberFormat="1" applyFont="1" applyFill="1" applyBorder="1" applyAlignment="1">
      <alignment horizontal="right"/>
    </xf>
    <xf numFmtId="43" fontId="0" fillId="0" borderId="0" xfId="1" applyFont="1" applyFill="1" applyBorder="1"/>
    <xf numFmtId="1" fontId="2" fillId="0" borderId="0" xfId="1" applyNumberFormat="1" applyFont="1" applyFill="1" applyBorder="1" applyAlignment="1">
      <alignment vertical="center"/>
    </xf>
    <xf numFmtId="164" fontId="4" fillId="0" borderId="0" xfId="1" applyNumberFormat="1" applyFont="1" applyFill="1" applyBorder="1" applyAlignment="1">
      <alignment vertical="center"/>
    </xf>
    <xf numFmtId="164" fontId="2" fillId="0" borderId="0" xfId="1" applyNumberFormat="1" applyFont="1" applyFill="1" applyBorder="1" applyAlignment="1">
      <alignment horizontal="right" vertical="center"/>
    </xf>
    <xf numFmtId="1" fontId="9" fillId="0" borderId="28" xfId="1" applyNumberFormat="1" applyFont="1" applyFill="1" applyBorder="1"/>
    <xf numFmtId="0" fontId="9" fillId="0" borderId="0" xfId="0" applyFont="1" applyFill="1" applyBorder="1"/>
    <xf numFmtId="0" fontId="9" fillId="0" borderId="59" xfId="0" applyFont="1" applyFill="1" applyBorder="1"/>
    <xf numFmtId="0" fontId="9" fillId="0" borderId="6" xfId="0" applyFont="1" applyFill="1" applyBorder="1"/>
    <xf numFmtId="164" fontId="9" fillId="0" borderId="1" xfId="1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wrapText="1"/>
    </xf>
    <xf numFmtId="1" fontId="9" fillId="0" borderId="21" xfId="1" applyNumberFormat="1" applyFont="1" applyFill="1" applyBorder="1"/>
    <xf numFmtId="164" fontId="8" fillId="0" borderId="1" xfId="1" applyNumberFormat="1" applyFont="1" applyFill="1" applyBorder="1" applyAlignment="1">
      <alignment horizontal="center"/>
    </xf>
    <xf numFmtId="43" fontId="9" fillId="0" borderId="1" xfId="1" applyFont="1" applyFill="1" applyBorder="1"/>
    <xf numFmtId="0" fontId="9" fillId="0" borderId="2" xfId="0" applyFont="1" applyFill="1" applyBorder="1"/>
    <xf numFmtId="1" fontId="2" fillId="0" borderId="21" xfId="1" applyNumberFormat="1" applyFont="1" applyFill="1" applyBorder="1"/>
    <xf numFmtId="164" fontId="13" fillId="0" borderId="1" xfId="1" applyNumberFormat="1" applyFont="1" applyFill="1" applyBorder="1"/>
    <xf numFmtId="164" fontId="13" fillId="0" borderId="1" xfId="1" applyNumberFormat="1" applyFont="1" applyFill="1" applyBorder="1" applyAlignment="1">
      <alignment horizontal="right"/>
    </xf>
    <xf numFmtId="43" fontId="13" fillId="0" borderId="1" xfId="1" applyFont="1" applyFill="1" applyBorder="1"/>
    <xf numFmtId="43" fontId="0" fillId="0" borderId="1" xfId="1" applyFont="1" applyFill="1" applyBorder="1"/>
    <xf numFmtId="0" fontId="0" fillId="0" borderId="2" xfId="0" applyFill="1" applyBorder="1"/>
    <xf numFmtId="43" fontId="3" fillId="0" borderId="1" xfId="1" applyFont="1" applyFill="1" applyBorder="1"/>
    <xf numFmtId="164" fontId="0" fillId="0" borderId="1" xfId="1" applyNumberFormat="1" applyFont="1" applyFill="1" applyBorder="1"/>
    <xf numFmtId="164" fontId="0" fillId="0" borderId="1" xfId="1" applyNumberFormat="1" applyFont="1" applyFill="1" applyBorder="1" applyAlignment="1">
      <alignment horizontal="right"/>
    </xf>
    <xf numFmtId="164" fontId="8" fillId="0" borderId="1" xfId="1" applyNumberFormat="1" applyFont="1" applyFill="1" applyBorder="1"/>
    <xf numFmtId="0" fontId="1" fillId="0" borderId="1" xfId="0" applyFont="1" applyFill="1" applyBorder="1" applyAlignment="1">
      <alignment vertical="center"/>
    </xf>
    <xf numFmtId="164" fontId="1" fillId="0" borderId="1" xfId="1" applyNumberFormat="1" applyFont="1" applyFill="1" applyBorder="1" applyAlignment="1">
      <alignment horizontal="right" vertical="center"/>
    </xf>
    <xf numFmtId="0" fontId="1" fillId="0" borderId="1" xfId="0" applyFont="1" applyFill="1" applyBorder="1"/>
    <xf numFmtId="43" fontId="1" fillId="0" borderId="1" xfId="1" applyFont="1" applyFill="1" applyBorder="1"/>
    <xf numFmtId="43" fontId="2" fillId="0" borderId="1" xfId="1" applyFont="1" applyFill="1" applyBorder="1"/>
    <xf numFmtId="0" fontId="1" fillId="0" borderId="0" xfId="0" applyFont="1" applyFill="1" applyBorder="1"/>
    <xf numFmtId="0" fontId="1" fillId="0" borderId="2" xfId="0" applyFont="1" applyFill="1" applyBorder="1"/>
    <xf numFmtId="0" fontId="1" fillId="0" borderId="0" xfId="0" applyFont="1" applyFill="1"/>
    <xf numFmtId="0" fontId="13" fillId="0" borderId="1" xfId="0" applyFont="1" applyFill="1" applyBorder="1"/>
    <xf numFmtId="0" fontId="13" fillId="0" borderId="0" xfId="0" applyFont="1" applyFill="1" applyBorder="1"/>
    <xf numFmtId="0" fontId="13" fillId="0" borderId="2" xfId="0" applyFont="1" applyFill="1" applyBorder="1"/>
    <xf numFmtId="0" fontId="13" fillId="0" borderId="0" xfId="0" applyFont="1" applyFill="1"/>
    <xf numFmtId="0" fontId="13" fillId="0" borderId="1" xfId="0" applyFont="1" applyFill="1" applyBorder="1" applyAlignment="1">
      <alignment horizontal="right"/>
    </xf>
    <xf numFmtId="1" fontId="2" fillId="0" borderId="0" xfId="1" applyNumberFormat="1" applyFont="1" applyFill="1"/>
    <xf numFmtId="164" fontId="0" fillId="0" borderId="0" xfId="1" applyNumberFormat="1" applyFont="1" applyFill="1"/>
    <xf numFmtId="164" fontId="0" fillId="0" borderId="0" xfId="1" applyNumberFormat="1" applyFont="1" applyFill="1" applyAlignment="1">
      <alignment horizontal="right"/>
    </xf>
    <xf numFmtId="43" fontId="0" fillId="0" borderId="0" xfId="1" applyFont="1" applyFill="1"/>
    <xf numFmtId="43" fontId="8" fillId="0" borderId="1" xfId="1" applyFont="1" applyFill="1" applyBorder="1"/>
    <xf numFmtId="43" fontId="3" fillId="0" borderId="1" xfId="1" applyFont="1" applyFill="1" applyBorder="1" applyAlignment="1">
      <alignment horizontal="right"/>
    </xf>
    <xf numFmtId="0" fontId="13" fillId="0" borderId="1" xfId="0" applyFont="1" applyFill="1" applyBorder="1" applyAlignment="1">
      <alignment vertical="center"/>
    </xf>
    <xf numFmtId="164" fontId="13" fillId="0" borderId="1" xfId="1" applyNumberFormat="1" applyFont="1" applyFill="1" applyBorder="1" applyAlignment="1">
      <alignment horizontal="right" vertical="center"/>
    </xf>
    <xf numFmtId="1" fontId="9" fillId="0" borderId="1" xfId="0" applyNumberFormat="1" applyFont="1" applyBorder="1" applyAlignment="1">
      <alignment horizontal="left"/>
    </xf>
    <xf numFmtId="43" fontId="9" fillId="0" borderId="1" xfId="1" applyFont="1" applyBorder="1" applyAlignment="1">
      <alignment horizontal="left"/>
    </xf>
    <xf numFmtId="0" fontId="9" fillId="0" borderId="0" xfId="0" applyFont="1" applyAlignment="1">
      <alignment horizontal="left"/>
    </xf>
    <xf numFmtId="164" fontId="8" fillId="0" borderId="1" xfId="1" applyNumberFormat="1" applyFont="1" applyFill="1" applyBorder="1" applyAlignment="1">
      <alignment horizontal="left"/>
    </xf>
    <xf numFmtId="164" fontId="3" fillId="0" borderId="1" xfId="0" applyNumberFormat="1" applyFont="1" applyBorder="1"/>
    <xf numFmtId="1" fontId="2" fillId="0" borderId="0" xfId="1" applyNumberFormat="1" applyFont="1" applyFill="1" applyAlignment="1">
      <alignment horizontal="center" vertical="center"/>
    </xf>
    <xf numFmtId="164" fontId="0" fillId="0" borderId="1" xfId="1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43" fontId="9" fillId="0" borderId="1" xfId="1" applyFont="1" applyFill="1" applyBorder="1" applyAlignment="1">
      <alignment horizontal="center" vertical="center" wrapText="1"/>
    </xf>
    <xf numFmtId="0" fontId="2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6" fillId="4" borderId="18" xfId="0" applyFont="1" applyFill="1" applyBorder="1" applyAlignment="1" applyProtection="1">
      <alignment horizontal="center"/>
      <protection hidden="1"/>
    </xf>
    <xf numFmtId="0" fontId="16" fillId="4" borderId="19" xfId="0" applyFont="1" applyFill="1" applyBorder="1" applyAlignment="1" applyProtection="1">
      <alignment horizontal="center"/>
      <protection hidden="1"/>
    </xf>
    <xf numFmtId="0" fontId="16" fillId="4" borderId="20" xfId="0" applyFont="1" applyFill="1" applyBorder="1" applyAlignment="1" applyProtection="1">
      <alignment horizontal="center"/>
      <protection hidden="1"/>
    </xf>
    <xf numFmtId="0" fontId="17" fillId="0" borderId="0" xfId="0" applyFont="1" applyAlignment="1" applyProtection="1">
      <alignment horizontal="center"/>
      <protection hidden="1"/>
    </xf>
    <xf numFmtId="0" fontId="16" fillId="0" borderId="0" xfId="0" applyFont="1" applyAlignment="1" applyProtection="1">
      <alignment horizontal="center"/>
      <protection hidden="1"/>
    </xf>
    <xf numFmtId="165" fontId="8" fillId="0" borderId="18" xfId="3" applyNumberFormat="1" applyFont="1" applyBorder="1" applyAlignment="1" applyProtection="1">
      <alignment horizontal="center"/>
      <protection hidden="1"/>
    </xf>
    <xf numFmtId="165" fontId="8" fillId="0" borderId="20" xfId="3" applyNumberFormat="1" applyFont="1" applyBorder="1" applyAlignment="1" applyProtection="1">
      <alignment horizontal="center"/>
      <protection hidden="1"/>
    </xf>
    <xf numFmtId="43" fontId="9" fillId="0" borderId="0" xfId="1" applyFont="1" applyAlignment="1" applyProtection="1">
      <alignment horizontal="right"/>
      <protection hidden="1"/>
    </xf>
    <xf numFmtId="43" fontId="9" fillId="0" borderId="17" xfId="1" applyFont="1" applyBorder="1" applyAlignment="1" applyProtection="1">
      <alignment horizontal="right"/>
      <protection hidden="1"/>
    </xf>
    <xf numFmtId="0" fontId="18" fillId="2" borderId="0" xfId="0" applyFont="1" applyFill="1" applyAlignment="1">
      <alignment horizontal="center" vertical="center"/>
    </xf>
    <xf numFmtId="43" fontId="12" fillId="2" borderId="34" xfId="1" applyFont="1" applyFill="1" applyBorder="1" applyAlignment="1">
      <alignment horizontal="center" vertical="center" wrapText="1"/>
    </xf>
    <xf numFmtId="43" fontId="12" fillId="2" borderId="35" xfId="1" applyFont="1" applyFill="1" applyBorder="1" applyAlignment="1">
      <alignment horizontal="center" vertical="center" wrapText="1"/>
    </xf>
    <xf numFmtId="43" fontId="12" fillId="20" borderId="4" xfId="1" applyFont="1" applyFill="1" applyBorder="1" applyAlignment="1">
      <alignment horizontal="center" vertical="center" wrapText="1"/>
    </xf>
    <xf numFmtId="43" fontId="12" fillId="20" borderId="5" xfId="1" applyFont="1" applyFill="1" applyBorder="1" applyAlignment="1">
      <alignment horizontal="center" vertical="center" wrapText="1"/>
    </xf>
    <xf numFmtId="43" fontId="12" fillId="2" borderId="4" xfId="1" applyFont="1" applyFill="1" applyBorder="1" applyAlignment="1">
      <alignment horizontal="center" vertical="center" wrapText="1"/>
    </xf>
    <xf numFmtId="43" fontId="12" fillId="2" borderId="5" xfId="1" applyFont="1" applyFill="1" applyBorder="1" applyAlignment="1">
      <alignment horizontal="center" vertical="center" wrapText="1"/>
    </xf>
    <xf numFmtId="43" fontId="12" fillId="20" borderId="34" xfId="1" applyFont="1" applyFill="1" applyBorder="1" applyAlignment="1">
      <alignment horizontal="center" vertical="center" wrapText="1"/>
    </xf>
    <xf numFmtId="43" fontId="12" fillId="20" borderId="35" xfId="1" applyFont="1" applyFill="1" applyBorder="1" applyAlignment="1">
      <alignment horizontal="center" vertical="center" wrapText="1"/>
    </xf>
    <xf numFmtId="0" fontId="12" fillId="16" borderId="4" xfId="0" applyFont="1" applyFill="1" applyBorder="1" applyAlignment="1">
      <alignment horizontal="center" vertical="center" wrapText="1"/>
    </xf>
    <xf numFmtId="0" fontId="12" fillId="16" borderId="5" xfId="0" applyFont="1" applyFill="1" applyBorder="1" applyAlignment="1">
      <alignment horizontal="center" vertical="center" wrapText="1"/>
    </xf>
    <xf numFmtId="43" fontId="12" fillId="17" borderId="4" xfId="1" applyFont="1" applyFill="1" applyBorder="1" applyAlignment="1">
      <alignment horizontal="center" vertical="center" wrapText="1"/>
    </xf>
    <xf numFmtId="43" fontId="12" fillId="17" borderId="5" xfId="1" applyFont="1" applyFill="1" applyBorder="1" applyAlignment="1">
      <alignment horizontal="center" vertical="center" wrapText="1"/>
    </xf>
    <xf numFmtId="43" fontId="12" fillId="18" borderId="4" xfId="1" applyFont="1" applyFill="1" applyBorder="1" applyAlignment="1">
      <alignment horizontal="center" vertical="center" wrapText="1"/>
    </xf>
    <xf numFmtId="43" fontId="12" fillId="18" borderId="5" xfId="1" applyFont="1" applyFill="1" applyBorder="1" applyAlignment="1">
      <alignment horizontal="center" vertical="center" wrapText="1"/>
    </xf>
    <xf numFmtId="0" fontId="12" fillId="19" borderId="4" xfId="0" applyFont="1" applyFill="1" applyBorder="1" applyAlignment="1">
      <alignment horizontal="center" vertical="center" wrapText="1"/>
    </xf>
    <xf numFmtId="0" fontId="12" fillId="19" borderId="5" xfId="0" applyFont="1" applyFill="1" applyBorder="1" applyAlignment="1">
      <alignment horizontal="center" vertical="center" wrapText="1"/>
    </xf>
    <xf numFmtId="0" fontId="12" fillId="7" borderId="4" xfId="0" applyFont="1" applyFill="1" applyBorder="1" applyAlignment="1">
      <alignment horizontal="center" vertical="center" wrapText="1"/>
    </xf>
    <xf numFmtId="0" fontId="12" fillId="7" borderId="5" xfId="0" applyFont="1" applyFill="1" applyBorder="1" applyAlignment="1">
      <alignment horizontal="center" vertical="center" wrapText="1"/>
    </xf>
    <xf numFmtId="43" fontId="12" fillId="16" borderId="4" xfId="1" applyFont="1" applyFill="1" applyBorder="1" applyAlignment="1">
      <alignment horizontal="center" vertical="center" wrapText="1"/>
    </xf>
    <xf numFmtId="43" fontId="12" fillId="16" borderId="5" xfId="1" applyFont="1" applyFill="1" applyBorder="1" applyAlignment="1">
      <alignment horizontal="center" vertical="center" wrapText="1"/>
    </xf>
    <xf numFmtId="43" fontId="12" fillId="19" borderId="4" xfId="1" applyFont="1" applyFill="1" applyBorder="1" applyAlignment="1">
      <alignment horizontal="center" vertical="center" wrapText="1"/>
    </xf>
    <xf numFmtId="43" fontId="12" fillId="19" borderId="5" xfId="1" applyFont="1" applyFill="1" applyBorder="1" applyAlignment="1">
      <alignment horizontal="center" vertical="center" wrapText="1"/>
    </xf>
    <xf numFmtId="164" fontId="9" fillId="0" borderId="0" xfId="1" applyNumberFormat="1" applyFont="1" applyAlignment="1">
      <alignment horizontal="center" vertical="center" wrapText="1"/>
    </xf>
    <xf numFmtId="164" fontId="9" fillId="0" borderId="17" xfId="1" applyNumberFormat="1" applyFont="1" applyBorder="1" applyAlignment="1">
      <alignment horizontal="center" vertical="center" wrapText="1"/>
    </xf>
    <xf numFmtId="43" fontId="12" fillId="12" borderId="25" xfId="1" applyFont="1" applyFill="1" applyBorder="1" applyAlignment="1">
      <alignment horizontal="center" vertical="center" wrapText="1"/>
    </xf>
    <xf numFmtId="43" fontId="12" fillId="12" borderId="26" xfId="1" applyFont="1" applyFill="1" applyBorder="1" applyAlignment="1">
      <alignment horizontal="center" vertical="center" wrapText="1"/>
    </xf>
    <xf numFmtId="43" fontId="12" fillId="12" borderId="27" xfId="1" applyFont="1" applyFill="1" applyBorder="1" applyAlignment="1">
      <alignment horizontal="center" vertical="center" wrapText="1"/>
    </xf>
    <xf numFmtId="43" fontId="12" fillId="16" borderId="25" xfId="1" applyFont="1" applyFill="1" applyBorder="1" applyAlignment="1">
      <alignment horizontal="center" vertical="center" wrapText="1"/>
    </xf>
    <xf numFmtId="43" fontId="12" fillId="16" borderId="26" xfId="1" applyFont="1" applyFill="1" applyBorder="1" applyAlignment="1">
      <alignment horizontal="center" vertical="center" wrapText="1"/>
    </xf>
    <xf numFmtId="43" fontId="12" fillId="16" borderId="27" xfId="1" applyFont="1" applyFill="1" applyBorder="1" applyAlignment="1">
      <alignment horizontal="center" vertical="center" wrapText="1"/>
    </xf>
    <xf numFmtId="0" fontId="68" fillId="0" borderId="51" xfId="0" applyFont="1" applyFill="1" applyBorder="1" applyAlignment="1">
      <alignment horizontal="right" vertical="center"/>
    </xf>
    <xf numFmtId="0" fontId="68" fillId="0" borderId="49" xfId="0" applyFont="1" applyFill="1" applyBorder="1" applyAlignment="1">
      <alignment horizontal="right" vertical="center"/>
    </xf>
    <xf numFmtId="0" fontId="69" fillId="0" borderId="50" xfId="0" applyFont="1" applyFill="1" applyBorder="1" applyAlignment="1">
      <alignment horizontal="left" vertical="center"/>
    </xf>
    <xf numFmtId="0" fontId="69" fillId="0" borderId="49" xfId="0" applyFont="1" applyFill="1" applyBorder="1" applyAlignment="1">
      <alignment horizontal="left" vertical="center"/>
    </xf>
    <xf numFmtId="0" fontId="69" fillId="2" borderId="52" xfId="0" applyFont="1" applyFill="1" applyBorder="1" applyAlignment="1">
      <alignment horizontal="left"/>
    </xf>
    <xf numFmtId="0" fontId="69" fillId="2" borderId="53" xfId="0" applyFont="1" applyFill="1" applyBorder="1" applyAlignment="1">
      <alignment horizontal="left"/>
    </xf>
    <xf numFmtId="0" fontId="68" fillId="0" borderId="56" xfId="0" applyFont="1" applyFill="1" applyBorder="1" applyAlignment="1">
      <alignment horizontal="right"/>
    </xf>
    <xf numFmtId="0" fontId="68" fillId="0" borderId="54" xfId="0" applyFont="1" applyFill="1" applyBorder="1" applyAlignment="1">
      <alignment horizontal="right"/>
    </xf>
    <xf numFmtId="0" fontId="68" fillId="0" borderId="55" xfId="0" applyFont="1" applyFill="1" applyBorder="1" applyAlignment="1">
      <alignment horizontal="right"/>
    </xf>
    <xf numFmtId="0" fontId="69" fillId="0" borderId="50" xfId="0" applyFont="1" applyFill="1" applyBorder="1" applyAlignment="1">
      <alignment horizontal="center"/>
    </xf>
    <xf numFmtId="0" fontId="69" fillId="0" borderId="51" xfId="0" applyFont="1" applyFill="1" applyBorder="1" applyAlignment="1">
      <alignment horizontal="center"/>
    </xf>
    <xf numFmtId="0" fontId="69" fillId="0" borderId="49" xfId="0" applyFont="1" applyFill="1" applyBorder="1" applyAlignment="1">
      <alignment horizontal="center"/>
    </xf>
    <xf numFmtId="0" fontId="69" fillId="0" borderId="50" xfId="0" applyFont="1" applyFill="1" applyBorder="1" applyAlignment="1">
      <alignment horizontal="left"/>
    </xf>
    <xf numFmtId="0" fontId="69" fillId="0" borderId="51" xfId="0" applyFont="1" applyFill="1" applyBorder="1" applyAlignment="1">
      <alignment horizontal="left"/>
    </xf>
    <xf numFmtId="0" fontId="69" fillId="0" borderId="49" xfId="0" applyFont="1" applyFill="1" applyBorder="1" applyAlignment="1">
      <alignment horizontal="left"/>
    </xf>
    <xf numFmtId="0" fontId="60" fillId="7" borderId="52" xfId="0" applyFont="1" applyFill="1" applyBorder="1" applyAlignment="1">
      <alignment horizontal="left"/>
    </xf>
    <xf numFmtId="0" fontId="60" fillId="7" borderId="53" xfId="0" applyFont="1" applyFill="1" applyBorder="1" applyAlignment="1">
      <alignment horizontal="left"/>
    </xf>
    <xf numFmtId="0" fontId="68" fillId="2" borderId="30" xfId="0" applyFont="1" applyFill="1" applyBorder="1" applyAlignment="1">
      <alignment horizontal="right"/>
    </xf>
    <xf numFmtId="0" fontId="68" fillId="0" borderId="30" xfId="0" applyFont="1" applyFill="1" applyBorder="1" applyAlignment="1">
      <alignment horizontal="right"/>
    </xf>
    <xf numFmtId="0" fontId="60" fillId="7" borderId="0" xfId="0" applyFont="1" applyFill="1" applyAlignment="1">
      <alignment horizontal="left"/>
    </xf>
    <xf numFmtId="0" fontId="60" fillId="7" borderId="50" xfId="0" applyFont="1" applyFill="1" applyBorder="1" applyAlignment="1">
      <alignment horizontal="left"/>
    </xf>
    <xf numFmtId="0" fontId="60" fillId="7" borderId="51" xfId="0" applyFont="1" applyFill="1" applyBorder="1" applyAlignment="1">
      <alignment horizontal="left"/>
    </xf>
    <xf numFmtId="0" fontId="60" fillId="7" borderId="49" xfId="0" applyFont="1" applyFill="1" applyBorder="1" applyAlignment="1">
      <alignment horizontal="left"/>
    </xf>
    <xf numFmtId="0" fontId="55" fillId="7" borderId="30" xfId="0" applyFont="1" applyFill="1" applyBorder="1" applyAlignment="1">
      <alignment horizontal="right"/>
    </xf>
    <xf numFmtId="0" fontId="69" fillId="0" borderId="50" xfId="1" applyNumberFormat="1" applyFont="1" applyFill="1" applyBorder="1" applyAlignment="1">
      <alignment horizontal="center" vertical="center"/>
    </xf>
    <xf numFmtId="0" fontId="69" fillId="0" borderId="51" xfId="1" applyNumberFormat="1" applyFont="1" applyFill="1" applyBorder="1" applyAlignment="1">
      <alignment horizontal="center" vertical="center"/>
    </xf>
    <xf numFmtId="0" fontId="69" fillId="0" borderId="49" xfId="1" applyNumberFormat="1" applyFont="1" applyFill="1" applyBorder="1" applyAlignment="1">
      <alignment horizontal="center" vertical="center"/>
    </xf>
    <xf numFmtId="0" fontId="69" fillId="0" borderId="18" xfId="1" applyNumberFormat="1" applyFont="1" applyFill="1" applyBorder="1" applyAlignment="1">
      <alignment horizontal="center" vertical="center"/>
    </xf>
    <xf numFmtId="0" fontId="69" fillId="0" borderId="19" xfId="1" applyNumberFormat="1" applyFont="1" applyFill="1" applyBorder="1" applyAlignment="1">
      <alignment horizontal="center" vertical="center"/>
    </xf>
    <xf numFmtId="0" fontId="69" fillId="0" borderId="20" xfId="1" applyNumberFormat="1" applyFont="1" applyFill="1" applyBorder="1" applyAlignment="1">
      <alignment horizontal="center" vertical="center"/>
    </xf>
    <xf numFmtId="43" fontId="68" fillId="0" borderId="30" xfId="1" applyFont="1" applyFill="1" applyBorder="1" applyAlignment="1">
      <alignment horizontal="right"/>
    </xf>
    <xf numFmtId="0" fontId="11" fillId="0" borderId="2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0" fontId="23" fillId="5" borderId="0" xfId="0" applyFont="1" applyFill="1" applyAlignment="1">
      <alignment horizontal="center" vertical="center" wrapText="1"/>
    </xf>
    <xf numFmtId="0" fontId="14" fillId="0" borderId="21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164" fontId="8" fillId="0" borderId="21" xfId="1" applyNumberFormat="1" applyFont="1" applyBorder="1" applyAlignment="1">
      <alignment horizontal="center" vertical="center"/>
    </xf>
    <xf numFmtId="164" fontId="8" fillId="0" borderId="22" xfId="1" applyNumberFormat="1" applyFont="1" applyBorder="1" applyAlignment="1">
      <alignment horizontal="center" vertical="center"/>
    </xf>
    <xf numFmtId="164" fontId="8" fillId="0" borderId="2" xfId="1" applyNumberFormat="1" applyFont="1" applyBorder="1" applyAlignment="1">
      <alignment horizontal="center" vertical="center"/>
    </xf>
    <xf numFmtId="164" fontId="9" fillId="0" borderId="21" xfId="1" applyNumberFormat="1" applyFont="1" applyBorder="1" applyAlignment="1">
      <alignment horizontal="center" vertical="center"/>
    </xf>
    <xf numFmtId="164" fontId="9" fillId="0" borderId="22" xfId="1" applyNumberFormat="1" applyFont="1" applyBorder="1" applyAlignment="1">
      <alignment horizontal="center" vertical="center"/>
    </xf>
    <xf numFmtId="164" fontId="9" fillId="0" borderId="2" xfId="1" applyNumberFormat="1" applyFont="1" applyBorder="1" applyAlignment="1">
      <alignment horizontal="center" vertical="center"/>
    </xf>
    <xf numFmtId="43" fontId="3" fillId="0" borderId="21" xfId="0" applyNumberFormat="1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15" fillId="0" borderId="21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/>
    </xf>
    <xf numFmtId="0" fontId="18" fillId="0" borderId="22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6" fillId="0" borderId="0" xfId="0" applyFont="1" applyAlignment="1">
      <alignment horizontal="right"/>
    </xf>
    <xf numFmtId="43" fontId="29" fillId="0" borderId="18" xfId="0" applyNumberFormat="1" applyFont="1" applyBorder="1" applyAlignment="1">
      <alignment horizontal="center"/>
    </xf>
    <xf numFmtId="43" fontId="29" fillId="0" borderId="19" xfId="0" applyNumberFormat="1" applyFont="1" applyBorder="1" applyAlignment="1">
      <alignment horizontal="center"/>
    </xf>
    <xf numFmtId="43" fontId="29" fillId="0" borderId="20" xfId="0" applyNumberFormat="1" applyFont="1" applyBorder="1" applyAlignment="1">
      <alignment horizontal="center"/>
    </xf>
    <xf numFmtId="0" fontId="17" fillId="0" borderId="37" xfId="0" applyFont="1" applyBorder="1" applyAlignment="1">
      <alignment horizontal="center"/>
    </xf>
    <xf numFmtId="43" fontId="9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right"/>
    </xf>
    <xf numFmtId="0" fontId="17" fillId="0" borderId="0" xfId="0" applyFont="1" applyAlignment="1">
      <alignment horizontal="center"/>
    </xf>
    <xf numFmtId="0" fontId="16" fillId="0" borderId="2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43" fontId="29" fillId="0" borderId="18" xfId="0" applyNumberFormat="1" applyFont="1" applyBorder="1" applyAlignment="1">
      <alignment horizontal="right"/>
    </xf>
    <xf numFmtId="0" fontId="29" fillId="0" borderId="19" xfId="0" applyFont="1" applyBorder="1" applyAlignment="1">
      <alignment horizontal="right"/>
    </xf>
    <xf numFmtId="0" fontId="29" fillId="0" borderId="20" xfId="0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4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ill="1" applyAlignment="1">
      <alignment horizontal="center" vertical="center"/>
    </xf>
    <xf numFmtId="164" fontId="29" fillId="0" borderId="0" xfId="1" applyNumberFormat="1" applyFont="1" applyFill="1" applyAlignment="1">
      <alignment horizontal="center" vertical="center"/>
    </xf>
    <xf numFmtId="164" fontId="8" fillId="0" borderId="0" xfId="1" applyNumberFormat="1" applyFont="1" applyFill="1" applyBorder="1" applyAlignment="1">
      <alignment horizontal="center"/>
    </xf>
    <xf numFmtId="1" fontId="9" fillId="0" borderId="0" xfId="1" applyNumberFormat="1" applyFont="1" applyFill="1" applyAlignment="1">
      <alignment horizontal="center"/>
    </xf>
    <xf numFmtId="43" fontId="9" fillId="0" borderId="21" xfId="0" applyNumberFormat="1" applyFont="1" applyBorder="1" applyAlignment="1">
      <alignment horizontal="right"/>
    </xf>
    <xf numFmtId="43" fontId="9" fillId="0" borderId="22" xfId="0" applyNumberFormat="1" applyFont="1" applyBorder="1" applyAlignment="1">
      <alignment horizontal="right"/>
    </xf>
    <xf numFmtId="43" fontId="9" fillId="0" borderId="2" xfId="0" applyNumberFormat="1" applyFont="1" applyBorder="1" applyAlignment="1">
      <alignment horizontal="right"/>
    </xf>
    <xf numFmtId="0" fontId="15" fillId="0" borderId="22" xfId="0" applyFont="1" applyBorder="1" applyAlignment="1">
      <alignment horizontal="center"/>
    </xf>
    <xf numFmtId="43" fontId="8" fillId="0" borderId="18" xfId="1" applyFont="1" applyBorder="1" applyAlignment="1">
      <alignment horizontal="center" vertical="center"/>
    </xf>
    <xf numFmtId="43" fontId="8" fillId="0" borderId="19" xfId="1" applyFont="1" applyBorder="1" applyAlignment="1">
      <alignment horizontal="center" vertical="center"/>
    </xf>
    <xf numFmtId="43" fontId="8" fillId="0" borderId="20" xfId="1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10" fillId="0" borderId="38" xfId="0" applyFont="1" applyBorder="1" applyAlignment="1">
      <alignment horizontal="center"/>
    </xf>
    <xf numFmtId="0" fontId="9" fillId="4" borderId="37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43" fontId="6" fillId="0" borderId="1" xfId="0" applyNumberFormat="1" applyFont="1" applyBorder="1" applyAlignment="1">
      <alignment horizontal="right"/>
    </xf>
    <xf numFmtId="43" fontId="9" fillId="0" borderId="18" xfId="0" applyNumberFormat="1" applyFont="1" applyBorder="1" applyAlignment="1">
      <alignment horizontal="right"/>
    </xf>
    <xf numFmtId="0" fontId="9" fillId="0" borderId="20" xfId="0" applyFont="1" applyBorder="1" applyAlignment="1">
      <alignment horizontal="right"/>
    </xf>
    <xf numFmtId="43" fontId="6" fillId="0" borderId="21" xfId="0" applyNumberFormat="1" applyFont="1" applyBorder="1" applyAlignment="1">
      <alignment horizontal="right"/>
    </xf>
    <xf numFmtId="43" fontId="6" fillId="0" borderId="2" xfId="0" applyNumberFormat="1" applyFont="1" applyBorder="1" applyAlignment="1">
      <alignment horizontal="right"/>
    </xf>
    <xf numFmtId="0" fontId="14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21" xfId="0" applyFont="1" applyBorder="1" applyAlignment="1">
      <alignment horizontal="center"/>
    </xf>
    <xf numFmtId="43" fontId="6" fillId="0" borderId="18" xfId="0" applyNumberFormat="1" applyFon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31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9" fontId="16" fillId="0" borderId="18" xfId="2" applyFont="1" applyBorder="1" applyAlignment="1">
      <alignment horizontal="right"/>
    </xf>
    <xf numFmtId="9" fontId="16" fillId="0" borderId="20" xfId="2" applyFont="1" applyBorder="1" applyAlignment="1">
      <alignment horizontal="right"/>
    </xf>
    <xf numFmtId="0" fontId="15" fillId="0" borderId="1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 vertical="center" wrapText="1"/>
    </xf>
    <xf numFmtId="43" fontId="16" fillId="0" borderId="18" xfId="0" applyNumberFormat="1" applyFont="1" applyBorder="1" applyAlignment="1">
      <alignment horizontal="right"/>
    </xf>
    <xf numFmtId="43" fontId="16" fillId="0" borderId="20" xfId="0" applyNumberFormat="1" applyFont="1" applyBorder="1" applyAlignment="1">
      <alignment horizontal="right"/>
    </xf>
    <xf numFmtId="43" fontId="40" fillId="0" borderId="18" xfId="0" applyNumberFormat="1" applyFont="1" applyBorder="1" applyAlignment="1">
      <alignment horizontal="right"/>
    </xf>
    <xf numFmtId="43" fontId="40" fillId="0" borderId="20" xfId="0" applyNumberFormat="1" applyFont="1" applyBorder="1" applyAlignment="1">
      <alignment horizontal="right"/>
    </xf>
    <xf numFmtId="9" fontId="40" fillId="0" borderId="18" xfId="2" applyFont="1" applyBorder="1" applyAlignment="1">
      <alignment horizontal="right"/>
    </xf>
    <xf numFmtId="9" fontId="40" fillId="0" borderId="20" xfId="2" applyFont="1" applyBorder="1" applyAlignment="1">
      <alignment horizontal="right"/>
    </xf>
    <xf numFmtId="0" fontId="33" fillId="0" borderId="0" xfId="0" applyFont="1" applyAlignment="1">
      <alignment horizontal="center" vertical="center"/>
    </xf>
    <xf numFmtId="0" fontId="42" fillId="0" borderId="21" xfId="0" applyFont="1" applyBorder="1" applyAlignment="1">
      <alignment horizontal="center" vertical="center" wrapText="1"/>
    </xf>
    <xf numFmtId="0" fontId="42" fillId="0" borderId="22" xfId="0" applyFont="1" applyBorder="1" applyAlignment="1">
      <alignment horizontal="center" vertical="center" wrapText="1"/>
    </xf>
    <xf numFmtId="0" fontId="42" fillId="0" borderId="2" xfId="0" applyFont="1" applyBorder="1" applyAlignment="1">
      <alignment horizontal="center" vertical="center" wrapText="1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30"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1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protection locked="1" hidden="1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protection locked="1" hidden="1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protection locked="1" hidden="1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protection locked="1" hidden="1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protection locked="1" hidden="1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protection locked="1" hidden="1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protection locked="1" hidden="1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protection locked="1" hidden="1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  <protection locked="1" hidden="1"/>
    </dxf>
    <dxf>
      <alignment horizontal="left" vertical="center" textRotation="0" wrapText="1" indent="0" justifyLastLine="0" shrinkToFit="0" readingOrder="0"/>
      <protection locked="1" hidden="1"/>
    </dxf>
    <dxf>
      <alignment horizontal="left" vertical="center" textRotation="0" wrapText="1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protection locked="1" hidden="1"/>
    </dxf>
  </dxfs>
  <tableStyles count="0" defaultTableStyle="TableStyleMedium9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1051</xdr:row>
      <xdr:rowOff>0</xdr:rowOff>
    </xdr:from>
    <xdr:to>
      <xdr:col>2</xdr:col>
      <xdr:colOff>95250</xdr:colOff>
      <xdr:row>1051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CFACC8-0434-4816-BD02-E70D4F395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0" y="317896875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1141</xdr:row>
      <xdr:rowOff>0</xdr:rowOff>
    </xdr:from>
    <xdr:to>
      <xdr:col>2</xdr:col>
      <xdr:colOff>95250</xdr:colOff>
      <xdr:row>1141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7EE92B-CB5F-47D7-A540-3730640F0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3875" y="317896875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7:J72" totalsRowShown="0" headerRowDxfId="29" dataDxfId="28">
  <autoFilter ref="A7:J72" xr:uid="{00000000-0009-0000-0100-000002000000}"/>
  <tableColumns count="10">
    <tableColumn id="1" xr3:uid="{00000000-0010-0000-0000-000001000000}" name="Column1" dataDxfId="27">
      <calculatedColumnFormula>N!A4</calculatedColumnFormula>
    </tableColumn>
    <tableColumn id="2" xr3:uid="{00000000-0010-0000-0000-000002000000}" name="Column2" dataDxfId="26">
      <calculatedColumnFormula>N!B4</calculatedColumnFormula>
    </tableColumn>
    <tableColumn id="3" xr3:uid="{00000000-0010-0000-0000-000003000000}" name="Column3" dataDxfId="25"/>
    <tableColumn id="5" xr3:uid="{00000000-0010-0000-0000-000005000000}" name="Column5" dataDxfId="24"/>
    <tableColumn id="6" xr3:uid="{00000000-0010-0000-0000-000006000000}" name="Column6" dataDxfId="23"/>
    <tableColumn id="7" xr3:uid="{00000000-0010-0000-0000-000007000000}" name="Column7" dataDxfId="22"/>
    <tableColumn id="8" xr3:uid="{00000000-0010-0000-0000-000008000000}" name="Column8" dataDxfId="21"/>
    <tableColumn id="9" xr3:uid="{00000000-0010-0000-0000-000009000000}" name="Column9" dataDxfId="20"/>
    <tableColumn id="10" xr3:uid="{00000000-0010-0000-0000-00000A000000}" name="Column10" dataDxfId="19" dataCellStyle="Comma"/>
    <tableColumn id="4" xr3:uid="{00000000-0010-0000-0000-000004000000}" name="Column4" dataDxfId="18" dataCellStyle="Comma">
      <calculatedColumnFormula>I8*0.03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85AF13-6A87-4ED2-B12E-30AA30FC1204}" name="Table4" displayName="Table4" ref="K6:K72" totalsRowShown="0" headerRowDxfId="17" dataDxfId="15" headerRowBorderDxfId="16" tableBorderDxfId="14" totalsRowBorderDxfId="13">
  <autoFilter ref="K6:K72" xr:uid="{CAA59AA1-A1C7-45A8-8D59-D4C6E9BB4E3D}">
    <filterColumn colId="0" hiddenButton="1"/>
  </autoFilter>
  <tableColumns count="1">
    <tableColumn id="1" xr3:uid="{7D18B232-88F3-4314-8523-24B6475EC0C8}" name="BIDDED DEPT" dataDxfId="12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22" displayName="Table22" ref="A5:J50" totalsRowShown="0" headerRowDxfId="11" dataDxfId="10">
  <autoFilter ref="A5:J50" xr:uid="{00000000-0009-0000-0100-000001000000}"/>
  <tableColumns count="10">
    <tableColumn id="1" xr3:uid="{00000000-0010-0000-0100-000001000000}" name="Column1" dataDxfId="9">
      <calculatedColumnFormula>N!A4</calculatedColumnFormula>
    </tableColumn>
    <tableColumn id="2" xr3:uid="{00000000-0010-0000-0100-000002000000}" name="Column2" dataDxfId="8">
      <calculatedColumnFormula>N!B4</calculatedColumnFormula>
    </tableColumn>
    <tableColumn id="3" xr3:uid="{00000000-0010-0000-0100-000003000000}" name="Column3" dataDxfId="7"/>
    <tableColumn id="4" xr3:uid="{00000000-0010-0000-0100-000004000000}" name="Column4" dataDxfId="6" dataCellStyle="Comma">
      <calculatedColumnFormula>J6*0.03</calculatedColumnFormula>
    </tableColumn>
    <tableColumn id="5" xr3:uid="{00000000-0010-0000-0100-000005000000}" name="Column5" dataDxfId="5"/>
    <tableColumn id="6" xr3:uid="{00000000-0010-0000-0100-000006000000}" name="Column6" dataDxfId="4"/>
    <tableColumn id="7" xr3:uid="{00000000-0010-0000-0100-000007000000}" name="Column7" dataDxfId="3"/>
    <tableColumn id="8" xr3:uid="{00000000-0010-0000-0100-000008000000}" name="Column8" dataDxfId="2"/>
    <tableColumn id="9" xr3:uid="{00000000-0010-0000-0100-000009000000}" name="Column9" dataDxfId="1"/>
    <tableColumn id="10" xr3:uid="{00000000-0010-0000-0100-00000A000000}" name="Column10" dataDxfId="0" dataCellStyle="Comma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67"/>
  <sheetViews>
    <sheetView zoomScale="90" zoomScaleNormal="90" workbookViewId="0">
      <pane xSplit="1" ySplit="3" topLeftCell="B40" activePane="bottomRight" state="frozen"/>
      <selection pane="topRight" activeCell="B1" sqref="B1"/>
      <selection pane="bottomLeft" activeCell="A4" sqref="A4"/>
      <selection pane="bottomRight" activeCell="B46" sqref="B46"/>
    </sheetView>
  </sheetViews>
  <sheetFormatPr defaultRowHeight="15" x14ac:dyDescent="0.25"/>
  <cols>
    <col min="1" max="1" width="9.140625" style="2"/>
    <col min="2" max="2" width="72.140625" customWidth="1"/>
    <col min="3" max="3" width="18.28515625" customWidth="1"/>
    <col min="4" max="4" width="10.85546875" customWidth="1"/>
    <col min="6" max="6" width="22.5703125" customWidth="1"/>
    <col min="7" max="7" width="30" customWidth="1"/>
  </cols>
  <sheetData>
    <row r="3" spans="1:7" s="1" customFormat="1" ht="42" x14ac:dyDescent="0.25">
      <c r="A3" s="4" t="s">
        <v>0</v>
      </c>
      <c r="B3" s="4" t="s">
        <v>1250</v>
      </c>
      <c r="C3" s="4" t="s">
        <v>424</v>
      </c>
      <c r="D3" s="66" t="s">
        <v>1474</v>
      </c>
      <c r="E3" s="4" t="s">
        <v>572</v>
      </c>
      <c r="F3" s="636" t="s">
        <v>2134</v>
      </c>
      <c r="G3" s="644" t="e">
        <f>SUM(F4:F67)</f>
        <v>#REF!</v>
      </c>
    </row>
    <row r="4" spans="1:7" ht="15.75" x14ac:dyDescent="0.25">
      <c r="A4" s="5">
        <v>1</v>
      </c>
      <c r="B4" s="3" t="s">
        <v>1215</v>
      </c>
      <c r="C4" s="3" t="s">
        <v>634</v>
      </c>
      <c r="D4" s="3" t="s">
        <v>1475</v>
      </c>
      <c r="E4" s="5" t="s">
        <v>573</v>
      </c>
      <c r="F4" s="190">
        <f>IF(B4&gt;0,ALPHA!$F$36,"-")</f>
        <v>27560600</v>
      </c>
    </row>
    <row r="5" spans="1:7" ht="15.75" x14ac:dyDescent="0.25">
      <c r="A5" s="5">
        <f>IF(B5&gt;0,A4+1,"-")</f>
        <v>2</v>
      </c>
      <c r="B5" s="3" t="s">
        <v>884</v>
      </c>
      <c r="C5" s="3" t="s">
        <v>624</v>
      </c>
      <c r="D5" s="3" t="s">
        <v>1475</v>
      </c>
      <c r="E5" s="5" t="s">
        <v>574</v>
      </c>
      <c r="F5" s="190" t="e">
        <f>IF(B5&gt;0,#REF!,"-")</f>
        <v>#REF!</v>
      </c>
    </row>
    <row r="6" spans="1:7" ht="15.75" x14ac:dyDescent="0.25">
      <c r="A6" s="5">
        <f t="shared" ref="A6:A67" si="0">IF(B6&gt;0,A5+1,"-")</f>
        <v>3</v>
      </c>
      <c r="B6" s="3" t="s">
        <v>885</v>
      </c>
      <c r="C6" s="3" t="s">
        <v>628</v>
      </c>
      <c r="D6" s="3" t="s">
        <v>1475</v>
      </c>
      <c r="E6" s="5" t="s">
        <v>575</v>
      </c>
      <c r="F6" s="190">
        <f>IF(B6&gt;0,BIOFEM!$F$12,"-")</f>
        <v>4378700</v>
      </c>
    </row>
    <row r="7" spans="1:7" ht="15.75" x14ac:dyDescent="0.25">
      <c r="A7" s="5">
        <f t="shared" si="0"/>
        <v>4</v>
      </c>
      <c r="B7" s="3" t="s">
        <v>1228</v>
      </c>
      <c r="C7" s="3" t="s">
        <v>819</v>
      </c>
      <c r="D7" s="3" t="s">
        <v>1475</v>
      </c>
      <c r="E7" s="5" t="s">
        <v>576</v>
      </c>
      <c r="F7" s="190">
        <f>IF(B7&gt;0,BIOMED!$F$17,"-")</f>
        <v>3133060</v>
      </c>
    </row>
    <row r="8" spans="1:7" ht="15.75" x14ac:dyDescent="0.25">
      <c r="A8" s="5">
        <f t="shared" si="0"/>
        <v>5</v>
      </c>
      <c r="B8" s="3" t="s">
        <v>1445</v>
      </c>
      <c r="C8" s="3" t="s">
        <v>1446</v>
      </c>
      <c r="D8" s="3" t="s">
        <v>1475</v>
      </c>
      <c r="E8" s="5" t="s">
        <v>577</v>
      </c>
      <c r="F8" s="190">
        <f>IF(B8&gt;0,CHI!$F$32,"-")</f>
        <v>55978724</v>
      </c>
    </row>
    <row r="9" spans="1:7" ht="15.75" x14ac:dyDescent="0.25">
      <c r="A9" s="5">
        <f t="shared" si="0"/>
        <v>6</v>
      </c>
      <c r="B9" s="3" t="s">
        <v>1238</v>
      </c>
      <c r="C9" s="3" t="s">
        <v>824</v>
      </c>
      <c r="D9" s="3" t="s">
        <v>1475</v>
      </c>
      <c r="E9" s="5" t="s">
        <v>578</v>
      </c>
      <c r="F9" s="190">
        <f>IF(B9&gt;0,CLARION!$F$19,"-")</f>
        <v>3431800</v>
      </c>
    </row>
    <row r="10" spans="1:7" ht="15.75" x14ac:dyDescent="0.25">
      <c r="A10" s="5">
        <f t="shared" si="0"/>
        <v>7</v>
      </c>
      <c r="B10" s="3" t="s">
        <v>1216</v>
      </c>
      <c r="C10" s="3" t="s">
        <v>617</v>
      </c>
      <c r="D10" s="3" t="s">
        <v>1480</v>
      </c>
      <c r="E10" s="5" t="s">
        <v>579</v>
      </c>
      <c r="F10" s="190">
        <f>IF(B10&gt;0,CODIX!$F$20,"-")</f>
        <v>5250840</v>
      </c>
    </row>
    <row r="11" spans="1:7" ht="15.75" x14ac:dyDescent="0.25">
      <c r="A11" s="5">
        <f t="shared" si="0"/>
        <v>8</v>
      </c>
      <c r="B11" s="3" t="s">
        <v>1451</v>
      </c>
      <c r="C11" s="3" t="s">
        <v>1452</v>
      </c>
      <c r="D11" s="3" t="s">
        <v>1482</v>
      </c>
      <c r="E11" s="5" t="s">
        <v>580</v>
      </c>
      <c r="F11" s="190">
        <f>IF(B11&gt;0,COSMADE!$F$53,"-")</f>
        <v>25951900</v>
      </c>
    </row>
    <row r="12" spans="1:7" ht="15.75" x14ac:dyDescent="0.25">
      <c r="A12" s="5">
        <f t="shared" si="0"/>
        <v>9</v>
      </c>
      <c r="B12" s="3" t="s">
        <v>1217</v>
      </c>
      <c r="C12" s="3" t="s">
        <v>817</v>
      </c>
      <c r="D12" s="3" t="s">
        <v>1484</v>
      </c>
      <c r="E12" s="5" t="s">
        <v>581</v>
      </c>
      <c r="F12" s="190">
        <f>IF(B12&gt;0,SANCON!$F$113,"-")</f>
        <v>17674670</v>
      </c>
    </row>
    <row r="13" spans="1:7" ht="15.75" x14ac:dyDescent="0.25">
      <c r="A13" s="5">
        <f t="shared" si="0"/>
        <v>10</v>
      </c>
      <c r="B13" s="3" t="s">
        <v>1430</v>
      </c>
      <c r="C13" s="3" t="s">
        <v>1431</v>
      </c>
      <c r="D13" s="3" t="s">
        <v>1475</v>
      </c>
      <c r="E13" s="5" t="s">
        <v>582</v>
      </c>
      <c r="F13" s="190">
        <f>IF(B13&gt;0,DEVON!$F$9,"-")</f>
        <v>2367000</v>
      </c>
    </row>
    <row r="14" spans="1:7" ht="15.75" x14ac:dyDescent="0.25">
      <c r="A14" s="5">
        <f t="shared" si="0"/>
        <v>11</v>
      </c>
      <c r="B14" s="3" t="s">
        <v>887</v>
      </c>
      <c r="C14" s="3" t="s">
        <v>828</v>
      </c>
      <c r="D14" s="3" t="s">
        <v>1475</v>
      </c>
      <c r="E14" s="5" t="s">
        <v>583</v>
      </c>
      <c r="F14" s="190">
        <f>IF(B14&gt;0,DORTEMAG!$F$21,"-")</f>
        <v>4389200</v>
      </c>
    </row>
    <row r="15" spans="1:7" ht="15.75" x14ac:dyDescent="0.25">
      <c r="A15" s="5">
        <f t="shared" si="0"/>
        <v>12</v>
      </c>
      <c r="B15" s="3" t="s">
        <v>1239</v>
      </c>
      <c r="C15" s="3" t="s">
        <v>829</v>
      </c>
      <c r="D15" s="3" t="s">
        <v>1475</v>
      </c>
      <c r="E15" s="5" t="s">
        <v>584</v>
      </c>
      <c r="F15" s="190">
        <f>IF(B15&gt;0,DGF!$F$19,"-")</f>
        <v>2523700</v>
      </c>
    </row>
    <row r="16" spans="1:7" ht="15.75" x14ac:dyDescent="0.25">
      <c r="A16" s="5">
        <f t="shared" si="0"/>
        <v>13</v>
      </c>
      <c r="B16" s="3" t="s">
        <v>888</v>
      </c>
      <c r="C16" s="3" t="s">
        <v>626</v>
      </c>
      <c r="D16" s="3" t="s">
        <v>1486</v>
      </c>
      <c r="E16" s="5" t="s">
        <v>585</v>
      </c>
      <c r="F16" s="190">
        <f>IF(B16&gt;0,DYNAMIC!$F$78,"-")</f>
        <v>15934347</v>
      </c>
    </row>
    <row r="17" spans="1:6" ht="15.75" x14ac:dyDescent="0.25">
      <c r="A17" s="5">
        <f t="shared" si="0"/>
        <v>14</v>
      </c>
      <c r="B17" s="3" t="s">
        <v>1218</v>
      </c>
      <c r="C17" s="3" t="s">
        <v>614</v>
      </c>
      <c r="D17" s="3" t="s">
        <v>1475</v>
      </c>
      <c r="E17" s="5" t="s">
        <v>586</v>
      </c>
      <c r="F17" s="190">
        <f>IF(B17&gt;0,EMZOR!$F$21,"-")</f>
        <v>2106588</v>
      </c>
    </row>
    <row r="18" spans="1:6" ht="15.75" x14ac:dyDescent="0.25">
      <c r="A18" s="5">
        <f t="shared" si="0"/>
        <v>15</v>
      </c>
      <c r="B18" s="3" t="s">
        <v>876</v>
      </c>
      <c r="C18" s="3" t="s">
        <v>821</v>
      </c>
      <c r="D18" s="3" t="s">
        <v>1480</v>
      </c>
      <c r="E18" s="5" t="s">
        <v>587</v>
      </c>
      <c r="F18" s="190">
        <f>IF(B18&gt;0,EUMATT!$F$197,"-")</f>
        <v>87838260</v>
      </c>
    </row>
    <row r="19" spans="1:6" ht="15.75" x14ac:dyDescent="0.25">
      <c r="A19" s="5">
        <f t="shared" si="0"/>
        <v>16</v>
      </c>
      <c r="B19" s="3" t="s">
        <v>1219</v>
      </c>
      <c r="C19" s="3" t="s">
        <v>631</v>
      </c>
      <c r="D19" s="3" t="s">
        <v>1475</v>
      </c>
      <c r="E19" s="5" t="s">
        <v>588</v>
      </c>
      <c r="F19" s="190">
        <f>IF(B19&gt;0,FIDSON!$F$31,"-")</f>
        <v>23809500</v>
      </c>
    </row>
    <row r="20" spans="1:6" ht="15.75" x14ac:dyDescent="0.25">
      <c r="A20" s="5">
        <f t="shared" si="0"/>
        <v>17</v>
      </c>
      <c r="B20" s="3" t="s">
        <v>1055</v>
      </c>
      <c r="C20" s="3" t="s">
        <v>815</v>
      </c>
      <c r="D20" s="3" t="s">
        <v>1475</v>
      </c>
      <c r="E20" s="5" t="s">
        <v>589</v>
      </c>
      <c r="F20" s="190">
        <f>IF(B20&gt;0,FGLOBAL!$F$14,"-")</f>
        <v>4486440</v>
      </c>
    </row>
    <row r="21" spans="1:6" ht="15.75" x14ac:dyDescent="0.25">
      <c r="A21" s="5">
        <f t="shared" si="0"/>
        <v>18</v>
      </c>
      <c r="B21" s="3" t="s">
        <v>890</v>
      </c>
      <c r="C21" s="3" t="s">
        <v>619</v>
      </c>
      <c r="D21" s="3" t="s">
        <v>1475</v>
      </c>
      <c r="E21" s="5" t="s">
        <v>590</v>
      </c>
      <c r="F21" s="190">
        <f>IF(B21&gt;0,GENEITH!$F$12,"-")</f>
        <v>502500</v>
      </c>
    </row>
    <row r="22" spans="1:6" ht="15.75" x14ac:dyDescent="0.25">
      <c r="A22" s="5">
        <f t="shared" si="0"/>
        <v>19</v>
      </c>
      <c r="B22" s="3" t="s">
        <v>1453</v>
      </c>
      <c r="C22" s="3" t="s">
        <v>1454</v>
      </c>
      <c r="D22" s="3" t="s">
        <v>1483</v>
      </c>
      <c r="E22" s="5" t="s">
        <v>591</v>
      </c>
      <c r="F22" s="190">
        <f>IF(B22&gt;0,GINOS!$F$10,"-")</f>
        <v>858000</v>
      </c>
    </row>
    <row r="23" spans="1:6" ht="15.75" x14ac:dyDescent="0.25">
      <c r="A23" s="5">
        <f t="shared" si="0"/>
        <v>20</v>
      </c>
      <c r="B23" s="3" t="s">
        <v>1220</v>
      </c>
      <c r="C23" s="3" t="s">
        <v>837</v>
      </c>
      <c r="D23" s="3" t="s">
        <v>1475</v>
      </c>
      <c r="E23" s="5" t="s">
        <v>592</v>
      </c>
      <c r="F23" s="190">
        <f>IF(B23&gt;0,GSK!$F$19,"-")</f>
        <v>12613549.92</v>
      </c>
    </row>
    <row r="24" spans="1:6" ht="15.75" x14ac:dyDescent="0.25">
      <c r="A24" s="5">
        <f t="shared" si="0"/>
        <v>21</v>
      </c>
      <c r="B24" s="3" t="s">
        <v>1221</v>
      </c>
      <c r="C24" s="3" t="s">
        <v>818</v>
      </c>
      <c r="D24" s="3" t="s">
        <v>1475</v>
      </c>
      <c r="E24" s="5" t="s">
        <v>593</v>
      </c>
      <c r="F24" s="190">
        <f>IF(B24&gt;0,GLOBORG!$F$14,"-")</f>
        <v>11225000</v>
      </c>
    </row>
    <row r="25" spans="1:6" ht="15.75" x14ac:dyDescent="0.25">
      <c r="A25" s="5">
        <f t="shared" si="0"/>
        <v>22</v>
      </c>
      <c r="B25" s="3" t="s">
        <v>1465</v>
      </c>
      <c r="C25" s="3" t="s">
        <v>1466</v>
      </c>
      <c r="D25" s="3" t="s">
        <v>1477</v>
      </c>
      <c r="E25" s="5" t="s">
        <v>594</v>
      </c>
      <c r="F25" s="190" t="e">
        <f>IF(B25&gt;0,#REF!,"-")</f>
        <v>#REF!</v>
      </c>
    </row>
    <row r="26" spans="1:6" ht="15.75" x14ac:dyDescent="0.25">
      <c r="A26" s="5">
        <f t="shared" si="0"/>
        <v>23</v>
      </c>
      <c r="B26" s="3" t="s">
        <v>891</v>
      </c>
      <c r="C26" s="3" t="s">
        <v>635</v>
      </c>
      <c r="D26" s="3" t="s">
        <v>1475</v>
      </c>
      <c r="E26" s="5" t="s">
        <v>595</v>
      </c>
      <c r="F26" s="190">
        <f>IF(B26&gt;0,GREENLIFE!$F$19,"-")</f>
        <v>13789150</v>
      </c>
    </row>
    <row r="27" spans="1:6" ht="15.75" x14ac:dyDescent="0.25">
      <c r="A27" s="5">
        <f t="shared" si="0"/>
        <v>24</v>
      </c>
      <c r="B27" s="3" t="s">
        <v>1242</v>
      </c>
      <c r="C27" s="3" t="s">
        <v>1243</v>
      </c>
      <c r="D27" s="3" t="s">
        <v>1475</v>
      </c>
      <c r="E27" s="5" t="s">
        <v>596</v>
      </c>
      <c r="F27" s="190">
        <f>IF(B27&gt;0,HLINE!$F$15,"-")</f>
        <v>3291000</v>
      </c>
    </row>
    <row r="28" spans="1:6" ht="15.75" x14ac:dyDescent="0.25">
      <c r="A28" s="5">
        <f t="shared" si="0"/>
        <v>25</v>
      </c>
      <c r="B28" s="3" t="s">
        <v>1165</v>
      </c>
      <c r="C28" s="3" t="s">
        <v>825</v>
      </c>
      <c r="D28" s="3" t="s">
        <v>1482</v>
      </c>
      <c r="E28" s="5" t="s">
        <v>597</v>
      </c>
      <c r="F28" s="190">
        <f>IF(B28&gt;0,ROTECH!$F$54,"-")</f>
        <v>15494210</v>
      </c>
    </row>
    <row r="29" spans="1:6" ht="15.75" x14ac:dyDescent="0.25">
      <c r="A29" s="5">
        <f t="shared" si="0"/>
        <v>26</v>
      </c>
      <c r="B29" s="3" t="s">
        <v>1247</v>
      </c>
      <c r="C29" s="3" t="s">
        <v>1248</v>
      </c>
      <c r="D29" s="3" t="s">
        <v>1475</v>
      </c>
      <c r="E29" s="5" t="s">
        <v>598</v>
      </c>
      <c r="F29" s="190">
        <f>IF(B29&gt;0,ISN!$F$13,"-")</f>
        <v>5740000</v>
      </c>
    </row>
    <row r="30" spans="1:6" ht="15.75" x14ac:dyDescent="0.25">
      <c r="A30" s="5">
        <f t="shared" si="0"/>
        <v>27</v>
      </c>
      <c r="B30" s="3" t="s">
        <v>629</v>
      </c>
      <c r="C30" s="3" t="s">
        <v>630</v>
      </c>
      <c r="D30" s="3" t="s">
        <v>1475</v>
      </c>
      <c r="E30" s="5" t="s">
        <v>599</v>
      </c>
      <c r="F30" s="190">
        <f>IF(B30&gt;0,JAWA!$F$17,"-")</f>
        <v>1857980</v>
      </c>
    </row>
    <row r="31" spans="1:6" ht="15.75" x14ac:dyDescent="0.25">
      <c r="A31" s="5">
        <f t="shared" si="0"/>
        <v>28</v>
      </c>
      <c r="B31" s="3" t="s">
        <v>1460</v>
      </c>
      <c r="C31" s="3" t="s">
        <v>1461</v>
      </c>
      <c r="D31" s="3" t="s">
        <v>1477</v>
      </c>
      <c r="E31" s="5" t="s">
        <v>600</v>
      </c>
      <c r="F31" s="190">
        <f>IF(B31&gt;0,LAYO!$F$48,"-")</f>
        <v>12847812</v>
      </c>
    </row>
    <row r="32" spans="1:6" ht="15.75" x14ac:dyDescent="0.25">
      <c r="A32" s="5">
        <f t="shared" si="0"/>
        <v>29</v>
      </c>
      <c r="B32" s="3" t="s">
        <v>892</v>
      </c>
      <c r="C32" s="3" t="s">
        <v>623</v>
      </c>
      <c r="D32" s="3" t="s">
        <v>1475</v>
      </c>
      <c r="E32" s="5" t="s">
        <v>601</v>
      </c>
      <c r="F32" s="190">
        <f>IF(B32&gt;0,LEADWAY!$F$13,"-")</f>
        <v>8569500</v>
      </c>
    </row>
    <row r="33" spans="1:6" ht="15.75" x14ac:dyDescent="0.25">
      <c r="A33" s="5">
        <f t="shared" si="0"/>
        <v>30</v>
      </c>
      <c r="B33" s="3" t="s">
        <v>1467</v>
      </c>
      <c r="C33" s="3" t="s">
        <v>1468</v>
      </c>
      <c r="D33" s="3" t="s">
        <v>1477</v>
      </c>
      <c r="E33" s="5" t="s">
        <v>602</v>
      </c>
      <c r="F33" s="190">
        <f>IF(B33&gt;0,LHV!$F$18,"-")</f>
        <v>970750</v>
      </c>
    </row>
    <row r="34" spans="1:6" ht="15.75" x14ac:dyDescent="0.25">
      <c r="A34" s="5">
        <f t="shared" si="0"/>
        <v>31</v>
      </c>
      <c r="B34" s="3" t="s">
        <v>1222</v>
      </c>
      <c r="C34" s="3" t="s">
        <v>820</v>
      </c>
      <c r="D34" s="3" t="s">
        <v>1475</v>
      </c>
      <c r="E34" s="5" t="s">
        <v>637</v>
      </c>
      <c r="F34" s="190">
        <f>IF(B34&gt;0,MANOLA!$F$29,"-")</f>
        <v>2457732</v>
      </c>
    </row>
    <row r="35" spans="1:6" ht="15.75" x14ac:dyDescent="0.25">
      <c r="A35" s="5">
        <f t="shared" si="0"/>
        <v>32</v>
      </c>
      <c r="B35" s="3" t="s">
        <v>1223</v>
      </c>
      <c r="C35" s="3" t="s">
        <v>823</v>
      </c>
      <c r="D35" s="3" t="s">
        <v>1475</v>
      </c>
      <c r="E35" s="5" t="s">
        <v>638</v>
      </c>
      <c r="F35" s="190">
        <f>IF(B35&gt;0,MARCSON!$F$15,"-")</f>
        <v>7010000</v>
      </c>
    </row>
    <row r="36" spans="1:6" ht="15.75" x14ac:dyDescent="0.25">
      <c r="A36" s="5">
        <f t="shared" si="0"/>
        <v>33</v>
      </c>
      <c r="B36" s="3" t="s">
        <v>875</v>
      </c>
      <c r="C36" s="3" t="s">
        <v>616</v>
      </c>
      <c r="D36" s="3" t="s">
        <v>1475</v>
      </c>
      <c r="E36" s="5" t="s">
        <v>639</v>
      </c>
      <c r="F36" s="190">
        <f>IF(B36&gt;0,'M&amp;B'!$F$17,"-")</f>
        <v>5985961</v>
      </c>
    </row>
    <row r="37" spans="1:6" ht="15.75" x14ac:dyDescent="0.25">
      <c r="A37" s="5">
        <f t="shared" si="0"/>
        <v>34</v>
      </c>
      <c r="B37" s="3" t="s">
        <v>1471</v>
      </c>
      <c r="C37" s="3" t="s">
        <v>1472</v>
      </c>
      <c r="D37" s="3" t="s">
        <v>1478</v>
      </c>
      <c r="E37" s="5" t="s">
        <v>640</v>
      </c>
      <c r="F37" s="190">
        <f>IF(B37&gt;0,MTRUST!$F$9,"-")</f>
        <v>150000</v>
      </c>
    </row>
    <row r="38" spans="1:6" ht="15.75" x14ac:dyDescent="0.25">
      <c r="A38" s="5">
        <f t="shared" si="0"/>
        <v>35</v>
      </c>
      <c r="B38" s="3" t="s">
        <v>1464</v>
      </c>
      <c r="C38" s="3" t="s">
        <v>1485</v>
      </c>
      <c r="D38" s="3" t="s">
        <v>1477</v>
      </c>
      <c r="E38" s="5" t="s">
        <v>641</v>
      </c>
      <c r="F38" s="190" t="e">
        <f>IF(B38&gt;0,#REF!,"-")</f>
        <v>#REF!</v>
      </c>
    </row>
    <row r="39" spans="1:6" ht="15.75" x14ac:dyDescent="0.25">
      <c r="A39" s="5">
        <f t="shared" si="0"/>
        <v>36</v>
      </c>
      <c r="B39" s="3" t="s">
        <v>880</v>
      </c>
      <c r="C39" s="3" t="s">
        <v>816</v>
      </c>
      <c r="D39" s="3" t="s">
        <v>1475</v>
      </c>
      <c r="E39" s="5" t="s">
        <v>642</v>
      </c>
      <c r="F39" s="190">
        <f>IF(B39&gt;0,MEGA!$F$15,"-")</f>
        <v>8773000</v>
      </c>
    </row>
    <row r="40" spans="1:6" ht="15.75" x14ac:dyDescent="0.25">
      <c r="A40" s="5">
        <f t="shared" si="0"/>
        <v>37</v>
      </c>
      <c r="B40" s="3" t="s">
        <v>1224</v>
      </c>
      <c r="C40" s="3" t="s">
        <v>632</v>
      </c>
      <c r="D40" s="3" t="s">
        <v>1475</v>
      </c>
      <c r="E40" s="5" t="s">
        <v>643</v>
      </c>
      <c r="F40" s="190">
        <f>IF(B40&gt;0,MICRONOVA!$F$36,"-")</f>
        <v>9060540</v>
      </c>
    </row>
    <row r="41" spans="1:6" ht="15.75" x14ac:dyDescent="0.25">
      <c r="A41" s="5">
        <f t="shared" si="0"/>
        <v>38</v>
      </c>
      <c r="B41" s="3" t="s">
        <v>894</v>
      </c>
      <c r="C41" s="3" t="s">
        <v>862</v>
      </c>
      <c r="D41" s="3" t="s">
        <v>1475</v>
      </c>
      <c r="E41" s="5" t="s">
        <v>644</v>
      </c>
      <c r="F41" s="190">
        <f>IF(B41&gt;0,MFLASH!$F$13,"-")</f>
        <v>1521000</v>
      </c>
    </row>
    <row r="42" spans="1:6" ht="15.75" x14ac:dyDescent="0.25">
      <c r="A42" s="5">
        <f t="shared" si="0"/>
        <v>39</v>
      </c>
      <c r="B42" s="3" t="s">
        <v>830</v>
      </c>
      <c r="C42" s="3" t="s">
        <v>831</v>
      </c>
      <c r="D42" s="3" t="s">
        <v>1475</v>
      </c>
      <c r="E42" s="5" t="s">
        <v>645</v>
      </c>
      <c r="F42" s="190">
        <f>IF(B42&gt;0,MORISON!$F$12,"-")</f>
        <v>346350</v>
      </c>
    </row>
    <row r="43" spans="1:6" ht="15.75" x14ac:dyDescent="0.25">
      <c r="A43" s="5">
        <f t="shared" si="0"/>
        <v>40</v>
      </c>
      <c r="B43" s="3" t="s">
        <v>1447</v>
      </c>
      <c r="C43" s="3" t="s">
        <v>1448</v>
      </c>
      <c r="D43" s="3" t="s">
        <v>1475</v>
      </c>
      <c r="E43" s="5" t="s">
        <v>764</v>
      </c>
      <c r="F43" s="190" t="e">
        <f>IF(B43&gt;0,#REF!,"-")</f>
        <v>#REF!</v>
      </c>
    </row>
    <row r="44" spans="1:6" ht="15.75" x14ac:dyDescent="0.25">
      <c r="A44" s="5">
        <f t="shared" si="0"/>
        <v>41</v>
      </c>
      <c r="B44" s="3" t="s">
        <v>1455</v>
      </c>
      <c r="C44" s="3" t="s">
        <v>1244</v>
      </c>
      <c r="D44" s="3"/>
      <c r="E44" s="5" t="s">
        <v>765</v>
      </c>
      <c r="F44" s="190" t="e">
        <f>IF(B44&gt;0,#REF!,"-")</f>
        <v>#REF!</v>
      </c>
    </row>
    <row r="45" spans="1:6" ht="15.75" x14ac:dyDescent="0.25">
      <c r="A45" s="5">
        <f t="shared" si="0"/>
        <v>42</v>
      </c>
      <c r="B45" s="3" t="s">
        <v>1245</v>
      </c>
      <c r="C45" s="3" t="s">
        <v>1246</v>
      </c>
      <c r="D45" s="3" t="s">
        <v>1475</v>
      </c>
      <c r="E45" s="5" t="s">
        <v>766</v>
      </c>
      <c r="F45" s="190">
        <f>IF(B45&gt;0,NHC!$F$19,"-")</f>
        <v>19669260</v>
      </c>
    </row>
    <row r="46" spans="1:6" ht="15.75" x14ac:dyDescent="0.25">
      <c r="A46" s="5">
        <f t="shared" si="0"/>
        <v>43</v>
      </c>
      <c r="B46" s="3" t="s">
        <v>1240</v>
      </c>
      <c r="C46" s="3" t="s">
        <v>1241</v>
      </c>
      <c r="D46" s="3" t="s">
        <v>1475</v>
      </c>
      <c r="E46" s="5" t="s">
        <v>767</v>
      </c>
      <c r="F46" s="190">
        <f>IF(B46&gt;0,OLEAF!$F$9,"-")</f>
        <v>1800000</v>
      </c>
    </row>
    <row r="47" spans="1:6" ht="15.75" x14ac:dyDescent="0.25">
      <c r="A47" s="5">
        <f t="shared" si="0"/>
        <v>44</v>
      </c>
      <c r="B47" s="3" t="s">
        <v>1236</v>
      </c>
      <c r="C47" s="3" t="s">
        <v>1237</v>
      </c>
      <c r="D47" s="3" t="s">
        <v>1475</v>
      </c>
      <c r="E47" s="5" t="s">
        <v>768</v>
      </c>
      <c r="F47" s="190" t="e">
        <f>IF(B47&gt;0,#REF!,"-")</f>
        <v>#REF!</v>
      </c>
    </row>
    <row r="48" spans="1:6" ht="15.75" x14ac:dyDescent="0.25">
      <c r="A48" s="5">
        <f t="shared" si="0"/>
        <v>45</v>
      </c>
      <c r="B48" s="3" t="s">
        <v>1456</v>
      </c>
      <c r="C48" s="3" t="s">
        <v>1457</v>
      </c>
      <c r="D48" s="3" t="s">
        <v>1476</v>
      </c>
      <c r="E48" s="5" t="s">
        <v>769</v>
      </c>
      <c r="F48" s="190">
        <f>IF(B48&gt;0,PACIFIC!$F$28,"-")</f>
        <v>16019796.433333334</v>
      </c>
    </row>
    <row r="49" spans="1:6" ht="15.75" x14ac:dyDescent="0.25">
      <c r="A49" s="5">
        <f t="shared" si="0"/>
        <v>46</v>
      </c>
      <c r="B49" s="3" t="s">
        <v>881</v>
      </c>
      <c r="C49" s="3" t="s">
        <v>627</v>
      </c>
      <c r="D49" s="3" t="s">
        <v>1475</v>
      </c>
      <c r="E49" s="5" t="s">
        <v>770</v>
      </c>
      <c r="F49" s="190">
        <f>IF(B49&gt;0,PHAMATEX!$F$24,"-")</f>
        <v>13212880</v>
      </c>
    </row>
    <row r="50" spans="1:6" ht="15.75" x14ac:dyDescent="0.25">
      <c r="A50" s="5">
        <f t="shared" si="0"/>
        <v>47</v>
      </c>
      <c r="B50" s="3" t="s">
        <v>895</v>
      </c>
      <c r="C50" s="3" t="s">
        <v>827</v>
      </c>
      <c r="D50" s="3" t="s">
        <v>1475</v>
      </c>
      <c r="E50" s="5" t="s">
        <v>771</v>
      </c>
      <c r="F50" s="190">
        <f>IF(B50&gt;0,PETHICS!$F$12,"-")</f>
        <v>1059500</v>
      </c>
    </row>
    <row r="51" spans="1:6" ht="15.75" x14ac:dyDescent="0.25">
      <c r="A51" s="5">
        <f t="shared" si="0"/>
        <v>48</v>
      </c>
      <c r="B51" s="3" t="s">
        <v>896</v>
      </c>
      <c r="C51" s="3" t="s">
        <v>618</v>
      </c>
      <c r="D51" s="3" t="s">
        <v>1475</v>
      </c>
      <c r="E51" s="5" t="s">
        <v>772</v>
      </c>
      <c r="F51" s="190">
        <f>IF(B51&gt;0,PHILIPS!$F$23,"-")</f>
        <v>14986500</v>
      </c>
    </row>
    <row r="52" spans="1:6" ht="15.75" x14ac:dyDescent="0.25">
      <c r="A52" s="5">
        <f t="shared" si="0"/>
        <v>49</v>
      </c>
      <c r="B52" s="3" t="s">
        <v>897</v>
      </c>
      <c r="C52" s="3" t="s">
        <v>636</v>
      </c>
      <c r="D52" s="3" t="s">
        <v>1475</v>
      </c>
      <c r="E52" s="5" t="s">
        <v>773</v>
      </c>
      <c r="F52" s="190">
        <f>IF(B52&gt;0,RANBAXY!$F$19,"-")</f>
        <v>6929733.333333333</v>
      </c>
    </row>
    <row r="53" spans="1:6" ht="15.75" x14ac:dyDescent="0.25">
      <c r="A53" s="5">
        <f t="shared" si="0"/>
        <v>50</v>
      </c>
      <c r="B53" s="3" t="s">
        <v>1232</v>
      </c>
      <c r="C53" s="3" t="s">
        <v>1233</v>
      </c>
      <c r="D53" s="3" t="s">
        <v>1475</v>
      </c>
      <c r="E53" s="5" t="s">
        <v>774</v>
      </c>
      <c r="F53" s="190" t="e">
        <f>IF(B53&gt;0,#REF!,"-")</f>
        <v>#REF!</v>
      </c>
    </row>
    <row r="54" spans="1:6" ht="15.75" x14ac:dyDescent="0.25">
      <c r="A54" s="5">
        <f t="shared" si="0"/>
        <v>51</v>
      </c>
      <c r="B54" s="3" t="s">
        <v>1225</v>
      </c>
      <c r="C54" s="3" t="s">
        <v>625</v>
      </c>
      <c r="D54" s="3" t="s">
        <v>1475</v>
      </c>
      <c r="E54" s="5" t="s">
        <v>775</v>
      </c>
      <c r="F54" s="190">
        <f>IF(B54&gt;0,ROYAL!$F$14,"-")</f>
        <v>9014000</v>
      </c>
    </row>
    <row r="55" spans="1:6" ht="15.75" x14ac:dyDescent="0.25">
      <c r="A55" s="5">
        <f t="shared" si="0"/>
        <v>52</v>
      </c>
      <c r="B55" s="3" t="s">
        <v>900</v>
      </c>
      <c r="C55" s="3" t="s">
        <v>622</v>
      </c>
      <c r="D55" s="3" t="s">
        <v>1475</v>
      </c>
      <c r="E55" s="5" t="s">
        <v>776</v>
      </c>
      <c r="F55" s="190">
        <f>IF(B55&gt;0,SAM!$F$23,"-")</f>
        <v>12628000</v>
      </c>
    </row>
    <row r="56" spans="1:6" ht="15.75" x14ac:dyDescent="0.25">
      <c r="A56" s="5">
        <f t="shared" si="0"/>
        <v>53</v>
      </c>
      <c r="B56" s="3" t="s">
        <v>1449</v>
      </c>
      <c r="C56" s="3" t="s">
        <v>1450</v>
      </c>
      <c r="D56" s="3" t="s">
        <v>1475</v>
      </c>
      <c r="E56" s="5" t="s">
        <v>777</v>
      </c>
      <c r="F56" s="190">
        <f>IF(B56&gt;0,SEAGREEN!$F$12,"-")</f>
        <v>2605000</v>
      </c>
    </row>
    <row r="57" spans="1:6" ht="15.75" x14ac:dyDescent="0.25">
      <c r="A57" s="5">
        <f t="shared" si="0"/>
        <v>54</v>
      </c>
      <c r="B57" s="3" t="s">
        <v>1226</v>
      </c>
      <c r="C57" s="3" t="s">
        <v>387</v>
      </c>
      <c r="D57" s="3" t="s">
        <v>1475</v>
      </c>
      <c r="E57" s="5" t="s">
        <v>778</v>
      </c>
      <c r="F57" s="190">
        <f>IF(B57&gt;0,SKG!$F$16,"-")</f>
        <v>1306897.5</v>
      </c>
    </row>
    <row r="58" spans="1:6" ht="15.75" x14ac:dyDescent="0.25">
      <c r="A58" s="5">
        <f t="shared" si="0"/>
        <v>55</v>
      </c>
      <c r="B58" s="3" t="s">
        <v>902</v>
      </c>
      <c r="C58" s="3" t="s">
        <v>621</v>
      </c>
      <c r="D58" s="3" t="s">
        <v>1475</v>
      </c>
      <c r="E58" s="5" t="s">
        <v>809</v>
      </c>
      <c r="F58" s="190">
        <f>IF(B58&gt;0,TAH!$F$22,"-")</f>
        <v>5625600</v>
      </c>
    </row>
    <row r="59" spans="1:6" ht="15.75" x14ac:dyDescent="0.25">
      <c r="A59" s="5">
        <f t="shared" si="0"/>
        <v>56</v>
      </c>
      <c r="B59" s="3" t="s">
        <v>1227</v>
      </c>
      <c r="C59" s="3" t="s">
        <v>646</v>
      </c>
      <c r="D59" s="3" t="s">
        <v>1475</v>
      </c>
      <c r="E59" s="5" t="s">
        <v>810</v>
      </c>
      <c r="F59" s="190">
        <f>IF(B59&gt;0,TAYLEK!$F$15,"-")</f>
        <v>7421655</v>
      </c>
    </row>
    <row r="60" spans="1:6" ht="15.75" x14ac:dyDescent="0.25">
      <c r="A60" s="5">
        <f t="shared" si="0"/>
        <v>57</v>
      </c>
      <c r="B60" s="3" t="s">
        <v>1462</v>
      </c>
      <c r="C60" s="3" t="s">
        <v>1463</v>
      </c>
      <c r="D60" s="3" t="s">
        <v>1477</v>
      </c>
      <c r="E60" s="5" t="s">
        <v>811</v>
      </c>
      <c r="F60" s="190">
        <f>IF(B60&gt;0,TEMITA!$F$77,"-")</f>
        <v>10376975</v>
      </c>
    </row>
    <row r="61" spans="1:6" ht="15.75" x14ac:dyDescent="0.25">
      <c r="A61" s="5">
        <f t="shared" si="0"/>
        <v>58</v>
      </c>
      <c r="B61" s="3" t="s">
        <v>1234</v>
      </c>
      <c r="C61" s="3" t="s">
        <v>1235</v>
      </c>
      <c r="D61" s="3" t="s">
        <v>1475</v>
      </c>
      <c r="E61" s="5" t="s">
        <v>812</v>
      </c>
      <c r="F61" s="190">
        <f>IF(B61&gt;0,THL!$F$17,"-")</f>
        <v>2759600</v>
      </c>
    </row>
    <row r="62" spans="1:6" ht="15.75" x14ac:dyDescent="0.25">
      <c r="A62" s="5">
        <f t="shared" si="0"/>
        <v>59</v>
      </c>
      <c r="B62" s="3" t="s">
        <v>1458</v>
      </c>
      <c r="C62" s="3" t="s">
        <v>1459</v>
      </c>
      <c r="D62" s="3" t="s">
        <v>1479</v>
      </c>
      <c r="E62" s="5" t="s">
        <v>813</v>
      </c>
      <c r="F62" s="190">
        <f>IF(B62&gt;0,UBASTIC!$F$100,"-")</f>
        <v>16354850</v>
      </c>
    </row>
    <row r="63" spans="1:6" ht="15.75" x14ac:dyDescent="0.25">
      <c r="A63" s="5">
        <f t="shared" si="0"/>
        <v>60</v>
      </c>
      <c r="B63" s="3" t="s">
        <v>1469</v>
      </c>
      <c r="C63" s="3" t="s">
        <v>1470</v>
      </c>
      <c r="D63" s="3" t="s">
        <v>1481</v>
      </c>
      <c r="E63" s="5" t="s">
        <v>814</v>
      </c>
      <c r="F63" s="190">
        <f>IF(B63&gt;0,UNION!$F$22,"-")</f>
        <v>14062064.820000002</v>
      </c>
    </row>
    <row r="64" spans="1:6" ht="15.75" x14ac:dyDescent="0.25">
      <c r="A64" s="5">
        <f t="shared" si="0"/>
        <v>61</v>
      </c>
      <c r="B64" s="3" t="s">
        <v>879</v>
      </c>
      <c r="C64" s="3" t="s">
        <v>633</v>
      </c>
      <c r="D64" s="3" t="s">
        <v>1475</v>
      </c>
      <c r="E64" s="5" t="s">
        <v>838</v>
      </c>
      <c r="F64" s="190">
        <f>IF(B64&gt;0,UNIQUE!$F$19,"-")</f>
        <v>2689040</v>
      </c>
    </row>
    <row r="65" spans="1:6" ht="15.75" x14ac:dyDescent="0.25">
      <c r="A65" s="5">
        <f t="shared" si="0"/>
        <v>62</v>
      </c>
      <c r="B65" s="3" t="s">
        <v>1229</v>
      </c>
      <c r="C65" s="3" t="s">
        <v>620</v>
      </c>
      <c r="D65" s="3" t="s">
        <v>1475</v>
      </c>
      <c r="E65" s="5" t="s">
        <v>839</v>
      </c>
      <c r="F65" s="190">
        <f>IF(B65&gt;0,VIXA!$F$17,"-")</f>
        <v>4220020</v>
      </c>
    </row>
    <row r="66" spans="1:6" ht="15.75" x14ac:dyDescent="0.25">
      <c r="A66" s="5">
        <f t="shared" si="0"/>
        <v>63</v>
      </c>
      <c r="B66" s="3" t="s">
        <v>1230</v>
      </c>
      <c r="C66" s="3" t="s">
        <v>1231</v>
      </c>
      <c r="D66" s="3" t="s">
        <v>1475</v>
      </c>
      <c r="E66" s="5" t="s">
        <v>840</v>
      </c>
      <c r="F66" s="190">
        <f>IF(B66&gt;0,WWCV!$F$25,"-")</f>
        <v>38293320</v>
      </c>
    </row>
    <row r="67" spans="1:6" ht="15.75" x14ac:dyDescent="0.25">
      <c r="A67" s="5">
        <f t="shared" si="0"/>
        <v>64</v>
      </c>
      <c r="B67" s="3" t="s">
        <v>906</v>
      </c>
      <c r="C67" s="3" t="s">
        <v>615</v>
      </c>
      <c r="D67" s="3" t="s">
        <v>1475</v>
      </c>
      <c r="E67" s="5" t="s">
        <v>1473</v>
      </c>
      <c r="F67" s="190">
        <f>IF(B67&gt;0,ZOLON!$F$18,"-")</f>
        <v>13267700</v>
      </c>
    </row>
  </sheetData>
  <sheetProtection algorithmName="SHA-512" hashValue="74kVb24iNSXKHb3UdtWKgl4fGrsd0dHskn/x2Re2SJDPzaBT7hgYUrgSquASVgvftQnr8LPgjos60T6Q6xUD6g==" saltValue="zwnK5IVqaSP9PvvSYvVq2g==" spinCount="100000" sheet="1" objects="1" scenarios="1"/>
  <sortState ref="B4:C67">
    <sortCondition ref="B4"/>
  </sortState>
  <phoneticPr fontId="43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9"/>
  <sheetViews>
    <sheetView zoomScale="70" zoomScaleNormal="7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5" sqref="B5"/>
    </sheetView>
  </sheetViews>
  <sheetFormatPr defaultColWidth="9.140625" defaultRowHeight="15" x14ac:dyDescent="0.25"/>
  <cols>
    <col min="1" max="1" width="4.5703125" style="32" customWidth="1"/>
    <col min="2" max="2" width="42" style="32" bestFit="1" customWidth="1"/>
    <col min="3" max="3" width="21.140625" style="34" bestFit="1" customWidth="1"/>
    <col min="4" max="4" width="19.7109375" style="34" bestFit="1" customWidth="1"/>
    <col min="5" max="5" width="21.140625" style="34" bestFit="1" customWidth="1"/>
    <col min="6" max="6" width="19.7109375" style="34" bestFit="1" customWidth="1"/>
    <col min="7" max="8" width="21.140625" style="34" bestFit="1" customWidth="1"/>
    <col min="9" max="9" width="23.42578125" style="34" bestFit="1" customWidth="1"/>
    <col min="10" max="11" width="19.7109375" style="34" bestFit="1" customWidth="1"/>
  </cols>
  <sheetData>
    <row r="1" spans="1:11" ht="33.75" x14ac:dyDescent="0.5">
      <c r="B1" s="737" t="s">
        <v>613</v>
      </c>
      <c r="C1" s="737"/>
      <c r="D1" s="737"/>
      <c r="E1" s="737"/>
      <c r="F1" s="737"/>
      <c r="G1" s="737"/>
      <c r="H1" s="737"/>
      <c r="I1" s="737"/>
      <c r="J1" s="737"/>
      <c r="K1" s="737"/>
    </row>
    <row r="2" spans="1:11" ht="34.5" thickBot="1" x14ac:dyDescent="0.55000000000000004">
      <c r="B2" s="738" t="s">
        <v>1249</v>
      </c>
      <c r="C2" s="738"/>
      <c r="D2" s="738"/>
      <c r="E2" s="738"/>
      <c r="F2" s="738"/>
      <c r="G2" s="738"/>
      <c r="H2" s="738"/>
      <c r="I2" s="738"/>
      <c r="J2" s="738"/>
      <c r="K2" s="738"/>
    </row>
    <row r="3" spans="1:11" ht="34.5" thickBot="1" x14ac:dyDescent="0.55000000000000004">
      <c r="B3" s="107"/>
      <c r="C3" s="53"/>
      <c r="D3" s="52"/>
      <c r="E3" s="52"/>
      <c r="F3" s="52"/>
      <c r="G3" s="52"/>
      <c r="H3" s="52"/>
      <c r="I3" s="52"/>
      <c r="J3" s="52"/>
      <c r="K3" s="52"/>
    </row>
    <row r="4" spans="1:11" ht="27.75" customHeight="1" thickBot="1" x14ac:dyDescent="0.3">
      <c r="A4" s="33"/>
      <c r="B4" s="90" t="s">
        <v>842</v>
      </c>
      <c r="H4" s="8"/>
      <c r="I4" s="8"/>
      <c r="J4" s="8"/>
      <c r="K4" s="8"/>
    </row>
    <row r="5" spans="1:11" s="29" customFormat="1" ht="27.75" customHeight="1" x14ac:dyDescent="0.25">
      <c r="A5" s="37" t="s">
        <v>0</v>
      </c>
      <c r="B5" s="103" t="s">
        <v>501</v>
      </c>
      <c r="C5" s="103" t="str">
        <f>N!C4</f>
        <v>ALPHA</v>
      </c>
      <c r="D5" s="103" t="str">
        <f>N!C5</f>
        <v>ASSENE</v>
      </c>
      <c r="E5" s="103" t="str">
        <f>N!C6</f>
        <v>BIOFEM</v>
      </c>
      <c r="F5" s="103" t="str">
        <f>N!C7</f>
        <v>BIOMED</v>
      </c>
      <c r="G5" s="103" t="str">
        <f>N!C8</f>
        <v>CHI</v>
      </c>
      <c r="H5" s="103" t="str">
        <f>N!C9</f>
        <v>CLARION</v>
      </c>
      <c r="I5" s="103" t="str">
        <f>N!C10</f>
        <v>CODIX</v>
      </c>
      <c r="J5" s="104" t="str">
        <f>N!C11</f>
        <v>COSMADE</v>
      </c>
    </row>
    <row r="6" spans="1:11" ht="27.75" customHeight="1" x14ac:dyDescent="0.3">
      <c r="A6" s="43">
        <v>1</v>
      </c>
      <c r="B6" s="44" t="s">
        <v>502</v>
      </c>
      <c r="C6" s="35"/>
      <c r="D6" s="35"/>
      <c r="E6" s="35"/>
      <c r="F6" s="35"/>
      <c r="G6" s="35"/>
      <c r="H6" s="35"/>
      <c r="I6" s="35"/>
      <c r="J6" s="36"/>
      <c r="K6"/>
    </row>
    <row r="7" spans="1:11" ht="27.75" customHeight="1" x14ac:dyDescent="0.3">
      <c r="A7" s="43">
        <v>2</v>
      </c>
      <c r="B7" s="44" t="s">
        <v>503</v>
      </c>
      <c r="C7" s="115">
        <f>C13*0.03</f>
        <v>0</v>
      </c>
      <c r="D7" s="115">
        <f t="shared" ref="D7:J7" si="0">D13*0.03</f>
        <v>0</v>
      </c>
      <c r="E7" s="115">
        <f t="shared" si="0"/>
        <v>0</v>
      </c>
      <c r="F7" s="115">
        <f t="shared" si="0"/>
        <v>0</v>
      </c>
      <c r="G7" s="115">
        <f t="shared" si="0"/>
        <v>0</v>
      </c>
      <c r="H7" s="115">
        <f t="shared" si="0"/>
        <v>0</v>
      </c>
      <c r="I7" s="115">
        <f t="shared" si="0"/>
        <v>0</v>
      </c>
      <c r="J7" s="115">
        <f t="shared" si="0"/>
        <v>0</v>
      </c>
      <c r="K7"/>
    </row>
    <row r="8" spans="1:11" ht="27.75" customHeight="1" x14ac:dyDescent="0.3">
      <c r="A8" s="43">
        <v>3</v>
      </c>
      <c r="B8" s="44" t="s">
        <v>652</v>
      </c>
      <c r="C8" s="38"/>
      <c r="D8" s="38"/>
      <c r="E8" s="38"/>
      <c r="F8" s="38"/>
      <c r="G8" s="38"/>
      <c r="H8" s="38"/>
      <c r="I8" s="38"/>
      <c r="J8" s="39"/>
      <c r="K8"/>
    </row>
    <row r="9" spans="1:11" ht="27.75" customHeight="1" x14ac:dyDescent="0.3">
      <c r="A9" s="43">
        <v>4</v>
      </c>
      <c r="B9" s="44" t="s">
        <v>504</v>
      </c>
      <c r="C9" s="35"/>
      <c r="D9" s="35"/>
      <c r="E9" s="38"/>
      <c r="F9" s="35"/>
      <c r="G9" s="35"/>
      <c r="H9" s="35"/>
      <c r="I9" s="35"/>
      <c r="J9" s="36"/>
      <c r="K9"/>
    </row>
    <row r="10" spans="1:11" ht="27.75" customHeight="1" x14ac:dyDescent="0.3">
      <c r="A10" s="43">
        <v>5</v>
      </c>
      <c r="B10" s="44" t="s">
        <v>505</v>
      </c>
      <c r="C10" s="35"/>
      <c r="D10" s="35"/>
      <c r="E10" s="38"/>
      <c r="F10" s="35"/>
      <c r="G10" s="35"/>
      <c r="H10" s="35"/>
      <c r="I10" s="35"/>
      <c r="J10" s="36"/>
      <c r="K10"/>
    </row>
    <row r="11" spans="1:11" ht="27.75" customHeight="1" x14ac:dyDescent="0.3">
      <c r="A11" s="43">
        <v>6</v>
      </c>
      <c r="B11" s="44" t="s">
        <v>506</v>
      </c>
      <c r="C11" s="35"/>
      <c r="D11" s="35"/>
      <c r="E11" s="35"/>
      <c r="F11" s="35"/>
      <c r="G11" s="35"/>
      <c r="H11" s="35"/>
      <c r="I11" s="35"/>
      <c r="J11" s="36"/>
      <c r="K11"/>
    </row>
    <row r="12" spans="1:11" ht="27.75" customHeight="1" x14ac:dyDescent="0.3">
      <c r="A12" s="43">
        <v>7</v>
      </c>
      <c r="B12" s="44" t="s">
        <v>507</v>
      </c>
      <c r="C12" s="35"/>
      <c r="D12" s="35"/>
      <c r="E12" s="35"/>
      <c r="F12" s="35"/>
      <c r="G12" s="35"/>
      <c r="H12" s="35"/>
      <c r="I12" s="35"/>
      <c r="J12" s="36"/>
      <c r="K12"/>
    </row>
    <row r="13" spans="1:11" ht="27.75" customHeight="1" thickBot="1" x14ac:dyDescent="0.35">
      <c r="A13" s="45"/>
      <c r="B13" s="46" t="s">
        <v>508</v>
      </c>
      <c r="C13" s="119"/>
      <c r="D13" s="119"/>
      <c r="E13" s="119"/>
      <c r="F13" s="119"/>
      <c r="G13" s="119"/>
      <c r="H13" s="119"/>
      <c r="I13" s="119"/>
      <c r="J13" s="119"/>
      <c r="K13"/>
    </row>
    <row r="14" spans="1:11" ht="27.75" customHeight="1" x14ac:dyDescent="0.3">
      <c r="A14" s="41"/>
      <c r="B14" s="41"/>
      <c r="C14" s="40"/>
      <c r="D14" s="40"/>
      <c r="E14" s="40"/>
      <c r="F14" s="40"/>
      <c r="G14" s="40"/>
      <c r="H14" s="40"/>
      <c r="I14" s="40"/>
      <c r="J14" s="40"/>
      <c r="K14" s="40"/>
    </row>
    <row r="15" spans="1:11" ht="27.75" customHeight="1" x14ac:dyDescent="0.3">
      <c r="A15" s="41"/>
      <c r="B15" s="41"/>
      <c r="C15" s="40"/>
      <c r="D15" s="40"/>
      <c r="E15" s="40"/>
      <c r="F15" s="40"/>
      <c r="G15" s="40"/>
      <c r="H15" s="40"/>
      <c r="I15" s="40"/>
      <c r="J15" s="40"/>
      <c r="K15" s="40"/>
    </row>
    <row r="16" spans="1:11" ht="27.75" customHeight="1" thickBot="1" x14ac:dyDescent="0.35">
      <c r="A16" s="41"/>
      <c r="B16" s="41" t="s">
        <v>843</v>
      </c>
      <c r="C16" s="42"/>
      <c r="D16" s="42"/>
      <c r="E16" s="42"/>
      <c r="F16" s="42"/>
      <c r="G16" s="42"/>
      <c r="H16" s="42"/>
      <c r="I16" s="42"/>
      <c r="J16" s="42"/>
      <c r="K16" s="42"/>
    </row>
    <row r="17" spans="1:11" s="2" customFormat="1" ht="27.75" customHeight="1" x14ac:dyDescent="0.25">
      <c r="A17" s="37" t="s">
        <v>0</v>
      </c>
      <c r="B17" s="103" t="s">
        <v>509</v>
      </c>
      <c r="C17" s="103" t="str">
        <f>N!C12</f>
        <v>SANCON</v>
      </c>
      <c r="D17" s="103" t="str">
        <f>N!C13</f>
        <v>DEVON</v>
      </c>
      <c r="E17" s="103" t="str">
        <f>N!$C14</f>
        <v>DORTEMAG</v>
      </c>
      <c r="F17" s="103" t="str">
        <f>N!$C15</f>
        <v>DGF</v>
      </c>
      <c r="G17" s="103" t="str">
        <f>N!$C16</f>
        <v>DYNAMIC</v>
      </c>
      <c r="H17" s="103" t="str">
        <f>N!$C17</f>
        <v>EMZOR</v>
      </c>
      <c r="I17" s="103" t="str">
        <f>N!$C18</f>
        <v>EUMATT</v>
      </c>
      <c r="J17" s="103" t="str">
        <f>N!$C19</f>
        <v>FIDSON</v>
      </c>
      <c r="K17" s="103" t="str">
        <f>N!$C20</f>
        <v>FCGLOBAL</v>
      </c>
    </row>
    <row r="18" spans="1:11" ht="27.75" customHeight="1" x14ac:dyDescent="0.3">
      <c r="A18" s="43">
        <v>1</v>
      </c>
      <c r="B18" s="44" t="s">
        <v>502</v>
      </c>
      <c r="C18" s="35"/>
      <c r="D18" s="35"/>
      <c r="E18" s="35"/>
      <c r="F18" s="35"/>
      <c r="G18" s="35"/>
      <c r="H18" s="35"/>
      <c r="I18" s="35"/>
      <c r="J18" s="35"/>
      <c r="K18" s="36"/>
    </row>
    <row r="19" spans="1:11" ht="27.75" customHeight="1" x14ac:dyDescent="0.3">
      <c r="A19" s="43">
        <v>2</v>
      </c>
      <c r="B19" s="44" t="s">
        <v>503</v>
      </c>
      <c r="C19" s="115">
        <f>C25*0.03</f>
        <v>0</v>
      </c>
      <c r="D19" s="115">
        <f t="shared" ref="D19:K19" si="1">D25*0.03</f>
        <v>0</v>
      </c>
      <c r="E19" s="115">
        <f t="shared" si="1"/>
        <v>0</v>
      </c>
      <c r="F19" s="115">
        <f t="shared" si="1"/>
        <v>0</v>
      </c>
      <c r="G19" s="115">
        <f t="shared" si="1"/>
        <v>0</v>
      </c>
      <c r="H19" s="115">
        <f t="shared" si="1"/>
        <v>0</v>
      </c>
      <c r="I19" s="115">
        <f t="shared" si="1"/>
        <v>0</v>
      </c>
      <c r="J19" s="115">
        <f t="shared" si="1"/>
        <v>0</v>
      </c>
      <c r="K19" s="116">
        <f t="shared" si="1"/>
        <v>0</v>
      </c>
    </row>
    <row r="20" spans="1:11" ht="27.75" customHeight="1" x14ac:dyDescent="0.3">
      <c r="A20" s="43">
        <v>3</v>
      </c>
      <c r="B20" s="44" t="s">
        <v>652</v>
      </c>
      <c r="C20" s="38"/>
      <c r="D20" s="38"/>
      <c r="E20" s="38"/>
      <c r="F20" s="38"/>
      <c r="G20" s="38"/>
      <c r="H20" s="38"/>
      <c r="I20" s="38"/>
      <c r="J20" s="38"/>
      <c r="K20" s="39"/>
    </row>
    <row r="21" spans="1:11" ht="27.75" customHeight="1" x14ac:dyDescent="0.3">
      <c r="A21" s="43">
        <v>4</v>
      </c>
      <c r="B21" s="44" t="s">
        <v>504</v>
      </c>
      <c r="C21" s="35"/>
      <c r="D21" s="35"/>
      <c r="E21" s="35"/>
      <c r="F21" s="35"/>
      <c r="G21" s="35"/>
      <c r="H21" s="35"/>
      <c r="I21" s="35"/>
      <c r="J21" s="35"/>
      <c r="K21" s="36"/>
    </row>
    <row r="22" spans="1:11" ht="27.75" customHeight="1" x14ac:dyDescent="0.3">
      <c r="A22" s="43">
        <v>5</v>
      </c>
      <c r="B22" s="44" t="s">
        <v>505</v>
      </c>
      <c r="C22" s="35"/>
      <c r="D22" s="35"/>
      <c r="E22" s="35"/>
      <c r="F22" s="35"/>
      <c r="G22" s="35"/>
      <c r="H22" s="35"/>
      <c r="I22" s="35"/>
      <c r="J22" s="35"/>
      <c r="K22" s="36"/>
    </row>
    <row r="23" spans="1:11" ht="27.75" customHeight="1" x14ac:dyDescent="0.3">
      <c r="A23" s="43">
        <v>6</v>
      </c>
      <c r="B23" s="44" t="s">
        <v>506</v>
      </c>
      <c r="C23" s="35"/>
      <c r="D23" s="35"/>
      <c r="E23" s="35"/>
      <c r="F23" s="35"/>
      <c r="G23" s="35"/>
      <c r="H23" s="35"/>
      <c r="I23" s="35"/>
      <c r="J23" s="35"/>
      <c r="K23" s="36"/>
    </row>
    <row r="24" spans="1:11" ht="27.75" customHeight="1" x14ac:dyDescent="0.3">
      <c r="A24" s="43">
        <v>7</v>
      </c>
      <c r="B24" s="44" t="s">
        <v>507</v>
      </c>
      <c r="C24" s="35"/>
      <c r="D24" s="35"/>
      <c r="E24" s="35"/>
      <c r="F24" s="35"/>
      <c r="G24" s="35"/>
      <c r="H24" s="35"/>
      <c r="I24" s="35"/>
      <c r="J24" s="35"/>
      <c r="K24" s="36"/>
    </row>
    <row r="25" spans="1:11" ht="27.75" customHeight="1" thickBot="1" x14ac:dyDescent="0.35">
      <c r="A25" s="45"/>
      <c r="B25" s="46" t="s">
        <v>508</v>
      </c>
      <c r="C25" s="119"/>
      <c r="D25" s="119"/>
      <c r="E25" s="119"/>
      <c r="F25" s="119"/>
      <c r="G25" s="119"/>
      <c r="H25" s="119"/>
      <c r="I25" s="119"/>
      <c r="J25" s="119"/>
      <c r="K25" s="119"/>
    </row>
    <row r="26" spans="1:11" ht="27.75" customHeight="1" x14ac:dyDescent="0.3">
      <c r="A26" s="41"/>
      <c r="B26" s="41"/>
      <c r="C26" s="40"/>
      <c r="D26" s="40"/>
      <c r="E26" s="40"/>
      <c r="F26" s="40"/>
      <c r="G26" s="40"/>
      <c r="H26" s="40"/>
      <c r="I26" s="40"/>
      <c r="J26" s="40"/>
      <c r="K26" s="40"/>
    </row>
    <row r="27" spans="1:11" ht="27.75" customHeight="1" x14ac:dyDescent="0.3">
      <c r="A27" s="41"/>
      <c r="B27" s="41"/>
      <c r="C27" s="40"/>
      <c r="D27" s="40"/>
      <c r="E27" s="40"/>
      <c r="F27" s="40"/>
      <c r="G27" s="40"/>
      <c r="H27" s="40"/>
      <c r="I27" s="40"/>
      <c r="J27" s="40"/>
      <c r="K27" s="40"/>
    </row>
    <row r="28" spans="1:11" ht="27.75" customHeight="1" thickBot="1" x14ac:dyDescent="0.35">
      <c r="A28" s="41"/>
      <c r="B28" s="41" t="s">
        <v>844</v>
      </c>
      <c r="C28" s="42"/>
      <c r="D28" s="42"/>
      <c r="E28" s="42"/>
      <c r="F28" s="42"/>
      <c r="G28" s="42"/>
      <c r="H28" s="42"/>
      <c r="I28" s="42"/>
      <c r="J28" s="42"/>
      <c r="K28" s="42"/>
    </row>
    <row r="29" spans="1:11" s="28" customFormat="1" ht="27.75" customHeight="1" x14ac:dyDescent="0.3">
      <c r="A29" s="47" t="s">
        <v>0</v>
      </c>
      <c r="B29" s="105" t="s">
        <v>509</v>
      </c>
      <c r="C29" s="105" t="str">
        <f>N!$C21</f>
        <v>GENEITH</v>
      </c>
      <c r="D29" s="105" t="str">
        <f>N!$C22</f>
        <v>GINOS</v>
      </c>
      <c r="E29" s="105" t="str">
        <f>N!$C23</f>
        <v>GSK</v>
      </c>
      <c r="F29" s="105" t="str">
        <f>N!$C24</f>
        <v>GLOBORG</v>
      </c>
      <c r="G29" s="105" t="str">
        <f>N!$C25</f>
        <v>GOODNEWS</v>
      </c>
      <c r="H29" s="105" t="str">
        <f>N!$C26</f>
        <v>GREENLIFE</v>
      </c>
      <c r="I29" s="105" t="str">
        <f>N!$C27</f>
        <v>HLINE</v>
      </c>
      <c r="J29" s="105" t="str">
        <f>N!$C28</f>
        <v>ROTECH</v>
      </c>
      <c r="K29" s="105" t="str">
        <f>N!$C29</f>
        <v>ISN</v>
      </c>
    </row>
    <row r="30" spans="1:11" ht="27.75" customHeight="1" x14ac:dyDescent="0.3">
      <c r="A30" s="43">
        <v>1</v>
      </c>
      <c r="B30" s="44" t="s">
        <v>502</v>
      </c>
      <c r="C30" s="35"/>
      <c r="D30" s="36"/>
      <c r="E30" s="36"/>
      <c r="F30" s="35"/>
      <c r="G30" s="35"/>
      <c r="H30" s="35"/>
      <c r="I30" s="35"/>
      <c r="J30" s="35"/>
      <c r="K30" s="36"/>
    </row>
    <row r="31" spans="1:11" ht="27.75" customHeight="1" x14ac:dyDescent="0.3">
      <c r="A31" s="43">
        <v>2</v>
      </c>
      <c r="B31" s="44" t="s">
        <v>503</v>
      </c>
      <c r="C31" s="115">
        <f>C37*0.03</f>
        <v>0</v>
      </c>
      <c r="D31" s="116">
        <f t="shared" ref="D31:K31" si="2">D37*0.03</f>
        <v>0</v>
      </c>
      <c r="E31" s="116">
        <f t="shared" si="2"/>
        <v>0</v>
      </c>
      <c r="F31" s="115">
        <f t="shared" si="2"/>
        <v>0</v>
      </c>
      <c r="G31" s="115">
        <f t="shared" si="2"/>
        <v>0</v>
      </c>
      <c r="H31" s="115">
        <f t="shared" si="2"/>
        <v>0</v>
      </c>
      <c r="I31" s="115">
        <f t="shared" si="2"/>
        <v>0</v>
      </c>
      <c r="J31" s="115">
        <f t="shared" si="2"/>
        <v>0</v>
      </c>
      <c r="K31" s="116">
        <f t="shared" si="2"/>
        <v>0</v>
      </c>
    </row>
    <row r="32" spans="1:11" ht="27.75" customHeight="1" x14ac:dyDescent="0.3">
      <c r="A32" s="43">
        <v>3</v>
      </c>
      <c r="B32" s="44" t="s">
        <v>652</v>
      </c>
      <c r="C32" s="38"/>
      <c r="D32" s="39"/>
      <c r="E32" s="39"/>
      <c r="F32" s="38"/>
      <c r="G32" s="38"/>
      <c r="H32" s="38"/>
      <c r="I32" s="38"/>
      <c r="J32" s="38"/>
      <c r="K32" s="39"/>
    </row>
    <row r="33" spans="1:11" ht="27.75" customHeight="1" x14ac:dyDescent="0.3">
      <c r="A33" s="43">
        <v>4</v>
      </c>
      <c r="B33" s="44" t="s">
        <v>504</v>
      </c>
      <c r="C33" s="35"/>
      <c r="D33" s="36"/>
      <c r="E33" s="36"/>
      <c r="F33" s="35"/>
      <c r="G33" s="35"/>
      <c r="H33" s="35"/>
      <c r="I33" s="35"/>
      <c r="J33" s="38"/>
      <c r="K33" s="36"/>
    </row>
    <row r="34" spans="1:11" ht="27.75" customHeight="1" x14ac:dyDescent="0.3">
      <c r="A34" s="43">
        <v>5</v>
      </c>
      <c r="B34" s="44" t="s">
        <v>505</v>
      </c>
      <c r="C34" s="35"/>
      <c r="D34" s="36"/>
      <c r="E34" s="36"/>
      <c r="F34" s="44"/>
      <c r="G34" s="35"/>
      <c r="H34" s="35"/>
      <c r="I34" s="35"/>
      <c r="J34" s="38"/>
      <c r="K34" s="36"/>
    </row>
    <row r="35" spans="1:11" ht="27.75" customHeight="1" x14ac:dyDescent="0.3">
      <c r="A35" s="43">
        <v>6</v>
      </c>
      <c r="B35" s="44" t="s">
        <v>506</v>
      </c>
      <c r="C35" s="35"/>
      <c r="D35" s="36"/>
      <c r="E35" s="36"/>
      <c r="F35" s="35"/>
      <c r="G35" s="35"/>
      <c r="H35" s="35"/>
      <c r="I35" s="35"/>
      <c r="J35" s="38"/>
      <c r="K35" s="36"/>
    </row>
    <row r="36" spans="1:11" ht="27.75" customHeight="1" x14ac:dyDescent="0.3">
      <c r="A36" s="43">
        <v>7</v>
      </c>
      <c r="B36" s="44" t="s">
        <v>507</v>
      </c>
      <c r="C36" s="35"/>
      <c r="D36" s="36"/>
      <c r="E36" s="36"/>
      <c r="F36" s="35"/>
      <c r="G36" s="35"/>
      <c r="H36" s="35"/>
      <c r="I36" s="35"/>
      <c r="J36" s="38"/>
      <c r="K36" s="36"/>
    </row>
    <row r="37" spans="1:11" ht="27.75" customHeight="1" thickBot="1" x14ac:dyDescent="0.35">
      <c r="A37" s="45"/>
      <c r="B37" s="46" t="s">
        <v>508</v>
      </c>
      <c r="C37" s="119"/>
      <c r="D37" s="119"/>
      <c r="E37" s="119"/>
      <c r="F37" s="119"/>
      <c r="G37" s="119"/>
      <c r="H37" s="119"/>
      <c r="I37" s="119"/>
      <c r="J37" s="119"/>
      <c r="K37" s="119"/>
    </row>
    <row r="38" spans="1:11" ht="27.75" customHeight="1" x14ac:dyDescent="0.3">
      <c r="A38" s="41"/>
      <c r="B38" s="41"/>
      <c r="C38" s="42"/>
      <c r="D38" s="42"/>
      <c r="E38" s="42"/>
      <c r="F38" s="42"/>
      <c r="G38" s="42"/>
      <c r="H38" s="42"/>
      <c r="I38" s="42"/>
      <c r="J38" s="42"/>
      <c r="K38" s="42"/>
    </row>
    <row r="39" spans="1:11" ht="27.75" customHeight="1" x14ac:dyDescent="0.3">
      <c r="A39" s="41"/>
      <c r="B39" s="41"/>
      <c r="C39" s="40"/>
      <c r="D39" s="40"/>
      <c r="E39" s="40"/>
      <c r="F39" s="40"/>
      <c r="G39" s="40"/>
      <c r="H39" s="40"/>
      <c r="I39" s="40"/>
      <c r="J39" s="40"/>
      <c r="K39" s="40"/>
    </row>
    <row r="40" spans="1:11" ht="27.75" customHeight="1" x14ac:dyDescent="0.3">
      <c r="A40" s="41"/>
      <c r="B40" s="41"/>
      <c r="C40" s="40"/>
      <c r="D40" s="40"/>
      <c r="E40" s="40"/>
      <c r="F40" s="40"/>
      <c r="G40" s="40"/>
      <c r="H40" s="40"/>
      <c r="I40" s="40"/>
      <c r="J40" s="40"/>
      <c r="K40" s="40"/>
    </row>
    <row r="41" spans="1:11" ht="27.75" customHeight="1" thickBot="1" x14ac:dyDescent="0.35">
      <c r="A41" s="41"/>
      <c r="B41" s="41" t="s">
        <v>845</v>
      </c>
      <c r="C41" s="42"/>
      <c r="D41" s="42"/>
      <c r="E41" s="42"/>
      <c r="F41" s="42"/>
      <c r="G41" s="42"/>
      <c r="H41" s="42"/>
      <c r="I41" s="42"/>
      <c r="J41" s="42"/>
      <c r="K41" s="42"/>
    </row>
    <row r="42" spans="1:11" s="2" customFormat="1" ht="27.75" customHeight="1" x14ac:dyDescent="0.25">
      <c r="A42" s="37" t="s">
        <v>0</v>
      </c>
      <c r="B42" s="103" t="s">
        <v>509</v>
      </c>
      <c r="C42" s="103" t="str">
        <f>N!C30</f>
        <v>JAWA</v>
      </c>
      <c r="D42" s="103" t="str">
        <f>N!C31</f>
        <v>LAYO</v>
      </c>
      <c r="E42" s="103" t="str">
        <f>N!C32</f>
        <v>LEADWAY</v>
      </c>
      <c r="F42" s="103" t="str">
        <f>N!C33</f>
        <v>LHV</v>
      </c>
      <c r="G42" s="103" t="str">
        <f>N!C34</f>
        <v>MANOLA</v>
      </c>
      <c r="H42" s="103" t="str">
        <f>N!C35</f>
        <v>MARCSON</v>
      </c>
      <c r="I42" s="103" t="str">
        <f>N!C36</f>
        <v>M&amp;B</v>
      </c>
      <c r="J42" s="103" t="str">
        <f>N!C37</f>
        <v>MTRUST</v>
      </c>
      <c r="K42" s="103" t="str">
        <f>N!C38</f>
        <v>MWORLD</v>
      </c>
    </row>
    <row r="43" spans="1:11" ht="27.75" customHeight="1" x14ac:dyDescent="0.3">
      <c r="A43" s="43">
        <v>1</v>
      </c>
      <c r="B43" s="44" t="s">
        <v>502</v>
      </c>
      <c r="C43" s="48"/>
      <c r="D43" s="48"/>
      <c r="E43" s="48"/>
      <c r="F43" s="48"/>
      <c r="G43" s="48"/>
      <c r="H43" s="48"/>
      <c r="I43" s="48"/>
      <c r="J43" s="48"/>
      <c r="K43" s="49"/>
    </row>
    <row r="44" spans="1:11" ht="27.75" customHeight="1" x14ac:dyDescent="0.3">
      <c r="A44" s="43">
        <v>2</v>
      </c>
      <c r="B44" s="44" t="s">
        <v>503</v>
      </c>
      <c r="C44" s="117">
        <f>C50*0.03</f>
        <v>0</v>
      </c>
      <c r="D44" s="117">
        <f t="shared" ref="D44:K44" si="3">D50*0.03</f>
        <v>0</v>
      </c>
      <c r="E44" s="117">
        <f t="shared" si="3"/>
        <v>0</v>
      </c>
      <c r="F44" s="117">
        <f t="shared" si="3"/>
        <v>0</v>
      </c>
      <c r="G44" s="117">
        <f t="shared" si="3"/>
        <v>0</v>
      </c>
      <c r="H44" s="117">
        <f t="shared" si="3"/>
        <v>0</v>
      </c>
      <c r="I44" s="117">
        <f t="shared" si="3"/>
        <v>0</v>
      </c>
      <c r="J44" s="117">
        <f t="shared" si="3"/>
        <v>0</v>
      </c>
      <c r="K44" s="118">
        <f t="shared" si="3"/>
        <v>0</v>
      </c>
    </row>
    <row r="45" spans="1:11" ht="27.75" customHeight="1" x14ac:dyDescent="0.3">
      <c r="A45" s="43">
        <v>3</v>
      </c>
      <c r="B45" s="44" t="s">
        <v>652</v>
      </c>
      <c r="C45" s="50"/>
      <c r="D45" s="50"/>
      <c r="E45" s="50"/>
      <c r="F45" s="50"/>
      <c r="G45" s="50"/>
      <c r="H45" s="50"/>
      <c r="I45" s="50"/>
      <c r="J45" s="50"/>
      <c r="K45" s="51"/>
    </row>
    <row r="46" spans="1:11" ht="27.75" customHeight="1" x14ac:dyDescent="0.3">
      <c r="A46" s="43">
        <v>4</v>
      </c>
      <c r="B46" s="44" t="s">
        <v>504</v>
      </c>
      <c r="C46" s="48"/>
      <c r="D46" s="367"/>
      <c r="E46" s="48"/>
      <c r="F46" s="48"/>
      <c r="G46" s="48"/>
      <c r="H46" s="48"/>
      <c r="I46" s="48"/>
      <c r="J46" s="48"/>
      <c r="K46" s="49"/>
    </row>
    <row r="47" spans="1:11" ht="27.75" customHeight="1" x14ac:dyDescent="0.3">
      <c r="A47" s="43">
        <v>5</v>
      </c>
      <c r="B47" s="44" t="s">
        <v>505</v>
      </c>
      <c r="C47" s="48"/>
      <c r="D47" s="48"/>
      <c r="E47" s="48"/>
      <c r="F47" s="48"/>
      <c r="G47" s="48"/>
      <c r="H47" s="48"/>
      <c r="I47" s="48"/>
      <c r="J47" s="48"/>
      <c r="K47" s="49"/>
    </row>
    <row r="48" spans="1:11" ht="27.75" customHeight="1" x14ac:dyDescent="0.3">
      <c r="A48" s="43">
        <v>6</v>
      </c>
      <c r="B48" s="44" t="s">
        <v>506</v>
      </c>
      <c r="C48" s="48"/>
      <c r="D48" s="48"/>
      <c r="E48" s="48"/>
      <c r="F48" s="48"/>
      <c r="G48" s="48"/>
      <c r="H48" s="48"/>
      <c r="I48" s="48"/>
      <c r="J48" s="48"/>
      <c r="K48" s="49"/>
    </row>
    <row r="49" spans="1:11" ht="27.75" customHeight="1" x14ac:dyDescent="0.3">
      <c r="A49" s="43">
        <v>7</v>
      </c>
      <c r="B49" s="44" t="s">
        <v>507</v>
      </c>
      <c r="C49" s="48"/>
      <c r="D49" s="48"/>
      <c r="E49" s="48"/>
      <c r="F49" s="48"/>
      <c r="G49" s="48"/>
      <c r="H49" s="48"/>
      <c r="I49" s="48"/>
      <c r="J49" s="48"/>
      <c r="K49" s="49"/>
    </row>
    <row r="50" spans="1:11" ht="27.75" customHeight="1" thickBot="1" x14ac:dyDescent="0.35">
      <c r="A50" s="45"/>
      <c r="B50" s="46" t="s">
        <v>508</v>
      </c>
      <c r="C50" s="120"/>
      <c r="D50" s="120"/>
      <c r="E50" s="120"/>
      <c r="F50" s="120"/>
      <c r="G50" s="120"/>
      <c r="H50" s="120"/>
      <c r="I50" s="120"/>
      <c r="J50" s="120"/>
      <c r="K50" s="120"/>
    </row>
    <row r="51" spans="1:11" ht="27.75" customHeight="1" x14ac:dyDescent="0.3">
      <c r="A51" s="41"/>
      <c r="B51" s="41"/>
      <c r="C51" s="40"/>
      <c r="D51" s="40"/>
      <c r="E51" s="40"/>
      <c r="F51" s="40"/>
      <c r="G51" s="40"/>
      <c r="H51" s="40"/>
      <c r="I51" s="40"/>
      <c r="J51" s="40"/>
      <c r="K51" s="40"/>
    </row>
    <row r="52" spans="1:11" ht="27.75" customHeight="1" x14ac:dyDescent="0.3">
      <c r="A52" s="41"/>
      <c r="B52" s="41"/>
      <c r="C52" s="40"/>
      <c r="D52" s="40"/>
      <c r="E52" s="40"/>
      <c r="F52" s="40"/>
      <c r="G52" s="40"/>
      <c r="H52" s="40"/>
      <c r="I52" s="40"/>
      <c r="J52" s="40"/>
      <c r="K52" s="40"/>
    </row>
    <row r="53" spans="1:11" ht="27.75" customHeight="1" thickBot="1" x14ac:dyDescent="0.35">
      <c r="A53" s="41"/>
      <c r="B53" s="41" t="s">
        <v>846</v>
      </c>
      <c r="C53" s="42"/>
      <c r="D53" s="42"/>
      <c r="E53" s="42"/>
      <c r="F53" s="42"/>
      <c r="G53" s="42"/>
      <c r="H53" s="42"/>
      <c r="I53" s="42"/>
      <c r="J53" s="42"/>
      <c r="K53" s="42"/>
    </row>
    <row r="54" spans="1:11" s="2" customFormat="1" ht="27.75" customHeight="1" x14ac:dyDescent="0.25">
      <c r="A54" s="37" t="s">
        <v>0</v>
      </c>
      <c r="B54" s="103" t="s">
        <v>509</v>
      </c>
      <c r="C54" s="103" t="str">
        <f>N!C39</f>
        <v>MEGA</v>
      </c>
      <c r="D54" s="103" t="str">
        <f>N!C40</f>
        <v>MICRONOVA</v>
      </c>
      <c r="E54" s="103" t="str">
        <f>N!C41</f>
        <v>MFLASH</v>
      </c>
      <c r="F54" s="103" t="str">
        <f>N!C42</f>
        <v>MORISON</v>
      </c>
      <c r="G54" s="103" t="str">
        <f>N!C43</f>
        <v>NEMEL</v>
      </c>
      <c r="H54" s="103" t="str">
        <f>N!C44</f>
        <v>NHP</v>
      </c>
      <c r="I54" s="103" t="str">
        <f>N!C45</f>
        <v>NHC</v>
      </c>
      <c r="J54" s="103" t="str">
        <f>N!C46</f>
        <v>OLEAF</v>
      </c>
      <c r="K54" s="103" t="str">
        <f>N!C47</f>
        <v>OCULUS</v>
      </c>
    </row>
    <row r="55" spans="1:11" ht="27.75" customHeight="1" x14ac:dyDescent="0.3">
      <c r="A55" s="43">
        <v>1</v>
      </c>
      <c r="B55" s="44" t="s">
        <v>502</v>
      </c>
      <c r="C55" s="35"/>
      <c r="D55" s="35"/>
      <c r="E55" s="35"/>
      <c r="F55" s="35"/>
      <c r="G55" s="35"/>
      <c r="H55" s="35"/>
      <c r="I55" s="35"/>
      <c r="J55" s="35"/>
      <c r="K55" s="36"/>
    </row>
    <row r="56" spans="1:11" ht="27.75" customHeight="1" x14ac:dyDescent="0.3">
      <c r="A56" s="43">
        <v>2</v>
      </c>
      <c r="B56" s="44" t="s">
        <v>503</v>
      </c>
      <c r="C56" s="115">
        <f t="shared" ref="C56:K56" si="4">C62*0.03</f>
        <v>0</v>
      </c>
      <c r="D56" s="115">
        <f t="shared" si="4"/>
        <v>0</v>
      </c>
      <c r="E56" s="115">
        <f t="shared" si="4"/>
        <v>0</v>
      </c>
      <c r="F56" s="115">
        <f t="shared" si="4"/>
        <v>0</v>
      </c>
      <c r="G56" s="115">
        <f t="shared" si="4"/>
        <v>0</v>
      </c>
      <c r="H56" s="115">
        <f t="shared" si="4"/>
        <v>0</v>
      </c>
      <c r="I56" s="115">
        <f t="shared" si="4"/>
        <v>0</v>
      </c>
      <c r="J56" s="115">
        <f t="shared" si="4"/>
        <v>0</v>
      </c>
      <c r="K56" s="116">
        <f t="shared" si="4"/>
        <v>0</v>
      </c>
    </row>
    <row r="57" spans="1:11" ht="27.75" customHeight="1" x14ac:dyDescent="0.3">
      <c r="A57" s="43">
        <v>3</v>
      </c>
      <c r="B57" s="44" t="s">
        <v>652</v>
      </c>
      <c r="C57" s="38"/>
      <c r="D57" s="38"/>
      <c r="E57" s="38"/>
      <c r="F57" s="38"/>
      <c r="G57" s="38"/>
      <c r="H57" s="38"/>
      <c r="I57" s="38"/>
      <c r="J57" s="38"/>
      <c r="K57" s="39"/>
    </row>
    <row r="58" spans="1:11" ht="27.75" customHeight="1" x14ac:dyDescent="0.3">
      <c r="A58" s="43">
        <v>4</v>
      </c>
      <c r="B58" s="44" t="s">
        <v>504</v>
      </c>
      <c r="C58" s="35"/>
      <c r="D58" s="35"/>
      <c r="E58" s="35"/>
      <c r="F58" s="35"/>
      <c r="G58" s="35"/>
      <c r="H58" s="35"/>
      <c r="I58" s="35"/>
      <c r="J58" s="35"/>
      <c r="K58" s="36"/>
    </row>
    <row r="59" spans="1:11" ht="27.75" customHeight="1" x14ac:dyDescent="0.3">
      <c r="A59" s="43">
        <v>5</v>
      </c>
      <c r="B59" s="44" t="s">
        <v>505</v>
      </c>
      <c r="C59" s="35"/>
      <c r="D59" s="35"/>
      <c r="E59" s="35"/>
      <c r="F59" s="35"/>
      <c r="G59" s="35"/>
      <c r="H59" s="35"/>
      <c r="I59" s="35"/>
      <c r="J59" s="35"/>
      <c r="K59" s="36"/>
    </row>
    <row r="60" spans="1:11" ht="27.75" customHeight="1" x14ac:dyDescent="0.3">
      <c r="A60" s="43">
        <v>6</v>
      </c>
      <c r="B60" s="44" t="s">
        <v>506</v>
      </c>
      <c r="C60" s="35"/>
      <c r="D60" s="35"/>
      <c r="E60" s="35"/>
      <c r="F60" s="35"/>
      <c r="G60" s="35"/>
      <c r="H60" s="35"/>
      <c r="I60" s="35"/>
      <c r="J60" s="35"/>
      <c r="K60" s="36"/>
    </row>
    <row r="61" spans="1:11" ht="27.75" customHeight="1" x14ac:dyDescent="0.3">
      <c r="A61" s="43">
        <v>7</v>
      </c>
      <c r="B61" s="44" t="s">
        <v>507</v>
      </c>
      <c r="C61" s="35"/>
      <c r="D61" s="35"/>
      <c r="E61" s="35"/>
      <c r="F61" s="35"/>
      <c r="G61" s="35"/>
      <c r="H61" s="35"/>
      <c r="I61" s="35"/>
      <c r="J61" s="35"/>
      <c r="K61" s="36"/>
    </row>
    <row r="62" spans="1:11" ht="27.75" customHeight="1" thickBot="1" x14ac:dyDescent="0.35">
      <c r="A62" s="45"/>
      <c r="B62" s="46" t="s">
        <v>508</v>
      </c>
      <c r="C62" s="119"/>
      <c r="D62" s="119"/>
      <c r="E62" s="119"/>
      <c r="F62" s="119"/>
      <c r="G62" s="119"/>
      <c r="H62" s="119"/>
      <c r="I62" s="119"/>
      <c r="J62" s="119"/>
      <c r="K62" s="119"/>
    </row>
    <row r="63" spans="1:11" ht="27.75" customHeight="1" x14ac:dyDescent="0.25">
      <c r="B63" s="33"/>
    </row>
    <row r="64" spans="1:11" ht="27.75" customHeight="1" x14ac:dyDescent="0.3">
      <c r="A64" s="41"/>
      <c r="B64" s="41"/>
      <c r="C64" s="40"/>
      <c r="D64" s="40"/>
      <c r="E64" s="40"/>
      <c r="F64" s="40"/>
      <c r="G64" s="40"/>
      <c r="H64" s="40"/>
      <c r="I64" s="40"/>
      <c r="J64" s="40"/>
      <c r="K64" s="40"/>
    </row>
    <row r="65" spans="1:11" ht="27.75" customHeight="1" x14ac:dyDescent="0.3">
      <c r="A65" s="41"/>
      <c r="B65" s="41"/>
      <c r="C65" s="40"/>
      <c r="D65" s="40"/>
      <c r="E65" s="40"/>
      <c r="F65" s="40"/>
      <c r="G65" s="40"/>
      <c r="H65" s="40"/>
      <c r="I65" s="40"/>
      <c r="J65" s="40"/>
      <c r="K65" s="40"/>
    </row>
    <row r="66" spans="1:11" ht="27.75" customHeight="1" thickBot="1" x14ac:dyDescent="0.35">
      <c r="A66" s="41"/>
      <c r="B66" s="41" t="s">
        <v>847</v>
      </c>
      <c r="C66" s="42"/>
      <c r="D66" s="42"/>
      <c r="E66" s="42"/>
      <c r="F66" s="42"/>
      <c r="G66" s="42"/>
      <c r="H66" s="42"/>
      <c r="I66" s="42"/>
      <c r="J66" s="42"/>
      <c r="K66" s="42"/>
    </row>
    <row r="67" spans="1:11" s="2" customFormat="1" ht="27.75" customHeight="1" x14ac:dyDescent="0.25">
      <c r="A67" s="37" t="s">
        <v>0</v>
      </c>
      <c r="B67" s="103" t="s">
        <v>509</v>
      </c>
      <c r="C67" s="103" t="str">
        <f>N!C48</f>
        <v>PACIFIC</v>
      </c>
      <c r="D67" s="103" t="str">
        <f>N!C49</f>
        <v>PHAMATEX</v>
      </c>
      <c r="E67" s="103" t="str">
        <f>N!C50</f>
        <v>PETHICS</v>
      </c>
      <c r="F67" s="103" t="str">
        <f>N!C51</f>
        <v>PHILIPS</v>
      </c>
      <c r="G67" s="103" t="str">
        <f>N!C52</f>
        <v>RANBAXY</v>
      </c>
      <c r="H67" s="103" t="str">
        <f>N!C53</f>
        <v>REALS</v>
      </c>
      <c r="I67" s="103" t="str">
        <f>N!C54</f>
        <v>ROYAL</v>
      </c>
      <c r="J67" s="103" t="str">
        <f>N!C55</f>
        <v>SAM</v>
      </c>
      <c r="K67" s="103" t="str">
        <f>N!C56</f>
        <v>SEAGREEN</v>
      </c>
    </row>
    <row r="68" spans="1:11" ht="27.75" customHeight="1" x14ac:dyDescent="0.3">
      <c r="A68" s="43">
        <v>1</v>
      </c>
      <c r="B68" s="44" t="s">
        <v>502</v>
      </c>
      <c r="C68" s="35"/>
      <c r="D68" s="35"/>
      <c r="E68" s="35"/>
      <c r="F68" s="35"/>
      <c r="G68" s="35"/>
      <c r="H68" s="35"/>
      <c r="I68" s="35"/>
      <c r="J68" s="35"/>
      <c r="K68" s="36"/>
    </row>
    <row r="69" spans="1:11" ht="27.75" customHeight="1" x14ac:dyDescent="0.3">
      <c r="A69" s="43">
        <v>2</v>
      </c>
      <c r="B69" s="44" t="s">
        <v>503</v>
      </c>
      <c r="C69" s="115">
        <f>C75*0.03</f>
        <v>0</v>
      </c>
      <c r="D69" s="115">
        <f t="shared" ref="D69:K69" si="5">D75*0.03</f>
        <v>0</v>
      </c>
      <c r="E69" s="115">
        <f t="shared" si="5"/>
        <v>0</v>
      </c>
      <c r="F69" s="115">
        <f t="shared" si="5"/>
        <v>0</v>
      </c>
      <c r="G69" s="115">
        <f t="shared" si="5"/>
        <v>0</v>
      </c>
      <c r="H69" s="115">
        <f t="shared" si="5"/>
        <v>0</v>
      </c>
      <c r="I69" s="115">
        <f t="shared" si="5"/>
        <v>0</v>
      </c>
      <c r="J69" s="115">
        <f t="shared" si="5"/>
        <v>0</v>
      </c>
      <c r="K69" s="116">
        <f t="shared" si="5"/>
        <v>0</v>
      </c>
    </row>
    <row r="70" spans="1:11" ht="27.75" customHeight="1" x14ac:dyDescent="0.3">
      <c r="A70" s="43">
        <v>3</v>
      </c>
      <c r="B70" s="44" t="s">
        <v>652</v>
      </c>
      <c r="C70" s="38"/>
      <c r="D70" s="38"/>
      <c r="E70" s="38"/>
      <c r="F70" s="38"/>
      <c r="G70" s="38"/>
      <c r="H70" s="38"/>
      <c r="I70" s="38"/>
      <c r="J70" s="38"/>
      <c r="K70" s="39"/>
    </row>
    <row r="71" spans="1:11" ht="27.75" customHeight="1" x14ac:dyDescent="0.3">
      <c r="A71" s="43">
        <v>4</v>
      </c>
      <c r="B71" s="44" t="s">
        <v>504</v>
      </c>
      <c r="C71" s="35"/>
      <c r="D71" s="35"/>
      <c r="E71" s="35"/>
      <c r="F71" s="35"/>
      <c r="G71" s="35"/>
      <c r="H71" s="35"/>
      <c r="I71" s="35"/>
      <c r="J71" s="35"/>
      <c r="K71" s="36"/>
    </row>
    <row r="72" spans="1:11" ht="27.75" customHeight="1" x14ac:dyDescent="0.3">
      <c r="A72" s="43">
        <v>5</v>
      </c>
      <c r="B72" s="44" t="s">
        <v>505</v>
      </c>
      <c r="C72" s="35"/>
      <c r="D72" s="35"/>
      <c r="E72" s="35"/>
      <c r="F72" s="35"/>
      <c r="G72" s="35"/>
      <c r="H72" s="35"/>
      <c r="I72" s="35"/>
      <c r="J72" s="35"/>
      <c r="K72" s="36"/>
    </row>
    <row r="73" spans="1:11" ht="27.75" customHeight="1" x14ac:dyDescent="0.3">
      <c r="A73" s="43">
        <v>6</v>
      </c>
      <c r="B73" s="44" t="s">
        <v>506</v>
      </c>
      <c r="C73" s="35"/>
      <c r="D73" s="35"/>
      <c r="E73" s="35"/>
      <c r="F73" s="35"/>
      <c r="G73" s="35"/>
      <c r="H73" s="35"/>
      <c r="I73" s="35"/>
      <c r="J73" s="35"/>
      <c r="K73" s="36"/>
    </row>
    <row r="74" spans="1:11" ht="27.75" customHeight="1" x14ac:dyDescent="0.3">
      <c r="A74" s="43">
        <v>7</v>
      </c>
      <c r="B74" s="44" t="s">
        <v>507</v>
      </c>
      <c r="C74" s="35"/>
      <c r="D74" s="35"/>
      <c r="E74" s="35"/>
      <c r="F74" s="35"/>
      <c r="G74" s="35"/>
      <c r="H74" s="35"/>
      <c r="I74" s="35"/>
      <c r="J74" s="35"/>
      <c r="K74" s="36"/>
    </row>
    <row r="75" spans="1:11" ht="27.75" customHeight="1" thickBot="1" x14ac:dyDescent="0.35">
      <c r="A75" s="45"/>
      <c r="B75" s="46" t="s">
        <v>508</v>
      </c>
      <c r="C75" s="119"/>
      <c r="D75" s="119"/>
      <c r="E75" s="119"/>
      <c r="F75" s="119"/>
      <c r="G75" s="119"/>
      <c r="H75" s="119"/>
      <c r="I75" s="119"/>
      <c r="J75" s="119"/>
      <c r="K75" s="119"/>
    </row>
    <row r="76" spans="1:11" ht="27.75" customHeight="1" x14ac:dyDescent="0.25">
      <c r="B76" s="33"/>
    </row>
    <row r="77" spans="1:11" ht="27.75" customHeight="1" x14ac:dyDescent="0.25">
      <c r="B77" s="33"/>
    </row>
    <row r="78" spans="1:11" ht="27.75" customHeight="1" x14ac:dyDescent="0.25">
      <c r="B78" s="33"/>
    </row>
    <row r="79" spans="1:11" ht="27.75" customHeight="1" thickBot="1" x14ac:dyDescent="0.3">
      <c r="B79" s="32" t="s">
        <v>848</v>
      </c>
      <c r="I79"/>
      <c r="J79"/>
      <c r="K79"/>
    </row>
    <row r="80" spans="1:11" s="2" customFormat="1" ht="27.75" customHeight="1" x14ac:dyDescent="0.25">
      <c r="A80" s="37" t="s">
        <v>0</v>
      </c>
      <c r="B80" s="103" t="s">
        <v>509</v>
      </c>
      <c r="C80" s="103" t="str">
        <f>N!C57</f>
        <v>SKG</v>
      </c>
      <c r="D80" s="103" t="str">
        <f>N!C58</f>
        <v>TAH</v>
      </c>
      <c r="E80" s="103" t="str">
        <f>N!C59</f>
        <v>TAYLEK</v>
      </c>
      <c r="F80" s="103" t="str">
        <f>N!C60</f>
        <v>TEMITA</v>
      </c>
      <c r="G80" s="103" t="str">
        <f>N!C61</f>
        <v>THL</v>
      </c>
      <c r="H80" s="103" t="str">
        <f>N!C62</f>
        <v>UBASTIC</v>
      </c>
      <c r="I80" s="103" t="str">
        <f>N!C63</f>
        <v>UNION</v>
      </c>
    </row>
    <row r="81" spans="1:11" ht="27.75" customHeight="1" x14ac:dyDescent="0.3">
      <c r="A81" s="43">
        <v>1</v>
      </c>
      <c r="B81" s="44" t="s">
        <v>502</v>
      </c>
      <c r="C81" s="35"/>
      <c r="D81" s="35"/>
      <c r="E81" s="35"/>
      <c r="F81" s="35"/>
      <c r="G81" s="35"/>
      <c r="H81" s="35"/>
      <c r="I81" s="35"/>
      <c r="J81"/>
      <c r="K81"/>
    </row>
    <row r="82" spans="1:11" ht="27.75" customHeight="1" x14ac:dyDescent="0.3">
      <c r="A82" s="43">
        <v>2</v>
      </c>
      <c r="B82" s="44" t="s">
        <v>503</v>
      </c>
      <c r="C82" s="115">
        <f t="shared" ref="C82:I82" si="6">C88*0.03</f>
        <v>0</v>
      </c>
      <c r="D82" s="115">
        <f t="shared" si="6"/>
        <v>0</v>
      </c>
      <c r="E82" s="115">
        <f t="shared" si="6"/>
        <v>0</v>
      </c>
      <c r="F82" s="115">
        <f t="shared" si="6"/>
        <v>0</v>
      </c>
      <c r="G82" s="115">
        <f t="shared" si="6"/>
        <v>0</v>
      </c>
      <c r="H82" s="115">
        <f t="shared" si="6"/>
        <v>0</v>
      </c>
      <c r="I82" s="115">
        <f t="shared" si="6"/>
        <v>0</v>
      </c>
      <c r="J82"/>
      <c r="K82"/>
    </row>
    <row r="83" spans="1:11" ht="27.75" customHeight="1" x14ac:dyDescent="0.3">
      <c r="A83" s="43">
        <v>3</v>
      </c>
      <c r="B83" s="44" t="s">
        <v>652</v>
      </c>
      <c r="C83" s="38"/>
      <c r="D83" s="38"/>
      <c r="E83" s="38"/>
      <c r="F83" s="38"/>
      <c r="G83" s="38"/>
      <c r="H83" s="38"/>
      <c r="I83" s="38"/>
      <c r="J83"/>
      <c r="K83"/>
    </row>
    <row r="84" spans="1:11" ht="27.75" customHeight="1" x14ac:dyDescent="0.3">
      <c r="A84" s="43">
        <v>4</v>
      </c>
      <c r="B84" s="44" t="s">
        <v>504</v>
      </c>
      <c r="C84" s="35"/>
      <c r="D84" s="35"/>
      <c r="E84" s="35"/>
      <c r="F84" s="35"/>
      <c r="G84" s="35"/>
      <c r="H84" s="35"/>
      <c r="I84" s="35"/>
      <c r="J84"/>
      <c r="K84"/>
    </row>
    <row r="85" spans="1:11" ht="27.75" customHeight="1" x14ac:dyDescent="0.3">
      <c r="A85" s="43">
        <v>5</v>
      </c>
      <c r="B85" s="44" t="s">
        <v>505</v>
      </c>
      <c r="C85" s="35"/>
      <c r="D85" s="35"/>
      <c r="E85" s="35"/>
      <c r="F85" s="35"/>
      <c r="G85" s="35"/>
      <c r="H85" s="35"/>
      <c r="I85" s="35"/>
      <c r="J85"/>
      <c r="K85"/>
    </row>
    <row r="86" spans="1:11" ht="27.75" customHeight="1" x14ac:dyDescent="0.3">
      <c r="A86" s="43">
        <v>6</v>
      </c>
      <c r="B86" s="44" t="s">
        <v>506</v>
      </c>
      <c r="C86" s="35"/>
      <c r="D86" s="35"/>
      <c r="E86" s="35"/>
      <c r="F86" s="35"/>
      <c r="G86" s="35"/>
      <c r="H86" s="35"/>
      <c r="I86" s="35"/>
      <c r="J86"/>
      <c r="K86"/>
    </row>
    <row r="87" spans="1:11" ht="27.75" customHeight="1" x14ac:dyDescent="0.3">
      <c r="A87" s="43">
        <v>7</v>
      </c>
      <c r="B87" s="44" t="s">
        <v>507</v>
      </c>
      <c r="C87" s="35"/>
      <c r="D87" s="35"/>
      <c r="E87" s="35"/>
      <c r="F87" s="35"/>
      <c r="G87" s="35"/>
      <c r="H87" s="35"/>
      <c r="I87" s="35"/>
      <c r="J87"/>
      <c r="K87"/>
    </row>
    <row r="88" spans="1:11" ht="27.75" customHeight="1" thickBot="1" x14ac:dyDescent="0.35">
      <c r="A88" s="45"/>
      <c r="B88" s="46" t="s">
        <v>508</v>
      </c>
      <c r="C88" s="119"/>
      <c r="D88" s="119"/>
      <c r="E88" s="119"/>
      <c r="F88" s="119"/>
      <c r="G88" s="119"/>
      <c r="H88" s="119"/>
      <c r="I88" s="119"/>
      <c r="J88"/>
      <c r="K88"/>
    </row>
    <row r="89" spans="1:11" ht="27.75" customHeight="1" x14ac:dyDescent="0.25">
      <c r="I89"/>
      <c r="J89"/>
      <c r="K89"/>
    </row>
  </sheetData>
  <sheetProtection algorithmName="SHA-512" hashValue="BYfOFQF+KYZFMY8/XHLQEkZo4YJn6ancaOiziR9ao5shIgvkhtCO6UqkmhfJPeMzmtisrLXFQVkxSSDWb1m3Yg==" saltValue="txZvTaKA5pAyHfxQb/Evhw==" spinCount="100000" sheet="1" objects="1" scenarios="1"/>
  <protectedRanges>
    <protectedRange sqref="C30:K30 C43:K43 C57:K62 C68:K68 C70:K75 C55:K55 C32:K37 C45:K50" name="Range3"/>
    <protectedRange sqref="C18:K18 C20:K25" name="Range2"/>
    <protectedRange sqref="C6:J6 C8:J13" name="Range1"/>
    <protectedRange sqref="C81:I81 C83:I88" name="Range4"/>
  </protectedRanges>
  <mergeCells count="2">
    <mergeCell ref="B1:K1"/>
    <mergeCell ref="B2:K2"/>
  </mergeCells>
  <printOptions gridLines="1"/>
  <pageMargins left="0.25" right="0.25" top="0.75" bottom="0.75" header="0.3" footer="0.3"/>
  <pageSetup paperSize="9" scale="71" orientation="landscape" r:id="rId1"/>
  <rowBreaks count="1" manualBreakCount="1">
    <brk id="2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2"/>
  <sheetViews>
    <sheetView view="pageBreakPreview" zoomScale="60" zoomScaleNormal="90" workbookViewId="0">
      <pane xSplit="2" ySplit="7" topLeftCell="C32" activePane="bottomRight" state="frozen"/>
      <selection activeCell="H5" sqref="H5"/>
      <selection pane="topRight" activeCell="H5" sqref="H5"/>
      <selection pane="bottomLeft" activeCell="H5" sqref="H5"/>
      <selection pane="bottomRight" activeCell="K27" sqref="K27"/>
    </sheetView>
  </sheetViews>
  <sheetFormatPr defaultRowHeight="18.75" x14ac:dyDescent="0.3"/>
  <cols>
    <col min="1" max="1" width="5.7109375" style="388" customWidth="1"/>
    <col min="2" max="2" width="42.28515625" style="390" customWidth="1"/>
    <col min="3" max="3" width="17.7109375" style="390" customWidth="1"/>
    <col min="4" max="4" width="16.7109375" style="388" customWidth="1"/>
    <col min="5" max="5" width="16.7109375" style="390" customWidth="1"/>
    <col min="6" max="6" width="13.7109375" style="390" customWidth="1"/>
    <col min="7" max="7" width="19.140625" style="390" customWidth="1"/>
    <col min="8" max="8" width="15.5703125" style="390" customWidth="1"/>
    <col min="9" max="9" width="24.140625" style="390" customWidth="1"/>
    <col min="10" max="10" width="19.7109375" style="391" customWidth="1"/>
    <col min="11" max="11" width="21.7109375" style="410" customWidth="1"/>
    <col min="12" max="12" width="9.140625" style="388"/>
    <col min="13" max="13" width="9.140625" style="388" customWidth="1"/>
    <col min="14" max="16384" width="9.140625" style="388"/>
  </cols>
  <sheetData>
    <row r="1" spans="1:11" ht="31.5" x14ac:dyDescent="0.5">
      <c r="A1" s="742" t="s">
        <v>613</v>
      </c>
      <c r="B1" s="742"/>
      <c r="C1" s="742"/>
      <c r="D1" s="742"/>
      <c r="E1" s="742"/>
      <c r="F1" s="742"/>
      <c r="G1" s="742"/>
      <c r="H1" s="742"/>
      <c r="I1" s="742"/>
      <c r="J1" s="742"/>
      <c r="K1" s="387"/>
    </row>
    <row r="2" spans="1:11" ht="27" thickBot="1" x14ac:dyDescent="0.45">
      <c r="A2" s="743" t="s">
        <v>2036</v>
      </c>
      <c r="B2" s="743"/>
      <c r="C2" s="743"/>
      <c r="D2" s="743"/>
      <c r="E2" s="743"/>
      <c r="F2" s="743"/>
      <c r="G2" s="743"/>
      <c r="H2" s="743"/>
      <c r="I2" s="743"/>
      <c r="J2" s="743"/>
      <c r="K2" s="389"/>
    </row>
    <row r="3" spans="1:11" ht="24" thickBot="1" x14ac:dyDescent="0.4">
      <c r="D3" s="390"/>
      <c r="H3" s="746" t="s">
        <v>1487</v>
      </c>
      <c r="I3" s="747"/>
      <c r="J3" s="744">
        <f>SUM(I8:I72)</f>
        <v>4055565566.5100002</v>
      </c>
      <c r="K3" s="745"/>
    </row>
    <row r="4" spans="1:11" ht="19.5" thickBot="1" x14ac:dyDescent="0.35">
      <c r="D4" s="390"/>
      <c r="I4" s="391"/>
      <c r="K4" s="392"/>
    </row>
    <row r="5" spans="1:11" ht="27" thickBot="1" x14ac:dyDescent="0.45">
      <c r="C5" s="739" t="s">
        <v>851</v>
      </c>
      <c r="D5" s="740"/>
      <c r="E5" s="740"/>
      <c r="F5" s="740"/>
      <c r="G5" s="740"/>
      <c r="H5" s="740"/>
      <c r="I5" s="740"/>
      <c r="J5" s="741"/>
      <c r="K5" s="392"/>
    </row>
    <row r="6" spans="1:11" s="393" customFormat="1" ht="75.75" thickBot="1" x14ac:dyDescent="0.3">
      <c r="B6" s="394" t="s">
        <v>850</v>
      </c>
      <c r="C6" s="395" t="s">
        <v>1444</v>
      </c>
      <c r="D6" s="395" t="s">
        <v>1443</v>
      </c>
      <c r="E6" s="395" t="s">
        <v>1442</v>
      </c>
      <c r="F6" s="395" t="s">
        <v>1441</v>
      </c>
      <c r="G6" s="395" t="s">
        <v>1440</v>
      </c>
      <c r="H6" s="395" t="s">
        <v>1439</v>
      </c>
      <c r="I6" s="396" t="s">
        <v>508</v>
      </c>
      <c r="J6" s="397" t="s">
        <v>1438</v>
      </c>
      <c r="K6" s="398" t="s">
        <v>1474</v>
      </c>
    </row>
    <row r="7" spans="1:11" s="393" customFormat="1" ht="30" hidden="1" x14ac:dyDescent="0.25">
      <c r="A7" s="393" t="s">
        <v>852</v>
      </c>
      <c r="B7" s="399" t="s">
        <v>853</v>
      </c>
      <c r="C7" s="400" t="s">
        <v>854</v>
      </c>
      <c r="D7" s="400" t="s">
        <v>856</v>
      </c>
      <c r="E7" s="400" t="s">
        <v>857</v>
      </c>
      <c r="F7" s="400" t="s">
        <v>858</v>
      </c>
      <c r="G7" s="400" t="s">
        <v>859</v>
      </c>
      <c r="H7" s="400" t="s">
        <v>860</v>
      </c>
      <c r="I7" s="401" t="s">
        <v>861</v>
      </c>
      <c r="J7" s="401" t="s">
        <v>855</v>
      </c>
      <c r="K7" s="402"/>
    </row>
    <row r="8" spans="1:11" s="403" customFormat="1" ht="42" customHeight="1" x14ac:dyDescent="0.25">
      <c r="A8" s="403">
        <f>N!A4</f>
        <v>1</v>
      </c>
      <c r="B8" s="399" t="str">
        <f>N!B4</f>
        <v>ALPHA PHARMACY AND STORES LTD</v>
      </c>
      <c r="C8" s="399" t="s">
        <v>841</v>
      </c>
      <c r="D8" s="399" t="s">
        <v>841</v>
      </c>
      <c r="E8" s="399" t="s">
        <v>841</v>
      </c>
      <c r="F8" s="399" t="s">
        <v>841</v>
      </c>
      <c r="G8" s="399" t="s">
        <v>841</v>
      </c>
      <c r="H8" s="399" t="s">
        <v>841</v>
      </c>
      <c r="I8" s="399">
        <v>68326400</v>
      </c>
      <c r="J8" s="404">
        <f t="shared" ref="J8:J39" si="0">I8*0.03</f>
        <v>2049792</v>
      </c>
      <c r="K8" s="405" t="str">
        <f>IF(N!D4="LPRT","LABORATORY/PHARMACY/RADIOLOGY/THEATRE",IF(N!D4="P","PHARMACY",IF(N!D4="T","THEATRE",IF(N!D4="L","LABORATORY",IF(N!D4="R","RADIOLOGY",IF(N!D4="LT","LABORATORY/THEATRE",IF(N!D4="LP","LABORATORY/PHARMACY",IF(N!D4="LR","LABORATORY/RADIOLOGY",IF(N!D4="PT","PHARMACY/THEATRE",IF(N!D4="PR","PHARMACY/RADIOLOGY",IF(N!D4="RT","RADIOLOGY/THEATRE",IF(N!D4="LPT","LABORATORY/PHARMACY/THEATRE",IF(N!D4="LPR","LABORATORY/PHARMACY/RADIOLOGY",IF(N!D4="PTR","PHARMACY/THEATRE/RADIOLOGY",IF(N!D4="LRT","LABORATORY/RADIOLOGY/THEATRE","-")))))))))))))))</f>
        <v>PHARMACY</v>
      </c>
    </row>
    <row r="9" spans="1:11" s="403" customFormat="1" ht="42" customHeight="1" x14ac:dyDescent="0.25">
      <c r="A9" s="403">
        <f>N!A5</f>
        <v>2</v>
      </c>
      <c r="B9" s="399" t="str">
        <f>N!B5</f>
        <v>ASSENE LABOREX LIMITED</v>
      </c>
      <c r="C9" s="399" t="s">
        <v>841</v>
      </c>
      <c r="D9" s="399" t="s">
        <v>841</v>
      </c>
      <c r="E9" s="399" t="s">
        <v>841</v>
      </c>
      <c r="F9" s="399" t="s">
        <v>841</v>
      </c>
      <c r="G9" s="399" t="s">
        <v>841</v>
      </c>
      <c r="H9" s="399" t="s">
        <v>841</v>
      </c>
      <c r="I9" s="404">
        <v>128971839</v>
      </c>
      <c r="J9" s="406">
        <f t="shared" si="0"/>
        <v>3869155.17</v>
      </c>
      <c r="K9" s="405" t="str">
        <f>IF(N!D5="LPRT","LABORATORY/PHARMACY/RADIOLOGY/THEATRE",IF(N!D5="P","PHARMACY",IF(N!D5="T","THEATRE",IF(N!D5="L","LABORATORY",IF(N!D5="R","RADIOLOGY",IF(N!D5="LT","LABORATORY/THEATRE",IF(N!D5="LP","LABORATORY/PHARMACY",IF(N!D5="LR","LABORATORY/RADIOLOGY",IF(N!D5="PT","PHARMACY/THEATRE",IF(N!D5="PR","PHARMACY/RADIOLOGY",IF(N!D5="RT","RADIOLOGY/THEATRE",IF(N!D5="LPT","LABORATORY/PHARMACY/THEATRE",IF(N!D5="LPR","LABORATORY/PHARMACY/RADIOLOGY",IF(N!D5="PTR","PHARMACY/THEATRE/RADIOLOGY",IF(N!D5="LRT","LABORATORY/RADIOLOGY/THEATRE","-")))))))))))))))</f>
        <v>PHARMACY</v>
      </c>
    </row>
    <row r="10" spans="1:11" s="403" customFormat="1" ht="42" customHeight="1" x14ac:dyDescent="0.25">
      <c r="A10" s="403">
        <f>N!A6</f>
        <v>3</v>
      </c>
      <c r="B10" s="399" t="str">
        <f>N!B6</f>
        <v>BIOFEM PHARMACEUTICALS LIMITED</v>
      </c>
      <c r="C10" s="399" t="s">
        <v>841</v>
      </c>
      <c r="D10" s="399" t="s">
        <v>841</v>
      </c>
      <c r="E10" s="399" t="s">
        <v>841</v>
      </c>
      <c r="F10" s="399" t="s">
        <v>841</v>
      </c>
      <c r="G10" s="399" t="s">
        <v>841</v>
      </c>
      <c r="H10" s="399" t="s">
        <v>841</v>
      </c>
      <c r="I10" s="404">
        <v>22952000</v>
      </c>
      <c r="J10" s="426">
        <f t="shared" si="0"/>
        <v>688560</v>
      </c>
      <c r="K10" s="405" t="str">
        <f>IF(N!D6="LPRT","LABORATORY/PHARMACY/RADIOLOGY/THEATRE",IF(N!D6="P","PHARMACY",IF(N!D6="T","THEATRE",IF(N!D6="L","LABORATORY",IF(N!D6="R","RADIOLOGY",IF(N!D6="LT","LABORATORY/THEATRE",IF(N!D6="LP","LABORATORY/PHARMACY",IF(N!D6="LR","LABORATORY/RADIOLOGY",IF(N!D6="PT","PHARMACY/THEATRE",IF(N!D6="PR","PHARMACY/RADIOLOGY",IF(N!D6="RT","RADIOLOGY/THEATRE",IF(N!D6="LPT","LABORATORY/PHARMACY/THEATRE",IF(N!D6="LPR","LABORATORY/PHARMACY/RADIOLOGY",IF(N!D6="PTR","PHARMACY/THEATRE/RADIOLOGY",IF(N!D6="LRT","LABORATORY/RADIOLOGY/THEATRE","-")))))))))))))))</f>
        <v>PHARMACY</v>
      </c>
    </row>
    <row r="11" spans="1:11" s="403" customFormat="1" ht="42" customHeight="1" x14ac:dyDescent="0.25">
      <c r="A11" s="403">
        <f>N!A7</f>
        <v>4</v>
      </c>
      <c r="B11" s="399" t="str">
        <f>N!B7</f>
        <v>BIOMEDICALS LIMITED</v>
      </c>
      <c r="C11" s="399" t="s">
        <v>841</v>
      </c>
      <c r="D11" s="399" t="s">
        <v>841</v>
      </c>
      <c r="E11" s="399" t="s">
        <v>841</v>
      </c>
      <c r="F11" s="399" t="s">
        <v>841</v>
      </c>
      <c r="G11" s="399" t="s">
        <v>841</v>
      </c>
      <c r="H11" s="399" t="s">
        <v>841</v>
      </c>
      <c r="I11" s="404">
        <v>14807900</v>
      </c>
      <c r="J11" s="426">
        <f t="shared" si="0"/>
        <v>444237</v>
      </c>
      <c r="K11" s="405" t="str">
        <f>IF(N!D7="LPRT","LABORATORY/PHARMACY/RADIOLOGY/THEATRE",IF(N!D7="P","PHARMACY",IF(N!D7="T","THEATRE",IF(N!D7="L","LABORATORY",IF(N!D7="R","RADIOLOGY",IF(N!D7="LT","LABORATORY/THEATRE",IF(N!D7="LP","LABORATORY/PHARMACY",IF(N!D7="LR","LABORATORY/RADIOLOGY",IF(N!D7="PT","PHARMACY/THEATRE",IF(N!D7="PR","PHARMACY/RADIOLOGY",IF(N!D7="RT","RADIOLOGY/THEATRE",IF(N!D7="LPT","LABORATORY/PHARMACY/THEATRE",IF(N!D7="LPR","LABORATORY/PHARMACY/RADIOLOGY",IF(N!D7="PTR","PHARMACY/THEATRE/RADIOLOGY",IF(N!D7="LRT","LABORATORY/RADIOLOGY/THEATRE","-")))))))))))))))</f>
        <v>PHARMACY</v>
      </c>
    </row>
    <row r="12" spans="1:11" s="403" customFormat="1" ht="42" customHeight="1" x14ac:dyDescent="0.25">
      <c r="A12" s="403">
        <f>N!A8</f>
        <v>5</v>
      </c>
      <c r="B12" s="399" t="str">
        <f>N!B8</f>
        <v>CHI PHARMACEUTICALS</v>
      </c>
      <c r="C12" s="399" t="s">
        <v>841</v>
      </c>
      <c r="D12" s="399" t="s">
        <v>841</v>
      </c>
      <c r="E12" s="399" t="s">
        <v>841</v>
      </c>
      <c r="F12" s="399" t="s">
        <v>841</v>
      </c>
      <c r="G12" s="399" t="s">
        <v>841</v>
      </c>
      <c r="H12" s="399" t="s">
        <v>841</v>
      </c>
      <c r="I12" s="404">
        <v>172960884</v>
      </c>
      <c r="J12" s="404">
        <f t="shared" si="0"/>
        <v>5188826.5199999996</v>
      </c>
      <c r="K12" s="405" t="str">
        <f>IF(N!D8="LPRT","LABORATORY/PHARMACY/RADIOLOGY/THEATRE",IF(N!D8="P","PHARMACY",IF(N!D8="T","THEATRE",IF(N!D8="L","LABORATORY",IF(N!D8="R","RADIOLOGY",IF(N!D8="LT","LABORATORY/THEATRE",IF(N!D8="LP","LABORATORY/PHARMACY",IF(N!D8="LR","LABORATORY/RADIOLOGY",IF(N!D8="PT","PHARMACY/THEATRE",IF(N!D8="PR","PHARMACY/RADIOLOGY",IF(N!D8="RT","RADIOLOGY/THEATRE",IF(N!D8="LPT","LABORATORY/PHARMACY/THEATRE",IF(N!D8="LPR","LABORATORY/PHARMACY/RADIOLOGY",IF(N!D8="PTR","PHARMACY/THEATRE/RADIOLOGY",IF(N!D8="LRT","LABORATORY/RADIOLOGY/THEATRE","-")))))))))))))))</f>
        <v>PHARMACY</v>
      </c>
    </row>
    <row r="13" spans="1:11" s="403" customFormat="1" ht="42" customHeight="1" x14ac:dyDescent="0.25">
      <c r="A13" s="403">
        <f>N!A9</f>
        <v>6</v>
      </c>
      <c r="B13" s="399" t="str">
        <f>N!B9</f>
        <v>CLARION MEDICALS LIMITED</v>
      </c>
      <c r="C13" s="399" t="s">
        <v>841</v>
      </c>
      <c r="D13" s="399" t="s">
        <v>841</v>
      </c>
      <c r="E13" s="399" t="s">
        <v>841</v>
      </c>
      <c r="F13" s="399" t="s">
        <v>841</v>
      </c>
      <c r="G13" s="399" t="s">
        <v>841</v>
      </c>
      <c r="H13" s="399" t="s">
        <v>841</v>
      </c>
      <c r="I13" s="404">
        <v>30694000</v>
      </c>
      <c r="J13" s="404">
        <f t="shared" si="0"/>
        <v>920820</v>
      </c>
      <c r="K13" s="405" t="str">
        <f>IF(N!D9="LPRT","LABORATORY/PHARMACY/RADIOLOGY/THEATRE",IF(N!D9="P","PHARMACY",IF(N!D9="T","THEATRE",IF(N!D9="L","LABORATORY",IF(N!D9="R","RADIOLOGY",IF(N!D9="LT","LABORATORY/THEATRE",IF(N!D9="LP","LABORATORY/PHARMACY",IF(N!D9="LR","LABORATORY/RADIOLOGY",IF(N!D9="PT","PHARMACY/THEATRE",IF(N!D9="PR","PHARMACY/RADIOLOGY",IF(N!D9="RT","RADIOLOGY/THEATRE",IF(N!D9="LPT","LABORATORY/PHARMACY/THEATRE",IF(N!D9="LPR","LABORATORY/PHARMACY/RADIOLOGY",IF(N!D9="PTR","PHARMACY/THEATRE/RADIOLOGY",IF(N!D9="LRT","LABORATORY/RADIOLOGY/THEATRE","-")))))))))))))))</f>
        <v>PHARMACY</v>
      </c>
    </row>
    <row r="14" spans="1:11" s="403" customFormat="1" ht="42" customHeight="1" x14ac:dyDescent="0.25">
      <c r="A14" s="403">
        <f>N!A10</f>
        <v>7</v>
      </c>
      <c r="B14" s="399" t="str">
        <f>N!B10</f>
        <v>CODIX PHARMACEUTICALS LIMITED</v>
      </c>
      <c r="C14" s="399" t="s">
        <v>841</v>
      </c>
      <c r="D14" s="399" t="s">
        <v>841</v>
      </c>
      <c r="E14" s="399" t="s">
        <v>841</v>
      </c>
      <c r="F14" s="399" t="s">
        <v>841</v>
      </c>
      <c r="G14" s="399" t="s">
        <v>841</v>
      </c>
      <c r="H14" s="399" t="s">
        <v>841</v>
      </c>
      <c r="I14" s="404">
        <f>4042140+8695000</f>
        <v>12737140</v>
      </c>
      <c r="J14" s="404">
        <f t="shared" si="0"/>
        <v>382114.2</v>
      </c>
      <c r="K14" s="405" t="str">
        <f>IF(N!D10="LPRT","LABORATORY/PHARMACY/RADIOLOGY/THEATRE",IF(N!D10="P","PHARMACY",IF(N!D10="T","THEATRE",IF(N!D10="L","LABORATORY",IF(N!D10="R","RADIOLOGY",IF(N!D10="LT","LABORATORY/THEATRE",IF(N!D10="LP","LABORATORY/PHARMACY",IF(N!D10="LR","LABORATORY/RADIOLOGY",IF(N!D10="PT","PHARMACY/THEATRE",IF(N!D10="PR","PHARMACY/RADIOLOGY",IF(N!D10="RT","RADIOLOGY/THEATRE",IF(N!D10="LPT","LABORATORY/PHARMACY/THEATRE",IF(N!D10="LPR","LABORATORY/PHARMACY/RADIOLOGY",IF(N!D10="PTR","PHARMACY/THEATRE/RADIOLOGY",IF(N!D10="LRT","LABORATORY/RADIOLOGY/THEATRE","-")))))))))))))))</f>
        <v>LABORATORY/PHARMACY</v>
      </c>
    </row>
    <row r="15" spans="1:11" s="403" customFormat="1" ht="42" customHeight="1" x14ac:dyDescent="0.25">
      <c r="A15" s="403">
        <f>N!A11</f>
        <v>8</v>
      </c>
      <c r="B15" s="399" t="str">
        <f>N!B11</f>
        <v>COSMADE EASY MEDICALS LIMITED</v>
      </c>
      <c r="C15" s="399" t="s">
        <v>841</v>
      </c>
      <c r="D15" s="399" t="s">
        <v>841</v>
      </c>
      <c r="E15" s="399" t="s">
        <v>841</v>
      </c>
      <c r="F15" s="399" t="s">
        <v>841</v>
      </c>
      <c r="G15" s="399" t="s">
        <v>841</v>
      </c>
      <c r="H15" s="399" t="s">
        <v>841</v>
      </c>
      <c r="I15" s="404">
        <f>13476000+11291600+26748700+205216200</f>
        <v>256732500</v>
      </c>
      <c r="J15" s="404">
        <f t="shared" si="0"/>
        <v>7701975</v>
      </c>
      <c r="K15" s="405" t="str">
        <f>IF(N!D11="LPRT","LABORATORY/PHARMACY/RADIOLOGY/THEATRE",IF(N!D11="P","PHARMACY",IF(N!D11="T","THEATRE",IF(N!D11="L","LABORATORY",IF(N!D11="R","RADIOLOGY",IF(N!D11="LT","LABORATORY/THEATRE",IF(N!D11="LP","LABORATORY/PHARMACY",IF(N!D11="LR","LABORATORY/RADIOLOGY",IF(N!D11="PT","PHARMACY/THEATRE",IF(N!D11="PR","PHARMACY/RADIOLOGY",IF(N!D11="RT","RADIOLOGY/THEATRE",IF(N!D11="LPT","LABORATORY/PHARMACY/THEATRE",IF(N!D11="LPR","LABORATORY/PHARMACY/RADIOLOGY",IF(N!D11="PTR","PHARMACY/THEATRE/RADIOLOGY",IF(N!D11="LRT","LABORATORY/RADIOLOGY/THEATRE","-")))))))))))))))</f>
        <v>LABORATORY/PHARMACY/RADIOLOGY/THEATRE</v>
      </c>
    </row>
    <row r="16" spans="1:11" s="403" customFormat="1" ht="42" customHeight="1" x14ac:dyDescent="0.25">
      <c r="A16" s="403">
        <f>N!A12</f>
        <v>9</v>
      </c>
      <c r="B16" s="399" t="str">
        <f>N!B12</f>
        <v>DE SANCON &amp; ASSOCIATES LIMITED</v>
      </c>
      <c r="C16" s="399" t="s">
        <v>841</v>
      </c>
      <c r="D16" s="399" t="s">
        <v>841</v>
      </c>
      <c r="E16" s="399" t="s">
        <v>841</v>
      </c>
      <c r="F16" s="399" t="s">
        <v>841</v>
      </c>
      <c r="G16" s="399" t="s">
        <v>841</v>
      </c>
      <c r="H16" s="399" t="s">
        <v>841</v>
      </c>
      <c r="I16" s="404">
        <f>82735580+3769750+38266500</f>
        <v>124771830</v>
      </c>
      <c r="J16" s="404">
        <f t="shared" si="0"/>
        <v>3743154.9</v>
      </c>
      <c r="K16" s="405" t="str">
        <f>IF(N!D12="LPRT","LABORATORY/PHARMACY/RADIOLOGY/THEATRE",IF(N!D12="P","PHARMACY",IF(N!D12="T","THEATRE",IF(N!D12="L","LABORATORY",IF(N!D12="R","RADIOLOGY",IF(N!D12="LT","LABORATORY/THEATRE",IF(N!D12="LP","LABORATORY/PHARMACY",IF(N!D12="LR","LABORATORY/RADIOLOGY",IF(N!D12="PT","PHARMACY/THEATRE",IF(N!D12="PR","PHARMACY/RADIOLOGY",IF(N!D12="RT","RADIOLOGY/THEATRE",IF(N!D12="LPT","LABORATORY/PHARMACY/THEATRE",IF(N!D12="LPR","LABORATORY/PHARMACY/RADIOLOGY",IF(N!D12="PTR","PHARMACY/THEATRE/RADIOLOGY",IF(N!D12="LRT","LABORATORY/RADIOLOGY/THEATRE","-")))))))))))))))</f>
        <v>LABORATORY/PHARMACY/THEATRE</v>
      </c>
    </row>
    <row r="17" spans="1:11" s="403" customFormat="1" ht="42" customHeight="1" x14ac:dyDescent="0.25">
      <c r="A17" s="403">
        <f>N!A13</f>
        <v>10</v>
      </c>
      <c r="B17" s="399" t="str">
        <f>N!B13</f>
        <v>DEVON PHARMACEUTICALS</v>
      </c>
      <c r="C17" s="399" t="s">
        <v>841</v>
      </c>
      <c r="D17" s="399" t="s">
        <v>841</v>
      </c>
      <c r="E17" s="399" t="s">
        <v>841</v>
      </c>
      <c r="F17" s="399" t="s">
        <v>841</v>
      </c>
      <c r="G17" s="399" t="s">
        <v>841</v>
      </c>
      <c r="H17" s="399" t="s">
        <v>841</v>
      </c>
      <c r="I17" s="404">
        <v>9153000</v>
      </c>
      <c r="J17" s="404">
        <f t="shared" si="0"/>
        <v>274590</v>
      </c>
      <c r="K17" s="405" t="str">
        <f>IF(N!D13="LPRT","LABORATORY/PHARMACY/RADIOLOGY/THEATRE",IF(N!D13="P","PHARMACY",IF(N!D13="T","THEATRE",IF(N!D13="L","LABORATORY",IF(N!D13="R","RADIOLOGY",IF(N!D13="LT","LABORATORY/THEATRE",IF(N!D13="LP","LABORATORY/PHARMACY",IF(N!D13="LR","LABORATORY/RADIOLOGY",IF(N!D13="PT","PHARMACY/THEATRE",IF(N!D13="PR","PHARMACY/RADIOLOGY",IF(N!D13="RT","RADIOLOGY/THEATRE",IF(N!D13="LPT","LABORATORY/PHARMACY/THEATRE",IF(N!D13="LPR","LABORATORY/PHARMACY/RADIOLOGY",IF(N!D13="PTR","PHARMACY/THEATRE/RADIOLOGY",IF(N!D13="LRT","LABORATORY/RADIOLOGY/THEATRE","-")))))))))))))))</f>
        <v>PHARMACY</v>
      </c>
    </row>
    <row r="18" spans="1:11" s="403" customFormat="1" ht="42" customHeight="1" x14ac:dyDescent="0.25">
      <c r="A18" s="403">
        <f>N!A14</f>
        <v>11</v>
      </c>
      <c r="B18" s="399" t="str">
        <f>N!B14</f>
        <v>DORTEMAG VENTURES LIMITED</v>
      </c>
      <c r="C18" s="399" t="s">
        <v>841</v>
      </c>
      <c r="D18" s="399" t="s">
        <v>841</v>
      </c>
      <c r="E18" s="399" t="s">
        <v>841</v>
      </c>
      <c r="F18" s="399" t="s">
        <v>841</v>
      </c>
      <c r="G18" s="399" t="s">
        <v>841</v>
      </c>
      <c r="H18" s="399" t="s">
        <v>841</v>
      </c>
      <c r="I18" s="404">
        <v>38831200</v>
      </c>
      <c r="J18" s="404">
        <f t="shared" si="0"/>
        <v>1164936</v>
      </c>
      <c r="K18" s="405" t="str">
        <f>IF(N!D14="LPRT","LABORATORY/PHARMACY/RADIOLOGY/THEATRE",IF(N!D14="P","PHARMACY",IF(N!D14="T","THEATRE",IF(N!D14="L","LABORATORY",IF(N!D14="R","RADIOLOGY",IF(N!D14="LT","LABORATORY/THEATRE",IF(N!D14="LP","LABORATORY/PHARMACY",IF(N!D14="LR","LABORATORY/RADIOLOGY",IF(N!D14="PT","PHARMACY/THEATRE",IF(N!D14="PR","PHARMACY/RADIOLOGY",IF(N!D14="RT","RADIOLOGY/THEATRE",IF(N!D14="LPT","LABORATORY/PHARMACY/THEATRE",IF(N!D14="LPR","LABORATORY/PHARMACY/RADIOLOGY",IF(N!D14="PTR","PHARMACY/THEATRE/RADIOLOGY",IF(N!D14="LRT","LABORATORY/RADIOLOGY/THEATRE","-")))))))))))))))</f>
        <v>PHARMACY</v>
      </c>
    </row>
    <row r="19" spans="1:11" s="403" customFormat="1" ht="42" customHeight="1" x14ac:dyDescent="0.25">
      <c r="A19" s="403">
        <f>N!A15</f>
        <v>12</v>
      </c>
      <c r="B19" s="399" t="str">
        <f>N!B15</f>
        <v>DRUGFIELD PHARMACEUTICALS LIMITED</v>
      </c>
      <c r="C19" s="399" t="s">
        <v>841</v>
      </c>
      <c r="D19" s="399" t="s">
        <v>841</v>
      </c>
      <c r="E19" s="399" t="s">
        <v>841</v>
      </c>
      <c r="F19" s="399" t="s">
        <v>841</v>
      </c>
      <c r="G19" s="399" t="s">
        <v>841</v>
      </c>
      <c r="H19" s="399" t="s">
        <v>841</v>
      </c>
      <c r="I19" s="404">
        <v>19994536</v>
      </c>
      <c r="J19" s="426">
        <f t="shared" si="0"/>
        <v>599836.07999999996</v>
      </c>
      <c r="K19" s="405" t="str">
        <f>IF(N!D15="LPRT","LABORATORY/PHARMACY/RADIOLOGY/THEATRE",IF(N!D15="P","PHARMACY",IF(N!D15="T","THEATRE",IF(N!D15="L","LABORATORY",IF(N!D15="R","RADIOLOGY",IF(N!D15="LT","LABORATORY/THEATRE",IF(N!D15="LP","LABORATORY/PHARMACY",IF(N!D15="LR","LABORATORY/RADIOLOGY",IF(N!D15="PT","PHARMACY/THEATRE",IF(N!D15="PR","PHARMACY/RADIOLOGY",IF(N!D15="RT","RADIOLOGY/THEATRE",IF(N!D15="LPT","LABORATORY/PHARMACY/THEATRE",IF(N!D15="LPR","LABORATORY/PHARMACY/RADIOLOGY",IF(N!D15="PTR","PHARMACY/THEATRE/RADIOLOGY",IF(N!D15="LRT","LABORATORY/RADIOLOGY/THEATRE","-")))))))))))))))</f>
        <v>PHARMACY</v>
      </c>
    </row>
    <row r="20" spans="1:11" s="403" customFormat="1" ht="42" customHeight="1" x14ac:dyDescent="0.25">
      <c r="A20" s="403">
        <f>N!A16</f>
        <v>13</v>
      </c>
      <c r="B20" s="399" t="str">
        <f>N!B16</f>
        <v>DYNAMIC ANCHOR SOURCE LIMITED</v>
      </c>
      <c r="C20" s="399" t="s">
        <v>841</v>
      </c>
      <c r="D20" s="399" t="s">
        <v>841</v>
      </c>
      <c r="E20" s="399" t="s">
        <v>841</v>
      </c>
      <c r="F20" s="399" t="s">
        <v>841</v>
      </c>
      <c r="G20" s="399" t="s">
        <v>841</v>
      </c>
      <c r="H20" s="399" t="s">
        <v>841</v>
      </c>
      <c r="I20" s="404">
        <f>4811125+10247250+17911500+98490212</f>
        <v>131460087</v>
      </c>
      <c r="J20" s="404">
        <f t="shared" si="0"/>
        <v>3943802.61</v>
      </c>
      <c r="K20" s="405" t="str">
        <f>IF(N!D16="LPRT","LABORATORY/PHARMACY/RADIOLOGY/THEATRE",IF(N!D16="P","PHARMACY",IF(N!D16="T","THEATRE",IF(N!D16="L","LABORATORY",IF(N!D16="R","RADIOLOGY",IF(N!D16="LT","LABORATORY/THEATRE",IF(N!D16="LP","LABORATORY/PHARMACY",IF(N!D16="LR","LABORATORY/RADIOLOGY",IF(N!D16="PT","PHARMACY/THEATRE",IF(N!D16="PR","PHARMACY/RADIOLOGY",IF(N!D16="RT","RADIOLOGY/THEATRE",IF(N!D16="LPT","LABORATORY/PHARMACY/THEATRE",IF(N!D16="LPR","LABORATORY/PHARMACY/RADIOLOGY",IF(N!D16="PTR","PHARMACY/THEATRE/RADIOLOGY",IF(N!D16="LRT","LABORATORY/RADIOLOGY/THEATRE","-")))))))))))))))</f>
        <v>LABORATORY/RADIOLOGY/THEATRE</v>
      </c>
    </row>
    <row r="21" spans="1:11" s="403" customFormat="1" ht="42" customHeight="1" x14ac:dyDescent="0.25">
      <c r="A21" s="403">
        <f>N!A17</f>
        <v>14</v>
      </c>
      <c r="B21" s="399" t="str">
        <f>N!B17</f>
        <v>EMZOR PHARMACEUTICALS LIMITED</v>
      </c>
      <c r="C21" s="399" t="s">
        <v>841</v>
      </c>
      <c r="D21" s="399" t="s">
        <v>841</v>
      </c>
      <c r="E21" s="399" t="s">
        <v>841</v>
      </c>
      <c r="F21" s="399" t="s">
        <v>841</v>
      </c>
      <c r="G21" s="399" t="s">
        <v>841</v>
      </c>
      <c r="H21" s="399" t="s">
        <v>841</v>
      </c>
      <c r="I21" s="404">
        <v>44691927.68</v>
      </c>
      <c r="J21" s="404">
        <f t="shared" si="0"/>
        <v>1340757.8303999999</v>
      </c>
      <c r="K21" s="405" t="str">
        <f>IF(N!D17="LPRT","LABORATORY/PHARMACY/RADIOLOGY/THEATRE",IF(N!D17="P","PHARMACY",IF(N!D17="T","THEATRE",IF(N!D17="L","LABORATORY",IF(N!D17="R","RADIOLOGY",IF(N!D17="LT","LABORATORY/THEATRE",IF(N!D17="LP","LABORATORY/PHARMACY",IF(N!D17="LR","LABORATORY/RADIOLOGY",IF(N!D17="PT","PHARMACY/THEATRE",IF(N!D17="PR","PHARMACY/RADIOLOGY",IF(N!D17="RT","RADIOLOGY/THEATRE",IF(N!D17="LPT","LABORATORY/PHARMACY/THEATRE",IF(N!D17="LPR","LABORATORY/PHARMACY/RADIOLOGY",IF(N!D17="PTR","PHARMACY/THEATRE/RADIOLOGY",IF(N!D17="LRT","LABORATORY/RADIOLOGY/THEATRE","-")))))))))))))))</f>
        <v>PHARMACY</v>
      </c>
    </row>
    <row r="22" spans="1:11" s="403" customFormat="1" ht="42" customHeight="1" x14ac:dyDescent="0.25">
      <c r="A22" s="403">
        <f>N!A18</f>
        <v>15</v>
      </c>
      <c r="B22" s="399" t="str">
        <f>N!B18</f>
        <v>EUMATT SERVICES LIMITED</v>
      </c>
      <c r="C22" s="399" t="s">
        <v>841</v>
      </c>
      <c r="D22" s="399" t="s">
        <v>841</v>
      </c>
      <c r="E22" s="399" t="s">
        <v>841</v>
      </c>
      <c r="F22" s="399" t="s">
        <v>841</v>
      </c>
      <c r="G22" s="399" t="s">
        <v>841</v>
      </c>
      <c r="H22" s="399" t="s">
        <v>841</v>
      </c>
      <c r="I22" s="404">
        <v>216411540</v>
      </c>
      <c r="J22" s="404">
        <f t="shared" si="0"/>
        <v>6492346.2000000002</v>
      </c>
      <c r="K22" s="405" t="str">
        <f>IF(N!D18="LPRT","LABORATORY/PHARMACY/RADIOLOGY/THEATRE",IF(N!D18="P","PHARMACY",IF(N!D18="T","THEATRE",IF(N!D18="L","LABORATORY",IF(N!D18="R","RADIOLOGY",IF(N!D18="LT","LABORATORY/THEATRE",IF(N!D18="LP","LABORATORY/PHARMACY",IF(N!D18="LR","LABORATORY/RADIOLOGY",IF(N!D18="PT","PHARMACY/THEATRE",IF(N!D18="PR","PHARMACY/RADIOLOGY",IF(N!D18="RT","RADIOLOGY/THEATRE",IF(N!D18="LPT","LABORATORY/PHARMACY/THEATRE",IF(N!D18="LPR","LABORATORY/PHARMACY/RADIOLOGY",IF(N!D18="PTR","PHARMACY/THEATRE/RADIOLOGY",IF(N!D18="LRT","LABORATORY/RADIOLOGY/THEATRE","-")))))))))))))))</f>
        <v>LABORATORY/PHARMACY</v>
      </c>
    </row>
    <row r="23" spans="1:11" s="403" customFormat="1" ht="42" customHeight="1" x14ac:dyDescent="0.25">
      <c r="A23" s="403">
        <f>N!A19</f>
        <v>16</v>
      </c>
      <c r="B23" s="399" t="str">
        <f>N!B19</f>
        <v>FIDSON HEALTHCARE LIMITED</v>
      </c>
      <c r="C23" s="399" t="s">
        <v>841</v>
      </c>
      <c r="D23" s="399" t="s">
        <v>841</v>
      </c>
      <c r="E23" s="399" t="s">
        <v>841</v>
      </c>
      <c r="F23" s="399" t="s">
        <v>841</v>
      </c>
      <c r="G23" s="399" t="s">
        <v>841</v>
      </c>
      <c r="H23" s="399" t="s">
        <v>841</v>
      </c>
      <c r="I23" s="407">
        <v>100539200</v>
      </c>
      <c r="J23" s="404">
        <f t="shared" si="0"/>
        <v>3016176</v>
      </c>
      <c r="K23" s="405" t="str">
        <f>IF(N!D19="LPRT","LABORATORY/PHARMACY/RADIOLOGY/THEATRE",IF(N!D19="P","PHARMACY",IF(N!D19="T","THEATRE",IF(N!D19="L","LABORATORY",IF(N!D19="R","RADIOLOGY",IF(N!D19="LT","LABORATORY/THEATRE",IF(N!D19="LP","LABORATORY/PHARMACY",IF(N!D19="LR","LABORATORY/RADIOLOGY",IF(N!D19="PT","PHARMACY/THEATRE",IF(N!D19="PR","PHARMACY/RADIOLOGY",IF(N!D19="RT","RADIOLOGY/THEATRE",IF(N!D19="LPT","LABORATORY/PHARMACY/THEATRE",IF(N!D19="LPR","LABORATORY/PHARMACY/RADIOLOGY",IF(N!D19="PTR","PHARMACY/THEATRE/RADIOLOGY",IF(N!D19="LRT","LABORATORY/RADIOLOGY/THEATRE","-")))))))))))))))</f>
        <v>PHARMACY</v>
      </c>
    </row>
    <row r="24" spans="1:11" s="403" customFormat="1" ht="42" customHeight="1" x14ac:dyDescent="0.25">
      <c r="A24" s="403">
        <f>N!A20</f>
        <v>17</v>
      </c>
      <c r="B24" s="399" t="str">
        <f>N!B20</f>
        <v>FIRST CHOICE GLOBAL UTILITIES LIMITED</v>
      </c>
      <c r="C24" s="399" t="s">
        <v>841</v>
      </c>
      <c r="D24" s="399" t="s">
        <v>841</v>
      </c>
      <c r="E24" s="399" t="s">
        <v>841</v>
      </c>
      <c r="F24" s="399" t="s">
        <v>841</v>
      </c>
      <c r="G24" s="399" t="s">
        <v>841</v>
      </c>
      <c r="H24" s="399" t="s">
        <v>841</v>
      </c>
      <c r="I24" s="404">
        <v>13693100</v>
      </c>
      <c r="J24" s="404">
        <f t="shared" si="0"/>
        <v>410793</v>
      </c>
      <c r="K24" s="405" t="str">
        <f>IF(N!D20="LPRT","LABORATORY/PHARMACY/RADIOLOGY/THEATRE",IF(N!D20="P","PHARMACY",IF(N!D20="T","THEATRE",IF(N!D20="L","LABORATORY",IF(N!D20="R","RADIOLOGY",IF(N!D20="LT","LABORATORY/THEATRE",IF(N!D20="LP","LABORATORY/PHARMACY",IF(N!D20="LR","LABORATORY/RADIOLOGY",IF(N!D20="PT","PHARMACY/THEATRE",IF(N!D20="PR","PHARMACY/RADIOLOGY",IF(N!D20="RT","RADIOLOGY/THEATRE",IF(N!D20="LPT","LABORATORY/PHARMACY/THEATRE",IF(N!D20="LPR","LABORATORY/PHARMACY/RADIOLOGY",IF(N!D20="PTR","PHARMACY/THEATRE/RADIOLOGY",IF(N!D20="LRT","LABORATORY/RADIOLOGY/THEATRE","-")))))))))))))))</f>
        <v>PHARMACY</v>
      </c>
    </row>
    <row r="25" spans="1:11" s="403" customFormat="1" ht="42" customHeight="1" x14ac:dyDescent="0.25">
      <c r="A25" s="403">
        <f>N!A21</f>
        <v>18</v>
      </c>
      <c r="B25" s="399" t="str">
        <f>N!B21</f>
        <v>GENEITH PHARMACEUTICALS LIMITED</v>
      </c>
      <c r="C25" s="399" t="s">
        <v>841</v>
      </c>
      <c r="D25" s="399" t="s">
        <v>841</v>
      </c>
      <c r="E25" s="399" t="s">
        <v>841</v>
      </c>
      <c r="F25" s="399" t="s">
        <v>841</v>
      </c>
      <c r="G25" s="399" t="s">
        <v>841</v>
      </c>
      <c r="H25" s="399" t="s">
        <v>841</v>
      </c>
      <c r="I25" s="404">
        <v>56584310</v>
      </c>
      <c r="J25" s="404">
        <f t="shared" si="0"/>
        <v>1697529.3</v>
      </c>
      <c r="K25" s="405" t="str">
        <f>IF(N!D21="LPRT","LABORATORY/PHARMACY/RADIOLOGY/THEATRE",IF(N!D21="P","PHARMACY",IF(N!D21="T","THEATRE",IF(N!D21="L","LABORATORY",IF(N!D21="R","RADIOLOGY",IF(N!D21="LT","LABORATORY/THEATRE",IF(N!D21="LP","LABORATORY/PHARMACY",IF(N!D21="LR","LABORATORY/RADIOLOGY",IF(N!D21="PT","PHARMACY/THEATRE",IF(N!D21="PR","PHARMACY/RADIOLOGY",IF(N!D21="RT","RADIOLOGY/THEATRE",IF(N!D21="LPT","LABORATORY/PHARMACY/THEATRE",IF(N!D21="LPR","LABORATORY/PHARMACY/RADIOLOGY",IF(N!D21="PTR","PHARMACY/THEATRE/RADIOLOGY",IF(N!D21="LRT","LABORATORY/RADIOLOGY/THEATRE","-")))))))))))))))</f>
        <v>PHARMACY</v>
      </c>
    </row>
    <row r="26" spans="1:11" s="403" customFormat="1" ht="42" customHeight="1" x14ac:dyDescent="0.25">
      <c r="A26" s="403">
        <f>N!A22</f>
        <v>19</v>
      </c>
      <c r="B26" s="399" t="str">
        <f>N!B22</f>
        <v>GINOS VENTURES LIMITED</v>
      </c>
      <c r="C26" s="399" t="s">
        <v>841</v>
      </c>
      <c r="D26" s="399" t="s">
        <v>841</v>
      </c>
      <c r="E26" s="399" t="s">
        <v>841</v>
      </c>
      <c r="F26" s="399" t="s">
        <v>841</v>
      </c>
      <c r="G26" s="399" t="s">
        <v>841</v>
      </c>
      <c r="H26" s="399" t="s">
        <v>841</v>
      </c>
      <c r="I26" s="404">
        <f>7223000+10237900</f>
        <v>17460900</v>
      </c>
      <c r="J26" s="404">
        <f t="shared" si="0"/>
        <v>523827</v>
      </c>
      <c r="K26" s="405" t="str">
        <f>IF(N!D22="LPRT","LABORATORY/PHARMACY/RADIOLOGY/THEATRE",IF(N!D22="P","PHARMACY",IF(N!D22="T","THEATRE",IF(N!D22="L","LABORATORY",IF(N!D22="R","RADIOLOGY",IF(N!D22="LT","LABORATORY/THEATRE",IF(N!D22="LP","LABORATORY/PHARMACY",IF(N!D22="LR","LABORATORY/RADIOLOGY",IF(N!D22="PT","PHARMACY/THEATRE",IF(N!D22="PR","PHARMACY/RADIOLOGY",IF(N!D22="RT","RADIOLOGY/THEATRE",IF(N!D22="LPT","LABORATORY/PHARMACY/THEATRE",IF(N!D22="LPR","LABORATORY/PHARMACY/RADIOLOGY",IF(N!D22="PTR","PHARMACY/THEATRE/RADIOLOGY",IF(N!D22="LRT","LABORATORY/RADIOLOGY/THEATRE","-")))))))))))))))</f>
        <v>PHARMACY/THEATRE</v>
      </c>
    </row>
    <row r="27" spans="1:11" s="403" customFormat="1" ht="42" customHeight="1" x14ac:dyDescent="0.25">
      <c r="A27" s="403">
        <f>N!A23</f>
        <v>20</v>
      </c>
      <c r="B27" s="399" t="str">
        <f>N!B23</f>
        <v>GLAXOSMITHKLINE PHARM. LTD</v>
      </c>
      <c r="C27" s="399" t="s">
        <v>841</v>
      </c>
      <c r="D27" s="399" t="s">
        <v>841</v>
      </c>
      <c r="E27" s="399" t="s">
        <v>841</v>
      </c>
      <c r="F27" s="399" t="s">
        <v>841</v>
      </c>
      <c r="G27" s="399" t="s">
        <v>841</v>
      </c>
      <c r="H27" s="399" t="s">
        <v>841</v>
      </c>
      <c r="I27" s="404">
        <v>73637480.920000002</v>
      </c>
      <c r="J27" s="404">
        <f t="shared" si="0"/>
        <v>2209124.4276000001</v>
      </c>
      <c r="K27" s="405" t="str">
        <f>IF(N!D23="LPRT","LABORATORY/PHARMACY/RADIOLOGY/THEATRE",IF(N!D23="P","PHARMACY",IF(N!D23="T","THEATRE",IF(N!D23="L","LABORATORY",IF(N!D23="R","RADIOLOGY",IF(N!D23="LT","LABORATORY/THEATRE",IF(N!D23="LP","LABORATORY/PHARMACY",IF(N!D23="LR","LABORATORY/RADIOLOGY",IF(N!D23="PT","PHARMACY/THEATRE",IF(N!D23="PR","PHARMACY/RADIOLOGY",IF(N!D23="RT","RADIOLOGY/THEATRE",IF(N!D23="LPT","LABORATORY/PHARMACY/THEATRE",IF(N!D23="LPR","LABORATORY/PHARMACY/RADIOLOGY",IF(N!D23="PTR","PHARMACY/THEATRE/RADIOLOGY",IF(N!D23="LRT","LABORATORY/RADIOLOGY/THEATRE","-")))))))))))))))</f>
        <v>PHARMACY</v>
      </c>
    </row>
    <row r="28" spans="1:11" s="403" customFormat="1" ht="42" customHeight="1" x14ac:dyDescent="0.25">
      <c r="A28" s="403">
        <f>N!A24</f>
        <v>21</v>
      </c>
      <c r="B28" s="399" t="str">
        <f>N!B24</f>
        <v>GLOBAL ORGANICS LIMITED</v>
      </c>
      <c r="C28" s="399" t="s">
        <v>841</v>
      </c>
      <c r="D28" s="399" t="s">
        <v>841</v>
      </c>
      <c r="E28" s="399" t="s">
        <v>841</v>
      </c>
      <c r="F28" s="399" t="s">
        <v>841</v>
      </c>
      <c r="G28" s="399" t="s">
        <v>841</v>
      </c>
      <c r="H28" s="399" t="s">
        <v>841</v>
      </c>
      <c r="I28" s="404">
        <v>24710310</v>
      </c>
      <c r="J28" s="404">
        <f t="shared" si="0"/>
        <v>741309.29999999993</v>
      </c>
      <c r="K28" s="405" t="str">
        <f>IF(N!D24="LPRT","LABORATORY/PHARMACY/RADIOLOGY/THEATRE",IF(N!D24="P","PHARMACY",IF(N!D24="T","THEATRE",IF(N!D24="L","LABORATORY",IF(N!D24="R","RADIOLOGY",IF(N!D24="LT","LABORATORY/THEATRE",IF(N!D24="LP","LABORATORY/PHARMACY",IF(N!D24="LR","LABORATORY/RADIOLOGY",IF(N!D24="PT","PHARMACY/THEATRE",IF(N!D24="PR","PHARMACY/RADIOLOGY",IF(N!D24="RT","RADIOLOGY/THEATRE",IF(N!D24="LPT","LABORATORY/PHARMACY/THEATRE",IF(N!D24="LPR","LABORATORY/PHARMACY/RADIOLOGY",IF(N!D24="PTR","PHARMACY/THEATRE/RADIOLOGY",IF(N!D24="LRT","LABORATORY/RADIOLOGY/THEATRE","-")))))))))))))))</f>
        <v>PHARMACY</v>
      </c>
    </row>
    <row r="29" spans="1:11" s="403" customFormat="1" ht="42" customHeight="1" x14ac:dyDescent="0.25">
      <c r="A29" s="403">
        <f>N!A25</f>
        <v>22</v>
      </c>
      <c r="B29" s="399" t="str">
        <f>N!B25</f>
        <v>GOODNEWS UNIVERSAL TECHNOLOGIES</v>
      </c>
      <c r="C29" s="399"/>
      <c r="D29" s="399"/>
      <c r="E29" s="399"/>
      <c r="F29" s="399"/>
      <c r="G29" s="399"/>
      <c r="H29" s="399"/>
      <c r="I29" s="404"/>
      <c r="J29" s="404">
        <f t="shared" si="0"/>
        <v>0</v>
      </c>
      <c r="K29" s="405" t="str">
        <f>IF(N!D25="LPRT","LABORATORY/PHARMACY/RADIOLOGY/THEATRE",IF(N!D25="P","PHARMACY",IF(N!D25="T","THEATRE",IF(N!D25="L","LABORATORY",IF(N!D25="R","RADIOLOGY",IF(N!D25="LT","LABORATORY/THEATRE",IF(N!D25="LP","LABORATORY/PHARMACY",IF(N!D25="LR","LABORATORY/RADIOLOGY",IF(N!D25="PT","PHARMACY/THEATRE",IF(N!D25="PR","PHARMACY/RADIOLOGY",IF(N!D25="RT","RADIOLOGY/THEATRE",IF(N!D25="LPT","LABORATORY/PHARMACY/THEATRE",IF(N!D25="LPR","LABORATORY/PHARMACY/RADIOLOGY",IF(N!D25="PTR","PHARMACY/THEATRE/RADIOLOGY",IF(N!D25="LRT","LABORATORY/RADIOLOGY/THEATRE","-")))))))))))))))</f>
        <v>LABORATORY</v>
      </c>
    </row>
    <row r="30" spans="1:11" s="403" customFormat="1" ht="42" customHeight="1" x14ac:dyDescent="0.25">
      <c r="A30" s="403">
        <f>N!A26</f>
        <v>23</v>
      </c>
      <c r="B30" s="399" t="str">
        <f>N!B26</f>
        <v>GREENLIFE PHARMACEUTICALS LIMITED</v>
      </c>
      <c r="C30" s="399" t="s">
        <v>841</v>
      </c>
      <c r="D30" s="399" t="s">
        <v>841</v>
      </c>
      <c r="E30" s="399" t="s">
        <v>841</v>
      </c>
      <c r="F30" s="399" t="s">
        <v>841</v>
      </c>
      <c r="G30" s="399" t="s">
        <v>841</v>
      </c>
      <c r="H30" s="399" t="s">
        <v>841</v>
      </c>
      <c r="I30" s="404">
        <v>61554800</v>
      </c>
      <c r="J30" s="404">
        <f t="shared" si="0"/>
        <v>1846644</v>
      </c>
      <c r="K30" s="405" t="str">
        <f>IF(N!D26="LPRT","LABORATORY/PHARMACY/RADIOLOGY/THEATRE",IF(N!D26="P","PHARMACY",IF(N!D26="T","THEATRE",IF(N!D26="L","LABORATORY",IF(N!D26="R","RADIOLOGY",IF(N!D26="LT","LABORATORY/THEATRE",IF(N!D26="LP","LABORATORY/PHARMACY",IF(N!D26="LR","LABORATORY/RADIOLOGY",IF(N!D26="PT","PHARMACY/THEATRE",IF(N!D26="PR","PHARMACY/RADIOLOGY",IF(N!D26="RT","RADIOLOGY/THEATRE",IF(N!D26="LPT","LABORATORY/PHARMACY/THEATRE",IF(N!D26="LPR","LABORATORY/PHARMACY/RADIOLOGY",IF(N!D26="PTR","PHARMACY/THEATRE/RADIOLOGY",IF(N!D26="LRT","LABORATORY/RADIOLOGY/THEATRE","-")))))))))))))))</f>
        <v>PHARMACY</v>
      </c>
    </row>
    <row r="31" spans="1:11" s="403" customFormat="1" ht="42" customHeight="1" x14ac:dyDescent="0.25">
      <c r="A31" s="403">
        <f>N!A27</f>
        <v>24</v>
      </c>
      <c r="B31" s="399" t="str">
        <f>N!B27</f>
        <v>HEALTHLINE PHARMACEUTICALS LIMITED</v>
      </c>
      <c r="C31" s="399" t="s">
        <v>841</v>
      </c>
      <c r="D31" s="399" t="s">
        <v>841</v>
      </c>
      <c r="E31" s="399" t="s">
        <v>841</v>
      </c>
      <c r="F31" s="399" t="s">
        <v>841</v>
      </c>
      <c r="G31" s="399" t="s">
        <v>841</v>
      </c>
      <c r="H31" s="399" t="s">
        <v>841</v>
      </c>
      <c r="I31" s="404">
        <v>40102600</v>
      </c>
      <c r="J31" s="404">
        <f t="shared" si="0"/>
        <v>1203078</v>
      </c>
      <c r="K31" s="405" t="str">
        <f>IF(N!D27="LPRT","LABORATORY/PHARMACY/RADIOLOGY/THEATRE",IF(N!D27="P","PHARMACY",IF(N!D27="T","THEATRE",IF(N!D27="L","LABORATORY",IF(N!D27="R","RADIOLOGY",IF(N!D27="LT","LABORATORY/THEATRE",IF(N!D27="LP","LABORATORY/PHARMACY",IF(N!D27="LR","LABORATORY/RADIOLOGY",IF(N!D27="PT","PHARMACY/THEATRE",IF(N!D27="PR","PHARMACY/RADIOLOGY",IF(N!D27="RT","RADIOLOGY/THEATRE",IF(N!D27="LPT","LABORATORY/PHARMACY/THEATRE",IF(N!D27="LPR","LABORATORY/PHARMACY/RADIOLOGY",IF(N!D27="PTR","PHARMACY/THEATRE/RADIOLOGY",IF(N!D27="LRT","LABORATORY/RADIOLOGY/THEATRE","-")))))))))))))))</f>
        <v>PHARMACY</v>
      </c>
    </row>
    <row r="32" spans="1:11" s="403" customFormat="1" ht="42" customHeight="1" x14ac:dyDescent="0.25">
      <c r="A32" s="403">
        <f>N!A28</f>
        <v>25</v>
      </c>
      <c r="B32" s="399" t="str">
        <f>N!B28</f>
        <v>INTER-ROTECH NIGERIA LIMITED</v>
      </c>
      <c r="C32" s="399" t="s">
        <v>841</v>
      </c>
      <c r="D32" s="399" t="s">
        <v>841</v>
      </c>
      <c r="E32" s="399" t="s">
        <v>841</v>
      </c>
      <c r="F32" s="399" t="s">
        <v>841</v>
      </c>
      <c r="G32" s="399" t="s">
        <v>841</v>
      </c>
      <c r="H32" s="399" t="s">
        <v>841</v>
      </c>
      <c r="I32" s="404">
        <f>20875390+2167260+14756870+18500210</f>
        <v>56299730</v>
      </c>
      <c r="J32" s="404">
        <f t="shared" si="0"/>
        <v>1688991.9</v>
      </c>
      <c r="K32" s="405" t="str">
        <f>IF(N!D28="LPRT","LABORATORY/PHARMACY/RADIOLOGY/THEATRE",IF(N!D28="P","PHARMACY",IF(N!D28="T","THEATRE",IF(N!D28="L","LABORATORY",IF(N!D28="R","RADIOLOGY",IF(N!D28="LT","LABORATORY/THEATRE",IF(N!D28="LP","LABORATORY/PHARMACY",IF(N!D28="LR","LABORATORY/RADIOLOGY",IF(N!D28="PT","PHARMACY/THEATRE",IF(N!D28="PR","PHARMACY/RADIOLOGY",IF(N!D28="RT","RADIOLOGY/THEATRE",IF(N!D28="LPT","LABORATORY/PHARMACY/THEATRE",IF(N!D28="LPR","LABORATORY/PHARMACY/RADIOLOGY",IF(N!D28="PTR","PHARMACY/THEATRE/RADIOLOGY",IF(N!D28="LRT","LABORATORY/RADIOLOGY/THEATRE","-")))))))))))))))</f>
        <v>LABORATORY/PHARMACY/RADIOLOGY/THEATRE</v>
      </c>
    </row>
    <row r="33" spans="1:11" s="403" customFormat="1" ht="42" customHeight="1" x14ac:dyDescent="0.25">
      <c r="A33" s="403">
        <f>N!A29</f>
        <v>26</v>
      </c>
      <c r="B33" s="399" t="str">
        <f>N!B29</f>
        <v>ISN PRODUCTS NIGERIA LIMITED</v>
      </c>
      <c r="C33" s="399"/>
      <c r="D33" s="399"/>
      <c r="E33" s="399"/>
      <c r="F33" s="399"/>
      <c r="G33" s="399"/>
      <c r="H33" s="399"/>
      <c r="I33" s="404"/>
      <c r="J33" s="404">
        <f t="shared" si="0"/>
        <v>0</v>
      </c>
      <c r="K33" s="405" t="str">
        <f>IF(N!D29="LPRT","LABORATORY/PHARMACY/RADIOLOGY/THEATRE",IF(N!D29="P","PHARMACY",IF(N!D29="T","THEATRE",IF(N!D29="L","LABORATORY",IF(N!D29="R","RADIOLOGY",IF(N!D29="LT","LABORATORY/THEATRE",IF(N!D29="LP","LABORATORY/PHARMACY",IF(N!D29="LR","LABORATORY/RADIOLOGY",IF(N!D29="PT","PHARMACY/THEATRE",IF(N!D29="PR","PHARMACY/RADIOLOGY",IF(N!D29="RT","RADIOLOGY/THEATRE",IF(N!D29="LPT","LABORATORY/PHARMACY/THEATRE",IF(N!D29="LPR","LABORATORY/PHARMACY/RADIOLOGY",IF(N!D29="PTR","PHARMACY/THEATRE/RADIOLOGY",IF(N!D29="LRT","LABORATORY/RADIOLOGY/THEATRE","-")))))))))))))))</f>
        <v>PHARMACY</v>
      </c>
    </row>
    <row r="34" spans="1:11" s="403" customFormat="1" ht="42" customHeight="1" x14ac:dyDescent="0.25">
      <c r="A34" s="403">
        <f>N!A30</f>
        <v>27</v>
      </c>
      <c r="B34" s="399" t="str">
        <f>N!B30</f>
        <v>JAWA INTERNATIONAL LIMITED</v>
      </c>
      <c r="C34" s="399" t="s">
        <v>841</v>
      </c>
      <c r="D34" s="399" t="s">
        <v>841</v>
      </c>
      <c r="E34" s="399" t="s">
        <v>841</v>
      </c>
      <c r="F34" s="399" t="s">
        <v>841</v>
      </c>
      <c r="G34" s="399" t="s">
        <v>841</v>
      </c>
      <c r="H34" s="399" t="s">
        <v>841</v>
      </c>
      <c r="I34" s="404">
        <v>29713280</v>
      </c>
      <c r="J34" s="404">
        <f t="shared" si="0"/>
        <v>891398.4</v>
      </c>
      <c r="K34" s="405" t="str">
        <f>IF(N!D30="LPRT","LABORATORY/PHARMACY/RADIOLOGY/THEATRE",IF(N!D30="P","PHARMACY",IF(N!D30="T","THEATRE",IF(N!D30="L","LABORATORY",IF(N!D30="R","RADIOLOGY",IF(N!D30="LT","LABORATORY/THEATRE",IF(N!D30="LP","LABORATORY/PHARMACY",IF(N!D30="LR","LABORATORY/RADIOLOGY",IF(N!D30="PT","PHARMACY/THEATRE",IF(N!D30="PR","PHARMACY/RADIOLOGY",IF(N!D30="RT","RADIOLOGY/THEATRE",IF(N!D30="LPT","LABORATORY/PHARMACY/THEATRE",IF(N!D30="LPR","LABORATORY/PHARMACY/RADIOLOGY",IF(N!D30="PTR","PHARMACY/THEATRE/RADIOLOGY",IF(N!D30="LRT","LABORATORY/RADIOLOGY/THEATRE","-")))))))))))))))</f>
        <v>PHARMACY</v>
      </c>
    </row>
    <row r="35" spans="1:11" s="403" customFormat="1" ht="42" customHeight="1" x14ac:dyDescent="0.25">
      <c r="A35" s="403">
        <f>N!A31</f>
        <v>28</v>
      </c>
      <c r="B35" s="399" t="str">
        <f>N!B31</f>
        <v>LAYO-JAT NIGERIA LIMITED</v>
      </c>
      <c r="C35" s="399" t="s">
        <v>841</v>
      </c>
      <c r="D35" s="399" t="s">
        <v>841</v>
      </c>
      <c r="E35" s="399" t="s">
        <v>841</v>
      </c>
      <c r="F35" s="399" t="s">
        <v>841</v>
      </c>
      <c r="G35" s="399" t="s">
        <v>841</v>
      </c>
      <c r="H35" s="399" t="s">
        <v>841</v>
      </c>
      <c r="I35" s="404">
        <v>96407050</v>
      </c>
      <c r="J35" s="404">
        <f t="shared" si="0"/>
        <v>2892211.5</v>
      </c>
      <c r="K35" s="405" t="str">
        <f>IF(N!D31="LPRT","LABORATORY/PHARMACY/RADIOLOGY/THEATRE",IF(N!D31="P","PHARMACY",IF(N!D31="T","THEATRE",IF(N!D31="L","LABORATORY",IF(N!D31="R","RADIOLOGY",IF(N!D31="LT","LABORATORY/THEATRE",IF(N!D31="LP","LABORATORY/PHARMACY",IF(N!D31="LR","LABORATORY/RADIOLOGY",IF(N!D31="PT","PHARMACY/THEATRE",IF(N!D31="PR","PHARMACY/RADIOLOGY",IF(N!D31="RT","RADIOLOGY/THEATRE",IF(N!D31="LPT","LABORATORY/PHARMACY/THEATRE",IF(N!D31="LPR","LABORATORY/PHARMACY/RADIOLOGY",IF(N!D31="PTR","PHARMACY/THEATRE/RADIOLOGY",IF(N!D31="LRT","LABORATORY/RADIOLOGY/THEATRE","-")))))))))))))))</f>
        <v>LABORATORY</v>
      </c>
    </row>
    <row r="36" spans="1:11" s="403" customFormat="1" ht="42" customHeight="1" x14ac:dyDescent="0.25">
      <c r="A36" s="403">
        <f>N!A32</f>
        <v>29</v>
      </c>
      <c r="B36" s="399" t="str">
        <f>N!B32</f>
        <v>LEADWAY PHARMACEUTICALS LIMITED</v>
      </c>
      <c r="C36" s="399" t="s">
        <v>841</v>
      </c>
      <c r="D36" s="399" t="s">
        <v>841</v>
      </c>
      <c r="E36" s="399" t="s">
        <v>841</v>
      </c>
      <c r="F36" s="399" t="s">
        <v>841</v>
      </c>
      <c r="G36" s="399" t="s">
        <v>841</v>
      </c>
      <c r="H36" s="399" t="s">
        <v>841</v>
      </c>
      <c r="I36" s="404">
        <v>204051270</v>
      </c>
      <c r="J36" s="404">
        <f t="shared" si="0"/>
        <v>6121538.0999999996</v>
      </c>
      <c r="K36" s="405" t="str">
        <f>IF(N!D32="LPRT","LABORATORY/PHARMACY/RADIOLOGY/THEATRE",IF(N!D32="P","PHARMACY",IF(N!D32="T","THEATRE",IF(N!D32="L","LABORATORY",IF(N!D32="R","RADIOLOGY",IF(N!D32="LT","LABORATORY/THEATRE",IF(N!D32="LP","LABORATORY/PHARMACY",IF(N!D32="LR","LABORATORY/RADIOLOGY",IF(N!D32="PT","PHARMACY/THEATRE",IF(N!D32="PR","PHARMACY/RADIOLOGY",IF(N!D32="RT","RADIOLOGY/THEATRE",IF(N!D32="LPT","LABORATORY/PHARMACY/THEATRE",IF(N!D32="LPR","LABORATORY/PHARMACY/RADIOLOGY",IF(N!D32="PTR","PHARMACY/THEATRE/RADIOLOGY",IF(N!D32="LRT","LABORATORY/RADIOLOGY/THEATRE","-")))))))))))))))</f>
        <v>PHARMACY</v>
      </c>
    </row>
    <row r="37" spans="1:11" s="403" customFormat="1" ht="42" customHeight="1" x14ac:dyDescent="0.25">
      <c r="A37" s="403">
        <f>N!A33</f>
        <v>30</v>
      </c>
      <c r="B37" s="399" t="str">
        <f>N!B33</f>
        <v>LIFTED HANDS VENTURES</v>
      </c>
      <c r="C37" s="399" t="s">
        <v>841</v>
      </c>
      <c r="D37" s="399" t="s">
        <v>841</v>
      </c>
      <c r="E37" s="399" t="s">
        <v>841</v>
      </c>
      <c r="F37" s="399" t="s">
        <v>841</v>
      </c>
      <c r="G37" s="399" t="s">
        <v>841</v>
      </c>
      <c r="H37" s="399" t="s">
        <v>841</v>
      </c>
      <c r="I37" s="404">
        <v>2816150</v>
      </c>
      <c r="J37" s="404">
        <f t="shared" si="0"/>
        <v>84484.5</v>
      </c>
      <c r="K37" s="405" t="str">
        <f>IF(N!D33="LPRT","LABORATORY/PHARMACY/RADIOLOGY/THEATRE",IF(N!D33="P","PHARMACY",IF(N!D33="T","THEATRE",IF(N!D33="L","LABORATORY",IF(N!D33="R","RADIOLOGY",IF(N!D33="LT","LABORATORY/THEATRE",IF(N!D33="LP","LABORATORY/PHARMACY",IF(N!D33="LR","LABORATORY/RADIOLOGY",IF(N!D33="PT","PHARMACY/THEATRE",IF(N!D33="PR","PHARMACY/RADIOLOGY",IF(N!D33="RT","RADIOLOGY/THEATRE",IF(N!D33="LPT","LABORATORY/PHARMACY/THEATRE",IF(N!D33="LPR","LABORATORY/PHARMACY/RADIOLOGY",IF(N!D33="PTR","PHARMACY/THEATRE/RADIOLOGY",IF(N!D33="LRT","LABORATORY/RADIOLOGY/THEATRE","-")))))))))))))))</f>
        <v>LABORATORY</v>
      </c>
    </row>
    <row r="38" spans="1:11" s="403" customFormat="1" ht="42" customHeight="1" x14ac:dyDescent="0.25">
      <c r="A38" s="403">
        <f>N!A34</f>
        <v>31</v>
      </c>
      <c r="B38" s="399" t="str">
        <f>N!B34</f>
        <v>MANOLA PHARMACEUTICALS</v>
      </c>
      <c r="C38" s="399" t="s">
        <v>841</v>
      </c>
      <c r="D38" s="399" t="s">
        <v>841</v>
      </c>
      <c r="E38" s="399" t="s">
        <v>841</v>
      </c>
      <c r="F38" s="399" t="s">
        <v>841</v>
      </c>
      <c r="G38" s="399" t="s">
        <v>841</v>
      </c>
      <c r="H38" s="399" t="s">
        <v>841</v>
      </c>
      <c r="I38" s="404">
        <v>11183570</v>
      </c>
      <c r="J38" s="404">
        <f t="shared" si="0"/>
        <v>335507.09999999998</v>
      </c>
      <c r="K38" s="405" t="str">
        <f>IF(N!D34="LPRT","LABORATORY/PHARMACY/RADIOLOGY/THEATRE",IF(N!D34="P","PHARMACY",IF(N!D34="T","THEATRE",IF(N!D34="L","LABORATORY",IF(N!D34="R","RADIOLOGY",IF(N!D34="LT","LABORATORY/THEATRE",IF(N!D34="LP","LABORATORY/PHARMACY",IF(N!D34="LR","LABORATORY/RADIOLOGY",IF(N!D34="PT","PHARMACY/THEATRE",IF(N!D34="PR","PHARMACY/RADIOLOGY",IF(N!D34="RT","RADIOLOGY/THEATRE",IF(N!D34="LPT","LABORATORY/PHARMACY/THEATRE",IF(N!D34="LPR","LABORATORY/PHARMACY/RADIOLOGY",IF(N!D34="PTR","PHARMACY/THEATRE/RADIOLOGY",IF(N!D34="LRT","LABORATORY/RADIOLOGY/THEATRE","-")))))))))))))))</f>
        <v>PHARMACY</v>
      </c>
    </row>
    <row r="39" spans="1:11" s="403" customFormat="1" ht="42" customHeight="1" x14ac:dyDescent="0.25">
      <c r="A39" s="403">
        <f>N!A35</f>
        <v>32</v>
      </c>
      <c r="B39" s="399" t="str">
        <f>N!B35</f>
        <v>MARCSON HEALTHCARE LIMITED</v>
      </c>
      <c r="C39" s="399" t="s">
        <v>841</v>
      </c>
      <c r="D39" s="399" t="s">
        <v>841</v>
      </c>
      <c r="E39" s="399" t="s">
        <v>841</v>
      </c>
      <c r="F39" s="399" t="s">
        <v>841</v>
      </c>
      <c r="G39" s="399" t="s">
        <v>841</v>
      </c>
      <c r="H39" s="399" t="s">
        <v>841</v>
      </c>
      <c r="I39" s="404">
        <v>7368000</v>
      </c>
      <c r="J39" s="404">
        <f t="shared" si="0"/>
        <v>221040</v>
      </c>
      <c r="K39" s="405" t="str">
        <f>IF(N!D35="LPRT","LABORATORY/PHARMACY/RADIOLOGY/THEATRE",IF(N!D35="P","PHARMACY",IF(N!D35="T","THEATRE",IF(N!D35="L","LABORATORY",IF(N!D35="R","RADIOLOGY",IF(N!D35="LT","LABORATORY/THEATRE",IF(N!D35="LP","LABORATORY/PHARMACY",IF(N!D35="LR","LABORATORY/RADIOLOGY",IF(N!D35="PT","PHARMACY/THEATRE",IF(N!D35="PR","PHARMACY/RADIOLOGY",IF(N!D35="RT","RADIOLOGY/THEATRE",IF(N!D35="LPT","LABORATORY/PHARMACY/THEATRE",IF(N!D35="LPR","LABORATORY/PHARMACY/RADIOLOGY",IF(N!D35="PTR","PHARMACY/THEATRE/RADIOLOGY",IF(N!D35="LRT","LABORATORY/RADIOLOGY/THEATRE","-")))))))))))))))</f>
        <v>PHARMACY</v>
      </c>
    </row>
    <row r="40" spans="1:11" s="403" customFormat="1" ht="42" customHeight="1" x14ac:dyDescent="0.25">
      <c r="A40" s="403">
        <f>N!A36</f>
        <v>33</v>
      </c>
      <c r="B40" s="399" t="str">
        <f>N!B36</f>
        <v>MAY &amp; BAKER NIGERIA LIMITED</v>
      </c>
      <c r="C40" s="399" t="s">
        <v>841</v>
      </c>
      <c r="D40" s="399" t="s">
        <v>841</v>
      </c>
      <c r="E40" s="399" t="s">
        <v>841</v>
      </c>
      <c r="F40" s="399" t="s">
        <v>841</v>
      </c>
      <c r="G40" s="399" t="s">
        <v>841</v>
      </c>
      <c r="H40" s="399" t="s">
        <v>841</v>
      </c>
      <c r="I40" s="404">
        <v>45101874.399999999</v>
      </c>
      <c r="J40" s="426">
        <f t="shared" ref="J40:J71" si="1">I40*0.03</f>
        <v>1353056.2319999998</v>
      </c>
      <c r="K40" s="405" t="str">
        <f>IF(N!D36="LPRT","LABORATORY/PHARMACY/RADIOLOGY/THEATRE",IF(N!D36="P","PHARMACY",IF(N!D36="T","THEATRE",IF(N!D36="L","LABORATORY",IF(N!D36="R","RADIOLOGY",IF(N!D36="LT","LABORATORY/THEATRE",IF(N!D36="LP","LABORATORY/PHARMACY",IF(N!D36="LR","LABORATORY/RADIOLOGY",IF(N!D36="PT","PHARMACY/THEATRE",IF(N!D36="PR","PHARMACY/RADIOLOGY",IF(N!D36="RT","RADIOLOGY/THEATRE",IF(N!D36="LPT","LABORATORY/PHARMACY/THEATRE",IF(N!D36="LPR","LABORATORY/PHARMACY/RADIOLOGY",IF(N!D36="PTR","PHARMACY/THEATRE/RADIOLOGY",IF(N!D36="LRT","LABORATORY/RADIOLOGY/THEATRE","-")))))))))))))))</f>
        <v>PHARMACY</v>
      </c>
    </row>
    <row r="41" spans="1:11" s="403" customFormat="1" ht="42" customHeight="1" x14ac:dyDescent="0.25">
      <c r="A41" s="403">
        <f>N!A37</f>
        <v>34</v>
      </c>
      <c r="B41" s="399" t="str">
        <f>N!B37</f>
        <v>MEDITRUST NIGERIA LIMITED</v>
      </c>
      <c r="C41" s="399" t="s">
        <v>841</v>
      </c>
      <c r="D41" s="399" t="s">
        <v>841</v>
      </c>
      <c r="E41" s="399" t="s">
        <v>841</v>
      </c>
      <c r="F41" s="399" t="s">
        <v>841</v>
      </c>
      <c r="G41" s="399" t="s">
        <v>841</v>
      </c>
      <c r="H41" s="399" t="s">
        <v>841</v>
      </c>
      <c r="I41" s="404">
        <v>17671500</v>
      </c>
      <c r="J41" s="404">
        <f t="shared" si="1"/>
        <v>530145</v>
      </c>
      <c r="K41" s="405" t="str">
        <f>IF(N!D37="LPRT","LABORATORY/PHARMACY/RADIOLOGY/THEATRE",IF(N!D37="P","PHARMACY",IF(N!D37="T","THEATRE",IF(N!D37="L","LABORATORY",IF(N!D37="R","RADIOLOGY",IF(N!D37="LT","LABORATORY/THEATRE",IF(N!D37="LP","LABORATORY/PHARMACY",IF(N!D37="LR","LABORATORY/RADIOLOGY",IF(N!D37="PT","PHARMACY/THEATRE",IF(N!D37="PR","PHARMACY/RADIOLOGY",IF(N!D37="RT","RADIOLOGY/THEATRE",IF(N!D37="LPT","LABORATORY/PHARMACY/THEATRE",IF(N!D37="LPR","LABORATORY/PHARMACY/RADIOLOGY",IF(N!D37="PTR","PHARMACY/THEATRE/RADIOLOGY",IF(N!D37="LRT","LABORATORY/RADIOLOGY/THEATRE","-")))))))))))))))</f>
        <v>RADIOLOGY</v>
      </c>
    </row>
    <row r="42" spans="1:11" s="403" customFormat="1" ht="42" customHeight="1" x14ac:dyDescent="0.25">
      <c r="A42" s="403">
        <f>N!A38</f>
        <v>35</v>
      </c>
      <c r="B42" s="399" t="str">
        <f>N!B38</f>
        <v>MEDWORLD MEDICAL COMPANY LIMITED</v>
      </c>
      <c r="C42" s="399" t="s">
        <v>841</v>
      </c>
      <c r="D42" s="399" t="s">
        <v>841</v>
      </c>
      <c r="E42" s="399" t="s">
        <v>841</v>
      </c>
      <c r="F42" s="399" t="s">
        <v>841</v>
      </c>
      <c r="G42" s="399" t="s">
        <v>841</v>
      </c>
      <c r="H42" s="399" t="s">
        <v>841</v>
      </c>
      <c r="I42" s="404">
        <v>31191753</v>
      </c>
      <c r="J42" s="404">
        <f t="shared" si="1"/>
        <v>935752.59</v>
      </c>
      <c r="K42" s="405" t="str">
        <f>IF(N!D38="LPRT","LABORATORY/PHARMACY/RADIOLOGY/THEATRE",IF(N!D38="P","PHARMACY",IF(N!D38="T","THEATRE",IF(N!D38="L","LABORATORY",IF(N!D38="R","RADIOLOGY",IF(N!D38="LT","LABORATORY/THEATRE",IF(N!D38="LP","LABORATORY/PHARMACY",IF(N!D38="LR","LABORATORY/RADIOLOGY",IF(N!D38="PT","PHARMACY/THEATRE",IF(N!D38="PR","PHARMACY/RADIOLOGY",IF(N!D38="RT","RADIOLOGY/THEATRE",IF(N!D38="LPT","LABORATORY/PHARMACY/THEATRE",IF(N!D38="LPR","LABORATORY/PHARMACY/RADIOLOGY",IF(N!D38="PTR","PHARMACY/THEATRE/RADIOLOGY",IF(N!D38="LRT","LABORATORY/RADIOLOGY/THEATRE","-")))))))))))))))</f>
        <v>LABORATORY</v>
      </c>
    </row>
    <row r="43" spans="1:11" s="403" customFormat="1" ht="42" customHeight="1" x14ac:dyDescent="0.25">
      <c r="A43" s="403">
        <f>N!A39</f>
        <v>36</v>
      </c>
      <c r="B43" s="399" t="str">
        <f>N!B39</f>
        <v>MEGA LIFESCIENCES NIGERIA LIMITED</v>
      </c>
      <c r="C43" s="399" t="s">
        <v>841</v>
      </c>
      <c r="D43" s="399" t="s">
        <v>841</v>
      </c>
      <c r="E43" s="399" t="s">
        <v>841</v>
      </c>
      <c r="F43" s="399" t="s">
        <v>841</v>
      </c>
      <c r="G43" s="399" t="s">
        <v>841</v>
      </c>
      <c r="H43" s="399" t="s">
        <v>841</v>
      </c>
      <c r="I43" s="404">
        <v>42218000</v>
      </c>
      <c r="J43" s="408">
        <f t="shared" si="1"/>
        <v>1266540</v>
      </c>
      <c r="K43" s="405" t="str">
        <f>IF(N!D39="LPRT","LABORATORY/PHARMACY/RADIOLOGY/THEATRE",IF(N!D39="P","PHARMACY",IF(N!D39="T","THEATRE",IF(N!D39="L","LABORATORY",IF(N!D39="R","RADIOLOGY",IF(N!D39="LT","LABORATORY/THEATRE",IF(N!D39="LP","LABORATORY/PHARMACY",IF(N!D39="LR","LABORATORY/RADIOLOGY",IF(N!D39="PT","PHARMACY/THEATRE",IF(N!D39="PR","PHARMACY/RADIOLOGY",IF(N!D39="RT","RADIOLOGY/THEATRE",IF(N!D39="LPT","LABORATORY/PHARMACY/THEATRE",IF(N!D39="LPR","LABORATORY/PHARMACY/RADIOLOGY",IF(N!D39="PTR","PHARMACY/THEATRE/RADIOLOGY",IF(N!D39="LRT","LABORATORY/RADIOLOGY/THEATRE","-")))))))))))))))</f>
        <v>PHARMACY</v>
      </c>
    </row>
    <row r="44" spans="1:11" s="403" customFormat="1" ht="42" customHeight="1" x14ac:dyDescent="0.25">
      <c r="A44" s="403">
        <f>N!A40</f>
        <v>37</v>
      </c>
      <c r="B44" s="399" t="str">
        <f>N!B40</f>
        <v>MICRONOVA PHARMACEUTICALS</v>
      </c>
      <c r="C44" s="399" t="s">
        <v>841</v>
      </c>
      <c r="D44" s="399" t="s">
        <v>841</v>
      </c>
      <c r="E44" s="399" t="s">
        <v>841</v>
      </c>
      <c r="F44" s="399" t="s">
        <v>841</v>
      </c>
      <c r="G44" s="399" t="s">
        <v>841</v>
      </c>
      <c r="H44" s="399" t="s">
        <v>841</v>
      </c>
      <c r="I44" s="404">
        <v>37901350</v>
      </c>
      <c r="J44" s="404">
        <f t="shared" si="1"/>
        <v>1137040.5</v>
      </c>
      <c r="K44" s="405" t="str">
        <f>IF(N!D40="LPRT","LABORATORY/PHARMACY/RADIOLOGY/THEATRE",IF(N!D40="P","PHARMACY",IF(N!D40="T","THEATRE",IF(N!D40="L","LABORATORY",IF(N!D40="R","RADIOLOGY",IF(N!D40="LT","LABORATORY/THEATRE",IF(N!D40="LP","LABORATORY/PHARMACY",IF(N!D40="LR","LABORATORY/RADIOLOGY",IF(N!D40="PT","PHARMACY/THEATRE",IF(N!D40="PR","PHARMACY/RADIOLOGY",IF(N!D40="RT","RADIOLOGY/THEATRE",IF(N!D40="LPT","LABORATORY/PHARMACY/THEATRE",IF(N!D40="LPR","LABORATORY/PHARMACY/RADIOLOGY",IF(N!D40="PTR","PHARMACY/THEATRE/RADIOLOGY",IF(N!D40="LRT","LABORATORY/RADIOLOGY/THEATRE","-")))))))))))))))</f>
        <v>PHARMACY</v>
      </c>
    </row>
    <row r="45" spans="1:11" s="403" customFormat="1" ht="42" customHeight="1" x14ac:dyDescent="0.25">
      <c r="A45" s="403">
        <f>N!A41</f>
        <v>38</v>
      </c>
      <c r="B45" s="399" t="str">
        <f>N!B41</f>
        <v>MIRAFLASH NIGERIA LIMITED</v>
      </c>
      <c r="C45" s="399" t="s">
        <v>841</v>
      </c>
      <c r="D45" s="399" t="s">
        <v>841</v>
      </c>
      <c r="E45" s="399" t="s">
        <v>841</v>
      </c>
      <c r="F45" s="399" t="s">
        <v>841</v>
      </c>
      <c r="G45" s="399" t="s">
        <v>841</v>
      </c>
      <c r="H45" s="399" t="s">
        <v>841</v>
      </c>
      <c r="I45" s="404">
        <v>10982000</v>
      </c>
      <c r="J45" s="404">
        <f t="shared" si="1"/>
        <v>329460</v>
      </c>
      <c r="K45" s="405" t="str">
        <f>IF(N!D41="LPRT","LABORATORY/PHARMACY/RADIOLOGY/THEATRE",IF(N!D41="P","PHARMACY",IF(N!D41="T","THEATRE",IF(N!D41="L","LABORATORY",IF(N!D41="R","RADIOLOGY",IF(N!D41="LT","LABORATORY/THEATRE",IF(N!D41="LP","LABORATORY/PHARMACY",IF(N!D41="LR","LABORATORY/RADIOLOGY",IF(N!D41="PT","PHARMACY/THEATRE",IF(N!D41="PR","PHARMACY/RADIOLOGY",IF(N!D41="RT","RADIOLOGY/THEATRE",IF(N!D41="LPT","LABORATORY/PHARMACY/THEATRE",IF(N!D41="LPR","LABORATORY/PHARMACY/RADIOLOGY",IF(N!D41="PTR","PHARMACY/THEATRE/RADIOLOGY",IF(N!D41="LRT","LABORATORY/RADIOLOGY/THEATRE","-")))))))))))))))</f>
        <v>PHARMACY</v>
      </c>
    </row>
    <row r="46" spans="1:11" s="403" customFormat="1" ht="42" customHeight="1" x14ac:dyDescent="0.25">
      <c r="A46" s="403">
        <f>N!A42</f>
        <v>39</v>
      </c>
      <c r="B46" s="399" t="str">
        <f>N!B42</f>
        <v>MORISON INDUSTRIES PLC</v>
      </c>
      <c r="C46" s="399" t="s">
        <v>841</v>
      </c>
      <c r="D46" s="399" t="s">
        <v>841</v>
      </c>
      <c r="E46" s="399" t="s">
        <v>841</v>
      </c>
      <c r="F46" s="399" t="s">
        <v>841</v>
      </c>
      <c r="G46" s="399" t="s">
        <v>841</v>
      </c>
      <c r="H46" s="399" t="s">
        <v>841</v>
      </c>
      <c r="I46" s="404">
        <v>3971647.5</v>
      </c>
      <c r="J46" s="404">
        <f t="shared" si="1"/>
        <v>119149.42499999999</v>
      </c>
      <c r="K46" s="405" t="str">
        <f>IF(N!D42="LPRT","LABORATORY/PHARMACY/RADIOLOGY/THEATRE",IF(N!D42="P","PHARMACY",IF(N!D42="T","THEATRE",IF(N!D42="L","LABORATORY",IF(N!D42="R","RADIOLOGY",IF(N!D42="LT","LABORATORY/THEATRE",IF(N!D42="LP","LABORATORY/PHARMACY",IF(N!D42="LR","LABORATORY/RADIOLOGY",IF(N!D42="PT","PHARMACY/THEATRE",IF(N!D42="PR","PHARMACY/RADIOLOGY",IF(N!D42="RT","RADIOLOGY/THEATRE",IF(N!D42="LPT","LABORATORY/PHARMACY/THEATRE",IF(N!D42="LPR","LABORATORY/PHARMACY/RADIOLOGY",IF(N!D42="PTR","PHARMACY/THEATRE/RADIOLOGY",IF(N!D42="LRT","LABORATORY/RADIOLOGY/THEATRE","-")))))))))))))))</f>
        <v>PHARMACY</v>
      </c>
    </row>
    <row r="47" spans="1:11" s="403" customFormat="1" ht="42" customHeight="1" x14ac:dyDescent="0.25">
      <c r="A47" s="403">
        <f>N!A43</f>
        <v>40</v>
      </c>
      <c r="B47" s="399" t="str">
        <f>N!B43</f>
        <v>NEMEL PHARMACEUTICALS LIMITED</v>
      </c>
      <c r="C47" s="399" t="s">
        <v>841</v>
      </c>
      <c r="D47" s="399" t="s">
        <v>841</v>
      </c>
      <c r="E47" s="399" t="s">
        <v>841</v>
      </c>
      <c r="F47" s="399" t="s">
        <v>841</v>
      </c>
      <c r="G47" s="399" t="s">
        <v>841</v>
      </c>
      <c r="H47" s="399" t="s">
        <v>841</v>
      </c>
      <c r="I47" s="404">
        <v>14355640</v>
      </c>
      <c r="J47" s="404">
        <f t="shared" si="1"/>
        <v>430669.2</v>
      </c>
      <c r="K47" s="405" t="str">
        <f>IF(N!D43="LPRT","LABORATORY/PHARMACY/RADIOLOGY/THEATRE",IF(N!D43="P","PHARMACY",IF(N!D43="T","THEATRE",IF(N!D43="L","LABORATORY",IF(N!D43="R","RADIOLOGY",IF(N!D43="LT","LABORATORY/THEATRE",IF(N!D43="LP","LABORATORY/PHARMACY",IF(N!D43="LR","LABORATORY/RADIOLOGY",IF(N!D43="PT","PHARMACY/THEATRE",IF(N!D43="PR","PHARMACY/RADIOLOGY",IF(N!D43="RT","RADIOLOGY/THEATRE",IF(N!D43="LPT","LABORATORY/PHARMACY/THEATRE",IF(N!D43="LPR","LABORATORY/PHARMACY/RADIOLOGY",IF(N!D43="PTR","PHARMACY/THEATRE/RADIOLOGY",IF(N!D43="LRT","LABORATORY/RADIOLOGY/THEATRE","-")))))))))))))))</f>
        <v>PHARMACY</v>
      </c>
    </row>
    <row r="48" spans="1:11" s="403" customFormat="1" ht="42" customHeight="1" x14ac:dyDescent="0.25">
      <c r="A48" s="403">
        <f>N!A44</f>
        <v>41</v>
      </c>
      <c r="B48" s="399" t="str">
        <f>N!B44</f>
        <v>NEW HEIGHTS PHARMACEUTICALS IND. LIMITED</v>
      </c>
      <c r="C48" s="399"/>
      <c r="D48" s="399"/>
      <c r="E48" s="399"/>
      <c r="F48" s="399"/>
      <c r="G48" s="399"/>
      <c r="H48" s="399"/>
      <c r="I48" s="404"/>
      <c r="J48" s="404">
        <f t="shared" si="1"/>
        <v>0</v>
      </c>
      <c r="K48" s="405" t="str">
        <f>IF(N!D44="LPRT","LABORATORY/PHARMACY/RADIOLOGY/THEATRE",IF(N!D44="P","PHARMACY",IF(N!D44="T","THEATRE",IF(N!D44="L","LABORATORY",IF(N!D44="R","RADIOLOGY",IF(N!D44="LT","LABORATORY/THEATRE",IF(N!D44="LP","LABORATORY/PHARMACY",IF(N!D44="LR","LABORATORY/RADIOLOGY",IF(N!D44="PT","PHARMACY/THEATRE",IF(N!D44="PR","PHARMACY/RADIOLOGY",IF(N!D44="RT","RADIOLOGY/THEATRE",IF(N!D44="LPT","LABORATORY/PHARMACY/THEATRE",IF(N!D44="LPR","LABORATORY/PHARMACY/RADIOLOGY",IF(N!D44="PTR","PHARMACY/THEATRE/RADIOLOGY",IF(N!D44="LRT","LABORATORY/RADIOLOGY/THEATRE","-")))))))))))))))</f>
        <v>-</v>
      </c>
    </row>
    <row r="49" spans="1:11" s="403" customFormat="1" ht="42" customHeight="1" x14ac:dyDescent="0.25">
      <c r="A49" s="403">
        <f>N!A45</f>
        <v>42</v>
      </c>
      <c r="B49" s="399" t="str">
        <f>N!B45</f>
        <v>NHC PHARMACEUTICALS LIMITED</v>
      </c>
      <c r="C49" s="399" t="s">
        <v>841</v>
      </c>
      <c r="D49" s="399" t="s">
        <v>841</v>
      </c>
      <c r="E49" s="399" t="s">
        <v>841</v>
      </c>
      <c r="F49" s="399" t="s">
        <v>841</v>
      </c>
      <c r="G49" s="399" t="s">
        <v>841</v>
      </c>
      <c r="H49" s="399" t="s">
        <v>841</v>
      </c>
      <c r="I49" s="404">
        <v>56208700</v>
      </c>
      <c r="J49" s="404">
        <f t="shared" si="1"/>
        <v>1686261</v>
      </c>
      <c r="K49" s="405" t="str">
        <f>IF(N!D45="LPRT","LABORATORY/PHARMACY/RADIOLOGY/THEATRE",IF(N!D45="P","PHARMACY",IF(N!D45="T","THEATRE",IF(N!D45="L","LABORATORY",IF(N!D45="R","RADIOLOGY",IF(N!D45="LT","LABORATORY/THEATRE",IF(N!D45="LP","LABORATORY/PHARMACY",IF(N!D45="LR","LABORATORY/RADIOLOGY",IF(N!D45="PT","PHARMACY/THEATRE",IF(N!D45="PR","PHARMACY/RADIOLOGY",IF(N!D45="RT","RADIOLOGY/THEATRE",IF(N!D45="LPT","LABORATORY/PHARMACY/THEATRE",IF(N!D45="LPR","LABORATORY/PHARMACY/RADIOLOGY",IF(N!D45="PTR","PHARMACY/THEATRE/RADIOLOGY",IF(N!D45="LRT","LABORATORY/RADIOLOGY/THEATRE","-")))))))))))))))</f>
        <v>PHARMACY</v>
      </c>
    </row>
    <row r="50" spans="1:11" s="403" customFormat="1" ht="42" customHeight="1" x14ac:dyDescent="0.25">
      <c r="A50" s="403">
        <f>N!A46</f>
        <v>43</v>
      </c>
      <c r="B50" s="399" t="str">
        <f>N!B46</f>
        <v>OAK-LEAF PHARM. NIGERIA LIMITED</v>
      </c>
      <c r="C50" s="399" t="s">
        <v>841</v>
      </c>
      <c r="D50" s="399" t="s">
        <v>841</v>
      </c>
      <c r="E50" s="399" t="s">
        <v>841</v>
      </c>
      <c r="F50" s="399" t="s">
        <v>841</v>
      </c>
      <c r="G50" s="399" t="s">
        <v>841</v>
      </c>
      <c r="H50" s="399" t="s">
        <v>841</v>
      </c>
      <c r="I50" s="404">
        <v>450000</v>
      </c>
      <c r="J50" s="406">
        <f t="shared" si="1"/>
        <v>13500</v>
      </c>
      <c r="K50" s="405" t="str">
        <f>IF(N!D46="LPRT","LABORATORY/PHARMACY/RADIOLOGY/THEATRE",IF(N!D46="P","PHARMACY",IF(N!D46="T","THEATRE",IF(N!D46="L","LABORATORY",IF(N!D46="R","RADIOLOGY",IF(N!D46="LT","LABORATORY/THEATRE",IF(N!D46="LP","LABORATORY/PHARMACY",IF(N!D46="LR","LABORATORY/RADIOLOGY",IF(N!D46="PT","PHARMACY/THEATRE",IF(N!D46="PR","PHARMACY/RADIOLOGY",IF(N!D46="RT","RADIOLOGY/THEATRE",IF(N!D46="LPT","LABORATORY/PHARMACY/THEATRE",IF(N!D46="LPR","LABORATORY/PHARMACY/RADIOLOGY",IF(N!D46="PTR","PHARMACY/THEATRE/RADIOLOGY",IF(N!D46="LRT","LABORATORY/RADIOLOGY/THEATRE","-")))))))))))))))</f>
        <v>PHARMACY</v>
      </c>
    </row>
    <row r="51" spans="1:11" s="403" customFormat="1" ht="42" customHeight="1" x14ac:dyDescent="0.25">
      <c r="A51" s="403">
        <f>N!A47</f>
        <v>44</v>
      </c>
      <c r="B51" s="399" t="str">
        <f>N!B47</f>
        <v>OCULUS PHARMACARE LIMITED</v>
      </c>
      <c r="C51" s="399" t="s">
        <v>841</v>
      </c>
      <c r="D51" s="399" t="s">
        <v>841</v>
      </c>
      <c r="E51" s="399" t="s">
        <v>841</v>
      </c>
      <c r="F51" s="399" t="s">
        <v>841</v>
      </c>
      <c r="G51" s="399" t="s">
        <v>841</v>
      </c>
      <c r="H51" s="399" t="s">
        <v>841</v>
      </c>
      <c r="I51" s="404">
        <v>111785000</v>
      </c>
      <c r="J51" s="406">
        <f t="shared" si="1"/>
        <v>3353550</v>
      </c>
      <c r="K51" s="405" t="str">
        <f>IF(N!D47="LPRT","LABORATORY/PHARMACY/RADIOLOGY/THEATRE",IF(N!D47="P","PHARMACY",IF(N!D47="T","THEATRE",IF(N!D47="L","LABORATORY",IF(N!D47="R","RADIOLOGY",IF(N!D47="LT","LABORATORY/THEATRE",IF(N!D47="LP","LABORATORY/PHARMACY",IF(N!D47="LR","LABORATORY/RADIOLOGY",IF(N!D47="PT","PHARMACY/THEATRE",IF(N!D47="PR","PHARMACY/RADIOLOGY",IF(N!D47="RT","RADIOLOGY/THEATRE",IF(N!D47="LPT","LABORATORY/PHARMACY/THEATRE",IF(N!D47="LPR","LABORATORY/PHARMACY/RADIOLOGY",IF(N!D47="PTR","PHARMACY/THEATRE/RADIOLOGY",IF(N!D47="LRT","LABORATORY/RADIOLOGY/THEATRE","-")))))))))))))))</f>
        <v>PHARMACY</v>
      </c>
    </row>
    <row r="52" spans="1:11" s="403" customFormat="1" ht="42" customHeight="1" x14ac:dyDescent="0.25">
      <c r="A52" s="403">
        <f>N!A48</f>
        <v>45</v>
      </c>
      <c r="B52" s="399" t="str">
        <f>N!B48</f>
        <v>PACIFIC DIAGNOSTIC LIMITED</v>
      </c>
      <c r="C52" s="399" t="s">
        <v>841</v>
      </c>
      <c r="D52" s="399" t="s">
        <v>841</v>
      </c>
      <c r="E52" s="399" t="s">
        <v>841</v>
      </c>
      <c r="F52" s="399" t="s">
        <v>841</v>
      </c>
      <c r="G52" s="399" t="s">
        <v>841</v>
      </c>
      <c r="H52" s="399" t="s">
        <v>841</v>
      </c>
      <c r="I52" s="404">
        <v>9142435.9900000002</v>
      </c>
      <c r="J52" s="404">
        <f t="shared" si="1"/>
        <v>274273.0797</v>
      </c>
      <c r="K52" s="405" t="str">
        <f>IF(N!D48="LPRT","LABORATORY/PHARMACY/RADIOLOGY/THEATRE",IF(N!D48="P","PHARMACY",IF(N!D48="T","THEATRE",IF(N!D48="L","LABORATORY",IF(N!D48="R","RADIOLOGY",IF(N!D48="LT","LABORATORY/THEATRE",IF(N!D48="LP","LABORATORY/PHARMACY",IF(N!D48="LR","LABORATORY/RADIOLOGY",IF(N!D48="PT","PHARMACY/THEATRE",IF(N!D48="PR","PHARMACY/RADIOLOGY",IF(N!D48="RT","RADIOLOGY/THEATRE",IF(N!D48="LPT","LABORATORY/PHARMACY/THEATRE",IF(N!D48="LPR","LABORATORY/PHARMACY/RADIOLOGY",IF(N!D48="PTR","PHARMACY/THEATRE/RADIOLOGY",IF(N!D48="LRT","LABORATORY/RADIOLOGY/THEATRE","-")))))))))))))))</f>
        <v>THEATRE</v>
      </c>
    </row>
    <row r="53" spans="1:11" s="403" customFormat="1" ht="42" customHeight="1" x14ac:dyDescent="0.25">
      <c r="A53" s="403">
        <f>N!A49</f>
        <v>46</v>
      </c>
      <c r="B53" s="399" t="str">
        <f>N!B49</f>
        <v>PHAMATEX INDUSTRIES LIMITED</v>
      </c>
      <c r="C53" s="399" t="s">
        <v>841</v>
      </c>
      <c r="D53" s="399" t="s">
        <v>841</v>
      </c>
      <c r="E53" s="399" t="s">
        <v>841</v>
      </c>
      <c r="F53" s="399" t="s">
        <v>841</v>
      </c>
      <c r="G53" s="399" t="s">
        <v>841</v>
      </c>
      <c r="H53" s="399" t="s">
        <v>841</v>
      </c>
      <c r="I53" s="404">
        <v>15894780</v>
      </c>
      <c r="J53" s="404">
        <f t="shared" si="1"/>
        <v>476843.39999999997</v>
      </c>
      <c r="K53" s="405" t="str">
        <f>IF(N!D49="LPRT","LABORATORY/PHARMACY/RADIOLOGY/THEATRE",IF(N!D49="P","PHARMACY",IF(N!D49="T","THEATRE",IF(N!D49="L","LABORATORY",IF(N!D49="R","RADIOLOGY",IF(N!D49="LT","LABORATORY/THEATRE",IF(N!D49="LP","LABORATORY/PHARMACY",IF(N!D49="LR","LABORATORY/RADIOLOGY",IF(N!D49="PT","PHARMACY/THEATRE",IF(N!D49="PR","PHARMACY/RADIOLOGY",IF(N!D49="RT","RADIOLOGY/THEATRE",IF(N!D49="LPT","LABORATORY/PHARMACY/THEATRE",IF(N!D49="LPR","LABORATORY/PHARMACY/RADIOLOGY",IF(N!D49="PTR","PHARMACY/THEATRE/RADIOLOGY",IF(N!D49="LRT","LABORATORY/RADIOLOGY/THEATRE","-")))))))))))))))</f>
        <v>PHARMACY</v>
      </c>
    </row>
    <row r="54" spans="1:11" s="403" customFormat="1" ht="42" customHeight="1" x14ac:dyDescent="0.25">
      <c r="A54" s="403">
        <f>N!A50</f>
        <v>47</v>
      </c>
      <c r="B54" s="399" t="str">
        <f>N!B50</f>
        <v>PHARMAETHICS LIMITED</v>
      </c>
      <c r="C54" s="399" t="s">
        <v>841</v>
      </c>
      <c r="D54" s="399" t="s">
        <v>841</v>
      </c>
      <c r="E54" s="399" t="s">
        <v>841</v>
      </c>
      <c r="F54" s="399" t="s">
        <v>841</v>
      </c>
      <c r="G54" s="399" t="s">
        <v>841</v>
      </c>
      <c r="H54" s="399" t="s">
        <v>841</v>
      </c>
      <c r="I54" s="404">
        <v>11742500</v>
      </c>
      <c r="J54" s="404">
        <f t="shared" si="1"/>
        <v>352275</v>
      </c>
      <c r="K54" s="405" t="str">
        <f>IF(N!D50="LPRT","LABORATORY/PHARMACY/RADIOLOGY/THEATRE",IF(N!D50="P","PHARMACY",IF(N!D50="T","THEATRE",IF(N!D50="L","LABORATORY",IF(N!D50="R","RADIOLOGY",IF(N!D50="LT","LABORATORY/THEATRE",IF(N!D50="LP","LABORATORY/PHARMACY",IF(N!D50="LR","LABORATORY/RADIOLOGY",IF(N!D50="PT","PHARMACY/THEATRE",IF(N!D50="PR","PHARMACY/RADIOLOGY",IF(N!D50="RT","RADIOLOGY/THEATRE",IF(N!D50="LPT","LABORATORY/PHARMACY/THEATRE",IF(N!D50="LPR","LABORATORY/PHARMACY/RADIOLOGY",IF(N!D50="PTR","PHARMACY/THEATRE/RADIOLOGY",IF(N!D50="LRT","LABORATORY/RADIOLOGY/THEATRE","-")))))))))))))))</f>
        <v>PHARMACY</v>
      </c>
    </row>
    <row r="55" spans="1:11" s="403" customFormat="1" ht="42" customHeight="1" x14ac:dyDescent="0.25">
      <c r="A55" s="403">
        <f>N!A51</f>
        <v>48</v>
      </c>
      <c r="B55" s="399" t="str">
        <f>N!B51</f>
        <v>PHILIPS PHARMACEUTICALS NIGERIA LIMITED</v>
      </c>
      <c r="C55" s="399" t="s">
        <v>841</v>
      </c>
      <c r="D55" s="399" t="s">
        <v>841</v>
      </c>
      <c r="E55" s="399" t="s">
        <v>841</v>
      </c>
      <c r="F55" s="399" t="s">
        <v>841</v>
      </c>
      <c r="G55" s="399" t="s">
        <v>841</v>
      </c>
      <c r="H55" s="399" t="s">
        <v>841</v>
      </c>
      <c r="I55" s="404">
        <v>76551200</v>
      </c>
      <c r="J55" s="426">
        <f t="shared" si="1"/>
        <v>2296536</v>
      </c>
      <c r="K55" s="405" t="str">
        <f>IF(N!D51="LPRT","LABORATORY/PHARMACY/RADIOLOGY/THEATRE",IF(N!D51="P","PHARMACY",IF(N!D51="T","THEATRE",IF(N!D51="L","LABORATORY",IF(N!D51="R","RADIOLOGY",IF(N!D51="LT","LABORATORY/THEATRE",IF(N!D51="LP","LABORATORY/PHARMACY",IF(N!D51="LR","LABORATORY/RADIOLOGY",IF(N!D51="PT","PHARMACY/THEATRE",IF(N!D51="PR","PHARMACY/RADIOLOGY",IF(N!D51="RT","RADIOLOGY/THEATRE",IF(N!D51="LPT","LABORATORY/PHARMACY/THEATRE",IF(N!D51="LPR","LABORATORY/PHARMACY/RADIOLOGY",IF(N!D51="PTR","PHARMACY/THEATRE/RADIOLOGY",IF(N!D51="LRT","LABORATORY/RADIOLOGY/THEATRE","-")))))))))))))))</f>
        <v>PHARMACY</v>
      </c>
    </row>
    <row r="56" spans="1:11" s="403" customFormat="1" ht="42" customHeight="1" x14ac:dyDescent="0.25">
      <c r="A56" s="403">
        <f>N!A52</f>
        <v>49</v>
      </c>
      <c r="B56" s="399" t="str">
        <f>N!B52</f>
        <v>RANBAXY NIGERIA LIMITED</v>
      </c>
      <c r="C56" s="399" t="s">
        <v>841</v>
      </c>
      <c r="D56" s="399" t="s">
        <v>841</v>
      </c>
      <c r="E56" s="399" t="s">
        <v>841</v>
      </c>
      <c r="F56" s="399" t="s">
        <v>841</v>
      </c>
      <c r="G56" s="399" t="s">
        <v>841</v>
      </c>
      <c r="H56" s="399" t="s">
        <v>841</v>
      </c>
      <c r="I56" s="404">
        <v>88368473</v>
      </c>
      <c r="J56" s="404">
        <f t="shared" si="1"/>
        <v>2651054.19</v>
      </c>
      <c r="K56" s="405" t="str">
        <f>IF(N!D52="LPRT","LABORATORY/PHARMACY/RADIOLOGY/THEATRE",IF(N!D52="P","PHARMACY",IF(N!D52="T","THEATRE",IF(N!D52="L","LABORATORY",IF(N!D52="R","RADIOLOGY",IF(N!D52="LT","LABORATORY/THEATRE",IF(N!D52="LP","LABORATORY/PHARMACY",IF(N!D52="LR","LABORATORY/RADIOLOGY",IF(N!D52="PT","PHARMACY/THEATRE",IF(N!D52="PR","PHARMACY/RADIOLOGY",IF(N!D52="RT","RADIOLOGY/THEATRE",IF(N!D52="LPT","LABORATORY/PHARMACY/THEATRE",IF(N!D52="LPR","LABORATORY/PHARMACY/RADIOLOGY",IF(N!D52="PTR","PHARMACY/THEATRE/RADIOLOGY",IF(N!D52="LRT","LABORATORY/RADIOLOGY/THEATRE","-")))))))))))))))</f>
        <v>PHARMACY</v>
      </c>
    </row>
    <row r="57" spans="1:11" s="403" customFormat="1" ht="42" customHeight="1" x14ac:dyDescent="0.25">
      <c r="A57" s="403">
        <f>N!A53</f>
        <v>50</v>
      </c>
      <c r="B57" s="399" t="str">
        <f>N!B53</f>
        <v>REALS PHARMACEUTICALS LIMITED</v>
      </c>
      <c r="C57" s="399" t="s">
        <v>841</v>
      </c>
      <c r="D57" s="399" t="s">
        <v>841</v>
      </c>
      <c r="E57" s="399" t="s">
        <v>841</v>
      </c>
      <c r="F57" s="399" t="s">
        <v>841</v>
      </c>
      <c r="G57" s="399" t="s">
        <v>841</v>
      </c>
      <c r="H57" s="399" t="s">
        <v>841</v>
      </c>
      <c r="I57" s="404">
        <v>12279650</v>
      </c>
      <c r="J57" s="404">
        <f t="shared" si="1"/>
        <v>368389.5</v>
      </c>
      <c r="K57" s="405" t="str">
        <f>IF(N!D53="LPRT","LABORATORY/PHARMACY/RADIOLOGY/THEATRE",IF(N!D53="P","PHARMACY",IF(N!D53="T","THEATRE",IF(N!D53="L","LABORATORY",IF(N!D53="R","RADIOLOGY",IF(N!D53="LT","LABORATORY/THEATRE",IF(N!D53="LP","LABORATORY/PHARMACY",IF(N!D53="LR","LABORATORY/RADIOLOGY",IF(N!D53="PT","PHARMACY/THEATRE",IF(N!D53="PR","PHARMACY/RADIOLOGY",IF(N!D53="RT","RADIOLOGY/THEATRE",IF(N!D53="LPT","LABORATORY/PHARMACY/THEATRE",IF(N!D53="LPR","LABORATORY/PHARMACY/RADIOLOGY",IF(N!D53="PTR","PHARMACY/THEATRE/RADIOLOGY",IF(N!D53="LRT","LABORATORY/RADIOLOGY/THEATRE","-")))))))))))))))</f>
        <v>PHARMACY</v>
      </c>
    </row>
    <row r="58" spans="1:11" s="403" customFormat="1" ht="42" customHeight="1" x14ac:dyDescent="0.25">
      <c r="A58" s="403">
        <f>N!A54</f>
        <v>51</v>
      </c>
      <c r="B58" s="399" t="str">
        <f>N!B54</f>
        <v>ROYAL PRIESTHOOD LABORATORIES LIMITED</v>
      </c>
      <c r="C58" s="399" t="s">
        <v>841</v>
      </c>
      <c r="D58" s="399" t="s">
        <v>841</v>
      </c>
      <c r="E58" s="399" t="s">
        <v>841</v>
      </c>
      <c r="F58" s="399" t="s">
        <v>841</v>
      </c>
      <c r="G58" s="399" t="s">
        <v>841</v>
      </c>
      <c r="H58" s="399" t="s">
        <v>841</v>
      </c>
      <c r="I58" s="404">
        <v>8089500</v>
      </c>
      <c r="J58" s="404">
        <f t="shared" si="1"/>
        <v>242685</v>
      </c>
      <c r="K58" s="405" t="str">
        <f>IF(N!D54="LPRT","LABORATORY/PHARMACY/RADIOLOGY/THEATRE",IF(N!D54="P","PHARMACY",IF(N!D54="T","THEATRE",IF(N!D54="L","LABORATORY",IF(N!D54="R","RADIOLOGY",IF(N!D54="LT","LABORATORY/THEATRE",IF(N!D54="LP","LABORATORY/PHARMACY",IF(N!D54="LR","LABORATORY/RADIOLOGY",IF(N!D54="PT","PHARMACY/THEATRE",IF(N!D54="PR","PHARMACY/RADIOLOGY",IF(N!D54="RT","RADIOLOGY/THEATRE",IF(N!D54="LPT","LABORATORY/PHARMACY/THEATRE",IF(N!D54="LPR","LABORATORY/PHARMACY/RADIOLOGY",IF(N!D54="PTR","PHARMACY/THEATRE/RADIOLOGY",IF(N!D54="LRT","LABORATORY/RADIOLOGY/THEATRE","-")))))))))))))))</f>
        <v>PHARMACY</v>
      </c>
    </row>
    <row r="59" spans="1:11" s="403" customFormat="1" ht="42" customHeight="1" x14ac:dyDescent="0.25">
      <c r="A59" s="403">
        <f>N!A55</f>
        <v>52</v>
      </c>
      <c r="B59" s="399" t="str">
        <f>N!B55</f>
        <v>SAM PHARMACEUTICALS LIMITED</v>
      </c>
      <c r="C59" s="399" t="s">
        <v>841</v>
      </c>
      <c r="D59" s="399" t="s">
        <v>841</v>
      </c>
      <c r="E59" s="399" t="s">
        <v>841</v>
      </c>
      <c r="F59" s="399" t="s">
        <v>841</v>
      </c>
      <c r="G59" s="399" t="s">
        <v>841</v>
      </c>
      <c r="H59" s="399" t="s">
        <v>841</v>
      </c>
      <c r="I59" s="404">
        <v>28872700</v>
      </c>
      <c r="J59" s="404">
        <f t="shared" si="1"/>
        <v>866181</v>
      </c>
      <c r="K59" s="405" t="str">
        <f>IF(N!D55="LPRT","LABORATORY/PHARMACY/RADIOLOGY/THEATRE",IF(N!D55="P","PHARMACY",IF(N!D55="T","THEATRE",IF(N!D55="L","LABORATORY",IF(N!D55="R","RADIOLOGY",IF(N!D55="LT","LABORATORY/THEATRE",IF(N!D55="LP","LABORATORY/PHARMACY",IF(N!D55="LR","LABORATORY/RADIOLOGY",IF(N!D55="PT","PHARMACY/THEATRE",IF(N!D55="PR","PHARMACY/RADIOLOGY",IF(N!D55="RT","RADIOLOGY/THEATRE",IF(N!D55="LPT","LABORATORY/PHARMACY/THEATRE",IF(N!D55="LPR","LABORATORY/PHARMACY/RADIOLOGY",IF(N!D55="PTR","PHARMACY/THEATRE/RADIOLOGY",IF(N!D55="LRT","LABORATORY/RADIOLOGY/THEATRE","-")))))))))))))))</f>
        <v>PHARMACY</v>
      </c>
    </row>
    <row r="60" spans="1:11" s="403" customFormat="1" ht="42" customHeight="1" x14ac:dyDescent="0.25">
      <c r="A60" s="403">
        <f>N!A56</f>
        <v>53</v>
      </c>
      <c r="B60" s="399" t="str">
        <f>N!B56</f>
        <v>SEAGREEN PHARMACEUTICALS LIMITED</v>
      </c>
      <c r="C60" s="399" t="s">
        <v>841</v>
      </c>
      <c r="D60" s="399" t="s">
        <v>841</v>
      </c>
      <c r="E60" s="399" t="s">
        <v>841</v>
      </c>
      <c r="F60" s="399" t="s">
        <v>841</v>
      </c>
      <c r="G60" s="399" t="s">
        <v>841</v>
      </c>
      <c r="H60" s="399" t="s">
        <v>841</v>
      </c>
      <c r="I60" s="404">
        <v>62661000</v>
      </c>
      <c r="J60" s="426">
        <f t="shared" si="1"/>
        <v>1879830</v>
      </c>
      <c r="K60" s="405" t="str">
        <f>IF(N!D56="LPRT","LABORATORY/PHARMACY/RADIOLOGY/THEATRE",IF(N!D56="P","PHARMACY",IF(N!D56="T","THEATRE",IF(N!D56="L","LABORATORY",IF(N!D56="R","RADIOLOGY",IF(N!D56="LT","LABORATORY/THEATRE",IF(N!D56="LP","LABORATORY/PHARMACY",IF(N!D56="LR","LABORATORY/RADIOLOGY",IF(N!D56="PT","PHARMACY/THEATRE",IF(N!D56="PR","PHARMACY/RADIOLOGY",IF(N!D56="RT","RADIOLOGY/THEATRE",IF(N!D56="LPT","LABORATORY/PHARMACY/THEATRE",IF(N!D56="LPR","LABORATORY/PHARMACY/RADIOLOGY",IF(N!D56="PTR","PHARMACY/THEATRE/RADIOLOGY",IF(N!D56="LRT","LABORATORY/RADIOLOGY/THEATRE","-")))))))))))))))</f>
        <v>PHARMACY</v>
      </c>
    </row>
    <row r="61" spans="1:11" s="403" customFormat="1" ht="42" customHeight="1" x14ac:dyDescent="0.25">
      <c r="A61" s="403">
        <f>N!A57</f>
        <v>54</v>
      </c>
      <c r="B61" s="399" t="str">
        <f>N!B57</f>
        <v>SKG PHARMACEUTICALS LIMITED</v>
      </c>
      <c r="C61" s="399" t="s">
        <v>841</v>
      </c>
      <c r="D61" s="399" t="s">
        <v>841</v>
      </c>
      <c r="E61" s="399" t="s">
        <v>841</v>
      </c>
      <c r="F61" s="399" t="s">
        <v>841</v>
      </c>
      <c r="G61" s="399" t="s">
        <v>841</v>
      </c>
      <c r="H61" s="399" t="s">
        <v>841</v>
      </c>
      <c r="I61" s="404">
        <v>20597316.800000001</v>
      </c>
      <c r="J61" s="404">
        <f t="shared" si="1"/>
        <v>617919.50399999996</v>
      </c>
      <c r="K61" s="405" t="str">
        <f>IF(N!D57="LPRT","LABORATORY/PHARMACY/RADIOLOGY/THEATRE",IF(N!D57="P","PHARMACY",IF(N!D57="T","THEATRE",IF(N!D57="L","LABORATORY",IF(N!D57="R","RADIOLOGY",IF(N!D57="LT","LABORATORY/THEATRE",IF(N!D57="LP","LABORATORY/PHARMACY",IF(N!D57="LR","LABORATORY/RADIOLOGY",IF(N!D57="PT","PHARMACY/THEATRE",IF(N!D57="PR","PHARMACY/RADIOLOGY",IF(N!D57="RT","RADIOLOGY/THEATRE",IF(N!D57="LPT","LABORATORY/PHARMACY/THEATRE",IF(N!D57="LPR","LABORATORY/PHARMACY/RADIOLOGY",IF(N!D57="PTR","PHARMACY/THEATRE/RADIOLOGY",IF(N!D57="LRT","LABORATORY/RADIOLOGY/THEATRE","-")))))))))))))))</f>
        <v>PHARMACY</v>
      </c>
    </row>
    <row r="62" spans="1:11" s="403" customFormat="1" ht="42" customHeight="1" x14ac:dyDescent="0.25">
      <c r="A62" s="403">
        <f>N!A58</f>
        <v>55</v>
      </c>
      <c r="B62" s="399" t="str">
        <f>N!B58</f>
        <v>TAH PHARMACEUTICALS LIMITED</v>
      </c>
      <c r="C62" s="399" t="s">
        <v>841</v>
      </c>
      <c r="D62" s="399" t="s">
        <v>841</v>
      </c>
      <c r="E62" s="399" t="s">
        <v>841</v>
      </c>
      <c r="F62" s="399" t="s">
        <v>841</v>
      </c>
      <c r="G62" s="399" t="s">
        <v>841</v>
      </c>
      <c r="H62" s="399" t="s">
        <v>841</v>
      </c>
      <c r="I62" s="404">
        <v>73789230</v>
      </c>
      <c r="J62" s="404">
        <f t="shared" si="1"/>
        <v>2213676.9</v>
      </c>
      <c r="K62" s="405" t="str">
        <f>IF(N!D58="LPRT","LABORATORY/PHARMACY/RADIOLOGY/THEATRE",IF(N!D58="P","PHARMACY",IF(N!D58="T","THEATRE",IF(N!D58="L","LABORATORY",IF(N!D58="R","RADIOLOGY",IF(N!D58="LT","LABORATORY/THEATRE",IF(N!D58="LP","LABORATORY/PHARMACY",IF(N!D58="LR","LABORATORY/RADIOLOGY",IF(N!D58="PT","PHARMACY/THEATRE",IF(N!D58="PR","PHARMACY/RADIOLOGY",IF(N!D58="RT","RADIOLOGY/THEATRE",IF(N!D58="LPT","LABORATORY/PHARMACY/THEATRE",IF(N!D58="LPR","LABORATORY/PHARMACY/RADIOLOGY",IF(N!D58="PTR","PHARMACY/THEATRE/RADIOLOGY",IF(N!D58="LRT","LABORATORY/RADIOLOGY/THEATRE","-")))))))))))))))</f>
        <v>PHARMACY</v>
      </c>
    </row>
    <row r="63" spans="1:11" s="403" customFormat="1" ht="42" customHeight="1" x14ac:dyDescent="0.25">
      <c r="A63" s="403">
        <f>N!A59</f>
        <v>56</v>
      </c>
      <c r="B63" s="399" t="str">
        <f>N!B59</f>
        <v>TAYLEK DRUGS COMPANY LIMITED</v>
      </c>
      <c r="C63" s="399" t="s">
        <v>841</v>
      </c>
      <c r="D63" s="399" t="s">
        <v>841</v>
      </c>
      <c r="E63" s="399" t="s">
        <v>841</v>
      </c>
      <c r="F63" s="399" t="s">
        <v>841</v>
      </c>
      <c r="G63" s="399" t="s">
        <v>841</v>
      </c>
      <c r="H63" s="399" t="s">
        <v>841</v>
      </c>
      <c r="I63" s="404">
        <v>88273395</v>
      </c>
      <c r="J63" s="404">
        <f t="shared" si="1"/>
        <v>2648201.85</v>
      </c>
      <c r="K63" s="405" t="str">
        <f>IF(N!D59="LPRT","LABORATORY/PHARMACY/RADIOLOGY/THEATRE",IF(N!D59="P","PHARMACY",IF(N!D59="T","THEATRE",IF(N!D59="L","LABORATORY",IF(N!D59="R","RADIOLOGY",IF(N!D59="LT","LABORATORY/THEATRE",IF(N!D59="LP","LABORATORY/PHARMACY",IF(N!D59="LR","LABORATORY/RADIOLOGY",IF(N!D59="PT","PHARMACY/THEATRE",IF(N!D59="PR","PHARMACY/RADIOLOGY",IF(N!D59="RT","RADIOLOGY/THEATRE",IF(N!D59="LPT","LABORATORY/PHARMACY/THEATRE",IF(N!D59="LPR","LABORATORY/PHARMACY/RADIOLOGY",IF(N!D59="PTR","PHARMACY/THEATRE/RADIOLOGY",IF(N!D59="LRT","LABORATORY/RADIOLOGY/THEATRE","-")))))))))))))))</f>
        <v>PHARMACY</v>
      </c>
    </row>
    <row r="64" spans="1:11" s="403" customFormat="1" ht="42" customHeight="1" x14ac:dyDescent="0.25">
      <c r="A64" s="403">
        <f>N!A60</f>
        <v>57</v>
      </c>
      <c r="B64" s="399" t="str">
        <f>N!B60</f>
        <v>TEMITA SCIENTIFIC VENTURES</v>
      </c>
      <c r="C64" s="399" t="s">
        <v>841</v>
      </c>
      <c r="D64" s="399" t="s">
        <v>841</v>
      </c>
      <c r="E64" s="399" t="s">
        <v>841</v>
      </c>
      <c r="F64" s="399" t="s">
        <v>841</v>
      </c>
      <c r="G64" s="399" t="s">
        <v>841</v>
      </c>
      <c r="H64" s="399" t="s">
        <v>841</v>
      </c>
      <c r="I64" s="404">
        <v>34055372</v>
      </c>
      <c r="J64" s="404">
        <f t="shared" si="1"/>
        <v>1021661.1599999999</v>
      </c>
      <c r="K64" s="405" t="str">
        <f>IF(N!D60="LPRT","LABORATORY/PHARMACY/RADIOLOGY/THEATRE",IF(N!D60="P","PHARMACY",IF(N!D60="T","THEATRE",IF(N!D60="L","LABORATORY",IF(N!D60="R","RADIOLOGY",IF(N!D60="LT","LABORATORY/THEATRE",IF(N!D60="LP","LABORATORY/PHARMACY",IF(N!D60="LR","LABORATORY/RADIOLOGY",IF(N!D60="PT","PHARMACY/THEATRE",IF(N!D60="PR","PHARMACY/RADIOLOGY",IF(N!D60="RT","RADIOLOGY/THEATRE",IF(N!D60="LPT","LABORATORY/PHARMACY/THEATRE",IF(N!D60="LPR","LABORATORY/PHARMACY/RADIOLOGY",IF(N!D60="PTR","PHARMACY/THEATRE/RADIOLOGY",IF(N!D60="LRT","LABORATORY/RADIOLOGY/THEATRE","-")))))))))))))))</f>
        <v>LABORATORY</v>
      </c>
    </row>
    <row r="65" spans="1:11" s="403" customFormat="1" ht="42" customHeight="1" x14ac:dyDescent="0.25">
      <c r="A65" s="403">
        <f>N!A61</f>
        <v>58</v>
      </c>
      <c r="B65" s="399" t="str">
        <f>N!B61</f>
        <v>THERAPEUTIC LABORATORIES NIGERIA LIMITED</v>
      </c>
      <c r="C65" s="399" t="s">
        <v>841</v>
      </c>
      <c r="D65" s="399" t="s">
        <v>841</v>
      </c>
      <c r="E65" s="399" t="s">
        <v>841</v>
      </c>
      <c r="F65" s="399" t="s">
        <v>841</v>
      </c>
      <c r="G65" s="399" t="s">
        <v>841</v>
      </c>
      <c r="H65" s="399" t="s">
        <v>841</v>
      </c>
      <c r="I65" s="404">
        <v>8435200</v>
      </c>
      <c r="J65" s="404">
        <f t="shared" si="1"/>
        <v>253056</v>
      </c>
      <c r="K65" s="405" t="str">
        <f>IF(N!D61="LPRT","LABORATORY/PHARMACY/RADIOLOGY/THEATRE",IF(N!D61="P","PHARMACY",IF(N!D61="T","THEATRE",IF(N!D61="L","LABORATORY",IF(N!D61="R","RADIOLOGY",IF(N!D61="LT","LABORATORY/THEATRE",IF(N!D61="LP","LABORATORY/PHARMACY",IF(N!D61="LR","LABORATORY/RADIOLOGY",IF(N!D61="PT","PHARMACY/THEATRE",IF(N!D61="PR","PHARMACY/RADIOLOGY",IF(N!D61="RT","RADIOLOGY/THEATRE",IF(N!D61="LPT","LABORATORY/PHARMACY/THEATRE",IF(N!D61="LPR","LABORATORY/PHARMACY/RADIOLOGY",IF(N!D61="PTR","PHARMACY/THEATRE/RADIOLOGY",IF(N!D61="LRT","LABORATORY/RADIOLOGY/THEATRE","-")))))))))))))))</f>
        <v>PHARMACY</v>
      </c>
    </row>
    <row r="66" spans="1:11" s="403" customFormat="1" ht="42" customHeight="1" x14ac:dyDescent="0.25">
      <c r="A66" s="403">
        <f>N!A62</f>
        <v>59</v>
      </c>
      <c r="B66" s="399" t="str">
        <f>N!B62</f>
        <v>UBASTIC NIGERIA LIMITED</v>
      </c>
      <c r="C66" s="399" t="s">
        <v>841</v>
      </c>
      <c r="D66" s="399" t="s">
        <v>841</v>
      </c>
      <c r="E66" s="399" t="s">
        <v>841</v>
      </c>
      <c r="F66" s="399" t="s">
        <v>841</v>
      </c>
      <c r="G66" s="399" t="s">
        <v>841</v>
      </c>
      <c r="H66" s="399" t="s">
        <v>841</v>
      </c>
      <c r="I66" s="404">
        <f>13936875+5587250</f>
        <v>19524125</v>
      </c>
      <c r="J66" s="404">
        <f t="shared" si="1"/>
        <v>585723.75</v>
      </c>
      <c r="K66" s="405" t="str">
        <f>IF(N!D62="LPRT","LABORATORY/PHARMACY/RADIOLOGY/THEATRE",IF(N!D62="P","PHARMACY",IF(N!D62="T","THEATRE",IF(N!D62="L","LABORATORY",IF(N!D62="R","RADIOLOGY",IF(N!D62="LT","LABORATORY/THEATRE",IF(N!D62="LP","LABORATORY/PHARMACY",IF(N!D62="LR","LABORATORY/RADIOLOGY",IF(N!D62="PT","PHARMACY/THEATRE",IF(N!D62="PR","PHARMACY/RADIOLOGY",IF(N!D62="RT","RADIOLOGY/THEATRE",IF(N!D62="LPT","LABORATORY/PHARMACY/THEATRE",IF(N!D62="LPR","LABORATORY/PHARMACY/RADIOLOGY",IF(N!D62="PTR","PHARMACY/THEATRE/RADIOLOGY",IF(N!D62="LRT","LABORATORY/RADIOLOGY/THEATRE","-")))))))))))))))</f>
        <v>LABORATORY/THEATRE</v>
      </c>
    </row>
    <row r="67" spans="1:11" s="403" customFormat="1" ht="42" customHeight="1" x14ac:dyDescent="0.25">
      <c r="A67" s="403">
        <f>N!A63</f>
        <v>60</v>
      </c>
      <c r="B67" s="399" t="str">
        <f>N!B63</f>
        <v>UNION DIAGNOSTIC AND CLINICAL SERVICES</v>
      </c>
      <c r="C67" s="399" t="s">
        <v>841</v>
      </c>
      <c r="D67" s="399" t="s">
        <v>841</v>
      </c>
      <c r="E67" s="399" t="s">
        <v>841</v>
      </c>
      <c r="F67" s="399" t="s">
        <v>841</v>
      </c>
      <c r="G67" s="399" t="s">
        <v>841</v>
      </c>
      <c r="H67" s="399" t="s">
        <v>841</v>
      </c>
      <c r="I67" s="404">
        <f>14062064.82+1012500</f>
        <v>15074564.82</v>
      </c>
      <c r="J67" s="404">
        <f t="shared" si="1"/>
        <v>452236.94459999999</v>
      </c>
      <c r="K67" s="405" t="str">
        <f>IF(N!D63="LPRT","LABORATORY/PHARMACY/RADIOLOGY/THEATRE",IF(N!D63="P","PHARMACY",IF(N!D63="T","THEATRE",IF(N!D63="L","LABORATORY",IF(N!D63="R","RADIOLOGY",IF(N!D63="LT","LABORATORY/THEATRE",IF(N!D63="LP","LABORATORY/PHARMACY",IF(N!D63="LR","LABORATORY/RADIOLOGY",IF(N!D63="PT","PHARMACY/THEATRE",IF(N!D63="PR","PHARMACY/RADIOLOGY",IF(N!D63="RT","RADIOLOGY/THEATRE",IF(N!D63="LPT","LABORATORY/PHARMACY/THEATRE",IF(N!D63="LPR","LABORATORY/PHARMACY/RADIOLOGY",IF(N!D63="PTR","PHARMACY/THEATRE/RADIOLOGY",IF(N!D63="LRT","LABORATORY/RADIOLOGY/THEATRE","-")))))))))))))))</f>
        <v>LABORATORY/RADIOLOGY</v>
      </c>
    </row>
    <row r="68" spans="1:11" s="403" customFormat="1" ht="42" customHeight="1" x14ac:dyDescent="0.25">
      <c r="A68" s="403">
        <f>N!A64</f>
        <v>61</v>
      </c>
      <c r="B68" s="399" t="str">
        <f>N!B64</f>
        <v>UNIQUE PHARMACEUTICALS LIMITED</v>
      </c>
      <c r="C68" s="399" t="s">
        <v>841</v>
      </c>
      <c r="D68" s="399" t="s">
        <v>841</v>
      </c>
      <c r="E68" s="399" t="s">
        <v>841</v>
      </c>
      <c r="F68" s="399" t="s">
        <v>841</v>
      </c>
      <c r="G68" s="399" t="s">
        <v>841</v>
      </c>
      <c r="H68" s="399" t="s">
        <v>841</v>
      </c>
      <c r="I68" s="404">
        <v>44294370</v>
      </c>
      <c r="J68" s="404">
        <f t="shared" si="1"/>
        <v>1328831.0999999999</v>
      </c>
      <c r="K68" s="405" t="str">
        <f>IF(N!D64="LPRT","LABORATORY/PHARMACY/RADIOLOGY/THEATRE",IF(N!D64="P","PHARMACY",IF(N!D64="T","THEATRE",IF(N!D64="L","LABORATORY",IF(N!D64="R","RADIOLOGY",IF(N!D64="LT","LABORATORY/THEATRE",IF(N!D64="LP","LABORATORY/PHARMACY",IF(N!D64="LR","LABORATORY/RADIOLOGY",IF(N!D64="PT","PHARMACY/THEATRE",IF(N!D64="PR","PHARMACY/RADIOLOGY",IF(N!D64="RT","RADIOLOGY/THEATRE",IF(N!D64="LPT","LABORATORY/PHARMACY/THEATRE",IF(N!D64="LPR","LABORATORY/PHARMACY/RADIOLOGY",IF(N!D64="PTR","PHARMACY/THEATRE/RADIOLOGY",IF(N!D64="LRT","LABORATORY/RADIOLOGY/THEATRE","-")))))))))))))))</f>
        <v>PHARMACY</v>
      </c>
    </row>
    <row r="69" spans="1:11" s="403" customFormat="1" ht="42" customHeight="1" x14ac:dyDescent="0.25">
      <c r="A69" s="403">
        <f>N!A65</f>
        <v>62</v>
      </c>
      <c r="B69" s="399" t="str">
        <f>N!B65</f>
        <v>VIXA PHARMACEUTICALS LIMITED</v>
      </c>
      <c r="C69" s="399" t="s">
        <v>841</v>
      </c>
      <c r="D69" s="399" t="s">
        <v>841</v>
      </c>
      <c r="E69" s="399" t="s">
        <v>841</v>
      </c>
      <c r="F69" s="399" t="s">
        <v>841</v>
      </c>
      <c r="G69" s="399" t="s">
        <v>841</v>
      </c>
      <c r="H69" s="399" t="s">
        <v>841</v>
      </c>
      <c r="I69" s="404">
        <v>40386171</v>
      </c>
      <c r="J69" s="404">
        <f t="shared" si="1"/>
        <v>1211585.1299999999</v>
      </c>
      <c r="K69" s="405" t="str">
        <f>IF(N!D65="LPRT","LABORATORY/PHARMACY/RADIOLOGY/THEATRE",IF(N!D65="P","PHARMACY",IF(N!D65="T","THEATRE",IF(N!D65="L","LABORATORY",IF(N!D65="R","RADIOLOGY",IF(N!D65="LT","LABORATORY/THEATRE",IF(N!D65="LP","LABORATORY/PHARMACY",IF(N!D65="LR","LABORATORY/RADIOLOGY",IF(N!D65="PT","PHARMACY/THEATRE",IF(N!D65="PR","PHARMACY/RADIOLOGY",IF(N!D65="RT","RADIOLOGY/THEATRE",IF(N!D65="LPT","LABORATORY/PHARMACY/THEATRE",IF(N!D65="LPR","LABORATORY/PHARMACY/RADIOLOGY",IF(N!D65="PTR","PHARMACY/THEATRE/RADIOLOGY",IF(N!D65="LRT","LABORATORY/RADIOLOGY/THEATRE","-")))))))))))))))</f>
        <v>PHARMACY</v>
      </c>
    </row>
    <row r="70" spans="1:11" s="403" customFormat="1" ht="42" customHeight="1" x14ac:dyDescent="0.25">
      <c r="A70" s="403">
        <f>N!A66</f>
        <v>63</v>
      </c>
      <c r="B70" s="399" t="str">
        <f>N!B66</f>
        <v>WORLDWIDE COMMERCIAL VENTURES LIMITED</v>
      </c>
      <c r="C70" s="399" t="s">
        <v>841</v>
      </c>
      <c r="D70" s="399" t="s">
        <v>841</v>
      </c>
      <c r="E70" s="399" t="s">
        <v>841</v>
      </c>
      <c r="F70" s="399" t="s">
        <v>841</v>
      </c>
      <c r="G70" s="399" t="s">
        <v>841</v>
      </c>
      <c r="H70" s="399" t="s">
        <v>841</v>
      </c>
      <c r="I70" s="404">
        <v>890937025.39999998</v>
      </c>
      <c r="J70" s="426">
        <f t="shared" si="1"/>
        <v>26728110.761999998</v>
      </c>
      <c r="K70" s="405" t="str">
        <f>IF(N!D66="LPRT","LABORATORY/PHARMACY/RADIOLOGY/THEATRE",IF(N!D66="P","PHARMACY",IF(N!D66="T","THEATRE",IF(N!D66="L","LABORATORY",IF(N!D66="R","RADIOLOGY",IF(N!D66="LT","LABORATORY/THEATRE",IF(N!D66="LP","LABORATORY/PHARMACY",IF(N!D66="LR","LABORATORY/RADIOLOGY",IF(N!D66="PT","PHARMACY/THEATRE",IF(N!D66="PR","PHARMACY/RADIOLOGY",IF(N!D66="RT","RADIOLOGY/THEATRE",IF(N!D66="LPT","LABORATORY/PHARMACY/THEATRE",IF(N!D66="LPR","LABORATORY/PHARMACY/RADIOLOGY",IF(N!D66="PTR","PHARMACY/THEATRE/RADIOLOGY",IF(N!D66="LRT","LABORATORY/RADIOLOGY/THEATRE","-")))))))))))))))</f>
        <v>PHARMACY</v>
      </c>
    </row>
    <row r="71" spans="1:11" s="403" customFormat="1" ht="42" customHeight="1" x14ac:dyDescent="0.25">
      <c r="A71" s="403">
        <f>N!A67</f>
        <v>64</v>
      </c>
      <c r="B71" s="399" t="str">
        <f>N!B67</f>
        <v>ZOLON HEALTHCARE LIMITED</v>
      </c>
      <c r="C71" s="399" t="s">
        <v>841</v>
      </c>
      <c r="D71" s="399" t="s">
        <v>841</v>
      </c>
      <c r="E71" s="399" t="s">
        <v>841</v>
      </c>
      <c r="F71" s="399" t="s">
        <v>841</v>
      </c>
      <c r="G71" s="399" t="s">
        <v>841</v>
      </c>
      <c r="H71" s="399" t="s">
        <v>841</v>
      </c>
      <c r="I71" s="404">
        <v>45140558</v>
      </c>
      <c r="J71" s="404">
        <f t="shared" si="1"/>
        <v>1354216.74</v>
      </c>
      <c r="K71" s="405" t="str">
        <f>IF(N!D67="LPRT","LABORATORY/PHARMACY/RADIOLOGY/THEATRE",IF(N!D67="P","PHARMACY",IF(N!D67="T","THEATRE",IF(N!D67="L","LABORATORY",IF(N!D67="R","RADIOLOGY",IF(N!D67="LT","LABORATORY/THEATRE",IF(N!D67="LP","LABORATORY/PHARMACY",IF(N!D67="LR","LABORATORY/RADIOLOGY",IF(N!D67="PT","PHARMACY/THEATRE",IF(N!D67="PR","PHARMACY/RADIOLOGY",IF(N!D67="RT","RADIOLOGY/THEATRE",IF(N!D67="LPT","LABORATORY/PHARMACY/THEATRE",IF(N!D67="LPR","LABORATORY/PHARMACY/RADIOLOGY",IF(N!D67="PTR","PHARMACY/THEATRE/RADIOLOGY",IF(N!D67="LRT","LABORATORY/RADIOLOGY/THEATRE","-")))))))))))))))</f>
        <v>PHARMACY</v>
      </c>
    </row>
    <row r="72" spans="1:11" s="403" customFormat="1" ht="42" customHeight="1" x14ac:dyDescent="0.25">
      <c r="A72" s="403" t="e">
        <f>N!#REF!</f>
        <v>#REF!</v>
      </c>
      <c r="B72" s="399" t="e">
        <f>N!#REF!</f>
        <v>#REF!</v>
      </c>
      <c r="C72" s="399"/>
      <c r="D72" s="399"/>
      <c r="E72" s="399"/>
      <c r="F72" s="399"/>
      <c r="G72" s="399"/>
      <c r="H72" s="399"/>
      <c r="I72" s="404"/>
      <c r="J72" s="404">
        <f t="shared" ref="J72" si="2">I72*0.03</f>
        <v>0</v>
      </c>
      <c r="K72" s="409" t="e">
        <f>IF(N!#REF!="LPRT","LABORATORY/PHARMACY/RADIOLOGY/THEATRE",IF(N!#REF!="P","PHARMACY",IF(N!#REF!="T","THEATRE",IF(N!#REF!="L","LABORATORY",IF(N!#REF!="R","RADIOLOGY",IF(N!#REF!="LT","LABORATORY/THEATRE",IF(N!#REF!="LP","LABORATORY/PHARMACY",IF(N!#REF!="LR","LABORATORY/RADIOLOGY",IF(N!#REF!="PT","PHARMACY/THEATRE",IF(N!#REF!="PR","PHARMACY/RADIOLOGY",IF(N!#REF!="RT","RADIOLOGY/THEATRE",IF(N!#REF!="LPT","LABORATORY/PHARMACY/THEATRE",IF(N!#REF!="LPR","LABORATORY/PHARMACY/RADIOLOGY",IF(N!#REF!="PTR","PHARMACY/THEATRE/RADIOLOGY",IF(N!#REF!="LRT","LABORATORY/RADIOLOGY/THEATRE","-")))))))))))))))</f>
        <v>#REF!</v>
      </c>
    </row>
  </sheetData>
  <protectedRanges>
    <protectedRange sqref="D8:I8 D10:I10 I9 D15:I15 I11:I14 D17:I17 I16 D19:I21 I18 D23:I24 I22 D27:I27 I25:I26 D29:I29 I28 D33:I33 I30:I32 D31:H31 D39:I41 D35:H35 I34:I38 D37:H37 I42:I44 D43:H44 D45:I51 I52 H53:I53 D54:I57 I58 D59:I72" name="Range2"/>
    <protectedRange sqref="D9:H9 D11:H14 D16:H16 D18:H18 D22:H22 D25:H26 D28:H28 D30:H30 D32:H32 D34:H34 D36:H36 D38:H38 D42:H42 D52:H52 D53:G53 D58:H58 C8:C72" name="Range1"/>
  </protectedRanges>
  <mergeCells count="5">
    <mergeCell ref="C5:J5"/>
    <mergeCell ref="A1:J1"/>
    <mergeCell ref="A2:J2"/>
    <mergeCell ref="J3:K3"/>
    <mergeCell ref="H3:I3"/>
  </mergeCells>
  <phoneticPr fontId="43" type="noConversion"/>
  <pageMargins left="0.7" right="0.7" top="0.75" bottom="0.75" header="0.3" footer="0.3"/>
  <pageSetup scale="57" orientation="landscape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1222"/>
  <sheetViews>
    <sheetView view="pageBreakPreview" zoomScale="85" zoomScaleNormal="90" zoomScaleSheetLayoutView="85" workbookViewId="0">
      <pane xSplit="2" ySplit="4" topLeftCell="C687" activePane="bottomRight" state="frozen"/>
      <selection activeCell="P854" sqref="P854"/>
      <selection pane="topRight" activeCell="P854" sqref="P854"/>
      <selection pane="bottomLeft" activeCell="P854" sqref="P854"/>
      <selection pane="bottomRight" activeCell="B692" sqref="B692"/>
    </sheetView>
  </sheetViews>
  <sheetFormatPr defaultColWidth="9.140625" defaultRowHeight="18.75" x14ac:dyDescent="0.25"/>
  <cols>
    <col min="1" max="1" width="12.140625" style="10" customWidth="1"/>
    <col min="2" max="2" width="96.7109375" style="10" customWidth="1"/>
    <col min="3" max="3" width="26.5703125" style="9" customWidth="1"/>
    <col min="4" max="6" width="15.42578125" style="25" hidden="1" customWidth="1"/>
    <col min="7" max="8" width="20.42578125" style="25" hidden="1" customWidth="1"/>
    <col min="9" max="10" width="17.85546875" style="25" hidden="1" customWidth="1"/>
    <col min="11" max="11" width="12" style="25" hidden="1" customWidth="1"/>
    <col min="12" max="12" width="18.85546875" style="10" customWidth="1"/>
    <col min="14" max="16384" width="9.140625" style="10"/>
  </cols>
  <sheetData>
    <row r="2" spans="1:13" s="9" customFormat="1" ht="26.25" x14ac:dyDescent="0.25">
      <c r="A2" s="748" t="s">
        <v>1415</v>
      </c>
      <c r="B2" s="748"/>
      <c r="C2" s="748"/>
      <c r="D2" s="748"/>
      <c r="E2" s="748"/>
      <c r="F2" s="748"/>
      <c r="G2" s="748"/>
      <c r="H2" s="748"/>
      <c r="I2" s="748"/>
      <c r="J2" s="748"/>
      <c r="K2" s="748"/>
      <c r="L2" s="748"/>
    </row>
    <row r="3" spans="1:13" s="9" customFormat="1" ht="23.25" x14ac:dyDescent="0.25">
      <c r="A3" s="84"/>
      <c r="B3" s="84"/>
      <c r="C3" s="84"/>
      <c r="D3" s="84"/>
      <c r="E3" s="84"/>
      <c r="F3" s="84"/>
      <c r="G3" s="84"/>
      <c r="H3" s="84"/>
      <c r="I3" s="84"/>
      <c r="J3" s="84"/>
      <c r="K3" s="84"/>
      <c r="L3" s="24"/>
    </row>
    <row r="4" spans="1:13" s="9" customFormat="1" ht="75.75" thickBot="1" x14ac:dyDescent="0.3">
      <c r="A4" s="20"/>
      <c r="B4" s="375" t="s">
        <v>657</v>
      </c>
      <c r="C4" s="11" t="s">
        <v>500</v>
      </c>
      <c r="D4" s="85" t="s">
        <v>1410</v>
      </c>
      <c r="E4" s="85" t="s">
        <v>1433</v>
      </c>
      <c r="F4" s="85" t="s">
        <v>1414</v>
      </c>
      <c r="G4" s="85" t="s">
        <v>1426</v>
      </c>
      <c r="H4" s="85" t="s">
        <v>1413</v>
      </c>
      <c r="I4" s="85" t="s">
        <v>1417</v>
      </c>
      <c r="J4" s="85" t="s">
        <v>1412</v>
      </c>
      <c r="K4" s="85" t="s">
        <v>1411</v>
      </c>
      <c r="L4" s="21" t="s">
        <v>1407</v>
      </c>
    </row>
    <row r="5" spans="1:13" s="9" customFormat="1" ht="29.25" thickBot="1" x14ac:dyDescent="0.3">
      <c r="A5" s="373"/>
      <c r="B5" s="377" t="s">
        <v>1488</v>
      </c>
      <c r="C5" s="374"/>
      <c r="D5" s="369"/>
      <c r="E5" s="369"/>
      <c r="F5" s="369"/>
      <c r="G5" s="369"/>
      <c r="H5" s="369"/>
      <c r="I5" s="369"/>
      <c r="J5" s="369"/>
      <c r="K5" s="369"/>
      <c r="L5" s="20"/>
    </row>
    <row r="6" spans="1:13" s="9" customFormat="1" ht="28.5" x14ac:dyDescent="0.25">
      <c r="A6" s="20"/>
      <c r="B6" s="376"/>
      <c r="C6" s="11"/>
      <c r="D6" s="369"/>
      <c r="E6" s="369"/>
      <c r="F6" s="369"/>
      <c r="G6" s="369"/>
      <c r="H6" s="369"/>
      <c r="I6" s="369"/>
      <c r="J6" s="369"/>
      <c r="K6" s="369"/>
      <c r="L6" s="20"/>
    </row>
    <row r="7" spans="1:13" ht="23.25" x14ac:dyDescent="0.25">
      <c r="A7" s="22" t="s">
        <v>1</v>
      </c>
      <c r="B7" s="13" t="s">
        <v>2</v>
      </c>
      <c r="C7" s="370"/>
      <c r="D7" s="371"/>
      <c r="E7" s="371"/>
      <c r="F7" s="371"/>
      <c r="G7" s="371"/>
      <c r="H7" s="371"/>
      <c r="I7" s="371"/>
      <c r="J7" s="371"/>
      <c r="K7" s="371"/>
      <c r="L7" s="22"/>
      <c r="M7" s="10"/>
    </row>
    <row r="8" spans="1:13" ht="23.25" x14ac:dyDescent="0.25">
      <c r="A8" s="22">
        <v>1</v>
      </c>
      <c r="B8" s="13" t="s">
        <v>3</v>
      </c>
      <c r="C8" s="370">
        <v>3</v>
      </c>
      <c r="D8" s="22">
        <v>2500</v>
      </c>
      <c r="E8" s="22"/>
      <c r="F8" s="22"/>
      <c r="G8" s="22"/>
      <c r="H8" s="22"/>
      <c r="I8" s="371"/>
      <c r="J8" s="371"/>
      <c r="K8" s="371"/>
      <c r="L8" s="22">
        <f>SUM(D8:K8)</f>
        <v>2500</v>
      </c>
      <c r="M8" s="10"/>
    </row>
    <row r="9" spans="1:13" ht="23.25" x14ac:dyDescent="0.25">
      <c r="A9" s="22">
        <f t="shared" ref="A9:A25" si="0">A8+1</f>
        <v>2</v>
      </c>
      <c r="B9" s="13" t="s">
        <v>4</v>
      </c>
      <c r="C9" s="370">
        <v>6</v>
      </c>
      <c r="D9" s="22">
        <v>800</v>
      </c>
      <c r="E9" s="22"/>
      <c r="F9" s="22"/>
      <c r="G9" s="22"/>
      <c r="H9" s="22"/>
      <c r="I9" s="371"/>
      <c r="J9" s="371"/>
      <c r="K9" s="371"/>
      <c r="L9" s="22">
        <f t="shared" ref="L9:L72" si="1">SUM(D9:K9)</f>
        <v>800</v>
      </c>
      <c r="M9" s="10"/>
    </row>
    <row r="10" spans="1:13" ht="23.25" x14ac:dyDescent="0.25">
      <c r="A10" s="22">
        <f t="shared" si="0"/>
        <v>3</v>
      </c>
      <c r="B10" s="13" t="s">
        <v>5</v>
      </c>
      <c r="C10" s="370" t="s">
        <v>144</v>
      </c>
      <c r="D10" s="22">
        <v>400</v>
      </c>
      <c r="E10" s="22"/>
      <c r="F10" s="22"/>
      <c r="G10" s="22"/>
      <c r="H10" s="22"/>
      <c r="I10" s="371"/>
      <c r="J10" s="371"/>
      <c r="K10" s="371"/>
      <c r="L10" s="22">
        <f t="shared" si="1"/>
        <v>400</v>
      </c>
      <c r="M10" s="10"/>
    </row>
    <row r="11" spans="1:13" ht="23.25" x14ac:dyDescent="0.25">
      <c r="A11" s="22">
        <f t="shared" si="0"/>
        <v>4</v>
      </c>
      <c r="B11" s="13" t="s">
        <v>1251</v>
      </c>
      <c r="C11" s="370">
        <v>24</v>
      </c>
      <c r="D11" s="22">
        <v>500</v>
      </c>
      <c r="E11" s="22"/>
      <c r="F11" s="22"/>
      <c r="G11" s="22"/>
      <c r="H11" s="22"/>
      <c r="I11" s="371"/>
      <c r="J11" s="371"/>
      <c r="K11" s="371"/>
      <c r="L11" s="22">
        <f t="shared" si="1"/>
        <v>500</v>
      </c>
      <c r="M11" s="10"/>
    </row>
    <row r="12" spans="1:13" ht="23.25" x14ac:dyDescent="0.25">
      <c r="A12" s="22">
        <f t="shared" si="0"/>
        <v>5</v>
      </c>
      <c r="B12" s="13" t="s">
        <v>1252</v>
      </c>
      <c r="C12" s="370">
        <v>6</v>
      </c>
      <c r="D12" s="22">
        <v>500</v>
      </c>
      <c r="E12" s="22"/>
      <c r="F12" s="22"/>
      <c r="G12" s="22"/>
      <c r="H12" s="22"/>
      <c r="I12" s="371"/>
      <c r="J12" s="371"/>
      <c r="K12" s="371"/>
      <c r="L12" s="22">
        <f t="shared" si="1"/>
        <v>500</v>
      </c>
      <c r="M12" s="10"/>
    </row>
    <row r="13" spans="1:13" ht="23.25" x14ac:dyDescent="0.25">
      <c r="A13" s="22">
        <f t="shared" si="0"/>
        <v>6</v>
      </c>
      <c r="B13" s="13" t="s">
        <v>6</v>
      </c>
      <c r="C13" s="370">
        <v>24</v>
      </c>
      <c r="D13" s="22">
        <v>8640</v>
      </c>
      <c r="E13" s="22"/>
      <c r="F13" s="22"/>
      <c r="G13" s="22"/>
      <c r="H13" s="22"/>
      <c r="I13" s="371"/>
      <c r="J13" s="371"/>
      <c r="K13" s="371"/>
      <c r="L13" s="22">
        <f t="shared" si="1"/>
        <v>8640</v>
      </c>
      <c r="M13" s="10"/>
    </row>
    <row r="14" spans="1:13" ht="23.25" x14ac:dyDescent="0.25">
      <c r="A14" s="22">
        <f t="shared" si="0"/>
        <v>7</v>
      </c>
      <c r="B14" s="13" t="s">
        <v>714</v>
      </c>
      <c r="C14" s="370">
        <v>6</v>
      </c>
      <c r="D14" s="22">
        <v>600</v>
      </c>
      <c r="E14" s="22"/>
      <c r="F14" s="22"/>
      <c r="G14" s="22"/>
      <c r="H14" s="22"/>
      <c r="I14" s="371"/>
      <c r="J14" s="371"/>
      <c r="K14" s="371"/>
      <c r="L14" s="22">
        <f t="shared" si="1"/>
        <v>600</v>
      </c>
      <c r="M14" s="10"/>
    </row>
    <row r="15" spans="1:13" ht="23.25" x14ac:dyDescent="0.25">
      <c r="A15" s="22">
        <f t="shared" si="0"/>
        <v>8</v>
      </c>
      <c r="B15" s="13" t="s">
        <v>7</v>
      </c>
      <c r="C15" s="370">
        <v>6</v>
      </c>
      <c r="D15" s="22">
        <v>3600</v>
      </c>
      <c r="E15" s="22"/>
      <c r="F15" s="22"/>
      <c r="G15" s="22"/>
      <c r="H15" s="22"/>
      <c r="I15" s="371"/>
      <c r="J15" s="371"/>
      <c r="K15" s="371"/>
      <c r="L15" s="22">
        <f t="shared" si="1"/>
        <v>3600</v>
      </c>
      <c r="M15" s="10"/>
    </row>
    <row r="16" spans="1:13" ht="23.25" x14ac:dyDescent="0.25">
      <c r="A16" s="22">
        <f t="shared" si="0"/>
        <v>9</v>
      </c>
      <c r="B16" s="13" t="s">
        <v>8</v>
      </c>
      <c r="C16" s="370">
        <v>10</v>
      </c>
      <c r="D16" s="22">
        <v>8</v>
      </c>
      <c r="E16" s="22"/>
      <c r="F16" s="22"/>
      <c r="G16" s="22"/>
      <c r="H16" s="22"/>
      <c r="I16" s="371"/>
      <c r="J16" s="371"/>
      <c r="K16" s="371"/>
      <c r="L16" s="22">
        <f t="shared" si="1"/>
        <v>8</v>
      </c>
      <c r="M16" s="10"/>
    </row>
    <row r="17" spans="1:13" ht="23.25" x14ac:dyDescent="0.25">
      <c r="A17" s="22">
        <f t="shared" si="0"/>
        <v>10</v>
      </c>
      <c r="B17" s="13" t="s">
        <v>9</v>
      </c>
      <c r="C17" s="370">
        <v>6</v>
      </c>
      <c r="D17" s="22">
        <v>750</v>
      </c>
      <c r="E17" s="22"/>
      <c r="F17" s="22"/>
      <c r="G17" s="22"/>
      <c r="H17" s="22"/>
      <c r="I17" s="371"/>
      <c r="J17" s="371"/>
      <c r="K17" s="371"/>
      <c r="L17" s="22">
        <f t="shared" si="1"/>
        <v>750</v>
      </c>
      <c r="M17" s="10"/>
    </row>
    <row r="18" spans="1:13" ht="23.25" x14ac:dyDescent="0.25">
      <c r="A18" s="22">
        <f t="shared" si="0"/>
        <v>11</v>
      </c>
      <c r="B18" s="13" t="s">
        <v>10</v>
      </c>
      <c r="C18" s="370" t="s">
        <v>144</v>
      </c>
      <c r="D18" s="22">
        <v>200</v>
      </c>
      <c r="E18" s="22"/>
      <c r="F18" s="22"/>
      <c r="G18" s="22"/>
      <c r="H18" s="22"/>
      <c r="I18" s="371"/>
      <c r="J18" s="371"/>
      <c r="K18" s="371"/>
      <c r="L18" s="22">
        <f t="shared" si="1"/>
        <v>200</v>
      </c>
      <c r="M18" s="10"/>
    </row>
    <row r="19" spans="1:13" ht="23.25" x14ac:dyDescent="0.25">
      <c r="A19" s="22">
        <f t="shared" si="0"/>
        <v>12</v>
      </c>
      <c r="B19" s="13" t="s">
        <v>11</v>
      </c>
      <c r="C19" s="370">
        <v>9</v>
      </c>
      <c r="D19" s="22">
        <v>500</v>
      </c>
      <c r="E19" s="22"/>
      <c r="F19" s="22"/>
      <c r="G19" s="22"/>
      <c r="H19" s="22"/>
      <c r="I19" s="371"/>
      <c r="J19" s="371"/>
      <c r="K19" s="371"/>
      <c r="L19" s="22">
        <f t="shared" si="1"/>
        <v>500</v>
      </c>
      <c r="M19" s="10"/>
    </row>
    <row r="20" spans="1:13" ht="23.25" x14ac:dyDescent="0.25">
      <c r="A20" s="22">
        <f t="shared" si="0"/>
        <v>13</v>
      </c>
      <c r="B20" s="13" t="s">
        <v>695</v>
      </c>
      <c r="C20" s="370">
        <v>4</v>
      </c>
      <c r="D20" s="22">
        <v>600</v>
      </c>
      <c r="E20" s="22"/>
      <c r="F20" s="22"/>
      <c r="G20" s="22"/>
      <c r="H20" s="22"/>
      <c r="I20" s="371"/>
      <c r="J20" s="371"/>
      <c r="K20" s="371"/>
      <c r="L20" s="22">
        <f t="shared" si="1"/>
        <v>600</v>
      </c>
      <c r="M20" s="10"/>
    </row>
    <row r="21" spans="1:13" ht="23.25" x14ac:dyDescent="0.25">
      <c r="A21" s="22">
        <f t="shared" si="0"/>
        <v>14</v>
      </c>
      <c r="B21" s="13" t="s">
        <v>12</v>
      </c>
      <c r="C21" s="370">
        <v>100</v>
      </c>
      <c r="D21" s="22">
        <v>200</v>
      </c>
      <c r="E21" s="22"/>
      <c r="F21" s="22"/>
      <c r="G21" s="22"/>
      <c r="H21" s="22"/>
      <c r="I21" s="371"/>
      <c r="J21" s="371"/>
      <c r="K21" s="371"/>
      <c r="L21" s="22">
        <f t="shared" si="1"/>
        <v>200</v>
      </c>
      <c r="M21" s="10"/>
    </row>
    <row r="22" spans="1:13" ht="23.25" x14ac:dyDescent="0.25">
      <c r="A22" s="22">
        <f t="shared" si="0"/>
        <v>15</v>
      </c>
      <c r="B22" s="13" t="s">
        <v>690</v>
      </c>
      <c r="C22" s="370">
        <v>500</v>
      </c>
      <c r="D22" s="22">
        <v>4</v>
      </c>
      <c r="E22" s="22"/>
      <c r="F22" s="22"/>
      <c r="G22" s="22"/>
      <c r="H22" s="22"/>
      <c r="I22" s="371"/>
      <c r="J22" s="371"/>
      <c r="K22" s="371"/>
      <c r="L22" s="22">
        <f t="shared" si="1"/>
        <v>4</v>
      </c>
      <c r="M22" s="10"/>
    </row>
    <row r="23" spans="1:13" ht="23.25" x14ac:dyDescent="0.25">
      <c r="A23" s="22">
        <f t="shared" si="0"/>
        <v>16</v>
      </c>
      <c r="B23" s="13" t="s">
        <v>13</v>
      </c>
      <c r="C23" s="370" t="s">
        <v>144</v>
      </c>
      <c r="D23" s="22">
        <v>40</v>
      </c>
      <c r="E23" s="22"/>
      <c r="F23" s="22"/>
      <c r="G23" s="22"/>
      <c r="H23" s="22"/>
      <c r="I23" s="371"/>
      <c r="J23" s="371"/>
      <c r="K23" s="371"/>
      <c r="L23" s="22">
        <f t="shared" si="1"/>
        <v>40</v>
      </c>
      <c r="M23" s="10"/>
    </row>
    <row r="24" spans="1:13" ht="23.25" x14ac:dyDescent="0.25">
      <c r="A24" s="22">
        <f t="shared" si="0"/>
        <v>17</v>
      </c>
      <c r="B24" s="13" t="s">
        <v>14</v>
      </c>
      <c r="C24" s="370">
        <v>100</v>
      </c>
      <c r="D24" s="22">
        <v>1</v>
      </c>
      <c r="E24" s="22"/>
      <c r="F24" s="22"/>
      <c r="G24" s="22"/>
      <c r="H24" s="22"/>
      <c r="I24" s="371"/>
      <c r="J24" s="371"/>
      <c r="K24" s="371"/>
      <c r="L24" s="22">
        <f t="shared" si="1"/>
        <v>1</v>
      </c>
      <c r="M24" s="10"/>
    </row>
    <row r="25" spans="1:13" ht="23.25" x14ac:dyDescent="0.25">
      <c r="A25" s="22">
        <f t="shared" si="0"/>
        <v>18</v>
      </c>
      <c r="B25" s="13" t="s">
        <v>15</v>
      </c>
      <c r="C25" s="370">
        <v>50</v>
      </c>
      <c r="D25" s="22">
        <v>20</v>
      </c>
      <c r="E25" s="22"/>
      <c r="F25" s="22"/>
      <c r="G25" s="22"/>
      <c r="H25" s="22"/>
      <c r="I25" s="371"/>
      <c r="J25" s="371"/>
      <c r="K25" s="371"/>
      <c r="L25" s="22">
        <f t="shared" si="1"/>
        <v>20</v>
      </c>
      <c r="M25" s="10"/>
    </row>
    <row r="26" spans="1:13" ht="23.25" x14ac:dyDescent="0.25">
      <c r="A26" s="22"/>
      <c r="B26" s="13"/>
      <c r="C26" s="370"/>
      <c r="D26" s="22"/>
      <c r="E26" s="22"/>
      <c r="F26" s="22"/>
      <c r="G26" s="22"/>
      <c r="H26" s="22"/>
      <c r="I26" s="371"/>
      <c r="J26" s="371"/>
      <c r="K26" s="371"/>
      <c r="L26" s="22">
        <f t="shared" si="1"/>
        <v>0</v>
      </c>
      <c r="M26" s="10"/>
    </row>
    <row r="27" spans="1:13" ht="23.25" x14ac:dyDescent="0.25">
      <c r="A27" s="22"/>
      <c r="B27" s="13"/>
      <c r="C27" s="370"/>
      <c r="D27" s="22"/>
      <c r="E27" s="22"/>
      <c r="F27" s="22"/>
      <c r="G27" s="22"/>
      <c r="H27" s="22"/>
      <c r="I27" s="371"/>
      <c r="J27" s="371"/>
      <c r="K27" s="371"/>
      <c r="L27" s="22">
        <f t="shared" si="1"/>
        <v>0</v>
      </c>
      <c r="M27" s="10"/>
    </row>
    <row r="28" spans="1:13" ht="23.25" x14ac:dyDescent="0.25">
      <c r="A28" s="22" t="s">
        <v>16</v>
      </c>
      <c r="B28" s="13" t="s">
        <v>17</v>
      </c>
      <c r="C28" s="370"/>
      <c r="D28" s="22"/>
      <c r="E28" s="22"/>
      <c r="F28" s="22"/>
      <c r="G28" s="22"/>
      <c r="H28" s="22"/>
      <c r="I28" s="371"/>
      <c r="J28" s="371"/>
      <c r="K28" s="371"/>
      <c r="L28" s="22">
        <f t="shared" si="1"/>
        <v>0</v>
      </c>
      <c r="M28" s="10"/>
    </row>
    <row r="29" spans="1:13" ht="23.25" x14ac:dyDescent="0.25">
      <c r="A29" s="22">
        <f>A25+1</f>
        <v>19</v>
      </c>
      <c r="B29" s="13" t="s">
        <v>18</v>
      </c>
      <c r="C29" s="370">
        <v>20</v>
      </c>
      <c r="D29" s="22">
        <v>2600</v>
      </c>
      <c r="E29" s="22"/>
      <c r="F29" s="22"/>
      <c r="G29" s="22"/>
      <c r="H29" s="22"/>
      <c r="I29" s="371"/>
      <c r="J29" s="371">
        <v>4</v>
      </c>
      <c r="K29" s="371"/>
      <c r="L29" s="22">
        <f t="shared" si="1"/>
        <v>2604</v>
      </c>
      <c r="M29" s="10"/>
    </row>
    <row r="30" spans="1:13" ht="23.25" x14ac:dyDescent="0.25">
      <c r="A30" s="22">
        <f t="shared" ref="A30:A41" si="2">A29+1</f>
        <v>20</v>
      </c>
      <c r="B30" s="13" t="s">
        <v>19</v>
      </c>
      <c r="C30" s="370">
        <v>20</v>
      </c>
      <c r="D30" s="22">
        <v>100</v>
      </c>
      <c r="E30" s="22"/>
      <c r="F30" s="22"/>
      <c r="G30" s="22"/>
      <c r="H30" s="22"/>
      <c r="I30" s="371"/>
      <c r="J30" s="371"/>
      <c r="K30" s="371"/>
      <c r="L30" s="22">
        <f t="shared" si="1"/>
        <v>100</v>
      </c>
      <c r="M30" s="10"/>
    </row>
    <row r="31" spans="1:13" ht="23.25" x14ac:dyDescent="0.25">
      <c r="A31" s="22">
        <f t="shared" si="2"/>
        <v>21</v>
      </c>
      <c r="B31" s="13" t="s">
        <v>20</v>
      </c>
      <c r="C31" s="370">
        <v>20</v>
      </c>
      <c r="D31" s="22">
        <v>8</v>
      </c>
      <c r="E31" s="22"/>
      <c r="F31" s="22"/>
      <c r="G31" s="22"/>
      <c r="H31" s="22"/>
      <c r="I31" s="371"/>
      <c r="J31" s="371"/>
      <c r="K31" s="371"/>
      <c r="L31" s="22">
        <f t="shared" si="1"/>
        <v>8</v>
      </c>
      <c r="M31" s="10"/>
    </row>
    <row r="32" spans="1:13" ht="23.25" x14ac:dyDescent="0.25">
      <c r="A32" s="22">
        <f t="shared" si="2"/>
        <v>22</v>
      </c>
      <c r="B32" s="13" t="s">
        <v>21</v>
      </c>
      <c r="C32" s="370">
        <v>20</v>
      </c>
      <c r="D32" s="22">
        <v>40</v>
      </c>
      <c r="E32" s="22"/>
      <c r="F32" s="22"/>
      <c r="G32" s="22"/>
      <c r="H32" s="22"/>
      <c r="I32" s="371"/>
      <c r="J32" s="371"/>
      <c r="K32" s="371"/>
      <c r="L32" s="22">
        <f t="shared" si="1"/>
        <v>40</v>
      </c>
      <c r="M32" s="10"/>
    </row>
    <row r="33" spans="1:13" ht="23.25" x14ac:dyDescent="0.25">
      <c r="A33" s="22">
        <f t="shared" si="2"/>
        <v>23</v>
      </c>
      <c r="B33" s="13" t="s">
        <v>22</v>
      </c>
      <c r="C33" s="370">
        <v>20</v>
      </c>
      <c r="D33" s="22">
        <v>300</v>
      </c>
      <c r="E33" s="22"/>
      <c r="F33" s="22"/>
      <c r="G33" s="22"/>
      <c r="H33" s="22"/>
      <c r="I33" s="371"/>
      <c r="J33" s="371"/>
      <c r="K33" s="371"/>
      <c r="L33" s="22">
        <f t="shared" si="1"/>
        <v>300</v>
      </c>
      <c r="M33" s="10"/>
    </row>
    <row r="34" spans="1:13" ht="23.25" x14ac:dyDescent="0.25">
      <c r="A34" s="22">
        <f t="shared" si="2"/>
        <v>24</v>
      </c>
      <c r="B34" s="13" t="s">
        <v>23</v>
      </c>
      <c r="C34" s="370">
        <v>20</v>
      </c>
      <c r="D34" s="22">
        <v>1600</v>
      </c>
      <c r="E34" s="22"/>
      <c r="F34" s="22"/>
      <c r="G34" s="22"/>
      <c r="H34" s="22"/>
      <c r="I34" s="371"/>
      <c r="J34" s="371"/>
      <c r="K34" s="371"/>
      <c r="L34" s="22">
        <f t="shared" si="1"/>
        <v>1600</v>
      </c>
      <c r="M34" s="10"/>
    </row>
    <row r="35" spans="1:13" ht="23.25" x14ac:dyDescent="0.25">
      <c r="A35" s="22">
        <f t="shared" si="2"/>
        <v>25</v>
      </c>
      <c r="B35" s="13" t="s">
        <v>24</v>
      </c>
      <c r="C35" s="370">
        <v>20</v>
      </c>
      <c r="D35" s="22">
        <v>800</v>
      </c>
      <c r="E35" s="22"/>
      <c r="F35" s="22"/>
      <c r="G35" s="22"/>
      <c r="H35" s="22"/>
      <c r="I35" s="371"/>
      <c r="J35" s="371"/>
      <c r="K35" s="371"/>
      <c r="L35" s="22">
        <f t="shared" si="1"/>
        <v>800</v>
      </c>
      <c r="M35" s="10"/>
    </row>
    <row r="36" spans="1:13" ht="23.25" x14ac:dyDescent="0.25">
      <c r="A36" s="22">
        <f t="shared" si="2"/>
        <v>26</v>
      </c>
      <c r="B36" s="13" t="s">
        <v>25</v>
      </c>
      <c r="C36" s="370">
        <v>100</v>
      </c>
      <c r="D36" s="22">
        <v>40</v>
      </c>
      <c r="E36" s="22"/>
      <c r="F36" s="22"/>
      <c r="G36" s="22"/>
      <c r="H36" s="22"/>
      <c r="I36" s="371"/>
      <c r="J36" s="371"/>
      <c r="K36" s="371"/>
      <c r="L36" s="22">
        <f t="shared" si="1"/>
        <v>40</v>
      </c>
      <c r="M36" s="10"/>
    </row>
    <row r="37" spans="1:13" ht="23.25" x14ac:dyDescent="0.25">
      <c r="A37" s="22">
        <f t="shared" si="2"/>
        <v>27</v>
      </c>
      <c r="B37" s="13" t="s">
        <v>26</v>
      </c>
      <c r="C37" s="370">
        <v>20</v>
      </c>
      <c r="D37" s="22">
        <v>100</v>
      </c>
      <c r="E37" s="22"/>
      <c r="F37" s="22"/>
      <c r="G37" s="22"/>
      <c r="H37" s="22"/>
      <c r="I37" s="371"/>
      <c r="J37" s="371"/>
      <c r="K37" s="371"/>
      <c r="L37" s="22">
        <f t="shared" si="1"/>
        <v>100</v>
      </c>
      <c r="M37" s="10"/>
    </row>
    <row r="38" spans="1:13" ht="23.25" x14ac:dyDescent="0.25">
      <c r="A38" s="22">
        <f t="shared" si="2"/>
        <v>28</v>
      </c>
      <c r="B38" s="13" t="s">
        <v>27</v>
      </c>
      <c r="C38" s="370">
        <v>10</v>
      </c>
      <c r="D38" s="22">
        <v>4</v>
      </c>
      <c r="E38" s="22"/>
      <c r="F38" s="22"/>
      <c r="G38" s="22"/>
      <c r="H38" s="22"/>
      <c r="I38" s="371"/>
      <c r="J38" s="371"/>
      <c r="K38" s="371"/>
      <c r="L38" s="22">
        <f t="shared" si="1"/>
        <v>4</v>
      </c>
      <c r="M38" s="10"/>
    </row>
    <row r="39" spans="1:13" ht="23.25" x14ac:dyDescent="0.25">
      <c r="A39" s="22">
        <f t="shared" si="2"/>
        <v>29</v>
      </c>
      <c r="B39" s="13" t="s">
        <v>28</v>
      </c>
      <c r="C39" s="370">
        <v>20</v>
      </c>
      <c r="D39" s="22">
        <v>5</v>
      </c>
      <c r="E39" s="22"/>
      <c r="F39" s="22"/>
      <c r="G39" s="22"/>
      <c r="H39" s="22"/>
      <c r="I39" s="371"/>
      <c r="J39" s="371"/>
      <c r="K39" s="371"/>
      <c r="L39" s="22">
        <f t="shared" si="1"/>
        <v>5</v>
      </c>
      <c r="M39" s="10"/>
    </row>
    <row r="40" spans="1:13" ht="23.25" x14ac:dyDescent="0.25">
      <c r="A40" s="22">
        <f t="shared" si="2"/>
        <v>30</v>
      </c>
      <c r="B40" s="13" t="s">
        <v>29</v>
      </c>
      <c r="C40" s="370">
        <v>20</v>
      </c>
      <c r="D40" s="22">
        <v>5</v>
      </c>
      <c r="E40" s="22"/>
      <c r="F40" s="22"/>
      <c r="G40" s="22"/>
      <c r="H40" s="22"/>
      <c r="I40" s="371"/>
      <c r="J40" s="371"/>
      <c r="K40" s="371"/>
      <c r="L40" s="22">
        <f t="shared" si="1"/>
        <v>5</v>
      </c>
      <c r="M40" s="10"/>
    </row>
    <row r="41" spans="1:13" ht="23.25" x14ac:dyDescent="0.25">
      <c r="A41" s="22">
        <f t="shared" si="2"/>
        <v>31</v>
      </c>
      <c r="B41" s="13" t="s">
        <v>30</v>
      </c>
      <c r="C41" s="370">
        <v>20</v>
      </c>
      <c r="D41" s="22">
        <v>500</v>
      </c>
      <c r="E41" s="22"/>
      <c r="F41" s="22"/>
      <c r="G41" s="22"/>
      <c r="H41" s="22"/>
      <c r="I41" s="371"/>
      <c r="J41" s="371"/>
      <c r="K41" s="371"/>
      <c r="L41" s="22">
        <f t="shared" si="1"/>
        <v>500</v>
      </c>
      <c r="M41" s="10"/>
    </row>
    <row r="42" spans="1:13" ht="23.25" x14ac:dyDescent="0.25">
      <c r="A42" s="22">
        <f>A41+1</f>
        <v>32</v>
      </c>
      <c r="B42" s="13" t="s">
        <v>740</v>
      </c>
      <c r="C42" s="370">
        <v>10</v>
      </c>
      <c r="D42" s="22">
        <v>12</v>
      </c>
      <c r="E42" s="22"/>
      <c r="F42" s="22"/>
      <c r="G42" s="22"/>
      <c r="H42" s="22"/>
      <c r="I42" s="371"/>
      <c r="J42" s="371"/>
      <c r="K42" s="371"/>
      <c r="L42" s="22">
        <f t="shared" si="1"/>
        <v>12</v>
      </c>
      <c r="M42" s="10"/>
    </row>
    <row r="43" spans="1:13" ht="23.25" x14ac:dyDescent="0.25">
      <c r="A43" s="22">
        <f>A42+1</f>
        <v>33</v>
      </c>
      <c r="B43" s="13" t="s">
        <v>31</v>
      </c>
      <c r="C43" s="370">
        <v>50</v>
      </c>
      <c r="D43" s="22">
        <v>1600</v>
      </c>
      <c r="E43" s="22"/>
      <c r="F43" s="22"/>
      <c r="G43" s="22"/>
      <c r="H43" s="22"/>
      <c r="I43" s="371"/>
      <c r="J43" s="371">
        <v>24</v>
      </c>
      <c r="K43" s="371">
        <v>130</v>
      </c>
      <c r="L43" s="22">
        <f t="shared" si="1"/>
        <v>1754</v>
      </c>
      <c r="M43" s="10"/>
    </row>
    <row r="44" spans="1:13" ht="23.25" x14ac:dyDescent="0.25">
      <c r="A44" s="22"/>
      <c r="B44" s="13"/>
      <c r="C44" s="370"/>
      <c r="D44" s="22"/>
      <c r="E44" s="22"/>
      <c r="F44" s="22"/>
      <c r="G44" s="22"/>
      <c r="H44" s="22"/>
      <c r="I44" s="371"/>
      <c r="J44" s="371"/>
      <c r="K44" s="371"/>
      <c r="L44" s="22">
        <f t="shared" si="1"/>
        <v>0</v>
      </c>
      <c r="M44" s="10"/>
    </row>
    <row r="45" spans="1:13" ht="23.25" x14ac:dyDescent="0.25">
      <c r="A45" s="22" t="s">
        <v>32</v>
      </c>
      <c r="B45" s="13" t="s">
        <v>33</v>
      </c>
      <c r="C45" s="370"/>
      <c r="D45" s="22"/>
      <c r="E45" s="22"/>
      <c r="F45" s="22"/>
      <c r="G45" s="22"/>
      <c r="H45" s="22"/>
      <c r="I45" s="371"/>
      <c r="J45" s="371"/>
      <c r="K45" s="371"/>
      <c r="L45" s="22">
        <f t="shared" si="1"/>
        <v>0</v>
      </c>
      <c r="M45" s="10"/>
    </row>
    <row r="46" spans="1:13" ht="23.25" x14ac:dyDescent="0.25">
      <c r="A46" s="22"/>
      <c r="B46" s="13" t="s">
        <v>34</v>
      </c>
      <c r="C46" s="370"/>
      <c r="D46" s="22"/>
      <c r="E46" s="22"/>
      <c r="F46" s="22"/>
      <c r="G46" s="22"/>
      <c r="H46" s="22"/>
      <c r="I46" s="371"/>
      <c r="J46" s="371"/>
      <c r="K46" s="371"/>
      <c r="L46" s="22">
        <f t="shared" si="1"/>
        <v>0</v>
      </c>
      <c r="M46" s="10"/>
    </row>
    <row r="47" spans="1:13" ht="23.25" x14ac:dyDescent="0.25">
      <c r="A47" s="22">
        <f>A43+1</f>
        <v>34</v>
      </c>
      <c r="B47" s="13" t="s">
        <v>35</v>
      </c>
      <c r="C47" s="370">
        <v>100</v>
      </c>
      <c r="D47" s="22">
        <v>800</v>
      </c>
      <c r="E47" s="22"/>
      <c r="F47" s="22"/>
      <c r="G47" s="22"/>
      <c r="H47" s="22"/>
      <c r="I47" s="371"/>
      <c r="J47" s="371"/>
      <c r="K47" s="371"/>
      <c r="L47" s="22">
        <f t="shared" si="1"/>
        <v>800</v>
      </c>
      <c r="M47" s="10"/>
    </row>
    <row r="48" spans="1:13" ht="23.25" x14ac:dyDescent="0.25">
      <c r="A48" s="22">
        <f t="shared" ref="A48:A111" si="3">A47+1</f>
        <v>35</v>
      </c>
      <c r="B48" s="13" t="s">
        <v>425</v>
      </c>
      <c r="C48" s="370">
        <v>30</v>
      </c>
      <c r="D48" s="22">
        <v>10</v>
      </c>
      <c r="E48" s="22"/>
      <c r="F48" s="22"/>
      <c r="G48" s="22"/>
      <c r="H48" s="22"/>
      <c r="I48" s="371"/>
      <c r="J48" s="371"/>
      <c r="K48" s="371"/>
      <c r="L48" s="22">
        <f t="shared" si="1"/>
        <v>10</v>
      </c>
      <c r="M48" s="10"/>
    </row>
    <row r="49" spans="1:13" ht="23.25" x14ac:dyDescent="0.25">
      <c r="A49" s="22">
        <f t="shared" si="3"/>
        <v>36</v>
      </c>
      <c r="B49" s="13" t="s">
        <v>36</v>
      </c>
      <c r="C49" s="370">
        <v>30</v>
      </c>
      <c r="D49" s="22">
        <v>200</v>
      </c>
      <c r="E49" s="22"/>
      <c r="F49" s="22"/>
      <c r="G49" s="22"/>
      <c r="H49" s="22"/>
      <c r="I49" s="371"/>
      <c r="J49" s="371"/>
      <c r="K49" s="371"/>
      <c r="L49" s="22">
        <f t="shared" si="1"/>
        <v>200</v>
      </c>
      <c r="M49" s="10"/>
    </row>
    <row r="50" spans="1:13" ht="23.25" x14ac:dyDescent="0.25">
      <c r="A50" s="13">
        <f t="shared" si="3"/>
        <v>37</v>
      </c>
      <c r="B50" s="13" t="s">
        <v>37</v>
      </c>
      <c r="C50" s="370">
        <v>28</v>
      </c>
      <c r="D50" s="22">
        <v>10000</v>
      </c>
      <c r="E50" s="22"/>
      <c r="F50" s="22"/>
      <c r="G50" s="22"/>
      <c r="H50" s="22"/>
      <c r="I50" s="371"/>
      <c r="J50" s="371"/>
      <c r="K50" s="371"/>
      <c r="L50" s="22">
        <f t="shared" si="1"/>
        <v>10000</v>
      </c>
      <c r="M50" s="10"/>
    </row>
    <row r="51" spans="1:13" ht="23.25" x14ac:dyDescent="0.25">
      <c r="A51" s="13">
        <f t="shared" si="3"/>
        <v>38</v>
      </c>
      <c r="B51" s="13" t="s">
        <v>38</v>
      </c>
      <c r="C51" s="370">
        <v>30</v>
      </c>
      <c r="D51" s="22">
        <v>200</v>
      </c>
      <c r="E51" s="22"/>
      <c r="F51" s="22"/>
      <c r="G51" s="22"/>
      <c r="H51" s="22"/>
      <c r="I51" s="371"/>
      <c r="J51" s="371"/>
      <c r="K51" s="371"/>
      <c r="L51" s="22">
        <f t="shared" si="1"/>
        <v>200</v>
      </c>
      <c r="M51" s="10"/>
    </row>
    <row r="52" spans="1:13" ht="23.25" x14ac:dyDescent="0.25">
      <c r="A52" s="13">
        <f t="shared" si="3"/>
        <v>39</v>
      </c>
      <c r="B52" s="13" t="s">
        <v>39</v>
      </c>
      <c r="C52" s="370">
        <v>28</v>
      </c>
      <c r="D52" s="22">
        <v>8000</v>
      </c>
      <c r="E52" s="22"/>
      <c r="F52" s="22"/>
      <c r="G52" s="22"/>
      <c r="H52" s="22"/>
      <c r="I52" s="371"/>
      <c r="J52" s="371"/>
      <c r="K52" s="371"/>
      <c r="L52" s="22">
        <f t="shared" si="1"/>
        <v>8000</v>
      </c>
      <c r="M52" s="10"/>
    </row>
    <row r="53" spans="1:13" ht="23.25" x14ac:dyDescent="0.25">
      <c r="A53" s="13">
        <f t="shared" si="3"/>
        <v>40</v>
      </c>
      <c r="B53" s="13" t="s">
        <v>1253</v>
      </c>
      <c r="C53" s="370">
        <v>28</v>
      </c>
      <c r="D53" s="22">
        <v>60</v>
      </c>
      <c r="E53" s="22"/>
      <c r="F53" s="22"/>
      <c r="G53" s="22"/>
      <c r="H53" s="22"/>
      <c r="I53" s="371"/>
      <c r="J53" s="371"/>
      <c r="K53" s="371"/>
      <c r="L53" s="22">
        <f t="shared" si="1"/>
        <v>60</v>
      </c>
      <c r="M53" s="10"/>
    </row>
    <row r="54" spans="1:13" ht="23.25" x14ac:dyDescent="0.25">
      <c r="A54" s="13">
        <f t="shared" si="3"/>
        <v>41</v>
      </c>
      <c r="B54" s="13" t="s">
        <v>1254</v>
      </c>
      <c r="C54" s="370">
        <v>28</v>
      </c>
      <c r="D54" s="22">
        <v>60</v>
      </c>
      <c r="E54" s="22"/>
      <c r="F54" s="22"/>
      <c r="G54" s="22"/>
      <c r="H54" s="22"/>
      <c r="I54" s="371"/>
      <c r="J54" s="371"/>
      <c r="K54" s="371"/>
      <c r="L54" s="22">
        <f t="shared" si="1"/>
        <v>60</v>
      </c>
      <c r="M54" s="10"/>
    </row>
    <row r="55" spans="1:13" ht="23.25" x14ac:dyDescent="0.25">
      <c r="A55" s="13">
        <f t="shared" si="3"/>
        <v>42</v>
      </c>
      <c r="B55" s="13" t="s">
        <v>1255</v>
      </c>
      <c r="C55" s="370">
        <v>28</v>
      </c>
      <c r="D55" s="22">
        <v>60</v>
      </c>
      <c r="E55" s="22"/>
      <c r="F55" s="22"/>
      <c r="G55" s="22"/>
      <c r="H55" s="22"/>
      <c r="I55" s="371"/>
      <c r="J55" s="371"/>
      <c r="K55" s="371"/>
      <c r="L55" s="22">
        <f t="shared" si="1"/>
        <v>60</v>
      </c>
      <c r="M55" s="10"/>
    </row>
    <row r="56" spans="1:13" ht="23.25" x14ac:dyDescent="0.25">
      <c r="A56" s="13">
        <f t="shared" si="3"/>
        <v>43</v>
      </c>
      <c r="B56" s="13" t="s">
        <v>1256</v>
      </c>
      <c r="C56" s="370">
        <v>28</v>
      </c>
      <c r="D56" s="22">
        <v>60</v>
      </c>
      <c r="E56" s="22"/>
      <c r="F56" s="22"/>
      <c r="G56" s="22"/>
      <c r="H56" s="22"/>
      <c r="I56" s="371"/>
      <c r="J56" s="371"/>
      <c r="K56" s="371"/>
      <c r="L56" s="22">
        <f t="shared" si="1"/>
        <v>60</v>
      </c>
      <c r="M56" s="10"/>
    </row>
    <row r="57" spans="1:13" ht="23.25" x14ac:dyDescent="0.25">
      <c r="A57" s="13">
        <f t="shared" si="3"/>
        <v>44</v>
      </c>
      <c r="B57" s="13" t="s">
        <v>1257</v>
      </c>
      <c r="C57" s="370">
        <v>28</v>
      </c>
      <c r="D57" s="22">
        <v>60</v>
      </c>
      <c r="E57" s="22"/>
      <c r="F57" s="22"/>
      <c r="G57" s="22"/>
      <c r="H57" s="22"/>
      <c r="I57" s="371"/>
      <c r="J57" s="371"/>
      <c r="K57" s="371"/>
      <c r="L57" s="22">
        <f t="shared" si="1"/>
        <v>60</v>
      </c>
      <c r="M57" s="10"/>
    </row>
    <row r="58" spans="1:13" ht="23.25" x14ac:dyDescent="0.25">
      <c r="A58" s="13">
        <f t="shared" si="3"/>
        <v>45</v>
      </c>
      <c r="B58" s="13" t="s">
        <v>1258</v>
      </c>
      <c r="C58" s="370">
        <v>28</v>
      </c>
      <c r="D58" s="22">
        <v>60</v>
      </c>
      <c r="E58" s="22"/>
      <c r="F58" s="22"/>
      <c r="G58" s="22"/>
      <c r="H58" s="22"/>
      <c r="I58" s="371"/>
      <c r="J58" s="371"/>
      <c r="K58" s="371"/>
      <c r="L58" s="22">
        <f t="shared" si="1"/>
        <v>60</v>
      </c>
      <c r="M58" s="10"/>
    </row>
    <row r="59" spans="1:13" ht="23.25" x14ac:dyDescent="0.25">
      <c r="A59" s="13">
        <f t="shared" si="3"/>
        <v>46</v>
      </c>
      <c r="B59" s="13" t="s">
        <v>40</v>
      </c>
      <c r="C59" s="370">
        <v>100</v>
      </c>
      <c r="D59" s="22">
        <v>2000</v>
      </c>
      <c r="E59" s="22"/>
      <c r="F59" s="22"/>
      <c r="G59" s="22"/>
      <c r="H59" s="22"/>
      <c r="I59" s="371"/>
      <c r="J59" s="371"/>
      <c r="K59" s="371"/>
      <c r="L59" s="22">
        <f t="shared" si="1"/>
        <v>2000</v>
      </c>
      <c r="M59" s="10"/>
    </row>
    <row r="60" spans="1:13" ht="23.25" x14ac:dyDescent="0.25">
      <c r="A60" s="13">
        <f t="shared" si="3"/>
        <v>47</v>
      </c>
      <c r="B60" s="13" t="s">
        <v>41</v>
      </c>
      <c r="C60" s="370">
        <v>28</v>
      </c>
      <c r="D60" s="22">
        <v>2000</v>
      </c>
      <c r="E60" s="22"/>
      <c r="F60" s="22"/>
      <c r="G60" s="22"/>
      <c r="H60" s="22"/>
      <c r="I60" s="371"/>
      <c r="J60" s="371"/>
      <c r="K60" s="371"/>
      <c r="L60" s="22">
        <f t="shared" si="1"/>
        <v>2000</v>
      </c>
      <c r="M60" s="10"/>
    </row>
    <row r="61" spans="1:13" ht="23.25" x14ac:dyDescent="0.25">
      <c r="A61" s="13">
        <f t="shared" si="3"/>
        <v>48</v>
      </c>
      <c r="B61" s="13" t="s">
        <v>42</v>
      </c>
      <c r="C61" s="370">
        <v>30</v>
      </c>
      <c r="D61" s="22">
        <v>2500</v>
      </c>
      <c r="E61" s="22"/>
      <c r="F61" s="22"/>
      <c r="G61" s="22"/>
      <c r="H61" s="22"/>
      <c r="I61" s="371"/>
      <c r="J61" s="371"/>
      <c r="K61" s="371"/>
      <c r="L61" s="22">
        <f t="shared" si="1"/>
        <v>2500</v>
      </c>
      <c r="M61" s="10"/>
    </row>
    <row r="62" spans="1:13" ht="23.25" x14ac:dyDescent="0.25">
      <c r="A62" s="13">
        <f t="shared" si="3"/>
        <v>49</v>
      </c>
      <c r="B62" s="13" t="s">
        <v>43</v>
      </c>
      <c r="C62" s="370">
        <v>30</v>
      </c>
      <c r="D62" s="22">
        <v>2000</v>
      </c>
      <c r="E62" s="22"/>
      <c r="F62" s="22"/>
      <c r="G62" s="22"/>
      <c r="H62" s="22"/>
      <c r="I62" s="371"/>
      <c r="J62" s="371"/>
      <c r="K62" s="371"/>
      <c r="L62" s="22">
        <f t="shared" si="1"/>
        <v>2000</v>
      </c>
      <c r="M62" s="10"/>
    </row>
    <row r="63" spans="1:13" ht="23.25" x14ac:dyDescent="0.25">
      <c r="A63" s="13">
        <f t="shared" si="3"/>
        <v>50</v>
      </c>
      <c r="B63" s="13" t="s">
        <v>730</v>
      </c>
      <c r="C63" s="370">
        <v>30</v>
      </c>
      <c r="D63" s="22">
        <v>100</v>
      </c>
      <c r="E63" s="22"/>
      <c r="F63" s="22"/>
      <c r="G63" s="22"/>
      <c r="H63" s="22"/>
      <c r="I63" s="371"/>
      <c r="J63" s="371"/>
      <c r="K63" s="371"/>
      <c r="L63" s="22">
        <f t="shared" si="1"/>
        <v>100</v>
      </c>
      <c r="M63" s="10"/>
    </row>
    <row r="64" spans="1:13" ht="23.25" x14ac:dyDescent="0.25">
      <c r="A64" s="13">
        <f t="shared" si="3"/>
        <v>51</v>
      </c>
      <c r="B64" s="13" t="s">
        <v>44</v>
      </c>
      <c r="C64" s="370">
        <v>30</v>
      </c>
      <c r="D64" s="22">
        <v>100</v>
      </c>
      <c r="E64" s="22"/>
      <c r="F64" s="22"/>
      <c r="G64" s="22"/>
      <c r="H64" s="22"/>
      <c r="I64" s="371"/>
      <c r="J64" s="371"/>
      <c r="K64" s="371"/>
      <c r="L64" s="22">
        <f t="shared" si="1"/>
        <v>100</v>
      </c>
      <c r="M64" s="10"/>
    </row>
    <row r="65" spans="1:13" ht="23.25" x14ac:dyDescent="0.25">
      <c r="A65" s="13">
        <f t="shared" si="3"/>
        <v>52</v>
      </c>
      <c r="B65" s="13" t="s">
        <v>426</v>
      </c>
      <c r="C65" s="370">
        <v>30</v>
      </c>
      <c r="D65" s="22">
        <v>60</v>
      </c>
      <c r="E65" s="22"/>
      <c r="F65" s="22"/>
      <c r="G65" s="22"/>
      <c r="H65" s="22"/>
      <c r="I65" s="371"/>
      <c r="J65" s="371"/>
      <c r="K65" s="371"/>
      <c r="L65" s="22">
        <f t="shared" si="1"/>
        <v>60</v>
      </c>
      <c r="M65" s="10"/>
    </row>
    <row r="66" spans="1:13" ht="23.25" x14ac:dyDescent="0.25">
      <c r="A66" s="13">
        <f t="shared" si="3"/>
        <v>53</v>
      </c>
      <c r="B66" s="13" t="s">
        <v>427</v>
      </c>
      <c r="C66" s="370">
        <v>30</v>
      </c>
      <c r="D66" s="22">
        <v>60</v>
      </c>
      <c r="E66" s="22"/>
      <c r="F66" s="22"/>
      <c r="G66" s="22"/>
      <c r="H66" s="22"/>
      <c r="I66" s="371"/>
      <c r="J66" s="371"/>
      <c r="K66" s="371"/>
      <c r="L66" s="22">
        <f t="shared" si="1"/>
        <v>60</v>
      </c>
      <c r="M66" s="10"/>
    </row>
    <row r="67" spans="1:13" ht="23.25" x14ac:dyDescent="0.25">
      <c r="A67" s="13">
        <f t="shared" si="3"/>
        <v>54</v>
      </c>
      <c r="B67" s="13" t="s">
        <v>45</v>
      </c>
      <c r="C67" s="370">
        <v>28</v>
      </c>
      <c r="D67" s="22">
        <v>100</v>
      </c>
      <c r="E67" s="22"/>
      <c r="F67" s="22"/>
      <c r="G67" s="22"/>
      <c r="H67" s="22"/>
      <c r="I67" s="371"/>
      <c r="J67" s="371"/>
      <c r="K67" s="371"/>
      <c r="L67" s="22">
        <f t="shared" si="1"/>
        <v>100</v>
      </c>
      <c r="M67" s="10"/>
    </row>
    <row r="68" spans="1:13" ht="23.25" x14ac:dyDescent="0.25">
      <c r="A68" s="13">
        <f t="shared" si="3"/>
        <v>55</v>
      </c>
      <c r="B68" s="13" t="s">
        <v>1259</v>
      </c>
      <c r="C68" s="370">
        <v>28</v>
      </c>
      <c r="D68" s="22">
        <v>65</v>
      </c>
      <c r="E68" s="22"/>
      <c r="F68" s="22"/>
      <c r="G68" s="22"/>
      <c r="H68" s="22"/>
      <c r="I68" s="371"/>
      <c r="J68" s="371"/>
      <c r="K68" s="371"/>
      <c r="L68" s="22">
        <f t="shared" si="1"/>
        <v>65</v>
      </c>
      <c r="M68" s="10"/>
    </row>
    <row r="69" spans="1:13" ht="23.25" x14ac:dyDescent="0.25">
      <c r="A69" s="13">
        <f t="shared" si="3"/>
        <v>56</v>
      </c>
      <c r="B69" s="13" t="s">
        <v>46</v>
      </c>
      <c r="C69" s="370">
        <v>28</v>
      </c>
      <c r="D69" s="22">
        <v>1000</v>
      </c>
      <c r="E69" s="22"/>
      <c r="F69" s="22"/>
      <c r="G69" s="22"/>
      <c r="H69" s="22"/>
      <c r="I69" s="371"/>
      <c r="J69" s="371"/>
      <c r="K69" s="371"/>
      <c r="L69" s="22">
        <f t="shared" si="1"/>
        <v>1000</v>
      </c>
      <c r="M69" s="10"/>
    </row>
    <row r="70" spans="1:13" ht="23.25" x14ac:dyDescent="0.25">
      <c r="A70" s="13">
        <f t="shared" si="3"/>
        <v>57</v>
      </c>
      <c r="B70" s="13" t="s">
        <v>47</v>
      </c>
      <c r="C70" s="370">
        <v>30</v>
      </c>
      <c r="D70" s="22">
        <v>8000</v>
      </c>
      <c r="E70" s="22"/>
      <c r="F70" s="22"/>
      <c r="G70" s="22"/>
      <c r="H70" s="22"/>
      <c r="I70" s="371"/>
      <c r="J70" s="371"/>
      <c r="K70" s="371"/>
      <c r="L70" s="22">
        <f t="shared" si="1"/>
        <v>8000</v>
      </c>
      <c r="M70" s="10"/>
    </row>
    <row r="71" spans="1:13" ht="23.25" x14ac:dyDescent="0.25">
      <c r="A71" s="13">
        <f t="shared" si="3"/>
        <v>58</v>
      </c>
      <c r="B71" s="13" t="s">
        <v>48</v>
      </c>
      <c r="C71" s="370">
        <v>500</v>
      </c>
      <c r="D71" s="22">
        <v>8</v>
      </c>
      <c r="E71" s="22"/>
      <c r="F71" s="22"/>
      <c r="G71" s="22"/>
      <c r="H71" s="22"/>
      <c r="I71" s="371"/>
      <c r="J71" s="371"/>
      <c r="K71" s="371"/>
      <c r="L71" s="22">
        <f t="shared" si="1"/>
        <v>8</v>
      </c>
      <c r="M71" s="10"/>
    </row>
    <row r="72" spans="1:13" ht="23.25" x14ac:dyDescent="0.25">
      <c r="A72" s="13">
        <f t="shared" si="3"/>
        <v>59</v>
      </c>
      <c r="B72" s="13" t="s">
        <v>49</v>
      </c>
      <c r="C72" s="370">
        <v>10</v>
      </c>
      <c r="D72" s="22">
        <v>10</v>
      </c>
      <c r="E72" s="22"/>
      <c r="F72" s="22"/>
      <c r="G72" s="22"/>
      <c r="H72" s="22"/>
      <c r="I72" s="371"/>
      <c r="J72" s="371"/>
      <c r="K72" s="371"/>
      <c r="L72" s="22">
        <f t="shared" si="1"/>
        <v>10</v>
      </c>
      <c r="M72" s="10"/>
    </row>
    <row r="73" spans="1:13" ht="23.25" x14ac:dyDescent="0.25">
      <c r="A73" s="13">
        <f t="shared" si="3"/>
        <v>60</v>
      </c>
      <c r="B73" s="13" t="s">
        <v>1260</v>
      </c>
      <c r="C73" s="370">
        <v>30</v>
      </c>
      <c r="D73" s="22">
        <v>20</v>
      </c>
      <c r="E73" s="22"/>
      <c r="F73" s="22"/>
      <c r="G73" s="22"/>
      <c r="H73" s="22"/>
      <c r="I73" s="371"/>
      <c r="J73" s="371"/>
      <c r="K73" s="371"/>
      <c r="L73" s="22">
        <f t="shared" ref="L73:L136" si="4">SUM(D73:K73)</f>
        <v>20</v>
      </c>
      <c r="M73" s="10"/>
    </row>
    <row r="74" spans="1:13" ht="23.25" x14ac:dyDescent="0.25">
      <c r="A74" s="13">
        <f t="shared" si="3"/>
        <v>61</v>
      </c>
      <c r="B74" s="13" t="s">
        <v>50</v>
      </c>
      <c r="C74" s="370">
        <v>100</v>
      </c>
      <c r="D74" s="22">
        <v>500</v>
      </c>
      <c r="E74" s="22"/>
      <c r="F74" s="22"/>
      <c r="G74" s="22"/>
      <c r="H74" s="22"/>
      <c r="I74" s="371"/>
      <c r="J74" s="371"/>
      <c r="K74" s="371"/>
      <c r="L74" s="22">
        <f t="shared" si="4"/>
        <v>500</v>
      </c>
      <c r="M74" s="10"/>
    </row>
    <row r="75" spans="1:13" ht="23.25" x14ac:dyDescent="0.25">
      <c r="A75" s="13">
        <f t="shared" si="3"/>
        <v>62</v>
      </c>
      <c r="B75" s="13" t="s">
        <v>51</v>
      </c>
      <c r="C75" s="370">
        <v>100</v>
      </c>
      <c r="D75" s="22">
        <v>500</v>
      </c>
      <c r="E75" s="22"/>
      <c r="F75" s="22"/>
      <c r="G75" s="22"/>
      <c r="H75" s="22"/>
      <c r="I75" s="371"/>
      <c r="J75" s="371"/>
      <c r="K75" s="371"/>
      <c r="L75" s="22">
        <f t="shared" si="4"/>
        <v>500</v>
      </c>
      <c r="M75" s="10"/>
    </row>
    <row r="76" spans="1:13" ht="23.25" x14ac:dyDescent="0.25">
      <c r="A76" s="13">
        <f t="shared" si="3"/>
        <v>63</v>
      </c>
      <c r="B76" s="13" t="s">
        <v>52</v>
      </c>
      <c r="C76" s="370">
        <v>100</v>
      </c>
      <c r="D76" s="22">
        <v>4</v>
      </c>
      <c r="E76" s="22"/>
      <c r="F76" s="22"/>
      <c r="G76" s="22"/>
      <c r="H76" s="22"/>
      <c r="I76" s="371"/>
      <c r="J76" s="371"/>
      <c r="K76" s="371"/>
      <c r="L76" s="22">
        <f t="shared" si="4"/>
        <v>4</v>
      </c>
      <c r="M76" s="10"/>
    </row>
    <row r="77" spans="1:13" ht="23.25" x14ac:dyDescent="0.25">
      <c r="A77" s="13">
        <f t="shared" si="3"/>
        <v>64</v>
      </c>
      <c r="B77" s="13" t="s">
        <v>53</v>
      </c>
      <c r="C77" s="370">
        <v>100</v>
      </c>
      <c r="D77" s="22">
        <v>8</v>
      </c>
      <c r="E77" s="22"/>
      <c r="F77" s="22"/>
      <c r="G77" s="22"/>
      <c r="H77" s="22"/>
      <c r="I77" s="371"/>
      <c r="J77" s="371"/>
      <c r="K77" s="371"/>
      <c r="L77" s="22">
        <f t="shared" si="4"/>
        <v>8</v>
      </c>
      <c r="M77" s="10"/>
    </row>
    <row r="78" spans="1:13" ht="23.25" x14ac:dyDescent="0.25">
      <c r="A78" s="13">
        <f t="shared" si="3"/>
        <v>65</v>
      </c>
      <c r="B78" s="13" t="s">
        <v>54</v>
      </c>
      <c r="C78" s="370">
        <v>30</v>
      </c>
      <c r="D78" s="22">
        <v>3000</v>
      </c>
      <c r="E78" s="22"/>
      <c r="F78" s="22"/>
      <c r="G78" s="22"/>
      <c r="H78" s="22"/>
      <c r="I78" s="371"/>
      <c r="J78" s="371"/>
      <c r="K78" s="371"/>
      <c r="L78" s="22">
        <f t="shared" si="4"/>
        <v>3000</v>
      </c>
      <c r="M78" s="10"/>
    </row>
    <row r="79" spans="1:13" ht="23.25" x14ac:dyDescent="0.25">
      <c r="A79" s="13">
        <f t="shared" si="3"/>
        <v>66</v>
      </c>
      <c r="B79" s="13" t="s">
        <v>55</v>
      </c>
      <c r="C79" s="370">
        <v>30</v>
      </c>
      <c r="D79" s="22">
        <v>3000</v>
      </c>
      <c r="E79" s="22"/>
      <c r="F79" s="22"/>
      <c r="G79" s="22"/>
      <c r="H79" s="22"/>
      <c r="I79" s="371"/>
      <c r="J79" s="371"/>
      <c r="K79" s="371"/>
      <c r="L79" s="22">
        <f t="shared" si="4"/>
        <v>3000</v>
      </c>
      <c r="M79" s="10"/>
    </row>
    <row r="80" spans="1:13" ht="23.25" x14ac:dyDescent="0.25">
      <c r="A80" s="13">
        <f t="shared" si="3"/>
        <v>67</v>
      </c>
      <c r="B80" s="13" t="s">
        <v>703</v>
      </c>
      <c r="C80" s="370">
        <v>30</v>
      </c>
      <c r="D80" s="22">
        <v>3200</v>
      </c>
      <c r="E80" s="22"/>
      <c r="F80" s="22"/>
      <c r="G80" s="22"/>
      <c r="H80" s="22"/>
      <c r="I80" s="371"/>
      <c r="J80" s="371"/>
      <c r="K80" s="371"/>
      <c r="L80" s="22">
        <f t="shared" si="4"/>
        <v>3200</v>
      </c>
      <c r="M80" s="10"/>
    </row>
    <row r="81" spans="1:13" ht="23.25" x14ac:dyDescent="0.25">
      <c r="A81" s="13">
        <f t="shared" si="3"/>
        <v>68</v>
      </c>
      <c r="B81" s="13" t="s">
        <v>702</v>
      </c>
      <c r="C81" s="370">
        <v>30</v>
      </c>
      <c r="D81" s="22">
        <v>4000</v>
      </c>
      <c r="E81" s="22"/>
      <c r="F81" s="22"/>
      <c r="G81" s="22"/>
      <c r="H81" s="22"/>
      <c r="I81" s="371"/>
      <c r="J81" s="371"/>
      <c r="K81" s="371"/>
      <c r="L81" s="22">
        <f t="shared" si="4"/>
        <v>4000</v>
      </c>
      <c r="M81" s="10"/>
    </row>
    <row r="82" spans="1:13" ht="23.25" x14ac:dyDescent="0.25">
      <c r="A82" s="13">
        <f t="shared" si="3"/>
        <v>69</v>
      </c>
      <c r="B82" s="13" t="s">
        <v>428</v>
      </c>
      <c r="C82" s="370">
        <v>30</v>
      </c>
      <c r="D82" s="22">
        <v>50</v>
      </c>
      <c r="E82" s="22"/>
      <c r="F82" s="22"/>
      <c r="G82" s="22"/>
      <c r="H82" s="22"/>
      <c r="I82" s="371"/>
      <c r="J82" s="371"/>
      <c r="K82" s="371"/>
      <c r="L82" s="22">
        <f t="shared" si="4"/>
        <v>50</v>
      </c>
      <c r="M82" s="10"/>
    </row>
    <row r="83" spans="1:13" ht="23.25" x14ac:dyDescent="0.25">
      <c r="A83" s="13">
        <f t="shared" si="3"/>
        <v>70</v>
      </c>
      <c r="B83" s="13" t="s">
        <v>429</v>
      </c>
      <c r="C83" s="370">
        <v>30</v>
      </c>
      <c r="D83" s="22">
        <v>50</v>
      </c>
      <c r="E83" s="22"/>
      <c r="F83" s="22"/>
      <c r="G83" s="22"/>
      <c r="H83" s="22"/>
      <c r="I83" s="371"/>
      <c r="J83" s="371"/>
      <c r="K83" s="371"/>
      <c r="L83" s="22">
        <f t="shared" si="4"/>
        <v>50</v>
      </c>
      <c r="M83" s="10"/>
    </row>
    <row r="84" spans="1:13" ht="23.25" x14ac:dyDescent="0.25">
      <c r="A84" s="13">
        <f t="shared" si="3"/>
        <v>71</v>
      </c>
      <c r="B84" s="13" t="s">
        <v>697</v>
      </c>
      <c r="C84" s="370">
        <v>30</v>
      </c>
      <c r="D84" s="22">
        <v>21</v>
      </c>
      <c r="E84" s="22"/>
      <c r="F84" s="22"/>
      <c r="G84" s="22"/>
      <c r="H84" s="22"/>
      <c r="I84" s="371"/>
      <c r="J84" s="371"/>
      <c r="K84" s="371"/>
      <c r="L84" s="22">
        <f t="shared" si="4"/>
        <v>21</v>
      </c>
      <c r="M84" s="10"/>
    </row>
    <row r="85" spans="1:13" ht="23.25" x14ac:dyDescent="0.25">
      <c r="A85" s="13">
        <f t="shared" si="3"/>
        <v>72</v>
      </c>
      <c r="B85" s="13" t="s">
        <v>430</v>
      </c>
      <c r="C85" s="370">
        <v>30</v>
      </c>
      <c r="D85" s="22">
        <v>50</v>
      </c>
      <c r="E85" s="22"/>
      <c r="F85" s="22"/>
      <c r="G85" s="22"/>
      <c r="H85" s="22"/>
      <c r="I85" s="371"/>
      <c r="J85" s="371"/>
      <c r="K85" s="371"/>
      <c r="L85" s="22">
        <f t="shared" si="4"/>
        <v>50</v>
      </c>
      <c r="M85" s="10"/>
    </row>
    <row r="86" spans="1:13" ht="23.25" x14ac:dyDescent="0.25">
      <c r="A86" s="13">
        <f t="shared" si="3"/>
        <v>73</v>
      </c>
      <c r="B86" s="13" t="s">
        <v>56</v>
      </c>
      <c r="C86" s="370" t="s">
        <v>455</v>
      </c>
      <c r="D86" s="22">
        <v>240</v>
      </c>
      <c r="E86" s="22"/>
      <c r="F86" s="22"/>
      <c r="G86" s="22"/>
      <c r="H86" s="22"/>
      <c r="I86" s="371"/>
      <c r="J86" s="371"/>
      <c r="K86" s="371"/>
      <c r="L86" s="22">
        <f t="shared" si="4"/>
        <v>240</v>
      </c>
      <c r="M86" s="10"/>
    </row>
    <row r="87" spans="1:13" ht="23.25" x14ac:dyDescent="0.25">
      <c r="A87" s="13">
        <f t="shared" si="3"/>
        <v>74</v>
      </c>
      <c r="B87" s="13" t="s">
        <v>1261</v>
      </c>
      <c r="C87" s="370">
        <v>30</v>
      </c>
      <c r="D87" s="22">
        <v>80</v>
      </c>
      <c r="E87" s="22"/>
      <c r="F87" s="22"/>
      <c r="G87" s="22"/>
      <c r="H87" s="22"/>
      <c r="I87" s="371"/>
      <c r="J87" s="371"/>
      <c r="K87" s="371"/>
      <c r="L87" s="22">
        <f t="shared" si="4"/>
        <v>80</v>
      </c>
      <c r="M87" s="10"/>
    </row>
    <row r="88" spans="1:13" ht="23.25" x14ac:dyDescent="0.25">
      <c r="A88" s="13">
        <f t="shared" si="3"/>
        <v>75</v>
      </c>
      <c r="B88" s="13" t="s">
        <v>58</v>
      </c>
      <c r="C88" s="370">
        <v>28</v>
      </c>
      <c r="D88" s="22">
        <v>2500</v>
      </c>
      <c r="E88" s="22"/>
      <c r="F88" s="22"/>
      <c r="G88" s="22"/>
      <c r="H88" s="22"/>
      <c r="I88" s="371"/>
      <c r="J88" s="371"/>
      <c r="K88" s="371"/>
      <c r="L88" s="22">
        <f t="shared" si="4"/>
        <v>2500</v>
      </c>
      <c r="M88" s="10"/>
    </row>
    <row r="89" spans="1:13" ht="23.25" x14ac:dyDescent="0.25">
      <c r="A89" s="13">
        <f t="shared" si="3"/>
        <v>76</v>
      </c>
      <c r="B89" s="13" t="s">
        <v>59</v>
      </c>
      <c r="C89" s="370">
        <v>28</v>
      </c>
      <c r="D89" s="22">
        <v>2500</v>
      </c>
      <c r="E89" s="22"/>
      <c r="F89" s="22"/>
      <c r="G89" s="22"/>
      <c r="H89" s="22"/>
      <c r="I89" s="371"/>
      <c r="J89" s="371"/>
      <c r="K89" s="371"/>
      <c r="L89" s="22">
        <f t="shared" si="4"/>
        <v>2500</v>
      </c>
      <c r="M89" s="10"/>
    </row>
    <row r="90" spans="1:13" ht="23.25" x14ac:dyDescent="0.25">
      <c r="A90" s="13">
        <f t="shared" si="3"/>
        <v>77</v>
      </c>
      <c r="B90" s="13" t="s">
        <v>60</v>
      </c>
      <c r="C90" s="370">
        <v>30</v>
      </c>
      <c r="D90" s="22">
        <v>2000</v>
      </c>
      <c r="E90" s="22"/>
      <c r="F90" s="22"/>
      <c r="G90" s="22"/>
      <c r="H90" s="22"/>
      <c r="I90" s="371"/>
      <c r="J90" s="371"/>
      <c r="K90" s="371"/>
      <c r="L90" s="22">
        <f t="shared" si="4"/>
        <v>2000</v>
      </c>
      <c r="M90" s="10"/>
    </row>
    <row r="91" spans="1:13" ht="23.25" x14ac:dyDescent="0.25">
      <c r="A91" s="13">
        <f t="shared" si="3"/>
        <v>78</v>
      </c>
      <c r="B91" s="13" t="s">
        <v>61</v>
      </c>
      <c r="C91" s="370">
        <v>30</v>
      </c>
      <c r="D91" s="22">
        <v>2400</v>
      </c>
      <c r="E91" s="22"/>
      <c r="F91" s="22"/>
      <c r="G91" s="22"/>
      <c r="H91" s="22"/>
      <c r="I91" s="371"/>
      <c r="J91" s="371"/>
      <c r="K91" s="371"/>
      <c r="L91" s="22">
        <f t="shared" si="4"/>
        <v>2400</v>
      </c>
      <c r="M91" s="10"/>
    </row>
    <row r="92" spans="1:13" ht="23.25" x14ac:dyDescent="0.25">
      <c r="A92" s="13">
        <f t="shared" si="3"/>
        <v>79</v>
      </c>
      <c r="B92" s="13" t="s">
        <v>62</v>
      </c>
      <c r="C92" s="370">
        <v>30</v>
      </c>
      <c r="D92" s="22">
        <v>60</v>
      </c>
      <c r="E92" s="22"/>
      <c r="F92" s="22"/>
      <c r="G92" s="22"/>
      <c r="H92" s="22"/>
      <c r="I92" s="371"/>
      <c r="J92" s="371"/>
      <c r="K92" s="371"/>
      <c r="L92" s="22">
        <f t="shared" si="4"/>
        <v>60</v>
      </c>
      <c r="M92" s="10"/>
    </row>
    <row r="93" spans="1:13" ht="23.25" x14ac:dyDescent="0.25">
      <c r="A93" s="13">
        <f t="shared" si="3"/>
        <v>80</v>
      </c>
      <c r="B93" s="13" t="s">
        <v>63</v>
      </c>
      <c r="C93" s="370">
        <v>100</v>
      </c>
      <c r="D93" s="22">
        <v>1200</v>
      </c>
      <c r="E93" s="22"/>
      <c r="F93" s="22"/>
      <c r="G93" s="22"/>
      <c r="H93" s="22"/>
      <c r="I93" s="371"/>
      <c r="J93" s="371"/>
      <c r="K93" s="371"/>
      <c r="L93" s="22">
        <f t="shared" si="4"/>
        <v>1200</v>
      </c>
      <c r="M93" s="10"/>
    </row>
    <row r="94" spans="1:13" ht="23.25" x14ac:dyDescent="0.25">
      <c r="A94" s="13">
        <f t="shared" si="3"/>
        <v>81</v>
      </c>
      <c r="B94" s="13" t="s">
        <v>1262</v>
      </c>
      <c r="C94" s="370">
        <v>100</v>
      </c>
      <c r="D94" s="22">
        <v>10</v>
      </c>
      <c r="E94" s="22"/>
      <c r="F94" s="22"/>
      <c r="G94" s="22"/>
      <c r="H94" s="22"/>
      <c r="I94" s="371"/>
      <c r="J94" s="371"/>
      <c r="K94" s="371"/>
      <c r="L94" s="22">
        <f t="shared" si="4"/>
        <v>10</v>
      </c>
      <c r="M94" s="10"/>
    </row>
    <row r="95" spans="1:13" ht="23.25" x14ac:dyDescent="0.25">
      <c r="A95" s="13">
        <f t="shared" si="3"/>
        <v>82</v>
      </c>
      <c r="B95" s="13" t="s">
        <v>1263</v>
      </c>
      <c r="C95" s="370">
        <v>100</v>
      </c>
      <c r="D95" s="22">
        <v>10</v>
      </c>
      <c r="E95" s="22"/>
      <c r="F95" s="22"/>
      <c r="G95" s="22"/>
      <c r="H95" s="22"/>
      <c r="I95" s="371"/>
      <c r="J95" s="371"/>
      <c r="K95" s="371"/>
      <c r="L95" s="22">
        <f t="shared" si="4"/>
        <v>10</v>
      </c>
      <c r="M95" s="10"/>
    </row>
    <row r="96" spans="1:13" ht="23.25" x14ac:dyDescent="0.25">
      <c r="A96" s="13">
        <f t="shared" si="3"/>
        <v>83</v>
      </c>
      <c r="B96" s="13" t="s">
        <v>669</v>
      </c>
      <c r="C96" s="370">
        <v>30</v>
      </c>
      <c r="D96" s="22">
        <v>80</v>
      </c>
      <c r="E96" s="22"/>
      <c r="F96" s="22"/>
      <c r="G96" s="22"/>
      <c r="H96" s="22"/>
      <c r="I96" s="371"/>
      <c r="J96" s="371"/>
      <c r="K96" s="371"/>
      <c r="L96" s="22">
        <f t="shared" si="4"/>
        <v>80</v>
      </c>
      <c r="M96" s="10"/>
    </row>
    <row r="97" spans="1:13" ht="23.25" x14ac:dyDescent="0.25">
      <c r="A97" s="13">
        <f t="shared" si="3"/>
        <v>84</v>
      </c>
      <c r="B97" s="13" t="s">
        <v>741</v>
      </c>
      <c r="C97" s="370">
        <v>30</v>
      </c>
      <c r="D97" s="22">
        <v>80</v>
      </c>
      <c r="E97" s="22"/>
      <c r="F97" s="22"/>
      <c r="G97" s="22"/>
      <c r="H97" s="22"/>
      <c r="I97" s="371"/>
      <c r="J97" s="371"/>
      <c r="K97" s="371"/>
      <c r="L97" s="22">
        <f t="shared" si="4"/>
        <v>80</v>
      </c>
      <c r="M97" s="10"/>
    </row>
    <row r="98" spans="1:13" ht="23.25" x14ac:dyDescent="0.25">
      <c r="A98" s="13">
        <f t="shared" si="3"/>
        <v>85</v>
      </c>
      <c r="B98" s="13" t="s">
        <v>1264</v>
      </c>
      <c r="C98" s="370">
        <v>30</v>
      </c>
      <c r="D98" s="22">
        <v>10</v>
      </c>
      <c r="E98" s="22"/>
      <c r="F98" s="22"/>
      <c r="G98" s="22"/>
      <c r="H98" s="22"/>
      <c r="I98" s="371"/>
      <c r="J98" s="371"/>
      <c r="K98" s="371"/>
      <c r="L98" s="22">
        <f t="shared" si="4"/>
        <v>10</v>
      </c>
      <c r="M98" s="10"/>
    </row>
    <row r="99" spans="1:13" ht="23.25" x14ac:dyDescent="0.25">
      <c r="A99" s="13">
        <f t="shared" si="3"/>
        <v>86</v>
      </c>
      <c r="B99" s="13" t="s">
        <v>1265</v>
      </c>
      <c r="C99" s="370">
        <v>30</v>
      </c>
      <c r="D99" s="22">
        <v>10</v>
      </c>
      <c r="E99" s="22"/>
      <c r="F99" s="22"/>
      <c r="G99" s="22"/>
      <c r="H99" s="22"/>
      <c r="I99" s="371"/>
      <c r="J99" s="371"/>
      <c r="K99" s="371"/>
      <c r="L99" s="22">
        <f t="shared" si="4"/>
        <v>10</v>
      </c>
      <c r="M99" s="10"/>
    </row>
    <row r="100" spans="1:13" ht="23.25" x14ac:dyDescent="0.25">
      <c r="A100" s="13">
        <f t="shared" si="3"/>
        <v>87</v>
      </c>
      <c r="B100" s="13" t="s">
        <v>64</v>
      </c>
      <c r="C100" s="370">
        <v>100</v>
      </c>
      <c r="D100" s="22">
        <v>600</v>
      </c>
      <c r="E100" s="22"/>
      <c r="F100" s="22"/>
      <c r="G100" s="22"/>
      <c r="H100" s="22"/>
      <c r="I100" s="371"/>
      <c r="J100" s="371"/>
      <c r="K100" s="371"/>
      <c r="L100" s="22">
        <f t="shared" si="4"/>
        <v>600</v>
      </c>
      <c r="M100" s="10"/>
    </row>
    <row r="101" spans="1:13" ht="23.25" x14ac:dyDescent="0.25">
      <c r="A101" s="13">
        <f t="shared" si="3"/>
        <v>88</v>
      </c>
      <c r="B101" s="13" t="s">
        <v>65</v>
      </c>
      <c r="C101" s="370">
        <v>30</v>
      </c>
      <c r="D101" s="22">
        <v>3000</v>
      </c>
      <c r="E101" s="22"/>
      <c r="F101" s="22"/>
      <c r="G101" s="22"/>
      <c r="H101" s="22"/>
      <c r="I101" s="371"/>
      <c r="J101" s="371"/>
      <c r="K101" s="371"/>
      <c r="L101" s="22">
        <f t="shared" si="4"/>
        <v>3000</v>
      </c>
      <c r="M101" s="10"/>
    </row>
    <row r="102" spans="1:13" ht="23.25" x14ac:dyDescent="0.25">
      <c r="A102" s="13">
        <f t="shared" si="3"/>
        <v>89</v>
      </c>
      <c r="B102" s="13" t="s">
        <v>431</v>
      </c>
      <c r="C102" s="370">
        <v>30</v>
      </c>
      <c r="D102" s="22">
        <v>10</v>
      </c>
      <c r="E102" s="22"/>
      <c r="F102" s="22"/>
      <c r="G102" s="22"/>
      <c r="H102" s="22"/>
      <c r="I102" s="371"/>
      <c r="J102" s="371"/>
      <c r="K102" s="371"/>
      <c r="L102" s="22">
        <f t="shared" si="4"/>
        <v>10</v>
      </c>
      <c r="M102" s="10"/>
    </row>
    <row r="103" spans="1:13" ht="23.25" x14ac:dyDescent="0.25">
      <c r="A103" s="13">
        <f t="shared" si="3"/>
        <v>90</v>
      </c>
      <c r="B103" s="13" t="s">
        <v>432</v>
      </c>
      <c r="C103" s="370">
        <v>30</v>
      </c>
      <c r="D103" s="22">
        <v>10</v>
      </c>
      <c r="E103" s="22"/>
      <c r="F103" s="22"/>
      <c r="G103" s="22"/>
      <c r="H103" s="22"/>
      <c r="I103" s="371"/>
      <c r="J103" s="371"/>
      <c r="K103" s="371"/>
      <c r="L103" s="22">
        <f t="shared" si="4"/>
        <v>10</v>
      </c>
      <c r="M103" s="10"/>
    </row>
    <row r="104" spans="1:13" ht="23.25" x14ac:dyDescent="0.25">
      <c r="A104" s="13">
        <f t="shared" si="3"/>
        <v>91</v>
      </c>
      <c r="B104" s="13" t="s">
        <v>686</v>
      </c>
      <c r="C104" s="370">
        <v>30</v>
      </c>
      <c r="D104" s="22">
        <v>10</v>
      </c>
      <c r="E104" s="22"/>
      <c r="F104" s="22"/>
      <c r="G104" s="22"/>
      <c r="H104" s="22"/>
      <c r="I104" s="371"/>
      <c r="J104" s="371"/>
      <c r="K104" s="371"/>
      <c r="L104" s="22">
        <f t="shared" si="4"/>
        <v>10</v>
      </c>
      <c r="M104" s="10"/>
    </row>
    <row r="105" spans="1:13" ht="23.25" x14ac:dyDescent="0.25">
      <c r="A105" s="13">
        <f t="shared" si="3"/>
        <v>92</v>
      </c>
      <c r="B105" s="13" t="s">
        <v>687</v>
      </c>
      <c r="C105" s="370">
        <v>30</v>
      </c>
      <c r="D105" s="22">
        <v>10</v>
      </c>
      <c r="E105" s="22"/>
      <c r="F105" s="22"/>
      <c r="G105" s="22"/>
      <c r="H105" s="22"/>
      <c r="I105" s="371"/>
      <c r="J105" s="371"/>
      <c r="K105" s="371"/>
      <c r="L105" s="22">
        <f t="shared" si="4"/>
        <v>10</v>
      </c>
      <c r="M105" s="10"/>
    </row>
    <row r="106" spans="1:13" ht="23.25" x14ac:dyDescent="0.25">
      <c r="A106" s="13">
        <f t="shared" si="3"/>
        <v>93</v>
      </c>
      <c r="B106" s="13" t="s">
        <v>1266</v>
      </c>
      <c r="C106" s="370">
        <v>30</v>
      </c>
      <c r="D106" s="22">
        <v>12</v>
      </c>
      <c r="E106" s="22"/>
      <c r="F106" s="22"/>
      <c r="G106" s="22"/>
      <c r="H106" s="22"/>
      <c r="I106" s="371"/>
      <c r="J106" s="371"/>
      <c r="K106" s="371"/>
      <c r="L106" s="22">
        <f t="shared" si="4"/>
        <v>12</v>
      </c>
      <c r="M106" s="10"/>
    </row>
    <row r="107" spans="1:13" ht="23.25" x14ac:dyDescent="0.25">
      <c r="A107" s="13">
        <f t="shared" si="3"/>
        <v>94</v>
      </c>
      <c r="B107" s="13" t="s">
        <v>1267</v>
      </c>
      <c r="C107" s="370">
        <v>30</v>
      </c>
      <c r="D107" s="22">
        <v>12</v>
      </c>
      <c r="E107" s="22"/>
      <c r="F107" s="22"/>
      <c r="G107" s="22"/>
      <c r="H107" s="22"/>
      <c r="I107" s="371"/>
      <c r="J107" s="371"/>
      <c r="K107" s="371"/>
      <c r="L107" s="22">
        <f t="shared" si="4"/>
        <v>12</v>
      </c>
      <c r="M107" s="10"/>
    </row>
    <row r="108" spans="1:13" ht="23.25" x14ac:dyDescent="0.25">
      <c r="A108" s="13">
        <f t="shared" si="3"/>
        <v>95</v>
      </c>
      <c r="B108" s="13" t="s">
        <v>66</v>
      </c>
      <c r="C108" s="370">
        <v>28</v>
      </c>
      <c r="D108" s="22">
        <v>1000</v>
      </c>
      <c r="E108" s="22"/>
      <c r="F108" s="22"/>
      <c r="G108" s="22"/>
      <c r="H108" s="22"/>
      <c r="I108" s="371"/>
      <c r="J108" s="371"/>
      <c r="K108" s="371"/>
      <c r="L108" s="22">
        <f t="shared" si="4"/>
        <v>1000</v>
      </c>
      <c r="M108" s="10"/>
    </row>
    <row r="109" spans="1:13" ht="23.25" x14ac:dyDescent="0.25">
      <c r="A109" s="13">
        <f t="shared" si="3"/>
        <v>96</v>
      </c>
      <c r="B109" s="13" t="s">
        <v>67</v>
      </c>
      <c r="C109" s="370">
        <v>30</v>
      </c>
      <c r="D109" s="22">
        <v>200</v>
      </c>
      <c r="E109" s="22"/>
      <c r="F109" s="22"/>
      <c r="G109" s="22"/>
      <c r="H109" s="22"/>
      <c r="I109" s="371"/>
      <c r="J109" s="371"/>
      <c r="K109" s="371"/>
      <c r="L109" s="22">
        <f t="shared" si="4"/>
        <v>200</v>
      </c>
      <c r="M109" s="10"/>
    </row>
    <row r="110" spans="1:13" ht="23.25" x14ac:dyDescent="0.25">
      <c r="A110" s="13">
        <f t="shared" si="3"/>
        <v>97</v>
      </c>
      <c r="B110" s="13" t="s">
        <v>68</v>
      </c>
      <c r="C110" s="370">
        <v>30</v>
      </c>
      <c r="D110" s="22">
        <v>2000</v>
      </c>
      <c r="E110" s="22"/>
      <c r="F110" s="22"/>
      <c r="G110" s="22"/>
      <c r="H110" s="22"/>
      <c r="I110" s="371"/>
      <c r="J110" s="371"/>
      <c r="K110" s="371"/>
      <c r="L110" s="22">
        <f t="shared" si="4"/>
        <v>2000</v>
      </c>
      <c r="M110" s="10"/>
    </row>
    <row r="111" spans="1:13" ht="23.25" x14ac:dyDescent="0.25">
      <c r="A111" s="13">
        <f t="shared" si="3"/>
        <v>98</v>
      </c>
      <c r="B111" s="13" t="s">
        <v>69</v>
      </c>
      <c r="C111" s="370">
        <v>30</v>
      </c>
      <c r="D111" s="22">
        <v>2500</v>
      </c>
      <c r="E111" s="22"/>
      <c r="F111" s="22"/>
      <c r="G111" s="22"/>
      <c r="H111" s="22"/>
      <c r="I111" s="371"/>
      <c r="J111" s="371"/>
      <c r="K111" s="371"/>
      <c r="L111" s="22">
        <f t="shared" si="4"/>
        <v>2500</v>
      </c>
      <c r="M111" s="10"/>
    </row>
    <row r="112" spans="1:13" ht="23.25" x14ac:dyDescent="0.25">
      <c r="A112" s="13">
        <f t="shared" ref="A112:A130" si="5">A111+1</f>
        <v>99</v>
      </c>
      <c r="B112" s="13" t="s">
        <v>70</v>
      </c>
      <c r="C112" s="370">
        <v>30</v>
      </c>
      <c r="D112" s="22">
        <v>240</v>
      </c>
      <c r="E112" s="22"/>
      <c r="F112" s="22"/>
      <c r="G112" s="22"/>
      <c r="H112" s="22"/>
      <c r="I112" s="371"/>
      <c r="J112" s="371"/>
      <c r="K112" s="371"/>
      <c r="L112" s="22">
        <f t="shared" si="4"/>
        <v>240</v>
      </c>
      <c r="M112" s="10"/>
    </row>
    <row r="113" spans="1:13" ht="23.25" x14ac:dyDescent="0.25">
      <c r="A113" s="13">
        <f t="shared" si="5"/>
        <v>100</v>
      </c>
      <c r="B113" s="13" t="s">
        <v>1268</v>
      </c>
      <c r="C113" s="370">
        <v>28</v>
      </c>
      <c r="D113" s="22">
        <v>10</v>
      </c>
      <c r="E113" s="22"/>
      <c r="F113" s="22"/>
      <c r="G113" s="22"/>
      <c r="H113" s="22"/>
      <c r="I113" s="371"/>
      <c r="J113" s="371"/>
      <c r="K113" s="371"/>
      <c r="L113" s="22">
        <f t="shared" si="4"/>
        <v>10</v>
      </c>
      <c r="M113" s="10"/>
    </row>
    <row r="114" spans="1:13" ht="23.25" x14ac:dyDescent="0.25">
      <c r="A114" s="13">
        <f t="shared" si="5"/>
        <v>101</v>
      </c>
      <c r="B114" s="13" t="s">
        <v>1269</v>
      </c>
      <c r="C114" s="370">
        <v>28</v>
      </c>
      <c r="D114" s="22">
        <v>10</v>
      </c>
      <c r="E114" s="22"/>
      <c r="F114" s="22"/>
      <c r="G114" s="22"/>
      <c r="H114" s="22"/>
      <c r="I114" s="371"/>
      <c r="J114" s="371"/>
      <c r="K114" s="371"/>
      <c r="L114" s="22">
        <f t="shared" si="4"/>
        <v>10</v>
      </c>
      <c r="M114" s="10"/>
    </row>
    <row r="115" spans="1:13" ht="23.25" x14ac:dyDescent="0.25">
      <c r="A115" s="13">
        <f t="shared" si="5"/>
        <v>102</v>
      </c>
      <c r="B115" s="13" t="s">
        <v>1270</v>
      </c>
      <c r="C115" s="370">
        <v>28</v>
      </c>
      <c r="D115" s="22">
        <v>10</v>
      </c>
      <c r="E115" s="22"/>
      <c r="F115" s="22"/>
      <c r="G115" s="22"/>
      <c r="H115" s="22"/>
      <c r="I115" s="371"/>
      <c r="J115" s="371"/>
      <c r="K115" s="371"/>
      <c r="L115" s="22">
        <f t="shared" si="4"/>
        <v>10</v>
      </c>
      <c r="M115" s="10"/>
    </row>
    <row r="116" spans="1:13" ht="23.25" x14ac:dyDescent="0.25">
      <c r="A116" s="13">
        <f t="shared" si="5"/>
        <v>103</v>
      </c>
      <c r="B116" s="13" t="s">
        <v>1271</v>
      </c>
      <c r="C116" s="370">
        <v>30</v>
      </c>
      <c r="D116" s="22">
        <v>10</v>
      </c>
      <c r="E116" s="22"/>
      <c r="F116" s="22"/>
      <c r="G116" s="22"/>
      <c r="H116" s="22"/>
      <c r="I116" s="371"/>
      <c r="J116" s="371"/>
      <c r="K116" s="371"/>
      <c r="L116" s="22">
        <f t="shared" si="4"/>
        <v>10</v>
      </c>
      <c r="M116" s="10"/>
    </row>
    <row r="117" spans="1:13" ht="23.25" x14ac:dyDescent="0.25">
      <c r="A117" s="13">
        <f t="shared" si="5"/>
        <v>104</v>
      </c>
      <c r="B117" s="13" t="s">
        <v>71</v>
      </c>
      <c r="C117" s="370">
        <v>30</v>
      </c>
      <c r="D117" s="22">
        <v>10</v>
      </c>
      <c r="E117" s="22"/>
      <c r="F117" s="22"/>
      <c r="G117" s="22"/>
      <c r="H117" s="22"/>
      <c r="I117" s="371"/>
      <c r="J117" s="371"/>
      <c r="K117" s="371"/>
      <c r="L117" s="22">
        <f t="shared" si="4"/>
        <v>10</v>
      </c>
      <c r="M117" s="10"/>
    </row>
    <row r="118" spans="1:13" ht="23.25" x14ac:dyDescent="0.25">
      <c r="A118" s="13">
        <f t="shared" si="5"/>
        <v>105</v>
      </c>
      <c r="B118" s="13" t="s">
        <v>710</v>
      </c>
      <c r="C118" s="370">
        <v>28</v>
      </c>
      <c r="D118" s="22">
        <v>50</v>
      </c>
      <c r="E118" s="22"/>
      <c r="F118" s="22"/>
      <c r="G118" s="22"/>
      <c r="H118" s="22"/>
      <c r="I118" s="371"/>
      <c r="J118" s="371"/>
      <c r="K118" s="371"/>
      <c r="L118" s="22">
        <f t="shared" si="4"/>
        <v>50</v>
      </c>
      <c r="M118" s="10"/>
    </row>
    <row r="119" spans="1:13" ht="23.25" x14ac:dyDescent="0.25">
      <c r="A119" s="13">
        <f t="shared" si="5"/>
        <v>106</v>
      </c>
      <c r="B119" s="13" t="s">
        <v>72</v>
      </c>
      <c r="C119" s="370">
        <v>500</v>
      </c>
      <c r="D119" s="22">
        <v>150</v>
      </c>
      <c r="E119" s="22"/>
      <c r="F119" s="22"/>
      <c r="G119" s="22"/>
      <c r="H119" s="22"/>
      <c r="I119" s="371"/>
      <c r="J119" s="371"/>
      <c r="K119" s="371"/>
      <c r="L119" s="22">
        <f t="shared" si="4"/>
        <v>150</v>
      </c>
      <c r="M119" s="10"/>
    </row>
    <row r="120" spans="1:13" ht="23.25" x14ac:dyDescent="0.25">
      <c r="A120" s="13">
        <f t="shared" si="5"/>
        <v>107</v>
      </c>
      <c r="B120" s="13" t="s">
        <v>73</v>
      </c>
      <c r="C120" s="370">
        <v>30</v>
      </c>
      <c r="D120" s="22">
        <v>52</v>
      </c>
      <c r="E120" s="22"/>
      <c r="F120" s="22"/>
      <c r="G120" s="22"/>
      <c r="H120" s="22"/>
      <c r="I120" s="371"/>
      <c r="J120" s="371"/>
      <c r="K120" s="371"/>
      <c r="L120" s="22">
        <f t="shared" si="4"/>
        <v>52</v>
      </c>
      <c r="M120" s="10"/>
    </row>
    <row r="121" spans="1:13" ht="23.25" x14ac:dyDescent="0.25">
      <c r="A121" s="13">
        <f t="shared" si="5"/>
        <v>108</v>
      </c>
      <c r="B121" s="13" t="s">
        <v>1272</v>
      </c>
      <c r="C121" s="370">
        <v>28</v>
      </c>
      <c r="D121" s="22">
        <v>10</v>
      </c>
      <c r="E121" s="22"/>
      <c r="F121" s="22"/>
      <c r="G121" s="22"/>
      <c r="H121" s="22"/>
      <c r="I121" s="371"/>
      <c r="J121" s="371"/>
      <c r="K121" s="371"/>
      <c r="L121" s="22">
        <f t="shared" si="4"/>
        <v>10</v>
      </c>
      <c r="M121" s="10"/>
    </row>
    <row r="122" spans="1:13" ht="23.25" x14ac:dyDescent="0.25">
      <c r="A122" s="13">
        <f t="shared" si="5"/>
        <v>109</v>
      </c>
      <c r="B122" s="13" t="s">
        <v>1273</v>
      </c>
      <c r="C122" s="370">
        <v>28</v>
      </c>
      <c r="D122" s="22">
        <v>10</v>
      </c>
      <c r="E122" s="22"/>
      <c r="F122" s="22"/>
      <c r="G122" s="22"/>
      <c r="H122" s="22"/>
      <c r="I122" s="371"/>
      <c r="J122" s="371"/>
      <c r="K122" s="371"/>
      <c r="L122" s="22">
        <f t="shared" si="4"/>
        <v>10</v>
      </c>
      <c r="M122" s="10"/>
    </row>
    <row r="123" spans="1:13" ht="23.25" x14ac:dyDescent="0.25">
      <c r="A123" s="13">
        <f t="shared" si="5"/>
        <v>110</v>
      </c>
      <c r="B123" s="13" t="s">
        <v>1274</v>
      </c>
      <c r="C123" s="370">
        <v>28</v>
      </c>
      <c r="D123" s="22">
        <v>10</v>
      </c>
      <c r="E123" s="22"/>
      <c r="F123" s="22"/>
      <c r="G123" s="22"/>
      <c r="H123" s="22"/>
      <c r="I123" s="371"/>
      <c r="J123" s="371"/>
      <c r="K123" s="371"/>
      <c r="L123" s="22">
        <f t="shared" si="4"/>
        <v>10</v>
      </c>
      <c r="M123" s="10"/>
    </row>
    <row r="124" spans="1:13" ht="23.25" x14ac:dyDescent="0.25">
      <c r="A124" s="13">
        <f t="shared" si="5"/>
        <v>111</v>
      </c>
      <c r="B124" s="13" t="s">
        <v>74</v>
      </c>
      <c r="C124" s="370">
        <v>30</v>
      </c>
      <c r="D124" s="22">
        <v>20</v>
      </c>
      <c r="E124" s="22"/>
      <c r="F124" s="22"/>
      <c r="G124" s="22"/>
      <c r="H124" s="22"/>
      <c r="I124" s="371"/>
      <c r="J124" s="371"/>
      <c r="K124" s="371"/>
      <c r="L124" s="22">
        <f t="shared" si="4"/>
        <v>20</v>
      </c>
      <c r="M124" s="10"/>
    </row>
    <row r="125" spans="1:13" ht="23.25" x14ac:dyDescent="0.25">
      <c r="A125" s="13">
        <f t="shared" si="5"/>
        <v>112</v>
      </c>
      <c r="B125" s="13" t="s">
        <v>75</v>
      </c>
      <c r="C125" s="370">
        <v>30</v>
      </c>
      <c r="D125" s="22">
        <v>500</v>
      </c>
      <c r="E125" s="22"/>
      <c r="F125" s="22"/>
      <c r="G125" s="22"/>
      <c r="H125" s="22"/>
      <c r="I125" s="371"/>
      <c r="J125" s="371"/>
      <c r="K125" s="371"/>
      <c r="L125" s="22">
        <f t="shared" si="4"/>
        <v>500</v>
      </c>
      <c r="M125" s="10"/>
    </row>
    <row r="126" spans="1:13" ht="23.25" x14ac:dyDescent="0.25">
      <c r="A126" s="13">
        <f t="shared" si="5"/>
        <v>113</v>
      </c>
      <c r="B126" s="13" t="s">
        <v>76</v>
      </c>
      <c r="C126" s="370">
        <v>30</v>
      </c>
      <c r="D126" s="22">
        <v>400</v>
      </c>
      <c r="E126" s="22"/>
      <c r="F126" s="22"/>
      <c r="G126" s="22"/>
      <c r="H126" s="22"/>
      <c r="I126" s="371"/>
      <c r="J126" s="371"/>
      <c r="K126" s="371"/>
      <c r="L126" s="22">
        <f t="shared" si="4"/>
        <v>400</v>
      </c>
      <c r="M126" s="10"/>
    </row>
    <row r="127" spans="1:13" ht="23.25" x14ac:dyDescent="0.25">
      <c r="A127" s="13">
        <f t="shared" si="5"/>
        <v>114</v>
      </c>
      <c r="B127" s="13" t="s">
        <v>77</v>
      </c>
      <c r="C127" s="370">
        <v>5</v>
      </c>
      <c r="D127" s="22">
        <v>500</v>
      </c>
      <c r="E127" s="22"/>
      <c r="F127" s="22"/>
      <c r="G127" s="22"/>
      <c r="H127" s="22"/>
      <c r="I127" s="371"/>
      <c r="J127" s="371"/>
      <c r="K127" s="371"/>
      <c r="L127" s="22">
        <f t="shared" si="4"/>
        <v>500</v>
      </c>
      <c r="M127" s="10"/>
    </row>
    <row r="128" spans="1:13" ht="23.25" x14ac:dyDescent="0.25">
      <c r="A128" s="13">
        <f t="shared" si="5"/>
        <v>115</v>
      </c>
      <c r="B128" s="13" t="s">
        <v>1275</v>
      </c>
      <c r="C128" s="370">
        <v>60</v>
      </c>
      <c r="D128" s="22">
        <v>10</v>
      </c>
      <c r="E128" s="22"/>
      <c r="F128" s="22"/>
      <c r="G128" s="22"/>
      <c r="H128" s="22"/>
      <c r="I128" s="371"/>
      <c r="J128" s="371"/>
      <c r="K128" s="371"/>
      <c r="L128" s="22">
        <f t="shared" si="4"/>
        <v>10</v>
      </c>
      <c r="M128" s="10"/>
    </row>
    <row r="129" spans="1:13" ht="23.25" x14ac:dyDescent="0.25">
      <c r="A129" s="13">
        <f t="shared" si="5"/>
        <v>116</v>
      </c>
      <c r="B129" s="13" t="s">
        <v>2063</v>
      </c>
      <c r="C129" s="370">
        <v>28</v>
      </c>
      <c r="D129" s="22">
        <v>10</v>
      </c>
      <c r="E129" s="22"/>
      <c r="F129" s="22"/>
      <c r="G129" s="22"/>
      <c r="H129" s="22"/>
      <c r="I129" s="371"/>
      <c r="J129" s="371"/>
      <c r="K129" s="371"/>
      <c r="L129" s="22">
        <f t="shared" si="4"/>
        <v>10</v>
      </c>
      <c r="M129" s="10"/>
    </row>
    <row r="130" spans="1:13" ht="23.25" x14ac:dyDescent="0.25">
      <c r="A130" s="13">
        <f t="shared" si="5"/>
        <v>117</v>
      </c>
      <c r="B130" s="13" t="s">
        <v>434</v>
      </c>
      <c r="C130" s="370">
        <v>100</v>
      </c>
      <c r="D130" s="22">
        <v>10</v>
      </c>
      <c r="E130" s="22"/>
      <c r="F130" s="22"/>
      <c r="G130" s="22"/>
      <c r="H130" s="22"/>
      <c r="I130" s="371"/>
      <c r="J130" s="371"/>
      <c r="K130" s="371"/>
      <c r="L130" s="22">
        <f t="shared" si="4"/>
        <v>10</v>
      </c>
      <c r="M130" s="10"/>
    </row>
    <row r="131" spans="1:13" ht="23.25" x14ac:dyDescent="0.25">
      <c r="A131" s="22"/>
      <c r="B131" s="13"/>
      <c r="C131" s="370"/>
      <c r="D131" s="22"/>
      <c r="E131" s="22"/>
      <c r="F131" s="22"/>
      <c r="G131" s="22"/>
      <c r="H131" s="22"/>
      <c r="I131" s="371"/>
      <c r="J131" s="371"/>
      <c r="K131" s="371"/>
      <c r="L131" s="22">
        <f t="shared" si="4"/>
        <v>0</v>
      </c>
      <c r="M131" s="10"/>
    </row>
    <row r="132" spans="1:13" ht="23.25" x14ac:dyDescent="0.25">
      <c r="A132" s="22"/>
      <c r="B132" s="13" t="s">
        <v>78</v>
      </c>
      <c r="C132" s="370"/>
      <c r="D132" s="22"/>
      <c r="E132" s="22"/>
      <c r="F132" s="22"/>
      <c r="G132" s="22"/>
      <c r="H132" s="22"/>
      <c r="I132" s="371"/>
      <c r="J132" s="371"/>
      <c r="K132" s="371"/>
      <c r="L132" s="22">
        <f t="shared" si="4"/>
        <v>0</v>
      </c>
      <c r="M132" s="10"/>
    </row>
    <row r="133" spans="1:13" ht="23.25" x14ac:dyDescent="0.25">
      <c r="A133" s="22">
        <f>A130+1</f>
        <v>118</v>
      </c>
      <c r="B133" s="13" t="s">
        <v>79</v>
      </c>
      <c r="C133" s="370">
        <v>100</v>
      </c>
      <c r="D133" s="22">
        <v>250</v>
      </c>
      <c r="E133" s="22"/>
      <c r="F133" s="22"/>
      <c r="G133" s="22"/>
      <c r="H133" s="22"/>
      <c r="I133" s="371"/>
      <c r="J133" s="371"/>
      <c r="K133" s="371"/>
      <c r="L133" s="22">
        <f t="shared" si="4"/>
        <v>250</v>
      </c>
      <c r="M133" s="10"/>
    </row>
    <row r="134" spans="1:13" ht="23.25" x14ac:dyDescent="0.25">
      <c r="A134" s="22">
        <f t="shared" ref="A134:A156" si="6">A133+1</f>
        <v>119</v>
      </c>
      <c r="B134" s="13" t="s">
        <v>80</v>
      </c>
      <c r="C134" s="370">
        <v>30</v>
      </c>
      <c r="D134" s="22">
        <v>2000</v>
      </c>
      <c r="E134" s="22"/>
      <c r="F134" s="22"/>
      <c r="G134" s="22"/>
      <c r="H134" s="22"/>
      <c r="I134" s="371"/>
      <c r="J134" s="371"/>
      <c r="K134" s="371"/>
      <c r="L134" s="22">
        <f t="shared" si="4"/>
        <v>2000</v>
      </c>
      <c r="M134" s="10"/>
    </row>
    <row r="135" spans="1:13" ht="23.25" x14ac:dyDescent="0.25">
      <c r="A135" s="22">
        <f t="shared" si="6"/>
        <v>120</v>
      </c>
      <c r="B135" s="13" t="s">
        <v>81</v>
      </c>
      <c r="C135" s="370">
        <v>30</v>
      </c>
      <c r="D135" s="22">
        <v>1200</v>
      </c>
      <c r="E135" s="22"/>
      <c r="F135" s="22"/>
      <c r="G135" s="22"/>
      <c r="H135" s="22"/>
      <c r="I135" s="371"/>
      <c r="J135" s="371"/>
      <c r="K135" s="371"/>
      <c r="L135" s="22">
        <f t="shared" si="4"/>
        <v>1200</v>
      </c>
      <c r="M135" s="10"/>
    </row>
    <row r="136" spans="1:13" ht="23.25" x14ac:dyDescent="0.25">
      <c r="A136" s="22">
        <f t="shared" si="6"/>
        <v>121</v>
      </c>
      <c r="B136" s="13" t="s">
        <v>82</v>
      </c>
      <c r="C136" s="370">
        <v>30</v>
      </c>
      <c r="D136" s="22">
        <v>1000</v>
      </c>
      <c r="E136" s="22"/>
      <c r="F136" s="22"/>
      <c r="G136" s="22"/>
      <c r="H136" s="22"/>
      <c r="I136" s="177"/>
      <c r="J136" s="177"/>
      <c r="K136" s="177"/>
      <c r="L136" s="22">
        <f t="shared" si="4"/>
        <v>1000</v>
      </c>
      <c r="M136" s="10"/>
    </row>
    <row r="137" spans="1:13" ht="23.25" x14ac:dyDescent="0.25">
      <c r="A137" s="22">
        <f t="shared" si="6"/>
        <v>122</v>
      </c>
      <c r="B137" s="13" t="s">
        <v>1276</v>
      </c>
      <c r="C137" s="370" t="s">
        <v>455</v>
      </c>
      <c r="D137" s="22">
        <v>20</v>
      </c>
      <c r="E137" s="22"/>
      <c r="F137" s="22"/>
      <c r="G137" s="22"/>
      <c r="H137" s="22"/>
      <c r="I137" s="177"/>
      <c r="J137" s="177"/>
      <c r="K137" s="177"/>
      <c r="L137" s="22">
        <f t="shared" ref="L137:L200" si="7">SUM(D137:K137)</f>
        <v>20</v>
      </c>
      <c r="M137" s="10"/>
    </row>
    <row r="138" spans="1:13" ht="23.25" x14ac:dyDescent="0.25">
      <c r="A138" s="22">
        <f t="shared" si="6"/>
        <v>123</v>
      </c>
      <c r="B138" s="13" t="s">
        <v>1277</v>
      </c>
      <c r="C138" s="370" t="s">
        <v>966</v>
      </c>
      <c r="D138" s="22">
        <v>100</v>
      </c>
      <c r="E138" s="22"/>
      <c r="F138" s="22"/>
      <c r="G138" s="22"/>
      <c r="H138" s="22"/>
      <c r="I138" s="371"/>
      <c r="J138" s="371"/>
      <c r="K138" s="371"/>
      <c r="L138" s="22">
        <f t="shared" si="7"/>
        <v>100</v>
      </c>
      <c r="M138" s="10"/>
    </row>
    <row r="139" spans="1:13" ht="23.25" x14ac:dyDescent="0.25">
      <c r="A139" s="22">
        <f t="shared" si="6"/>
        <v>124</v>
      </c>
      <c r="B139" s="13" t="s">
        <v>1278</v>
      </c>
      <c r="C139" s="370">
        <v>5</v>
      </c>
      <c r="D139" s="22">
        <v>10</v>
      </c>
      <c r="E139" s="22"/>
      <c r="F139" s="22"/>
      <c r="G139" s="22"/>
      <c r="H139" s="22"/>
      <c r="I139" s="371"/>
      <c r="J139" s="371"/>
      <c r="K139" s="371"/>
      <c r="L139" s="22">
        <f t="shared" si="7"/>
        <v>10</v>
      </c>
      <c r="M139" s="10"/>
    </row>
    <row r="140" spans="1:13" ht="23.25" x14ac:dyDescent="0.25">
      <c r="A140" s="22">
        <f t="shared" si="6"/>
        <v>125</v>
      </c>
      <c r="B140" s="13" t="s">
        <v>1279</v>
      </c>
      <c r="C140" s="370">
        <v>5</v>
      </c>
      <c r="D140" s="22">
        <v>10</v>
      </c>
      <c r="E140" s="22"/>
      <c r="F140" s="22"/>
      <c r="G140" s="22"/>
      <c r="H140" s="22"/>
      <c r="I140" s="371"/>
      <c r="J140" s="371"/>
      <c r="K140" s="371"/>
      <c r="L140" s="22">
        <f t="shared" si="7"/>
        <v>10</v>
      </c>
      <c r="M140" s="10"/>
    </row>
    <row r="141" spans="1:13" ht="23.25" x14ac:dyDescent="0.25">
      <c r="A141" s="22">
        <f t="shared" si="6"/>
        <v>126</v>
      </c>
      <c r="B141" s="13" t="s">
        <v>716</v>
      </c>
      <c r="C141" s="370">
        <v>5</v>
      </c>
      <c r="D141" s="22">
        <v>120</v>
      </c>
      <c r="E141" s="22"/>
      <c r="F141" s="22"/>
      <c r="G141" s="22"/>
      <c r="H141" s="22"/>
      <c r="I141" s="371"/>
      <c r="J141" s="371"/>
      <c r="K141" s="371"/>
      <c r="L141" s="22">
        <f t="shared" si="7"/>
        <v>120</v>
      </c>
      <c r="M141" s="10"/>
    </row>
    <row r="142" spans="1:13" ht="23.25" x14ac:dyDescent="0.25">
      <c r="A142" s="22">
        <f t="shared" si="6"/>
        <v>127</v>
      </c>
      <c r="B142" s="13" t="s">
        <v>742</v>
      </c>
      <c r="C142" s="370" t="s">
        <v>57</v>
      </c>
      <c r="D142" s="22">
        <v>900</v>
      </c>
      <c r="E142" s="22"/>
      <c r="F142" s="22"/>
      <c r="G142" s="22"/>
      <c r="H142" s="22"/>
      <c r="I142" s="371"/>
      <c r="J142" s="371"/>
      <c r="K142" s="371"/>
      <c r="L142" s="22">
        <f t="shared" si="7"/>
        <v>900</v>
      </c>
      <c r="M142" s="10"/>
    </row>
    <row r="143" spans="1:13" ht="23.25" x14ac:dyDescent="0.25">
      <c r="A143" s="22">
        <f t="shared" si="6"/>
        <v>128</v>
      </c>
      <c r="B143" s="13" t="s">
        <v>706</v>
      </c>
      <c r="C143" s="370">
        <v>5</v>
      </c>
      <c r="D143" s="22">
        <v>40</v>
      </c>
      <c r="E143" s="22"/>
      <c r="F143" s="22"/>
      <c r="G143" s="22"/>
      <c r="H143" s="22"/>
      <c r="I143" s="371"/>
      <c r="J143" s="371"/>
      <c r="K143" s="371"/>
      <c r="L143" s="22">
        <f t="shared" si="7"/>
        <v>40</v>
      </c>
      <c r="M143" s="10"/>
    </row>
    <row r="144" spans="1:13" ht="23.25" x14ac:dyDescent="0.25">
      <c r="A144" s="22">
        <f t="shared" si="6"/>
        <v>129</v>
      </c>
      <c r="B144" s="13" t="s">
        <v>435</v>
      </c>
      <c r="C144" s="370">
        <v>5</v>
      </c>
      <c r="D144" s="22">
        <v>50</v>
      </c>
      <c r="E144" s="22"/>
      <c r="F144" s="22"/>
      <c r="G144" s="22"/>
      <c r="H144" s="22"/>
      <c r="I144" s="371"/>
      <c r="J144" s="371"/>
      <c r="K144" s="371"/>
      <c r="L144" s="22">
        <f t="shared" si="7"/>
        <v>50</v>
      </c>
      <c r="M144" s="10"/>
    </row>
    <row r="145" spans="1:13" ht="23.25" x14ac:dyDescent="0.25">
      <c r="A145" s="22">
        <f t="shared" si="6"/>
        <v>130</v>
      </c>
      <c r="B145" s="13" t="s">
        <v>83</v>
      </c>
      <c r="C145" s="370">
        <v>5</v>
      </c>
      <c r="D145" s="22">
        <v>20</v>
      </c>
      <c r="E145" s="22"/>
      <c r="F145" s="22"/>
      <c r="G145" s="22"/>
      <c r="H145" s="22"/>
      <c r="I145" s="371"/>
      <c r="J145" s="371"/>
      <c r="K145" s="371"/>
      <c r="L145" s="22">
        <f t="shared" si="7"/>
        <v>20</v>
      </c>
      <c r="M145" s="10"/>
    </row>
    <row r="146" spans="1:13" ht="23.25" x14ac:dyDescent="0.25">
      <c r="A146" s="22">
        <f t="shared" si="6"/>
        <v>131</v>
      </c>
      <c r="B146" s="13" t="s">
        <v>1280</v>
      </c>
      <c r="C146" s="370">
        <v>100</v>
      </c>
      <c r="D146" s="22">
        <v>200</v>
      </c>
      <c r="E146" s="22"/>
      <c r="F146" s="22"/>
      <c r="G146" s="22"/>
      <c r="H146" s="22"/>
      <c r="I146" s="371"/>
      <c r="J146" s="371"/>
      <c r="K146" s="371"/>
      <c r="L146" s="22">
        <f t="shared" si="7"/>
        <v>200</v>
      </c>
      <c r="M146" s="10"/>
    </row>
    <row r="147" spans="1:13" ht="23.25" x14ac:dyDescent="0.25">
      <c r="A147" s="22">
        <f t="shared" si="6"/>
        <v>132</v>
      </c>
      <c r="B147" s="13" t="s">
        <v>1281</v>
      </c>
      <c r="C147" s="370">
        <v>100</v>
      </c>
      <c r="D147" s="22">
        <v>200</v>
      </c>
      <c r="E147" s="22"/>
      <c r="F147" s="22"/>
      <c r="G147" s="22"/>
      <c r="H147" s="22"/>
      <c r="I147" s="371"/>
      <c r="J147" s="371"/>
      <c r="K147" s="371"/>
      <c r="L147" s="22">
        <f t="shared" si="7"/>
        <v>200</v>
      </c>
      <c r="M147" s="10"/>
    </row>
    <row r="148" spans="1:13" ht="23.25" x14ac:dyDescent="0.25">
      <c r="A148" s="22">
        <f t="shared" si="6"/>
        <v>133</v>
      </c>
      <c r="B148" s="13" t="s">
        <v>84</v>
      </c>
      <c r="C148" s="370">
        <v>100</v>
      </c>
      <c r="D148" s="22">
        <v>1200</v>
      </c>
      <c r="E148" s="22"/>
      <c r="F148" s="22"/>
      <c r="G148" s="22"/>
      <c r="H148" s="22"/>
      <c r="I148" s="371"/>
      <c r="J148" s="371"/>
      <c r="K148" s="371"/>
      <c r="L148" s="22">
        <f t="shared" si="7"/>
        <v>1200</v>
      </c>
      <c r="M148" s="10"/>
    </row>
    <row r="149" spans="1:13" ht="23.25" x14ac:dyDescent="0.25">
      <c r="A149" s="22">
        <f t="shared" si="6"/>
        <v>134</v>
      </c>
      <c r="B149" s="13" t="s">
        <v>85</v>
      </c>
      <c r="C149" s="370">
        <v>100</v>
      </c>
      <c r="D149" s="22">
        <v>2500</v>
      </c>
      <c r="E149" s="22"/>
      <c r="F149" s="22"/>
      <c r="G149" s="22"/>
      <c r="H149" s="22"/>
      <c r="I149" s="371"/>
      <c r="J149" s="371"/>
      <c r="K149" s="371"/>
      <c r="L149" s="22">
        <f t="shared" si="7"/>
        <v>2500</v>
      </c>
      <c r="M149" s="10"/>
    </row>
    <row r="150" spans="1:13" ht="23.25" x14ac:dyDescent="0.25">
      <c r="A150" s="22">
        <f t="shared" si="6"/>
        <v>135</v>
      </c>
      <c r="B150" s="13" t="s">
        <v>436</v>
      </c>
      <c r="C150" s="370">
        <v>5</v>
      </c>
      <c r="D150" s="22">
        <v>80</v>
      </c>
      <c r="E150" s="22"/>
      <c r="F150" s="22"/>
      <c r="G150" s="22"/>
      <c r="H150" s="22"/>
      <c r="I150" s="371"/>
      <c r="J150" s="371"/>
      <c r="K150" s="371"/>
      <c r="L150" s="22">
        <f t="shared" si="7"/>
        <v>80</v>
      </c>
      <c r="M150" s="10"/>
    </row>
    <row r="151" spans="1:13" ht="23.25" x14ac:dyDescent="0.25">
      <c r="A151" s="22">
        <f t="shared" si="6"/>
        <v>136</v>
      </c>
      <c r="B151" s="13" t="s">
        <v>683</v>
      </c>
      <c r="C151" s="370">
        <v>30</v>
      </c>
      <c r="D151" s="22">
        <v>10</v>
      </c>
      <c r="E151" s="22"/>
      <c r="F151" s="22"/>
      <c r="G151" s="22"/>
      <c r="H151" s="22"/>
      <c r="I151" s="371"/>
      <c r="J151" s="371"/>
      <c r="K151" s="371"/>
      <c r="L151" s="22">
        <f t="shared" si="7"/>
        <v>10</v>
      </c>
      <c r="M151" s="10"/>
    </row>
    <row r="152" spans="1:13" ht="23.25" x14ac:dyDescent="0.25">
      <c r="A152" s="22">
        <f t="shared" si="6"/>
        <v>137</v>
      </c>
      <c r="B152" s="13" t="s">
        <v>715</v>
      </c>
      <c r="C152" s="370">
        <v>5</v>
      </c>
      <c r="D152" s="22">
        <v>100</v>
      </c>
      <c r="E152" s="22"/>
      <c r="F152" s="22"/>
      <c r="G152" s="22"/>
      <c r="H152" s="22"/>
      <c r="I152" s="177"/>
      <c r="J152" s="177"/>
      <c r="K152" s="177"/>
      <c r="L152" s="22">
        <f t="shared" si="7"/>
        <v>100</v>
      </c>
      <c r="M152" s="10"/>
    </row>
    <row r="153" spans="1:13" ht="23.25" x14ac:dyDescent="0.25">
      <c r="A153" s="22">
        <f t="shared" si="6"/>
        <v>138</v>
      </c>
      <c r="B153" s="13" t="s">
        <v>743</v>
      </c>
      <c r="C153" s="370" t="s">
        <v>57</v>
      </c>
      <c r="D153" s="22">
        <v>600</v>
      </c>
      <c r="E153" s="22"/>
      <c r="F153" s="22"/>
      <c r="G153" s="22"/>
      <c r="H153" s="22"/>
      <c r="I153" s="371"/>
      <c r="J153" s="371"/>
      <c r="K153" s="371"/>
      <c r="L153" s="22">
        <f t="shared" si="7"/>
        <v>600</v>
      </c>
      <c r="M153" s="10"/>
    </row>
    <row r="154" spans="1:13" ht="23.25" x14ac:dyDescent="0.25">
      <c r="A154" s="22">
        <f t="shared" si="6"/>
        <v>139</v>
      </c>
      <c r="B154" s="13" t="s">
        <v>86</v>
      </c>
      <c r="C154" s="370">
        <v>28</v>
      </c>
      <c r="D154" s="22">
        <v>100</v>
      </c>
      <c r="E154" s="22"/>
      <c r="F154" s="22"/>
      <c r="G154" s="22"/>
      <c r="H154" s="22"/>
      <c r="I154" s="371"/>
      <c r="J154" s="371"/>
      <c r="K154" s="371"/>
      <c r="L154" s="22">
        <f t="shared" si="7"/>
        <v>100</v>
      </c>
      <c r="M154" s="10"/>
    </row>
    <row r="155" spans="1:13" ht="23.25" x14ac:dyDescent="0.25">
      <c r="A155" s="22">
        <f t="shared" si="6"/>
        <v>140</v>
      </c>
      <c r="B155" s="13" t="s">
        <v>1282</v>
      </c>
      <c r="C155" s="370">
        <v>60</v>
      </c>
      <c r="D155" s="22">
        <v>100</v>
      </c>
      <c r="E155" s="22"/>
      <c r="F155" s="22"/>
      <c r="G155" s="22"/>
      <c r="H155" s="22"/>
      <c r="I155" s="371"/>
      <c r="J155" s="371"/>
      <c r="K155" s="371"/>
      <c r="L155" s="22">
        <f t="shared" si="7"/>
        <v>100</v>
      </c>
      <c r="M155" s="10"/>
    </row>
    <row r="156" spans="1:13" ht="23.25" x14ac:dyDescent="0.25">
      <c r="A156" s="22">
        <f t="shared" si="6"/>
        <v>141</v>
      </c>
      <c r="B156" s="13" t="s">
        <v>1283</v>
      </c>
      <c r="C156" s="370">
        <v>60</v>
      </c>
      <c r="D156" s="22">
        <v>100</v>
      </c>
      <c r="E156" s="22"/>
      <c r="F156" s="22"/>
      <c r="G156" s="22"/>
      <c r="H156" s="22"/>
      <c r="I156" s="371"/>
      <c r="J156" s="371"/>
      <c r="K156" s="371"/>
      <c r="L156" s="22">
        <f t="shared" si="7"/>
        <v>100</v>
      </c>
      <c r="M156" s="10"/>
    </row>
    <row r="157" spans="1:13" ht="23.25" x14ac:dyDescent="0.25">
      <c r="A157" s="22"/>
      <c r="B157" s="13"/>
      <c r="C157" s="370"/>
      <c r="D157" s="22"/>
      <c r="E157" s="22"/>
      <c r="F157" s="22"/>
      <c r="G157" s="22"/>
      <c r="H157" s="22"/>
      <c r="I157" s="371"/>
      <c r="J157" s="371"/>
      <c r="K157" s="371"/>
      <c r="L157" s="22">
        <f t="shared" si="7"/>
        <v>0</v>
      </c>
      <c r="M157" s="10"/>
    </row>
    <row r="158" spans="1:13" ht="23.25" x14ac:dyDescent="0.25">
      <c r="A158" s="22"/>
      <c r="B158" s="13"/>
      <c r="C158" s="370"/>
      <c r="D158" s="22"/>
      <c r="E158" s="22"/>
      <c r="F158" s="22"/>
      <c r="G158" s="22"/>
      <c r="H158" s="22"/>
      <c r="I158" s="371"/>
      <c r="J158" s="371"/>
      <c r="K158" s="371"/>
      <c r="L158" s="22">
        <f t="shared" si="7"/>
        <v>0</v>
      </c>
      <c r="M158" s="10"/>
    </row>
    <row r="159" spans="1:13" ht="23.25" x14ac:dyDescent="0.25">
      <c r="A159" s="22" t="s">
        <v>88</v>
      </c>
      <c r="B159" s="13" t="s">
        <v>89</v>
      </c>
      <c r="C159" s="370"/>
      <c r="D159" s="22"/>
      <c r="E159" s="22"/>
      <c r="F159" s="22"/>
      <c r="G159" s="22"/>
      <c r="H159" s="22"/>
      <c r="I159" s="371"/>
      <c r="J159" s="371"/>
      <c r="K159" s="371"/>
      <c r="L159" s="22">
        <f t="shared" si="7"/>
        <v>0</v>
      </c>
      <c r="M159" s="10"/>
    </row>
    <row r="160" spans="1:13" ht="23.25" x14ac:dyDescent="0.25">
      <c r="A160" s="22">
        <f>1+A156</f>
        <v>142</v>
      </c>
      <c r="B160" s="13" t="s">
        <v>90</v>
      </c>
      <c r="C160" s="370">
        <v>30</v>
      </c>
      <c r="D160" s="22">
        <v>50</v>
      </c>
      <c r="E160" s="22"/>
      <c r="F160" s="22"/>
      <c r="G160" s="22"/>
      <c r="H160" s="22"/>
      <c r="I160" s="371"/>
      <c r="J160" s="371"/>
      <c r="K160" s="371"/>
      <c r="L160" s="22">
        <f t="shared" si="7"/>
        <v>50</v>
      </c>
      <c r="M160" s="10"/>
    </row>
    <row r="161" spans="1:13" ht="23.25" x14ac:dyDescent="0.25">
      <c r="A161" s="22">
        <f>A160+1</f>
        <v>143</v>
      </c>
      <c r="B161" s="13" t="s">
        <v>91</v>
      </c>
      <c r="C161" s="370">
        <v>28</v>
      </c>
      <c r="D161" s="22">
        <v>500</v>
      </c>
      <c r="E161" s="22"/>
      <c r="F161" s="22"/>
      <c r="G161" s="22"/>
      <c r="H161" s="22"/>
      <c r="I161" s="371"/>
      <c r="J161" s="371"/>
      <c r="K161" s="371"/>
      <c r="L161" s="22">
        <f t="shared" si="7"/>
        <v>500</v>
      </c>
      <c r="M161" s="10"/>
    </row>
    <row r="162" spans="1:13" ht="23.25" x14ac:dyDescent="0.25">
      <c r="A162" s="22">
        <f>A161+1</f>
        <v>144</v>
      </c>
      <c r="B162" s="13" t="s">
        <v>92</v>
      </c>
      <c r="C162" s="370">
        <v>28</v>
      </c>
      <c r="D162" s="22">
        <v>100</v>
      </c>
      <c r="E162" s="22"/>
      <c r="F162" s="22"/>
      <c r="G162" s="22"/>
      <c r="H162" s="22"/>
      <c r="I162" s="371"/>
      <c r="J162" s="371"/>
      <c r="K162" s="371"/>
      <c r="L162" s="22">
        <f t="shared" si="7"/>
        <v>100</v>
      </c>
      <c r="M162" s="10"/>
    </row>
    <row r="163" spans="1:13" ht="23.25" x14ac:dyDescent="0.25">
      <c r="A163" s="22">
        <f>A162+1</f>
        <v>145</v>
      </c>
      <c r="B163" s="13" t="s">
        <v>1284</v>
      </c>
      <c r="C163" s="370">
        <v>30</v>
      </c>
      <c r="D163" s="22">
        <v>400</v>
      </c>
      <c r="E163" s="22"/>
      <c r="F163" s="22"/>
      <c r="G163" s="22"/>
      <c r="H163" s="22"/>
      <c r="I163" s="371"/>
      <c r="J163" s="371"/>
      <c r="K163" s="371"/>
      <c r="L163" s="22">
        <f t="shared" si="7"/>
        <v>400</v>
      </c>
      <c r="M163" s="10"/>
    </row>
    <row r="164" spans="1:13" ht="23.25" x14ac:dyDescent="0.25">
      <c r="A164" s="22">
        <f>A163+1</f>
        <v>146</v>
      </c>
      <c r="B164" s="13" t="s">
        <v>93</v>
      </c>
      <c r="C164" s="370">
        <v>100</v>
      </c>
      <c r="D164" s="22">
        <v>500</v>
      </c>
      <c r="E164" s="22"/>
      <c r="F164" s="22"/>
      <c r="G164" s="22"/>
      <c r="H164" s="22"/>
      <c r="I164" s="371"/>
      <c r="J164" s="371"/>
      <c r="K164" s="371"/>
      <c r="L164" s="22">
        <f t="shared" si="7"/>
        <v>500</v>
      </c>
      <c r="M164" s="10"/>
    </row>
    <row r="165" spans="1:13" ht="23.25" x14ac:dyDescent="0.25">
      <c r="A165" s="22">
        <f t="shared" ref="A165:A168" si="8">A164+1</f>
        <v>147</v>
      </c>
      <c r="B165" s="13" t="s">
        <v>94</v>
      </c>
      <c r="C165" s="370">
        <v>100</v>
      </c>
      <c r="D165" s="22">
        <v>2000</v>
      </c>
      <c r="E165" s="22"/>
      <c r="F165" s="22"/>
      <c r="G165" s="22"/>
      <c r="H165" s="22"/>
      <c r="I165" s="371"/>
      <c r="J165" s="371"/>
      <c r="K165" s="371"/>
      <c r="L165" s="22">
        <f t="shared" si="7"/>
        <v>2000</v>
      </c>
      <c r="M165" s="10"/>
    </row>
    <row r="166" spans="1:13" ht="23.25" x14ac:dyDescent="0.25">
      <c r="A166" s="22">
        <f t="shared" si="8"/>
        <v>148</v>
      </c>
      <c r="B166" s="22" t="s">
        <v>288</v>
      </c>
      <c r="C166" s="372">
        <v>100</v>
      </c>
      <c r="D166" s="22">
        <v>200</v>
      </c>
      <c r="E166" s="22"/>
      <c r="F166" s="22"/>
      <c r="G166" s="22"/>
      <c r="H166" s="22"/>
      <c r="I166" s="371"/>
      <c r="J166" s="371"/>
      <c r="K166" s="371"/>
      <c r="L166" s="22">
        <f t="shared" si="7"/>
        <v>200</v>
      </c>
      <c r="M166" s="10"/>
    </row>
    <row r="167" spans="1:13" ht="23.25" x14ac:dyDescent="0.25">
      <c r="A167" s="22">
        <f t="shared" si="8"/>
        <v>149</v>
      </c>
      <c r="B167" s="22" t="s">
        <v>289</v>
      </c>
      <c r="C167" s="372">
        <v>100</v>
      </c>
      <c r="D167" s="22">
        <v>200</v>
      </c>
      <c r="E167" s="22"/>
      <c r="F167" s="22"/>
      <c r="G167" s="22"/>
      <c r="H167" s="22"/>
      <c r="I167" s="371"/>
      <c r="J167" s="371"/>
      <c r="K167" s="371"/>
      <c r="L167" s="22">
        <f t="shared" si="7"/>
        <v>200</v>
      </c>
      <c r="M167" s="10"/>
    </row>
    <row r="168" spans="1:13" ht="23.25" x14ac:dyDescent="0.25">
      <c r="A168" s="22">
        <f t="shared" si="8"/>
        <v>150</v>
      </c>
      <c r="B168" s="22" t="s">
        <v>1285</v>
      </c>
      <c r="C168" s="372">
        <v>20</v>
      </c>
      <c r="D168" s="22">
        <v>1200</v>
      </c>
      <c r="E168" s="22"/>
      <c r="F168" s="22"/>
      <c r="G168" s="22"/>
      <c r="H168" s="22"/>
      <c r="I168" s="371"/>
      <c r="J168" s="371"/>
      <c r="K168" s="371"/>
      <c r="L168" s="22">
        <f t="shared" si="7"/>
        <v>1200</v>
      </c>
      <c r="M168" s="10"/>
    </row>
    <row r="169" spans="1:13" ht="23.25" x14ac:dyDescent="0.25">
      <c r="A169" s="22">
        <f>A168+1</f>
        <v>151</v>
      </c>
      <c r="B169" s="13" t="s">
        <v>95</v>
      </c>
      <c r="C169" s="370">
        <v>100</v>
      </c>
      <c r="D169" s="22">
        <v>1000</v>
      </c>
      <c r="E169" s="22"/>
      <c r="F169" s="22"/>
      <c r="G169" s="22"/>
      <c r="H169" s="22"/>
      <c r="I169" s="371"/>
      <c r="J169" s="371"/>
      <c r="K169" s="371"/>
      <c r="L169" s="22">
        <f t="shared" si="7"/>
        <v>1000</v>
      </c>
      <c r="M169" s="10"/>
    </row>
    <row r="170" spans="1:13" ht="23.25" x14ac:dyDescent="0.25">
      <c r="A170" s="22">
        <f t="shared" ref="A170:A211" si="9">A169+1</f>
        <v>152</v>
      </c>
      <c r="B170" s="13" t="s">
        <v>96</v>
      </c>
      <c r="C170" s="370">
        <v>100</v>
      </c>
      <c r="D170" s="22">
        <v>120</v>
      </c>
      <c r="E170" s="22"/>
      <c r="F170" s="22"/>
      <c r="G170" s="22"/>
      <c r="H170" s="22"/>
      <c r="I170" s="371"/>
      <c r="J170" s="371"/>
      <c r="K170" s="371"/>
      <c r="L170" s="22">
        <f t="shared" si="7"/>
        <v>120</v>
      </c>
      <c r="M170" s="10"/>
    </row>
    <row r="171" spans="1:13" ht="23.25" x14ac:dyDescent="0.25">
      <c r="A171" s="22">
        <f t="shared" si="9"/>
        <v>153</v>
      </c>
      <c r="B171" s="13" t="s">
        <v>510</v>
      </c>
      <c r="C171" s="370">
        <v>30</v>
      </c>
      <c r="D171" s="22">
        <v>40</v>
      </c>
      <c r="E171" s="22"/>
      <c r="F171" s="22"/>
      <c r="G171" s="22"/>
      <c r="H171" s="22"/>
      <c r="I171" s="371"/>
      <c r="J171" s="371"/>
      <c r="K171" s="371"/>
      <c r="L171" s="22">
        <f t="shared" si="7"/>
        <v>40</v>
      </c>
      <c r="M171" s="10"/>
    </row>
    <row r="172" spans="1:13" ht="23.25" x14ac:dyDescent="0.25">
      <c r="A172" s="22">
        <f t="shared" si="9"/>
        <v>154</v>
      </c>
      <c r="B172" s="13" t="s">
        <v>1286</v>
      </c>
      <c r="C172" s="370">
        <v>100</v>
      </c>
      <c r="D172" s="22">
        <v>400</v>
      </c>
      <c r="E172" s="22"/>
      <c r="F172" s="22"/>
      <c r="G172" s="22"/>
      <c r="H172" s="22"/>
      <c r="I172" s="177"/>
      <c r="J172" s="177"/>
      <c r="K172" s="177"/>
      <c r="L172" s="22">
        <f t="shared" si="7"/>
        <v>400</v>
      </c>
      <c r="M172" s="10"/>
    </row>
    <row r="173" spans="1:13" ht="23.25" x14ac:dyDescent="0.25">
      <c r="A173" s="22">
        <f t="shared" si="9"/>
        <v>155</v>
      </c>
      <c r="B173" s="13" t="s">
        <v>97</v>
      </c>
      <c r="C173" s="370">
        <v>20</v>
      </c>
      <c r="D173" s="22">
        <v>2000</v>
      </c>
      <c r="E173" s="22"/>
      <c r="F173" s="22"/>
      <c r="G173" s="22"/>
      <c r="H173" s="22"/>
      <c r="I173" s="177"/>
      <c r="J173" s="177"/>
      <c r="K173" s="177"/>
      <c r="L173" s="22">
        <f t="shared" si="7"/>
        <v>2000</v>
      </c>
      <c r="M173" s="10"/>
    </row>
    <row r="174" spans="1:13" ht="23.25" x14ac:dyDescent="0.25">
      <c r="A174" s="22">
        <f t="shared" si="9"/>
        <v>156</v>
      </c>
      <c r="B174" s="13" t="s">
        <v>439</v>
      </c>
      <c r="C174" s="370" t="s">
        <v>656</v>
      </c>
      <c r="D174" s="22">
        <v>3200</v>
      </c>
      <c r="E174" s="22"/>
      <c r="F174" s="22"/>
      <c r="G174" s="22"/>
      <c r="H174" s="22"/>
      <c r="I174" s="177"/>
      <c r="J174" s="177"/>
      <c r="K174" s="177"/>
      <c r="L174" s="22">
        <f t="shared" si="7"/>
        <v>3200</v>
      </c>
      <c r="M174" s="10"/>
    </row>
    <row r="175" spans="1:13" ht="23.25" x14ac:dyDescent="0.25">
      <c r="A175" s="22">
        <f t="shared" si="9"/>
        <v>157</v>
      </c>
      <c r="B175" s="13" t="s">
        <v>98</v>
      </c>
      <c r="C175" s="370">
        <v>100</v>
      </c>
      <c r="D175" s="22">
        <v>400</v>
      </c>
      <c r="E175" s="22"/>
      <c r="F175" s="22"/>
      <c r="G175" s="22"/>
      <c r="H175" s="22"/>
      <c r="I175" s="177"/>
      <c r="J175" s="177"/>
      <c r="K175" s="177"/>
      <c r="L175" s="22">
        <f t="shared" si="7"/>
        <v>400</v>
      </c>
      <c r="M175" s="10"/>
    </row>
    <row r="176" spans="1:13" ht="23.25" x14ac:dyDescent="0.25">
      <c r="A176" s="22">
        <f t="shared" si="9"/>
        <v>158</v>
      </c>
      <c r="B176" s="13" t="s">
        <v>1287</v>
      </c>
      <c r="C176" s="370">
        <v>20</v>
      </c>
      <c r="D176" s="22">
        <v>400</v>
      </c>
      <c r="E176" s="22"/>
      <c r="F176" s="22"/>
      <c r="G176" s="22"/>
      <c r="H176" s="22"/>
      <c r="I176" s="177"/>
      <c r="J176" s="177"/>
      <c r="K176" s="177"/>
      <c r="L176" s="22">
        <f t="shared" si="7"/>
        <v>400</v>
      </c>
      <c r="M176" s="10"/>
    </row>
    <row r="177" spans="1:13" ht="23.25" x14ac:dyDescent="0.25">
      <c r="A177" s="22">
        <f t="shared" si="9"/>
        <v>159</v>
      </c>
      <c r="B177" s="13" t="s">
        <v>511</v>
      </c>
      <c r="C177" s="370">
        <v>100</v>
      </c>
      <c r="D177" s="22">
        <v>32</v>
      </c>
      <c r="E177" s="22"/>
      <c r="F177" s="22"/>
      <c r="G177" s="22"/>
      <c r="H177" s="22"/>
      <c r="I177" s="177"/>
      <c r="J177" s="177"/>
      <c r="K177" s="177"/>
      <c r="L177" s="22">
        <f t="shared" si="7"/>
        <v>32</v>
      </c>
      <c r="M177" s="10"/>
    </row>
    <row r="178" spans="1:13" ht="23.25" x14ac:dyDescent="0.25">
      <c r="A178" s="22">
        <f t="shared" si="9"/>
        <v>160</v>
      </c>
      <c r="B178" s="13" t="s">
        <v>444</v>
      </c>
      <c r="C178" s="370">
        <v>20</v>
      </c>
      <c r="D178" s="22">
        <v>100</v>
      </c>
      <c r="E178" s="22"/>
      <c r="F178" s="22"/>
      <c r="G178" s="22"/>
      <c r="H178" s="22"/>
      <c r="I178" s="177"/>
      <c r="J178" s="177"/>
      <c r="K178" s="177"/>
      <c r="L178" s="22">
        <f t="shared" si="7"/>
        <v>100</v>
      </c>
      <c r="M178" s="10"/>
    </row>
    <row r="179" spans="1:13" ht="23.25" x14ac:dyDescent="0.25">
      <c r="A179" s="22">
        <f t="shared" si="9"/>
        <v>161</v>
      </c>
      <c r="B179" s="13" t="s">
        <v>99</v>
      </c>
      <c r="C179" s="370">
        <v>100</v>
      </c>
      <c r="D179" s="22">
        <v>200</v>
      </c>
      <c r="E179" s="22"/>
      <c r="F179" s="22"/>
      <c r="G179" s="22"/>
      <c r="H179" s="22"/>
      <c r="I179" s="177"/>
      <c r="J179" s="177"/>
      <c r="K179" s="177"/>
      <c r="L179" s="22">
        <f t="shared" si="7"/>
        <v>200</v>
      </c>
      <c r="M179" s="10"/>
    </row>
    <row r="180" spans="1:13" ht="23.25" x14ac:dyDescent="0.25">
      <c r="A180" s="22">
        <f t="shared" si="9"/>
        <v>162</v>
      </c>
      <c r="B180" s="13" t="s">
        <v>100</v>
      </c>
      <c r="C180" s="370">
        <v>100</v>
      </c>
      <c r="D180" s="22">
        <v>200</v>
      </c>
      <c r="E180" s="22"/>
      <c r="F180" s="22"/>
      <c r="G180" s="22"/>
      <c r="H180" s="22"/>
      <c r="I180" s="177"/>
      <c r="J180" s="177"/>
      <c r="K180" s="177"/>
      <c r="L180" s="22">
        <f t="shared" si="7"/>
        <v>200</v>
      </c>
      <c r="M180" s="10"/>
    </row>
    <row r="181" spans="1:13" ht="23.25" x14ac:dyDescent="0.25">
      <c r="A181" s="22">
        <f t="shared" si="9"/>
        <v>163</v>
      </c>
      <c r="B181" s="13" t="s">
        <v>1288</v>
      </c>
      <c r="C181" s="370" t="s">
        <v>144</v>
      </c>
      <c r="D181" s="22">
        <v>800</v>
      </c>
      <c r="E181" s="22"/>
      <c r="F181" s="22"/>
      <c r="G181" s="22"/>
      <c r="H181" s="22"/>
      <c r="I181" s="177"/>
      <c r="J181" s="177"/>
      <c r="K181" s="177"/>
      <c r="L181" s="22">
        <f t="shared" si="7"/>
        <v>800</v>
      </c>
      <c r="M181" s="10"/>
    </row>
    <row r="182" spans="1:13" ht="23.25" x14ac:dyDescent="0.25">
      <c r="A182" s="22">
        <f t="shared" si="9"/>
        <v>164</v>
      </c>
      <c r="B182" s="13" t="s">
        <v>1289</v>
      </c>
      <c r="C182" s="370" t="s">
        <v>656</v>
      </c>
      <c r="D182" s="22">
        <v>1200</v>
      </c>
      <c r="E182" s="22"/>
      <c r="F182" s="22"/>
      <c r="G182" s="22"/>
      <c r="H182" s="22"/>
      <c r="I182" s="177"/>
      <c r="J182" s="177"/>
      <c r="K182" s="177"/>
      <c r="L182" s="22">
        <f t="shared" si="7"/>
        <v>1200</v>
      </c>
      <c r="M182" s="10"/>
    </row>
    <row r="183" spans="1:13" ht="23.25" x14ac:dyDescent="0.25">
      <c r="A183" s="22">
        <f t="shared" si="9"/>
        <v>165</v>
      </c>
      <c r="B183" s="13" t="s">
        <v>1290</v>
      </c>
      <c r="C183" s="370" t="s">
        <v>656</v>
      </c>
      <c r="D183" s="22">
        <v>600</v>
      </c>
      <c r="E183" s="22"/>
      <c r="F183" s="22"/>
      <c r="G183" s="22"/>
      <c r="H183" s="22"/>
      <c r="I183" s="177"/>
      <c r="J183" s="177"/>
      <c r="K183" s="177"/>
      <c r="L183" s="22">
        <f t="shared" si="7"/>
        <v>600</v>
      </c>
      <c r="M183" s="10"/>
    </row>
    <row r="184" spans="1:13" ht="23.25" x14ac:dyDescent="0.25">
      <c r="A184" s="22">
        <f t="shared" si="9"/>
        <v>166</v>
      </c>
      <c r="B184" s="13" t="s">
        <v>1291</v>
      </c>
      <c r="C184" s="370" t="s">
        <v>656</v>
      </c>
      <c r="D184" s="22">
        <v>200</v>
      </c>
      <c r="E184" s="22"/>
      <c r="F184" s="22"/>
      <c r="G184" s="22"/>
      <c r="H184" s="22"/>
      <c r="I184" s="177"/>
      <c r="J184" s="177"/>
      <c r="K184" s="177"/>
      <c r="L184" s="22">
        <f t="shared" si="7"/>
        <v>200</v>
      </c>
      <c r="M184" s="10"/>
    </row>
    <row r="185" spans="1:13" ht="23.25" x14ac:dyDescent="0.25">
      <c r="A185" s="22">
        <f t="shared" si="9"/>
        <v>167</v>
      </c>
      <c r="B185" s="13" t="s">
        <v>445</v>
      </c>
      <c r="C185" s="370">
        <v>100</v>
      </c>
      <c r="D185" s="22">
        <v>60</v>
      </c>
      <c r="E185" s="22"/>
      <c r="F185" s="22"/>
      <c r="G185" s="22"/>
      <c r="H185" s="22"/>
      <c r="I185" s="177"/>
      <c r="J185" s="177"/>
      <c r="K185" s="177"/>
      <c r="L185" s="22">
        <f t="shared" si="7"/>
        <v>60</v>
      </c>
      <c r="M185" s="10"/>
    </row>
    <row r="186" spans="1:13" ht="23.25" x14ac:dyDescent="0.25">
      <c r="A186" s="22">
        <f t="shared" si="9"/>
        <v>168</v>
      </c>
      <c r="B186" s="13" t="s">
        <v>701</v>
      </c>
      <c r="C186" s="370">
        <v>10</v>
      </c>
      <c r="D186" s="22">
        <v>40</v>
      </c>
      <c r="E186" s="22"/>
      <c r="F186" s="22"/>
      <c r="G186" s="22"/>
      <c r="H186" s="22"/>
      <c r="I186" s="177"/>
      <c r="J186" s="177"/>
      <c r="K186" s="177"/>
      <c r="L186" s="22">
        <f t="shared" si="7"/>
        <v>40</v>
      </c>
      <c r="M186" s="10"/>
    </row>
    <row r="187" spans="1:13" ht="23.25" x14ac:dyDescent="0.25">
      <c r="A187" s="22">
        <f t="shared" si="9"/>
        <v>169</v>
      </c>
      <c r="B187" s="22" t="s">
        <v>446</v>
      </c>
      <c r="C187" s="372" t="s">
        <v>57</v>
      </c>
      <c r="D187" s="22">
        <v>300</v>
      </c>
      <c r="E187" s="22"/>
      <c r="F187" s="22"/>
      <c r="G187" s="22"/>
      <c r="H187" s="22"/>
      <c r="I187" s="177"/>
      <c r="J187" s="177"/>
      <c r="K187" s="177"/>
      <c r="L187" s="22">
        <f t="shared" si="7"/>
        <v>300</v>
      </c>
      <c r="M187" s="10"/>
    </row>
    <row r="188" spans="1:13" ht="23.25" x14ac:dyDescent="0.25">
      <c r="A188" s="22">
        <f t="shared" si="9"/>
        <v>170</v>
      </c>
      <c r="B188" s="13" t="s">
        <v>744</v>
      </c>
      <c r="C188" s="370">
        <v>30</v>
      </c>
      <c r="D188" s="22">
        <v>1500</v>
      </c>
      <c r="E188" s="22"/>
      <c r="F188" s="22"/>
      <c r="G188" s="22"/>
      <c r="H188" s="22"/>
      <c r="I188" s="177"/>
      <c r="J188" s="177"/>
      <c r="K188" s="177"/>
      <c r="L188" s="22">
        <f t="shared" si="7"/>
        <v>1500</v>
      </c>
      <c r="M188" s="10"/>
    </row>
    <row r="189" spans="1:13" ht="23.25" x14ac:dyDescent="0.25">
      <c r="A189" s="22">
        <f t="shared" si="9"/>
        <v>171</v>
      </c>
      <c r="B189" s="13" t="s">
        <v>440</v>
      </c>
      <c r="C189" s="370">
        <v>10</v>
      </c>
      <c r="D189" s="22">
        <v>4</v>
      </c>
      <c r="E189" s="22"/>
      <c r="F189" s="22"/>
      <c r="G189" s="22"/>
      <c r="H189" s="22"/>
      <c r="I189" s="177"/>
      <c r="J189" s="177"/>
      <c r="K189" s="177"/>
      <c r="L189" s="22">
        <f t="shared" si="7"/>
        <v>4</v>
      </c>
      <c r="M189" s="10"/>
    </row>
    <row r="190" spans="1:13" ht="23.25" x14ac:dyDescent="0.25">
      <c r="A190" s="22">
        <f t="shared" si="9"/>
        <v>172</v>
      </c>
      <c r="B190" s="13" t="s">
        <v>441</v>
      </c>
      <c r="C190" s="370">
        <v>10</v>
      </c>
      <c r="D190" s="22">
        <v>4</v>
      </c>
      <c r="E190" s="22"/>
      <c r="F190" s="22"/>
      <c r="G190" s="22"/>
      <c r="H190" s="22"/>
      <c r="I190" s="177"/>
      <c r="J190" s="177"/>
      <c r="K190" s="177"/>
      <c r="L190" s="22">
        <f t="shared" si="7"/>
        <v>4</v>
      </c>
      <c r="M190" s="10"/>
    </row>
    <row r="191" spans="1:13" ht="23.25" x14ac:dyDescent="0.25">
      <c r="A191" s="22">
        <f t="shared" si="9"/>
        <v>173</v>
      </c>
      <c r="B191" s="13" t="s">
        <v>437</v>
      </c>
      <c r="C191" s="370" t="s">
        <v>438</v>
      </c>
      <c r="D191" s="22">
        <v>10</v>
      </c>
      <c r="E191" s="22"/>
      <c r="F191" s="22"/>
      <c r="G191" s="22"/>
      <c r="H191" s="22"/>
      <c r="I191" s="177"/>
      <c r="J191" s="177"/>
      <c r="K191" s="177"/>
      <c r="L191" s="22">
        <f t="shared" si="7"/>
        <v>10</v>
      </c>
      <c r="M191" s="10"/>
    </row>
    <row r="192" spans="1:13" ht="23.25" x14ac:dyDescent="0.25">
      <c r="A192" s="22">
        <f t="shared" si="9"/>
        <v>174</v>
      </c>
      <c r="B192" s="13" t="s">
        <v>1292</v>
      </c>
      <c r="C192" s="370" t="s">
        <v>455</v>
      </c>
      <c r="D192" s="22">
        <v>40</v>
      </c>
      <c r="E192" s="22"/>
      <c r="F192" s="22"/>
      <c r="G192" s="22"/>
      <c r="H192" s="22"/>
      <c r="I192" s="177"/>
      <c r="J192" s="177"/>
      <c r="K192" s="177"/>
      <c r="L192" s="22">
        <f t="shared" si="7"/>
        <v>40</v>
      </c>
      <c r="M192" s="10"/>
    </row>
    <row r="193" spans="1:13" ht="23.25" x14ac:dyDescent="0.25">
      <c r="A193" s="22">
        <f t="shared" si="9"/>
        <v>175</v>
      </c>
      <c r="B193" s="13" t="s">
        <v>1293</v>
      </c>
      <c r="C193" s="370">
        <v>32</v>
      </c>
      <c r="D193" s="22">
        <v>40</v>
      </c>
      <c r="E193" s="22"/>
      <c r="F193" s="22"/>
      <c r="G193" s="22"/>
      <c r="H193" s="22"/>
      <c r="I193" s="177"/>
      <c r="J193" s="177"/>
      <c r="K193" s="177"/>
      <c r="L193" s="22">
        <f t="shared" si="7"/>
        <v>40</v>
      </c>
      <c r="M193" s="10"/>
    </row>
    <row r="194" spans="1:13" ht="23.25" x14ac:dyDescent="0.25">
      <c r="A194" s="22">
        <f t="shared" si="9"/>
        <v>176</v>
      </c>
      <c r="B194" s="13" t="s">
        <v>1294</v>
      </c>
      <c r="C194" s="370">
        <v>100</v>
      </c>
      <c r="D194" s="22">
        <v>20</v>
      </c>
      <c r="E194" s="22"/>
      <c r="F194" s="22"/>
      <c r="G194" s="22"/>
      <c r="H194" s="22"/>
      <c r="I194" s="177"/>
      <c r="J194" s="177"/>
      <c r="K194" s="177"/>
      <c r="L194" s="22">
        <f t="shared" si="7"/>
        <v>20</v>
      </c>
      <c r="M194" s="10"/>
    </row>
    <row r="195" spans="1:13" ht="23.25" x14ac:dyDescent="0.25">
      <c r="A195" s="22">
        <f t="shared" si="9"/>
        <v>177</v>
      </c>
      <c r="B195" s="13" t="s">
        <v>103</v>
      </c>
      <c r="C195" s="370">
        <v>100</v>
      </c>
      <c r="D195" s="22">
        <v>1600</v>
      </c>
      <c r="E195" s="22"/>
      <c r="F195" s="22"/>
      <c r="G195" s="22"/>
      <c r="H195" s="22"/>
      <c r="I195" s="177"/>
      <c r="J195" s="177"/>
      <c r="K195" s="177"/>
      <c r="L195" s="22">
        <f t="shared" si="7"/>
        <v>1600</v>
      </c>
      <c r="M195" s="10"/>
    </row>
    <row r="196" spans="1:13" ht="23.25" x14ac:dyDescent="0.25">
      <c r="A196" s="22">
        <f t="shared" si="9"/>
        <v>178</v>
      </c>
      <c r="B196" s="13" t="s">
        <v>104</v>
      </c>
      <c r="C196" s="370">
        <v>100</v>
      </c>
      <c r="D196" s="22">
        <v>80</v>
      </c>
      <c r="E196" s="22"/>
      <c r="F196" s="22"/>
      <c r="G196" s="22"/>
      <c r="H196" s="22"/>
      <c r="I196" s="177"/>
      <c r="J196" s="177"/>
      <c r="K196" s="177"/>
      <c r="L196" s="22">
        <f t="shared" si="7"/>
        <v>80</v>
      </c>
      <c r="M196" s="10"/>
    </row>
    <row r="197" spans="1:13" ht="23.25" x14ac:dyDescent="0.25">
      <c r="A197" s="22">
        <f t="shared" si="9"/>
        <v>179</v>
      </c>
      <c r="B197" s="13" t="s">
        <v>1408</v>
      </c>
      <c r="C197" s="370">
        <v>100</v>
      </c>
      <c r="D197" s="22">
        <v>1000</v>
      </c>
      <c r="E197" s="22"/>
      <c r="F197" s="22"/>
      <c r="G197" s="22"/>
      <c r="H197" s="22"/>
      <c r="I197" s="177"/>
      <c r="J197" s="177"/>
      <c r="K197" s="177"/>
      <c r="L197" s="22">
        <f t="shared" si="7"/>
        <v>1000</v>
      </c>
      <c r="M197" s="10"/>
    </row>
    <row r="198" spans="1:13" ht="23.25" x14ac:dyDescent="0.25">
      <c r="A198" s="22">
        <f t="shared" si="9"/>
        <v>180</v>
      </c>
      <c r="B198" s="13" t="s">
        <v>1409</v>
      </c>
      <c r="C198" s="370">
        <v>100</v>
      </c>
      <c r="D198" s="22">
        <v>1000</v>
      </c>
      <c r="E198" s="22"/>
      <c r="F198" s="22"/>
      <c r="G198" s="22"/>
      <c r="H198" s="22"/>
      <c r="I198" s="177"/>
      <c r="J198" s="177"/>
      <c r="K198" s="177"/>
      <c r="L198" s="22">
        <f t="shared" si="7"/>
        <v>1000</v>
      </c>
      <c r="M198" s="10"/>
    </row>
    <row r="199" spans="1:13" ht="23.25" x14ac:dyDescent="0.25">
      <c r="A199" s="22">
        <f t="shared" si="9"/>
        <v>181</v>
      </c>
      <c r="B199" s="13" t="s">
        <v>105</v>
      </c>
      <c r="C199" s="370">
        <v>96</v>
      </c>
      <c r="D199" s="22">
        <v>4000</v>
      </c>
      <c r="E199" s="22"/>
      <c r="F199" s="22"/>
      <c r="G199" s="22"/>
      <c r="H199" s="22"/>
      <c r="I199" s="177"/>
      <c r="J199" s="177"/>
      <c r="K199" s="177"/>
      <c r="L199" s="22">
        <f t="shared" si="7"/>
        <v>4000</v>
      </c>
      <c r="M199" s="10"/>
    </row>
    <row r="200" spans="1:13" ht="23.25" x14ac:dyDescent="0.25">
      <c r="A200" s="22">
        <f t="shared" si="9"/>
        <v>182</v>
      </c>
      <c r="B200" s="13" t="s">
        <v>106</v>
      </c>
      <c r="C200" s="370" t="s">
        <v>144</v>
      </c>
      <c r="D200" s="22">
        <v>30000</v>
      </c>
      <c r="E200" s="22"/>
      <c r="F200" s="22"/>
      <c r="G200" s="22"/>
      <c r="H200" s="22"/>
      <c r="I200" s="177"/>
      <c r="J200" s="177"/>
      <c r="K200" s="177"/>
      <c r="L200" s="22">
        <f t="shared" si="7"/>
        <v>30000</v>
      </c>
      <c r="M200" s="10"/>
    </row>
    <row r="201" spans="1:13" ht="23.25" x14ac:dyDescent="0.25">
      <c r="A201" s="22">
        <f t="shared" si="9"/>
        <v>183</v>
      </c>
      <c r="B201" s="13" t="s">
        <v>107</v>
      </c>
      <c r="C201" s="370" t="s">
        <v>144</v>
      </c>
      <c r="D201" s="22">
        <v>3000</v>
      </c>
      <c r="E201" s="22"/>
      <c r="F201" s="22"/>
      <c r="G201" s="22"/>
      <c r="H201" s="22"/>
      <c r="I201" s="177"/>
      <c r="J201" s="177"/>
      <c r="K201" s="177"/>
      <c r="L201" s="22">
        <f t="shared" ref="L201:L264" si="10">SUM(D201:K201)</f>
        <v>3000</v>
      </c>
      <c r="M201" s="10"/>
    </row>
    <row r="202" spans="1:13" ht="23.25" x14ac:dyDescent="0.25">
      <c r="A202" s="22">
        <f t="shared" si="9"/>
        <v>184</v>
      </c>
      <c r="B202" s="13" t="s">
        <v>745</v>
      </c>
      <c r="C202" s="370">
        <v>100</v>
      </c>
      <c r="D202" s="22">
        <v>120</v>
      </c>
      <c r="E202" s="22"/>
      <c r="F202" s="22"/>
      <c r="G202" s="22"/>
      <c r="H202" s="22"/>
      <c r="I202" s="177"/>
      <c r="J202" s="177"/>
      <c r="K202" s="177"/>
      <c r="L202" s="22">
        <f t="shared" si="10"/>
        <v>120</v>
      </c>
      <c r="M202" s="10"/>
    </row>
    <row r="203" spans="1:13" ht="23.25" x14ac:dyDescent="0.25">
      <c r="A203" s="22">
        <f t="shared" si="9"/>
        <v>185</v>
      </c>
      <c r="B203" s="13" t="s">
        <v>443</v>
      </c>
      <c r="C203" s="370">
        <v>10</v>
      </c>
      <c r="D203" s="22">
        <v>50</v>
      </c>
      <c r="E203" s="22"/>
      <c r="F203" s="22"/>
      <c r="G203" s="22"/>
      <c r="H203" s="22"/>
      <c r="I203" s="177"/>
      <c r="J203" s="177"/>
      <c r="K203" s="177"/>
      <c r="L203" s="22">
        <f t="shared" si="10"/>
        <v>50</v>
      </c>
      <c r="M203" s="10"/>
    </row>
    <row r="204" spans="1:13" ht="23.25" x14ac:dyDescent="0.25">
      <c r="A204" s="22">
        <f t="shared" si="9"/>
        <v>186</v>
      </c>
      <c r="B204" s="13" t="s">
        <v>442</v>
      </c>
      <c r="C204" s="370">
        <v>10</v>
      </c>
      <c r="D204" s="22">
        <v>50</v>
      </c>
      <c r="E204" s="22"/>
      <c r="F204" s="22"/>
      <c r="G204" s="22"/>
      <c r="H204" s="22"/>
      <c r="I204" s="177"/>
      <c r="J204" s="177"/>
      <c r="K204" s="177"/>
      <c r="L204" s="22">
        <f t="shared" si="10"/>
        <v>50</v>
      </c>
      <c r="M204" s="10"/>
    </row>
    <row r="205" spans="1:13" ht="23.25" x14ac:dyDescent="0.25">
      <c r="A205" s="22">
        <f t="shared" si="9"/>
        <v>187</v>
      </c>
      <c r="B205" s="13" t="s">
        <v>1295</v>
      </c>
      <c r="C205" s="370">
        <v>30</v>
      </c>
      <c r="D205" s="22">
        <v>30</v>
      </c>
      <c r="E205" s="22"/>
      <c r="F205" s="22"/>
      <c r="G205" s="22"/>
      <c r="H205" s="22"/>
      <c r="I205" s="177"/>
      <c r="J205" s="177"/>
      <c r="K205" s="177"/>
      <c r="L205" s="22">
        <f t="shared" si="10"/>
        <v>30</v>
      </c>
      <c r="M205" s="10"/>
    </row>
    <row r="206" spans="1:13" ht="23.25" x14ac:dyDescent="0.25">
      <c r="A206" s="22">
        <f t="shared" si="9"/>
        <v>188</v>
      </c>
      <c r="B206" s="13" t="s">
        <v>108</v>
      </c>
      <c r="C206" s="370">
        <v>30</v>
      </c>
      <c r="D206" s="22">
        <v>2400</v>
      </c>
      <c r="E206" s="22"/>
      <c r="F206" s="22"/>
      <c r="G206" s="22"/>
      <c r="H206" s="22"/>
      <c r="I206" s="177"/>
      <c r="J206" s="177"/>
      <c r="K206" s="177"/>
      <c r="L206" s="22">
        <f t="shared" si="10"/>
        <v>2400</v>
      </c>
      <c r="M206" s="10"/>
    </row>
    <row r="207" spans="1:13" ht="23.25" x14ac:dyDescent="0.25">
      <c r="A207" s="22">
        <f t="shared" si="9"/>
        <v>189</v>
      </c>
      <c r="B207" s="13" t="s">
        <v>717</v>
      </c>
      <c r="C207" s="370">
        <v>100</v>
      </c>
      <c r="D207" s="22">
        <v>50</v>
      </c>
      <c r="E207" s="22"/>
      <c r="F207" s="22"/>
      <c r="G207" s="22"/>
      <c r="H207" s="22"/>
      <c r="I207" s="177"/>
      <c r="J207" s="177"/>
      <c r="K207" s="177"/>
      <c r="L207" s="22">
        <f t="shared" si="10"/>
        <v>50</v>
      </c>
      <c r="M207" s="10"/>
    </row>
    <row r="208" spans="1:13" ht="23.25" x14ac:dyDescent="0.25">
      <c r="A208" s="22">
        <f t="shared" si="9"/>
        <v>190</v>
      </c>
      <c r="B208" s="13" t="s">
        <v>109</v>
      </c>
      <c r="C208" s="370">
        <v>10</v>
      </c>
      <c r="D208" s="22">
        <v>1200</v>
      </c>
      <c r="E208" s="22"/>
      <c r="F208" s="22"/>
      <c r="G208" s="22"/>
      <c r="H208" s="22"/>
      <c r="I208" s="177"/>
      <c r="J208" s="177"/>
      <c r="K208" s="177"/>
      <c r="L208" s="22">
        <f t="shared" si="10"/>
        <v>1200</v>
      </c>
      <c r="M208" s="10"/>
    </row>
    <row r="209" spans="1:13" ht="23.25" x14ac:dyDescent="0.25">
      <c r="A209" s="22">
        <f t="shared" si="9"/>
        <v>191</v>
      </c>
      <c r="B209" s="13" t="s">
        <v>110</v>
      </c>
      <c r="C209" s="370">
        <v>30</v>
      </c>
      <c r="D209" s="22">
        <v>1200</v>
      </c>
      <c r="E209" s="22"/>
      <c r="F209" s="22"/>
      <c r="G209" s="22"/>
      <c r="H209" s="22"/>
      <c r="I209" s="177"/>
      <c r="J209" s="177"/>
      <c r="K209" s="177"/>
      <c r="L209" s="22">
        <f t="shared" si="10"/>
        <v>1200</v>
      </c>
      <c r="M209" s="10"/>
    </row>
    <row r="210" spans="1:13" ht="23.25" x14ac:dyDescent="0.25">
      <c r="A210" s="22">
        <f t="shared" si="9"/>
        <v>192</v>
      </c>
      <c r="B210" s="13" t="s">
        <v>111</v>
      </c>
      <c r="C210" s="370">
        <v>100</v>
      </c>
      <c r="D210" s="22">
        <v>4</v>
      </c>
      <c r="E210" s="22"/>
      <c r="F210" s="22"/>
      <c r="G210" s="22"/>
      <c r="H210" s="22"/>
      <c r="I210" s="177"/>
      <c r="J210" s="177"/>
      <c r="K210" s="177"/>
      <c r="L210" s="22">
        <f t="shared" si="10"/>
        <v>4</v>
      </c>
      <c r="M210" s="10"/>
    </row>
    <row r="211" spans="1:13" ht="23.25" x14ac:dyDescent="0.25">
      <c r="A211" s="22">
        <f t="shared" si="9"/>
        <v>193</v>
      </c>
      <c r="B211" s="13" t="s">
        <v>112</v>
      </c>
      <c r="C211" s="370">
        <v>100</v>
      </c>
      <c r="D211" s="22">
        <v>300</v>
      </c>
      <c r="E211" s="22"/>
      <c r="F211" s="22"/>
      <c r="G211" s="22"/>
      <c r="H211" s="22"/>
      <c r="I211" s="177"/>
      <c r="J211" s="177"/>
      <c r="K211" s="177"/>
      <c r="L211" s="22">
        <f t="shared" si="10"/>
        <v>300</v>
      </c>
      <c r="M211" s="10"/>
    </row>
    <row r="212" spans="1:13" ht="23.25" x14ac:dyDescent="0.25">
      <c r="A212" s="22"/>
      <c r="B212" s="22"/>
      <c r="C212" s="372"/>
      <c r="D212" s="22"/>
      <c r="E212" s="22"/>
      <c r="F212" s="22"/>
      <c r="G212" s="22"/>
      <c r="H212" s="22"/>
      <c r="I212" s="177"/>
      <c r="J212" s="177"/>
      <c r="K212" s="177"/>
      <c r="L212" s="22">
        <f t="shared" si="10"/>
        <v>0</v>
      </c>
      <c r="M212" s="10"/>
    </row>
    <row r="213" spans="1:13" ht="23.25" x14ac:dyDescent="0.25">
      <c r="A213" s="22"/>
      <c r="B213" s="22"/>
      <c r="C213" s="372"/>
      <c r="D213" s="22"/>
      <c r="E213" s="22"/>
      <c r="F213" s="22"/>
      <c r="G213" s="22"/>
      <c r="H213" s="22"/>
      <c r="I213" s="177"/>
      <c r="J213" s="177"/>
      <c r="K213" s="177"/>
      <c r="L213" s="22">
        <f t="shared" si="10"/>
        <v>0</v>
      </c>
      <c r="M213" s="10"/>
    </row>
    <row r="214" spans="1:13" ht="23.25" x14ac:dyDescent="0.25">
      <c r="A214" s="22" t="s">
        <v>113</v>
      </c>
      <c r="B214" s="22" t="s">
        <v>114</v>
      </c>
      <c r="C214" s="372"/>
      <c r="D214" s="22"/>
      <c r="E214" s="22"/>
      <c r="F214" s="22"/>
      <c r="G214" s="22"/>
      <c r="H214" s="22"/>
      <c r="I214" s="177"/>
      <c r="J214" s="177"/>
      <c r="K214" s="177"/>
      <c r="L214" s="22">
        <f t="shared" si="10"/>
        <v>0</v>
      </c>
      <c r="M214" s="10"/>
    </row>
    <row r="215" spans="1:13" ht="23.25" x14ac:dyDescent="0.25">
      <c r="A215" s="22">
        <f>A211+1</f>
        <v>194</v>
      </c>
      <c r="B215" s="22" t="s">
        <v>718</v>
      </c>
      <c r="C215" s="372">
        <v>25</v>
      </c>
      <c r="D215" s="22">
        <v>60</v>
      </c>
      <c r="E215" s="22"/>
      <c r="F215" s="22"/>
      <c r="G215" s="22"/>
      <c r="H215" s="22"/>
      <c r="I215" s="177"/>
      <c r="J215" s="177"/>
      <c r="K215" s="177"/>
      <c r="L215" s="22">
        <f t="shared" si="10"/>
        <v>60</v>
      </c>
      <c r="M215" s="10"/>
    </row>
    <row r="216" spans="1:13" ht="23.25" x14ac:dyDescent="0.25">
      <c r="A216" s="22">
        <f t="shared" ref="A216:A279" si="11">A215+1</f>
        <v>195</v>
      </c>
      <c r="B216" s="22" t="s">
        <v>115</v>
      </c>
      <c r="C216" s="372">
        <v>25</v>
      </c>
      <c r="D216" s="22">
        <v>100</v>
      </c>
      <c r="E216" s="22"/>
      <c r="F216" s="22"/>
      <c r="G216" s="22"/>
      <c r="H216" s="22"/>
      <c r="I216" s="177"/>
      <c r="J216" s="177"/>
      <c r="K216" s="177"/>
      <c r="L216" s="22">
        <f t="shared" si="10"/>
        <v>100</v>
      </c>
      <c r="M216" s="10"/>
    </row>
    <row r="217" spans="1:13" ht="23.25" x14ac:dyDescent="0.25">
      <c r="A217" s="22">
        <f t="shared" si="11"/>
        <v>196</v>
      </c>
      <c r="B217" s="22" t="s">
        <v>116</v>
      </c>
      <c r="C217" s="372" t="s">
        <v>57</v>
      </c>
      <c r="D217" s="22">
        <v>1200</v>
      </c>
      <c r="E217" s="22"/>
      <c r="F217" s="22"/>
      <c r="G217" s="22"/>
      <c r="H217" s="22"/>
      <c r="I217" s="177"/>
      <c r="J217" s="177"/>
      <c r="K217" s="177"/>
      <c r="L217" s="22">
        <f t="shared" si="10"/>
        <v>1200</v>
      </c>
      <c r="M217" s="10"/>
    </row>
    <row r="218" spans="1:13" ht="23.25" x14ac:dyDescent="0.25">
      <c r="A218" s="13">
        <f t="shared" si="11"/>
        <v>197</v>
      </c>
      <c r="B218" s="13" t="s">
        <v>1296</v>
      </c>
      <c r="C218" s="370" t="s">
        <v>144</v>
      </c>
      <c r="D218" s="13">
        <v>1600</v>
      </c>
      <c r="E218" s="13"/>
      <c r="F218" s="13"/>
      <c r="G218" s="13"/>
      <c r="H218" s="13"/>
      <c r="I218" s="177"/>
      <c r="J218" s="177"/>
      <c r="K218" s="177"/>
      <c r="L218" s="22">
        <f t="shared" si="10"/>
        <v>1600</v>
      </c>
      <c r="M218" s="10"/>
    </row>
    <row r="219" spans="1:13" ht="23.25" x14ac:dyDescent="0.25">
      <c r="A219" s="13">
        <f t="shared" si="11"/>
        <v>198</v>
      </c>
      <c r="B219" s="22" t="s">
        <v>117</v>
      </c>
      <c r="C219" s="372">
        <v>100</v>
      </c>
      <c r="D219" s="22">
        <v>200</v>
      </c>
      <c r="E219" s="22"/>
      <c r="F219" s="22"/>
      <c r="G219" s="22"/>
      <c r="H219" s="22"/>
      <c r="I219" s="177"/>
      <c r="J219" s="177"/>
      <c r="K219" s="177"/>
      <c r="L219" s="22">
        <f t="shared" si="10"/>
        <v>200</v>
      </c>
      <c r="M219" s="10"/>
    </row>
    <row r="220" spans="1:13" ht="23.25" x14ac:dyDescent="0.25">
      <c r="A220" s="13">
        <f t="shared" si="11"/>
        <v>199</v>
      </c>
      <c r="B220" s="22" t="s">
        <v>1297</v>
      </c>
      <c r="C220" s="372">
        <v>100</v>
      </c>
      <c r="D220" s="22">
        <v>52</v>
      </c>
      <c r="E220" s="22"/>
      <c r="F220" s="22"/>
      <c r="G220" s="22"/>
      <c r="H220" s="22"/>
      <c r="I220" s="177"/>
      <c r="J220" s="177"/>
      <c r="K220" s="177"/>
      <c r="L220" s="22">
        <f t="shared" si="10"/>
        <v>52</v>
      </c>
      <c r="M220" s="10"/>
    </row>
    <row r="221" spans="1:13" ht="23.25" x14ac:dyDescent="0.25">
      <c r="A221" s="13">
        <f t="shared" si="11"/>
        <v>200</v>
      </c>
      <c r="B221" s="22" t="s">
        <v>118</v>
      </c>
      <c r="C221" s="372">
        <v>100</v>
      </c>
      <c r="D221" s="22">
        <v>1000</v>
      </c>
      <c r="E221" s="22"/>
      <c r="F221" s="22"/>
      <c r="G221" s="22"/>
      <c r="H221" s="22"/>
      <c r="I221" s="177"/>
      <c r="J221" s="177"/>
      <c r="K221" s="177"/>
      <c r="L221" s="22">
        <f t="shared" si="10"/>
        <v>1000</v>
      </c>
      <c r="M221" s="10"/>
    </row>
    <row r="222" spans="1:13" ht="23.25" x14ac:dyDescent="0.25">
      <c r="A222" s="13">
        <f t="shared" si="11"/>
        <v>201</v>
      </c>
      <c r="B222" s="22" t="s">
        <v>119</v>
      </c>
      <c r="C222" s="372" t="s">
        <v>57</v>
      </c>
      <c r="D222" s="22">
        <v>500</v>
      </c>
      <c r="E222" s="22"/>
      <c r="F222" s="22"/>
      <c r="G222" s="22"/>
      <c r="H222" s="22"/>
      <c r="I222" s="177"/>
      <c r="J222" s="177"/>
      <c r="K222" s="177"/>
      <c r="L222" s="22">
        <f t="shared" si="10"/>
        <v>500</v>
      </c>
      <c r="M222" s="10"/>
    </row>
    <row r="223" spans="1:13" ht="23.25" x14ac:dyDescent="0.25">
      <c r="A223" s="13">
        <f t="shared" si="11"/>
        <v>202</v>
      </c>
      <c r="B223" s="22" t="s">
        <v>120</v>
      </c>
      <c r="C223" s="372" t="s">
        <v>144</v>
      </c>
      <c r="D223" s="22">
        <v>1000</v>
      </c>
      <c r="E223" s="22"/>
      <c r="F223" s="22"/>
      <c r="G223" s="22"/>
      <c r="H223" s="22"/>
      <c r="I223" s="177"/>
      <c r="J223" s="177"/>
      <c r="K223" s="177"/>
      <c r="L223" s="22">
        <f t="shared" si="10"/>
        <v>1000</v>
      </c>
      <c r="M223" s="10"/>
    </row>
    <row r="224" spans="1:13" ht="23.25" x14ac:dyDescent="0.25">
      <c r="A224" s="13">
        <f t="shared" si="11"/>
        <v>203</v>
      </c>
      <c r="B224" s="22" t="s">
        <v>1298</v>
      </c>
      <c r="C224" s="372" t="s">
        <v>144</v>
      </c>
      <c r="D224" s="22">
        <v>200</v>
      </c>
      <c r="E224" s="22"/>
      <c r="F224" s="22"/>
      <c r="G224" s="22"/>
      <c r="H224" s="22"/>
      <c r="I224" s="177"/>
      <c r="J224" s="177"/>
      <c r="K224" s="177"/>
      <c r="L224" s="22">
        <f t="shared" si="10"/>
        <v>200</v>
      </c>
      <c r="M224" s="10"/>
    </row>
    <row r="225" spans="1:13" ht="23.25" x14ac:dyDescent="0.25">
      <c r="A225" s="13">
        <f t="shared" si="11"/>
        <v>204</v>
      </c>
      <c r="B225" s="22" t="s">
        <v>121</v>
      </c>
      <c r="C225" s="372" t="s">
        <v>57</v>
      </c>
      <c r="D225" s="22">
        <v>10000</v>
      </c>
      <c r="E225" s="22"/>
      <c r="F225" s="22"/>
      <c r="G225" s="22"/>
      <c r="H225" s="22"/>
      <c r="I225" s="177"/>
      <c r="J225" s="177"/>
      <c r="K225" s="177"/>
      <c r="L225" s="22">
        <f t="shared" si="10"/>
        <v>10000</v>
      </c>
      <c r="M225" s="10"/>
    </row>
    <row r="226" spans="1:13" ht="23.25" x14ac:dyDescent="0.25">
      <c r="A226" s="22">
        <f t="shared" si="11"/>
        <v>205</v>
      </c>
      <c r="B226" s="22" t="s">
        <v>122</v>
      </c>
      <c r="C226" s="372">
        <v>14</v>
      </c>
      <c r="D226" s="22">
        <v>4000</v>
      </c>
      <c r="E226" s="22"/>
      <c r="F226" s="22"/>
      <c r="G226" s="22"/>
      <c r="H226" s="22"/>
      <c r="I226" s="177"/>
      <c r="J226" s="177"/>
      <c r="K226" s="177"/>
      <c r="L226" s="22">
        <f t="shared" si="10"/>
        <v>4000</v>
      </c>
      <c r="M226" s="10"/>
    </row>
    <row r="227" spans="1:13" ht="23.25" x14ac:dyDescent="0.25">
      <c r="A227" s="22">
        <f t="shared" si="11"/>
        <v>206</v>
      </c>
      <c r="B227" s="22" t="s">
        <v>123</v>
      </c>
      <c r="C227" s="372">
        <v>14</v>
      </c>
      <c r="D227" s="22">
        <v>600</v>
      </c>
      <c r="E227" s="22"/>
      <c r="F227" s="22"/>
      <c r="G227" s="22"/>
      <c r="H227" s="22"/>
      <c r="I227" s="177"/>
      <c r="J227" s="177"/>
      <c r="K227" s="177"/>
      <c r="L227" s="22">
        <f t="shared" si="10"/>
        <v>600</v>
      </c>
      <c r="M227" s="10"/>
    </row>
    <row r="228" spans="1:13" ht="23.25" x14ac:dyDescent="0.25">
      <c r="A228" s="22">
        <f t="shared" si="11"/>
        <v>207</v>
      </c>
      <c r="B228" s="22" t="s">
        <v>447</v>
      </c>
      <c r="C228" s="372" t="s">
        <v>57</v>
      </c>
      <c r="D228" s="22">
        <v>100</v>
      </c>
      <c r="E228" s="22"/>
      <c r="F228" s="22"/>
      <c r="G228" s="22"/>
      <c r="H228" s="22"/>
      <c r="I228" s="177"/>
      <c r="J228" s="177"/>
      <c r="K228" s="177"/>
      <c r="L228" s="22">
        <f t="shared" si="10"/>
        <v>100</v>
      </c>
      <c r="M228" s="10"/>
    </row>
    <row r="229" spans="1:13" ht="23.25" x14ac:dyDescent="0.25">
      <c r="A229" s="22">
        <f t="shared" si="11"/>
        <v>208</v>
      </c>
      <c r="B229" s="22" t="s">
        <v>124</v>
      </c>
      <c r="C229" s="372">
        <v>15</v>
      </c>
      <c r="D229" s="22">
        <v>3000</v>
      </c>
      <c r="E229" s="22"/>
      <c r="F229" s="22"/>
      <c r="G229" s="22"/>
      <c r="H229" s="22"/>
      <c r="I229" s="177"/>
      <c r="J229" s="177"/>
      <c r="K229" s="177"/>
      <c r="L229" s="22">
        <f t="shared" si="10"/>
        <v>3000</v>
      </c>
      <c r="M229" s="10"/>
    </row>
    <row r="230" spans="1:13" ht="23.25" x14ac:dyDescent="0.25">
      <c r="A230" s="22">
        <f t="shared" si="11"/>
        <v>209</v>
      </c>
      <c r="B230" s="22" t="s">
        <v>1299</v>
      </c>
      <c r="C230" s="372">
        <v>16</v>
      </c>
      <c r="D230" s="22">
        <v>400</v>
      </c>
      <c r="E230" s="22"/>
      <c r="F230" s="22"/>
      <c r="G230" s="22"/>
      <c r="H230" s="22"/>
      <c r="I230" s="177"/>
      <c r="J230" s="177"/>
      <c r="K230" s="177"/>
      <c r="L230" s="22">
        <f t="shared" si="10"/>
        <v>400</v>
      </c>
      <c r="M230" s="10"/>
    </row>
    <row r="231" spans="1:13" ht="23.25" x14ac:dyDescent="0.25">
      <c r="A231" s="22">
        <f t="shared" si="11"/>
        <v>210</v>
      </c>
      <c r="B231" s="22" t="s">
        <v>1300</v>
      </c>
      <c r="C231" s="372" t="s">
        <v>144</v>
      </c>
      <c r="D231" s="22">
        <v>400</v>
      </c>
      <c r="E231" s="22"/>
      <c r="F231" s="22"/>
      <c r="G231" s="22"/>
      <c r="H231" s="22"/>
      <c r="I231" s="177"/>
      <c r="J231" s="177"/>
      <c r="K231" s="177"/>
      <c r="L231" s="22">
        <f t="shared" si="10"/>
        <v>400</v>
      </c>
      <c r="M231" s="10"/>
    </row>
    <row r="232" spans="1:13" ht="23.25" x14ac:dyDescent="0.25">
      <c r="A232" s="22">
        <f t="shared" si="11"/>
        <v>211</v>
      </c>
      <c r="B232" s="22" t="s">
        <v>125</v>
      </c>
      <c r="C232" s="372">
        <v>100</v>
      </c>
      <c r="D232" s="22">
        <v>500</v>
      </c>
      <c r="E232" s="22"/>
      <c r="F232" s="22"/>
      <c r="G232" s="22"/>
      <c r="H232" s="22"/>
      <c r="I232" s="177"/>
      <c r="J232" s="177"/>
      <c r="K232" s="177"/>
      <c r="L232" s="22">
        <f t="shared" si="10"/>
        <v>500</v>
      </c>
      <c r="M232" s="10"/>
    </row>
    <row r="233" spans="1:13" ht="23.25" x14ac:dyDescent="0.25">
      <c r="A233" s="22">
        <f t="shared" si="11"/>
        <v>212</v>
      </c>
      <c r="B233" s="22" t="s">
        <v>126</v>
      </c>
      <c r="C233" s="372" t="s">
        <v>144</v>
      </c>
      <c r="D233" s="22">
        <v>500</v>
      </c>
      <c r="E233" s="22"/>
      <c r="F233" s="22"/>
      <c r="G233" s="22"/>
      <c r="H233" s="22"/>
      <c r="I233" s="177"/>
      <c r="J233" s="177"/>
      <c r="K233" s="177"/>
      <c r="L233" s="22">
        <f t="shared" si="10"/>
        <v>500</v>
      </c>
      <c r="M233" s="10"/>
    </row>
    <row r="234" spans="1:13" ht="23.25" x14ac:dyDescent="0.25">
      <c r="A234" s="22">
        <f t="shared" si="11"/>
        <v>213</v>
      </c>
      <c r="B234" s="22" t="s">
        <v>127</v>
      </c>
      <c r="C234" s="372" t="s">
        <v>57</v>
      </c>
      <c r="D234" s="22">
        <v>2000</v>
      </c>
      <c r="E234" s="22"/>
      <c r="F234" s="22"/>
      <c r="G234" s="22"/>
      <c r="H234" s="22"/>
      <c r="I234" s="177"/>
      <c r="J234" s="177"/>
      <c r="K234" s="177"/>
      <c r="L234" s="22">
        <f t="shared" si="10"/>
        <v>2000</v>
      </c>
      <c r="M234" s="10"/>
    </row>
    <row r="235" spans="1:13" ht="23.25" x14ac:dyDescent="0.25">
      <c r="A235" s="22">
        <f>A234+1</f>
        <v>214</v>
      </c>
      <c r="B235" s="22" t="s">
        <v>128</v>
      </c>
      <c r="C235" s="372" t="s">
        <v>57</v>
      </c>
      <c r="D235" s="22">
        <v>600</v>
      </c>
      <c r="E235" s="22"/>
      <c r="F235" s="22"/>
      <c r="G235" s="22"/>
      <c r="H235" s="22"/>
      <c r="I235" s="177"/>
      <c r="J235" s="177"/>
      <c r="K235" s="177"/>
      <c r="L235" s="22">
        <f t="shared" si="10"/>
        <v>600</v>
      </c>
      <c r="M235" s="10"/>
    </row>
    <row r="236" spans="1:13" ht="23.25" x14ac:dyDescent="0.25">
      <c r="A236" s="22">
        <f t="shared" si="11"/>
        <v>215</v>
      </c>
      <c r="B236" s="22" t="s">
        <v>448</v>
      </c>
      <c r="C236" s="372" t="s">
        <v>144</v>
      </c>
      <c r="D236" s="22">
        <v>100</v>
      </c>
      <c r="E236" s="22"/>
      <c r="F236" s="22"/>
      <c r="G236" s="22"/>
      <c r="H236" s="22"/>
      <c r="I236" s="177"/>
      <c r="J236" s="177"/>
      <c r="K236" s="177"/>
      <c r="L236" s="22">
        <f t="shared" si="10"/>
        <v>100</v>
      </c>
      <c r="M236" s="10"/>
    </row>
    <row r="237" spans="1:13" ht="23.25" x14ac:dyDescent="0.25">
      <c r="A237" s="22">
        <f t="shared" si="11"/>
        <v>216</v>
      </c>
      <c r="B237" s="22" t="s">
        <v>667</v>
      </c>
      <c r="C237" s="372">
        <v>10</v>
      </c>
      <c r="D237" s="22">
        <v>500</v>
      </c>
      <c r="E237" s="22"/>
      <c r="F237" s="22"/>
      <c r="G237" s="22"/>
      <c r="H237" s="22"/>
      <c r="I237" s="177"/>
      <c r="J237" s="177"/>
      <c r="K237" s="177"/>
      <c r="L237" s="22">
        <f t="shared" si="10"/>
        <v>500</v>
      </c>
      <c r="M237" s="10"/>
    </row>
    <row r="238" spans="1:13" ht="23.25" x14ac:dyDescent="0.25">
      <c r="A238" s="22">
        <f t="shared" si="11"/>
        <v>217</v>
      </c>
      <c r="B238" s="22" t="s">
        <v>1301</v>
      </c>
      <c r="C238" s="372">
        <v>3</v>
      </c>
      <c r="D238" s="22">
        <v>52</v>
      </c>
      <c r="E238" s="22"/>
      <c r="F238" s="22"/>
      <c r="G238" s="22"/>
      <c r="H238" s="22"/>
      <c r="I238" s="177"/>
      <c r="J238" s="177"/>
      <c r="K238" s="177"/>
      <c r="L238" s="22">
        <f t="shared" si="10"/>
        <v>52</v>
      </c>
      <c r="M238" s="10"/>
    </row>
    <row r="239" spans="1:13" ht="23.25" x14ac:dyDescent="0.25">
      <c r="A239" s="22">
        <f t="shared" si="11"/>
        <v>218</v>
      </c>
      <c r="B239" s="22" t="s">
        <v>449</v>
      </c>
      <c r="C239" s="372" t="s">
        <v>57</v>
      </c>
      <c r="D239" s="22">
        <v>100</v>
      </c>
      <c r="E239" s="22"/>
      <c r="F239" s="22"/>
      <c r="G239" s="22"/>
      <c r="H239" s="22"/>
      <c r="I239" s="177"/>
      <c r="J239" s="177"/>
      <c r="K239" s="177"/>
      <c r="L239" s="22">
        <f t="shared" si="10"/>
        <v>100</v>
      </c>
      <c r="M239" s="10"/>
    </row>
    <row r="240" spans="1:13" ht="23.25" x14ac:dyDescent="0.25">
      <c r="A240" s="22">
        <f t="shared" si="11"/>
        <v>219</v>
      </c>
      <c r="B240" s="22" t="s">
        <v>130</v>
      </c>
      <c r="C240" s="372" t="s">
        <v>144</v>
      </c>
      <c r="D240" s="22">
        <v>100</v>
      </c>
      <c r="E240" s="22"/>
      <c r="F240" s="22"/>
      <c r="G240" s="22"/>
      <c r="H240" s="22"/>
      <c r="I240" s="177"/>
      <c r="J240" s="177"/>
      <c r="K240" s="177"/>
      <c r="L240" s="22">
        <f t="shared" si="10"/>
        <v>100</v>
      </c>
      <c r="M240" s="10"/>
    </row>
    <row r="241" spans="1:13" ht="23.25" x14ac:dyDescent="0.25">
      <c r="A241" s="22">
        <f t="shared" si="11"/>
        <v>220</v>
      </c>
      <c r="B241" s="22" t="s">
        <v>129</v>
      </c>
      <c r="C241" s="372">
        <v>10</v>
      </c>
      <c r="D241" s="22">
        <v>400</v>
      </c>
      <c r="E241" s="22"/>
      <c r="F241" s="22"/>
      <c r="G241" s="22"/>
      <c r="H241" s="22"/>
      <c r="I241" s="177"/>
      <c r="J241" s="177"/>
      <c r="K241" s="177"/>
      <c r="L241" s="22">
        <f t="shared" si="10"/>
        <v>400</v>
      </c>
      <c r="M241" s="10"/>
    </row>
    <row r="242" spans="1:13" ht="23.25" x14ac:dyDescent="0.25">
      <c r="A242" s="22">
        <f t="shared" si="11"/>
        <v>221</v>
      </c>
      <c r="B242" s="22" t="s">
        <v>1302</v>
      </c>
      <c r="C242" s="372">
        <v>10</v>
      </c>
      <c r="D242" s="22">
        <v>200</v>
      </c>
      <c r="E242" s="22"/>
      <c r="F242" s="22"/>
      <c r="G242" s="22"/>
      <c r="H242" s="22"/>
      <c r="I242" s="177"/>
      <c r="J242" s="177"/>
      <c r="K242" s="177"/>
      <c r="L242" s="22">
        <f t="shared" si="10"/>
        <v>200</v>
      </c>
      <c r="M242" s="10"/>
    </row>
    <row r="243" spans="1:13" ht="23.25" x14ac:dyDescent="0.25">
      <c r="A243" s="22">
        <f t="shared" si="11"/>
        <v>222</v>
      </c>
      <c r="B243" s="22" t="s">
        <v>1303</v>
      </c>
      <c r="C243" s="372">
        <v>10</v>
      </c>
      <c r="D243" s="22">
        <v>100</v>
      </c>
      <c r="E243" s="22"/>
      <c r="F243" s="22"/>
      <c r="G243" s="22"/>
      <c r="H243" s="22"/>
      <c r="I243" s="177"/>
      <c r="J243" s="177"/>
      <c r="K243" s="177"/>
      <c r="L243" s="22">
        <f t="shared" si="10"/>
        <v>100</v>
      </c>
      <c r="M243" s="10"/>
    </row>
    <row r="244" spans="1:13" ht="23.25" x14ac:dyDescent="0.25">
      <c r="A244" s="22">
        <f t="shared" si="11"/>
        <v>223</v>
      </c>
      <c r="B244" s="22" t="s">
        <v>1304</v>
      </c>
      <c r="C244" s="372" t="s">
        <v>144</v>
      </c>
      <c r="D244" s="22">
        <v>60</v>
      </c>
      <c r="E244" s="22"/>
      <c r="F244" s="22"/>
      <c r="G244" s="22"/>
      <c r="H244" s="22"/>
      <c r="I244" s="177"/>
      <c r="J244" s="177"/>
      <c r="K244" s="177"/>
      <c r="L244" s="22">
        <f t="shared" si="10"/>
        <v>60</v>
      </c>
      <c r="M244" s="10"/>
    </row>
    <row r="245" spans="1:13" ht="23.25" x14ac:dyDescent="0.25">
      <c r="A245" s="22">
        <f t="shared" si="11"/>
        <v>224</v>
      </c>
      <c r="B245" s="22" t="s">
        <v>131</v>
      </c>
      <c r="C245" s="372" t="s">
        <v>57</v>
      </c>
      <c r="D245" s="22">
        <v>10</v>
      </c>
      <c r="E245" s="22"/>
      <c r="F245" s="22"/>
      <c r="G245" s="22"/>
      <c r="H245" s="22"/>
      <c r="I245" s="177"/>
      <c r="J245" s="177"/>
      <c r="K245" s="177"/>
      <c r="L245" s="22">
        <f t="shared" si="10"/>
        <v>10</v>
      </c>
      <c r="M245" s="10"/>
    </row>
    <row r="246" spans="1:13" ht="23.25" x14ac:dyDescent="0.25">
      <c r="A246" s="22">
        <f t="shared" si="11"/>
        <v>225</v>
      </c>
      <c r="B246" s="22" t="s">
        <v>132</v>
      </c>
      <c r="C246" s="372">
        <v>10</v>
      </c>
      <c r="D246" s="22">
        <v>100</v>
      </c>
      <c r="E246" s="22"/>
      <c r="F246" s="22"/>
      <c r="G246" s="22"/>
      <c r="H246" s="22"/>
      <c r="I246" s="177"/>
      <c r="J246" s="177"/>
      <c r="K246" s="177"/>
      <c r="L246" s="22">
        <f t="shared" si="10"/>
        <v>100</v>
      </c>
      <c r="M246" s="10"/>
    </row>
    <row r="247" spans="1:13" ht="23.25" x14ac:dyDescent="0.25">
      <c r="A247" s="22">
        <f t="shared" si="11"/>
        <v>226</v>
      </c>
      <c r="B247" s="22" t="s">
        <v>747</v>
      </c>
      <c r="C247" s="372" t="s">
        <v>144</v>
      </c>
      <c r="D247" s="22">
        <v>200</v>
      </c>
      <c r="E247" s="22"/>
      <c r="F247" s="22"/>
      <c r="G247" s="22"/>
      <c r="H247" s="22"/>
      <c r="I247" s="177"/>
      <c r="J247" s="177"/>
      <c r="K247" s="177"/>
      <c r="L247" s="22">
        <f t="shared" si="10"/>
        <v>200</v>
      </c>
      <c r="M247" s="10"/>
    </row>
    <row r="248" spans="1:13" ht="23.25" x14ac:dyDescent="0.25">
      <c r="A248" s="22">
        <f t="shared" si="11"/>
        <v>227</v>
      </c>
      <c r="B248" s="22" t="s">
        <v>133</v>
      </c>
      <c r="C248" s="372" t="s">
        <v>57</v>
      </c>
      <c r="D248" s="22">
        <v>3000</v>
      </c>
      <c r="E248" s="22"/>
      <c r="F248" s="22"/>
      <c r="G248" s="22"/>
      <c r="H248" s="22"/>
      <c r="I248" s="177"/>
      <c r="J248" s="177"/>
      <c r="K248" s="177"/>
      <c r="L248" s="22">
        <f t="shared" si="10"/>
        <v>3000</v>
      </c>
      <c r="M248" s="10"/>
    </row>
    <row r="249" spans="1:13" ht="23.25" x14ac:dyDescent="0.25">
      <c r="A249" s="13">
        <f t="shared" si="11"/>
        <v>228</v>
      </c>
      <c r="B249" s="22" t="s">
        <v>134</v>
      </c>
      <c r="C249" s="372" t="s">
        <v>57</v>
      </c>
      <c r="D249" s="22">
        <v>30000</v>
      </c>
      <c r="E249" s="22"/>
      <c r="F249" s="22"/>
      <c r="G249" s="22"/>
      <c r="H249" s="22"/>
      <c r="I249" s="177"/>
      <c r="J249" s="177"/>
      <c r="K249" s="177"/>
      <c r="L249" s="22">
        <f t="shared" si="10"/>
        <v>30000</v>
      </c>
      <c r="M249" s="10"/>
    </row>
    <row r="250" spans="1:13" ht="23.25" x14ac:dyDescent="0.25">
      <c r="A250" s="13">
        <f t="shared" si="11"/>
        <v>229</v>
      </c>
      <c r="B250" s="22" t="s">
        <v>135</v>
      </c>
      <c r="C250" s="372" t="s">
        <v>57</v>
      </c>
      <c r="D250" s="22">
        <v>2500</v>
      </c>
      <c r="E250" s="22"/>
      <c r="F250" s="22"/>
      <c r="G250" s="22"/>
      <c r="H250" s="22"/>
      <c r="I250" s="177"/>
      <c r="J250" s="177"/>
      <c r="K250" s="177"/>
      <c r="L250" s="22">
        <f t="shared" si="10"/>
        <v>2500</v>
      </c>
      <c r="M250" s="10"/>
    </row>
    <row r="251" spans="1:13" ht="23.25" x14ac:dyDescent="0.25">
      <c r="A251" s="13">
        <f t="shared" si="11"/>
        <v>230</v>
      </c>
      <c r="B251" s="22" t="s">
        <v>136</v>
      </c>
      <c r="C251" s="372">
        <v>10</v>
      </c>
      <c r="D251" s="22">
        <v>1000</v>
      </c>
      <c r="E251" s="22"/>
      <c r="F251" s="22"/>
      <c r="G251" s="22"/>
      <c r="H251" s="22"/>
      <c r="I251" s="177"/>
      <c r="J251" s="177"/>
      <c r="K251" s="177"/>
      <c r="L251" s="22">
        <f t="shared" si="10"/>
        <v>1000</v>
      </c>
      <c r="M251" s="10"/>
    </row>
    <row r="252" spans="1:13" ht="23.25" x14ac:dyDescent="0.25">
      <c r="A252" s="13">
        <f t="shared" si="11"/>
        <v>231</v>
      </c>
      <c r="B252" s="22" t="s">
        <v>137</v>
      </c>
      <c r="C252" s="372">
        <v>10</v>
      </c>
      <c r="D252" s="22">
        <v>4000</v>
      </c>
      <c r="E252" s="22"/>
      <c r="F252" s="22"/>
      <c r="G252" s="22"/>
      <c r="H252" s="22"/>
      <c r="I252" s="177"/>
      <c r="J252" s="177"/>
      <c r="K252" s="177"/>
      <c r="L252" s="22">
        <f t="shared" si="10"/>
        <v>4000</v>
      </c>
      <c r="M252" s="10"/>
    </row>
    <row r="253" spans="1:13" ht="23.25" x14ac:dyDescent="0.25">
      <c r="A253" s="13">
        <f t="shared" si="11"/>
        <v>232</v>
      </c>
      <c r="B253" s="22" t="s">
        <v>138</v>
      </c>
      <c r="C253" s="372" t="s">
        <v>57</v>
      </c>
      <c r="D253" s="22">
        <f>1600*5</f>
        <v>8000</v>
      </c>
      <c r="E253" s="22"/>
      <c r="F253" s="22"/>
      <c r="G253" s="22"/>
      <c r="H253" s="22"/>
      <c r="I253" s="177"/>
      <c r="J253" s="177"/>
      <c r="K253" s="177"/>
      <c r="L253" s="22">
        <f t="shared" si="10"/>
        <v>8000</v>
      </c>
      <c r="M253" s="10"/>
    </row>
    <row r="254" spans="1:13" ht="23.25" x14ac:dyDescent="0.25">
      <c r="A254" s="13">
        <f t="shared" si="11"/>
        <v>233</v>
      </c>
      <c r="B254" s="22" t="s">
        <v>748</v>
      </c>
      <c r="C254" s="372" t="s">
        <v>144</v>
      </c>
      <c r="D254" s="22">
        <v>2000</v>
      </c>
      <c r="E254" s="22"/>
      <c r="F254" s="22"/>
      <c r="G254" s="22"/>
      <c r="H254" s="22"/>
      <c r="I254" s="177"/>
      <c r="J254" s="177"/>
      <c r="K254" s="177"/>
      <c r="L254" s="22">
        <f t="shared" si="10"/>
        <v>2000</v>
      </c>
      <c r="M254" s="10"/>
    </row>
    <row r="255" spans="1:13" ht="23.25" x14ac:dyDescent="0.25">
      <c r="A255" s="13">
        <f t="shared" si="11"/>
        <v>234</v>
      </c>
      <c r="B255" s="22" t="s">
        <v>749</v>
      </c>
      <c r="C255" s="372" t="s">
        <v>144</v>
      </c>
      <c r="D255" s="22">
        <v>300</v>
      </c>
      <c r="E255" s="22"/>
      <c r="F255" s="22"/>
      <c r="G255" s="22"/>
      <c r="H255" s="22"/>
      <c r="I255" s="177"/>
      <c r="J255" s="177"/>
      <c r="K255" s="177"/>
      <c r="L255" s="22">
        <f t="shared" si="10"/>
        <v>300</v>
      </c>
      <c r="M255" s="10"/>
    </row>
    <row r="256" spans="1:13" ht="23.25" x14ac:dyDescent="0.25">
      <c r="A256" s="13">
        <f t="shared" si="11"/>
        <v>235</v>
      </c>
      <c r="B256" s="22" t="s">
        <v>2062</v>
      </c>
      <c r="C256" s="372" t="s">
        <v>144</v>
      </c>
      <c r="D256" s="22">
        <v>200</v>
      </c>
      <c r="E256" s="22"/>
      <c r="F256" s="22"/>
      <c r="G256" s="22"/>
      <c r="H256" s="22"/>
      <c r="I256" s="177"/>
      <c r="J256" s="177"/>
      <c r="K256" s="177"/>
      <c r="L256" s="22">
        <f t="shared" si="10"/>
        <v>200</v>
      </c>
      <c r="M256" s="10"/>
    </row>
    <row r="257" spans="1:15" ht="23.25" x14ac:dyDescent="0.25">
      <c r="A257" s="13">
        <f t="shared" si="11"/>
        <v>236</v>
      </c>
      <c r="B257" s="22" t="s">
        <v>139</v>
      </c>
      <c r="C257" s="372">
        <v>10</v>
      </c>
      <c r="D257" s="22">
        <v>8000</v>
      </c>
      <c r="E257" s="22"/>
      <c r="F257" s="22"/>
      <c r="G257" s="22"/>
      <c r="H257" s="22"/>
      <c r="I257" s="177"/>
      <c r="J257" s="177"/>
      <c r="K257" s="177"/>
      <c r="L257" s="22">
        <f t="shared" si="10"/>
        <v>8000</v>
      </c>
      <c r="M257" s="10"/>
    </row>
    <row r="258" spans="1:15" ht="23.25" x14ac:dyDescent="0.25">
      <c r="A258" s="13">
        <f t="shared" si="11"/>
        <v>237</v>
      </c>
      <c r="B258" s="22" t="s">
        <v>140</v>
      </c>
      <c r="C258" s="372" t="s">
        <v>144</v>
      </c>
      <c r="D258" s="22">
        <v>6000</v>
      </c>
      <c r="E258" s="22"/>
      <c r="F258" s="22"/>
      <c r="G258" s="22"/>
      <c r="H258" s="22"/>
      <c r="I258" s="177"/>
      <c r="J258" s="177"/>
      <c r="K258" s="177"/>
      <c r="L258" s="22">
        <f t="shared" si="10"/>
        <v>6000</v>
      </c>
      <c r="M258" s="10"/>
    </row>
    <row r="259" spans="1:15" ht="23.25" x14ac:dyDescent="0.25">
      <c r="A259" s="13">
        <f t="shared" si="11"/>
        <v>238</v>
      </c>
      <c r="B259" s="22" t="s">
        <v>141</v>
      </c>
      <c r="C259" s="372">
        <v>10</v>
      </c>
      <c r="D259" s="22">
        <v>200</v>
      </c>
      <c r="E259" s="22"/>
      <c r="F259" s="22"/>
      <c r="G259" s="22"/>
      <c r="H259" s="22"/>
      <c r="I259" s="177"/>
      <c r="J259" s="177"/>
      <c r="K259" s="177"/>
      <c r="L259" s="22">
        <f t="shared" si="10"/>
        <v>200</v>
      </c>
      <c r="M259" s="10"/>
    </row>
    <row r="260" spans="1:15" ht="23.25" x14ac:dyDescent="0.25">
      <c r="A260" s="13">
        <f t="shared" si="11"/>
        <v>239</v>
      </c>
      <c r="B260" s="22" t="s">
        <v>142</v>
      </c>
      <c r="C260" s="372">
        <v>16</v>
      </c>
      <c r="D260" s="22">
        <v>200</v>
      </c>
      <c r="E260" s="22"/>
      <c r="F260" s="22"/>
      <c r="G260" s="22"/>
      <c r="H260" s="22"/>
      <c r="I260" s="177"/>
      <c r="J260" s="177"/>
      <c r="K260" s="177"/>
      <c r="L260" s="22">
        <f t="shared" si="10"/>
        <v>200</v>
      </c>
      <c r="M260" s="10"/>
    </row>
    <row r="261" spans="1:15" ht="23.25" x14ac:dyDescent="0.25">
      <c r="A261" s="13">
        <f t="shared" si="11"/>
        <v>240</v>
      </c>
      <c r="B261" s="22" t="s">
        <v>143</v>
      </c>
      <c r="C261" s="372" t="s">
        <v>656</v>
      </c>
      <c r="D261" s="22">
        <v>1000</v>
      </c>
      <c r="E261" s="22"/>
      <c r="F261" s="22"/>
      <c r="G261" s="22"/>
      <c r="H261" s="22"/>
      <c r="I261" s="177"/>
      <c r="J261" s="177"/>
      <c r="K261" s="177"/>
      <c r="L261" s="22">
        <f t="shared" si="10"/>
        <v>1000</v>
      </c>
      <c r="M261" s="10"/>
    </row>
    <row r="262" spans="1:15" ht="23.25" x14ac:dyDescent="0.25">
      <c r="A262" s="13">
        <f t="shared" si="11"/>
        <v>241</v>
      </c>
      <c r="B262" s="22" t="s">
        <v>450</v>
      </c>
      <c r="C262" s="372">
        <v>6</v>
      </c>
      <c r="D262" s="22">
        <v>200</v>
      </c>
      <c r="E262" s="22"/>
      <c r="F262" s="22"/>
      <c r="G262" s="22"/>
      <c r="H262" s="22"/>
      <c r="I262" s="177"/>
      <c r="J262" s="177"/>
      <c r="K262" s="177"/>
      <c r="L262" s="22">
        <f t="shared" si="10"/>
        <v>200</v>
      </c>
      <c r="M262" s="10"/>
    </row>
    <row r="263" spans="1:15" ht="23.25" x14ac:dyDescent="0.25">
      <c r="A263" s="13">
        <f t="shared" si="11"/>
        <v>242</v>
      </c>
      <c r="B263" s="22" t="s">
        <v>709</v>
      </c>
      <c r="C263" s="372">
        <v>100</v>
      </c>
      <c r="D263" s="22">
        <v>120</v>
      </c>
      <c r="E263" s="22"/>
      <c r="F263" s="22"/>
      <c r="G263" s="22"/>
      <c r="H263" s="22"/>
      <c r="I263" s="177"/>
      <c r="J263" s="177"/>
      <c r="K263" s="177"/>
      <c r="L263" s="22">
        <f t="shared" si="10"/>
        <v>120</v>
      </c>
      <c r="M263" s="10"/>
    </row>
    <row r="264" spans="1:15" ht="23.25" x14ac:dyDescent="0.25">
      <c r="A264" s="13">
        <f t="shared" si="11"/>
        <v>243</v>
      </c>
      <c r="B264" s="22" t="s">
        <v>708</v>
      </c>
      <c r="C264" s="372">
        <v>10</v>
      </c>
      <c r="D264" s="22">
        <v>1200</v>
      </c>
      <c r="E264" s="22"/>
      <c r="F264" s="22"/>
      <c r="G264" s="22"/>
      <c r="H264" s="22"/>
      <c r="I264" s="177"/>
      <c r="J264" s="177"/>
      <c r="K264" s="177"/>
      <c r="L264" s="22">
        <f t="shared" si="10"/>
        <v>1200</v>
      </c>
      <c r="M264" s="10"/>
    </row>
    <row r="265" spans="1:15" ht="24" thickBot="1" x14ac:dyDescent="0.3">
      <c r="A265" s="13">
        <f t="shared" si="11"/>
        <v>244</v>
      </c>
      <c r="B265" s="22" t="s">
        <v>1305</v>
      </c>
      <c r="C265" s="372" t="s">
        <v>144</v>
      </c>
      <c r="D265" s="22">
        <v>200</v>
      </c>
      <c r="E265" s="22"/>
      <c r="F265" s="22"/>
      <c r="G265" s="22"/>
      <c r="H265" s="22"/>
      <c r="I265" s="177"/>
      <c r="J265" s="177"/>
      <c r="K265" s="177"/>
      <c r="L265" s="22">
        <f t="shared" ref="L265:L328" si="12">SUM(D265:K265)</f>
        <v>200</v>
      </c>
      <c r="M265" s="10"/>
    </row>
    <row r="266" spans="1:15" ht="24" thickBot="1" x14ac:dyDescent="0.25">
      <c r="A266" s="13">
        <f t="shared" si="11"/>
        <v>245</v>
      </c>
      <c r="B266" s="22" t="s">
        <v>1306</v>
      </c>
      <c r="C266" s="372">
        <v>36</v>
      </c>
      <c r="D266" s="22">
        <v>300</v>
      </c>
      <c r="E266" s="22"/>
      <c r="F266" s="22"/>
      <c r="G266" s="22"/>
      <c r="H266" s="22"/>
      <c r="I266" s="177"/>
      <c r="J266" s="177"/>
      <c r="K266" s="177"/>
      <c r="L266" s="22">
        <f t="shared" si="12"/>
        <v>300</v>
      </c>
      <c r="M266" s="10"/>
      <c r="O266" s="429" t="str">
        <f>IF($S$253=181,PR!$BP$202,IF($S$253=182,PR!$BP$203,IF($S$253=183,PR!$BP$204,IF($S$253=184,PR!$BP$205,IF($S$253=185,PR!$BP$206,IF($S$253=186,PR!$BP$207,IF($S$253=187,PR!$BP$208,IF($S$253=188,PR!$BP$209,IF($S$253=189,PR!$BP$210,IF($S$253=190,PR!$BP$211,IF($S$253=191,PR!$BP$212,IF($S$253=192,PR!$BP$213,IF($S$253=193,PR!$BP$214,IF($S$253=194,PR!$BP$218,IF($S$253=195,PR!$BP$219,IF($S$253=196,PR!$BP$220,IF($S$253=197,PR!$BP$221,IF($S$253=198,PR!$BP$222,IF($S$253=199,PR!$BP$223,IF($S$253=200,PR!$BP$224,IF($S$253=201,PR!$BP$225,IF($S$253=202,PR!$BP$226,IF($S$253=203,PR!$BP$227,IF($S$253=204,PR!$BP$228,IF($S$253=205,PR!$BP$229,IF($S$253=206,PR!$BP$230,IF($S$253=207,PR!$BP$231,IF($S$253=208,PR!$BP$232,IF($S$253=209,PR!$BP$233,IF($S$253=210,PR!$BP$234,IF($S$253=211,PR!$BP$235,IF($S$253=212,PR!$BP$236,IF($S$253=213,PR!$BP$237,IF($S$253=214,PR!$BP$238,IF($S$253=215,PR!$BP$239,IF($S$253=216,PR!$BP$240,IF($S$253=217,PR!$BP$241,IF($S$253=218,PR!$BP$242,IF($S$253=219,PR!$BP$243,IF($S$253=220,PR!$BP$244,IF($S$253=221,PR!$BP$245,IF($S$253=222,PR!$BP$246,IF($S$253=223,PR!$BP$247,IF($S$253=224,PR!$BP$248,IF($S$253=225,PR!$BP$249,IF($S$253=226,PR!$BP$250,IF($S$253=227,PR!$BP$251,IF($S$253=228,PR!$BP$252,IF($S$253=229,PR!$BP$253,IF($S$253=230,PR!$BP$254,IF($S$253=231,PR!$BP$255,IF($S$253=232,PR!$BP$256,IF($S$253=233,PR!$BP$257,IF($S$253=234,PR!$BP$258,IF($S$253=235,PR!$BP$259,IF($S$253=236,PR!$BP$260,IF($S$253=237,PR!$BP$261,IF($S$253=238,PR!$BP$262,IF($S$253=239,PR!$BP$263,IF($S$253=240,PR!$BP$264,"-"))))))))))))))))))))))))))))))))))))))))))))))))))))))))))))</f>
        <v>-</v>
      </c>
    </row>
    <row r="267" spans="1:15" ht="23.25" x14ac:dyDescent="0.25">
      <c r="A267" s="13">
        <f t="shared" si="11"/>
        <v>246</v>
      </c>
      <c r="B267" s="22" t="s">
        <v>145</v>
      </c>
      <c r="C267" s="372">
        <v>100</v>
      </c>
      <c r="D267" s="22">
        <v>150</v>
      </c>
      <c r="E267" s="22"/>
      <c r="F267" s="22"/>
      <c r="G267" s="22"/>
      <c r="H267" s="22"/>
      <c r="I267" s="177"/>
      <c r="J267" s="177"/>
      <c r="K267" s="177"/>
      <c r="L267" s="22">
        <f t="shared" si="12"/>
        <v>150</v>
      </c>
      <c r="M267" s="10"/>
    </row>
    <row r="268" spans="1:15" ht="23.25" x14ac:dyDescent="0.25">
      <c r="A268" s="13">
        <f t="shared" si="11"/>
        <v>247</v>
      </c>
      <c r="B268" s="22" t="s">
        <v>146</v>
      </c>
      <c r="C268" s="372" t="s">
        <v>144</v>
      </c>
      <c r="D268" s="22">
        <v>800</v>
      </c>
      <c r="E268" s="22"/>
      <c r="F268" s="22"/>
      <c r="G268" s="22"/>
      <c r="H268" s="22"/>
      <c r="I268" s="177"/>
      <c r="J268" s="177"/>
      <c r="K268" s="177"/>
      <c r="L268" s="22">
        <f t="shared" si="12"/>
        <v>800</v>
      </c>
      <c r="M268" s="10"/>
    </row>
    <row r="269" spans="1:15" ht="23.25" x14ac:dyDescent="0.25">
      <c r="A269" s="13">
        <f t="shared" si="11"/>
        <v>248</v>
      </c>
      <c r="B269" s="22" t="s">
        <v>147</v>
      </c>
      <c r="C269" s="372">
        <v>100</v>
      </c>
      <c r="D269" s="22">
        <v>40</v>
      </c>
      <c r="E269" s="22"/>
      <c r="F269" s="22"/>
      <c r="G269" s="22"/>
      <c r="H269" s="22"/>
      <c r="I269" s="177"/>
      <c r="J269" s="177"/>
      <c r="K269" s="177"/>
      <c r="L269" s="22">
        <f t="shared" si="12"/>
        <v>40</v>
      </c>
      <c r="M269" s="10"/>
    </row>
    <row r="270" spans="1:15" ht="23.25" x14ac:dyDescent="0.25">
      <c r="A270" s="13">
        <f t="shared" si="11"/>
        <v>249</v>
      </c>
      <c r="B270" s="22" t="s">
        <v>148</v>
      </c>
      <c r="C270" s="372">
        <v>100</v>
      </c>
      <c r="D270" s="22">
        <v>600</v>
      </c>
      <c r="E270" s="22"/>
      <c r="F270" s="22"/>
      <c r="G270" s="22"/>
      <c r="H270" s="22"/>
      <c r="I270" s="177"/>
      <c r="J270" s="177"/>
      <c r="K270" s="177"/>
      <c r="L270" s="22">
        <f t="shared" si="12"/>
        <v>600</v>
      </c>
      <c r="M270" s="10"/>
    </row>
    <row r="271" spans="1:15" ht="23.25" x14ac:dyDescent="0.25">
      <c r="A271" s="13">
        <f t="shared" si="11"/>
        <v>250</v>
      </c>
      <c r="B271" s="22" t="s">
        <v>149</v>
      </c>
      <c r="C271" s="372">
        <v>1000</v>
      </c>
      <c r="D271" s="22">
        <v>6</v>
      </c>
      <c r="E271" s="22"/>
      <c r="F271" s="22"/>
      <c r="G271" s="22"/>
      <c r="H271" s="22"/>
      <c r="I271" s="177"/>
      <c r="J271" s="177"/>
      <c r="K271" s="177"/>
      <c r="L271" s="22">
        <f t="shared" si="12"/>
        <v>6</v>
      </c>
      <c r="M271" s="10"/>
    </row>
    <row r="272" spans="1:15" ht="23.25" x14ac:dyDescent="0.25">
      <c r="A272" s="13">
        <f t="shared" si="11"/>
        <v>251</v>
      </c>
      <c r="B272" s="22" t="s">
        <v>1307</v>
      </c>
      <c r="C272" s="372">
        <v>10</v>
      </c>
      <c r="D272" s="22">
        <v>40</v>
      </c>
      <c r="E272" s="22"/>
      <c r="F272" s="22"/>
      <c r="G272" s="22"/>
      <c r="H272" s="22"/>
      <c r="I272" s="177"/>
      <c r="J272" s="177"/>
      <c r="K272" s="177"/>
      <c r="L272" s="22">
        <f t="shared" si="12"/>
        <v>40</v>
      </c>
      <c r="M272" s="10"/>
    </row>
    <row r="273" spans="1:13" ht="23.25" x14ac:dyDescent="0.25">
      <c r="A273" s="13">
        <f t="shared" si="11"/>
        <v>252</v>
      </c>
      <c r="B273" s="22" t="s">
        <v>1308</v>
      </c>
      <c r="C273" s="372">
        <v>10</v>
      </c>
      <c r="D273" s="22">
        <v>40</v>
      </c>
      <c r="E273" s="22"/>
      <c r="F273" s="22"/>
      <c r="G273" s="22"/>
      <c r="H273" s="22"/>
      <c r="I273" s="177"/>
      <c r="J273" s="177"/>
      <c r="K273" s="177"/>
      <c r="L273" s="22">
        <f t="shared" si="12"/>
        <v>40</v>
      </c>
      <c r="M273" s="10"/>
    </row>
    <row r="274" spans="1:13" ht="23.25" x14ac:dyDescent="0.25">
      <c r="A274" s="13">
        <f t="shared" si="11"/>
        <v>253</v>
      </c>
      <c r="B274" s="22" t="s">
        <v>150</v>
      </c>
      <c r="C274" s="372">
        <v>6</v>
      </c>
      <c r="D274" s="22">
        <v>200</v>
      </c>
      <c r="E274" s="22"/>
      <c r="F274" s="22"/>
      <c r="G274" s="22"/>
      <c r="H274" s="22"/>
      <c r="I274" s="177"/>
      <c r="J274" s="177"/>
      <c r="K274" s="177"/>
      <c r="L274" s="22">
        <f t="shared" si="12"/>
        <v>200</v>
      </c>
      <c r="M274" s="10"/>
    </row>
    <row r="275" spans="1:13" ht="23.25" x14ac:dyDescent="0.25">
      <c r="A275" s="13">
        <f t="shared" si="11"/>
        <v>254</v>
      </c>
      <c r="B275" s="22" t="s">
        <v>398</v>
      </c>
      <c r="C275" s="372" t="s">
        <v>399</v>
      </c>
      <c r="D275" s="22">
        <v>100</v>
      </c>
      <c r="E275" s="22"/>
      <c r="F275" s="22"/>
      <c r="G275" s="22"/>
      <c r="H275" s="22"/>
      <c r="I275" s="177"/>
      <c r="J275" s="177"/>
      <c r="K275" s="177"/>
      <c r="L275" s="22">
        <f t="shared" si="12"/>
        <v>100</v>
      </c>
      <c r="M275" s="10"/>
    </row>
    <row r="276" spans="1:13" ht="23.25" x14ac:dyDescent="0.25">
      <c r="A276" s="13">
        <f t="shared" si="11"/>
        <v>255</v>
      </c>
      <c r="B276" s="22" t="s">
        <v>151</v>
      </c>
      <c r="C276" s="372">
        <v>50</v>
      </c>
      <c r="D276" s="22">
        <v>300</v>
      </c>
      <c r="E276" s="22"/>
      <c r="F276" s="22"/>
      <c r="G276" s="22"/>
      <c r="H276" s="22"/>
      <c r="I276" s="177"/>
      <c r="J276" s="177"/>
      <c r="K276" s="177"/>
      <c r="L276" s="22">
        <f t="shared" si="12"/>
        <v>300</v>
      </c>
      <c r="M276" s="10"/>
    </row>
    <row r="277" spans="1:13" ht="23.25" x14ac:dyDescent="0.25">
      <c r="A277" s="13">
        <f t="shared" si="11"/>
        <v>256</v>
      </c>
      <c r="B277" s="22" t="s">
        <v>152</v>
      </c>
      <c r="C277" s="372">
        <v>1000</v>
      </c>
      <c r="D277" s="22">
        <v>10</v>
      </c>
      <c r="E277" s="22"/>
      <c r="F277" s="22"/>
      <c r="G277" s="22"/>
      <c r="H277" s="22"/>
      <c r="I277" s="177"/>
      <c r="J277" s="177"/>
      <c r="K277" s="177"/>
      <c r="L277" s="22">
        <f t="shared" si="12"/>
        <v>10</v>
      </c>
      <c r="M277" s="10"/>
    </row>
    <row r="278" spans="1:13" ht="23.25" x14ac:dyDescent="0.25">
      <c r="A278" s="13">
        <f t="shared" si="11"/>
        <v>257</v>
      </c>
      <c r="B278" s="22" t="s">
        <v>153</v>
      </c>
      <c r="C278" s="372">
        <v>10</v>
      </c>
      <c r="D278" s="22">
        <v>100</v>
      </c>
      <c r="E278" s="22"/>
      <c r="F278" s="22"/>
      <c r="G278" s="22"/>
      <c r="H278" s="22"/>
      <c r="I278" s="177"/>
      <c r="J278" s="177"/>
      <c r="K278" s="177"/>
      <c r="L278" s="22">
        <f t="shared" si="12"/>
        <v>100</v>
      </c>
      <c r="M278" s="10"/>
    </row>
    <row r="279" spans="1:13" ht="23.25" x14ac:dyDescent="0.25">
      <c r="A279" s="13">
        <f t="shared" si="11"/>
        <v>258</v>
      </c>
      <c r="B279" s="22" t="s">
        <v>154</v>
      </c>
      <c r="C279" s="372">
        <v>100</v>
      </c>
      <c r="D279" s="22">
        <v>100</v>
      </c>
      <c r="E279" s="22"/>
      <c r="F279" s="22"/>
      <c r="G279" s="22"/>
      <c r="H279" s="22"/>
      <c r="I279" s="177"/>
      <c r="J279" s="177"/>
      <c r="K279" s="177"/>
      <c r="L279" s="22">
        <f t="shared" si="12"/>
        <v>100</v>
      </c>
      <c r="M279" s="10"/>
    </row>
    <row r="280" spans="1:13" ht="23.25" x14ac:dyDescent="0.25">
      <c r="A280" s="13">
        <f t="shared" ref="A280:A305" si="13">A279+1</f>
        <v>259</v>
      </c>
      <c r="B280" s="22" t="s">
        <v>1309</v>
      </c>
      <c r="C280" s="372" t="s">
        <v>656</v>
      </c>
      <c r="D280" s="22">
        <v>20</v>
      </c>
      <c r="E280" s="22"/>
      <c r="F280" s="22"/>
      <c r="G280" s="22"/>
      <c r="H280" s="22"/>
      <c r="I280" s="177"/>
      <c r="J280" s="177"/>
      <c r="K280" s="177"/>
      <c r="L280" s="22">
        <f t="shared" si="12"/>
        <v>20</v>
      </c>
      <c r="M280" s="10"/>
    </row>
    <row r="281" spans="1:13" ht="23.25" x14ac:dyDescent="0.25">
      <c r="A281" s="13">
        <f t="shared" si="13"/>
        <v>260</v>
      </c>
      <c r="B281" s="22" t="s">
        <v>700</v>
      </c>
      <c r="C281" s="372" t="s">
        <v>155</v>
      </c>
      <c r="D281" s="22">
        <v>500</v>
      </c>
      <c r="E281" s="22"/>
      <c r="F281" s="22"/>
      <c r="G281" s="22"/>
      <c r="H281" s="22"/>
      <c r="I281" s="177"/>
      <c r="J281" s="177"/>
      <c r="K281" s="177"/>
      <c r="L281" s="22">
        <f t="shared" si="12"/>
        <v>500</v>
      </c>
      <c r="M281" s="10"/>
    </row>
    <row r="282" spans="1:13" ht="23.25" x14ac:dyDescent="0.25">
      <c r="A282" s="13">
        <f t="shared" si="13"/>
        <v>261</v>
      </c>
      <c r="B282" s="22" t="s">
        <v>156</v>
      </c>
      <c r="C282" s="372">
        <v>10</v>
      </c>
      <c r="D282" s="22">
        <v>360</v>
      </c>
      <c r="E282" s="22"/>
      <c r="F282" s="22"/>
      <c r="G282" s="22"/>
      <c r="H282" s="22"/>
      <c r="I282" s="177"/>
      <c r="J282" s="177"/>
      <c r="K282" s="177"/>
      <c r="L282" s="22">
        <f t="shared" si="12"/>
        <v>360</v>
      </c>
      <c r="M282" s="10"/>
    </row>
    <row r="283" spans="1:13" ht="23.25" x14ac:dyDescent="0.25">
      <c r="A283" s="13">
        <f t="shared" si="13"/>
        <v>262</v>
      </c>
      <c r="B283" s="22" t="s">
        <v>157</v>
      </c>
      <c r="C283" s="372" t="s">
        <v>144</v>
      </c>
      <c r="D283" s="22">
        <v>1000</v>
      </c>
      <c r="E283" s="22"/>
      <c r="F283" s="22"/>
      <c r="G283" s="22"/>
      <c r="H283" s="22"/>
      <c r="I283" s="177"/>
      <c r="J283" s="177"/>
      <c r="K283" s="177"/>
      <c r="L283" s="22">
        <f t="shared" si="12"/>
        <v>1000</v>
      </c>
      <c r="M283" s="10"/>
    </row>
    <row r="284" spans="1:13" ht="23.25" x14ac:dyDescent="0.25">
      <c r="A284" s="13">
        <f t="shared" si="13"/>
        <v>263</v>
      </c>
      <c r="B284" s="22" t="s">
        <v>751</v>
      </c>
      <c r="C284" s="372" t="s">
        <v>57</v>
      </c>
      <c r="D284" s="22">
        <v>500</v>
      </c>
      <c r="E284" s="22"/>
      <c r="F284" s="22"/>
      <c r="G284" s="22"/>
      <c r="H284" s="22"/>
      <c r="I284" s="177"/>
      <c r="J284" s="177"/>
      <c r="K284" s="177"/>
      <c r="L284" s="22">
        <f t="shared" si="12"/>
        <v>500</v>
      </c>
      <c r="M284" s="10"/>
    </row>
    <row r="285" spans="1:13" ht="23.25" x14ac:dyDescent="0.25">
      <c r="A285" s="13">
        <f t="shared" si="13"/>
        <v>264</v>
      </c>
      <c r="B285" s="22" t="s">
        <v>158</v>
      </c>
      <c r="C285" s="372">
        <v>100</v>
      </c>
      <c r="D285" s="22">
        <v>300</v>
      </c>
      <c r="E285" s="22"/>
      <c r="F285" s="22"/>
      <c r="G285" s="22"/>
      <c r="H285" s="22"/>
      <c r="I285" s="177"/>
      <c r="J285" s="177"/>
      <c r="K285" s="177"/>
      <c r="L285" s="22">
        <f t="shared" si="12"/>
        <v>300</v>
      </c>
      <c r="M285" s="10"/>
    </row>
    <row r="286" spans="1:13" ht="23.25" x14ac:dyDescent="0.25">
      <c r="A286" s="13">
        <f t="shared" si="13"/>
        <v>265</v>
      </c>
      <c r="B286" s="22" t="s">
        <v>159</v>
      </c>
      <c r="C286" s="372">
        <v>100</v>
      </c>
      <c r="D286" s="22">
        <v>1600</v>
      </c>
      <c r="E286" s="22"/>
      <c r="F286" s="22"/>
      <c r="G286" s="22"/>
      <c r="H286" s="22"/>
      <c r="I286" s="177"/>
      <c r="J286" s="177"/>
      <c r="K286" s="177"/>
      <c r="L286" s="22">
        <f t="shared" si="12"/>
        <v>1600</v>
      </c>
      <c r="M286" s="10"/>
    </row>
    <row r="287" spans="1:13" ht="23.25" x14ac:dyDescent="0.25">
      <c r="A287" s="13">
        <f t="shared" si="13"/>
        <v>266</v>
      </c>
      <c r="B287" s="22" t="s">
        <v>160</v>
      </c>
      <c r="C287" s="372" t="s">
        <v>144</v>
      </c>
      <c r="D287" s="22">
        <v>44000</v>
      </c>
      <c r="E287" s="22"/>
      <c r="F287" s="22"/>
      <c r="G287" s="22"/>
      <c r="H287" s="22"/>
      <c r="I287" s="177"/>
      <c r="J287" s="177"/>
      <c r="K287" s="177"/>
      <c r="L287" s="22">
        <f t="shared" si="12"/>
        <v>44000</v>
      </c>
      <c r="M287" s="10"/>
    </row>
    <row r="288" spans="1:13" ht="23.25" x14ac:dyDescent="0.25">
      <c r="A288" s="13">
        <f t="shared" si="13"/>
        <v>267</v>
      </c>
      <c r="B288" s="22" t="s">
        <v>161</v>
      </c>
      <c r="C288" s="372" t="s">
        <v>144</v>
      </c>
      <c r="D288" s="22">
        <v>300</v>
      </c>
      <c r="E288" s="22"/>
      <c r="F288" s="22"/>
      <c r="G288" s="22"/>
      <c r="H288" s="22"/>
      <c r="I288" s="177"/>
      <c r="J288" s="177"/>
      <c r="K288" s="177"/>
      <c r="L288" s="22">
        <f t="shared" si="12"/>
        <v>300</v>
      </c>
      <c r="M288" s="10"/>
    </row>
    <row r="289" spans="1:13" ht="23.25" x14ac:dyDescent="0.25">
      <c r="A289" s="13">
        <f t="shared" si="13"/>
        <v>268</v>
      </c>
      <c r="B289" s="22" t="s">
        <v>162</v>
      </c>
      <c r="C289" s="372" t="s">
        <v>656</v>
      </c>
      <c r="D289" s="22">
        <v>20</v>
      </c>
      <c r="E289" s="22"/>
      <c r="F289" s="22"/>
      <c r="G289" s="22"/>
      <c r="H289" s="22"/>
      <c r="I289" s="177"/>
      <c r="J289" s="177"/>
      <c r="K289" s="177"/>
      <c r="L289" s="22">
        <f t="shared" si="12"/>
        <v>20</v>
      </c>
      <c r="M289" s="10"/>
    </row>
    <row r="290" spans="1:13" ht="23.25" x14ac:dyDescent="0.25">
      <c r="A290" s="13">
        <f t="shared" si="13"/>
        <v>269</v>
      </c>
      <c r="B290" s="22" t="s">
        <v>1310</v>
      </c>
      <c r="C290" s="372">
        <v>10</v>
      </c>
      <c r="D290" s="22">
        <v>30</v>
      </c>
      <c r="E290" s="22"/>
      <c r="F290" s="22"/>
      <c r="G290" s="22"/>
      <c r="H290" s="22"/>
      <c r="I290" s="177"/>
      <c r="J290" s="177"/>
      <c r="K290" s="177"/>
      <c r="L290" s="22">
        <f t="shared" si="12"/>
        <v>30</v>
      </c>
      <c r="M290" s="10"/>
    </row>
    <row r="291" spans="1:13" ht="23.25" x14ac:dyDescent="0.25">
      <c r="A291" s="13">
        <f t="shared" si="13"/>
        <v>270</v>
      </c>
      <c r="B291" s="22" t="s">
        <v>719</v>
      </c>
      <c r="C291" s="372">
        <v>100</v>
      </c>
      <c r="D291" s="22">
        <v>20</v>
      </c>
      <c r="E291" s="22"/>
      <c r="F291" s="22"/>
      <c r="G291" s="22"/>
      <c r="H291" s="22"/>
      <c r="I291" s="177"/>
      <c r="J291" s="177"/>
      <c r="K291" s="177"/>
      <c r="L291" s="22">
        <f t="shared" si="12"/>
        <v>20</v>
      </c>
      <c r="M291" s="10"/>
    </row>
    <row r="292" spans="1:13" ht="23.25" x14ac:dyDescent="0.25">
      <c r="A292" s="13">
        <f t="shared" si="13"/>
        <v>271</v>
      </c>
      <c r="B292" s="22" t="s">
        <v>750</v>
      </c>
      <c r="C292" s="372">
        <v>1000</v>
      </c>
      <c r="D292" s="22">
        <v>4</v>
      </c>
      <c r="E292" s="22"/>
      <c r="F292" s="22"/>
      <c r="G292" s="22"/>
      <c r="H292" s="22"/>
      <c r="I292" s="177"/>
      <c r="J292" s="177"/>
      <c r="K292" s="177"/>
      <c r="L292" s="22">
        <f t="shared" si="12"/>
        <v>4</v>
      </c>
      <c r="M292" s="10"/>
    </row>
    <row r="293" spans="1:13" ht="23.25" x14ac:dyDescent="0.25">
      <c r="A293" s="13">
        <f t="shared" si="13"/>
        <v>272</v>
      </c>
      <c r="B293" s="22" t="s">
        <v>732</v>
      </c>
      <c r="C293" s="372" t="s">
        <v>144</v>
      </c>
      <c r="D293" s="22">
        <v>100</v>
      </c>
      <c r="E293" s="22"/>
      <c r="F293" s="22"/>
      <c r="G293" s="22"/>
      <c r="H293" s="22"/>
      <c r="I293" s="177"/>
      <c r="J293" s="177"/>
      <c r="K293" s="177"/>
      <c r="L293" s="22">
        <f t="shared" si="12"/>
        <v>100</v>
      </c>
      <c r="M293" s="10"/>
    </row>
    <row r="294" spans="1:13" ht="23.25" x14ac:dyDescent="0.25">
      <c r="A294" s="13">
        <f t="shared" si="13"/>
        <v>273</v>
      </c>
      <c r="B294" s="22" t="s">
        <v>733</v>
      </c>
      <c r="C294" s="372">
        <v>100</v>
      </c>
      <c r="D294" s="22">
        <v>10</v>
      </c>
      <c r="E294" s="22"/>
      <c r="F294" s="22"/>
      <c r="G294" s="22"/>
      <c r="H294" s="22"/>
      <c r="I294" s="177"/>
      <c r="J294" s="177"/>
      <c r="K294" s="177"/>
      <c r="L294" s="22">
        <f t="shared" si="12"/>
        <v>10</v>
      </c>
      <c r="M294" s="10"/>
    </row>
    <row r="295" spans="1:13" ht="23.25" x14ac:dyDescent="0.25">
      <c r="A295" s="13">
        <f t="shared" si="13"/>
        <v>274</v>
      </c>
      <c r="B295" s="22" t="s">
        <v>163</v>
      </c>
      <c r="C295" s="372">
        <v>10</v>
      </c>
      <c r="D295" s="22">
        <v>1600</v>
      </c>
      <c r="E295" s="22"/>
      <c r="F295" s="22"/>
      <c r="G295" s="22"/>
      <c r="H295" s="22"/>
      <c r="I295" s="177"/>
      <c r="J295" s="177"/>
      <c r="K295" s="177"/>
      <c r="L295" s="22">
        <f t="shared" si="12"/>
        <v>1600</v>
      </c>
      <c r="M295" s="10"/>
    </row>
    <row r="296" spans="1:13" ht="23.25" x14ac:dyDescent="0.25">
      <c r="A296" s="13">
        <f t="shared" si="13"/>
        <v>275</v>
      </c>
      <c r="B296" s="22" t="s">
        <v>164</v>
      </c>
      <c r="C296" s="372" t="s">
        <v>144</v>
      </c>
      <c r="D296" s="22">
        <v>100</v>
      </c>
      <c r="E296" s="22"/>
      <c r="F296" s="22"/>
      <c r="G296" s="22"/>
      <c r="H296" s="22"/>
      <c r="I296" s="177"/>
      <c r="J296" s="177"/>
      <c r="K296" s="177"/>
      <c r="L296" s="22">
        <f t="shared" si="12"/>
        <v>100</v>
      </c>
      <c r="M296" s="10"/>
    </row>
    <row r="297" spans="1:13" ht="23.25" x14ac:dyDescent="0.25">
      <c r="A297" s="13">
        <f t="shared" si="13"/>
        <v>276</v>
      </c>
      <c r="B297" s="22" t="s">
        <v>165</v>
      </c>
      <c r="C297" s="372">
        <v>1000</v>
      </c>
      <c r="D297" s="22">
        <v>13</v>
      </c>
      <c r="E297" s="22"/>
      <c r="F297" s="22"/>
      <c r="G297" s="22"/>
      <c r="H297" s="22"/>
      <c r="I297" s="177"/>
      <c r="J297" s="177"/>
      <c r="K297" s="177"/>
      <c r="L297" s="22">
        <f t="shared" si="12"/>
        <v>13</v>
      </c>
      <c r="M297" s="10"/>
    </row>
    <row r="298" spans="1:13" ht="23.25" x14ac:dyDescent="0.25">
      <c r="A298" s="13">
        <f t="shared" si="13"/>
        <v>277</v>
      </c>
      <c r="B298" s="22" t="s">
        <v>451</v>
      </c>
      <c r="C298" s="372">
        <v>100</v>
      </c>
      <c r="D298" s="22">
        <v>50</v>
      </c>
      <c r="E298" s="22"/>
      <c r="F298" s="22"/>
      <c r="G298" s="22"/>
      <c r="H298" s="22"/>
      <c r="I298" s="177"/>
      <c r="J298" s="177"/>
      <c r="K298" s="177"/>
      <c r="L298" s="22">
        <f t="shared" si="12"/>
        <v>50</v>
      </c>
      <c r="M298" s="10"/>
    </row>
    <row r="299" spans="1:13" ht="23.25" x14ac:dyDescent="0.25">
      <c r="A299" s="13">
        <f t="shared" si="13"/>
        <v>278</v>
      </c>
      <c r="B299" s="22" t="s">
        <v>679</v>
      </c>
      <c r="C299" s="372">
        <v>100</v>
      </c>
      <c r="D299" s="22">
        <v>100</v>
      </c>
      <c r="E299" s="22"/>
      <c r="F299" s="22"/>
      <c r="G299" s="22"/>
      <c r="H299" s="22"/>
      <c r="I299" s="177"/>
      <c r="J299" s="177"/>
      <c r="K299" s="177"/>
      <c r="L299" s="22">
        <f t="shared" si="12"/>
        <v>100</v>
      </c>
      <c r="M299" s="10"/>
    </row>
    <row r="300" spans="1:13" ht="23.25" x14ac:dyDescent="0.25">
      <c r="A300" s="13">
        <f t="shared" si="13"/>
        <v>279</v>
      </c>
      <c r="B300" s="22" t="s">
        <v>452</v>
      </c>
      <c r="C300" s="372">
        <v>100</v>
      </c>
      <c r="D300" s="22">
        <v>100</v>
      </c>
      <c r="E300" s="22"/>
      <c r="F300" s="22"/>
      <c r="G300" s="22"/>
      <c r="H300" s="22"/>
      <c r="I300" s="177"/>
      <c r="J300" s="177"/>
      <c r="K300" s="177"/>
      <c r="L300" s="22">
        <f t="shared" si="12"/>
        <v>100</v>
      </c>
      <c r="M300" s="10"/>
    </row>
    <row r="301" spans="1:13" ht="23.25" x14ac:dyDescent="0.25">
      <c r="A301" s="13">
        <f t="shared" si="13"/>
        <v>280</v>
      </c>
      <c r="B301" s="22" t="s">
        <v>166</v>
      </c>
      <c r="C301" s="372">
        <v>4</v>
      </c>
      <c r="D301" s="22">
        <v>60</v>
      </c>
      <c r="E301" s="22"/>
      <c r="F301" s="22"/>
      <c r="G301" s="22"/>
      <c r="H301" s="22"/>
      <c r="I301" s="177"/>
      <c r="J301" s="177"/>
      <c r="K301" s="177"/>
      <c r="L301" s="22">
        <f t="shared" si="12"/>
        <v>60</v>
      </c>
      <c r="M301" s="10"/>
    </row>
    <row r="302" spans="1:13" ht="23.25" x14ac:dyDescent="0.25">
      <c r="A302" s="13">
        <f t="shared" si="13"/>
        <v>281</v>
      </c>
      <c r="B302" s="22" t="s">
        <v>1311</v>
      </c>
      <c r="C302" s="372" t="s">
        <v>656</v>
      </c>
      <c r="D302" s="22">
        <v>400</v>
      </c>
      <c r="E302" s="22"/>
      <c r="F302" s="22"/>
      <c r="G302" s="22"/>
      <c r="H302" s="22"/>
      <c r="I302" s="177"/>
      <c r="J302" s="177"/>
      <c r="K302" s="177"/>
      <c r="L302" s="22">
        <f t="shared" si="12"/>
        <v>400</v>
      </c>
      <c r="M302" s="10"/>
    </row>
    <row r="303" spans="1:13" ht="23.25" x14ac:dyDescent="0.25">
      <c r="A303" s="13">
        <f t="shared" si="13"/>
        <v>282</v>
      </c>
      <c r="B303" s="22" t="s">
        <v>168</v>
      </c>
      <c r="C303" s="372" t="s">
        <v>656</v>
      </c>
      <c r="D303" s="22">
        <v>500</v>
      </c>
      <c r="E303" s="22"/>
      <c r="F303" s="22"/>
      <c r="G303" s="22"/>
      <c r="H303" s="22"/>
      <c r="I303" s="177"/>
      <c r="J303" s="177"/>
      <c r="K303" s="177"/>
      <c r="L303" s="22">
        <f t="shared" si="12"/>
        <v>500</v>
      </c>
      <c r="M303" s="10"/>
    </row>
    <row r="304" spans="1:13" ht="23.25" x14ac:dyDescent="0.25">
      <c r="A304" s="13">
        <f t="shared" si="13"/>
        <v>283</v>
      </c>
      <c r="B304" s="22" t="s">
        <v>1312</v>
      </c>
      <c r="C304" s="372">
        <v>10</v>
      </c>
      <c r="D304" s="22">
        <v>20</v>
      </c>
      <c r="E304" s="22"/>
      <c r="F304" s="22"/>
      <c r="G304" s="22"/>
      <c r="H304" s="22"/>
      <c r="I304" s="177"/>
      <c r="J304" s="177"/>
      <c r="K304" s="177"/>
      <c r="L304" s="22">
        <f t="shared" si="12"/>
        <v>20</v>
      </c>
      <c r="M304" s="10"/>
    </row>
    <row r="305" spans="1:13" ht="23.25" x14ac:dyDescent="0.25">
      <c r="A305" s="13">
        <f t="shared" si="13"/>
        <v>284</v>
      </c>
      <c r="B305" s="22" t="s">
        <v>752</v>
      </c>
      <c r="C305" s="372" t="s">
        <v>57</v>
      </c>
      <c r="D305" s="22">
        <v>10</v>
      </c>
      <c r="E305" s="22"/>
      <c r="F305" s="22"/>
      <c r="G305" s="22"/>
      <c r="H305" s="22"/>
      <c r="I305" s="177"/>
      <c r="J305" s="177"/>
      <c r="K305" s="177"/>
      <c r="L305" s="22">
        <f t="shared" si="12"/>
        <v>10</v>
      </c>
      <c r="M305" s="10"/>
    </row>
    <row r="306" spans="1:13" ht="23.25" x14ac:dyDescent="0.25">
      <c r="A306" s="13"/>
      <c r="B306" s="22"/>
      <c r="C306" s="372"/>
      <c r="D306" s="22"/>
      <c r="E306" s="22"/>
      <c r="F306" s="22"/>
      <c r="G306" s="22"/>
      <c r="H306" s="22"/>
      <c r="I306" s="177"/>
      <c r="J306" s="177"/>
      <c r="K306" s="177"/>
      <c r="L306" s="22">
        <f t="shared" si="12"/>
        <v>0</v>
      </c>
      <c r="M306" s="10"/>
    </row>
    <row r="307" spans="1:13" ht="23.25" x14ac:dyDescent="0.25">
      <c r="A307" s="13"/>
      <c r="B307" s="22"/>
      <c r="C307" s="372"/>
      <c r="D307" s="22"/>
      <c r="E307" s="22"/>
      <c r="F307" s="22"/>
      <c r="G307" s="22"/>
      <c r="H307" s="22"/>
      <c r="I307" s="177"/>
      <c r="J307" s="177"/>
      <c r="K307" s="177"/>
      <c r="L307" s="22">
        <f t="shared" si="12"/>
        <v>0</v>
      </c>
      <c r="M307" s="10"/>
    </row>
    <row r="308" spans="1:13" ht="23.25" x14ac:dyDescent="0.25">
      <c r="A308" s="13"/>
      <c r="B308" s="22"/>
      <c r="C308" s="372"/>
      <c r="D308" s="22"/>
      <c r="E308" s="22"/>
      <c r="F308" s="22"/>
      <c r="G308" s="22"/>
      <c r="H308" s="22"/>
      <c r="I308" s="177"/>
      <c r="J308" s="177"/>
      <c r="K308" s="177"/>
      <c r="L308" s="22">
        <f t="shared" si="12"/>
        <v>0</v>
      </c>
      <c r="M308" s="10"/>
    </row>
    <row r="309" spans="1:13" ht="23.25" x14ac:dyDescent="0.25">
      <c r="A309" s="13"/>
      <c r="B309" s="22"/>
      <c r="C309" s="372"/>
      <c r="D309" s="22"/>
      <c r="E309" s="22"/>
      <c r="F309" s="22"/>
      <c r="G309" s="22"/>
      <c r="H309" s="22"/>
      <c r="I309" s="177"/>
      <c r="J309" s="177"/>
      <c r="K309" s="177"/>
      <c r="L309" s="22">
        <f t="shared" si="12"/>
        <v>0</v>
      </c>
      <c r="M309" s="10"/>
    </row>
    <row r="310" spans="1:13" ht="23.25" x14ac:dyDescent="0.25">
      <c r="A310" s="22" t="s">
        <v>169</v>
      </c>
      <c r="B310" s="22" t="s">
        <v>170</v>
      </c>
      <c r="C310" s="372"/>
      <c r="D310" s="22"/>
      <c r="E310" s="22"/>
      <c r="F310" s="22"/>
      <c r="G310" s="22"/>
      <c r="H310" s="22"/>
      <c r="I310" s="177"/>
      <c r="J310" s="177"/>
      <c r="K310" s="177"/>
      <c r="L310" s="22">
        <f t="shared" si="12"/>
        <v>0</v>
      </c>
      <c r="M310" s="10"/>
    </row>
    <row r="311" spans="1:13" ht="23.25" x14ac:dyDescent="0.25">
      <c r="A311" s="22"/>
      <c r="B311" s="22"/>
      <c r="C311" s="372"/>
      <c r="D311" s="22"/>
      <c r="E311" s="22"/>
      <c r="F311" s="22"/>
      <c r="G311" s="22"/>
      <c r="H311" s="22"/>
      <c r="I311" s="177"/>
      <c r="J311" s="177"/>
      <c r="K311" s="177"/>
      <c r="L311" s="22">
        <f t="shared" si="12"/>
        <v>0</v>
      </c>
      <c r="M311" s="10"/>
    </row>
    <row r="312" spans="1:13" ht="23.25" x14ac:dyDescent="0.25">
      <c r="A312" s="22">
        <f>1+A305</f>
        <v>285</v>
      </c>
      <c r="B312" s="22" t="s">
        <v>171</v>
      </c>
      <c r="C312" s="372">
        <v>30</v>
      </c>
      <c r="D312" s="22">
        <v>200</v>
      </c>
      <c r="E312" s="22"/>
      <c r="F312" s="22"/>
      <c r="G312" s="22"/>
      <c r="H312" s="22"/>
      <c r="I312" s="177"/>
      <c r="J312" s="177"/>
      <c r="K312" s="177"/>
      <c r="L312" s="22">
        <f t="shared" si="12"/>
        <v>200</v>
      </c>
      <c r="M312" s="10"/>
    </row>
    <row r="313" spans="1:13" ht="23.25" x14ac:dyDescent="0.25">
      <c r="A313" s="22">
        <f>1+A312</f>
        <v>286</v>
      </c>
      <c r="B313" s="22" t="s">
        <v>512</v>
      </c>
      <c r="C313" s="372">
        <v>30</v>
      </c>
      <c r="D313" s="22">
        <v>1000</v>
      </c>
      <c r="E313" s="22"/>
      <c r="F313" s="22"/>
      <c r="G313" s="22"/>
      <c r="H313" s="22"/>
      <c r="I313" s="177"/>
      <c r="J313" s="177"/>
      <c r="K313" s="177"/>
      <c r="L313" s="22">
        <f t="shared" si="12"/>
        <v>1000</v>
      </c>
      <c r="M313" s="10"/>
    </row>
    <row r="314" spans="1:13" ht="23.25" x14ac:dyDescent="0.25">
      <c r="A314" s="22">
        <f t="shared" ref="A314:A377" si="14">A313+1</f>
        <v>287</v>
      </c>
      <c r="B314" s="22" t="s">
        <v>513</v>
      </c>
      <c r="C314" s="372" t="s">
        <v>144</v>
      </c>
      <c r="D314" s="22">
        <v>400</v>
      </c>
      <c r="E314" s="22"/>
      <c r="F314" s="22"/>
      <c r="G314" s="22"/>
      <c r="H314" s="22"/>
      <c r="I314" s="177"/>
      <c r="J314" s="177"/>
      <c r="K314" s="177"/>
      <c r="L314" s="22">
        <f t="shared" si="12"/>
        <v>400</v>
      </c>
      <c r="M314" s="10"/>
    </row>
    <row r="315" spans="1:13" ht="23.25" x14ac:dyDescent="0.25">
      <c r="A315" s="22">
        <f t="shared" si="14"/>
        <v>288</v>
      </c>
      <c r="B315" s="22" t="s">
        <v>514</v>
      </c>
      <c r="C315" s="372">
        <v>20</v>
      </c>
      <c r="D315" s="22">
        <v>800</v>
      </c>
      <c r="E315" s="22"/>
      <c r="F315" s="22"/>
      <c r="G315" s="22"/>
      <c r="H315" s="22"/>
      <c r="I315" s="177"/>
      <c r="J315" s="177"/>
      <c r="K315" s="177"/>
      <c r="L315" s="22">
        <f t="shared" si="12"/>
        <v>800</v>
      </c>
      <c r="M315" s="10"/>
    </row>
    <row r="316" spans="1:13" ht="23.25" x14ac:dyDescent="0.25">
      <c r="A316" s="22">
        <f t="shared" si="14"/>
        <v>289</v>
      </c>
      <c r="B316" s="22" t="s">
        <v>515</v>
      </c>
      <c r="C316" s="372" t="s">
        <v>144</v>
      </c>
      <c r="D316" s="22">
        <v>500</v>
      </c>
      <c r="E316" s="22"/>
      <c r="F316" s="22"/>
      <c r="G316" s="22"/>
      <c r="H316" s="22"/>
      <c r="I316" s="177"/>
      <c r="J316" s="177"/>
      <c r="K316" s="177"/>
      <c r="L316" s="22">
        <f t="shared" si="12"/>
        <v>500</v>
      </c>
      <c r="M316" s="10"/>
    </row>
    <row r="317" spans="1:13" ht="23.25" x14ac:dyDescent="0.25">
      <c r="A317" s="22">
        <f t="shared" si="14"/>
        <v>290</v>
      </c>
      <c r="B317" s="22" t="s">
        <v>721</v>
      </c>
      <c r="C317" s="372">
        <v>100</v>
      </c>
      <c r="D317" s="22">
        <v>80</v>
      </c>
      <c r="E317" s="22"/>
      <c r="F317" s="22"/>
      <c r="G317" s="22"/>
      <c r="H317" s="22"/>
      <c r="I317" s="177"/>
      <c r="J317" s="177"/>
      <c r="K317" s="177"/>
      <c r="L317" s="22">
        <f t="shared" si="12"/>
        <v>80</v>
      </c>
      <c r="M317" s="10"/>
    </row>
    <row r="318" spans="1:13" ht="23.25" x14ac:dyDescent="0.25">
      <c r="A318" s="22">
        <f t="shared" si="14"/>
        <v>291</v>
      </c>
      <c r="B318" s="22" t="s">
        <v>693</v>
      </c>
      <c r="C318" s="372">
        <v>30</v>
      </c>
      <c r="D318" s="22">
        <v>400</v>
      </c>
      <c r="E318" s="22"/>
      <c r="F318" s="22"/>
      <c r="G318" s="22"/>
      <c r="H318" s="22"/>
      <c r="I318" s="177"/>
      <c r="J318" s="177"/>
      <c r="K318" s="177"/>
      <c r="L318" s="22">
        <f t="shared" si="12"/>
        <v>400</v>
      </c>
      <c r="M318" s="10"/>
    </row>
    <row r="319" spans="1:13" ht="23.25" x14ac:dyDescent="0.25">
      <c r="A319" s="22">
        <f t="shared" si="14"/>
        <v>292</v>
      </c>
      <c r="B319" s="22" t="s">
        <v>172</v>
      </c>
      <c r="C319" s="372">
        <v>30</v>
      </c>
      <c r="D319" s="22">
        <v>600</v>
      </c>
      <c r="E319" s="22"/>
      <c r="F319" s="22"/>
      <c r="G319" s="22"/>
      <c r="H319" s="22"/>
      <c r="I319" s="177"/>
      <c r="J319" s="177"/>
      <c r="K319" s="177"/>
      <c r="L319" s="22">
        <f t="shared" si="12"/>
        <v>600</v>
      </c>
      <c r="M319" s="10"/>
    </row>
    <row r="320" spans="1:13" ht="23.25" x14ac:dyDescent="0.25">
      <c r="A320" s="22">
        <f t="shared" si="14"/>
        <v>293</v>
      </c>
      <c r="B320" s="22" t="s">
        <v>173</v>
      </c>
      <c r="C320" s="372">
        <v>1000</v>
      </c>
      <c r="D320" s="22">
        <v>50</v>
      </c>
      <c r="E320" s="22"/>
      <c r="F320" s="22"/>
      <c r="G320" s="22"/>
      <c r="H320" s="22"/>
      <c r="I320" s="177"/>
      <c r="J320" s="177"/>
      <c r="K320" s="177"/>
      <c r="L320" s="22">
        <f t="shared" si="12"/>
        <v>50</v>
      </c>
      <c r="M320" s="10"/>
    </row>
    <row r="321" spans="1:13" ht="23.25" x14ac:dyDescent="0.25">
      <c r="A321" s="22">
        <f t="shared" si="14"/>
        <v>294</v>
      </c>
      <c r="B321" s="22" t="s">
        <v>174</v>
      </c>
      <c r="C321" s="372">
        <v>9</v>
      </c>
      <c r="D321" s="22">
        <v>1000</v>
      </c>
      <c r="E321" s="22"/>
      <c r="F321" s="22"/>
      <c r="G321" s="22"/>
      <c r="H321" s="22"/>
      <c r="I321" s="177"/>
      <c r="J321" s="177"/>
      <c r="K321" s="177"/>
      <c r="L321" s="22">
        <f t="shared" si="12"/>
        <v>1000</v>
      </c>
      <c r="M321" s="10"/>
    </row>
    <row r="322" spans="1:13" ht="23.25" x14ac:dyDescent="0.25">
      <c r="A322" s="22">
        <f t="shared" si="14"/>
        <v>295</v>
      </c>
      <c r="B322" s="22" t="s">
        <v>720</v>
      </c>
      <c r="C322" s="372">
        <v>20</v>
      </c>
      <c r="D322" s="22">
        <v>500</v>
      </c>
      <c r="E322" s="22"/>
      <c r="F322" s="22"/>
      <c r="G322" s="22"/>
      <c r="H322" s="22"/>
      <c r="I322" s="177"/>
      <c r="J322" s="177"/>
      <c r="K322" s="177"/>
      <c r="L322" s="22">
        <f t="shared" si="12"/>
        <v>500</v>
      </c>
      <c r="M322" s="10"/>
    </row>
    <row r="323" spans="1:13" ht="23.25" x14ac:dyDescent="0.25">
      <c r="A323" s="22">
        <f t="shared" si="14"/>
        <v>296</v>
      </c>
      <c r="B323" s="22" t="s">
        <v>1313</v>
      </c>
      <c r="C323" s="372">
        <v>30</v>
      </c>
      <c r="D323" s="22">
        <v>400</v>
      </c>
      <c r="E323" s="22"/>
      <c r="F323" s="22"/>
      <c r="G323" s="22"/>
      <c r="H323" s="22"/>
      <c r="I323" s="177"/>
      <c r="J323" s="177"/>
      <c r="K323" s="177"/>
      <c r="L323" s="22">
        <f t="shared" si="12"/>
        <v>400</v>
      </c>
      <c r="M323" s="10"/>
    </row>
    <row r="324" spans="1:13" ht="23.25" x14ac:dyDescent="0.25">
      <c r="A324" s="22">
        <f t="shared" si="14"/>
        <v>297</v>
      </c>
      <c r="B324" s="22" t="s">
        <v>453</v>
      </c>
      <c r="C324" s="372" t="s">
        <v>144</v>
      </c>
      <c r="D324" s="22">
        <v>100</v>
      </c>
      <c r="E324" s="22"/>
      <c r="F324" s="22"/>
      <c r="G324" s="22"/>
      <c r="H324" s="22"/>
      <c r="I324" s="177"/>
      <c r="J324" s="177"/>
      <c r="K324" s="177"/>
      <c r="L324" s="22">
        <f t="shared" si="12"/>
        <v>100</v>
      </c>
      <c r="M324" s="10"/>
    </row>
    <row r="325" spans="1:13" ht="23.25" x14ac:dyDescent="0.25">
      <c r="A325" s="22">
        <f t="shared" si="14"/>
        <v>298</v>
      </c>
      <c r="B325" s="22" t="s">
        <v>454</v>
      </c>
      <c r="C325" s="372" t="s">
        <v>455</v>
      </c>
      <c r="D325" s="22">
        <v>50</v>
      </c>
      <c r="E325" s="22"/>
      <c r="F325" s="22"/>
      <c r="G325" s="22"/>
      <c r="H325" s="22"/>
      <c r="I325" s="177"/>
      <c r="J325" s="177"/>
      <c r="K325" s="177"/>
      <c r="L325" s="22">
        <f t="shared" si="12"/>
        <v>50</v>
      </c>
      <c r="M325" s="10"/>
    </row>
    <row r="326" spans="1:13" ht="23.25" x14ac:dyDescent="0.25">
      <c r="A326" s="22">
        <f t="shared" si="14"/>
        <v>299</v>
      </c>
      <c r="B326" s="22" t="s">
        <v>1314</v>
      </c>
      <c r="C326" s="372">
        <v>60</v>
      </c>
      <c r="D326" s="22">
        <v>20</v>
      </c>
      <c r="E326" s="22"/>
      <c r="F326" s="22"/>
      <c r="G326" s="22"/>
      <c r="H326" s="22"/>
      <c r="I326" s="177"/>
      <c r="J326" s="177"/>
      <c r="K326" s="177"/>
      <c r="L326" s="22">
        <f t="shared" si="12"/>
        <v>20</v>
      </c>
      <c r="M326" s="10"/>
    </row>
    <row r="327" spans="1:13" ht="23.25" x14ac:dyDescent="0.25">
      <c r="A327" s="22">
        <f t="shared" si="14"/>
        <v>300</v>
      </c>
      <c r="B327" s="22" t="s">
        <v>175</v>
      </c>
      <c r="C327" s="372" t="s">
        <v>455</v>
      </c>
      <c r="D327" s="22">
        <v>1000</v>
      </c>
      <c r="E327" s="22"/>
      <c r="F327" s="22"/>
      <c r="G327" s="22"/>
      <c r="H327" s="22"/>
      <c r="I327" s="177"/>
      <c r="J327" s="177"/>
      <c r="K327" s="177"/>
      <c r="L327" s="22">
        <f t="shared" si="12"/>
        <v>1000</v>
      </c>
      <c r="M327" s="10"/>
    </row>
    <row r="328" spans="1:13" ht="23.25" x14ac:dyDescent="0.25">
      <c r="A328" s="22">
        <f t="shared" si="14"/>
        <v>301</v>
      </c>
      <c r="B328" s="22" t="s">
        <v>176</v>
      </c>
      <c r="C328" s="372">
        <v>20</v>
      </c>
      <c r="D328" s="22">
        <v>60</v>
      </c>
      <c r="E328" s="22"/>
      <c r="F328" s="22"/>
      <c r="G328" s="22"/>
      <c r="H328" s="22"/>
      <c r="I328" s="177"/>
      <c r="J328" s="177"/>
      <c r="K328" s="177"/>
      <c r="L328" s="22">
        <f t="shared" si="12"/>
        <v>60</v>
      </c>
      <c r="M328" s="10"/>
    </row>
    <row r="329" spans="1:13" ht="23.25" x14ac:dyDescent="0.25">
      <c r="A329" s="22">
        <f t="shared" si="14"/>
        <v>302</v>
      </c>
      <c r="B329" s="22" t="s">
        <v>177</v>
      </c>
      <c r="C329" s="372" t="s">
        <v>455</v>
      </c>
      <c r="D329" s="22">
        <v>100</v>
      </c>
      <c r="E329" s="22"/>
      <c r="F329" s="22"/>
      <c r="G329" s="22"/>
      <c r="H329" s="22"/>
      <c r="I329" s="177"/>
      <c r="J329" s="177"/>
      <c r="K329" s="177"/>
      <c r="L329" s="22">
        <f t="shared" ref="L329:L392" si="15">SUM(D329:K329)</f>
        <v>100</v>
      </c>
      <c r="M329" s="10"/>
    </row>
    <row r="330" spans="1:13" ht="23.25" x14ac:dyDescent="0.25">
      <c r="A330" s="22">
        <f t="shared" si="14"/>
        <v>303</v>
      </c>
      <c r="B330" s="22" t="s">
        <v>696</v>
      </c>
      <c r="C330" s="372">
        <v>30</v>
      </c>
      <c r="D330" s="22">
        <v>80</v>
      </c>
      <c r="E330" s="22"/>
      <c r="F330" s="22"/>
      <c r="G330" s="22"/>
      <c r="H330" s="22"/>
      <c r="I330" s="177"/>
      <c r="J330" s="177"/>
      <c r="K330" s="177"/>
      <c r="L330" s="22">
        <f t="shared" si="15"/>
        <v>80</v>
      </c>
      <c r="M330" s="10"/>
    </row>
    <row r="331" spans="1:13" ht="23.25" x14ac:dyDescent="0.25">
      <c r="A331" s="22">
        <f t="shared" si="14"/>
        <v>304</v>
      </c>
      <c r="B331" s="22" t="s">
        <v>178</v>
      </c>
      <c r="C331" s="372">
        <v>5</v>
      </c>
      <c r="D331" s="22">
        <v>100</v>
      </c>
      <c r="E331" s="22"/>
      <c r="F331" s="22"/>
      <c r="G331" s="22"/>
      <c r="H331" s="22"/>
      <c r="I331" s="177"/>
      <c r="J331" s="177"/>
      <c r="K331" s="177"/>
      <c r="L331" s="22">
        <f t="shared" si="15"/>
        <v>100</v>
      </c>
      <c r="M331" s="10"/>
    </row>
    <row r="332" spans="1:13" ht="23.25" x14ac:dyDescent="0.25">
      <c r="A332" s="22">
        <f t="shared" si="14"/>
        <v>305</v>
      </c>
      <c r="B332" s="22" t="s">
        <v>179</v>
      </c>
      <c r="C332" s="372">
        <v>1000</v>
      </c>
      <c r="D332" s="22">
        <v>500</v>
      </c>
      <c r="E332" s="22"/>
      <c r="F332" s="22"/>
      <c r="G332" s="22"/>
      <c r="H332" s="22"/>
      <c r="I332" s="177"/>
      <c r="J332" s="177"/>
      <c r="K332" s="177"/>
      <c r="L332" s="22">
        <f t="shared" si="15"/>
        <v>500</v>
      </c>
      <c r="M332" s="10"/>
    </row>
    <row r="333" spans="1:13" ht="23.25" x14ac:dyDescent="0.25">
      <c r="A333" s="22">
        <f t="shared" si="14"/>
        <v>306</v>
      </c>
      <c r="B333" s="22" t="s">
        <v>722</v>
      </c>
      <c r="C333" s="372">
        <v>30</v>
      </c>
      <c r="D333" s="22">
        <v>2000</v>
      </c>
      <c r="E333" s="22"/>
      <c r="F333" s="22"/>
      <c r="G333" s="22"/>
      <c r="H333" s="22"/>
      <c r="I333" s="177"/>
      <c r="J333" s="177"/>
      <c r="K333" s="177"/>
      <c r="L333" s="22">
        <f t="shared" si="15"/>
        <v>2000</v>
      </c>
      <c r="M333" s="10"/>
    </row>
    <row r="334" spans="1:13" ht="23.25" x14ac:dyDescent="0.25">
      <c r="A334" s="22">
        <f t="shared" si="14"/>
        <v>307</v>
      </c>
      <c r="B334" s="22" t="s">
        <v>456</v>
      </c>
      <c r="C334" s="372" t="s">
        <v>144</v>
      </c>
      <c r="D334" s="22">
        <v>100</v>
      </c>
      <c r="E334" s="22"/>
      <c r="F334" s="22"/>
      <c r="G334" s="22"/>
      <c r="H334" s="22"/>
      <c r="I334" s="177"/>
      <c r="J334" s="177"/>
      <c r="K334" s="177"/>
      <c r="L334" s="22">
        <f t="shared" si="15"/>
        <v>100</v>
      </c>
      <c r="M334" s="10"/>
    </row>
    <row r="335" spans="1:13" ht="23.25" x14ac:dyDescent="0.25">
      <c r="A335" s="22">
        <f t="shared" si="14"/>
        <v>308</v>
      </c>
      <c r="B335" s="22" t="s">
        <v>180</v>
      </c>
      <c r="C335" s="372">
        <v>1000</v>
      </c>
      <c r="D335" s="22">
        <v>200</v>
      </c>
      <c r="E335" s="22"/>
      <c r="F335" s="22"/>
      <c r="G335" s="22"/>
      <c r="H335" s="22"/>
      <c r="I335" s="177"/>
      <c r="J335" s="177"/>
      <c r="K335" s="177"/>
      <c r="L335" s="22">
        <f t="shared" si="15"/>
        <v>200</v>
      </c>
      <c r="M335" s="10"/>
    </row>
    <row r="336" spans="1:13" ht="23.25" x14ac:dyDescent="0.25">
      <c r="A336" s="22">
        <f t="shared" si="14"/>
        <v>309</v>
      </c>
      <c r="B336" s="22" t="s">
        <v>182</v>
      </c>
      <c r="C336" s="372" t="s">
        <v>57</v>
      </c>
      <c r="D336" s="22">
        <v>1000</v>
      </c>
      <c r="E336" s="22"/>
      <c r="F336" s="22"/>
      <c r="G336" s="22"/>
      <c r="H336" s="22"/>
      <c r="I336" s="177"/>
      <c r="J336" s="177"/>
      <c r="K336" s="177"/>
      <c r="L336" s="22">
        <f t="shared" si="15"/>
        <v>1000</v>
      </c>
      <c r="M336" s="10"/>
    </row>
    <row r="337" spans="1:13" ht="23.25" x14ac:dyDescent="0.25">
      <c r="A337" s="22">
        <f t="shared" si="14"/>
        <v>310</v>
      </c>
      <c r="B337" s="22" t="s">
        <v>183</v>
      </c>
      <c r="C337" s="372">
        <v>30</v>
      </c>
      <c r="D337" s="22">
        <v>1500</v>
      </c>
      <c r="E337" s="22"/>
      <c r="F337" s="22"/>
      <c r="G337" s="22"/>
      <c r="H337" s="22"/>
      <c r="I337" s="177"/>
      <c r="J337" s="177"/>
      <c r="K337" s="177"/>
      <c r="L337" s="22">
        <f t="shared" si="15"/>
        <v>1500</v>
      </c>
      <c r="M337" s="10"/>
    </row>
    <row r="338" spans="1:13" ht="23.25" x14ac:dyDescent="0.25">
      <c r="A338" s="22">
        <f t="shared" si="14"/>
        <v>311</v>
      </c>
      <c r="B338" s="22" t="s">
        <v>1315</v>
      </c>
      <c r="C338" s="372">
        <v>20</v>
      </c>
      <c r="D338" s="22">
        <v>600</v>
      </c>
      <c r="E338" s="22"/>
      <c r="F338" s="22"/>
      <c r="G338" s="22"/>
      <c r="H338" s="22"/>
      <c r="I338" s="177"/>
      <c r="J338" s="177"/>
      <c r="K338" s="177"/>
      <c r="L338" s="22">
        <f t="shared" si="15"/>
        <v>600</v>
      </c>
      <c r="M338" s="10"/>
    </row>
    <row r="339" spans="1:13" ht="23.25" x14ac:dyDescent="0.25">
      <c r="A339" s="22">
        <f t="shared" si="14"/>
        <v>312</v>
      </c>
      <c r="B339" s="22" t="s">
        <v>181</v>
      </c>
      <c r="C339" s="372">
        <v>30</v>
      </c>
      <c r="D339" s="22">
        <v>960</v>
      </c>
      <c r="E339" s="22"/>
      <c r="F339" s="22"/>
      <c r="G339" s="22"/>
      <c r="H339" s="22"/>
      <c r="I339" s="177"/>
      <c r="J339" s="177"/>
      <c r="K339" s="177"/>
      <c r="L339" s="22">
        <f t="shared" si="15"/>
        <v>960</v>
      </c>
      <c r="M339" s="10"/>
    </row>
    <row r="340" spans="1:13" ht="23.25" x14ac:dyDescent="0.25">
      <c r="A340" s="22">
        <f t="shared" si="14"/>
        <v>313</v>
      </c>
      <c r="B340" s="22" t="s">
        <v>1316</v>
      </c>
      <c r="C340" s="372">
        <v>100</v>
      </c>
      <c r="D340" s="22">
        <v>20</v>
      </c>
      <c r="E340" s="22"/>
      <c r="F340" s="22"/>
      <c r="G340" s="22"/>
      <c r="H340" s="22"/>
      <c r="I340" s="177"/>
      <c r="J340" s="177"/>
      <c r="K340" s="177"/>
      <c r="L340" s="22">
        <f t="shared" si="15"/>
        <v>20</v>
      </c>
      <c r="M340" s="10"/>
    </row>
    <row r="341" spans="1:13" ht="23.25" x14ac:dyDescent="0.25">
      <c r="A341" s="22">
        <f t="shared" si="14"/>
        <v>314</v>
      </c>
      <c r="B341" s="22" t="s">
        <v>753</v>
      </c>
      <c r="C341" s="372" t="s">
        <v>144</v>
      </c>
      <c r="D341" s="22">
        <v>200</v>
      </c>
      <c r="E341" s="22"/>
      <c r="F341" s="22"/>
      <c r="G341" s="22"/>
      <c r="H341" s="22"/>
      <c r="I341" s="177"/>
      <c r="J341" s="177"/>
      <c r="K341" s="177"/>
      <c r="L341" s="22">
        <f t="shared" si="15"/>
        <v>200</v>
      </c>
      <c r="M341" s="10"/>
    </row>
    <row r="342" spans="1:13" ht="23.25" x14ac:dyDescent="0.25">
      <c r="A342" s="22">
        <f t="shared" si="14"/>
        <v>315</v>
      </c>
      <c r="B342" s="22" t="s">
        <v>691</v>
      </c>
      <c r="C342" s="372" t="s">
        <v>144</v>
      </c>
      <c r="D342" s="22">
        <v>800</v>
      </c>
      <c r="E342" s="22"/>
      <c r="F342" s="22"/>
      <c r="G342" s="22"/>
      <c r="H342" s="22"/>
      <c r="I342" s="177"/>
      <c r="J342" s="177"/>
      <c r="K342" s="177"/>
      <c r="L342" s="22">
        <f t="shared" si="15"/>
        <v>800</v>
      </c>
      <c r="M342" s="10"/>
    </row>
    <row r="343" spans="1:13" ht="23.25" x14ac:dyDescent="0.25">
      <c r="A343" s="22">
        <f t="shared" si="14"/>
        <v>316</v>
      </c>
      <c r="B343" s="22" t="s">
        <v>184</v>
      </c>
      <c r="C343" s="372">
        <v>1000</v>
      </c>
      <c r="D343" s="22">
        <v>100</v>
      </c>
      <c r="E343" s="22"/>
      <c r="F343" s="22"/>
      <c r="G343" s="22"/>
      <c r="H343" s="22"/>
      <c r="I343" s="177"/>
      <c r="J343" s="177"/>
      <c r="K343" s="177"/>
      <c r="L343" s="22">
        <f t="shared" si="15"/>
        <v>100</v>
      </c>
      <c r="M343" s="10"/>
    </row>
    <row r="344" spans="1:13" ht="23.25" x14ac:dyDescent="0.25">
      <c r="A344" s="22">
        <f t="shared" si="14"/>
        <v>317</v>
      </c>
      <c r="B344" s="22" t="s">
        <v>723</v>
      </c>
      <c r="C344" s="372">
        <v>30</v>
      </c>
      <c r="D344" s="22">
        <v>50</v>
      </c>
      <c r="E344" s="22"/>
      <c r="F344" s="22"/>
      <c r="G344" s="22"/>
      <c r="H344" s="22"/>
      <c r="I344" s="177"/>
      <c r="J344" s="177"/>
      <c r="K344" s="177"/>
      <c r="L344" s="22">
        <f t="shared" si="15"/>
        <v>50</v>
      </c>
      <c r="M344" s="10"/>
    </row>
    <row r="345" spans="1:13" ht="23.25" x14ac:dyDescent="0.25">
      <c r="A345" s="22">
        <f t="shared" si="14"/>
        <v>318</v>
      </c>
      <c r="B345" s="22" t="s">
        <v>705</v>
      </c>
      <c r="C345" s="372">
        <v>100</v>
      </c>
      <c r="D345" s="22">
        <v>400</v>
      </c>
      <c r="E345" s="22"/>
      <c r="F345" s="22"/>
      <c r="G345" s="22"/>
      <c r="H345" s="22"/>
      <c r="I345" s="177"/>
      <c r="J345" s="177"/>
      <c r="K345" s="177"/>
      <c r="L345" s="22">
        <f t="shared" si="15"/>
        <v>400</v>
      </c>
      <c r="M345" s="10"/>
    </row>
    <row r="346" spans="1:13" ht="23.25" x14ac:dyDescent="0.25">
      <c r="A346" s="22">
        <f t="shared" si="14"/>
        <v>319</v>
      </c>
      <c r="B346" s="22" t="s">
        <v>754</v>
      </c>
      <c r="C346" s="372">
        <v>30</v>
      </c>
      <c r="D346" s="22">
        <v>1800</v>
      </c>
      <c r="E346" s="22"/>
      <c r="F346" s="22"/>
      <c r="G346" s="22"/>
      <c r="H346" s="22"/>
      <c r="I346" s="177"/>
      <c r="J346" s="177"/>
      <c r="K346" s="177"/>
      <c r="L346" s="22">
        <f t="shared" si="15"/>
        <v>1800</v>
      </c>
      <c r="M346" s="10"/>
    </row>
    <row r="347" spans="1:13" ht="23.25" x14ac:dyDescent="0.25">
      <c r="A347" s="22">
        <f t="shared" si="14"/>
        <v>320</v>
      </c>
      <c r="B347" s="22" t="s">
        <v>457</v>
      </c>
      <c r="C347" s="372">
        <v>3</v>
      </c>
      <c r="D347" s="22">
        <v>2000</v>
      </c>
      <c r="E347" s="22"/>
      <c r="F347" s="22"/>
      <c r="G347" s="22"/>
      <c r="H347" s="22"/>
      <c r="I347" s="177"/>
      <c r="J347" s="177"/>
      <c r="K347" s="177"/>
      <c r="L347" s="22">
        <f t="shared" si="15"/>
        <v>2000</v>
      </c>
      <c r="M347" s="10"/>
    </row>
    <row r="348" spans="1:13" ht="23.25" x14ac:dyDescent="0.25">
      <c r="A348" s="22">
        <f t="shared" si="14"/>
        <v>321</v>
      </c>
      <c r="B348" s="22" t="s">
        <v>185</v>
      </c>
      <c r="C348" s="372">
        <v>30</v>
      </c>
      <c r="D348" s="22">
        <v>400</v>
      </c>
      <c r="E348" s="22"/>
      <c r="F348" s="22"/>
      <c r="G348" s="22"/>
      <c r="H348" s="22"/>
      <c r="I348" s="177"/>
      <c r="J348" s="177"/>
      <c r="K348" s="177"/>
      <c r="L348" s="22">
        <f t="shared" si="15"/>
        <v>400</v>
      </c>
      <c r="M348" s="10"/>
    </row>
    <row r="349" spans="1:13" ht="23.25" x14ac:dyDescent="0.25">
      <c r="A349" s="22">
        <f t="shared" si="14"/>
        <v>322</v>
      </c>
      <c r="B349" s="22" t="s">
        <v>458</v>
      </c>
      <c r="C349" s="372">
        <v>30</v>
      </c>
      <c r="D349" s="22">
        <v>50</v>
      </c>
      <c r="E349" s="22"/>
      <c r="F349" s="22"/>
      <c r="G349" s="22"/>
      <c r="H349" s="22"/>
      <c r="I349" s="177"/>
      <c r="J349" s="177"/>
      <c r="K349" s="177"/>
      <c r="L349" s="22">
        <f t="shared" si="15"/>
        <v>50</v>
      </c>
      <c r="M349" s="10"/>
    </row>
    <row r="350" spans="1:13" ht="23.25" x14ac:dyDescent="0.25">
      <c r="A350" s="22">
        <f t="shared" si="14"/>
        <v>323</v>
      </c>
      <c r="B350" s="22" t="s">
        <v>187</v>
      </c>
      <c r="C350" s="372" t="s">
        <v>455</v>
      </c>
      <c r="D350" s="22">
        <v>2000</v>
      </c>
      <c r="E350" s="22"/>
      <c r="F350" s="22"/>
      <c r="G350" s="22"/>
      <c r="H350" s="22"/>
      <c r="I350" s="177"/>
      <c r="J350" s="177"/>
      <c r="K350" s="177"/>
      <c r="L350" s="22">
        <f t="shared" si="15"/>
        <v>2000</v>
      </c>
      <c r="M350" s="10"/>
    </row>
    <row r="351" spans="1:13" ht="23.25" x14ac:dyDescent="0.25">
      <c r="A351" s="22">
        <f t="shared" si="14"/>
        <v>324</v>
      </c>
      <c r="B351" s="22" t="s">
        <v>186</v>
      </c>
      <c r="C351" s="372">
        <v>40</v>
      </c>
      <c r="D351" s="22">
        <v>250</v>
      </c>
      <c r="E351" s="22"/>
      <c r="F351" s="22"/>
      <c r="G351" s="22"/>
      <c r="H351" s="22"/>
      <c r="I351" s="177"/>
      <c r="J351" s="177"/>
      <c r="K351" s="177"/>
      <c r="L351" s="22">
        <f t="shared" si="15"/>
        <v>250</v>
      </c>
      <c r="M351" s="10"/>
    </row>
    <row r="352" spans="1:13" ht="23.25" x14ac:dyDescent="0.25">
      <c r="A352" s="22">
        <f t="shared" si="14"/>
        <v>325</v>
      </c>
      <c r="B352" s="22" t="s">
        <v>188</v>
      </c>
      <c r="C352" s="372">
        <v>1000</v>
      </c>
      <c r="D352" s="22">
        <v>20</v>
      </c>
      <c r="E352" s="22"/>
      <c r="F352" s="22"/>
      <c r="G352" s="22"/>
      <c r="H352" s="22"/>
      <c r="I352" s="177"/>
      <c r="J352" s="177"/>
      <c r="K352" s="177"/>
      <c r="L352" s="22">
        <f t="shared" si="15"/>
        <v>20</v>
      </c>
      <c r="M352" s="10"/>
    </row>
    <row r="353" spans="1:13" ht="23.25" x14ac:dyDescent="0.25">
      <c r="A353" s="22">
        <f t="shared" si="14"/>
        <v>326</v>
      </c>
      <c r="B353" s="22" t="s">
        <v>459</v>
      </c>
      <c r="C353" s="372">
        <v>30</v>
      </c>
      <c r="D353" s="22">
        <v>10</v>
      </c>
      <c r="E353" s="22"/>
      <c r="F353" s="22"/>
      <c r="G353" s="22"/>
      <c r="H353" s="22"/>
      <c r="I353" s="177"/>
      <c r="J353" s="177"/>
      <c r="K353" s="177"/>
      <c r="L353" s="22">
        <f t="shared" si="15"/>
        <v>10</v>
      </c>
      <c r="M353" s="10"/>
    </row>
    <row r="354" spans="1:13" ht="23.25" x14ac:dyDescent="0.25">
      <c r="A354" s="22">
        <f t="shared" si="14"/>
        <v>327</v>
      </c>
      <c r="B354" s="22" t="s">
        <v>1317</v>
      </c>
      <c r="C354" s="372">
        <v>30</v>
      </c>
      <c r="D354" s="22">
        <v>100</v>
      </c>
      <c r="E354" s="22"/>
      <c r="F354" s="22"/>
      <c r="G354" s="22"/>
      <c r="H354" s="22"/>
      <c r="I354" s="177"/>
      <c r="J354" s="177"/>
      <c r="K354" s="177"/>
      <c r="L354" s="22">
        <f t="shared" si="15"/>
        <v>100</v>
      </c>
      <c r="M354" s="10"/>
    </row>
    <row r="355" spans="1:13" ht="23.25" x14ac:dyDescent="0.25">
      <c r="A355" s="22">
        <f t="shared" si="14"/>
        <v>328</v>
      </c>
      <c r="B355" s="22" t="s">
        <v>1318</v>
      </c>
      <c r="C355" s="372">
        <v>30</v>
      </c>
      <c r="D355" s="22">
        <v>50</v>
      </c>
      <c r="E355" s="22"/>
      <c r="F355" s="22"/>
      <c r="G355" s="22"/>
      <c r="H355" s="22"/>
      <c r="I355" s="177"/>
      <c r="J355" s="177"/>
      <c r="K355" s="177"/>
      <c r="L355" s="22">
        <f t="shared" si="15"/>
        <v>50</v>
      </c>
      <c r="M355" s="10"/>
    </row>
    <row r="356" spans="1:13" ht="23.25" x14ac:dyDescent="0.25">
      <c r="A356" s="22">
        <f t="shared" si="14"/>
        <v>329</v>
      </c>
      <c r="B356" s="22" t="s">
        <v>189</v>
      </c>
      <c r="C356" s="372" t="s">
        <v>455</v>
      </c>
      <c r="D356" s="22">
        <v>50</v>
      </c>
      <c r="E356" s="22"/>
      <c r="F356" s="22"/>
      <c r="G356" s="22"/>
      <c r="H356" s="22"/>
      <c r="I356" s="177"/>
      <c r="J356" s="177"/>
      <c r="K356" s="177"/>
      <c r="L356" s="22">
        <f t="shared" si="15"/>
        <v>50</v>
      </c>
      <c r="M356" s="10"/>
    </row>
    <row r="357" spans="1:13" ht="23.25" x14ac:dyDescent="0.25">
      <c r="A357" s="22">
        <f t="shared" si="14"/>
        <v>330</v>
      </c>
      <c r="B357" s="22" t="s">
        <v>711</v>
      </c>
      <c r="C357" s="372">
        <v>60</v>
      </c>
      <c r="D357" s="22">
        <v>200</v>
      </c>
      <c r="E357" s="22"/>
      <c r="F357" s="22"/>
      <c r="G357" s="22"/>
      <c r="H357" s="22"/>
      <c r="I357" s="177"/>
      <c r="J357" s="177"/>
      <c r="K357" s="177"/>
      <c r="L357" s="22">
        <f t="shared" si="15"/>
        <v>200</v>
      </c>
      <c r="M357" s="10"/>
    </row>
    <row r="358" spans="1:13" ht="23.25" x14ac:dyDescent="0.25">
      <c r="A358" s="22">
        <f t="shared" si="14"/>
        <v>331</v>
      </c>
      <c r="B358" s="22" t="s">
        <v>190</v>
      </c>
      <c r="C358" s="372">
        <v>20</v>
      </c>
      <c r="D358" s="22">
        <v>100</v>
      </c>
      <c r="E358" s="22"/>
      <c r="F358" s="22"/>
      <c r="G358" s="22"/>
      <c r="H358" s="22"/>
      <c r="I358" s="177"/>
      <c r="J358" s="177"/>
      <c r="K358" s="177"/>
      <c r="L358" s="22">
        <f t="shared" si="15"/>
        <v>100</v>
      </c>
      <c r="M358" s="10"/>
    </row>
    <row r="359" spans="1:13" ht="23.25" x14ac:dyDescent="0.25">
      <c r="A359" s="22">
        <f t="shared" si="14"/>
        <v>332</v>
      </c>
      <c r="B359" s="22" t="s">
        <v>191</v>
      </c>
      <c r="C359" s="372">
        <v>5</v>
      </c>
      <c r="D359" s="22">
        <f>1600/5</f>
        <v>320</v>
      </c>
      <c r="E359" s="22"/>
      <c r="F359" s="22"/>
      <c r="G359" s="22"/>
      <c r="H359" s="22"/>
      <c r="I359" s="177"/>
      <c r="J359" s="177"/>
      <c r="K359" s="177"/>
      <c r="L359" s="22">
        <f t="shared" si="15"/>
        <v>320</v>
      </c>
      <c r="M359" s="10"/>
    </row>
    <row r="360" spans="1:13" ht="23.25" x14ac:dyDescent="0.25">
      <c r="A360" s="22">
        <f t="shared" si="14"/>
        <v>333</v>
      </c>
      <c r="B360" s="22" t="s">
        <v>1319</v>
      </c>
      <c r="C360" s="372">
        <v>30</v>
      </c>
      <c r="D360" s="22">
        <v>20</v>
      </c>
      <c r="E360" s="22"/>
      <c r="F360" s="22"/>
      <c r="G360" s="22"/>
      <c r="H360" s="22"/>
      <c r="I360" s="177"/>
      <c r="J360" s="177"/>
      <c r="K360" s="177"/>
      <c r="L360" s="22">
        <f t="shared" si="15"/>
        <v>20</v>
      </c>
      <c r="M360" s="10"/>
    </row>
    <row r="361" spans="1:13" ht="23.25" x14ac:dyDescent="0.25">
      <c r="A361" s="22">
        <f t="shared" si="14"/>
        <v>334</v>
      </c>
      <c r="B361" s="22" t="s">
        <v>1320</v>
      </c>
      <c r="C361" s="372">
        <v>30</v>
      </c>
      <c r="D361" s="22">
        <v>20</v>
      </c>
      <c r="E361" s="22"/>
      <c r="F361" s="22"/>
      <c r="G361" s="22"/>
      <c r="H361" s="22"/>
      <c r="I361" s="177"/>
      <c r="J361" s="177"/>
      <c r="K361" s="177"/>
      <c r="L361" s="22">
        <f t="shared" si="15"/>
        <v>20</v>
      </c>
      <c r="M361" s="10"/>
    </row>
    <row r="362" spans="1:13" ht="23.25" x14ac:dyDescent="0.25">
      <c r="A362" s="22">
        <f t="shared" si="14"/>
        <v>335</v>
      </c>
      <c r="B362" s="22" t="s">
        <v>192</v>
      </c>
      <c r="C362" s="372">
        <v>100</v>
      </c>
      <c r="D362" s="22">
        <v>1800</v>
      </c>
      <c r="E362" s="22"/>
      <c r="F362" s="22"/>
      <c r="G362" s="22"/>
      <c r="H362" s="22"/>
      <c r="I362" s="177"/>
      <c r="J362" s="177"/>
      <c r="K362" s="177"/>
      <c r="L362" s="22">
        <f t="shared" si="15"/>
        <v>1800</v>
      </c>
      <c r="M362" s="10"/>
    </row>
    <row r="363" spans="1:13" ht="23.25" x14ac:dyDescent="0.25">
      <c r="A363" s="22">
        <f t="shared" si="14"/>
        <v>336</v>
      </c>
      <c r="B363" s="22" t="s">
        <v>1321</v>
      </c>
      <c r="C363" s="372">
        <v>30</v>
      </c>
      <c r="D363" s="22">
        <v>50</v>
      </c>
      <c r="E363" s="22"/>
      <c r="F363" s="22"/>
      <c r="G363" s="22"/>
      <c r="H363" s="22"/>
      <c r="I363" s="177"/>
      <c r="J363" s="177"/>
      <c r="K363" s="177"/>
      <c r="L363" s="22">
        <f t="shared" si="15"/>
        <v>50</v>
      </c>
      <c r="M363" s="10"/>
    </row>
    <row r="364" spans="1:13" ht="23.25" x14ac:dyDescent="0.25">
      <c r="A364" s="22">
        <f t="shared" si="14"/>
        <v>337</v>
      </c>
      <c r="B364" s="22" t="s">
        <v>193</v>
      </c>
      <c r="C364" s="372">
        <v>1000</v>
      </c>
      <c r="D364" s="22">
        <v>800</v>
      </c>
      <c r="E364" s="22"/>
      <c r="F364" s="22"/>
      <c r="G364" s="22"/>
      <c r="H364" s="22"/>
      <c r="I364" s="177"/>
      <c r="J364" s="177"/>
      <c r="K364" s="177"/>
      <c r="L364" s="22">
        <f t="shared" si="15"/>
        <v>800</v>
      </c>
      <c r="M364" s="10"/>
    </row>
    <row r="365" spans="1:13" ht="23.25" x14ac:dyDescent="0.25">
      <c r="A365" s="22">
        <f t="shared" si="14"/>
        <v>338</v>
      </c>
      <c r="B365" s="22" t="s">
        <v>194</v>
      </c>
      <c r="C365" s="372" t="s">
        <v>57</v>
      </c>
      <c r="D365" s="22">
        <v>3500</v>
      </c>
      <c r="E365" s="22"/>
      <c r="F365" s="22"/>
      <c r="G365" s="22"/>
      <c r="H365" s="22"/>
      <c r="I365" s="177"/>
      <c r="J365" s="177"/>
      <c r="K365" s="177"/>
      <c r="L365" s="22">
        <f t="shared" si="15"/>
        <v>3500</v>
      </c>
      <c r="M365" s="10"/>
    </row>
    <row r="366" spans="1:13" ht="23.25" x14ac:dyDescent="0.25">
      <c r="A366" s="22">
        <f t="shared" si="14"/>
        <v>339</v>
      </c>
      <c r="B366" s="22" t="s">
        <v>195</v>
      </c>
      <c r="C366" s="372" t="s">
        <v>144</v>
      </c>
      <c r="D366" s="22">
        <v>800</v>
      </c>
      <c r="E366" s="22"/>
      <c r="F366" s="22"/>
      <c r="G366" s="22"/>
      <c r="H366" s="22"/>
      <c r="I366" s="177"/>
      <c r="J366" s="177"/>
      <c r="K366" s="177"/>
      <c r="L366" s="22">
        <f t="shared" si="15"/>
        <v>800</v>
      </c>
      <c r="M366" s="10"/>
    </row>
    <row r="367" spans="1:13" ht="23.25" x14ac:dyDescent="0.25">
      <c r="A367" s="22">
        <f t="shared" si="14"/>
        <v>340</v>
      </c>
      <c r="B367" s="22" t="s">
        <v>1322</v>
      </c>
      <c r="C367" s="372">
        <v>1000</v>
      </c>
      <c r="D367" s="22">
        <v>300</v>
      </c>
      <c r="E367" s="22"/>
      <c r="F367" s="22"/>
      <c r="G367" s="22"/>
      <c r="H367" s="22"/>
      <c r="I367" s="177"/>
      <c r="J367" s="177"/>
      <c r="K367" s="177"/>
      <c r="L367" s="22">
        <f t="shared" si="15"/>
        <v>300</v>
      </c>
      <c r="M367" s="10"/>
    </row>
    <row r="368" spans="1:13" ht="23.25" x14ac:dyDescent="0.25">
      <c r="A368" s="22">
        <f t="shared" si="14"/>
        <v>341</v>
      </c>
      <c r="B368" s="22" t="s">
        <v>1323</v>
      </c>
      <c r="C368" s="372">
        <v>1000</v>
      </c>
      <c r="D368" s="22">
        <v>800</v>
      </c>
      <c r="E368" s="22"/>
      <c r="F368" s="22"/>
      <c r="G368" s="22"/>
      <c r="H368" s="22"/>
      <c r="I368" s="177"/>
      <c r="J368" s="177"/>
      <c r="K368" s="177"/>
      <c r="L368" s="22">
        <f t="shared" si="15"/>
        <v>800</v>
      </c>
      <c r="M368" s="10"/>
    </row>
    <row r="369" spans="1:13" ht="23.25" x14ac:dyDescent="0.25">
      <c r="A369" s="22">
        <f t="shared" si="14"/>
        <v>342</v>
      </c>
      <c r="B369" s="22" t="s">
        <v>1324</v>
      </c>
      <c r="C369" s="372">
        <v>100</v>
      </c>
      <c r="D369" s="22">
        <v>60</v>
      </c>
      <c r="E369" s="22"/>
      <c r="F369" s="22"/>
      <c r="G369" s="22"/>
      <c r="H369" s="22"/>
      <c r="I369" s="177"/>
      <c r="J369" s="177"/>
      <c r="K369" s="177"/>
      <c r="L369" s="22">
        <f t="shared" si="15"/>
        <v>60</v>
      </c>
      <c r="M369" s="10"/>
    </row>
    <row r="370" spans="1:13" ht="23.25" x14ac:dyDescent="0.25">
      <c r="A370" s="22">
        <f t="shared" si="14"/>
        <v>343</v>
      </c>
      <c r="B370" s="22" t="s">
        <v>198</v>
      </c>
      <c r="C370" s="372" t="s">
        <v>455</v>
      </c>
      <c r="D370" s="22">
        <v>500</v>
      </c>
      <c r="E370" s="22"/>
      <c r="F370" s="22"/>
      <c r="G370" s="22"/>
      <c r="H370" s="22"/>
      <c r="I370" s="177"/>
      <c r="J370" s="177"/>
      <c r="K370" s="177"/>
      <c r="L370" s="22">
        <f t="shared" si="15"/>
        <v>500</v>
      </c>
      <c r="M370" s="10"/>
    </row>
    <row r="371" spans="1:13" ht="23.25" x14ac:dyDescent="0.25">
      <c r="A371" s="22">
        <f t="shared" si="14"/>
        <v>344</v>
      </c>
      <c r="B371" s="22" t="s">
        <v>199</v>
      </c>
      <c r="C371" s="372" t="s">
        <v>144</v>
      </c>
      <c r="D371" s="22">
        <v>3000</v>
      </c>
      <c r="E371" s="22"/>
      <c r="F371" s="22"/>
      <c r="G371" s="22"/>
      <c r="H371" s="22"/>
      <c r="I371" s="177"/>
      <c r="J371" s="177"/>
      <c r="K371" s="177"/>
      <c r="L371" s="22">
        <f t="shared" si="15"/>
        <v>3000</v>
      </c>
      <c r="M371" s="10"/>
    </row>
    <row r="372" spans="1:13" ht="23.25" x14ac:dyDescent="0.25">
      <c r="A372" s="22">
        <f t="shared" si="14"/>
        <v>345</v>
      </c>
      <c r="B372" s="22" t="s">
        <v>1325</v>
      </c>
      <c r="C372" s="372" t="s">
        <v>455</v>
      </c>
      <c r="D372" s="22">
        <v>50</v>
      </c>
      <c r="E372" s="22"/>
      <c r="F372" s="22"/>
      <c r="G372" s="22"/>
      <c r="H372" s="22"/>
      <c r="I372" s="177"/>
      <c r="J372" s="177"/>
      <c r="K372" s="177"/>
      <c r="L372" s="22">
        <f t="shared" si="15"/>
        <v>50</v>
      </c>
      <c r="M372" s="10"/>
    </row>
    <row r="373" spans="1:13" ht="23.25" x14ac:dyDescent="0.25">
      <c r="A373" s="22">
        <f t="shared" si="14"/>
        <v>346</v>
      </c>
      <c r="B373" s="22" t="s">
        <v>680</v>
      </c>
      <c r="C373" s="372">
        <v>30</v>
      </c>
      <c r="D373" s="22">
        <v>1200</v>
      </c>
      <c r="E373" s="22"/>
      <c r="F373" s="22"/>
      <c r="G373" s="22"/>
      <c r="H373" s="22"/>
      <c r="I373" s="177"/>
      <c r="J373" s="177"/>
      <c r="K373" s="177"/>
      <c r="L373" s="22">
        <f t="shared" si="15"/>
        <v>1200</v>
      </c>
      <c r="M373" s="10"/>
    </row>
    <row r="374" spans="1:13" ht="23.25" x14ac:dyDescent="0.25">
      <c r="A374" s="22">
        <f t="shared" si="14"/>
        <v>347</v>
      </c>
      <c r="B374" s="22" t="s">
        <v>1326</v>
      </c>
      <c r="C374" s="372">
        <v>30</v>
      </c>
      <c r="D374" s="22">
        <v>100</v>
      </c>
      <c r="E374" s="22"/>
      <c r="F374" s="22"/>
      <c r="G374" s="22"/>
      <c r="H374" s="22"/>
      <c r="I374" s="177"/>
      <c r="J374" s="177"/>
      <c r="K374" s="177"/>
      <c r="L374" s="22">
        <f t="shared" si="15"/>
        <v>100</v>
      </c>
      <c r="M374" s="10"/>
    </row>
    <row r="375" spans="1:13" ht="23.25" x14ac:dyDescent="0.25">
      <c r="A375" s="22">
        <f t="shared" si="14"/>
        <v>348</v>
      </c>
      <c r="B375" s="22" t="s">
        <v>200</v>
      </c>
      <c r="C375" s="372" t="s">
        <v>455</v>
      </c>
      <c r="D375" s="22">
        <v>2000</v>
      </c>
      <c r="E375" s="22"/>
      <c r="F375" s="22"/>
      <c r="G375" s="22"/>
      <c r="H375" s="22"/>
      <c r="I375" s="177"/>
      <c r="J375" s="177"/>
      <c r="K375" s="177"/>
      <c r="L375" s="22">
        <f t="shared" si="15"/>
        <v>2000</v>
      </c>
      <c r="M375" s="10"/>
    </row>
    <row r="376" spans="1:13" ht="23.25" x14ac:dyDescent="0.25">
      <c r="A376" s="22">
        <f t="shared" si="14"/>
        <v>349</v>
      </c>
      <c r="B376" s="22" t="s">
        <v>201</v>
      </c>
      <c r="C376" s="372">
        <v>28</v>
      </c>
      <c r="D376" s="22">
        <v>200</v>
      </c>
      <c r="E376" s="22"/>
      <c r="F376" s="22"/>
      <c r="G376" s="22"/>
      <c r="H376" s="22"/>
      <c r="I376" s="177"/>
      <c r="J376" s="177"/>
      <c r="K376" s="177"/>
      <c r="L376" s="22">
        <f t="shared" si="15"/>
        <v>200</v>
      </c>
      <c r="M376" s="10"/>
    </row>
    <row r="377" spans="1:13" ht="23.25" x14ac:dyDescent="0.25">
      <c r="A377" s="22">
        <f t="shared" si="14"/>
        <v>350</v>
      </c>
      <c r="B377" s="22" t="s">
        <v>202</v>
      </c>
      <c r="C377" s="372">
        <v>28</v>
      </c>
      <c r="D377" s="22">
        <v>120</v>
      </c>
      <c r="E377" s="22"/>
      <c r="F377" s="22"/>
      <c r="G377" s="22"/>
      <c r="H377" s="22"/>
      <c r="I377" s="177"/>
      <c r="J377" s="177"/>
      <c r="K377" s="177"/>
      <c r="L377" s="22">
        <f t="shared" si="15"/>
        <v>120</v>
      </c>
      <c r="M377" s="10"/>
    </row>
    <row r="378" spans="1:13" ht="23.25" x14ac:dyDescent="0.25">
      <c r="A378" s="22"/>
      <c r="B378" s="22"/>
      <c r="C378" s="372"/>
      <c r="D378" s="22"/>
      <c r="E378" s="22"/>
      <c r="F378" s="22"/>
      <c r="G378" s="22"/>
      <c r="H378" s="22"/>
      <c r="I378" s="177"/>
      <c r="J378" s="177"/>
      <c r="K378" s="177"/>
      <c r="L378" s="22">
        <f t="shared" si="15"/>
        <v>0</v>
      </c>
      <c r="M378" s="10"/>
    </row>
    <row r="379" spans="1:13" ht="23.25" x14ac:dyDescent="0.25">
      <c r="A379" s="22"/>
      <c r="B379" s="22"/>
      <c r="C379" s="372"/>
      <c r="D379" s="22"/>
      <c r="E379" s="22"/>
      <c r="F379" s="22"/>
      <c r="G379" s="22"/>
      <c r="H379" s="22"/>
      <c r="I379" s="177"/>
      <c r="J379" s="177"/>
      <c r="K379" s="177"/>
      <c r="L379" s="22">
        <f t="shared" si="15"/>
        <v>0</v>
      </c>
      <c r="M379" s="10"/>
    </row>
    <row r="380" spans="1:13" ht="23.25" x14ac:dyDescent="0.25">
      <c r="A380" s="22" t="s">
        <v>203</v>
      </c>
      <c r="B380" s="22" t="s">
        <v>204</v>
      </c>
      <c r="C380" s="372"/>
      <c r="D380" s="22"/>
      <c r="E380" s="22"/>
      <c r="F380" s="22"/>
      <c r="G380" s="22"/>
      <c r="H380" s="22"/>
      <c r="I380" s="177"/>
      <c r="J380" s="177"/>
      <c r="K380" s="177"/>
      <c r="L380" s="22">
        <f t="shared" si="15"/>
        <v>0</v>
      </c>
      <c r="M380" s="10"/>
    </row>
    <row r="381" spans="1:13" ht="23.25" x14ac:dyDescent="0.25">
      <c r="A381" s="22"/>
      <c r="B381" s="22"/>
      <c r="C381" s="372"/>
      <c r="D381" s="22"/>
      <c r="E381" s="22"/>
      <c r="F381" s="22"/>
      <c r="G381" s="22"/>
      <c r="H381" s="22"/>
      <c r="I381" s="177"/>
      <c r="J381" s="177"/>
      <c r="K381" s="177"/>
      <c r="L381" s="22">
        <f t="shared" si="15"/>
        <v>0</v>
      </c>
      <c r="M381" s="10"/>
    </row>
    <row r="382" spans="1:13" ht="23.25" x14ac:dyDescent="0.25">
      <c r="A382" s="22">
        <f>A377+1</f>
        <v>351</v>
      </c>
      <c r="B382" s="22" t="s">
        <v>205</v>
      </c>
      <c r="C382" s="372">
        <v>500</v>
      </c>
      <c r="D382" s="22">
        <v>200</v>
      </c>
      <c r="E382" s="22"/>
      <c r="F382" s="22"/>
      <c r="G382" s="22"/>
      <c r="H382" s="22"/>
      <c r="I382" s="177"/>
      <c r="J382" s="177"/>
      <c r="K382" s="177"/>
      <c r="L382" s="22">
        <f t="shared" si="15"/>
        <v>200</v>
      </c>
      <c r="M382" s="10"/>
    </row>
    <row r="383" spans="1:13" ht="23.25" x14ac:dyDescent="0.25">
      <c r="A383" s="22">
        <f t="shared" ref="A383:A406" si="16">A382+1</f>
        <v>352</v>
      </c>
      <c r="B383" s="22" t="s">
        <v>206</v>
      </c>
      <c r="C383" s="372">
        <v>500</v>
      </c>
      <c r="D383" s="22">
        <v>15</v>
      </c>
      <c r="E383" s="22"/>
      <c r="F383" s="22"/>
      <c r="G383" s="22"/>
      <c r="H383" s="22"/>
      <c r="I383" s="177"/>
      <c r="J383" s="177"/>
      <c r="K383" s="177"/>
      <c r="L383" s="22">
        <f t="shared" si="15"/>
        <v>15</v>
      </c>
      <c r="M383" s="10"/>
    </row>
    <row r="384" spans="1:13" ht="23.25" x14ac:dyDescent="0.25">
      <c r="A384" s="22">
        <f t="shared" si="16"/>
        <v>353</v>
      </c>
      <c r="B384" s="22" t="s">
        <v>207</v>
      </c>
      <c r="C384" s="372">
        <v>30</v>
      </c>
      <c r="D384" s="22">
        <v>800</v>
      </c>
      <c r="E384" s="22"/>
      <c r="F384" s="22"/>
      <c r="G384" s="22"/>
      <c r="H384" s="22"/>
      <c r="I384" s="177"/>
      <c r="J384" s="177"/>
      <c r="K384" s="177"/>
      <c r="L384" s="22">
        <f t="shared" si="15"/>
        <v>800</v>
      </c>
      <c r="M384" s="10"/>
    </row>
    <row r="385" spans="1:13" ht="23.25" x14ac:dyDescent="0.25">
      <c r="A385" s="22">
        <f t="shared" si="16"/>
        <v>354</v>
      </c>
      <c r="B385" s="22" t="s">
        <v>208</v>
      </c>
      <c r="C385" s="372">
        <v>30</v>
      </c>
      <c r="D385" s="22">
        <v>800</v>
      </c>
      <c r="E385" s="22"/>
      <c r="F385" s="22"/>
      <c r="G385" s="22"/>
      <c r="H385" s="22"/>
      <c r="I385" s="177"/>
      <c r="J385" s="177"/>
      <c r="K385" s="177"/>
      <c r="L385" s="22">
        <f t="shared" si="15"/>
        <v>800</v>
      </c>
      <c r="M385" s="10"/>
    </row>
    <row r="386" spans="1:13" ht="23.25" x14ac:dyDescent="0.25">
      <c r="A386" s="22">
        <f t="shared" si="16"/>
        <v>355</v>
      </c>
      <c r="B386" s="22" t="s">
        <v>209</v>
      </c>
      <c r="C386" s="372">
        <v>100</v>
      </c>
      <c r="D386" s="22">
        <v>1000</v>
      </c>
      <c r="E386" s="22"/>
      <c r="F386" s="22"/>
      <c r="G386" s="22"/>
      <c r="H386" s="22"/>
      <c r="I386" s="177"/>
      <c r="J386" s="177"/>
      <c r="K386" s="177"/>
      <c r="L386" s="22">
        <f t="shared" si="15"/>
        <v>1000</v>
      </c>
      <c r="M386" s="10"/>
    </row>
    <row r="387" spans="1:13" ht="23.25" x14ac:dyDescent="0.25">
      <c r="A387" s="22">
        <f t="shared" si="16"/>
        <v>356</v>
      </c>
      <c r="B387" s="22" t="s">
        <v>210</v>
      </c>
      <c r="C387" s="372">
        <v>50</v>
      </c>
      <c r="D387" s="22">
        <v>100</v>
      </c>
      <c r="E387" s="22"/>
      <c r="F387" s="22"/>
      <c r="G387" s="22"/>
      <c r="H387" s="22"/>
      <c r="I387" s="177"/>
      <c r="J387" s="177"/>
      <c r="K387" s="177"/>
      <c r="L387" s="22">
        <f t="shared" si="15"/>
        <v>100</v>
      </c>
      <c r="M387" s="10"/>
    </row>
    <row r="388" spans="1:13" ht="23.25" x14ac:dyDescent="0.25">
      <c r="A388" s="22">
        <f t="shared" si="16"/>
        <v>357</v>
      </c>
      <c r="B388" s="22" t="s">
        <v>211</v>
      </c>
      <c r="C388" s="372" t="s">
        <v>212</v>
      </c>
      <c r="D388" s="22">
        <v>12</v>
      </c>
      <c r="E388" s="22"/>
      <c r="F388" s="22"/>
      <c r="G388" s="22"/>
      <c r="H388" s="22"/>
      <c r="I388" s="177"/>
      <c r="J388" s="177"/>
      <c r="K388" s="177"/>
      <c r="L388" s="22">
        <f t="shared" si="15"/>
        <v>12</v>
      </c>
      <c r="M388" s="10"/>
    </row>
    <row r="389" spans="1:13" ht="23.25" x14ac:dyDescent="0.25">
      <c r="A389" s="22">
        <f t="shared" si="16"/>
        <v>358</v>
      </c>
      <c r="B389" s="22" t="s">
        <v>213</v>
      </c>
      <c r="C389" s="372">
        <v>50</v>
      </c>
      <c r="D389" s="22">
        <v>45</v>
      </c>
      <c r="E389" s="22"/>
      <c r="F389" s="22"/>
      <c r="G389" s="22"/>
      <c r="H389" s="22"/>
      <c r="I389" s="177"/>
      <c r="J389" s="177"/>
      <c r="K389" s="177"/>
      <c r="L389" s="22">
        <f t="shared" si="15"/>
        <v>45</v>
      </c>
      <c r="M389" s="10"/>
    </row>
    <row r="390" spans="1:13" ht="23.25" x14ac:dyDescent="0.25">
      <c r="A390" s="22">
        <f t="shared" si="16"/>
        <v>359</v>
      </c>
      <c r="B390" s="22" t="s">
        <v>214</v>
      </c>
      <c r="C390" s="372">
        <v>100</v>
      </c>
      <c r="D390" s="22">
        <v>10</v>
      </c>
      <c r="E390" s="22"/>
      <c r="F390" s="22"/>
      <c r="G390" s="22"/>
      <c r="H390" s="22"/>
      <c r="I390" s="177"/>
      <c r="J390" s="177"/>
      <c r="K390" s="177"/>
      <c r="L390" s="22">
        <f t="shared" si="15"/>
        <v>10</v>
      </c>
      <c r="M390" s="10"/>
    </row>
    <row r="391" spans="1:13" ht="23.25" x14ac:dyDescent="0.25">
      <c r="A391" s="22">
        <f t="shared" si="16"/>
        <v>360</v>
      </c>
      <c r="B391" s="22" t="s">
        <v>215</v>
      </c>
      <c r="C391" s="372">
        <v>1000</v>
      </c>
      <c r="D391" s="22">
        <v>4</v>
      </c>
      <c r="E391" s="22"/>
      <c r="F391" s="22"/>
      <c r="G391" s="22"/>
      <c r="H391" s="22"/>
      <c r="I391" s="177"/>
      <c r="J391" s="177"/>
      <c r="K391" s="177"/>
      <c r="L391" s="22">
        <f t="shared" si="15"/>
        <v>4</v>
      </c>
      <c r="M391" s="10"/>
    </row>
    <row r="392" spans="1:13" ht="23.25" x14ac:dyDescent="0.25">
      <c r="A392" s="22">
        <f t="shared" si="16"/>
        <v>361</v>
      </c>
      <c r="B392" s="22" t="s">
        <v>724</v>
      </c>
      <c r="C392" s="372">
        <v>10</v>
      </c>
      <c r="D392" s="22">
        <v>600</v>
      </c>
      <c r="E392" s="22"/>
      <c r="F392" s="22"/>
      <c r="G392" s="22"/>
      <c r="H392" s="22"/>
      <c r="I392" s="177"/>
      <c r="J392" s="177"/>
      <c r="K392" s="177"/>
      <c r="L392" s="22">
        <f t="shared" si="15"/>
        <v>600</v>
      </c>
      <c r="M392" s="10"/>
    </row>
    <row r="393" spans="1:13" ht="23.25" x14ac:dyDescent="0.25">
      <c r="A393" s="22">
        <f t="shared" si="16"/>
        <v>362</v>
      </c>
      <c r="B393" s="22" t="s">
        <v>756</v>
      </c>
      <c r="C393" s="372">
        <v>1000</v>
      </c>
      <c r="D393" s="22">
        <v>12</v>
      </c>
      <c r="E393" s="22"/>
      <c r="F393" s="22"/>
      <c r="G393" s="22"/>
      <c r="H393" s="22"/>
      <c r="I393" s="177"/>
      <c r="J393" s="177"/>
      <c r="K393" s="177"/>
      <c r="L393" s="22">
        <f t="shared" ref="L393:L456" si="17">SUM(D393:K393)</f>
        <v>12</v>
      </c>
      <c r="M393" s="10"/>
    </row>
    <row r="394" spans="1:13" ht="23.25" x14ac:dyDescent="0.25">
      <c r="A394" s="22">
        <f t="shared" si="16"/>
        <v>363</v>
      </c>
      <c r="B394" s="22" t="s">
        <v>755</v>
      </c>
      <c r="C394" s="372">
        <v>1000</v>
      </c>
      <c r="D394" s="22">
        <v>12</v>
      </c>
      <c r="E394" s="22"/>
      <c r="F394" s="22"/>
      <c r="G394" s="22"/>
      <c r="H394" s="22"/>
      <c r="I394" s="177"/>
      <c r="J394" s="177"/>
      <c r="K394" s="177"/>
      <c r="L394" s="22">
        <f t="shared" si="17"/>
        <v>12</v>
      </c>
      <c r="M394" s="10"/>
    </row>
    <row r="395" spans="1:13" ht="23.25" x14ac:dyDescent="0.25">
      <c r="A395" s="22">
        <f t="shared" si="16"/>
        <v>364</v>
      </c>
      <c r="B395" s="22" t="s">
        <v>216</v>
      </c>
      <c r="C395" s="372" t="s">
        <v>455</v>
      </c>
      <c r="D395" s="22">
        <v>200</v>
      </c>
      <c r="E395" s="22"/>
      <c r="F395" s="22"/>
      <c r="G395" s="22"/>
      <c r="H395" s="22"/>
      <c r="I395" s="177"/>
      <c r="J395" s="177"/>
      <c r="K395" s="177"/>
      <c r="L395" s="22">
        <f t="shared" si="17"/>
        <v>200</v>
      </c>
      <c r="M395" s="10"/>
    </row>
    <row r="396" spans="1:13" ht="23.25" x14ac:dyDescent="0.25">
      <c r="A396" s="22">
        <f t="shared" si="16"/>
        <v>365</v>
      </c>
      <c r="B396" s="22" t="s">
        <v>217</v>
      </c>
      <c r="C396" s="372" t="s">
        <v>455</v>
      </c>
      <c r="D396" s="22">
        <v>100</v>
      </c>
      <c r="E396" s="22"/>
      <c r="F396" s="22"/>
      <c r="G396" s="22"/>
      <c r="H396" s="22"/>
      <c r="I396" s="177"/>
      <c r="J396" s="177"/>
      <c r="K396" s="177"/>
      <c r="L396" s="22">
        <f t="shared" si="17"/>
        <v>100</v>
      </c>
      <c r="M396" s="10"/>
    </row>
    <row r="397" spans="1:13" ht="23.25" x14ac:dyDescent="0.25">
      <c r="A397" s="22">
        <f t="shared" si="16"/>
        <v>366</v>
      </c>
      <c r="B397" s="22" t="s">
        <v>668</v>
      </c>
      <c r="C397" s="372">
        <v>100</v>
      </c>
      <c r="D397" s="22">
        <v>500</v>
      </c>
      <c r="E397" s="22"/>
      <c r="F397" s="22"/>
      <c r="G397" s="22"/>
      <c r="H397" s="22"/>
      <c r="I397" s="177"/>
      <c r="J397" s="177"/>
      <c r="K397" s="177"/>
      <c r="L397" s="22">
        <f t="shared" si="17"/>
        <v>500</v>
      </c>
      <c r="M397" s="10"/>
    </row>
    <row r="398" spans="1:13" ht="23.25" x14ac:dyDescent="0.25">
      <c r="A398" s="22">
        <f t="shared" si="16"/>
        <v>367</v>
      </c>
      <c r="B398" s="22" t="s">
        <v>460</v>
      </c>
      <c r="C398" s="372">
        <v>1000</v>
      </c>
      <c r="D398" s="22">
        <v>2</v>
      </c>
      <c r="E398" s="22"/>
      <c r="F398" s="22"/>
      <c r="G398" s="22"/>
      <c r="H398" s="22"/>
      <c r="I398" s="177"/>
      <c r="J398" s="177"/>
      <c r="K398" s="177"/>
      <c r="L398" s="22">
        <f t="shared" si="17"/>
        <v>2</v>
      </c>
      <c r="M398" s="10"/>
    </row>
    <row r="399" spans="1:13" ht="23.25" x14ac:dyDescent="0.25">
      <c r="A399" s="22">
        <f t="shared" si="16"/>
        <v>368</v>
      </c>
      <c r="B399" s="22" t="s">
        <v>1327</v>
      </c>
      <c r="C399" s="372">
        <v>5</v>
      </c>
      <c r="D399" s="22">
        <v>80</v>
      </c>
      <c r="E399" s="22"/>
      <c r="F399" s="22"/>
      <c r="G399" s="22"/>
      <c r="H399" s="22"/>
      <c r="I399" s="177"/>
      <c r="J399" s="177"/>
      <c r="K399" s="177"/>
      <c r="L399" s="22">
        <f t="shared" si="17"/>
        <v>80</v>
      </c>
      <c r="M399" s="10"/>
    </row>
    <row r="400" spans="1:13" ht="23.25" x14ac:dyDescent="0.25">
      <c r="A400" s="22">
        <f t="shared" si="16"/>
        <v>369</v>
      </c>
      <c r="B400" s="22" t="s">
        <v>218</v>
      </c>
      <c r="C400" s="372">
        <v>500</v>
      </c>
      <c r="D400" s="22">
        <v>8</v>
      </c>
      <c r="E400" s="22"/>
      <c r="F400" s="22"/>
      <c r="G400" s="22"/>
      <c r="H400" s="22"/>
      <c r="I400" s="177"/>
      <c r="J400" s="177"/>
      <c r="K400" s="177"/>
      <c r="L400" s="22">
        <f t="shared" si="17"/>
        <v>8</v>
      </c>
      <c r="M400" s="10"/>
    </row>
    <row r="401" spans="1:13" ht="23.25" x14ac:dyDescent="0.25">
      <c r="A401" s="22">
        <f t="shared" si="16"/>
        <v>370</v>
      </c>
      <c r="B401" s="22" t="s">
        <v>219</v>
      </c>
      <c r="C401" s="372">
        <v>30</v>
      </c>
      <c r="D401" s="22">
        <v>208</v>
      </c>
      <c r="E401" s="22"/>
      <c r="F401" s="22"/>
      <c r="G401" s="22"/>
      <c r="H401" s="22"/>
      <c r="I401" s="177"/>
      <c r="J401" s="177"/>
      <c r="K401" s="177"/>
      <c r="L401" s="22">
        <f t="shared" si="17"/>
        <v>208</v>
      </c>
      <c r="M401" s="10"/>
    </row>
    <row r="402" spans="1:13" ht="23.25" x14ac:dyDescent="0.25">
      <c r="A402" s="22">
        <f t="shared" si="16"/>
        <v>371</v>
      </c>
      <c r="B402" s="22" t="s">
        <v>220</v>
      </c>
      <c r="C402" s="372">
        <v>30</v>
      </c>
      <c r="D402" s="22">
        <v>140</v>
      </c>
      <c r="E402" s="22"/>
      <c r="F402" s="22"/>
      <c r="G402" s="22"/>
      <c r="H402" s="22"/>
      <c r="I402" s="177"/>
      <c r="J402" s="177"/>
      <c r="K402" s="177"/>
      <c r="L402" s="22">
        <f t="shared" si="17"/>
        <v>140</v>
      </c>
      <c r="M402" s="10"/>
    </row>
    <row r="403" spans="1:13" ht="23.25" x14ac:dyDescent="0.25">
      <c r="A403" s="22">
        <f t="shared" si="16"/>
        <v>372</v>
      </c>
      <c r="B403" s="22" t="s">
        <v>221</v>
      </c>
      <c r="C403" s="372">
        <v>5</v>
      </c>
      <c r="D403" s="22">
        <v>60</v>
      </c>
      <c r="E403" s="22"/>
      <c r="F403" s="22"/>
      <c r="G403" s="22"/>
      <c r="H403" s="22"/>
      <c r="I403" s="177"/>
      <c r="J403" s="177"/>
      <c r="K403" s="177"/>
      <c r="L403" s="22">
        <f t="shared" si="17"/>
        <v>60</v>
      </c>
      <c r="M403" s="10"/>
    </row>
    <row r="404" spans="1:13" ht="23.25" x14ac:dyDescent="0.25">
      <c r="A404" s="22">
        <f t="shared" si="16"/>
        <v>373</v>
      </c>
      <c r="B404" s="22" t="s">
        <v>681</v>
      </c>
      <c r="C404" s="372">
        <v>30</v>
      </c>
      <c r="D404" s="22">
        <v>20</v>
      </c>
      <c r="E404" s="22"/>
      <c r="F404" s="22"/>
      <c r="G404" s="22"/>
      <c r="H404" s="22"/>
      <c r="I404" s="177"/>
      <c r="J404" s="177"/>
      <c r="K404" s="177"/>
      <c r="L404" s="22">
        <f t="shared" si="17"/>
        <v>20</v>
      </c>
      <c r="M404" s="10"/>
    </row>
    <row r="405" spans="1:13" ht="23.25" x14ac:dyDescent="0.25">
      <c r="A405" s="22">
        <f t="shared" si="16"/>
        <v>374</v>
      </c>
      <c r="B405" s="22" t="s">
        <v>222</v>
      </c>
      <c r="C405" s="372">
        <v>100</v>
      </c>
      <c r="D405" s="22">
        <v>8</v>
      </c>
      <c r="E405" s="22"/>
      <c r="F405" s="22"/>
      <c r="G405" s="22"/>
      <c r="H405" s="22"/>
      <c r="I405" s="177"/>
      <c r="J405" s="177"/>
      <c r="K405" s="177"/>
      <c r="L405" s="22">
        <f t="shared" si="17"/>
        <v>8</v>
      </c>
      <c r="M405" s="10"/>
    </row>
    <row r="406" spans="1:13" ht="23.25" x14ac:dyDescent="0.25">
      <c r="A406" s="22">
        <f t="shared" si="16"/>
        <v>375</v>
      </c>
      <c r="B406" s="22" t="s">
        <v>707</v>
      </c>
      <c r="C406" s="372">
        <v>1000</v>
      </c>
      <c r="D406" s="22">
        <v>12</v>
      </c>
      <c r="E406" s="22"/>
      <c r="F406" s="22"/>
      <c r="G406" s="22"/>
      <c r="H406" s="22"/>
      <c r="I406" s="177"/>
      <c r="J406" s="177"/>
      <c r="K406" s="177"/>
      <c r="L406" s="22">
        <f t="shared" si="17"/>
        <v>12</v>
      </c>
      <c r="M406" s="10"/>
    </row>
    <row r="407" spans="1:13" ht="23.25" x14ac:dyDescent="0.25">
      <c r="A407" s="22">
        <f>A406+1</f>
        <v>376</v>
      </c>
      <c r="B407" s="22" t="s">
        <v>461</v>
      </c>
      <c r="C407" s="372">
        <v>100</v>
      </c>
      <c r="D407" s="22">
        <v>2</v>
      </c>
      <c r="E407" s="22"/>
      <c r="F407" s="22"/>
      <c r="G407" s="22"/>
      <c r="H407" s="22"/>
      <c r="I407" s="177"/>
      <c r="J407" s="177"/>
      <c r="K407" s="177"/>
      <c r="L407" s="22">
        <f t="shared" si="17"/>
        <v>2</v>
      </c>
      <c r="M407" s="10"/>
    </row>
    <row r="408" spans="1:13" ht="23.25" x14ac:dyDescent="0.25">
      <c r="A408" s="22">
        <f>A407+1</f>
        <v>377</v>
      </c>
      <c r="B408" s="22" t="s">
        <v>462</v>
      </c>
      <c r="C408" s="372">
        <v>5</v>
      </c>
      <c r="D408" s="22">
        <v>16</v>
      </c>
      <c r="E408" s="22"/>
      <c r="F408" s="22"/>
      <c r="G408" s="22"/>
      <c r="H408" s="22"/>
      <c r="I408" s="177"/>
      <c r="J408" s="177"/>
      <c r="K408" s="177"/>
      <c r="L408" s="22">
        <f t="shared" si="17"/>
        <v>16</v>
      </c>
      <c r="M408" s="10"/>
    </row>
    <row r="409" spans="1:13" ht="23.25" x14ac:dyDescent="0.25">
      <c r="A409" s="22">
        <f>A408+1</f>
        <v>378</v>
      </c>
      <c r="B409" s="22" t="s">
        <v>223</v>
      </c>
      <c r="C409" s="372">
        <v>30</v>
      </c>
      <c r="D409" s="22">
        <v>74</v>
      </c>
      <c r="E409" s="22"/>
      <c r="F409" s="22"/>
      <c r="G409" s="22"/>
      <c r="H409" s="22"/>
      <c r="I409" s="177"/>
      <c r="J409" s="177"/>
      <c r="K409" s="177"/>
      <c r="L409" s="22">
        <f t="shared" si="17"/>
        <v>74</v>
      </c>
      <c r="M409" s="10"/>
    </row>
    <row r="410" spans="1:13" ht="23.25" x14ac:dyDescent="0.25">
      <c r="A410" s="22">
        <f>A409+1</f>
        <v>379</v>
      </c>
      <c r="B410" s="22" t="s">
        <v>224</v>
      </c>
      <c r="C410" s="372">
        <v>10</v>
      </c>
      <c r="D410" s="22">
        <v>1</v>
      </c>
      <c r="E410" s="22"/>
      <c r="F410" s="22"/>
      <c r="G410" s="22"/>
      <c r="H410" s="22"/>
      <c r="I410" s="177"/>
      <c r="J410" s="177"/>
      <c r="K410" s="177"/>
      <c r="L410" s="22">
        <f t="shared" si="17"/>
        <v>1</v>
      </c>
      <c r="M410" s="10"/>
    </row>
    <row r="411" spans="1:13" ht="23.25" x14ac:dyDescent="0.25">
      <c r="A411" s="22">
        <f>A410+1</f>
        <v>380</v>
      </c>
      <c r="B411" s="22" t="s">
        <v>757</v>
      </c>
      <c r="C411" s="372">
        <v>1000</v>
      </c>
      <c r="D411" s="22">
        <v>2</v>
      </c>
      <c r="E411" s="22"/>
      <c r="F411" s="22"/>
      <c r="G411" s="22"/>
      <c r="H411" s="22"/>
      <c r="I411" s="177"/>
      <c r="J411" s="177"/>
      <c r="K411" s="177"/>
      <c r="L411" s="22">
        <f t="shared" si="17"/>
        <v>2</v>
      </c>
      <c r="M411" s="10"/>
    </row>
    <row r="412" spans="1:13" ht="23.25" x14ac:dyDescent="0.25">
      <c r="A412" s="22"/>
      <c r="B412" s="22"/>
      <c r="C412" s="372"/>
      <c r="D412" s="22"/>
      <c r="E412" s="22"/>
      <c r="F412" s="22"/>
      <c r="G412" s="22"/>
      <c r="H412" s="22"/>
      <c r="I412" s="177"/>
      <c r="J412" s="177"/>
      <c r="K412" s="177"/>
      <c r="L412" s="22">
        <f t="shared" si="17"/>
        <v>0</v>
      </c>
      <c r="M412" s="10"/>
    </row>
    <row r="413" spans="1:13" ht="23.25" x14ac:dyDescent="0.25">
      <c r="A413" s="22"/>
      <c r="B413" s="22"/>
      <c r="C413" s="372"/>
      <c r="D413" s="22"/>
      <c r="E413" s="22"/>
      <c r="F413" s="22"/>
      <c r="G413" s="22"/>
      <c r="H413" s="22"/>
      <c r="I413" s="177"/>
      <c r="J413" s="177"/>
      <c r="K413" s="177"/>
      <c r="L413" s="22">
        <f t="shared" si="17"/>
        <v>0</v>
      </c>
      <c r="M413" s="10"/>
    </row>
    <row r="414" spans="1:13" ht="23.25" x14ac:dyDescent="0.25">
      <c r="A414" s="22" t="s">
        <v>225</v>
      </c>
      <c r="B414" s="22" t="s">
        <v>226</v>
      </c>
      <c r="C414" s="372"/>
      <c r="D414" s="22"/>
      <c r="E414" s="22"/>
      <c r="F414" s="22"/>
      <c r="G414" s="22"/>
      <c r="H414" s="22"/>
      <c r="I414" s="177"/>
      <c r="J414" s="177"/>
      <c r="K414" s="177"/>
      <c r="L414" s="22">
        <f t="shared" si="17"/>
        <v>0</v>
      </c>
      <c r="M414" s="10"/>
    </row>
    <row r="415" spans="1:13" ht="23.25" x14ac:dyDescent="0.25">
      <c r="A415" s="22"/>
      <c r="B415" s="13" t="s">
        <v>463</v>
      </c>
      <c r="C415" s="372"/>
      <c r="D415" s="22"/>
      <c r="E415" s="22"/>
      <c r="F415" s="22"/>
      <c r="G415" s="22"/>
      <c r="H415" s="22"/>
      <c r="I415" s="177"/>
      <c r="J415" s="177"/>
      <c r="K415" s="177"/>
      <c r="L415" s="22">
        <f t="shared" si="17"/>
        <v>0</v>
      </c>
      <c r="M415" s="10"/>
    </row>
    <row r="416" spans="1:13" ht="23.25" x14ac:dyDescent="0.25">
      <c r="A416" s="22">
        <f>A411+1</f>
        <v>381</v>
      </c>
      <c r="B416" s="22" t="s">
        <v>1328</v>
      </c>
      <c r="C416" s="372">
        <v>20</v>
      </c>
      <c r="D416" s="22">
        <v>80</v>
      </c>
      <c r="E416" s="22"/>
      <c r="F416" s="22"/>
      <c r="G416" s="22"/>
      <c r="H416" s="22"/>
      <c r="I416" s="177"/>
      <c r="J416" s="177"/>
      <c r="K416" s="177"/>
      <c r="L416" s="22">
        <f t="shared" si="17"/>
        <v>80</v>
      </c>
      <c r="M416" s="10"/>
    </row>
    <row r="417" spans="1:13" ht="23.25" x14ac:dyDescent="0.25">
      <c r="A417" s="22">
        <f>A416+1</f>
        <v>382</v>
      </c>
      <c r="B417" s="22" t="s">
        <v>391</v>
      </c>
      <c r="C417" s="372">
        <v>30</v>
      </c>
      <c r="D417" s="22">
        <v>52</v>
      </c>
      <c r="E417" s="22"/>
      <c r="F417" s="22"/>
      <c r="G417" s="22"/>
      <c r="H417" s="22"/>
      <c r="I417" s="177"/>
      <c r="J417" s="177"/>
      <c r="K417" s="177"/>
      <c r="L417" s="22">
        <f t="shared" si="17"/>
        <v>52</v>
      </c>
      <c r="M417" s="10"/>
    </row>
    <row r="418" spans="1:13" ht="23.25" x14ac:dyDescent="0.25">
      <c r="A418" s="22">
        <f t="shared" ref="A418:A430" si="18">A417+1</f>
        <v>383</v>
      </c>
      <c r="B418" s="22" t="s">
        <v>228</v>
      </c>
      <c r="C418" s="372">
        <v>10</v>
      </c>
      <c r="D418" s="22">
        <v>20</v>
      </c>
      <c r="E418" s="22"/>
      <c r="F418" s="22"/>
      <c r="G418" s="22"/>
      <c r="H418" s="22"/>
      <c r="I418" s="177"/>
      <c r="J418" s="177"/>
      <c r="K418" s="177"/>
      <c r="L418" s="22">
        <f t="shared" si="17"/>
        <v>20</v>
      </c>
      <c r="M418" s="10"/>
    </row>
    <row r="419" spans="1:13" ht="23.25" x14ac:dyDescent="0.25">
      <c r="A419" s="22">
        <f t="shared" si="18"/>
        <v>384</v>
      </c>
      <c r="B419" s="22" t="s">
        <v>1329</v>
      </c>
      <c r="C419" s="372">
        <v>20</v>
      </c>
      <c r="D419" s="22">
        <v>200</v>
      </c>
      <c r="E419" s="22"/>
      <c r="F419" s="22"/>
      <c r="G419" s="22"/>
      <c r="H419" s="22"/>
      <c r="I419" s="177"/>
      <c r="J419" s="177"/>
      <c r="K419" s="177"/>
      <c r="L419" s="22">
        <f t="shared" si="17"/>
        <v>200</v>
      </c>
      <c r="M419" s="10"/>
    </row>
    <row r="420" spans="1:13" ht="23.25" x14ac:dyDescent="0.25">
      <c r="A420" s="22">
        <f t="shared" si="18"/>
        <v>385</v>
      </c>
      <c r="B420" s="22" t="s">
        <v>229</v>
      </c>
      <c r="C420" s="372">
        <v>100</v>
      </c>
      <c r="D420" s="22">
        <v>20</v>
      </c>
      <c r="E420" s="22"/>
      <c r="F420" s="22"/>
      <c r="G420" s="22"/>
      <c r="H420" s="22"/>
      <c r="I420" s="177"/>
      <c r="J420" s="177"/>
      <c r="K420" s="177"/>
      <c r="L420" s="22">
        <f t="shared" si="17"/>
        <v>20</v>
      </c>
      <c r="M420" s="10"/>
    </row>
    <row r="421" spans="1:13" ht="23.25" x14ac:dyDescent="0.25">
      <c r="A421" s="22">
        <f t="shared" si="18"/>
        <v>386</v>
      </c>
      <c r="B421" s="22" t="s">
        <v>233</v>
      </c>
      <c r="C421" s="372">
        <v>1</v>
      </c>
      <c r="D421" s="22">
        <v>48</v>
      </c>
      <c r="E421" s="22"/>
      <c r="F421" s="22"/>
      <c r="G421" s="22"/>
      <c r="H421" s="22"/>
      <c r="I421" s="177"/>
      <c r="J421" s="177"/>
      <c r="K421" s="177"/>
      <c r="L421" s="22">
        <f t="shared" si="17"/>
        <v>48</v>
      </c>
      <c r="M421" s="10"/>
    </row>
    <row r="422" spans="1:13" ht="23.25" x14ac:dyDescent="0.25">
      <c r="A422" s="22">
        <f t="shared" si="18"/>
        <v>387</v>
      </c>
      <c r="B422" s="22" t="s">
        <v>1330</v>
      </c>
      <c r="C422" s="372">
        <v>1</v>
      </c>
      <c r="D422" s="22">
        <v>20</v>
      </c>
      <c r="E422" s="22"/>
      <c r="F422" s="22"/>
      <c r="G422" s="22"/>
      <c r="H422" s="22"/>
      <c r="I422" s="177"/>
      <c r="J422" s="177"/>
      <c r="K422" s="177"/>
      <c r="L422" s="22">
        <f t="shared" si="17"/>
        <v>20</v>
      </c>
      <c r="M422" s="10"/>
    </row>
    <row r="423" spans="1:13" ht="23.25" x14ac:dyDescent="0.25">
      <c r="A423" s="22">
        <f t="shared" si="18"/>
        <v>388</v>
      </c>
      <c r="B423" s="22" t="s">
        <v>1331</v>
      </c>
      <c r="C423" s="372">
        <v>20</v>
      </c>
      <c r="D423" s="22">
        <v>20</v>
      </c>
      <c r="E423" s="22"/>
      <c r="F423" s="22"/>
      <c r="G423" s="22"/>
      <c r="H423" s="22"/>
      <c r="I423" s="177"/>
      <c r="J423" s="177"/>
      <c r="K423" s="177"/>
      <c r="L423" s="22">
        <f t="shared" si="17"/>
        <v>20</v>
      </c>
      <c r="M423" s="10"/>
    </row>
    <row r="424" spans="1:13" ht="23.25" x14ac:dyDescent="0.25">
      <c r="A424" s="22">
        <f t="shared" si="18"/>
        <v>389</v>
      </c>
      <c r="B424" s="22" t="s">
        <v>230</v>
      </c>
      <c r="C424" s="372">
        <v>5</v>
      </c>
      <c r="D424" s="22">
        <v>200</v>
      </c>
      <c r="E424" s="22"/>
      <c r="F424" s="22"/>
      <c r="G424" s="22"/>
      <c r="H424" s="22"/>
      <c r="I424" s="177"/>
      <c r="J424" s="177"/>
      <c r="K424" s="177"/>
      <c r="L424" s="22">
        <f t="shared" si="17"/>
        <v>200</v>
      </c>
      <c r="M424" s="10"/>
    </row>
    <row r="425" spans="1:13" ht="23.25" x14ac:dyDescent="0.25">
      <c r="A425" s="22">
        <f t="shared" si="18"/>
        <v>390</v>
      </c>
      <c r="B425" s="22" t="s">
        <v>231</v>
      </c>
      <c r="C425" s="372">
        <v>60</v>
      </c>
      <c r="D425" s="22">
        <v>200</v>
      </c>
      <c r="E425" s="22"/>
      <c r="F425" s="22"/>
      <c r="G425" s="22"/>
      <c r="H425" s="22"/>
      <c r="I425" s="177"/>
      <c r="J425" s="177"/>
      <c r="K425" s="177"/>
      <c r="L425" s="22">
        <f t="shared" si="17"/>
        <v>200</v>
      </c>
      <c r="M425" s="10"/>
    </row>
    <row r="426" spans="1:13" ht="23.25" x14ac:dyDescent="0.25">
      <c r="A426" s="22">
        <f t="shared" si="18"/>
        <v>391</v>
      </c>
      <c r="B426" s="22" t="s">
        <v>1332</v>
      </c>
      <c r="C426" s="372">
        <v>100</v>
      </c>
      <c r="D426" s="22">
        <v>20</v>
      </c>
      <c r="E426" s="22"/>
      <c r="F426" s="22"/>
      <c r="G426" s="22"/>
      <c r="H426" s="22"/>
      <c r="I426" s="177"/>
      <c r="J426" s="177"/>
      <c r="K426" s="177"/>
      <c r="L426" s="22">
        <f t="shared" si="17"/>
        <v>20</v>
      </c>
      <c r="M426" s="10"/>
    </row>
    <row r="427" spans="1:13" ht="23.25" x14ac:dyDescent="0.25">
      <c r="A427" s="22">
        <f t="shared" si="18"/>
        <v>392</v>
      </c>
      <c r="B427" s="22" t="s">
        <v>232</v>
      </c>
      <c r="C427" s="372">
        <v>30</v>
      </c>
      <c r="D427" s="22">
        <v>40</v>
      </c>
      <c r="E427" s="22"/>
      <c r="F427" s="22"/>
      <c r="G427" s="22"/>
      <c r="H427" s="22"/>
      <c r="I427" s="177"/>
      <c r="J427" s="177"/>
      <c r="K427" s="177"/>
      <c r="L427" s="22">
        <f t="shared" si="17"/>
        <v>40</v>
      </c>
      <c r="M427" s="10"/>
    </row>
    <row r="428" spans="1:13" ht="23.25" x14ac:dyDescent="0.25">
      <c r="A428" s="22">
        <f t="shared" si="18"/>
        <v>393</v>
      </c>
      <c r="B428" s="22" t="s">
        <v>227</v>
      </c>
      <c r="C428" s="372">
        <v>100</v>
      </c>
      <c r="D428" s="22">
        <v>120</v>
      </c>
      <c r="E428" s="22"/>
      <c r="F428" s="22"/>
      <c r="G428" s="22"/>
      <c r="H428" s="22"/>
      <c r="I428" s="177"/>
      <c r="J428" s="177"/>
      <c r="K428" s="177"/>
      <c r="L428" s="22">
        <f t="shared" si="17"/>
        <v>120</v>
      </c>
      <c r="M428" s="10"/>
    </row>
    <row r="429" spans="1:13" ht="23.25" x14ac:dyDescent="0.25">
      <c r="A429" s="22">
        <f t="shared" si="18"/>
        <v>394</v>
      </c>
      <c r="B429" s="22" t="s">
        <v>1333</v>
      </c>
      <c r="C429" s="372">
        <v>4</v>
      </c>
      <c r="D429" s="22">
        <v>100</v>
      </c>
      <c r="E429" s="22"/>
      <c r="F429" s="22"/>
      <c r="G429" s="22"/>
      <c r="H429" s="22"/>
      <c r="I429" s="177"/>
      <c r="J429" s="177"/>
      <c r="K429" s="177"/>
      <c r="L429" s="22">
        <f t="shared" si="17"/>
        <v>100</v>
      </c>
      <c r="M429" s="10"/>
    </row>
    <row r="430" spans="1:13" ht="23.25" x14ac:dyDescent="0.25">
      <c r="A430" s="22">
        <f t="shared" si="18"/>
        <v>395</v>
      </c>
      <c r="B430" s="22" t="s">
        <v>1334</v>
      </c>
      <c r="C430" s="372">
        <v>20</v>
      </c>
      <c r="D430" s="22">
        <v>50</v>
      </c>
      <c r="E430" s="22"/>
      <c r="F430" s="22"/>
      <c r="G430" s="22"/>
      <c r="H430" s="22"/>
      <c r="I430" s="177"/>
      <c r="J430" s="177"/>
      <c r="K430" s="177"/>
      <c r="L430" s="22">
        <f t="shared" si="17"/>
        <v>50</v>
      </c>
      <c r="M430" s="10"/>
    </row>
    <row r="431" spans="1:13" ht="23.25" x14ac:dyDescent="0.25">
      <c r="A431" s="22"/>
      <c r="B431" s="22"/>
      <c r="C431" s="372"/>
      <c r="D431" s="22"/>
      <c r="E431" s="22"/>
      <c r="F431" s="22"/>
      <c r="G431" s="22"/>
      <c r="H431" s="22"/>
      <c r="I431" s="177"/>
      <c r="J431" s="177"/>
      <c r="K431" s="177"/>
      <c r="L431" s="22">
        <f t="shared" si="17"/>
        <v>0</v>
      </c>
      <c r="M431" s="10"/>
    </row>
    <row r="432" spans="1:13" ht="23.25" x14ac:dyDescent="0.25">
      <c r="A432" s="22"/>
      <c r="B432" s="13"/>
      <c r="C432" s="372"/>
      <c r="D432" s="22"/>
      <c r="E432" s="22"/>
      <c r="F432" s="22"/>
      <c r="G432" s="22"/>
      <c r="H432" s="22"/>
      <c r="I432" s="177"/>
      <c r="J432" s="177"/>
      <c r="K432" s="177"/>
      <c r="L432" s="22">
        <f t="shared" si="17"/>
        <v>0</v>
      </c>
      <c r="M432" s="10"/>
    </row>
    <row r="433" spans="1:13" ht="23.25" x14ac:dyDescent="0.25">
      <c r="A433" s="22"/>
      <c r="B433" s="22" t="s">
        <v>234</v>
      </c>
      <c r="C433" s="372"/>
      <c r="D433" s="22"/>
      <c r="E433" s="22"/>
      <c r="F433" s="22"/>
      <c r="G433" s="22"/>
      <c r="H433" s="22"/>
      <c r="I433" s="177"/>
      <c r="J433" s="177"/>
      <c r="K433" s="177"/>
      <c r="L433" s="22">
        <f t="shared" si="17"/>
        <v>0</v>
      </c>
      <c r="M433" s="10"/>
    </row>
    <row r="434" spans="1:13" ht="23.25" x14ac:dyDescent="0.25">
      <c r="A434" s="22">
        <f>1+A430</f>
        <v>396</v>
      </c>
      <c r="B434" s="22" t="s">
        <v>1335</v>
      </c>
      <c r="C434" s="372">
        <v>5</v>
      </c>
      <c r="D434" s="22">
        <v>80</v>
      </c>
      <c r="E434" s="22"/>
      <c r="F434" s="22"/>
      <c r="G434" s="22"/>
      <c r="H434" s="22"/>
      <c r="I434" s="177"/>
      <c r="J434" s="177"/>
      <c r="K434" s="177"/>
      <c r="L434" s="22">
        <f t="shared" si="17"/>
        <v>80</v>
      </c>
      <c r="M434" s="10"/>
    </row>
    <row r="435" spans="1:13" ht="23.25" x14ac:dyDescent="0.25">
      <c r="A435" s="22">
        <f>1+A434</f>
        <v>397</v>
      </c>
      <c r="B435" s="22" t="s">
        <v>235</v>
      </c>
      <c r="C435" s="372">
        <v>10</v>
      </c>
      <c r="D435" s="22">
        <v>200</v>
      </c>
      <c r="E435" s="22"/>
      <c r="F435" s="22"/>
      <c r="G435" s="22"/>
      <c r="H435" s="22"/>
      <c r="I435" s="177"/>
      <c r="J435" s="177"/>
      <c r="K435" s="177"/>
      <c r="L435" s="22">
        <f t="shared" si="17"/>
        <v>200</v>
      </c>
      <c r="M435" s="10"/>
    </row>
    <row r="436" spans="1:13" ht="23.25" x14ac:dyDescent="0.25">
      <c r="A436" s="22">
        <f t="shared" ref="A436:A453" si="19">A435+1</f>
        <v>398</v>
      </c>
      <c r="B436" s="22" t="s">
        <v>236</v>
      </c>
      <c r="C436" s="372">
        <v>5</v>
      </c>
      <c r="D436" s="22">
        <v>40</v>
      </c>
      <c r="E436" s="22"/>
      <c r="F436" s="22"/>
      <c r="G436" s="22"/>
      <c r="H436" s="22"/>
      <c r="I436" s="177"/>
      <c r="J436" s="177"/>
      <c r="K436" s="177"/>
      <c r="L436" s="22">
        <f t="shared" si="17"/>
        <v>40</v>
      </c>
      <c r="M436" s="10"/>
    </row>
    <row r="437" spans="1:13" ht="23.25" x14ac:dyDescent="0.25">
      <c r="A437" s="22">
        <f t="shared" si="19"/>
        <v>399</v>
      </c>
      <c r="B437" s="22" t="s">
        <v>759</v>
      </c>
      <c r="C437" s="372">
        <v>100</v>
      </c>
      <c r="D437" s="22">
        <v>4</v>
      </c>
      <c r="E437" s="22"/>
      <c r="F437" s="22"/>
      <c r="G437" s="22"/>
      <c r="H437" s="22"/>
      <c r="I437" s="177"/>
      <c r="J437" s="177"/>
      <c r="K437" s="177"/>
      <c r="L437" s="22">
        <f t="shared" si="17"/>
        <v>4</v>
      </c>
      <c r="M437" s="10"/>
    </row>
    <row r="438" spans="1:13" ht="23.25" x14ac:dyDescent="0.25">
      <c r="A438" s="22">
        <f t="shared" si="19"/>
        <v>400</v>
      </c>
      <c r="B438" s="22" t="s">
        <v>464</v>
      </c>
      <c r="C438" s="372">
        <v>10</v>
      </c>
      <c r="D438" s="22">
        <v>30</v>
      </c>
      <c r="E438" s="22"/>
      <c r="F438" s="22"/>
      <c r="G438" s="22"/>
      <c r="H438" s="22"/>
      <c r="I438" s="177"/>
      <c r="J438" s="177"/>
      <c r="K438" s="177"/>
      <c r="L438" s="22">
        <f t="shared" si="17"/>
        <v>30</v>
      </c>
      <c r="M438" s="10"/>
    </row>
    <row r="439" spans="1:13" ht="23.25" x14ac:dyDescent="0.25">
      <c r="A439" s="22">
        <f t="shared" si="19"/>
        <v>401</v>
      </c>
      <c r="B439" s="22" t="s">
        <v>1336</v>
      </c>
      <c r="C439" s="372">
        <v>100</v>
      </c>
      <c r="D439" s="22">
        <v>4</v>
      </c>
      <c r="E439" s="22"/>
      <c r="F439" s="22"/>
      <c r="G439" s="22"/>
      <c r="H439" s="22"/>
      <c r="I439" s="177"/>
      <c r="J439" s="177"/>
      <c r="K439" s="177"/>
      <c r="L439" s="22">
        <f t="shared" si="17"/>
        <v>4</v>
      </c>
      <c r="M439" s="10"/>
    </row>
    <row r="440" spans="1:13" ht="23.25" x14ac:dyDescent="0.25">
      <c r="A440" s="22">
        <f t="shared" si="19"/>
        <v>402</v>
      </c>
      <c r="B440" s="22" t="s">
        <v>237</v>
      </c>
      <c r="C440" s="372" t="s">
        <v>238</v>
      </c>
      <c r="D440" s="22">
        <v>10</v>
      </c>
      <c r="E440" s="22"/>
      <c r="F440" s="22"/>
      <c r="G440" s="22"/>
      <c r="H440" s="22"/>
      <c r="I440" s="177"/>
      <c r="J440" s="177"/>
      <c r="K440" s="177"/>
      <c r="L440" s="22">
        <f t="shared" si="17"/>
        <v>10</v>
      </c>
      <c r="M440" s="10"/>
    </row>
    <row r="441" spans="1:13" ht="23.25" x14ac:dyDescent="0.25">
      <c r="A441" s="22">
        <f t="shared" si="19"/>
        <v>403</v>
      </c>
      <c r="B441" s="22" t="s">
        <v>239</v>
      </c>
      <c r="C441" s="372">
        <v>10</v>
      </c>
      <c r="D441" s="22">
        <v>108</v>
      </c>
      <c r="E441" s="22"/>
      <c r="F441" s="22"/>
      <c r="G441" s="22"/>
      <c r="H441" s="22"/>
      <c r="I441" s="177"/>
      <c r="J441" s="177"/>
      <c r="K441" s="177"/>
      <c r="L441" s="22">
        <f t="shared" si="17"/>
        <v>108</v>
      </c>
      <c r="M441" s="10"/>
    </row>
    <row r="442" spans="1:13" ht="23.25" x14ac:dyDescent="0.25">
      <c r="A442" s="22">
        <f t="shared" si="19"/>
        <v>404</v>
      </c>
      <c r="B442" s="22" t="s">
        <v>240</v>
      </c>
      <c r="C442" s="372" t="s">
        <v>238</v>
      </c>
      <c r="D442" s="22">
        <v>108</v>
      </c>
      <c r="E442" s="22"/>
      <c r="F442" s="22"/>
      <c r="G442" s="22"/>
      <c r="H442" s="22"/>
      <c r="I442" s="177"/>
      <c r="J442" s="177"/>
      <c r="K442" s="177"/>
      <c r="L442" s="22">
        <f t="shared" si="17"/>
        <v>108</v>
      </c>
      <c r="M442" s="10"/>
    </row>
    <row r="443" spans="1:13" ht="23.25" x14ac:dyDescent="0.25">
      <c r="A443" s="22">
        <f t="shared" si="19"/>
        <v>405</v>
      </c>
      <c r="B443" s="22" t="s">
        <v>241</v>
      </c>
      <c r="C443" s="372">
        <v>25</v>
      </c>
      <c r="D443" s="22">
        <v>12</v>
      </c>
      <c r="E443" s="22"/>
      <c r="F443" s="22"/>
      <c r="G443" s="22"/>
      <c r="H443" s="22"/>
      <c r="I443" s="177"/>
      <c r="J443" s="177"/>
      <c r="K443" s="177"/>
      <c r="L443" s="22">
        <f t="shared" si="17"/>
        <v>12</v>
      </c>
      <c r="M443" s="10"/>
    </row>
    <row r="444" spans="1:13" ht="23.25" x14ac:dyDescent="0.25">
      <c r="A444" s="22">
        <f t="shared" si="19"/>
        <v>406</v>
      </c>
      <c r="B444" s="22" t="s">
        <v>242</v>
      </c>
      <c r="C444" s="372">
        <v>10</v>
      </c>
      <c r="D444" s="22">
        <v>40</v>
      </c>
      <c r="E444" s="22"/>
      <c r="F444" s="22"/>
      <c r="G444" s="22"/>
      <c r="H444" s="22"/>
      <c r="I444" s="177"/>
      <c r="J444" s="177"/>
      <c r="K444" s="177"/>
      <c r="L444" s="22">
        <f t="shared" si="17"/>
        <v>40</v>
      </c>
      <c r="M444" s="10"/>
    </row>
    <row r="445" spans="1:13" ht="23.25" x14ac:dyDescent="0.25">
      <c r="A445" s="22">
        <f t="shared" si="19"/>
        <v>407</v>
      </c>
      <c r="B445" s="22" t="s">
        <v>243</v>
      </c>
      <c r="C445" s="372">
        <v>10</v>
      </c>
      <c r="D445" s="22">
        <v>50</v>
      </c>
      <c r="E445" s="22"/>
      <c r="F445" s="22"/>
      <c r="G445" s="22"/>
      <c r="H445" s="22"/>
      <c r="I445" s="177"/>
      <c r="J445" s="177"/>
      <c r="K445" s="177"/>
      <c r="L445" s="22">
        <f t="shared" si="17"/>
        <v>50</v>
      </c>
      <c r="M445" s="10"/>
    </row>
    <row r="446" spans="1:13" ht="23.25" x14ac:dyDescent="0.25">
      <c r="A446" s="22">
        <f t="shared" si="19"/>
        <v>408</v>
      </c>
      <c r="B446" s="22" t="s">
        <v>244</v>
      </c>
      <c r="C446" s="372">
        <v>100</v>
      </c>
      <c r="D446" s="22">
        <v>8</v>
      </c>
      <c r="E446" s="22"/>
      <c r="F446" s="22"/>
      <c r="G446" s="22"/>
      <c r="H446" s="22"/>
      <c r="I446" s="177"/>
      <c r="J446" s="177"/>
      <c r="K446" s="177"/>
      <c r="L446" s="22">
        <f t="shared" si="17"/>
        <v>8</v>
      </c>
      <c r="M446" s="10"/>
    </row>
    <row r="447" spans="1:13" ht="23.25" x14ac:dyDescent="0.25">
      <c r="A447" s="22">
        <f t="shared" si="19"/>
        <v>409</v>
      </c>
      <c r="B447" s="22" t="s">
        <v>245</v>
      </c>
      <c r="C447" s="372" t="s">
        <v>455</v>
      </c>
      <c r="D447" s="22">
        <v>800</v>
      </c>
      <c r="E447" s="22"/>
      <c r="F447" s="22"/>
      <c r="G447" s="22"/>
      <c r="H447" s="22"/>
      <c r="I447" s="177"/>
      <c r="J447" s="177"/>
      <c r="K447" s="177"/>
      <c r="L447" s="22">
        <f t="shared" si="17"/>
        <v>800</v>
      </c>
      <c r="M447" s="10"/>
    </row>
    <row r="448" spans="1:13" ht="23.25" x14ac:dyDescent="0.25">
      <c r="A448" s="22">
        <f t="shared" si="19"/>
        <v>410</v>
      </c>
      <c r="B448" s="22" t="s">
        <v>1337</v>
      </c>
      <c r="C448" s="372" t="s">
        <v>57</v>
      </c>
      <c r="D448" s="22">
        <v>800</v>
      </c>
      <c r="E448" s="22"/>
      <c r="F448" s="22"/>
      <c r="G448" s="22"/>
      <c r="H448" s="22"/>
      <c r="I448" s="177"/>
      <c r="J448" s="177"/>
      <c r="K448" s="177"/>
      <c r="L448" s="22">
        <f t="shared" si="17"/>
        <v>800</v>
      </c>
      <c r="M448" s="10"/>
    </row>
    <row r="449" spans="1:13" ht="23.25" x14ac:dyDescent="0.25">
      <c r="A449" s="22">
        <f t="shared" si="19"/>
        <v>411</v>
      </c>
      <c r="B449" s="22" t="s">
        <v>1338</v>
      </c>
      <c r="C449" s="372" t="s">
        <v>238</v>
      </c>
      <c r="D449" s="22">
        <v>60</v>
      </c>
      <c r="E449" s="22"/>
      <c r="F449" s="22"/>
      <c r="G449" s="22"/>
      <c r="H449" s="22"/>
      <c r="I449" s="177"/>
      <c r="J449" s="177"/>
      <c r="K449" s="177"/>
      <c r="L449" s="22">
        <f t="shared" si="17"/>
        <v>60</v>
      </c>
      <c r="M449" s="10"/>
    </row>
    <row r="450" spans="1:13" ht="23.25" x14ac:dyDescent="0.25">
      <c r="A450" s="22">
        <f t="shared" si="19"/>
        <v>412</v>
      </c>
      <c r="B450" s="22" t="s">
        <v>758</v>
      </c>
      <c r="C450" s="372" t="s">
        <v>57</v>
      </c>
      <c r="D450" s="22">
        <v>300</v>
      </c>
      <c r="E450" s="22"/>
      <c r="F450" s="22"/>
      <c r="G450" s="22"/>
      <c r="H450" s="22"/>
      <c r="I450" s="177"/>
      <c r="J450" s="177"/>
      <c r="K450" s="177"/>
      <c r="L450" s="22">
        <f t="shared" si="17"/>
        <v>300</v>
      </c>
      <c r="M450" s="10"/>
    </row>
    <row r="451" spans="1:13" ht="23.25" x14ac:dyDescent="0.25">
      <c r="A451" s="22">
        <f t="shared" si="19"/>
        <v>413</v>
      </c>
      <c r="B451" s="22" t="s">
        <v>246</v>
      </c>
      <c r="C451" s="372" t="s">
        <v>455</v>
      </c>
      <c r="D451" s="22">
        <v>600</v>
      </c>
      <c r="E451" s="22"/>
      <c r="F451" s="22"/>
      <c r="G451" s="22"/>
      <c r="H451" s="22"/>
      <c r="I451" s="177"/>
      <c r="J451" s="177"/>
      <c r="K451" s="177"/>
      <c r="L451" s="22">
        <f t="shared" si="17"/>
        <v>600</v>
      </c>
      <c r="M451" s="10"/>
    </row>
    <row r="452" spans="1:13" ht="23.25" x14ac:dyDescent="0.25">
      <c r="A452" s="22">
        <f t="shared" si="19"/>
        <v>414</v>
      </c>
      <c r="B452" s="22" t="s">
        <v>247</v>
      </c>
      <c r="C452" s="372" t="s">
        <v>57</v>
      </c>
      <c r="D452" s="22">
        <v>1000</v>
      </c>
      <c r="E452" s="22"/>
      <c r="F452" s="22"/>
      <c r="G452" s="22"/>
      <c r="H452" s="22"/>
      <c r="I452" s="177"/>
      <c r="J452" s="177"/>
      <c r="K452" s="177"/>
      <c r="L452" s="22">
        <f t="shared" si="17"/>
        <v>1000</v>
      </c>
      <c r="M452" s="10"/>
    </row>
    <row r="453" spans="1:13" ht="23.25" x14ac:dyDescent="0.25">
      <c r="A453" s="22">
        <f t="shared" si="19"/>
        <v>415</v>
      </c>
      <c r="B453" s="22" t="s">
        <v>248</v>
      </c>
      <c r="C453" s="372" t="s">
        <v>57</v>
      </c>
      <c r="D453" s="22">
        <v>400</v>
      </c>
      <c r="E453" s="22"/>
      <c r="F453" s="22"/>
      <c r="G453" s="22"/>
      <c r="H453" s="22"/>
      <c r="I453" s="177"/>
      <c r="J453" s="177"/>
      <c r="K453" s="177"/>
      <c r="L453" s="22">
        <f t="shared" si="17"/>
        <v>400</v>
      </c>
      <c r="M453" s="10"/>
    </row>
    <row r="454" spans="1:13" ht="23.25" x14ac:dyDescent="0.25">
      <c r="A454" s="22"/>
      <c r="B454" s="22"/>
      <c r="C454" s="372"/>
      <c r="D454" s="22"/>
      <c r="E454" s="22"/>
      <c r="F454" s="22"/>
      <c r="G454" s="22"/>
      <c r="H454" s="22"/>
      <c r="I454" s="177"/>
      <c r="J454" s="177"/>
      <c r="K454" s="177"/>
      <c r="L454" s="22">
        <f t="shared" si="17"/>
        <v>0</v>
      </c>
      <c r="M454" s="10"/>
    </row>
    <row r="455" spans="1:13" ht="23.25" x14ac:dyDescent="0.25">
      <c r="A455" s="22"/>
      <c r="B455" s="13" t="s">
        <v>249</v>
      </c>
      <c r="C455" s="372"/>
      <c r="D455" s="22"/>
      <c r="E455" s="22"/>
      <c r="F455" s="22"/>
      <c r="G455" s="22"/>
      <c r="H455" s="22"/>
      <c r="I455" s="177"/>
      <c r="J455" s="177"/>
      <c r="K455" s="177"/>
      <c r="L455" s="22">
        <f t="shared" si="17"/>
        <v>0</v>
      </c>
      <c r="M455" s="10"/>
    </row>
    <row r="456" spans="1:13" ht="23.25" x14ac:dyDescent="0.25">
      <c r="A456" s="22">
        <f>A453+1</f>
        <v>416</v>
      </c>
      <c r="B456" s="22" t="s">
        <v>250</v>
      </c>
      <c r="C456" s="372" t="s">
        <v>57</v>
      </c>
      <c r="D456" s="22">
        <v>40</v>
      </c>
      <c r="E456" s="22"/>
      <c r="F456" s="22"/>
      <c r="G456" s="22"/>
      <c r="H456" s="22"/>
      <c r="I456" s="177"/>
      <c r="J456" s="177"/>
      <c r="K456" s="177"/>
      <c r="L456" s="22">
        <f t="shared" si="17"/>
        <v>40</v>
      </c>
      <c r="M456" s="10"/>
    </row>
    <row r="457" spans="1:13" ht="23.25" x14ac:dyDescent="0.25">
      <c r="A457" s="22">
        <f t="shared" ref="A457:A463" si="20">A456+1</f>
        <v>417</v>
      </c>
      <c r="B457" s="22" t="s">
        <v>251</v>
      </c>
      <c r="C457" s="372" t="s">
        <v>57</v>
      </c>
      <c r="D457" s="22">
        <v>24</v>
      </c>
      <c r="E457" s="22"/>
      <c r="F457" s="22"/>
      <c r="G457" s="22"/>
      <c r="H457" s="22"/>
      <c r="I457" s="177"/>
      <c r="J457" s="177"/>
      <c r="K457" s="177"/>
      <c r="L457" s="22">
        <f t="shared" ref="L457:L520" si="21">SUM(D457:K457)</f>
        <v>24</v>
      </c>
      <c r="M457" s="10"/>
    </row>
    <row r="458" spans="1:13" ht="23.25" x14ac:dyDescent="0.25">
      <c r="A458" s="22">
        <f t="shared" si="20"/>
        <v>418</v>
      </c>
      <c r="B458" s="22" t="s">
        <v>252</v>
      </c>
      <c r="C458" s="372">
        <v>10</v>
      </c>
      <c r="D458" s="22">
        <v>10</v>
      </c>
      <c r="E458" s="22"/>
      <c r="F458" s="22"/>
      <c r="G458" s="22"/>
      <c r="H458" s="22"/>
      <c r="I458" s="177"/>
      <c r="J458" s="177"/>
      <c r="K458" s="177"/>
      <c r="L458" s="22">
        <f t="shared" si="21"/>
        <v>10</v>
      </c>
      <c r="M458" s="10"/>
    </row>
    <row r="459" spans="1:13" ht="23.25" x14ac:dyDescent="0.25">
      <c r="A459" s="22">
        <f t="shared" si="20"/>
        <v>419</v>
      </c>
      <c r="B459" s="22" t="s">
        <v>253</v>
      </c>
      <c r="C459" s="372">
        <v>100</v>
      </c>
      <c r="D459" s="22">
        <v>16</v>
      </c>
      <c r="E459" s="22"/>
      <c r="F459" s="22"/>
      <c r="G459" s="22"/>
      <c r="H459" s="22"/>
      <c r="I459" s="177"/>
      <c r="J459" s="177"/>
      <c r="K459" s="177"/>
      <c r="L459" s="22">
        <f t="shared" si="21"/>
        <v>16</v>
      </c>
      <c r="M459" s="10"/>
    </row>
    <row r="460" spans="1:13" ht="23.25" x14ac:dyDescent="0.25">
      <c r="A460" s="22">
        <f t="shared" si="20"/>
        <v>420</v>
      </c>
      <c r="B460" s="22" t="s">
        <v>466</v>
      </c>
      <c r="C460" s="372" t="s">
        <v>57</v>
      </c>
      <c r="D460" s="22">
        <v>8</v>
      </c>
      <c r="E460" s="22"/>
      <c r="F460" s="22"/>
      <c r="G460" s="22"/>
      <c r="H460" s="22"/>
      <c r="I460" s="177"/>
      <c r="J460" s="177"/>
      <c r="K460" s="177"/>
      <c r="L460" s="22">
        <f t="shared" si="21"/>
        <v>8</v>
      </c>
      <c r="M460" s="10"/>
    </row>
    <row r="461" spans="1:13" ht="23.25" x14ac:dyDescent="0.25">
      <c r="A461" s="22">
        <f t="shared" si="20"/>
        <v>421</v>
      </c>
      <c r="B461" s="22" t="s">
        <v>465</v>
      </c>
      <c r="C461" s="372" t="s">
        <v>57</v>
      </c>
      <c r="D461" s="22">
        <v>80</v>
      </c>
      <c r="E461" s="22"/>
      <c r="F461" s="22"/>
      <c r="G461" s="22"/>
      <c r="H461" s="22"/>
      <c r="I461" s="177"/>
      <c r="J461" s="177"/>
      <c r="K461" s="177"/>
      <c r="L461" s="22">
        <f t="shared" si="21"/>
        <v>80</v>
      </c>
      <c r="M461" s="10"/>
    </row>
    <row r="462" spans="1:13" ht="23.25" x14ac:dyDescent="0.25">
      <c r="A462" s="22">
        <f t="shared" si="20"/>
        <v>422</v>
      </c>
      <c r="B462" s="22" t="s">
        <v>254</v>
      </c>
      <c r="C462" s="372" t="s">
        <v>57</v>
      </c>
      <c r="D462" s="22">
        <v>10</v>
      </c>
      <c r="E462" s="22"/>
      <c r="F462" s="22"/>
      <c r="G462" s="22"/>
      <c r="H462" s="22"/>
      <c r="I462" s="177"/>
      <c r="J462" s="177"/>
      <c r="K462" s="177"/>
      <c r="L462" s="22">
        <f t="shared" si="21"/>
        <v>10</v>
      </c>
      <c r="M462" s="10"/>
    </row>
    <row r="463" spans="1:13" ht="23.25" x14ac:dyDescent="0.25">
      <c r="A463" s="22">
        <f t="shared" si="20"/>
        <v>423</v>
      </c>
      <c r="B463" s="22" t="s">
        <v>255</v>
      </c>
      <c r="C463" s="372">
        <v>100</v>
      </c>
      <c r="D463" s="22">
        <v>24</v>
      </c>
      <c r="E463" s="22"/>
      <c r="F463" s="22"/>
      <c r="G463" s="22"/>
      <c r="H463" s="22"/>
      <c r="I463" s="177"/>
      <c r="J463" s="177"/>
      <c r="K463" s="177"/>
      <c r="L463" s="22">
        <f t="shared" si="21"/>
        <v>24</v>
      </c>
      <c r="M463" s="10"/>
    </row>
    <row r="464" spans="1:13" ht="23.25" x14ac:dyDescent="0.25">
      <c r="A464" s="22"/>
      <c r="B464" s="22"/>
      <c r="C464" s="372"/>
      <c r="D464" s="22"/>
      <c r="E464" s="22"/>
      <c r="F464" s="22"/>
      <c r="G464" s="22"/>
      <c r="H464" s="22"/>
      <c r="I464" s="177"/>
      <c r="J464" s="177"/>
      <c r="K464" s="177"/>
      <c r="L464" s="22">
        <f t="shared" si="21"/>
        <v>0</v>
      </c>
      <c r="M464" s="10"/>
    </row>
    <row r="465" spans="1:13" ht="23.25" x14ac:dyDescent="0.25">
      <c r="A465" s="22"/>
      <c r="B465" s="22"/>
      <c r="C465" s="372"/>
      <c r="D465" s="22"/>
      <c r="E465" s="22"/>
      <c r="F465" s="22"/>
      <c r="G465" s="22"/>
      <c r="H465" s="22"/>
      <c r="I465" s="177"/>
      <c r="J465" s="177"/>
      <c r="K465" s="177"/>
      <c r="L465" s="22">
        <f t="shared" si="21"/>
        <v>0</v>
      </c>
      <c r="M465" s="10"/>
    </row>
    <row r="466" spans="1:13" ht="23.25" x14ac:dyDescent="0.25">
      <c r="A466" s="22" t="s">
        <v>256</v>
      </c>
      <c r="B466" s="22" t="s">
        <v>257</v>
      </c>
      <c r="C466" s="372"/>
      <c r="D466" s="22"/>
      <c r="E466" s="22"/>
      <c r="F466" s="22"/>
      <c r="G466" s="22"/>
      <c r="H466" s="22"/>
      <c r="I466" s="177"/>
      <c r="J466" s="177"/>
      <c r="K466" s="177"/>
      <c r="L466" s="22">
        <f t="shared" si="21"/>
        <v>0</v>
      </c>
      <c r="M466" s="10"/>
    </row>
    <row r="467" spans="1:13" ht="23.25" x14ac:dyDescent="0.25">
      <c r="A467" s="22">
        <f>A463+1</f>
        <v>424</v>
      </c>
      <c r="B467" s="22" t="s">
        <v>258</v>
      </c>
      <c r="C467" s="372">
        <v>10</v>
      </c>
      <c r="D467" s="22">
        <v>50</v>
      </c>
      <c r="E467" s="22"/>
      <c r="F467" s="22"/>
      <c r="G467" s="22"/>
      <c r="H467" s="22"/>
      <c r="I467" s="177"/>
      <c r="J467" s="177"/>
      <c r="K467" s="177"/>
      <c r="L467" s="22">
        <f t="shared" si="21"/>
        <v>50</v>
      </c>
      <c r="M467" s="10"/>
    </row>
    <row r="468" spans="1:13" ht="23.25" x14ac:dyDescent="0.25">
      <c r="A468" s="22">
        <f t="shared" ref="A468:A497" si="22">A467+1</f>
        <v>425</v>
      </c>
      <c r="B468" s="22" t="s">
        <v>259</v>
      </c>
      <c r="C468" s="372">
        <v>105</v>
      </c>
      <c r="D468" s="22">
        <v>40</v>
      </c>
      <c r="E468" s="22"/>
      <c r="F468" s="22"/>
      <c r="G468" s="22"/>
      <c r="H468" s="22"/>
      <c r="I468" s="177"/>
      <c r="J468" s="177">
        <v>5</v>
      </c>
      <c r="K468" s="177"/>
      <c r="L468" s="22">
        <f t="shared" si="21"/>
        <v>45</v>
      </c>
      <c r="M468" s="10"/>
    </row>
    <row r="469" spans="1:13" ht="23.25" x14ac:dyDescent="0.25">
      <c r="A469" s="22">
        <f t="shared" si="22"/>
        <v>426</v>
      </c>
      <c r="B469" s="22" t="s">
        <v>467</v>
      </c>
      <c r="C469" s="372">
        <v>100</v>
      </c>
      <c r="D469" s="22">
        <v>20</v>
      </c>
      <c r="E469" s="22"/>
      <c r="F469" s="22"/>
      <c r="G469" s="22"/>
      <c r="H469" s="22"/>
      <c r="I469" s="177"/>
      <c r="J469" s="177"/>
      <c r="K469" s="177"/>
      <c r="L469" s="22">
        <f t="shared" si="21"/>
        <v>20</v>
      </c>
      <c r="M469" s="10"/>
    </row>
    <row r="470" spans="1:13" ht="23.25" x14ac:dyDescent="0.25">
      <c r="A470" s="22">
        <f t="shared" si="22"/>
        <v>427</v>
      </c>
      <c r="B470" s="22" t="s">
        <v>1339</v>
      </c>
      <c r="C470" s="372">
        <v>30</v>
      </c>
      <c r="D470" s="22">
        <v>20</v>
      </c>
      <c r="E470" s="22"/>
      <c r="F470" s="22"/>
      <c r="G470" s="22"/>
      <c r="H470" s="22"/>
      <c r="I470" s="177"/>
      <c r="J470" s="177"/>
      <c r="K470" s="177"/>
      <c r="L470" s="22">
        <f t="shared" si="21"/>
        <v>20</v>
      </c>
      <c r="M470" s="10"/>
    </row>
    <row r="471" spans="1:13" ht="23.25" x14ac:dyDescent="0.25">
      <c r="A471" s="22">
        <f t="shared" si="22"/>
        <v>428</v>
      </c>
      <c r="B471" s="22" t="s">
        <v>1340</v>
      </c>
      <c r="C471" s="372" t="s">
        <v>656</v>
      </c>
      <c r="D471" s="22">
        <v>52</v>
      </c>
      <c r="E471" s="22"/>
      <c r="F471" s="22"/>
      <c r="G471" s="22"/>
      <c r="H471" s="22"/>
      <c r="I471" s="177"/>
      <c r="J471" s="177"/>
      <c r="K471" s="177"/>
      <c r="L471" s="22">
        <f t="shared" si="21"/>
        <v>52</v>
      </c>
      <c r="M471" s="10"/>
    </row>
    <row r="472" spans="1:13" ht="23.25" x14ac:dyDescent="0.25">
      <c r="A472" s="22">
        <f t="shared" si="22"/>
        <v>429</v>
      </c>
      <c r="B472" s="22" t="s">
        <v>760</v>
      </c>
      <c r="C472" s="372">
        <v>14</v>
      </c>
      <c r="D472" s="22">
        <v>32</v>
      </c>
      <c r="E472" s="22"/>
      <c r="F472" s="22"/>
      <c r="G472" s="22"/>
      <c r="H472" s="22"/>
      <c r="I472" s="177"/>
      <c r="J472" s="177"/>
      <c r="K472" s="177"/>
      <c r="L472" s="22">
        <f t="shared" si="21"/>
        <v>32</v>
      </c>
      <c r="M472" s="10"/>
    </row>
    <row r="473" spans="1:13" ht="23.25" x14ac:dyDescent="0.25">
      <c r="A473" s="22">
        <f t="shared" si="22"/>
        <v>430</v>
      </c>
      <c r="B473" s="22" t="s">
        <v>1341</v>
      </c>
      <c r="C473" s="372">
        <v>14</v>
      </c>
      <c r="D473" s="22">
        <v>20</v>
      </c>
      <c r="E473" s="22"/>
      <c r="F473" s="22"/>
      <c r="G473" s="22"/>
      <c r="H473" s="22"/>
      <c r="I473" s="177"/>
      <c r="J473" s="177"/>
      <c r="K473" s="177"/>
      <c r="L473" s="22">
        <f t="shared" si="21"/>
        <v>20</v>
      </c>
      <c r="M473" s="10"/>
    </row>
    <row r="474" spans="1:13" ht="23.25" x14ac:dyDescent="0.25">
      <c r="A474" s="22">
        <f t="shared" si="22"/>
        <v>431</v>
      </c>
      <c r="B474" s="22" t="s">
        <v>1342</v>
      </c>
      <c r="C474" s="372">
        <v>42</v>
      </c>
      <c r="D474" s="22">
        <v>20</v>
      </c>
      <c r="E474" s="22"/>
      <c r="F474" s="22"/>
      <c r="G474" s="22"/>
      <c r="H474" s="22"/>
      <c r="I474" s="177"/>
      <c r="J474" s="177"/>
      <c r="K474" s="177"/>
      <c r="L474" s="22">
        <f t="shared" si="21"/>
        <v>20</v>
      </c>
      <c r="M474" s="10"/>
    </row>
    <row r="475" spans="1:13" ht="23.25" x14ac:dyDescent="0.25">
      <c r="A475" s="22">
        <f t="shared" si="22"/>
        <v>432</v>
      </c>
      <c r="B475" s="22" t="s">
        <v>2060</v>
      </c>
      <c r="C475" s="372" t="s">
        <v>144</v>
      </c>
      <c r="D475" s="22">
        <v>200</v>
      </c>
      <c r="E475" s="22"/>
      <c r="F475" s="22"/>
      <c r="G475" s="22"/>
      <c r="H475" s="22"/>
      <c r="I475" s="177"/>
      <c r="J475" s="177"/>
      <c r="K475" s="177"/>
      <c r="L475" s="22">
        <f t="shared" si="21"/>
        <v>200</v>
      </c>
      <c r="M475" s="10"/>
    </row>
    <row r="476" spans="1:13" ht="23.25" x14ac:dyDescent="0.25">
      <c r="A476" s="22">
        <f t="shared" si="22"/>
        <v>433</v>
      </c>
      <c r="B476" s="22" t="s">
        <v>2061</v>
      </c>
      <c r="C476" s="372" t="s">
        <v>144</v>
      </c>
      <c r="D476" s="22">
        <v>400</v>
      </c>
      <c r="E476" s="22"/>
      <c r="F476" s="22"/>
      <c r="G476" s="22"/>
      <c r="H476" s="22"/>
      <c r="I476" s="177"/>
      <c r="J476" s="177"/>
      <c r="K476" s="177"/>
      <c r="L476" s="22">
        <f t="shared" si="21"/>
        <v>400</v>
      </c>
      <c r="M476" s="10"/>
    </row>
    <row r="477" spans="1:13" ht="23.25" x14ac:dyDescent="0.25">
      <c r="A477" s="22">
        <f t="shared" si="22"/>
        <v>434</v>
      </c>
      <c r="B477" s="22" t="s">
        <v>725</v>
      </c>
      <c r="C477" s="372">
        <v>10</v>
      </c>
      <c r="D477" s="22">
        <v>200</v>
      </c>
      <c r="E477" s="22"/>
      <c r="F477" s="22"/>
      <c r="G477" s="22"/>
      <c r="H477" s="22"/>
      <c r="I477" s="177"/>
      <c r="J477" s="177"/>
      <c r="K477" s="177"/>
      <c r="L477" s="22">
        <f t="shared" si="21"/>
        <v>200</v>
      </c>
      <c r="M477" s="10"/>
    </row>
    <row r="478" spans="1:13" ht="23.25" x14ac:dyDescent="0.25">
      <c r="A478" s="22">
        <f t="shared" si="22"/>
        <v>435</v>
      </c>
      <c r="B478" s="22" t="s">
        <v>1343</v>
      </c>
      <c r="C478" s="372" t="s">
        <v>144</v>
      </c>
      <c r="D478" s="22">
        <v>4000</v>
      </c>
      <c r="E478" s="22"/>
      <c r="F478" s="22"/>
      <c r="G478" s="22"/>
      <c r="H478" s="22"/>
      <c r="I478" s="177"/>
      <c r="J478" s="177"/>
      <c r="K478" s="177"/>
      <c r="L478" s="22">
        <f t="shared" si="21"/>
        <v>4000</v>
      </c>
      <c r="M478" s="10"/>
    </row>
    <row r="479" spans="1:13" ht="23.25" x14ac:dyDescent="0.25">
      <c r="A479" s="22">
        <f t="shared" si="22"/>
        <v>436</v>
      </c>
      <c r="B479" s="22" t="s">
        <v>261</v>
      </c>
      <c r="C479" s="372">
        <v>100</v>
      </c>
      <c r="D479" s="22">
        <v>60</v>
      </c>
      <c r="E479" s="22"/>
      <c r="F479" s="22"/>
      <c r="G479" s="22"/>
      <c r="H479" s="22"/>
      <c r="I479" s="177"/>
      <c r="J479" s="177"/>
      <c r="K479" s="177"/>
      <c r="L479" s="22">
        <f t="shared" si="21"/>
        <v>60</v>
      </c>
      <c r="M479" s="10"/>
    </row>
    <row r="480" spans="1:13" ht="23.25" x14ac:dyDescent="0.25">
      <c r="A480" s="22">
        <f t="shared" si="22"/>
        <v>437</v>
      </c>
      <c r="B480" s="22" t="s">
        <v>262</v>
      </c>
      <c r="C480" s="372">
        <v>100</v>
      </c>
      <c r="D480" s="22">
        <v>64</v>
      </c>
      <c r="E480" s="22"/>
      <c r="F480" s="22"/>
      <c r="G480" s="22"/>
      <c r="H480" s="22"/>
      <c r="I480" s="177"/>
      <c r="J480" s="177"/>
      <c r="K480" s="177"/>
      <c r="L480" s="22">
        <f t="shared" si="21"/>
        <v>64</v>
      </c>
      <c r="M480" s="10"/>
    </row>
    <row r="481" spans="1:13" ht="23.25" x14ac:dyDescent="0.25">
      <c r="A481" s="22">
        <f t="shared" si="22"/>
        <v>438</v>
      </c>
      <c r="B481" s="22" t="s">
        <v>263</v>
      </c>
      <c r="C481" s="372">
        <v>100</v>
      </c>
      <c r="D481" s="22">
        <v>8</v>
      </c>
      <c r="E481" s="22"/>
      <c r="F481" s="22"/>
      <c r="G481" s="22"/>
      <c r="H481" s="22"/>
      <c r="I481" s="177"/>
      <c r="J481" s="177">
        <v>1</v>
      </c>
      <c r="K481" s="177"/>
      <c r="L481" s="22">
        <f t="shared" si="21"/>
        <v>9</v>
      </c>
      <c r="M481" s="10"/>
    </row>
    <row r="482" spans="1:13" ht="23.25" x14ac:dyDescent="0.25">
      <c r="A482" s="22">
        <f t="shared" si="22"/>
        <v>439</v>
      </c>
      <c r="B482" s="22" t="s">
        <v>264</v>
      </c>
      <c r="C482" s="372">
        <v>100</v>
      </c>
      <c r="D482" s="22">
        <v>100</v>
      </c>
      <c r="E482" s="22"/>
      <c r="F482" s="22"/>
      <c r="G482" s="22"/>
      <c r="H482" s="22"/>
      <c r="I482" s="177"/>
      <c r="J482" s="177"/>
      <c r="K482" s="177"/>
      <c r="L482" s="22">
        <f t="shared" si="21"/>
        <v>100</v>
      </c>
      <c r="M482" s="10"/>
    </row>
    <row r="483" spans="1:13" ht="23.25" x14ac:dyDescent="0.25">
      <c r="A483" s="22">
        <f t="shared" si="22"/>
        <v>440</v>
      </c>
      <c r="B483" s="22" t="s">
        <v>265</v>
      </c>
      <c r="C483" s="372">
        <v>14</v>
      </c>
      <c r="D483" s="22">
        <v>8000</v>
      </c>
      <c r="E483" s="22"/>
      <c r="F483" s="22"/>
      <c r="G483" s="22"/>
      <c r="H483" s="22"/>
      <c r="I483" s="177"/>
      <c r="J483" s="177"/>
      <c r="K483" s="177"/>
      <c r="L483" s="22">
        <f t="shared" si="21"/>
        <v>8000</v>
      </c>
      <c r="M483" s="10"/>
    </row>
    <row r="484" spans="1:13" ht="23.25" x14ac:dyDescent="0.25">
      <c r="A484" s="22">
        <f t="shared" si="22"/>
        <v>441</v>
      </c>
      <c r="B484" s="22" t="s">
        <v>1344</v>
      </c>
      <c r="C484" s="372">
        <v>10</v>
      </c>
      <c r="D484" s="22">
        <v>100</v>
      </c>
      <c r="E484" s="22"/>
      <c r="F484" s="22"/>
      <c r="G484" s="22"/>
      <c r="H484" s="22"/>
      <c r="I484" s="177"/>
      <c r="J484" s="177"/>
      <c r="K484" s="177"/>
      <c r="L484" s="22">
        <f t="shared" si="21"/>
        <v>100</v>
      </c>
      <c r="M484" s="10"/>
    </row>
    <row r="485" spans="1:13" ht="23.25" x14ac:dyDescent="0.25">
      <c r="A485" s="22">
        <f t="shared" si="22"/>
        <v>442</v>
      </c>
      <c r="B485" s="22" t="s">
        <v>266</v>
      </c>
      <c r="C485" s="372" t="s">
        <v>689</v>
      </c>
      <c r="D485" s="22">
        <v>4000</v>
      </c>
      <c r="E485" s="22"/>
      <c r="F485" s="22"/>
      <c r="G485" s="22"/>
      <c r="H485" s="22"/>
      <c r="I485" s="177"/>
      <c r="J485" s="177"/>
      <c r="K485" s="177"/>
      <c r="L485" s="22">
        <f t="shared" si="21"/>
        <v>4000</v>
      </c>
      <c r="M485" s="10"/>
    </row>
    <row r="486" spans="1:13" ht="23.25" x14ac:dyDescent="0.25">
      <c r="A486" s="22">
        <f t="shared" si="22"/>
        <v>443</v>
      </c>
      <c r="B486" s="22" t="s">
        <v>1345</v>
      </c>
      <c r="C486" s="372">
        <v>42</v>
      </c>
      <c r="D486" s="22">
        <v>208</v>
      </c>
      <c r="E486" s="22"/>
      <c r="F486" s="22"/>
      <c r="G486" s="22"/>
      <c r="H486" s="22"/>
      <c r="I486" s="177"/>
      <c r="J486" s="177"/>
      <c r="K486" s="177"/>
      <c r="L486" s="22">
        <f t="shared" si="21"/>
        <v>208</v>
      </c>
      <c r="M486" s="10"/>
    </row>
    <row r="487" spans="1:13" ht="23.25" x14ac:dyDescent="0.25">
      <c r="A487" s="22">
        <f t="shared" si="22"/>
        <v>444</v>
      </c>
      <c r="B487" s="22" t="s">
        <v>268</v>
      </c>
      <c r="C487" s="372" t="s">
        <v>455</v>
      </c>
      <c r="D487" s="22">
        <v>1200</v>
      </c>
      <c r="E487" s="22"/>
      <c r="F487" s="22"/>
      <c r="G487" s="22"/>
      <c r="H487" s="22"/>
      <c r="I487" s="177"/>
      <c r="J487" s="177"/>
      <c r="K487" s="177"/>
      <c r="L487" s="22">
        <f t="shared" si="21"/>
        <v>1200</v>
      </c>
      <c r="M487" s="10"/>
    </row>
    <row r="488" spans="1:13" ht="23.25" x14ac:dyDescent="0.25">
      <c r="A488" s="22">
        <f t="shared" si="22"/>
        <v>445</v>
      </c>
      <c r="B488" s="22" t="s">
        <v>269</v>
      </c>
      <c r="C488" s="372">
        <v>10</v>
      </c>
      <c r="D488" s="22">
        <v>20</v>
      </c>
      <c r="E488" s="22"/>
      <c r="F488" s="22"/>
      <c r="G488" s="22"/>
      <c r="H488" s="22"/>
      <c r="I488" s="177"/>
      <c r="J488" s="177"/>
      <c r="K488" s="177"/>
      <c r="L488" s="22">
        <f t="shared" si="21"/>
        <v>20</v>
      </c>
      <c r="M488" s="10"/>
    </row>
    <row r="489" spans="1:13" ht="23.25" x14ac:dyDescent="0.25">
      <c r="A489" s="22">
        <f t="shared" si="22"/>
        <v>446</v>
      </c>
      <c r="B489" s="22" t="s">
        <v>1346</v>
      </c>
      <c r="C489" s="372" t="s">
        <v>144</v>
      </c>
      <c r="D489" s="22">
        <v>400</v>
      </c>
      <c r="E489" s="22"/>
      <c r="F489" s="22"/>
      <c r="G489" s="22"/>
      <c r="H489" s="22"/>
      <c r="I489" s="177"/>
      <c r="J489" s="177"/>
      <c r="K489" s="177"/>
      <c r="L489" s="22">
        <f t="shared" si="21"/>
        <v>400</v>
      </c>
      <c r="M489" s="10"/>
    </row>
    <row r="490" spans="1:13" ht="23.25" x14ac:dyDescent="0.25">
      <c r="A490" s="22">
        <f t="shared" si="22"/>
        <v>447</v>
      </c>
      <c r="B490" s="22" t="s">
        <v>270</v>
      </c>
      <c r="C490" s="372">
        <v>100</v>
      </c>
      <c r="D490" s="22">
        <v>20</v>
      </c>
      <c r="E490" s="22"/>
      <c r="F490" s="22"/>
      <c r="G490" s="22"/>
      <c r="H490" s="22"/>
      <c r="I490" s="177"/>
      <c r="J490" s="177"/>
      <c r="K490" s="177"/>
      <c r="L490" s="22">
        <f t="shared" si="21"/>
        <v>20</v>
      </c>
      <c r="M490" s="10"/>
    </row>
    <row r="491" spans="1:13" ht="23.25" x14ac:dyDescent="0.25">
      <c r="A491" s="22">
        <f t="shared" si="22"/>
        <v>448</v>
      </c>
      <c r="B491" s="22" t="s">
        <v>1347</v>
      </c>
      <c r="C491" s="372">
        <v>30</v>
      </c>
      <c r="D491" s="22">
        <v>200</v>
      </c>
      <c r="E491" s="22"/>
      <c r="F491" s="22"/>
      <c r="G491" s="22"/>
      <c r="H491" s="22"/>
      <c r="I491" s="177"/>
      <c r="J491" s="177"/>
      <c r="K491" s="177"/>
      <c r="L491" s="22">
        <f t="shared" si="21"/>
        <v>200</v>
      </c>
      <c r="M491" s="10"/>
    </row>
    <row r="492" spans="1:13" ht="23.25" x14ac:dyDescent="0.25">
      <c r="A492" s="22">
        <f t="shared" si="22"/>
        <v>449</v>
      </c>
      <c r="B492" s="22" t="s">
        <v>1348</v>
      </c>
      <c r="C492" s="372" t="s">
        <v>689</v>
      </c>
      <c r="D492" s="22">
        <v>80</v>
      </c>
      <c r="E492" s="22"/>
      <c r="F492" s="22"/>
      <c r="G492" s="22"/>
      <c r="H492" s="22"/>
      <c r="I492" s="177"/>
      <c r="J492" s="177"/>
      <c r="K492" s="177"/>
      <c r="L492" s="22">
        <f t="shared" si="21"/>
        <v>80</v>
      </c>
      <c r="M492" s="10"/>
    </row>
    <row r="493" spans="1:13" ht="23.25" x14ac:dyDescent="0.25">
      <c r="A493" s="22">
        <f t="shared" si="22"/>
        <v>450</v>
      </c>
      <c r="B493" s="22" t="s">
        <v>271</v>
      </c>
      <c r="C493" s="372">
        <v>5</v>
      </c>
      <c r="D493" s="22">
        <v>200</v>
      </c>
      <c r="E493" s="22"/>
      <c r="F493" s="22"/>
      <c r="G493" s="22"/>
      <c r="H493" s="22"/>
      <c r="I493" s="177"/>
      <c r="J493" s="177"/>
      <c r="K493" s="177"/>
      <c r="L493" s="22">
        <f t="shared" si="21"/>
        <v>200</v>
      </c>
      <c r="M493" s="10"/>
    </row>
    <row r="494" spans="1:13" ht="23.25" x14ac:dyDescent="0.25">
      <c r="A494" s="22">
        <f t="shared" si="22"/>
        <v>451</v>
      </c>
      <c r="B494" s="22" t="s">
        <v>1349</v>
      </c>
      <c r="C494" s="372">
        <v>10</v>
      </c>
      <c r="D494" s="22">
        <v>100</v>
      </c>
      <c r="E494" s="22"/>
      <c r="F494" s="22"/>
      <c r="G494" s="22"/>
      <c r="H494" s="22"/>
      <c r="I494" s="177"/>
      <c r="J494" s="177"/>
      <c r="K494" s="177"/>
      <c r="L494" s="22">
        <f t="shared" si="21"/>
        <v>100</v>
      </c>
      <c r="M494" s="10"/>
    </row>
    <row r="495" spans="1:13" ht="23.25" x14ac:dyDescent="0.25">
      <c r="A495" s="22">
        <f t="shared" si="22"/>
        <v>452</v>
      </c>
      <c r="B495" s="22" t="s">
        <v>1350</v>
      </c>
      <c r="C495" s="372">
        <v>10</v>
      </c>
      <c r="D495" s="22">
        <v>100</v>
      </c>
      <c r="E495" s="22"/>
      <c r="F495" s="22"/>
      <c r="G495" s="22"/>
      <c r="H495" s="22"/>
      <c r="I495" s="177"/>
      <c r="J495" s="177"/>
      <c r="K495" s="177"/>
      <c r="L495" s="22">
        <f t="shared" si="21"/>
        <v>100</v>
      </c>
      <c r="M495" s="10"/>
    </row>
    <row r="496" spans="1:13" ht="23.25" x14ac:dyDescent="0.25">
      <c r="A496" s="22">
        <f t="shared" si="22"/>
        <v>453</v>
      </c>
      <c r="B496" s="22" t="s">
        <v>1123</v>
      </c>
      <c r="C496" s="372">
        <v>20</v>
      </c>
      <c r="D496" s="22">
        <v>500</v>
      </c>
      <c r="E496" s="22"/>
      <c r="F496" s="22"/>
      <c r="G496" s="22"/>
      <c r="H496" s="22"/>
      <c r="I496" s="177"/>
      <c r="J496" s="177"/>
      <c r="K496" s="177"/>
      <c r="L496" s="22">
        <f t="shared" si="21"/>
        <v>500</v>
      </c>
      <c r="M496" s="10"/>
    </row>
    <row r="497" spans="1:13" ht="23.25" x14ac:dyDescent="0.25">
      <c r="A497" s="22">
        <f t="shared" si="22"/>
        <v>454</v>
      </c>
      <c r="B497" s="22" t="s">
        <v>272</v>
      </c>
      <c r="C497" s="372">
        <v>10</v>
      </c>
      <c r="D497" s="22">
        <v>1000</v>
      </c>
      <c r="E497" s="22"/>
      <c r="F497" s="22"/>
      <c r="G497" s="22"/>
      <c r="H497" s="22"/>
      <c r="I497" s="177"/>
      <c r="J497" s="177"/>
      <c r="K497" s="177"/>
      <c r="L497" s="22">
        <f t="shared" si="21"/>
        <v>1000</v>
      </c>
      <c r="M497" s="10"/>
    </row>
    <row r="498" spans="1:13" ht="23.25" x14ac:dyDescent="0.25">
      <c r="A498" s="22"/>
      <c r="B498" s="22"/>
      <c r="C498" s="372"/>
      <c r="D498" s="22"/>
      <c r="E498" s="22"/>
      <c r="F498" s="22"/>
      <c r="G498" s="22"/>
      <c r="H498" s="22"/>
      <c r="I498" s="177"/>
      <c r="J498" s="177"/>
      <c r="K498" s="177"/>
      <c r="L498" s="22">
        <f t="shared" si="21"/>
        <v>0</v>
      </c>
      <c r="M498" s="10"/>
    </row>
    <row r="499" spans="1:13" ht="23.25" x14ac:dyDescent="0.25">
      <c r="A499" s="13"/>
      <c r="B499" s="13"/>
      <c r="C499" s="370"/>
      <c r="D499" s="13"/>
      <c r="E499" s="13"/>
      <c r="F499" s="13"/>
      <c r="G499" s="13"/>
      <c r="H499" s="13"/>
      <c r="I499" s="177"/>
      <c r="J499" s="177"/>
      <c r="K499" s="177"/>
      <c r="L499" s="22">
        <f t="shared" si="21"/>
        <v>0</v>
      </c>
      <c r="M499" s="10"/>
    </row>
    <row r="500" spans="1:13" ht="23.25" x14ac:dyDescent="0.25">
      <c r="A500" s="22" t="s">
        <v>273</v>
      </c>
      <c r="B500" s="22" t="s">
        <v>274</v>
      </c>
      <c r="C500" s="372"/>
      <c r="D500" s="22"/>
      <c r="E500" s="22"/>
      <c r="F500" s="22"/>
      <c r="G500" s="22"/>
      <c r="H500" s="22"/>
      <c r="I500" s="177"/>
      <c r="J500" s="177"/>
      <c r="K500" s="177"/>
      <c r="L500" s="22">
        <f t="shared" si="21"/>
        <v>0</v>
      </c>
      <c r="M500" s="10"/>
    </row>
    <row r="501" spans="1:13" ht="23.25" x14ac:dyDescent="0.25">
      <c r="A501" s="22"/>
      <c r="B501" s="22" t="s">
        <v>275</v>
      </c>
      <c r="C501" s="372"/>
      <c r="D501" s="22"/>
      <c r="E501" s="22"/>
      <c r="F501" s="22"/>
      <c r="G501" s="22"/>
      <c r="H501" s="22"/>
      <c r="I501" s="177"/>
      <c r="J501" s="177"/>
      <c r="K501" s="177"/>
      <c r="L501" s="22">
        <f t="shared" si="21"/>
        <v>0</v>
      </c>
      <c r="M501" s="10"/>
    </row>
    <row r="502" spans="1:13" ht="23.25" x14ac:dyDescent="0.25">
      <c r="A502" s="22">
        <f>A497+1</f>
        <v>455</v>
      </c>
      <c r="B502" s="22" t="s">
        <v>276</v>
      </c>
      <c r="C502" s="372" t="s">
        <v>455</v>
      </c>
      <c r="D502" s="22">
        <v>1000</v>
      </c>
      <c r="E502" s="22"/>
      <c r="F502" s="22"/>
      <c r="G502" s="22"/>
      <c r="H502" s="22"/>
      <c r="I502" s="177"/>
      <c r="J502" s="177">
        <v>40</v>
      </c>
      <c r="K502" s="177"/>
      <c r="L502" s="22">
        <f t="shared" si="21"/>
        <v>1040</v>
      </c>
      <c r="M502" s="10"/>
    </row>
    <row r="503" spans="1:13" ht="23.25" x14ac:dyDescent="0.25">
      <c r="A503" s="22">
        <f t="shared" ref="A503:A515" si="23">A502+1</f>
        <v>456</v>
      </c>
      <c r="B503" s="22" t="s">
        <v>694</v>
      </c>
      <c r="C503" s="372">
        <v>1000</v>
      </c>
      <c r="D503" s="22">
        <v>2</v>
      </c>
      <c r="E503" s="22"/>
      <c r="F503" s="22"/>
      <c r="G503" s="22"/>
      <c r="H503" s="22"/>
      <c r="I503" s="177"/>
      <c r="J503" s="177"/>
      <c r="K503" s="177"/>
      <c r="L503" s="22">
        <f t="shared" si="21"/>
        <v>2</v>
      </c>
      <c r="M503" s="10"/>
    </row>
    <row r="504" spans="1:13" ht="23.25" x14ac:dyDescent="0.25">
      <c r="A504" s="22">
        <f t="shared" si="23"/>
        <v>457</v>
      </c>
      <c r="B504" s="22" t="s">
        <v>468</v>
      </c>
      <c r="C504" s="372">
        <v>100</v>
      </c>
      <c r="D504" s="22">
        <v>20</v>
      </c>
      <c r="E504" s="22"/>
      <c r="F504" s="22"/>
      <c r="G504" s="22"/>
      <c r="H504" s="22"/>
      <c r="I504" s="177"/>
      <c r="J504" s="177"/>
      <c r="K504" s="177"/>
      <c r="L504" s="22">
        <f t="shared" si="21"/>
        <v>20</v>
      </c>
      <c r="M504" s="10"/>
    </row>
    <row r="505" spans="1:13" ht="23.25" x14ac:dyDescent="0.25">
      <c r="A505" s="22">
        <f t="shared" si="23"/>
        <v>458</v>
      </c>
      <c r="B505" s="22" t="s">
        <v>277</v>
      </c>
      <c r="C505" s="372" t="s">
        <v>333</v>
      </c>
      <c r="D505" s="22">
        <v>100</v>
      </c>
      <c r="E505" s="22"/>
      <c r="F505" s="22"/>
      <c r="G505" s="22"/>
      <c r="H505" s="22"/>
      <c r="I505" s="177"/>
      <c r="J505" s="177"/>
      <c r="K505" s="177"/>
      <c r="L505" s="22">
        <f t="shared" si="21"/>
        <v>100</v>
      </c>
      <c r="M505" s="10"/>
    </row>
    <row r="506" spans="1:13" ht="23.25" x14ac:dyDescent="0.25">
      <c r="A506" s="22">
        <f t="shared" si="23"/>
        <v>459</v>
      </c>
      <c r="B506" s="22" t="s">
        <v>278</v>
      </c>
      <c r="C506" s="372" t="s">
        <v>333</v>
      </c>
      <c r="D506" s="22">
        <v>12</v>
      </c>
      <c r="E506" s="22"/>
      <c r="F506" s="22"/>
      <c r="G506" s="22"/>
      <c r="H506" s="22"/>
      <c r="I506" s="177"/>
      <c r="J506" s="177"/>
      <c r="K506" s="177"/>
      <c r="L506" s="22">
        <f t="shared" si="21"/>
        <v>12</v>
      </c>
      <c r="M506" s="10"/>
    </row>
    <row r="507" spans="1:13" ht="23.25" x14ac:dyDescent="0.25">
      <c r="A507" s="22">
        <f t="shared" si="23"/>
        <v>460</v>
      </c>
      <c r="B507" s="22" t="s">
        <v>469</v>
      </c>
      <c r="C507" s="372" t="s">
        <v>333</v>
      </c>
      <c r="D507" s="22">
        <v>52</v>
      </c>
      <c r="E507" s="22"/>
      <c r="F507" s="22"/>
      <c r="G507" s="22"/>
      <c r="H507" s="22"/>
      <c r="I507" s="177"/>
      <c r="J507" s="177"/>
      <c r="K507" s="177"/>
      <c r="L507" s="22">
        <f t="shared" si="21"/>
        <v>52</v>
      </c>
      <c r="M507" s="10"/>
    </row>
    <row r="508" spans="1:13" ht="23.25" x14ac:dyDescent="0.25">
      <c r="A508" s="22">
        <f t="shared" si="23"/>
        <v>461</v>
      </c>
      <c r="B508" s="22" t="s">
        <v>279</v>
      </c>
      <c r="C508" s="372" t="s">
        <v>333</v>
      </c>
      <c r="D508" s="22">
        <v>60</v>
      </c>
      <c r="E508" s="22"/>
      <c r="F508" s="22"/>
      <c r="G508" s="22"/>
      <c r="H508" s="22"/>
      <c r="I508" s="177"/>
      <c r="J508" s="177"/>
      <c r="K508" s="177"/>
      <c r="L508" s="22">
        <f t="shared" si="21"/>
        <v>60</v>
      </c>
      <c r="M508" s="10"/>
    </row>
    <row r="509" spans="1:13" ht="23.25" x14ac:dyDescent="0.25">
      <c r="A509" s="22">
        <f t="shared" si="23"/>
        <v>462</v>
      </c>
      <c r="B509" s="22" t="s">
        <v>470</v>
      </c>
      <c r="C509" s="372" t="s">
        <v>333</v>
      </c>
      <c r="D509" s="22">
        <v>10</v>
      </c>
      <c r="E509" s="22"/>
      <c r="F509" s="22"/>
      <c r="G509" s="22"/>
      <c r="H509" s="22"/>
      <c r="I509" s="177"/>
      <c r="J509" s="177"/>
      <c r="K509" s="177"/>
      <c r="L509" s="22">
        <f t="shared" si="21"/>
        <v>10</v>
      </c>
      <c r="M509" s="10"/>
    </row>
    <row r="510" spans="1:13" ht="23.25" x14ac:dyDescent="0.25">
      <c r="A510" s="22">
        <f t="shared" si="23"/>
        <v>463</v>
      </c>
      <c r="B510" s="22" t="s">
        <v>471</v>
      </c>
      <c r="C510" s="372" t="s">
        <v>333</v>
      </c>
      <c r="D510" s="22">
        <v>200</v>
      </c>
      <c r="E510" s="22"/>
      <c r="F510" s="22"/>
      <c r="G510" s="22"/>
      <c r="H510" s="22"/>
      <c r="I510" s="177"/>
      <c r="J510" s="177"/>
      <c r="K510" s="177"/>
      <c r="L510" s="22">
        <f t="shared" si="21"/>
        <v>200</v>
      </c>
      <c r="M510" s="10"/>
    </row>
    <row r="511" spans="1:13" ht="23.25" x14ac:dyDescent="0.25">
      <c r="A511" s="22">
        <f t="shared" si="23"/>
        <v>464</v>
      </c>
      <c r="B511" s="22" t="s">
        <v>280</v>
      </c>
      <c r="C511" s="372">
        <v>100</v>
      </c>
      <c r="D511" s="22">
        <v>100</v>
      </c>
      <c r="E511" s="22"/>
      <c r="F511" s="22"/>
      <c r="G511" s="22"/>
      <c r="H511" s="22"/>
      <c r="I511" s="177"/>
      <c r="J511" s="177"/>
      <c r="K511" s="177"/>
      <c r="L511" s="22">
        <f t="shared" si="21"/>
        <v>100</v>
      </c>
      <c r="M511" s="10"/>
    </row>
    <row r="512" spans="1:13" ht="23.25" x14ac:dyDescent="0.25">
      <c r="A512" s="22">
        <f t="shared" si="23"/>
        <v>465</v>
      </c>
      <c r="B512" s="22" t="s">
        <v>331</v>
      </c>
      <c r="C512" s="372" t="s">
        <v>333</v>
      </c>
      <c r="D512" s="22">
        <v>240</v>
      </c>
      <c r="E512" s="22"/>
      <c r="F512" s="22"/>
      <c r="G512" s="22"/>
      <c r="H512" s="22"/>
      <c r="I512" s="177"/>
      <c r="J512" s="177"/>
      <c r="K512" s="177"/>
      <c r="L512" s="22">
        <f t="shared" si="21"/>
        <v>240</v>
      </c>
      <c r="M512" s="10"/>
    </row>
    <row r="513" spans="1:13" ht="23.25" x14ac:dyDescent="0.25">
      <c r="A513" s="22">
        <f t="shared" si="23"/>
        <v>466</v>
      </c>
      <c r="B513" s="22" t="s">
        <v>281</v>
      </c>
      <c r="C513" s="372">
        <v>20</v>
      </c>
      <c r="D513" s="22">
        <v>100</v>
      </c>
      <c r="E513" s="22"/>
      <c r="F513" s="22"/>
      <c r="G513" s="22"/>
      <c r="H513" s="22"/>
      <c r="I513" s="177"/>
      <c r="J513" s="177"/>
      <c r="K513" s="177"/>
      <c r="L513" s="22">
        <f t="shared" si="21"/>
        <v>100</v>
      </c>
      <c r="M513" s="10"/>
    </row>
    <row r="514" spans="1:13" ht="23.25" x14ac:dyDescent="0.25">
      <c r="A514" s="22">
        <f t="shared" si="23"/>
        <v>467</v>
      </c>
      <c r="B514" s="22" t="s">
        <v>729</v>
      </c>
      <c r="C514" s="372">
        <v>20</v>
      </c>
      <c r="D514" s="22">
        <v>40</v>
      </c>
      <c r="E514" s="22"/>
      <c r="F514" s="22"/>
      <c r="G514" s="22"/>
      <c r="H514" s="22"/>
      <c r="I514" s="177"/>
      <c r="J514" s="177"/>
      <c r="K514" s="177"/>
      <c r="L514" s="22">
        <f t="shared" si="21"/>
        <v>40</v>
      </c>
      <c r="M514" s="10"/>
    </row>
    <row r="515" spans="1:13" ht="23.25" x14ac:dyDescent="0.25">
      <c r="A515" s="22">
        <f t="shared" si="23"/>
        <v>468</v>
      </c>
      <c r="B515" s="22" t="s">
        <v>282</v>
      </c>
      <c r="C515" s="372" t="s">
        <v>144</v>
      </c>
      <c r="D515" s="22">
        <v>60</v>
      </c>
      <c r="E515" s="22"/>
      <c r="F515" s="22"/>
      <c r="G515" s="22"/>
      <c r="H515" s="22"/>
      <c r="I515" s="177"/>
      <c r="J515" s="177"/>
      <c r="K515" s="177"/>
      <c r="L515" s="22">
        <f t="shared" si="21"/>
        <v>60</v>
      </c>
      <c r="M515" s="10"/>
    </row>
    <row r="516" spans="1:13" ht="23.25" x14ac:dyDescent="0.25">
      <c r="A516" s="22"/>
      <c r="B516" s="22"/>
      <c r="C516" s="372"/>
      <c r="D516" s="22"/>
      <c r="E516" s="22"/>
      <c r="F516" s="22"/>
      <c r="G516" s="22"/>
      <c r="H516" s="22"/>
      <c r="I516" s="177"/>
      <c r="J516" s="177"/>
      <c r="K516" s="177"/>
      <c r="L516" s="22">
        <f t="shared" si="21"/>
        <v>0</v>
      </c>
      <c r="M516" s="10"/>
    </row>
    <row r="517" spans="1:13" ht="23.25" x14ac:dyDescent="0.25">
      <c r="A517" s="22"/>
      <c r="B517" s="22" t="s">
        <v>283</v>
      </c>
      <c r="C517" s="372"/>
      <c r="D517" s="22"/>
      <c r="E517" s="22"/>
      <c r="F517" s="22"/>
      <c r="G517" s="22"/>
      <c r="H517" s="22"/>
      <c r="I517" s="177"/>
      <c r="J517" s="177"/>
      <c r="K517" s="177"/>
      <c r="L517" s="22">
        <f t="shared" si="21"/>
        <v>0</v>
      </c>
      <c r="M517" s="10"/>
    </row>
    <row r="518" spans="1:13" ht="23.25" x14ac:dyDescent="0.25">
      <c r="A518" s="22">
        <f>1+A515</f>
        <v>469</v>
      </c>
      <c r="B518" s="22" t="s">
        <v>284</v>
      </c>
      <c r="C518" s="372">
        <v>100</v>
      </c>
      <c r="D518" s="22">
        <v>12</v>
      </c>
      <c r="E518" s="22"/>
      <c r="F518" s="22"/>
      <c r="G518" s="22"/>
      <c r="H518" s="22"/>
      <c r="I518" s="177"/>
      <c r="J518" s="177"/>
      <c r="K518" s="177"/>
      <c r="L518" s="22">
        <f t="shared" si="21"/>
        <v>12</v>
      </c>
      <c r="M518" s="10"/>
    </row>
    <row r="519" spans="1:13" ht="23.25" x14ac:dyDescent="0.25">
      <c r="A519" s="22">
        <f>A518+1</f>
        <v>470</v>
      </c>
      <c r="B519" s="22" t="s">
        <v>1351</v>
      </c>
      <c r="C519" s="372" t="s">
        <v>144</v>
      </c>
      <c r="D519" s="22">
        <v>60</v>
      </c>
      <c r="E519" s="22"/>
      <c r="F519" s="22"/>
      <c r="G519" s="22"/>
      <c r="H519" s="22"/>
      <c r="I519" s="177"/>
      <c r="J519" s="177"/>
      <c r="K519" s="177"/>
      <c r="L519" s="22">
        <f t="shared" si="21"/>
        <v>60</v>
      </c>
      <c r="M519" s="10"/>
    </row>
    <row r="520" spans="1:13" ht="23.25" x14ac:dyDescent="0.25">
      <c r="A520" s="22">
        <f>A519+1</f>
        <v>471</v>
      </c>
      <c r="B520" s="22" t="s">
        <v>1352</v>
      </c>
      <c r="C520" s="372">
        <v>100</v>
      </c>
      <c r="D520" s="22">
        <v>60</v>
      </c>
      <c r="E520" s="22"/>
      <c r="F520" s="22"/>
      <c r="G520" s="22"/>
      <c r="H520" s="22"/>
      <c r="I520" s="177"/>
      <c r="J520" s="177"/>
      <c r="K520" s="177"/>
      <c r="L520" s="22">
        <f t="shared" si="21"/>
        <v>60</v>
      </c>
      <c r="M520" s="10"/>
    </row>
    <row r="521" spans="1:13" ht="23.25" x14ac:dyDescent="0.25">
      <c r="A521" s="22">
        <f t="shared" ref="A521:A542" si="24">A520+1</f>
        <v>472</v>
      </c>
      <c r="B521" s="22" t="s">
        <v>285</v>
      </c>
      <c r="C521" s="372">
        <v>1000</v>
      </c>
      <c r="D521" s="22">
        <v>20</v>
      </c>
      <c r="E521" s="22"/>
      <c r="F521" s="22"/>
      <c r="G521" s="22"/>
      <c r="H521" s="22"/>
      <c r="I521" s="177"/>
      <c r="J521" s="177"/>
      <c r="K521" s="177"/>
      <c r="L521" s="22">
        <f t="shared" ref="L521:L584" si="25">SUM(D521:K521)</f>
        <v>20</v>
      </c>
      <c r="M521" s="10"/>
    </row>
    <row r="522" spans="1:13" ht="23.25" x14ac:dyDescent="0.25">
      <c r="A522" s="22">
        <f t="shared" si="24"/>
        <v>473</v>
      </c>
      <c r="B522" s="22" t="s">
        <v>1353</v>
      </c>
      <c r="C522" s="372" t="s">
        <v>144</v>
      </c>
      <c r="D522" s="22">
        <v>800</v>
      </c>
      <c r="E522" s="22"/>
      <c r="F522" s="22"/>
      <c r="G522" s="22"/>
      <c r="H522" s="22"/>
      <c r="I522" s="177"/>
      <c r="J522" s="177"/>
      <c r="K522" s="177"/>
      <c r="L522" s="22">
        <f t="shared" si="25"/>
        <v>800</v>
      </c>
      <c r="M522" s="10"/>
    </row>
    <row r="523" spans="1:13" ht="23.25" x14ac:dyDescent="0.25">
      <c r="A523" s="22">
        <f t="shared" si="24"/>
        <v>474</v>
      </c>
      <c r="B523" s="22" t="s">
        <v>286</v>
      </c>
      <c r="C523" s="372">
        <v>100</v>
      </c>
      <c r="D523" s="22">
        <v>4</v>
      </c>
      <c r="E523" s="22"/>
      <c r="F523" s="22"/>
      <c r="G523" s="22"/>
      <c r="H523" s="22"/>
      <c r="I523" s="177"/>
      <c r="J523" s="177"/>
      <c r="K523" s="177"/>
      <c r="L523" s="22">
        <f t="shared" si="25"/>
        <v>4</v>
      </c>
      <c r="M523" s="10"/>
    </row>
    <row r="524" spans="1:13" ht="23.25" x14ac:dyDescent="0.25">
      <c r="A524" s="22">
        <f t="shared" si="24"/>
        <v>475</v>
      </c>
      <c r="B524" s="22" t="s">
        <v>287</v>
      </c>
      <c r="C524" s="372">
        <v>50</v>
      </c>
      <c r="D524" s="22">
        <v>200</v>
      </c>
      <c r="E524" s="22"/>
      <c r="F524" s="22"/>
      <c r="G524" s="22"/>
      <c r="H524" s="22"/>
      <c r="I524" s="177"/>
      <c r="J524" s="177"/>
      <c r="K524" s="177"/>
      <c r="L524" s="22">
        <f t="shared" si="25"/>
        <v>200</v>
      </c>
      <c r="M524" s="10"/>
    </row>
    <row r="525" spans="1:13" ht="23.25" x14ac:dyDescent="0.25">
      <c r="A525" s="22">
        <f t="shared" si="24"/>
        <v>476</v>
      </c>
      <c r="B525" s="22" t="s">
        <v>1354</v>
      </c>
      <c r="C525" s="372">
        <v>6</v>
      </c>
      <c r="D525" s="22">
        <v>20</v>
      </c>
      <c r="E525" s="22"/>
      <c r="F525" s="22"/>
      <c r="G525" s="22"/>
      <c r="H525" s="22"/>
      <c r="I525" s="177"/>
      <c r="J525" s="177"/>
      <c r="K525" s="177"/>
      <c r="L525" s="22">
        <f t="shared" si="25"/>
        <v>20</v>
      </c>
      <c r="M525" s="10"/>
    </row>
    <row r="526" spans="1:13" ht="23.25" x14ac:dyDescent="0.25">
      <c r="A526" s="22">
        <f t="shared" si="24"/>
        <v>477</v>
      </c>
      <c r="B526" s="22" t="s">
        <v>290</v>
      </c>
      <c r="C526" s="372" t="s">
        <v>144</v>
      </c>
      <c r="D526" s="22">
        <v>1600</v>
      </c>
      <c r="E526" s="22"/>
      <c r="F526" s="22"/>
      <c r="G526" s="22"/>
      <c r="H526" s="22"/>
      <c r="I526" s="177"/>
      <c r="J526" s="177"/>
      <c r="K526" s="177"/>
      <c r="L526" s="22">
        <f t="shared" si="25"/>
        <v>1600</v>
      </c>
      <c r="M526" s="10"/>
    </row>
    <row r="527" spans="1:13" ht="23.25" x14ac:dyDescent="0.25">
      <c r="A527" s="22">
        <f t="shared" si="24"/>
        <v>478</v>
      </c>
      <c r="B527" s="22" t="s">
        <v>291</v>
      </c>
      <c r="C527" s="372" t="s">
        <v>144</v>
      </c>
      <c r="D527" s="22">
        <v>1600</v>
      </c>
      <c r="E527" s="22"/>
      <c r="F527" s="22"/>
      <c r="G527" s="22"/>
      <c r="H527" s="22"/>
      <c r="I527" s="177"/>
      <c r="J527" s="177"/>
      <c r="K527" s="177"/>
      <c r="L527" s="22">
        <f t="shared" si="25"/>
        <v>1600</v>
      </c>
      <c r="M527" s="10"/>
    </row>
    <row r="528" spans="1:13" ht="23.25" x14ac:dyDescent="0.25">
      <c r="A528" s="22">
        <f t="shared" si="24"/>
        <v>479</v>
      </c>
      <c r="B528" s="22" t="s">
        <v>292</v>
      </c>
      <c r="C528" s="372" t="s">
        <v>144</v>
      </c>
      <c r="D528" s="22">
        <v>500</v>
      </c>
      <c r="E528" s="22"/>
      <c r="F528" s="22"/>
      <c r="G528" s="22"/>
      <c r="H528" s="22"/>
      <c r="I528" s="177"/>
      <c r="J528" s="177"/>
      <c r="K528" s="177"/>
      <c r="L528" s="22">
        <f t="shared" si="25"/>
        <v>500</v>
      </c>
      <c r="M528" s="10"/>
    </row>
    <row r="529" spans="1:13" ht="23.25" x14ac:dyDescent="0.25">
      <c r="A529" s="22">
        <f t="shared" si="24"/>
        <v>480</v>
      </c>
      <c r="B529" s="22" t="s">
        <v>293</v>
      </c>
      <c r="C529" s="372">
        <v>10</v>
      </c>
      <c r="D529" s="22">
        <v>80</v>
      </c>
      <c r="E529" s="22"/>
      <c r="F529" s="22"/>
      <c r="G529" s="22"/>
      <c r="H529" s="22"/>
      <c r="I529" s="371"/>
      <c r="J529" s="371"/>
      <c r="K529" s="371"/>
      <c r="L529" s="22">
        <f t="shared" si="25"/>
        <v>80</v>
      </c>
      <c r="M529" s="10"/>
    </row>
    <row r="530" spans="1:13" ht="23.25" x14ac:dyDescent="0.25">
      <c r="A530" s="22">
        <f t="shared" si="24"/>
        <v>481</v>
      </c>
      <c r="B530" s="22" t="s">
        <v>294</v>
      </c>
      <c r="C530" s="372">
        <v>10</v>
      </c>
      <c r="D530" s="22">
        <v>200</v>
      </c>
      <c r="E530" s="22"/>
      <c r="F530" s="22"/>
      <c r="G530" s="22"/>
      <c r="H530" s="22"/>
      <c r="I530" s="371"/>
      <c r="J530" s="371"/>
      <c r="K530" s="371"/>
      <c r="L530" s="22">
        <f t="shared" si="25"/>
        <v>200</v>
      </c>
      <c r="M530" s="10"/>
    </row>
    <row r="531" spans="1:13" ht="23.25" x14ac:dyDescent="0.25">
      <c r="A531" s="22">
        <f t="shared" si="24"/>
        <v>482</v>
      </c>
      <c r="B531" s="22" t="s">
        <v>699</v>
      </c>
      <c r="C531" s="372">
        <v>100</v>
      </c>
      <c r="D531" s="22">
        <v>4</v>
      </c>
      <c r="E531" s="22"/>
      <c r="F531" s="22"/>
      <c r="G531" s="22"/>
      <c r="H531" s="22"/>
      <c r="I531" s="371"/>
      <c r="J531" s="371"/>
      <c r="K531" s="371"/>
      <c r="L531" s="22">
        <f t="shared" si="25"/>
        <v>4</v>
      </c>
      <c r="M531" s="10"/>
    </row>
    <row r="532" spans="1:13" ht="23.25" x14ac:dyDescent="0.25">
      <c r="A532" s="22">
        <f t="shared" si="24"/>
        <v>483</v>
      </c>
      <c r="B532" s="22" t="s">
        <v>295</v>
      </c>
      <c r="C532" s="372" t="s">
        <v>57</v>
      </c>
      <c r="D532" s="22">
        <v>5000</v>
      </c>
      <c r="E532" s="22"/>
      <c r="F532" s="22"/>
      <c r="G532" s="22"/>
      <c r="H532" s="22"/>
      <c r="I532" s="371"/>
      <c r="J532" s="371">
        <v>40</v>
      </c>
      <c r="K532" s="371"/>
      <c r="L532" s="22">
        <f t="shared" si="25"/>
        <v>5040</v>
      </c>
      <c r="M532" s="10"/>
    </row>
    <row r="533" spans="1:13" ht="23.25" x14ac:dyDescent="0.25">
      <c r="A533" s="22">
        <f t="shared" si="24"/>
        <v>484</v>
      </c>
      <c r="B533" s="22" t="s">
        <v>301</v>
      </c>
      <c r="C533" s="372">
        <v>30</v>
      </c>
      <c r="D533" s="22">
        <v>4</v>
      </c>
      <c r="E533" s="22"/>
      <c r="F533" s="22"/>
      <c r="G533" s="22"/>
      <c r="H533" s="22"/>
      <c r="I533" s="371"/>
      <c r="J533" s="371"/>
      <c r="K533" s="371"/>
      <c r="L533" s="22">
        <f t="shared" si="25"/>
        <v>4</v>
      </c>
      <c r="M533" s="10"/>
    </row>
    <row r="534" spans="1:13" ht="23.25" x14ac:dyDescent="0.25">
      <c r="A534" s="22">
        <f t="shared" si="24"/>
        <v>485</v>
      </c>
      <c r="B534" s="22" t="s">
        <v>1355</v>
      </c>
      <c r="C534" s="372">
        <v>100</v>
      </c>
      <c r="D534" s="22">
        <v>80</v>
      </c>
      <c r="E534" s="22"/>
      <c r="F534" s="22"/>
      <c r="G534" s="22"/>
      <c r="H534" s="22"/>
      <c r="I534" s="371"/>
      <c r="J534" s="371"/>
      <c r="K534" s="371"/>
      <c r="L534" s="22">
        <f t="shared" si="25"/>
        <v>80</v>
      </c>
      <c r="M534" s="10"/>
    </row>
    <row r="535" spans="1:13" ht="23.25" x14ac:dyDescent="0.25">
      <c r="A535" s="22">
        <f t="shared" si="24"/>
        <v>486</v>
      </c>
      <c r="B535" s="22" t="s">
        <v>296</v>
      </c>
      <c r="C535" s="372">
        <v>100</v>
      </c>
      <c r="D535" s="22">
        <v>400</v>
      </c>
      <c r="E535" s="22"/>
      <c r="F535" s="22"/>
      <c r="G535" s="22"/>
      <c r="H535" s="22"/>
      <c r="I535" s="371"/>
      <c r="J535" s="371"/>
      <c r="K535" s="371"/>
      <c r="L535" s="22">
        <f t="shared" si="25"/>
        <v>400</v>
      </c>
      <c r="M535" s="10"/>
    </row>
    <row r="536" spans="1:13" ht="23.25" x14ac:dyDescent="0.25">
      <c r="A536" s="22">
        <f t="shared" si="24"/>
        <v>487</v>
      </c>
      <c r="B536" s="22" t="s">
        <v>1356</v>
      </c>
      <c r="C536" s="372" t="s">
        <v>144</v>
      </c>
      <c r="D536" s="22">
        <v>120</v>
      </c>
      <c r="E536" s="22"/>
      <c r="F536" s="22"/>
      <c r="G536" s="22"/>
      <c r="H536" s="22"/>
      <c r="I536" s="371"/>
      <c r="J536" s="371"/>
      <c r="K536" s="371"/>
      <c r="L536" s="22">
        <f t="shared" si="25"/>
        <v>120</v>
      </c>
      <c r="M536" s="10"/>
    </row>
    <row r="537" spans="1:13" ht="23.25" x14ac:dyDescent="0.25">
      <c r="A537" s="22">
        <f t="shared" si="24"/>
        <v>488</v>
      </c>
      <c r="B537" s="22" t="s">
        <v>1357</v>
      </c>
      <c r="C537" s="372">
        <v>30</v>
      </c>
      <c r="D537" s="22">
        <v>40</v>
      </c>
      <c r="E537" s="22"/>
      <c r="F537" s="22"/>
      <c r="G537" s="22"/>
      <c r="H537" s="22"/>
      <c r="I537" s="371"/>
      <c r="J537" s="371"/>
      <c r="K537" s="371"/>
      <c r="L537" s="22">
        <f t="shared" si="25"/>
        <v>40</v>
      </c>
      <c r="M537" s="10"/>
    </row>
    <row r="538" spans="1:13" ht="23.25" x14ac:dyDescent="0.25">
      <c r="A538" s="22">
        <f t="shared" si="24"/>
        <v>489</v>
      </c>
      <c r="B538" s="22" t="s">
        <v>297</v>
      </c>
      <c r="C538" s="372">
        <v>100</v>
      </c>
      <c r="D538" s="22">
        <v>800</v>
      </c>
      <c r="E538" s="22"/>
      <c r="F538" s="22"/>
      <c r="G538" s="22"/>
      <c r="H538" s="22"/>
      <c r="I538" s="371"/>
      <c r="J538" s="371"/>
      <c r="K538" s="371"/>
      <c r="L538" s="22">
        <f t="shared" si="25"/>
        <v>800</v>
      </c>
      <c r="M538" s="10"/>
    </row>
    <row r="539" spans="1:13" ht="23.25" x14ac:dyDescent="0.25">
      <c r="A539" s="22">
        <f t="shared" si="24"/>
        <v>490</v>
      </c>
      <c r="B539" s="22" t="s">
        <v>298</v>
      </c>
      <c r="C539" s="372">
        <v>100</v>
      </c>
      <c r="D539" s="22">
        <v>10</v>
      </c>
      <c r="E539" s="22"/>
      <c r="F539" s="22"/>
      <c r="G539" s="22"/>
      <c r="H539" s="22"/>
      <c r="I539" s="371"/>
      <c r="J539" s="371">
        <v>40</v>
      </c>
      <c r="K539" s="371"/>
      <c r="L539" s="22">
        <f t="shared" si="25"/>
        <v>50</v>
      </c>
      <c r="M539" s="10"/>
    </row>
    <row r="540" spans="1:13" ht="23.25" x14ac:dyDescent="0.25">
      <c r="A540" s="22">
        <f t="shared" si="24"/>
        <v>491</v>
      </c>
      <c r="B540" s="22" t="s">
        <v>1358</v>
      </c>
      <c r="C540" s="372" t="s">
        <v>144</v>
      </c>
      <c r="D540" s="22">
        <v>80</v>
      </c>
      <c r="E540" s="22"/>
      <c r="F540" s="22"/>
      <c r="G540" s="22"/>
      <c r="H540" s="22"/>
      <c r="I540" s="371"/>
      <c r="J540" s="371"/>
      <c r="K540" s="371"/>
      <c r="L540" s="22">
        <f t="shared" si="25"/>
        <v>80</v>
      </c>
      <c r="M540" s="10"/>
    </row>
    <row r="541" spans="1:13" ht="23.25" x14ac:dyDescent="0.25">
      <c r="A541" s="22">
        <f t="shared" si="24"/>
        <v>492</v>
      </c>
      <c r="B541" s="22" t="s">
        <v>1359</v>
      </c>
      <c r="C541" s="372" t="s">
        <v>144</v>
      </c>
      <c r="D541" s="22">
        <v>120</v>
      </c>
      <c r="E541" s="22"/>
      <c r="F541" s="22"/>
      <c r="G541" s="22"/>
      <c r="H541" s="22"/>
      <c r="I541" s="371"/>
      <c r="J541" s="371"/>
      <c r="K541" s="371"/>
      <c r="L541" s="22">
        <f t="shared" si="25"/>
        <v>120</v>
      </c>
      <c r="M541" s="10"/>
    </row>
    <row r="542" spans="1:13" ht="23.25" x14ac:dyDescent="0.25">
      <c r="A542" s="22">
        <f t="shared" si="24"/>
        <v>493</v>
      </c>
      <c r="B542" s="22" t="s">
        <v>300</v>
      </c>
      <c r="C542" s="372">
        <v>100</v>
      </c>
      <c r="D542" s="22">
        <v>80</v>
      </c>
      <c r="E542" s="22"/>
      <c r="F542" s="22"/>
      <c r="G542" s="22"/>
      <c r="H542" s="22"/>
      <c r="I542" s="371"/>
      <c r="J542" s="371"/>
      <c r="K542" s="371"/>
      <c r="L542" s="22">
        <f t="shared" si="25"/>
        <v>80</v>
      </c>
      <c r="M542" s="10"/>
    </row>
    <row r="543" spans="1:13" ht="23.25" x14ac:dyDescent="0.25">
      <c r="A543" s="22"/>
      <c r="B543" s="22"/>
      <c r="C543" s="372"/>
      <c r="D543" s="22"/>
      <c r="E543" s="22"/>
      <c r="F543" s="22"/>
      <c r="G543" s="22"/>
      <c r="H543" s="22"/>
      <c r="I543" s="371"/>
      <c r="J543" s="371"/>
      <c r="K543" s="371"/>
      <c r="L543" s="22">
        <f t="shared" si="25"/>
        <v>0</v>
      </c>
      <c r="M543" s="10"/>
    </row>
    <row r="544" spans="1:13" ht="23.25" x14ac:dyDescent="0.25">
      <c r="A544" s="22"/>
      <c r="B544" s="22"/>
      <c r="C544" s="372"/>
      <c r="D544" s="22"/>
      <c r="E544" s="22"/>
      <c r="F544" s="22"/>
      <c r="G544" s="22"/>
      <c r="H544" s="22"/>
      <c r="I544" s="371"/>
      <c r="J544" s="371"/>
      <c r="K544" s="371"/>
      <c r="L544" s="22">
        <f t="shared" si="25"/>
        <v>0</v>
      </c>
      <c r="M544" s="10"/>
    </row>
    <row r="545" spans="1:13" ht="23.25" x14ac:dyDescent="0.25">
      <c r="A545" s="22" t="s">
        <v>302</v>
      </c>
      <c r="B545" s="22" t="s">
        <v>303</v>
      </c>
      <c r="C545" s="372"/>
      <c r="D545" s="22"/>
      <c r="E545" s="22"/>
      <c r="F545" s="22"/>
      <c r="G545" s="22"/>
      <c r="H545" s="22"/>
      <c r="I545" s="371"/>
      <c r="J545" s="371"/>
      <c r="K545" s="371"/>
      <c r="L545" s="22">
        <f t="shared" si="25"/>
        <v>0</v>
      </c>
      <c r="M545" s="10"/>
    </row>
    <row r="546" spans="1:13" ht="23.25" x14ac:dyDescent="0.25">
      <c r="A546" s="22">
        <f>A542+1</f>
        <v>494</v>
      </c>
      <c r="B546" s="22" t="s">
        <v>304</v>
      </c>
      <c r="C546" s="372">
        <v>500</v>
      </c>
      <c r="D546" s="22">
        <v>72</v>
      </c>
      <c r="E546" s="22"/>
      <c r="F546" s="22"/>
      <c r="G546" s="22"/>
      <c r="H546" s="22"/>
      <c r="I546" s="371"/>
      <c r="J546" s="371"/>
      <c r="K546" s="371"/>
      <c r="L546" s="22">
        <f t="shared" si="25"/>
        <v>72</v>
      </c>
      <c r="M546" s="10"/>
    </row>
    <row r="547" spans="1:13" ht="23.25" x14ac:dyDescent="0.25">
      <c r="A547" s="22">
        <f t="shared" ref="A547:A590" si="26">A546+1</f>
        <v>495</v>
      </c>
      <c r="B547" s="22" t="s">
        <v>472</v>
      </c>
      <c r="C547" s="372" t="s">
        <v>656</v>
      </c>
      <c r="D547" s="22">
        <v>20</v>
      </c>
      <c r="E547" s="22"/>
      <c r="F547" s="22"/>
      <c r="G547" s="22"/>
      <c r="H547" s="22"/>
      <c r="I547" s="371"/>
      <c r="J547" s="371"/>
      <c r="K547" s="371"/>
      <c r="L547" s="22">
        <f t="shared" si="25"/>
        <v>20</v>
      </c>
      <c r="M547" s="10"/>
    </row>
    <row r="548" spans="1:13" ht="23.25" x14ac:dyDescent="0.25">
      <c r="A548" s="22">
        <f t="shared" si="26"/>
        <v>496</v>
      </c>
      <c r="B548" s="13" t="s">
        <v>305</v>
      </c>
      <c r="C548" s="372" t="s">
        <v>144</v>
      </c>
      <c r="D548" s="22">
        <v>1600</v>
      </c>
      <c r="E548" s="22"/>
      <c r="F548" s="22"/>
      <c r="G548" s="22"/>
      <c r="H548" s="22"/>
      <c r="I548" s="371"/>
      <c r="J548" s="371"/>
      <c r="K548" s="371"/>
      <c r="L548" s="22">
        <f t="shared" si="25"/>
        <v>1600</v>
      </c>
      <c r="M548" s="10"/>
    </row>
    <row r="549" spans="1:13" ht="23.25" x14ac:dyDescent="0.25">
      <c r="A549" s="22">
        <f t="shared" si="26"/>
        <v>497</v>
      </c>
      <c r="B549" s="22" t="s">
        <v>306</v>
      </c>
      <c r="C549" s="372" t="s">
        <v>144</v>
      </c>
      <c r="D549" s="22">
        <v>60</v>
      </c>
      <c r="E549" s="22"/>
      <c r="F549" s="22"/>
      <c r="G549" s="22"/>
      <c r="H549" s="22"/>
      <c r="I549" s="371"/>
      <c r="J549" s="371"/>
      <c r="K549" s="371"/>
      <c r="L549" s="22">
        <f t="shared" si="25"/>
        <v>60</v>
      </c>
      <c r="M549" s="10"/>
    </row>
    <row r="550" spans="1:13" ht="23.25" x14ac:dyDescent="0.25">
      <c r="A550" s="22">
        <f t="shared" si="26"/>
        <v>498</v>
      </c>
      <c r="B550" s="22" t="s">
        <v>307</v>
      </c>
      <c r="C550" s="372" t="s">
        <v>144</v>
      </c>
      <c r="D550" s="22">
        <v>20</v>
      </c>
      <c r="E550" s="22"/>
      <c r="F550" s="22"/>
      <c r="G550" s="22"/>
      <c r="H550" s="22"/>
      <c r="I550" s="371"/>
      <c r="J550" s="371"/>
      <c r="K550" s="371"/>
      <c r="L550" s="22">
        <f t="shared" si="25"/>
        <v>20</v>
      </c>
      <c r="M550" s="10"/>
    </row>
    <row r="551" spans="1:13" ht="23.25" x14ac:dyDescent="0.25">
      <c r="A551" s="22">
        <f t="shared" si="26"/>
        <v>499</v>
      </c>
      <c r="B551" s="22" t="s">
        <v>308</v>
      </c>
      <c r="C551" s="372" t="s">
        <v>144</v>
      </c>
      <c r="D551" s="22">
        <v>20</v>
      </c>
      <c r="E551" s="22"/>
      <c r="F551" s="22"/>
      <c r="G551" s="22"/>
      <c r="H551" s="22"/>
      <c r="I551" s="371"/>
      <c r="J551" s="371"/>
      <c r="K551" s="371"/>
      <c r="L551" s="22">
        <f t="shared" si="25"/>
        <v>20</v>
      </c>
      <c r="M551" s="10"/>
    </row>
    <row r="552" spans="1:13" ht="23.25" x14ac:dyDescent="0.25">
      <c r="A552" s="22">
        <f t="shared" si="26"/>
        <v>500</v>
      </c>
      <c r="B552" s="22" t="s">
        <v>309</v>
      </c>
      <c r="C552" s="372" t="s">
        <v>144</v>
      </c>
      <c r="D552" s="22">
        <v>40</v>
      </c>
      <c r="E552" s="22"/>
      <c r="F552" s="22"/>
      <c r="G552" s="22"/>
      <c r="H552" s="22"/>
      <c r="I552" s="371"/>
      <c r="J552" s="371"/>
      <c r="K552" s="371"/>
      <c r="L552" s="22">
        <f t="shared" si="25"/>
        <v>40</v>
      </c>
      <c r="M552" s="10"/>
    </row>
    <row r="553" spans="1:13" ht="23.25" x14ac:dyDescent="0.25">
      <c r="A553" s="22">
        <f t="shared" si="26"/>
        <v>501</v>
      </c>
      <c r="B553" s="22" t="s">
        <v>310</v>
      </c>
      <c r="C553" s="372" t="s">
        <v>144</v>
      </c>
      <c r="D553" s="22">
        <v>40</v>
      </c>
      <c r="E553" s="22"/>
      <c r="F553" s="22"/>
      <c r="G553" s="22"/>
      <c r="H553" s="22"/>
      <c r="I553" s="371"/>
      <c r="J553" s="371"/>
      <c r="K553" s="371"/>
      <c r="L553" s="22">
        <f t="shared" si="25"/>
        <v>40</v>
      </c>
      <c r="M553" s="10"/>
    </row>
    <row r="554" spans="1:13" ht="23.25" x14ac:dyDescent="0.25">
      <c r="A554" s="22">
        <f t="shared" si="26"/>
        <v>502</v>
      </c>
      <c r="B554" s="22" t="s">
        <v>1360</v>
      </c>
      <c r="C554" s="372" t="s">
        <v>144</v>
      </c>
      <c r="D554" s="22">
        <v>120</v>
      </c>
      <c r="E554" s="22"/>
      <c r="F554" s="22"/>
      <c r="G554" s="22"/>
      <c r="H554" s="22"/>
      <c r="I554" s="371"/>
      <c r="J554" s="371"/>
      <c r="K554" s="371"/>
      <c r="L554" s="22">
        <f t="shared" si="25"/>
        <v>120</v>
      </c>
      <c r="M554" s="10"/>
    </row>
    <row r="555" spans="1:13" ht="23.25" x14ac:dyDescent="0.25">
      <c r="A555" s="22">
        <f t="shared" si="26"/>
        <v>503</v>
      </c>
      <c r="B555" s="22" t="s">
        <v>312</v>
      </c>
      <c r="C555" s="372" t="s">
        <v>656</v>
      </c>
      <c r="D555" s="22">
        <v>1000</v>
      </c>
      <c r="E555" s="22"/>
      <c r="F555" s="22"/>
      <c r="G555" s="22"/>
      <c r="H555" s="22"/>
      <c r="I555" s="371"/>
      <c r="J555" s="371"/>
      <c r="K555" s="371"/>
      <c r="L555" s="22">
        <f t="shared" si="25"/>
        <v>1000</v>
      </c>
      <c r="M555" s="10"/>
    </row>
    <row r="556" spans="1:13" ht="23.25" x14ac:dyDescent="0.25">
      <c r="A556" s="22">
        <f t="shared" si="26"/>
        <v>504</v>
      </c>
      <c r="B556" s="22" t="s">
        <v>1361</v>
      </c>
      <c r="C556" s="372" t="s">
        <v>144</v>
      </c>
      <c r="D556" s="22">
        <v>400</v>
      </c>
      <c r="E556" s="22"/>
      <c r="F556" s="22"/>
      <c r="G556" s="22"/>
      <c r="H556" s="22"/>
      <c r="I556" s="371"/>
      <c r="J556" s="371"/>
      <c r="K556" s="371"/>
      <c r="L556" s="22">
        <f t="shared" si="25"/>
        <v>400</v>
      </c>
      <c r="M556" s="10"/>
    </row>
    <row r="557" spans="1:13" ht="23.25" x14ac:dyDescent="0.25">
      <c r="A557" s="22">
        <f t="shared" si="26"/>
        <v>505</v>
      </c>
      <c r="B557" s="22" t="s">
        <v>313</v>
      </c>
      <c r="C557" s="372" t="s">
        <v>144</v>
      </c>
      <c r="D557" s="22">
        <v>1000</v>
      </c>
      <c r="E557" s="22"/>
      <c r="F557" s="22"/>
      <c r="G557" s="22"/>
      <c r="H557" s="22"/>
      <c r="I557" s="371"/>
      <c r="J557" s="371"/>
      <c r="K557" s="371"/>
      <c r="L557" s="22">
        <f t="shared" si="25"/>
        <v>1000</v>
      </c>
      <c r="M557" s="10"/>
    </row>
    <row r="558" spans="1:13" ht="23.25" x14ac:dyDescent="0.25">
      <c r="A558" s="22">
        <f t="shared" si="26"/>
        <v>506</v>
      </c>
      <c r="B558" s="22" t="s">
        <v>314</v>
      </c>
      <c r="C558" s="372" t="s">
        <v>144</v>
      </c>
      <c r="D558" s="22">
        <v>200</v>
      </c>
      <c r="E558" s="22"/>
      <c r="F558" s="22"/>
      <c r="G558" s="22"/>
      <c r="H558" s="22"/>
      <c r="I558" s="371"/>
      <c r="J558" s="371"/>
      <c r="K558" s="371"/>
      <c r="L558" s="22">
        <f t="shared" si="25"/>
        <v>200</v>
      </c>
      <c r="M558" s="10"/>
    </row>
    <row r="559" spans="1:13" ht="23.25" x14ac:dyDescent="0.25">
      <c r="A559" s="22">
        <f t="shared" si="26"/>
        <v>507</v>
      </c>
      <c r="B559" s="22" t="s">
        <v>684</v>
      </c>
      <c r="C559" s="372" t="s">
        <v>144</v>
      </c>
      <c r="D559" s="22">
        <v>20</v>
      </c>
      <c r="E559" s="22"/>
      <c r="F559" s="22"/>
      <c r="G559" s="22"/>
      <c r="H559" s="22"/>
      <c r="I559" s="371"/>
      <c r="J559" s="371"/>
      <c r="K559" s="371"/>
      <c r="L559" s="22">
        <f t="shared" si="25"/>
        <v>20</v>
      </c>
      <c r="M559" s="10"/>
    </row>
    <row r="560" spans="1:13" ht="23.25" x14ac:dyDescent="0.25">
      <c r="A560" s="22">
        <f t="shared" si="26"/>
        <v>508</v>
      </c>
      <c r="B560" s="22" t="s">
        <v>315</v>
      </c>
      <c r="C560" s="372" t="s">
        <v>144</v>
      </c>
      <c r="D560" s="22">
        <v>300</v>
      </c>
      <c r="E560" s="22"/>
      <c r="F560" s="22"/>
      <c r="G560" s="22"/>
      <c r="H560" s="22"/>
      <c r="I560" s="371"/>
      <c r="J560" s="371"/>
      <c r="K560" s="371"/>
      <c r="L560" s="22">
        <f t="shared" si="25"/>
        <v>300</v>
      </c>
      <c r="M560" s="10"/>
    </row>
    <row r="561" spans="1:13" ht="23.25" x14ac:dyDescent="0.25">
      <c r="A561" s="22">
        <f t="shared" si="26"/>
        <v>509</v>
      </c>
      <c r="B561" s="22" t="s">
        <v>316</v>
      </c>
      <c r="C561" s="372" t="s">
        <v>144</v>
      </c>
      <c r="D561" s="22">
        <v>52</v>
      </c>
      <c r="E561" s="22"/>
      <c r="F561" s="22"/>
      <c r="G561" s="22"/>
      <c r="H561" s="22"/>
      <c r="I561" s="371"/>
      <c r="J561" s="371"/>
      <c r="K561" s="371"/>
      <c r="L561" s="22">
        <f t="shared" si="25"/>
        <v>52</v>
      </c>
      <c r="M561" s="10"/>
    </row>
    <row r="562" spans="1:13" ht="23.25" x14ac:dyDescent="0.25">
      <c r="A562" s="22">
        <f t="shared" si="26"/>
        <v>510</v>
      </c>
      <c r="B562" s="22" t="s">
        <v>317</v>
      </c>
      <c r="C562" s="372">
        <v>120</v>
      </c>
      <c r="D562" s="22">
        <v>80</v>
      </c>
      <c r="E562" s="22"/>
      <c r="F562" s="22"/>
      <c r="G562" s="22"/>
      <c r="H562" s="22"/>
      <c r="I562" s="371"/>
      <c r="J562" s="371"/>
      <c r="K562" s="371"/>
      <c r="L562" s="22">
        <f t="shared" si="25"/>
        <v>80</v>
      </c>
      <c r="M562" s="10"/>
    </row>
    <row r="563" spans="1:13" ht="23.25" x14ac:dyDescent="0.25">
      <c r="A563" s="22">
        <f t="shared" si="26"/>
        <v>511</v>
      </c>
      <c r="B563" s="22" t="s">
        <v>318</v>
      </c>
      <c r="C563" s="372" t="s">
        <v>144</v>
      </c>
      <c r="D563" s="22">
        <v>40</v>
      </c>
      <c r="E563" s="22"/>
      <c r="F563" s="22"/>
      <c r="G563" s="22"/>
      <c r="H563" s="22"/>
      <c r="I563" s="371"/>
      <c r="J563" s="371"/>
      <c r="K563" s="371"/>
      <c r="L563" s="22">
        <f t="shared" si="25"/>
        <v>40</v>
      </c>
      <c r="M563" s="10"/>
    </row>
    <row r="564" spans="1:13" ht="23.25" x14ac:dyDescent="0.25">
      <c r="A564" s="22">
        <f t="shared" si="26"/>
        <v>512</v>
      </c>
      <c r="B564" s="22" t="s">
        <v>319</v>
      </c>
      <c r="C564" s="372" t="s">
        <v>144</v>
      </c>
      <c r="D564" s="22">
        <v>600</v>
      </c>
      <c r="E564" s="22"/>
      <c r="F564" s="22"/>
      <c r="G564" s="22"/>
      <c r="H564" s="22"/>
      <c r="I564" s="371"/>
      <c r="J564" s="371"/>
      <c r="K564" s="371"/>
      <c r="L564" s="22">
        <f t="shared" si="25"/>
        <v>600</v>
      </c>
      <c r="M564" s="10"/>
    </row>
    <row r="565" spans="1:13" ht="23.25" x14ac:dyDescent="0.25">
      <c r="A565" s="22">
        <f t="shared" si="26"/>
        <v>513</v>
      </c>
      <c r="B565" s="22" t="s">
        <v>1362</v>
      </c>
      <c r="C565" s="372" t="s">
        <v>144</v>
      </c>
      <c r="D565" s="22">
        <v>200</v>
      </c>
      <c r="E565" s="22"/>
      <c r="F565" s="22"/>
      <c r="G565" s="22"/>
      <c r="H565" s="22"/>
      <c r="I565" s="371"/>
      <c r="J565" s="371"/>
      <c r="K565" s="371"/>
      <c r="L565" s="22">
        <f t="shared" si="25"/>
        <v>200</v>
      </c>
      <c r="M565" s="10"/>
    </row>
    <row r="566" spans="1:13" ht="23.25" x14ac:dyDescent="0.25">
      <c r="A566" s="22">
        <f t="shared" si="26"/>
        <v>514</v>
      </c>
      <c r="B566" s="22" t="s">
        <v>320</v>
      </c>
      <c r="C566" s="372" t="s">
        <v>144</v>
      </c>
      <c r="D566" s="22">
        <v>600</v>
      </c>
      <c r="E566" s="22"/>
      <c r="F566" s="22"/>
      <c r="G566" s="22"/>
      <c r="H566" s="22"/>
      <c r="I566" s="371"/>
      <c r="J566" s="371"/>
      <c r="K566" s="371"/>
      <c r="L566" s="22">
        <f t="shared" si="25"/>
        <v>600</v>
      </c>
      <c r="M566" s="10"/>
    </row>
    <row r="567" spans="1:13" ht="23.25" x14ac:dyDescent="0.25">
      <c r="A567" s="22">
        <f t="shared" si="26"/>
        <v>515</v>
      </c>
      <c r="B567" s="22" t="s">
        <v>1363</v>
      </c>
      <c r="C567" s="372" t="s">
        <v>144</v>
      </c>
      <c r="D567" s="22">
        <v>20</v>
      </c>
      <c r="E567" s="22"/>
      <c r="F567" s="22"/>
      <c r="G567" s="22"/>
      <c r="H567" s="22"/>
      <c r="I567" s="371"/>
      <c r="J567" s="371"/>
      <c r="K567" s="371"/>
      <c r="L567" s="22">
        <f t="shared" si="25"/>
        <v>20</v>
      </c>
      <c r="M567" s="10"/>
    </row>
    <row r="568" spans="1:13" ht="23.25" x14ac:dyDescent="0.25">
      <c r="A568" s="22">
        <f t="shared" si="26"/>
        <v>516</v>
      </c>
      <c r="B568" s="22" t="s">
        <v>321</v>
      </c>
      <c r="C568" s="372" t="s">
        <v>144</v>
      </c>
      <c r="D568" s="22">
        <v>400</v>
      </c>
      <c r="E568" s="22"/>
      <c r="F568" s="22"/>
      <c r="G568" s="22"/>
      <c r="H568" s="22"/>
      <c r="I568" s="371"/>
      <c r="J568" s="371"/>
      <c r="K568" s="371"/>
      <c r="L568" s="22">
        <f t="shared" si="25"/>
        <v>400</v>
      </c>
      <c r="M568" s="10"/>
    </row>
    <row r="569" spans="1:13" ht="23.25" x14ac:dyDescent="0.25">
      <c r="A569" s="22">
        <f t="shared" si="26"/>
        <v>517</v>
      </c>
      <c r="B569" s="22" t="s">
        <v>322</v>
      </c>
      <c r="C569" s="372" t="s">
        <v>144</v>
      </c>
      <c r="D569" s="22">
        <v>300</v>
      </c>
      <c r="E569" s="22"/>
      <c r="F569" s="22"/>
      <c r="G569" s="22"/>
      <c r="H569" s="22"/>
      <c r="I569" s="371"/>
      <c r="J569" s="371"/>
      <c r="K569" s="371"/>
      <c r="L569" s="22">
        <f t="shared" si="25"/>
        <v>300</v>
      </c>
      <c r="M569" s="10"/>
    </row>
    <row r="570" spans="1:13" ht="23.25" x14ac:dyDescent="0.25">
      <c r="A570" s="22">
        <f t="shared" si="26"/>
        <v>518</v>
      </c>
      <c r="B570" s="13" t="s">
        <v>323</v>
      </c>
      <c r="C570" s="372" t="s">
        <v>144</v>
      </c>
      <c r="D570" s="22">
        <v>20</v>
      </c>
      <c r="E570" s="22"/>
      <c r="F570" s="22"/>
      <c r="G570" s="22"/>
      <c r="H570" s="22"/>
      <c r="I570" s="371"/>
      <c r="J570" s="371"/>
      <c r="K570" s="371"/>
      <c r="L570" s="22">
        <f t="shared" si="25"/>
        <v>20</v>
      </c>
      <c r="M570" s="10"/>
    </row>
    <row r="571" spans="1:13" ht="23.25" x14ac:dyDescent="0.25">
      <c r="A571" s="22">
        <f t="shared" si="26"/>
        <v>519</v>
      </c>
      <c r="B571" s="22" t="s">
        <v>324</v>
      </c>
      <c r="C571" s="372" t="s">
        <v>144</v>
      </c>
      <c r="D571" s="22">
        <v>400</v>
      </c>
      <c r="E571" s="22"/>
      <c r="F571" s="22"/>
      <c r="G571" s="22"/>
      <c r="H571" s="22"/>
      <c r="I571" s="371"/>
      <c r="J571" s="371"/>
      <c r="K571" s="371"/>
      <c r="L571" s="22">
        <f t="shared" si="25"/>
        <v>400</v>
      </c>
      <c r="M571" s="10"/>
    </row>
    <row r="572" spans="1:13" ht="23.25" x14ac:dyDescent="0.25">
      <c r="A572" s="22">
        <f t="shared" si="26"/>
        <v>520</v>
      </c>
      <c r="B572" s="22" t="s">
        <v>325</v>
      </c>
      <c r="C572" s="372" t="s">
        <v>656</v>
      </c>
      <c r="D572" s="22">
        <v>40</v>
      </c>
      <c r="E572" s="22"/>
      <c r="F572" s="22"/>
      <c r="G572" s="22"/>
      <c r="H572" s="22"/>
      <c r="I572" s="371"/>
      <c r="J572" s="371"/>
      <c r="K572" s="371"/>
      <c r="L572" s="22">
        <f t="shared" si="25"/>
        <v>40</v>
      </c>
      <c r="M572" s="10"/>
    </row>
    <row r="573" spans="1:13" ht="23.25" x14ac:dyDescent="0.25">
      <c r="A573" s="22">
        <f t="shared" si="26"/>
        <v>521</v>
      </c>
      <c r="B573" s="22" t="s">
        <v>326</v>
      </c>
      <c r="C573" s="372" t="s">
        <v>144</v>
      </c>
      <c r="D573" s="22">
        <v>20</v>
      </c>
      <c r="E573" s="22"/>
      <c r="F573" s="22"/>
      <c r="G573" s="22"/>
      <c r="H573" s="22"/>
      <c r="I573" s="371"/>
      <c r="J573" s="371"/>
      <c r="K573" s="371"/>
      <c r="L573" s="22">
        <f t="shared" si="25"/>
        <v>20</v>
      </c>
      <c r="M573" s="10"/>
    </row>
    <row r="574" spans="1:13" ht="23.25" x14ac:dyDescent="0.25">
      <c r="A574" s="22">
        <f t="shared" si="26"/>
        <v>522</v>
      </c>
      <c r="B574" s="22" t="s">
        <v>1364</v>
      </c>
      <c r="C574" s="372" t="s">
        <v>144</v>
      </c>
      <c r="D574" s="22">
        <v>20</v>
      </c>
      <c r="E574" s="22"/>
      <c r="F574" s="22"/>
      <c r="G574" s="22"/>
      <c r="H574" s="22"/>
      <c r="I574" s="371"/>
      <c r="J574" s="371"/>
      <c r="K574" s="371"/>
      <c r="L574" s="22">
        <f t="shared" si="25"/>
        <v>20</v>
      </c>
      <c r="M574" s="10"/>
    </row>
    <row r="575" spans="1:13" ht="23.25" x14ac:dyDescent="0.25">
      <c r="A575" s="22">
        <f t="shared" si="26"/>
        <v>523</v>
      </c>
      <c r="B575" s="22" t="s">
        <v>327</v>
      </c>
      <c r="C575" s="372" t="s">
        <v>144</v>
      </c>
      <c r="D575" s="22">
        <v>80</v>
      </c>
      <c r="E575" s="22"/>
      <c r="F575" s="22"/>
      <c r="G575" s="22"/>
      <c r="H575" s="22"/>
      <c r="I575" s="371"/>
      <c r="J575" s="371"/>
      <c r="K575" s="371"/>
      <c r="L575" s="22">
        <f t="shared" si="25"/>
        <v>80</v>
      </c>
      <c r="M575" s="10"/>
    </row>
    <row r="576" spans="1:13" ht="23.25" x14ac:dyDescent="0.25">
      <c r="A576" s="22">
        <f t="shared" si="26"/>
        <v>524</v>
      </c>
      <c r="B576" s="22" t="s">
        <v>1365</v>
      </c>
      <c r="C576" s="372" t="s">
        <v>144</v>
      </c>
      <c r="D576" s="22">
        <v>80</v>
      </c>
      <c r="E576" s="22"/>
      <c r="F576" s="22"/>
      <c r="G576" s="22"/>
      <c r="H576" s="22"/>
      <c r="I576" s="371"/>
      <c r="J576" s="371"/>
      <c r="K576" s="371"/>
      <c r="L576" s="22">
        <f t="shared" si="25"/>
        <v>80</v>
      </c>
      <c r="M576" s="10"/>
    </row>
    <row r="577" spans="1:13" ht="23.25" x14ac:dyDescent="0.25">
      <c r="A577" s="22">
        <f t="shared" si="26"/>
        <v>525</v>
      </c>
      <c r="B577" s="22" t="s">
        <v>1366</v>
      </c>
      <c r="C577" s="372" t="s">
        <v>144</v>
      </c>
      <c r="D577" s="22">
        <v>80</v>
      </c>
      <c r="E577" s="22"/>
      <c r="F577" s="22"/>
      <c r="G577" s="22"/>
      <c r="H577" s="22"/>
      <c r="I577" s="371"/>
      <c r="J577" s="371"/>
      <c r="K577" s="371"/>
      <c r="L577" s="22">
        <f t="shared" si="25"/>
        <v>80</v>
      </c>
      <c r="M577" s="10"/>
    </row>
    <row r="578" spans="1:13" ht="23.25" x14ac:dyDescent="0.25">
      <c r="A578" s="22">
        <f t="shared" si="26"/>
        <v>526</v>
      </c>
      <c r="B578" s="13" t="s">
        <v>1367</v>
      </c>
      <c r="C578" s="372" t="s">
        <v>144</v>
      </c>
      <c r="D578" s="22">
        <v>10</v>
      </c>
      <c r="E578" s="22"/>
      <c r="F578" s="22"/>
      <c r="G578" s="22"/>
      <c r="H578" s="22"/>
      <c r="I578" s="371"/>
      <c r="J578" s="371"/>
      <c r="K578" s="371"/>
      <c r="L578" s="22">
        <f t="shared" si="25"/>
        <v>10</v>
      </c>
      <c r="M578" s="10"/>
    </row>
    <row r="579" spans="1:13" ht="23.25" x14ac:dyDescent="0.25">
      <c r="A579" s="22">
        <f t="shared" si="26"/>
        <v>527</v>
      </c>
      <c r="B579" s="22" t="s">
        <v>332</v>
      </c>
      <c r="C579" s="372" t="s">
        <v>144</v>
      </c>
      <c r="D579" s="22">
        <v>20</v>
      </c>
      <c r="E579" s="22"/>
      <c r="F579" s="22"/>
      <c r="G579" s="22"/>
      <c r="H579" s="22"/>
      <c r="I579" s="371"/>
      <c r="J579" s="371"/>
      <c r="K579" s="371"/>
      <c r="L579" s="22">
        <f t="shared" si="25"/>
        <v>20</v>
      </c>
      <c r="M579" s="10"/>
    </row>
    <row r="580" spans="1:13" ht="23.25" x14ac:dyDescent="0.25">
      <c r="A580" s="22">
        <f t="shared" si="26"/>
        <v>528</v>
      </c>
      <c r="B580" s="22" t="s">
        <v>731</v>
      </c>
      <c r="C580" s="372" t="s">
        <v>144</v>
      </c>
      <c r="D580" s="22">
        <v>20</v>
      </c>
      <c r="E580" s="22"/>
      <c r="F580" s="22"/>
      <c r="G580" s="22"/>
      <c r="H580" s="22"/>
      <c r="I580" s="371"/>
      <c r="J580" s="371"/>
      <c r="K580" s="371"/>
      <c r="L580" s="22">
        <f t="shared" si="25"/>
        <v>20</v>
      </c>
      <c r="M580" s="10"/>
    </row>
    <row r="581" spans="1:13" ht="23.25" x14ac:dyDescent="0.25">
      <c r="A581" s="22">
        <f t="shared" si="26"/>
        <v>529</v>
      </c>
      <c r="B581" s="13" t="s">
        <v>334</v>
      </c>
      <c r="C581" s="372" t="s">
        <v>144</v>
      </c>
      <c r="D581" s="22">
        <v>880</v>
      </c>
      <c r="E581" s="22"/>
      <c r="F581" s="22"/>
      <c r="G581" s="22"/>
      <c r="H581" s="22"/>
      <c r="I581" s="371"/>
      <c r="J581" s="371"/>
      <c r="K581" s="371"/>
      <c r="L581" s="22">
        <f t="shared" si="25"/>
        <v>880</v>
      </c>
      <c r="M581" s="10"/>
    </row>
    <row r="582" spans="1:13" ht="23.25" x14ac:dyDescent="0.25">
      <c r="A582" s="22">
        <f t="shared" si="26"/>
        <v>530</v>
      </c>
      <c r="B582" s="22" t="s">
        <v>1368</v>
      </c>
      <c r="C582" s="372" t="s">
        <v>144</v>
      </c>
      <c r="D582" s="22">
        <v>800</v>
      </c>
      <c r="E582" s="22"/>
      <c r="F582" s="22"/>
      <c r="G582" s="22"/>
      <c r="H582" s="22"/>
      <c r="I582" s="371"/>
      <c r="J582" s="371"/>
      <c r="K582" s="371"/>
      <c r="L582" s="22">
        <f t="shared" si="25"/>
        <v>800</v>
      </c>
      <c r="M582" s="10"/>
    </row>
    <row r="583" spans="1:13" ht="23.25" x14ac:dyDescent="0.25">
      <c r="A583" s="22">
        <f t="shared" si="26"/>
        <v>531</v>
      </c>
      <c r="B583" s="22" t="s">
        <v>1369</v>
      </c>
      <c r="C583" s="372" t="s">
        <v>144</v>
      </c>
      <c r="D583" s="22">
        <v>52</v>
      </c>
      <c r="E583" s="22"/>
      <c r="F583" s="22"/>
      <c r="G583" s="22"/>
      <c r="H583" s="22"/>
      <c r="I583" s="371"/>
      <c r="J583" s="371"/>
      <c r="K583" s="371"/>
      <c r="L583" s="22">
        <f t="shared" si="25"/>
        <v>52</v>
      </c>
      <c r="M583" s="10"/>
    </row>
    <row r="584" spans="1:13" ht="23.25" x14ac:dyDescent="0.25">
      <c r="A584" s="22">
        <f t="shared" si="26"/>
        <v>532</v>
      </c>
      <c r="B584" s="22" t="s">
        <v>1370</v>
      </c>
      <c r="C584" s="372" t="s">
        <v>144</v>
      </c>
      <c r="D584" s="22">
        <v>52</v>
      </c>
      <c r="E584" s="22"/>
      <c r="F584" s="22"/>
      <c r="G584" s="22"/>
      <c r="H584" s="22"/>
      <c r="I584" s="371"/>
      <c r="J584" s="371"/>
      <c r="K584" s="371"/>
      <c r="L584" s="22">
        <f t="shared" si="25"/>
        <v>52</v>
      </c>
      <c r="M584" s="10"/>
    </row>
    <row r="585" spans="1:13" ht="23.25" x14ac:dyDescent="0.25">
      <c r="A585" s="22">
        <f t="shared" si="26"/>
        <v>533</v>
      </c>
      <c r="B585" s="13" t="s">
        <v>336</v>
      </c>
      <c r="C585" s="372" t="s">
        <v>144</v>
      </c>
      <c r="D585" s="22">
        <v>80</v>
      </c>
      <c r="E585" s="22"/>
      <c r="F585" s="22"/>
      <c r="G585" s="22"/>
      <c r="H585" s="22"/>
      <c r="I585" s="371"/>
      <c r="J585" s="371"/>
      <c r="K585" s="371"/>
      <c r="L585" s="22">
        <f t="shared" ref="L585:L649" si="27">SUM(D585:K585)</f>
        <v>80</v>
      </c>
      <c r="M585" s="10"/>
    </row>
    <row r="586" spans="1:13" ht="23.25" x14ac:dyDescent="0.25">
      <c r="A586" s="22">
        <f t="shared" si="26"/>
        <v>534</v>
      </c>
      <c r="B586" s="13" t="s">
        <v>337</v>
      </c>
      <c r="C586" s="372" t="s">
        <v>144</v>
      </c>
      <c r="D586" s="22">
        <v>40</v>
      </c>
      <c r="E586" s="22"/>
      <c r="F586" s="22"/>
      <c r="G586" s="22"/>
      <c r="H586" s="22"/>
      <c r="I586" s="371"/>
      <c r="J586" s="371"/>
      <c r="K586" s="371"/>
      <c r="L586" s="22">
        <f t="shared" si="27"/>
        <v>40</v>
      </c>
      <c r="M586" s="10"/>
    </row>
    <row r="587" spans="1:13" ht="23.25" x14ac:dyDescent="0.25">
      <c r="A587" s="22">
        <f t="shared" si="26"/>
        <v>535</v>
      </c>
      <c r="B587" s="22" t="s">
        <v>338</v>
      </c>
      <c r="C587" s="372" t="s">
        <v>144</v>
      </c>
      <c r="D587" s="22">
        <v>200</v>
      </c>
      <c r="E587" s="22"/>
      <c r="F587" s="22"/>
      <c r="G587" s="22"/>
      <c r="H587" s="22"/>
      <c r="I587" s="371"/>
      <c r="J587" s="371"/>
      <c r="K587" s="371"/>
      <c r="L587" s="22">
        <f t="shared" si="27"/>
        <v>200</v>
      </c>
      <c r="M587" s="10"/>
    </row>
    <row r="588" spans="1:13" ht="23.25" x14ac:dyDescent="0.25">
      <c r="A588" s="22">
        <f t="shared" si="26"/>
        <v>536</v>
      </c>
      <c r="B588" s="22" t="s">
        <v>328</v>
      </c>
      <c r="C588" s="372" t="s">
        <v>144</v>
      </c>
      <c r="D588" s="22">
        <v>80</v>
      </c>
      <c r="E588" s="22"/>
      <c r="F588" s="22"/>
      <c r="G588" s="22"/>
      <c r="H588" s="22"/>
      <c r="I588" s="371"/>
      <c r="J588" s="371"/>
      <c r="K588" s="371"/>
      <c r="L588" s="22">
        <f t="shared" si="27"/>
        <v>80</v>
      </c>
      <c r="M588" s="10"/>
    </row>
    <row r="589" spans="1:13" ht="23.25" x14ac:dyDescent="0.25">
      <c r="A589" s="22">
        <f t="shared" si="26"/>
        <v>537</v>
      </c>
      <c r="B589" s="22" t="s">
        <v>329</v>
      </c>
      <c r="C589" s="372" t="s">
        <v>144</v>
      </c>
      <c r="D589" s="22">
        <v>40</v>
      </c>
      <c r="E589" s="22"/>
      <c r="F589" s="22"/>
      <c r="G589" s="22"/>
      <c r="H589" s="22"/>
      <c r="I589" s="371"/>
      <c r="J589" s="371"/>
      <c r="K589" s="371"/>
      <c r="L589" s="22">
        <f t="shared" si="27"/>
        <v>40</v>
      </c>
      <c r="M589" s="10"/>
    </row>
    <row r="590" spans="1:13" ht="23.25" x14ac:dyDescent="0.25">
      <c r="A590" s="22">
        <f t="shared" si="26"/>
        <v>538</v>
      </c>
      <c r="B590" s="22" t="s">
        <v>473</v>
      </c>
      <c r="C590" s="372" t="s">
        <v>144</v>
      </c>
      <c r="D590" s="22">
        <v>1000</v>
      </c>
      <c r="E590" s="22"/>
      <c r="F590" s="22"/>
      <c r="G590" s="22"/>
      <c r="H590" s="22"/>
      <c r="I590" s="371"/>
      <c r="J590" s="371"/>
      <c r="K590" s="371"/>
      <c r="L590" s="22">
        <f t="shared" si="27"/>
        <v>1000</v>
      </c>
      <c r="M590" s="10"/>
    </row>
    <row r="591" spans="1:13" ht="23.25" x14ac:dyDescent="0.25">
      <c r="A591" s="22"/>
      <c r="B591" s="22"/>
      <c r="C591" s="372"/>
      <c r="D591" s="22"/>
      <c r="E591" s="22"/>
      <c r="F591" s="22"/>
      <c r="G591" s="22"/>
      <c r="H591" s="22"/>
      <c r="I591" s="371"/>
      <c r="J591" s="371"/>
      <c r="K591" s="371"/>
      <c r="L591" s="22">
        <f t="shared" si="27"/>
        <v>0</v>
      </c>
      <c r="M591" s="10"/>
    </row>
    <row r="592" spans="1:13" ht="23.25" x14ac:dyDescent="0.25">
      <c r="A592" s="22"/>
      <c r="B592" s="22"/>
      <c r="C592" s="372"/>
      <c r="D592" s="22"/>
      <c r="E592" s="22"/>
      <c r="F592" s="22"/>
      <c r="G592" s="22"/>
      <c r="H592" s="22"/>
      <c r="I592" s="371"/>
      <c r="J592" s="371"/>
      <c r="K592" s="371"/>
      <c r="L592" s="22">
        <f t="shared" si="27"/>
        <v>0</v>
      </c>
      <c r="M592" s="10"/>
    </row>
    <row r="593" spans="1:13" ht="23.25" x14ac:dyDescent="0.25">
      <c r="A593" s="22" t="s">
        <v>339</v>
      </c>
      <c r="B593" s="22" t="s">
        <v>474</v>
      </c>
      <c r="C593" s="372"/>
      <c r="D593" s="22"/>
      <c r="E593" s="22"/>
      <c r="F593" s="22"/>
      <c r="G593" s="22"/>
      <c r="H593" s="22"/>
      <c r="I593" s="371"/>
      <c r="J593" s="371"/>
      <c r="K593" s="371"/>
      <c r="L593" s="22">
        <f t="shared" si="27"/>
        <v>0</v>
      </c>
      <c r="M593" s="10"/>
    </row>
    <row r="594" spans="1:13" ht="23.25" x14ac:dyDescent="0.25">
      <c r="A594" s="22">
        <f>A590+1</f>
        <v>539</v>
      </c>
      <c r="B594" s="22" t="s">
        <v>390</v>
      </c>
      <c r="C594" s="372">
        <v>10</v>
      </c>
      <c r="D594" s="22">
        <v>5</v>
      </c>
      <c r="E594" s="22"/>
      <c r="F594" s="22"/>
      <c r="G594" s="22"/>
      <c r="H594" s="22"/>
      <c r="I594" s="371"/>
      <c r="J594" s="371"/>
      <c r="K594" s="371"/>
      <c r="L594" s="22">
        <f t="shared" si="27"/>
        <v>5</v>
      </c>
      <c r="M594" s="10"/>
    </row>
    <row r="595" spans="1:13" ht="23.25" x14ac:dyDescent="0.25">
      <c r="A595" s="22">
        <f t="shared" ref="A595:A621" si="28">A594+1</f>
        <v>540</v>
      </c>
      <c r="B595" s="22" t="s">
        <v>475</v>
      </c>
      <c r="C595" s="372">
        <v>30</v>
      </c>
      <c r="D595" s="22">
        <v>11</v>
      </c>
      <c r="E595" s="22"/>
      <c r="F595" s="22"/>
      <c r="G595" s="22"/>
      <c r="H595" s="22"/>
      <c r="I595" s="371"/>
      <c r="J595" s="371"/>
      <c r="K595" s="371"/>
      <c r="L595" s="22">
        <f t="shared" si="27"/>
        <v>11</v>
      </c>
      <c r="M595" s="10"/>
    </row>
    <row r="596" spans="1:13" ht="23.25" x14ac:dyDescent="0.25">
      <c r="A596" s="22">
        <f t="shared" si="28"/>
        <v>541</v>
      </c>
      <c r="B596" s="22" t="s">
        <v>476</v>
      </c>
      <c r="C596" s="372">
        <v>10</v>
      </c>
      <c r="D596" s="22">
        <v>5</v>
      </c>
      <c r="E596" s="22"/>
      <c r="F596" s="22"/>
      <c r="G596" s="22"/>
      <c r="H596" s="22"/>
      <c r="I596" s="371"/>
      <c r="J596" s="371"/>
      <c r="K596" s="371"/>
      <c r="L596" s="22">
        <f t="shared" si="27"/>
        <v>5</v>
      </c>
      <c r="M596" s="10"/>
    </row>
    <row r="597" spans="1:13" ht="23.25" x14ac:dyDescent="0.25">
      <c r="A597" s="22">
        <f t="shared" si="28"/>
        <v>542</v>
      </c>
      <c r="B597" s="22" t="s">
        <v>477</v>
      </c>
      <c r="C597" s="372">
        <v>10</v>
      </c>
      <c r="D597" s="22">
        <v>10</v>
      </c>
      <c r="E597" s="22"/>
      <c r="F597" s="22"/>
      <c r="G597" s="22"/>
      <c r="H597" s="22"/>
      <c r="I597" s="371"/>
      <c r="J597" s="371"/>
      <c r="K597" s="371"/>
      <c r="L597" s="22">
        <f t="shared" si="27"/>
        <v>10</v>
      </c>
      <c r="M597" s="10"/>
    </row>
    <row r="598" spans="1:13" ht="23.25" x14ac:dyDescent="0.25">
      <c r="A598" s="22">
        <f t="shared" si="28"/>
        <v>543</v>
      </c>
      <c r="B598" s="22" t="s">
        <v>692</v>
      </c>
      <c r="C598" s="372" t="s">
        <v>57</v>
      </c>
      <c r="D598" s="22">
        <v>26</v>
      </c>
      <c r="E598" s="22"/>
      <c r="F598" s="22"/>
      <c r="G598" s="22"/>
      <c r="H598" s="22"/>
      <c r="I598" s="371"/>
      <c r="J598" s="371"/>
      <c r="K598" s="371"/>
      <c r="L598" s="22">
        <f t="shared" si="27"/>
        <v>26</v>
      </c>
      <c r="M598" s="10"/>
    </row>
    <row r="599" spans="1:13" ht="23.25" x14ac:dyDescent="0.25">
      <c r="A599" s="22">
        <f t="shared" si="28"/>
        <v>544</v>
      </c>
      <c r="B599" s="22" t="s">
        <v>478</v>
      </c>
      <c r="C599" s="372">
        <v>50</v>
      </c>
      <c r="D599" s="22">
        <v>10</v>
      </c>
      <c r="E599" s="22"/>
      <c r="F599" s="22"/>
      <c r="G599" s="22"/>
      <c r="H599" s="22"/>
      <c r="I599" s="371"/>
      <c r="J599" s="371"/>
      <c r="K599" s="371"/>
      <c r="L599" s="22">
        <f t="shared" si="27"/>
        <v>10</v>
      </c>
      <c r="M599" s="10"/>
    </row>
    <row r="600" spans="1:13" ht="23.25" x14ac:dyDescent="0.25">
      <c r="A600" s="22">
        <f t="shared" si="28"/>
        <v>545</v>
      </c>
      <c r="B600" s="22" t="s">
        <v>479</v>
      </c>
      <c r="C600" s="372">
        <v>10</v>
      </c>
      <c r="D600" s="22">
        <v>11</v>
      </c>
      <c r="E600" s="22"/>
      <c r="F600" s="22"/>
      <c r="G600" s="22"/>
      <c r="H600" s="22"/>
      <c r="I600" s="371"/>
      <c r="J600" s="371"/>
      <c r="K600" s="371"/>
      <c r="L600" s="22">
        <f t="shared" si="27"/>
        <v>11</v>
      </c>
      <c r="M600" s="10"/>
    </row>
    <row r="601" spans="1:13" ht="23.25" x14ac:dyDescent="0.25">
      <c r="A601" s="22">
        <f t="shared" si="28"/>
        <v>546</v>
      </c>
      <c r="B601" s="22" t="s">
        <v>480</v>
      </c>
      <c r="C601" s="372" t="s">
        <v>57</v>
      </c>
      <c r="D601" s="22">
        <v>50</v>
      </c>
      <c r="E601" s="22"/>
      <c r="F601" s="22"/>
      <c r="G601" s="22"/>
      <c r="H601" s="22"/>
      <c r="I601" s="371"/>
      <c r="J601" s="371"/>
      <c r="K601" s="371"/>
      <c r="L601" s="22">
        <f t="shared" si="27"/>
        <v>50</v>
      </c>
      <c r="M601" s="10"/>
    </row>
    <row r="602" spans="1:13" ht="23.25" x14ac:dyDescent="0.25">
      <c r="A602" s="22">
        <f t="shared" si="28"/>
        <v>547</v>
      </c>
      <c r="B602" s="22" t="s">
        <v>481</v>
      </c>
      <c r="C602" s="372">
        <v>100</v>
      </c>
      <c r="D602" s="22">
        <v>20</v>
      </c>
      <c r="E602" s="22"/>
      <c r="F602" s="22"/>
      <c r="G602" s="22"/>
      <c r="H602" s="22"/>
      <c r="I602" s="371"/>
      <c r="J602" s="371"/>
      <c r="K602" s="371"/>
      <c r="L602" s="22">
        <f t="shared" si="27"/>
        <v>20</v>
      </c>
      <c r="M602" s="10"/>
    </row>
    <row r="603" spans="1:13" ht="23.25" x14ac:dyDescent="0.25">
      <c r="A603" s="22">
        <f t="shared" si="28"/>
        <v>548</v>
      </c>
      <c r="B603" s="22" t="s">
        <v>482</v>
      </c>
      <c r="C603" s="372">
        <v>30</v>
      </c>
      <c r="D603" s="22">
        <v>20</v>
      </c>
      <c r="E603" s="22"/>
      <c r="F603" s="22"/>
      <c r="G603" s="22"/>
      <c r="H603" s="22"/>
      <c r="I603" s="371"/>
      <c r="J603" s="371"/>
      <c r="K603" s="371"/>
      <c r="L603" s="22">
        <f t="shared" si="27"/>
        <v>20</v>
      </c>
      <c r="M603" s="10"/>
    </row>
    <row r="604" spans="1:13" ht="23.25" x14ac:dyDescent="0.25">
      <c r="A604" s="22">
        <f t="shared" si="28"/>
        <v>549</v>
      </c>
      <c r="B604" s="22" t="s">
        <v>483</v>
      </c>
      <c r="C604" s="372" t="s">
        <v>455</v>
      </c>
      <c r="D604" s="22">
        <v>16</v>
      </c>
      <c r="E604" s="22"/>
      <c r="F604" s="22"/>
      <c r="G604" s="22"/>
      <c r="H604" s="22"/>
      <c r="I604" s="371"/>
      <c r="J604" s="371"/>
      <c r="K604" s="371"/>
      <c r="L604" s="22">
        <f t="shared" si="27"/>
        <v>16</v>
      </c>
      <c r="M604" s="10"/>
    </row>
    <row r="605" spans="1:13" ht="23.25" x14ac:dyDescent="0.25">
      <c r="A605" s="22">
        <f t="shared" si="28"/>
        <v>550</v>
      </c>
      <c r="B605" s="22" t="s">
        <v>484</v>
      </c>
      <c r="C605" s="372" t="s">
        <v>57</v>
      </c>
      <c r="D605" s="22">
        <v>50</v>
      </c>
      <c r="E605" s="22"/>
      <c r="F605" s="22"/>
      <c r="G605" s="22"/>
      <c r="H605" s="22"/>
      <c r="I605" s="177"/>
      <c r="J605" s="177"/>
      <c r="K605" s="177"/>
      <c r="L605" s="22">
        <f t="shared" si="27"/>
        <v>50</v>
      </c>
      <c r="M605" s="10"/>
    </row>
    <row r="606" spans="1:13" ht="23.25" x14ac:dyDescent="0.25">
      <c r="A606" s="22">
        <f t="shared" si="28"/>
        <v>551</v>
      </c>
      <c r="B606" s="22" t="s">
        <v>485</v>
      </c>
      <c r="C606" s="372">
        <v>10</v>
      </c>
      <c r="D606" s="22">
        <v>10</v>
      </c>
      <c r="E606" s="22"/>
      <c r="F606" s="22"/>
      <c r="G606" s="22"/>
      <c r="H606" s="22"/>
      <c r="I606" s="177"/>
      <c r="J606" s="177"/>
      <c r="K606" s="177"/>
      <c r="L606" s="22">
        <f t="shared" si="27"/>
        <v>10</v>
      </c>
      <c r="M606" s="10"/>
    </row>
    <row r="607" spans="1:13" ht="23.25" x14ac:dyDescent="0.25">
      <c r="A607" s="22">
        <f t="shared" si="28"/>
        <v>552</v>
      </c>
      <c r="B607" s="22" t="s">
        <v>486</v>
      </c>
      <c r="C607" s="372">
        <v>10</v>
      </c>
      <c r="D607" s="22">
        <v>11</v>
      </c>
      <c r="E607" s="22"/>
      <c r="F607" s="22"/>
      <c r="G607" s="22"/>
      <c r="H607" s="22"/>
      <c r="I607" s="177"/>
      <c r="J607" s="177"/>
      <c r="K607" s="177"/>
      <c r="L607" s="22">
        <f t="shared" si="27"/>
        <v>11</v>
      </c>
      <c r="M607" s="10"/>
    </row>
    <row r="608" spans="1:13" ht="23.25" x14ac:dyDescent="0.25">
      <c r="A608" s="22">
        <f t="shared" si="28"/>
        <v>553</v>
      </c>
      <c r="B608" s="22" t="s">
        <v>487</v>
      </c>
      <c r="C608" s="372">
        <v>10</v>
      </c>
      <c r="D608" s="22">
        <v>10</v>
      </c>
      <c r="E608" s="22"/>
      <c r="F608" s="22"/>
      <c r="G608" s="22"/>
      <c r="H608" s="22"/>
      <c r="I608" s="177"/>
      <c r="J608" s="177"/>
      <c r="K608" s="177"/>
      <c r="L608" s="22">
        <f t="shared" si="27"/>
        <v>10</v>
      </c>
      <c r="M608" s="10"/>
    </row>
    <row r="609" spans="1:13" ht="23.25" x14ac:dyDescent="0.25">
      <c r="A609" s="22">
        <f t="shared" si="28"/>
        <v>554</v>
      </c>
      <c r="B609" s="22" t="s">
        <v>400</v>
      </c>
      <c r="C609" s="372">
        <v>1</v>
      </c>
      <c r="D609" s="22">
        <v>6</v>
      </c>
      <c r="E609" s="22"/>
      <c r="F609" s="22"/>
      <c r="G609" s="22"/>
      <c r="H609" s="22"/>
      <c r="I609" s="177"/>
      <c r="J609" s="177"/>
      <c r="K609" s="177"/>
      <c r="L609" s="22">
        <f t="shared" si="27"/>
        <v>6</v>
      </c>
      <c r="M609" s="10"/>
    </row>
    <row r="610" spans="1:13" ht="23.25" x14ac:dyDescent="0.25">
      <c r="A610" s="22">
        <f t="shared" si="28"/>
        <v>555</v>
      </c>
      <c r="B610" s="22" t="s">
        <v>488</v>
      </c>
      <c r="C610" s="372">
        <v>100</v>
      </c>
      <c r="D610" s="22">
        <v>5</v>
      </c>
      <c r="E610" s="22"/>
      <c r="F610" s="22"/>
      <c r="G610" s="22"/>
      <c r="H610" s="22"/>
      <c r="I610" s="177"/>
      <c r="J610" s="177"/>
      <c r="K610" s="177"/>
      <c r="L610" s="22">
        <f t="shared" si="27"/>
        <v>5</v>
      </c>
      <c r="M610" s="10"/>
    </row>
    <row r="611" spans="1:13" ht="23.25" x14ac:dyDescent="0.25">
      <c r="A611" s="22">
        <f t="shared" si="28"/>
        <v>556</v>
      </c>
      <c r="B611" s="22" t="s">
        <v>1371</v>
      </c>
      <c r="C611" s="372" t="s">
        <v>57</v>
      </c>
      <c r="D611" s="22">
        <v>20</v>
      </c>
      <c r="E611" s="22"/>
      <c r="F611" s="22"/>
      <c r="G611" s="22"/>
      <c r="H611" s="22"/>
      <c r="I611" s="177"/>
      <c r="J611" s="177"/>
      <c r="K611" s="177"/>
      <c r="L611" s="22">
        <f t="shared" si="27"/>
        <v>20</v>
      </c>
      <c r="M611" s="10"/>
    </row>
    <row r="612" spans="1:13" ht="23.25" x14ac:dyDescent="0.25">
      <c r="A612" s="22">
        <f t="shared" si="28"/>
        <v>557</v>
      </c>
      <c r="B612" s="22" t="s">
        <v>1372</v>
      </c>
      <c r="C612" s="372" t="s">
        <v>57</v>
      </c>
      <c r="D612" s="22">
        <v>20</v>
      </c>
      <c r="E612" s="22"/>
      <c r="F612" s="22"/>
      <c r="G612" s="22"/>
      <c r="H612" s="22"/>
      <c r="I612" s="177"/>
      <c r="J612" s="177"/>
      <c r="K612" s="177"/>
      <c r="L612" s="22">
        <f t="shared" si="27"/>
        <v>20</v>
      </c>
      <c r="M612" s="10"/>
    </row>
    <row r="613" spans="1:13" ht="23.25" x14ac:dyDescent="0.25">
      <c r="A613" s="22">
        <f t="shared" si="28"/>
        <v>558</v>
      </c>
      <c r="B613" s="22" t="s">
        <v>1373</v>
      </c>
      <c r="C613" s="372" t="s">
        <v>57</v>
      </c>
      <c r="D613" s="22">
        <v>20</v>
      </c>
      <c r="E613" s="22"/>
      <c r="F613" s="22"/>
      <c r="G613" s="22"/>
      <c r="H613" s="22"/>
      <c r="I613" s="177"/>
      <c r="J613" s="177"/>
      <c r="K613" s="177"/>
      <c r="L613" s="22">
        <f t="shared" si="27"/>
        <v>20</v>
      </c>
      <c r="M613" s="10"/>
    </row>
    <row r="614" spans="1:13" ht="23.25" x14ac:dyDescent="0.25">
      <c r="A614" s="22">
        <f t="shared" si="28"/>
        <v>559</v>
      </c>
      <c r="B614" s="22" t="s">
        <v>489</v>
      </c>
      <c r="C614" s="372">
        <v>30</v>
      </c>
      <c r="D614" s="22">
        <v>22</v>
      </c>
      <c r="E614" s="22"/>
      <c r="F614" s="22"/>
      <c r="G614" s="22"/>
      <c r="H614" s="22"/>
      <c r="I614" s="177"/>
      <c r="J614" s="177"/>
      <c r="K614" s="177"/>
      <c r="L614" s="22">
        <f t="shared" si="27"/>
        <v>22</v>
      </c>
      <c r="M614" s="10"/>
    </row>
    <row r="615" spans="1:13" ht="23.25" x14ac:dyDescent="0.25">
      <c r="A615" s="22">
        <f t="shared" si="28"/>
        <v>560</v>
      </c>
      <c r="B615" s="22" t="s">
        <v>490</v>
      </c>
      <c r="C615" s="372">
        <v>30</v>
      </c>
      <c r="D615" s="22">
        <v>11</v>
      </c>
      <c r="E615" s="22"/>
      <c r="F615" s="22"/>
      <c r="G615" s="22"/>
      <c r="H615" s="22"/>
      <c r="I615" s="177"/>
      <c r="J615" s="177"/>
      <c r="K615" s="177"/>
      <c r="L615" s="22">
        <f t="shared" si="27"/>
        <v>11</v>
      </c>
      <c r="M615" s="10"/>
    </row>
    <row r="616" spans="1:13" ht="23.25" x14ac:dyDescent="0.25">
      <c r="A616" s="22">
        <f t="shared" si="28"/>
        <v>561</v>
      </c>
      <c r="B616" s="22" t="s">
        <v>402</v>
      </c>
      <c r="C616" s="372">
        <v>10</v>
      </c>
      <c r="D616" s="22">
        <v>4</v>
      </c>
      <c r="E616" s="22"/>
      <c r="F616" s="22"/>
      <c r="G616" s="22"/>
      <c r="H616" s="22"/>
      <c r="I616" s="177"/>
      <c r="J616" s="177"/>
      <c r="K616" s="177"/>
      <c r="L616" s="22">
        <f t="shared" si="27"/>
        <v>4</v>
      </c>
      <c r="M616" s="10"/>
    </row>
    <row r="617" spans="1:13" ht="23.25" x14ac:dyDescent="0.25">
      <c r="A617" s="22">
        <f t="shared" si="28"/>
        <v>562</v>
      </c>
      <c r="B617" s="22" t="s">
        <v>403</v>
      </c>
      <c r="C617" s="372">
        <v>30</v>
      </c>
      <c r="D617" s="22">
        <v>24</v>
      </c>
      <c r="E617" s="22"/>
      <c r="F617" s="22"/>
      <c r="G617" s="22"/>
      <c r="H617" s="22"/>
      <c r="I617" s="177"/>
      <c r="J617" s="177"/>
      <c r="K617" s="177"/>
      <c r="L617" s="22">
        <f t="shared" si="27"/>
        <v>24</v>
      </c>
      <c r="M617" s="10"/>
    </row>
    <row r="618" spans="1:13" ht="23.25" x14ac:dyDescent="0.25">
      <c r="A618" s="22">
        <f t="shared" si="28"/>
        <v>563</v>
      </c>
      <c r="B618" s="22" t="s">
        <v>491</v>
      </c>
      <c r="C618" s="372">
        <v>10</v>
      </c>
      <c r="D618" s="22">
        <v>4</v>
      </c>
      <c r="E618" s="22"/>
      <c r="F618" s="22"/>
      <c r="G618" s="22"/>
      <c r="H618" s="22"/>
      <c r="I618" s="177"/>
      <c r="J618" s="177"/>
      <c r="K618" s="177"/>
      <c r="L618" s="22">
        <f t="shared" si="27"/>
        <v>4</v>
      </c>
      <c r="M618" s="10"/>
    </row>
    <row r="619" spans="1:13" ht="23.25" x14ac:dyDescent="0.25">
      <c r="A619" s="22">
        <f t="shared" si="28"/>
        <v>564</v>
      </c>
      <c r="B619" s="22" t="s">
        <v>407</v>
      </c>
      <c r="C619" s="372">
        <v>30</v>
      </c>
      <c r="D619" s="22">
        <v>35</v>
      </c>
      <c r="E619" s="22"/>
      <c r="F619" s="22"/>
      <c r="G619" s="22"/>
      <c r="H619" s="22"/>
      <c r="I619" s="177"/>
      <c r="J619" s="177"/>
      <c r="K619" s="177"/>
      <c r="L619" s="22">
        <f t="shared" si="27"/>
        <v>35</v>
      </c>
      <c r="M619" s="10"/>
    </row>
    <row r="620" spans="1:13" ht="23.25" x14ac:dyDescent="0.25">
      <c r="A620" s="22">
        <f t="shared" si="28"/>
        <v>565</v>
      </c>
      <c r="B620" s="22" t="s">
        <v>1374</v>
      </c>
      <c r="C620" s="372">
        <v>100</v>
      </c>
      <c r="D620" s="22">
        <v>5</v>
      </c>
      <c r="E620" s="22"/>
      <c r="F620" s="22"/>
      <c r="G620" s="22"/>
      <c r="H620" s="22"/>
      <c r="I620" s="177"/>
      <c r="J620" s="177"/>
      <c r="K620" s="177"/>
      <c r="L620" s="22">
        <f t="shared" si="27"/>
        <v>5</v>
      </c>
      <c r="M620" s="10"/>
    </row>
    <row r="621" spans="1:13" ht="23.25" x14ac:dyDescent="0.25">
      <c r="A621" s="22">
        <f t="shared" si="28"/>
        <v>566</v>
      </c>
      <c r="B621" s="22" t="s">
        <v>2058</v>
      </c>
      <c r="C621" s="372" t="s">
        <v>455</v>
      </c>
      <c r="D621" s="22">
        <v>10</v>
      </c>
      <c r="E621" s="22"/>
      <c r="F621" s="22"/>
      <c r="G621" s="22"/>
      <c r="H621" s="22"/>
      <c r="I621" s="177"/>
      <c r="J621" s="177"/>
      <c r="K621" s="177"/>
      <c r="L621" s="22">
        <f t="shared" si="27"/>
        <v>10</v>
      </c>
      <c r="M621" s="10"/>
    </row>
    <row r="622" spans="1:13" ht="23.25" x14ac:dyDescent="0.25">
      <c r="A622" s="22">
        <f>A621+1</f>
        <v>567</v>
      </c>
      <c r="B622" s="22" t="s">
        <v>409</v>
      </c>
      <c r="C622" s="372">
        <v>10</v>
      </c>
      <c r="D622" s="22">
        <v>4</v>
      </c>
      <c r="E622" s="22"/>
      <c r="F622" s="22"/>
      <c r="G622" s="22"/>
      <c r="H622" s="22"/>
      <c r="I622" s="177"/>
      <c r="J622" s="177"/>
      <c r="K622" s="177"/>
      <c r="L622" s="22">
        <f t="shared" si="27"/>
        <v>4</v>
      </c>
      <c r="M622" s="10"/>
    </row>
    <row r="623" spans="1:13" ht="23.25" x14ac:dyDescent="0.25">
      <c r="A623" s="22">
        <f>A622+1</f>
        <v>568</v>
      </c>
      <c r="B623" s="22" t="s">
        <v>493</v>
      </c>
      <c r="C623" s="372">
        <v>10</v>
      </c>
      <c r="D623" s="22">
        <v>5</v>
      </c>
      <c r="E623" s="22"/>
      <c r="F623" s="22"/>
      <c r="G623" s="22"/>
      <c r="H623" s="22"/>
      <c r="I623" s="177"/>
      <c r="J623" s="177"/>
      <c r="K623" s="177"/>
      <c r="L623" s="22">
        <f t="shared" si="27"/>
        <v>5</v>
      </c>
      <c r="M623" s="10"/>
    </row>
    <row r="624" spans="1:13" ht="23.25" x14ac:dyDescent="0.25">
      <c r="A624" s="22">
        <f>A623+1</f>
        <v>569</v>
      </c>
      <c r="B624" s="22" t="s">
        <v>494</v>
      </c>
      <c r="C624" s="372">
        <v>10</v>
      </c>
      <c r="D624" s="22">
        <v>5</v>
      </c>
      <c r="E624" s="22"/>
      <c r="F624" s="22"/>
      <c r="G624" s="22"/>
      <c r="H624" s="22"/>
      <c r="I624" s="177"/>
      <c r="J624" s="177"/>
      <c r="K624" s="177"/>
      <c r="L624" s="22">
        <f t="shared" si="27"/>
        <v>5</v>
      </c>
      <c r="M624" s="10"/>
    </row>
    <row r="625" spans="1:13" ht="23.25" x14ac:dyDescent="0.25">
      <c r="A625" s="22"/>
      <c r="B625" s="22"/>
      <c r="C625" s="372"/>
      <c r="D625" s="22"/>
      <c r="E625" s="22"/>
      <c r="F625" s="22"/>
      <c r="G625" s="22"/>
      <c r="H625" s="22"/>
      <c r="I625" s="177"/>
      <c r="J625" s="177"/>
      <c r="K625" s="177"/>
      <c r="L625" s="22">
        <f t="shared" si="27"/>
        <v>0</v>
      </c>
      <c r="M625" s="10"/>
    </row>
    <row r="626" spans="1:13" ht="23.25" x14ac:dyDescent="0.25">
      <c r="A626" s="22"/>
      <c r="B626" s="22"/>
      <c r="C626" s="372"/>
      <c r="D626" s="22"/>
      <c r="E626" s="22"/>
      <c r="F626" s="22"/>
      <c r="G626" s="22"/>
      <c r="H626" s="22"/>
      <c r="I626" s="177"/>
      <c r="J626" s="177"/>
      <c r="K626" s="177"/>
      <c r="L626" s="22">
        <f t="shared" si="27"/>
        <v>0</v>
      </c>
      <c r="M626" s="10"/>
    </row>
    <row r="627" spans="1:13" ht="23.25" x14ac:dyDescent="0.25">
      <c r="A627" s="22" t="s">
        <v>495</v>
      </c>
      <c r="B627" s="22" t="s">
        <v>340</v>
      </c>
      <c r="C627" s="372"/>
      <c r="D627" s="22"/>
      <c r="E627" s="22"/>
      <c r="F627" s="22"/>
      <c r="G627" s="22"/>
      <c r="H627" s="22"/>
      <c r="I627" s="177"/>
      <c r="J627" s="177"/>
      <c r="K627" s="177"/>
      <c r="L627" s="22">
        <f t="shared" si="27"/>
        <v>0</v>
      </c>
      <c r="M627" s="10"/>
    </row>
    <row r="628" spans="1:13" ht="23.25" x14ac:dyDescent="0.25">
      <c r="A628" s="22"/>
      <c r="B628" s="13" t="s">
        <v>341</v>
      </c>
      <c r="C628" s="370"/>
      <c r="D628" s="22"/>
      <c r="E628" s="22"/>
      <c r="F628" s="22"/>
      <c r="G628" s="22"/>
      <c r="H628" s="22"/>
      <c r="I628" s="177"/>
      <c r="J628" s="177"/>
      <c r="K628" s="177"/>
      <c r="L628" s="22">
        <f t="shared" si="27"/>
        <v>0</v>
      </c>
      <c r="M628" s="10"/>
    </row>
    <row r="629" spans="1:13" ht="23.25" x14ac:dyDescent="0.25">
      <c r="A629" s="22">
        <f>A624+1</f>
        <v>570</v>
      </c>
      <c r="B629" s="13" t="s">
        <v>342</v>
      </c>
      <c r="C629" s="370">
        <v>100</v>
      </c>
      <c r="D629" s="22">
        <v>500</v>
      </c>
      <c r="E629" s="22"/>
      <c r="F629" s="22">
        <v>2</v>
      </c>
      <c r="G629" s="22">
        <v>1200</v>
      </c>
      <c r="H629" s="22">
        <v>5</v>
      </c>
      <c r="I629" s="177">
        <v>20</v>
      </c>
      <c r="J629" s="177">
        <v>2</v>
      </c>
      <c r="K629" s="177">
        <v>40</v>
      </c>
      <c r="L629" s="22">
        <f t="shared" si="27"/>
        <v>1769</v>
      </c>
      <c r="M629" s="10"/>
    </row>
    <row r="630" spans="1:13" ht="23.25" x14ac:dyDescent="0.25">
      <c r="A630" s="22">
        <f t="shared" ref="A630:A640" si="29">A629+1</f>
        <v>571</v>
      </c>
      <c r="B630" s="13" t="s">
        <v>343</v>
      </c>
      <c r="C630" s="370">
        <v>80</v>
      </c>
      <c r="D630" s="22">
        <v>140</v>
      </c>
      <c r="E630" s="22"/>
      <c r="F630" s="22"/>
      <c r="G630" s="22"/>
      <c r="H630" s="22"/>
      <c r="I630" s="177"/>
      <c r="J630" s="177">
        <v>8</v>
      </c>
      <c r="K630" s="177">
        <v>10</v>
      </c>
      <c r="L630" s="22">
        <f t="shared" si="27"/>
        <v>158</v>
      </c>
      <c r="M630" s="10"/>
    </row>
    <row r="631" spans="1:13" ht="23.25" x14ac:dyDescent="0.25">
      <c r="A631" s="22">
        <f t="shared" si="29"/>
        <v>572</v>
      </c>
      <c r="B631" s="13" t="s">
        <v>1425</v>
      </c>
      <c r="C631" s="370">
        <v>100</v>
      </c>
      <c r="D631" s="22"/>
      <c r="E631" s="22"/>
      <c r="F631" s="22"/>
      <c r="G631" s="22"/>
      <c r="H631" s="22"/>
      <c r="I631" s="177"/>
      <c r="J631" s="177"/>
      <c r="K631" s="177">
        <v>10</v>
      </c>
      <c r="L631" s="22">
        <f t="shared" si="27"/>
        <v>10</v>
      </c>
      <c r="M631" s="10"/>
    </row>
    <row r="632" spans="1:13" ht="23.25" x14ac:dyDescent="0.25">
      <c r="A632" s="22">
        <f t="shared" si="29"/>
        <v>573</v>
      </c>
      <c r="B632" s="13" t="s">
        <v>344</v>
      </c>
      <c r="C632" s="370">
        <v>100</v>
      </c>
      <c r="D632" s="22">
        <v>180</v>
      </c>
      <c r="E632" s="22"/>
      <c r="F632" s="22"/>
      <c r="G632" s="22"/>
      <c r="H632" s="22"/>
      <c r="I632" s="177"/>
      <c r="J632" s="177"/>
      <c r="K632" s="177">
        <v>10</v>
      </c>
      <c r="L632" s="22">
        <f t="shared" si="27"/>
        <v>190</v>
      </c>
      <c r="M632" s="10"/>
    </row>
    <row r="633" spans="1:13" ht="23.25" x14ac:dyDescent="0.25">
      <c r="A633" s="22">
        <f t="shared" si="29"/>
        <v>574</v>
      </c>
      <c r="B633" s="13" t="s">
        <v>345</v>
      </c>
      <c r="C633" s="370">
        <v>100</v>
      </c>
      <c r="D633" s="22">
        <v>200</v>
      </c>
      <c r="E633" s="22"/>
      <c r="F633" s="22"/>
      <c r="G633" s="22"/>
      <c r="H633" s="22"/>
      <c r="I633" s="177"/>
      <c r="J633" s="177"/>
      <c r="K633" s="177"/>
      <c r="L633" s="22">
        <f t="shared" si="27"/>
        <v>200</v>
      </c>
      <c r="M633" s="10"/>
    </row>
    <row r="634" spans="1:13" ht="23.25" x14ac:dyDescent="0.25">
      <c r="A634" s="22">
        <f t="shared" si="29"/>
        <v>575</v>
      </c>
      <c r="B634" s="13" t="s">
        <v>346</v>
      </c>
      <c r="C634" s="370">
        <v>100</v>
      </c>
      <c r="D634" s="22">
        <v>1000</v>
      </c>
      <c r="E634" s="22">
        <v>36</v>
      </c>
      <c r="F634" s="22"/>
      <c r="G634" s="22">
        <v>1200</v>
      </c>
      <c r="H634" s="22">
        <v>5</v>
      </c>
      <c r="I634" s="177">
        <v>24</v>
      </c>
      <c r="J634" s="177">
        <v>1</v>
      </c>
      <c r="K634" s="177">
        <v>33</v>
      </c>
      <c r="L634" s="22">
        <f t="shared" si="27"/>
        <v>2299</v>
      </c>
      <c r="M634" s="10"/>
    </row>
    <row r="635" spans="1:13" ht="23.25" x14ac:dyDescent="0.25">
      <c r="A635" s="22">
        <f t="shared" si="29"/>
        <v>576</v>
      </c>
      <c r="B635" s="13" t="s">
        <v>347</v>
      </c>
      <c r="C635" s="370">
        <v>100</v>
      </c>
      <c r="D635" s="22">
        <v>1200</v>
      </c>
      <c r="E635" s="22">
        <v>36</v>
      </c>
      <c r="F635" s="22"/>
      <c r="G635" s="22">
        <v>1200</v>
      </c>
      <c r="H635" s="22">
        <v>5</v>
      </c>
      <c r="I635" s="177">
        <v>84</v>
      </c>
      <c r="J635" s="177">
        <v>2</v>
      </c>
      <c r="K635" s="177">
        <v>46</v>
      </c>
      <c r="L635" s="22">
        <f t="shared" si="27"/>
        <v>2573</v>
      </c>
      <c r="M635" s="10"/>
    </row>
    <row r="636" spans="1:13" ht="23.25" x14ac:dyDescent="0.25">
      <c r="A636" s="22">
        <f t="shared" si="29"/>
        <v>577</v>
      </c>
      <c r="B636" s="13" t="s">
        <v>1437</v>
      </c>
      <c r="C636" s="370">
        <v>100</v>
      </c>
      <c r="D636" s="22">
        <v>1200</v>
      </c>
      <c r="E636" s="22">
        <v>36</v>
      </c>
      <c r="F636" s="22"/>
      <c r="G636" s="22">
        <v>1200</v>
      </c>
      <c r="H636" s="22">
        <v>5</v>
      </c>
      <c r="I636" s="177">
        <v>84</v>
      </c>
      <c r="J636" s="177">
        <v>2</v>
      </c>
      <c r="K636" s="177">
        <v>46</v>
      </c>
      <c r="L636" s="22">
        <v>100</v>
      </c>
      <c r="M636" s="10"/>
    </row>
    <row r="637" spans="1:13" ht="23.25" x14ac:dyDescent="0.25">
      <c r="A637" s="22">
        <f t="shared" si="29"/>
        <v>578</v>
      </c>
      <c r="B637" s="13" t="s">
        <v>348</v>
      </c>
      <c r="C637" s="370">
        <v>400</v>
      </c>
      <c r="D637" s="22">
        <v>8</v>
      </c>
      <c r="E637" s="22"/>
      <c r="F637" s="22"/>
      <c r="G637" s="22"/>
      <c r="H637" s="22"/>
      <c r="I637" s="177"/>
      <c r="J637" s="177"/>
      <c r="K637" s="177"/>
      <c r="L637" s="22">
        <f t="shared" si="27"/>
        <v>8</v>
      </c>
      <c r="M637" s="10"/>
    </row>
    <row r="638" spans="1:13" ht="23.25" x14ac:dyDescent="0.25">
      <c r="A638" s="22">
        <f t="shared" si="29"/>
        <v>579</v>
      </c>
      <c r="B638" s="13" t="s">
        <v>523</v>
      </c>
      <c r="C638" s="370">
        <v>50</v>
      </c>
      <c r="D638" s="22">
        <v>16</v>
      </c>
      <c r="E638" s="22"/>
      <c r="F638" s="22"/>
      <c r="G638" s="22"/>
      <c r="H638" s="22"/>
      <c r="I638" s="177"/>
      <c r="J638" s="177"/>
      <c r="K638" s="177"/>
      <c r="L638" s="22">
        <f t="shared" si="27"/>
        <v>16</v>
      </c>
      <c r="M638" s="10"/>
    </row>
    <row r="639" spans="1:13" ht="23.25" x14ac:dyDescent="0.25">
      <c r="A639" s="22">
        <f t="shared" si="29"/>
        <v>580</v>
      </c>
      <c r="B639" s="13" t="s">
        <v>525</v>
      </c>
      <c r="C639" s="370">
        <v>50</v>
      </c>
      <c r="D639" s="22">
        <v>200</v>
      </c>
      <c r="E639" s="22"/>
      <c r="F639" s="22"/>
      <c r="G639" s="22"/>
      <c r="H639" s="22"/>
      <c r="I639" s="177"/>
      <c r="J639" s="177">
        <v>2</v>
      </c>
      <c r="K639" s="177">
        <v>24</v>
      </c>
      <c r="L639" s="22">
        <f t="shared" si="27"/>
        <v>226</v>
      </c>
      <c r="M639" s="10"/>
    </row>
    <row r="640" spans="1:13" ht="23.25" x14ac:dyDescent="0.25">
      <c r="A640" s="22">
        <f t="shared" si="29"/>
        <v>581</v>
      </c>
      <c r="B640" s="13" t="s">
        <v>526</v>
      </c>
      <c r="C640" s="370">
        <v>50</v>
      </c>
      <c r="D640" s="22">
        <v>300</v>
      </c>
      <c r="E640" s="22"/>
      <c r="F640" s="22"/>
      <c r="G640" s="22"/>
      <c r="H640" s="22"/>
      <c r="I640" s="177"/>
      <c r="J640" s="177">
        <v>2</v>
      </c>
      <c r="K640" s="177">
        <v>24</v>
      </c>
      <c r="L640" s="22">
        <f t="shared" si="27"/>
        <v>326</v>
      </c>
      <c r="M640" s="10"/>
    </row>
    <row r="641" spans="1:13" ht="23.25" x14ac:dyDescent="0.25">
      <c r="A641" s="22">
        <f t="shared" ref="A641:A700" si="30">A640+1</f>
        <v>582</v>
      </c>
      <c r="B641" s="13" t="s">
        <v>527</v>
      </c>
      <c r="C641" s="370">
        <v>50</v>
      </c>
      <c r="D641" s="22">
        <v>150</v>
      </c>
      <c r="E641" s="22"/>
      <c r="F641" s="22"/>
      <c r="G641" s="22"/>
      <c r="H641" s="22"/>
      <c r="I641" s="177"/>
      <c r="J641" s="177">
        <v>2</v>
      </c>
      <c r="K641" s="177">
        <v>2</v>
      </c>
      <c r="L641" s="22">
        <f t="shared" si="27"/>
        <v>154</v>
      </c>
      <c r="M641" s="10"/>
    </row>
    <row r="642" spans="1:13" ht="23.25" x14ac:dyDescent="0.25">
      <c r="A642" s="22">
        <f t="shared" si="30"/>
        <v>583</v>
      </c>
      <c r="B642" s="13" t="s">
        <v>528</v>
      </c>
      <c r="C642" s="370">
        <v>50</v>
      </c>
      <c r="D642" s="22">
        <v>160</v>
      </c>
      <c r="E642" s="22"/>
      <c r="F642" s="22"/>
      <c r="G642" s="22"/>
      <c r="H642" s="22"/>
      <c r="I642" s="177"/>
      <c r="J642" s="177"/>
      <c r="K642" s="177"/>
      <c r="L642" s="22">
        <f t="shared" si="27"/>
        <v>160</v>
      </c>
      <c r="M642" s="10"/>
    </row>
    <row r="643" spans="1:13" ht="23.25" x14ac:dyDescent="0.25">
      <c r="A643" s="22">
        <f t="shared" si="30"/>
        <v>584</v>
      </c>
      <c r="B643" s="13" t="s">
        <v>349</v>
      </c>
      <c r="C643" s="370">
        <v>12</v>
      </c>
      <c r="D643" s="22">
        <v>200</v>
      </c>
      <c r="E643" s="22"/>
      <c r="F643" s="22"/>
      <c r="G643" s="22"/>
      <c r="H643" s="22"/>
      <c r="I643" s="177"/>
      <c r="J643" s="177"/>
      <c r="K643" s="177"/>
      <c r="L643" s="22">
        <f t="shared" si="27"/>
        <v>200</v>
      </c>
    </row>
    <row r="644" spans="1:13" ht="23.25" x14ac:dyDescent="0.25">
      <c r="A644" s="22">
        <f t="shared" si="30"/>
        <v>585</v>
      </c>
      <c r="B644" s="13" t="s">
        <v>350</v>
      </c>
      <c r="C644" s="370">
        <v>30</v>
      </c>
      <c r="D644" s="22">
        <v>20</v>
      </c>
      <c r="E644" s="22"/>
      <c r="F644" s="22"/>
      <c r="G644" s="22"/>
      <c r="H644" s="22"/>
      <c r="I644" s="177"/>
      <c r="J644" s="177"/>
      <c r="K644" s="177"/>
      <c r="L644" s="22">
        <f t="shared" si="27"/>
        <v>20</v>
      </c>
    </row>
    <row r="645" spans="1:13" ht="23.25" x14ac:dyDescent="0.25">
      <c r="A645" s="22">
        <f t="shared" si="30"/>
        <v>586</v>
      </c>
      <c r="B645" s="13" t="s">
        <v>351</v>
      </c>
      <c r="C645" s="370">
        <v>50</v>
      </c>
      <c r="D645" s="22">
        <v>20</v>
      </c>
      <c r="E645" s="22"/>
      <c r="F645" s="22"/>
      <c r="G645" s="22"/>
      <c r="H645" s="22"/>
      <c r="I645" s="177"/>
      <c r="J645" s="177"/>
      <c r="K645" s="177"/>
      <c r="L645" s="22">
        <f t="shared" si="27"/>
        <v>20</v>
      </c>
    </row>
    <row r="646" spans="1:13" ht="23.25" x14ac:dyDescent="0.25">
      <c r="A646" s="22">
        <f t="shared" si="30"/>
        <v>587</v>
      </c>
      <c r="B646" s="13" t="s">
        <v>529</v>
      </c>
      <c r="C646" s="370">
        <v>100</v>
      </c>
      <c r="D646" s="22">
        <v>20</v>
      </c>
      <c r="E646" s="22"/>
      <c r="F646" s="22"/>
      <c r="G646" s="22"/>
      <c r="H646" s="22"/>
      <c r="I646" s="177"/>
      <c r="J646" s="177"/>
      <c r="K646" s="177"/>
      <c r="L646" s="22">
        <f t="shared" si="27"/>
        <v>20</v>
      </c>
    </row>
    <row r="647" spans="1:13" ht="23.25" x14ac:dyDescent="0.25">
      <c r="A647" s="22">
        <f t="shared" si="30"/>
        <v>588</v>
      </c>
      <c r="B647" s="13" t="s">
        <v>352</v>
      </c>
      <c r="C647" s="370">
        <v>12</v>
      </c>
      <c r="D647" s="22">
        <v>20</v>
      </c>
      <c r="E647" s="22"/>
      <c r="F647" s="22"/>
      <c r="G647" s="22"/>
      <c r="H647" s="22"/>
      <c r="I647" s="177"/>
      <c r="J647" s="177"/>
      <c r="K647" s="177"/>
      <c r="L647" s="22">
        <f t="shared" si="27"/>
        <v>20</v>
      </c>
    </row>
    <row r="648" spans="1:13" ht="23.25" x14ac:dyDescent="0.25">
      <c r="A648" s="22">
        <f t="shared" si="30"/>
        <v>589</v>
      </c>
      <c r="B648" s="13" t="s">
        <v>1432</v>
      </c>
      <c r="C648" s="370" t="s">
        <v>353</v>
      </c>
      <c r="D648" s="22">
        <v>20</v>
      </c>
      <c r="E648" s="22">
        <v>36</v>
      </c>
      <c r="F648" s="22"/>
      <c r="G648" s="22">
        <v>250</v>
      </c>
      <c r="H648" s="22">
        <v>42</v>
      </c>
      <c r="I648" s="177">
        <v>100</v>
      </c>
      <c r="J648" s="177">
        <v>24</v>
      </c>
      <c r="K648" s="177">
        <v>1620</v>
      </c>
      <c r="L648" s="22">
        <f t="shared" si="27"/>
        <v>2092</v>
      </c>
    </row>
    <row r="649" spans="1:13" ht="23.25" x14ac:dyDescent="0.25">
      <c r="A649" s="22">
        <f t="shared" si="30"/>
        <v>590</v>
      </c>
      <c r="B649" s="13" t="s">
        <v>354</v>
      </c>
      <c r="C649" s="370">
        <v>100</v>
      </c>
      <c r="D649" s="22">
        <v>120</v>
      </c>
      <c r="E649" s="22"/>
      <c r="F649" s="22"/>
      <c r="G649" s="22"/>
      <c r="H649" s="22"/>
      <c r="I649" s="177"/>
      <c r="J649" s="177"/>
      <c r="K649" s="177"/>
      <c r="L649" s="22">
        <f t="shared" si="27"/>
        <v>120</v>
      </c>
    </row>
    <row r="650" spans="1:13" ht="23.25" x14ac:dyDescent="0.25">
      <c r="A650" s="22">
        <f t="shared" si="30"/>
        <v>591</v>
      </c>
      <c r="B650" s="13" t="s">
        <v>355</v>
      </c>
      <c r="C650" s="370">
        <v>12</v>
      </c>
      <c r="D650" s="22">
        <v>20</v>
      </c>
      <c r="E650" s="22"/>
      <c r="F650" s="22"/>
      <c r="G650" s="22"/>
      <c r="H650" s="22"/>
      <c r="I650" s="177"/>
      <c r="J650" s="177"/>
      <c r="K650" s="177">
        <v>30</v>
      </c>
      <c r="L650" s="22">
        <f t="shared" ref="L650:L713" si="31">SUM(D650:K650)</f>
        <v>50</v>
      </c>
    </row>
    <row r="651" spans="1:13" ht="23.25" x14ac:dyDescent="0.25">
      <c r="A651" s="22">
        <f t="shared" si="30"/>
        <v>592</v>
      </c>
      <c r="B651" s="13" t="s">
        <v>356</v>
      </c>
      <c r="C651" s="370">
        <v>12</v>
      </c>
      <c r="D651" s="22">
        <v>300</v>
      </c>
      <c r="E651" s="22"/>
      <c r="F651" s="22"/>
      <c r="G651" s="22"/>
      <c r="H651" s="22"/>
      <c r="I651" s="177"/>
      <c r="J651" s="177"/>
      <c r="K651" s="177">
        <v>35</v>
      </c>
      <c r="L651" s="22">
        <f t="shared" si="31"/>
        <v>335</v>
      </c>
    </row>
    <row r="652" spans="1:13" ht="23.25" x14ac:dyDescent="0.25">
      <c r="A652" s="22">
        <f t="shared" si="30"/>
        <v>593</v>
      </c>
      <c r="B652" s="13" t="s">
        <v>357</v>
      </c>
      <c r="C652" s="370">
        <v>50</v>
      </c>
      <c r="D652" s="22">
        <v>10</v>
      </c>
      <c r="E652" s="22"/>
      <c r="F652" s="22"/>
      <c r="G652" s="22"/>
      <c r="H652" s="22"/>
      <c r="I652" s="177"/>
      <c r="J652" s="177"/>
      <c r="K652" s="177">
        <v>10</v>
      </c>
      <c r="L652" s="22">
        <f t="shared" si="31"/>
        <v>20</v>
      </c>
    </row>
    <row r="653" spans="1:13" ht="23.25" x14ac:dyDescent="0.25">
      <c r="A653" s="22">
        <f t="shared" si="30"/>
        <v>594</v>
      </c>
      <c r="B653" s="13" t="s">
        <v>530</v>
      </c>
      <c r="C653" s="370">
        <v>10</v>
      </c>
      <c r="D653" s="22">
        <v>8</v>
      </c>
      <c r="E653" s="22"/>
      <c r="F653" s="22"/>
      <c r="G653" s="22"/>
      <c r="H653" s="22"/>
      <c r="I653" s="177"/>
      <c r="J653" s="177"/>
      <c r="K653" s="177"/>
      <c r="L653" s="22">
        <f t="shared" si="31"/>
        <v>8</v>
      </c>
    </row>
    <row r="654" spans="1:13" ht="23.25" x14ac:dyDescent="0.25">
      <c r="A654" s="22">
        <f t="shared" si="30"/>
        <v>595</v>
      </c>
      <c r="B654" s="13" t="s">
        <v>531</v>
      </c>
      <c r="C654" s="370">
        <v>10</v>
      </c>
      <c r="D654" s="22">
        <v>4</v>
      </c>
      <c r="E654" s="22"/>
      <c r="F654" s="22"/>
      <c r="G654" s="22"/>
      <c r="H654" s="22"/>
      <c r="I654" s="177"/>
      <c r="J654" s="177"/>
      <c r="K654" s="177"/>
      <c r="L654" s="22">
        <f t="shared" si="31"/>
        <v>4</v>
      </c>
    </row>
    <row r="655" spans="1:13" ht="23.25" x14ac:dyDescent="0.25">
      <c r="A655" s="22">
        <f t="shared" si="30"/>
        <v>596</v>
      </c>
      <c r="B655" s="13" t="s">
        <v>532</v>
      </c>
      <c r="C655" s="370">
        <v>10</v>
      </c>
      <c r="D655" s="22">
        <v>8</v>
      </c>
      <c r="E655" s="22"/>
      <c r="F655" s="22"/>
      <c r="G655" s="22"/>
      <c r="H655" s="22"/>
      <c r="I655" s="177"/>
      <c r="J655" s="177"/>
      <c r="K655" s="177"/>
      <c r="L655" s="22">
        <f t="shared" si="31"/>
        <v>8</v>
      </c>
    </row>
    <row r="656" spans="1:13" ht="23.25" x14ac:dyDescent="0.25">
      <c r="A656" s="22">
        <f t="shared" si="30"/>
        <v>597</v>
      </c>
      <c r="B656" s="13" t="s">
        <v>533</v>
      </c>
      <c r="C656" s="370">
        <v>10</v>
      </c>
      <c r="D656" s="22">
        <v>240</v>
      </c>
      <c r="E656" s="22"/>
      <c r="F656" s="22"/>
      <c r="G656" s="22"/>
      <c r="H656" s="22"/>
      <c r="I656" s="177"/>
      <c r="J656" s="177">
        <v>12</v>
      </c>
      <c r="K656" s="177">
        <v>30</v>
      </c>
      <c r="L656" s="22">
        <f t="shared" si="31"/>
        <v>282</v>
      </c>
    </row>
    <row r="657" spans="1:12" ht="23.25" x14ac:dyDescent="0.25">
      <c r="A657" s="22">
        <f t="shared" si="30"/>
        <v>598</v>
      </c>
      <c r="B657" s="13" t="s">
        <v>534</v>
      </c>
      <c r="C657" s="370">
        <v>10</v>
      </c>
      <c r="D657" s="22">
        <v>140</v>
      </c>
      <c r="E657" s="22"/>
      <c r="F657" s="22"/>
      <c r="G657" s="22"/>
      <c r="H657" s="22"/>
      <c r="I657" s="177"/>
      <c r="J657" s="177">
        <v>6</v>
      </c>
      <c r="K657" s="177"/>
      <c r="L657" s="22">
        <f t="shared" si="31"/>
        <v>146</v>
      </c>
    </row>
    <row r="658" spans="1:12" ht="23.25" x14ac:dyDescent="0.25">
      <c r="A658" s="22">
        <f t="shared" si="30"/>
        <v>599</v>
      </c>
      <c r="B658" s="13" t="s">
        <v>535</v>
      </c>
      <c r="C658" s="370">
        <v>10</v>
      </c>
      <c r="D658" s="22">
        <v>8</v>
      </c>
      <c r="E658" s="22"/>
      <c r="F658" s="22"/>
      <c r="G658" s="22"/>
      <c r="H658" s="22"/>
      <c r="I658" s="177"/>
      <c r="J658" s="177"/>
      <c r="K658" s="177">
        <v>12</v>
      </c>
      <c r="L658" s="22">
        <f t="shared" si="31"/>
        <v>20</v>
      </c>
    </row>
    <row r="659" spans="1:12" ht="23.25" x14ac:dyDescent="0.25">
      <c r="A659" s="22">
        <f t="shared" si="30"/>
        <v>600</v>
      </c>
      <c r="B659" s="13" t="s">
        <v>536</v>
      </c>
      <c r="C659" s="370">
        <v>10</v>
      </c>
      <c r="D659" s="22">
        <v>20</v>
      </c>
      <c r="E659" s="22"/>
      <c r="F659" s="22"/>
      <c r="G659" s="22"/>
      <c r="H659" s="22"/>
      <c r="I659" s="177"/>
      <c r="J659" s="177">
        <v>2</v>
      </c>
      <c r="K659" s="177"/>
      <c r="L659" s="22">
        <f t="shared" si="31"/>
        <v>22</v>
      </c>
    </row>
    <row r="660" spans="1:12" ht="23.25" x14ac:dyDescent="0.25">
      <c r="A660" s="22">
        <f t="shared" si="30"/>
        <v>601</v>
      </c>
      <c r="B660" s="13" t="s">
        <v>537</v>
      </c>
      <c r="C660" s="370">
        <v>10</v>
      </c>
      <c r="D660" s="22">
        <v>4</v>
      </c>
      <c r="E660" s="22"/>
      <c r="F660" s="22"/>
      <c r="G660" s="22"/>
      <c r="H660" s="22"/>
      <c r="I660" s="177"/>
      <c r="J660" s="177"/>
      <c r="K660" s="177"/>
      <c r="L660" s="22">
        <f t="shared" si="31"/>
        <v>4</v>
      </c>
    </row>
    <row r="661" spans="1:12" ht="23.25" x14ac:dyDescent="0.25">
      <c r="A661" s="22">
        <f t="shared" si="30"/>
        <v>602</v>
      </c>
      <c r="B661" s="13" t="s">
        <v>538</v>
      </c>
      <c r="C661" s="370">
        <v>10</v>
      </c>
      <c r="D661" s="22">
        <v>2</v>
      </c>
      <c r="E661" s="22"/>
      <c r="F661" s="22"/>
      <c r="G661" s="22"/>
      <c r="H661" s="22"/>
      <c r="I661" s="177"/>
      <c r="J661" s="177"/>
      <c r="K661" s="177"/>
      <c r="L661" s="22">
        <f t="shared" si="31"/>
        <v>2</v>
      </c>
    </row>
    <row r="662" spans="1:12" ht="23.25" x14ac:dyDescent="0.25">
      <c r="A662" s="22">
        <f t="shared" si="30"/>
        <v>603</v>
      </c>
      <c r="B662" s="13" t="s">
        <v>539</v>
      </c>
      <c r="C662" s="370">
        <v>10</v>
      </c>
      <c r="D662" s="22">
        <v>2</v>
      </c>
      <c r="E662" s="22"/>
      <c r="F662" s="22"/>
      <c r="G662" s="22"/>
      <c r="H662" s="22"/>
      <c r="I662" s="177"/>
      <c r="J662" s="177"/>
      <c r="K662" s="177"/>
      <c r="L662" s="22">
        <f t="shared" si="31"/>
        <v>2</v>
      </c>
    </row>
    <row r="663" spans="1:12" ht="23.25" x14ac:dyDescent="0.25">
      <c r="A663" s="22">
        <f t="shared" si="30"/>
        <v>604</v>
      </c>
      <c r="B663" s="13" t="s">
        <v>735</v>
      </c>
      <c r="C663" s="370">
        <v>500</v>
      </c>
      <c r="D663" s="22">
        <v>16</v>
      </c>
      <c r="E663" s="22"/>
      <c r="F663" s="22"/>
      <c r="G663" s="22"/>
      <c r="H663" s="22"/>
      <c r="I663" s="177"/>
      <c r="J663" s="177">
        <v>1</v>
      </c>
      <c r="K663" s="177"/>
      <c r="L663" s="22">
        <f t="shared" si="31"/>
        <v>17</v>
      </c>
    </row>
    <row r="664" spans="1:12" ht="23.25" x14ac:dyDescent="0.25">
      <c r="A664" s="22">
        <f t="shared" si="30"/>
        <v>605</v>
      </c>
      <c r="B664" s="13" t="s">
        <v>496</v>
      </c>
      <c r="C664" s="370">
        <v>100</v>
      </c>
      <c r="D664" s="22">
        <v>24</v>
      </c>
      <c r="E664" s="22"/>
      <c r="F664" s="22"/>
      <c r="G664" s="22"/>
      <c r="H664" s="22"/>
      <c r="I664" s="177"/>
      <c r="J664" s="177"/>
      <c r="K664" s="177"/>
      <c r="L664" s="22">
        <f t="shared" si="31"/>
        <v>24</v>
      </c>
    </row>
    <row r="665" spans="1:12" ht="23.25" x14ac:dyDescent="0.25">
      <c r="A665" s="22">
        <f t="shared" si="30"/>
        <v>606</v>
      </c>
      <c r="B665" s="13" t="s">
        <v>761</v>
      </c>
      <c r="C665" s="370" t="s">
        <v>358</v>
      </c>
      <c r="D665" s="22">
        <v>1200</v>
      </c>
      <c r="E665" s="22">
        <v>180</v>
      </c>
      <c r="F665" s="22">
        <v>150</v>
      </c>
      <c r="G665" s="22">
        <v>2400</v>
      </c>
      <c r="H665" s="22">
        <v>200</v>
      </c>
      <c r="I665" s="177">
        <v>960</v>
      </c>
      <c r="J665" s="177">
        <v>50</v>
      </c>
      <c r="K665" s="177">
        <v>6700</v>
      </c>
      <c r="L665" s="22">
        <f t="shared" si="31"/>
        <v>11840</v>
      </c>
    </row>
    <row r="666" spans="1:12" ht="23.25" x14ac:dyDescent="0.25">
      <c r="A666" s="22">
        <f t="shared" si="30"/>
        <v>607</v>
      </c>
      <c r="B666" s="13" t="s">
        <v>1375</v>
      </c>
      <c r="C666" s="370" t="s">
        <v>333</v>
      </c>
      <c r="D666" s="22">
        <v>500</v>
      </c>
      <c r="E666" s="22"/>
      <c r="F666" s="22"/>
      <c r="G666" s="22"/>
      <c r="H666" s="22"/>
      <c r="I666" s="177"/>
      <c r="J666" s="177"/>
      <c r="K666" s="177"/>
      <c r="L666" s="22">
        <f t="shared" si="31"/>
        <v>500</v>
      </c>
    </row>
    <row r="667" spans="1:12" ht="23.25" x14ac:dyDescent="0.25">
      <c r="A667" s="22">
        <f t="shared" si="30"/>
        <v>608</v>
      </c>
      <c r="B667" s="13" t="s">
        <v>359</v>
      </c>
      <c r="C667" s="370">
        <v>25</v>
      </c>
      <c r="D667" s="22">
        <v>60</v>
      </c>
      <c r="E667" s="22"/>
      <c r="F667" s="22"/>
      <c r="G667" s="22"/>
      <c r="H667" s="22"/>
      <c r="I667" s="177"/>
      <c r="J667" s="177"/>
      <c r="K667" s="177"/>
      <c r="L667" s="22">
        <f t="shared" si="31"/>
        <v>60</v>
      </c>
    </row>
    <row r="668" spans="1:12" ht="23.25" x14ac:dyDescent="0.25">
      <c r="A668" s="22">
        <f t="shared" si="30"/>
        <v>609</v>
      </c>
      <c r="B668" s="13" t="s">
        <v>540</v>
      </c>
      <c r="C668" s="370">
        <v>10</v>
      </c>
      <c r="D668" s="22">
        <v>16</v>
      </c>
      <c r="E668" s="22"/>
      <c r="F668" s="22"/>
      <c r="G668" s="22"/>
      <c r="H668" s="22"/>
      <c r="I668" s="177"/>
      <c r="J668" s="177">
        <v>5</v>
      </c>
      <c r="K668" s="177"/>
      <c r="L668" s="22">
        <f t="shared" si="31"/>
        <v>21</v>
      </c>
    </row>
    <row r="669" spans="1:12" ht="23.25" x14ac:dyDescent="0.25">
      <c r="A669" s="22">
        <f t="shared" si="30"/>
        <v>610</v>
      </c>
      <c r="B669" s="13" t="s">
        <v>541</v>
      </c>
      <c r="C669" s="370">
        <v>10</v>
      </c>
      <c r="D669" s="22">
        <v>8</v>
      </c>
      <c r="E669" s="22"/>
      <c r="F669" s="22"/>
      <c r="G669" s="22"/>
      <c r="H669" s="22"/>
      <c r="I669" s="177"/>
      <c r="J669" s="177"/>
      <c r="K669" s="177"/>
      <c r="L669" s="22">
        <f t="shared" si="31"/>
        <v>8</v>
      </c>
    </row>
    <row r="670" spans="1:12" ht="23.25" x14ac:dyDescent="0.25">
      <c r="A670" s="22">
        <f t="shared" si="30"/>
        <v>611</v>
      </c>
      <c r="B670" s="13" t="s">
        <v>542</v>
      </c>
      <c r="C670" s="370">
        <v>10</v>
      </c>
      <c r="D670" s="22">
        <v>12</v>
      </c>
      <c r="E670" s="22"/>
      <c r="F670" s="22"/>
      <c r="G670" s="22"/>
      <c r="H670" s="22"/>
      <c r="I670" s="177"/>
      <c r="J670" s="177"/>
      <c r="K670" s="177"/>
      <c r="L670" s="22">
        <f t="shared" si="31"/>
        <v>12</v>
      </c>
    </row>
    <row r="671" spans="1:12" ht="23.25" x14ac:dyDescent="0.25">
      <c r="A671" s="22">
        <f t="shared" si="30"/>
        <v>612</v>
      </c>
      <c r="B671" s="13" t="s">
        <v>543</v>
      </c>
      <c r="C671" s="370">
        <v>10</v>
      </c>
      <c r="D671" s="22">
        <v>40</v>
      </c>
      <c r="E671" s="22"/>
      <c r="F671" s="22"/>
      <c r="G671" s="22"/>
      <c r="H671" s="22"/>
      <c r="I671" s="177"/>
      <c r="J671" s="177"/>
      <c r="K671" s="177">
        <v>500</v>
      </c>
      <c r="L671" s="22">
        <f t="shared" si="31"/>
        <v>540</v>
      </c>
    </row>
    <row r="672" spans="1:12" ht="23.25" x14ac:dyDescent="0.25">
      <c r="A672" s="22">
        <f t="shared" si="30"/>
        <v>613</v>
      </c>
      <c r="B672" s="13" t="s">
        <v>544</v>
      </c>
      <c r="C672" s="370">
        <v>10</v>
      </c>
      <c r="D672" s="22">
        <v>20</v>
      </c>
      <c r="E672" s="22"/>
      <c r="F672" s="22"/>
      <c r="G672" s="22"/>
      <c r="H672" s="22"/>
      <c r="I672" s="177"/>
      <c r="J672" s="177"/>
      <c r="K672" s="177"/>
      <c r="L672" s="22">
        <f t="shared" si="31"/>
        <v>20</v>
      </c>
    </row>
    <row r="673" spans="1:12" ht="23.25" x14ac:dyDescent="0.25">
      <c r="A673" s="22">
        <f t="shared" si="30"/>
        <v>614</v>
      </c>
      <c r="B673" s="13" t="s">
        <v>545</v>
      </c>
      <c r="C673" s="370">
        <v>10</v>
      </c>
      <c r="D673" s="22">
        <v>4</v>
      </c>
      <c r="E673" s="22"/>
      <c r="F673" s="22"/>
      <c r="G673" s="22"/>
      <c r="H673" s="22"/>
      <c r="I673" s="177"/>
      <c r="J673" s="177"/>
      <c r="K673" s="177"/>
      <c r="L673" s="22">
        <f t="shared" si="31"/>
        <v>4</v>
      </c>
    </row>
    <row r="674" spans="1:12" ht="23.25" x14ac:dyDescent="0.25">
      <c r="A674" s="22">
        <f t="shared" si="30"/>
        <v>615</v>
      </c>
      <c r="B674" s="13" t="s">
        <v>704</v>
      </c>
      <c r="C674" s="370">
        <v>10</v>
      </c>
      <c r="D674" s="22">
        <v>4</v>
      </c>
      <c r="E674" s="22"/>
      <c r="F674" s="22"/>
      <c r="G674" s="22"/>
      <c r="H674" s="22"/>
      <c r="I674" s="177"/>
      <c r="J674" s="177"/>
      <c r="K674" s="177"/>
      <c r="L674" s="22">
        <f t="shared" si="31"/>
        <v>4</v>
      </c>
    </row>
    <row r="675" spans="1:12" ht="23.25" x14ac:dyDescent="0.25">
      <c r="A675" s="22">
        <f t="shared" si="30"/>
        <v>616</v>
      </c>
      <c r="B675" s="13" t="s">
        <v>546</v>
      </c>
      <c r="C675" s="370">
        <v>100</v>
      </c>
      <c r="D675" s="22">
        <v>24</v>
      </c>
      <c r="E675" s="22"/>
      <c r="F675" s="22"/>
      <c r="G675" s="22"/>
      <c r="H675" s="22"/>
      <c r="I675" s="177"/>
      <c r="J675" s="177">
        <v>1</v>
      </c>
      <c r="K675" s="177"/>
      <c r="L675" s="22">
        <f t="shared" si="31"/>
        <v>25</v>
      </c>
    </row>
    <row r="676" spans="1:12" ht="23.25" x14ac:dyDescent="0.25">
      <c r="A676" s="22">
        <f t="shared" si="30"/>
        <v>617</v>
      </c>
      <c r="B676" s="13" t="s">
        <v>547</v>
      </c>
      <c r="C676" s="370">
        <v>100</v>
      </c>
      <c r="D676" s="22">
        <v>20</v>
      </c>
      <c r="E676" s="22"/>
      <c r="F676" s="22"/>
      <c r="G676" s="22"/>
      <c r="H676" s="22"/>
      <c r="I676" s="177"/>
      <c r="J676" s="177">
        <v>1</v>
      </c>
      <c r="K676" s="177"/>
      <c r="L676" s="22">
        <f t="shared" si="31"/>
        <v>21</v>
      </c>
    </row>
    <row r="677" spans="1:12" ht="23.25" x14ac:dyDescent="0.25">
      <c r="A677" s="22">
        <f t="shared" si="30"/>
        <v>618</v>
      </c>
      <c r="B677" s="13" t="s">
        <v>548</v>
      </c>
      <c r="C677" s="370">
        <v>10</v>
      </c>
      <c r="D677" s="22">
        <v>12</v>
      </c>
      <c r="E677" s="22"/>
      <c r="F677" s="22"/>
      <c r="G677" s="22"/>
      <c r="H677" s="22"/>
      <c r="I677" s="177"/>
      <c r="J677" s="177">
        <v>5</v>
      </c>
      <c r="K677" s="177"/>
      <c r="L677" s="22">
        <f t="shared" si="31"/>
        <v>17</v>
      </c>
    </row>
    <row r="678" spans="1:12" ht="23.25" x14ac:dyDescent="0.25">
      <c r="A678" s="22">
        <f t="shared" si="30"/>
        <v>619</v>
      </c>
      <c r="B678" s="13" t="s">
        <v>360</v>
      </c>
      <c r="C678" s="370">
        <v>100</v>
      </c>
      <c r="D678" s="22">
        <v>12</v>
      </c>
      <c r="E678" s="22"/>
      <c r="F678" s="22"/>
      <c r="G678" s="22"/>
      <c r="H678" s="22"/>
      <c r="I678" s="177"/>
      <c r="J678" s="177"/>
      <c r="K678" s="177"/>
      <c r="L678" s="22">
        <f t="shared" si="31"/>
        <v>12</v>
      </c>
    </row>
    <row r="679" spans="1:12" ht="23.25" x14ac:dyDescent="0.25">
      <c r="A679" s="22">
        <f t="shared" si="30"/>
        <v>620</v>
      </c>
      <c r="B679" s="13" t="s">
        <v>361</v>
      </c>
      <c r="C679" s="370">
        <v>250</v>
      </c>
      <c r="D679" s="22">
        <v>8</v>
      </c>
      <c r="E679" s="22"/>
      <c r="F679" s="22"/>
      <c r="G679" s="22"/>
      <c r="H679" s="22"/>
      <c r="I679" s="177"/>
      <c r="J679" s="177"/>
      <c r="K679" s="177"/>
      <c r="L679" s="22">
        <f t="shared" si="31"/>
        <v>8</v>
      </c>
    </row>
    <row r="680" spans="1:12" ht="23.25" x14ac:dyDescent="0.25">
      <c r="A680" s="22">
        <f t="shared" si="30"/>
        <v>621</v>
      </c>
      <c r="B680" s="13" t="s">
        <v>1376</v>
      </c>
      <c r="C680" s="370">
        <v>10</v>
      </c>
      <c r="D680" s="22">
        <v>260</v>
      </c>
      <c r="E680" s="22"/>
      <c r="F680" s="22"/>
      <c r="G680" s="22"/>
      <c r="H680" s="22"/>
      <c r="I680" s="177"/>
      <c r="J680" s="177"/>
      <c r="K680" s="177"/>
      <c r="L680" s="22">
        <f t="shared" si="31"/>
        <v>260</v>
      </c>
    </row>
    <row r="681" spans="1:12" ht="23.25" x14ac:dyDescent="0.25">
      <c r="A681" s="22">
        <f t="shared" si="30"/>
        <v>622</v>
      </c>
      <c r="B681" s="13" t="s">
        <v>1377</v>
      </c>
      <c r="C681" s="370">
        <v>12</v>
      </c>
      <c r="D681" s="22">
        <v>672</v>
      </c>
      <c r="E681" s="22"/>
      <c r="F681" s="22"/>
      <c r="G681" s="22"/>
      <c r="H681" s="22"/>
      <c r="I681" s="177"/>
      <c r="J681" s="177"/>
      <c r="K681" s="177"/>
      <c r="L681" s="22">
        <f t="shared" si="31"/>
        <v>672</v>
      </c>
    </row>
    <row r="682" spans="1:12" ht="23.25" x14ac:dyDescent="0.25">
      <c r="A682" s="22">
        <f t="shared" si="30"/>
        <v>623</v>
      </c>
      <c r="B682" s="13" t="s">
        <v>1378</v>
      </c>
      <c r="C682" s="370">
        <v>6</v>
      </c>
      <c r="D682" s="22">
        <v>20</v>
      </c>
      <c r="E682" s="22"/>
      <c r="F682" s="22"/>
      <c r="G682" s="22"/>
      <c r="H682" s="22"/>
      <c r="I682" s="177"/>
      <c r="J682" s="177"/>
      <c r="K682" s="177"/>
      <c r="L682" s="22">
        <f t="shared" si="31"/>
        <v>20</v>
      </c>
    </row>
    <row r="683" spans="1:12" ht="23.25" x14ac:dyDescent="0.25">
      <c r="A683" s="22">
        <f t="shared" si="30"/>
        <v>624</v>
      </c>
      <c r="B683" s="13" t="s">
        <v>1423</v>
      </c>
      <c r="C683" s="370">
        <v>4</v>
      </c>
      <c r="D683" s="22"/>
      <c r="E683" s="22"/>
      <c r="F683" s="22"/>
      <c r="G683" s="22"/>
      <c r="H683" s="22"/>
      <c r="I683" s="177"/>
      <c r="J683" s="177"/>
      <c r="K683" s="177">
        <v>50</v>
      </c>
      <c r="L683" s="22">
        <f t="shared" si="31"/>
        <v>50</v>
      </c>
    </row>
    <row r="684" spans="1:12" ht="23.25" x14ac:dyDescent="0.25">
      <c r="A684" s="22">
        <f t="shared" si="30"/>
        <v>625</v>
      </c>
      <c r="B684" s="13" t="s">
        <v>1379</v>
      </c>
      <c r="C684" s="370">
        <v>4</v>
      </c>
      <c r="D684" s="22">
        <v>12</v>
      </c>
      <c r="E684" s="22"/>
      <c r="F684" s="22"/>
      <c r="G684" s="22"/>
      <c r="H684" s="22"/>
      <c r="I684" s="177"/>
      <c r="J684" s="177"/>
      <c r="K684" s="177"/>
      <c r="L684" s="22">
        <f t="shared" si="31"/>
        <v>12</v>
      </c>
    </row>
    <row r="685" spans="1:12" ht="23.25" x14ac:dyDescent="0.25">
      <c r="A685" s="22">
        <f t="shared" si="30"/>
        <v>626</v>
      </c>
      <c r="B685" s="13" t="s">
        <v>1427</v>
      </c>
      <c r="C685" s="370">
        <v>5</v>
      </c>
      <c r="D685" s="22"/>
      <c r="E685" s="22"/>
      <c r="F685" s="22"/>
      <c r="G685" s="22">
        <v>100</v>
      </c>
      <c r="H685" s="22">
        <v>4</v>
      </c>
      <c r="I685" s="177"/>
      <c r="J685" s="177">
        <v>1</v>
      </c>
      <c r="K685" s="177"/>
      <c r="L685" s="22">
        <f t="shared" si="31"/>
        <v>105</v>
      </c>
    </row>
    <row r="686" spans="1:12" ht="23.25" x14ac:dyDescent="0.25">
      <c r="A686" s="22">
        <f t="shared" si="30"/>
        <v>627</v>
      </c>
      <c r="B686" s="13" t="s">
        <v>1416</v>
      </c>
      <c r="C686" s="370">
        <v>5</v>
      </c>
      <c r="D686" s="22"/>
      <c r="E686" s="22"/>
      <c r="F686" s="22">
        <v>2</v>
      </c>
      <c r="G686" s="22">
        <v>100</v>
      </c>
      <c r="H686" s="22"/>
      <c r="I686" s="177">
        <v>20</v>
      </c>
      <c r="J686" s="177"/>
      <c r="K686" s="177"/>
      <c r="L686" s="22">
        <f t="shared" si="31"/>
        <v>122</v>
      </c>
    </row>
    <row r="687" spans="1:12" ht="23.25" x14ac:dyDescent="0.25">
      <c r="A687" s="22">
        <f t="shared" si="30"/>
        <v>628</v>
      </c>
      <c r="B687" s="13" t="s">
        <v>362</v>
      </c>
      <c r="C687" s="370" t="s">
        <v>333</v>
      </c>
      <c r="D687" s="22">
        <v>100</v>
      </c>
      <c r="E687" s="22"/>
      <c r="F687" s="22"/>
      <c r="G687" s="22"/>
      <c r="H687" s="22"/>
      <c r="I687" s="177"/>
      <c r="J687" s="177"/>
      <c r="K687" s="177"/>
      <c r="L687" s="22">
        <f t="shared" si="31"/>
        <v>100</v>
      </c>
    </row>
    <row r="688" spans="1:12" ht="23.25" x14ac:dyDescent="0.25">
      <c r="A688" s="22">
        <f t="shared" si="30"/>
        <v>629</v>
      </c>
      <c r="B688" s="13" t="s">
        <v>363</v>
      </c>
      <c r="C688" s="370">
        <v>12</v>
      </c>
      <c r="D688" s="22">
        <v>20</v>
      </c>
      <c r="E688" s="22"/>
      <c r="F688" s="22"/>
      <c r="G688" s="22"/>
      <c r="H688" s="22"/>
      <c r="I688" s="177"/>
      <c r="J688" s="177"/>
      <c r="K688" s="177"/>
      <c r="L688" s="22">
        <f t="shared" si="31"/>
        <v>20</v>
      </c>
    </row>
    <row r="689" spans="1:12" ht="23.25" x14ac:dyDescent="0.25">
      <c r="A689" s="22">
        <f t="shared" si="30"/>
        <v>630</v>
      </c>
      <c r="B689" s="13" t="s">
        <v>1418</v>
      </c>
      <c r="C689" s="370" t="s">
        <v>333</v>
      </c>
      <c r="D689" s="22">
        <v>40</v>
      </c>
      <c r="E689" s="22"/>
      <c r="F689" s="22">
        <v>80</v>
      </c>
      <c r="G689" s="22"/>
      <c r="H689" s="22"/>
      <c r="I689" s="177"/>
      <c r="J689" s="177">
        <v>12</v>
      </c>
      <c r="K689" s="177">
        <v>1400</v>
      </c>
      <c r="L689" s="22">
        <f t="shared" si="31"/>
        <v>1532</v>
      </c>
    </row>
    <row r="690" spans="1:12" ht="23.25" x14ac:dyDescent="0.25">
      <c r="A690" s="22">
        <f t="shared" si="30"/>
        <v>631</v>
      </c>
      <c r="B690" s="13" t="s">
        <v>364</v>
      </c>
      <c r="C690" s="370">
        <v>10</v>
      </c>
      <c r="D690" s="22">
        <v>23</v>
      </c>
      <c r="E690" s="22"/>
      <c r="F690" s="22"/>
      <c r="G690" s="22"/>
      <c r="H690" s="22"/>
      <c r="I690" s="177"/>
      <c r="J690" s="177"/>
      <c r="K690" s="177"/>
      <c r="L690" s="22">
        <f t="shared" si="31"/>
        <v>23</v>
      </c>
    </row>
    <row r="691" spans="1:12" ht="23.25" x14ac:dyDescent="0.25">
      <c r="A691" s="22">
        <f t="shared" si="30"/>
        <v>632</v>
      </c>
      <c r="B691" s="13" t="s">
        <v>365</v>
      </c>
      <c r="C691" s="370">
        <v>100</v>
      </c>
      <c r="D691" s="22">
        <v>4</v>
      </c>
      <c r="E691" s="22"/>
      <c r="F691" s="22"/>
      <c r="G691" s="22"/>
      <c r="H691" s="22"/>
      <c r="I691" s="177"/>
      <c r="J691" s="177"/>
      <c r="K691" s="177"/>
      <c r="L691" s="22">
        <f t="shared" si="31"/>
        <v>4</v>
      </c>
    </row>
    <row r="692" spans="1:12" ht="23.25" x14ac:dyDescent="0.25">
      <c r="A692" s="22">
        <f t="shared" si="30"/>
        <v>633</v>
      </c>
      <c r="B692" s="13" t="s">
        <v>736</v>
      </c>
      <c r="C692" s="370" t="s">
        <v>333</v>
      </c>
      <c r="D692" s="22">
        <v>144</v>
      </c>
      <c r="E692" s="22"/>
      <c r="F692" s="22"/>
      <c r="G692" s="22"/>
      <c r="H692" s="22"/>
      <c r="I692" s="177"/>
      <c r="J692" s="177"/>
      <c r="K692" s="177"/>
      <c r="L692" s="22">
        <f t="shared" si="31"/>
        <v>144</v>
      </c>
    </row>
    <row r="693" spans="1:12" ht="23.25" x14ac:dyDescent="0.25">
      <c r="A693" s="22">
        <f t="shared" si="30"/>
        <v>634</v>
      </c>
      <c r="B693" s="13" t="s">
        <v>737</v>
      </c>
      <c r="C693" s="370" t="s">
        <v>333</v>
      </c>
      <c r="D693" s="22">
        <v>144</v>
      </c>
      <c r="E693" s="22"/>
      <c r="F693" s="22"/>
      <c r="G693" s="22"/>
      <c r="H693" s="22"/>
      <c r="I693" s="177"/>
      <c r="J693" s="177"/>
      <c r="K693" s="177"/>
      <c r="L693" s="22">
        <f t="shared" si="31"/>
        <v>144</v>
      </c>
    </row>
    <row r="694" spans="1:12" ht="23.25" x14ac:dyDescent="0.25">
      <c r="A694" s="22">
        <f t="shared" si="30"/>
        <v>635</v>
      </c>
      <c r="B694" s="13" t="s">
        <v>366</v>
      </c>
      <c r="C694" s="370" t="s">
        <v>333</v>
      </c>
      <c r="D694" s="22">
        <v>120</v>
      </c>
      <c r="E694" s="22"/>
      <c r="F694" s="22"/>
      <c r="G694" s="22"/>
      <c r="H694" s="22"/>
      <c r="I694" s="177"/>
      <c r="J694" s="177"/>
      <c r="K694" s="177"/>
      <c r="L694" s="22">
        <f t="shared" si="31"/>
        <v>120</v>
      </c>
    </row>
    <row r="695" spans="1:12" ht="23.25" x14ac:dyDescent="0.25">
      <c r="A695" s="22">
        <f t="shared" si="30"/>
        <v>636</v>
      </c>
      <c r="B695" s="13" t="s">
        <v>367</v>
      </c>
      <c r="C695" s="370" t="s">
        <v>333</v>
      </c>
      <c r="D695" s="22">
        <v>40</v>
      </c>
      <c r="E695" s="22"/>
      <c r="F695" s="22"/>
      <c r="G695" s="22"/>
      <c r="H695" s="22"/>
      <c r="I695" s="177"/>
      <c r="J695" s="177"/>
      <c r="K695" s="177"/>
      <c r="L695" s="22">
        <f t="shared" si="31"/>
        <v>40</v>
      </c>
    </row>
    <row r="696" spans="1:12" ht="23.25" x14ac:dyDescent="0.25">
      <c r="A696" s="22">
        <f t="shared" si="30"/>
        <v>637</v>
      </c>
      <c r="B696" s="13" t="s">
        <v>368</v>
      </c>
      <c r="C696" s="370">
        <v>100</v>
      </c>
      <c r="D696" s="22">
        <v>24</v>
      </c>
      <c r="E696" s="22"/>
      <c r="F696" s="22"/>
      <c r="G696" s="22"/>
      <c r="H696" s="22"/>
      <c r="I696" s="177"/>
      <c r="J696" s="177"/>
      <c r="K696" s="177"/>
      <c r="L696" s="22">
        <f t="shared" si="31"/>
        <v>24</v>
      </c>
    </row>
    <row r="697" spans="1:12" ht="23.25" x14ac:dyDescent="0.25">
      <c r="A697" s="22">
        <f t="shared" si="30"/>
        <v>638</v>
      </c>
      <c r="B697" s="13" t="s">
        <v>369</v>
      </c>
      <c r="C697" s="370">
        <v>12</v>
      </c>
      <c r="D697" s="22">
        <v>50</v>
      </c>
      <c r="E697" s="22"/>
      <c r="F697" s="22"/>
      <c r="G697" s="22"/>
      <c r="H697" s="22"/>
      <c r="I697" s="177"/>
      <c r="J697" s="177"/>
      <c r="K697" s="177"/>
      <c r="L697" s="22">
        <f t="shared" si="31"/>
        <v>50</v>
      </c>
    </row>
    <row r="698" spans="1:12" ht="23.25" x14ac:dyDescent="0.25">
      <c r="A698" s="22">
        <f t="shared" si="30"/>
        <v>639</v>
      </c>
      <c r="B698" s="13" t="s">
        <v>1380</v>
      </c>
      <c r="C698" s="370">
        <v>50</v>
      </c>
      <c r="D698" s="22">
        <v>20</v>
      </c>
      <c r="E698" s="22"/>
      <c r="F698" s="22"/>
      <c r="G698" s="22"/>
      <c r="H698" s="22"/>
      <c r="I698" s="177"/>
      <c r="J698" s="177"/>
      <c r="K698" s="177"/>
      <c r="L698" s="22">
        <f t="shared" si="31"/>
        <v>20</v>
      </c>
    </row>
    <row r="699" spans="1:12" ht="23.25" x14ac:dyDescent="0.25">
      <c r="A699" s="22">
        <f t="shared" si="30"/>
        <v>640</v>
      </c>
      <c r="B699" s="13" t="s">
        <v>370</v>
      </c>
      <c r="C699" s="370">
        <v>100</v>
      </c>
      <c r="D699" s="22">
        <v>4</v>
      </c>
      <c r="E699" s="22"/>
      <c r="F699" s="22"/>
      <c r="G699" s="22"/>
      <c r="H699" s="22"/>
      <c r="I699" s="177"/>
      <c r="J699" s="177"/>
      <c r="K699" s="177"/>
      <c r="L699" s="22">
        <f t="shared" si="31"/>
        <v>4</v>
      </c>
    </row>
    <row r="700" spans="1:12" ht="23.25" x14ac:dyDescent="0.25">
      <c r="A700" s="22">
        <f t="shared" si="30"/>
        <v>641</v>
      </c>
      <c r="B700" s="13" t="s">
        <v>371</v>
      </c>
      <c r="C700" s="370">
        <v>100</v>
      </c>
      <c r="D700" s="22">
        <v>4</v>
      </c>
      <c r="E700" s="22"/>
      <c r="F700" s="22"/>
      <c r="G700" s="22"/>
      <c r="H700" s="22"/>
      <c r="I700" s="177"/>
      <c r="J700" s="177"/>
      <c r="K700" s="177"/>
      <c r="L700" s="22">
        <f t="shared" si="31"/>
        <v>4</v>
      </c>
    </row>
    <row r="701" spans="1:12" ht="23.25" x14ac:dyDescent="0.25">
      <c r="A701" s="22">
        <f t="shared" ref="A701:A704" si="32">A700+1</f>
        <v>642</v>
      </c>
      <c r="B701" s="13" t="s">
        <v>372</v>
      </c>
      <c r="C701" s="370">
        <v>100</v>
      </c>
      <c r="D701" s="22">
        <v>12</v>
      </c>
      <c r="E701" s="22"/>
      <c r="F701" s="22"/>
      <c r="G701" s="22"/>
      <c r="H701" s="22"/>
      <c r="I701" s="177"/>
      <c r="J701" s="177">
        <v>1</v>
      </c>
      <c r="K701" s="177"/>
      <c r="L701" s="22">
        <f t="shared" si="31"/>
        <v>13</v>
      </c>
    </row>
    <row r="702" spans="1:12" ht="23.25" x14ac:dyDescent="0.25">
      <c r="A702" s="22">
        <f t="shared" si="32"/>
        <v>643</v>
      </c>
      <c r="B702" s="13" t="s">
        <v>373</v>
      </c>
      <c r="C702" s="370">
        <v>100</v>
      </c>
      <c r="D702" s="22">
        <v>12</v>
      </c>
      <c r="E702" s="22"/>
      <c r="F702" s="22"/>
      <c r="G702" s="22"/>
      <c r="H702" s="22"/>
      <c r="I702" s="177"/>
      <c r="J702" s="177">
        <v>1</v>
      </c>
      <c r="K702" s="177">
        <v>16</v>
      </c>
      <c r="L702" s="22">
        <f t="shared" si="31"/>
        <v>29</v>
      </c>
    </row>
    <row r="703" spans="1:12" ht="23.25" x14ac:dyDescent="0.25">
      <c r="A703" s="22">
        <f t="shared" si="32"/>
        <v>644</v>
      </c>
      <c r="B703" s="13" t="s">
        <v>1422</v>
      </c>
      <c r="C703" s="370">
        <v>100</v>
      </c>
      <c r="D703" s="22"/>
      <c r="E703" s="22"/>
      <c r="F703" s="22"/>
      <c r="G703" s="22"/>
      <c r="H703" s="22"/>
      <c r="I703" s="177"/>
      <c r="J703" s="177"/>
      <c r="K703" s="177">
        <v>10</v>
      </c>
      <c r="L703" s="22">
        <f t="shared" si="31"/>
        <v>10</v>
      </c>
    </row>
    <row r="704" spans="1:12" ht="23.25" x14ac:dyDescent="0.25">
      <c r="A704" s="22">
        <f t="shared" si="32"/>
        <v>645</v>
      </c>
      <c r="B704" s="13" t="s">
        <v>374</v>
      </c>
      <c r="C704" s="370">
        <v>100</v>
      </c>
      <c r="D704" s="22">
        <v>12</v>
      </c>
      <c r="E704" s="22"/>
      <c r="F704" s="22"/>
      <c r="G704" s="22"/>
      <c r="H704" s="22"/>
      <c r="I704" s="177"/>
      <c r="J704" s="177"/>
      <c r="K704" s="177"/>
      <c r="L704" s="22">
        <f t="shared" si="31"/>
        <v>12</v>
      </c>
    </row>
    <row r="705" spans="1:12" ht="23.25" x14ac:dyDescent="0.25">
      <c r="A705" s="22">
        <f t="shared" ref="A705:A709" si="33">A704+1</f>
        <v>646</v>
      </c>
      <c r="B705" s="13" t="s">
        <v>1419</v>
      </c>
      <c r="C705" s="370">
        <v>50</v>
      </c>
      <c r="D705" s="22"/>
      <c r="E705" s="22"/>
      <c r="F705" s="22"/>
      <c r="G705" s="22"/>
      <c r="H705" s="22"/>
      <c r="I705" s="177"/>
      <c r="J705" s="177"/>
      <c r="K705" s="177">
        <v>123</v>
      </c>
      <c r="L705" s="22">
        <f t="shared" si="31"/>
        <v>123</v>
      </c>
    </row>
    <row r="706" spans="1:12" ht="23.25" x14ac:dyDescent="0.25">
      <c r="A706" s="22">
        <f t="shared" si="33"/>
        <v>647</v>
      </c>
      <c r="B706" s="13" t="s">
        <v>1420</v>
      </c>
      <c r="C706" s="370">
        <v>50</v>
      </c>
      <c r="D706" s="22">
        <v>160</v>
      </c>
      <c r="E706" s="22"/>
      <c r="F706" s="22">
        <v>160</v>
      </c>
      <c r="G706" s="22"/>
      <c r="H706" s="22"/>
      <c r="I706" s="177"/>
      <c r="J706" s="177">
        <v>7</v>
      </c>
      <c r="K706" s="177">
        <v>158</v>
      </c>
      <c r="L706" s="22">
        <f t="shared" si="31"/>
        <v>485</v>
      </c>
    </row>
    <row r="707" spans="1:12" ht="23.25" x14ac:dyDescent="0.25">
      <c r="A707" s="22">
        <f t="shared" si="33"/>
        <v>648</v>
      </c>
      <c r="B707" s="13" t="s">
        <v>1421</v>
      </c>
      <c r="C707" s="370">
        <v>50</v>
      </c>
      <c r="D707" s="22">
        <v>60</v>
      </c>
      <c r="E707" s="22"/>
      <c r="F707" s="22"/>
      <c r="G707" s="22"/>
      <c r="H707" s="22"/>
      <c r="I707" s="177"/>
      <c r="J707" s="177">
        <v>10</v>
      </c>
      <c r="K707" s="177">
        <v>148</v>
      </c>
      <c r="L707" s="22">
        <f t="shared" si="31"/>
        <v>218</v>
      </c>
    </row>
    <row r="708" spans="1:12" ht="23.25" x14ac:dyDescent="0.25">
      <c r="A708" s="22">
        <f t="shared" si="33"/>
        <v>649</v>
      </c>
      <c r="B708" s="13" t="s">
        <v>377</v>
      </c>
      <c r="C708" s="370">
        <v>10</v>
      </c>
      <c r="D708" s="22">
        <v>500</v>
      </c>
      <c r="E708" s="22"/>
      <c r="F708" s="22"/>
      <c r="G708" s="22"/>
      <c r="H708" s="22"/>
      <c r="I708" s="177"/>
      <c r="J708" s="177"/>
      <c r="K708" s="177">
        <v>95</v>
      </c>
      <c r="L708" s="22">
        <f t="shared" si="31"/>
        <v>595</v>
      </c>
    </row>
    <row r="709" spans="1:12" ht="23.25" x14ac:dyDescent="0.25">
      <c r="A709" s="22">
        <f t="shared" si="33"/>
        <v>650</v>
      </c>
      <c r="B709" s="13" t="s">
        <v>378</v>
      </c>
      <c r="C709" s="370">
        <v>10</v>
      </c>
      <c r="D709" s="22">
        <v>160</v>
      </c>
      <c r="E709" s="22"/>
      <c r="F709" s="22"/>
      <c r="G709" s="22"/>
      <c r="H709" s="22"/>
      <c r="I709" s="177"/>
      <c r="J709" s="177"/>
      <c r="K709" s="177"/>
      <c r="L709" s="22">
        <f t="shared" si="31"/>
        <v>160</v>
      </c>
    </row>
    <row r="710" spans="1:12" ht="23.25" x14ac:dyDescent="0.25">
      <c r="A710" s="22"/>
      <c r="B710" s="22"/>
      <c r="C710" s="372"/>
      <c r="D710" s="22"/>
      <c r="E710" s="22"/>
      <c r="F710" s="22"/>
      <c r="G710" s="22"/>
      <c r="H710" s="22"/>
      <c r="I710" s="177"/>
      <c r="J710" s="177"/>
      <c r="K710" s="177"/>
      <c r="L710" s="22">
        <f t="shared" si="31"/>
        <v>0</v>
      </c>
    </row>
    <row r="711" spans="1:12" ht="23.25" x14ac:dyDescent="0.25">
      <c r="A711" s="22"/>
      <c r="B711" s="22"/>
      <c r="C711" s="372"/>
      <c r="D711" s="22"/>
      <c r="E711" s="22"/>
      <c r="F711" s="22"/>
      <c r="G711" s="22"/>
      <c r="H711" s="22"/>
      <c r="I711" s="177"/>
      <c r="J711" s="177"/>
      <c r="K711" s="177"/>
      <c r="L711" s="22">
        <f t="shared" si="31"/>
        <v>0</v>
      </c>
    </row>
    <row r="712" spans="1:12" ht="23.25" x14ac:dyDescent="0.25">
      <c r="A712" s="22"/>
      <c r="B712" s="22" t="s">
        <v>1381</v>
      </c>
      <c r="C712" s="372"/>
      <c r="D712" s="22"/>
      <c r="E712" s="22"/>
      <c r="F712" s="22"/>
      <c r="G712" s="22"/>
      <c r="H712" s="22"/>
      <c r="I712" s="177"/>
      <c r="J712" s="177"/>
      <c r="K712" s="177"/>
      <c r="L712" s="22">
        <f t="shared" si="31"/>
        <v>0</v>
      </c>
    </row>
    <row r="713" spans="1:12" ht="23.25" x14ac:dyDescent="0.25">
      <c r="A713" s="22">
        <f>A709+1</f>
        <v>651</v>
      </c>
      <c r="B713" s="22" t="s">
        <v>1382</v>
      </c>
      <c r="C713" s="372" t="s">
        <v>656</v>
      </c>
      <c r="D713" s="22">
        <v>20</v>
      </c>
      <c r="E713" s="22"/>
      <c r="F713" s="22"/>
      <c r="G713" s="22"/>
      <c r="H713" s="22"/>
      <c r="I713" s="177"/>
      <c r="J713" s="177"/>
      <c r="K713" s="177"/>
      <c r="L713" s="22">
        <f t="shared" si="31"/>
        <v>20</v>
      </c>
    </row>
    <row r="714" spans="1:12" ht="23.25" x14ac:dyDescent="0.25">
      <c r="A714" s="22">
        <f t="shared" ref="A714:A730" si="34">A713+1</f>
        <v>652</v>
      </c>
      <c r="B714" s="22" t="s">
        <v>1383</v>
      </c>
      <c r="C714" s="372" t="s">
        <v>656</v>
      </c>
      <c r="D714" s="22">
        <v>20</v>
      </c>
      <c r="E714" s="22"/>
      <c r="F714" s="22"/>
      <c r="G714" s="22"/>
      <c r="H714" s="22"/>
      <c r="I714" s="177"/>
      <c r="J714" s="177"/>
      <c r="K714" s="177"/>
      <c r="L714" s="22">
        <f t="shared" ref="L714:L777" si="35">SUM(D714:K714)</f>
        <v>20</v>
      </c>
    </row>
    <row r="715" spans="1:12" ht="23.25" x14ac:dyDescent="0.25">
      <c r="A715" s="22">
        <f t="shared" si="34"/>
        <v>653</v>
      </c>
      <c r="B715" s="22" t="s">
        <v>1384</v>
      </c>
      <c r="C715" s="372" t="s">
        <v>656</v>
      </c>
      <c r="D715" s="22">
        <v>20</v>
      </c>
      <c r="E715" s="22"/>
      <c r="F715" s="22"/>
      <c r="G715" s="22"/>
      <c r="H715" s="22"/>
      <c r="I715" s="177"/>
      <c r="J715" s="177"/>
      <c r="K715" s="177"/>
      <c r="L715" s="22">
        <f t="shared" si="35"/>
        <v>20</v>
      </c>
    </row>
    <row r="716" spans="1:12" ht="23.25" x14ac:dyDescent="0.25">
      <c r="A716" s="22">
        <f t="shared" si="34"/>
        <v>654</v>
      </c>
      <c r="B716" s="22" t="s">
        <v>1385</v>
      </c>
      <c r="C716" s="372" t="s">
        <v>144</v>
      </c>
      <c r="D716" s="22">
        <v>600</v>
      </c>
      <c r="E716" s="22"/>
      <c r="F716" s="22"/>
      <c r="G716" s="22"/>
      <c r="H716" s="22"/>
      <c r="I716" s="177"/>
      <c r="J716" s="177"/>
      <c r="K716" s="177"/>
      <c r="L716" s="22">
        <f t="shared" si="35"/>
        <v>600</v>
      </c>
    </row>
    <row r="717" spans="1:12" ht="23.25" x14ac:dyDescent="0.25">
      <c r="A717" s="22">
        <f t="shared" si="34"/>
        <v>655</v>
      </c>
      <c r="B717" s="22" t="s">
        <v>1386</v>
      </c>
      <c r="C717" s="372" t="s">
        <v>333</v>
      </c>
      <c r="D717" s="22">
        <v>20</v>
      </c>
      <c r="E717" s="22"/>
      <c r="F717" s="22"/>
      <c r="G717" s="22"/>
      <c r="H717" s="22"/>
      <c r="I717" s="177"/>
      <c r="J717" s="177"/>
      <c r="K717" s="177"/>
      <c r="L717" s="22">
        <f t="shared" si="35"/>
        <v>20</v>
      </c>
    </row>
    <row r="718" spans="1:12" ht="23.25" x14ac:dyDescent="0.25">
      <c r="A718" s="22">
        <f t="shared" si="34"/>
        <v>656</v>
      </c>
      <c r="B718" s="22" t="s">
        <v>1387</v>
      </c>
      <c r="C718" s="372" t="s">
        <v>656</v>
      </c>
      <c r="D718" s="22">
        <v>20</v>
      </c>
      <c r="E718" s="22"/>
      <c r="F718" s="22"/>
      <c r="G718" s="22"/>
      <c r="H718" s="22"/>
      <c r="I718" s="177"/>
      <c r="J718" s="177"/>
      <c r="K718" s="177"/>
      <c r="L718" s="22">
        <f t="shared" si="35"/>
        <v>20</v>
      </c>
    </row>
    <row r="719" spans="1:12" ht="23.25" x14ac:dyDescent="0.25">
      <c r="A719" s="22">
        <f t="shared" si="34"/>
        <v>657</v>
      </c>
      <c r="B719" s="22" t="s">
        <v>1388</v>
      </c>
      <c r="C719" s="372" t="s">
        <v>656</v>
      </c>
      <c r="D719" s="22">
        <v>20</v>
      </c>
      <c r="E719" s="22"/>
      <c r="F719" s="22"/>
      <c r="G719" s="22"/>
      <c r="H719" s="22"/>
      <c r="I719" s="177"/>
      <c r="J719" s="177"/>
      <c r="K719" s="177"/>
      <c r="L719" s="22">
        <f t="shared" si="35"/>
        <v>20</v>
      </c>
    </row>
    <row r="720" spans="1:12" ht="23.25" x14ac:dyDescent="0.25">
      <c r="A720" s="22">
        <f t="shared" si="34"/>
        <v>658</v>
      </c>
      <c r="B720" s="22" t="s">
        <v>1389</v>
      </c>
      <c r="C720" s="372" t="s">
        <v>656</v>
      </c>
      <c r="D720" s="22">
        <v>20</v>
      </c>
      <c r="E720" s="22"/>
      <c r="F720" s="22"/>
      <c r="G720" s="22"/>
      <c r="H720" s="22"/>
      <c r="I720" s="177"/>
      <c r="J720" s="177"/>
      <c r="K720" s="177"/>
      <c r="L720" s="22">
        <f t="shared" si="35"/>
        <v>20</v>
      </c>
    </row>
    <row r="721" spans="1:12" ht="23.25" x14ac:dyDescent="0.25">
      <c r="A721" s="22">
        <f t="shared" si="34"/>
        <v>659</v>
      </c>
      <c r="B721" s="22" t="s">
        <v>1390</v>
      </c>
      <c r="C721" s="372" t="s">
        <v>656</v>
      </c>
      <c r="D721" s="22">
        <v>20</v>
      </c>
      <c r="E721" s="22"/>
      <c r="F721" s="22"/>
      <c r="G721" s="22"/>
      <c r="H721" s="22"/>
      <c r="I721" s="177"/>
      <c r="J721" s="177"/>
      <c r="K721" s="177"/>
      <c r="L721" s="22">
        <f t="shared" si="35"/>
        <v>20</v>
      </c>
    </row>
    <row r="722" spans="1:12" ht="23.25" x14ac:dyDescent="0.25">
      <c r="A722" s="22">
        <f t="shared" si="34"/>
        <v>660</v>
      </c>
      <c r="B722" s="22" t="s">
        <v>1391</v>
      </c>
      <c r="C722" s="372">
        <v>500</v>
      </c>
      <c r="D722" s="22">
        <v>1</v>
      </c>
      <c r="E722" s="22"/>
      <c r="F722" s="22"/>
      <c r="G722" s="22"/>
      <c r="H722" s="22"/>
      <c r="I722" s="177"/>
      <c r="J722" s="177"/>
      <c r="K722" s="177"/>
      <c r="L722" s="22">
        <f t="shared" si="35"/>
        <v>1</v>
      </c>
    </row>
    <row r="723" spans="1:12" ht="23.25" x14ac:dyDescent="0.25">
      <c r="A723" s="22">
        <f t="shared" si="34"/>
        <v>661</v>
      </c>
      <c r="B723" s="22" t="s">
        <v>1214</v>
      </c>
      <c r="C723" s="372" t="s">
        <v>656</v>
      </c>
      <c r="D723" s="22">
        <v>20</v>
      </c>
      <c r="E723" s="22"/>
      <c r="F723" s="22"/>
      <c r="G723" s="22"/>
      <c r="H723" s="22"/>
      <c r="I723" s="177"/>
      <c r="J723" s="177"/>
      <c r="K723" s="177"/>
      <c r="L723" s="22">
        <f t="shared" si="35"/>
        <v>20</v>
      </c>
    </row>
    <row r="724" spans="1:12" ht="23.25" x14ac:dyDescent="0.25">
      <c r="A724" s="22">
        <f t="shared" si="34"/>
        <v>662</v>
      </c>
      <c r="B724" s="22" t="s">
        <v>1392</v>
      </c>
      <c r="C724" s="372" t="s">
        <v>656</v>
      </c>
      <c r="D724" s="22">
        <v>20</v>
      </c>
      <c r="E724" s="22"/>
      <c r="F724" s="22"/>
      <c r="G724" s="22"/>
      <c r="H724" s="22"/>
      <c r="I724" s="177"/>
      <c r="J724" s="177"/>
      <c r="K724" s="177"/>
      <c r="L724" s="22">
        <f t="shared" si="35"/>
        <v>20</v>
      </c>
    </row>
    <row r="725" spans="1:12" ht="23.25" x14ac:dyDescent="0.25">
      <c r="A725" s="22">
        <f t="shared" si="34"/>
        <v>663</v>
      </c>
      <c r="B725" s="22" t="s">
        <v>1393</v>
      </c>
      <c r="C725" s="372" t="s">
        <v>656</v>
      </c>
      <c r="D725" s="22">
        <v>200</v>
      </c>
      <c r="E725" s="22"/>
      <c r="F725" s="22"/>
      <c r="G725" s="22"/>
      <c r="H725" s="22"/>
      <c r="I725" s="177"/>
      <c r="J725" s="177"/>
      <c r="K725" s="177"/>
      <c r="L725" s="22">
        <f t="shared" si="35"/>
        <v>200</v>
      </c>
    </row>
    <row r="726" spans="1:12" ht="23.25" x14ac:dyDescent="0.25">
      <c r="A726" s="22">
        <f t="shared" si="34"/>
        <v>664</v>
      </c>
      <c r="B726" s="22" t="s">
        <v>1394</v>
      </c>
      <c r="C726" s="372" t="s">
        <v>656</v>
      </c>
      <c r="D726" s="22">
        <v>20</v>
      </c>
      <c r="E726" s="22"/>
      <c r="F726" s="22"/>
      <c r="G726" s="22"/>
      <c r="H726" s="22"/>
      <c r="I726" s="177"/>
      <c r="J726" s="177"/>
      <c r="K726" s="177"/>
      <c r="L726" s="22">
        <f t="shared" si="35"/>
        <v>20</v>
      </c>
    </row>
    <row r="727" spans="1:12" ht="23.25" x14ac:dyDescent="0.25">
      <c r="A727" s="22">
        <f t="shared" si="34"/>
        <v>665</v>
      </c>
      <c r="B727" s="22" t="s">
        <v>1395</v>
      </c>
      <c r="C727" s="372" t="s">
        <v>656</v>
      </c>
      <c r="D727" s="22">
        <v>40</v>
      </c>
      <c r="E727" s="22"/>
      <c r="F727" s="22"/>
      <c r="G727" s="22"/>
      <c r="H727" s="22"/>
      <c r="I727" s="177"/>
      <c r="J727" s="177"/>
      <c r="K727" s="177"/>
      <c r="L727" s="22">
        <f t="shared" si="35"/>
        <v>40</v>
      </c>
    </row>
    <row r="728" spans="1:12" ht="23.25" x14ac:dyDescent="0.25">
      <c r="A728" s="22">
        <f t="shared" si="34"/>
        <v>666</v>
      </c>
      <c r="B728" s="22" t="s">
        <v>1396</v>
      </c>
      <c r="C728" s="372" t="s">
        <v>333</v>
      </c>
      <c r="D728" s="22">
        <v>20</v>
      </c>
      <c r="E728" s="22"/>
      <c r="F728" s="22"/>
      <c r="G728" s="22"/>
      <c r="H728" s="22"/>
      <c r="I728" s="177"/>
      <c r="J728" s="177"/>
      <c r="K728" s="177"/>
      <c r="L728" s="22">
        <f t="shared" si="35"/>
        <v>20</v>
      </c>
    </row>
    <row r="729" spans="1:12" ht="23.25" x14ac:dyDescent="0.25">
      <c r="A729" s="22">
        <f t="shared" si="34"/>
        <v>667</v>
      </c>
      <c r="B729" s="22" t="s">
        <v>1397</v>
      </c>
      <c r="C729" s="372" t="s">
        <v>333</v>
      </c>
      <c r="D729" s="22">
        <v>20</v>
      </c>
      <c r="E729" s="22"/>
      <c r="F729" s="22"/>
      <c r="G729" s="22"/>
      <c r="H729" s="22"/>
      <c r="I729" s="177"/>
      <c r="J729" s="177"/>
      <c r="K729" s="177"/>
      <c r="L729" s="22">
        <f t="shared" si="35"/>
        <v>20</v>
      </c>
    </row>
    <row r="730" spans="1:12" ht="23.25" x14ac:dyDescent="0.25">
      <c r="A730" s="22">
        <f t="shared" si="34"/>
        <v>668</v>
      </c>
      <c r="B730" s="22" t="s">
        <v>1398</v>
      </c>
      <c r="C730" s="372" t="s">
        <v>656</v>
      </c>
      <c r="D730" s="22">
        <v>20</v>
      </c>
      <c r="E730" s="22"/>
      <c r="F730" s="22"/>
      <c r="G730" s="22"/>
      <c r="H730" s="22"/>
      <c r="I730" s="177"/>
      <c r="J730" s="177"/>
      <c r="K730" s="177"/>
      <c r="L730" s="22">
        <f t="shared" si="35"/>
        <v>20</v>
      </c>
    </row>
    <row r="731" spans="1:12" ht="23.25" x14ac:dyDescent="0.25">
      <c r="A731" s="22"/>
      <c r="B731" s="22"/>
      <c r="C731" s="372"/>
      <c r="D731" s="22"/>
      <c r="E731" s="22"/>
      <c r="F731" s="22"/>
      <c r="G731" s="22"/>
      <c r="H731" s="22"/>
      <c r="I731" s="177"/>
      <c r="J731" s="177"/>
      <c r="K731" s="177"/>
      <c r="L731" s="22">
        <f t="shared" si="35"/>
        <v>0</v>
      </c>
    </row>
    <row r="732" spans="1:12" ht="23.25" x14ac:dyDescent="0.25">
      <c r="A732" s="22"/>
      <c r="B732" s="22"/>
      <c r="C732" s="372"/>
      <c r="D732" s="22"/>
      <c r="E732" s="22"/>
      <c r="F732" s="22"/>
      <c r="G732" s="22"/>
      <c r="H732" s="22"/>
      <c r="I732" s="177"/>
      <c r="J732" s="177"/>
      <c r="K732" s="177"/>
      <c r="L732" s="22">
        <f t="shared" si="35"/>
        <v>0</v>
      </c>
    </row>
    <row r="733" spans="1:12" ht="23.25" x14ac:dyDescent="0.25">
      <c r="A733" s="22"/>
      <c r="B733" s="13" t="s">
        <v>379</v>
      </c>
      <c r="C733" s="372"/>
      <c r="D733" s="22"/>
      <c r="E733" s="22"/>
      <c r="F733" s="22"/>
      <c r="G733" s="22"/>
      <c r="H733" s="22"/>
      <c r="I733" s="177"/>
      <c r="J733" s="177"/>
      <c r="K733" s="177"/>
      <c r="L733" s="22">
        <f t="shared" si="35"/>
        <v>0</v>
      </c>
    </row>
    <row r="734" spans="1:12" ht="23.25" x14ac:dyDescent="0.25">
      <c r="A734" s="22">
        <f>A730+1</f>
        <v>669</v>
      </c>
      <c r="B734" s="22" t="s">
        <v>380</v>
      </c>
      <c r="C734" s="372" t="s">
        <v>381</v>
      </c>
      <c r="D734" s="22">
        <v>4</v>
      </c>
      <c r="E734" s="22"/>
      <c r="F734" s="22"/>
      <c r="G734" s="22"/>
      <c r="H734" s="22"/>
      <c r="I734" s="177"/>
      <c r="J734" s="177"/>
      <c r="K734" s="177"/>
      <c r="L734" s="22">
        <f t="shared" si="35"/>
        <v>4</v>
      </c>
    </row>
    <row r="735" spans="1:12" ht="23.25" x14ac:dyDescent="0.25">
      <c r="A735" s="22">
        <f t="shared" ref="A735:A748" si="36">A734+1</f>
        <v>670</v>
      </c>
      <c r="B735" s="22" t="s">
        <v>2064</v>
      </c>
      <c r="C735" s="372" t="s">
        <v>1424</v>
      </c>
      <c r="D735" s="22"/>
      <c r="E735" s="22"/>
      <c r="F735" s="22"/>
      <c r="G735" s="22"/>
      <c r="H735" s="22"/>
      <c r="I735" s="177"/>
      <c r="J735" s="177"/>
      <c r="K735" s="177">
        <f>16*8</f>
        <v>128</v>
      </c>
      <c r="L735" s="22">
        <f t="shared" si="35"/>
        <v>128</v>
      </c>
    </row>
    <row r="736" spans="1:12" ht="23.25" x14ac:dyDescent="0.25">
      <c r="A736" s="22">
        <f t="shared" si="36"/>
        <v>671</v>
      </c>
      <c r="B736" s="22" t="s">
        <v>2065</v>
      </c>
      <c r="C736" s="372" t="s">
        <v>383</v>
      </c>
      <c r="D736" s="22">
        <v>4</v>
      </c>
      <c r="E736" s="22"/>
      <c r="F736" s="22"/>
      <c r="G736" s="22"/>
      <c r="H736" s="22"/>
      <c r="I736" s="177"/>
      <c r="J736" s="177"/>
      <c r="K736" s="177">
        <v>25</v>
      </c>
      <c r="L736" s="22">
        <f t="shared" si="35"/>
        <v>29</v>
      </c>
    </row>
    <row r="737" spans="1:12" ht="23.25" x14ac:dyDescent="0.25">
      <c r="A737" s="22">
        <f t="shared" si="36"/>
        <v>672</v>
      </c>
      <c r="B737" s="22" t="s">
        <v>2066</v>
      </c>
      <c r="C737" s="372" t="s">
        <v>144</v>
      </c>
      <c r="D737" s="22">
        <v>2000</v>
      </c>
      <c r="E737" s="22"/>
      <c r="F737" s="22"/>
      <c r="G737" s="22"/>
      <c r="H737" s="22"/>
      <c r="I737" s="177"/>
      <c r="J737" s="177"/>
      <c r="K737" s="177"/>
      <c r="L737" s="22">
        <f t="shared" si="35"/>
        <v>2000</v>
      </c>
    </row>
    <row r="738" spans="1:12" ht="23.25" x14ac:dyDescent="0.25">
      <c r="A738" s="22">
        <f t="shared" si="36"/>
        <v>673</v>
      </c>
      <c r="B738" s="22" t="s">
        <v>385</v>
      </c>
      <c r="C738" s="372">
        <v>1</v>
      </c>
      <c r="D738" s="22">
        <v>4</v>
      </c>
      <c r="E738" s="22"/>
      <c r="F738" s="22"/>
      <c r="G738" s="22"/>
      <c r="H738" s="22"/>
      <c r="I738" s="177"/>
      <c r="J738" s="177">
        <v>5</v>
      </c>
      <c r="K738" s="177">
        <v>50</v>
      </c>
      <c r="L738" s="22">
        <f t="shared" si="35"/>
        <v>59</v>
      </c>
    </row>
    <row r="739" spans="1:12" ht="23.25" x14ac:dyDescent="0.25">
      <c r="A739" s="22">
        <f t="shared" si="36"/>
        <v>674</v>
      </c>
      <c r="B739" s="22" t="s">
        <v>1435</v>
      </c>
      <c r="C739" s="372" t="s">
        <v>1436</v>
      </c>
      <c r="D739" s="22"/>
      <c r="E739" s="22"/>
      <c r="F739" s="22"/>
      <c r="G739" s="22"/>
      <c r="H739" s="22"/>
      <c r="I739" s="177"/>
      <c r="J739" s="177"/>
      <c r="K739" s="177"/>
      <c r="L739" s="22"/>
    </row>
    <row r="740" spans="1:12" ht="23.25" x14ac:dyDescent="0.25">
      <c r="A740" s="22">
        <f t="shared" si="36"/>
        <v>675</v>
      </c>
      <c r="B740" s="22" t="s">
        <v>386</v>
      </c>
      <c r="C740" s="372" t="s">
        <v>144</v>
      </c>
      <c r="D740" s="22">
        <v>1000</v>
      </c>
      <c r="E740" s="22"/>
      <c r="F740" s="22"/>
      <c r="G740" s="22"/>
      <c r="H740" s="22"/>
      <c r="I740" s="177"/>
      <c r="J740" s="177"/>
      <c r="K740" s="177"/>
      <c r="L740" s="22">
        <f t="shared" si="35"/>
        <v>1000</v>
      </c>
    </row>
    <row r="741" spans="1:12" ht="23.25" x14ac:dyDescent="0.25">
      <c r="A741" s="22">
        <f t="shared" si="36"/>
        <v>676</v>
      </c>
      <c r="B741" s="22" t="s">
        <v>1428</v>
      </c>
      <c r="C741" s="372"/>
      <c r="D741" s="22"/>
      <c r="E741" s="22"/>
      <c r="F741" s="22"/>
      <c r="G741" s="22"/>
      <c r="H741" s="22"/>
      <c r="I741" s="177"/>
      <c r="J741" s="177">
        <v>200</v>
      </c>
      <c r="K741" s="177"/>
      <c r="L741" s="22">
        <f t="shared" si="35"/>
        <v>200</v>
      </c>
    </row>
    <row r="742" spans="1:12" ht="23.25" x14ac:dyDescent="0.25">
      <c r="A742" s="22">
        <f t="shared" si="36"/>
        <v>677</v>
      </c>
      <c r="B742" s="22" t="s">
        <v>1434</v>
      </c>
      <c r="C742" s="372" t="s">
        <v>1436</v>
      </c>
      <c r="D742" s="22"/>
      <c r="E742" s="22"/>
      <c r="F742" s="22">
        <v>5</v>
      </c>
      <c r="G742" s="22"/>
      <c r="H742" s="22"/>
      <c r="I742" s="177"/>
      <c r="J742" s="177"/>
      <c r="K742" s="177"/>
      <c r="L742" s="22">
        <f t="shared" si="35"/>
        <v>5</v>
      </c>
    </row>
    <row r="743" spans="1:12" ht="23.25" x14ac:dyDescent="0.25">
      <c r="A743" s="22">
        <f t="shared" si="36"/>
        <v>678</v>
      </c>
      <c r="B743" s="22" t="s">
        <v>497</v>
      </c>
      <c r="C743" s="372" t="s">
        <v>144</v>
      </c>
      <c r="D743" s="22">
        <v>15000</v>
      </c>
      <c r="E743" s="22"/>
      <c r="F743" s="22"/>
      <c r="G743" s="22"/>
      <c r="H743" s="22"/>
      <c r="I743" s="177"/>
      <c r="J743" s="177"/>
      <c r="K743" s="177"/>
      <c r="L743" s="22">
        <f t="shared" si="35"/>
        <v>15000</v>
      </c>
    </row>
    <row r="744" spans="1:12" ht="23.25" x14ac:dyDescent="0.25">
      <c r="A744" s="22">
        <f t="shared" si="36"/>
        <v>679</v>
      </c>
      <c r="B744" s="22" t="s">
        <v>498</v>
      </c>
      <c r="C744" s="372">
        <v>1</v>
      </c>
      <c r="D744" s="22">
        <v>4</v>
      </c>
      <c r="E744" s="22">
        <v>24</v>
      </c>
      <c r="F744" s="22"/>
      <c r="G744" s="22">
        <v>40</v>
      </c>
      <c r="H744" s="22">
        <v>18</v>
      </c>
      <c r="I744" s="177"/>
      <c r="J744" s="177">
        <v>24</v>
      </c>
      <c r="K744" s="177">
        <v>320</v>
      </c>
      <c r="L744" s="22">
        <f t="shared" si="35"/>
        <v>430</v>
      </c>
    </row>
    <row r="745" spans="1:12" ht="23.25" x14ac:dyDescent="0.25">
      <c r="A745" s="22">
        <f t="shared" si="36"/>
        <v>680</v>
      </c>
      <c r="B745" s="22" t="s">
        <v>1429</v>
      </c>
      <c r="C745" s="372" t="s">
        <v>1436</v>
      </c>
      <c r="D745" s="22"/>
      <c r="E745" s="22"/>
      <c r="F745" s="22">
        <v>12</v>
      </c>
      <c r="G745" s="22"/>
      <c r="H745" s="22"/>
      <c r="I745" s="177"/>
      <c r="J745" s="177"/>
      <c r="K745" s="177"/>
      <c r="L745" s="22">
        <f t="shared" si="35"/>
        <v>12</v>
      </c>
    </row>
    <row r="746" spans="1:12" ht="23.25" x14ac:dyDescent="0.25">
      <c r="A746" s="22">
        <f t="shared" si="36"/>
        <v>681</v>
      </c>
      <c r="B746" s="22" t="s">
        <v>1399</v>
      </c>
      <c r="C746" s="372" t="s">
        <v>144</v>
      </c>
      <c r="D746" s="22">
        <v>500</v>
      </c>
      <c r="E746" s="22"/>
      <c r="F746" s="22"/>
      <c r="G746" s="22"/>
      <c r="H746" s="22"/>
      <c r="I746" s="177"/>
      <c r="J746" s="177"/>
      <c r="K746" s="177"/>
      <c r="L746" s="22">
        <f t="shared" si="35"/>
        <v>500</v>
      </c>
    </row>
    <row r="747" spans="1:12" ht="23.25" x14ac:dyDescent="0.25">
      <c r="A747" s="22">
        <f t="shared" si="36"/>
        <v>682</v>
      </c>
      <c r="B747" s="22" t="s">
        <v>1400</v>
      </c>
      <c r="C747" s="372" t="s">
        <v>144</v>
      </c>
      <c r="D747" s="22">
        <v>200</v>
      </c>
      <c r="E747" s="22"/>
      <c r="F747" s="22"/>
      <c r="G747" s="22"/>
      <c r="H747" s="22"/>
      <c r="I747" s="177"/>
      <c r="J747" s="177"/>
      <c r="K747" s="177"/>
      <c r="L747" s="22">
        <f t="shared" si="35"/>
        <v>200</v>
      </c>
    </row>
    <row r="748" spans="1:12" ht="23.25" x14ac:dyDescent="0.25">
      <c r="A748" s="22">
        <f t="shared" si="36"/>
        <v>683</v>
      </c>
      <c r="B748" s="22" t="s">
        <v>388</v>
      </c>
      <c r="C748" s="372">
        <v>12</v>
      </c>
      <c r="D748" s="22">
        <v>800</v>
      </c>
      <c r="E748" s="22">
        <v>6</v>
      </c>
      <c r="F748" s="22"/>
      <c r="G748" s="22">
        <v>40</v>
      </c>
      <c r="H748" s="22">
        <v>4</v>
      </c>
      <c r="I748" s="177">
        <v>2</v>
      </c>
      <c r="J748" s="177">
        <v>4</v>
      </c>
      <c r="K748" s="177">
        <v>50</v>
      </c>
      <c r="L748" s="22">
        <f t="shared" si="35"/>
        <v>906</v>
      </c>
    </row>
    <row r="749" spans="1:12" ht="23.25" x14ac:dyDescent="0.25">
      <c r="A749" s="22"/>
      <c r="B749" s="22"/>
      <c r="C749" s="372"/>
      <c r="D749" s="22"/>
      <c r="E749" s="22"/>
      <c r="F749" s="22"/>
      <c r="G749" s="22"/>
      <c r="H749" s="22"/>
      <c r="I749" s="177"/>
      <c r="J749" s="177"/>
      <c r="K749" s="177"/>
      <c r="L749" s="22">
        <f t="shared" si="35"/>
        <v>0</v>
      </c>
    </row>
    <row r="750" spans="1:12" ht="23.25" x14ac:dyDescent="0.25">
      <c r="A750" s="22"/>
      <c r="B750" s="22" t="s">
        <v>389</v>
      </c>
      <c r="C750" s="372"/>
      <c r="D750" s="22"/>
      <c r="E750" s="22"/>
      <c r="F750" s="22"/>
      <c r="G750" s="22"/>
      <c r="H750" s="22"/>
      <c r="I750" s="177"/>
      <c r="J750" s="177"/>
      <c r="K750" s="177"/>
      <c r="L750" s="22">
        <f t="shared" si="35"/>
        <v>0</v>
      </c>
    </row>
    <row r="751" spans="1:12" ht="23.25" x14ac:dyDescent="0.25">
      <c r="A751" s="22">
        <f>1+A748</f>
        <v>684</v>
      </c>
      <c r="B751" s="22" t="s">
        <v>678</v>
      </c>
      <c r="C751" s="372">
        <v>2</v>
      </c>
      <c r="D751" s="22">
        <v>10</v>
      </c>
      <c r="E751" s="22"/>
      <c r="F751" s="22"/>
      <c r="G751" s="22"/>
      <c r="H751" s="22"/>
      <c r="I751" s="177"/>
      <c r="J751" s="177"/>
      <c r="K751" s="177"/>
      <c r="L751" s="22">
        <f t="shared" si="35"/>
        <v>10</v>
      </c>
    </row>
    <row r="752" spans="1:12" ht="23.25" x14ac:dyDescent="0.25">
      <c r="A752" s="22">
        <f t="shared" ref="A752:A768" si="37">A751+1</f>
        <v>685</v>
      </c>
      <c r="B752" s="22" t="s">
        <v>392</v>
      </c>
      <c r="C752" s="372">
        <v>12</v>
      </c>
      <c r="D752" s="22">
        <v>12</v>
      </c>
      <c r="E752" s="22"/>
      <c r="F752" s="22"/>
      <c r="G752" s="22"/>
      <c r="H752" s="22"/>
      <c r="I752" s="177"/>
      <c r="J752" s="177"/>
      <c r="K752" s="177"/>
      <c r="L752" s="22">
        <f t="shared" si="35"/>
        <v>12</v>
      </c>
    </row>
    <row r="753" spans="1:12" ht="23.25" x14ac:dyDescent="0.25">
      <c r="A753" s="22">
        <f t="shared" si="37"/>
        <v>686</v>
      </c>
      <c r="B753" s="22" t="s">
        <v>393</v>
      </c>
      <c r="C753" s="372">
        <v>10</v>
      </c>
      <c r="D753" s="22">
        <v>160</v>
      </c>
      <c r="E753" s="22"/>
      <c r="F753" s="22"/>
      <c r="G753" s="22"/>
      <c r="H753" s="22"/>
      <c r="I753" s="177"/>
      <c r="J753" s="177"/>
      <c r="K753" s="177"/>
      <c r="L753" s="22">
        <f t="shared" si="35"/>
        <v>160</v>
      </c>
    </row>
    <row r="754" spans="1:12" ht="23.25" x14ac:dyDescent="0.25">
      <c r="A754" s="22">
        <f t="shared" si="37"/>
        <v>687</v>
      </c>
      <c r="B754" s="22" t="s">
        <v>763</v>
      </c>
      <c r="C754" s="372">
        <v>100</v>
      </c>
      <c r="D754" s="22">
        <v>256</v>
      </c>
      <c r="E754" s="22"/>
      <c r="F754" s="22"/>
      <c r="G754" s="22"/>
      <c r="H754" s="22"/>
      <c r="I754" s="177"/>
      <c r="J754" s="177"/>
      <c r="K754" s="177"/>
      <c r="L754" s="22">
        <f t="shared" si="35"/>
        <v>256</v>
      </c>
    </row>
    <row r="755" spans="1:12" ht="23.25" x14ac:dyDescent="0.25">
      <c r="A755" s="22">
        <f t="shared" si="37"/>
        <v>688</v>
      </c>
      <c r="B755" s="22" t="s">
        <v>394</v>
      </c>
      <c r="C755" s="372" t="s">
        <v>656</v>
      </c>
      <c r="D755" s="22">
        <v>52</v>
      </c>
      <c r="E755" s="22"/>
      <c r="F755" s="22"/>
      <c r="G755" s="22"/>
      <c r="H755" s="22"/>
      <c r="I755" s="177"/>
      <c r="J755" s="177"/>
      <c r="K755" s="177"/>
      <c r="L755" s="22">
        <f t="shared" si="35"/>
        <v>52</v>
      </c>
    </row>
    <row r="756" spans="1:12" ht="23.25" x14ac:dyDescent="0.25">
      <c r="A756" s="22">
        <f t="shared" si="37"/>
        <v>689</v>
      </c>
      <c r="B756" s="22" t="s">
        <v>395</v>
      </c>
      <c r="C756" s="372" t="s">
        <v>656</v>
      </c>
      <c r="D756" s="22">
        <v>20</v>
      </c>
      <c r="E756" s="22"/>
      <c r="F756" s="22"/>
      <c r="G756" s="22"/>
      <c r="H756" s="22"/>
      <c r="I756" s="177"/>
      <c r="J756" s="177"/>
      <c r="K756" s="177"/>
      <c r="L756" s="22">
        <f t="shared" si="35"/>
        <v>20</v>
      </c>
    </row>
    <row r="757" spans="1:12" ht="23.25" x14ac:dyDescent="0.25">
      <c r="A757" s="22">
        <f t="shared" si="37"/>
        <v>690</v>
      </c>
      <c r="B757" s="22" t="s">
        <v>397</v>
      </c>
      <c r="C757" s="372" t="s">
        <v>212</v>
      </c>
      <c r="D757" s="22">
        <v>20</v>
      </c>
      <c r="E757" s="22"/>
      <c r="F757" s="22"/>
      <c r="G757" s="22"/>
      <c r="H757" s="22"/>
      <c r="I757" s="177"/>
      <c r="J757" s="177"/>
      <c r="K757" s="177"/>
      <c r="L757" s="22">
        <f t="shared" si="35"/>
        <v>20</v>
      </c>
    </row>
    <row r="758" spans="1:12" ht="23.25" x14ac:dyDescent="0.25">
      <c r="A758" s="22">
        <f t="shared" si="37"/>
        <v>691</v>
      </c>
      <c r="B758" s="22" t="s">
        <v>682</v>
      </c>
      <c r="C758" s="372">
        <v>30</v>
      </c>
      <c r="D758" s="22">
        <v>20</v>
      </c>
      <c r="E758" s="22"/>
      <c r="F758" s="22"/>
      <c r="G758" s="22"/>
      <c r="H758" s="22"/>
      <c r="I758" s="177"/>
      <c r="J758" s="177"/>
      <c r="K758" s="177"/>
      <c r="L758" s="22">
        <f t="shared" si="35"/>
        <v>20</v>
      </c>
    </row>
    <row r="759" spans="1:12" ht="23.25" x14ac:dyDescent="0.25">
      <c r="A759" s="22">
        <f t="shared" si="37"/>
        <v>692</v>
      </c>
      <c r="B759" s="22" t="s">
        <v>396</v>
      </c>
      <c r="C759" s="372" t="s">
        <v>144</v>
      </c>
      <c r="D759" s="22">
        <f>40*13</f>
        <v>520</v>
      </c>
      <c r="E759" s="22"/>
      <c r="F759" s="22"/>
      <c r="G759" s="22"/>
      <c r="H759" s="22"/>
      <c r="I759" s="177"/>
      <c r="J759" s="177"/>
      <c r="K759" s="177"/>
      <c r="L759" s="22">
        <f t="shared" si="35"/>
        <v>520</v>
      </c>
    </row>
    <row r="760" spans="1:12" ht="23.25" x14ac:dyDescent="0.25">
      <c r="A760" s="22">
        <f t="shared" si="37"/>
        <v>693</v>
      </c>
      <c r="B760" s="22" t="s">
        <v>401</v>
      </c>
      <c r="C760" s="372" t="s">
        <v>656</v>
      </c>
      <c r="D760" s="22">
        <v>200</v>
      </c>
      <c r="E760" s="22"/>
      <c r="F760" s="22"/>
      <c r="G760" s="22"/>
      <c r="H760" s="22"/>
      <c r="I760" s="177"/>
      <c r="J760" s="177"/>
      <c r="K760" s="177"/>
      <c r="L760" s="22">
        <f t="shared" si="35"/>
        <v>200</v>
      </c>
    </row>
    <row r="761" spans="1:12" ht="23.25" x14ac:dyDescent="0.25">
      <c r="A761" s="22">
        <f t="shared" si="37"/>
        <v>694</v>
      </c>
      <c r="B761" s="22" t="s">
        <v>1401</v>
      </c>
      <c r="C761" s="372" t="s">
        <v>57</v>
      </c>
      <c r="D761" s="22">
        <v>12</v>
      </c>
      <c r="E761" s="22"/>
      <c r="F761" s="22"/>
      <c r="G761" s="22"/>
      <c r="H761" s="22"/>
      <c r="I761" s="177"/>
      <c r="J761" s="177"/>
      <c r="K761" s="177"/>
      <c r="L761" s="22">
        <f t="shared" si="35"/>
        <v>12</v>
      </c>
    </row>
    <row r="762" spans="1:12" ht="23.25" x14ac:dyDescent="0.25">
      <c r="A762" s="22">
        <f t="shared" si="37"/>
        <v>695</v>
      </c>
      <c r="B762" s="22" t="s">
        <v>404</v>
      </c>
      <c r="C762" s="372" t="s">
        <v>144</v>
      </c>
      <c r="D762" s="22">
        <v>600</v>
      </c>
      <c r="E762" s="22"/>
      <c r="F762" s="22"/>
      <c r="G762" s="22"/>
      <c r="H762" s="22"/>
      <c r="I762" s="177"/>
      <c r="J762" s="177"/>
      <c r="K762" s="177"/>
      <c r="L762" s="22">
        <f t="shared" si="35"/>
        <v>600</v>
      </c>
    </row>
    <row r="763" spans="1:12" ht="23.25" x14ac:dyDescent="0.25">
      <c r="A763" s="22">
        <f t="shared" si="37"/>
        <v>696</v>
      </c>
      <c r="B763" s="22" t="s">
        <v>698</v>
      </c>
      <c r="C763" s="372">
        <v>10</v>
      </c>
      <c r="D763" s="22">
        <v>10</v>
      </c>
      <c r="E763" s="22"/>
      <c r="F763" s="22"/>
      <c r="G763" s="22"/>
      <c r="H763" s="22"/>
      <c r="I763" s="177"/>
      <c r="J763" s="177"/>
      <c r="K763" s="177"/>
      <c r="L763" s="22">
        <f t="shared" si="35"/>
        <v>10</v>
      </c>
    </row>
    <row r="764" spans="1:12" ht="23.25" x14ac:dyDescent="0.25">
      <c r="A764" s="22">
        <f t="shared" si="37"/>
        <v>697</v>
      </c>
      <c r="B764" s="22" t="s">
        <v>405</v>
      </c>
      <c r="C764" s="372">
        <v>10</v>
      </c>
      <c r="D764" s="22">
        <v>10</v>
      </c>
      <c r="E764" s="22"/>
      <c r="F764" s="22"/>
      <c r="G764" s="22"/>
      <c r="H764" s="22"/>
      <c r="I764" s="177"/>
      <c r="J764" s="177"/>
      <c r="K764" s="177"/>
      <c r="L764" s="22">
        <f t="shared" si="35"/>
        <v>10</v>
      </c>
    </row>
    <row r="765" spans="1:12" ht="23.25" x14ac:dyDescent="0.25">
      <c r="A765" s="22">
        <f t="shared" si="37"/>
        <v>698</v>
      </c>
      <c r="B765" s="22" t="s">
        <v>1402</v>
      </c>
      <c r="C765" s="372">
        <v>10</v>
      </c>
      <c r="D765" s="22">
        <v>100</v>
      </c>
      <c r="E765" s="22"/>
      <c r="F765" s="22"/>
      <c r="G765" s="22"/>
      <c r="H765" s="22"/>
      <c r="I765" s="177"/>
      <c r="J765" s="177"/>
      <c r="K765" s="177"/>
      <c r="L765" s="22">
        <f t="shared" si="35"/>
        <v>100</v>
      </c>
    </row>
    <row r="766" spans="1:12" ht="23.25" x14ac:dyDescent="0.25">
      <c r="A766" s="22">
        <f t="shared" si="37"/>
        <v>699</v>
      </c>
      <c r="B766" s="22" t="s">
        <v>1403</v>
      </c>
      <c r="C766" s="372" t="s">
        <v>144</v>
      </c>
      <c r="D766" s="22">
        <v>20</v>
      </c>
      <c r="E766" s="22"/>
      <c r="F766" s="22"/>
      <c r="G766" s="22"/>
      <c r="H766" s="22"/>
      <c r="I766" s="177"/>
      <c r="J766" s="177"/>
      <c r="K766" s="177"/>
      <c r="L766" s="22">
        <f t="shared" si="35"/>
        <v>20</v>
      </c>
    </row>
    <row r="767" spans="1:12" ht="23.25" x14ac:dyDescent="0.25">
      <c r="A767" s="22">
        <f t="shared" si="37"/>
        <v>700</v>
      </c>
      <c r="B767" s="22" t="s">
        <v>1404</v>
      </c>
      <c r="C767" s="372">
        <v>20</v>
      </c>
      <c r="D767" s="22">
        <v>750</v>
      </c>
      <c r="E767" s="22"/>
      <c r="F767" s="22"/>
      <c r="G767" s="22"/>
      <c r="H767" s="22"/>
      <c r="I767" s="177"/>
      <c r="J767" s="177"/>
      <c r="K767" s="177"/>
      <c r="L767" s="22">
        <f t="shared" si="35"/>
        <v>750</v>
      </c>
    </row>
    <row r="768" spans="1:12" ht="23.25" x14ac:dyDescent="0.25">
      <c r="A768" s="22">
        <f t="shared" si="37"/>
        <v>701</v>
      </c>
      <c r="B768" s="22" t="s">
        <v>685</v>
      </c>
      <c r="C768" s="372">
        <v>10</v>
      </c>
      <c r="D768" s="22">
        <v>60</v>
      </c>
      <c r="E768" s="22"/>
      <c r="F768" s="22"/>
      <c r="G768" s="22"/>
      <c r="H768" s="22"/>
      <c r="I768" s="177"/>
      <c r="J768" s="177"/>
      <c r="K768" s="177"/>
      <c r="L768" s="22">
        <f t="shared" si="35"/>
        <v>60</v>
      </c>
    </row>
    <row r="769" spans="1:12" ht="23.25" x14ac:dyDescent="0.25">
      <c r="A769" s="22"/>
      <c r="B769" s="22"/>
      <c r="C769" s="372"/>
      <c r="D769" s="22"/>
      <c r="E769" s="22"/>
      <c r="F769" s="22"/>
      <c r="G769" s="22"/>
      <c r="H769" s="22"/>
      <c r="I769" s="177"/>
      <c r="J769" s="177"/>
      <c r="K769" s="177"/>
      <c r="L769" s="22">
        <f t="shared" si="35"/>
        <v>0</v>
      </c>
    </row>
    <row r="770" spans="1:12" ht="23.25" x14ac:dyDescent="0.25">
      <c r="A770" s="22"/>
      <c r="B770" s="22" t="s">
        <v>410</v>
      </c>
      <c r="C770" s="372"/>
      <c r="D770" s="22"/>
      <c r="E770" s="22"/>
      <c r="F770" s="22"/>
      <c r="G770" s="22"/>
      <c r="H770" s="22"/>
      <c r="I770" s="177"/>
      <c r="J770" s="177"/>
      <c r="K770" s="177"/>
      <c r="L770" s="22">
        <f t="shared" si="35"/>
        <v>0</v>
      </c>
    </row>
    <row r="771" spans="1:12" ht="23.25" x14ac:dyDescent="0.25">
      <c r="A771" s="22">
        <f>A768+1</f>
        <v>702</v>
      </c>
      <c r="B771" s="22" t="s">
        <v>1405</v>
      </c>
      <c r="C771" s="372">
        <v>12</v>
      </c>
      <c r="D771" s="22">
        <v>20</v>
      </c>
      <c r="E771" s="22"/>
      <c r="F771" s="22"/>
      <c r="G771" s="22"/>
      <c r="H771" s="22"/>
      <c r="I771" s="177"/>
      <c r="J771" s="177"/>
      <c r="K771" s="177"/>
      <c r="L771" s="22">
        <f t="shared" si="35"/>
        <v>20</v>
      </c>
    </row>
    <row r="772" spans="1:12" ht="23.25" x14ac:dyDescent="0.25">
      <c r="A772" s="22">
        <f>A771+1</f>
        <v>703</v>
      </c>
      <c r="B772" s="22" t="s">
        <v>411</v>
      </c>
      <c r="C772" s="372">
        <v>12</v>
      </c>
      <c r="D772" s="22">
        <v>32</v>
      </c>
      <c r="E772" s="22"/>
      <c r="F772" s="22"/>
      <c r="G772" s="22"/>
      <c r="H772" s="22"/>
      <c r="I772" s="177"/>
      <c r="J772" s="177"/>
      <c r="K772" s="177"/>
      <c r="L772" s="22">
        <f t="shared" si="35"/>
        <v>32</v>
      </c>
    </row>
    <row r="773" spans="1:12" ht="23.25" x14ac:dyDescent="0.25">
      <c r="A773" s="22">
        <f t="shared" ref="A773:A777" si="38">A772+1</f>
        <v>704</v>
      </c>
      <c r="B773" s="22" t="s">
        <v>412</v>
      </c>
      <c r="C773" s="372">
        <v>12</v>
      </c>
      <c r="D773" s="22">
        <v>32</v>
      </c>
      <c r="E773" s="22"/>
      <c r="F773" s="22"/>
      <c r="G773" s="22"/>
      <c r="H773" s="22"/>
      <c r="I773" s="177"/>
      <c r="J773" s="177"/>
      <c r="K773" s="177"/>
      <c r="L773" s="22">
        <f t="shared" si="35"/>
        <v>32</v>
      </c>
    </row>
    <row r="774" spans="1:12" ht="23.25" x14ac:dyDescent="0.25">
      <c r="A774" s="22">
        <f t="shared" si="38"/>
        <v>705</v>
      </c>
      <c r="B774" s="22" t="s">
        <v>413</v>
      </c>
      <c r="C774" s="372">
        <v>12</v>
      </c>
      <c r="D774" s="22">
        <v>10</v>
      </c>
      <c r="E774" s="22"/>
      <c r="F774" s="22"/>
      <c r="G774" s="22"/>
      <c r="H774" s="22"/>
      <c r="I774" s="177"/>
      <c r="J774" s="177"/>
      <c r="K774" s="177"/>
      <c r="L774" s="22">
        <f t="shared" si="35"/>
        <v>10</v>
      </c>
    </row>
    <row r="775" spans="1:12" ht="23.25" x14ac:dyDescent="0.25">
      <c r="A775" s="22">
        <f t="shared" si="38"/>
        <v>706</v>
      </c>
      <c r="B775" s="22" t="s">
        <v>414</v>
      </c>
      <c r="C775" s="372">
        <v>12</v>
      </c>
      <c r="D775" s="22">
        <v>32</v>
      </c>
      <c r="E775" s="22"/>
      <c r="F775" s="22"/>
      <c r="G775" s="22"/>
      <c r="H775" s="22"/>
      <c r="I775" s="177"/>
      <c r="J775" s="177"/>
      <c r="K775" s="177"/>
      <c r="L775" s="22">
        <f t="shared" si="35"/>
        <v>32</v>
      </c>
    </row>
    <row r="776" spans="1:12" ht="23.25" x14ac:dyDescent="0.25">
      <c r="A776" s="22">
        <f t="shared" si="38"/>
        <v>707</v>
      </c>
      <c r="B776" s="22" t="s">
        <v>1406</v>
      </c>
      <c r="C776" s="372">
        <v>12</v>
      </c>
      <c r="D776" s="22">
        <v>12</v>
      </c>
      <c r="E776" s="22"/>
      <c r="F776" s="22"/>
      <c r="G776" s="22"/>
      <c r="H776" s="22"/>
      <c r="I776" s="177"/>
      <c r="J776" s="177"/>
      <c r="K776" s="177"/>
      <c r="L776" s="22">
        <f t="shared" si="35"/>
        <v>12</v>
      </c>
    </row>
    <row r="777" spans="1:12" ht="23.25" x14ac:dyDescent="0.25">
      <c r="A777" s="22">
        <f t="shared" si="38"/>
        <v>708</v>
      </c>
      <c r="B777" s="22" t="s">
        <v>499</v>
      </c>
      <c r="C777" s="372">
        <v>12</v>
      </c>
      <c r="D777" s="22">
        <v>10</v>
      </c>
      <c r="E777" s="22"/>
      <c r="F777" s="22"/>
      <c r="G777" s="22"/>
      <c r="H777" s="22"/>
      <c r="I777" s="177"/>
      <c r="J777" s="177"/>
      <c r="K777" s="177"/>
      <c r="L777" s="22">
        <f t="shared" si="35"/>
        <v>10</v>
      </c>
    </row>
    <row r="778" spans="1:12" x14ac:dyDescent="0.25">
      <c r="A778" s="19"/>
      <c r="B778" s="19"/>
      <c r="C778" s="20"/>
      <c r="D778" s="15"/>
      <c r="E778" s="15"/>
      <c r="F778" s="15"/>
      <c r="G778" s="15"/>
      <c r="H778" s="15"/>
      <c r="I778" s="15"/>
      <c r="J778" s="15"/>
      <c r="K778" s="15"/>
      <c r="L778" s="19"/>
    </row>
    <row r="779" spans="1:12" x14ac:dyDescent="0.25">
      <c r="A779" s="19"/>
      <c r="B779" s="19"/>
      <c r="C779" s="20"/>
      <c r="D779" s="15"/>
      <c r="E779" s="15"/>
      <c r="F779" s="15"/>
      <c r="G779" s="15"/>
      <c r="H779" s="15"/>
      <c r="I779" s="15"/>
      <c r="J779" s="15"/>
      <c r="K779" s="15"/>
      <c r="L779" s="19"/>
    </row>
    <row r="780" spans="1:12" x14ac:dyDescent="0.25">
      <c r="A780" s="19"/>
      <c r="B780" s="19"/>
      <c r="C780" s="20"/>
      <c r="D780" s="15"/>
      <c r="E780" s="15"/>
      <c r="F780" s="15"/>
      <c r="G780" s="15"/>
      <c r="H780" s="15"/>
      <c r="I780" s="15"/>
      <c r="J780" s="15"/>
      <c r="K780" s="15"/>
      <c r="L780" s="19"/>
    </row>
    <row r="781" spans="1:12" ht="28.5" x14ac:dyDescent="0.25">
      <c r="A781" s="22" t="s">
        <v>1490</v>
      </c>
      <c r="B781" s="383" t="s">
        <v>1489</v>
      </c>
      <c r="C781" s="20"/>
      <c r="D781" s="15"/>
      <c r="E781" s="15"/>
      <c r="F781" s="15"/>
      <c r="G781" s="15"/>
      <c r="H781" s="15"/>
      <c r="I781" s="15"/>
      <c r="J781" s="15"/>
      <c r="K781" s="15"/>
      <c r="L781" s="19"/>
    </row>
    <row r="782" spans="1:12" ht="23.25" x14ac:dyDescent="0.25">
      <c r="A782" s="22"/>
      <c r="B782" s="19"/>
      <c r="C782" s="20"/>
      <c r="D782" s="15"/>
      <c r="E782" s="15"/>
      <c r="F782" s="15"/>
      <c r="G782" s="15"/>
      <c r="H782" s="15"/>
      <c r="I782" s="15"/>
      <c r="J782" s="15"/>
      <c r="K782" s="15"/>
      <c r="L782" s="19"/>
    </row>
    <row r="783" spans="1:12" ht="23.25" x14ac:dyDescent="0.25">
      <c r="A783" s="22">
        <f>1+A777</f>
        <v>709</v>
      </c>
      <c r="B783" s="22" t="s">
        <v>1503</v>
      </c>
      <c r="C783" s="372">
        <v>12</v>
      </c>
      <c r="D783" s="177"/>
      <c r="E783" s="177"/>
      <c r="F783" s="177"/>
      <c r="G783" s="177"/>
      <c r="H783" s="177"/>
      <c r="I783" s="177"/>
      <c r="J783" s="177"/>
      <c r="K783" s="177"/>
      <c r="L783" s="22">
        <v>84</v>
      </c>
    </row>
    <row r="784" spans="1:12" ht="23.25" x14ac:dyDescent="0.25">
      <c r="A784" s="22">
        <f>1+A783</f>
        <v>710</v>
      </c>
      <c r="B784" s="378" t="s">
        <v>1504</v>
      </c>
      <c r="C784" s="379">
        <v>12</v>
      </c>
      <c r="D784" s="22"/>
      <c r="E784" s="22"/>
      <c r="F784" s="22"/>
      <c r="G784" s="22"/>
      <c r="H784" s="22"/>
      <c r="I784" s="371"/>
      <c r="J784" s="371"/>
      <c r="K784" s="371"/>
      <c r="L784" s="22">
        <v>60</v>
      </c>
    </row>
    <row r="785" spans="1:12" ht="23.25" x14ac:dyDescent="0.25">
      <c r="A785" s="22">
        <f>1+A784</f>
        <v>711</v>
      </c>
      <c r="B785" s="378" t="s">
        <v>1505</v>
      </c>
      <c r="C785" s="379" t="s">
        <v>872</v>
      </c>
      <c r="D785" s="385" t="s">
        <v>1491</v>
      </c>
      <c r="E785" s="22"/>
      <c r="F785" s="22"/>
      <c r="G785" s="22"/>
      <c r="H785" s="22"/>
      <c r="I785" s="371"/>
      <c r="J785" s="371"/>
      <c r="K785" s="371"/>
      <c r="L785" s="22">
        <v>18</v>
      </c>
    </row>
    <row r="786" spans="1:12" ht="23.25" x14ac:dyDescent="0.25">
      <c r="A786" s="22">
        <f t="shared" ref="A786:A787" si="39">1+A785</f>
        <v>712</v>
      </c>
      <c r="B786" s="378" t="s">
        <v>1506</v>
      </c>
      <c r="C786" s="370" t="s">
        <v>872</v>
      </c>
      <c r="D786" s="22"/>
      <c r="E786" s="22"/>
      <c r="F786" s="22"/>
      <c r="G786" s="22"/>
      <c r="H786" s="22"/>
      <c r="I786" s="371"/>
      <c r="J786" s="371"/>
      <c r="K786" s="371"/>
      <c r="L786" s="22">
        <v>12</v>
      </c>
    </row>
    <row r="787" spans="1:12" ht="23.25" x14ac:dyDescent="0.35">
      <c r="A787" s="22">
        <f t="shared" si="39"/>
        <v>713</v>
      </c>
      <c r="B787" s="380" t="s">
        <v>1492</v>
      </c>
      <c r="C787" s="370" t="s">
        <v>1493</v>
      </c>
      <c r="D787" s="22"/>
      <c r="E787" s="22"/>
      <c r="F787" s="22"/>
      <c r="G787" s="22"/>
      <c r="H787" s="22"/>
      <c r="I787" s="371"/>
      <c r="J787" s="371"/>
      <c r="K787" s="371"/>
      <c r="L787" s="22">
        <v>15</v>
      </c>
    </row>
    <row r="788" spans="1:12" ht="23.25" x14ac:dyDescent="0.25">
      <c r="A788" s="22">
        <f t="shared" ref="A788:A795" si="40">1+A787</f>
        <v>714</v>
      </c>
      <c r="B788" s="13" t="s">
        <v>1494</v>
      </c>
      <c r="C788" s="370">
        <v>48</v>
      </c>
      <c r="D788" s="22"/>
      <c r="E788" s="22"/>
      <c r="F788" s="22"/>
      <c r="G788" s="22"/>
      <c r="H788" s="22"/>
      <c r="I788" s="371"/>
      <c r="J788" s="371"/>
      <c r="K788" s="371"/>
      <c r="L788" s="22">
        <v>25</v>
      </c>
    </row>
    <row r="789" spans="1:12" ht="23.25" x14ac:dyDescent="0.25">
      <c r="A789" s="22">
        <f t="shared" si="40"/>
        <v>715</v>
      </c>
      <c r="B789" s="13" t="s">
        <v>1495</v>
      </c>
      <c r="C789" s="370" t="s">
        <v>1496</v>
      </c>
      <c r="D789" s="22"/>
      <c r="E789" s="22"/>
      <c r="F789" s="22"/>
      <c r="G789" s="22"/>
      <c r="H789" s="22"/>
      <c r="I789" s="371"/>
      <c r="J789" s="371"/>
      <c r="K789" s="371"/>
      <c r="L789" s="22">
        <v>10</v>
      </c>
    </row>
    <row r="790" spans="1:12" ht="23.25" x14ac:dyDescent="0.25">
      <c r="A790" s="22">
        <f t="shared" si="40"/>
        <v>716</v>
      </c>
      <c r="B790" s="13" t="s">
        <v>1497</v>
      </c>
      <c r="C790" s="370" t="s">
        <v>1496</v>
      </c>
      <c r="D790" s="22"/>
      <c r="E790" s="22"/>
      <c r="F790" s="22"/>
      <c r="G790" s="22"/>
      <c r="H790" s="22"/>
      <c r="I790" s="371"/>
      <c r="J790" s="371"/>
      <c r="K790" s="371"/>
      <c r="L790" s="22">
        <v>8</v>
      </c>
    </row>
    <row r="791" spans="1:12" ht="23.25" x14ac:dyDescent="0.25">
      <c r="A791" s="22">
        <f t="shared" si="40"/>
        <v>717</v>
      </c>
      <c r="B791" s="13" t="s">
        <v>1498</v>
      </c>
      <c r="C791" s="370" t="s">
        <v>872</v>
      </c>
      <c r="D791" s="22"/>
      <c r="E791" s="22"/>
      <c r="F791" s="22"/>
      <c r="G791" s="22"/>
      <c r="H791" s="22"/>
      <c r="I791" s="371"/>
      <c r="J791" s="371"/>
      <c r="K791" s="371"/>
      <c r="L791" s="22">
        <v>50</v>
      </c>
    </row>
    <row r="792" spans="1:12" ht="23.25" x14ac:dyDescent="0.25">
      <c r="A792" s="22">
        <f t="shared" si="40"/>
        <v>718</v>
      </c>
      <c r="B792" s="13" t="s">
        <v>1499</v>
      </c>
      <c r="C792" s="370" t="s">
        <v>358</v>
      </c>
      <c r="D792" s="22"/>
      <c r="E792" s="22"/>
      <c r="F792" s="22"/>
      <c r="G792" s="22"/>
      <c r="H792" s="22"/>
      <c r="I792" s="371"/>
      <c r="J792" s="371"/>
      <c r="K792" s="371"/>
      <c r="L792" s="22">
        <v>3</v>
      </c>
    </row>
    <row r="793" spans="1:12" ht="23.25" x14ac:dyDescent="0.25">
      <c r="A793" s="22">
        <f t="shared" si="40"/>
        <v>719</v>
      </c>
      <c r="B793" s="13" t="s">
        <v>1500</v>
      </c>
      <c r="C793" s="370" t="s">
        <v>333</v>
      </c>
      <c r="D793" s="22"/>
      <c r="E793" s="22"/>
      <c r="F793" s="22"/>
      <c r="G793" s="22"/>
      <c r="H793" s="22"/>
      <c r="I793" s="371"/>
      <c r="J793" s="371"/>
      <c r="K793" s="371"/>
      <c r="L793" s="22">
        <v>5000</v>
      </c>
    </row>
    <row r="794" spans="1:12" ht="23.25" x14ac:dyDescent="0.25">
      <c r="A794" s="22">
        <f t="shared" si="40"/>
        <v>720</v>
      </c>
      <c r="B794" s="13" t="s">
        <v>1501</v>
      </c>
      <c r="C794" s="370" t="s">
        <v>333</v>
      </c>
      <c r="D794" s="22"/>
      <c r="E794" s="22"/>
      <c r="F794" s="22"/>
      <c r="G794" s="22"/>
      <c r="H794" s="22"/>
      <c r="I794" s="371"/>
      <c r="J794" s="371"/>
      <c r="K794" s="371"/>
      <c r="L794" s="22">
        <v>5000</v>
      </c>
    </row>
    <row r="795" spans="1:12" ht="23.25" x14ac:dyDescent="0.25">
      <c r="A795" s="22">
        <f t="shared" si="40"/>
        <v>721</v>
      </c>
      <c r="B795" s="13" t="s">
        <v>1502</v>
      </c>
      <c r="C795" s="370" t="s">
        <v>333</v>
      </c>
      <c r="D795" s="22"/>
      <c r="E795" s="22"/>
      <c r="F795" s="22"/>
      <c r="G795" s="22"/>
      <c r="H795" s="22"/>
      <c r="I795" s="371"/>
      <c r="J795" s="371"/>
      <c r="K795" s="371"/>
      <c r="L795" s="22">
        <v>5000</v>
      </c>
    </row>
    <row r="796" spans="1:12" ht="23.25" x14ac:dyDescent="0.25">
      <c r="A796" s="22"/>
      <c r="B796" s="13"/>
      <c r="C796" s="370"/>
      <c r="D796" s="22"/>
      <c r="E796" s="22"/>
      <c r="F796" s="22"/>
      <c r="G796" s="22"/>
      <c r="H796" s="22"/>
      <c r="I796" s="371"/>
      <c r="J796" s="371"/>
      <c r="K796" s="371"/>
      <c r="L796" s="22"/>
    </row>
    <row r="797" spans="1:12" ht="23.25" x14ac:dyDescent="0.25">
      <c r="A797" s="22"/>
      <c r="B797" s="19"/>
      <c r="C797" s="20"/>
      <c r="D797" s="15"/>
      <c r="E797" s="15"/>
      <c r="F797" s="15"/>
      <c r="G797" s="15"/>
      <c r="H797" s="15"/>
      <c r="I797" s="15"/>
      <c r="J797" s="15"/>
      <c r="K797" s="15"/>
      <c r="L797" s="19"/>
    </row>
    <row r="798" spans="1:12" ht="23.25" x14ac:dyDescent="0.25">
      <c r="A798" s="22"/>
      <c r="B798" s="19"/>
      <c r="C798" s="20"/>
      <c r="D798" s="15"/>
      <c r="E798" s="15"/>
      <c r="F798" s="15"/>
      <c r="G798" s="15"/>
      <c r="H798" s="15"/>
      <c r="I798" s="15"/>
      <c r="J798" s="15"/>
      <c r="K798" s="15"/>
      <c r="L798" s="19"/>
    </row>
    <row r="799" spans="1:12" ht="23.25" x14ac:dyDescent="0.25">
      <c r="A799" s="22"/>
      <c r="B799" s="19"/>
      <c r="C799" s="20"/>
      <c r="D799" s="15"/>
      <c r="E799" s="15"/>
      <c r="F799" s="15"/>
      <c r="G799" s="15"/>
      <c r="H799" s="15"/>
      <c r="I799" s="15"/>
      <c r="J799" s="15"/>
      <c r="K799" s="15"/>
      <c r="L799" s="19"/>
    </row>
    <row r="800" spans="1:12" ht="23.25" x14ac:dyDescent="0.25">
      <c r="A800" s="22"/>
      <c r="B800" s="19"/>
      <c r="C800" s="20"/>
      <c r="D800" s="15"/>
      <c r="E800" s="15"/>
      <c r="F800" s="15"/>
      <c r="G800" s="15"/>
      <c r="H800" s="15"/>
      <c r="I800" s="15"/>
      <c r="J800" s="15"/>
      <c r="K800" s="15"/>
      <c r="L800" s="19"/>
    </row>
    <row r="801" spans="1:13" ht="28.5" x14ac:dyDescent="0.25">
      <c r="A801" s="22" t="s">
        <v>1655</v>
      </c>
      <c r="B801" s="383" t="s">
        <v>1507</v>
      </c>
      <c r="C801" s="20"/>
      <c r="D801" s="15"/>
      <c r="E801" s="15"/>
      <c r="F801" s="15"/>
      <c r="G801" s="15"/>
      <c r="H801" s="15"/>
      <c r="I801" s="15"/>
      <c r="J801" s="15"/>
      <c r="K801" s="15"/>
      <c r="L801" s="19"/>
    </row>
    <row r="802" spans="1:13" s="12" customFormat="1" ht="23.25" x14ac:dyDescent="0.35">
      <c r="A802" s="22"/>
      <c r="B802" s="22"/>
      <c r="C802" s="372"/>
      <c r="D802" s="177"/>
      <c r="E802" s="177"/>
      <c r="F802" s="177"/>
      <c r="G802" s="177"/>
      <c r="H802" s="177"/>
      <c r="I802" s="177"/>
      <c r="J802" s="177"/>
      <c r="K802" s="177"/>
      <c r="L802" s="22"/>
      <c r="M802" s="384"/>
    </row>
    <row r="803" spans="1:13" s="12" customFormat="1" ht="23.25" x14ac:dyDescent="0.35">
      <c r="A803" s="22">
        <f>1+A795</f>
        <v>722</v>
      </c>
      <c r="B803" s="22" t="s">
        <v>1508</v>
      </c>
      <c r="C803" s="372">
        <v>12</v>
      </c>
      <c r="D803" s="177"/>
      <c r="E803" s="177"/>
      <c r="F803" s="177"/>
      <c r="G803" s="177"/>
      <c r="H803" s="177"/>
      <c r="I803" s="177"/>
      <c r="J803" s="177"/>
      <c r="K803" s="177"/>
      <c r="L803" s="382">
        <v>3</v>
      </c>
      <c r="M803" s="384"/>
    </row>
    <row r="804" spans="1:13" s="12" customFormat="1" ht="23.25" x14ac:dyDescent="0.35">
      <c r="A804" s="22">
        <f>1+A803</f>
        <v>723</v>
      </c>
      <c r="B804" s="22" t="s">
        <v>1509</v>
      </c>
      <c r="C804" s="372">
        <v>12</v>
      </c>
      <c r="D804" s="177"/>
      <c r="E804" s="177"/>
      <c r="F804" s="177"/>
      <c r="G804" s="177"/>
      <c r="H804" s="177"/>
      <c r="I804" s="177"/>
      <c r="J804" s="177"/>
      <c r="K804" s="177"/>
      <c r="L804" s="382">
        <v>3</v>
      </c>
      <c r="M804" s="384"/>
    </row>
    <row r="805" spans="1:13" s="12" customFormat="1" ht="23.25" x14ac:dyDescent="0.35">
      <c r="A805" s="22">
        <f t="shared" ref="A805:A840" si="41">1+A804</f>
        <v>724</v>
      </c>
      <c r="B805" s="22" t="s">
        <v>1510</v>
      </c>
      <c r="C805" s="372">
        <v>12</v>
      </c>
      <c r="D805" s="177"/>
      <c r="E805" s="177"/>
      <c r="F805" s="177"/>
      <c r="G805" s="177"/>
      <c r="H805" s="177"/>
      <c r="I805" s="177"/>
      <c r="J805" s="177"/>
      <c r="K805" s="177"/>
      <c r="L805" s="382">
        <v>4</v>
      </c>
      <c r="M805" s="384"/>
    </row>
    <row r="806" spans="1:13" s="12" customFormat="1" ht="23.25" x14ac:dyDescent="0.35">
      <c r="A806" s="22">
        <f t="shared" si="41"/>
        <v>725</v>
      </c>
      <c r="B806" s="22" t="s">
        <v>1511</v>
      </c>
      <c r="C806" s="372">
        <v>12</v>
      </c>
      <c r="D806" s="177"/>
      <c r="E806" s="177"/>
      <c r="F806" s="177"/>
      <c r="G806" s="177"/>
      <c r="H806" s="177"/>
      <c r="I806" s="177"/>
      <c r="J806" s="177"/>
      <c r="K806" s="177"/>
      <c r="L806" s="382">
        <v>3</v>
      </c>
      <c r="M806" s="384"/>
    </row>
    <row r="807" spans="1:13" s="12" customFormat="1" ht="23.25" x14ac:dyDescent="0.35">
      <c r="A807" s="22">
        <f t="shared" si="41"/>
        <v>726</v>
      </c>
      <c r="B807" s="22" t="s">
        <v>1514</v>
      </c>
      <c r="C807" s="372">
        <v>12</v>
      </c>
      <c r="D807" s="177"/>
      <c r="E807" s="177"/>
      <c r="F807" s="177"/>
      <c r="G807" s="177"/>
      <c r="H807" s="177"/>
      <c r="I807" s="177"/>
      <c r="J807" s="177"/>
      <c r="K807" s="177"/>
      <c r="L807" s="382">
        <v>5</v>
      </c>
      <c r="M807" s="384"/>
    </row>
    <row r="808" spans="1:13" s="12" customFormat="1" ht="23.25" x14ac:dyDescent="0.35">
      <c r="A808" s="22">
        <f t="shared" si="41"/>
        <v>727</v>
      </c>
      <c r="B808" s="22" t="s">
        <v>1513</v>
      </c>
      <c r="C808" s="372">
        <v>12</v>
      </c>
      <c r="D808" s="177"/>
      <c r="E808" s="177"/>
      <c r="F808" s="177"/>
      <c r="G808" s="177"/>
      <c r="H808" s="177"/>
      <c r="I808" s="177"/>
      <c r="J808" s="177"/>
      <c r="K808" s="177"/>
      <c r="L808" s="382">
        <v>5</v>
      </c>
      <c r="M808" s="384"/>
    </row>
    <row r="809" spans="1:13" s="12" customFormat="1" ht="23.25" x14ac:dyDescent="0.35">
      <c r="A809" s="22">
        <f t="shared" si="41"/>
        <v>728</v>
      </c>
      <c r="B809" s="22" t="s">
        <v>1512</v>
      </c>
      <c r="C809" s="372">
        <v>12</v>
      </c>
      <c r="D809" s="177"/>
      <c r="E809" s="177"/>
      <c r="F809" s="177"/>
      <c r="G809" s="177"/>
      <c r="H809" s="177"/>
      <c r="I809" s="177"/>
      <c r="J809" s="177"/>
      <c r="K809" s="177"/>
      <c r="L809" s="382">
        <v>5</v>
      </c>
      <c r="M809" s="384"/>
    </row>
    <row r="810" spans="1:13" s="12" customFormat="1" ht="23.25" x14ac:dyDescent="0.35">
      <c r="A810" s="22">
        <f t="shared" si="41"/>
        <v>729</v>
      </c>
      <c r="B810" s="22" t="s">
        <v>1515</v>
      </c>
      <c r="C810" s="372">
        <v>12</v>
      </c>
      <c r="D810" s="177"/>
      <c r="E810" s="177"/>
      <c r="F810" s="177"/>
      <c r="G810" s="177"/>
      <c r="H810" s="177"/>
      <c r="I810" s="177"/>
      <c r="J810" s="177"/>
      <c r="K810" s="177"/>
      <c r="L810" s="382">
        <v>6</v>
      </c>
      <c r="M810" s="384"/>
    </row>
    <row r="811" spans="1:13" s="12" customFormat="1" ht="23.25" x14ac:dyDescent="0.35">
      <c r="A811" s="22">
        <f t="shared" si="41"/>
        <v>730</v>
      </c>
      <c r="B811" s="22" t="s">
        <v>1516</v>
      </c>
      <c r="C811" s="372">
        <v>12</v>
      </c>
      <c r="D811" s="177"/>
      <c r="E811" s="177"/>
      <c r="F811" s="177"/>
      <c r="G811" s="177"/>
      <c r="H811" s="177"/>
      <c r="I811" s="177"/>
      <c r="J811" s="177"/>
      <c r="K811" s="177"/>
      <c r="L811" s="382">
        <v>7</v>
      </c>
      <c r="M811" s="384"/>
    </row>
    <row r="812" spans="1:13" s="12" customFormat="1" ht="23.25" x14ac:dyDescent="0.35">
      <c r="A812" s="22">
        <f t="shared" si="41"/>
        <v>731</v>
      </c>
      <c r="B812" s="22" t="s">
        <v>1517</v>
      </c>
      <c r="C812" s="372">
        <v>12</v>
      </c>
      <c r="D812" s="177"/>
      <c r="E812" s="177"/>
      <c r="F812" s="177"/>
      <c r="G812" s="177"/>
      <c r="H812" s="177"/>
      <c r="I812" s="177"/>
      <c r="J812" s="177"/>
      <c r="K812" s="177"/>
      <c r="L812" s="382">
        <v>9</v>
      </c>
      <c r="M812" s="384"/>
    </row>
    <row r="813" spans="1:13" s="12" customFormat="1" ht="23.25" x14ac:dyDescent="0.35">
      <c r="A813" s="22">
        <f t="shared" si="41"/>
        <v>732</v>
      </c>
      <c r="B813" s="22" t="s">
        <v>1518</v>
      </c>
      <c r="C813" s="372">
        <v>12</v>
      </c>
      <c r="D813" s="177"/>
      <c r="E813" s="177"/>
      <c r="F813" s="177"/>
      <c r="G813" s="177"/>
      <c r="H813" s="177"/>
      <c r="I813" s="177"/>
      <c r="J813" s="177"/>
      <c r="K813" s="177"/>
      <c r="L813" s="382">
        <v>26</v>
      </c>
      <c r="M813" s="384"/>
    </row>
    <row r="814" spans="1:13" s="12" customFormat="1" ht="23.25" x14ac:dyDescent="0.35">
      <c r="A814" s="22">
        <f t="shared" si="41"/>
        <v>733</v>
      </c>
      <c r="B814" s="22" t="s">
        <v>1519</v>
      </c>
      <c r="C814" s="372">
        <v>12</v>
      </c>
      <c r="D814" s="177"/>
      <c r="E814" s="177"/>
      <c r="F814" s="177"/>
      <c r="G814" s="177"/>
      <c r="H814" s="177"/>
      <c r="I814" s="177"/>
      <c r="J814" s="177"/>
      <c r="K814" s="177"/>
      <c r="L814" s="382">
        <v>60</v>
      </c>
      <c r="M814" s="384"/>
    </row>
    <row r="815" spans="1:13" s="12" customFormat="1" ht="23.25" x14ac:dyDescent="0.35">
      <c r="A815" s="22">
        <f t="shared" si="41"/>
        <v>734</v>
      </c>
      <c r="B815" s="22" t="s">
        <v>1521</v>
      </c>
      <c r="C815" s="372">
        <v>12</v>
      </c>
      <c r="D815" s="177"/>
      <c r="E815" s="177"/>
      <c r="F815" s="177"/>
      <c r="G815" s="177"/>
      <c r="H815" s="177"/>
      <c r="I815" s="177"/>
      <c r="J815" s="177"/>
      <c r="K815" s="177"/>
      <c r="L815" s="382">
        <v>25</v>
      </c>
      <c r="M815" s="384"/>
    </row>
    <row r="816" spans="1:13" s="12" customFormat="1" ht="23.25" x14ac:dyDescent="0.35">
      <c r="A816" s="22">
        <f t="shared" si="41"/>
        <v>735</v>
      </c>
      <c r="B816" s="22" t="s">
        <v>1522</v>
      </c>
      <c r="C816" s="372">
        <v>12</v>
      </c>
      <c r="D816" s="177"/>
      <c r="E816" s="177"/>
      <c r="F816" s="177"/>
      <c r="G816" s="177"/>
      <c r="H816" s="177"/>
      <c r="I816" s="177"/>
      <c r="J816" s="177"/>
      <c r="K816" s="177"/>
      <c r="L816" s="382">
        <v>300</v>
      </c>
      <c r="M816" s="384"/>
    </row>
    <row r="817" spans="1:13" s="12" customFormat="1" ht="23.25" x14ac:dyDescent="0.35">
      <c r="A817" s="22">
        <f t="shared" si="41"/>
        <v>736</v>
      </c>
      <c r="B817" s="22" t="s">
        <v>1523</v>
      </c>
      <c r="C817" s="372">
        <v>12</v>
      </c>
      <c r="D817" s="177"/>
      <c r="E817" s="177"/>
      <c r="F817" s="177"/>
      <c r="G817" s="177"/>
      <c r="H817" s="177"/>
      <c r="I817" s="177"/>
      <c r="J817" s="177"/>
      <c r="K817" s="177"/>
      <c r="L817" s="382">
        <v>27</v>
      </c>
      <c r="M817" s="384"/>
    </row>
    <row r="818" spans="1:13" s="12" customFormat="1" ht="23.25" x14ac:dyDescent="0.35">
      <c r="A818" s="22">
        <f t="shared" si="41"/>
        <v>737</v>
      </c>
      <c r="B818" s="22" t="s">
        <v>1520</v>
      </c>
      <c r="C818" s="372">
        <v>12</v>
      </c>
      <c r="D818" s="177"/>
      <c r="E818" s="177"/>
      <c r="F818" s="177"/>
      <c r="G818" s="177"/>
      <c r="H818" s="177"/>
      <c r="I818" s="177"/>
      <c r="J818" s="177"/>
      <c r="K818" s="177"/>
      <c r="L818" s="382">
        <v>40</v>
      </c>
      <c r="M818" s="384"/>
    </row>
    <row r="819" spans="1:13" s="12" customFormat="1" ht="23.25" x14ac:dyDescent="0.35">
      <c r="A819" s="22">
        <f t="shared" si="41"/>
        <v>738</v>
      </c>
      <c r="B819" s="22" t="s">
        <v>1524</v>
      </c>
      <c r="C819" s="372">
        <v>12</v>
      </c>
      <c r="D819" s="177"/>
      <c r="E819" s="177"/>
      <c r="F819" s="177"/>
      <c r="G819" s="177"/>
      <c r="H819" s="177"/>
      <c r="I819" s="177"/>
      <c r="J819" s="177"/>
      <c r="K819" s="177"/>
      <c r="L819" s="382">
        <v>300</v>
      </c>
      <c r="M819" s="384"/>
    </row>
    <row r="820" spans="1:13" s="12" customFormat="1" ht="23.25" x14ac:dyDescent="0.35">
      <c r="A820" s="22">
        <f t="shared" si="41"/>
        <v>739</v>
      </c>
      <c r="B820" s="22" t="s">
        <v>1525</v>
      </c>
      <c r="C820" s="372">
        <v>12</v>
      </c>
      <c r="D820" s="177"/>
      <c r="E820" s="177"/>
      <c r="F820" s="177"/>
      <c r="G820" s="177"/>
      <c r="H820" s="177"/>
      <c r="I820" s="177"/>
      <c r="J820" s="177"/>
      <c r="K820" s="177"/>
      <c r="L820" s="382">
        <v>10</v>
      </c>
      <c r="M820" s="384"/>
    </row>
    <row r="821" spans="1:13" s="12" customFormat="1" ht="23.25" x14ac:dyDescent="0.35">
      <c r="A821" s="22">
        <f t="shared" si="41"/>
        <v>740</v>
      </c>
      <c r="B821" s="22" t="s">
        <v>1526</v>
      </c>
      <c r="C821" s="372">
        <v>12</v>
      </c>
      <c r="D821" s="177"/>
      <c r="E821" s="177"/>
      <c r="F821" s="177"/>
      <c r="G821" s="177"/>
      <c r="H821" s="177"/>
      <c r="I821" s="177"/>
      <c r="J821" s="177"/>
      <c r="K821" s="177"/>
      <c r="L821" s="382">
        <v>40</v>
      </c>
      <c r="M821" s="384"/>
    </row>
    <row r="822" spans="1:13" s="12" customFormat="1" ht="23.25" x14ac:dyDescent="0.35">
      <c r="A822" s="22">
        <f t="shared" si="41"/>
        <v>741</v>
      </c>
      <c r="B822" s="22" t="s">
        <v>1527</v>
      </c>
      <c r="C822" s="372">
        <v>12</v>
      </c>
      <c r="D822" s="177"/>
      <c r="E822" s="177"/>
      <c r="F822" s="177"/>
      <c r="G822" s="177"/>
      <c r="H822" s="177"/>
      <c r="I822" s="177"/>
      <c r="J822" s="177"/>
      <c r="K822" s="177"/>
      <c r="L822" s="382">
        <v>12</v>
      </c>
      <c r="M822" s="384"/>
    </row>
    <row r="823" spans="1:13" s="12" customFormat="1" ht="23.25" x14ac:dyDescent="0.35">
      <c r="A823" s="22">
        <f t="shared" si="41"/>
        <v>742</v>
      </c>
      <c r="B823" s="22" t="s">
        <v>1528</v>
      </c>
      <c r="C823" s="372">
        <v>12</v>
      </c>
      <c r="D823" s="177"/>
      <c r="E823" s="177"/>
      <c r="F823" s="177"/>
      <c r="G823" s="177"/>
      <c r="H823" s="177"/>
      <c r="I823" s="177"/>
      <c r="J823" s="177"/>
      <c r="K823" s="177"/>
      <c r="L823" s="382">
        <v>6</v>
      </c>
      <c r="M823" s="384"/>
    </row>
    <row r="824" spans="1:13" s="12" customFormat="1" ht="23.25" x14ac:dyDescent="0.35">
      <c r="A824" s="22">
        <f t="shared" si="41"/>
        <v>743</v>
      </c>
      <c r="B824" s="22" t="s">
        <v>1529</v>
      </c>
      <c r="C824" s="372" t="s">
        <v>333</v>
      </c>
      <c r="D824" s="177"/>
      <c r="E824" s="177"/>
      <c r="F824" s="177"/>
      <c r="G824" s="177"/>
      <c r="H824" s="177"/>
      <c r="I824" s="177"/>
      <c r="J824" s="177"/>
      <c r="K824" s="177"/>
      <c r="L824" s="382">
        <v>60</v>
      </c>
      <c r="M824" s="384"/>
    </row>
    <row r="825" spans="1:13" s="12" customFormat="1" ht="23.25" x14ac:dyDescent="0.35">
      <c r="A825" s="22">
        <f t="shared" si="41"/>
        <v>744</v>
      </c>
      <c r="B825" s="22" t="s">
        <v>1530</v>
      </c>
      <c r="C825" s="372" t="s">
        <v>358</v>
      </c>
      <c r="D825" s="177"/>
      <c r="E825" s="177"/>
      <c r="F825" s="177"/>
      <c r="G825" s="177"/>
      <c r="H825" s="177"/>
      <c r="I825" s="177"/>
      <c r="J825" s="177"/>
      <c r="K825" s="177"/>
      <c r="L825" s="382">
        <v>450</v>
      </c>
      <c r="M825" s="384"/>
    </row>
    <row r="826" spans="1:13" s="12" customFormat="1" ht="23.25" x14ac:dyDescent="0.35">
      <c r="A826" s="22">
        <f t="shared" si="41"/>
        <v>745</v>
      </c>
      <c r="B826" s="22" t="s">
        <v>1531</v>
      </c>
      <c r="C826" s="372" t="s">
        <v>1436</v>
      </c>
      <c r="D826" s="177"/>
      <c r="E826" s="177"/>
      <c r="F826" s="177"/>
      <c r="G826" s="177"/>
      <c r="H826" s="177"/>
      <c r="I826" s="177"/>
      <c r="J826" s="177"/>
      <c r="K826" s="177"/>
      <c r="L826" s="382">
        <v>15</v>
      </c>
      <c r="M826" s="384"/>
    </row>
    <row r="827" spans="1:13" s="12" customFormat="1" ht="23.25" x14ac:dyDescent="0.35">
      <c r="A827" s="22">
        <f t="shared" si="41"/>
        <v>746</v>
      </c>
      <c r="B827" s="22" t="s">
        <v>1532</v>
      </c>
      <c r="C827" s="372" t="s">
        <v>1546</v>
      </c>
      <c r="D827" s="177"/>
      <c r="E827" s="177"/>
      <c r="F827" s="177"/>
      <c r="G827" s="177"/>
      <c r="H827" s="177"/>
      <c r="I827" s="177"/>
      <c r="J827" s="177"/>
      <c r="K827" s="177"/>
      <c r="L827" s="382">
        <v>200</v>
      </c>
      <c r="M827" s="384"/>
    </row>
    <row r="828" spans="1:13" s="12" customFormat="1" ht="23.25" x14ac:dyDescent="0.35">
      <c r="A828" s="22">
        <f t="shared" si="41"/>
        <v>747</v>
      </c>
      <c r="B828" s="22" t="s">
        <v>1533</v>
      </c>
      <c r="C828" s="372" t="s">
        <v>872</v>
      </c>
      <c r="D828" s="177"/>
      <c r="E828" s="177"/>
      <c r="F828" s="177"/>
      <c r="G828" s="177"/>
      <c r="H828" s="177"/>
      <c r="I828" s="177"/>
      <c r="J828" s="177"/>
      <c r="K828" s="177"/>
      <c r="L828" s="382">
        <v>36</v>
      </c>
      <c r="M828" s="384"/>
    </row>
    <row r="829" spans="1:13" s="12" customFormat="1" ht="23.25" x14ac:dyDescent="0.35">
      <c r="A829" s="22">
        <f t="shared" si="41"/>
        <v>748</v>
      </c>
      <c r="B829" s="22" t="s">
        <v>1534</v>
      </c>
      <c r="C829" s="372" t="s">
        <v>872</v>
      </c>
      <c r="D829" s="177"/>
      <c r="E829" s="177"/>
      <c r="F829" s="177"/>
      <c r="G829" s="177"/>
      <c r="H829" s="177"/>
      <c r="I829" s="177"/>
      <c r="J829" s="177"/>
      <c r="K829" s="177"/>
      <c r="L829" s="382">
        <v>600</v>
      </c>
      <c r="M829" s="384"/>
    </row>
    <row r="830" spans="1:13" s="12" customFormat="1" ht="23.25" x14ac:dyDescent="0.35">
      <c r="A830" s="22">
        <f t="shared" si="41"/>
        <v>749</v>
      </c>
      <c r="B830" s="22" t="s">
        <v>1535</v>
      </c>
      <c r="C830" s="372" t="s">
        <v>1436</v>
      </c>
      <c r="D830" s="177"/>
      <c r="E830" s="177"/>
      <c r="F830" s="177"/>
      <c r="G830" s="177"/>
      <c r="H830" s="177"/>
      <c r="I830" s="177"/>
      <c r="J830" s="177"/>
      <c r="K830" s="177"/>
      <c r="L830" s="382">
        <v>50</v>
      </c>
      <c r="M830" s="384"/>
    </row>
    <row r="831" spans="1:13" s="12" customFormat="1" ht="23.25" x14ac:dyDescent="0.35">
      <c r="A831" s="22">
        <f t="shared" si="41"/>
        <v>750</v>
      </c>
      <c r="B831" s="22" t="s">
        <v>1536</v>
      </c>
      <c r="C831" s="372" t="s">
        <v>1436</v>
      </c>
      <c r="D831" s="177"/>
      <c r="E831" s="177"/>
      <c r="F831" s="177"/>
      <c r="G831" s="177"/>
      <c r="H831" s="177"/>
      <c r="I831" s="177"/>
      <c r="J831" s="177"/>
      <c r="K831" s="177"/>
      <c r="L831" s="382">
        <v>4</v>
      </c>
      <c r="M831" s="384"/>
    </row>
    <row r="832" spans="1:13" s="12" customFormat="1" ht="23.25" x14ac:dyDescent="0.35">
      <c r="A832" s="22">
        <f t="shared" si="41"/>
        <v>751</v>
      </c>
      <c r="B832" s="22" t="s">
        <v>1537</v>
      </c>
      <c r="C832" s="372" t="s">
        <v>333</v>
      </c>
      <c r="D832" s="177"/>
      <c r="E832" s="177"/>
      <c r="F832" s="177"/>
      <c r="G832" s="177"/>
      <c r="H832" s="177"/>
      <c r="I832" s="177"/>
      <c r="J832" s="177"/>
      <c r="K832" s="177"/>
      <c r="L832" s="382">
        <v>60</v>
      </c>
      <c r="M832" s="384"/>
    </row>
    <row r="833" spans="1:13" s="12" customFormat="1" ht="23.25" x14ac:dyDescent="0.35">
      <c r="A833" s="22">
        <f t="shared" si="41"/>
        <v>752</v>
      </c>
      <c r="B833" s="22" t="s">
        <v>1538</v>
      </c>
      <c r="C833" s="372" t="s">
        <v>358</v>
      </c>
      <c r="D833" s="177"/>
      <c r="E833" s="177"/>
      <c r="F833" s="177"/>
      <c r="G833" s="177"/>
      <c r="H833" s="177"/>
      <c r="I833" s="177"/>
      <c r="J833" s="177"/>
      <c r="K833" s="177"/>
      <c r="L833" s="382">
        <v>14</v>
      </c>
      <c r="M833" s="384"/>
    </row>
    <row r="834" spans="1:13" s="12" customFormat="1" ht="23.25" x14ac:dyDescent="0.35">
      <c r="A834" s="22">
        <f t="shared" si="41"/>
        <v>753</v>
      </c>
      <c r="B834" s="22" t="s">
        <v>1539</v>
      </c>
      <c r="C834" s="372" t="s">
        <v>1436</v>
      </c>
      <c r="D834" s="177"/>
      <c r="E834" s="177"/>
      <c r="F834" s="177"/>
      <c r="G834" s="177"/>
      <c r="H834" s="177"/>
      <c r="I834" s="177"/>
      <c r="J834" s="177"/>
      <c r="K834" s="177"/>
      <c r="L834" s="382">
        <v>360</v>
      </c>
      <c r="M834" s="384"/>
    </row>
    <row r="835" spans="1:13" s="12" customFormat="1" ht="23.25" x14ac:dyDescent="0.35">
      <c r="A835" s="22">
        <f t="shared" si="41"/>
        <v>754</v>
      </c>
      <c r="B835" s="22" t="s">
        <v>1540</v>
      </c>
      <c r="C835" s="372" t="s">
        <v>1547</v>
      </c>
      <c r="D835" s="177"/>
      <c r="E835" s="177"/>
      <c r="F835" s="177"/>
      <c r="G835" s="177"/>
      <c r="H835" s="177"/>
      <c r="I835" s="177"/>
      <c r="J835" s="177"/>
      <c r="K835" s="177"/>
      <c r="L835" s="382">
        <v>120</v>
      </c>
      <c r="M835" s="384"/>
    </row>
    <row r="836" spans="1:13" s="12" customFormat="1" ht="23.25" x14ac:dyDescent="0.35">
      <c r="A836" s="22">
        <f t="shared" si="41"/>
        <v>755</v>
      </c>
      <c r="B836" s="22" t="s">
        <v>1541</v>
      </c>
      <c r="C836" s="372" t="s">
        <v>333</v>
      </c>
      <c r="D836" s="177"/>
      <c r="E836" s="177"/>
      <c r="F836" s="177"/>
      <c r="G836" s="177"/>
      <c r="H836" s="177"/>
      <c r="I836" s="177"/>
      <c r="J836" s="177"/>
      <c r="K836" s="177"/>
      <c r="L836" s="382">
        <v>200</v>
      </c>
      <c r="M836" s="384"/>
    </row>
    <row r="837" spans="1:13" s="12" customFormat="1" ht="23.25" x14ac:dyDescent="0.35">
      <c r="A837" s="22">
        <f t="shared" si="41"/>
        <v>756</v>
      </c>
      <c r="B837" s="22" t="s">
        <v>1542</v>
      </c>
      <c r="C837" s="372" t="s">
        <v>333</v>
      </c>
      <c r="D837" s="177"/>
      <c r="E837" s="177"/>
      <c r="F837" s="177"/>
      <c r="G837" s="177"/>
      <c r="H837" s="177"/>
      <c r="I837" s="177"/>
      <c r="J837" s="177"/>
      <c r="K837" s="177"/>
      <c r="L837" s="382">
        <v>80</v>
      </c>
      <c r="M837" s="384"/>
    </row>
    <row r="838" spans="1:13" s="12" customFormat="1" ht="23.25" x14ac:dyDescent="0.35">
      <c r="A838" s="22">
        <f t="shared" si="41"/>
        <v>757</v>
      </c>
      <c r="B838" s="22" t="s">
        <v>1543</v>
      </c>
      <c r="C838" s="372" t="s">
        <v>872</v>
      </c>
      <c r="D838" s="177"/>
      <c r="E838" s="177"/>
      <c r="F838" s="177"/>
      <c r="G838" s="177"/>
      <c r="H838" s="177"/>
      <c r="I838" s="177"/>
      <c r="J838" s="177"/>
      <c r="K838" s="177"/>
      <c r="L838" s="382">
        <v>90</v>
      </c>
      <c r="M838" s="384"/>
    </row>
    <row r="839" spans="1:13" s="12" customFormat="1" ht="23.25" x14ac:dyDescent="0.35">
      <c r="A839" s="22">
        <f t="shared" si="41"/>
        <v>758</v>
      </c>
      <c r="B839" s="22" t="s">
        <v>1544</v>
      </c>
      <c r="C839" s="372" t="s">
        <v>872</v>
      </c>
      <c r="D839" s="177"/>
      <c r="E839" s="177"/>
      <c r="F839" s="177"/>
      <c r="G839" s="177"/>
      <c r="H839" s="177"/>
      <c r="I839" s="177"/>
      <c r="J839" s="177"/>
      <c r="K839" s="177"/>
      <c r="L839" s="382">
        <v>90</v>
      </c>
      <c r="M839" s="384"/>
    </row>
    <row r="840" spans="1:13" s="12" customFormat="1" ht="23.25" x14ac:dyDescent="0.35">
      <c r="A840" s="22">
        <f t="shared" si="41"/>
        <v>759</v>
      </c>
      <c r="B840" s="22" t="s">
        <v>1545</v>
      </c>
      <c r="C840" s="372" t="s">
        <v>872</v>
      </c>
      <c r="D840" s="177"/>
      <c r="E840" s="177"/>
      <c r="F840" s="177"/>
      <c r="G840" s="177"/>
      <c r="H840" s="177"/>
      <c r="I840" s="177"/>
      <c r="J840" s="177"/>
      <c r="K840" s="177"/>
      <c r="L840" s="382">
        <v>15</v>
      </c>
      <c r="M840" s="384"/>
    </row>
    <row r="841" spans="1:13" s="12" customFormat="1" ht="23.25" x14ac:dyDescent="0.35">
      <c r="A841" s="22"/>
      <c r="B841" s="22"/>
      <c r="C841" s="372"/>
      <c r="D841" s="177"/>
      <c r="E841" s="177"/>
      <c r="F841" s="177"/>
      <c r="G841" s="177"/>
      <c r="H841" s="177"/>
      <c r="I841" s="177"/>
      <c r="J841" s="177"/>
      <c r="K841" s="177"/>
      <c r="L841" s="22"/>
      <c r="M841" s="384"/>
    </row>
    <row r="842" spans="1:13" s="12" customFormat="1" ht="23.25" x14ac:dyDescent="0.35">
      <c r="A842" s="22"/>
      <c r="B842" s="22"/>
      <c r="C842" s="372"/>
      <c r="D842" s="177"/>
      <c r="E842" s="177"/>
      <c r="F842" s="177"/>
      <c r="G842" s="177"/>
      <c r="H842" s="177"/>
      <c r="I842" s="177"/>
      <c r="J842" s="177"/>
      <c r="K842" s="177"/>
      <c r="L842" s="22"/>
      <c r="M842" s="384"/>
    </row>
    <row r="843" spans="1:13" s="12" customFormat="1" ht="23.25" x14ac:dyDescent="0.35">
      <c r="A843" s="22"/>
      <c r="B843" s="22"/>
      <c r="C843" s="372"/>
      <c r="D843" s="177"/>
      <c r="E843" s="177"/>
      <c r="F843" s="177"/>
      <c r="G843" s="177"/>
      <c r="H843" s="177"/>
      <c r="I843" s="177"/>
      <c r="J843" s="177"/>
      <c r="K843" s="177"/>
      <c r="L843" s="22"/>
      <c r="M843" s="384"/>
    </row>
    <row r="844" spans="1:13" s="12" customFormat="1" ht="23.25" x14ac:dyDescent="0.35">
      <c r="A844" s="22"/>
      <c r="B844" s="22"/>
      <c r="C844" s="372"/>
      <c r="D844" s="177"/>
      <c r="E844" s="177"/>
      <c r="F844" s="177"/>
      <c r="G844" s="177"/>
      <c r="H844" s="177"/>
      <c r="I844" s="177"/>
      <c r="J844" s="177"/>
      <c r="K844" s="177"/>
      <c r="L844" s="22"/>
      <c r="M844" s="384"/>
    </row>
    <row r="845" spans="1:13" s="12" customFormat="1" ht="28.5" x14ac:dyDescent="0.35">
      <c r="A845" s="22" t="s">
        <v>1656</v>
      </c>
      <c r="B845" s="383" t="s">
        <v>1548</v>
      </c>
      <c r="C845" s="372"/>
      <c r="D845" s="177"/>
      <c r="E845" s="177"/>
      <c r="F845" s="177"/>
      <c r="G845" s="177"/>
      <c r="H845" s="177"/>
      <c r="I845" s="177"/>
      <c r="J845" s="177"/>
      <c r="K845" s="177"/>
      <c r="L845" s="22"/>
      <c r="M845" s="384"/>
    </row>
    <row r="846" spans="1:13" s="12" customFormat="1" ht="23.25" x14ac:dyDescent="0.35">
      <c r="A846" s="22"/>
      <c r="B846" s="22"/>
      <c r="C846" s="372"/>
      <c r="D846" s="177"/>
      <c r="E846" s="177"/>
      <c r="F846" s="177"/>
      <c r="G846" s="177"/>
      <c r="H846" s="177"/>
      <c r="I846" s="177"/>
      <c r="J846" s="177"/>
      <c r="K846" s="177"/>
      <c r="L846" s="22"/>
      <c r="M846" s="384"/>
    </row>
    <row r="847" spans="1:13" s="12" customFormat="1" ht="23.25" customHeight="1" x14ac:dyDescent="0.35">
      <c r="A847" s="22">
        <f>1+A840</f>
        <v>760</v>
      </c>
      <c r="B847" s="22" t="s">
        <v>1572</v>
      </c>
      <c r="C847" s="381" t="s">
        <v>1549</v>
      </c>
      <c r="D847" s="177"/>
      <c r="E847" s="177"/>
      <c r="F847" s="177"/>
      <c r="G847" s="177"/>
      <c r="H847" s="177"/>
      <c r="I847" s="177"/>
      <c r="J847" s="177"/>
      <c r="K847" s="177"/>
      <c r="L847" s="386">
        <v>3</v>
      </c>
      <c r="M847" s="384"/>
    </row>
    <row r="848" spans="1:13" s="12" customFormat="1" ht="23.25" x14ac:dyDescent="0.35">
      <c r="A848" s="22">
        <f>1+A847</f>
        <v>761</v>
      </c>
      <c r="B848" s="22" t="s">
        <v>1573</v>
      </c>
      <c r="C848" s="381" t="s">
        <v>1550</v>
      </c>
      <c r="D848" s="177"/>
      <c r="E848" s="177"/>
      <c r="F848" s="177"/>
      <c r="G848" s="177"/>
      <c r="H848" s="177"/>
      <c r="I848" s="177"/>
      <c r="J848" s="177"/>
      <c r="K848" s="177"/>
      <c r="L848" s="386">
        <v>2</v>
      </c>
      <c r="M848" s="384"/>
    </row>
    <row r="849" spans="1:13" s="12" customFormat="1" ht="23.25" x14ac:dyDescent="0.35">
      <c r="A849" s="22">
        <f t="shared" ref="A849:A912" si="42">1+A848</f>
        <v>762</v>
      </c>
      <c r="B849" s="22" t="s">
        <v>1574</v>
      </c>
      <c r="C849" s="381" t="s">
        <v>1550</v>
      </c>
      <c r="D849" s="177"/>
      <c r="E849" s="177"/>
      <c r="F849" s="177"/>
      <c r="G849" s="177"/>
      <c r="H849" s="177"/>
      <c r="I849" s="177"/>
      <c r="J849" s="177"/>
      <c r="K849" s="177"/>
      <c r="L849" s="386">
        <v>2</v>
      </c>
      <c r="M849" s="384"/>
    </row>
    <row r="850" spans="1:13" s="12" customFormat="1" ht="23.25" customHeight="1" x14ac:dyDescent="0.35">
      <c r="A850" s="22">
        <f t="shared" si="42"/>
        <v>763</v>
      </c>
      <c r="B850" s="22" t="s">
        <v>1575</v>
      </c>
      <c r="C850" s="381" t="s">
        <v>1550</v>
      </c>
      <c r="D850" s="177"/>
      <c r="E850" s="177"/>
      <c r="F850" s="177"/>
      <c r="G850" s="177"/>
      <c r="H850" s="177"/>
      <c r="I850" s="177"/>
      <c r="J850" s="177"/>
      <c r="K850" s="177"/>
      <c r="L850" s="386">
        <v>2</v>
      </c>
      <c r="M850" s="384"/>
    </row>
    <row r="851" spans="1:13" s="12" customFormat="1" ht="23.25" customHeight="1" x14ac:dyDescent="0.35">
      <c r="A851" s="22">
        <f t="shared" si="42"/>
        <v>764</v>
      </c>
      <c r="B851" s="22" t="s">
        <v>1576</v>
      </c>
      <c r="C851" s="381" t="s">
        <v>1551</v>
      </c>
      <c r="D851" s="177"/>
      <c r="E851" s="177"/>
      <c r="F851" s="177"/>
      <c r="G851" s="177"/>
      <c r="H851" s="177"/>
      <c r="I851" s="177"/>
      <c r="J851" s="177"/>
      <c r="K851" s="177"/>
      <c r="L851" s="386">
        <v>6</v>
      </c>
      <c r="M851" s="384"/>
    </row>
    <row r="852" spans="1:13" s="12" customFormat="1" ht="23.25" customHeight="1" x14ac:dyDescent="0.35">
      <c r="A852" s="22">
        <f t="shared" si="42"/>
        <v>765</v>
      </c>
      <c r="B852" s="22" t="s">
        <v>1577</v>
      </c>
      <c r="C852" s="381" t="s">
        <v>1552</v>
      </c>
      <c r="D852" s="177"/>
      <c r="E852" s="177"/>
      <c r="F852" s="177"/>
      <c r="G852" s="177"/>
      <c r="H852" s="177"/>
      <c r="I852" s="177"/>
      <c r="J852" s="177"/>
      <c r="K852" s="177"/>
      <c r="L852" s="386">
        <v>10</v>
      </c>
      <c r="M852" s="384"/>
    </row>
    <row r="853" spans="1:13" s="12" customFormat="1" ht="23.25" customHeight="1" x14ac:dyDescent="0.35">
      <c r="A853" s="22">
        <f t="shared" si="42"/>
        <v>766</v>
      </c>
      <c r="B853" s="22" t="s">
        <v>1578</v>
      </c>
      <c r="C853" s="381" t="s">
        <v>1553</v>
      </c>
      <c r="D853" s="177"/>
      <c r="E853" s="177"/>
      <c r="F853" s="177"/>
      <c r="G853" s="177"/>
      <c r="H853" s="177"/>
      <c r="I853" s="177"/>
      <c r="J853" s="177"/>
      <c r="K853" s="177"/>
      <c r="L853" s="386">
        <v>5</v>
      </c>
      <c r="M853" s="384"/>
    </row>
    <row r="854" spans="1:13" s="12" customFormat="1" ht="23.25" customHeight="1" x14ac:dyDescent="0.35">
      <c r="A854" s="22">
        <f t="shared" si="42"/>
        <v>767</v>
      </c>
      <c r="B854" s="22" t="s">
        <v>1579</v>
      </c>
      <c r="C854" s="381" t="s">
        <v>1551</v>
      </c>
      <c r="D854" s="177"/>
      <c r="E854" s="177"/>
      <c r="F854" s="177"/>
      <c r="G854" s="177"/>
      <c r="H854" s="177"/>
      <c r="I854" s="177"/>
      <c r="J854" s="177"/>
      <c r="K854" s="177"/>
      <c r="L854" s="386">
        <v>6</v>
      </c>
      <c r="M854" s="384"/>
    </row>
    <row r="855" spans="1:13" s="12" customFormat="1" ht="23.25" customHeight="1" x14ac:dyDescent="0.35">
      <c r="A855" s="22">
        <f t="shared" si="42"/>
        <v>768</v>
      </c>
      <c r="B855" s="22" t="s">
        <v>1580</v>
      </c>
      <c r="C855" s="381" t="s">
        <v>1554</v>
      </c>
      <c r="D855" s="177"/>
      <c r="E855" s="177"/>
      <c r="F855" s="177"/>
      <c r="G855" s="177"/>
      <c r="H855" s="177"/>
      <c r="I855" s="177"/>
      <c r="J855" s="177"/>
      <c r="K855" s="177"/>
      <c r="L855" s="386">
        <v>4</v>
      </c>
      <c r="M855" s="384"/>
    </row>
    <row r="856" spans="1:13" s="12" customFormat="1" ht="23.25" customHeight="1" x14ac:dyDescent="0.35">
      <c r="A856" s="22">
        <f t="shared" si="42"/>
        <v>769</v>
      </c>
      <c r="B856" s="22" t="s">
        <v>1581</v>
      </c>
      <c r="C856" s="381" t="s">
        <v>1550</v>
      </c>
      <c r="D856" s="177"/>
      <c r="E856" s="177"/>
      <c r="F856" s="177"/>
      <c r="G856" s="177"/>
      <c r="H856" s="177"/>
      <c r="I856" s="177"/>
      <c r="J856" s="177"/>
      <c r="K856" s="177"/>
      <c r="L856" s="386">
        <v>2</v>
      </c>
      <c r="M856" s="384"/>
    </row>
    <row r="857" spans="1:13" s="12" customFormat="1" ht="23.25" customHeight="1" x14ac:dyDescent="0.35">
      <c r="A857" s="22">
        <f t="shared" si="42"/>
        <v>770</v>
      </c>
      <c r="B857" s="22" t="s">
        <v>1582</v>
      </c>
      <c r="C857" s="381" t="s">
        <v>1549</v>
      </c>
      <c r="D857" s="177"/>
      <c r="E857" s="177"/>
      <c r="F857" s="177"/>
      <c r="G857" s="177"/>
      <c r="H857" s="177"/>
      <c r="I857" s="177"/>
      <c r="J857" s="177"/>
      <c r="K857" s="177"/>
      <c r="L857" s="386">
        <v>12</v>
      </c>
      <c r="M857" s="384"/>
    </row>
    <row r="858" spans="1:13" s="12" customFormat="1" ht="23.25" customHeight="1" x14ac:dyDescent="0.35">
      <c r="A858" s="22">
        <f t="shared" si="42"/>
        <v>771</v>
      </c>
      <c r="B858" s="22" t="s">
        <v>1583</v>
      </c>
      <c r="C858" s="381" t="s">
        <v>1550</v>
      </c>
      <c r="D858" s="177"/>
      <c r="E858" s="177"/>
      <c r="F858" s="177"/>
      <c r="G858" s="177"/>
      <c r="H858" s="177"/>
      <c r="I858" s="177"/>
      <c r="J858" s="177"/>
      <c r="K858" s="177"/>
      <c r="L858" s="386">
        <v>2</v>
      </c>
      <c r="M858" s="384"/>
    </row>
    <row r="859" spans="1:13" s="12" customFormat="1" ht="23.25" customHeight="1" x14ac:dyDescent="0.35">
      <c r="A859" s="22">
        <f t="shared" si="42"/>
        <v>772</v>
      </c>
      <c r="B859" s="22" t="s">
        <v>1584</v>
      </c>
      <c r="C859" s="381" t="s">
        <v>1549</v>
      </c>
      <c r="D859" s="177"/>
      <c r="E859" s="177"/>
      <c r="F859" s="177"/>
      <c r="G859" s="177"/>
      <c r="H859" s="177"/>
      <c r="I859" s="177"/>
      <c r="J859" s="177"/>
      <c r="K859" s="177"/>
      <c r="L859" s="386">
        <v>2</v>
      </c>
      <c r="M859" s="384"/>
    </row>
    <row r="860" spans="1:13" s="12" customFormat="1" ht="23.25" customHeight="1" x14ac:dyDescent="0.35">
      <c r="A860" s="22">
        <f t="shared" si="42"/>
        <v>773</v>
      </c>
      <c r="B860" s="22" t="s">
        <v>1585</v>
      </c>
      <c r="C860" s="381" t="s">
        <v>1550</v>
      </c>
      <c r="D860" s="177"/>
      <c r="E860" s="177"/>
      <c r="F860" s="177"/>
      <c r="G860" s="177"/>
      <c r="H860" s="177"/>
      <c r="I860" s="177"/>
      <c r="J860" s="177"/>
      <c r="K860" s="177"/>
      <c r="L860" s="386">
        <v>2</v>
      </c>
      <c r="M860" s="384"/>
    </row>
    <row r="861" spans="1:13" s="12" customFormat="1" ht="23.25" customHeight="1" x14ac:dyDescent="0.35">
      <c r="A861" s="22">
        <f t="shared" si="42"/>
        <v>774</v>
      </c>
      <c r="B861" s="22" t="s">
        <v>1586</v>
      </c>
      <c r="C861" s="381" t="s">
        <v>1555</v>
      </c>
      <c r="D861" s="177"/>
      <c r="E861" s="177"/>
      <c r="F861" s="177"/>
      <c r="G861" s="177"/>
      <c r="H861" s="177"/>
      <c r="I861" s="177"/>
      <c r="J861" s="177"/>
      <c r="K861" s="177"/>
      <c r="L861" s="386">
        <v>12</v>
      </c>
      <c r="M861" s="384"/>
    </row>
    <row r="862" spans="1:13" s="12" customFormat="1" ht="23.25" customHeight="1" x14ac:dyDescent="0.35">
      <c r="A862" s="22">
        <f t="shared" si="42"/>
        <v>775</v>
      </c>
      <c r="B862" s="22" t="s">
        <v>1587</v>
      </c>
      <c r="C862" s="381" t="s">
        <v>1555</v>
      </c>
      <c r="D862" s="177"/>
      <c r="E862" s="177"/>
      <c r="F862" s="177"/>
      <c r="G862" s="177"/>
      <c r="H862" s="177"/>
      <c r="I862" s="177"/>
      <c r="J862" s="177"/>
      <c r="K862" s="177"/>
      <c r="L862" s="386">
        <v>12</v>
      </c>
      <c r="M862" s="384"/>
    </row>
    <row r="863" spans="1:13" s="12" customFormat="1" ht="23.25" customHeight="1" x14ac:dyDescent="0.35">
      <c r="A863" s="22">
        <f t="shared" si="42"/>
        <v>776</v>
      </c>
      <c r="B863" s="22" t="s">
        <v>1588</v>
      </c>
      <c r="C863" s="381" t="s">
        <v>1555</v>
      </c>
      <c r="D863" s="177"/>
      <c r="E863" s="177"/>
      <c r="F863" s="177"/>
      <c r="G863" s="177"/>
      <c r="H863" s="177"/>
      <c r="I863" s="177"/>
      <c r="J863" s="177"/>
      <c r="K863" s="177"/>
      <c r="L863" s="386">
        <v>12</v>
      </c>
      <c r="M863" s="384"/>
    </row>
    <row r="864" spans="1:13" s="12" customFormat="1" ht="23.25" customHeight="1" x14ac:dyDescent="0.35">
      <c r="A864" s="22">
        <f t="shared" si="42"/>
        <v>777</v>
      </c>
      <c r="B864" s="22" t="s">
        <v>1589</v>
      </c>
      <c r="C864" s="381" t="s">
        <v>1555</v>
      </c>
      <c r="D864" s="177"/>
      <c r="E864" s="177"/>
      <c r="F864" s="177"/>
      <c r="G864" s="177"/>
      <c r="H864" s="177"/>
      <c r="I864" s="177"/>
      <c r="J864" s="177"/>
      <c r="K864" s="177"/>
      <c r="L864" s="386">
        <v>12</v>
      </c>
      <c r="M864" s="384"/>
    </row>
    <row r="865" spans="1:13" s="12" customFormat="1" ht="23.25" customHeight="1" x14ac:dyDescent="0.35">
      <c r="A865" s="22">
        <f t="shared" si="42"/>
        <v>778</v>
      </c>
      <c r="B865" s="22" t="s">
        <v>1590</v>
      </c>
      <c r="C865" s="381" t="s">
        <v>1555</v>
      </c>
      <c r="D865" s="177"/>
      <c r="E865" s="177"/>
      <c r="F865" s="177"/>
      <c r="G865" s="177"/>
      <c r="H865" s="177"/>
      <c r="I865" s="177"/>
      <c r="J865" s="177"/>
      <c r="K865" s="177"/>
      <c r="L865" s="386">
        <v>5</v>
      </c>
      <c r="M865" s="384"/>
    </row>
    <row r="866" spans="1:13" s="12" customFormat="1" ht="23.25" customHeight="1" x14ac:dyDescent="0.35">
      <c r="A866" s="22">
        <f t="shared" si="42"/>
        <v>779</v>
      </c>
      <c r="B866" s="22" t="s">
        <v>1591</v>
      </c>
      <c r="C866" s="381" t="s">
        <v>1555</v>
      </c>
      <c r="D866" s="177"/>
      <c r="E866" s="177"/>
      <c r="F866" s="177"/>
      <c r="G866" s="177"/>
      <c r="H866" s="177"/>
      <c r="I866" s="177"/>
      <c r="J866" s="177"/>
      <c r="K866" s="177"/>
      <c r="L866" s="386">
        <v>5</v>
      </c>
      <c r="M866" s="384"/>
    </row>
    <row r="867" spans="1:13" s="12" customFormat="1" ht="23.25" customHeight="1" x14ac:dyDescent="0.35">
      <c r="A867" s="22">
        <f t="shared" si="42"/>
        <v>780</v>
      </c>
      <c r="B867" s="22" t="s">
        <v>1592</v>
      </c>
      <c r="C867" s="381" t="s">
        <v>1556</v>
      </c>
      <c r="D867" s="177"/>
      <c r="E867" s="177"/>
      <c r="F867" s="177"/>
      <c r="G867" s="177"/>
      <c r="H867" s="177"/>
      <c r="I867" s="177"/>
      <c r="J867" s="177"/>
      <c r="K867" s="177"/>
      <c r="L867" s="386">
        <v>1</v>
      </c>
      <c r="M867" s="384"/>
    </row>
    <row r="868" spans="1:13" s="12" customFormat="1" ht="23.25" customHeight="1" x14ac:dyDescent="0.35">
      <c r="A868" s="22">
        <f t="shared" si="42"/>
        <v>781</v>
      </c>
      <c r="B868" s="22" t="s">
        <v>1593</v>
      </c>
      <c r="C868" s="381" t="s">
        <v>1557</v>
      </c>
      <c r="D868" s="177"/>
      <c r="E868" s="177"/>
      <c r="F868" s="177"/>
      <c r="G868" s="177"/>
      <c r="H868" s="177"/>
      <c r="I868" s="177"/>
      <c r="J868" s="177"/>
      <c r="K868" s="177"/>
      <c r="L868" s="386">
        <v>50</v>
      </c>
      <c r="M868" s="384"/>
    </row>
    <row r="869" spans="1:13" s="12" customFormat="1" ht="23.25" customHeight="1" x14ac:dyDescent="0.35">
      <c r="A869" s="22">
        <f t="shared" si="42"/>
        <v>782</v>
      </c>
      <c r="B869" s="22" t="s">
        <v>1594</v>
      </c>
      <c r="C869" s="381" t="s">
        <v>1557</v>
      </c>
      <c r="D869" s="177"/>
      <c r="E869" s="177"/>
      <c r="F869" s="177"/>
      <c r="G869" s="177"/>
      <c r="H869" s="177"/>
      <c r="I869" s="177"/>
      <c r="J869" s="177"/>
      <c r="K869" s="177"/>
      <c r="L869" s="386">
        <v>1</v>
      </c>
      <c r="M869" s="384"/>
    </row>
    <row r="870" spans="1:13" s="12" customFormat="1" ht="23.25" customHeight="1" x14ac:dyDescent="0.35">
      <c r="A870" s="22">
        <f t="shared" si="42"/>
        <v>783</v>
      </c>
      <c r="B870" s="22" t="s">
        <v>1595</v>
      </c>
      <c r="C870" s="381" t="s">
        <v>1558</v>
      </c>
      <c r="D870" s="177"/>
      <c r="E870" s="177"/>
      <c r="F870" s="177"/>
      <c r="G870" s="177"/>
      <c r="H870" s="177"/>
      <c r="I870" s="177"/>
      <c r="J870" s="177"/>
      <c r="K870" s="177"/>
      <c r="L870" s="386">
        <v>48</v>
      </c>
      <c r="M870" s="384"/>
    </row>
    <row r="871" spans="1:13" s="12" customFormat="1" ht="23.25" customHeight="1" x14ac:dyDescent="0.35">
      <c r="A871" s="22">
        <f t="shared" si="42"/>
        <v>784</v>
      </c>
      <c r="B871" s="22" t="s">
        <v>1596</v>
      </c>
      <c r="C871" s="381" t="s">
        <v>1559</v>
      </c>
      <c r="D871" s="177"/>
      <c r="E871" s="177"/>
      <c r="F871" s="177"/>
      <c r="G871" s="177"/>
      <c r="H871" s="177"/>
      <c r="I871" s="177"/>
      <c r="J871" s="177"/>
      <c r="K871" s="177"/>
      <c r="L871" s="386">
        <v>30</v>
      </c>
      <c r="M871" s="384"/>
    </row>
    <row r="872" spans="1:13" s="12" customFormat="1" ht="23.25" customHeight="1" x14ac:dyDescent="0.35">
      <c r="A872" s="22">
        <f t="shared" si="42"/>
        <v>785</v>
      </c>
      <c r="B872" s="22" t="s">
        <v>1597</v>
      </c>
      <c r="C872" s="381" t="s">
        <v>1560</v>
      </c>
      <c r="D872" s="177"/>
      <c r="E872" s="177"/>
      <c r="F872" s="177"/>
      <c r="G872" s="177"/>
      <c r="H872" s="177"/>
      <c r="I872" s="177"/>
      <c r="J872" s="177"/>
      <c r="K872" s="177"/>
      <c r="L872" s="386">
        <v>6</v>
      </c>
      <c r="M872" s="384"/>
    </row>
    <row r="873" spans="1:13" s="12" customFormat="1" ht="23.25" customHeight="1" x14ac:dyDescent="0.35">
      <c r="A873" s="22">
        <f t="shared" si="42"/>
        <v>786</v>
      </c>
      <c r="B873" s="22" t="s">
        <v>1598</v>
      </c>
      <c r="C873" s="381" t="s">
        <v>1549</v>
      </c>
      <c r="D873" s="177"/>
      <c r="E873" s="177"/>
      <c r="F873" s="177"/>
      <c r="G873" s="177"/>
      <c r="H873" s="177"/>
      <c r="I873" s="177"/>
      <c r="J873" s="177"/>
      <c r="K873" s="177"/>
      <c r="L873" s="386">
        <v>30</v>
      </c>
      <c r="M873" s="384"/>
    </row>
    <row r="874" spans="1:13" s="12" customFormat="1" ht="23.25" customHeight="1" x14ac:dyDescent="0.35">
      <c r="A874" s="22">
        <f t="shared" si="42"/>
        <v>787</v>
      </c>
      <c r="B874" s="22" t="s">
        <v>1599</v>
      </c>
      <c r="C874" s="381" t="s">
        <v>1557</v>
      </c>
      <c r="D874" s="177"/>
      <c r="E874" s="177"/>
      <c r="F874" s="177"/>
      <c r="G874" s="177"/>
      <c r="H874" s="177"/>
      <c r="I874" s="177"/>
      <c r="J874" s="177"/>
      <c r="K874" s="177"/>
      <c r="L874" s="386">
        <v>12</v>
      </c>
      <c r="M874" s="384"/>
    </row>
    <row r="875" spans="1:13" s="12" customFormat="1" ht="23.25" customHeight="1" x14ac:dyDescent="0.35">
      <c r="A875" s="22">
        <f t="shared" si="42"/>
        <v>788</v>
      </c>
      <c r="B875" s="22" t="s">
        <v>1600</v>
      </c>
      <c r="C875" s="381"/>
      <c r="D875" s="177"/>
      <c r="E875" s="177"/>
      <c r="F875" s="177"/>
      <c r="G875" s="177"/>
      <c r="H875" s="177"/>
      <c r="I875" s="177"/>
      <c r="J875" s="177"/>
      <c r="K875" s="177"/>
      <c r="L875" s="386">
        <v>25</v>
      </c>
      <c r="M875" s="384"/>
    </row>
    <row r="876" spans="1:13" s="12" customFormat="1" ht="23.25" customHeight="1" x14ac:dyDescent="0.35">
      <c r="A876" s="22">
        <f t="shared" si="42"/>
        <v>789</v>
      </c>
      <c r="B876" s="22" t="s">
        <v>1601</v>
      </c>
      <c r="C876" s="381" t="s">
        <v>1549</v>
      </c>
      <c r="D876" s="177"/>
      <c r="E876" s="177"/>
      <c r="F876" s="177"/>
      <c r="G876" s="177"/>
      <c r="H876" s="177"/>
      <c r="I876" s="177"/>
      <c r="J876" s="177"/>
      <c r="K876" s="177"/>
      <c r="L876" s="386">
        <v>1</v>
      </c>
      <c r="M876" s="384"/>
    </row>
    <row r="877" spans="1:13" s="12" customFormat="1" ht="23.25" customHeight="1" x14ac:dyDescent="0.35">
      <c r="A877" s="22">
        <f t="shared" si="42"/>
        <v>790</v>
      </c>
      <c r="B877" s="22" t="s">
        <v>1602</v>
      </c>
      <c r="C877" s="381" t="s">
        <v>1557</v>
      </c>
      <c r="D877" s="177"/>
      <c r="E877" s="177"/>
      <c r="F877" s="177"/>
      <c r="G877" s="177"/>
      <c r="H877" s="177"/>
      <c r="I877" s="177"/>
      <c r="J877" s="177"/>
      <c r="K877" s="177"/>
      <c r="L877" s="386">
        <v>2</v>
      </c>
      <c r="M877" s="384"/>
    </row>
    <row r="878" spans="1:13" s="12" customFormat="1" ht="23.25" customHeight="1" x14ac:dyDescent="0.35">
      <c r="A878" s="22">
        <f t="shared" si="42"/>
        <v>791</v>
      </c>
      <c r="B878" s="22" t="s">
        <v>1603</v>
      </c>
      <c r="C878" s="381" t="s">
        <v>1561</v>
      </c>
      <c r="D878" s="177"/>
      <c r="E878" s="177"/>
      <c r="F878" s="177"/>
      <c r="G878" s="177"/>
      <c r="H878" s="177"/>
      <c r="I878" s="177"/>
      <c r="J878" s="177"/>
      <c r="K878" s="177"/>
      <c r="L878" s="386">
        <v>1</v>
      </c>
      <c r="M878" s="384"/>
    </row>
    <row r="879" spans="1:13" s="12" customFormat="1" ht="23.25" customHeight="1" x14ac:dyDescent="0.35">
      <c r="A879" s="22">
        <f t="shared" si="42"/>
        <v>792</v>
      </c>
      <c r="B879" s="22" t="s">
        <v>1604</v>
      </c>
      <c r="C879" s="381" t="s">
        <v>1555</v>
      </c>
      <c r="D879" s="177"/>
      <c r="E879" s="177"/>
      <c r="F879" s="177"/>
      <c r="G879" s="177"/>
      <c r="H879" s="177"/>
      <c r="I879" s="177"/>
      <c r="J879" s="177"/>
      <c r="K879" s="177"/>
      <c r="L879" s="386">
        <v>15</v>
      </c>
      <c r="M879" s="384"/>
    </row>
    <row r="880" spans="1:13" s="12" customFormat="1" ht="23.25" customHeight="1" x14ac:dyDescent="0.35">
      <c r="A880" s="22">
        <f t="shared" si="42"/>
        <v>793</v>
      </c>
      <c r="B880" s="22" t="s">
        <v>1605</v>
      </c>
      <c r="C880" s="381" t="s">
        <v>1555</v>
      </c>
      <c r="D880" s="177"/>
      <c r="E880" s="177"/>
      <c r="F880" s="177"/>
      <c r="G880" s="177"/>
      <c r="H880" s="177"/>
      <c r="I880" s="177"/>
      <c r="J880" s="177"/>
      <c r="K880" s="177"/>
      <c r="L880" s="386">
        <v>25</v>
      </c>
      <c r="M880" s="384"/>
    </row>
    <row r="881" spans="1:13" s="12" customFormat="1" ht="23.25" customHeight="1" x14ac:dyDescent="0.35">
      <c r="A881" s="22">
        <f t="shared" si="42"/>
        <v>794</v>
      </c>
      <c r="B881" s="22" t="s">
        <v>1606</v>
      </c>
      <c r="C881" s="381"/>
      <c r="D881" s="177"/>
      <c r="E881" s="177"/>
      <c r="F881" s="177"/>
      <c r="G881" s="177"/>
      <c r="H881" s="177"/>
      <c r="I881" s="177"/>
      <c r="J881" s="177"/>
      <c r="K881" s="177"/>
      <c r="L881" s="386">
        <v>15</v>
      </c>
      <c r="M881" s="384"/>
    </row>
    <row r="882" spans="1:13" s="12" customFormat="1" ht="23.25" customHeight="1" x14ac:dyDescent="0.35">
      <c r="A882" s="22">
        <f t="shared" si="42"/>
        <v>795</v>
      </c>
      <c r="B882" s="22" t="s">
        <v>1607</v>
      </c>
      <c r="C882" s="381" t="s">
        <v>1558</v>
      </c>
      <c r="D882" s="177"/>
      <c r="E882" s="177"/>
      <c r="F882" s="177"/>
      <c r="G882" s="177"/>
      <c r="H882" s="177"/>
      <c r="I882" s="177"/>
      <c r="J882" s="177"/>
      <c r="K882" s="177"/>
      <c r="L882" s="386">
        <v>48</v>
      </c>
      <c r="M882" s="384"/>
    </row>
    <row r="883" spans="1:13" s="12" customFormat="1" ht="23.25" customHeight="1" x14ac:dyDescent="0.35">
      <c r="A883" s="22">
        <f t="shared" si="42"/>
        <v>796</v>
      </c>
      <c r="B883" s="22" t="s">
        <v>1608</v>
      </c>
      <c r="C883" s="381" t="s">
        <v>1558</v>
      </c>
      <c r="D883" s="177"/>
      <c r="E883" s="177"/>
      <c r="F883" s="177"/>
      <c r="G883" s="177"/>
      <c r="H883" s="177"/>
      <c r="I883" s="177"/>
      <c r="J883" s="177"/>
      <c r="K883" s="177"/>
      <c r="L883" s="386">
        <v>48</v>
      </c>
      <c r="M883" s="384"/>
    </row>
    <row r="884" spans="1:13" s="12" customFormat="1" ht="23.25" customHeight="1" x14ac:dyDescent="0.35">
      <c r="A884" s="22">
        <f t="shared" si="42"/>
        <v>797</v>
      </c>
      <c r="B884" s="22" t="s">
        <v>1609</v>
      </c>
      <c r="C884" s="381" t="s">
        <v>1558</v>
      </c>
      <c r="D884" s="177"/>
      <c r="E884" s="177"/>
      <c r="F884" s="177"/>
      <c r="G884" s="177"/>
      <c r="H884" s="177"/>
      <c r="I884" s="177"/>
      <c r="J884" s="177"/>
      <c r="K884" s="177"/>
      <c r="L884" s="386">
        <v>48</v>
      </c>
      <c r="M884" s="384"/>
    </row>
    <row r="885" spans="1:13" s="12" customFormat="1" ht="23.25" customHeight="1" x14ac:dyDescent="0.35">
      <c r="A885" s="22">
        <f t="shared" si="42"/>
        <v>798</v>
      </c>
      <c r="B885" s="22" t="s">
        <v>1610</v>
      </c>
      <c r="C885" s="381"/>
      <c r="D885" s="177"/>
      <c r="E885" s="177"/>
      <c r="F885" s="177"/>
      <c r="G885" s="177"/>
      <c r="H885" s="177"/>
      <c r="I885" s="177"/>
      <c r="J885" s="177"/>
      <c r="K885" s="177"/>
      <c r="L885" s="386">
        <v>50</v>
      </c>
      <c r="M885" s="384"/>
    </row>
    <row r="886" spans="1:13" s="12" customFormat="1" ht="23.25" customHeight="1" x14ac:dyDescent="0.35">
      <c r="A886" s="22">
        <f t="shared" si="42"/>
        <v>799</v>
      </c>
      <c r="B886" s="22" t="s">
        <v>1611</v>
      </c>
      <c r="C886" s="381"/>
      <c r="D886" s="177"/>
      <c r="E886" s="177"/>
      <c r="F886" s="177"/>
      <c r="G886" s="177"/>
      <c r="H886" s="177"/>
      <c r="I886" s="177"/>
      <c r="J886" s="177"/>
      <c r="K886" s="177"/>
      <c r="L886" s="386">
        <v>6</v>
      </c>
      <c r="M886" s="384"/>
    </row>
    <row r="887" spans="1:13" s="12" customFormat="1" ht="23.25" customHeight="1" x14ac:dyDescent="0.35">
      <c r="A887" s="22">
        <f t="shared" si="42"/>
        <v>800</v>
      </c>
      <c r="B887" s="22" t="s">
        <v>1612</v>
      </c>
      <c r="C887" s="381"/>
      <c r="D887" s="177"/>
      <c r="E887" s="177"/>
      <c r="F887" s="177"/>
      <c r="G887" s="177"/>
      <c r="H887" s="177"/>
      <c r="I887" s="177"/>
      <c r="J887" s="177"/>
      <c r="K887" s="177"/>
      <c r="L887" s="386">
        <v>12</v>
      </c>
      <c r="M887" s="384"/>
    </row>
    <row r="888" spans="1:13" s="12" customFormat="1" ht="23.25" customHeight="1" x14ac:dyDescent="0.35">
      <c r="A888" s="22">
        <f t="shared" si="42"/>
        <v>801</v>
      </c>
      <c r="B888" s="22" t="s">
        <v>1613</v>
      </c>
      <c r="C888" s="381"/>
      <c r="D888" s="177"/>
      <c r="E888" s="177"/>
      <c r="F888" s="177"/>
      <c r="G888" s="177"/>
      <c r="H888" s="177"/>
      <c r="I888" s="177"/>
      <c r="J888" s="177"/>
      <c r="K888" s="177"/>
      <c r="L888" s="386">
        <v>12</v>
      </c>
      <c r="M888" s="384"/>
    </row>
    <row r="889" spans="1:13" s="12" customFormat="1" ht="23.25" customHeight="1" x14ac:dyDescent="0.35">
      <c r="A889" s="22">
        <f t="shared" si="42"/>
        <v>802</v>
      </c>
      <c r="B889" s="22" t="s">
        <v>1614</v>
      </c>
      <c r="C889" s="381"/>
      <c r="D889" s="177"/>
      <c r="E889" s="177"/>
      <c r="F889" s="177"/>
      <c r="G889" s="177"/>
      <c r="H889" s="177"/>
      <c r="I889" s="177"/>
      <c r="J889" s="177"/>
      <c r="K889" s="177"/>
      <c r="L889" s="386">
        <v>20</v>
      </c>
      <c r="M889" s="384"/>
    </row>
    <row r="890" spans="1:13" s="12" customFormat="1" ht="23.25" customHeight="1" x14ac:dyDescent="0.35">
      <c r="A890" s="22">
        <f t="shared" si="42"/>
        <v>803</v>
      </c>
      <c r="B890" s="22" t="s">
        <v>1615</v>
      </c>
      <c r="C890" s="381" t="s">
        <v>1555</v>
      </c>
      <c r="D890" s="177"/>
      <c r="E890" s="177"/>
      <c r="F890" s="177"/>
      <c r="G890" s="177"/>
      <c r="H890" s="177"/>
      <c r="I890" s="177"/>
      <c r="J890" s="177"/>
      <c r="K890" s="177"/>
      <c r="L890" s="386">
        <v>12</v>
      </c>
      <c r="M890" s="384"/>
    </row>
    <row r="891" spans="1:13" s="12" customFormat="1" ht="23.25" customHeight="1" x14ac:dyDescent="0.35">
      <c r="A891" s="22">
        <f t="shared" si="42"/>
        <v>804</v>
      </c>
      <c r="B891" s="22" t="s">
        <v>1616</v>
      </c>
      <c r="C891" s="381" t="s">
        <v>1555</v>
      </c>
      <c r="D891" s="177"/>
      <c r="E891" s="177"/>
      <c r="F891" s="177"/>
      <c r="G891" s="177"/>
      <c r="H891" s="177"/>
      <c r="I891" s="177"/>
      <c r="J891" s="177"/>
      <c r="K891" s="177"/>
      <c r="L891" s="386">
        <v>6</v>
      </c>
      <c r="M891" s="384"/>
    </row>
    <row r="892" spans="1:13" s="12" customFormat="1" ht="23.25" customHeight="1" x14ac:dyDescent="0.35">
      <c r="A892" s="22">
        <f t="shared" si="42"/>
        <v>805</v>
      </c>
      <c r="B892" s="22" t="s">
        <v>1659</v>
      </c>
      <c r="C892" s="381" t="s">
        <v>1555</v>
      </c>
      <c r="D892" s="177"/>
      <c r="E892" s="177"/>
      <c r="F892" s="177"/>
      <c r="G892" s="177"/>
      <c r="H892" s="177"/>
      <c r="I892" s="177"/>
      <c r="J892" s="177"/>
      <c r="K892" s="177"/>
      <c r="L892" s="386">
        <v>6</v>
      </c>
      <c r="M892" s="384"/>
    </row>
    <row r="893" spans="1:13" s="12" customFormat="1" ht="23.25" customHeight="1" x14ac:dyDescent="0.35">
      <c r="A893" s="22">
        <f t="shared" si="42"/>
        <v>806</v>
      </c>
      <c r="B893" s="22" t="s">
        <v>1617</v>
      </c>
      <c r="C893" s="381" t="s">
        <v>1555</v>
      </c>
      <c r="D893" s="177"/>
      <c r="E893" s="177"/>
      <c r="F893" s="177"/>
      <c r="G893" s="177"/>
      <c r="H893" s="177"/>
      <c r="I893" s="177"/>
      <c r="J893" s="177"/>
      <c r="K893" s="177"/>
      <c r="L893" s="386">
        <v>6</v>
      </c>
      <c r="M893" s="384"/>
    </row>
    <row r="894" spans="1:13" s="12" customFormat="1" ht="23.25" customHeight="1" x14ac:dyDescent="0.35">
      <c r="A894" s="22">
        <f t="shared" si="42"/>
        <v>807</v>
      </c>
      <c r="B894" s="22" t="s">
        <v>1618</v>
      </c>
      <c r="C894" s="381" t="s">
        <v>1555</v>
      </c>
      <c r="D894" s="177"/>
      <c r="E894" s="177"/>
      <c r="F894" s="177"/>
      <c r="G894" s="177"/>
      <c r="H894" s="177"/>
      <c r="I894" s="177"/>
      <c r="J894" s="177"/>
      <c r="K894" s="177"/>
      <c r="L894" s="386">
        <v>6</v>
      </c>
      <c r="M894" s="384"/>
    </row>
    <row r="895" spans="1:13" s="12" customFormat="1" ht="23.25" customHeight="1" x14ac:dyDescent="0.35">
      <c r="A895" s="22">
        <f t="shared" si="42"/>
        <v>808</v>
      </c>
      <c r="B895" s="22" t="s">
        <v>1619</v>
      </c>
      <c r="C895" s="381" t="s">
        <v>1562</v>
      </c>
      <c r="D895" s="177"/>
      <c r="E895" s="177"/>
      <c r="F895" s="177"/>
      <c r="G895" s="177"/>
      <c r="H895" s="177"/>
      <c r="I895" s="177"/>
      <c r="J895" s="177"/>
      <c r="K895" s="177"/>
      <c r="L895" s="386">
        <v>10</v>
      </c>
      <c r="M895" s="384"/>
    </row>
    <row r="896" spans="1:13" s="12" customFormat="1" ht="23.25" customHeight="1" x14ac:dyDescent="0.35">
      <c r="A896" s="22">
        <f t="shared" si="42"/>
        <v>809</v>
      </c>
      <c r="B896" s="22" t="s">
        <v>1620</v>
      </c>
      <c r="C896" s="381" t="s">
        <v>1563</v>
      </c>
      <c r="D896" s="177"/>
      <c r="E896" s="177"/>
      <c r="F896" s="177"/>
      <c r="G896" s="177"/>
      <c r="H896" s="177"/>
      <c r="I896" s="177"/>
      <c r="J896" s="177"/>
      <c r="K896" s="177"/>
      <c r="L896" s="386">
        <v>20</v>
      </c>
      <c r="M896" s="384"/>
    </row>
    <row r="897" spans="1:13" s="12" customFormat="1" ht="23.25" customHeight="1" x14ac:dyDescent="0.35">
      <c r="A897" s="22">
        <f t="shared" si="42"/>
        <v>810</v>
      </c>
      <c r="B897" s="22" t="s">
        <v>1564</v>
      </c>
      <c r="C897" s="381" t="s">
        <v>1565</v>
      </c>
      <c r="D897" s="177"/>
      <c r="E897" s="177"/>
      <c r="F897" s="177"/>
      <c r="G897" s="177"/>
      <c r="H897" s="177"/>
      <c r="I897" s="177"/>
      <c r="J897" s="177"/>
      <c r="K897" s="177"/>
      <c r="L897" s="386">
        <v>8</v>
      </c>
      <c r="M897" s="384"/>
    </row>
    <row r="898" spans="1:13" s="12" customFormat="1" ht="23.25" customHeight="1" x14ac:dyDescent="0.35">
      <c r="A898" s="22">
        <f t="shared" si="42"/>
        <v>811</v>
      </c>
      <c r="B898" s="22" t="s">
        <v>1621</v>
      </c>
      <c r="C898" s="381" t="s">
        <v>1566</v>
      </c>
      <c r="D898" s="177"/>
      <c r="E898" s="177"/>
      <c r="F898" s="177"/>
      <c r="G898" s="177"/>
      <c r="H898" s="177"/>
      <c r="I898" s="177"/>
      <c r="J898" s="177"/>
      <c r="K898" s="177"/>
      <c r="L898" s="386">
        <v>20</v>
      </c>
      <c r="M898" s="384"/>
    </row>
    <row r="899" spans="1:13" s="12" customFormat="1" ht="23.25" customHeight="1" x14ac:dyDescent="0.35">
      <c r="A899" s="22">
        <f t="shared" si="42"/>
        <v>812</v>
      </c>
      <c r="B899" s="22" t="s">
        <v>1622</v>
      </c>
      <c r="C899" s="381" t="s">
        <v>1567</v>
      </c>
      <c r="D899" s="177"/>
      <c r="E899" s="177"/>
      <c r="F899" s="177"/>
      <c r="G899" s="177"/>
      <c r="H899" s="177"/>
      <c r="I899" s="177"/>
      <c r="J899" s="177"/>
      <c r="K899" s="177"/>
      <c r="L899" s="386">
        <v>20</v>
      </c>
      <c r="M899" s="384"/>
    </row>
    <row r="900" spans="1:13" s="12" customFormat="1" ht="23.25" customHeight="1" x14ac:dyDescent="0.35">
      <c r="A900" s="22">
        <f t="shared" si="42"/>
        <v>813</v>
      </c>
      <c r="B900" s="22" t="s">
        <v>1623</v>
      </c>
      <c r="C900" s="381" t="s">
        <v>1568</v>
      </c>
      <c r="D900" s="177"/>
      <c r="E900" s="177"/>
      <c r="F900" s="177"/>
      <c r="G900" s="177"/>
      <c r="H900" s="177"/>
      <c r="I900" s="177"/>
      <c r="J900" s="177"/>
      <c r="K900" s="177"/>
      <c r="L900" s="386">
        <v>5</v>
      </c>
      <c r="M900" s="384"/>
    </row>
    <row r="901" spans="1:13" s="12" customFormat="1" ht="23.25" customHeight="1" x14ac:dyDescent="0.35">
      <c r="A901" s="22">
        <f t="shared" si="42"/>
        <v>814</v>
      </c>
      <c r="B901" s="22" t="s">
        <v>1569</v>
      </c>
      <c r="C901" s="381" t="s">
        <v>1567</v>
      </c>
      <c r="D901" s="177"/>
      <c r="E901" s="177"/>
      <c r="F901" s="177"/>
      <c r="G901" s="177"/>
      <c r="H901" s="177"/>
      <c r="I901" s="177"/>
      <c r="J901" s="177"/>
      <c r="K901" s="177"/>
      <c r="L901" s="386">
        <v>20</v>
      </c>
      <c r="M901" s="384"/>
    </row>
    <row r="902" spans="1:13" s="12" customFormat="1" ht="23.25" customHeight="1" x14ac:dyDescent="0.35">
      <c r="A902" s="22">
        <f t="shared" si="42"/>
        <v>815</v>
      </c>
      <c r="B902" s="22" t="s">
        <v>1624</v>
      </c>
      <c r="C902" s="381"/>
      <c r="D902" s="177"/>
      <c r="E902" s="177"/>
      <c r="F902" s="177"/>
      <c r="G902" s="177"/>
      <c r="H902" s="177"/>
      <c r="I902" s="177"/>
      <c r="J902" s="177"/>
      <c r="K902" s="177"/>
      <c r="L902" s="386">
        <v>24</v>
      </c>
      <c r="M902" s="384"/>
    </row>
    <row r="903" spans="1:13" s="12" customFormat="1" ht="23.25" customHeight="1" x14ac:dyDescent="0.35">
      <c r="A903" s="22">
        <f t="shared" si="42"/>
        <v>816</v>
      </c>
      <c r="B903" s="22" t="s">
        <v>1625</v>
      </c>
      <c r="C903" s="381"/>
      <c r="D903" s="177"/>
      <c r="E903" s="177"/>
      <c r="F903" s="177"/>
      <c r="G903" s="177"/>
      <c r="H903" s="177"/>
      <c r="I903" s="177"/>
      <c r="J903" s="177"/>
      <c r="K903" s="177"/>
      <c r="L903" s="386">
        <v>24</v>
      </c>
      <c r="M903" s="384"/>
    </row>
    <row r="904" spans="1:13" s="12" customFormat="1" ht="23.25" customHeight="1" x14ac:dyDescent="0.35">
      <c r="A904" s="22">
        <f t="shared" si="42"/>
        <v>817</v>
      </c>
      <c r="B904" s="22" t="s">
        <v>1626</v>
      </c>
      <c r="C904" s="381"/>
      <c r="D904" s="177"/>
      <c r="E904" s="177"/>
      <c r="F904" s="177"/>
      <c r="G904" s="177"/>
      <c r="H904" s="177"/>
      <c r="I904" s="177"/>
      <c r="J904" s="177"/>
      <c r="K904" s="177"/>
      <c r="L904" s="386">
        <v>24</v>
      </c>
      <c r="M904" s="384"/>
    </row>
    <row r="905" spans="1:13" s="12" customFormat="1" ht="23.25" customHeight="1" x14ac:dyDescent="0.35">
      <c r="A905" s="22">
        <f t="shared" si="42"/>
        <v>818</v>
      </c>
      <c r="B905" s="22" t="s">
        <v>1627</v>
      </c>
      <c r="C905" s="381" t="s">
        <v>1568</v>
      </c>
      <c r="D905" s="177"/>
      <c r="E905" s="177"/>
      <c r="F905" s="177"/>
      <c r="G905" s="177"/>
      <c r="H905" s="177"/>
      <c r="I905" s="177"/>
      <c r="J905" s="177"/>
      <c r="K905" s="177"/>
      <c r="L905" s="386">
        <v>12</v>
      </c>
      <c r="M905" s="384"/>
    </row>
    <row r="906" spans="1:13" s="12" customFormat="1" ht="23.25" customHeight="1" x14ac:dyDescent="0.35">
      <c r="A906" s="22">
        <f t="shared" si="42"/>
        <v>819</v>
      </c>
      <c r="B906" s="22" t="s">
        <v>1628</v>
      </c>
      <c r="C906" s="381"/>
      <c r="D906" s="177"/>
      <c r="E906" s="177"/>
      <c r="F906" s="177"/>
      <c r="G906" s="177"/>
      <c r="H906" s="177"/>
      <c r="I906" s="177"/>
      <c r="J906" s="177"/>
      <c r="K906" s="177"/>
      <c r="L906" s="386">
        <v>30</v>
      </c>
      <c r="M906" s="384"/>
    </row>
    <row r="907" spans="1:13" s="12" customFormat="1" ht="23.25" customHeight="1" x14ac:dyDescent="0.35">
      <c r="A907" s="22">
        <f t="shared" si="42"/>
        <v>820</v>
      </c>
      <c r="B907" s="22" t="s">
        <v>1629</v>
      </c>
      <c r="C907" s="381"/>
      <c r="D907" s="177"/>
      <c r="E907" s="177"/>
      <c r="F907" s="177"/>
      <c r="G907" s="177"/>
      <c r="H907" s="177"/>
      <c r="I907" s="177"/>
      <c r="J907" s="177"/>
      <c r="K907" s="177"/>
      <c r="L907" s="386">
        <v>2</v>
      </c>
      <c r="M907" s="384"/>
    </row>
    <row r="908" spans="1:13" s="12" customFormat="1" ht="23.25" customHeight="1" x14ac:dyDescent="0.35">
      <c r="A908" s="22">
        <f t="shared" si="42"/>
        <v>821</v>
      </c>
      <c r="B908" s="22" t="s">
        <v>1630</v>
      </c>
      <c r="C908" s="381"/>
      <c r="D908" s="177"/>
      <c r="E908" s="177"/>
      <c r="F908" s="177"/>
      <c r="G908" s="177"/>
      <c r="H908" s="177"/>
      <c r="I908" s="177"/>
      <c r="J908" s="177"/>
      <c r="K908" s="177"/>
      <c r="L908" s="386">
        <v>6</v>
      </c>
      <c r="M908" s="384"/>
    </row>
    <row r="909" spans="1:13" s="12" customFormat="1" ht="23.25" customHeight="1" x14ac:dyDescent="0.35">
      <c r="A909" s="22">
        <f t="shared" si="42"/>
        <v>822</v>
      </c>
      <c r="B909" s="22" t="s">
        <v>1631</v>
      </c>
      <c r="C909" s="381"/>
      <c r="D909" s="177"/>
      <c r="E909" s="177"/>
      <c r="F909" s="177"/>
      <c r="G909" s="177"/>
      <c r="H909" s="177"/>
      <c r="I909" s="177"/>
      <c r="J909" s="177"/>
      <c r="K909" s="177"/>
      <c r="L909" s="386">
        <v>1</v>
      </c>
      <c r="M909" s="384"/>
    </row>
    <row r="910" spans="1:13" s="12" customFormat="1" ht="23.25" customHeight="1" x14ac:dyDescent="0.35">
      <c r="A910" s="22">
        <f t="shared" si="42"/>
        <v>823</v>
      </c>
      <c r="B910" s="22" t="s">
        <v>1632</v>
      </c>
      <c r="C910" s="381"/>
      <c r="D910" s="177"/>
      <c r="E910" s="177"/>
      <c r="F910" s="177"/>
      <c r="G910" s="177"/>
      <c r="H910" s="177"/>
      <c r="I910" s="177"/>
      <c r="J910" s="177"/>
      <c r="K910" s="177"/>
      <c r="L910" s="386">
        <v>2</v>
      </c>
      <c r="M910" s="384"/>
    </row>
    <row r="911" spans="1:13" s="12" customFormat="1" ht="23.25" customHeight="1" x14ac:dyDescent="0.35">
      <c r="A911" s="22">
        <f t="shared" si="42"/>
        <v>824</v>
      </c>
      <c r="B911" s="22" t="s">
        <v>1633</v>
      </c>
      <c r="C911" s="381"/>
      <c r="D911" s="177"/>
      <c r="E911" s="177"/>
      <c r="F911" s="177"/>
      <c r="G911" s="177"/>
      <c r="H911" s="177"/>
      <c r="I911" s="177"/>
      <c r="J911" s="177"/>
      <c r="K911" s="177"/>
      <c r="L911" s="386">
        <v>2</v>
      </c>
      <c r="M911" s="384"/>
    </row>
    <row r="912" spans="1:13" s="12" customFormat="1" ht="23.25" customHeight="1" x14ac:dyDescent="0.35">
      <c r="A912" s="22">
        <f t="shared" si="42"/>
        <v>825</v>
      </c>
      <c r="B912" s="22" t="s">
        <v>1634</v>
      </c>
      <c r="C912" s="381" t="s">
        <v>1555</v>
      </c>
      <c r="D912" s="177"/>
      <c r="E912" s="177"/>
      <c r="F912" s="177"/>
      <c r="G912" s="177"/>
      <c r="H912" s="177"/>
      <c r="I912" s="177"/>
      <c r="J912" s="177"/>
      <c r="K912" s="177"/>
      <c r="L912" s="386">
        <v>48</v>
      </c>
      <c r="M912" s="384"/>
    </row>
    <row r="913" spans="1:13" s="12" customFormat="1" ht="23.25" customHeight="1" x14ac:dyDescent="0.35">
      <c r="A913" s="22">
        <f t="shared" ref="A913:A932" si="43">1+A912</f>
        <v>826</v>
      </c>
      <c r="B913" s="22" t="s">
        <v>1635</v>
      </c>
      <c r="C913" s="381" t="s">
        <v>1555</v>
      </c>
      <c r="D913" s="177"/>
      <c r="E913" s="177"/>
      <c r="F913" s="177"/>
      <c r="G913" s="177"/>
      <c r="H913" s="177"/>
      <c r="I913" s="177"/>
      <c r="J913" s="177"/>
      <c r="K913" s="177"/>
      <c r="L913" s="386">
        <v>48</v>
      </c>
      <c r="M913" s="384"/>
    </row>
    <row r="914" spans="1:13" s="12" customFormat="1" ht="23.25" customHeight="1" x14ac:dyDescent="0.35">
      <c r="A914" s="22">
        <f t="shared" si="43"/>
        <v>827</v>
      </c>
      <c r="B914" s="22" t="s">
        <v>1636</v>
      </c>
      <c r="C914" s="381" t="s">
        <v>1555</v>
      </c>
      <c r="D914" s="177"/>
      <c r="E914" s="177"/>
      <c r="F914" s="177"/>
      <c r="G914" s="177"/>
      <c r="H914" s="177"/>
      <c r="I914" s="177"/>
      <c r="J914" s="177"/>
      <c r="K914" s="177"/>
      <c r="L914" s="386">
        <v>3</v>
      </c>
      <c r="M914" s="384"/>
    </row>
    <row r="915" spans="1:13" s="12" customFormat="1" ht="23.25" customHeight="1" x14ac:dyDescent="0.35">
      <c r="A915" s="22">
        <f t="shared" si="43"/>
        <v>828</v>
      </c>
      <c r="B915" s="22" t="s">
        <v>1637</v>
      </c>
      <c r="C915" s="381" t="s">
        <v>1555</v>
      </c>
      <c r="D915" s="177"/>
      <c r="E915" s="177"/>
      <c r="F915" s="177"/>
      <c r="G915" s="177"/>
      <c r="H915" s="177"/>
      <c r="I915" s="177"/>
      <c r="J915" s="177"/>
      <c r="K915" s="177"/>
      <c r="L915" s="386">
        <v>3</v>
      </c>
      <c r="M915" s="384"/>
    </row>
    <row r="916" spans="1:13" s="12" customFormat="1" ht="23.25" customHeight="1" x14ac:dyDescent="0.35">
      <c r="A916" s="22">
        <f t="shared" si="43"/>
        <v>829</v>
      </c>
      <c r="B916" s="22" t="s">
        <v>1638</v>
      </c>
      <c r="C916" s="381" t="s">
        <v>1549</v>
      </c>
      <c r="D916" s="177"/>
      <c r="E916" s="177"/>
      <c r="F916" s="177"/>
      <c r="G916" s="177"/>
      <c r="H916" s="177"/>
      <c r="I916" s="177"/>
      <c r="J916" s="177"/>
      <c r="K916" s="177"/>
      <c r="L916" s="386">
        <v>10</v>
      </c>
      <c r="M916" s="384"/>
    </row>
    <row r="917" spans="1:13" s="12" customFormat="1" ht="23.25" customHeight="1" x14ac:dyDescent="0.35">
      <c r="A917" s="22">
        <f t="shared" si="43"/>
        <v>830</v>
      </c>
      <c r="B917" s="22" t="s">
        <v>1639</v>
      </c>
      <c r="C917" s="381" t="s">
        <v>1549</v>
      </c>
      <c r="D917" s="177"/>
      <c r="E917" s="177"/>
      <c r="F917" s="177"/>
      <c r="G917" s="177"/>
      <c r="H917" s="177"/>
      <c r="I917" s="177"/>
      <c r="J917" s="177"/>
      <c r="K917" s="177"/>
      <c r="L917" s="386">
        <v>7</v>
      </c>
      <c r="M917" s="384"/>
    </row>
    <row r="918" spans="1:13" s="12" customFormat="1" ht="23.25" customHeight="1" x14ac:dyDescent="0.35">
      <c r="A918" s="22">
        <f t="shared" si="43"/>
        <v>831</v>
      </c>
      <c r="B918" s="22" t="s">
        <v>1640</v>
      </c>
      <c r="C918" s="381" t="s">
        <v>1560</v>
      </c>
      <c r="D918" s="177"/>
      <c r="E918" s="177"/>
      <c r="F918" s="177"/>
      <c r="G918" s="177"/>
      <c r="H918" s="177"/>
      <c r="I918" s="177"/>
      <c r="J918" s="177"/>
      <c r="K918" s="177"/>
      <c r="L918" s="386">
        <v>6</v>
      </c>
      <c r="M918" s="384"/>
    </row>
    <row r="919" spans="1:13" s="12" customFormat="1" ht="23.25" customHeight="1" x14ac:dyDescent="0.35">
      <c r="A919" s="22">
        <f t="shared" si="43"/>
        <v>832</v>
      </c>
      <c r="B919" s="22" t="s">
        <v>1641</v>
      </c>
      <c r="C919" s="381"/>
      <c r="D919" s="177"/>
      <c r="E919" s="177"/>
      <c r="F919" s="177"/>
      <c r="G919" s="177"/>
      <c r="H919" s="177"/>
      <c r="I919" s="177"/>
      <c r="J919" s="177"/>
      <c r="K919" s="177"/>
      <c r="L919" s="386">
        <v>24</v>
      </c>
      <c r="M919" s="384"/>
    </row>
    <row r="920" spans="1:13" s="12" customFormat="1" ht="23.25" customHeight="1" x14ac:dyDescent="0.35">
      <c r="A920" s="22">
        <f t="shared" si="43"/>
        <v>833</v>
      </c>
      <c r="B920" s="22" t="s">
        <v>1642</v>
      </c>
      <c r="C920" s="381"/>
      <c r="D920" s="177"/>
      <c r="E920" s="177"/>
      <c r="F920" s="177"/>
      <c r="G920" s="177"/>
      <c r="H920" s="177"/>
      <c r="I920" s="177"/>
      <c r="J920" s="177"/>
      <c r="K920" s="177"/>
      <c r="L920" s="386">
        <v>6</v>
      </c>
      <c r="M920" s="384"/>
    </row>
    <row r="921" spans="1:13" s="12" customFormat="1" ht="23.25" customHeight="1" x14ac:dyDescent="0.35">
      <c r="A921" s="22">
        <f t="shared" si="43"/>
        <v>834</v>
      </c>
      <c r="B921" s="22" t="s">
        <v>1643</v>
      </c>
      <c r="C921" s="381"/>
      <c r="D921" s="177"/>
      <c r="E921" s="177"/>
      <c r="F921" s="177"/>
      <c r="G921" s="177"/>
      <c r="H921" s="177"/>
      <c r="I921" s="177"/>
      <c r="J921" s="177"/>
      <c r="K921" s="177"/>
      <c r="L921" s="386">
        <v>3</v>
      </c>
      <c r="M921" s="384"/>
    </row>
    <row r="922" spans="1:13" s="12" customFormat="1" ht="23.25" customHeight="1" x14ac:dyDescent="0.35">
      <c r="A922" s="22">
        <f t="shared" si="43"/>
        <v>835</v>
      </c>
      <c r="B922" s="22" t="s">
        <v>1644</v>
      </c>
      <c r="C922" s="381"/>
      <c r="D922" s="177"/>
      <c r="E922" s="177"/>
      <c r="F922" s="177"/>
      <c r="G922" s="177"/>
      <c r="H922" s="177"/>
      <c r="I922" s="177"/>
      <c r="J922" s="177"/>
      <c r="K922" s="177"/>
      <c r="L922" s="386">
        <v>2</v>
      </c>
      <c r="M922" s="384"/>
    </row>
    <row r="923" spans="1:13" s="12" customFormat="1" ht="23.25" customHeight="1" x14ac:dyDescent="0.35">
      <c r="A923" s="22">
        <f t="shared" si="43"/>
        <v>836</v>
      </c>
      <c r="B923" s="22" t="s">
        <v>1645</v>
      </c>
      <c r="C923" s="381"/>
      <c r="D923" s="177"/>
      <c r="E923" s="177"/>
      <c r="F923" s="177"/>
      <c r="G923" s="177"/>
      <c r="H923" s="177"/>
      <c r="I923" s="177"/>
      <c r="J923" s="177"/>
      <c r="K923" s="177"/>
      <c r="L923" s="386">
        <v>2</v>
      </c>
      <c r="M923" s="384"/>
    </row>
    <row r="924" spans="1:13" s="12" customFormat="1" ht="23.25" customHeight="1" x14ac:dyDescent="0.35">
      <c r="A924" s="22">
        <f t="shared" si="43"/>
        <v>837</v>
      </c>
      <c r="B924" s="22" t="s">
        <v>1646</v>
      </c>
      <c r="C924" s="381"/>
      <c r="D924" s="177"/>
      <c r="E924" s="177"/>
      <c r="F924" s="177"/>
      <c r="G924" s="177"/>
      <c r="H924" s="177"/>
      <c r="I924" s="177"/>
      <c r="J924" s="177"/>
      <c r="K924" s="177"/>
      <c r="L924" s="386">
        <v>8</v>
      </c>
      <c r="M924" s="384"/>
    </row>
    <row r="925" spans="1:13" s="12" customFormat="1" ht="23.25" customHeight="1" x14ac:dyDescent="0.35">
      <c r="A925" s="22">
        <f t="shared" si="43"/>
        <v>838</v>
      </c>
      <c r="B925" s="22" t="s">
        <v>1647</v>
      </c>
      <c r="C925" s="381"/>
      <c r="D925" s="177"/>
      <c r="E925" s="177"/>
      <c r="F925" s="177"/>
      <c r="G925" s="177"/>
      <c r="H925" s="177"/>
      <c r="I925" s="177"/>
      <c r="J925" s="177"/>
      <c r="K925" s="177"/>
      <c r="L925" s="386">
        <v>3</v>
      </c>
      <c r="M925" s="384"/>
    </row>
    <row r="926" spans="1:13" s="12" customFormat="1" ht="23.25" customHeight="1" x14ac:dyDescent="0.35">
      <c r="A926" s="22">
        <f t="shared" si="43"/>
        <v>839</v>
      </c>
      <c r="B926" s="22" t="s">
        <v>1648</v>
      </c>
      <c r="C926" s="381" t="s">
        <v>1570</v>
      </c>
      <c r="D926" s="177"/>
      <c r="E926" s="177"/>
      <c r="F926" s="177"/>
      <c r="G926" s="177"/>
      <c r="H926" s="177"/>
      <c r="I926" s="177"/>
      <c r="J926" s="177"/>
      <c r="K926" s="177"/>
      <c r="L926" s="386">
        <v>12</v>
      </c>
      <c r="M926" s="384"/>
    </row>
    <row r="927" spans="1:13" s="12" customFormat="1" ht="23.25" customHeight="1" x14ac:dyDescent="0.35">
      <c r="A927" s="22">
        <f t="shared" si="43"/>
        <v>840</v>
      </c>
      <c r="B927" s="22" t="s">
        <v>1649</v>
      </c>
      <c r="C927" s="381" t="s">
        <v>1571</v>
      </c>
      <c r="D927" s="177"/>
      <c r="E927" s="177"/>
      <c r="F927" s="177"/>
      <c r="G927" s="177"/>
      <c r="H927" s="177"/>
      <c r="I927" s="177"/>
      <c r="J927" s="177"/>
      <c r="K927" s="177"/>
      <c r="L927" s="386">
        <v>1</v>
      </c>
      <c r="M927" s="384"/>
    </row>
    <row r="928" spans="1:13" s="12" customFormat="1" ht="23.25" customHeight="1" x14ac:dyDescent="0.35">
      <c r="A928" s="22">
        <f t="shared" si="43"/>
        <v>841</v>
      </c>
      <c r="B928" s="22" t="s">
        <v>1650</v>
      </c>
      <c r="C928" s="381" t="s">
        <v>1561</v>
      </c>
      <c r="D928" s="177"/>
      <c r="E928" s="177"/>
      <c r="F928" s="177"/>
      <c r="G928" s="177"/>
      <c r="H928" s="177"/>
      <c r="I928" s="177"/>
      <c r="J928" s="177"/>
      <c r="K928" s="177"/>
      <c r="L928" s="386">
        <v>1</v>
      </c>
      <c r="M928" s="384"/>
    </row>
    <row r="929" spans="1:13" s="12" customFormat="1" ht="23.25" customHeight="1" x14ac:dyDescent="0.35">
      <c r="A929" s="22">
        <f t="shared" si="43"/>
        <v>842</v>
      </c>
      <c r="B929" s="22" t="s">
        <v>1651</v>
      </c>
      <c r="C929" s="381"/>
      <c r="D929" s="177"/>
      <c r="E929" s="177"/>
      <c r="F929" s="177"/>
      <c r="G929" s="177"/>
      <c r="H929" s="177"/>
      <c r="I929" s="177"/>
      <c r="J929" s="177"/>
      <c r="K929" s="177"/>
      <c r="L929" s="386">
        <v>1</v>
      </c>
      <c r="M929" s="384"/>
    </row>
    <row r="930" spans="1:13" s="12" customFormat="1" ht="23.25" customHeight="1" x14ac:dyDescent="0.35">
      <c r="A930" s="22">
        <f t="shared" si="43"/>
        <v>843</v>
      </c>
      <c r="B930" s="22" t="s">
        <v>1652</v>
      </c>
      <c r="C930" s="381"/>
      <c r="D930" s="177"/>
      <c r="E930" s="177"/>
      <c r="F930" s="177"/>
      <c r="G930" s="177"/>
      <c r="H930" s="177"/>
      <c r="I930" s="177"/>
      <c r="J930" s="177"/>
      <c r="K930" s="177"/>
      <c r="L930" s="386">
        <v>7</v>
      </c>
      <c r="M930" s="384"/>
    </row>
    <row r="931" spans="1:13" s="12" customFormat="1" ht="23.25" customHeight="1" x14ac:dyDescent="0.35">
      <c r="A931" s="22">
        <f t="shared" si="43"/>
        <v>844</v>
      </c>
      <c r="B931" s="22" t="s">
        <v>1653</v>
      </c>
      <c r="C931" s="381"/>
      <c r="D931" s="177"/>
      <c r="E931" s="177"/>
      <c r="F931" s="177"/>
      <c r="G931" s="177"/>
      <c r="H931" s="177"/>
      <c r="I931" s="177"/>
      <c r="J931" s="177"/>
      <c r="K931" s="177"/>
      <c r="L931" s="386">
        <v>20</v>
      </c>
      <c r="M931" s="384"/>
    </row>
    <row r="932" spans="1:13" s="12" customFormat="1" ht="23.25" customHeight="1" x14ac:dyDescent="0.35">
      <c r="A932" s="22">
        <f t="shared" si="43"/>
        <v>845</v>
      </c>
      <c r="B932" s="22" t="s">
        <v>1654</v>
      </c>
      <c r="C932" s="381"/>
      <c r="D932" s="177"/>
      <c r="E932" s="177"/>
      <c r="F932" s="177"/>
      <c r="G932" s="177"/>
      <c r="H932" s="177"/>
      <c r="I932" s="177"/>
      <c r="J932" s="177"/>
      <c r="K932" s="177"/>
      <c r="L932" s="386">
        <v>20</v>
      </c>
      <c r="M932" s="384"/>
    </row>
    <row r="933" spans="1:13" s="12" customFormat="1" ht="23.25" customHeight="1" x14ac:dyDescent="0.35">
      <c r="A933" s="22"/>
      <c r="B933" s="22"/>
      <c r="C933" s="372"/>
      <c r="D933" s="177"/>
      <c r="E933" s="177"/>
      <c r="F933" s="177"/>
      <c r="G933" s="177"/>
      <c r="H933" s="177"/>
      <c r="I933" s="177"/>
      <c r="J933" s="177"/>
      <c r="K933" s="177"/>
      <c r="L933" s="22"/>
      <c r="M933" s="384"/>
    </row>
    <row r="934" spans="1:13" s="12" customFormat="1" ht="23.25" customHeight="1" x14ac:dyDescent="0.35">
      <c r="A934" s="22"/>
      <c r="B934" s="22"/>
      <c r="C934" s="372"/>
      <c r="D934" s="177"/>
      <c r="E934" s="177"/>
      <c r="F934" s="177"/>
      <c r="G934" s="177"/>
      <c r="H934" s="177"/>
      <c r="I934" s="177"/>
      <c r="J934" s="177"/>
      <c r="K934" s="177"/>
      <c r="L934" s="22"/>
      <c r="M934" s="384"/>
    </row>
    <row r="935" spans="1:13" s="12" customFormat="1" ht="23.25" customHeight="1" x14ac:dyDescent="0.35">
      <c r="A935" s="22"/>
      <c r="B935" s="22"/>
      <c r="C935" s="372"/>
      <c r="D935" s="177"/>
      <c r="E935" s="177"/>
      <c r="F935" s="177"/>
      <c r="G935" s="177"/>
      <c r="H935" s="177"/>
      <c r="I935" s="177"/>
      <c r="J935" s="177"/>
      <c r="K935" s="177"/>
      <c r="L935" s="22"/>
      <c r="M935" s="384"/>
    </row>
    <row r="936" spans="1:13" s="12" customFormat="1" ht="23.25" customHeight="1" x14ac:dyDescent="0.35">
      <c r="A936" s="22"/>
      <c r="B936" s="22"/>
      <c r="C936" s="372"/>
      <c r="D936" s="177"/>
      <c r="E936" s="177"/>
      <c r="F936" s="177"/>
      <c r="G936" s="177"/>
      <c r="H936" s="177"/>
      <c r="I936" s="177"/>
      <c r="J936" s="177"/>
      <c r="K936" s="177"/>
      <c r="L936" s="22"/>
      <c r="M936" s="384"/>
    </row>
    <row r="937" spans="1:13" s="12" customFormat="1" ht="28.5" x14ac:dyDescent="0.35">
      <c r="A937" s="22" t="s">
        <v>1658</v>
      </c>
      <c r="B937" s="383" t="s">
        <v>1657</v>
      </c>
      <c r="C937" s="372"/>
      <c r="D937" s="177"/>
      <c r="E937" s="177"/>
      <c r="F937" s="177"/>
      <c r="G937" s="177"/>
      <c r="H937" s="177"/>
      <c r="I937" s="177"/>
      <c r="J937" s="177"/>
      <c r="K937" s="177"/>
      <c r="L937" s="22"/>
      <c r="M937" s="384"/>
    </row>
    <row r="938" spans="1:13" s="12" customFormat="1" ht="23.25" customHeight="1" x14ac:dyDescent="0.35">
      <c r="A938" s="22"/>
      <c r="B938" s="22"/>
      <c r="C938" s="372"/>
      <c r="D938" s="177"/>
      <c r="E938" s="177"/>
      <c r="F938" s="177"/>
      <c r="G938" s="177"/>
      <c r="H938" s="177"/>
      <c r="I938" s="177"/>
      <c r="J938" s="177"/>
      <c r="K938" s="177"/>
      <c r="L938" s="22"/>
      <c r="M938" s="384"/>
    </row>
    <row r="939" spans="1:13" s="12" customFormat="1" ht="23.25" customHeight="1" x14ac:dyDescent="0.35">
      <c r="A939" s="22">
        <f>1+A932</f>
        <v>846</v>
      </c>
      <c r="B939" s="22" t="s">
        <v>1701</v>
      </c>
      <c r="C939" s="411" t="s">
        <v>1660</v>
      </c>
      <c r="D939" s="177"/>
      <c r="E939" s="177"/>
      <c r="F939" s="177"/>
      <c r="G939" s="177"/>
      <c r="H939" s="177"/>
      <c r="I939" s="177"/>
      <c r="J939" s="177"/>
      <c r="K939" s="177"/>
      <c r="L939" s="412">
        <v>1</v>
      </c>
      <c r="M939" s="384"/>
    </row>
    <row r="940" spans="1:13" s="12" customFormat="1" ht="23.25" customHeight="1" x14ac:dyDescent="0.35">
      <c r="A940" s="22">
        <f>1+A939</f>
        <v>847</v>
      </c>
      <c r="B940" s="22" t="s">
        <v>1702</v>
      </c>
      <c r="C940" s="411" t="s">
        <v>1660</v>
      </c>
      <c r="D940" s="177"/>
      <c r="E940" s="177"/>
      <c r="F940" s="177"/>
      <c r="G940" s="177"/>
      <c r="H940" s="177"/>
      <c r="I940" s="177"/>
      <c r="J940" s="177"/>
      <c r="K940" s="177"/>
      <c r="L940" s="412">
        <v>1</v>
      </c>
      <c r="M940" s="384"/>
    </row>
    <row r="941" spans="1:13" s="12" customFormat="1" ht="23.25" customHeight="1" x14ac:dyDescent="0.35">
      <c r="A941" s="22">
        <f t="shared" ref="A941:A994" si="44">1+A940</f>
        <v>848</v>
      </c>
      <c r="B941" s="22" t="s">
        <v>1703</v>
      </c>
      <c r="C941" s="411" t="s">
        <v>1661</v>
      </c>
      <c r="D941" s="177"/>
      <c r="E941" s="177"/>
      <c r="F941" s="177"/>
      <c r="G941" s="177"/>
      <c r="H941" s="177"/>
      <c r="I941" s="177"/>
      <c r="J941" s="177"/>
      <c r="K941" s="177"/>
      <c r="L941" s="412">
        <v>1</v>
      </c>
      <c r="M941" s="384"/>
    </row>
    <row r="942" spans="1:13" s="12" customFormat="1" ht="23.25" customHeight="1" x14ac:dyDescent="0.35">
      <c r="A942" s="22">
        <f t="shared" si="44"/>
        <v>849</v>
      </c>
      <c r="B942" s="22" t="s">
        <v>1704</v>
      </c>
      <c r="C942" s="411" t="s">
        <v>1662</v>
      </c>
      <c r="D942" s="177"/>
      <c r="E942" s="177"/>
      <c r="F942" s="177"/>
      <c r="G942" s="177"/>
      <c r="H942" s="177"/>
      <c r="I942" s="177"/>
      <c r="J942" s="177"/>
      <c r="K942" s="177"/>
      <c r="L942" s="412">
        <v>180</v>
      </c>
      <c r="M942" s="384"/>
    </row>
    <row r="943" spans="1:13" s="12" customFormat="1" ht="23.25" customHeight="1" x14ac:dyDescent="0.35">
      <c r="A943" s="22">
        <f t="shared" si="44"/>
        <v>850</v>
      </c>
      <c r="B943" s="22" t="s">
        <v>1705</v>
      </c>
      <c r="C943" s="411" t="s">
        <v>1663</v>
      </c>
      <c r="D943" s="177"/>
      <c r="E943" s="177"/>
      <c r="F943" s="177"/>
      <c r="G943" s="177"/>
      <c r="H943" s="177"/>
      <c r="I943" s="177"/>
      <c r="J943" s="177"/>
      <c r="K943" s="177"/>
      <c r="L943" s="412">
        <v>20</v>
      </c>
      <c r="M943" s="384"/>
    </row>
    <row r="944" spans="1:13" s="12" customFormat="1" ht="23.25" customHeight="1" x14ac:dyDescent="0.35">
      <c r="A944" s="22">
        <f t="shared" si="44"/>
        <v>851</v>
      </c>
      <c r="B944" s="22" t="s">
        <v>1706</v>
      </c>
      <c r="C944" s="411" t="s">
        <v>1664</v>
      </c>
      <c r="D944" s="177"/>
      <c r="E944" s="177"/>
      <c r="F944" s="177"/>
      <c r="G944" s="177"/>
      <c r="H944" s="177"/>
      <c r="I944" s="177"/>
      <c r="J944" s="177"/>
      <c r="K944" s="177"/>
      <c r="L944" s="412">
        <v>15</v>
      </c>
      <c r="M944" s="384"/>
    </row>
    <row r="945" spans="1:12" ht="23.25" customHeight="1" x14ac:dyDescent="0.35">
      <c r="A945" s="22">
        <f t="shared" si="44"/>
        <v>852</v>
      </c>
      <c r="B945" s="22" t="s">
        <v>1707</v>
      </c>
      <c r="C945" s="411" t="s">
        <v>1665</v>
      </c>
      <c r="D945" s="177"/>
      <c r="E945" s="177"/>
      <c r="F945" s="177"/>
      <c r="G945" s="177"/>
      <c r="H945" s="177"/>
      <c r="I945" s="177"/>
      <c r="J945" s="177"/>
      <c r="K945" s="177"/>
      <c r="L945" s="412">
        <v>20</v>
      </c>
    </row>
    <row r="946" spans="1:12" ht="23.25" customHeight="1" x14ac:dyDescent="0.35">
      <c r="A946" s="22">
        <f t="shared" si="44"/>
        <v>853</v>
      </c>
      <c r="B946" s="22" t="s">
        <v>1708</v>
      </c>
      <c r="C946" s="411" t="s">
        <v>1666</v>
      </c>
      <c r="D946" s="177"/>
      <c r="E946" s="177"/>
      <c r="F946" s="177"/>
      <c r="G946" s="177"/>
      <c r="H946" s="177"/>
      <c r="I946" s="177"/>
      <c r="J946" s="177"/>
      <c r="K946" s="177"/>
      <c r="L946" s="412">
        <v>20</v>
      </c>
    </row>
    <row r="947" spans="1:12" ht="23.25" customHeight="1" x14ac:dyDescent="0.35">
      <c r="A947" s="22">
        <f t="shared" si="44"/>
        <v>854</v>
      </c>
      <c r="B947" s="22" t="s">
        <v>1709</v>
      </c>
      <c r="C947" s="411" t="s">
        <v>1665</v>
      </c>
      <c r="D947" s="177"/>
      <c r="E947" s="177"/>
      <c r="F947" s="177"/>
      <c r="G947" s="177"/>
      <c r="H947" s="177"/>
      <c r="I947" s="177"/>
      <c r="J947" s="177"/>
      <c r="K947" s="177"/>
      <c r="L947" s="412">
        <v>20</v>
      </c>
    </row>
    <row r="948" spans="1:12" ht="23.25" customHeight="1" x14ac:dyDescent="0.35">
      <c r="A948" s="22">
        <f t="shared" si="44"/>
        <v>855</v>
      </c>
      <c r="B948" s="22" t="s">
        <v>1710</v>
      </c>
      <c r="C948" s="411" t="s">
        <v>1664</v>
      </c>
      <c r="D948" s="177"/>
      <c r="E948" s="177"/>
      <c r="F948" s="177"/>
      <c r="G948" s="177"/>
      <c r="H948" s="177"/>
      <c r="I948" s="177"/>
      <c r="J948" s="177"/>
      <c r="K948" s="177"/>
      <c r="L948" s="412">
        <v>1</v>
      </c>
    </row>
    <row r="949" spans="1:12" ht="23.25" customHeight="1" x14ac:dyDescent="0.35">
      <c r="A949" s="22">
        <f t="shared" si="44"/>
        <v>856</v>
      </c>
      <c r="B949" s="22" t="s">
        <v>1711</v>
      </c>
      <c r="C949" s="413" t="s">
        <v>1664</v>
      </c>
      <c r="D949" s="177"/>
      <c r="E949" s="177"/>
      <c r="F949" s="177"/>
      <c r="G949" s="177"/>
      <c r="H949" s="177"/>
      <c r="I949" s="177"/>
      <c r="J949" s="177"/>
      <c r="K949" s="177"/>
      <c r="L949" s="412">
        <v>10</v>
      </c>
    </row>
    <row r="950" spans="1:12" ht="23.25" customHeight="1" x14ac:dyDescent="0.35">
      <c r="A950" s="22">
        <f t="shared" si="44"/>
        <v>857</v>
      </c>
      <c r="B950" s="22" t="s">
        <v>1712</v>
      </c>
      <c r="C950" s="413" t="s">
        <v>1667</v>
      </c>
      <c r="D950" s="177"/>
      <c r="E950" s="177"/>
      <c r="F950" s="177"/>
      <c r="G950" s="177"/>
      <c r="H950" s="177"/>
      <c r="I950" s="177"/>
      <c r="J950" s="177"/>
      <c r="K950" s="177"/>
      <c r="L950" s="412">
        <v>20</v>
      </c>
    </row>
    <row r="951" spans="1:12" ht="23.25" customHeight="1" x14ac:dyDescent="0.35">
      <c r="A951" s="22">
        <f t="shared" si="44"/>
        <v>858</v>
      </c>
      <c r="B951" s="22" t="s">
        <v>1713</v>
      </c>
      <c r="C951" s="413" t="s">
        <v>1668</v>
      </c>
      <c r="D951" s="177"/>
      <c r="E951" s="177"/>
      <c r="F951" s="177"/>
      <c r="G951" s="177"/>
      <c r="H951" s="177"/>
      <c r="I951" s="177"/>
      <c r="J951" s="177"/>
      <c r="K951" s="177"/>
      <c r="L951" s="412">
        <v>5</v>
      </c>
    </row>
    <row r="952" spans="1:12" ht="23.25" customHeight="1" x14ac:dyDescent="0.35">
      <c r="A952" s="22">
        <f t="shared" si="44"/>
        <v>859</v>
      </c>
      <c r="B952" s="22" t="s">
        <v>1714</v>
      </c>
      <c r="C952" s="413" t="s">
        <v>1568</v>
      </c>
      <c r="D952" s="177"/>
      <c r="E952" s="177"/>
      <c r="F952" s="177"/>
      <c r="G952" s="177"/>
      <c r="H952" s="177"/>
      <c r="I952" s="177"/>
      <c r="J952" s="177"/>
      <c r="K952" s="177"/>
      <c r="L952" s="412">
        <v>1</v>
      </c>
    </row>
    <row r="953" spans="1:12" ht="23.25" customHeight="1" x14ac:dyDescent="0.35">
      <c r="A953" s="22">
        <f t="shared" si="44"/>
        <v>860</v>
      </c>
      <c r="B953" s="22" t="s">
        <v>1715</v>
      </c>
      <c r="C953" s="413" t="s">
        <v>1669</v>
      </c>
      <c r="D953" s="177"/>
      <c r="E953" s="177"/>
      <c r="F953" s="177"/>
      <c r="G953" s="177"/>
      <c r="H953" s="177"/>
      <c r="I953" s="177"/>
      <c r="J953" s="177"/>
      <c r="K953" s="177"/>
      <c r="L953" s="412">
        <v>5</v>
      </c>
    </row>
    <row r="954" spans="1:12" ht="23.25" customHeight="1" x14ac:dyDescent="0.35">
      <c r="A954" s="22">
        <f t="shared" si="44"/>
        <v>861</v>
      </c>
      <c r="B954" s="22" t="s">
        <v>1716</v>
      </c>
      <c r="C954" s="413" t="s">
        <v>1670</v>
      </c>
      <c r="D954" s="177"/>
      <c r="E954" s="177"/>
      <c r="F954" s="177"/>
      <c r="G954" s="177"/>
      <c r="H954" s="177"/>
      <c r="I954" s="177"/>
      <c r="J954" s="177"/>
      <c r="K954" s="177"/>
      <c r="L954" s="412">
        <v>15</v>
      </c>
    </row>
    <row r="955" spans="1:12" ht="23.25" customHeight="1" x14ac:dyDescent="0.35">
      <c r="A955" s="22">
        <f t="shared" si="44"/>
        <v>862</v>
      </c>
      <c r="B955" s="22" t="s">
        <v>1717</v>
      </c>
      <c r="C955" s="413" t="s">
        <v>1671</v>
      </c>
      <c r="D955" s="177"/>
      <c r="E955" s="177"/>
      <c r="F955" s="177"/>
      <c r="G955" s="177"/>
      <c r="H955" s="177"/>
      <c r="I955" s="177"/>
      <c r="J955" s="177"/>
      <c r="K955" s="177"/>
      <c r="L955" s="412">
        <v>1</v>
      </c>
    </row>
    <row r="956" spans="1:12" ht="23.25" customHeight="1" x14ac:dyDescent="0.35">
      <c r="A956" s="22">
        <f t="shared" si="44"/>
        <v>863</v>
      </c>
      <c r="B956" s="22" t="s">
        <v>1718</v>
      </c>
      <c r="C956" s="411" t="s">
        <v>1672</v>
      </c>
      <c r="D956" s="177"/>
      <c r="E956" s="177"/>
      <c r="F956" s="177"/>
      <c r="G956" s="177"/>
      <c r="H956" s="177"/>
      <c r="I956" s="177"/>
      <c r="J956" s="177"/>
      <c r="K956" s="177"/>
      <c r="L956" s="412">
        <v>8</v>
      </c>
    </row>
    <row r="957" spans="1:12" ht="23.25" customHeight="1" x14ac:dyDescent="0.35">
      <c r="A957" s="22">
        <f t="shared" si="44"/>
        <v>864</v>
      </c>
      <c r="B957" s="22" t="s">
        <v>1719</v>
      </c>
      <c r="C957" s="411" t="s">
        <v>1673</v>
      </c>
      <c r="D957" s="177"/>
      <c r="E957" s="177"/>
      <c r="F957" s="177"/>
      <c r="G957" s="177"/>
      <c r="H957" s="177"/>
      <c r="I957" s="177"/>
      <c r="J957" s="177"/>
      <c r="K957" s="177"/>
      <c r="L957" s="412">
        <v>10</v>
      </c>
    </row>
    <row r="958" spans="1:12" ht="23.25" customHeight="1" x14ac:dyDescent="0.35">
      <c r="A958" s="22">
        <f t="shared" si="44"/>
        <v>865</v>
      </c>
      <c r="B958" s="22" t="s">
        <v>1674</v>
      </c>
      <c r="C958" s="411" t="s">
        <v>1675</v>
      </c>
      <c r="D958" s="177"/>
      <c r="E958" s="177"/>
      <c r="F958" s="177"/>
      <c r="G958" s="177"/>
      <c r="H958" s="177"/>
      <c r="I958" s="177"/>
      <c r="J958" s="177"/>
      <c r="K958" s="177"/>
      <c r="L958" s="412">
        <v>4</v>
      </c>
    </row>
    <row r="959" spans="1:12" ht="23.25" customHeight="1" x14ac:dyDescent="0.35">
      <c r="A959" s="22">
        <f t="shared" si="44"/>
        <v>866</v>
      </c>
      <c r="B959" s="22" t="s">
        <v>1720</v>
      </c>
      <c r="C959" s="411" t="s">
        <v>1676</v>
      </c>
      <c r="D959" s="177"/>
      <c r="E959" s="177"/>
      <c r="F959" s="177"/>
      <c r="G959" s="177"/>
      <c r="H959" s="177"/>
      <c r="I959" s="177"/>
      <c r="J959" s="177"/>
      <c r="K959" s="177"/>
      <c r="L959" s="412">
        <v>4</v>
      </c>
    </row>
    <row r="960" spans="1:12" ht="23.25" customHeight="1" x14ac:dyDescent="0.35">
      <c r="A960" s="22">
        <f t="shared" si="44"/>
        <v>867</v>
      </c>
      <c r="B960" s="22" t="s">
        <v>1721</v>
      </c>
      <c r="C960" s="411" t="s">
        <v>1677</v>
      </c>
      <c r="D960" s="177"/>
      <c r="E960" s="177"/>
      <c r="F960" s="177"/>
      <c r="G960" s="177"/>
      <c r="H960" s="177"/>
      <c r="I960" s="177"/>
      <c r="J960" s="177"/>
      <c r="K960" s="177"/>
      <c r="L960" s="412">
        <v>4</v>
      </c>
    </row>
    <row r="961" spans="1:12" ht="23.25" customHeight="1" x14ac:dyDescent="0.35">
      <c r="A961" s="22">
        <f t="shared" si="44"/>
        <v>868</v>
      </c>
      <c r="B961" s="22" t="s">
        <v>1722</v>
      </c>
      <c r="C961" s="411" t="s">
        <v>1678</v>
      </c>
      <c r="D961" s="177"/>
      <c r="E961" s="177"/>
      <c r="F961" s="177"/>
      <c r="G961" s="177"/>
      <c r="H961" s="177"/>
      <c r="I961" s="177"/>
      <c r="J961" s="177"/>
      <c r="K961" s="177"/>
      <c r="L961" s="412">
        <v>2</v>
      </c>
    </row>
    <row r="962" spans="1:12" ht="23.25" customHeight="1" x14ac:dyDescent="0.35">
      <c r="A962" s="22">
        <f t="shared" si="44"/>
        <v>869</v>
      </c>
      <c r="B962" s="22" t="s">
        <v>1723</v>
      </c>
      <c r="C962" s="411" t="s">
        <v>1679</v>
      </c>
      <c r="D962" s="177"/>
      <c r="E962" s="177"/>
      <c r="F962" s="177"/>
      <c r="G962" s="177"/>
      <c r="H962" s="177"/>
      <c r="I962" s="177"/>
      <c r="J962" s="177"/>
      <c r="K962" s="177"/>
      <c r="L962" s="412">
        <v>8</v>
      </c>
    </row>
    <row r="963" spans="1:12" ht="23.25" customHeight="1" x14ac:dyDescent="0.35">
      <c r="A963" s="22">
        <f t="shared" si="44"/>
        <v>870</v>
      </c>
      <c r="B963" s="22" t="s">
        <v>1724</v>
      </c>
      <c r="C963" s="411" t="s">
        <v>1679</v>
      </c>
      <c r="D963" s="177"/>
      <c r="E963" s="177"/>
      <c r="F963" s="177"/>
      <c r="G963" s="177"/>
      <c r="H963" s="177"/>
      <c r="I963" s="177"/>
      <c r="J963" s="177"/>
      <c r="K963" s="177"/>
      <c r="L963" s="412">
        <v>8</v>
      </c>
    </row>
    <row r="964" spans="1:12" ht="23.25" customHeight="1" x14ac:dyDescent="0.35">
      <c r="A964" s="22">
        <f t="shared" si="44"/>
        <v>871</v>
      </c>
      <c r="B964" s="22" t="s">
        <v>1725</v>
      </c>
      <c r="C964" s="411" t="s">
        <v>1680</v>
      </c>
      <c r="D964" s="177"/>
      <c r="E964" s="177"/>
      <c r="F964" s="177"/>
      <c r="G964" s="177"/>
      <c r="H964" s="177"/>
      <c r="I964" s="177"/>
      <c r="J964" s="177"/>
      <c r="K964" s="177"/>
      <c r="L964" s="412">
        <v>12</v>
      </c>
    </row>
    <row r="965" spans="1:12" ht="23.25" customHeight="1" x14ac:dyDescent="0.35">
      <c r="A965" s="22">
        <f t="shared" si="44"/>
        <v>872</v>
      </c>
      <c r="B965" s="22" t="s">
        <v>1726</v>
      </c>
      <c r="C965" s="411" t="s">
        <v>1681</v>
      </c>
      <c r="D965" s="177"/>
      <c r="E965" s="177"/>
      <c r="F965" s="177"/>
      <c r="G965" s="177"/>
      <c r="H965" s="177"/>
      <c r="I965" s="177"/>
      <c r="J965" s="177"/>
      <c r="K965" s="177"/>
      <c r="L965" s="412">
        <v>2</v>
      </c>
    </row>
    <row r="966" spans="1:12" ht="23.25" customHeight="1" x14ac:dyDescent="0.35">
      <c r="A966" s="22">
        <f t="shared" si="44"/>
        <v>873</v>
      </c>
      <c r="B966" s="22" t="s">
        <v>1727</v>
      </c>
      <c r="C966" s="411" t="s">
        <v>1679</v>
      </c>
      <c r="D966" s="177"/>
      <c r="E966" s="177"/>
      <c r="F966" s="177"/>
      <c r="G966" s="177"/>
      <c r="H966" s="177"/>
      <c r="I966" s="177"/>
      <c r="J966" s="177"/>
      <c r="K966" s="177"/>
      <c r="L966" s="412">
        <v>6</v>
      </c>
    </row>
    <row r="967" spans="1:12" ht="23.25" customHeight="1" x14ac:dyDescent="0.35">
      <c r="A967" s="22">
        <f t="shared" si="44"/>
        <v>874</v>
      </c>
      <c r="B967" s="22" t="s">
        <v>1728</v>
      </c>
      <c r="C967" s="411" t="s">
        <v>1682</v>
      </c>
      <c r="D967" s="177"/>
      <c r="E967" s="177"/>
      <c r="F967" s="177"/>
      <c r="G967" s="177"/>
      <c r="H967" s="177"/>
      <c r="I967" s="177"/>
      <c r="J967" s="177"/>
      <c r="K967" s="177"/>
      <c r="L967" s="412">
        <v>1</v>
      </c>
    </row>
    <row r="968" spans="1:12" ht="23.25" customHeight="1" x14ac:dyDescent="0.35">
      <c r="A968" s="22">
        <f t="shared" si="44"/>
        <v>875</v>
      </c>
      <c r="B968" s="22" t="s">
        <v>1729</v>
      </c>
      <c r="C968" s="411" t="s">
        <v>1683</v>
      </c>
      <c r="D968" s="177"/>
      <c r="E968" s="177"/>
      <c r="F968" s="177"/>
      <c r="G968" s="177"/>
      <c r="H968" s="177"/>
      <c r="I968" s="177"/>
      <c r="J968" s="177"/>
      <c r="K968" s="177"/>
      <c r="L968" s="412">
        <v>4</v>
      </c>
    </row>
    <row r="969" spans="1:12" ht="23.25" customHeight="1" x14ac:dyDescent="0.35">
      <c r="A969" s="22">
        <f t="shared" si="44"/>
        <v>876</v>
      </c>
      <c r="B969" s="22" t="s">
        <v>1730</v>
      </c>
      <c r="C969" s="411" t="s">
        <v>1684</v>
      </c>
      <c r="D969" s="177"/>
      <c r="E969" s="177"/>
      <c r="F969" s="177"/>
      <c r="G969" s="177"/>
      <c r="H969" s="177"/>
      <c r="I969" s="177"/>
      <c r="J969" s="177"/>
      <c r="K969" s="177"/>
      <c r="L969" s="412">
        <v>24</v>
      </c>
    </row>
    <row r="970" spans="1:12" ht="23.25" customHeight="1" x14ac:dyDescent="0.35">
      <c r="A970" s="22">
        <f t="shared" si="44"/>
        <v>877</v>
      </c>
      <c r="B970" s="22" t="s">
        <v>1685</v>
      </c>
      <c r="C970" s="411" t="s">
        <v>1686</v>
      </c>
      <c r="D970" s="177"/>
      <c r="E970" s="177"/>
      <c r="F970" s="177"/>
      <c r="G970" s="177"/>
      <c r="H970" s="177"/>
      <c r="I970" s="177"/>
      <c r="J970" s="177"/>
      <c r="K970" s="177"/>
      <c r="L970" s="412">
        <v>2</v>
      </c>
    </row>
    <row r="971" spans="1:12" ht="23.25" customHeight="1" x14ac:dyDescent="0.35">
      <c r="A971" s="22">
        <f t="shared" si="44"/>
        <v>878</v>
      </c>
      <c r="B971" s="22" t="s">
        <v>1731</v>
      </c>
      <c r="C971" s="411" t="s">
        <v>1661</v>
      </c>
      <c r="D971" s="177"/>
      <c r="E971" s="177"/>
      <c r="F971" s="177"/>
      <c r="G971" s="177"/>
      <c r="H971" s="177"/>
      <c r="I971" s="177"/>
      <c r="J971" s="177"/>
      <c r="K971" s="177"/>
      <c r="L971" s="412">
        <v>1</v>
      </c>
    </row>
    <row r="972" spans="1:12" ht="23.25" customHeight="1" x14ac:dyDescent="0.35">
      <c r="A972" s="22">
        <f t="shared" si="44"/>
        <v>879</v>
      </c>
      <c r="B972" s="22" t="s">
        <v>1732</v>
      </c>
      <c r="C972" s="411" t="s">
        <v>1687</v>
      </c>
      <c r="D972" s="177"/>
      <c r="E972" s="177"/>
      <c r="F972" s="177"/>
      <c r="G972" s="177"/>
      <c r="H972" s="177"/>
      <c r="I972" s="177"/>
      <c r="J972" s="177"/>
      <c r="K972" s="177"/>
      <c r="L972" s="412">
        <v>10</v>
      </c>
    </row>
    <row r="973" spans="1:12" ht="23.25" customHeight="1" x14ac:dyDescent="0.35">
      <c r="A973" s="22">
        <f t="shared" si="44"/>
        <v>880</v>
      </c>
      <c r="B973" s="22" t="s">
        <v>1733</v>
      </c>
      <c r="C973" s="411" t="s">
        <v>1688</v>
      </c>
      <c r="D973" s="177"/>
      <c r="E973" s="177"/>
      <c r="F973" s="177"/>
      <c r="G973" s="177"/>
      <c r="H973" s="177"/>
      <c r="I973" s="177"/>
      <c r="J973" s="177"/>
      <c r="K973" s="177"/>
      <c r="L973" s="412">
        <v>15</v>
      </c>
    </row>
    <row r="974" spans="1:12" ht="23.25" customHeight="1" x14ac:dyDescent="0.35">
      <c r="A974" s="22">
        <f t="shared" si="44"/>
        <v>881</v>
      </c>
      <c r="B974" s="22" t="s">
        <v>1734</v>
      </c>
      <c r="C974" s="414" t="s">
        <v>1689</v>
      </c>
      <c r="D974" s="177"/>
      <c r="E974" s="177"/>
      <c r="F974" s="177"/>
      <c r="G974" s="177"/>
      <c r="H974" s="177"/>
      <c r="I974" s="177"/>
      <c r="J974" s="177"/>
      <c r="K974" s="177"/>
      <c r="L974" s="412">
        <v>5</v>
      </c>
    </row>
    <row r="975" spans="1:12" ht="23.25" customHeight="1" x14ac:dyDescent="0.35">
      <c r="A975" s="22">
        <f t="shared" si="44"/>
        <v>882</v>
      </c>
      <c r="B975" s="22" t="s">
        <v>1735</v>
      </c>
      <c r="C975" s="411" t="s">
        <v>1690</v>
      </c>
      <c r="D975" s="177"/>
      <c r="E975" s="177"/>
      <c r="F975" s="177"/>
      <c r="G975" s="177"/>
      <c r="H975" s="177"/>
      <c r="I975" s="177"/>
      <c r="J975" s="177"/>
      <c r="K975" s="177"/>
      <c r="L975" s="412">
        <v>20</v>
      </c>
    </row>
    <row r="976" spans="1:12" ht="23.25" customHeight="1" x14ac:dyDescent="0.35">
      <c r="A976" s="22">
        <f t="shared" si="44"/>
        <v>883</v>
      </c>
      <c r="B976" s="22" t="s">
        <v>1736</v>
      </c>
      <c r="C976" s="411" t="s">
        <v>1691</v>
      </c>
      <c r="D976" s="177"/>
      <c r="E976" s="177"/>
      <c r="F976" s="177"/>
      <c r="G976" s="177"/>
      <c r="H976" s="177"/>
      <c r="I976" s="177"/>
      <c r="J976" s="177"/>
      <c r="K976" s="177"/>
      <c r="L976" s="412">
        <v>10</v>
      </c>
    </row>
    <row r="977" spans="1:12" ht="23.25" customHeight="1" x14ac:dyDescent="0.35">
      <c r="A977" s="22">
        <f t="shared" si="44"/>
        <v>884</v>
      </c>
      <c r="B977" s="22" t="s">
        <v>1737</v>
      </c>
      <c r="C977" s="411" t="s">
        <v>1692</v>
      </c>
      <c r="D977" s="177"/>
      <c r="E977" s="177"/>
      <c r="F977" s="177"/>
      <c r="G977" s="177"/>
      <c r="H977" s="177"/>
      <c r="I977" s="177"/>
      <c r="J977" s="177"/>
      <c r="K977" s="177"/>
      <c r="L977" s="412">
        <v>15</v>
      </c>
    </row>
    <row r="978" spans="1:12" ht="23.25" customHeight="1" x14ac:dyDescent="0.35">
      <c r="A978" s="22">
        <f t="shared" si="44"/>
        <v>885</v>
      </c>
      <c r="B978" s="22" t="s">
        <v>1738</v>
      </c>
      <c r="C978" s="411" t="s">
        <v>1693</v>
      </c>
      <c r="D978" s="177"/>
      <c r="E978" s="177"/>
      <c r="F978" s="177"/>
      <c r="G978" s="177"/>
      <c r="H978" s="177"/>
      <c r="I978" s="177"/>
      <c r="J978" s="177"/>
      <c r="K978" s="177"/>
      <c r="L978" s="412">
        <v>10</v>
      </c>
    </row>
    <row r="979" spans="1:12" ht="23.25" customHeight="1" x14ac:dyDescent="0.35">
      <c r="A979" s="22">
        <f t="shared" si="44"/>
        <v>886</v>
      </c>
      <c r="B979" s="22" t="s">
        <v>1694</v>
      </c>
      <c r="C979" s="411" t="s">
        <v>1693</v>
      </c>
      <c r="D979" s="177"/>
      <c r="E979" s="177"/>
      <c r="F979" s="177"/>
      <c r="G979" s="177"/>
      <c r="H979" s="177"/>
      <c r="I979" s="177"/>
      <c r="J979" s="177"/>
      <c r="K979" s="177"/>
      <c r="L979" s="412">
        <v>20</v>
      </c>
    </row>
    <row r="980" spans="1:12" ht="23.25" customHeight="1" x14ac:dyDescent="0.35">
      <c r="A980" s="22">
        <f t="shared" si="44"/>
        <v>887</v>
      </c>
      <c r="B980" s="22" t="s">
        <v>1739</v>
      </c>
      <c r="C980" s="411" t="s">
        <v>1695</v>
      </c>
      <c r="D980" s="177"/>
      <c r="E980" s="177"/>
      <c r="F980" s="177"/>
      <c r="G980" s="177"/>
      <c r="H980" s="177"/>
      <c r="I980" s="177"/>
      <c r="J980" s="177"/>
      <c r="K980" s="177"/>
      <c r="L980" s="412">
        <v>5</v>
      </c>
    </row>
    <row r="981" spans="1:12" ht="23.25" customHeight="1" x14ac:dyDescent="0.35">
      <c r="A981" s="22">
        <f t="shared" si="44"/>
        <v>888</v>
      </c>
      <c r="B981" s="22" t="s">
        <v>1740</v>
      </c>
      <c r="C981" s="411" t="s">
        <v>1696</v>
      </c>
      <c r="D981" s="177"/>
      <c r="E981" s="177"/>
      <c r="F981" s="177"/>
      <c r="G981" s="177"/>
      <c r="H981" s="177"/>
      <c r="I981" s="177"/>
      <c r="J981" s="177"/>
      <c r="K981" s="177"/>
      <c r="L981" s="412">
        <v>10</v>
      </c>
    </row>
    <row r="982" spans="1:12" ht="23.25" customHeight="1" x14ac:dyDescent="0.35">
      <c r="A982" s="22">
        <f t="shared" si="44"/>
        <v>889</v>
      </c>
      <c r="B982" s="22" t="s">
        <v>1741</v>
      </c>
      <c r="C982" s="411" t="s">
        <v>1697</v>
      </c>
      <c r="D982" s="177"/>
      <c r="E982" s="177"/>
      <c r="F982" s="177"/>
      <c r="G982" s="177"/>
      <c r="H982" s="177"/>
      <c r="I982" s="177"/>
      <c r="J982" s="177"/>
      <c r="K982" s="177"/>
      <c r="L982" s="412">
        <v>1</v>
      </c>
    </row>
    <row r="983" spans="1:12" ht="23.25" customHeight="1" x14ac:dyDescent="0.35">
      <c r="A983" s="22">
        <f t="shared" si="44"/>
        <v>890</v>
      </c>
      <c r="B983" s="22" t="s">
        <v>1742</v>
      </c>
      <c r="C983" s="411" t="s">
        <v>1692</v>
      </c>
      <c r="D983" s="177"/>
      <c r="E983" s="177"/>
      <c r="F983" s="177"/>
      <c r="G983" s="177"/>
      <c r="H983" s="177"/>
      <c r="I983" s="177"/>
      <c r="J983" s="177"/>
      <c r="K983" s="177"/>
      <c r="L983" s="412">
        <v>2</v>
      </c>
    </row>
    <row r="984" spans="1:12" ht="23.25" customHeight="1" x14ac:dyDescent="0.35">
      <c r="A984" s="22">
        <f t="shared" si="44"/>
        <v>891</v>
      </c>
      <c r="B984" s="22" t="s">
        <v>1743</v>
      </c>
      <c r="C984" s="411" t="s">
        <v>1692</v>
      </c>
      <c r="D984" s="177"/>
      <c r="E984" s="177"/>
      <c r="F984" s="177"/>
      <c r="G984" s="177"/>
      <c r="H984" s="177"/>
      <c r="I984" s="177"/>
      <c r="J984" s="177"/>
      <c r="K984" s="177"/>
      <c r="L984" s="412">
        <v>2</v>
      </c>
    </row>
    <row r="985" spans="1:12" ht="23.25" customHeight="1" x14ac:dyDescent="0.35">
      <c r="A985" s="22">
        <f t="shared" si="44"/>
        <v>892</v>
      </c>
      <c r="B985" s="22" t="s">
        <v>1744</v>
      </c>
      <c r="C985" s="411" t="s">
        <v>1692</v>
      </c>
      <c r="D985" s="177"/>
      <c r="E985" s="177"/>
      <c r="F985" s="177"/>
      <c r="G985" s="177"/>
      <c r="H985" s="177"/>
      <c r="I985" s="177"/>
      <c r="J985" s="177"/>
      <c r="K985" s="177"/>
      <c r="L985" s="412">
        <v>2</v>
      </c>
    </row>
    <row r="986" spans="1:12" ht="23.25" customHeight="1" x14ac:dyDescent="0.35">
      <c r="A986" s="22">
        <f t="shared" si="44"/>
        <v>893</v>
      </c>
      <c r="B986" s="22" t="s">
        <v>1745</v>
      </c>
      <c r="C986" s="411" t="s">
        <v>1698</v>
      </c>
      <c r="D986" s="177"/>
      <c r="E986" s="177"/>
      <c r="F986" s="177"/>
      <c r="G986" s="177"/>
      <c r="H986" s="177"/>
      <c r="I986" s="177"/>
      <c r="J986" s="177"/>
      <c r="K986" s="177"/>
      <c r="L986" s="412">
        <v>2</v>
      </c>
    </row>
    <row r="987" spans="1:12" ht="23.25" customHeight="1" x14ac:dyDescent="0.35">
      <c r="A987" s="22">
        <f t="shared" si="44"/>
        <v>894</v>
      </c>
      <c r="B987" s="22" t="s">
        <v>1746</v>
      </c>
      <c r="C987" s="411" t="s">
        <v>1698</v>
      </c>
      <c r="D987" s="177"/>
      <c r="E987" s="177"/>
      <c r="F987" s="177"/>
      <c r="G987" s="177"/>
      <c r="H987" s="177"/>
      <c r="I987" s="177"/>
      <c r="J987" s="177"/>
      <c r="K987" s="177"/>
      <c r="L987" s="412">
        <v>2</v>
      </c>
    </row>
    <row r="988" spans="1:12" ht="23.25" customHeight="1" x14ac:dyDescent="0.35">
      <c r="A988" s="22">
        <f t="shared" si="44"/>
        <v>895</v>
      </c>
      <c r="B988" s="22" t="s">
        <v>1747</v>
      </c>
      <c r="C988" s="411" t="s">
        <v>1699</v>
      </c>
      <c r="D988" s="177"/>
      <c r="E988" s="177"/>
      <c r="F988" s="177"/>
      <c r="G988" s="177"/>
      <c r="H988" s="177"/>
      <c r="I988" s="177"/>
      <c r="J988" s="177"/>
      <c r="K988" s="177"/>
      <c r="L988" s="412">
        <v>2</v>
      </c>
    </row>
    <row r="989" spans="1:12" ht="23.25" customHeight="1" x14ac:dyDescent="0.35">
      <c r="A989" s="22">
        <f t="shared" si="44"/>
        <v>896</v>
      </c>
      <c r="B989" s="22" t="s">
        <v>1748</v>
      </c>
      <c r="C989" s="411" t="s">
        <v>1699</v>
      </c>
      <c r="D989" s="177"/>
      <c r="E989" s="177"/>
      <c r="F989" s="177"/>
      <c r="G989" s="177"/>
      <c r="H989" s="177"/>
      <c r="I989" s="177"/>
      <c r="J989" s="177"/>
      <c r="K989" s="177"/>
      <c r="L989" s="412">
        <v>2</v>
      </c>
    </row>
    <row r="990" spans="1:12" ht="23.25" customHeight="1" x14ac:dyDescent="0.35">
      <c r="A990" s="22">
        <f t="shared" si="44"/>
        <v>897</v>
      </c>
      <c r="B990" s="22" t="s">
        <v>1749</v>
      </c>
      <c r="C990" s="411" t="s">
        <v>1699</v>
      </c>
      <c r="D990" s="177"/>
      <c r="E990" s="177"/>
      <c r="F990" s="177"/>
      <c r="G990" s="177"/>
      <c r="H990" s="177"/>
      <c r="I990" s="177"/>
      <c r="J990" s="177"/>
      <c r="K990" s="177"/>
      <c r="L990" s="412">
        <v>2</v>
      </c>
    </row>
    <row r="991" spans="1:12" ht="23.25" customHeight="1" x14ac:dyDescent="0.35">
      <c r="A991" s="22">
        <f t="shared" si="44"/>
        <v>898</v>
      </c>
      <c r="B991" s="22" t="s">
        <v>1750</v>
      </c>
      <c r="C991" s="411" t="s">
        <v>1700</v>
      </c>
      <c r="D991" s="177"/>
      <c r="E991" s="177"/>
      <c r="F991" s="177"/>
      <c r="G991" s="177"/>
      <c r="H991" s="177"/>
      <c r="I991" s="177"/>
      <c r="J991" s="177"/>
      <c r="K991" s="177"/>
      <c r="L991" s="412">
        <v>2</v>
      </c>
    </row>
    <row r="992" spans="1:12" ht="23.25" customHeight="1" x14ac:dyDescent="0.35">
      <c r="A992" s="22">
        <f t="shared" si="44"/>
        <v>899</v>
      </c>
      <c r="B992" s="22" t="s">
        <v>1751</v>
      </c>
      <c r="C992" s="411" t="s">
        <v>1699</v>
      </c>
      <c r="D992" s="177"/>
      <c r="E992" s="177"/>
      <c r="F992" s="177"/>
      <c r="G992" s="177"/>
      <c r="H992" s="177"/>
      <c r="I992" s="177"/>
      <c r="J992" s="177"/>
      <c r="K992" s="177"/>
      <c r="L992" s="412">
        <v>2</v>
      </c>
    </row>
    <row r="993" spans="1:13" ht="23.25" customHeight="1" x14ac:dyDescent="0.35">
      <c r="A993" s="22">
        <f t="shared" si="44"/>
        <v>900</v>
      </c>
      <c r="B993" s="22" t="s">
        <v>1752</v>
      </c>
      <c r="C993" s="411" t="s">
        <v>1699</v>
      </c>
      <c r="D993" s="177"/>
      <c r="E993" s="177"/>
      <c r="F993" s="177"/>
      <c r="G993" s="177"/>
      <c r="H993" s="177"/>
      <c r="I993" s="177"/>
      <c r="J993" s="177"/>
      <c r="K993" s="177"/>
      <c r="L993" s="412">
        <v>5</v>
      </c>
    </row>
    <row r="994" spans="1:13" ht="23.25" customHeight="1" x14ac:dyDescent="0.35">
      <c r="A994" s="22">
        <f t="shared" si="44"/>
        <v>901</v>
      </c>
      <c r="B994" s="22" t="s">
        <v>1753</v>
      </c>
      <c r="C994" s="411" t="s">
        <v>1699</v>
      </c>
      <c r="D994" s="177"/>
      <c r="E994" s="177"/>
      <c r="F994" s="177"/>
      <c r="G994" s="177"/>
      <c r="H994" s="177"/>
      <c r="I994" s="177"/>
      <c r="J994" s="177"/>
      <c r="K994" s="177"/>
      <c r="L994" s="412">
        <v>5</v>
      </c>
    </row>
    <row r="995" spans="1:13" ht="23.25" customHeight="1" x14ac:dyDescent="0.25">
      <c r="A995" s="22"/>
      <c r="B995" s="22"/>
      <c r="C995" s="372"/>
      <c r="D995" s="177"/>
      <c r="E995" s="177"/>
      <c r="F995" s="177"/>
      <c r="G995" s="177"/>
      <c r="H995" s="177"/>
      <c r="I995" s="177"/>
      <c r="J995" s="177"/>
      <c r="K995" s="177"/>
      <c r="L995" s="22"/>
    </row>
    <row r="996" spans="1:13" ht="23.25" customHeight="1" x14ac:dyDescent="0.25">
      <c r="A996" s="22"/>
      <c r="B996" s="22"/>
      <c r="C996" s="372"/>
      <c r="D996" s="177"/>
      <c r="E996" s="177"/>
      <c r="F996" s="177"/>
      <c r="G996" s="177"/>
      <c r="H996" s="177"/>
      <c r="I996" s="177"/>
      <c r="J996" s="177"/>
      <c r="K996" s="177"/>
      <c r="L996" s="22"/>
    </row>
    <row r="997" spans="1:13" ht="23.25" customHeight="1" x14ac:dyDescent="0.25">
      <c r="A997" s="22"/>
      <c r="B997" s="22"/>
      <c r="C997" s="372"/>
      <c r="D997" s="177"/>
      <c r="E997" s="177"/>
      <c r="F997" s="177"/>
      <c r="G997" s="177"/>
      <c r="H997" s="177"/>
      <c r="I997" s="177"/>
      <c r="J997" s="177"/>
      <c r="K997" s="177"/>
      <c r="L997" s="22"/>
    </row>
    <row r="998" spans="1:13" ht="23.25" customHeight="1" x14ac:dyDescent="0.25">
      <c r="A998" s="22"/>
      <c r="B998" s="22"/>
      <c r="C998" s="372"/>
      <c r="D998" s="177"/>
      <c r="E998" s="177"/>
      <c r="F998" s="177"/>
      <c r="G998" s="177"/>
      <c r="H998" s="177"/>
      <c r="I998" s="177"/>
      <c r="J998" s="177"/>
      <c r="K998" s="177"/>
      <c r="L998" s="22"/>
    </row>
    <row r="999" spans="1:13" s="12" customFormat="1" ht="28.5" x14ac:dyDescent="0.35">
      <c r="A999" s="22" t="s">
        <v>1840</v>
      </c>
      <c r="B999" s="383" t="s">
        <v>1754</v>
      </c>
      <c r="C999" s="372"/>
      <c r="D999" s="177"/>
      <c r="E999" s="177"/>
      <c r="F999" s="177"/>
      <c r="G999" s="177"/>
      <c r="H999" s="177"/>
      <c r="I999" s="177"/>
      <c r="J999" s="177"/>
      <c r="K999" s="177"/>
      <c r="L999" s="22"/>
      <c r="M999" s="384"/>
    </row>
    <row r="1000" spans="1:13" ht="23.25" customHeight="1" x14ac:dyDescent="0.25">
      <c r="A1000" s="22"/>
      <c r="B1000" s="22" t="s">
        <v>1786</v>
      </c>
      <c r="C1000" s="372"/>
      <c r="D1000" s="177"/>
      <c r="E1000" s="177"/>
      <c r="F1000" s="177"/>
      <c r="G1000" s="177"/>
      <c r="H1000" s="177"/>
      <c r="I1000" s="177"/>
      <c r="J1000" s="177"/>
      <c r="K1000" s="177"/>
      <c r="L1000" s="22"/>
    </row>
    <row r="1001" spans="1:13" ht="23.25" customHeight="1" x14ac:dyDescent="0.25">
      <c r="A1001" s="22">
        <f>1+A994</f>
        <v>902</v>
      </c>
      <c r="B1001" s="22" t="s">
        <v>1787</v>
      </c>
      <c r="C1001" s="381" t="s">
        <v>1755</v>
      </c>
      <c r="D1001" s="177"/>
      <c r="E1001" s="177"/>
      <c r="F1001" s="177"/>
      <c r="G1001" s="177"/>
      <c r="H1001" s="177"/>
      <c r="I1001" s="177"/>
      <c r="J1001" s="177"/>
      <c r="K1001" s="177"/>
      <c r="L1001" s="381">
        <v>240</v>
      </c>
    </row>
    <row r="1002" spans="1:13" ht="23.25" customHeight="1" x14ac:dyDescent="0.25">
      <c r="A1002" s="22">
        <f>1+A1001</f>
        <v>903</v>
      </c>
      <c r="B1002" s="22" t="s">
        <v>1788</v>
      </c>
      <c r="C1002" s="381" t="s">
        <v>1756</v>
      </c>
      <c r="D1002" s="177"/>
      <c r="E1002" s="177"/>
      <c r="F1002" s="177"/>
      <c r="G1002" s="177"/>
      <c r="H1002" s="177"/>
      <c r="I1002" s="177"/>
      <c r="J1002" s="177"/>
      <c r="K1002" s="177"/>
      <c r="L1002" s="381">
        <v>240</v>
      </c>
    </row>
    <row r="1003" spans="1:13" ht="23.25" customHeight="1" x14ac:dyDescent="0.25">
      <c r="A1003" s="22">
        <f t="shared" ref="A1003:A1055" si="45">1+A1002</f>
        <v>904</v>
      </c>
      <c r="B1003" s="22" t="s">
        <v>1789</v>
      </c>
      <c r="C1003" s="381" t="s">
        <v>1757</v>
      </c>
      <c r="D1003" s="177"/>
      <c r="E1003" s="177"/>
      <c r="F1003" s="177"/>
      <c r="G1003" s="177"/>
      <c r="H1003" s="177"/>
      <c r="I1003" s="177"/>
      <c r="J1003" s="177"/>
      <c r="K1003" s="177"/>
      <c r="L1003" s="381">
        <v>240</v>
      </c>
    </row>
    <row r="1004" spans="1:13" ht="23.25" customHeight="1" x14ac:dyDescent="0.25">
      <c r="A1004" s="22">
        <f t="shared" si="45"/>
        <v>905</v>
      </c>
      <c r="B1004" s="22" t="s">
        <v>1790</v>
      </c>
      <c r="C1004" s="381" t="s">
        <v>1757</v>
      </c>
      <c r="D1004" s="177"/>
      <c r="E1004" s="177"/>
      <c r="F1004" s="177"/>
      <c r="G1004" s="177"/>
      <c r="H1004" s="177"/>
      <c r="I1004" s="177"/>
      <c r="J1004" s="177"/>
      <c r="K1004" s="177"/>
      <c r="L1004" s="381">
        <v>240</v>
      </c>
    </row>
    <row r="1005" spans="1:13" ht="23.25" customHeight="1" x14ac:dyDescent="0.25">
      <c r="A1005" s="22">
        <f t="shared" si="45"/>
        <v>906</v>
      </c>
      <c r="B1005" s="22" t="s">
        <v>1791</v>
      </c>
      <c r="C1005" s="381" t="s">
        <v>1757</v>
      </c>
      <c r="D1005" s="177"/>
      <c r="E1005" s="177"/>
      <c r="F1005" s="177"/>
      <c r="G1005" s="177"/>
      <c r="H1005" s="177"/>
      <c r="I1005" s="177"/>
      <c r="J1005" s="177"/>
      <c r="K1005" s="177"/>
      <c r="L1005" s="381">
        <v>240</v>
      </c>
    </row>
    <row r="1006" spans="1:13" ht="23.25" customHeight="1" x14ac:dyDescent="0.25">
      <c r="A1006" s="22">
        <f t="shared" si="45"/>
        <v>907</v>
      </c>
      <c r="B1006" s="22" t="s">
        <v>1702</v>
      </c>
      <c r="C1006" s="381" t="s">
        <v>1758</v>
      </c>
      <c r="D1006" s="177"/>
      <c r="E1006" s="177"/>
      <c r="F1006" s="177"/>
      <c r="G1006" s="177"/>
      <c r="H1006" s="177"/>
      <c r="I1006" s="177"/>
      <c r="J1006" s="177"/>
      <c r="K1006" s="177"/>
      <c r="L1006" s="381">
        <v>20</v>
      </c>
    </row>
    <row r="1007" spans="1:13" ht="23.25" customHeight="1" x14ac:dyDescent="0.25">
      <c r="A1007" s="22">
        <f t="shared" si="45"/>
        <v>908</v>
      </c>
      <c r="B1007" s="22" t="s">
        <v>1792</v>
      </c>
      <c r="C1007" s="381" t="s">
        <v>1758</v>
      </c>
      <c r="D1007" s="177"/>
      <c r="E1007" s="177"/>
      <c r="F1007" s="177"/>
      <c r="G1007" s="177"/>
      <c r="H1007" s="177"/>
      <c r="I1007" s="177"/>
      <c r="J1007" s="177"/>
      <c r="K1007" s="177"/>
      <c r="L1007" s="381">
        <v>20</v>
      </c>
    </row>
    <row r="1008" spans="1:13" ht="23.25" customHeight="1" x14ac:dyDescent="0.25">
      <c r="A1008" s="22">
        <f t="shared" si="45"/>
        <v>909</v>
      </c>
      <c r="B1008" s="22" t="s">
        <v>1793</v>
      </c>
      <c r="C1008" s="381" t="s">
        <v>1759</v>
      </c>
      <c r="D1008" s="177"/>
      <c r="E1008" s="177"/>
      <c r="F1008" s="177"/>
      <c r="G1008" s="177"/>
      <c r="H1008" s="177"/>
      <c r="I1008" s="177"/>
      <c r="J1008" s="177"/>
      <c r="K1008" s="177"/>
      <c r="L1008" s="381">
        <v>40</v>
      </c>
    </row>
    <row r="1009" spans="1:12" ht="23.25" customHeight="1" x14ac:dyDescent="0.25">
      <c r="A1009" s="22">
        <f t="shared" si="45"/>
        <v>910</v>
      </c>
      <c r="B1009" s="22" t="s">
        <v>1794</v>
      </c>
      <c r="C1009" s="381" t="s">
        <v>1759</v>
      </c>
      <c r="D1009" s="177"/>
      <c r="E1009" s="177"/>
      <c r="F1009" s="177"/>
      <c r="G1009" s="177"/>
      <c r="H1009" s="177"/>
      <c r="I1009" s="177"/>
      <c r="J1009" s="177"/>
      <c r="K1009" s="177"/>
      <c r="L1009" s="381">
        <v>40</v>
      </c>
    </row>
    <row r="1010" spans="1:12" ht="23.25" customHeight="1" x14ac:dyDescent="0.25">
      <c r="A1010" s="22">
        <f t="shared" si="45"/>
        <v>911</v>
      </c>
      <c r="B1010" s="22" t="s">
        <v>1795</v>
      </c>
      <c r="C1010" s="381" t="s">
        <v>1759</v>
      </c>
      <c r="D1010" s="177"/>
      <c r="E1010" s="177"/>
      <c r="F1010" s="177"/>
      <c r="G1010" s="177"/>
      <c r="H1010" s="177"/>
      <c r="I1010" s="177"/>
      <c r="J1010" s="177"/>
      <c r="K1010" s="177"/>
      <c r="L1010" s="381">
        <v>40</v>
      </c>
    </row>
    <row r="1011" spans="1:12" ht="23.25" customHeight="1" x14ac:dyDescent="0.25">
      <c r="A1011" s="22">
        <f t="shared" si="45"/>
        <v>912</v>
      </c>
      <c r="B1011" s="22" t="s">
        <v>1796</v>
      </c>
      <c r="C1011" s="381" t="s">
        <v>1760</v>
      </c>
      <c r="D1011" s="177"/>
      <c r="E1011" s="177"/>
      <c r="F1011" s="177"/>
      <c r="G1011" s="177"/>
      <c r="H1011" s="177"/>
      <c r="I1011" s="177"/>
      <c r="J1011" s="177"/>
      <c r="K1011" s="177"/>
      <c r="L1011" s="381">
        <v>40</v>
      </c>
    </row>
    <row r="1012" spans="1:12" ht="23.25" customHeight="1" x14ac:dyDescent="0.25">
      <c r="A1012" s="22">
        <f t="shared" si="45"/>
        <v>913</v>
      </c>
      <c r="B1012" s="22" t="s">
        <v>1797</v>
      </c>
      <c r="C1012" s="381" t="s">
        <v>1759</v>
      </c>
      <c r="D1012" s="177"/>
      <c r="E1012" s="177"/>
      <c r="F1012" s="177"/>
      <c r="G1012" s="177"/>
      <c r="H1012" s="177"/>
      <c r="I1012" s="177"/>
      <c r="J1012" s="177"/>
      <c r="K1012" s="177"/>
      <c r="L1012" s="381">
        <v>40</v>
      </c>
    </row>
    <row r="1013" spans="1:12" ht="23.25" customHeight="1" x14ac:dyDescent="0.25">
      <c r="A1013" s="22">
        <f t="shared" si="45"/>
        <v>914</v>
      </c>
      <c r="B1013" s="22" t="s">
        <v>1798</v>
      </c>
      <c r="C1013" s="381" t="s">
        <v>1759</v>
      </c>
      <c r="D1013" s="177"/>
      <c r="E1013" s="177"/>
      <c r="F1013" s="177"/>
      <c r="G1013" s="177"/>
      <c r="H1013" s="177"/>
      <c r="I1013" s="177"/>
      <c r="J1013" s="177"/>
      <c r="K1013" s="177"/>
      <c r="L1013" s="381">
        <v>40</v>
      </c>
    </row>
    <row r="1014" spans="1:12" ht="23.25" customHeight="1" x14ac:dyDescent="0.25">
      <c r="A1014" s="22">
        <f t="shared" si="45"/>
        <v>915</v>
      </c>
      <c r="B1014" s="22" t="s">
        <v>1799</v>
      </c>
      <c r="C1014" s="381" t="s">
        <v>1759</v>
      </c>
      <c r="D1014" s="177"/>
      <c r="E1014" s="177"/>
      <c r="F1014" s="177"/>
      <c r="G1014" s="177"/>
      <c r="H1014" s="177"/>
      <c r="I1014" s="177"/>
      <c r="J1014" s="177"/>
      <c r="K1014" s="177"/>
      <c r="L1014" s="381">
        <v>40</v>
      </c>
    </row>
    <row r="1015" spans="1:12" ht="23.25" customHeight="1" x14ac:dyDescent="0.25">
      <c r="A1015" s="22">
        <f t="shared" si="45"/>
        <v>916</v>
      </c>
      <c r="B1015" s="22" t="s">
        <v>1800</v>
      </c>
      <c r="C1015" s="381" t="s">
        <v>1759</v>
      </c>
      <c r="D1015" s="177"/>
      <c r="E1015" s="177"/>
      <c r="F1015" s="177"/>
      <c r="G1015" s="177"/>
      <c r="H1015" s="177"/>
      <c r="I1015" s="177"/>
      <c r="J1015" s="177"/>
      <c r="K1015" s="177"/>
      <c r="L1015" s="381">
        <v>40</v>
      </c>
    </row>
    <row r="1016" spans="1:12" ht="23.25" customHeight="1" x14ac:dyDescent="0.25">
      <c r="A1016" s="22">
        <f t="shared" si="45"/>
        <v>917</v>
      </c>
      <c r="B1016" s="22" t="s">
        <v>1801</v>
      </c>
      <c r="C1016" s="381" t="s">
        <v>1761</v>
      </c>
      <c r="D1016" s="177"/>
      <c r="E1016" s="177"/>
      <c r="F1016" s="177"/>
      <c r="G1016" s="177"/>
      <c r="H1016" s="177"/>
      <c r="I1016" s="177"/>
      <c r="J1016" s="177"/>
      <c r="K1016" s="177"/>
      <c r="L1016" s="381">
        <v>40</v>
      </c>
    </row>
    <row r="1017" spans="1:12" ht="23.25" customHeight="1" x14ac:dyDescent="0.25">
      <c r="A1017" s="22">
        <f t="shared" si="45"/>
        <v>918</v>
      </c>
      <c r="B1017" s="22" t="s">
        <v>1802</v>
      </c>
      <c r="C1017" s="381" t="s">
        <v>1762</v>
      </c>
      <c r="D1017" s="177"/>
      <c r="E1017" s="177"/>
      <c r="F1017" s="177"/>
      <c r="G1017" s="177"/>
      <c r="H1017" s="177"/>
      <c r="I1017" s="177"/>
      <c r="J1017" s="177"/>
      <c r="K1017" s="177"/>
      <c r="L1017" s="381">
        <v>200</v>
      </c>
    </row>
    <row r="1018" spans="1:12" ht="23.25" customHeight="1" x14ac:dyDescent="0.25">
      <c r="A1018" s="22">
        <f t="shared" si="45"/>
        <v>919</v>
      </c>
      <c r="B1018" s="22" t="s">
        <v>1803</v>
      </c>
      <c r="C1018" s="381" t="s">
        <v>1763</v>
      </c>
      <c r="D1018" s="177"/>
      <c r="E1018" s="177"/>
      <c r="F1018" s="177"/>
      <c r="G1018" s="177"/>
      <c r="H1018" s="177"/>
      <c r="I1018" s="177"/>
      <c r="J1018" s="177"/>
      <c r="K1018" s="177"/>
      <c r="L1018" s="381">
        <v>50</v>
      </c>
    </row>
    <row r="1019" spans="1:12" ht="23.25" customHeight="1" x14ac:dyDescent="0.25">
      <c r="A1019" s="22">
        <f t="shared" si="45"/>
        <v>920</v>
      </c>
      <c r="B1019" s="22" t="s">
        <v>1804</v>
      </c>
      <c r="C1019" s="381" t="s">
        <v>1682</v>
      </c>
      <c r="D1019" s="177"/>
      <c r="E1019" s="177"/>
      <c r="F1019" s="177"/>
      <c r="G1019" s="177"/>
      <c r="H1019" s="177"/>
      <c r="I1019" s="177"/>
      <c r="J1019" s="177"/>
      <c r="K1019" s="177"/>
      <c r="L1019" s="381">
        <v>40</v>
      </c>
    </row>
    <row r="1020" spans="1:12" ht="23.25" customHeight="1" x14ac:dyDescent="0.25">
      <c r="A1020" s="22">
        <f t="shared" si="45"/>
        <v>921</v>
      </c>
      <c r="B1020" s="22" t="s">
        <v>1805</v>
      </c>
      <c r="C1020" s="381" t="s">
        <v>1682</v>
      </c>
      <c r="D1020" s="177"/>
      <c r="E1020" s="177"/>
      <c r="F1020" s="177"/>
      <c r="G1020" s="177"/>
      <c r="H1020" s="177"/>
      <c r="I1020" s="177"/>
      <c r="J1020" s="177"/>
      <c r="K1020" s="177"/>
      <c r="L1020" s="381">
        <v>40</v>
      </c>
    </row>
    <row r="1021" spans="1:12" ht="23.25" customHeight="1" x14ac:dyDescent="0.25">
      <c r="A1021" s="22">
        <f t="shared" si="45"/>
        <v>922</v>
      </c>
      <c r="B1021" s="22" t="s">
        <v>1806</v>
      </c>
      <c r="C1021" s="381" t="s">
        <v>1764</v>
      </c>
      <c r="D1021" s="177"/>
      <c r="E1021" s="177"/>
      <c r="F1021" s="177"/>
      <c r="G1021" s="177"/>
      <c r="H1021" s="177"/>
      <c r="I1021" s="177"/>
      <c r="J1021" s="177"/>
      <c r="K1021" s="177"/>
      <c r="L1021" s="381">
        <v>20</v>
      </c>
    </row>
    <row r="1022" spans="1:12" ht="23.25" customHeight="1" x14ac:dyDescent="0.25">
      <c r="A1022" s="22">
        <f t="shared" si="45"/>
        <v>923</v>
      </c>
      <c r="B1022" s="22" t="s">
        <v>1807</v>
      </c>
      <c r="C1022" s="381" t="s">
        <v>1759</v>
      </c>
      <c r="D1022" s="177"/>
      <c r="E1022" s="177"/>
      <c r="F1022" s="177"/>
      <c r="G1022" s="177"/>
      <c r="H1022" s="177"/>
      <c r="I1022" s="177"/>
      <c r="J1022" s="177"/>
      <c r="K1022" s="177"/>
      <c r="L1022" s="381">
        <v>60</v>
      </c>
    </row>
    <row r="1023" spans="1:12" ht="23.25" customHeight="1" x14ac:dyDescent="0.25">
      <c r="A1023" s="22">
        <f t="shared" si="45"/>
        <v>924</v>
      </c>
      <c r="B1023" s="22" t="s">
        <v>1808</v>
      </c>
      <c r="C1023" s="381" t="s">
        <v>1765</v>
      </c>
      <c r="D1023" s="177"/>
      <c r="E1023" s="177"/>
      <c r="F1023" s="177"/>
      <c r="G1023" s="177"/>
      <c r="H1023" s="177"/>
      <c r="I1023" s="177"/>
      <c r="J1023" s="177"/>
      <c r="K1023" s="177"/>
      <c r="L1023" s="381">
        <v>10</v>
      </c>
    </row>
    <row r="1024" spans="1:12" ht="23.25" customHeight="1" x14ac:dyDescent="0.25">
      <c r="A1024" s="22">
        <f t="shared" si="45"/>
        <v>925</v>
      </c>
      <c r="B1024" s="22" t="s">
        <v>1809</v>
      </c>
      <c r="C1024" s="381" t="s">
        <v>1759</v>
      </c>
      <c r="D1024" s="177"/>
      <c r="E1024" s="177"/>
      <c r="F1024" s="177"/>
      <c r="G1024" s="177"/>
      <c r="H1024" s="177"/>
      <c r="I1024" s="177"/>
      <c r="J1024" s="177"/>
      <c r="K1024" s="177"/>
      <c r="L1024" s="381">
        <v>40</v>
      </c>
    </row>
    <row r="1025" spans="1:12" ht="23.25" customHeight="1" x14ac:dyDescent="0.25">
      <c r="A1025" s="22">
        <f t="shared" si="45"/>
        <v>926</v>
      </c>
      <c r="B1025" s="22" t="s">
        <v>1810</v>
      </c>
      <c r="C1025" s="381" t="s">
        <v>1759</v>
      </c>
      <c r="D1025" s="177"/>
      <c r="E1025" s="177"/>
      <c r="F1025" s="177"/>
      <c r="G1025" s="177"/>
      <c r="H1025" s="177"/>
      <c r="I1025" s="177"/>
      <c r="J1025" s="177"/>
      <c r="K1025" s="177"/>
      <c r="L1025" s="381">
        <v>12</v>
      </c>
    </row>
    <row r="1026" spans="1:12" ht="23.25" customHeight="1" x14ac:dyDescent="0.25">
      <c r="A1026" s="22">
        <f t="shared" si="45"/>
        <v>927</v>
      </c>
      <c r="B1026" s="22" t="s">
        <v>1811</v>
      </c>
      <c r="C1026" s="381" t="s">
        <v>1759</v>
      </c>
      <c r="D1026" s="177"/>
      <c r="E1026" s="177"/>
      <c r="F1026" s="177"/>
      <c r="G1026" s="177"/>
      <c r="H1026" s="177"/>
      <c r="I1026" s="177"/>
      <c r="J1026" s="177"/>
      <c r="K1026" s="177"/>
      <c r="L1026" s="381">
        <v>12</v>
      </c>
    </row>
    <row r="1027" spans="1:12" ht="23.25" customHeight="1" x14ac:dyDescent="0.25">
      <c r="A1027" s="22">
        <f t="shared" si="45"/>
        <v>928</v>
      </c>
      <c r="B1027" s="22" t="s">
        <v>1812</v>
      </c>
      <c r="C1027" s="381" t="s">
        <v>1759</v>
      </c>
      <c r="D1027" s="177"/>
      <c r="E1027" s="177"/>
      <c r="F1027" s="177"/>
      <c r="G1027" s="177"/>
      <c r="H1027" s="177"/>
      <c r="I1027" s="177"/>
      <c r="J1027" s="177"/>
      <c r="K1027" s="177"/>
      <c r="L1027" s="381">
        <v>4</v>
      </c>
    </row>
    <row r="1028" spans="1:12" ht="23.25" customHeight="1" x14ac:dyDescent="0.25">
      <c r="A1028" s="22">
        <f t="shared" si="45"/>
        <v>929</v>
      </c>
      <c r="B1028" s="22" t="s">
        <v>1813</v>
      </c>
      <c r="C1028" s="381" t="s">
        <v>1766</v>
      </c>
      <c r="D1028" s="177"/>
      <c r="E1028" s="177"/>
      <c r="F1028" s="177"/>
      <c r="G1028" s="177"/>
      <c r="H1028" s="177"/>
      <c r="I1028" s="177"/>
      <c r="J1028" s="177"/>
      <c r="K1028" s="177"/>
      <c r="L1028" s="381">
        <v>4</v>
      </c>
    </row>
    <row r="1029" spans="1:12" ht="23.25" customHeight="1" x14ac:dyDescent="0.25">
      <c r="A1029" s="22">
        <f t="shared" si="45"/>
        <v>930</v>
      </c>
      <c r="B1029" s="22" t="s">
        <v>1814</v>
      </c>
      <c r="C1029" s="381" t="s">
        <v>1767</v>
      </c>
      <c r="D1029" s="177"/>
      <c r="E1029" s="177"/>
      <c r="F1029" s="177"/>
      <c r="G1029" s="177"/>
      <c r="H1029" s="177"/>
      <c r="I1029" s="177"/>
      <c r="J1029" s="177"/>
      <c r="K1029" s="177"/>
      <c r="L1029" s="381">
        <v>48</v>
      </c>
    </row>
    <row r="1030" spans="1:12" ht="23.25" customHeight="1" x14ac:dyDescent="0.25">
      <c r="A1030" s="22">
        <f t="shared" si="45"/>
        <v>931</v>
      </c>
      <c r="B1030" s="22" t="s">
        <v>1815</v>
      </c>
      <c r="C1030" s="381" t="s">
        <v>1759</v>
      </c>
      <c r="D1030" s="177"/>
      <c r="E1030" s="177"/>
      <c r="F1030" s="177"/>
      <c r="G1030" s="177"/>
      <c r="H1030" s="177"/>
      <c r="I1030" s="177"/>
      <c r="J1030" s="177"/>
      <c r="K1030" s="177"/>
      <c r="L1030" s="381">
        <v>4</v>
      </c>
    </row>
    <row r="1031" spans="1:12" ht="23.25" customHeight="1" x14ac:dyDescent="0.25">
      <c r="A1031" s="22">
        <f t="shared" si="45"/>
        <v>932</v>
      </c>
      <c r="B1031" s="22" t="s">
        <v>1816</v>
      </c>
      <c r="C1031" s="381" t="s">
        <v>1768</v>
      </c>
      <c r="D1031" s="177"/>
      <c r="E1031" s="177"/>
      <c r="F1031" s="177"/>
      <c r="G1031" s="177"/>
      <c r="H1031" s="177"/>
      <c r="I1031" s="177"/>
      <c r="J1031" s="177"/>
      <c r="K1031" s="177"/>
      <c r="L1031" s="381">
        <v>60</v>
      </c>
    </row>
    <row r="1032" spans="1:12" ht="23.25" customHeight="1" x14ac:dyDescent="0.25">
      <c r="A1032" s="22">
        <f t="shared" si="45"/>
        <v>933</v>
      </c>
      <c r="B1032" s="22" t="s">
        <v>1817</v>
      </c>
      <c r="C1032" s="381" t="s">
        <v>1769</v>
      </c>
      <c r="D1032" s="177"/>
      <c r="E1032" s="177"/>
      <c r="F1032" s="177"/>
      <c r="G1032" s="177"/>
      <c r="H1032" s="177"/>
      <c r="I1032" s="177"/>
      <c r="J1032" s="177"/>
      <c r="K1032" s="177"/>
      <c r="L1032" s="381">
        <v>12</v>
      </c>
    </row>
    <row r="1033" spans="1:12" ht="23.25" customHeight="1" x14ac:dyDescent="0.25">
      <c r="A1033" s="22">
        <f t="shared" si="45"/>
        <v>934</v>
      </c>
      <c r="B1033" s="22" t="s">
        <v>1818</v>
      </c>
      <c r="C1033" s="381" t="s">
        <v>1769</v>
      </c>
      <c r="D1033" s="177"/>
      <c r="E1033" s="177"/>
      <c r="F1033" s="177"/>
      <c r="G1033" s="177"/>
      <c r="H1033" s="177"/>
      <c r="I1033" s="177"/>
      <c r="J1033" s="177"/>
      <c r="K1033" s="177"/>
      <c r="L1033" s="381">
        <v>12</v>
      </c>
    </row>
    <row r="1034" spans="1:12" ht="23.25" customHeight="1" x14ac:dyDescent="0.25">
      <c r="A1034" s="22">
        <f t="shared" si="45"/>
        <v>935</v>
      </c>
      <c r="B1034" s="22" t="s">
        <v>1819</v>
      </c>
      <c r="C1034" s="381" t="s">
        <v>1770</v>
      </c>
      <c r="D1034" s="177"/>
      <c r="E1034" s="177"/>
      <c r="F1034" s="177"/>
      <c r="G1034" s="177"/>
      <c r="H1034" s="177"/>
      <c r="I1034" s="177"/>
      <c r="J1034" s="177"/>
      <c r="K1034" s="177"/>
      <c r="L1034" s="381">
        <v>10</v>
      </c>
    </row>
    <row r="1035" spans="1:12" ht="23.25" customHeight="1" x14ac:dyDescent="0.25">
      <c r="A1035" s="22">
        <f t="shared" si="45"/>
        <v>936</v>
      </c>
      <c r="B1035" s="22" t="s">
        <v>1820</v>
      </c>
      <c r="C1035" s="381" t="s">
        <v>1771</v>
      </c>
      <c r="D1035" s="177"/>
      <c r="E1035" s="177"/>
      <c r="F1035" s="177"/>
      <c r="G1035" s="177"/>
      <c r="H1035" s="177"/>
      <c r="I1035" s="177"/>
      <c r="J1035" s="177"/>
      <c r="K1035" s="177"/>
      <c r="L1035" s="381">
        <v>20</v>
      </c>
    </row>
    <row r="1036" spans="1:12" ht="23.25" customHeight="1" x14ac:dyDescent="0.25">
      <c r="A1036" s="22">
        <f t="shared" si="45"/>
        <v>937</v>
      </c>
      <c r="B1036" s="22" t="s">
        <v>1821</v>
      </c>
      <c r="C1036" s="381" t="s">
        <v>1772</v>
      </c>
      <c r="D1036" s="177"/>
      <c r="E1036" s="177"/>
      <c r="F1036" s="177"/>
      <c r="G1036" s="177"/>
      <c r="H1036" s="177"/>
      <c r="I1036" s="177"/>
      <c r="J1036" s="177"/>
      <c r="K1036" s="177"/>
      <c r="L1036" s="381">
        <v>40</v>
      </c>
    </row>
    <row r="1037" spans="1:12" ht="23.25" customHeight="1" x14ac:dyDescent="0.25">
      <c r="A1037" s="22">
        <f t="shared" si="45"/>
        <v>938</v>
      </c>
      <c r="B1037" s="22" t="s">
        <v>1822</v>
      </c>
      <c r="C1037" s="381" t="s">
        <v>1773</v>
      </c>
      <c r="D1037" s="177"/>
      <c r="E1037" s="177"/>
      <c r="F1037" s="177"/>
      <c r="G1037" s="177"/>
      <c r="H1037" s="177"/>
      <c r="I1037" s="177"/>
      <c r="J1037" s="177"/>
      <c r="K1037" s="177"/>
      <c r="L1037" s="381">
        <v>40</v>
      </c>
    </row>
    <row r="1038" spans="1:12" ht="23.25" customHeight="1" x14ac:dyDescent="0.25">
      <c r="A1038" s="22">
        <f t="shared" si="45"/>
        <v>939</v>
      </c>
      <c r="B1038" s="22" t="s">
        <v>1634</v>
      </c>
      <c r="C1038" s="381" t="s">
        <v>1549</v>
      </c>
      <c r="D1038" s="177"/>
      <c r="E1038" s="177"/>
      <c r="F1038" s="177"/>
      <c r="G1038" s="177"/>
      <c r="H1038" s="177"/>
      <c r="I1038" s="177"/>
      <c r="J1038" s="177"/>
      <c r="K1038" s="177"/>
      <c r="L1038" s="381">
        <v>12</v>
      </c>
    </row>
    <row r="1039" spans="1:12" ht="23.25" customHeight="1" x14ac:dyDescent="0.25">
      <c r="A1039" s="22">
        <f t="shared" si="45"/>
        <v>940</v>
      </c>
      <c r="B1039" s="22" t="s">
        <v>1823</v>
      </c>
      <c r="C1039" s="381" t="s">
        <v>1774</v>
      </c>
      <c r="D1039" s="177"/>
      <c r="E1039" s="177"/>
      <c r="F1039" s="177"/>
      <c r="G1039" s="177"/>
      <c r="H1039" s="177"/>
      <c r="I1039" s="177"/>
      <c r="J1039" s="177"/>
      <c r="K1039" s="177"/>
      <c r="L1039" s="381">
        <v>4</v>
      </c>
    </row>
    <row r="1040" spans="1:12" ht="23.25" customHeight="1" x14ac:dyDescent="0.25">
      <c r="A1040" s="22">
        <f t="shared" si="45"/>
        <v>941</v>
      </c>
      <c r="B1040" s="22" t="s">
        <v>1824</v>
      </c>
      <c r="C1040" s="381" t="s">
        <v>1775</v>
      </c>
      <c r="D1040" s="177"/>
      <c r="E1040" s="177"/>
      <c r="F1040" s="177"/>
      <c r="G1040" s="177"/>
      <c r="H1040" s="177"/>
      <c r="I1040" s="177"/>
      <c r="J1040" s="177"/>
      <c r="K1040" s="177"/>
      <c r="L1040" s="381">
        <v>40</v>
      </c>
    </row>
    <row r="1041" spans="1:12" ht="23.25" customHeight="1" x14ac:dyDescent="0.25">
      <c r="A1041" s="22">
        <f t="shared" si="45"/>
        <v>942</v>
      </c>
      <c r="B1041" s="22" t="s">
        <v>1825</v>
      </c>
      <c r="C1041" s="381" t="s">
        <v>1776</v>
      </c>
      <c r="D1041" s="177"/>
      <c r="E1041" s="177"/>
      <c r="F1041" s="177"/>
      <c r="G1041" s="177"/>
      <c r="H1041" s="177"/>
      <c r="I1041" s="177"/>
      <c r="J1041" s="177"/>
      <c r="K1041" s="177"/>
      <c r="L1041" s="381">
        <v>10</v>
      </c>
    </row>
    <row r="1042" spans="1:12" ht="23.25" customHeight="1" x14ac:dyDescent="0.25">
      <c r="A1042" s="22">
        <f t="shared" si="45"/>
        <v>943</v>
      </c>
      <c r="B1042" s="22" t="s">
        <v>1826</v>
      </c>
      <c r="C1042" s="381" t="s">
        <v>1776</v>
      </c>
      <c r="D1042" s="177"/>
      <c r="E1042" s="177"/>
      <c r="F1042" s="177"/>
      <c r="G1042" s="177"/>
      <c r="H1042" s="177"/>
      <c r="I1042" s="177"/>
      <c r="J1042" s="177"/>
      <c r="K1042" s="177"/>
      <c r="L1042" s="381">
        <v>5</v>
      </c>
    </row>
    <row r="1043" spans="1:12" ht="23.25" customHeight="1" x14ac:dyDescent="0.25">
      <c r="A1043" s="22">
        <f t="shared" si="45"/>
        <v>944</v>
      </c>
      <c r="B1043" s="22" t="s">
        <v>1827</v>
      </c>
      <c r="C1043" s="381" t="s">
        <v>1776</v>
      </c>
      <c r="D1043" s="177"/>
      <c r="E1043" s="177"/>
      <c r="F1043" s="177"/>
      <c r="G1043" s="177"/>
      <c r="H1043" s="177"/>
      <c r="I1043" s="177"/>
      <c r="J1043" s="177"/>
      <c r="K1043" s="177"/>
      <c r="L1043" s="381">
        <v>5</v>
      </c>
    </row>
    <row r="1044" spans="1:12" ht="23.25" customHeight="1" x14ac:dyDescent="0.25">
      <c r="A1044" s="22">
        <f t="shared" si="45"/>
        <v>945</v>
      </c>
      <c r="B1044" s="22" t="s">
        <v>1828</v>
      </c>
      <c r="C1044" s="381" t="s">
        <v>1771</v>
      </c>
      <c r="D1044" s="177"/>
      <c r="E1044" s="177"/>
      <c r="F1044" s="177"/>
      <c r="G1044" s="177"/>
      <c r="H1044" s="177"/>
      <c r="I1044" s="177"/>
      <c r="J1044" s="177"/>
      <c r="K1044" s="177"/>
      <c r="L1044" s="381">
        <v>20</v>
      </c>
    </row>
    <row r="1045" spans="1:12" ht="23.25" customHeight="1" x14ac:dyDescent="0.25">
      <c r="A1045" s="22">
        <f t="shared" si="45"/>
        <v>946</v>
      </c>
      <c r="B1045" s="22" t="s">
        <v>1829</v>
      </c>
      <c r="C1045" s="381" t="s">
        <v>1777</v>
      </c>
      <c r="D1045" s="177"/>
      <c r="E1045" s="177"/>
      <c r="F1045" s="177"/>
      <c r="G1045" s="177"/>
      <c r="H1045" s="177"/>
      <c r="I1045" s="177"/>
      <c r="J1045" s="177"/>
      <c r="K1045" s="177"/>
      <c r="L1045" s="381">
        <v>100</v>
      </c>
    </row>
    <row r="1046" spans="1:12" ht="23.25" customHeight="1" x14ac:dyDescent="0.25">
      <c r="A1046" s="22">
        <f t="shared" si="45"/>
        <v>947</v>
      </c>
      <c r="B1046" s="22" t="s">
        <v>1830</v>
      </c>
      <c r="C1046" s="381" t="s">
        <v>1778</v>
      </c>
      <c r="D1046" s="177"/>
      <c r="E1046" s="177"/>
      <c r="F1046" s="177"/>
      <c r="G1046" s="177"/>
      <c r="H1046" s="177"/>
      <c r="I1046" s="177"/>
      <c r="J1046" s="177"/>
      <c r="K1046" s="177"/>
      <c r="L1046" s="381">
        <v>240</v>
      </c>
    </row>
    <row r="1047" spans="1:12" ht="23.25" customHeight="1" x14ac:dyDescent="0.25">
      <c r="A1047" s="22">
        <f t="shared" si="45"/>
        <v>948</v>
      </c>
      <c r="B1047" s="22" t="s">
        <v>1831</v>
      </c>
      <c r="C1047" s="381" t="s">
        <v>1779</v>
      </c>
      <c r="D1047" s="177"/>
      <c r="E1047" s="177"/>
      <c r="F1047" s="177"/>
      <c r="G1047" s="177"/>
      <c r="H1047" s="177"/>
      <c r="I1047" s="177"/>
      <c r="J1047" s="177"/>
      <c r="K1047" s="177"/>
      <c r="L1047" s="381">
        <v>12</v>
      </c>
    </row>
    <row r="1048" spans="1:12" ht="23.25" customHeight="1" x14ac:dyDescent="0.25">
      <c r="A1048" s="22">
        <f t="shared" si="45"/>
        <v>949</v>
      </c>
      <c r="B1048" s="22" t="s">
        <v>1832</v>
      </c>
      <c r="C1048" s="381" t="s">
        <v>1780</v>
      </c>
      <c r="D1048" s="177"/>
      <c r="E1048" s="177"/>
      <c r="F1048" s="177"/>
      <c r="G1048" s="177"/>
      <c r="H1048" s="177"/>
      <c r="I1048" s="177"/>
      <c r="J1048" s="177"/>
      <c r="K1048" s="177"/>
      <c r="L1048" s="381">
        <v>4</v>
      </c>
    </row>
    <row r="1049" spans="1:12" ht="23.25" customHeight="1" x14ac:dyDescent="0.25">
      <c r="A1049" s="22">
        <f t="shared" si="45"/>
        <v>950</v>
      </c>
      <c r="B1049" s="22" t="s">
        <v>1833</v>
      </c>
      <c r="C1049" s="381" t="s">
        <v>1780</v>
      </c>
      <c r="D1049" s="177"/>
      <c r="E1049" s="177"/>
      <c r="F1049" s="177"/>
      <c r="G1049" s="177"/>
      <c r="H1049" s="177"/>
      <c r="I1049" s="177"/>
      <c r="J1049" s="177"/>
      <c r="K1049" s="177"/>
      <c r="L1049" s="381">
        <v>40</v>
      </c>
    </row>
    <row r="1050" spans="1:12" ht="23.25" customHeight="1" x14ac:dyDescent="0.25">
      <c r="A1050" s="22">
        <f t="shared" si="45"/>
        <v>951</v>
      </c>
      <c r="B1050" s="22" t="s">
        <v>1834</v>
      </c>
      <c r="C1050" s="381" t="s">
        <v>1781</v>
      </c>
      <c r="D1050" s="177"/>
      <c r="E1050" s="177"/>
      <c r="F1050" s="177"/>
      <c r="G1050" s="177"/>
      <c r="H1050" s="177"/>
      <c r="I1050" s="177"/>
      <c r="J1050" s="177"/>
      <c r="K1050" s="177"/>
      <c r="L1050" s="381">
        <v>10</v>
      </c>
    </row>
    <row r="1051" spans="1:12" ht="23.25" customHeight="1" x14ac:dyDescent="0.25">
      <c r="A1051" s="22">
        <f t="shared" si="45"/>
        <v>952</v>
      </c>
      <c r="B1051" s="22" t="s">
        <v>1835</v>
      </c>
      <c r="C1051" s="381" t="s">
        <v>1782</v>
      </c>
      <c r="D1051" s="177"/>
      <c r="E1051" s="177"/>
      <c r="F1051" s="177"/>
      <c r="G1051" s="177"/>
      <c r="H1051" s="177"/>
      <c r="I1051" s="177"/>
      <c r="J1051" s="177"/>
      <c r="K1051" s="177"/>
      <c r="L1051" s="381">
        <v>5</v>
      </c>
    </row>
    <row r="1052" spans="1:12" ht="23.25" customHeight="1" x14ac:dyDescent="0.25">
      <c r="A1052" s="22">
        <f t="shared" si="45"/>
        <v>953</v>
      </c>
      <c r="B1052" s="22" t="s">
        <v>1836</v>
      </c>
      <c r="C1052" s="381" t="s">
        <v>1782</v>
      </c>
      <c r="D1052" s="177"/>
      <c r="E1052" s="177"/>
      <c r="F1052" s="177"/>
      <c r="G1052" s="177"/>
      <c r="H1052" s="177"/>
      <c r="I1052" s="177"/>
      <c r="J1052" s="177"/>
      <c r="K1052" s="177"/>
      <c r="L1052" s="381">
        <v>5</v>
      </c>
    </row>
    <row r="1053" spans="1:12" ht="23.25" customHeight="1" x14ac:dyDescent="0.25">
      <c r="A1053" s="22">
        <f t="shared" si="45"/>
        <v>954</v>
      </c>
      <c r="B1053" s="22" t="s">
        <v>1837</v>
      </c>
      <c r="C1053" s="381" t="s">
        <v>1769</v>
      </c>
      <c r="D1053" s="177"/>
      <c r="E1053" s="177"/>
      <c r="F1053" s="177"/>
      <c r="G1053" s="177"/>
      <c r="H1053" s="177"/>
      <c r="I1053" s="177"/>
      <c r="J1053" s="177"/>
      <c r="K1053" s="177"/>
      <c r="L1053" s="381">
        <v>20</v>
      </c>
    </row>
    <row r="1054" spans="1:12" ht="23.25" customHeight="1" x14ac:dyDescent="0.25">
      <c r="A1054" s="22">
        <f t="shared" si="45"/>
        <v>955</v>
      </c>
      <c r="B1054" s="22" t="s">
        <v>1838</v>
      </c>
      <c r="C1054" s="381" t="s">
        <v>1783</v>
      </c>
      <c r="D1054" s="177"/>
      <c r="E1054" s="177"/>
      <c r="F1054" s="177"/>
      <c r="G1054" s="177"/>
      <c r="H1054" s="177"/>
      <c r="I1054" s="177"/>
      <c r="J1054" s="177"/>
      <c r="K1054" s="177"/>
      <c r="L1054" s="381">
        <v>100</v>
      </c>
    </row>
    <row r="1055" spans="1:12" ht="23.25" customHeight="1" x14ac:dyDescent="0.25">
      <c r="A1055" s="22">
        <f t="shared" si="45"/>
        <v>956</v>
      </c>
      <c r="B1055" s="22" t="s">
        <v>1839</v>
      </c>
      <c r="C1055" s="381" t="s">
        <v>1784</v>
      </c>
      <c r="D1055" s="177"/>
      <c r="E1055" s="177"/>
      <c r="F1055" s="177"/>
      <c r="G1055" s="177"/>
      <c r="H1055" s="177"/>
      <c r="I1055" s="177"/>
      <c r="J1055" s="177"/>
      <c r="K1055" s="177"/>
      <c r="L1055" s="381">
        <v>240</v>
      </c>
    </row>
    <row r="1056" spans="1:12" ht="23.25" customHeight="1" x14ac:dyDescent="0.25">
      <c r="A1056" s="22"/>
      <c r="B1056" s="22"/>
      <c r="C1056" s="372"/>
      <c r="D1056" s="177"/>
      <c r="E1056" s="177"/>
      <c r="F1056" s="177"/>
      <c r="G1056" s="177"/>
      <c r="H1056" s="177"/>
      <c r="I1056" s="177"/>
      <c r="J1056" s="177"/>
      <c r="K1056" s="177"/>
      <c r="L1056" s="22"/>
    </row>
    <row r="1057" spans="1:12" ht="23.25" customHeight="1" x14ac:dyDescent="0.25">
      <c r="A1057" s="22"/>
      <c r="B1057" s="22"/>
      <c r="C1057" s="372"/>
      <c r="D1057" s="177"/>
      <c r="E1057" s="177"/>
      <c r="F1057" s="177"/>
      <c r="G1057" s="177"/>
      <c r="H1057" s="177"/>
      <c r="I1057" s="177"/>
      <c r="J1057" s="177"/>
      <c r="K1057" s="177"/>
      <c r="L1057" s="22"/>
    </row>
    <row r="1058" spans="1:12" ht="23.25" customHeight="1" x14ac:dyDescent="0.25">
      <c r="A1058" s="22" t="s">
        <v>1869</v>
      </c>
      <c r="B1058" s="415" t="s">
        <v>1785</v>
      </c>
      <c r="C1058" s="372"/>
      <c r="D1058" s="177"/>
      <c r="E1058" s="177"/>
      <c r="F1058" s="177"/>
      <c r="G1058" s="177"/>
      <c r="H1058" s="177"/>
      <c r="I1058" s="177"/>
      <c r="J1058" s="177"/>
      <c r="K1058" s="177"/>
      <c r="L1058" s="22"/>
    </row>
    <row r="1059" spans="1:12" ht="23.25" customHeight="1" x14ac:dyDescent="0.25">
      <c r="A1059" s="22">
        <f>1+A1055</f>
        <v>957</v>
      </c>
      <c r="B1059" s="22" t="s">
        <v>1841</v>
      </c>
      <c r="C1059" s="447" t="s">
        <v>2053</v>
      </c>
      <c r="D1059" s="177"/>
      <c r="E1059" s="177"/>
      <c r="F1059" s="177"/>
      <c r="G1059" s="177"/>
      <c r="H1059" s="177"/>
      <c r="I1059" s="177"/>
      <c r="J1059" s="177"/>
      <c r="K1059" s="177"/>
      <c r="L1059" s="22">
        <v>5</v>
      </c>
    </row>
    <row r="1060" spans="1:12" ht="23.25" customHeight="1" x14ac:dyDescent="0.25">
      <c r="A1060" s="22">
        <f>1+A1059</f>
        <v>958</v>
      </c>
      <c r="B1060" s="22" t="s">
        <v>1842</v>
      </c>
      <c r="C1060" s="447" t="s">
        <v>2053</v>
      </c>
      <c r="D1060" s="177"/>
      <c r="E1060" s="177"/>
      <c r="F1060" s="177"/>
      <c r="G1060" s="177"/>
      <c r="H1060" s="177"/>
      <c r="I1060" s="177"/>
      <c r="J1060" s="177"/>
      <c r="K1060" s="177"/>
      <c r="L1060" s="22">
        <v>5</v>
      </c>
    </row>
    <row r="1061" spans="1:12" ht="23.25" customHeight="1" x14ac:dyDescent="0.25">
      <c r="A1061" s="22">
        <f t="shared" ref="A1061:A1075" si="46">1+A1060</f>
        <v>959</v>
      </c>
      <c r="B1061" s="22" t="s">
        <v>1843</v>
      </c>
      <c r="C1061" s="447" t="s">
        <v>2053</v>
      </c>
      <c r="D1061" s="177"/>
      <c r="E1061" s="177"/>
      <c r="F1061" s="177"/>
      <c r="G1061" s="177"/>
      <c r="H1061" s="177"/>
      <c r="I1061" s="177"/>
      <c r="J1061" s="177"/>
      <c r="K1061" s="177"/>
      <c r="L1061" s="22">
        <v>5</v>
      </c>
    </row>
    <row r="1062" spans="1:12" ht="23.25" customHeight="1" x14ac:dyDescent="0.25">
      <c r="A1062" s="22">
        <f t="shared" si="46"/>
        <v>960</v>
      </c>
      <c r="B1062" s="22" t="s">
        <v>1844</v>
      </c>
      <c r="C1062" s="447" t="s">
        <v>2053</v>
      </c>
      <c r="D1062" s="177"/>
      <c r="E1062" s="177"/>
      <c r="F1062" s="177"/>
      <c r="G1062" s="177"/>
      <c r="H1062" s="177"/>
      <c r="I1062" s="177"/>
      <c r="J1062" s="177"/>
      <c r="K1062" s="177"/>
      <c r="L1062" s="22">
        <v>5</v>
      </c>
    </row>
    <row r="1063" spans="1:12" ht="23.25" customHeight="1" x14ac:dyDescent="0.25">
      <c r="A1063" s="22">
        <f t="shared" si="46"/>
        <v>961</v>
      </c>
      <c r="B1063" s="22" t="s">
        <v>1845</v>
      </c>
      <c r="C1063" s="447" t="s">
        <v>2053</v>
      </c>
      <c r="D1063" s="177"/>
      <c r="E1063" s="177"/>
      <c r="F1063" s="177"/>
      <c r="G1063" s="177"/>
      <c r="H1063" s="177"/>
      <c r="I1063" s="177"/>
      <c r="J1063" s="177"/>
      <c r="K1063" s="177"/>
      <c r="L1063" s="22">
        <v>5</v>
      </c>
    </row>
    <row r="1064" spans="1:12" ht="23.25" customHeight="1" x14ac:dyDescent="0.25">
      <c r="A1064" s="22">
        <f t="shared" si="46"/>
        <v>962</v>
      </c>
      <c r="B1064" s="22" t="s">
        <v>1846</v>
      </c>
      <c r="C1064" s="447" t="s">
        <v>2053</v>
      </c>
      <c r="D1064" s="177"/>
      <c r="E1064" s="177"/>
      <c r="F1064" s="177"/>
      <c r="G1064" s="177"/>
      <c r="H1064" s="177"/>
      <c r="I1064" s="177"/>
      <c r="J1064" s="177"/>
      <c r="K1064" s="177"/>
      <c r="L1064" s="22">
        <v>15</v>
      </c>
    </row>
    <row r="1065" spans="1:12" ht="23.25" customHeight="1" x14ac:dyDescent="0.25">
      <c r="A1065" s="22">
        <f t="shared" si="46"/>
        <v>963</v>
      </c>
      <c r="B1065" s="22" t="s">
        <v>1847</v>
      </c>
      <c r="C1065" s="447" t="s">
        <v>2053</v>
      </c>
      <c r="D1065" s="177"/>
      <c r="E1065" s="177"/>
      <c r="F1065" s="177"/>
      <c r="G1065" s="177"/>
      <c r="H1065" s="177"/>
      <c r="I1065" s="177"/>
      <c r="J1065" s="177"/>
      <c r="K1065" s="177"/>
      <c r="L1065" s="22">
        <v>5</v>
      </c>
    </row>
    <row r="1066" spans="1:12" ht="23.25" customHeight="1" x14ac:dyDescent="0.25">
      <c r="A1066" s="22">
        <f t="shared" si="46"/>
        <v>964</v>
      </c>
      <c r="B1066" s="22" t="s">
        <v>1848</v>
      </c>
      <c r="C1066" s="447" t="s">
        <v>2053</v>
      </c>
      <c r="D1066" s="177"/>
      <c r="E1066" s="177"/>
      <c r="F1066" s="177"/>
      <c r="G1066" s="177"/>
      <c r="H1066" s="177"/>
      <c r="I1066" s="177"/>
      <c r="J1066" s="177"/>
      <c r="K1066" s="177"/>
      <c r="L1066" s="22">
        <v>5</v>
      </c>
    </row>
    <row r="1067" spans="1:12" ht="23.25" customHeight="1" x14ac:dyDescent="0.25">
      <c r="A1067" s="22">
        <f t="shared" si="46"/>
        <v>965</v>
      </c>
      <c r="B1067" s="22" t="s">
        <v>1849</v>
      </c>
      <c r="C1067" s="447" t="s">
        <v>2053</v>
      </c>
      <c r="D1067" s="177"/>
      <c r="E1067" s="177"/>
      <c r="F1067" s="177"/>
      <c r="G1067" s="177"/>
      <c r="H1067" s="177"/>
      <c r="I1067" s="177"/>
      <c r="J1067" s="177"/>
      <c r="K1067" s="177"/>
      <c r="L1067" s="22">
        <v>5</v>
      </c>
    </row>
    <row r="1068" spans="1:12" ht="23.25" customHeight="1" x14ac:dyDescent="0.25">
      <c r="A1068" s="22">
        <f t="shared" si="46"/>
        <v>966</v>
      </c>
      <c r="B1068" s="22" t="s">
        <v>1850</v>
      </c>
      <c r="C1068" s="447" t="s">
        <v>2053</v>
      </c>
      <c r="D1068" s="177"/>
      <c r="E1068" s="177"/>
      <c r="F1068" s="177"/>
      <c r="G1068" s="177"/>
      <c r="H1068" s="177"/>
      <c r="I1068" s="177"/>
      <c r="J1068" s="177"/>
      <c r="K1068" s="177"/>
      <c r="L1068" s="22">
        <v>15</v>
      </c>
    </row>
    <row r="1069" spans="1:12" ht="23.25" customHeight="1" x14ac:dyDescent="0.25">
      <c r="A1069" s="22">
        <f t="shared" si="46"/>
        <v>967</v>
      </c>
      <c r="B1069" s="22" t="s">
        <v>1851</v>
      </c>
      <c r="C1069" s="447" t="s">
        <v>2053</v>
      </c>
      <c r="D1069" s="177"/>
      <c r="E1069" s="177"/>
      <c r="F1069" s="177"/>
      <c r="G1069" s="177"/>
      <c r="H1069" s="177"/>
      <c r="I1069" s="177"/>
      <c r="J1069" s="177"/>
      <c r="K1069" s="177"/>
      <c r="L1069" s="22">
        <v>5</v>
      </c>
    </row>
    <row r="1070" spans="1:12" ht="23.25" customHeight="1" x14ac:dyDescent="0.25">
      <c r="A1070" s="22">
        <f t="shared" si="46"/>
        <v>968</v>
      </c>
      <c r="B1070" s="22" t="s">
        <v>1852</v>
      </c>
      <c r="C1070" s="447" t="s">
        <v>2053</v>
      </c>
      <c r="D1070" s="177"/>
      <c r="E1070" s="177"/>
      <c r="F1070" s="177"/>
      <c r="G1070" s="177"/>
      <c r="H1070" s="177"/>
      <c r="I1070" s="177"/>
      <c r="J1070" s="177"/>
      <c r="K1070" s="177"/>
      <c r="L1070" s="22">
        <v>2</v>
      </c>
    </row>
    <row r="1071" spans="1:12" ht="23.25" customHeight="1" x14ac:dyDescent="0.25">
      <c r="A1071" s="22">
        <f t="shared" si="46"/>
        <v>969</v>
      </c>
      <c r="B1071" s="22" t="s">
        <v>1853</v>
      </c>
      <c r="C1071" s="447" t="s">
        <v>2053</v>
      </c>
      <c r="D1071" s="177"/>
      <c r="E1071" s="177"/>
      <c r="F1071" s="177"/>
      <c r="G1071" s="177"/>
      <c r="H1071" s="177"/>
      <c r="I1071" s="177"/>
      <c r="J1071" s="177"/>
      <c r="K1071" s="177"/>
      <c r="L1071" s="22">
        <v>2</v>
      </c>
    </row>
    <row r="1072" spans="1:12" ht="23.25" customHeight="1" x14ac:dyDescent="0.25">
      <c r="A1072" s="22">
        <f t="shared" si="46"/>
        <v>970</v>
      </c>
      <c r="B1072" s="22" t="s">
        <v>1702</v>
      </c>
      <c r="C1072" s="372" t="s">
        <v>2054</v>
      </c>
      <c r="D1072" s="177"/>
      <c r="E1072" s="177"/>
      <c r="F1072" s="177"/>
      <c r="G1072" s="177"/>
      <c r="H1072" s="177"/>
      <c r="I1072" s="177"/>
      <c r="J1072" s="177"/>
      <c r="K1072" s="177"/>
      <c r="L1072" s="22">
        <v>2</v>
      </c>
    </row>
    <row r="1073" spans="1:12" ht="23.25" customHeight="1" x14ac:dyDescent="0.25">
      <c r="A1073" s="22">
        <f t="shared" si="46"/>
        <v>971</v>
      </c>
      <c r="B1073" s="22" t="s">
        <v>1854</v>
      </c>
      <c r="C1073" s="372" t="s">
        <v>2054</v>
      </c>
      <c r="D1073" s="177"/>
      <c r="E1073" s="177"/>
      <c r="F1073" s="177"/>
      <c r="G1073" s="177"/>
      <c r="H1073" s="177"/>
      <c r="I1073" s="177"/>
      <c r="J1073" s="177"/>
      <c r="K1073" s="177"/>
      <c r="L1073" s="22">
        <v>2</v>
      </c>
    </row>
    <row r="1074" spans="1:12" ht="23.25" customHeight="1" x14ac:dyDescent="0.25">
      <c r="A1074" s="22">
        <f t="shared" si="46"/>
        <v>972</v>
      </c>
      <c r="B1074" s="22" t="s">
        <v>1855</v>
      </c>
      <c r="C1074" s="372" t="s">
        <v>2055</v>
      </c>
      <c r="D1074" s="177"/>
      <c r="E1074" s="177"/>
      <c r="F1074" s="177"/>
      <c r="G1074" s="177"/>
      <c r="H1074" s="177"/>
      <c r="I1074" s="177"/>
      <c r="J1074" s="177"/>
      <c r="K1074" s="177"/>
      <c r="L1074" s="22">
        <v>20</v>
      </c>
    </row>
    <row r="1075" spans="1:12" ht="23.25" customHeight="1" x14ac:dyDescent="0.25">
      <c r="A1075" s="22">
        <f t="shared" si="46"/>
        <v>973</v>
      </c>
      <c r="B1075" s="22" t="s">
        <v>1856</v>
      </c>
      <c r="C1075" s="372" t="s">
        <v>2055</v>
      </c>
      <c r="D1075" s="177"/>
      <c r="E1075" s="177"/>
      <c r="F1075" s="177"/>
      <c r="G1075" s="177"/>
      <c r="H1075" s="177"/>
      <c r="I1075" s="177"/>
      <c r="J1075" s="177"/>
      <c r="K1075" s="177"/>
      <c r="L1075" s="22">
        <v>40</v>
      </c>
    </row>
    <row r="1076" spans="1:12" ht="23.25" customHeight="1" x14ac:dyDescent="0.25">
      <c r="A1076" s="22"/>
      <c r="B1076" s="22"/>
      <c r="C1076" s="372"/>
      <c r="D1076" s="177"/>
      <c r="E1076" s="177"/>
      <c r="F1076" s="177"/>
      <c r="G1076" s="177"/>
      <c r="H1076" s="177"/>
      <c r="I1076" s="177"/>
      <c r="J1076" s="177"/>
      <c r="K1076" s="177"/>
      <c r="L1076" s="22"/>
    </row>
    <row r="1077" spans="1:12" ht="23.25" customHeight="1" x14ac:dyDescent="0.25">
      <c r="A1077" s="22"/>
      <c r="B1077" s="22"/>
      <c r="C1077" s="372"/>
      <c r="D1077" s="177"/>
      <c r="E1077" s="177"/>
      <c r="F1077" s="177"/>
      <c r="G1077" s="177"/>
      <c r="H1077" s="177"/>
      <c r="I1077" s="177"/>
      <c r="J1077" s="177"/>
      <c r="K1077" s="177"/>
      <c r="L1077" s="22"/>
    </row>
    <row r="1078" spans="1:12" ht="23.25" customHeight="1" x14ac:dyDescent="0.25">
      <c r="A1078" s="22"/>
      <c r="B1078" s="383" t="s">
        <v>1857</v>
      </c>
      <c r="C1078" s="372"/>
      <c r="D1078" s="177"/>
      <c r="E1078" s="177"/>
      <c r="F1078" s="177"/>
      <c r="G1078" s="177"/>
      <c r="H1078" s="177"/>
      <c r="I1078" s="177"/>
      <c r="J1078" s="177"/>
      <c r="K1078" s="177"/>
      <c r="L1078" s="22"/>
    </row>
    <row r="1079" spans="1:12" ht="23.25" customHeight="1" x14ac:dyDescent="0.25">
      <c r="A1079" s="22">
        <f>1+A1075</f>
        <v>974</v>
      </c>
      <c r="B1079" s="22" t="s">
        <v>1858</v>
      </c>
      <c r="C1079" s="372" t="s">
        <v>1859</v>
      </c>
      <c r="D1079" s="177"/>
      <c r="E1079" s="177"/>
      <c r="F1079" s="177"/>
      <c r="G1079" s="177"/>
      <c r="H1079" s="177"/>
      <c r="I1079" s="177"/>
      <c r="J1079" s="177"/>
      <c r="K1079" s="177"/>
      <c r="L1079" s="22">
        <v>408</v>
      </c>
    </row>
    <row r="1080" spans="1:12" ht="23.25" customHeight="1" x14ac:dyDescent="0.25">
      <c r="A1080" s="22">
        <f>1+A1079</f>
        <v>975</v>
      </c>
      <c r="B1080" s="22" t="s">
        <v>1860</v>
      </c>
      <c r="C1080" s="372" t="s">
        <v>1866</v>
      </c>
      <c r="D1080" s="177"/>
      <c r="E1080" s="177"/>
      <c r="F1080" s="177"/>
      <c r="G1080" s="177"/>
      <c r="H1080" s="177"/>
      <c r="I1080" s="177"/>
      <c r="J1080" s="177"/>
      <c r="K1080" s="177"/>
      <c r="L1080" s="22">
        <v>96</v>
      </c>
    </row>
    <row r="1081" spans="1:12" ht="23.25" customHeight="1" x14ac:dyDescent="0.25">
      <c r="A1081" s="22">
        <f t="shared" ref="A1081:A1085" si="47">1+A1080</f>
        <v>976</v>
      </c>
      <c r="B1081" s="22" t="s">
        <v>1861</v>
      </c>
      <c r="C1081" s="372" t="s">
        <v>1867</v>
      </c>
      <c r="D1081" s="177"/>
      <c r="E1081" s="177"/>
      <c r="F1081" s="177"/>
      <c r="G1081" s="177"/>
      <c r="H1081" s="177"/>
      <c r="I1081" s="177"/>
      <c r="J1081" s="177"/>
      <c r="K1081" s="177"/>
      <c r="L1081" s="22">
        <v>216</v>
      </c>
    </row>
    <row r="1082" spans="1:12" ht="23.25" customHeight="1" x14ac:dyDescent="0.25">
      <c r="A1082" s="22">
        <f t="shared" si="47"/>
        <v>977</v>
      </c>
      <c r="B1082" s="22" t="s">
        <v>1862</v>
      </c>
      <c r="C1082" s="372" t="s">
        <v>1867</v>
      </c>
      <c r="D1082" s="177"/>
      <c r="E1082" s="177"/>
      <c r="F1082" s="177"/>
      <c r="G1082" s="177"/>
      <c r="H1082" s="177"/>
      <c r="I1082" s="177"/>
      <c r="J1082" s="177"/>
      <c r="K1082" s="177"/>
      <c r="L1082" s="22">
        <v>216</v>
      </c>
    </row>
    <row r="1083" spans="1:12" ht="23.25" customHeight="1" x14ac:dyDescent="0.25">
      <c r="A1083" s="22">
        <f t="shared" si="47"/>
        <v>978</v>
      </c>
      <c r="B1083" s="22" t="s">
        <v>1863</v>
      </c>
      <c r="C1083" s="372" t="s">
        <v>1867</v>
      </c>
      <c r="D1083" s="177"/>
      <c r="E1083" s="177"/>
      <c r="F1083" s="177"/>
      <c r="G1083" s="177"/>
      <c r="H1083" s="177"/>
      <c r="I1083" s="177"/>
      <c r="J1083" s="177"/>
      <c r="K1083" s="177"/>
      <c r="L1083" s="22">
        <v>360</v>
      </c>
    </row>
    <row r="1084" spans="1:12" ht="23.25" customHeight="1" x14ac:dyDescent="0.25">
      <c r="A1084" s="22">
        <f t="shared" si="47"/>
        <v>979</v>
      </c>
      <c r="B1084" s="22" t="s">
        <v>1864</v>
      </c>
      <c r="C1084" s="372"/>
      <c r="D1084" s="177"/>
      <c r="E1084" s="177"/>
      <c r="F1084" s="177"/>
      <c r="G1084" s="177"/>
      <c r="H1084" s="177"/>
      <c r="I1084" s="177"/>
      <c r="J1084" s="177"/>
      <c r="K1084" s="177"/>
      <c r="L1084" s="22">
        <v>288</v>
      </c>
    </row>
    <row r="1085" spans="1:12" ht="23.25" customHeight="1" x14ac:dyDescent="0.25">
      <c r="A1085" s="22">
        <f t="shared" si="47"/>
        <v>980</v>
      </c>
      <c r="B1085" s="22" t="s">
        <v>1865</v>
      </c>
      <c r="C1085" s="372" t="s">
        <v>1867</v>
      </c>
      <c r="D1085" s="177"/>
      <c r="E1085" s="177"/>
      <c r="F1085" s="177"/>
      <c r="G1085" s="177"/>
      <c r="H1085" s="177"/>
      <c r="I1085" s="177"/>
      <c r="J1085" s="177"/>
      <c r="K1085" s="177"/>
      <c r="L1085" s="22">
        <v>525</v>
      </c>
    </row>
    <row r="1086" spans="1:12" ht="23.25" customHeight="1" x14ac:dyDescent="0.25">
      <c r="A1086" s="22"/>
      <c r="B1086" s="22"/>
      <c r="C1086" s="372"/>
      <c r="D1086" s="177"/>
      <c r="E1086" s="177"/>
      <c r="F1086" s="177"/>
      <c r="G1086" s="177"/>
      <c r="H1086" s="177"/>
      <c r="I1086" s="177"/>
      <c r="J1086" s="177"/>
      <c r="K1086" s="177"/>
      <c r="L1086" s="22"/>
    </row>
    <row r="1087" spans="1:12" ht="23.25" customHeight="1" x14ac:dyDescent="0.25">
      <c r="A1087" s="22"/>
      <c r="B1087" s="22"/>
      <c r="C1087" s="372"/>
      <c r="D1087" s="177"/>
      <c r="E1087" s="177"/>
      <c r="F1087" s="177"/>
      <c r="G1087" s="177"/>
      <c r="H1087" s="177"/>
      <c r="I1087" s="177"/>
      <c r="J1087" s="177"/>
      <c r="K1087" s="177"/>
      <c r="L1087" s="22"/>
    </row>
    <row r="1088" spans="1:12" ht="23.25" customHeight="1" x14ac:dyDescent="0.25"/>
    <row r="1089" spans="1:13" s="12" customFormat="1" ht="28.5" x14ac:dyDescent="0.35">
      <c r="A1089" s="22" t="s">
        <v>2037</v>
      </c>
      <c r="B1089" s="448" t="s">
        <v>1868</v>
      </c>
      <c r="C1089" s="449"/>
      <c r="D1089" s="177"/>
      <c r="E1089" s="177"/>
      <c r="F1089" s="177"/>
      <c r="G1089" s="177"/>
      <c r="H1089" s="177"/>
      <c r="I1089" s="177"/>
      <c r="J1089" s="177"/>
      <c r="K1089" s="177"/>
      <c r="L1089" s="22"/>
      <c r="M1089" s="384"/>
    </row>
    <row r="1090" spans="1:13" ht="23.25" customHeight="1" x14ac:dyDescent="0.25">
      <c r="A1090" s="22"/>
      <c r="B1090" s="22"/>
      <c r="C1090" s="372"/>
      <c r="D1090" s="177"/>
      <c r="E1090" s="177"/>
      <c r="F1090" s="177"/>
      <c r="G1090" s="177"/>
      <c r="H1090" s="177"/>
      <c r="I1090" s="177"/>
      <c r="J1090" s="177"/>
      <c r="K1090" s="177"/>
      <c r="L1090" s="22"/>
    </row>
    <row r="1091" spans="1:13" ht="23.25" customHeight="1" x14ac:dyDescent="0.25">
      <c r="A1091" s="22">
        <f>1+A1085</f>
        <v>981</v>
      </c>
      <c r="B1091" s="22" t="s">
        <v>1894</v>
      </c>
      <c r="C1091" s="381" t="s">
        <v>1870</v>
      </c>
      <c r="D1091" s="177"/>
      <c r="E1091" s="177"/>
      <c r="F1091" s="177"/>
      <c r="G1091" s="177"/>
      <c r="H1091" s="177"/>
      <c r="I1091" s="177"/>
      <c r="J1091" s="177"/>
      <c r="K1091" s="177"/>
      <c r="L1091" s="381">
        <v>36</v>
      </c>
    </row>
    <row r="1092" spans="1:13" ht="23.25" customHeight="1" x14ac:dyDescent="0.25">
      <c r="A1092" s="22">
        <f>1+A1091</f>
        <v>982</v>
      </c>
      <c r="B1092" s="22" t="s">
        <v>1895</v>
      </c>
      <c r="C1092" s="381" t="s">
        <v>1871</v>
      </c>
      <c r="D1092" s="177"/>
      <c r="E1092" s="177"/>
      <c r="F1092" s="177"/>
      <c r="G1092" s="177"/>
      <c r="H1092" s="177"/>
      <c r="I1092" s="177"/>
      <c r="J1092" s="177"/>
      <c r="K1092" s="177"/>
      <c r="L1092" s="381">
        <v>80</v>
      </c>
    </row>
    <row r="1093" spans="1:13" ht="23.25" customHeight="1" x14ac:dyDescent="0.25">
      <c r="A1093" s="22">
        <f t="shared" ref="A1093:A1148" si="48">1+A1092</f>
        <v>983</v>
      </c>
      <c r="B1093" s="22" t="s">
        <v>1896</v>
      </c>
      <c r="C1093" s="381" t="s">
        <v>1872</v>
      </c>
      <c r="D1093" s="177"/>
      <c r="E1093" s="177"/>
      <c r="F1093" s="177"/>
      <c r="G1093" s="177"/>
      <c r="H1093" s="177"/>
      <c r="I1093" s="177"/>
      <c r="J1093" s="177"/>
      <c r="K1093" s="177"/>
      <c r="L1093" s="381">
        <v>24</v>
      </c>
    </row>
    <row r="1094" spans="1:13" ht="23.25" customHeight="1" x14ac:dyDescent="0.25">
      <c r="A1094" s="22">
        <f t="shared" si="48"/>
        <v>984</v>
      </c>
      <c r="B1094" s="22" t="s">
        <v>1897</v>
      </c>
      <c r="C1094" s="381" t="s">
        <v>1873</v>
      </c>
      <c r="D1094" s="177"/>
      <c r="E1094" s="177"/>
      <c r="F1094" s="177"/>
      <c r="G1094" s="177"/>
      <c r="H1094" s="177"/>
      <c r="I1094" s="177"/>
      <c r="J1094" s="177"/>
      <c r="K1094" s="177"/>
      <c r="L1094" s="381">
        <v>16</v>
      </c>
    </row>
    <row r="1095" spans="1:13" ht="23.25" customHeight="1" x14ac:dyDescent="0.25">
      <c r="A1095" s="22">
        <f t="shared" si="48"/>
        <v>985</v>
      </c>
      <c r="B1095" s="22" t="s">
        <v>1898</v>
      </c>
      <c r="C1095" s="381" t="s">
        <v>1874</v>
      </c>
      <c r="D1095" s="177"/>
      <c r="E1095" s="177"/>
      <c r="F1095" s="177"/>
      <c r="G1095" s="177"/>
      <c r="H1095" s="177"/>
      <c r="I1095" s="177"/>
      <c r="J1095" s="177"/>
      <c r="K1095" s="177"/>
      <c r="L1095" s="381">
        <v>60</v>
      </c>
    </row>
    <row r="1096" spans="1:13" ht="23.25" customHeight="1" x14ac:dyDescent="0.25">
      <c r="A1096" s="22">
        <f t="shared" si="48"/>
        <v>986</v>
      </c>
      <c r="B1096" s="22" t="s">
        <v>1899</v>
      </c>
      <c r="C1096" s="381" t="s">
        <v>1872</v>
      </c>
      <c r="D1096" s="177"/>
      <c r="E1096" s="177"/>
      <c r="F1096" s="177"/>
      <c r="G1096" s="177"/>
      <c r="H1096" s="177"/>
      <c r="I1096" s="177"/>
      <c r="J1096" s="177"/>
      <c r="K1096" s="177"/>
      <c r="L1096" s="381">
        <v>60</v>
      </c>
    </row>
    <row r="1097" spans="1:13" ht="23.25" customHeight="1" x14ac:dyDescent="0.25">
      <c r="A1097" s="22">
        <f t="shared" si="48"/>
        <v>987</v>
      </c>
      <c r="B1097" s="22" t="s">
        <v>1900</v>
      </c>
      <c r="C1097" s="381" t="s">
        <v>1872</v>
      </c>
      <c r="D1097" s="177"/>
      <c r="E1097" s="177"/>
      <c r="F1097" s="177"/>
      <c r="G1097" s="177"/>
      <c r="H1097" s="177"/>
      <c r="I1097" s="177"/>
      <c r="J1097" s="177"/>
      <c r="K1097" s="177"/>
      <c r="L1097" s="381">
        <v>24</v>
      </c>
    </row>
    <row r="1098" spans="1:13" ht="23.25" customHeight="1" x14ac:dyDescent="0.25">
      <c r="A1098" s="22">
        <f t="shared" si="48"/>
        <v>988</v>
      </c>
      <c r="B1098" s="22" t="s">
        <v>1901</v>
      </c>
      <c r="C1098" s="381" t="s">
        <v>1872</v>
      </c>
      <c r="D1098" s="177"/>
      <c r="E1098" s="177"/>
      <c r="F1098" s="177"/>
      <c r="G1098" s="177"/>
      <c r="H1098" s="177"/>
      <c r="I1098" s="177"/>
      <c r="J1098" s="177"/>
      <c r="K1098" s="177"/>
      <c r="L1098" s="381">
        <v>24</v>
      </c>
    </row>
    <row r="1099" spans="1:13" ht="23.25" customHeight="1" x14ac:dyDescent="0.25">
      <c r="A1099" s="22">
        <f t="shared" si="48"/>
        <v>989</v>
      </c>
      <c r="B1099" s="22" t="s">
        <v>1902</v>
      </c>
      <c r="C1099" s="381" t="s">
        <v>1872</v>
      </c>
      <c r="D1099" s="177"/>
      <c r="E1099" s="177"/>
      <c r="F1099" s="177"/>
      <c r="G1099" s="177"/>
      <c r="H1099" s="177"/>
      <c r="I1099" s="177"/>
      <c r="J1099" s="177"/>
      <c r="K1099" s="177"/>
      <c r="L1099" s="381">
        <v>36</v>
      </c>
    </row>
    <row r="1100" spans="1:13" ht="23.25" customHeight="1" x14ac:dyDescent="0.25">
      <c r="A1100" s="22">
        <f t="shared" si="48"/>
        <v>990</v>
      </c>
      <c r="B1100" s="22" t="s">
        <v>1903</v>
      </c>
      <c r="C1100" s="381" t="s">
        <v>1875</v>
      </c>
      <c r="D1100" s="177"/>
      <c r="E1100" s="177"/>
      <c r="F1100" s="177"/>
      <c r="G1100" s="177"/>
      <c r="H1100" s="177"/>
      <c r="I1100" s="177"/>
      <c r="J1100" s="177"/>
      <c r="K1100" s="177"/>
      <c r="L1100" s="381">
        <v>12</v>
      </c>
    </row>
    <row r="1101" spans="1:13" ht="23.25" customHeight="1" x14ac:dyDescent="0.25">
      <c r="A1101" s="22">
        <f t="shared" si="48"/>
        <v>991</v>
      </c>
      <c r="B1101" s="22" t="s">
        <v>1904</v>
      </c>
      <c r="C1101" s="381" t="s">
        <v>1876</v>
      </c>
      <c r="D1101" s="177"/>
      <c r="E1101" s="177"/>
      <c r="F1101" s="177"/>
      <c r="G1101" s="177"/>
      <c r="H1101" s="177"/>
      <c r="I1101" s="177"/>
      <c r="J1101" s="177"/>
      <c r="K1101" s="177"/>
      <c r="L1101" s="381">
        <v>100</v>
      </c>
    </row>
    <row r="1102" spans="1:13" ht="23.25" customHeight="1" x14ac:dyDescent="0.25">
      <c r="A1102" s="22">
        <f t="shared" si="48"/>
        <v>992</v>
      </c>
      <c r="B1102" s="22" t="s">
        <v>1905</v>
      </c>
      <c r="C1102" s="381" t="s">
        <v>1877</v>
      </c>
      <c r="D1102" s="177"/>
      <c r="E1102" s="177"/>
      <c r="F1102" s="177"/>
      <c r="G1102" s="177"/>
      <c r="H1102" s="177"/>
      <c r="I1102" s="177"/>
      <c r="J1102" s="177"/>
      <c r="K1102" s="177"/>
      <c r="L1102" s="381">
        <v>36</v>
      </c>
    </row>
    <row r="1103" spans="1:13" ht="23.25" customHeight="1" x14ac:dyDescent="0.25">
      <c r="A1103" s="22">
        <f t="shared" si="48"/>
        <v>993</v>
      </c>
      <c r="B1103" s="22" t="s">
        <v>1907</v>
      </c>
      <c r="C1103" s="381" t="s">
        <v>1878</v>
      </c>
      <c r="D1103" s="177"/>
      <c r="E1103" s="177"/>
      <c r="F1103" s="177"/>
      <c r="G1103" s="177"/>
      <c r="H1103" s="177"/>
      <c r="I1103" s="177"/>
      <c r="J1103" s="177"/>
      <c r="K1103" s="177"/>
      <c r="L1103" s="381">
        <v>12</v>
      </c>
    </row>
    <row r="1104" spans="1:13" ht="23.25" customHeight="1" x14ac:dyDescent="0.25">
      <c r="A1104" s="22">
        <f t="shared" si="48"/>
        <v>994</v>
      </c>
      <c r="B1104" s="22" t="s">
        <v>1908</v>
      </c>
      <c r="C1104" s="381" t="s">
        <v>1879</v>
      </c>
      <c r="D1104" s="177"/>
      <c r="E1104" s="177"/>
      <c r="F1104" s="177"/>
      <c r="G1104" s="177"/>
      <c r="H1104" s="177"/>
      <c r="I1104" s="177"/>
      <c r="J1104" s="177"/>
      <c r="K1104" s="177"/>
      <c r="L1104" s="381">
        <v>40</v>
      </c>
    </row>
    <row r="1105" spans="1:12" ht="23.25" customHeight="1" x14ac:dyDescent="0.25">
      <c r="A1105" s="22">
        <f t="shared" si="48"/>
        <v>995</v>
      </c>
      <c r="B1105" s="22" t="s">
        <v>1906</v>
      </c>
      <c r="C1105" s="381" t="s">
        <v>1880</v>
      </c>
      <c r="D1105" s="177"/>
      <c r="E1105" s="177"/>
      <c r="F1105" s="177"/>
      <c r="G1105" s="177"/>
      <c r="H1105" s="177"/>
      <c r="I1105" s="177"/>
      <c r="J1105" s="177"/>
      <c r="K1105" s="177"/>
      <c r="L1105" s="381">
        <v>40</v>
      </c>
    </row>
    <row r="1106" spans="1:12" ht="23.25" customHeight="1" x14ac:dyDescent="0.25">
      <c r="A1106" s="22">
        <f t="shared" si="48"/>
        <v>996</v>
      </c>
      <c r="B1106" s="22" t="s">
        <v>1910</v>
      </c>
      <c r="C1106" s="381" t="s">
        <v>1881</v>
      </c>
      <c r="D1106" s="177"/>
      <c r="E1106" s="177"/>
      <c r="F1106" s="177"/>
      <c r="G1106" s="177"/>
      <c r="H1106" s="177"/>
      <c r="I1106" s="177"/>
      <c r="J1106" s="177"/>
      <c r="K1106" s="177"/>
      <c r="L1106" s="381">
        <v>24</v>
      </c>
    </row>
    <row r="1107" spans="1:12" ht="23.25" customHeight="1" x14ac:dyDescent="0.25">
      <c r="A1107" s="22">
        <f t="shared" si="48"/>
        <v>997</v>
      </c>
      <c r="B1107" s="22" t="s">
        <v>1909</v>
      </c>
      <c r="C1107" s="381" t="s">
        <v>1881</v>
      </c>
      <c r="D1107" s="177"/>
      <c r="E1107" s="177"/>
      <c r="F1107" s="177"/>
      <c r="G1107" s="177"/>
      <c r="H1107" s="177"/>
      <c r="I1107" s="177"/>
      <c r="J1107" s="177"/>
      <c r="K1107" s="177"/>
      <c r="L1107" s="381">
        <v>24</v>
      </c>
    </row>
    <row r="1108" spans="1:12" ht="23.25" customHeight="1" x14ac:dyDescent="0.25">
      <c r="A1108" s="22">
        <f t="shared" si="48"/>
        <v>998</v>
      </c>
      <c r="B1108" s="22" t="s">
        <v>1911</v>
      </c>
      <c r="C1108" s="381" t="s">
        <v>1871</v>
      </c>
      <c r="D1108" s="177"/>
      <c r="E1108" s="177"/>
      <c r="F1108" s="177"/>
      <c r="G1108" s="177"/>
      <c r="H1108" s="177"/>
      <c r="I1108" s="177"/>
      <c r="J1108" s="177"/>
      <c r="K1108" s="177"/>
      <c r="L1108" s="381">
        <v>16</v>
      </c>
    </row>
    <row r="1109" spans="1:12" ht="23.25" customHeight="1" x14ac:dyDescent="0.25">
      <c r="A1109" s="22">
        <f t="shared" si="48"/>
        <v>999</v>
      </c>
      <c r="B1109" s="22" t="s">
        <v>1912</v>
      </c>
      <c r="C1109" s="381" t="s">
        <v>1870</v>
      </c>
      <c r="D1109" s="177"/>
      <c r="E1109" s="177"/>
      <c r="F1109" s="177"/>
      <c r="G1109" s="177"/>
      <c r="H1109" s="177"/>
      <c r="I1109" s="177"/>
      <c r="J1109" s="177"/>
      <c r="K1109" s="177"/>
      <c r="L1109" s="381">
        <v>20</v>
      </c>
    </row>
    <row r="1110" spans="1:12" ht="23.25" customHeight="1" x14ac:dyDescent="0.25">
      <c r="A1110" s="22">
        <f t="shared" si="48"/>
        <v>1000</v>
      </c>
      <c r="B1110" s="22" t="s">
        <v>1913</v>
      </c>
      <c r="C1110" s="381" t="s">
        <v>1882</v>
      </c>
      <c r="D1110" s="177"/>
      <c r="E1110" s="177"/>
      <c r="F1110" s="177"/>
      <c r="G1110" s="177"/>
      <c r="H1110" s="177"/>
      <c r="I1110" s="177"/>
      <c r="J1110" s="177"/>
      <c r="K1110" s="177"/>
      <c r="L1110" s="381">
        <v>12</v>
      </c>
    </row>
    <row r="1111" spans="1:12" ht="23.25" customHeight="1" x14ac:dyDescent="0.25">
      <c r="A1111" s="22">
        <f t="shared" si="48"/>
        <v>1001</v>
      </c>
      <c r="B1111" s="22" t="s">
        <v>1914</v>
      </c>
      <c r="C1111" s="381" t="s">
        <v>1883</v>
      </c>
      <c r="D1111" s="177"/>
      <c r="E1111" s="177"/>
      <c r="F1111" s="177"/>
      <c r="G1111" s="177"/>
      <c r="H1111" s="177"/>
      <c r="I1111" s="177"/>
      <c r="J1111" s="177"/>
      <c r="K1111" s="177"/>
      <c r="L1111" s="381">
        <v>720</v>
      </c>
    </row>
    <row r="1112" spans="1:12" ht="23.25" customHeight="1" x14ac:dyDescent="0.25">
      <c r="A1112" s="22">
        <f t="shared" si="48"/>
        <v>1002</v>
      </c>
      <c r="B1112" s="22" t="s">
        <v>1915</v>
      </c>
      <c r="C1112" s="381" t="s">
        <v>1877</v>
      </c>
      <c r="D1112" s="177"/>
      <c r="E1112" s="177"/>
      <c r="F1112" s="177"/>
      <c r="G1112" s="177"/>
      <c r="H1112" s="177"/>
      <c r="I1112" s="177"/>
      <c r="J1112" s="177"/>
      <c r="K1112" s="177"/>
      <c r="L1112" s="381">
        <v>300</v>
      </c>
    </row>
    <row r="1113" spans="1:12" ht="23.25" customHeight="1" x14ac:dyDescent="0.25">
      <c r="A1113" s="22">
        <f t="shared" si="48"/>
        <v>1003</v>
      </c>
      <c r="B1113" s="22" t="s">
        <v>1916</v>
      </c>
      <c r="C1113" s="381" t="s">
        <v>1877</v>
      </c>
      <c r="D1113" s="177"/>
      <c r="E1113" s="177"/>
      <c r="F1113" s="177"/>
      <c r="G1113" s="177"/>
      <c r="H1113" s="177"/>
      <c r="I1113" s="177"/>
      <c r="J1113" s="177"/>
      <c r="K1113" s="177"/>
      <c r="L1113" s="381">
        <v>300</v>
      </c>
    </row>
    <row r="1114" spans="1:12" ht="23.25" customHeight="1" x14ac:dyDescent="0.25">
      <c r="A1114" s="22">
        <f t="shared" si="48"/>
        <v>1004</v>
      </c>
      <c r="B1114" s="22" t="s">
        <v>1917</v>
      </c>
      <c r="C1114" s="381" t="s">
        <v>1877</v>
      </c>
      <c r="D1114" s="177"/>
      <c r="E1114" s="177"/>
      <c r="F1114" s="177"/>
      <c r="G1114" s="177"/>
      <c r="H1114" s="177"/>
      <c r="I1114" s="177"/>
      <c r="J1114" s="177"/>
      <c r="K1114" s="177"/>
      <c r="L1114" s="381">
        <v>300</v>
      </c>
    </row>
    <row r="1115" spans="1:12" ht="23.25" customHeight="1" x14ac:dyDescent="0.25">
      <c r="A1115" s="22">
        <f t="shared" si="48"/>
        <v>1005</v>
      </c>
      <c r="B1115" s="22" t="s">
        <v>1918</v>
      </c>
      <c r="C1115" s="381" t="s">
        <v>1877</v>
      </c>
      <c r="D1115" s="177"/>
      <c r="E1115" s="177"/>
      <c r="F1115" s="177"/>
      <c r="G1115" s="177"/>
      <c r="H1115" s="177"/>
      <c r="I1115" s="177"/>
      <c r="J1115" s="177"/>
      <c r="K1115" s="177"/>
      <c r="L1115" s="381">
        <v>300</v>
      </c>
    </row>
    <row r="1116" spans="1:12" ht="23.25" customHeight="1" x14ac:dyDescent="0.25">
      <c r="A1116" s="22">
        <f t="shared" si="48"/>
        <v>1006</v>
      </c>
      <c r="B1116" s="22" t="s">
        <v>1919</v>
      </c>
      <c r="C1116" s="381" t="s">
        <v>1883</v>
      </c>
      <c r="D1116" s="177"/>
      <c r="E1116" s="177"/>
      <c r="F1116" s="177"/>
      <c r="G1116" s="177"/>
      <c r="H1116" s="177"/>
      <c r="I1116" s="177"/>
      <c r="J1116" s="177"/>
      <c r="K1116" s="177"/>
      <c r="L1116" s="381">
        <v>400</v>
      </c>
    </row>
    <row r="1117" spans="1:12" ht="23.25" customHeight="1" x14ac:dyDescent="0.25">
      <c r="A1117" s="22">
        <f t="shared" si="48"/>
        <v>1007</v>
      </c>
      <c r="B1117" s="22" t="s">
        <v>1920</v>
      </c>
      <c r="C1117" s="381" t="s">
        <v>1883</v>
      </c>
      <c r="D1117" s="177"/>
      <c r="E1117" s="177"/>
      <c r="F1117" s="177"/>
      <c r="G1117" s="177"/>
      <c r="H1117" s="177"/>
      <c r="I1117" s="177"/>
      <c r="J1117" s="177"/>
      <c r="K1117" s="177"/>
      <c r="L1117" s="381">
        <v>300</v>
      </c>
    </row>
    <row r="1118" spans="1:12" ht="23.25" customHeight="1" x14ac:dyDescent="0.25">
      <c r="A1118" s="22">
        <f t="shared" si="48"/>
        <v>1008</v>
      </c>
      <c r="B1118" s="22" t="s">
        <v>1921</v>
      </c>
      <c r="C1118" s="381" t="s">
        <v>1884</v>
      </c>
      <c r="D1118" s="177"/>
      <c r="E1118" s="177"/>
      <c r="F1118" s="177"/>
      <c r="G1118" s="177"/>
      <c r="H1118" s="177"/>
      <c r="I1118" s="177"/>
      <c r="J1118" s="177"/>
      <c r="K1118" s="177"/>
      <c r="L1118" s="381">
        <v>720</v>
      </c>
    </row>
    <row r="1119" spans="1:12" ht="23.25" customHeight="1" x14ac:dyDescent="0.25">
      <c r="A1119" s="22">
        <f t="shared" si="48"/>
        <v>1009</v>
      </c>
      <c r="B1119" s="22" t="s">
        <v>1922</v>
      </c>
      <c r="C1119" s="381" t="s">
        <v>1883</v>
      </c>
      <c r="D1119" s="177"/>
      <c r="E1119" s="177"/>
      <c r="F1119" s="177"/>
      <c r="G1119" s="177"/>
      <c r="H1119" s="177"/>
      <c r="I1119" s="177"/>
      <c r="J1119" s="177"/>
      <c r="K1119" s="177"/>
      <c r="L1119" s="381">
        <v>300</v>
      </c>
    </row>
    <row r="1120" spans="1:12" ht="23.25" customHeight="1" x14ac:dyDescent="0.25">
      <c r="A1120" s="22">
        <f t="shared" si="48"/>
        <v>1010</v>
      </c>
      <c r="B1120" s="22" t="s">
        <v>1923</v>
      </c>
      <c r="C1120" s="381" t="s">
        <v>1877</v>
      </c>
      <c r="D1120" s="177"/>
      <c r="E1120" s="177"/>
      <c r="F1120" s="177"/>
      <c r="G1120" s="177"/>
      <c r="H1120" s="177"/>
      <c r="I1120" s="177"/>
      <c r="J1120" s="177"/>
      <c r="K1120" s="177"/>
      <c r="L1120" s="381">
        <v>400</v>
      </c>
    </row>
    <row r="1121" spans="1:12" ht="23.25" customHeight="1" x14ac:dyDescent="0.25">
      <c r="A1121" s="22">
        <f t="shared" si="48"/>
        <v>1011</v>
      </c>
      <c r="B1121" s="22" t="s">
        <v>1924</v>
      </c>
      <c r="C1121" s="381" t="s">
        <v>1877</v>
      </c>
      <c r="D1121" s="177"/>
      <c r="E1121" s="177"/>
      <c r="F1121" s="177"/>
      <c r="G1121" s="177"/>
      <c r="H1121" s="177"/>
      <c r="I1121" s="177"/>
      <c r="J1121" s="177"/>
      <c r="K1121" s="177"/>
      <c r="L1121" s="381">
        <v>300</v>
      </c>
    </row>
    <row r="1122" spans="1:12" ht="23.25" customHeight="1" x14ac:dyDescent="0.25">
      <c r="A1122" s="22">
        <f t="shared" si="48"/>
        <v>1012</v>
      </c>
      <c r="B1122" s="22" t="s">
        <v>1925</v>
      </c>
      <c r="C1122" s="381" t="s">
        <v>1885</v>
      </c>
      <c r="D1122" s="177"/>
      <c r="E1122" s="177"/>
      <c r="F1122" s="177"/>
      <c r="G1122" s="177"/>
      <c r="H1122" s="177"/>
      <c r="I1122" s="177"/>
      <c r="J1122" s="177"/>
      <c r="K1122" s="177"/>
      <c r="L1122" s="381">
        <v>80</v>
      </c>
    </row>
    <row r="1123" spans="1:12" ht="23.25" customHeight="1" x14ac:dyDescent="0.25">
      <c r="A1123" s="22">
        <f t="shared" si="48"/>
        <v>1013</v>
      </c>
      <c r="B1123" s="22" t="s">
        <v>1926</v>
      </c>
      <c r="C1123" s="381" t="s">
        <v>1885</v>
      </c>
      <c r="D1123" s="177"/>
      <c r="E1123" s="177"/>
      <c r="F1123" s="177"/>
      <c r="G1123" s="177"/>
      <c r="H1123" s="177"/>
      <c r="I1123" s="177"/>
      <c r="J1123" s="177"/>
      <c r="K1123" s="177"/>
      <c r="L1123" s="381">
        <v>60</v>
      </c>
    </row>
    <row r="1124" spans="1:12" ht="23.25" customHeight="1" x14ac:dyDescent="0.25">
      <c r="A1124" s="22">
        <f t="shared" si="48"/>
        <v>1014</v>
      </c>
      <c r="B1124" s="22" t="s">
        <v>1927</v>
      </c>
      <c r="C1124" s="381" t="s">
        <v>1886</v>
      </c>
      <c r="D1124" s="177"/>
      <c r="E1124" s="177"/>
      <c r="F1124" s="177"/>
      <c r="G1124" s="177"/>
      <c r="H1124" s="177"/>
      <c r="I1124" s="177"/>
      <c r="J1124" s="177"/>
      <c r="K1124" s="177"/>
      <c r="L1124" s="416">
        <v>20000</v>
      </c>
    </row>
    <row r="1125" spans="1:12" ht="23.25" customHeight="1" x14ac:dyDescent="0.25">
      <c r="A1125" s="22">
        <f t="shared" si="48"/>
        <v>1015</v>
      </c>
      <c r="B1125" s="22" t="s">
        <v>1928</v>
      </c>
      <c r="C1125" s="381" t="s">
        <v>1886</v>
      </c>
      <c r="D1125" s="177"/>
      <c r="E1125" s="177"/>
      <c r="F1125" s="177"/>
      <c r="G1125" s="177"/>
      <c r="H1125" s="177"/>
      <c r="I1125" s="177"/>
      <c r="J1125" s="177"/>
      <c r="K1125" s="177"/>
      <c r="L1125" s="416">
        <v>28000</v>
      </c>
    </row>
    <row r="1126" spans="1:12" ht="23.25" customHeight="1" x14ac:dyDescent="0.25">
      <c r="A1126" s="22">
        <f t="shared" si="48"/>
        <v>1016</v>
      </c>
      <c r="B1126" s="22" t="s">
        <v>1929</v>
      </c>
      <c r="C1126" s="381" t="s">
        <v>1886</v>
      </c>
      <c r="D1126" s="177"/>
      <c r="E1126" s="177"/>
      <c r="F1126" s="177"/>
      <c r="G1126" s="177"/>
      <c r="H1126" s="177"/>
      <c r="I1126" s="177"/>
      <c r="J1126" s="177"/>
      <c r="K1126" s="177"/>
      <c r="L1126" s="416">
        <v>24000</v>
      </c>
    </row>
    <row r="1127" spans="1:12" ht="23.25" customHeight="1" x14ac:dyDescent="0.25">
      <c r="A1127" s="22">
        <f t="shared" si="48"/>
        <v>1017</v>
      </c>
      <c r="B1127" s="22" t="s">
        <v>1930</v>
      </c>
      <c r="C1127" s="381" t="s">
        <v>1887</v>
      </c>
      <c r="D1127" s="177"/>
      <c r="E1127" s="177"/>
      <c r="F1127" s="177"/>
      <c r="G1127" s="177"/>
      <c r="H1127" s="177"/>
      <c r="I1127" s="177"/>
      <c r="J1127" s="177"/>
      <c r="K1127" s="177"/>
      <c r="L1127" s="381">
        <v>16</v>
      </c>
    </row>
    <row r="1128" spans="1:12" ht="23.25" customHeight="1" x14ac:dyDescent="0.25">
      <c r="A1128" s="22">
        <f t="shared" si="48"/>
        <v>1018</v>
      </c>
      <c r="B1128" s="22" t="s">
        <v>1930</v>
      </c>
      <c r="C1128" s="381" t="s">
        <v>1888</v>
      </c>
      <c r="D1128" s="177"/>
      <c r="E1128" s="177"/>
      <c r="F1128" s="177"/>
      <c r="G1128" s="177"/>
      <c r="H1128" s="177"/>
      <c r="I1128" s="177"/>
      <c r="J1128" s="177"/>
      <c r="K1128" s="177"/>
      <c r="L1128" s="381">
        <v>16</v>
      </c>
    </row>
    <row r="1129" spans="1:12" ht="23.25" customHeight="1" x14ac:dyDescent="0.25">
      <c r="A1129" s="22">
        <f t="shared" si="48"/>
        <v>1019</v>
      </c>
      <c r="B1129" s="22" t="s">
        <v>1930</v>
      </c>
      <c r="C1129" s="381" t="s">
        <v>1889</v>
      </c>
      <c r="D1129" s="177"/>
      <c r="E1129" s="177"/>
      <c r="F1129" s="177"/>
      <c r="G1129" s="177"/>
      <c r="H1129" s="177"/>
      <c r="I1129" s="177"/>
      <c r="J1129" s="177"/>
      <c r="K1129" s="177"/>
      <c r="L1129" s="381">
        <v>8</v>
      </c>
    </row>
    <row r="1130" spans="1:12" ht="23.25" customHeight="1" x14ac:dyDescent="0.25">
      <c r="A1130" s="22">
        <f t="shared" si="48"/>
        <v>1020</v>
      </c>
      <c r="B1130" s="22" t="s">
        <v>1936</v>
      </c>
      <c r="C1130" s="381" t="s">
        <v>1886</v>
      </c>
      <c r="D1130" s="177"/>
      <c r="E1130" s="177"/>
      <c r="F1130" s="177"/>
      <c r="G1130" s="177"/>
      <c r="H1130" s="177"/>
      <c r="I1130" s="177"/>
      <c r="J1130" s="177"/>
      <c r="K1130" s="177"/>
      <c r="L1130" s="381">
        <v>1000</v>
      </c>
    </row>
    <row r="1131" spans="1:12" ht="23.25" customHeight="1" x14ac:dyDescent="0.25">
      <c r="A1131" s="22">
        <f t="shared" si="48"/>
        <v>1021</v>
      </c>
      <c r="B1131" s="22" t="s">
        <v>1935</v>
      </c>
      <c r="C1131" s="381" t="s">
        <v>1886</v>
      </c>
      <c r="D1131" s="177"/>
      <c r="E1131" s="177"/>
      <c r="F1131" s="177"/>
      <c r="G1131" s="177"/>
      <c r="H1131" s="177"/>
      <c r="I1131" s="177"/>
      <c r="J1131" s="177"/>
      <c r="K1131" s="177"/>
      <c r="L1131" s="381">
        <v>20000</v>
      </c>
    </row>
    <row r="1132" spans="1:12" ht="23.25" customHeight="1" x14ac:dyDescent="0.25">
      <c r="A1132" s="22">
        <f t="shared" si="48"/>
        <v>1022</v>
      </c>
      <c r="B1132" s="22" t="s">
        <v>1934</v>
      </c>
      <c r="C1132" s="381" t="s">
        <v>1890</v>
      </c>
      <c r="D1132" s="177"/>
      <c r="E1132" s="177"/>
      <c r="F1132" s="177"/>
      <c r="G1132" s="177"/>
      <c r="H1132" s="177"/>
      <c r="I1132" s="177"/>
      <c r="J1132" s="177"/>
      <c r="K1132" s="177"/>
      <c r="L1132" s="381">
        <v>128</v>
      </c>
    </row>
    <row r="1133" spans="1:12" ht="23.25" customHeight="1" x14ac:dyDescent="0.25">
      <c r="A1133" s="22">
        <f t="shared" si="48"/>
        <v>1023</v>
      </c>
      <c r="B1133" s="22" t="s">
        <v>1933</v>
      </c>
      <c r="C1133" s="381" t="s">
        <v>1891</v>
      </c>
      <c r="D1133" s="177"/>
      <c r="E1133" s="177"/>
      <c r="F1133" s="177"/>
      <c r="G1133" s="177"/>
      <c r="H1133" s="177"/>
      <c r="I1133" s="177"/>
      <c r="J1133" s="177"/>
      <c r="K1133" s="177"/>
      <c r="L1133" s="381">
        <v>20</v>
      </c>
    </row>
    <row r="1134" spans="1:12" ht="23.25" customHeight="1" x14ac:dyDescent="0.25">
      <c r="A1134" s="22">
        <f t="shared" si="48"/>
        <v>1024</v>
      </c>
      <c r="B1134" s="22" t="s">
        <v>1932</v>
      </c>
      <c r="C1134" s="381" t="s">
        <v>1891</v>
      </c>
      <c r="D1134" s="177"/>
      <c r="E1134" s="177"/>
      <c r="F1134" s="177"/>
      <c r="G1134" s="177"/>
      <c r="H1134" s="177"/>
      <c r="I1134" s="177"/>
      <c r="J1134" s="177"/>
      <c r="K1134" s="177"/>
      <c r="L1134" s="381">
        <v>20</v>
      </c>
    </row>
    <row r="1135" spans="1:12" ht="23.25" customHeight="1" x14ac:dyDescent="0.25">
      <c r="A1135" s="22">
        <f t="shared" si="48"/>
        <v>1025</v>
      </c>
      <c r="B1135" s="22" t="s">
        <v>1931</v>
      </c>
      <c r="C1135" s="381" t="s">
        <v>1891</v>
      </c>
      <c r="D1135" s="177"/>
      <c r="E1135" s="177"/>
      <c r="F1135" s="177"/>
      <c r="G1135" s="177"/>
      <c r="H1135" s="177"/>
      <c r="I1135" s="177"/>
      <c r="J1135" s="177"/>
      <c r="K1135" s="177"/>
      <c r="L1135" s="381">
        <v>20</v>
      </c>
    </row>
    <row r="1136" spans="1:12" ht="23.25" customHeight="1" x14ac:dyDescent="0.25">
      <c r="A1136" s="22">
        <f t="shared" si="48"/>
        <v>1026</v>
      </c>
      <c r="B1136" s="22" t="s">
        <v>1937</v>
      </c>
      <c r="C1136" s="381" t="s">
        <v>1891</v>
      </c>
      <c r="D1136" s="177"/>
      <c r="E1136" s="177"/>
      <c r="F1136" s="177"/>
      <c r="G1136" s="177"/>
      <c r="H1136" s="177"/>
      <c r="I1136" s="177"/>
      <c r="J1136" s="177"/>
      <c r="K1136" s="177"/>
      <c r="L1136" s="381">
        <v>20</v>
      </c>
    </row>
    <row r="1137" spans="1:13" ht="23.25" customHeight="1" x14ac:dyDescent="0.25">
      <c r="A1137" s="22">
        <f t="shared" si="48"/>
        <v>1027</v>
      </c>
      <c r="B1137" s="22" t="s">
        <v>1938</v>
      </c>
      <c r="C1137" s="381" t="s">
        <v>1698</v>
      </c>
      <c r="D1137" s="177"/>
      <c r="E1137" s="177"/>
      <c r="F1137" s="177"/>
      <c r="G1137" s="177"/>
      <c r="H1137" s="177"/>
      <c r="I1137" s="177"/>
      <c r="J1137" s="177"/>
      <c r="K1137" s="177"/>
      <c r="L1137" s="381">
        <v>80</v>
      </c>
    </row>
    <row r="1138" spans="1:13" ht="23.25" customHeight="1" x14ac:dyDescent="0.25">
      <c r="A1138" s="22">
        <f t="shared" si="48"/>
        <v>1028</v>
      </c>
      <c r="B1138" s="22" t="s">
        <v>1939</v>
      </c>
      <c r="C1138" s="381" t="s">
        <v>1892</v>
      </c>
      <c r="D1138" s="177"/>
      <c r="E1138" s="177"/>
      <c r="F1138" s="177"/>
      <c r="G1138" s="177"/>
      <c r="H1138" s="177"/>
      <c r="I1138" s="177"/>
      <c r="J1138" s="177"/>
      <c r="K1138" s="177"/>
      <c r="L1138" s="381">
        <v>80</v>
      </c>
    </row>
    <row r="1139" spans="1:13" ht="23.25" customHeight="1" x14ac:dyDescent="0.25">
      <c r="A1139" s="22">
        <f t="shared" si="48"/>
        <v>1029</v>
      </c>
      <c r="B1139" s="22" t="s">
        <v>1940</v>
      </c>
      <c r="C1139" s="381" t="s">
        <v>1893</v>
      </c>
      <c r="D1139" s="177"/>
      <c r="E1139" s="177"/>
      <c r="F1139" s="177"/>
      <c r="G1139" s="177"/>
      <c r="H1139" s="177"/>
      <c r="I1139" s="177"/>
      <c r="J1139" s="177"/>
      <c r="K1139" s="177"/>
      <c r="L1139" s="381">
        <v>8</v>
      </c>
    </row>
    <row r="1140" spans="1:13" ht="23.25" customHeight="1" x14ac:dyDescent="0.25">
      <c r="A1140" s="22">
        <f t="shared" si="48"/>
        <v>1030</v>
      </c>
      <c r="B1140" s="22" t="s">
        <v>1941</v>
      </c>
      <c r="C1140" s="381" t="s">
        <v>1893</v>
      </c>
      <c r="D1140" s="177"/>
      <c r="E1140" s="177"/>
      <c r="F1140" s="177"/>
      <c r="G1140" s="177"/>
      <c r="H1140" s="177"/>
      <c r="I1140" s="177"/>
      <c r="J1140" s="177"/>
      <c r="K1140" s="177"/>
      <c r="L1140" s="381">
        <v>8</v>
      </c>
    </row>
    <row r="1141" spans="1:13" ht="23.25" customHeight="1" x14ac:dyDescent="0.25">
      <c r="A1141" s="22">
        <f t="shared" si="48"/>
        <v>1031</v>
      </c>
      <c r="B1141" s="22" t="s">
        <v>1942</v>
      </c>
      <c r="C1141" s="381" t="s">
        <v>1893</v>
      </c>
      <c r="D1141" s="177"/>
      <c r="E1141" s="177"/>
      <c r="F1141" s="177"/>
      <c r="G1141" s="177"/>
      <c r="H1141" s="177"/>
      <c r="I1141" s="177"/>
      <c r="J1141" s="177"/>
      <c r="K1141" s="177"/>
      <c r="L1141" s="381">
        <v>8</v>
      </c>
    </row>
    <row r="1142" spans="1:13" ht="23.25" customHeight="1" x14ac:dyDescent="0.25">
      <c r="A1142" s="22">
        <f t="shared" si="48"/>
        <v>1032</v>
      </c>
      <c r="B1142" s="22" t="s">
        <v>1943</v>
      </c>
      <c r="C1142" s="381" t="s">
        <v>1893</v>
      </c>
      <c r="D1142" s="177"/>
      <c r="E1142" s="177"/>
      <c r="F1142" s="177"/>
      <c r="G1142" s="177"/>
      <c r="H1142" s="177"/>
      <c r="I1142" s="177"/>
      <c r="J1142" s="177"/>
      <c r="K1142" s="177"/>
      <c r="L1142" s="381">
        <v>8</v>
      </c>
    </row>
    <row r="1143" spans="1:13" ht="23.25" customHeight="1" x14ac:dyDescent="0.25">
      <c r="A1143" s="22">
        <f t="shared" si="48"/>
        <v>1033</v>
      </c>
      <c r="B1143" s="22" t="s">
        <v>1944</v>
      </c>
      <c r="C1143" s="381" t="s">
        <v>1893</v>
      </c>
      <c r="D1143" s="177"/>
      <c r="E1143" s="177"/>
      <c r="F1143" s="177"/>
      <c r="G1143" s="177"/>
      <c r="H1143" s="177"/>
      <c r="I1143" s="177"/>
      <c r="J1143" s="177"/>
      <c r="K1143" s="177"/>
      <c r="L1143" s="381">
        <v>4</v>
      </c>
    </row>
    <row r="1144" spans="1:13" ht="23.25" customHeight="1" x14ac:dyDescent="0.25">
      <c r="A1144" s="22">
        <f t="shared" si="48"/>
        <v>1034</v>
      </c>
      <c r="B1144" s="22" t="s">
        <v>1945</v>
      </c>
      <c r="C1144" s="381" t="s">
        <v>1893</v>
      </c>
      <c r="D1144" s="177"/>
      <c r="E1144" s="177"/>
      <c r="F1144" s="177"/>
      <c r="G1144" s="177"/>
      <c r="H1144" s="177"/>
      <c r="I1144" s="177"/>
      <c r="J1144" s="177"/>
      <c r="K1144" s="177"/>
      <c r="L1144" s="381">
        <v>4</v>
      </c>
    </row>
    <row r="1145" spans="1:13" ht="23.25" customHeight="1" x14ac:dyDescent="0.25">
      <c r="A1145" s="22">
        <f t="shared" si="48"/>
        <v>1035</v>
      </c>
      <c r="B1145" s="22" t="s">
        <v>1946</v>
      </c>
      <c r="C1145" s="381" t="s">
        <v>1893</v>
      </c>
      <c r="D1145" s="177"/>
      <c r="E1145" s="177"/>
      <c r="F1145" s="177"/>
      <c r="G1145" s="177"/>
      <c r="H1145" s="177"/>
      <c r="I1145" s="177"/>
      <c r="J1145" s="177"/>
      <c r="K1145" s="177"/>
      <c r="L1145" s="381">
        <v>4</v>
      </c>
    </row>
    <row r="1146" spans="1:13" ht="23.25" customHeight="1" x14ac:dyDescent="0.25">
      <c r="A1146" s="22">
        <f t="shared" si="48"/>
        <v>1036</v>
      </c>
      <c r="B1146" s="22" t="s">
        <v>1947</v>
      </c>
      <c r="C1146" s="381" t="s">
        <v>1893</v>
      </c>
      <c r="D1146" s="177"/>
      <c r="E1146" s="177"/>
      <c r="F1146" s="177"/>
      <c r="G1146" s="177"/>
      <c r="H1146" s="177"/>
      <c r="I1146" s="177"/>
      <c r="J1146" s="177"/>
      <c r="K1146" s="177"/>
      <c r="L1146" s="381">
        <v>4</v>
      </c>
    </row>
    <row r="1147" spans="1:13" ht="23.25" customHeight="1" x14ac:dyDescent="0.25">
      <c r="A1147" s="22">
        <f t="shared" si="48"/>
        <v>1037</v>
      </c>
      <c r="B1147" s="22" t="s">
        <v>1948</v>
      </c>
      <c r="C1147" s="381" t="s">
        <v>1893</v>
      </c>
      <c r="D1147" s="177"/>
      <c r="E1147" s="177"/>
      <c r="F1147" s="177"/>
      <c r="G1147" s="177"/>
      <c r="H1147" s="177"/>
      <c r="I1147" s="177"/>
      <c r="J1147" s="177"/>
      <c r="K1147" s="177"/>
      <c r="L1147" s="381">
        <v>4</v>
      </c>
    </row>
    <row r="1148" spans="1:13" ht="23.25" customHeight="1" x14ac:dyDescent="0.25">
      <c r="A1148" s="22">
        <f t="shared" si="48"/>
        <v>1038</v>
      </c>
      <c r="B1148" s="22" t="s">
        <v>1949</v>
      </c>
      <c r="C1148" s="381" t="s">
        <v>1893</v>
      </c>
      <c r="D1148" s="177"/>
      <c r="E1148" s="177"/>
      <c r="F1148" s="177"/>
      <c r="G1148" s="177"/>
      <c r="H1148" s="177"/>
      <c r="I1148" s="177"/>
      <c r="J1148" s="177"/>
      <c r="K1148" s="177"/>
      <c r="L1148" s="381">
        <v>2</v>
      </c>
    </row>
    <row r="1149" spans="1:13" ht="23.25" customHeight="1" x14ac:dyDescent="0.25">
      <c r="A1149" s="22"/>
      <c r="B1149" s="22"/>
      <c r="C1149" s="370"/>
      <c r="D1149" s="177"/>
      <c r="E1149" s="177"/>
      <c r="F1149" s="177"/>
      <c r="G1149" s="177"/>
      <c r="H1149" s="177"/>
      <c r="I1149" s="177"/>
      <c r="J1149" s="177"/>
      <c r="K1149" s="177"/>
      <c r="L1149" s="22"/>
    </row>
    <row r="1150" spans="1:13" ht="23.25" customHeight="1" x14ac:dyDescent="0.25">
      <c r="A1150" s="22"/>
      <c r="B1150" s="22"/>
      <c r="C1150" s="370"/>
      <c r="D1150" s="177"/>
      <c r="E1150" s="177"/>
      <c r="F1150" s="177"/>
      <c r="G1150" s="177"/>
      <c r="H1150" s="177"/>
      <c r="I1150" s="177"/>
      <c r="J1150" s="177"/>
      <c r="K1150" s="177"/>
      <c r="L1150" s="22"/>
    </row>
    <row r="1151" spans="1:13" ht="23.25" customHeight="1" x14ac:dyDescent="0.25">
      <c r="A1151" s="22"/>
      <c r="B1151" s="22"/>
      <c r="C1151" s="372"/>
      <c r="D1151" s="177"/>
      <c r="E1151" s="177"/>
      <c r="F1151" s="177"/>
      <c r="G1151" s="177"/>
      <c r="H1151" s="177"/>
      <c r="I1151" s="177"/>
      <c r="J1151" s="177"/>
      <c r="K1151" s="177"/>
      <c r="L1151" s="22"/>
    </row>
    <row r="1152" spans="1:13" s="12" customFormat="1" ht="28.5" x14ac:dyDescent="0.35">
      <c r="A1152" s="22" t="s">
        <v>2038</v>
      </c>
      <c r="B1152" s="448" t="s">
        <v>1950</v>
      </c>
      <c r="C1152" s="449"/>
      <c r="D1152" s="177"/>
      <c r="E1152" s="177"/>
      <c r="F1152" s="177"/>
      <c r="G1152" s="177"/>
      <c r="H1152" s="177"/>
      <c r="I1152" s="177"/>
      <c r="J1152" s="177"/>
      <c r="K1152" s="177"/>
      <c r="L1152" s="22"/>
      <c r="M1152" s="384"/>
    </row>
    <row r="1153" spans="1:12" ht="23.25" customHeight="1" x14ac:dyDescent="0.25">
      <c r="A1153" s="22"/>
      <c r="B1153" s="22"/>
      <c r="C1153" s="372"/>
      <c r="D1153" s="177"/>
      <c r="E1153" s="177"/>
      <c r="F1153" s="177"/>
      <c r="G1153" s="177"/>
      <c r="H1153" s="177"/>
      <c r="I1153" s="177"/>
      <c r="J1153" s="177"/>
      <c r="K1153" s="177"/>
      <c r="L1153" s="22"/>
    </row>
    <row r="1154" spans="1:12" ht="23.25" customHeight="1" x14ac:dyDescent="0.25">
      <c r="A1154" s="22"/>
      <c r="B1154" s="383" t="s">
        <v>1951</v>
      </c>
      <c r="C1154" s="372"/>
      <c r="D1154" s="177"/>
      <c r="E1154" s="177"/>
      <c r="F1154" s="177"/>
      <c r="G1154" s="177"/>
      <c r="H1154" s="177"/>
      <c r="I1154" s="177"/>
      <c r="J1154" s="177"/>
      <c r="K1154" s="177"/>
      <c r="L1154" s="22"/>
    </row>
    <row r="1155" spans="1:12" ht="23.25" customHeight="1" x14ac:dyDescent="0.25">
      <c r="A1155" s="22">
        <f>1+A1148</f>
        <v>1039</v>
      </c>
      <c r="B1155" s="22" t="s">
        <v>1960</v>
      </c>
      <c r="C1155" s="381" t="s">
        <v>1952</v>
      </c>
      <c r="D1155" s="177"/>
      <c r="E1155" s="177"/>
      <c r="F1155" s="177"/>
      <c r="G1155" s="177"/>
      <c r="H1155" s="177"/>
      <c r="I1155" s="177"/>
      <c r="J1155" s="177"/>
      <c r="K1155" s="177"/>
      <c r="L1155" s="386">
        <v>1</v>
      </c>
    </row>
    <row r="1156" spans="1:12" ht="23.25" customHeight="1" x14ac:dyDescent="0.25">
      <c r="A1156" s="22">
        <f>1+A1155</f>
        <v>1040</v>
      </c>
      <c r="B1156" s="22" t="s">
        <v>1961</v>
      </c>
      <c r="C1156" s="381" t="s">
        <v>1952</v>
      </c>
      <c r="D1156" s="177"/>
      <c r="E1156" s="177"/>
      <c r="F1156" s="177"/>
      <c r="G1156" s="177"/>
      <c r="H1156" s="177"/>
      <c r="I1156" s="177"/>
      <c r="J1156" s="177"/>
      <c r="K1156" s="177"/>
      <c r="L1156" s="386">
        <v>1</v>
      </c>
    </row>
    <row r="1157" spans="1:12" ht="23.25" customHeight="1" x14ac:dyDescent="0.25">
      <c r="A1157" s="22">
        <f t="shared" ref="A1157:A1170" si="49">1+A1156</f>
        <v>1041</v>
      </c>
      <c r="B1157" s="22" t="s">
        <v>1962</v>
      </c>
      <c r="C1157" s="381" t="s">
        <v>1952</v>
      </c>
      <c r="D1157" s="177"/>
      <c r="E1157" s="177"/>
      <c r="F1157" s="177"/>
      <c r="G1157" s="177"/>
      <c r="H1157" s="177"/>
      <c r="I1157" s="177"/>
      <c r="J1157" s="177"/>
      <c r="K1157" s="177"/>
      <c r="L1157" s="386">
        <v>1</v>
      </c>
    </row>
    <row r="1158" spans="1:12" ht="23.25" customHeight="1" x14ac:dyDescent="0.25">
      <c r="A1158" s="22">
        <f t="shared" si="49"/>
        <v>1042</v>
      </c>
      <c r="B1158" s="22" t="s">
        <v>1963</v>
      </c>
      <c r="C1158" s="381" t="s">
        <v>1952</v>
      </c>
      <c r="D1158" s="177"/>
      <c r="E1158" s="177"/>
      <c r="F1158" s="177"/>
      <c r="G1158" s="177"/>
      <c r="H1158" s="177"/>
      <c r="I1158" s="177"/>
      <c r="J1158" s="177"/>
      <c r="K1158" s="177"/>
      <c r="L1158" s="386">
        <v>1</v>
      </c>
    </row>
    <row r="1159" spans="1:12" ht="23.25" customHeight="1" x14ac:dyDescent="0.25">
      <c r="A1159" s="22">
        <f t="shared" si="49"/>
        <v>1043</v>
      </c>
      <c r="B1159" s="22" t="s">
        <v>1964</v>
      </c>
      <c r="C1159" s="381" t="s">
        <v>1953</v>
      </c>
      <c r="D1159" s="177"/>
      <c r="E1159" s="177"/>
      <c r="F1159" s="177"/>
      <c r="G1159" s="177"/>
      <c r="H1159" s="177"/>
      <c r="I1159" s="177"/>
      <c r="J1159" s="177"/>
      <c r="K1159" s="177"/>
      <c r="L1159" s="386">
        <v>24</v>
      </c>
    </row>
    <row r="1160" spans="1:12" ht="23.25" customHeight="1" x14ac:dyDescent="0.25">
      <c r="A1160" s="22">
        <f t="shared" si="49"/>
        <v>1044</v>
      </c>
      <c r="B1160" s="22" t="s">
        <v>1965</v>
      </c>
      <c r="C1160" s="381" t="s">
        <v>1953</v>
      </c>
      <c r="D1160" s="177"/>
      <c r="E1160" s="177"/>
      <c r="F1160" s="177"/>
      <c r="G1160" s="177"/>
      <c r="H1160" s="177"/>
      <c r="I1160" s="177"/>
      <c r="J1160" s="177"/>
      <c r="K1160" s="177"/>
      <c r="L1160" s="386">
        <v>24</v>
      </c>
    </row>
    <row r="1161" spans="1:12" ht="23.25" customHeight="1" x14ac:dyDescent="0.25">
      <c r="A1161" s="22">
        <f t="shared" si="49"/>
        <v>1045</v>
      </c>
      <c r="B1161" s="22" t="s">
        <v>1966</v>
      </c>
      <c r="C1161" s="381" t="s">
        <v>1953</v>
      </c>
      <c r="D1161" s="177"/>
      <c r="E1161" s="177"/>
      <c r="F1161" s="177"/>
      <c r="G1161" s="177"/>
      <c r="H1161" s="177"/>
      <c r="I1161" s="177"/>
      <c r="J1161" s="177"/>
      <c r="K1161" s="177"/>
      <c r="L1161" s="386">
        <v>24</v>
      </c>
    </row>
    <row r="1162" spans="1:12" ht="23.25" customHeight="1" x14ac:dyDescent="0.25">
      <c r="A1162" s="22">
        <f t="shared" si="49"/>
        <v>1046</v>
      </c>
      <c r="B1162" s="22" t="s">
        <v>1967</v>
      </c>
      <c r="C1162" s="381" t="s">
        <v>1954</v>
      </c>
      <c r="D1162" s="177"/>
      <c r="E1162" s="177"/>
      <c r="F1162" s="177"/>
      <c r="G1162" s="177"/>
      <c r="H1162" s="177"/>
      <c r="I1162" s="177"/>
      <c r="J1162" s="177"/>
      <c r="K1162" s="177"/>
      <c r="L1162" s="386">
        <v>24</v>
      </c>
    </row>
    <row r="1163" spans="1:12" ht="23.25" customHeight="1" x14ac:dyDescent="0.25">
      <c r="A1163" s="22">
        <f t="shared" si="49"/>
        <v>1047</v>
      </c>
      <c r="B1163" s="22" t="s">
        <v>1968</v>
      </c>
      <c r="C1163" s="381" t="s">
        <v>1955</v>
      </c>
      <c r="D1163" s="177"/>
      <c r="E1163" s="177"/>
      <c r="F1163" s="177"/>
      <c r="G1163" s="177"/>
      <c r="H1163" s="177"/>
      <c r="I1163" s="177"/>
      <c r="J1163" s="177"/>
      <c r="K1163" s="177"/>
      <c r="L1163" s="386">
        <v>24</v>
      </c>
    </row>
    <row r="1164" spans="1:12" ht="23.25" customHeight="1" x14ac:dyDescent="0.25">
      <c r="A1164" s="22">
        <f t="shared" si="49"/>
        <v>1048</v>
      </c>
      <c r="B1164" s="22" t="s">
        <v>1969</v>
      </c>
      <c r="C1164" s="381" t="s">
        <v>1956</v>
      </c>
      <c r="D1164" s="177"/>
      <c r="E1164" s="177"/>
      <c r="F1164" s="177"/>
      <c r="G1164" s="177"/>
      <c r="H1164" s="177"/>
      <c r="I1164" s="177"/>
      <c r="J1164" s="177"/>
      <c r="K1164" s="177"/>
      <c r="L1164" s="386">
        <v>5</v>
      </c>
    </row>
    <row r="1165" spans="1:12" ht="23.25" customHeight="1" x14ac:dyDescent="0.25">
      <c r="A1165" s="22">
        <f t="shared" si="49"/>
        <v>1049</v>
      </c>
      <c r="B1165" s="22" t="s">
        <v>1970</v>
      </c>
      <c r="C1165" s="381" t="s">
        <v>1957</v>
      </c>
      <c r="D1165" s="177"/>
      <c r="E1165" s="177"/>
      <c r="F1165" s="177"/>
      <c r="G1165" s="177"/>
      <c r="H1165" s="177"/>
      <c r="I1165" s="177"/>
      <c r="J1165" s="177"/>
      <c r="K1165" s="177"/>
      <c r="L1165" s="386">
        <v>24</v>
      </c>
    </row>
    <row r="1166" spans="1:12" ht="23.25" customHeight="1" x14ac:dyDescent="0.25">
      <c r="A1166" s="22">
        <f t="shared" si="49"/>
        <v>1050</v>
      </c>
      <c r="B1166" s="22" t="s">
        <v>1971</v>
      </c>
      <c r="C1166" s="381" t="s">
        <v>1957</v>
      </c>
      <c r="D1166" s="177"/>
      <c r="E1166" s="177"/>
      <c r="F1166" s="177"/>
      <c r="G1166" s="177"/>
      <c r="H1166" s="177"/>
      <c r="I1166" s="177"/>
      <c r="J1166" s="177"/>
      <c r="K1166" s="177"/>
      <c r="L1166" s="386">
        <v>3</v>
      </c>
    </row>
    <row r="1167" spans="1:12" ht="23.25" customHeight="1" x14ac:dyDescent="0.25">
      <c r="A1167" s="22">
        <f t="shared" si="49"/>
        <v>1051</v>
      </c>
      <c r="B1167" s="22" t="s">
        <v>1599</v>
      </c>
      <c r="C1167" s="386" t="s">
        <v>1958</v>
      </c>
      <c r="D1167" s="177"/>
      <c r="E1167" s="177"/>
      <c r="F1167" s="177"/>
      <c r="G1167" s="177"/>
      <c r="H1167" s="177"/>
      <c r="I1167" s="177"/>
      <c r="J1167" s="177"/>
      <c r="K1167" s="177"/>
      <c r="L1167" s="386">
        <v>24</v>
      </c>
    </row>
    <row r="1168" spans="1:12" ht="23.25" customHeight="1" x14ac:dyDescent="0.25">
      <c r="A1168" s="22">
        <f t="shared" si="49"/>
        <v>1052</v>
      </c>
      <c r="B1168" s="22" t="s">
        <v>1787</v>
      </c>
      <c r="C1168" s="386" t="s">
        <v>1958</v>
      </c>
      <c r="D1168" s="177"/>
      <c r="E1168" s="177"/>
      <c r="F1168" s="177"/>
      <c r="G1168" s="177"/>
      <c r="H1168" s="177"/>
      <c r="I1168" s="177"/>
      <c r="J1168" s="177"/>
      <c r="K1168" s="177"/>
      <c r="L1168" s="386">
        <v>24</v>
      </c>
    </row>
    <row r="1169" spans="1:12" ht="23.25" customHeight="1" x14ac:dyDescent="0.25">
      <c r="A1169" s="22">
        <f t="shared" si="49"/>
        <v>1053</v>
      </c>
      <c r="B1169" s="378" t="s">
        <v>1973</v>
      </c>
      <c r="C1169" s="381" t="s">
        <v>1959</v>
      </c>
      <c r="D1169" s="177"/>
      <c r="E1169" s="177"/>
      <c r="F1169" s="177"/>
      <c r="G1169" s="177"/>
      <c r="H1169" s="177"/>
      <c r="I1169" s="177"/>
      <c r="J1169" s="177"/>
      <c r="K1169" s="177"/>
      <c r="L1169" s="386">
        <v>3</v>
      </c>
    </row>
    <row r="1170" spans="1:12" ht="23.25" customHeight="1" x14ac:dyDescent="0.25">
      <c r="A1170" s="22">
        <f t="shared" si="49"/>
        <v>1054</v>
      </c>
      <c r="B1170" s="22" t="s">
        <v>1972</v>
      </c>
      <c r="C1170" s="381" t="s">
        <v>1955</v>
      </c>
      <c r="D1170" s="177"/>
      <c r="E1170" s="177"/>
      <c r="F1170" s="177"/>
      <c r="G1170" s="177"/>
      <c r="H1170" s="177"/>
      <c r="I1170" s="177"/>
      <c r="J1170" s="177"/>
      <c r="K1170" s="177"/>
      <c r="L1170" s="386">
        <v>2</v>
      </c>
    </row>
    <row r="1171" spans="1:12" ht="23.25" customHeight="1" x14ac:dyDescent="0.25">
      <c r="A1171" s="22"/>
      <c r="B1171" s="22"/>
      <c r="C1171" s="372"/>
      <c r="D1171" s="177"/>
      <c r="E1171" s="177"/>
      <c r="F1171" s="177"/>
      <c r="G1171" s="177"/>
      <c r="H1171" s="177"/>
      <c r="I1171" s="177"/>
      <c r="J1171" s="177"/>
      <c r="K1171" s="177"/>
      <c r="L1171" s="22"/>
    </row>
    <row r="1172" spans="1:12" ht="23.25" customHeight="1" x14ac:dyDescent="0.25">
      <c r="A1172" s="22"/>
      <c r="B1172" s="22"/>
      <c r="C1172" s="372"/>
      <c r="D1172" s="177"/>
      <c r="E1172" s="177"/>
      <c r="F1172" s="177"/>
      <c r="G1172" s="177"/>
      <c r="H1172" s="177"/>
      <c r="I1172" s="177"/>
      <c r="J1172" s="177"/>
      <c r="K1172" s="177"/>
      <c r="L1172" s="22"/>
    </row>
    <row r="1173" spans="1:12" ht="23.25" customHeight="1" x14ac:dyDescent="0.25">
      <c r="A1173" s="22"/>
      <c r="B1173" s="383" t="s">
        <v>1987</v>
      </c>
      <c r="C1173" s="372"/>
      <c r="D1173" s="177"/>
      <c r="E1173" s="177"/>
      <c r="F1173" s="177"/>
      <c r="G1173" s="177"/>
      <c r="H1173" s="177"/>
      <c r="I1173" s="177"/>
      <c r="J1173" s="177"/>
      <c r="K1173" s="177"/>
      <c r="L1173" s="22"/>
    </row>
    <row r="1174" spans="1:12" ht="23.25" customHeight="1" x14ac:dyDescent="0.25">
      <c r="A1174" s="22">
        <f>1+A1170</f>
        <v>1055</v>
      </c>
      <c r="B1174" s="22" t="s">
        <v>1988</v>
      </c>
      <c r="C1174" s="381" t="s">
        <v>1974</v>
      </c>
      <c r="D1174" s="177"/>
      <c r="E1174" s="177"/>
      <c r="F1174" s="177"/>
      <c r="G1174" s="177"/>
      <c r="H1174" s="177"/>
      <c r="I1174" s="177"/>
      <c r="J1174" s="177"/>
      <c r="K1174" s="177"/>
      <c r="L1174" s="381">
        <v>300</v>
      </c>
    </row>
    <row r="1175" spans="1:12" ht="23.25" customHeight="1" x14ac:dyDescent="0.25">
      <c r="A1175" s="22">
        <f>1+A1174</f>
        <v>1056</v>
      </c>
      <c r="B1175" s="22" t="s">
        <v>2069</v>
      </c>
      <c r="C1175" s="381" t="s">
        <v>1974</v>
      </c>
      <c r="D1175" s="177"/>
      <c r="E1175" s="177"/>
      <c r="F1175" s="177"/>
      <c r="G1175" s="177"/>
      <c r="H1175" s="177"/>
      <c r="I1175" s="177"/>
      <c r="J1175" s="177"/>
      <c r="K1175" s="177"/>
      <c r="L1175" s="381">
        <v>90</v>
      </c>
    </row>
    <row r="1176" spans="1:12" ht="23.25" customHeight="1" x14ac:dyDescent="0.25">
      <c r="A1176" s="22">
        <f t="shared" ref="A1176:A1220" si="50">1+A1175</f>
        <v>1057</v>
      </c>
      <c r="B1176" s="22" t="s">
        <v>1989</v>
      </c>
      <c r="C1176" s="381" t="s">
        <v>1975</v>
      </c>
      <c r="D1176" s="177"/>
      <c r="E1176" s="177"/>
      <c r="F1176" s="177"/>
      <c r="G1176" s="177"/>
      <c r="H1176" s="177"/>
      <c r="I1176" s="177"/>
      <c r="J1176" s="177"/>
      <c r="K1176" s="177"/>
      <c r="L1176" s="381">
        <v>18</v>
      </c>
    </row>
    <row r="1177" spans="1:12" ht="23.25" customHeight="1" x14ac:dyDescent="0.25">
      <c r="A1177" s="22">
        <f t="shared" si="50"/>
        <v>1058</v>
      </c>
      <c r="B1177" s="22" t="s">
        <v>1990</v>
      </c>
      <c r="C1177" s="381" t="s">
        <v>1976</v>
      </c>
      <c r="D1177" s="177"/>
      <c r="E1177" s="177"/>
      <c r="F1177" s="177"/>
      <c r="G1177" s="177"/>
      <c r="H1177" s="177"/>
      <c r="I1177" s="177"/>
      <c r="J1177" s="177"/>
      <c r="K1177" s="177"/>
      <c r="L1177" s="381">
        <v>3000</v>
      </c>
    </row>
    <row r="1178" spans="1:12" ht="23.25" customHeight="1" x14ac:dyDescent="0.25">
      <c r="A1178" s="22">
        <f t="shared" si="50"/>
        <v>1059</v>
      </c>
      <c r="B1178" s="22" t="s">
        <v>1992</v>
      </c>
      <c r="C1178" s="381" t="s">
        <v>1974</v>
      </c>
      <c r="D1178" s="177"/>
      <c r="E1178" s="177"/>
      <c r="F1178" s="177"/>
      <c r="G1178" s="177"/>
      <c r="H1178" s="177"/>
      <c r="I1178" s="177"/>
      <c r="J1178" s="177"/>
      <c r="K1178" s="177"/>
      <c r="L1178" s="381">
        <v>60</v>
      </c>
    </row>
    <row r="1179" spans="1:12" ht="23.25" customHeight="1" x14ac:dyDescent="0.25">
      <c r="A1179" s="22">
        <f t="shared" si="50"/>
        <v>1060</v>
      </c>
      <c r="B1179" s="22" t="s">
        <v>1991</v>
      </c>
      <c r="C1179" s="381" t="s">
        <v>1974</v>
      </c>
      <c r="D1179" s="177"/>
      <c r="E1179" s="177"/>
      <c r="F1179" s="177"/>
      <c r="G1179" s="177"/>
      <c r="H1179" s="177"/>
      <c r="I1179" s="177"/>
      <c r="J1179" s="177"/>
      <c r="K1179" s="177"/>
      <c r="L1179" s="381">
        <v>60</v>
      </c>
    </row>
    <row r="1180" spans="1:12" ht="23.25" customHeight="1" x14ac:dyDescent="0.25">
      <c r="A1180" s="22">
        <f t="shared" si="50"/>
        <v>1061</v>
      </c>
      <c r="B1180" s="22" t="s">
        <v>1993</v>
      </c>
      <c r="C1180" s="381" t="s">
        <v>1977</v>
      </c>
      <c r="D1180" s="177"/>
      <c r="E1180" s="177"/>
      <c r="F1180" s="177"/>
      <c r="G1180" s="177"/>
      <c r="H1180" s="177"/>
      <c r="I1180" s="177"/>
      <c r="J1180" s="177"/>
      <c r="K1180" s="177"/>
      <c r="L1180" s="381">
        <v>42</v>
      </c>
    </row>
    <row r="1181" spans="1:12" ht="23.25" customHeight="1" x14ac:dyDescent="0.25">
      <c r="A1181" s="22">
        <f t="shared" si="50"/>
        <v>1062</v>
      </c>
      <c r="B1181" s="22" t="s">
        <v>1995</v>
      </c>
      <c r="C1181" s="381" t="s">
        <v>1977</v>
      </c>
      <c r="D1181" s="177"/>
      <c r="E1181" s="177"/>
      <c r="F1181" s="177"/>
      <c r="G1181" s="177"/>
      <c r="H1181" s="177"/>
      <c r="I1181" s="177"/>
      <c r="J1181" s="177"/>
      <c r="K1181" s="177"/>
      <c r="L1181" s="381">
        <v>60</v>
      </c>
    </row>
    <row r="1182" spans="1:12" ht="23.25" customHeight="1" x14ac:dyDescent="0.25">
      <c r="A1182" s="22">
        <f t="shared" si="50"/>
        <v>1063</v>
      </c>
      <c r="B1182" s="22" t="s">
        <v>1994</v>
      </c>
      <c r="C1182" s="381" t="s">
        <v>1977</v>
      </c>
      <c r="D1182" s="177"/>
      <c r="E1182" s="177"/>
      <c r="F1182" s="177"/>
      <c r="G1182" s="177"/>
      <c r="H1182" s="177"/>
      <c r="I1182" s="177"/>
      <c r="J1182" s="177"/>
      <c r="K1182" s="177"/>
      <c r="L1182" s="381">
        <v>60</v>
      </c>
    </row>
    <row r="1183" spans="1:12" ht="23.25" customHeight="1" x14ac:dyDescent="0.25">
      <c r="A1183" s="22">
        <f t="shared" si="50"/>
        <v>1064</v>
      </c>
      <c r="B1183" s="22" t="s">
        <v>1788</v>
      </c>
      <c r="C1183" s="381" t="s">
        <v>1975</v>
      </c>
      <c r="D1183" s="177"/>
      <c r="E1183" s="177"/>
      <c r="F1183" s="177"/>
      <c r="G1183" s="177"/>
      <c r="H1183" s="177"/>
      <c r="I1183" s="177"/>
      <c r="J1183" s="177"/>
      <c r="K1183" s="177"/>
      <c r="L1183" s="381">
        <v>12</v>
      </c>
    </row>
    <row r="1184" spans="1:12" ht="23.25" customHeight="1" x14ac:dyDescent="0.25">
      <c r="A1184" s="22">
        <f t="shared" si="50"/>
        <v>1065</v>
      </c>
      <c r="B1184" s="22" t="s">
        <v>1996</v>
      </c>
      <c r="C1184" s="381" t="s">
        <v>1978</v>
      </c>
      <c r="D1184" s="177"/>
      <c r="E1184" s="177"/>
      <c r="F1184" s="177"/>
      <c r="G1184" s="177"/>
      <c r="H1184" s="177"/>
      <c r="I1184" s="177"/>
      <c r="J1184" s="177"/>
      <c r="K1184" s="177"/>
      <c r="L1184" s="381">
        <v>6</v>
      </c>
    </row>
    <row r="1185" spans="1:12" ht="23.25" customHeight="1" x14ac:dyDescent="0.25">
      <c r="A1185" s="22">
        <f t="shared" si="50"/>
        <v>1066</v>
      </c>
      <c r="B1185" s="22" t="s">
        <v>1997</v>
      </c>
      <c r="C1185" s="381" t="s">
        <v>1979</v>
      </c>
      <c r="D1185" s="177"/>
      <c r="E1185" s="177"/>
      <c r="F1185" s="177"/>
      <c r="G1185" s="177"/>
      <c r="H1185" s="177"/>
      <c r="I1185" s="177"/>
      <c r="J1185" s="177"/>
      <c r="K1185" s="177"/>
      <c r="L1185" s="381">
        <v>3</v>
      </c>
    </row>
    <row r="1186" spans="1:12" ht="23.25" customHeight="1" x14ac:dyDescent="0.25">
      <c r="A1186" s="22">
        <f t="shared" si="50"/>
        <v>1067</v>
      </c>
      <c r="B1186" s="22" t="s">
        <v>1998</v>
      </c>
      <c r="C1186" s="381" t="s">
        <v>1979</v>
      </c>
      <c r="D1186" s="177"/>
      <c r="E1186" s="177"/>
      <c r="F1186" s="177"/>
      <c r="G1186" s="177"/>
      <c r="H1186" s="177"/>
      <c r="I1186" s="177"/>
      <c r="J1186" s="177"/>
      <c r="K1186" s="177"/>
      <c r="L1186" s="381">
        <v>3</v>
      </c>
    </row>
    <row r="1187" spans="1:12" ht="23.25" customHeight="1" x14ac:dyDescent="0.25">
      <c r="A1187" s="22">
        <f t="shared" si="50"/>
        <v>1068</v>
      </c>
      <c r="B1187" s="22" t="s">
        <v>1999</v>
      </c>
      <c r="C1187" s="381" t="s">
        <v>1979</v>
      </c>
      <c r="D1187" s="177"/>
      <c r="E1187" s="177"/>
      <c r="F1187" s="177"/>
      <c r="G1187" s="177"/>
      <c r="H1187" s="177"/>
      <c r="I1187" s="177"/>
      <c r="J1187" s="177"/>
      <c r="K1187" s="177"/>
      <c r="L1187" s="381">
        <v>3</v>
      </c>
    </row>
    <row r="1188" spans="1:12" ht="23.25" customHeight="1" x14ac:dyDescent="0.25">
      <c r="A1188" s="22">
        <f t="shared" si="50"/>
        <v>1069</v>
      </c>
      <c r="B1188" s="22" t="s">
        <v>2000</v>
      </c>
      <c r="C1188" s="381" t="s">
        <v>1979</v>
      </c>
      <c r="D1188" s="177"/>
      <c r="E1188" s="177"/>
      <c r="F1188" s="177"/>
      <c r="G1188" s="177"/>
      <c r="H1188" s="177"/>
      <c r="I1188" s="177"/>
      <c r="J1188" s="177"/>
      <c r="K1188" s="177"/>
      <c r="L1188" s="381">
        <v>3</v>
      </c>
    </row>
    <row r="1189" spans="1:12" ht="23.25" customHeight="1" x14ac:dyDescent="0.25">
      <c r="A1189" s="22">
        <f t="shared" si="50"/>
        <v>1070</v>
      </c>
      <c r="B1189" s="22" t="s">
        <v>2001</v>
      </c>
      <c r="C1189" s="381" t="s">
        <v>1980</v>
      </c>
      <c r="D1189" s="177"/>
      <c r="E1189" s="177"/>
      <c r="F1189" s="177"/>
      <c r="G1189" s="177"/>
      <c r="H1189" s="177"/>
      <c r="I1189" s="177"/>
      <c r="J1189" s="177"/>
      <c r="K1189" s="177"/>
      <c r="L1189" s="381">
        <v>10</v>
      </c>
    </row>
    <row r="1190" spans="1:12" ht="23.25" customHeight="1" x14ac:dyDescent="0.25">
      <c r="A1190" s="22">
        <f t="shared" si="50"/>
        <v>1071</v>
      </c>
      <c r="B1190" s="22" t="s">
        <v>1591</v>
      </c>
      <c r="C1190" s="381" t="s">
        <v>1981</v>
      </c>
      <c r="D1190" s="177"/>
      <c r="E1190" s="177"/>
      <c r="F1190" s="177"/>
      <c r="G1190" s="177"/>
      <c r="H1190" s="177"/>
      <c r="I1190" s="177"/>
      <c r="J1190" s="177"/>
      <c r="K1190" s="177"/>
      <c r="L1190" s="381">
        <v>10</v>
      </c>
    </row>
    <row r="1191" spans="1:12" ht="23.25" customHeight="1" x14ac:dyDescent="0.25">
      <c r="A1191" s="22">
        <f t="shared" si="50"/>
        <v>1072</v>
      </c>
      <c r="B1191" s="22" t="s">
        <v>2002</v>
      </c>
      <c r="C1191" s="381" t="s">
        <v>1981</v>
      </c>
      <c r="D1191" s="177"/>
      <c r="E1191" s="177"/>
      <c r="F1191" s="177"/>
      <c r="G1191" s="177"/>
      <c r="H1191" s="177"/>
      <c r="I1191" s="177"/>
      <c r="J1191" s="177"/>
      <c r="K1191" s="177"/>
      <c r="L1191" s="381">
        <v>60</v>
      </c>
    </row>
    <row r="1192" spans="1:12" ht="23.25" customHeight="1" x14ac:dyDescent="0.25">
      <c r="A1192" s="22">
        <f t="shared" si="50"/>
        <v>1073</v>
      </c>
      <c r="B1192" s="22" t="s">
        <v>2003</v>
      </c>
      <c r="C1192" s="381" t="s">
        <v>1981</v>
      </c>
      <c r="D1192" s="177"/>
      <c r="E1192" s="177"/>
      <c r="F1192" s="177"/>
      <c r="G1192" s="177"/>
      <c r="H1192" s="177"/>
      <c r="I1192" s="177"/>
      <c r="J1192" s="177"/>
      <c r="K1192" s="177"/>
      <c r="L1192" s="381">
        <v>2</v>
      </c>
    </row>
    <row r="1193" spans="1:12" ht="23.25" customHeight="1" x14ac:dyDescent="0.25">
      <c r="A1193" s="22">
        <f t="shared" si="50"/>
        <v>1074</v>
      </c>
      <c r="B1193" s="22" t="s">
        <v>2004</v>
      </c>
      <c r="C1193" s="381" t="s">
        <v>1981</v>
      </c>
      <c r="D1193" s="177"/>
      <c r="E1193" s="177"/>
      <c r="F1193" s="177"/>
      <c r="G1193" s="177"/>
      <c r="H1193" s="177"/>
      <c r="I1193" s="177"/>
      <c r="J1193" s="177"/>
      <c r="K1193" s="177"/>
      <c r="L1193" s="381">
        <v>6</v>
      </c>
    </row>
    <row r="1194" spans="1:12" ht="23.25" customHeight="1" x14ac:dyDescent="0.25">
      <c r="A1194" s="22">
        <f t="shared" si="50"/>
        <v>1075</v>
      </c>
      <c r="B1194" s="22" t="s">
        <v>2005</v>
      </c>
      <c r="C1194" s="381" t="s">
        <v>1981</v>
      </c>
      <c r="D1194" s="177"/>
      <c r="E1194" s="177"/>
      <c r="F1194" s="177"/>
      <c r="G1194" s="177"/>
      <c r="H1194" s="177"/>
      <c r="I1194" s="177"/>
      <c r="J1194" s="177"/>
      <c r="K1194" s="177"/>
      <c r="L1194" s="381">
        <v>6</v>
      </c>
    </row>
    <row r="1195" spans="1:12" ht="23.25" customHeight="1" x14ac:dyDescent="0.25">
      <c r="A1195" s="22">
        <f t="shared" si="50"/>
        <v>1076</v>
      </c>
      <c r="B1195" s="22" t="s">
        <v>2006</v>
      </c>
      <c r="C1195" s="381" t="s">
        <v>1976</v>
      </c>
      <c r="D1195" s="177"/>
      <c r="E1195" s="177"/>
      <c r="F1195" s="177"/>
      <c r="G1195" s="177"/>
      <c r="H1195" s="177"/>
      <c r="I1195" s="177"/>
      <c r="J1195" s="177"/>
      <c r="K1195" s="177"/>
      <c r="L1195" s="381">
        <v>2</v>
      </c>
    </row>
    <row r="1196" spans="1:12" ht="23.25" customHeight="1" x14ac:dyDescent="0.25">
      <c r="A1196" s="22">
        <f t="shared" si="50"/>
        <v>1077</v>
      </c>
      <c r="B1196" s="22" t="s">
        <v>2007</v>
      </c>
      <c r="C1196" s="381" t="s">
        <v>1981</v>
      </c>
      <c r="D1196" s="177"/>
      <c r="E1196" s="177"/>
      <c r="F1196" s="177"/>
      <c r="G1196" s="177"/>
      <c r="H1196" s="177"/>
      <c r="I1196" s="177"/>
      <c r="J1196" s="177"/>
      <c r="K1196" s="177"/>
      <c r="L1196" s="381">
        <v>10</v>
      </c>
    </row>
    <row r="1197" spans="1:12" ht="23.25" customHeight="1" x14ac:dyDescent="0.25">
      <c r="A1197" s="22">
        <f t="shared" si="50"/>
        <v>1078</v>
      </c>
      <c r="B1197" s="22" t="s">
        <v>2008</v>
      </c>
      <c r="C1197" s="381" t="s">
        <v>1981</v>
      </c>
      <c r="D1197" s="177"/>
      <c r="E1197" s="177"/>
      <c r="F1197" s="177"/>
      <c r="G1197" s="177"/>
      <c r="H1197" s="177"/>
      <c r="I1197" s="177"/>
      <c r="J1197" s="177"/>
      <c r="K1197" s="177"/>
      <c r="L1197" s="381">
        <v>5</v>
      </c>
    </row>
    <row r="1198" spans="1:12" ht="23.25" customHeight="1" x14ac:dyDescent="0.25">
      <c r="A1198" s="22">
        <f t="shared" si="50"/>
        <v>1079</v>
      </c>
      <c r="B1198" s="22" t="s">
        <v>1827</v>
      </c>
      <c r="C1198" s="381" t="s">
        <v>1978</v>
      </c>
      <c r="D1198" s="177"/>
      <c r="E1198" s="177"/>
      <c r="F1198" s="177"/>
      <c r="G1198" s="177"/>
      <c r="H1198" s="177"/>
      <c r="I1198" s="177"/>
      <c r="J1198" s="177"/>
      <c r="K1198" s="177"/>
      <c r="L1198" s="381">
        <v>12</v>
      </c>
    </row>
    <row r="1199" spans="1:12" ht="23.25" customHeight="1" x14ac:dyDescent="0.25">
      <c r="A1199" s="22">
        <f t="shared" si="50"/>
        <v>1080</v>
      </c>
      <c r="B1199" s="22" t="s">
        <v>2009</v>
      </c>
      <c r="C1199" s="381" t="s">
        <v>1982</v>
      </c>
      <c r="D1199" s="177"/>
      <c r="E1199" s="177"/>
      <c r="F1199" s="177"/>
      <c r="G1199" s="177"/>
      <c r="H1199" s="177"/>
      <c r="I1199" s="177"/>
      <c r="J1199" s="177"/>
      <c r="K1199" s="177"/>
      <c r="L1199" s="381">
        <v>10</v>
      </c>
    </row>
    <row r="1200" spans="1:12" ht="23.25" customHeight="1" x14ac:dyDescent="0.25">
      <c r="A1200" s="22">
        <f t="shared" si="50"/>
        <v>1081</v>
      </c>
      <c r="B1200" s="22" t="s">
        <v>1605</v>
      </c>
      <c r="C1200" s="381" t="s">
        <v>1982</v>
      </c>
      <c r="D1200" s="177"/>
      <c r="E1200" s="177"/>
      <c r="F1200" s="177"/>
      <c r="G1200" s="177"/>
      <c r="H1200" s="177"/>
      <c r="I1200" s="177"/>
      <c r="J1200" s="177"/>
      <c r="K1200" s="177"/>
      <c r="L1200" s="381">
        <v>12</v>
      </c>
    </row>
    <row r="1201" spans="1:12" ht="23.25" customHeight="1" x14ac:dyDescent="0.25">
      <c r="A1201" s="22">
        <f t="shared" si="50"/>
        <v>1082</v>
      </c>
      <c r="B1201" s="22" t="s">
        <v>1808</v>
      </c>
      <c r="C1201" s="381" t="s">
        <v>1981</v>
      </c>
      <c r="D1201" s="177"/>
      <c r="E1201" s="177"/>
      <c r="F1201" s="177"/>
      <c r="G1201" s="177"/>
      <c r="H1201" s="177"/>
      <c r="I1201" s="177"/>
      <c r="J1201" s="177"/>
      <c r="K1201" s="177"/>
      <c r="L1201" s="381">
        <v>6</v>
      </c>
    </row>
    <row r="1202" spans="1:12" ht="23.25" customHeight="1" x14ac:dyDescent="0.25">
      <c r="A1202" s="22">
        <f t="shared" si="50"/>
        <v>1083</v>
      </c>
      <c r="B1202" s="22" t="s">
        <v>2010</v>
      </c>
      <c r="C1202" s="381" t="s">
        <v>1978</v>
      </c>
      <c r="D1202" s="177"/>
      <c r="E1202" s="177"/>
      <c r="F1202" s="177"/>
      <c r="G1202" s="177"/>
      <c r="H1202" s="177"/>
      <c r="I1202" s="177"/>
      <c r="J1202" s="177"/>
      <c r="K1202" s="177"/>
      <c r="L1202" s="381">
        <v>6</v>
      </c>
    </row>
    <row r="1203" spans="1:12" ht="23.25" customHeight="1" x14ac:dyDescent="0.25">
      <c r="A1203" s="22">
        <f t="shared" si="50"/>
        <v>1084</v>
      </c>
      <c r="B1203" s="22" t="s">
        <v>2011</v>
      </c>
      <c r="C1203" s="381" t="s">
        <v>1981</v>
      </c>
      <c r="D1203" s="177"/>
      <c r="E1203" s="177"/>
      <c r="F1203" s="177"/>
      <c r="G1203" s="177"/>
      <c r="H1203" s="177"/>
      <c r="I1203" s="177"/>
      <c r="J1203" s="177"/>
      <c r="K1203" s="177"/>
      <c r="L1203" s="381">
        <v>3</v>
      </c>
    </row>
    <row r="1204" spans="1:12" ht="23.25" customHeight="1" x14ac:dyDescent="0.25">
      <c r="A1204" s="22">
        <f t="shared" si="50"/>
        <v>1085</v>
      </c>
      <c r="B1204" s="22" t="s">
        <v>2012</v>
      </c>
      <c r="C1204" s="381" t="s">
        <v>1983</v>
      </c>
      <c r="D1204" s="177"/>
      <c r="E1204" s="177"/>
      <c r="F1204" s="177"/>
      <c r="G1204" s="177"/>
      <c r="H1204" s="177"/>
      <c r="I1204" s="177"/>
      <c r="J1204" s="177"/>
      <c r="K1204" s="177"/>
      <c r="L1204" s="381">
        <v>6</v>
      </c>
    </row>
    <row r="1205" spans="1:12" ht="23.25" customHeight="1" x14ac:dyDescent="0.25">
      <c r="A1205" s="22">
        <f t="shared" si="50"/>
        <v>1086</v>
      </c>
      <c r="B1205" s="22" t="s">
        <v>2013</v>
      </c>
      <c r="C1205" s="381" t="s">
        <v>1983</v>
      </c>
      <c r="D1205" s="177"/>
      <c r="E1205" s="177"/>
      <c r="F1205" s="177"/>
      <c r="G1205" s="177"/>
      <c r="H1205" s="177"/>
      <c r="I1205" s="177"/>
      <c r="J1205" s="177"/>
      <c r="K1205" s="177"/>
      <c r="L1205" s="381">
        <v>6</v>
      </c>
    </row>
    <row r="1206" spans="1:12" ht="23.25" customHeight="1" x14ac:dyDescent="0.25">
      <c r="A1206" s="22">
        <f t="shared" si="50"/>
        <v>1087</v>
      </c>
      <c r="B1206" s="22" t="s">
        <v>2014</v>
      </c>
      <c r="C1206" s="381" t="s">
        <v>1978</v>
      </c>
      <c r="D1206" s="177"/>
      <c r="E1206" s="177"/>
      <c r="F1206" s="177"/>
      <c r="G1206" s="177"/>
      <c r="H1206" s="177"/>
      <c r="I1206" s="177"/>
      <c r="J1206" s="177"/>
      <c r="K1206" s="177"/>
      <c r="L1206" s="381">
        <v>2</v>
      </c>
    </row>
    <row r="1207" spans="1:12" ht="23.25" customHeight="1" x14ac:dyDescent="0.25">
      <c r="A1207" s="22">
        <f t="shared" si="50"/>
        <v>1088</v>
      </c>
      <c r="B1207" s="22" t="s">
        <v>2015</v>
      </c>
      <c r="C1207" s="381" t="s">
        <v>1981</v>
      </c>
      <c r="D1207" s="177"/>
      <c r="E1207" s="177"/>
      <c r="F1207" s="177"/>
      <c r="G1207" s="177"/>
      <c r="H1207" s="177"/>
      <c r="I1207" s="177"/>
      <c r="J1207" s="177"/>
      <c r="K1207" s="177"/>
      <c r="L1207" s="381">
        <v>6</v>
      </c>
    </row>
    <row r="1208" spans="1:12" ht="23.25" customHeight="1" x14ac:dyDescent="0.25">
      <c r="A1208" s="22">
        <f t="shared" si="50"/>
        <v>1089</v>
      </c>
      <c r="B1208" s="22" t="s">
        <v>2016</v>
      </c>
      <c r="C1208" s="381" t="s">
        <v>1983</v>
      </c>
      <c r="D1208" s="177"/>
      <c r="E1208" s="177"/>
      <c r="F1208" s="177"/>
      <c r="G1208" s="177"/>
      <c r="H1208" s="177"/>
      <c r="I1208" s="177"/>
      <c r="J1208" s="177"/>
      <c r="K1208" s="177"/>
      <c r="L1208" s="381">
        <v>1</v>
      </c>
    </row>
    <row r="1209" spans="1:12" ht="23.25" customHeight="1" x14ac:dyDescent="0.25">
      <c r="A1209" s="22">
        <f t="shared" si="50"/>
        <v>1090</v>
      </c>
      <c r="B1209" s="22" t="s">
        <v>1795</v>
      </c>
      <c r="C1209" s="381" t="s">
        <v>1983</v>
      </c>
      <c r="D1209" s="177"/>
      <c r="E1209" s="177"/>
      <c r="F1209" s="177"/>
      <c r="G1209" s="177"/>
      <c r="H1209" s="177"/>
      <c r="I1209" s="177"/>
      <c r="J1209" s="177"/>
      <c r="K1209" s="177"/>
      <c r="L1209" s="381">
        <v>1</v>
      </c>
    </row>
    <row r="1210" spans="1:12" ht="23.25" customHeight="1" x14ac:dyDescent="0.25">
      <c r="A1210" s="22">
        <f t="shared" si="50"/>
        <v>1091</v>
      </c>
      <c r="B1210" s="22" t="s">
        <v>2017</v>
      </c>
      <c r="C1210" s="381" t="s">
        <v>1984</v>
      </c>
      <c r="D1210" s="177"/>
      <c r="E1210" s="177"/>
      <c r="F1210" s="177"/>
      <c r="G1210" s="177"/>
      <c r="H1210" s="177"/>
      <c r="I1210" s="177"/>
      <c r="J1210" s="177"/>
      <c r="K1210" s="177"/>
      <c r="L1210" s="381">
        <v>1</v>
      </c>
    </row>
    <row r="1211" spans="1:12" ht="23.25" customHeight="1" x14ac:dyDescent="0.25">
      <c r="A1211" s="22">
        <f t="shared" si="50"/>
        <v>1092</v>
      </c>
      <c r="B1211" s="22" t="s">
        <v>2018</v>
      </c>
      <c r="C1211" s="381" t="s">
        <v>1984</v>
      </c>
      <c r="D1211" s="177"/>
      <c r="E1211" s="177"/>
      <c r="F1211" s="177"/>
      <c r="G1211" s="177"/>
      <c r="H1211" s="177"/>
      <c r="I1211" s="177"/>
      <c r="J1211" s="177"/>
      <c r="K1211" s="177"/>
      <c r="L1211" s="381">
        <v>1</v>
      </c>
    </row>
    <row r="1212" spans="1:12" ht="23.25" customHeight="1" x14ac:dyDescent="0.25">
      <c r="A1212" s="22">
        <f t="shared" si="50"/>
        <v>1093</v>
      </c>
      <c r="B1212" s="22" t="s">
        <v>2019</v>
      </c>
      <c r="C1212" s="381" t="s">
        <v>1985</v>
      </c>
      <c r="D1212" s="177"/>
      <c r="E1212" s="177"/>
      <c r="F1212" s="177"/>
      <c r="G1212" s="177"/>
      <c r="H1212" s="177"/>
      <c r="I1212" s="177"/>
      <c r="J1212" s="177"/>
      <c r="K1212" s="177"/>
      <c r="L1212" s="381">
        <v>6</v>
      </c>
    </row>
    <row r="1213" spans="1:12" ht="23.25" customHeight="1" x14ac:dyDescent="0.25">
      <c r="A1213" s="22">
        <f t="shared" si="50"/>
        <v>1094</v>
      </c>
      <c r="B1213" s="22" t="s">
        <v>2020</v>
      </c>
      <c r="C1213" s="381" t="s">
        <v>1985</v>
      </c>
      <c r="D1213" s="177"/>
      <c r="E1213" s="177"/>
      <c r="F1213" s="177"/>
      <c r="G1213" s="177"/>
      <c r="H1213" s="177"/>
      <c r="I1213" s="177"/>
      <c r="J1213" s="177"/>
      <c r="K1213" s="177"/>
      <c r="L1213" s="381">
        <v>6</v>
      </c>
    </row>
    <row r="1214" spans="1:12" ht="23.25" customHeight="1" x14ac:dyDescent="0.25">
      <c r="A1214" s="22">
        <f t="shared" si="50"/>
        <v>1095</v>
      </c>
      <c r="B1214" s="22" t="s">
        <v>2021</v>
      </c>
      <c r="C1214" s="381" t="s">
        <v>1984</v>
      </c>
      <c r="D1214" s="177"/>
      <c r="E1214" s="177"/>
      <c r="F1214" s="177"/>
      <c r="G1214" s="177"/>
      <c r="H1214" s="177"/>
      <c r="I1214" s="177"/>
      <c r="J1214" s="177"/>
      <c r="K1214" s="177"/>
      <c r="L1214" s="381">
        <v>1</v>
      </c>
    </row>
    <row r="1215" spans="1:12" ht="23.25" customHeight="1" x14ac:dyDescent="0.25">
      <c r="A1215" s="22">
        <f t="shared" si="50"/>
        <v>1096</v>
      </c>
      <c r="B1215" s="22" t="s">
        <v>2022</v>
      </c>
      <c r="C1215" s="381" t="s">
        <v>1976</v>
      </c>
      <c r="D1215" s="177"/>
      <c r="E1215" s="177"/>
      <c r="F1215" s="177"/>
      <c r="G1215" s="177"/>
      <c r="H1215" s="177"/>
      <c r="I1215" s="177"/>
      <c r="J1215" s="177"/>
      <c r="K1215" s="177"/>
      <c r="L1215" s="381">
        <v>1</v>
      </c>
    </row>
    <row r="1216" spans="1:12" ht="23.25" x14ac:dyDescent="0.25">
      <c r="A1216" s="22">
        <f t="shared" si="50"/>
        <v>1097</v>
      </c>
      <c r="B1216" s="22" t="s">
        <v>2023</v>
      </c>
      <c r="C1216" s="381" t="s">
        <v>1976</v>
      </c>
      <c r="D1216" s="177"/>
      <c r="E1216" s="177"/>
      <c r="F1216" s="177"/>
      <c r="G1216" s="177"/>
      <c r="H1216" s="177"/>
      <c r="I1216" s="177"/>
      <c r="J1216" s="177"/>
      <c r="K1216" s="177"/>
      <c r="L1216" s="381">
        <v>1</v>
      </c>
    </row>
    <row r="1217" spans="1:12" ht="23.25" x14ac:dyDescent="0.25">
      <c r="A1217" s="22">
        <f t="shared" si="50"/>
        <v>1098</v>
      </c>
      <c r="B1217" s="22" t="s">
        <v>2024</v>
      </c>
      <c r="C1217" s="381" t="s">
        <v>1976</v>
      </c>
      <c r="D1217" s="177"/>
      <c r="E1217" s="177"/>
      <c r="F1217" s="177"/>
      <c r="G1217" s="177"/>
      <c r="H1217" s="177"/>
      <c r="I1217" s="177"/>
      <c r="J1217" s="177"/>
      <c r="K1217" s="177"/>
      <c r="L1217" s="381">
        <v>1</v>
      </c>
    </row>
    <row r="1218" spans="1:12" ht="23.25" x14ac:dyDescent="0.25">
      <c r="A1218" s="22">
        <f t="shared" si="50"/>
        <v>1099</v>
      </c>
      <c r="B1218" s="22" t="s">
        <v>2025</v>
      </c>
      <c r="C1218" s="381" t="s">
        <v>1976</v>
      </c>
      <c r="D1218" s="177"/>
      <c r="E1218" s="177"/>
      <c r="F1218" s="177"/>
      <c r="G1218" s="177"/>
      <c r="H1218" s="177"/>
      <c r="I1218" s="177"/>
      <c r="J1218" s="177"/>
      <c r="K1218" s="177"/>
      <c r="L1218" s="381">
        <v>1</v>
      </c>
    </row>
    <row r="1219" spans="1:12" ht="23.25" x14ac:dyDescent="0.25">
      <c r="A1219" s="22">
        <f t="shared" si="50"/>
        <v>1100</v>
      </c>
      <c r="B1219" s="22" t="s">
        <v>2026</v>
      </c>
      <c r="C1219" s="381" t="s">
        <v>1976</v>
      </c>
      <c r="D1219" s="177"/>
      <c r="E1219" s="177"/>
      <c r="F1219" s="177"/>
      <c r="G1219" s="177"/>
      <c r="H1219" s="177"/>
      <c r="I1219" s="177"/>
      <c r="J1219" s="177"/>
      <c r="K1219" s="177"/>
      <c r="L1219" s="381">
        <v>3</v>
      </c>
    </row>
    <row r="1220" spans="1:12" ht="23.25" x14ac:dyDescent="0.25">
      <c r="A1220" s="22">
        <f t="shared" si="50"/>
        <v>1101</v>
      </c>
      <c r="B1220" s="22" t="s">
        <v>2027</v>
      </c>
      <c r="C1220" s="381" t="s">
        <v>1986</v>
      </c>
      <c r="D1220" s="177"/>
      <c r="E1220" s="177"/>
      <c r="F1220" s="177"/>
      <c r="G1220" s="177"/>
      <c r="H1220" s="177"/>
      <c r="I1220" s="177"/>
      <c r="J1220" s="177"/>
      <c r="K1220" s="177"/>
      <c r="L1220" s="381">
        <v>36</v>
      </c>
    </row>
    <row r="1221" spans="1:12" ht="23.25" x14ac:dyDescent="0.25">
      <c r="A1221" s="22"/>
      <c r="B1221" s="22"/>
      <c r="C1221" s="372"/>
      <c r="D1221" s="177"/>
      <c r="E1221" s="177"/>
      <c r="F1221" s="177"/>
      <c r="G1221" s="177"/>
      <c r="H1221" s="177"/>
      <c r="I1221" s="177"/>
      <c r="J1221" s="177"/>
      <c r="K1221" s="177"/>
      <c r="L1221" s="22"/>
    </row>
    <row r="1222" spans="1:12" ht="23.25" x14ac:dyDescent="0.25">
      <c r="A1222" s="22"/>
      <c r="B1222" s="22"/>
      <c r="C1222" s="372"/>
      <c r="D1222" s="177"/>
      <c r="E1222" s="177"/>
      <c r="F1222" s="177"/>
      <c r="G1222" s="177"/>
      <c r="H1222" s="177"/>
      <c r="I1222" s="177"/>
      <c r="J1222" s="177"/>
      <c r="K1222" s="177"/>
      <c r="L1222" s="22"/>
    </row>
  </sheetData>
  <sheetProtection algorithmName="SHA-512" hashValue="GnIiB41A2IotCSvi9+2qQLeTPAlNSEfbV7PpeqOkn7s9hAhkviNpe0W+lwM7qUt4+lg5/qPvXA5JrID0l0fRCw==" saltValue="mjHFvs4pJE1x0Bhaoi5zww==" spinCount="100000" sheet="1" objects="1" scenarios="1"/>
  <mergeCells count="1">
    <mergeCell ref="A2:L2"/>
  </mergeCells>
  <phoneticPr fontId="43" type="noConversion"/>
  <pageMargins left="0.28000000000000003" right="0.17" top="0.28999999999999998" bottom="0.28999999999999998" header="0.3" footer="0.3"/>
  <pageSetup scale="4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Y3805"/>
  <sheetViews>
    <sheetView zoomScale="90" zoomScaleNormal="90" workbookViewId="0">
      <pane xSplit="4" ySplit="9" topLeftCell="E440" activePane="bottomRight" state="frozen"/>
      <selection activeCell="C239" sqref="C239"/>
      <selection pane="topRight" activeCell="C239" sqref="C239"/>
      <selection pane="bottomLeft" activeCell="C239" sqref="C239"/>
      <selection pane="bottomRight" activeCell="B446" sqref="B446"/>
    </sheetView>
  </sheetViews>
  <sheetFormatPr defaultColWidth="9.140625" defaultRowHeight="18.75" x14ac:dyDescent="0.3"/>
  <cols>
    <col min="1" max="1" width="13" style="418" bestFit="1" customWidth="1"/>
    <col min="2" max="2" width="62.85546875" style="62" customWidth="1"/>
    <col min="3" max="3" width="15.7109375" style="133" customWidth="1"/>
    <col min="4" max="4" width="20.5703125" style="134" customWidth="1"/>
    <col min="5" max="5" width="18.7109375" style="157" customWidth="1"/>
    <col min="6" max="6" width="18.7109375" style="465" customWidth="1"/>
    <col min="7" max="7" width="18.7109375" style="158" customWidth="1"/>
    <col min="8" max="10" width="18.7109375" style="157" customWidth="1"/>
    <col min="11" max="11" width="18.7109375" style="169" customWidth="1"/>
    <col min="12" max="12" width="18.7109375" style="509" customWidth="1"/>
    <col min="13" max="15" width="18.7109375" style="158" customWidth="1"/>
    <col min="16" max="16" width="18.7109375" style="157" customWidth="1"/>
    <col min="17" max="17" width="18.7109375" style="158" customWidth="1"/>
    <col min="18" max="22" width="18.7109375" style="157" customWidth="1"/>
    <col min="23" max="23" width="18.7109375" style="173" customWidth="1"/>
    <col min="24" max="25" width="18.7109375" style="158" customWidth="1"/>
    <col min="26" max="26" width="18.7109375" style="482" customWidth="1"/>
    <col min="27" max="32" width="18.7109375" style="158" customWidth="1"/>
    <col min="33" max="34" width="18.7109375" style="157" customWidth="1"/>
    <col min="35" max="36" width="18.7109375" style="158" customWidth="1"/>
    <col min="37" max="44" width="18.7109375" style="157" customWidth="1"/>
    <col min="45" max="45" width="18.7109375" style="482" customWidth="1"/>
    <col min="46" max="46" width="18.7109375" style="157" customWidth="1"/>
    <col min="47" max="47" width="18.7109375" style="158" customWidth="1"/>
    <col min="48" max="48" width="18.7109375" style="488" customWidth="1"/>
    <col min="49" max="63" width="18.7109375" style="158" customWidth="1"/>
    <col min="64" max="64" width="18.7109375" style="161" customWidth="1"/>
    <col min="65" max="68" width="18.7109375" style="158" customWidth="1"/>
    <col min="69" max="69" width="18.7109375" style="161" customWidth="1"/>
    <col min="70" max="70" width="18.7109375" style="158" customWidth="1"/>
    <col min="71" max="71" width="18.7109375" style="161" customWidth="1"/>
    <col min="72" max="16384" width="9.140625" style="153"/>
  </cols>
  <sheetData>
    <row r="1" spans="1:77" s="165" customFormat="1" ht="39" customHeight="1" thickBot="1" x14ac:dyDescent="0.3">
      <c r="A1" s="417"/>
      <c r="B1" s="493">
        <f>COUNTIF(E1:BS1,"&gt;0")</f>
        <v>60</v>
      </c>
      <c r="C1" s="771" t="s">
        <v>654</v>
      </c>
      <c r="D1" s="772"/>
      <c r="E1" s="368">
        <f>COUNTIF(E10:E1225,"&gt;0")</f>
        <v>49</v>
      </c>
      <c r="F1" s="459">
        <f>COUNTIF(F10:F1225,"&gt;0")</f>
        <v>0</v>
      </c>
      <c r="G1" s="368">
        <f t="shared" ref="G1:BR1" si="0">COUNTIF(G10:G1225,"&gt;0")</f>
        <v>12</v>
      </c>
      <c r="H1" s="368">
        <f t="shared" si="0"/>
        <v>11</v>
      </c>
      <c r="I1" s="368">
        <f t="shared" si="0"/>
        <v>55</v>
      </c>
      <c r="J1" s="368">
        <f t="shared" si="0"/>
        <v>24</v>
      </c>
      <c r="K1" s="368">
        <f t="shared" si="0"/>
        <v>16</v>
      </c>
      <c r="L1" s="505">
        <f t="shared" si="0"/>
        <v>242</v>
      </c>
      <c r="M1" s="368">
        <f t="shared" si="0"/>
        <v>328</v>
      </c>
      <c r="N1" s="368">
        <f t="shared" si="0"/>
        <v>6</v>
      </c>
      <c r="O1" s="368">
        <f t="shared" si="0"/>
        <v>18</v>
      </c>
      <c r="P1" s="368">
        <f t="shared" si="0"/>
        <v>37</v>
      </c>
      <c r="Q1" s="368">
        <f t="shared" si="0"/>
        <v>339</v>
      </c>
      <c r="R1" s="368">
        <f t="shared" si="0"/>
        <v>61</v>
      </c>
      <c r="S1" s="368">
        <f t="shared" si="0"/>
        <v>432</v>
      </c>
      <c r="T1" s="368">
        <f t="shared" si="0"/>
        <v>66</v>
      </c>
      <c r="U1" s="368">
        <f t="shared" si="0"/>
        <v>25</v>
      </c>
      <c r="V1" s="368">
        <f t="shared" si="0"/>
        <v>35</v>
      </c>
      <c r="W1" s="368">
        <f t="shared" si="0"/>
        <v>54</v>
      </c>
      <c r="X1" s="368">
        <f t="shared" si="0"/>
        <v>17</v>
      </c>
      <c r="Y1" s="368">
        <f t="shared" si="0"/>
        <v>7</v>
      </c>
      <c r="Z1" s="477">
        <f t="shared" si="0"/>
        <v>0</v>
      </c>
      <c r="AA1" s="368">
        <f t="shared" si="0"/>
        <v>39</v>
      </c>
      <c r="AB1" s="489">
        <f t="shared" si="0"/>
        <v>28</v>
      </c>
      <c r="AC1" s="368">
        <f t="shared" si="0"/>
        <v>111</v>
      </c>
      <c r="AD1" s="368">
        <f t="shared" si="0"/>
        <v>1</v>
      </c>
      <c r="AE1" s="368">
        <f t="shared" si="0"/>
        <v>46</v>
      </c>
      <c r="AF1" s="368">
        <f t="shared" si="0"/>
        <v>244</v>
      </c>
      <c r="AG1" s="368">
        <f t="shared" si="0"/>
        <v>56</v>
      </c>
      <c r="AH1" s="368">
        <f t="shared" si="0"/>
        <v>17</v>
      </c>
      <c r="AI1" s="368">
        <f t="shared" si="0"/>
        <v>29</v>
      </c>
      <c r="AJ1" s="368">
        <f t="shared" si="0"/>
        <v>8</v>
      </c>
      <c r="AK1" s="368">
        <f t="shared" si="0"/>
        <v>29</v>
      </c>
      <c r="AL1" s="368">
        <f t="shared" si="0"/>
        <v>11</v>
      </c>
      <c r="AM1" s="368">
        <f t="shared" si="0"/>
        <v>10</v>
      </c>
      <c r="AN1" s="368">
        <f t="shared" si="0"/>
        <v>24</v>
      </c>
      <c r="AO1" s="368">
        <f t="shared" si="0"/>
        <v>57</v>
      </c>
      <c r="AP1" s="368">
        <f t="shared" si="0"/>
        <v>10</v>
      </c>
      <c r="AQ1" s="368">
        <f t="shared" si="0"/>
        <v>8</v>
      </c>
      <c r="AR1" s="368">
        <f t="shared" si="0"/>
        <v>22</v>
      </c>
      <c r="AS1" s="477">
        <f t="shared" si="0"/>
        <v>0</v>
      </c>
      <c r="AT1" s="368">
        <f t="shared" si="0"/>
        <v>21</v>
      </c>
      <c r="AU1" s="368">
        <f t="shared" si="0"/>
        <v>1</v>
      </c>
      <c r="AV1" s="483">
        <f t="shared" si="0"/>
        <v>0</v>
      </c>
      <c r="AW1" s="368">
        <f t="shared" si="0"/>
        <v>20</v>
      </c>
      <c r="AX1" s="368">
        <f t="shared" si="0"/>
        <v>27</v>
      </c>
      <c r="AY1" s="368">
        <f t="shared" si="0"/>
        <v>14</v>
      </c>
      <c r="AZ1" s="368">
        <f t="shared" si="0"/>
        <v>37</v>
      </c>
      <c r="BA1" s="368">
        <f t="shared" si="0"/>
        <v>31</v>
      </c>
      <c r="BB1" s="368">
        <f t="shared" si="0"/>
        <v>15</v>
      </c>
      <c r="BC1" s="368">
        <f t="shared" si="0"/>
        <v>7</v>
      </c>
      <c r="BD1" s="368">
        <f t="shared" si="0"/>
        <v>32</v>
      </c>
      <c r="BE1" s="368">
        <f t="shared" si="0"/>
        <v>43</v>
      </c>
      <c r="BF1" s="368">
        <f t="shared" si="0"/>
        <v>37</v>
      </c>
      <c r="BG1" s="368">
        <f t="shared" si="0"/>
        <v>35</v>
      </c>
      <c r="BH1" s="368">
        <f t="shared" si="0"/>
        <v>23</v>
      </c>
      <c r="BI1" s="368">
        <f t="shared" si="0"/>
        <v>172</v>
      </c>
      <c r="BJ1" s="368">
        <f t="shared" si="0"/>
        <v>16</v>
      </c>
      <c r="BK1" s="368">
        <f t="shared" si="0"/>
        <v>293</v>
      </c>
      <c r="BL1" s="368">
        <f t="shared" si="0"/>
        <v>18</v>
      </c>
      <c r="BM1" s="368">
        <f t="shared" si="0"/>
        <v>40</v>
      </c>
      <c r="BN1" s="368">
        <f t="shared" si="0"/>
        <v>30</v>
      </c>
      <c r="BO1" s="368">
        <f t="shared" si="0"/>
        <v>50</v>
      </c>
      <c r="BP1" s="368">
        <f t="shared" si="0"/>
        <v>27</v>
      </c>
      <c r="BQ1" s="368">
        <f t="shared" si="0"/>
        <v>0</v>
      </c>
      <c r="BR1" s="368">
        <f t="shared" si="0"/>
        <v>0</v>
      </c>
      <c r="BS1" s="368">
        <f t="shared" ref="BS1" si="1">COUNTIF(BS10:BS1225,"&gt;0")</f>
        <v>0</v>
      </c>
    </row>
    <row r="2" spans="1:77" ht="19.5" thickBot="1" x14ac:dyDescent="0.35">
      <c r="E2" s="135">
        <v>1</v>
      </c>
      <c r="F2" s="460">
        <v>2</v>
      </c>
      <c r="G2" s="135">
        <v>3</v>
      </c>
      <c r="H2" s="135">
        <v>4</v>
      </c>
      <c r="I2" s="135">
        <v>5</v>
      </c>
      <c r="J2" s="135">
        <v>6</v>
      </c>
      <c r="K2" s="166">
        <v>7</v>
      </c>
      <c r="L2" s="506">
        <v>8</v>
      </c>
      <c r="M2" s="135">
        <v>9</v>
      </c>
      <c r="N2" s="135">
        <v>10</v>
      </c>
      <c r="O2" s="135">
        <v>11</v>
      </c>
      <c r="P2" s="135">
        <v>12</v>
      </c>
      <c r="Q2" s="135">
        <v>13</v>
      </c>
      <c r="R2" s="135">
        <v>14</v>
      </c>
      <c r="S2" s="135">
        <v>15</v>
      </c>
      <c r="T2" s="135">
        <v>16</v>
      </c>
      <c r="U2" s="135">
        <v>17</v>
      </c>
      <c r="V2" s="135">
        <v>18</v>
      </c>
      <c r="W2" s="166">
        <v>19</v>
      </c>
      <c r="X2" s="135">
        <v>20</v>
      </c>
      <c r="Y2" s="135">
        <v>21</v>
      </c>
      <c r="Z2" s="478">
        <v>22</v>
      </c>
      <c r="AA2" s="135">
        <v>23</v>
      </c>
      <c r="AB2" s="158">
        <v>24</v>
      </c>
      <c r="AC2" s="135">
        <v>25</v>
      </c>
      <c r="AD2" s="135">
        <v>26</v>
      </c>
      <c r="AE2" s="135">
        <v>27</v>
      </c>
      <c r="AF2" s="135">
        <v>28</v>
      </c>
      <c r="AG2" s="135">
        <v>29</v>
      </c>
      <c r="AH2" s="135">
        <v>30</v>
      </c>
      <c r="AI2" s="135">
        <v>31</v>
      </c>
      <c r="AJ2" s="135">
        <v>32</v>
      </c>
      <c r="AK2" s="135">
        <v>33</v>
      </c>
      <c r="AL2" s="135">
        <v>34</v>
      </c>
      <c r="AM2" s="135">
        <v>35</v>
      </c>
      <c r="AN2" s="135">
        <v>36</v>
      </c>
      <c r="AO2" s="135">
        <v>37</v>
      </c>
      <c r="AP2" s="135">
        <v>38</v>
      </c>
      <c r="AQ2" s="135">
        <v>39</v>
      </c>
      <c r="AR2" s="136">
        <v>40</v>
      </c>
      <c r="AS2" s="503">
        <v>41</v>
      </c>
      <c r="AT2" s="136">
        <v>42</v>
      </c>
      <c r="AU2" s="135">
        <v>43</v>
      </c>
      <c r="AV2" s="484">
        <v>44</v>
      </c>
      <c r="AW2" s="135">
        <v>45</v>
      </c>
      <c r="AX2" s="135">
        <v>46</v>
      </c>
      <c r="AY2" s="135">
        <v>47</v>
      </c>
      <c r="AZ2" s="135">
        <v>48</v>
      </c>
      <c r="BA2" s="135">
        <v>49</v>
      </c>
      <c r="BB2" s="135">
        <v>50</v>
      </c>
      <c r="BC2" s="135">
        <v>51</v>
      </c>
      <c r="BD2" s="135">
        <v>52</v>
      </c>
      <c r="BE2" s="135">
        <v>53</v>
      </c>
      <c r="BF2" s="135">
        <v>54</v>
      </c>
      <c r="BG2" s="135">
        <v>55</v>
      </c>
      <c r="BH2" s="135">
        <v>56</v>
      </c>
      <c r="BI2" s="135">
        <v>57</v>
      </c>
      <c r="BJ2" s="135">
        <v>58</v>
      </c>
      <c r="BK2" s="135">
        <v>59</v>
      </c>
      <c r="BL2" s="135">
        <v>60</v>
      </c>
      <c r="BM2" s="135">
        <v>61</v>
      </c>
      <c r="BN2" s="135">
        <v>62</v>
      </c>
      <c r="BO2" s="135">
        <v>63</v>
      </c>
      <c r="BP2" s="135">
        <v>64</v>
      </c>
      <c r="BQ2" s="135">
        <v>65</v>
      </c>
      <c r="BR2" s="135">
        <v>66</v>
      </c>
      <c r="BS2" s="135">
        <v>67</v>
      </c>
    </row>
    <row r="3" spans="1:77" x14ac:dyDescent="0.3">
      <c r="E3" s="757" t="str">
        <f>N!B4</f>
        <v>ALPHA PHARMACY AND STORES LTD</v>
      </c>
      <c r="F3" s="773" t="str">
        <f>N!B5</f>
        <v>ASSENE LABOREX LIMITED</v>
      </c>
      <c r="G3" s="776" t="str">
        <f>N!B6</f>
        <v>BIOFEM PHARMACEUTICALS LIMITED</v>
      </c>
      <c r="H3" s="757" t="str">
        <f>N!B7</f>
        <v>BIOMEDICALS LIMITED</v>
      </c>
      <c r="I3" s="757" t="str">
        <f>N!B8</f>
        <v>CHI PHARMACEUTICALS</v>
      </c>
      <c r="J3" s="757" t="str">
        <f>N!B9</f>
        <v>CLARION MEDICALS LIMITED</v>
      </c>
      <c r="K3" s="767" t="str">
        <f>N!B10</f>
        <v>CODIX PHARMACEUTICALS LIMITED</v>
      </c>
      <c r="L3" s="767" t="str">
        <f>N!B11</f>
        <v>COSMADE EASY MEDICALS LIMITED</v>
      </c>
      <c r="M3" s="767" t="str">
        <f>N!B12</f>
        <v>DE SANCON &amp; ASSOCIATES LIMITED</v>
      </c>
      <c r="N3" s="767" t="str">
        <f>N!B13</f>
        <v>DEVON PHARMACEUTICALS</v>
      </c>
      <c r="O3" s="767" t="str">
        <f>N!B14</f>
        <v>DORTEMAG VENTURES LIMITED</v>
      </c>
      <c r="P3" s="757" t="str">
        <f>N!B15</f>
        <v>DRUGFIELD PHARMACEUTICALS LIMITED</v>
      </c>
      <c r="Q3" s="767" t="str">
        <f>N!B16</f>
        <v>DYNAMIC ANCHOR SOURCE LIMITED</v>
      </c>
      <c r="R3" s="757" t="str">
        <f>N!B17</f>
        <v>EMZOR PHARMACEUTICALS LIMITED</v>
      </c>
      <c r="S3" s="757" t="str">
        <f>N!B18</f>
        <v>EUMATT SERVICES LIMITED</v>
      </c>
      <c r="T3" s="757" t="str">
        <f>N!B19</f>
        <v>FIDSON HEALTHCARE LIMITED</v>
      </c>
      <c r="U3" s="757" t="str">
        <f>N!B20</f>
        <v>FIRST CHOICE GLOBAL UTILITIES LIMITED</v>
      </c>
      <c r="V3" s="757" t="str">
        <f>N!B21</f>
        <v>GENEITH PHARMACEUTICALS LIMITED</v>
      </c>
      <c r="W3" s="757" t="str">
        <f>N!B22</f>
        <v>GINOS VENTURES LIMITED</v>
      </c>
      <c r="X3" s="767" t="str">
        <f>N!B23</f>
        <v>GLAXOSMITHKLINE PHARM. LTD</v>
      </c>
      <c r="Y3" s="767" t="str">
        <f>N!B24</f>
        <v>GLOBAL ORGANICS LIMITED</v>
      </c>
      <c r="Z3" s="765" t="str">
        <f>N!B25</f>
        <v>GOODNEWS UNIVERSAL TECHNOLOGIES</v>
      </c>
      <c r="AA3" s="761" t="str">
        <f>N!B26</f>
        <v>GREENLIFE PHARMACEUTICALS LIMITED</v>
      </c>
      <c r="AB3" s="767" t="str">
        <f>N!B27</f>
        <v>HEALTHLINE PHARMACEUTICALS LIMITED</v>
      </c>
      <c r="AC3" s="767" t="str">
        <f>N!B28</f>
        <v>INTER-ROTECH NIGERIA LIMITED</v>
      </c>
      <c r="AD3" s="767" t="str">
        <f>N!B29</f>
        <v>ISN PRODUCTS NIGERIA LIMITED</v>
      </c>
      <c r="AE3" s="767" t="str">
        <f>N!B30</f>
        <v>JAWA INTERNATIONAL LIMITED</v>
      </c>
      <c r="AF3" s="767" t="str">
        <f>N!B31</f>
        <v>LAYO-JAT NIGERIA LIMITED</v>
      </c>
      <c r="AG3" s="757" t="str">
        <f>N!B32</f>
        <v>LEADWAY PHARMACEUTICALS LIMITED</v>
      </c>
      <c r="AH3" s="763" t="str">
        <f>N!B33</f>
        <v>LIFTED HANDS VENTURES</v>
      </c>
      <c r="AI3" s="769" t="str">
        <f>N!B34</f>
        <v>MANOLA PHARMACEUTICALS</v>
      </c>
      <c r="AJ3" s="769" t="str">
        <f>N!B35</f>
        <v>MARCSON HEALTHCARE LIMITED</v>
      </c>
      <c r="AK3" s="763" t="str">
        <f>N!B36</f>
        <v>MAY &amp; BAKER NIGERIA LIMITED</v>
      </c>
      <c r="AL3" s="763" t="str">
        <f>N!B37</f>
        <v>MEDITRUST NIGERIA LIMITED</v>
      </c>
      <c r="AM3" s="763" t="str">
        <f>N!B38</f>
        <v>MEDWORLD MEDICAL COMPANY LIMITED</v>
      </c>
      <c r="AN3" s="763" t="str">
        <f>N!B39</f>
        <v>MEGA LIFESCIENCES NIGERIA LIMITED</v>
      </c>
      <c r="AO3" s="763" t="str">
        <f>N!B40</f>
        <v>MICRONOVA PHARMACEUTICALS</v>
      </c>
      <c r="AP3" s="763" t="str">
        <f>N!B41</f>
        <v>MIRAFLASH NIGERIA LIMITED</v>
      </c>
      <c r="AQ3" s="763" t="str">
        <f>N!B42</f>
        <v>MORISON INDUSTRIES PLC</v>
      </c>
      <c r="AR3" s="757" t="str">
        <f>N!B43</f>
        <v>NEMEL PHARMACEUTICALS LIMITED</v>
      </c>
      <c r="AS3" s="765" t="str">
        <f>N!B44</f>
        <v>NEW HEIGHTS PHARMACEUTICALS IND. LIMITED</v>
      </c>
      <c r="AT3" s="757" t="str">
        <f>N!B45</f>
        <v>NHC PHARMACEUTICALS LIMITED</v>
      </c>
      <c r="AU3" s="757" t="str">
        <f>N!B46</f>
        <v>OAK-LEAF PHARM. NIGERIA LIMITED</v>
      </c>
      <c r="AV3" s="759" t="str">
        <f>N!B47</f>
        <v>OCULUS PHARMACARE LIMITED</v>
      </c>
      <c r="AW3" s="761" t="str">
        <f>N!B48</f>
        <v>PACIFIC DIAGNOSTIC LIMITED</v>
      </c>
      <c r="AX3" s="761" t="str">
        <f>N!B49</f>
        <v>PHAMATEX INDUSTRIES LIMITED</v>
      </c>
      <c r="AY3" s="761" t="str">
        <f>N!B50</f>
        <v>PHARMAETHICS LIMITED</v>
      </c>
      <c r="AZ3" s="751" t="str">
        <f>N!B51</f>
        <v>PHILIPS PHARMACEUTICALS NIGERIA LIMITED</v>
      </c>
      <c r="BA3" s="751" t="str">
        <f>N!B52</f>
        <v>RANBAXY NIGERIA LIMITED</v>
      </c>
      <c r="BB3" s="751" t="str">
        <f>N!B53</f>
        <v>REALS PHARMACEUTICALS LIMITED</v>
      </c>
      <c r="BC3" s="751" t="str">
        <f>N!B54</f>
        <v>ROYAL PRIESTHOOD LABORATORIES LIMITED</v>
      </c>
      <c r="BD3" s="751" t="str">
        <f>N!B55</f>
        <v>SAM PHARMACEUTICALS LIMITED</v>
      </c>
      <c r="BE3" s="751" t="str">
        <f>N!B56</f>
        <v>SEAGREEN PHARMACEUTICALS LIMITED</v>
      </c>
      <c r="BF3" s="751" t="str">
        <f>N!B57</f>
        <v>SKG PHARMACEUTICALS LIMITED</v>
      </c>
      <c r="BG3" s="751" t="str">
        <f>N!B58</f>
        <v>TAH PHARMACEUTICALS LIMITED</v>
      </c>
      <c r="BH3" s="751" t="str">
        <f>N!B59</f>
        <v>TAYLEK DRUGS COMPANY LIMITED</v>
      </c>
      <c r="BI3" s="751" t="str">
        <f>N!B60</f>
        <v>TEMITA SCIENTIFIC VENTURES</v>
      </c>
      <c r="BJ3" s="751" t="str">
        <f>N!B61</f>
        <v>THERAPEUTIC LABORATORIES NIGERIA LIMITED</v>
      </c>
      <c r="BK3" s="755" t="str">
        <f>N!B62</f>
        <v>UBASTIC NIGERIA LIMITED</v>
      </c>
      <c r="BL3" s="755" t="str">
        <f>N!B63</f>
        <v>UNION DIAGNOSTIC AND CLINICAL SERVICES</v>
      </c>
      <c r="BM3" s="751" t="str">
        <f>N!B64</f>
        <v>UNIQUE PHARMACEUTICALS LIMITED</v>
      </c>
      <c r="BN3" s="751" t="str">
        <f>N!B65</f>
        <v>VIXA PHARMACEUTICALS LIMITED</v>
      </c>
      <c r="BO3" s="753" t="str">
        <f>N!B66</f>
        <v>WORLDWIDE COMMERCIAL VENTURES LIMITED</v>
      </c>
      <c r="BP3" s="755" t="str">
        <f>N!B67</f>
        <v>ZOLON HEALTHCARE LIMITED</v>
      </c>
      <c r="BQ3" s="749" t="e">
        <f>N!#REF!</f>
        <v>#REF!</v>
      </c>
      <c r="BR3" s="749" t="e">
        <f>N!#REF!</f>
        <v>#REF!</v>
      </c>
      <c r="BS3" s="749" t="e">
        <f>N!#REF!</f>
        <v>#REF!</v>
      </c>
    </row>
    <row r="4" spans="1:77" ht="19.5" thickBot="1" x14ac:dyDescent="0.35">
      <c r="E4" s="758"/>
      <c r="F4" s="774"/>
      <c r="G4" s="777"/>
      <c r="H4" s="758"/>
      <c r="I4" s="758"/>
      <c r="J4" s="758"/>
      <c r="K4" s="768"/>
      <c r="L4" s="768"/>
      <c r="M4" s="768"/>
      <c r="N4" s="768"/>
      <c r="O4" s="768"/>
      <c r="P4" s="758"/>
      <c r="Q4" s="768"/>
      <c r="R4" s="758"/>
      <c r="S4" s="758"/>
      <c r="T4" s="758"/>
      <c r="U4" s="758"/>
      <c r="V4" s="758"/>
      <c r="W4" s="758"/>
      <c r="X4" s="768"/>
      <c r="Y4" s="768"/>
      <c r="Z4" s="766"/>
      <c r="AA4" s="762"/>
      <c r="AB4" s="768"/>
      <c r="AC4" s="768"/>
      <c r="AD4" s="768"/>
      <c r="AE4" s="768"/>
      <c r="AF4" s="768"/>
      <c r="AG4" s="758"/>
      <c r="AH4" s="764"/>
      <c r="AI4" s="770"/>
      <c r="AJ4" s="770"/>
      <c r="AK4" s="764"/>
      <c r="AL4" s="764"/>
      <c r="AM4" s="764"/>
      <c r="AN4" s="764"/>
      <c r="AO4" s="764"/>
      <c r="AP4" s="764"/>
      <c r="AQ4" s="764"/>
      <c r="AR4" s="758"/>
      <c r="AS4" s="766"/>
      <c r="AT4" s="758"/>
      <c r="AU4" s="758"/>
      <c r="AV4" s="760"/>
      <c r="AW4" s="762"/>
      <c r="AX4" s="762"/>
      <c r="AY4" s="762"/>
      <c r="AZ4" s="752"/>
      <c r="BA4" s="752"/>
      <c r="BB4" s="752"/>
      <c r="BC4" s="752"/>
      <c r="BD4" s="752"/>
      <c r="BE4" s="752"/>
      <c r="BF4" s="752"/>
      <c r="BG4" s="752"/>
      <c r="BH4" s="752"/>
      <c r="BI4" s="752"/>
      <c r="BJ4" s="752"/>
      <c r="BK4" s="756"/>
      <c r="BL4" s="756"/>
      <c r="BM4" s="752"/>
      <c r="BN4" s="752"/>
      <c r="BO4" s="754"/>
      <c r="BP4" s="756"/>
      <c r="BQ4" s="750"/>
      <c r="BR4" s="750"/>
      <c r="BS4" s="750"/>
    </row>
    <row r="5" spans="1:77" ht="23.25" thickBot="1" x14ac:dyDescent="0.35">
      <c r="B5" s="137" t="s">
        <v>835</v>
      </c>
      <c r="C5" s="138"/>
      <c r="E5" s="758"/>
      <c r="F5" s="774"/>
      <c r="G5" s="777"/>
      <c r="H5" s="758"/>
      <c r="I5" s="758"/>
      <c r="J5" s="758"/>
      <c r="K5" s="768"/>
      <c r="L5" s="768"/>
      <c r="M5" s="768"/>
      <c r="N5" s="768"/>
      <c r="O5" s="768"/>
      <c r="P5" s="758"/>
      <c r="Q5" s="768"/>
      <c r="R5" s="758"/>
      <c r="S5" s="758"/>
      <c r="T5" s="758"/>
      <c r="U5" s="758"/>
      <c r="V5" s="758"/>
      <c r="W5" s="758"/>
      <c r="X5" s="768"/>
      <c r="Y5" s="768"/>
      <c r="Z5" s="766"/>
      <c r="AA5" s="762"/>
      <c r="AB5" s="768"/>
      <c r="AC5" s="768"/>
      <c r="AD5" s="768"/>
      <c r="AE5" s="768"/>
      <c r="AF5" s="768"/>
      <c r="AG5" s="758"/>
      <c r="AH5" s="764"/>
      <c r="AI5" s="770"/>
      <c r="AJ5" s="770"/>
      <c r="AK5" s="764"/>
      <c r="AL5" s="764"/>
      <c r="AM5" s="764"/>
      <c r="AN5" s="764"/>
      <c r="AO5" s="764"/>
      <c r="AP5" s="764"/>
      <c r="AQ5" s="764"/>
      <c r="AR5" s="758"/>
      <c r="AS5" s="766"/>
      <c r="AT5" s="758"/>
      <c r="AU5" s="758"/>
      <c r="AV5" s="760"/>
      <c r="AW5" s="762"/>
      <c r="AX5" s="762"/>
      <c r="AY5" s="762"/>
      <c r="AZ5" s="752"/>
      <c r="BA5" s="752"/>
      <c r="BB5" s="752"/>
      <c r="BC5" s="752"/>
      <c r="BD5" s="752"/>
      <c r="BE5" s="752"/>
      <c r="BF5" s="752"/>
      <c r="BG5" s="752"/>
      <c r="BH5" s="752"/>
      <c r="BI5" s="752"/>
      <c r="BJ5" s="752"/>
      <c r="BK5" s="756"/>
      <c r="BL5" s="756"/>
      <c r="BM5" s="752"/>
      <c r="BN5" s="752"/>
      <c r="BO5" s="754"/>
      <c r="BP5" s="756"/>
      <c r="BQ5" s="750"/>
      <c r="BR5" s="750"/>
      <c r="BS5" s="750"/>
    </row>
    <row r="6" spans="1:77" x14ac:dyDescent="0.3">
      <c r="E6" s="758"/>
      <c r="F6" s="774"/>
      <c r="G6" s="777"/>
      <c r="H6" s="758"/>
      <c r="I6" s="758"/>
      <c r="J6" s="758"/>
      <c r="K6" s="768"/>
      <c r="L6" s="768"/>
      <c r="M6" s="768"/>
      <c r="N6" s="768"/>
      <c r="O6" s="768"/>
      <c r="P6" s="758"/>
      <c r="Q6" s="768"/>
      <c r="R6" s="758"/>
      <c r="S6" s="758"/>
      <c r="T6" s="758"/>
      <c r="U6" s="758"/>
      <c r="V6" s="758"/>
      <c r="W6" s="758"/>
      <c r="X6" s="768"/>
      <c r="Y6" s="768"/>
      <c r="Z6" s="766"/>
      <c r="AA6" s="762"/>
      <c r="AB6" s="768"/>
      <c r="AC6" s="768"/>
      <c r="AD6" s="768"/>
      <c r="AE6" s="768"/>
      <c r="AF6" s="768"/>
      <c r="AG6" s="758"/>
      <c r="AH6" s="764"/>
      <c r="AI6" s="770"/>
      <c r="AJ6" s="770"/>
      <c r="AK6" s="764"/>
      <c r="AL6" s="764"/>
      <c r="AM6" s="764"/>
      <c r="AN6" s="764"/>
      <c r="AO6" s="764"/>
      <c r="AP6" s="764"/>
      <c r="AQ6" s="764"/>
      <c r="AR6" s="758"/>
      <c r="AS6" s="766"/>
      <c r="AT6" s="758"/>
      <c r="AU6" s="758"/>
      <c r="AV6" s="760"/>
      <c r="AW6" s="762"/>
      <c r="AX6" s="762"/>
      <c r="AY6" s="762"/>
      <c r="AZ6" s="752"/>
      <c r="BA6" s="752"/>
      <c r="BB6" s="752"/>
      <c r="BC6" s="752"/>
      <c r="BD6" s="752"/>
      <c r="BE6" s="752"/>
      <c r="BF6" s="752"/>
      <c r="BG6" s="752"/>
      <c r="BH6" s="752"/>
      <c r="BI6" s="752"/>
      <c r="BJ6" s="752"/>
      <c r="BK6" s="756"/>
      <c r="BL6" s="756"/>
      <c r="BM6" s="752"/>
      <c r="BN6" s="752"/>
      <c r="BO6" s="754"/>
      <c r="BP6" s="756"/>
      <c r="BQ6" s="750"/>
      <c r="BR6" s="750"/>
      <c r="BS6" s="750"/>
    </row>
    <row r="7" spans="1:77" x14ac:dyDescent="0.3">
      <c r="E7" s="758"/>
      <c r="F7" s="775"/>
      <c r="G7" s="778"/>
      <c r="H7" s="758"/>
      <c r="I7" s="758"/>
      <c r="J7" s="758"/>
      <c r="K7" s="768"/>
      <c r="L7" s="768"/>
      <c r="M7" s="768"/>
      <c r="N7" s="768"/>
      <c r="O7" s="768"/>
      <c r="P7" s="758"/>
      <c r="Q7" s="768"/>
      <c r="R7" s="758"/>
      <c r="S7" s="758"/>
      <c r="T7" s="758"/>
      <c r="U7" s="758"/>
      <c r="V7" s="758"/>
      <c r="W7" s="758"/>
      <c r="X7" s="768"/>
      <c r="Y7" s="768"/>
      <c r="Z7" s="766"/>
      <c r="AA7" s="762"/>
      <c r="AB7" s="768"/>
      <c r="AC7" s="768"/>
      <c r="AD7" s="768"/>
      <c r="AE7" s="768"/>
      <c r="AF7" s="768"/>
      <c r="AG7" s="758"/>
      <c r="AH7" s="764"/>
      <c r="AI7" s="770"/>
      <c r="AJ7" s="770"/>
      <c r="AK7" s="764"/>
      <c r="AL7" s="764"/>
      <c r="AM7" s="764"/>
      <c r="AN7" s="764"/>
      <c r="AO7" s="764"/>
      <c r="AP7" s="764"/>
      <c r="AQ7" s="764"/>
      <c r="AR7" s="758"/>
      <c r="AS7" s="766"/>
      <c r="AT7" s="758"/>
      <c r="AU7" s="758"/>
      <c r="AV7" s="760"/>
      <c r="AW7" s="762"/>
      <c r="AX7" s="762"/>
      <c r="AY7" s="762"/>
      <c r="AZ7" s="752"/>
      <c r="BA7" s="752"/>
      <c r="BB7" s="752"/>
      <c r="BC7" s="752"/>
      <c r="BD7" s="752"/>
      <c r="BE7" s="752"/>
      <c r="BF7" s="752"/>
      <c r="BG7" s="752"/>
      <c r="BH7" s="752"/>
      <c r="BI7" s="752"/>
      <c r="BJ7" s="752"/>
      <c r="BK7" s="756"/>
      <c r="BL7" s="756"/>
      <c r="BM7" s="752"/>
      <c r="BN7" s="752"/>
      <c r="BO7" s="754"/>
      <c r="BP7" s="756"/>
      <c r="BQ7" s="750"/>
      <c r="BR7" s="750"/>
      <c r="BS7" s="750"/>
      <c r="BX7" s="154"/>
    </row>
    <row r="8" spans="1:77" s="424" customFormat="1" x14ac:dyDescent="0.3">
      <c r="A8" s="421"/>
      <c r="B8" s="422"/>
      <c r="C8" s="164"/>
      <c r="D8" s="139" t="s">
        <v>552</v>
      </c>
      <c r="E8" s="140" t="s">
        <v>553</v>
      </c>
      <c r="F8" s="461" t="s">
        <v>554</v>
      </c>
      <c r="G8" s="141" t="s">
        <v>555</v>
      </c>
      <c r="H8" s="142" t="s">
        <v>556</v>
      </c>
      <c r="I8" s="142" t="s">
        <v>557</v>
      </c>
      <c r="J8" s="142" t="s">
        <v>558</v>
      </c>
      <c r="K8" s="142" t="s">
        <v>2034</v>
      </c>
      <c r="L8" s="507" t="s">
        <v>559</v>
      </c>
      <c r="M8" s="141" t="s">
        <v>560</v>
      </c>
      <c r="N8" s="141" t="s">
        <v>561</v>
      </c>
      <c r="O8" s="141" t="s">
        <v>562</v>
      </c>
      <c r="P8" s="141" t="s">
        <v>563</v>
      </c>
      <c r="Q8" s="142" t="s">
        <v>564</v>
      </c>
      <c r="R8" s="141" t="s">
        <v>565</v>
      </c>
      <c r="S8" s="142" t="s">
        <v>566</v>
      </c>
      <c r="T8" s="142" t="s">
        <v>567</v>
      </c>
      <c r="U8" s="142" t="s">
        <v>568</v>
      </c>
      <c r="V8" s="142" t="s">
        <v>569</v>
      </c>
      <c r="W8" s="142" t="s">
        <v>570</v>
      </c>
      <c r="X8" s="170" t="s">
        <v>571</v>
      </c>
      <c r="Y8" s="141" t="s">
        <v>603</v>
      </c>
      <c r="Z8" s="479" t="s">
        <v>604</v>
      </c>
      <c r="AA8" s="142" t="s">
        <v>605</v>
      </c>
      <c r="AB8" s="141" t="s">
        <v>606</v>
      </c>
      <c r="AC8" s="141" t="s">
        <v>607</v>
      </c>
      <c r="AD8" s="141" t="s">
        <v>608</v>
      </c>
      <c r="AE8" s="141" t="s">
        <v>609</v>
      </c>
      <c r="AF8" s="141" t="s">
        <v>610</v>
      </c>
      <c r="AG8" s="141" t="s">
        <v>611</v>
      </c>
      <c r="AH8" s="142" t="s">
        <v>612</v>
      </c>
      <c r="AI8" s="142" t="s">
        <v>647</v>
      </c>
      <c r="AJ8" s="141" t="s">
        <v>648</v>
      </c>
      <c r="AK8" s="141" t="s">
        <v>649</v>
      </c>
      <c r="AL8" s="142" t="s">
        <v>650</v>
      </c>
      <c r="AM8" s="142" t="s">
        <v>651</v>
      </c>
      <c r="AN8" s="142" t="s">
        <v>670</v>
      </c>
      <c r="AO8" s="142" t="s">
        <v>671</v>
      </c>
      <c r="AP8" s="142" t="s">
        <v>672</v>
      </c>
      <c r="AQ8" s="142" t="s">
        <v>673</v>
      </c>
      <c r="AR8" s="142" t="s">
        <v>674</v>
      </c>
      <c r="AS8" s="504" t="s">
        <v>675</v>
      </c>
      <c r="AT8" s="142" t="s">
        <v>676</v>
      </c>
      <c r="AU8" s="142" t="s">
        <v>677</v>
      </c>
      <c r="AV8" s="485" t="s">
        <v>789</v>
      </c>
      <c r="AW8" s="141" t="s">
        <v>790</v>
      </c>
      <c r="AX8" s="141" t="s">
        <v>791</v>
      </c>
      <c r="AY8" s="141" t="s">
        <v>792</v>
      </c>
      <c r="AZ8" s="141" t="s">
        <v>793</v>
      </c>
      <c r="BA8" s="141" t="s">
        <v>794</v>
      </c>
      <c r="BB8" s="141" t="s">
        <v>795</v>
      </c>
      <c r="BC8" s="141" t="s">
        <v>796</v>
      </c>
      <c r="BD8" s="141" t="s">
        <v>797</v>
      </c>
      <c r="BE8" s="141" t="s">
        <v>798</v>
      </c>
      <c r="BF8" s="141" t="s">
        <v>799</v>
      </c>
      <c r="BG8" s="141" t="s">
        <v>800</v>
      </c>
      <c r="BH8" s="141" t="s">
        <v>801</v>
      </c>
      <c r="BI8" s="141" t="s">
        <v>802</v>
      </c>
      <c r="BJ8" s="141" t="s">
        <v>803</v>
      </c>
      <c r="BK8" s="141" t="s">
        <v>804</v>
      </c>
      <c r="BL8" s="143" t="s">
        <v>805</v>
      </c>
      <c r="BM8" s="423" t="s">
        <v>2028</v>
      </c>
      <c r="BN8" s="141" t="s">
        <v>2029</v>
      </c>
      <c r="BO8" s="141" t="s">
        <v>2030</v>
      </c>
      <c r="BP8" s="141" t="s">
        <v>2031</v>
      </c>
      <c r="BQ8" s="143" t="s">
        <v>2032</v>
      </c>
      <c r="BR8" s="141" t="s">
        <v>2033</v>
      </c>
      <c r="BS8" s="143" t="s">
        <v>2035</v>
      </c>
      <c r="BT8" s="153"/>
      <c r="BY8" s="425"/>
    </row>
    <row r="9" spans="1:77" s="155" customFormat="1" ht="45" x14ac:dyDescent="0.3">
      <c r="A9" s="419"/>
      <c r="B9" s="144"/>
      <c r="C9" s="145" t="s">
        <v>653</v>
      </c>
      <c r="D9" s="65" t="s">
        <v>500</v>
      </c>
      <c r="E9" s="146" t="s">
        <v>417</v>
      </c>
      <c r="F9" s="462" t="s">
        <v>417</v>
      </c>
      <c r="G9" s="147" t="s">
        <v>417</v>
      </c>
      <c r="H9" s="146" t="s">
        <v>417</v>
      </c>
      <c r="I9" s="146" t="s">
        <v>417</v>
      </c>
      <c r="J9" s="146" t="s">
        <v>417</v>
      </c>
      <c r="K9" s="167" t="s">
        <v>417</v>
      </c>
      <c r="L9" s="508" t="s">
        <v>417</v>
      </c>
      <c r="M9" s="147" t="s">
        <v>417</v>
      </c>
      <c r="N9" s="147" t="s">
        <v>417</v>
      </c>
      <c r="O9" s="147" t="s">
        <v>417</v>
      </c>
      <c r="P9" s="146" t="s">
        <v>417</v>
      </c>
      <c r="Q9" s="147" t="s">
        <v>417</v>
      </c>
      <c r="R9" s="146" t="s">
        <v>417</v>
      </c>
      <c r="S9" s="146" t="s">
        <v>417</v>
      </c>
      <c r="T9" s="146" t="s">
        <v>417</v>
      </c>
      <c r="U9" s="146" t="s">
        <v>417</v>
      </c>
      <c r="V9" s="146" t="s">
        <v>417</v>
      </c>
      <c r="W9" s="171" t="s">
        <v>417</v>
      </c>
      <c r="X9" s="147" t="s">
        <v>417</v>
      </c>
      <c r="Y9" s="147" t="s">
        <v>417</v>
      </c>
      <c r="Z9" s="480" t="s">
        <v>417</v>
      </c>
      <c r="AA9" s="147" t="s">
        <v>417</v>
      </c>
      <c r="AB9" s="147" t="s">
        <v>417</v>
      </c>
      <c r="AC9" s="147" t="s">
        <v>417</v>
      </c>
      <c r="AD9" s="147" t="s">
        <v>417</v>
      </c>
      <c r="AE9" s="147" t="s">
        <v>417</v>
      </c>
      <c r="AF9" s="147" t="s">
        <v>417</v>
      </c>
      <c r="AG9" s="146" t="s">
        <v>417</v>
      </c>
      <c r="AH9" s="146" t="s">
        <v>417</v>
      </c>
      <c r="AI9" s="147" t="s">
        <v>417</v>
      </c>
      <c r="AJ9" s="147" t="s">
        <v>417</v>
      </c>
      <c r="AK9" s="146" t="s">
        <v>417</v>
      </c>
      <c r="AL9" s="146" t="s">
        <v>417</v>
      </c>
      <c r="AM9" s="146" t="s">
        <v>417</v>
      </c>
      <c r="AN9" s="146" t="s">
        <v>417</v>
      </c>
      <c r="AO9" s="146" t="s">
        <v>417</v>
      </c>
      <c r="AP9" s="146" t="s">
        <v>417</v>
      </c>
      <c r="AQ9" s="146" t="s">
        <v>417</v>
      </c>
      <c r="AR9" s="146" t="s">
        <v>417</v>
      </c>
      <c r="AS9" s="480" t="s">
        <v>417</v>
      </c>
      <c r="AT9" s="146" t="s">
        <v>417</v>
      </c>
      <c r="AU9" s="147" t="s">
        <v>417</v>
      </c>
      <c r="AV9" s="486" t="s">
        <v>417</v>
      </c>
      <c r="AW9" s="147" t="s">
        <v>417</v>
      </c>
      <c r="AX9" s="147" t="s">
        <v>417</v>
      </c>
      <c r="AY9" s="147" t="s">
        <v>417</v>
      </c>
      <c r="AZ9" s="147" t="s">
        <v>417</v>
      </c>
      <c r="BA9" s="147" t="s">
        <v>417</v>
      </c>
      <c r="BB9" s="147" t="s">
        <v>417</v>
      </c>
      <c r="BC9" s="147" t="s">
        <v>417</v>
      </c>
      <c r="BD9" s="147" t="s">
        <v>417</v>
      </c>
      <c r="BE9" s="147" t="s">
        <v>417</v>
      </c>
      <c r="BF9" s="147" t="s">
        <v>417</v>
      </c>
      <c r="BG9" s="147" t="s">
        <v>417</v>
      </c>
      <c r="BH9" s="147" t="s">
        <v>417</v>
      </c>
      <c r="BI9" s="147" t="s">
        <v>417</v>
      </c>
      <c r="BJ9" s="147" t="s">
        <v>417</v>
      </c>
      <c r="BK9" s="148" t="s">
        <v>417</v>
      </c>
      <c r="BL9" s="147" t="s">
        <v>417</v>
      </c>
      <c r="BM9" s="147" t="s">
        <v>417</v>
      </c>
      <c r="BN9" s="147" t="s">
        <v>417</v>
      </c>
      <c r="BO9" s="147" t="s">
        <v>417</v>
      </c>
      <c r="BP9" s="148" t="s">
        <v>417</v>
      </c>
      <c r="BQ9" s="148" t="s">
        <v>417</v>
      </c>
      <c r="BR9" s="148" t="s">
        <v>417</v>
      </c>
      <c r="BS9" s="148" t="s">
        <v>417</v>
      </c>
      <c r="BT9" s="153"/>
    </row>
    <row r="10" spans="1:77" x14ac:dyDescent="0.3">
      <c r="A10" s="420" t="str">
        <f>DL!A7</f>
        <v>LOT 1</v>
      </c>
      <c r="B10" s="14" t="str">
        <f>DL!B7</f>
        <v>ANTIMALARIALS</v>
      </c>
      <c r="C10" s="149"/>
      <c r="D10" s="149"/>
      <c r="E10" s="150"/>
      <c r="F10" s="463"/>
      <c r="G10" s="150"/>
      <c r="H10" s="150"/>
      <c r="I10" s="150"/>
      <c r="J10" s="150"/>
      <c r="K10" s="168"/>
      <c r="L10" s="50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68"/>
      <c r="X10" s="150"/>
      <c r="Y10" s="150"/>
      <c r="Z10" s="455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1"/>
      <c r="AS10" s="456"/>
      <c r="AT10" s="151"/>
      <c r="AU10" s="150"/>
      <c r="AV10" s="487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  <c r="BK10" s="152"/>
      <c r="BL10" s="160"/>
      <c r="BM10" s="150"/>
      <c r="BN10" s="150"/>
      <c r="BO10" s="150"/>
      <c r="BP10" s="152"/>
      <c r="BQ10" s="160"/>
      <c r="BR10" s="152"/>
      <c r="BS10" s="160"/>
    </row>
    <row r="11" spans="1:77" x14ac:dyDescent="0.3">
      <c r="A11" s="420">
        <f>DL!A8</f>
        <v>1</v>
      </c>
      <c r="B11" s="16" t="s">
        <v>3</v>
      </c>
      <c r="C11" s="149">
        <v>3000</v>
      </c>
      <c r="D11" s="149">
        <f>DL!C8</f>
        <v>3</v>
      </c>
      <c r="E11" s="150"/>
      <c r="F11" s="463"/>
      <c r="G11" s="150"/>
      <c r="H11" s="150"/>
      <c r="I11" s="466"/>
      <c r="J11" s="150"/>
      <c r="K11" s="168"/>
      <c r="L11" s="466"/>
      <c r="M11" s="150"/>
      <c r="N11" s="466"/>
      <c r="O11" s="150"/>
      <c r="P11" s="150"/>
      <c r="Q11" s="150"/>
      <c r="R11" s="472"/>
      <c r="S11" s="466">
        <v>550</v>
      </c>
      <c r="T11" s="150">
        <v>1300</v>
      </c>
      <c r="U11" s="150"/>
      <c r="V11" s="150"/>
      <c r="W11" s="168"/>
      <c r="X11" s="150"/>
      <c r="Y11" s="466"/>
      <c r="Z11" s="455"/>
      <c r="AA11" s="150">
        <v>750</v>
      </c>
      <c r="AB11" s="490">
        <v>650</v>
      </c>
      <c r="AC11" s="150"/>
      <c r="AD11" s="150"/>
      <c r="AE11" s="466">
        <v>615</v>
      </c>
      <c r="AF11" s="499"/>
      <c r="AG11" s="150">
        <v>650</v>
      </c>
      <c r="AH11" s="150"/>
      <c r="AI11" s="150"/>
      <c r="AJ11" s="150">
        <v>600</v>
      </c>
      <c r="AK11" s="150"/>
      <c r="AL11" s="150"/>
      <c r="AM11" s="150"/>
      <c r="AN11" s="466"/>
      <c r="AO11" s="466"/>
      <c r="AP11" s="150"/>
      <c r="AQ11" s="150"/>
      <c r="AR11" s="151"/>
      <c r="AS11" s="456"/>
      <c r="AT11" s="466"/>
      <c r="AU11" s="150"/>
      <c r="AV11" s="487"/>
      <c r="AW11" s="150"/>
      <c r="AX11" s="150"/>
      <c r="AY11" s="466">
        <v>700</v>
      </c>
      <c r="AZ11" s="466"/>
      <c r="BA11" s="150"/>
      <c r="BB11" s="150"/>
      <c r="BC11" s="466"/>
      <c r="BD11" s="466"/>
      <c r="BE11" s="466"/>
      <c r="BF11" s="466"/>
      <c r="BG11" s="150"/>
      <c r="BH11" s="150"/>
      <c r="BI11" s="150"/>
      <c r="BJ11" s="466"/>
      <c r="BK11" s="152"/>
      <c r="BL11" s="160"/>
      <c r="BM11" s="150"/>
      <c r="BN11" s="466"/>
      <c r="BO11" s="150"/>
      <c r="BP11" s="516"/>
      <c r="BQ11" s="160"/>
      <c r="BR11" s="152"/>
      <c r="BS11" s="160"/>
    </row>
    <row r="12" spans="1:77" x14ac:dyDescent="0.3">
      <c r="A12" s="420">
        <f>DL!A9</f>
        <v>2</v>
      </c>
      <c r="B12" s="16" t="s">
        <v>4</v>
      </c>
      <c r="C12" s="149">
        <f>DL!L9</f>
        <v>800</v>
      </c>
      <c r="D12" s="149">
        <f>DL!C9</f>
        <v>6</v>
      </c>
      <c r="E12" s="150"/>
      <c r="F12" s="463"/>
      <c r="G12" s="150">
        <v>250</v>
      </c>
      <c r="H12" s="150"/>
      <c r="I12" s="466"/>
      <c r="J12" s="150">
        <v>250</v>
      </c>
      <c r="K12" s="168"/>
      <c r="L12" s="466"/>
      <c r="M12" s="150"/>
      <c r="N12" s="466"/>
      <c r="O12" s="150"/>
      <c r="P12" s="150"/>
      <c r="Q12" s="150"/>
      <c r="R12" s="472"/>
      <c r="S12" s="466">
        <v>200</v>
      </c>
      <c r="T12" s="150"/>
      <c r="U12" s="150"/>
      <c r="V12" s="150">
        <v>275</v>
      </c>
      <c r="W12" s="168"/>
      <c r="X12" s="150"/>
      <c r="Y12" s="466"/>
      <c r="Z12" s="455"/>
      <c r="AA12" s="150">
        <v>550</v>
      </c>
      <c r="AB12" s="490"/>
      <c r="AC12" s="150"/>
      <c r="AD12" s="150"/>
      <c r="AE12" s="466"/>
      <c r="AF12" s="499"/>
      <c r="AG12" s="150">
        <v>320</v>
      </c>
      <c r="AH12" s="150"/>
      <c r="AI12" s="150"/>
      <c r="AJ12" s="150"/>
      <c r="AK12" s="150"/>
      <c r="AL12" s="150"/>
      <c r="AM12" s="150"/>
      <c r="AN12" s="466"/>
      <c r="AO12" s="466"/>
      <c r="AP12" s="150"/>
      <c r="AQ12" s="150"/>
      <c r="AR12" s="151"/>
      <c r="AS12" s="456"/>
      <c r="AT12" s="466"/>
      <c r="AU12" s="150"/>
      <c r="AV12" s="487"/>
      <c r="AW12" s="150"/>
      <c r="AX12" s="150"/>
      <c r="AY12" s="466"/>
      <c r="AZ12" s="466">
        <v>200</v>
      </c>
      <c r="BA12" s="150"/>
      <c r="BB12" s="150"/>
      <c r="BC12" s="466"/>
      <c r="BD12" s="466"/>
      <c r="BE12" s="466"/>
      <c r="BF12" s="466"/>
      <c r="BG12" s="150"/>
      <c r="BH12" s="150"/>
      <c r="BI12" s="150"/>
      <c r="BJ12" s="466"/>
      <c r="BK12" s="152"/>
      <c r="BL12" s="160"/>
      <c r="BM12" s="150"/>
      <c r="BN12" s="466">
        <v>200</v>
      </c>
      <c r="BO12" s="150"/>
      <c r="BP12" s="516"/>
      <c r="BQ12" s="160"/>
      <c r="BR12" s="152"/>
      <c r="BS12" s="160"/>
    </row>
    <row r="13" spans="1:77" x14ac:dyDescent="0.3">
      <c r="A13" s="420">
        <f>DL!A10</f>
        <v>3</v>
      </c>
      <c r="B13" s="16" t="s">
        <v>5</v>
      </c>
      <c r="C13" s="149">
        <f>DL!L10</f>
        <v>400</v>
      </c>
      <c r="D13" s="149" t="str">
        <f>DL!C10</f>
        <v>BOTT</v>
      </c>
      <c r="E13" s="150"/>
      <c r="F13" s="463"/>
      <c r="G13" s="150"/>
      <c r="H13" s="150"/>
      <c r="I13" s="466"/>
      <c r="J13" s="150">
        <v>260</v>
      </c>
      <c r="K13" s="168"/>
      <c r="L13" s="466"/>
      <c r="M13" s="150"/>
      <c r="N13" s="466"/>
      <c r="O13" s="150"/>
      <c r="P13" s="150"/>
      <c r="Q13" s="150"/>
      <c r="R13" s="473">
        <v>280</v>
      </c>
      <c r="S13" s="466">
        <v>180</v>
      </c>
      <c r="T13" s="150"/>
      <c r="U13" s="150"/>
      <c r="V13" s="150">
        <v>350</v>
      </c>
      <c r="W13" s="168"/>
      <c r="X13" s="150"/>
      <c r="Y13" s="466"/>
      <c r="Z13" s="455"/>
      <c r="AA13" s="150">
        <v>650</v>
      </c>
      <c r="AB13" s="490"/>
      <c r="AC13" s="150"/>
      <c r="AD13" s="150"/>
      <c r="AE13" s="466">
        <v>420</v>
      </c>
      <c r="AF13" s="499"/>
      <c r="AG13" s="150"/>
      <c r="AH13" s="150"/>
      <c r="AI13" s="150"/>
      <c r="AJ13" s="150"/>
      <c r="AK13" s="150"/>
      <c r="AL13" s="150"/>
      <c r="AM13" s="150"/>
      <c r="AN13" s="466"/>
      <c r="AO13" s="466"/>
      <c r="AP13" s="150"/>
      <c r="AQ13" s="150"/>
      <c r="AR13" s="151"/>
      <c r="AS13" s="456"/>
      <c r="AT13" s="466"/>
      <c r="AU13" s="150"/>
      <c r="AV13" s="487"/>
      <c r="AW13" s="150"/>
      <c r="AX13" s="150"/>
      <c r="AY13" s="466"/>
      <c r="AZ13" s="466"/>
      <c r="BA13" s="150"/>
      <c r="BB13" s="150"/>
      <c r="BC13" s="466"/>
      <c r="BD13" s="466"/>
      <c r="BE13" s="466"/>
      <c r="BF13" s="466">
        <v>460.64</v>
      </c>
      <c r="BG13" s="150"/>
      <c r="BH13" s="150"/>
      <c r="BI13" s="150"/>
      <c r="BJ13" s="466"/>
      <c r="BK13" s="152"/>
      <c r="BL13" s="160"/>
      <c r="BM13" s="150"/>
      <c r="BN13" s="466"/>
      <c r="BO13" s="150"/>
      <c r="BP13" s="516"/>
      <c r="BQ13" s="160"/>
      <c r="BR13" s="152"/>
      <c r="BS13" s="160"/>
    </row>
    <row r="14" spans="1:77" x14ac:dyDescent="0.3">
      <c r="A14" s="420">
        <f>DL!A11</f>
        <v>4</v>
      </c>
      <c r="B14" s="16" t="s">
        <v>1251</v>
      </c>
      <c r="C14" s="149">
        <f>DL!L11</f>
        <v>500</v>
      </c>
      <c r="D14" s="149">
        <f>DL!C11</f>
        <v>24</v>
      </c>
      <c r="E14" s="150"/>
      <c r="F14" s="463"/>
      <c r="G14" s="150"/>
      <c r="H14" s="150"/>
      <c r="I14" s="466"/>
      <c r="J14" s="150"/>
      <c r="K14" s="168"/>
      <c r="L14" s="466"/>
      <c r="M14" s="150"/>
      <c r="N14" s="466"/>
      <c r="O14" s="150"/>
      <c r="P14" s="150"/>
      <c r="Q14" s="150"/>
      <c r="R14" s="472"/>
      <c r="S14" s="466"/>
      <c r="T14" s="150"/>
      <c r="U14" s="150"/>
      <c r="V14" s="150"/>
      <c r="W14" s="168"/>
      <c r="X14" s="150"/>
      <c r="Y14" s="466"/>
      <c r="Z14" s="455"/>
      <c r="AA14" s="150"/>
      <c r="AB14" s="490"/>
      <c r="AC14" s="150"/>
      <c r="AD14" s="150"/>
      <c r="AE14" s="466"/>
      <c r="AF14" s="499"/>
      <c r="AG14" s="150"/>
      <c r="AH14" s="150"/>
      <c r="AI14" s="150"/>
      <c r="AJ14" s="150"/>
      <c r="AK14" s="150"/>
      <c r="AL14" s="150"/>
      <c r="AM14" s="150"/>
      <c r="AN14" s="466"/>
      <c r="AO14" s="466"/>
      <c r="AP14" s="150"/>
      <c r="AQ14" s="150"/>
      <c r="AR14" s="151"/>
      <c r="AS14" s="456"/>
      <c r="AT14" s="466"/>
      <c r="AU14" s="150"/>
      <c r="AV14" s="487"/>
      <c r="AW14" s="150"/>
      <c r="AX14" s="150"/>
      <c r="AY14" s="466"/>
      <c r="AZ14" s="466"/>
      <c r="BA14" s="150"/>
      <c r="BB14" s="150"/>
      <c r="BC14" s="466"/>
      <c r="BD14" s="466"/>
      <c r="BE14" s="466"/>
      <c r="BF14" s="466"/>
      <c r="BG14" s="150"/>
      <c r="BH14" s="150"/>
      <c r="BI14" s="150"/>
      <c r="BJ14" s="466"/>
      <c r="BK14" s="152"/>
      <c r="BL14" s="160"/>
      <c r="BM14" s="150"/>
      <c r="BN14" s="466"/>
      <c r="BO14" s="150"/>
      <c r="BP14" s="516"/>
      <c r="BQ14" s="160"/>
      <c r="BR14" s="152"/>
      <c r="BS14" s="160"/>
    </row>
    <row r="15" spans="1:77" x14ac:dyDescent="0.3">
      <c r="A15" s="420">
        <f>DL!A12</f>
        <v>5</v>
      </c>
      <c r="B15" s="16" t="s">
        <v>1252</v>
      </c>
      <c r="C15" s="149">
        <f>DL!L12</f>
        <v>500</v>
      </c>
      <c r="D15" s="149">
        <f>DL!C12</f>
        <v>6</v>
      </c>
      <c r="E15" s="150"/>
      <c r="F15" s="463"/>
      <c r="G15" s="150"/>
      <c r="H15" s="150"/>
      <c r="I15" s="466"/>
      <c r="J15" s="150"/>
      <c r="K15" s="168"/>
      <c r="L15" s="466"/>
      <c r="M15" s="150"/>
      <c r="N15" s="466"/>
      <c r="O15" s="150"/>
      <c r="P15" s="150"/>
      <c r="Q15" s="150"/>
      <c r="R15" s="472"/>
      <c r="S15" s="466"/>
      <c r="T15" s="159"/>
      <c r="U15" s="150"/>
      <c r="V15" s="150">
        <v>550</v>
      </c>
      <c r="W15" s="168"/>
      <c r="X15" s="150"/>
      <c r="Y15" s="466"/>
      <c r="Z15" s="455"/>
      <c r="AA15" s="150"/>
      <c r="AB15" s="490"/>
      <c r="AC15" s="150"/>
      <c r="AD15" s="150"/>
      <c r="AE15" s="466"/>
      <c r="AF15" s="499"/>
      <c r="AG15" s="150"/>
      <c r="AH15" s="150"/>
      <c r="AI15" s="150"/>
      <c r="AJ15" s="150"/>
      <c r="AK15" s="150"/>
      <c r="AL15" s="150"/>
      <c r="AM15" s="150"/>
      <c r="AN15" s="466"/>
      <c r="AO15" s="466"/>
      <c r="AP15" s="150"/>
      <c r="AQ15" s="150"/>
      <c r="AR15" s="151"/>
      <c r="AS15" s="456"/>
      <c r="AT15" s="466"/>
      <c r="AU15" s="150"/>
      <c r="AV15" s="487"/>
      <c r="AW15" s="150"/>
      <c r="AX15" s="150"/>
      <c r="AY15" s="466"/>
      <c r="AZ15" s="466"/>
      <c r="BA15" s="150"/>
      <c r="BB15" s="150"/>
      <c r="BC15" s="466"/>
      <c r="BD15" s="466"/>
      <c r="BE15" s="466"/>
      <c r="BF15" s="466"/>
      <c r="BG15" s="150"/>
      <c r="BH15" s="150"/>
      <c r="BI15" s="150"/>
      <c r="BJ15" s="466"/>
      <c r="BK15" s="152"/>
      <c r="BL15" s="160"/>
      <c r="BM15" s="150"/>
      <c r="BN15" s="466"/>
      <c r="BO15" s="150"/>
      <c r="BP15" s="516"/>
      <c r="BQ15" s="160"/>
      <c r="BR15" s="152"/>
      <c r="BS15" s="160"/>
    </row>
    <row r="16" spans="1:77" x14ac:dyDescent="0.3">
      <c r="A16" s="420">
        <f>DL!A13</f>
        <v>6</v>
      </c>
      <c r="B16" s="16" t="s">
        <v>6</v>
      </c>
      <c r="C16" s="149">
        <v>10000</v>
      </c>
      <c r="D16" s="149">
        <f>DL!C13</f>
        <v>24</v>
      </c>
      <c r="E16" s="150"/>
      <c r="F16" s="463"/>
      <c r="G16" s="150"/>
      <c r="H16" s="150"/>
      <c r="I16" s="466"/>
      <c r="J16" s="150">
        <v>230</v>
      </c>
      <c r="K16" s="168"/>
      <c r="L16" s="466"/>
      <c r="M16" s="150"/>
      <c r="N16" s="466"/>
      <c r="O16" s="150"/>
      <c r="P16" s="150"/>
      <c r="Q16" s="150"/>
      <c r="R16" s="473">
        <v>250</v>
      </c>
      <c r="S16" s="466">
        <v>240</v>
      </c>
      <c r="T16" s="150"/>
      <c r="U16" s="150"/>
      <c r="V16" s="150">
        <v>270</v>
      </c>
      <c r="W16" s="168"/>
      <c r="X16" s="150"/>
      <c r="Y16" s="466"/>
      <c r="Z16" s="455"/>
      <c r="AA16" s="150">
        <v>310</v>
      </c>
      <c r="AB16" s="490"/>
      <c r="AC16" s="150"/>
      <c r="AD16" s="150"/>
      <c r="AE16" s="466"/>
      <c r="AF16" s="499"/>
      <c r="AG16" s="150">
        <v>290</v>
      </c>
      <c r="AH16" s="150"/>
      <c r="AI16" s="150"/>
      <c r="AJ16" s="150"/>
      <c r="AK16" s="159">
        <f>2*404.04</f>
        <v>808.08</v>
      </c>
      <c r="AL16" s="150"/>
      <c r="AM16" s="150"/>
      <c r="AN16" s="466"/>
      <c r="AO16" s="466"/>
      <c r="AP16" s="150"/>
      <c r="AQ16" s="150"/>
      <c r="AR16" s="151">
        <v>260</v>
      </c>
      <c r="AS16" s="456"/>
      <c r="AT16" s="466"/>
      <c r="AU16" s="150"/>
      <c r="AV16" s="487"/>
      <c r="AW16" s="150"/>
      <c r="AX16" s="150"/>
      <c r="AY16" s="466"/>
      <c r="AZ16" s="466">
        <v>245</v>
      </c>
      <c r="BA16" s="150"/>
      <c r="BB16" s="150"/>
      <c r="BC16" s="466"/>
      <c r="BD16" s="466">
        <v>210</v>
      </c>
      <c r="BE16" s="466">
        <v>300</v>
      </c>
      <c r="BF16" s="466"/>
      <c r="BG16" s="150">
        <v>400</v>
      </c>
      <c r="BH16" s="150"/>
      <c r="BI16" s="150"/>
      <c r="BJ16" s="466">
        <v>245</v>
      </c>
      <c r="BK16" s="152"/>
      <c r="BL16" s="160"/>
      <c r="BM16" s="150"/>
      <c r="BN16" s="466"/>
      <c r="BO16" s="150"/>
      <c r="BP16" s="516"/>
      <c r="BQ16" s="160"/>
      <c r="BR16" s="152"/>
      <c r="BS16" s="160"/>
    </row>
    <row r="17" spans="1:71" x14ac:dyDescent="0.3">
      <c r="A17" s="420">
        <f>DL!A14</f>
        <v>7</v>
      </c>
      <c r="B17" s="16" t="s">
        <v>714</v>
      </c>
      <c r="C17" s="149">
        <f>DL!L14</f>
        <v>600</v>
      </c>
      <c r="D17" s="149">
        <f>DL!C14</f>
        <v>6</v>
      </c>
      <c r="E17" s="150"/>
      <c r="F17" s="463"/>
      <c r="G17" s="150"/>
      <c r="H17" s="150"/>
      <c r="I17" s="466"/>
      <c r="J17" s="150"/>
      <c r="K17" s="168"/>
      <c r="L17" s="466"/>
      <c r="M17" s="150"/>
      <c r="N17" s="466"/>
      <c r="O17" s="150"/>
      <c r="P17" s="150"/>
      <c r="Q17" s="150"/>
      <c r="R17" s="473">
        <v>100</v>
      </c>
      <c r="S17" s="466">
        <v>180</v>
      </c>
      <c r="T17" s="150"/>
      <c r="U17" s="150"/>
      <c r="V17" s="150">
        <v>160</v>
      </c>
      <c r="W17" s="168"/>
      <c r="X17" s="150"/>
      <c r="Y17" s="466"/>
      <c r="Z17" s="455"/>
      <c r="AA17" s="150">
        <v>180</v>
      </c>
      <c r="AB17" s="490"/>
      <c r="AC17" s="150"/>
      <c r="AD17" s="150"/>
      <c r="AE17" s="466"/>
      <c r="AF17" s="499"/>
      <c r="AG17" s="150"/>
      <c r="AH17" s="150"/>
      <c r="AI17" s="150"/>
      <c r="AJ17" s="150"/>
      <c r="AK17" s="150"/>
      <c r="AL17" s="150"/>
      <c r="AM17" s="150"/>
      <c r="AN17" s="466"/>
      <c r="AO17" s="466"/>
      <c r="AP17" s="150"/>
      <c r="AQ17" s="150"/>
      <c r="AR17" s="151">
        <v>120</v>
      </c>
      <c r="AS17" s="456"/>
      <c r="AT17" s="466"/>
      <c r="AU17" s="150"/>
      <c r="AV17" s="487"/>
      <c r="AW17" s="150"/>
      <c r="AX17" s="150"/>
      <c r="AY17" s="466">
        <v>125</v>
      </c>
      <c r="AZ17" s="466"/>
      <c r="BA17" s="150"/>
      <c r="BB17" s="150"/>
      <c r="BC17" s="466"/>
      <c r="BD17" s="466"/>
      <c r="BE17" s="466">
        <v>150</v>
      </c>
      <c r="BF17" s="466">
        <v>157.29</v>
      </c>
      <c r="BG17" s="150"/>
      <c r="BH17" s="150"/>
      <c r="BI17" s="150"/>
      <c r="BJ17" s="466"/>
      <c r="BK17" s="152"/>
      <c r="BL17" s="160"/>
      <c r="BM17" s="150"/>
      <c r="BN17" s="466"/>
      <c r="BO17" s="150"/>
      <c r="BP17" s="516"/>
      <c r="BQ17" s="160"/>
      <c r="BR17" s="152"/>
      <c r="BS17" s="160"/>
    </row>
    <row r="18" spans="1:71" x14ac:dyDescent="0.3">
      <c r="A18" s="420">
        <f>DL!A15</f>
        <v>8</v>
      </c>
      <c r="B18" s="16" t="s">
        <v>7</v>
      </c>
      <c r="C18" s="149">
        <v>4000</v>
      </c>
      <c r="D18" s="149">
        <f>DL!C15</f>
        <v>6</v>
      </c>
      <c r="E18" s="150"/>
      <c r="F18" s="463"/>
      <c r="G18" s="150">
        <v>300</v>
      </c>
      <c r="H18" s="150"/>
      <c r="I18" s="466"/>
      <c r="J18" s="150">
        <v>260</v>
      </c>
      <c r="K18" s="168"/>
      <c r="L18" s="466"/>
      <c r="M18" s="150"/>
      <c r="N18" s="466"/>
      <c r="O18" s="150"/>
      <c r="P18" s="150"/>
      <c r="Q18" s="150"/>
      <c r="R18" s="473">
        <v>300</v>
      </c>
      <c r="S18" s="466">
        <v>290</v>
      </c>
      <c r="T18" s="150">
        <v>300</v>
      </c>
      <c r="U18" s="150"/>
      <c r="V18" s="150">
        <v>385</v>
      </c>
      <c r="W18" s="168"/>
      <c r="X18" s="150"/>
      <c r="Y18" s="466"/>
      <c r="Z18" s="455"/>
      <c r="AA18" s="150">
        <v>850</v>
      </c>
      <c r="AB18" s="490"/>
      <c r="AC18" s="150"/>
      <c r="AD18" s="150"/>
      <c r="AE18" s="466">
        <v>315</v>
      </c>
      <c r="AF18" s="499"/>
      <c r="AG18" s="150">
        <v>290</v>
      </c>
      <c r="AH18" s="150"/>
      <c r="AI18" s="150"/>
      <c r="AJ18" s="150"/>
      <c r="AK18" s="150"/>
      <c r="AL18" s="150"/>
      <c r="AM18" s="150"/>
      <c r="AN18" s="466"/>
      <c r="AO18" s="466"/>
      <c r="AP18" s="150"/>
      <c r="AQ18" s="150"/>
      <c r="AR18" s="151">
        <v>260</v>
      </c>
      <c r="AS18" s="456"/>
      <c r="AT18" s="466"/>
      <c r="AU18" s="150"/>
      <c r="AV18" s="487"/>
      <c r="AW18" s="150"/>
      <c r="AX18" s="150">
        <v>320</v>
      </c>
      <c r="AY18" s="466">
        <v>400</v>
      </c>
      <c r="AZ18" s="466">
        <v>590</v>
      </c>
      <c r="BA18" s="150"/>
      <c r="BB18" s="150"/>
      <c r="BC18" s="466"/>
      <c r="BD18" s="466"/>
      <c r="BE18" s="466">
        <v>300</v>
      </c>
      <c r="BF18" s="466">
        <v>466.25</v>
      </c>
      <c r="BG18" s="150"/>
      <c r="BH18" s="150"/>
      <c r="BI18" s="150"/>
      <c r="BJ18" s="466">
        <v>260</v>
      </c>
      <c r="BK18" s="152"/>
      <c r="BL18" s="160"/>
      <c r="BM18" s="150"/>
      <c r="BN18" s="466">
        <v>280</v>
      </c>
      <c r="BO18" s="150"/>
      <c r="BP18" s="516"/>
      <c r="BQ18" s="160"/>
      <c r="BR18" s="152"/>
      <c r="BS18" s="160"/>
    </row>
    <row r="19" spans="1:71" x14ac:dyDescent="0.3">
      <c r="A19" s="420">
        <f>DL!A16</f>
        <v>9</v>
      </c>
      <c r="B19" s="16" t="s">
        <v>8</v>
      </c>
      <c r="C19" s="149">
        <v>20</v>
      </c>
      <c r="D19" s="149">
        <f>DL!C16</f>
        <v>10</v>
      </c>
      <c r="E19" s="150"/>
      <c r="F19" s="463"/>
      <c r="G19" s="150"/>
      <c r="H19" s="150"/>
      <c r="I19" s="466"/>
      <c r="J19" s="150"/>
      <c r="K19" s="168"/>
      <c r="L19" s="466"/>
      <c r="M19" s="150"/>
      <c r="N19" s="466"/>
      <c r="O19" s="150"/>
      <c r="P19" s="150"/>
      <c r="Q19" s="150"/>
      <c r="R19" s="472"/>
      <c r="S19" s="466"/>
      <c r="T19" s="150"/>
      <c r="U19" s="159"/>
      <c r="V19" s="150"/>
      <c r="W19" s="168"/>
      <c r="X19" s="150"/>
      <c r="Y19" s="466"/>
      <c r="Z19" s="455"/>
      <c r="AA19" s="150"/>
      <c r="AB19" s="490"/>
      <c r="AC19" s="150"/>
      <c r="AD19" s="150"/>
      <c r="AE19" s="466"/>
      <c r="AF19" s="499"/>
      <c r="AG19" s="150"/>
      <c r="AH19" s="150"/>
      <c r="AI19" s="150"/>
      <c r="AJ19" s="150"/>
      <c r="AK19" s="150"/>
      <c r="AL19" s="150"/>
      <c r="AM19" s="150"/>
      <c r="AN19" s="466"/>
      <c r="AO19" s="466"/>
      <c r="AP19" s="150"/>
      <c r="AQ19" s="150"/>
      <c r="AR19" s="151"/>
      <c r="AS19" s="456"/>
      <c r="AT19" s="466"/>
      <c r="AU19" s="150"/>
      <c r="AV19" s="487"/>
      <c r="AW19" s="150"/>
      <c r="AX19" s="150"/>
      <c r="AY19" s="466"/>
      <c r="AZ19" s="466"/>
      <c r="BA19" s="150">
        <v>8650</v>
      </c>
      <c r="BB19" s="150"/>
      <c r="BC19" s="466"/>
      <c r="BD19" s="466"/>
      <c r="BE19" s="466"/>
      <c r="BF19" s="466"/>
      <c r="BG19" s="150"/>
      <c r="BH19" s="150"/>
      <c r="BI19" s="150"/>
      <c r="BJ19" s="466"/>
      <c r="BK19" s="152"/>
      <c r="BL19" s="160"/>
      <c r="BM19" s="150"/>
      <c r="BN19" s="466"/>
      <c r="BO19" s="150"/>
      <c r="BP19" s="516"/>
      <c r="BQ19" s="160"/>
      <c r="BR19" s="152"/>
      <c r="BS19" s="160"/>
    </row>
    <row r="20" spans="1:71" x14ac:dyDescent="0.3">
      <c r="A20" s="420">
        <f>DL!A17</f>
        <v>10</v>
      </c>
      <c r="B20" s="16" t="s">
        <v>9</v>
      </c>
      <c r="C20" s="149">
        <f>DL!L17</f>
        <v>750</v>
      </c>
      <c r="D20" s="149">
        <f>DL!C17</f>
        <v>6</v>
      </c>
      <c r="E20" s="150"/>
      <c r="F20" s="463"/>
      <c r="G20" s="150"/>
      <c r="H20" s="150"/>
      <c r="I20" s="466"/>
      <c r="J20" s="150"/>
      <c r="K20" s="168"/>
      <c r="L20" s="466"/>
      <c r="M20" s="150"/>
      <c r="N20" s="466"/>
      <c r="O20" s="150"/>
      <c r="P20" s="150"/>
      <c r="Q20" s="150"/>
      <c r="R20" s="472"/>
      <c r="S20" s="466">
        <v>440</v>
      </c>
      <c r="T20" s="150"/>
      <c r="U20" s="150"/>
      <c r="V20" s="150"/>
      <c r="W20" s="168"/>
      <c r="X20" s="150"/>
      <c r="Y20" s="466"/>
      <c r="Z20" s="455"/>
      <c r="AA20" s="150">
        <v>450</v>
      </c>
      <c r="AB20" s="490"/>
      <c r="AC20" s="150"/>
      <c r="AD20" s="150"/>
      <c r="AE20" s="466">
        <v>560</v>
      </c>
      <c r="AF20" s="499"/>
      <c r="AG20" s="150">
        <v>550</v>
      </c>
      <c r="AH20" s="150"/>
      <c r="AI20" s="150"/>
      <c r="AJ20" s="150"/>
      <c r="AK20" s="150"/>
      <c r="AL20" s="150"/>
      <c r="AM20" s="150"/>
      <c r="AN20" s="466"/>
      <c r="AO20" s="466"/>
      <c r="AP20" s="150"/>
      <c r="AQ20" s="150"/>
      <c r="AR20" s="151"/>
      <c r="AS20" s="456"/>
      <c r="AT20" s="466"/>
      <c r="AU20" s="150"/>
      <c r="AV20" s="487"/>
      <c r="AW20" s="150"/>
      <c r="AX20" s="150"/>
      <c r="AY20" s="466"/>
      <c r="AZ20" s="466"/>
      <c r="BA20" s="150"/>
      <c r="BB20" s="150"/>
      <c r="BC20" s="466"/>
      <c r="BD20" s="466"/>
      <c r="BE20" s="466"/>
      <c r="BF20" s="466"/>
      <c r="BG20" s="150"/>
      <c r="BH20" s="150"/>
      <c r="BI20" s="150"/>
      <c r="BJ20" s="466"/>
      <c r="BK20" s="152"/>
      <c r="BL20" s="160"/>
      <c r="BM20" s="150"/>
      <c r="BN20" s="466"/>
      <c r="BO20" s="150"/>
      <c r="BP20" s="516">
        <v>2500</v>
      </c>
      <c r="BQ20" s="160"/>
      <c r="BR20" s="152"/>
      <c r="BS20" s="160"/>
    </row>
    <row r="21" spans="1:71" x14ac:dyDescent="0.3">
      <c r="A21" s="420">
        <f>DL!A18</f>
        <v>11</v>
      </c>
      <c r="B21" s="16" t="s">
        <v>10</v>
      </c>
      <c r="C21" s="149">
        <f>DL!L18</f>
        <v>200</v>
      </c>
      <c r="D21" s="149" t="str">
        <f>DL!C18</f>
        <v>BOTT</v>
      </c>
      <c r="E21" s="150"/>
      <c r="F21" s="463"/>
      <c r="G21" s="150"/>
      <c r="H21" s="150"/>
      <c r="I21" s="466"/>
      <c r="J21" s="150"/>
      <c r="K21" s="168"/>
      <c r="L21" s="466"/>
      <c r="M21" s="150"/>
      <c r="N21" s="466"/>
      <c r="O21" s="150"/>
      <c r="P21" s="150"/>
      <c r="Q21" s="150"/>
      <c r="R21" s="472"/>
      <c r="S21" s="466">
        <v>320</v>
      </c>
      <c r="T21" s="150"/>
      <c r="U21" s="150"/>
      <c r="V21" s="150">
        <v>440</v>
      </c>
      <c r="W21" s="168"/>
      <c r="X21" s="150"/>
      <c r="Y21" s="466"/>
      <c r="Z21" s="455"/>
      <c r="AA21" s="150">
        <v>530</v>
      </c>
      <c r="AB21" s="490"/>
      <c r="AC21" s="150"/>
      <c r="AD21" s="150"/>
      <c r="AE21" s="466"/>
      <c r="AF21" s="499"/>
      <c r="AG21" s="150"/>
      <c r="AH21" s="150"/>
      <c r="AI21" s="150"/>
      <c r="AJ21" s="150"/>
      <c r="AK21" s="150"/>
      <c r="AL21" s="150"/>
      <c r="AM21" s="150"/>
      <c r="AN21" s="466"/>
      <c r="AO21" s="466"/>
      <c r="AP21" s="150"/>
      <c r="AQ21" s="150"/>
      <c r="AR21" s="151"/>
      <c r="AS21" s="456"/>
      <c r="AT21" s="466"/>
      <c r="AU21" s="150"/>
      <c r="AV21" s="487"/>
      <c r="AW21" s="150"/>
      <c r="AX21" s="150"/>
      <c r="AY21" s="466"/>
      <c r="AZ21" s="466"/>
      <c r="BA21" s="150"/>
      <c r="BB21" s="150"/>
      <c r="BC21" s="466"/>
      <c r="BD21" s="466"/>
      <c r="BE21" s="466">
        <v>650</v>
      </c>
      <c r="BF21" s="466"/>
      <c r="BG21" s="150"/>
      <c r="BH21" s="150"/>
      <c r="BI21" s="150"/>
      <c r="BJ21" s="466"/>
      <c r="BK21" s="152"/>
      <c r="BL21" s="160"/>
      <c r="BM21" s="150"/>
      <c r="BN21" s="466"/>
      <c r="BO21" s="150"/>
      <c r="BP21" s="516"/>
      <c r="BQ21" s="160"/>
      <c r="BR21" s="152"/>
      <c r="BS21" s="160"/>
    </row>
    <row r="22" spans="1:71" x14ac:dyDescent="0.3">
      <c r="A22" s="420">
        <f>DL!A19</f>
        <v>12</v>
      </c>
      <c r="B22" s="16" t="s">
        <v>11</v>
      </c>
      <c r="C22" s="149">
        <f>DL!L19</f>
        <v>500</v>
      </c>
      <c r="D22" s="149">
        <f>DL!C19</f>
        <v>9</v>
      </c>
      <c r="E22" s="150"/>
      <c r="F22" s="463"/>
      <c r="G22" s="150"/>
      <c r="H22" s="150"/>
      <c r="I22" s="466"/>
      <c r="J22" s="150"/>
      <c r="K22" s="168"/>
      <c r="L22" s="466"/>
      <c r="M22" s="150"/>
      <c r="N22" s="466"/>
      <c r="O22" s="150"/>
      <c r="P22" s="150"/>
      <c r="Q22" s="150"/>
      <c r="R22" s="472"/>
      <c r="S22" s="466">
        <v>350</v>
      </c>
      <c r="T22" s="150"/>
      <c r="U22" s="150"/>
      <c r="V22" s="150">
        <v>385</v>
      </c>
      <c r="W22" s="168"/>
      <c r="X22" s="150"/>
      <c r="Y22" s="466"/>
      <c r="Z22" s="455"/>
      <c r="AA22" s="150">
        <v>600</v>
      </c>
      <c r="AB22" s="490"/>
      <c r="AC22" s="150"/>
      <c r="AD22" s="150"/>
      <c r="AE22" s="466"/>
      <c r="AF22" s="499"/>
      <c r="AG22" s="150">
        <v>420</v>
      </c>
      <c r="AH22" s="150"/>
      <c r="AI22" s="150"/>
      <c r="AJ22" s="150"/>
      <c r="AK22" s="150">
        <v>481.5</v>
      </c>
      <c r="AL22" s="150"/>
      <c r="AM22" s="150"/>
      <c r="AN22" s="466"/>
      <c r="AO22" s="466"/>
      <c r="AP22" s="150"/>
      <c r="AQ22" s="150"/>
      <c r="AR22" s="151"/>
      <c r="AS22" s="456"/>
      <c r="AT22" s="466"/>
      <c r="AU22" s="150"/>
      <c r="AV22" s="487"/>
      <c r="AW22" s="150"/>
      <c r="AX22" s="150"/>
      <c r="AY22" s="466"/>
      <c r="AZ22" s="466"/>
      <c r="BA22" s="150"/>
      <c r="BB22" s="150">
        <v>420</v>
      </c>
      <c r="BC22" s="466"/>
      <c r="BD22" s="466"/>
      <c r="BE22" s="466">
        <v>600</v>
      </c>
      <c r="BF22" s="466"/>
      <c r="BG22" s="150"/>
      <c r="BH22" s="150"/>
      <c r="BI22" s="150"/>
      <c r="BJ22" s="466"/>
      <c r="BK22" s="152"/>
      <c r="BL22" s="160"/>
      <c r="BM22" s="150"/>
      <c r="BN22" s="466"/>
      <c r="BO22" s="150"/>
      <c r="BP22" s="516"/>
      <c r="BQ22" s="160"/>
      <c r="BR22" s="152"/>
      <c r="BS22" s="160"/>
    </row>
    <row r="23" spans="1:71" x14ac:dyDescent="0.3">
      <c r="A23" s="420">
        <f>DL!A20</f>
        <v>13</v>
      </c>
      <c r="B23" s="16" t="s">
        <v>695</v>
      </c>
      <c r="C23" s="149">
        <v>2000</v>
      </c>
      <c r="D23" s="149">
        <f>DL!C20</f>
        <v>4</v>
      </c>
      <c r="E23" s="150"/>
      <c r="F23" s="463"/>
      <c r="G23" s="150"/>
      <c r="H23" s="150"/>
      <c r="I23" s="466"/>
      <c r="J23" s="150"/>
      <c r="K23" s="168"/>
      <c r="L23" s="466"/>
      <c r="M23" s="150"/>
      <c r="N23" s="466"/>
      <c r="O23" s="150"/>
      <c r="P23" s="150"/>
      <c r="Q23" s="150"/>
      <c r="R23" s="472"/>
      <c r="S23" s="466"/>
      <c r="T23" s="150"/>
      <c r="U23" s="150"/>
      <c r="V23" s="150"/>
      <c r="W23" s="168"/>
      <c r="X23" s="150"/>
      <c r="Y23" s="466"/>
      <c r="Z23" s="455"/>
      <c r="AA23" s="150"/>
      <c r="AB23" s="490"/>
      <c r="AC23" s="150"/>
      <c r="AD23" s="150"/>
      <c r="AE23" s="466"/>
      <c r="AF23" s="499"/>
      <c r="AG23" s="150"/>
      <c r="AH23" s="150"/>
      <c r="AI23" s="150"/>
      <c r="AJ23" s="150"/>
      <c r="AK23" s="150"/>
      <c r="AL23" s="150"/>
      <c r="AM23" s="150"/>
      <c r="AN23" s="466"/>
      <c r="AO23" s="466"/>
      <c r="AP23" s="150"/>
      <c r="AQ23" s="150"/>
      <c r="AR23" s="151"/>
      <c r="AS23" s="456"/>
      <c r="AT23" s="466"/>
      <c r="AU23" s="150"/>
      <c r="AV23" s="487"/>
      <c r="AW23" s="150"/>
      <c r="AX23" s="150"/>
      <c r="AY23" s="466"/>
      <c r="AZ23" s="466"/>
      <c r="BA23" s="150"/>
      <c r="BB23" s="150"/>
      <c r="BC23" s="466"/>
      <c r="BD23" s="466"/>
      <c r="BE23" s="466"/>
      <c r="BF23" s="466"/>
      <c r="BG23" s="150"/>
      <c r="BH23" s="150"/>
      <c r="BI23" s="150"/>
      <c r="BJ23" s="466"/>
      <c r="BK23" s="152"/>
      <c r="BL23" s="160"/>
      <c r="BM23" s="150"/>
      <c r="BN23" s="466"/>
      <c r="BO23" s="150"/>
      <c r="BP23" s="516"/>
      <c r="BQ23" s="160"/>
      <c r="BR23" s="152"/>
      <c r="BS23" s="160"/>
    </row>
    <row r="24" spans="1:71" x14ac:dyDescent="0.3">
      <c r="A24" s="420">
        <f>DL!A21</f>
        <v>14</v>
      </c>
      <c r="B24" s="16" t="s">
        <v>12</v>
      </c>
      <c r="C24" s="149">
        <f>DL!L21</f>
        <v>200</v>
      </c>
      <c r="D24" s="149">
        <f>DL!C21</f>
        <v>100</v>
      </c>
      <c r="E24" s="150"/>
      <c r="F24" s="463"/>
      <c r="G24" s="150"/>
      <c r="H24" s="150"/>
      <c r="I24" s="466"/>
      <c r="J24" s="150"/>
      <c r="K24" s="168"/>
      <c r="L24" s="466"/>
      <c r="M24" s="150"/>
      <c r="N24" s="466"/>
      <c r="O24" s="150"/>
      <c r="P24" s="150"/>
      <c r="Q24" s="150"/>
      <c r="R24" s="472"/>
      <c r="S24" s="466">
        <v>700</v>
      </c>
      <c r="T24" s="150"/>
      <c r="U24" s="150"/>
      <c r="V24" s="150"/>
      <c r="W24" s="168"/>
      <c r="X24" s="150"/>
      <c r="Y24" s="466"/>
      <c r="Z24" s="455"/>
      <c r="AA24" s="150"/>
      <c r="AB24" s="490"/>
      <c r="AC24" s="150"/>
      <c r="AD24" s="150"/>
      <c r="AE24" s="466"/>
      <c r="AF24" s="499"/>
      <c r="AG24" s="150">
        <v>1400</v>
      </c>
      <c r="AH24" s="150"/>
      <c r="AI24" s="150"/>
      <c r="AJ24" s="150"/>
      <c r="AK24" s="150"/>
      <c r="AL24" s="150"/>
      <c r="AM24" s="150"/>
      <c r="AN24" s="466"/>
      <c r="AO24" s="466"/>
      <c r="AP24" s="150"/>
      <c r="AQ24" s="150"/>
      <c r="AR24" s="151"/>
      <c r="AS24" s="456"/>
      <c r="AT24" s="466"/>
      <c r="AU24" s="150"/>
      <c r="AV24" s="487"/>
      <c r="AW24" s="150"/>
      <c r="AX24" s="150"/>
      <c r="AY24" s="466"/>
      <c r="AZ24" s="466"/>
      <c r="BA24" s="150"/>
      <c r="BB24" s="150">
        <v>1943</v>
      </c>
      <c r="BC24" s="466"/>
      <c r="BD24" s="466"/>
      <c r="BE24" s="466"/>
      <c r="BF24" s="466"/>
      <c r="BG24" s="150"/>
      <c r="BH24" s="150"/>
      <c r="BI24" s="150"/>
      <c r="BJ24" s="466"/>
      <c r="BK24" s="152"/>
      <c r="BL24" s="160"/>
      <c r="BM24" s="150"/>
      <c r="BN24" s="466"/>
      <c r="BO24" s="150"/>
      <c r="BP24" s="516"/>
      <c r="BQ24" s="160"/>
      <c r="BR24" s="152"/>
      <c r="BS24" s="160"/>
    </row>
    <row r="25" spans="1:71" x14ac:dyDescent="0.3">
      <c r="A25" s="420">
        <f>DL!A22</f>
        <v>15</v>
      </c>
      <c r="B25" s="16" t="s">
        <v>690</v>
      </c>
      <c r="C25" s="149">
        <f>DL!L22</f>
        <v>4</v>
      </c>
      <c r="D25" s="149">
        <f>DL!C22</f>
        <v>500</v>
      </c>
      <c r="E25" s="150"/>
      <c r="F25" s="463"/>
      <c r="G25" s="150"/>
      <c r="H25" s="150"/>
      <c r="I25" s="466"/>
      <c r="J25" s="150"/>
      <c r="K25" s="168"/>
      <c r="L25" s="466"/>
      <c r="M25" s="150"/>
      <c r="N25" s="466"/>
      <c r="O25" s="150"/>
      <c r="P25" s="150"/>
      <c r="Q25" s="150"/>
      <c r="R25" s="472"/>
      <c r="S25" s="466">
        <v>1200</v>
      </c>
      <c r="T25" s="150"/>
      <c r="U25" s="150"/>
      <c r="V25" s="150"/>
      <c r="W25" s="168"/>
      <c r="X25" s="150"/>
      <c r="Y25" s="466"/>
      <c r="Z25" s="455"/>
      <c r="AA25" s="150"/>
      <c r="AB25" s="490"/>
      <c r="AC25" s="150"/>
      <c r="AD25" s="150"/>
      <c r="AE25" s="466"/>
      <c r="AF25" s="499"/>
      <c r="AG25" s="150"/>
      <c r="AH25" s="150"/>
      <c r="AI25" s="150"/>
      <c r="AJ25" s="150"/>
      <c r="AK25" s="150"/>
      <c r="AL25" s="150"/>
      <c r="AM25" s="150"/>
      <c r="AN25" s="466"/>
      <c r="AO25" s="466"/>
      <c r="AP25" s="150"/>
      <c r="AQ25" s="150"/>
      <c r="AR25" s="151"/>
      <c r="AS25" s="456"/>
      <c r="AT25" s="466"/>
      <c r="AU25" s="150"/>
      <c r="AV25" s="487"/>
      <c r="AW25" s="150"/>
      <c r="AX25" s="150"/>
      <c r="AY25" s="466"/>
      <c r="AZ25" s="466"/>
      <c r="BA25" s="150"/>
      <c r="BB25" s="150"/>
      <c r="BC25" s="466"/>
      <c r="BD25" s="466"/>
      <c r="BE25" s="466"/>
      <c r="BF25" s="466"/>
      <c r="BG25" s="150"/>
      <c r="BH25" s="150"/>
      <c r="BI25" s="150"/>
      <c r="BJ25" s="466"/>
      <c r="BK25" s="152"/>
      <c r="BL25" s="160"/>
      <c r="BM25" s="150"/>
      <c r="BN25" s="466"/>
      <c r="BO25" s="150"/>
      <c r="BP25" s="516"/>
      <c r="BQ25" s="160"/>
      <c r="BR25" s="152"/>
      <c r="BS25" s="160"/>
    </row>
    <row r="26" spans="1:71" x14ac:dyDescent="0.3">
      <c r="A26" s="420">
        <f>DL!A23</f>
        <v>16</v>
      </c>
      <c r="B26" s="16" t="s">
        <v>13</v>
      </c>
      <c r="C26" s="149">
        <f>DL!L23</f>
        <v>40</v>
      </c>
      <c r="D26" s="149" t="str">
        <f>DL!C23</f>
        <v>BOTT</v>
      </c>
      <c r="E26" s="150"/>
      <c r="F26" s="463"/>
      <c r="G26" s="150"/>
      <c r="H26" s="150"/>
      <c r="I26" s="466"/>
      <c r="J26" s="150"/>
      <c r="K26" s="168"/>
      <c r="L26" s="466"/>
      <c r="M26" s="150"/>
      <c r="N26" s="466"/>
      <c r="O26" s="150"/>
      <c r="P26" s="150"/>
      <c r="Q26" s="150"/>
      <c r="R26" s="472"/>
      <c r="S26" s="466">
        <v>480</v>
      </c>
      <c r="T26" s="150"/>
      <c r="U26" s="150"/>
      <c r="V26" s="150"/>
      <c r="W26" s="168"/>
      <c r="X26" s="150"/>
      <c r="Y26" s="466"/>
      <c r="Z26" s="455"/>
      <c r="AA26" s="150"/>
      <c r="AB26" s="490"/>
      <c r="AC26" s="150"/>
      <c r="AD26" s="150"/>
      <c r="AE26" s="466"/>
      <c r="AF26" s="499"/>
      <c r="AG26" s="150"/>
      <c r="AH26" s="150"/>
      <c r="AI26" s="150"/>
      <c r="AJ26" s="150"/>
      <c r="AK26" s="150"/>
      <c r="AL26" s="150"/>
      <c r="AM26" s="150"/>
      <c r="AN26" s="466"/>
      <c r="AO26" s="466"/>
      <c r="AP26" s="150"/>
      <c r="AQ26" s="150"/>
      <c r="AR26" s="151"/>
      <c r="AS26" s="456"/>
      <c r="AT26" s="466"/>
      <c r="AU26" s="150"/>
      <c r="AV26" s="487"/>
      <c r="AW26" s="150"/>
      <c r="AX26" s="150"/>
      <c r="AY26" s="466"/>
      <c r="AZ26" s="466"/>
      <c r="BA26" s="150"/>
      <c r="BB26" s="150"/>
      <c r="BC26" s="466"/>
      <c r="BD26" s="466"/>
      <c r="BE26" s="466"/>
      <c r="BF26" s="466"/>
      <c r="BG26" s="150"/>
      <c r="BH26" s="150"/>
      <c r="BI26" s="150"/>
      <c r="BJ26" s="466"/>
      <c r="BK26" s="152"/>
      <c r="BL26" s="160"/>
      <c r="BM26" s="150"/>
      <c r="BN26" s="466"/>
      <c r="BO26" s="150"/>
      <c r="BP26" s="516"/>
      <c r="BQ26" s="160"/>
      <c r="BR26" s="152"/>
      <c r="BS26" s="160"/>
    </row>
    <row r="27" spans="1:71" x14ac:dyDescent="0.3">
      <c r="A27" s="420">
        <f>DL!A24</f>
        <v>17</v>
      </c>
      <c r="B27" s="16" t="s">
        <v>14</v>
      </c>
      <c r="C27" s="149">
        <f>DL!L24</f>
        <v>1</v>
      </c>
      <c r="D27" s="149">
        <f>DL!C24</f>
        <v>100</v>
      </c>
      <c r="E27" s="150"/>
      <c r="F27" s="463"/>
      <c r="G27" s="150"/>
      <c r="H27" s="150"/>
      <c r="I27" s="466"/>
      <c r="J27" s="150"/>
      <c r="K27" s="168"/>
      <c r="L27" s="466"/>
      <c r="M27" s="150"/>
      <c r="N27" s="466"/>
      <c r="O27" s="150"/>
      <c r="P27" s="150"/>
      <c r="Q27" s="159"/>
      <c r="R27" s="472"/>
      <c r="S27" s="466">
        <v>6200</v>
      </c>
      <c r="T27" s="159"/>
      <c r="U27" s="150"/>
      <c r="V27" s="150"/>
      <c r="W27" s="168"/>
      <c r="X27" s="150"/>
      <c r="Y27" s="466"/>
      <c r="Z27" s="455"/>
      <c r="AA27" s="150"/>
      <c r="AB27" s="490"/>
      <c r="AC27" s="150"/>
      <c r="AD27" s="150"/>
      <c r="AE27" s="466"/>
      <c r="AF27" s="499"/>
      <c r="AG27" s="150"/>
      <c r="AH27" s="150"/>
      <c r="AI27" s="150"/>
      <c r="AJ27" s="150"/>
      <c r="AK27" s="150"/>
      <c r="AL27" s="150"/>
      <c r="AM27" s="150"/>
      <c r="AN27" s="466"/>
      <c r="AO27" s="466"/>
      <c r="AP27" s="150"/>
      <c r="AQ27" s="150"/>
      <c r="AR27" s="151"/>
      <c r="AS27" s="456"/>
      <c r="AT27" s="466"/>
      <c r="AU27" s="150"/>
      <c r="AV27" s="487"/>
      <c r="AW27" s="150"/>
      <c r="AX27" s="150"/>
      <c r="AY27" s="466"/>
      <c r="AZ27" s="466"/>
      <c r="BA27" s="150"/>
      <c r="BB27" s="150"/>
      <c r="BC27" s="466"/>
      <c r="BD27" s="466"/>
      <c r="BE27" s="466"/>
      <c r="BF27" s="466"/>
      <c r="BG27" s="150"/>
      <c r="BH27" s="150"/>
      <c r="BI27" s="150"/>
      <c r="BJ27" s="466"/>
      <c r="BK27" s="152"/>
      <c r="BL27" s="160"/>
      <c r="BM27" s="150"/>
      <c r="BN27" s="466"/>
      <c r="BO27" s="150"/>
      <c r="BP27" s="516"/>
      <c r="BQ27" s="160"/>
      <c r="BR27" s="152"/>
      <c r="BS27" s="160"/>
    </row>
    <row r="28" spans="1:71" x14ac:dyDescent="0.3">
      <c r="A28" s="420">
        <f>DL!A25</f>
        <v>18</v>
      </c>
      <c r="B28" s="16" t="s">
        <v>15</v>
      </c>
      <c r="C28" s="149">
        <f>DL!L25</f>
        <v>20</v>
      </c>
      <c r="D28" s="149">
        <f>DL!C25</f>
        <v>50</v>
      </c>
      <c r="E28" s="150"/>
      <c r="F28" s="463"/>
      <c r="G28" s="150"/>
      <c r="H28" s="150"/>
      <c r="I28" s="466"/>
      <c r="J28" s="150">
        <v>3000</v>
      </c>
      <c r="K28" s="168"/>
      <c r="L28" s="466"/>
      <c r="M28" s="150"/>
      <c r="N28" s="466"/>
      <c r="O28" s="150"/>
      <c r="P28" s="150">
        <v>2900</v>
      </c>
      <c r="Q28" s="150"/>
      <c r="R28" s="661">
        <f>50*87.68802</f>
        <v>4384.4009999999998</v>
      </c>
      <c r="S28" s="466">
        <v>3000</v>
      </c>
      <c r="T28" s="150"/>
      <c r="U28" s="150"/>
      <c r="V28" s="150"/>
      <c r="W28" s="168"/>
      <c r="X28" s="150"/>
      <c r="Y28" s="466"/>
      <c r="Z28" s="455"/>
      <c r="AA28" s="150"/>
      <c r="AB28" s="490"/>
      <c r="AC28" s="150"/>
      <c r="AD28" s="150"/>
      <c r="AE28" s="466"/>
      <c r="AF28" s="499"/>
      <c r="AG28" s="150"/>
      <c r="AH28" s="150"/>
      <c r="AI28" s="150"/>
      <c r="AJ28" s="150"/>
      <c r="AK28" s="150"/>
      <c r="AL28" s="150"/>
      <c r="AM28" s="150"/>
      <c r="AN28" s="466"/>
      <c r="AO28" s="466"/>
      <c r="AP28" s="150"/>
      <c r="AQ28" s="150"/>
      <c r="AR28" s="151"/>
      <c r="AS28" s="456"/>
      <c r="AT28" s="466"/>
      <c r="AU28" s="150"/>
      <c r="AV28" s="487"/>
      <c r="AW28" s="150"/>
      <c r="AX28" s="150">
        <v>4000</v>
      </c>
      <c r="AY28" s="466"/>
      <c r="AZ28" s="466"/>
      <c r="BA28" s="150"/>
      <c r="BB28" s="150"/>
      <c r="BC28" s="466"/>
      <c r="BD28" s="466">
        <v>3300</v>
      </c>
      <c r="BE28" s="466"/>
      <c r="BF28" s="470">
        <f>50*106.73</f>
        <v>5336.5</v>
      </c>
      <c r="BG28" s="150"/>
      <c r="BH28" s="150"/>
      <c r="BI28" s="150"/>
      <c r="BJ28" s="466"/>
      <c r="BK28" s="152"/>
      <c r="BL28" s="160"/>
      <c r="BM28" s="150"/>
      <c r="BN28" s="466"/>
      <c r="BO28" s="150"/>
      <c r="BP28" s="516"/>
      <c r="BQ28" s="160"/>
      <c r="BR28" s="152"/>
      <c r="BS28" s="160"/>
    </row>
    <row r="29" spans="1:71" x14ac:dyDescent="0.3">
      <c r="A29" s="420"/>
      <c r="B29" s="16"/>
      <c r="C29" s="149">
        <f>DL!L26</f>
        <v>0</v>
      </c>
      <c r="D29" s="149">
        <f>DL!C26</f>
        <v>0</v>
      </c>
      <c r="E29" s="150"/>
      <c r="F29" s="463"/>
      <c r="G29" s="150"/>
      <c r="H29" s="150"/>
      <c r="I29" s="466"/>
      <c r="J29" s="150"/>
      <c r="K29" s="168"/>
      <c r="L29" s="466"/>
      <c r="M29" s="150"/>
      <c r="N29" s="466"/>
      <c r="O29" s="150"/>
      <c r="P29" s="150"/>
      <c r="Q29" s="150"/>
      <c r="R29" s="472"/>
      <c r="S29" s="466"/>
      <c r="T29" s="150"/>
      <c r="U29" s="150"/>
      <c r="V29" s="150"/>
      <c r="W29" s="168"/>
      <c r="X29" s="150"/>
      <c r="Y29" s="466"/>
      <c r="Z29" s="455"/>
      <c r="AA29" s="150"/>
      <c r="AB29" s="490"/>
      <c r="AC29" s="150"/>
      <c r="AD29" s="150"/>
      <c r="AE29" s="466"/>
      <c r="AF29" s="499"/>
      <c r="AG29" s="150"/>
      <c r="AH29" s="150"/>
      <c r="AI29" s="150"/>
      <c r="AJ29" s="150"/>
      <c r="AK29" s="150"/>
      <c r="AL29" s="150"/>
      <c r="AM29" s="150"/>
      <c r="AN29" s="466"/>
      <c r="AO29" s="466"/>
      <c r="AP29" s="150"/>
      <c r="AQ29" s="150"/>
      <c r="AR29" s="151"/>
      <c r="AS29" s="456"/>
      <c r="AT29" s="466"/>
      <c r="AU29" s="150"/>
      <c r="AV29" s="487"/>
      <c r="AW29" s="150"/>
      <c r="AX29" s="150"/>
      <c r="AY29" s="466"/>
      <c r="AZ29" s="466"/>
      <c r="BA29" s="150"/>
      <c r="BB29" s="150"/>
      <c r="BC29" s="466"/>
      <c r="BD29" s="466"/>
      <c r="BE29" s="466"/>
      <c r="BF29" s="466"/>
      <c r="BG29" s="150"/>
      <c r="BH29" s="150"/>
      <c r="BI29" s="150"/>
      <c r="BJ29" s="466"/>
      <c r="BK29" s="152"/>
      <c r="BL29" s="160"/>
      <c r="BM29" s="150"/>
      <c r="BN29" s="466"/>
      <c r="BO29" s="150"/>
      <c r="BP29" s="516"/>
      <c r="BQ29" s="160"/>
      <c r="BR29" s="152"/>
      <c r="BS29" s="160"/>
    </row>
    <row r="30" spans="1:71" x14ac:dyDescent="0.3">
      <c r="A30" s="420"/>
      <c r="B30" s="16"/>
      <c r="C30" s="149">
        <f>DL!L27</f>
        <v>0</v>
      </c>
      <c r="D30" s="149">
        <f>DL!C27</f>
        <v>0</v>
      </c>
      <c r="E30" s="150"/>
      <c r="F30" s="463"/>
      <c r="G30" s="150"/>
      <c r="H30" s="150"/>
      <c r="I30" s="466"/>
      <c r="J30" s="150"/>
      <c r="K30" s="168"/>
      <c r="L30" s="466"/>
      <c r="M30" s="150"/>
      <c r="N30" s="466"/>
      <c r="O30" s="150"/>
      <c r="P30" s="150"/>
      <c r="Q30" s="150"/>
      <c r="R30" s="472"/>
      <c r="S30" s="466"/>
      <c r="T30" s="150"/>
      <c r="U30" s="150"/>
      <c r="V30" s="150"/>
      <c r="W30" s="168"/>
      <c r="X30" s="150"/>
      <c r="Y30" s="466"/>
      <c r="Z30" s="455"/>
      <c r="AA30" s="150"/>
      <c r="AB30" s="490"/>
      <c r="AC30" s="150"/>
      <c r="AD30" s="150"/>
      <c r="AE30" s="466"/>
      <c r="AF30" s="499"/>
      <c r="AG30" s="150"/>
      <c r="AH30" s="150"/>
      <c r="AI30" s="150"/>
      <c r="AJ30" s="150"/>
      <c r="AK30" s="150"/>
      <c r="AL30" s="150"/>
      <c r="AM30" s="150"/>
      <c r="AN30" s="466"/>
      <c r="AO30" s="466"/>
      <c r="AP30" s="150"/>
      <c r="AQ30" s="150"/>
      <c r="AR30" s="151"/>
      <c r="AS30" s="456"/>
      <c r="AT30" s="466"/>
      <c r="AU30" s="150"/>
      <c r="AV30" s="487"/>
      <c r="AW30" s="150"/>
      <c r="AX30" s="150"/>
      <c r="AY30" s="466"/>
      <c r="AZ30" s="466"/>
      <c r="BA30" s="150"/>
      <c r="BB30" s="150"/>
      <c r="BC30" s="466"/>
      <c r="BD30" s="466"/>
      <c r="BE30" s="466"/>
      <c r="BF30" s="466"/>
      <c r="BG30" s="150"/>
      <c r="BH30" s="150"/>
      <c r="BI30" s="150"/>
      <c r="BJ30" s="466"/>
      <c r="BK30" s="152"/>
      <c r="BL30" s="160"/>
      <c r="BM30" s="150"/>
      <c r="BN30" s="466"/>
      <c r="BO30" s="150"/>
      <c r="BP30" s="516"/>
      <c r="BQ30" s="160"/>
      <c r="BR30" s="152"/>
      <c r="BS30" s="160"/>
    </row>
    <row r="31" spans="1:71" x14ac:dyDescent="0.3">
      <c r="A31" s="420" t="str">
        <f>DL!A28</f>
        <v>LOT 2</v>
      </c>
      <c r="B31" s="16" t="s">
        <v>17</v>
      </c>
      <c r="C31" s="149">
        <f>DL!L28</f>
        <v>0</v>
      </c>
      <c r="D31" s="149">
        <f>DL!C28</f>
        <v>0</v>
      </c>
      <c r="E31" s="150"/>
      <c r="F31" s="463"/>
      <c r="G31" s="150"/>
      <c r="H31" s="150"/>
      <c r="I31" s="466"/>
      <c r="J31" s="150"/>
      <c r="K31" s="168"/>
      <c r="L31" s="466"/>
      <c r="M31" s="150"/>
      <c r="N31" s="466"/>
      <c r="O31" s="150"/>
      <c r="P31" s="150"/>
      <c r="Q31" s="150"/>
      <c r="R31" s="472"/>
      <c r="S31" s="466"/>
      <c r="T31" s="150"/>
      <c r="U31" s="150"/>
      <c r="V31" s="150"/>
      <c r="W31" s="168"/>
      <c r="X31" s="150"/>
      <c r="Y31" s="466"/>
      <c r="Z31" s="455"/>
      <c r="AA31" s="150"/>
      <c r="AB31" s="490"/>
      <c r="AC31" s="150"/>
      <c r="AD31" s="150"/>
      <c r="AE31" s="466"/>
      <c r="AF31" s="499"/>
      <c r="AG31" s="150"/>
      <c r="AH31" s="150"/>
      <c r="AI31" s="150"/>
      <c r="AJ31" s="150"/>
      <c r="AK31" s="150"/>
      <c r="AL31" s="150"/>
      <c r="AM31" s="150"/>
      <c r="AN31" s="466"/>
      <c r="AO31" s="466"/>
      <c r="AP31" s="150"/>
      <c r="AQ31" s="150"/>
      <c r="AR31" s="151"/>
      <c r="AS31" s="456"/>
      <c r="AT31" s="466"/>
      <c r="AU31" s="150"/>
      <c r="AV31" s="487"/>
      <c r="AW31" s="150"/>
      <c r="AX31" s="150"/>
      <c r="AY31" s="466"/>
      <c r="AZ31" s="466"/>
      <c r="BA31" s="150"/>
      <c r="BB31" s="150"/>
      <c r="BC31" s="466"/>
      <c r="BD31" s="466"/>
      <c r="BE31" s="466"/>
      <c r="BF31" s="466"/>
      <c r="BG31" s="150"/>
      <c r="BH31" s="150"/>
      <c r="BI31" s="150"/>
      <c r="BJ31" s="466"/>
      <c r="BK31" s="152"/>
      <c r="BL31" s="160"/>
      <c r="BM31" s="150"/>
      <c r="BN31" s="466"/>
      <c r="BO31" s="150"/>
      <c r="BP31" s="516"/>
      <c r="BQ31" s="160"/>
      <c r="BR31" s="152"/>
      <c r="BS31" s="160"/>
    </row>
    <row r="32" spans="1:71" x14ac:dyDescent="0.3">
      <c r="A32" s="420">
        <f>DL!A29</f>
        <v>19</v>
      </c>
      <c r="B32" s="16" t="s">
        <v>18</v>
      </c>
      <c r="C32" s="149">
        <v>3000</v>
      </c>
      <c r="D32" s="149">
        <f>DL!C29</f>
        <v>20</v>
      </c>
      <c r="E32" s="150"/>
      <c r="F32" s="463"/>
      <c r="G32" s="150"/>
      <c r="H32" s="150">
        <f>117.5*20</f>
        <v>2350</v>
      </c>
      <c r="I32" s="466"/>
      <c r="J32" s="150"/>
      <c r="K32" s="168"/>
      <c r="L32" s="466">
        <v>2700</v>
      </c>
      <c r="M32" s="150"/>
      <c r="N32" s="466"/>
      <c r="O32" s="150"/>
      <c r="P32" s="150"/>
      <c r="Q32" s="150"/>
      <c r="R32" s="472"/>
      <c r="S32" s="466"/>
      <c r="T32" s="150">
        <v>2500</v>
      </c>
      <c r="U32" s="150"/>
      <c r="V32" s="150"/>
      <c r="W32" s="168"/>
      <c r="X32" s="150"/>
      <c r="Y32" s="466"/>
      <c r="Z32" s="455"/>
      <c r="AA32" s="150"/>
      <c r="AB32" s="490"/>
      <c r="AC32" s="150"/>
      <c r="AD32" s="150"/>
      <c r="AE32" s="466"/>
      <c r="AF32" s="499"/>
      <c r="AG32" s="150"/>
      <c r="AH32" s="150"/>
      <c r="AI32" s="150"/>
      <c r="AJ32" s="150"/>
      <c r="AK32" s="150"/>
      <c r="AL32" s="150"/>
      <c r="AM32" s="150"/>
      <c r="AN32" s="466"/>
      <c r="AO32" s="466"/>
      <c r="AP32" s="150"/>
      <c r="AQ32" s="150"/>
      <c r="AR32" s="151"/>
      <c r="AS32" s="456"/>
      <c r="AT32" s="466"/>
      <c r="AU32" s="150"/>
      <c r="AV32" s="487"/>
      <c r="AW32" s="150"/>
      <c r="AX32" s="150"/>
      <c r="AY32" s="466"/>
      <c r="AZ32" s="466"/>
      <c r="BA32" s="150"/>
      <c r="BB32" s="150"/>
      <c r="BC32" s="466"/>
      <c r="BD32" s="466"/>
      <c r="BE32" s="466"/>
      <c r="BF32" s="466"/>
      <c r="BG32" s="150"/>
      <c r="BH32" s="150"/>
      <c r="BI32" s="150"/>
      <c r="BJ32" s="466"/>
      <c r="BK32" s="152"/>
      <c r="BL32" s="160"/>
      <c r="BM32" s="150">
        <v>2520</v>
      </c>
      <c r="BN32" s="466"/>
      <c r="BO32" s="150"/>
      <c r="BP32" s="516"/>
      <c r="BQ32" s="160"/>
      <c r="BR32" s="152"/>
      <c r="BS32" s="160"/>
    </row>
    <row r="33" spans="1:71" x14ac:dyDescent="0.3">
      <c r="A33" s="420">
        <f>DL!A30</f>
        <v>20</v>
      </c>
      <c r="B33" s="16" t="s">
        <v>19</v>
      </c>
      <c r="C33" s="149">
        <f>DL!L30</f>
        <v>100</v>
      </c>
      <c r="D33" s="149">
        <f>DL!C30</f>
        <v>20</v>
      </c>
      <c r="E33" s="150"/>
      <c r="F33" s="463"/>
      <c r="G33" s="150"/>
      <c r="H33" s="150">
        <f>20*135</f>
        <v>2700</v>
      </c>
      <c r="I33" s="466"/>
      <c r="J33" s="150"/>
      <c r="K33" s="168"/>
      <c r="L33" s="466">
        <v>2700</v>
      </c>
      <c r="M33" s="150"/>
      <c r="N33" s="466"/>
      <c r="O33" s="150"/>
      <c r="P33" s="150"/>
      <c r="Q33" s="150"/>
      <c r="R33" s="472"/>
      <c r="S33" s="466"/>
      <c r="T33" s="150"/>
      <c r="U33" s="150"/>
      <c r="V33" s="150"/>
      <c r="W33" s="168"/>
      <c r="X33" s="150"/>
      <c r="Y33" s="466"/>
      <c r="Z33" s="455"/>
      <c r="AA33" s="150"/>
      <c r="AB33" s="490"/>
      <c r="AC33" s="150"/>
      <c r="AD33" s="150"/>
      <c r="AE33" s="466"/>
      <c r="AF33" s="499"/>
      <c r="AG33" s="150"/>
      <c r="AH33" s="150"/>
      <c r="AI33" s="150"/>
      <c r="AJ33" s="150"/>
      <c r="AK33" s="150"/>
      <c r="AL33" s="150"/>
      <c r="AM33" s="150"/>
      <c r="AN33" s="466"/>
      <c r="AO33" s="466"/>
      <c r="AP33" s="150"/>
      <c r="AQ33" s="150"/>
      <c r="AR33" s="151"/>
      <c r="AS33" s="456"/>
      <c r="AT33" s="466"/>
      <c r="AU33" s="150"/>
      <c r="AV33" s="487"/>
      <c r="AW33" s="150"/>
      <c r="AX33" s="150"/>
      <c r="AY33" s="466"/>
      <c r="AZ33" s="466"/>
      <c r="BA33" s="150"/>
      <c r="BB33" s="150"/>
      <c r="BC33" s="466"/>
      <c r="BD33" s="466"/>
      <c r="BE33" s="466"/>
      <c r="BF33" s="466"/>
      <c r="BG33" s="150"/>
      <c r="BH33" s="150"/>
      <c r="BI33" s="150"/>
      <c r="BJ33" s="466"/>
      <c r="BK33" s="152"/>
      <c r="BL33" s="160"/>
      <c r="BM33" s="150">
        <v>2520</v>
      </c>
      <c r="BN33" s="466"/>
      <c r="BO33" s="150"/>
      <c r="BP33" s="516"/>
      <c r="BQ33" s="160"/>
      <c r="BR33" s="152"/>
      <c r="BS33" s="160"/>
    </row>
    <row r="34" spans="1:71" x14ac:dyDescent="0.3">
      <c r="A34" s="420">
        <f>DL!A31</f>
        <v>21</v>
      </c>
      <c r="B34" s="16" t="s">
        <v>20</v>
      </c>
      <c r="C34" s="149">
        <f>DL!L31</f>
        <v>8</v>
      </c>
      <c r="D34" s="149">
        <f>DL!C31</f>
        <v>20</v>
      </c>
      <c r="E34" s="150"/>
      <c r="F34" s="463"/>
      <c r="G34" s="150"/>
      <c r="H34" s="150">
        <f>20*312.5</f>
        <v>6250</v>
      </c>
      <c r="I34" s="466"/>
      <c r="J34" s="150"/>
      <c r="K34" s="168"/>
      <c r="L34" s="466">
        <v>8000</v>
      </c>
      <c r="M34" s="150"/>
      <c r="N34" s="466"/>
      <c r="O34" s="150"/>
      <c r="P34" s="150"/>
      <c r="Q34" s="150"/>
      <c r="R34" s="472"/>
      <c r="S34" s="466"/>
      <c r="T34" s="150"/>
      <c r="U34" s="150"/>
      <c r="V34" s="150"/>
      <c r="W34" s="168"/>
      <c r="X34" s="150"/>
      <c r="Y34" s="466"/>
      <c r="Z34" s="455"/>
      <c r="AA34" s="150"/>
      <c r="AB34" s="490"/>
      <c r="AC34" s="150"/>
      <c r="AD34" s="150"/>
      <c r="AE34" s="466"/>
      <c r="AF34" s="499"/>
      <c r="AG34" s="150"/>
      <c r="AH34" s="150"/>
      <c r="AI34" s="150"/>
      <c r="AJ34" s="150"/>
      <c r="AK34" s="150"/>
      <c r="AL34" s="150"/>
      <c r="AM34" s="150"/>
      <c r="AN34" s="466"/>
      <c r="AO34" s="466"/>
      <c r="AP34" s="150"/>
      <c r="AQ34" s="150"/>
      <c r="AR34" s="151"/>
      <c r="AS34" s="456"/>
      <c r="AT34" s="466"/>
      <c r="AU34" s="150"/>
      <c r="AV34" s="487"/>
      <c r="AW34" s="150"/>
      <c r="AX34" s="150"/>
      <c r="AY34" s="466"/>
      <c r="AZ34" s="466"/>
      <c r="BA34" s="150"/>
      <c r="BB34" s="150"/>
      <c r="BC34" s="466"/>
      <c r="BD34" s="466"/>
      <c r="BE34" s="466"/>
      <c r="BF34" s="466"/>
      <c r="BG34" s="150"/>
      <c r="BH34" s="150"/>
      <c r="BI34" s="150"/>
      <c r="BJ34" s="466"/>
      <c r="BK34" s="152"/>
      <c r="BL34" s="160"/>
      <c r="BM34" s="150">
        <v>5760</v>
      </c>
      <c r="BN34" s="466"/>
      <c r="BO34" s="150"/>
      <c r="BP34" s="516"/>
      <c r="BQ34" s="160"/>
      <c r="BR34" s="152"/>
      <c r="BS34" s="160"/>
    </row>
    <row r="35" spans="1:71" x14ac:dyDescent="0.3">
      <c r="A35" s="420">
        <f>DL!A32</f>
        <v>22</v>
      </c>
      <c r="B35" s="16" t="s">
        <v>21</v>
      </c>
      <c r="C35" s="149">
        <f>DL!L32</f>
        <v>40</v>
      </c>
      <c r="D35" s="149">
        <f>DL!C32</f>
        <v>20</v>
      </c>
      <c r="E35" s="150"/>
      <c r="F35" s="463"/>
      <c r="G35" s="150"/>
      <c r="I35" s="466"/>
      <c r="J35" s="150"/>
      <c r="K35" s="168"/>
      <c r="L35" s="466"/>
      <c r="M35" s="150"/>
      <c r="N35" s="466"/>
      <c r="O35" s="150"/>
      <c r="P35" s="150"/>
      <c r="Q35" s="150"/>
      <c r="R35" s="472"/>
      <c r="S35" s="466"/>
      <c r="T35" s="150">
        <v>7800</v>
      </c>
      <c r="U35" s="150"/>
      <c r="V35" s="150"/>
      <c r="W35" s="168"/>
      <c r="X35" s="150"/>
      <c r="Y35" s="466"/>
      <c r="Z35" s="455"/>
      <c r="AA35" s="150"/>
      <c r="AB35" s="490"/>
      <c r="AC35" s="150"/>
      <c r="AD35" s="150"/>
      <c r="AE35" s="466"/>
      <c r="AF35" s="499"/>
      <c r="AG35" s="150"/>
      <c r="AH35" s="150"/>
      <c r="AI35" s="150"/>
      <c r="AJ35" s="150"/>
      <c r="AK35" s="150"/>
      <c r="AL35" s="150"/>
      <c r="AM35" s="150"/>
      <c r="AN35" s="466"/>
      <c r="AO35" s="466"/>
      <c r="AP35" s="150"/>
      <c r="AQ35" s="150"/>
      <c r="AR35" s="151"/>
      <c r="AS35" s="456"/>
      <c r="AT35" s="466"/>
      <c r="AU35" s="150"/>
      <c r="AV35" s="487"/>
      <c r="AW35" s="150"/>
      <c r="AX35" s="150"/>
      <c r="AY35" s="466"/>
      <c r="AZ35" s="466"/>
      <c r="BA35" s="150"/>
      <c r="BB35" s="150"/>
      <c r="BC35" s="466"/>
      <c r="BD35" s="466"/>
      <c r="BE35" s="466"/>
      <c r="BF35" s="466"/>
      <c r="BG35" s="150"/>
      <c r="BH35" s="150"/>
      <c r="BI35" s="150"/>
      <c r="BJ35" s="466"/>
      <c r="BK35" s="152"/>
      <c r="BL35" s="160"/>
      <c r="BM35" s="150">
        <v>8060</v>
      </c>
      <c r="BN35" s="466"/>
      <c r="BO35" s="150"/>
      <c r="BP35" s="516"/>
      <c r="BQ35" s="160"/>
      <c r="BR35" s="152"/>
      <c r="BS35" s="160"/>
    </row>
    <row r="36" spans="1:71" x14ac:dyDescent="0.3">
      <c r="A36" s="420">
        <f>DL!A33</f>
        <v>23</v>
      </c>
      <c r="B36" s="16" t="s">
        <v>22</v>
      </c>
      <c r="C36" s="149">
        <f>DL!L33</f>
        <v>300</v>
      </c>
      <c r="D36" s="149">
        <f>DL!C33</f>
        <v>20</v>
      </c>
      <c r="E36" s="150"/>
      <c r="F36" s="463"/>
      <c r="G36" s="150"/>
      <c r="H36" s="150">
        <f>20*122.5</f>
        <v>2450</v>
      </c>
      <c r="I36" s="466"/>
      <c r="J36" s="150"/>
      <c r="K36" s="168"/>
      <c r="L36" s="466">
        <v>2700</v>
      </c>
      <c r="M36" s="150"/>
      <c r="N36" s="466"/>
      <c r="O36" s="150"/>
      <c r="P36" s="150"/>
      <c r="Q36" s="150"/>
      <c r="R36" s="472"/>
      <c r="S36" s="466"/>
      <c r="T36" s="150">
        <v>2500</v>
      </c>
      <c r="U36" s="150"/>
      <c r="V36" s="150"/>
      <c r="W36" s="168"/>
      <c r="X36" s="150"/>
      <c r="Y36" s="466"/>
      <c r="Z36" s="455"/>
      <c r="AA36" s="150"/>
      <c r="AB36" s="490"/>
      <c r="AC36" s="150"/>
      <c r="AD36" s="150"/>
      <c r="AE36" s="466"/>
      <c r="AF36" s="499"/>
      <c r="AG36" s="150"/>
      <c r="AH36" s="150"/>
      <c r="AI36" s="150"/>
      <c r="AJ36" s="150"/>
      <c r="AK36" s="150"/>
      <c r="AL36" s="150"/>
      <c r="AM36" s="150"/>
      <c r="AN36" s="466"/>
      <c r="AO36" s="466"/>
      <c r="AP36" s="150"/>
      <c r="AQ36" s="150"/>
      <c r="AR36" s="151"/>
      <c r="AS36" s="456"/>
      <c r="AT36" s="466"/>
      <c r="AU36" s="150"/>
      <c r="AV36" s="487"/>
      <c r="AW36" s="150"/>
      <c r="AX36" s="150"/>
      <c r="AY36" s="466"/>
      <c r="AZ36" s="466"/>
      <c r="BA36" s="150"/>
      <c r="BB36" s="150"/>
      <c r="BC36" s="466"/>
      <c r="BD36" s="466"/>
      <c r="BE36" s="466"/>
      <c r="BF36" s="466"/>
      <c r="BG36" s="150"/>
      <c r="BH36" s="150"/>
      <c r="BI36" s="150"/>
      <c r="BJ36" s="466"/>
      <c r="BK36" s="152"/>
      <c r="BL36" s="160"/>
      <c r="BM36" s="150">
        <v>2520</v>
      </c>
      <c r="BN36" s="466"/>
      <c r="BO36" s="150"/>
      <c r="BP36" s="516"/>
      <c r="BQ36" s="160"/>
      <c r="BR36" s="152"/>
      <c r="BS36" s="160"/>
    </row>
    <row r="37" spans="1:71" x14ac:dyDescent="0.3">
      <c r="A37" s="420">
        <f>DL!A34</f>
        <v>24</v>
      </c>
      <c r="B37" s="16" t="s">
        <v>23</v>
      </c>
      <c r="C37" s="149">
        <f>DL!L34</f>
        <v>1600</v>
      </c>
      <c r="D37" s="149">
        <f>DL!C34</f>
        <v>20</v>
      </c>
      <c r="E37" s="150"/>
      <c r="F37" s="463"/>
      <c r="G37" s="150"/>
      <c r="H37" s="150">
        <f>20*122.5</f>
        <v>2450</v>
      </c>
      <c r="I37" s="466"/>
      <c r="J37" s="150"/>
      <c r="K37" s="168"/>
      <c r="L37" s="466">
        <v>2700</v>
      </c>
      <c r="M37" s="150"/>
      <c r="N37" s="466"/>
      <c r="O37" s="150"/>
      <c r="P37" s="150"/>
      <c r="Q37" s="150"/>
      <c r="R37" s="472"/>
      <c r="S37" s="466"/>
      <c r="T37" s="150">
        <v>2500</v>
      </c>
      <c r="U37" s="150"/>
      <c r="V37" s="150"/>
      <c r="W37" s="168"/>
      <c r="X37" s="150"/>
      <c r="Y37" s="466"/>
      <c r="Z37" s="455"/>
      <c r="AA37" s="150"/>
      <c r="AB37" s="490"/>
      <c r="AC37" s="150"/>
      <c r="AD37" s="150"/>
      <c r="AE37" s="466"/>
      <c r="AF37" s="499"/>
      <c r="AG37" s="150"/>
      <c r="AH37" s="150"/>
      <c r="AI37" s="150"/>
      <c r="AJ37" s="150"/>
      <c r="AK37" s="150"/>
      <c r="AL37" s="150"/>
      <c r="AM37" s="150"/>
      <c r="AN37" s="466"/>
      <c r="AO37" s="466"/>
      <c r="AP37" s="150"/>
      <c r="AQ37" s="150"/>
      <c r="AR37" s="151"/>
      <c r="AS37" s="456"/>
      <c r="AT37" s="466"/>
      <c r="AU37" s="150"/>
      <c r="AV37" s="487"/>
      <c r="AW37" s="150"/>
      <c r="AX37" s="150"/>
      <c r="AY37" s="466"/>
      <c r="AZ37" s="466"/>
      <c r="BA37" s="150"/>
      <c r="BB37" s="150"/>
      <c r="BC37" s="466"/>
      <c r="BD37" s="466"/>
      <c r="BE37" s="466"/>
      <c r="BF37" s="466"/>
      <c r="BG37" s="150"/>
      <c r="BH37" s="150"/>
      <c r="BI37" s="150"/>
      <c r="BJ37" s="466"/>
      <c r="BK37" s="152"/>
      <c r="BL37" s="160"/>
      <c r="BM37" s="150">
        <v>2520</v>
      </c>
      <c r="BN37" s="466"/>
      <c r="BO37" s="150"/>
      <c r="BP37" s="516"/>
      <c r="BQ37" s="160"/>
      <c r="BR37" s="152"/>
      <c r="BS37" s="160"/>
    </row>
    <row r="38" spans="1:71" x14ac:dyDescent="0.3">
      <c r="A38" s="420">
        <f>DL!A35</f>
        <v>25</v>
      </c>
      <c r="B38" s="16" t="s">
        <v>24</v>
      </c>
      <c r="C38" s="149">
        <f>DL!L35</f>
        <v>800</v>
      </c>
      <c r="D38" s="149">
        <f>DL!C35</f>
        <v>20</v>
      </c>
      <c r="E38" s="150"/>
      <c r="F38" s="463"/>
      <c r="G38" s="150"/>
      <c r="H38" s="150">
        <f>20*122.5</f>
        <v>2450</v>
      </c>
      <c r="I38" s="466"/>
      <c r="J38" s="150"/>
      <c r="K38" s="168"/>
      <c r="L38" s="466">
        <v>2700</v>
      </c>
      <c r="M38" s="150"/>
      <c r="N38" s="466"/>
      <c r="O38" s="150"/>
      <c r="P38" s="150"/>
      <c r="Q38" s="150"/>
      <c r="R38" s="472"/>
      <c r="S38" s="466"/>
      <c r="T38" s="150">
        <v>2500</v>
      </c>
      <c r="U38" s="150"/>
      <c r="V38" s="150"/>
      <c r="W38" s="168"/>
      <c r="X38" s="150"/>
      <c r="Y38" s="466"/>
      <c r="Z38" s="455"/>
      <c r="AA38" s="150"/>
      <c r="AB38" s="490"/>
      <c r="AC38" s="150"/>
      <c r="AD38" s="150"/>
      <c r="AE38" s="466"/>
      <c r="AF38" s="499"/>
      <c r="AG38" s="150"/>
      <c r="AH38" s="150"/>
      <c r="AI38" s="150"/>
      <c r="AJ38" s="150"/>
      <c r="AK38" s="150"/>
      <c r="AL38" s="150"/>
      <c r="AM38" s="150"/>
      <c r="AN38" s="466"/>
      <c r="AO38" s="466"/>
      <c r="AP38" s="150"/>
      <c r="AQ38" s="150"/>
      <c r="AR38" s="151"/>
      <c r="AS38" s="456"/>
      <c r="AT38" s="466"/>
      <c r="AU38" s="150"/>
      <c r="AV38" s="487"/>
      <c r="AW38" s="150"/>
      <c r="AX38" s="150"/>
      <c r="AY38" s="466"/>
      <c r="AZ38" s="466"/>
      <c r="BA38" s="150"/>
      <c r="BB38" s="150"/>
      <c r="BC38" s="466"/>
      <c r="BD38" s="466"/>
      <c r="BE38" s="466"/>
      <c r="BF38" s="466"/>
      <c r="BG38" s="150"/>
      <c r="BH38" s="150"/>
      <c r="BI38" s="150"/>
      <c r="BJ38" s="466"/>
      <c r="BK38" s="152"/>
      <c r="BL38" s="160"/>
      <c r="BM38" s="150">
        <v>2520</v>
      </c>
      <c r="BN38" s="466"/>
      <c r="BO38" s="150"/>
      <c r="BP38" s="516"/>
      <c r="BQ38" s="160"/>
      <c r="BR38" s="152"/>
      <c r="BS38" s="160"/>
    </row>
    <row r="39" spans="1:71" x14ac:dyDescent="0.3">
      <c r="A39" s="420">
        <f>DL!A36</f>
        <v>26</v>
      </c>
      <c r="B39" s="16" t="s">
        <v>25</v>
      </c>
      <c r="C39" s="149">
        <f>DL!L36</f>
        <v>40</v>
      </c>
      <c r="D39" s="149">
        <f>DL!C36</f>
        <v>100</v>
      </c>
      <c r="E39" s="150"/>
      <c r="F39" s="463"/>
      <c r="G39" s="150"/>
      <c r="H39" s="150">
        <f>75*122.6</f>
        <v>9195</v>
      </c>
      <c r="I39" s="466"/>
      <c r="J39" s="150"/>
      <c r="K39" s="168"/>
      <c r="L39" s="466"/>
      <c r="M39" s="150"/>
      <c r="N39" s="466"/>
      <c r="O39" s="150"/>
      <c r="P39" s="150"/>
      <c r="Q39" s="150"/>
      <c r="R39" s="472"/>
      <c r="S39" s="466"/>
      <c r="T39" s="150"/>
      <c r="U39" s="150"/>
      <c r="V39" s="150"/>
      <c r="W39" s="168"/>
      <c r="X39" s="150"/>
      <c r="Y39" s="466"/>
      <c r="Z39" s="455"/>
      <c r="AA39" s="150"/>
      <c r="AB39" s="490"/>
      <c r="AC39" s="150"/>
      <c r="AD39" s="150"/>
      <c r="AE39" s="466"/>
      <c r="AF39" s="499"/>
      <c r="AG39" s="150"/>
      <c r="AH39" s="150"/>
      <c r="AI39" s="150"/>
      <c r="AJ39" s="150"/>
      <c r="AK39" s="150"/>
      <c r="AL39" s="150"/>
      <c r="AM39" s="150"/>
      <c r="AN39" s="466"/>
      <c r="AO39" s="466"/>
      <c r="AP39" s="150"/>
      <c r="AQ39" s="150"/>
      <c r="AR39" s="151"/>
      <c r="AS39" s="456"/>
      <c r="AT39" s="466"/>
      <c r="AU39" s="150"/>
      <c r="AV39" s="487"/>
      <c r="AW39" s="150"/>
      <c r="AX39" s="150"/>
      <c r="AY39" s="466"/>
      <c r="AZ39" s="466"/>
      <c r="BA39" s="150"/>
      <c r="BB39" s="150"/>
      <c r="BC39" s="466"/>
      <c r="BD39" s="466"/>
      <c r="BE39" s="466"/>
      <c r="BF39" s="466"/>
      <c r="BG39" s="150"/>
      <c r="BH39" s="150"/>
      <c r="BI39" s="150"/>
      <c r="BJ39" s="466"/>
      <c r="BK39" s="152"/>
      <c r="BL39" s="160"/>
      <c r="BM39" s="150">
        <v>12700</v>
      </c>
      <c r="BN39" s="466"/>
      <c r="BO39" s="150"/>
      <c r="BP39" s="516"/>
      <c r="BQ39" s="160"/>
      <c r="BR39" s="152"/>
      <c r="BS39" s="160"/>
    </row>
    <row r="40" spans="1:71" x14ac:dyDescent="0.3">
      <c r="A40" s="420">
        <f>DL!A37</f>
        <v>27</v>
      </c>
      <c r="B40" s="16" t="s">
        <v>26</v>
      </c>
      <c r="C40" s="149">
        <f>DL!L37</f>
        <v>100</v>
      </c>
      <c r="D40" s="149">
        <f>DL!C37</f>
        <v>20</v>
      </c>
      <c r="E40" s="150"/>
      <c r="F40" s="463"/>
      <c r="G40" s="150"/>
      <c r="H40" s="150"/>
      <c r="I40" s="466"/>
      <c r="J40" s="150"/>
      <c r="K40" s="168"/>
      <c r="L40" s="466"/>
      <c r="M40" s="150"/>
      <c r="N40" s="466"/>
      <c r="O40" s="150"/>
      <c r="P40" s="150"/>
      <c r="Q40" s="150"/>
      <c r="R40" s="472"/>
      <c r="S40" s="466"/>
      <c r="T40" s="150"/>
      <c r="U40" s="150"/>
      <c r="V40" s="150"/>
      <c r="W40" s="168"/>
      <c r="X40" s="150"/>
      <c r="Y40" s="466"/>
      <c r="Z40" s="455"/>
      <c r="AA40" s="150"/>
      <c r="AB40" s="490"/>
      <c r="AC40" s="150"/>
      <c r="AD40" s="150"/>
      <c r="AE40" s="466"/>
      <c r="AF40" s="499"/>
      <c r="AG40" s="150"/>
      <c r="AH40" s="150"/>
      <c r="AI40" s="150"/>
      <c r="AJ40" s="150"/>
      <c r="AK40" s="150"/>
      <c r="AL40" s="150"/>
      <c r="AM40" s="150"/>
      <c r="AN40" s="466"/>
      <c r="AO40" s="466"/>
      <c r="AP40" s="150"/>
      <c r="AQ40" s="150"/>
      <c r="AR40" s="151"/>
      <c r="AS40" s="456"/>
      <c r="AT40" s="466"/>
      <c r="AU40" s="150"/>
      <c r="AV40" s="487"/>
      <c r="AW40" s="150"/>
      <c r="AX40" s="150"/>
      <c r="AY40" s="466"/>
      <c r="AZ40" s="466"/>
      <c r="BA40" s="150"/>
      <c r="BB40" s="150"/>
      <c r="BC40" s="466"/>
      <c r="BD40" s="466"/>
      <c r="BE40" s="466"/>
      <c r="BF40" s="466"/>
      <c r="BG40" s="150"/>
      <c r="BH40" s="150"/>
      <c r="BI40" s="150"/>
      <c r="BJ40" s="466"/>
      <c r="BK40" s="152"/>
      <c r="BL40" s="160"/>
      <c r="BM40" s="150"/>
      <c r="BN40" s="466"/>
      <c r="BO40" s="150"/>
      <c r="BP40" s="516"/>
      <c r="BQ40" s="160"/>
      <c r="BR40" s="152"/>
      <c r="BS40" s="160"/>
    </row>
    <row r="41" spans="1:71" x14ac:dyDescent="0.3">
      <c r="A41" s="420">
        <f>DL!A38</f>
        <v>28</v>
      </c>
      <c r="B41" s="16" t="s">
        <v>27</v>
      </c>
      <c r="C41" s="149">
        <f>DL!L38</f>
        <v>4</v>
      </c>
      <c r="D41" s="149">
        <f>DL!C38</f>
        <v>10</v>
      </c>
      <c r="E41" s="150">
        <v>29000</v>
      </c>
      <c r="F41" s="463"/>
      <c r="G41" s="150"/>
      <c r="H41" s="150"/>
      <c r="I41" s="466"/>
      <c r="J41" s="150"/>
      <c r="K41" s="168"/>
      <c r="L41" s="466"/>
      <c r="M41" s="150"/>
      <c r="N41" s="466"/>
      <c r="O41" s="150"/>
      <c r="P41" s="150"/>
      <c r="Q41" s="150"/>
      <c r="R41" s="472"/>
      <c r="S41" s="466"/>
      <c r="T41" s="150">
        <v>2900</v>
      </c>
      <c r="U41" s="150"/>
      <c r="V41" s="150"/>
      <c r="W41" s="168"/>
      <c r="X41" s="150"/>
      <c r="Y41" s="466"/>
      <c r="Z41" s="455"/>
      <c r="AA41" s="150"/>
      <c r="AB41" s="490"/>
      <c r="AC41" s="150"/>
      <c r="AD41" s="150"/>
      <c r="AE41" s="466">
        <v>2350</v>
      </c>
      <c r="AF41" s="499"/>
      <c r="AG41" s="150"/>
      <c r="AH41" s="150"/>
      <c r="AI41" s="150"/>
      <c r="AJ41" s="150"/>
      <c r="AK41" s="150"/>
      <c r="AL41" s="150"/>
      <c r="AM41" s="150"/>
      <c r="AN41" s="466"/>
      <c r="AO41" s="466"/>
      <c r="AP41" s="150"/>
      <c r="AQ41" s="150"/>
      <c r="AR41" s="151"/>
      <c r="AS41" s="456"/>
      <c r="AT41" s="466"/>
      <c r="AU41" s="150"/>
      <c r="AV41" s="487"/>
      <c r="AW41" s="150"/>
      <c r="AX41" s="150"/>
      <c r="AY41" s="466"/>
      <c r="AZ41" s="466"/>
      <c r="BA41" s="150"/>
      <c r="BB41" s="150"/>
      <c r="BC41" s="466"/>
      <c r="BD41" s="466"/>
      <c r="BE41" s="466"/>
      <c r="BF41" s="466"/>
      <c r="BG41" s="150"/>
      <c r="BH41" s="150"/>
      <c r="BI41" s="150"/>
      <c r="BJ41" s="466"/>
      <c r="BK41" s="152"/>
      <c r="BL41" s="160"/>
      <c r="BM41" s="150"/>
      <c r="BN41" s="466"/>
      <c r="BO41" s="150"/>
      <c r="BP41" s="516"/>
      <c r="BQ41" s="160"/>
      <c r="BR41" s="152"/>
      <c r="BS41" s="160"/>
    </row>
    <row r="42" spans="1:71" x14ac:dyDescent="0.3">
      <c r="A42" s="420">
        <f>DL!A39</f>
        <v>29</v>
      </c>
      <c r="B42" s="16" t="s">
        <v>28</v>
      </c>
      <c r="C42" s="149">
        <f>DL!L39</f>
        <v>5</v>
      </c>
      <c r="D42" s="149">
        <f>DL!C39</f>
        <v>20</v>
      </c>
      <c r="E42" s="150"/>
      <c r="F42" s="463"/>
      <c r="G42" s="150"/>
      <c r="H42" s="150">
        <f>20*122.5</f>
        <v>2450</v>
      </c>
      <c r="I42" s="466"/>
      <c r="J42" s="150"/>
      <c r="K42" s="168"/>
      <c r="L42" s="466">
        <v>2800</v>
      </c>
      <c r="M42" s="150"/>
      <c r="N42" s="466"/>
      <c r="O42" s="150"/>
      <c r="P42" s="150"/>
      <c r="Q42" s="150"/>
      <c r="R42" s="472"/>
      <c r="S42" s="466"/>
      <c r="T42" s="150">
        <v>3300</v>
      </c>
      <c r="U42" s="150"/>
      <c r="V42" s="150"/>
      <c r="W42" s="168"/>
      <c r="X42" s="150"/>
      <c r="Y42" s="466"/>
      <c r="Z42" s="455"/>
      <c r="AA42" s="156"/>
      <c r="AB42" s="490"/>
      <c r="AC42" s="150"/>
      <c r="AD42" s="150"/>
      <c r="AE42" s="466"/>
      <c r="AF42" s="499"/>
      <c r="AG42" s="150"/>
      <c r="AH42" s="150"/>
      <c r="AI42" s="150"/>
      <c r="AJ42" s="150"/>
      <c r="AK42" s="150"/>
      <c r="AL42" s="150"/>
      <c r="AM42" s="150"/>
      <c r="AN42" s="466"/>
      <c r="AO42" s="466"/>
      <c r="AP42" s="150"/>
      <c r="AQ42" s="150"/>
      <c r="AR42" s="151"/>
      <c r="AS42" s="456"/>
      <c r="AT42" s="466"/>
      <c r="AU42" s="150"/>
      <c r="AV42" s="487"/>
      <c r="AW42" s="150"/>
      <c r="AX42" s="150"/>
      <c r="AY42" s="466"/>
      <c r="AZ42" s="466"/>
      <c r="BA42" s="150"/>
      <c r="BB42" s="150"/>
      <c r="BC42" s="466"/>
      <c r="BD42" s="466"/>
      <c r="BE42" s="466"/>
      <c r="BF42" s="466"/>
      <c r="BG42" s="150"/>
      <c r="BH42" s="150"/>
      <c r="BI42" s="150"/>
      <c r="BJ42" s="466"/>
      <c r="BK42" s="152"/>
      <c r="BL42" s="160"/>
      <c r="BM42" s="150">
        <v>2520</v>
      </c>
      <c r="BN42" s="466"/>
      <c r="BO42" s="150"/>
      <c r="BP42" s="516"/>
      <c r="BQ42" s="160"/>
      <c r="BR42" s="152"/>
      <c r="BS42" s="160"/>
    </row>
    <row r="43" spans="1:71" x14ac:dyDescent="0.3">
      <c r="A43" s="420">
        <f>DL!A40</f>
        <v>30</v>
      </c>
      <c r="B43" s="16" t="s">
        <v>29</v>
      </c>
      <c r="C43" s="149">
        <f>DL!L40</f>
        <v>5</v>
      </c>
      <c r="D43" s="149">
        <f>DL!C40</f>
        <v>20</v>
      </c>
      <c r="E43" s="150"/>
      <c r="F43" s="463"/>
      <c r="G43" s="150"/>
      <c r="H43" s="150">
        <f>20*122.5</f>
        <v>2450</v>
      </c>
      <c r="I43" s="466"/>
      <c r="J43" s="150"/>
      <c r="K43" s="168"/>
      <c r="L43" s="466">
        <v>2800</v>
      </c>
      <c r="M43" s="150"/>
      <c r="N43" s="466"/>
      <c r="O43" s="150"/>
      <c r="P43" s="150"/>
      <c r="Q43" s="150"/>
      <c r="R43" s="472"/>
      <c r="S43" s="466"/>
      <c r="T43" s="150">
        <v>3300</v>
      </c>
      <c r="U43" s="150"/>
      <c r="V43" s="150"/>
      <c r="W43" s="168"/>
      <c r="X43" s="150"/>
      <c r="Y43" s="466"/>
      <c r="Z43" s="455"/>
      <c r="AA43" s="150"/>
      <c r="AB43" s="490"/>
      <c r="AC43" s="150"/>
      <c r="AD43" s="150"/>
      <c r="AE43" s="466"/>
      <c r="AF43" s="499"/>
      <c r="AG43" s="150"/>
      <c r="AH43" s="150"/>
      <c r="AI43" s="150"/>
      <c r="AJ43" s="150"/>
      <c r="AK43" s="150"/>
      <c r="AL43" s="150"/>
      <c r="AM43" s="150"/>
      <c r="AN43" s="466"/>
      <c r="AO43" s="466"/>
      <c r="AP43" s="150"/>
      <c r="AQ43" s="150"/>
      <c r="AR43" s="151"/>
      <c r="AS43" s="456"/>
      <c r="AT43" s="466"/>
      <c r="AU43" s="150"/>
      <c r="AV43" s="487"/>
      <c r="AW43" s="150"/>
      <c r="AX43" s="150"/>
      <c r="AY43" s="466"/>
      <c r="AZ43" s="466"/>
      <c r="BA43" s="150"/>
      <c r="BB43" s="150"/>
      <c r="BC43" s="466"/>
      <c r="BD43" s="466"/>
      <c r="BE43" s="466"/>
      <c r="BF43" s="466"/>
      <c r="BG43" s="150"/>
      <c r="BH43" s="150"/>
      <c r="BI43" s="150"/>
      <c r="BJ43" s="466"/>
      <c r="BK43" s="152"/>
      <c r="BL43" s="160"/>
      <c r="BM43" s="150">
        <v>2520</v>
      </c>
      <c r="BN43" s="466"/>
      <c r="BO43" s="150"/>
      <c r="BP43" s="516"/>
      <c r="BQ43" s="160"/>
      <c r="BR43" s="152"/>
      <c r="BS43" s="160"/>
    </row>
    <row r="44" spans="1:71" x14ac:dyDescent="0.3">
      <c r="A44" s="420">
        <f>DL!A41</f>
        <v>31</v>
      </c>
      <c r="B44" s="16" t="s">
        <v>30</v>
      </c>
      <c r="C44" s="149">
        <f>DL!L41</f>
        <v>500</v>
      </c>
      <c r="D44" s="149">
        <f>DL!C41</f>
        <v>20</v>
      </c>
      <c r="E44" s="150"/>
      <c r="F44" s="463"/>
      <c r="G44" s="150"/>
      <c r="H44" s="150">
        <f>20*122.5</f>
        <v>2450</v>
      </c>
      <c r="I44" s="466"/>
      <c r="J44" s="150"/>
      <c r="K44" s="168"/>
      <c r="L44" s="466">
        <v>2800</v>
      </c>
      <c r="M44" s="150"/>
      <c r="N44" s="466"/>
      <c r="O44" s="150"/>
      <c r="P44" s="150"/>
      <c r="Q44" s="150"/>
      <c r="R44" s="472"/>
      <c r="S44" s="466"/>
      <c r="T44" s="150">
        <v>2900</v>
      </c>
      <c r="U44" s="150"/>
      <c r="V44" s="150"/>
      <c r="W44" s="168"/>
      <c r="X44" s="150"/>
      <c r="Y44" s="466"/>
      <c r="Z44" s="455"/>
      <c r="AA44" s="150"/>
      <c r="AB44" s="490"/>
      <c r="AC44" s="150"/>
      <c r="AD44" s="150"/>
      <c r="AE44" s="466"/>
      <c r="AF44" s="499"/>
      <c r="AG44" s="150"/>
      <c r="AH44" s="150"/>
      <c r="AI44" s="150"/>
      <c r="AJ44" s="150"/>
      <c r="AK44" s="150"/>
      <c r="AL44" s="150"/>
      <c r="AM44" s="150"/>
      <c r="AN44" s="466"/>
      <c r="AO44" s="466"/>
      <c r="AP44" s="150"/>
      <c r="AQ44" s="150"/>
      <c r="AR44" s="151"/>
      <c r="AS44" s="456"/>
      <c r="AT44" s="466"/>
      <c r="AU44" s="150"/>
      <c r="AV44" s="487"/>
      <c r="AW44" s="150"/>
      <c r="AX44" s="150"/>
      <c r="AY44" s="466"/>
      <c r="AZ44" s="466"/>
      <c r="BA44" s="150"/>
      <c r="BB44" s="150"/>
      <c r="BC44" s="466"/>
      <c r="BD44" s="466"/>
      <c r="BE44" s="466"/>
      <c r="BF44" s="466"/>
      <c r="BG44" s="150"/>
      <c r="BH44" s="150"/>
      <c r="BI44" s="150"/>
      <c r="BJ44" s="466"/>
      <c r="BK44" s="152"/>
      <c r="BL44" s="160"/>
      <c r="BM44" s="150">
        <v>2520</v>
      </c>
      <c r="BN44" s="466"/>
      <c r="BO44" s="150"/>
      <c r="BP44" s="516"/>
      <c r="BQ44" s="160"/>
      <c r="BR44" s="152"/>
      <c r="BS44" s="160"/>
    </row>
    <row r="45" spans="1:71" x14ac:dyDescent="0.3">
      <c r="A45" s="420">
        <f>DL!A42</f>
        <v>32</v>
      </c>
      <c r="B45" s="16" t="s">
        <v>740</v>
      </c>
      <c r="C45" s="149">
        <v>6</v>
      </c>
      <c r="D45" s="149">
        <v>20</v>
      </c>
      <c r="E45" s="150"/>
      <c r="F45" s="463"/>
      <c r="G45" s="150"/>
      <c r="H45" s="159">
        <f>475*20</f>
        <v>9500</v>
      </c>
      <c r="I45" s="466"/>
      <c r="J45" s="150"/>
      <c r="K45" s="168"/>
      <c r="L45" s="466"/>
      <c r="M45" s="159"/>
      <c r="N45" s="466"/>
      <c r="O45" s="150"/>
      <c r="P45" s="150"/>
      <c r="Q45" s="150"/>
      <c r="R45" s="472"/>
      <c r="S45" s="466"/>
      <c r="T45" s="150"/>
      <c r="U45" s="150"/>
      <c r="V45" s="150"/>
      <c r="W45" s="168"/>
      <c r="X45" s="150"/>
      <c r="Y45" s="466"/>
      <c r="Z45" s="481"/>
      <c r="AA45" s="150"/>
      <c r="AB45" s="490"/>
      <c r="AC45" s="150"/>
      <c r="AD45" s="150"/>
      <c r="AE45" s="466">
        <v>2350</v>
      </c>
      <c r="AF45" s="499"/>
      <c r="AG45" s="150"/>
      <c r="AH45" s="150"/>
      <c r="AI45" s="150"/>
      <c r="AJ45" s="150"/>
      <c r="AK45" s="150"/>
      <c r="AL45" s="150"/>
      <c r="AM45" s="150"/>
      <c r="AN45" s="466"/>
      <c r="AO45" s="466"/>
      <c r="AP45" s="150"/>
      <c r="AQ45" s="150"/>
      <c r="AR45" s="151"/>
      <c r="AS45" s="456"/>
      <c r="AT45" s="466"/>
      <c r="AU45" s="150"/>
      <c r="AV45" s="487"/>
      <c r="AW45" s="150"/>
      <c r="AX45" s="150"/>
      <c r="AY45" s="466"/>
      <c r="AZ45" s="466"/>
      <c r="BA45" s="150"/>
      <c r="BB45" s="150"/>
      <c r="BC45" s="466"/>
      <c r="BD45" s="466"/>
      <c r="BE45" s="466"/>
      <c r="BF45" s="466"/>
      <c r="BG45" s="150"/>
      <c r="BH45" s="150"/>
      <c r="BI45" s="150"/>
      <c r="BJ45" s="466"/>
      <c r="BK45" s="152"/>
      <c r="BL45" s="160"/>
      <c r="BM45" s="150"/>
      <c r="BN45" s="466"/>
      <c r="BO45" s="150"/>
      <c r="BP45" s="516"/>
      <c r="BQ45" s="160"/>
      <c r="BR45" s="152"/>
      <c r="BS45" s="160"/>
    </row>
    <row r="46" spans="1:71" x14ac:dyDescent="0.3">
      <c r="A46" s="420">
        <f>DL!A43</f>
        <v>33</v>
      </c>
      <c r="B46" s="16" t="s">
        <v>31</v>
      </c>
      <c r="C46" s="149">
        <v>2000</v>
      </c>
      <c r="D46" s="149">
        <f>DL!C43</f>
        <v>50</v>
      </c>
      <c r="E46" s="150"/>
      <c r="F46" s="463"/>
      <c r="G46" s="150"/>
      <c r="H46" s="150"/>
      <c r="I46" s="466"/>
      <c r="J46" s="150"/>
      <c r="K46" s="168"/>
      <c r="L46" s="466">
        <v>1000</v>
      </c>
      <c r="M46" s="150"/>
      <c r="N46" s="466"/>
      <c r="O46" s="150"/>
      <c r="P46" s="150"/>
      <c r="Q46" s="150"/>
      <c r="R46" s="472"/>
      <c r="S46" s="466"/>
      <c r="T46" s="150"/>
      <c r="U46" s="150"/>
      <c r="V46" s="150">
        <v>1000</v>
      </c>
      <c r="W46" s="168"/>
      <c r="X46" s="150"/>
      <c r="Y46" s="466">
        <f>50*15</f>
        <v>750</v>
      </c>
      <c r="Z46" s="455"/>
      <c r="AA46" s="150"/>
      <c r="AB46" s="490"/>
      <c r="AC46" s="150"/>
      <c r="AD46" s="150"/>
      <c r="AE46" s="466"/>
      <c r="AF46" s="499"/>
      <c r="AG46" s="150"/>
      <c r="AH46" s="150"/>
      <c r="AI46" s="150"/>
      <c r="AJ46" s="150"/>
      <c r="AK46" s="150"/>
      <c r="AL46" s="150"/>
      <c r="AM46" s="150"/>
      <c r="AN46" s="466"/>
      <c r="AO46" s="466"/>
      <c r="AP46" s="150"/>
      <c r="AQ46" s="150"/>
      <c r="AR46" s="151"/>
      <c r="AS46" s="456"/>
      <c r="AT46" s="466"/>
      <c r="AU46" s="150"/>
      <c r="AV46" s="487"/>
      <c r="AW46" s="150"/>
      <c r="AX46" s="150"/>
      <c r="AY46" s="466"/>
      <c r="AZ46" s="466"/>
      <c r="BA46" s="150"/>
      <c r="BB46" s="150"/>
      <c r="BC46" s="466"/>
      <c r="BD46" s="466"/>
      <c r="BE46" s="466"/>
      <c r="BF46" s="466"/>
      <c r="BG46" s="150"/>
      <c r="BH46" s="150"/>
      <c r="BI46" s="150"/>
      <c r="BJ46" s="466"/>
      <c r="BK46" s="152"/>
      <c r="BL46" s="160"/>
      <c r="BM46" s="150"/>
      <c r="BN46" s="466"/>
      <c r="BO46" s="150"/>
      <c r="BP46" s="516"/>
      <c r="BQ46" s="160"/>
      <c r="BR46" s="152"/>
      <c r="BS46" s="160"/>
    </row>
    <row r="47" spans="1:71" x14ac:dyDescent="0.3">
      <c r="A47" s="420"/>
      <c r="B47" s="16"/>
      <c r="C47" s="149">
        <f>DL!L44</f>
        <v>0</v>
      </c>
      <c r="D47" s="149">
        <f>DL!C44</f>
        <v>0</v>
      </c>
      <c r="E47" s="150"/>
      <c r="F47" s="463"/>
      <c r="G47" s="150"/>
      <c r="H47" s="150"/>
      <c r="I47" s="466"/>
      <c r="J47" s="150"/>
      <c r="K47" s="168"/>
      <c r="L47" s="466"/>
      <c r="M47" s="150"/>
      <c r="N47" s="466"/>
      <c r="O47" s="150"/>
      <c r="P47" s="150"/>
      <c r="Q47" s="150"/>
      <c r="R47" s="472"/>
      <c r="S47" s="466"/>
      <c r="T47" s="150"/>
      <c r="U47" s="150"/>
      <c r="V47" s="150"/>
      <c r="W47" s="168"/>
      <c r="X47" s="150"/>
      <c r="Y47" s="466"/>
      <c r="Z47" s="455"/>
      <c r="AA47" s="150"/>
      <c r="AB47" s="490"/>
      <c r="AC47" s="150"/>
      <c r="AD47" s="150"/>
      <c r="AE47" s="466"/>
      <c r="AF47" s="499"/>
      <c r="AG47" s="150"/>
      <c r="AH47" s="150"/>
      <c r="AI47" s="150"/>
      <c r="AJ47" s="150"/>
      <c r="AK47" s="150"/>
      <c r="AL47" s="150"/>
      <c r="AM47" s="150"/>
      <c r="AN47" s="466"/>
      <c r="AO47" s="466"/>
      <c r="AP47" s="150"/>
      <c r="AQ47" s="150"/>
      <c r="AR47" s="151"/>
      <c r="AS47" s="456"/>
      <c r="AT47" s="466"/>
      <c r="AU47" s="150"/>
      <c r="AV47" s="487"/>
      <c r="AW47" s="150"/>
      <c r="AX47" s="150"/>
      <c r="AY47" s="466"/>
      <c r="AZ47" s="466"/>
      <c r="BA47" s="150"/>
      <c r="BB47" s="150"/>
      <c r="BC47" s="466"/>
      <c r="BD47" s="466"/>
      <c r="BE47" s="466"/>
      <c r="BF47" s="466"/>
      <c r="BG47" s="150"/>
      <c r="BH47" s="150"/>
      <c r="BI47" s="150"/>
      <c r="BJ47" s="466"/>
      <c r="BK47" s="152"/>
      <c r="BL47" s="160"/>
      <c r="BM47" s="150"/>
      <c r="BN47" s="466"/>
      <c r="BO47" s="150"/>
      <c r="BP47" s="516"/>
      <c r="BQ47" s="160"/>
      <c r="BR47" s="152"/>
      <c r="BS47" s="160"/>
    </row>
    <row r="48" spans="1:71" x14ac:dyDescent="0.3">
      <c r="A48" s="420" t="str">
        <f>DL!A45</f>
        <v>LOT 3</v>
      </c>
      <c r="B48" s="16" t="s">
        <v>33</v>
      </c>
      <c r="C48" s="149">
        <f>DL!L45</f>
        <v>0</v>
      </c>
      <c r="D48" s="149">
        <f>DL!C45</f>
        <v>0</v>
      </c>
      <c r="E48" s="150"/>
      <c r="F48" s="463"/>
      <c r="G48" s="150"/>
      <c r="H48" s="150"/>
      <c r="I48" s="466"/>
      <c r="J48" s="150"/>
      <c r="K48" s="168"/>
      <c r="L48" s="466"/>
      <c r="M48" s="150"/>
      <c r="N48" s="466"/>
      <c r="O48" s="150"/>
      <c r="P48" s="150"/>
      <c r="Q48" s="150"/>
      <c r="R48" s="472"/>
      <c r="S48" s="466"/>
      <c r="T48" s="150"/>
      <c r="U48" s="150"/>
      <c r="V48" s="150"/>
      <c r="W48" s="168"/>
      <c r="X48" s="150"/>
      <c r="Y48" s="466"/>
      <c r="Z48" s="455"/>
      <c r="AA48" s="150"/>
      <c r="AB48" s="490"/>
      <c r="AC48" s="150"/>
      <c r="AD48" s="150"/>
      <c r="AE48" s="466"/>
      <c r="AF48" s="499"/>
      <c r="AG48" s="150"/>
      <c r="AH48" s="150"/>
      <c r="AI48" s="150"/>
      <c r="AJ48" s="150"/>
      <c r="AK48" s="150"/>
      <c r="AL48" s="150"/>
      <c r="AM48" s="150"/>
      <c r="AN48" s="466"/>
      <c r="AO48" s="466"/>
      <c r="AP48" s="150"/>
      <c r="AQ48" s="150"/>
      <c r="AR48" s="151"/>
      <c r="AS48" s="456"/>
      <c r="AT48" s="466"/>
      <c r="AU48" s="150"/>
      <c r="AV48" s="487"/>
      <c r="AW48" s="150"/>
      <c r="AX48" s="150"/>
      <c r="AY48" s="466"/>
      <c r="AZ48" s="466"/>
      <c r="BA48" s="150"/>
      <c r="BB48" s="150"/>
      <c r="BC48" s="466"/>
      <c r="BD48" s="466"/>
      <c r="BE48" s="466"/>
      <c r="BF48" s="466"/>
      <c r="BG48" s="150"/>
      <c r="BH48" s="150"/>
      <c r="BI48" s="150"/>
      <c r="BJ48" s="466"/>
      <c r="BK48" s="152"/>
      <c r="BL48" s="160"/>
      <c r="BM48" s="150"/>
      <c r="BN48" s="466"/>
      <c r="BO48" s="150"/>
      <c r="BP48" s="516"/>
      <c r="BQ48" s="160"/>
      <c r="BR48" s="152"/>
      <c r="BS48" s="160"/>
    </row>
    <row r="49" spans="1:71" x14ac:dyDescent="0.3">
      <c r="A49" s="420"/>
      <c r="B49" s="16" t="s">
        <v>34</v>
      </c>
      <c r="C49" s="149">
        <f>DL!L46</f>
        <v>0</v>
      </c>
      <c r="D49" s="149">
        <f>DL!C46</f>
        <v>0</v>
      </c>
      <c r="E49" s="150"/>
      <c r="F49" s="463"/>
      <c r="G49" s="150"/>
      <c r="H49" s="150"/>
      <c r="I49" s="466"/>
      <c r="J49" s="150"/>
      <c r="K49" s="168"/>
      <c r="L49" s="466"/>
      <c r="M49" s="150"/>
      <c r="N49" s="466"/>
      <c r="O49" s="150"/>
      <c r="P49" s="150"/>
      <c r="Q49" s="150"/>
      <c r="R49" s="472"/>
      <c r="S49" s="466"/>
      <c r="T49" s="150"/>
      <c r="U49" s="150"/>
      <c r="V49" s="150"/>
      <c r="W49" s="168"/>
      <c r="X49" s="150"/>
      <c r="Y49" s="466"/>
      <c r="Z49" s="455"/>
      <c r="AA49" s="150"/>
      <c r="AB49" s="490"/>
      <c r="AC49" s="150"/>
      <c r="AD49" s="150"/>
      <c r="AE49" s="466"/>
      <c r="AF49" s="499"/>
      <c r="AG49" s="150"/>
      <c r="AH49" s="150"/>
      <c r="AI49" s="150"/>
      <c r="AJ49" s="150"/>
      <c r="AK49" s="150"/>
      <c r="AL49" s="150"/>
      <c r="AM49" s="150"/>
      <c r="AN49" s="466"/>
      <c r="AO49" s="466"/>
      <c r="AP49" s="150"/>
      <c r="AQ49" s="150"/>
      <c r="AR49" s="151"/>
      <c r="AS49" s="456"/>
      <c r="AT49" s="466"/>
      <c r="AU49" s="150"/>
      <c r="AV49" s="487"/>
      <c r="AW49" s="150"/>
      <c r="AX49" s="150"/>
      <c r="AY49" s="466"/>
      <c r="AZ49" s="466"/>
      <c r="BA49" s="150"/>
      <c r="BB49" s="150"/>
      <c r="BC49" s="466"/>
      <c r="BD49" s="466"/>
      <c r="BE49" s="466"/>
      <c r="BF49" s="466"/>
      <c r="BG49" s="150"/>
      <c r="BH49" s="150"/>
      <c r="BI49" s="150"/>
      <c r="BJ49" s="466"/>
      <c r="BK49" s="152"/>
      <c r="BL49" s="160"/>
      <c r="BM49" s="150"/>
      <c r="BN49" s="466"/>
      <c r="BO49" s="150"/>
      <c r="BP49" s="516"/>
      <c r="BQ49" s="160"/>
      <c r="BR49" s="152"/>
      <c r="BS49" s="160"/>
    </row>
    <row r="50" spans="1:71" x14ac:dyDescent="0.3">
      <c r="A50" s="420">
        <f>DL!A47</f>
        <v>34</v>
      </c>
      <c r="B50" s="16" t="s">
        <v>35</v>
      </c>
      <c r="C50" s="149">
        <f>DL!L47</f>
        <v>800</v>
      </c>
      <c r="D50" s="149">
        <f>DL!C47</f>
        <v>100</v>
      </c>
      <c r="E50" s="150"/>
      <c r="F50" s="463"/>
      <c r="G50" s="150"/>
      <c r="H50" s="150"/>
      <c r="I50" s="466"/>
      <c r="J50" s="150"/>
      <c r="K50" s="168"/>
      <c r="L50" s="466"/>
      <c r="M50" s="150"/>
      <c r="N50" s="466"/>
      <c r="O50" s="150"/>
      <c r="P50" s="150"/>
      <c r="Q50" s="150"/>
      <c r="R50" s="473">
        <v>380</v>
      </c>
      <c r="S50" s="466">
        <v>500</v>
      </c>
      <c r="T50" s="150"/>
      <c r="U50" s="150"/>
      <c r="V50" s="150"/>
      <c r="W50" s="168"/>
      <c r="X50" s="150"/>
      <c r="Y50" s="466"/>
      <c r="Z50" s="455"/>
      <c r="AA50" s="150"/>
      <c r="AB50" s="490"/>
      <c r="AC50" s="150"/>
      <c r="AD50" s="150"/>
      <c r="AE50" s="466"/>
      <c r="AF50" s="499"/>
      <c r="AG50" s="150"/>
      <c r="AH50" s="150"/>
      <c r="AI50" s="150"/>
      <c r="AJ50" s="150"/>
      <c r="AK50" s="150"/>
      <c r="AL50" s="150"/>
      <c r="AM50" s="150"/>
      <c r="AN50" s="466"/>
      <c r="AO50" s="466"/>
      <c r="AP50" s="150"/>
      <c r="AQ50" s="150"/>
      <c r="AR50" s="151"/>
      <c r="AS50" s="456"/>
      <c r="AT50" s="466"/>
      <c r="AU50" s="150"/>
      <c r="AV50" s="487"/>
      <c r="AW50" s="150"/>
      <c r="AX50" s="150">
        <v>405</v>
      </c>
      <c r="AY50" s="466"/>
      <c r="AZ50" s="466"/>
      <c r="BA50" s="150"/>
      <c r="BB50" s="150"/>
      <c r="BC50" s="466"/>
      <c r="BD50" s="466"/>
      <c r="BE50" s="466">
        <v>100</v>
      </c>
      <c r="BF50" s="466"/>
      <c r="BG50" s="150"/>
      <c r="BH50" s="150"/>
      <c r="BI50" s="150"/>
      <c r="BJ50" s="466"/>
      <c r="BK50" s="152"/>
      <c r="BL50" s="160"/>
      <c r="BM50" s="150"/>
      <c r="BN50" s="466"/>
      <c r="BO50" s="150"/>
      <c r="BP50" s="516"/>
      <c r="BQ50" s="160"/>
      <c r="BR50" s="152"/>
      <c r="BS50" s="160"/>
    </row>
    <row r="51" spans="1:71" x14ac:dyDescent="0.3">
      <c r="A51" s="420">
        <f>DL!A48</f>
        <v>35</v>
      </c>
      <c r="B51" s="16" t="s">
        <v>425</v>
      </c>
      <c r="C51" s="149">
        <f>DL!L48</f>
        <v>10</v>
      </c>
      <c r="D51" s="149">
        <f>DL!C48</f>
        <v>30</v>
      </c>
      <c r="E51" s="150"/>
      <c r="F51" s="463"/>
      <c r="G51" s="150"/>
      <c r="H51" s="150"/>
      <c r="I51" s="466"/>
      <c r="J51" s="150"/>
      <c r="K51" s="168"/>
      <c r="L51" s="466"/>
      <c r="M51" s="150"/>
      <c r="N51" s="466"/>
      <c r="O51" s="150"/>
      <c r="P51" s="150"/>
      <c r="Q51" s="150"/>
      <c r="R51" s="472"/>
      <c r="S51" s="466">
        <v>1600</v>
      </c>
      <c r="T51" s="150"/>
      <c r="U51" s="150"/>
      <c r="V51" s="159"/>
      <c r="W51" s="168"/>
      <c r="X51" s="150"/>
      <c r="Y51" s="466"/>
      <c r="Z51" s="455"/>
      <c r="AA51" s="150"/>
      <c r="AB51" s="490"/>
      <c r="AC51" s="150"/>
      <c r="AD51" s="150"/>
      <c r="AE51" s="466"/>
      <c r="AF51" s="499"/>
      <c r="AG51" s="150"/>
      <c r="AH51" s="150"/>
      <c r="AI51" s="150"/>
      <c r="AJ51" s="150"/>
      <c r="AK51" s="150"/>
      <c r="AL51" s="150"/>
      <c r="AM51" s="150"/>
      <c r="AN51" s="466"/>
      <c r="AO51" s="466">
        <v>1727</v>
      </c>
      <c r="AP51" s="150"/>
      <c r="AQ51" s="150"/>
      <c r="AR51" s="151"/>
      <c r="AS51" s="456"/>
      <c r="AT51" s="466"/>
      <c r="AU51" s="150"/>
      <c r="AV51" s="487"/>
      <c r="AW51" s="150"/>
      <c r="AX51" s="150"/>
      <c r="AY51" s="466"/>
      <c r="AZ51" s="466"/>
      <c r="BA51" s="150"/>
      <c r="BB51" s="150"/>
      <c r="BC51" s="466"/>
      <c r="BD51" s="466"/>
      <c r="BE51" s="466"/>
      <c r="BF51" s="466"/>
      <c r="BG51" s="150"/>
      <c r="BH51" s="150"/>
      <c r="BI51" s="150"/>
      <c r="BJ51" s="466"/>
      <c r="BK51" s="152"/>
      <c r="BL51" s="160"/>
      <c r="BM51" s="150"/>
      <c r="BN51" s="466"/>
      <c r="BO51" s="150"/>
      <c r="BP51" s="516"/>
      <c r="BQ51" s="160"/>
      <c r="BR51" s="152"/>
      <c r="BS51" s="160"/>
    </row>
    <row r="52" spans="1:71" x14ac:dyDescent="0.3">
      <c r="A52" s="420">
        <f>DL!A49</f>
        <v>36</v>
      </c>
      <c r="B52" s="16" t="s">
        <v>36</v>
      </c>
      <c r="C52" s="149">
        <f>DL!L49</f>
        <v>200</v>
      </c>
      <c r="D52" s="149">
        <f>DL!C49</f>
        <v>30</v>
      </c>
      <c r="E52" s="150"/>
      <c r="F52" s="463"/>
      <c r="G52" s="150"/>
      <c r="H52" s="150"/>
      <c r="I52" s="466"/>
      <c r="J52" s="150"/>
      <c r="K52" s="168"/>
      <c r="L52" s="466"/>
      <c r="M52" s="150"/>
      <c r="N52" s="466"/>
      <c r="O52" s="150"/>
      <c r="P52" s="150"/>
      <c r="Q52" s="150"/>
      <c r="R52" s="472"/>
      <c r="S52" s="466"/>
      <c r="T52" s="150"/>
      <c r="U52" s="150"/>
      <c r="V52" s="150"/>
      <c r="W52" s="168"/>
      <c r="X52" s="150"/>
      <c r="Y52" s="466"/>
      <c r="Z52" s="455"/>
      <c r="AA52" s="150"/>
      <c r="AB52" s="490"/>
      <c r="AC52" s="150"/>
      <c r="AD52" s="150"/>
      <c r="AE52" s="466"/>
      <c r="AF52" s="499"/>
      <c r="AG52" s="150"/>
      <c r="AH52" s="150"/>
      <c r="AI52" s="150"/>
      <c r="AJ52" s="150">
        <v>1800</v>
      </c>
      <c r="AK52" s="150"/>
      <c r="AL52" s="150"/>
      <c r="AM52" s="150"/>
      <c r="AN52" s="466"/>
      <c r="AO52" s="466"/>
      <c r="AP52" s="150"/>
      <c r="AQ52" s="150"/>
      <c r="AR52" s="151"/>
      <c r="AS52" s="456"/>
      <c r="AT52" s="466"/>
      <c r="AU52" s="150"/>
      <c r="AV52" s="487"/>
      <c r="AW52" s="150"/>
      <c r="AX52" s="150"/>
      <c r="AY52" s="466"/>
      <c r="AZ52" s="466"/>
      <c r="BA52" s="150"/>
      <c r="BB52" s="150"/>
      <c r="BC52" s="466"/>
      <c r="BD52" s="466"/>
      <c r="BE52" s="466"/>
      <c r="BF52" s="466"/>
      <c r="BG52" s="150"/>
      <c r="BH52" s="150"/>
      <c r="BI52" s="150"/>
      <c r="BJ52" s="466"/>
      <c r="BK52" s="152"/>
      <c r="BL52" s="160"/>
      <c r="BM52" s="150"/>
      <c r="BN52" s="466"/>
      <c r="BO52" s="150"/>
      <c r="BP52" s="516"/>
      <c r="BQ52" s="160"/>
      <c r="BR52" s="152"/>
      <c r="BS52" s="160"/>
    </row>
    <row r="53" spans="1:71" x14ac:dyDescent="0.3">
      <c r="A53" s="420">
        <f>DL!A50</f>
        <v>37</v>
      </c>
      <c r="B53" s="16" t="s">
        <v>37</v>
      </c>
      <c r="C53" s="149">
        <v>12000</v>
      </c>
      <c r="D53" s="149">
        <f>DL!C50</f>
        <v>28</v>
      </c>
      <c r="E53" s="150"/>
      <c r="F53" s="463"/>
      <c r="G53" s="150">
        <v>350</v>
      </c>
      <c r="H53" s="150"/>
      <c r="I53" s="466">
        <v>300</v>
      </c>
      <c r="J53" s="159">
        <f>400/30*28</f>
        <v>373.33333333333337</v>
      </c>
      <c r="K53" s="168">
        <v>270</v>
      </c>
      <c r="L53" s="466"/>
      <c r="M53" s="150"/>
      <c r="N53" s="466"/>
      <c r="O53" s="159"/>
      <c r="P53" s="159"/>
      <c r="Q53" s="150"/>
      <c r="R53" s="473">
        <v>311.72399999999999</v>
      </c>
      <c r="S53" s="466">
        <v>230</v>
      </c>
      <c r="T53" s="150"/>
      <c r="U53" s="150"/>
      <c r="V53" s="159">
        <f>440/30*28</f>
        <v>410.66666666666663</v>
      </c>
      <c r="W53" s="168"/>
      <c r="X53" s="150"/>
      <c r="Y53" s="466"/>
      <c r="Z53" s="455"/>
      <c r="AA53" s="150">
        <v>1200</v>
      </c>
      <c r="AB53" s="490">
        <v>250</v>
      </c>
      <c r="AC53" s="150"/>
      <c r="AD53" s="150"/>
      <c r="AE53" s="466"/>
      <c r="AF53" s="499"/>
      <c r="AG53" s="150">
        <v>320</v>
      </c>
      <c r="AH53" s="150"/>
      <c r="AI53" s="159"/>
      <c r="AJ53" s="150"/>
      <c r="AK53" s="159"/>
      <c r="AL53" s="159"/>
      <c r="AM53" s="150"/>
      <c r="AN53" s="466"/>
      <c r="AO53" s="466"/>
      <c r="AP53" s="150">
        <v>300</v>
      </c>
      <c r="AQ53" s="150"/>
      <c r="AR53" s="162"/>
      <c r="AS53" s="456"/>
      <c r="AT53" s="466"/>
      <c r="AU53" s="150"/>
      <c r="AV53" s="487"/>
      <c r="AW53" s="150"/>
      <c r="AX53" s="150"/>
      <c r="AY53" s="466"/>
      <c r="AZ53" s="466"/>
      <c r="BA53" s="150"/>
      <c r="BB53" s="150">
        <v>400</v>
      </c>
      <c r="BC53" s="466"/>
      <c r="BD53" s="466">
        <v>260</v>
      </c>
      <c r="BE53" s="466">
        <v>450</v>
      </c>
      <c r="BF53" s="466"/>
      <c r="BG53" s="150"/>
      <c r="BH53" s="159">
        <f>662/30*28</f>
        <v>617.86666666666667</v>
      </c>
      <c r="BI53" s="150"/>
      <c r="BJ53" s="466"/>
      <c r="BK53" s="152"/>
      <c r="BL53" s="160"/>
      <c r="BM53" s="159">
        <f>700/50*28</f>
        <v>392</v>
      </c>
      <c r="BN53" s="510">
        <f>385/30*28</f>
        <v>359.33333333333337</v>
      </c>
      <c r="BO53" s="150">
        <v>300</v>
      </c>
      <c r="BP53" s="516"/>
      <c r="BQ53" s="160"/>
      <c r="BR53" s="152"/>
      <c r="BS53" s="160"/>
    </row>
    <row r="54" spans="1:71" x14ac:dyDescent="0.3">
      <c r="A54" s="420">
        <f>DL!A51</f>
        <v>38</v>
      </c>
      <c r="B54" s="16" t="s">
        <v>38</v>
      </c>
      <c r="C54" s="149">
        <f>DL!L51</f>
        <v>200</v>
      </c>
      <c r="D54" s="149">
        <f>DL!C51</f>
        <v>30</v>
      </c>
      <c r="E54" s="150"/>
      <c r="F54" s="463"/>
      <c r="G54" s="150"/>
      <c r="H54" s="150"/>
      <c r="I54" s="466"/>
      <c r="J54" s="150"/>
      <c r="K54" s="168"/>
      <c r="L54" s="466"/>
      <c r="M54" s="150"/>
      <c r="N54" s="466"/>
      <c r="O54" s="150"/>
      <c r="P54" s="159"/>
      <c r="Q54" s="150"/>
      <c r="R54" s="472"/>
      <c r="S54" s="466"/>
      <c r="T54" s="150"/>
      <c r="U54" s="150"/>
      <c r="V54" s="150"/>
      <c r="W54" s="168"/>
      <c r="X54" s="150"/>
      <c r="Y54" s="466"/>
      <c r="Z54" s="455"/>
      <c r="AA54" s="150"/>
      <c r="AB54" s="490"/>
      <c r="AC54" s="150"/>
      <c r="AD54" s="150"/>
      <c r="AE54" s="466"/>
      <c r="AF54" s="499"/>
      <c r="AG54" s="150"/>
      <c r="AH54" s="150"/>
      <c r="AI54" s="150"/>
      <c r="AJ54" s="150">
        <v>1250</v>
      </c>
      <c r="AK54" s="150"/>
      <c r="AL54" s="159"/>
      <c r="AM54" s="150"/>
      <c r="AN54" s="466"/>
      <c r="AO54" s="466"/>
      <c r="AP54" s="150"/>
      <c r="AQ54" s="150"/>
      <c r="AR54" s="151"/>
      <c r="AS54" s="456"/>
      <c r="AT54" s="466"/>
      <c r="AU54" s="150"/>
      <c r="AV54" s="487"/>
      <c r="AW54" s="150"/>
      <c r="AX54" s="150"/>
      <c r="AY54" s="466"/>
      <c r="AZ54" s="466"/>
      <c r="BA54" s="150"/>
      <c r="BB54" s="150"/>
      <c r="BC54" s="466"/>
      <c r="BD54" s="466"/>
      <c r="BE54" s="466"/>
      <c r="BF54" s="466"/>
      <c r="BG54" s="150"/>
      <c r="BH54" s="159"/>
      <c r="BI54" s="150"/>
      <c r="BJ54" s="466"/>
      <c r="BK54" s="152"/>
      <c r="BL54" s="160"/>
      <c r="BM54" s="150"/>
      <c r="BN54" s="466"/>
      <c r="BO54" s="150"/>
      <c r="BP54" s="516"/>
      <c r="BQ54" s="160"/>
      <c r="BR54" s="152"/>
      <c r="BS54" s="160"/>
    </row>
    <row r="55" spans="1:71" x14ac:dyDescent="0.3">
      <c r="A55" s="420">
        <f>DL!A52</f>
        <v>39</v>
      </c>
      <c r="B55" s="16" t="s">
        <v>39</v>
      </c>
      <c r="C55" s="149">
        <v>10000</v>
      </c>
      <c r="D55" s="149">
        <f>DL!C52</f>
        <v>28</v>
      </c>
      <c r="E55" s="150"/>
      <c r="F55" s="463"/>
      <c r="G55" s="150">
        <v>300</v>
      </c>
      <c r="H55" s="150"/>
      <c r="I55" s="466">
        <v>200</v>
      </c>
      <c r="J55" s="159">
        <f>250/30*28</f>
        <v>233.33333333333334</v>
      </c>
      <c r="K55" s="168">
        <v>180</v>
      </c>
      <c r="L55" s="466"/>
      <c r="M55" s="150"/>
      <c r="N55" s="466"/>
      <c r="O55" s="150"/>
      <c r="P55" s="150">
        <v>320</v>
      </c>
      <c r="Q55" s="150"/>
      <c r="R55" s="473">
        <v>242.91750000000002</v>
      </c>
      <c r="S55" s="466">
        <v>200</v>
      </c>
      <c r="T55" s="150"/>
      <c r="U55" s="150"/>
      <c r="V55" s="150"/>
      <c r="W55" s="168"/>
      <c r="X55" s="150"/>
      <c r="Y55" s="466"/>
      <c r="Z55" s="455"/>
      <c r="AA55" s="150">
        <v>900</v>
      </c>
      <c r="AB55" s="490"/>
      <c r="AC55" s="150"/>
      <c r="AD55" s="150"/>
      <c r="AE55" s="466"/>
      <c r="AF55" s="499"/>
      <c r="AG55" s="150">
        <v>290</v>
      </c>
      <c r="AH55" s="150"/>
      <c r="AI55" s="159"/>
      <c r="AJ55" s="150"/>
      <c r="AK55" s="159"/>
      <c r="AL55" s="159"/>
      <c r="AM55" s="150"/>
      <c r="AN55" s="466"/>
      <c r="AO55" s="466"/>
      <c r="AP55" s="150">
        <v>190</v>
      </c>
      <c r="AQ55" s="150"/>
      <c r="AR55" s="162"/>
      <c r="AS55" s="456"/>
      <c r="AT55" s="466"/>
      <c r="AU55" s="150"/>
      <c r="AV55" s="487"/>
      <c r="AW55" s="150"/>
      <c r="AX55" s="150"/>
      <c r="AY55" s="466"/>
      <c r="AZ55" s="466"/>
      <c r="BA55" s="150"/>
      <c r="BB55" s="150">
        <v>350</v>
      </c>
      <c r="BC55" s="466"/>
      <c r="BD55" s="466">
        <v>240</v>
      </c>
      <c r="BE55" s="466">
        <v>430</v>
      </c>
      <c r="BF55" s="466"/>
      <c r="BG55" s="150"/>
      <c r="BH55" s="159">
        <f>479/30*28</f>
        <v>447.06666666666666</v>
      </c>
      <c r="BI55" s="150"/>
      <c r="BJ55" s="466"/>
      <c r="BK55" s="152"/>
      <c r="BL55" s="160"/>
      <c r="BM55" s="159">
        <f>500/50*28</f>
        <v>280</v>
      </c>
      <c r="BN55" s="510">
        <f>350/30*28</f>
        <v>326.66666666666663</v>
      </c>
      <c r="BO55" s="150">
        <v>200</v>
      </c>
      <c r="BP55" s="516"/>
      <c r="BQ55" s="160"/>
      <c r="BR55" s="152"/>
      <c r="BS55" s="160"/>
    </row>
    <row r="56" spans="1:71" x14ac:dyDescent="0.3">
      <c r="A56" s="420">
        <f>DL!A53</f>
        <v>40</v>
      </c>
      <c r="B56" s="16" t="s">
        <v>1253</v>
      </c>
      <c r="C56" s="149">
        <f>DL!L53</f>
        <v>60</v>
      </c>
      <c r="D56" s="149">
        <f>DL!C53</f>
        <v>28</v>
      </c>
      <c r="E56" s="150"/>
      <c r="F56" s="463"/>
      <c r="G56" s="150"/>
      <c r="H56" s="150"/>
      <c r="I56" s="466"/>
      <c r="J56" s="150"/>
      <c r="K56" s="168"/>
      <c r="L56" s="466"/>
      <c r="M56" s="150"/>
      <c r="N56" s="466"/>
      <c r="O56" s="150"/>
      <c r="P56" s="150"/>
      <c r="Q56" s="150"/>
      <c r="R56" s="472"/>
      <c r="S56" s="466"/>
      <c r="T56" s="150"/>
      <c r="U56" s="150"/>
      <c r="V56" s="150"/>
      <c r="W56" s="168"/>
      <c r="X56" s="150"/>
      <c r="Y56" s="466"/>
      <c r="Z56" s="455"/>
      <c r="AA56" s="150"/>
      <c r="AB56" s="490"/>
      <c r="AC56" s="150"/>
      <c r="AD56" s="150"/>
      <c r="AE56" s="466"/>
      <c r="AF56" s="499"/>
      <c r="AG56" s="150"/>
      <c r="AH56" s="150"/>
      <c r="AI56" s="150"/>
      <c r="AJ56" s="150"/>
      <c r="AK56" s="150"/>
      <c r="AL56" s="150"/>
      <c r="AM56" s="150"/>
      <c r="AN56" s="466"/>
      <c r="AO56" s="466"/>
      <c r="AP56" s="150"/>
      <c r="AQ56" s="150"/>
      <c r="AR56" s="151"/>
      <c r="AS56" s="456"/>
      <c r="AT56" s="466"/>
      <c r="AU56" s="150"/>
      <c r="AV56" s="487"/>
      <c r="AW56" s="150"/>
      <c r="AX56" s="150"/>
      <c r="AY56" s="466"/>
      <c r="AZ56" s="466"/>
      <c r="BA56" s="150">
        <v>2099</v>
      </c>
      <c r="BB56" s="150"/>
      <c r="BC56" s="466"/>
      <c r="BD56" s="466"/>
      <c r="BE56" s="466"/>
      <c r="BF56" s="466"/>
      <c r="BG56" s="150"/>
      <c r="BH56" s="150"/>
      <c r="BI56" s="150"/>
      <c r="BJ56" s="466"/>
      <c r="BK56" s="152"/>
      <c r="BL56" s="160"/>
      <c r="BM56" s="150"/>
      <c r="BN56" s="466"/>
      <c r="BO56" s="150"/>
      <c r="BP56" s="516"/>
      <c r="BQ56" s="160"/>
      <c r="BR56" s="152"/>
      <c r="BS56" s="160"/>
    </row>
    <row r="57" spans="1:71" x14ac:dyDescent="0.3">
      <c r="A57" s="420">
        <f>DL!A54</f>
        <v>41</v>
      </c>
      <c r="B57" s="16" t="s">
        <v>1254</v>
      </c>
      <c r="C57" s="149">
        <f>DL!L54</f>
        <v>60</v>
      </c>
      <c r="D57" s="149">
        <f>DL!C54</f>
        <v>28</v>
      </c>
      <c r="E57" s="150"/>
      <c r="F57" s="463"/>
      <c r="G57" s="150"/>
      <c r="H57" s="150"/>
      <c r="I57" s="466"/>
      <c r="J57" s="150"/>
      <c r="K57" s="168"/>
      <c r="L57" s="466"/>
      <c r="M57" s="150"/>
      <c r="N57" s="466"/>
      <c r="O57" s="150"/>
      <c r="P57" s="150"/>
      <c r="Q57" s="150"/>
      <c r="R57" s="472"/>
      <c r="S57" s="466"/>
      <c r="T57" s="150"/>
      <c r="U57" s="150"/>
      <c r="V57" s="150"/>
      <c r="W57" s="168"/>
      <c r="X57" s="150"/>
      <c r="Y57" s="466"/>
      <c r="Z57" s="455"/>
      <c r="AA57" s="150"/>
      <c r="AB57" s="490"/>
      <c r="AC57" s="150"/>
      <c r="AD57" s="150"/>
      <c r="AE57" s="466"/>
      <c r="AF57" s="499"/>
      <c r="AG57" s="150"/>
      <c r="AH57" s="150"/>
      <c r="AI57" s="150"/>
      <c r="AJ57" s="150"/>
      <c r="AK57" s="150"/>
      <c r="AL57" s="150"/>
      <c r="AM57" s="150"/>
      <c r="AN57" s="466"/>
      <c r="AO57" s="466"/>
      <c r="AP57" s="150"/>
      <c r="AQ57" s="150"/>
      <c r="AR57" s="151"/>
      <c r="AS57" s="456"/>
      <c r="AT57" s="466"/>
      <c r="AU57" s="150"/>
      <c r="AV57" s="487"/>
      <c r="AW57" s="150"/>
      <c r="AX57" s="150"/>
      <c r="AY57" s="466"/>
      <c r="AZ57" s="466"/>
      <c r="BA57" s="150">
        <v>2214</v>
      </c>
      <c r="BB57" s="150"/>
      <c r="BC57" s="466"/>
      <c r="BD57" s="466"/>
      <c r="BE57" s="466"/>
      <c r="BF57" s="466"/>
      <c r="BG57" s="150"/>
      <c r="BH57" s="150"/>
      <c r="BI57" s="150"/>
      <c r="BJ57" s="466"/>
      <c r="BK57" s="152"/>
      <c r="BL57" s="160"/>
      <c r="BM57" s="150"/>
      <c r="BN57" s="466"/>
      <c r="BO57" s="150"/>
      <c r="BP57" s="516"/>
      <c r="BQ57" s="160"/>
      <c r="BR57" s="152"/>
      <c r="BS57" s="160"/>
    </row>
    <row r="58" spans="1:71" x14ac:dyDescent="0.3">
      <c r="A58" s="420">
        <f>DL!A55</f>
        <v>42</v>
      </c>
      <c r="B58" s="16" t="s">
        <v>1255</v>
      </c>
      <c r="C58" s="149">
        <f>DL!L55</f>
        <v>60</v>
      </c>
      <c r="D58" s="149">
        <f>DL!C55</f>
        <v>28</v>
      </c>
      <c r="E58" s="150"/>
      <c r="F58" s="463"/>
      <c r="G58" s="150"/>
      <c r="H58" s="150"/>
      <c r="I58" s="466"/>
      <c r="J58" s="150"/>
      <c r="K58" s="168"/>
      <c r="L58" s="466"/>
      <c r="M58" s="150"/>
      <c r="N58" s="466"/>
      <c r="O58" s="150"/>
      <c r="P58" s="150"/>
      <c r="Q58" s="150"/>
      <c r="R58" s="472"/>
      <c r="S58" s="466"/>
      <c r="T58" s="159"/>
      <c r="U58" s="150"/>
      <c r="V58" s="150"/>
      <c r="W58" s="168"/>
      <c r="X58" s="150"/>
      <c r="Y58" s="466"/>
      <c r="Z58" s="455"/>
      <c r="AA58" s="150"/>
      <c r="AB58" s="490"/>
      <c r="AC58" s="150"/>
      <c r="AD58" s="150"/>
      <c r="AE58" s="466"/>
      <c r="AF58" s="499"/>
      <c r="AG58" s="150"/>
      <c r="AH58" s="150"/>
      <c r="AI58" s="150"/>
      <c r="AJ58" s="150"/>
      <c r="AK58" s="150"/>
      <c r="AL58" s="150"/>
      <c r="AM58" s="150"/>
      <c r="AN58" s="466"/>
      <c r="AO58" s="466"/>
      <c r="AP58" s="150"/>
      <c r="AQ58" s="150"/>
      <c r="AR58" s="151"/>
      <c r="AS58" s="456"/>
      <c r="AT58" s="466"/>
      <c r="AU58" s="150"/>
      <c r="AV58" s="487"/>
      <c r="AW58" s="150"/>
      <c r="AX58" s="150"/>
      <c r="AY58" s="466"/>
      <c r="AZ58" s="466"/>
      <c r="BA58" s="150"/>
      <c r="BB58" s="150"/>
      <c r="BC58" s="466"/>
      <c r="BD58" s="466"/>
      <c r="BE58" s="466"/>
      <c r="BF58" s="466"/>
      <c r="BG58" s="150"/>
      <c r="BH58" s="150"/>
      <c r="BI58" s="150"/>
      <c r="BJ58" s="466"/>
      <c r="BK58" s="152"/>
      <c r="BL58" s="160"/>
      <c r="BM58" s="150"/>
      <c r="BN58" s="466"/>
      <c r="BO58" s="150"/>
      <c r="BP58" s="516"/>
      <c r="BQ58" s="160"/>
      <c r="BR58" s="152"/>
      <c r="BS58" s="160"/>
    </row>
    <row r="59" spans="1:71" x14ac:dyDescent="0.3">
      <c r="A59" s="420">
        <f>DL!A56</f>
        <v>43</v>
      </c>
      <c r="B59" s="16" t="s">
        <v>1256</v>
      </c>
      <c r="C59" s="149">
        <f>DL!L56</f>
        <v>60</v>
      </c>
      <c r="D59" s="149">
        <f>DL!C56</f>
        <v>28</v>
      </c>
      <c r="E59" s="150"/>
      <c r="F59" s="463"/>
      <c r="G59" s="150"/>
      <c r="H59" s="150"/>
      <c r="I59" s="466"/>
      <c r="J59" s="150"/>
      <c r="K59" s="168"/>
      <c r="L59" s="466"/>
      <c r="M59" s="150"/>
      <c r="N59" s="466"/>
      <c r="O59" s="150"/>
      <c r="P59" s="150"/>
      <c r="Q59" s="150"/>
      <c r="R59" s="472"/>
      <c r="S59" s="466"/>
      <c r="T59" s="159"/>
      <c r="U59" s="150"/>
      <c r="V59" s="150"/>
      <c r="W59" s="168"/>
      <c r="X59" s="150"/>
      <c r="Y59" s="466"/>
      <c r="Z59" s="455"/>
      <c r="AA59" s="150"/>
      <c r="AB59" s="490"/>
      <c r="AC59" s="150"/>
      <c r="AD59" s="150"/>
      <c r="AE59" s="466"/>
      <c r="AF59" s="499"/>
      <c r="AG59" s="150"/>
      <c r="AH59" s="150"/>
      <c r="AI59" s="150"/>
      <c r="AJ59" s="150"/>
      <c r="AK59" s="150"/>
      <c r="AL59" s="150"/>
      <c r="AM59" s="150"/>
      <c r="AN59" s="466"/>
      <c r="AO59" s="466"/>
      <c r="AP59" s="150"/>
      <c r="AQ59" s="150"/>
      <c r="AR59" s="151"/>
      <c r="AS59" s="456"/>
      <c r="AT59" s="466"/>
      <c r="AU59" s="150"/>
      <c r="AV59" s="487"/>
      <c r="AW59" s="150"/>
      <c r="AX59" s="150"/>
      <c r="AY59" s="466"/>
      <c r="AZ59" s="466"/>
      <c r="BA59" s="150"/>
      <c r="BB59" s="150"/>
      <c r="BC59" s="466"/>
      <c r="BD59" s="466"/>
      <c r="BE59" s="466"/>
      <c r="BF59" s="466"/>
      <c r="BG59" s="150"/>
      <c r="BH59" s="150"/>
      <c r="BI59" s="150"/>
      <c r="BJ59" s="466"/>
      <c r="BK59" s="152"/>
      <c r="BL59" s="160"/>
      <c r="BM59" s="150"/>
      <c r="BN59" s="466"/>
      <c r="BO59" s="150"/>
      <c r="BP59" s="516"/>
      <c r="BQ59" s="160"/>
      <c r="BR59" s="152"/>
      <c r="BS59" s="160"/>
    </row>
    <row r="60" spans="1:71" x14ac:dyDescent="0.3">
      <c r="A60" s="420">
        <f>DL!A57</f>
        <v>44</v>
      </c>
      <c r="B60" s="16" t="s">
        <v>1257</v>
      </c>
      <c r="C60" s="149">
        <f>DL!L57</f>
        <v>60</v>
      </c>
      <c r="D60" s="149">
        <f>DL!C57</f>
        <v>28</v>
      </c>
      <c r="E60" s="150"/>
      <c r="F60" s="463"/>
      <c r="G60" s="150"/>
      <c r="H60" s="150"/>
      <c r="I60" s="466"/>
      <c r="J60" s="150"/>
      <c r="K60" s="168"/>
      <c r="L60" s="466"/>
      <c r="M60" s="150"/>
      <c r="N60" s="466"/>
      <c r="O60" s="150"/>
      <c r="P60" s="150"/>
      <c r="Q60" s="150"/>
      <c r="R60" s="472"/>
      <c r="S60" s="466">
        <v>7000</v>
      </c>
      <c r="T60" s="150"/>
      <c r="U60" s="150"/>
      <c r="V60" s="150"/>
      <c r="W60" s="168"/>
      <c r="X60" s="150"/>
      <c r="Y60" s="466"/>
      <c r="Z60" s="455"/>
      <c r="AA60" s="150"/>
      <c r="AB60" s="490"/>
      <c r="AC60" s="150"/>
      <c r="AD60" s="150"/>
      <c r="AE60" s="466"/>
      <c r="AF60" s="499"/>
      <c r="AG60" s="150"/>
      <c r="AH60" s="150"/>
      <c r="AI60" s="150"/>
      <c r="AJ60" s="150"/>
      <c r="AK60" s="150"/>
      <c r="AL60" s="150"/>
      <c r="AM60" s="150"/>
      <c r="AN60" s="466"/>
      <c r="AO60" s="466"/>
      <c r="AP60" s="150"/>
      <c r="AQ60" s="150"/>
      <c r="AR60" s="151"/>
      <c r="AS60" s="456"/>
      <c r="AT60" s="466"/>
      <c r="AU60" s="150"/>
      <c r="AV60" s="487"/>
      <c r="AW60" s="150"/>
      <c r="AX60" s="150"/>
      <c r="AY60" s="466"/>
      <c r="AZ60" s="466"/>
      <c r="BA60" s="150"/>
      <c r="BB60" s="150"/>
      <c r="BC60" s="466"/>
      <c r="BD60" s="466"/>
      <c r="BE60" s="466"/>
      <c r="BF60" s="466"/>
      <c r="BG60" s="150"/>
      <c r="BH60" s="150"/>
      <c r="BI60" s="150"/>
      <c r="BJ60" s="466"/>
      <c r="BK60" s="152"/>
      <c r="BL60" s="160"/>
      <c r="BM60" s="150"/>
      <c r="BN60" s="466"/>
      <c r="BO60" s="150"/>
      <c r="BP60" s="516"/>
      <c r="BQ60" s="160"/>
      <c r="BR60" s="152"/>
      <c r="BS60" s="160"/>
    </row>
    <row r="61" spans="1:71" x14ac:dyDescent="0.3">
      <c r="A61" s="420">
        <f>DL!A58</f>
        <v>45</v>
      </c>
      <c r="B61" s="16" t="s">
        <v>1258</v>
      </c>
      <c r="C61" s="149">
        <f>DL!L58</f>
        <v>60</v>
      </c>
      <c r="D61" s="149">
        <f>DL!C58</f>
        <v>28</v>
      </c>
      <c r="E61" s="150"/>
      <c r="F61" s="463"/>
      <c r="G61" s="150"/>
      <c r="H61" s="150"/>
      <c r="I61" s="466"/>
      <c r="J61" s="150"/>
      <c r="K61" s="168"/>
      <c r="L61" s="466"/>
      <c r="M61" s="150"/>
      <c r="N61" s="466"/>
      <c r="O61" s="150"/>
      <c r="P61" s="150"/>
      <c r="Q61" s="150"/>
      <c r="R61" s="472"/>
      <c r="S61" s="466">
        <v>7000</v>
      </c>
      <c r="T61" s="150"/>
      <c r="U61" s="150"/>
      <c r="V61" s="150"/>
      <c r="W61" s="168"/>
      <c r="X61" s="150"/>
      <c r="Y61" s="466"/>
      <c r="Z61" s="455"/>
      <c r="AA61" s="150"/>
      <c r="AB61" s="490"/>
      <c r="AC61" s="150"/>
      <c r="AD61" s="150"/>
      <c r="AE61" s="466"/>
      <c r="AF61" s="499"/>
      <c r="AG61" s="150"/>
      <c r="AH61" s="150"/>
      <c r="AI61" s="150"/>
      <c r="AJ61" s="150"/>
      <c r="AK61" s="150"/>
      <c r="AL61" s="150"/>
      <c r="AM61" s="150"/>
      <c r="AN61" s="466"/>
      <c r="AO61" s="466"/>
      <c r="AP61" s="150"/>
      <c r="AQ61" s="150"/>
      <c r="AR61" s="151"/>
      <c r="AS61" s="456"/>
      <c r="AT61" s="466"/>
      <c r="AU61" s="150"/>
      <c r="AV61" s="487"/>
      <c r="AW61" s="150"/>
      <c r="AX61" s="150"/>
      <c r="AY61" s="466"/>
      <c r="AZ61" s="466"/>
      <c r="BA61" s="150"/>
      <c r="BB61" s="150"/>
      <c r="BC61" s="466"/>
      <c r="BD61" s="466"/>
      <c r="BE61" s="466"/>
      <c r="BF61" s="466"/>
      <c r="BG61" s="150"/>
      <c r="BH61" s="150"/>
      <c r="BI61" s="150"/>
      <c r="BJ61" s="466"/>
      <c r="BK61" s="152"/>
      <c r="BL61" s="160"/>
      <c r="BM61" s="150"/>
      <c r="BN61" s="466"/>
      <c r="BO61" s="150"/>
      <c r="BP61" s="516"/>
      <c r="BQ61" s="160"/>
      <c r="BR61" s="152"/>
      <c r="BS61" s="160"/>
    </row>
    <row r="62" spans="1:71" x14ac:dyDescent="0.3">
      <c r="A62" s="420">
        <f>DL!A59</f>
        <v>46</v>
      </c>
      <c r="B62" s="16" t="s">
        <v>40</v>
      </c>
      <c r="C62" s="149">
        <f>DL!L59</f>
        <v>2000</v>
      </c>
      <c r="D62" s="149">
        <f>DL!C59</f>
        <v>100</v>
      </c>
      <c r="E62" s="150"/>
      <c r="F62" s="463"/>
      <c r="G62" s="150"/>
      <c r="H62" s="150"/>
      <c r="I62" s="466"/>
      <c r="J62" s="150"/>
      <c r="K62" s="168"/>
      <c r="L62" s="466"/>
      <c r="M62" s="150"/>
      <c r="N62" s="466"/>
      <c r="O62" s="150"/>
      <c r="P62" s="150"/>
      <c r="Q62" s="150"/>
      <c r="R62" s="473">
        <v>100</v>
      </c>
      <c r="S62" s="466">
        <v>80</v>
      </c>
      <c r="T62" s="150"/>
      <c r="U62" s="150"/>
      <c r="V62" s="150"/>
      <c r="W62" s="168"/>
      <c r="X62" s="150"/>
      <c r="Y62" s="466"/>
      <c r="Z62" s="455"/>
      <c r="AA62" s="150"/>
      <c r="AB62" s="490"/>
      <c r="AC62" s="150"/>
      <c r="AD62" s="150"/>
      <c r="AE62" s="466"/>
      <c r="AF62" s="499"/>
      <c r="AG62" s="150"/>
      <c r="AH62" s="150"/>
      <c r="AI62" s="150"/>
      <c r="AJ62" s="150"/>
      <c r="AK62" s="150"/>
      <c r="AL62" s="150"/>
      <c r="AM62" s="150"/>
      <c r="AN62" s="466"/>
      <c r="AO62" s="466"/>
      <c r="AP62" s="150"/>
      <c r="AQ62" s="150"/>
      <c r="AR62" s="151"/>
      <c r="AS62" s="456"/>
      <c r="AT62" s="466"/>
      <c r="AU62" s="150"/>
      <c r="AV62" s="487"/>
      <c r="AW62" s="150"/>
      <c r="AX62" s="150">
        <v>140</v>
      </c>
      <c r="AY62" s="466"/>
      <c r="AZ62" s="466"/>
      <c r="BA62" s="150"/>
      <c r="BB62" s="150"/>
      <c r="BC62" s="466"/>
      <c r="BD62" s="466"/>
      <c r="BE62" s="466">
        <v>390</v>
      </c>
      <c r="BF62" s="466"/>
      <c r="BG62" s="150"/>
      <c r="BH62" s="150"/>
      <c r="BI62" s="150"/>
      <c r="BJ62" s="466"/>
      <c r="BK62" s="152"/>
      <c r="BL62" s="160"/>
      <c r="BM62" s="150"/>
      <c r="BN62" s="466"/>
      <c r="BO62" s="150"/>
      <c r="BP62" s="516"/>
      <c r="BQ62" s="160"/>
      <c r="BR62" s="152"/>
      <c r="BS62" s="160"/>
    </row>
    <row r="63" spans="1:71" x14ac:dyDescent="0.3">
      <c r="A63" s="420">
        <f>DL!A60</f>
        <v>47</v>
      </c>
      <c r="B63" s="16" t="s">
        <v>41</v>
      </c>
      <c r="C63" s="149">
        <f>DL!L60</f>
        <v>2000</v>
      </c>
      <c r="D63" s="149">
        <f>DL!C60</f>
        <v>28</v>
      </c>
      <c r="E63" s="150"/>
      <c r="F63" s="463"/>
      <c r="G63" s="150"/>
      <c r="H63" s="150"/>
      <c r="I63" s="466"/>
      <c r="J63" s="150"/>
      <c r="K63" s="168"/>
      <c r="L63" s="466"/>
      <c r="M63" s="150"/>
      <c r="N63" s="466"/>
      <c r="O63" s="150"/>
      <c r="P63" s="150"/>
      <c r="Q63" s="150"/>
      <c r="R63" s="472"/>
      <c r="S63" s="466"/>
      <c r="T63" s="150"/>
      <c r="U63" s="150"/>
      <c r="V63" s="150"/>
      <c r="W63" s="168"/>
      <c r="X63" s="150"/>
      <c r="Y63" s="466"/>
      <c r="Z63" s="455"/>
      <c r="AA63" s="150"/>
      <c r="AB63" s="490"/>
      <c r="AC63" s="150"/>
      <c r="AD63" s="150"/>
      <c r="AE63" s="466"/>
      <c r="AF63" s="499"/>
      <c r="AG63" s="150"/>
      <c r="AH63" s="150"/>
      <c r="AI63" s="150"/>
      <c r="AJ63" s="150"/>
      <c r="AK63" s="150"/>
      <c r="AL63" s="150"/>
      <c r="AM63" s="150"/>
      <c r="AN63" s="466"/>
      <c r="AO63" s="466"/>
      <c r="AP63" s="150"/>
      <c r="AQ63" s="150"/>
      <c r="AR63" s="151"/>
      <c r="AS63" s="456"/>
      <c r="AT63" s="466"/>
      <c r="AU63" s="150"/>
      <c r="AV63" s="487"/>
      <c r="AW63" s="150"/>
      <c r="AX63" s="150"/>
      <c r="AY63" s="466"/>
      <c r="AZ63" s="466"/>
      <c r="BA63" s="150"/>
      <c r="BB63" s="150"/>
      <c r="BC63" s="466"/>
      <c r="BD63" s="466"/>
      <c r="BE63" s="466"/>
      <c r="BF63" s="466"/>
      <c r="BG63" s="150"/>
      <c r="BH63" s="150"/>
      <c r="BI63" s="150"/>
      <c r="BJ63" s="466"/>
      <c r="BK63" s="152"/>
      <c r="BL63" s="160"/>
      <c r="BM63" s="150">
        <v>165</v>
      </c>
      <c r="BN63" s="466"/>
      <c r="BO63" s="150"/>
      <c r="BP63" s="516"/>
      <c r="BQ63" s="160"/>
      <c r="BR63" s="152"/>
      <c r="BS63" s="160"/>
    </row>
    <row r="64" spans="1:71" x14ac:dyDescent="0.3">
      <c r="A64" s="420">
        <f>DL!A61</f>
        <v>48</v>
      </c>
      <c r="B64" s="16" t="s">
        <v>42</v>
      </c>
      <c r="C64" s="149">
        <v>3000</v>
      </c>
      <c r="D64" s="149">
        <f>DL!C61</f>
        <v>30</v>
      </c>
      <c r="E64" s="150"/>
      <c r="F64" s="463"/>
      <c r="G64" s="150"/>
      <c r="H64" s="150"/>
      <c r="I64" s="466"/>
      <c r="J64" s="150"/>
      <c r="K64" s="172">
        <f>330/28*30</f>
        <v>353.57142857142861</v>
      </c>
      <c r="L64" s="466"/>
      <c r="M64" s="150"/>
      <c r="N64" s="466"/>
      <c r="O64" s="150"/>
      <c r="P64" s="150"/>
      <c r="Q64" s="159"/>
      <c r="R64" s="473">
        <v>1536.55</v>
      </c>
      <c r="S64" s="466">
        <v>450</v>
      </c>
      <c r="T64" s="150">
        <v>1400</v>
      </c>
      <c r="U64" s="150"/>
      <c r="V64" s="150"/>
      <c r="W64" s="168"/>
      <c r="X64" s="150"/>
      <c r="Y64" s="466"/>
      <c r="Z64" s="455"/>
      <c r="AA64" s="150"/>
      <c r="AB64" s="490">
        <v>1000</v>
      </c>
      <c r="AC64" s="150"/>
      <c r="AD64" s="150"/>
      <c r="AE64" s="466"/>
      <c r="AF64" s="499"/>
      <c r="AG64" s="150"/>
      <c r="AH64" s="150"/>
      <c r="AI64" s="150">
        <v>500</v>
      </c>
      <c r="AJ64" s="150"/>
      <c r="AK64" s="150"/>
      <c r="AL64" s="150"/>
      <c r="AM64" s="150"/>
      <c r="AN64" s="466"/>
      <c r="AO64" s="466">
        <v>325</v>
      </c>
      <c r="AP64" s="150"/>
      <c r="AQ64" s="150"/>
      <c r="AR64" s="151"/>
      <c r="AS64" s="456"/>
      <c r="AT64" s="466">
        <v>5247</v>
      </c>
      <c r="AU64" s="150"/>
      <c r="AV64" s="487"/>
      <c r="AW64" s="150"/>
      <c r="AX64" s="150"/>
      <c r="AY64" s="466"/>
      <c r="AZ64" s="466"/>
      <c r="BA64" s="150">
        <v>1093</v>
      </c>
      <c r="BB64" s="150"/>
      <c r="BC64" s="466"/>
      <c r="BD64" s="466"/>
      <c r="BE64" s="466"/>
      <c r="BF64" s="466"/>
      <c r="BG64" s="150">
        <v>500</v>
      </c>
      <c r="BH64" s="150">
        <v>1653</v>
      </c>
      <c r="BI64" s="150"/>
      <c r="BJ64" s="466"/>
      <c r="BK64" s="152"/>
      <c r="BL64" s="160"/>
      <c r="BM64" s="150">
        <v>700</v>
      </c>
      <c r="BN64" s="466">
        <v>600</v>
      </c>
      <c r="BO64" s="150"/>
      <c r="BP64" s="516"/>
      <c r="BQ64" s="160"/>
      <c r="BR64" s="152"/>
      <c r="BS64" s="160"/>
    </row>
    <row r="65" spans="1:71" x14ac:dyDescent="0.3">
      <c r="A65" s="420">
        <f>DL!A62</f>
        <v>49</v>
      </c>
      <c r="B65" s="16" t="s">
        <v>43</v>
      </c>
      <c r="C65" s="149">
        <f>DL!L62</f>
        <v>2000</v>
      </c>
      <c r="D65" s="149">
        <f>DL!C62</f>
        <v>30</v>
      </c>
      <c r="E65" s="150"/>
      <c r="F65" s="463"/>
      <c r="G65" s="150"/>
      <c r="H65" s="150"/>
      <c r="I65" s="466"/>
      <c r="J65" s="150"/>
      <c r="K65" s="172">
        <f>470/28*30</f>
        <v>503.57142857142856</v>
      </c>
      <c r="L65" s="466"/>
      <c r="M65" s="150"/>
      <c r="N65" s="466"/>
      <c r="O65" s="150"/>
      <c r="P65" s="150"/>
      <c r="Q65" s="150"/>
      <c r="R65" s="473">
        <v>2226.59</v>
      </c>
      <c r="S65" s="466">
        <v>600</v>
      </c>
      <c r="T65" s="150">
        <v>2000</v>
      </c>
      <c r="U65" s="150"/>
      <c r="V65" s="150"/>
      <c r="W65" s="168"/>
      <c r="X65" s="150"/>
      <c r="Y65" s="466"/>
      <c r="Z65" s="455"/>
      <c r="AA65" s="150"/>
      <c r="AB65" s="490">
        <v>1900</v>
      </c>
      <c r="AC65" s="150"/>
      <c r="AD65" s="150"/>
      <c r="AE65" s="466"/>
      <c r="AF65" s="499"/>
      <c r="AG65" s="150"/>
      <c r="AH65" s="150"/>
      <c r="AI65" s="150">
        <v>700</v>
      </c>
      <c r="AJ65" s="150"/>
      <c r="AK65" s="150"/>
      <c r="AL65" s="150"/>
      <c r="AM65" s="150"/>
      <c r="AN65" s="466"/>
      <c r="AO65" s="466">
        <v>450</v>
      </c>
      <c r="AP65" s="150"/>
      <c r="AQ65" s="150"/>
      <c r="AR65" s="151"/>
      <c r="AS65" s="456"/>
      <c r="AT65" s="466">
        <v>5247</v>
      </c>
      <c r="AU65" s="150"/>
      <c r="AV65" s="487"/>
      <c r="AW65" s="150"/>
      <c r="AX65" s="150"/>
      <c r="AY65" s="466"/>
      <c r="AZ65" s="466"/>
      <c r="BA65" s="150">
        <v>1380</v>
      </c>
      <c r="BB65" s="150"/>
      <c r="BC65" s="466"/>
      <c r="BD65" s="466"/>
      <c r="BE65" s="466"/>
      <c r="BF65" s="466"/>
      <c r="BG65" s="150">
        <v>500</v>
      </c>
      <c r="BH65" s="150">
        <v>2394</v>
      </c>
      <c r="BI65" s="150"/>
      <c r="BJ65" s="466"/>
      <c r="BK65" s="152"/>
      <c r="BL65" s="160"/>
      <c r="BM65" s="150"/>
      <c r="BN65" s="466">
        <v>700</v>
      </c>
      <c r="BO65" s="150"/>
      <c r="BP65" s="516"/>
      <c r="BQ65" s="160"/>
      <c r="BR65" s="152"/>
      <c r="BS65" s="160"/>
    </row>
    <row r="66" spans="1:71" x14ac:dyDescent="0.3">
      <c r="A66" s="420">
        <f>DL!A63</f>
        <v>50</v>
      </c>
      <c r="B66" s="16" t="s">
        <v>730</v>
      </c>
      <c r="C66" s="149">
        <f>DL!L63</f>
        <v>100</v>
      </c>
      <c r="D66" s="149">
        <f>DL!C63</f>
        <v>30</v>
      </c>
      <c r="E66" s="150"/>
      <c r="F66" s="463"/>
      <c r="G66" s="150"/>
      <c r="H66" s="150"/>
      <c r="I66" s="466"/>
      <c r="J66" s="150"/>
      <c r="K66" s="168"/>
      <c r="L66" s="466"/>
      <c r="M66" s="150"/>
      <c r="N66" s="466"/>
      <c r="O66" s="150"/>
      <c r="P66" s="150"/>
      <c r="Q66" s="150"/>
      <c r="R66" s="472"/>
      <c r="S66" s="466">
        <v>900</v>
      </c>
      <c r="T66" s="150"/>
      <c r="U66" s="150"/>
      <c r="V66" s="150"/>
      <c r="W66" s="168"/>
      <c r="X66" s="150"/>
      <c r="Y66" s="466"/>
      <c r="Z66" s="455"/>
      <c r="AA66" s="150"/>
      <c r="AB66" s="490"/>
      <c r="AC66" s="150"/>
      <c r="AD66" s="150"/>
      <c r="AE66" s="466"/>
      <c r="AF66" s="499"/>
      <c r="AG66" s="150"/>
      <c r="AH66" s="150"/>
      <c r="AI66" s="150"/>
      <c r="AJ66" s="150"/>
      <c r="AK66" s="150"/>
      <c r="AL66" s="159"/>
      <c r="AM66" s="150"/>
      <c r="AN66" s="466"/>
      <c r="AO66" s="466">
        <v>725</v>
      </c>
      <c r="AP66" s="150"/>
      <c r="AQ66" s="150"/>
      <c r="AR66" s="151"/>
      <c r="AS66" s="456"/>
      <c r="AT66" s="466">
        <v>5247</v>
      </c>
      <c r="AU66" s="150"/>
      <c r="AV66" s="487"/>
      <c r="AW66" s="150"/>
      <c r="AX66" s="150"/>
      <c r="AY66" s="466"/>
      <c r="AZ66" s="466"/>
      <c r="BA66" s="150"/>
      <c r="BB66" s="150"/>
      <c r="BC66" s="466"/>
      <c r="BD66" s="466"/>
      <c r="BE66" s="466"/>
      <c r="BF66" s="466"/>
      <c r="BG66" s="150"/>
      <c r="BH66" s="150"/>
      <c r="BI66" s="150"/>
      <c r="BJ66" s="466"/>
      <c r="BK66" s="152"/>
      <c r="BL66" s="160"/>
      <c r="BM66" s="150"/>
      <c r="BN66" s="466"/>
      <c r="BO66" s="150"/>
      <c r="BP66" s="516"/>
      <c r="BQ66" s="160"/>
      <c r="BR66" s="152"/>
      <c r="BS66" s="160"/>
    </row>
    <row r="67" spans="1:71" x14ac:dyDescent="0.3">
      <c r="A67" s="420">
        <f>DL!A64</f>
        <v>51</v>
      </c>
      <c r="B67" s="16" t="s">
        <v>44</v>
      </c>
      <c r="C67" s="149">
        <f>DL!L64</f>
        <v>100</v>
      </c>
      <c r="D67" s="149">
        <f>DL!C64</f>
        <v>30</v>
      </c>
      <c r="E67" s="150"/>
      <c r="F67" s="463"/>
      <c r="G67" s="150"/>
      <c r="H67" s="150"/>
      <c r="I67" s="466"/>
      <c r="J67" s="150"/>
      <c r="K67" s="168"/>
      <c r="L67" s="466"/>
      <c r="M67" s="150"/>
      <c r="N67" s="466"/>
      <c r="O67" s="150"/>
      <c r="P67" s="150"/>
      <c r="Q67" s="150"/>
      <c r="R67" s="472"/>
      <c r="S67" s="466">
        <v>5000</v>
      </c>
      <c r="T67" s="150"/>
      <c r="U67" s="150"/>
      <c r="V67" s="150"/>
      <c r="W67" s="168"/>
      <c r="X67" s="150"/>
      <c r="Y67" s="466"/>
      <c r="Z67" s="455"/>
      <c r="AA67" s="150"/>
      <c r="AB67" s="490"/>
      <c r="AC67" s="150"/>
      <c r="AD67" s="150"/>
      <c r="AE67" s="466"/>
      <c r="AF67" s="499"/>
      <c r="AG67" s="150"/>
      <c r="AH67" s="150"/>
      <c r="AI67" s="150"/>
      <c r="AJ67" s="150"/>
      <c r="AK67" s="150"/>
      <c r="AL67" s="150"/>
      <c r="AM67" s="150"/>
      <c r="AN67" s="466"/>
      <c r="AO67" s="466"/>
      <c r="AP67" s="150"/>
      <c r="AQ67" s="150"/>
      <c r="AR67" s="151"/>
      <c r="AS67" s="456"/>
      <c r="AT67" s="466">
        <v>5247</v>
      </c>
      <c r="AU67" s="150"/>
      <c r="AV67" s="487"/>
      <c r="AW67" s="150"/>
      <c r="AX67" s="150"/>
      <c r="AY67" s="466"/>
      <c r="AZ67" s="466"/>
      <c r="BA67" s="150"/>
      <c r="BB67" s="150"/>
      <c r="BC67" s="466"/>
      <c r="BD67" s="466"/>
      <c r="BE67" s="466"/>
      <c r="BF67" s="466"/>
      <c r="BG67" s="150"/>
      <c r="BH67" s="150"/>
      <c r="BI67" s="150"/>
      <c r="BJ67" s="466"/>
      <c r="BK67" s="152"/>
      <c r="BL67" s="160"/>
      <c r="BM67" s="150"/>
      <c r="BN67" s="466"/>
      <c r="BO67" s="150"/>
      <c r="BP67" s="516"/>
      <c r="BQ67" s="160"/>
      <c r="BR67" s="152"/>
      <c r="BS67" s="160"/>
    </row>
    <row r="68" spans="1:71" x14ac:dyDescent="0.3">
      <c r="A68" s="420">
        <f>DL!A65</f>
        <v>52</v>
      </c>
      <c r="B68" s="16" t="s">
        <v>426</v>
      </c>
      <c r="C68" s="149">
        <f>DL!L65</f>
        <v>60</v>
      </c>
      <c r="D68" s="149">
        <f>DL!C65</f>
        <v>30</v>
      </c>
      <c r="E68" s="150"/>
      <c r="F68" s="463"/>
      <c r="G68" s="150"/>
      <c r="H68" s="150"/>
      <c r="I68" s="466"/>
      <c r="J68" s="150"/>
      <c r="K68" s="168"/>
      <c r="L68" s="466"/>
      <c r="M68" s="150"/>
      <c r="N68" s="466"/>
      <c r="O68" s="150"/>
      <c r="P68" s="150"/>
      <c r="Q68" s="150"/>
      <c r="R68" s="472"/>
      <c r="S68" s="466">
        <v>800</v>
      </c>
      <c r="T68" s="150"/>
      <c r="U68" s="150"/>
      <c r="V68" s="150"/>
      <c r="W68" s="168"/>
      <c r="X68" s="150"/>
      <c r="Y68" s="466"/>
      <c r="Z68" s="455"/>
      <c r="AA68" s="150"/>
      <c r="AB68" s="490"/>
      <c r="AC68" s="150"/>
      <c r="AD68" s="150"/>
      <c r="AE68" s="466"/>
      <c r="AF68" s="499"/>
      <c r="AG68" s="150"/>
      <c r="AH68" s="150"/>
      <c r="AI68" s="150"/>
      <c r="AJ68" s="150"/>
      <c r="AK68" s="150"/>
      <c r="AL68" s="150"/>
      <c r="AM68" s="150"/>
      <c r="AN68" s="466"/>
      <c r="AO68" s="466"/>
      <c r="AP68" s="150"/>
      <c r="AQ68" s="150"/>
      <c r="AR68" s="151"/>
      <c r="AS68" s="456"/>
      <c r="AT68" s="466"/>
      <c r="AU68" s="150"/>
      <c r="AV68" s="487"/>
      <c r="AW68" s="150"/>
      <c r="AX68" s="150"/>
      <c r="AY68" s="466"/>
      <c r="AZ68" s="466"/>
      <c r="BA68" s="150"/>
      <c r="BB68" s="150"/>
      <c r="BC68" s="466"/>
      <c r="BD68" s="466"/>
      <c r="BE68" s="466"/>
      <c r="BF68" s="466"/>
      <c r="BG68" s="150"/>
      <c r="BH68" s="150"/>
      <c r="BI68" s="150"/>
      <c r="BJ68" s="466"/>
      <c r="BK68" s="152"/>
      <c r="BL68" s="160"/>
      <c r="BM68" s="150"/>
      <c r="BN68" s="466"/>
      <c r="BO68" s="150"/>
      <c r="BP68" s="516"/>
      <c r="BQ68" s="160"/>
      <c r="BR68" s="152"/>
      <c r="BS68" s="160"/>
    </row>
    <row r="69" spans="1:71" x14ac:dyDescent="0.3">
      <c r="A69" s="420">
        <f>DL!A66</f>
        <v>53</v>
      </c>
      <c r="B69" s="16" t="s">
        <v>427</v>
      </c>
      <c r="C69" s="149">
        <f>DL!L66</f>
        <v>60</v>
      </c>
      <c r="D69" s="149">
        <f>DL!C66</f>
        <v>30</v>
      </c>
      <c r="E69" s="150"/>
      <c r="F69" s="463"/>
      <c r="G69" s="150"/>
      <c r="H69" s="150"/>
      <c r="I69" s="466"/>
      <c r="J69" s="150"/>
      <c r="K69" s="168"/>
      <c r="L69" s="466"/>
      <c r="M69" s="150"/>
      <c r="N69" s="466"/>
      <c r="O69" s="150"/>
      <c r="P69" s="150"/>
      <c r="Q69" s="150"/>
      <c r="R69" s="472"/>
      <c r="S69" s="466">
        <v>500</v>
      </c>
      <c r="T69" s="150"/>
      <c r="U69" s="150"/>
      <c r="V69" s="150"/>
      <c r="W69" s="168"/>
      <c r="X69" s="150"/>
      <c r="Y69" s="466"/>
      <c r="Z69" s="455"/>
      <c r="AA69" s="150"/>
      <c r="AB69" s="490"/>
      <c r="AC69" s="150"/>
      <c r="AD69" s="150"/>
      <c r="AE69" s="466"/>
      <c r="AF69" s="499"/>
      <c r="AG69" s="150"/>
      <c r="AH69" s="150"/>
      <c r="AI69" s="150"/>
      <c r="AJ69" s="150"/>
      <c r="AK69" s="150"/>
      <c r="AL69" s="159"/>
      <c r="AM69" s="150"/>
      <c r="AN69" s="466"/>
      <c r="AO69" s="466"/>
      <c r="AP69" s="150"/>
      <c r="AQ69" s="150"/>
      <c r="AR69" s="151"/>
      <c r="AS69" s="456"/>
      <c r="AT69" s="466"/>
      <c r="AU69" s="150"/>
      <c r="AV69" s="487"/>
      <c r="AW69" s="150"/>
      <c r="AX69" s="150"/>
      <c r="AY69" s="466"/>
      <c r="AZ69" s="466"/>
      <c r="BA69" s="150"/>
      <c r="BB69" s="150"/>
      <c r="BC69" s="466"/>
      <c r="BD69" s="466"/>
      <c r="BE69" s="466"/>
      <c r="BF69" s="466"/>
      <c r="BG69" s="150"/>
      <c r="BH69" s="150"/>
      <c r="BI69" s="150"/>
      <c r="BJ69" s="466"/>
      <c r="BK69" s="152"/>
      <c r="BL69" s="160"/>
      <c r="BM69" s="150"/>
      <c r="BN69" s="466"/>
      <c r="BO69" s="150"/>
      <c r="BP69" s="516"/>
      <c r="BQ69" s="160"/>
      <c r="BR69" s="152"/>
      <c r="BS69" s="160"/>
    </row>
    <row r="70" spans="1:71" x14ac:dyDescent="0.3">
      <c r="A70" s="420">
        <f>DL!A67</f>
        <v>54</v>
      </c>
      <c r="B70" s="16" t="s">
        <v>45</v>
      </c>
      <c r="C70" s="149">
        <f>DL!L67</f>
        <v>100</v>
      </c>
      <c r="D70" s="149">
        <f>DL!C67</f>
        <v>28</v>
      </c>
      <c r="E70" s="150"/>
      <c r="F70" s="463"/>
      <c r="G70" s="150"/>
      <c r="H70" s="150"/>
      <c r="I70" s="466"/>
      <c r="J70" s="150"/>
      <c r="K70" s="168"/>
      <c r="L70" s="466"/>
      <c r="M70" s="150"/>
      <c r="N70" s="466"/>
      <c r="O70" s="150"/>
      <c r="P70" s="150"/>
      <c r="Q70" s="150"/>
      <c r="R70" s="472"/>
      <c r="S70" s="466"/>
      <c r="T70" s="150"/>
      <c r="U70" s="150"/>
      <c r="V70" s="150"/>
      <c r="W70" s="168"/>
      <c r="X70" s="150"/>
      <c r="Y70" s="466"/>
      <c r="Z70" s="455"/>
      <c r="AA70" s="150"/>
      <c r="AB70" s="490"/>
      <c r="AC70" s="150"/>
      <c r="AD70" s="150"/>
      <c r="AE70" s="466"/>
      <c r="AF70" s="499"/>
      <c r="AG70" s="150"/>
      <c r="AH70" s="150"/>
      <c r="AI70" s="150"/>
      <c r="AJ70" s="150"/>
      <c r="AK70" s="150"/>
      <c r="AL70" s="150"/>
      <c r="AM70" s="150"/>
      <c r="AN70" s="466"/>
      <c r="AO70" s="466"/>
      <c r="AP70" s="150"/>
      <c r="AQ70" s="150"/>
      <c r="AR70" s="151"/>
      <c r="AS70" s="456"/>
      <c r="AT70" s="466"/>
      <c r="AU70" s="150"/>
      <c r="AV70" s="487"/>
      <c r="AW70" s="150"/>
      <c r="AX70" s="150"/>
      <c r="AY70" s="466"/>
      <c r="AZ70" s="466"/>
      <c r="BA70" s="150"/>
      <c r="BB70" s="150"/>
      <c r="BC70" s="466"/>
      <c r="BD70" s="466"/>
      <c r="BE70" s="466"/>
      <c r="BF70" s="466"/>
      <c r="BG70" s="150"/>
      <c r="BH70" s="150">
        <v>2873</v>
      </c>
      <c r="BI70" s="150"/>
      <c r="BJ70" s="466"/>
      <c r="BK70" s="152"/>
      <c r="BL70" s="160"/>
      <c r="BM70" s="150"/>
      <c r="BN70" s="466"/>
      <c r="BO70" s="150"/>
      <c r="BP70" s="516"/>
      <c r="BQ70" s="160"/>
      <c r="BR70" s="152"/>
      <c r="BS70" s="160"/>
    </row>
    <row r="71" spans="1:71" x14ac:dyDescent="0.3">
      <c r="A71" s="420">
        <f>DL!A68</f>
        <v>55</v>
      </c>
      <c r="B71" s="16" t="s">
        <v>1259</v>
      </c>
      <c r="C71" s="149">
        <f>DL!L68</f>
        <v>65</v>
      </c>
      <c r="D71" s="149">
        <f>DL!C68</f>
        <v>28</v>
      </c>
      <c r="E71" s="150"/>
      <c r="F71" s="463"/>
      <c r="G71" s="150"/>
      <c r="H71" s="150"/>
      <c r="I71" s="466"/>
      <c r="J71" s="150"/>
      <c r="K71" s="168"/>
      <c r="L71" s="466"/>
      <c r="M71" s="150"/>
      <c r="N71" s="466"/>
      <c r="O71" s="150"/>
      <c r="P71" s="150"/>
      <c r="Q71" s="150"/>
      <c r="R71" s="472"/>
      <c r="S71" s="466"/>
      <c r="T71" s="150"/>
      <c r="U71" s="150"/>
      <c r="V71" s="150"/>
      <c r="W71" s="168"/>
      <c r="X71" s="150"/>
      <c r="Y71" s="466"/>
      <c r="Z71" s="455"/>
      <c r="AA71" s="150"/>
      <c r="AB71" s="490"/>
      <c r="AC71" s="150"/>
      <c r="AD71" s="150"/>
      <c r="AE71" s="466"/>
      <c r="AF71" s="499"/>
      <c r="AG71" s="150"/>
      <c r="AH71" s="150"/>
      <c r="AI71" s="150"/>
      <c r="AJ71" s="150"/>
      <c r="AK71" s="150"/>
      <c r="AL71" s="150"/>
      <c r="AM71" s="150"/>
      <c r="AN71" s="466"/>
      <c r="AO71" s="466"/>
      <c r="AP71" s="150"/>
      <c r="AQ71" s="150"/>
      <c r="AR71" s="151"/>
      <c r="AS71" s="456"/>
      <c r="AT71" s="466"/>
      <c r="AU71" s="150"/>
      <c r="AV71" s="487"/>
      <c r="AW71" s="150"/>
      <c r="AX71" s="150"/>
      <c r="AY71" s="466"/>
      <c r="AZ71" s="466"/>
      <c r="BA71" s="150"/>
      <c r="BB71" s="150"/>
      <c r="BC71" s="466"/>
      <c r="BD71" s="466"/>
      <c r="BE71" s="466"/>
      <c r="BF71" s="466"/>
      <c r="BG71" s="150"/>
      <c r="BH71" s="150">
        <v>3863</v>
      </c>
      <c r="BI71" s="150"/>
      <c r="BJ71" s="466"/>
      <c r="BK71" s="152"/>
      <c r="BL71" s="160"/>
      <c r="BM71" s="150"/>
      <c r="BN71" s="466"/>
      <c r="BO71" s="150"/>
      <c r="BP71" s="516"/>
      <c r="BQ71" s="160"/>
      <c r="BR71" s="152"/>
      <c r="BS71" s="160"/>
    </row>
    <row r="72" spans="1:71" x14ac:dyDescent="0.3">
      <c r="A72" s="420">
        <f>DL!A69</f>
        <v>56</v>
      </c>
      <c r="B72" s="16" t="s">
        <v>46</v>
      </c>
      <c r="C72" s="149">
        <f>DL!L69</f>
        <v>1000</v>
      </c>
      <c r="D72" s="149">
        <f>DL!C69</f>
        <v>28</v>
      </c>
      <c r="E72" s="150"/>
      <c r="F72" s="463"/>
      <c r="G72" s="150"/>
      <c r="H72" s="150"/>
      <c r="I72" s="466"/>
      <c r="J72" s="150"/>
      <c r="K72" s="168"/>
      <c r="L72" s="466"/>
      <c r="M72" s="150"/>
      <c r="N72" s="466"/>
      <c r="O72" s="150"/>
      <c r="P72" s="150"/>
      <c r="Q72" s="150"/>
      <c r="R72" s="472"/>
      <c r="S72" s="466">
        <v>750</v>
      </c>
      <c r="T72" s="150"/>
      <c r="U72" s="150"/>
      <c r="V72" s="150"/>
      <c r="W72" s="168"/>
      <c r="X72" s="150"/>
      <c r="Y72" s="466"/>
      <c r="Z72" s="455"/>
      <c r="AA72" s="150"/>
      <c r="AB72" s="490"/>
      <c r="AC72" s="150"/>
      <c r="AD72" s="150"/>
      <c r="AE72" s="466"/>
      <c r="AF72" s="499"/>
      <c r="AG72" s="150"/>
      <c r="AH72" s="150"/>
      <c r="AI72" s="150"/>
      <c r="AJ72" s="150"/>
      <c r="AK72" s="150"/>
      <c r="AL72" s="150"/>
      <c r="AM72" s="150"/>
      <c r="AN72" s="466"/>
      <c r="AO72" s="466"/>
      <c r="AP72" s="150"/>
      <c r="AQ72" s="150"/>
      <c r="AR72" s="151"/>
      <c r="AS72" s="456"/>
      <c r="AT72" s="466"/>
      <c r="AU72" s="150"/>
      <c r="AV72" s="487"/>
      <c r="AW72" s="150"/>
      <c r="AX72" s="150"/>
      <c r="AY72" s="466"/>
      <c r="AZ72" s="466"/>
      <c r="BA72" s="150"/>
      <c r="BB72" s="150"/>
      <c r="BC72" s="466"/>
      <c r="BD72" s="466"/>
      <c r="BE72" s="466"/>
      <c r="BF72" s="466"/>
      <c r="BG72" s="150"/>
      <c r="BH72" s="150"/>
      <c r="BI72" s="150"/>
      <c r="BJ72" s="466"/>
      <c r="BK72" s="152"/>
      <c r="BL72" s="160"/>
      <c r="BM72" s="150"/>
      <c r="BN72" s="466"/>
      <c r="BO72" s="150"/>
      <c r="BP72" s="516"/>
      <c r="BQ72" s="160"/>
      <c r="BR72" s="152"/>
      <c r="BS72" s="160"/>
    </row>
    <row r="73" spans="1:71" x14ac:dyDescent="0.3">
      <c r="A73" s="420">
        <f>DL!A70</f>
        <v>57</v>
      </c>
      <c r="B73" s="16" t="s">
        <v>47</v>
      </c>
      <c r="C73" s="149">
        <f>DL!L70</f>
        <v>8000</v>
      </c>
      <c r="D73" s="149">
        <f>DL!C70</f>
        <v>30</v>
      </c>
      <c r="E73" s="150"/>
      <c r="F73" s="463"/>
      <c r="G73" s="150"/>
      <c r="H73" s="150"/>
      <c r="I73" s="467">
        <v>7000</v>
      </c>
      <c r="J73" s="150"/>
      <c r="K73" s="168"/>
      <c r="L73" s="466"/>
      <c r="M73" s="150"/>
      <c r="N73" s="466"/>
      <c r="O73" s="150"/>
      <c r="P73" s="150"/>
      <c r="Q73" s="150"/>
      <c r="R73" s="472"/>
      <c r="S73" s="466">
        <v>780</v>
      </c>
      <c r="T73" s="150">
        <v>1300</v>
      </c>
      <c r="U73" s="150"/>
      <c r="V73" s="150"/>
      <c r="W73" s="168"/>
      <c r="X73" s="150"/>
      <c r="Y73" s="466"/>
      <c r="Z73" s="455"/>
      <c r="AA73" s="150"/>
      <c r="AB73" s="490">
        <v>1000</v>
      </c>
      <c r="AC73" s="150"/>
      <c r="AD73" s="150"/>
      <c r="AE73" s="466"/>
      <c r="AF73" s="499"/>
      <c r="AG73" s="150">
        <v>950</v>
      </c>
      <c r="AH73" s="150"/>
      <c r="AI73" s="150"/>
      <c r="AJ73" s="150"/>
      <c r="AK73" s="150"/>
      <c r="AL73" s="150"/>
      <c r="AM73" s="150"/>
      <c r="AN73" s="466">
        <v>750</v>
      </c>
      <c r="AO73" s="466">
        <v>850</v>
      </c>
      <c r="AP73" s="150"/>
      <c r="AQ73" s="150"/>
      <c r="AR73" s="151"/>
      <c r="AS73" s="456"/>
      <c r="AT73" s="466"/>
      <c r="AU73" s="150"/>
      <c r="AV73" s="487"/>
      <c r="AW73" s="150"/>
      <c r="AX73" s="150"/>
      <c r="AY73" s="466"/>
      <c r="AZ73" s="466">
        <v>690</v>
      </c>
      <c r="BA73" s="150">
        <v>1553</v>
      </c>
      <c r="BB73" s="150"/>
      <c r="BC73" s="466"/>
      <c r="BD73" s="466"/>
      <c r="BE73" s="466"/>
      <c r="BF73" s="466"/>
      <c r="BG73" s="150"/>
      <c r="BH73" s="150"/>
      <c r="BI73" s="150"/>
      <c r="BJ73" s="466"/>
      <c r="BK73" s="152"/>
      <c r="BL73" s="160"/>
      <c r="BM73" s="150"/>
      <c r="BN73" s="466"/>
      <c r="BO73" s="150"/>
      <c r="BP73" s="516">
        <v>700</v>
      </c>
      <c r="BQ73" s="160"/>
      <c r="BR73" s="152"/>
      <c r="BS73" s="160"/>
    </row>
    <row r="74" spans="1:71" x14ac:dyDescent="0.3">
      <c r="A74" s="420">
        <f>DL!A71</f>
        <v>58</v>
      </c>
      <c r="B74" s="16" t="s">
        <v>48</v>
      </c>
      <c r="C74" s="149">
        <f>DL!L71</f>
        <v>8</v>
      </c>
      <c r="D74" s="149">
        <f>DL!C71</f>
        <v>500</v>
      </c>
      <c r="E74" s="150"/>
      <c r="F74" s="463"/>
      <c r="G74" s="150"/>
      <c r="H74" s="150"/>
      <c r="I74" s="466"/>
      <c r="J74" s="150"/>
      <c r="K74" s="168"/>
      <c r="L74" s="466"/>
      <c r="M74" s="150"/>
      <c r="N74" s="466"/>
      <c r="O74" s="150"/>
      <c r="P74" s="150"/>
      <c r="Q74" s="150"/>
      <c r="R74" s="472"/>
      <c r="S74" s="466">
        <v>3800</v>
      </c>
      <c r="T74" s="150"/>
      <c r="U74" s="150"/>
      <c r="V74" s="150"/>
      <c r="W74" s="168"/>
      <c r="X74" s="150"/>
      <c r="Y74" s="466"/>
      <c r="Z74" s="455"/>
      <c r="AA74" s="150"/>
      <c r="AB74" s="490"/>
      <c r="AC74" s="150"/>
      <c r="AD74" s="150"/>
      <c r="AE74" s="466"/>
      <c r="AF74" s="499"/>
      <c r="AG74" s="150"/>
      <c r="AH74" s="150"/>
      <c r="AI74" s="150"/>
      <c r="AJ74" s="150"/>
      <c r="AK74" s="150"/>
      <c r="AL74" s="150"/>
      <c r="AM74" s="150"/>
      <c r="AN74" s="466"/>
      <c r="AO74" s="466"/>
      <c r="AP74" s="150"/>
      <c r="AQ74" s="150"/>
      <c r="AR74" s="151"/>
      <c r="AS74" s="456"/>
      <c r="AT74" s="466"/>
      <c r="AU74" s="150"/>
      <c r="AV74" s="487"/>
      <c r="AW74" s="150"/>
      <c r="AX74" s="150"/>
      <c r="AY74" s="466"/>
      <c r="AZ74" s="466"/>
      <c r="BA74" s="150"/>
      <c r="BB74" s="150"/>
      <c r="BC74" s="466"/>
      <c r="BD74" s="466"/>
      <c r="BE74" s="466"/>
      <c r="BF74" s="466"/>
      <c r="BG74" s="150"/>
      <c r="BH74" s="150"/>
      <c r="BI74" s="150"/>
      <c r="BJ74" s="466"/>
      <c r="BK74" s="152"/>
      <c r="BL74" s="160"/>
      <c r="BM74" s="150"/>
      <c r="BN74" s="466"/>
      <c r="BO74" s="150"/>
      <c r="BP74" s="516"/>
      <c r="BQ74" s="160"/>
      <c r="BR74" s="152"/>
      <c r="BS74" s="160"/>
    </row>
    <row r="75" spans="1:71" x14ac:dyDescent="0.3">
      <c r="A75" s="420">
        <f>DL!A72</f>
        <v>59</v>
      </c>
      <c r="B75" s="16" t="s">
        <v>49</v>
      </c>
      <c r="C75" s="149">
        <f>DL!L72</f>
        <v>10</v>
      </c>
      <c r="D75" s="149">
        <f>DL!C72</f>
        <v>10</v>
      </c>
      <c r="E75" s="150"/>
      <c r="F75" s="463"/>
      <c r="G75" s="150"/>
      <c r="H75" s="150"/>
      <c r="I75" s="466"/>
      <c r="J75" s="150"/>
      <c r="K75" s="168"/>
      <c r="L75" s="466"/>
      <c r="M75" s="150"/>
      <c r="N75" s="466"/>
      <c r="O75" s="150"/>
      <c r="P75" s="150"/>
      <c r="Q75" s="150"/>
      <c r="R75" s="472"/>
      <c r="S75" s="466">
        <v>1800</v>
      </c>
      <c r="T75" s="150"/>
      <c r="U75" s="150"/>
      <c r="V75" s="150"/>
      <c r="W75" s="168"/>
      <c r="X75" s="150"/>
      <c r="Y75" s="466"/>
      <c r="Z75" s="455"/>
      <c r="AA75" s="150"/>
      <c r="AB75" s="490"/>
      <c r="AC75" s="150"/>
      <c r="AD75" s="150"/>
      <c r="AE75" s="466"/>
      <c r="AF75" s="499"/>
      <c r="AG75" s="150"/>
      <c r="AH75" s="150"/>
      <c r="AI75" s="150"/>
      <c r="AJ75" s="150"/>
      <c r="AK75" s="150"/>
      <c r="AL75" s="150"/>
      <c r="AM75" s="150"/>
      <c r="AN75" s="466"/>
      <c r="AO75" s="466"/>
      <c r="AP75" s="150"/>
      <c r="AQ75" s="150"/>
      <c r="AR75" s="151"/>
      <c r="AS75" s="456"/>
      <c r="AT75" s="466"/>
      <c r="AU75" s="150"/>
      <c r="AV75" s="487"/>
      <c r="AW75" s="150"/>
      <c r="AX75" s="150"/>
      <c r="AY75" s="466"/>
      <c r="AZ75" s="466"/>
      <c r="BA75" s="150"/>
      <c r="BB75" s="150"/>
      <c r="BC75" s="466"/>
      <c r="BD75" s="466"/>
      <c r="BE75" s="466"/>
      <c r="BF75" s="466"/>
      <c r="BG75" s="150"/>
      <c r="BH75" s="150"/>
      <c r="BI75" s="150"/>
      <c r="BJ75" s="466"/>
      <c r="BK75" s="152"/>
      <c r="BL75" s="160"/>
      <c r="BM75" s="150"/>
      <c r="BN75" s="466"/>
      <c r="BO75" s="150"/>
      <c r="BP75" s="516"/>
      <c r="BQ75" s="160"/>
      <c r="BR75" s="152"/>
      <c r="BS75" s="160"/>
    </row>
    <row r="76" spans="1:71" x14ac:dyDescent="0.3">
      <c r="A76" s="420">
        <f>DL!A73</f>
        <v>60</v>
      </c>
      <c r="B76" s="16" t="s">
        <v>1260</v>
      </c>
      <c r="C76" s="149">
        <f>DL!L73</f>
        <v>20</v>
      </c>
      <c r="D76" s="149">
        <f>DL!C73</f>
        <v>30</v>
      </c>
      <c r="E76" s="150"/>
      <c r="F76" s="463"/>
      <c r="G76" s="150"/>
      <c r="H76" s="150"/>
      <c r="I76" s="466"/>
      <c r="J76" s="150"/>
      <c r="K76" s="168"/>
      <c r="L76" s="466"/>
      <c r="M76" s="150"/>
      <c r="N76" s="466"/>
      <c r="O76" s="150"/>
      <c r="P76" s="150"/>
      <c r="Q76" s="150"/>
      <c r="R76" s="472"/>
      <c r="S76" s="466">
        <v>1700</v>
      </c>
      <c r="T76" s="150"/>
      <c r="U76" s="150"/>
      <c r="V76" s="150"/>
      <c r="W76" s="168"/>
      <c r="X76" s="150"/>
      <c r="Y76" s="466"/>
      <c r="Z76" s="455"/>
      <c r="AA76" s="150"/>
      <c r="AB76" s="490"/>
      <c r="AC76" s="150"/>
      <c r="AD76" s="150"/>
      <c r="AE76" s="466"/>
      <c r="AF76" s="499"/>
      <c r="AG76" s="150"/>
      <c r="AH76" s="150"/>
      <c r="AI76" s="150"/>
      <c r="AJ76" s="150"/>
      <c r="AK76" s="150"/>
      <c r="AL76" s="150"/>
      <c r="AM76" s="150"/>
      <c r="AN76" s="467">
        <v>1800</v>
      </c>
      <c r="AO76" s="466"/>
      <c r="AP76" s="150"/>
      <c r="AQ76" s="150"/>
      <c r="AR76" s="151"/>
      <c r="AS76" s="456"/>
      <c r="AT76" s="466"/>
      <c r="AU76" s="150"/>
      <c r="AV76" s="487"/>
      <c r="AW76" s="150"/>
      <c r="AX76" s="150"/>
      <c r="AY76" s="466"/>
      <c r="AZ76" s="466"/>
      <c r="BA76" s="150"/>
      <c r="BB76" s="150"/>
      <c r="BC76" s="466"/>
      <c r="BD76" s="466"/>
      <c r="BE76" s="466"/>
      <c r="BF76" s="466"/>
      <c r="BG76" s="150"/>
      <c r="BH76" s="150"/>
      <c r="BI76" s="150"/>
      <c r="BJ76" s="466"/>
      <c r="BK76" s="152"/>
      <c r="BL76" s="160"/>
      <c r="BM76" s="150"/>
      <c r="BN76" s="466"/>
      <c r="BO76" s="150"/>
      <c r="BP76" s="516"/>
      <c r="BQ76" s="160"/>
      <c r="BR76" s="152"/>
      <c r="BS76" s="160"/>
    </row>
    <row r="77" spans="1:71" x14ac:dyDescent="0.3">
      <c r="A77" s="420">
        <f>DL!A74</f>
        <v>61</v>
      </c>
      <c r="B77" s="16" t="s">
        <v>50</v>
      </c>
      <c r="C77" s="149">
        <f>DL!L74</f>
        <v>500</v>
      </c>
      <c r="D77" s="149">
        <f>DL!C74</f>
        <v>100</v>
      </c>
      <c r="E77" s="150">
        <v>24000</v>
      </c>
      <c r="F77" s="463"/>
      <c r="G77" s="150"/>
      <c r="H77" s="150"/>
      <c r="I77" s="466"/>
      <c r="J77" s="150"/>
      <c r="K77" s="168"/>
      <c r="L77" s="466"/>
      <c r="M77" s="150"/>
      <c r="N77" s="466"/>
      <c r="O77" s="150"/>
      <c r="P77" s="150"/>
      <c r="Q77" s="150"/>
      <c r="R77" s="472"/>
      <c r="S77" s="466">
        <v>2500</v>
      </c>
      <c r="T77" s="150"/>
      <c r="U77" s="150"/>
      <c r="V77" s="159"/>
      <c r="W77" s="168"/>
      <c r="X77" s="150"/>
      <c r="Y77" s="466"/>
      <c r="Z77" s="455"/>
      <c r="AA77" s="150"/>
      <c r="AB77" s="490"/>
      <c r="AC77" s="150"/>
      <c r="AD77" s="150"/>
      <c r="AE77" s="466"/>
      <c r="AF77" s="499"/>
      <c r="AG77" s="150"/>
      <c r="AH77" s="150"/>
      <c r="AI77" s="150"/>
      <c r="AJ77" s="150"/>
      <c r="AK77" s="150"/>
      <c r="AL77" s="150"/>
      <c r="AM77" s="150"/>
      <c r="AN77" s="466"/>
      <c r="AO77" s="466"/>
      <c r="AP77" s="150"/>
      <c r="AQ77" s="150"/>
      <c r="AR77" s="151"/>
      <c r="AS77" s="456"/>
      <c r="AT77" s="466"/>
      <c r="AU77" s="150"/>
      <c r="AV77" s="487"/>
      <c r="AW77" s="150"/>
      <c r="AX77" s="150"/>
      <c r="AY77" s="466"/>
      <c r="AZ77" s="466"/>
      <c r="BA77" s="150"/>
      <c r="BB77" s="150"/>
      <c r="BC77" s="466"/>
      <c r="BD77" s="466"/>
      <c r="BE77" s="466"/>
      <c r="BF77" s="466"/>
      <c r="BG77" s="150"/>
      <c r="BH77" s="150"/>
      <c r="BI77" s="150"/>
      <c r="BJ77" s="466"/>
      <c r="BK77" s="152"/>
      <c r="BL77" s="160"/>
      <c r="BM77" s="150"/>
      <c r="BN77" s="466"/>
      <c r="BO77" s="150"/>
      <c r="BP77" s="516"/>
      <c r="BQ77" s="160"/>
      <c r="BR77" s="152"/>
      <c r="BS77" s="160"/>
    </row>
    <row r="78" spans="1:71" x14ac:dyDescent="0.3">
      <c r="A78" s="420">
        <f>DL!A75</f>
        <v>62</v>
      </c>
      <c r="B78" s="16" t="s">
        <v>51</v>
      </c>
      <c r="C78" s="149">
        <f>DL!L75</f>
        <v>500</v>
      </c>
      <c r="D78" s="149">
        <f>DL!C75</f>
        <v>100</v>
      </c>
      <c r="E78" s="150"/>
      <c r="F78" s="463"/>
      <c r="G78" s="150"/>
      <c r="H78" s="150"/>
      <c r="I78" s="466"/>
      <c r="J78" s="150"/>
      <c r="K78" s="168">
        <v>320</v>
      </c>
      <c r="L78" s="466"/>
      <c r="M78" s="150"/>
      <c r="N78" s="466"/>
      <c r="O78" s="150"/>
      <c r="P78" s="150"/>
      <c r="Q78" s="150"/>
      <c r="R78" s="472"/>
      <c r="S78" s="466">
        <v>480</v>
      </c>
      <c r="T78" s="150"/>
      <c r="U78" s="150"/>
      <c r="V78" s="159"/>
      <c r="W78" s="168"/>
      <c r="X78" s="150"/>
      <c r="Y78" s="466"/>
      <c r="Z78" s="455"/>
      <c r="AA78" s="150"/>
      <c r="AB78" s="490"/>
      <c r="AC78" s="150"/>
      <c r="AD78" s="150"/>
      <c r="AE78" s="466"/>
      <c r="AF78" s="499"/>
      <c r="AG78" s="150"/>
      <c r="AH78" s="150"/>
      <c r="AI78" s="150"/>
      <c r="AJ78" s="150"/>
      <c r="AK78" s="150"/>
      <c r="AL78" s="150"/>
      <c r="AM78" s="150"/>
      <c r="AN78" s="466"/>
      <c r="AO78" s="466"/>
      <c r="AP78" s="150"/>
      <c r="AQ78" s="150"/>
      <c r="AR78" s="151"/>
      <c r="AS78" s="456"/>
      <c r="AT78" s="466"/>
      <c r="AU78" s="150"/>
      <c r="AV78" s="487"/>
      <c r="AW78" s="150"/>
      <c r="AX78" s="150"/>
      <c r="AY78" s="466"/>
      <c r="AZ78" s="466"/>
      <c r="BA78" s="150"/>
      <c r="BB78" s="150">
        <v>525</v>
      </c>
      <c r="BC78" s="466"/>
      <c r="BD78" s="466"/>
      <c r="BE78" s="466"/>
      <c r="BF78" s="466"/>
      <c r="BG78" s="150"/>
      <c r="BH78" s="150"/>
      <c r="BI78" s="150"/>
      <c r="BJ78" s="466"/>
      <c r="BK78" s="152"/>
      <c r="BL78" s="160"/>
      <c r="BM78" s="150"/>
      <c r="BN78" s="466"/>
      <c r="BO78" s="150"/>
      <c r="BP78" s="516"/>
      <c r="BQ78" s="160"/>
      <c r="BR78" s="152"/>
      <c r="BS78" s="160"/>
    </row>
    <row r="79" spans="1:71" x14ac:dyDescent="0.3">
      <c r="A79" s="420">
        <f>DL!A76</f>
        <v>63</v>
      </c>
      <c r="B79" s="16" t="s">
        <v>52</v>
      </c>
      <c r="C79" s="149">
        <f>DL!L76</f>
        <v>4</v>
      </c>
      <c r="D79" s="149">
        <f>DL!C76</f>
        <v>100</v>
      </c>
      <c r="E79" s="150"/>
      <c r="F79" s="463"/>
      <c r="G79" s="150"/>
      <c r="H79" s="150"/>
      <c r="I79" s="466"/>
      <c r="J79" s="150"/>
      <c r="K79" s="168"/>
      <c r="L79" s="466"/>
      <c r="M79" s="150"/>
      <c r="N79" s="466"/>
      <c r="O79" s="150"/>
      <c r="P79" s="150"/>
      <c r="Q79" s="150"/>
      <c r="R79" s="472"/>
      <c r="S79" s="466"/>
      <c r="T79" s="150"/>
      <c r="U79" s="150"/>
      <c r="V79" s="159"/>
      <c r="W79" s="168"/>
      <c r="X79" s="150"/>
      <c r="Y79" s="466"/>
      <c r="Z79" s="455"/>
      <c r="AA79" s="150"/>
      <c r="AB79" s="490"/>
      <c r="AC79" s="150"/>
      <c r="AD79" s="150"/>
      <c r="AE79" s="466"/>
      <c r="AF79" s="499"/>
      <c r="AG79" s="150"/>
      <c r="AH79" s="150"/>
      <c r="AI79" s="150"/>
      <c r="AJ79" s="150"/>
      <c r="AK79" s="150"/>
      <c r="AL79" s="150"/>
      <c r="AM79" s="150"/>
      <c r="AN79" s="466"/>
      <c r="AO79" s="466"/>
      <c r="AP79" s="150"/>
      <c r="AQ79" s="150"/>
      <c r="AR79" s="151"/>
      <c r="AS79" s="456"/>
      <c r="AT79" s="466"/>
      <c r="AU79" s="150"/>
      <c r="AV79" s="487"/>
      <c r="AW79" s="150"/>
      <c r="AX79" s="150"/>
      <c r="AY79" s="466"/>
      <c r="AZ79" s="466"/>
      <c r="BA79" s="150"/>
      <c r="BB79" s="150"/>
      <c r="BC79" s="466"/>
      <c r="BD79" s="466"/>
      <c r="BE79" s="466"/>
      <c r="BF79" s="466"/>
      <c r="BG79" s="150"/>
      <c r="BH79" s="150"/>
      <c r="BI79" s="150"/>
      <c r="BJ79" s="466"/>
      <c r="BK79" s="152"/>
      <c r="BL79" s="160"/>
      <c r="BM79" s="150"/>
      <c r="BN79" s="466"/>
      <c r="BO79" s="150"/>
      <c r="BP79" s="516"/>
      <c r="BQ79" s="160"/>
      <c r="BR79" s="152"/>
      <c r="BS79" s="160"/>
    </row>
    <row r="80" spans="1:71" x14ac:dyDescent="0.3">
      <c r="A80" s="420">
        <f>DL!A77</f>
        <v>64</v>
      </c>
      <c r="B80" s="16" t="s">
        <v>53</v>
      </c>
      <c r="C80" s="149">
        <f>DL!L77</f>
        <v>8</v>
      </c>
      <c r="D80" s="149">
        <f>DL!C77</f>
        <v>100</v>
      </c>
      <c r="E80" s="150"/>
      <c r="F80" s="463"/>
      <c r="G80" s="150"/>
      <c r="H80" s="150"/>
      <c r="I80" s="466"/>
      <c r="J80" s="150"/>
      <c r="K80" s="168"/>
      <c r="L80" s="466"/>
      <c r="M80" s="150"/>
      <c r="N80" s="466"/>
      <c r="O80" s="150"/>
      <c r="P80" s="150"/>
      <c r="Q80" s="150"/>
      <c r="R80" s="472"/>
      <c r="S80" s="466">
        <v>9000</v>
      </c>
      <c r="T80" s="150"/>
      <c r="U80" s="150"/>
      <c r="V80" s="150"/>
      <c r="W80" s="168"/>
      <c r="X80" s="150"/>
      <c r="Y80" s="466"/>
      <c r="Z80" s="455"/>
      <c r="AA80" s="150"/>
      <c r="AB80" s="490"/>
      <c r="AC80" s="150"/>
      <c r="AD80" s="150"/>
      <c r="AE80" s="466"/>
      <c r="AF80" s="499"/>
      <c r="AG80" s="150"/>
      <c r="AH80" s="150"/>
      <c r="AI80" s="150"/>
      <c r="AJ80" s="150"/>
      <c r="AK80" s="150"/>
      <c r="AL80" s="150"/>
      <c r="AM80" s="150"/>
      <c r="AN80" s="466"/>
      <c r="AO80" s="466"/>
      <c r="AP80" s="150"/>
      <c r="AQ80" s="150"/>
      <c r="AR80" s="151"/>
      <c r="AS80" s="456"/>
      <c r="AT80" s="466"/>
      <c r="AU80" s="150"/>
      <c r="AV80" s="487"/>
      <c r="AW80" s="150"/>
      <c r="AX80" s="150"/>
      <c r="AY80" s="466"/>
      <c r="AZ80" s="466"/>
      <c r="BA80" s="150"/>
      <c r="BB80" s="150"/>
      <c r="BC80" s="466"/>
      <c r="BD80" s="466"/>
      <c r="BE80" s="466"/>
      <c r="BF80" s="466"/>
      <c r="BG80" s="150"/>
      <c r="BH80" s="150"/>
      <c r="BI80" s="150"/>
      <c r="BJ80" s="466"/>
      <c r="BK80" s="152"/>
      <c r="BL80" s="160"/>
      <c r="BM80" s="150"/>
      <c r="BN80" s="466"/>
      <c r="BO80" s="150"/>
      <c r="BP80" s="516"/>
      <c r="BQ80" s="160"/>
      <c r="BR80" s="152"/>
      <c r="BS80" s="160"/>
    </row>
    <row r="81" spans="1:71" x14ac:dyDescent="0.3">
      <c r="A81" s="420">
        <f>DL!A78</f>
        <v>65</v>
      </c>
      <c r="B81" s="16" t="s">
        <v>54</v>
      </c>
      <c r="C81" s="149">
        <f>DL!L78</f>
        <v>3000</v>
      </c>
      <c r="D81" s="149">
        <f>DL!C78</f>
        <v>30</v>
      </c>
      <c r="E81" s="150"/>
      <c r="F81" s="463"/>
      <c r="G81" s="150"/>
      <c r="H81" s="150"/>
      <c r="I81" s="466"/>
      <c r="J81" s="150"/>
      <c r="K81" s="168"/>
      <c r="L81" s="466"/>
      <c r="M81" s="150"/>
      <c r="N81" s="466"/>
      <c r="O81" s="150"/>
      <c r="P81" s="150">
        <v>300</v>
      </c>
      <c r="Q81" s="150"/>
      <c r="R81" s="472"/>
      <c r="S81" s="466">
        <v>650</v>
      </c>
      <c r="T81" s="150"/>
      <c r="U81" s="150"/>
      <c r="V81" s="150"/>
      <c r="W81" s="168"/>
      <c r="X81" s="150"/>
      <c r="Y81" s="466"/>
      <c r="Z81" s="455"/>
      <c r="AA81" s="150"/>
      <c r="AB81" s="490"/>
      <c r="AC81" s="150"/>
      <c r="AD81" s="150"/>
      <c r="AE81" s="466"/>
      <c r="AF81" s="499"/>
      <c r="AG81" s="150"/>
      <c r="AH81" s="150"/>
      <c r="AI81" s="150"/>
      <c r="AJ81" s="150"/>
      <c r="AK81" s="150"/>
      <c r="AL81" s="150"/>
      <c r="AM81" s="150"/>
      <c r="AN81" s="466"/>
      <c r="AO81" s="466"/>
      <c r="AP81" s="150"/>
      <c r="AQ81" s="150"/>
      <c r="AR81" s="151"/>
      <c r="AS81" s="456"/>
      <c r="AT81" s="466"/>
      <c r="AU81" s="150"/>
      <c r="AV81" s="487"/>
      <c r="AW81" s="150"/>
      <c r="AX81" s="150"/>
      <c r="AY81" s="466"/>
      <c r="AZ81" s="466"/>
      <c r="BA81" s="150"/>
      <c r="BB81" s="150"/>
      <c r="BC81" s="466"/>
      <c r="BD81" s="466"/>
      <c r="BE81" s="466"/>
      <c r="BF81" s="466"/>
      <c r="BG81" s="150"/>
      <c r="BH81" s="150"/>
      <c r="BI81" s="150"/>
      <c r="BJ81" s="466"/>
      <c r="BK81" s="152"/>
      <c r="BL81" s="160"/>
      <c r="BM81" s="150"/>
      <c r="BN81" s="466"/>
      <c r="BO81" s="150"/>
      <c r="BP81" s="516"/>
      <c r="BQ81" s="160"/>
      <c r="BR81" s="152"/>
      <c r="BS81" s="160"/>
    </row>
    <row r="82" spans="1:71" x14ac:dyDescent="0.3">
      <c r="A82" s="420">
        <f>DL!A79</f>
        <v>66</v>
      </c>
      <c r="B82" s="16" t="s">
        <v>55</v>
      </c>
      <c r="C82" s="149">
        <f>DL!L79</f>
        <v>3000</v>
      </c>
      <c r="D82" s="149">
        <f>DL!C79</f>
        <v>30</v>
      </c>
      <c r="E82" s="150"/>
      <c r="F82" s="463"/>
      <c r="G82" s="150"/>
      <c r="H82" s="150"/>
      <c r="I82" s="467">
        <v>2530</v>
      </c>
      <c r="J82" s="150"/>
      <c r="K82" s="168"/>
      <c r="L82" s="466"/>
      <c r="M82" s="150"/>
      <c r="N82" s="466"/>
      <c r="O82" s="159"/>
      <c r="P82" s="150"/>
      <c r="Q82" s="150"/>
      <c r="R82" s="472"/>
      <c r="S82" s="466">
        <v>1500</v>
      </c>
      <c r="T82" s="150"/>
      <c r="U82" s="150"/>
      <c r="V82" s="150"/>
      <c r="W82" s="168"/>
      <c r="X82" s="150"/>
      <c r="Y82" s="466"/>
      <c r="Z82" s="455"/>
      <c r="AA82" s="150"/>
      <c r="AB82" s="490"/>
      <c r="AC82" s="150"/>
      <c r="AD82" s="150"/>
      <c r="AE82" s="466"/>
      <c r="AF82" s="499"/>
      <c r="AG82" s="150"/>
      <c r="AH82" s="150"/>
      <c r="AI82" s="150"/>
      <c r="AJ82" s="150"/>
      <c r="AK82" s="150"/>
      <c r="AL82" s="150"/>
      <c r="AM82" s="150"/>
      <c r="AN82" s="466"/>
      <c r="AO82" s="466"/>
      <c r="AP82" s="159"/>
      <c r="AQ82" s="150"/>
      <c r="AR82" s="151"/>
      <c r="AS82" s="456"/>
      <c r="AT82" s="466"/>
      <c r="AU82" s="159"/>
      <c r="AV82" s="487"/>
      <c r="AW82" s="150"/>
      <c r="AX82" s="150"/>
      <c r="AY82" s="466"/>
      <c r="AZ82" s="466">
        <v>6000</v>
      </c>
      <c r="BA82" s="150"/>
      <c r="BB82" s="150"/>
      <c r="BC82" s="466"/>
      <c r="BD82" s="466"/>
      <c r="BE82" s="466"/>
      <c r="BF82" s="466"/>
      <c r="BG82" s="150"/>
      <c r="BH82" s="150"/>
      <c r="BI82" s="150"/>
      <c r="BJ82" s="466"/>
      <c r="BK82" s="152"/>
      <c r="BL82" s="160"/>
      <c r="BM82" s="150"/>
      <c r="BN82" s="466"/>
      <c r="BO82" s="150"/>
      <c r="BP82" s="516"/>
      <c r="BQ82" s="160"/>
      <c r="BR82" s="152"/>
      <c r="BS82" s="160"/>
    </row>
    <row r="83" spans="1:71" x14ac:dyDescent="0.3">
      <c r="A83" s="420">
        <f>DL!A80</f>
        <v>67</v>
      </c>
      <c r="B83" s="16" t="s">
        <v>703</v>
      </c>
      <c r="C83" s="149">
        <v>5200</v>
      </c>
      <c r="D83" s="149">
        <f>DL!C80</f>
        <v>30</v>
      </c>
      <c r="E83" s="150"/>
      <c r="F83" s="463"/>
      <c r="G83" s="150"/>
      <c r="H83" s="150"/>
      <c r="I83" s="467">
        <v>3335</v>
      </c>
      <c r="J83" s="150"/>
      <c r="K83" s="168"/>
      <c r="L83" s="466"/>
      <c r="M83" s="150"/>
      <c r="N83" s="466"/>
      <c r="O83" s="150"/>
      <c r="P83" s="150"/>
      <c r="Q83" s="150"/>
      <c r="R83" s="472"/>
      <c r="S83" s="466"/>
      <c r="T83" s="150"/>
      <c r="U83" s="150"/>
      <c r="V83" s="150"/>
      <c r="W83" s="168"/>
      <c r="X83" s="150"/>
      <c r="Y83" s="466"/>
      <c r="Z83" s="455"/>
      <c r="AA83" s="150"/>
      <c r="AB83" s="490"/>
      <c r="AC83" s="150"/>
      <c r="AD83" s="150"/>
      <c r="AE83" s="466"/>
      <c r="AF83" s="499"/>
      <c r="AG83" s="150"/>
      <c r="AH83" s="150"/>
      <c r="AI83" s="150"/>
      <c r="AJ83" s="150"/>
      <c r="AK83" s="150"/>
      <c r="AL83" s="150"/>
      <c r="AM83" s="150"/>
      <c r="AN83" s="466"/>
      <c r="AO83" s="466"/>
      <c r="AP83" s="150"/>
      <c r="AQ83" s="150"/>
      <c r="AR83" s="151"/>
      <c r="AS83" s="456"/>
      <c r="AT83" s="466"/>
      <c r="AU83" s="159"/>
      <c r="AV83" s="487"/>
      <c r="AW83" s="150"/>
      <c r="AX83" s="150"/>
      <c r="AY83" s="466"/>
      <c r="AZ83" s="466"/>
      <c r="BA83" s="150"/>
      <c r="BB83" s="150"/>
      <c r="BC83" s="466"/>
      <c r="BD83" s="466"/>
      <c r="BE83" s="466"/>
      <c r="BF83" s="466"/>
      <c r="BG83" s="150"/>
      <c r="BH83" s="150"/>
      <c r="BI83" s="150"/>
      <c r="BJ83" s="466"/>
      <c r="BK83" s="152"/>
      <c r="BL83" s="160"/>
      <c r="BM83" s="150"/>
      <c r="BN83" s="466"/>
      <c r="BO83" s="150"/>
      <c r="BP83" s="516"/>
      <c r="BQ83" s="160"/>
      <c r="BR83" s="152"/>
      <c r="BS83" s="160"/>
    </row>
    <row r="84" spans="1:71" x14ac:dyDescent="0.3">
      <c r="A84" s="420">
        <f>DL!A81</f>
        <v>68</v>
      </c>
      <c r="B84" s="16" t="s">
        <v>702</v>
      </c>
      <c r="C84" s="149">
        <f>DL!L81</f>
        <v>4000</v>
      </c>
      <c r="D84" s="149">
        <f>DL!C81</f>
        <v>30</v>
      </c>
      <c r="E84" s="150"/>
      <c r="F84" s="463"/>
      <c r="G84" s="150"/>
      <c r="H84" s="150"/>
      <c r="I84" s="467">
        <v>3335</v>
      </c>
      <c r="J84" s="150"/>
      <c r="K84" s="168"/>
      <c r="L84" s="466"/>
      <c r="M84" s="150"/>
      <c r="N84" s="466"/>
      <c r="O84" s="150"/>
      <c r="P84" s="150"/>
      <c r="Q84" s="150"/>
      <c r="R84" s="472"/>
      <c r="S84" s="466"/>
      <c r="T84" s="150"/>
      <c r="U84" s="150"/>
      <c r="V84" s="150"/>
      <c r="W84" s="168"/>
      <c r="X84" s="150"/>
      <c r="Y84" s="466"/>
      <c r="Z84" s="455"/>
      <c r="AA84" s="150"/>
      <c r="AB84" s="490"/>
      <c r="AC84" s="150"/>
      <c r="AD84" s="150"/>
      <c r="AE84" s="466"/>
      <c r="AF84" s="499"/>
      <c r="AG84" s="150"/>
      <c r="AH84" s="150"/>
      <c r="AI84" s="150"/>
      <c r="AJ84" s="150"/>
      <c r="AK84" s="150"/>
      <c r="AL84" s="150"/>
      <c r="AM84" s="150"/>
      <c r="AN84" s="466"/>
      <c r="AO84" s="466"/>
      <c r="AP84" s="150"/>
      <c r="AQ84" s="150"/>
      <c r="AR84" s="151"/>
      <c r="AS84" s="456"/>
      <c r="AT84" s="466"/>
      <c r="AU84" s="159"/>
      <c r="AV84" s="487"/>
      <c r="AW84" s="150"/>
      <c r="AX84" s="150"/>
      <c r="AY84" s="466"/>
      <c r="AZ84" s="466"/>
      <c r="BA84" s="150"/>
      <c r="BB84" s="150"/>
      <c r="BC84" s="466"/>
      <c r="BD84" s="466"/>
      <c r="BE84" s="466"/>
      <c r="BF84" s="466"/>
      <c r="BG84" s="150"/>
      <c r="BH84" s="150"/>
      <c r="BI84" s="150"/>
      <c r="BJ84" s="466"/>
      <c r="BK84" s="152"/>
      <c r="BL84" s="160"/>
      <c r="BM84" s="150"/>
      <c r="BN84" s="466"/>
      <c r="BO84" s="150"/>
      <c r="BP84" s="516"/>
      <c r="BQ84" s="160"/>
      <c r="BR84" s="152"/>
      <c r="BS84" s="160"/>
    </row>
    <row r="85" spans="1:71" x14ac:dyDescent="0.3">
      <c r="A85" s="420">
        <f>DL!A82</f>
        <v>69</v>
      </c>
      <c r="B85" s="16" t="s">
        <v>428</v>
      </c>
      <c r="C85" s="149">
        <f>DL!L82</f>
        <v>50</v>
      </c>
      <c r="D85" s="149">
        <f>DL!C82</f>
        <v>30</v>
      </c>
      <c r="E85" s="150"/>
      <c r="F85" s="463"/>
      <c r="G85" s="150"/>
      <c r="H85" s="150"/>
      <c r="I85" s="467">
        <v>3000</v>
      </c>
      <c r="J85" s="150"/>
      <c r="K85" s="168"/>
      <c r="L85" s="466"/>
      <c r="M85" s="150"/>
      <c r="N85" s="466"/>
      <c r="O85" s="150"/>
      <c r="P85" s="150"/>
      <c r="Q85" s="150"/>
      <c r="R85" s="472"/>
      <c r="S85" s="466">
        <v>4100</v>
      </c>
      <c r="T85" s="150"/>
      <c r="U85" s="150"/>
      <c r="V85" s="150"/>
      <c r="W85" s="168"/>
      <c r="X85" s="150"/>
      <c r="Y85" s="466"/>
      <c r="Z85" s="455"/>
      <c r="AA85" s="150"/>
      <c r="AB85" s="490"/>
      <c r="AC85" s="150"/>
      <c r="AD85" s="150"/>
      <c r="AE85" s="466"/>
      <c r="AF85" s="499"/>
      <c r="AG85" s="150"/>
      <c r="AH85" s="150"/>
      <c r="AI85" s="150"/>
      <c r="AJ85" s="150"/>
      <c r="AK85" s="150"/>
      <c r="AL85" s="150"/>
      <c r="AM85" s="150"/>
      <c r="AN85" s="466"/>
      <c r="AO85" s="466"/>
      <c r="AP85" s="150"/>
      <c r="AQ85" s="150"/>
      <c r="AR85" s="151"/>
      <c r="AS85" s="456"/>
      <c r="AT85" s="466"/>
      <c r="AU85" s="159"/>
      <c r="AV85" s="487"/>
      <c r="AW85" s="150"/>
      <c r="AX85" s="150"/>
      <c r="AY85" s="466"/>
      <c r="AZ85" s="466"/>
      <c r="BA85" s="150"/>
      <c r="BB85" s="150"/>
      <c r="BC85" s="466"/>
      <c r="BD85" s="466"/>
      <c r="BE85" s="466"/>
      <c r="BF85" s="466"/>
      <c r="BG85" s="150"/>
      <c r="BH85" s="150"/>
      <c r="BI85" s="150"/>
      <c r="BJ85" s="466"/>
      <c r="BK85" s="152"/>
      <c r="BL85" s="160"/>
      <c r="BM85" s="150"/>
      <c r="BN85" s="466"/>
      <c r="BO85" s="150"/>
      <c r="BP85" s="516"/>
      <c r="BQ85" s="160"/>
      <c r="BR85" s="152"/>
      <c r="BS85" s="160"/>
    </row>
    <row r="86" spans="1:71" x14ac:dyDescent="0.3">
      <c r="A86" s="420">
        <f>DL!A83</f>
        <v>70</v>
      </c>
      <c r="B86" s="16" t="s">
        <v>429</v>
      </c>
      <c r="C86" s="149">
        <f>DL!L83</f>
        <v>50</v>
      </c>
      <c r="D86" s="149">
        <f>DL!C83</f>
        <v>30</v>
      </c>
      <c r="E86" s="150"/>
      <c r="F86" s="463"/>
      <c r="G86" s="150"/>
      <c r="H86" s="150"/>
      <c r="I86" s="467">
        <v>3850</v>
      </c>
      <c r="J86" s="150"/>
      <c r="K86" s="168"/>
      <c r="L86" s="466"/>
      <c r="M86" s="150"/>
      <c r="N86" s="466"/>
      <c r="O86" s="150"/>
      <c r="P86" s="150"/>
      <c r="Q86" s="150"/>
      <c r="R86" s="472"/>
      <c r="S86" s="466">
        <v>4900</v>
      </c>
      <c r="T86" s="150"/>
      <c r="U86" s="150"/>
      <c r="V86" s="150"/>
      <c r="W86" s="168"/>
      <c r="X86" s="150"/>
      <c r="Y86" s="466"/>
      <c r="Z86" s="455"/>
      <c r="AA86" s="150"/>
      <c r="AB86" s="490"/>
      <c r="AC86" s="150"/>
      <c r="AD86" s="150"/>
      <c r="AE86" s="466"/>
      <c r="AF86" s="499"/>
      <c r="AG86" s="150"/>
      <c r="AH86" s="150"/>
      <c r="AI86" s="150"/>
      <c r="AJ86" s="150"/>
      <c r="AK86" s="150"/>
      <c r="AL86" s="150"/>
      <c r="AM86" s="150"/>
      <c r="AN86" s="466"/>
      <c r="AO86" s="466"/>
      <c r="AP86" s="150"/>
      <c r="AQ86" s="150"/>
      <c r="AR86" s="151"/>
      <c r="AS86" s="456"/>
      <c r="AT86" s="466"/>
      <c r="AU86" s="150"/>
      <c r="AV86" s="487"/>
      <c r="AW86" s="150"/>
      <c r="AX86" s="150"/>
      <c r="AY86" s="466"/>
      <c r="AZ86" s="466"/>
      <c r="BA86" s="150"/>
      <c r="BB86" s="150"/>
      <c r="BC86" s="466"/>
      <c r="BD86" s="466"/>
      <c r="BE86" s="466"/>
      <c r="BF86" s="466"/>
      <c r="BG86" s="150"/>
      <c r="BH86" s="150"/>
      <c r="BI86" s="150"/>
      <c r="BJ86" s="466"/>
      <c r="BK86" s="152"/>
      <c r="BL86" s="160"/>
      <c r="BM86" s="150"/>
      <c r="BN86" s="466"/>
      <c r="BO86" s="150"/>
      <c r="BP86" s="516"/>
      <c r="BQ86" s="160"/>
      <c r="BR86" s="152"/>
      <c r="BS86" s="160"/>
    </row>
    <row r="87" spans="1:71" x14ac:dyDescent="0.3">
      <c r="A87" s="420">
        <f>DL!A84</f>
        <v>71</v>
      </c>
      <c r="B87" s="16" t="s">
        <v>697</v>
      </c>
      <c r="C87" s="149">
        <f>DL!L84</f>
        <v>21</v>
      </c>
      <c r="D87" s="149">
        <f>DL!C84</f>
        <v>30</v>
      </c>
      <c r="E87" s="150"/>
      <c r="F87" s="463"/>
      <c r="G87" s="150"/>
      <c r="H87" s="150"/>
      <c r="I87" s="467">
        <v>4054</v>
      </c>
      <c r="J87" s="150"/>
      <c r="K87" s="168"/>
      <c r="L87" s="466"/>
      <c r="M87" s="150"/>
      <c r="N87" s="466"/>
      <c r="O87" s="150"/>
      <c r="P87" s="150"/>
      <c r="Q87" s="150"/>
      <c r="R87" s="472"/>
      <c r="S87" s="466">
        <v>4900</v>
      </c>
      <c r="T87" s="150"/>
      <c r="U87" s="150"/>
      <c r="V87" s="150"/>
      <c r="W87" s="168"/>
      <c r="X87" s="150"/>
      <c r="Y87" s="466"/>
      <c r="Z87" s="455"/>
      <c r="AA87" s="150"/>
      <c r="AB87" s="490"/>
      <c r="AC87" s="150"/>
      <c r="AD87" s="150"/>
      <c r="AE87" s="466"/>
      <c r="AF87" s="499"/>
      <c r="AG87" s="150"/>
      <c r="AH87" s="150"/>
      <c r="AI87" s="150"/>
      <c r="AJ87" s="150"/>
      <c r="AK87" s="150"/>
      <c r="AL87" s="150"/>
      <c r="AM87" s="150"/>
      <c r="AN87" s="466"/>
      <c r="AO87" s="466"/>
      <c r="AP87" s="150"/>
      <c r="AQ87" s="150"/>
      <c r="AR87" s="151"/>
      <c r="AS87" s="456"/>
      <c r="AT87" s="466"/>
      <c r="AU87" s="150"/>
      <c r="AV87" s="487"/>
      <c r="AW87" s="150"/>
      <c r="AX87" s="150"/>
      <c r="AY87" s="466"/>
      <c r="AZ87" s="466"/>
      <c r="BA87" s="150"/>
      <c r="BB87" s="150"/>
      <c r="BC87" s="466"/>
      <c r="BD87" s="466"/>
      <c r="BE87" s="466"/>
      <c r="BF87" s="466"/>
      <c r="BG87" s="150"/>
      <c r="BH87" s="150"/>
      <c r="BI87" s="150"/>
      <c r="BJ87" s="466"/>
      <c r="BK87" s="152"/>
      <c r="BL87" s="160"/>
      <c r="BM87" s="150"/>
      <c r="BN87" s="466"/>
      <c r="BO87" s="150"/>
      <c r="BP87" s="516"/>
      <c r="BQ87" s="160"/>
      <c r="BR87" s="152"/>
      <c r="BS87" s="160"/>
    </row>
    <row r="88" spans="1:71" x14ac:dyDescent="0.3">
      <c r="A88" s="420">
        <f>DL!A85</f>
        <v>72</v>
      </c>
      <c r="B88" s="16" t="s">
        <v>430</v>
      </c>
      <c r="C88" s="149">
        <f>DL!L85</f>
        <v>50</v>
      </c>
      <c r="D88" s="149">
        <f>DL!C85</f>
        <v>30</v>
      </c>
      <c r="E88" s="150"/>
      <c r="F88" s="463"/>
      <c r="G88" s="150"/>
      <c r="H88" s="150"/>
      <c r="I88" s="466"/>
      <c r="J88" s="150"/>
      <c r="K88" s="168"/>
      <c r="L88" s="466"/>
      <c r="M88" s="150"/>
      <c r="N88" s="466"/>
      <c r="O88" s="150"/>
      <c r="P88" s="150"/>
      <c r="Q88" s="150"/>
      <c r="R88" s="472"/>
      <c r="S88" s="466"/>
      <c r="T88" s="150"/>
      <c r="U88" s="150"/>
      <c r="V88" s="150"/>
      <c r="W88" s="168"/>
      <c r="X88" s="150"/>
      <c r="Y88" s="466"/>
      <c r="Z88" s="455"/>
      <c r="AA88" s="150"/>
      <c r="AB88" s="490"/>
      <c r="AC88" s="150"/>
      <c r="AD88" s="150"/>
      <c r="AE88" s="466"/>
      <c r="AF88" s="499"/>
      <c r="AG88" s="150"/>
      <c r="AH88" s="150"/>
      <c r="AI88" s="150"/>
      <c r="AJ88" s="150"/>
      <c r="AK88" s="150"/>
      <c r="AL88" s="150"/>
      <c r="AM88" s="150"/>
      <c r="AN88" s="466"/>
      <c r="AO88" s="466"/>
      <c r="AP88" s="150"/>
      <c r="AQ88" s="150"/>
      <c r="AR88" s="151"/>
      <c r="AS88" s="456"/>
      <c r="AT88" s="466"/>
      <c r="AU88" s="150"/>
      <c r="AV88" s="487"/>
      <c r="AW88" s="150"/>
      <c r="AX88" s="150"/>
      <c r="AY88" s="466"/>
      <c r="AZ88" s="466"/>
      <c r="BA88" s="150"/>
      <c r="BB88" s="150"/>
      <c r="BC88" s="466"/>
      <c r="BD88" s="466"/>
      <c r="BE88" s="466"/>
      <c r="BF88" s="466"/>
      <c r="BG88" s="150"/>
      <c r="BH88" s="150"/>
      <c r="BI88" s="150"/>
      <c r="BJ88" s="466"/>
      <c r="BK88" s="152"/>
      <c r="BL88" s="160"/>
      <c r="BM88" s="150"/>
      <c r="BN88" s="466"/>
      <c r="BO88" s="150"/>
      <c r="BP88" s="516"/>
      <c r="BQ88" s="160"/>
      <c r="BR88" s="152"/>
      <c r="BS88" s="160"/>
    </row>
    <row r="89" spans="1:71" x14ac:dyDescent="0.3">
      <c r="A89" s="420">
        <f>DL!A86</f>
        <v>73</v>
      </c>
      <c r="B89" s="16" t="s">
        <v>56</v>
      </c>
      <c r="C89" s="149">
        <v>400</v>
      </c>
      <c r="D89" s="149" t="str">
        <f>DL!C86</f>
        <v>AMP</v>
      </c>
      <c r="E89" s="150"/>
      <c r="F89" s="463"/>
      <c r="G89" s="150"/>
      <c r="H89" s="150"/>
      <c r="I89" s="466"/>
      <c r="J89" s="150"/>
      <c r="K89" s="168"/>
      <c r="L89" s="466"/>
      <c r="M89" s="150"/>
      <c r="N89" s="466"/>
      <c r="O89" s="150"/>
      <c r="P89" s="150"/>
      <c r="Q89" s="150"/>
      <c r="R89" s="472"/>
      <c r="S89" s="466">
        <v>750</v>
      </c>
      <c r="T89" s="150"/>
      <c r="U89" s="150"/>
      <c r="V89" s="150"/>
      <c r="W89" s="168"/>
      <c r="X89" s="150"/>
      <c r="Y89" s="466"/>
      <c r="Z89" s="455"/>
      <c r="AA89" s="150"/>
      <c r="AB89" s="490"/>
      <c r="AC89" s="150"/>
      <c r="AD89" s="150"/>
      <c r="AE89" s="466"/>
      <c r="AF89" s="499"/>
      <c r="AG89" s="150"/>
      <c r="AH89" s="150"/>
      <c r="AI89" s="150"/>
      <c r="AJ89" s="150"/>
      <c r="AK89" s="150"/>
      <c r="AL89" s="150"/>
      <c r="AM89" s="150"/>
      <c r="AN89" s="466"/>
      <c r="AO89" s="466"/>
      <c r="AP89" s="150"/>
      <c r="AQ89" s="150"/>
      <c r="AR89" s="151"/>
      <c r="AS89" s="456"/>
      <c r="AT89" s="466"/>
      <c r="AU89" s="150"/>
      <c r="AV89" s="487"/>
      <c r="AW89" s="150"/>
      <c r="AX89" s="150"/>
      <c r="AY89" s="466"/>
      <c r="AZ89" s="466"/>
      <c r="BA89" s="150"/>
      <c r="BB89" s="150"/>
      <c r="BC89" s="466"/>
      <c r="BD89" s="466"/>
      <c r="BE89" s="466"/>
      <c r="BF89" s="466"/>
      <c r="BG89" s="150"/>
      <c r="BH89" s="150"/>
      <c r="BI89" s="150"/>
      <c r="BJ89" s="466"/>
      <c r="BK89" s="152"/>
      <c r="BL89" s="160"/>
      <c r="BM89" s="150"/>
      <c r="BN89" s="466"/>
      <c r="BO89" s="150"/>
      <c r="BP89" s="516"/>
      <c r="BQ89" s="160"/>
      <c r="BR89" s="152"/>
      <c r="BS89" s="160"/>
    </row>
    <row r="90" spans="1:71" x14ac:dyDescent="0.3">
      <c r="A90" s="420">
        <f>DL!A87</f>
        <v>74</v>
      </c>
      <c r="B90" s="16" t="s">
        <v>1261</v>
      </c>
      <c r="C90" s="149">
        <f>DL!L87</f>
        <v>80</v>
      </c>
      <c r="D90" s="149">
        <f>DL!C87</f>
        <v>30</v>
      </c>
      <c r="E90" s="150"/>
      <c r="F90" s="463"/>
      <c r="G90" s="150"/>
      <c r="H90" s="150"/>
      <c r="I90" s="466"/>
      <c r="J90" s="150"/>
      <c r="K90" s="168"/>
      <c r="L90" s="466"/>
      <c r="M90" s="150"/>
      <c r="N90" s="466"/>
      <c r="O90" s="150"/>
      <c r="P90" s="150"/>
      <c r="Q90" s="150"/>
      <c r="R90" s="472"/>
      <c r="S90" s="466">
        <v>3100</v>
      </c>
      <c r="T90" s="150"/>
      <c r="U90" s="150"/>
      <c r="V90" s="150"/>
      <c r="W90" s="168"/>
      <c r="X90" s="150"/>
      <c r="Y90" s="466"/>
      <c r="Z90" s="455"/>
      <c r="AA90" s="159"/>
      <c r="AB90" s="490"/>
      <c r="AC90" s="150"/>
      <c r="AD90" s="150"/>
      <c r="AE90" s="466"/>
      <c r="AF90" s="499"/>
      <c r="AG90" s="150"/>
      <c r="AH90" s="150"/>
      <c r="AI90" s="150"/>
      <c r="AJ90" s="150"/>
      <c r="AK90" s="150"/>
      <c r="AL90" s="150"/>
      <c r="AM90" s="150"/>
      <c r="AN90" s="466"/>
      <c r="AO90" s="466"/>
      <c r="AP90" s="150"/>
      <c r="AQ90" s="150"/>
      <c r="AR90" s="151"/>
      <c r="AS90" s="456"/>
      <c r="AT90" s="466"/>
      <c r="AU90" s="150"/>
      <c r="AV90" s="487"/>
      <c r="AW90" s="150"/>
      <c r="AX90" s="150"/>
      <c r="AY90" s="466"/>
      <c r="AZ90" s="466"/>
      <c r="BA90" s="150"/>
      <c r="BB90" s="150"/>
      <c r="BC90" s="466"/>
      <c r="BD90" s="466"/>
      <c r="BE90" s="466"/>
      <c r="BF90" s="466"/>
      <c r="BG90" s="150"/>
      <c r="BH90" s="150"/>
      <c r="BI90" s="150"/>
      <c r="BJ90" s="466"/>
      <c r="BK90" s="152"/>
      <c r="BL90" s="160"/>
      <c r="BM90" s="150"/>
      <c r="BN90" s="466"/>
      <c r="BO90" s="150"/>
      <c r="BP90" s="516"/>
      <c r="BQ90" s="160"/>
      <c r="BR90" s="152"/>
      <c r="BS90" s="160"/>
    </row>
    <row r="91" spans="1:71" x14ac:dyDescent="0.3">
      <c r="A91" s="420">
        <f>DL!A88</f>
        <v>75</v>
      </c>
      <c r="B91" s="16" t="s">
        <v>58</v>
      </c>
      <c r="C91" s="149">
        <v>3000</v>
      </c>
      <c r="D91" s="149">
        <f>DL!C88</f>
        <v>28</v>
      </c>
      <c r="E91" s="150"/>
      <c r="F91" s="463"/>
      <c r="G91" s="150"/>
      <c r="H91" s="150"/>
      <c r="I91" s="466"/>
      <c r="J91" s="150"/>
      <c r="K91" s="168"/>
      <c r="L91" s="466"/>
      <c r="M91" s="150"/>
      <c r="N91" s="466"/>
      <c r="O91" s="150"/>
      <c r="P91" s="150">
        <v>390</v>
      </c>
      <c r="Q91" s="150"/>
      <c r="R91" s="473">
        <v>357.12099999999998</v>
      </c>
      <c r="S91" s="466">
        <v>300</v>
      </c>
      <c r="T91" s="150"/>
      <c r="U91" s="150"/>
      <c r="V91" s="150"/>
      <c r="W91" s="168"/>
      <c r="X91" s="150"/>
      <c r="Y91" s="466"/>
      <c r="Z91" s="455"/>
      <c r="AA91" s="150"/>
      <c r="AB91" s="490"/>
      <c r="AC91" s="150"/>
      <c r="AD91" s="150"/>
      <c r="AE91" s="466"/>
      <c r="AF91" s="499"/>
      <c r="AG91" s="150">
        <v>320</v>
      </c>
      <c r="AH91" s="150"/>
      <c r="AI91" s="150"/>
      <c r="AJ91" s="150"/>
      <c r="AK91" s="150"/>
      <c r="AL91" s="150"/>
      <c r="AM91" s="150"/>
      <c r="AN91" s="466"/>
      <c r="AO91" s="466"/>
      <c r="AP91" s="150"/>
      <c r="AQ91" s="150"/>
      <c r="AR91" s="151"/>
      <c r="AS91" s="456"/>
      <c r="AT91" s="466"/>
      <c r="AU91" s="150"/>
      <c r="AV91" s="487"/>
      <c r="AW91" s="150"/>
      <c r="AX91" s="150"/>
      <c r="AY91" s="466"/>
      <c r="AZ91" s="466"/>
      <c r="BA91" s="159">
        <f>466/30*28</f>
        <v>434.93333333333334</v>
      </c>
      <c r="BB91" s="150"/>
      <c r="BC91" s="466"/>
      <c r="BD91" s="466">
        <v>260</v>
      </c>
      <c r="BE91" s="466">
        <v>300</v>
      </c>
      <c r="BF91" s="466"/>
      <c r="BG91" s="150"/>
      <c r="BH91" s="150"/>
      <c r="BI91" s="150"/>
      <c r="BJ91" s="466"/>
      <c r="BK91" s="152"/>
      <c r="BL91" s="160"/>
      <c r="BM91" s="150">
        <v>413</v>
      </c>
      <c r="BN91" s="466">
        <v>320</v>
      </c>
      <c r="BO91" s="150"/>
      <c r="BP91" s="516"/>
      <c r="BQ91" s="160"/>
      <c r="BR91" s="152"/>
      <c r="BS91" s="160"/>
    </row>
    <row r="92" spans="1:71" x14ac:dyDescent="0.3">
      <c r="A92" s="420">
        <f>DL!A89</f>
        <v>76</v>
      </c>
      <c r="B92" s="16" t="s">
        <v>59</v>
      </c>
      <c r="C92" s="149">
        <v>3000</v>
      </c>
      <c r="D92" s="149">
        <f>DL!C89</f>
        <v>28</v>
      </c>
      <c r="E92" s="150"/>
      <c r="F92" s="463"/>
      <c r="G92" s="150"/>
      <c r="H92" s="150"/>
      <c r="I92" s="466"/>
      <c r="J92" s="150"/>
      <c r="K92" s="168"/>
      <c r="L92" s="466"/>
      <c r="M92" s="150"/>
      <c r="N92" s="466"/>
      <c r="O92" s="150"/>
      <c r="P92" s="150"/>
      <c r="Q92" s="150"/>
      <c r="R92" s="473">
        <v>294.76799999999997</v>
      </c>
      <c r="S92" s="466">
        <v>230</v>
      </c>
      <c r="T92" s="150"/>
      <c r="U92" s="150"/>
      <c r="V92" s="150"/>
      <c r="W92" s="168"/>
      <c r="X92" s="150"/>
      <c r="Y92" s="466"/>
      <c r="Z92" s="455"/>
      <c r="AA92" s="150"/>
      <c r="AB92" s="490"/>
      <c r="AC92" s="150"/>
      <c r="AD92" s="150"/>
      <c r="AE92" s="466"/>
      <c r="AF92" s="499"/>
      <c r="AG92" s="150">
        <v>290</v>
      </c>
      <c r="AH92" s="150"/>
      <c r="AI92" s="150"/>
      <c r="AJ92" s="150"/>
      <c r="AK92" s="150"/>
      <c r="AL92" s="150"/>
      <c r="AM92" s="150"/>
      <c r="AN92" s="466"/>
      <c r="AO92" s="466"/>
      <c r="AP92" s="150"/>
      <c r="AQ92" s="150"/>
      <c r="AR92" s="151"/>
      <c r="AS92" s="456"/>
      <c r="AT92" s="466"/>
      <c r="AU92" s="150"/>
      <c r="AV92" s="487"/>
      <c r="AW92" s="150"/>
      <c r="AX92" s="150"/>
      <c r="AY92" s="466"/>
      <c r="AZ92" s="466"/>
      <c r="BA92" s="159">
        <f>598/30*28</f>
        <v>558.13333333333333</v>
      </c>
      <c r="BB92" s="150">
        <v>368</v>
      </c>
      <c r="BC92" s="466"/>
      <c r="BD92" s="466">
        <v>240</v>
      </c>
      <c r="BE92" s="466">
        <v>250</v>
      </c>
      <c r="BF92" s="466"/>
      <c r="BG92" s="150"/>
      <c r="BH92" s="150"/>
      <c r="BI92" s="150"/>
      <c r="BJ92" s="466"/>
      <c r="BK92" s="152"/>
      <c r="BL92" s="160"/>
      <c r="BM92" s="150">
        <v>303</v>
      </c>
      <c r="BN92" s="466">
        <v>300</v>
      </c>
      <c r="BO92" s="150"/>
      <c r="BP92" s="516"/>
      <c r="BQ92" s="160"/>
      <c r="BR92" s="152"/>
      <c r="BS92" s="160"/>
    </row>
    <row r="93" spans="1:71" x14ac:dyDescent="0.3">
      <c r="A93" s="420">
        <f>DL!A90</f>
        <v>77</v>
      </c>
      <c r="B93" s="16" t="s">
        <v>60</v>
      </c>
      <c r="C93" s="149">
        <f>DL!L90</f>
        <v>2000</v>
      </c>
      <c r="D93" s="149">
        <f>DL!C90</f>
        <v>30</v>
      </c>
      <c r="E93" s="150"/>
      <c r="F93" s="463"/>
      <c r="G93" s="150"/>
      <c r="H93" s="150"/>
      <c r="I93" s="466"/>
      <c r="J93" s="150"/>
      <c r="K93" s="168"/>
      <c r="L93" s="466"/>
      <c r="M93" s="150"/>
      <c r="N93" s="466"/>
      <c r="O93" s="150"/>
      <c r="P93" s="150"/>
      <c r="Q93" s="150"/>
      <c r="R93" s="472"/>
      <c r="S93" s="466">
        <v>480</v>
      </c>
      <c r="T93" s="150"/>
      <c r="U93" s="150"/>
      <c r="V93" s="150"/>
      <c r="W93" s="168"/>
      <c r="X93" s="150"/>
      <c r="Y93" s="466"/>
      <c r="Z93" s="455"/>
      <c r="AA93" s="150"/>
      <c r="AB93" s="490"/>
      <c r="AC93" s="150"/>
      <c r="AD93" s="150"/>
      <c r="AE93" s="466"/>
      <c r="AF93" s="499"/>
      <c r="AG93" s="150"/>
      <c r="AH93" s="150"/>
      <c r="AI93" s="150"/>
      <c r="AJ93" s="150"/>
      <c r="AK93" s="150"/>
      <c r="AL93" s="150"/>
      <c r="AM93" s="150"/>
      <c r="AN93" s="466"/>
      <c r="AO93" s="466">
        <v>1000</v>
      </c>
      <c r="AP93" s="150"/>
      <c r="AQ93" s="150"/>
      <c r="AR93" s="151"/>
      <c r="AS93" s="456"/>
      <c r="AT93" s="466"/>
      <c r="AU93" s="150"/>
      <c r="AV93" s="487"/>
      <c r="AW93" s="150"/>
      <c r="AX93" s="150"/>
      <c r="AY93" s="466">
        <v>1150</v>
      </c>
      <c r="AZ93" s="466"/>
      <c r="BA93" s="159">
        <f>2047/50*30</f>
        <v>1228.1999999999998</v>
      </c>
      <c r="BB93" s="150"/>
      <c r="BC93" s="466"/>
      <c r="BD93" s="466"/>
      <c r="BE93" s="466"/>
      <c r="BF93" s="466"/>
      <c r="BG93" s="150"/>
      <c r="BH93" s="150"/>
      <c r="BI93" s="150"/>
      <c r="BJ93" s="466"/>
      <c r="BK93" s="152"/>
      <c r="BL93" s="160"/>
      <c r="BM93" s="150"/>
      <c r="BN93" s="466"/>
      <c r="BO93" s="150"/>
      <c r="BP93" s="516"/>
      <c r="BQ93" s="160"/>
      <c r="BR93" s="152"/>
      <c r="BS93" s="160"/>
    </row>
    <row r="94" spans="1:71" x14ac:dyDescent="0.3">
      <c r="A94" s="420">
        <f>DL!A91</f>
        <v>78</v>
      </c>
      <c r="B94" s="16" t="s">
        <v>61</v>
      </c>
      <c r="C94" s="149">
        <f>DL!L91</f>
        <v>2400</v>
      </c>
      <c r="D94" s="149">
        <f>DL!C91</f>
        <v>30</v>
      </c>
      <c r="E94" s="150"/>
      <c r="F94" s="463"/>
      <c r="G94" s="150"/>
      <c r="H94" s="150"/>
      <c r="I94" s="466"/>
      <c r="J94" s="150"/>
      <c r="K94" s="168"/>
      <c r="L94" s="466"/>
      <c r="M94" s="150"/>
      <c r="N94" s="466"/>
      <c r="O94" s="150"/>
      <c r="P94" s="150"/>
      <c r="Q94" s="150"/>
      <c r="R94" s="472"/>
      <c r="S94" s="466">
        <v>600</v>
      </c>
      <c r="T94" s="150"/>
      <c r="U94" s="150"/>
      <c r="V94" s="150"/>
      <c r="W94" s="168"/>
      <c r="X94" s="150"/>
      <c r="Y94" s="466"/>
      <c r="Z94" s="455"/>
      <c r="AA94" s="150"/>
      <c r="AB94" s="490">
        <v>550</v>
      </c>
      <c r="AC94" s="150"/>
      <c r="AD94" s="150"/>
      <c r="AE94" s="466"/>
      <c r="AF94" s="499"/>
      <c r="AG94" s="150">
        <v>900</v>
      </c>
      <c r="AH94" s="150"/>
      <c r="AI94" s="150"/>
      <c r="AJ94" s="150"/>
      <c r="AK94" s="150"/>
      <c r="AL94" s="150"/>
      <c r="AM94" s="150"/>
      <c r="AN94" s="466"/>
      <c r="AO94" s="466">
        <v>1400</v>
      </c>
      <c r="AP94" s="150"/>
      <c r="AQ94" s="150"/>
      <c r="AR94" s="151"/>
      <c r="AS94" s="456"/>
      <c r="AT94" s="466"/>
      <c r="AU94" s="150"/>
      <c r="AV94" s="487"/>
      <c r="AW94" s="150"/>
      <c r="AX94" s="150"/>
      <c r="AY94" s="466">
        <v>1650</v>
      </c>
      <c r="AZ94" s="466"/>
      <c r="BA94" s="159">
        <f>3002/50*30</f>
        <v>1801.2</v>
      </c>
      <c r="BB94" s="150"/>
      <c r="BC94" s="466"/>
      <c r="BD94" s="466"/>
      <c r="BE94" s="466"/>
      <c r="BF94" s="466"/>
      <c r="BG94" s="150"/>
      <c r="BH94" s="150"/>
      <c r="BI94" s="150"/>
      <c r="BJ94" s="466"/>
      <c r="BK94" s="152"/>
      <c r="BL94" s="160"/>
      <c r="BM94" s="150"/>
      <c r="BN94" s="466"/>
      <c r="BO94" s="150"/>
      <c r="BP94" s="516"/>
      <c r="BQ94" s="160"/>
      <c r="BR94" s="152"/>
      <c r="BS94" s="160"/>
    </row>
    <row r="95" spans="1:71" x14ac:dyDescent="0.3">
      <c r="A95" s="420">
        <f>DL!A92</f>
        <v>79</v>
      </c>
      <c r="B95" s="16" t="s">
        <v>62</v>
      </c>
      <c r="C95" s="149">
        <v>100</v>
      </c>
      <c r="D95" s="149">
        <f>DL!C92</f>
        <v>30</v>
      </c>
      <c r="E95" s="150"/>
      <c r="F95" s="463"/>
      <c r="G95" s="150"/>
      <c r="H95" s="150"/>
      <c r="I95" s="466"/>
      <c r="J95" s="150"/>
      <c r="K95" s="168"/>
      <c r="L95" s="466"/>
      <c r="M95" s="150"/>
      <c r="N95" s="466"/>
      <c r="O95" s="150"/>
      <c r="P95" s="150"/>
      <c r="Q95" s="150"/>
      <c r="R95" s="472"/>
      <c r="S95" s="466">
        <v>2200</v>
      </c>
      <c r="T95" s="150"/>
      <c r="U95" s="150"/>
      <c r="V95" s="150"/>
      <c r="W95" s="168"/>
      <c r="X95" s="150"/>
      <c r="Y95" s="466"/>
      <c r="Z95" s="455"/>
      <c r="AA95" s="150"/>
      <c r="AB95" s="490">
        <v>800</v>
      </c>
      <c r="AC95" s="150"/>
      <c r="AD95" s="150"/>
      <c r="AE95" s="466"/>
      <c r="AF95" s="499"/>
      <c r="AG95" s="150"/>
      <c r="AH95" s="150"/>
      <c r="AI95" s="150"/>
      <c r="AJ95" s="150"/>
      <c r="AK95" s="150"/>
      <c r="AL95" s="150"/>
      <c r="AM95" s="150"/>
      <c r="AN95" s="466"/>
      <c r="AO95" s="466">
        <v>1895</v>
      </c>
      <c r="AP95" s="150"/>
      <c r="AQ95" s="150"/>
      <c r="AR95" s="151"/>
      <c r="AS95" s="456"/>
      <c r="AT95" s="466"/>
      <c r="AU95" s="150"/>
      <c r="AV95" s="487"/>
      <c r="AW95" s="150"/>
      <c r="AX95" s="150"/>
      <c r="AY95" s="466">
        <v>1750</v>
      </c>
      <c r="AZ95" s="466"/>
      <c r="BA95" s="150"/>
      <c r="BB95" s="150"/>
      <c r="BC95" s="466"/>
      <c r="BD95" s="466"/>
      <c r="BE95" s="466"/>
      <c r="BF95" s="466"/>
      <c r="BG95" s="150"/>
      <c r="BH95" s="150"/>
      <c r="BI95" s="150"/>
      <c r="BJ95" s="466"/>
      <c r="BK95" s="152"/>
      <c r="BL95" s="160"/>
      <c r="BM95" s="150"/>
      <c r="BN95" s="466"/>
      <c r="BO95" s="150"/>
      <c r="BP95" s="516"/>
      <c r="BQ95" s="160"/>
      <c r="BR95" s="152"/>
      <c r="BS95" s="160"/>
    </row>
    <row r="96" spans="1:71" x14ac:dyDescent="0.3">
      <c r="A96" s="420">
        <f>DL!A93</f>
        <v>80</v>
      </c>
      <c r="B96" s="16" t="s">
        <v>63</v>
      </c>
      <c r="C96" s="149">
        <v>2000</v>
      </c>
      <c r="D96" s="149">
        <f>DL!C93</f>
        <v>100</v>
      </c>
      <c r="E96" s="150"/>
      <c r="F96" s="463"/>
      <c r="G96" s="150"/>
      <c r="H96" s="150"/>
      <c r="I96" s="466"/>
      <c r="J96" s="150"/>
      <c r="K96" s="168"/>
      <c r="L96" s="466"/>
      <c r="M96" s="150"/>
      <c r="N96" s="466"/>
      <c r="O96" s="150"/>
      <c r="P96" s="150"/>
      <c r="Q96" s="150"/>
      <c r="R96" s="472"/>
      <c r="S96" s="466">
        <v>1350</v>
      </c>
      <c r="T96" s="150"/>
      <c r="U96" s="150"/>
      <c r="V96" s="150">
        <v>1210</v>
      </c>
      <c r="W96" s="168"/>
      <c r="X96" s="150"/>
      <c r="Y96" s="466"/>
      <c r="Z96" s="455"/>
      <c r="AA96" s="150"/>
      <c r="AB96" s="490"/>
      <c r="AC96" s="150"/>
      <c r="AD96" s="150"/>
      <c r="AE96" s="466"/>
      <c r="AF96" s="499"/>
      <c r="AG96" s="150">
        <v>1550</v>
      </c>
      <c r="AH96" s="150"/>
      <c r="AI96" s="150"/>
      <c r="AJ96" s="150"/>
      <c r="AK96" s="150"/>
      <c r="AL96" s="150"/>
      <c r="AM96" s="150"/>
      <c r="AN96" s="466"/>
      <c r="AO96" s="466"/>
      <c r="AP96" s="150"/>
      <c r="AQ96" s="150"/>
      <c r="AR96" s="151"/>
      <c r="AS96" s="456"/>
      <c r="AT96" s="466"/>
      <c r="AU96" s="150"/>
      <c r="AV96" s="487"/>
      <c r="AW96" s="150"/>
      <c r="AX96" s="150"/>
      <c r="AY96" s="466"/>
      <c r="AZ96" s="466"/>
      <c r="BA96" s="150"/>
      <c r="BB96" s="150"/>
      <c r="BC96" s="466"/>
      <c r="BD96" s="466">
        <v>1390</v>
      </c>
      <c r="BE96" s="466">
        <v>2000</v>
      </c>
      <c r="BF96" s="466"/>
      <c r="BG96" s="150"/>
      <c r="BH96" s="150"/>
      <c r="BI96" s="150"/>
      <c r="BJ96" s="466"/>
      <c r="BK96" s="152"/>
      <c r="BL96" s="160"/>
      <c r="BM96" s="150"/>
      <c r="BN96" s="466">
        <v>1450</v>
      </c>
      <c r="BO96" s="150"/>
      <c r="BP96" s="516"/>
      <c r="BQ96" s="160"/>
      <c r="BR96" s="152"/>
      <c r="BS96" s="160"/>
    </row>
    <row r="97" spans="1:71" x14ac:dyDescent="0.3">
      <c r="A97" s="420">
        <f>DL!A94</f>
        <v>81</v>
      </c>
      <c r="B97" s="16" t="s">
        <v>1262</v>
      </c>
      <c r="C97" s="149">
        <f>DL!L94</f>
        <v>10</v>
      </c>
      <c r="D97" s="149">
        <f>DL!C94</f>
        <v>100</v>
      </c>
      <c r="E97" s="150"/>
      <c r="F97" s="463"/>
      <c r="G97" s="150"/>
      <c r="H97" s="150"/>
      <c r="I97" s="466"/>
      <c r="J97" s="150"/>
      <c r="K97" s="168"/>
      <c r="L97" s="466"/>
      <c r="M97" s="150"/>
      <c r="N97" s="466"/>
      <c r="O97" s="150"/>
      <c r="P97" s="150"/>
      <c r="Q97" s="150"/>
      <c r="R97" s="472"/>
      <c r="S97" s="466">
        <v>12000</v>
      </c>
      <c r="T97" s="150"/>
      <c r="U97" s="150"/>
      <c r="V97" s="150"/>
      <c r="W97" s="168"/>
      <c r="X97" s="150"/>
      <c r="Y97" s="466"/>
      <c r="Z97" s="455"/>
      <c r="AA97" s="150"/>
      <c r="AB97" s="490"/>
      <c r="AC97" s="150"/>
      <c r="AD97" s="150"/>
      <c r="AE97" s="466"/>
      <c r="AF97" s="499"/>
      <c r="AG97" s="150"/>
      <c r="AH97" s="150"/>
      <c r="AI97" s="150"/>
      <c r="AJ97" s="150"/>
      <c r="AK97" s="150"/>
      <c r="AL97" s="150"/>
      <c r="AM97" s="150"/>
      <c r="AN97" s="466"/>
      <c r="AO97" s="466"/>
      <c r="AP97" s="150"/>
      <c r="AQ97" s="150"/>
      <c r="AR97" s="151"/>
      <c r="AS97" s="456"/>
      <c r="AT97" s="466"/>
      <c r="AU97" s="150"/>
      <c r="AV97" s="487"/>
      <c r="AW97" s="150"/>
      <c r="AX97" s="150"/>
      <c r="AY97" s="466"/>
      <c r="AZ97" s="466"/>
      <c r="BA97" s="150"/>
      <c r="BB97" s="150"/>
      <c r="BC97" s="466"/>
      <c r="BD97" s="466"/>
      <c r="BE97" s="466"/>
      <c r="BF97" s="466"/>
      <c r="BG97" s="150"/>
      <c r="BH97" s="150"/>
      <c r="BI97" s="150"/>
      <c r="BJ97" s="466"/>
      <c r="BK97" s="152"/>
      <c r="BL97" s="160"/>
      <c r="BM97" s="150"/>
      <c r="BN97" s="466"/>
      <c r="BO97" s="150"/>
      <c r="BP97" s="516"/>
      <c r="BQ97" s="160"/>
      <c r="BR97" s="152"/>
      <c r="BS97" s="160"/>
    </row>
    <row r="98" spans="1:71" x14ac:dyDescent="0.3">
      <c r="A98" s="420">
        <f>DL!A95</f>
        <v>82</v>
      </c>
      <c r="B98" s="16" t="s">
        <v>1263</v>
      </c>
      <c r="C98" s="149">
        <f>DL!L95</f>
        <v>10</v>
      </c>
      <c r="D98" s="149">
        <f>DL!C95</f>
        <v>100</v>
      </c>
      <c r="E98" s="150"/>
      <c r="F98" s="463"/>
      <c r="G98" s="150"/>
      <c r="H98" s="150"/>
      <c r="I98" s="466"/>
      <c r="J98" s="150"/>
      <c r="K98" s="168"/>
      <c r="L98" s="466"/>
      <c r="M98" s="150"/>
      <c r="N98" s="466"/>
      <c r="O98" s="150"/>
      <c r="P98" s="150"/>
      <c r="Q98" s="150"/>
      <c r="R98" s="472"/>
      <c r="S98" s="466">
        <v>15000</v>
      </c>
      <c r="T98" s="150"/>
      <c r="U98" s="150"/>
      <c r="V98" s="150"/>
      <c r="W98" s="168"/>
      <c r="X98" s="150"/>
      <c r="Y98" s="466"/>
      <c r="Z98" s="455"/>
      <c r="AA98" s="150"/>
      <c r="AB98" s="490"/>
      <c r="AC98" s="150"/>
      <c r="AD98" s="150"/>
      <c r="AE98" s="466"/>
      <c r="AF98" s="499"/>
      <c r="AG98" s="150"/>
      <c r="AH98" s="150"/>
      <c r="AI98" s="150"/>
      <c r="AJ98" s="150"/>
      <c r="AK98" s="150"/>
      <c r="AL98" s="150"/>
      <c r="AM98" s="150"/>
      <c r="AN98" s="466"/>
      <c r="AO98" s="466"/>
      <c r="AP98" s="150"/>
      <c r="AQ98" s="150"/>
      <c r="AR98" s="151"/>
      <c r="AS98" s="456"/>
      <c r="AT98" s="466"/>
      <c r="AU98" s="150"/>
      <c r="AV98" s="487"/>
      <c r="AW98" s="150"/>
      <c r="AX98" s="150"/>
      <c r="AY98" s="466"/>
      <c r="AZ98" s="466"/>
      <c r="BA98" s="150"/>
      <c r="BB98" s="150"/>
      <c r="BC98" s="466"/>
      <c r="BD98" s="466"/>
      <c r="BE98" s="466"/>
      <c r="BF98" s="466"/>
      <c r="BG98" s="150"/>
      <c r="BH98" s="150"/>
      <c r="BI98" s="150"/>
      <c r="BJ98" s="466"/>
      <c r="BK98" s="152"/>
      <c r="BL98" s="160"/>
      <c r="BM98" s="150"/>
      <c r="BN98" s="466"/>
      <c r="BO98" s="150"/>
      <c r="BP98" s="516"/>
      <c r="BQ98" s="160"/>
      <c r="BR98" s="152"/>
      <c r="BS98" s="160"/>
    </row>
    <row r="99" spans="1:71" x14ac:dyDescent="0.3">
      <c r="A99" s="420">
        <f>DL!A96</f>
        <v>83</v>
      </c>
      <c r="B99" s="16" t="s">
        <v>669</v>
      </c>
      <c r="C99" s="149">
        <f>DL!L96</f>
        <v>80</v>
      </c>
      <c r="D99" s="149">
        <f>DL!C96</f>
        <v>30</v>
      </c>
      <c r="E99" s="150"/>
      <c r="F99" s="463"/>
      <c r="G99" s="150"/>
      <c r="H99" s="150"/>
      <c r="I99" s="466"/>
      <c r="J99" s="150"/>
      <c r="K99" s="168"/>
      <c r="L99" s="466"/>
      <c r="M99" s="150"/>
      <c r="N99" s="466"/>
      <c r="O99" s="150"/>
      <c r="P99" s="150"/>
      <c r="Q99" s="150"/>
      <c r="R99" s="472"/>
      <c r="S99" s="466">
        <v>1350</v>
      </c>
      <c r="T99" s="150"/>
      <c r="U99" s="150"/>
      <c r="V99" s="150"/>
      <c r="W99" s="168"/>
      <c r="X99" s="150"/>
      <c r="Y99" s="466"/>
      <c r="Z99" s="455"/>
      <c r="AA99" s="150"/>
      <c r="AB99" s="490"/>
      <c r="AC99" s="150"/>
      <c r="AD99" s="150"/>
      <c r="AE99" s="466"/>
      <c r="AF99" s="499"/>
      <c r="AG99" s="150"/>
      <c r="AH99" s="150"/>
      <c r="AI99" s="150"/>
      <c r="AJ99" s="150"/>
      <c r="AK99" s="150"/>
      <c r="AL99" s="150"/>
      <c r="AM99" s="150"/>
      <c r="AN99" s="466"/>
      <c r="AO99" s="466">
        <v>671</v>
      </c>
      <c r="AP99" s="150"/>
      <c r="AQ99" s="150"/>
      <c r="AR99" s="151"/>
      <c r="AS99" s="456"/>
      <c r="AT99" s="466"/>
      <c r="AU99" s="159"/>
      <c r="AV99" s="487"/>
      <c r="AW99" s="150"/>
      <c r="AX99" s="150"/>
      <c r="AY99" s="466"/>
      <c r="AZ99" s="466"/>
      <c r="BA99" s="150"/>
      <c r="BB99" s="150"/>
      <c r="BC99" s="466"/>
      <c r="BD99" s="466"/>
      <c r="BE99" s="466"/>
      <c r="BF99" s="466"/>
      <c r="BG99" s="150"/>
      <c r="BH99" s="150"/>
      <c r="BI99" s="150"/>
      <c r="BJ99" s="466"/>
      <c r="BK99" s="152"/>
      <c r="BL99" s="160"/>
      <c r="BM99" s="150"/>
      <c r="BN99" s="466"/>
      <c r="BO99" s="150"/>
      <c r="BP99" s="516"/>
      <c r="BQ99" s="160"/>
      <c r="BR99" s="152"/>
      <c r="BS99" s="160"/>
    </row>
    <row r="100" spans="1:71" x14ac:dyDescent="0.3">
      <c r="A100" s="420">
        <f>DL!A97</f>
        <v>84</v>
      </c>
      <c r="B100" s="16" t="s">
        <v>741</v>
      </c>
      <c r="C100" s="149">
        <f>DL!L97</f>
        <v>80</v>
      </c>
      <c r="D100" s="149">
        <f>DL!C97</f>
        <v>30</v>
      </c>
      <c r="E100" s="150"/>
      <c r="F100" s="463"/>
      <c r="G100" s="150"/>
      <c r="H100" s="150"/>
      <c r="I100" s="466"/>
      <c r="J100" s="150"/>
      <c r="K100" s="168"/>
      <c r="L100" s="466"/>
      <c r="M100" s="150"/>
      <c r="N100" s="466"/>
      <c r="O100" s="150"/>
      <c r="P100" s="150"/>
      <c r="Q100" s="150"/>
      <c r="R100" s="472"/>
      <c r="S100" s="466">
        <v>1750</v>
      </c>
      <c r="T100" s="150"/>
      <c r="U100" s="150"/>
      <c r="V100" s="150"/>
      <c r="W100" s="168"/>
      <c r="X100" s="150"/>
      <c r="Y100" s="466"/>
      <c r="Z100" s="455"/>
      <c r="AA100" s="150"/>
      <c r="AB100" s="490"/>
      <c r="AC100" s="150"/>
      <c r="AD100" s="150"/>
      <c r="AE100" s="466"/>
      <c r="AF100" s="499"/>
      <c r="AG100" s="150"/>
      <c r="AH100" s="150"/>
      <c r="AI100" s="150"/>
      <c r="AJ100" s="150"/>
      <c r="AK100" s="150"/>
      <c r="AL100" s="150"/>
      <c r="AM100" s="150"/>
      <c r="AN100" s="466"/>
      <c r="AO100" s="466">
        <v>849</v>
      </c>
      <c r="AP100" s="150"/>
      <c r="AQ100" s="150"/>
      <c r="AR100" s="151"/>
      <c r="AS100" s="456"/>
      <c r="AT100" s="466"/>
      <c r="AU100" s="159"/>
      <c r="AV100" s="487"/>
      <c r="AW100" s="150"/>
      <c r="AX100" s="150"/>
      <c r="AY100" s="466"/>
      <c r="AZ100" s="466"/>
      <c r="BA100" s="150"/>
      <c r="BB100" s="150"/>
      <c r="BC100" s="466"/>
      <c r="BD100" s="466"/>
      <c r="BE100" s="466"/>
      <c r="BF100" s="466"/>
      <c r="BG100" s="150"/>
      <c r="BH100" s="150"/>
      <c r="BI100" s="150"/>
      <c r="BJ100" s="466"/>
      <c r="BK100" s="152"/>
      <c r="BL100" s="160"/>
      <c r="BM100" s="150"/>
      <c r="BN100" s="466"/>
      <c r="BO100" s="150"/>
      <c r="BP100" s="516"/>
      <c r="BQ100" s="160"/>
      <c r="BR100" s="152"/>
      <c r="BS100" s="160"/>
    </row>
    <row r="101" spans="1:71" x14ac:dyDescent="0.3">
      <c r="A101" s="420">
        <f>DL!A98</f>
        <v>85</v>
      </c>
      <c r="B101" s="16" t="s">
        <v>1264</v>
      </c>
      <c r="C101" s="149">
        <f>DL!L98</f>
        <v>10</v>
      </c>
      <c r="D101" s="149">
        <f>DL!C98</f>
        <v>30</v>
      </c>
      <c r="E101" s="150"/>
      <c r="F101" s="463"/>
      <c r="G101" s="150"/>
      <c r="H101" s="150"/>
      <c r="I101" s="466"/>
      <c r="J101" s="150"/>
      <c r="K101" s="168"/>
      <c r="L101" s="466"/>
      <c r="M101" s="150"/>
      <c r="N101" s="466"/>
      <c r="O101" s="150"/>
      <c r="P101" s="150"/>
      <c r="Q101" s="150"/>
      <c r="R101" s="472"/>
      <c r="S101" s="466">
        <v>2200</v>
      </c>
      <c r="T101" s="150"/>
      <c r="U101" s="150"/>
      <c r="V101" s="150"/>
      <c r="W101" s="168"/>
      <c r="X101" s="150"/>
      <c r="Y101" s="466"/>
      <c r="Z101" s="455"/>
      <c r="AA101" s="150"/>
      <c r="AB101" s="490"/>
      <c r="AC101" s="150"/>
      <c r="AD101" s="150"/>
      <c r="AE101" s="466"/>
      <c r="AF101" s="499"/>
      <c r="AG101" s="150"/>
      <c r="AH101" s="150"/>
      <c r="AI101" s="150"/>
      <c r="AJ101" s="150"/>
      <c r="AK101" s="150"/>
      <c r="AL101" s="150"/>
      <c r="AM101" s="150"/>
      <c r="AN101" s="466"/>
      <c r="AO101" s="466">
        <v>1895</v>
      </c>
      <c r="AP101" s="150"/>
      <c r="AQ101" s="150"/>
      <c r="AR101" s="151"/>
      <c r="AS101" s="456"/>
      <c r="AT101" s="466"/>
      <c r="AU101" s="150"/>
      <c r="AV101" s="487"/>
      <c r="AW101" s="150"/>
      <c r="AX101" s="150"/>
      <c r="AY101" s="466"/>
      <c r="AZ101" s="466"/>
      <c r="BA101" s="150"/>
      <c r="BB101" s="150"/>
      <c r="BC101" s="466"/>
      <c r="BD101" s="466"/>
      <c r="BE101" s="466"/>
      <c r="BF101" s="466"/>
      <c r="BG101" s="150"/>
      <c r="BH101" s="150"/>
      <c r="BI101" s="150"/>
      <c r="BJ101" s="466"/>
      <c r="BK101" s="152"/>
      <c r="BL101" s="160"/>
      <c r="BM101" s="150"/>
      <c r="BN101" s="466"/>
      <c r="BO101" s="150"/>
      <c r="BP101" s="516"/>
      <c r="BQ101" s="160"/>
      <c r="BR101" s="152"/>
      <c r="BS101" s="160"/>
    </row>
    <row r="102" spans="1:71" x14ac:dyDescent="0.3">
      <c r="A102" s="420">
        <f>DL!A99</f>
        <v>86</v>
      </c>
      <c r="B102" s="16" t="s">
        <v>1265</v>
      </c>
      <c r="C102" s="149">
        <f>DL!L99</f>
        <v>10</v>
      </c>
      <c r="D102" s="149">
        <f>DL!C99</f>
        <v>30</v>
      </c>
      <c r="E102" s="150"/>
      <c r="F102" s="463"/>
      <c r="G102" s="150"/>
      <c r="H102" s="150"/>
      <c r="I102" s="466"/>
      <c r="J102" s="150"/>
      <c r="K102" s="168"/>
      <c r="L102" s="466"/>
      <c r="M102" s="150"/>
      <c r="N102" s="466"/>
      <c r="O102" s="150"/>
      <c r="P102" s="150"/>
      <c r="Q102" s="150"/>
      <c r="R102" s="472"/>
      <c r="S102" s="466">
        <v>2350</v>
      </c>
      <c r="T102" s="150"/>
      <c r="U102" s="150"/>
      <c r="V102" s="150"/>
      <c r="W102" s="168"/>
      <c r="X102" s="150"/>
      <c r="Y102" s="466"/>
      <c r="Z102" s="455"/>
      <c r="AA102" s="150"/>
      <c r="AB102" s="490"/>
      <c r="AC102" s="150"/>
      <c r="AD102" s="150"/>
      <c r="AE102" s="466"/>
      <c r="AF102" s="499"/>
      <c r="AG102" s="150"/>
      <c r="AH102" s="150"/>
      <c r="AI102" s="150"/>
      <c r="AJ102" s="150"/>
      <c r="AK102" s="150"/>
      <c r="AL102" s="150"/>
      <c r="AM102" s="150"/>
      <c r="AN102" s="466"/>
      <c r="AO102" s="466">
        <v>1990</v>
      </c>
      <c r="AP102" s="150"/>
      <c r="AQ102" s="150"/>
      <c r="AR102" s="151"/>
      <c r="AS102" s="456"/>
      <c r="AT102" s="466"/>
      <c r="AU102" s="159"/>
      <c r="AV102" s="487"/>
      <c r="AW102" s="150"/>
      <c r="AX102" s="150"/>
      <c r="AY102" s="466"/>
      <c r="AZ102" s="466"/>
      <c r="BA102" s="150"/>
      <c r="BB102" s="150"/>
      <c r="BC102" s="466"/>
      <c r="BD102" s="466"/>
      <c r="BE102" s="466"/>
      <c r="BF102" s="466"/>
      <c r="BG102" s="150"/>
      <c r="BH102" s="150"/>
      <c r="BI102" s="150"/>
      <c r="BJ102" s="466"/>
      <c r="BK102" s="152"/>
      <c r="BL102" s="160"/>
      <c r="BM102" s="150"/>
      <c r="BN102" s="466"/>
      <c r="BO102" s="150"/>
      <c r="BP102" s="516"/>
      <c r="BQ102" s="160"/>
      <c r="BR102" s="152"/>
      <c r="BS102" s="160"/>
    </row>
    <row r="103" spans="1:71" x14ac:dyDescent="0.3">
      <c r="A103" s="420">
        <f>DL!A100</f>
        <v>87</v>
      </c>
      <c r="B103" s="16" t="s">
        <v>64</v>
      </c>
      <c r="C103" s="149">
        <f>DL!L100</f>
        <v>600</v>
      </c>
      <c r="D103" s="149">
        <f>DL!C100</f>
        <v>100</v>
      </c>
      <c r="E103" s="150"/>
      <c r="F103" s="463"/>
      <c r="G103" s="150"/>
      <c r="H103" s="150"/>
      <c r="I103" s="466"/>
      <c r="J103" s="150"/>
      <c r="K103" s="168"/>
      <c r="L103" s="466"/>
      <c r="M103" s="150"/>
      <c r="N103" s="466"/>
      <c r="O103" s="150"/>
      <c r="P103" s="150"/>
      <c r="Q103" s="159"/>
      <c r="R103" s="472"/>
      <c r="S103" s="466">
        <v>150</v>
      </c>
      <c r="T103" s="150"/>
      <c r="U103" s="150"/>
      <c r="V103" s="150"/>
      <c r="W103" s="168"/>
      <c r="X103" s="150"/>
      <c r="Y103" s="466"/>
      <c r="Z103" s="455"/>
      <c r="AA103" s="150"/>
      <c r="AB103" s="490"/>
      <c r="AC103" s="150"/>
      <c r="AD103" s="150"/>
      <c r="AE103" s="466"/>
      <c r="AF103" s="499"/>
      <c r="AG103" s="150">
        <v>480</v>
      </c>
      <c r="AH103" s="150"/>
      <c r="AI103" s="150"/>
      <c r="AJ103" s="150"/>
      <c r="AK103" s="159">
        <f>626.26*2</f>
        <v>1252.52</v>
      </c>
      <c r="AL103" s="150"/>
      <c r="AM103" s="150"/>
      <c r="AN103" s="466"/>
      <c r="AO103" s="466"/>
      <c r="AP103" s="150"/>
      <c r="AQ103" s="150"/>
      <c r="AR103" s="151"/>
      <c r="AS103" s="456"/>
      <c r="AT103" s="466"/>
      <c r="AU103" s="150"/>
      <c r="AV103" s="487"/>
      <c r="AW103" s="150"/>
      <c r="AX103" s="150"/>
      <c r="AY103" s="466"/>
      <c r="AZ103" s="466"/>
      <c r="BA103" s="150"/>
      <c r="BB103" s="150"/>
      <c r="BC103" s="466"/>
      <c r="BD103" s="466"/>
      <c r="BE103" s="466"/>
      <c r="BF103" s="466"/>
      <c r="BG103" s="150"/>
      <c r="BH103" s="150"/>
      <c r="BI103" s="150"/>
      <c r="BJ103" s="466"/>
      <c r="BK103" s="152"/>
      <c r="BL103" s="160"/>
      <c r="BM103" s="150"/>
      <c r="BN103" s="466"/>
      <c r="BO103" s="150"/>
      <c r="BP103" s="516"/>
      <c r="BQ103" s="160"/>
      <c r="BR103" s="152"/>
      <c r="BS103" s="160"/>
    </row>
    <row r="104" spans="1:71" x14ac:dyDescent="0.3">
      <c r="A104" s="420">
        <f>DL!A101</f>
        <v>88</v>
      </c>
      <c r="B104" s="16" t="s">
        <v>65</v>
      </c>
      <c r="C104" s="149">
        <f>DL!L101</f>
        <v>3000</v>
      </c>
      <c r="D104" s="149">
        <f>DL!C101</f>
        <v>30</v>
      </c>
      <c r="E104" s="150"/>
      <c r="F104" s="463"/>
      <c r="G104" s="150"/>
      <c r="H104" s="150"/>
      <c r="I104" s="466"/>
      <c r="J104" s="150"/>
      <c r="K104" s="168"/>
      <c r="L104" s="466"/>
      <c r="M104" s="150"/>
      <c r="N104" s="466"/>
      <c r="O104" s="150"/>
      <c r="P104" s="150"/>
      <c r="Q104" s="159"/>
      <c r="R104" s="472"/>
      <c r="S104" s="466">
        <v>880</v>
      </c>
      <c r="T104" s="150"/>
      <c r="U104" s="150"/>
      <c r="V104" s="150"/>
      <c r="W104" s="168"/>
      <c r="X104" s="150"/>
      <c r="Y104" s="466"/>
      <c r="Z104" s="455"/>
      <c r="AA104" s="150"/>
      <c r="AB104" s="490"/>
      <c r="AC104" s="150"/>
      <c r="AD104" s="150"/>
      <c r="AE104" s="466"/>
      <c r="AF104" s="499"/>
      <c r="AG104" s="150">
        <v>950</v>
      </c>
      <c r="AH104" s="150"/>
      <c r="AI104" s="150"/>
      <c r="AJ104" s="150"/>
      <c r="AK104" s="150">
        <v>696.97</v>
      </c>
      <c r="AL104" s="150"/>
      <c r="AM104" s="150"/>
      <c r="AN104" s="466"/>
      <c r="AO104" s="466"/>
      <c r="AP104" s="150">
        <v>1050</v>
      </c>
      <c r="AQ104" s="150"/>
      <c r="AR104" s="151"/>
      <c r="AS104" s="456"/>
      <c r="AT104" s="466"/>
      <c r="AU104" s="150"/>
      <c r="AV104" s="487"/>
      <c r="AW104" s="150"/>
      <c r="AX104" s="150"/>
      <c r="AY104" s="466"/>
      <c r="AZ104" s="466"/>
      <c r="BA104" s="150"/>
      <c r="BB104" s="150"/>
      <c r="BC104" s="466"/>
      <c r="BD104" s="466"/>
      <c r="BE104" s="466"/>
      <c r="BF104" s="466"/>
      <c r="BG104" s="150">
        <v>930</v>
      </c>
      <c r="BH104" s="150">
        <v>1568</v>
      </c>
      <c r="BI104" s="150"/>
      <c r="BJ104" s="466"/>
      <c r="BK104" s="152"/>
      <c r="BL104" s="160"/>
      <c r="BM104" s="150"/>
      <c r="BN104" s="466"/>
      <c r="BO104" s="150"/>
      <c r="BP104" s="516"/>
      <c r="BQ104" s="160"/>
      <c r="BR104" s="152"/>
      <c r="BS104" s="160"/>
    </row>
    <row r="105" spans="1:71" x14ac:dyDescent="0.3">
      <c r="A105" s="420">
        <f>DL!A102</f>
        <v>89</v>
      </c>
      <c r="B105" s="16" t="s">
        <v>431</v>
      </c>
      <c r="C105" s="149">
        <f>DL!L102</f>
        <v>10</v>
      </c>
      <c r="D105" s="149">
        <f>DL!C102</f>
        <v>30</v>
      </c>
      <c r="E105" s="150"/>
      <c r="F105" s="463"/>
      <c r="G105" s="150"/>
      <c r="H105" s="150"/>
      <c r="I105" s="467">
        <v>6658</v>
      </c>
      <c r="J105" s="150"/>
      <c r="K105" s="168"/>
      <c r="L105" s="466"/>
      <c r="M105" s="150"/>
      <c r="N105" s="466"/>
      <c r="O105" s="150"/>
      <c r="P105" s="150"/>
      <c r="Q105" s="150"/>
      <c r="R105" s="472"/>
      <c r="S105" s="466"/>
      <c r="T105" s="150"/>
      <c r="U105" s="150"/>
      <c r="V105" s="150"/>
      <c r="W105" s="168"/>
      <c r="X105" s="150"/>
      <c r="Y105" s="466"/>
      <c r="Z105" s="455"/>
      <c r="AA105" s="150"/>
      <c r="AB105" s="490"/>
      <c r="AC105" s="150"/>
      <c r="AD105" s="150"/>
      <c r="AE105" s="466"/>
      <c r="AF105" s="499"/>
      <c r="AG105" s="150"/>
      <c r="AH105" s="150"/>
      <c r="AI105" s="150"/>
      <c r="AJ105" s="150"/>
      <c r="AK105" s="150"/>
      <c r="AL105" s="150"/>
      <c r="AM105" s="150"/>
      <c r="AN105" s="466"/>
      <c r="AO105" s="466"/>
      <c r="AP105" s="150"/>
      <c r="AQ105" s="150"/>
      <c r="AR105" s="151"/>
      <c r="AS105" s="456"/>
      <c r="AT105" s="466"/>
      <c r="AU105" s="150"/>
      <c r="AV105" s="487"/>
      <c r="AW105" s="150"/>
      <c r="AX105" s="150"/>
      <c r="AY105" s="466"/>
      <c r="AZ105" s="466"/>
      <c r="BA105" s="150"/>
      <c r="BB105" s="150"/>
      <c r="BC105" s="466"/>
      <c r="BD105" s="466"/>
      <c r="BE105" s="466"/>
      <c r="BF105" s="466"/>
      <c r="BG105" s="150"/>
      <c r="BH105" s="150"/>
      <c r="BI105" s="150"/>
      <c r="BJ105" s="466"/>
      <c r="BK105" s="152"/>
      <c r="BL105" s="160"/>
      <c r="BM105" s="150"/>
      <c r="BN105" s="466"/>
      <c r="BO105" s="150"/>
      <c r="BP105" s="516"/>
      <c r="BQ105" s="160"/>
      <c r="BR105" s="152"/>
      <c r="BS105" s="160"/>
    </row>
    <row r="106" spans="1:71" x14ac:dyDescent="0.3">
      <c r="A106" s="420">
        <f>DL!A103</f>
        <v>90</v>
      </c>
      <c r="B106" s="16" t="s">
        <v>432</v>
      </c>
      <c r="C106" s="149">
        <f>DL!L103</f>
        <v>10</v>
      </c>
      <c r="D106" s="149">
        <f>DL!C103</f>
        <v>30</v>
      </c>
      <c r="E106" s="150"/>
      <c r="F106" s="463"/>
      <c r="G106" s="150"/>
      <c r="H106" s="150"/>
      <c r="I106" s="467">
        <v>4991</v>
      </c>
      <c r="J106" s="150"/>
      <c r="K106" s="168"/>
      <c r="L106" s="466"/>
      <c r="M106" s="150"/>
      <c r="N106" s="466"/>
      <c r="O106" s="150"/>
      <c r="P106" s="150"/>
      <c r="Q106" s="150"/>
      <c r="R106" s="472"/>
      <c r="S106" s="466"/>
      <c r="T106" s="150"/>
      <c r="U106" s="150"/>
      <c r="V106" s="150"/>
      <c r="W106" s="168"/>
      <c r="X106" s="150"/>
      <c r="Y106" s="466"/>
      <c r="Z106" s="455"/>
      <c r="AA106" s="150"/>
      <c r="AB106" s="490"/>
      <c r="AC106" s="150"/>
      <c r="AD106" s="150"/>
      <c r="AE106" s="466"/>
      <c r="AF106" s="499"/>
      <c r="AG106" s="150"/>
      <c r="AH106" s="150"/>
      <c r="AI106" s="150"/>
      <c r="AJ106" s="150"/>
      <c r="AK106" s="150"/>
      <c r="AL106" s="150"/>
      <c r="AM106" s="150"/>
      <c r="AN106" s="466"/>
      <c r="AO106" s="466"/>
      <c r="AP106" s="150"/>
      <c r="AQ106" s="150"/>
      <c r="AR106" s="151"/>
      <c r="AS106" s="456"/>
      <c r="AT106" s="466"/>
      <c r="AU106" s="150"/>
      <c r="AV106" s="487"/>
      <c r="AW106" s="150"/>
      <c r="AX106" s="150"/>
      <c r="AY106" s="466"/>
      <c r="AZ106" s="466"/>
      <c r="BA106" s="150"/>
      <c r="BB106" s="150"/>
      <c r="BC106" s="466"/>
      <c r="BD106" s="466"/>
      <c r="BE106" s="466"/>
      <c r="BF106" s="466"/>
      <c r="BG106" s="150"/>
      <c r="BH106" s="150"/>
      <c r="BI106" s="150"/>
      <c r="BJ106" s="466"/>
      <c r="BK106" s="152"/>
      <c r="BL106" s="160"/>
      <c r="BM106" s="150"/>
      <c r="BN106" s="466"/>
      <c r="BO106" s="150"/>
      <c r="BP106" s="516"/>
      <c r="BQ106" s="160"/>
      <c r="BR106" s="152"/>
      <c r="BS106" s="160"/>
    </row>
    <row r="107" spans="1:71" x14ac:dyDescent="0.3">
      <c r="A107" s="420">
        <f>DL!A104</f>
        <v>91</v>
      </c>
      <c r="B107" s="16" t="s">
        <v>686</v>
      </c>
      <c r="C107" s="149">
        <f>DL!L104</f>
        <v>10</v>
      </c>
      <c r="D107" s="149">
        <f>DL!C104</f>
        <v>30</v>
      </c>
      <c r="E107" s="150"/>
      <c r="F107" s="463"/>
      <c r="G107" s="150"/>
      <c r="H107" s="150"/>
      <c r="I107" s="467">
        <v>6900</v>
      </c>
      <c r="J107" s="150"/>
      <c r="K107" s="168"/>
      <c r="L107" s="466"/>
      <c r="M107" s="150"/>
      <c r="N107" s="466"/>
      <c r="O107" s="150"/>
      <c r="P107" s="150"/>
      <c r="Q107" s="150"/>
      <c r="R107" s="472"/>
      <c r="S107" s="466"/>
      <c r="T107" s="150"/>
      <c r="U107" s="150"/>
      <c r="V107" s="150"/>
      <c r="W107" s="168"/>
      <c r="X107" s="150"/>
      <c r="Y107" s="466"/>
      <c r="Z107" s="455"/>
      <c r="AA107" s="150"/>
      <c r="AB107" s="490"/>
      <c r="AC107" s="150"/>
      <c r="AD107" s="150"/>
      <c r="AE107" s="466"/>
      <c r="AF107" s="499"/>
      <c r="AG107" s="150"/>
      <c r="AH107" s="150"/>
      <c r="AI107" s="150"/>
      <c r="AJ107" s="150"/>
      <c r="AK107" s="150"/>
      <c r="AL107" s="150"/>
      <c r="AM107" s="150"/>
      <c r="AN107" s="466"/>
      <c r="AO107" s="466"/>
      <c r="AP107" s="150"/>
      <c r="AQ107" s="150"/>
      <c r="AR107" s="151"/>
      <c r="AS107" s="456"/>
      <c r="AT107" s="466"/>
      <c r="AU107" s="150"/>
      <c r="AV107" s="487"/>
      <c r="AW107" s="150"/>
      <c r="AX107" s="150"/>
      <c r="AY107" s="466"/>
      <c r="AZ107" s="466"/>
      <c r="BA107" s="150"/>
      <c r="BB107" s="150"/>
      <c r="BC107" s="466"/>
      <c r="BD107" s="466"/>
      <c r="BE107" s="466"/>
      <c r="BF107" s="466"/>
      <c r="BG107" s="150"/>
      <c r="BH107" s="150"/>
      <c r="BI107" s="150"/>
      <c r="BJ107" s="466"/>
      <c r="BK107" s="152"/>
      <c r="BL107" s="160"/>
      <c r="BM107" s="150"/>
      <c r="BN107" s="466"/>
      <c r="BO107" s="150"/>
      <c r="BP107" s="516"/>
      <c r="BQ107" s="160"/>
      <c r="BR107" s="152"/>
      <c r="BS107" s="160"/>
    </row>
    <row r="108" spans="1:71" x14ac:dyDescent="0.3">
      <c r="A108" s="420">
        <f>DL!A105</f>
        <v>92</v>
      </c>
      <c r="B108" s="16" t="s">
        <v>687</v>
      </c>
      <c r="C108" s="149">
        <f>DL!L105</f>
        <v>10</v>
      </c>
      <c r="D108" s="149">
        <f>DL!C105</f>
        <v>30</v>
      </c>
      <c r="E108" s="150"/>
      <c r="F108" s="463"/>
      <c r="G108" s="150"/>
      <c r="H108" s="150"/>
      <c r="I108" s="467">
        <v>6900</v>
      </c>
      <c r="J108" s="150"/>
      <c r="K108" s="168"/>
      <c r="L108" s="466"/>
      <c r="M108" s="150"/>
      <c r="N108" s="466"/>
      <c r="O108" s="150"/>
      <c r="P108" s="150"/>
      <c r="Q108" s="150"/>
      <c r="R108" s="472"/>
      <c r="S108" s="466"/>
      <c r="T108" s="150"/>
      <c r="U108" s="150"/>
      <c r="V108" s="150"/>
      <c r="W108" s="168"/>
      <c r="X108" s="150"/>
      <c r="Y108" s="466"/>
      <c r="Z108" s="455"/>
      <c r="AA108" s="150"/>
      <c r="AB108" s="490"/>
      <c r="AC108" s="150"/>
      <c r="AD108" s="150"/>
      <c r="AE108" s="466"/>
      <c r="AF108" s="499"/>
      <c r="AG108" s="150"/>
      <c r="AH108" s="150"/>
      <c r="AI108" s="150"/>
      <c r="AJ108" s="150"/>
      <c r="AK108" s="150"/>
      <c r="AL108" s="150"/>
      <c r="AM108" s="150"/>
      <c r="AN108" s="466"/>
      <c r="AO108" s="466"/>
      <c r="AP108" s="150"/>
      <c r="AQ108" s="150"/>
      <c r="AR108" s="151"/>
      <c r="AS108" s="456"/>
      <c r="AT108" s="466"/>
      <c r="AU108" s="150"/>
      <c r="AV108" s="487"/>
      <c r="AW108" s="150"/>
      <c r="AX108" s="150"/>
      <c r="AY108" s="466"/>
      <c r="AZ108" s="466"/>
      <c r="BA108" s="150"/>
      <c r="BB108" s="150"/>
      <c r="BC108" s="466"/>
      <c r="BD108" s="466"/>
      <c r="BE108" s="466"/>
      <c r="BF108" s="466"/>
      <c r="BG108" s="150"/>
      <c r="BH108" s="150"/>
      <c r="BI108" s="150"/>
      <c r="BJ108" s="466"/>
      <c r="BK108" s="152"/>
      <c r="BL108" s="160"/>
      <c r="BM108" s="150"/>
      <c r="BN108" s="466"/>
      <c r="BO108" s="150"/>
      <c r="BP108" s="516"/>
      <c r="BQ108" s="160"/>
      <c r="BR108" s="152"/>
      <c r="BS108" s="160"/>
    </row>
    <row r="109" spans="1:71" x14ac:dyDescent="0.3">
      <c r="A109" s="420">
        <f>DL!A106</f>
        <v>93</v>
      </c>
      <c r="B109" s="16" t="s">
        <v>1266</v>
      </c>
      <c r="C109" s="149">
        <f>DL!L106</f>
        <v>12</v>
      </c>
      <c r="D109" s="149">
        <f>DL!C106</f>
        <v>30</v>
      </c>
      <c r="E109" s="150"/>
      <c r="F109" s="463"/>
      <c r="G109" s="150"/>
      <c r="H109" s="150"/>
      <c r="I109" s="467">
        <v>7475</v>
      </c>
      <c r="J109" s="150"/>
      <c r="K109" s="168"/>
      <c r="L109" s="466"/>
      <c r="M109" s="150"/>
      <c r="N109" s="466"/>
      <c r="O109" s="150"/>
      <c r="P109" s="150"/>
      <c r="Q109" s="150"/>
      <c r="R109" s="472"/>
      <c r="S109" s="466"/>
      <c r="T109" s="150"/>
      <c r="U109" s="150"/>
      <c r="V109" s="150"/>
      <c r="W109" s="168"/>
      <c r="X109" s="150"/>
      <c r="Y109" s="466"/>
      <c r="Z109" s="455"/>
      <c r="AA109" s="150"/>
      <c r="AB109" s="490"/>
      <c r="AC109" s="150"/>
      <c r="AD109" s="150"/>
      <c r="AE109" s="466"/>
      <c r="AF109" s="499"/>
      <c r="AG109" s="150"/>
      <c r="AH109" s="150"/>
      <c r="AI109" s="150"/>
      <c r="AJ109" s="150"/>
      <c r="AK109" s="150"/>
      <c r="AL109" s="150"/>
      <c r="AM109" s="150"/>
      <c r="AN109" s="466"/>
      <c r="AO109" s="466"/>
      <c r="AP109" s="150"/>
      <c r="AQ109" s="150"/>
      <c r="AR109" s="151"/>
      <c r="AS109" s="456"/>
      <c r="AT109" s="466"/>
      <c r="AU109" s="159"/>
      <c r="AV109" s="487"/>
      <c r="AW109" s="150"/>
      <c r="AX109" s="150"/>
      <c r="AY109" s="466"/>
      <c r="AZ109" s="466"/>
      <c r="BA109" s="150"/>
      <c r="BB109" s="150"/>
      <c r="BC109" s="466"/>
      <c r="BD109" s="466"/>
      <c r="BE109" s="466"/>
      <c r="BF109" s="466"/>
      <c r="BG109" s="150"/>
      <c r="BH109" s="150"/>
      <c r="BI109" s="150"/>
      <c r="BJ109" s="466"/>
      <c r="BK109" s="152"/>
      <c r="BL109" s="160"/>
      <c r="BM109" s="150"/>
      <c r="BN109" s="466"/>
      <c r="BO109" s="150"/>
      <c r="BP109" s="516"/>
      <c r="BQ109" s="160"/>
      <c r="BR109" s="152"/>
      <c r="BS109" s="160"/>
    </row>
    <row r="110" spans="1:71" x14ac:dyDescent="0.3">
      <c r="A110" s="420">
        <f>DL!A107</f>
        <v>94</v>
      </c>
      <c r="B110" s="16" t="s">
        <v>1267</v>
      </c>
      <c r="C110" s="149">
        <f>DL!L107</f>
        <v>12</v>
      </c>
      <c r="D110" s="149">
        <f>DL!C107</f>
        <v>30</v>
      </c>
      <c r="E110" s="150"/>
      <c r="F110" s="463"/>
      <c r="G110" s="150"/>
      <c r="H110" s="150"/>
      <c r="I110" s="467">
        <v>7475</v>
      </c>
      <c r="J110" s="150"/>
      <c r="K110" s="168"/>
      <c r="L110" s="466"/>
      <c r="M110" s="150"/>
      <c r="N110" s="466"/>
      <c r="O110" s="150"/>
      <c r="P110" s="150"/>
      <c r="Q110" s="150"/>
      <c r="R110" s="472"/>
      <c r="S110" s="466"/>
      <c r="T110" s="150"/>
      <c r="U110" s="150"/>
      <c r="V110" s="150"/>
      <c r="W110" s="168"/>
      <c r="X110" s="150"/>
      <c r="Y110" s="466"/>
      <c r="Z110" s="455"/>
      <c r="AA110" s="150"/>
      <c r="AB110" s="490"/>
      <c r="AC110" s="150"/>
      <c r="AD110" s="150"/>
      <c r="AE110" s="466"/>
      <c r="AF110" s="499"/>
      <c r="AG110" s="150"/>
      <c r="AH110" s="150"/>
      <c r="AI110" s="150"/>
      <c r="AJ110" s="150"/>
      <c r="AK110" s="150"/>
      <c r="AL110" s="150"/>
      <c r="AM110" s="150"/>
      <c r="AN110" s="466"/>
      <c r="AO110" s="466"/>
      <c r="AP110" s="150"/>
      <c r="AQ110" s="150"/>
      <c r="AR110" s="151"/>
      <c r="AS110" s="456"/>
      <c r="AT110" s="466"/>
      <c r="AU110" s="150"/>
      <c r="AV110" s="487"/>
      <c r="AW110" s="150"/>
      <c r="AX110" s="150"/>
      <c r="AY110" s="466"/>
      <c r="AZ110" s="466"/>
      <c r="BA110" s="150"/>
      <c r="BB110" s="150"/>
      <c r="BC110" s="466"/>
      <c r="BD110" s="466"/>
      <c r="BE110" s="466"/>
      <c r="BF110" s="466"/>
      <c r="BG110" s="150"/>
      <c r="BH110" s="150"/>
      <c r="BI110" s="150"/>
      <c r="BJ110" s="466"/>
      <c r="BK110" s="152"/>
      <c r="BL110" s="160"/>
      <c r="BM110" s="150"/>
      <c r="BN110" s="466"/>
      <c r="BO110" s="150"/>
      <c r="BP110" s="516"/>
      <c r="BQ110" s="160"/>
      <c r="BR110" s="152"/>
      <c r="BS110" s="160"/>
    </row>
    <row r="111" spans="1:71" x14ac:dyDescent="0.3">
      <c r="A111" s="420">
        <f>DL!A108</f>
        <v>95</v>
      </c>
      <c r="B111" s="16" t="s">
        <v>66</v>
      </c>
      <c r="C111" s="149">
        <f>DL!L108</f>
        <v>1000</v>
      </c>
      <c r="D111" s="149">
        <f>DL!C108</f>
        <v>28</v>
      </c>
      <c r="E111" s="150"/>
      <c r="F111" s="463"/>
      <c r="G111" s="150"/>
      <c r="H111" s="150"/>
      <c r="I111" s="466"/>
      <c r="J111" s="150"/>
      <c r="K111" s="168"/>
      <c r="L111" s="466"/>
      <c r="M111" s="150"/>
      <c r="N111" s="466"/>
      <c r="O111" s="150"/>
      <c r="P111" s="150"/>
      <c r="Q111" s="150"/>
      <c r="R111" s="472"/>
      <c r="S111" s="466">
        <v>2200</v>
      </c>
      <c r="T111" s="150"/>
      <c r="U111" s="150"/>
      <c r="V111" s="150"/>
      <c r="W111" s="168"/>
      <c r="X111" s="150"/>
      <c r="Y111" s="466"/>
      <c r="Z111" s="455"/>
      <c r="AA111" s="150"/>
      <c r="AB111" s="490"/>
      <c r="AC111" s="150"/>
      <c r="AD111" s="150"/>
      <c r="AE111" s="466"/>
      <c r="AF111" s="499"/>
      <c r="AG111" s="150"/>
      <c r="AH111" s="150"/>
      <c r="AI111" s="150"/>
      <c r="AJ111" s="150"/>
      <c r="AK111" s="150"/>
      <c r="AL111" s="150"/>
      <c r="AM111" s="150"/>
      <c r="AN111" s="466"/>
      <c r="AO111" s="466"/>
      <c r="AP111" s="150"/>
      <c r="AQ111" s="150"/>
      <c r="AR111" s="151"/>
      <c r="AS111" s="456"/>
      <c r="AT111" s="466"/>
      <c r="AU111" s="150"/>
      <c r="AV111" s="487"/>
      <c r="AW111" s="150"/>
      <c r="AX111" s="150"/>
      <c r="AY111" s="466"/>
      <c r="AZ111" s="466"/>
      <c r="BA111" s="150"/>
      <c r="BB111" s="150"/>
      <c r="BC111" s="466"/>
      <c r="BD111" s="466"/>
      <c r="BE111" s="466"/>
      <c r="BF111" s="466"/>
      <c r="BG111" s="150"/>
      <c r="BH111" s="150"/>
      <c r="BI111" s="150"/>
      <c r="BJ111" s="466"/>
      <c r="BK111" s="152"/>
      <c r="BL111" s="160"/>
      <c r="BM111" s="150"/>
      <c r="BN111" s="466"/>
      <c r="BO111" s="150"/>
      <c r="BP111" s="516"/>
      <c r="BQ111" s="160"/>
      <c r="BR111" s="152"/>
      <c r="BS111" s="160"/>
    </row>
    <row r="112" spans="1:71" x14ac:dyDescent="0.3">
      <c r="A112" s="420">
        <f>DL!A109</f>
        <v>96</v>
      </c>
      <c r="B112" s="16" t="s">
        <v>67</v>
      </c>
      <c r="C112" s="149">
        <f>DL!L109</f>
        <v>200</v>
      </c>
      <c r="D112" s="149">
        <f>DL!C109</f>
        <v>30</v>
      </c>
      <c r="E112" s="150"/>
      <c r="F112" s="463"/>
      <c r="G112" s="150"/>
      <c r="H112" s="150"/>
      <c r="I112" s="467">
        <v>2200</v>
      </c>
      <c r="J112" s="150"/>
      <c r="K112" s="168"/>
      <c r="L112" s="466"/>
      <c r="M112" s="150"/>
      <c r="N112" s="466"/>
      <c r="O112" s="150"/>
      <c r="P112" s="150"/>
      <c r="Q112" s="150"/>
      <c r="R112" s="472"/>
      <c r="S112" s="466">
        <v>1200</v>
      </c>
      <c r="T112" s="150"/>
      <c r="U112" s="150"/>
      <c r="V112" s="150"/>
      <c r="W112" s="168"/>
      <c r="X112" s="150"/>
      <c r="Y112" s="466"/>
      <c r="Z112" s="455"/>
      <c r="AA112" s="150"/>
      <c r="AB112" s="490"/>
      <c r="AC112" s="150"/>
      <c r="AD112" s="150"/>
      <c r="AE112" s="466"/>
      <c r="AF112" s="499"/>
      <c r="AG112" s="150"/>
      <c r="AH112" s="150"/>
      <c r="AI112" s="150"/>
      <c r="AJ112" s="150"/>
      <c r="AK112" s="150"/>
      <c r="AL112" s="150"/>
      <c r="AM112" s="150"/>
      <c r="AN112" s="466"/>
      <c r="AO112" s="466"/>
      <c r="AP112" s="150"/>
      <c r="AQ112" s="150"/>
      <c r="AR112" s="151"/>
      <c r="AS112" s="456"/>
      <c r="AT112" s="466"/>
      <c r="AU112" s="150"/>
      <c r="AV112" s="487"/>
      <c r="AW112" s="150"/>
      <c r="AX112" s="150"/>
      <c r="AY112" s="466"/>
      <c r="AZ112" s="466"/>
      <c r="BA112" s="150"/>
      <c r="BB112" s="150"/>
      <c r="BC112" s="466"/>
      <c r="BD112" s="466"/>
      <c r="BE112" s="466"/>
      <c r="BF112" s="466"/>
      <c r="BG112" s="150"/>
      <c r="BH112" s="150"/>
      <c r="BI112" s="150"/>
      <c r="BJ112" s="466"/>
      <c r="BK112" s="152"/>
      <c r="BL112" s="160"/>
      <c r="BM112" s="150"/>
      <c r="BN112" s="466"/>
      <c r="BO112" s="150"/>
      <c r="BP112" s="516"/>
      <c r="BQ112" s="160"/>
      <c r="BR112" s="152"/>
      <c r="BS112" s="160"/>
    </row>
    <row r="113" spans="1:71" x14ac:dyDescent="0.3">
      <c r="A113" s="420">
        <f>DL!A110</f>
        <v>97</v>
      </c>
      <c r="B113" s="16" t="s">
        <v>68</v>
      </c>
      <c r="C113" s="149">
        <v>2600</v>
      </c>
      <c r="D113" s="149">
        <f>DL!C110</f>
        <v>30</v>
      </c>
      <c r="E113" s="150"/>
      <c r="F113" s="463"/>
      <c r="G113" s="150"/>
      <c r="H113" s="150"/>
      <c r="I113" s="467">
        <v>1900</v>
      </c>
      <c r="J113" s="150"/>
      <c r="K113" s="168">
        <v>600</v>
      </c>
      <c r="L113" s="466"/>
      <c r="M113" s="150"/>
      <c r="N113" s="466"/>
      <c r="O113" s="150"/>
      <c r="P113" s="150"/>
      <c r="Q113" s="150"/>
      <c r="R113" s="472"/>
      <c r="S113" s="466">
        <v>450</v>
      </c>
      <c r="T113" s="150"/>
      <c r="U113" s="150"/>
      <c r="V113" s="150"/>
      <c r="W113" s="168"/>
      <c r="X113" s="150"/>
      <c r="Y113" s="466"/>
      <c r="Z113" s="455"/>
      <c r="AA113" s="150"/>
      <c r="AB113" s="490"/>
      <c r="AC113" s="150"/>
      <c r="AD113" s="150"/>
      <c r="AE113" s="466"/>
      <c r="AF113" s="499"/>
      <c r="AG113" s="150"/>
      <c r="AH113" s="150"/>
      <c r="AI113" s="150"/>
      <c r="AJ113" s="150"/>
      <c r="AK113" s="150">
        <v>600</v>
      </c>
      <c r="AL113" s="150"/>
      <c r="AM113" s="150"/>
      <c r="AN113" s="466"/>
      <c r="AO113" s="466">
        <v>700</v>
      </c>
      <c r="AP113" s="150"/>
      <c r="AQ113" s="150"/>
      <c r="AR113" s="151"/>
      <c r="AS113" s="456"/>
      <c r="AT113" s="466"/>
      <c r="AU113" s="150"/>
      <c r="AV113" s="487"/>
      <c r="AW113" s="150"/>
      <c r="AX113" s="150"/>
      <c r="AY113" s="466"/>
      <c r="AZ113" s="466"/>
      <c r="BA113" s="150"/>
      <c r="BB113" s="150"/>
      <c r="BC113" s="466"/>
      <c r="BD113" s="466"/>
      <c r="BE113" s="466"/>
      <c r="BF113" s="466"/>
      <c r="BG113" s="150"/>
      <c r="BH113" s="150"/>
      <c r="BI113" s="150"/>
      <c r="BJ113" s="466"/>
      <c r="BK113" s="152"/>
      <c r="BL113" s="160"/>
      <c r="BM113" s="150"/>
      <c r="BN113" s="466"/>
      <c r="BO113" s="150"/>
      <c r="BP113" s="516"/>
      <c r="BQ113" s="160"/>
      <c r="BR113" s="152"/>
      <c r="BS113" s="160"/>
    </row>
    <row r="114" spans="1:71" x14ac:dyDescent="0.3">
      <c r="A114" s="420">
        <f>DL!A111</f>
        <v>98</v>
      </c>
      <c r="B114" s="16" t="s">
        <v>69</v>
      </c>
      <c r="C114" s="149">
        <v>3000</v>
      </c>
      <c r="D114" s="149">
        <f>DL!C111</f>
        <v>30</v>
      </c>
      <c r="E114" s="150"/>
      <c r="F114" s="463"/>
      <c r="G114" s="150"/>
      <c r="H114" s="150"/>
      <c r="I114" s="466"/>
      <c r="J114" s="150"/>
      <c r="K114" s="168"/>
      <c r="L114" s="466"/>
      <c r="M114" s="150"/>
      <c r="N114" s="466"/>
      <c r="O114" s="150"/>
      <c r="P114" s="150"/>
      <c r="Q114" s="150"/>
      <c r="R114" s="472"/>
      <c r="S114" s="466">
        <v>1100</v>
      </c>
      <c r="T114" s="150"/>
      <c r="U114" s="150"/>
      <c r="V114" s="150"/>
      <c r="W114" s="168"/>
      <c r="X114" s="150"/>
      <c r="Y114" s="466"/>
      <c r="Z114" s="455"/>
      <c r="AA114" s="150"/>
      <c r="AB114" s="490"/>
      <c r="AC114" s="150"/>
      <c r="AD114" s="150"/>
      <c r="AE114" s="466"/>
      <c r="AF114" s="499"/>
      <c r="AG114" s="150">
        <v>1250</v>
      </c>
      <c r="AH114" s="150"/>
      <c r="AI114" s="150"/>
      <c r="AJ114" s="150"/>
      <c r="AK114" s="150"/>
      <c r="AL114" s="150"/>
      <c r="AM114" s="150"/>
      <c r="AN114" s="467">
        <v>2500</v>
      </c>
      <c r="AO114" s="466">
        <v>2050</v>
      </c>
      <c r="AP114" s="150"/>
      <c r="AQ114" s="150"/>
      <c r="AR114" s="151"/>
      <c r="AS114" s="456"/>
      <c r="AT114" s="466"/>
      <c r="AU114" s="150"/>
      <c r="AV114" s="487"/>
      <c r="AW114" s="150"/>
      <c r="AX114" s="150"/>
      <c r="AY114" s="466"/>
      <c r="AZ114" s="466">
        <v>1100</v>
      </c>
      <c r="BA114" s="159">
        <f>805/28*30</f>
        <v>862.5</v>
      </c>
      <c r="BB114" s="150">
        <v>850</v>
      </c>
      <c r="BC114" s="466"/>
      <c r="BD114" s="466"/>
      <c r="BE114" s="466"/>
      <c r="BF114" s="466"/>
      <c r="BG114" s="150"/>
      <c r="BH114" s="150"/>
      <c r="BI114" s="150"/>
      <c r="BJ114" s="466"/>
      <c r="BK114" s="152"/>
      <c r="BL114" s="160"/>
      <c r="BM114" s="150"/>
      <c r="BN114" s="466"/>
      <c r="BO114" s="150"/>
      <c r="BP114" s="516">
        <v>1700</v>
      </c>
      <c r="BQ114" s="160"/>
      <c r="BR114" s="152"/>
      <c r="BS114" s="160"/>
    </row>
    <row r="115" spans="1:71" x14ac:dyDescent="0.3">
      <c r="A115" s="420">
        <f>DL!A112</f>
        <v>99</v>
      </c>
      <c r="B115" s="16" t="s">
        <v>70</v>
      </c>
      <c r="C115" s="149">
        <f>DL!L112</f>
        <v>240</v>
      </c>
      <c r="D115" s="149">
        <f>DL!C112</f>
        <v>30</v>
      </c>
      <c r="E115" s="150"/>
      <c r="F115" s="463"/>
      <c r="G115" s="150"/>
      <c r="H115" s="150"/>
      <c r="I115" s="466"/>
      <c r="J115" s="150"/>
      <c r="K115" s="168"/>
      <c r="L115" s="466"/>
      <c r="M115" s="150"/>
      <c r="N115" s="466"/>
      <c r="O115" s="150"/>
      <c r="P115" s="150"/>
      <c r="Q115" s="150"/>
      <c r="R115" s="472"/>
      <c r="S115" s="466">
        <v>2000</v>
      </c>
      <c r="T115" s="150"/>
      <c r="U115" s="150"/>
      <c r="V115" s="150"/>
      <c r="W115" s="168"/>
      <c r="X115" s="150"/>
      <c r="Y115" s="466"/>
      <c r="Z115" s="455"/>
      <c r="AA115" s="150"/>
      <c r="AB115" s="490"/>
      <c r="AC115" s="150"/>
      <c r="AD115" s="150"/>
      <c r="AE115" s="466"/>
      <c r="AF115" s="499"/>
      <c r="AG115" s="150"/>
      <c r="AH115" s="150"/>
      <c r="AI115" s="150"/>
      <c r="AJ115" s="150"/>
      <c r="AK115" s="150"/>
      <c r="AL115" s="150"/>
      <c r="AM115" s="150"/>
      <c r="AN115" s="467">
        <v>3500</v>
      </c>
      <c r="AO115" s="466">
        <v>2595</v>
      </c>
      <c r="AP115" s="150"/>
      <c r="AQ115" s="150"/>
      <c r="AR115" s="151"/>
      <c r="AS115" s="456"/>
      <c r="AT115" s="466"/>
      <c r="AU115" s="150"/>
      <c r="AV115" s="487"/>
      <c r="AW115" s="150"/>
      <c r="AX115" s="150"/>
      <c r="AY115" s="466"/>
      <c r="AZ115" s="466">
        <v>2875</v>
      </c>
      <c r="BA115" s="159">
        <f>1035/28*30</f>
        <v>1108.9285714285716</v>
      </c>
      <c r="BB115" s="150"/>
      <c r="BC115" s="466"/>
      <c r="BD115" s="466"/>
      <c r="BE115" s="466"/>
      <c r="BF115" s="466"/>
      <c r="BG115" s="150"/>
      <c r="BH115" s="150"/>
      <c r="BI115" s="150"/>
      <c r="BJ115" s="466"/>
      <c r="BK115" s="152"/>
      <c r="BL115" s="160"/>
      <c r="BM115" s="150"/>
      <c r="BN115" s="466"/>
      <c r="BO115" s="150"/>
      <c r="BP115" s="516">
        <v>2300</v>
      </c>
      <c r="BQ115" s="160"/>
      <c r="BR115" s="152"/>
      <c r="BS115" s="160"/>
    </row>
    <row r="116" spans="1:71" x14ac:dyDescent="0.3">
      <c r="A116" s="420">
        <f>DL!A113</f>
        <v>100</v>
      </c>
      <c r="B116" s="16" t="s">
        <v>1268</v>
      </c>
      <c r="C116" s="149">
        <f>DL!L113</f>
        <v>10</v>
      </c>
      <c r="D116" s="149">
        <f>DL!C113</f>
        <v>28</v>
      </c>
      <c r="E116" s="150"/>
      <c r="F116" s="463"/>
      <c r="G116" s="150"/>
      <c r="H116" s="150"/>
      <c r="I116" s="466"/>
      <c r="J116" s="150"/>
      <c r="K116" s="168"/>
      <c r="L116" s="466"/>
      <c r="M116" s="150"/>
      <c r="N116" s="466"/>
      <c r="O116" s="150"/>
      <c r="P116" s="150"/>
      <c r="Q116" s="159"/>
      <c r="R116" s="472"/>
      <c r="S116" s="466"/>
      <c r="T116" s="150"/>
      <c r="U116" s="150"/>
      <c r="V116" s="150"/>
      <c r="W116" s="168"/>
      <c r="X116" s="150"/>
      <c r="Y116" s="466"/>
      <c r="Z116" s="455"/>
      <c r="AA116" s="150"/>
      <c r="AB116" s="490"/>
      <c r="AC116" s="150"/>
      <c r="AD116" s="150"/>
      <c r="AE116" s="466"/>
      <c r="AF116" s="499"/>
      <c r="AG116" s="150"/>
      <c r="AH116" s="150"/>
      <c r="AI116" s="150"/>
      <c r="AJ116" s="150"/>
      <c r="AK116" s="150"/>
      <c r="AL116" s="150"/>
      <c r="AM116" s="150"/>
      <c r="AN116" s="466"/>
      <c r="AO116" s="466"/>
      <c r="AP116" s="150"/>
      <c r="AQ116" s="150"/>
      <c r="AR116" s="151"/>
      <c r="AS116" s="456"/>
      <c r="AT116" s="466"/>
      <c r="AU116" s="150"/>
      <c r="AV116" s="487"/>
      <c r="AW116" s="150"/>
      <c r="AX116" s="150"/>
      <c r="AY116" s="466"/>
      <c r="AZ116" s="466"/>
      <c r="BA116" s="150"/>
      <c r="BB116" s="150"/>
      <c r="BC116" s="466"/>
      <c r="BD116" s="466"/>
      <c r="BE116" s="466"/>
      <c r="BF116" s="466"/>
      <c r="BG116" s="150"/>
      <c r="BH116" s="150"/>
      <c r="BI116" s="150"/>
      <c r="BJ116" s="466"/>
      <c r="BK116" s="152"/>
      <c r="BL116" s="160"/>
      <c r="BM116" s="150"/>
      <c r="BN116" s="466"/>
      <c r="BO116" s="150"/>
      <c r="BP116" s="516"/>
      <c r="BQ116" s="160"/>
      <c r="BR116" s="152"/>
      <c r="BS116" s="160"/>
    </row>
    <row r="117" spans="1:71" x14ac:dyDescent="0.3">
      <c r="A117" s="420">
        <f>DL!A114</f>
        <v>101</v>
      </c>
      <c r="B117" s="16" t="s">
        <v>1269</v>
      </c>
      <c r="C117" s="149">
        <f>DL!L114</f>
        <v>10</v>
      </c>
      <c r="D117" s="149">
        <f>DL!C114</f>
        <v>28</v>
      </c>
      <c r="E117" s="150"/>
      <c r="F117" s="463"/>
      <c r="G117" s="150"/>
      <c r="H117" s="150"/>
      <c r="I117" s="466"/>
      <c r="J117" s="150"/>
      <c r="K117" s="168"/>
      <c r="L117" s="466"/>
      <c r="M117" s="150"/>
      <c r="N117" s="466"/>
      <c r="O117" s="150"/>
      <c r="P117" s="150"/>
      <c r="Q117" s="150"/>
      <c r="R117" s="472"/>
      <c r="S117" s="466"/>
      <c r="T117" s="150"/>
      <c r="U117" s="150"/>
      <c r="V117" s="150"/>
      <c r="W117" s="168"/>
      <c r="X117" s="150"/>
      <c r="Y117" s="466"/>
      <c r="Z117" s="455"/>
      <c r="AA117" s="150"/>
      <c r="AB117" s="490"/>
      <c r="AC117" s="150"/>
      <c r="AD117" s="150"/>
      <c r="AE117" s="466"/>
      <c r="AF117" s="499"/>
      <c r="AG117" s="150"/>
      <c r="AH117" s="150"/>
      <c r="AI117" s="150"/>
      <c r="AJ117" s="150"/>
      <c r="AK117" s="150"/>
      <c r="AL117" s="150"/>
      <c r="AM117" s="150"/>
      <c r="AN117" s="466"/>
      <c r="AO117" s="466"/>
      <c r="AP117" s="150"/>
      <c r="AQ117" s="150"/>
      <c r="AR117" s="151"/>
      <c r="AS117" s="456"/>
      <c r="AT117" s="466"/>
      <c r="AU117" s="150"/>
      <c r="AV117" s="487"/>
      <c r="AW117" s="150"/>
      <c r="AX117" s="150"/>
      <c r="AY117" s="466"/>
      <c r="AZ117" s="466"/>
      <c r="BA117" s="150"/>
      <c r="BB117" s="150"/>
      <c r="BC117" s="466"/>
      <c r="BD117" s="466"/>
      <c r="BE117" s="466"/>
      <c r="BF117" s="466"/>
      <c r="BG117" s="150"/>
      <c r="BH117" s="150"/>
      <c r="BI117" s="150"/>
      <c r="BJ117" s="466"/>
      <c r="BK117" s="152"/>
      <c r="BL117" s="160"/>
      <c r="BM117" s="150"/>
      <c r="BN117" s="466"/>
      <c r="BO117" s="150"/>
      <c r="BP117" s="516"/>
      <c r="BQ117" s="160"/>
      <c r="BR117" s="152"/>
      <c r="BS117" s="160"/>
    </row>
    <row r="118" spans="1:71" x14ac:dyDescent="0.3">
      <c r="A118" s="420">
        <f>DL!A115</f>
        <v>102</v>
      </c>
      <c r="B118" s="16" t="s">
        <v>1270</v>
      </c>
      <c r="C118" s="149">
        <f>DL!L115</f>
        <v>10</v>
      </c>
      <c r="D118" s="149">
        <f>DL!C115</f>
        <v>28</v>
      </c>
      <c r="E118" s="150"/>
      <c r="F118" s="463"/>
      <c r="G118" s="150"/>
      <c r="H118" s="150"/>
      <c r="I118" s="466"/>
      <c r="J118" s="150"/>
      <c r="K118" s="168"/>
      <c r="L118" s="466"/>
      <c r="M118" s="150"/>
      <c r="N118" s="466"/>
      <c r="O118" s="150"/>
      <c r="P118" s="150"/>
      <c r="Q118" s="150"/>
      <c r="R118" s="472"/>
      <c r="S118" s="466"/>
      <c r="T118" s="150"/>
      <c r="U118" s="150"/>
      <c r="V118" s="150"/>
      <c r="W118" s="168"/>
      <c r="X118" s="150"/>
      <c r="Y118" s="466"/>
      <c r="Z118" s="455"/>
      <c r="AA118" s="150"/>
      <c r="AB118" s="490"/>
      <c r="AC118" s="150"/>
      <c r="AD118" s="150"/>
      <c r="AE118" s="466"/>
      <c r="AF118" s="499"/>
      <c r="AG118" s="150"/>
      <c r="AH118" s="150"/>
      <c r="AI118" s="150"/>
      <c r="AJ118" s="150"/>
      <c r="AK118" s="150"/>
      <c r="AL118" s="150"/>
      <c r="AM118" s="150"/>
      <c r="AN118" s="466"/>
      <c r="AO118" s="466"/>
      <c r="AP118" s="150"/>
      <c r="AQ118" s="150"/>
      <c r="AR118" s="151"/>
      <c r="AS118" s="456"/>
      <c r="AT118" s="466"/>
      <c r="AU118" s="150"/>
      <c r="AV118" s="487"/>
      <c r="AW118" s="150"/>
      <c r="AX118" s="150"/>
      <c r="AY118" s="466"/>
      <c r="AZ118" s="466"/>
      <c r="BA118" s="150"/>
      <c r="BB118" s="150"/>
      <c r="BC118" s="466"/>
      <c r="BD118" s="466"/>
      <c r="BE118" s="466"/>
      <c r="BF118" s="466"/>
      <c r="BG118" s="150"/>
      <c r="BH118" s="150"/>
      <c r="BI118" s="150"/>
      <c r="BJ118" s="466"/>
      <c r="BK118" s="152"/>
      <c r="BL118" s="160"/>
      <c r="BM118" s="150"/>
      <c r="BN118" s="466"/>
      <c r="BO118" s="150"/>
      <c r="BP118" s="516"/>
      <c r="BQ118" s="160"/>
      <c r="BR118" s="152"/>
      <c r="BS118" s="160"/>
    </row>
    <row r="119" spans="1:71" x14ac:dyDescent="0.3">
      <c r="A119" s="420">
        <f>DL!A116</f>
        <v>103</v>
      </c>
      <c r="B119" s="16" t="s">
        <v>1271</v>
      </c>
      <c r="C119" s="149">
        <f>DL!L116</f>
        <v>10</v>
      </c>
      <c r="D119" s="149">
        <f>DL!C116</f>
        <v>30</v>
      </c>
      <c r="E119" s="150"/>
      <c r="F119" s="463"/>
      <c r="G119" s="150"/>
      <c r="H119" s="150"/>
      <c r="I119" s="466"/>
      <c r="J119" s="150"/>
      <c r="K119" s="168"/>
      <c r="L119" s="466"/>
      <c r="M119" s="150"/>
      <c r="N119" s="466"/>
      <c r="O119" s="150"/>
      <c r="P119" s="150"/>
      <c r="Q119" s="150"/>
      <c r="R119" s="472"/>
      <c r="S119" s="466">
        <v>600</v>
      </c>
      <c r="T119" s="150">
        <v>1700</v>
      </c>
      <c r="U119" s="150"/>
      <c r="V119" s="150"/>
      <c r="W119" s="168"/>
      <c r="X119" s="150"/>
      <c r="Y119" s="466"/>
      <c r="Z119" s="455"/>
      <c r="AA119" s="150"/>
      <c r="AB119" s="490">
        <v>600</v>
      </c>
      <c r="AC119" s="150"/>
      <c r="AD119" s="150"/>
      <c r="AE119" s="466"/>
      <c r="AF119" s="499"/>
      <c r="AG119" s="150"/>
      <c r="AH119" s="150"/>
      <c r="AI119" s="150"/>
      <c r="AJ119" s="150"/>
      <c r="AK119" s="150"/>
      <c r="AL119" s="150"/>
      <c r="AM119" s="150"/>
      <c r="AN119" s="466"/>
      <c r="AO119" s="466"/>
      <c r="AP119" s="150"/>
      <c r="AQ119" s="150"/>
      <c r="AR119" s="151"/>
      <c r="AS119" s="456"/>
      <c r="AT119" s="466"/>
      <c r="AU119" s="150"/>
      <c r="AV119" s="487"/>
      <c r="AW119" s="150"/>
      <c r="AX119" s="150"/>
      <c r="AY119" s="466">
        <v>900</v>
      </c>
      <c r="AZ119" s="466">
        <v>700</v>
      </c>
      <c r="BA119" s="150"/>
      <c r="BB119" s="150"/>
      <c r="BC119" s="466"/>
      <c r="BD119" s="466"/>
      <c r="BE119" s="466"/>
      <c r="BF119" s="466"/>
      <c r="BG119" s="150"/>
      <c r="BH119" s="150"/>
      <c r="BI119" s="150"/>
      <c r="BJ119" s="466"/>
      <c r="BK119" s="152"/>
      <c r="BL119" s="160"/>
      <c r="BM119" s="150"/>
      <c r="BN119" s="466"/>
      <c r="BO119" s="150"/>
      <c r="BP119" s="516"/>
      <c r="BQ119" s="160"/>
      <c r="BR119" s="152"/>
      <c r="BS119" s="160"/>
    </row>
    <row r="120" spans="1:71" x14ac:dyDescent="0.3">
      <c r="A120" s="420">
        <f>DL!A117</f>
        <v>104</v>
      </c>
      <c r="B120" s="16" t="s">
        <v>71</v>
      </c>
      <c r="C120" s="149">
        <f>DL!L117</f>
        <v>10</v>
      </c>
      <c r="D120" s="149">
        <f>DL!C117</f>
        <v>30</v>
      </c>
      <c r="E120" s="150"/>
      <c r="F120" s="463"/>
      <c r="G120" s="150"/>
      <c r="H120" s="150"/>
      <c r="I120" s="466"/>
      <c r="J120" s="150"/>
      <c r="K120" s="168"/>
      <c r="L120" s="466"/>
      <c r="M120" s="150"/>
      <c r="N120" s="466"/>
      <c r="O120" s="150"/>
      <c r="P120" s="150"/>
      <c r="Q120" s="150"/>
      <c r="R120" s="472"/>
      <c r="S120" s="466">
        <v>700</v>
      </c>
      <c r="T120" s="150">
        <v>2850</v>
      </c>
      <c r="U120" s="150"/>
      <c r="V120" s="150"/>
      <c r="W120" s="168"/>
      <c r="X120" s="150"/>
      <c r="Y120" s="466"/>
      <c r="Z120" s="455"/>
      <c r="AA120" s="150"/>
      <c r="AB120" s="490">
        <v>1000</v>
      </c>
      <c r="AC120" s="150"/>
      <c r="AD120" s="150"/>
      <c r="AE120" s="466"/>
      <c r="AF120" s="499"/>
      <c r="AG120" s="150"/>
      <c r="AH120" s="150"/>
      <c r="AI120" s="150"/>
      <c r="AJ120" s="150"/>
      <c r="AK120" s="150"/>
      <c r="AL120" s="150"/>
      <c r="AM120" s="150"/>
      <c r="AN120" s="466"/>
      <c r="AO120" s="466"/>
      <c r="AP120" s="150"/>
      <c r="AQ120" s="150"/>
      <c r="AR120" s="151"/>
      <c r="AS120" s="456"/>
      <c r="AT120" s="466"/>
      <c r="AU120" s="150"/>
      <c r="AV120" s="487"/>
      <c r="AW120" s="150"/>
      <c r="AX120" s="150"/>
      <c r="AY120" s="466">
        <v>1400</v>
      </c>
      <c r="AZ120" s="466">
        <v>1100</v>
      </c>
      <c r="BA120" s="150"/>
      <c r="BB120" s="150"/>
      <c r="BC120" s="466"/>
      <c r="BD120" s="466"/>
      <c r="BE120" s="466"/>
      <c r="BF120" s="466"/>
      <c r="BG120" s="150"/>
      <c r="BH120" s="150"/>
      <c r="BI120" s="150"/>
      <c r="BJ120" s="466"/>
      <c r="BK120" s="152"/>
      <c r="BL120" s="160"/>
      <c r="BM120" s="150"/>
      <c r="BN120" s="466"/>
      <c r="BO120" s="150"/>
      <c r="BP120" s="516"/>
      <c r="BQ120" s="160"/>
      <c r="BR120" s="152"/>
      <c r="BS120" s="160"/>
    </row>
    <row r="121" spans="1:71" x14ac:dyDescent="0.3">
      <c r="A121" s="420">
        <f>DL!A118</f>
        <v>105</v>
      </c>
      <c r="B121" s="16" t="s">
        <v>710</v>
      </c>
      <c r="C121" s="149">
        <f>DL!L118</f>
        <v>50</v>
      </c>
      <c r="D121" s="149">
        <f>DL!C118</f>
        <v>28</v>
      </c>
      <c r="E121" s="150"/>
      <c r="F121" s="463"/>
      <c r="G121" s="150"/>
      <c r="H121" s="150"/>
      <c r="I121" s="466"/>
      <c r="J121" s="150"/>
      <c r="K121" s="168"/>
      <c r="L121" s="466"/>
      <c r="M121" s="150"/>
      <c r="N121" s="466"/>
      <c r="O121" s="150"/>
      <c r="P121" s="150"/>
      <c r="Q121" s="150"/>
      <c r="R121" s="472"/>
      <c r="S121" s="466">
        <v>5500</v>
      </c>
      <c r="T121" s="150"/>
      <c r="U121" s="150"/>
      <c r="V121" s="150"/>
      <c r="W121" s="168"/>
      <c r="X121" s="150"/>
      <c r="Y121" s="466"/>
      <c r="Z121" s="455"/>
      <c r="AA121" s="150"/>
      <c r="AB121" s="490"/>
      <c r="AC121" s="150"/>
      <c r="AD121" s="150"/>
      <c r="AE121" s="466"/>
      <c r="AF121" s="499"/>
      <c r="AG121" s="150"/>
      <c r="AH121" s="150"/>
      <c r="AI121" s="150">
        <v>400</v>
      </c>
      <c r="AJ121" s="150"/>
      <c r="AK121" s="150"/>
      <c r="AL121" s="150"/>
      <c r="AM121" s="150"/>
      <c r="AN121" s="466"/>
      <c r="AO121" s="466"/>
      <c r="AP121" s="150"/>
      <c r="AQ121" s="150"/>
      <c r="AR121" s="151"/>
      <c r="AS121" s="456"/>
      <c r="AT121" s="466"/>
      <c r="AU121" s="150"/>
      <c r="AV121" s="487"/>
      <c r="AW121" s="150"/>
      <c r="AX121" s="150"/>
      <c r="AY121" s="466"/>
      <c r="AZ121" s="466"/>
      <c r="BA121" s="159">
        <f>978/30*28</f>
        <v>912.80000000000007</v>
      </c>
      <c r="BB121" s="150"/>
      <c r="BC121" s="466"/>
      <c r="BD121" s="466">
        <v>550</v>
      </c>
      <c r="BE121" s="466">
        <v>300</v>
      </c>
      <c r="BF121" s="466"/>
      <c r="BG121" s="150"/>
      <c r="BH121" s="150"/>
      <c r="BI121" s="150"/>
      <c r="BJ121" s="466"/>
      <c r="BK121" s="152"/>
      <c r="BL121" s="160"/>
      <c r="BM121" s="150"/>
      <c r="BN121" s="466"/>
      <c r="BO121" s="150"/>
      <c r="BP121" s="516"/>
      <c r="BQ121" s="160"/>
      <c r="BR121" s="152"/>
      <c r="BS121" s="160"/>
    </row>
    <row r="122" spans="1:71" x14ac:dyDescent="0.3">
      <c r="A122" s="420">
        <f>DL!A119</f>
        <v>106</v>
      </c>
      <c r="B122" s="16" t="s">
        <v>72</v>
      </c>
      <c r="C122" s="149">
        <f>DL!L119</f>
        <v>150</v>
      </c>
      <c r="D122" s="149">
        <f>DL!C119</f>
        <v>500</v>
      </c>
      <c r="E122" s="150"/>
      <c r="F122" s="463"/>
      <c r="G122" s="150"/>
      <c r="H122" s="150"/>
      <c r="I122" s="466"/>
      <c r="J122" s="150"/>
      <c r="K122" s="168"/>
      <c r="L122" s="466"/>
      <c r="M122" s="150"/>
      <c r="N122" s="466"/>
      <c r="O122" s="150"/>
      <c r="P122" s="150"/>
      <c r="Q122" s="159"/>
      <c r="R122" s="472"/>
      <c r="S122" s="466">
        <v>1600</v>
      </c>
      <c r="T122" s="150"/>
      <c r="U122" s="150"/>
      <c r="V122" s="150"/>
      <c r="W122" s="172"/>
      <c r="X122" s="150"/>
      <c r="Y122" s="466"/>
      <c r="Z122" s="455"/>
      <c r="AA122" s="150"/>
      <c r="AB122" s="490"/>
      <c r="AC122" s="150"/>
      <c r="AD122" s="150"/>
      <c r="AE122" s="466"/>
      <c r="AF122" s="499"/>
      <c r="AG122" s="150"/>
      <c r="AH122" s="150"/>
      <c r="AI122" s="159"/>
      <c r="AJ122" s="150"/>
      <c r="AK122" s="150"/>
      <c r="AL122" s="150"/>
      <c r="AM122" s="150"/>
      <c r="AN122" s="466"/>
      <c r="AO122" s="466"/>
      <c r="AP122" s="150"/>
      <c r="AQ122" s="150"/>
      <c r="AR122" s="151"/>
      <c r="AS122" s="456"/>
      <c r="AT122" s="466">
        <v>1200</v>
      </c>
      <c r="AU122" s="159"/>
      <c r="AV122" s="487"/>
      <c r="AW122" s="150"/>
      <c r="AX122" s="150"/>
      <c r="AY122" s="466"/>
      <c r="AZ122" s="466"/>
      <c r="BA122" s="150"/>
      <c r="BB122" s="150"/>
      <c r="BC122" s="466"/>
      <c r="BD122" s="466"/>
      <c r="BE122" s="466"/>
      <c r="BF122" s="466"/>
      <c r="BG122" s="150"/>
      <c r="BH122" s="150"/>
      <c r="BI122" s="150"/>
      <c r="BJ122" s="466"/>
      <c r="BK122" s="152"/>
      <c r="BL122" s="160"/>
      <c r="BM122" s="150"/>
      <c r="BN122" s="466"/>
      <c r="BO122" s="150"/>
      <c r="BP122" s="516"/>
      <c r="BQ122" s="160"/>
      <c r="BR122" s="152"/>
      <c r="BS122" s="160"/>
    </row>
    <row r="123" spans="1:71" x14ac:dyDescent="0.3">
      <c r="A123" s="420">
        <f>DL!A120</f>
        <v>107</v>
      </c>
      <c r="B123" s="16" t="s">
        <v>73</v>
      </c>
      <c r="C123" s="149">
        <f>DL!L120</f>
        <v>52</v>
      </c>
      <c r="D123" s="149">
        <f>DL!C120</f>
        <v>30</v>
      </c>
      <c r="E123" s="150"/>
      <c r="F123" s="464"/>
      <c r="G123" s="150"/>
      <c r="H123" s="159"/>
      <c r="I123" s="466"/>
      <c r="J123" s="159"/>
      <c r="K123" s="168"/>
      <c r="L123" s="466"/>
      <c r="M123" s="150"/>
      <c r="N123" s="466"/>
      <c r="O123" s="150"/>
      <c r="P123" s="159"/>
      <c r="Q123" s="150"/>
      <c r="R123" s="472"/>
      <c r="S123" s="466"/>
      <c r="T123" s="159"/>
      <c r="U123" s="159"/>
      <c r="V123" s="150"/>
      <c r="W123" s="172"/>
      <c r="X123" s="150"/>
      <c r="Y123" s="466"/>
      <c r="Z123" s="481"/>
      <c r="AA123" s="159"/>
      <c r="AB123" s="490"/>
      <c r="AC123" s="150"/>
      <c r="AD123" s="150"/>
      <c r="AE123" s="466"/>
      <c r="AF123" s="499"/>
      <c r="AG123" s="150"/>
      <c r="AH123" s="150"/>
      <c r="AI123" s="159"/>
      <c r="AJ123" s="150"/>
      <c r="AK123" s="150"/>
      <c r="AL123" s="160"/>
      <c r="AM123" s="150"/>
      <c r="AN123" s="467">
        <v>2500</v>
      </c>
      <c r="AO123" s="466">
        <v>2700</v>
      </c>
      <c r="AP123" s="150"/>
      <c r="AQ123" s="150"/>
      <c r="AR123" s="162"/>
      <c r="AS123" s="456"/>
      <c r="AT123" s="466"/>
      <c r="AU123" s="150"/>
      <c r="AV123" s="487"/>
      <c r="AW123" s="150"/>
      <c r="AX123" s="150"/>
      <c r="AY123" s="466"/>
      <c r="AZ123" s="466">
        <v>2500</v>
      </c>
      <c r="BA123" s="150"/>
      <c r="BB123" s="150"/>
      <c r="BC123" s="466"/>
      <c r="BD123" s="466"/>
      <c r="BE123" s="466"/>
      <c r="BF123" s="466"/>
      <c r="BG123" s="150"/>
      <c r="BH123" s="150"/>
      <c r="BI123" s="150"/>
      <c r="BJ123" s="466"/>
      <c r="BK123" s="152"/>
      <c r="BL123" s="160"/>
      <c r="BM123" s="150"/>
      <c r="BN123" s="466"/>
      <c r="BO123" s="150"/>
      <c r="BP123" s="516"/>
      <c r="BQ123" s="160"/>
      <c r="BR123" s="152"/>
      <c r="BS123" s="160"/>
    </row>
    <row r="124" spans="1:71" x14ac:dyDescent="0.3">
      <c r="A124" s="420">
        <f>DL!A121</f>
        <v>108</v>
      </c>
      <c r="B124" s="16" t="s">
        <v>1272</v>
      </c>
      <c r="C124" s="149">
        <f>DL!L121</f>
        <v>10</v>
      </c>
      <c r="D124" s="149">
        <f>DL!C121</f>
        <v>28</v>
      </c>
      <c r="E124" s="150"/>
      <c r="F124" s="463"/>
      <c r="G124" s="150"/>
      <c r="H124" s="150"/>
      <c r="I124" s="466"/>
      <c r="J124" s="150"/>
      <c r="K124" s="168"/>
      <c r="L124" s="466"/>
      <c r="M124" s="150"/>
      <c r="N124" s="466"/>
      <c r="O124" s="150"/>
      <c r="P124" s="150"/>
      <c r="Q124" s="150"/>
      <c r="R124" s="472"/>
      <c r="S124" s="466"/>
      <c r="T124" s="150"/>
      <c r="U124" s="150"/>
      <c r="V124" s="150"/>
      <c r="W124" s="168"/>
      <c r="X124" s="150"/>
      <c r="Y124" s="466"/>
      <c r="Z124" s="455"/>
      <c r="AA124" s="150"/>
      <c r="AB124" s="490"/>
      <c r="AC124" s="150"/>
      <c r="AD124" s="150"/>
      <c r="AE124" s="466"/>
      <c r="AF124" s="499"/>
      <c r="AG124" s="150"/>
      <c r="AH124" s="150"/>
      <c r="AI124" s="150"/>
      <c r="AJ124" s="150"/>
      <c r="AK124" s="150"/>
      <c r="AL124" s="150"/>
      <c r="AM124" s="150"/>
      <c r="AN124" s="466"/>
      <c r="AO124" s="466"/>
      <c r="AP124" s="150"/>
      <c r="AQ124" s="150"/>
      <c r="AR124" s="151"/>
      <c r="AS124" s="456"/>
      <c r="AT124" s="466"/>
      <c r="AU124" s="150"/>
      <c r="AV124" s="487"/>
      <c r="AW124" s="150"/>
      <c r="AX124" s="150"/>
      <c r="AY124" s="466"/>
      <c r="AZ124" s="466"/>
      <c r="BA124" s="150"/>
      <c r="BB124" s="150"/>
      <c r="BC124" s="466"/>
      <c r="BD124" s="466"/>
      <c r="BE124" s="466"/>
      <c r="BF124" s="466"/>
      <c r="BG124" s="150"/>
      <c r="BH124" s="150"/>
      <c r="BI124" s="150"/>
      <c r="BJ124" s="466"/>
      <c r="BK124" s="152"/>
      <c r="BL124" s="160"/>
      <c r="BM124" s="150"/>
      <c r="BN124" s="466"/>
      <c r="BO124" s="150"/>
      <c r="BP124" s="516"/>
      <c r="BQ124" s="160"/>
      <c r="BR124" s="152"/>
      <c r="BS124" s="160"/>
    </row>
    <row r="125" spans="1:71" x14ac:dyDescent="0.3">
      <c r="A125" s="420">
        <f>DL!A122</f>
        <v>109</v>
      </c>
      <c r="B125" s="16" t="s">
        <v>1273</v>
      </c>
      <c r="C125" s="149">
        <f>DL!L122</f>
        <v>10</v>
      </c>
      <c r="D125" s="149">
        <f>DL!C122</f>
        <v>28</v>
      </c>
      <c r="E125" s="150"/>
      <c r="F125" s="463"/>
      <c r="G125" s="150"/>
      <c r="H125" s="150"/>
      <c r="I125" s="466"/>
      <c r="J125" s="150"/>
      <c r="K125" s="168"/>
      <c r="L125" s="466"/>
      <c r="M125" s="150"/>
      <c r="N125" s="466"/>
      <c r="O125" s="150"/>
      <c r="P125" s="150"/>
      <c r="Q125" s="150"/>
      <c r="R125" s="472"/>
      <c r="S125" s="466"/>
      <c r="T125" s="150"/>
      <c r="U125" s="150"/>
      <c r="V125" s="150"/>
      <c r="W125" s="168"/>
      <c r="X125" s="150"/>
      <c r="Y125" s="466"/>
      <c r="Z125" s="455"/>
      <c r="AA125" s="150"/>
      <c r="AB125" s="490"/>
      <c r="AC125" s="150"/>
      <c r="AD125" s="150"/>
      <c r="AE125" s="466"/>
      <c r="AF125" s="499"/>
      <c r="AG125" s="150"/>
      <c r="AH125" s="150"/>
      <c r="AI125" s="150"/>
      <c r="AJ125" s="150"/>
      <c r="AK125" s="150"/>
      <c r="AL125" s="150"/>
      <c r="AM125" s="150"/>
      <c r="AN125" s="466"/>
      <c r="AO125" s="466"/>
      <c r="AP125" s="150"/>
      <c r="AQ125" s="150"/>
      <c r="AR125" s="151"/>
      <c r="AS125" s="456"/>
      <c r="AT125" s="466"/>
      <c r="AU125" s="150"/>
      <c r="AV125" s="487"/>
      <c r="AW125" s="150"/>
      <c r="AX125" s="150"/>
      <c r="AY125" s="466"/>
      <c r="AZ125" s="466"/>
      <c r="BA125" s="150"/>
      <c r="BB125" s="150"/>
      <c r="BC125" s="466"/>
      <c r="BD125" s="466"/>
      <c r="BE125" s="466"/>
      <c r="BF125" s="466"/>
      <c r="BG125" s="150"/>
      <c r="BH125" s="150"/>
      <c r="BI125" s="150"/>
      <c r="BJ125" s="466"/>
      <c r="BK125" s="152"/>
      <c r="BL125" s="160"/>
      <c r="BM125" s="150"/>
      <c r="BN125" s="466"/>
      <c r="BO125" s="150"/>
      <c r="BP125" s="516"/>
      <c r="BQ125" s="160"/>
      <c r="BR125" s="152"/>
      <c r="BS125" s="160"/>
    </row>
    <row r="126" spans="1:71" x14ac:dyDescent="0.3">
      <c r="A126" s="420">
        <f>DL!A123</f>
        <v>110</v>
      </c>
      <c r="B126" s="16" t="s">
        <v>1274</v>
      </c>
      <c r="C126" s="149">
        <f>DL!L123</f>
        <v>10</v>
      </c>
      <c r="D126" s="149">
        <f>DL!C123</f>
        <v>28</v>
      </c>
      <c r="E126" s="150"/>
      <c r="F126" s="463"/>
      <c r="G126" s="150"/>
      <c r="H126" s="150"/>
      <c r="I126" s="466"/>
      <c r="J126" s="159">
        <f>2000/30*28</f>
        <v>1866.6666666666667</v>
      </c>
      <c r="K126" s="168"/>
      <c r="L126" s="466"/>
      <c r="M126" s="150"/>
      <c r="N126" s="466"/>
      <c r="O126" s="150"/>
      <c r="P126" s="150"/>
      <c r="Q126" s="150"/>
      <c r="R126" s="472"/>
      <c r="S126" s="466">
        <v>4350</v>
      </c>
      <c r="T126" s="150"/>
      <c r="U126" s="150"/>
      <c r="V126" s="150"/>
      <c r="W126" s="168"/>
      <c r="X126" s="150"/>
      <c r="Y126" s="466"/>
      <c r="Z126" s="455"/>
      <c r="AA126" s="150"/>
      <c r="AB126" s="490"/>
      <c r="AC126" s="150"/>
      <c r="AD126" s="150"/>
      <c r="AE126" s="466"/>
      <c r="AF126" s="499"/>
      <c r="AG126" s="150"/>
      <c r="AH126" s="150"/>
      <c r="AI126" s="150"/>
      <c r="AJ126" s="150"/>
      <c r="AK126" s="150"/>
      <c r="AL126" s="150"/>
      <c r="AM126" s="150"/>
      <c r="AN126" s="466"/>
      <c r="AO126" s="466"/>
      <c r="AP126" s="150"/>
      <c r="AQ126" s="150"/>
      <c r="AR126" s="151"/>
      <c r="AS126" s="456"/>
      <c r="AT126" s="466"/>
      <c r="AU126" s="150"/>
      <c r="AV126" s="487"/>
      <c r="AW126" s="150"/>
      <c r="AX126" s="150"/>
      <c r="AY126" s="466"/>
      <c r="AZ126" s="466">
        <v>3000</v>
      </c>
      <c r="BA126" s="150"/>
      <c r="BB126" s="150"/>
      <c r="BC126" s="466"/>
      <c r="BD126" s="466"/>
      <c r="BE126" s="466"/>
      <c r="BF126" s="466"/>
      <c r="BG126" s="150"/>
      <c r="BH126" s="150"/>
      <c r="BI126" s="150"/>
      <c r="BJ126" s="466"/>
      <c r="BK126" s="152"/>
      <c r="BL126" s="160"/>
      <c r="BM126" s="150"/>
      <c r="BN126" s="466"/>
      <c r="BO126" s="150"/>
      <c r="BP126" s="516"/>
      <c r="BQ126" s="160"/>
      <c r="BR126" s="152"/>
      <c r="BS126" s="160"/>
    </row>
    <row r="127" spans="1:71" x14ac:dyDescent="0.3">
      <c r="A127" s="420">
        <f>DL!A124</f>
        <v>111</v>
      </c>
      <c r="B127" s="16" t="s">
        <v>74</v>
      </c>
      <c r="C127" s="149">
        <f>DL!L124</f>
        <v>20</v>
      </c>
      <c r="D127" s="149">
        <f>DL!C124</f>
        <v>30</v>
      </c>
      <c r="E127" s="150"/>
      <c r="F127" s="463"/>
      <c r="G127" s="150"/>
      <c r="H127" s="150"/>
      <c r="I127" s="466"/>
      <c r="J127" s="150"/>
      <c r="K127" s="168"/>
      <c r="L127" s="466"/>
      <c r="M127" s="150"/>
      <c r="N127" s="466"/>
      <c r="O127" s="150"/>
      <c r="P127" s="150"/>
      <c r="Q127" s="150"/>
      <c r="R127" s="472"/>
      <c r="S127" s="466">
        <v>1900</v>
      </c>
      <c r="T127" s="150"/>
      <c r="U127" s="150"/>
      <c r="V127" s="150"/>
      <c r="W127" s="168"/>
      <c r="X127" s="150"/>
      <c r="Y127" s="466"/>
      <c r="Z127" s="455"/>
      <c r="AA127" s="150"/>
      <c r="AB127" s="490"/>
      <c r="AC127" s="150"/>
      <c r="AD127" s="150"/>
      <c r="AE127" s="466"/>
      <c r="AF127" s="499"/>
      <c r="AG127" s="150"/>
      <c r="AH127" s="150"/>
      <c r="AI127" s="150"/>
      <c r="AJ127" s="150"/>
      <c r="AK127" s="150"/>
      <c r="AL127" s="150"/>
      <c r="AM127" s="150"/>
      <c r="AN127" s="466"/>
      <c r="AO127" s="466">
        <v>1541</v>
      </c>
      <c r="AP127" s="150"/>
      <c r="AQ127" s="150"/>
      <c r="AR127" s="151"/>
      <c r="AS127" s="456"/>
      <c r="AT127" s="466"/>
      <c r="AU127" s="150"/>
      <c r="AV127" s="487"/>
      <c r="AW127" s="150"/>
      <c r="AX127" s="150"/>
      <c r="AY127" s="466"/>
      <c r="AZ127" s="466"/>
      <c r="BA127" s="150"/>
      <c r="BB127" s="150"/>
      <c r="BC127" s="466"/>
      <c r="BD127" s="466"/>
      <c r="BE127" s="466"/>
      <c r="BF127" s="466"/>
      <c r="BG127" s="150"/>
      <c r="BH127" s="150"/>
      <c r="BI127" s="150"/>
      <c r="BJ127" s="466"/>
      <c r="BK127" s="152"/>
      <c r="BL127" s="160"/>
      <c r="BM127" s="150"/>
      <c r="BN127" s="466"/>
      <c r="BO127" s="150"/>
      <c r="BP127" s="516"/>
      <c r="BQ127" s="160"/>
      <c r="BR127" s="152"/>
      <c r="BS127" s="160"/>
    </row>
    <row r="128" spans="1:71" x14ac:dyDescent="0.3">
      <c r="A128" s="420">
        <f>DL!A125</f>
        <v>112</v>
      </c>
      <c r="B128" s="16" t="s">
        <v>75</v>
      </c>
      <c r="C128" s="149">
        <f>DL!L125</f>
        <v>500</v>
      </c>
      <c r="D128" s="149">
        <f>DL!C125</f>
        <v>30</v>
      </c>
      <c r="E128" s="150"/>
      <c r="F128" s="463"/>
      <c r="G128" s="150"/>
      <c r="H128" s="150"/>
      <c r="I128" s="466"/>
      <c r="J128" s="150"/>
      <c r="K128" s="168"/>
      <c r="L128" s="466"/>
      <c r="M128" s="150"/>
      <c r="N128" s="466"/>
      <c r="O128" s="150"/>
      <c r="P128" s="150"/>
      <c r="Q128" s="150"/>
      <c r="R128" s="472"/>
      <c r="S128" s="466">
        <v>1300</v>
      </c>
      <c r="T128" s="150"/>
      <c r="U128" s="150"/>
      <c r="V128" s="150"/>
      <c r="W128" s="168"/>
      <c r="X128" s="150"/>
      <c r="Y128" s="466"/>
      <c r="Z128" s="455"/>
      <c r="AA128" s="150"/>
      <c r="AB128" s="490"/>
      <c r="AC128" s="150"/>
      <c r="AD128" s="150"/>
      <c r="AE128" s="466"/>
      <c r="AF128" s="499"/>
      <c r="AG128" s="150"/>
      <c r="AH128" s="150"/>
      <c r="AI128" s="150"/>
      <c r="AJ128" s="150"/>
      <c r="AK128" s="150"/>
      <c r="AL128" s="150"/>
      <c r="AM128" s="150"/>
      <c r="AN128" s="466"/>
      <c r="AO128" s="466">
        <v>899</v>
      </c>
      <c r="AP128" s="150"/>
      <c r="AQ128" s="150"/>
      <c r="AR128" s="151"/>
      <c r="AS128" s="456"/>
      <c r="AT128" s="466"/>
      <c r="AU128" s="150"/>
      <c r="AV128" s="487"/>
      <c r="AW128" s="150"/>
      <c r="AX128" s="150"/>
      <c r="AY128" s="466"/>
      <c r="AZ128" s="466"/>
      <c r="BA128" s="150"/>
      <c r="BB128" s="150"/>
      <c r="BC128" s="466"/>
      <c r="BD128" s="466"/>
      <c r="BE128" s="466"/>
      <c r="BF128" s="466"/>
      <c r="BG128" s="150"/>
      <c r="BH128" s="150"/>
      <c r="BI128" s="150"/>
      <c r="BJ128" s="466"/>
      <c r="BK128" s="152"/>
      <c r="BL128" s="160"/>
      <c r="BM128" s="150"/>
      <c r="BN128" s="466"/>
      <c r="BO128" s="150"/>
      <c r="BP128" s="516"/>
      <c r="BQ128" s="160"/>
      <c r="BR128" s="152"/>
      <c r="BS128" s="160"/>
    </row>
    <row r="129" spans="1:71" x14ac:dyDescent="0.3">
      <c r="A129" s="420">
        <f>DL!A126</f>
        <v>113</v>
      </c>
      <c r="B129" s="16" t="s">
        <v>76</v>
      </c>
      <c r="C129" s="149">
        <f>DL!L126</f>
        <v>400</v>
      </c>
      <c r="D129" s="149">
        <f>DL!C126</f>
        <v>30</v>
      </c>
      <c r="E129" s="150"/>
      <c r="F129" s="463"/>
      <c r="G129" s="150"/>
      <c r="H129" s="150"/>
      <c r="I129" s="466"/>
      <c r="J129" s="150"/>
      <c r="K129" s="168"/>
      <c r="L129" s="466"/>
      <c r="M129" s="150"/>
      <c r="N129" s="466"/>
      <c r="O129" s="150"/>
      <c r="P129" s="150"/>
      <c r="Q129" s="150"/>
      <c r="R129" s="472"/>
      <c r="S129" s="466">
        <v>1700</v>
      </c>
      <c r="T129" s="150"/>
      <c r="U129" s="150"/>
      <c r="V129" s="150"/>
      <c r="W129" s="168"/>
      <c r="X129" s="150"/>
      <c r="Y129" s="466"/>
      <c r="Z129" s="455"/>
      <c r="AA129" s="150"/>
      <c r="AB129" s="490"/>
      <c r="AC129" s="150"/>
      <c r="AD129" s="150"/>
      <c r="AE129" s="466"/>
      <c r="AF129" s="499"/>
      <c r="AG129" s="150"/>
      <c r="AH129" s="150"/>
      <c r="AI129" s="150"/>
      <c r="AJ129" s="150"/>
      <c r="AK129" s="150"/>
      <c r="AL129" s="150"/>
      <c r="AM129" s="150"/>
      <c r="AN129" s="466"/>
      <c r="AO129" s="466">
        <v>1290</v>
      </c>
      <c r="AP129" s="150"/>
      <c r="AQ129" s="150"/>
      <c r="AR129" s="151"/>
      <c r="AS129" s="456"/>
      <c r="AT129" s="466"/>
      <c r="AU129" s="150"/>
      <c r="AV129" s="487"/>
      <c r="AW129" s="150"/>
      <c r="AX129" s="150"/>
      <c r="AY129" s="466"/>
      <c r="AZ129" s="466"/>
      <c r="BA129" s="150"/>
      <c r="BB129" s="150"/>
      <c r="BC129" s="466"/>
      <c r="BD129" s="466"/>
      <c r="BE129" s="466"/>
      <c r="BF129" s="466"/>
      <c r="BG129" s="150"/>
      <c r="BH129" s="150"/>
      <c r="BI129" s="150"/>
      <c r="BJ129" s="466"/>
      <c r="BK129" s="152"/>
      <c r="BL129" s="160"/>
      <c r="BM129" s="150"/>
      <c r="BN129" s="466"/>
      <c r="BO129" s="150"/>
      <c r="BP129" s="516"/>
      <c r="BQ129" s="160"/>
      <c r="BR129" s="152"/>
      <c r="BS129" s="160"/>
    </row>
    <row r="130" spans="1:71" x14ac:dyDescent="0.3">
      <c r="A130" s="420">
        <f>DL!A127</f>
        <v>114</v>
      </c>
      <c r="B130" s="16" t="s">
        <v>77</v>
      </c>
      <c r="C130" s="149">
        <f>DL!L127</f>
        <v>500</v>
      </c>
      <c r="D130" s="149">
        <f>DL!C127</f>
        <v>5</v>
      </c>
      <c r="E130" s="150"/>
      <c r="F130" s="463"/>
      <c r="G130" s="150"/>
      <c r="H130" s="150"/>
      <c r="I130" s="466"/>
      <c r="J130" s="150"/>
      <c r="K130" s="168"/>
      <c r="L130" s="466"/>
      <c r="M130" s="150"/>
      <c r="N130" s="466"/>
      <c r="O130" s="150"/>
      <c r="P130" s="150"/>
      <c r="Q130" s="150"/>
      <c r="R130" s="472"/>
      <c r="S130" s="466">
        <v>1000</v>
      </c>
      <c r="T130" s="150"/>
      <c r="U130" s="150"/>
      <c r="V130" s="150"/>
      <c r="W130" s="168"/>
      <c r="X130" s="150"/>
      <c r="Y130" s="466"/>
      <c r="Z130" s="455"/>
      <c r="AA130" s="150"/>
      <c r="AB130" s="490"/>
      <c r="AC130" s="150"/>
      <c r="AD130" s="150"/>
      <c r="AE130" s="466"/>
      <c r="AF130" s="499"/>
      <c r="AG130" s="150"/>
      <c r="AH130" s="150"/>
      <c r="AI130" s="150"/>
      <c r="AJ130" s="150"/>
      <c r="AK130" s="150"/>
      <c r="AL130" s="150"/>
      <c r="AM130" s="150"/>
      <c r="AN130" s="466"/>
      <c r="AO130" s="466">
        <v>595</v>
      </c>
      <c r="AP130" s="150"/>
      <c r="AQ130" s="151"/>
      <c r="AR130" s="151"/>
      <c r="AS130" s="456"/>
      <c r="AT130" s="466"/>
      <c r="AU130" s="150"/>
      <c r="AV130" s="487"/>
      <c r="AW130" s="150"/>
      <c r="AX130" s="150"/>
      <c r="AY130" s="466"/>
      <c r="AZ130" s="466"/>
      <c r="BA130" s="150"/>
      <c r="BB130" s="150"/>
      <c r="BC130" s="466"/>
      <c r="BD130" s="466"/>
      <c r="BE130" s="466"/>
      <c r="BF130" s="466"/>
      <c r="BG130" s="150"/>
      <c r="BH130" s="150"/>
      <c r="BI130" s="150"/>
      <c r="BJ130" s="466"/>
      <c r="BK130" s="157"/>
      <c r="BL130" s="160"/>
      <c r="BM130" s="150"/>
      <c r="BN130" s="466"/>
      <c r="BO130" s="150"/>
      <c r="BP130" s="516"/>
      <c r="BQ130" s="150"/>
      <c r="BR130" s="150"/>
      <c r="BS130" s="160"/>
    </row>
    <row r="131" spans="1:71" x14ac:dyDescent="0.3">
      <c r="A131" s="420">
        <f>DL!A128</f>
        <v>115</v>
      </c>
      <c r="B131" s="16" t="s">
        <v>1275</v>
      </c>
      <c r="C131" s="149">
        <f>DL!L128</f>
        <v>10</v>
      </c>
      <c r="D131" s="149">
        <f>DL!C128</f>
        <v>60</v>
      </c>
      <c r="E131" s="150"/>
      <c r="F131" s="463"/>
      <c r="G131" s="150"/>
      <c r="H131" s="150"/>
      <c r="I131" s="466"/>
      <c r="J131" s="150"/>
      <c r="K131" s="168"/>
      <c r="L131" s="466"/>
      <c r="M131" s="150"/>
      <c r="N131" s="466"/>
      <c r="O131" s="150"/>
      <c r="P131" s="150"/>
      <c r="Q131" s="150"/>
      <c r="R131" s="472"/>
      <c r="S131" s="466"/>
      <c r="T131" s="150"/>
      <c r="U131" s="150"/>
      <c r="V131" s="150"/>
      <c r="W131" s="168"/>
      <c r="X131" s="150"/>
      <c r="Y131" s="466"/>
      <c r="Z131" s="455"/>
      <c r="AA131" s="150"/>
      <c r="AB131" s="490"/>
      <c r="AC131" s="150"/>
      <c r="AD131" s="150"/>
      <c r="AE131" s="466"/>
      <c r="AF131" s="499"/>
      <c r="AG131" s="150"/>
      <c r="AH131" s="150"/>
      <c r="AI131" s="150"/>
      <c r="AJ131" s="150"/>
      <c r="AK131" s="150"/>
      <c r="AL131" s="150"/>
      <c r="AM131" s="150"/>
      <c r="AN131" s="466"/>
      <c r="AO131" s="466"/>
      <c r="AP131" s="150"/>
      <c r="AQ131" s="151"/>
      <c r="AR131" s="151"/>
      <c r="AS131" s="456"/>
      <c r="AT131" s="466"/>
      <c r="AU131" s="150"/>
      <c r="AV131" s="487"/>
      <c r="AW131" s="150"/>
      <c r="AX131" s="150"/>
      <c r="AY131" s="466"/>
      <c r="AZ131" s="466"/>
      <c r="BA131" s="150"/>
      <c r="BB131" s="150"/>
      <c r="BC131" s="466"/>
      <c r="BD131" s="466"/>
      <c r="BE131" s="466"/>
      <c r="BF131" s="466"/>
      <c r="BG131" s="150"/>
      <c r="BH131" s="150"/>
      <c r="BI131" s="150"/>
      <c r="BJ131" s="466"/>
      <c r="BK131" s="157"/>
      <c r="BL131" s="160"/>
      <c r="BM131" s="150"/>
      <c r="BN131" s="466"/>
      <c r="BO131" s="150"/>
      <c r="BP131" s="516"/>
      <c r="BQ131" s="160"/>
      <c r="BR131" s="157"/>
      <c r="BS131" s="160"/>
    </row>
    <row r="132" spans="1:71" x14ac:dyDescent="0.3">
      <c r="A132" s="420">
        <f>DL!A129</f>
        <v>116</v>
      </c>
      <c r="B132" s="16" t="s">
        <v>2063</v>
      </c>
      <c r="C132" s="149">
        <f>DL!L129</f>
        <v>10</v>
      </c>
      <c r="D132" s="149">
        <f>DL!C129</f>
        <v>28</v>
      </c>
      <c r="E132" s="150"/>
      <c r="F132" s="463"/>
      <c r="G132" s="150"/>
      <c r="H132" s="150"/>
      <c r="I132" s="466"/>
      <c r="J132" s="150"/>
      <c r="K132" s="168"/>
      <c r="L132" s="466"/>
      <c r="M132" s="150"/>
      <c r="N132" s="466"/>
      <c r="O132" s="150"/>
      <c r="P132" s="150"/>
      <c r="Q132" s="150"/>
      <c r="R132" s="472"/>
      <c r="S132" s="466"/>
      <c r="T132" s="150"/>
      <c r="U132" s="150"/>
      <c r="V132" s="150"/>
      <c r="W132" s="168"/>
      <c r="X132" s="150"/>
      <c r="Y132" s="466"/>
      <c r="Z132" s="455"/>
      <c r="AA132" s="150"/>
      <c r="AB132" s="490"/>
      <c r="AC132" s="150"/>
      <c r="AD132" s="150"/>
      <c r="AE132" s="466"/>
      <c r="AF132" s="499"/>
      <c r="AG132" s="150"/>
      <c r="AH132" s="150"/>
      <c r="AI132" s="150"/>
      <c r="AJ132" s="150"/>
      <c r="AK132" s="150"/>
      <c r="AL132" s="150"/>
      <c r="AM132" s="150"/>
      <c r="AN132" s="466"/>
      <c r="AO132" s="466"/>
      <c r="AP132" s="150"/>
      <c r="AQ132" s="150"/>
      <c r="AR132" s="151"/>
      <c r="AS132" s="456"/>
      <c r="AT132" s="466"/>
      <c r="AU132" s="150"/>
      <c r="AV132" s="487"/>
      <c r="AW132" s="150"/>
      <c r="AX132" s="150"/>
      <c r="AY132" s="466"/>
      <c r="AZ132" s="466"/>
      <c r="BA132" s="159">
        <f>2185/30*28</f>
        <v>2039.3333333333333</v>
      </c>
      <c r="BB132" s="150"/>
      <c r="BC132" s="466"/>
      <c r="BD132" s="466"/>
      <c r="BE132" s="466"/>
      <c r="BF132" s="466"/>
      <c r="BG132" s="150"/>
      <c r="BH132" s="150"/>
      <c r="BI132" s="150"/>
      <c r="BJ132" s="466"/>
      <c r="BK132" s="152"/>
      <c r="BL132" s="160"/>
      <c r="BM132" s="150"/>
      <c r="BN132" s="466"/>
      <c r="BO132" s="150"/>
      <c r="BP132" s="516"/>
      <c r="BQ132" s="160"/>
      <c r="BR132" s="152"/>
      <c r="BS132" s="160"/>
    </row>
    <row r="133" spans="1:71" x14ac:dyDescent="0.3">
      <c r="A133" s="420">
        <f>DL!A130</f>
        <v>117</v>
      </c>
      <c r="B133" s="16" t="s">
        <v>434</v>
      </c>
      <c r="C133" s="149">
        <f>DL!L130</f>
        <v>10</v>
      </c>
      <c r="D133" s="149">
        <f>DL!C130</f>
        <v>100</v>
      </c>
      <c r="E133" s="150"/>
      <c r="F133" s="463"/>
      <c r="G133" s="150"/>
      <c r="H133" s="150"/>
      <c r="I133" s="466"/>
      <c r="J133" s="159"/>
      <c r="K133" s="168"/>
      <c r="L133" s="466"/>
      <c r="M133" s="150"/>
      <c r="N133" s="466"/>
      <c r="O133" s="150"/>
      <c r="P133" s="150"/>
      <c r="Q133" s="150"/>
      <c r="R133" s="472"/>
      <c r="S133" s="466"/>
      <c r="T133" s="150"/>
      <c r="U133" s="150"/>
      <c r="V133" s="150"/>
      <c r="W133" s="168"/>
      <c r="X133" s="150"/>
      <c r="Y133" s="466"/>
      <c r="Z133" s="455"/>
      <c r="AA133" s="150"/>
      <c r="AB133" s="490"/>
      <c r="AC133" s="150"/>
      <c r="AD133" s="150"/>
      <c r="AE133" s="466"/>
      <c r="AF133" s="499"/>
      <c r="AG133" s="150"/>
      <c r="AH133" s="150"/>
      <c r="AI133" s="150"/>
      <c r="AJ133" s="150"/>
      <c r="AK133" s="150"/>
      <c r="AL133" s="150"/>
      <c r="AM133" s="150"/>
      <c r="AN133" s="466"/>
      <c r="AO133" s="466"/>
      <c r="AP133" s="150"/>
      <c r="AQ133" s="150"/>
      <c r="AR133" s="151"/>
      <c r="AS133" s="456"/>
      <c r="AT133" s="466"/>
      <c r="AU133" s="159"/>
      <c r="AV133" s="487"/>
      <c r="AW133" s="150"/>
      <c r="AX133" s="150"/>
      <c r="AY133" s="466"/>
      <c r="AZ133" s="466"/>
      <c r="BA133" s="150"/>
      <c r="BB133" s="150"/>
      <c r="BC133" s="466"/>
      <c r="BD133" s="466"/>
      <c r="BE133" s="466"/>
      <c r="BF133" s="466"/>
      <c r="BG133" s="150"/>
      <c r="BH133" s="150"/>
      <c r="BI133" s="150"/>
      <c r="BJ133" s="466"/>
      <c r="BK133" s="152"/>
      <c r="BL133" s="160"/>
      <c r="BM133" s="150"/>
      <c r="BN133" s="466"/>
      <c r="BO133" s="150"/>
      <c r="BP133" s="516"/>
      <c r="BQ133" s="160"/>
      <c r="BR133" s="152"/>
      <c r="BS133" s="160"/>
    </row>
    <row r="134" spans="1:71" x14ac:dyDescent="0.3">
      <c r="A134" s="420"/>
      <c r="B134" s="16"/>
      <c r="C134" s="149">
        <f>DL!L131</f>
        <v>0</v>
      </c>
      <c r="D134" s="149">
        <f>DL!C131</f>
        <v>0</v>
      </c>
      <c r="E134" s="150"/>
      <c r="F134" s="463"/>
      <c r="G134" s="150"/>
      <c r="H134" s="150"/>
      <c r="I134" s="466"/>
      <c r="J134" s="150"/>
      <c r="K134" s="168"/>
      <c r="L134" s="466"/>
      <c r="M134" s="150"/>
      <c r="N134" s="466"/>
      <c r="O134" s="150"/>
      <c r="P134" s="150"/>
      <c r="Q134" s="150"/>
      <c r="R134" s="472"/>
      <c r="S134" s="466"/>
      <c r="T134" s="150"/>
      <c r="U134" s="150"/>
      <c r="V134" s="150"/>
      <c r="W134" s="168"/>
      <c r="X134" s="150"/>
      <c r="Y134" s="466"/>
      <c r="Z134" s="455"/>
      <c r="AA134" s="150"/>
      <c r="AB134" s="490"/>
      <c r="AC134" s="150"/>
      <c r="AD134" s="150"/>
      <c r="AE134" s="466"/>
      <c r="AF134" s="499"/>
      <c r="AG134" s="150"/>
      <c r="AH134" s="150"/>
      <c r="AI134" s="150"/>
      <c r="AJ134" s="150"/>
      <c r="AK134" s="150"/>
      <c r="AL134" s="150"/>
      <c r="AM134" s="150"/>
      <c r="AN134" s="466"/>
      <c r="AO134" s="466"/>
      <c r="AP134" s="150"/>
      <c r="AQ134" s="150"/>
      <c r="AR134" s="151"/>
      <c r="AS134" s="456"/>
      <c r="AT134" s="466"/>
      <c r="AU134" s="150"/>
      <c r="AV134" s="487"/>
      <c r="AW134" s="150"/>
      <c r="AX134" s="150"/>
      <c r="AY134" s="466"/>
      <c r="AZ134" s="466"/>
      <c r="BA134" s="150"/>
      <c r="BB134" s="150"/>
      <c r="BC134" s="466"/>
      <c r="BD134" s="466"/>
      <c r="BE134" s="466"/>
      <c r="BF134" s="466"/>
      <c r="BG134" s="150"/>
      <c r="BH134" s="150"/>
      <c r="BI134" s="150"/>
      <c r="BJ134" s="466"/>
      <c r="BK134" s="152"/>
      <c r="BL134" s="160"/>
      <c r="BM134" s="150"/>
      <c r="BN134" s="466"/>
      <c r="BO134" s="150"/>
      <c r="BP134" s="516"/>
      <c r="BQ134" s="160"/>
      <c r="BR134" s="152"/>
      <c r="BS134" s="160"/>
    </row>
    <row r="135" spans="1:71" x14ac:dyDescent="0.3">
      <c r="A135" s="420"/>
      <c r="B135" s="16" t="s">
        <v>78</v>
      </c>
      <c r="C135" s="149">
        <f>DL!L132</f>
        <v>0</v>
      </c>
      <c r="D135" s="149">
        <f>DL!C132</f>
        <v>0</v>
      </c>
      <c r="E135" s="150"/>
      <c r="F135" s="463"/>
      <c r="G135" s="150"/>
      <c r="H135" s="150"/>
      <c r="I135" s="466"/>
      <c r="J135" s="150"/>
      <c r="K135" s="168"/>
      <c r="L135" s="466"/>
      <c r="M135" s="150"/>
      <c r="N135" s="466"/>
      <c r="O135" s="150"/>
      <c r="P135" s="150"/>
      <c r="Q135" s="150"/>
      <c r="R135" s="472"/>
      <c r="S135" s="466"/>
      <c r="T135" s="150"/>
      <c r="U135" s="150"/>
      <c r="V135" s="150"/>
      <c r="W135" s="168"/>
      <c r="X135" s="150"/>
      <c r="Y135" s="466"/>
      <c r="Z135" s="455"/>
      <c r="AA135" s="150"/>
      <c r="AB135" s="490"/>
      <c r="AC135" s="150"/>
      <c r="AD135" s="150"/>
      <c r="AE135" s="466"/>
      <c r="AF135" s="499"/>
      <c r="AG135" s="150"/>
      <c r="AH135" s="150"/>
      <c r="AI135" s="150"/>
      <c r="AJ135" s="150"/>
      <c r="AK135" s="150"/>
      <c r="AL135" s="150"/>
      <c r="AM135" s="150"/>
      <c r="AN135" s="466"/>
      <c r="AO135" s="466"/>
      <c r="AP135" s="150"/>
      <c r="AQ135" s="150"/>
      <c r="AR135" s="151"/>
      <c r="AS135" s="456"/>
      <c r="AT135" s="466"/>
      <c r="AU135" s="150"/>
      <c r="AV135" s="487"/>
      <c r="AW135" s="150"/>
      <c r="AX135" s="150"/>
      <c r="AY135" s="466"/>
      <c r="AZ135" s="466"/>
      <c r="BA135" s="150"/>
      <c r="BB135" s="150"/>
      <c r="BC135" s="466"/>
      <c r="BD135" s="466"/>
      <c r="BE135" s="466"/>
      <c r="BF135" s="466"/>
      <c r="BG135" s="150"/>
      <c r="BH135" s="150"/>
      <c r="BI135" s="150"/>
      <c r="BJ135" s="466"/>
      <c r="BK135" s="152"/>
      <c r="BL135" s="160"/>
      <c r="BM135" s="150"/>
      <c r="BN135" s="466"/>
      <c r="BO135" s="150"/>
      <c r="BP135" s="516"/>
      <c r="BQ135" s="160"/>
      <c r="BR135" s="152"/>
      <c r="BS135" s="160"/>
    </row>
    <row r="136" spans="1:71" x14ac:dyDescent="0.3">
      <c r="A136" s="420">
        <f>DL!A133</f>
        <v>118</v>
      </c>
      <c r="B136" s="16" t="s">
        <v>79</v>
      </c>
      <c r="C136" s="149">
        <f>DL!L133</f>
        <v>250</v>
      </c>
      <c r="D136" s="149">
        <f>DL!C133</f>
        <v>100</v>
      </c>
      <c r="E136" s="150"/>
      <c r="F136" s="463"/>
      <c r="G136" s="150"/>
      <c r="H136" s="150"/>
      <c r="I136" s="467">
        <v>1700</v>
      </c>
      <c r="J136" s="150"/>
      <c r="K136" s="168"/>
      <c r="L136" s="466"/>
      <c r="M136" s="150"/>
      <c r="N136" s="466"/>
      <c r="O136" s="150"/>
      <c r="P136" s="150"/>
      <c r="Q136" s="150"/>
      <c r="R136" s="472"/>
      <c r="S136" s="466">
        <v>350</v>
      </c>
      <c r="T136" s="150"/>
      <c r="U136" s="150"/>
      <c r="V136" s="150"/>
      <c r="W136" s="168"/>
      <c r="X136" s="150"/>
      <c r="Y136" s="466"/>
      <c r="Z136" s="455"/>
      <c r="AA136" s="150"/>
      <c r="AB136" s="490"/>
      <c r="AC136" s="150"/>
      <c r="AD136" s="150"/>
      <c r="AE136" s="466"/>
      <c r="AF136" s="499"/>
      <c r="AG136" s="150"/>
      <c r="AH136" s="150"/>
      <c r="AI136" s="150"/>
      <c r="AJ136" s="150"/>
      <c r="AK136" s="150">
        <v>444.44</v>
      </c>
      <c r="AL136" s="150"/>
      <c r="AM136" s="150"/>
      <c r="AN136" s="466"/>
      <c r="AO136" s="466"/>
      <c r="AP136" s="150"/>
      <c r="AQ136" s="150"/>
      <c r="AR136" s="151"/>
      <c r="AS136" s="456"/>
      <c r="AT136" s="466"/>
      <c r="AU136" s="150"/>
      <c r="AV136" s="487"/>
      <c r="AW136" s="150"/>
      <c r="AX136" s="150"/>
      <c r="AY136" s="466"/>
      <c r="AZ136" s="466"/>
      <c r="BA136" s="150"/>
      <c r="BB136" s="150">
        <v>446</v>
      </c>
      <c r="BC136" s="466"/>
      <c r="BD136" s="466"/>
      <c r="BE136" s="466">
        <v>1500</v>
      </c>
      <c r="BF136" s="466"/>
      <c r="BG136" s="150"/>
      <c r="BH136" s="150"/>
      <c r="BI136" s="150"/>
      <c r="BJ136" s="466"/>
      <c r="BK136" s="152"/>
      <c r="BL136" s="160"/>
      <c r="BM136" s="150">
        <v>385</v>
      </c>
      <c r="BN136" s="466">
        <v>250</v>
      </c>
      <c r="BO136" s="150"/>
      <c r="BP136" s="516"/>
      <c r="BQ136" s="160"/>
      <c r="BR136" s="152"/>
      <c r="BS136" s="160"/>
    </row>
    <row r="137" spans="1:71" x14ac:dyDescent="0.3">
      <c r="A137" s="420">
        <f>DL!A134</f>
        <v>119</v>
      </c>
      <c r="B137" s="16" t="s">
        <v>80</v>
      </c>
      <c r="C137" s="149">
        <f>DL!L134</f>
        <v>2000</v>
      </c>
      <c r="D137" s="149">
        <f>DL!C134</f>
        <v>30</v>
      </c>
      <c r="E137" s="150"/>
      <c r="F137" s="463"/>
      <c r="G137" s="150"/>
      <c r="H137" s="150"/>
      <c r="I137" s="467">
        <v>3680</v>
      </c>
      <c r="J137" s="150"/>
      <c r="K137" s="168"/>
      <c r="L137" s="466"/>
      <c r="M137" s="150"/>
      <c r="N137" s="466"/>
      <c r="O137" s="150"/>
      <c r="P137" s="150"/>
      <c r="Q137" s="150"/>
      <c r="R137" s="472"/>
      <c r="S137" s="466">
        <v>780</v>
      </c>
      <c r="T137" s="150"/>
      <c r="U137" s="150"/>
      <c r="V137" s="150"/>
      <c r="W137" s="168"/>
      <c r="X137" s="150"/>
      <c r="Y137" s="466"/>
      <c r="Z137" s="455"/>
      <c r="AA137" s="150"/>
      <c r="AB137" s="490"/>
      <c r="AC137" s="150"/>
      <c r="AD137" s="150"/>
      <c r="AE137" s="466"/>
      <c r="AF137" s="499"/>
      <c r="AG137" s="150"/>
      <c r="AH137" s="150"/>
      <c r="AI137" s="150">
        <v>980</v>
      </c>
      <c r="AJ137" s="150"/>
      <c r="AK137" s="150"/>
      <c r="AL137" s="150"/>
      <c r="AM137" s="150"/>
      <c r="AN137" s="466"/>
      <c r="AO137" s="466">
        <v>650</v>
      </c>
      <c r="AP137" s="150"/>
      <c r="AQ137" s="150"/>
      <c r="AR137" s="151"/>
      <c r="AS137" s="456"/>
      <c r="AT137" s="466"/>
      <c r="AU137" s="150"/>
      <c r="AV137" s="487"/>
      <c r="AW137" s="150"/>
      <c r="AX137" s="150"/>
      <c r="AY137" s="466"/>
      <c r="AZ137" s="466"/>
      <c r="BA137" s="150"/>
      <c r="BB137" s="150"/>
      <c r="BC137" s="466"/>
      <c r="BD137" s="466"/>
      <c r="BE137" s="466"/>
      <c r="BF137" s="466"/>
      <c r="BG137" s="150"/>
      <c r="BH137" s="150"/>
      <c r="BI137" s="150"/>
      <c r="BJ137" s="466"/>
      <c r="BK137" s="152"/>
      <c r="BL137" s="160"/>
      <c r="BM137" s="150"/>
      <c r="BN137" s="466"/>
      <c r="BO137" s="150"/>
      <c r="BP137" s="516"/>
      <c r="BQ137" s="160"/>
      <c r="BR137" s="152"/>
      <c r="BS137" s="160"/>
    </row>
    <row r="138" spans="1:71" x14ac:dyDescent="0.3">
      <c r="A138" s="420">
        <f>DL!A135</f>
        <v>120</v>
      </c>
      <c r="B138" s="16" t="s">
        <v>81</v>
      </c>
      <c r="C138" s="149">
        <f>DL!L135</f>
        <v>1200</v>
      </c>
      <c r="D138" s="149">
        <f>DL!C135</f>
        <v>30</v>
      </c>
      <c r="E138" s="150"/>
      <c r="F138" s="463"/>
      <c r="G138" s="150"/>
      <c r="H138" s="150"/>
      <c r="I138" s="468">
        <v>2200</v>
      </c>
      <c r="J138" s="150"/>
      <c r="K138" s="168"/>
      <c r="L138" s="466"/>
      <c r="M138" s="150"/>
      <c r="N138" s="466"/>
      <c r="O138" s="150"/>
      <c r="P138" s="150"/>
      <c r="Q138" s="150"/>
      <c r="R138" s="472"/>
      <c r="S138" s="466">
        <v>500</v>
      </c>
      <c r="T138" s="150"/>
      <c r="U138" s="150"/>
      <c r="V138" s="150"/>
      <c r="W138" s="168"/>
      <c r="X138" s="150"/>
      <c r="Y138" s="466"/>
      <c r="Z138" s="455"/>
      <c r="AA138" s="150"/>
      <c r="AB138" s="490"/>
      <c r="AC138" s="150"/>
      <c r="AD138" s="150"/>
      <c r="AE138" s="466"/>
      <c r="AF138" s="499"/>
      <c r="AG138" s="150"/>
      <c r="AH138" s="150"/>
      <c r="AI138" s="150"/>
      <c r="AJ138" s="150"/>
      <c r="AK138" s="150"/>
      <c r="AL138" s="150"/>
      <c r="AM138" s="150"/>
      <c r="AN138" s="467">
        <v>1000</v>
      </c>
      <c r="AO138" s="466">
        <v>750</v>
      </c>
      <c r="AP138" s="150"/>
      <c r="AQ138" s="150"/>
      <c r="AR138" s="151"/>
      <c r="AS138" s="456"/>
      <c r="AT138" s="466"/>
      <c r="AU138" s="150"/>
      <c r="AV138" s="487"/>
      <c r="AW138" s="150"/>
      <c r="AX138" s="150"/>
      <c r="AY138" s="466"/>
      <c r="AZ138" s="466"/>
      <c r="BA138" s="150"/>
      <c r="BB138" s="150"/>
      <c r="BC138" s="466"/>
      <c r="BD138" s="466"/>
      <c r="BE138" s="466"/>
      <c r="BF138" s="466"/>
      <c r="BG138" s="150"/>
      <c r="BH138" s="150">
        <v>1482</v>
      </c>
      <c r="BI138" s="150"/>
      <c r="BJ138" s="466"/>
      <c r="BK138" s="152"/>
      <c r="BL138" s="160"/>
      <c r="BM138" s="150"/>
      <c r="BN138" s="466"/>
      <c r="BO138" s="150"/>
      <c r="BP138" s="516">
        <v>700</v>
      </c>
      <c r="BQ138" s="160"/>
      <c r="BR138" s="152"/>
      <c r="BS138" s="160"/>
    </row>
    <row r="139" spans="1:71" x14ac:dyDescent="0.3">
      <c r="A139" s="420">
        <f>DL!A136</f>
        <v>121</v>
      </c>
      <c r="B139" s="16" t="s">
        <v>82</v>
      </c>
      <c r="C139" s="149">
        <f>DL!L136</f>
        <v>1000</v>
      </c>
      <c r="D139" s="149">
        <f>DL!C136</f>
        <v>30</v>
      </c>
      <c r="E139" s="150"/>
      <c r="F139" s="463"/>
      <c r="G139" s="150"/>
      <c r="H139" s="150"/>
      <c r="I139" s="468">
        <v>3675</v>
      </c>
      <c r="J139" s="150"/>
      <c r="K139" s="168"/>
      <c r="L139" s="466"/>
      <c r="M139" s="150"/>
      <c r="N139" s="466"/>
      <c r="O139" s="150"/>
      <c r="P139" s="150"/>
      <c r="Q139" s="150"/>
      <c r="R139" s="472"/>
      <c r="S139" s="466">
        <v>1200</v>
      </c>
      <c r="T139" s="150"/>
      <c r="U139" s="150"/>
      <c r="V139" s="150"/>
      <c r="W139" s="168"/>
      <c r="X139" s="150"/>
      <c r="Y139" s="466"/>
      <c r="Z139" s="455"/>
      <c r="AA139" s="150"/>
      <c r="AB139" s="490"/>
      <c r="AC139" s="150"/>
      <c r="AD139" s="150"/>
      <c r="AE139" s="466"/>
      <c r="AF139" s="499"/>
      <c r="AG139" s="150"/>
      <c r="AH139" s="150"/>
      <c r="AI139" s="150"/>
      <c r="AJ139" s="150"/>
      <c r="AK139" s="150">
        <v>1850</v>
      </c>
      <c r="AL139" s="150"/>
      <c r="AM139" s="150"/>
      <c r="AN139" s="467">
        <v>1800</v>
      </c>
      <c r="AO139" s="466">
        <v>1150</v>
      </c>
      <c r="AP139" s="150"/>
      <c r="AQ139" s="150"/>
      <c r="AR139" s="151"/>
      <c r="AS139" s="456"/>
      <c r="AT139" s="466"/>
      <c r="AU139" s="150"/>
      <c r="AV139" s="487"/>
      <c r="AW139" s="150"/>
      <c r="AX139" s="150"/>
      <c r="AY139" s="466"/>
      <c r="AZ139" s="466"/>
      <c r="BA139" s="150"/>
      <c r="BB139" s="150"/>
      <c r="BC139" s="466"/>
      <c r="BD139" s="466"/>
      <c r="BE139" s="466"/>
      <c r="BF139" s="466"/>
      <c r="BG139" s="150"/>
      <c r="BH139" s="150"/>
      <c r="BI139" s="150"/>
      <c r="BJ139" s="466"/>
      <c r="BK139" s="152"/>
      <c r="BL139" s="160"/>
      <c r="BM139" s="150"/>
      <c r="BN139" s="466"/>
      <c r="BO139" s="150"/>
      <c r="BP139" s="516">
        <v>900</v>
      </c>
      <c r="BQ139" s="160"/>
      <c r="BR139" s="152"/>
      <c r="BS139" s="160"/>
    </row>
    <row r="140" spans="1:71" x14ac:dyDescent="0.3">
      <c r="A140" s="420">
        <f>DL!A137</f>
        <v>122</v>
      </c>
      <c r="B140" s="16" t="s">
        <v>1276</v>
      </c>
      <c r="C140" s="149">
        <f>DL!L137</f>
        <v>20</v>
      </c>
      <c r="D140" s="149" t="str">
        <f>DL!C137</f>
        <v>AMP</v>
      </c>
      <c r="E140" s="150"/>
      <c r="F140" s="463"/>
      <c r="G140" s="150"/>
      <c r="H140" s="150"/>
      <c r="I140" s="466"/>
      <c r="J140" s="150"/>
      <c r="K140" s="168"/>
      <c r="L140" s="466"/>
      <c r="M140" s="150"/>
      <c r="N140" s="466"/>
      <c r="O140" s="150"/>
      <c r="P140" s="150"/>
      <c r="Q140" s="150"/>
      <c r="R140" s="472"/>
      <c r="S140" s="466"/>
      <c r="T140" s="150"/>
      <c r="U140" s="150"/>
      <c r="V140" s="150"/>
      <c r="W140" s="168"/>
      <c r="X140" s="150"/>
      <c r="Y140" s="466"/>
      <c r="Z140" s="455"/>
      <c r="AA140" s="150"/>
      <c r="AB140" s="490"/>
      <c r="AC140" s="150"/>
      <c r="AD140" s="150"/>
      <c r="AE140" s="466"/>
      <c r="AF140" s="499"/>
      <c r="AG140" s="150"/>
      <c r="AH140" s="150"/>
      <c r="AI140" s="150"/>
      <c r="AJ140" s="150"/>
      <c r="AK140" s="150"/>
      <c r="AL140" s="150"/>
      <c r="AM140" s="150"/>
      <c r="AN140" s="466"/>
      <c r="AO140" s="466"/>
      <c r="AP140" s="150"/>
      <c r="AQ140" s="150"/>
      <c r="AR140" s="151"/>
      <c r="AS140" s="456"/>
      <c r="AT140" s="466"/>
      <c r="AU140" s="150"/>
      <c r="AV140" s="487"/>
      <c r="AW140" s="150"/>
      <c r="AX140" s="150"/>
      <c r="AY140" s="466"/>
      <c r="AZ140" s="466"/>
      <c r="BA140" s="150"/>
      <c r="BB140" s="150"/>
      <c r="BC140" s="466"/>
      <c r="BD140" s="466"/>
      <c r="BE140" s="466"/>
      <c r="BF140" s="466"/>
      <c r="BG140" s="150"/>
      <c r="BH140" s="150"/>
      <c r="BI140" s="150"/>
      <c r="BJ140" s="466"/>
      <c r="BK140" s="152"/>
      <c r="BL140" s="160"/>
      <c r="BM140" s="150"/>
      <c r="BN140" s="466"/>
      <c r="BO140" s="150"/>
      <c r="BP140" s="516"/>
      <c r="BQ140" s="160"/>
      <c r="BR140" s="152"/>
      <c r="BS140" s="160"/>
    </row>
    <row r="141" spans="1:71" x14ac:dyDescent="0.3">
      <c r="A141" s="420">
        <f>DL!A138</f>
        <v>123</v>
      </c>
      <c r="B141" s="16" t="s">
        <v>1277</v>
      </c>
      <c r="C141" s="149">
        <f>DL!L138</f>
        <v>100</v>
      </c>
      <c r="D141" s="149" t="str">
        <f>DL!C138</f>
        <v>PC</v>
      </c>
      <c r="E141" s="150"/>
      <c r="F141" s="463"/>
      <c r="G141" s="150"/>
      <c r="H141" s="150"/>
      <c r="I141" s="466"/>
      <c r="J141" s="150"/>
      <c r="K141" s="168"/>
      <c r="L141" s="466"/>
      <c r="M141" s="150"/>
      <c r="N141" s="466"/>
      <c r="O141" s="150"/>
      <c r="P141" s="150"/>
      <c r="Q141" s="150"/>
      <c r="R141" s="472"/>
      <c r="S141" s="466"/>
      <c r="T141" s="150"/>
      <c r="U141" s="150"/>
      <c r="V141" s="150"/>
      <c r="W141" s="168"/>
      <c r="X141" s="150"/>
      <c r="Y141" s="466"/>
      <c r="Z141" s="455"/>
      <c r="AA141" s="150"/>
      <c r="AB141" s="490"/>
      <c r="AC141" s="150"/>
      <c r="AD141" s="150">
        <v>6800</v>
      </c>
      <c r="AE141" s="466"/>
      <c r="AF141" s="499"/>
      <c r="AG141" s="150"/>
      <c r="AH141" s="150"/>
      <c r="AI141" s="150"/>
      <c r="AJ141" s="150"/>
      <c r="AK141" s="150"/>
      <c r="AL141" s="150"/>
      <c r="AM141" s="150"/>
      <c r="AN141" s="466"/>
      <c r="AO141" s="466"/>
      <c r="AP141" s="150"/>
      <c r="AQ141" s="150"/>
      <c r="AR141" s="151"/>
      <c r="AS141" s="456"/>
      <c r="AT141" s="466"/>
      <c r="AU141" s="150"/>
      <c r="AV141" s="487"/>
      <c r="AW141" s="150"/>
      <c r="AX141" s="150"/>
      <c r="AY141" s="466"/>
      <c r="AZ141" s="466"/>
      <c r="BA141" s="150"/>
      <c r="BB141" s="150"/>
      <c r="BC141" s="466"/>
      <c r="BD141" s="466"/>
      <c r="BE141" s="466"/>
      <c r="BF141" s="466"/>
      <c r="BG141" s="150"/>
      <c r="BH141" s="150"/>
      <c r="BI141" s="150"/>
      <c r="BJ141" s="466"/>
      <c r="BK141" s="152"/>
      <c r="BL141" s="160"/>
      <c r="BM141" s="150"/>
      <c r="BN141" s="466"/>
      <c r="BO141" s="150"/>
      <c r="BP141" s="516"/>
      <c r="BQ141" s="160"/>
      <c r="BR141" s="152"/>
      <c r="BS141" s="160"/>
    </row>
    <row r="142" spans="1:71" x14ac:dyDescent="0.3">
      <c r="A142" s="420">
        <f>DL!A139</f>
        <v>124</v>
      </c>
      <c r="B142" s="16" t="s">
        <v>1278</v>
      </c>
      <c r="C142" s="149">
        <f>DL!L139</f>
        <v>10</v>
      </c>
      <c r="D142" s="149">
        <f>DL!C139</f>
        <v>5</v>
      </c>
      <c r="E142" s="150"/>
      <c r="F142" s="463"/>
      <c r="G142" s="150"/>
      <c r="H142" s="150"/>
      <c r="I142" s="466"/>
      <c r="J142" s="150"/>
      <c r="K142" s="168"/>
      <c r="L142" s="466"/>
      <c r="M142" s="150"/>
      <c r="N142" s="466"/>
      <c r="O142" s="150"/>
      <c r="P142" s="150"/>
      <c r="Q142" s="150"/>
      <c r="R142" s="472"/>
      <c r="S142" s="466"/>
      <c r="T142" s="150"/>
      <c r="U142" s="150"/>
      <c r="V142" s="150"/>
      <c r="W142" s="168"/>
      <c r="X142" s="150"/>
      <c r="Y142" s="466"/>
      <c r="Z142" s="455"/>
      <c r="AA142" s="150"/>
      <c r="AB142" s="490"/>
      <c r="AC142" s="150"/>
      <c r="AD142" s="150"/>
      <c r="AE142" s="466"/>
      <c r="AF142" s="499"/>
      <c r="AG142" s="150"/>
      <c r="AH142" s="150"/>
      <c r="AI142" s="150"/>
      <c r="AJ142" s="150"/>
      <c r="AK142" s="150"/>
      <c r="AL142" s="150"/>
      <c r="AM142" s="150"/>
      <c r="AN142" s="466"/>
      <c r="AO142" s="466"/>
      <c r="AP142" s="150"/>
      <c r="AQ142" s="150"/>
      <c r="AR142" s="151"/>
      <c r="AS142" s="456"/>
      <c r="AT142" s="466"/>
      <c r="AU142" s="150"/>
      <c r="AV142" s="487"/>
      <c r="AW142" s="150"/>
      <c r="AX142" s="150"/>
      <c r="AY142" s="466"/>
      <c r="AZ142" s="466"/>
      <c r="BA142" s="150"/>
      <c r="BB142" s="150"/>
      <c r="BC142" s="466"/>
      <c r="BD142" s="466"/>
      <c r="BE142" s="466"/>
      <c r="BF142" s="466"/>
      <c r="BG142" s="150"/>
      <c r="BH142" s="150"/>
      <c r="BI142" s="150"/>
      <c r="BJ142" s="466"/>
      <c r="BK142" s="152"/>
      <c r="BL142" s="160"/>
      <c r="BM142" s="150"/>
      <c r="BN142" s="466"/>
      <c r="BO142" s="150"/>
      <c r="BP142" s="516"/>
      <c r="BQ142" s="160"/>
      <c r="BR142" s="152"/>
      <c r="BS142" s="160"/>
    </row>
    <row r="143" spans="1:71" x14ac:dyDescent="0.3">
      <c r="A143" s="420">
        <f>DL!A140</f>
        <v>125</v>
      </c>
      <c r="B143" s="16" t="s">
        <v>1279</v>
      </c>
      <c r="C143" s="149">
        <f>DL!L140</f>
        <v>10</v>
      </c>
      <c r="D143" s="149">
        <f>DL!C140</f>
        <v>5</v>
      </c>
      <c r="E143" s="150"/>
      <c r="F143" s="463"/>
      <c r="G143" s="150"/>
      <c r="H143" s="150"/>
      <c r="I143" s="466"/>
      <c r="J143" s="150"/>
      <c r="K143" s="168"/>
      <c r="L143" s="466"/>
      <c r="M143" s="150"/>
      <c r="N143" s="466"/>
      <c r="O143" s="150"/>
      <c r="P143" s="150"/>
      <c r="Q143" s="150"/>
      <c r="R143" s="472"/>
      <c r="S143" s="466"/>
      <c r="T143" s="150"/>
      <c r="U143" s="150"/>
      <c r="V143" s="150"/>
      <c r="W143" s="168"/>
      <c r="X143" s="150"/>
      <c r="Y143" s="466"/>
      <c r="Z143" s="455"/>
      <c r="AA143" s="150"/>
      <c r="AB143" s="490"/>
      <c r="AC143" s="150"/>
      <c r="AD143" s="150"/>
      <c r="AE143" s="466"/>
      <c r="AF143" s="499"/>
      <c r="AG143" s="150"/>
      <c r="AH143" s="150"/>
      <c r="AI143" s="150"/>
      <c r="AJ143" s="150"/>
      <c r="AK143" s="150"/>
      <c r="AL143" s="150"/>
      <c r="AM143" s="150"/>
      <c r="AN143" s="466"/>
      <c r="AO143" s="466"/>
      <c r="AP143" s="150"/>
      <c r="AQ143" s="150"/>
      <c r="AR143" s="151"/>
      <c r="AS143" s="456"/>
      <c r="AT143" s="466"/>
      <c r="AU143" s="150"/>
      <c r="AV143" s="487"/>
      <c r="AW143" s="150"/>
      <c r="AX143" s="150"/>
      <c r="AY143" s="466"/>
      <c r="AZ143" s="466"/>
      <c r="BA143" s="150"/>
      <c r="BB143" s="150"/>
      <c r="BC143" s="466"/>
      <c r="BD143" s="466"/>
      <c r="BE143" s="466"/>
      <c r="BF143" s="466"/>
      <c r="BG143" s="150"/>
      <c r="BH143" s="150"/>
      <c r="BI143" s="150"/>
      <c r="BJ143" s="466"/>
      <c r="BK143" s="152"/>
      <c r="BL143" s="160"/>
      <c r="BM143" s="150"/>
      <c r="BN143" s="466"/>
      <c r="BO143" s="150"/>
      <c r="BP143" s="516"/>
      <c r="BQ143" s="160"/>
      <c r="BR143" s="152"/>
      <c r="BS143" s="160"/>
    </row>
    <row r="144" spans="1:71" x14ac:dyDescent="0.3">
      <c r="A144" s="420">
        <f>DL!A141</f>
        <v>126</v>
      </c>
      <c r="B144" s="16" t="s">
        <v>716</v>
      </c>
      <c r="C144" s="149">
        <f>DL!L141</f>
        <v>120</v>
      </c>
      <c r="D144" s="149">
        <f>DL!C141</f>
        <v>5</v>
      </c>
      <c r="E144" s="150"/>
      <c r="F144" s="463"/>
      <c r="G144" s="150"/>
      <c r="H144" s="150"/>
      <c r="I144" s="466"/>
      <c r="J144" s="150"/>
      <c r="K144" s="168"/>
      <c r="L144" s="466"/>
      <c r="M144" s="150"/>
      <c r="N144" s="466"/>
      <c r="O144" s="150"/>
      <c r="P144" s="150"/>
      <c r="Q144" s="150"/>
      <c r="R144" s="472"/>
      <c r="S144" s="466"/>
      <c r="T144" s="150"/>
      <c r="U144" s="150"/>
      <c r="V144" s="150"/>
      <c r="W144" s="168"/>
      <c r="X144" s="150"/>
      <c r="Y144" s="466"/>
      <c r="Z144" s="455"/>
      <c r="AA144" s="150"/>
      <c r="AB144" s="490"/>
      <c r="AC144" s="150"/>
      <c r="AD144" s="150"/>
      <c r="AE144" s="466"/>
      <c r="AF144" s="499"/>
      <c r="AG144" s="150"/>
      <c r="AH144" s="150"/>
      <c r="AI144" s="150"/>
      <c r="AJ144" s="150"/>
      <c r="AK144" s="150"/>
      <c r="AL144" s="150"/>
      <c r="AM144" s="150"/>
      <c r="AN144" s="466"/>
      <c r="AO144" s="466"/>
      <c r="AP144" s="150"/>
      <c r="AQ144" s="150"/>
      <c r="AR144" s="151"/>
      <c r="AS144" s="456"/>
      <c r="AT144" s="466"/>
      <c r="AU144" s="150"/>
      <c r="AV144" s="487"/>
      <c r="AW144" s="150"/>
      <c r="AX144" s="150"/>
      <c r="AY144" s="466"/>
      <c r="AZ144" s="466"/>
      <c r="BA144" s="150"/>
      <c r="BB144" s="150"/>
      <c r="BC144" s="466"/>
      <c r="BD144" s="466"/>
      <c r="BE144" s="466"/>
      <c r="BF144" s="466"/>
      <c r="BG144" s="150"/>
      <c r="BH144" s="150"/>
      <c r="BI144" s="150"/>
      <c r="BJ144" s="466"/>
      <c r="BK144" s="152"/>
      <c r="BL144" s="160"/>
      <c r="BM144" s="150"/>
      <c r="BN144" s="466"/>
      <c r="BO144" s="150">
        <v>8160</v>
      </c>
      <c r="BP144" s="516"/>
      <c r="BQ144" s="160"/>
      <c r="BR144" s="152"/>
      <c r="BS144" s="160"/>
    </row>
    <row r="145" spans="1:71" x14ac:dyDescent="0.3">
      <c r="A145" s="420">
        <f>DL!A142</f>
        <v>127</v>
      </c>
      <c r="B145" s="16" t="s">
        <v>742</v>
      </c>
      <c r="C145" s="149">
        <f>DL!L142</f>
        <v>900</v>
      </c>
      <c r="D145" s="149" t="str">
        <f>DL!C142</f>
        <v>VIAL</v>
      </c>
      <c r="E145" s="150"/>
      <c r="F145" s="463"/>
      <c r="G145" s="150"/>
      <c r="H145" s="150"/>
      <c r="I145" s="466"/>
      <c r="J145" s="150"/>
      <c r="K145" s="168"/>
      <c r="L145" s="466"/>
      <c r="M145" s="150"/>
      <c r="N145" s="466"/>
      <c r="O145" s="150"/>
      <c r="P145" s="150"/>
      <c r="Q145" s="150"/>
      <c r="R145" s="472"/>
      <c r="S145" s="466"/>
      <c r="T145" s="150">
        <v>2900</v>
      </c>
      <c r="U145" s="150"/>
      <c r="V145" s="150"/>
      <c r="W145" s="168"/>
      <c r="X145" s="150"/>
      <c r="Y145" s="466"/>
      <c r="Z145" s="455"/>
      <c r="AA145" s="150"/>
      <c r="AB145" s="490"/>
      <c r="AC145" s="150"/>
      <c r="AD145" s="150"/>
      <c r="AE145" s="466"/>
      <c r="AF145" s="499"/>
      <c r="AG145" s="150"/>
      <c r="AH145" s="150"/>
      <c r="AI145" s="150"/>
      <c r="AJ145" s="150"/>
      <c r="AK145" s="150"/>
      <c r="AL145" s="150"/>
      <c r="AM145" s="150"/>
      <c r="AN145" s="466"/>
      <c r="AO145" s="466"/>
      <c r="AP145" s="150"/>
      <c r="AQ145" s="150"/>
      <c r="AR145" s="151"/>
      <c r="AS145" s="456"/>
      <c r="AT145" s="466"/>
      <c r="AU145" s="150"/>
      <c r="AV145" s="487"/>
      <c r="AW145" s="150"/>
      <c r="AX145" s="150"/>
      <c r="AY145" s="466"/>
      <c r="AZ145" s="466"/>
      <c r="BA145" s="150"/>
      <c r="BB145" s="150"/>
      <c r="BC145" s="466"/>
      <c r="BD145" s="466"/>
      <c r="BE145" s="466"/>
      <c r="BF145" s="466"/>
      <c r="BG145" s="150"/>
      <c r="BH145" s="150"/>
      <c r="BI145" s="150"/>
      <c r="BJ145" s="466"/>
      <c r="BK145" s="152"/>
      <c r="BL145" s="160"/>
      <c r="BM145" s="150"/>
      <c r="BN145" s="466"/>
      <c r="BO145" s="150">
        <v>2992</v>
      </c>
      <c r="BP145" s="516"/>
      <c r="BQ145" s="160"/>
      <c r="BR145" s="152"/>
      <c r="BS145" s="160"/>
    </row>
    <row r="146" spans="1:71" x14ac:dyDescent="0.3">
      <c r="A146" s="420">
        <f>DL!A143</f>
        <v>128</v>
      </c>
      <c r="B146" s="16" t="s">
        <v>706</v>
      </c>
      <c r="C146" s="149">
        <f>DL!L143</f>
        <v>40</v>
      </c>
      <c r="D146" s="149">
        <f>DL!C143</f>
        <v>5</v>
      </c>
      <c r="E146" s="150"/>
      <c r="F146" s="463"/>
      <c r="G146" s="150"/>
      <c r="H146" s="150"/>
      <c r="I146" s="466"/>
      <c r="J146" s="150"/>
      <c r="K146" s="168"/>
      <c r="L146" s="466"/>
      <c r="M146" s="150"/>
      <c r="N146" s="466"/>
      <c r="O146" s="150"/>
      <c r="P146" s="150"/>
      <c r="Q146" s="150"/>
      <c r="R146" s="472"/>
      <c r="S146" s="466"/>
      <c r="T146" s="150"/>
      <c r="U146" s="150"/>
      <c r="V146" s="150"/>
      <c r="W146" s="168"/>
      <c r="X146" s="150"/>
      <c r="Y146" s="466"/>
      <c r="Z146" s="455"/>
      <c r="AA146" s="150"/>
      <c r="AB146" s="490"/>
      <c r="AC146" s="150"/>
      <c r="AD146" s="150"/>
      <c r="AE146" s="466"/>
      <c r="AF146" s="499"/>
      <c r="AG146" s="150"/>
      <c r="AH146" s="150"/>
      <c r="AI146" s="150"/>
      <c r="AJ146" s="150"/>
      <c r="AK146" s="150"/>
      <c r="AL146" s="150"/>
      <c r="AM146" s="150"/>
      <c r="AN146" s="466"/>
      <c r="AO146" s="466"/>
      <c r="AP146" s="150"/>
      <c r="AQ146" s="150"/>
      <c r="AR146" s="151"/>
      <c r="AS146" s="456"/>
      <c r="AT146" s="466"/>
      <c r="AU146" s="150"/>
      <c r="AV146" s="487"/>
      <c r="AW146" s="150"/>
      <c r="AX146" s="150"/>
      <c r="AY146" s="466"/>
      <c r="AZ146" s="466"/>
      <c r="BA146" s="150"/>
      <c r="BB146" s="150"/>
      <c r="BC146" s="466"/>
      <c r="BD146" s="466"/>
      <c r="BE146" s="466"/>
      <c r="BF146" s="466"/>
      <c r="BG146" s="150"/>
      <c r="BH146" s="150"/>
      <c r="BI146" s="150"/>
      <c r="BJ146" s="466"/>
      <c r="BK146" s="152"/>
      <c r="BL146" s="160"/>
      <c r="BM146" s="150"/>
      <c r="BN146" s="466"/>
      <c r="BO146" s="150">
        <v>14076</v>
      </c>
      <c r="BP146" s="516"/>
      <c r="BQ146" s="160"/>
      <c r="BR146" s="152"/>
      <c r="BS146" s="160"/>
    </row>
    <row r="147" spans="1:71" x14ac:dyDescent="0.3">
      <c r="A147" s="420">
        <f>DL!A144</f>
        <v>129</v>
      </c>
      <c r="B147" s="16" t="s">
        <v>435</v>
      </c>
      <c r="C147" s="149">
        <f>DL!L144</f>
        <v>50</v>
      </c>
      <c r="D147" s="149">
        <f>DL!C144</f>
        <v>5</v>
      </c>
      <c r="E147" s="150"/>
      <c r="F147" s="463"/>
      <c r="G147" s="150"/>
      <c r="H147" s="150"/>
      <c r="I147" s="468">
        <v>14600</v>
      </c>
      <c r="J147" s="150"/>
      <c r="K147" s="168"/>
      <c r="L147" s="466"/>
      <c r="M147" s="150"/>
      <c r="N147" s="466"/>
      <c r="O147" s="150"/>
      <c r="P147" s="150"/>
      <c r="Q147" s="150"/>
      <c r="R147" s="472"/>
      <c r="S147" s="466"/>
      <c r="T147" s="150"/>
      <c r="U147" s="150"/>
      <c r="V147" s="150"/>
      <c r="W147" s="168"/>
      <c r="X147" s="150"/>
      <c r="Y147" s="466"/>
      <c r="Z147" s="455"/>
      <c r="AA147" s="150"/>
      <c r="AB147" s="662">
        <f>5*2500</f>
        <v>12500</v>
      </c>
      <c r="AC147" s="150"/>
      <c r="AD147" s="150"/>
      <c r="AE147" s="466"/>
      <c r="AF147" s="499"/>
      <c r="AG147" s="150"/>
      <c r="AH147" s="150"/>
      <c r="AI147" s="150"/>
      <c r="AJ147" s="150"/>
      <c r="AK147" s="150"/>
      <c r="AL147" s="150"/>
      <c r="AM147" s="150"/>
      <c r="AN147" s="466"/>
      <c r="AO147" s="466"/>
      <c r="AP147" s="150"/>
      <c r="AQ147" s="150"/>
      <c r="AR147" s="151"/>
      <c r="AS147" s="456"/>
      <c r="AT147" s="466"/>
      <c r="AU147" s="150"/>
      <c r="AV147" s="487"/>
      <c r="AW147" s="150"/>
      <c r="AX147" s="150"/>
      <c r="AY147" s="466"/>
      <c r="AZ147" s="466"/>
      <c r="BA147" s="150"/>
      <c r="BB147" s="150"/>
      <c r="BC147" s="466"/>
      <c r="BD147" s="466"/>
      <c r="BE147" s="466"/>
      <c r="BF147" s="466"/>
      <c r="BG147" s="150"/>
      <c r="BH147" s="150"/>
      <c r="BI147" s="150"/>
      <c r="BJ147" s="466"/>
      <c r="BK147" s="152"/>
      <c r="BL147" s="160"/>
      <c r="BM147" s="150"/>
      <c r="BN147" s="466"/>
      <c r="BO147" s="150">
        <v>14600</v>
      </c>
      <c r="BP147" s="516"/>
      <c r="BQ147" s="160"/>
      <c r="BR147" s="152"/>
      <c r="BS147" s="160"/>
    </row>
    <row r="148" spans="1:71" x14ac:dyDescent="0.3">
      <c r="A148" s="420">
        <f>DL!A145</f>
        <v>130</v>
      </c>
      <c r="B148" s="16" t="s">
        <v>83</v>
      </c>
      <c r="C148" s="149">
        <f>DL!L145</f>
        <v>20</v>
      </c>
      <c r="D148" s="149">
        <f>DL!C145</f>
        <v>5</v>
      </c>
      <c r="E148" s="150"/>
      <c r="F148" s="463"/>
      <c r="G148" s="150"/>
      <c r="H148" s="150"/>
      <c r="I148" s="468">
        <v>10000</v>
      </c>
      <c r="J148" s="150"/>
      <c r="K148" s="168"/>
      <c r="L148" s="466"/>
      <c r="M148" s="150"/>
      <c r="N148" s="466"/>
      <c r="O148" s="150"/>
      <c r="P148" s="150"/>
      <c r="Q148" s="150"/>
      <c r="R148" s="472"/>
      <c r="S148" s="466"/>
      <c r="T148" s="150"/>
      <c r="U148" s="150"/>
      <c r="V148" s="150"/>
      <c r="W148" s="168"/>
      <c r="X148" s="150"/>
      <c r="Y148" s="466"/>
      <c r="Z148" s="455"/>
      <c r="AA148" s="150"/>
      <c r="AB148" s="490"/>
      <c r="AC148" s="150"/>
      <c r="AD148" s="150"/>
      <c r="AE148" s="466"/>
      <c r="AF148" s="499"/>
      <c r="AG148" s="150"/>
      <c r="AH148" s="150"/>
      <c r="AI148" s="150"/>
      <c r="AJ148" s="150"/>
      <c r="AK148" s="150"/>
      <c r="AL148" s="150"/>
      <c r="AM148" s="150"/>
      <c r="AN148" s="466"/>
      <c r="AO148" s="466"/>
      <c r="AP148" s="150"/>
      <c r="AQ148" s="150"/>
      <c r="AR148" s="151"/>
      <c r="AS148" s="456"/>
      <c r="AT148" s="466"/>
      <c r="AU148" s="150"/>
      <c r="AV148" s="487"/>
      <c r="AW148" s="150"/>
      <c r="AX148" s="150"/>
      <c r="AY148" s="466"/>
      <c r="AZ148" s="466"/>
      <c r="BA148" s="150"/>
      <c r="BB148" s="150"/>
      <c r="BC148" s="466"/>
      <c r="BD148" s="466"/>
      <c r="BE148" s="466"/>
      <c r="BF148" s="466"/>
      <c r="BG148" s="150"/>
      <c r="BH148" s="150"/>
      <c r="BI148" s="150"/>
      <c r="BJ148" s="466"/>
      <c r="BK148" s="152"/>
      <c r="BL148" s="160"/>
      <c r="BM148" s="150"/>
      <c r="BN148" s="466"/>
      <c r="BO148" s="150"/>
      <c r="BP148" s="516"/>
      <c r="BQ148" s="160"/>
      <c r="BR148" s="152"/>
      <c r="BS148" s="160"/>
    </row>
    <row r="149" spans="1:71" x14ac:dyDescent="0.3">
      <c r="A149" s="420">
        <f>DL!A146</f>
        <v>131</v>
      </c>
      <c r="B149" s="16" t="s">
        <v>1280</v>
      </c>
      <c r="C149" s="149">
        <f>DL!L146</f>
        <v>200</v>
      </c>
      <c r="D149" s="149">
        <f>DL!C146</f>
        <v>100</v>
      </c>
      <c r="E149" s="150"/>
      <c r="F149" s="463"/>
      <c r="G149" s="150"/>
      <c r="H149" s="150"/>
      <c r="I149" s="466"/>
      <c r="J149" s="150"/>
      <c r="K149" s="168">
        <v>1500</v>
      </c>
      <c r="L149" s="466"/>
      <c r="M149" s="150"/>
      <c r="N149" s="466"/>
      <c r="O149" s="150"/>
      <c r="P149" s="150"/>
      <c r="Q149" s="150"/>
      <c r="R149" s="472"/>
      <c r="S149" s="466"/>
      <c r="T149" s="150"/>
      <c r="U149" s="150"/>
      <c r="V149" s="150"/>
      <c r="W149" s="168"/>
      <c r="X149" s="150"/>
      <c r="Y149" s="466"/>
      <c r="Z149" s="455"/>
      <c r="AA149" s="150"/>
      <c r="AB149" s="490"/>
      <c r="AC149" s="150"/>
      <c r="AD149" s="150"/>
      <c r="AE149" s="466"/>
      <c r="AF149" s="499"/>
      <c r="AG149" s="150"/>
      <c r="AH149" s="150"/>
      <c r="AI149" s="150"/>
      <c r="AJ149" s="150"/>
      <c r="AK149" s="150"/>
      <c r="AL149" s="150"/>
      <c r="AM149" s="150"/>
      <c r="AN149" s="467">
        <v>3300</v>
      </c>
      <c r="AO149" s="466">
        <v>550</v>
      </c>
      <c r="AP149" s="150"/>
      <c r="AQ149" s="150"/>
      <c r="AR149" s="151"/>
      <c r="AS149" s="456"/>
      <c r="AT149" s="466"/>
      <c r="AU149" s="150"/>
      <c r="AV149" s="487"/>
      <c r="AW149" s="150"/>
      <c r="AX149" s="150"/>
      <c r="AY149" s="466"/>
      <c r="AZ149" s="466"/>
      <c r="BA149" s="159">
        <f>1150/30*100</f>
        <v>3833.3333333333335</v>
      </c>
      <c r="BB149" s="150"/>
      <c r="BC149" s="466"/>
      <c r="BD149" s="466"/>
      <c r="BE149" s="466"/>
      <c r="BF149" s="466"/>
      <c r="BG149" s="150"/>
      <c r="BH149" s="150"/>
      <c r="BI149" s="150"/>
      <c r="BJ149" s="466"/>
      <c r="BK149" s="152"/>
      <c r="BL149" s="160"/>
      <c r="BM149" s="150"/>
      <c r="BN149" s="466"/>
      <c r="BO149" s="150"/>
      <c r="BP149" s="516">
        <v>2300</v>
      </c>
      <c r="BQ149" s="160"/>
      <c r="BR149" s="152"/>
      <c r="BS149" s="160"/>
    </row>
    <row r="150" spans="1:71" x14ac:dyDescent="0.3">
      <c r="A150" s="420">
        <f>DL!A147</f>
        <v>132</v>
      </c>
      <c r="B150" s="16" t="s">
        <v>1281</v>
      </c>
      <c r="C150" s="149">
        <f>DL!L147</f>
        <v>200</v>
      </c>
      <c r="D150" s="149">
        <f>DL!C147</f>
        <v>100</v>
      </c>
      <c r="E150" s="150"/>
      <c r="F150" s="463"/>
      <c r="G150" s="150"/>
      <c r="H150" s="150"/>
      <c r="I150" s="466"/>
      <c r="J150" s="150"/>
      <c r="K150" s="168">
        <v>650</v>
      </c>
      <c r="L150" s="466"/>
      <c r="M150" s="150"/>
      <c r="N150" s="466"/>
      <c r="O150" s="150"/>
      <c r="P150" s="150"/>
      <c r="Q150" s="150"/>
      <c r="R150" s="472"/>
      <c r="S150" s="466"/>
      <c r="T150" s="159"/>
      <c r="U150" s="150"/>
      <c r="V150" s="150"/>
      <c r="W150" s="168"/>
      <c r="X150" s="150"/>
      <c r="Y150" s="466"/>
      <c r="Z150" s="455"/>
      <c r="AA150" s="150"/>
      <c r="AB150" s="490"/>
      <c r="AC150" s="150"/>
      <c r="AD150" s="150"/>
      <c r="AE150" s="466"/>
      <c r="AF150" s="499"/>
      <c r="AG150" s="150"/>
      <c r="AH150" s="150"/>
      <c r="AI150" s="150"/>
      <c r="AJ150" s="150"/>
      <c r="AK150" s="150"/>
      <c r="AL150" s="150"/>
      <c r="AM150" s="150"/>
      <c r="AN150" s="467">
        <v>1800</v>
      </c>
      <c r="AO150" s="466">
        <v>375</v>
      </c>
      <c r="AP150" s="150"/>
      <c r="AQ150" s="150"/>
      <c r="AR150" s="150">
        <f>650/140*100</f>
        <v>464.28571428571433</v>
      </c>
      <c r="AS150" s="456"/>
      <c r="AT150" s="466"/>
      <c r="AU150" s="150"/>
      <c r="AV150" s="487"/>
      <c r="AW150" s="150"/>
      <c r="AX150" s="150"/>
      <c r="AY150" s="466"/>
      <c r="AZ150" s="466"/>
      <c r="BA150" s="150"/>
      <c r="BB150" s="150"/>
      <c r="BC150" s="466"/>
      <c r="BD150" s="466"/>
      <c r="BE150" s="466"/>
      <c r="BF150" s="466"/>
      <c r="BG150" s="150"/>
      <c r="BH150" s="150"/>
      <c r="BI150" s="150"/>
      <c r="BJ150" s="466"/>
      <c r="BK150" s="152"/>
      <c r="BL150" s="160"/>
      <c r="BM150" s="150"/>
      <c r="BN150" s="466"/>
      <c r="BO150" s="150"/>
      <c r="BP150" s="516">
        <v>1500</v>
      </c>
      <c r="BQ150" s="160"/>
      <c r="BR150" s="152"/>
      <c r="BS150" s="160"/>
    </row>
    <row r="151" spans="1:71" x14ac:dyDescent="0.3">
      <c r="A151" s="420">
        <f>DL!A148</f>
        <v>133</v>
      </c>
      <c r="B151" s="16" t="s">
        <v>84</v>
      </c>
      <c r="C151" s="149">
        <v>2000</v>
      </c>
      <c r="D151" s="149">
        <f>DL!C148</f>
        <v>100</v>
      </c>
      <c r="E151" s="150"/>
      <c r="F151" s="463"/>
      <c r="G151" s="150"/>
      <c r="H151" s="150"/>
      <c r="I151" s="466"/>
      <c r="J151" s="150"/>
      <c r="K151" s="168"/>
      <c r="L151" s="466"/>
      <c r="M151" s="150"/>
      <c r="N151" s="466"/>
      <c r="O151" s="150"/>
      <c r="P151" s="150"/>
      <c r="Q151" s="150"/>
      <c r="R151" s="472"/>
      <c r="S151" s="466">
        <v>2500</v>
      </c>
      <c r="T151" s="150"/>
      <c r="U151" s="150"/>
      <c r="V151" s="150"/>
      <c r="W151" s="168"/>
      <c r="X151" s="150"/>
      <c r="Y151" s="466"/>
      <c r="Z151" s="455"/>
      <c r="AA151" s="150"/>
      <c r="AB151" s="490"/>
      <c r="AC151" s="150"/>
      <c r="AD151" s="150"/>
      <c r="AE151" s="466"/>
      <c r="AF151" s="499"/>
      <c r="AG151" s="150"/>
      <c r="AH151" s="150"/>
      <c r="AI151" s="150"/>
      <c r="AJ151" s="150"/>
      <c r="AK151" s="150"/>
      <c r="AL151" s="150"/>
      <c r="AM151" s="150"/>
      <c r="AN151" s="466"/>
      <c r="AO151" s="466"/>
      <c r="AP151" s="150"/>
      <c r="AQ151" s="150"/>
      <c r="AR151" s="151"/>
      <c r="AS151" s="456"/>
      <c r="AT151" s="466"/>
      <c r="AU151" s="159"/>
      <c r="AV151" s="487"/>
      <c r="AW151" s="150"/>
      <c r="AX151" s="150"/>
      <c r="AY151" s="466"/>
      <c r="AZ151" s="466"/>
      <c r="BA151" s="150"/>
      <c r="BB151" s="150"/>
      <c r="BC151" s="466"/>
      <c r="BD151" s="466"/>
      <c r="BE151" s="466"/>
      <c r="BF151" s="510">
        <f>910.04/30*100</f>
        <v>3033.4666666666667</v>
      </c>
      <c r="BG151" s="150"/>
      <c r="BH151" s="159">
        <f>2648/90*100</f>
        <v>2942.2222222222222</v>
      </c>
      <c r="BI151" s="150"/>
      <c r="BJ151" s="466"/>
      <c r="BK151" s="152"/>
      <c r="BL151" s="160"/>
      <c r="BM151" s="150"/>
      <c r="BN151" s="466"/>
      <c r="BO151" s="150"/>
      <c r="BP151" s="516">
        <v>2300</v>
      </c>
      <c r="BQ151" s="160"/>
      <c r="BR151" s="152"/>
      <c r="BS151" s="160"/>
    </row>
    <row r="152" spans="1:71" x14ac:dyDescent="0.3">
      <c r="A152" s="420">
        <f>DL!A149</f>
        <v>134</v>
      </c>
      <c r="B152" s="16" t="s">
        <v>85</v>
      </c>
      <c r="C152" s="149">
        <f>DL!L149</f>
        <v>2500</v>
      </c>
      <c r="D152" s="149">
        <f>DL!C149</f>
        <v>100</v>
      </c>
      <c r="E152" s="150"/>
      <c r="F152" s="463"/>
      <c r="G152" s="150"/>
      <c r="H152" s="150"/>
      <c r="I152" s="466"/>
      <c r="J152" s="150"/>
      <c r="K152" s="168">
        <v>400</v>
      </c>
      <c r="L152" s="466"/>
      <c r="M152" s="150"/>
      <c r="N152" s="466"/>
      <c r="O152" s="150"/>
      <c r="P152" s="150"/>
      <c r="Q152" s="150"/>
      <c r="R152" s="473">
        <v>615.38</v>
      </c>
      <c r="S152" s="466">
        <v>380</v>
      </c>
      <c r="T152" s="150"/>
      <c r="U152" s="150"/>
      <c r="V152" s="150"/>
      <c r="W152" s="168"/>
      <c r="X152" s="150"/>
      <c r="Y152" s="466"/>
      <c r="Z152" s="455"/>
      <c r="AA152" s="159">
        <f>450/84*100</f>
        <v>535.71428571428567</v>
      </c>
      <c r="AB152" s="490"/>
      <c r="AC152" s="150"/>
      <c r="AD152" s="150"/>
      <c r="AE152" s="466"/>
      <c r="AF152" s="499"/>
      <c r="AG152" s="150"/>
      <c r="AH152" s="150"/>
      <c r="AI152" s="150">
        <v>498.5</v>
      </c>
      <c r="AJ152" s="150"/>
      <c r="AK152" s="150">
        <v>464.65</v>
      </c>
      <c r="AL152" s="150"/>
      <c r="AM152" s="150"/>
      <c r="AN152" s="466"/>
      <c r="AO152" s="466"/>
      <c r="AP152" s="150"/>
      <c r="AQ152" s="150"/>
      <c r="AR152" s="151"/>
      <c r="AS152" s="456"/>
      <c r="AT152" s="466"/>
      <c r="AU152" s="150"/>
      <c r="AV152" s="487"/>
      <c r="AW152" s="150"/>
      <c r="AX152" s="150">
        <v>450</v>
      </c>
      <c r="AY152" s="466"/>
      <c r="AZ152" s="466"/>
      <c r="BA152" s="150"/>
      <c r="BB152" s="150"/>
      <c r="BC152" s="466"/>
      <c r="BD152" s="466">
        <v>490</v>
      </c>
      <c r="BE152" s="510">
        <f>400/84*100</f>
        <v>476.1904761904762</v>
      </c>
      <c r="BF152" s="510">
        <f>531.42/84*100</f>
        <v>632.64285714285711</v>
      </c>
      <c r="BG152" s="150"/>
      <c r="BH152" s="159">
        <f>2660/90*100</f>
        <v>2955.5555555555557</v>
      </c>
      <c r="BI152" s="150"/>
      <c r="BJ152" s="466">
        <v>400</v>
      </c>
      <c r="BK152" s="152"/>
      <c r="BL152" s="160"/>
      <c r="BM152" s="150">
        <v>550</v>
      </c>
      <c r="BN152" s="466">
        <v>500</v>
      </c>
      <c r="BO152" s="150"/>
      <c r="BP152" s="516"/>
      <c r="BQ152" s="160"/>
      <c r="BR152" s="152"/>
      <c r="BS152" s="160"/>
    </row>
    <row r="153" spans="1:71" x14ac:dyDescent="0.3">
      <c r="A153" s="420">
        <f>DL!A150</f>
        <v>135</v>
      </c>
      <c r="B153" s="16" t="s">
        <v>436</v>
      </c>
      <c r="C153" s="149">
        <f>DL!L150</f>
        <v>80</v>
      </c>
      <c r="D153" s="149">
        <f>DL!C150</f>
        <v>5</v>
      </c>
      <c r="E153" s="150"/>
      <c r="F153" s="463"/>
      <c r="G153" s="150"/>
      <c r="H153" s="150"/>
      <c r="I153" s="466"/>
      <c r="J153" s="150"/>
      <c r="K153" s="168"/>
      <c r="L153" s="466"/>
      <c r="M153" s="150"/>
      <c r="N153" s="466"/>
      <c r="O153" s="150"/>
      <c r="P153" s="150"/>
      <c r="Q153" s="150"/>
      <c r="R153" s="472"/>
      <c r="S153" s="466">
        <v>20000</v>
      </c>
      <c r="T153" s="150"/>
      <c r="U153" s="150"/>
      <c r="V153" s="150"/>
      <c r="W153" s="168"/>
      <c r="X153" s="150"/>
      <c r="Y153" s="466"/>
      <c r="Z153" s="455"/>
      <c r="AA153" s="150"/>
      <c r="AB153" s="490"/>
      <c r="AC153" s="150"/>
      <c r="AD153" s="150"/>
      <c r="AE153" s="466"/>
      <c r="AF153" s="499"/>
      <c r="AG153" s="150"/>
      <c r="AH153" s="150"/>
      <c r="AI153" s="150"/>
      <c r="AJ153" s="150"/>
      <c r="AK153" s="150"/>
      <c r="AL153" s="150"/>
      <c r="AM153" s="150"/>
      <c r="AN153" s="466"/>
      <c r="AO153" s="466"/>
      <c r="AP153" s="150"/>
      <c r="AQ153" s="150"/>
      <c r="AR153" s="151"/>
      <c r="AS153" s="456"/>
      <c r="AT153" s="466"/>
      <c r="AU153" s="150"/>
      <c r="AV153" s="487"/>
      <c r="AW153" s="150"/>
      <c r="AX153" s="150"/>
      <c r="AY153" s="466"/>
      <c r="AZ153" s="466"/>
      <c r="BA153" s="150"/>
      <c r="BB153" s="150"/>
      <c r="BC153" s="466"/>
      <c r="BD153" s="466"/>
      <c r="BE153" s="466"/>
      <c r="BF153" s="466"/>
      <c r="BG153" s="150"/>
      <c r="BH153" s="150"/>
      <c r="BI153" s="150"/>
      <c r="BJ153" s="466"/>
      <c r="BK153" s="152"/>
      <c r="BL153" s="160"/>
      <c r="BM153" s="150"/>
      <c r="BN153" s="466"/>
      <c r="BO153" s="150">
        <v>16524</v>
      </c>
      <c r="BP153" s="516"/>
      <c r="BQ153" s="160"/>
      <c r="BR153" s="152"/>
      <c r="BS153" s="160"/>
    </row>
    <row r="154" spans="1:71" x14ac:dyDescent="0.3">
      <c r="A154" s="420">
        <f>DL!A151</f>
        <v>136</v>
      </c>
      <c r="B154" s="16" t="s">
        <v>683</v>
      </c>
      <c r="C154" s="149">
        <f>DL!L151</f>
        <v>10</v>
      </c>
      <c r="D154" s="149">
        <f>DL!C151</f>
        <v>30</v>
      </c>
      <c r="E154" s="150"/>
      <c r="F154" s="463"/>
      <c r="G154" s="150"/>
      <c r="H154" s="150"/>
      <c r="I154" s="466"/>
      <c r="J154" s="150"/>
      <c r="K154" s="168"/>
      <c r="L154" s="466"/>
      <c r="M154" s="150"/>
      <c r="N154" s="466"/>
      <c r="O154" s="150"/>
      <c r="P154" s="150"/>
      <c r="Q154" s="150"/>
      <c r="R154" s="472"/>
      <c r="S154" s="466"/>
      <c r="T154" s="150"/>
      <c r="U154" s="150"/>
      <c r="V154" s="150"/>
      <c r="W154" s="168"/>
      <c r="X154" s="150"/>
      <c r="Y154" s="466"/>
      <c r="Z154" s="455"/>
      <c r="AA154" s="150"/>
      <c r="AB154" s="490"/>
      <c r="AC154" s="150"/>
      <c r="AD154" s="150"/>
      <c r="AE154" s="466"/>
      <c r="AF154" s="499"/>
      <c r="AG154" s="150"/>
      <c r="AH154" s="150"/>
      <c r="AI154" s="150"/>
      <c r="AJ154" s="150"/>
      <c r="AK154" s="150"/>
      <c r="AL154" s="150"/>
      <c r="AM154" s="150"/>
      <c r="AN154" s="466"/>
      <c r="AO154" s="466">
        <v>2095</v>
      </c>
      <c r="AP154" s="150"/>
      <c r="AQ154" s="150"/>
      <c r="AR154" s="151"/>
      <c r="AS154" s="456"/>
      <c r="AT154" s="466"/>
      <c r="AU154" s="159"/>
      <c r="AV154" s="487"/>
      <c r="AW154" s="150"/>
      <c r="AX154" s="150"/>
      <c r="AY154" s="466"/>
      <c r="AZ154" s="466"/>
      <c r="BA154" s="150"/>
      <c r="BB154" s="150"/>
      <c r="BC154" s="466"/>
      <c r="BD154" s="466"/>
      <c r="BE154" s="466"/>
      <c r="BF154" s="466"/>
      <c r="BG154" s="150"/>
      <c r="BH154" s="150"/>
      <c r="BI154" s="150"/>
      <c r="BJ154" s="466"/>
      <c r="BK154" s="152"/>
      <c r="BL154" s="160"/>
      <c r="BM154" s="150"/>
      <c r="BN154" s="466"/>
      <c r="BO154" s="150"/>
      <c r="BP154" s="516"/>
      <c r="BQ154" s="160"/>
      <c r="BR154" s="152"/>
      <c r="BS154" s="160"/>
    </row>
    <row r="155" spans="1:71" x14ac:dyDescent="0.3">
      <c r="A155" s="420">
        <f>DL!A152</f>
        <v>137</v>
      </c>
      <c r="B155" s="16" t="s">
        <v>715</v>
      </c>
      <c r="C155" s="149">
        <f>DL!L152</f>
        <v>100</v>
      </c>
      <c r="D155" s="149">
        <f>DL!C152</f>
        <v>5</v>
      </c>
      <c r="E155" s="150"/>
      <c r="F155" s="463"/>
      <c r="G155" s="150"/>
      <c r="H155" s="150"/>
      <c r="I155" s="468">
        <v>6000</v>
      </c>
      <c r="J155" s="150"/>
      <c r="K155" s="168"/>
      <c r="L155" s="466"/>
      <c r="M155" s="150"/>
      <c r="N155" s="466"/>
      <c r="O155" s="150"/>
      <c r="P155" s="150"/>
      <c r="Q155" s="150"/>
      <c r="R155" s="472"/>
      <c r="S155" s="466"/>
      <c r="T155" s="150"/>
      <c r="U155" s="150"/>
      <c r="V155" s="150"/>
      <c r="W155" s="168"/>
      <c r="X155" s="150"/>
      <c r="Y155" s="466"/>
      <c r="Z155" s="455"/>
      <c r="AA155" s="150"/>
      <c r="AB155" s="490"/>
      <c r="AC155" s="150"/>
      <c r="AD155" s="150"/>
      <c r="AE155" s="466"/>
      <c r="AF155" s="499"/>
      <c r="AG155" s="150"/>
      <c r="AH155" s="150"/>
      <c r="AI155" s="150"/>
      <c r="AJ155" s="150"/>
      <c r="AK155" s="150"/>
      <c r="AL155" s="150"/>
      <c r="AM155" s="150"/>
      <c r="AN155" s="466"/>
      <c r="AO155" s="466"/>
      <c r="AP155" s="150"/>
      <c r="AQ155" s="150"/>
      <c r="AR155" s="151"/>
      <c r="AS155" s="456"/>
      <c r="AT155" s="466"/>
      <c r="AU155" s="150"/>
      <c r="AV155" s="487"/>
      <c r="AW155" s="150"/>
      <c r="AX155" s="150"/>
      <c r="AY155" s="466"/>
      <c r="AZ155" s="466"/>
      <c r="BA155" s="150"/>
      <c r="BB155" s="150"/>
      <c r="BC155" s="466"/>
      <c r="BD155" s="466"/>
      <c r="BE155" s="466"/>
      <c r="BF155" s="466"/>
      <c r="BG155" s="150"/>
      <c r="BH155" s="150"/>
      <c r="BI155" s="150"/>
      <c r="BJ155" s="466"/>
      <c r="BK155" s="152"/>
      <c r="BL155" s="160"/>
      <c r="BM155" s="150"/>
      <c r="BN155" s="466"/>
      <c r="BO155" s="150">
        <v>8160</v>
      </c>
      <c r="BP155" s="516"/>
      <c r="BQ155" s="160"/>
      <c r="BR155" s="152"/>
      <c r="BS155" s="160"/>
    </row>
    <row r="156" spans="1:71" x14ac:dyDescent="0.3">
      <c r="A156" s="420">
        <f>DL!A153</f>
        <v>138</v>
      </c>
      <c r="B156" s="16" t="s">
        <v>743</v>
      </c>
      <c r="C156" s="149">
        <f>DL!L153</f>
        <v>600</v>
      </c>
      <c r="D156" s="149" t="str">
        <f>DL!C153</f>
        <v>VIAL</v>
      </c>
      <c r="E156" s="150"/>
      <c r="F156" s="463"/>
      <c r="G156" s="150"/>
      <c r="H156" s="150"/>
      <c r="I156" s="466"/>
      <c r="J156" s="150"/>
      <c r="K156" s="168"/>
      <c r="L156" s="466"/>
      <c r="M156" s="150"/>
      <c r="N156" s="466"/>
      <c r="O156" s="150"/>
      <c r="P156" s="150"/>
      <c r="Q156" s="150"/>
      <c r="R156" s="472"/>
      <c r="S156" s="466"/>
      <c r="T156" s="150">
        <v>2900</v>
      </c>
      <c r="U156" s="150"/>
      <c r="V156" s="150"/>
      <c r="W156" s="168"/>
      <c r="X156" s="150"/>
      <c r="Y156" s="466"/>
      <c r="Z156" s="455"/>
      <c r="AA156" s="150"/>
      <c r="AB156" s="490"/>
      <c r="AC156" s="150"/>
      <c r="AD156" s="150"/>
      <c r="AE156" s="466"/>
      <c r="AF156" s="499"/>
      <c r="AG156" s="150"/>
      <c r="AH156" s="150"/>
      <c r="AI156" s="150"/>
      <c r="AJ156" s="150"/>
      <c r="AK156" s="150"/>
      <c r="AL156" s="150"/>
      <c r="AM156" s="150"/>
      <c r="AN156" s="466"/>
      <c r="AO156" s="466"/>
      <c r="AP156" s="150"/>
      <c r="AQ156" s="150"/>
      <c r="AR156" s="151"/>
      <c r="AS156" s="456"/>
      <c r="AT156" s="466"/>
      <c r="AU156" s="150"/>
      <c r="AV156" s="487"/>
      <c r="AW156" s="150"/>
      <c r="AX156" s="150"/>
      <c r="AY156" s="466"/>
      <c r="AZ156" s="466"/>
      <c r="BA156" s="150"/>
      <c r="BB156" s="150"/>
      <c r="BC156" s="466"/>
      <c r="BD156" s="466"/>
      <c r="BE156" s="466"/>
      <c r="BF156" s="466"/>
      <c r="BG156" s="150"/>
      <c r="BH156" s="150"/>
      <c r="BI156" s="150"/>
      <c r="BJ156" s="466"/>
      <c r="BK156" s="152"/>
      <c r="BL156" s="160"/>
      <c r="BM156" s="150"/>
      <c r="BN156" s="466"/>
      <c r="BO156" s="150">
        <v>2992</v>
      </c>
      <c r="BP156" s="516"/>
      <c r="BQ156" s="160"/>
      <c r="BR156" s="152"/>
      <c r="BS156" s="160"/>
    </row>
    <row r="157" spans="1:71" x14ac:dyDescent="0.3">
      <c r="A157" s="420">
        <f>DL!A154</f>
        <v>139</v>
      </c>
      <c r="B157" s="16" t="s">
        <v>86</v>
      </c>
      <c r="C157" s="149">
        <f>DL!L154</f>
        <v>100</v>
      </c>
      <c r="D157" s="149">
        <f>DL!C154</f>
        <v>28</v>
      </c>
      <c r="E157" s="150"/>
      <c r="F157" s="463"/>
      <c r="G157" s="150"/>
      <c r="H157" s="150"/>
      <c r="I157" s="466"/>
      <c r="J157" s="150"/>
      <c r="K157" s="168"/>
      <c r="L157" s="466"/>
      <c r="M157" s="150"/>
      <c r="N157" s="466"/>
      <c r="O157" s="150"/>
      <c r="P157" s="150"/>
      <c r="Q157" s="150"/>
      <c r="R157" s="472"/>
      <c r="S157" s="466">
        <v>4500</v>
      </c>
      <c r="T157" s="150"/>
      <c r="U157" s="150"/>
      <c r="V157" s="150"/>
      <c r="W157" s="168"/>
      <c r="X157" s="150"/>
      <c r="Y157" s="466"/>
      <c r="Z157" s="455"/>
      <c r="AA157" s="150"/>
      <c r="AB157" s="490"/>
      <c r="AC157" s="150"/>
      <c r="AD157" s="150"/>
      <c r="AE157" s="466"/>
      <c r="AF157" s="499"/>
      <c r="AG157" s="150"/>
      <c r="AH157" s="150"/>
      <c r="AI157" s="150"/>
      <c r="AJ157" s="150"/>
      <c r="AK157" s="150"/>
      <c r="AL157" s="150"/>
      <c r="AM157" s="150"/>
      <c r="AN157" s="466"/>
      <c r="AO157" s="466"/>
      <c r="AP157" s="150"/>
      <c r="AQ157" s="150"/>
      <c r="AR157" s="151"/>
      <c r="AS157" s="456"/>
      <c r="AT157" s="466"/>
      <c r="AU157" s="150"/>
      <c r="AV157" s="487"/>
      <c r="AW157" s="150"/>
      <c r="AX157" s="150"/>
      <c r="AY157" s="466"/>
      <c r="AZ157" s="466"/>
      <c r="BA157" s="150"/>
      <c r="BB157" s="150"/>
      <c r="BC157" s="466"/>
      <c r="BD157" s="466"/>
      <c r="BE157" s="466"/>
      <c r="BF157" s="466"/>
      <c r="BG157" s="150"/>
      <c r="BH157" s="150"/>
      <c r="BI157" s="150"/>
      <c r="BJ157" s="466"/>
      <c r="BK157" s="152"/>
      <c r="BL157" s="160"/>
      <c r="BM157" s="150"/>
      <c r="BN157" s="466"/>
      <c r="BO157" s="150">
        <v>4803</v>
      </c>
      <c r="BP157" s="516"/>
      <c r="BQ157" s="160"/>
      <c r="BR157" s="152"/>
      <c r="BS157" s="160"/>
    </row>
    <row r="158" spans="1:71" x14ac:dyDescent="0.3">
      <c r="A158" s="420">
        <f>DL!A155</f>
        <v>140</v>
      </c>
      <c r="B158" s="16" t="s">
        <v>1282</v>
      </c>
      <c r="C158" s="149">
        <f>DL!L155</f>
        <v>100</v>
      </c>
      <c r="D158" s="149">
        <f>DL!C155</f>
        <v>60</v>
      </c>
      <c r="E158" s="150"/>
      <c r="F158" s="463"/>
      <c r="G158" s="150"/>
      <c r="H158" s="150"/>
      <c r="I158" s="466"/>
      <c r="J158" s="150"/>
      <c r="K158" s="168"/>
      <c r="L158" s="466"/>
      <c r="M158" s="150"/>
      <c r="N158" s="466"/>
      <c r="O158" s="150"/>
      <c r="P158" s="150"/>
      <c r="Q158" s="150"/>
      <c r="R158" s="472"/>
      <c r="S158" s="466">
        <v>9500</v>
      </c>
      <c r="T158" s="150"/>
      <c r="U158" s="150"/>
      <c r="V158" s="150"/>
      <c r="W158" s="168"/>
      <c r="X158" s="150"/>
      <c r="Y158" s="466"/>
      <c r="Z158" s="455"/>
      <c r="AA158" s="150"/>
      <c r="AB158" s="490"/>
      <c r="AC158" s="150"/>
      <c r="AD158" s="150"/>
      <c r="AE158" s="466"/>
      <c r="AF158" s="499"/>
      <c r="AG158" s="150"/>
      <c r="AH158" s="150"/>
      <c r="AI158" s="150"/>
      <c r="AJ158" s="150"/>
      <c r="AK158" s="150"/>
      <c r="AL158" s="150"/>
      <c r="AM158" s="150"/>
      <c r="AN158" s="466"/>
      <c r="AO158" s="466"/>
      <c r="AP158" s="150"/>
      <c r="AQ158" s="150"/>
      <c r="AR158" s="151"/>
      <c r="AS158" s="456"/>
      <c r="AT158" s="466"/>
      <c r="AU158" s="150"/>
      <c r="AV158" s="487"/>
      <c r="AW158" s="150"/>
      <c r="AX158" s="150"/>
      <c r="AY158" s="466"/>
      <c r="AZ158" s="466"/>
      <c r="BA158" s="150"/>
      <c r="BB158" s="150"/>
      <c r="BC158" s="466"/>
      <c r="BD158" s="466"/>
      <c r="BE158" s="466"/>
      <c r="BF158" s="466"/>
      <c r="BG158" s="150"/>
      <c r="BH158" s="150"/>
      <c r="BI158" s="150"/>
      <c r="BJ158" s="466"/>
      <c r="BK158" s="152"/>
      <c r="BL158" s="160"/>
      <c r="BM158" s="150"/>
      <c r="BN158" s="466"/>
      <c r="BO158" s="150">
        <v>10292</v>
      </c>
      <c r="BP158" s="516"/>
      <c r="BQ158" s="160"/>
      <c r="BR158" s="152"/>
      <c r="BS158" s="160"/>
    </row>
    <row r="159" spans="1:71" x14ac:dyDescent="0.3">
      <c r="A159" s="420">
        <f>DL!A156</f>
        <v>141</v>
      </c>
      <c r="B159" s="16" t="s">
        <v>1283</v>
      </c>
      <c r="C159" s="149">
        <f>DL!L156</f>
        <v>100</v>
      </c>
      <c r="D159" s="149">
        <f>DL!C156</f>
        <v>60</v>
      </c>
      <c r="E159" s="150"/>
      <c r="F159" s="463"/>
      <c r="G159" s="150"/>
      <c r="H159" s="150"/>
      <c r="I159" s="466"/>
      <c r="J159" s="150"/>
      <c r="K159" s="168"/>
      <c r="L159" s="466"/>
      <c r="M159" s="150"/>
      <c r="N159" s="466"/>
      <c r="O159" s="150"/>
      <c r="P159" s="150"/>
      <c r="Q159" s="150"/>
      <c r="R159" s="472"/>
      <c r="S159" s="466">
        <v>9500</v>
      </c>
      <c r="T159" s="150"/>
      <c r="U159" s="150"/>
      <c r="V159" s="150"/>
      <c r="W159" s="168"/>
      <c r="X159" s="150"/>
      <c r="Y159" s="466"/>
      <c r="Z159" s="455"/>
      <c r="AA159" s="150"/>
      <c r="AB159" s="490"/>
      <c r="AC159" s="150"/>
      <c r="AD159" s="150"/>
      <c r="AE159" s="466"/>
      <c r="AF159" s="499"/>
      <c r="AG159" s="150"/>
      <c r="AH159" s="150"/>
      <c r="AI159" s="150"/>
      <c r="AJ159" s="150"/>
      <c r="AK159" s="150"/>
      <c r="AL159" s="150"/>
      <c r="AM159" s="150"/>
      <c r="AN159" s="466"/>
      <c r="AO159" s="466"/>
      <c r="AP159" s="150"/>
      <c r="AQ159" s="150"/>
      <c r="AR159" s="151"/>
      <c r="AS159" s="456"/>
      <c r="AT159" s="466"/>
      <c r="AU159" s="150"/>
      <c r="AV159" s="487"/>
      <c r="AW159" s="150"/>
      <c r="AX159" s="150"/>
      <c r="AY159" s="466"/>
      <c r="AZ159" s="466"/>
      <c r="BA159" s="150"/>
      <c r="BB159" s="150"/>
      <c r="BC159" s="466"/>
      <c r="BD159" s="466"/>
      <c r="BE159" s="466"/>
      <c r="BF159" s="466"/>
      <c r="BG159" s="150"/>
      <c r="BH159" s="150"/>
      <c r="BI159" s="150"/>
      <c r="BJ159" s="466"/>
      <c r="BK159" s="152"/>
      <c r="BL159" s="160"/>
      <c r="BM159" s="150"/>
      <c r="BN159" s="466"/>
      <c r="BO159" s="150">
        <v>10292</v>
      </c>
      <c r="BP159" s="516"/>
      <c r="BQ159" s="160"/>
      <c r="BR159" s="152"/>
      <c r="BS159" s="160"/>
    </row>
    <row r="160" spans="1:71" x14ac:dyDescent="0.3">
      <c r="A160" s="420"/>
      <c r="B160" s="16"/>
      <c r="C160" s="149">
        <f>DL!L157</f>
        <v>0</v>
      </c>
      <c r="D160" s="149">
        <f>DL!C157</f>
        <v>0</v>
      </c>
      <c r="E160" s="150"/>
      <c r="F160" s="463"/>
      <c r="G160" s="150"/>
      <c r="H160" s="150"/>
      <c r="I160" s="466"/>
      <c r="J160" s="150"/>
      <c r="K160" s="168"/>
      <c r="L160" s="466"/>
      <c r="M160" s="150"/>
      <c r="N160" s="466"/>
      <c r="O160" s="150"/>
      <c r="P160" s="150"/>
      <c r="Q160" s="150"/>
      <c r="R160" s="472"/>
      <c r="S160" s="466"/>
      <c r="T160" s="150"/>
      <c r="U160" s="150"/>
      <c r="V160" s="150"/>
      <c r="W160" s="168"/>
      <c r="X160" s="150"/>
      <c r="Y160" s="466"/>
      <c r="Z160" s="455"/>
      <c r="AA160" s="150"/>
      <c r="AB160" s="490"/>
      <c r="AC160" s="150"/>
      <c r="AD160" s="150"/>
      <c r="AE160" s="466"/>
      <c r="AF160" s="499"/>
      <c r="AG160" s="150"/>
      <c r="AH160" s="150"/>
      <c r="AI160" s="150"/>
      <c r="AJ160" s="150"/>
      <c r="AK160" s="150"/>
      <c r="AL160" s="150"/>
      <c r="AM160" s="150"/>
      <c r="AN160" s="466"/>
      <c r="AO160" s="466"/>
      <c r="AP160" s="150"/>
      <c r="AQ160" s="150"/>
      <c r="AR160" s="151"/>
      <c r="AS160" s="456"/>
      <c r="AT160" s="466"/>
      <c r="AU160" s="150"/>
      <c r="AV160" s="487"/>
      <c r="AW160" s="150"/>
      <c r="AX160" s="150"/>
      <c r="AY160" s="466"/>
      <c r="AZ160" s="466"/>
      <c r="BA160" s="150"/>
      <c r="BB160" s="150"/>
      <c r="BC160" s="466"/>
      <c r="BD160" s="466"/>
      <c r="BE160" s="466"/>
      <c r="BF160" s="466"/>
      <c r="BG160" s="150"/>
      <c r="BH160" s="150"/>
      <c r="BI160" s="150"/>
      <c r="BJ160" s="466"/>
      <c r="BK160" s="152"/>
      <c r="BL160" s="160"/>
      <c r="BM160" s="150"/>
      <c r="BN160" s="466"/>
      <c r="BO160" s="150"/>
      <c r="BP160" s="516"/>
      <c r="BQ160" s="160"/>
      <c r="BR160" s="152"/>
      <c r="BS160" s="160"/>
    </row>
    <row r="161" spans="1:71" x14ac:dyDescent="0.3">
      <c r="A161" s="420"/>
      <c r="B161" s="16"/>
      <c r="C161" s="149">
        <f>DL!L158</f>
        <v>0</v>
      </c>
      <c r="D161" s="149">
        <f>DL!C158</f>
        <v>0</v>
      </c>
      <c r="E161" s="150"/>
      <c r="F161" s="463"/>
      <c r="G161" s="150"/>
      <c r="H161" s="150"/>
      <c r="I161" s="466"/>
      <c r="J161" s="150"/>
      <c r="K161" s="168"/>
      <c r="L161" s="466"/>
      <c r="M161" s="150"/>
      <c r="N161" s="466"/>
      <c r="O161" s="150"/>
      <c r="P161" s="150"/>
      <c r="Q161" s="150"/>
      <c r="R161" s="472"/>
      <c r="S161" s="466"/>
      <c r="T161" s="150"/>
      <c r="U161" s="150"/>
      <c r="V161" s="150"/>
      <c r="W161" s="168"/>
      <c r="X161" s="150"/>
      <c r="Y161" s="466"/>
      <c r="Z161" s="455"/>
      <c r="AA161" s="150"/>
      <c r="AB161" s="490"/>
      <c r="AC161" s="150"/>
      <c r="AD161" s="150"/>
      <c r="AE161" s="466"/>
      <c r="AF161" s="499"/>
      <c r="AG161" s="150"/>
      <c r="AH161" s="150"/>
      <c r="AI161" s="150"/>
      <c r="AJ161" s="150"/>
      <c r="AK161" s="150"/>
      <c r="AL161" s="150"/>
      <c r="AM161" s="150"/>
      <c r="AN161" s="466"/>
      <c r="AO161" s="466"/>
      <c r="AP161" s="150"/>
      <c r="AQ161" s="150"/>
      <c r="AR161" s="151"/>
      <c r="AS161" s="456"/>
      <c r="AT161" s="466"/>
      <c r="AU161" s="150"/>
      <c r="AV161" s="487"/>
      <c r="AW161" s="150"/>
      <c r="AX161" s="150"/>
      <c r="AY161" s="466"/>
      <c r="AZ161" s="466"/>
      <c r="BA161" s="150"/>
      <c r="BB161" s="150"/>
      <c r="BC161" s="466"/>
      <c r="BD161" s="466"/>
      <c r="BE161" s="466"/>
      <c r="BF161" s="466"/>
      <c r="BG161" s="150"/>
      <c r="BH161" s="150"/>
      <c r="BI161" s="150"/>
      <c r="BJ161" s="466"/>
      <c r="BK161" s="152"/>
      <c r="BL161" s="160"/>
      <c r="BM161" s="150"/>
      <c r="BN161" s="466"/>
      <c r="BO161" s="150"/>
      <c r="BP161" s="516"/>
      <c r="BQ161" s="160"/>
      <c r="BR161" s="152"/>
      <c r="BS161" s="160"/>
    </row>
    <row r="162" spans="1:71" x14ac:dyDescent="0.3">
      <c r="A162" s="420" t="str">
        <f>DL!A159</f>
        <v>LOT 4</v>
      </c>
      <c r="B162" s="16" t="s">
        <v>89</v>
      </c>
      <c r="C162" s="149">
        <f>DL!L159</f>
        <v>0</v>
      </c>
      <c r="D162" s="149">
        <f>DL!C159</f>
        <v>0</v>
      </c>
      <c r="E162" s="150"/>
      <c r="F162" s="463"/>
      <c r="G162" s="150"/>
      <c r="H162" s="150"/>
      <c r="I162" s="466"/>
      <c r="J162" s="150"/>
      <c r="K162" s="168"/>
      <c r="L162" s="466"/>
      <c r="M162" s="150"/>
      <c r="N162" s="466"/>
      <c r="O162" s="150"/>
      <c r="P162" s="150"/>
      <c r="Q162" s="150"/>
      <c r="R162" s="474"/>
      <c r="S162" s="466"/>
      <c r="T162" s="150"/>
      <c r="U162" s="150"/>
      <c r="V162" s="150"/>
      <c r="W162" s="168"/>
      <c r="X162" s="150"/>
      <c r="Y162" s="466"/>
      <c r="Z162" s="455"/>
      <c r="AA162" s="150"/>
      <c r="AB162" s="490"/>
      <c r="AC162" s="150"/>
      <c r="AD162" s="150"/>
      <c r="AE162" s="466"/>
      <c r="AF162" s="499"/>
      <c r="AG162" s="150"/>
      <c r="AH162" s="150"/>
      <c r="AI162" s="150"/>
      <c r="AJ162" s="150"/>
      <c r="AK162" s="150"/>
      <c r="AL162" s="150"/>
      <c r="AM162" s="150"/>
      <c r="AN162" s="466"/>
      <c r="AO162" s="466"/>
      <c r="AP162" s="150"/>
      <c r="AQ162" s="150"/>
      <c r="AR162" s="151"/>
      <c r="AS162" s="456"/>
      <c r="AT162" s="466"/>
      <c r="AU162" s="150"/>
      <c r="AV162" s="487"/>
      <c r="AW162" s="150"/>
      <c r="AX162" s="150"/>
      <c r="AY162" s="466"/>
      <c r="AZ162" s="466"/>
      <c r="BA162" s="150"/>
      <c r="BB162" s="150"/>
      <c r="BC162" s="466"/>
      <c r="BD162" s="466"/>
      <c r="BE162" s="466"/>
      <c r="BF162" s="466"/>
      <c r="BG162" s="150"/>
      <c r="BH162" s="150"/>
      <c r="BI162" s="150"/>
      <c r="BJ162" s="466"/>
      <c r="BK162" s="152"/>
      <c r="BL162" s="160"/>
      <c r="BM162" s="150"/>
      <c r="BN162" s="466"/>
      <c r="BO162" s="150"/>
      <c r="BP162" s="516"/>
      <c r="BQ162" s="160"/>
      <c r="BR162" s="152"/>
      <c r="BS162" s="160"/>
    </row>
    <row r="163" spans="1:71" x14ac:dyDescent="0.3">
      <c r="A163" s="420">
        <f>DL!A160</f>
        <v>142</v>
      </c>
      <c r="B163" s="16" t="s">
        <v>90</v>
      </c>
      <c r="C163" s="149">
        <f>DL!L160</f>
        <v>50</v>
      </c>
      <c r="D163" s="149">
        <f>DL!C160</f>
        <v>30</v>
      </c>
      <c r="E163" s="150"/>
      <c r="F163" s="463"/>
      <c r="G163" s="150"/>
      <c r="H163" s="150"/>
      <c r="I163" s="466"/>
      <c r="J163" s="150"/>
      <c r="K163" s="168"/>
      <c r="L163" s="466"/>
      <c r="M163" s="150"/>
      <c r="N163" s="466"/>
      <c r="O163" s="150"/>
      <c r="P163" s="150"/>
      <c r="Q163" s="150"/>
      <c r="R163" s="472"/>
      <c r="S163" s="466"/>
      <c r="T163" s="150"/>
      <c r="U163" s="150"/>
      <c r="V163" s="150">
        <v>825</v>
      </c>
      <c r="W163" s="168"/>
      <c r="X163" s="150"/>
      <c r="Y163" s="466"/>
      <c r="Z163" s="455"/>
      <c r="AA163" s="150"/>
      <c r="AB163" s="490">
        <v>200</v>
      </c>
      <c r="AC163" s="150"/>
      <c r="AD163" s="150"/>
      <c r="AE163" s="466"/>
      <c r="AF163" s="499"/>
      <c r="AG163" s="150"/>
      <c r="AH163" s="150"/>
      <c r="AI163" s="150"/>
      <c r="AJ163" s="150"/>
      <c r="AK163" s="150"/>
      <c r="AL163" s="150"/>
      <c r="AM163" s="150"/>
      <c r="AN163" s="466"/>
      <c r="AO163" s="466">
        <v>1095</v>
      </c>
      <c r="AP163" s="150"/>
      <c r="AQ163" s="150"/>
      <c r="AR163" s="151"/>
      <c r="AS163" s="456"/>
      <c r="AT163" s="466"/>
      <c r="AU163" s="150"/>
      <c r="AV163" s="487"/>
      <c r="AW163" s="150"/>
      <c r="AX163" s="150">
        <v>690</v>
      </c>
      <c r="AY163" s="466">
        <v>600</v>
      </c>
      <c r="AZ163" s="466">
        <v>600</v>
      </c>
      <c r="BA163" s="159">
        <f>259*3</f>
        <v>777</v>
      </c>
      <c r="BB163" s="150">
        <v>1733</v>
      </c>
      <c r="BC163" s="466"/>
      <c r="BD163" s="466"/>
      <c r="BE163" s="466"/>
      <c r="BF163" s="466"/>
      <c r="BG163" s="150"/>
      <c r="BH163" s="150"/>
      <c r="BI163" s="150"/>
      <c r="BJ163" s="466"/>
      <c r="BK163" s="152"/>
      <c r="BL163" s="160"/>
      <c r="BM163" s="150"/>
      <c r="BN163" s="466"/>
      <c r="BO163" s="150"/>
      <c r="BP163" s="516"/>
      <c r="BQ163" s="160"/>
      <c r="BR163" s="152"/>
      <c r="BS163" s="160"/>
    </row>
    <row r="164" spans="1:71" x14ac:dyDescent="0.3">
      <c r="A164" s="420">
        <f>DL!A161</f>
        <v>143</v>
      </c>
      <c r="B164" s="16" t="s">
        <v>91</v>
      </c>
      <c r="C164" s="149">
        <v>800</v>
      </c>
      <c r="D164" s="149">
        <f>DL!C161</f>
        <v>28</v>
      </c>
      <c r="E164" s="150"/>
      <c r="F164" s="463"/>
      <c r="G164" s="150"/>
      <c r="H164" s="150"/>
      <c r="I164" s="466"/>
      <c r="J164" s="150"/>
      <c r="K164" s="168"/>
      <c r="L164" s="466"/>
      <c r="M164" s="150"/>
      <c r="N164" s="466"/>
      <c r="O164" s="150"/>
      <c r="P164" s="150"/>
      <c r="Q164" s="150"/>
      <c r="R164" s="472"/>
      <c r="S164" s="466">
        <v>1200</v>
      </c>
      <c r="T164" s="150"/>
      <c r="U164" s="150"/>
      <c r="V164" s="150"/>
      <c r="W164" s="168"/>
      <c r="X164" s="150"/>
      <c r="Y164" s="466"/>
      <c r="Z164" s="455"/>
      <c r="AA164" s="150"/>
      <c r="AB164" s="490"/>
      <c r="AC164" s="150"/>
      <c r="AD164" s="150"/>
      <c r="AE164" s="466"/>
      <c r="AF164" s="499"/>
      <c r="AG164" s="150"/>
      <c r="AH164" s="150"/>
      <c r="AI164" s="150"/>
      <c r="AJ164" s="150"/>
      <c r="AK164" s="150"/>
      <c r="AL164" s="150"/>
      <c r="AM164" s="150"/>
      <c r="AN164" s="466"/>
      <c r="AO164" s="466"/>
      <c r="AP164" s="150"/>
      <c r="AQ164" s="150"/>
      <c r="AR164" s="151"/>
      <c r="AS164" s="456"/>
      <c r="AT164" s="466"/>
      <c r="AU164" s="150"/>
      <c r="AV164" s="487"/>
      <c r="AW164" s="150"/>
      <c r="AX164" s="150"/>
      <c r="AY164" s="466"/>
      <c r="AZ164" s="466"/>
      <c r="BA164" s="150"/>
      <c r="BB164" s="150"/>
      <c r="BC164" s="466"/>
      <c r="BD164" s="466"/>
      <c r="BE164" s="466"/>
      <c r="BF164" s="466"/>
      <c r="BG164" s="150"/>
      <c r="BH164" s="150"/>
      <c r="BI164" s="150"/>
      <c r="BJ164" s="466"/>
      <c r="BK164" s="152"/>
      <c r="BL164" s="160"/>
      <c r="BM164" s="150"/>
      <c r="BN164" s="466"/>
      <c r="BO164" s="150"/>
      <c r="BP164" s="516"/>
      <c r="BQ164" s="160"/>
      <c r="BR164" s="152"/>
      <c r="BS164" s="160"/>
    </row>
    <row r="165" spans="1:71" x14ac:dyDescent="0.3">
      <c r="A165" s="420">
        <f>DL!A162</f>
        <v>144</v>
      </c>
      <c r="B165" s="16" t="s">
        <v>92</v>
      </c>
      <c r="C165" s="149">
        <v>200</v>
      </c>
      <c r="D165" s="149">
        <f>DL!C162</f>
        <v>28</v>
      </c>
      <c r="E165" s="150"/>
      <c r="F165" s="463"/>
      <c r="G165" s="150"/>
      <c r="H165" s="150"/>
      <c r="I165" s="466"/>
      <c r="J165" s="150"/>
      <c r="K165" s="168"/>
      <c r="L165" s="466"/>
      <c r="M165" s="150"/>
      <c r="N165" s="466"/>
      <c r="O165" s="150"/>
      <c r="P165" s="150"/>
      <c r="Q165" s="150"/>
      <c r="R165" s="472"/>
      <c r="S165" s="466">
        <v>1350</v>
      </c>
      <c r="T165" s="150"/>
      <c r="U165" s="150"/>
      <c r="V165" s="150"/>
      <c r="W165" s="168"/>
      <c r="X165" s="150"/>
      <c r="Y165" s="466"/>
      <c r="Z165" s="455"/>
      <c r="AA165" s="150"/>
      <c r="AB165" s="490"/>
      <c r="AC165" s="150"/>
      <c r="AD165" s="150"/>
      <c r="AE165" s="466"/>
      <c r="AF165" s="499"/>
      <c r="AG165" s="150"/>
      <c r="AH165" s="150"/>
      <c r="AI165" s="150"/>
      <c r="AJ165" s="150"/>
      <c r="AK165" s="150"/>
      <c r="AL165" s="150"/>
      <c r="AM165" s="150"/>
      <c r="AN165" s="466"/>
      <c r="AO165" s="466"/>
      <c r="AP165" s="150"/>
      <c r="AQ165" s="150"/>
      <c r="AR165" s="151"/>
      <c r="AS165" s="456"/>
      <c r="AT165" s="466"/>
      <c r="AU165" s="150"/>
      <c r="AV165" s="487"/>
      <c r="AW165" s="150"/>
      <c r="AX165" s="150"/>
      <c r="AY165" s="466"/>
      <c r="AZ165" s="466"/>
      <c r="BA165" s="150"/>
      <c r="BB165" s="150"/>
      <c r="BC165" s="466"/>
      <c r="BD165" s="466"/>
      <c r="BE165" s="466"/>
      <c r="BF165" s="466"/>
      <c r="BG165" s="150"/>
      <c r="BH165" s="150"/>
      <c r="BI165" s="150"/>
      <c r="BJ165" s="466"/>
      <c r="BK165" s="152"/>
      <c r="BL165" s="160"/>
      <c r="BM165" s="150"/>
      <c r="BN165" s="466"/>
      <c r="BO165" s="150"/>
      <c r="BP165" s="516"/>
      <c r="BQ165" s="160"/>
      <c r="BR165" s="152"/>
      <c r="BS165" s="160"/>
    </row>
    <row r="166" spans="1:71" x14ac:dyDescent="0.3">
      <c r="A166" s="420">
        <f>DL!A163</f>
        <v>145</v>
      </c>
      <c r="B166" s="16" t="s">
        <v>2185</v>
      </c>
      <c r="C166" s="149">
        <v>800</v>
      </c>
      <c r="D166" s="149">
        <f>DL!C163</f>
        <v>30</v>
      </c>
      <c r="E166" s="150"/>
      <c r="F166" s="463"/>
      <c r="G166" s="150"/>
      <c r="H166" s="150"/>
      <c r="I166" s="468">
        <v>4025</v>
      </c>
      <c r="J166" s="150"/>
      <c r="K166" s="168"/>
      <c r="L166" s="466"/>
      <c r="M166" s="150"/>
      <c r="N166" s="466"/>
      <c r="O166" s="150"/>
      <c r="P166" s="150"/>
      <c r="Q166" s="150"/>
      <c r="R166" s="472"/>
      <c r="S166" s="466">
        <v>2100</v>
      </c>
      <c r="T166" s="150">
        <v>2600</v>
      </c>
      <c r="U166" s="150"/>
      <c r="V166" s="150">
        <v>1540</v>
      </c>
      <c r="W166" s="168"/>
      <c r="X166" s="150"/>
      <c r="Y166" s="466"/>
      <c r="Z166" s="455"/>
      <c r="AA166" s="150"/>
      <c r="AB166" s="490"/>
      <c r="AC166" s="150"/>
      <c r="AD166" s="150"/>
      <c r="AE166" s="466"/>
      <c r="AF166" s="499"/>
      <c r="AG166" s="150"/>
      <c r="AH166" s="150"/>
      <c r="AI166" s="150"/>
      <c r="AJ166" s="150"/>
      <c r="AK166" s="150"/>
      <c r="AL166" s="150"/>
      <c r="AM166" s="150"/>
      <c r="AN166" s="467">
        <v>4000</v>
      </c>
      <c r="AO166" s="466"/>
      <c r="AP166" s="150"/>
      <c r="AQ166" s="150"/>
      <c r="AR166" s="151"/>
      <c r="AS166" s="456"/>
      <c r="AT166" s="466"/>
      <c r="AU166" s="150"/>
      <c r="AV166" s="487"/>
      <c r="AW166" s="150"/>
      <c r="AX166" s="150"/>
      <c r="AY166" s="466"/>
      <c r="AZ166" s="466"/>
      <c r="BA166" s="150"/>
      <c r="BB166" s="150"/>
      <c r="BC166" s="466"/>
      <c r="BD166" s="466"/>
      <c r="BE166" s="466"/>
      <c r="BF166" s="466"/>
      <c r="BG166" s="150"/>
      <c r="BH166" s="150"/>
      <c r="BI166" s="150"/>
      <c r="BJ166" s="466"/>
      <c r="BK166" s="152"/>
      <c r="BL166" s="160"/>
      <c r="BM166" s="150"/>
      <c r="BN166" s="466"/>
      <c r="BO166" s="150"/>
      <c r="BP166" s="516">
        <v>2965</v>
      </c>
      <c r="BQ166" s="160"/>
      <c r="BR166" s="152"/>
      <c r="BS166" s="160"/>
    </row>
    <row r="167" spans="1:71" x14ac:dyDescent="0.3">
      <c r="A167" s="420">
        <f>DL!A164</f>
        <v>146</v>
      </c>
      <c r="B167" s="16" t="s">
        <v>93</v>
      </c>
      <c r="C167" s="149">
        <f>DL!L164</f>
        <v>500</v>
      </c>
      <c r="D167" s="149">
        <f>DL!C164</f>
        <v>100</v>
      </c>
      <c r="E167" s="150">
        <v>9700</v>
      </c>
      <c r="F167" s="463"/>
      <c r="G167" s="150"/>
      <c r="H167" s="150"/>
      <c r="I167" s="466"/>
      <c r="J167" s="150"/>
      <c r="K167" s="168"/>
      <c r="L167" s="466"/>
      <c r="M167" s="150"/>
      <c r="N167" s="466"/>
      <c r="O167" s="150"/>
      <c r="P167" s="150"/>
      <c r="Q167" s="150"/>
      <c r="R167" s="472"/>
      <c r="S167" s="466">
        <v>2100</v>
      </c>
      <c r="T167" s="150"/>
      <c r="U167" s="150"/>
      <c r="V167" s="150"/>
      <c r="W167" s="168"/>
      <c r="X167" s="150"/>
      <c r="Y167" s="466"/>
      <c r="Z167" s="455"/>
      <c r="AA167" s="150"/>
      <c r="AB167" s="490"/>
      <c r="AC167" s="150"/>
      <c r="AD167" s="150"/>
      <c r="AE167" s="466"/>
      <c r="AF167" s="499"/>
      <c r="AG167" s="150"/>
      <c r="AH167" s="150"/>
      <c r="AI167" s="150"/>
      <c r="AJ167" s="150"/>
      <c r="AK167" s="150"/>
      <c r="AL167" s="150"/>
      <c r="AM167" s="150"/>
      <c r="AN167" s="466"/>
      <c r="AO167" s="466"/>
      <c r="AP167" s="150"/>
      <c r="AQ167" s="150"/>
      <c r="AR167" s="151"/>
      <c r="AS167" s="456"/>
      <c r="AT167" s="466">
        <v>15517</v>
      </c>
      <c r="AU167" s="150"/>
      <c r="AV167" s="487"/>
      <c r="AW167" s="150"/>
      <c r="AX167" s="150"/>
      <c r="AY167" s="466"/>
      <c r="AZ167" s="466"/>
      <c r="BA167" s="150"/>
      <c r="BB167" s="150"/>
      <c r="BC167" s="466"/>
      <c r="BD167" s="466"/>
      <c r="BE167" s="466">
        <v>9000</v>
      </c>
      <c r="BF167" s="466"/>
      <c r="BG167" s="150"/>
      <c r="BH167" s="150"/>
      <c r="BI167" s="150"/>
      <c r="BJ167" s="466"/>
      <c r="BK167" s="152"/>
      <c r="BL167" s="160"/>
      <c r="BM167" s="150"/>
      <c r="BN167" s="466"/>
      <c r="BO167" s="150"/>
      <c r="BP167" s="516"/>
      <c r="BQ167" s="160"/>
      <c r="BR167" s="152"/>
      <c r="BS167" s="160"/>
    </row>
    <row r="168" spans="1:71" x14ac:dyDescent="0.3">
      <c r="A168" s="420">
        <f>DL!A165</f>
        <v>147</v>
      </c>
      <c r="B168" s="16" t="s">
        <v>94</v>
      </c>
      <c r="C168" s="149">
        <f>DL!L165</f>
        <v>2000</v>
      </c>
      <c r="D168" s="149">
        <f>DL!C165</f>
        <v>100</v>
      </c>
      <c r="E168" s="150"/>
      <c r="F168" s="463"/>
      <c r="G168" s="150"/>
      <c r="H168" s="150"/>
      <c r="I168" s="466"/>
      <c r="J168" s="150"/>
      <c r="K168" s="168"/>
      <c r="L168" s="466"/>
      <c r="M168" s="150"/>
      <c r="N168" s="466"/>
      <c r="O168" s="150"/>
      <c r="P168" s="150"/>
      <c r="Q168" s="150"/>
      <c r="R168" s="472"/>
      <c r="S168" s="466">
        <v>2500</v>
      </c>
      <c r="T168" s="150"/>
      <c r="U168" s="150"/>
      <c r="V168" s="150"/>
      <c r="W168" s="168"/>
      <c r="X168" s="150"/>
      <c r="Y168" s="466"/>
      <c r="Z168" s="455"/>
      <c r="AA168" s="150"/>
      <c r="AB168" s="490"/>
      <c r="AC168" s="150"/>
      <c r="AD168" s="150"/>
      <c r="AE168" s="466"/>
      <c r="AF168" s="499"/>
      <c r="AG168" s="150">
        <v>1950</v>
      </c>
      <c r="AH168" s="150"/>
      <c r="AI168" s="150"/>
      <c r="AJ168" s="150"/>
      <c r="AK168" s="150"/>
      <c r="AL168" s="150"/>
      <c r="AM168" s="150"/>
      <c r="AN168" s="466"/>
      <c r="AO168" s="466"/>
      <c r="AP168" s="150"/>
      <c r="AQ168" s="150"/>
      <c r="AR168" s="151"/>
      <c r="AS168" s="456"/>
      <c r="AT168" s="466"/>
      <c r="AU168" s="150"/>
      <c r="AV168" s="487"/>
      <c r="AW168" s="150"/>
      <c r="AX168" s="150"/>
      <c r="AY168" s="466"/>
      <c r="AZ168" s="466"/>
      <c r="BA168" s="150"/>
      <c r="BB168" s="150"/>
      <c r="BC168" s="466"/>
      <c r="BD168" s="466"/>
      <c r="BE168" s="466"/>
      <c r="BF168" s="466"/>
      <c r="BG168" s="150"/>
      <c r="BH168" s="150"/>
      <c r="BI168" s="150"/>
      <c r="BJ168" s="466"/>
      <c r="BK168" s="152"/>
      <c r="BL168" s="160"/>
      <c r="BM168" s="150"/>
      <c r="BN168" s="466"/>
      <c r="BO168" s="150"/>
      <c r="BP168" s="516"/>
      <c r="BQ168" s="160"/>
      <c r="BR168" s="152"/>
      <c r="BS168" s="160"/>
    </row>
    <row r="169" spans="1:71" x14ac:dyDescent="0.3">
      <c r="A169" s="420">
        <f>DL!A166</f>
        <v>148</v>
      </c>
      <c r="B169" s="19" t="s">
        <v>288</v>
      </c>
      <c r="C169" s="149">
        <f>DL!L166</f>
        <v>200</v>
      </c>
      <c r="D169" s="149">
        <f>DL!C166</f>
        <v>100</v>
      </c>
      <c r="E169" s="150"/>
      <c r="F169" s="463"/>
      <c r="G169" s="150"/>
      <c r="H169" s="150"/>
      <c r="I169" s="466"/>
      <c r="J169" s="150"/>
      <c r="K169" s="168"/>
      <c r="L169" s="466"/>
      <c r="M169" s="150"/>
      <c r="N169" s="466"/>
      <c r="O169" s="150"/>
      <c r="P169" s="150"/>
      <c r="Q169" s="150"/>
      <c r="R169" s="472"/>
      <c r="S169" s="466"/>
      <c r="T169" s="150"/>
      <c r="U169" s="150"/>
      <c r="V169" s="150"/>
      <c r="W169" s="168"/>
      <c r="X169" s="150"/>
      <c r="Y169" s="466"/>
      <c r="Z169" s="455"/>
      <c r="AA169" s="150"/>
      <c r="AB169" s="490"/>
      <c r="AC169" s="150"/>
      <c r="AD169" s="150"/>
      <c r="AE169" s="466"/>
      <c r="AF169" s="499"/>
      <c r="AG169" s="150"/>
      <c r="AH169" s="150"/>
      <c r="AI169" s="150"/>
      <c r="AJ169" s="150"/>
      <c r="AK169" s="150"/>
      <c r="AL169" s="150"/>
      <c r="AM169" s="150"/>
      <c r="AN169" s="466"/>
      <c r="AO169" s="466"/>
      <c r="AP169" s="150"/>
      <c r="AQ169" s="150"/>
      <c r="AR169" s="151"/>
      <c r="AS169" s="456"/>
      <c r="AT169" s="466"/>
      <c r="AU169" s="150"/>
      <c r="AV169" s="487"/>
      <c r="AW169" s="150"/>
      <c r="AX169" s="150"/>
      <c r="AY169" s="466"/>
      <c r="AZ169" s="466"/>
      <c r="BA169" s="150"/>
      <c r="BB169" s="150"/>
      <c r="BC169" s="466"/>
      <c r="BD169" s="466"/>
      <c r="BE169" s="466">
        <v>500</v>
      </c>
      <c r="BF169" s="466"/>
      <c r="BG169" s="150"/>
      <c r="BH169" s="150"/>
      <c r="BI169" s="150"/>
      <c r="BJ169" s="466"/>
      <c r="BK169" s="152"/>
      <c r="BL169" s="160"/>
      <c r="BM169" s="150"/>
      <c r="BN169" s="466">
        <v>270</v>
      </c>
      <c r="BO169" s="150"/>
      <c r="BP169" s="516"/>
      <c r="BQ169" s="160"/>
      <c r="BR169" s="152"/>
      <c r="BS169" s="160"/>
    </row>
    <row r="170" spans="1:71" x14ac:dyDescent="0.3">
      <c r="A170" s="420">
        <f>DL!A167</f>
        <v>149</v>
      </c>
      <c r="B170" s="19" t="s">
        <v>289</v>
      </c>
      <c r="C170" s="149">
        <f>DL!L167</f>
        <v>200</v>
      </c>
      <c r="D170" s="149">
        <f>DL!C167</f>
        <v>100</v>
      </c>
      <c r="E170" s="150">
        <v>23000</v>
      </c>
      <c r="F170" s="463"/>
      <c r="G170" s="150"/>
      <c r="H170" s="150"/>
      <c r="I170" s="466"/>
      <c r="J170" s="150"/>
      <c r="K170" s="168"/>
      <c r="L170" s="466"/>
      <c r="M170" s="150"/>
      <c r="N170" s="466"/>
      <c r="O170" s="150"/>
      <c r="P170" s="150"/>
      <c r="Q170" s="150"/>
      <c r="R170" s="472"/>
      <c r="S170" s="466">
        <v>950</v>
      </c>
      <c r="T170" s="150"/>
      <c r="U170" s="150"/>
      <c r="V170" s="150"/>
      <c r="W170" s="168"/>
      <c r="X170" s="150"/>
      <c r="Y170" s="466"/>
      <c r="Z170" s="455"/>
      <c r="AA170" s="150"/>
      <c r="AB170" s="490"/>
      <c r="AC170" s="150"/>
      <c r="AD170" s="150"/>
      <c r="AE170" s="466"/>
      <c r="AF170" s="499"/>
      <c r="AG170" s="150"/>
      <c r="AH170" s="150"/>
      <c r="AI170" s="150"/>
      <c r="AJ170" s="150"/>
      <c r="AK170" s="150"/>
      <c r="AL170" s="150"/>
      <c r="AM170" s="150"/>
      <c r="AN170" s="466"/>
      <c r="AO170" s="466"/>
      <c r="AP170" s="150"/>
      <c r="AQ170" s="150"/>
      <c r="AR170" s="151"/>
      <c r="AS170" s="456"/>
      <c r="AT170" s="466"/>
      <c r="AU170" s="150"/>
      <c r="AV170" s="487"/>
      <c r="AW170" s="150"/>
      <c r="AX170" s="150"/>
      <c r="AY170" s="466"/>
      <c r="AZ170" s="466"/>
      <c r="BA170" s="150"/>
      <c r="BB170" s="150"/>
      <c r="BC170" s="466"/>
      <c r="BD170" s="466"/>
      <c r="BE170" s="466"/>
      <c r="BF170" s="466"/>
      <c r="BG170" s="150"/>
      <c r="BH170" s="150"/>
      <c r="BI170" s="150"/>
      <c r="BJ170" s="466"/>
      <c r="BK170" s="152"/>
      <c r="BL170" s="160"/>
      <c r="BM170" s="150"/>
      <c r="BN170" s="466"/>
      <c r="BO170" s="150"/>
      <c r="BP170" s="516"/>
      <c r="BQ170" s="160"/>
      <c r="BR170" s="152"/>
      <c r="BS170" s="160"/>
    </row>
    <row r="171" spans="1:71" x14ac:dyDescent="0.3">
      <c r="A171" s="420">
        <f>DL!A168</f>
        <v>150</v>
      </c>
      <c r="B171" s="19" t="s">
        <v>1285</v>
      </c>
      <c r="C171" s="149">
        <f>DL!L168</f>
        <v>1200</v>
      </c>
      <c r="D171" s="149">
        <f>DL!C168</f>
        <v>20</v>
      </c>
      <c r="E171" s="150"/>
      <c r="F171" s="463"/>
      <c r="G171" s="150"/>
      <c r="H171" s="150"/>
      <c r="I171" s="466"/>
      <c r="J171" s="150"/>
      <c r="K171" s="168"/>
      <c r="L171" s="466"/>
      <c r="M171" s="150"/>
      <c r="N171" s="466"/>
      <c r="O171" s="150"/>
      <c r="P171" s="150"/>
      <c r="Q171" s="150"/>
      <c r="R171" s="472"/>
      <c r="S171" s="466"/>
      <c r="T171" s="150"/>
      <c r="U171" s="150"/>
      <c r="V171" s="150"/>
      <c r="W171" s="168"/>
      <c r="X171" s="150"/>
      <c r="Y171" s="466"/>
      <c r="Z171" s="455"/>
      <c r="AA171" s="150"/>
      <c r="AB171" s="490">
        <v>400</v>
      </c>
      <c r="AC171" s="150"/>
      <c r="AD171" s="150"/>
      <c r="AE171" s="466"/>
      <c r="AF171" s="499"/>
      <c r="AG171" s="150"/>
      <c r="AH171" s="150"/>
      <c r="AI171" s="150"/>
      <c r="AJ171" s="150"/>
      <c r="AK171" s="150"/>
      <c r="AL171" s="150"/>
      <c r="AM171" s="150"/>
      <c r="AN171" s="466"/>
      <c r="AO171" s="466"/>
      <c r="AP171" s="150"/>
      <c r="AQ171" s="150"/>
      <c r="AR171" s="151"/>
      <c r="AS171" s="456"/>
      <c r="AT171" s="466"/>
      <c r="AU171" s="150"/>
      <c r="AV171" s="487"/>
      <c r="AW171" s="150"/>
      <c r="AX171" s="150"/>
      <c r="AY171" s="466"/>
      <c r="AZ171" s="466">
        <v>2100</v>
      </c>
      <c r="BA171" s="150"/>
      <c r="BB171" s="150"/>
      <c r="BC171" s="466"/>
      <c r="BD171" s="466"/>
      <c r="BE171" s="466"/>
      <c r="BF171" s="466"/>
      <c r="BG171" s="150"/>
      <c r="BH171" s="150"/>
      <c r="BI171" s="150"/>
      <c r="BJ171" s="466"/>
      <c r="BK171" s="152"/>
      <c r="BL171" s="160"/>
      <c r="BM171" s="150"/>
      <c r="BN171" s="466"/>
      <c r="BO171" s="150"/>
      <c r="BP171" s="516"/>
      <c r="BQ171" s="160"/>
      <c r="BR171" s="152"/>
      <c r="BS171" s="160"/>
    </row>
    <row r="172" spans="1:71" x14ac:dyDescent="0.3">
      <c r="A172" s="420">
        <f>DL!A169</f>
        <v>151</v>
      </c>
      <c r="B172" s="16" t="s">
        <v>95</v>
      </c>
      <c r="C172" s="149">
        <f>DL!L169</f>
        <v>1000</v>
      </c>
      <c r="D172" s="149">
        <f>DL!C169</f>
        <v>100</v>
      </c>
      <c r="E172" s="150"/>
      <c r="F172" s="463"/>
      <c r="G172" s="150"/>
      <c r="H172" s="150"/>
      <c r="I172" s="466"/>
      <c r="J172" s="150"/>
      <c r="K172" s="168"/>
      <c r="L172" s="466"/>
      <c r="M172" s="150"/>
      <c r="N172" s="466"/>
      <c r="O172" s="150"/>
      <c r="P172" s="150">
        <v>700</v>
      </c>
      <c r="Q172" s="150"/>
      <c r="R172" s="472"/>
      <c r="S172" s="466">
        <v>300</v>
      </c>
      <c r="T172" s="150"/>
      <c r="U172" s="150"/>
      <c r="V172" s="150">
        <v>300</v>
      </c>
      <c r="W172" s="168"/>
      <c r="X172" s="150"/>
      <c r="Y172" s="466"/>
      <c r="Z172" s="455"/>
      <c r="AA172" s="150"/>
      <c r="AB172" s="490"/>
      <c r="AC172" s="150"/>
      <c r="AD172" s="150"/>
      <c r="AE172" s="466">
        <v>450</v>
      </c>
      <c r="AF172" s="499"/>
      <c r="AG172" s="150">
        <v>385</v>
      </c>
      <c r="AH172" s="150"/>
      <c r="AI172" s="150"/>
      <c r="AJ172" s="150"/>
      <c r="AK172" s="150"/>
      <c r="AL172" s="150"/>
      <c r="AM172" s="150"/>
      <c r="AN172" s="466"/>
      <c r="AO172" s="466"/>
      <c r="AP172" s="150"/>
      <c r="AQ172" s="150"/>
      <c r="AR172" s="151">
        <v>200</v>
      </c>
      <c r="AS172" s="456"/>
      <c r="AT172" s="466"/>
      <c r="AU172" s="150"/>
      <c r="AV172" s="487"/>
      <c r="AW172" s="150"/>
      <c r="AX172" s="150"/>
      <c r="AY172" s="466"/>
      <c r="AZ172" s="466"/>
      <c r="BA172" s="150"/>
      <c r="BB172" s="150"/>
      <c r="BC172" s="466"/>
      <c r="BD172" s="466">
        <v>295</v>
      </c>
      <c r="BE172" s="466">
        <v>350</v>
      </c>
      <c r="BF172" s="466"/>
      <c r="BG172" s="150"/>
      <c r="BH172" s="150"/>
      <c r="BI172" s="150"/>
      <c r="BJ172" s="466"/>
      <c r="BK172" s="152"/>
      <c r="BL172" s="160"/>
      <c r="BM172" s="150"/>
      <c r="BN172" s="466">
        <v>280</v>
      </c>
      <c r="BO172" s="150"/>
      <c r="BP172" s="516"/>
      <c r="BQ172" s="160"/>
      <c r="BR172" s="152"/>
      <c r="BS172" s="160"/>
    </row>
    <row r="173" spans="1:71" x14ac:dyDescent="0.3">
      <c r="A173" s="420">
        <f>DL!A170</f>
        <v>152</v>
      </c>
      <c r="B173" s="16" t="s">
        <v>96</v>
      </c>
      <c r="C173" s="149">
        <f>DL!L170</f>
        <v>120</v>
      </c>
      <c r="D173" s="149">
        <f>DL!C170</f>
        <v>100</v>
      </c>
      <c r="E173" s="150"/>
      <c r="F173" s="463"/>
      <c r="G173" s="150"/>
      <c r="H173" s="150"/>
      <c r="I173" s="466"/>
      <c r="J173" s="150"/>
      <c r="K173" s="168"/>
      <c r="L173" s="466"/>
      <c r="M173" s="150"/>
      <c r="N173" s="466"/>
      <c r="O173" s="150"/>
      <c r="P173" s="150"/>
      <c r="Q173" s="150"/>
      <c r="R173" s="472"/>
      <c r="S173" s="466">
        <v>1200</v>
      </c>
      <c r="T173" s="150"/>
      <c r="U173" s="150"/>
      <c r="V173" s="150"/>
      <c r="W173" s="168"/>
      <c r="X173" s="150"/>
      <c r="Y173" s="466"/>
      <c r="Z173" s="455"/>
      <c r="AA173" s="150"/>
      <c r="AB173" s="490"/>
      <c r="AC173" s="150"/>
      <c r="AD173" s="150"/>
      <c r="AE173" s="466">
        <f>100*35</f>
        <v>3500</v>
      </c>
      <c r="AF173" s="499"/>
      <c r="AG173" s="150"/>
      <c r="AH173" s="150"/>
      <c r="AI173" s="150"/>
      <c r="AJ173" s="150"/>
      <c r="AK173" s="150"/>
      <c r="AL173" s="150"/>
      <c r="AM173" s="150"/>
      <c r="AN173" s="466"/>
      <c r="AO173" s="466"/>
      <c r="AP173" s="150"/>
      <c r="AQ173" s="150"/>
      <c r="AR173" s="151"/>
      <c r="AS173" s="456"/>
      <c r="AT173" s="466"/>
      <c r="AU173" s="150"/>
      <c r="AV173" s="487"/>
      <c r="AW173" s="150"/>
      <c r="AX173" s="150"/>
      <c r="AY173" s="466"/>
      <c r="AZ173" s="466"/>
      <c r="BA173" s="150"/>
      <c r="BB173" s="150"/>
      <c r="BC173" s="466"/>
      <c r="BD173" s="466"/>
      <c r="BE173" s="466"/>
      <c r="BF173" s="466"/>
      <c r="BG173" s="150"/>
      <c r="BH173" s="150"/>
      <c r="BI173" s="150"/>
      <c r="BJ173" s="466"/>
      <c r="BK173" s="152"/>
      <c r="BL173" s="160"/>
      <c r="BM173" s="150"/>
      <c r="BN173" s="466"/>
      <c r="BO173" s="150"/>
      <c r="BP173" s="516"/>
      <c r="BQ173" s="160"/>
      <c r="BR173" s="152"/>
      <c r="BS173" s="160"/>
    </row>
    <row r="174" spans="1:71" x14ac:dyDescent="0.3">
      <c r="A174" s="420">
        <f>DL!A171</f>
        <v>153</v>
      </c>
      <c r="B174" s="16" t="s">
        <v>510</v>
      </c>
      <c r="C174" s="149">
        <f>DL!L171</f>
        <v>40</v>
      </c>
      <c r="D174" s="149">
        <f>DL!C171</f>
        <v>30</v>
      </c>
      <c r="E174" s="150"/>
      <c r="F174" s="463"/>
      <c r="G174" s="150"/>
      <c r="H174" s="150"/>
      <c r="I174" s="466"/>
      <c r="J174" s="150"/>
      <c r="K174" s="168"/>
      <c r="L174" s="466"/>
      <c r="M174" s="150"/>
      <c r="N174" s="466"/>
      <c r="O174" s="150"/>
      <c r="P174" s="150"/>
      <c r="Q174" s="150"/>
      <c r="R174" s="472"/>
      <c r="S174" s="466"/>
      <c r="T174" s="150"/>
      <c r="U174" s="150"/>
      <c r="V174" s="150"/>
      <c r="W174" s="168"/>
      <c r="X174" s="150"/>
      <c r="Y174" s="466"/>
      <c r="Z174" s="455"/>
      <c r="AA174" s="150"/>
      <c r="AB174" s="490"/>
      <c r="AC174" s="150"/>
      <c r="AD174" s="150"/>
      <c r="AE174" s="466"/>
      <c r="AF174" s="499"/>
      <c r="AG174" s="150"/>
      <c r="AH174" s="150"/>
      <c r="AI174" s="150"/>
      <c r="AJ174" s="150"/>
      <c r="AK174" s="150"/>
      <c r="AL174" s="150"/>
      <c r="AM174" s="150"/>
      <c r="AN174" s="466"/>
      <c r="AO174" s="466"/>
      <c r="AP174" s="150"/>
      <c r="AQ174" s="150"/>
      <c r="AR174" s="151"/>
      <c r="AS174" s="456"/>
      <c r="AT174" s="466"/>
      <c r="AU174" s="150"/>
      <c r="AV174" s="487"/>
      <c r="AW174" s="150"/>
      <c r="AX174" s="150"/>
      <c r="AY174" s="466"/>
      <c r="AZ174" s="466"/>
      <c r="BA174" s="150"/>
      <c r="BB174" s="150"/>
      <c r="BC174" s="466"/>
      <c r="BD174" s="466"/>
      <c r="BE174" s="466"/>
      <c r="BF174" s="466"/>
      <c r="BG174" s="150"/>
      <c r="BH174" s="150"/>
      <c r="BI174" s="150"/>
      <c r="BJ174" s="466"/>
      <c r="BK174" s="152"/>
      <c r="BL174" s="160"/>
      <c r="BM174" s="150"/>
      <c r="BN174" s="466"/>
      <c r="BO174" s="150"/>
      <c r="BP174" s="516"/>
      <c r="BQ174" s="160"/>
      <c r="BR174" s="152"/>
      <c r="BS174" s="160"/>
    </row>
    <row r="175" spans="1:71" x14ac:dyDescent="0.3">
      <c r="A175" s="420">
        <f>DL!A172</f>
        <v>154</v>
      </c>
      <c r="B175" s="16" t="s">
        <v>1286</v>
      </c>
      <c r="C175" s="149">
        <f>DL!L172</f>
        <v>400</v>
      </c>
      <c r="D175" s="149">
        <f>DL!C172</f>
        <v>100</v>
      </c>
      <c r="E175" s="150"/>
      <c r="F175" s="463"/>
      <c r="G175" s="150"/>
      <c r="H175" s="150"/>
      <c r="I175" s="466"/>
      <c r="J175" s="150"/>
      <c r="K175" s="168"/>
      <c r="L175" s="466"/>
      <c r="M175" s="150"/>
      <c r="N175" s="466">
        <v>210</v>
      </c>
      <c r="O175" s="150"/>
      <c r="P175" s="150"/>
      <c r="Q175" s="150"/>
      <c r="R175" s="472"/>
      <c r="S175" s="466">
        <v>450</v>
      </c>
      <c r="T175" s="150"/>
      <c r="U175" s="150"/>
      <c r="V175" s="150">
        <v>700</v>
      </c>
      <c r="W175" s="168"/>
      <c r="X175" s="150"/>
      <c r="Y175" s="466"/>
      <c r="Z175" s="455"/>
      <c r="AA175" s="150">
        <v>550</v>
      </c>
      <c r="AB175" s="490"/>
      <c r="AC175" s="150"/>
      <c r="AD175" s="150"/>
      <c r="AE175" s="466"/>
      <c r="AF175" s="499"/>
      <c r="AG175" s="150"/>
      <c r="AH175" s="150"/>
      <c r="AI175" s="150"/>
      <c r="AJ175" s="150"/>
      <c r="AK175" s="150"/>
      <c r="AL175" s="150"/>
      <c r="AM175" s="150"/>
      <c r="AN175" s="466"/>
      <c r="AO175" s="466"/>
      <c r="AP175" s="150"/>
      <c r="AQ175" s="151"/>
      <c r="AR175" s="151">
        <v>400</v>
      </c>
      <c r="AS175" s="456"/>
      <c r="AT175" s="466"/>
      <c r="AU175" s="150"/>
      <c r="AV175" s="487"/>
      <c r="AW175" s="150"/>
      <c r="AX175" s="150"/>
      <c r="AY175" s="466"/>
      <c r="AZ175" s="466"/>
      <c r="BA175" s="150"/>
      <c r="BB175" s="150"/>
      <c r="BC175" s="466"/>
      <c r="BD175" s="466">
        <v>830</v>
      </c>
      <c r="BE175" s="466">
        <v>400</v>
      </c>
      <c r="BF175" s="466"/>
      <c r="BG175" s="150">
        <v>700</v>
      </c>
      <c r="BH175" s="150"/>
      <c r="BI175" s="150"/>
      <c r="BJ175" s="466"/>
      <c r="BK175" s="157"/>
      <c r="BL175" s="160"/>
      <c r="BM175" s="150"/>
      <c r="BN175" s="466">
        <v>350</v>
      </c>
      <c r="BO175" s="150"/>
      <c r="BP175" s="516"/>
      <c r="BQ175" s="160"/>
      <c r="BR175" s="157"/>
      <c r="BS175" s="160"/>
    </row>
    <row r="176" spans="1:71" x14ac:dyDescent="0.3">
      <c r="A176" s="420">
        <f>DL!A173</f>
        <v>155</v>
      </c>
      <c r="B176" s="16" t="s">
        <v>97</v>
      </c>
      <c r="C176" s="149">
        <f>DL!L173</f>
        <v>2000</v>
      </c>
      <c r="D176" s="149">
        <f>DL!C173</f>
        <v>20</v>
      </c>
      <c r="E176" s="150"/>
      <c r="F176" s="463"/>
      <c r="G176" s="150"/>
      <c r="H176" s="150"/>
      <c r="I176" s="466"/>
      <c r="J176" s="150"/>
      <c r="K176" s="168"/>
      <c r="L176" s="466"/>
      <c r="M176" s="150"/>
      <c r="N176" s="466"/>
      <c r="O176" s="150"/>
      <c r="P176" s="150"/>
      <c r="Q176" s="150"/>
      <c r="R176" s="472"/>
      <c r="S176" s="466">
        <v>2200</v>
      </c>
      <c r="T176" s="150"/>
      <c r="U176" s="150"/>
      <c r="V176" s="150"/>
      <c r="W176" s="168"/>
      <c r="X176" s="150"/>
      <c r="Y176" s="466"/>
      <c r="Z176" s="455"/>
      <c r="AA176" s="150"/>
      <c r="AB176" s="490"/>
      <c r="AC176" s="150"/>
      <c r="AD176" s="150"/>
      <c r="AE176" s="466"/>
      <c r="AF176" s="499"/>
      <c r="AG176" s="150"/>
      <c r="AH176" s="150"/>
      <c r="AI176" s="150"/>
      <c r="AJ176" s="150"/>
      <c r="AK176" s="150"/>
      <c r="AL176" s="150"/>
      <c r="AM176" s="150"/>
      <c r="AN176" s="466"/>
      <c r="AO176" s="466"/>
      <c r="AP176" s="150"/>
      <c r="AQ176" s="151"/>
      <c r="AR176" s="151"/>
      <c r="AS176" s="456"/>
      <c r="AT176" s="466"/>
      <c r="AU176" s="150"/>
      <c r="AV176" s="487"/>
      <c r="AW176" s="150"/>
      <c r="AX176" s="150"/>
      <c r="AY176" s="466"/>
      <c r="AZ176" s="466"/>
      <c r="BA176" s="150"/>
      <c r="BB176" s="150"/>
      <c r="BC176" s="466"/>
      <c r="BD176" s="466"/>
      <c r="BE176" s="466"/>
      <c r="BF176" s="466"/>
      <c r="BG176" s="150"/>
      <c r="BH176" s="150"/>
      <c r="BI176" s="150"/>
      <c r="BJ176" s="466"/>
      <c r="BK176" s="157"/>
      <c r="BL176" s="160"/>
      <c r="BM176" s="150"/>
      <c r="BN176" s="466"/>
      <c r="BO176" s="150"/>
      <c r="BP176" s="516"/>
      <c r="BQ176" s="160"/>
      <c r="BR176" s="157"/>
      <c r="BS176" s="160"/>
    </row>
    <row r="177" spans="1:71" x14ac:dyDescent="0.3">
      <c r="A177" s="420">
        <f>DL!A174</f>
        <v>156</v>
      </c>
      <c r="B177" s="16" t="s">
        <v>439</v>
      </c>
      <c r="C177" s="149">
        <f>DL!L174</f>
        <v>3200</v>
      </c>
      <c r="D177" s="149" t="str">
        <f>DL!C174</f>
        <v>TUBE</v>
      </c>
      <c r="E177" s="150"/>
      <c r="F177" s="463"/>
      <c r="G177" s="150"/>
      <c r="H177" s="150"/>
      <c r="I177" s="466"/>
      <c r="J177" s="150"/>
      <c r="K177" s="168"/>
      <c r="L177" s="466"/>
      <c r="M177" s="150"/>
      <c r="N177" s="466"/>
      <c r="O177" s="150"/>
      <c r="P177" s="150"/>
      <c r="Q177" s="150"/>
      <c r="R177" s="472"/>
      <c r="S177" s="466">
        <v>210</v>
      </c>
      <c r="T177" s="150">
        <v>365</v>
      </c>
      <c r="U177" s="150"/>
      <c r="V177" s="150"/>
      <c r="W177" s="168"/>
      <c r="X177" s="150"/>
      <c r="Y177" s="466"/>
      <c r="Z177" s="455"/>
      <c r="AA177" s="150">
        <v>190</v>
      </c>
      <c r="AB177" s="490"/>
      <c r="AC177" s="150"/>
      <c r="AD177" s="150"/>
      <c r="AE177" s="466">
        <v>200</v>
      </c>
      <c r="AF177" s="499"/>
      <c r="AG177" s="150"/>
      <c r="AH177" s="150"/>
      <c r="AI177" s="150"/>
      <c r="AJ177" s="150"/>
      <c r="AK177" s="150"/>
      <c r="AL177" s="150"/>
      <c r="AM177" s="150"/>
      <c r="AN177" s="466"/>
      <c r="AO177" s="466"/>
      <c r="AP177" s="150"/>
      <c r="AQ177" s="150"/>
      <c r="AR177" s="151"/>
      <c r="AS177" s="456"/>
      <c r="AT177" s="466"/>
      <c r="AU177" s="150"/>
      <c r="AV177" s="487"/>
      <c r="AW177" s="150"/>
      <c r="AX177" s="150"/>
      <c r="AY177" s="466"/>
      <c r="AZ177" s="466"/>
      <c r="BA177" s="150"/>
      <c r="BB177" s="150"/>
      <c r="BC177" s="466"/>
      <c r="BD177" s="466"/>
      <c r="BE177" s="466"/>
      <c r="BF177" s="466"/>
      <c r="BG177" s="150"/>
      <c r="BH177" s="150"/>
      <c r="BI177" s="150"/>
      <c r="BJ177" s="466">
        <v>190</v>
      </c>
      <c r="BK177" s="152"/>
      <c r="BL177" s="160"/>
      <c r="BM177" s="150"/>
      <c r="BN177" s="466"/>
      <c r="BO177" s="150"/>
      <c r="BP177" s="516"/>
      <c r="BQ177" s="160"/>
      <c r="BR177" s="152"/>
      <c r="BS177" s="160"/>
    </row>
    <row r="178" spans="1:71" x14ac:dyDescent="0.3">
      <c r="A178" s="420">
        <f>DL!A175</f>
        <v>157</v>
      </c>
      <c r="B178" s="16" t="s">
        <v>98</v>
      </c>
      <c r="C178" s="149">
        <v>600</v>
      </c>
      <c r="D178" s="149">
        <f>DL!C175</f>
        <v>100</v>
      </c>
      <c r="E178" s="150"/>
      <c r="F178" s="463"/>
      <c r="G178" s="150"/>
      <c r="H178" s="150"/>
      <c r="I178" s="466"/>
      <c r="J178" s="150"/>
      <c r="K178" s="168"/>
      <c r="L178" s="466"/>
      <c r="M178" s="150"/>
      <c r="N178" s="466"/>
      <c r="O178" s="150"/>
      <c r="P178" s="150"/>
      <c r="Q178" s="150"/>
      <c r="R178" s="472"/>
      <c r="S178" s="466">
        <v>6000</v>
      </c>
      <c r="T178" s="150"/>
      <c r="U178" s="150"/>
      <c r="V178" s="150"/>
      <c r="W178" s="168"/>
      <c r="X178" s="150"/>
      <c r="Y178" s="466"/>
      <c r="Z178" s="455"/>
      <c r="AA178" s="150"/>
      <c r="AB178" s="490"/>
      <c r="AC178" s="150"/>
      <c r="AD178" s="150"/>
      <c r="AE178" s="466"/>
      <c r="AF178" s="499"/>
      <c r="AG178" s="150"/>
      <c r="AH178" s="150"/>
      <c r="AI178" s="150"/>
      <c r="AJ178" s="150"/>
      <c r="AK178" s="150"/>
      <c r="AL178" s="150"/>
      <c r="AM178" s="150"/>
      <c r="AN178" s="466"/>
      <c r="AO178" s="466"/>
      <c r="AP178" s="150"/>
      <c r="AQ178" s="150"/>
      <c r="AR178" s="151"/>
      <c r="AS178" s="456"/>
      <c r="AT178" s="466">
        <v>5559</v>
      </c>
      <c r="AU178" s="150"/>
      <c r="AV178" s="487"/>
      <c r="AW178" s="150"/>
      <c r="AX178" s="150"/>
      <c r="AY178" s="466"/>
      <c r="AZ178" s="466"/>
      <c r="BA178" s="150"/>
      <c r="BB178" s="150"/>
      <c r="BC178" s="466"/>
      <c r="BD178" s="466"/>
      <c r="BE178" s="466">
        <v>7500</v>
      </c>
      <c r="BF178" s="466"/>
      <c r="BG178" s="150"/>
      <c r="BH178" s="150"/>
      <c r="BI178" s="150"/>
      <c r="BJ178" s="466"/>
      <c r="BK178" s="152"/>
      <c r="BL178" s="160"/>
      <c r="BM178" s="150"/>
      <c r="BN178" s="466"/>
      <c r="BO178" s="150">
        <v>5559</v>
      </c>
      <c r="BP178" s="516"/>
      <c r="BQ178" s="160"/>
      <c r="BR178" s="152"/>
      <c r="BS178" s="160"/>
    </row>
    <row r="179" spans="1:71" x14ac:dyDescent="0.3">
      <c r="A179" s="420">
        <f>DL!A176</f>
        <v>158</v>
      </c>
      <c r="B179" s="16" t="s">
        <v>1287</v>
      </c>
      <c r="C179" s="149">
        <f>DL!L176</f>
        <v>400</v>
      </c>
      <c r="D179" s="149">
        <f>DL!C176</f>
        <v>20</v>
      </c>
      <c r="E179" s="150"/>
      <c r="F179" s="463"/>
      <c r="G179" s="150"/>
      <c r="H179" s="150"/>
      <c r="I179" s="466"/>
      <c r="J179" s="159">
        <f>60*2</f>
        <v>120</v>
      </c>
      <c r="K179" s="168"/>
      <c r="L179" s="466"/>
      <c r="M179" s="150"/>
      <c r="N179" s="466"/>
      <c r="O179" s="150"/>
      <c r="P179" s="150"/>
      <c r="Q179" s="150"/>
      <c r="R179" s="472"/>
      <c r="S179" s="466"/>
      <c r="T179" s="150"/>
      <c r="U179" s="150"/>
      <c r="V179" s="150"/>
      <c r="W179" s="168"/>
      <c r="X179" s="150"/>
      <c r="Y179" s="466"/>
      <c r="Z179" s="455"/>
      <c r="AA179" s="150">
        <v>130</v>
      </c>
      <c r="AB179" s="490"/>
      <c r="AC179" s="150"/>
      <c r="AD179" s="150"/>
      <c r="AE179" s="466"/>
      <c r="AF179" s="499"/>
      <c r="AG179" s="150"/>
      <c r="AH179" s="150"/>
      <c r="AI179" s="150"/>
      <c r="AJ179" s="150"/>
      <c r="AK179" s="150"/>
      <c r="AL179" s="150"/>
      <c r="AM179" s="150"/>
      <c r="AN179" s="466"/>
      <c r="AO179" s="466"/>
      <c r="AP179" s="150"/>
      <c r="AQ179" s="150"/>
      <c r="AR179" s="151"/>
      <c r="AS179" s="456"/>
      <c r="AT179" s="466"/>
      <c r="AU179" s="150"/>
      <c r="AV179" s="487"/>
      <c r="AW179" s="150"/>
      <c r="AX179" s="150"/>
      <c r="AY179" s="466"/>
      <c r="AZ179" s="466"/>
      <c r="BA179" s="150"/>
      <c r="BB179" s="150"/>
      <c r="BC179" s="466"/>
      <c r="BD179" s="466">
        <v>195</v>
      </c>
      <c r="BE179" s="466">
        <v>400</v>
      </c>
      <c r="BF179" s="466"/>
      <c r="BG179" s="150"/>
      <c r="BH179" s="150"/>
      <c r="BI179" s="150"/>
      <c r="BJ179" s="470">
        <v>150</v>
      </c>
      <c r="BK179" s="152"/>
      <c r="BL179" s="160"/>
      <c r="BM179" s="150"/>
      <c r="BN179" s="466"/>
      <c r="BO179" s="150"/>
      <c r="BP179" s="516"/>
      <c r="BQ179" s="160"/>
      <c r="BR179" s="152"/>
      <c r="BS179" s="160"/>
    </row>
    <row r="180" spans="1:71" x14ac:dyDescent="0.3">
      <c r="A180" s="420">
        <f>DL!A177</f>
        <v>159</v>
      </c>
      <c r="B180" s="16" t="s">
        <v>511</v>
      </c>
      <c r="C180" s="149">
        <f>DL!L177</f>
        <v>32</v>
      </c>
      <c r="D180" s="149">
        <f>DL!C177</f>
        <v>100</v>
      </c>
      <c r="E180" s="150"/>
      <c r="F180" s="463"/>
      <c r="G180" s="150"/>
      <c r="H180" s="150"/>
      <c r="I180" s="466"/>
      <c r="J180" s="150"/>
      <c r="K180" s="168"/>
      <c r="L180" s="466"/>
      <c r="M180" s="150"/>
      <c r="N180" s="466"/>
      <c r="O180" s="150"/>
      <c r="P180" s="150"/>
      <c r="Q180" s="150"/>
      <c r="R180" s="472"/>
      <c r="S180" s="466">
        <v>5000</v>
      </c>
      <c r="T180" s="150"/>
      <c r="U180" s="150"/>
      <c r="V180" s="150"/>
      <c r="W180" s="168"/>
      <c r="X180" s="150"/>
      <c r="Y180" s="466"/>
      <c r="Z180" s="455"/>
      <c r="AA180" s="150"/>
      <c r="AB180" s="490"/>
      <c r="AC180" s="150"/>
      <c r="AD180" s="150"/>
      <c r="AE180" s="466"/>
      <c r="AF180" s="499"/>
      <c r="AG180" s="150"/>
      <c r="AH180" s="150"/>
      <c r="AI180" s="150"/>
      <c r="AJ180" s="150"/>
      <c r="AK180" s="150"/>
      <c r="AL180" s="150"/>
      <c r="AM180" s="150"/>
      <c r="AN180" s="466"/>
      <c r="AO180" s="466"/>
      <c r="AP180" s="150"/>
      <c r="AQ180" s="150"/>
      <c r="AR180" s="151"/>
      <c r="AS180" s="456"/>
      <c r="AT180" s="466"/>
      <c r="AU180" s="150"/>
      <c r="AV180" s="487"/>
      <c r="AW180" s="150"/>
      <c r="AX180" s="150"/>
      <c r="AY180" s="466"/>
      <c r="AZ180" s="466"/>
      <c r="BA180" s="150"/>
      <c r="BB180" s="150"/>
      <c r="BC180" s="466"/>
      <c r="BD180" s="466"/>
      <c r="BE180" s="466"/>
      <c r="BF180" s="466"/>
      <c r="BG180" s="150"/>
      <c r="BH180" s="150"/>
      <c r="BI180" s="150"/>
      <c r="BJ180" s="466"/>
      <c r="BK180" s="152"/>
      <c r="BL180" s="160"/>
      <c r="BM180" s="150"/>
      <c r="BN180" s="466"/>
      <c r="BO180" s="150"/>
      <c r="BP180" s="516"/>
      <c r="BQ180" s="160"/>
      <c r="BR180" s="152"/>
      <c r="BS180" s="160"/>
    </row>
    <row r="181" spans="1:71" x14ac:dyDescent="0.3">
      <c r="A181" s="420">
        <f>DL!A178</f>
        <v>160</v>
      </c>
      <c r="B181" s="16" t="s">
        <v>444</v>
      </c>
      <c r="C181" s="149">
        <f>DL!L178</f>
        <v>100</v>
      </c>
      <c r="D181" s="149">
        <f>DL!C178</f>
        <v>20</v>
      </c>
      <c r="E181" s="150"/>
      <c r="F181" s="463"/>
      <c r="G181" s="150"/>
      <c r="H181" s="150"/>
      <c r="I181" s="466"/>
      <c r="J181" s="150"/>
      <c r="K181" s="168"/>
      <c r="L181" s="466"/>
      <c r="M181" s="150"/>
      <c r="N181" s="466"/>
      <c r="O181" s="150"/>
      <c r="P181" s="150"/>
      <c r="Q181" s="150"/>
      <c r="R181" s="472"/>
      <c r="S181" s="466"/>
      <c r="T181" s="150"/>
      <c r="U181" s="150"/>
      <c r="V181" s="150"/>
      <c r="W181" s="168"/>
      <c r="X181" s="150"/>
      <c r="Y181" s="466"/>
      <c r="Z181" s="455"/>
      <c r="AA181" s="150"/>
      <c r="AB181" s="490"/>
      <c r="AC181" s="150"/>
      <c r="AD181" s="150"/>
      <c r="AE181" s="466"/>
      <c r="AF181" s="499"/>
      <c r="AG181" s="150"/>
      <c r="AH181" s="150"/>
      <c r="AI181" s="150"/>
      <c r="AJ181" s="150"/>
      <c r="AK181" s="150"/>
      <c r="AL181" s="150"/>
      <c r="AM181" s="150"/>
      <c r="AN181" s="466"/>
      <c r="AO181" s="466"/>
      <c r="AP181" s="150"/>
      <c r="AQ181" s="150"/>
      <c r="AR181" s="151"/>
      <c r="AS181" s="456"/>
      <c r="AT181" s="466"/>
      <c r="AU181" s="150"/>
      <c r="AV181" s="487"/>
      <c r="AW181" s="150"/>
      <c r="AX181" s="150"/>
      <c r="AY181" s="466"/>
      <c r="AZ181" s="466"/>
      <c r="BA181" s="150"/>
      <c r="BB181" s="150"/>
      <c r="BC181" s="466"/>
      <c r="BD181" s="466"/>
      <c r="BE181" s="466"/>
      <c r="BF181" s="466"/>
      <c r="BG181" s="150"/>
      <c r="BH181" s="150"/>
      <c r="BI181" s="150"/>
      <c r="BJ181" s="466"/>
      <c r="BK181" s="152"/>
      <c r="BL181" s="160"/>
      <c r="BM181" s="150"/>
      <c r="BN181" s="466"/>
      <c r="BO181" s="150"/>
      <c r="BP181" s="516"/>
      <c r="BQ181" s="160"/>
      <c r="BR181" s="152"/>
      <c r="BS181" s="160"/>
    </row>
    <row r="182" spans="1:71" x14ac:dyDescent="0.3">
      <c r="A182" s="420">
        <f>DL!A179</f>
        <v>161</v>
      </c>
      <c r="B182" s="16" t="s">
        <v>99</v>
      </c>
      <c r="C182" s="149">
        <f>DL!L179</f>
        <v>200</v>
      </c>
      <c r="D182" s="149">
        <f>DL!C179</f>
        <v>100</v>
      </c>
      <c r="E182" s="150"/>
      <c r="F182" s="463"/>
      <c r="G182" s="150"/>
      <c r="H182" s="150"/>
      <c r="I182" s="466"/>
      <c r="J182" s="150"/>
      <c r="K182" s="168"/>
      <c r="L182" s="466"/>
      <c r="M182" s="150"/>
      <c r="N182" s="466"/>
      <c r="O182" s="150"/>
      <c r="P182" s="150"/>
      <c r="Q182" s="150"/>
      <c r="R182" s="473">
        <v>166.23200000000003</v>
      </c>
      <c r="S182" s="466">
        <v>330</v>
      </c>
      <c r="T182" s="150"/>
      <c r="U182" s="150"/>
      <c r="V182" s="150"/>
      <c r="W182" s="168"/>
      <c r="X182" s="150"/>
      <c r="Y182" s="466"/>
      <c r="Z182" s="455"/>
      <c r="AA182" s="150"/>
      <c r="AB182" s="490"/>
      <c r="AC182" s="150"/>
      <c r="AD182" s="150"/>
      <c r="AE182" s="466"/>
      <c r="AF182" s="499"/>
      <c r="AG182" s="150">
        <v>850</v>
      </c>
      <c r="AH182" s="150"/>
      <c r="AI182" s="150"/>
      <c r="AJ182" s="150"/>
      <c r="AK182" s="150"/>
      <c r="AL182" s="150"/>
      <c r="AM182" s="150"/>
      <c r="AN182" s="466"/>
      <c r="AO182" s="466"/>
      <c r="AP182" s="150"/>
      <c r="AQ182" s="150"/>
      <c r="AR182" s="151"/>
      <c r="AS182" s="456"/>
      <c r="AT182" s="466"/>
      <c r="AU182" s="150"/>
      <c r="AV182" s="487"/>
      <c r="AW182" s="150"/>
      <c r="AX182" s="150"/>
      <c r="AY182" s="466"/>
      <c r="AZ182" s="466"/>
      <c r="BA182" s="150"/>
      <c r="BB182" s="150"/>
      <c r="BC182" s="466"/>
      <c r="BD182" s="466"/>
      <c r="BE182" s="466"/>
      <c r="BF182" s="466">
        <v>595.46</v>
      </c>
      <c r="BG182" s="150"/>
      <c r="BH182" s="150"/>
      <c r="BI182" s="150"/>
      <c r="BJ182" s="466"/>
      <c r="BK182" s="152"/>
      <c r="BL182" s="160"/>
      <c r="BM182" s="150"/>
      <c r="BN182" s="466"/>
      <c r="BO182" s="150"/>
      <c r="BP182" s="516"/>
      <c r="BQ182" s="160"/>
      <c r="BR182" s="152"/>
      <c r="BS182" s="160"/>
    </row>
    <row r="183" spans="1:71" x14ac:dyDescent="0.3">
      <c r="A183" s="420">
        <f>DL!A180</f>
        <v>162</v>
      </c>
      <c r="B183" s="16" t="s">
        <v>100</v>
      </c>
      <c r="C183" s="149">
        <v>400</v>
      </c>
      <c r="D183" s="149">
        <f>DL!C180</f>
        <v>100</v>
      </c>
      <c r="E183" s="150"/>
      <c r="F183" s="463"/>
      <c r="G183" s="150"/>
      <c r="H183" s="150"/>
      <c r="I183" s="466"/>
      <c r="J183" s="150"/>
      <c r="K183" s="168"/>
      <c r="L183" s="466"/>
      <c r="M183" s="150"/>
      <c r="N183" s="466"/>
      <c r="O183" s="150"/>
      <c r="P183" s="150"/>
      <c r="Q183" s="150"/>
      <c r="R183" s="473">
        <v>1880.5160000000001</v>
      </c>
      <c r="S183" s="466">
        <v>500</v>
      </c>
      <c r="T183" s="150">
        <v>430</v>
      </c>
      <c r="U183" s="150"/>
      <c r="V183" s="150"/>
      <c r="W183" s="168"/>
      <c r="X183" s="150"/>
      <c r="Y183" s="466"/>
      <c r="Z183" s="455"/>
      <c r="AA183" s="150"/>
      <c r="AB183" s="490"/>
      <c r="AC183" s="150"/>
      <c r="AD183" s="150"/>
      <c r="AE183" s="466"/>
      <c r="AF183" s="499"/>
      <c r="AG183" s="150">
        <v>950</v>
      </c>
      <c r="AH183" s="150"/>
      <c r="AI183" s="150"/>
      <c r="AJ183" s="150"/>
      <c r="AK183" s="150"/>
      <c r="AL183" s="150"/>
      <c r="AM183" s="150"/>
      <c r="AN183" s="466"/>
      <c r="AO183" s="466"/>
      <c r="AP183" s="150"/>
      <c r="AQ183" s="150"/>
      <c r="AR183" s="151"/>
      <c r="AS183" s="456"/>
      <c r="AT183" s="466"/>
      <c r="AU183" s="150"/>
      <c r="AV183" s="487"/>
      <c r="AW183" s="150"/>
      <c r="AX183" s="150">
        <v>495</v>
      </c>
      <c r="AY183" s="466"/>
      <c r="AZ183" s="466"/>
      <c r="BA183" s="150"/>
      <c r="BB183" s="150"/>
      <c r="BC183" s="466"/>
      <c r="BD183" s="466">
        <v>540</v>
      </c>
      <c r="BE183" s="466"/>
      <c r="BF183" s="466">
        <v>726.9</v>
      </c>
      <c r="BG183" s="150"/>
      <c r="BH183" s="150"/>
      <c r="BI183" s="150"/>
      <c r="BJ183" s="466"/>
      <c r="BK183" s="152"/>
      <c r="BL183" s="160"/>
      <c r="BM183" s="150"/>
      <c r="BN183" s="466"/>
      <c r="BO183" s="150"/>
      <c r="BP183" s="516"/>
      <c r="BQ183" s="160"/>
      <c r="BR183" s="152"/>
      <c r="BS183" s="160"/>
    </row>
    <row r="184" spans="1:71" x14ac:dyDescent="0.3">
      <c r="A184" s="420">
        <f>DL!A181</f>
        <v>163</v>
      </c>
      <c r="B184" s="16" t="s">
        <v>1288</v>
      </c>
      <c r="C184" s="149">
        <v>1000</v>
      </c>
      <c r="D184" s="149" t="str">
        <f>DL!C181</f>
        <v>BOTT</v>
      </c>
      <c r="E184" s="150"/>
      <c r="F184" s="463"/>
      <c r="G184" s="150">
        <v>1050</v>
      </c>
      <c r="H184" s="150"/>
      <c r="I184" s="466"/>
      <c r="J184" s="150"/>
      <c r="K184" s="168"/>
      <c r="L184" s="466"/>
      <c r="M184" s="150"/>
      <c r="N184" s="466"/>
      <c r="O184" s="150">
        <v>200</v>
      </c>
      <c r="P184" s="150">
        <v>250</v>
      </c>
      <c r="Q184" s="150"/>
      <c r="R184" s="473">
        <v>152.74</v>
      </c>
      <c r="S184" s="466">
        <v>130</v>
      </c>
      <c r="T184" s="150">
        <v>190</v>
      </c>
      <c r="U184" s="150"/>
      <c r="V184" s="150">
        <v>180</v>
      </c>
      <c r="W184" s="168"/>
      <c r="X184" s="150"/>
      <c r="Y184" s="466"/>
      <c r="Z184" s="455"/>
      <c r="AA184" s="150">
        <v>200</v>
      </c>
      <c r="AB184" s="490"/>
      <c r="AC184" s="150"/>
      <c r="AD184" s="150"/>
      <c r="AE184" s="466">
        <v>160</v>
      </c>
      <c r="AF184" s="499"/>
      <c r="AG184" s="150"/>
      <c r="AH184" s="150"/>
      <c r="AI184" s="150"/>
      <c r="AJ184" s="150"/>
      <c r="AK184" s="150">
        <v>175</v>
      </c>
      <c r="AL184" s="150"/>
      <c r="AM184" s="150"/>
      <c r="AN184" s="466"/>
      <c r="AO184" s="466"/>
      <c r="AP184" s="150"/>
      <c r="AQ184" s="150"/>
      <c r="AR184" s="151"/>
      <c r="AS184" s="456"/>
      <c r="AT184" s="466"/>
      <c r="AU184" s="150"/>
      <c r="AV184" s="487"/>
      <c r="AW184" s="150"/>
      <c r="AX184" s="150">
        <v>145</v>
      </c>
      <c r="AY184" s="466"/>
      <c r="AZ184" s="466"/>
      <c r="BA184" s="150"/>
      <c r="BB184" s="150">
        <v>231</v>
      </c>
      <c r="BC184" s="466"/>
      <c r="BD184" s="466">
        <v>158</v>
      </c>
      <c r="BE184" s="466">
        <v>180</v>
      </c>
      <c r="BF184" s="466">
        <v>202.23</v>
      </c>
      <c r="BG184" s="150"/>
      <c r="BH184" s="150"/>
      <c r="BI184" s="150"/>
      <c r="BJ184" s="466"/>
      <c r="BK184" s="152"/>
      <c r="BL184" s="160"/>
      <c r="BM184" s="150">
        <v>115</v>
      </c>
      <c r="BN184" s="466"/>
      <c r="BO184" s="150"/>
      <c r="BP184" s="516"/>
      <c r="BQ184" s="160"/>
      <c r="BR184" s="152"/>
      <c r="BS184" s="160"/>
    </row>
    <row r="185" spans="1:71" x14ac:dyDescent="0.3">
      <c r="A185" s="420">
        <f>DL!A182</f>
        <v>164</v>
      </c>
      <c r="B185" s="16" t="s">
        <v>1289</v>
      </c>
      <c r="C185" s="149">
        <f>DL!L182</f>
        <v>1200</v>
      </c>
      <c r="D185" s="149" t="str">
        <f>DL!C182</f>
        <v>TUBE</v>
      </c>
      <c r="E185" s="150"/>
      <c r="F185" s="463"/>
      <c r="G185" s="150"/>
      <c r="H185" s="150"/>
      <c r="I185" s="466"/>
      <c r="J185" s="150"/>
      <c r="K185" s="168"/>
      <c r="L185" s="466"/>
      <c r="M185" s="150"/>
      <c r="N185" s="466"/>
      <c r="O185" s="150"/>
      <c r="P185" s="150"/>
      <c r="Q185" s="150"/>
      <c r="R185" s="472"/>
      <c r="S185" s="466"/>
      <c r="T185" s="150"/>
      <c r="U185" s="150"/>
      <c r="V185" s="150"/>
      <c r="W185" s="168"/>
      <c r="X185" s="150"/>
      <c r="Y185" s="466"/>
      <c r="Z185" s="455"/>
      <c r="AA185" s="150"/>
      <c r="AB185" s="490"/>
      <c r="AC185" s="150"/>
      <c r="AD185" s="150"/>
      <c r="AE185" s="466"/>
      <c r="AF185" s="499"/>
      <c r="AG185" s="150"/>
      <c r="AH185" s="150"/>
      <c r="AI185" s="150"/>
      <c r="AJ185" s="150"/>
      <c r="AK185" s="150"/>
      <c r="AL185" s="150"/>
      <c r="AM185" s="150"/>
      <c r="AN185" s="466"/>
      <c r="AO185" s="466"/>
      <c r="AP185" s="150"/>
      <c r="AQ185" s="150"/>
      <c r="AR185" s="151"/>
      <c r="AS185" s="456"/>
      <c r="AT185" s="466"/>
      <c r="AU185" s="150"/>
      <c r="AV185" s="487"/>
      <c r="AW185" s="150"/>
      <c r="AX185" s="150"/>
      <c r="AY185" s="466"/>
      <c r="AZ185" s="466">
        <v>1450</v>
      </c>
      <c r="BA185" s="150"/>
      <c r="BB185" s="150"/>
      <c r="BC185" s="466"/>
      <c r="BD185" s="466"/>
      <c r="BE185" s="466">
        <v>2500</v>
      </c>
      <c r="BF185" s="466"/>
      <c r="BG185" s="150"/>
      <c r="BH185" s="150"/>
      <c r="BI185" s="150"/>
      <c r="BJ185" s="466"/>
      <c r="BK185" s="152"/>
      <c r="BL185" s="160"/>
      <c r="BM185" s="150"/>
      <c r="BN185" s="466"/>
      <c r="BO185" s="150"/>
      <c r="BP185" s="516"/>
      <c r="BQ185" s="160"/>
      <c r="BR185" s="152"/>
      <c r="BS185" s="160"/>
    </row>
    <row r="186" spans="1:71" x14ac:dyDescent="0.3">
      <c r="A186" s="420">
        <f>DL!A183</f>
        <v>165</v>
      </c>
      <c r="B186" s="16" t="s">
        <v>1290</v>
      </c>
      <c r="C186" s="149">
        <f>DL!L183</f>
        <v>600</v>
      </c>
      <c r="D186" s="149" t="str">
        <f>DL!C183</f>
        <v>TUBE</v>
      </c>
      <c r="E186" s="150"/>
      <c r="F186" s="463"/>
      <c r="G186" s="150"/>
      <c r="H186" s="150"/>
      <c r="I186" s="466"/>
      <c r="J186" s="150"/>
      <c r="K186" s="168"/>
      <c r="L186" s="466"/>
      <c r="M186" s="150"/>
      <c r="N186" s="466"/>
      <c r="O186" s="150"/>
      <c r="P186" s="150"/>
      <c r="Q186" s="150"/>
      <c r="R186" s="472"/>
      <c r="S186" s="466"/>
      <c r="T186" s="150"/>
      <c r="U186" s="150"/>
      <c r="V186" s="150"/>
      <c r="W186" s="168"/>
      <c r="X186" s="150"/>
      <c r="Y186" s="466"/>
      <c r="Z186" s="455"/>
      <c r="AA186" s="150"/>
      <c r="AB186" s="490"/>
      <c r="AC186" s="150"/>
      <c r="AD186" s="150"/>
      <c r="AE186" s="466"/>
      <c r="AF186" s="499"/>
      <c r="AG186" s="150"/>
      <c r="AH186" s="150"/>
      <c r="AI186" s="150"/>
      <c r="AJ186" s="150"/>
      <c r="AK186" s="150"/>
      <c r="AL186" s="150"/>
      <c r="AM186" s="150"/>
      <c r="AN186" s="466"/>
      <c r="AO186" s="466"/>
      <c r="AP186" s="150"/>
      <c r="AQ186" s="150"/>
      <c r="AR186" s="151"/>
      <c r="AS186" s="456"/>
      <c r="AT186" s="466"/>
      <c r="AU186" s="150"/>
      <c r="AV186" s="487"/>
      <c r="AW186" s="150"/>
      <c r="AX186" s="150"/>
      <c r="AY186" s="466"/>
      <c r="AZ186" s="466">
        <v>500</v>
      </c>
      <c r="BA186" s="150"/>
      <c r="BB186" s="150"/>
      <c r="BC186" s="466"/>
      <c r="BD186" s="466"/>
      <c r="BE186" s="466"/>
      <c r="BF186" s="466"/>
      <c r="BG186" s="150"/>
      <c r="BH186" s="150"/>
      <c r="BI186" s="150"/>
      <c r="BJ186" s="466"/>
      <c r="BK186" s="152"/>
      <c r="BL186" s="160"/>
      <c r="BM186" s="150"/>
      <c r="BN186" s="466"/>
      <c r="BO186" s="150"/>
      <c r="BP186" s="516"/>
      <c r="BQ186" s="160"/>
      <c r="BR186" s="152"/>
      <c r="BS186" s="160"/>
    </row>
    <row r="187" spans="1:71" x14ac:dyDescent="0.3">
      <c r="A187" s="420">
        <f>DL!A184</f>
        <v>166</v>
      </c>
      <c r="B187" s="16" t="s">
        <v>1291</v>
      </c>
      <c r="C187" s="149">
        <f>DL!L184</f>
        <v>200</v>
      </c>
      <c r="D187" s="149" t="str">
        <f>DL!C184</f>
        <v>TUBE</v>
      </c>
      <c r="E187" s="150"/>
      <c r="F187" s="463"/>
      <c r="G187" s="150"/>
      <c r="H187" s="150"/>
      <c r="I187" s="466"/>
      <c r="J187" s="150"/>
      <c r="K187" s="168"/>
      <c r="L187" s="466"/>
      <c r="M187" s="150"/>
      <c r="N187" s="466"/>
      <c r="O187" s="150"/>
      <c r="P187" s="150"/>
      <c r="Q187" s="150"/>
      <c r="R187" s="472"/>
      <c r="S187" s="466"/>
      <c r="T187" s="150"/>
      <c r="U187" s="150"/>
      <c r="V187" s="150"/>
      <c r="W187" s="168"/>
      <c r="X187" s="150"/>
      <c r="Y187" s="466"/>
      <c r="Z187" s="455"/>
      <c r="AA187" s="150"/>
      <c r="AB187" s="490"/>
      <c r="AC187" s="150"/>
      <c r="AD187" s="150"/>
      <c r="AE187" s="466"/>
      <c r="AF187" s="499"/>
      <c r="AG187" s="150"/>
      <c r="AH187" s="150"/>
      <c r="AI187" s="150"/>
      <c r="AJ187" s="150"/>
      <c r="AK187" s="150"/>
      <c r="AL187" s="150"/>
      <c r="AM187" s="150"/>
      <c r="AN187" s="466"/>
      <c r="AO187" s="466"/>
      <c r="AP187" s="150"/>
      <c r="AQ187" s="150"/>
      <c r="AR187" s="151"/>
      <c r="AS187" s="456"/>
      <c r="AT187" s="466"/>
      <c r="AU187" s="150"/>
      <c r="AV187" s="487"/>
      <c r="AW187" s="150"/>
      <c r="AX187" s="150"/>
      <c r="AY187" s="466"/>
      <c r="AZ187" s="466">
        <v>2950</v>
      </c>
      <c r="BA187" s="150"/>
      <c r="BB187" s="150"/>
      <c r="BC187" s="466"/>
      <c r="BD187" s="466"/>
      <c r="BE187" s="466">
        <v>3000</v>
      </c>
      <c r="BF187" s="466"/>
      <c r="BG187" s="150"/>
      <c r="BH187" s="150"/>
      <c r="BI187" s="150"/>
      <c r="BJ187" s="466"/>
      <c r="BK187" s="152"/>
      <c r="BL187" s="160"/>
      <c r="BM187" s="150"/>
      <c r="BN187" s="466"/>
      <c r="BO187" s="150"/>
      <c r="BP187" s="516"/>
      <c r="BQ187" s="160"/>
      <c r="BR187" s="152"/>
      <c r="BS187" s="160"/>
    </row>
    <row r="188" spans="1:71" x14ac:dyDescent="0.3">
      <c r="A188" s="420">
        <f>DL!A185</f>
        <v>167</v>
      </c>
      <c r="B188" s="16" t="s">
        <v>445</v>
      </c>
      <c r="C188" s="149">
        <f>DL!L185</f>
        <v>60</v>
      </c>
      <c r="D188" s="149">
        <f>DL!C185</f>
        <v>100</v>
      </c>
      <c r="E188" s="150"/>
      <c r="F188" s="463"/>
      <c r="G188" s="150"/>
      <c r="H188" s="150"/>
      <c r="I188" s="466"/>
      <c r="J188" s="150"/>
      <c r="K188" s="168"/>
      <c r="L188" s="466"/>
      <c r="M188" s="150"/>
      <c r="N188" s="466"/>
      <c r="O188" s="150"/>
      <c r="P188" s="150"/>
      <c r="Q188" s="150"/>
      <c r="R188" s="472"/>
      <c r="S188" s="466"/>
      <c r="T188" s="150"/>
      <c r="U188" s="150"/>
      <c r="V188" s="150"/>
      <c r="W188" s="168"/>
      <c r="X188" s="150"/>
      <c r="Y188" s="466"/>
      <c r="Z188" s="455"/>
      <c r="AA188" s="159">
        <f>150*10</f>
        <v>1500</v>
      </c>
      <c r="AB188" s="490"/>
      <c r="AC188" s="150"/>
      <c r="AD188" s="150"/>
      <c r="AE188" s="466"/>
      <c r="AF188" s="499"/>
      <c r="AG188" s="150"/>
      <c r="AH188" s="150"/>
      <c r="AI188" s="150">
        <v>350</v>
      </c>
      <c r="AJ188" s="150"/>
      <c r="AK188" s="150"/>
      <c r="AL188" s="150"/>
      <c r="AM188" s="150"/>
      <c r="AN188" s="466"/>
      <c r="AO188" s="466"/>
      <c r="AP188" s="150"/>
      <c r="AQ188" s="150"/>
      <c r="AR188" s="151"/>
      <c r="AS188" s="456"/>
      <c r="AT188" s="466"/>
      <c r="AU188" s="159"/>
      <c r="AV188" s="487"/>
      <c r="AW188" s="150"/>
      <c r="AX188" s="150"/>
      <c r="AY188" s="466"/>
      <c r="AZ188" s="466"/>
      <c r="BA188" s="150"/>
      <c r="BB188" s="150"/>
      <c r="BC188" s="466"/>
      <c r="BD188" s="466"/>
      <c r="BE188" s="466"/>
      <c r="BF188" s="466"/>
      <c r="BG188" s="150"/>
      <c r="BH188" s="150"/>
      <c r="BI188" s="150"/>
      <c r="BJ188" s="466"/>
      <c r="BK188" s="152"/>
      <c r="BL188" s="160"/>
      <c r="BM188" s="150"/>
      <c r="BN188" s="466">
        <v>750.8</v>
      </c>
      <c r="BO188" s="150"/>
      <c r="BP188" s="516"/>
      <c r="BQ188" s="160"/>
      <c r="BR188" s="152"/>
      <c r="BS188" s="160"/>
    </row>
    <row r="189" spans="1:71" x14ac:dyDescent="0.3">
      <c r="A189" s="420">
        <f>DL!A186</f>
        <v>168</v>
      </c>
      <c r="B189" s="16" t="s">
        <v>701</v>
      </c>
      <c r="C189" s="149">
        <f>DL!L186</f>
        <v>40</v>
      </c>
      <c r="D189" s="149">
        <f>DL!C186</f>
        <v>10</v>
      </c>
      <c r="E189" s="150"/>
      <c r="F189" s="463"/>
      <c r="G189" s="150">
        <v>400</v>
      </c>
      <c r="H189" s="150"/>
      <c r="I189" s="466"/>
      <c r="J189" s="150"/>
      <c r="K189" s="168"/>
      <c r="L189" s="466"/>
      <c r="M189" s="150"/>
      <c r="N189" s="466"/>
      <c r="O189" s="150"/>
      <c r="P189" s="150"/>
      <c r="Q189" s="150"/>
      <c r="R189" s="472"/>
      <c r="S189" s="466">
        <v>550</v>
      </c>
      <c r="T189" s="150"/>
      <c r="U189" s="150"/>
      <c r="V189" s="150"/>
      <c r="W189" s="168"/>
      <c r="X189" s="150"/>
      <c r="Y189" s="466"/>
      <c r="Z189" s="455"/>
      <c r="AA189" s="150"/>
      <c r="AB189" s="490"/>
      <c r="AC189" s="150"/>
      <c r="AD189" s="150"/>
      <c r="AE189" s="466"/>
      <c r="AF189" s="499"/>
      <c r="AG189" s="150">
        <v>485</v>
      </c>
      <c r="AH189" s="150"/>
      <c r="AI189" s="159"/>
      <c r="AJ189" s="150">
        <v>450</v>
      </c>
      <c r="AK189" s="150"/>
      <c r="AL189" s="150"/>
      <c r="AM189" s="150"/>
      <c r="AN189" s="466"/>
      <c r="AO189" s="466"/>
      <c r="AP189" s="150"/>
      <c r="AQ189" s="150"/>
      <c r="AR189" s="151"/>
      <c r="AS189" s="456"/>
      <c r="AT189" s="466"/>
      <c r="AU189" s="159"/>
      <c r="AV189" s="487"/>
      <c r="AW189" s="150"/>
      <c r="AX189" s="150"/>
      <c r="AY189" s="466"/>
      <c r="AZ189" s="466"/>
      <c r="BA189" s="150"/>
      <c r="BB189" s="150"/>
      <c r="BC189" s="466"/>
      <c r="BD189" s="466"/>
      <c r="BE189" s="466"/>
      <c r="BF189" s="466"/>
      <c r="BG189" s="150"/>
      <c r="BH189" s="150"/>
      <c r="BI189" s="150"/>
      <c r="BJ189" s="466"/>
      <c r="BK189" s="152"/>
      <c r="BL189" s="160"/>
      <c r="BM189" s="150"/>
      <c r="BN189" s="466"/>
      <c r="BO189" s="150"/>
      <c r="BP189" s="516"/>
      <c r="BQ189" s="160"/>
      <c r="BR189" s="152"/>
      <c r="BS189" s="160"/>
    </row>
    <row r="190" spans="1:71" x14ac:dyDescent="0.3">
      <c r="A190" s="420">
        <f>DL!A187</f>
        <v>169</v>
      </c>
      <c r="B190" s="19" t="s">
        <v>446</v>
      </c>
      <c r="C190" s="149">
        <f>DL!L187</f>
        <v>300</v>
      </c>
      <c r="D190" s="149" t="str">
        <f>DL!C187</f>
        <v>VIAL</v>
      </c>
      <c r="E190" s="150"/>
      <c r="F190" s="463"/>
      <c r="G190" s="150"/>
      <c r="H190" s="150"/>
      <c r="I190" s="466"/>
      <c r="J190" s="150"/>
      <c r="K190" s="168"/>
      <c r="L190" s="466"/>
      <c r="M190" s="150"/>
      <c r="N190" s="466"/>
      <c r="O190" s="150"/>
      <c r="P190" s="150"/>
      <c r="Q190" s="150"/>
      <c r="R190" s="472"/>
      <c r="S190" s="466">
        <v>750</v>
      </c>
      <c r="T190" s="150"/>
      <c r="U190" s="150"/>
      <c r="V190" s="150"/>
      <c r="W190" s="168"/>
      <c r="X190" s="150"/>
      <c r="Y190" s="466"/>
      <c r="Z190" s="455"/>
      <c r="AA190" s="150"/>
      <c r="AB190" s="490"/>
      <c r="AC190" s="150"/>
      <c r="AD190" s="150"/>
      <c r="AE190" s="466"/>
      <c r="AF190" s="499"/>
      <c r="AG190" s="150"/>
      <c r="AH190" s="150"/>
      <c r="AI190" s="150"/>
      <c r="AJ190" s="150"/>
      <c r="AK190" s="150"/>
      <c r="AL190" s="150"/>
      <c r="AM190" s="150"/>
      <c r="AN190" s="466"/>
      <c r="AO190" s="466"/>
      <c r="AP190" s="150"/>
      <c r="AQ190" s="150"/>
      <c r="AR190" s="151"/>
      <c r="AS190" s="456"/>
      <c r="AT190" s="466"/>
      <c r="AU190" s="159"/>
      <c r="AV190" s="487"/>
      <c r="AW190" s="150"/>
      <c r="AX190" s="150"/>
      <c r="AY190" s="466"/>
      <c r="AZ190" s="466"/>
      <c r="BA190" s="150"/>
      <c r="BB190" s="150"/>
      <c r="BC190" s="466"/>
      <c r="BD190" s="466"/>
      <c r="BE190" s="466"/>
      <c r="BF190" s="466"/>
      <c r="BG190" s="150"/>
      <c r="BH190" s="150"/>
      <c r="BI190" s="150"/>
      <c r="BJ190" s="466"/>
      <c r="BK190" s="152"/>
      <c r="BL190" s="160"/>
      <c r="BM190" s="150"/>
      <c r="BN190" s="466"/>
      <c r="BO190" s="150"/>
      <c r="BP190" s="516"/>
      <c r="BQ190" s="160"/>
      <c r="BR190" s="152"/>
      <c r="BS190" s="160"/>
    </row>
    <row r="191" spans="1:71" x14ac:dyDescent="0.3">
      <c r="A191" s="420">
        <f>DL!A188</f>
        <v>170</v>
      </c>
      <c r="B191" s="16" t="s">
        <v>744</v>
      </c>
      <c r="C191" s="149">
        <f>DL!L188</f>
        <v>1500</v>
      </c>
      <c r="D191" s="149">
        <f>DL!C188</f>
        <v>30</v>
      </c>
      <c r="E191" s="150"/>
      <c r="F191" s="463"/>
      <c r="G191" s="150"/>
      <c r="H191" s="150"/>
      <c r="I191" s="466"/>
      <c r="J191" s="150"/>
      <c r="K191" s="168"/>
      <c r="L191" s="466"/>
      <c r="M191" s="150"/>
      <c r="N191" s="466"/>
      <c r="O191" s="150"/>
      <c r="P191" s="150"/>
      <c r="Q191" s="150"/>
      <c r="R191" s="472"/>
      <c r="S191" s="466"/>
      <c r="T191" s="150"/>
      <c r="U191" s="150"/>
      <c r="V191" s="150"/>
      <c r="W191" s="168"/>
      <c r="X191" s="150"/>
      <c r="Y191" s="466"/>
      <c r="Z191" s="455"/>
      <c r="AA191" s="150"/>
      <c r="AB191" s="490"/>
      <c r="AC191" s="150"/>
      <c r="AD191" s="150"/>
      <c r="AE191" s="466"/>
      <c r="AF191" s="499"/>
      <c r="AG191" s="150"/>
      <c r="AH191" s="150"/>
      <c r="AI191" s="159"/>
      <c r="AJ191" s="150"/>
      <c r="AK191" s="150"/>
      <c r="AL191" s="150"/>
      <c r="AM191" s="150"/>
      <c r="AN191" s="466"/>
      <c r="AO191" s="466">
        <v>1795</v>
      </c>
      <c r="AP191" s="150"/>
      <c r="AQ191" s="150"/>
      <c r="AR191" s="151"/>
      <c r="AS191" s="456"/>
      <c r="AT191" s="466"/>
      <c r="AU191" s="159"/>
      <c r="AV191" s="487"/>
      <c r="AW191" s="150"/>
      <c r="AX191" s="150"/>
      <c r="AY191" s="466"/>
      <c r="AZ191" s="466"/>
      <c r="BA191" s="150"/>
      <c r="BB191" s="150"/>
      <c r="BC191" s="466"/>
      <c r="BD191" s="466"/>
      <c r="BE191" s="466"/>
      <c r="BF191" s="466"/>
      <c r="BG191" s="150"/>
      <c r="BH191" s="150"/>
      <c r="BI191" s="150"/>
      <c r="BJ191" s="466"/>
      <c r="BK191" s="152"/>
      <c r="BL191" s="160"/>
      <c r="BM191" s="150"/>
      <c r="BN191" s="466"/>
      <c r="BO191" s="150">
        <v>2805</v>
      </c>
      <c r="BP191" s="516"/>
      <c r="BQ191" s="160"/>
      <c r="BR191" s="152"/>
      <c r="BS191" s="160"/>
    </row>
    <row r="192" spans="1:71" x14ac:dyDescent="0.3">
      <c r="A192" s="420">
        <f>DL!A189</f>
        <v>171</v>
      </c>
      <c r="B192" s="16" t="s">
        <v>440</v>
      </c>
      <c r="C192" s="149">
        <f>DL!L189</f>
        <v>4</v>
      </c>
      <c r="D192" s="149">
        <f>DL!C189</f>
        <v>10</v>
      </c>
      <c r="E192" s="150"/>
      <c r="F192" s="463"/>
      <c r="G192" s="150"/>
      <c r="H192" s="150"/>
      <c r="I192" s="466"/>
      <c r="J192" s="150"/>
      <c r="K192" s="168"/>
      <c r="L192" s="466"/>
      <c r="M192" s="150"/>
      <c r="N192" s="466"/>
      <c r="O192" s="150"/>
      <c r="P192" s="150"/>
      <c r="Q192" s="150"/>
      <c r="R192" s="472"/>
      <c r="S192" s="466"/>
      <c r="T192" s="150"/>
      <c r="U192" s="150"/>
      <c r="V192" s="150"/>
      <c r="W192" s="168"/>
      <c r="X192" s="150"/>
      <c r="Y192" s="466"/>
      <c r="Z192" s="455"/>
      <c r="AA192" s="150"/>
      <c r="AB192" s="490"/>
      <c r="AC192" s="150"/>
      <c r="AD192" s="150"/>
      <c r="AE192" s="466"/>
      <c r="AF192" s="499"/>
      <c r="AG192" s="150"/>
      <c r="AH192" s="150"/>
      <c r="AI192" s="150"/>
      <c r="AJ192" s="150"/>
      <c r="AK192" s="150"/>
      <c r="AL192" s="150"/>
      <c r="AM192" s="150"/>
      <c r="AN192" s="466"/>
      <c r="AO192" s="466"/>
      <c r="AP192" s="150"/>
      <c r="AQ192" s="150"/>
      <c r="AR192" s="151"/>
      <c r="AS192" s="456"/>
      <c r="AT192" s="466"/>
      <c r="AU192" s="150"/>
      <c r="AV192" s="487"/>
      <c r="AW192" s="150"/>
      <c r="AX192" s="150"/>
      <c r="AY192" s="466"/>
      <c r="AZ192" s="466"/>
      <c r="BA192" s="150"/>
      <c r="BB192" s="150"/>
      <c r="BC192" s="466"/>
      <c r="BD192" s="466"/>
      <c r="BE192" s="466"/>
      <c r="BF192" s="466"/>
      <c r="BG192" s="150"/>
      <c r="BH192" s="150"/>
      <c r="BI192" s="150"/>
      <c r="BJ192" s="466"/>
      <c r="BK192" s="152"/>
      <c r="BL192" s="160"/>
      <c r="BM192" s="150"/>
      <c r="BN192" s="466"/>
      <c r="BO192" s="150"/>
      <c r="BP192" s="516"/>
      <c r="BQ192" s="160"/>
      <c r="BR192" s="152"/>
      <c r="BS192" s="160"/>
    </row>
    <row r="193" spans="1:71" x14ac:dyDescent="0.3">
      <c r="A193" s="420">
        <f>DL!A190</f>
        <v>172</v>
      </c>
      <c r="B193" s="16" t="s">
        <v>441</v>
      </c>
      <c r="C193" s="149">
        <f>DL!L190</f>
        <v>4</v>
      </c>
      <c r="D193" s="149">
        <f>DL!C190</f>
        <v>10</v>
      </c>
      <c r="E193" s="150"/>
      <c r="F193" s="463"/>
      <c r="G193" s="150"/>
      <c r="H193" s="150"/>
      <c r="I193" s="466"/>
      <c r="J193" s="150"/>
      <c r="K193" s="168"/>
      <c r="L193" s="466"/>
      <c r="M193" s="150"/>
      <c r="N193" s="466"/>
      <c r="O193" s="150"/>
      <c r="P193" s="150"/>
      <c r="Q193" s="150"/>
      <c r="R193" s="472"/>
      <c r="S193" s="466"/>
      <c r="T193" s="150"/>
      <c r="U193" s="150"/>
      <c r="V193" s="150"/>
      <c r="W193" s="168"/>
      <c r="X193" s="150"/>
      <c r="Y193" s="466"/>
      <c r="Z193" s="455"/>
      <c r="AA193" s="150"/>
      <c r="AB193" s="490"/>
      <c r="AC193" s="150"/>
      <c r="AD193" s="150"/>
      <c r="AE193" s="466"/>
      <c r="AF193" s="499"/>
      <c r="AG193" s="150"/>
      <c r="AH193" s="150"/>
      <c r="AI193" s="150"/>
      <c r="AJ193" s="150"/>
      <c r="AK193" s="150"/>
      <c r="AL193" s="150"/>
      <c r="AM193" s="150"/>
      <c r="AN193" s="466"/>
      <c r="AO193" s="466"/>
      <c r="AP193" s="150"/>
      <c r="AQ193" s="150"/>
      <c r="AR193" s="151"/>
      <c r="AS193" s="456"/>
      <c r="AT193" s="466"/>
      <c r="AU193" s="150"/>
      <c r="AV193" s="487"/>
      <c r="AW193" s="150"/>
      <c r="AX193" s="150"/>
      <c r="AY193" s="466"/>
      <c r="AZ193" s="466"/>
      <c r="BA193" s="150"/>
      <c r="BB193" s="150"/>
      <c r="BC193" s="466"/>
      <c r="BD193" s="466"/>
      <c r="BE193" s="466"/>
      <c r="BF193" s="466"/>
      <c r="BG193" s="150"/>
      <c r="BH193" s="150"/>
      <c r="BI193" s="150"/>
      <c r="BJ193" s="466"/>
      <c r="BK193" s="152"/>
      <c r="BL193" s="160"/>
      <c r="BM193" s="150"/>
      <c r="BN193" s="466"/>
      <c r="BO193" s="150"/>
      <c r="BP193" s="516"/>
      <c r="BQ193" s="160"/>
      <c r="BR193" s="152"/>
      <c r="BS193" s="160"/>
    </row>
    <row r="194" spans="1:71" x14ac:dyDescent="0.3">
      <c r="A194" s="420">
        <f>DL!A191</f>
        <v>173</v>
      </c>
      <c r="B194" s="16" t="s">
        <v>437</v>
      </c>
      <c r="C194" s="149">
        <f>DL!L191</f>
        <v>10</v>
      </c>
      <c r="D194" s="149" t="str">
        <f>DL!C191</f>
        <v>25G</v>
      </c>
      <c r="E194" s="150"/>
      <c r="F194" s="463"/>
      <c r="G194" s="150"/>
      <c r="H194" s="150"/>
      <c r="I194" s="466"/>
      <c r="J194" s="150"/>
      <c r="K194" s="168"/>
      <c r="L194" s="466"/>
      <c r="M194" s="150"/>
      <c r="N194" s="466"/>
      <c r="O194" s="150"/>
      <c r="P194" s="150"/>
      <c r="Q194" s="150"/>
      <c r="R194" s="472"/>
      <c r="S194" s="466"/>
      <c r="T194" s="150"/>
      <c r="U194" s="150"/>
      <c r="V194" s="150"/>
      <c r="W194" s="168"/>
      <c r="X194" s="150"/>
      <c r="Y194" s="466"/>
      <c r="Z194" s="455"/>
      <c r="AA194" s="150"/>
      <c r="AB194" s="490"/>
      <c r="AC194" s="150"/>
      <c r="AD194" s="150"/>
      <c r="AE194" s="466"/>
      <c r="AF194" s="499"/>
      <c r="AG194" s="150"/>
      <c r="AH194" s="150"/>
      <c r="AI194" s="150"/>
      <c r="AJ194" s="150"/>
      <c r="AK194" s="150"/>
      <c r="AL194" s="150"/>
      <c r="AM194" s="150"/>
      <c r="AN194" s="466"/>
      <c r="AO194" s="466"/>
      <c r="AP194" s="150"/>
      <c r="AQ194" s="150"/>
      <c r="AR194" s="151"/>
      <c r="AS194" s="456"/>
      <c r="AT194" s="466"/>
      <c r="AU194" s="150"/>
      <c r="AV194" s="487"/>
      <c r="AW194" s="150"/>
      <c r="AX194" s="150"/>
      <c r="AY194" s="466"/>
      <c r="AZ194" s="466"/>
      <c r="BA194" s="150"/>
      <c r="BB194" s="150"/>
      <c r="BC194" s="466"/>
      <c r="BD194" s="466"/>
      <c r="BE194" s="466"/>
      <c r="BF194" s="466"/>
      <c r="BG194" s="150"/>
      <c r="BH194" s="150"/>
      <c r="BI194" s="150"/>
      <c r="BJ194" s="466"/>
      <c r="BK194" s="152"/>
      <c r="BL194" s="160"/>
      <c r="BM194" s="150"/>
      <c r="BN194" s="466"/>
      <c r="BO194" s="150"/>
      <c r="BP194" s="516"/>
      <c r="BQ194" s="160"/>
      <c r="BR194" s="152"/>
      <c r="BS194" s="160"/>
    </row>
    <row r="195" spans="1:71" x14ac:dyDescent="0.3">
      <c r="A195" s="420">
        <f>DL!A192</f>
        <v>174</v>
      </c>
      <c r="B195" s="16" t="s">
        <v>1292</v>
      </c>
      <c r="C195" s="149">
        <f>DL!L192</f>
        <v>40</v>
      </c>
      <c r="D195" s="149" t="str">
        <f>DL!C192</f>
        <v>AMP</v>
      </c>
      <c r="E195" s="150"/>
      <c r="F195" s="463"/>
      <c r="G195" s="150"/>
      <c r="H195" s="150"/>
      <c r="I195" s="466"/>
      <c r="J195" s="150"/>
      <c r="K195" s="168"/>
      <c r="L195" s="466"/>
      <c r="M195" s="150"/>
      <c r="N195" s="466"/>
      <c r="O195" s="150"/>
      <c r="P195" s="150"/>
      <c r="Q195" s="150"/>
      <c r="R195" s="472"/>
      <c r="S195" s="466"/>
      <c r="T195" s="150"/>
      <c r="U195" s="150"/>
      <c r="V195" s="150"/>
      <c r="W195" s="168"/>
      <c r="X195" s="150"/>
      <c r="Y195" s="466"/>
      <c r="Z195" s="455"/>
      <c r="AA195" s="150"/>
      <c r="AB195" s="490"/>
      <c r="AC195" s="150"/>
      <c r="AD195" s="150"/>
      <c r="AE195" s="466"/>
      <c r="AF195" s="499"/>
      <c r="AG195" s="150"/>
      <c r="AH195" s="150"/>
      <c r="AI195" s="150"/>
      <c r="AJ195" s="150"/>
      <c r="AK195" s="150"/>
      <c r="AL195" s="150"/>
      <c r="AM195" s="150"/>
      <c r="AN195" s="466"/>
      <c r="AO195" s="466"/>
      <c r="AP195" s="150"/>
      <c r="AQ195" s="150"/>
      <c r="AR195" s="151"/>
      <c r="AS195" s="456"/>
      <c r="AT195" s="466"/>
      <c r="AU195" s="150"/>
      <c r="AV195" s="487"/>
      <c r="AW195" s="150"/>
      <c r="AX195" s="150"/>
      <c r="AY195" s="466"/>
      <c r="AZ195" s="466"/>
      <c r="BA195" s="150"/>
      <c r="BB195" s="150"/>
      <c r="BC195" s="466"/>
      <c r="BD195" s="466"/>
      <c r="BE195" s="466"/>
      <c r="BF195" s="466"/>
      <c r="BG195" s="150"/>
      <c r="BH195" s="150"/>
      <c r="BI195" s="150"/>
      <c r="BJ195" s="466"/>
      <c r="BK195" s="152"/>
      <c r="BL195" s="160"/>
      <c r="BM195" s="150"/>
      <c r="BN195" s="466"/>
      <c r="BO195" s="150"/>
      <c r="BP195" s="516"/>
      <c r="BQ195" s="160"/>
      <c r="BR195" s="152"/>
      <c r="BS195" s="160"/>
    </row>
    <row r="196" spans="1:71" x14ac:dyDescent="0.3">
      <c r="A196" s="420">
        <f>DL!A193</f>
        <v>175</v>
      </c>
      <c r="B196" s="16" t="s">
        <v>1293</v>
      </c>
      <c r="C196" s="149">
        <f>DL!L193</f>
        <v>40</v>
      </c>
      <c r="D196" s="149">
        <f>DL!C193</f>
        <v>32</v>
      </c>
      <c r="E196" s="150"/>
      <c r="F196" s="463"/>
      <c r="G196" s="150"/>
      <c r="H196" s="150"/>
      <c r="I196" s="466"/>
      <c r="J196" s="150"/>
      <c r="K196" s="168"/>
      <c r="L196" s="466"/>
      <c r="M196" s="150"/>
      <c r="N196" s="466"/>
      <c r="O196" s="150"/>
      <c r="P196" s="150"/>
      <c r="Q196" s="150"/>
      <c r="R196" s="472"/>
      <c r="S196" s="466"/>
      <c r="T196" s="150"/>
      <c r="U196" s="150"/>
      <c r="V196" s="150"/>
      <c r="W196" s="168"/>
      <c r="X196" s="150"/>
      <c r="Y196" s="466"/>
      <c r="Z196" s="455"/>
      <c r="AA196" s="150"/>
      <c r="AB196" s="490"/>
      <c r="AC196" s="150"/>
      <c r="AD196" s="150"/>
      <c r="AE196" s="466"/>
      <c r="AF196" s="499"/>
      <c r="AG196" s="150"/>
      <c r="AH196" s="150"/>
      <c r="AI196" s="150"/>
      <c r="AJ196" s="150"/>
      <c r="AK196" s="150"/>
      <c r="AL196" s="150"/>
      <c r="AM196" s="150"/>
      <c r="AN196" s="466"/>
      <c r="AO196" s="466"/>
      <c r="AP196" s="150"/>
      <c r="AQ196" s="150"/>
      <c r="AR196" s="151"/>
      <c r="AS196" s="456"/>
      <c r="AT196" s="466"/>
      <c r="AU196" s="150"/>
      <c r="AV196" s="487"/>
      <c r="AW196" s="150"/>
      <c r="AX196" s="150"/>
      <c r="AY196" s="466"/>
      <c r="AZ196" s="466"/>
      <c r="BA196" s="150"/>
      <c r="BB196" s="150"/>
      <c r="BC196" s="466"/>
      <c r="BD196" s="466"/>
      <c r="BE196" s="466"/>
      <c r="BF196" s="466"/>
      <c r="BG196" s="150"/>
      <c r="BH196" s="150"/>
      <c r="BI196" s="150"/>
      <c r="BJ196" s="466"/>
      <c r="BK196" s="152"/>
      <c r="BL196" s="160"/>
      <c r="BM196" s="150"/>
      <c r="BN196" s="466"/>
      <c r="BO196" s="150"/>
      <c r="BP196" s="516"/>
      <c r="BQ196" s="160"/>
      <c r="BR196" s="152"/>
      <c r="BS196" s="160"/>
    </row>
    <row r="197" spans="1:71" x14ac:dyDescent="0.3">
      <c r="A197" s="420">
        <f>DL!A194</f>
        <v>176</v>
      </c>
      <c r="B197" s="16" t="s">
        <v>1294</v>
      </c>
      <c r="C197" s="149">
        <f>DL!L194</f>
        <v>20</v>
      </c>
      <c r="D197" s="149">
        <f>DL!C194</f>
        <v>100</v>
      </c>
      <c r="E197" s="150"/>
      <c r="F197" s="463"/>
      <c r="G197" s="150"/>
      <c r="H197" s="150"/>
      <c r="I197" s="466"/>
      <c r="J197" s="150"/>
      <c r="K197" s="168"/>
      <c r="L197" s="466"/>
      <c r="M197" s="150"/>
      <c r="N197" s="466"/>
      <c r="O197" s="150"/>
      <c r="P197" s="150"/>
      <c r="Q197" s="150"/>
      <c r="R197" s="472"/>
      <c r="S197" s="466">
        <v>3200</v>
      </c>
      <c r="T197" s="150"/>
      <c r="U197" s="150"/>
      <c r="V197" s="150"/>
      <c r="W197" s="168"/>
      <c r="X197" s="150"/>
      <c r="Y197" s="466"/>
      <c r="Z197" s="455"/>
      <c r="AA197" s="150"/>
      <c r="AB197" s="490"/>
      <c r="AC197" s="150"/>
      <c r="AD197" s="150"/>
      <c r="AE197" s="466"/>
      <c r="AF197" s="499"/>
      <c r="AG197" s="150"/>
      <c r="AH197" s="150"/>
      <c r="AI197" s="150"/>
      <c r="AJ197" s="150"/>
      <c r="AK197" s="150"/>
      <c r="AL197" s="150"/>
      <c r="AM197" s="150"/>
      <c r="AN197" s="466"/>
      <c r="AO197" s="466"/>
      <c r="AP197" s="150"/>
      <c r="AQ197" s="150"/>
      <c r="AR197" s="151"/>
      <c r="AS197" s="456"/>
      <c r="AT197" s="466"/>
      <c r="AU197" s="150"/>
      <c r="AV197" s="487"/>
      <c r="AW197" s="150"/>
      <c r="AX197" s="150"/>
      <c r="AY197" s="466"/>
      <c r="AZ197" s="466"/>
      <c r="BA197" s="150"/>
      <c r="BB197" s="150"/>
      <c r="BC197" s="466"/>
      <c r="BD197" s="466"/>
      <c r="BE197" s="466"/>
      <c r="BF197" s="466"/>
      <c r="BG197" s="150"/>
      <c r="BH197" s="150"/>
      <c r="BI197" s="150"/>
      <c r="BJ197" s="466"/>
      <c r="BK197" s="152"/>
      <c r="BL197" s="160"/>
      <c r="BM197" s="150"/>
      <c r="BN197" s="466"/>
      <c r="BO197" s="150"/>
      <c r="BP197" s="516"/>
      <c r="BQ197" s="160"/>
      <c r="BR197" s="152"/>
      <c r="BS197" s="160"/>
    </row>
    <row r="198" spans="1:71" x14ac:dyDescent="0.3">
      <c r="A198" s="420">
        <f>DL!A195</f>
        <v>177</v>
      </c>
      <c r="B198" s="16" t="s">
        <v>103</v>
      </c>
      <c r="C198" s="149">
        <v>2000</v>
      </c>
      <c r="D198" s="149">
        <f>DL!C195</f>
        <v>100</v>
      </c>
      <c r="E198" s="150"/>
      <c r="F198" s="463"/>
      <c r="G198" s="150"/>
      <c r="H198" s="150"/>
      <c r="I198" s="466"/>
      <c r="J198" s="150"/>
      <c r="K198" s="168"/>
      <c r="L198" s="466"/>
      <c r="M198" s="150"/>
      <c r="N198" s="466"/>
      <c r="O198" s="150"/>
      <c r="P198" s="150"/>
      <c r="Q198" s="150"/>
      <c r="R198" s="472"/>
      <c r="S198" s="466">
        <v>1950</v>
      </c>
      <c r="T198" s="150"/>
      <c r="U198" s="150"/>
      <c r="V198" s="150"/>
      <c r="W198" s="168"/>
      <c r="X198" s="150"/>
      <c r="Y198" s="466"/>
      <c r="Z198" s="455"/>
      <c r="AA198" s="150"/>
      <c r="AB198" s="490"/>
      <c r="AC198" s="150"/>
      <c r="AD198" s="150"/>
      <c r="AE198" s="466"/>
      <c r="AF198" s="499"/>
      <c r="AG198" s="150">
        <v>1700</v>
      </c>
      <c r="AH198" s="150"/>
      <c r="AI198" s="150"/>
      <c r="AJ198" s="150">
        <v>1550</v>
      </c>
      <c r="AK198" s="150"/>
      <c r="AL198" s="150"/>
      <c r="AM198" s="150"/>
      <c r="AN198" s="466"/>
      <c r="AO198" s="466"/>
      <c r="AP198" s="150"/>
      <c r="AQ198" s="150"/>
      <c r="AR198" s="151"/>
      <c r="AS198" s="456"/>
      <c r="AT198" s="466"/>
      <c r="AU198" s="150"/>
      <c r="AV198" s="487"/>
      <c r="AW198" s="150"/>
      <c r="AX198" s="150"/>
      <c r="AY198" s="466"/>
      <c r="AZ198" s="466"/>
      <c r="BA198" s="150"/>
      <c r="BB198" s="150"/>
      <c r="BC198" s="466"/>
      <c r="BD198" s="466"/>
      <c r="BE198" s="466">
        <v>1800</v>
      </c>
      <c r="BF198" s="466"/>
      <c r="BG198" s="150"/>
      <c r="BH198" s="150"/>
      <c r="BI198" s="150"/>
      <c r="BJ198" s="466"/>
      <c r="BK198" s="152"/>
      <c r="BL198" s="160"/>
      <c r="BM198" s="150"/>
      <c r="BN198" s="466"/>
      <c r="BO198" s="150"/>
      <c r="BP198" s="516"/>
      <c r="BQ198" s="160"/>
      <c r="BR198" s="152"/>
      <c r="BS198" s="160"/>
    </row>
    <row r="199" spans="1:71" x14ac:dyDescent="0.3">
      <c r="A199" s="420">
        <f>DL!A196</f>
        <v>178</v>
      </c>
      <c r="B199" s="16" t="s">
        <v>104</v>
      </c>
      <c r="C199" s="149">
        <f>DL!L196</f>
        <v>80</v>
      </c>
      <c r="D199" s="149">
        <f>DL!C196</f>
        <v>100</v>
      </c>
      <c r="E199" s="150"/>
      <c r="F199" s="463"/>
      <c r="G199" s="150"/>
      <c r="H199" s="150"/>
      <c r="I199" s="466"/>
      <c r="J199" s="150"/>
      <c r="K199" s="168"/>
      <c r="L199" s="466"/>
      <c r="M199" s="150"/>
      <c r="N199" s="466"/>
      <c r="O199" s="150"/>
      <c r="P199" s="150">
        <v>3200</v>
      </c>
      <c r="Q199" s="150"/>
      <c r="R199" s="472"/>
      <c r="S199" s="466">
        <v>1600</v>
      </c>
      <c r="T199" s="150"/>
      <c r="U199" s="150"/>
      <c r="V199" s="150"/>
      <c r="W199" s="168"/>
      <c r="X199" s="150"/>
      <c r="Y199" s="466"/>
      <c r="Z199" s="455"/>
      <c r="AA199" s="150"/>
      <c r="AB199" s="490"/>
      <c r="AC199" s="150"/>
      <c r="AD199" s="150"/>
      <c r="AE199" s="466"/>
      <c r="AF199" s="499"/>
      <c r="AG199" s="150"/>
      <c r="AH199" s="150"/>
      <c r="AI199" s="150"/>
      <c r="AJ199" s="150"/>
      <c r="AK199" s="150"/>
      <c r="AL199" s="150"/>
      <c r="AM199" s="150"/>
      <c r="AN199" s="466"/>
      <c r="AO199" s="466"/>
      <c r="AP199" s="150"/>
      <c r="AQ199" s="150"/>
      <c r="AR199" s="151"/>
      <c r="AS199" s="456"/>
      <c r="AT199" s="466"/>
      <c r="AU199" s="150"/>
      <c r="AV199" s="487"/>
      <c r="AW199" s="150"/>
      <c r="AX199" s="150"/>
      <c r="AY199" s="466"/>
      <c r="AZ199" s="466"/>
      <c r="BA199" s="150"/>
      <c r="BB199" s="150"/>
      <c r="BC199" s="466"/>
      <c r="BD199" s="466"/>
      <c r="BE199" s="466"/>
      <c r="BF199" s="466"/>
      <c r="BG199" s="150"/>
      <c r="BH199" s="150"/>
      <c r="BI199" s="150"/>
      <c r="BJ199" s="466"/>
      <c r="BK199" s="152"/>
      <c r="BL199" s="160"/>
      <c r="BM199" s="150"/>
      <c r="BN199" s="466"/>
      <c r="BO199" s="150"/>
      <c r="BP199" s="516"/>
      <c r="BQ199" s="160"/>
      <c r="BR199" s="152"/>
      <c r="BS199" s="160"/>
    </row>
    <row r="200" spans="1:71" x14ac:dyDescent="0.3">
      <c r="A200" s="420">
        <f>DL!A197</f>
        <v>179</v>
      </c>
      <c r="B200" s="16" t="s">
        <v>1408</v>
      </c>
      <c r="C200" s="149">
        <f>DL!L197</f>
        <v>1000</v>
      </c>
      <c r="D200" s="149">
        <f>DL!C197</f>
        <v>100</v>
      </c>
      <c r="E200" s="150"/>
      <c r="F200" s="463"/>
      <c r="G200" s="150"/>
      <c r="H200" s="150"/>
      <c r="I200" s="466"/>
      <c r="J200" s="150"/>
      <c r="K200" s="168"/>
      <c r="L200" s="466"/>
      <c r="M200" s="150"/>
      <c r="N200" s="466"/>
      <c r="O200" s="150"/>
      <c r="P200" s="150"/>
      <c r="Q200" s="150"/>
      <c r="R200" s="472"/>
      <c r="S200" s="466"/>
      <c r="T200" s="150"/>
      <c r="U200" s="150"/>
      <c r="V200" s="150"/>
      <c r="W200" s="168"/>
      <c r="X200" s="150"/>
      <c r="Y200" s="466"/>
      <c r="Z200" s="455"/>
      <c r="AA200" s="159">
        <f>600*10</f>
        <v>6000</v>
      </c>
      <c r="AB200" s="490"/>
      <c r="AC200" s="150"/>
      <c r="AD200" s="150"/>
      <c r="AE200" s="466"/>
      <c r="AF200" s="499"/>
      <c r="AG200" s="150"/>
      <c r="AH200" s="150"/>
      <c r="AI200" s="150"/>
      <c r="AJ200" s="150"/>
      <c r="AK200" s="150"/>
      <c r="AL200" s="150"/>
      <c r="AM200" s="150"/>
      <c r="AN200" s="466"/>
      <c r="AO200" s="466"/>
      <c r="AP200" s="150"/>
      <c r="AQ200" s="150"/>
      <c r="AR200" s="151"/>
      <c r="AS200" s="456"/>
      <c r="AT200" s="466"/>
      <c r="AU200" s="150"/>
      <c r="AV200" s="487"/>
      <c r="AW200" s="150"/>
      <c r="AX200" s="150"/>
      <c r="AY200" s="466"/>
      <c r="AZ200" s="466"/>
      <c r="BA200" s="150"/>
      <c r="BB200" s="150"/>
      <c r="BC200" s="466"/>
      <c r="BD200" s="466"/>
      <c r="BE200" s="466"/>
      <c r="BF200" s="466"/>
      <c r="BG200" s="150"/>
      <c r="BH200" s="150"/>
      <c r="BI200" s="150"/>
      <c r="BJ200" s="466"/>
      <c r="BK200" s="152"/>
      <c r="BL200" s="160"/>
      <c r="BM200" s="150"/>
      <c r="BN200" s="466"/>
      <c r="BO200" s="150"/>
      <c r="BP200" s="516"/>
      <c r="BQ200" s="160"/>
      <c r="BR200" s="152"/>
      <c r="BS200" s="160"/>
    </row>
    <row r="201" spans="1:71" x14ac:dyDescent="0.3">
      <c r="A201" s="420">
        <f>DL!A198</f>
        <v>180</v>
      </c>
      <c r="B201" s="16" t="s">
        <v>1409</v>
      </c>
      <c r="C201" s="149">
        <f>DL!L198</f>
        <v>1000</v>
      </c>
      <c r="D201" s="149">
        <f>DL!C198</f>
        <v>100</v>
      </c>
      <c r="E201" s="150"/>
      <c r="F201" s="463"/>
      <c r="G201" s="150"/>
      <c r="H201" s="150"/>
      <c r="I201" s="466"/>
      <c r="J201" s="150"/>
      <c r="K201" s="168"/>
      <c r="L201" s="466"/>
      <c r="M201" s="150"/>
      <c r="N201" s="466"/>
      <c r="O201" s="150"/>
      <c r="P201" s="150"/>
      <c r="Q201" s="150"/>
      <c r="R201" s="472"/>
      <c r="S201" s="466"/>
      <c r="T201" s="150"/>
      <c r="U201" s="150"/>
      <c r="V201" s="150"/>
      <c r="W201" s="168"/>
      <c r="X201" s="150"/>
      <c r="Y201" s="466"/>
      <c r="Z201" s="455"/>
      <c r="AA201" s="159">
        <v>6500</v>
      </c>
      <c r="AB201" s="490"/>
      <c r="AC201" s="150"/>
      <c r="AD201" s="150"/>
      <c r="AE201" s="466"/>
      <c r="AF201" s="499"/>
      <c r="AG201" s="150"/>
      <c r="AH201" s="150"/>
      <c r="AI201" s="150"/>
      <c r="AJ201" s="150"/>
      <c r="AK201" s="150"/>
      <c r="AL201" s="150"/>
      <c r="AM201" s="150"/>
      <c r="AN201" s="466"/>
      <c r="AO201" s="466"/>
      <c r="AP201" s="150"/>
      <c r="AQ201" s="150"/>
      <c r="AR201" s="151"/>
      <c r="AS201" s="456"/>
      <c r="AT201" s="466"/>
      <c r="AU201" s="150"/>
      <c r="AV201" s="487"/>
      <c r="AW201" s="150"/>
      <c r="AX201" s="150"/>
      <c r="AY201" s="466"/>
      <c r="AZ201" s="466"/>
      <c r="BA201" s="150"/>
      <c r="BB201" s="150"/>
      <c r="BC201" s="466"/>
      <c r="BD201" s="466"/>
      <c r="BE201" s="466"/>
      <c r="BF201" s="466"/>
      <c r="BG201" s="150"/>
      <c r="BH201" s="150"/>
      <c r="BI201" s="150"/>
      <c r="BJ201" s="466"/>
      <c r="BK201" s="152"/>
      <c r="BL201" s="160"/>
      <c r="BM201" s="150"/>
      <c r="BN201" s="466"/>
      <c r="BO201" s="150"/>
      <c r="BP201" s="516"/>
      <c r="BQ201" s="160"/>
      <c r="BR201" s="152"/>
      <c r="BS201" s="160"/>
    </row>
    <row r="202" spans="1:71" x14ac:dyDescent="0.3">
      <c r="A202" s="420">
        <f>DL!A199</f>
        <v>181</v>
      </c>
      <c r="B202" s="16" t="s">
        <v>105</v>
      </c>
      <c r="C202" s="149">
        <v>6000</v>
      </c>
      <c r="D202" s="149">
        <f>DL!C199</f>
        <v>96</v>
      </c>
      <c r="E202" s="150"/>
      <c r="F202" s="463"/>
      <c r="G202" s="150"/>
      <c r="H202" s="150"/>
      <c r="I202" s="466">
        <v>253</v>
      </c>
      <c r="J202" s="150">
        <v>180</v>
      </c>
      <c r="K202" s="168"/>
      <c r="L202" s="466"/>
      <c r="M202" s="150"/>
      <c r="N202" s="466"/>
      <c r="O202" s="150"/>
      <c r="P202" s="150">
        <v>290</v>
      </c>
      <c r="Q202" s="150"/>
      <c r="R202" s="473">
        <v>213.67500000000001</v>
      </c>
      <c r="S202" s="466">
        <v>190</v>
      </c>
      <c r="T202" s="150">
        <v>220</v>
      </c>
      <c r="U202" s="150"/>
      <c r="V202" s="150"/>
      <c r="W202" s="168"/>
      <c r="X202" s="150"/>
      <c r="Y202" s="466"/>
      <c r="Z202" s="455"/>
      <c r="AA202" s="150"/>
      <c r="AB202" s="490"/>
      <c r="AC202" s="150"/>
      <c r="AD202" s="150"/>
      <c r="AE202" s="466"/>
      <c r="AF202" s="499"/>
      <c r="AG202" s="150"/>
      <c r="AH202" s="150"/>
      <c r="AI202" s="150"/>
      <c r="AJ202" s="150"/>
      <c r="AK202" s="150">
        <v>242.42</v>
      </c>
      <c r="AL202" s="150"/>
      <c r="AM202" s="150"/>
      <c r="AN202" s="466"/>
      <c r="AO202" s="466"/>
      <c r="AP202" s="150"/>
      <c r="AQ202" s="150"/>
      <c r="AR202" s="151"/>
      <c r="AS202" s="456"/>
      <c r="AT202" s="466"/>
      <c r="AU202" s="150"/>
      <c r="AV202" s="487"/>
      <c r="AW202" s="150"/>
      <c r="AX202" s="150">
        <v>205</v>
      </c>
      <c r="AY202" s="466"/>
      <c r="AZ202" s="466"/>
      <c r="BA202" s="150"/>
      <c r="BB202" s="150"/>
      <c r="BC202" s="466"/>
      <c r="BD202" s="466"/>
      <c r="BE202" s="466"/>
      <c r="BF202" s="466">
        <v>202.23</v>
      </c>
      <c r="BG202" s="150"/>
      <c r="BH202" s="150"/>
      <c r="BI202" s="150"/>
      <c r="BJ202" s="466"/>
      <c r="BK202" s="152"/>
      <c r="BL202" s="160"/>
      <c r="BM202" s="150">
        <v>167</v>
      </c>
      <c r="BN202" s="466"/>
      <c r="BO202" s="150"/>
      <c r="BP202" s="516"/>
      <c r="BQ202" s="160"/>
      <c r="BR202" s="152"/>
      <c r="BS202" s="160"/>
    </row>
    <row r="203" spans="1:71" x14ac:dyDescent="0.3">
      <c r="A203" s="420">
        <f>DL!A200</f>
        <v>182</v>
      </c>
      <c r="B203" s="16" t="s">
        <v>106</v>
      </c>
      <c r="C203" s="149">
        <f>DL!L200</f>
        <v>30000</v>
      </c>
      <c r="D203" s="149" t="str">
        <f>DL!C200</f>
        <v>BOTT</v>
      </c>
      <c r="E203" s="150"/>
      <c r="F203" s="463"/>
      <c r="G203" s="150"/>
      <c r="H203" s="150"/>
      <c r="I203" s="466"/>
      <c r="J203" s="150"/>
      <c r="K203" s="168"/>
      <c r="L203" s="466"/>
      <c r="M203" s="150"/>
      <c r="N203" s="466"/>
      <c r="O203" s="150"/>
      <c r="P203" s="150"/>
      <c r="Q203" s="150"/>
      <c r="R203" s="472"/>
      <c r="S203" s="466"/>
      <c r="T203" s="150"/>
      <c r="U203" s="150"/>
      <c r="V203" s="150"/>
      <c r="W203" s="168"/>
      <c r="X203" s="150"/>
      <c r="Y203" s="466">
        <v>380</v>
      </c>
      <c r="Z203" s="455"/>
      <c r="AA203" s="150"/>
      <c r="AB203" s="490"/>
      <c r="AC203" s="150"/>
      <c r="AD203" s="150"/>
      <c r="AE203" s="466"/>
      <c r="AF203" s="499"/>
      <c r="AG203" s="150"/>
      <c r="AH203" s="150"/>
      <c r="AI203" s="150"/>
      <c r="AJ203" s="150"/>
      <c r="AK203" s="150"/>
      <c r="AL203" s="150"/>
      <c r="AM203" s="150"/>
      <c r="AN203" s="466"/>
      <c r="AO203" s="466"/>
      <c r="AP203" s="150"/>
      <c r="AQ203" s="150"/>
      <c r="AR203" s="151"/>
      <c r="AS203" s="456"/>
      <c r="AT203" s="466"/>
      <c r="AU203" s="150"/>
      <c r="AV203" s="487"/>
      <c r="AW203" s="150"/>
      <c r="AX203" s="150"/>
      <c r="AY203" s="466"/>
      <c r="AZ203" s="466"/>
      <c r="BA203" s="150"/>
      <c r="BB203" s="150"/>
      <c r="BC203" s="466"/>
      <c r="BD203" s="466">
        <v>380</v>
      </c>
      <c r="BE203" s="466"/>
      <c r="BF203" s="466"/>
      <c r="BG203" s="150">
        <v>300</v>
      </c>
      <c r="BH203" s="150"/>
      <c r="BI203" s="150"/>
      <c r="BJ203" s="466"/>
      <c r="BK203" s="152"/>
      <c r="BL203" s="160"/>
      <c r="BM203" s="150"/>
      <c r="BN203" s="466"/>
      <c r="BO203" s="150"/>
      <c r="BP203" s="516"/>
      <c r="BQ203" s="160"/>
      <c r="BR203" s="152"/>
      <c r="BS203" s="160"/>
    </row>
    <row r="204" spans="1:71" x14ac:dyDescent="0.3">
      <c r="A204" s="420">
        <f>DL!A201</f>
        <v>183</v>
      </c>
      <c r="B204" s="16" t="s">
        <v>107</v>
      </c>
      <c r="C204" s="149">
        <f>DL!L201</f>
        <v>3000</v>
      </c>
      <c r="D204" s="149" t="str">
        <f>DL!C201</f>
        <v>BOTT</v>
      </c>
      <c r="E204" s="150"/>
      <c r="F204" s="463"/>
      <c r="G204" s="150"/>
      <c r="H204" s="150"/>
      <c r="I204" s="466"/>
      <c r="J204" s="150"/>
      <c r="K204" s="168"/>
      <c r="L204" s="466"/>
      <c r="M204" s="150"/>
      <c r="N204" s="466"/>
      <c r="O204" s="150"/>
      <c r="P204" s="150">
        <v>130</v>
      </c>
      <c r="Q204" s="150"/>
      <c r="R204" s="473">
        <v>99</v>
      </c>
      <c r="S204" s="466">
        <v>85</v>
      </c>
      <c r="T204" s="150">
        <v>95</v>
      </c>
      <c r="U204" s="150"/>
      <c r="V204" s="150"/>
      <c r="W204" s="168"/>
      <c r="X204" s="150"/>
      <c r="Y204" s="466"/>
      <c r="Z204" s="455"/>
      <c r="AA204" s="150"/>
      <c r="AB204" s="490"/>
      <c r="AC204" s="150"/>
      <c r="AD204" s="150"/>
      <c r="AE204" s="466">
        <v>140</v>
      </c>
      <c r="AF204" s="499"/>
      <c r="AG204" s="150"/>
      <c r="AH204" s="150"/>
      <c r="AI204" s="150"/>
      <c r="AJ204" s="150"/>
      <c r="AK204" s="150">
        <v>100</v>
      </c>
      <c r="AL204" s="150"/>
      <c r="AM204" s="150"/>
      <c r="AN204" s="466"/>
      <c r="AO204" s="466"/>
      <c r="AP204" s="150"/>
      <c r="AQ204" s="150"/>
      <c r="AR204" s="151"/>
      <c r="AS204" s="456"/>
      <c r="AT204" s="466"/>
      <c r="AU204" s="150"/>
      <c r="AV204" s="487"/>
      <c r="AW204" s="150"/>
      <c r="AX204" s="150">
        <v>85</v>
      </c>
      <c r="AY204" s="466"/>
      <c r="AZ204" s="466"/>
      <c r="BA204" s="150"/>
      <c r="BB204" s="150"/>
      <c r="BC204" s="466"/>
      <c r="BD204" s="466"/>
      <c r="BE204" s="466"/>
      <c r="BF204" s="466">
        <v>115.27</v>
      </c>
      <c r="BG204" s="150"/>
      <c r="BH204" s="150"/>
      <c r="BI204" s="150"/>
      <c r="BJ204" s="466"/>
      <c r="BK204" s="152"/>
      <c r="BL204" s="160"/>
      <c r="BM204" s="150">
        <v>95</v>
      </c>
      <c r="BN204" s="466"/>
      <c r="BO204" s="150"/>
      <c r="BP204" s="516"/>
      <c r="BQ204" s="160"/>
      <c r="BR204" s="152"/>
      <c r="BS204" s="160"/>
    </row>
    <row r="205" spans="1:71" x14ac:dyDescent="0.3">
      <c r="A205" s="420">
        <f>DL!A202</f>
        <v>184</v>
      </c>
      <c r="B205" s="16" t="s">
        <v>745</v>
      </c>
      <c r="C205" s="149">
        <f>DL!L202</f>
        <v>120</v>
      </c>
      <c r="D205" s="149">
        <f>DL!C202</f>
        <v>100</v>
      </c>
      <c r="E205" s="150"/>
      <c r="F205" s="463"/>
      <c r="G205" s="150"/>
      <c r="H205" s="150"/>
      <c r="I205" s="466"/>
      <c r="J205" s="150"/>
      <c r="K205" s="168"/>
      <c r="L205" s="466"/>
      <c r="M205" s="150"/>
      <c r="N205" s="466"/>
      <c r="O205" s="150"/>
      <c r="P205" s="150"/>
      <c r="Q205" s="150"/>
      <c r="R205" s="472"/>
      <c r="S205" s="466">
        <v>9000</v>
      </c>
      <c r="T205" s="150"/>
      <c r="U205" s="150"/>
      <c r="V205" s="150">
        <v>1250</v>
      </c>
      <c r="W205" s="168"/>
      <c r="X205" s="150"/>
      <c r="Y205" s="466"/>
      <c r="Z205" s="455"/>
      <c r="AA205" s="150">
        <v>8500</v>
      </c>
      <c r="AB205" s="490"/>
      <c r="AC205" s="150"/>
      <c r="AD205" s="150"/>
      <c r="AE205" s="466"/>
      <c r="AF205" s="499"/>
      <c r="AG205" s="150"/>
      <c r="AH205" s="150"/>
      <c r="AI205" s="150"/>
      <c r="AJ205" s="150"/>
      <c r="AK205" s="150">
        <v>8500</v>
      </c>
      <c r="AL205" s="150"/>
      <c r="AM205" s="150"/>
      <c r="AN205" s="466"/>
      <c r="AO205" s="466"/>
      <c r="AP205" s="150"/>
      <c r="AQ205" s="150"/>
      <c r="AR205" s="151"/>
      <c r="AS205" s="456"/>
      <c r="AT205" s="466"/>
      <c r="AU205" s="150"/>
      <c r="AV205" s="487"/>
      <c r="AW205" s="150"/>
      <c r="AX205" s="150"/>
      <c r="AY205" s="466"/>
      <c r="AZ205" s="466"/>
      <c r="BA205" s="150">
        <v>10350</v>
      </c>
      <c r="BB205" s="150"/>
      <c r="BC205" s="466"/>
      <c r="BD205" s="466"/>
      <c r="BE205" s="466">
        <v>9500</v>
      </c>
      <c r="BF205" s="466"/>
      <c r="BG205" s="150"/>
      <c r="BH205" s="150"/>
      <c r="BI205" s="150"/>
      <c r="BJ205" s="466"/>
      <c r="BK205" s="152"/>
      <c r="BL205" s="160"/>
      <c r="BM205" s="150"/>
      <c r="BN205" s="466"/>
      <c r="BO205" s="150"/>
      <c r="BP205" s="663">
        <f>750*10</f>
        <v>7500</v>
      </c>
      <c r="BQ205" s="160"/>
      <c r="BR205" s="152"/>
      <c r="BS205" s="160"/>
    </row>
    <row r="206" spans="1:71" x14ac:dyDescent="0.3">
      <c r="A206" s="420">
        <f>DL!A203</f>
        <v>185</v>
      </c>
      <c r="B206" s="16" t="s">
        <v>443</v>
      </c>
      <c r="C206" s="149">
        <f>DL!L203</f>
        <v>50</v>
      </c>
      <c r="D206" s="149">
        <f>DL!C203</f>
        <v>10</v>
      </c>
      <c r="E206" s="150"/>
      <c r="F206" s="463"/>
      <c r="G206" s="150"/>
      <c r="H206" s="150"/>
      <c r="I206" s="466"/>
      <c r="J206" s="150"/>
      <c r="K206" s="168"/>
      <c r="L206" s="466"/>
      <c r="M206" s="150"/>
      <c r="N206" s="466"/>
      <c r="O206" s="150"/>
      <c r="P206" s="150"/>
      <c r="Q206" s="150"/>
      <c r="R206" s="472"/>
      <c r="S206" s="466"/>
      <c r="T206" s="150"/>
      <c r="U206" s="150"/>
      <c r="V206" s="150"/>
      <c r="W206" s="168"/>
      <c r="X206" s="150"/>
      <c r="Y206" s="466"/>
      <c r="Z206" s="455"/>
      <c r="AA206" s="150"/>
      <c r="AB206" s="490"/>
      <c r="AC206" s="150"/>
      <c r="AD206" s="150"/>
      <c r="AE206" s="466"/>
      <c r="AF206" s="499"/>
      <c r="AG206" s="150"/>
      <c r="AH206" s="150"/>
      <c r="AI206" s="150"/>
      <c r="AJ206" s="150"/>
      <c r="AK206" s="150"/>
      <c r="AL206" s="150"/>
      <c r="AM206" s="150"/>
      <c r="AN206" s="466"/>
      <c r="AO206" s="466"/>
      <c r="AP206" s="150"/>
      <c r="AQ206" s="150"/>
      <c r="AR206" s="151"/>
      <c r="AS206" s="456"/>
      <c r="AT206" s="466"/>
      <c r="AU206" s="150"/>
      <c r="AV206" s="487"/>
      <c r="AW206" s="150"/>
      <c r="AX206" s="150"/>
      <c r="AY206" s="466"/>
      <c r="AZ206" s="466"/>
      <c r="BA206" s="150"/>
      <c r="BB206" s="150"/>
      <c r="BC206" s="466"/>
      <c r="BD206" s="466"/>
      <c r="BE206" s="466"/>
      <c r="BF206" s="466"/>
      <c r="BG206" s="150"/>
      <c r="BH206" s="150"/>
      <c r="BI206" s="150"/>
      <c r="BJ206" s="466"/>
      <c r="BK206" s="152"/>
      <c r="BL206" s="160"/>
      <c r="BM206" s="150"/>
      <c r="BN206" s="466"/>
      <c r="BO206" s="150"/>
      <c r="BP206" s="516"/>
      <c r="BQ206" s="160"/>
      <c r="BR206" s="152"/>
      <c r="BS206" s="160"/>
    </row>
    <row r="207" spans="1:71" x14ac:dyDescent="0.3">
      <c r="A207" s="420">
        <f>DL!A204</f>
        <v>186</v>
      </c>
      <c r="B207" s="16" t="s">
        <v>442</v>
      </c>
      <c r="C207" s="149">
        <f>DL!L204</f>
        <v>50</v>
      </c>
      <c r="D207" s="149">
        <f>DL!C204</f>
        <v>10</v>
      </c>
      <c r="E207" s="150"/>
      <c r="F207" s="463"/>
      <c r="G207" s="150"/>
      <c r="H207" s="150"/>
      <c r="I207" s="466"/>
      <c r="J207" s="150"/>
      <c r="K207" s="168"/>
      <c r="L207" s="466"/>
      <c r="M207" s="150"/>
      <c r="N207" s="466"/>
      <c r="O207" s="150"/>
      <c r="P207" s="150"/>
      <c r="Q207" s="150"/>
      <c r="R207" s="472"/>
      <c r="S207" s="466"/>
      <c r="T207" s="150"/>
      <c r="U207" s="150"/>
      <c r="V207" s="150"/>
      <c r="W207" s="168"/>
      <c r="X207" s="150"/>
      <c r="Y207" s="466"/>
      <c r="Z207" s="455"/>
      <c r="AA207" s="150"/>
      <c r="AB207" s="490"/>
      <c r="AC207" s="150"/>
      <c r="AD207" s="150"/>
      <c r="AE207" s="466"/>
      <c r="AF207" s="499"/>
      <c r="AG207" s="150"/>
      <c r="AH207" s="150"/>
      <c r="AI207" s="150"/>
      <c r="AJ207" s="150"/>
      <c r="AK207" s="150"/>
      <c r="AL207" s="150"/>
      <c r="AM207" s="150"/>
      <c r="AN207" s="466"/>
      <c r="AO207" s="466"/>
      <c r="AP207" s="150"/>
      <c r="AQ207" s="150"/>
      <c r="AR207" s="151"/>
      <c r="AS207" s="456"/>
      <c r="AT207" s="466"/>
      <c r="AU207" s="150"/>
      <c r="AV207" s="487"/>
      <c r="AW207" s="150"/>
      <c r="AX207" s="150"/>
      <c r="AY207" s="466"/>
      <c r="AZ207" s="466"/>
      <c r="BA207" s="150"/>
      <c r="BB207" s="150"/>
      <c r="BC207" s="466"/>
      <c r="BD207" s="466"/>
      <c r="BE207" s="466"/>
      <c r="BF207" s="466"/>
      <c r="BG207" s="150"/>
      <c r="BH207" s="150"/>
      <c r="BI207" s="150"/>
      <c r="BJ207" s="466"/>
      <c r="BK207" s="152"/>
      <c r="BL207" s="160"/>
      <c r="BM207" s="150"/>
      <c r="BN207" s="466"/>
      <c r="BO207" s="150"/>
      <c r="BP207" s="516"/>
      <c r="BQ207" s="160"/>
      <c r="BR207" s="152"/>
      <c r="BS207" s="160"/>
    </row>
    <row r="208" spans="1:71" x14ac:dyDescent="0.3">
      <c r="A208" s="420">
        <f>DL!A205</f>
        <v>187</v>
      </c>
      <c r="B208" s="16" t="s">
        <v>1295</v>
      </c>
      <c r="C208" s="149">
        <f>DL!L205</f>
        <v>30</v>
      </c>
      <c r="D208" s="149">
        <f>DL!C205</f>
        <v>30</v>
      </c>
      <c r="E208" s="150"/>
      <c r="F208" s="463"/>
      <c r="G208" s="150"/>
      <c r="H208" s="150"/>
      <c r="I208" s="466"/>
      <c r="J208" s="150"/>
      <c r="K208" s="168"/>
      <c r="L208" s="466"/>
      <c r="M208" s="150"/>
      <c r="N208" s="466"/>
      <c r="O208" s="150"/>
      <c r="P208" s="150"/>
      <c r="Q208" s="150"/>
      <c r="R208" s="472"/>
      <c r="S208" s="466"/>
      <c r="T208" s="150"/>
      <c r="U208" s="150"/>
      <c r="V208" s="150"/>
      <c r="W208" s="168"/>
      <c r="X208" s="150"/>
      <c r="Y208" s="466"/>
      <c r="Z208" s="455"/>
      <c r="AA208" s="150"/>
      <c r="AB208" s="490"/>
      <c r="AC208" s="150"/>
      <c r="AD208" s="150"/>
      <c r="AE208" s="466"/>
      <c r="AF208" s="499"/>
      <c r="AG208" s="150"/>
      <c r="AH208" s="150"/>
      <c r="AI208" s="150"/>
      <c r="AJ208" s="150"/>
      <c r="AK208" s="150"/>
      <c r="AL208" s="150"/>
      <c r="AM208" s="150"/>
      <c r="AN208" s="466"/>
      <c r="AO208" s="466"/>
      <c r="AP208" s="150"/>
      <c r="AQ208" s="150"/>
      <c r="AR208" s="151"/>
      <c r="AS208" s="456"/>
      <c r="AT208" s="466"/>
      <c r="AU208" s="150"/>
      <c r="AV208" s="487"/>
      <c r="AW208" s="150"/>
      <c r="AX208" s="150"/>
      <c r="AY208" s="466"/>
      <c r="AZ208" s="466"/>
      <c r="BA208" s="150"/>
      <c r="BB208" s="150"/>
      <c r="BC208" s="466"/>
      <c r="BD208" s="466"/>
      <c r="BE208" s="466"/>
      <c r="BF208" s="466"/>
      <c r="BG208" s="150"/>
      <c r="BH208" s="150"/>
      <c r="BI208" s="150"/>
      <c r="BJ208" s="466"/>
      <c r="BK208" s="152"/>
      <c r="BL208" s="160"/>
      <c r="BM208" s="150"/>
      <c r="BN208" s="466"/>
      <c r="BO208" s="150"/>
      <c r="BP208" s="516"/>
      <c r="BQ208" s="160"/>
      <c r="BR208" s="152"/>
      <c r="BS208" s="160"/>
    </row>
    <row r="209" spans="1:71" x14ac:dyDescent="0.3">
      <c r="A209" s="420">
        <f>DL!A206</f>
        <v>188</v>
      </c>
      <c r="B209" s="16" t="s">
        <v>108</v>
      </c>
      <c r="C209" s="149">
        <f>DL!L206</f>
        <v>2400</v>
      </c>
      <c r="D209" s="149">
        <f>DL!C206</f>
        <v>30</v>
      </c>
      <c r="E209" s="150"/>
      <c r="F209" s="463"/>
      <c r="G209" s="150"/>
      <c r="H209" s="150"/>
      <c r="I209" s="466"/>
      <c r="J209" s="150"/>
      <c r="K209" s="168"/>
      <c r="L209" s="466"/>
      <c r="M209" s="150"/>
      <c r="N209" s="466"/>
      <c r="O209" s="150"/>
      <c r="P209" s="150"/>
      <c r="Q209" s="150"/>
      <c r="R209" s="472"/>
      <c r="S209" s="466">
        <v>2200</v>
      </c>
      <c r="T209" s="150"/>
      <c r="U209" s="150"/>
      <c r="V209" s="150"/>
      <c r="W209" s="168"/>
      <c r="X209" s="150"/>
      <c r="Y209" s="466"/>
      <c r="Z209" s="455"/>
      <c r="AA209" s="150"/>
      <c r="AB209" s="490"/>
      <c r="AC209" s="150"/>
      <c r="AD209" s="150"/>
      <c r="AE209" s="466"/>
      <c r="AF209" s="499"/>
      <c r="AG209" s="150"/>
      <c r="AH209" s="150"/>
      <c r="AI209" s="150"/>
      <c r="AJ209" s="150"/>
      <c r="AK209" s="150"/>
      <c r="AL209" s="150"/>
      <c r="AM209" s="150"/>
      <c r="AN209" s="467">
        <v>2000</v>
      </c>
      <c r="AO209" s="466"/>
      <c r="AP209" s="150"/>
      <c r="AQ209" s="150"/>
      <c r="AR209" s="151"/>
      <c r="AS209" s="456"/>
      <c r="AT209" s="466">
        <v>5135</v>
      </c>
      <c r="AU209" s="150"/>
      <c r="AV209" s="487"/>
      <c r="AW209" s="150"/>
      <c r="AX209" s="150"/>
      <c r="AY209" s="466"/>
      <c r="AZ209" s="466">
        <v>1950</v>
      </c>
      <c r="BA209" s="159">
        <f>1380/28*30</f>
        <v>1478.5714285714284</v>
      </c>
      <c r="BB209" s="150"/>
      <c r="BC209" s="466"/>
      <c r="BD209" s="466"/>
      <c r="BE209" s="466"/>
      <c r="BF209" s="466"/>
      <c r="BG209" s="150"/>
      <c r="BH209" s="150"/>
      <c r="BI209" s="150"/>
      <c r="BJ209" s="466"/>
      <c r="BK209" s="152"/>
      <c r="BL209" s="160"/>
      <c r="BM209" s="150"/>
      <c r="BN209" s="466"/>
      <c r="BO209" s="150"/>
      <c r="BP209" s="516"/>
      <c r="BQ209" s="160"/>
      <c r="BR209" s="152"/>
      <c r="BS209" s="160"/>
    </row>
    <row r="210" spans="1:71" x14ac:dyDescent="0.3">
      <c r="A210" s="420">
        <f>DL!A207</f>
        <v>189</v>
      </c>
      <c r="B210" s="16" t="s">
        <v>717</v>
      </c>
      <c r="C210" s="149">
        <f>DL!L207</f>
        <v>50</v>
      </c>
      <c r="D210" s="149">
        <f>DL!C207</f>
        <v>100</v>
      </c>
      <c r="E210" s="150">
        <v>8500</v>
      </c>
      <c r="F210" s="463"/>
      <c r="G210" s="150"/>
      <c r="H210" s="150"/>
      <c r="I210" s="466"/>
      <c r="J210" s="150"/>
      <c r="K210" s="168"/>
      <c r="L210" s="466"/>
      <c r="M210" s="150"/>
      <c r="N210" s="466"/>
      <c r="O210" s="150"/>
      <c r="P210" s="150"/>
      <c r="Q210" s="150"/>
      <c r="R210" s="472"/>
      <c r="S210" s="466"/>
      <c r="T210" s="150"/>
      <c r="U210" s="150"/>
      <c r="V210" s="150"/>
      <c r="W210" s="168"/>
      <c r="X210" s="150"/>
      <c r="Y210" s="466"/>
      <c r="Z210" s="455"/>
      <c r="AA210" s="150"/>
      <c r="AB210" s="490"/>
      <c r="AC210" s="150"/>
      <c r="AD210" s="150"/>
      <c r="AE210" s="466"/>
      <c r="AF210" s="499"/>
      <c r="AG210" s="150"/>
      <c r="AH210" s="150"/>
      <c r="AI210" s="150"/>
      <c r="AJ210" s="150"/>
      <c r="AK210" s="150"/>
      <c r="AL210" s="150"/>
      <c r="AM210" s="150"/>
      <c r="AN210" s="466"/>
      <c r="AO210" s="466"/>
      <c r="AP210" s="150"/>
      <c r="AQ210" s="150"/>
      <c r="AR210" s="151"/>
      <c r="AS210" s="456"/>
      <c r="AT210" s="466"/>
      <c r="AU210" s="150"/>
      <c r="AV210" s="487"/>
      <c r="AW210" s="150"/>
      <c r="AX210" s="150"/>
      <c r="AY210" s="466"/>
      <c r="AZ210" s="466"/>
      <c r="BA210" s="150"/>
      <c r="BB210" s="150"/>
      <c r="BC210" s="466"/>
      <c r="BD210" s="466"/>
      <c r="BE210" s="466"/>
      <c r="BF210" s="466"/>
      <c r="BG210" s="150"/>
      <c r="BH210" s="150"/>
      <c r="BI210" s="150"/>
      <c r="BJ210" s="466"/>
      <c r="BK210" s="152"/>
      <c r="BL210" s="160"/>
      <c r="BM210" s="150"/>
      <c r="BN210" s="466"/>
      <c r="BO210" s="150"/>
      <c r="BP210" s="516"/>
      <c r="BQ210" s="160"/>
      <c r="BR210" s="152"/>
      <c r="BS210" s="160"/>
    </row>
    <row r="211" spans="1:71" x14ac:dyDescent="0.3">
      <c r="A211" s="420">
        <f>DL!A208</f>
        <v>190</v>
      </c>
      <c r="B211" s="16" t="s">
        <v>109</v>
      </c>
      <c r="C211" s="149">
        <f>DL!L208</f>
        <v>1200</v>
      </c>
      <c r="D211" s="149">
        <f>DL!C208</f>
        <v>10</v>
      </c>
      <c r="E211" s="150"/>
      <c r="F211" s="463"/>
      <c r="G211" s="150"/>
      <c r="H211" s="150"/>
      <c r="I211" s="466"/>
      <c r="J211" s="150"/>
      <c r="K211" s="168"/>
      <c r="L211" s="466"/>
      <c r="M211" s="150"/>
      <c r="N211" s="466"/>
      <c r="O211" s="150"/>
      <c r="P211" s="150"/>
      <c r="Q211" s="150"/>
      <c r="R211" s="472"/>
      <c r="S211" s="466"/>
      <c r="T211" s="150"/>
      <c r="U211" s="150"/>
      <c r="V211" s="150"/>
      <c r="W211" s="168"/>
      <c r="X211" s="150"/>
      <c r="Y211" s="466"/>
      <c r="Z211" s="455"/>
      <c r="AA211" s="150"/>
      <c r="AB211" s="490"/>
      <c r="AC211" s="150"/>
      <c r="AD211" s="150"/>
      <c r="AE211" s="466"/>
      <c r="AF211" s="499"/>
      <c r="AG211" s="150"/>
      <c r="AH211" s="150"/>
      <c r="AI211" s="150"/>
      <c r="AJ211" s="150"/>
      <c r="AK211" s="150"/>
      <c r="AL211" s="150"/>
      <c r="AM211" s="150"/>
      <c r="AN211" s="466"/>
      <c r="AO211" s="466"/>
      <c r="AP211" s="150"/>
      <c r="AQ211" s="150"/>
      <c r="AR211" s="151"/>
      <c r="AS211" s="456"/>
      <c r="AT211" s="466"/>
      <c r="AU211" s="150"/>
      <c r="AV211" s="487"/>
      <c r="AW211" s="150"/>
      <c r="AX211" s="150">
        <v>250</v>
      </c>
      <c r="AY211" s="466"/>
      <c r="AZ211" s="466"/>
      <c r="BA211" s="150"/>
      <c r="BB211" s="150"/>
      <c r="BC211" s="466"/>
      <c r="BD211" s="466"/>
      <c r="BE211" s="466"/>
      <c r="BF211" s="466"/>
      <c r="BG211" s="150"/>
      <c r="BH211" s="150"/>
      <c r="BI211" s="150"/>
      <c r="BJ211" s="466"/>
      <c r="BK211" s="152"/>
      <c r="BL211" s="160"/>
      <c r="BM211" s="150"/>
      <c r="BN211" s="466"/>
      <c r="BO211" s="150"/>
      <c r="BP211" s="516"/>
      <c r="BQ211" s="160"/>
      <c r="BR211" s="152"/>
      <c r="BS211" s="160"/>
    </row>
    <row r="212" spans="1:71" x14ac:dyDescent="0.3">
      <c r="A212" s="420">
        <f>DL!A209</f>
        <v>191</v>
      </c>
      <c r="B212" s="16" t="s">
        <v>110</v>
      </c>
      <c r="C212" s="149">
        <v>2000</v>
      </c>
      <c r="D212" s="149">
        <f>DL!C209</f>
        <v>30</v>
      </c>
      <c r="E212" s="150"/>
      <c r="F212" s="463"/>
      <c r="G212" s="150"/>
      <c r="H212" s="150"/>
      <c r="I212" s="466"/>
      <c r="J212" s="150"/>
      <c r="K212" s="168"/>
      <c r="L212" s="466"/>
      <c r="M212" s="150"/>
      <c r="N212" s="466"/>
      <c r="O212" s="150"/>
      <c r="P212" s="150"/>
      <c r="Q212" s="150"/>
      <c r="R212" s="472"/>
      <c r="S212" s="466">
        <v>2200</v>
      </c>
      <c r="T212" s="150"/>
      <c r="U212" s="150"/>
      <c r="V212" s="150"/>
      <c r="W212" s="168"/>
      <c r="X212" s="150"/>
      <c r="Y212" s="466"/>
      <c r="Z212" s="455"/>
      <c r="AA212" s="150"/>
      <c r="AB212" s="490"/>
      <c r="AC212" s="150"/>
      <c r="AD212" s="150"/>
      <c r="AE212" s="466"/>
      <c r="AF212" s="499"/>
      <c r="AG212" s="150"/>
      <c r="AH212" s="150"/>
      <c r="AI212" s="150"/>
      <c r="AJ212" s="150"/>
      <c r="AK212" s="150"/>
      <c r="AL212" s="150"/>
      <c r="AM212" s="150"/>
      <c r="AN212" s="466"/>
      <c r="AO212" s="466"/>
      <c r="AP212" s="150"/>
      <c r="AQ212" s="150"/>
      <c r="AR212" s="151"/>
      <c r="AS212" s="456"/>
      <c r="AT212" s="466"/>
      <c r="AU212" s="150"/>
      <c r="AV212" s="487"/>
      <c r="AW212" s="150"/>
      <c r="AX212" s="150"/>
      <c r="AY212" s="466"/>
      <c r="AZ212" s="466"/>
      <c r="BA212" s="150"/>
      <c r="BB212" s="150"/>
      <c r="BC212" s="466"/>
      <c r="BD212" s="466"/>
      <c r="BE212" s="466"/>
      <c r="BF212" s="466"/>
      <c r="BG212" s="150"/>
      <c r="BH212" s="150"/>
      <c r="BI212" s="150"/>
      <c r="BJ212" s="466"/>
      <c r="BK212" s="152"/>
      <c r="BL212" s="160"/>
      <c r="BM212" s="150"/>
      <c r="BN212" s="466"/>
      <c r="BO212" s="150">
        <v>1964</v>
      </c>
      <c r="BP212" s="516"/>
      <c r="BQ212" s="160"/>
      <c r="BR212" s="152"/>
      <c r="BS212" s="160"/>
    </row>
    <row r="213" spans="1:71" x14ac:dyDescent="0.3">
      <c r="A213" s="420">
        <f>DL!A210</f>
        <v>192</v>
      </c>
      <c r="B213" s="16" t="s">
        <v>111</v>
      </c>
      <c r="C213" s="149">
        <f>DL!L210</f>
        <v>4</v>
      </c>
      <c r="D213" s="149">
        <f>DL!C210</f>
        <v>100</v>
      </c>
      <c r="E213" s="150"/>
      <c r="F213" s="463"/>
      <c r="G213" s="150"/>
      <c r="H213" s="150"/>
      <c r="I213" s="466"/>
      <c r="J213" s="150"/>
      <c r="K213" s="168"/>
      <c r="L213" s="466"/>
      <c r="M213" s="150"/>
      <c r="N213" s="466"/>
      <c r="O213" s="150"/>
      <c r="P213" s="150"/>
      <c r="Q213" s="150"/>
      <c r="R213" s="472"/>
      <c r="S213" s="466"/>
      <c r="T213" s="150"/>
      <c r="U213" s="150"/>
      <c r="V213" s="150">
        <v>4500</v>
      </c>
      <c r="W213" s="168"/>
      <c r="X213" s="150"/>
      <c r="Y213" s="466"/>
      <c r="Z213" s="455"/>
      <c r="AA213" s="150"/>
      <c r="AB213" s="490"/>
      <c r="AC213" s="150"/>
      <c r="AD213" s="150"/>
      <c r="AE213" s="466"/>
      <c r="AF213" s="499"/>
      <c r="AG213" s="150"/>
      <c r="AH213" s="150"/>
      <c r="AI213" s="150"/>
      <c r="AJ213" s="150"/>
      <c r="AK213" s="150"/>
      <c r="AL213" s="150"/>
      <c r="AM213" s="150"/>
      <c r="AN213" s="466"/>
      <c r="AO213" s="466"/>
      <c r="AP213" s="150"/>
      <c r="AQ213" s="150"/>
      <c r="AR213" s="151"/>
      <c r="AS213" s="456"/>
      <c r="AT213" s="466"/>
      <c r="AU213" s="150"/>
      <c r="AV213" s="487"/>
      <c r="AW213" s="150"/>
      <c r="AX213" s="150"/>
      <c r="AY213" s="466"/>
      <c r="AZ213" s="466"/>
      <c r="BA213" s="150"/>
      <c r="BB213" s="150"/>
      <c r="BC213" s="466"/>
      <c r="BD213" s="466"/>
      <c r="BE213" s="466"/>
      <c r="BF213" s="466"/>
      <c r="BG213" s="150"/>
      <c r="BH213" s="150"/>
      <c r="BI213" s="150"/>
      <c r="BJ213" s="466"/>
      <c r="BK213" s="152"/>
      <c r="BL213" s="160"/>
      <c r="BM213" s="150"/>
      <c r="BN213" s="466"/>
      <c r="BO213" s="150"/>
      <c r="BP213" s="516"/>
      <c r="BQ213" s="160"/>
      <c r="BR213" s="152"/>
      <c r="BS213" s="160"/>
    </row>
    <row r="214" spans="1:71" x14ac:dyDescent="0.3">
      <c r="A214" s="420">
        <f>DL!A211</f>
        <v>193</v>
      </c>
      <c r="B214" s="16" t="s">
        <v>112</v>
      </c>
      <c r="C214" s="149">
        <f>DL!L211</f>
        <v>300</v>
      </c>
      <c r="D214" s="149">
        <f>DL!C211</f>
        <v>100</v>
      </c>
      <c r="E214" s="150"/>
      <c r="F214" s="463"/>
      <c r="G214" s="150"/>
      <c r="H214" s="150"/>
      <c r="I214" s="466"/>
      <c r="J214" s="150"/>
      <c r="K214" s="168"/>
      <c r="L214" s="466"/>
      <c r="M214" s="150"/>
      <c r="N214" s="466"/>
      <c r="O214" s="150"/>
      <c r="P214" s="150"/>
      <c r="Q214" s="150"/>
      <c r="R214" s="472"/>
      <c r="S214" s="466"/>
      <c r="T214" s="150"/>
      <c r="U214" s="150"/>
      <c r="V214" s="150"/>
      <c r="W214" s="168"/>
      <c r="X214" s="150"/>
      <c r="Y214" s="466"/>
      <c r="Z214" s="455"/>
      <c r="AA214" s="150"/>
      <c r="AB214" s="490"/>
      <c r="AC214" s="150"/>
      <c r="AD214" s="150"/>
      <c r="AE214" s="466"/>
      <c r="AF214" s="499"/>
      <c r="AG214" s="150"/>
      <c r="AH214" s="150"/>
      <c r="AI214" s="150"/>
      <c r="AJ214" s="150"/>
      <c r="AK214" s="150"/>
      <c r="AL214" s="150"/>
      <c r="AM214" s="150"/>
      <c r="AN214" s="466"/>
      <c r="AO214" s="466"/>
      <c r="AP214" s="150"/>
      <c r="AQ214" s="150"/>
      <c r="AR214" s="151"/>
      <c r="AS214" s="456"/>
      <c r="AT214" s="466">
        <v>6500</v>
      </c>
      <c r="AU214" s="150"/>
      <c r="AV214" s="487"/>
      <c r="AW214" s="150"/>
      <c r="AX214" s="150"/>
      <c r="AY214" s="466"/>
      <c r="AZ214" s="466"/>
      <c r="BA214" s="150"/>
      <c r="BB214" s="150"/>
      <c r="BC214" s="466"/>
      <c r="BD214" s="466"/>
      <c r="BE214" s="466"/>
      <c r="BF214" s="466"/>
      <c r="BG214" s="150"/>
      <c r="BH214" s="150"/>
      <c r="BI214" s="150"/>
      <c r="BJ214" s="466"/>
      <c r="BK214" s="152"/>
      <c r="BL214" s="160"/>
      <c r="BM214" s="150"/>
      <c r="BN214" s="466"/>
      <c r="BO214" s="150"/>
      <c r="BP214" s="516"/>
      <c r="BQ214" s="160"/>
      <c r="BR214" s="152"/>
      <c r="BS214" s="160"/>
    </row>
    <row r="215" spans="1:71" x14ac:dyDescent="0.3">
      <c r="A215" s="420"/>
      <c r="B215" s="19"/>
      <c r="C215" s="149">
        <f>DL!L212</f>
        <v>0</v>
      </c>
      <c r="D215" s="149">
        <f>DL!C212</f>
        <v>0</v>
      </c>
      <c r="E215" s="150"/>
      <c r="F215" s="463"/>
      <c r="G215" s="150"/>
      <c r="H215" s="150"/>
      <c r="I215" s="466"/>
      <c r="J215" s="150"/>
      <c r="K215" s="168"/>
      <c r="L215" s="466"/>
      <c r="M215" s="150"/>
      <c r="N215" s="466"/>
      <c r="O215" s="150"/>
      <c r="P215" s="150"/>
      <c r="Q215" s="150"/>
      <c r="R215" s="472"/>
      <c r="S215" s="466"/>
      <c r="T215" s="150"/>
      <c r="U215" s="150"/>
      <c r="V215" s="150"/>
      <c r="W215" s="168"/>
      <c r="X215" s="150"/>
      <c r="Y215" s="466"/>
      <c r="Z215" s="455"/>
      <c r="AA215" s="150"/>
      <c r="AB215" s="490"/>
      <c r="AC215" s="150"/>
      <c r="AD215" s="150"/>
      <c r="AE215" s="466"/>
      <c r="AF215" s="499"/>
      <c r="AG215" s="150"/>
      <c r="AH215" s="150"/>
      <c r="AI215" s="150"/>
      <c r="AJ215" s="150"/>
      <c r="AK215" s="150"/>
      <c r="AL215" s="150"/>
      <c r="AM215" s="150"/>
      <c r="AN215" s="466"/>
      <c r="AO215" s="466"/>
      <c r="AP215" s="150"/>
      <c r="AQ215" s="150"/>
      <c r="AR215" s="151"/>
      <c r="AS215" s="456"/>
      <c r="AT215" s="466"/>
      <c r="AU215" s="150"/>
      <c r="AV215" s="487"/>
      <c r="AW215" s="150"/>
      <c r="AX215" s="150"/>
      <c r="AY215" s="466"/>
      <c r="AZ215" s="466"/>
      <c r="BA215" s="150"/>
      <c r="BB215" s="150"/>
      <c r="BC215" s="466"/>
      <c r="BD215" s="466"/>
      <c r="BE215" s="466"/>
      <c r="BF215" s="466"/>
      <c r="BG215" s="150"/>
      <c r="BH215" s="150"/>
      <c r="BI215" s="150"/>
      <c r="BJ215" s="466"/>
      <c r="BK215" s="152"/>
      <c r="BL215" s="160"/>
      <c r="BM215" s="150"/>
      <c r="BN215" s="466"/>
      <c r="BO215" s="150"/>
      <c r="BP215" s="516"/>
      <c r="BQ215" s="160"/>
      <c r="BR215" s="152"/>
      <c r="BS215" s="160"/>
    </row>
    <row r="216" spans="1:71" x14ac:dyDescent="0.3">
      <c r="A216" s="420"/>
      <c r="B216" s="19"/>
      <c r="C216" s="149">
        <f>DL!L213</f>
        <v>0</v>
      </c>
      <c r="D216" s="149">
        <f>DL!C213</f>
        <v>0</v>
      </c>
      <c r="E216" s="150"/>
      <c r="F216" s="463"/>
      <c r="G216" s="150"/>
      <c r="H216" s="150"/>
      <c r="I216" s="466"/>
      <c r="J216" s="150"/>
      <c r="K216" s="168"/>
      <c r="L216" s="466"/>
      <c r="M216" s="150"/>
      <c r="N216" s="466"/>
      <c r="O216" s="150"/>
      <c r="P216" s="150"/>
      <c r="Q216" s="150"/>
      <c r="R216" s="472"/>
      <c r="S216" s="466"/>
      <c r="T216" s="150"/>
      <c r="U216" s="150"/>
      <c r="V216" s="150"/>
      <c r="W216" s="168"/>
      <c r="X216" s="150"/>
      <c r="Y216" s="466"/>
      <c r="Z216" s="455"/>
      <c r="AA216" s="150"/>
      <c r="AB216" s="490"/>
      <c r="AC216" s="150"/>
      <c r="AD216" s="150"/>
      <c r="AE216" s="466"/>
      <c r="AF216" s="499"/>
      <c r="AG216" s="150"/>
      <c r="AH216" s="150"/>
      <c r="AI216" s="150"/>
      <c r="AJ216" s="150"/>
      <c r="AK216" s="150"/>
      <c r="AL216" s="150"/>
      <c r="AM216" s="150"/>
      <c r="AN216" s="466"/>
      <c r="AO216" s="466"/>
      <c r="AP216" s="150"/>
      <c r="AQ216" s="150"/>
      <c r="AR216" s="151"/>
      <c r="AS216" s="456"/>
      <c r="AT216" s="466"/>
      <c r="AU216" s="150"/>
      <c r="AV216" s="487"/>
      <c r="AW216" s="150"/>
      <c r="AX216" s="150"/>
      <c r="AY216" s="466"/>
      <c r="AZ216" s="466"/>
      <c r="BA216" s="150"/>
      <c r="BB216" s="150"/>
      <c r="BC216" s="466"/>
      <c r="BD216" s="466"/>
      <c r="BE216" s="466"/>
      <c r="BF216" s="466"/>
      <c r="BG216" s="150"/>
      <c r="BH216" s="150"/>
      <c r="BI216" s="150"/>
      <c r="BJ216" s="466"/>
      <c r="BK216" s="152"/>
      <c r="BL216" s="160"/>
      <c r="BM216" s="150"/>
      <c r="BN216" s="466"/>
      <c r="BO216" s="150"/>
      <c r="BP216" s="516"/>
      <c r="BQ216" s="160"/>
      <c r="BR216" s="152"/>
      <c r="BS216" s="160"/>
    </row>
    <row r="217" spans="1:71" x14ac:dyDescent="0.3">
      <c r="A217" s="420" t="str">
        <f>DL!A214</f>
        <v>LOT 5</v>
      </c>
      <c r="B217" s="19" t="s">
        <v>114</v>
      </c>
      <c r="C217" s="149">
        <f>DL!L214</f>
        <v>0</v>
      </c>
      <c r="D217" s="149">
        <f>DL!C214</f>
        <v>0</v>
      </c>
      <c r="E217" s="150"/>
      <c r="F217" s="463"/>
      <c r="G217" s="150"/>
      <c r="H217" s="150"/>
      <c r="I217" s="466"/>
      <c r="J217" s="150"/>
      <c r="K217" s="168"/>
      <c r="L217" s="466"/>
      <c r="M217" s="150"/>
      <c r="N217" s="466"/>
      <c r="O217" s="150"/>
      <c r="P217" s="150"/>
      <c r="Q217" s="150"/>
      <c r="R217" s="472"/>
      <c r="S217" s="466"/>
      <c r="T217" s="150"/>
      <c r="U217" s="150"/>
      <c r="V217" s="150"/>
      <c r="W217" s="168"/>
      <c r="X217" s="150"/>
      <c r="Y217" s="466"/>
      <c r="Z217" s="455"/>
      <c r="AA217" s="150"/>
      <c r="AB217" s="490"/>
      <c r="AC217" s="150"/>
      <c r="AD217" s="150"/>
      <c r="AE217" s="466"/>
      <c r="AF217" s="499"/>
      <c r="AG217" s="150"/>
      <c r="AH217" s="150"/>
      <c r="AI217" s="150"/>
      <c r="AJ217" s="150"/>
      <c r="AK217" s="150"/>
      <c r="AL217" s="150"/>
      <c r="AM217" s="150"/>
      <c r="AN217" s="466"/>
      <c r="AO217" s="466"/>
      <c r="AP217" s="150"/>
      <c r="AQ217" s="150"/>
      <c r="AR217" s="151"/>
      <c r="AS217" s="456"/>
      <c r="AT217" s="466"/>
      <c r="AU217" s="150"/>
      <c r="AV217" s="487"/>
      <c r="AW217" s="150"/>
      <c r="AX217" s="150"/>
      <c r="AY217" s="466"/>
      <c r="AZ217" s="466"/>
      <c r="BA217" s="150"/>
      <c r="BB217" s="150"/>
      <c r="BC217" s="466"/>
      <c r="BD217" s="466"/>
      <c r="BE217" s="466"/>
      <c r="BF217" s="466"/>
      <c r="BG217" s="150"/>
      <c r="BH217" s="150"/>
      <c r="BI217" s="150"/>
      <c r="BJ217" s="466"/>
      <c r="BK217" s="152"/>
      <c r="BL217" s="160"/>
      <c r="BM217" s="150"/>
      <c r="BN217" s="466"/>
      <c r="BO217" s="150"/>
      <c r="BP217" s="516"/>
      <c r="BQ217" s="160"/>
      <c r="BR217" s="152"/>
      <c r="BS217" s="160"/>
    </row>
    <row r="218" spans="1:71" x14ac:dyDescent="0.3">
      <c r="A218" s="420">
        <f>DL!A215</f>
        <v>194</v>
      </c>
      <c r="B218" s="19" t="s">
        <v>718</v>
      </c>
      <c r="C218" s="149">
        <f>DL!L215</f>
        <v>60</v>
      </c>
      <c r="D218" s="149">
        <f>DL!C215</f>
        <v>25</v>
      </c>
      <c r="E218" s="150"/>
      <c r="F218" s="463"/>
      <c r="G218" s="150"/>
      <c r="H218" s="150"/>
      <c r="I218" s="466"/>
      <c r="J218" s="150"/>
      <c r="K218" s="168"/>
      <c r="L218" s="466"/>
      <c r="M218" s="150"/>
      <c r="N218" s="466"/>
      <c r="O218" s="150"/>
      <c r="P218" s="150"/>
      <c r="Q218" s="150"/>
      <c r="R218" s="472"/>
      <c r="S218" s="466">
        <v>2300</v>
      </c>
      <c r="T218" s="150"/>
      <c r="U218" s="150"/>
      <c r="V218" s="150"/>
      <c r="W218" s="168"/>
      <c r="X218" s="150"/>
      <c r="Y218" s="466"/>
      <c r="Z218" s="455"/>
      <c r="AA218" s="150"/>
      <c r="AB218" s="490"/>
      <c r="AC218" s="150"/>
      <c r="AD218" s="150"/>
      <c r="AE218" s="466"/>
      <c r="AF218" s="499"/>
      <c r="AG218" s="150"/>
      <c r="AH218" s="150"/>
      <c r="AI218" s="150"/>
      <c r="AJ218" s="150"/>
      <c r="AK218" s="150"/>
      <c r="AL218" s="150"/>
      <c r="AM218" s="150"/>
      <c r="AN218" s="466"/>
      <c r="AO218" s="466"/>
      <c r="AP218" s="150"/>
      <c r="AQ218" s="150"/>
      <c r="AR218" s="151"/>
      <c r="AS218" s="456"/>
      <c r="AT218" s="466"/>
      <c r="AU218" s="150"/>
      <c r="AV218" s="487"/>
      <c r="AW218" s="150"/>
      <c r="AX218" s="150"/>
      <c r="AY218" s="466"/>
      <c r="AZ218" s="466"/>
      <c r="BA218" s="150"/>
      <c r="BB218" s="150"/>
      <c r="BC218" s="466"/>
      <c r="BD218" s="466"/>
      <c r="BE218" s="466"/>
      <c r="BF218" s="466"/>
      <c r="BG218" s="150"/>
      <c r="BH218" s="150"/>
      <c r="BI218" s="150"/>
      <c r="BJ218" s="466"/>
      <c r="BK218" s="152"/>
      <c r="BL218" s="160"/>
      <c r="BM218" s="150"/>
      <c r="BN218" s="466"/>
      <c r="BO218" s="150"/>
      <c r="BP218" s="516"/>
      <c r="BQ218" s="160"/>
      <c r="BR218" s="152"/>
      <c r="BS218" s="160"/>
    </row>
    <row r="219" spans="1:71" x14ac:dyDescent="0.3">
      <c r="A219" s="420">
        <f>DL!A216</f>
        <v>195</v>
      </c>
      <c r="B219" s="19" t="s">
        <v>115</v>
      </c>
      <c r="C219" s="149">
        <f>DL!L216</f>
        <v>100</v>
      </c>
      <c r="D219" s="149">
        <f>DL!C216</f>
        <v>25</v>
      </c>
      <c r="E219" s="150"/>
      <c r="F219" s="463"/>
      <c r="G219" s="150"/>
      <c r="H219" s="150"/>
      <c r="I219" s="466"/>
      <c r="J219" s="150"/>
      <c r="K219" s="168"/>
      <c r="L219" s="466"/>
      <c r="M219" s="150"/>
      <c r="N219" s="466"/>
      <c r="O219" s="150"/>
      <c r="P219" s="150"/>
      <c r="Q219" s="150"/>
      <c r="R219" s="472"/>
      <c r="S219" s="466">
        <v>4200</v>
      </c>
      <c r="T219" s="150"/>
      <c r="U219" s="150"/>
      <c r="V219" s="150"/>
      <c r="W219" s="168"/>
      <c r="X219" s="150"/>
      <c r="Y219" s="466"/>
      <c r="Z219" s="455"/>
      <c r="AA219" s="150"/>
      <c r="AB219" s="490"/>
      <c r="AC219" s="150"/>
      <c r="AD219" s="150"/>
      <c r="AE219" s="466"/>
      <c r="AF219" s="499"/>
      <c r="AG219" s="150"/>
      <c r="AH219" s="150"/>
      <c r="AI219" s="150"/>
      <c r="AJ219" s="150"/>
      <c r="AK219" s="150"/>
      <c r="AL219" s="150"/>
      <c r="AM219" s="150"/>
      <c r="AN219" s="466"/>
      <c r="AO219" s="466"/>
      <c r="AP219" s="150"/>
      <c r="AQ219" s="150"/>
      <c r="AR219" s="151"/>
      <c r="AS219" s="456"/>
      <c r="AT219" s="466"/>
      <c r="AU219" s="150"/>
      <c r="AV219" s="487"/>
      <c r="AW219" s="150"/>
      <c r="AX219" s="150"/>
      <c r="AY219" s="466"/>
      <c r="AZ219" s="466"/>
      <c r="BA219" s="150"/>
      <c r="BB219" s="150"/>
      <c r="BC219" s="466"/>
      <c r="BD219" s="466"/>
      <c r="BE219" s="466"/>
      <c r="BF219" s="466"/>
      <c r="BG219" s="150"/>
      <c r="BH219" s="150"/>
      <c r="BI219" s="150"/>
      <c r="BJ219" s="466"/>
      <c r="BK219" s="152"/>
      <c r="BL219" s="160"/>
      <c r="BM219" s="150"/>
      <c r="BN219" s="466"/>
      <c r="BO219" s="150"/>
      <c r="BP219" s="516"/>
      <c r="BQ219" s="160"/>
      <c r="BR219" s="152"/>
      <c r="BS219" s="160"/>
    </row>
    <row r="220" spans="1:71" x14ac:dyDescent="0.3">
      <c r="A220" s="420">
        <f>DL!A217</f>
        <v>196</v>
      </c>
      <c r="B220" s="19" t="s">
        <v>116</v>
      </c>
      <c r="C220" s="149">
        <f>DL!L217</f>
        <v>1200</v>
      </c>
      <c r="D220" s="149" t="str">
        <f>DL!C217</f>
        <v>VIAL</v>
      </c>
      <c r="E220" s="150"/>
      <c r="F220" s="463"/>
      <c r="G220" s="150"/>
      <c r="H220" s="150"/>
      <c r="I220" s="466"/>
      <c r="J220" s="150"/>
      <c r="K220" s="168"/>
      <c r="L220" s="466"/>
      <c r="M220" s="150"/>
      <c r="N220" s="466"/>
      <c r="O220" s="150"/>
      <c r="P220" s="150"/>
      <c r="Q220" s="150"/>
      <c r="R220" s="472"/>
      <c r="S220" s="466">
        <v>250</v>
      </c>
      <c r="T220" s="150"/>
      <c r="U220" s="150"/>
      <c r="V220" s="150"/>
      <c r="W220" s="168"/>
      <c r="X220" s="150"/>
      <c r="Y220" s="466"/>
      <c r="Z220" s="455"/>
      <c r="AA220" s="150"/>
      <c r="AB220" s="490"/>
      <c r="AC220" s="150"/>
      <c r="AD220" s="150"/>
      <c r="AE220" s="466"/>
      <c r="AF220" s="499"/>
      <c r="AG220" s="150"/>
      <c r="AH220" s="150"/>
      <c r="AI220" s="150"/>
      <c r="AJ220" s="150"/>
      <c r="AK220" s="150"/>
      <c r="AL220" s="150"/>
      <c r="AM220" s="150"/>
      <c r="AN220" s="466"/>
      <c r="AO220" s="466"/>
      <c r="AP220" s="150"/>
      <c r="AQ220" s="150"/>
      <c r="AR220" s="151"/>
      <c r="AS220" s="456"/>
      <c r="AT220" s="466"/>
      <c r="AU220" s="150"/>
      <c r="AV220" s="487"/>
      <c r="AW220" s="150"/>
      <c r="AX220" s="150"/>
      <c r="AY220" s="466"/>
      <c r="AZ220" s="466"/>
      <c r="BA220" s="150"/>
      <c r="BB220" s="150"/>
      <c r="BC220" s="466"/>
      <c r="BD220" s="466"/>
      <c r="BE220" s="466"/>
      <c r="BF220" s="466"/>
      <c r="BG220" s="150"/>
      <c r="BH220" s="150"/>
      <c r="BI220" s="150"/>
      <c r="BJ220" s="466"/>
      <c r="BK220" s="152"/>
      <c r="BL220" s="160"/>
      <c r="BM220" s="150"/>
      <c r="BN220" s="466"/>
      <c r="BO220" s="150"/>
      <c r="BP220" s="516"/>
      <c r="BQ220" s="160"/>
      <c r="BR220" s="152"/>
      <c r="BS220" s="160"/>
    </row>
    <row r="221" spans="1:71" x14ac:dyDescent="0.3">
      <c r="A221" s="420">
        <f>DL!A218</f>
        <v>197</v>
      </c>
      <c r="B221" s="16" t="s">
        <v>1296</v>
      </c>
      <c r="C221" s="149">
        <f>DL!L218</f>
        <v>1600</v>
      </c>
      <c r="D221" s="149" t="str">
        <f>DL!C218</f>
        <v>BOTT</v>
      </c>
      <c r="E221" s="150"/>
      <c r="F221" s="463"/>
      <c r="G221" s="150"/>
      <c r="H221" s="150"/>
      <c r="I221" s="466"/>
      <c r="J221" s="150"/>
      <c r="K221" s="168"/>
      <c r="L221" s="466"/>
      <c r="M221" s="150"/>
      <c r="N221" s="466"/>
      <c r="O221" s="150"/>
      <c r="P221" s="150"/>
      <c r="Q221" s="150"/>
      <c r="R221" s="473">
        <v>219.29600000000002</v>
      </c>
      <c r="S221" s="466">
        <v>130</v>
      </c>
      <c r="T221" s="150"/>
      <c r="U221" s="150"/>
      <c r="V221" s="150"/>
      <c r="W221" s="168"/>
      <c r="X221" s="150"/>
      <c r="Y221" s="466"/>
      <c r="Z221" s="455"/>
      <c r="AA221" s="150"/>
      <c r="AB221" s="490"/>
      <c r="AC221" s="150"/>
      <c r="AD221" s="150"/>
      <c r="AE221" s="466">
        <v>310</v>
      </c>
      <c r="AF221" s="499"/>
      <c r="AG221" s="150"/>
      <c r="AH221" s="150"/>
      <c r="AI221" s="150"/>
      <c r="AJ221" s="150"/>
      <c r="AK221" s="150"/>
      <c r="AL221" s="150"/>
      <c r="AM221" s="150"/>
      <c r="AN221" s="466"/>
      <c r="AO221" s="466"/>
      <c r="AP221" s="150">
        <v>185</v>
      </c>
      <c r="AQ221" s="150"/>
      <c r="AR221" s="151"/>
      <c r="AS221" s="456"/>
      <c r="AT221" s="466"/>
      <c r="AU221" s="150"/>
      <c r="AV221" s="487"/>
      <c r="AW221" s="150"/>
      <c r="AX221" s="150"/>
      <c r="AY221" s="466"/>
      <c r="AZ221" s="466"/>
      <c r="BA221" s="150">
        <v>362</v>
      </c>
      <c r="BB221" s="150"/>
      <c r="BC221" s="466"/>
      <c r="BD221" s="466"/>
      <c r="BE221" s="466"/>
      <c r="BF221" s="466">
        <v>224.7</v>
      </c>
      <c r="BG221" s="150"/>
      <c r="BH221" s="150">
        <v>605</v>
      </c>
      <c r="BI221" s="150"/>
      <c r="BJ221" s="466"/>
      <c r="BK221" s="152"/>
      <c r="BL221" s="160"/>
      <c r="BM221" s="150"/>
      <c r="BN221" s="466"/>
      <c r="BO221" s="150"/>
      <c r="BP221" s="516"/>
      <c r="BQ221" s="160"/>
      <c r="BR221" s="152"/>
      <c r="BS221" s="160"/>
    </row>
    <row r="222" spans="1:71" x14ac:dyDescent="0.3">
      <c r="A222" s="420">
        <f>DL!A219</f>
        <v>198</v>
      </c>
      <c r="B222" s="19" t="s">
        <v>117</v>
      </c>
      <c r="C222" s="149">
        <f>DL!L219</f>
        <v>200</v>
      </c>
      <c r="D222" s="149">
        <f>DL!C219</f>
        <v>100</v>
      </c>
      <c r="E222" s="150"/>
      <c r="F222" s="463"/>
      <c r="G222" s="150"/>
      <c r="H222" s="150"/>
      <c r="I222" s="466"/>
      <c r="J222" s="150"/>
      <c r="K222" s="168"/>
      <c r="L222" s="466"/>
      <c r="M222" s="150"/>
      <c r="N222" s="466"/>
      <c r="O222" s="150"/>
      <c r="P222" s="150"/>
      <c r="Q222" s="150"/>
      <c r="R222" s="472"/>
      <c r="S222" s="466">
        <v>600</v>
      </c>
      <c r="T222" s="150"/>
      <c r="U222" s="150"/>
      <c r="V222" s="150"/>
      <c r="W222" s="168"/>
      <c r="X222" s="150"/>
      <c r="Y222" s="466"/>
      <c r="Z222" s="455"/>
      <c r="AA222" s="150"/>
      <c r="AB222" s="490"/>
      <c r="AC222" s="150"/>
      <c r="AD222" s="150"/>
      <c r="AE222" s="466"/>
      <c r="AF222" s="499"/>
      <c r="AG222" s="150"/>
      <c r="AH222" s="150"/>
      <c r="AI222" s="150"/>
      <c r="AJ222" s="150"/>
      <c r="AK222" s="150"/>
      <c r="AL222" s="150"/>
      <c r="AM222" s="150"/>
      <c r="AN222" s="466"/>
      <c r="AO222" s="466"/>
      <c r="AP222" s="150"/>
      <c r="AQ222" s="150"/>
      <c r="AR222" s="151">
        <v>650</v>
      </c>
      <c r="AS222" s="456"/>
      <c r="AT222" s="466"/>
      <c r="AU222" s="150"/>
      <c r="AV222" s="487"/>
      <c r="AW222" s="150"/>
      <c r="AX222" s="150"/>
      <c r="AY222" s="466"/>
      <c r="AZ222" s="466"/>
      <c r="BA222" s="150"/>
      <c r="BB222" s="150"/>
      <c r="BC222" s="466"/>
      <c r="BD222" s="466"/>
      <c r="BE222" s="466"/>
      <c r="BF222" s="466"/>
      <c r="BG222" s="150"/>
      <c r="BH222" s="150"/>
      <c r="BI222" s="150"/>
      <c r="BJ222" s="466"/>
      <c r="BK222" s="152"/>
      <c r="BL222" s="160"/>
      <c r="BM222" s="150"/>
      <c r="BN222" s="466">
        <v>700</v>
      </c>
      <c r="BO222" s="150"/>
      <c r="BP222" s="516"/>
      <c r="BQ222" s="160"/>
      <c r="BR222" s="152"/>
      <c r="BS222" s="160"/>
    </row>
    <row r="223" spans="1:71" x14ac:dyDescent="0.3">
      <c r="A223" s="420">
        <f>DL!A220</f>
        <v>199</v>
      </c>
      <c r="B223" s="19" t="s">
        <v>1297</v>
      </c>
      <c r="C223" s="149">
        <f>DL!L220</f>
        <v>52</v>
      </c>
      <c r="D223" s="149">
        <f>DL!C220</f>
        <v>100</v>
      </c>
      <c r="E223" s="150"/>
      <c r="F223" s="463"/>
      <c r="G223" s="150"/>
      <c r="H223" s="150"/>
      <c r="I223" s="466"/>
      <c r="J223" s="150"/>
      <c r="K223" s="168"/>
      <c r="L223" s="466"/>
      <c r="M223" s="150"/>
      <c r="N223" s="466"/>
      <c r="O223" s="150"/>
      <c r="P223" s="150"/>
      <c r="Q223" s="150"/>
      <c r="R223" s="472"/>
      <c r="S223" s="466">
        <v>1700</v>
      </c>
      <c r="T223" s="150"/>
      <c r="U223" s="150"/>
      <c r="V223" s="150"/>
      <c r="W223" s="168"/>
      <c r="X223" s="150"/>
      <c r="Y223" s="466"/>
      <c r="Z223" s="455"/>
      <c r="AA223" s="150"/>
      <c r="AB223" s="490"/>
      <c r="AC223" s="150"/>
      <c r="AD223" s="150"/>
      <c r="AE223" s="466"/>
      <c r="AF223" s="499"/>
      <c r="AG223" s="150"/>
      <c r="AH223" s="150"/>
      <c r="AI223" s="150"/>
      <c r="AJ223" s="150"/>
      <c r="AK223" s="150"/>
      <c r="AL223" s="150"/>
      <c r="AM223" s="150"/>
      <c r="AN223" s="466"/>
      <c r="AO223" s="466"/>
      <c r="AP223" s="150"/>
      <c r="AQ223" s="150"/>
      <c r="AR223" s="151">
        <v>1700</v>
      </c>
      <c r="AS223" s="456"/>
      <c r="AT223" s="466"/>
      <c r="AU223" s="150"/>
      <c r="AV223" s="487"/>
      <c r="AW223" s="150"/>
      <c r="AX223" s="150"/>
      <c r="AY223" s="466"/>
      <c r="AZ223" s="466"/>
      <c r="BA223" s="150"/>
      <c r="BB223" s="150"/>
      <c r="BC223" s="466"/>
      <c r="BD223" s="466"/>
      <c r="BE223" s="466"/>
      <c r="BF223" s="466"/>
      <c r="BG223" s="150"/>
      <c r="BH223" s="150"/>
      <c r="BI223" s="150"/>
      <c r="BJ223" s="466"/>
      <c r="BK223" s="152"/>
      <c r="BL223" s="160"/>
      <c r="BM223" s="150"/>
      <c r="BN223" s="466"/>
      <c r="BO223" s="150"/>
      <c r="BP223" s="516"/>
      <c r="BQ223" s="160"/>
      <c r="BR223" s="152"/>
      <c r="BS223" s="160"/>
    </row>
    <row r="224" spans="1:71" x14ac:dyDescent="0.3">
      <c r="A224" s="420">
        <f>DL!A221</f>
        <v>200</v>
      </c>
      <c r="B224" s="19" t="s">
        <v>118</v>
      </c>
      <c r="C224" s="149">
        <v>1600</v>
      </c>
      <c r="D224" s="149">
        <f>DL!C221</f>
        <v>100</v>
      </c>
      <c r="E224" s="150"/>
      <c r="F224" s="463"/>
      <c r="G224" s="150"/>
      <c r="H224" s="150"/>
      <c r="I224" s="468">
        <v>2500</v>
      </c>
      <c r="J224" s="150">
        <v>850</v>
      </c>
      <c r="K224" s="168"/>
      <c r="L224" s="466"/>
      <c r="M224" s="150"/>
      <c r="N224" s="466"/>
      <c r="O224" s="150"/>
      <c r="P224" s="150">
        <v>1700</v>
      </c>
      <c r="Q224" s="150"/>
      <c r="R224" s="473">
        <v>1535.655</v>
      </c>
      <c r="S224" s="466">
        <v>880</v>
      </c>
      <c r="T224" s="150"/>
      <c r="U224" s="150"/>
      <c r="V224" s="150"/>
      <c r="W224" s="168"/>
      <c r="X224" s="150"/>
      <c r="Y224" s="466"/>
      <c r="Z224" s="455"/>
      <c r="AA224" s="150"/>
      <c r="AB224" s="490"/>
      <c r="AC224" s="150"/>
      <c r="AD224" s="150"/>
      <c r="AE224" s="466"/>
      <c r="AF224" s="499"/>
      <c r="AG224" s="150">
        <v>950</v>
      </c>
      <c r="AH224" s="150"/>
      <c r="AI224" s="150"/>
      <c r="AJ224" s="150"/>
      <c r="AK224" s="150"/>
      <c r="AL224" s="150"/>
      <c r="AM224" s="150"/>
      <c r="AN224" s="466"/>
      <c r="AO224" s="466"/>
      <c r="AP224" s="150"/>
      <c r="AQ224" s="150"/>
      <c r="AR224" s="151"/>
      <c r="AS224" s="456"/>
      <c r="AT224" s="466"/>
      <c r="AU224" s="150"/>
      <c r="AV224" s="487"/>
      <c r="AW224" s="150"/>
      <c r="AX224" s="150"/>
      <c r="AY224" s="466"/>
      <c r="AZ224" s="466"/>
      <c r="BA224" s="150"/>
      <c r="BB224" s="150"/>
      <c r="BC224" s="466"/>
      <c r="BD224" s="466"/>
      <c r="BE224" s="466"/>
      <c r="BF224" s="466">
        <v>1020.14</v>
      </c>
      <c r="BG224" s="150"/>
      <c r="BH224" s="150"/>
      <c r="BI224" s="150"/>
      <c r="BJ224" s="466"/>
      <c r="BK224" s="152"/>
      <c r="BL224" s="160"/>
      <c r="BM224" s="150"/>
      <c r="BN224" s="466">
        <v>830</v>
      </c>
      <c r="BO224" s="150"/>
      <c r="BP224" s="516"/>
      <c r="BQ224" s="160"/>
      <c r="BR224" s="152"/>
      <c r="BS224" s="160"/>
    </row>
    <row r="225" spans="1:71" x14ac:dyDescent="0.3">
      <c r="A225" s="420">
        <f>DL!A222</f>
        <v>201</v>
      </c>
      <c r="B225" s="19" t="s">
        <v>119</v>
      </c>
      <c r="C225" s="149">
        <f>DL!L222</f>
        <v>500</v>
      </c>
      <c r="D225" s="149" t="str">
        <f>DL!C222</f>
        <v>VIAL</v>
      </c>
      <c r="E225" s="150"/>
      <c r="F225" s="463"/>
      <c r="G225" s="150"/>
      <c r="H225" s="150"/>
      <c r="I225" s="466"/>
      <c r="J225" s="150">
        <v>180</v>
      </c>
      <c r="K225" s="168"/>
      <c r="L225" s="466"/>
      <c r="M225" s="150"/>
      <c r="N225" s="466"/>
      <c r="O225" s="150"/>
      <c r="P225" s="150"/>
      <c r="Q225" s="150"/>
      <c r="R225" s="472"/>
      <c r="S225" s="466">
        <v>205</v>
      </c>
      <c r="T225" s="150"/>
      <c r="U225" s="150"/>
      <c r="V225" s="150"/>
      <c r="W225" s="168"/>
      <c r="X225" s="150"/>
      <c r="Y225" s="466"/>
      <c r="Z225" s="455"/>
      <c r="AA225" s="150"/>
      <c r="AB225" s="490"/>
      <c r="AC225" s="150"/>
      <c r="AD225" s="150"/>
      <c r="AE225" s="466"/>
      <c r="AF225" s="499"/>
      <c r="AG225" s="150"/>
      <c r="AH225" s="150"/>
      <c r="AI225" s="150"/>
      <c r="AJ225" s="150"/>
      <c r="AK225" s="150"/>
      <c r="AL225" s="150"/>
      <c r="AM225" s="150"/>
      <c r="AN225" s="466"/>
      <c r="AO225" s="466"/>
      <c r="AP225" s="150"/>
      <c r="AQ225" s="150"/>
      <c r="AR225" s="151"/>
      <c r="AS225" s="456"/>
      <c r="AT225" s="466"/>
      <c r="AU225" s="150"/>
      <c r="AV225" s="487"/>
      <c r="AW225" s="150"/>
      <c r="AX225" s="150"/>
      <c r="AY225" s="466"/>
      <c r="AZ225" s="466"/>
      <c r="BA225" s="150"/>
      <c r="BB225" s="150"/>
      <c r="BC225" s="466"/>
      <c r="BD225" s="466"/>
      <c r="BE225" s="466"/>
      <c r="BF225" s="466"/>
      <c r="BG225" s="150"/>
      <c r="BH225" s="150"/>
      <c r="BI225" s="150"/>
      <c r="BJ225" s="466"/>
      <c r="BK225" s="152"/>
      <c r="BL225" s="160"/>
      <c r="BM225" s="150"/>
      <c r="BN225" s="466"/>
      <c r="BO225" s="150"/>
      <c r="BP225" s="516"/>
      <c r="BQ225" s="160"/>
      <c r="BR225" s="152"/>
      <c r="BS225" s="160"/>
    </row>
    <row r="226" spans="1:71" x14ac:dyDescent="0.3">
      <c r="A226" s="420">
        <f>DL!A223</f>
        <v>202</v>
      </c>
      <c r="B226" s="19" t="s">
        <v>120</v>
      </c>
      <c r="C226" s="149">
        <f>DL!L223</f>
        <v>1000</v>
      </c>
      <c r="D226" s="149" t="str">
        <f>DL!C223</f>
        <v>BOTT</v>
      </c>
      <c r="E226" s="150"/>
      <c r="F226" s="463"/>
      <c r="G226" s="150"/>
      <c r="H226" s="150"/>
      <c r="I226" s="466">
        <v>620</v>
      </c>
      <c r="J226" s="150">
        <v>450</v>
      </c>
      <c r="K226" s="168"/>
      <c r="L226" s="466"/>
      <c r="M226" s="150"/>
      <c r="N226" s="466"/>
      <c r="O226" s="150"/>
      <c r="P226" s="150"/>
      <c r="Q226" s="150"/>
      <c r="R226" s="473">
        <v>935.00000000000011</v>
      </c>
      <c r="S226" s="466">
        <v>550</v>
      </c>
      <c r="T226" s="150">
        <v>900</v>
      </c>
      <c r="U226" s="150"/>
      <c r="V226" s="150">
        <v>500</v>
      </c>
      <c r="W226" s="168"/>
      <c r="X226" s="150">
        <v>638</v>
      </c>
      <c r="Y226" s="466"/>
      <c r="Z226" s="455"/>
      <c r="AA226" s="150">
        <v>450</v>
      </c>
      <c r="AB226" s="490"/>
      <c r="AC226" s="150"/>
      <c r="AD226" s="150"/>
      <c r="AE226" s="466">
        <v>925</v>
      </c>
      <c r="AF226" s="499"/>
      <c r="AG226" s="150"/>
      <c r="AH226" s="150"/>
      <c r="AI226" s="150"/>
      <c r="AJ226" s="150"/>
      <c r="AK226" s="150">
        <v>700</v>
      </c>
      <c r="AL226" s="150"/>
      <c r="AM226" s="150"/>
      <c r="AN226" s="466"/>
      <c r="AO226" s="466"/>
      <c r="AP226" s="150"/>
      <c r="AQ226" s="150"/>
      <c r="AR226" s="151"/>
      <c r="AS226" s="456"/>
      <c r="AT226" s="466"/>
      <c r="AU226" s="150"/>
      <c r="AV226" s="487"/>
      <c r="AW226" s="150"/>
      <c r="AX226" s="150"/>
      <c r="AY226" s="466"/>
      <c r="AZ226" s="466">
        <v>0</v>
      </c>
      <c r="BA226" s="150"/>
      <c r="BB226" s="150"/>
      <c r="BC226" s="466"/>
      <c r="BD226" s="466"/>
      <c r="BE226" s="466"/>
      <c r="BF226" s="466"/>
      <c r="BG226" s="150"/>
      <c r="BH226" s="150"/>
      <c r="BI226" s="150"/>
      <c r="BJ226" s="466"/>
      <c r="BK226" s="152"/>
      <c r="BL226" s="160"/>
      <c r="BM226" s="150"/>
      <c r="BN226" s="466"/>
      <c r="BO226" s="150">
        <v>820</v>
      </c>
      <c r="BP226" s="516"/>
      <c r="BQ226" s="160"/>
      <c r="BR226" s="152"/>
      <c r="BS226" s="160"/>
    </row>
    <row r="227" spans="1:71" x14ac:dyDescent="0.3">
      <c r="A227" s="420">
        <f>DL!A224</f>
        <v>203</v>
      </c>
      <c r="B227" s="19" t="s">
        <v>1298</v>
      </c>
      <c r="C227" s="149">
        <f>DL!L224</f>
        <v>200</v>
      </c>
      <c r="D227" s="149" t="str">
        <f>DL!C224</f>
        <v>BOTT</v>
      </c>
      <c r="E227" s="150"/>
      <c r="F227" s="463"/>
      <c r="G227" s="150"/>
      <c r="H227" s="150"/>
      <c r="I227" s="466">
        <v>980</v>
      </c>
      <c r="J227" s="150"/>
      <c r="K227" s="168"/>
      <c r="L227" s="466"/>
      <c r="M227" s="150"/>
      <c r="N227" s="466"/>
      <c r="O227" s="150"/>
      <c r="P227" s="150"/>
      <c r="Q227" s="150"/>
      <c r="R227" s="472"/>
      <c r="S227" s="467">
        <v>1500</v>
      </c>
      <c r="T227" s="150">
        <v>1450</v>
      </c>
      <c r="U227" s="150"/>
      <c r="V227" s="150"/>
      <c r="W227" s="168"/>
      <c r="X227" s="150"/>
      <c r="Y227" s="466"/>
      <c r="Z227" s="455"/>
      <c r="AA227" s="150"/>
      <c r="AB227" s="490"/>
      <c r="AC227" s="150"/>
      <c r="AD227" s="150"/>
      <c r="AE227" s="466"/>
      <c r="AF227" s="499"/>
      <c r="AG227" s="150"/>
      <c r="AH227" s="150"/>
      <c r="AI227" s="150"/>
      <c r="AJ227" s="150"/>
      <c r="AK227" s="150"/>
      <c r="AL227" s="150"/>
      <c r="AM227" s="150"/>
      <c r="AN227" s="466"/>
      <c r="AO227" s="466"/>
      <c r="AP227" s="150"/>
      <c r="AQ227" s="150"/>
      <c r="AR227" s="151"/>
      <c r="AS227" s="456"/>
      <c r="AT227" s="466"/>
      <c r="AU227" s="150"/>
      <c r="AV227" s="487"/>
      <c r="AW227" s="150"/>
      <c r="AX227" s="150"/>
      <c r="AY227" s="466"/>
      <c r="AZ227" s="466">
        <v>0</v>
      </c>
      <c r="BA227" s="150"/>
      <c r="BB227" s="150"/>
      <c r="BC227" s="466"/>
      <c r="BD227" s="466"/>
      <c r="BE227" s="466"/>
      <c r="BF227" s="466"/>
      <c r="BG227" s="150"/>
      <c r="BH227" s="150">
        <v>1414</v>
      </c>
      <c r="BI227" s="150"/>
      <c r="BJ227" s="466"/>
      <c r="BK227" s="152"/>
      <c r="BL227" s="160"/>
      <c r="BM227" s="150"/>
      <c r="BN227" s="466"/>
      <c r="BO227" s="150"/>
      <c r="BP227" s="516"/>
      <c r="BQ227" s="160"/>
      <c r="BR227" s="152"/>
      <c r="BS227" s="160"/>
    </row>
    <row r="228" spans="1:71" x14ac:dyDescent="0.3">
      <c r="A228" s="420">
        <f>DL!A225</f>
        <v>204</v>
      </c>
      <c r="B228" s="19" t="s">
        <v>121</v>
      </c>
      <c r="C228" s="149">
        <v>12000</v>
      </c>
      <c r="D228" s="149" t="str">
        <f>DL!C225</f>
        <v>VIAL</v>
      </c>
      <c r="E228" s="150"/>
      <c r="F228" s="463"/>
      <c r="G228" s="150"/>
      <c r="H228" s="150"/>
      <c r="I228" s="466">
        <v>540</v>
      </c>
      <c r="J228" s="150">
        <v>500</v>
      </c>
      <c r="K228" s="168"/>
      <c r="L228" s="466"/>
      <c r="M228" s="150"/>
      <c r="N228" s="466"/>
      <c r="O228" s="150"/>
      <c r="P228" s="150"/>
      <c r="Q228" s="150"/>
      <c r="R228" s="472"/>
      <c r="S228" s="466">
        <v>500</v>
      </c>
      <c r="T228" s="150">
        <v>950</v>
      </c>
      <c r="U228" s="150"/>
      <c r="V228" s="150">
        <v>850</v>
      </c>
      <c r="W228" s="168"/>
      <c r="X228" s="150"/>
      <c r="Y228" s="466"/>
      <c r="Z228" s="455"/>
      <c r="AA228" s="150">
        <v>600</v>
      </c>
      <c r="AB228" s="490"/>
      <c r="AC228" s="150"/>
      <c r="AD228" s="150"/>
      <c r="AE228" s="466"/>
      <c r="AF228" s="499"/>
      <c r="AG228" s="150">
        <v>685</v>
      </c>
      <c r="AH228" s="150"/>
      <c r="AI228" s="150"/>
      <c r="AJ228" s="150"/>
      <c r="AK228" s="150"/>
      <c r="AL228" s="150"/>
      <c r="AM228" s="150"/>
      <c r="AN228" s="466"/>
      <c r="AO228" s="466"/>
      <c r="AP228" s="150"/>
      <c r="AQ228" s="150"/>
      <c r="AR228" s="151"/>
      <c r="AS228" s="456"/>
      <c r="AT228" s="466"/>
      <c r="AU228" s="150"/>
      <c r="AV228" s="487"/>
      <c r="AW228" s="150"/>
      <c r="AX228" s="150"/>
      <c r="AY228" s="466"/>
      <c r="AZ228" s="466">
        <v>714</v>
      </c>
      <c r="BA228" s="150">
        <v>552</v>
      </c>
      <c r="BB228" s="150"/>
      <c r="BC228" s="466"/>
      <c r="BD228" s="466"/>
      <c r="BE228" s="466"/>
      <c r="BF228" s="466"/>
      <c r="BG228" s="150">
        <v>540</v>
      </c>
      <c r="BH228" s="150">
        <v>980</v>
      </c>
      <c r="BI228" s="150"/>
      <c r="BJ228" s="466"/>
      <c r="BK228" s="152"/>
      <c r="BL228" s="160"/>
      <c r="BM228" s="150"/>
      <c r="BN228" s="466">
        <v>680</v>
      </c>
      <c r="BO228" s="150"/>
      <c r="BP228" s="516"/>
      <c r="BQ228" s="160"/>
      <c r="BR228" s="152"/>
      <c r="BS228" s="160"/>
    </row>
    <row r="229" spans="1:71" x14ac:dyDescent="0.3">
      <c r="A229" s="420">
        <f>DL!A226</f>
        <v>205</v>
      </c>
      <c r="B229" s="19" t="s">
        <v>122</v>
      </c>
      <c r="C229" s="149">
        <v>6000</v>
      </c>
      <c r="D229" s="149">
        <f>DL!C226</f>
        <v>14</v>
      </c>
      <c r="E229" s="150"/>
      <c r="F229" s="463"/>
      <c r="G229" s="150"/>
      <c r="H229" s="150"/>
      <c r="I229" s="468">
        <v>1200</v>
      </c>
      <c r="J229" s="150">
        <v>800</v>
      </c>
      <c r="K229" s="168"/>
      <c r="L229" s="466"/>
      <c r="M229" s="150"/>
      <c r="N229" s="466"/>
      <c r="O229" s="150"/>
      <c r="P229" s="150"/>
      <c r="Q229" s="150"/>
      <c r="R229" s="472"/>
      <c r="S229" s="466">
        <v>1100</v>
      </c>
      <c r="T229" s="150"/>
      <c r="U229" s="150"/>
      <c r="V229" s="150">
        <v>1100</v>
      </c>
      <c r="W229" s="168"/>
      <c r="X229" s="150">
        <v>1158</v>
      </c>
      <c r="Y229" s="466"/>
      <c r="Z229" s="455"/>
      <c r="AA229" s="150"/>
      <c r="AB229" s="490"/>
      <c r="AC229" s="150"/>
      <c r="AD229" s="150"/>
      <c r="AE229" s="466"/>
      <c r="AF229" s="499"/>
      <c r="AG229" s="150"/>
      <c r="AH229" s="150"/>
      <c r="AI229" s="150"/>
      <c r="AJ229" s="150"/>
      <c r="AK229" s="150"/>
      <c r="AL229" s="150"/>
      <c r="AM229" s="150"/>
      <c r="AN229" s="466"/>
      <c r="AO229" s="466"/>
      <c r="AP229" s="150"/>
      <c r="AQ229" s="150"/>
      <c r="AR229" s="151">
        <v>1100</v>
      </c>
      <c r="AS229" s="456"/>
      <c r="AT229" s="466"/>
      <c r="AU229" s="150"/>
      <c r="AV229" s="487"/>
      <c r="AW229" s="150"/>
      <c r="AX229" s="150"/>
      <c r="AY229" s="466"/>
      <c r="AZ229" s="466"/>
      <c r="BA229" s="159">
        <f>1457/10*14</f>
        <v>2039.7999999999997</v>
      </c>
      <c r="BB229" s="150"/>
      <c r="BC229" s="466"/>
      <c r="BD229" s="466"/>
      <c r="BE229" s="466">
        <v>1300</v>
      </c>
      <c r="BF229" s="466"/>
      <c r="BG229" s="150"/>
      <c r="BH229" s="159">
        <f>1415/10*14</f>
        <v>1981</v>
      </c>
      <c r="BI229" s="150"/>
      <c r="BJ229" s="466"/>
      <c r="BK229" s="152"/>
      <c r="BL229" s="160"/>
      <c r="BM229" s="150"/>
      <c r="BN229" s="466">
        <v>1000</v>
      </c>
      <c r="BO229" s="150"/>
      <c r="BP229" s="516"/>
      <c r="BQ229" s="160"/>
      <c r="BR229" s="152"/>
      <c r="BS229" s="160"/>
    </row>
    <row r="230" spans="1:71" x14ac:dyDescent="0.3">
      <c r="A230" s="420">
        <f>DL!A227</f>
        <v>206</v>
      </c>
      <c r="B230" s="19" t="s">
        <v>123</v>
      </c>
      <c r="C230" s="149">
        <f>DL!L227</f>
        <v>600</v>
      </c>
      <c r="D230" s="149">
        <f>DL!C227</f>
        <v>14</v>
      </c>
      <c r="E230" s="150"/>
      <c r="F230" s="463"/>
      <c r="G230" s="150"/>
      <c r="H230" s="150"/>
      <c r="I230" s="466"/>
      <c r="J230" s="150"/>
      <c r="K230" s="168"/>
      <c r="L230" s="466"/>
      <c r="M230" s="150"/>
      <c r="N230" s="466"/>
      <c r="O230" s="150"/>
      <c r="P230" s="150"/>
      <c r="Q230" s="150"/>
      <c r="R230" s="472"/>
      <c r="S230" s="466"/>
      <c r="T230" s="150"/>
      <c r="U230" s="150"/>
      <c r="V230" s="150">
        <v>715</v>
      </c>
      <c r="W230" s="168"/>
      <c r="X230" s="150"/>
      <c r="Y230" s="466"/>
      <c r="Z230" s="455"/>
      <c r="AA230" s="150"/>
      <c r="AB230" s="490"/>
      <c r="AC230" s="150"/>
      <c r="AD230" s="150"/>
      <c r="AE230" s="466"/>
      <c r="AF230" s="499"/>
      <c r="AG230" s="150"/>
      <c r="AH230" s="150"/>
      <c r="AI230" s="150"/>
      <c r="AJ230" s="150"/>
      <c r="AK230" s="150"/>
      <c r="AL230" s="150"/>
      <c r="AM230" s="150"/>
      <c r="AN230" s="466"/>
      <c r="AO230" s="466"/>
      <c r="AP230" s="150"/>
      <c r="AQ230" s="150"/>
      <c r="AR230" s="151">
        <v>800</v>
      </c>
      <c r="AS230" s="456"/>
      <c r="AT230" s="466"/>
      <c r="AU230" s="150"/>
      <c r="AV230" s="487"/>
      <c r="AW230" s="150"/>
      <c r="AX230" s="150"/>
      <c r="AY230" s="466"/>
      <c r="AZ230" s="466"/>
      <c r="BA230" s="159">
        <f>748/20*14</f>
        <v>523.6</v>
      </c>
      <c r="BB230" s="150"/>
      <c r="BC230" s="466"/>
      <c r="BD230" s="466"/>
      <c r="BE230" s="466"/>
      <c r="BF230" s="466"/>
      <c r="BG230" s="150"/>
      <c r="BH230" s="150"/>
      <c r="BI230" s="150"/>
      <c r="BJ230" s="466"/>
      <c r="BK230" s="152"/>
      <c r="BL230" s="160"/>
      <c r="BM230" s="150"/>
      <c r="BN230" s="466"/>
      <c r="BO230" s="150"/>
      <c r="BP230" s="516"/>
      <c r="BQ230" s="160"/>
      <c r="BR230" s="152"/>
      <c r="BS230" s="160"/>
    </row>
    <row r="231" spans="1:71" x14ac:dyDescent="0.3">
      <c r="A231" s="420">
        <f>DL!A228</f>
        <v>207</v>
      </c>
      <c r="B231" s="19" t="s">
        <v>447</v>
      </c>
      <c r="C231" s="149">
        <f>DL!L228</f>
        <v>100</v>
      </c>
      <c r="D231" s="149" t="str">
        <f>DL!C228</f>
        <v>VIAL</v>
      </c>
      <c r="E231" s="150"/>
      <c r="F231" s="463"/>
      <c r="G231" s="150"/>
      <c r="H231" s="150"/>
      <c r="I231" s="466">
        <v>270</v>
      </c>
      <c r="J231" s="150">
        <v>410</v>
      </c>
      <c r="K231" s="168"/>
      <c r="L231" s="466"/>
      <c r="M231" s="150"/>
      <c r="N231" s="466"/>
      <c r="O231" s="150"/>
      <c r="P231" s="150"/>
      <c r="Q231" s="150"/>
      <c r="R231" s="472"/>
      <c r="S231" s="466"/>
      <c r="T231" s="150"/>
      <c r="U231" s="150"/>
      <c r="V231" s="150"/>
      <c r="W231" s="168"/>
      <c r="X231" s="150"/>
      <c r="Y231" s="466"/>
      <c r="Z231" s="455"/>
      <c r="AA231" s="150"/>
      <c r="AB231" s="490"/>
      <c r="AC231" s="150"/>
      <c r="AD231" s="150"/>
      <c r="AE231" s="466"/>
      <c r="AF231" s="499"/>
      <c r="AG231" s="150"/>
      <c r="AH231" s="150"/>
      <c r="AI231" s="150"/>
      <c r="AJ231" s="150"/>
      <c r="AK231" s="150"/>
      <c r="AL231" s="150"/>
      <c r="AM231" s="150"/>
      <c r="AN231" s="466"/>
      <c r="AO231" s="466"/>
      <c r="AP231" s="150"/>
      <c r="AQ231" s="150"/>
      <c r="AR231" s="151"/>
      <c r="AS231" s="456"/>
      <c r="AT231" s="466"/>
      <c r="AU231" s="150"/>
      <c r="AV231" s="487"/>
      <c r="AW231" s="150"/>
      <c r="AX231" s="150"/>
      <c r="AY231" s="466"/>
      <c r="AZ231" s="466"/>
      <c r="BA231" s="150"/>
      <c r="BB231" s="150"/>
      <c r="BC231" s="466"/>
      <c r="BD231" s="466"/>
      <c r="BE231" s="466"/>
      <c r="BF231" s="466"/>
      <c r="BG231" s="150"/>
      <c r="BH231" s="150">
        <v>775</v>
      </c>
      <c r="BI231" s="150"/>
      <c r="BJ231" s="466"/>
      <c r="BK231" s="152"/>
      <c r="BL231" s="160"/>
      <c r="BM231" s="150"/>
      <c r="BN231" s="466"/>
      <c r="BO231" s="150"/>
      <c r="BP231" s="516"/>
      <c r="BQ231" s="160"/>
      <c r="BR231" s="152"/>
      <c r="BS231" s="160"/>
    </row>
    <row r="232" spans="1:71" x14ac:dyDescent="0.3">
      <c r="A232" s="420">
        <f>DL!A229</f>
        <v>208</v>
      </c>
      <c r="B232" s="19" t="s">
        <v>124</v>
      </c>
      <c r="C232" s="149">
        <v>4000</v>
      </c>
      <c r="D232" s="149">
        <f>DL!C229</f>
        <v>15</v>
      </c>
      <c r="E232" s="150"/>
      <c r="F232" s="463"/>
      <c r="G232" s="150">
        <v>800</v>
      </c>
      <c r="H232" s="150"/>
      <c r="I232" s="468">
        <v>1050</v>
      </c>
      <c r="J232" s="150">
        <v>700</v>
      </c>
      <c r="K232" s="168"/>
      <c r="L232" s="466"/>
      <c r="M232" s="150"/>
      <c r="N232" s="466"/>
      <c r="O232" s="150"/>
      <c r="P232" s="150"/>
      <c r="Q232" s="150"/>
      <c r="R232" s="472"/>
      <c r="S232" s="466">
        <v>700</v>
      </c>
      <c r="T232" s="150">
        <v>1100</v>
      </c>
      <c r="U232" s="150"/>
      <c r="V232" s="159">
        <f>825/14*15</f>
        <v>883.92857142857144</v>
      </c>
      <c r="W232" s="168"/>
      <c r="X232" s="150">
        <v>1097.5899999999999</v>
      </c>
      <c r="Y232" s="466"/>
      <c r="Z232" s="455"/>
      <c r="AA232" s="159">
        <f>700/14*15</f>
        <v>750</v>
      </c>
      <c r="AB232" s="490"/>
      <c r="AC232" s="150"/>
      <c r="AD232" s="150"/>
      <c r="AE232" s="466">
        <v>1065</v>
      </c>
      <c r="AF232" s="499"/>
      <c r="AG232" s="150">
        <v>750</v>
      </c>
      <c r="AH232" s="150"/>
      <c r="AI232" s="150">
        <v>810</v>
      </c>
      <c r="AJ232" s="150"/>
      <c r="AK232" s="150">
        <v>1250</v>
      </c>
      <c r="AL232" s="150"/>
      <c r="AM232" s="150"/>
      <c r="AN232" s="466"/>
      <c r="AO232" s="466"/>
      <c r="AP232" s="150"/>
      <c r="AQ232" s="150"/>
      <c r="AR232" s="151">
        <v>680</v>
      </c>
      <c r="AS232" s="456"/>
      <c r="AT232" s="466"/>
      <c r="AU232" s="150"/>
      <c r="AV232" s="487"/>
      <c r="AW232" s="150"/>
      <c r="AX232" s="150"/>
      <c r="AY232" s="466"/>
      <c r="AZ232" s="466">
        <v>850</v>
      </c>
      <c r="BA232" s="150"/>
      <c r="BB232" s="150"/>
      <c r="BC232" s="466"/>
      <c r="BD232" s="466"/>
      <c r="BE232" s="510">
        <f>650/14*15</f>
        <v>696.42857142857144</v>
      </c>
      <c r="BF232" s="466"/>
      <c r="BG232" s="150"/>
      <c r="BH232" s="150">
        <v>1448</v>
      </c>
      <c r="BI232" s="150"/>
      <c r="BJ232" s="466"/>
      <c r="BK232" s="152"/>
      <c r="BL232" s="160"/>
      <c r="BM232" s="150"/>
      <c r="BN232" s="466">
        <v>880</v>
      </c>
      <c r="BO232" s="150"/>
      <c r="BP232" s="516">
        <v>1000</v>
      </c>
      <c r="BQ232" s="160"/>
      <c r="BR232" s="152"/>
      <c r="BS232" s="160"/>
    </row>
    <row r="233" spans="1:71" x14ac:dyDescent="0.3">
      <c r="A233" s="420">
        <f>DL!A230</f>
        <v>209</v>
      </c>
      <c r="B233" s="19" t="s">
        <v>1299</v>
      </c>
      <c r="C233" s="149">
        <f>DL!L230</f>
        <v>400</v>
      </c>
      <c r="D233" s="149">
        <f>DL!C230</f>
        <v>16</v>
      </c>
      <c r="E233" s="150"/>
      <c r="F233" s="463"/>
      <c r="G233" s="150"/>
      <c r="H233" s="150"/>
      <c r="I233" s="466"/>
      <c r="J233" s="150"/>
      <c r="K233" s="168"/>
      <c r="L233" s="466"/>
      <c r="M233" s="150"/>
      <c r="N233" s="466"/>
      <c r="O233" s="150"/>
      <c r="P233" s="150"/>
      <c r="Q233" s="150"/>
      <c r="R233" s="472"/>
      <c r="S233" s="466">
        <v>1630</v>
      </c>
      <c r="T233" s="150"/>
      <c r="U233" s="150"/>
      <c r="V233" s="150"/>
      <c r="W233" s="168"/>
      <c r="X233" s="150"/>
      <c r="Y233" s="466"/>
      <c r="Z233" s="455"/>
      <c r="AA233" s="150"/>
      <c r="AB233" s="490"/>
      <c r="AC233" s="150"/>
      <c r="AD233" s="150"/>
      <c r="AE233" s="466"/>
      <c r="AF233" s="499"/>
      <c r="AG233" s="150"/>
      <c r="AH233" s="150"/>
      <c r="AI233" s="150"/>
      <c r="AJ233" s="150"/>
      <c r="AK233" s="150"/>
      <c r="AL233" s="150"/>
      <c r="AM233" s="150"/>
      <c r="AN233" s="466"/>
      <c r="AO233" s="466"/>
      <c r="AP233" s="150"/>
      <c r="AQ233" s="150"/>
      <c r="AR233" s="151"/>
      <c r="AS233" s="456"/>
      <c r="AT233" s="466"/>
      <c r="AU233" s="150"/>
      <c r="AV233" s="487"/>
      <c r="AW233" s="150"/>
      <c r="AX233" s="150"/>
      <c r="AY233" s="466"/>
      <c r="AZ233" s="466"/>
      <c r="BA233" s="150"/>
      <c r="BB233" s="150"/>
      <c r="BC233" s="466"/>
      <c r="BD233" s="466"/>
      <c r="BE233" s="466"/>
      <c r="BF233" s="466"/>
      <c r="BG233" s="150"/>
      <c r="BH233" s="150"/>
      <c r="BI233" s="150"/>
      <c r="BJ233" s="466"/>
      <c r="BK233" s="152"/>
      <c r="BL233" s="160"/>
      <c r="BM233" s="150"/>
      <c r="BN233" s="466"/>
      <c r="BO233" s="150"/>
      <c r="BP233" s="516"/>
      <c r="BQ233" s="160"/>
      <c r="BR233" s="152"/>
      <c r="BS233" s="160"/>
    </row>
    <row r="234" spans="1:71" x14ac:dyDescent="0.3">
      <c r="A234" s="420">
        <f>DL!A231</f>
        <v>210</v>
      </c>
      <c r="B234" s="19" t="s">
        <v>1300</v>
      </c>
      <c r="C234" s="149">
        <f>DL!L231</f>
        <v>400</v>
      </c>
      <c r="D234" s="149" t="str">
        <f>DL!C231</f>
        <v>BOTT</v>
      </c>
      <c r="E234" s="150"/>
      <c r="F234" s="463"/>
      <c r="G234" s="150"/>
      <c r="H234" s="150"/>
      <c r="I234" s="466"/>
      <c r="J234" s="150"/>
      <c r="K234" s="168"/>
      <c r="L234" s="466"/>
      <c r="M234" s="150"/>
      <c r="N234" s="466"/>
      <c r="O234" s="150"/>
      <c r="P234" s="150"/>
      <c r="Q234" s="150"/>
      <c r="R234" s="472"/>
      <c r="S234" s="466">
        <v>1500</v>
      </c>
      <c r="T234" s="150"/>
      <c r="U234" s="150"/>
      <c r="V234" s="150"/>
      <c r="W234" s="168"/>
      <c r="X234" s="150"/>
      <c r="Y234" s="466"/>
      <c r="Z234" s="455"/>
      <c r="AA234" s="150"/>
      <c r="AB234" s="490"/>
      <c r="AC234" s="150"/>
      <c r="AD234" s="150"/>
      <c r="AE234" s="466"/>
      <c r="AF234" s="499"/>
      <c r="AG234" s="150"/>
      <c r="AH234" s="150"/>
      <c r="AI234" s="150"/>
      <c r="AJ234" s="150"/>
      <c r="AK234" s="150"/>
      <c r="AL234" s="150"/>
      <c r="AM234" s="150"/>
      <c r="AN234" s="466"/>
      <c r="AO234" s="466"/>
      <c r="AP234" s="150"/>
      <c r="AQ234" s="150"/>
      <c r="AR234" s="151"/>
      <c r="AS234" s="456"/>
      <c r="AT234" s="466"/>
      <c r="AU234" s="150"/>
      <c r="AV234" s="487"/>
      <c r="AW234" s="150"/>
      <c r="AX234" s="150"/>
      <c r="AY234" s="466"/>
      <c r="AZ234" s="466"/>
      <c r="BA234" s="150"/>
      <c r="BB234" s="150"/>
      <c r="BC234" s="466"/>
      <c r="BD234" s="466"/>
      <c r="BE234" s="466"/>
      <c r="BF234" s="466"/>
      <c r="BG234" s="150"/>
      <c r="BH234" s="150"/>
      <c r="BI234" s="150"/>
      <c r="BJ234" s="466"/>
      <c r="BK234" s="152"/>
      <c r="BL234" s="160"/>
      <c r="BM234" s="150"/>
      <c r="BN234" s="466"/>
      <c r="BO234" s="150"/>
      <c r="BP234" s="516"/>
      <c r="BQ234" s="160"/>
      <c r="BR234" s="152"/>
      <c r="BS234" s="160"/>
    </row>
    <row r="235" spans="1:71" x14ac:dyDescent="0.3">
      <c r="A235" s="420">
        <f>DL!A232</f>
        <v>211</v>
      </c>
      <c r="B235" s="19" t="s">
        <v>125</v>
      </c>
      <c r="C235" s="149">
        <f>DL!L232</f>
        <v>500</v>
      </c>
      <c r="D235" s="149">
        <f>DL!C232</f>
        <v>100</v>
      </c>
      <c r="E235" s="150"/>
      <c r="F235" s="463"/>
      <c r="G235" s="150"/>
      <c r="H235" s="150"/>
      <c r="I235" s="468">
        <v>2500</v>
      </c>
      <c r="J235" s="150"/>
      <c r="K235" s="168"/>
      <c r="L235" s="466"/>
      <c r="M235" s="150"/>
      <c r="N235" s="466"/>
      <c r="O235" s="150"/>
      <c r="P235" s="159">
        <f>5*380</f>
        <v>1900</v>
      </c>
      <c r="Q235" s="150"/>
      <c r="R235" s="473">
        <v>1421.34</v>
      </c>
      <c r="S235" s="466">
        <v>1100</v>
      </c>
      <c r="T235" s="150"/>
      <c r="U235" s="150"/>
      <c r="V235" s="150"/>
      <c r="W235" s="168"/>
      <c r="X235" s="150"/>
      <c r="Y235" s="466"/>
      <c r="Z235" s="455"/>
      <c r="AA235" s="150"/>
      <c r="AB235" s="490"/>
      <c r="AC235" s="150"/>
      <c r="AD235" s="150"/>
      <c r="AE235" s="466"/>
      <c r="AF235" s="499"/>
      <c r="AG235" s="150"/>
      <c r="AH235" s="150"/>
      <c r="AI235" s="150"/>
      <c r="AJ235" s="150"/>
      <c r="AK235" s="150"/>
      <c r="AL235" s="150"/>
      <c r="AM235" s="150"/>
      <c r="AN235" s="466"/>
      <c r="AO235" s="466"/>
      <c r="AP235" s="150"/>
      <c r="AQ235" s="150"/>
      <c r="AR235" s="151">
        <v>1120</v>
      </c>
      <c r="AS235" s="456"/>
      <c r="AT235" s="466"/>
      <c r="AU235" s="150"/>
      <c r="AV235" s="487"/>
      <c r="AW235" s="150"/>
      <c r="AX235" s="150"/>
      <c r="AY235" s="466"/>
      <c r="AZ235" s="466"/>
      <c r="BA235" s="150"/>
      <c r="BB235" s="150"/>
      <c r="BC235" s="466"/>
      <c r="BD235" s="466"/>
      <c r="BE235" s="466"/>
      <c r="BF235" s="466">
        <v>1104.4000000000001</v>
      </c>
      <c r="BG235" s="150"/>
      <c r="BH235" s="150"/>
      <c r="BI235" s="150"/>
      <c r="BJ235" s="466"/>
      <c r="BK235" s="152"/>
      <c r="BL235" s="160"/>
      <c r="BM235" s="150"/>
      <c r="BN235" s="466"/>
      <c r="BO235" s="150"/>
      <c r="BP235" s="516"/>
      <c r="BQ235" s="160"/>
      <c r="BR235" s="152"/>
      <c r="BS235" s="160"/>
    </row>
    <row r="236" spans="1:71" x14ac:dyDescent="0.3">
      <c r="A236" s="420">
        <f>DL!A233</f>
        <v>212</v>
      </c>
      <c r="B236" s="19" t="s">
        <v>126</v>
      </c>
      <c r="C236" s="149">
        <f>DL!L233</f>
        <v>500</v>
      </c>
      <c r="D236" s="149" t="str">
        <f>DL!C233</f>
        <v>BOTT</v>
      </c>
      <c r="E236" s="150"/>
      <c r="F236" s="463"/>
      <c r="G236" s="150"/>
      <c r="H236" s="150"/>
      <c r="I236" s="466"/>
      <c r="J236" s="150"/>
      <c r="K236" s="168"/>
      <c r="L236" s="466"/>
      <c r="M236" s="150"/>
      <c r="N236" s="466"/>
      <c r="O236" s="150"/>
      <c r="P236" s="150"/>
      <c r="Q236" s="150"/>
      <c r="R236" s="473">
        <v>275.92400000000004</v>
      </c>
      <c r="S236" s="466">
        <v>150</v>
      </c>
      <c r="T236" s="150"/>
      <c r="U236" s="150"/>
      <c r="V236" s="150"/>
      <c r="W236" s="168"/>
      <c r="X236" s="150"/>
      <c r="Y236" s="466"/>
      <c r="Z236" s="455"/>
      <c r="AA236" s="150"/>
      <c r="AB236" s="490"/>
      <c r="AC236" s="150"/>
      <c r="AD236" s="150"/>
      <c r="AE236" s="466">
        <v>335</v>
      </c>
      <c r="AF236" s="499"/>
      <c r="AG236" s="150"/>
      <c r="AH236" s="150"/>
      <c r="AI236" s="150"/>
      <c r="AJ236" s="150"/>
      <c r="AK236" s="150"/>
      <c r="AL236" s="150"/>
      <c r="AM236" s="150"/>
      <c r="AN236" s="466"/>
      <c r="AO236" s="466"/>
      <c r="AP236" s="150"/>
      <c r="AQ236" s="150"/>
      <c r="AR236" s="151"/>
      <c r="AS236" s="456"/>
      <c r="AT236" s="466"/>
      <c r="AU236" s="150"/>
      <c r="AV236" s="487"/>
      <c r="AW236" s="150"/>
      <c r="AX236" s="150"/>
      <c r="AY236" s="466"/>
      <c r="AZ236" s="466"/>
      <c r="BA236" s="150"/>
      <c r="BB236" s="150"/>
      <c r="BC236" s="466"/>
      <c r="BD236" s="466"/>
      <c r="BE236" s="466"/>
      <c r="BF236" s="466">
        <v>293.23</v>
      </c>
      <c r="BG236" s="150"/>
      <c r="BH236" s="150"/>
      <c r="BI236" s="150"/>
      <c r="BJ236" s="466"/>
      <c r="BK236" s="152"/>
      <c r="BL236" s="160"/>
      <c r="BM236" s="150"/>
      <c r="BN236" s="466"/>
      <c r="BO236" s="150"/>
      <c r="BP236" s="516"/>
      <c r="BQ236" s="160"/>
      <c r="BR236" s="152"/>
      <c r="BS236" s="160"/>
    </row>
    <row r="237" spans="1:71" x14ac:dyDescent="0.3">
      <c r="A237" s="420">
        <f>DL!A234</f>
        <v>213</v>
      </c>
      <c r="B237" s="19" t="s">
        <v>127</v>
      </c>
      <c r="C237" s="149">
        <f>DL!L234</f>
        <v>2000</v>
      </c>
      <c r="D237" s="149" t="str">
        <f>DL!C234</f>
        <v>VIAL</v>
      </c>
      <c r="E237" s="150"/>
      <c r="F237" s="463"/>
      <c r="G237" s="150"/>
      <c r="H237" s="150"/>
      <c r="I237" s="466"/>
      <c r="J237" s="150"/>
      <c r="K237" s="168"/>
      <c r="L237" s="466"/>
      <c r="M237" s="150"/>
      <c r="N237" s="466"/>
      <c r="O237" s="150"/>
      <c r="P237" s="150"/>
      <c r="Q237" s="150"/>
      <c r="R237" s="472"/>
      <c r="S237" s="466">
        <v>45</v>
      </c>
      <c r="T237" s="150"/>
      <c r="U237" s="150"/>
      <c r="V237" s="150"/>
      <c r="W237" s="168"/>
      <c r="X237" s="150"/>
      <c r="Y237" s="466"/>
      <c r="Z237" s="455"/>
      <c r="AA237" s="150"/>
      <c r="AB237" s="490"/>
      <c r="AC237" s="150"/>
      <c r="AD237" s="150"/>
      <c r="AE237" s="466">
        <v>90</v>
      </c>
      <c r="AF237" s="499"/>
      <c r="AG237" s="150">
        <v>70</v>
      </c>
      <c r="AH237" s="150"/>
      <c r="AI237" s="150"/>
      <c r="AJ237" s="150"/>
      <c r="AK237" s="150"/>
      <c r="AL237" s="150"/>
      <c r="AM237" s="150"/>
      <c r="AN237" s="466"/>
      <c r="AO237" s="466"/>
      <c r="AP237" s="150"/>
      <c r="AQ237" s="150"/>
      <c r="AR237" s="151"/>
      <c r="AS237" s="456"/>
      <c r="AT237" s="466"/>
      <c r="AU237" s="150"/>
      <c r="AV237" s="487"/>
      <c r="AW237" s="150"/>
      <c r="AX237" s="150"/>
      <c r="AY237" s="466"/>
      <c r="AZ237" s="466"/>
      <c r="BA237" s="150"/>
      <c r="BB237" s="150"/>
      <c r="BC237" s="466"/>
      <c r="BD237" s="466"/>
      <c r="BE237" s="466"/>
      <c r="BF237" s="466"/>
      <c r="BG237" s="150"/>
      <c r="BH237" s="150"/>
      <c r="BI237" s="150"/>
      <c r="BJ237" s="466"/>
      <c r="BK237" s="152"/>
      <c r="BL237" s="160"/>
      <c r="BM237" s="150"/>
      <c r="BN237" s="466"/>
      <c r="BO237" s="150"/>
      <c r="BP237" s="516"/>
      <c r="BQ237" s="160"/>
      <c r="BR237" s="152"/>
      <c r="BS237" s="160"/>
    </row>
    <row r="238" spans="1:71" x14ac:dyDescent="0.3">
      <c r="A238" s="420">
        <f>DL!A235</f>
        <v>214</v>
      </c>
      <c r="B238" s="19" t="s">
        <v>128</v>
      </c>
      <c r="C238" s="149">
        <f>DL!L235</f>
        <v>600</v>
      </c>
      <c r="D238" s="149" t="str">
        <f>DL!C235</f>
        <v>VIAL</v>
      </c>
      <c r="E238" s="150"/>
      <c r="F238" s="463"/>
      <c r="G238" s="150"/>
      <c r="H238" s="150"/>
      <c r="I238" s="466"/>
      <c r="J238" s="150"/>
      <c r="K238" s="168"/>
      <c r="L238" s="466"/>
      <c r="M238" s="150"/>
      <c r="N238" s="466"/>
      <c r="O238" s="150"/>
      <c r="P238" s="150"/>
      <c r="Q238" s="150"/>
      <c r="R238" s="472"/>
      <c r="S238" s="466">
        <v>750</v>
      </c>
      <c r="T238" s="150"/>
      <c r="U238" s="150"/>
      <c r="V238" s="150"/>
      <c r="W238" s="168"/>
      <c r="X238" s="150"/>
      <c r="Y238" s="466"/>
      <c r="Z238" s="455"/>
      <c r="AA238" s="150"/>
      <c r="AB238" s="490"/>
      <c r="AC238" s="150"/>
      <c r="AD238" s="150"/>
      <c r="AE238" s="466"/>
      <c r="AF238" s="499"/>
      <c r="AG238" s="150"/>
      <c r="AH238" s="150"/>
      <c r="AI238" s="150"/>
      <c r="AJ238" s="150"/>
      <c r="AK238" s="150"/>
      <c r="AL238" s="150"/>
      <c r="AM238" s="150"/>
      <c r="AN238" s="466"/>
      <c r="AO238" s="466"/>
      <c r="AP238" s="150"/>
      <c r="AQ238" s="150"/>
      <c r="AR238" s="151"/>
      <c r="AS238" s="456"/>
      <c r="AT238" s="466">
        <v>829</v>
      </c>
      <c r="AU238" s="150"/>
      <c r="AV238" s="487"/>
      <c r="AW238" s="150"/>
      <c r="AX238" s="150"/>
      <c r="AY238" s="466"/>
      <c r="AZ238" s="466"/>
      <c r="BA238" s="150"/>
      <c r="BB238" s="150"/>
      <c r="BC238" s="466"/>
      <c r="BD238" s="466"/>
      <c r="BE238" s="466"/>
      <c r="BF238" s="466"/>
      <c r="BG238" s="150"/>
      <c r="BH238" s="150"/>
      <c r="BI238" s="150"/>
      <c r="BJ238" s="466"/>
      <c r="BK238" s="152"/>
      <c r="BL238" s="160"/>
      <c r="BM238" s="150"/>
      <c r="BN238" s="466"/>
      <c r="BO238" s="150">
        <v>829</v>
      </c>
      <c r="BP238" s="516"/>
      <c r="BQ238" s="160"/>
      <c r="BR238" s="152"/>
      <c r="BS238" s="160"/>
    </row>
    <row r="239" spans="1:71" x14ac:dyDescent="0.3">
      <c r="A239" s="420">
        <f>DL!A236</f>
        <v>215</v>
      </c>
      <c r="B239" s="19" t="s">
        <v>448</v>
      </c>
      <c r="C239" s="149">
        <f>DL!L236</f>
        <v>100</v>
      </c>
      <c r="D239" s="149" t="str">
        <f>DL!C236</f>
        <v>BOTT</v>
      </c>
      <c r="E239" s="150"/>
      <c r="F239" s="463"/>
      <c r="G239" s="150"/>
      <c r="H239" s="150"/>
      <c r="I239" s="466"/>
      <c r="J239" s="150"/>
      <c r="K239" s="168"/>
      <c r="L239" s="466"/>
      <c r="M239" s="150"/>
      <c r="N239" s="466"/>
      <c r="O239" s="150"/>
      <c r="P239" s="150"/>
      <c r="Q239" s="150"/>
      <c r="R239" s="472"/>
      <c r="S239" s="466"/>
      <c r="T239" s="150"/>
      <c r="U239" s="150"/>
      <c r="V239" s="150"/>
      <c r="W239" s="168"/>
      <c r="X239" s="150"/>
      <c r="Y239" s="466"/>
      <c r="Z239" s="455"/>
      <c r="AA239" s="150"/>
      <c r="AB239" s="490"/>
      <c r="AC239" s="150"/>
      <c r="AD239" s="150"/>
      <c r="AE239" s="466"/>
      <c r="AF239" s="499"/>
      <c r="AG239" s="150"/>
      <c r="AH239" s="150"/>
      <c r="AI239" s="150"/>
      <c r="AJ239" s="150"/>
      <c r="AK239" s="150"/>
      <c r="AL239" s="150"/>
      <c r="AM239" s="150"/>
      <c r="AN239" s="466"/>
      <c r="AO239" s="466"/>
      <c r="AP239" s="150"/>
      <c r="AQ239" s="150"/>
      <c r="AR239" s="151"/>
      <c r="AS239" s="456"/>
      <c r="AT239" s="466"/>
      <c r="AU239" s="150"/>
      <c r="AV239" s="487"/>
      <c r="AW239" s="150"/>
      <c r="AX239" s="150"/>
      <c r="AY239" s="466"/>
      <c r="AZ239" s="466"/>
      <c r="BA239" s="150"/>
      <c r="BB239" s="150"/>
      <c r="BC239" s="466"/>
      <c r="BD239" s="466"/>
      <c r="BE239" s="466"/>
      <c r="BF239" s="466"/>
      <c r="BG239" s="150"/>
      <c r="BH239" s="150"/>
      <c r="BI239" s="150"/>
      <c r="BJ239" s="466"/>
      <c r="BK239" s="152"/>
      <c r="BL239" s="160"/>
      <c r="BM239" s="150"/>
      <c r="BN239" s="466"/>
      <c r="BO239" s="150"/>
      <c r="BP239" s="516"/>
      <c r="BQ239" s="160"/>
      <c r="BR239" s="152"/>
      <c r="BS239" s="160"/>
    </row>
    <row r="240" spans="1:71" x14ac:dyDescent="0.3">
      <c r="A240" s="420">
        <f>DL!A237</f>
        <v>216</v>
      </c>
      <c r="B240" s="19" t="s">
        <v>667</v>
      </c>
      <c r="C240" s="149">
        <f>DL!L237</f>
        <v>500</v>
      </c>
      <c r="D240" s="149">
        <f>DL!C237</f>
        <v>10</v>
      </c>
      <c r="E240" s="150"/>
      <c r="F240" s="463"/>
      <c r="G240" s="150"/>
      <c r="H240" s="150"/>
      <c r="I240" s="466"/>
      <c r="J240" s="150"/>
      <c r="K240" s="168"/>
      <c r="L240" s="466"/>
      <c r="M240" s="150"/>
      <c r="N240" s="466"/>
      <c r="O240" s="150"/>
      <c r="P240" s="150"/>
      <c r="Q240" s="150"/>
      <c r="R240" s="473">
        <v>582.3180000000001</v>
      </c>
      <c r="S240" s="466">
        <v>600</v>
      </c>
      <c r="T240" s="150"/>
      <c r="U240" s="150"/>
      <c r="V240" s="150">
        <v>577.5</v>
      </c>
      <c r="W240" s="168"/>
      <c r="X240" s="150"/>
      <c r="Y240" s="466"/>
      <c r="Z240" s="455"/>
      <c r="AA240" s="150"/>
      <c r="AB240" s="491">
        <f>500*10/3</f>
        <v>1666.6666666666667</v>
      </c>
      <c r="AC240" s="150"/>
      <c r="AD240" s="150"/>
      <c r="AE240" s="466">
        <v>430</v>
      </c>
      <c r="AF240" s="499"/>
      <c r="AG240" s="150"/>
      <c r="AH240" s="150"/>
      <c r="AI240" s="150"/>
      <c r="AJ240" s="150"/>
      <c r="AK240" s="150"/>
      <c r="AL240" s="150"/>
      <c r="AM240" s="150"/>
      <c r="AN240" s="466"/>
      <c r="AO240" s="466"/>
      <c r="AP240" s="150"/>
      <c r="AQ240" s="150"/>
      <c r="AR240" s="162">
        <f>450/6*10</f>
        <v>750</v>
      </c>
      <c r="AS240" s="456"/>
      <c r="AT240" s="466"/>
      <c r="AU240" s="150"/>
      <c r="AV240" s="487"/>
      <c r="AW240" s="150"/>
      <c r="AX240" s="150"/>
      <c r="AY240" s="466"/>
      <c r="AZ240" s="466">
        <v>300</v>
      </c>
      <c r="BA240" s="150"/>
      <c r="BB240" s="150"/>
      <c r="BC240" s="466"/>
      <c r="BD240" s="466"/>
      <c r="BE240" s="466">
        <v>600</v>
      </c>
      <c r="BF240" s="466"/>
      <c r="BG240" s="159">
        <f>180/3*10</f>
        <v>600</v>
      </c>
      <c r="BH240" s="150"/>
      <c r="BI240" s="150"/>
      <c r="BJ240" s="466"/>
      <c r="BK240" s="152"/>
      <c r="BL240" s="160"/>
      <c r="BM240" s="150"/>
      <c r="BN240" s="466"/>
      <c r="BO240" s="150"/>
      <c r="BP240" s="516">
        <v>500</v>
      </c>
      <c r="BQ240" s="160"/>
      <c r="BR240" s="152"/>
      <c r="BS240" s="160"/>
    </row>
    <row r="241" spans="1:71" x14ac:dyDescent="0.3">
      <c r="A241" s="420">
        <f>DL!A238</f>
        <v>217</v>
      </c>
      <c r="B241" s="19" t="s">
        <v>1301</v>
      </c>
      <c r="C241" s="149">
        <f>DL!L238</f>
        <v>52</v>
      </c>
      <c r="D241" s="149">
        <f>DL!C238</f>
        <v>3</v>
      </c>
      <c r="E241" s="150"/>
      <c r="F241" s="463"/>
      <c r="G241" s="150"/>
      <c r="H241" s="150"/>
      <c r="I241" s="466"/>
      <c r="J241" s="150">
        <v>650</v>
      </c>
      <c r="K241" s="168"/>
      <c r="L241" s="466"/>
      <c r="M241" s="150"/>
      <c r="N241" s="466"/>
      <c r="O241" s="150"/>
      <c r="P241" s="150"/>
      <c r="Q241" s="150"/>
      <c r="R241" s="472"/>
      <c r="S241" s="466"/>
      <c r="T241" s="150"/>
      <c r="U241" s="150"/>
      <c r="V241" s="150"/>
      <c r="W241" s="168"/>
      <c r="X241" s="150"/>
      <c r="Y241" s="466"/>
      <c r="Z241" s="455"/>
      <c r="AA241" s="150"/>
      <c r="AB241" s="490"/>
      <c r="AC241" s="150"/>
      <c r="AD241" s="150"/>
      <c r="AE241" s="466"/>
      <c r="AF241" s="499"/>
      <c r="AG241" s="150"/>
      <c r="AH241" s="150"/>
      <c r="AI241" s="150"/>
      <c r="AJ241" s="150"/>
      <c r="AK241" s="150"/>
      <c r="AL241" s="150"/>
      <c r="AM241" s="150"/>
      <c r="AN241" s="466"/>
      <c r="AO241" s="466"/>
      <c r="AP241" s="150"/>
      <c r="AQ241" s="150"/>
      <c r="AR241" s="151"/>
      <c r="AS241" s="456"/>
      <c r="AT241" s="466"/>
      <c r="AU241" s="150"/>
      <c r="AV241" s="487"/>
      <c r="AW241" s="150"/>
      <c r="AX241" s="150"/>
      <c r="AY241" s="466"/>
      <c r="AZ241" s="466"/>
      <c r="BA241" s="150"/>
      <c r="BB241" s="150"/>
      <c r="BC241" s="466"/>
      <c r="BD241" s="466"/>
      <c r="BE241" s="466"/>
      <c r="BF241" s="466"/>
      <c r="BG241" s="150"/>
      <c r="BH241" s="150"/>
      <c r="BI241" s="150"/>
      <c r="BJ241" s="466"/>
      <c r="BK241" s="152"/>
      <c r="BL241" s="160"/>
      <c r="BM241" s="150"/>
      <c r="BN241" s="466"/>
      <c r="BO241" s="150"/>
      <c r="BP241" s="516"/>
      <c r="BQ241" s="160"/>
      <c r="BR241" s="152"/>
      <c r="BS241" s="160"/>
    </row>
    <row r="242" spans="1:71" x14ac:dyDescent="0.3">
      <c r="A242" s="420">
        <f>DL!A239</f>
        <v>218</v>
      </c>
      <c r="B242" s="19" t="s">
        <v>449</v>
      </c>
      <c r="C242" s="149">
        <f>DL!L239</f>
        <v>100</v>
      </c>
      <c r="D242" s="149" t="str">
        <f>DL!C239</f>
        <v>VIAL</v>
      </c>
      <c r="E242" s="150"/>
      <c r="F242" s="463"/>
      <c r="G242" s="150"/>
      <c r="H242" s="150"/>
      <c r="I242" s="466"/>
      <c r="J242" s="150"/>
      <c r="K242" s="168"/>
      <c r="L242" s="466"/>
      <c r="M242" s="150"/>
      <c r="N242" s="466"/>
      <c r="O242" s="150"/>
      <c r="P242" s="150"/>
      <c r="Q242" s="150"/>
      <c r="R242" s="472"/>
      <c r="S242" s="466"/>
      <c r="T242" s="150"/>
      <c r="U242" s="150"/>
      <c r="V242" s="150"/>
      <c r="W242" s="168"/>
      <c r="X242" s="150"/>
      <c r="Y242" s="466"/>
      <c r="Z242" s="455"/>
      <c r="AA242" s="150"/>
      <c r="AB242" s="490"/>
      <c r="AC242" s="150"/>
      <c r="AD242" s="150"/>
      <c r="AE242" s="466"/>
      <c r="AF242" s="499"/>
      <c r="AG242" s="150"/>
      <c r="AH242" s="150"/>
      <c r="AI242" s="150"/>
      <c r="AJ242" s="150"/>
      <c r="AK242" s="150"/>
      <c r="AL242" s="150"/>
      <c r="AM242" s="150"/>
      <c r="AN242" s="466"/>
      <c r="AO242" s="466"/>
      <c r="AP242" s="150"/>
      <c r="AQ242" s="150"/>
      <c r="AR242" s="151"/>
      <c r="AS242" s="456"/>
      <c r="AT242" s="466"/>
      <c r="AU242" s="150"/>
      <c r="AV242" s="487"/>
      <c r="AW242" s="150"/>
      <c r="AX242" s="150"/>
      <c r="AY242" s="466"/>
      <c r="AZ242" s="466"/>
      <c r="BA242" s="150"/>
      <c r="BB242" s="150"/>
      <c r="BC242" s="466"/>
      <c r="BD242" s="466"/>
      <c r="BE242" s="466"/>
      <c r="BF242" s="466"/>
      <c r="BG242" s="150"/>
      <c r="BH242" s="150"/>
      <c r="BI242" s="150"/>
      <c r="BJ242" s="466"/>
      <c r="BK242" s="152"/>
      <c r="BL242" s="160"/>
      <c r="BM242" s="150"/>
      <c r="BN242" s="466"/>
      <c r="BO242" s="150"/>
      <c r="BP242" s="516"/>
      <c r="BQ242" s="160"/>
      <c r="BR242" s="152"/>
      <c r="BS242" s="160"/>
    </row>
    <row r="243" spans="1:71" x14ac:dyDescent="0.3">
      <c r="A243" s="420">
        <f>DL!A240</f>
        <v>219</v>
      </c>
      <c r="B243" s="19" t="s">
        <v>130</v>
      </c>
      <c r="C243" s="149">
        <f>DL!L240</f>
        <v>100</v>
      </c>
      <c r="D243" s="149" t="str">
        <f>DL!C240</f>
        <v>BOTT</v>
      </c>
      <c r="E243" s="150"/>
      <c r="F243" s="463"/>
      <c r="G243" s="150"/>
      <c r="H243" s="150"/>
      <c r="I243" s="466"/>
      <c r="J243" s="150"/>
      <c r="K243" s="168"/>
      <c r="L243" s="466"/>
      <c r="M243" s="150"/>
      <c r="N243" s="466"/>
      <c r="O243" s="150"/>
      <c r="P243" s="150"/>
      <c r="Q243" s="150"/>
      <c r="R243" s="472"/>
      <c r="S243" s="466"/>
      <c r="T243" s="150"/>
      <c r="U243" s="150"/>
      <c r="V243" s="150"/>
      <c r="W243" s="168"/>
      <c r="X243" s="150"/>
      <c r="Y243" s="466"/>
      <c r="Z243" s="455"/>
      <c r="AA243" s="150"/>
      <c r="AB243" s="490"/>
      <c r="AC243" s="150"/>
      <c r="AD243" s="150"/>
      <c r="AE243" s="466"/>
      <c r="AF243" s="499"/>
      <c r="AG243" s="150"/>
      <c r="AH243" s="150"/>
      <c r="AI243" s="150"/>
      <c r="AJ243" s="150">
        <v>1500</v>
      </c>
      <c r="AK243" s="150"/>
      <c r="AL243" s="150"/>
      <c r="AM243" s="150"/>
      <c r="AN243" s="466"/>
      <c r="AO243" s="466"/>
      <c r="AP243" s="150"/>
      <c r="AQ243" s="150"/>
      <c r="AR243" s="151"/>
      <c r="AS243" s="456"/>
      <c r="AT243" s="466"/>
      <c r="AU243" s="150"/>
      <c r="AV243" s="487"/>
      <c r="AW243" s="150"/>
      <c r="AX243" s="150"/>
      <c r="AY243" s="466"/>
      <c r="AZ243" s="466"/>
      <c r="BA243" s="150"/>
      <c r="BB243" s="150"/>
      <c r="BC243" s="466"/>
      <c r="BD243" s="466"/>
      <c r="BE243" s="466"/>
      <c r="BF243" s="466"/>
      <c r="BG243" s="150"/>
      <c r="BH243" s="150"/>
      <c r="BI243" s="150"/>
      <c r="BJ243" s="466"/>
      <c r="BK243" s="152"/>
      <c r="BL243" s="160"/>
      <c r="BM243" s="150"/>
      <c r="BN243" s="466"/>
      <c r="BO243" s="150"/>
      <c r="BP243" s="516"/>
      <c r="BQ243" s="160"/>
      <c r="BR243" s="152"/>
      <c r="BS243" s="160"/>
    </row>
    <row r="244" spans="1:71" x14ac:dyDescent="0.3">
      <c r="A244" s="420">
        <f>DL!A241</f>
        <v>220</v>
      </c>
      <c r="B244" s="19" t="s">
        <v>129</v>
      </c>
      <c r="C244" s="149">
        <f>DL!L241</f>
        <v>400</v>
      </c>
      <c r="D244" s="149">
        <f>DL!C241</f>
        <v>10</v>
      </c>
      <c r="E244" s="150"/>
      <c r="F244" s="463"/>
      <c r="G244" s="150"/>
      <c r="H244" s="150"/>
      <c r="I244" s="466"/>
      <c r="J244" s="150"/>
      <c r="K244" s="168"/>
      <c r="L244" s="466"/>
      <c r="M244" s="150"/>
      <c r="N244" s="466"/>
      <c r="O244" s="150"/>
      <c r="P244" s="150"/>
      <c r="Q244" s="150"/>
      <c r="R244" s="473">
        <v>1035.0840000000001</v>
      </c>
      <c r="S244" s="466">
        <v>750</v>
      </c>
      <c r="T244" s="150"/>
      <c r="U244" s="150"/>
      <c r="V244" s="150"/>
      <c r="W244" s="168"/>
      <c r="X244" s="150"/>
      <c r="Y244" s="466"/>
      <c r="Z244" s="455"/>
      <c r="AA244" s="150">
        <v>550</v>
      </c>
      <c r="AB244" s="490"/>
      <c r="AC244" s="150"/>
      <c r="AD244" s="150"/>
      <c r="AE244" s="466"/>
      <c r="AF244" s="499"/>
      <c r="AG244" s="150"/>
      <c r="AH244" s="150"/>
      <c r="AI244" s="150"/>
      <c r="AJ244" s="150"/>
      <c r="AK244" s="150"/>
      <c r="AL244" s="150"/>
      <c r="AM244" s="150"/>
      <c r="AN244" s="466"/>
      <c r="AO244" s="466">
        <v>1200</v>
      </c>
      <c r="AP244" s="150">
        <v>670</v>
      </c>
      <c r="AQ244" s="150"/>
      <c r="AR244" s="151">
        <v>720</v>
      </c>
      <c r="AS244" s="456"/>
      <c r="AT244" s="466"/>
      <c r="AU244" s="150"/>
      <c r="AV244" s="487"/>
      <c r="AW244" s="150"/>
      <c r="AX244" s="150"/>
      <c r="AY244" s="466"/>
      <c r="AZ244" s="466"/>
      <c r="BA244" s="150"/>
      <c r="BB244" s="150">
        <v>998</v>
      </c>
      <c r="BC244" s="466"/>
      <c r="BD244" s="466">
        <v>730</v>
      </c>
      <c r="BE244" s="466"/>
      <c r="BF244" s="466"/>
      <c r="BG244" s="150">
        <v>600</v>
      </c>
      <c r="BH244" s="150"/>
      <c r="BI244" s="150"/>
      <c r="BJ244" s="466"/>
      <c r="BK244" s="152"/>
      <c r="BL244" s="160"/>
      <c r="BM244" s="150"/>
      <c r="BN244" s="466"/>
      <c r="BO244" s="150"/>
      <c r="BP244" s="516"/>
      <c r="BQ244" s="160"/>
      <c r="BR244" s="152"/>
      <c r="BS244" s="160"/>
    </row>
    <row r="245" spans="1:71" x14ac:dyDescent="0.3">
      <c r="A245" s="420">
        <f>DL!A242</f>
        <v>221</v>
      </c>
      <c r="B245" s="19" t="s">
        <v>1302</v>
      </c>
      <c r="C245" s="149">
        <f>DL!L242</f>
        <v>200</v>
      </c>
      <c r="D245" s="149">
        <f>DL!C242</f>
        <v>10</v>
      </c>
      <c r="E245" s="150"/>
      <c r="F245" s="463"/>
      <c r="G245" s="150"/>
      <c r="H245" s="150"/>
      <c r="I245" s="466"/>
      <c r="J245" s="150"/>
      <c r="K245" s="168"/>
      <c r="L245" s="466"/>
      <c r="M245" s="150"/>
      <c r="N245" s="466"/>
      <c r="O245" s="150"/>
      <c r="P245" s="150"/>
      <c r="Q245" s="150"/>
      <c r="R245" s="472"/>
      <c r="S245" s="466">
        <v>800</v>
      </c>
      <c r="T245" s="150"/>
      <c r="U245" s="150"/>
      <c r="V245" s="150"/>
      <c r="W245" s="168"/>
      <c r="X245" s="150"/>
      <c r="Y245" s="466"/>
      <c r="Z245" s="455"/>
      <c r="AA245" s="150"/>
      <c r="AB245" s="490"/>
      <c r="AC245" s="150"/>
      <c r="AD245" s="150"/>
      <c r="AE245" s="466"/>
      <c r="AF245" s="499"/>
      <c r="AG245" s="150"/>
      <c r="AH245" s="150"/>
      <c r="AI245" s="150"/>
      <c r="AJ245" s="150">
        <v>1800</v>
      </c>
      <c r="AK245" s="150"/>
      <c r="AL245" s="150"/>
      <c r="AM245" s="150"/>
      <c r="AN245" s="466"/>
      <c r="AO245" s="466">
        <v>1440</v>
      </c>
      <c r="AP245" s="150"/>
      <c r="AQ245" s="150"/>
      <c r="AR245" s="151"/>
      <c r="AS245" s="456"/>
      <c r="AT245" s="466"/>
      <c r="AU245" s="150"/>
      <c r="AV245" s="487"/>
      <c r="AW245" s="150"/>
      <c r="AX245" s="150"/>
      <c r="AY245" s="466"/>
      <c r="AZ245" s="466"/>
      <c r="BA245" s="150"/>
      <c r="BB245" s="150"/>
      <c r="BC245" s="466"/>
      <c r="BD245" s="466"/>
      <c r="BE245" s="466"/>
      <c r="BF245" s="466"/>
      <c r="BG245" s="150"/>
      <c r="BH245" s="150"/>
      <c r="BI245" s="150"/>
      <c r="BJ245" s="466"/>
      <c r="BK245" s="152"/>
      <c r="BL245" s="160"/>
      <c r="BM245" s="150"/>
      <c r="BN245" s="466"/>
      <c r="BO245" s="150"/>
      <c r="BP245" s="516"/>
      <c r="BQ245" s="160"/>
      <c r="BR245" s="152"/>
      <c r="BS245" s="160"/>
    </row>
    <row r="246" spans="1:71" x14ac:dyDescent="0.3">
      <c r="A246" s="420">
        <f>DL!A243</f>
        <v>222</v>
      </c>
      <c r="B246" s="19" t="s">
        <v>1303</v>
      </c>
      <c r="C246" s="149">
        <f>DL!L243</f>
        <v>100</v>
      </c>
      <c r="D246" s="149">
        <f>DL!C243</f>
        <v>10</v>
      </c>
      <c r="E246" s="150"/>
      <c r="F246" s="463"/>
      <c r="G246" s="150"/>
      <c r="H246" s="150"/>
      <c r="I246" s="466"/>
      <c r="J246" s="150"/>
      <c r="K246" s="168"/>
      <c r="L246" s="466"/>
      <c r="M246" s="150"/>
      <c r="N246" s="466"/>
      <c r="O246" s="150"/>
      <c r="P246" s="150"/>
      <c r="Q246" s="150"/>
      <c r="R246" s="473">
        <v>1567.69</v>
      </c>
      <c r="S246" s="466">
        <v>870</v>
      </c>
      <c r="T246" s="150"/>
      <c r="U246" s="150"/>
      <c r="V246" s="150"/>
      <c r="W246" s="168"/>
      <c r="X246" s="150"/>
      <c r="Y246" s="466"/>
      <c r="Z246" s="455"/>
      <c r="AA246" s="150"/>
      <c r="AB246" s="490"/>
      <c r="AC246" s="150"/>
      <c r="AD246" s="150"/>
      <c r="AE246" s="466"/>
      <c r="AF246" s="499"/>
      <c r="AG246" s="150"/>
      <c r="AH246" s="150"/>
      <c r="AI246" s="150"/>
      <c r="AJ246" s="150"/>
      <c r="AK246" s="150"/>
      <c r="AL246" s="150"/>
      <c r="AM246" s="150"/>
      <c r="AN246" s="466"/>
      <c r="AO246" s="466">
        <v>1440</v>
      </c>
      <c r="AP246" s="150"/>
      <c r="AQ246" s="150"/>
      <c r="AR246" s="151">
        <v>910</v>
      </c>
      <c r="AS246" s="456"/>
      <c r="AT246" s="466"/>
      <c r="AU246" s="150"/>
      <c r="AV246" s="487"/>
      <c r="AW246" s="150"/>
      <c r="AX246" s="150"/>
      <c r="AY246" s="466"/>
      <c r="AZ246" s="466">
        <v>0</v>
      </c>
      <c r="BA246" s="150"/>
      <c r="BB246" s="150"/>
      <c r="BC246" s="466"/>
      <c r="BD246" s="466">
        <v>1180</v>
      </c>
      <c r="BE246" s="466"/>
      <c r="BF246" s="466"/>
      <c r="BG246" s="150"/>
      <c r="BH246" s="150"/>
      <c r="BI246" s="150"/>
      <c r="BJ246" s="466"/>
      <c r="BK246" s="152"/>
      <c r="BL246" s="160"/>
      <c r="BM246" s="150"/>
      <c r="BN246" s="466"/>
      <c r="BO246" s="150"/>
      <c r="BP246" s="516">
        <v>1400</v>
      </c>
      <c r="BQ246" s="160"/>
      <c r="BR246" s="152"/>
      <c r="BS246" s="160"/>
    </row>
    <row r="247" spans="1:71" x14ac:dyDescent="0.3">
      <c r="A247" s="420">
        <f>DL!A244</f>
        <v>223</v>
      </c>
      <c r="B247" s="19" t="s">
        <v>1304</v>
      </c>
      <c r="C247" s="149">
        <f>DL!L244</f>
        <v>60</v>
      </c>
      <c r="D247" s="149" t="str">
        <f>DL!C244</f>
        <v>BOTT</v>
      </c>
      <c r="E247" s="150"/>
      <c r="F247" s="463"/>
      <c r="G247" s="150"/>
      <c r="H247" s="150"/>
      <c r="I247" s="466"/>
      <c r="J247" s="150"/>
      <c r="K247" s="168"/>
      <c r="L247" s="466"/>
      <c r="M247" s="150"/>
      <c r="N247" s="466"/>
      <c r="O247" s="150"/>
      <c r="P247" s="150"/>
      <c r="Q247" s="150"/>
      <c r="R247" s="473">
        <v>845.63</v>
      </c>
      <c r="S247" s="466">
        <v>800</v>
      </c>
      <c r="T247" s="150"/>
      <c r="U247" s="150"/>
      <c r="V247" s="150"/>
      <c r="W247" s="168"/>
      <c r="X247" s="150"/>
      <c r="Y247" s="466"/>
      <c r="Z247" s="455"/>
      <c r="AA247" s="150"/>
      <c r="AB247" s="490"/>
      <c r="AC247" s="150"/>
      <c r="AD247" s="150"/>
      <c r="AE247" s="466"/>
      <c r="AF247" s="499"/>
      <c r="AG247" s="150"/>
      <c r="AH247" s="150"/>
      <c r="AI247" s="150"/>
      <c r="AJ247" s="150"/>
      <c r="AK247" s="150"/>
      <c r="AL247" s="150"/>
      <c r="AM247" s="150"/>
      <c r="AN247" s="466"/>
      <c r="AO247" s="466">
        <v>1080</v>
      </c>
      <c r="AP247" s="150"/>
      <c r="AQ247" s="150"/>
      <c r="AR247" s="151"/>
      <c r="AS247" s="456"/>
      <c r="AT247" s="466"/>
      <c r="AU247" s="150"/>
      <c r="AV247" s="487"/>
      <c r="AW247" s="150"/>
      <c r="AX247" s="150"/>
      <c r="AY247" s="466"/>
      <c r="AZ247" s="466"/>
      <c r="BA247" s="150"/>
      <c r="BB247" s="150"/>
      <c r="BC247" s="466"/>
      <c r="BD247" s="466">
        <v>730</v>
      </c>
      <c r="BE247" s="466"/>
      <c r="BF247" s="466"/>
      <c r="BG247" s="150"/>
      <c r="BH247" s="150"/>
      <c r="BI247" s="150"/>
      <c r="BJ247" s="466"/>
      <c r="BK247" s="152"/>
      <c r="BL247" s="160"/>
      <c r="BM247" s="150"/>
      <c r="BN247" s="466"/>
      <c r="BO247" s="150"/>
      <c r="BP247" s="516">
        <v>950</v>
      </c>
      <c r="BQ247" s="160"/>
      <c r="BR247" s="152"/>
      <c r="BS247" s="160"/>
    </row>
    <row r="248" spans="1:71" x14ac:dyDescent="0.3">
      <c r="A248" s="420">
        <f>DL!A245</f>
        <v>224</v>
      </c>
      <c r="B248" s="19" t="s">
        <v>131</v>
      </c>
      <c r="C248" s="149">
        <f>DL!L245</f>
        <v>10</v>
      </c>
      <c r="D248" s="149" t="str">
        <f>DL!C245</f>
        <v>VIAL</v>
      </c>
      <c r="E248" s="150"/>
      <c r="F248" s="463"/>
      <c r="G248" s="150"/>
      <c r="H248" s="150"/>
      <c r="I248" s="466"/>
      <c r="J248" s="150"/>
      <c r="K248" s="168"/>
      <c r="L248" s="466"/>
      <c r="M248" s="150"/>
      <c r="N248" s="466"/>
      <c r="O248" s="150"/>
      <c r="P248" s="150"/>
      <c r="Q248" s="150"/>
      <c r="R248" s="472"/>
      <c r="S248" s="466"/>
      <c r="T248" s="150"/>
      <c r="U248" s="150"/>
      <c r="V248" s="150"/>
      <c r="W248" s="168"/>
      <c r="X248" s="150"/>
      <c r="Y248" s="466"/>
      <c r="Z248" s="455"/>
      <c r="AA248" s="150"/>
      <c r="AB248" s="490"/>
      <c r="AC248" s="150"/>
      <c r="AD248" s="150"/>
      <c r="AE248" s="466"/>
      <c r="AF248" s="499"/>
      <c r="AG248" s="150"/>
      <c r="AH248" s="150"/>
      <c r="AI248" s="150"/>
      <c r="AJ248" s="150"/>
      <c r="AK248" s="150"/>
      <c r="AL248" s="150"/>
      <c r="AM248" s="150"/>
      <c r="AN248" s="466"/>
      <c r="AO248" s="466"/>
      <c r="AP248" s="150"/>
      <c r="AQ248" s="150"/>
      <c r="AR248" s="151"/>
      <c r="AS248" s="456"/>
      <c r="AT248" s="466"/>
      <c r="AU248" s="150"/>
      <c r="AV248" s="487"/>
      <c r="AW248" s="150"/>
      <c r="AX248" s="150"/>
      <c r="AY248" s="466"/>
      <c r="AZ248" s="466"/>
      <c r="BA248" s="150"/>
      <c r="BB248" s="150"/>
      <c r="BC248" s="466"/>
      <c r="BD248" s="466"/>
      <c r="BE248" s="466"/>
      <c r="BF248" s="466"/>
      <c r="BG248" s="150">
        <v>250</v>
      </c>
      <c r="BH248" s="150"/>
      <c r="BI248" s="150"/>
      <c r="BJ248" s="466"/>
      <c r="BK248" s="152"/>
      <c r="BL248" s="160"/>
      <c r="BM248" s="150"/>
      <c r="BN248" s="466"/>
      <c r="BO248" s="150"/>
      <c r="BP248" s="516"/>
      <c r="BQ248" s="160"/>
      <c r="BR248" s="152"/>
      <c r="BS248" s="160"/>
    </row>
    <row r="249" spans="1:71" x14ac:dyDescent="0.3">
      <c r="A249" s="420">
        <f>DL!A246</f>
        <v>225</v>
      </c>
      <c r="B249" s="19" t="s">
        <v>132</v>
      </c>
      <c r="C249" s="149">
        <f>DL!L246</f>
        <v>100</v>
      </c>
      <c r="D249" s="149">
        <f>DL!C246</f>
        <v>10</v>
      </c>
      <c r="E249" s="150"/>
      <c r="F249" s="463"/>
      <c r="G249" s="150"/>
      <c r="H249" s="150"/>
      <c r="I249" s="468">
        <v>2600</v>
      </c>
      <c r="J249" s="150"/>
      <c r="K249" s="168"/>
      <c r="L249" s="466"/>
      <c r="M249" s="150"/>
      <c r="N249" s="466"/>
      <c r="O249" s="150"/>
      <c r="P249" s="150"/>
      <c r="Q249" s="150"/>
      <c r="R249" s="472"/>
      <c r="S249" s="466">
        <v>3200</v>
      </c>
      <c r="T249" s="150"/>
      <c r="U249" s="150"/>
      <c r="V249" s="150"/>
      <c r="W249" s="168"/>
      <c r="X249" s="150"/>
      <c r="Y249" s="466"/>
      <c r="Z249" s="455"/>
      <c r="AA249" s="150"/>
      <c r="AB249" s="490"/>
      <c r="AC249" s="150"/>
      <c r="AD249" s="150"/>
      <c r="AE249" s="466"/>
      <c r="AF249" s="499"/>
      <c r="AG249" s="150"/>
      <c r="AH249" s="150"/>
      <c r="AI249" s="150"/>
      <c r="AJ249" s="150"/>
      <c r="AK249" s="150"/>
      <c r="AL249" s="150"/>
      <c r="AM249" s="150"/>
      <c r="AN249" s="466"/>
      <c r="AO249" s="466">
        <v>950</v>
      </c>
      <c r="AP249" s="150">
        <v>1600</v>
      </c>
      <c r="AQ249" s="150"/>
      <c r="AR249" s="151"/>
      <c r="AS249" s="456"/>
      <c r="AT249" s="466"/>
      <c r="AU249" s="150"/>
      <c r="AV249" s="487"/>
      <c r="AW249" s="150"/>
      <c r="AX249" s="150"/>
      <c r="AY249" s="466"/>
      <c r="AZ249" s="466"/>
      <c r="BA249" s="150"/>
      <c r="BB249" s="150"/>
      <c r="BC249" s="466"/>
      <c r="BD249" s="466"/>
      <c r="BE249" s="466"/>
      <c r="BF249" s="466"/>
      <c r="BG249" s="150"/>
      <c r="BH249" s="150"/>
      <c r="BI249" s="150"/>
      <c r="BJ249" s="466"/>
      <c r="BK249" s="152"/>
      <c r="BL249" s="160"/>
      <c r="BM249" s="150"/>
      <c r="BN249" s="466"/>
      <c r="BO249" s="150"/>
      <c r="BP249" s="516"/>
      <c r="BQ249" s="160"/>
      <c r="BR249" s="152"/>
      <c r="BS249" s="160"/>
    </row>
    <row r="250" spans="1:71" x14ac:dyDescent="0.3">
      <c r="A250" s="420">
        <f>DL!A247</f>
        <v>226</v>
      </c>
      <c r="B250" s="19" t="s">
        <v>747</v>
      </c>
      <c r="C250" s="149">
        <f>DL!L247</f>
        <v>200</v>
      </c>
      <c r="D250" s="149" t="str">
        <f>DL!C247</f>
        <v>BOTT</v>
      </c>
      <c r="E250" s="150"/>
      <c r="F250" s="463"/>
      <c r="G250" s="150"/>
      <c r="H250" s="150"/>
      <c r="I250" s="468">
        <v>2200</v>
      </c>
      <c r="J250" s="150"/>
      <c r="K250" s="168"/>
      <c r="L250" s="466"/>
      <c r="M250" s="150"/>
      <c r="N250" s="466"/>
      <c r="O250" s="150"/>
      <c r="P250" s="150"/>
      <c r="Q250" s="150"/>
      <c r="R250" s="472"/>
      <c r="S250" s="466">
        <v>2700</v>
      </c>
      <c r="T250" s="150"/>
      <c r="U250" s="150"/>
      <c r="V250" s="150"/>
      <c r="W250" s="168"/>
      <c r="X250" s="150"/>
      <c r="Y250" s="466"/>
      <c r="Z250" s="455"/>
      <c r="AA250" s="150"/>
      <c r="AB250" s="490"/>
      <c r="AC250" s="150"/>
      <c r="AD250" s="150"/>
      <c r="AE250" s="466"/>
      <c r="AF250" s="499"/>
      <c r="AG250" s="150"/>
      <c r="AH250" s="150"/>
      <c r="AI250" s="150"/>
      <c r="AJ250" s="150"/>
      <c r="AK250" s="150"/>
      <c r="AL250" s="150"/>
      <c r="AM250" s="150"/>
      <c r="AN250" s="466"/>
      <c r="AO250" s="466"/>
      <c r="AP250" s="150">
        <v>1590</v>
      </c>
      <c r="AQ250" s="150"/>
      <c r="AR250" s="151"/>
      <c r="AS250" s="456"/>
      <c r="AT250" s="466"/>
      <c r="AU250" s="150"/>
      <c r="AV250" s="487"/>
      <c r="AW250" s="150"/>
      <c r="AX250" s="150"/>
      <c r="AY250" s="466"/>
      <c r="AZ250" s="466"/>
      <c r="BA250" s="150"/>
      <c r="BB250" s="150"/>
      <c r="BC250" s="466"/>
      <c r="BD250" s="466"/>
      <c r="BE250" s="466"/>
      <c r="BF250" s="466"/>
      <c r="BG250" s="150"/>
      <c r="BH250" s="150"/>
      <c r="BI250" s="150"/>
      <c r="BJ250" s="466"/>
      <c r="BK250" s="152"/>
      <c r="BL250" s="160"/>
      <c r="BM250" s="150"/>
      <c r="BN250" s="466"/>
      <c r="BO250" s="150"/>
      <c r="BP250" s="516"/>
      <c r="BQ250" s="160"/>
      <c r="BR250" s="152"/>
      <c r="BS250" s="160"/>
    </row>
    <row r="251" spans="1:71" x14ac:dyDescent="0.3">
      <c r="A251" s="420">
        <f>DL!A248</f>
        <v>227</v>
      </c>
      <c r="B251" s="19" t="s">
        <v>133</v>
      </c>
      <c r="C251" s="149">
        <f>DL!L248</f>
        <v>3000</v>
      </c>
      <c r="D251" s="149" t="str">
        <f>DL!C248</f>
        <v>VIAL</v>
      </c>
      <c r="E251" s="150"/>
      <c r="F251" s="463"/>
      <c r="G251" s="150"/>
      <c r="H251" s="150"/>
      <c r="I251" s="466"/>
      <c r="J251" s="150"/>
      <c r="K251" s="168"/>
      <c r="L251" s="466"/>
      <c r="M251" s="150"/>
      <c r="N251" s="466"/>
      <c r="O251" s="150">
        <v>1850</v>
      </c>
      <c r="P251" s="150"/>
      <c r="Q251" s="150"/>
      <c r="R251" s="472"/>
      <c r="S251" s="466">
        <v>550</v>
      </c>
      <c r="T251" s="150"/>
      <c r="U251" s="150"/>
      <c r="V251" s="150"/>
      <c r="W251" s="168"/>
      <c r="X251" s="150"/>
      <c r="Y251" s="466"/>
      <c r="Z251" s="455"/>
      <c r="AA251" s="150"/>
      <c r="AB251" s="490"/>
      <c r="AC251" s="150"/>
      <c r="AD251" s="150"/>
      <c r="AE251" s="466"/>
      <c r="AF251" s="499"/>
      <c r="AG251" s="150"/>
      <c r="AH251" s="150"/>
      <c r="AI251" s="150"/>
      <c r="AJ251" s="150"/>
      <c r="AK251" s="150"/>
      <c r="AL251" s="150"/>
      <c r="AM251" s="150"/>
      <c r="AN251" s="466"/>
      <c r="AO251" s="466"/>
      <c r="AP251" s="150"/>
      <c r="AQ251" s="150"/>
      <c r="AR251" s="151"/>
      <c r="AS251" s="456"/>
      <c r="AT251" s="466"/>
      <c r="AU251" s="150"/>
      <c r="AV251" s="487"/>
      <c r="AW251" s="150"/>
      <c r="AX251" s="150"/>
      <c r="AY251" s="466"/>
      <c r="AZ251" s="466"/>
      <c r="BA251" s="150"/>
      <c r="BB251" s="150"/>
      <c r="BC251" s="466"/>
      <c r="BD251" s="466"/>
      <c r="BE251" s="466"/>
      <c r="BF251" s="466"/>
      <c r="BG251" s="150"/>
      <c r="BH251" s="150"/>
      <c r="BI251" s="150"/>
      <c r="BJ251" s="466"/>
      <c r="BK251" s="152"/>
      <c r="BL251" s="160"/>
      <c r="BM251" s="150"/>
      <c r="BN251" s="466"/>
      <c r="BO251" s="150">
        <v>2419</v>
      </c>
      <c r="BP251" s="516"/>
      <c r="BQ251" s="160"/>
      <c r="BR251" s="152"/>
      <c r="BS251" s="160"/>
    </row>
    <row r="252" spans="1:71" x14ac:dyDescent="0.3">
      <c r="A252" s="420">
        <f>DL!A249</f>
        <v>228</v>
      </c>
      <c r="B252" s="19" t="s">
        <v>134</v>
      </c>
      <c r="C252" s="149">
        <f>DL!L249</f>
        <v>30000</v>
      </c>
      <c r="D252" s="149" t="str">
        <f>DL!C249</f>
        <v>VIAL</v>
      </c>
      <c r="E252" s="150">
        <v>220</v>
      </c>
      <c r="F252" s="463"/>
      <c r="G252" s="150">
        <v>500</v>
      </c>
      <c r="H252" s="150"/>
      <c r="I252" s="466">
        <v>370</v>
      </c>
      <c r="J252" s="150">
        <v>188</v>
      </c>
      <c r="K252" s="168"/>
      <c r="L252" s="466"/>
      <c r="M252" s="150"/>
      <c r="N252" s="466"/>
      <c r="O252" s="150">
        <v>650</v>
      </c>
      <c r="P252" s="150"/>
      <c r="Q252" s="150"/>
      <c r="R252" s="472"/>
      <c r="S252" s="466">
        <v>180</v>
      </c>
      <c r="T252" s="150">
        <v>400</v>
      </c>
      <c r="U252" s="150"/>
      <c r="V252" s="150">
        <v>275</v>
      </c>
      <c r="W252" s="168"/>
      <c r="X252" s="150"/>
      <c r="Y252" s="466">
        <v>255</v>
      </c>
      <c r="Z252" s="455"/>
      <c r="AA252" s="150">
        <v>200</v>
      </c>
      <c r="AB252" s="490">
        <v>280</v>
      </c>
      <c r="AC252" s="150"/>
      <c r="AD252" s="150"/>
      <c r="AE252" s="466">
        <v>280</v>
      </c>
      <c r="AF252" s="499"/>
      <c r="AG252" s="150">
        <v>185</v>
      </c>
      <c r="AH252" s="150"/>
      <c r="AI252" s="150"/>
      <c r="AJ252" s="150"/>
      <c r="AK252" s="150">
        <v>455.24</v>
      </c>
      <c r="AL252" s="150"/>
      <c r="AM252" s="150"/>
      <c r="AN252" s="466"/>
      <c r="AO252" s="466"/>
      <c r="AP252" s="150"/>
      <c r="AQ252" s="150"/>
      <c r="AR252" s="151"/>
      <c r="AS252" s="456"/>
      <c r="AT252" s="466"/>
      <c r="AU252" s="150"/>
      <c r="AV252" s="487"/>
      <c r="AW252" s="150"/>
      <c r="AX252" s="150"/>
      <c r="AY252" s="466"/>
      <c r="AZ252" s="466">
        <v>300</v>
      </c>
      <c r="BA252" s="150">
        <v>518</v>
      </c>
      <c r="BB252" s="150"/>
      <c r="BC252" s="466"/>
      <c r="BD252" s="466"/>
      <c r="BE252" s="466">
        <v>180</v>
      </c>
      <c r="BF252" s="466"/>
      <c r="BG252" s="150">
        <v>275</v>
      </c>
      <c r="BH252" s="150">
        <v>906</v>
      </c>
      <c r="BI252" s="150"/>
      <c r="BJ252" s="466"/>
      <c r="BK252" s="152"/>
      <c r="BL252" s="160"/>
      <c r="BM252" s="150"/>
      <c r="BN252" s="466"/>
      <c r="BO252" s="150">
        <v>1960</v>
      </c>
      <c r="BP252" s="516">
        <v>520</v>
      </c>
      <c r="BQ252" s="160"/>
      <c r="BR252" s="152"/>
      <c r="BS252" s="160"/>
    </row>
    <row r="253" spans="1:71" x14ac:dyDescent="0.3">
      <c r="A253" s="420">
        <f>DL!A250</f>
        <v>229</v>
      </c>
      <c r="B253" s="19" t="s">
        <v>135</v>
      </c>
      <c r="C253" s="149">
        <f>DL!L250</f>
        <v>2500</v>
      </c>
      <c r="D253" s="149" t="str">
        <f>DL!C250</f>
        <v>VIAL</v>
      </c>
      <c r="E253" s="150"/>
      <c r="F253" s="463"/>
      <c r="G253" s="150"/>
      <c r="H253" s="150"/>
      <c r="I253" s="466"/>
      <c r="J253" s="150">
        <v>500</v>
      </c>
      <c r="K253" s="168"/>
      <c r="L253" s="466"/>
      <c r="M253" s="150"/>
      <c r="N253" s="466"/>
      <c r="O253" s="150"/>
      <c r="P253" s="150"/>
      <c r="Q253" s="150"/>
      <c r="R253" s="472"/>
      <c r="S253" s="466">
        <v>400</v>
      </c>
      <c r="T253" s="150"/>
      <c r="U253" s="150"/>
      <c r="V253" s="150">
        <v>695</v>
      </c>
      <c r="W253" s="168"/>
      <c r="X253" s="150"/>
      <c r="Y253" s="466"/>
      <c r="Z253" s="455"/>
      <c r="AA253" s="150"/>
      <c r="AB253" s="490"/>
      <c r="AC253" s="150"/>
      <c r="AD253" s="150"/>
      <c r="AE253" s="466"/>
      <c r="AF253" s="499"/>
      <c r="AG253" s="150"/>
      <c r="AH253" s="150"/>
      <c r="AI253" s="150"/>
      <c r="AJ253" s="150">
        <v>900</v>
      </c>
      <c r="AK253" s="150"/>
      <c r="AL253" s="150"/>
      <c r="AM253" s="150"/>
      <c r="AN253" s="466"/>
      <c r="AO253" s="466"/>
      <c r="AP253" s="150"/>
      <c r="AQ253" s="150"/>
      <c r="AR253" s="151"/>
      <c r="AS253" s="456"/>
      <c r="AT253" s="466">
        <v>500</v>
      </c>
      <c r="AU253" s="150"/>
      <c r="AV253" s="487"/>
      <c r="AW253" s="150"/>
      <c r="AX253" s="150"/>
      <c r="AY253" s="466"/>
      <c r="AZ253" s="466"/>
      <c r="BA253" s="150"/>
      <c r="BB253" s="150"/>
      <c r="BC253" s="466"/>
      <c r="BD253" s="466"/>
      <c r="BE253" s="466"/>
      <c r="BF253" s="466"/>
      <c r="BG253" s="150">
        <v>350</v>
      </c>
      <c r="BH253" s="150"/>
      <c r="BI253" s="150"/>
      <c r="BJ253" s="466"/>
      <c r="BK253" s="152"/>
      <c r="BL253" s="160"/>
      <c r="BM253" s="150"/>
      <c r="BN253" s="466"/>
      <c r="BO253" s="150"/>
      <c r="BP253" s="516"/>
      <c r="BQ253" s="160"/>
      <c r="BR253" s="152"/>
      <c r="BS253" s="160"/>
    </row>
    <row r="254" spans="1:71" x14ac:dyDescent="0.3">
      <c r="A254" s="420">
        <f>DL!A251</f>
        <v>230</v>
      </c>
      <c r="B254" s="19" t="s">
        <v>136</v>
      </c>
      <c r="C254" s="149">
        <f>DL!L251</f>
        <v>1000</v>
      </c>
      <c r="D254" s="149">
        <f>DL!C251</f>
        <v>10</v>
      </c>
      <c r="E254" s="150"/>
      <c r="F254" s="463"/>
      <c r="G254" s="150"/>
      <c r="H254" s="150"/>
      <c r="I254" s="466">
        <v>680</v>
      </c>
      <c r="J254" s="150"/>
      <c r="K254" s="168"/>
      <c r="L254" s="466"/>
      <c r="M254" s="150"/>
      <c r="N254" s="466"/>
      <c r="O254" s="150">
        <v>650</v>
      </c>
      <c r="P254" s="150"/>
      <c r="Q254" s="150"/>
      <c r="R254" s="473">
        <v>874.44</v>
      </c>
      <c r="S254" s="466">
        <v>580</v>
      </c>
      <c r="T254" s="150">
        <v>900</v>
      </c>
      <c r="U254" s="150"/>
      <c r="V254" s="150">
        <v>715</v>
      </c>
      <c r="W254" s="168"/>
      <c r="X254" s="150">
        <v>1093.8800000000001</v>
      </c>
      <c r="Y254" s="466"/>
      <c r="Z254" s="455"/>
      <c r="AA254" s="150"/>
      <c r="AB254" s="490">
        <v>600</v>
      </c>
      <c r="AC254" s="150"/>
      <c r="AD254" s="150"/>
      <c r="AE254" s="466"/>
      <c r="AF254" s="499"/>
      <c r="AG254" s="150">
        <v>620</v>
      </c>
      <c r="AH254" s="150"/>
      <c r="AI254" s="150"/>
      <c r="AJ254" s="150"/>
      <c r="AK254" s="150"/>
      <c r="AL254" s="150"/>
      <c r="AM254" s="150"/>
      <c r="AN254" s="466"/>
      <c r="AO254" s="466"/>
      <c r="AP254" s="150">
        <v>600</v>
      </c>
      <c r="AQ254" s="150"/>
      <c r="AR254" s="151"/>
      <c r="AS254" s="456"/>
      <c r="AT254" s="466"/>
      <c r="AU254" s="150"/>
      <c r="AV254" s="487"/>
      <c r="AW254" s="150"/>
      <c r="AX254" s="150"/>
      <c r="AY254" s="466"/>
      <c r="AZ254" s="466"/>
      <c r="BA254" s="150"/>
      <c r="BB254" s="150"/>
      <c r="BC254" s="466"/>
      <c r="BD254" s="466"/>
      <c r="BE254" s="466">
        <v>850</v>
      </c>
      <c r="BF254" s="466"/>
      <c r="BG254" s="150"/>
      <c r="BH254" s="150"/>
      <c r="BI254" s="150"/>
      <c r="BJ254" s="466"/>
      <c r="BK254" s="152"/>
      <c r="BL254" s="160"/>
      <c r="BM254" s="150"/>
      <c r="BN254" s="466"/>
      <c r="BO254" s="150"/>
      <c r="BP254" s="516">
        <v>874.44</v>
      </c>
      <c r="BQ254" s="160"/>
      <c r="BR254" s="152"/>
      <c r="BS254" s="160"/>
    </row>
    <row r="255" spans="1:71" x14ac:dyDescent="0.3">
      <c r="A255" s="420">
        <f>DL!A252</f>
        <v>231</v>
      </c>
      <c r="B255" s="19" t="s">
        <v>137</v>
      </c>
      <c r="C255" s="149">
        <f>DL!L252</f>
        <v>4000</v>
      </c>
      <c r="D255" s="149">
        <f>DL!C252</f>
        <v>10</v>
      </c>
      <c r="E255" s="150"/>
      <c r="F255" s="463"/>
      <c r="G255" s="150"/>
      <c r="H255" s="150"/>
      <c r="I255" s="468">
        <v>1210</v>
      </c>
      <c r="J255" s="150"/>
      <c r="K255" s="168"/>
      <c r="L255" s="466"/>
      <c r="M255" s="150"/>
      <c r="N255" s="466"/>
      <c r="O255" s="150"/>
      <c r="P255" s="150"/>
      <c r="Q255" s="150"/>
      <c r="R255" s="473">
        <v>1377.33</v>
      </c>
      <c r="S255" s="466">
        <v>770</v>
      </c>
      <c r="T255" s="150">
        <v>1320</v>
      </c>
      <c r="U255" s="150"/>
      <c r="V255" s="150">
        <v>935</v>
      </c>
      <c r="W255" s="168"/>
      <c r="X255" s="150">
        <v>1694.18</v>
      </c>
      <c r="Y255" s="466"/>
      <c r="Z255" s="455"/>
      <c r="AA255" s="150">
        <v>900</v>
      </c>
      <c r="AB255" s="490">
        <v>900</v>
      </c>
      <c r="AC255" s="150"/>
      <c r="AD255" s="150"/>
      <c r="AE255" s="466"/>
      <c r="AF255" s="499"/>
      <c r="AG255" s="150">
        <v>785</v>
      </c>
      <c r="AH255" s="150"/>
      <c r="AI255" s="150"/>
      <c r="AJ255" s="150"/>
      <c r="AK255" s="150">
        <v>1400</v>
      </c>
      <c r="AL255" s="150"/>
      <c r="AM255" s="150"/>
      <c r="AN255" s="466"/>
      <c r="AO255" s="466"/>
      <c r="AP255" s="150"/>
      <c r="AQ255" s="150"/>
      <c r="AR255" s="151"/>
      <c r="AS255" s="456"/>
      <c r="AT255" s="466"/>
      <c r="AU255" s="150"/>
      <c r="AV255" s="487"/>
      <c r="AW255" s="150"/>
      <c r="AX255" s="150"/>
      <c r="AY255" s="466"/>
      <c r="AZ255" s="466">
        <v>750</v>
      </c>
      <c r="BA255" s="150"/>
      <c r="BB255" s="150"/>
      <c r="BC255" s="466"/>
      <c r="BD255" s="466"/>
      <c r="BE255" s="466">
        <v>1000</v>
      </c>
      <c r="BF255" s="466"/>
      <c r="BG255" s="150">
        <v>940</v>
      </c>
      <c r="BH255" s="150"/>
      <c r="BI255" s="150"/>
      <c r="BJ255" s="466"/>
      <c r="BK255" s="152"/>
      <c r="BL255" s="160"/>
      <c r="BM255" s="150"/>
      <c r="BN255" s="466">
        <v>970</v>
      </c>
      <c r="BO255" s="150"/>
      <c r="BP255" s="516">
        <v>1377.33</v>
      </c>
      <c r="BQ255" s="160"/>
      <c r="BR255" s="152"/>
      <c r="BS255" s="160"/>
    </row>
    <row r="256" spans="1:71" x14ac:dyDescent="0.3">
      <c r="A256" s="420">
        <f>DL!A253</f>
        <v>232</v>
      </c>
      <c r="B256" s="19" t="s">
        <v>138</v>
      </c>
      <c r="C256" s="149">
        <v>10000</v>
      </c>
      <c r="D256" s="149" t="str">
        <f>DL!C253</f>
        <v>VIAL</v>
      </c>
      <c r="E256" s="150"/>
      <c r="F256" s="463"/>
      <c r="G256" s="150"/>
      <c r="H256" s="150"/>
      <c r="I256" s="466">
        <v>366</v>
      </c>
      <c r="J256" s="150"/>
      <c r="K256" s="168"/>
      <c r="L256" s="466"/>
      <c r="M256" s="150"/>
      <c r="N256" s="466"/>
      <c r="O256" s="150">
        <v>950</v>
      </c>
      <c r="P256" s="150"/>
      <c r="Q256" s="150"/>
      <c r="R256" s="472"/>
      <c r="S256" s="466">
        <v>400</v>
      </c>
      <c r="T256" s="150"/>
      <c r="U256" s="150"/>
      <c r="V256" s="150">
        <v>823</v>
      </c>
      <c r="W256" s="168"/>
      <c r="X256" s="159">
        <f>4406.32/5</f>
        <v>881.2639999999999</v>
      </c>
      <c r="Y256" s="466"/>
      <c r="Z256" s="455"/>
      <c r="AA256" s="150">
        <v>300</v>
      </c>
      <c r="AB256" s="490"/>
      <c r="AC256" s="150"/>
      <c r="AD256" s="150"/>
      <c r="AE256" s="466"/>
      <c r="AF256" s="499"/>
      <c r="AG256" s="150">
        <v>595</v>
      </c>
      <c r="AH256" s="150"/>
      <c r="AI256" s="150"/>
      <c r="AJ256" s="150"/>
      <c r="AK256" s="150"/>
      <c r="AL256" s="150"/>
      <c r="AM256" s="150"/>
      <c r="AN256" s="466"/>
      <c r="AO256" s="466"/>
      <c r="AP256" s="150"/>
      <c r="AQ256" s="150"/>
      <c r="AR256" s="151"/>
      <c r="AS256" s="456"/>
      <c r="AT256" s="466"/>
      <c r="AU256" s="150"/>
      <c r="AV256" s="487"/>
      <c r="AW256" s="150"/>
      <c r="AX256" s="150"/>
      <c r="AY256" s="466"/>
      <c r="AZ256" s="466"/>
      <c r="BA256" s="150"/>
      <c r="BB256" s="150"/>
      <c r="BC256" s="466"/>
      <c r="BD256" s="466"/>
      <c r="BE256" s="466"/>
      <c r="BF256" s="466"/>
      <c r="BG256" s="150"/>
      <c r="BH256" s="150"/>
      <c r="BI256" s="150"/>
      <c r="BJ256" s="466"/>
      <c r="BK256" s="152"/>
      <c r="BL256" s="160"/>
      <c r="BM256" s="150"/>
      <c r="BN256" s="466"/>
      <c r="BO256" s="150">
        <v>366</v>
      </c>
      <c r="BP256" s="516"/>
      <c r="BQ256" s="160"/>
      <c r="BR256" s="152"/>
      <c r="BS256" s="160"/>
    </row>
    <row r="257" spans="1:71" x14ac:dyDescent="0.3">
      <c r="A257" s="420">
        <f>DL!A254</f>
        <v>233</v>
      </c>
      <c r="B257" s="19" t="s">
        <v>748</v>
      </c>
      <c r="C257" s="149">
        <f>DL!L254</f>
        <v>2000</v>
      </c>
      <c r="D257" s="149" t="str">
        <f>DL!C254</f>
        <v>BOTT</v>
      </c>
      <c r="E257" s="150"/>
      <c r="F257" s="463"/>
      <c r="G257" s="150"/>
      <c r="H257" s="150"/>
      <c r="I257" s="466"/>
      <c r="J257" s="150"/>
      <c r="K257" s="168"/>
      <c r="L257" s="466"/>
      <c r="M257" s="150"/>
      <c r="N257" s="466"/>
      <c r="O257" s="150"/>
      <c r="P257" s="150"/>
      <c r="Q257" s="150"/>
      <c r="R257" s="473">
        <v>1386.78</v>
      </c>
      <c r="S257" s="466">
        <v>750</v>
      </c>
      <c r="T257" s="150">
        <v>900</v>
      </c>
      <c r="U257" s="150"/>
      <c r="V257" s="150"/>
      <c r="W257" s="168"/>
      <c r="X257" s="150">
        <v>1097.3599999999999</v>
      </c>
      <c r="Y257" s="466"/>
      <c r="Z257" s="455"/>
      <c r="AA257" s="150"/>
      <c r="AB257" s="490"/>
      <c r="AC257" s="150"/>
      <c r="AD257" s="150"/>
      <c r="AE257" s="466"/>
      <c r="AF257" s="499"/>
      <c r="AG257" s="150"/>
      <c r="AH257" s="150"/>
      <c r="AI257" s="150"/>
      <c r="AJ257" s="150"/>
      <c r="AK257" s="150">
        <v>1300</v>
      </c>
      <c r="AL257" s="150"/>
      <c r="AM257" s="150"/>
      <c r="AN257" s="466"/>
      <c r="AO257" s="466"/>
      <c r="AP257" s="150"/>
      <c r="AQ257" s="150"/>
      <c r="AR257" s="151"/>
      <c r="AS257" s="456"/>
      <c r="AT257" s="466"/>
      <c r="AU257" s="150"/>
      <c r="AV257" s="487"/>
      <c r="AW257" s="150"/>
      <c r="AX257" s="150"/>
      <c r="AY257" s="466"/>
      <c r="AZ257" s="466"/>
      <c r="BA257" s="150">
        <v>1208</v>
      </c>
      <c r="BB257" s="150"/>
      <c r="BC257" s="466"/>
      <c r="BD257" s="466"/>
      <c r="BE257" s="466"/>
      <c r="BF257" s="466"/>
      <c r="BG257" s="150"/>
      <c r="BH257" s="150"/>
      <c r="BI257" s="150"/>
      <c r="BJ257" s="466"/>
      <c r="BK257" s="152"/>
      <c r="BL257" s="160"/>
      <c r="BM257" s="150"/>
      <c r="BN257" s="466"/>
      <c r="BO257" s="150"/>
      <c r="BP257" s="516"/>
      <c r="BQ257" s="160"/>
      <c r="BR257" s="152"/>
      <c r="BS257" s="160"/>
    </row>
    <row r="258" spans="1:71" x14ac:dyDescent="0.3">
      <c r="A258" s="420">
        <f>DL!A255</f>
        <v>234</v>
      </c>
      <c r="B258" s="19" t="s">
        <v>749</v>
      </c>
      <c r="C258" s="149">
        <f>DL!L255</f>
        <v>300</v>
      </c>
      <c r="D258" s="149" t="str">
        <f>DL!C255</f>
        <v>BOTT</v>
      </c>
      <c r="E258" s="150"/>
      <c r="F258" s="463"/>
      <c r="G258" s="150"/>
      <c r="H258" s="150"/>
      <c r="I258" s="466"/>
      <c r="J258" s="150"/>
      <c r="K258" s="168"/>
      <c r="L258" s="466"/>
      <c r="M258" s="150"/>
      <c r="N258" s="466"/>
      <c r="O258" s="150"/>
      <c r="P258" s="150"/>
      <c r="Q258" s="150"/>
      <c r="R258" s="472"/>
      <c r="S258" s="466">
        <v>900</v>
      </c>
      <c r="T258" s="150"/>
      <c r="U258" s="150"/>
      <c r="V258" s="150"/>
      <c r="W258" s="168"/>
      <c r="X258" s="150">
        <v>1097.3599999999999</v>
      </c>
      <c r="Y258" s="466"/>
      <c r="Z258" s="455"/>
      <c r="AA258" s="150"/>
      <c r="AB258" s="490"/>
      <c r="AC258" s="150"/>
      <c r="AD258" s="150"/>
      <c r="AE258" s="466"/>
      <c r="AF258" s="499"/>
      <c r="AG258" s="150"/>
      <c r="AH258" s="150"/>
      <c r="AI258" s="150"/>
      <c r="AJ258" s="150"/>
      <c r="AK258" s="150"/>
      <c r="AL258" s="150"/>
      <c r="AM258" s="150"/>
      <c r="AN258" s="466"/>
      <c r="AO258" s="466"/>
      <c r="AP258" s="150"/>
      <c r="AQ258" s="150"/>
      <c r="AR258" s="151"/>
      <c r="AS258" s="456"/>
      <c r="AT258" s="466"/>
      <c r="AU258" s="150"/>
      <c r="AV258" s="487"/>
      <c r="AW258" s="150"/>
      <c r="AX258" s="150"/>
      <c r="AY258" s="466"/>
      <c r="AZ258" s="466"/>
      <c r="BA258" s="150">
        <v>1898</v>
      </c>
      <c r="BB258" s="150"/>
      <c r="BC258" s="466"/>
      <c r="BD258" s="466"/>
      <c r="BE258" s="466"/>
      <c r="BF258" s="466"/>
      <c r="BG258" s="150"/>
      <c r="BH258" s="150"/>
      <c r="BI258" s="150"/>
      <c r="BJ258" s="466"/>
      <c r="BK258" s="152"/>
      <c r="BL258" s="160"/>
      <c r="BM258" s="150"/>
      <c r="BN258" s="466"/>
      <c r="BO258" s="150"/>
      <c r="BP258" s="516">
        <v>1244.26</v>
      </c>
      <c r="BQ258" s="160"/>
      <c r="BR258" s="152"/>
      <c r="BS258" s="160"/>
    </row>
    <row r="259" spans="1:71" x14ac:dyDescent="0.3">
      <c r="A259" s="420">
        <f>DL!A256</f>
        <v>235</v>
      </c>
      <c r="B259" s="19" t="s">
        <v>2062</v>
      </c>
      <c r="C259" s="149">
        <f>DL!L256</f>
        <v>200</v>
      </c>
      <c r="D259" s="149" t="str">
        <f>DL!C256</f>
        <v>BOTT</v>
      </c>
      <c r="E259" s="150"/>
      <c r="F259" s="463"/>
      <c r="G259" s="150"/>
      <c r="H259" s="150"/>
      <c r="I259" s="466"/>
      <c r="J259" s="150"/>
      <c r="K259" s="168"/>
      <c r="L259" s="466"/>
      <c r="M259" s="150"/>
      <c r="N259" s="466"/>
      <c r="O259" s="150">
        <v>450</v>
      </c>
      <c r="P259" s="150"/>
      <c r="Q259" s="150"/>
      <c r="R259" s="472"/>
      <c r="S259" s="466">
        <v>600</v>
      </c>
      <c r="T259" s="150"/>
      <c r="U259" s="150"/>
      <c r="V259" s="150"/>
      <c r="W259" s="168"/>
      <c r="X259" s="150"/>
      <c r="Y259" s="466"/>
      <c r="Z259" s="455"/>
      <c r="AA259" s="150"/>
      <c r="AB259" s="490"/>
      <c r="AC259" s="150"/>
      <c r="AD259" s="150"/>
      <c r="AE259" s="466"/>
      <c r="AF259" s="499"/>
      <c r="AG259" s="150"/>
      <c r="AH259" s="150"/>
      <c r="AI259" s="150"/>
      <c r="AJ259" s="150"/>
      <c r="AK259" s="150"/>
      <c r="AL259" s="150"/>
      <c r="AM259" s="150"/>
      <c r="AN259" s="466"/>
      <c r="AO259" s="466"/>
      <c r="AP259" s="150">
        <v>350</v>
      </c>
      <c r="AQ259" s="150"/>
      <c r="AR259" s="151"/>
      <c r="AS259" s="456"/>
      <c r="AT259" s="466"/>
      <c r="AU259" s="150"/>
      <c r="AV259" s="487"/>
      <c r="AW259" s="150"/>
      <c r="AX259" s="150"/>
      <c r="AY259" s="466"/>
      <c r="AZ259" s="466"/>
      <c r="BA259" s="150">
        <v>460</v>
      </c>
      <c r="BB259" s="150"/>
      <c r="BC259" s="466"/>
      <c r="BD259" s="466"/>
      <c r="BE259" s="466"/>
      <c r="BF259" s="466"/>
      <c r="BG259" s="150"/>
      <c r="BH259" s="150"/>
      <c r="BI259" s="150"/>
      <c r="BJ259" s="466"/>
      <c r="BK259" s="152"/>
      <c r="BL259" s="160"/>
      <c r="BM259" s="150"/>
      <c r="BN259" s="466"/>
      <c r="BO259" s="150"/>
      <c r="BP259" s="516"/>
      <c r="BQ259" s="160"/>
      <c r="BR259" s="152"/>
      <c r="BS259" s="160"/>
    </row>
    <row r="260" spans="1:71" x14ac:dyDescent="0.3">
      <c r="A260" s="420">
        <f>DL!A257</f>
        <v>236</v>
      </c>
      <c r="B260" s="19" t="s">
        <v>139</v>
      </c>
      <c r="C260" s="149">
        <f>DL!L257</f>
        <v>8000</v>
      </c>
      <c r="D260" s="149">
        <f>DL!C257</f>
        <v>10</v>
      </c>
      <c r="E260" s="150"/>
      <c r="F260" s="463"/>
      <c r="G260" s="150"/>
      <c r="H260" s="150"/>
      <c r="I260" s="466">
        <v>350</v>
      </c>
      <c r="J260" s="150"/>
      <c r="K260" s="168"/>
      <c r="L260" s="466"/>
      <c r="M260" s="150"/>
      <c r="N260" s="466"/>
      <c r="O260" s="150"/>
      <c r="P260" s="150"/>
      <c r="Q260" s="150"/>
      <c r="R260" s="472"/>
      <c r="S260" s="466">
        <v>150</v>
      </c>
      <c r="T260" s="150">
        <v>260</v>
      </c>
      <c r="U260" s="150"/>
      <c r="V260" s="150">
        <v>231</v>
      </c>
      <c r="W260" s="168"/>
      <c r="X260" s="150"/>
      <c r="Y260" s="466"/>
      <c r="Z260" s="455"/>
      <c r="AA260" s="150">
        <v>250</v>
      </c>
      <c r="AB260" s="490">
        <v>170</v>
      </c>
      <c r="AC260" s="150"/>
      <c r="AD260" s="150"/>
      <c r="AE260" s="466">
        <v>185</v>
      </c>
      <c r="AF260" s="499"/>
      <c r="AG260" s="150">
        <v>198</v>
      </c>
      <c r="AH260" s="150"/>
      <c r="AI260" s="150"/>
      <c r="AJ260" s="150"/>
      <c r="AK260" s="150">
        <v>217.17</v>
      </c>
      <c r="AL260" s="150"/>
      <c r="AM260" s="150"/>
      <c r="AN260" s="466"/>
      <c r="AO260" s="466"/>
      <c r="AP260" s="150"/>
      <c r="AQ260" s="150"/>
      <c r="AR260" s="151">
        <v>130</v>
      </c>
      <c r="AS260" s="456"/>
      <c r="AT260" s="466"/>
      <c r="AU260" s="150"/>
      <c r="AV260" s="487"/>
      <c r="AW260" s="150"/>
      <c r="AX260" s="150">
        <v>170.5</v>
      </c>
      <c r="AY260" s="466"/>
      <c r="AZ260" s="466"/>
      <c r="BA260" s="159">
        <f>1518/5</f>
        <v>303.60000000000002</v>
      </c>
      <c r="BB260" s="150"/>
      <c r="BC260" s="466"/>
      <c r="BD260" s="466">
        <v>149</v>
      </c>
      <c r="BE260" s="466">
        <v>150</v>
      </c>
      <c r="BF260" s="466">
        <v>347.17</v>
      </c>
      <c r="BG260" s="150">
        <v>400</v>
      </c>
      <c r="BH260" s="150"/>
      <c r="BI260" s="150"/>
      <c r="BJ260" s="466">
        <v>148</v>
      </c>
      <c r="BK260" s="152"/>
      <c r="BL260" s="160"/>
      <c r="BM260" s="150">
        <v>120</v>
      </c>
      <c r="BN260" s="466"/>
      <c r="BO260" s="150"/>
      <c r="BP260" s="516"/>
      <c r="BQ260" s="160"/>
      <c r="BR260" s="152"/>
      <c r="BS260" s="160"/>
    </row>
    <row r="261" spans="1:71" x14ac:dyDescent="0.3">
      <c r="A261" s="420">
        <f>DL!A258</f>
        <v>237</v>
      </c>
      <c r="B261" s="19" t="s">
        <v>140</v>
      </c>
      <c r="C261" s="149">
        <f>DL!L258</f>
        <v>6000</v>
      </c>
      <c r="D261" s="149" t="str">
        <f>DL!C258</f>
        <v>BOTT</v>
      </c>
      <c r="E261" s="150"/>
      <c r="F261" s="463"/>
      <c r="G261" s="150"/>
      <c r="H261" s="150"/>
      <c r="I261" s="466"/>
      <c r="J261" s="150"/>
      <c r="K261" s="168"/>
      <c r="L261" s="466"/>
      <c r="M261" s="150"/>
      <c r="N261" s="466">
        <v>90</v>
      </c>
      <c r="O261" s="150"/>
      <c r="P261" s="150"/>
      <c r="Q261" s="150"/>
      <c r="R261" s="472"/>
      <c r="S261" s="466"/>
      <c r="T261" s="150">
        <v>130</v>
      </c>
      <c r="U261" s="150"/>
      <c r="V261" s="150"/>
      <c r="W261" s="168"/>
      <c r="X261" s="150"/>
      <c r="Y261" s="466">
        <v>102</v>
      </c>
      <c r="Z261" s="455"/>
      <c r="AA261" s="150"/>
      <c r="AB261" s="490"/>
      <c r="AC261" s="150"/>
      <c r="AD261" s="150"/>
      <c r="AE261" s="466"/>
      <c r="AF261" s="499"/>
      <c r="AG261" s="150">
        <v>140</v>
      </c>
      <c r="AH261" s="150"/>
      <c r="AI261" s="150"/>
      <c r="AJ261" s="150"/>
      <c r="AK261" s="150"/>
      <c r="AL261" s="150"/>
      <c r="AM261" s="150"/>
      <c r="AN261" s="466"/>
      <c r="AO261" s="466"/>
      <c r="AP261" s="150"/>
      <c r="AQ261" s="150"/>
      <c r="AR261" s="151"/>
      <c r="AS261" s="456"/>
      <c r="AT261" s="466"/>
      <c r="AU261" s="150"/>
      <c r="AV261" s="487"/>
      <c r="AW261" s="150"/>
      <c r="AX261" s="150"/>
      <c r="AY261" s="466"/>
      <c r="AZ261" s="466"/>
      <c r="BA261" s="150">
        <v>219</v>
      </c>
      <c r="BB261" s="150"/>
      <c r="BC261" s="466"/>
      <c r="BD261" s="466"/>
      <c r="BE261" s="466">
        <v>150</v>
      </c>
      <c r="BF261" s="466"/>
      <c r="BG261" s="150">
        <v>110</v>
      </c>
      <c r="BH261" s="150"/>
      <c r="BI261" s="150"/>
      <c r="BJ261" s="466"/>
      <c r="BK261" s="152"/>
      <c r="BL261" s="160"/>
      <c r="BM261" s="150">
        <v>125</v>
      </c>
      <c r="BN261" s="466"/>
      <c r="BO261" s="150"/>
      <c r="BP261" s="516"/>
      <c r="BQ261" s="160"/>
      <c r="BR261" s="152"/>
      <c r="BS261" s="160"/>
    </row>
    <row r="262" spans="1:71" x14ac:dyDescent="0.3">
      <c r="A262" s="420">
        <f>DL!A259</f>
        <v>238</v>
      </c>
      <c r="B262" s="19" t="s">
        <v>141</v>
      </c>
      <c r="C262" s="149">
        <f>DL!L259</f>
        <v>200</v>
      </c>
      <c r="D262" s="149">
        <f>DL!C259</f>
        <v>10</v>
      </c>
      <c r="E262" s="150"/>
      <c r="F262" s="463"/>
      <c r="G262" s="150"/>
      <c r="H262" s="150"/>
      <c r="I262" s="466"/>
      <c r="J262" s="150"/>
      <c r="K262" s="168"/>
      <c r="L262" s="466"/>
      <c r="M262" s="150"/>
      <c r="N262" s="466"/>
      <c r="O262" s="150"/>
      <c r="P262" s="150"/>
      <c r="Q262" s="150"/>
      <c r="R262" s="472"/>
      <c r="S262" s="466">
        <v>900</v>
      </c>
      <c r="T262" s="150"/>
      <c r="U262" s="150"/>
      <c r="V262" s="150"/>
      <c r="W262" s="168"/>
      <c r="X262" s="150"/>
      <c r="Y262" s="466"/>
      <c r="Z262" s="455"/>
      <c r="AA262" s="150"/>
      <c r="AB262" s="490"/>
      <c r="AC262" s="150"/>
      <c r="AD262" s="150"/>
      <c r="AE262" s="466"/>
      <c r="AF262" s="499"/>
      <c r="AG262" s="150"/>
      <c r="AH262" s="150"/>
      <c r="AI262" s="150"/>
      <c r="AJ262" s="150"/>
      <c r="AK262" s="150"/>
      <c r="AL262" s="150"/>
      <c r="AM262" s="150"/>
      <c r="AN262" s="466"/>
      <c r="AO262" s="466">
        <v>954</v>
      </c>
      <c r="AP262" s="150"/>
      <c r="AQ262" s="150"/>
      <c r="AR262" s="151"/>
      <c r="AS262" s="456"/>
      <c r="AT262" s="466"/>
      <c r="AU262" s="150"/>
      <c r="AV262" s="487"/>
      <c r="AW262" s="150"/>
      <c r="AX262" s="150"/>
      <c r="AY262" s="466"/>
      <c r="AZ262" s="466"/>
      <c r="BA262" s="150"/>
      <c r="BB262" s="150"/>
      <c r="BC262" s="466"/>
      <c r="BD262" s="466"/>
      <c r="BE262" s="466"/>
      <c r="BF262" s="466"/>
      <c r="BG262" s="150"/>
      <c r="BH262" s="150"/>
      <c r="BI262" s="150"/>
      <c r="BJ262" s="466"/>
      <c r="BK262" s="152"/>
      <c r="BL262" s="160"/>
      <c r="BM262" s="150"/>
      <c r="BN262" s="466"/>
      <c r="BO262" s="150"/>
      <c r="BP262" s="516"/>
      <c r="BQ262" s="160"/>
      <c r="BR262" s="152"/>
      <c r="BS262" s="160"/>
    </row>
    <row r="263" spans="1:71" x14ac:dyDescent="0.3">
      <c r="A263" s="420">
        <f>DL!A260</f>
        <v>239</v>
      </c>
      <c r="B263" s="19" t="s">
        <v>142</v>
      </c>
      <c r="C263" s="149">
        <v>300</v>
      </c>
      <c r="D263" s="149">
        <f>DL!C260</f>
        <v>16</v>
      </c>
      <c r="E263" s="150"/>
      <c r="F263" s="463"/>
      <c r="G263" s="150"/>
      <c r="H263" s="150"/>
      <c r="I263" s="466"/>
      <c r="J263" s="150"/>
      <c r="K263" s="168"/>
      <c r="L263" s="466"/>
      <c r="M263" s="150"/>
      <c r="N263" s="466"/>
      <c r="O263" s="150"/>
      <c r="P263" s="150"/>
      <c r="Q263" s="150"/>
      <c r="R263" s="472"/>
      <c r="S263" s="466"/>
      <c r="T263" s="150"/>
      <c r="U263" s="150"/>
      <c r="V263" s="150"/>
      <c r="W263" s="168"/>
      <c r="X263" s="150"/>
      <c r="Y263" s="466"/>
      <c r="Z263" s="455"/>
      <c r="AA263" s="150"/>
      <c r="AB263" s="490"/>
      <c r="AC263" s="150"/>
      <c r="AD263" s="150"/>
      <c r="AE263" s="466"/>
      <c r="AF263" s="499"/>
      <c r="AG263" s="150"/>
      <c r="AH263" s="150"/>
      <c r="AI263" s="150"/>
      <c r="AJ263" s="150"/>
      <c r="AK263" s="150"/>
      <c r="AL263" s="150"/>
      <c r="AM263" s="150"/>
      <c r="AN263" s="466"/>
      <c r="AO263" s="466"/>
      <c r="AP263" s="150"/>
      <c r="AQ263" s="150"/>
      <c r="AR263" s="151"/>
      <c r="AS263" s="456"/>
      <c r="AT263" s="466">
        <v>2579</v>
      </c>
      <c r="AU263" s="150"/>
      <c r="AV263" s="487"/>
      <c r="AW263" s="150"/>
      <c r="AX263" s="150"/>
      <c r="AY263" s="466"/>
      <c r="AZ263" s="466"/>
      <c r="BA263" s="150"/>
      <c r="BB263" s="150"/>
      <c r="BC263" s="466"/>
      <c r="BD263" s="466"/>
      <c r="BE263" s="466"/>
      <c r="BF263" s="466"/>
      <c r="BG263" s="150"/>
      <c r="BH263" s="150"/>
      <c r="BI263" s="150"/>
      <c r="BJ263" s="466"/>
      <c r="BK263" s="152"/>
      <c r="BL263" s="160"/>
      <c r="BM263" s="150"/>
      <c r="BN263" s="466"/>
      <c r="BO263" s="150">
        <v>2579</v>
      </c>
      <c r="BP263" s="516"/>
      <c r="BQ263" s="160"/>
      <c r="BR263" s="152"/>
      <c r="BS263" s="160"/>
    </row>
    <row r="264" spans="1:71" x14ac:dyDescent="0.3">
      <c r="A264" s="420">
        <f>DL!A261</f>
        <v>240</v>
      </c>
      <c r="B264" s="19" t="s">
        <v>143</v>
      </c>
      <c r="C264" s="149">
        <f>DL!L261</f>
        <v>1000</v>
      </c>
      <c r="D264" s="149" t="str">
        <f>DL!C261</f>
        <v>TUBE</v>
      </c>
      <c r="E264" s="150"/>
      <c r="F264" s="463"/>
      <c r="G264" s="150"/>
      <c r="H264" s="150"/>
      <c r="I264" s="466"/>
      <c r="J264" s="150"/>
      <c r="K264" s="168"/>
      <c r="L264" s="466"/>
      <c r="M264" s="150"/>
      <c r="N264" s="466"/>
      <c r="O264" s="150"/>
      <c r="P264" s="150">
        <v>300</v>
      </c>
      <c r="Q264" s="150"/>
      <c r="R264" s="472"/>
      <c r="S264" s="466"/>
      <c r="T264" s="150">
        <v>115</v>
      </c>
      <c r="U264" s="150"/>
      <c r="V264" s="150"/>
      <c r="W264" s="168"/>
      <c r="X264" s="150"/>
      <c r="Y264" s="466"/>
      <c r="Z264" s="455"/>
      <c r="AA264" s="150"/>
      <c r="AB264" s="490"/>
      <c r="AC264" s="150"/>
      <c r="AD264" s="150"/>
      <c r="AE264" s="466">
        <v>165</v>
      </c>
      <c r="AF264" s="499"/>
      <c r="AG264" s="150"/>
      <c r="AH264" s="150"/>
      <c r="AI264" s="150"/>
      <c r="AJ264" s="150"/>
      <c r="AK264" s="150"/>
      <c r="AL264" s="150"/>
      <c r="AM264" s="150"/>
      <c r="AN264" s="466"/>
      <c r="AO264" s="466"/>
      <c r="AP264" s="150"/>
      <c r="AQ264" s="150"/>
      <c r="AR264" s="151"/>
      <c r="AS264" s="456"/>
      <c r="AT264" s="466"/>
      <c r="AU264" s="150"/>
      <c r="AV264" s="487"/>
      <c r="AW264" s="150"/>
      <c r="AX264" s="150"/>
      <c r="AY264" s="466"/>
      <c r="AZ264" s="466"/>
      <c r="BA264" s="150"/>
      <c r="BB264" s="150"/>
      <c r="BC264" s="466"/>
      <c r="BD264" s="466"/>
      <c r="BE264" s="466"/>
      <c r="BF264" s="466">
        <v>213.47</v>
      </c>
      <c r="BG264" s="150"/>
      <c r="BH264" s="150"/>
      <c r="BI264" s="150"/>
      <c r="BJ264" s="466"/>
      <c r="BK264" s="152"/>
      <c r="BL264" s="160"/>
      <c r="BM264" s="150">
        <v>115</v>
      </c>
      <c r="BN264" s="466"/>
      <c r="BO264" s="150"/>
      <c r="BP264" s="516"/>
      <c r="BQ264" s="160"/>
      <c r="BR264" s="152"/>
      <c r="BS264" s="160"/>
    </row>
    <row r="265" spans="1:71" x14ac:dyDescent="0.3">
      <c r="A265" s="420">
        <f>DL!A262</f>
        <v>241</v>
      </c>
      <c r="B265" s="19" t="s">
        <v>450</v>
      </c>
      <c r="C265" s="149">
        <f>DL!L262</f>
        <v>200</v>
      </c>
      <c r="D265" s="149">
        <f>DL!C262</f>
        <v>6</v>
      </c>
      <c r="E265" s="150"/>
      <c r="F265" s="463"/>
      <c r="G265" s="150"/>
      <c r="H265" s="150"/>
      <c r="I265" s="466"/>
      <c r="J265" s="150"/>
      <c r="K265" s="168"/>
      <c r="L265" s="466"/>
      <c r="M265" s="150"/>
      <c r="N265" s="466"/>
      <c r="O265" s="150"/>
      <c r="P265" s="150">
        <v>720</v>
      </c>
      <c r="Q265" s="150"/>
      <c r="R265" s="473">
        <v>258.70949999999999</v>
      </c>
      <c r="S265" s="466"/>
      <c r="T265" s="150"/>
      <c r="U265" s="150"/>
      <c r="V265" s="150"/>
      <c r="W265" s="168"/>
      <c r="X265" s="150"/>
      <c r="Y265" s="466"/>
      <c r="Z265" s="455"/>
      <c r="AA265" s="150"/>
      <c r="AB265" s="490">
        <v>600</v>
      </c>
      <c r="AC265" s="150"/>
      <c r="AD265" s="150"/>
      <c r="AE265" s="466"/>
      <c r="AF265" s="499"/>
      <c r="AG265" s="150"/>
      <c r="AH265" s="150"/>
      <c r="AI265" s="150"/>
      <c r="AJ265" s="150"/>
      <c r="AK265" s="150"/>
      <c r="AL265" s="150"/>
      <c r="AM265" s="150"/>
      <c r="AN265" s="466"/>
      <c r="AO265" s="466"/>
      <c r="AP265" s="150"/>
      <c r="AQ265" s="150"/>
      <c r="AR265" s="151"/>
      <c r="AS265" s="456"/>
      <c r="AT265" s="466"/>
      <c r="AU265" s="150"/>
      <c r="AV265" s="487"/>
      <c r="AW265" s="150"/>
      <c r="AX265" s="150"/>
      <c r="AY265" s="466"/>
      <c r="AZ265" s="466"/>
      <c r="BA265" s="150"/>
      <c r="BB265" s="150"/>
      <c r="BC265" s="466"/>
      <c r="BD265" s="466"/>
      <c r="BE265" s="466">
        <v>900</v>
      </c>
      <c r="BF265" s="466"/>
      <c r="BG265" s="150"/>
      <c r="BH265" s="150"/>
      <c r="BI265" s="150"/>
      <c r="BJ265" s="466"/>
      <c r="BK265" s="152"/>
      <c r="BL265" s="160"/>
      <c r="BM265" s="150"/>
      <c r="BN265" s="466"/>
      <c r="BO265" s="150"/>
      <c r="BP265" s="516">
        <v>200</v>
      </c>
      <c r="BQ265" s="160"/>
      <c r="BR265" s="152"/>
      <c r="BS265" s="160"/>
    </row>
    <row r="266" spans="1:71" x14ac:dyDescent="0.3">
      <c r="A266" s="420">
        <f>DL!A263</f>
        <v>242</v>
      </c>
      <c r="B266" s="19" t="s">
        <v>709</v>
      </c>
      <c r="C266" s="149">
        <f>DL!L263</f>
        <v>120</v>
      </c>
      <c r="D266" s="149">
        <f>DL!C263</f>
        <v>100</v>
      </c>
      <c r="E266" s="150"/>
      <c r="F266" s="463"/>
      <c r="G266" s="150"/>
      <c r="H266" s="150"/>
      <c r="I266" s="466"/>
      <c r="J266" s="150"/>
      <c r="K266" s="168"/>
      <c r="L266" s="466"/>
      <c r="M266" s="150"/>
      <c r="N266" s="466"/>
      <c r="O266" s="150"/>
      <c r="P266" s="150"/>
      <c r="Q266" s="150"/>
      <c r="R266" s="473">
        <v>526.68000000000006</v>
      </c>
      <c r="S266" s="466">
        <v>400</v>
      </c>
      <c r="T266" s="150">
        <v>410</v>
      </c>
      <c r="U266" s="150"/>
      <c r="V266" s="150"/>
      <c r="W266" s="168"/>
      <c r="X266" s="150"/>
      <c r="Y266" s="466"/>
      <c r="Z266" s="455"/>
      <c r="AA266" s="150"/>
      <c r="AB266" s="490"/>
      <c r="AC266" s="150"/>
      <c r="AD266" s="150"/>
      <c r="AE266" s="466"/>
      <c r="AF266" s="499"/>
      <c r="AG266" s="150"/>
      <c r="AH266" s="150"/>
      <c r="AI266" s="150"/>
      <c r="AJ266" s="150"/>
      <c r="AK266" s="150"/>
      <c r="AL266" s="150"/>
      <c r="AM266" s="150"/>
      <c r="AN266" s="466"/>
      <c r="AO266" s="466"/>
      <c r="AP266" s="150"/>
      <c r="AQ266" s="150"/>
      <c r="AR266" s="151">
        <v>495</v>
      </c>
      <c r="AS266" s="456"/>
      <c r="AT266" s="466"/>
      <c r="AU266" s="150"/>
      <c r="AV266" s="487"/>
      <c r="AW266" s="150"/>
      <c r="AX266" s="150">
        <v>385</v>
      </c>
      <c r="AY266" s="466"/>
      <c r="AZ266" s="466"/>
      <c r="BA266" s="150"/>
      <c r="BB266" s="150"/>
      <c r="BC266" s="466"/>
      <c r="BD266" s="466">
        <v>490</v>
      </c>
      <c r="BE266" s="466"/>
      <c r="BF266" s="466">
        <v>786.45</v>
      </c>
      <c r="BG266" s="150"/>
      <c r="BH266" s="150"/>
      <c r="BI266" s="150"/>
      <c r="BJ266" s="466"/>
      <c r="BK266" s="152"/>
      <c r="BL266" s="160"/>
      <c r="BM266" s="150">
        <v>340</v>
      </c>
      <c r="BN266" s="466"/>
      <c r="BO266" s="150"/>
      <c r="BP266" s="516"/>
      <c r="BQ266" s="160"/>
      <c r="BR266" s="152"/>
      <c r="BS266" s="160"/>
    </row>
    <row r="267" spans="1:71" x14ac:dyDescent="0.3">
      <c r="A267" s="420">
        <f>DL!A264</f>
        <v>243</v>
      </c>
      <c r="B267" s="19" t="s">
        <v>708</v>
      </c>
      <c r="C267" s="149">
        <f>DL!L264</f>
        <v>1200</v>
      </c>
      <c r="D267" s="149">
        <f>DL!C264</f>
        <v>10</v>
      </c>
      <c r="E267" s="150"/>
      <c r="F267" s="463"/>
      <c r="G267" s="150"/>
      <c r="H267" s="150"/>
      <c r="I267" s="466"/>
      <c r="J267" s="150"/>
      <c r="K267" s="168"/>
      <c r="L267" s="466"/>
      <c r="M267" s="150"/>
      <c r="N267" s="466"/>
      <c r="O267" s="150"/>
      <c r="P267" s="150"/>
      <c r="Q267" s="150"/>
      <c r="R267" s="473">
        <v>0</v>
      </c>
      <c r="S267" s="466">
        <v>220</v>
      </c>
      <c r="T267" s="150"/>
      <c r="U267" s="150"/>
      <c r="V267" s="150"/>
      <c r="W267" s="168"/>
      <c r="X267" s="150"/>
      <c r="Y267" s="466"/>
      <c r="Z267" s="455"/>
      <c r="AA267" s="150"/>
      <c r="AB267" s="490"/>
      <c r="AC267" s="150"/>
      <c r="AD267" s="150"/>
      <c r="AE267" s="466"/>
      <c r="AF267" s="499"/>
      <c r="AG267" s="150"/>
      <c r="AH267" s="150"/>
      <c r="AI267" s="150"/>
      <c r="AJ267" s="150"/>
      <c r="AK267" s="150"/>
      <c r="AL267" s="150"/>
      <c r="AM267" s="150"/>
      <c r="AN267" s="466"/>
      <c r="AO267" s="466"/>
      <c r="AP267" s="150"/>
      <c r="AQ267" s="150"/>
      <c r="AR267" s="151"/>
      <c r="AS267" s="456"/>
      <c r="AT267" s="466"/>
      <c r="AU267" s="150"/>
      <c r="AV267" s="487"/>
      <c r="AW267" s="150"/>
      <c r="AX267" s="150">
        <v>150</v>
      </c>
      <c r="AY267" s="466"/>
      <c r="AZ267" s="466"/>
      <c r="BA267" s="150"/>
      <c r="BB267" s="150"/>
      <c r="BC267" s="466"/>
      <c r="BD267" s="466"/>
      <c r="BE267" s="466"/>
      <c r="BF267" s="466">
        <v>258.41000000000003</v>
      </c>
      <c r="BG267" s="150"/>
      <c r="BH267" s="150"/>
      <c r="BI267" s="150"/>
      <c r="BJ267" s="466"/>
      <c r="BK267" s="152"/>
      <c r="BL267" s="160"/>
      <c r="BM267" s="150"/>
      <c r="BN267" s="466"/>
      <c r="BO267" s="150"/>
      <c r="BP267" s="516"/>
      <c r="BQ267" s="160"/>
      <c r="BR267" s="152"/>
      <c r="BS267" s="160"/>
    </row>
    <row r="268" spans="1:71" x14ac:dyDescent="0.3">
      <c r="A268" s="420">
        <f>DL!A265</f>
        <v>244</v>
      </c>
      <c r="B268" s="19" t="s">
        <v>1305</v>
      </c>
      <c r="C268" s="149">
        <f>DL!L265</f>
        <v>200</v>
      </c>
      <c r="D268" s="149" t="str">
        <f>DL!C265</f>
        <v>BOTT</v>
      </c>
      <c r="E268" s="150"/>
      <c r="F268" s="463"/>
      <c r="G268" s="150"/>
      <c r="H268" s="150"/>
      <c r="I268" s="466"/>
      <c r="J268" s="150"/>
      <c r="K268" s="168"/>
      <c r="L268" s="466"/>
      <c r="M268" s="150"/>
      <c r="N268" s="466"/>
      <c r="O268" s="150"/>
      <c r="P268" s="150"/>
      <c r="Q268" s="150"/>
      <c r="R268" s="473">
        <v>135.58000000000001</v>
      </c>
      <c r="S268" s="466">
        <v>110</v>
      </c>
      <c r="T268" s="150">
        <v>130</v>
      </c>
      <c r="U268" s="150"/>
      <c r="V268" s="150"/>
      <c r="W268" s="168"/>
      <c r="X268" s="150"/>
      <c r="Y268" s="466"/>
      <c r="Z268" s="455"/>
      <c r="AA268" s="150"/>
      <c r="AB268" s="490"/>
      <c r="AC268" s="150"/>
      <c r="AD268" s="150"/>
      <c r="AE268" s="466">
        <v>170</v>
      </c>
      <c r="AF268" s="499"/>
      <c r="AG268" s="150"/>
      <c r="AH268" s="150"/>
      <c r="AI268" s="150"/>
      <c r="AJ268" s="150"/>
      <c r="AK268" s="150">
        <v>100</v>
      </c>
      <c r="AL268" s="150"/>
      <c r="AM268" s="150"/>
      <c r="AN268" s="466"/>
      <c r="AO268" s="466"/>
      <c r="AP268" s="150"/>
      <c r="AQ268" s="150"/>
      <c r="AR268" s="151"/>
      <c r="AS268" s="456"/>
      <c r="AT268" s="466"/>
      <c r="AU268" s="150"/>
      <c r="AV268" s="487"/>
      <c r="AW268" s="150"/>
      <c r="AX268" s="150">
        <v>120.4</v>
      </c>
      <c r="AY268" s="466"/>
      <c r="AZ268" s="466"/>
      <c r="BA268" s="150"/>
      <c r="BB268" s="150">
        <v>116</v>
      </c>
      <c r="BC268" s="466"/>
      <c r="BD268" s="466"/>
      <c r="BE268" s="466"/>
      <c r="BF268" s="466">
        <v>252.79</v>
      </c>
      <c r="BG268" s="150"/>
      <c r="BH268" s="150"/>
      <c r="BI268" s="150"/>
      <c r="BJ268" s="466"/>
      <c r="BK268" s="152"/>
      <c r="BL268" s="160"/>
      <c r="BM268" s="150">
        <v>105</v>
      </c>
      <c r="BN268" s="466"/>
      <c r="BO268" s="150"/>
      <c r="BP268" s="516"/>
      <c r="BQ268" s="160"/>
      <c r="BR268" s="152"/>
      <c r="BS268" s="160"/>
    </row>
    <row r="269" spans="1:71" x14ac:dyDescent="0.3">
      <c r="A269" s="420">
        <f>DL!A266</f>
        <v>245</v>
      </c>
      <c r="B269" s="19" t="s">
        <v>1306</v>
      </c>
      <c r="C269" s="149">
        <f>DL!L266</f>
        <v>300</v>
      </c>
      <c r="D269" s="149">
        <f>DL!C266</f>
        <v>36</v>
      </c>
      <c r="E269" s="150"/>
      <c r="F269" s="463"/>
      <c r="G269" s="150"/>
      <c r="H269" s="150"/>
      <c r="I269" s="466"/>
      <c r="J269" s="150"/>
      <c r="K269" s="168"/>
      <c r="L269" s="466"/>
      <c r="M269" s="150"/>
      <c r="N269" s="466"/>
      <c r="O269" s="150"/>
      <c r="P269" s="150"/>
      <c r="Q269" s="150"/>
      <c r="R269" s="472"/>
      <c r="S269" s="466"/>
      <c r="T269" s="150"/>
      <c r="U269" s="150"/>
      <c r="V269" s="150"/>
      <c r="W269" s="168"/>
      <c r="X269" s="150"/>
      <c r="Y269" s="466"/>
      <c r="Z269" s="455"/>
      <c r="AA269" s="150"/>
      <c r="AB269" s="490"/>
      <c r="AC269" s="150"/>
      <c r="AD269" s="150"/>
      <c r="AE269" s="466"/>
      <c r="AF269" s="499"/>
      <c r="AG269" s="150"/>
      <c r="AH269" s="150"/>
      <c r="AI269" s="150"/>
      <c r="AJ269" s="150"/>
      <c r="AK269" s="150"/>
      <c r="AL269" s="150"/>
      <c r="AM269" s="150"/>
      <c r="AN269" s="466"/>
      <c r="AO269" s="466"/>
      <c r="AP269" s="150"/>
      <c r="AQ269" s="150"/>
      <c r="AR269" s="151"/>
      <c r="AS269" s="456"/>
      <c r="AT269" s="466"/>
      <c r="AU269" s="150"/>
      <c r="AV269" s="487"/>
      <c r="AW269" s="150"/>
      <c r="AX269" s="150"/>
      <c r="AY269" s="466"/>
      <c r="AZ269" s="466"/>
      <c r="BA269" s="150"/>
      <c r="BB269" s="150"/>
      <c r="BC269" s="466"/>
      <c r="BD269" s="466"/>
      <c r="BE269" s="466"/>
      <c r="BF269" s="466"/>
      <c r="BG269" s="150"/>
      <c r="BH269" s="150"/>
      <c r="BI269" s="150"/>
      <c r="BJ269" s="466"/>
      <c r="BK269" s="152"/>
      <c r="BL269" s="160"/>
      <c r="BM269" s="150"/>
      <c r="BN269" s="466"/>
      <c r="BO269" s="150"/>
      <c r="BP269" s="516"/>
      <c r="BQ269" s="160"/>
      <c r="BR269" s="152"/>
      <c r="BS269" s="160"/>
    </row>
    <row r="270" spans="1:71" x14ac:dyDescent="0.3">
      <c r="A270" s="420">
        <f>DL!A267</f>
        <v>246</v>
      </c>
      <c r="B270" s="19" t="s">
        <v>145</v>
      </c>
      <c r="C270" s="149">
        <f>DL!L267</f>
        <v>150</v>
      </c>
      <c r="D270" s="149">
        <f>DL!C267</f>
        <v>100</v>
      </c>
      <c r="E270" s="150"/>
      <c r="F270" s="463"/>
      <c r="G270" s="150"/>
      <c r="H270" s="150"/>
      <c r="I270" s="466"/>
      <c r="J270" s="150"/>
      <c r="K270" s="168"/>
      <c r="L270" s="466"/>
      <c r="M270" s="150"/>
      <c r="N270" s="466"/>
      <c r="O270" s="150"/>
      <c r="P270" s="150"/>
      <c r="Q270" s="150"/>
      <c r="R270" s="472"/>
      <c r="S270" s="466">
        <v>550</v>
      </c>
      <c r="T270" s="150"/>
      <c r="U270" s="150"/>
      <c r="V270" s="150"/>
      <c r="W270" s="168"/>
      <c r="X270" s="150"/>
      <c r="Y270" s="466"/>
      <c r="Z270" s="455"/>
      <c r="AA270" s="150"/>
      <c r="AB270" s="490"/>
      <c r="AC270" s="150"/>
      <c r="AD270" s="150"/>
      <c r="AE270" s="466"/>
      <c r="AF270" s="499"/>
      <c r="AG270" s="150"/>
      <c r="AH270" s="150"/>
      <c r="AI270" s="150"/>
      <c r="AJ270" s="150"/>
      <c r="AK270" s="150"/>
      <c r="AL270" s="150"/>
      <c r="AM270" s="150"/>
      <c r="AN270" s="466"/>
      <c r="AO270" s="466"/>
      <c r="AP270" s="150"/>
      <c r="AQ270" s="150"/>
      <c r="AR270" s="151"/>
      <c r="AS270" s="456"/>
      <c r="AT270" s="466"/>
      <c r="AU270" s="150"/>
      <c r="AV270" s="487"/>
      <c r="AW270" s="150"/>
      <c r="AX270" s="150"/>
      <c r="AY270" s="466"/>
      <c r="AZ270" s="466"/>
      <c r="BA270" s="150"/>
      <c r="BB270" s="150"/>
      <c r="BC270" s="466"/>
      <c r="BD270" s="466"/>
      <c r="BE270" s="466"/>
      <c r="BF270" s="466"/>
      <c r="BG270" s="150"/>
      <c r="BH270" s="150"/>
      <c r="BI270" s="150"/>
      <c r="BJ270" s="466"/>
      <c r="BK270" s="152"/>
      <c r="BL270" s="160"/>
      <c r="BM270" s="150"/>
      <c r="BN270" s="466"/>
      <c r="BO270" s="150"/>
      <c r="BP270" s="516"/>
      <c r="BQ270" s="160"/>
      <c r="BR270" s="152"/>
      <c r="BS270" s="160"/>
    </row>
    <row r="271" spans="1:71" x14ac:dyDescent="0.3">
      <c r="A271" s="420">
        <f>DL!A268</f>
        <v>247</v>
      </c>
      <c r="B271" s="19" t="s">
        <v>146</v>
      </c>
      <c r="C271" s="149">
        <f>DL!L268</f>
        <v>800</v>
      </c>
      <c r="D271" s="149" t="str">
        <f>DL!C268</f>
        <v>BOTT</v>
      </c>
      <c r="E271" s="150"/>
      <c r="F271" s="463"/>
      <c r="G271" s="150"/>
      <c r="H271" s="150"/>
      <c r="I271" s="466"/>
      <c r="J271" s="150"/>
      <c r="K271" s="168"/>
      <c r="L271" s="466"/>
      <c r="M271" s="150"/>
      <c r="N271" s="466"/>
      <c r="O271" s="150"/>
      <c r="P271" s="150"/>
      <c r="Q271" s="150"/>
      <c r="R271" s="473">
        <v>342.10199999999998</v>
      </c>
      <c r="S271" s="466">
        <v>170</v>
      </c>
      <c r="T271" s="150">
        <v>540</v>
      </c>
      <c r="U271" s="150"/>
      <c r="V271" s="150">
        <v>400</v>
      </c>
      <c r="W271" s="168"/>
      <c r="X271" s="150"/>
      <c r="Y271" s="466"/>
      <c r="Z271" s="455"/>
      <c r="AA271" s="150"/>
      <c r="AB271" s="490"/>
      <c r="AC271" s="150"/>
      <c r="AD271" s="150"/>
      <c r="AE271" s="466"/>
      <c r="AF271" s="499"/>
      <c r="AG271" s="150"/>
      <c r="AH271" s="150"/>
      <c r="AI271" s="150"/>
      <c r="AJ271" s="150"/>
      <c r="AK271" s="150"/>
      <c r="AL271" s="150"/>
      <c r="AM271" s="150"/>
      <c r="AN271" s="466"/>
      <c r="AO271" s="466"/>
      <c r="AP271" s="150"/>
      <c r="AQ271" s="150"/>
      <c r="AR271" s="151"/>
      <c r="AS271" s="456"/>
      <c r="AT271" s="466"/>
      <c r="AU271" s="150"/>
      <c r="AV271" s="487"/>
      <c r="AW271" s="150"/>
      <c r="AX271" s="150"/>
      <c r="AY271" s="466"/>
      <c r="AZ271" s="466"/>
      <c r="BA271" s="150"/>
      <c r="BB271" s="150"/>
      <c r="BC271" s="466"/>
      <c r="BD271" s="466"/>
      <c r="BE271" s="466"/>
      <c r="BF271" s="466"/>
      <c r="BG271" s="150"/>
      <c r="BH271" s="150"/>
      <c r="BI271" s="150"/>
      <c r="BJ271" s="466"/>
      <c r="BK271" s="152"/>
      <c r="BL271" s="160"/>
      <c r="BM271" s="150"/>
      <c r="BN271" s="466">
        <v>410</v>
      </c>
      <c r="BO271" s="150"/>
      <c r="BP271" s="516"/>
      <c r="BQ271" s="160"/>
      <c r="BR271" s="152"/>
      <c r="BS271" s="160"/>
    </row>
    <row r="272" spans="1:71" x14ac:dyDescent="0.3">
      <c r="A272" s="420">
        <f>DL!A269</f>
        <v>248</v>
      </c>
      <c r="B272" s="19" t="s">
        <v>147</v>
      </c>
      <c r="C272" s="149">
        <f>DL!L269</f>
        <v>40</v>
      </c>
      <c r="D272" s="149">
        <f>DL!C269</f>
        <v>100</v>
      </c>
      <c r="E272" s="150"/>
      <c r="F272" s="463"/>
      <c r="G272" s="150"/>
      <c r="H272" s="150"/>
      <c r="I272" s="466"/>
      <c r="J272" s="150"/>
      <c r="K272" s="168"/>
      <c r="L272" s="466"/>
      <c r="M272" s="150"/>
      <c r="N272" s="466"/>
      <c r="O272" s="150"/>
      <c r="P272" s="150"/>
      <c r="Q272" s="150"/>
      <c r="R272" s="472"/>
      <c r="S272" s="466">
        <v>1400</v>
      </c>
      <c r="T272" s="150"/>
      <c r="U272" s="150"/>
      <c r="V272" s="150"/>
      <c r="W272" s="168"/>
      <c r="X272" s="150"/>
      <c r="Y272" s="466"/>
      <c r="Z272" s="455"/>
      <c r="AA272" s="150"/>
      <c r="AB272" s="490"/>
      <c r="AC272" s="150"/>
      <c r="AD272" s="150"/>
      <c r="AE272" s="466"/>
      <c r="AF272" s="499"/>
      <c r="AG272" s="150"/>
      <c r="AH272" s="150"/>
      <c r="AI272" s="150"/>
      <c r="AJ272" s="150"/>
      <c r="AK272" s="150"/>
      <c r="AL272" s="150"/>
      <c r="AM272" s="150"/>
      <c r="AN272" s="466"/>
      <c r="AO272" s="466"/>
      <c r="AP272" s="150"/>
      <c r="AQ272" s="150"/>
      <c r="AR272" s="151"/>
      <c r="AS272" s="456"/>
      <c r="AT272" s="466"/>
      <c r="AU272" s="150"/>
      <c r="AV272" s="487"/>
      <c r="AW272" s="150"/>
      <c r="AX272" s="150"/>
      <c r="AY272" s="466"/>
      <c r="AZ272" s="466"/>
      <c r="BA272" s="150"/>
      <c r="BB272" s="150"/>
      <c r="BC272" s="466"/>
      <c r="BD272" s="466"/>
      <c r="BE272" s="466"/>
      <c r="BF272" s="466"/>
      <c r="BG272" s="150"/>
      <c r="BH272" s="150"/>
      <c r="BI272" s="150"/>
      <c r="BJ272" s="466"/>
      <c r="BK272" s="152"/>
      <c r="BL272" s="160"/>
      <c r="BM272" s="150"/>
      <c r="BN272" s="466"/>
      <c r="BO272" s="150"/>
      <c r="BP272" s="516"/>
      <c r="BQ272" s="160"/>
      <c r="BR272" s="152"/>
      <c r="BS272" s="160"/>
    </row>
    <row r="273" spans="1:71" x14ac:dyDescent="0.3">
      <c r="A273" s="420">
        <f>DL!A270</f>
        <v>249</v>
      </c>
      <c r="B273" s="19" t="s">
        <v>148</v>
      </c>
      <c r="C273" s="149">
        <v>800</v>
      </c>
      <c r="D273" s="149">
        <f>DL!C270</f>
        <v>100</v>
      </c>
      <c r="E273" s="150"/>
      <c r="F273" s="463"/>
      <c r="G273" s="150"/>
      <c r="H273" s="150"/>
      <c r="I273" s="470">
        <f>550*10</f>
        <v>5500</v>
      </c>
      <c r="J273" s="150"/>
      <c r="K273" s="168"/>
      <c r="L273" s="466"/>
      <c r="M273" s="150"/>
      <c r="N273" s="466"/>
      <c r="O273" s="150">
        <v>4500</v>
      </c>
      <c r="P273" s="150"/>
      <c r="Q273" s="150"/>
      <c r="R273" s="472"/>
      <c r="S273" s="466">
        <v>2300</v>
      </c>
      <c r="T273" s="150"/>
      <c r="U273" s="150"/>
      <c r="V273" s="150">
        <v>3000</v>
      </c>
      <c r="W273" s="168"/>
      <c r="X273" s="150"/>
      <c r="Y273" s="466"/>
      <c r="Z273" s="455"/>
      <c r="AA273" s="150"/>
      <c r="AB273" s="490"/>
      <c r="AC273" s="150"/>
      <c r="AD273" s="150"/>
      <c r="AE273" s="466"/>
      <c r="AF273" s="499"/>
      <c r="AG273" s="150"/>
      <c r="AH273" s="150"/>
      <c r="AI273" s="150"/>
      <c r="AJ273" s="150"/>
      <c r="AK273" s="150"/>
      <c r="AL273" s="150"/>
      <c r="AM273" s="150"/>
      <c r="AN273" s="466"/>
      <c r="AO273" s="466"/>
      <c r="AP273" s="150"/>
      <c r="AQ273" s="150"/>
      <c r="AR273" s="151">
        <v>3500</v>
      </c>
      <c r="AS273" s="456"/>
      <c r="AT273" s="466"/>
      <c r="AU273" s="150"/>
      <c r="AV273" s="487"/>
      <c r="AW273" s="150"/>
      <c r="AX273" s="150">
        <v>2520</v>
      </c>
      <c r="AY273" s="466"/>
      <c r="AZ273" s="466"/>
      <c r="BA273" s="150"/>
      <c r="BB273" s="150"/>
      <c r="BC273" s="466"/>
      <c r="BD273" s="466"/>
      <c r="BE273" s="466"/>
      <c r="BF273" s="466"/>
      <c r="BG273" s="150"/>
      <c r="BH273" s="150"/>
      <c r="BI273" s="150"/>
      <c r="BJ273" s="466"/>
      <c r="BK273" s="152"/>
      <c r="BL273" s="160"/>
      <c r="BM273" s="150"/>
      <c r="BN273" s="466">
        <v>3000</v>
      </c>
      <c r="BO273" s="150"/>
      <c r="BP273" s="516"/>
      <c r="BQ273" s="160"/>
      <c r="BR273" s="152"/>
      <c r="BS273" s="160"/>
    </row>
    <row r="274" spans="1:71" x14ac:dyDescent="0.3">
      <c r="A274" s="420">
        <f>DL!A271</f>
        <v>250</v>
      </c>
      <c r="B274" s="19" t="s">
        <v>149</v>
      </c>
      <c r="C274" s="149">
        <f>DL!L271</f>
        <v>6</v>
      </c>
      <c r="D274" s="149">
        <f>DL!C271</f>
        <v>1000</v>
      </c>
      <c r="E274" s="150"/>
      <c r="F274" s="463"/>
      <c r="G274" s="150"/>
      <c r="H274" s="150"/>
      <c r="I274" s="466"/>
      <c r="J274" s="150"/>
      <c r="K274" s="168"/>
      <c r="L274" s="466"/>
      <c r="M274" s="150"/>
      <c r="N274" s="466"/>
      <c r="O274" s="150"/>
      <c r="P274" s="150"/>
      <c r="Q274" s="150"/>
      <c r="R274" s="472"/>
      <c r="S274" s="466">
        <v>240</v>
      </c>
      <c r="T274" s="150"/>
      <c r="U274" s="150"/>
      <c r="V274" s="150"/>
      <c r="W274" s="168"/>
      <c r="X274" s="150"/>
      <c r="Y274" s="466"/>
      <c r="Z274" s="455"/>
      <c r="AA274" s="150"/>
      <c r="AB274" s="490"/>
      <c r="AC274" s="150"/>
      <c r="AD274" s="150"/>
      <c r="AE274" s="466"/>
      <c r="AF274" s="499"/>
      <c r="AG274" s="150"/>
      <c r="AH274" s="150"/>
      <c r="AI274" s="150"/>
      <c r="AJ274" s="150"/>
      <c r="AK274" s="150"/>
      <c r="AL274" s="150"/>
      <c r="AM274" s="150"/>
      <c r="AN274" s="466"/>
      <c r="AO274" s="466"/>
      <c r="AP274" s="150"/>
      <c r="AQ274" s="150"/>
      <c r="AR274" s="151"/>
      <c r="AS274" s="456"/>
      <c r="AT274" s="466"/>
      <c r="AU274" s="150"/>
      <c r="AV274" s="487"/>
      <c r="AW274" s="150"/>
      <c r="AX274" s="150"/>
      <c r="AY274" s="466"/>
      <c r="AZ274" s="466"/>
      <c r="BA274" s="150"/>
      <c r="BB274" s="150"/>
      <c r="BC274" s="466"/>
      <c r="BD274" s="466"/>
      <c r="BE274" s="466"/>
      <c r="BF274" s="466"/>
      <c r="BG274" s="150"/>
      <c r="BH274" s="150"/>
      <c r="BI274" s="150"/>
      <c r="BJ274" s="466"/>
      <c r="BK274" s="152"/>
      <c r="BL274" s="160"/>
      <c r="BM274" s="150"/>
      <c r="BN274" s="466"/>
      <c r="BO274" s="150"/>
      <c r="BP274" s="516"/>
      <c r="BQ274" s="160"/>
      <c r="BR274" s="152"/>
      <c r="BS274" s="160"/>
    </row>
    <row r="275" spans="1:71" x14ac:dyDescent="0.3">
      <c r="A275" s="420">
        <f>DL!A272</f>
        <v>251</v>
      </c>
      <c r="B275" s="19" t="s">
        <v>1307</v>
      </c>
      <c r="C275" s="149">
        <v>200</v>
      </c>
      <c r="D275" s="149">
        <f>DL!C272</f>
        <v>10</v>
      </c>
      <c r="E275" s="150"/>
      <c r="F275" s="463"/>
      <c r="G275" s="150"/>
      <c r="H275" s="150"/>
      <c r="I275" s="466"/>
      <c r="J275" s="150"/>
      <c r="K275" s="168"/>
      <c r="L275" s="466"/>
      <c r="M275" s="150"/>
      <c r="N275" s="466"/>
      <c r="O275" s="150"/>
      <c r="P275" s="150"/>
      <c r="Q275" s="150"/>
      <c r="R275" s="472"/>
      <c r="S275" s="466">
        <v>270</v>
      </c>
      <c r="T275" s="150"/>
      <c r="U275" s="150"/>
      <c r="V275" s="150"/>
      <c r="W275" s="168"/>
      <c r="X275" s="150"/>
      <c r="Y275" s="466"/>
      <c r="Z275" s="455"/>
      <c r="AA275" s="150"/>
      <c r="AB275" s="490"/>
      <c r="AC275" s="150"/>
      <c r="AD275" s="150"/>
      <c r="AE275" s="466"/>
      <c r="AF275" s="499"/>
      <c r="AG275" s="150"/>
      <c r="AH275" s="150"/>
      <c r="AI275" s="150"/>
      <c r="AJ275" s="150"/>
      <c r="AK275" s="150"/>
      <c r="AL275" s="150"/>
      <c r="AM275" s="150"/>
      <c r="AN275" s="466"/>
      <c r="AO275" s="466"/>
      <c r="AP275" s="150"/>
      <c r="AQ275" s="150"/>
      <c r="AR275" s="151"/>
      <c r="AS275" s="456"/>
      <c r="AT275" s="466"/>
      <c r="AU275" s="150"/>
      <c r="AV275" s="487"/>
      <c r="AW275" s="150"/>
      <c r="AX275" s="150">
        <v>280</v>
      </c>
      <c r="AY275" s="466"/>
      <c r="AZ275" s="466"/>
      <c r="BA275" s="150"/>
      <c r="BB275" s="150"/>
      <c r="BC275" s="466"/>
      <c r="BD275" s="466"/>
      <c r="BE275" s="466"/>
      <c r="BF275" s="466"/>
      <c r="BG275" s="150"/>
      <c r="BH275" s="150"/>
      <c r="BI275" s="150"/>
      <c r="BJ275" s="466"/>
      <c r="BK275" s="152"/>
      <c r="BL275" s="160"/>
      <c r="BM275" s="150"/>
      <c r="BN275" s="466"/>
      <c r="BO275" s="150"/>
      <c r="BP275" s="516"/>
      <c r="BQ275" s="160"/>
      <c r="BR275" s="152"/>
      <c r="BS275" s="160"/>
    </row>
    <row r="276" spans="1:71" x14ac:dyDescent="0.3">
      <c r="A276" s="420">
        <f>DL!A273</f>
        <v>252</v>
      </c>
      <c r="B276" s="19" t="s">
        <v>1308</v>
      </c>
      <c r="C276" s="149">
        <v>200</v>
      </c>
      <c r="D276" s="149">
        <f>DL!C273</f>
        <v>10</v>
      </c>
      <c r="E276" s="150"/>
      <c r="F276" s="463"/>
      <c r="G276" s="150"/>
      <c r="H276" s="150"/>
      <c r="I276" s="466"/>
      <c r="J276" s="150"/>
      <c r="K276" s="168"/>
      <c r="L276" s="466"/>
      <c r="M276" s="150"/>
      <c r="N276" s="466"/>
      <c r="O276" s="150"/>
      <c r="P276" s="150">
        <v>1650</v>
      </c>
      <c r="Q276" s="150"/>
      <c r="R276" s="472"/>
      <c r="S276" s="466">
        <v>240</v>
      </c>
      <c r="T276" s="150"/>
      <c r="U276" s="150"/>
      <c r="V276" s="150"/>
      <c r="W276" s="168"/>
      <c r="X276" s="150"/>
      <c r="Y276" s="466"/>
      <c r="Z276" s="455"/>
      <c r="AA276" s="150"/>
      <c r="AB276" s="490"/>
      <c r="AC276" s="150"/>
      <c r="AD276" s="150"/>
      <c r="AE276" s="466"/>
      <c r="AF276" s="499"/>
      <c r="AG276" s="150"/>
      <c r="AH276" s="150"/>
      <c r="AI276" s="150"/>
      <c r="AJ276" s="150"/>
      <c r="AK276" s="150"/>
      <c r="AL276" s="150"/>
      <c r="AM276" s="150"/>
      <c r="AN276" s="466"/>
      <c r="AO276" s="466"/>
      <c r="AP276" s="150"/>
      <c r="AQ276" s="150"/>
      <c r="AR276" s="151"/>
      <c r="AS276" s="456"/>
      <c r="AT276" s="466"/>
      <c r="AU276" s="150"/>
      <c r="AV276" s="487"/>
      <c r="AW276" s="150"/>
      <c r="AX276" s="150"/>
      <c r="AY276" s="466"/>
      <c r="AZ276" s="466"/>
      <c r="BA276" s="150"/>
      <c r="BB276" s="150"/>
      <c r="BC276" s="466"/>
      <c r="BD276" s="466"/>
      <c r="BE276" s="466"/>
      <c r="BF276" s="466"/>
      <c r="BG276" s="150"/>
      <c r="BH276" s="150"/>
      <c r="BI276" s="150"/>
      <c r="BJ276" s="466"/>
      <c r="BK276" s="152"/>
      <c r="BL276" s="160"/>
      <c r="BM276" s="150"/>
      <c r="BN276" s="466"/>
      <c r="BO276" s="150"/>
      <c r="BP276" s="516"/>
      <c r="BQ276" s="160"/>
      <c r="BR276" s="152"/>
      <c r="BS276" s="160"/>
    </row>
    <row r="277" spans="1:71" x14ac:dyDescent="0.3">
      <c r="A277" s="420">
        <f>DL!A274</f>
        <v>253</v>
      </c>
      <c r="B277" s="19" t="s">
        <v>150</v>
      </c>
      <c r="C277" s="149">
        <f>DL!L274</f>
        <v>200</v>
      </c>
      <c r="D277" s="149">
        <f>DL!C274</f>
        <v>6</v>
      </c>
      <c r="E277" s="150"/>
      <c r="F277" s="463"/>
      <c r="G277" s="150"/>
      <c r="H277" s="150"/>
      <c r="I277" s="466"/>
      <c r="J277" s="150"/>
      <c r="K277" s="168"/>
      <c r="L277" s="466"/>
      <c r="M277" s="150"/>
      <c r="N277" s="466"/>
      <c r="O277" s="150"/>
      <c r="P277" s="150"/>
      <c r="Q277" s="150"/>
      <c r="R277" s="472"/>
      <c r="S277" s="466"/>
      <c r="T277" s="150"/>
      <c r="U277" s="150"/>
      <c r="V277" s="150"/>
      <c r="W277" s="168"/>
      <c r="X277" s="150"/>
      <c r="Y277" s="466"/>
      <c r="Z277" s="455"/>
      <c r="AA277" s="150"/>
      <c r="AB277" s="490"/>
      <c r="AC277" s="150"/>
      <c r="AD277" s="150"/>
      <c r="AE277" s="466"/>
      <c r="AF277" s="499"/>
      <c r="AG277" s="150"/>
      <c r="AH277" s="150"/>
      <c r="AI277" s="150"/>
      <c r="AJ277" s="150"/>
      <c r="AK277" s="150"/>
      <c r="AL277" s="150"/>
      <c r="AM277" s="150"/>
      <c r="AN277" s="466"/>
      <c r="AO277" s="466"/>
      <c r="AP277" s="150">
        <v>800</v>
      </c>
      <c r="AQ277" s="150"/>
      <c r="AR277" s="151"/>
      <c r="AS277" s="456"/>
      <c r="AT277" s="466"/>
      <c r="AU277" s="150"/>
      <c r="AV277" s="487"/>
      <c r="AW277" s="150"/>
      <c r="AX277" s="150"/>
      <c r="AY277" s="466"/>
      <c r="AZ277" s="466"/>
      <c r="BA277" s="150"/>
      <c r="BB277" s="150"/>
      <c r="BC277" s="466"/>
      <c r="BD277" s="466"/>
      <c r="BE277" s="466"/>
      <c r="BF277" s="466"/>
      <c r="BG277" s="150"/>
      <c r="BH277" s="150"/>
      <c r="BI277" s="150"/>
      <c r="BJ277" s="466"/>
      <c r="BK277" s="152"/>
      <c r="BL277" s="160"/>
      <c r="BM277" s="150"/>
      <c r="BN277" s="466"/>
      <c r="BO277" s="150"/>
      <c r="BP277" s="516"/>
      <c r="BQ277" s="160"/>
      <c r="BR277" s="152"/>
      <c r="BS277" s="160"/>
    </row>
    <row r="278" spans="1:71" x14ac:dyDescent="0.3">
      <c r="A278" s="420">
        <f>DL!A275</f>
        <v>254</v>
      </c>
      <c r="B278" s="19" t="s">
        <v>398</v>
      </c>
      <c r="C278" s="149">
        <f>DL!L275</f>
        <v>100</v>
      </c>
      <c r="D278" s="149" t="str">
        <f>DL!C275</f>
        <v>20G</v>
      </c>
      <c r="E278" s="150"/>
      <c r="F278" s="463"/>
      <c r="G278" s="150"/>
      <c r="H278" s="150"/>
      <c r="I278" s="466"/>
      <c r="J278" s="150"/>
      <c r="K278" s="168"/>
      <c r="L278" s="466"/>
      <c r="M278" s="150"/>
      <c r="N278" s="466"/>
      <c r="O278" s="150"/>
      <c r="P278" s="150">
        <v>210</v>
      </c>
      <c r="Q278" s="150"/>
      <c r="R278" s="472"/>
      <c r="S278" s="466"/>
      <c r="T278" s="150"/>
      <c r="U278" s="150"/>
      <c r="V278" s="150"/>
      <c r="W278" s="168"/>
      <c r="X278" s="150"/>
      <c r="Y278" s="466"/>
      <c r="Z278" s="455"/>
      <c r="AA278" s="150"/>
      <c r="AB278" s="490"/>
      <c r="AC278" s="150"/>
      <c r="AD278" s="150"/>
      <c r="AE278" s="466"/>
      <c r="AF278" s="499"/>
      <c r="AG278" s="150"/>
      <c r="AH278" s="150"/>
      <c r="AI278" s="150"/>
      <c r="AJ278" s="150"/>
      <c r="AK278" s="150"/>
      <c r="AL278" s="150"/>
      <c r="AM278" s="150"/>
      <c r="AN278" s="466"/>
      <c r="AO278" s="466"/>
      <c r="AP278" s="150"/>
      <c r="AQ278" s="150"/>
      <c r="AR278" s="151"/>
      <c r="AS278" s="456"/>
      <c r="AT278" s="466"/>
      <c r="AU278" s="150"/>
      <c r="AV278" s="487"/>
      <c r="AW278" s="150"/>
      <c r="AX278" s="150"/>
      <c r="AY278" s="466"/>
      <c r="AZ278" s="466"/>
      <c r="BA278" s="150"/>
      <c r="BB278" s="150"/>
      <c r="BC278" s="466"/>
      <c r="BD278" s="466"/>
      <c r="BE278" s="466"/>
      <c r="BF278" s="466"/>
      <c r="BG278" s="150"/>
      <c r="BH278" s="150"/>
      <c r="BI278" s="150"/>
      <c r="BJ278" s="466"/>
      <c r="BK278" s="152"/>
      <c r="BL278" s="160"/>
      <c r="BM278" s="150"/>
      <c r="BN278" s="466"/>
      <c r="BO278" s="150"/>
      <c r="BP278" s="516"/>
      <c r="BQ278" s="160"/>
      <c r="BR278" s="152"/>
      <c r="BS278" s="160"/>
    </row>
    <row r="279" spans="1:71" x14ac:dyDescent="0.3">
      <c r="A279" s="420">
        <f>DL!A276</f>
        <v>255</v>
      </c>
      <c r="B279" s="19" t="s">
        <v>151</v>
      </c>
      <c r="C279" s="149">
        <f>DL!L276</f>
        <v>300</v>
      </c>
      <c r="D279" s="149">
        <f>DL!C276</f>
        <v>50</v>
      </c>
      <c r="E279" s="150"/>
      <c r="F279" s="463"/>
      <c r="G279" s="150"/>
      <c r="H279" s="150"/>
      <c r="I279" s="466"/>
      <c r="J279" s="150"/>
      <c r="K279" s="168"/>
      <c r="L279" s="466"/>
      <c r="M279" s="150"/>
      <c r="N279" s="466"/>
      <c r="O279" s="150"/>
      <c r="P279" s="150"/>
      <c r="Q279" s="150"/>
      <c r="R279" s="472"/>
      <c r="S279" s="466"/>
      <c r="T279" s="150"/>
      <c r="U279" s="150"/>
      <c r="V279" s="150"/>
      <c r="W279" s="168"/>
      <c r="X279" s="150"/>
      <c r="Y279" s="466"/>
      <c r="Z279" s="455"/>
      <c r="AA279" s="150"/>
      <c r="AB279" s="490"/>
      <c r="AC279" s="150"/>
      <c r="AD279" s="150"/>
      <c r="AE279" s="466"/>
      <c r="AF279" s="499"/>
      <c r="AG279" s="150"/>
      <c r="AH279" s="150"/>
      <c r="AI279" s="150"/>
      <c r="AJ279" s="150"/>
      <c r="AK279" s="150"/>
      <c r="AL279" s="150"/>
      <c r="AM279" s="150"/>
      <c r="AN279" s="466"/>
      <c r="AO279" s="466"/>
      <c r="AP279" s="150"/>
      <c r="AQ279" s="150"/>
      <c r="AR279" s="151"/>
      <c r="AS279" s="456"/>
      <c r="AT279" s="466"/>
      <c r="AU279" s="150"/>
      <c r="AV279" s="487"/>
      <c r="AW279" s="150"/>
      <c r="AX279" s="150"/>
      <c r="AY279" s="466"/>
      <c r="AZ279" s="466"/>
      <c r="BA279" s="150"/>
      <c r="BB279" s="150"/>
      <c r="BC279" s="466"/>
      <c r="BD279" s="466"/>
      <c r="BE279" s="466"/>
      <c r="BF279" s="466"/>
      <c r="BG279" s="150"/>
      <c r="BH279" s="150">
        <v>8550</v>
      </c>
      <c r="BI279" s="150"/>
      <c r="BJ279" s="466"/>
      <c r="BK279" s="152"/>
      <c r="BL279" s="160"/>
      <c r="BM279" s="150"/>
      <c r="BN279" s="466"/>
      <c r="BO279" s="150"/>
      <c r="BP279" s="516"/>
      <c r="BQ279" s="160"/>
      <c r="BR279" s="152"/>
      <c r="BS279" s="160"/>
    </row>
    <row r="280" spans="1:71" x14ac:dyDescent="0.3">
      <c r="A280" s="420">
        <f>DL!A277</f>
        <v>256</v>
      </c>
      <c r="B280" s="19" t="s">
        <v>152</v>
      </c>
      <c r="C280" s="149">
        <f>DL!L277</f>
        <v>10</v>
      </c>
      <c r="D280" s="149">
        <f>DL!C277</f>
        <v>1000</v>
      </c>
      <c r="E280" s="150"/>
      <c r="F280" s="463"/>
      <c r="G280" s="150"/>
      <c r="H280" s="150"/>
      <c r="I280" s="466"/>
      <c r="J280" s="150"/>
      <c r="K280" s="168"/>
      <c r="L280" s="466"/>
      <c r="M280" s="150"/>
      <c r="N280" s="466"/>
      <c r="O280" s="150"/>
      <c r="P280" s="150"/>
      <c r="Q280" s="150"/>
      <c r="R280" s="472"/>
      <c r="S280" s="466">
        <v>4500</v>
      </c>
      <c r="T280" s="150"/>
      <c r="U280" s="150"/>
      <c r="V280" s="150"/>
      <c r="W280" s="168"/>
      <c r="X280" s="150"/>
      <c r="Y280" s="466"/>
      <c r="Z280" s="455"/>
      <c r="AA280" s="150"/>
      <c r="AB280" s="490"/>
      <c r="AC280" s="150"/>
      <c r="AD280" s="150"/>
      <c r="AE280" s="466"/>
      <c r="AF280" s="499"/>
      <c r="AG280" s="150"/>
      <c r="AH280" s="150"/>
      <c r="AI280" s="150"/>
      <c r="AJ280" s="150"/>
      <c r="AK280" s="150"/>
      <c r="AL280" s="150"/>
      <c r="AM280" s="150"/>
      <c r="AN280" s="466"/>
      <c r="AO280" s="466"/>
      <c r="AP280" s="150"/>
      <c r="AQ280" s="150"/>
      <c r="AR280" s="151"/>
      <c r="AS280" s="456"/>
      <c r="AT280" s="466"/>
      <c r="AU280" s="150"/>
      <c r="AV280" s="487"/>
      <c r="AW280" s="150"/>
      <c r="AX280" s="150"/>
      <c r="AY280" s="466"/>
      <c r="AZ280" s="466"/>
      <c r="BA280" s="150"/>
      <c r="BB280" s="150"/>
      <c r="BC280" s="466"/>
      <c r="BD280" s="466"/>
      <c r="BE280" s="466"/>
      <c r="BF280" s="466"/>
      <c r="BG280" s="150"/>
      <c r="BH280" s="150"/>
      <c r="BI280" s="150"/>
      <c r="BJ280" s="466"/>
      <c r="BK280" s="152"/>
      <c r="BL280" s="160"/>
      <c r="BM280" s="150"/>
      <c r="BN280" s="466"/>
      <c r="BO280" s="150"/>
      <c r="BP280" s="516"/>
      <c r="BQ280" s="160"/>
      <c r="BR280" s="152"/>
      <c r="BS280" s="160"/>
    </row>
    <row r="281" spans="1:71" x14ac:dyDescent="0.3">
      <c r="A281" s="420">
        <f>DL!A278</f>
        <v>257</v>
      </c>
      <c r="B281" s="19" t="s">
        <v>153</v>
      </c>
      <c r="C281" s="149">
        <f>DL!L278</f>
        <v>100</v>
      </c>
      <c r="D281" s="149">
        <f>DL!C278</f>
        <v>10</v>
      </c>
      <c r="E281" s="150">
        <v>2300</v>
      </c>
      <c r="F281" s="463"/>
      <c r="G281" s="150"/>
      <c r="H281" s="150"/>
      <c r="I281" s="466"/>
      <c r="J281" s="150"/>
      <c r="K281" s="168"/>
      <c r="L281" s="466"/>
      <c r="M281" s="150"/>
      <c r="N281" s="466"/>
      <c r="O281" s="150"/>
      <c r="P281" s="150"/>
      <c r="Q281" s="150"/>
      <c r="R281" s="472"/>
      <c r="S281" s="466"/>
      <c r="T281" s="150"/>
      <c r="U281" s="150"/>
      <c r="V281" s="150"/>
      <c r="W281" s="168"/>
      <c r="X281" s="150"/>
      <c r="Y281" s="466"/>
      <c r="Z281" s="455"/>
      <c r="AA281" s="150"/>
      <c r="AB281" s="490">
        <v>900</v>
      </c>
      <c r="AC281" s="150"/>
      <c r="AD281" s="150"/>
      <c r="AE281" s="466"/>
      <c r="AF281" s="499"/>
      <c r="AG281" s="150"/>
      <c r="AH281" s="150"/>
      <c r="AI281" s="150"/>
      <c r="AJ281" s="150"/>
      <c r="AK281" s="150"/>
      <c r="AL281" s="150"/>
      <c r="AM281" s="150"/>
      <c r="AN281" s="466"/>
      <c r="AO281" s="466"/>
      <c r="AP281" s="150"/>
      <c r="AQ281" s="150"/>
      <c r="AR281" s="151"/>
      <c r="AS281" s="456"/>
      <c r="AT281" s="466"/>
      <c r="AU281" s="150"/>
      <c r="AV281" s="487"/>
      <c r="AW281" s="150"/>
      <c r="AX281" s="150"/>
      <c r="AY281" s="466"/>
      <c r="AZ281" s="466"/>
      <c r="BA281" s="150"/>
      <c r="BB281" s="150"/>
      <c r="BC281" s="466"/>
      <c r="BD281" s="466"/>
      <c r="BE281" s="466"/>
      <c r="BF281" s="466"/>
      <c r="BG281" s="150"/>
      <c r="BH281" s="150"/>
      <c r="BI281" s="150"/>
      <c r="BJ281" s="466"/>
      <c r="BK281" s="152"/>
      <c r="BL281" s="160"/>
      <c r="BM281" s="150"/>
      <c r="BN281" s="466"/>
      <c r="BO281" s="150"/>
      <c r="BP281" s="516"/>
      <c r="BQ281" s="160"/>
      <c r="BR281" s="152"/>
      <c r="BS281" s="160"/>
    </row>
    <row r="282" spans="1:71" x14ac:dyDescent="0.3">
      <c r="A282" s="420">
        <f>DL!A279</f>
        <v>258</v>
      </c>
      <c r="B282" s="19" t="s">
        <v>154</v>
      </c>
      <c r="C282" s="149">
        <f>DL!L279</f>
        <v>100</v>
      </c>
      <c r="D282" s="149">
        <f>DL!C279</f>
        <v>100</v>
      </c>
      <c r="E282" s="150"/>
      <c r="F282" s="463"/>
      <c r="G282" s="150"/>
      <c r="H282" s="150"/>
      <c r="I282" s="466"/>
      <c r="J282" s="150"/>
      <c r="K282" s="168"/>
      <c r="L282" s="466"/>
      <c r="M282" s="150"/>
      <c r="N282" s="466"/>
      <c r="O282" s="150"/>
      <c r="P282" s="150"/>
      <c r="Q282" s="150"/>
      <c r="R282" s="472"/>
      <c r="S282" s="466"/>
      <c r="T282" s="150"/>
      <c r="U282" s="150"/>
      <c r="V282" s="150"/>
      <c r="W282" s="168"/>
      <c r="X282" s="150"/>
      <c r="Y282" s="466"/>
      <c r="Z282" s="455"/>
      <c r="AA282" s="150"/>
      <c r="AB282" s="490"/>
      <c r="AC282" s="150"/>
      <c r="AD282" s="150"/>
      <c r="AE282" s="466"/>
      <c r="AF282" s="499"/>
      <c r="AG282" s="150"/>
      <c r="AH282" s="150"/>
      <c r="AI282" s="150"/>
      <c r="AJ282" s="150"/>
      <c r="AK282" s="150"/>
      <c r="AL282" s="150"/>
      <c r="AM282" s="150"/>
      <c r="AN282" s="466"/>
      <c r="AO282" s="466"/>
      <c r="AP282" s="150"/>
      <c r="AQ282" s="150"/>
      <c r="AR282" s="151"/>
      <c r="AS282" s="456"/>
      <c r="AT282" s="466"/>
      <c r="AU282" s="150"/>
      <c r="AV282" s="487"/>
      <c r="AW282" s="150"/>
      <c r="AX282" s="150">
        <v>1300</v>
      </c>
      <c r="AY282" s="466"/>
      <c r="AZ282" s="466"/>
      <c r="BA282" s="150"/>
      <c r="BB282" s="150"/>
      <c r="BC282" s="466"/>
      <c r="BD282" s="466">
        <v>2350</v>
      </c>
      <c r="BE282" s="466"/>
      <c r="BF282" s="466"/>
      <c r="BG282" s="150"/>
      <c r="BH282" s="150"/>
      <c r="BI282" s="150"/>
      <c r="BJ282" s="466"/>
      <c r="BK282" s="152"/>
      <c r="BL282" s="160"/>
      <c r="BM282" s="150"/>
      <c r="BN282" s="466"/>
      <c r="BO282" s="150"/>
      <c r="BP282" s="516"/>
      <c r="BQ282" s="160"/>
      <c r="BR282" s="152"/>
      <c r="BS282" s="160"/>
    </row>
    <row r="283" spans="1:71" x14ac:dyDescent="0.3">
      <c r="A283" s="420">
        <f>DL!A280</f>
        <v>259</v>
      </c>
      <c r="B283" s="19" t="s">
        <v>1309</v>
      </c>
      <c r="C283" s="149">
        <f>DL!L280</f>
        <v>20</v>
      </c>
      <c r="D283" s="149" t="str">
        <f>DL!C280</f>
        <v>TUBE</v>
      </c>
      <c r="E283" s="150"/>
      <c r="F283" s="463"/>
      <c r="G283" s="150"/>
      <c r="H283" s="150"/>
      <c r="I283" s="466"/>
      <c r="J283" s="150"/>
      <c r="K283" s="168"/>
      <c r="L283" s="466"/>
      <c r="M283" s="150"/>
      <c r="N283" s="466"/>
      <c r="O283" s="150"/>
      <c r="P283" s="150"/>
      <c r="Q283" s="150"/>
      <c r="R283" s="472"/>
      <c r="S283" s="466"/>
      <c r="T283" s="150"/>
      <c r="U283" s="150"/>
      <c r="V283" s="150"/>
      <c r="W283" s="168"/>
      <c r="X283" s="150"/>
      <c r="Y283" s="466"/>
      <c r="Z283" s="455"/>
      <c r="AA283" s="150"/>
      <c r="AB283" s="490"/>
      <c r="AC283" s="150"/>
      <c r="AD283" s="150"/>
      <c r="AE283" s="466"/>
      <c r="AF283" s="499"/>
      <c r="AG283" s="150"/>
      <c r="AH283" s="150"/>
      <c r="AI283" s="150"/>
      <c r="AJ283" s="150"/>
      <c r="AK283" s="150"/>
      <c r="AL283" s="150"/>
      <c r="AM283" s="150"/>
      <c r="AN283" s="466"/>
      <c r="AO283" s="466"/>
      <c r="AP283" s="150"/>
      <c r="AQ283" s="150"/>
      <c r="AR283" s="151"/>
      <c r="AS283" s="456"/>
      <c r="AT283" s="466">
        <v>1825</v>
      </c>
      <c r="AU283" s="150"/>
      <c r="AV283" s="487"/>
      <c r="AW283" s="150"/>
      <c r="AX283" s="150"/>
      <c r="AY283" s="466"/>
      <c r="AZ283" s="466"/>
      <c r="BA283" s="150"/>
      <c r="BB283" s="150"/>
      <c r="BC283" s="466"/>
      <c r="BD283" s="466"/>
      <c r="BE283" s="466"/>
      <c r="BF283" s="466"/>
      <c r="BG283" s="150"/>
      <c r="BH283" s="150"/>
      <c r="BI283" s="150"/>
      <c r="BJ283" s="466"/>
      <c r="BK283" s="152"/>
      <c r="BL283" s="160"/>
      <c r="BM283" s="150"/>
      <c r="BN283" s="466"/>
      <c r="BO283" s="150"/>
      <c r="BP283" s="516"/>
      <c r="BQ283" s="160"/>
      <c r="BR283" s="152"/>
      <c r="BS283" s="160"/>
    </row>
    <row r="284" spans="1:71" x14ac:dyDescent="0.3">
      <c r="A284" s="420">
        <f>DL!A281</f>
        <v>260</v>
      </c>
      <c r="B284" s="19" t="s">
        <v>700</v>
      </c>
      <c r="C284" s="149">
        <f>DL!L281</f>
        <v>500</v>
      </c>
      <c r="D284" s="149" t="str">
        <f>DL!C281</f>
        <v>20g</v>
      </c>
      <c r="E284" s="150"/>
      <c r="F284" s="463"/>
      <c r="G284" s="150"/>
      <c r="H284" s="150"/>
      <c r="I284" s="466"/>
      <c r="J284" s="150"/>
      <c r="K284" s="168"/>
      <c r="L284" s="466"/>
      <c r="M284" s="150"/>
      <c r="N284" s="466"/>
      <c r="O284" s="150"/>
      <c r="P284" s="150">
        <v>360</v>
      </c>
      <c r="Q284" s="150"/>
      <c r="R284" s="472"/>
      <c r="S284" s="466"/>
      <c r="T284" s="150"/>
      <c r="U284" s="150"/>
      <c r="V284" s="150"/>
      <c r="W284" s="168"/>
      <c r="X284" s="150"/>
      <c r="Y284" s="466"/>
      <c r="Z284" s="455"/>
      <c r="AA284" s="150"/>
      <c r="AB284" s="490"/>
      <c r="AC284" s="150"/>
      <c r="AD284" s="150"/>
      <c r="AE284" s="466"/>
      <c r="AF284" s="499"/>
      <c r="AG284" s="150"/>
      <c r="AH284" s="150"/>
      <c r="AI284" s="150"/>
      <c r="AJ284" s="150"/>
      <c r="AK284" s="150"/>
      <c r="AL284" s="150"/>
      <c r="AM284" s="150"/>
      <c r="AN284" s="466"/>
      <c r="AO284" s="466"/>
      <c r="AP284" s="150"/>
      <c r="AQ284" s="150"/>
      <c r="AR284" s="151"/>
      <c r="AS284" s="456"/>
      <c r="AT284" s="466">
        <v>1050</v>
      </c>
      <c r="AU284" s="150"/>
      <c r="AV284" s="487"/>
      <c r="AW284" s="150"/>
      <c r="AX284" s="150"/>
      <c r="AY284" s="466"/>
      <c r="AZ284" s="466"/>
      <c r="BA284" s="150"/>
      <c r="BB284" s="150"/>
      <c r="BC284" s="466"/>
      <c r="BD284" s="466"/>
      <c r="BE284" s="466"/>
      <c r="BF284" s="466"/>
      <c r="BG284" s="150"/>
      <c r="BH284" s="150"/>
      <c r="BI284" s="150"/>
      <c r="BJ284" s="466"/>
      <c r="BK284" s="152"/>
      <c r="BL284" s="160"/>
      <c r="BM284" s="150"/>
      <c r="BN284" s="466">
        <v>360</v>
      </c>
      <c r="BO284" s="150"/>
      <c r="BP284" s="516"/>
      <c r="BQ284" s="160"/>
      <c r="BR284" s="152"/>
      <c r="BS284" s="160"/>
    </row>
    <row r="285" spans="1:71" x14ac:dyDescent="0.3">
      <c r="A285" s="420">
        <f>DL!A282</f>
        <v>261</v>
      </c>
      <c r="B285" s="19" t="s">
        <v>156</v>
      </c>
      <c r="C285" s="149">
        <f>DL!L282</f>
        <v>360</v>
      </c>
      <c r="D285" s="149">
        <f>DL!C282</f>
        <v>10</v>
      </c>
      <c r="E285" s="150"/>
      <c r="F285" s="463"/>
      <c r="G285" s="150"/>
      <c r="H285" s="150"/>
      <c r="I285" s="468">
        <v>3500</v>
      </c>
      <c r="J285" s="150"/>
      <c r="K285" s="168"/>
      <c r="L285" s="466"/>
      <c r="M285" s="150"/>
      <c r="N285" s="466"/>
      <c r="O285" s="150"/>
      <c r="P285" s="150">
        <v>400</v>
      </c>
      <c r="Q285" s="150"/>
      <c r="R285" s="472"/>
      <c r="S285" s="466">
        <v>250</v>
      </c>
      <c r="T285" s="150"/>
      <c r="U285" s="150"/>
      <c r="V285" s="150"/>
      <c r="W285" s="168"/>
      <c r="X285" s="150"/>
      <c r="Y285" s="466"/>
      <c r="Z285" s="455"/>
      <c r="AA285" s="150"/>
      <c r="AB285" s="490"/>
      <c r="AC285" s="150"/>
      <c r="AD285" s="150"/>
      <c r="AE285" s="466"/>
      <c r="AF285" s="499"/>
      <c r="AG285" s="150"/>
      <c r="AH285" s="150"/>
      <c r="AI285" s="150">
        <v>400</v>
      </c>
      <c r="AJ285" s="150"/>
      <c r="AK285" s="150">
        <v>480</v>
      </c>
      <c r="AL285" s="150"/>
      <c r="AM285" s="150"/>
      <c r="AN285" s="466"/>
      <c r="AO285" s="466">
        <v>838</v>
      </c>
      <c r="AP285" s="150"/>
      <c r="AQ285" s="150"/>
      <c r="AR285" s="151">
        <v>260</v>
      </c>
      <c r="AS285" s="456"/>
      <c r="AT285" s="466"/>
      <c r="AU285" s="150"/>
      <c r="AV285" s="487"/>
      <c r="AW285" s="150"/>
      <c r="AX285" s="150">
        <v>350</v>
      </c>
      <c r="AY285" s="466"/>
      <c r="AZ285" s="466"/>
      <c r="BA285" s="150"/>
      <c r="BB285" s="150"/>
      <c r="BC285" s="466"/>
      <c r="BD285" s="466"/>
      <c r="BE285" s="466"/>
      <c r="BF285" s="466"/>
      <c r="BG285" s="150"/>
      <c r="BH285" s="150"/>
      <c r="BI285" s="150"/>
      <c r="BJ285" s="466"/>
      <c r="BK285" s="152"/>
      <c r="BL285" s="160"/>
      <c r="BM285" s="150"/>
      <c r="BN285" s="466"/>
      <c r="BO285" s="150">
        <v>3500</v>
      </c>
      <c r="BP285" s="516"/>
      <c r="BQ285" s="160"/>
      <c r="BR285" s="152"/>
      <c r="BS285" s="160"/>
    </row>
    <row r="286" spans="1:71" x14ac:dyDescent="0.3">
      <c r="A286" s="420">
        <f>DL!A283</f>
        <v>262</v>
      </c>
      <c r="B286" s="19" t="s">
        <v>157</v>
      </c>
      <c r="C286" s="149">
        <f>DL!L283</f>
        <v>1000</v>
      </c>
      <c r="D286" s="149" t="str">
        <f>DL!C283</f>
        <v>BOTT</v>
      </c>
      <c r="E286" s="150"/>
      <c r="F286" s="463"/>
      <c r="G286" s="150"/>
      <c r="H286" s="150"/>
      <c r="I286" s="468">
        <v>2974</v>
      </c>
      <c r="J286" s="150"/>
      <c r="K286" s="168"/>
      <c r="L286" s="466"/>
      <c r="M286" s="150"/>
      <c r="N286" s="466"/>
      <c r="O286" s="150"/>
      <c r="P286" s="150"/>
      <c r="Q286" s="150"/>
      <c r="R286" s="472"/>
      <c r="S286" s="466"/>
      <c r="T286" s="150"/>
      <c r="U286" s="150"/>
      <c r="V286" s="150"/>
      <c r="W286" s="168"/>
      <c r="X286" s="150"/>
      <c r="Y286" s="466">
        <v>190</v>
      </c>
      <c r="Z286" s="455"/>
      <c r="AA286" s="150"/>
      <c r="AB286" s="490"/>
      <c r="AC286" s="150"/>
      <c r="AD286" s="150"/>
      <c r="AE286" s="466"/>
      <c r="AF286" s="499"/>
      <c r="AG286" s="150"/>
      <c r="AH286" s="150"/>
      <c r="AI286" s="150"/>
      <c r="AJ286" s="150"/>
      <c r="AK286" s="150"/>
      <c r="AL286" s="150"/>
      <c r="AM286" s="150"/>
      <c r="AN286" s="466"/>
      <c r="AO286" s="466">
        <v>440</v>
      </c>
      <c r="AP286" s="150"/>
      <c r="AQ286" s="150"/>
      <c r="AR286" s="151"/>
      <c r="AS286" s="456"/>
      <c r="AT286" s="466"/>
      <c r="AU286" s="150"/>
      <c r="AV286" s="487"/>
      <c r="AW286" s="150"/>
      <c r="AX286" s="150"/>
      <c r="AY286" s="466"/>
      <c r="AZ286" s="466"/>
      <c r="BA286" s="150"/>
      <c r="BB286" s="150"/>
      <c r="BC286" s="466"/>
      <c r="BD286" s="466"/>
      <c r="BE286" s="466"/>
      <c r="BF286" s="466"/>
      <c r="BG286" s="150"/>
      <c r="BH286" s="150"/>
      <c r="BI286" s="150"/>
      <c r="BJ286" s="466"/>
      <c r="BK286" s="152"/>
      <c r="BL286" s="160"/>
      <c r="BM286" s="150">
        <v>230</v>
      </c>
      <c r="BN286" s="466"/>
      <c r="BO286" s="150">
        <v>2974</v>
      </c>
      <c r="BP286" s="516"/>
      <c r="BQ286" s="160"/>
      <c r="BR286" s="152"/>
      <c r="BS286" s="160"/>
    </row>
    <row r="287" spans="1:71" x14ac:dyDescent="0.3">
      <c r="A287" s="420">
        <f>DL!A284</f>
        <v>263</v>
      </c>
      <c r="B287" s="19" t="s">
        <v>751</v>
      </c>
      <c r="C287" s="149">
        <v>1000</v>
      </c>
      <c r="D287" s="149" t="str">
        <f>DL!C284</f>
        <v>VIAL</v>
      </c>
      <c r="E287" s="150">
        <v>4000</v>
      </c>
      <c r="F287" s="463"/>
      <c r="G287" s="150"/>
      <c r="H287" s="150"/>
      <c r="I287" s="466"/>
      <c r="J287" s="150"/>
      <c r="K287" s="168"/>
      <c r="L287" s="466"/>
      <c r="M287" s="150"/>
      <c r="N287" s="466"/>
      <c r="O287" s="150"/>
      <c r="P287" s="150"/>
      <c r="Q287" s="150"/>
      <c r="R287" s="472"/>
      <c r="S287" s="466"/>
      <c r="T287" s="150">
        <v>4000</v>
      </c>
      <c r="U287" s="150"/>
      <c r="V287" s="150">
        <v>4000</v>
      </c>
      <c r="W287" s="168"/>
      <c r="X287" s="150"/>
      <c r="Y287" s="466"/>
      <c r="Z287" s="455"/>
      <c r="AA287" s="150"/>
      <c r="AB287" s="490"/>
      <c r="AC287" s="150"/>
      <c r="AD287" s="150"/>
      <c r="AE287" s="466">
        <v>3900</v>
      </c>
      <c r="AF287" s="499"/>
      <c r="AG287" s="150"/>
      <c r="AH287" s="150"/>
      <c r="AI287" s="150"/>
      <c r="AJ287" s="150"/>
      <c r="AK287" s="150"/>
      <c r="AL287" s="150"/>
      <c r="AM287" s="150"/>
      <c r="AN287" s="466"/>
      <c r="AO287" s="466"/>
      <c r="AP287" s="150"/>
      <c r="AQ287" s="150"/>
      <c r="AR287" s="151"/>
      <c r="AS287" s="456"/>
      <c r="AT287" s="466">
        <v>11067</v>
      </c>
      <c r="AU287" s="150"/>
      <c r="AV287" s="487"/>
      <c r="AW287" s="150"/>
      <c r="AX287" s="150"/>
      <c r="AY287" s="466"/>
      <c r="AZ287" s="466"/>
      <c r="BA287" s="150">
        <v>3910</v>
      </c>
      <c r="BB287" s="150"/>
      <c r="BC287" s="466"/>
      <c r="BD287" s="466"/>
      <c r="BE287" s="466"/>
      <c r="BF287" s="466"/>
      <c r="BG287" s="150"/>
      <c r="BH287" s="150"/>
      <c r="BI287" s="150"/>
      <c r="BJ287" s="466"/>
      <c r="BK287" s="152"/>
      <c r="BL287" s="160"/>
      <c r="BM287" s="150"/>
      <c r="BN287" s="466"/>
      <c r="BO287" s="150">
        <v>11067</v>
      </c>
      <c r="BP287" s="516"/>
      <c r="BQ287" s="160"/>
      <c r="BR287" s="152"/>
      <c r="BS287" s="160"/>
    </row>
    <row r="288" spans="1:71" x14ac:dyDescent="0.3">
      <c r="A288" s="420">
        <f>DL!A285</f>
        <v>264</v>
      </c>
      <c r="B288" s="19" t="s">
        <v>158</v>
      </c>
      <c r="C288" s="149">
        <f>DL!L285</f>
        <v>300</v>
      </c>
      <c r="D288" s="149">
        <f>DL!C285</f>
        <v>100</v>
      </c>
      <c r="E288" s="150"/>
      <c r="F288" s="463"/>
      <c r="G288" s="150"/>
      <c r="H288" s="150"/>
      <c r="I288" s="466"/>
      <c r="J288" s="150"/>
      <c r="K288" s="168"/>
      <c r="L288" s="466"/>
      <c r="M288" s="150"/>
      <c r="N288" s="466"/>
      <c r="O288" s="150"/>
      <c r="P288" s="150"/>
      <c r="Q288" s="150"/>
      <c r="R288" s="473">
        <v>248.46800000000002</v>
      </c>
      <c r="S288" s="466">
        <v>200</v>
      </c>
      <c r="T288" s="150">
        <v>220</v>
      </c>
      <c r="U288" s="150"/>
      <c r="V288" s="150"/>
      <c r="W288" s="168"/>
      <c r="X288" s="150"/>
      <c r="Y288" s="466"/>
      <c r="Z288" s="455"/>
      <c r="AA288" s="150"/>
      <c r="AB288" s="490"/>
      <c r="AC288" s="150"/>
      <c r="AD288" s="150"/>
      <c r="AE288" s="466"/>
      <c r="AF288" s="499"/>
      <c r="AG288" s="150">
        <v>310</v>
      </c>
      <c r="AH288" s="150"/>
      <c r="AI288" s="150"/>
      <c r="AJ288" s="150"/>
      <c r="AK288" s="150">
        <v>320</v>
      </c>
      <c r="AL288" s="150"/>
      <c r="AM288" s="150"/>
      <c r="AN288" s="466"/>
      <c r="AO288" s="466"/>
      <c r="AP288" s="150"/>
      <c r="AQ288" s="150"/>
      <c r="AR288" s="151">
        <v>220</v>
      </c>
      <c r="AS288" s="456"/>
      <c r="AT288" s="466"/>
      <c r="AU288" s="150"/>
      <c r="AV288" s="487"/>
      <c r="AW288" s="150"/>
      <c r="AX288" s="150">
        <v>200</v>
      </c>
      <c r="AY288" s="466"/>
      <c r="AZ288" s="466"/>
      <c r="BA288" s="150"/>
      <c r="BB288" s="150"/>
      <c r="BC288" s="466"/>
      <c r="BD288" s="466">
        <v>220</v>
      </c>
      <c r="BE288" s="466"/>
      <c r="BF288" s="466">
        <v>330.31</v>
      </c>
      <c r="BG288" s="150"/>
      <c r="BH288" s="150"/>
      <c r="BI288" s="150"/>
      <c r="BJ288" s="466"/>
      <c r="BK288" s="152"/>
      <c r="BL288" s="160"/>
      <c r="BM288" s="150">
        <v>213</v>
      </c>
      <c r="BN288" s="466"/>
      <c r="BO288" s="150"/>
      <c r="BP288" s="516"/>
      <c r="BQ288" s="160"/>
      <c r="BR288" s="152"/>
      <c r="BS288" s="160"/>
    </row>
    <row r="289" spans="1:71" x14ac:dyDescent="0.3">
      <c r="A289" s="420">
        <f>DL!A286</f>
        <v>265</v>
      </c>
      <c r="B289" s="19" t="s">
        <v>159</v>
      </c>
      <c r="C289" s="149">
        <v>2000</v>
      </c>
      <c r="D289" s="149">
        <f>DL!C286</f>
        <v>100</v>
      </c>
      <c r="E289" s="150"/>
      <c r="F289" s="463"/>
      <c r="G289" s="150"/>
      <c r="H289" s="150"/>
      <c r="I289" s="466">
        <v>980</v>
      </c>
      <c r="J289" s="150"/>
      <c r="K289" s="168"/>
      <c r="L289" s="466"/>
      <c r="M289" s="150"/>
      <c r="N289" s="466"/>
      <c r="O289" s="150"/>
      <c r="P289" s="150"/>
      <c r="Q289" s="150"/>
      <c r="R289" s="473">
        <v>471.26200000000006</v>
      </c>
      <c r="S289" s="466">
        <v>420</v>
      </c>
      <c r="T289" s="150">
        <v>400</v>
      </c>
      <c r="U289" s="150"/>
      <c r="V289" s="150"/>
      <c r="W289" s="168"/>
      <c r="X289" s="150"/>
      <c r="Y289" s="466"/>
      <c r="Z289" s="455"/>
      <c r="AA289" s="150"/>
      <c r="AB289" s="490"/>
      <c r="AC289" s="150"/>
      <c r="AD289" s="150"/>
      <c r="AE289" s="466"/>
      <c r="AF289" s="499"/>
      <c r="AG289" s="150">
        <v>640</v>
      </c>
      <c r="AH289" s="150"/>
      <c r="AI289" s="150"/>
      <c r="AJ289" s="150"/>
      <c r="AK289" s="150">
        <v>550</v>
      </c>
      <c r="AL289" s="150"/>
      <c r="AM289" s="150"/>
      <c r="AN289" s="466"/>
      <c r="AO289" s="466"/>
      <c r="AP289" s="150"/>
      <c r="AQ289" s="150"/>
      <c r="AR289" s="151"/>
      <c r="AS289" s="456"/>
      <c r="AT289" s="466"/>
      <c r="AU289" s="150"/>
      <c r="AV289" s="487"/>
      <c r="AW289" s="150"/>
      <c r="AX289" s="150">
        <v>380</v>
      </c>
      <c r="AY289" s="466"/>
      <c r="AZ289" s="466"/>
      <c r="BA289" s="150"/>
      <c r="BB289" s="150"/>
      <c r="BC289" s="466"/>
      <c r="BD289" s="466"/>
      <c r="BE289" s="466"/>
      <c r="BF289" s="466">
        <v>512.32000000000005</v>
      </c>
      <c r="BG289" s="150"/>
      <c r="BH289" s="150"/>
      <c r="BI289" s="150"/>
      <c r="BJ289" s="466"/>
      <c r="BK289" s="152"/>
      <c r="BL289" s="160"/>
      <c r="BM289" s="150">
        <v>420</v>
      </c>
      <c r="BN289" s="466"/>
      <c r="BO289" s="150"/>
      <c r="BP289" s="516"/>
      <c r="BQ289" s="160"/>
      <c r="BR289" s="152"/>
      <c r="BS289" s="160"/>
    </row>
    <row r="290" spans="1:71" x14ac:dyDescent="0.3">
      <c r="A290" s="420">
        <f>DL!A287</f>
        <v>266</v>
      </c>
      <c r="B290" s="19" t="s">
        <v>160</v>
      </c>
      <c r="C290" s="149">
        <f>DL!L287</f>
        <v>44000</v>
      </c>
      <c r="D290" s="149" t="str">
        <f>DL!C287</f>
        <v>BOTT</v>
      </c>
      <c r="E290" s="150"/>
      <c r="F290" s="463"/>
      <c r="G290" s="150"/>
      <c r="H290" s="150"/>
      <c r="I290" s="466"/>
      <c r="J290" s="150"/>
      <c r="K290" s="168"/>
      <c r="L290" s="466"/>
      <c r="M290" s="150"/>
      <c r="N290" s="466">
        <v>84</v>
      </c>
      <c r="O290" s="150"/>
      <c r="P290" s="150"/>
      <c r="Q290" s="150"/>
      <c r="R290" s="472"/>
      <c r="S290" s="466"/>
      <c r="T290" s="150">
        <v>95</v>
      </c>
      <c r="U290" s="150"/>
      <c r="V290" s="150"/>
      <c r="W290" s="168"/>
      <c r="X290" s="150"/>
      <c r="Y290" s="466">
        <v>88</v>
      </c>
      <c r="Z290" s="455"/>
      <c r="AA290" s="150"/>
      <c r="AB290" s="490"/>
      <c r="AC290" s="150"/>
      <c r="AD290" s="150"/>
      <c r="AE290" s="466"/>
      <c r="AF290" s="499"/>
      <c r="AG290" s="150">
        <v>140</v>
      </c>
      <c r="AH290" s="150"/>
      <c r="AI290" s="150"/>
      <c r="AJ290" s="150"/>
      <c r="AK290" s="150"/>
      <c r="AL290" s="150"/>
      <c r="AM290" s="150"/>
      <c r="AN290" s="466"/>
      <c r="AO290" s="466"/>
      <c r="AP290" s="150"/>
      <c r="AQ290" s="150"/>
      <c r="AR290" s="151"/>
      <c r="AS290" s="456"/>
      <c r="AT290" s="466"/>
      <c r="AU290" s="150"/>
      <c r="AV290" s="487"/>
      <c r="AW290" s="150"/>
      <c r="AX290" s="150"/>
      <c r="AY290" s="466"/>
      <c r="AZ290" s="466"/>
      <c r="BA290" s="150"/>
      <c r="BB290" s="150"/>
      <c r="BC290" s="466"/>
      <c r="BD290" s="466"/>
      <c r="BE290" s="466">
        <v>140</v>
      </c>
      <c r="BF290" s="466"/>
      <c r="BG290" s="150">
        <v>100</v>
      </c>
      <c r="BH290" s="150"/>
      <c r="BI290" s="150"/>
      <c r="BJ290" s="466"/>
      <c r="BK290" s="152"/>
      <c r="BL290" s="160"/>
      <c r="BM290" s="150">
        <v>100</v>
      </c>
      <c r="BN290" s="466"/>
      <c r="BO290" s="150"/>
      <c r="BP290" s="516"/>
      <c r="BQ290" s="160"/>
      <c r="BR290" s="152"/>
      <c r="BS290" s="160"/>
    </row>
    <row r="291" spans="1:71" x14ac:dyDescent="0.3">
      <c r="A291" s="420">
        <f>DL!A288</f>
        <v>267</v>
      </c>
      <c r="B291" s="19" t="s">
        <v>161</v>
      </c>
      <c r="C291" s="149">
        <f>DL!L288</f>
        <v>300</v>
      </c>
      <c r="D291" s="149" t="str">
        <f>DL!C288</f>
        <v>BOTT</v>
      </c>
      <c r="E291" s="150"/>
      <c r="F291" s="463"/>
      <c r="G291" s="150"/>
      <c r="H291" s="150"/>
      <c r="I291" s="466">
        <v>470</v>
      </c>
      <c r="J291" s="150"/>
      <c r="K291" s="168"/>
      <c r="L291" s="466"/>
      <c r="M291" s="150"/>
      <c r="N291" s="466"/>
      <c r="O291" s="150"/>
      <c r="P291" s="150"/>
      <c r="Q291" s="150"/>
      <c r="R291" s="473">
        <v>141.15</v>
      </c>
      <c r="S291" s="466">
        <v>100</v>
      </c>
      <c r="T291" s="150">
        <v>120</v>
      </c>
      <c r="U291" s="150"/>
      <c r="V291" s="150"/>
      <c r="W291" s="168"/>
      <c r="X291" s="150"/>
      <c r="Y291" s="466"/>
      <c r="Z291" s="455"/>
      <c r="AA291" s="150"/>
      <c r="AB291" s="490"/>
      <c r="AC291" s="150"/>
      <c r="AD291" s="150"/>
      <c r="AE291" s="466">
        <v>170</v>
      </c>
      <c r="AF291" s="499"/>
      <c r="AG291" s="150">
        <v>150</v>
      </c>
      <c r="AH291" s="150"/>
      <c r="AI291" s="150"/>
      <c r="AJ291" s="150"/>
      <c r="AK291" s="150">
        <v>130</v>
      </c>
      <c r="AL291" s="150"/>
      <c r="AM291" s="150"/>
      <c r="AN291" s="466"/>
      <c r="AO291" s="466"/>
      <c r="AP291" s="150"/>
      <c r="AQ291" s="150"/>
      <c r="AR291" s="151"/>
      <c r="AS291" s="456"/>
      <c r="AT291" s="466"/>
      <c r="AU291" s="150"/>
      <c r="AV291" s="487"/>
      <c r="AW291" s="150"/>
      <c r="AX291" s="150"/>
      <c r="AY291" s="466"/>
      <c r="AZ291" s="466"/>
      <c r="BA291" s="150"/>
      <c r="BB291" s="150">
        <v>116</v>
      </c>
      <c r="BC291" s="466"/>
      <c r="BD291" s="466"/>
      <c r="BE291" s="466"/>
      <c r="BF291" s="466">
        <v>162.91</v>
      </c>
      <c r="BG291" s="150"/>
      <c r="BH291" s="150"/>
      <c r="BI291" s="150"/>
      <c r="BJ291" s="466"/>
      <c r="BK291" s="152"/>
      <c r="BL291" s="160"/>
      <c r="BM291" s="150">
        <v>105</v>
      </c>
      <c r="BN291" s="466"/>
      <c r="BO291" s="150"/>
      <c r="BP291" s="516"/>
      <c r="BQ291" s="160"/>
      <c r="BR291" s="152"/>
      <c r="BS291" s="160"/>
    </row>
    <row r="292" spans="1:71" x14ac:dyDescent="0.3">
      <c r="A292" s="420">
        <f>DL!A289</f>
        <v>268</v>
      </c>
      <c r="B292" s="19" t="s">
        <v>162</v>
      </c>
      <c r="C292" s="149">
        <f>DL!L289</f>
        <v>20</v>
      </c>
      <c r="D292" s="149" t="str">
        <f>DL!C289</f>
        <v>TUBE</v>
      </c>
      <c r="E292" s="150"/>
      <c r="F292" s="463"/>
      <c r="G292" s="150"/>
      <c r="H292" s="150"/>
      <c r="I292" s="466"/>
      <c r="J292" s="150"/>
      <c r="K292" s="168"/>
      <c r="L292" s="466"/>
      <c r="M292" s="150"/>
      <c r="N292" s="466"/>
      <c r="O292" s="150"/>
      <c r="P292" s="150"/>
      <c r="Q292" s="150"/>
      <c r="R292" s="472"/>
      <c r="S292" s="466"/>
      <c r="T292" s="150"/>
      <c r="U292" s="150"/>
      <c r="V292" s="150"/>
      <c r="W292" s="168"/>
      <c r="X292" s="150"/>
      <c r="Y292" s="466"/>
      <c r="Z292" s="455"/>
      <c r="AA292" s="150"/>
      <c r="AB292" s="490"/>
      <c r="AC292" s="150"/>
      <c r="AD292" s="150"/>
      <c r="AE292" s="466"/>
      <c r="AF292" s="499"/>
      <c r="AG292" s="150"/>
      <c r="AH292" s="150"/>
      <c r="AI292" s="150"/>
      <c r="AJ292" s="150"/>
      <c r="AK292" s="150"/>
      <c r="AL292" s="150"/>
      <c r="AM292" s="150"/>
      <c r="AN292" s="466"/>
      <c r="AO292" s="466"/>
      <c r="AP292" s="150"/>
      <c r="AQ292" s="150"/>
      <c r="AR292" s="151"/>
      <c r="AS292" s="456"/>
      <c r="AT292" s="466"/>
      <c r="AU292" s="150"/>
      <c r="AV292" s="487"/>
      <c r="AW292" s="150"/>
      <c r="AX292" s="150"/>
      <c r="AY292" s="466"/>
      <c r="AZ292" s="466"/>
      <c r="BA292" s="150"/>
      <c r="BB292" s="150"/>
      <c r="BC292" s="466"/>
      <c r="BD292" s="466"/>
      <c r="BE292" s="466"/>
      <c r="BF292" s="466"/>
      <c r="BG292" s="150"/>
      <c r="BH292" s="150"/>
      <c r="BI292" s="150"/>
      <c r="BJ292" s="466"/>
      <c r="BK292" s="152"/>
      <c r="BL292" s="160"/>
      <c r="BM292" s="150"/>
      <c r="BN292" s="466"/>
      <c r="BO292" s="150"/>
      <c r="BP292" s="516"/>
      <c r="BQ292" s="160"/>
      <c r="BR292" s="152"/>
      <c r="BS292" s="160"/>
    </row>
    <row r="293" spans="1:71" x14ac:dyDescent="0.3">
      <c r="A293" s="420">
        <f>DL!A290</f>
        <v>269</v>
      </c>
      <c r="B293" s="19" t="s">
        <v>1310</v>
      </c>
      <c r="C293" s="149">
        <f>DL!L290</f>
        <v>30</v>
      </c>
      <c r="D293" s="149">
        <f>DL!C290</f>
        <v>10</v>
      </c>
      <c r="E293" s="150"/>
      <c r="F293" s="463"/>
      <c r="G293" s="150"/>
      <c r="H293" s="150"/>
      <c r="I293" s="466"/>
      <c r="J293" s="150"/>
      <c r="K293" s="168"/>
      <c r="L293" s="466"/>
      <c r="M293" s="150"/>
      <c r="N293" s="466"/>
      <c r="O293" s="150"/>
      <c r="P293" s="150"/>
      <c r="Q293" s="150"/>
      <c r="R293" s="472"/>
      <c r="S293" s="466">
        <v>1700</v>
      </c>
      <c r="T293" s="150"/>
      <c r="U293" s="150"/>
      <c r="V293" s="150"/>
      <c r="W293" s="168"/>
      <c r="X293" s="150"/>
      <c r="Y293" s="466"/>
      <c r="Z293" s="455"/>
      <c r="AA293" s="150"/>
      <c r="AB293" s="490"/>
      <c r="AC293" s="150"/>
      <c r="AD293" s="150"/>
      <c r="AE293" s="466"/>
      <c r="AF293" s="499"/>
      <c r="AG293" s="150"/>
      <c r="AH293" s="150"/>
      <c r="AI293" s="150"/>
      <c r="AJ293" s="150"/>
      <c r="AK293" s="150"/>
      <c r="AL293" s="150"/>
      <c r="AM293" s="150"/>
      <c r="AN293" s="466"/>
      <c r="AO293" s="466">
        <v>1550</v>
      </c>
      <c r="AP293" s="150"/>
      <c r="AQ293" s="150"/>
      <c r="AR293" s="151"/>
      <c r="AS293" s="456"/>
      <c r="AT293" s="466"/>
      <c r="AU293" s="150"/>
      <c r="AV293" s="487"/>
      <c r="AW293" s="150"/>
      <c r="AX293" s="150"/>
      <c r="AY293" s="466"/>
      <c r="AZ293" s="466">
        <v>2200</v>
      </c>
      <c r="BA293" s="150"/>
      <c r="BB293" s="150"/>
      <c r="BC293" s="466"/>
      <c r="BD293" s="466"/>
      <c r="BE293" s="466"/>
      <c r="BF293" s="466"/>
      <c r="BG293" s="150"/>
      <c r="BH293" s="150"/>
      <c r="BI293" s="150"/>
      <c r="BJ293" s="466"/>
      <c r="BK293" s="152"/>
      <c r="BL293" s="160"/>
      <c r="BM293" s="150"/>
      <c r="BN293" s="466"/>
      <c r="BO293" s="150"/>
      <c r="BP293" s="516"/>
      <c r="BQ293" s="160"/>
      <c r="BR293" s="152"/>
      <c r="BS293" s="160"/>
    </row>
    <row r="294" spans="1:71" x14ac:dyDescent="0.3">
      <c r="A294" s="420">
        <f>DL!A291</f>
        <v>270</v>
      </c>
      <c r="B294" s="19" t="s">
        <v>719</v>
      </c>
      <c r="C294" s="149">
        <f>DL!L291</f>
        <v>20</v>
      </c>
      <c r="D294" s="149">
        <f>DL!C291</f>
        <v>100</v>
      </c>
      <c r="E294" s="150"/>
      <c r="F294" s="463"/>
      <c r="G294" s="150"/>
      <c r="H294" s="150"/>
      <c r="I294" s="466"/>
      <c r="J294" s="150"/>
      <c r="K294" s="168"/>
      <c r="L294" s="466"/>
      <c r="M294" s="150"/>
      <c r="N294" s="466"/>
      <c r="O294" s="150"/>
      <c r="P294" s="150"/>
      <c r="Q294" s="150"/>
      <c r="R294" s="472"/>
      <c r="S294" s="466">
        <v>3300</v>
      </c>
      <c r="T294" s="150"/>
      <c r="U294" s="150"/>
      <c r="V294" s="150"/>
      <c r="W294" s="168"/>
      <c r="X294" s="150"/>
      <c r="Y294" s="466"/>
      <c r="Z294" s="455"/>
      <c r="AA294" s="150"/>
      <c r="AB294" s="490"/>
      <c r="AC294" s="150"/>
      <c r="AD294" s="150"/>
      <c r="AE294" s="466"/>
      <c r="AF294" s="499"/>
      <c r="AG294" s="150"/>
      <c r="AH294" s="150"/>
      <c r="AI294" s="150"/>
      <c r="AJ294" s="150"/>
      <c r="AK294" s="150"/>
      <c r="AL294" s="150"/>
      <c r="AM294" s="150"/>
      <c r="AN294" s="466"/>
      <c r="AO294" s="466"/>
      <c r="AP294" s="150"/>
      <c r="AQ294" s="150"/>
      <c r="AR294" s="151"/>
      <c r="AS294" s="456"/>
      <c r="AT294" s="466"/>
      <c r="AU294" s="150"/>
      <c r="AV294" s="487"/>
      <c r="AW294" s="150"/>
      <c r="AX294" s="150"/>
      <c r="AY294" s="466"/>
      <c r="AZ294" s="466"/>
      <c r="BA294" s="150"/>
      <c r="BB294" s="150"/>
      <c r="BC294" s="466"/>
      <c r="BD294" s="466"/>
      <c r="BE294" s="466"/>
      <c r="BF294" s="466"/>
      <c r="BG294" s="150"/>
      <c r="BH294" s="150"/>
      <c r="BI294" s="150"/>
      <c r="BJ294" s="466"/>
      <c r="BK294" s="152"/>
      <c r="BL294" s="160"/>
      <c r="BM294" s="150"/>
      <c r="BN294" s="466"/>
      <c r="BO294" s="150"/>
      <c r="BP294" s="516"/>
      <c r="BQ294" s="160"/>
      <c r="BR294" s="152"/>
      <c r="BS294" s="160"/>
    </row>
    <row r="295" spans="1:71" x14ac:dyDescent="0.3">
      <c r="A295" s="420">
        <f>DL!A292</f>
        <v>271</v>
      </c>
      <c r="B295" s="19" t="s">
        <v>750</v>
      </c>
      <c r="C295" s="149">
        <f>DL!L292</f>
        <v>4</v>
      </c>
      <c r="D295" s="149">
        <f>DL!C292</f>
        <v>1000</v>
      </c>
      <c r="E295" s="150"/>
      <c r="F295" s="463"/>
      <c r="G295" s="150"/>
      <c r="H295" s="150"/>
      <c r="I295" s="466"/>
      <c r="J295" s="150"/>
      <c r="K295" s="168"/>
      <c r="L295" s="466"/>
      <c r="M295" s="150"/>
      <c r="N295" s="466"/>
      <c r="O295" s="150"/>
      <c r="P295" s="150"/>
      <c r="Q295" s="150"/>
      <c r="R295" s="472"/>
      <c r="S295" s="466">
        <v>3200</v>
      </c>
      <c r="T295" s="150"/>
      <c r="U295" s="150"/>
      <c r="V295" s="150"/>
      <c r="W295" s="168"/>
      <c r="X295" s="150"/>
      <c r="Y295" s="466"/>
      <c r="Z295" s="455"/>
      <c r="AA295" s="150"/>
      <c r="AB295" s="490"/>
      <c r="AC295" s="150"/>
      <c r="AD295" s="150"/>
      <c r="AE295" s="466"/>
      <c r="AF295" s="499"/>
      <c r="AG295" s="150"/>
      <c r="AH295" s="150"/>
      <c r="AI295" s="150"/>
      <c r="AJ295" s="150"/>
      <c r="AK295" s="150"/>
      <c r="AL295" s="150"/>
      <c r="AM295" s="150"/>
      <c r="AN295" s="466"/>
      <c r="AO295" s="466"/>
      <c r="AP295" s="150"/>
      <c r="AQ295" s="150"/>
      <c r="AR295" s="151"/>
      <c r="AS295" s="456"/>
      <c r="AT295" s="466"/>
      <c r="AU295" s="150"/>
      <c r="AV295" s="487"/>
      <c r="AW295" s="150"/>
      <c r="AX295" s="150"/>
      <c r="AY295" s="466"/>
      <c r="AZ295" s="466"/>
      <c r="BA295" s="150"/>
      <c r="BB295" s="150"/>
      <c r="BC295" s="466"/>
      <c r="BD295" s="466"/>
      <c r="BE295" s="466"/>
      <c r="BF295" s="466"/>
      <c r="BG295" s="150"/>
      <c r="BH295" s="150"/>
      <c r="BI295" s="150"/>
      <c r="BJ295" s="466"/>
      <c r="BK295" s="152"/>
      <c r="BL295" s="160"/>
      <c r="BM295" s="150"/>
      <c r="BN295" s="466"/>
      <c r="BO295" s="150"/>
      <c r="BP295" s="516"/>
      <c r="BQ295" s="160"/>
      <c r="BR295" s="152"/>
      <c r="BS295" s="160"/>
    </row>
    <row r="296" spans="1:71" x14ac:dyDescent="0.3">
      <c r="A296" s="420">
        <f>DL!A293</f>
        <v>272</v>
      </c>
      <c r="B296" s="19" t="s">
        <v>732</v>
      </c>
      <c r="C296" s="149">
        <f>DL!L293</f>
        <v>100</v>
      </c>
      <c r="D296" s="149" t="str">
        <f>DL!C293</f>
        <v>BOTT</v>
      </c>
      <c r="E296" s="150">
        <v>300</v>
      </c>
      <c r="F296" s="463"/>
      <c r="G296" s="150"/>
      <c r="H296" s="150"/>
      <c r="I296" s="466"/>
      <c r="J296" s="150"/>
      <c r="K296" s="168"/>
      <c r="L296" s="466"/>
      <c r="M296" s="150"/>
      <c r="N296" s="466"/>
      <c r="O296" s="150"/>
      <c r="P296" s="150"/>
      <c r="Q296" s="150"/>
      <c r="R296" s="472"/>
      <c r="S296" s="466"/>
      <c r="T296" s="150"/>
      <c r="U296" s="150"/>
      <c r="V296" s="150"/>
      <c r="W296" s="168"/>
      <c r="X296" s="150"/>
      <c r="Y296" s="466"/>
      <c r="Z296" s="455"/>
      <c r="AA296" s="150"/>
      <c r="AB296" s="490"/>
      <c r="AC296" s="150"/>
      <c r="AD296" s="150"/>
      <c r="AE296" s="466"/>
      <c r="AF296" s="499"/>
      <c r="AG296" s="150"/>
      <c r="AH296" s="150"/>
      <c r="AI296" s="150"/>
      <c r="AJ296" s="150"/>
      <c r="AK296" s="150"/>
      <c r="AL296" s="150"/>
      <c r="AM296" s="150"/>
      <c r="AN296" s="466"/>
      <c r="AO296" s="466"/>
      <c r="AP296" s="150"/>
      <c r="AQ296" s="150"/>
      <c r="AR296" s="151"/>
      <c r="AS296" s="456"/>
      <c r="AT296" s="466"/>
      <c r="AU296" s="150"/>
      <c r="AV296" s="487"/>
      <c r="AW296" s="150"/>
      <c r="AX296" s="150"/>
      <c r="AY296" s="466"/>
      <c r="AZ296" s="466"/>
      <c r="BA296" s="150"/>
      <c r="BB296" s="150"/>
      <c r="BC296" s="466"/>
      <c r="BD296" s="466"/>
      <c r="BE296" s="466"/>
      <c r="BF296" s="466"/>
      <c r="BG296" s="150"/>
      <c r="BH296" s="150"/>
      <c r="BI296" s="150"/>
      <c r="BJ296" s="466"/>
      <c r="BK296" s="152"/>
      <c r="BL296" s="160"/>
      <c r="BM296" s="150"/>
      <c r="BN296" s="466"/>
      <c r="BO296" s="150"/>
      <c r="BP296" s="516"/>
      <c r="BQ296" s="160"/>
      <c r="BR296" s="152"/>
      <c r="BS296" s="160"/>
    </row>
    <row r="297" spans="1:71" x14ac:dyDescent="0.3">
      <c r="A297" s="420">
        <f>DL!A294</f>
        <v>273</v>
      </c>
      <c r="B297" s="19" t="s">
        <v>733</v>
      </c>
      <c r="C297" s="149">
        <f>DL!L294</f>
        <v>10</v>
      </c>
      <c r="D297" s="149">
        <f>DL!C294</f>
        <v>100</v>
      </c>
      <c r="E297" s="150"/>
      <c r="F297" s="463"/>
      <c r="G297" s="150"/>
      <c r="H297" s="150"/>
      <c r="I297" s="466"/>
      <c r="J297" s="150"/>
      <c r="K297" s="168"/>
      <c r="L297" s="466"/>
      <c r="M297" s="150"/>
      <c r="N297" s="466"/>
      <c r="O297" s="150"/>
      <c r="P297" s="150"/>
      <c r="Q297" s="150"/>
      <c r="R297" s="472"/>
      <c r="S297" s="466"/>
      <c r="T297" s="150"/>
      <c r="U297" s="150"/>
      <c r="V297" s="150"/>
      <c r="W297" s="168"/>
      <c r="X297" s="150"/>
      <c r="Y297" s="466"/>
      <c r="Z297" s="455"/>
      <c r="AA297" s="150"/>
      <c r="AB297" s="490"/>
      <c r="AC297" s="150"/>
      <c r="AD297" s="150"/>
      <c r="AE297" s="466"/>
      <c r="AF297" s="499"/>
      <c r="AG297" s="150"/>
      <c r="AH297" s="150"/>
      <c r="AI297" s="150"/>
      <c r="AJ297" s="150"/>
      <c r="AK297" s="150"/>
      <c r="AL297" s="150"/>
      <c r="AM297" s="150"/>
      <c r="AN297" s="466"/>
      <c r="AO297" s="466"/>
      <c r="AP297" s="150"/>
      <c r="AQ297" s="150"/>
      <c r="AR297" s="151"/>
      <c r="AS297" s="456"/>
      <c r="AT297" s="466"/>
      <c r="AU297" s="150"/>
      <c r="AV297" s="487"/>
      <c r="AW297" s="150"/>
      <c r="AX297" s="150"/>
      <c r="AY297" s="466"/>
      <c r="AZ297" s="466"/>
      <c r="BA297" s="150"/>
      <c r="BB297" s="150"/>
      <c r="BC297" s="466"/>
      <c r="BD297" s="466"/>
      <c r="BE297" s="466"/>
      <c r="BF297" s="466"/>
      <c r="BG297" s="150"/>
      <c r="BH297" s="150"/>
      <c r="BI297" s="150"/>
      <c r="BJ297" s="466"/>
      <c r="BK297" s="152"/>
      <c r="BL297" s="160"/>
      <c r="BM297" s="150"/>
      <c r="BN297" s="466"/>
      <c r="BO297" s="150"/>
      <c r="BP297" s="516"/>
      <c r="BQ297" s="160"/>
      <c r="BR297" s="152"/>
      <c r="BS297" s="160"/>
    </row>
    <row r="298" spans="1:71" x14ac:dyDescent="0.3">
      <c r="A298" s="420">
        <f>DL!A295</f>
        <v>274</v>
      </c>
      <c r="B298" s="19" t="s">
        <v>163</v>
      </c>
      <c r="C298" s="149">
        <f>DL!L295</f>
        <v>1600</v>
      </c>
      <c r="D298" s="149">
        <f>DL!C295</f>
        <v>10</v>
      </c>
      <c r="E298" s="150"/>
      <c r="F298" s="463"/>
      <c r="G298" s="150"/>
      <c r="H298" s="150"/>
      <c r="I298" s="468">
        <v>1400</v>
      </c>
      <c r="J298" s="150"/>
      <c r="K298" s="168"/>
      <c r="L298" s="466"/>
      <c r="M298" s="150"/>
      <c r="N298" s="466"/>
      <c r="O298" s="150"/>
      <c r="P298" s="150"/>
      <c r="Q298" s="150"/>
      <c r="R298" s="472"/>
      <c r="S298" s="466">
        <v>200</v>
      </c>
      <c r="T298" s="150"/>
      <c r="U298" s="150"/>
      <c r="V298" s="150"/>
      <c r="W298" s="168"/>
      <c r="X298" s="150"/>
      <c r="Y298" s="466"/>
      <c r="Z298" s="455"/>
      <c r="AA298" s="150"/>
      <c r="AB298" s="490"/>
      <c r="AC298" s="150"/>
      <c r="AD298" s="150"/>
      <c r="AE298" s="466"/>
      <c r="AF298" s="499"/>
      <c r="AG298" s="150"/>
      <c r="AH298" s="150"/>
      <c r="AI298" s="150"/>
      <c r="AJ298" s="150"/>
      <c r="AK298" s="150">
        <v>402.93</v>
      </c>
      <c r="AL298" s="150"/>
      <c r="AM298" s="150"/>
      <c r="AN298" s="466"/>
      <c r="AO298" s="466"/>
      <c r="AP298" s="150"/>
      <c r="AQ298" s="150"/>
      <c r="AR298" s="151"/>
      <c r="AS298" s="456"/>
      <c r="AT298" s="466"/>
      <c r="AU298" s="150"/>
      <c r="AV298" s="487"/>
      <c r="AW298" s="150"/>
      <c r="AX298" s="150"/>
      <c r="AY298" s="466"/>
      <c r="AZ298" s="466"/>
      <c r="BA298" s="150"/>
      <c r="BB298" s="150"/>
      <c r="BC298" s="466"/>
      <c r="BD298" s="466"/>
      <c r="BE298" s="466">
        <v>280</v>
      </c>
      <c r="BF298" s="466"/>
      <c r="BG298" s="150">
        <v>180</v>
      </c>
      <c r="BH298" s="150"/>
      <c r="BI298" s="150"/>
      <c r="BJ298" s="466"/>
      <c r="BK298" s="152"/>
      <c r="BL298" s="160"/>
      <c r="BM298" s="150"/>
      <c r="BN298" s="466"/>
      <c r="BO298" s="150"/>
      <c r="BP298" s="516"/>
      <c r="BQ298" s="160"/>
      <c r="BR298" s="152"/>
      <c r="BS298" s="160"/>
    </row>
    <row r="299" spans="1:71" x14ac:dyDescent="0.3">
      <c r="A299" s="420">
        <f>DL!A296</f>
        <v>275</v>
      </c>
      <c r="B299" s="19" t="s">
        <v>164</v>
      </c>
      <c r="C299" s="149">
        <f>DL!L296</f>
        <v>100</v>
      </c>
      <c r="D299" s="149" t="str">
        <f>DL!C296</f>
        <v>BOTT</v>
      </c>
      <c r="E299" s="150"/>
      <c r="F299" s="463"/>
      <c r="G299" s="150"/>
      <c r="H299" s="150"/>
      <c r="I299" s="466"/>
      <c r="J299" s="150"/>
      <c r="K299" s="168"/>
      <c r="L299" s="466"/>
      <c r="M299" s="150"/>
      <c r="N299" s="466"/>
      <c r="O299" s="150"/>
      <c r="P299" s="150"/>
      <c r="Q299" s="150"/>
      <c r="R299" s="472"/>
      <c r="S299" s="466"/>
      <c r="T299" s="150"/>
      <c r="U299" s="150"/>
      <c r="V299" s="150"/>
      <c r="W299" s="168"/>
      <c r="X299" s="150"/>
      <c r="Y299" s="466"/>
      <c r="Z299" s="455"/>
      <c r="AA299" s="150"/>
      <c r="AB299" s="490"/>
      <c r="AC299" s="150"/>
      <c r="AD299" s="150"/>
      <c r="AE299" s="466"/>
      <c r="AF299" s="499"/>
      <c r="AG299" s="150"/>
      <c r="AH299" s="150"/>
      <c r="AI299" s="150"/>
      <c r="AJ299" s="150"/>
      <c r="AK299" s="150"/>
      <c r="AL299" s="150"/>
      <c r="AM299" s="150"/>
      <c r="AN299" s="466"/>
      <c r="AO299" s="466"/>
      <c r="AP299" s="150"/>
      <c r="AQ299" s="150"/>
      <c r="AR299" s="151"/>
      <c r="AS299" s="456"/>
      <c r="AT299" s="466"/>
      <c r="AU299" s="150"/>
      <c r="AV299" s="487"/>
      <c r="AW299" s="150"/>
      <c r="AX299" s="150"/>
      <c r="AY299" s="466"/>
      <c r="AZ299" s="466"/>
      <c r="BA299" s="150"/>
      <c r="BB299" s="150"/>
      <c r="BC299" s="466"/>
      <c r="BD299" s="466"/>
      <c r="BE299" s="466"/>
      <c r="BF299" s="466"/>
      <c r="BG299" s="150"/>
      <c r="BH299" s="150"/>
      <c r="BI299" s="150"/>
      <c r="BJ299" s="466"/>
      <c r="BK299" s="152"/>
      <c r="BL299" s="160"/>
      <c r="BM299" s="150"/>
      <c r="BN299" s="466"/>
      <c r="BO299" s="150"/>
      <c r="BP299" s="516"/>
      <c r="BQ299" s="160"/>
      <c r="BR299" s="152"/>
      <c r="BS299" s="160"/>
    </row>
    <row r="300" spans="1:71" x14ac:dyDescent="0.3">
      <c r="A300" s="420">
        <f>DL!A297</f>
        <v>276</v>
      </c>
      <c r="B300" s="19" t="s">
        <v>165</v>
      </c>
      <c r="C300" s="149">
        <f>DL!L297</f>
        <v>13</v>
      </c>
      <c r="D300" s="149">
        <f>DL!C297</f>
        <v>1000</v>
      </c>
      <c r="E300" s="150"/>
      <c r="F300" s="463"/>
      <c r="G300" s="150"/>
      <c r="H300" s="150"/>
      <c r="I300" s="466"/>
      <c r="J300" s="150"/>
      <c r="K300" s="168"/>
      <c r="L300" s="466"/>
      <c r="M300" s="150"/>
      <c r="N300" s="466"/>
      <c r="O300" s="150"/>
      <c r="P300" s="150"/>
      <c r="Q300" s="150"/>
      <c r="R300" s="472"/>
      <c r="S300" s="466">
        <v>12000</v>
      </c>
      <c r="T300" s="150"/>
      <c r="U300" s="150"/>
      <c r="V300" s="150"/>
      <c r="W300" s="168"/>
      <c r="X300" s="150"/>
      <c r="Y300" s="466"/>
      <c r="Z300" s="455"/>
      <c r="AA300" s="150"/>
      <c r="AB300" s="490"/>
      <c r="AC300" s="150"/>
      <c r="AD300" s="150"/>
      <c r="AE300" s="466"/>
      <c r="AF300" s="499"/>
      <c r="AG300" s="150"/>
      <c r="AH300" s="150"/>
      <c r="AI300" s="150"/>
      <c r="AJ300" s="150"/>
      <c r="AK300" s="150"/>
      <c r="AL300" s="150"/>
      <c r="AM300" s="150"/>
      <c r="AN300" s="466"/>
      <c r="AO300" s="466"/>
      <c r="AP300" s="150"/>
      <c r="AQ300" s="150"/>
      <c r="AR300" s="151"/>
      <c r="AS300" s="456"/>
      <c r="AT300" s="466"/>
      <c r="AU300" s="150"/>
      <c r="AV300" s="487"/>
      <c r="AW300" s="150"/>
      <c r="AX300" s="150"/>
      <c r="AY300" s="466"/>
      <c r="AZ300" s="466"/>
      <c r="BA300" s="150"/>
      <c r="BB300" s="150"/>
      <c r="BC300" s="466"/>
      <c r="BD300" s="466"/>
      <c r="BE300" s="466"/>
      <c r="BF300" s="466"/>
      <c r="BG300" s="150"/>
      <c r="BH300" s="150"/>
      <c r="BI300" s="150"/>
      <c r="BJ300" s="466"/>
      <c r="BK300" s="152"/>
      <c r="BL300" s="160"/>
      <c r="BM300" s="150"/>
      <c r="BN300" s="466"/>
      <c r="BO300" s="150"/>
      <c r="BP300" s="516"/>
      <c r="BQ300" s="160"/>
      <c r="BR300" s="152"/>
      <c r="BS300" s="160"/>
    </row>
    <row r="301" spans="1:71" x14ac:dyDescent="0.3">
      <c r="A301" s="420">
        <f>DL!A298</f>
        <v>277</v>
      </c>
      <c r="B301" s="19" t="s">
        <v>451</v>
      </c>
      <c r="C301" s="149">
        <f>DL!L298</f>
        <v>50</v>
      </c>
      <c r="D301" s="149">
        <f>DL!C298</f>
        <v>100</v>
      </c>
      <c r="E301" s="150"/>
      <c r="F301" s="463"/>
      <c r="G301" s="150"/>
      <c r="H301" s="150"/>
      <c r="I301" s="466"/>
      <c r="J301" s="150"/>
      <c r="K301" s="168"/>
      <c r="L301" s="466"/>
      <c r="M301" s="150"/>
      <c r="N301" s="466"/>
      <c r="O301" s="150"/>
      <c r="P301" s="150"/>
      <c r="Q301" s="150"/>
      <c r="R301" s="472"/>
      <c r="S301" s="466"/>
      <c r="T301" s="150"/>
      <c r="U301" s="150"/>
      <c r="V301" s="150"/>
      <c r="W301" s="168"/>
      <c r="X301" s="150"/>
      <c r="Y301" s="466"/>
      <c r="Z301" s="455"/>
      <c r="AA301" s="150"/>
      <c r="AB301" s="490"/>
      <c r="AC301" s="150"/>
      <c r="AD301" s="150"/>
      <c r="AE301" s="466"/>
      <c r="AF301" s="499"/>
      <c r="AG301" s="150"/>
      <c r="AH301" s="150"/>
      <c r="AI301" s="150"/>
      <c r="AJ301" s="150"/>
      <c r="AK301" s="150"/>
      <c r="AL301" s="150"/>
      <c r="AM301" s="150"/>
      <c r="AN301" s="466"/>
      <c r="AO301" s="466"/>
      <c r="AP301" s="150"/>
      <c r="AQ301" s="150"/>
      <c r="AR301" s="151"/>
      <c r="AS301" s="456"/>
      <c r="AT301" s="466"/>
      <c r="AU301" s="150"/>
      <c r="AV301" s="487"/>
      <c r="AW301" s="150"/>
      <c r="AX301" s="150"/>
      <c r="AY301" s="466"/>
      <c r="AZ301" s="466"/>
      <c r="BA301" s="150"/>
      <c r="BB301" s="150"/>
      <c r="BC301" s="466"/>
      <c r="BD301" s="466"/>
      <c r="BE301" s="466"/>
      <c r="BF301" s="466"/>
      <c r="BG301" s="150"/>
      <c r="BH301" s="150"/>
      <c r="BI301" s="150"/>
      <c r="BJ301" s="466"/>
      <c r="BK301" s="152"/>
      <c r="BL301" s="160"/>
      <c r="BM301" s="150"/>
      <c r="BN301" s="466"/>
      <c r="BO301" s="150"/>
      <c r="BP301" s="516"/>
      <c r="BQ301" s="160"/>
      <c r="BR301" s="152"/>
      <c r="BS301" s="160"/>
    </row>
    <row r="302" spans="1:71" x14ac:dyDescent="0.3">
      <c r="A302" s="420">
        <f>DL!A299</f>
        <v>278</v>
      </c>
      <c r="B302" s="19" t="s">
        <v>679</v>
      </c>
      <c r="C302" s="149">
        <f>DL!L299</f>
        <v>100</v>
      </c>
      <c r="D302" s="149">
        <f>DL!C299</f>
        <v>100</v>
      </c>
      <c r="E302" s="150"/>
      <c r="F302" s="463"/>
      <c r="G302" s="150"/>
      <c r="H302" s="150"/>
      <c r="I302" s="466"/>
      <c r="J302" s="150"/>
      <c r="K302" s="168"/>
      <c r="L302" s="466"/>
      <c r="M302" s="150"/>
      <c r="N302" s="466"/>
      <c r="O302" s="150"/>
      <c r="P302" s="150"/>
      <c r="Q302" s="150"/>
      <c r="R302" s="472"/>
      <c r="S302" s="466">
        <v>3500</v>
      </c>
      <c r="T302" s="150"/>
      <c r="U302" s="150"/>
      <c r="V302" s="150"/>
      <c r="W302" s="168"/>
      <c r="X302" s="150"/>
      <c r="Y302" s="466"/>
      <c r="Z302" s="455"/>
      <c r="AA302" s="150"/>
      <c r="AB302" s="490"/>
      <c r="AC302" s="150"/>
      <c r="AD302" s="150"/>
      <c r="AE302" s="466"/>
      <c r="AF302" s="499"/>
      <c r="AG302" s="150"/>
      <c r="AH302" s="150"/>
      <c r="AI302" s="150"/>
      <c r="AJ302" s="150"/>
      <c r="AK302" s="150"/>
      <c r="AL302" s="150"/>
      <c r="AM302" s="150"/>
      <c r="AN302" s="466"/>
      <c r="AO302" s="466"/>
      <c r="AP302" s="150"/>
      <c r="AQ302" s="150"/>
      <c r="AR302" s="151"/>
      <c r="AS302" s="456"/>
      <c r="AT302" s="466"/>
      <c r="AU302" s="150"/>
      <c r="AV302" s="487"/>
      <c r="AW302" s="150"/>
      <c r="AX302" s="150"/>
      <c r="AY302" s="466"/>
      <c r="AZ302" s="466"/>
      <c r="BA302" s="150"/>
      <c r="BB302" s="150"/>
      <c r="BC302" s="466"/>
      <c r="BD302" s="466"/>
      <c r="BE302" s="466"/>
      <c r="BF302" s="466"/>
      <c r="BG302" s="150"/>
      <c r="BH302" s="150"/>
      <c r="BI302" s="150"/>
      <c r="BJ302" s="466"/>
      <c r="BK302" s="152"/>
      <c r="BL302" s="160"/>
      <c r="BM302" s="150"/>
      <c r="BN302" s="466"/>
      <c r="BO302" s="150"/>
      <c r="BP302" s="516"/>
      <c r="BQ302" s="160"/>
      <c r="BR302" s="152"/>
      <c r="BS302" s="160"/>
    </row>
    <row r="303" spans="1:71" x14ac:dyDescent="0.3">
      <c r="A303" s="420">
        <f>DL!A300</f>
        <v>279</v>
      </c>
      <c r="B303" s="19" t="s">
        <v>452</v>
      </c>
      <c r="C303" s="149">
        <f>DL!L300</f>
        <v>100</v>
      </c>
      <c r="D303" s="149">
        <f>DL!C300</f>
        <v>100</v>
      </c>
      <c r="E303" s="150"/>
      <c r="F303" s="463"/>
      <c r="G303" s="150"/>
      <c r="H303" s="150"/>
      <c r="I303" s="466"/>
      <c r="J303" s="150"/>
      <c r="K303" s="168"/>
      <c r="L303" s="466"/>
      <c r="M303" s="150"/>
      <c r="N303" s="466"/>
      <c r="O303" s="150"/>
      <c r="P303" s="150"/>
      <c r="Q303" s="150"/>
      <c r="R303" s="472"/>
      <c r="S303" s="466"/>
      <c r="T303" s="150"/>
      <c r="U303" s="150"/>
      <c r="V303" s="150"/>
      <c r="W303" s="168"/>
      <c r="X303" s="150"/>
      <c r="Y303" s="466"/>
      <c r="Z303" s="455"/>
      <c r="AA303" s="150"/>
      <c r="AB303" s="490"/>
      <c r="AC303" s="150"/>
      <c r="AD303" s="150"/>
      <c r="AE303" s="466"/>
      <c r="AF303" s="499"/>
      <c r="AG303" s="150"/>
      <c r="AH303" s="150"/>
      <c r="AI303" s="150"/>
      <c r="AJ303" s="150"/>
      <c r="AK303" s="150"/>
      <c r="AL303" s="150"/>
      <c r="AM303" s="150"/>
      <c r="AN303" s="466"/>
      <c r="AO303" s="466"/>
      <c r="AP303" s="150"/>
      <c r="AQ303" s="150"/>
      <c r="AR303" s="151"/>
      <c r="AS303" s="456"/>
      <c r="AT303" s="466"/>
      <c r="AU303" s="150"/>
      <c r="AV303" s="487"/>
      <c r="AW303" s="150"/>
      <c r="AX303" s="150"/>
      <c r="AY303" s="466"/>
      <c r="AZ303" s="466"/>
      <c r="BA303" s="150"/>
      <c r="BB303" s="150"/>
      <c r="BC303" s="466"/>
      <c r="BD303" s="466"/>
      <c r="BE303" s="466"/>
      <c r="BF303" s="466"/>
      <c r="BG303" s="150"/>
      <c r="BH303" s="150"/>
      <c r="BI303" s="150"/>
      <c r="BJ303" s="466"/>
      <c r="BK303" s="152"/>
      <c r="BL303" s="160"/>
      <c r="BM303" s="150"/>
      <c r="BN303" s="466"/>
      <c r="BO303" s="150"/>
      <c r="BP303" s="516"/>
      <c r="BQ303" s="160"/>
      <c r="BR303" s="152"/>
      <c r="BS303" s="160"/>
    </row>
    <row r="304" spans="1:71" x14ac:dyDescent="0.3">
      <c r="A304" s="420">
        <f>DL!A301</f>
        <v>280</v>
      </c>
      <c r="B304" s="19" t="s">
        <v>166</v>
      </c>
      <c r="C304" s="149">
        <f>DL!L301</f>
        <v>60</v>
      </c>
      <c r="D304" s="149">
        <f>DL!C301</f>
        <v>4</v>
      </c>
      <c r="E304" s="150"/>
      <c r="F304" s="463"/>
      <c r="G304" s="150"/>
      <c r="H304" s="150"/>
      <c r="I304" s="466"/>
      <c r="J304" s="150"/>
      <c r="K304" s="168"/>
      <c r="L304" s="466"/>
      <c r="M304" s="150"/>
      <c r="N304" s="466"/>
      <c r="O304" s="150"/>
      <c r="P304" s="150"/>
      <c r="Q304" s="150"/>
      <c r="R304" s="472"/>
      <c r="S304" s="466"/>
      <c r="T304" s="150"/>
      <c r="U304" s="150"/>
      <c r="V304" s="150"/>
      <c r="W304" s="168"/>
      <c r="X304" s="150"/>
      <c r="Y304" s="466"/>
      <c r="Z304" s="455"/>
      <c r="AA304" s="150">
        <v>100</v>
      </c>
      <c r="AB304" s="490"/>
      <c r="AC304" s="150"/>
      <c r="AD304" s="150"/>
      <c r="AE304" s="466"/>
      <c r="AF304" s="499"/>
      <c r="AG304" s="150"/>
      <c r="AH304" s="150"/>
      <c r="AI304" s="150"/>
      <c r="AJ304" s="150"/>
      <c r="AK304" s="150">
        <v>275</v>
      </c>
      <c r="AL304" s="150"/>
      <c r="AM304" s="150"/>
      <c r="AN304" s="466"/>
      <c r="AO304" s="466"/>
      <c r="AP304" s="150"/>
      <c r="AQ304" s="150"/>
      <c r="AR304" s="151"/>
      <c r="AS304" s="456"/>
      <c r="AT304" s="466"/>
      <c r="AU304" s="150"/>
      <c r="AV304" s="487"/>
      <c r="AW304" s="150"/>
      <c r="AX304" s="150"/>
      <c r="AY304" s="466"/>
      <c r="AZ304" s="466">
        <v>315</v>
      </c>
      <c r="BA304" s="150"/>
      <c r="BB304" s="150"/>
      <c r="BC304" s="466"/>
      <c r="BD304" s="466"/>
      <c r="BE304" s="466"/>
      <c r="BF304" s="466"/>
      <c r="BG304" s="150"/>
      <c r="BH304" s="150"/>
      <c r="BI304" s="150"/>
      <c r="BJ304" s="466"/>
      <c r="BK304" s="152"/>
      <c r="BL304" s="160"/>
      <c r="BM304" s="150"/>
      <c r="BN304" s="466"/>
      <c r="BO304" s="150"/>
      <c r="BP304" s="516"/>
      <c r="BQ304" s="160"/>
      <c r="BR304" s="152"/>
      <c r="BS304" s="160"/>
    </row>
    <row r="305" spans="1:71" x14ac:dyDescent="0.3">
      <c r="A305" s="420">
        <f>DL!A302</f>
        <v>281</v>
      </c>
      <c r="B305" s="19" t="s">
        <v>167</v>
      </c>
      <c r="C305" s="149">
        <f>DL!L302</f>
        <v>400</v>
      </c>
      <c r="D305" s="149" t="str">
        <f>DL!C302</f>
        <v>TUBE</v>
      </c>
      <c r="E305" s="150"/>
      <c r="F305" s="463"/>
      <c r="G305" s="150"/>
      <c r="H305" s="150"/>
      <c r="I305" s="466"/>
      <c r="J305" s="150"/>
      <c r="K305" s="168"/>
      <c r="L305" s="466"/>
      <c r="M305" s="150"/>
      <c r="N305" s="466"/>
      <c r="O305" s="150"/>
      <c r="P305" s="150"/>
      <c r="Q305" s="150"/>
      <c r="R305" s="472"/>
      <c r="S305" s="466"/>
      <c r="T305" s="150"/>
      <c r="U305" s="150"/>
      <c r="V305" s="150"/>
      <c r="W305" s="168"/>
      <c r="X305" s="150"/>
      <c r="Y305" s="466"/>
      <c r="Z305" s="455"/>
      <c r="AA305" s="150"/>
      <c r="AB305" s="490"/>
      <c r="AC305" s="150"/>
      <c r="AD305" s="150"/>
      <c r="AE305" s="466"/>
      <c r="AF305" s="499"/>
      <c r="AG305" s="150"/>
      <c r="AH305" s="150"/>
      <c r="AI305" s="150"/>
      <c r="AJ305" s="150"/>
      <c r="AK305" s="150"/>
      <c r="AL305" s="150"/>
      <c r="AM305" s="150"/>
      <c r="AN305" s="466"/>
      <c r="AO305" s="466"/>
      <c r="AP305" s="150"/>
      <c r="AQ305" s="150"/>
      <c r="AR305" s="151"/>
      <c r="AS305" s="456"/>
      <c r="AT305" s="466"/>
      <c r="AU305" s="150"/>
      <c r="AV305" s="487"/>
      <c r="AW305" s="150"/>
      <c r="AX305" s="150"/>
      <c r="AY305" s="466"/>
      <c r="AZ305" s="466"/>
      <c r="BA305" s="150"/>
      <c r="BB305" s="150"/>
      <c r="BC305" s="466"/>
      <c r="BD305" s="466"/>
      <c r="BE305" s="466"/>
      <c r="BF305" s="466"/>
      <c r="BG305" s="150"/>
      <c r="BH305" s="150">
        <v>786</v>
      </c>
      <c r="BI305" s="150"/>
      <c r="BJ305" s="466"/>
      <c r="BK305" s="152"/>
      <c r="BL305" s="160"/>
      <c r="BM305" s="150"/>
      <c r="BN305" s="466"/>
      <c r="BO305" s="150"/>
      <c r="BP305" s="516"/>
      <c r="BQ305" s="160"/>
      <c r="BR305" s="152"/>
      <c r="BS305" s="160"/>
    </row>
    <row r="306" spans="1:71" x14ac:dyDescent="0.3">
      <c r="A306" s="420">
        <f>DL!A303</f>
        <v>282</v>
      </c>
      <c r="B306" s="19" t="s">
        <v>168</v>
      </c>
      <c r="C306" s="149">
        <f>DL!L303</f>
        <v>500</v>
      </c>
      <c r="D306" s="149" t="str">
        <f>DL!C303</f>
        <v>TUBE</v>
      </c>
      <c r="E306" s="150"/>
      <c r="F306" s="463"/>
      <c r="G306" s="150"/>
      <c r="H306" s="150"/>
      <c r="I306" s="466"/>
      <c r="J306" s="150"/>
      <c r="K306" s="168"/>
      <c r="L306" s="466"/>
      <c r="M306" s="150"/>
      <c r="N306" s="466"/>
      <c r="O306" s="150"/>
      <c r="P306" s="150"/>
      <c r="Q306" s="150"/>
      <c r="R306" s="472"/>
      <c r="S306" s="466"/>
      <c r="T306" s="150"/>
      <c r="U306" s="150"/>
      <c r="V306" s="150"/>
      <c r="W306" s="168"/>
      <c r="X306" s="150"/>
      <c r="Y306" s="466"/>
      <c r="Z306" s="455"/>
      <c r="AA306" s="150"/>
      <c r="AB306" s="490"/>
      <c r="AC306" s="150"/>
      <c r="AD306" s="150"/>
      <c r="AE306" s="466">
        <v>375</v>
      </c>
      <c r="AF306" s="499"/>
      <c r="AG306" s="150"/>
      <c r="AH306" s="150"/>
      <c r="AI306" s="150"/>
      <c r="AJ306" s="150"/>
      <c r="AK306" s="150"/>
      <c r="AL306" s="150"/>
      <c r="AM306" s="150"/>
      <c r="AN306" s="466"/>
      <c r="AO306" s="466"/>
      <c r="AP306" s="150"/>
      <c r="AQ306" s="150"/>
      <c r="AR306" s="151"/>
      <c r="AS306" s="456"/>
      <c r="AT306" s="466"/>
      <c r="AU306" s="150"/>
      <c r="AV306" s="487"/>
      <c r="AW306" s="150"/>
      <c r="AX306" s="150"/>
      <c r="AY306" s="466"/>
      <c r="AZ306" s="466"/>
      <c r="BA306" s="150"/>
      <c r="BB306" s="150"/>
      <c r="BC306" s="466"/>
      <c r="BD306" s="466"/>
      <c r="BE306" s="466"/>
      <c r="BF306" s="466"/>
      <c r="BG306" s="150">
        <v>900</v>
      </c>
      <c r="BH306" s="150">
        <v>1185</v>
      </c>
      <c r="BI306" s="150"/>
      <c r="BJ306" s="466"/>
      <c r="BK306" s="152"/>
      <c r="BL306" s="160"/>
      <c r="BM306" s="150"/>
      <c r="BN306" s="466"/>
      <c r="BO306" s="150"/>
      <c r="BP306" s="516"/>
      <c r="BQ306" s="160"/>
      <c r="BR306" s="152"/>
      <c r="BS306" s="160"/>
    </row>
    <row r="307" spans="1:71" x14ac:dyDescent="0.3">
      <c r="A307" s="420">
        <f>DL!A304</f>
        <v>283</v>
      </c>
      <c r="B307" s="19" t="s">
        <v>1312</v>
      </c>
      <c r="C307" s="149">
        <f>DL!L304</f>
        <v>20</v>
      </c>
      <c r="D307" s="149">
        <f>DL!C304</f>
        <v>10</v>
      </c>
      <c r="E307" s="150"/>
      <c r="F307" s="463"/>
      <c r="G307" s="150"/>
      <c r="H307" s="150"/>
      <c r="I307" s="466"/>
      <c r="J307" s="150"/>
      <c r="K307" s="168"/>
      <c r="L307" s="466"/>
      <c r="M307" s="150"/>
      <c r="N307" s="466"/>
      <c r="O307" s="150"/>
      <c r="P307" s="150"/>
      <c r="Q307" s="150"/>
      <c r="R307" s="472"/>
      <c r="S307" s="466"/>
      <c r="T307" s="150"/>
      <c r="U307" s="150"/>
      <c r="V307" s="150"/>
      <c r="W307" s="168"/>
      <c r="X307" s="150"/>
      <c r="Y307" s="466"/>
      <c r="Z307" s="455"/>
      <c r="AA307" s="150"/>
      <c r="AB307" s="490"/>
      <c r="AC307" s="150"/>
      <c r="AD307" s="150"/>
      <c r="AE307" s="466"/>
      <c r="AF307" s="499"/>
      <c r="AG307" s="150"/>
      <c r="AH307" s="150"/>
      <c r="AI307" s="150"/>
      <c r="AJ307" s="150"/>
      <c r="AK307" s="150"/>
      <c r="AL307" s="150"/>
      <c r="AM307" s="150"/>
      <c r="AN307" s="466"/>
      <c r="AO307" s="466"/>
      <c r="AP307" s="150"/>
      <c r="AQ307" s="150"/>
      <c r="AR307" s="151"/>
      <c r="AS307" s="456"/>
      <c r="AT307" s="466"/>
      <c r="AU307" s="150"/>
      <c r="AV307" s="487"/>
      <c r="AW307" s="150"/>
      <c r="AX307" s="150"/>
      <c r="AY307" s="466"/>
      <c r="AZ307" s="466"/>
      <c r="BA307" s="150"/>
      <c r="BB307" s="150"/>
      <c r="BC307" s="466"/>
      <c r="BD307" s="466"/>
      <c r="BE307" s="466"/>
      <c r="BF307" s="466"/>
      <c r="BG307" s="150"/>
      <c r="BH307" s="150"/>
      <c r="BI307" s="150"/>
      <c r="BJ307" s="466"/>
      <c r="BK307" s="152"/>
      <c r="BL307" s="160"/>
      <c r="BM307" s="150"/>
      <c r="BN307" s="466"/>
      <c r="BO307" s="150"/>
      <c r="BP307" s="516"/>
      <c r="BQ307" s="160"/>
      <c r="BR307" s="152"/>
      <c r="BS307" s="160"/>
    </row>
    <row r="308" spans="1:71" x14ac:dyDescent="0.3">
      <c r="A308" s="420">
        <f>DL!A305</f>
        <v>284</v>
      </c>
      <c r="B308" s="19" t="s">
        <v>752</v>
      </c>
      <c r="C308" s="149">
        <f>DL!L305</f>
        <v>10</v>
      </c>
      <c r="D308" s="149" t="str">
        <f>DL!C305</f>
        <v>VIAL</v>
      </c>
      <c r="E308" s="150"/>
      <c r="F308" s="463"/>
      <c r="G308" s="150"/>
      <c r="H308" s="150"/>
      <c r="I308" s="466"/>
      <c r="J308" s="150"/>
      <c r="K308" s="168"/>
      <c r="L308" s="466"/>
      <c r="M308" s="150"/>
      <c r="N308" s="466"/>
      <c r="O308" s="150"/>
      <c r="P308" s="150"/>
      <c r="Q308" s="150"/>
      <c r="R308" s="472"/>
      <c r="S308" s="466">
        <v>2500</v>
      </c>
      <c r="T308" s="150"/>
      <c r="U308" s="150"/>
      <c r="V308" s="150"/>
      <c r="W308" s="168"/>
      <c r="X308" s="150"/>
      <c r="Y308" s="466"/>
      <c r="Z308" s="455"/>
      <c r="AA308" s="150"/>
      <c r="AB308" s="490"/>
      <c r="AC308" s="150"/>
      <c r="AD308" s="150"/>
      <c r="AE308" s="466"/>
      <c r="AF308" s="499"/>
      <c r="AG308" s="150"/>
      <c r="AH308" s="150"/>
      <c r="AI308" s="150"/>
      <c r="AJ308" s="150"/>
      <c r="AK308" s="150"/>
      <c r="AL308" s="150"/>
      <c r="AM308" s="150"/>
      <c r="AN308" s="466"/>
      <c r="AO308" s="466"/>
      <c r="AP308" s="150"/>
      <c r="AQ308" s="150"/>
      <c r="AR308" s="151"/>
      <c r="AS308" s="456"/>
      <c r="AT308" s="466"/>
      <c r="AU308" s="150"/>
      <c r="AV308" s="487"/>
      <c r="AW308" s="150"/>
      <c r="AX308" s="150"/>
      <c r="AY308" s="466"/>
      <c r="AZ308" s="466"/>
      <c r="BA308" s="150"/>
      <c r="BB308" s="150"/>
      <c r="BC308" s="466"/>
      <c r="BD308" s="466"/>
      <c r="BE308" s="466"/>
      <c r="BF308" s="466"/>
      <c r="BG308" s="150"/>
      <c r="BH308" s="150"/>
      <c r="BI308" s="150"/>
      <c r="BJ308" s="466"/>
      <c r="BK308" s="152"/>
      <c r="BL308" s="160"/>
      <c r="BM308" s="150"/>
      <c r="BN308" s="466"/>
      <c r="BO308" s="150"/>
      <c r="BP308" s="516"/>
      <c r="BQ308" s="160"/>
      <c r="BR308" s="152"/>
      <c r="BS308" s="160"/>
    </row>
    <row r="309" spans="1:71" x14ac:dyDescent="0.3">
      <c r="A309" s="420"/>
      <c r="B309" s="19"/>
      <c r="C309" s="149">
        <f>DL!L306</f>
        <v>0</v>
      </c>
      <c r="D309" s="149">
        <f>DL!C306</f>
        <v>0</v>
      </c>
      <c r="E309" s="150"/>
      <c r="F309" s="463"/>
      <c r="G309" s="150"/>
      <c r="H309" s="150"/>
      <c r="I309" s="466"/>
      <c r="J309" s="150"/>
      <c r="K309" s="168"/>
      <c r="L309" s="466"/>
      <c r="M309" s="150"/>
      <c r="N309" s="466"/>
      <c r="O309" s="150"/>
      <c r="P309" s="150"/>
      <c r="Q309" s="150"/>
      <c r="R309" s="472"/>
      <c r="S309" s="466"/>
      <c r="T309" s="150"/>
      <c r="U309" s="150"/>
      <c r="V309" s="150"/>
      <c r="W309" s="168"/>
      <c r="X309" s="150"/>
      <c r="Y309" s="466"/>
      <c r="Z309" s="455"/>
      <c r="AA309" s="150"/>
      <c r="AB309" s="490"/>
      <c r="AC309" s="150"/>
      <c r="AD309" s="150"/>
      <c r="AE309" s="466"/>
      <c r="AF309" s="499"/>
      <c r="AG309" s="150"/>
      <c r="AH309" s="150"/>
      <c r="AI309" s="150"/>
      <c r="AJ309" s="150"/>
      <c r="AK309" s="150"/>
      <c r="AL309" s="150"/>
      <c r="AM309" s="150"/>
      <c r="AN309" s="466"/>
      <c r="AO309" s="466"/>
      <c r="AP309" s="150"/>
      <c r="AQ309" s="150"/>
      <c r="AR309" s="151"/>
      <c r="AS309" s="456"/>
      <c r="AT309" s="466"/>
      <c r="AU309" s="150"/>
      <c r="AV309" s="487"/>
      <c r="AW309" s="150"/>
      <c r="AX309" s="150"/>
      <c r="AY309" s="466"/>
      <c r="AZ309" s="466"/>
      <c r="BA309" s="150"/>
      <c r="BB309" s="150"/>
      <c r="BC309" s="466"/>
      <c r="BD309" s="466"/>
      <c r="BE309" s="466"/>
      <c r="BF309" s="466"/>
      <c r="BG309" s="150"/>
      <c r="BH309" s="150"/>
      <c r="BI309" s="150"/>
      <c r="BJ309" s="466"/>
      <c r="BK309" s="152"/>
      <c r="BL309" s="160"/>
      <c r="BM309" s="150"/>
      <c r="BN309" s="466"/>
      <c r="BO309" s="150"/>
      <c r="BP309" s="516"/>
      <c r="BQ309" s="160"/>
      <c r="BR309" s="152"/>
      <c r="BS309" s="160"/>
    </row>
    <row r="310" spans="1:71" x14ac:dyDescent="0.3">
      <c r="A310" s="420"/>
      <c r="B310" s="19"/>
      <c r="C310" s="149">
        <f>DL!L307</f>
        <v>0</v>
      </c>
      <c r="D310" s="149">
        <f>DL!C307</f>
        <v>0</v>
      </c>
      <c r="E310" s="150"/>
      <c r="F310" s="463"/>
      <c r="G310" s="150"/>
      <c r="H310" s="150"/>
      <c r="I310" s="466"/>
      <c r="J310" s="150"/>
      <c r="K310" s="168"/>
      <c r="L310" s="466"/>
      <c r="M310" s="150"/>
      <c r="N310" s="466"/>
      <c r="O310" s="150"/>
      <c r="P310" s="150"/>
      <c r="Q310" s="150"/>
      <c r="R310" s="472"/>
      <c r="S310" s="466"/>
      <c r="T310" s="150"/>
      <c r="U310" s="150"/>
      <c r="V310" s="150"/>
      <c r="W310" s="168"/>
      <c r="X310" s="150"/>
      <c r="Y310" s="466"/>
      <c r="Z310" s="455"/>
      <c r="AA310" s="150"/>
      <c r="AB310" s="490"/>
      <c r="AC310" s="150"/>
      <c r="AD310" s="150"/>
      <c r="AE310" s="466"/>
      <c r="AF310" s="499"/>
      <c r="AG310" s="150"/>
      <c r="AH310" s="150"/>
      <c r="AI310" s="150"/>
      <c r="AJ310" s="150"/>
      <c r="AK310" s="150"/>
      <c r="AL310" s="150"/>
      <c r="AM310" s="150"/>
      <c r="AN310" s="466"/>
      <c r="AO310" s="466"/>
      <c r="AP310" s="150"/>
      <c r="AQ310" s="150"/>
      <c r="AR310" s="151"/>
      <c r="AS310" s="456"/>
      <c r="AT310" s="466"/>
      <c r="AU310" s="150"/>
      <c r="AV310" s="487"/>
      <c r="AW310" s="150"/>
      <c r="AX310" s="150"/>
      <c r="AY310" s="466"/>
      <c r="AZ310" s="466"/>
      <c r="BA310" s="150"/>
      <c r="BB310" s="150"/>
      <c r="BC310" s="466"/>
      <c r="BD310" s="466"/>
      <c r="BE310" s="466"/>
      <c r="BF310" s="466"/>
      <c r="BG310" s="150"/>
      <c r="BH310" s="150"/>
      <c r="BI310" s="150"/>
      <c r="BJ310" s="466"/>
      <c r="BK310" s="152"/>
      <c r="BL310" s="160"/>
      <c r="BM310" s="150"/>
      <c r="BN310" s="466"/>
      <c r="BO310" s="150"/>
      <c r="BP310" s="516"/>
      <c r="BQ310" s="160"/>
      <c r="BR310" s="152"/>
      <c r="BS310" s="160"/>
    </row>
    <row r="311" spans="1:71" x14ac:dyDescent="0.3">
      <c r="A311" s="420"/>
      <c r="B311" s="19"/>
      <c r="C311" s="149">
        <f>DL!L308</f>
        <v>0</v>
      </c>
      <c r="D311" s="149">
        <f>DL!C308</f>
        <v>0</v>
      </c>
      <c r="E311" s="150"/>
      <c r="F311" s="463"/>
      <c r="G311" s="150"/>
      <c r="H311" s="150"/>
      <c r="I311" s="466"/>
      <c r="J311" s="150"/>
      <c r="K311" s="168"/>
      <c r="L311" s="466"/>
      <c r="M311" s="150"/>
      <c r="N311" s="466"/>
      <c r="O311" s="150"/>
      <c r="P311" s="150"/>
      <c r="Q311" s="150"/>
      <c r="R311" s="472"/>
      <c r="S311" s="466"/>
      <c r="T311" s="150"/>
      <c r="U311" s="150"/>
      <c r="V311" s="150"/>
      <c r="W311" s="168"/>
      <c r="X311" s="150"/>
      <c r="Y311" s="466"/>
      <c r="Z311" s="455"/>
      <c r="AA311" s="150"/>
      <c r="AB311" s="490"/>
      <c r="AC311" s="150"/>
      <c r="AD311" s="150"/>
      <c r="AE311" s="466"/>
      <c r="AF311" s="499"/>
      <c r="AG311" s="150"/>
      <c r="AH311" s="150"/>
      <c r="AI311" s="150"/>
      <c r="AJ311" s="150"/>
      <c r="AK311" s="150"/>
      <c r="AL311" s="150"/>
      <c r="AM311" s="150"/>
      <c r="AN311" s="466"/>
      <c r="AO311" s="466"/>
      <c r="AP311" s="150"/>
      <c r="AQ311" s="150"/>
      <c r="AR311" s="151"/>
      <c r="AS311" s="456"/>
      <c r="AT311" s="466"/>
      <c r="AU311" s="150"/>
      <c r="AV311" s="487"/>
      <c r="AW311" s="150"/>
      <c r="AX311" s="150"/>
      <c r="AY311" s="466"/>
      <c r="AZ311" s="466"/>
      <c r="BA311" s="150"/>
      <c r="BB311" s="150"/>
      <c r="BC311" s="466"/>
      <c r="BD311" s="466"/>
      <c r="BE311" s="466"/>
      <c r="BF311" s="466"/>
      <c r="BG311" s="150"/>
      <c r="BH311" s="150"/>
      <c r="BI311" s="150"/>
      <c r="BJ311" s="466"/>
      <c r="BK311" s="152"/>
      <c r="BL311" s="160"/>
      <c r="BM311" s="150"/>
      <c r="BN311" s="466"/>
      <c r="BO311" s="150"/>
      <c r="BP311" s="516"/>
      <c r="BQ311" s="160"/>
      <c r="BR311" s="152"/>
      <c r="BS311" s="160"/>
    </row>
    <row r="312" spans="1:71" x14ac:dyDescent="0.3">
      <c r="A312" s="420"/>
      <c r="B312" s="19"/>
      <c r="C312" s="149">
        <f>DL!L309</f>
        <v>0</v>
      </c>
      <c r="D312" s="149">
        <f>DL!C309</f>
        <v>0</v>
      </c>
      <c r="E312" s="150"/>
      <c r="F312" s="463"/>
      <c r="G312" s="150"/>
      <c r="H312" s="150"/>
      <c r="I312" s="466"/>
      <c r="J312" s="150"/>
      <c r="K312" s="168"/>
      <c r="L312" s="466"/>
      <c r="M312" s="150"/>
      <c r="N312" s="466"/>
      <c r="O312" s="150"/>
      <c r="P312" s="150"/>
      <c r="Q312" s="150"/>
      <c r="R312" s="472"/>
      <c r="S312" s="466"/>
      <c r="T312" s="150"/>
      <c r="U312" s="150"/>
      <c r="V312" s="150"/>
      <c r="W312" s="168"/>
      <c r="X312" s="150"/>
      <c r="Y312" s="466"/>
      <c r="Z312" s="455"/>
      <c r="AA312" s="150"/>
      <c r="AB312" s="490"/>
      <c r="AC312" s="150"/>
      <c r="AD312" s="150"/>
      <c r="AE312" s="466"/>
      <c r="AF312" s="499"/>
      <c r="AG312" s="150"/>
      <c r="AH312" s="150"/>
      <c r="AI312" s="150"/>
      <c r="AJ312" s="150"/>
      <c r="AK312" s="150"/>
      <c r="AL312" s="150"/>
      <c r="AM312" s="150"/>
      <c r="AN312" s="466"/>
      <c r="AO312" s="466"/>
      <c r="AP312" s="150"/>
      <c r="AQ312" s="150"/>
      <c r="AR312" s="151"/>
      <c r="AS312" s="456"/>
      <c r="AT312" s="466"/>
      <c r="AU312" s="150"/>
      <c r="AV312" s="487"/>
      <c r="AW312" s="150"/>
      <c r="AX312" s="150"/>
      <c r="AY312" s="466"/>
      <c r="AZ312" s="466"/>
      <c r="BA312" s="150"/>
      <c r="BB312" s="150"/>
      <c r="BC312" s="466"/>
      <c r="BD312" s="466"/>
      <c r="BE312" s="466"/>
      <c r="BF312" s="466"/>
      <c r="BG312" s="150"/>
      <c r="BH312" s="150"/>
      <c r="BI312" s="150"/>
      <c r="BJ312" s="466"/>
      <c r="BK312" s="152"/>
      <c r="BL312" s="160"/>
      <c r="BM312" s="150"/>
      <c r="BN312" s="466"/>
      <c r="BO312" s="150"/>
      <c r="BP312" s="516"/>
      <c r="BQ312" s="160"/>
      <c r="BR312" s="152"/>
      <c r="BS312" s="160"/>
    </row>
    <row r="313" spans="1:71" x14ac:dyDescent="0.3">
      <c r="A313" s="420" t="str">
        <f>DL!A310</f>
        <v>LOT 6</v>
      </c>
      <c r="B313" s="19" t="s">
        <v>170</v>
      </c>
      <c r="C313" s="149">
        <f>DL!L310</f>
        <v>0</v>
      </c>
      <c r="D313" s="149">
        <f>DL!C310</f>
        <v>0</v>
      </c>
      <c r="E313" s="150"/>
      <c r="F313" s="463"/>
      <c r="G313" s="150"/>
      <c r="H313" s="150"/>
      <c r="I313" s="466"/>
      <c r="J313" s="150"/>
      <c r="K313" s="168"/>
      <c r="L313" s="466"/>
      <c r="M313" s="150"/>
      <c r="N313" s="466"/>
      <c r="O313" s="150"/>
      <c r="P313" s="150"/>
      <c r="Q313" s="150"/>
      <c r="R313" s="472"/>
      <c r="S313" s="466"/>
      <c r="T313" s="150"/>
      <c r="U313" s="150"/>
      <c r="V313" s="150"/>
      <c r="W313" s="168"/>
      <c r="X313" s="150"/>
      <c r="Y313" s="466"/>
      <c r="Z313" s="455"/>
      <c r="AA313" s="150"/>
      <c r="AB313" s="490"/>
      <c r="AC313" s="150"/>
      <c r="AD313" s="150"/>
      <c r="AE313" s="466"/>
      <c r="AF313" s="499"/>
      <c r="AG313" s="150"/>
      <c r="AH313" s="150"/>
      <c r="AI313" s="150"/>
      <c r="AJ313" s="150"/>
      <c r="AK313" s="150"/>
      <c r="AL313" s="150"/>
      <c r="AM313" s="150"/>
      <c r="AN313" s="466"/>
      <c r="AO313" s="466"/>
      <c r="AP313" s="150"/>
      <c r="AQ313" s="150"/>
      <c r="AR313" s="151"/>
      <c r="AS313" s="456"/>
      <c r="AT313" s="466"/>
      <c r="AU313" s="150"/>
      <c r="AV313" s="487"/>
      <c r="AW313" s="150"/>
      <c r="AX313" s="150"/>
      <c r="AY313" s="466"/>
      <c r="AZ313" s="466"/>
      <c r="BA313" s="150"/>
      <c r="BB313" s="150"/>
      <c r="BC313" s="466"/>
      <c r="BD313" s="466"/>
      <c r="BE313" s="466"/>
      <c r="BF313" s="466"/>
      <c r="BG313" s="150"/>
      <c r="BH313" s="150"/>
      <c r="BI313" s="150"/>
      <c r="BJ313" s="466"/>
      <c r="BK313" s="152"/>
      <c r="BL313" s="160"/>
      <c r="BM313" s="150"/>
      <c r="BN313" s="466"/>
      <c r="BO313" s="150"/>
      <c r="BP313" s="516"/>
      <c r="BQ313" s="160"/>
      <c r="BR313" s="152"/>
      <c r="BS313" s="160"/>
    </row>
    <row r="314" spans="1:71" x14ac:dyDescent="0.3">
      <c r="A314" s="420"/>
      <c r="B314" s="19"/>
      <c r="C314" s="149">
        <f>DL!L311</f>
        <v>0</v>
      </c>
      <c r="D314" s="149">
        <f>DL!C311</f>
        <v>0</v>
      </c>
      <c r="E314" s="150"/>
      <c r="F314" s="463"/>
      <c r="G314" s="150"/>
      <c r="H314" s="150"/>
      <c r="I314" s="466"/>
      <c r="J314" s="150"/>
      <c r="K314" s="168"/>
      <c r="L314" s="466"/>
      <c r="M314" s="150"/>
      <c r="N314" s="466"/>
      <c r="O314" s="150"/>
      <c r="P314" s="150"/>
      <c r="Q314" s="150"/>
      <c r="R314" s="472"/>
      <c r="S314" s="466"/>
      <c r="T314" s="150"/>
      <c r="U314" s="150"/>
      <c r="V314" s="150"/>
      <c r="W314" s="168"/>
      <c r="X314" s="150"/>
      <c r="Y314" s="466"/>
      <c r="Z314" s="455"/>
      <c r="AA314" s="150"/>
      <c r="AB314" s="490"/>
      <c r="AC314" s="150"/>
      <c r="AD314" s="150"/>
      <c r="AE314" s="466"/>
      <c r="AF314" s="499"/>
      <c r="AG314" s="150"/>
      <c r="AH314" s="150"/>
      <c r="AI314" s="150"/>
      <c r="AJ314" s="150"/>
      <c r="AK314" s="150"/>
      <c r="AL314" s="150"/>
      <c r="AM314" s="150"/>
      <c r="AN314" s="466"/>
      <c r="AO314" s="466"/>
      <c r="AP314" s="150"/>
      <c r="AQ314" s="150"/>
      <c r="AR314" s="151"/>
      <c r="AS314" s="456"/>
      <c r="AT314" s="466"/>
      <c r="AU314" s="150"/>
      <c r="AV314" s="487"/>
      <c r="AW314" s="150"/>
      <c r="AX314" s="150"/>
      <c r="AY314" s="466"/>
      <c r="AZ314" s="466"/>
      <c r="BA314" s="150"/>
      <c r="BB314" s="150"/>
      <c r="BC314" s="466"/>
      <c r="BD314" s="466"/>
      <c r="BE314" s="466"/>
      <c r="BF314" s="466"/>
      <c r="BG314" s="150"/>
      <c r="BH314" s="150"/>
      <c r="BI314" s="150"/>
      <c r="BJ314" s="466"/>
      <c r="BK314" s="152"/>
      <c r="BL314" s="160"/>
      <c r="BM314" s="150"/>
      <c r="BN314" s="466"/>
      <c r="BO314" s="150"/>
      <c r="BP314" s="516"/>
      <c r="BQ314" s="160"/>
      <c r="BR314" s="152"/>
      <c r="BS314" s="160"/>
    </row>
    <row r="315" spans="1:71" x14ac:dyDescent="0.3">
      <c r="A315" s="420">
        <f>DL!A312</f>
        <v>285</v>
      </c>
      <c r="B315" s="19" t="s">
        <v>2175</v>
      </c>
      <c r="C315" s="149">
        <f>DL!L312</f>
        <v>200</v>
      </c>
      <c r="D315" s="149">
        <f>DL!C312</f>
        <v>30</v>
      </c>
      <c r="E315" s="150"/>
      <c r="F315" s="463"/>
      <c r="G315" s="150"/>
      <c r="H315" s="150"/>
      <c r="I315" s="466"/>
      <c r="J315" s="150"/>
      <c r="K315" s="168"/>
      <c r="L315" s="466"/>
      <c r="M315" s="150"/>
      <c r="N315" s="466"/>
      <c r="O315" s="150"/>
      <c r="P315" s="150"/>
      <c r="Q315" s="150"/>
      <c r="R315" s="472"/>
      <c r="S315" s="466"/>
      <c r="T315" s="150">
        <v>340</v>
      </c>
      <c r="U315" s="150"/>
      <c r="V315" s="150"/>
      <c r="W315" s="168"/>
      <c r="X315" s="150"/>
      <c r="Y315" s="466"/>
      <c r="Z315" s="455"/>
      <c r="AA315" s="150"/>
      <c r="AB315" s="490"/>
      <c r="AC315" s="150"/>
      <c r="AD315" s="150"/>
      <c r="AE315" s="466"/>
      <c r="AF315" s="499"/>
      <c r="AG315" s="150"/>
      <c r="AH315" s="150"/>
      <c r="AI315" s="150"/>
      <c r="AJ315" s="150"/>
      <c r="AK315" s="150"/>
      <c r="AL315" s="150"/>
      <c r="AM315" s="150"/>
      <c r="AN315" s="466"/>
      <c r="AO315" s="466"/>
      <c r="AP315" s="150"/>
      <c r="AQ315" s="150"/>
      <c r="AR315" s="151"/>
      <c r="AS315" s="456"/>
      <c r="AT315" s="466"/>
      <c r="AU315" s="150"/>
      <c r="AV315" s="487"/>
      <c r="AW315" s="150"/>
      <c r="AX315" s="150"/>
      <c r="AY315" s="466"/>
      <c r="AZ315" s="466"/>
      <c r="BA315" s="150"/>
      <c r="BB315" s="150"/>
      <c r="BC315" s="466"/>
      <c r="BD315" s="466"/>
      <c r="BE315" s="466"/>
      <c r="BF315" s="466"/>
      <c r="BG315" s="150"/>
      <c r="BH315" s="150"/>
      <c r="BI315" s="150"/>
      <c r="BJ315" s="466"/>
      <c r="BK315" s="152"/>
      <c r="BL315" s="160"/>
      <c r="BM315" s="150"/>
      <c r="BN315" s="466"/>
      <c r="BO315" s="150"/>
      <c r="BP315" s="516"/>
      <c r="BQ315" s="160"/>
      <c r="BR315" s="152"/>
      <c r="BS315" s="160"/>
    </row>
    <row r="316" spans="1:71" x14ac:dyDescent="0.3">
      <c r="A316" s="420">
        <f>DL!A313</f>
        <v>286</v>
      </c>
      <c r="B316" s="19" t="s">
        <v>512</v>
      </c>
      <c r="C316" s="149">
        <v>2000</v>
      </c>
      <c r="D316" s="149">
        <f>DL!C313</f>
        <v>30</v>
      </c>
      <c r="E316" s="150"/>
      <c r="F316" s="463"/>
      <c r="G316" s="150"/>
      <c r="H316" s="150"/>
      <c r="I316" s="466"/>
      <c r="J316" s="150"/>
      <c r="K316" s="168"/>
      <c r="L316" s="466"/>
      <c r="M316" s="150"/>
      <c r="N316" s="466">
        <v>1200</v>
      </c>
      <c r="O316" s="150"/>
      <c r="P316" s="150"/>
      <c r="Q316" s="150"/>
      <c r="R316" s="473">
        <v>254.17349999999999</v>
      </c>
      <c r="S316" s="466"/>
      <c r="T316" s="150">
        <v>1160</v>
      </c>
      <c r="U316" s="150"/>
      <c r="V316" s="150"/>
      <c r="W316" s="168"/>
      <c r="X316" s="150"/>
      <c r="Y316" s="466"/>
      <c r="Z316" s="455"/>
      <c r="AA316" s="150"/>
      <c r="AB316" s="490"/>
      <c r="AC316" s="150"/>
      <c r="AD316" s="150"/>
      <c r="AE316" s="466"/>
      <c r="AF316" s="499"/>
      <c r="AG316" s="150"/>
      <c r="AH316" s="150"/>
      <c r="AI316" s="150"/>
      <c r="AJ316" s="150"/>
      <c r="AK316" s="150"/>
      <c r="AL316" s="150"/>
      <c r="AM316" s="150"/>
      <c r="AN316" s="466"/>
      <c r="AO316" s="466"/>
      <c r="AP316" s="150"/>
      <c r="AQ316" s="150"/>
      <c r="AR316" s="151"/>
      <c r="AS316" s="456"/>
      <c r="AT316" s="466"/>
      <c r="AU316" s="150"/>
      <c r="AV316" s="487"/>
      <c r="AW316" s="150"/>
      <c r="AX316" s="150"/>
      <c r="AY316" s="466"/>
      <c r="AZ316" s="466"/>
      <c r="BA316" s="150"/>
      <c r="BB316" s="150">
        <v>683</v>
      </c>
      <c r="BC316" s="466"/>
      <c r="BD316" s="466"/>
      <c r="BE316" s="466"/>
      <c r="BF316" s="466"/>
      <c r="BG316" s="150"/>
      <c r="BH316" s="150"/>
      <c r="BI316" s="150"/>
      <c r="BJ316" s="466"/>
      <c r="BK316" s="152"/>
      <c r="BL316" s="160"/>
      <c r="BM316" s="150"/>
      <c r="BN316" s="466"/>
      <c r="BO316" s="150"/>
      <c r="BP316" s="516"/>
      <c r="BQ316" s="160"/>
      <c r="BR316" s="152"/>
      <c r="BS316" s="160"/>
    </row>
    <row r="317" spans="1:71" x14ac:dyDescent="0.3">
      <c r="A317" s="420">
        <f>DL!A314</f>
        <v>287</v>
      </c>
      <c r="B317" s="19" t="s">
        <v>513</v>
      </c>
      <c r="C317" s="149">
        <v>600</v>
      </c>
      <c r="D317" s="149" t="str">
        <f>DL!C314</f>
        <v>BOTT</v>
      </c>
      <c r="E317" s="150"/>
      <c r="F317" s="463"/>
      <c r="G317" s="150"/>
      <c r="H317" s="150"/>
      <c r="I317" s="466"/>
      <c r="J317" s="150"/>
      <c r="K317" s="168"/>
      <c r="L317" s="466"/>
      <c r="M317" s="150"/>
      <c r="N317" s="466"/>
      <c r="O317" s="150"/>
      <c r="P317" s="150"/>
      <c r="Q317" s="150"/>
      <c r="R317" s="473">
        <v>309.584</v>
      </c>
      <c r="S317" s="466"/>
      <c r="T317" s="150">
        <v>1160</v>
      </c>
      <c r="U317" s="150"/>
      <c r="V317" s="150"/>
      <c r="W317" s="168"/>
      <c r="X317" s="150"/>
      <c r="Y317" s="466"/>
      <c r="Z317" s="455"/>
      <c r="AA317" s="150">
        <v>550</v>
      </c>
      <c r="AB317" s="490"/>
      <c r="AC317" s="150"/>
      <c r="AD317" s="150"/>
      <c r="AE317" s="466"/>
      <c r="AF317" s="499"/>
      <c r="AG317" s="150"/>
      <c r="AH317" s="150"/>
      <c r="AI317" s="150"/>
      <c r="AJ317" s="150"/>
      <c r="AK317" s="150"/>
      <c r="AL317" s="150"/>
      <c r="AM317" s="150"/>
      <c r="AN317" s="466"/>
      <c r="AO317" s="466"/>
      <c r="AP317" s="150"/>
      <c r="AQ317" s="150"/>
      <c r="AR317" s="151"/>
      <c r="AS317" s="456"/>
      <c r="AT317" s="466"/>
      <c r="AU317" s="150"/>
      <c r="AV317" s="487"/>
      <c r="AW317" s="150"/>
      <c r="AX317" s="150"/>
      <c r="AY317" s="466"/>
      <c r="AZ317" s="466"/>
      <c r="BA317" s="150"/>
      <c r="BB317" s="150"/>
      <c r="BC317" s="466"/>
      <c r="BD317" s="466"/>
      <c r="BE317" s="466"/>
      <c r="BF317" s="466"/>
      <c r="BG317" s="150"/>
      <c r="BH317" s="150"/>
      <c r="BI317" s="150"/>
      <c r="BJ317" s="466"/>
      <c r="BK317" s="152"/>
      <c r="BL317" s="160"/>
      <c r="BM317" s="150"/>
      <c r="BN317" s="466"/>
      <c r="BO317" s="150"/>
      <c r="BP317" s="516"/>
      <c r="BQ317" s="160"/>
      <c r="BR317" s="152"/>
      <c r="BS317" s="160"/>
    </row>
    <row r="318" spans="1:71" x14ac:dyDescent="0.3">
      <c r="A318" s="420">
        <f>DL!A315</f>
        <v>288</v>
      </c>
      <c r="B318" s="19" t="s">
        <v>514</v>
      </c>
      <c r="C318" s="149">
        <v>1200</v>
      </c>
      <c r="D318" s="149">
        <f>DL!C315</f>
        <v>20</v>
      </c>
      <c r="E318" s="150"/>
      <c r="F318" s="463"/>
      <c r="G318" s="150"/>
      <c r="H318" s="150"/>
      <c r="I318" s="466"/>
      <c r="J318" s="150"/>
      <c r="K318" s="168"/>
      <c r="L318" s="466"/>
      <c r="M318" s="150"/>
      <c r="N318" s="466"/>
      <c r="O318" s="150"/>
      <c r="P318" s="150"/>
      <c r="Q318" s="150"/>
      <c r="R318" s="472"/>
      <c r="S318" s="466"/>
      <c r="T318" s="150">
        <v>1160</v>
      </c>
      <c r="U318" s="150"/>
      <c r="V318" s="150"/>
      <c r="W318" s="168"/>
      <c r="X318" s="150"/>
      <c r="Y318" s="466"/>
      <c r="Z318" s="455"/>
      <c r="AA318" s="150"/>
      <c r="AB318" s="490"/>
      <c r="AC318" s="150"/>
      <c r="AD318" s="150"/>
      <c r="AE318" s="466"/>
      <c r="AF318" s="499"/>
      <c r="AG318" s="150"/>
      <c r="AH318" s="150"/>
      <c r="AI318" s="150"/>
      <c r="AJ318" s="150"/>
      <c r="AK318" s="150"/>
      <c r="AL318" s="150"/>
      <c r="AM318" s="150"/>
      <c r="AN318" s="466"/>
      <c r="AO318" s="466"/>
      <c r="AP318" s="150"/>
      <c r="AQ318" s="150"/>
      <c r="AR318" s="151"/>
      <c r="AS318" s="456"/>
      <c r="AT318" s="466"/>
      <c r="AU318" s="150"/>
      <c r="AV318" s="487"/>
      <c r="AW318" s="150"/>
      <c r="AX318" s="150"/>
      <c r="AY318" s="466"/>
      <c r="AZ318" s="466"/>
      <c r="BA318" s="150"/>
      <c r="BB318" s="150"/>
      <c r="BC318" s="466"/>
      <c r="BD318" s="466"/>
      <c r="BE318" s="466"/>
      <c r="BF318" s="466"/>
      <c r="BG318" s="150"/>
      <c r="BH318" s="150"/>
      <c r="BI318" s="150"/>
      <c r="BJ318" s="466"/>
      <c r="BK318" s="152"/>
      <c r="BL318" s="160"/>
      <c r="BM318" s="150"/>
      <c r="BN318" s="466"/>
      <c r="BO318" s="150"/>
      <c r="BP318" s="516"/>
      <c r="BQ318" s="160"/>
      <c r="BR318" s="152"/>
      <c r="BS318" s="160"/>
    </row>
    <row r="319" spans="1:71" x14ac:dyDescent="0.3">
      <c r="A319" s="420">
        <f>DL!A316</f>
        <v>289</v>
      </c>
      <c r="B319" s="19" t="s">
        <v>515</v>
      </c>
      <c r="C319" s="149">
        <v>600</v>
      </c>
      <c r="D319" s="149" t="str">
        <f>DL!C316</f>
        <v>BOTT</v>
      </c>
      <c r="E319" s="150"/>
      <c r="F319" s="463"/>
      <c r="G319" s="150"/>
      <c r="H319" s="150"/>
      <c r="I319" s="466"/>
      <c r="J319" s="150"/>
      <c r="K319" s="168"/>
      <c r="L319" s="466"/>
      <c r="M319" s="150"/>
      <c r="N319" s="466"/>
      <c r="O319" s="150"/>
      <c r="P319" s="150"/>
      <c r="Q319" s="150"/>
      <c r="R319" s="472"/>
      <c r="S319" s="466"/>
      <c r="T319" s="150">
        <v>1160</v>
      </c>
      <c r="U319" s="150"/>
      <c r="V319" s="150"/>
      <c r="W319" s="168"/>
      <c r="X319" s="150"/>
      <c r="Y319" s="466"/>
      <c r="Z319" s="455"/>
      <c r="AA319" s="150">
        <v>600</v>
      </c>
      <c r="AB319" s="490"/>
      <c r="AC319" s="150"/>
      <c r="AD319" s="150"/>
      <c r="AE319" s="466"/>
      <c r="AF319" s="499"/>
      <c r="AG319" s="150"/>
      <c r="AH319" s="150"/>
      <c r="AI319" s="150"/>
      <c r="AJ319" s="150"/>
      <c r="AK319" s="150"/>
      <c r="AL319" s="150"/>
      <c r="AM319" s="150"/>
      <c r="AN319" s="466"/>
      <c r="AO319" s="466"/>
      <c r="AP319" s="150"/>
      <c r="AQ319" s="150"/>
      <c r="AR319" s="151"/>
      <c r="AS319" s="456"/>
      <c r="AT319" s="466"/>
      <c r="AU319" s="150"/>
      <c r="AV319" s="487"/>
      <c r="AW319" s="150"/>
      <c r="AX319" s="150"/>
      <c r="AY319" s="466"/>
      <c r="AZ319" s="466">
        <v>800</v>
      </c>
      <c r="BA319" s="150"/>
      <c r="BB319" s="150"/>
      <c r="BC319" s="466"/>
      <c r="BD319" s="466">
        <v>660</v>
      </c>
      <c r="BE319" s="466"/>
      <c r="BF319" s="466">
        <v>555.01</v>
      </c>
      <c r="BG319" s="150"/>
      <c r="BH319" s="150"/>
      <c r="BI319" s="150"/>
      <c r="BJ319" s="466"/>
      <c r="BK319" s="152"/>
      <c r="BL319" s="160"/>
      <c r="BM319" s="150"/>
      <c r="BN319" s="466"/>
      <c r="BO319" s="150"/>
      <c r="BP319" s="516"/>
      <c r="BQ319" s="160"/>
      <c r="BR319" s="152"/>
      <c r="BS319" s="160"/>
    </row>
    <row r="320" spans="1:71" x14ac:dyDescent="0.3">
      <c r="A320" s="420">
        <f>DL!A317</f>
        <v>290</v>
      </c>
      <c r="B320" s="19" t="s">
        <v>721</v>
      </c>
      <c r="C320" s="149">
        <f>DL!L317</f>
        <v>80</v>
      </c>
      <c r="D320" s="149">
        <f>DL!C317</f>
        <v>100</v>
      </c>
      <c r="E320" s="150"/>
      <c r="F320" s="463"/>
      <c r="G320" s="150"/>
      <c r="H320" s="150"/>
      <c r="I320" s="466"/>
      <c r="J320" s="150"/>
      <c r="K320" s="168"/>
      <c r="L320" s="466"/>
      <c r="M320" s="150"/>
      <c r="N320" s="466"/>
      <c r="O320" s="150"/>
      <c r="P320" s="150"/>
      <c r="Q320" s="150"/>
      <c r="R320" s="472"/>
      <c r="S320" s="466">
        <v>2300</v>
      </c>
      <c r="T320" s="150"/>
      <c r="U320" s="150"/>
      <c r="V320" s="150"/>
      <c r="W320" s="168"/>
      <c r="X320" s="150"/>
      <c r="Y320" s="466"/>
      <c r="Z320" s="455"/>
      <c r="AA320" s="150"/>
      <c r="AB320" s="490"/>
      <c r="AC320" s="150"/>
      <c r="AD320" s="150"/>
      <c r="AE320" s="466"/>
      <c r="AF320" s="499"/>
      <c r="AG320" s="150"/>
      <c r="AH320" s="150"/>
      <c r="AI320" s="150"/>
      <c r="AJ320" s="150"/>
      <c r="AK320" s="150"/>
      <c r="AL320" s="150"/>
      <c r="AM320" s="150"/>
      <c r="AN320" s="466"/>
      <c r="AO320" s="466"/>
      <c r="AP320" s="150"/>
      <c r="AQ320" s="150"/>
      <c r="AR320" s="151"/>
      <c r="AS320" s="456"/>
      <c r="AT320" s="466"/>
      <c r="AU320" s="150"/>
      <c r="AV320" s="487"/>
      <c r="AW320" s="150"/>
      <c r="AX320" s="150"/>
      <c r="AY320" s="466"/>
      <c r="AZ320" s="466"/>
      <c r="BA320" s="150"/>
      <c r="BB320" s="150"/>
      <c r="BC320" s="466"/>
      <c r="BD320" s="466"/>
      <c r="BE320" s="466"/>
      <c r="BF320" s="466"/>
      <c r="BG320" s="150"/>
      <c r="BH320" s="150"/>
      <c r="BI320" s="150"/>
      <c r="BJ320" s="466"/>
      <c r="BK320" s="152"/>
      <c r="BL320" s="160"/>
      <c r="BM320" s="150"/>
      <c r="BN320" s="466"/>
      <c r="BO320" s="150"/>
      <c r="BP320" s="516"/>
      <c r="BQ320" s="160"/>
      <c r="BR320" s="152"/>
      <c r="BS320" s="160"/>
    </row>
    <row r="321" spans="1:71" x14ac:dyDescent="0.3">
      <c r="A321" s="420">
        <f>DL!A318</f>
        <v>291</v>
      </c>
      <c r="B321" s="19" t="s">
        <v>693</v>
      </c>
      <c r="C321" s="149">
        <v>600</v>
      </c>
      <c r="D321" s="149">
        <f>DL!C318</f>
        <v>30</v>
      </c>
      <c r="E321" s="150"/>
      <c r="F321" s="463"/>
      <c r="G321" s="150"/>
      <c r="H321" s="150"/>
      <c r="I321" s="466"/>
      <c r="J321" s="150"/>
      <c r="K321" s="168"/>
      <c r="L321" s="466"/>
      <c r="M321" s="150"/>
      <c r="N321" s="466"/>
      <c r="O321" s="150"/>
      <c r="P321" s="150"/>
      <c r="Q321" s="150"/>
      <c r="R321" s="472"/>
      <c r="S321" s="466">
        <v>290</v>
      </c>
      <c r="T321" s="150"/>
      <c r="U321" s="150"/>
      <c r="V321" s="150"/>
      <c r="W321" s="168"/>
      <c r="X321" s="150"/>
      <c r="Y321" s="466"/>
      <c r="Z321" s="455"/>
      <c r="AA321" s="150"/>
      <c r="AB321" s="490"/>
      <c r="AC321" s="150"/>
      <c r="AD321" s="150"/>
      <c r="AE321" s="466"/>
      <c r="AF321" s="499"/>
      <c r="AG321" s="150">
        <v>330</v>
      </c>
      <c r="AH321" s="150"/>
      <c r="AI321" s="150"/>
      <c r="AJ321" s="150"/>
      <c r="AK321" s="150"/>
      <c r="AL321" s="150"/>
      <c r="AM321" s="150"/>
      <c r="AN321" s="466"/>
      <c r="AO321" s="466"/>
      <c r="AP321" s="150"/>
      <c r="AQ321" s="150"/>
      <c r="AR321" s="151"/>
      <c r="AS321" s="456"/>
      <c r="AT321" s="466"/>
      <c r="AU321" s="150"/>
      <c r="AV321" s="487"/>
      <c r="AW321" s="150"/>
      <c r="AX321" s="150"/>
      <c r="AY321" s="466"/>
      <c r="AZ321" s="466"/>
      <c r="BA321" s="150"/>
      <c r="BB321" s="150"/>
      <c r="BC321" s="466"/>
      <c r="BD321" s="466"/>
      <c r="BE321" s="466"/>
      <c r="BF321" s="466"/>
      <c r="BG321" s="150"/>
      <c r="BH321" s="150"/>
      <c r="BI321" s="150"/>
      <c r="BJ321" s="466"/>
      <c r="BK321" s="152"/>
      <c r="BL321" s="160"/>
      <c r="BM321" s="150"/>
      <c r="BN321" s="466"/>
      <c r="BO321" s="150"/>
      <c r="BP321" s="516"/>
      <c r="BQ321" s="160"/>
      <c r="BR321" s="152"/>
      <c r="BS321" s="160"/>
    </row>
    <row r="322" spans="1:71" x14ac:dyDescent="0.3">
      <c r="A322" s="420">
        <f>DL!A319</f>
        <v>292</v>
      </c>
      <c r="B322" s="19" t="s">
        <v>172</v>
      </c>
      <c r="C322" s="149">
        <f>DL!L319</f>
        <v>600</v>
      </c>
      <c r="D322" s="149">
        <f>DL!C319</f>
        <v>30</v>
      </c>
      <c r="E322" s="150"/>
      <c r="F322" s="463"/>
      <c r="G322" s="150"/>
      <c r="H322" s="150"/>
      <c r="I322" s="466"/>
      <c r="J322" s="150"/>
      <c r="K322" s="168"/>
      <c r="L322" s="466"/>
      <c r="M322" s="150"/>
      <c r="N322" s="466"/>
      <c r="O322" s="150"/>
      <c r="P322" s="150"/>
      <c r="Q322" s="150"/>
      <c r="R322" s="472"/>
      <c r="S322" s="466"/>
      <c r="T322" s="150"/>
      <c r="U322" s="150"/>
      <c r="V322" s="150"/>
      <c r="W322" s="168"/>
      <c r="X322" s="150"/>
      <c r="Y322" s="466"/>
      <c r="Z322" s="455"/>
      <c r="AA322" s="150"/>
      <c r="AB322" s="490"/>
      <c r="AC322" s="150"/>
      <c r="AD322" s="150"/>
      <c r="AE322" s="466"/>
      <c r="AF322" s="499"/>
      <c r="AG322" s="150"/>
      <c r="AH322" s="150"/>
      <c r="AI322" s="150"/>
      <c r="AJ322" s="150"/>
      <c r="AK322" s="150"/>
      <c r="AL322" s="150"/>
      <c r="AM322" s="150"/>
      <c r="AN322" s="467">
        <v>2600</v>
      </c>
      <c r="AO322" s="466"/>
      <c r="AP322" s="150"/>
      <c r="AQ322" s="150"/>
      <c r="AR322" s="151"/>
      <c r="AS322" s="456"/>
      <c r="AT322" s="466"/>
      <c r="AU322" s="150"/>
      <c r="AV322" s="487"/>
      <c r="AW322" s="150"/>
      <c r="AX322" s="150"/>
      <c r="AY322" s="466"/>
      <c r="AZ322" s="466"/>
      <c r="BA322" s="150"/>
      <c r="BB322" s="150"/>
      <c r="BC322" s="466"/>
      <c r="BD322" s="466"/>
      <c r="BE322" s="466"/>
      <c r="BF322" s="466"/>
      <c r="BG322" s="150"/>
      <c r="BH322" s="150"/>
      <c r="BI322" s="150"/>
      <c r="BJ322" s="466"/>
      <c r="BK322" s="152"/>
      <c r="BL322" s="160"/>
      <c r="BM322" s="150"/>
      <c r="BN322" s="466"/>
      <c r="BO322" s="150"/>
      <c r="BP322" s="516"/>
      <c r="BQ322" s="160"/>
      <c r="BR322" s="152"/>
      <c r="BS322" s="160"/>
    </row>
    <row r="323" spans="1:71" x14ac:dyDescent="0.3">
      <c r="A323" s="420">
        <f>DL!A320</f>
        <v>293</v>
      </c>
      <c r="B323" s="19" t="s">
        <v>173</v>
      </c>
      <c r="C323" s="149">
        <f>DL!L320</f>
        <v>50</v>
      </c>
      <c r="D323" s="149">
        <f>DL!C320</f>
        <v>1000</v>
      </c>
      <c r="E323" s="150"/>
      <c r="F323" s="463"/>
      <c r="G323" s="150"/>
      <c r="H323" s="150"/>
      <c r="I323" s="466"/>
      <c r="J323" s="150"/>
      <c r="K323" s="168"/>
      <c r="L323" s="466"/>
      <c r="M323" s="150"/>
      <c r="N323" s="466"/>
      <c r="O323" s="150"/>
      <c r="P323" s="150"/>
      <c r="Q323" s="150"/>
      <c r="R323" s="472"/>
      <c r="S323" s="466">
        <v>1000</v>
      </c>
      <c r="T323" s="150"/>
      <c r="U323" s="150"/>
      <c r="V323" s="150"/>
      <c r="W323" s="168"/>
      <c r="X323" s="150"/>
      <c r="Y323" s="466"/>
      <c r="Z323" s="455"/>
      <c r="AA323" s="150">
        <v>750</v>
      </c>
      <c r="AB323" s="490"/>
      <c r="AC323" s="150"/>
      <c r="AD323" s="150"/>
      <c r="AE323" s="466"/>
      <c r="AF323" s="499"/>
      <c r="AG323" s="150"/>
      <c r="AH323" s="150"/>
      <c r="AI323" s="150"/>
      <c r="AJ323" s="150"/>
      <c r="AK323" s="150"/>
      <c r="AL323" s="150"/>
      <c r="AM323" s="150"/>
      <c r="AN323" s="466"/>
      <c r="AO323" s="466"/>
      <c r="AP323" s="150"/>
      <c r="AQ323" s="150"/>
      <c r="AR323" s="151"/>
      <c r="AS323" s="456"/>
      <c r="AT323" s="466"/>
      <c r="AU323" s="150"/>
      <c r="AV323" s="487"/>
      <c r="AW323" s="150"/>
      <c r="AX323" s="150"/>
      <c r="AY323" s="466"/>
      <c r="AZ323" s="466"/>
      <c r="BA323" s="150"/>
      <c r="BB323" s="150"/>
      <c r="BC323" s="466"/>
      <c r="BD323" s="466"/>
      <c r="BE323" s="466"/>
      <c r="BF323" s="466"/>
      <c r="BG323" s="150"/>
      <c r="BH323" s="150"/>
      <c r="BI323" s="150"/>
      <c r="BJ323" s="466"/>
      <c r="BK323" s="152"/>
      <c r="BL323" s="160"/>
      <c r="BM323" s="150"/>
      <c r="BN323" s="466"/>
      <c r="BO323" s="150"/>
      <c r="BP323" s="516"/>
      <c r="BQ323" s="160"/>
      <c r="BR323" s="152"/>
      <c r="BS323" s="160"/>
    </row>
    <row r="324" spans="1:71" x14ac:dyDescent="0.3">
      <c r="A324" s="420">
        <f>DL!A321</f>
        <v>294</v>
      </c>
      <c r="B324" s="19" t="s">
        <v>174</v>
      </c>
      <c r="C324" s="149">
        <f>DL!L321</f>
        <v>1000</v>
      </c>
      <c r="D324" s="149">
        <f>DL!C321</f>
        <v>9</v>
      </c>
      <c r="E324" s="150"/>
      <c r="F324" s="463"/>
      <c r="G324" s="150"/>
      <c r="H324" s="150"/>
      <c r="I324" s="466"/>
      <c r="J324" s="150"/>
      <c r="K324" s="168"/>
      <c r="L324" s="466"/>
      <c r="M324" s="150"/>
      <c r="N324" s="466"/>
      <c r="O324" s="150"/>
      <c r="P324" s="150"/>
      <c r="Q324" s="150"/>
      <c r="R324" s="472"/>
      <c r="S324" s="466"/>
      <c r="T324" s="150"/>
      <c r="U324" s="150"/>
      <c r="V324" s="150"/>
      <c r="W324" s="168"/>
      <c r="X324" s="150"/>
      <c r="Y324" s="466"/>
      <c r="Z324" s="455"/>
      <c r="AA324" s="150"/>
      <c r="AB324" s="490"/>
      <c r="AC324" s="150"/>
      <c r="AD324" s="150"/>
      <c r="AE324" s="466"/>
      <c r="AF324" s="499"/>
      <c r="AG324" s="150"/>
      <c r="AH324" s="150"/>
      <c r="AI324" s="150"/>
      <c r="AJ324" s="150"/>
      <c r="AK324" s="150"/>
      <c r="AL324" s="150"/>
      <c r="AM324" s="150"/>
      <c r="AN324" s="466">
        <v>990</v>
      </c>
      <c r="AO324" s="466"/>
      <c r="AP324" s="150"/>
      <c r="AQ324" s="150"/>
      <c r="AR324" s="151"/>
      <c r="AS324" s="456"/>
      <c r="AT324" s="466"/>
      <c r="AU324" s="150"/>
      <c r="AV324" s="487"/>
      <c r="AW324" s="150"/>
      <c r="AX324" s="150"/>
      <c r="AY324" s="466"/>
      <c r="AZ324" s="466"/>
      <c r="BA324" s="150"/>
      <c r="BB324" s="150"/>
      <c r="BC324" s="466"/>
      <c r="BD324" s="466"/>
      <c r="BE324" s="466"/>
      <c r="BF324" s="466"/>
      <c r="BG324" s="150"/>
      <c r="BH324" s="150"/>
      <c r="BI324" s="150"/>
      <c r="BJ324" s="466"/>
      <c r="BK324" s="152"/>
      <c r="BL324" s="160"/>
      <c r="BM324" s="150"/>
      <c r="BN324" s="466"/>
      <c r="BO324" s="150"/>
      <c r="BP324" s="516"/>
      <c r="BQ324" s="160"/>
      <c r="BR324" s="152"/>
      <c r="BS324" s="160"/>
    </row>
    <row r="325" spans="1:71" x14ac:dyDescent="0.3">
      <c r="A325" s="420">
        <f>DL!A322</f>
        <v>295</v>
      </c>
      <c r="B325" s="19" t="s">
        <v>720</v>
      </c>
      <c r="C325" s="149">
        <v>2000</v>
      </c>
      <c r="D325" s="149">
        <f>DL!C322</f>
        <v>20</v>
      </c>
      <c r="E325" s="150"/>
      <c r="F325" s="463"/>
      <c r="G325" s="150"/>
      <c r="H325" s="150"/>
      <c r="I325" s="466"/>
      <c r="J325" s="150"/>
      <c r="K325" s="168"/>
      <c r="L325" s="466"/>
      <c r="M325" s="150"/>
      <c r="N325" s="466"/>
      <c r="O325" s="150"/>
      <c r="P325" s="150"/>
      <c r="Q325" s="150"/>
      <c r="R325" s="472"/>
      <c r="S325" s="466"/>
      <c r="T325" s="150"/>
      <c r="U325" s="150"/>
      <c r="V325" s="150"/>
      <c r="W325" s="168"/>
      <c r="X325" s="150"/>
      <c r="Y325" s="466"/>
      <c r="Z325" s="455"/>
      <c r="AA325" s="150"/>
      <c r="AB325" s="490"/>
      <c r="AC325" s="150"/>
      <c r="AD325" s="150"/>
      <c r="AE325" s="466"/>
      <c r="AF325" s="499"/>
      <c r="AG325" s="150"/>
      <c r="AH325" s="150"/>
      <c r="AI325" s="150"/>
      <c r="AJ325" s="150"/>
      <c r="AK325" s="150"/>
      <c r="AL325" s="150"/>
      <c r="AM325" s="150"/>
      <c r="AN325" s="466"/>
      <c r="AO325" s="466"/>
      <c r="AP325" s="150"/>
      <c r="AQ325" s="150"/>
      <c r="AR325" s="151"/>
      <c r="AS325" s="456"/>
      <c r="AT325" s="466"/>
      <c r="AU325" s="150">
        <v>900</v>
      </c>
      <c r="AV325" s="487"/>
      <c r="AW325" s="150"/>
      <c r="AX325" s="150"/>
      <c r="AY325" s="466"/>
      <c r="AZ325" s="466"/>
      <c r="BA325" s="150"/>
      <c r="BB325" s="150"/>
      <c r="BC325" s="466"/>
      <c r="BD325" s="466"/>
      <c r="BE325" s="466"/>
      <c r="BF325" s="466"/>
      <c r="BG325" s="150"/>
      <c r="BH325" s="150"/>
      <c r="BI325" s="150"/>
      <c r="BJ325" s="466"/>
      <c r="BK325" s="152"/>
      <c r="BL325" s="160"/>
      <c r="BM325" s="150"/>
      <c r="BN325" s="466"/>
      <c r="BO325" s="150"/>
      <c r="BP325" s="516"/>
      <c r="BQ325" s="160"/>
      <c r="BR325" s="152"/>
      <c r="BS325" s="160"/>
    </row>
    <row r="326" spans="1:71" x14ac:dyDescent="0.3">
      <c r="A326" s="420">
        <f>DL!A323</f>
        <v>296</v>
      </c>
      <c r="B326" s="19" t="s">
        <v>1313</v>
      </c>
      <c r="C326" s="149">
        <f>DL!L323</f>
        <v>400</v>
      </c>
      <c r="D326" s="149">
        <f>DL!C323</f>
        <v>30</v>
      </c>
      <c r="E326" s="150"/>
      <c r="F326" s="463"/>
      <c r="G326" s="150"/>
      <c r="H326" s="150"/>
      <c r="I326" s="466"/>
      <c r="J326" s="150"/>
      <c r="K326" s="168"/>
      <c r="L326" s="466"/>
      <c r="M326" s="150"/>
      <c r="N326" s="466"/>
      <c r="O326" s="150"/>
      <c r="P326" s="150"/>
      <c r="Q326" s="150"/>
      <c r="R326" s="472"/>
      <c r="S326" s="466"/>
      <c r="T326" s="150"/>
      <c r="U326" s="150"/>
      <c r="V326" s="150"/>
      <c r="W326" s="168"/>
      <c r="X326" s="150"/>
      <c r="Y326" s="466"/>
      <c r="Z326" s="455"/>
      <c r="AA326" s="150">
        <v>220</v>
      </c>
      <c r="AB326" s="490"/>
      <c r="AC326" s="150"/>
      <c r="AD326" s="150"/>
      <c r="AE326" s="466"/>
      <c r="AF326" s="499"/>
      <c r="AG326" s="150"/>
      <c r="AH326" s="150"/>
      <c r="AI326" s="150"/>
      <c r="AJ326" s="150"/>
      <c r="AK326" s="150"/>
      <c r="AL326" s="150"/>
      <c r="AM326" s="150"/>
      <c r="AN326" s="466"/>
      <c r="AO326" s="466"/>
      <c r="AP326" s="150"/>
      <c r="AQ326" s="150"/>
      <c r="AR326" s="151"/>
      <c r="AS326" s="456"/>
      <c r="AT326" s="466"/>
      <c r="AU326" s="150"/>
      <c r="AV326" s="487"/>
      <c r="AW326" s="150"/>
      <c r="AX326" s="150"/>
      <c r="AY326" s="466"/>
      <c r="AZ326" s="466"/>
      <c r="BA326" s="150"/>
      <c r="BB326" s="150"/>
      <c r="BC326" s="466"/>
      <c r="BD326" s="466"/>
      <c r="BE326" s="466"/>
      <c r="BF326" s="466"/>
      <c r="BG326" s="150"/>
      <c r="BH326" s="150"/>
      <c r="BI326" s="150"/>
      <c r="BJ326" s="466"/>
      <c r="BK326" s="152"/>
      <c r="BL326" s="160"/>
      <c r="BM326" s="150"/>
      <c r="BN326" s="466"/>
      <c r="BO326" s="150"/>
      <c r="BP326" s="516"/>
      <c r="BQ326" s="160"/>
      <c r="BR326" s="152"/>
      <c r="BS326" s="160"/>
    </row>
    <row r="327" spans="1:71" x14ac:dyDescent="0.3">
      <c r="A327" s="420">
        <f>DL!A324</f>
        <v>297</v>
      </c>
      <c r="B327" s="19" t="s">
        <v>453</v>
      </c>
      <c r="C327" s="149">
        <f>DL!L324</f>
        <v>100</v>
      </c>
      <c r="D327" s="149" t="str">
        <f>DL!C324</f>
        <v>BOTT</v>
      </c>
      <c r="E327" s="150"/>
      <c r="F327" s="463"/>
      <c r="G327" s="150">
        <v>1827</v>
      </c>
      <c r="H327" s="150"/>
      <c r="I327" s="466"/>
      <c r="J327" s="150"/>
      <c r="K327" s="168"/>
      <c r="L327" s="466"/>
      <c r="M327" s="150"/>
      <c r="N327" s="466"/>
      <c r="O327" s="150"/>
      <c r="P327" s="150"/>
      <c r="Q327" s="150"/>
      <c r="R327" s="472"/>
      <c r="S327" s="466"/>
      <c r="T327" s="150"/>
      <c r="U327" s="150"/>
      <c r="V327" s="150"/>
      <c r="W327" s="168"/>
      <c r="X327" s="150"/>
      <c r="Y327" s="466"/>
      <c r="Z327" s="455"/>
      <c r="AA327" s="150"/>
      <c r="AB327" s="490"/>
      <c r="AC327" s="150"/>
      <c r="AD327" s="150"/>
      <c r="AE327" s="466"/>
      <c r="AF327" s="499"/>
      <c r="AG327" s="150"/>
      <c r="AH327" s="150"/>
      <c r="AI327" s="150"/>
      <c r="AJ327" s="150"/>
      <c r="AK327" s="150"/>
      <c r="AL327" s="150"/>
      <c r="AM327" s="150"/>
      <c r="AN327" s="466"/>
      <c r="AO327" s="466"/>
      <c r="AP327" s="150"/>
      <c r="AQ327" s="150"/>
      <c r="AR327" s="151"/>
      <c r="AS327" s="456"/>
      <c r="AT327" s="466"/>
      <c r="AU327" s="150"/>
      <c r="AV327" s="487"/>
      <c r="AW327" s="150"/>
      <c r="AX327" s="150"/>
      <c r="AY327" s="466"/>
      <c r="AZ327" s="466"/>
      <c r="BA327" s="150"/>
      <c r="BB327" s="150"/>
      <c r="BC327" s="466"/>
      <c r="BD327" s="466"/>
      <c r="BE327" s="466"/>
      <c r="BF327" s="466"/>
      <c r="BG327" s="150"/>
      <c r="BH327" s="150"/>
      <c r="BI327" s="150"/>
      <c r="BJ327" s="466"/>
      <c r="BK327" s="152"/>
      <c r="BL327" s="160"/>
      <c r="BM327" s="150"/>
      <c r="BN327" s="466"/>
      <c r="BO327" s="150"/>
      <c r="BP327" s="516"/>
      <c r="BQ327" s="160"/>
      <c r="BR327" s="152"/>
      <c r="BS327" s="160"/>
    </row>
    <row r="328" spans="1:71" x14ac:dyDescent="0.3">
      <c r="A328" s="420">
        <f>DL!A325</f>
        <v>298</v>
      </c>
      <c r="B328" s="19" t="s">
        <v>454</v>
      </c>
      <c r="C328" s="149">
        <f>DL!L325</f>
        <v>50</v>
      </c>
      <c r="D328" s="149" t="str">
        <f>DL!C325</f>
        <v>AMP</v>
      </c>
      <c r="E328" s="150"/>
      <c r="F328" s="463"/>
      <c r="G328" s="150"/>
      <c r="H328" s="150"/>
      <c r="I328" s="466"/>
      <c r="J328" s="150"/>
      <c r="K328" s="168"/>
      <c r="L328" s="466"/>
      <c r="M328" s="150"/>
      <c r="N328" s="466"/>
      <c r="O328" s="150"/>
      <c r="P328" s="150"/>
      <c r="Q328" s="150"/>
      <c r="R328" s="472"/>
      <c r="S328" s="466"/>
      <c r="T328" s="150"/>
      <c r="U328" s="150"/>
      <c r="V328" s="150"/>
      <c r="W328" s="168"/>
      <c r="X328" s="150"/>
      <c r="Y328" s="466"/>
      <c r="Z328" s="455"/>
      <c r="AA328" s="150"/>
      <c r="AB328" s="490"/>
      <c r="AC328" s="150"/>
      <c r="AD328" s="150"/>
      <c r="AE328" s="466"/>
      <c r="AF328" s="499"/>
      <c r="AG328" s="150"/>
      <c r="AH328" s="150"/>
      <c r="AI328" s="150"/>
      <c r="AJ328" s="150"/>
      <c r="AK328" s="150"/>
      <c r="AL328" s="150"/>
      <c r="AM328" s="150"/>
      <c r="AN328" s="466"/>
      <c r="AO328" s="466"/>
      <c r="AP328" s="150"/>
      <c r="AQ328" s="150"/>
      <c r="AR328" s="151"/>
      <c r="AS328" s="456"/>
      <c r="AT328" s="466"/>
      <c r="AU328" s="150"/>
      <c r="AV328" s="487"/>
      <c r="AW328" s="150"/>
      <c r="AX328" s="150"/>
      <c r="AY328" s="466"/>
      <c r="AZ328" s="466"/>
      <c r="BA328" s="150"/>
      <c r="BB328" s="150"/>
      <c r="BC328" s="466"/>
      <c r="BD328" s="466"/>
      <c r="BE328" s="466"/>
      <c r="BF328" s="466"/>
      <c r="BG328" s="150"/>
      <c r="BH328" s="150"/>
      <c r="BI328" s="150"/>
      <c r="BJ328" s="466"/>
      <c r="BK328" s="152"/>
      <c r="BL328" s="160"/>
      <c r="BM328" s="150"/>
      <c r="BN328" s="466"/>
      <c r="BO328" s="150"/>
      <c r="BP328" s="516"/>
      <c r="BQ328" s="160"/>
      <c r="BR328" s="152"/>
      <c r="BS328" s="160"/>
    </row>
    <row r="329" spans="1:71" x14ac:dyDescent="0.3">
      <c r="A329" s="420">
        <f>DL!A326</f>
        <v>299</v>
      </c>
      <c r="B329" s="19" t="s">
        <v>1314</v>
      </c>
      <c r="C329" s="149">
        <f>DL!L326</f>
        <v>20</v>
      </c>
      <c r="D329" s="149">
        <v>60</v>
      </c>
      <c r="E329" s="150"/>
      <c r="F329" s="463"/>
      <c r="G329" s="150"/>
      <c r="H329" s="150"/>
      <c r="I329" s="466"/>
      <c r="J329" s="150"/>
      <c r="K329" s="168"/>
      <c r="L329" s="466"/>
      <c r="M329" s="150"/>
      <c r="N329" s="466"/>
      <c r="O329" s="150"/>
      <c r="P329" s="150"/>
      <c r="Q329" s="150"/>
      <c r="R329" s="472"/>
      <c r="S329" s="466">
        <v>28000</v>
      </c>
      <c r="T329" s="150"/>
      <c r="U329" s="150"/>
      <c r="V329" s="150"/>
      <c r="W329" s="168"/>
      <c r="X329" s="150"/>
      <c r="Y329" s="466"/>
      <c r="Z329" s="455"/>
      <c r="AA329" s="150"/>
      <c r="AB329" s="490"/>
      <c r="AC329" s="150"/>
      <c r="AD329" s="150"/>
      <c r="AE329" s="466"/>
      <c r="AF329" s="499"/>
      <c r="AG329" s="150"/>
      <c r="AH329" s="150"/>
      <c r="AI329" s="150"/>
      <c r="AJ329" s="150"/>
      <c r="AK329" s="150"/>
      <c r="AL329" s="150"/>
      <c r="AM329" s="150"/>
      <c r="AN329" s="466"/>
      <c r="AO329" s="466"/>
      <c r="AP329" s="150"/>
      <c r="AQ329" s="150"/>
      <c r="AR329" s="151"/>
      <c r="AS329" s="456"/>
      <c r="AT329" s="466"/>
      <c r="AU329" s="150"/>
      <c r="AV329" s="487"/>
      <c r="AW329" s="150"/>
      <c r="AX329" s="150"/>
      <c r="AY329" s="466"/>
      <c r="AZ329" s="466"/>
      <c r="BA329" s="150"/>
      <c r="BB329" s="150"/>
      <c r="BC329" s="466"/>
      <c r="BD329" s="466"/>
      <c r="BE329" s="466"/>
      <c r="BF329" s="466"/>
      <c r="BG329" s="150"/>
      <c r="BH329" s="150"/>
      <c r="BI329" s="150"/>
      <c r="BJ329" s="466"/>
      <c r="BK329" s="152"/>
      <c r="BL329" s="160"/>
      <c r="BM329" s="150"/>
      <c r="BN329" s="466"/>
      <c r="BO329" s="150">
        <v>29240</v>
      </c>
      <c r="BP329" s="516"/>
      <c r="BQ329" s="160"/>
      <c r="BR329" s="152"/>
      <c r="BS329" s="160"/>
    </row>
    <row r="330" spans="1:71" x14ac:dyDescent="0.3">
      <c r="A330" s="420">
        <f>DL!A327</f>
        <v>300</v>
      </c>
      <c r="B330" s="19" t="s">
        <v>175</v>
      </c>
      <c r="C330" s="149">
        <v>1400</v>
      </c>
      <c r="D330" s="149" t="str">
        <f>DL!C327</f>
        <v>AMP</v>
      </c>
      <c r="E330" s="150">
        <v>1670</v>
      </c>
      <c r="F330" s="463"/>
      <c r="G330" s="150"/>
      <c r="H330" s="150"/>
      <c r="I330" s="471">
        <f>3750/2</f>
        <v>1875</v>
      </c>
      <c r="J330" s="150"/>
      <c r="K330" s="168"/>
      <c r="L330" s="466"/>
      <c r="M330" s="150"/>
      <c r="N330" s="466"/>
      <c r="O330" s="150"/>
      <c r="P330" s="150"/>
      <c r="Q330" s="150"/>
      <c r="R330" s="472"/>
      <c r="S330" s="466">
        <v>2300</v>
      </c>
      <c r="T330" s="150">
        <v>1800</v>
      </c>
      <c r="U330" s="150"/>
      <c r="V330" s="150"/>
      <c r="W330" s="168"/>
      <c r="X330" s="150"/>
      <c r="Y330" s="466"/>
      <c r="Z330" s="455"/>
      <c r="AA330" s="150"/>
      <c r="AB330" s="490"/>
      <c r="AC330" s="150"/>
      <c r="AD330" s="150"/>
      <c r="AE330" s="466"/>
      <c r="AF330" s="499"/>
      <c r="AG330" s="150"/>
      <c r="AH330" s="150"/>
      <c r="AI330" s="150"/>
      <c r="AJ330" s="150"/>
      <c r="AK330" s="150"/>
      <c r="AL330" s="150"/>
      <c r="AM330" s="150"/>
      <c r="AN330" s="466"/>
      <c r="AO330" s="466"/>
      <c r="AP330" s="150"/>
      <c r="AQ330" s="150"/>
      <c r="AR330" s="151"/>
      <c r="AS330" s="456"/>
      <c r="AT330" s="466"/>
      <c r="AU330" s="150"/>
      <c r="AV330" s="487"/>
      <c r="AW330" s="150"/>
      <c r="AX330" s="150"/>
      <c r="AY330" s="466"/>
      <c r="AZ330" s="466"/>
      <c r="BA330" s="150"/>
      <c r="BB330" s="150"/>
      <c r="BC330" s="466"/>
      <c r="BD330" s="466"/>
      <c r="BE330" s="466"/>
      <c r="BF330" s="466"/>
      <c r="BG330" s="150"/>
      <c r="BH330" s="150"/>
      <c r="BI330" s="150"/>
      <c r="BJ330" s="466"/>
      <c r="BK330" s="152"/>
      <c r="BL330" s="160"/>
      <c r="BM330" s="150"/>
      <c r="BN330" s="466"/>
      <c r="BO330" s="150">
        <v>3750</v>
      </c>
      <c r="BP330" s="516"/>
      <c r="BQ330" s="160"/>
      <c r="BR330" s="152"/>
      <c r="BS330" s="160"/>
    </row>
    <row r="331" spans="1:71" x14ac:dyDescent="0.3">
      <c r="A331" s="420">
        <f>DL!A328</f>
        <v>301</v>
      </c>
      <c r="B331" s="19" t="s">
        <v>176</v>
      </c>
      <c r="C331" s="149">
        <f>DL!L328</f>
        <v>60</v>
      </c>
      <c r="D331" s="149">
        <f>DL!C328</f>
        <v>20</v>
      </c>
      <c r="E331" s="150"/>
      <c r="F331" s="463"/>
      <c r="G331" s="150"/>
      <c r="H331" s="150"/>
      <c r="I331" s="466"/>
      <c r="J331" s="150"/>
      <c r="K331" s="168"/>
      <c r="L331" s="466"/>
      <c r="M331" s="150"/>
      <c r="N331" s="466"/>
      <c r="O331" s="150"/>
      <c r="P331" s="150"/>
      <c r="Q331" s="150"/>
      <c r="R331" s="472"/>
      <c r="S331" s="466"/>
      <c r="T331" s="150"/>
      <c r="U331" s="150"/>
      <c r="V331" s="150"/>
      <c r="W331" s="168"/>
      <c r="X331" s="150"/>
      <c r="Y331" s="466"/>
      <c r="Z331" s="455"/>
      <c r="AA331" s="150"/>
      <c r="AB331" s="490"/>
      <c r="AC331" s="150"/>
      <c r="AD331" s="150"/>
      <c r="AE331" s="466"/>
      <c r="AF331" s="499"/>
      <c r="AG331" s="150"/>
      <c r="AH331" s="150"/>
      <c r="AI331" s="150"/>
      <c r="AJ331" s="150"/>
      <c r="AK331" s="150"/>
      <c r="AL331" s="150"/>
      <c r="AM331" s="150"/>
      <c r="AN331" s="466"/>
      <c r="AO331" s="466"/>
      <c r="AP331" s="150"/>
      <c r="AQ331" s="150"/>
      <c r="AR331" s="151"/>
      <c r="AS331" s="456"/>
      <c r="AT331" s="466"/>
      <c r="AU331" s="150"/>
      <c r="AV331" s="487"/>
      <c r="AW331" s="150"/>
      <c r="AX331" s="150"/>
      <c r="AY331" s="466"/>
      <c r="AZ331" s="466"/>
      <c r="BA331" s="150"/>
      <c r="BB331" s="150"/>
      <c r="BC331" s="466"/>
      <c r="BD331" s="466"/>
      <c r="BE331" s="466"/>
      <c r="BF331" s="466"/>
      <c r="BG331" s="150"/>
      <c r="BH331" s="150"/>
      <c r="BI331" s="150"/>
      <c r="BJ331" s="466"/>
      <c r="BK331" s="152"/>
      <c r="BL331" s="160"/>
      <c r="BM331" s="150"/>
      <c r="BN331" s="466"/>
      <c r="BO331" s="150"/>
      <c r="BP331" s="516"/>
      <c r="BQ331" s="160"/>
      <c r="BR331" s="152"/>
      <c r="BS331" s="160"/>
    </row>
    <row r="332" spans="1:71" x14ac:dyDescent="0.3">
      <c r="A332" s="420">
        <f>DL!A329</f>
        <v>302</v>
      </c>
      <c r="B332" s="19" t="s">
        <v>177</v>
      </c>
      <c r="C332" s="149">
        <f>DL!L329</f>
        <v>100</v>
      </c>
      <c r="D332" s="149" t="str">
        <f>DL!C329</f>
        <v>AMP</v>
      </c>
      <c r="E332" s="150"/>
      <c r="F332" s="463"/>
      <c r="G332" s="150"/>
      <c r="H332" s="150"/>
      <c r="I332" s="466"/>
      <c r="J332" s="150"/>
      <c r="K332" s="168"/>
      <c r="L332" s="466"/>
      <c r="M332" s="150"/>
      <c r="N332" s="466"/>
      <c r="O332" s="150"/>
      <c r="P332" s="150"/>
      <c r="Q332" s="150"/>
      <c r="R332" s="472"/>
      <c r="S332" s="466"/>
      <c r="T332" s="150"/>
      <c r="U332" s="150"/>
      <c r="V332" s="150"/>
      <c r="W332" s="168"/>
      <c r="X332" s="150"/>
      <c r="Y332" s="466"/>
      <c r="Z332" s="455"/>
      <c r="AA332" s="150"/>
      <c r="AB332" s="490"/>
      <c r="AC332" s="150"/>
      <c r="AD332" s="150"/>
      <c r="AE332" s="466"/>
      <c r="AF332" s="499"/>
      <c r="AG332" s="150"/>
      <c r="AH332" s="150"/>
      <c r="AI332" s="150"/>
      <c r="AJ332" s="150"/>
      <c r="AK332" s="150"/>
      <c r="AL332" s="150"/>
      <c r="AM332" s="150"/>
      <c r="AN332" s="466"/>
      <c r="AO332" s="466"/>
      <c r="AP332" s="150"/>
      <c r="AQ332" s="150"/>
      <c r="AR332" s="151"/>
      <c r="AS332" s="456"/>
      <c r="AT332" s="466"/>
      <c r="AU332" s="150"/>
      <c r="AV332" s="487"/>
      <c r="AW332" s="150"/>
      <c r="AX332" s="150"/>
      <c r="AY332" s="466"/>
      <c r="AZ332" s="466"/>
      <c r="BA332" s="150"/>
      <c r="BB332" s="150"/>
      <c r="BC332" s="466"/>
      <c r="BD332" s="466"/>
      <c r="BE332" s="466"/>
      <c r="BF332" s="466"/>
      <c r="BG332" s="150"/>
      <c r="BH332" s="150"/>
      <c r="BI332" s="150"/>
      <c r="BJ332" s="466"/>
      <c r="BK332" s="152"/>
      <c r="BL332" s="160"/>
      <c r="BM332" s="150"/>
      <c r="BN332" s="466"/>
      <c r="BO332" s="150"/>
      <c r="BP332" s="516"/>
      <c r="BQ332" s="160"/>
      <c r="BR332" s="152"/>
      <c r="BS332" s="160"/>
    </row>
    <row r="333" spans="1:71" x14ac:dyDescent="0.3">
      <c r="A333" s="420">
        <f>DL!A330</f>
        <v>303</v>
      </c>
      <c r="B333" s="19" t="s">
        <v>696</v>
      </c>
      <c r="C333" s="149">
        <f>DL!L330</f>
        <v>80</v>
      </c>
      <c r="D333" s="149">
        <f>DL!C330</f>
        <v>30</v>
      </c>
      <c r="E333" s="150"/>
      <c r="F333" s="463"/>
      <c r="G333" s="150"/>
      <c r="H333" s="150"/>
      <c r="I333" s="466"/>
      <c r="J333" s="150"/>
      <c r="K333" s="168"/>
      <c r="L333" s="466"/>
      <c r="M333" s="150"/>
      <c r="N333" s="466"/>
      <c r="O333" s="150"/>
      <c r="P333" s="150"/>
      <c r="Q333" s="150"/>
      <c r="R333" s="473">
        <v>670.64400000000001</v>
      </c>
      <c r="S333" s="466"/>
      <c r="T333" s="150"/>
      <c r="U333" s="150"/>
      <c r="V333" s="150"/>
      <c r="W333" s="168"/>
      <c r="X333" s="150"/>
      <c r="Y333" s="466"/>
      <c r="Z333" s="455"/>
      <c r="AA333" s="150"/>
      <c r="AB333" s="490"/>
      <c r="AC333" s="150"/>
      <c r="AD333" s="150"/>
      <c r="AE333" s="466"/>
      <c r="AF333" s="499"/>
      <c r="AG333" s="150"/>
      <c r="AH333" s="150"/>
      <c r="AI333" s="150"/>
      <c r="AJ333" s="150"/>
      <c r="AK333" s="150"/>
      <c r="AL333" s="150"/>
      <c r="AM333" s="150"/>
      <c r="AN333" s="466"/>
      <c r="AO333" s="466"/>
      <c r="AP333" s="150"/>
      <c r="AQ333" s="150"/>
      <c r="AR333" s="151"/>
      <c r="AS333" s="456"/>
      <c r="AT333" s="466"/>
      <c r="AU333" s="150"/>
      <c r="AV333" s="487"/>
      <c r="AW333" s="150"/>
      <c r="AX333" s="150"/>
      <c r="AY333" s="466"/>
      <c r="AZ333" s="466"/>
      <c r="BA333" s="150"/>
      <c r="BB333" s="150"/>
      <c r="BC333" s="466"/>
      <c r="BD333" s="466"/>
      <c r="BE333" s="466"/>
      <c r="BF333" s="466"/>
      <c r="BG333" s="150"/>
      <c r="BH333" s="150"/>
      <c r="BI333" s="150"/>
      <c r="BJ333" s="466"/>
      <c r="BK333" s="152"/>
      <c r="BL333" s="160"/>
      <c r="BM333" s="150"/>
      <c r="BN333" s="466"/>
      <c r="BO333" s="150"/>
      <c r="BP333" s="516"/>
      <c r="BQ333" s="160"/>
      <c r="BR333" s="152"/>
      <c r="BS333" s="160"/>
    </row>
    <row r="334" spans="1:71" x14ac:dyDescent="0.3">
      <c r="A334" s="420">
        <f>DL!A331</f>
        <v>304</v>
      </c>
      <c r="B334" s="19" t="s">
        <v>178</v>
      </c>
      <c r="C334" s="149">
        <f>DL!L331</f>
        <v>100</v>
      </c>
      <c r="D334" s="149">
        <f>DL!C331</f>
        <v>5</v>
      </c>
      <c r="E334" s="150"/>
      <c r="F334" s="463"/>
      <c r="G334" s="150"/>
      <c r="H334" s="150"/>
      <c r="I334" s="466"/>
      <c r="J334" s="150"/>
      <c r="K334" s="168"/>
      <c r="L334" s="466"/>
      <c r="M334" s="150"/>
      <c r="N334" s="466"/>
      <c r="O334" s="150"/>
      <c r="P334" s="150"/>
      <c r="Q334" s="150"/>
      <c r="R334" s="472"/>
      <c r="S334" s="466">
        <v>3400</v>
      </c>
      <c r="T334" s="150"/>
      <c r="U334" s="150"/>
      <c r="V334" s="150"/>
      <c r="W334" s="168"/>
      <c r="X334" s="150"/>
      <c r="Y334" s="466"/>
      <c r="Z334" s="455"/>
      <c r="AA334" s="150"/>
      <c r="AB334" s="490">
        <v>4000</v>
      </c>
      <c r="AC334" s="150"/>
      <c r="AD334" s="150"/>
      <c r="AE334" s="466"/>
      <c r="AF334" s="499"/>
      <c r="AG334" s="150"/>
      <c r="AH334" s="150"/>
      <c r="AI334" s="150"/>
      <c r="AJ334" s="150"/>
      <c r="AK334" s="150"/>
      <c r="AL334" s="150"/>
      <c r="AM334" s="150"/>
      <c r="AN334" s="466"/>
      <c r="AO334" s="466"/>
      <c r="AP334" s="150"/>
      <c r="AQ334" s="150"/>
      <c r="AR334" s="151"/>
      <c r="AS334" s="456"/>
      <c r="AT334" s="466"/>
      <c r="AU334" s="150"/>
      <c r="AV334" s="487"/>
      <c r="AW334" s="150"/>
      <c r="AX334" s="150"/>
      <c r="AY334" s="466">
        <v>3200</v>
      </c>
      <c r="AZ334" s="466"/>
      <c r="BA334" s="150"/>
      <c r="BB334" s="150"/>
      <c r="BC334" s="466"/>
      <c r="BD334" s="466"/>
      <c r="BE334" s="466"/>
      <c r="BF334" s="466"/>
      <c r="BG334" s="150"/>
      <c r="BH334" s="150"/>
      <c r="BI334" s="150"/>
      <c r="BJ334" s="466"/>
      <c r="BK334" s="152"/>
      <c r="BL334" s="160"/>
      <c r="BM334" s="150"/>
      <c r="BN334" s="466"/>
      <c r="BO334" s="150"/>
      <c r="BP334" s="516"/>
      <c r="BQ334" s="160"/>
      <c r="BR334" s="152"/>
      <c r="BS334" s="160"/>
    </row>
    <row r="335" spans="1:71" x14ac:dyDescent="0.3">
      <c r="A335" s="420">
        <f>DL!A332</f>
        <v>305</v>
      </c>
      <c r="B335" s="19" t="s">
        <v>179</v>
      </c>
      <c r="C335" s="149">
        <f>DL!L332</f>
        <v>500</v>
      </c>
      <c r="D335" s="149">
        <f>DL!C332</f>
        <v>1000</v>
      </c>
      <c r="E335" s="150"/>
      <c r="F335" s="463"/>
      <c r="G335" s="150"/>
      <c r="H335" s="150"/>
      <c r="I335" s="466"/>
      <c r="J335" s="150"/>
      <c r="K335" s="168"/>
      <c r="L335" s="466"/>
      <c r="M335" s="150"/>
      <c r="N335" s="466"/>
      <c r="O335" s="150"/>
      <c r="P335" s="150"/>
      <c r="Q335" s="150"/>
      <c r="R335" s="472"/>
      <c r="S335" s="466">
        <v>600</v>
      </c>
      <c r="T335" s="150"/>
      <c r="U335" s="150"/>
      <c r="V335" s="150"/>
      <c r="W335" s="168"/>
      <c r="X335" s="150"/>
      <c r="Y335" s="466"/>
      <c r="Z335" s="455"/>
      <c r="AA335" s="150"/>
      <c r="AB335" s="490"/>
      <c r="AC335" s="150"/>
      <c r="AD335" s="150"/>
      <c r="AE335" s="466"/>
      <c r="AF335" s="499"/>
      <c r="AG335" s="150"/>
      <c r="AH335" s="150"/>
      <c r="AI335" s="150"/>
      <c r="AJ335" s="150"/>
      <c r="AK335" s="150"/>
      <c r="AL335" s="150"/>
      <c r="AM335" s="150"/>
      <c r="AN335" s="466"/>
      <c r="AO335" s="466"/>
      <c r="AP335" s="150"/>
      <c r="AQ335" s="150"/>
      <c r="AR335" s="151"/>
      <c r="AS335" s="456"/>
      <c r="AT335" s="466"/>
      <c r="AU335" s="150"/>
      <c r="AV335" s="487"/>
      <c r="AW335" s="150"/>
      <c r="AX335" s="150"/>
      <c r="AY335" s="466"/>
      <c r="AZ335" s="466"/>
      <c r="BA335" s="150"/>
      <c r="BB335" s="150"/>
      <c r="BC335" s="466"/>
      <c r="BD335" s="466"/>
      <c r="BE335" s="466"/>
      <c r="BF335" s="466"/>
      <c r="BG335" s="150"/>
      <c r="BH335" s="150"/>
      <c r="BI335" s="150"/>
      <c r="BJ335" s="466">
        <v>700</v>
      </c>
      <c r="BK335" s="152"/>
      <c r="BL335" s="160"/>
      <c r="BM335" s="150"/>
      <c r="BN335" s="466"/>
      <c r="BO335" s="150"/>
      <c r="BP335" s="516"/>
      <c r="BQ335" s="160"/>
      <c r="BR335" s="152"/>
      <c r="BS335" s="160"/>
    </row>
    <row r="336" spans="1:71" x14ac:dyDescent="0.3">
      <c r="A336" s="420">
        <f>DL!A333</f>
        <v>306</v>
      </c>
      <c r="B336" s="19" t="s">
        <v>722</v>
      </c>
      <c r="C336" s="149">
        <f>DL!L333</f>
        <v>2000</v>
      </c>
      <c r="D336" s="149">
        <f>DL!C333</f>
        <v>30</v>
      </c>
      <c r="E336" s="150"/>
      <c r="F336" s="463"/>
      <c r="G336" s="150"/>
      <c r="H336" s="150"/>
      <c r="I336" s="466"/>
      <c r="J336" s="150"/>
      <c r="K336" s="168"/>
      <c r="L336" s="466"/>
      <c r="M336" s="150"/>
      <c r="N336" s="466"/>
      <c r="O336" s="150"/>
      <c r="P336" s="150"/>
      <c r="Q336" s="150"/>
      <c r="R336" s="472"/>
      <c r="S336" s="466"/>
      <c r="T336" s="150"/>
      <c r="U336" s="150"/>
      <c r="V336" s="150"/>
      <c r="W336" s="168"/>
      <c r="X336" s="150"/>
      <c r="Y336" s="466"/>
      <c r="Z336" s="455"/>
      <c r="AA336" s="150"/>
      <c r="AB336" s="490"/>
      <c r="AC336" s="150"/>
      <c r="AD336" s="150"/>
      <c r="AE336" s="466"/>
      <c r="AF336" s="499"/>
      <c r="AG336" s="150"/>
      <c r="AH336" s="150"/>
      <c r="AI336" s="150"/>
      <c r="AJ336" s="150"/>
      <c r="AK336" s="150"/>
      <c r="AL336" s="150"/>
      <c r="AM336" s="150"/>
      <c r="AN336" s="466">
        <v>650</v>
      </c>
      <c r="AO336" s="466"/>
      <c r="AP336" s="150"/>
      <c r="AQ336" s="150"/>
      <c r="AR336" s="151"/>
      <c r="AS336" s="456"/>
      <c r="AT336" s="466"/>
      <c r="AU336" s="150"/>
      <c r="AV336" s="487"/>
      <c r="AW336" s="150"/>
      <c r="AX336" s="150"/>
      <c r="AY336" s="466">
        <v>500</v>
      </c>
      <c r="AZ336" s="466"/>
      <c r="BA336" s="150"/>
      <c r="BB336" s="150"/>
      <c r="BC336" s="466"/>
      <c r="BD336" s="466">
        <v>195</v>
      </c>
      <c r="BE336" s="466"/>
      <c r="BF336" s="466"/>
      <c r="BG336" s="150"/>
      <c r="BH336" s="150"/>
      <c r="BI336" s="150"/>
      <c r="BJ336" s="466"/>
      <c r="BK336" s="152"/>
      <c r="BL336" s="160"/>
      <c r="BM336" s="150"/>
      <c r="BN336" s="466"/>
      <c r="BO336" s="150"/>
      <c r="BP336" s="516"/>
      <c r="BQ336" s="160"/>
      <c r="BR336" s="152"/>
      <c r="BS336" s="160"/>
    </row>
    <row r="337" spans="1:71" x14ac:dyDescent="0.3">
      <c r="A337" s="420">
        <f>DL!A334</f>
        <v>307</v>
      </c>
      <c r="B337" s="19" t="s">
        <v>456</v>
      </c>
      <c r="C337" s="149">
        <f>DL!L334</f>
        <v>100</v>
      </c>
      <c r="D337" s="149" t="str">
        <f>DL!C334</f>
        <v>BOTT</v>
      </c>
      <c r="E337" s="150"/>
      <c r="F337" s="463"/>
      <c r="G337" s="150"/>
      <c r="H337" s="150"/>
      <c r="I337" s="466"/>
      <c r="J337" s="150"/>
      <c r="K337" s="168"/>
      <c r="L337" s="466"/>
      <c r="M337" s="150"/>
      <c r="N337" s="466"/>
      <c r="O337" s="150"/>
      <c r="P337" s="150"/>
      <c r="Q337" s="150"/>
      <c r="R337" s="472"/>
      <c r="S337" s="466">
        <v>320</v>
      </c>
      <c r="T337" s="150"/>
      <c r="U337" s="150"/>
      <c r="V337" s="150"/>
      <c r="W337" s="168"/>
      <c r="X337" s="150"/>
      <c r="Y337" s="466"/>
      <c r="Z337" s="455"/>
      <c r="AA337" s="150"/>
      <c r="AB337" s="490"/>
      <c r="AC337" s="150"/>
      <c r="AD337" s="150"/>
      <c r="AE337" s="466"/>
      <c r="AF337" s="499"/>
      <c r="AG337" s="150"/>
      <c r="AH337" s="150"/>
      <c r="AI337" s="150"/>
      <c r="AJ337" s="150"/>
      <c r="AK337" s="150"/>
      <c r="AL337" s="150"/>
      <c r="AM337" s="150"/>
      <c r="AN337" s="466"/>
      <c r="AO337" s="466"/>
      <c r="AP337" s="150"/>
      <c r="AQ337" s="150"/>
      <c r="AR337" s="151"/>
      <c r="AS337" s="456"/>
      <c r="AT337" s="466"/>
      <c r="AU337" s="150"/>
      <c r="AV337" s="487"/>
      <c r="AW337" s="150"/>
      <c r="AX337" s="150"/>
      <c r="AY337" s="466"/>
      <c r="AZ337" s="466"/>
      <c r="BA337" s="150"/>
      <c r="BB337" s="150"/>
      <c r="BC337" s="466"/>
      <c r="BD337" s="466"/>
      <c r="BE337" s="466"/>
      <c r="BF337" s="466"/>
      <c r="BG337" s="150"/>
      <c r="BH337" s="150"/>
      <c r="BI337" s="150"/>
      <c r="BJ337" s="466"/>
      <c r="BK337" s="152"/>
      <c r="BL337" s="160"/>
      <c r="BM337" s="150"/>
      <c r="BN337" s="466"/>
      <c r="BO337" s="150"/>
      <c r="BP337" s="516"/>
      <c r="BQ337" s="160"/>
      <c r="BR337" s="152"/>
      <c r="BS337" s="160"/>
    </row>
    <row r="338" spans="1:71" x14ac:dyDescent="0.3">
      <c r="A338" s="420">
        <f>DL!A335</f>
        <v>308</v>
      </c>
      <c r="B338" s="19" t="s">
        <v>180</v>
      </c>
      <c r="C338" s="149">
        <f>DL!L335</f>
        <v>200</v>
      </c>
      <c r="D338" s="149">
        <f>DL!C335</f>
        <v>1000</v>
      </c>
      <c r="E338" s="150"/>
      <c r="F338" s="463"/>
      <c r="G338" s="150"/>
      <c r="H338" s="150"/>
      <c r="I338" s="466"/>
      <c r="J338" s="150"/>
      <c r="K338" s="168"/>
      <c r="L338" s="466"/>
      <c r="M338" s="150"/>
      <c r="N338" s="466"/>
      <c r="O338" s="150"/>
      <c r="P338" s="150"/>
      <c r="Q338" s="150"/>
      <c r="R338" s="473">
        <v>800</v>
      </c>
      <c r="S338" s="466">
        <v>700</v>
      </c>
      <c r="T338" s="150"/>
      <c r="U338" s="150"/>
      <c r="V338" s="150"/>
      <c r="W338" s="168"/>
      <c r="X338" s="150"/>
      <c r="Y338" s="466"/>
      <c r="Z338" s="455"/>
      <c r="AA338" s="150"/>
      <c r="AB338" s="490"/>
      <c r="AC338" s="150"/>
      <c r="AD338" s="150"/>
      <c r="AE338" s="466"/>
      <c r="AF338" s="499"/>
      <c r="AG338" s="150"/>
      <c r="AH338" s="150"/>
      <c r="AI338" s="150"/>
      <c r="AJ338" s="150"/>
      <c r="AK338" s="150"/>
      <c r="AL338" s="150"/>
      <c r="AM338" s="150"/>
      <c r="AN338" s="466"/>
      <c r="AO338" s="466"/>
      <c r="AP338" s="150"/>
      <c r="AQ338" s="150"/>
      <c r="AR338" s="151"/>
      <c r="AS338" s="456"/>
      <c r="AT338" s="466"/>
      <c r="AU338" s="150"/>
      <c r="AV338" s="487"/>
      <c r="AW338" s="150"/>
      <c r="AX338" s="150"/>
      <c r="AY338" s="466"/>
      <c r="AZ338" s="466"/>
      <c r="BA338" s="150"/>
      <c r="BB338" s="150"/>
      <c r="BC338" s="466"/>
      <c r="BD338" s="466"/>
      <c r="BE338" s="466"/>
      <c r="BF338" s="466"/>
      <c r="BG338" s="150"/>
      <c r="BH338" s="150"/>
      <c r="BI338" s="150"/>
      <c r="BJ338" s="466"/>
      <c r="BK338" s="152"/>
      <c r="BL338" s="160"/>
      <c r="BM338" s="150"/>
      <c r="BN338" s="466"/>
      <c r="BO338" s="150"/>
      <c r="BP338" s="516"/>
      <c r="BQ338" s="160"/>
      <c r="BR338" s="152"/>
      <c r="BS338" s="160"/>
    </row>
    <row r="339" spans="1:71" x14ac:dyDescent="0.3">
      <c r="A339" s="420">
        <f>DL!A336</f>
        <v>309</v>
      </c>
      <c r="B339" s="19" t="s">
        <v>182</v>
      </c>
      <c r="C339" s="149">
        <f>DL!L336</f>
        <v>1000</v>
      </c>
      <c r="D339" s="149" t="str">
        <f>DL!C336</f>
        <v>VIAL</v>
      </c>
      <c r="E339" s="150">
        <v>2800</v>
      </c>
      <c r="F339" s="463"/>
      <c r="G339" s="150"/>
      <c r="H339" s="150"/>
      <c r="I339" s="466"/>
      <c r="J339" s="150"/>
      <c r="K339" s="168"/>
      <c r="L339" s="466"/>
      <c r="M339" s="150"/>
      <c r="N339" s="466"/>
      <c r="O339" s="150"/>
      <c r="P339" s="150"/>
      <c r="Q339" s="150"/>
      <c r="R339" s="472"/>
      <c r="S339" s="466">
        <v>1800</v>
      </c>
      <c r="T339" s="150"/>
      <c r="U339" s="150"/>
      <c r="V339" s="150"/>
      <c r="W339" s="168"/>
      <c r="X339" s="150"/>
      <c r="Y339" s="466"/>
      <c r="Z339" s="455"/>
      <c r="AA339" s="150"/>
      <c r="AB339" s="490"/>
      <c r="AC339" s="150"/>
      <c r="AD339" s="150"/>
      <c r="AE339" s="466"/>
      <c r="AF339" s="499"/>
      <c r="AG339" s="150"/>
      <c r="AH339" s="150"/>
      <c r="AI339" s="150"/>
      <c r="AJ339" s="150"/>
      <c r="AK339" s="150"/>
      <c r="AL339" s="150"/>
      <c r="AM339" s="150"/>
      <c r="AN339" s="466"/>
      <c r="AO339" s="466"/>
      <c r="AP339" s="150"/>
      <c r="AQ339" s="150"/>
      <c r="AR339" s="151"/>
      <c r="AS339" s="456"/>
      <c r="AT339" s="466"/>
      <c r="AU339" s="150"/>
      <c r="AV339" s="487"/>
      <c r="AW339" s="150"/>
      <c r="AX339" s="150"/>
      <c r="AY339" s="466"/>
      <c r="AZ339" s="466"/>
      <c r="BA339" s="150"/>
      <c r="BB339" s="150"/>
      <c r="BC339" s="466"/>
      <c r="BD339" s="466"/>
      <c r="BE339" s="466"/>
      <c r="BF339" s="466"/>
      <c r="BG339" s="150"/>
      <c r="BH339" s="150"/>
      <c r="BI339" s="150"/>
      <c r="BJ339" s="466"/>
      <c r="BK339" s="152"/>
      <c r="BL339" s="160"/>
      <c r="BM339" s="150"/>
      <c r="BN339" s="466"/>
      <c r="BO339" s="150"/>
      <c r="BP339" s="516"/>
      <c r="BQ339" s="160"/>
      <c r="BR339" s="152"/>
      <c r="BS339" s="160"/>
    </row>
    <row r="340" spans="1:71" x14ac:dyDescent="0.3">
      <c r="A340" s="420">
        <f>DL!A337</f>
        <v>310</v>
      </c>
      <c r="B340" s="19" t="s">
        <v>183</v>
      </c>
      <c r="C340" s="149">
        <f>DL!L337</f>
        <v>1500</v>
      </c>
      <c r="D340" s="149">
        <f>DL!C337</f>
        <v>30</v>
      </c>
      <c r="E340" s="150"/>
      <c r="F340" s="463"/>
      <c r="G340" s="150"/>
      <c r="H340" s="150"/>
      <c r="I340" s="466"/>
      <c r="J340" s="150"/>
      <c r="K340" s="168"/>
      <c r="L340" s="466"/>
      <c r="M340" s="150"/>
      <c r="N340" s="466"/>
      <c r="O340" s="150"/>
      <c r="P340" s="150"/>
      <c r="Q340" s="150"/>
      <c r="R340" s="472"/>
      <c r="S340" s="466"/>
      <c r="T340" s="150"/>
      <c r="U340" s="150"/>
      <c r="V340" s="150"/>
      <c r="W340" s="168"/>
      <c r="X340" s="150"/>
      <c r="Y340" s="466"/>
      <c r="Z340" s="455"/>
      <c r="AA340" s="150"/>
      <c r="AB340" s="490"/>
      <c r="AC340" s="150"/>
      <c r="AD340" s="150"/>
      <c r="AE340" s="466"/>
      <c r="AF340" s="499"/>
      <c r="AG340" s="150"/>
      <c r="AH340" s="150"/>
      <c r="AI340" s="150"/>
      <c r="AJ340" s="150"/>
      <c r="AK340" s="150"/>
      <c r="AL340" s="150"/>
      <c r="AM340" s="150"/>
      <c r="AN340" s="467">
        <v>2300</v>
      </c>
      <c r="AO340" s="466"/>
      <c r="AP340" s="150"/>
      <c r="AQ340" s="150"/>
      <c r="AR340" s="151"/>
      <c r="AS340" s="456"/>
      <c r="AT340" s="466"/>
      <c r="AU340" s="150"/>
      <c r="AV340" s="487"/>
      <c r="AW340" s="150"/>
      <c r="AX340" s="150"/>
      <c r="AY340" s="466"/>
      <c r="AZ340" s="466"/>
      <c r="BA340" s="150"/>
      <c r="BB340" s="150"/>
      <c r="BC340" s="466"/>
      <c r="BD340" s="466"/>
      <c r="BE340" s="466"/>
      <c r="BF340" s="466"/>
      <c r="BG340" s="150"/>
      <c r="BH340" s="150"/>
      <c r="BI340" s="150"/>
      <c r="BJ340" s="466"/>
      <c r="BK340" s="152"/>
      <c r="BL340" s="160"/>
      <c r="BM340" s="150"/>
      <c r="BN340" s="466"/>
      <c r="BO340" s="150"/>
      <c r="BP340" s="516"/>
      <c r="BQ340" s="160"/>
      <c r="BR340" s="152"/>
      <c r="BS340" s="160"/>
    </row>
    <row r="341" spans="1:71" x14ac:dyDescent="0.3">
      <c r="A341" s="420">
        <f>DL!A338</f>
        <v>311</v>
      </c>
      <c r="B341" s="19" t="s">
        <v>1315</v>
      </c>
      <c r="C341" s="149">
        <f>DL!L338</f>
        <v>600</v>
      </c>
      <c r="D341" s="149">
        <f>DL!C338</f>
        <v>20</v>
      </c>
      <c r="E341" s="150"/>
      <c r="F341" s="463"/>
      <c r="G341" s="150"/>
      <c r="H341" s="150"/>
      <c r="I341" s="466"/>
      <c r="J341" s="150"/>
      <c r="K341" s="168"/>
      <c r="L341" s="466"/>
      <c r="M341" s="150"/>
      <c r="N341" s="466"/>
      <c r="O341" s="150"/>
      <c r="P341" s="150"/>
      <c r="Q341" s="150"/>
      <c r="R341" s="472"/>
      <c r="S341" s="466">
        <v>2700</v>
      </c>
      <c r="T341" s="150"/>
      <c r="U341" s="150"/>
      <c r="V341" s="150"/>
      <c r="W341" s="168"/>
      <c r="X341" s="150"/>
      <c r="Y341" s="466"/>
      <c r="Z341" s="455"/>
      <c r="AA341" s="150"/>
      <c r="AB341" s="490">
        <v>500</v>
      </c>
      <c r="AC341" s="150"/>
      <c r="AD341" s="150"/>
      <c r="AE341" s="466"/>
      <c r="AF341" s="499"/>
      <c r="AG341" s="150"/>
      <c r="AH341" s="150"/>
      <c r="AI341" s="150"/>
      <c r="AJ341" s="150"/>
      <c r="AK341" s="150"/>
      <c r="AL341" s="150"/>
      <c r="AM341" s="150"/>
      <c r="AN341" s="466"/>
      <c r="AO341" s="466">
        <v>410</v>
      </c>
      <c r="AP341" s="150"/>
      <c r="AQ341" s="150"/>
      <c r="AR341" s="151"/>
      <c r="AS341" s="456"/>
      <c r="AT341" s="466"/>
      <c r="AU341" s="150"/>
      <c r="AV341" s="487"/>
      <c r="AW341" s="150"/>
      <c r="AX341" s="150"/>
      <c r="AY341" s="466"/>
      <c r="AZ341" s="466"/>
      <c r="BA341" s="150"/>
      <c r="BB341" s="150"/>
      <c r="BC341" s="466"/>
      <c r="BD341" s="466"/>
      <c r="BE341" s="466"/>
      <c r="BF341" s="466"/>
      <c r="BG341" s="150"/>
      <c r="BH341" s="150"/>
      <c r="BI341" s="150"/>
      <c r="BJ341" s="466">
        <v>480</v>
      </c>
      <c r="BK341" s="152"/>
      <c r="BL341" s="160"/>
      <c r="BM341" s="150"/>
      <c r="BN341" s="466"/>
      <c r="BO341" s="150"/>
      <c r="BP341" s="516"/>
      <c r="BQ341" s="160"/>
      <c r="BR341" s="152"/>
      <c r="BS341" s="160"/>
    </row>
    <row r="342" spans="1:71" x14ac:dyDescent="0.3">
      <c r="A342" s="420">
        <f>DL!A339</f>
        <v>312</v>
      </c>
      <c r="B342" s="19" t="s">
        <v>181</v>
      </c>
      <c r="C342" s="149">
        <f>DL!L339</f>
        <v>960</v>
      </c>
      <c r="D342" s="149">
        <f>DL!C339</f>
        <v>30</v>
      </c>
      <c r="E342" s="150"/>
      <c r="F342" s="463"/>
      <c r="G342" s="150"/>
      <c r="H342" s="150"/>
      <c r="I342" s="466"/>
      <c r="J342" s="150"/>
      <c r="K342" s="168"/>
      <c r="L342" s="466"/>
      <c r="M342" s="150"/>
      <c r="N342" s="466"/>
      <c r="O342" s="150"/>
      <c r="P342" s="150"/>
      <c r="Q342" s="150"/>
      <c r="R342" s="472"/>
      <c r="S342" s="466"/>
      <c r="T342" s="150"/>
      <c r="U342" s="150"/>
      <c r="V342" s="150"/>
      <c r="W342" s="168"/>
      <c r="X342" s="150"/>
      <c r="Y342" s="466"/>
      <c r="Z342" s="455"/>
      <c r="AA342" s="150"/>
      <c r="AB342" s="490"/>
      <c r="AC342" s="150"/>
      <c r="AD342" s="150"/>
      <c r="AE342" s="466">
        <v>380</v>
      </c>
      <c r="AF342" s="499"/>
      <c r="AG342" s="150"/>
      <c r="AH342" s="150"/>
      <c r="AI342" s="150"/>
      <c r="AJ342" s="150"/>
      <c r="AK342" s="150"/>
      <c r="AL342" s="150"/>
      <c r="AM342" s="150"/>
      <c r="AN342" s="466">
        <v>900</v>
      </c>
      <c r="AO342" s="466">
        <v>790</v>
      </c>
      <c r="AP342" s="150"/>
      <c r="AQ342" s="150"/>
      <c r="AR342" s="151"/>
      <c r="AS342" s="456"/>
      <c r="AT342" s="466"/>
      <c r="AU342" s="150"/>
      <c r="AV342" s="487"/>
      <c r="AW342" s="150"/>
      <c r="AX342" s="150"/>
      <c r="AY342" s="466"/>
      <c r="AZ342" s="466"/>
      <c r="BA342" s="150"/>
      <c r="BB342" s="150"/>
      <c r="BC342" s="466"/>
      <c r="BD342" s="466"/>
      <c r="BE342" s="466"/>
      <c r="BF342" s="466">
        <v>304.47000000000003</v>
      </c>
      <c r="BG342" s="150"/>
      <c r="BH342" s="150"/>
      <c r="BI342" s="150"/>
      <c r="BJ342" s="466">
        <v>380</v>
      </c>
      <c r="BK342" s="152"/>
      <c r="BL342" s="160"/>
      <c r="BM342" s="150">
        <v>170</v>
      </c>
      <c r="BN342" s="466"/>
      <c r="BO342" s="150"/>
      <c r="BP342" s="516"/>
      <c r="BQ342" s="160"/>
      <c r="BR342" s="152"/>
      <c r="BS342" s="160"/>
    </row>
    <row r="343" spans="1:71" x14ac:dyDescent="0.3">
      <c r="A343" s="420">
        <f>DL!A340</f>
        <v>313</v>
      </c>
      <c r="B343" s="19" t="s">
        <v>1316</v>
      </c>
      <c r="C343" s="149">
        <f>DL!L340</f>
        <v>20</v>
      </c>
      <c r="D343" s="149">
        <f>DL!C340</f>
        <v>100</v>
      </c>
      <c r="E343" s="150"/>
      <c r="F343" s="463"/>
      <c r="G343" s="150"/>
      <c r="H343" s="150"/>
      <c r="I343" s="466"/>
      <c r="J343" s="150"/>
      <c r="K343" s="168"/>
      <c r="L343" s="466"/>
      <c r="M343" s="150"/>
      <c r="N343" s="466"/>
      <c r="O343" s="150"/>
      <c r="P343" s="150"/>
      <c r="Q343" s="150"/>
      <c r="R343" s="472"/>
      <c r="S343" s="466"/>
      <c r="T343" s="150"/>
      <c r="U343" s="150"/>
      <c r="V343" s="150"/>
      <c r="W343" s="168"/>
      <c r="X343" s="150"/>
      <c r="Y343" s="466"/>
      <c r="Z343" s="455"/>
      <c r="AA343" s="150"/>
      <c r="AB343" s="490"/>
      <c r="AC343" s="150"/>
      <c r="AD343" s="150"/>
      <c r="AE343" s="466"/>
      <c r="AF343" s="499"/>
      <c r="AG343" s="150"/>
      <c r="AH343" s="150"/>
      <c r="AI343" s="150"/>
      <c r="AJ343" s="150"/>
      <c r="AK343" s="150"/>
      <c r="AL343" s="150"/>
      <c r="AM343" s="150"/>
      <c r="AN343" s="466"/>
      <c r="AO343" s="466"/>
      <c r="AP343" s="150"/>
      <c r="AQ343" s="150"/>
      <c r="AR343" s="151"/>
      <c r="AS343" s="456"/>
      <c r="AT343" s="466">
        <v>4450</v>
      </c>
      <c r="AU343" s="150"/>
      <c r="AV343" s="487"/>
      <c r="AW343" s="150"/>
      <c r="AX343" s="150"/>
      <c r="AY343" s="466"/>
      <c r="AZ343" s="466"/>
      <c r="BA343" s="150"/>
      <c r="BB343" s="150"/>
      <c r="BC343" s="466"/>
      <c r="BD343" s="466"/>
      <c r="BE343" s="466"/>
      <c r="BF343" s="466"/>
      <c r="BG343" s="150"/>
      <c r="BH343" s="150"/>
      <c r="BI343" s="150"/>
      <c r="BJ343" s="466"/>
      <c r="BK343" s="152"/>
      <c r="BL343" s="160"/>
      <c r="BM343" s="150"/>
      <c r="BN343" s="466"/>
      <c r="BO343" s="150"/>
      <c r="BP343" s="516"/>
      <c r="BQ343" s="160"/>
      <c r="BR343" s="152"/>
      <c r="BS343" s="160"/>
    </row>
    <row r="344" spans="1:71" x14ac:dyDescent="0.3">
      <c r="A344" s="420">
        <f>DL!A341</f>
        <v>314</v>
      </c>
      <c r="B344" s="19" t="s">
        <v>753</v>
      </c>
      <c r="C344" s="149">
        <f>DL!L341</f>
        <v>200</v>
      </c>
      <c r="D344" s="149" t="str">
        <f>DL!C341</f>
        <v>BOTT</v>
      </c>
      <c r="E344" s="150"/>
      <c r="F344" s="463"/>
      <c r="G344" s="150"/>
      <c r="H344" s="150"/>
      <c r="I344" s="466"/>
      <c r="J344" s="150"/>
      <c r="K344" s="168"/>
      <c r="L344" s="466"/>
      <c r="M344" s="150"/>
      <c r="N344" s="466"/>
      <c r="O344" s="150"/>
      <c r="P344" s="150"/>
      <c r="Q344" s="150"/>
      <c r="R344" s="473">
        <v>134.6</v>
      </c>
      <c r="S344" s="466">
        <v>990</v>
      </c>
      <c r="T344" s="150"/>
      <c r="U344" s="150"/>
      <c r="V344" s="150"/>
      <c r="W344" s="168"/>
      <c r="X344" s="150"/>
      <c r="Y344" s="466"/>
      <c r="Z344" s="455"/>
      <c r="AA344" s="150"/>
      <c r="AB344" s="490"/>
      <c r="AC344" s="150"/>
      <c r="AD344" s="150"/>
      <c r="AE344" s="466"/>
      <c r="AF344" s="499"/>
      <c r="AG344" s="150"/>
      <c r="AH344" s="150"/>
      <c r="AI344" s="150"/>
      <c r="AJ344" s="150"/>
      <c r="AK344" s="150"/>
      <c r="AL344" s="150"/>
      <c r="AM344" s="150"/>
      <c r="AN344" s="466"/>
      <c r="AO344" s="466"/>
      <c r="AP344" s="150"/>
      <c r="AQ344" s="150"/>
      <c r="AR344" s="151"/>
      <c r="AS344" s="456"/>
      <c r="AT344" s="466"/>
      <c r="AU344" s="150"/>
      <c r="AV344" s="487"/>
      <c r="AW344" s="150"/>
      <c r="AX344" s="150"/>
      <c r="AY344" s="466"/>
      <c r="AZ344" s="466"/>
      <c r="BA344" s="150"/>
      <c r="BB344" s="150"/>
      <c r="BC344" s="466"/>
      <c r="BD344" s="466"/>
      <c r="BE344" s="466"/>
      <c r="BF344" s="466"/>
      <c r="BG344" s="150"/>
      <c r="BH344" s="150"/>
      <c r="BI344" s="150"/>
      <c r="BJ344" s="466">
        <v>160</v>
      </c>
      <c r="BK344" s="152"/>
      <c r="BL344" s="160"/>
      <c r="BM344" s="150"/>
      <c r="BN344" s="466"/>
      <c r="BO344" s="150"/>
      <c r="BP344" s="516"/>
      <c r="BQ344" s="160"/>
      <c r="BR344" s="152"/>
      <c r="BS344" s="160"/>
    </row>
    <row r="345" spans="1:71" x14ac:dyDescent="0.3">
      <c r="A345" s="420">
        <f>DL!A342</f>
        <v>315</v>
      </c>
      <c r="B345" s="19" t="s">
        <v>691</v>
      </c>
      <c r="C345" s="149">
        <f>DL!L342</f>
        <v>800</v>
      </c>
      <c r="D345" s="149" t="str">
        <f>DL!C342</f>
        <v>BOTT</v>
      </c>
      <c r="E345" s="150"/>
      <c r="F345" s="463"/>
      <c r="G345" s="150"/>
      <c r="H345" s="150"/>
      <c r="I345" s="466">
        <v>276</v>
      </c>
      <c r="J345" s="150"/>
      <c r="K345" s="168"/>
      <c r="L345" s="466"/>
      <c r="M345" s="150"/>
      <c r="N345" s="466"/>
      <c r="O345" s="150"/>
      <c r="P345" s="150"/>
      <c r="Q345" s="150"/>
      <c r="R345" s="473">
        <v>156.16</v>
      </c>
      <c r="S345" s="466">
        <v>100</v>
      </c>
      <c r="T345" s="150">
        <v>120</v>
      </c>
      <c r="U345" s="150"/>
      <c r="V345" s="150"/>
      <c r="W345" s="168"/>
      <c r="X345" s="150"/>
      <c r="Y345" s="466"/>
      <c r="Z345" s="455"/>
      <c r="AA345" s="150"/>
      <c r="AB345" s="490"/>
      <c r="AC345" s="150"/>
      <c r="AD345" s="150"/>
      <c r="AE345" s="466">
        <v>195</v>
      </c>
      <c r="AF345" s="499"/>
      <c r="AG345" s="150"/>
      <c r="AH345" s="150"/>
      <c r="AI345" s="150"/>
      <c r="AJ345" s="150"/>
      <c r="AK345" s="150"/>
      <c r="AL345" s="150"/>
      <c r="AM345" s="150"/>
      <c r="AN345" s="466"/>
      <c r="AO345" s="466"/>
      <c r="AP345" s="150"/>
      <c r="AQ345" s="150"/>
      <c r="AR345" s="151"/>
      <c r="AS345" s="456"/>
      <c r="AT345" s="466"/>
      <c r="AU345" s="150"/>
      <c r="AV345" s="487"/>
      <c r="AW345" s="150"/>
      <c r="AX345" s="150"/>
      <c r="AY345" s="466"/>
      <c r="AZ345" s="466"/>
      <c r="BA345" s="150"/>
      <c r="BB345" s="150"/>
      <c r="BC345" s="466"/>
      <c r="BD345" s="466"/>
      <c r="BE345" s="466"/>
      <c r="BF345" s="466">
        <v>171.9</v>
      </c>
      <c r="BG345" s="150"/>
      <c r="BH345" s="150"/>
      <c r="BI345" s="150"/>
      <c r="BJ345" s="466"/>
      <c r="BK345" s="152"/>
      <c r="BL345" s="160"/>
      <c r="BM345" s="150">
        <v>100</v>
      </c>
      <c r="BN345" s="466"/>
      <c r="BO345" s="150"/>
      <c r="BP345" s="516"/>
      <c r="BQ345" s="160"/>
      <c r="BR345" s="152"/>
      <c r="BS345" s="160"/>
    </row>
    <row r="346" spans="1:71" x14ac:dyDescent="0.3">
      <c r="A346" s="420">
        <f>DL!A343</f>
        <v>316</v>
      </c>
      <c r="B346" s="19" t="s">
        <v>184</v>
      </c>
      <c r="C346" s="149">
        <f>DL!L343</f>
        <v>100</v>
      </c>
      <c r="D346" s="149">
        <f>DL!C343</f>
        <v>1000</v>
      </c>
      <c r="E346" s="150"/>
      <c r="F346" s="463"/>
      <c r="G346" s="150"/>
      <c r="H346" s="150"/>
      <c r="I346" s="466"/>
      <c r="J346" s="150"/>
      <c r="K346" s="168"/>
      <c r="L346" s="466"/>
      <c r="M346" s="150"/>
      <c r="N346" s="466"/>
      <c r="O346" s="150"/>
      <c r="P346" s="150"/>
      <c r="Q346" s="150"/>
      <c r="R346" s="473">
        <v>782.08900000000006</v>
      </c>
      <c r="S346" s="466">
        <v>700</v>
      </c>
      <c r="T346" s="150"/>
      <c r="U346" s="150"/>
      <c r="V346" s="150"/>
      <c r="W346" s="168"/>
      <c r="X346" s="150"/>
      <c r="Y346" s="466"/>
      <c r="Z346" s="455"/>
      <c r="AA346" s="150"/>
      <c r="AB346" s="490"/>
      <c r="AC346" s="150"/>
      <c r="AD346" s="150"/>
      <c r="AE346" s="466"/>
      <c r="AF346" s="499"/>
      <c r="AG346" s="150"/>
      <c r="AH346" s="150"/>
      <c r="AI346" s="150"/>
      <c r="AJ346" s="150"/>
      <c r="AK346" s="150"/>
      <c r="AL346" s="150"/>
      <c r="AM346" s="150"/>
      <c r="AN346" s="466"/>
      <c r="AO346" s="466"/>
      <c r="AP346" s="150"/>
      <c r="AQ346" s="150"/>
      <c r="AR346" s="151"/>
      <c r="AS346" s="456"/>
      <c r="AT346" s="466"/>
      <c r="AU346" s="150"/>
      <c r="AV346" s="487"/>
      <c r="AW346" s="150"/>
      <c r="AX346" s="150"/>
      <c r="AY346" s="466"/>
      <c r="AZ346" s="466"/>
      <c r="BA346" s="150"/>
      <c r="BB346" s="150"/>
      <c r="BC346" s="466"/>
      <c r="BD346" s="466"/>
      <c r="BE346" s="466"/>
      <c r="BF346" s="466"/>
      <c r="BG346" s="150"/>
      <c r="BH346" s="150"/>
      <c r="BI346" s="150"/>
      <c r="BJ346" s="466"/>
      <c r="BK346" s="152"/>
      <c r="BL346" s="160"/>
      <c r="BM346" s="150"/>
      <c r="BN346" s="466"/>
      <c r="BO346" s="150"/>
      <c r="BP346" s="516"/>
      <c r="BQ346" s="160"/>
      <c r="BR346" s="152"/>
      <c r="BS346" s="160"/>
    </row>
    <row r="347" spans="1:71" x14ac:dyDescent="0.3">
      <c r="A347" s="420">
        <f>DL!A344</f>
        <v>317</v>
      </c>
      <c r="B347" s="19" t="s">
        <v>723</v>
      </c>
      <c r="C347" s="149">
        <f>DL!L344</f>
        <v>50</v>
      </c>
      <c r="D347" s="149">
        <f>DL!C344</f>
        <v>30</v>
      </c>
      <c r="E347" s="150"/>
      <c r="F347" s="463"/>
      <c r="G347" s="150"/>
      <c r="H347" s="150"/>
      <c r="I347" s="466"/>
      <c r="J347" s="150"/>
      <c r="K347" s="168"/>
      <c r="L347" s="466"/>
      <c r="M347" s="150"/>
      <c r="N347" s="466"/>
      <c r="O347" s="150"/>
      <c r="P347" s="150"/>
      <c r="Q347" s="150"/>
      <c r="R347" s="472"/>
      <c r="S347" s="466"/>
      <c r="T347" s="150"/>
      <c r="U347" s="150"/>
      <c r="V347" s="150"/>
      <c r="W347" s="168"/>
      <c r="X347" s="150"/>
      <c r="Y347" s="466"/>
      <c r="Z347" s="455"/>
      <c r="AA347" s="150"/>
      <c r="AB347" s="490"/>
      <c r="AC347" s="150"/>
      <c r="AD347" s="150"/>
      <c r="AE347" s="466"/>
      <c r="AF347" s="499"/>
      <c r="AG347" s="150"/>
      <c r="AH347" s="150"/>
      <c r="AI347" s="150"/>
      <c r="AJ347" s="150"/>
      <c r="AK347" s="150"/>
      <c r="AL347" s="150"/>
      <c r="AM347" s="150"/>
      <c r="AN347" s="466"/>
      <c r="AO347" s="466"/>
      <c r="AP347" s="150"/>
      <c r="AQ347" s="150"/>
      <c r="AR347" s="151"/>
      <c r="AS347" s="456"/>
      <c r="AT347" s="466"/>
      <c r="AU347" s="150"/>
      <c r="AV347" s="487"/>
      <c r="AW347" s="150"/>
      <c r="AX347" s="150"/>
      <c r="AY347" s="466"/>
      <c r="AZ347" s="466"/>
      <c r="BA347" s="150"/>
      <c r="BB347" s="150"/>
      <c r="BC347" s="466"/>
      <c r="BD347" s="466"/>
      <c r="BE347" s="466"/>
      <c r="BF347" s="466"/>
      <c r="BG347" s="150"/>
      <c r="BH347" s="150"/>
      <c r="BI347" s="150"/>
      <c r="BJ347" s="466"/>
      <c r="BK347" s="152"/>
      <c r="BL347" s="160"/>
      <c r="BM347" s="150"/>
      <c r="BN347" s="466"/>
      <c r="BO347" s="150"/>
      <c r="BP347" s="516"/>
      <c r="BQ347" s="160"/>
      <c r="BR347" s="152"/>
      <c r="BS347" s="160"/>
    </row>
    <row r="348" spans="1:71" x14ac:dyDescent="0.3">
      <c r="A348" s="420">
        <f>DL!A345</f>
        <v>318</v>
      </c>
      <c r="B348" s="19" t="s">
        <v>705</v>
      </c>
      <c r="C348" s="149">
        <f>DL!L345</f>
        <v>400</v>
      </c>
      <c r="D348" s="149">
        <f>DL!C345</f>
        <v>100</v>
      </c>
      <c r="E348" s="150"/>
      <c r="F348" s="463"/>
      <c r="G348" s="150"/>
      <c r="H348" s="150"/>
      <c r="I348" s="466"/>
      <c r="J348" s="150"/>
      <c r="K348" s="168"/>
      <c r="L348" s="466"/>
      <c r="M348" s="150"/>
      <c r="N348" s="466"/>
      <c r="O348" s="150"/>
      <c r="P348" s="150"/>
      <c r="Q348" s="150"/>
      <c r="R348" s="472"/>
      <c r="S348" s="466"/>
      <c r="T348" s="150"/>
      <c r="U348" s="150"/>
      <c r="V348" s="150"/>
      <c r="W348" s="168"/>
      <c r="X348" s="150"/>
      <c r="Y348" s="466"/>
      <c r="Z348" s="455"/>
      <c r="AA348" s="150"/>
      <c r="AB348" s="490"/>
      <c r="AC348" s="150"/>
      <c r="AD348" s="150"/>
      <c r="AE348" s="466"/>
      <c r="AF348" s="499"/>
      <c r="AG348" s="150"/>
      <c r="AH348" s="150"/>
      <c r="AI348" s="150"/>
      <c r="AJ348" s="150"/>
      <c r="AK348" s="150"/>
      <c r="AL348" s="150"/>
      <c r="AM348" s="150"/>
      <c r="AN348" s="466"/>
      <c r="AO348" s="466"/>
      <c r="AP348" s="150"/>
      <c r="AQ348" s="150"/>
      <c r="AR348" s="151"/>
      <c r="AS348" s="456"/>
      <c r="AT348" s="466"/>
      <c r="AU348" s="150"/>
      <c r="AV348" s="487"/>
      <c r="AW348" s="150"/>
      <c r="AX348" s="150"/>
      <c r="AY348" s="466"/>
      <c r="AZ348" s="466"/>
      <c r="BA348" s="150"/>
      <c r="BB348" s="150"/>
      <c r="BC348" s="466"/>
      <c r="BD348" s="466"/>
      <c r="BE348" s="466"/>
      <c r="BF348" s="466"/>
      <c r="BG348" s="150"/>
      <c r="BH348" s="150"/>
      <c r="BI348" s="150"/>
      <c r="BJ348" s="466"/>
      <c r="BK348" s="152"/>
      <c r="BL348" s="160"/>
      <c r="BM348" s="150"/>
      <c r="BN348" s="466"/>
      <c r="BO348" s="150"/>
      <c r="BP348" s="516"/>
      <c r="BQ348" s="160"/>
      <c r="BR348" s="152"/>
      <c r="BS348" s="160"/>
    </row>
    <row r="349" spans="1:71" x14ac:dyDescent="0.3">
      <c r="A349" s="420">
        <f>DL!A346</f>
        <v>319</v>
      </c>
      <c r="B349" s="19" t="s">
        <v>754</v>
      </c>
      <c r="C349" s="149">
        <v>2000</v>
      </c>
      <c r="D349" s="149">
        <f>DL!C346</f>
        <v>30</v>
      </c>
      <c r="E349" s="150"/>
      <c r="F349" s="463"/>
      <c r="G349" s="150"/>
      <c r="H349" s="150"/>
      <c r="I349" s="466"/>
      <c r="J349" s="150"/>
      <c r="K349" s="168"/>
      <c r="L349" s="466"/>
      <c r="M349" s="150"/>
      <c r="N349" s="466"/>
      <c r="O349" s="150"/>
      <c r="P349" s="150"/>
      <c r="Q349" s="150"/>
      <c r="R349" s="473">
        <v>897.22</v>
      </c>
      <c r="S349" s="466">
        <v>1050</v>
      </c>
      <c r="T349" s="150"/>
      <c r="U349" s="150"/>
      <c r="V349" s="150"/>
      <c r="W349" s="168"/>
      <c r="X349" s="150"/>
      <c r="Y349" s="466"/>
      <c r="Z349" s="455"/>
      <c r="AA349" s="150"/>
      <c r="AB349" s="490"/>
      <c r="AC349" s="150"/>
      <c r="AD349" s="150"/>
      <c r="AE349" s="466"/>
      <c r="AF349" s="499"/>
      <c r="AG349" s="150"/>
      <c r="AH349" s="150"/>
      <c r="AI349" s="150"/>
      <c r="AJ349" s="150"/>
      <c r="AK349" s="150"/>
      <c r="AL349" s="150"/>
      <c r="AM349" s="150"/>
      <c r="AN349" s="467">
        <v>3800</v>
      </c>
      <c r="AO349" s="466"/>
      <c r="AP349" s="150"/>
      <c r="AQ349" s="150"/>
      <c r="AR349" s="151"/>
      <c r="AS349" s="456"/>
      <c r="AT349" s="466"/>
      <c r="AU349" s="150"/>
      <c r="AV349" s="487"/>
      <c r="AW349" s="150"/>
      <c r="AX349" s="150"/>
      <c r="AY349" s="466"/>
      <c r="AZ349" s="466"/>
      <c r="BA349" s="150"/>
      <c r="BB349" s="150"/>
      <c r="BC349" s="466"/>
      <c r="BD349" s="466"/>
      <c r="BE349" s="466"/>
      <c r="BF349" s="466"/>
      <c r="BG349" s="150"/>
      <c r="BH349" s="150"/>
      <c r="BI349" s="150"/>
      <c r="BJ349" s="466"/>
      <c r="BK349" s="152"/>
      <c r="BL349" s="160"/>
      <c r="BM349" s="150"/>
      <c r="BN349" s="466"/>
      <c r="BO349" s="150">
        <v>935</v>
      </c>
      <c r="BP349" s="516"/>
      <c r="BQ349" s="160"/>
      <c r="BR349" s="152"/>
      <c r="BS349" s="160"/>
    </row>
    <row r="350" spans="1:71" x14ac:dyDescent="0.3">
      <c r="A350" s="420">
        <f>DL!A347</f>
        <v>320</v>
      </c>
      <c r="B350" s="19" t="s">
        <v>457</v>
      </c>
      <c r="C350" s="149">
        <f>DL!L347</f>
        <v>2000</v>
      </c>
      <c r="D350" s="149">
        <f>DL!C347</f>
        <v>3</v>
      </c>
      <c r="E350" s="150"/>
      <c r="F350" s="463"/>
      <c r="G350" s="150"/>
      <c r="H350" s="150"/>
      <c r="I350" s="466"/>
      <c r="J350" s="150"/>
      <c r="K350" s="168"/>
      <c r="L350" s="466"/>
      <c r="M350" s="150"/>
      <c r="N350" s="466"/>
      <c r="O350" s="150"/>
      <c r="P350" s="150"/>
      <c r="Q350" s="150"/>
      <c r="R350" s="473">
        <v>128.876</v>
      </c>
      <c r="S350" s="466"/>
      <c r="T350" s="150"/>
      <c r="U350" s="150"/>
      <c r="V350" s="150"/>
      <c r="W350" s="168"/>
      <c r="X350" s="150"/>
      <c r="Y350" s="466"/>
      <c r="Z350" s="455"/>
      <c r="AA350" s="150">
        <v>107</v>
      </c>
      <c r="AB350" s="490"/>
      <c r="AC350" s="150"/>
      <c r="AD350" s="150"/>
      <c r="AE350" s="466"/>
      <c r="AF350" s="499"/>
      <c r="AG350" s="150"/>
      <c r="AH350" s="150"/>
      <c r="AI350" s="150"/>
      <c r="AJ350" s="150"/>
      <c r="AK350" s="150"/>
      <c r="AL350" s="150"/>
      <c r="AM350" s="150"/>
      <c r="AN350" s="466"/>
      <c r="AO350" s="466"/>
      <c r="AP350" s="150"/>
      <c r="AQ350" s="150"/>
      <c r="AR350" s="151"/>
      <c r="AS350" s="456"/>
      <c r="AT350" s="466"/>
      <c r="AU350" s="150"/>
      <c r="AV350" s="487"/>
      <c r="AW350" s="150"/>
      <c r="AX350" s="150"/>
      <c r="AY350" s="466"/>
      <c r="AZ350" s="466"/>
      <c r="BA350" s="150"/>
      <c r="BB350" s="150"/>
      <c r="BC350" s="466"/>
      <c r="BD350" s="466"/>
      <c r="BE350" s="466"/>
      <c r="BF350" s="466"/>
      <c r="BG350" s="150"/>
      <c r="BH350" s="150"/>
      <c r="BI350" s="150"/>
      <c r="BJ350" s="466"/>
      <c r="BK350" s="152"/>
      <c r="BL350" s="160"/>
      <c r="BM350" s="150"/>
      <c r="BN350" s="466"/>
      <c r="BO350" s="150"/>
      <c r="BP350" s="516"/>
      <c r="BQ350" s="160"/>
      <c r="BR350" s="152"/>
      <c r="BS350" s="160"/>
    </row>
    <row r="351" spans="1:71" x14ac:dyDescent="0.3">
      <c r="A351" s="420">
        <f>DL!A348</f>
        <v>321</v>
      </c>
      <c r="B351" s="19" t="s">
        <v>185</v>
      </c>
      <c r="C351" s="149">
        <f>DL!L348</f>
        <v>400</v>
      </c>
      <c r="D351" s="149">
        <f>DL!C348</f>
        <v>30</v>
      </c>
      <c r="E351" s="150"/>
      <c r="F351" s="463"/>
      <c r="G351" s="150"/>
      <c r="H351" s="150"/>
      <c r="I351" s="466"/>
      <c r="J351" s="150"/>
      <c r="K351" s="168"/>
      <c r="L351" s="466"/>
      <c r="M351" s="150"/>
      <c r="N351" s="466"/>
      <c r="O351" s="150"/>
      <c r="P351" s="150"/>
      <c r="Q351" s="150"/>
      <c r="R351" s="472"/>
      <c r="S351" s="466"/>
      <c r="T351" s="150"/>
      <c r="U351" s="150"/>
      <c r="V351" s="150"/>
      <c r="W351" s="168"/>
      <c r="X351" s="150"/>
      <c r="Y351" s="466"/>
      <c r="Z351" s="455"/>
      <c r="AA351" s="150"/>
      <c r="AB351" s="490"/>
      <c r="AC351" s="150"/>
      <c r="AD351" s="150"/>
      <c r="AE351" s="466"/>
      <c r="AF351" s="499"/>
      <c r="AG351" s="150"/>
      <c r="AH351" s="150"/>
      <c r="AI351" s="150"/>
      <c r="AJ351" s="150"/>
      <c r="AK351" s="150"/>
      <c r="AL351" s="150"/>
      <c r="AM351" s="150"/>
      <c r="AN351" s="467">
        <v>1500</v>
      </c>
      <c r="AO351" s="466"/>
      <c r="AP351" s="150"/>
      <c r="AQ351" s="150"/>
      <c r="AR351" s="151"/>
      <c r="AS351" s="456"/>
      <c r="AT351" s="466"/>
      <c r="AU351" s="150"/>
      <c r="AV351" s="487"/>
      <c r="AW351" s="150"/>
      <c r="AX351" s="150"/>
      <c r="AY351" s="466"/>
      <c r="AZ351" s="466"/>
      <c r="BA351" s="150"/>
      <c r="BB351" s="150"/>
      <c r="BC351" s="466"/>
      <c r="BD351" s="466"/>
      <c r="BE351" s="466"/>
      <c r="BF351" s="466"/>
      <c r="BG351" s="150"/>
      <c r="BH351" s="150"/>
      <c r="BI351" s="150"/>
      <c r="BJ351" s="466"/>
      <c r="BK351" s="152"/>
      <c r="BL351" s="160"/>
      <c r="BM351" s="150"/>
      <c r="BN351" s="466"/>
      <c r="BO351" s="150"/>
      <c r="BP351" s="516"/>
      <c r="BQ351" s="160"/>
      <c r="BR351" s="152"/>
      <c r="BS351" s="160"/>
    </row>
    <row r="352" spans="1:71" x14ac:dyDescent="0.3">
      <c r="A352" s="420">
        <f>DL!A349</f>
        <v>322</v>
      </c>
      <c r="B352" s="19" t="s">
        <v>458</v>
      </c>
      <c r="C352" s="149">
        <f>DL!L349</f>
        <v>50</v>
      </c>
      <c r="D352" s="149">
        <f>DL!C349</f>
        <v>30</v>
      </c>
      <c r="E352" s="150"/>
      <c r="F352" s="463"/>
      <c r="G352" s="150"/>
      <c r="H352" s="150"/>
      <c r="I352" s="466"/>
      <c r="J352" s="150"/>
      <c r="K352" s="168"/>
      <c r="L352" s="466"/>
      <c r="M352" s="150"/>
      <c r="N352" s="466"/>
      <c r="O352" s="150"/>
      <c r="P352" s="150"/>
      <c r="Q352" s="150"/>
      <c r="R352" s="472"/>
      <c r="S352" s="466"/>
      <c r="T352" s="150"/>
      <c r="U352" s="150"/>
      <c r="V352" s="150"/>
      <c r="W352" s="168"/>
      <c r="X352" s="150"/>
      <c r="Y352" s="466"/>
      <c r="Z352" s="455"/>
      <c r="AA352" s="150"/>
      <c r="AB352" s="490"/>
      <c r="AC352" s="150"/>
      <c r="AD352" s="150"/>
      <c r="AE352" s="466"/>
      <c r="AF352" s="499"/>
      <c r="AG352" s="150"/>
      <c r="AH352" s="150"/>
      <c r="AI352" s="150"/>
      <c r="AJ352" s="150"/>
      <c r="AK352" s="150"/>
      <c r="AL352" s="150"/>
      <c r="AM352" s="150"/>
      <c r="AN352" s="466"/>
      <c r="AO352" s="466"/>
      <c r="AP352" s="150"/>
      <c r="AQ352" s="150"/>
      <c r="AR352" s="151"/>
      <c r="AS352" s="456"/>
      <c r="AT352" s="466"/>
      <c r="AU352" s="150"/>
      <c r="AV352" s="487"/>
      <c r="AW352" s="150"/>
      <c r="AX352" s="150"/>
      <c r="AY352" s="466">
        <v>1350</v>
      </c>
      <c r="AZ352" s="466"/>
      <c r="BA352" s="150"/>
      <c r="BB352" s="150"/>
      <c r="BC352" s="466"/>
      <c r="BD352" s="466"/>
      <c r="BE352" s="466"/>
      <c r="BF352" s="466"/>
      <c r="BG352" s="150"/>
      <c r="BH352" s="150"/>
      <c r="BI352" s="150"/>
      <c r="BJ352" s="466"/>
      <c r="BK352" s="152"/>
      <c r="BL352" s="160"/>
      <c r="BM352" s="150"/>
      <c r="BN352" s="466"/>
      <c r="BO352" s="150"/>
      <c r="BP352" s="516"/>
      <c r="BQ352" s="160"/>
      <c r="BR352" s="152"/>
      <c r="BS352" s="160"/>
    </row>
    <row r="353" spans="1:71" x14ac:dyDescent="0.3">
      <c r="A353" s="420">
        <f>DL!A350</f>
        <v>323</v>
      </c>
      <c r="B353" s="19" t="s">
        <v>187</v>
      </c>
      <c r="C353" s="149">
        <f>DL!L350</f>
        <v>2000</v>
      </c>
      <c r="D353" s="149" t="str">
        <f>DL!C350</f>
        <v>AMP</v>
      </c>
      <c r="E353" s="150">
        <v>560</v>
      </c>
      <c r="F353" s="463"/>
      <c r="G353" s="150"/>
      <c r="H353" s="150"/>
      <c r="I353" s="466"/>
      <c r="J353" s="150"/>
      <c r="K353" s="168"/>
      <c r="L353" s="466"/>
      <c r="M353" s="150"/>
      <c r="N353" s="466"/>
      <c r="O353" s="150"/>
      <c r="P353" s="150"/>
      <c r="Q353" s="150"/>
      <c r="R353" s="472"/>
      <c r="S353" s="466">
        <v>400</v>
      </c>
      <c r="T353" s="150"/>
      <c r="U353" s="150"/>
      <c r="V353" s="150"/>
      <c r="W353" s="168"/>
      <c r="X353" s="150"/>
      <c r="Y353" s="466"/>
      <c r="Z353" s="455"/>
      <c r="AA353" s="150"/>
      <c r="AB353" s="490"/>
      <c r="AC353" s="150"/>
      <c r="AD353" s="150"/>
      <c r="AE353" s="466"/>
      <c r="AF353" s="499"/>
      <c r="AG353" s="150">
        <v>850</v>
      </c>
      <c r="AH353" s="150"/>
      <c r="AI353" s="150"/>
      <c r="AJ353" s="150"/>
      <c r="AK353" s="150"/>
      <c r="AL353" s="150"/>
      <c r="AM353" s="150"/>
      <c r="AN353" s="466"/>
      <c r="AO353" s="466"/>
      <c r="AP353" s="150"/>
      <c r="AQ353" s="150"/>
      <c r="AR353" s="151"/>
      <c r="AS353" s="456"/>
      <c r="AT353" s="466"/>
      <c r="AU353" s="150"/>
      <c r="AV353" s="487"/>
      <c r="AW353" s="150"/>
      <c r="AX353" s="150"/>
      <c r="AY353" s="466"/>
      <c r="AZ353" s="466"/>
      <c r="BA353" s="150"/>
      <c r="BB353" s="150"/>
      <c r="BC353" s="466"/>
      <c r="BD353" s="466"/>
      <c r="BE353" s="466"/>
      <c r="BF353" s="466"/>
      <c r="BG353" s="150"/>
      <c r="BH353" s="150"/>
      <c r="BI353" s="150"/>
      <c r="BJ353" s="466"/>
      <c r="BK353" s="152"/>
      <c r="BL353" s="160"/>
      <c r="BM353" s="150"/>
      <c r="BN353" s="466"/>
      <c r="BO353" s="150"/>
      <c r="BP353" s="516"/>
      <c r="BQ353" s="160"/>
      <c r="BR353" s="152"/>
      <c r="BS353" s="160"/>
    </row>
    <row r="354" spans="1:71" x14ac:dyDescent="0.3">
      <c r="A354" s="420">
        <f>DL!A351</f>
        <v>324</v>
      </c>
      <c r="B354" s="19" t="s">
        <v>186</v>
      </c>
      <c r="C354" s="149">
        <f>DL!L351</f>
        <v>250</v>
      </c>
      <c r="D354" s="149">
        <f>DL!C351</f>
        <v>40</v>
      </c>
      <c r="E354" s="150"/>
      <c r="F354" s="463"/>
      <c r="G354" s="150"/>
      <c r="H354" s="150"/>
      <c r="I354" s="466"/>
      <c r="J354" s="150"/>
      <c r="K354" s="168"/>
      <c r="L354" s="466"/>
      <c r="M354" s="150"/>
      <c r="N354" s="466"/>
      <c r="O354" s="150"/>
      <c r="P354" s="150"/>
      <c r="Q354" s="150"/>
      <c r="R354" s="472"/>
      <c r="S354" s="466"/>
      <c r="T354" s="150"/>
      <c r="U354" s="150"/>
      <c r="V354" s="150"/>
      <c r="W354" s="168"/>
      <c r="X354" s="150"/>
      <c r="Y354" s="466"/>
      <c r="Z354" s="455"/>
      <c r="AA354" s="150"/>
      <c r="AB354" s="490"/>
      <c r="AC354" s="150"/>
      <c r="AD354" s="150"/>
      <c r="AE354" s="466"/>
      <c r="AF354" s="499"/>
      <c r="AG354" s="150"/>
      <c r="AH354" s="150"/>
      <c r="AI354" s="150"/>
      <c r="AJ354" s="150"/>
      <c r="AK354" s="150"/>
      <c r="AL354" s="150"/>
      <c r="AM354" s="150"/>
      <c r="AN354" s="466"/>
      <c r="AO354" s="466"/>
      <c r="AP354" s="150"/>
      <c r="AQ354" s="150"/>
      <c r="AR354" s="151"/>
      <c r="AS354" s="456"/>
      <c r="AT354" s="466"/>
      <c r="AU354" s="150"/>
      <c r="AV354" s="487"/>
      <c r="AW354" s="150"/>
      <c r="AX354" s="150"/>
      <c r="AY354" s="466"/>
      <c r="AZ354" s="466"/>
      <c r="BA354" s="150"/>
      <c r="BB354" s="150"/>
      <c r="BC354" s="466"/>
      <c r="BD354" s="466"/>
      <c r="BE354" s="466"/>
      <c r="BF354" s="466"/>
      <c r="BG354" s="150"/>
      <c r="BH354" s="150"/>
      <c r="BI354" s="150"/>
      <c r="BJ354" s="466"/>
      <c r="BK354" s="152"/>
      <c r="BL354" s="160"/>
      <c r="BM354" s="150"/>
      <c r="BN354" s="466"/>
      <c r="BO354" s="150"/>
      <c r="BP354" s="516"/>
      <c r="BQ354" s="160"/>
      <c r="BR354" s="152"/>
      <c r="BS354" s="160"/>
    </row>
    <row r="355" spans="1:71" x14ac:dyDescent="0.3">
      <c r="A355" s="420">
        <f>DL!A352</f>
        <v>325</v>
      </c>
      <c r="B355" s="19" t="s">
        <v>188</v>
      </c>
      <c r="C355" s="149">
        <f>DL!L352</f>
        <v>20</v>
      </c>
      <c r="D355" s="149">
        <f>DL!C352</f>
        <v>1000</v>
      </c>
      <c r="E355" s="150"/>
      <c r="F355" s="463"/>
      <c r="G355" s="150"/>
      <c r="H355" s="150"/>
      <c r="I355" s="466"/>
      <c r="J355" s="150"/>
      <c r="K355" s="168"/>
      <c r="L355" s="466"/>
      <c r="M355" s="150"/>
      <c r="N355" s="466"/>
      <c r="O355" s="150"/>
      <c r="P355" s="150"/>
      <c r="Q355" s="150"/>
      <c r="R355" s="472"/>
      <c r="S355" s="466">
        <v>1100</v>
      </c>
      <c r="T355" s="150"/>
      <c r="U355" s="150"/>
      <c r="V355" s="150"/>
      <c r="W355" s="168"/>
      <c r="X355" s="150"/>
      <c r="Y355" s="466"/>
      <c r="Z355" s="455"/>
      <c r="AA355" s="150"/>
      <c r="AB355" s="490"/>
      <c r="AC355" s="150"/>
      <c r="AD355" s="150"/>
      <c r="AE355" s="466"/>
      <c r="AF355" s="499"/>
      <c r="AG355" s="150"/>
      <c r="AH355" s="150"/>
      <c r="AI355" s="150"/>
      <c r="AJ355" s="150"/>
      <c r="AK355" s="150"/>
      <c r="AL355" s="150"/>
      <c r="AM355" s="150"/>
      <c r="AN355" s="466"/>
      <c r="AO355" s="466"/>
      <c r="AP355" s="150"/>
      <c r="AQ355" s="150"/>
      <c r="AR355" s="151"/>
      <c r="AS355" s="456"/>
      <c r="AT355" s="466"/>
      <c r="AU355" s="150"/>
      <c r="AV355" s="487"/>
      <c r="AW355" s="150"/>
      <c r="AX355" s="150"/>
      <c r="AY355" s="466"/>
      <c r="AZ355" s="466"/>
      <c r="BA355" s="150"/>
      <c r="BB355" s="150"/>
      <c r="BC355" s="466"/>
      <c r="BD355" s="466"/>
      <c r="BE355" s="466"/>
      <c r="BF355" s="466"/>
      <c r="BG355" s="150"/>
      <c r="BH355" s="150"/>
      <c r="BI355" s="150"/>
      <c r="BJ355" s="466"/>
      <c r="BK355" s="152"/>
      <c r="BL355" s="160"/>
      <c r="BM355" s="150"/>
      <c r="BN355" s="466"/>
      <c r="BO355" s="150"/>
      <c r="BP355" s="516"/>
      <c r="BQ355" s="160"/>
      <c r="BR355" s="152"/>
      <c r="BS355" s="160"/>
    </row>
    <row r="356" spans="1:71" x14ac:dyDescent="0.3">
      <c r="A356" s="420">
        <f>DL!A353</f>
        <v>326</v>
      </c>
      <c r="B356" s="19" t="s">
        <v>459</v>
      </c>
      <c r="C356" s="149">
        <f>DL!L353</f>
        <v>10</v>
      </c>
      <c r="D356" s="149">
        <f>DL!C353</f>
        <v>30</v>
      </c>
      <c r="E356" s="150"/>
      <c r="F356" s="463"/>
      <c r="G356" s="150"/>
      <c r="H356" s="150"/>
      <c r="I356" s="466"/>
      <c r="J356" s="150"/>
      <c r="K356" s="168"/>
      <c r="L356" s="466"/>
      <c r="M356" s="150"/>
      <c r="N356" s="466"/>
      <c r="O356" s="150"/>
      <c r="P356" s="150"/>
      <c r="Q356" s="150"/>
      <c r="R356" s="472"/>
      <c r="S356" s="466">
        <v>22000</v>
      </c>
      <c r="T356" s="150"/>
      <c r="U356" s="150"/>
      <c r="V356" s="150"/>
      <c r="W356" s="168"/>
      <c r="X356" s="150"/>
      <c r="Y356" s="466"/>
      <c r="Z356" s="455"/>
      <c r="AA356" s="150"/>
      <c r="AB356" s="490"/>
      <c r="AC356" s="150"/>
      <c r="AD356" s="150"/>
      <c r="AE356" s="466"/>
      <c r="AF356" s="499"/>
      <c r="AG356" s="150"/>
      <c r="AH356" s="150"/>
      <c r="AI356" s="150"/>
      <c r="AJ356" s="150"/>
      <c r="AK356" s="150"/>
      <c r="AL356" s="150"/>
      <c r="AM356" s="150"/>
      <c r="AN356" s="466"/>
      <c r="AO356" s="466"/>
      <c r="AP356" s="150"/>
      <c r="AQ356" s="150"/>
      <c r="AR356" s="151"/>
      <c r="AS356" s="456"/>
      <c r="AT356" s="466"/>
      <c r="AU356" s="150"/>
      <c r="AV356" s="487"/>
      <c r="AW356" s="150"/>
      <c r="AX356" s="150"/>
      <c r="AY356" s="466"/>
      <c r="AZ356" s="466"/>
      <c r="BA356" s="150"/>
      <c r="BB356" s="150"/>
      <c r="BC356" s="466"/>
      <c r="BD356" s="466"/>
      <c r="BE356" s="466"/>
      <c r="BF356" s="466"/>
      <c r="BG356" s="150"/>
      <c r="BH356" s="150"/>
      <c r="BI356" s="150"/>
      <c r="BJ356" s="466"/>
      <c r="BK356" s="152"/>
      <c r="BL356" s="160"/>
      <c r="BM356" s="150"/>
      <c r="BN356" s="466"/>
      <c r="BO356" s="150"/>
      <c r="BP356" s="516"/>
      <c r="BQ356" s="160"/>
      <c r="BR356" s="152"/>
      <c r="BS356" s="160"/>
    </row>
    <row r="357" spans="1:71" x14ac:dyDescent="0.3">
      <c r="A357" s="420">
        <f>DL!A354</f>
        <v>327</v>
      </c>
      <c r="B357" s="19" t="s">
        <v>1317</v>
      </c>
      <c r="C357" s="149">
        <f>DL!L354</f>
        <v>100</v>
      </c>
      <c r="D357" s="149">
        <f>DL!C354</f>
        <v>30</v>
      </c>
      <c r="E357" s="150"/>
      <c r="F357" s="463"/>
      <c r="G357" s="150"/>
      <c r="H357" s="150"/>
      <c r="I357" s="466"/>
      <c r="J357" s="150"/>
      <c r="K357" s="168"/>
      <c r="L357" s="466"/>
      <c r="M357" s="150"/>
      <c r="N357" s="466"/>
      <c r="O357" s="150"/>
      <c r="P357" s="150"/>
      <c r="Q357" s="150"/>
      <c r="R357" s="472"/>
      <c r="S357" s="466"/>
      <c r="T357" s="150"/>
      <c r="U357" s="150"/>
      <c r="V357" s="150"/>
      <c r="W357" s="168"/>
      <c r="X357" s="150"/>
      <c r="Y357" s="466"/>
      <c r="Z357" s="455"/>
      <c r="AA357" s="150"/>
      <c r="AB357" s="490"/>
      <c r="AC357" s="150"/>
      <c r="AD357" s="150"/>
      <c r="AE357" s="466"/>
      <c r="AF357" s="499"/>
      <c r="AG357" s="150"/>
      <c r="AH357" s="150"/>
      <c r="AI357" s="150"/>
      <c r="AJ357" s="150"/>
      <c r="AK357" s="150"/>
      <c r="AL357" s="150"/>
      <c r="AM357" s="150"/>
      <c r="AN357" s="466"/>
      <c r="AO357" s="466">
        <v>1908</v>
      </c>
      <c r="AP357" s="150"/>
      <c r="AQ357" s="150"/>
      <c r="AR357" s="151"/>
      <c r="AS357" s="456"/>
      <c r="AT357" s="466"/>
      <c r="AU357" s="150"/>
      <c r="AV357" s="487"/>
      <c r="AW357" s="150"/>
      <c r="AX357" s="150"/>
      <c r="AY357" s="466"/>
      <c r="AZ357" s="466"/>
      <c r="BA357" s="150"/>
      <c r="BB357" s="150"/>
      <c r="BC357" s="466"/>
      <c r="BD357" s="466"/>
      <c r="BE357" s="466"/>
      <c r="BF357" s="466"/>
      <c r="BG357" s="150"/>
      <c r="BH357" s="150"/>
      <c r="BI357" s="150"/>
      <c r="BJ357" s="466"/>
      <c r="BK357" s="152"/>
      <c r="BL357" s="160"/>
      <c r="BM357" s="150"/>
      <c r="BN357" s="466"/>
      <c r="BO357" s="150"/>
      <c r="BP357" s="516"/>
      <c r="BQ357" s="160"/>
      <c r="BR357" s="152"/>
      <c r="BS357" s="160"/>
    </row>
    <row r="358" spans="1:71" x14ac:dyDescent="0.3">
      <c r="A358" s="420">
        <f>DL!A355</f>
        <v>328</v>
      </c>
      <c r="B358" s="19" t="s">
        <v>1318</v>
      </c>
      <c r="C358" s="149">
        <f>DL!L355</f>
        <v>50</v>
      </c>
      <c r="D358" s="149">
        <f>DL!C355</f>
        <v>30</v>
      </c>
      <c r="E358" s="150"/>
      <c r="F358" s="463"/>
      <c r="G358" s="150"/>
      <c r="H358" s="150"/>
      <c r="I358" s="466"/>
      <c r="J358" s="150"/>
      <c r="K358" s="168"/>
      <c r="L358" s="466"/>
      <c r="M358" s="150"/>
      <c r="N358" s="466"/>
      <c r="O358" s="150"/>
      <c r="P358" s="150"/>
      <c r="Q358" s="150"/>
      <c r="R358" s="472"/>
      <c r="S358" s="466"/>
      <c r="T358" s="150"/>
      <c r="U358" s="150"/>
      <c r="V358" s="150"/>
      <c r="W358" s="168"/>
      <c r="X358" s="150"/>
      <c r="Y358" s="466"/>
      <c r="Z358" s="455"/>
      <c r="AA358" s="150"/>
      <c r="AB358" s="490"/>
      <c r="AC358" s="150"/>
      <c r="AD358" s="150"/>
      <c r="AE358" s="466"/>
      <c r="AF358" s="499"/>
      <c r="AG358" s="150"/>
      <c r="AH358" s="150"/>
      <c r="AI358" s="150"/>
      <c r="AJ358" s="150"/>
      <c r="AK358" s="150"/>
      <c r="AL358" s="150"/>
      <c r="AM358" s="150"/>
      <c r="AN358" s="466"/>
      <c r="AO358" s="466">
        <v>1265</v>
      </c>
      <c r="AP358" s="150"/>
      <c r="AQ358" s="150"/>
      <c r="AR358" s="151"/>
      <c r="AS358" s="456"/>
      <c r="AT358" s="466"/>
      <c r="AU358" s="150"/>
      <c r="AV358" s="487"/>
      <c r="AW358" s="150"/>
      <c r="AX358" s="150"/>
      <c r="AY358" s="466"/>
      <c r="AZ358" s="466"/>
      <c r="BA358" s="150"/>
      <c r="BB358" s="150"/>
      <c r="BC358" s="466"/>
      <c r="BD358" s="466"/>
      <c r="BE358" s="466"/>
      <c r="BF358" s="466"/>
      <c r="BG358" s="150"/>
      <c r="BH358" s="150"/>
      <c r="BI358" s="150"/>
      <c r="BJ358" s="466"/>
      <c r="BK358" s="152"/>
      <c r="BL358" s="160"/>
      <c r="BM358" s="150"/>
      <c r="BN358" s="466"/>
      <c r="BO358" s="150"/>
      <c r="BP358" s="516"/>
      <c r="BQ358" s="160"/>
      <c r="BR358" s="152"/>
      <c r="BS358" s="160"/>
    </row>
    <row r="359" spans="1:71" x14ac:dyDescent="0.3">
      <c r="A359" s="420">
        <f>DL!A356</f>
        <v>329</v>
      </c>
      <c r="B359" s="19" t="s">
        <v>189</v>
      </c>
      <c r="C359" s="149">
        <f>DL!L356</f>
        <v>50</v>
      </c>
      <c r="D359" s="149" t="str">
        <f>DL!C356</f>
        <v>AMP</v>
      </c>
      <c r="E359" s="150">
        <v>520</v>
      </c>
      <c r="F359" s="463"/>
      <c r="G359" s="150"/>
      <c r="H359" s="150"/>
      <c r="I359" s="466"/>
      <c r="J359" s="150"/>
      <c r="K359" s="168"/>
      <c r="L359" s="466"/>
      <c r="M359" s="150"/>
      <c r="N359" s="466"/>
      <c r="O359" s="150"/>
      <c r="P359" s="150"/>
      <c r="Q359" s="150"/>
      <c r="R359" s="472"/>
      <c r="S359" s="466">
        <v>460</v>
      </c>
      <c r="T359" s="150"/>
      <c r="U359" s="150"/>
      <c r="V359" s="150"/>
      <c r="W359" s="168"/>
      <c r="X359" s="150"/>
      <c r="Y359" s="466"/>
      <c r="Z359" s="455"/>
      <c r="AA359" s="150"/>
      <c r="AB359" s="490"/>
      <c r="AC359" s="150"/>
      <c r="AD359" s="150"/>
      <c r="AE359" s="466"/>
      <c r="AF359" s="499"/>
      <c r="AG359" s="150"/>
      <c r="AH359" s="150"/>
      <c r="AI359" s="150"/>
      <c r="AJ359" s="150"/>
      <c r="AK359" s="150"/>
      <c r="AL359" s="150"/>
      <c r="AM359" s="150"/>
      <c r="AN359" s="466"/>
      <c r="AO359" s="466"/>
      <c r="AP359" s="150"/>
      <c r="AQ359" s="150"/>
      <c r="AR359" s="151"/>
      <c r="AS359" s="456"/>
      <c r="AT359" s="466"/>
      <c r="AU359" s="150"/>
      <c r="AV359" s="487"/>
      <c r="AW359" s="150"/>
      <c r="AX359" s="150"/>
      <c r="AY359" s="466"/>
      <c r="AZ359" s="466"/>
      <c r="BA359" s="150"/>
      <c r="BB359" s="150"/>
      <c r="BC359" s="466"/>
      <c r="BD359" s="466"/>
      <c r="BE359" s="466"/>
      <c r="BF359" s="466"/>
      <c r="BG359" s="150"/>
      <c r="BH359" s="150"/>
      <c r="BI359" s="150"/>
      <c r="BJ359" s="466"/>
      <c r="BK359" s="152"/>
      <c r="BL359" s="160"/>
      <c r="BM359" s="150"/>
      <c r="BN359" s="466"/>
      <c r="BO359" s="150"/>
      <c r="BP359" s="516"/>
      <c r="BQ359" s="160"/>
      <c r="BR359" s="152"/>
      <c r="BS359" s="160"/>
    </row>
    <row r="360" spans="1:71" x14ac:dyDescent="0.3">
      <c r="A360" s="420">
        <f>DL!A357</f>
        <v>330</v>
      </c>
      <c r="B360" s="19" t="s">
        <v>711</v>
      </c>
      <c r="C360" s="149">
        <f>DL!L357</f>
        <v>200</v>
      </c>
      <c r="D360" s="149">
        <f>DL!C357</f>
        <v>60</v>
      </c>
      <c r="E360" s="150"/>
      <c r="F360" s="463"/>
      <c r="G360" s="150"/>
      <c r="H360" s="150"/>
      <c r="I360" s="466"/>
      <c r="J360" s="150"/>
      <c r="K360" s="168"/>
      <c r="L360" s="466"/>
      <c r="M360" s="150"/>
      <c r="N360" s="466"/>
      <c r="O360" s="150"/>
      <c r="P360" s="150"/>
      <c r="Q360" s="150"/>
      <c r="R360" s="472"/>
      <c r="S360" s="466"/>
      <c r="T360" s="150"/>
      <c r="U360" s="150"/>
      <c r="V360" s="150"/>
      <c r="W360" s="168"/>
      <c r="X360" s="150"/>
      <c r="Y360" s="466"/>
      <c r="Z360" s="455"/>
      <c r="AA360" s="150"/>
      <c r="AB360" s="490"/>
      <c r="AC360" s="150"/>
      <c r="AD360" s="150"/>
      <c r="AE360" s="466"/>
      <c r="AF360" s="499"/>
      <c r="AG360" s="150"/>
      <c r="AH360" s="150"/>
      <c r="AI360" s="150"/>
      <c r="AJ360" s="150"/>
      <c r="AK360" s="150"/>
      <c r="AL360" s="150"/>
      <c r="AM360" s="150"/>
      <c r="AN360" s="466"/>
      <c r="AO360" s="466"/>
      <c r="AP360" s="150"/>
      <c r="AQ360" s="150"/>
      <c r="AR360" s="151"/>
      <c r="AS360" s="456"/>
      <c r="AT360" s="466"/>
      <c r="AU360" s="150"/>
      <c r="AV360" s="487"/>
      <c r="AW360" s="150"/>
      <c r="AX360" s="150"/>
      <c r="AY360" s="466"/>
      <c r="AZ360" s="466"/>
      <c r="BA360" s="150"/>
      <c r="BB360" s="150"/>
      <c r="BC360" s="466"/>
      <c r="BD360" s="466"/>
      <c r="BE360" s="466"/>
      <c r="BF360" s="466"/>
      <c r="BG360" s="150"/>
      <c r="BH360" s="150"/>
      <c r="BI360" s="150"/>
      <c r="BJ360" s="466"/>
      <c r="BK360" s="152"/>
      <c r="BL360" s="160"/>
      <c r="BM360" s="150"/>
      <c r="BN360" s="466"/>
      <c r="BO360" s="150"/>
      <c r="BP360" s="516"/>
      <c r="BQ360" s="160"/>
      <c r="BR360" s="152"/>
      <c r="BS360" s="160"/>
    </row>
    <row r="361" spans="1:71" x14ac:dyDescent="0.3">
      <c r="A361" s="420">
        <f>DL!A358</f>
        <v>331</v>
      </c>
      <c r="B361" s="19" t="s">
        <v>190</v>
      </c>
      <c r="C361" s="149">
        <f>DL!L358</f>
        <v>100</v>
      </c>
      <c r="D361" s="149">
        <f>DL!C358</f>
        <v>20</v>
      </c>
      <c r="E361" s="150"/>
      <c r="F361" s="463"/>
      <c r="G361" s="150"/>
      <c r="H361" s="150"/>
      <c r="I361" s="466"/>
      <c r="J361" s="150"/>
      <c r="K361" s="168"/>
      <c r="L361" s="466"/>
      <c r="M361" s="150"/>
      <c r="N361" s="466"/>
      <c r="O361" s="150"/>
      <c r="P361" s="150"/>
      <c r="Q361" s="150"/>
      <c r="R361" s="472"/>
      <c r="S361" s="466">
        <v>2100</v>
      </c>
      <c r="T361" s="150"/>
      <c r="U361" s="150"/>
      <c r="V361" s="150"/>
      <c r="W361" s="168"/>
      <c r="X361" s="150"/>
      <c r="Y361" s="466"/>
      <c r="Z361" s="455"/>
      <c r="AA361" s="150"/>
      <c r="AB361" s="491">
        <f>2500*20/30</f>
        <v>1666.6666666666667</v>
      </c>
      <c r="AC361" s="150"/>
      <c r="AD361" s="150"/>
      <c r="AE361" s="466"/>
      <c r="AF361" s="499"/>
      <c r="AG361" s="150"/>
      <c r="AH361" s="150"/>
      <c r="AI361" s="150"/>
      <c r="AJ361" s="150"/>
      <c r="AK361" s="150"/>
      <c r="AL361" s="150"/>
      <c r="AM361" s="150"/>
      <c r="AN361" s="466"/>
      <c r="AO361" s="466"/>
      <c r="AP361" s="150"/>
      <c r="AQ361" s="150"/>
      <c r="AR361" s="151"/>
      <c r="AS361" s="456"/>
      <c r="AT361" s="466"/>
      <c r="AU361" s="150"/>
      <c r="AV361" s="487"/>
      <c r="AW361" s="150"/>
      <c r="AX361" s="150"/>
      <c r="AY361" s="466"/>
      <c r="AZ361" s="466"/>
      <c r="BA361" s="150"/>
      <c r="BB361" s="150"/>
      <c r="BC361" s="466"/>
      <c r="BD361" s="466"/>
      <c r="BE361" s="466"/>
      <c r="BF361" s="466"/>
      <c r="BG361" s="150"/>
      <c r="BH361" s="150"/>
      <c r="BI361" s="150"/>
      <c r="BJ361" s="466"/>
      <c r="BK361" s="152"/>
      <c r="BL361" s="160"/>
      <c r="BM361" s="150"/>
      <c r="BN361" s="466"/>
      <c r="BO361" s="150"/>
      <c r="BP361" s="516"/>
      <c r="BQ361" s="160"/>
      <c r="BR361" s="152"/>
      <c r="BS361" s="160"/>
    </row>
    <row r="362" spans="1:71" x14ac:dyDescent="0.3">
      <c r="A362" s="420">
        <f>DL!A359</f>
        <v>332</v>
      </c>
      <c r="B362" s="19" t="s">
        <v>191</v>
      </c>
      <c r="C362" s="149">
        <f>DL!L359</f>
        <v>320</v>
      </c>
      <c r="D362" s="149">
        <f>DL!C359</f>
        <v>5</v>
      </c>
      <c r="E362" s="150"/>
      <c r="F362" s="463"/>
      <c r="G362" s="150"/>
      <c r="H362" s="150"/>
      <c r="I362" s="466"/>
      <c r="J362" s="150"/>
      <c r="K362" s="168"/>
      <c r="L362" s="466"/>
      <c r="M362" s="150"/>
      <c r="N362" s="466"/>
      <c r="O362" s="150"/>
      <c r="P362" s="150"/>
      <c r="Q362" s="150"/>
      <c r="R362" s="472"/>
      <c r="S362" s="466">
        <v>1380</v>
      </c>
      <c r="T362" s="150"/>
      <c r="U362" s="150"/>
      <c r="V362" s="150"/>
      <c r="W362" s="168"/>
      <c r="X362" s="150"/>
      <c r="Y362" s="466"/>
      <c r="Z362" s="455"/>
      <c r="AA362" s="150"/>
      <c r="AB362" s="490"/>
      <c r="AC362" s="150"/>
      <c r="AD362" s="150"/>
      <c r="AE362" s="466"/>
      <c r="AF362" s="499"/>
      <c r="AG362" s="150"/>
      <c r="AH362" s="150"/>
      <c r="AI362" s="150"/>
      <c r="AJ362" s="150"/>
      <c r="AK362" s="150"/>
      <c r="AL362" s="150"/>
      <c r="AM362" s="150"/>
      <c r="AN362" s="466"/>
      <c r="AO362" s="466"/>
      <c r="AP362" s="150"/>
      <c r="AQ362" s="150"/>
      <c r="AR362" s="151"/>
      <c r="AS362" s="456"/>
      <c r="AT362" s="466"/>
      <c r="AU362" s="150"/>
      <c r="AV362" s="487"/>
      <c r="AW362" s="150"/>
      <c r="AX362" s="150"/>
      <c r="AY362" s="466"/>
      <c r="AZ362" s="466"/>
      <c r="BA362" s="150"/>
      <c r="BB362" s="150"/>
      <c r="BC362" s="466"/>
      <c r="BD362" s="466"/>
      <c r="BE362" s="466"/>
      <c r="BF362" s="466"/>
      <c r="BG362" s="150"/>
      <c r="BH362" s="150"/>
      <c r="BI362" s="150"/>
      <c r="BJ362" s="466"/>
      <c r="BK362" s="152"/>
      <c r="BL362" s="160"/>
      <c r="BM362" s="150"/>
      <c r="BN362" s="466"/>
      <c r="BO362" s="150"/>
      <c r="BP362" s="516"/>
      <c r="BQ362" s="160"/>
      <c r="BR362" s="152"/>
      <c r="BS362" s="160"/>
    </row>
    <row r="363" spans="1:71" x14ac:dyDescent="0.3">
      <c r="A363" s="420">
        <f>DL!A360</f>
        <v>333</v>
      </c>
      <c r="B363" s="19" t="s">
        <v>1319</v>
      </c>
      <c r="C363" s="149">
        <f>DL!L360</f>
        <v>20</v>
      </c>
      <c r="D363" s="149">
        <f>DL!C360</f>
        <v>30</v>
      </c>
      <c r="E363" s="150"/>
      <c r="F363" s="463"/>
      <c r="G363" s="150"/>
      <c r="H363" s="150"/>
      <c r="I363" s="466"/>
      <c r="J363" s="150"/>
      <c r="K363" s="168"/>
      <c r="L363" s="466"/>
      <c r="M363" s="150"/>
      <c r="N363" s="466"/>
      <c r="O363" s="150"/>
      <c r="P363" s="150"/>
      <c r="Q363" s="150"/>
      <c r="R363" s="472"/>
      <c r="S363" s="466"/>
      <c r="T363" s="150"/>
      <c r="U363" s="150"/>
      <c r="V363" s="150"/>
      <c r="W363" s="168"/>
      <c r="X363" s="150"/>
      <c r="Y363" s="466"/>
      <c r="Z363" s="455"/>
      <c r="AA363" s="150"/>
      <c r="AB363" s="490"/>
      <c r="AC363" s="150"/>
      <c r="AD363" s="150"/>
      <c r="AE363" s="466"/>
      <c r="AF363" s="499"/>
      <c r="AG363" s="150"/>
      <c r="AH363" s="150"/>
      <c r="AI363" s="150"/>
      <c r="AJ363" s="150"/>
      <c r="AK363" s="150"/>
      <c r="AL363" s="150"/>
      <c r="AM363" s="150"/>
      <c r="AN363" s="466"/>
      <c r="AO363" s="466"/>
      <c r="AP363" s="150"/>
      <c r="AQ363" s="150"/>
      <c r="AR363" s="151"/>
      <c r="AS363" s="456"/>
      <c r="AT363" s="466"/>
      <c r="AU363" s="150"/>
      <c r="AV363" s="487"/>
      <c r="AW363" s="150"/>
      <c r="AX363" s="150"/>
      <c r="AY363" s="466"/>
      <c r="AZ363" s="466"/>
      <c r="BA363" s="150"/>
      <c r="BB363" s="150"/>
      <c r="BC363" s="466"/>
      <c r="BD363" s="466"/>
      <c r="BE363" s="466"/>
      <c r="BF363" s="466"/>
      <c r="BG363" s="150"/>
      <c r="BH363" s="150"/>
      <c r="BI363" s="150"/>
      <c r="BJ363" s="466"/>
      <c r="BK363" s="152"/>
      <c r="BL363" s="160"/>
      <c r="BM363" s="150"/>
      <c r="BN363" s="466"/>
      <c r="BO363" s="150"/>
      <c r="BP363" s="516"/>
      <c r="BQ363" s="160"/>
      <c r="BR363" s="152"/>
      <c r="BS363" s="160"/>
    </row>
    <row r="364" spans="1:71" x14ac:dyDescent="0.3">
      <c r="A364" s="420">
        <f>DL!A361</f>
        <v>334</v>
      </c>
      <c r="B364" s="19" t="s">
        <v>1320</v>
      </c>
      <c r="C364" s="149">
        <f>DL!L361</f>
        <v>20</v>
      </c>
      <c r="D364" s="149">
        <f>DL!C361</f>
        <v>30</v>
      </c>
      <c r="E364" s="150"/>
      <c r="F364" s="463"/>
      <c r="G364" s="150"/>
      <c r="H364" s="150"/>
      <c r="I364" s="466"/>
      <c r="J364" s="150"/>
      <c r="K364" s="168"/>
      <c r="L364" s="466"/>
      <c r="M364" s="150"/>
      <c r="N364" s="466"/>
      <c r="O364" s="150"/>
      <c r="P364" s="150"/>
      <c r="Q364" s="150"/>
      <c r="R364" s="472"/>
      <c r="S364" s="466"/>
      <c r="T364" s="150"/>
      <c r="U364" s="150"/>
      <c r="V364" s="150"/>
      <c r="W364" s="168"/>
      <c r="X364" s="150"/>
      <c r="Y364" s="466"/>
      <c r="Z364" s="455"/>
      <c r="AA364" s="150"/>
      <c r="AB364" s="490"/>
      <c r="AC364" s="150"/>
      <c r="AD364" s="150"/>
      <c r="AE364" s="466"/>
      <c r="AF364" s="499"/>
      <c r="AG364" s="150"/>
      <c r="AH364" s="150"/>
      <c r="AI364" s="150"/>
      <c r="AJ364" s="150"/>
      <c r="AK364" s="150"/>
      <c r="AL364" s="150"/>
      <c r="AM364" s="150"/>
      <c r="AN364" s="467">
        <v>7900</v>
      </c>
      <c r="AO364" s="466"/>
      <c r="AP364" s="150"/>
      <c r="AQ364" s="150"/>
      <c r="AR364" s="151"/>
      <c r="AS364" s="456"/>
      <c r="AT364" s="466"/>
      <c r="AU364" s="150"/>
      <c r="AV364" s="487"/>
      <c r="AW364" s="150"/>
      <c r="AX364" s="150"/>
      <c r="AY364" s="466"/>
      <c r="AZ364" s="466"/>
      <c r="BA364" s="150"/>
      <c r="BB364" s="150"/>
      <c r="BC364" s="466"/>
      <c r="BD364" s="466"/>
      <c r="BE364" s="466"/>
      <c r="BF364" s="466"/>
      <c r="BG364" s="150"/>
      <c r="BH364" s="150"/>
      <c r="BI364" s="150"/>
      <c r="BJ364" s="466"/>
      <c r="BK364" s="152"/>
      <c r="BL364" s="160"/>
      <c r="BM364" s="150"/>
      <c r="BN364" s="466"/>
      <c r="BO364" s="150"/>
      <c r="BP364" s="516"/>
      <c r="BQ364" s="160"/>
      <c r="BR364" s="152"/>
      <c r="BS364" s="160"/>
    </row>
    <row r="365" spans="1:71" x14ac:dyDescent="0.3">
      <c r="A365" s="420">
        <f>DL!A362</f>
        <v>335</v>
      </c>
      <c r="B365" s="19" t="s">
        <v>192</v>
      </c>
      <c r="C365" s="149">
        <v>2000</v>
      </c>
      <c r="D365" s="149">
        <f>DL!C362</f>
        <v>100</v>
      </c>
      <c r="E365" s="150"/>
      <c r="F365" s="463"/>
      <c r="G365" s="150"/>
      <c r="H365" s="150"/>
      <c r="I365" s="466"/>
      <c r="J365" s="150"/>
      <c r="K365" s="168"/>
      <c r="L365" s="466"/>
      <c r="M365" s="150"/>
      <c r="N365" s="466"/>
      <c r="O365" s="150"/>
      <c r="P365" s="150"/>
      <c r="Q365" s="150"/>
      <c r="R365" s="472"/>
      <c r="S365" s="466"/>
      <c r="T365" s="150"/>
      <c r="U365" s="150"/>
      <c r="V365" s="150"/>
      <c r="W365" s="168"/>
      <c r="X365" s="150"/>
      <c r="Y365" s="466"/>
      <c r="Z365" s="455"/>
      <c r="AA365" s="150"/>
      <c r="AB365" s="490"/>
      <c r="AC365" s="150"/>
      <c r="AD365" s="150"/>
      <c r="AE365" s="466"/>
      <c r="AF365" s="499"/>
      <c r="AG365" s="150"/>
      <c r="AH365" s="150"/>
      <c r="AI365" s="150"/>
      <c r="AJ365" s="150"/>
      <c r="AK365" s="150"/>
      <c r="AL365" s="150"/>
      <c r="AM365" s="150"/>
      <c r="AN365" s="466"/>
      <c r="AO365" s="466"/>
      <c r="AP365" s="150"/>
      <c r="AQ365" s="150"/>
      <c r="AR365" s="151"/>
      <c r="AS365" s="456"/>
      <c r="AT365" s="466"/>
      <c r="AU365" s="150"/>
      <c r="AV365" s="487"/>
      <c r="AW365" s="150"/>
      <c r="AX365" s="150">
        <v>3750</v>
      </c>
      <c r="AY365" s="466"/>
      <c r="AZ365" s="466"/>
      <c r="BA365" s="150"/>
      <c r="BB365" s="150"/>
      <c r="BC365" s="466"/>
      <c r="BD365" s="466"/>
      <c r="BE365" s="466"/>
      <c r="BF365" s="466"/>
      <c r="BG365" s="150"/>
      <c r="BH365" s="150"/>
      <c r="BI365" s="150"/>
      <c r="BJ365" s="466"/>
      <c r="BK365" s="152"/>
      <c r="BL365" s="160"/>
      <c r="BM365" s="150"/>
      <c r="BN365" s="466"/>
      <c r="BO365" s="150"/>
      <c r="BP365" s="516"/>
      <c r="BQ365" s="160"/>
      <c r="BR365" s="152"/>
      <c r="BS365" s="160"/>
    </row>
    <row r="366" spans="1:71" x14ac:dyDescent="0.3">
      <c r="A366" s="420">
        <f>DL!A363</f>
        <v>336</v>
      </c>
      <c r="B366" s="19" t="s">
        <v>1321</v>
      </c>
      <c r="C366" s="149">
        <f>DL!L363</f>
        <v>50</v>
      </c>
      <c r="D366" s="149">
        <f>DL!C363</f>
        <v>30</v>
      </c>
      <c r="E366" s="150"/>
      <c r="F366" s="463"/>
      <c r="G366" s="150"/>
      <c r="H366" s="150"/>
      <c r="I366" s="466"/>
      <c r="J366" s="150"/>
      <c r="K366" s="168"/>
      <c r="L366" s="466"/>
      <c r="M366" s="150"/>
      <c r="N366" s="466"/>
      <c r="O366" s="150"/>
      <c r="P366" s="150"/>
      <c r="Q366" s="150"/>
      <c r="R366" s="472"/>
      <c r="S366" s="466"/>
      <c r="T366" s="150"/>
      <c r="U366" s="150"/>
      <c r="V366" s="150"/>
      <c r="W366" s="168"/>
      <c r="X366" s="150"/>
      <c r="Y366" s="466"/>
      <c r="Z366" s="455"/>
      <c r="AA366" s="150"/>
      <c r="AB366" s="490"/>
      <c r="AC366" s="150"/>
      <c r="AD366" s="150"/>
      <c r="AE366" s="466"/>
      <c r="AF366" s="499"/>
      <c r="AG366" s="150"/>
      <c r="AH366" s="150"/>
      <c r="AI366" s="150"/>
      <c r="AJ366" s="150"/>
      <c r="AK366" s="150"/>
      <c r="AL366" s="150"/>
      <c r="AM366" s="150"/>
      <c r="AN366" s="466"/>
      <c r="AO366" s="466"/>
      <c r="AP366" s="150"/>
      <c r="AQ366" s="150"/>
      <c r="AR366" s="151"/>
      <c r="AS366" s="456"/>
      <c r="AT366" s="466"/>
      <c r="AU366" s="150"/>
      <c r="AV366" s="487"/>
      <c r="AW366" s="150"/>
      <c r="AX366" s="150"/>
      <c r="AY366" s="466"/>
      <c r="AZ366" s="466"/>
      <c r="BA366" s="150"/>
      <c r="BB366" s="150"/>
      <c r="BC366" s="466"/>
      <c r="BD366" s="466"/>
      <c r="BE366" s="466"/>
      <c r="BF366" s="466"/>
      <c r="BG366" s="150"/>
      <c r="BH366" s="150"/>
      <c r="BI366" s="150"/>
      <c r="BJ366" s="466"/>
      <c r="BK366" s="152"/>
      <c r="BL366" s="160"/>
      <c r="BM366" s="150"/>
      <c r="BN366" s="466"/>
      <c r="BO366" s="150"/>
      <c r="BP366" s="516"/>
      <c r="BQ366" s="160"/>
      <c r="BR366" s="152"/>
      <c r="BS366" s="160"/>
    </row>
    <row r="367" spans="1:71" x14ac:dyDescent="0.3">
      <c r="A367" s="420">
        <f>DL!A364</f>
        <v>337</v>
      </c>
      <c r="B367" s="19" t="s">
        <v>1183</v>
      </c>
      <c r="C367" s="149">
        <f>DL!L364</f>
        <v>800</v>
      </c>
      <c r="D367" s="149">
        <f>DL!C364</f>
        <v>1000</v>
      </c>
      <c r="E367" s="150"/>
      <c r="F367" s="463"/>
      <c r="G367" s="150"/>
      <c r="H367" s="150"/>
      <c r="I367" s="466"/>
      <c r="J367" s="150"/>
      <c r="K367" s="168"/>
      <c r="L367" s="466"/>
      <c r="M367" s="150"/>
      <c r="N367" s="466"/>
      <c r="O367" s="150"/>
      <c r="P367" s="150"/>
      <c r="Q367" s="150"/>
      <c r="R367" s="473">
        <v>500.45600000000002</v>
      </c>
      <c r="S367" s="466">
        <v>400</v>
      </c>
      <c r="T367" s="150"/>
      <c r="U367" s="150"/>
      <c r="V367" s="150"/>
      <c r="W367" s="168"/>
      <c r="X367" s="150"/>
      <c r="Y367" s="466"/>
      <c r="Z367" s="455"/>
      <c r="AA367" s="150"/>
      <c r="AB367" s="490"/>
      <c r="AC367" s="150"/>
      <c r="AD367" s="150"/>
      <c r="AE367" s="466"/>
      <c r="AF367" s="499"/>
      <c r="AG367" s="150"/>
      <c r="AH367" s="150"/>
      <c r="AI367" s="150"/>
      <c r="AJ367" s="150"/>
      <c r="AK367" s="150"/>
      <c r="AL367" s="150"/>
      <c r="AM367" s="150"/>
      <c r="AN367" s="466"/>
      <c r="AO367" s="466"/>
      <c r="AP367" s="150"/>
      <c r="AQ367" s="150"/>
      <c r="AR367" s="151"/>
      <c r="AS367" s="456"/>
      <c r="AT367" s="466"/>
      <c r="AU367" s="150"/>
      <c r="AV367" s="487"/>
      <c r="AW367" s="150"/>
      <c r="AX367" s="150"/>
      <c r="AY367" s="466"/>
      <c r="AZ367" s="466"/>
      <c r="BA367" s="150"/>
      <c r="BB367" s="150"/>
      <c r="BC367" s="466"/>
      <c r="BD367" s="466">
        <v>380</v>
      </c>
      <c r="BE367" s="466"/>
      <c r="BF367" s="466">
        <v>488.72</v>
      </c>
      <c r="BG367" s="150"/>
      <c r="BH367" s="150"/>
      <c r="BI367" s="150"/>
      <c r="BJ367" s="466"/>
      <c r="BK367" s="152"/>
      <c r="BL367" s="160"/>
      <c r="BM367" s="150"/>
      <c r="BN367" s="466"/>
      <c r="BO367" s="150"/>
      <c r="BP367" s="516"/>
      <c r="BQ367" s="160"/>
      <c r="BR367" s="152"/>
      <c r="BS367" s="160"/>
    </row>
    <row r="368" spans="1:71" x14ac:dyDescent="0.3">
      <c r="A368" s="420">
        <f>DL!A365</f>
        <v>338</v>
      </c>
      <c r="B368" s="19" t="s">
        <v>194</v>
      </c>
      <c r="C368" s="149">
        <f>DL!L365</f>
        <v>3500</v>
      </c>
      <c r="D368" s="149" t="str">
        <f>DL!C365</f>
        <v>VIAL</v>
      </c>
      <c r="E368" s="150"/>
      <c r="F368" s="463"/>
      <c r="G368" s="150"/>
      <c r="H368" s="150"/>
      <c r="I368" s="466"/>
      <c r="J368" s="150"/>
      <c r="K368" s="168"/>
      <c r="L368" s="466"/>
      <c r="M368" s="150"/>
      <c r="N368" s="466"/>
      <c r="O368" s="150"/>
      <c r="P368" s="150"/>
      <c r="Q368" s="150"/>
      <c r="R368" s="472"/>
      <c r="S368" s="466">
        <v>130</v>
      </c>
      <c r="T368" s="150"/>
      <c r="U368" s="150"/>
      <c r="V368" s="150"/>
      <c r="W368" s="168"/>
      <c r="X368" s="150"/>
      <c r="Y368" s="466"/>
      <c r="Z368" s="455"/>
      <c r="AA368" s="150"/>
      <c r="AB368" s="490"/>
      <c r="AC368" s="150"/>
      <c r="AD368" s="150"/>
      <c r="AE368" s="466">
        <v>85</v>
      </c>
      <c r="AF368" s="499"/>
      <c r="AG368" s="150">
        <v>85</v>
      </c>
      <c r="AH368" s="150"/>
      <c r="AI368" s="150"/>
      <c r="AJ368" s="150"/>
      <c r="AK368" s="150"/>
      <c r="AL368" s="150"/>
      <c r="AM368" s="150"/>
      <c r="AN368" s="466"/>
      <c r="AO368" s="466"/>
      <c r="AP368" s="150"/>
      <c r="AQ368" s="150"/>
      <c r="AR368" s="151"/>
      <c r="AS368" s="456"/>
      <c r="AT368" s="466"/>
      <c r="AU368" s="150"/>
      <c r="AV368" s="487"/>
      <c r="AW368" s="150"/>
      <c r="AX368" s="150"/>
      <c r="AY368" s="466"/>
      <c r="AZ368" s="466"/>
      <c r="BA368" s="150"/>
      <c r="BB368" s="150"/>
      <c r="BC368" s="466"/>
      <c r="BD368" s="466"/>
      <c r="BE368" s="466"/>
      <c r="BF368" s="466"/>
      <c r="BG368" s="150"/>
      <c r="BH368" s="150"/>
      <c r="BI368" s="150"/>
      <c r="BJ368" s="466"/>
      <c r="BK368" s="152"/>
      <c r="BL368" s="160"/>
      <c r="BM368" s="150"/>
      <c r="BN368" s="466"/>
      <c r="BO368" s="150"/>
      <c r="BP368" s="516"/>
      <c r="BQ368" s="160"/>
      <c r="BR368" s="152"/>
      <c r="BS368" s="160"/>
    </row>
    <row r="369" spans="1:71" x14ac:dyDescent="0.3">
      <c r="A369" s="420">
        <f>DL!A366</f>
        <v>339</v>
      </c>
      <c r="B369" s="19" t="s">
        <v>195</v>
      </c>
      <c r="C369" s="149">
        <f>DL!L366</f>
        <v>800</v>
      </c>
      <c r="D369" s="149" t="str">
        <f>DL!C366</f>
        <v>BOTT</v>
      </c>
      <c r="E369" s="150"/>
      <c r="F369" s="463"/>
      <c r="G369" s="150"/>
      <c r="H369" s="150"/>
      <c r="I369" s="466"/>
      <c r="J369" s="150"/>
      <c r="K369" s="168"/>
      <c r="L369" s="466"/>
      <c r="M369" s="150"/>
      <c r="N369" s="466"/>
      <c r="O369" s="150"/>
      <c r="P369" s="150"/>
      <c r="Q369" s="150"/>
      <c r="R369" s="473">
        <v>146.762</v>
      </c>
      <c r="S369" s="466">
        <v>95</v>
      </c>
      <c r="T369" s="150">
        <v>125</v>
      </c>
      <c r="U369" s="150"/>
      <c r="V369" s="150"/>
      <c r="W369" s="168"/>
      <c r="X369" s="150"/>
      <c r="Y369" s="466"/>
      <c r="Z369" s="455"/>
      <c r="AA369" s="150"/>
      <c r="AB369" s="490"/>
      <c r="AC369" s="150"/>
      <c r="AD369" s="150"/>
      <c r="AE369" s="466">
        <v>140</v>
      </c>
      <c r="AF369" s="499"/>
      <c r="AG369" s="150"/>
      <c r="AH369" s="150"/>
      <c r="AI369" s="150"/>
      <c r="AJ369" s="150"/>
      <c r="AK369" s="150"/>
      <c r="AL369" s="150"/>
      <c r="AM369" s="150"/>
      <c r="AN369" s="466"/>
      <c r="AO369" s="466"/>
      <c r="AP369" s="150"/>
      <c r="AQ369" s="150"/>
      <c r="AR369" s="151"/>
      <c r="AS369" s="456"/>
      <c r="AT369" s="466"/>
      <c r="AU369" s="150"/>
      <c r="AV369" s="487"/>
      <c r="AW369" s="150"/>
      <c r="AX369" s="150"/>
      <c r="AY369" s="466"/>
      <c r="AZ369" s="466"/>
      <c r="BA369" s="150"/>
      <c r="BB369" s="150"/>
      <c r="BC369" s="466"/>
      <c r="BD369" s="466"/>
      <c r="BE369" s="466"/>
      <c r="BF369" s="466"/>
      <c r="BG369" s="150"/>
      <c r="BH369" s="150"/>
      <c r="BI369" s="150"/>
      <c r="BJ369" s="466"/>
      <c r="BK369" s="152"/>
      <c r="BL369" s="160"/>
      <c r="BM369" s="150">
        <v>107</v>
      </c>
      <c r="BN369" s="466"/>
      <c r="BO369" s="150"/>
      <c r="BP369" s="516"/>
      <c r="BQ369" s="160"/>
      <c r="BR369" s="152"/>
      <c r="BS369" s="160"/>
    </row>
    <row r="370" spans="1:71" x14ac:dyDescent="0.3">
      <c r="A370" s="420">
        <f>DL!A367</f>
        <v>340</v>
      </c>
      <c r="B370" s="19" t="s">
        <v>1322</v>
      </c>
      <c r="C370" s="149">
        <v>400</v>
      </c>
      <c r="D370" s="149">
        <f>DL!C367</f>
        <v>1000</v>
      </c>
      <c r="E370" s="150"/>
      <c r="F370" s="463"/>
      <c r="G370" s="150"/>
      <c r="H370" s="150"/>
      <c r="I370" s="466"/>
      <c r="J370" s="150"/>
      <c r="K370" s="168"/>
      <c r="L370" s="466"/>
      <c r="M370" s="150"/>
      <c r="N370" s="466"/>
      <c r="O370" s="150"/>
      <c r="P370" s="150"/>
      <c r="Q370" s="150"/>
      <c r="R370" s="473">
        <v>792.00000000000011</v>
      </c>
      <c r="S370" s="466">
        <v>650</v>
      </c>
      <c r="T370" s="150"/>
      <c r="U370" s="150"/>
      <c r="V370" s="150"/>
      <c r="W370" s="168"/>
      <c r="X370" s="150"/>
      <c r="Y370" s="466"/>
      <c r="Z370" s="455"/>
      <c r="AA370" s="150"/>
      <c r="AB370" s="490"/>
      <c r="AC370" s="150"/>
      <c r="AD370" s="150"/>
      <c r="AE370" s="466"/>
      <c r="AF370" s="499"/>
      <c r="AG370" s="150"/>
      <c r="AH370" s="150"/>
      <c r="AI370" s="150"/>
      <c r="AJ370" s="150"/>
      <c r="AK370" s="150"/>
      <c r="AL370" s="150"/>
      <c r="AM370" s="150"/>
      <c r="AN370" s="466"/>
      <c r="AO370" s="466"/>
      <c r="AP370" s="150"/>
      <c r="AQ370" s="150"/>
      <c r="AR370" s="151"/>
      <c r="AS370" s="456"/>
      <c r="AT370" s="466">
        <v>700</v>
      </c>
      <c r="AU370" s="150"/>
      <c r="AV370" s="487"/>
      <c r="AW370" s="150"/>
      <c r="AX370" s="150"/>
      <c r="AY370" s="466"/>
      <c r="AZ370" s="466"/>
      <c r="BA370" s="150"/>
      <c r="BB370" s="150"/>
      <c r="BC370" s="466"/>
      <c r="BD370" s="466">
        <v>730</v>
      </c>
      <c r="BE370" s="466"/>
      <c r="BF370" s="466">
        <v>1007.78</v>
      </c>
      <c r="BG370" s="150"/>
      <c r="BH370" s="150"/>
      <c r="BI370" s="150"/>
      <c r="BJ370" s="466"/>
      <c r="BK370" s="152"/>
      <c r="BL370" s="160"/>
      <c r="BM370" s="150"/>
      <c r="BN370" s="466"/>
      <c r="BO370" s="150"/>
      <c r="BP370" s="516"/>
      <c r="BQ370" s="160"/>
      <c r="BR370" s="152"/>
      <c r="BS370" s="160"/>
    </row>
    <row r="371" spans="1:71" x14ac:dyDescent="0.3">
      <c r="A371" s="420">
        <f>DL!A368</f>
        <v>341</v>
      </c>
      <c r="B371" s="19" t="s">
        <v>1323</v>
      </c>
      <c r="C371" s="149">
        <f>DL!L368</f>
        <v>800</v>
      </c>
      <c r="D371" s="149">
        <f>DL!C368</f>
        <v>1000</v>
      </c>
      <c r="E371" s="150"/>
      <c r="F371" s="463"/>
      <c r="G371" s="150"/>
      <c r="H371" s="150"/>
      <c r="I371" s="466"/>
      <c r="J371" s="150"/>
      <c r="K371" s="168"/>
      <c r="L371" s="466"/>
      <c r="M371" s="150"/>
      <c r="N371" s="466"/>
      <c r="O371" s="150"/>
      <c r="P371" s="150"/>
      <c r="Q371" s="150"/>
      <c r="R371" s="473">
        <v>758.91200000000003</v>
      </c>
      <c r="S371" s="466">
        <v>650</v>
      </c>
      <c r="T371" s="150"/>
      <c r="U371" s="150"/>
      <c r="V371" s="150"/>
      <c r="W371" s="168"/>
      <c r="X371" s="150"/>
      <c r="Y371" s="466"/>
      <c r="Z371" s="455"/>
      <c r="AA371" s="150"/>
      <c r="AB371" s="490"/>
      <c r="AC371" s="150"/>
      <c r="AD371" s="150"/>
      <c r="AE371" s="466"/>
      <c r="AF371" s="499"/>
      <c r="AG371" s="150"/>
      <c r="AH371" s="150"/>
      <c r="AI371" s="150"/>
      <c r="AJ371" s="150"/>
      <c r="AK371" s="150"/>
      <c r="AL371" s="150"/>
      <c r="AM371" s="150"/>
      <c r="AN371" s="466"/>
      <c r="AO371" s="466"/>
      <c r="AP371" s="150"/>
      <c r="AQ371" s="150"/>
      <c r="AR371" s="151"/>
      <c r="AS371" s="456"/>
      <c r="AT371" s="466">
        <v>700</v>
      </c>
      <c r="AU371" s="150"/>
      <c r="AV371" s="487"/>
      <c r="AW371" s="150"/>
      <c r="AX371" s="150"/>
      <c r="AY371" s="466"/>
      <c r="AZ371" s="466"/>
      <c r="BA371" s="150"/>
      <c r="BB371" s="150"/>
      <c r="BC371" s="466"/>
      <c r="BD371" s="466"/>
      <c r="BE371" s="466"/>
      <c r="BF371" s="466"/>
      <c r="BG371" s="150"/>
      <c r="BH371" s="150"/>
      <c r="BI371" s="150"/>
      <c r="BJ371" s="466"/>
      <c r="BK371" s="152"/>
      <c r="BL371" s="160"/>
      <c r="BM371" s="150"/>
      <c r="BN371" s="466"/>
      <c r="BO371" s="150"/>
      <c r="BP371" s="516"/>
      <c r="BQ371" s="160"/>
      <c r="BR371" s="152"/>
      <c r="BS371" s="160"/>
    </row>
    <row r="372" spans="1:71" x14ac:dyDescent="0.3">
      <c r="A372" s="420">
        <f>DL!A369</f>
        <v>342</v>
      </c>
      <c r="B372" s="19" t="s">
        <v>1324</v>
      </c>
      <c r="C372" s="149">
        <f>DL!L369</f>
        <v>60</v>
      </c>
      <c r="D372" s="149">
        <f>DL!C369</f>
        <v>100</v>
      </c>
      <c r="E372" s="150"/>
      <c r="F372" s="463"/>
      <c r="G372" s="150"/>
      <c r="H372" s="150"/>
      <c r="I372" s="466"/>
      <c r="J372" s="150"/>
      <c r="K372" s="168"/>
      <c r="L372" s="466"/>
      <c r="M372" s="150"/>
      <c r="N372" s="466"/>
      <c r="O372" s="150"/>
      <c r="P372" s="150"/>
      <c r="Q372" s="150"/>
      <c r="R372" s="472"/>
      <c r="S372" s="466"/>
      <c r="T372" s="150"/>
      <c r="U372" s="150"/>
      <c r="V372" s="150"/>
      <c r="W372" s="168"/>
      <c r="X372" s="150"/>
      <c r="Y372" s="466"/>
      <c r="Z372" s="455"/>
      <c r="AA372" s="150"/>
      <c r="AB372" s="490"/>
      <c r="AC372" s="150"/>
      <c r="AD372" s="150"/>
      <c r="AE372" s="466"/>
      <c r="AF372" s="499"/>
      <c r="AG372" s="150"/>
      <c r="AH372" s="150"/>
      <c r="AI372" s="150"/>
      <c r="AJ372" s="150"/>
      <c r="AK372" s="150"/>
      <c r="AL372" s="150"/>
      <c r="AM372" s="150"/>
      <c r="AN372" s="466"/>
      <c r="AO372" s="466"/>
      <c r="AP372" s="150"/>
      <c r="AQ372" s="150"/>
      <c r="AR372" s="151"/>
      <c r="AS372" s="456"/>
      <c r="AT372" s="466"/>
      <c r="AU372" s="150"/>
      <c r="AV372" s="487"/>
      <c r="AW372" s="150"/>
      <c r="AX372" s="150"/>
      <c r="AY372" s="466"/>
      <c r="AZ372" s="466"/>
      <c r="BA372" s="150"/>
      <c r="BB372" s="150"/>
      <c r="BC372" s="466"/>
      <c r="BD372" s="466"/>
      <c r="BE372" s="466"/>
      <c r="BF372" s="466"/>
      <c r="BG372" s="150"/>
      <c r="BH372" s="150"/>
      <c r="BI372" s="150"/>
      <c r="BJ372" s="466"/>
      <c r="BK372" s="152"/>
      <c r="BL372" s="160"/>
      <c r="BM372" s="150"/>
      <c r="BN372" s="466"/>
      <c r="BO372" s="150"/>
      <c r="BP372" s="516"/>
      <c r="BQ372" s="160"/>
      <c r="BR372" s="152"/>
      <c r="BS372" s="160"/>
    </row>
    <row r="373" spans="1:71" x14ac:dyDescent="0.3">
      <c r="A373" s="420">
        <f>DL!A370</f>
        <v>343</v>
      </c>
      <c r="B373" s="19" t="s">
        <v>198</v>
      </c>
      <c r="C373" s="149">
        <f>DL!L370</f>
        <v>500</v>
      </c>
      <c r="D373" s="149" t="str">
        <f>DL!C370</f>
        <v>AMP</v>
      </c>
      <c r="E373" s="150"/>
      <c r="F373" s="463"/>
      <c r="G373" s="150"/>
      <c r="H373" s="150"/>
      <c r="I373" s="466"/>
      <c r="J373" s="150"/>
      <c r="K373" s="168"/>
      <c r="L373" s="466"/>
      <c r="M373" s="150"/>
      <c r="N373" s="466"/>
      <c r="O373" s="150"/>
      <c r="P373" s="150"/>
      <c r="Q373" s="150"/>
      <c r="R373" s="472"/>
      <c r="S373" s="466">
        <v>30</v>
      </c>
      <c r="T373" s="150"/>
      <c r="U373" s="150"/>
      <c r="V373" s="150"/>
      <c r="W373" s="168"/>
      <c r="X373" s="150"/>
      <c r="Y373" s="466"/>
      <c r="Z373" s="455"/>
      <c r="AA373" s="150"/>
      <c r="AB373" s="490"/>
      <c r="AC373" s="150"/>
      <c r="AD373" s="150"/>
      <c r="AE373" s="466"/>
      <c r="AF373" s="499"/>
      <c r="AG373" s="150"/>
      <c r="AH373" s="150"/>
      <c r="AI373" s="150"/>
      <c r="AJ373" s="150"/>
      <c r="AK373" s="150"/>
      <c r="AL373" s="150"/>
      <c r="AM373" s="150"/>
      <c r="AN373" s="466"/>
      <c r="AO373" s="466"/>
      <c r="AP373" s="150"/>
      <c r="AQ373" s="150"/>
      <c r="AR373" s="151"/>
      <c r="AS373" s="456"/>
      <c r="AT373" s="466"/>
      <c r="AU373" s="150"/>
      <c r="AV373" s="487"/>
      <c r="AW373" s="150"/>
      <c r="AX373" s="150"/>
      <c r="AY373" s="466"/>
      <c r="AZ373" s="466"/>
      <c r="BA373" s="150"/>
      <c r="BB373" s="150"/>
      <c r="BC373" s="466"/>
      <c r="BD373" s="466"/>
      <c r="BE373" s="466"/>
      <c r="BF373" s="466"/>
      <c r="BG373" s="150"/>
      <c r="BH373" s="150"/>
      <c r="BI373" s="150"/>
      <c r="BJ373" s="466"/>
      <c r="BK373" s="152"/>
      <c r="BL373" s="160"/>
      <c r="BM373" s="150"/>
      <c r="BN373" s="466"/>
      <c r="BO373" s="150"/>
      <c r="BP373" s="516"/>
      <c r="BQ373" s="160"/>
      <c r="BR373" s="152"/>
      <c r="BS373" s="160"/>
    </row>
    <row r="374" spans="1:71" x14ac:dyDescent="0.3">
      <c r="A374" s="420">
        <f>DL!A371</f>
        <v>344</v>
      </c>
      <c r="B374" s="19" t="s">
        <v>199</v>
      </c>
      <c r="C374" s="149">
        <f>DL!L371</f>
        <v>3000</v>
      </c>
      <c r="D374" s="149" t="str">
        <f>DL!C371</f>
        <v>BOTT</v>
      </c>
      <c r="E374" s="150"/>
      <c r="F374" s="463"/>
      <c r="G374" s="150"/>
      <c r="H374" s="150"/>
      <c r="I374" s="466"/>
      <c r="J374" s="150"/>
      <c r="K374" s="168"/>
      <c r="L374" s="466"/>
      <c r="M374" s="150"/>
      <c r="N374" s="466"/>
      <c r="O374" s="150"/>
      <c r="P374" s="150"/>
      <c r="Q374" s="150"/>
      <c r="R374" s="473">
        <v>163.9</v>
      </c>
      <c r="S374" s="466">
        <v>100</v>
      </c>
      <c r="T374" s="150">
        <v>130</v>
      </c>
      <c r="U374" s="150"/>
      <c r="V374" s="150"/>
      <c r="W374" s="168"/>
      <c r="X374" s="150"/>
      <c r="Y374" s="466"/>
      <c r="Z374" s="455"/>
      <c r="AA374" s="150"/>
      <c r="AB374" s="490"/>
      <c r="AC374" s="150"/>
      <c r="AD374" s="150"/>
      <c r="AE374" s="466">
        <v>175</v>
      </c>
      <c r="AF374" s="499"/>
      <c r="AG374" s="150"/>
      <c r="AH374" s="150"/>
      <c r="AI374" s="150"/>
      <c r="AJ374" s="150"/>
      <c r="AK374" s="150"/>
      <c r="AL374" s="150"/>
      <c r="AM374" s="150"/>
      <c r="AN374" s="466"/>
      <c r="AO374" s="466"/>
      <c r="AP374" s="150"/>
      <c r="AQ374" s="150"/>
      <c r="AR374" s="151"/>
      <c r="AS374" s="456"/>
      <c r="AT374" s="466"/>
      <c r="AU374" s="150"/>
      <c r="AV374" s="487"/>
      <c r="AW374" s="150"/>
      <c r="AX374" s="150">
        <v>98</v>
      </c>
      <c r="AY374" s="466"/>
      <c r="AZ374" s="466"/>
      <c r="BA374" s="150"/>
      <c r="BB374" s="150"/>
      <c r="BC374" s="466"/>
      <c r="BD374" s="466"/>
      <c r="BE374" s="466"/>
      <c r="BF374" s="466">
        <v>168.53</v>
      </c>
      <c r="BG374" s="150"/>
      <c r="BH374" s="150"/>
      <c r="BI374" s="150"/>
      <c r="BJ374" s="466"/>
      <c r="BK374" s="152"/>
      <c r="BL374" s="160"/>
      <c r="BM374" s="150"/>
      <c r="BN374" s="466"/>
      <c r="BO374" s="150"/>
      <c r="BP374" s="516"/>
      <c r="BQ374" s="160"/>
      <c r="BR374" s="152"/>
      <c r="BS374" s="160"/>
    </row>
    <row r="375" spans="1:71" x14ac:dyDescent="0.3">
      <c r="A375" s="420">
        <f>DL!A372</f>
        <v>345</v>
      </c>
      <c r="B375" s="19" t="s">
        <v>1325</v>
      </c>
      <c r="C375" s="149">
        <f>DL!L372</f>
        <v>50</v>
      </c>
      <c r="D375" s="149" t="str">
        <f>DL!C372</f>
        <v>AMP</v>
      </c>
      <c r="E375" s="150"/>
      <c r="F375" s="463"/>
      <c r="G375" s="150"/>
      <c r="H375" s="150"/>
      <c r="I375" s="466"/>
      <c r="J375" s="150"/>
      <c r="K375" s="168"/>
      <c r="L375" s="466"/>
      <c r="M375" s="150"/>
      <c r="N375" s="466"/>
      <c r="O375" s="150"/>
      <c r="P375" s="150"/>
      <c r="Q375" s="150"/>
      <c r="R375" s="472"/>
      <c r="S375" s="466"/>
      <c r="T375" s="150"/>
      <c r="U375" s="150"/>
      <c r="V375" s="150"/>
      <c r="W375" s="168"/>
      <c r="X375" s="150"/>
      <c r="Y375" s="466"/>
      <c r="Z375" s="455"/>
      <c r="AA375" s="150"/>
      <c r="AB375" s="490"/>
      <c r="AC375" s="150"/>
      <c r="AD375" s="150"/>
      <c r="AE375" s="466"/>
      <c r="AF375" s="499"/>
      <c r="AG375" s="150"/>
      <c r="AH375" s="150"/>
      <c r="AI375" s="150"/>
      <c r="AJ375" s="150"/>
      <c r="AK375" s="150"/>
      <c r="AL375" s="150"/>
      <c r="AM375" s="150"/>
      <c r="AN375" s="466"/>
      <c r="AO375" s="466"/>
      <c r="AP375" s="150"/>
      <c r="AQ375" s="150"/>
      <c r="AR375" s="151"/>
      <c r="AS375" s="456"/>
      <c r="AT375" s="466"/>
      <c r="AU375" s="150"/>
      <c r="AV375" s="487"/>
      <c r="AW375" s="150"/>
      <c r="AX375" s="150"/>
      <c r="AY375" s="466"/>
      <c r="AZ375" s="466"/>
      <c r="BA375" s="150"/>
      <c r="BB375" s="150"/>
      <c r="BC375" s="466"/>
      <c r="BD375" s="466"/>
      <c r="BE375" s="466"/>
      <c r="BF375" s="466"/>
      <c r="BG375" s="150"/>
      <c r="BH375" s="150"/>
      <c r="BI375" s="150"/>
      <c r="BJ375" s="466"/>
      <c r="BK375" s="152"/>
      <c r="BL375" s="160"/>
      <c r="BM375" s="150"/>
      <c r="BN375" s="466"/>
      <c r="BO375" s="150"/>
      <c r="BP375" s="516"/>
      <c r="BQ375" s="160"/>
      <c r="BR375" s="152"/>
      <c r="BS375" s="160"/>
    </row>
    <row r="376" spans="1:71" x14ac:dyDescent="0.3">
      <c r="A376" s="420">
        <f>DL!A373</f>
        <v>346</v>
      </c>
      <c r="B376" s="19" t="s">
        <v>680</v>
      </c>
      <c r="C376" s="149">
        <f>DL!L373</f>
        <v>1200</v>
      </c>
      <c r="D376" s="149">
        <f>DL!C373</f>
        <v>30</v>
      </c>
      <c r="E376" s="150"/>
      <c r="F376" s="463"/>
      <c r="G376" s="150"/>
      <c r="H376" s="150"/>
      <c r="I376" s="468">
        <v>1100</v>
      </c>
      <c r="J376" s="150"/>
      <c r="K376" s="168"/>
      <c r="L376" s="466"/>
      <c r="M376" s="150"/>
      <c r="N376" s="466"/>
      <c r="O376" s="150"/>
      <c r="P376" s="150"/>
      <c r="Q376" s="150"/>
      <c r="R376" s="473">
        <v>678.92000000000007</v>
      </c>
      <c r="S376" s="466"/>
      <c r="T376" s="150"/>
      <c r="U376" s="150"/>
      <c r="V376" s="150"/>
      <c r="W376" s="168"/>
      <c r="X376" s="150"/>
      <c r="Y376" s="466"/>
      <c r="Z376" s="455"/>
      <c r="AA376" s="150"/>
      <c r="AB376" s="490"/>
      <c r="AC376" s="150"/>
      <c r="AD376" s="150"/>
      <c r="AE376" s="466"/>
      <c r="AF376" s="499"/>
      <c r="AG376" s="150"/>
      <c r="AH376" s="150"/>
      <c r="AI376" s="150"/>
      <c r="AJ376" s="150"/>
      <c r="AK376" s="150"/>
      <c r="AL376" s="150"/>
      <c r="AM376" s="150"/>
      <c r="AN376" s="467">
        <v>1500</v>
      </c>
      <c r="AO376" s="466"/>
      <c r="AP376" s="150"/>
      <c r="AQ376" s="150"/>
      <c r="AR376" s="151"/>
      <c r="AS376" s="456"/>
      <c r="AT376" s="466"/>
      <c r="AU376" s="150"/>
      <c r="AV376" s="487"/>
      <c r="AW376" s="150"/>
      <c r="AX376" s="150"/>
      <c r="AY376" s="466"/>
      <c r="AZ376" s="466"/>
      <c r="BA376" s="150"/>
      <c r="BB376" s="150"/>
      <c r="BC376" s="466"/>
      <c r="BD376" s="466"/>
      <c r="BE376" s="466"/>
      <c r="BF376" s="466"/>
      <c r="BG376" s="150"/>
      <c r="BH376" s="150"/>
      <c r="BI376" s="150"/>
      <c r="BJ376" s="466"/>
      <c r="BK376" s="152"/>
      <c r="BL376" s="160"/>
      <c r="BM376" s="150"/>
      <c r="BN376" s="466"/>
      <c r="BO376" s="150"/>
      <c r="BP376" s="516"/>
      <c r="BQ376" s="160"/>
      <c r="BR376" s="152"/>
      <c r="BS376" s="160"/>
    </row>
    <row r="377" spans="1:71" x14ac:dyDescent="0.3">
      <c r="A377" s="420">
        <f>DL!A374</f>
        <v>347</v>
      </c>
      <c r="B377" s="19" t="s">
        <v>1326</v>
      </c>
      <c r="C377" s="149">
        <f>DL!L374</f>
        <v>100</v>
      </c>
      <c r="D377" s="149">
        <f>DL!C374</f>
        <v>30</v>
      </c>
      <c r="E377" s="150"/>
      <c r="F377" s="463"/>
      <c r="G377" s="150"/>
      <c r="H377" s="150"/>
      <c r="I377" s="466"/>
      <c r="J377" s="150">
        <v>1360</v>
      </c>
      <c r="K377" s="168"/>
      <c r="L377" s="466"/>
      <c r="M377" s="150"/>
      <c r="N377" s="466"/>
      <c r="O377" s="150"/>
      <c r="P377" s="150"/>
      <c r="Q377" s="150"/>
      <c r="R377" s="473">
        <v>1378.09</v>
      </c>
      <c r="S377" s="466">
        <v>2000</v>
      </c>
      <c r="T377" s="150"/>
      <c r="U377" s="150"/>
      <c r="V377" s="150"/>
      <c r="W377" s="168"/>
      <c r="X377" s="150"/>
      <c r="Y377" s="466"/>
      <c r="Z377" s="455"/>
      <c r="AA377" s="150"/>
      <c r="AB377" s="490"/>
      <c r="AC377" s="150"/>
      <c r="AD377" s="150"/>
      <c r="AE377" s="466"/>
      <c r="AF377" s="499"/>
      <c r="AG377" s="150"/>
      <c r="AH377" s="150"/>
      <c r="AI377" s="150"/>
      <c r="AJ377" s="150"/>
      <c r="AK377" s="150"/>
      <c r="AL377" s="150"/>
      <c r="AM377" s="150"/>
      <c r="AN377" s="466"/>
      <c r="AO377" s="466"/>
      <c r="AP377" s="150"/>
      <c r="AQ377" s="150"/>
      <c r="AR377" s="151"/>
      <c r="AS377" s="456"/>
      <c r="AT377" s="466"/>
      <c r="AU377" s="150"/>
      <c r="AV377" s="487"/>
      <c r="AW377" s="150"/>
      <c r="AX377" s="150"/>
      <c r="AY377" s="466"/>
      <c r="AZ377" s="466"/>
      <c r="BA377" s="150"/>
      <c r="BB377" s="150"/>
      <c r="BC377" s="466"/>
      <c r="BD377" s="466"/>
      <c r="BE377" s="466"/>
      <c r="BF377" s="466"/>
      <c r="BG377" s="150"/>
      <c r="BH377" s="150"/>
      <c r="BI377" s="150"/>
      <c r="BJ377" s="466"/>
      <c r="BK377" s="152"/>
      <c r="BL377" s="160"/>
      <c r="BM377" s="150"/>
      <c r="BN377" s="466"/>
      <c r="BO377" s="150"/>
      <c r="BP377" s="516"/>
      <c r="BQ377" s="160"/>
      <c r="BR377" s="152"/>
      <c r="BS377" s="160"/>
    </row>
    <row r="378" spans="1:71" x14ac:dyDescent="0.3">
      <c r="A378" s="420">
        <f>DL!A375</f>
        <v>348</v>
      </c>
      <c r="B378" s="19" t="s">
        <v>200</v>
      </c>
      <c r="C378" s="149">
        <f>DL!L375</f>
        <v>2000</v>
      </c>
      <c r="D378" s="149" t="str">
        <f>DL!C375</f>
        <v>AMP</v>
      </c>
      <c r="E378" s="150"/>
      <c r="F378" s="463"/>
      <c r="G378" s="150"/>
      <c r="H378" s="150"/>
      <c r="I378" s="466"/>
      <c r="J378" s="150"/>
      <c r="K378" s="168"/>
      <c r="L378" s="466"/>
      <c r="M378" s="150"/>
      <c r="N378" s="466"/>
      <c r="O378" s="150"/>
      <c r="P378" s="150"/>
      <c r="Q378" s="150"/>
      <c r="R378" s="472"/>
      <c r="S378" s="466">
        <v>52</v>
      </c>
      <c r="T378" s="150"/>
      <c r="U378" s="150"/>
      <c r="V378" s="150"/>
      <c r="W378" s="168"/>
      <c r="X378" s="150"/>
      <c r="Y378" s="466"/>
      <c r="Z378" s="455"/>
      <c r="AA378" s="150"/>
      <c r="AB378" s="490"/>
      <c r="AC378" s="150"/>
      <c r="AD378" s="150"/>
      <c r="AE378" s="466"/>
      <c r="AF378" s="499"/>
      <c r="AG378" s="150">
        <v>75</v>
      </c>
      <c r="AH378" s="150"/>
      <c r="AI378" s="150"/>
      <c r="AJ378" s="150"/>
      <c r="AK378" s="150"/>
      <c r="AL378" s="150"/>
      <c r="AM378" s="150"/>
      <c r="AN378" s="466"/>
      <c r="AO378" s="466"/>
      <c r="AP378" s="150"/>
      <c r="AQ378" s="150"/>
      <c r="AR378" s="151"/>
      <c r="AS378" s="456"/>
      <c r="AT378" s="466"/>
      <c r="AU378" s="150"/>
      <c r="AV378" s="487"/>
      <c r="AW378" s="150"/>
      <c r="AX378" s="150"/>
      <c r="AY378" s="466"/>
      <c r="AZ378" s="466"/>
      <c r="BA378" s="150"/>
      <c r="BB378" s="150"/>
      <c r="BC378" s="466"/>
      <c r="BD378" s="466"/>
      <c r="BE378" s="466"/>
      <c r="BF378" s="466"/>
      <c r="BG378" s="150"/>
      <c r="BH378" s="150"/>
      <c r="BI378" s="150"/>
      <c r="BJ378" s="466"/>
      <c r="BK378" s="152"/>
      <c r="BL378" s="160"/>
      <c r="BM378" s="150"/>
      <c r="BN378" s="466"/>
      <c r="BO378" s="150"/>
      <c r="BP378" s="516"/>
      <c r="BQ378" s="160"/>
      <c r="BR378" s="152"/>
      <c r="BS378" s="160"/>
    </row>
    <row r="379" spans="1:71" x14ac:dyDescent="0.3">
      <c r="A379" s="420">
        <f>DL!A376</f>
        <v>349</v>
      </c>
      <c r="B379" s="19" t="s">
        <v>201</v>
      </c>
      <c r="C379" s="149">
        <f>DL!L376</f>
        <v>200</v>
      </c>
      <c r="D379" s="149">
        <f>DL!C376</f>
        <v>28</v>
      </c>
      <c r="E379" s="150"/>
      <c r="F379" s="463"/>
      <c r="G379" s="150"/>
      <c r="H379" s="150"/>
      <c r="I379" s="466"/>
      <c r="J379" s="150"/>
      <c r="K379" s="168"/>
      <c r="L379" s="466"/>
      <c r="M379" s="150"/>
      <c r="N379" s="466"/>
      <c r="O379" s="150"/>
      <c r="P379" s="150"/>
      <c r="Q379" s="150"/>
      <c r="R379" s="472"/>
      <c r="S379" s="466">
        <v>420</v>
      </c>
      <c r="T379" s="150"/>
      <c r="U379" s="150"/>
      <c r="V379" s="150"/>
      <c r="W379" s="168"/>
      <c r="X379" s="150"/>
      <c r="Y379" s="466"/>
      <c r="Z379" s="455"/>
      <c r="AA379" s="150"/>
      <c r="AB379" s="490"/>
      <c r="AC379" s="150"/>
      <c r="AD379" s="150"/>
      <c r="AE379" s="466"/>
      <c r="AF379" s="499"/>
      <c r="AG379" s="150"/>
      <c r="AH379" s="150"/>
      <c r="AI379" s="150"/>
      <c r="AJ379" s="150"/>
      <c r="AK379" s="150"/>
      <c r="AL379" s="150"/>
      <c r="AM379" s="150"/>
      <c r="AN379" s="466"/>
      <c r="AO379" s="466"/>
      <c r="AP379" s="150"/>
      <c r="AQ379" s="150"/>
      <c r="AR379" s="151"/>
      <c r="AS379" s="456"/>
      <c r="AT379" s="466"/>
      <c r="AU379" s="150"/>
      <c r="AV379" s="487"/>
      <c r="AW379" s="150"/>
      <c r="AX379" s="150"/>
      <c r="AY379" s="466"/>
      <c r="AZ379" s="466"/>
      <c r="BA379" s="150"/>
      <c r="BB379" s="150"/>
      <c r="BC379" s="466"/>
      <c r="BD379" s="466"/>
      <c r="BE379" s="466"/>
      <c r="BF379" s="466"/>
      <c r="BG379" s="150"/>
      <c r="BH379" s="150"/>
      <c r="BI379" s="150"/>
      <c r="BJ379" s="466"/>
      <c r="BK379" s="152"/>
      <c r="BL379" s="160"/>
      <c r="BM379" s="150"/>
      <c r="BN379" s="466"/>
      <c r="BO379" s="150"/>
      <c r="BP379" s="516"/>
      <c r="BQ379" s="160"/>
      <c r="BR379" s="152"/>
      <c r="BS379" s="160"/>
    </row>
    <row r="380" spans="1:71" x14ac:dyDescent="0.3">
      <c r="A380" s="420">
        <f>DL!A377</f>
        <v>350</v>
      </c>
      <c r="B380" s="19" t="s">
        <v>202</v>
      </c>
      <c r="C380" s="149">
        <f>DL!L377</f>
        <v>120</v>
      </c>
      <c r="D380" s="149">
        <f>DL!C377</f>
        <v>28</v>
      </c>
      <c r="E380" s="150"/>
      <c r="F380" s="463"/>
      <c r="G380" s="150"/>
      <c r="H380" s="150"/>
      <c r="I380" s="466"/>
      <c r="J380" s="150"/>
      <c r="K380" s="168"/>
      <c r="L380" s="466"/>
      <c r="M380" s="150"/>
      <c r="N380" s="466"/>
      <c r="O380" s="150"/>
      <c r="P380" s="150"/>
      <c r="Q380" s="150"/>
      <c r="R380" s="472"/>
      <c r="S380" s="466">
        <v>470</v>
      </c>
      <c r="T380" s="150"/>
      <c r="U380" s="150"/>
      <c r="V380" s="150"/>
      <c r="W380" s="168"/>
      <c r="X380" s="150"/>
      <c r="Y380" s="466"/>
      <c r="Z380" s="455"/>
      <c r="AA380" s="150"/>
      <c r="AB380" s="490"/>
      <c r="AC380" s="150"/>
      <c r="AD380" s="150"/>
      <c r="AE380" s="466"/>
      <c r="AF380" s="499"/>
      <c r="AG380" s="150"/>
      <c r="AH380" s="150"/>
      <c r="AI380" s="150"/>
      <c r="AJ380" s="150"/>
      <c r="AK380" s="150"/>
      <c r="AL380" s="150"/>
      <c r="AM380" s="150"/>
      <c r="AN380" s="466"/>
      <c r="AO380" s="466"/>
      <c r="AP380" s="150"/>
      <c r="AQ380" s="150"/>
      <c r="AR380" s="151"/>
      <c r="AS380" s="456"/>
      <c r="AT380" s="466"/>
      <c r="AU380" s="150"/>
      <c r="AV380" s="487"/>
      <c r="AW380" s="150"/>
      <c r="AX380" s="150"/>
      <c r="AY380" s="466"/>
      <c r="AZ380" s="466"/>
      <c r="BA380" s="150"/>
      <c r="BB380" s="150"/>
      <c r="BC380" s="466"/>
      <c r="BD380" s="466"/>
      <c r="BE380" s="466"/>
      <c r="BF380" s="466"/>
      <c r="BG380" s="150"/>
      <c r="BH380" s="150"/>
      <c r="BI380" s="150"/>
      <c r="BJ380" s="466"/>
      <c r="BK380" s="152"/>
      <c r="BL380" s="160"/>
      <c r="BM380" s="150"/>
      <c r="BN380" s="466"/>
      <c r="BO380" s="150"/>
      <c r="BP380" s="516"/>
      <c r="BQ380" s="160"/>
      <c r="BR380" s="152"/>
      <c r="BS380" s="160"/>
    </row>
    <row r="381" spans="1:71" x14ac:dyDescent="0.3">
      <c r="A381" s="420"/>
      <c r="B381" s="19"/>
      <c r="C381" s="149">
        <f>DL!L378</f>
        <v>0</v>
      </c>
      <c r="D381" s="149">
        <f>DL!C378</f>
        <v>0</v>
      </c>
      <c r="E381" s="150"/>
      <c r="F381" s="463"/>
      <c r="G381" s="150"/>
      <c r="H381" s="150"/>
      <c r="I381" s="466"/>
      <c r="J381" s="150"/>
      <c r="K381" s="168"/>
      <c r="L381" s="466"/>
      <c r="M381" s="150"/>
      <c r="N381" s="466"/>
      <c r="O381" s="150"/>
      <c r="P381" s="150"/>
      <c r="Q381" s="150"/>
      <c r="R381" s="472"/>
      <c r="S381" s="466"/>
      <c r="T381" s="150"/>
      <c r="U381" s="150"/>
      <c r="V381" s="150"/>
      <c r="W381" s="168"/>
      <c r="X381" s="150"/>
      <c r="Y381" s="466"/>
      <c r="Z381" s="455"/>
      <c r="AA381" s="150"/>
      <c r="AB381" s="490"/>
      <c r="AC381" s="150"/>
      <c r="AD381" s="150"/>
      <c r="AE381" s="466"/>
      <c r="AF381" s="499"/>
      <c r="AG381" s="150"/>
      <c r="AH381" s="150"/>
      <c r="AI381" s="150"/>
      <c r="AJ381" s="150"/>
      <c r="AK381" s="150"/>
      <c r="AL381" s="150"/>
      <c r="AM381" s="150"/>
      <c r="AN381" s="466"/>
      <c r="AO381" s="466"/>
      <c r="AP381" s="150"/>
      <c r="AQ381" s="150"/>
      <c r="AR381" s="151"/>
      <c r="AS381" s="456"/>
      <c r="AT381" s="466"/>
      <c r="AU381" s="150"/>
      <c r="AV381" s="487"/>
      <c r="AW381" s="150"/>
      <c r="AX381" s="150"/>
      <c r="AY381" s="466"/>
      <c r="AZ381" s="466"/>
      <c r="BA381" s="150"/>
      <c r="BB381" s="150"/>
      <c r="BC381" s="466"/>
      <c r="BD381" s="466"/>
      <c r="BE381" s="466"/>
      <c r="BF381" s="466"/>
      <c r="BG381" s="150"/>
      <c r="BH381" s="150"/>
      <c r="BI381" s="150"/>
      <c r="BJ381" s="466"/>
      <c r="BK381" s="152"/>
      <c r="BL381" s="160"/>
      <c r="BM381" s="150"/>
      <c r="BN381" s="466"/>
      <c r="BO381" s="150"/>
      <c r="BP381" s="516"/>
      <c r="BQ381" s="160"/>
      <c r="BR381" s="152"/>
      <c r="BS381" s="160"/>
    </row>
    <row r="382" spans="1:71" x14ac:dyDescent="0.3">
      <c r="A382" s="420"/>
      <c r="B382" s="19"/>
      <c r="C382" s="149">
        <f>DL!L379</f>
        <v>0</v>
      </c>
      <c r="D382" s="149">
        <f>DL!C379</f>
        <v>0</v>
      </c>
      <c r="E382" s="150"/>
      <c r="F382" s="463"/>
      <c r="G382" s="150"/>
      <c r="H382" s="150"/>
      <c r="I382" s="466"/>
      <c r="J382" s="150"/>
      <c r="K382" s="168"/>
      <c r="L382" s="466"/>
      <c r="M382" s="150"/>
      <c r="N382" s="466"/>
      <c r="O382" s="150"/>
      <c r="P382" s="150"/>
      <c r="Q382" s="150"/>
      <c r="R382" s="472"/>
      <c r="S382" s="466"/>
      <c r="T382" s="150"/>
      <c r="U382" s="150"/>
      <c r="V382" s="150"/>
      <c r="W382" s="168"/>
      <c r="X382" s="150"/>
      <c r="Y382" s="466"/>
      <c r="Z382" s="455"/>
      <c r="AA382" s="150"/>
      <c r="AB382" s="490"/>
      <c r="AC382" s="150"/>
      <c r="AD382" s="150"/>
      <c r="AE382" s="466"/>
      <c r="AF382" s="499"/>
      <c r="AG382" s="150"/>
      <c r="AH382" s="150"/>
      <c r="AI382" s="150"/>
      <c r="AJ382" s="150"/>
      <c r="AK382" s="150"/>
      <c r="AL382" s="150"/>
      <c r="AM382" s="150"/>
      <c r="AN382" s="466"/>
      <c r="AO382" s="466"/>
      <c r="AP382" s="150"/>
      <c r="AQ382" s="150"/>
      <c r="AR382" s="151"/>
      <c r="AS382" s="456"/>
      <c r="AT382" s="466"/>
      <c r="AU382" s="150"/>
      <c r="AV382" s="487"/>
      <c r="AW382" s="150"/>
      <c r="AX382" s="150"/>
      <c r="AY382" s="466"/>
      <c r="AZ382" s="466"/>
      <c r="BA382" s="150"/>
      <c r="BB382" s="150"/>
      <c r="BC382" s="466"/>
      <c r="BD382" s="466"/>
      <c r="BE382" s="466"/>
      <c r="BF382" s="466"/>
      <c r="BG382" s="150"/>
      <c r="BH382" s="150"/>
      <c r="BI382" s="150"/>
      <c r="BJ382" s="466"/>
      <c r="BK382" s="152"/>
      <c r="BL382" s="160"/>
      <c r="BM382" s="150"/>
      <c r="BN382" s="466"/>
      <c r="BO382" s="150"/>
      <c r="BP382" s="516"/>
      <c r="BQ382" s="160"/>
      <c r="BR382" s="152"/>
      <c r="BS382" s="160"/>
    </row>
    <row r="383" spans="1:71" x14ac:dyDescent="0.3">
      <c r="A383" s="420" t="str">
        <f>DL!A380</f>
        <v>LOT 7</v>
      </c>
      <c r="B383" s="19" t="s">
        <v>204</v>
      </c>
      <c r="C383" s="149">
        <f>DL!L380</f>
        <v>0</v>
      </c>
      <c r="D383" s="149">
        <f>DL!C380</f>
        <v>0</v>
      </c>
      <c r="E383" s="150"/>
      <c r="F383" s="463"/>
      <c r="G383" s="150"/>
      <c r="H383" s="150"/>
      <c r="I383" s="466"/>
      <c r="J383" s="150"/>
      <c r="K383" s="168"/>
      <c r="L383" s="466"/>
      <c r="M383" s="150"/>
      <c r="N383" s="466"/>
      <c r="O383" s="150"/>
      <c r="P383" s="150"/>
      <c r="Q383" s="150"/>
      <c r="R383" s="474"/>
      <c r="S383" s="466"/>
      <c r="T383" s="150"/>
      <c r="U383" s="150"/>
      <c r="V383" s="150"/>
      <c r="W383" s="168"/>
      <c r="X383" s="150"/>
      <c r="Y383" s="466"/>
      <c r="Z383" s="455"/>
      <c r="AA383" s="150"/>
      <c r="AB383" s="490"/>
      <c r="AC383" s="150"/>
      <c r="AD383" s="150"/>
      <c r="AE383" s="466"/>
      <c r="AF383" s="499"/>
      <c r="AG383" s="150"/>
      <c r="AH383" s="150"/>
      <c r="AI383" s="150"/>
      <c r="AJ383" s="150"/>
      <c r="AK383" s="150"/>
      <c r="AL383" s="150"/>
      <c r="AM383" s="150"/>
      <c r="AN383" s="466"/>
      <c r="AO383" s="466"/>
      <c r="AP383" s="150"/>
      <c r="AQ383" s="150"/>
      <c r="AR383" s="151"/>
      <c r="AS383" s="456"/>
      <c r="AT383" s="466"/>
      <c r="AU383" s="150"/>
      <c r="AV383" s="487"/>
      <c r="AW383" s="150"/>
      <c r="AX383" s="150"/>
      <c r="AY383" s="466"/>
      <c r="AZ383" s="466"/>
      <c r="BA383" s="150"/>
      <c r="BB383" s="150"/>
      <c r="BC383" s="466"/>
      <c r="BD383" s="466"/>
      <c r="BE383" s="466"/>
      <c r="BF383" s="466"/>
      <c r="BG383" s="150"/>
      <c r="BH383" s="150"/>
      <c r="BI383" s="150"/>
      <c r="BJ383" s="466"/>
      <c r="BK383" s="152"/>
      <c r="BL383" s="160"/>
      <c r="BM383" s="150"/>
      <c r="BN383" s="466"/>
      <c r="BO383" s="150"/>
      <c r="BP383" s="516"/>
      <c r="BQ383" s="160"/>
      <c r="BR383" s="152"/>
      <c r="BS383" s="160"/>
    </row>
    <row r="384" spans="1:71" x14ac:dyDescent="0.3">
      <c r="A384" s="420"/>
      <c r="B384" s="19"/>
      <c r="C384" s="149">
        <f>DL!L381</f>
        <v>0</v>
      </c>
      <c r="D384" s="149">
        <f>DL!C381</f>
        <v>0</v>
      </c>
      <c r="E384" s="150"/>
      <c r="F384" s="463"/>
      <c r="G384" s="150"/>
      <c r="H384" s="150"/>
      <c r="I384" s="466"/>
      <c r="J384" s="150"/>
      <c r="K384" s="168"/>
      <c r="L384" s="466"/>
      <c r="M384" s="150"/>
      <c r="N384" s="466"/>
      <c r="O384" s="150"/>
      <c r="P384" s="150"/>
      <c r="Q384" s="150"/>
      <c r="R384" s="472"/>
      <c r="S384" s="466"/>
      <c r="T384" s="150"/>
      <c r="U384" s="150"/>
      <c r="V384" s="150"/>
      <c r="W384" s="168"/>
      <c r="X384" s="150"/>
      <c r="Y384" s="466"/>
      <c r="Z384" s="455"/>
      <c r="AA384" s="150"/>
      <c r="AB384" s="490"/>
      <c r="AC384" s="150"/>
      <c r="AD384" s="150"/>
      <c r="AE384" s="466"/>
      <c r="AF384" s="499"/>
      <c r="AG384" s="150"/>
      <c r="AH384" s="150"/>
      <c r="AI384" s="150"/>
      <c r="AJ384" s="150"/>
      <c r="AK384" s="150"/>
      <c r="AL384" s="150"/>
      <c r="AM384" s="150"/>
      <c r="AN384" s="466"/>
      <c r="AO384" s="466"/>
      <c r="AP384" s="150"/>
      <c r="AQ384" s="150"/>
      <c r="AR384" s="151"/>
      <c r="AS384" s="456"/>
      <c r="AT384" s="466"/>
      <c r="AU384" s="150"/>
      <c r="AV384" s="487"/>
      <c r="AW384" s="150"/>
      <c r="AX384" s="150"/>
      <c r="AY384" s="466"/>
      <c r="AZ384" s="466"/>
      <c r="BA384" s="150"/>
      <c r="BB384" s="150"/>
      <c r="BC384" s="466"/>
      <c r="BD384" s="466"/>
      <c r="BE384" s="466"/>
      <c r="BF384" s="466"/>
      <c r="BG384" s="150"/>
      <c r="BH384" s="150"/>
      <c r="BI384" s="150"/>
      <c r="BJ384" s="466"/>
      <c r="BK384" s="152"/>
      <c r="BL384" s="160"/>
      <c r="BM384" s="150"/>
      <c r="BN384" s="466"/>
      <c r="BO384" s="150"/>
      <c r="BP384" s="516"/>
      <c r="BQ384" s="160"/>
      <c r="BR384" s="152"/>
      <c r="BS384" s="160"/>
    </row>
    <row r="385" spans="1:71" x14ac:dyDescent="0.3">
      <c r="A385" s="420">
        <f>DL!A382</f>
        <v>351</v>
      </c>
      <c r="B385" s="19" t="s">
        <v>205</v>
      </c>
      <c r="C385" s="149">
        <f>DL!L382</f>
        <v>200</v>
      </c>
      <c r="D385" s="149">
        <f>DL!C382</f>
        <v>500</v>
      </c>
      <c r="E385" s="150"/>
      <c r="F385" s="463"/>
      <c r="G385" s="150"/>
      <c r="H385" s="150"/>
      <c r="I385" s="466"/>
      <c r="J385" s="150"/>
      <c r="K385" s="168"/>
      <c r="L385" s="466"/>
      <c r="M385" s="150"/>
      <c r="N385" s="466"/>
      <c r="O385" s="150"/>
      <c r="P385" s="150"/>
      <c r="Q385" s="150"/>
      <c r="R385" s="472"/>
      <c r="S385" s="466">
        <v>2200</v>
      </c>
      <c r="T385" s="150"/>
      <c r="U385" s="150"/>
      <c r="V385" s="150"/>
      <c r="W385" s="168"/>
      <c r="X385" s="150"/>
      <c r="Y385" s="466"/>
      <c r="Z385" s="455"/>
      <c r="AA385" s="150"/>
      <c r="AB385" s="490"/>
      <c r="AC385" s="150"/>
      <c r="AD385" s="150"/>
      <c r="AE385" s="466"/>
      <c r="AF385" s="499"/>
      <c r="AG385" s="150">
        <v>2200</v>
      </c>
      <c r="AH385" s="150"/>
      <c r="AI385" s="150"/>
      <c r="AJ385" s="150"/>
      <c r="AK385" s="150"/>
      <c r="AL385" s="150"/>
      <c r="AM385" s="150"/>
      <c r="AN385" s="466"/>
      <c r="AO385" s="466"/>
      <c r="AP385" s="150"/>
      <c r="AQ385" s="150"/>
      <c r="AR385" s="151"/>
      <c r="AS385" s="456"/>
      <c r="AT385" s="466"/>
      <c r="AU385" s="150"/>
      <c r="AV385" s="487"/>
      <c r="AW385" s="150"/>
      <c r="AX385" s="150"/>
      <c r="AY385" s="466"/>
      <c r="AZ385" s="466"/>
      <c r="BA385" s="150"/>
      <c r="BB385" s="150"/>
      <c r="BC385" s="466"/>
      <c r="BD385" s="466"/>
      <c r="BE385" s="466"/>
      <c r="BF385" s="466"/>
      <c r="BG385" s="150"/>
      <c r="BH385" s="150"/>
      <c r="BI385" s="150"/>
      <c r="BJ385" s="466"/>
      <c r="BK385" s="152"/>
      <c r="BL385" s="160"/>
      <c r="BM385" s="150"/>
      <c r="BN385" s="466"/>
      <c r="BO385" s="150"/>
      <c r="BP385" s="516">
        <v>800</v>
      </c>
      <c r="BQ385" s="160"/>
      <c r="BR385" s="152"/>
      <c r="BS385" s="160"/>
    </row>
    <row r="386" spans="1:71" x14ac:dyDescent="0.3">
      <c r="A386" s="420">
        <f>DL!A383</f>
        <v>352</v>
      </c>
      <c r="B386" s="19" t="s">
        <v>206</v>
      </c>
      <c r="C386" s="149">
        <v>20</v>
      </c>
      <c r="D386" s="149">
        <f>DL!C383</f>
        <v>500</v>
      </c>
      <c r="E386" s="150"/>
      <c r="F386" s="463"/>
      <c r="G386" s="150"/>
      <c r="H386" s="150"/>
      <c r="I386" s="466"/>
      <c r="J386" s="150"/>
      <c r="K386" s="168"/>
      <c r="L386" s="466"/>
      <c r="M386" s="150"/>
      <c r="N386" s="466"/>
      <c r="O386" s="150"/>
      <c r="P386" s="150"/>
      <c r="Q386" s="150"/>
      <c r="R386" s="472"/>
      <c r="S386" s="466">
        <v>1800</v>
      </c>
      <c r="T386" s="150"/>
      <c r="U386" s="150"/>
      <c r="V386" s="150"/>
      <c r="W386" s="168"/>
      <c r="X386" s="150"/>
      <c r="Y386" s="466"/>
      <c r="Z386" s="455"/>
      <c r="AA386" s="150"/>
      <c r="AB386" s="490"/>
      <c r="AC386" s="150"/>
      <c r="AD386" s="150"/>
      <c r="AE386" s="466"/>
      <c r="AF386" s="499"/>
      <c r="AG386" s="150">
        <v>2100</v>
      </c>
      <c r="AH386" s="150"/>
      <c r="AI386" s="150"/>
      <c r="AJ386" s="150"/>
      <c r="AK386" s="150"/>
      <c r="AL386" s="150"/>
      <c r="AM386" s="150"/>
      <c r="AN386" s="466"/>
      <c r="AO386" s="466"/>
      <c r="AP386" s="150"/>
      <c r="AQ386" s="150"/>
      <c r="AR386" s="151"/>
      <c r="AS386" s="456"/>
      <c r="AT386" s="466"/>
      <c r="AU386" s="150"/>
      <c r="AV386" s="487"/>
      <c r="AW386" s="150"/>
      <c r="AX386" s="150"/>
      <c r="AY386" s="466"/>
      <c r="AZ386" s="466"/>
      <c r="BA386" s="150"/>
      <c r="BB386" s="150"/>
      <c r="BC386" s="466"/>
      <c r="BD386" s="466"/>
      <c r="BE386" s="466"/>
      <c r="BF386" s="466"/>
      <c r="BG386" s="150"/>
      <c r="BH386" s="150"/>
      <c r="BI386" s="150"/>
      <c r="BJ386" s="466"/>
      <c r="BK386" s="152"/>
      <c r="BL386" s="160"/>
      <c r="BM386" s="150"/>
      <c r="BN386" s="466"/>
      <c r="BO386" s="150"/>
      <c r="BP386" s="516"/>
      <c r="BQ386" s="160"/>
      <c r="BR386" s="152"/>
      <c r="BS386" s="160"/>
    </row>
    <row r="387" spans="1:71" x14ac:dyDescent="0.3">
      <c r="A387" s="420">
        <f>DL!A384</f>
        <v>353</v>
      </c>
      <c r="B387" s="19" t="s">
        <v>207</v>
      </c>
      <c r="C387" s="149">
        <f>DL!L384</f>
        <v>800</v>
      </c>
      <c r="D387" s="149">
        <f>DL!C384</f>
        <v>30</v>
      </c>
      <c r="E387" s="150"/>
      <c r="F387" s="463"/>
      <c r="G387" s="150"/>
      <c r="H387" s="150"/>
      <c r="I387" s="466"/>
      <c r="J387" s="150"/>
      <c r="K387" s="168"/>
      <c r="L387" s="466"/>
      <c r="M387" s="150"/>
      <c r="N387" s="466"/>
      <c r="O387" s="150"/>
      <c r="P387" s="150"/>
      <c r="Q387" s="150"/>
      <c r="R387" s="472"/>
      <c r="S387" s="466">
        <v>300</v>
      </c>
      <c r="T387" s="150">
        <v>210</v>
      </c>
      <c r="U387" s="150"/>
      <c r="V387" s="150"/>
      <c r="W387" s="168"/>
      <c r="X387" s="150"/>
      <c r="Y387" s="466"/>
      <c r="Z387" s="455"/>
      <c r="AA387" s="150"/>
      <c r="AB387" s="490"/>
      <c r="AC387" s="150"/>
      <c r="AD387" s="150"/>
      <c r="AE387" s="466"/>
      <c r="AF387" s="499"/>
      <c r="AG387" s="150"/>
      <c r="AH387" s="150"/>
      <c r="AI387" s="150"/>
      <c r="AJ387" s="150"/>
      <c r="AK387" s="150">
        <v>170</v>
      </c>
      <c r="AL387" s="150"/>
      <c r="AM387" s="150"/>
      <c r="AN387" s="466"/>
      <c r="AO387" s="466"/>
      <c r="AP387" s="150"/>
      <c r="AQ387" s="150"/>
      <c r="AR387" s="151"/>
      <c r="AS387" s="456"/>
      <c r="AT387" s="466"/>
      <c r="AU387" s="150"/>
      <c r="AV387" s="487"/>
      <c r="AW387" s="150"/>
      <c r="AX387" s="150"/>
      <c r="AY387" s="466"/>
      <c r="AZ387" s="466"/>
      <c r="BA387" s="150"/>
      <c r="BB387" s="150"/>
      <c r="BC387" s="466"/>
      <c r="BD387" s="466"/>
      <c r="BE387" s="466"/>
      <c r="BF387" s="466"/>
      <c r="BG387" s="150"/>
      <c r="BH387" s="150">
        <v>639</v>
      </c>
      <c r="BI387" s="150"/>
      <c r="BJ387" s="466"/>
      <c r="BK387" s="152"/>
      <c r="BL387" s="160"/>
      <c r="BM387" s="150"/>
      <c r="BN387" s="466"/>
      <c r="BO387" s="150"/>
      <c r="BP387" s="516"/>
      <c r="BQ387" s="160"/>
      <c r="BR387" s="152"/>
      <c r="BS387" s="160"/>
    </row>
    <row r="388" spans="1:71" x14ac:dyDescent="0.3">
      <c r="A388" s="420">
        <f>DL!A385</f>
        <v>354</v>
      </c>
      <c r="B388" s="19" t="s">
        <v>208</v>
      </c>
      <c r="C388" s="149">
        <v>1000</v>
      </c>
      <c r="D388" s="149">
        <f>DL!C385</f>
        <v>30</v>
      </c>
      <c r="E388" s="150"/>
      <c r="F388" s="463"/>
      <c r="G388" s="150"/>
      <c r="H388" s="150"/>
      <c r="I388" s="466"/>
      <c r="J388" s="150"/>
      <c r="K388" s="168"/>
      <c r="L388" s="466"/>
      <c r="M388" s="150"/>
      <c r="N388" s="466"/>
      <c r="O388" s="150"/>
      <c r="P388" s="150"/>
      <c r="Q388" s="150"/>
      <c r="R388" s="472"/>
      <c r="S388" s="466">
        <v>450</v>
      </c>
      <c r="T388" s="150">
        <v>390</v>
      </c>
      <c r="U388" s="150"/>
      <c r="V388" s="150"/>
      <c r="W388" s="168"/>
      <c r="X388" s="150"/>
      <c r="Y388" s="466"/>
      <c r="Z388" s="455"/>
      <c r="AA388" s="150"/>
      <c r="AB388" s="490"/>
      <c r="AC388" s="150"/>
      <c r="AD388" s="150"/>
      <c r="AE388" s="466"/>
      <c r="AF388" s="499"/>
      <c r="AG388" s="150"/>
      <c r="AH388" s="150"/>
      <c r="AI388" s="150"/>
      <c r="AJ388" s="150"/>
      <c r="AK388" s="150">
        <v>340</v>
      </c>
      <c r="AL388" s="150"/>
      <c r="AM388" s="150"/>
      <c r="AN388" s="466"/>
      <c r="AO388" s="466"/>
      <c r="AP388" s="150"/>
      <c r="AQ388" s="150"/>
      <c r="AR388" s="151"/>
      <c r="AS388" s="456"/>
      <c r="AT388" s="466"/>
      <c r="AU388" s="150"/>
      <c r="AV388" s="487"/>
      <c r="AW388" s="150"/>
      <c r="AX388" s="150"/>
      <c r="AY388" s="466"/>
      <c r="AZ388" s="466"/>
      <c r="BA388" s="150"/>
      <c r="BB388" s="150"/>
      <c r="BC388" s="466"/>
      <c r="BD388" s="466"/>
      <c r="BE388" s="466"/>
      <c r="BF388" s="466"/>
      <c r="BG388" s="150"/>
      <c r="BH388" s="150">
        <v>855</v>
      </c>
      <c r="BI388" s="150"/>
      <c r="BJ388" s="466"/>
      <c r="BK388" s="152"/>
      <c r="BL388" s="160"/>
      <c r="BM388" s="150"/>
      <c r="BN388" s="466"/>
      <c r="BO388" s="150">
        <v>3280</v>
      </c>
      <c r="BP388" s="516"/>
      <c r="BQ388" s="160"/>
      <c r="BR388" s="152"/>
      <c r="BS388" s="160"/>
    </row>
    <row r="389" spans="1:71" x14ac:dyDescent="0.3">
      <c r="A389" s="420">
        <f>DL!A386</f>
        <v>355</v>
      </c>
      <c r="B389" s="19" t="s">
        <v>209</v>
      </c>
      <c r="C389" s="149">
        <v>1200</v>
      </c>
      <c r="D389" s="149">
        <f>DL!C386</f>
        <v>100</v>
      </c>
      <c r="E389" s="150"/>
      <c r="F389" s="463"/>
      <c r="G389" s="150"/>
      <c r="H389" s="150"/>
      <c r="I389" s="466"/>
      <c r="J389" s="150"/>
      <c r="K389" s="168"/>
      <c r="L389" s="466"/>
      <c r="M389" s="150"/>
      <c r="N389" s="466"/>
      <c r="O389" s="150"/>
      <c r="P389" s="150"/>
      <c r="Q389" s="150"/>
      <c r="R389" s="472"/>
      <c r="S389" s="466"/>
      <c r="T389" s="150"/>
      <c r="U389" s="150"/>
      <c r="V389" s="150"/>
      <c r="W389" s="168"/>
      <c r="X389" s="150"/>
      <c r="Y389" s="466"/>
      <c r="Z389" s="455"/>
      <c r="AA389" s="150"/>
      <c r="AB389" s="490"/>
      <c r="AC389" s="150"/>
      <c r="AD389" s="150"/>
      <c r="AE389" s="466"/>
      <c r="AF389" s="499"/>
      <c r="AG389" s="150"/>
      <c r="AH389" s="150"/>
      <c r="AI389" s="150"/>
      <c r="AJ389" s="150"/>
      <c r="AK389" s="150"/>
      <c r="AL389" s="150"/>
      <c r="AM389" s="150"/>
      <c r="AN389" s="466"/>
      <c r="AO389" s="466"/>
      <c r="AP389" s="150"/>
      <c r="AQ389" s="150"/>
      <c r="AR389" s="151"/>
      <c r="AS389" s="456"/>
      <c r="AT389" s="466"/>
      <c r="AU389" s="150"/>
      <c r="AV389" s="487"/>
      <c r="AW389" s="150"/>
      <c r="AX389" s="150"/>
      <c r="AY389" s="466"/>
      <c r="AZ389" s="466"/>
      <c r="BA389" s="150"/>
      <c r="BB389" s="150"/>
      <c r="BC389" s="466"/>
      <c r="BD389" s="466"/>
      <c r="BE389" s="466"/>
      <c r="BF389" s="466"/>
      <c r="BG389" s="150"/>
      <c r="BH389" s="150"/>
      <c r="BI389" s="150"/>
      <c r="BJ389" s="466"/>
      <c r="BK389" s="152"/>
      <c r="BL389" s="160"/>
      <c r="BM389" s="150"/>
      <c r="BN389" s="466">
        <v>1300</v>
      </c>
      <c r="BO389" s="150"/>
      <c r="BP389" s="516"/>
      <c r="BQ389" s="160"/>
      <c r="BR389" s="152"/>
      <c r="BS389" s="160"/>
    </row>
    <row r="390" spans="1:71" x14ac:dyDescent="0.3">
      <c r="A390" s="420">
        <f>DL!A387</f>
        <v>356</v>
      </c>
      <c r="B390" s="19" t="s">
        <v>210</v>
      </c>
      <c r="C390" s="149">
        <f>DL!L387</f>
        <v>100</v>
      </c>
      <c r="D390" s="149">
        <f>DL!C387</f>
        <v>50</v>
      </c>
      <c r="E390" s="150"/>
      <c r="F390" s="463"/>
      <c r="G390" s="150"/>
      <c r="H390" s="150"/>
      <c r="I390" s="466"/>
      <c r="J390" s="150"/>
      <c r="K390" s="168"/>
      <c r="L390" s="466"/>
      <c r="M390" s="150"/>
      <c r="N390" s="466"/>
      <c r="O390" s="150"/>
      <c r="P390" s="150"/>
      <c r="Q390" s="150"/>
      <c r="R390" s="472"/>
      <c r="S390" s="466">
        <v>3000</v>
      </c>
      <c r="T390" s="150"/>
      <c r="U390" s="150"/>
      <c r="V390" s="150"/>
      <c r="W390" s="168"/>
      <c r="X390" s="150"/>
      <c r="Y390" s="466"/>
      <c r="Z390" s="455"/>
      <c r="AA390" s="150"/>
      <c r="AB390" s="490"/>
      <c r="AC390" s="150"/>
      <c r="AD390" s="150"/>
      <c r="AE390" s="466"/>
      <c r="AF390" s="499"/>
      <c r="AG390" s="150"/>
      <c r="AH390" s="150"/>
      <c r="AI390" s="150"/>
      <c r="AJ390" s="150"/>
      <c r="AK390" s="150"/>
      <c r="AL390" s="150"/>
      <c r="AM390" s="150"/>
      <c r="AN390" s="466"/>
      <c r="AO390" s="466"/>
      <c r="AP390" s="150"/>
      <c r="AQ390" s="150"/>
      <c r="AR390" s="151"/>
      <c r="AS390" s="456"/>
      <c r="AT390" s="466"/>
      <c r="AU390" s="150"/>
      <c r="AV390" s="487"/>
      <c r="AW390" s="150"/>
      <c r="AX390" s="150"/>
      <c r="AY390" s="466"/>
      <c r="AZ390" s="466"/>
      <c r="BA390" s="150"/>
      <c r="BB390" s="150"/>
      <c r="BC390" s="466"/>
      <c r="BD390" s="466"/>
      <c r="BE390" s="466"/>
      <c r="BF390" s="466"/>
      <c r="BG390" s="150"/>
      <c r="BH390" s="150"/>
      <c r="BI390" s="150"/>
      <c r="BJ390" s="466"/>
      <c r="BK390" s="152"/>
      <c r="BL390" s="160"/>
      <c r="BM390" s="150"/>
      <c r="BN390" s="466"/>
      <c r="BO390" s="150"/>
      <c r="BP390" s="516"/>
      <c r="BQ390" s="160"/>
      <c r="BR390" s="152"/>
      <c r="BS390" s="160"/>
    </row>
    <row r="391" spans="1:71" x14ac:dyDescent="0.3">
      <c r="A391" s="420">
        <f>DL!A388</f>
        <v>357</v>
      </c>
      <c r="B391" s="19" t="s">
        <v>211</v>
      </c>
      <c r="C391" s="149">
        <f>DL!L388</f>
        <v>12</v>
      </c>
      <c r="D391" s="149" t="str">
        <f>DL!C388</f>
        <v>200ML</v>
      </c>
      <c r="E391" s="150"/>
      <c r="F391" s="463"/>
      <c r="G391" s="150"/>
      <c r="H391" s="150"/>
      <c r="I391" s="466"/>
      <c r="J391" s="150"/>
      <c r="K391" s="168"/>
      <c r="L391" s="466"/>
      <c r="M391" s="150"/>
      <c r="N391" s="466"/>
      <c r="O391" s="150"/>
      <c r="P391" s="150"/>
      <c r="Q391" s="150"/>
      <c r="R391" s="472"/>
      <c r="S391" s="466">
        <v>2500</v>
      </c>
      <c r="T391" s="150"/>
      <c r="U391" s="150"/>
      <c r="V391" s="150"/>
      <c r="W391" s="168"/>
      <c r="X391" s="150"/>
      <c r="Y391" s="466"/>
      <c r="Z391" s="455"/>
      <c r="AA391" s="150"/>
      <c r="AB391" s="490"/>
      <c r="AC391" s="150"/>
      <c r="AD391" s="150"/>
      <c r="AE391" s="466"/>
      <c r="AF391" s="499"/>
      <c r="AG391" s="150"/>
      <c r="AH391" s="150"/>
      <c r="AI391" s="150"/>
      <c r="AJ391" s="150"/>
      <c r="AK391" s="150"/>
      <c r="AL391" s="150"/>
      <c r="AM391" s="150"/>
      <c r="AN391" s="466"/>
      <c r="AO391" s="466"/>
      <c r="AP391" s="150"/>
      <c r="AQ391" s="150"/>
      <c r="AR391" s="151"/>
      <c r="AS391" s="456"/>
      <c r="AT391" s="466"/>
      <c r="AU391" s="150"/>
      <c r="AV391" s="487"/>
      <c r="AW391" s="150"/>
      <c r="AX391" s="150"/>
      <c r="AY391" s="466"/>
      <c r="AZ391" s="466"/>
      <c r="BA391" s="150"/>
      <c r="BB391" s="150"/>
      <c r="BC391" s="466"/>
      <c r="BD391" s="466"/>
      <c r="BE391" s="466"/>
      <c r="BF391" s="466"/>
      <c r="BG391" s="150"/>
      <c r="BH391" s="150"/>
      <c r="BI391" s="150"/>
      <c r="BJ391" s="466"/>
      <c r="BK391" s="152"/>
      <c r="BL391" s="160"/>
      <c r="BM391" s="150"/>
      <c r="BN391" s="466"/>
      <c r="BO391" s="150">
        <v>2743</v>
      </c>
      <c r="BP391" s="516"/>
      <c r="BQ391" s="160"/>
      <c r="BR391" s="152"/>
      <c r="BS391" s="160"/>
    </row>
    <row r="392" spans="1:71" x14ac:dyDescent="0.3">
      <c r="A392" s="420">
        <f>DL!A389</f>
        <v>358</v>
      </c>
      <c r="B392" s="19" t="s">
        <v>213</v>
      </c>
      <c r="C392" s="149">
        <v>60</v>
      </c>
      <c r="D392" s="149">
        <f>DL!C389</f>
        <v>50</v>
      </c>
      <c r="E392" s="150"/>
      <c r="F392" s="463"/>
      <c r="G392" s="150"/>
      <c r="H392" s="150"/>
      <c r="I392" s="466"/>
      <c r="J392" s="150"/>
      <c r="K392" s="168"/>
      <c r="L392" s="466"/>
      <c r="M392" s="150"/>
      <c r="N392" s="466"/>
      <c r="O392" s="150"/>
      <c r="P392" s="150"/>
      <c r="Q392" s="150"/>
      <c r="R392" s="472"/>
      <c r="S392" s="466">
        <v>6000</v>
      </c>
      <c r="T392" s="150"/>
      <c r="U392" s="150"/>
      <c r="V392" s="150"/>
      <c r="W392" s="168"/>
      <c r="X392" s="150"/>
      <c r="Y392" s="466"/>
      <c r="Z392" s="455"/>
      <c r="AA392" s="150"/>
      <c r="AB392" s="490"/>
      <c r="AC392" s="150"/>
      <c r="AD392" s="150"/>
      <c r="AE392" s="466"/>
      <c r="AF392" s="499"/>
      <c r="AG392" s="150"/>
      <c r="AH392" s="150"/>
      <c r="AI392" s="150"/>
      <c r="AJ392" s="150"/>
      <c r="AK392" s="150"/>
      <c r="AL392" s="150"/>
      <c r="AM392" s="150"/>
      <c r="AN392" s="466"/>
      <c r="AO392" s="466"/>
      <c r="AP392" s="150"/>
      <c r="AQ392" s="150"/>
      <c r="AR392" s="151"/>
      <c r="AS392" s="456"/>
      <c r="AT392" s="466"/>
      <c r="AU392" s="150"/>
      <c r="AV392" s="487"/>
      <c r="AW392" s="150"/>
      <c r="AX392" s="150"/>
      <c r="AY392" s="466"/>
      <c r="AZ392" s="466"/>
      <c r="BA392" s="150"/>
      <c r="BB392" s="150"/>
      <c r="BC392" s="466"/>
      <c r="BD392" s="466"/>
      <c r="BE392" s="466"/>
      <c r="BF392" s="466"/>
      <c r="BG392" s="150"/>
      <c r="BH392" s="150"/>
      <c r="BI392" s="150"/>
      <c r="BJ392" s="466"/>
      <c r="BK392" s="152"/>
      <c r="BL392" s="160"/>
      <c r="BM392" s="150"/>
      <c r="BN392" s="466"/>
      <c r="BO392" s="150"/>
      <c r="BP392" s="516"/>
      <c r="BQ392" s="160"/>
      <c r="BR392" s="152"/>
      <c r="BS392" s="160"/>
    </row>
    <row r="393" spans="1:71" x14ac:dyDescent="0.3">
      <c r="A393" s="420">
        <f>DL!A390</f>
        <v>359</v>
      </c>
      <c r="B393" s="19" t="s">
        <v>214</v>
      </c>
      <c r="C393" s="149">
        <f>DL!L390</f>
        <v>10</v>
      </c>
      <c r="D393" s="149">
        <f>DL!C390</f>
        <v>100</v>
      </c>
      <c r="E393" s="150"/>
      <c r="F393" s="463"/>
      <c r="G393" s="150"/>
      <c r="H393" s="150"/>
      <c r="I393" s="466"/>
      <c r="J393" s="150"/>
      <c r="K393" s="168"/>
      <c r="L393" s="466"/>
      <c r="M393" s="150"/>
      <c r="N393" s="466"/>
      <c r="O393" s="150"/>
      <c r="P393" s="150"/>
      <c r="Q393" s="150"/>
      <c r="R393" s="472"/>
      <c r="S393" s="466"/>
      <c r="T393" s="150"/>
      <c r="U393" s="150"/>
      <c r="V393" s="150"/>
      <c r="W393" s="168"/>
      <c r="X393" s="150"/>
      <c r="Y393" s="466"/>
      <c r="Z393" s="455"/>
      <c r="AA393" s="150"/>
      <c r="AB393" s="490"/>
      <c r="AC393" s="150"/>
      <c r="AD393" s="150"/>
      <c r="AE393" s="466"/>
      <c r="AF393" s="499"/>
      <c r="AG393" s="150"/>
      <c r="AH393" s="150"/>
      <c r="AI393" s="150"/>
      <c r="AJ393" s="150"/>
      <c r="AK393" s="150"/>
      <c r="AL393" s="150"/>
      <c r="AM393" s="150"/>
      <c r="AN393" s="466"/>
      <c r="AO393" s="466"/>
      <c r="AP393" s="150"/>
      <c r="AQ393" s="150"/>
      <c r="AR393" s="151"/>
      <c r="AS393" s="456"/>
      <c r="AT393" s="466"/>
      <c r="AU393" s="150"/>
      <c r="AV393" s="487"/>
      <c r="AW393" s="150"/>
      <c r="AX393" s="150"/>
      <c r="AY393" s="466"/>
      <c r="AZ393" s="466"/>
      <c r="BA393" s="150"/>
      <c r="BB393" s="150"/>
      <c r="BC393" s="466"/>
      <c r="BD393" s="466"/>
      <c r="BE393" s="466"/>
      <c r="BF393" s="466"/>
      <c r="BG393" s="150"/>
      <c r="BH393" s="150"/>
      <c r="BI393" s="150"/>
      <c r="BJ393" s="466"/>
      <c r="BK393" s="152"/>
      <c r="BL393" s="160"/>
      <c r="BM393" s="150"/>
      <c r="BN393" s="466"/>
      <c r="BO393" s="150"/>
      <c r="BP393" s="516"/>
      <c r="BQ393" s="160"/>
      <c r="BR393" s="152"/>
      <c r="BS393" s="160"/>
    </row>
    <row r="394" spans="1:71" x14ac:dyDescent="0.3">
      <c r="A394" s="420">
        <f>DL!A391</f>
        <v>360</v>
      </c>
      <c r="B394" s="19" t="s">
        <v>215</v>
      </c>
      <c r="C394" s="149">
        <f>DL!L391</f>
        <v>4</v>
      </c>
      <c r="D394" s="149">
        <f>DL!C391</f>
        <v>1000</v>
      </c>
      <c r="E394" s="150"/>
      <c r="F394" s="463"/>
      <c r="G394" s="150"/>
      <c r="H394" s="150"/>
      <c r="I394" s="466"/>
      <c r="J394" s="150"/>
      <c r="K394" s="168"/>
      <c r="L394" s="466"/>
      <c r="M394" s="150"/>
      <c r="N394" s="466"/>
      <c r="O394" s="150"/>
      <c r="P394" s="150"/>
      <c r="Q394" s="150"/>
      <c r="R394" s="472"/>
      <c r="S394" s="466">
        <v>5400</v>
      </c>
      <c r="T394" s="150"/>
      <c r="U394" s="150"/>
      <c r="V394" s="150"/>
      <c r="W394" s="168"/>
      <c r="X394" s="150"/>
      <c r="Y394" s="466"/>
      <c r="Z394" s="455"/>
      <c r="AA394" s="150"/>
      <c r="AB394" s="490"/>
      <c r="AC394" s="150"/>
      <c r="AD394" s="150"/>
      <c r="AE394" s="466"/>
      <c r="AF394" s="499"/>
      <c r="AG394" s="150"/>
      <c r="AH394" s="150"/>
      <c r="AI394" s="150"/>
      <c r="AJ394" s="150"/>
      <c r="AK394" s="150"/>
      <c r="AL394" s="150"/>
      <c r="AM394" s="150"/>
      <c r="AN394" s="466"/>
      <c r="AO394" s="466"/>
      <c r="AP394" s="150"/>
      <c r="AQ394" s="150"/>
      <c r="AR394" s="151"/>
      <c r="AS394" s="456"/>
      <c r="AT394" s="466"/>
      <c r="AU394" s="150"/>
      <c r="AV394" s="487"/>
      <c r="AW394" s="150"/>
      <c r="AX394" s="150"/>
      <c r="AY394" s="466"/>
      <c r="AZ394" s="466"/>
      <c r="BA394" s="150"/>
      <c r="BB394" s="150"/>
      <c r="BC394" s="466"/>
      <c r="BD394" s="466"/>
      <c r="BE394" s="466"/>
      <c r="BF394" s="466"/>
      <c r="BG394" s="150"/>
      <c r="BH394" s="150"/>
      <c r="BI394" s="150"/>
      <c r="BJ394" s="466"/>
      <c r="BK394" s="152"/>
      <c r="BL394" s="160"/>
      <c r="BM394" s="150"/>
      <c r="BN394" s="466"/>
      <c r="BO394" s="150"/>
      <c r="BP394" s="516"/>
      <c r="BQ394" s="160"/>
      <c r="BR394" s="152"/>
      <c r="BS394" s="160"/>
    </row>
    <row r="395" spans="1:71" x14ac:dyDescent="0.3">
      <c r="A395" s="420">
        <f>DL!A392</f>
        <v>361</v>
      </c>
      <c r="B395" s="19" t="s">
        <v>724</v>
      </c>
      <c r="C395" s="149">
        <f>DL!L392</f>
        <v>600</v>
      </c>
      <c r="D395" s="149">
        <f>DL!C392</f>
        <v>10</v>
      </c>
      <c r="E395" s="150"/>
      <c r="F395" s="463"/>
      <c r="G395" s="150"/>
      <c r="H395" s="150"/>
      <c r="I395" s="466"/>
      <c r="J395" s="150"/>
      <c r="K395" s="168"/>
      <c r="L395" s="466"/>
      <c r="M395" s="150"/>
      <c r="N395" s="466"/>
      <c r="O395" s="150"/>
      <c r="P395" s="150"/>
      <c r="Q395" s="150"/>
      <c r="R395" s="472"/>
      <c r="S395" s="466"/>
      <c r="T395" s="150"/>
      <c r="U395" s="150"/>
      <c r="V395" s="150"/>
      <c r="W395" s="168"/>
      <c r="X395" s="150"/>
      <c r="Y395" s="466"/>
      <c r="Z395" s="455"/>
      <c r="AA395" s="150"/>
      <c r="AB395" s="490"/>
      <c r="AC395" s="150"/>
      <c r="AD395" s="150"/>
      <c r="AE395" s="466"/>
      <c r="AF395" s="499"/>
      <c r="AG395" s="150"/>
      <c r="AH395" s="150"/>
      <c r="AI395" s="150"/>
      <c r="AJ395" s="150"/>
      <c r="AK395" s="150"/>
      <c r="AL395" s="150"/>
      <c r="AM395" s="150"/>
      <c r="AN395" s="466"/>
      <c r="AO395" s="466"/>
      <c r="AP395" s="150"/>
      <c r="AQ395" s="150"/>
      <c r="AR395" s="151"/>
      <c r="AS395" s="456"/>
      <c r="AT395" s="466"/>
      <c r="AU395" s="150"/>
      <c r="AV395" s="487"/>
      <c r="AW395" s="150"/>
      <c r="AX395" s="150"/>
      <c r="AY395" s="466"/>
      <c r="AZ395" s="466"/>
      <c r="BA395" s="150"/>
      <c r="BB395" s="150"/>
      <c r="BC395" s="466"/>
      <c r="BD395" s="466"/>
      <c r="BE395" s="466"/>
      <c r="BF395" s="466"/>
      <c r="BG395" s="150"/>
      <c r="BH395" s="150"/>
      <c r="BI395" s="150"/>
      <c r="BJ395" s="466"/>
      <c r="BK395" s="152"/>
      <c r="BL395" s="160"/>
      <c r="BM395" s="150"/>
      <c r="BN395" s="466"/>
      <c r="BO395" s="150">
        <v>6000</v>
      </c>
      <c r="BP395" s="516"/>
      <c r="BQ395" s="160"/>
      <c r="BR395" s="152"/>
      <c r="BS395" s="160"/>
    </row>
    <row r="396" spans="1:71" x14ac:dyDescent="0.3">
      <c r="A396" s="420">
        <f>DL!A393</f>
        <v>362</v>
      </c>
      <c r="B396" s="19" t="s">
        <v>756</v>
      </c>
      <c r="C396" s="149">
        <f>DL!L393</f>
        <v>12</v>
      </c>
      <c r="D396" s="149">
        <f>DL!C393</f>
        <v>1000</v>
      </c>
      <c r="E396" s="150"/>
      <c r="F396" s="463"/>
      <c r="G396" s="150"/>
      <c r="H396" s="150"/>
      <c r="I396" s="466"/>
      <c r="J396" s="150"/>
      <c r="K396" s="168"/>
      <c r="L396" s="466"/>
      <c r="M396" s="150"/>
      <c r="N396" s="466"/>
      <c r="O396" s="150"/>
      <c r="P396" s="150"/>
      <c r="Q396" s="150"/>
      <c r="R396" s="472"/>
      <c r="S396" s="466">
        <v>3000</v>
      </c>
      <c r="T396" s="150"/>
      <c r="U396" s="150"/>
      <c r="V396" s="150"/>
      <c r="W396" s="168"/>
      <c r="X396" s="150"/>
      <c r="Y396" s="466"/>
      <c r="Z396" s="455"/>
      <c r="AA396" s="150"/>
      <c r="AB396" s="490"/>
      <c r="AC396" s="150"/>
      <c r="AD396" s="150"/>
      <c r="AE396" s="466"/>
      <c r="AF396" s="499"/>
      <c r="AG396" s="150"/>
      <c r="AH396" s="150"/>
      <c r="AI396" s="150"/>
      <c r="AJ396" s="150"/>
      <c r="AK396" s="150"/>
      <c r="AL396" s="150"/>
      <c r="AM396" s="150"/>
      <c r="AN396" s="466"/>
      <c r="AO396" s="466"/>
      <c r="AP396" s="150"/>
      <c r="AQ396" s="150"/>
      <c r="AR396" s="151"/>
      <c r="AS396" s="456"/>
      <c r="AT396" s="466"/>
      <c r="AU396" s="150"/>
      <c r="AV396" s="487"/>
      <c r="AW396" s="150"/>
      <c r="AX396" s="150"/>
      <c r="AY396" s="466"/>
      <c r="AZ396" s="466"/>
      <c r="BA396" s="150"/>
      <c r="BB396" s="150"/>
      <c r="BC396" s="466"/>
      <c r="BD396" s="466"/>
      <c r="BE396" s="466"/>
      <c r="BF396" s="466"/>
      <c r="BG396" s="150"/>
      <c r="BH396" s="150"/>
      <c r="BI396" s="150"/>
      <c r="BJ396" s="466"/>
      <c r="BK396" s="152"/>
      <c r="BL396" s="160"/>
      <c r="BM396" s="150"/>
      <c r="BN396" s="466"/>
      <c r="BO396" s="150"/>
      <c r="BP396" s="516"/>
      <c r="BQ396" s="160"/>
      <c r="BR396" s="152"/>
      <c r="BS396" s="160"/>
    </row>
    <row r="397" spans="1:71" x14ac:dyDescent="0.3">
      <c r="A397" s="420">
        <f>DL!A394</f>
        <v>363</v>
      </c>
      <c r="B397" s="19" t="s">
        <v>755</v>
      </c>
      <c r="C397" s="149">
        <f>DL!L394</f>
        <v>12</v>
      </c>
      <c r="D397" s="149">
        <f>DL!C394</f>
        <v>1000</v>
      </c>
      <c r="E397" s="150"/>
      <c r="F397" s="463"/>
      <c r="G397" s="150"/>
      <c r="H397" s="150"/>
      <c r="I397" s="466"/>
      <c r="J397" s="150"/>
      <c r="K397" s="168"/>
      <c r="L397" s="466"/>
      <c r="M397" s="150"/>
      <c r="N397" s="466"/>
      <c r="O397" s="150"/>
      <c r="P397" s="150"/>
      <c r="Q397" s="150"/>
      <c r="R397" s="472"/>
      <c r="S397" s="466"/>
      <c r="T397" s="150"/>
      <c r="U397" s="150"/>
      <c r="V397" s="150"/>
      <c r="W397" s="168"/>
      <c r="X397" s="150"/>
      <c r="Y397" s="466"/>
      <c r="Z397" s="455"/>
      <c r="AA397" s="150"/>
      <c r="AB397" s="490"/>
      <c r="AC397" s="150"/>
      <c r="AD397" s="150"/>
      <c r="AE397" s="466"/>
      <c r="AF397" s="499"/>
      <c r="AG397" s="150"/>
      <c r="AH397" s="150"/>
      <c r="AI397" s="150"/>
      <c r="AJ397" s="150"/>
      <c r="AK397" s="150"/>
      <c r="AL397" s="150"/>
      <c r="AM397" s="150"/>
      <c r="AN397" s="466"/>
      <c r="AO397" s="466"/>
      <c r="AP397" s="150"/>
      <c r="AQ397" s="150"/>
      <c r="AR397" s="151"/>
      <c r="AS397" s="456"/>
      <c r="AT397" s="466"/>
      <c r="AU397" s="150"/>
      <c r="AV397" s="487"/>
      <c r="AW397" s="150"/>
      <c r="AX397" s="150"/>
      <c r="AY397" s="466"/>
      <c r="AZ397" s="466"/>
      <c r="BA397" s="150"/>
      <c r="BB397" s="150"/>
      <c r="BC397" s="466"/>
      <c r="BD397" s="466"/>
      <c r="BE397" s="466"/>
      <c r="BF397" s="466"/>
      <c r="BG397" s="150"/>
      <c r="BH397" s="150"/>
      <c r="BI397" s="150"/>
      <c r="BJ397" s="466"/>
      <c r="BK397" s="152"/>
      <c r="BL397" s="160"/>
      <c r="BM397" s="150"/>
      <c r="BN397" s="466"/>
      <c r="BO397" s="150"/>
      <c r="BP397" s="516"/>
      <c r="BQ397" s="160"/>
      <c r="BR397" s="152"/>
      <c r="BS397" s="160"/>
    </row>
    <row r="398" spans="1:71" x14ac:dyDescent="0.3">
      <c r="A398" s="420">
        <f>DL!A395</f>
        <v>364</v>
      </c>
      <c r="B398" s="19" t="s">
        <v>216</v>
      </c>
      <c r="C398" s="149">
        <f>DL!L395</f>
        <v>200</v>
      </c>
      <c r="D398" s="149" t="str">
        <f>DL!C395</f>
        <v>AMP</v>
      </c>
      <c r="E398" s="150"/>
      <c r="F398" s="463"/>
      <c r="G398" s="150"/>
      <c r="H398" s="150"/>
      <c r="I398" s="466"/>
      <c r="J398" s="150"/>
      <c r="K398" s="168"/>
      <c r="L398" s="466"/>
      <c r="M398" s="150"/>
      <c r="N398" s="466"/>
      <c r="O398" s="150"/>
      <c r="P398" s="150"/>
      <c r="Q398" s="150"/>
      <c r="R398" s="472"/>
      <c r="S398" s="466">
        <v>1350</v>
      </c>
      <c r="T398" s="150"/>
      <c r="U398" s="150"/>
      <c r="V398" s="150"/>
      <c r="W398" s="168"/>
      <c r="X398" s="150"/>
      <c r="Y398" s="466"/>
      <c r="Z398" s="455"/>
      <c r="AA398" s="150"/>
      <c r="AB398" s="490"/>
      <c r="AC398" s="150"/>
      <c r="AD398" s="150"/>
      <c r="AE398" s="466"/>
      <c r="AF398" s="499"/>
      <c r="AG398" s="150"/>
      <c r="AH398" s="150"/>
      <c r="AI398" s="150"/>
      <c r="AJ398" s="150"/>
      <c r="AK398" s="150"/>
      <c r="AL398" s="150"/>
      <c r="AM398" s="150"/>
      <c r="AN398" s="466"/>
      <c r="AO398" s="466"/>
      <c r="AP398" s="150"/>
      <c r="AQ398" s="150"/>
      <c r="AR398" s="151"/>
      <c r="AS398" s="456"/>
      <c r="AT398" s="466"/>
      <c r="AU398" s="150"/>
      <c r="AV398" s="487"/>
      <c r="AW398" s="150"/>
      <c r="AX398" s="150"/>
      <c r="AY398" s="466"/>
      <c r="AZ398" s="466"/>
      <c r="BA398" s="150"/>
      <c r="BB398" s="150"/>
      <c r="BC398" s="466"/>
      <c r="BD398" s="466"/>
      <c r="BE398" s="466"/>
      <c r="BF398" s="466"/>
      <c r="BG398" s="150"/>
      <c r="BH398" s="150"/>
      <c r="BI398" s="150"/>
      <c r="BJ398" s="466"/>
      <c r="BK398" s="152"/>
      <c r="BL398" s="160"/>
      <c r="BM398" s="150"/>
      <c r="BN398" s="466"/>
      <c r="BO398" s="150"/>
      <c r="BP398" s="516"/>
      <c r="BQ398" s="160"/>
      <c r="BR398" s="152"/>
      <c r="BS398" s="160"/>
    </row>
    <row r="399" spans="1:71" x14ac:dyDescent="0.3">
      <c r="A399" s="420">
        <f>DL!A396</f>
        <v>365</v>
      </c>
      <c r="B399" s="19" t="s">
        <v>217</v>
      </c>
      <c r="C399" s="149">
        <f>DL!L396</f>
        <v>100</v>
      </c>
      <c r="D399" s="149" t="str">
        <f>DL!C396</f>
        <v>AMP</v>
      </c>
      <c r="E399" s="150"/>
      <c r="F399" s="463"/>
      <c r="G399" s="150"/>
      <c r="H399" s="150"/>
      <c r="I399" s="466"/>
      <c r="J399" s="150"/>
      <c r="K399" s="168"/>
      <c r="L399" s="466"/>
      <c r="M399" s="150"/>
      <c r="N399" s="466"/>
      <c r="O399" s="150"/>
      <c r="P399" s="150"/>
      <c r="Q399" s="150"/>
      <c r="R399" s="472"/>
      <c r="S399" s="466">
        <v>2200</v>
      </c>
      <c r="T399" s="150"/>
      <c r="U399" s="150"/>
      <c r="V399" s="150"/>
      <c r="W399" s="168"/>
      <c r="X399" s="150"/>
      <c r="Y399" s="466"/>
      <c r="Z399" s="455"/>
      <c r="AA399" s="150"/>
      <c r="AB399" s="490"/>
      <c r="AC399" s="150"/>
      <c r="AD399" s="150"/>
      <c r="AE399" s="466"/>
      <c r="AF399" s="499"/>
      <c r="AG399" s="150"/>
      <c r="AH399" s="150"/>
      <c r="AI399" s="150"/>
      <c r="AJ399" s="150"/>
      <c r="AK399" s="150"/>
      <c r="AL399" s="150"/>
      <c r="AM399" s="150"/>
      <c r="AN399" s="466"/>
      <c r="AO399" s="466"/>
      <c r="AP399" s="150"/>
      <c r="AQ399" s="150"/>
      <c r="AR399" s="151"/>
      <c r="AS399" s="456"/>
      <c r="AT399" s="466"/>
      <c r="AU399" s="150"/>
      <c r="AV399" s="487"/>
      <c r="AW399" s="150"/>
      <c r="AX399" s="150"/>
      <c r="AY399" s="466"/>
      <c r="AZ399" s="466"/>
      <c r="BA399" s="150"/>
      <c r="BB399" s="150"/>
      <c r="BC399" s="466"/>
      <c r="BD399" s="466"/>
      <c r="BE399" s="466"/>
      <c r="BF399" s="466"/>
      <c r="BG399" s="150"/>
      <c r="BH399" s="150"/>
      <c r="BI399" s="150"/>
      <c r="BJ399" s="466"/>
      <c r="BK399" s="152"/>
      <c r="BL399" s="160"/>
      <c r="BM399" s="150"/>
      <c r="BN399" s="466"/>
      <c r="BO399" s="150"/>
      <c r="BP399" s="516"/>
      <c r="BQ399" s="160"/>
      <c r="BR399" s="152"/>
      <c r="BS399" s="160"/>
    </row>
    <row r="400" spans="1:71" x14ac:dyDescent="0.3">
      <c r="A400" s="420">
        <f>DL!A397</f>
        <v>366</v>
      </c>
      <c r="B400" s="19" t="s">
        <v>668</v>
      </c>
      <c r="C400" s="149">
        <f>DL!L397</f>
        <v>500</v>
      </c>
      <c r="D400" s="149">
        <f>DL!C397</f>
        <v>100</v>
      </c>
      <c r="E400" s="150"/>
      <c r="F400" s="463"/>
      <c r="G400" s="150">
        <v>6800</v>
      </c>
      <c r="H400" s="150"/>
      <c r="I400" s="466"/>
      <c r="J400" s="150"/>
      <c r="K400" s="168"/>
      <c r="L400" s="466"/>
      <c r="M400" s="150"/>
      <c r="N400" s="466"/>
      <c r="O400" s="150"/>
      <c r="P400" s="150"/>
      <c r="Q400" s="150"/>
      <c r="R400" s="472"/>
      <c r="S400" s="466"/>
      <c r="T400" s="150"/>
      <c r="U400" s="150"/>
      <c r="V400" s="150"/>
      <c r="W400" s="168"/>
      <c r="X400" s="150"/>
      <c r="Y400" s="466"/>
      <c r="Z400" s="455"/>
      <c r="AA400" s="150"/>
      <c r="AB400" s="490"/>
      <c r="AC400" s="150"/>
      <c r="AD400" s="150"/>
      <c r="AE400" s="466"/>
      <c r="AF400" s="499"/>
      <c r="AG400" s="150"/>
      <c r="AH400" s="150"/>
      <c r="AI400" s="150"/>
      <c r="AJ400" s="150"/>
      <c r="AK400" s="150"/>
      <c r="AL400" s="150"/>
      <c r="AM400" s="150"/>
      <c r="AN400" s="466"/>
      <c r="AO400" s="466">
        <v>1800</v>
      </c>
      <c r="AP400" s="150"/>
      <c r="AQ400" s="150"/>
      <c r="AR400" s="151"/>
      <c r="AS400" s="456"/>
      <c r="AT400" s="466"/>
      <c r="AU400" s="150"/>
      <c r="AV400" s="487"/>
      <c r="AW400" s="150"/>
      <c r="AX400" s="150"/>
      <c r="AY400" s="466"/>
      <c r="AZ400" s="466"/>
      <c r="BA400" s="150"/>
      <c r="BB400" s="150"/>
      <c r="BC400" s="466"/>
      <c r="BD400" s="466"/>
      <c r="BE400" s="466"/>
      <c r="BF400" s="466"/>
      <c r="BG400" s="150"/>
      <c r="BH400" s="150"/>
      <c r="BI400" s="150"/>
      <c r="BJ400" s="466"/>
      <c r="BK400" s="152"/>
      <c r="BL400" s="160"/>
      <c r="BM400" s="150"/>
      <c r="BN400" s="466"/>
      <c r="BO400" s="150"/>
      <c r="BP400" s="516"/>
      <c r="BQ400" s="160"/>
      <c r="BR400" s="152"/>
      <c r="BS400" s="160"/>
    </row>
    <row r="401" spans="1:71" x14ac:dyDescent="0.3">
      <c r="A401" s="420">
        <f>DL!A398</f>
        <v>367</v>
      </c>
      <c r="B401" s="19" t="s">
        <v>460</v>
      </c>
      <c r="C401" s="149">
        <f>DL!L398</f>
        <v>2</v>
      </c>
      <c r="D401" s="149">
        <f>DL!C398</f>
        <v>1000</v>
      </c>
      <c r="E401" s="150"/>
      <c r="F401" s="463"/>
      <c r="G401" s="150"/>
      <c r="H401" s="150"/>
      <c r="I401" s="466"/>
      <c r="J401" s="150"/>
      <c r="K401" s="168"/>
      <c r="L401" s="466"/>
      <c r="M401" s="150"/>
      <c r="N401" s="466"/>
      <c r="O401" s="150"/>
      <c r="P401" s="150"/>
      <c r="Q401" s="150"/>
      <c r="R401" s="472"/>
      <c r="S401" s="466">
        <v>2900</v>
      </c>
      <c r="T401" s="150"/>
      <c r="U401" s="150"/>
      <c r="V401" s="150"/>
      <c r="W401" s="168"/>
      <c r="X401" s="150"/>
      <c r="Y401" s="466"/>
      <c r="Z401" s="455"/>
      <c r="AA401" s="150"/>
      <c r="AB401" s="490"/>
      <c r="AC401" s="150"/>
      <c r="AD401" s="150"/>
      <c r="AE401" s="466"/>
      <c r="AF401" s="499"/>
      <c r="AG401" s="150"/>
      <c r="AH401" s="150"/>
      <c r="AI401" s="150"/>
      <c r="AJ401" s="150"/>
      <c r="AK401" s="150"/>
      <c r="AL401" s="150"/>
      <c r="AM401" s="150"/>
      <c r="AN401" s="466"/>
      <c r="AO401" s="466"/>
      <c r="AP401" s="150"/>
      <c r="AQ401" s="150"/>
      <c r="AR401" s="151"/>
      <c r="AS401" s="456"/>
      <c r="AT401" s="466"/>
      <c r="AU401" s="150"/>
      <c r="AV401" s="487"/>
      <c r="AW401" s="150"/>
      <c r="AX401" s="150"/>
      <c r="AY401" s="466"/>
      <c r="AZ401" s="466"/>
      <c r="BA401" s="150"/>
      <c r="BB401" s="150"/>
      <c r="BC401" s="466"/>
      <c r="BD401" s="466"/>
      <c r="BE401" s="466"/>
      <c r="BF401" s="466"/>
      <c r="BG401" s="150"/>
      <c r="BH401" s="150"/>
      <c r="BI401" s="150"/>
      <c r="BJ401" s="466"/>
      <c r="BK401" s="152"/>
      <c r="BL401" s="160"/>
      <c r="BM401" s="150"/>
      <c r="BN401" s="466"/>
      <c r="BO401" s="150"/>
      <c r="BP401" s="516"/>
      <c r="BQ401" s="160"/>
      <c r="BR401" s="152"/>
      <c r="BS401" s="160"/>
    </row>
    <row r="402" spans="1:71" x14ac:dyDescent="0.3">
      <c r="A402" s="420">
        <f>DL!A399</f>
        <v>368</v>
      </c>
      <c r="B402" s="19" t="s">
        <v>1327</v>
      </c>
      <c r="C402" s="149">
        <v>100</v>
      </c>
      <c r="D402" s="149">
        <f>DL!C399</f>
        <v>5</v>
      </c>
      <c r="E402" s="150"/>
      <c r="F402" s="463"/>
      <c r="G402" s="150"/>
      <c r="H402" s="150"/>
      <c r="I402" s="466"/>
      <c r="J402" s="150"/>
      <c r="K402" s="168"/>
      <c r="L402" s="466"/>
      <c r="M402" s="150"/>
      <c r="N402" s="466"/>
      <c r="O402" s="150"/>
      <c r="P402" s="150"/>
      <c r="Q402" s="150"/>
      <c r="R402" s="472"/>
      <c r="S402" s="466">
        <v>3000</v>
      </c>
      <c r="T402" s="150"/>
      <c r="U402" s="150"/>
      <c r="V402" s="150"/>
      <c r="W402" s="168"/>
      <c r="X402" s="150"/>
      <c r="Y402" s="466"/>
      <c r="Z402" s="455"/>
      <c r="AA402" s="150"/>
      <c r="AB402" s="490"/>
      <c r="AC402" s="150"/>
      <c r="AD402" s="150"/>
      <c r="AE402" s="466"/>
      <c r="AF402" s="499"/>
      <c r="AG402" s="150"/>
      <c r="AH402" s="150"/>
      <c r="AI402" s="150"/>
      <c r="AJ402" s="150"/>
      <c r="AK402" s="150"/>
      <c r="AL402" s="150"/>
      <c r="AM402" s="150"/>
      <c r="AN402" s="466"/>
      <c r="AO402" s="466"/>
      <c r="AP402" s="150"/>
      <c r="AQ402" s="150"/>
      <c r="AR402" s="151"/>
      <c r="AS402" s="456"/>
      <c r="AT402" s="466"/>
      <c r="AU402" s="150"/>
      <c r="AV402" s="487"/>
      <c r="AW402" s="150"/>
      <c r="AX402" s="150"/>
      <c r="AY402" s="466"/>
      <c r="AZ402" s="466"/>
      <c r="BA402" s="150"/>
      <c r="BB402" s="150"/>
      <c r="BC402" s="466"/>
      <c r="BD402" s="466"/>
      <c r="BE402" s="466"/>
      <c r="BF402" s="466"/>
      <c r="BG402" s="150"/>
      <c r="BH402" s="150"/>
      <c r="BI402" s="150"/>
      <c r="BJ402" s="466"/>
      <c r="BK402" s="152"/>
      <c r="BL402" s="160"/>
      <c r="BM402" s="150"/>
      <c r="BN402" s="466"/>
      <c r="BO402" s="150"/>
      <c r="BP402" s="516"/>
      <c r="BQ402" s="160"/>
      <c r="BR402" s="152"/>
      <c r="BS402" s="160"/>
    </row>
    <row r="403" spans="1:71" x14ac:dyDescent="0.3">
      <c r="A403" s="420">
        <f>DL!A400</f>
        <v>369</v>
      </c>
      <c r="B403" s="19" t="s">
        <v>218</v>
      </c>
      <c r="C403" s="149">
        <f>DL!L400</f>
        <v>8</v>
      </c>
      <c r="D403" s="149">
        <f>DL!C400</f>
        <v>500</v>
      </c>
      <c r="E403" s="150"/>
      <c r="F403" s="463"/>
      <c r="G403" s="150"/>
      <c r="H403" s="150"/>
      <c r="I403" s="466"/>
      <c r="J403" s="150"/>
      <c r="K403" s="168"/>
      <c r="L403" s="466"/>
      <c r="M403" s="150"/>
      <c r="N403" s="466"/>
      <c r="O403" s="150"/>
      <c r="P403" s="150"/>
      <c r="Q403" s="150"/>
      <c r="R403" s="472"/>
      <c r="S403" s="466">
        <v>9800</v>
      </c>
      <c r="T403" s="150">
        <v>700</v>
      </c>
      <c r="U403" s="150"/>
      <c r="V403" s="150"/>
      <c r="W403" s="168"/>
      <c r="X403" s="150"/>
      <c r="Y403" s="466"/>
      <c r="Z403" s="455"/>
      <c r="AA403" s="150"/>
      <c r="AB403" s="490"/>
      <c r="AC403" s="150"/>
      <c r="AD403" s="150"/>
      <c r="AE403" s="466"/>
      <c r="AF403" s="499"/>
      <c r="AG403" s="150"/>
      <c r="AH403" s="150"/>
      <c r="AI403" s="150"/>
      <c r="AJ403" s="150"/>
      <c r="AK403" s="150"/>
      <c r="AL403" s="150"/>
      <c r="AM403" s="150"/>
      <c r="AN403" s="466"/>
      <c r="AO403" s="466"/>
      <c r="AP403" s="150"/>
      <c r="AQ403" s="150"/>
      <c r="AR403" s="151"/>
      <c r="AS403" s="456"/>
      <c r="AT403" s="466"/>
      <c r="AU403" s="150"/>
      <c r="AV403" s="487"/>
      <c r="AW403" s="150"/>
      <c r="AX403" s="150"/>
      <c r="AY403" s="466"/>
      <c r="AZ403" s="466"/>
      <c r="BA403" s="150"/>
      <c r="BB403" s="150"/>
      <c r="BC403" s="466"/>
      <c r="BD403" s="466"/>
      <c r="BE403" s="466"/>
      <c r="BF403" s="466"/>
      <c r="BG403" s="150"/>
      <c r="BH403" s="150"/>
      <c r="BI403" s="150"/>
      <c r="BJ403" s="466"/>
      <c r="BK403" s="152"/>
      <c r="BL403" s="160"/>
      <c r="BM403" s="150"/>
      <c r="BN403" s="466"/>
      <c r="BO403" s="150"/>
      <c r="BP403" s="516"/>
      <c r="BQ403" s="160"/>
      <c r="BR403" s="152"/>
      <c r="BS403" s="160"/>
    </row>
    <row r="404" spans="1:71" x14ac:dyDescent="0.3">
      <c r="A404" s="420">
        <f>DL!A401</f>
        <v>370</v>
      </c>
      <c r="B404" s="19" t="s">
        <v>219</v>
      </c>
      <c r="C404" s="149">
        <f>DL!L401</f>
        <v>208</v>
      </c>
      <c r="D404" s="149">
        <f>DL!C401</f>
        <v>30</v>
      </c>
      <c r="E404" s="150"/>
      <c r="F404" s="463"/>
      <c r="G404" s="150"/>
      <c r="H404" s="150"/>
      <c r="I404" s="466"/>
      <c r="J404" s="150"/>
      <c r="K404" s="168"/>
      <c r="L404" s="466"/>
      <c r="M404" s="150"/>
      <c r="N404" s="466"/>
      <c r="O404" s="150"/>
      <c r="P404" s="150"/>
      <c r="Q404" s="150"/>
      <c r="R404" s="472"/>
      <c r="S404" s="466">
        <v>2000</v>
      </c>
      <c r="T404" s="150"/>
      <c r="U404" s="150"/>
      <c r="V404" s="150"/>
      <c r="W404" s="168"/>
      <c r="X404" s="150"/>
      <c r="Y404" s="466"/>
      <c r="Z404" s="455"/>
      <c r="AA404" s="150"/>
      <c r="AB404" s="490"/>
      <c r="AC404" s="150"/>
      <c r="AD404" s="150"/>
      <c r="AE404" s="466"/>
      <c r="AF404" s="499"/>
      <c r="AG404" s="150"/>
      <c r="AH404" s="150"/>
      <c r="AI404" s="150"/>
      <c r="AJ404" s="150"/>
      <c r="AK404" s="150"/>
      <c r="AL404" s="150"/>
      <c r="AM404" s="150"/>
      <c r="AN404" s="466"/>
      <c r="AO404" s="466"/>
      <c r="AP404" s="150"/>
      <c r="AQ404" s="150"/>
      <c r="AR404" s="151"/>
      <c r="AS404" s="456"/>
      <c r="AT404" s="466"/>
      <c r="AU404" s="150"/>
      <c r="AV404" s="487"/>
      <c r="AW404" s="150"/>
      <c r="AX404" s="150"/>
      <c r="AY404" s="466"/>
      <c r="AZ404" s="466"/>
      <c r="BA404" s="150"/>
      <c r="BB404" s="150"/>
      <c r="BC404" s="466"/>
      <c r="BD404" s="466"/>
      <c r="BE404" s="466"/>
      <c r="BF404" s="466"/>
      <c r="BG404" s="150"/>
      <c r="BH404" s="150"/>
      <c r="BI404" s="150"/>
      <c r="BJ404" s="466"/>
      <c r="BK404" s="152"/>
      <c r="BL404" s="160"/>
      <c r="BM404" s="150"/>
      <c r="BN404" s="466"/>
      <c r="BO404" s="150"/>
      <c r="BP404" s="516"/>
      <c r="BQ404" s="160"/>
      <c r="BR404" s="152"/>
      <c r="BS404" s="160"/>
    </row>
    <row r="405" spans="1:71" x14ac:dyDescent="0.3">
      <c r="A405" s="420">
        <f>DL!A402</f>
        <v>371</v>
      </c>
      <c r="B405" s="19" t="s">
        <v>220</v>
      </c>
      <c r="C405" s="149">
        <f>DL!L402</f>
        <v>140</v>
      </c>
      <c r="D405" s="149">
        <f>DL!C402</f>
        <v>30</v>
      </c>
      <c r="E405" s="150"/>
      <c r="F405" s="463"/>
      <c r="G405" s="150"/>
      <c r="H405" s="150"/>
      <c r="I405" s="466"/>
      <c r="J405" s="150"/>
      <c r="K405" s="168"/>
      <c r="L405" s="466"/>
      <c r="M405" s="150"/>
      <c r="N405" s="466"/>
      <c r="O405" s="150"/>
      <c r="P405" s="150"/>
      <c r="Q405" s="150"/>
      <c r="R405" s="472"/>
      <c r="S405" s="466">
        <v>1600</v>
      </c>
      <c r="T405" s="150"/>
      <c r="U405" s="150"/>
      <c r="V405" s="150"/>
      <c r="W405" s="168"/>
      <c r="X405" s="150"/>
      <c r="Y405" s="466"/>
      <c r="Z405" s="455"/>
      <c r="AA405" s="150"/>
      <c r="AB405" s="490"/>
      <c r="AC405" s="150"/>
      <c r="AD405" s="150"/>
      <c r="AE405" s="466"/>
      <c r="AF405" s="499"/>
      <c r="AG405" s="150"/>
      <c r="AH405" s="150"/>
      <c r="AI405" s="150"/>
      <c r="AJ405" s="150"/>
      <c r="AK405" s="150"/>
      <c r="AL405" s="150"/>
      <c r="AM405" s="150"/>
      <c r="AN405" s="466"/>
      <c r="AO405" s="466"/>
      <c r="AP405" s="150"/>
      <c r="AQ405" s="150"/>
      <c r="AR405" s="151"/>
      <c r="AS405" s="456"/>
      <c r="AT405" s="466"/>
      <c r="AU405" s="150"/>
      <c r="AV405" s="487"/>
      <c r="AW405" s="150"/>
      <c r="AX405" s="150"/>
      <c r="AY405" s="466"/>
      <c r="AZ405" s="466"/>
      <c r="BA405" s="150"/>
      <c r="BB405" s="150"/>
      <c r="BC405" s="466"/>
      <c r="BD405" s="466"/>
      <c r="BE405" s="466"/>
      <c r="BF405" s="466"/>
      <c r="BG405" s="150"/>
      <c r="BH405" s="150"/>
      <c r="BI405" s="150"/>
      <c r="BJ405" s="466"/>
      <c r="BK405" s="152"/>
      <c r="BL405" s="160"/>
      <c r="BM405" s="150"/>
      <c r="BN405" s="466"/>
      <c r="BO405" s="150"/>
      <c r="BP405" s="516"/>
      <c r="BQ405" s="160"/>
      <c r="BR405" s="152"/>
      <c r="BS405" s="160"/>
    </row>
    <row r="406" spans="1:71" x14ac:dyDescent="0.3">
      <c r="A406" s="420">
        <f>DL!A403</f>
        <v>372</v>
      </c>
      <c r="B406" s="19" t="s">
        <v>221</v>
      </c>
      <c r="C406" s="149">
        <f>DL!L403</f>
        <v>60</v>
      </c>
      <c r="D406" s="149">
        <f>DL!C403</f>
        <v>5</v>
      </c>
      <c r="E406" s="150"/>
      <c r="F406" s="463"/>
      <c r="G406" s="150"/>
      <c r="H406" s="150"/>
      <c r="I406" s="466"/>
      <c r="J406" s="150"/>
      <c r="K406" s="168"/>
      <c r="L406" s="466"/>
      <c r="M406" s="150"/>
      <c r="N406" s="466"/>
      <c r="O406" s="150"/>
      <c r="P406" s="150"/>
      <c r="Q406" s="150"/>
      <c r="R406" s="472"/>
      <c r="S406" s="466">
        <v>1500</v>
      </c>
      <c r="T406" s="150"/>
      <c r="U406" s="150"/>
      <c r="V406" s="150"/>
      <c r="W406" s="168"/>
      <c r="X406" s="150"/>
      <c r="Y406" s="466"/>
      <c r="Z406" s="455"/>
      <c r="AA406" s="150"/>
      <c r="AB406" s="490"/>
      <c r="AC406" s="150"/>
      <c r="AD406" s="150"/>
      <c r="AE406" s="466"/>
      <c r="AF406" s="499"/>
      <c r="AG406" s="150"/>
      <c r="AH406" s="150"/>
      <c r="AI406" s="150"/>
      <c r="AJ406" s="150"/>
      <c r="AK406" s="150"/>
      <c r="AL406" s="150"/>
      <c r="AM406" s="150"/>
      <c r="AN406" s="466"/>
      <c r="AO406" s="466"/>
      <c r="AP406" s="150"/>
      <c r="AQ406" s="150"/>
      <c r="AR406" s="151"/>
      <c r="AS406" s="456"/>
      <c r="AT406" s="466"/>
      <c r="AU406" s="150"/>
      <c r="AV406" s="487"/>
      <c r="AW406" s="150"/>
      <c r="AX406" s="150"/>
      <c r="AY406" s="466"/>
      <c r="AZ406" s="466"/>
      <c r="BA406" s="150"/>
      <c r="BB406" s="150"/>
      <c r="BC406" s="466"/>
      <c r="BD406" s="466"/>
      <c r="BE406" s="466"/>
      <c r="BF406" s="466"/>
      <c r="BG406" s="150"/>
      <c r="BH406" s="150"/>
      <c r="BI406" s="150"/>
      <c r="BJ406" s="466"/>
      <c r="BK406" s="152"/>
      <c r="BL406" s="160"/>
      <c r="BM406" s="150"/>
      <c r="BN406" s="466"/>
      <c r="BO406" s="150"/>
      <c r="BP406" s="516"/>
      <c r="BQ406" s="160"/>
      <c r="BR406" s="152"/>
      <c r="BS406" s="160"/>
    </row>
    <row r="407" spans="1:71" x14ac:dyDescent="0.3">
      <c r="A407" s="420">
        <f>DL!A404</f>
        <v>373</v>
      </c>
      <c r="B407" s="19" t="s">
        <v>681</v>
      </c>
      <c r="C407" s="149">
        <f>DL!L404</f>
        <v>20</v>
      </c>
      <c r="D407" s="149">
        <f>DL!C404</f>
        <v>30</v>
      </c>
      <c r="E407" s="150"/>
      <c r="F407" s="463"/>
      <c r="G407" s="150"/>
      <c r="H407" s="150"/>
      <c r="I407" s="466"/>
      <c r="J407" s="150"/>
      <c r="K407" s="168"/>
      <c r="L407" s="466"/>
      <c r="M407" s="150"/>
      <c r="N407" s="466"/>
      <c r="O407" s="150"/>
      <c r="P407" s="150"/>
      <c r="Q407" s="150"/>
      <c r="R407" s="472"/>
      <c r="S407" s="466"/>
      <c r="T407" s="150"/>
      <c r="U407" s="150"/>
      <c r="V407" s="150"/>
      <c r="W407" s="168"/>
      <c r="X407" s="150"/>
      <c r="Y407" s="466"/>
      <c r="Z407" s="455"/>
      <c r="AA407" s="150"/>
      <c r="AB407" s="490"/>
      <c r="AC407" s="150"/>
      <c r="AD407" s="150"/>
      <c r="AE407" s="466"/>
      <c r="AF407" s="499"/>
      <c r="AG407" s="150"/>
      <c r="AH407" s="150"/>
      <c r="AI407" s="150"/>
      <c r="AJ407" s="150"/>
      <c r="AK407" s="150"/>
      <c r="AL407" s="150"/>
      <c r="AM407" s="150"/>
      <c r="AN407" s="466"/>
      <c r="AO407" s="466"/>
      <c r="AP407" s="150"/>
      <c r="AQ407" s="150"/>
      <c r="AR407" s="151"/>
      <c r="AS407" s="456"/>
      <c r="AT407" s="466"/>
      <c r="AU407" s="150"/>
      <c r="AV407" s="487"/>
      <c r="AW407" s="150"/>
      <c r="AX407" s="150"/>
      <c r="AY407" s="466"/>
      <c r="AZ407" s="466"/>
      <c r="BA407" s="150"/>
      <c r="BB407" s="150"/>
      <c r="BC407" s="466"/>
      <c r="BD407" s="466"/>
      <c r="BE407" s="466"/>
      <c r="BF407" s="466"/>
      <c r="BG407" s="150"/>
      <c r="BH407" s="150"/>
      <c r="BI407" s="150"/>
      <c r="BJ407" s="466"/>
      <c r="BK407" s="152"/>
      <c r="BL407" s="160"/>
      <c r="BM407" s="150"/>
      <c r="BN407" s="466"/>
      <c r="BO407" s="150"/>
      <c r="BP407" s="516"/>
      <c r="BQ407" s="160"/>
      <c r="BR407" s="152"/>
      <c r="BS407" s="160"/>
    </row>
    <row r="408" spans="1:71" x14ac:dyDescent="0.3">
      <c r="A408" s="420">
        <f>DL!A405</f>
        <v>374</v>
      </c>
      <c r="B408" s="19" t="s">
        <v>222</v>
      </c>
      <c r="C408" s="149">
        <f>DL!L405</f>
        <v>8</v>
      </c>
      <c r="D408" s="149">
        <f>DL!C405</f>
        <v>100</v>
      </c>
      <c r="E408" s="150"/>
      <c r="F408" s="463"/>
      <c r="G408" s="150"/>
      <c r="H408" s="150"/>
      <c r="I408" s="466"/>
      <c r="J408" s="150"/>
      <c r="K408" s="168"/>
      <c r="L408" s="466"/>
      <c r="M408" s="150"/>
      <c r="N408" s="466"/>
      <c r="O408" s="150"/>
      <c r="P408" s="150"/>
      <c r="Q408" s="150"/>
      <c r="R408" s="472"/>
      <c r="S408" s="466">
        <v>70000</v>
      </c>
      <c r="T408" s="150"/>
      <c r="U408" s="150"/>
      <c r="V408" s="150"/>
      <c r="W408" s="168"/>
      <c r="X408" s="150"/>
      <c r="Y408" s="466"/>
      <c r="Z408" s="455"/>
      <c r="AA408" s="150"/>
      <c r="AB408" s="490"/>
      <c r="AC408" s="150"/>
      <c r="AD408" s="150"/>
      <c r="AE408" s="466"/>
      <c r="AF408" s="499"/>
      <c r="AG408" s="150"/>
      <c r="AH408" s="150"/>
      <c r="AI408" s="150"/>
      <c r="AJ408" s="150"/>
      <c r="AK408" s="150"/>
      <c r="AL408" s="150"/>
      <c r="AM408" s="150"/>
      <c r="AN408" s="466"/>
      <c r="AO408" s="466"/>
      <c r="AP408" s="150"/>
      <c r="AQ408" s="150"/>
      <c r="AR408" s="151"/>
      <c r="AS408" s="456"/>
      <c r="AT408" s="466"/>
      <c r="AU408" s="150"/>
      <c r="AV408" s="487"/>
      <c r="AW408" s="150"/>
      <c r="AX408" s="150"/>
      <c r="AY408" s="466"/>
      <c r="AZ408" s="466"/>
      <c r="BA408" s="150"/>
      <c r="BB408" s="150"/>
      <c r="BC408" s="466"/>
      <c r="BD408" s="466"/>
      <c r="BE408" s="466"/>
      <c r="BF408" s="466"/>
      <c r="BG408" s="150"/>
      <c r="BH408" s="150"/>
      <c r="BI408" s="150"/>
      <c r="BJ408" s="466"/>
      <c r="BK408" s="152"/>
      <c r="BL408" s="160"/>
      <c r="BM408" s="150"/>
      <c r="BN408" s="466"/>
      <c r="BO408" s="150"/>
      <c r="BP408" s="516"/>
      <c r="BQ408" s="160"/>
      <c r="BR408" s="152"/>
      <c r="BS408" s="160"/>
    </row>
    <row r="409" spans="1:71" x14ac:dyDescent="0.3">
      <c r="A409" s="420">
        <f>DL!A406</f>
        <v>375</v>
      </c>
      <c r="B409" s="19" t="s">
        <v>707</v>
      </c>
      <c r="C409" s="149">
        <f>DL!L406</f>
        <v>12</v>
      </c>
      <c r="D409" s="149">
        <f>DL!C406</f>
        <v>1000</v>
      </c>
      <c r="E409" s="150"/>
      <c r="F409" s="463"/>
      <c r="G409" s="150"/>
      <c r="H409" s="150"/>
      <c r="I409" s="466"/>
      <c r="J409" s="150"/>
      <c r="K409" s="168"/>
      <c r="L409" s="466"/>
      <c r="M409" s="150"/>
      <c r="N409" s="466"/>
      <c r="O409" s="150"/>
      <c r="P409" s="150"/>
      <c r="Q409" s="150"/>
      <c r="R409" s="472"/>
      <c r="S409" s="466">
        <v>6000</v>
      </c>
      <c r="T409" s="150"/>
      <c r="U409" s="150"/>
      <c r="V409" s="150"/>
      <c r="W409" s="168"/>
      <c r="X409" s="150"/>
      <c r="Y409" s="466"/>
      <c r="Z409" s="455"/>
      <c r="AA409" s="150"/>
      <c r="AB409" s="490"/>
      <c r="AC409" s="150"/>
      <c r="AD409" s="150"/>
      <c r="AE409" s="466"/>
      <c r="AF409" s="499"/>
      <c r="AG409" s="150"/>
      <c r="AH409" s="150"/>
      <c r="AI409" s="150"/>
      <c r="AJ409" s="150"/>
      <c r="AK409" s="150"/>
      <c r="AL409" s="150"/>
      <c r="AM409" s="150"/>
      <c r="AN409" s="466"/>
      <c r="AO409" s="466"/>
      <c r="AP409" s="150"/>
      <c r="AQ409" s="150"/>
      <c r="AR409" s="151"/>
      <c r="AS409" s="456"/>
      <c r="AT409" s="466"/>
      <c r="AU409" s="150"/>
      <c r="AV409" s="487"/>
      <c r="AW409" s="150"/>
      <c r="AX409" s="150"/>
      <c r="AY409" s="466"/>
      <c r="AZ409" s="466"/>
      <c r="BA409" s="150"/>
      <c r="BB409" s="150"/>
      <c r="BC409" s="466"/>
      <c r="BD409" s="466"/>
      <c r="BE409" s="466"/>
      <c r="BF409" s="466"/>
      <c r="BG409" s="150"/>
      <c r="BH409" s="150"/>
      <c r="BI409" s="150"/>
      <c r="BJ409" s="466"/>
      <c r="BK409" s="152"/>
      <c r="BL409" s="160"/>
      <c r="BM409" s="150"/>
      <c r="BN409" s="466"/>
      <c r="BO409" s="150"/>
      <c r="BP409" s="516"/>
      <c r="BQ409" s="160"/>
      <c r="BR409" s="152"/>
      <c r="BS409" s="160"/>
    </row>
    <row r="410" spans="1:71" x14ac:dyDescent="0.3">
      <c r="A410" s="420">
        <f>DL!A407</f>
        <v>376</v>
      </c>
      <c r="B410" s="19" t="s">
        <v>461</v>
      </c>
      <c r="C410" s="149">
        <f>DL!L407</f>
        <v>2</v>
      </c>
      <c r="D410" s="149">
        <f>DL!C407</f>
        <v>100</v>
      </c>
      <c r="E410" s="150"/>
      <c r="F410" s="463"/>
      <c r="G410" s="150"/>
      <c r="H410" s="150"/>
      <c r="I410" s="466"/>
      <c r="J410" s="150"/>
      <c r="K410" s="168"/>
      <c r="L410" s="466"/>
      <c r="M410" s="150"/>
      <c r="N410" s="466"/>
      <c r="O410" s="150"/>
      <c r="P410" s="150"/>
      <c r="Q410" s="150"/>
      <c r="R410" s="472"/>
      <c r="S410" s="466">
        <v>5800</v>
      </c>
      <c r="T410" s="150"/>
      <c r="U410" s="150"/>
      <c r="V410" s="150"/>
      <c r="W410" s="168"/>
      <c r="X410" s="150"/>
      <c r="Y410" s="466"/>
      <c r="Z410" s="455"/>
      <c r="AA410" s="150"/>
      <c r="AB410" s="490"/>
      <c r="AC410" s="150"/>
      <c r="AD410" s="150"/>
      <c r="AE410" s="466"/>
      <c r="AF410" s="499"/>
      <c r="AG410" s="150"/>
      <c r="AH410" s="150"/>
      <c r="AI410" s="150"/>
      <c r="AJ410" s="150"/>
      <c r="AK410" s="150"/>
      <c r="AL410" s="150"/>
      <c r="AM410" s="150"/>
      <c r="AN410" s="466"/>
      <c r="AO410" s="466"/>
      <c r="AP410" s="150"/>
      <c r="AQ410" s="150"/>
      <c r="AR410" s="151"/>
      <c r="AS410" s="456"/>
      <c r="AT410" s="466"/>
      <c r="AU410" s="150"/>
      <c r="AV410" s="487"/>
      <c r="AW410" s="150"/>
      <c r="AX410" s="150"/>
      <c r="AY410" s="466"/>
      <c r="AZ410" s="466"/>
      <c r="BA410" s="150"/>
      <c r="BB410" s="150"/>
      <c r="BC410" s="466"/>
      <c r="BD410" s="466"/>
      <c r="BE410" s="466"/>
      <c r="BF410" s="466"/>
      <c r="BG410" s="150"/>
      <c r="BH410" s="150"/>
      <c r="BI410" s="150"/>
      <c r="BJ410" s="466"/>
      <c r="BK410" s="152"/>
      <c r="BL410" s="160"/>
      <c r="BM410" s="150"/>
      <c r="BN410" s="466"/>
      <c r="BO410" s="150"/>
      <c r="BP410" s="516"/>
      <c r="BQ410" s="160"/>
      <c r="BR410" s="152"/>
      <c r="BS410" s="160"/>
    </row>
    <row r="411" spans="1:71" x14ac:dyDescent="0.3">
      <c r="A411" s="420">
        <f>DL!A408</f>
        <v>377</v>
      </c>
      <c r="B411" s="19" t="s">
        <v>462</v>
      </c>
      <c r="C411" s="149">
        <f>DL!L408</f>
        <v>16</v>
      </c>
      <c r="D411" s="149">
        <f>DL!C408</f>
        <v>5</v>
      </c>
      <c r="E411" s="150"/>
      <c r="F411" s="463"/>
      <c r="G411" s="150"/>
      <c r="H411" s="150"/>
      <c r="I411" s="466"/>
      <c r="J411" s="150"/>
      <c r="K411" s="168"/>
      <c r="L411" s="466"/>
      <c r="M411" s="150"/>
      <c r="N411" s="466"/>
      <c r="O411" s="150"/>
      <c r="P411" s="150"/>
      <c r="Q411" s="150"/>
      <c r="R411" s="472"/>
      <c r="S411" s="466">
        <v>4200</v>
      </c>
      <c r="T411" s="150"/>
      <c r="U411" s="150"/>
      <c r="V411" s="150"/>
      <c r="W411" s="168"/>
      <c r="X411" s="150"/>
      <c r="Y411" s="466"/>
      <c r="Z411" s="455"/>
      <c r="AA411" s="150"/>
      <c r="AB411" s="490"/>
      <c r="AC411" s="150"/>
      <c r="AD411" s="150"/>
      <c r="AE411" s="466"/>
      <c r="AF411" s="499"/>
      <c r="AG411" s="150"/>
      <c r="AH411" s="150"/>
      <c r="AI411" s="150"/>
      <c r="AJ411" s="150"/>
      <c r="AK411" s="150"/>
      <c r="AL411" s="150"/>
      <c r="AM411" s="150"/>
      <c r="AN411" s="466"/>
      <c r="AO411" s="466"/>
      <c r="AP411" s="150"/>
      <c r="AQ411" s="150"/>
      <c r="AR411" s="151"/>
      <c r="AS411" s="456"/>
      <c r="AT411" s="466"/>
      <c r="AU411" s="150"/>
      <c r="AV411" s="487"/>
      <c r="AW411" s="150"/>
      <c r="AX411" s="150"/>
      <c r="AY411" s="466"/>
      <c r="AZ411" s="466"/>
      <c r="BA411" s="150"/>
      <c r="BB411" s="150"/>
      <c r="BC411" s="466"/>
      <c r="BD411" s="466"/>
      <c r="BE411" s="466"/>
      <c r="BF411" s="466"/>
      <c r="BG411" s="150"/>
      <c r="BH411" s="150"/>
      <c r="BI411" s="150"/>
      <c r="BJ411" s="466"/>
      <c r="BK411" s="152"/>
      <c r="BL411" s="160"/>
      <c r="BM411" s="150"/>
      <c r="BN411" s="466"/>
      <c r="BO411" s="150"/>
      <c r="BP411" s="516"/>
      <c r="BQ411" s="160"/>
      <c r="BR411" s="152"/>
      <c r="BS411" s="160"/>
    </row>
    <row r="412" spans="1:71" x14ac:dyDescent="0.3">
      <c r="A412" s="420">
        <f>DL!A409</f>
        <v>378</v>
      </c>
      <c r="B412" s="19" t="s">
        <v>223</v>
      </c>
      <c r="C412" s="149">
        <f>DL!L409</f>
        <v>74</v>
      </c>
      <c r="D412" s="149">
        <f>DL!C409</f>
        <v>30</v>
      </c>
      <c r="E412" s="150"/>
      <c r="F412" s="463"/>
      <c r="G412" s="150"/>
      <c r="H412" s="150"/>
      <c r="I412" s="466"/>
      <c r="J412" s="150"/>
      <c r="K412" s="168"/>
      <c r="L412" s="466"/>
      <c r="M412" s="150"/>
      <c r="N412" s="466"/>
      <c r="O412" s="150"/>
      <c r="P412" s="150"/>
      <c r="Q412" s="150"/>
      <c r="R412" s="472"/>
      <c r="S412" s="466">
        <v>1700</v>
      </c>
      <c r="T412" s="150"/>
      <c r="U412" s="150"/>
      <c r="V412" s="150"/>
      <c r="W412" s="168"/>
      <c r="X412" s="150"/>
      <c r="Y412" s="466"/>
      <c r="Z412" s="455"/>
      <c r="AA412" s="150"/>
      <c r="AB412" s="490"/>
      <c r="AC412" s="150"/>
      <c r="AD412" s="150"/>
      <c r="AE412" s="466"/>
      <c r="AF412" s="499"/>
      <c r="AG412" s="150"/>
      <c r="AH412" s="150"/>
      <c r="AI412" s="150"/>
      <c r="AJ412" s="150"/>
      <c r="AK412" s="150"/>
      <c r="AL412" s="150"/>
      <c r="AM412" s="150"/>
      <c r="AN412" s="466"/>
      <c r="AO412" s="466"/>
      <c r="AP412" s="150"/>
      <c r="AQ412" s="150"/>
      <c r="AR412" s="151"/>
      <c r="AS412" s="456"/>
      <c r="AT412" s="466"/>
      <c r="AU412" s="150"/>
      <c r="AV412" s="487"/>
      <c r="AW412" s="150"/>
      <c r="AX412" s="150"/>
      <c r="AY412" s="466"/>
      <c r="AZ412" s="466"/>
      <c r="BA412" s="150"/>
      <c r="BB412" s="150"/>
      <c r="BC412" s="466"/>
      <c r="BD412" s="466"/>
      <c r="BE412" s="466"/>
      <c r="BF412" s="466"/>
      <c r="BG412" s="150"/>
      <c r="BH412" s="150"/>
      <c r="BI412" s="150"/>
      <c r="BJ412" s="466"/>
      <c r="BK412" s="152"/>
      <c r="BL412" s="160"/>
      <c r="BM412" s="150"/>
      <c r="BN412" s="466"/>
      <c r="BO412" s="150"/>
      <c r="BP412" s="516"/>
      <c r="BQ412" s="160"/>
      <c r="BR412" s="152"/>
      <c r="BS412" s="160"/>
    </row>
    <row r="413" spans="1:71" x14ac:dyDescent="0.3">
      <c r="A413" s="420">
        <f>DL!A410</f>
        <v>379</v>
      </c>
      <c r="B413" s="19" t="s">
        <v>224</v>
      </c>
      <c r="C413" s="149">
        <f>DL!L410</f>
        <v>1</v>
      </c>
      <c r="D413" s="149">
        <f>DL!C410</f>
        <v>10</v>
      </c>
      <c r="E413" s="150"/>
      <c r="F413" s="463"/>
      <c r="G413" s="150"/>
      <c r="H413" s="150"/>
      <c r="I413" s="466"/>
      <c r="J413" s="150"/>
      <c r="K413" s="168"/>
      <c r="L413" s="466"/>
      <c r="M413" s="150"/>
      <c r="N413" s="466"/>
      <c r="O413" s="150"/>
      <c r="P413" s="150"/>
      <c r="Q413" s="150"/>
      <c r="R413" s="472"/>
      <c r="S413" s="466"/>
      <c r="T413" s="150"/>
      <c r="U413" s="150"/>
      <c r="V413" s="150"/>
      <c r="W413" s="168"/>
      <c r="X413" s="150"/>
      <c r="Y413" s="466"/>
      <c r="Z413" s="455"/>
      <c r="AA413" s="150"/>
      <c r="AB413" s="490"/>
      <c r="AC413" s="150"/>
      <c r="AD413" s="150"/>
      <c r="AE413" s="466"/>
      <c r="AF413" s="499"/>
      <c r="AG413" s="150"/>
      <c r="AH413" s="150"/>
      <c r="AI413" s="150"/>
      <c r="AJ413" s="150"/>
      <c r="AK413" s="150"/>
      <c r="AL413" s="150"/>
      <c r="AM413" s="150"/>
      <c r="AN413" s="466"/>
      <c r="AO413" s="466"/>
      <c r="AP413" s="150"/>
      <c r="AQ413" s="150"/>
      <c r="AR413" s="151"/>
      <c r="AS413" s="456"/>
      <c r="AT413" s="466"/>
      <c r="AU413" s="150"/>
      <c r="AV413" s="487"/>
      <c r="AW413" s="150"/>
      <c r="AX413" s="150"/>
      <c r="AY413" s="466"/>
      <c r="AZ413" s="466"/>
      <c r="BA413" s="150"/>
      <c r="BB413" s="150"/>
      <c r="BC413" s="466"/>
      <c r="BD413" s="466"/>
      <c r="BE413" s="466"/>
      <c r="BF413" s="466"/>
      <c r="BG413" s="150"/>
      <c r="BH413" s="150"/>
      <c r="BI413" s="150"/>
      <c r="BJ413" s="466"/>
      <c r="BK413" s="152"/>
      <c r="BL413" s="160"/>
      <c r="BM413" s="150"/>
      <c r="BN413" s="466"/>
      <c r="BO413" s="150"/>
      <c r="BP413" s="516"/>
      <c r="BQ413" s="160"/>
      <c r="BR413" s="152"/>
      <c r="BS413" s="160"/>
    </row>
    <row r="414" spans="1:71" x14ac:dyDescent="0.3">
      <c r="A414" s="420">
        <f>DL!A411</f>
        <v>380</v>
      </c>
      <c r="B414" s="19" t="s">
        <v>757</v>
      </c>
      <c r="C414" s="149">
        <f>DL!L411</f>
        <v>2</v>
      </c>
      <c r="D414" s="149">
        <f>DL!C411</f>
        <v>1000</v>
      </c>
      <c r="E414" s="150"/>
      <c r="F414" s="463"/>
      <c r="G414" s="150"/>
      <c r="H414" s="150"/>
      <c r="I414" s="466"/>
      <c r="J414" s="150"/>
      <c r="K414" s="168"/>
      <c r="L414" s="466"/>
      <c r="M414" s="150"/>
      <c r="N414" s="466"/>
      <c r="O414" s="150"/>
      <c r="P414" s="150"/>
      <c r="Q414" s="150"/>
      <c r="R414" s="472"/>
      <c r="S414" s="466">
        <v>3500</v>
      </c>
      <c r="T414" s="150"/>
      <c r="U414" s="150"/>
      <c r="V414" s="150"/>
      <c r="W414" s="168"/>
      <c r="X414" s="150"/>
      <c r="Y414" s="466"/>
      <c r="Z414" s="455"/>
      <c r="AA414" s="150"/>
      <c r="AB414" s="490"/>
      <c r="AC414" s="150"/>
      <c r="AD414" s="150"/>
      <c r="AE414" s="466"/>
      <c r="AF414" s="499"/>
      <c r="AG414" s="150"/>
      <c r="AH414" s="150"/>
      <c r="AI414" s="150"/>
      <c r="AJ414" s="150"/>
      <c r="AK414" s="150"/>
      <c r="AL414" s="150"/>
      <c r="AM414" s="150"/>
      <c r="AN414" s="466"/>
      <c r="AO414" s="466"/>
      <c r="AP414" s="150"/>
      <c r="AQ414" s="150"/>
      <c r="AR414" s="151"/>
      <c r="AS414" s="456"/>
      <c r="AT414" s="466"/>
      <c r="AU414" s="150"/>
      <c r="AV414" s="487"/>
      <c r="AW414" s="150"/>
      <c r="AX414" s="150"/>
      <c r="AY414" s="466"/>
      <c r="AZ414" s="466"/>
      <c r="BA414" s="150"/>
      <c r="BB414" s="150"/>
      <c r="BC414" s="466"/>
      <c r="BD414" s="466"/>
      <c r="BE414" s="466"/>
      <c r="BF414" s="466"/>
      <c r="BG414" s="150"/>
      <c r="BH414" s="150"/>
      <c r="BI414" s="150"/>
      <c r="BJ414" s="466"/>
      <c r="BK414" s="152"/>
      <c r="BL414" s="160"/>
      <c r="BM414" s="150"/>
      <c r="BN414" s="466"/>
      <c r="BO414" s="150"/>
      <c r="BP414" s="516"/>
      <c r="BQ414" s="160"/>
      <c r="BR414" s="152"/>
      <c r="BS414" s="160"/>
    </row>
    <row r="415" spans="1:71" x14ac:dyDescent="0.3">
      <c r="A415" s="420"/>
      <c r="B415" s="19"/>
      <c r="C415" s="149">
        <f>DL!L412</f>
        <v>0</v>
      </c>
      <c r="D415" s="149">
        <f>DL!C412</f>
        <v>0</v>
      </c>
      <c r="E415" s="150"/>
      <c r="F415" s="463"/>
      <c r="G415" s="150"/>
      <c r="H415" s="150"/>
      <c r="I415" s="466"/>
      <c r="J415" s="150"/>
      <c r="K415" s="168"/>
      <c r="L415" s="466"/>
      <c r="M415" s="150"/>
      <c r="N415" s="466"/>
      <c r="O415" s="150"/>
      <c r="P415" s="150"/>
      <c r="Q415" s="150"/>
      <c r="R415" s="472"/>
      <c r="S415" s="466"/>
      <c r="T415" s="150"/>
      <c r="U415" s="150"/>
      <c r="V415" s="150"/>
      <c r="W415" s="168"/>
      <c r="X415" s="150"/>
      <c r="Y415" s="466"/>
      <c r="Z415" s="455"/>
      <c r="AA415" s="150"/>
      <c r="AB415" s="490"/>
      <c r="AC415" s="150"/>
      <c r="AD415" s="150"/>
      <c r="AE415" s="466"/>
      <c r="AF415" s="499"/>
      <c r="AG415" s="150"/>
      <c r="AH415" s="150"/>
      <c r="AI415" s="150"/>
      <c r="AJ415" s="150"/>
      <c r="AK415" s="150"/>
      <c r="AL415" s="150"/>
      <c r="AM415" s="150"/>
      <c r="AN415" s="466"/>
      <c r="AO415" s="466"/>
      <c r="AP415" s="150"/>
      <c r="AQ415" s="150"/>
      <c r="AR415" s="151"/>
      <c r="AS415" s="456"/>
      <c r="AT415" s="466"/>
      <c r="AU415" s="150"/>
      <c r="AV415" s="487"/>
      <c r="AW415" s="150"/>
      <c r="AX415" s="150"/>
      <c r="AY415" s="466"/>
      <c r="AZ415" s="466"/>
      <c r="BA415" s="150"/>
      <c r="BB415" s="150"/>
      <c r="BC415" s="466"/>
      <c r="BD415" s="466"/>
      <c r="BE415" s="466"/>
      <c r="BF415" s="466"/>
      <c r="BG415" s="150"/>
      <c r="BH415" s="150"/>
      <c r="BI415" s="150"/>
      <c r="BJ415" s="466"/>
      <c r="BK415" s="152"/>
      <c r="BL415" s="160"/>
      <c r="BM415" s="150"/>
      <c r="BN415" s="466"/>
      <c r="BO415" s="150"/>
      <c r="BP415" s="516"/>
      <c r="BQ415" s="160"/>
      <c r="BR415" s="152"/>
      <c r="BS415" s="160"/>
    </row>
    <row r="416" spans="1:71" x14ac:dyDescent="0.3">
      <c r="A416" s="420"/>
      <c r="B416" s="19"/>
      <c r="C416" s="149">
        <f>DL!L413</f>
        <v>0</v>
      </c>
      <c r="D416" s="149">
        <f>DL!C413</f>
        <v>0</v>
      </c>
      <c r="E416" s="150"/>
      <c r="F416" s="463"/>
      <c r="G416" s="150"/>
      <c r="H416" s="150"/>
      <c r="I416" s="466"/>
      <c r="J416" s="150"/>
      <c r="K416" s="168"/>
      <c r="L416" s="466"/>
      <c r="M416" s="150"/>
      <c r="N416" s="466"/>
      <c r="O416" s="150"/>
      <c r="P416" s="150"/>
      <c r="Q416" s="150"/>
      <c r="R416" s="472"/>
      <c r="S416" s="466"/>
      <c r="T416" s="150"/>
      <c r="U416" s="150"/>
      <c r="V416" s="150"/>
      <c r="W416" s="168"/>
      <c r="X416" s="150"/>
      <c r="Y416" s="466"/>
      <c r="Z416" s="455"/>
      <c r="AA416" s="150"/>
      <c r="AB416" s="490"/>
      <c r="AC416" s="150"/>
      <c r="AD416" s="150"/>
      <c r="AE416" s="466"/>
      <c r="AF416" s="499"/>
      <c r="AG416" s="150"/>
      <c r="AH416" s="150"/>
      <c r="AI416" s="150"/>
      <c r="AJ416" s="150"/>
      <c r="AK416" s="150"/>
      <c r="AL416" s="150"/>
      <c r="AM416" s="150"/>
      <c r="AN416" s="466"/>
      <c r="AO416" s="466"/>
      <c r="AP416" s="150"/>
      <c r="AQ416" s="150"/>
      <c r="AR416" s="151"/>
      <c r="AS416" s="456"/>
      <c r="AT416" s="466"/>
      <c r="AU416" s="150"/>
      <c r="AV416" s="487"/>
      <c r="AW416" s="150"/>
      <c r="AX416" s="150"/>
      <c r="AY416" s="466"/>
      <c r="AZ416" s="466"/>
      <c r="BA416" s="150"/>
      <c r="BB416" s="150"/>
      <c r="BC416" s="466"/>
      <c r="BD416" s="466"/>
      <c r="BE416" s="466"/>
      <c r="BF416" s="466"/>
      <c r="BG416" s="150"/>
      <c r="BH416" s="150"/>
      <c r="BI416" s="150"/>
      <c r="BJ416" s="466"/>
      <c r="BK416" s="152"/>
      <c r="BL416" s="160"/>
      <c r="BM416" s="150"/>
      <c r="BN416" s="466"/>
      <c r="BO416" s="150"/>
      <c r="BP416" s="516"/>
      <c r="BQ416" s="160"/>
      <c r="BR416" s="152"/>
      <c r="BS416" s="160"/>
    </row>
    <row r="417" spans="1:71" x14ac:dyDescent="0.3">
      <c r="A417" s="420" t="str">
        <f>DL!A414</f>
        <v>LOT 8</v>
      </c>
      <c r="B417" s="19" t="s">
        <v>226</v>
      </c>
      <c r="C417" s="149">
        <f>DL!L414</f>
        <v>0</v>
      </c>
      <c r="D417" s="149">
        <f>DL!C414</f>
        <v>0</v>
      </c>
      <c r="E417" s="150"/>
      <c r="F417" s="463"/>
      <c r="G417" s="150"/>
      <c r="H417" s="150"/>
      <c r="I417" s="466"/>
      <c r="J417" s="150"/>
      <c r="K417" s="168"/>
      <c r="L417" s="466"/>
      <c r="M417" s="150"/>
      <c r="N417" s="466"/>
      <c r="O417" s="150"/>
      <c r="P417" s="150"/>
      <c r="Q417" s="150"/>
      <c r="R417" s="472"/>
      <c r="S417" s="466"/>
      <c r="T417" s="150"/>
      <c r="U417" s="150"/>
      <c r="V417" s="150"/>
      <c r="W417" s="168"/>
      <c r="X417" s="150"/>
      <c r="Y417" s="466"/>
      <c r="Z417" s="455"/>
      <c r="AA417" s="150"/>
      <c r="AB417" s="490"/>
      <c r="AC417" s="150"/>
      <c r="AD417" s="150"/>
      <c r="AE417" s="466"/>
      <c r="AF417" s="499"/>
      <c r="AG417" s="150"/>
      <c r="AH417" s="150"/>
      <c r="AI417" s="150"/>
      <c r="AJ417" s="150"/>
      <c r="AK417" s="150"/>
      <c r="AL417" s="150"/>
      <c r="AM417" s="150"/>
      <c r="AN417" s="466"/>
      <c r="AO417" s="466"/>
      <c r="AP417" s="150"/>
      <c r="AQ417" s="150"/>
      <c r="AR417" s="151"/>
      <c r="AS417" s="456"/>
      <c r="AT417" s="466"/>
      <c r="AU417" s="150"/>
      <c r="AV417" s="487"/>
      <c r="AW417" s="150"/>
      <c r="AX417" s="150"/>
      <c r="AY417" s="466"/>
      <c r="AZ417" s="466"/>
      <c r="BA417" s="150"/>
      <c r="BB417" s="150"/>
      <c r="BC417" s="466"/>
      <c r="BD417" s="466"/>
      <c r="BE417" s="466"/>
      <c r="BF417" s="466"/>
      <c r="BG417" s="150"/>
      <c r="BH417" s="150"/>
      <c r="BI417" s="150"/>
      <c r="BJ417" s="466"/>
      <c r="BK417" s="152"/>
      <c r="BL417" s="160"/>
      <c r="BM417" s="150"/>
      <c r="BN417" s="466"/>
      <c r="BO417" s="150"/>
      <c r="BP417" s="516"/>
      <c r="BQ417" s="160"/>
      <c r="BR417" s="152"/>
      <c r="BS417" s="160"/>
    </row>
    <row r="418" spans="1:71" x14ac:dyDescent="0.3">
      <c r="A418" s="420"/>
      <c r="B418" s="16" t="s">
        <v>463</v>
      </c>
      <c r="C418" s="149">
        <f>DL!L415</f>
        <v>0</v>
      </c>
      <c r="D418" s="149">
        <f>DL!C415</f>
        <v>0</v>
      </c>
      <c r="E418" s="150"/>
      <c r="F418" s="463"/>
      <c r="G418" s="150"/>
      <c r="H418" s="150"/>
      <c r="I418" s="466"/>
      <c r="J418" s="150"/>
      <c r="K418" s="168"/>
      <c r="L418" s="466"/>
      <c r="M418" s="150"/>
      <c r="N418" s="466"/>
      <c r="O418" s="150"/>
      <c r="P418" s="150"/>
      <c r="Q418" s="150"/>
      <c r="R418" s="472"/>
      <c r="S418" s="466"/>
      <c r="T418" s="150"/>
      <c r="U418" s="150"/>
      <c r="V418" s="150"/>
      <c r="W418" s="168"/>
      <c r="X418" s="150"/>
      <c r="Y418" s="466"/>
      <c r="Z418" s="455"/>
      <c r="AA418" s="150"/>
      <c r="AB418" s="490"/>
      <c r="AC418" s="150"/>
      <c r="AD418" s="150"/>
      <c r="AE418" s="466"/>
      <c r="AF418" s="499"/>
      <c r="AG418" s="150"/>
      <c r="AH418" s="150"/>
      <c r="AI418" s="150"/>
      <c r="AJ418" s="150"/>
      <c r="AK418" s="150"/>
      <c r="AL418" s="150"/>
      <c r="AM418" s="150"/>
      <c r="AN418" s="466"/>
      <c r="AO418" s="466"/>
      <c r="AP418" s="150"/>
      <c r="AQ418" s="150"/>
      <c r="AR418" s="151"/>
      <c r="AS418" s="456"/>
      <c r="AT418" s="466"/>
      <c r="AU418" s="150"/>
      <c r="AV418" s="487"/>
      <c r="AW418" s="150"/>
      <c r="AX418" s="150"/>
      <c r="AY418" s="466"/>
      <c r="AZ418" s="466"/>
      <c r="BA418" s="150"/>
      <c r="BB418" s="150"/>
      <c r="BC418" s="466"/>
      <c r="BD418" s="466"/>
      <c r="BE418" s="466"/>
      <c r="BF418" s="466"/>
      <c r="BG418" s="150"/>
      <c r="BH418" s="150"/>
      <c r="BI418" s="150"/>
      <c r="BJ418" s="466"/>
      <c r="BK418" s="152"/>
      <c r="BL418" s="160"/>
      <c r="BM418" s="150"/>
      <c r="BN418" s="466"/>
      <c r="BO418" s="150"/>
      <c r="BP418" s="516"/>
      <c r="BQ418" s="160"/>
      <c r="BR418" s="152"/>
      <c r="BS418" s="160"/>
    </row>
    <row r="419" spans="1:71" x14ac:dyDescent="0.3">
      <c r="A419" s="420">
        <f>DL!A416</f>
        <v>381</v>
      </c>
      <c r="B419" s="19" t="s">
        <v>1328</v>
      </c>
      <c r="C419" s="149">
        <f>DL!L416</f>
        <v>80</v>
      </c>
      <c r="D419" s="149">
        <f>DL!C416</f>
        <v>20</v>
      </c>
      <c r="E419" s="150"/>
      <c r="F419" s="463"/>
      <c r="G419" s="150"/>
      <c r="H419" s="150"/>
      <c r="I419" s="466"/>
      <c r="J419" s="150"/>
      <c r="K419" s="168"/>
      <c r="L419" s="466"/>
      <c r="M419" s="150"/>
      <c r="N419" s="466"/>
      <c r="O419" s="150"/>
      <c r="P419" s="150"/>
      <c r="Q419" s="150"/>
      <c r="R419" s="472"/>
      <c r="S419" s="466">
        <v>2500</v>
      </c>
      <c r="T419" s="150">
        <v>2500</v>
      </c>
      <c r="U419" s="150"/>
      <c r="V419" s="150"/>
      <c r="W419" s="168"/>
      <c r="X419" s="150"/>
      <c r="Y419" s="466"/>
      <c r="Z419" s="455"/>
      <c r="AA419" s="150"/>
      <c r="AB419" s="490"/>
      <c r="AC419" s="150"/>
      <c r="AD419" s="150"/>
      <c r="AE419" s="466"/>
      <c r="AF419" s="499"/>
      <c r="AG419" s="150"/>
      <c r="AH419" s="150"/>
      <c r="AI419" s="150"/>
      <c r="AJ419" s="150"/>
      <c r="AK419" s="150"/>
      <c r="AL419" s="150"/>
      <c r="AM419" s="150"/>
      <c r="AN419" s="466"/>
      <c r="AO419" s="466"/>
      <c r="AP419" s="150"/>
      <c r="AQ419" s="150"/>
      <c r="AR419" s="151"/>
      <c r="AS419" s="456"/>
      <c r="AT419" s="466"/>
      <c r="AU419" s="150"/>
      <c r="AV419" s="487"/>
      <c r="AW419" s="150"/>
      <c r="AX419" s="150"/>
      <c r="AY419" s="466"/>
      <c r="AZ419" s="466"/>
      <c r="BA419" s="150"/>
      <c r="BB419" s="150"/>
      <c r="BC419" s="466"/>
      <c r="BD419" s="466"/>
      <c r="BE419" s="466"/>
      <c r="BF419" s="466"/>
      <c r="BG419" s="150"/>
      <c r="BH419" s="150"/>
      <c r="BI419" s="150"/>
      <c r="BJ419" s="466"/>
      <c r="BK419" s="152"/>
      <c r="BL419" s="160"/>
      <c r="BM419" s="150"/>
      <c r="BN419" s="466"/>
      <c r="BO419" s="150"/>
      <c r="BP419" s="516"/>
      <c r="BQ419" s="160"/>
      <c r="BR419" s="152"/>
      <c r="BS419" s="160"/>
    </row>
    <row r="420" spans="1:71" x14ac:dyDescent="0.3">
      <c r="A420" s="420">
        <f>DL!A417</f>
        <v>382</v>
      </c>
      <c r="B420" s="19" t="s">
        <v>391</v>
      </c>
      <c r="C420" s="149">
        <f>DL!L417</f>
        <v>52</v>
      </c>
      <c r="D420" s="149">
        <f>DL!C417</f>
        <v>30</v>
      </c>
      <c r="E420" s="150"/>
      <c r="F420" s="463"/>
      <c r="G420" s="150"/>
      <c r="H420" s="150"/>
      <c r="I420" s="466"/>
      <c r="J420" s="150"/>
      <c r="K420" s="168"/>
      <c r="L420" s="466"/>
      <c r="M420" s="150"/>
      <c r="N420" s="466"/>
      <c r="O420" s="150"/>
      <c r="P420" s="150"/>
      <c r="Q420" s="150"/>
      <c r="R420" s="472"/>
      <c r="S420" s="466"/>
      <c r="T420" s="150"/>
      <c r="U420" s="150"/>
      <c r="V420" s="150"/>
      <c r="W420" s="168"/>
      <c r="X420" s="150"/>
      <c r="Y420" s="466"/>
      <c r="Z420" s="455"/>
      <c r="AA420" s="150"/>
      <c r="AB420" s="490"/>
      <c r="AC420" s="150"/>
      <c r="AD420" s="150"/>
      <c r="AE420" s="466"/>
      <c r="AF420" s="499"/>
      <c r="AG420" s="150"/>
      <c r="AH420" s="150"/>
      <c r="AI420" s="150"/>
      <c r="AJ420" s="150"/>
      <c r="AK420" s="150"/>
      <c r="AL420" s="150"/>
      <c r="AM420" s="150"/>
      <c r="AN420" s="466"/>
      <c r="AO420" s="466"/>
      <c r="AP420" s="150"/>
      <c r="AQ420" s="150"/>
      <c r="AR420" s="151"/>
      <c r="AS420" s="456"/>
      <c r="AT420" s="466"/>
      <c r="AU420" s="150"/>
      <c r="AV420" s="487"/>
      <c r="AW420" s="150"/>
      <c r="AX420" s="150"/>
      <c r="AY420" s="466"/>
      <c r="AZ420" s="466"/>
      <c r="BA420" s="150"/>
      <c r="BB420" s="150"/>
      <c r="BC420" s="466"/>
      <c r="BD420" s="466"/>
      <c r="BE420" s="466"/>
      <c r="BF420" s="466"/>
      <c r="BG420" s="150"/>
      <c r="BH420" s="150">
        <v>2280</v>
      </c>
      <c r="BI420" s="150"/>
      <c r="BJ420" s="466"/>
      <c r="BK420" s="152"/>
      <c r="BL420" s="160"/>
      <c r="BM420" s="150"/>
      <c r="BN420" s="466"/>
      <c r="BO420" s="150">
        <v>1760</v>
      </c>
      <c r="BP420" s="516"/>
      <c r="BQ420" s="160"/>
      <c r="BR420" s="152"/>
      <c r="BS420" s="160"/>
    </row>
    <row r="421" spans="1:71" x14ac:dyDescent="0.3">
      <c r="A421" s="420">
        <f>DL!A418</f>
        <v>383</v>
      </c>
      <c r="B421" s="19" t="s">
        <v>228</v>
      </c>
      <c r="C421" s="149">
        <f>DL!L418</f>
        <v>20</v>
      </c>
      <c r="D421" s="149">
        <f>DL!C418</f>
        <v>10</v>
      </c>
      <c r="E421" s="150"/>
      <c r="F421" s="463"/>
      <c r="G421" s="150"/>
      <c r="H421" s="150"/>
      <c r="I421" s="466"/>
      <c r="J421" s="150"/>
      <c r="K421" s="168"/>
      <c r="L421" s="466"/>
      <c r="M421" s="150"/>
      <c r="N421" s="466"/>
      <c r="O421" s="150"/>
      <c r="P421" s="150"/>
      <c r="Q421" s="150"/>
      <c r="R421" s="472"/>
      <c r="S421" s="466">
        <v>600</v>
      </c>
      <c r="T421" s="150"/>
      <c r="U421" s="150"/>
      <c r="V421" s="150"/>
      <c r="W421" s="168"/>
      <c r="X421" s="150"/>
      <c r="Y421" s="466"/>
      <c r="Z421" s="455"/>
      <c r="AA421" s="150"/>
      <c r="AB421" s="490"/>
      <c r="AC421" s="150"/>
      <c r="AD421" s="150"/>
      <c r="AE421" s="466"/>
      <c r="AF421" s="499"/>
      <c r="AG421" s="150"/>
      <c r="AH421" s="150"/>
      <c r="AI421" s="150"/>
      <c r="AJ421" s="150"/>
      <c r="AK421" s="150"/>
      <c r="AL421" s="150"/>
      <c r="AM421" s="150"/>
      <c r="AN421" s="466"/>
      <c r="AO421" s="466"/>
      <c r="AP421" s="150"/>
      <c r="AQ421" s="150"/>
      <c r="AR421" s="151"/>
      <c r="AS421" s="456"/>
      <c r="AT421" s="466"/>
      <c r="AU421" s="150"/>
      <c r="AV421" s="487"/>
      <c r="AW421" s="150"/>
      <c r="AX421" s="150"/>
      <c r="AY421" s="466"/>
      <c r="AZ421" s="466"/>
      <c r="BA421" s="150"/>
      <c r="BB421" s="150"/>
      <c r="BC421" s="466"/>
      <c r="BD421" s="466"/>
      <c r="BE421" s="466"/>
      <c r="BF421" s="466"/>
      <c r="BG421" s="150"/>
      <c r="BH421" s="150"/>
      <c r="BI421" s="150"/>
      <c r="BJ421" s="466"/>
      <c r="BK421" s="152"/>
      <c r="BL421" s="160"/>
      <c r="BM421" s="150"/>
      <c r="BN421" s="466"/>
      <c r="BO421" s="150"/>
      <c r="BP421" s="516"/>
      <c r="BQ421" s="160"/>
      <c r="BR421" s="152"/>
      <c r="BS421" s="160"/>
    </row>
    <row r="422" spans="1:71" x14ac:dyDescent="0.3">
      <c r="A422" s="420">
        <f>DL!A419</f>
        <v>384</v>
      </c>
      <c r="B422" s="19" t="s">
        <v>1329</v>
      </c>
      <c r="C422" s="149">
        <f>DL!L419</f>
        <v>200</v>
      </c>
      <c r="D422" s="149">
        <f>DL!C419</f>
        <v>20</v>
      </c>
      <c r="E422" s="150"/>
      <c r="F422" s="463"/>
      <c r="G422" s="150"/>
      <c r="H422" s="150"/>
      <c r="I422" s="466"/>
      <c r="J422" s="150"/>
      <c r="K422" s="168"/>
      <c r="L422" s="466"/>
      <c r="M422" s="150"/>
      <c r="N422" s="466"/>
      <c r="O422" s="150"/>
      <c r="P422" s="150"/>
      <c r="Q422" s="150"/>
      <c r="R422" s="472"/>
      <c r="S422" s="466"/>
      <c r="T422" s="150"/>
      <c r="U422" s="150"/>
      <c r="V422" s="150"/>
      <c r="W422" s="168"/>
      <c r="X422" s="150"/>
      <c r="Y422" s="466"/>
      <c r="Z422" s="455"/>
      <c r="AA422" s="150"/>
      <c r="AB422" s="490"/>
      <c r="AC422" s="150"/>
      <c r="AD422" s="150"/>
      <c r="AE422" s="466"/>
      <c r="AF422" s="499"/>
      <c r="AG422" s="150"/>
      <c r="AH422" s="150"/>
      <c r="AI422" s="150"/>
      <c r="AJ422" s="150"/>
      <c r="AK422" s="150"/>
      <c r="AL422" s="150"/>
      <c r="AM422" s="150"/>
      <c r="AN422" s="466"/>
      <c r="AO422" s="466"/>
      <c r="AP422" s="150"/>
      <c r="AQ422" s="150"/>
      <c r="AR422" s="151"/>
      <c r="AS422" s="456"/>
      <c r="AT422" s="466"/>
      <c r="AU422" s="150"/>
      <c r="AV422" s="487"/>
      <c r="AW422" s="150"/>
      <c r="AX422" s="150"/>
      <c r="AY422" s="466">
        <v>3000</v>
      </c>
      <c r="AZ422" s="466"/>
      <c r="BA422" s="150"/>
      <c r="BB422" s="150"/>
      <c r="BC422" s="466"/>
      <c r="BD422" s="466"/>
      <c r="BE422" s="466"/>
      <c r="BF422" s="466"/>
      <c r="BG422" s="150"/>
      <c r="BH422" s="150"/>
      <c r="BI422" s="150"/>
      <c r="BJ422" s="466"/>
      <c r="BK422" s="152"/>
      <c r="BL422" s="160"/>
      <c r="BM422" s="150"/>
      <c r="BN422" s="466"/>
      <c r="BO422" s="150"/>
      <c r="BP422" s="516"/>
      <c r="BQ422" s="160"/>
      <c r="BR422" s="152"/>
      <c r="BS422" s="160"/>
    </row>
    <row r="423" spans="1:71" x14ac:dyDescent="0.3">
      <c r="A423" s="420">
        <f>DL!A420</f>
        <v>385</v>
      </c>
      <c r="B423" s="19" t="s">
        <v>229</v>
      </c>
      <c r="C423" s="149">
        <f>DL!L420</f>
        <v>20</v>
      </c>
      <c r="D423" s="149">
        <f>DL!C420</f>
        <v>100</v>
      </c>
      <c r="E423" s="150">
        <v>25000</v>
      </c>
      <c r="F423" s="463"/>
      <c r="G423" s="150"/>
      <c r="H423" s="150"/>
      <c r="I423" s="466"/>
      <c r="J423" s="150"/>
      <c r="K423" s="168"/>
      <c r="L423" s="466"/>
      <c r="M423" s="150"/>
      <c r="N423" s="466"/>
      <c r="O423" s="150"/>
      <c r="P423" s="150"/>
      <c r="Q423" s="150"/>
      <c r="R423" s="472"/>
      <c r="S423" s="466">
        <v>6500</v>
      </c>
      <c r="T423" s="150"/>
      <c r="U423" s="150"/>
      <c r="V423" s="150"/>
      <c r="W423" s="168"/>
      <c r="X423" s="150"/>
      <c r="Y423" s="466"/>
      <c r="Z423" s="455"/>
      <c r="AA423" s="150"/>
      <c r="AB423" s="490"/>
      <c r="AC423" s="150"/>
      <c r="AD423" s="150"/>
      <c r="AE423" s="466"/>
      <c r="AF423" s="499"/>
      <c r="AG423" s="150"/>
      <c r="AH423" s="150"/>
      <c r="AI423" s="150"/>
      <c r="AJ423" s="150"/>
      <c r="AK423" s="150"/>
      <c r="AL423" s="150"/>
      <c r="AM423" s="150"/>
      <c r="AN423" s="466"/>
      <c r="AO423" s="466"/>
      <c r="AP423" s="150"/>
      <c r="AQ423" s="150"/>
      <c r="AR423" s="151"/>
      <c r="AS423" s="456"/>
      <c r="AT423" s="466"/>
      <c r="AU423" s="150"/>
      <c r="AV423" s="487"/>
      <c r="AW423" s="150"/>
      <c r="AX423" s="150"/>
      <c r="AY423" s="466"/>
      <c r="AZ423" s="466"/>
      <c r="BA423" s="150"/>
      <c r="BB423" s="150"/>
      <c r="BC423" s="466"/>
      <c r="BD423" s="466"/>
      <c r="BE423" s="466"/>
      <c r="BF423" s="466"/>
      <c r="BG423" s="150"/>
      <c r="BH423" s="150"/>
      <c r="BI423" s="150"/>
      <c r="BJ423" s="466"/>
      <c r="BK423" s="152"/>
      <c r="BL423" s="160"/>
      <c r="BM423" s="150"/>
      <c r="BN423" s="466"/>
      <c r="BO423" s="150"/>
      <c r="BP423" s="516"/>
      <c r="BQ423" s="160"/>
      <c r="BR423" s="152"/>
      <c r="BS423" s="160"/>
    </row>
    <row r="424" spans="1:71" x14ac:dyDescent="0.3">
      <c r="A424" s="420">
        <f>DL!A421</f>
        <v>386</v>
      </c>
      <c r="B424" s="19" t="s">
        <v>233</v>
      </c>
      <c r="C424" s="149">
        <f>DL!L421</f>
        <v>48</v>
      </c>
      <c r="D424" s="149">
        <f>DL!C421</f>
        <v>1</v>
      </c>
      <c r="E424" s="150"/>
      <c r="F424" s="463"/>
      <c r="G424" s="150"/>
      <c r="H424" s="150"/>
      <c r="I424" s="466"/>
      <c r="J424" s="150"/>
      <c r="K424" s="168"/>
      <c r="L424" s="466"/>
      <c r="M424" s="150"/>
      <c r="N424" s="466"/>
      <c r="O424" s="150"/>
      <c r="P424" s="150"/>
      <c r="Q424" s="150"/>
      <c r="R424" s="472"/>
      <c r="S424" s="466">
        <v>1200</v>
      </c>
      <c r="T424" s="150"/>
      <c r="U424" s="150"/>
      <c r="V424" s="150"/>
      <c r="W424" s="168"/>
      <c r="X424" s="150"/>
      <c r="Y424" s="466"/>
      <c r="Z424" s="455"/>
      <c r="AA424" s="150"/>
      <c r="AB424" s="490"/>
      <c r="AC424" s="150"/>
      <c r="AD424" s="150"/>
      <c r="AE424" s="466"/>
      <c r="AF424" s="499"/>
      <c r="AG424" s="150"/>
      <c r="AH424" s="150"/>
      <c r="AI424" s="150"/>
      <c r="AJ424" s="150"/>
      <c r="AK424" s="150"/>
      <c r="AL424" s="150"/>
      <c r="AM424" s="150"/>
      <c r="AN424" s="466"/>
      <c r="AO424" s="466"/>
      <c r="AP424" s="150"/>
      <c r="AQ424" s="150"/>
      <c r="AR424" s="151"/>
      <c r="AS424" s="456"/>
      <c r="AT424" s="466"/>
      <c r="AU424" s="150"/>
      <c r="AV424" s="487"/>
      <c r="AW424" s="150"/>
      <c r="AX424" s="150"/>
      <c r="AY424" s="466">
        <v>1500</v>
      </c>
      <c r="AZ424" s="466"/>
      <c r="BA424" s="150"/>
      <c r="BB424" s="150"/>
      <c r="BC424" s="466"/>
      <c r="BD424" s="466"/>
      <c r="BE424" s="466"/>
      <c r="BF424" s="466"/>
      <c r="BG424" s="150"/>
      <c r="BH424" s="150"/>
      <c r="BI424" s="150"/>
      <c r="BJ424" s="466"/>
      <c r="BK424" s="152"/>
      <c r="BL424" s="160"/>
      <c r="BM424" s="150"/>
      <c r="BN424" s="466"/>
      <c r="BO424" s="150"/>
      <c r="BP424" s="516"/>
      <c r="BQ424" s="160"/>
      <c r="BR424" s="152"/>
      <c r="BS424" s="160"/>
    </row>
    <row r="425" spans="1:71" x14ac:dyDescent="0.3">
      <c r="A425" s="420">
        <f>DL!A422</f>
        <v>387</v>
      </c>
      <c r="B425" s="19" t="s">
        <v>1330</v>
      </c>
      <c r="C425" s="149">
        <f>DL!L422</f>
        <v>20</v>
      </c>
      <c r="D425" s="149">
        <f>DL!C422</f>
        <v>1</v>
      </c>
      <c r="E425" s="150">
        <v>24000</v>
      </c>
      <c r="F425" s="463"/>
      <c r="G425" s="150"/>
      <c r="H425" s="150"/>
      <c r="I425" s="466"/>
      <c r="J425" s="150"/>
      <c r="K425" s="168"/>
      <c r="L425" s="466"/>
      <c r="M425" s="150"/>
      <c r="N425" s="466"/>
      <c r="O425" s="150"/>
      <c r="P425" s="150"/>
      <c r="Q425" s="150"/>
      <c r="R425" s="472"/>
      <c r="S425" s="466"/>
      <c r="T425" s="150"/>
      <c r="U425" s="150"/>
      <c r="V425" s="150"/>
      <c r="W425" s="168"/>
      <c r="X425" s="150"/>
      <c r="Y425" s="466"/>
      <c r="Z425" s="455"/>
      <c r="AA425" s="150"/>
      <c r="AB425" s="490"/>
      <c r="AC425" s="150"/>
      <c r="AD425" s="150"/>
      <c r="AE425" s="466"/>
      <c r="AF425" s="499"/>
      <c r="AG425" s="150"/>
      <c r="AH425" s="150"/>
      <c r="AI425" s="150"/>
      <c r="AJ425" s="150"/>
      <c r="AK425" s="150"/>
      <c r="AL425" s="150"/>
      <c r="AM425" s="150"/>
      <c r="AN425" s="466"/>
      <c r="AO425" s="466"/>
      <c r="AP425" s="150"/>
      <c r="AQ425" s="150"/>
      <c r="AR425" s="151"/>
      <c r="AS425" s="456"/>
      <c r="AT425" s="466"/>
      <c r="AU425" s="150"/>
      <c r="AV425" s="487"/>
      <c r="AW425" s="150"/>
      <c r="AX425" s="150"/>
      <c r="AY425" s="466"/>
      <c r="AZ425" s="466"/>
      <c r="BA425" s="150"/>
      <c r="BB425" s="150"/>
      <c r="BC425" s="466"/>
      <c r="BD425" s="466"/>
      <c r="BE425" s="466"/>
      <c r="BF425" s="466"/>
      <c r="BG425" s="150"/>
      <c r="BH425" s="150"/>
      <c r="BI425" s="150"/>
      <c r="BJ425" s="466"/>
      <c r="BK425" s="152"/>
      <c r="BL425" s="160"/>
      <c r="BM425" s="150"/>
      <c r="BN425" s="466"/>
      <c r="BO425" s="150"/>
      <c r="BP425" s="516"/>
      <c r="BQ425" s="160"/>
      <c r="BR425" s="152"/>
      <c r="BS425" s="160"/>
    </row>
    <row r="426" spans="1:71" x14ac:dyDescent="0.3">
      <c r="A426" s="420">
        <f>DL!A423</f>
        <v>388</v>
      </c>
      <c r="B426" s="19" t="s">
        <v>1331</v>
      </c>
      <c r="C426" s="149">
        <f>DL!L423</f>
        <v>20</v>
      </c>
      <c r="D426" s="149">
        <f>DL!C423</f>
        <v>20</v>
      </c>
      <c r="E426" s="150"/>
      <c r="F426" s="463"/>
      <c r="G426" s="150"/>
      <c r="H426" s="150"/>
      <c r="I426" s="466"/>
      <c r="J426" s="150"/>
      <c r="K426" s="168"/>
      <c r="L426" s="466"/>
      <c r="M426" s="150"/>
      <c r="N426" s="466"/>
      <c r="O426" s="150"/>
      <c r="P426" s="150"/>
      <c r="Q426" s="150"/>
      <c r="R426" s="472"/>
      <c r="S426" s="466"/>
      <c r="T426" s="150">
        <v>1600</v>
      </c>
      <c r="U426" s="150"/>
      <c r="V426" s="150"/>
      <c r="W426" s="168"/>
      <c r="X426" s="150"/>
      <c r="Y426" s="466"/>
      <c r="Z426" s="455"/>
      <c r="AA426" s="150"/>
      <c r="AB426" s="490"/>
      <c r="AC426" s="150"/>
      <c r="AD426" s="150"/>
      <c r="AE426" s="466"/>
      <c r="AF426" s="499"/>
      <c r="AG426" s="150"/>
      <c r="AH426" s="150"/>
      <c r="AI426" s="150"/>
      <c r="AJ426" s="150"/>
      <c r="AK426" s="150"/>
      <c r="AL426" s="150"/>
      <c r="AM426" s="150"/>
      <c r="AN426" s="466"/>
      <c r="AO426" s="466"/>
      <c r="AP426" s="150"/>
      <c r="AQ426" s="150"/>
      <c r="AR426" s="151"/>
      <c r="AS426" s="456"/>
      <c r="AT426" s="466"/>
      <c r="AU426" s="150"/>
      <c r="AV426" s="487"/>
      <c r="AW426" s="150"/>
      <c r="AX426" s="150"/>
      <c r="AY426" s="466"/>
      <c r="AZ426" s="466"/>
      <c r="BA426" s="150"/>
      <c r="BB426" s="150"/>
      <c r="BC426" s="466"/>
      <c r="BD426" s="466"/>
      <c r="BE426" s="466"/>
      <c r="BF426" s="466"/>
      <c r="BG426" s="150"/>
      <c r="BH426" s="150"/>
      <c r="BI426" s="150"/>
      <c r="BJ426" s="466"/>
      <c r="BK426" s="152"/>
      <c r="BL426" s="160"/>
      <c r="BM426" s="150"/>
      <c r="BN426" s="466"/>
      <c r="BO426" s="150"/>
      <c r="BP426" s="516"/>
      <c r="BQ426" s="160"/>
      <c r="BR426" s="152"/>
      <c r="BS426" s="160"/>
    </row>
    <row r="427" spans="1:71" x14ac:dyDescent="0.3">
      <c r="A427" s="420">
        <f>DL!A424</f>
        <v>389</v>
      </c>
      <c r="B427" s="19" t="s">
        <v>230</v>
      </c>
      <c r="C427" s="149">
        <f>DL!L424</f>
        <v>200</v>
      </c>
      <c r="D427" s="149">
        <f>DL!C424</f>
        <v>5</v>
      </c>
      <c r="E427" s="150">
        <v>3500</v>
      </c>
      <c r="F427" s="463"/>
      <c r="G427" s="150"/>
      <c r="H427" s="150"/>
      <c r="I427" s="466"/>
      <c r="J427" s="150"/>
      <c r="K427" s="168"/>
      <c r="L427" s="466"/>
      <c r="M427" s="150"/>
      <c r="N427" s="466"/>
      <c r="O427" s="150"/>
      <c r="P427" s="150"/>
      <c r="Q427" s="150"/>
      <c r="R427" s="472"/>
      <c r="S427" s="466">
        <v>1500</v>
      </c>
      <c r="T427" s="150"/>
      <c r="U427" s="150"/>
      <c r="V427" s="150"/>
      <c r="W427" s="168"/>
      <c r="X427" s="150"/>
      <c r="Y427" s="466"/>
      <c r="Z427" s="455"/>
      <c r="AA427" s="150"/>
      <c r="AB427" s="490"/>
      <c r="AC427" s="150"/>
      <c r="AD427" s="150"/>
      <c r="AE427" s="466"/>
      <c r="AF427" s="499"/>
      <c r="AG427" s="150"/>
      <c r="AH427" s="150"/>
      <c r="AI427" s="150"/>
      <c r="AJ427" s="150"/>
      <c r="AK427" s="150"/>
      <c r="AL427" s="150"/>
      <c r="AM427" s="150"/>
      <c r="AN427" s="466"/>
      <c r="AO427" s="466"/>
      <c r="AP427" s="150"/>
      <c r="AQ427" s="150"/>
      <c r="AR427" s="151"/>
      <c r="AS427" s="456"/>
      <c r="AT427" s="466"/>
      <c r="AU427" s="150"/>
      <c r="AV427" s="487"/>
      <c r="AW427" s="150"/>
      <c r="AX427" s="150"/>
      <c r="AY427" s="466"/>
      <c r="AZ427" s="466"/>
      <c r="BA427" s="150"/>
      <c r="BB427" s="150"/>
      <c r="BC427" s="466"/>
      <c r="BD427" s="466"/>
      <c r="BE427" s="466"/>
      <c r="BF427" s="466"/>
      <c r="BG427" s="150"/>
      <c r="BH427" s="150"/>
      <c r="BI427" s="150"/>
      <c r="BJ427" s="466"/>
      <c r="BK427" s="152"/>
      <c r="BL427" s="160"/>
      <c r="BM427" s="150"/>
      <c r="BN427" s="466"/>
      <c r="BO427" s="150"/>
      <c r="BP427" s="516">
        <v>900</v>
      </c>
      <c r="BQ427" s="160"/>
      <c r="BR427" s="152"/>
      <c r="BS427" s="160"/>
    </row>
    <row r="428" spans="1:71" x14ac:dyDescent="0.3">
      <c r="A428" s="420">
        <f>DL!A425</f>
        <v>390</v>
      </c>
      <c r="B428" s="19" t="s">
        <v>231</v>
      </c>
      <c r="C428" s="149">
        <f>DL!L425</f>
        <v>200</v>
      </c>
      <c r="D428" s="149">
        <f>DL!C425</f>
        <v>60</v>
      </c>
      <c r="E428" s="150"/>
      <c r="F428" s="463"/>
      <c r="G428" s="150"/>
      <c r="H428" s="150"/>
      <c r="I428" s="466"/>
      <c r="J428" s="150"/>
      <c r="K428" s="168"/>
      <c r="L428" s="466"/>
      <c r="M428" s="150"/>
      <c r="N428" s="466"/>
      <c r="O428" s="150"/>
      <c r="P428" s="150"/>
      <c r="Q428" s="150"/>
      <c r="R428" s="472"/>
      <c r="S428" s="466">
        <v>5300</v>
      </c>
      <c r="T428" s="150"/>
      <c r="U428" s="150"/>
      <c r="V428" s="150"/>
      <c r="W428" s="168"/>
      <c r="X428" s="150"/>
      <c r="Y428" s="466"/>
      <c r="Z428" s="455"/>
      <c r="AA428" s="150"/>
      <c r="AB428" s="490"/>
      <c r="AC428" s="150"/>
      <c r="AD428" s="150"/>
      <c r="AE428" s="466"/>
      <c r="AF428" s="499"/>
      <c r="AG428" s="150"/>
      <c r="AH428" s="150"/>
      <c r="AI428" s="150"/>
      <c r="AJ428" s="150"/>
      <c r="AK428" s="150"/>
      <c r="AL428" s="150"/>
      <c r="AM428" s="150"/>
      <c r="AN428" s="466"/>
      <c r="AO428" s="466"/>
      <c r="AP428" s="150"/>
      <c r="AQ428" s="150"/>
      <c r="AR428" s="151"/>
      <c r="AS428" s="456"/>
      <c r="AT428" s="466">
        <v>2579</v>
      </c>
      <c r="AU428" s="150"/>
      <c r="AV428" s="487"/>
      <c r="AW428" s="150"/>
      <c r="AX428" s="150"/>
      <c r="AY428" s="466"/>
      <c r="AZ428" s="466">
        <v>0</v>
      </c>
      <c r="BA428" s="150"/>
      <c r="BB428" s="150"/>
      <c r="BC428" s="466"/>
      <c r="BD428" s="466"/>
      <c r="BE428" s="466"/>
      <c r="BF428" s="466"/>
      <c r="BG428" s="150"/>
      <c r="BH428" s="150"/>
      <c r="BI428" s="150"/>
      <c r="BJ428" s="466"/>
      <c r="BK428" s="152"/>
      <c r="BL428" s="160"/>
      <c r="BM428" s="150"/>
      <c r="BN428" s="466"/>
      <c r="BO428" s="150"/>
      <c r="BP428" s="516"/>
      <c r="BQ428" s="160"/>
      <c r="BR428" s="152"/>
      <c r="BS428" s="160"/>
    </row>
    <row r="429" spans="1:71" x14ac:dyDescent="0.3">
      <c r="A429" s="420">
        <f>DL!A426</f>
        <v>391</v>
      </c>
      <c r="B429" s="19" t="s">
        <v>1332</v>
      </c>
      <c r="C429" s="149">
        <f>DL!L426</f>
        <v>20</v>
      </c>
      <c r="D429" s="149">
        <f>DL!C426</f>
        <v>100</v>
      </c>
      <c r="E429" s="150"/>
      <c r="F429" s="463"/>
      <c r="G429" s="150"/>
      <c r="H429" s="150"/>
      <c r="I429" s="466"/>
      <c r="J429" s="150"/>
      <c r="K429" s="168"/>
      <c r="L429" s="466"/>
      <c r="M429" s="150"/>
      <c r="N429" s="466"/>
      <c r="O429" s="150"/>
      <c r="P429" s="150"/>
      <c r="Q429" s="150"/>
      <c r="R429" s="472"/>
      <c r="S429" s="466"/>
      <c r="T429" s="150"/>
      <c r="U429" s="150"/>
      <c r="V429" s="150"/>
      <c r="W429" s="168"/>
      <c r="X429" s="150"/>
      <c r="Y429" s="466"/>
      <c r="Z429" s="455"/>
      <c r="AA429" s="150"/>
      <c r="AB429" s="490"/>
      <c r="AC429" s="150"/>
      <c r="AD429" s="150"/>
      <c r="AE429" s="466"/>
      <c r="AF429" s="499"/>
      <c r="AG429" s="150"/>
      <c r="AH429" s="150"/>
      <c r="AI429" s="150"/>
      <c r="AJ429" s="150"/>
      <c r="AK429" s="150"/>
      <c r="AL429" s="150"/>
      <c r="AM429" s="150"/>
      <c r="AN429" s="466"/>
      <c r="AO429" s="466"/>
      <c r="AP429" s="150"/>
      <c r="AQ429" s="150"/>
      <c r="AR429" s="151"/>
      <c r="AS429" s="456"/>
      <c r="AT429" s="466"/>
      <c r="AU429" s="150"/>
      <c r="AV429" s="487"/>
      <c r="AW429" s="150"/>
      <c r="AX429" s="150"/>
      <c r="AY429" s="466"/>
      <c r="AZ429" s="466"/>
      <c r="BA429" s="150"/>
      <c r="BB429" s="150"/>
      <c r="BC429" s="466"/>
      <c r="BD429" s="466"/>
      <c r="BE429" s="466"/>
      <c r="BF429" s="466"/>
      <c r="BG429" s="150"/>
      <c r="BH429" s="150"/>
      <c r="BI429" s="150"/>
      <c r="BJ429" s="466"/>
      <c r="BK429" s="152"/>
      <c r="BL429" s="160"/>
      <c r="BM429" s="150"/>
      <c r="BN429" s="466"/>
      <c r="BO429" s="150"/>
      <c r="BP429" s="516"/>
      <c r="BQ429" s="160"/>
      <c r="BR429" s="152"/>
      <c r="BS429" s="160"/>
    </row>
    <row r="430" spans="1:71" x14ac:dyDescent="0.3">
      <c r="A430" s="420">
        <f>DL!A427</f>
        <v>392</v>
      </c>
      <c r="B430" s="19" t="s">
        <v>232</v>
      </c>
      <c r="C430" s="149">
        <f>DL!L427</f>
        <v>40</v>
      </c>
      <c r="D430" s="149">
        <f>DL!C427</f>
        <v>30</v>
      </c>
      <c r="E430" s="150"/>
      <c r="F430" s="463"/>
      <c r="G430" s="150"/>
      <c r="H430" s="150"/>
      <c r="I430" s="466"/>
      <c r="J430" s="150"/>
      <c r="K430" s="168"/>
      <c r="L430" s="466"/>
      <c r="M430" s="150"/>
      <c r="N430" s="466"/>
      <c r="O430" s="150"/>
      <c r="P430" s="150"/>
      <c r="Q430" s="150"/>
      <c r="R430" s="472"/>
      <c r="S430" s="466"/>
      <c r="T430" s="150"/>
      <c r="U430" s="150"/>
      <c r="V430" s="150"/>
      <c r="W430" s="168"/>
      <c r="X430" s="150"/>
      <c r="Y430" s="466"/>
      <c r="Z430" s="455"/>
      <c r="AA430" s="150"/>
      <c r="AB430" s="490"/>
      <c r="AC430" s="150"/>
      <c r="AD430" s="150"/>
      <c r="AE430" s="466"/>
      <c r="AF430" s="499"/>
      <c r="AG430" s="150"/>
      <c r="AH430" s="150"/>
      <c r="AI430" s="150"/>
      <c r="AJ430" s="150"/>
      <c r="AK430" s="150"/>
      <c r="AL430" s="150"/>
      <c r="AM430" s="150"/>
      <c r="AN430" s="466"/>
      <c r="AO430" s="466"/>
      <c r="AP430" s="150"/>
      <c r="AQ430" s="150"/>
      <c r="AR430" s="151"/>
      <c r="AS430" s="456"/>
      <c r="AT430" s="466"/>
      <c r="AU430" s="150"/>
      <c r="AV430" s="487"/>
      <c r="AW430" s="150"/>
      <c r="AX430" s="150"/>
      <c r="AY430" s="466"/>
      <c r="AZ430" s="466"/>
      <c r="BA430" s="150"/>
      <c r="BB430" s="150"/>
      <c r="BC430" s="466"/>
      <c r="BD430" s="466"/>
      <c r="BE430" s="466"/>
      <c r="BF430" s="466"/>
      <c r="BG430" s="150"/>
      <c r="BH430" s="150"/>
      <c r="BI430" s="150"/>
      <c r="BJ430" s="466"/>
      <c r="BK430" s="152"/>
      <c r="BL430" s="160"/>
      <c r="BM430" s="150"/>
      <c r="BN430" s="466"/>
      <c r="BO430" s="150"/>
      <c r="BP430" s="516"/>
      <c r="BQ430" s="160"/>
      <c r="BR430" s="152"/>
      <c r="BS430" s="160"/>
    </row>
    <row r="431" spans="1:71" x14ac:dyDescent="0.3">
      <c r="A431" s="420">
        <f>DL!A428</f>
        <v>393</v>
      </c>
      <c r="B431" s="19" t="s">
        <v>227</v>
      </c>
      <c r="C431" s="149">
        <v>144</v>
      </c>
      <c r="D431" s="149">
        <f>DL!C428</f>
        <v>100</v>
      </c>
      <c r="E431" s="150">
        <v>24000</v>
      </c>
      <c r="F431" s="463"/>
      <c r="G431" s="150"/>
      <c r="H431" s="150"/>
      <c r="I431" s="466"/>
      <c r="J431" s="150"/>
      <c r="K431" s="168"/>
      <c r="L431" s="466"/>
      <c r="M431" s="150"/>
      <c r="N431" s="466"/>
      <c r="O431" s="150"/>
      <c r="P431" s="150"/>
      <c r="Q431" s="150"/>
      <c r="R431" s="472"/>
      <c r="S431" s="466"/>
      <c r="T431" s="150"/>
      <c r="U431" s="150"/>
      <c r="V431" s="150"/>
      <c r="W431" s="168"/>
      <c r="X431" s="150"/>
      <c r="Y431" s="466"/>
      <c r="Z431" s="455"/>
      <c r="AA431" s="150"/>
      <c r="AB431" s="490"/>
      <c r="AC431" s="150"/>
      <c r="AD431" s="150"/>
      <c r="AE431" s="466"/>
      <c r="AF431" s="499"/>
      <c r="AG431" s="150"/>
      <c r="AH431" s="150"/>
      <c r="AI431" s="150"/>
      <c r="AJ431" s="150"/>
      <c r="AK431" s="150"/>
      <c r="AL431" s="150"/>
      <c r="AM431" s="150"/>
      <c r="AN431" s="466"/>
      <c r="AO431" s="466"/>
      <c r="AP431" s="150"/>
      <c r="AQ431" s="150"/>
      <c r="AR431" s="151"/>
      <c r="AS431" s="456"/>
      <c r="AT431" s="466"/>
      <c r="AU431" s="150"/>
      <c r="AV431" s="487"/>
      <c r="AW431" s="150"/>
      <c r="AX431" s="150"/>
      <c r="AY431" s="466"/>
      <c r="AZ431" s="466"/>
      <c r="BA431" s="150"/>
      <c r="BB431" s="150"/>
      <c r="BC431" s="466"/>
      <c r="BD431" s="466"/>
      <c r="BE431" s="466"/>
      <c r="BF431" s="466"/>
      <c r="BG431" s="150"/>
      <c r="BH431" s="150"/>
      <c r="BI431" s="150"/>
      <c r="BJ431" s="466"/>
      <c r="BK431" s="152"/>
      <c r="BL431" s="160"/>
      <c r="BM431" s="150"/>
      <c r="BN431" s="466"/>
      <c r="BO431" s="150"/>
      <c r="BP431" s="516"/>
      <c r="BQ431" s="160"/>
      <c r="BR431" s="152"/>
      <c r="BS431" s="160"/>
    </row>
    <row r="432" spans="1:71" x14ac:dyDescent="0.3">
      <c r="A432" s="420">
        <f>DL!A429</f>
        <v>394</v>
      </c>
      <c r="B432" s="19" t="s">
        <v>1333</v>
      </c>
      <c r="C432" s="149">
        <f>DL!L429</f>
        <v>100</v>
      </c>
      <c r="D432" s="149">
        <f>DL!C429</f>
        <v>4</v>
      </c>
      <c r="E432" s="150"/>
      <c r="F432" s="463"/>
      <c r="G432" s="150"/>
      <c r="H432" s="150"/>
      <c r="I432" s="468">
        <v>13800</v>
      </c>
      <c r="J432" s="150"/>
      <c r="K432" s="168"/>
      <c r="L432" s="466"/>
      <c r="M432" s="150"/>
      <c r="N432" s="466"/>
      <c r="O432" s="150"/>
      <c r="P432" s="150"/>
      <c r="Q432" s="150"/>
      <c r="R432" s="472"/>
      <c r="S432" s="466">
        <v>900</v>
      </c>
      <c r="T432" s="150"/>
      <c r="U432" s="150"/>
      <c r="V432" s="150">
        <v>495</v>
      </c>
      <c r="W432" s="168"/>
      <c r="X432" s="150"/>
      <c r="Y432" s="466"/>
      <c r="Z432" s="455"/>
      <c r="AA432" s="150"/>
      <c r="AB432" s="490"/>
      <c r="AC432" s="150"/>
      <c r="AD432" s="150"/>
      <c r="AE432" s="466"/>
      <c r="AF432" s="499"/>
      <c r="AG432" s="150"/>
      <c r="AH432" s="150"/>
      <c r="AI432" s="150"/>
      <c r="AJ432" s="150"/>
      <c r="AK432" s="150"/>
      <c r="AL432" s="150"/>
      <c r="AM432" s="150"/>
      <c r="AN432" s="466"/>
      <c r="AO432" s="466"/>
      <c r="AP432" s="150"/>
      <c r="AQ432" s="150"/>
      <c r="AR432" s="151"/>
      <c r="AS432" s="456"/>
      <c r="AT432" s="466"/>
      <c r="AU432" s="150"/>
      <c r="AV432" s="487"/>
      <c r="AW432" s="150"/>
      <c r="AX432" s="150"/>
      <c r="AY432" s="466"/>
      <c r="AZ432" s="466"/>
      <c r="BA432" s="150"/>
      <c r="BB432" s="150"/>
      <c r="BC432" s="466"/>
      <c r="BD432" s="466"/>
      <c r="BE432" s="466"/>
      <c r="BF432" s="466"/>
      <c r="BG432" s="150"/>
      <c r="BH432" s="150"/>
      <c r="BI432" s="150"/>
      <c r="BJ432" s="466"/>
      <c r="BK432" s="152"/>
      <c r="BL432" s="160"/>
      <c r="BM432" s="150"/>
      <c r="BN432" s="466"/>
      <c r="BO432" s="150"/>
      <c r="BP432" s="516"/>
      <c r="BQ432" s="160"/>
      <c r="BR432" s="152"/>
      <c r="BS432" s="160"/>
    </row>
    <row r="433" spans="1:71" x14ac:dyDescent="0.3">
      <c r="A433" s="420">
        <f>DL!A430</f>
        <v>395</v>
      </c>
      <c r="B433" s="19" t="s">
        <v>1334</v>
      </c>
      <c r="C433" s="149">
        <f>DL!L430</f>
        <v>50</v>
      </c>
      <c r="D433" s="149">
        <f>DL!C430</f>
        <v>20</v>
      </c>
      <c r="E433" s="150"/>
      <c r="F433" s="463"/>
      <c r="G433" s="150"/>
      <c r="H433" s="150"/>
      <c r="I433" s="466"/>
      <c r="J433" s="150"/>
      <c r="K433" s="168"/>
      <c r="L433" s="466"/>
      <c r="M433" s="150"/>
      <c r="N433" s="466"/>
      <c r="O433" s="150"/>
      <c r="P433" s="150"/>
      <c r="Q433" s="150"/>
      <c r="R433" s="472"/>
      <c r="S433" s="466"/>
      <c r="T433" s="150">
        <v>2300</v>
      </c>
      <c r="U433" s="150"/>
      <c r="V433" s="150"/>
      <c r="W433" s="168"/>
      <c r="X433" s="150"/>
      <c r="Y433" s="466"/>
      <c r="Z433" s="455"/>
      <c r="AA433" s="150"/>
      <c r="AB433" s="490"/>
      <c r="AC433" s="150"/>
      <c r="AD433" s="150"/>
      <c r="AE433" s="466"/>
      <c r="AF433" s="499"/>
      <c r="AG433" s="150"/>
      <c r="AH433" s="150"/>
      <c r="AI433" s="150"/>
      <c r="AJ433" s="150"/>
      <c r="AK433" s="150"/>
      <c r="AL433" s="150"/>
      <c r="AM433" s="150"/>
      <c r="AN433" s="466"/>
      <c r="AO433" s="466"/>
      <c r="AP433" s="150"/>
      <c r="AQ433" s="150"/>
      <c r="AR433" s="151"/>
      <c r="AS433" s="456"/>
      <c r="AT433" s="466"/>
      <c r="AU433" s="150"/>
      <c r="AV433" s="487"/>
      <c r="AW433" s="150"/>
      <c r="AX433" s="150"/>
      <c r="AY433" s="466"/>
      <c r="AZ433" s="466"/>
      <c r="BA433" s="150"/>
      <c r="BB433" s="150"/>
      <c r="BC433" s="466"/>
      <c r="BD433" s="466"/>
      <c r="BE433" s="466"/>
      <c r="BF433" s="466"/>
      <c r="BG433" s="150"/>
      <c r="BH433" s="150"/>
      <c r="BI433" s="150"/>
      <c r="BJ433" s="466"/>
      <c r="BK433" s="152"/>
      <c r="BL433" s="160"/>
      <c r="BM433" s="150"/>
      <c r="BN433" s="466"/>
      <c r="BO433" s="150"/>
      <c r="BP433" s="516"/>
      <c r="BQ433" s="160"/>
      <c r="BR433" s="152"/>
      <c r="BS433" s="160"/>
    </row>
    <row r="434" spans="1:71" x14ac:dyDescent="0.3">
      <c r="A434" s="420"/>
      <c r="B434" s="19"/>
      <c r="C434" s="149">
        <f>DL!L431</f>
        <v>0</v>
      </c>
      <c r="D434" s="149">
        <f>DL!C431</f>
        <v>0</v>
      </c>
      <c r="E434" s="150"/>
      <c r="F434" s="463"/>
      <c r="G434" s="150"/>
      <c r="H434" s="150"/>
      <c r="I434" s="466"/>
      <c r="J434" s="150"/>
      <c r="K434" s="168"/>
      <c r="L434" s="466"/>
      <c r="M434" s="150"/>
      <c r="N434" s="466"/>
      <c r="O434" s="150"/>
      <c r="P434" s="150"/>
      <c r="Q434" s="150"/>
      <c r="R434" s="472"/>
      <c r="S434" s="466"/>
      <c r="T434" s="150"/>
      <c r="U434" s="150"/>
      <c r="V434" s="150"/>
      <c r="W434" s="168"/>
      <c r="X434" s="150"/>
      <c r="Y434" s="466"/>
      <c r="Z434" s="455"/>
      <c r="AA434" s="150"/>
      <c r="AB434" s="490"/>
      <c r="AC434" s="150"/>
      <c r="AD434" s="150"/>
      <c r="AE434" s="466"/>
      <c r="AF434" s="499"/>
      <c r="AG434" s="150"/>
      <c r="AH434" s="150"/>
      <c r="AI434" s="150"/>
      <c r="AJ434" s="150"/>
      <c r="AK434" s="150"/>
      <c r="AL434" s="150"/>
      <c r="AM434" s="150"/>
      <c r="AN434" s="466"/>
      <c r="AO434" s="466"/>
      <c r="AP434" s="150"/>
      <c r="AQ434" s="150"/>
      <c r="AR434" s="151"/>
      <c r="AS434" s="456"/>
      <c r="AT434" s="466"/>
      <c r="AU434" s="150"/>
      <c r="AV434" s="487"/>
      <c r="AW434" s="150"/>
      <c r="AX434" s="150"/>
      <c r="AY434" s="466"/>
      <c r="AZ434" s="466"/>
      <c r="BA434" s="150"/>
      <c r="BB434" s="150"/>
      <c r="BC434" s="466"/>
      <c r="BD434" s="466"/>
      <c r="BE434" s="466"/>
      <c r="BF434" s="466"/>
      <c r="BG434" s="150"/>
      <c r="BH434" s="150"/>
      <c r="BI434" s="150"/>
      <c r="BJ434" s="466"/>
      <c r="BK434" s="152"/>
      <c r="BL434" s="160"/>
      <c r="BM434" s="150"/>
      <c r="BN434" s="466"/>
      <c r="BO434" s="150"/>
      <c r="BP434" s="516"/>
      <c r="BQ434" s="160"/>
      <c r="BR434" s="152"/>
      <c r="BS434" s="160"/>
    </row>
    <row r="435" spans="1:71" x14ac:dyDescent="0.3">
      <c r="A435" s="420"/>
      <c r="B435" s="16"/>
      <c r="C435" s="149">
        <f>DL!L432</f>
        <v>0</v>
      </c>
      <c r="D435" s="149">
        <f>DL!C432</f>
        <v>0</v>
      </c>
      <c r="E435" s="150"/>
      <c r="F435" s="463"/>
      <c r="G435" s="150"/>
      <c r="H435" s="150"/>
      <c r="I435" s="466"/>
      <c r="J435" s="150"/>
      <c r="K435" s="168"/>
      <c r="L435" s="466"/>
      <c r="M435" s="150"/>
      <c r="N435" s="466"/>
      <c r="O435" s="150"/>
      <c r="P435" s="150"/>
      <c r="Q435" s="150"/>
      <c r="R435" s="472"/>
      <c r="S435" s="466"/>
      <c r="T435" s="150"/>
      <c r="U435" s="150"/>
      <c r="V435" s="150"/>
      <c r="W435" s="168"/>
      <c r="X435" s="150"/>
      <c r="Y435" s="466"/>
      <c r="Z435" s="455"/>
      <c r="AA435" s="150"/>
      <c r="AB435" s="490"/>
      <c r="AC435" s="150"/>
      <c r="AD435" s="150"/>
      <c r="AE435" s="466"/>
      <c r="AF435" s="499"/>
      <c r="AG435" s="150"/>
      <c r="AH435" s="150"/>
      <c r="AI435" s="150"/>
      <c r="AJ435" s="150"/>
      <c r="AK435" s="150"/>
      <c r="AL435" s="150"/>
      <c r="AM435" s="150"/>
      <c r="AN435" s="466"/>
      <c r="AO435" s="466"/>
      <c r="AP435" s="150"/>
      <c r="AQ435" s="150"/>
      <c r="AR435" s="151"/>
      <c r="AS435" s="456"/>
      <c r="AT435" s="466"/>
      <c r="AU435" s="150"/>
      <c r="AV435" s="487"/>
      <c r="AW435" s="150"/>
      <c r="AX435" s="150"/>
      <c r="AY435" s="466"/>
      <c r="AZ435" s="466"/>
      <c r="BA435" s="150"/>
      <c r="BB435" s="150"/>
      <c r="BC435" s="466"/>
      <c r="BD435" s="466"/>
      <c r="BE435" s="466"/>
      <c r="BF435" s="466"/>
      <c r="BG435" s="150"/>
      <c r="BH435" s="150"/>
      <c r="BI435" s="150"/>
      <c r="BJ435" s="466"/>
      <c r="BK435" s="152"/>
      <c r="BL435" s="160"/>
      <c r="BM435" s="150"/>
      <c r="BN435" s="466"/>
      <c r="BO435" s="150"/>
      <c r="BP435" s="516"/>
      <c r="BQ435" s="160"/>
      <c r="BR435" s="152"/>
      <c r="BS435" s="160"/>
    </row>
    <row r="436" spans="1:71" x14ac:dyDescent="0.3">
      <c r="A436" s="420"/>
      <c r="B436" s="19" t="s">
        <v>234</v>
      </c>
      <c r="C436" s="149">
        <f>DL!L433</f>
        <v>0</v>
      </c>
      <c r="D436" s="149">
        <f>DL!C433</f>
        <v>0</v>
      </c>
      <c r="E436" s="150"/>
      <c r="F436" s="463"/>
      <c r="G436" s="150"/>
      <c r="H436" s="150"/>
      <c r="I436" s="466"/>
      <c r="J436" s="150"/>
      <c r="K436" s="168"/>
      <c r="L436" s="466"/>
      <c r="M436" s="150"/>
      <c r="N436" s="466"/>
      <c r="O436" s="150"/>
      <c r="P436" s="150"/>
      <c r="Q436" s="150"/>
      <c r="R436" s="472"/>
      <c r="S436" s="466"/>
      <c r="T436" s="150"/>
      <c r="U436" s="150"/>
      <c r="V436" s="150"/>
      <c r="W436" s="168"/>
      <c r="X436" s="150"/>
      <c r="Y436" s="466"/>
      <c r="Z436" s="455"/>
      <c r="AA436" s="150"/>
      <c r="AB436" s="490"/>
      <c r="AC436" s="150"/>
      <c r="AD436" s="150"/>
      <c r="AE436" s="466"/>
      <c r="AF436" s="499"/>
      <c r="AG436" s="150"/>
      <c r="AH436" s="150"/>
      <c r="AI436" s="150"/>
      <c r="AJ436" s="150"/>
      <c r="AK436" s="150"/>
      <c r="AL436" s="150"/>
      <c r="AM436" s="150"/>
      <c r="AN436" s="466"/>
      <c r="AO436" s="466"/>
      <c r="AP436" s="150"/>
      <c r="AQ436" s="150"/>
      <c r="AR436" s="151"/>
      <c r="AS436" s="456"/>
      <c r="AT436" s="466"/>
      <c r="AU436" s="150"/>
      <c r="AV436" s="487"/>
      <c r="AW436" s="150"/>
      <c r="AX436" s="150"/>
      <c r="AY436" s="466"/>
      <c r="AZ436" s="466"/>
      <c r="BA436" s="150"/>
      <c r="BB436" s="150"/>
      <c r="BC436" s="466"/>
      <c r="BD436" s="466"/>
      <c r="BE436" s="466"/>
      <c r="BF436" s="466"/>
      <c r="BG436" s="150"/>
      <c r="BH436" s="150"/>
      <c r="BI436" s="150"/>
      <c r="BJ436" s="466"/>
      <c r="BK436" s="152"/>
      <c r="BL436" s="160"/>
      <c r="BM436" s="150"/>
      <c r="BN436" s="466"/>
      <c r="BO436" s="150"/>
      <c r="BP436" s="516"/>
      <c r="BQ436" s="160"/>
      <c r="BR436" s="152"/>
      <c r="BS436" s="160"/>
    </row>
    <row r="437" spans="1:71" x14ac:dyDescent="0.3">
      <c r="A437" s="420">
        <f>DL!A434</f>
        <v>396</v>
      </c>
      <c r="B437" s="19" t="s">
        <v>1335</v>
      </c>
      <c r="C437" s="149">
        <v>120</v>
      </c>
      <c r="D437" s="149">
        <f>DL!C434</f>
        <v>5</v>
      </c>
      <c r="E437" s="150">
        <v>9000</v>
      </c>
      <c r="F437" s="463"/>
      <c r="G437" s="150"/>
      <c r="H437" s="150"/>
      <c r="I437" s="466"/>
      <c r="J437" s="150"/>
      <c r="K437" s="168"/>
      <c r="L437" s="466"/>
      <c r="M437" s="150"/>
      <c r="N437" s="466"/>
      <c r="O437" s="150"/>
      <c r="P437" s="150"/>
      <c r="Q437" s="150"/>
      <c r="R437" s="472"/>
      <c r="S437" s="466"/>
      <c r="T437" s="150"/>
      <c r="U437" s="150"/>
      <c r="V437" s="150"/>
      <c r="W437" s="168"/>
      <c r="X437" s="150"/>
      <c r="Y437" s="466"/>
      <c r="Z437" s="455"/>
      <c r="AA437" s="150"/>
      <c r="AB437" s="490"/>
      <c r="AC437" s="150"/>
      <c r="AD437" s="150"/>
      <c r="AE437" s="466"/>
      <c r="AF437" s="499"/>
      <c r="AG437" s="150"/>
      <c r="AH437" s="150"/>
      <c r="AI437" s="150"/>
      <c r="AJ437" s="150"/>
      <c r="AK437" s="150"/>
      <c r="AL437" s="150"/>
      <c r="AM437" s="150"/>
      <c r="AN437" s="466"/>
      <c r="AO437" s="466"/>
      <c r="AP437" s="150"/>
      <c r="AQ437" s="150"/>
      <c r="AR437" s="151"/>
      <c r="AS437" s="456"/>
      <c r="AT437" s="466"/>
      <c r="AU437" s="150"/>
      <c r="AV437" s="487"/>
      <c r="AW437" s="150"/>
      <c r="AX437" s="150"/>
      <c r="AY437" s="466"/>
      <c r="AZ437" s="466"/>
      <c r="BA437" s="150"/>
      <c r="BB437" s="150"/>
      <c r="BC437" s="466"/>
      <c r="BD437" s="466"/>
      <c r="BE437" s="466"/>
      <c r="BF437" s="466"/>
      <c r="BG437" s="150"/>
      <c r="BH437" s="150"/>
      <c r="BI437" s="150"/>
      <c r="BJ437" s="466"/>
      <c r="BK437" s="152"/>
      <c r="BL437" s="160"/>
      <c r="BM437" s="150"/>
      <c r="BN437" s="466"/>
      <c r="BO437" s="150"/>
      <c r="BP437" s="516"/>
      <c r="BQ437" s="160"/>
      <c r="BR437" s="152"/>
      <c r="BS437" s="160"/>
    </row>
    <row r="438" spans="1:71" x14ac:dyDescent="0.3">
      <c r="A438" s="420">
        <f>DL!A435</f>
        <v>397</v>
      </c>
      <c r="B438" s="19" t="s">
        <v>235</v>
      </c>
      <c r="C438" s="149">
        <v>300</v>
      </c>
      <c r="D438" s="149">
        <f>DL!C435</f>
        <v>10</v>
      </c>
      <c r="E438" s="150">
        <v>3000</v>
      </c>
      <c r="F438" s="463"/>
      <c r="G438" s="150"/>
      <c r="H438" s="150"/>
      <c r="I438" s="466"/>
      <c r="J438" s="150"/>
      <c r="K438" s="168"/>
      <c r="L438" s="466"/>
      <c r="M438" s="150"/>
      <c r="N438" s="466"/>
      <c r="O438" s="150"/>
      <c r="P438" s="150"/>
      <c r="Q438" s="150"/>
      <c r="R438" s="472"/>
      <c r="S438" s="466"/>
      <c r="T438" s="150"/>
      <c r="U438" s="150"/>
      <c r="V438" s="150"/>
      <c r="W438" s="168"/>
      <c r="X438" s="150"/>
      <c r="Y438" s="466"/>
      <c r="Z438" s="455"/>
      <c r="AA438" s="150"/>
      <c r="AB438" s="490"/>
      <c r="AC438" s="150"/>
      <c r="AD438" s="150"/>
      <c r="AE438" s="466"/>
      <c r="AF438" s="499"/>
      <c r="AG438" s="150"/>
      <c r="AH438" s="150"/>
      <c r="AI438" s="150"/>
      <c r="AJ438" s="150"/>
      <c r="AK438" s="150"/>
      <c r="AL438" s="150"/>
      <c r="AM438" s="150"/>
      <c r="AN438" s="466"/>
      <c r="AO438" s="466"/>
      <c r="AP438" s="150"/>
      <c r="AQ438" s="150"/>
      <c r="AR438" s="151"/>
      <c r="AS438" s="456"/>
      <c r="AT438" s="466"/>
      <c r="AU438" s="150"/>
      <c r="AV438" s="487"/>
      <c r="AW438" s="150"/>
      <c r="AX438" s="150"/>
      <c r="AY438" s="466"/>
      <c r="AZ438" s="466"/>
      <c r="BA438" s="150"/>
      <c r="BB438" s="150"/>
      <c r="BC438" s="466"/>
      <c r="BD438" s="466"/>
      <c r="BE438" s="466"/>
      <c r="BF438" s="466"/>
      <c r="BG438" s="150"/>
      <c r="BH438" s="150"/>
      <c r="BI438" s="150"/>
      <c r="BJ438" s="466"/>
      <c r="BK438" s="152"/>
      <c r="BL438" s="160"/>
      <c r="BM438" s="150"/>
      <c r="BN438" s="466"/>
      <c r="BO438" s="150"/>
      <c r="BP438" s="516"/>
      <c r="BQ438" s="160"/>
      <c r="BR438" s="152"/>
      <c r="BS438" s="160"/>
    </row>
    <row r="439" spans="1:71" x14ac:dyDescent="0.3">
      <c r="A439" s="420">
        <f>DL!A436</f>
        <v>398</v>
      </c>
      <c r="B439" s="19" t="s">
        <v>236</v>
      </c>
      <c r="C439" s="149">
        <f>DL!L436</f>
        <v>40</v>
      </c>
      <c r="D439" s="149">
        <f>DL!C436</f>
        <v>5</v>
      </c>
      <c r="E439" s="150"/>
      <c r="F439" s="463"/>
      <c r="G439" s="150"/>
      <c r="H439" s="150"/>
      <c r="I439" s="466"/>
      <c r="J439" s="150"/>
      <c r="K439" s="168"/>
      <c r="L439" s="466"/>
      <c r="M439" s="150"/>
      <c r="N439" s="466"/>
      <c r="O439" s="150"/>
      <c r="P439" s="150"/>
      <c r="Q439" s="150"/>
      <c r="R439" s="472"/>
      <c r="S439" s="466"/>
      <c r="T439" s="150"/>
      <c r="U439" s="150"/>
      <c r="V439" s="150"/>
      <c r="W439" s="168"/>
      <c r="X439" s="150"/>
      <c r="Y439" s="466"/>
      <c r="Z439" s="455"/>
      <c r="AA439" s="150"/>
      <c r="AB439" s="490"/>
      <c r="AC439" s="150"/>
      <c r="AD439" s="150"/>
      <c r="AE439" s="466"/>
      <c r="AF439" s="499"/>
      <c r="AG439" s="150"/>
      <c r="AH439" s="150"/>
      <c r="AI439" s="150"/>
      <c r="AJ439" s="150"/>
      <c r="AK439" s="150"/>
      <c r="AL439" s="150"/>
      <c r="AM439" s="150"/>
      <c r="AN439" s="466"/>
      <c r="AO439" s="466"/>
      <c r="AP439" s="150"/>
      <c r="AQ439" s="150"/>
      <c r="AR439" s="151"/>
      <c r="AS439" s="456"/>
      <c r="AT439" s="466"/>
      <c r="AU439" s="150"/>
      <c r="AV439" s="487"/>
      <c r="AW439" s="150"/>
      <c r="AX439" s="150"/>
      <c r="AY439" s="466"/>
      <c r="AZ439" s="466"/>
      <c r="BA439" s="150"/>
      <c r="BB439" s="150"/>
      <c r="BC439" s="466"/>
      <c r="BD439" s="466"/>
      <c r="BE439" s="466"/>
      <c r="BF439" s="466"/>
      <c r="BG439" s="150"/>
      <c r="BH439" s="150"/>
      <c r="BI439" s="150"/>
      <c r="BJ439" s="466"/>
      <c r="BK439" s="152"/>
      <c r="BL439" s="160"/>
      <c r="BM439" s="150"/>
      <c r="BN439" s="466"/>
      <c r="BO439" s="150"/>
      <c r="BP439" s="516"/>
      <c r="BQ439" s="160"/>
      <c r="BR439" s="152"/>
      <c r="BS439" s="160"/>
    </row>
    <row r="440" spans="1:71" x14ac:dyDescent="0.3">
      <c r="A440" s="420">
        <f>DL!A437</f>
        <v>399</v>
      </c>
      <c r="B440" s="19" t="s">
        <v>759</v>
      </c>
      <c r="C440" s="149">
        <f>DL!L437</f>
        <v>4</v>
      </c>
      <c r="D440" s="149">
        <f>DL!C437</f>
        <v>100</v>
      </c>
      <c r="E440" s="150"/>
      <c r="F440" s="463"/>
      <c r="G440" s="150"/>
      <c r="H440" s="150"/>
      <c r="I440" s="466"/>
      <c r="J440" s="150"/>
      <c r="K440" s="168"/>
      <c r="L440" s="466"/>
      <c r="M440" s="150"/>
      <c r="N440" s="466"/>
      <c r="O440" s="150"/>
      <c r="P440" s="150"/>
      <c r="Q440" s="150"/>
      <c r="R440" s="472"/>
      <c r="S440" s="466">
        <v>80000</v>
      </c>
      <c r="T440" s="150"/>
      <c r="U440" s="150"/>
      <c r="V440" s="150"/>
      <c r="W440" s="168"/>
      <c r="X440" s="150"/>
      <c r="Y440" s="466"/>
      <c r="Z440" s="455"/>
      <c r="AA440" s="150"/>
      <c r="AB440" s="490"/>
      <c r="AC440" s="150"/>
      <c r="AD440" s="150"/>
      <c r="AE440" s="466"/>
      <c r="AF440" s="499"/>
      <c r="AG440" s="150"/>
      <c r="AH440" s="150"/>
      <c r="AI440" s="150"/>
      <c r="AJ440" s="150"/>
      <c r="AK440" s="150"/>
      <c r="AL440" s="150"/>
      <c r="AM440" s="150"/>
      <c r="AN440" s="466"/>
      <c r="AO440" s="466"/>
      <c r="AP440" s="150"/>
      <c r="AQ440" s="150"/>
      <c r="AR440" s="151"/>
      <c r="AS440" s="456"/>
      <c r="AT440" s="466"/>
      <c r="AU440" s="150"/>
      <c r="AV440" s="487"/>
      <c r="AW440" s="150"/>
      <c r="AX440" s="150"/>
      <c r="AY440" s="466"/>
      <c r="AZ440" s="466"/>
      <c r="BA440" s="150"/>
      <c r="BB440" s="150"/>
      <c r="BC440" s="466"/>
      <c r="BD440" s="466"/>
      <c r="BE440" s="466"/>
      <c r="BF440" s="466"/>
      <c r="BG440" s="150"/>
      <c r="BH440" s="150"/>
      <c r="BI440" s="150"/>
      <c r="BJ440" s="466"/>
      <c r="BK440" s="152"/>
      <c r="BL440" s="160"/>
      <c r="BM440" s="150"/>
      <c r="BN440" s="466"/>
      <c r="BO440" s="150"/>
      <c r="BP440" s="516"/>
      <c r="BQ440" s="160"/>
      <c r="BR440" s="152"/>
      <c r="BS440" s="160"/>
    </row>
    <row r="441" spans="1:71" x14ac:dyDescent="0.3">
      <c r="A441" s="420">
        <f>DL!A438</f>
        <v>400</v>
      </c>
      <c r="B441" s="19" t="s">
        <v>464</v>
      </c>
      <c r="C441" s="149">
        <f>DL!L438</f>
        <v>30</v>
      </c>
      <c r="D441" s="149">
        <f>DL!C438</f>
        <v>10</v>
      </c>
      <c r="E441" s="150"/>
      <c r="F441" s="463"/>
      <c r="G441" s="150"/>
      <c r="H441" s="150"/>
      <c r="I441" s="466"/>
      <c r="J441" s="150"/>
      <c r="K441" s="168"/>
      <c r="L441" s="466"/>
      <c r="M441" s="150"/>
      <c r="N441" s="466"/>
      <c r="O441" s="150"/>
      <c r="P441" s="150"/>
      <c r="Q441" s="150"/>
      <c r="R441" s="472"/>
      <c r="S441" s="466"/>
      <c r="T441" s="150"/>
      <c r="U441" s="150"/>
      <c r="V441" s="150"/>
      <c r="W441" s="168"/>
      <c r="X441" s="150"/>
      <c r="Y441" s="466"/>
      <c r="Z441" s="455"/>
      <c r="AA441" s="150"/>
      <c r="AB441" s="490"/>
      <c r="AC441" s="150"/>
      <c r="AD441" s="150"/>
      <c r="AE441" s="466"/>
      <c r="AF441" s="499"/>
      <c r="AG441" s="150"/>
      <c r="AH441" s="150"/>
      <c r="AI441" s="150"/>
      <c r="AJ441" s="150"/>
      <c r="AK441" s="150"/>
      <c r="AL441" s="150"/>
      <c r="AM441" s="150"/>
      <c r="AN441" s="466"/>
      <c r="AO441" s="466"/>
      <c r="AP441" s="150"/>
      <c r="AQ441" s="150"/>
      <c r="AR441" s="151"/>
      <c r="AS441" s="456"/>
      <c r="AT441" s="466"/>
      <c r="AU441" s="150"/>
      <c r="AV441" s="487"/>
      <c r="AW441" s="150"/>
      <c r="AX441" s="150"/>
      <c r="AY441" s="466"/>
      <c r="AZ441" s="466"/>
      <c r="BA441" s="150"/>
      <c r="BB441" s="150"/>
      <c r="BC441" s="466"/>
      <c r="BD441" s="466"/>
      <c r="BE441" s="466"/>
      <c r="BF441" s="466"/>
      <c r="BG441" s="150"/>
      <c r="BH441" s="150"/>
      <c r="BI441" s="150"/>
      <c r="BJ441" s="466"/>
      <c r="BK441" s="152"/>
      <c r="BL441" s="160"/>
      <c r="BM441" s="150"/>
      <c r="BN441" s="466"/>
      <c r="BO441" s="150"/>
      <c r="BP441" s="516"/>
      <c r="BQ441" s="160"/>
      <c r="BR441" s="152"/>
      <c r="BS441" s="160"/>
    </row>
    <row r="442" spans="1:71" x14ac:dyDescent="0.3">
      <c r="A442" s="420">
        <f>DL!A439</f>
        <v>401</v>
      </c>
      <c r="B442" s="19" t="s">
        <v>1336</v>
      </c>
      <c r="C442" s="149">
        <f>DL!L439</f>
        <v>4</v>
      </c>
      <c r="D442" s="149">
        <f>DL!C439</f>
        <v>100</v>
      </c>
      <c r="E442" s="150">
        <v>80000</v>
      </c>
      <c r="F442" s="463"/>
      <c r="G442" s="150"/>
      <c r="H442" s="150"/>
      <c r="I442" s="466"/>
      <c r="J442" s="150"/>
      <c r="K442" s="168"/>
      <c r="L442" s="466"/>
      <c r="M442" s="150"/>
      <c r="N442" s="466"/>
      <c r="O442" s="150"/>
      <c r="P442" s="150"/>
      <c r="Q442" s="150"/>
      <c r="R442" s="472"/>
      <c r="S442" s="466"/>
      <c r="T442" s="150"/>
      <c r="U442" s="150"/>
      <c r="V442" s="150"/>
      <c r="W442" s="168"/>
      <c r="X442" s="150"/>
      <c r="Y442" s="466"/>
      <c r="Z442" s="455"/>
      <c r="AA442" s="150"/>
      <c r="AB442" s="490"/>
      <c r="AC442" s="150"/>
      <c r="AD442" s="150"/>
      <c r="AE442" s="466"/>
      <c r="AF442" s="499"/>
      <c r="AG442" s="150"/>
      <c r="AH442" s="150"/>
      <c r="AI442" s="150"/>
      <c r="AJ442" s="150"/>
      <c r="AK442" s="150"/>
      <c r="AL442" s="150"/>
      <c r="AM442" s="150"/>
      <c r="AN442" s="466"/>
      <c r="AO442" s="466"/>
      <c r="AP442" s="150"/>
      <c r="AQ442" s="150"/>
      <c r="AR442" s="151"/>
      <c r="AS442" s="456"/>
      <c r="AT442" s="466"/>
      <c r="AU442" s="150"/>
      <c r="AV442" s="487"/>
      <c r="AW442" s="150"/>
      <c r="AX442" s="150"/>
      <c r="AY442" s="466"/>
      <c r="AZ442" s="466"/>
      <c r="BA442" s="150"/>
      <c r="BB442" s="150"/>
      <c r="BC442" s="466"/>
      <c r="BD442" s="466"/>
      <c r="BE442" s="466"/>
      <c r="BF442" s="466"/>
      <c r="BG442" s="150"/>
      <c r="BH442" s="150"/>
      <c r="BI442" s="150"/>
      <c r="BJ442" s="466"/>
      <c r="BK442" s="152"/>
      <c r="BL442" s="160"/>
      <c r="BM442" s="150"/>
      <c r="BN442" s="466"/>
      <c r="BO442" s="150"/>
      <c r="BP442" s="516"/>
      <c r="BQ442" s="160"/>
      <c r="BR442" s="152"/>
      <c r="BS442" s="160"/>
    </row>
    <row r="443" spans="1:71" x14ac:dyDescent="0.3">
      <c r="A443" s="420">
        <f>DL!A440</f>
        <v>402</v>
      </c>
      <c r="B443" s="19" t="s">
        <v>237</v>
      </c>
      <c r="C443" s="149">
        <v>12</v>
      </c>
      <c r="D443" s="149" t="str">
        <f>DL!C440</f>
        <v>250ML</v>
      </c>
      <c r="E443" s="150">
        <v>16500</v>
      </c>
      <c r="F443" s="463"/>
      <c r="G443" s="150"/>
      <c r="H443" s="150"/>
      <c r="I443" s="466"/>
      <c r="J443" s="150"/>
      <c r="K443" s="168"/>
      <c r="L443" s="466"/>
      <c r="M443" s="150"/>
      <c r="N443" s="466"/>
      <c r="O443" s="150"/>
      <c r="P443" s="150"/>
      <c r="Q443" s="150"/>
      <c r="R443" s="472"/>
      <c r="S443" s="466">
        <v>18000</v>
      </c>
      <c r="T443" s="150"/>
      <c r="U443" s="150"/>
      <c r="V443" s="150"/>
      <c r="W443" s="168"/>
      <c r="X443" s="150"/>
      <c r="Y443" s="466"/>
      <c r="Z443" s="455"/>
      <c r="AA443" s="150"/>
      <c r="AB443" s="490"/>
      <c r="AC443" s="150"/>
      <c r="AD443" s="150"/>
      <c r="AE443" s="466"/>
      <c r="AF443" s="499"/>
      <c r="AG443" s="150"/>
      <c r="AH443" s="150"/>
      <c r="AI443" s="150"/>
      <c r="AJ443" s="150"/>
      <c r="AK443" s="150"/>
      <c r="AL443" s="150"/>
      <c r="AM443" s="150"/>
      <c r="AN443" s="466"/>
      <c r="AO443" s="466"/>
      <c r="AP443" s="150"/>
      <c r="AQ443" s="150"/>
      <c r="AR443" s="151"/>
      <c r="AS443" s="456"/>
      <c r="AT443" s="466"/>
      <c r="AU443" s="150"/>
      <c r="AV443" s="487"/>
      <c r="AW443" s="150"/>
      <c r="AX443" s="150"/>
      <c r="AY443" s="466"/>
      <c r="AZ443" s="466"/>
      <c r="BA443" s="150"/>
      <c r="BB443" s="150"/>
      <c r="BC443" s="466"/>
      <c r="BD443" s="466"/>
      <c r="BE443" s="466"/>
      <c r="BF443" s="466"/>
      <c r="BG443" s="150"/>
      <c r="BH443" s="150"/>
      <c r="BI443" s="150"/>
      <c r="BJ443" s="466"/>
      <c r="BK443" s="152"/>
      <c r="BL443" s="160"/>
      <c r="BM443" s="150"/>
      <c r="BN443" s="466"/>
      <c r="BO443" s="150"/>
      <c r="BP443" s="516"/>
      <c r="BQ443" s="160"/>
      <c r="BR443" s="152"/>
      <c r="BS443" s="160"/>
    </row>
    <row r="444" spans="1:71" x14ac:dyDescent="0.3">
      <c r="A444" s="420">
        <f>DL!A441</f>
        <v>403</v>
      </c>
      <c r="B444" s="19" t="s">
        <v>239</v>
      </c>
      <c r="C444" s="149">
        <f>DL!L441</f>
        <v>108</v>
      </c>
      <c r="D444" s="149">
        <f>DL!C441</f>
        <v>10</v>
      </c>
      <c r="E444" s="150">
        <v>10000</v>
      </c>
      <c r="F444" s="463"/>
      <c r="G444" s="150"/>
      <c r="H444" s="150"/>
      <c r="I444" s="466"/>
      <c r="J444" s="150"/>
      <c r="K444" s="168"/>
      <c r="L444" s="466"/>
      <c r="M444" s="150"/>
      <c r="N444" s="466"/>
      <c r="O444" s="150"/>
      <c r="P444" s="150"/>
      <c r="Q444" s="150"/>
      <c r="R444" s="472"/>
      <c r="S444" s="466"/>
      <c r="T444" s="150"/>
      <c r="U444" s="150"/>
      <c r="V444" s="150"/>
      <c r="W444" s="168"/>
      <c r="X444" s="150"/>
      <c r="Y444" s="466"/>
      <c r="Z444" s="455"/>
      <c r="AA444" s="150"/>
      <c r="AB444" s="490"/>
      <c r="AC444" s="150"/>
      <c r="AD444" s="150"/>
      <c r="AE444" s="466"/>
      <c r="AF444" s="499"/>
      <c r="AG444" s="150"/>
      <c r="AH444" s="150"/>
      <c r="AI444" s="150"/>
      <c r="AJ444" s="150"/>
      <c r="AK444" s="150"/>
      <c r="AL444" s="150"/>
      <c r="AM444" s="150"/>
      <c r="AN444" s="466"/>
      <c r="AO444" s="466"/>
      <c r="AP444" s="150"/>
      <c r="AQ444" s="150"/>
      <c r="AR444" s="151"/>
      <c r="AS444" s="456"/>
      <c r="AT444" s="466"/>
      <c r="AU444" s="150"/>
      <c r="AV444" s="487"/>
      <c r="AW444" s="150"/>
      <c r="AX444" s="150"/>
      <c r="AY444" s="466"/>
      <c r="AZ444" s="466"/>
      <c r="BA444" s="150"/>
      <c r="BB444" s="150"/>
      <c r="BC444" s="466"/>
      <c r="BD444" s="466"/>
      <c r="BE444" s="466"/>
      <c r="BF444" s="466"/>
      <c r="BG444" s="150">
        <v>3000</v>
      </c>
      <c r="BH444" s="150"/>
      <c r="BI444" s="150"/>
      <c r="BJ444" s="466"/>
      <c r="BK444" s="152"/>
      <c r="BL444" s="160"/>
      <c r="BM444" s="150"/>
      <c r="BN444" s="466"/>
      <c r="BO444" s="150"/>
      <c r="BP444" s="516"/>
      <c r="BQ444" s="160"/>
      <c r="BR444" s="152"/>
      <c r="BS444" s="160"/>
    </row>
    <row r="445" spans="1:71" x14ac:dyDescent="0.3">
      <c r="A445" s="420">
        <f>DL!A442</f>
        <v>404</v>
      </c>
      <c r="B445" s="19" t="s">
        <v>240</v>
      </c>
      <c r="C445" s="149">
        <v>120</v>
      </c>
      <c r="D445" s="149" t="str">
        <f>DL!C442</f>
        <v>250ML</v>
      </c>
      <c r="E445" s="150">
        <v>19500</v>
      </c>
      <c r="F445" s="463"/>
      <c r="G445" s="150"/>
      <c r="H445" s="150"/>
      <c r="I445" s="466"/>
      <c r="J445" s="150"/>
      <c r="K445" s="168"/>
      <c r="L445" s="466"/>
      <c r="M445" s="150"/>
      <c r="N445" s="466"/>
      <c r="O445" s="150"/>
      <c r="P445" s="150"/>
      <c r="Q445" s="150"/>
      <c r="R445" s="472"/>
      <c r="S445" s="466">
        <v>18000</v>
      </c>
      <c r="T445" s="150"/>
      <c r="U445" s="150"/>
      <c r="V445" s="150"/>
      <c r="W445" s="168"/>
      <c r="X445" s="150"/>
      <c r="Y445" s="466"/>
      <c r="Z445" s="455"/>
      <c r="AA445" s="150"/>
      <c r="AB445" s="490"/>
      <c r="AC445" s="150"/>
      <c r="AD445" s="150"/>
      <c r="AE445" s="466"/>
      <c r="AF445" s="499"/>
      <c r="AG445" s="150"/>
      <c r="AH445" s="150"/>
      <c r="AI445" s="150"/>
      <c r="AJ445" s="150"/>
      <c r="AK445" s="150"/>
      <c r="AL445" s="150"/>
      <c r="AM445" s="150"/>
      <c r="AN445" s="466"/>
      <c r="AO445" s="466"/>
      <c r="AP445" s="150"/>
      <c r="AQ445" s="150"/>
      <c r="AR445" s="151"/>
      <c r="AS445" s="456"/>
      <c r="AT445" s="466"/>
      <c r="AU445" s="150"/>
      <c r="AV445" s="487"/>
      <c r="AW445" s="150"/>
      <c r="AX445" s="150"/>
      <c r="AY445" s="466"/>
      <c r="AZ445" s="466">
        <v>19000</v>
      </c>
      <c r="BA445" s="150"/>
      <c r="BB445" s="150"/>
      <c r="BC445" s="466"/>
      <c r="BD445" s="466"/>
      <c r="BE445" s="466"/>
      <c r="BF445" s="466"/>
      <c r="BG445" s="150"/>
      <c r="BH445" s="150"/>
      <c r="BI445" s="150"/>
      <c r="BJ445" s="466"/>
      <c r="BK445" s="152"/>
      <c r="BL445" s="160"/>
      <c r="BM445" s="150"/>
      <c r="BN445" s="466"/>
      <c r="BO445" s="150"/>
      <c r="BP445" s="516"/>
      <c r="BQ445" s="160"/>
      <c r="BR445" s="152"/>
      <c r="BS445" s="160"/>
    </row>
    <row r="446" spans="1:71" x14ac:dyDescent="0.3">
      <c r="A446" s="420">
        <f>DL!A443</f>
        <v>405</v>
      </c>
      <c r="B446" s="19" t="s">
        <v>241</v>
      </c>
      <c r="C446" s="149">
        <f>DL!L443</f>
        <v>12</v>
      </c>
      <c r="D446" s="149">
        <f>DL!C443</f>
        <v>25</v>
      </c>
      <c r="E446" s="150">
        <v>30000</v>
      </c>
      <c r="F446" s="463"/>
      <c r="G446" s="150"/>
      <c r="H446" s="150"/>
      <c r="I446" s="466"/>
      <c r="J446" s="150"/>
      <c r="K446" s="168"/>
      <c r="L446" s="466"/>
      <c r="M446" s="150"/>
      <c r="N446" s="466"/>
      <c r="O446" s="150"/>
      <c r="P446" s="150"/>
      <c r="Q446" s="150"/>
      <c r="R446" s="472"/>
      <c r="S446" s="466">
        <v>5400</v>
      </c>
      <c r="T446" s="150"/>
      <c r="U446" s="150"/>
      <c r="V446" s="150"/>
      <c r="W446" s="168"/>
      <c r="X446" s="150"/>
      <c r="Y446" s="466"/>
      <c r="Z446" s="455"/>
      <c r="AA446" s="150"/>
      <c r="AB446" s="490"/>
      <c r="AC446" s="150"/>
      <c r="AD446" s="150"/>
      <c r="AE446" s="466">
        <f>25*615</f>
        <v>15375</v>
      </c>
      <c r="AF446" s="499"/>
      <c r="AG446" s="150"/>
      <c r="AH446" s="150"/>
      <c r="AI446" s="150"/>
      <c r="AJ446" s="150"/>
      <c r="AK446" s="150"/>
      <c r="AL446" s="150"/>
      <c r="AM446" s="150"/>
      <c r="AN446" s="466"/>
      <c r="AO446" s="466"/>
      <c r="AP446" s="150"/>
      <c r="AQ446" s="150"/>
      <c r="AR446" s="151"/>
      <c r="AS446" s="456"/>
      <c r="AT446" s="466"/>
      <c r="AU446" s="150"/>
      <c r="AV446" s="487"/>
      <c r="AW446" s="150"/>
      <c r="AX446" s="150"/>
      <c r="AY446" s="466"/>
      <c r="AZ446" s="466"/>
      <c r="BA446" s="150"/>
      <c r="BB446" s="150"/>
      <c r="BC446" s="466"/>
      <c r="BD446" s="466"/>
      <c r="BE446" s="466"/>
      <c r="BF446" s="466"/>
      <c r="BG446" s="150"/>
      <c r="BH446" s="150"/>
      <c r="BI446" s="150"/>
      <c r="BJ446" s="466"/>
      <c r="BK446" s="152"/>
      <c r="BL446" s="160"/>
      <c r="BM446" s="150"/>
      <c r="BN446" s="466"/>
      <c r="BO446" s="150"/>
      <c r="BP446" s="516"/>
      <c r="BQ446" s="160"/>
      <c r="BR446" s="152"/>
      <c r="BS446" s="160"/>
    </row>
    <row r="447" spans="1:71" x14ac:dyDescent="0.3">
      <c r="A447" s="420">
        <f>DL!A444</f>
        <v>406</v>
      </c>
      <c r="B447" s="19" t="s">
        <v>242</v>
      </c>
      <c r="C447" s="149">
        <f>DL!L444</f>
        <v>40</v>
      </c>
      <c r="D447" s="149">
        <f>DL!C444</f>
        <v>10</v>
      </c>
      <c r="E447" s="150">
        <v>9500</v>
      </c>
      <c r="F447" s="463"/>
      <c r="G447" s="150"/>
      <c r="H447" s="150"/>
      <c r="I447" s="466"/>
      <c r="J447" s="150"/>
      <c r="K447" s="168"/>
      <c r="L447" s="466"/>
      <c r="M447" s="150"/>
      <c r="N447" s="466"/>
      <c r="O447" s="150"/>
      <c r="P447" s="150"/>
      <c r="Q447" s="150"/>
      <c r="R447" s="472"/>
      <c r="S447" s="466"/>
      <c r="T447" s="150"/>
      <c r="U447" s="150"/>
      <c r="V447" s="150"/>
      <c r="W447" s="168"/>
      <c r="X447" s="150"/>
      <c r="Y447" s="466"/>
      <c r="Z447" s="455"/>
      <c r="AA447" s="150"/>
      <c r="AB447" s="490"/>
      <c r="AC447" s="150"/>
      <c r="AD447" s="150"/>
      <c r="AE447" s="466"/>
      <c r="AF447" s="499"/>
      <c r="AG447" s="150"/>
      <c r="AH447" s="150"/>
      <c r="AI447" s="150"/>
      <c r="AJ447" s="150"/>
      <c r="AK447" s="150"/>
      <c r="AL447" s="150"/>
      <c r="AM447" s="150"/>
      <c r="AN447" s="466"/>
      <c r="AO447" s="466"/>
      <c r="AP447" s="150"/>
      <c r="AQ447" s="150"/>
      <c r="AR447" s="151"/>
      <c r="AS447" s="456"/>
      <c r="AT447" s="466"/>
      <c r="AU447" s="150"/>
      <c r="AV447" s="487"/>
      <c r="AW447" s="150"/>
      <c r="AX447" s="150"/>
      <c r="AY447" s="466"/>
      <c r="AZ447" s="466"/>
      <c r="BA447" s="150"/>
      <c r="BB447" s="150"/>
      <c r="BC447" s="466"/>
      <c r="BD447" s="466"/>
      <c r="BE447" s="466"/>
      <c r="BF447" s="466"/>
      <c r="BG447" s="150"/>
      <c r="BH447" s="150"/>
      <c r="BI447" s="150"/>
      <c r="BJ447" s="466"/>
      <c r="BK447" s="152"/>
      <c r="BL447" s="160"/>
      <c r="BM447" s="150"/>
      <c r="BN447" s="466"/>
      <c r="BO447" s="150"/>
      <c r="BP447" s="516"/>
      <c r="BQ447" s="160"/>
      <c r="BR447" s="152"/>
      <c r="BS447" s="160"/>
    </row>
    <row r="448" spans="1:71" x14ac:dyDescent="0.3">
      <c r="A448" s="420">
        <f>DL!A445</f>
        <v>407</v>
      </c>
      <c r="B448" s="19" t="s">
        <v>243</v>
      </c>
      <c r="C448" s="149">
        <f>DL!L445</f>
        <v>50</v>
      </c>
      <c r="D448" s="149">
        <f>DL!C445</f>
        <v>10</v>
      </c>
      <c r="E448" s="150">
        <v>18000</v>
      </c>
      <c r="F448" s="463"/>
      <c r="G448" s="150"/>
      <c r="H448" s="150"/>
      <c r="I448" s="466"/>
      <c r="J448" s="150"/>
      <c r="K448" s="168"/>
      <c r="L448" s="466"/>
      <c r="M448" s="150"/>
      <c r="N448" s="466"/>
      <c r="O448" s="150"/>
      <c r="P448" s="150"/>
      <c r="Q448" s="150"/>
      <c r="R448" s="472"/>
      <c r="S448" s="466">
        <v>16900</v>
      </c>
      <c r="T448" s="150"/>
      <c r="U448" s="150"/>
      <c r="V448" s="150"/>
      <c r="W448" s="168"/>
      <c r="X448" s="150"/>
      <c r="Y448" s="466"/>
      <c r="Z448" s="455"/>
      <c r="AA448" s="150"/>
      <c r="AB448" s="490"/>
      <c r="AC448" s="150"/>
      <c r="AD448" s="150"/>
      <c r="AE448" s="466"/>
      <c r="AF448" s="499"/>
      <c r="AG448" s="150"/>
      <c r="AH448" s="150"/>
      <c r="AI448" s="150"/>
      <c r="AJ448" s="150"/>
      <c r="AK448" s="150"/>
      <c r="AL448" s="150"/>
      <c r="AM448" s="150"/>
      <c r="AN448" s="466"/>
      <c r="AO448" s="466"/>
      <c r="AP448" s="150"/>
      <c r="AQ448" s="150"/>
      <c r="AR448" s="151"/>
      <c r="AS448" s="456"/>
      <c r="AT448" s="466"/>
      <c r="AU448" s="150"/>
      <c r="AV448" s="487"/>
      <c r="AW448" s="150"/>
      <c r="AX448" s="150"/>
      <c r="AY448" s="466"/>
      <c r="AZ448" s="466"/>
      <c r="BA448" s="150"/>
      <c r="BB448" s="150"/>
      <c r="BC448" s="466"/>
      <c r="BD448" s="466"/>
      <c r="BE448" s="466"/>
      <c r="BF448" s="466"/>
      <c r="BG448" s="150"/>
      <c r="BH448" s="150"/>
      <c r="BI448" s="150"/>
      <c r="BJ448" s="466"/>
      <c r="BK448" s="152"/>
      <c r="BL448" s="160"/>
      <c r="BM448" s="150"/>
      <c r="BN448" s="466"/>
      <c r="BO448" s="150"/>
      <c r="BP448" s="516"/>
      <c r="BQ448" s="160"/>
      <c r="BR448" s="152"/>
      <c r="BS448" s="160"/>
    </row>
    <row r="449" spans="1:71" x14ac:dyDescent="0.3">
      <c r="A449" s="420">
        <f>DL!A446</f>
        <v>408</v>
      </c>
      <c r="B449" s="19" t="s">
        <v>244</v>
      </c>
      <c r="C449" s="149">
        <v>12</v>
      </c>
      <c r="D449" s="149">
        <f>DL!C446</f>
        <v>100</v>
      </c>
      <c r="E449" s="150">
        <v>65000</v>
      </c>
      <c r="F449" s="463"/>
      <c r="G449" s="150"/>
      <c r="H449" s="150"/>
      <c r="I449" s="466"/>
      <c r="J449" s="150"/>
      <c r="K449" s="168"/>
      <c r="L449" s="466"/>
      <c r="M449" s="150"/>
      <c r="N449" s="466"/>
      <c r="O449" s="150"/>
      <c r="P449" s="150"/>
      <c r="Q449" s="150"/>
      <c r="R449" s="472"/>
      <c r="S449" s="466">
        <v>19500</v>
      </c>
      <c r="T449" s="150"/>
      <c r="U449" s="150"/>
      <c r="V449" s="150"/>
      <c r="W449" s="168"/>
      <c r="X449" s="150"/>
      <c r="Y449" s="466"/>
      <c r="Z449" s="455"/>
      <c r="AA449" s="150"/>
      <c r="AB449" s="490"/>
      <c r="AC449" s="150"/>
      <c r="AD449" s="150"/>
      <c r="AE449" s="466"/>
      <c r="AF449" s="499"/>
      <c r="AG449" s="150"/>
      <c r="AH449" s="150"/>
      <c r="AI449" s="150"/>
      <c r="AJ449" s="150"/>
      <c r="AK449" s="150"/>
      <c r="AL449" s="150"/>
      <c r="AM449" s="150"/>
      <c r="AN449" s="466"/>
      <c r="AO449" s="466"/>
      <c r="AP449" s="150"/>
      <c r="AQ449" s="150"/>
      <c r="AR449" s="151"/>
      <c r="AS449" s="456"/>
      <c r="AT449" s="466"/>
      <c r="AU449" s="150"/>
      <c r="AV449" s="487"/>
      <c r="AW449" s="150"/>
      <c r="AX449" s="150"/>
      <c r="AY449" s="466"/>
      <c r="AZ449" s="466"/>
      <c r="BA449" s="150"/>
      <c r="BB449" s="150"/>
      <c r="BC449" s="466"/>
      <c r="BD449" s="466"/>
      <c r="BE449" s="466"/>
      <c r="BF449" s="466"/>
      <c r="BG449" s="150"/>
      <c r="BH449" s="150"/>
      <c r="BI449" s="150"/>
      <c r="BJ449" s="466"/>
      <c r="BK449" s="152"/>
      <c r="BL449" s="160"/>
      <c r="BM449" s="150"/>
      <c r="BN449" s="466"/>
      <c r="BO449" s="150"/>
      <c r="BP449" s="516"/>
      <c r="BQ449" s="160"/>
      <c r="BR449" s="152"/>
      <c r="BS449" s="160"/>
    </row>
    <row r="450" spans="1:71" x14ac:dyDescent="0.3">
      <c r="A450" s="420">
        <f>DL!A447</f>
        <v>409</v>
      </c>
      <c r="B450" s="19" t="s">
        <v>245</v>
      </c>
      <c r="C450" s="149">
        <f>DL!L447</f>
        <v>800</v>
      </c>
      <c r="D450" s="149" t="str">
        <f>DL!C447</f>
        <v>AMP</v>
      </c>
      <c r="E450" s="150">
        <v>650</v>
      </c>
      <c r="F450" s="463"/>
      <c r="G450" s="150"/>
      <c r="H450" s="150"/>
      <c r="I450" s="466"/>
      <c r="J450" s="150"/>
      <c r="K450" s="168"/>
      <c r="L450" s="466"/>
      <c r="M450" s="150"/>
      <c r="N450" s="466"/>
      <c r="O450" s="150"/>
      <c r="P450" s="150"/>
      <c r="Q450" s="150"/>
      <c r="R450" s="472"/>
      <c r="S450" s="466">
        <v>580</v>
      </c>
      <c r="T450" s="150"/>
      <c r="U450" s="150"/>
      <c r="V450" s="150"/>
      <c r="W450" s="168"/>
      <c r="X450" s="150"/>
      <c r="Y450" s="466"/>
      <c r="Z450" s="455"/>
      <c r="AA450" s="150"/>
      <c r="AB450" s="490"/>
      <c r="AC450" s="150"/>
      <c r="AD450" s="150"/>
      <c r="AE450" s="466"/>
      <c r="AF450" s="499"/>
      <c r="AG450" s="150"/>
      <c r="AH450" s="150"/>
      <c r="AI450" s="150"/>
      <c r="AJ450" s="150"/>
      <c r="AK450" s="150"/>
      <c r="AL450" s="150"/>
      <c r="AM450" s="150"/>
      <c r="AN450" s="466"/>
      <c r="AO450" s="466"/>
      <c r="AP450" s="150"/>
      <c r="AQ450" s="150"/>
      <c r="AR450" s="151"/>
      <c r="AS450" s="456"/>
      <c r="AT450" s="466"/>
      <c r="AU450" s="150"/>
      <c r="AV450" s="487"/>
      <c r="AW450" s="150"/>
      <c r="AX450" s="150"/>
      <c r="AY450" s="466"/>
      <c r="AZ450" s="466"/>
      <c r="BA450" s="150"/>
      <c r="BB450" s="150"/>
      <c r="BC450" s="466"/>
      <c r="BD450" s="466"/>
      <c r="BE450" s="466"/>
      <c r="BF450" s="466"/>
      <c r="BG450" s="150"/>
      <c r="BH450" s="150"/>
      <c r="BI450" s="150"/>
      <c r="BJ450" s="466"/>
      <c r="BK450" s="152"/>
      <c r="BL450" s="160"/>
      <c r="BM450" s="150"/>
      <c r="BN450" s="466"/>
      <c r="BO450" s="150"/>
      <c r="BP450" s="516"/>
      <c r="BQ450" s="160"/>
      <c r="BR450" s="152"/>
      <c r="BS450" s="160"/>
    </row>
    <row r="451" spans="1:71" x14ac:dyDescent="0.3">
      <c r="A451" s="420">
        <f>DL!A448</f>
        <v>410</v>
      </c>
      <c r="B451" s="19" t="s">
        <v>1337</v>
      </c>
      <c r="C451" s="149">
        <f>DL!L448</f>
        <v>800</v>
      </c>
      <c r="D451" s="149" t="str">
        <f>DL!C448</f>
        <v>VIAL</v>
      </c>
      <c r="E451" s="150">
        <v>1850</v>
      </c>
      <c r="F451" s="463"/>
      <c r="G451" s="150"/>
      <c r="H451" s="150"/>
      <c r="I451" s="466"/>
      <c r="J451" s="150"/>
      <c r="K451" s="168"/>
      <c r="L451" s="466"/>
      <c r="M451" s="150"/>
      <c r="N451" s="466"/>
      <c r="O451" s="150"/>
      <c r="P451" s="150"/>
      <c r="Q451" s="150"/>
      <c r="R451" s="472"/>
      <c r="S451" s="466"/>
      <c r="T451" s="150"/>
      <c r="U451" s="150"/>
      <c r="V451" s="150"/>
      <c r="W451" s="168"/>
      <c r="X451" s="150"/>
      <c r="Y451" s="466"/>
      <c r="Z451" s="455"/>
      <c r="AA451" s="150"/>
      <c r="AB451" s="490"/>
      <c r="AC451" s="150"/>
      <c r="AD451" s="150"/>
      <c r="AE451" s="466">
        <v>1008</v>
      </c>
      <c r="AF451" s="499"/>
      <c r="AG451" s="150"/>
      <c r="AH451" s="150"/>
      <c r="AI451" s="150"/>
      <c r="AJ451" s="150"/>
      <c r="AK451" s="150"/>
      <c r="AL451" s="150"/>
      <c r="AM451" s="150"/>
      <c r="AN451" s="466"/>
      <c r="AO451" s="466"/>
      <c r="AP451" s="150"/>
      <c r="AQ451" s="150"/>
      <c r="AR451" s="151"/>
      <c r="AS451" s="456"/>
      <c r="AT451" s="466"/>
      <c r="AU451" s="150"/>
      <c r="AV451" s="487"/>
      <c r="AW451" s="150"/>
      <c r="AX451" s="150"/>
      <c r="AY451" s="466"/>
      <c r="AZ451" s="466"/>
      <c r="BA451" s="150"/>
      <c r="BB451" s="150"/>
      <c r="BC451" s="466"/>
      <c r="BD451" s="466"/>
      <c r="BE451" s="466"/>
      <c r="BF451" s="466"/>
      <c r="BG451" s="150">
        <v>800</v>
      </c>
      <c r="BH451" s="150"/>
      <c r="BI451" s="150"/>
      <c r="BJ451" s="466"/>
      <c r="BK451" s="152"/>
      <c r="BL451" s="160"/>
      <c r="BM451" s="150"/>
      <c r="BN451" s="466"/>
      <c r="BO451" s="150"/>
      <c r="BP451" s="516"/>
      <c r="BQ451" s="160"/>
      <c r="BR451" s="152"/>
      <c r="BS451" s="160"/>
    </row>
    <row r="452" spans="1:71" x14ac:dyDescent="0.3">
      <c r="A452" s="420">
        <f>DL!A449</f>
        <v>411</v>
      </c>
      <c r="B452" s="19" t="s">
        <v>1338</v>
      </c>
      <c r="C452" s="149">
        <f>DL!L449</f>
        <v>60</v>
      </c>
      <c r="D452" s="149" t="str">
        <f>DL!C449</f>
        <v>250ML</v>
      </c>
      <c r="E452" s="150">
        <v>60000</v>
      </c>
      <c r="F452" s="463"/>
      <c r="G452" s="150"/>
      <c r="H452" s="150"/>
      <c r="I452" s="466"/>
      <c r="J452" s="150"/>
      <c r="K452" s="168"/>
      <c r="L452" s="466"/>
      <c r="M452" s="150"/>
      <c r="N452" s="466"/>
      <c r="O452" s="150"/>
      <c r="P452" s="150"/>
      <c r="Q452" s="150"/>
      <c r="R452" s="472"/>
      <c r="S452" s="466"/>
      <c r="T452" s="150"/>
      <c r="U452" s="150"/>
      <c r="V452" s="150"/>
      <c r="W452" s="168"/>
      <c r="X452" s="150"/>
      <c r="Y452" s="466"/>
      <c r="Z452" s="455"/>
      <c r="AA452" s="150"/>
      <c r="AB452" s="490"/>
      <c r="AC452" s="150"/>
      <c r="AD452" s="150"/>
      <c r="AE452" s="466"/>
      <c r="AF452" s="499"/>
      <c r="AG452" s="150"/>
      <c r="AH452" s="150"/>
      <c r="AI452" s="150"/>
      <c r="AJ452" s="150"/>
      <c r="AK452" s="150"/>
      <c r="AL452" s="150"/>
      <c r="AM452" s="150"/>
      <c r="AN452" s="466"/>
      <c r="AO452" s="466"/>
      <c r="AP452" s="150"/>
      <c r="AQ452" s="150"/>
      <c r="AR452" s="151"/>
      <c r="AS452" s="456"/>
      <c r="AT452" s="466"/>
      <c r="AU452" s="150"/>
      <c r="AV452" s="487"/>
      <c r="AW452" s="150"/>
      <c r="AX452" s="150"/>
      <c r="AY452" s="466"/>
      <c r="AZ452" s="466">
        <v>60000</v>
      </c>
      <c r="BA452" s="150"/>
      <c r="BB452" s="150"/>
      <c r="BC452" s="466"/>
      <c r="BD452" s="466"/>
      <c r="BE452" s="466"/>
      <c r="BF452" s="466"/>
      <c r="BG452" s="150"/>
      <c r="BH452" s="150"/>
      <c r="BI452" s="150"/>
      <c r="BJ452" s="466"/>
      <c r="BK452" s="152"/>
      <c r="BL452" s="160"/>
      <c r="BM452" s="150"/>
      <c r="BN452" s="466"/>
      <c r="BO452" s="150"/>
      <c r="BP452" s="516"/>
      <c r="BQ452" s="160"/>
      <c r="BR452" s="152"/>
      <c r="BS452" s="160"/>
    </row>
    <row r="453" spans="1:71" x14ac:dyDescent="0.3">
      <c r="A453" s="420">
        <f>DL!A450</f>
        <v>412</v>
      </c>
      <c r="B453" s="19" t="s">
        <v>758</v>
      </c>
      <c r="C453" s="149">
        <f>DL!L450</f>
        <v>300</v>
      </c>
      <c r="D453" s="149" t="str">
        <f>DL!C450</f>
        <v>VIAL</v>
      </c>
      <c r="E453" s="150"/>
      <c r="F453" s="463"/>
      <c r="G453" s="150"/>
      <c r="H453" s="150"/>
      <c r="I453" s="466"/>
      <c r="J453" s="150"/>
      <c r="K453" s="168"/>
      <c r="L453" s="466"/>
      <c r="M453" s="150"/>
      <c r="N453" s="466"/>
      <c r="O453" s="150"/>
      <c r="P453" s="150"/>
      <c r="Q453" s="150"/>
      <c r="R453" s="472"/>
      <c r="S453" s="466">
        <v>800</v>
      </c>
      <c r="T453" s="150"/>
      <c r="U453" s="150"/>
      <c r="V453" s="150"/>
      <c r="W453" s="168"/>
      <c r="X453" s="150"/>
      <c r="Y453" s="466"/>
      <c r="Z453" s="455"/>
      <c r="AA453" s="150"/>
      <c r="AB453" s="490"/>
      <c r="AC453" s="150"/>
      <c r="AD453" s="150"/>
      <c r="AE453" s="466"/>
      <c r="AF453" s="499"/>
      <c r="AG453" s="150"/>
      <c r="AH453" s="150"/>
      <c r="AI453" s="150"/>
      <c r="AJ453" s="150"/>
      <c r="AK453" s="150"/>
      <c r="AL453" s="150"/>
      <c r="AM453" s="150"/>
      <c r="AN453" s="466"/>
      <c r="AO453" s="466"/>
      <c r="AP453" s="150"/>
      <c r="AQ453" s="150"/>
      <c r="AR453" s="151"/>
      <c r="AS453" s="456"/>
      <c r="AT453" s="466"/>
      <c r="AU453" s="150"/>
      <c r="AV453" s="487"/>
      <c r="AW453" s="150"/>
      <c r="AX453" s="150"/>
      <c r="AY453" s="466"/>
      <c r="AZ453" s="466"/>
      <c r="BA453" s="150"/>
      <c r="BB453" s="150"/>
      <c r="BC453" s="466"/>
      <c r="BD453" s="466"/>
      <c r="BE453" s="466"/>
      <c r="BF453" s="466"/>
      <c r="BG453" s="150"/>
      <c r="BH453" s="150"/>
      <c r="BI453" s="150"/>
      <c r="BJ453" s="466"/>
      <c r="BK453" s="152"/>
      <c r="BL453" s="160"/>
      <c r="BM453" s="150"/>
      <c r="BN453" s="466"/>
      <c r="BO453" s="150"/>
      <c r="BP453" s="516"/>
      <c r="BQ453" s="160"/>
      <c r="BR453" s="152"/>
      <c r="BS453" s="160"/>
    </row>
    <row r="454" spans="1:71" x14ac:dyDescent="0.3">
      <c r="A454" s="420">
        <f>DL!A451</f>
        <v>413</v>
      </c>
      <c r="B454" s="19" t="s">
        <v>246</v>
      </c>
      <c r="C454" s="149">
        <f>DL!L451</f>
        <v>600</v>
      </c>
      <c r="D454" s="149" t="str">
        <f>DL!C451</f>
        <v>AMP</v>
      </c>
      <c r="E454" s="150">
        <v>600</v>
      </c>
      <c r="F454" s="463"/>
      <c r="G454" s="150"/>
      <c r="H454" s="150"/>
      <c r="I454" s="466"/>
      <c r="J454" s="150"/>
      <c r="K454" s="168"/>
      <c r="L454" s="466"/>
      <c r="M454" s="150"/>
      <c r="N454" s="466"/>
      <c r="O454" s="150"/>
      <c r="P454" s="150"/>
      <c r="Q454" s="150"/>
      <c r="R454" s="472"/>
      <c r="S454" s="466">
        <v>600</v>
      </c>
      <c r="T454" s="150"/>
      <c r="U454" s="150"/>
      <c r="V454" s="150"/>
      <c r="W454" s="168"/>
      <c r="X454" s="150"/>
      <c r="Y454" s="466"/>
      <c r="Z454" s="455"/>
      <c r="AA454" s="150"/>
      <c r="AB454" s="490"/>
      <c r="AC454" s="150"/>
      <c r="AD454" s="150"/>
      <c r="AE454" s="466"/>
      <c r="AF454" s="499"/>
      <c r="AG454" s="150"/>
      <c r="AH454" s="150"/>
      <c r="AI454" s="150"/>
      <c r="AJ454" s="150"/>
      <c r="AK454" s="150"/>
      <c r="AL454" s="150"/>
      <c r="AM454" s="150"/>
      <c r="AN454" s="466"/>
      <c r="AO454" s="466"/>
      <c r="AP454" s="150"/>
      <c r="AQ454" s="150"/>
      <c r="AR454" s="151"/>
      <c r="AS454" s="456"/>
      <c r="AT454" s="466"/>
      <c r="AU454" s="150"/>
      <c r="AV454" s="487"/>
      <c r="AW454" s="150"/>
      <c r="AX454" s="150"/>
      <c r="AY454" s="466"/>
      <c r="AZ454" s="466"/>
      <c r="BA454" s="150"/>
      <c r="BB454" s="150"/>
      <c r="BC454" s="466"/>
      <c r="BD454" s="466"/>
      <c r="BE454" s="466"/>
      <c r="BF454" s="466"/>
      <c r="BG454" s="150"/>
      <c r="BH454" s="150"/>
      <c r="BI454" s="150"/>
      <c r="BJ454" s="466"/>
      <c r="BK454" s="152"/>
      <c r="BL454" s="160"/>
      <c r="BM454" s="150"/>
      <c r="BN454" s="466"/>
      <c r="BO454" s="150"/>
      <c r="BP454" s="516"/>
      <c r="BQ454" s="160"/>
      <c r="BR454" s="152"/>
      <c r="BS454" s="160"/>
    </row>
    <row r="455" spans="1:71" x14ac:dyDescent="0.3">
      <c r="A455" s="420">
        <f>DL!A452</f>
        <v>414</v>
      </c>
      <c r="B455" s="19" t="s">
        <v>247</v>
      </c>
      <c r="C455" s="149">
        <v>1200</v>
      </c>
      <c r="D455" s="149" t="str">
        <f>DL!C452</f>
        <v>VIAL</v>
      </c>
      <c r="E455" s="150">
        <v>1000</v>
      </c>
      <c r="F455" s="463"/>
      <c r="G455" s="150"/>
      <c r="H455" s="150"/>
      <c r="I455" s="466"/>
      <c r="J455" s="150"/>
      <c r="K455" s="168"/>
      <c r="L455" s="466"/>
      <c r="M455" s="150"/>
      <c r="N455" s="466"/>
      <c r="O455" s="150"/>
      <c r="P455" s="150"/>
      <c r="Q455" s="150"/>
      <c r="R455" s="472"/>
      <c r="S455" s="466">
        <v>1200</v>
      </c>
      <c r="T455" s="150"/>
      <c r="U455" s="150"/>
      <c r="V455" s="150"/>
      <c r="W455" s="168"/>
      <c r="X455" s="150"/>
      <c r="Y455" s="466"/>
      <c r="Z455" s="455"/>
      <c r="AA455" s="150"/>
      <c r="AB455" s="490"/>
      <c r="AC455" s="150"/>
      <c r="AD455" s="150"/>
      <c r="AE455" s="466">
        <v>290</v>
      </c>
      <c r="AF455" s="499"/>
      <c r="AG455" s="150"/>
      <c r="AH455" s="150"/>
      <c r="AI455" s="150"/>
      <c r="AJ455" s="150"/>
      <c r="AK455" s="150"/>
      <c r="AL455" s="150"/>
      <c r="AM455" s="150"/>
      <c r="AN455" s="466"/>
      <c r="AO455" s="466"/>
      <c r="AP455" s="150"/>
      <c r="AQ455" s="150"/>
      <c r="AR455" s="151"/>
      <c r="AS455" s="456"/>
      <c r="AT455" s="466"/>
      <c r="AU455" s="150"/>
      <c r="AV455" s="487"/>
      <c r="AW455" s="150"/>
      <c r="AX455" s="150"/>
      <c r="AY455" s="466"/>
      <c r="AZ455" s="466"/>
      <c r="BA455" s="150"/>
      <c r="BB455" s="150"/>
      <c r="BC455" s="466"/>
      <c r="BD455" s="466"/>
      <c r="BE455" s="466"/>
      <c r="BF455" s="466"/>
      <c r="BG455" s="150"/>
      <c r="BH455" s="150"/>
      <c r="BI455" s="150"/>
      <c r="BJ455" s="466"/>
      <c r="BK455" s="152"/>
      <c r="BL455" s="160"/>
      <c r="BM455" s="150"/>
      <c r="BN455" s="466"/>
      <c r="BO455" s="150"/>
      <c r="BP455" s="516"/>
      <c r="BQ455" s="160"/>
      <c r="BR455" s="152"/>
      <c r="BS455" s="160"/>
    </row>
    <row r="456" spans="1:71" x14ac:dyDescent="0.3">
      <c r="A456" s="420">
        <f>DL!A453</f>
        <v>415</v>
      </c>
      <c r="B456" s="19" t="s">
        <v>248</v>
      </c>
      <c r="C456" s="149">
        <f>DL!L453</f>
        <v>400</v>
      </c>
      <c r="D456" s="149" t="str">
        <f>DL!C453</f>
        <v>VIAL</v>
      </c>
      <c r="E456" s="150"/>
      <c r="F456" s="463"/>
      <c r="G456" s="150"/>
      <c r="H456" s="150"/>
      <c r="I456" s="466"/>
      <c r="J456" s="150"/>
      <c r="K456" s="168"/>
      <c r="L456" s="466"/>
      <c r="M456" s="150"/>
      <c r="N456" s="466"/>
      <c r="O456" s="150"/>
      <c r="P456" s="150"/>
      <c r="Q456" s="150"/>
      <c r="R456" s="472"/>
      <c r="S456" s="466"/>
      <c r="T456" s="150"/>
      <c r="U456" s="150"/>
      <c r="V456" s="150"/>
      <c r="W456" s="168"/>
      <c r="X456" s="150"/>
      <c r="Y456" s="466"/>
      <c r="Z456" s="455"/>
      <c r="AA456" s="150"/>
      <c r="AB456" s="490"/>
      <c r="AC456" s="150"/>
      <c r="AD456" s="150"/>
      <c r="AE456" s="466"/>
      <c r="AF456" s="499"/>
      <c r="AG456" s="150"/>
      <c r="AH456" s="150"/>
      <c r="AI456" s="150"/>
      <c r="AJ456" s="150"/>
      <c r="AK456" s="150"/>
      <c r="AL456" s="150"/>
      <c r="AM456" s="150"/>
      <c r="AN456" s="466"/>
      <c r="AO456" s="466"/>
      <c r="AP456" s="150"/>
      <c r="AQ456" s="150"/>
      <c r="AR456" s="151"/>
      <c r="AS456" s="456"/>
      <c r="AT456" s="466"/>
      <c r="AU456" s="150"/>
      <c r="AV456" s="487"/>
      <c r="AW456" s="150"/>
      <c r="AX456" s="150"/>
      <c r="AY456" s="466"/>
      <c r="AZ456" s="466"/>
      <c r="BA456" s="150"/>
      <c r="BB456" s="150"/>
      <c r="BC456" s="466"/>
      <c r="BD456" s="466"/>
      <c r="BE456" s="466"/>
      <c r="BF456" s="466"/>
      <c r="BG456" s="150"/>
      <c r="BH456" s="150"/>
      <c r="BI456" s="150"/>
      <c r="BJ456" s="466"/>
      <c r="BK456" s="152"/>
      <c r="BL456" s="160"/>
      <c r="BM456" s="150"/>
      <c r="BN456" s="466"/>
      <c r="BO456" s="150"/>
      <c r="BP456" s="516"/>
      <c r="BQ456" s="160"/>
      <c r="BR456" s="152"/>
      <c r="BS456" s="160"/>
    </row>
    <row r="457" spans="1:71" x14ac:dyDescent="0.3">
      <c r="A457" s="420"/>
      <c r="B457" s="19"/>
      <c r="C457" s="149">
        <f>DL!L454</f>
        <v>0</v>
      </c>
      <c r="D457" s="149">
        <f>DL!C454</f>
        <v>0</v>
      </c>
      <c r="E457" s="150"/>
      <c r="F457" s="463"/>
      <c r="G457" s="150"/>
      <c r="H457" s="150"/>
      <c r="I457" s="466"/>
      <c r="J457" s="150"/>
      <c r="K457" s="168"/>
      <c r="L457" s="466"/>
      <c r="M457" s="150"/>
      <c r="N457" s="466"/>
      <c r="O457" s="150"/>
      <c r="P457" s="150"/>
      <c r="Q457" s="150"/>
      <c r="R457" s="472"/>
      <c r="S457" s="466"/>
      <c r="T457" s="150"/>
      <c r="U457" s="150"/>
      <c r="V457" s="150"/>
      <c r="W457" s="168"/>
      <c r="X457" s="150"/>
      <c r="Y457" s="466"/>
      <c r="Z457" s="455"/>
      <c r="AA457" s="150"/>
      <c r="AB457" s="490"/>
      <c r="AC457" s="150"/>
      <c r="AD457" s="150"/>
      <c r="AE457" s="466"/>
      <c r="AF457" s="499"/>
      <c r="AG457" s="150"/>
      <c r="AH457" s="150"/>
      <c r="AI457" s="150"/>
      <c r="AJ457" s="150"/>
      <c r="AK457" s="150"/>
      <c r="AL457" s="150"/>
      <c r="AM457" s="150"/>
      <c r="AN457" s="466"/>
      <c r="AO457" s="466"/>
      <c r="AP457" s="150"/>
      <c r="AQ457" s="150"/>
      <c r="AR457" s="151"/>
      <c r="AS457" s="456"/>
      <c r="AT457" s="466"/>
      <c r="AU457" s="150"/>
      <c r="AV457" s="487"/>
      <c r="AW457" s="150"/>
      <c r="AX457" s="150"/>
      <c r="AY457" s="466"/>
      <c r="AZ457" s="466"/>
      <c r="BA457" s="150"/>
      <c r="BB457" s="150"/>
      <c r="BC457" s="466"/>
      <c r="BD457" s="466"/>
      <c r="BE457" s="466"/>
      <c r="BF457" s="466"/>
      <c r="BG457" s="150"/>
      <c r="BH457" s="150"/>
      <c r="BI457" s="150"/>
      <c r="BJ457" s="466"/>
      <c r="BK457" s="152"/>
      <c r="BL457" s="160"/>
      <c r="BM457" s="150"/>
      <c r="BN457" s="466"/>
      <c r="BO457" s="150"/>
      <c r="BP457" s="516"/>
      <c r="BQ457" s="160"/>
      <c r="BR457" s="152"/>
      <c r="BS457" s="160"/>
    </row>
    <row r="458" spans="1:71" x14ac:dyDescent="0.3">
      <c r="A458" s="420"/>
      <c r="B458" s="16" t="s">
        <v>249</v>
      </c>
      <c r="C458" s="149">
        <f>DL!L455</f>
        <v>0</v>
      </c>
      <c r="D458" s="149">
        <f>DL!C455</f>
        <v>0</v>
      </c>
      <c r="E458" s="150"/>
      <c r="F458" s="463"/>
      <c r="G458" s="150"/>
      <c r="H458" s="150"/>
      <c r="I458" s="466"/>
      <c r="J458" s="150"/>
      <c r="K458" s="168"/>
      <c r="L458" s="466"/>
      <c r="M458" s="150"/>
      <c r="N458" s="466"/>
      <c r="O458" s="150"/>
      <c r="P458" s="150"/>
      <c r="Q458" s="150"/>
      <c r="R458" s="472"/>
      <c r="S458" s="466"/>
      <c r="T458" s="150"/>
      <c r="U458" s="150"/>
      <c r="V458" s="150"/>
      <c r="W458" s="168"/>
      <c r="X458" s="150"/>
      <c r="Y458" s="466"/>
      <c r="Z458" s="455"/>
      <c r="AA458" s="150"/>
      <c r="AB458" s="490"/>
      <c r="AC458" s="150"/>
      <c r="AD458" s="150"/>
      <c r="AE458" s="466"/>
      <c r="AF458" s="499"/>
      <c r="AG458" s="150"/>
      <c r="AH458" s="150"/>
      <c r="AI458" s="150"/>
      <c r="AJ458" s="150"/>
      <c r="AK458" s="150"/>
      <c r="AL458" s="150"/>
      <c r="AM458" s="150"/>
      <c r="AN458" s="466"/>
      <c r="AO458" s="466"/>
      <c r="AP458" s="150"/>
      <c r="AQ458" s="150"/>
      <c r="AR458" s="151"/>
      <c r="AS458" s="456"/>
      <c r="AT458" s="466"/>
      <c r="AU458" s="150"/>
      <c r="AV458" s="487"/>
      <c r="AW458" s="150"/>
      <c r="AX458" s="150"/>
      <c r="AY458" s="466"/>
      <c r="AZ458" s="466"/>
      <c r="BA458" s="150"/>
      <c r="BB458" s="150"/>
      <c r="BC458" s="466"/>
      <c r="BD458" s="466"/>
      <c r="BE458" s="466"/>
      <c r="BF458" s="466"/>
      <c r="BG458" s="150"/>
      <c r="BH458" s="150"/>
      <c r="BI458" s="150"/>
      <c r="BJ458" s="466"/>
      <c r="BK458" s="152"/>
      <c r="BL458" s="160"/>
      <c r="BM458" s="150"/>
      <c r="BN458" s="466"/>
      <c r="BO458" s="150"/>
      <c r="BP458" s="516"/>
      <c r="BQ458" s="160"/>
      <c r="BR458" s="152"/>
      <c r="BS458" s="160"/>
    </row>
    <row r="459" spans="1:71" x14ac:dyDescent="0.3">
      <c r="A459" s="420">
        <f>DL!A456</f>
        <v>416</v>
      </c>
      <c r="B459" s="19" t="s">
        <v>250</v>
      </c>
      <c r="C459" s="149">
        <f>DL!L456</f>
        <v>40</v>
      </c>
      <c r="D459" s="149" t="str">
        <f>DL!C456</f>
        <v>VIAL</v>
      </c>
      <c r="E459" s="150">
        <v>23500</v>
      </c>
      <c r="F459" s="463"/>
      <c r="G459" s="150">
        <v>19500</v>
      </c>
      <c r="H459" s="150"/>
      <c r="I459" s="466"/>
      <c r="J459" s="150"/>
      <c r="K459" s="168"/>
      <c r="L459" s="466"/>
      <c r="M459" s="150"/>
      <c r="N459" s="466"/>
      <c r="O459" s="150"/>
      <c r="P459" s="150"/>
      <c r="Q459" s="150"/>
      <c r="R459" s="472"/>
      <c r="S459" s="466"/>
      <c r="T459" s="150"/>
      <c r="U459" s="150"/>
      <c r="V459" s="150"/>
      <c r="W459" s="168"/>
      <c r="X459" s="150"/>
      <c r="Y459" s="466"/>
      <c r="Z459" s="455"/>
      <c r="AA459" s="150"/>
      <c r="AB459" s="490"/>
      <c r="AC459" s="150"/>
      <c r="AD459" s="150"/>
      <c r="AE459" s="466"/>
      <c r="AF459" s="499"/>
      <c r="AG459" s="150"/>
      <c r="AH459" s="150"/>
      <c r="AI459" s="150"/>
      <c r="AJ459" s="150"/>
      <c r="AK459" s="150"/>
      <c r="AL459" s="150"/>
      <c r="AM459" s="150"/>
      <c r="AN459" s="466"/>
      <c r="AO459" s="466"/>
      <c r="AP459" s="150"/>
      <c r="AQ459" s="150"/>
      <c r="AR459" s="151"/>
      <c r="AS459" s="456"/>
      <c r="AT459" s="466"/>
      <c r="AU459" s="150"/>
      <c r="AV459" s="487"/>
      <c r="AW459" s="150"/>
      <c r="AX459" s="150"/>
      <c r="AY459" s="466"/>
      <c r="AZ459" s="466"/>
      <c r="BA459" s="150"/>
      <c r="BB459" s="150"/>
      <c r="BC459" s="466"/>
      <c r="BD459" s="466"/>
      <c r="BE459" s="466"/>
      <c r="BF459" s="466"/>
      <c r="BG459" s="150"/>
      <c r="BH459" s="150"/>
      <c r="BI459" s="150"/>
      <c r="BJ459" s="466"/>
      <c r="BK459" s="152"/>
      <c r="BL459" s="160"/>
      <c r="BM459" s="150"/>
      <c r="BN459" s="466"/>
      <c r="BO459" s="150"/>
      <c r="BP459" s="516"/>
      <c r="BQ459" s="160"/>
      <c r="BR459" s="152"/>
      <c r="BS459" s="160"/>
    </row>
    <row r="460" spans="1:71" x14ac:dyDescent="0.3">
      <c r="A460" s="420">
        <f>DL!A457</f>
        <v>417</v>
      </c>
      <c r="B460" s="19" t="s">
        <v>251</v>
      </c>
      <c r="C460" s="149">
        <f>DL!L457</f>
        <v>24</v>
      </c>
      <c r="D460" s="149" t="str">
        <f>DL!C457</f>
        <v>VIAL</v>
      </c>
      <c r="E460" s="150"/>
      <c r="F460" s="463"/>
      <c r="G460" s="150"/>
      <c r="H460" s="150"/>
      <c r="I460" s="466"/>
      <c r="J460" s="150"/>
      <c r="K460" s="168"/>
      <c r="L460" s="466"/>
      <c r="M460" s="150"/>
      <c r="N460" s="466"/>
      <c r="O460" s="150"/>
      <c r="P460" s="150"/>
      <c r="Q460" s="150"/>
      <c r="R460" s="472"/>
      <c r="S460" s="466"/>
      <c r="T460" s="150"/>
      <c r="U460" s="150"/>
      <c r="V460" s="150"/>
      <c r="W460" s="168"/>
      <c r="X460" s="150"/>
      <c r="Y460" s="466"/>
      <c r="Z460" s="455"/>
      <c r="AA460" s="150"/>
      <c r="AB460" s="490"/>
      <c r="AC460" s="150"/>
      <c r="AD460" s="150"/>
      <c r="AE460" s="466"/>
      <c r="AF460" s="499"/>
      <c r="AG460" s="150"/>
      <c r="AH460" s="150"/>
      <c r="AI460" s="150"/>
      <c r="AJ460" s="150"/>
      <c r="AK460" s="150"/>
      <c r="AL460" s="150"/>
      <c r="AM460" s="150"/>
      <c r="AN460" s="466"/>
      <c r="AO460" s="466"/>
      <c r="AP460" s="150"/>
      <c r="AQ460" s="150"/>
      <c r="AR460" s="151"/>
      <c r="AS460" s="456"/>
      <c r="AT460" s="466"/>
      <c r="AU460" s="150"/>
      <c r="AV460" s="487"/>
      <c r="AW460" s="150"/>
      <c r="AX460" s="150"/>
      <c r="AY460" s="466"/>
      <c r="AZ460" s="466">
        <v>25000</v>
      </c>
      <c r="BA460" s="150"/>
      <c r="BB460" s="150"/>
      <c r="BC460" s="466"/>
      <c r="BD460" s="466"/>
      <c r="BE460" s="466"/>
      <c r="BF460" s="466"/>
      <c r="BG460" s="150"/>
      <c r="BH460" s="150"/>
      <c r="BI460" s="150"/>
      <c r="BJ460" s="466"/>
      <c r="BK460" s="152"/>
      <c r="BL460" s="160"/>
      <c r="BM460" s="150"/>
      <c r="BN460" s="466"/>
      <c r="BO460" s="150"/>
      <c r="BP460" s="516"/>
      <c r="BQ460" s="160"/>
      <c r="BR460" s="152"/>
      <c r="BS460" s="160"/>
    </row>
    <row r="461" spans="1:71" x14ac:dyDescent="0.3">
      <c r="A461" s="420">
        <f>DL!A458</f>
        <v>418</v>
      </c>
      <c r="B461" s="19" t="s">
        <v>252</v>
      </c>
      <c r="C461" s="149">
        <f>DL!L458</f>
        <v>10</v>
      </c>
      <c r="D461" s="149">
        <f>DL!C458</f>
        <v>10</v>
      </c>
      <c r="E461" s="150"/>
      <c r="F461" s="463"/>
      <c r="G461" s="150"/>
      <c r="H461" s="150"/>
      <c r="I461" s="466"/>
      <c r="J461" s="150"/>
      <c r="K461" s="168"/>
      <c r="L461" s="466"/>
      <c r="M461" s="150"/>
      <c r="N461" s="466"/>
      <c r="O461" s="150"/>
      <c r="P461" s="150"/>
      <c r="Q461" s="150"/>
      <c r="R461" s="472"/>
      <c r="S461" s="466"/>
      <c r="T461" s="150"/>
      <c r="U461" s="150"/>
      <c r="V461" s="150"/>
      <c r="W461" s="168"/>
      <c r="X461" s="150"/>
      <c r="Y461" s="466"/>
      <c r="Z461" s="455"/>
      <c r="AA461" s="150"/>
      <c r="AB461" s="490"/>
      <c r="AC461" s="150"/>
      <c r="AD461" s="150"/>
      <c r="AE461" s="466"/>
      <c r="AF461" s="499"/>
      <c r="AG461" s="150"/>
      <c r="AH461" s="150"/>
      <c r="AI461" s="150"/>
      <c r="AJ461" s="150"/>
      <c r="AK461" s="150"/>
      <c r="AL461" s="150"/>
      <c r="AM461" s="150"/>
      <c r="AN461" s="466"/>
      <c r="AO461" s="466"/>
      <c r="AP461" s="150"/>
      <c r="AQ461" s="150"/>
      <c r="AR461" s="151"/>
      <c r="AS461" s="456"/>
      <c r="AT461" s="466"/>
      <c r="AU461" s="150"/>
      <c r="AV461" s="487"/>
      <c r="AW461" s="150"/>
      <c r="AX461" s="150"/>
      <c r="AY461" s="466"/>
      <c r="AZ461" s="466"/>
      <c r="BA461" s="150"/>
      <c r="BB461" s="150"/>
      <c r="BC461" s="466"/>
      <c r="BD461" s="466"/>
      <c r="BE461" s="466"/>
      <c r="BF461" s="466"/>
      <c r="BG461" s="150"/>
      <c r="BH461" s="150"/>
      <c r="BI461" s="150"/>
      <c r="BJ461" s="466"/>
      <c r="BK461" s="152"/>
      <c r="BL461" s="160"/>
      <c r="BM461" s="150"/>
      <c r="BN461" s="466"/>
      <c r="BO461" s="150"/>
      <c r="BP461" s="516"/>
      <c r="BQ461" s="160"/>
      <c r="BR461" s="152"/>
      <c r="BS461" s="160"/>
    </row>
    <row r="462" spans="1:71" x14ac:dyDescent="0.3">
      <c r="A462" s="420">
        <f>DL!A459</f>
        <v>419</v>
      </c>
      <c r="B462" s="19" t="s">
        <v>253</v>
      </c>
      <c r="C462" s="149">
        <v>20</v>
      </c>
      <c r="D462" s="149">
        <f>DL!C459</f>
        <v>100</v>
      </c>
      <c r="E462" s="150"/>
      <c r="F462" s="463"/>
      <c r="G462" s="150"/>
      <c r="H462" s="150"/>
      <c r="I462" s="466"/>
      <c r="J462" s="150"/>
      <c r="K462" s="168"/>
      <c r="L462" s="466"/>
      <c r="M462" s="150"/>
      <c r="N462" s="466"/>
      <c r="O462" s="150"/>
      <c r="P462" s="150"/>
      <c r="Q462" s="150"/>
      <c r="R462" s="472"/>
      <c r="S462" s="466">
        <v>20000</v>
      </c>
      <c r="T462" s="150"/>
      <c r="U462" s="150"/>
      <c r="V462" s="150"/>
      <c r="W462" s="168"/>
      <c r="X462" s="150"/>
      <c r="Y462" s="466"/>
      <c r="Z462" s="455"/>
      <c r="AA462" s="150"/>
      <c r="AB462" s="490"/>
      <c r="AC462" s="150"/>
      <c r="AD462" s="150"/>
      <c r="AE462" s="466"/>
      <c r="AF462" s="499"/>
      <c r="AG462" s="150"/>
      <c r="AH462" s="150"/>
      <c r="AI462" s="150"/>
      <c r="AJ462" s="150"/>
      <c r="AK462" s="150"/>
      <c r="AL462" s="150"/>
      <c r="AM462" s="150"/>
      <c r="AN462" s="466"/>
      <c r="AO462" s="466"/>
      <c r="AP462" s="150"/>
      <c r="AQ462" s="150"/>
      <c r="AR462" s="151"/>
      <c r="AS462" s="456"/>
      <c r="AT462" s="466"/>
      <c r="AU462" s="150"/>
      <c r="AV462" s="487"/>
      <c r="AW462" s="150"/>
      <c r="AX462" s="150"/>
      <c r="AY462" s="466"/>
      <c r="AZ462" s="466"/>
      <c r="BA462" s="150"/>
      <c r="BB462" s="150"/>
      <c r="BC462" s="466"/>
      <c r="BD462" s="466"/>
      <c r="BE462" s="466"/>
      <c r="BF462" s="466"/>
      <c r="BG462" s="150"/>
      <c r="BH462" s="150"/>
      <c r="BI462" s="150"/>
      <c r="BJ462" s="466"/>
      <c r="BK462" s="152"/>
      <c r="BL462" s="160"/>
      <c r="BM462" s="150"/>
      <c r="BN462" s="466"/>
      <c r="BO462" s="150"/>
      <c r="BP462" s="516"/>
      <c r="BQ462" s="160"/>
      <c r="BR462" s="152"/>
      <c r="BS462" s="160"/>
    </row>
    <row r="463" spans="1:71" x14ac:dyDescent="0.3">
      <c r="A463" s="420">
        <f>DL!A460</f>
        <v>420</v>
      </c>
      <c r="B463" s="19" t="s">
        <v>466</v>
      </c>
      <c r="C463" s="149">
        <f>DL!L460</f>
        <v>8</v>
      </c>
      <c r="D463" s="149" t="str">
        <f>DL!C460</f>
        <v>VIAL</v>
      </c>
      <c r="E463" s="150"/>
      <c r="F463" s="463"/>
      <c r="G463" s="150"/>
      <c r="H463" s="150"/>
      <c r="I463" s="466"/>
      <c r="J463" s="150"/>
      <c r="K463" s="168"/>
      <c r="L463" s="466"/>
      <c r="M463" s="150"/>
      <c r="N463" s="466"/>
      <c r="O463" s="150"/>
      <c r="P463" s="150"/>
      <c r="Q463" s="150"/>
      <c r="R463" s="472"/>
      <c r="S463" s="466"/>
      <c r="T463" s="150"/>
      <c r="U463" s="150"/>
      <c r="V463" s="150"/>
      <c r="W463" s="168"/>
      <c r="X463" s="150"/>
      <c r="Y463" s="466"/>
      <c r="Z463" s="455"/>
      <c r="AA463" s="150"/>
      <c r="AB463" s="490"/>
      <c r="AC463" s="150"/>
      <c r="AD463" s="150"/>
      <c r="AE463" s="466"/>
      <c r="AF463" s="499"/>
      <c r="AG463" s="150"/>
      <c r="AH463" s="150"/>
      <c r="AI463" s="150"/>
      <c r="AJ463" s="150"/>
      <c r="AK463" s="150"/>
      <c r="AL463" s="150"/>
      <c r="AM463" s="150"/>
      <c r="AN463" s="466"/>
      <c r="AO463" s="466"/>
      <c r="AP463" s="150"/>
      <c r="AQ463" s="150"/>
      <c r="AR463" s="151"/>
      <c r="AS463" s="456"/>
      <c r="AT463" s="466"/>
      <c r="AU463" s="150"/>
      <c r="AV463" s="487"/>
      <c r="AW463" s="150"/>
      <c r="AX463" s="150"/>
      <c r="AY463" s="466"/>
      <c r="AZ463" s="466">
        <v>50000</v>
      </c>
      <c r="BA463" s="150"/>
      <c r="BB463" s="150"/>
      <c r="BC463" s="466"/>
      <c r="BD463" s="466"/>
      <c r="BE463" s="466"/>
      <c r="BF463" s="466"/>
      <c r="BG463" s="150"/>
      <c r="BH463" s="150"/>
      <c r="BI463" s="150"/>
      <c r="BJ463" s="466"/>
      <c r="BK463" s="152"/>
      <c r="BL463" s="160"/>
      <c r="BM463" s="150"/>
      <c r="BN463" s="466"/>
      <c r="BO463" s="150"/>
      <c r="BP463" s="516">
        <v>8000</v>
      </c>
      <c r="BQ463" s="160"/>
      <c r="BR463" s="152"/>
      <c r="BS463" s="160"/>
    </row>
    <row r="464" spans="1:71" x14ac:dyDescent="0.3">
      <c r="A464" s="420">
        <f>DL!A461</f>
        <v>421</v>
      </c>
      <c r="B464" s="19" t="s">
        <v>465</v>
      </c>
      <c r="C464" s="149">
        <v>120</v>
      </c>
      <c r="D464" s="149" t="str">
        <f>DL!C461</f>
        <v>VIAL</v>
      </c>
      <c r="E464" s="150"/>
      <c r="F464" s="463"/>
      <c r="G464" s="150"/>
      <c r="H464" s="150"/>
      <c r="I464" s="466"/>
      <c r="J464" s="150"/>
      <c r="K464" s="168"/>
      <c r="L464" s="466"/>
      <c r="M464" s="150"/>
      <c r="N464" s="466"/>
      <c r="O464" s="150"/>
      <c r="P464" s="150"/>
      <c r="Q464" s="150"/>
      <c r="R464" s="472"/>
      <c r="S464" s="466">
        <v>2400</v>
      </c>
      <c r="T464" s="150"/>
      <c r="U464" s="150"/>
      <c r="V464" s="150"/>
      <c r="W464" s="168"/>
      <c r="X464" s="150"/>
      <c r="Y464" s="466"/>
      <c r="Z464" s="455"/>
      <c r="AA464" s="150"/>
      <c r="AB464" s="490"/>
      <c r="AC464" s="150"/>
      <c r="AD464" s="150"/>
      <c r="AE464" s="466"/>
      <c r="AF464" s="499"/>
      <c r="AG464" s="150"/>
      <c r="AH464" s="150"/>
      <c r="AI464" s="150"/>
      <c r="AJ464" s="150"/>
      <c r="AK464" s="150"/>
      <c r="AL464" s="150"/>
      <c r="AM464" s="150"/>
      <c r="AN464" s="466"/>
      <c r="AO464" s="466"/>
      <c r="AP464" s="150"/>
      <c r="AQ464" s="150"/>
      <c r="AR464" s="151"/>
      <c r="AS464" s="456"/>
      <c r="AT464" s="466"/>
      <c r="AU464" s="150"/>
      <c r="AV464" s="487"/>
      <c r="AW464" s="150"/>
      <c r="AX464" s="150"/>
      <c r="AY464" s="466"/>
      <c r="AZ464" s="466">
        <v>4400</v>
      </c>
      <c r="BA464" s="150"/>
      <c r="BB464" s="150"/>
      <c r="BC464" s="466"/>
      <c r="BD464" s="466"/>
      <c r="BE464" s="466"/>
      <c r="BF464" s="466"/>
      <c r="BG464" s="150"/>
      <c r="BH464" s="150"/>
      <c r="BI464" s="150"/>
      <c r="BJ464" s="466"/>
      <c r="BK464" s="152"/>
      <c r="BL464" s="160"/>
      <c r="BM464" s="150"/>
      <c r="BN464" s="466"/>
      <c r="BO464" s="150"/>
      <c r="BP464" s="516"/>
      <c r="BQ464" s="160"/>
      <c r="BR464" s="152"/>
      <c r="BS464" s="160"/>
    </row>
    <row r="465" spans="1:71" x14ac:dyDescent="0.3">
      <c r="A465" s="420">
        <f>DL!A462</f>
        <v>422</v>
      </c>
      <c r="B465" s="19" t="s">
        <v>254</v>
      </c>
      <c r="C465" s="149">
        <f>DL!L462</f>
        <v>10</v>
      </c>
      <c r="D465" s="149" t="str">
        <f>DL!C462</f>
        <v>VIAL</v>
      </c>
      <c r="E465" s="150"/>
      <c r="F465" s="463"/>
      <c r="G465" s="150"/>
      <c r="H465" s="150"/>
      <c r="I465" s="466"/>
      <c r="J465" s="150"/>
      <c r="K465" s="168"/>
      <c r="L465" s="466"/>
      <c r="M465" s="150"/>
      <c r="N465" s="466"/>
      <c r="O465" s="150"/>
      <c r="P465" s="150"/>
      <c r="Q465" s="150"/>
      <c r="R465" s="472"/>
      <c r="S465" s="466"/>
      <c r="T465" s="150"/>
      <c r="U465" s="150"/>
      <c r="V465" s="150"/>
      <c r="W465" s="168"/>
      <c r="X465" s="150"/>
      <c r="Y465" s="466"/>
      <c r="Z465" s="455"/>
      <c r="AA465" s="150"/>
      <c r="AB465" s="490"/>
      <c r="AC465" s="150"/>
      <c r="AD465" s="150"/>
      <c r="AE465" s="466"/>
      <c r="AF465" s="499"/>
      <c r="AG465" s="150"/>
      <c r="AH465" s="150"/>
      <c r="AI465" s="150"/>
      <c r="AJ465" s="150"/>
      <c r="AK465" s="150"/>
      <c r="AL465" s="150"/>
      <c r="AM465" s="150"/>
      <c r="AN465" s="466"/>
      <c r="AO465" s="466"/>
      <c r="AP465" s="150"/>
      <c r="AQ465" s="150"/>
      <c r="AR465" s="151"/>
      <c r="AS465" s="456"/>
      <c r="AT465" s="466"/>
      <c r="AU465" s="150"/>
      <c r="AV465" s="487"/>
      <c r="AW465" s="150"/>
      <c r="AX465" s="150"/>
      <c r="AY465" s="466"/>
      <c r="AZ465" s="466"/>
      <c r="BA465" s="150"/>
      <c r="BB465" s="150"/>
      <c r="BC465" s="466"/>
      <c r="BD465" s="466"/>
      <c r="BE465" s="466"/>
      <c r="BF465" s="466"/>
      <c r="BG465" s="150"/>
      <c r="BH465" s="150"/>
      <c r="BI465" s="150"/>
      <c r="BJ465" s="466"/>
      <c r="BK465" s="152"/>
      <c r="BL465" s="160"/>
      <c r="BM465" s="150"/>
      <c r="BN465" s="466"/>
      <c r="BO465" s="150"/>
      <c r="BP465" s="516"/>
      <c r="BQ465" s="160"/>
      <c r="BR465" s="152"/>
      <c r="BS465" s="160"/>
    </row>
    <row r="466" spans="1:71" x14ac:dyDescent="0.3">
      <c r="A466" s="420">
        <f>DL!A463</f>
        <v>423</v>
      </c>
      <c r="B466" s="19" t="s">
        <v>255</v>
      </c>
      <c r="C466" s="149">
        <f>DL!L463</f>
        <v>24</v>
      </c>
      <c r="D466" s="149">
        <f>DL!C463</f>
        <v>100</v>
      </c>
      <c r="E466" s="150"/>
      <c r="F466" s="463"/>
      <c r="G466" s="150"/>
      <c r="H466" s="150"/>
      <c r="I466" s="466"/>
      <c r="J466" s="150"/>
      <c r="K466" s="168"/>
      <c r="L466" s="466"/>
      <c r="M466" s="150"/>
      <c r="N466" s="466"/>
      <c r="O466" s="150"/>
      <c r="P466" s="150"/>
      <c r="Q466" s="150"/>
      <c r="R466" s="472"/>
      <c r="S466" s="466">
        <v>14000</v>
      </c>
      <c r="T466" s="150"/>
      <c r="U466" s="150"/>
      <c r="V466" s="150"/>
      <c r="W466" s="168"/>
      <c r="X466" s="150"/>
      <c r="Y466" s="466"/>
      <c r="Z466" s="455"/>
      <c r="AA466" s="150"/>
      <c r="AB466" s="490"/>
      <c r="AC466" s="150"/>
      <c r="AD466" s="150"/>
      <c r="AE466" s="466"/>
      <c r="AF466" s="499"/>
      <c r="AG466" s="150"/>
      <c r="AH466" s="150"/>
      <c r="AI466" s="150"/>
      <c r="AJ466" s="150"/>
      <c r="AK466" s="150"/>
      <c r="AL466" s="150"/>
      <c r="AM466" s="150"/>
      <c r="AN466" s="466"/>
      <c r="AO466" s="466"/>
      <c r="AP466" s="150"/>
      <c r="AQ466" s="150"/>
      <c r="AR466" s="151"/>
      <c r="AS466" s="456"/>
      <c r="AT466" s="466"/>
      <c r="AU466" s="150"/>
      <c r="AV466" s="487"/>
      <c r="AW466" s="150"/>
      <c r="AX466" s="150"/>
      <c r="AY466" s="466"/>
      <c r="AZ466" s="466"/>
      <c r="BA466" s="150"/>
      <c r="BB466" s="150"/>
      <c r="BC466" s="466"/>
      <c r="BD466" s="466"/>
      <c r="BE466" s="466"/>
      <c r="BF466" s="466"/>
      <c r="BG466" s="150"/>
      <c r="BH466" s="150"/>
      <c r="BI466" s="150"/>
      <c r="BJ466" s="466"/>
      <c r="BK466" s="152"/>
      <c r="BL466" s="160"/>
      <c r="BM466" s="150"/>
      <c r="BN466" s="466"/>
      <c r="BO466" s="150"/>
      <c r="BP466" s="663">
        <f>180*100</f>
        <v>18000</v>
      </c>
      <c r="BQ466" s="160"/>
      <c r="BR466" s="152"/>
      <c r="BS466" s="160"/>
    </row>
    <row r="467" spans="1:71" x14ac:dyDescent="0.3">
      <c r="A467" s="420"/>
      <c r="B467" s="19"/>
      <c r="C467" s="149">
        <f>DL!L464</f>
        <v>0</v>
      </c>
      <c r="D467" s="149">
        <f>DL!C464</f>
        <v>0</v>
      </c>
      <c r="E467" s="150"/>
      <c r="F467" s="463"/>
      <c r="G467" s="150"/>
      <c r="H467" s="150"/>
      <c r="I467" s="466"/>
      <c r="J467" s="150"/>
      <c r="K467" s="168"/>
      <c r="L467" s="466"/>
      <c r="M467" s="150"/>
      <c r="N467" s="466"/>
      <c r="O467" s="150"/>
      <c r="P467" s="150"/>
      <c r="Q467" s="150"/>
      <c r="R467" s="472"/>
      <c r="S467" s="466"/>
      <c r="T467" s="150"/>
      <c r="U467" s="150"/>
      <c r="V467" s="150"/>
      <c r="W467" s="168"/>
      <c r="X467" s="150"/>
      <c r="Y467" s="466"/>
      <c r="Z467" s="455"/>
      <c r="AA467" s="150"/>
      <c r="AB467" s="490"/>
      <c r="AC467" s="150"/>
      <c r="AD467" s="150"/>
      <c r="AE467" s="466"/>
      <c r="AF467" s="499"/>
      <c r="AG467" s="150"/>
      <c r="AH467" s="150"/>
      <c r="AI467" s="150"/>
      <c r="AJ467" s="150"/>
      <c r="AK467" s="150"/>
      <c r="AL467" s="150"/>
      <c r="AM467" s="150"/>
      <c r="AN467" s="466"/>
      <c r="AO467" s="466"/>
      <c r="AP467" s="150"/>
      <c r="AQ467" s="150"/>
      <c r="AR467" s="151"/>
      <c r="AS467" s="456"/>
      <c r="AT467" s="466"/>
      <c r="AU467" s="150"/>
      <c r="AV467" s="487"/>
      <c r="AW467" s="150"/>
      <c r="AX467" s="150"/>
      <c r="AY467" s="466"/>
      <c r="AZ467" s="466"/>
      <c r="BA467" s="150"/>
      <c r="BB467" s="150"/>
      <c r="BC467" s="466"/>
      <c r="BD467" s="466"/>
      <c r="BE467" s="466"/>
      <c r="BF467" s="466"/>
      <c r="BG467" s="150"/>
      <c r="BH467" s="150"/>
      <c r="BI467" s="150"/>
      <c r="BJ467" s="466"/>
      <c r="BK467" s="152"/>
      <c r="BL467" s="160"/>
      <c r="BM467" s="150"/>
      <c r="BN467" s="466"/>
      <c r="BO467" s="150"/>
      <c r="BP467" s="516"/>
      <c r="BQ467" s="160"/>
      <c r="BR467" s="152"/>
      <c r="BS467" s="160"/>
    </row>
    <row r="468" spans="1:71" x14ac:dyDescent="0.3">
      <c r="A468" s="420"/>
      <c r="B468" s="19"/>
      <c r="C468" s="149">
        <f>DL!L465</f>
        <v>0</v>
      </c>
      <c r="D468" s="149">
        <f>DL!C465</f>
        <v>0</v>
      </c>
      <c r="E468" s="150"/>
      <c r="F468" s="463"/>
      <c r="G468" s="150"/>
      <c r="H468" s="150"/>
      <c r="I468" s="466"/>
      <c r="J468" s="150"/>
      <c r="K468" s="168"/>
      <c r="L468" s="466"/>
      <c r="M468" s="150"/>
      <c r="N468" s="466"/>
      <c r="O468" s="150"/>
      <c r="P468" s="150"/>
      <c r="Q468" s="150"/>
      <c r="R468" s="472"/>
      <c r="S468" s="466"/>
      <c r="T468" s="150"/>
      <c r="U468" s="150"/>
      <c r="V468" s="150"/>
      <c r="W468" s="168"/>
      <c r="X468" s="150"/>
      <c r="Y468" s="466"/>
      <c r="Z468" s="455"/>
      <c r="AA468" s="150"/>
      <c r="AB468" s="490"/>
      <c r="AC468" s="150"/>
      <c r="AD468" s="150"/>
      <c r="AE468" s="466"/>
      <c r="AF468" s="499"/>
      <c r="AG468" s="150"/>
      <c r="AH468" s="150"/>
      <c r="AI468" s="150"/>
      <c r="AJ468" s="150"/>
      <c r="AK468" s="150"/>
      <c r="AL468" s="150"/>
      <c r="AM468" s="150"/>
      <c r="AN468" s="466"/>
      <c r="AO468" s="466"/>
      <c r="AP468" s="150"/>
      <c r="AQ468" s="150"/>
      <c r="AR468" s="151"/>
      <c r="AS468" s="456"/>
      <c r="AT468" s="466"/>
      <c r="AU468" s="150"/>
      <c r="AV468" s="487"/>
      <c r="AW468" s="150"/>
      <c r="AX468" s="150"/>
      <c r="AY468" s="466"/>
      <c r="AZ468" s="466"/>
      <c r="BA468" s="150"/>
      <c r="BB468" s="150"/>
      <c r="BC468" s="466"/>
      <c r="BD468" s="466"/>
      <c r="BE468" s="466"/>
      <c r="BF468" s="466"/>
      <c r="BG468" s="150"/>
      <c r="BH468" s="150"/>
      <c r="BI468" s="150"/>
      <c r="BJ468" s="466"/>
      <c r="BK468" s="152"/>
      <c r="BL468" s="160"/>
      <c r="BM468" s="150"/>
      <c r="BN468" s="466"/>
      <c r="BO468" s="150"/>
      <c r="BP468" s="516"/>
      <c r="BQ468" s="160"/>
      <c r="BR468" s="152"/>
      <c r="BS468" s="160"/>
    </row>
    <row r="469" spans="1:71" x14ac:dyDescent="0.3">
      <c r="A469" s="420" t="str">
        <f>DL!A466</f>
        <v>LOT 9</v>
      </c>
      <c r="B469" s="19" t="s">
        <v>257</v>
      </c>
      <c r="C469" s="149">
        <f>DL!L466</f>
        <v>0</v>
      </c>
      <c r="D469" s="149">
        <f>DL!C466</f>
        <v>0</v>
      </c>
      <c r="E469" s="150"/>
      <c r="F469" s="463"/>
      <c r="G469" s="150"/>
      <c r="H469" s="150"/>
      <c r="I469" s="466"/>
      <c r="J469" s="150"/>
      <c r="K469" s="168"/>
      <c r="L469" s="466"/>
      <c r="M469" s="150"/>
      <c r="N469" s="466"/>
      <c r="O469" s="150"/>
      <c r="P469" s="150"/>
      <c r="Q469" s="150"/>
      <c r="R469" s="472"/>
      <c r="S469" s="466"/>
      <c r="T469" s="150"/>
      <c r="U469" s="150"/>
      <c r="V469" s="150"/>
      <c r="W469" s="168"/>
      <c r="X469" s="150"/>
      <c r="Y469" s="466"/>
      <c r="Z469" s="455"/>
      <c r="AA469" s="150"/>
      <c r="AB469" s="490"/>
      <c r="AC469" s="150"/>
      <c r="AD469" s="150"/>
      <c r="AE469" s="466"/>
      <c r="AF469" s="499"/>
      <c r="AG469" s="150"/>
      <c r="AH469" s="150"/>
      <c r="AI469" s="150"/>
      <c r="AJ469" s="150"/>
      <c r="AK469" s="150"/>
      <c r="AL469" s="150"/>
      <c r="AM469" s="150"/>
      <c r="AN469" s="466"/>
      <c r="AO469" s="466"/>
      <c r="AP469" s="150"/>
      <c r="AQ469" s="150"/>
      <c r="AR469" s="151"/>
      <c r="AS469" s="456"/>
      <c r="AT469" s="466"/>
      <c r="AU469" s="150"/>
      <c r="AV469" s="487"/>
      <c r="AW469" s="150"/>
      <c r="AX469" s="150"/>
      <c r="AY469" s="466"/>
      <c r="AZ469" s="466"/>
      <c r="BA469" s="150"/>
      <c r="BB469" s="150"/>
      <c r="BC469" s="466"/>
      <c r="BD469" s="466"/>
      <c r="BE469" s="466"/>
      <c r="BF469" s="466"/>
      <c r="BG469" s="150"/>
      <c r="BH469" s="150"/>
      <c r="BI469" s="150"/>
      <c r="BJ469" s="466"/>
      <c r="BK469" s="152"/>
      <c r="BL469" s="160"/>
      <c r="BM469" s="150"/>
      <c r="BN469" s="466"/>
      <c r="BO469" s="150"/>
      <c r="BP469" s="516"/>
      <c r="BQ469" s="160"/>
      <c r="BR469" s="152"/>
      <c r="BS469" s="160"/>
    </row>
    <row r="470" spans="1:71" x14ac:dyDescent="0.3">
      <c r="A470" s="420">
        <f>DL!A467</f>
        <v>424</v>
      </c>
      <c r="B470" s="19" t="s">
        <v>258</v>
      </c>
      <c r="C470" s="149">
        <f>DL!L467</f>
        <v>50</v>
      </c>
      <c r="D470" s="149">
        <f>DL!C467</f>
        <v>10</v>
      </c>
      <c r="E470" s="150"/>
      <c r="F470" s="463"/>
      <c r="G470" s="150"/>
      <c r="H470" s="150"/>
      <c r="I470" s="466"/>
      <c r="J470" s="150"/>
      <c r="K470" s="168"/>
      <c r="L470" s="466"/>
      <c r="M470" s="150"/>
      <c r="N470" s="466"/>
      <c r="O470" s="150"/>
      <c r="P470" s="150"/>
      <c r="Q470" s="150"/>
      <c r="R470" s="472"/>
      <c r="S470" s="466">
        <v>1800</v>
      </c>
      <c r="T470" s="150"/>
      <c r="U470" s="150"/>
      <c r="V470" s="150"/>
      <c r="W470" s="168"/>
      <c r="X470" s="150"/>
      <c r="Y470" s="466"/>
      <c r="Z470" s="455"/>
      <c r="AA470" s="150"/>
      <c r="AB470" s="490"/>
      <c r="AC470" s="150"/>
      <c r="AD470" s="150"/>
      <c r="AE470" s="466"/>
      <c r="AF470" s="499"/>
      <c r="AG470" s="150"/>
      <c r="AH470" s="150"/>
      <c r="AI470" s="150"/>
      <c r="AJ470" s="150"/>
      <c r="AK470" s="150"/>
      <c r="AL470" s="150"/>
      <c r="AM470" s="150"/>
      <c r="AN470" s="466"/>
      <c r="AO470" s="466"/>
      <c r="AP470" s="150"/>
      <c r="AQ470" s="150"/>
      <c r="AR470" s="151"/>
      <c r="AS470" s="456"/>
      <c r="AT470" s="466"/>
      <c r="AU470" s="150"/>
      <c r="AV470" s="487"/>
      <c r="AW470" s="150"/>
      <c r="AX470" s="150"/>
      <c r="AY470" s="466"/>
      <c r="AZ470" s="466"/>
      <c r="BA470" s="150"/>
      <c r="BB470" s="150"/>
      <c r="BC470" s="466"/>
      <c r="BD470" s="466"/>
      <c r="BE470" s="466"/>
      <c r="BF470" s="466"/>
      <c r="BG470" s="150"/>
      <c r="BH470" s="150"/>
      <c r="BI470" s="150"/>
      <c r="BJ470" s="466"/>
      <c r="BK470" s="152"/>
      <c r="BL470" s="160"/>
      <c r="BM470" s="150"/>
      <c r="BN470" s="466"/>
      <c r="BO470" s="150"/>
      <c r="BP470" s="516"/>
      <c r="BQ470" s="160"/>
      <c r="BR470" s="152"/>
      <c r="BS470" s="160"/>
    </row>
    <row r="471" spans="1:71" x14ac:dyDescent="0.3">
      <c r="A471" s="420">
        <f>DL!A468</f>
        <v>425</v>
      </c>
      <c r="B471" s="19" t="s">
        <v>259</v>
      </c>
      <c r="C471" s="149">
        <f>DL!L468</f>
        <v>45</v>
      </c>
      <c r="D471" s="149">
        <f>DL!C468</f>
        <v>105</v>
      </c>
      <c r="E471" s="150"/>
      <c r="F471" s="463"/>
      <c r="G471" s="150"/>
      <c r="H471" s="150"/>
      <c r="I471" s="466"/>
      <c r="J471" s="150"/>
      <c r="K471" s="168"/>
      <c r="L471" s="466"/>
      <c r="M471" s="150"/>
      <c r="N471" s="466"/>
      <c r="O471" s="150"/>
      <c r="P471" s="150"/>
      <c r="Q471" s="150"/>
      <c r="R471" s="472"/>
      <c r="S471" s="466"/>
      <c r="T471" s="150"/>
      <c r="U471" s="150"/>
      <c r="V471" s="150"/>
      <c r="W471" s="168"/>
      <c r="X471" s="150"/>
      <c r="Y471" s="466"/>
      <c r="Z471" s="455"/>
      <c r="AA471" s="150"/>
      <c r="AB471" s="490"/>
      <c r="AC471" s="150"/>
      <c r="AD471" s="150"/>
      <c r="AE471" s="466"/>
      <c r="AF471" s="499"/>
      <c r="AG471" s="150"/>
      <c r="AH471" s="150"/>
      <c r="AI471" s="150"/>
      <c r="AJ471" s="150"/>
      <c r="AK471" s="150"/>
      <c r="AL471" s="150"/>
      <c r="AM471" s="150"/>
      <c r="AN471" s="466"/>
      <c r="AO471" s="466"/>
      <c r="AP471" s="150"/>
      <c r="AQ471" s="150"/>
      <c r="AR471" s="151"/>
      <c r="AS471" s="456"/>
      <c r="AT471" s="466"/>
      <c r="AU471" s="150"/>
      <c r="AV471" s="487"/>
      <c r="AW471" s="150"/>
      <c r="AX471" s="150"/>
      <c r="AY471" s="466"/>
      <c r="AZ471" s="466"/>
      <c r="BA471" s="150"/>
      <c r="BB471" s="150"/>
      <c r="BC471" s="466"/>
      <c r="BD471" s="466"/>
      <c r="BE471" s="466"/>
      <c r="BF471" s="466"/>
      <c r="BG471" s="150"/>
      <c r="BH471" s="150"/>
      <c r="BI471" s="150"/>
      <c r="BJ471" s="466"/>
      <c r="BK471" s="152"/>
      <c r="BL471" s="160"/>
      <c r="BM471" s="150"/>
      <c r="BN471" s="466"/>
      <c r="BO471" s="150"/>
      <c r="BP471" s="516"/>
      <c r="BQ471" s="160"/>
      <c r="BR471" s="152"/>
      <c r="BS471" s="160"/>
    </row>
    <row r="472" spans="1:71" x14ac:dyDescent="0.3">
      <c r="A472" s="420">
        <f>DL!A469</f>
        <v>426</v>
      </c>
      <c r="B472" s="19" t="s">
        <v>467</v>
      </c>
      <c r="C472" s="149">
        <f>DL!L469</f>
        <v>20</v>
      </c>
      <c r="D472" s="149">
        <f>DL!C469</f>
        <v>100</v>
      </c>
      <c r="E472" s="150"/>
      <c r="F472" s="463"/>
      <c r="G472" s="150"/>
      <c r="H472" s="150"/>
      <c r="I472" s="466"/>
      <c r="J472" s="150"/>
      <c r="K472" s="168"/>
      <c r="L472" s="466"/>
      <c r="M472" s="150"/>
      <c r="N472" s="466"/>
      <c r="O472" s="150"/>
      <c r="P472" s="150"/>
      <c r="Q472" s="150"/>
      <c r="R472" s="472"/>
      <c r="S472" s="466">
        <v>2000</v>
      </c>
      <c r="T472" s="150"/>
      <c r="U472" s="150"/>
      <c r="V472" s="150"/>
      <c r="W472" s="168"/>
      <c r="X472" s="150"/>
      <c r="Y472" s="466"/>
      <c r="Z472" s="455"/>
      <c r="AA472" s="150"/>
      <c r="AB472" s="490"/>
      <c r="AC472" s="150"/>
      <c r="AD472" s="150"/>
      <c r="AE472" s="466"/>
      <c r="AF472" s="499"/>
      <c r="AG472" s="150"/>
      <c r="AH472" s="150"/>
      <c r="AI472" s="150"/>
      <c r="AJ472" s="150"/>
      <c r="AK472" s="150"/>
      <c r="AL472" s="150"/>
      <c r="AM472" s="150"/>
      <c r="AN472" s="466"/>
      <c r="AO472" s="466"/>
      <c r="AP472" s="150"/>
      <c r="AQ472" s="150"/>
      <c r="AR472" s="151"/>
      <c r="AS472" s="456"/>
      <c r="AT472" s="466"/>
      <c r="AU472" s="150"/>
      <c r="AV472" s="487"/>
      <c r="AW472" s="150"/>
      <c r="AX472" s="150"/>
      <c r="AY472" s="466"/>
      <c r="AZ472" s="466"/>
      <c r="BA472" s="150"/>
      <c r="BB472" s="150"/>
      <c r="BC472" s="466"/>
      <c r="BD472" s="466">
        <v>600</v>
      </c>
      <c r="BE472" s="466"/>
      <c r="BF472" s="466"/>
      <c r="BG472" s="150"/>
      <c r="BH472" s="150"/>
      <c r="BI472" s="150"/>
      <c r="BJ472" s="466"/>
      <c r="BK472" s="152"/>
      <c r="BL472" s="160"/>
      <c r="BM472" s="150"/>
      <c r="BN472" s="466"/>
      <c r="BO472" s="150"/>
      <c r="BP472" s="516"/>
      <c r="BQ472" s="160"/>
      <c r="BR472" s="152"/>
      <c r="BS472" s="160"/>
    </row>
    <row r="473" spans="1:71" x14ac:dyDescent="0.3">
      <c r="A473" s="420">
        <f>DL!A470</f>
        <v>427</v>
      </c>
      <c r="B473" s="19" t="s">
        <v>1339</v>
      </c>
      <c r="C473" s="149">
        <f>DL!L470</f>
        <v>20</v>
      </c>
      <c r="D473" s="149">
        <f>DL!C470</f>
        <v>30</v>
      </c>
      <c r="E473" s="150"/>
      <c r="F473" s="463"/>
      <c r="G473" s="150"/>
      <c r="H473" s="150"/>
      <c r="I473" s="468">
        <v>2990</v>
      </c>
      <c r="J473" s="150"/>
      <c r="K473" s="168"/>
      <c r="L473" s="466"/>
      <c r="M473" s="150"/>
      <c r="N473" s="466"/>
      <c r="O473" s="150"/>
      <c r="P473" s="150"/>
      <c r="Q473" s="150"/>
      <c r="R473" s="472"/>
      <c r="S473" s="466"/>
      <c r="T473" s="150"/>
      <c r="U473" s="150"/>
      <c r="V473" s="150"/>
      <c r="W473" s="168"/>
      <c r="X473" s="150"/>
      <c r="Y473" s="466"/>
      <c r="Z473" s="455"/>
      <c r="AA473" s="150"/>
      <c r="AB473" s="490"/>
      <c r="AC473" s="150"/>
      <c r="AD473" s="150"/>
      <c r="AE473" s="466"/>
      <c r="AF473" s="499"/>
      <c r="AG473" s="150"/>
      <c r="AH473" s="150"/>
      <c r="AI473" s="150"/>
      <c r="AJ473" s="150"/>
      <c r="AK473" s="150"/>
      <c r="AL473" s="150"/>
      <c r="AM473" s="150"/>
      <c r="AN473" s="466"/>
      <c r="AO473" s="466"/>
      <c r="AP473" s="150"/>
      <c r="AQ473" s="150"/>
      <c r="AR473" s="151"/>
      <c r="AS473" s="456"/>
      <c r="AT473" s="466"/>
      <c r="AU473" s="150"/>
      <c r="AV473" s="487"/>
      <c r="AW473" s="150"/>
      <c r="AX473" s="150"/>
      <c r="AY473" s="466"/>
      <c r="AZ473" s="466"/>
      <c r="BA473" s="150"/>
      <c r="BB473" s="150"/>
      <c r="BC473" s="466"/>
      <c r="BD473" s="466"/>
      <c r="BE473" s="466"/>
      <c r="BF473" s="466"/>
      <c r="BG473" s="150"/>
      <c r="BH473" s="150"/>
      <c r="BI473" s="150"/>
      <c r="BJ473" s="466">
        <v>250</v>
      </c>
      <c r="BK473" s="152"/>
      <c r="BL473" s="160"/>
      <c r="BM473" s="150"/>
      <c r="BN473" s="466"/>
      <c r="BO473" s="150"/>
      <c r="BP473" s="516"/>
      <c r="BQ473" s="160"/>
      <c r="BR473" s="152"/>
      <c r="BS473" s="160"/>
    </row>
    <row r="474" spans="1:71" x14ac:dyDescent="0.3">
      <c r="A474" s="420">
        <f>DL!A471</f>
        <v>428</v>
      </c>
      <c r="B474" s="19" t="s">
        <v>1340</v>
      </c>
      <c r="C474" s="149">
        <f>DL!L471</f>
        <v>52</v>
      </c>
      <c r="D474" s="149" t="str">
        <f>DL!C471</f>
        <v>TUBE</v>
      </c>
      <c r="E474" s="150"/>
      <c r="F474" s="463"/>
      <c r="G474" s="150"/>
      <c r="H474" s="150"/>
      <c r="I474" s="466"/>
      <c r="J474" s="150"/>
      <c r="K474" s="168"/>
      <c r="L474" s="466"/>
      <c r="M474" s="150"/>
      <c r="N474" s="466"/>
      <c r="O474" s="150"/>
      <c r="P474" s="150"/>
      <c r="Q474" s="150"/>
      <c r="R474" s="472"/>
      <c r="S474" s="466"/>
      <c r="T474" s="150"/>
      <c r="U474" s="150"/>
      <c r="V474" s="150"/>
      <c r="W474" s="168"/>
      <c r="X474" s="150"/>
      <c r="Y474" s="466"/>
      <c r="Z474" s="455"/>
      <c r="AA474" s="150"/>
      <c r="AB474" s="490"/>
      <c r="AC474" s="150"/>
      <c r="AD474" s="150"/>
      <c r="AE474" s="466"/>
      <c r="AF474" s="499"/>
      <c r="AG474" s="150"/>
      <c r="AH474" s="150"/>
      <c r="AI474" s="150"/>
      <c r="AJ474" s="150"/>
      <c r="AK474" s="150"/>
      <c r="AL474" s="150"/>
      <c r="AM474" s="150"/>
      <c r="AN474" s="466"/>
      <c r="AO474" s="466"/>
      <c r="AP474" s="150"/>
      <c r="AQ474" s="150"/>
      <c r="AR474" s="151"/>
      <c r="AS474" s="456"/>
      <c r="AT474" s="466"/>
      <c r="AU474" s="150"/>
      <c r="AV474" s="487"/>
      <c r="AW474" s="150"/>
      <c r="AX474" s="150"/>
      <c r="AY474" s="466"/>
      <c r="AZ474" s="466"/>
      <c r="BA474" s="150"/>
      <c r="BB474" s="150"/>
      <c r="BC474" s="466"/>
      <c r="BD474" s="466"/>
      <c r="BE474" s="466"/>
      <c r="BF474" s="466"/>
      <c r="BG474" s="150"/>
      <c r="BH474" s="150"/>
      <c r="BI474" s="150"/>
      <c r="BJ474" s="466">
        <v>300</v>
      </c>
      <c r="BK474" s="152"/>
      <c r="BL474" s="160"/>
      <c r="BM474" s="150"/>
      <c r="BN474" s="466"/>
      <c r="BO474" s="150"/>
      <c r="BP474" s="516"/>
      <c r="BQ474" s="160"/>
      <c r="BR474" s="152"/>
      <c r="BS474" s="160"/>
    </row>
    <row r="475" spans="1:71" x14ac:dyDescent="0.3">
      <c r="A475" s="420">
        <f>DL!A472</f>
        <v>429</v>
      </c>
      <c r="B475" s="19" t="s">
        <v>760</v>
      </c>
      <c r="C475" s="149">
        <f>DL!L472</f>
        <v>32</v>
      </c>
      <c r="D475" s="149">
        <f>DL!C472</f>
        <v>14</v>
      </c>
      <c r="E475" s="150"/>
      <c r="F475" s="463"/>
      <c r="G475" s="150"/>
      <c r="H475" s="150"/>
      <c r="I475" s="466"/>
      <c r="J475" s="150"/>
      <c r="K475" s="168"/>
      <c r="L475" s="466"/>
      <c r="M475" s="150"/>
      <c r="N475" s="466"/>
      <c r="O475" s="150"/>
      <c r="P475" s="150"/>
      <c r="Q475" s="150"/>
      <c r="R475" s="472"/>
      <c r="S475" s="466">
        <v>580</v>
      </c>
      <c r="T475" s="150"/>
      <c r="U475" s="150"/>
      <c r="V475" s="150"/>
      <c r="W475" s="168"/>
      <c r="X475" s="150"/>
      <c r="Y475" s="466"/>
      <c r="Z475" s="455"/>
      <c r="AA475" s="150"/>
      <c r="AB475" s="491">
        <f>550*14/10</f>
        <v>770</v>
      </c>
      <c r="AC475" s="150"/>
      <c r="AD475" s="150"/>
      <c r="AE475" s="466"/>
      <c r="AF475" s="499"/>
      <c r="AG475" s="150">
        <v>1700</v>
      </c>
      <c r="AH475" s="150"/>
      <c r="AI475" s="150"/>
      <c r="AJ475" s="150"/>
      <c r="AK475" s="150"/>
      <c r="AL475" s="150"/>
      <c r="AM475" s="150"/>
      <c r="AN475" s="466"/>
      <c r="AO475" s="466"/>
      <c r="AP475" s="150"/>
      <c r="AQ475" s="150"/>
      <c r="AR475" s="151">
        <v>495</v>
      </c>
      <c r="AS475" s="456"/>
      <c r="AT475" s="466"/>
      <c r="AU475" s="150"/>
      <c r="AV475" s="487"/>
      <c r="AW475" s="150"/>
      <c r="AX475" s="150"/>
      <c r="AY475" s="466"/>
      <c r="AZ475" s="466"/>
      <c r="BA475" s="150"/>
      <c r="BB475" s="150">
        <v>1575</v>
      </c>
      <c r="BC475" s="466"/>
      <c r="BD475" s="466"/>
      <c r="BE475" s="466"/>
      <c r="BF475" s="466"/>
      <c r="BG475" s="159">
        <f>1200/50*14</f>
        <v>336</v>
      </c>
      <c r="BH475" s="150"/>
      <c r="BI475" s="150"/>
      <c r="BJ475" s="466"/>
      <c r="BK475" s="152"/>
      <c r="BL475" s="160"/>
      <c r="BM475" s="150"/>
      <c r="BN475" s="466"/>
      <c r="BO475" s="150"/>
      <c r="BP475" s="516"/>
      <c r="BQ475" s="160"/>
      <c r="BR475" s="152"/>
      <c r="BS475" s="160"/>
    </row>
    <row r="476" spans="1:71" x14ac:dyDescent="0.3">
      <c r="A476" s="420">
        <f>DL!A473</f>
        <v>430</v>
      </c>
      <c r="B476" s="19" t="s">
        <v>1341</v>
      </c>
      <c r="C476" s="149">
        <f>DL!L473</f>
        <v>20</v>
      </c>
      <c r="D476" s="149">
        <f>DL!C473</f>
        <v>14</v>
      </c>
      <c r="E476" s="150"/>
      <c r="F476" s="463"/>
      <c r="G476" s="150"/>
      <c r="H476" s="150"/>
      <c r="I476" s="466"/>
      <c r="J476" s="150"/>
      <c r="K476" s="168"/>
      <c r="L476" s="466"/>
      <c r="M476" s="150"/>
      <c r="N476" s="466"/>
      <c r="O476" s="150"/>
      <c r="P476" s="150"/>
      <c r="Q476" s="150"/>
      <c r="R476" s="472"/>
      <c r="S476" s="466"/>
      <c r="T476" s="150"/>
      <c r="U476" s="150"/>
      <c r="V476" s="150"/>
      <c r="W476" s="168"/>
      <c r="X476" s="150"/>
      <c r="Y476" s="466"/>
      <c r="Z476" s="455"/>
      <c r="AA476" s="150"/>
      <c r="AB476" s="491">
        <f>750*14/10</f>
        <v>1050</v>
      </c>
      <c r="AC476" s="150"/>
      <c r="AD476" s="150"/>
      <c r="AE476" s="466"/>
      <c r="AF476" s="499"/>
      <c r="AG476" s="150"/>
      <c r="AH476" s="150"/>
      <c r="AI476" s="150"/>
      <c r="AJ476" s="150"/>
      <c r="AK476" s="150"/>
      <c r="AL476" s="150"/>
      <c r="AM476" s="150"/>
      <c r="AN476" s="466"/>
      <c r="AO476" s="466">
        <v>2274</v>
      </c>
      <c r="AP476" s="150"/>
      <c r="AQ476" s="150"/>
      <c r="AR476" s="151"/>
      <c r="AS476" s="456"/>
      <c r="AT476" s="466"/>
      <c r="AU476" s="150"/>
      <c r="AV476" s="487"/>
      <c r="AW476" s="150"/>
      <c r="AX476" s="150"/>
      <c r="AY476" s="466"/>
      <c r="AZ476" s="466"/>
      <c r="BA476" s="150"/>
      <c r="BB476" s="150"/>
      <c r="BC476" s="466"/>
      <c r="BD476" s="466"/>
      <c r="BE476" s="466"/>
      <c r="BF476" s="466"/>
      <c r="BG476" s="159">
        <f>1200/50*14</f>
        <v>336</v>
      </c>
      <c r="BH476" s="150"/>
      <c r="BI476" s="150"/>
      <c r="BJ476" s="466"/>
      <c r="BK476" s="152"/>
      <c r="BL476" s="160"/>
      <c r="BM476" s="150"/>
      <c r="BN476" s="466"/>
      <c r="BO476" s="150"/>
      <c r="BP476" s="516"/>
      <c r="BQ476" s="160"/>
      <c r="BR476" s="152"/>
      <c r="BS476" s="160"/>
    </row>
    <row r="477" spans="1:71" x14ac:dyDescent="0.3">
      <c r="A477" s="420">
        <f>DL!A474</f>
        <v>431</v>
      </c>
      <c r="B477" s="19" t="s">
        <v>1342</v>
      </c>
      <c r="C477" s="149">
        <f>DL!L474</f>
        <v>20</v>
      </c>
      <c r="D477" s="149">
        <f>DL!C474</f>
        <v>42</v>
      </c>
      <c r="E477" s="150"/>
      <c r="F477" s="463"/>
      <c r="G477" s="150"/>
      <c r="H477" s="150"/>
      <c r="I477" s="466"/>
      <c r="J477" s="150"/>
      <c r="K477" s="168"/>
      <c r="L477" s="466"/>
      <c r="M477" s="150"/>
      <c r="N477" s="466"/>
      <c r="O477" s="150"/>
      <c r="P477" s="150"/>
      <c r="Q477" s="150"/>
      <c r="R477" s="472"/>
      <c r="S477" s="466"/>
      <c r="T477" s="150"/>
      <c r="U477" s="150"/>
      <c r="V477" s="150"/>
      <c r="W477" s="168"/>
      <c r="X477" s="150"/>
      <c r="Y477" s="466"/>
      <c r="Z477" s="455"/>
      <c r="AA477" s="150"/>
      <c r="AB477" s="490"/>
      <c r="AC477" s="150"/>
      <c r="AD477" s="150"/>
      <c r="AE477" s="466"/>
      <c r="AF477" s="499"/>
      <c r="AG477" s="150"/>
      <c r="AH477" s="150"/>
      <c r="AI477" s="150"/>
      <c r="AJ477" s="150"/>
      <c r="AK477" s="150"/>
      <c r="AL477" s="150"/>
      <c r="AM477" s="150"/>
      <c r="AN477" s="466"/>
      <c r="AO477" s="466">
        <v>2400</v>
      </c>
      <c r="AP477" s="150"/>
      <c r="AQ477" s="150"/>
      <c r="AR477" s="151"/>
      <c r="AS477" s="456"/>
      <c r="AT477" s="466"/>
      <c r="AU477" s="150"/>
      <c r="AV477" s="487"/>
      <c r="AW477" s="150"/>
      <c r="AX477" s="150"/>
      <c r="AY477" s="466"/>
      <c r="AZ477" s="466"/>
      <c r="BA477" s="150"/>
      <c r="BB477" s="150"/>
      <c r="BC477" s="466"/>
      <c r="BD477" s="466"/>
      <c r="BE477" s="466"/>
      <c r="BF477" s="466"/>
      <c r="BG477" s="150"/>
      <c r="BH477" s="150"/>
      <c r="BI477" s="150"/>
      <c r="BJ477" s="466"/>
      <c r="BK477" s="152"/>
      <c r="BL477" s="160"/>
      <c r="BM477" s="150"/>
      <c r="BN477" s="466"/>
      <c r="BO477" s="150"/>
      <c r="BP477" s="516"/>
      <c r="BQ477" s="160"/>
      <c r="BR477" s="152"/>
      <c r="BS477" s="160"/>
    </row>
    <row r="478" spans="1:71" x14ac:dyDescent="0.3">
      <c r="A478" s="420">
        <f>DL!A475</f>
        <v>432</v>
      </c>
      <c r="B478" s="19" t="s">
        <v>2059</v>
      </c>
      <c r="C478" s="149">
        <v>400</v>
      </c>
      <c r="D478" s="149" t="str">
        <f>DL!C475</f>
        <v>BOTT</v>
      </c>
      <c r="E478" s="150">
        <v>2000</v>
      </c>
      <c r="F478" s="463"/>
      <c r="G478" s="150"/>
      <c r="H478" s="150"/>
      <c r="I478" s="466"/>
      <c r="J478" s="150"/>
      <c r="K478" s="168"/>
      <c r="L478" s="466"/>
      <c r="M478" s="150"/>
      <c r="N478" s="466"/>
      <c r="O478" s="150"/>
      <c r="P478" s="150"/>
      <c r="Q478" s="150"/>
      <c r="R478" s="472"/>
      <c r="S478" s="466">
        <v>1450</v>
      </c>
      <c r="T478" s="150"/>
      <c r="U478" s="150"/>
      <c r="V478" s="150"/>
      <c r="W478" s="168"/>
      <c r="X478" s="150"/>
      <c r="Y478" s="466"/>
      <c r="Z478" s="455"/>
      <c r="AA478" s="150"/>
      <c r="AB478" s="490"/>
      <c r="AC478" s="150"/>
      <c r="AD478" s="150"/>
      <c r="AE478" s="466">
        <v>500</v>
      </c>
      <c r="AF478" s="499"/>
      <c r="AG478" s="150"/>
      <c r="AH478" s="150"/>
      <c r="AI478" s="150"/>
      <c r="AJ478" s="150"/>
      <c r="AK478" s="150"/>
      <c r="AL478" s="150"/>
      <c r="AM478" s="150"/>
      <c r="AN478" s="466"/>
      <c r="AO478" s="466"/>
      <c r="AP478" s="150"/>
      <c r="AQ478" s="150"/>
      <c r="AR478" s="151"/>
      <c r="AS478" s="456"/>
      <c r="AT478" s="466"/>
      <c r="AU478" s="150"/>
      <c r="AV478" s="487"/>
      <c r="AW478" s="150"/>
      <c r="AX478" s="150"/>
      <c r="AY478" s="466"/>
      <c r="AZ478" s="470">
        <v>1250</v>
      </c>
      <c r="BA478" s="150"/>
      <c r="BB478" s="150"/>
      <c r="BC478" s="466"/>
      <c r="BD478" s="466"/>
      <c r="BE478" s="466"/>
      <c r="BF478" s="466"/>
      <c r="BG478" s="150"/>
      <c r="BH478" s="150"/>
      <c r="BI478" s="150"/>
      <c r="BJ478" s="466"/>
      <c r="BK478" s="152"/>
      <c r="BL478" s="160"/>
      <c r="BM478" s="150"/>
      <c r="BN478" s="466"/>
      <c r="BO478" s="150"/>
      <c r="BP478" s="516"/>
      <c r="BQ478" s="160"/>
      <c r="BR478" s="152"/>
      <c r="BS478" s="160"/>
    </row>
    <row r="479" spans="1:71" x14ac:dyDescent="0.3">
      <c r="A479" s="420">
        <f>DL!A476</f>
        <v>433</v>
      </c>
      <c r="B479" s="19" t="s">
        <v>260</v>
      </c>
      <c r="C479" s="149">
        <v>600</v>
      </c>
      <c r="D479" s="149" t="str">
        <f>DL!C476</f>
        <v>BOTT</v>
      </c>
      <c r="E479" s="150"/>
      <c r="F479" s="463"/>
      <c r="G479" s="150"/>
      <c r="H479" s="150"/>
      <c r="I479" s="466"/>
      <c r="J479" s="150"/>
      <c r="K479" s="168"/>
      <c r="L479" s="466"/>
      <c r="M479" s="150"/>
      <c r="N479" s="466"/>
      <c r="O479" s="150"/>
      <c r="P479" s="150"/>
      <c r="Q479" s="150"/>
      <c r="R479" s="472"/>
      <c r="S479" s="466">
        <v>350</v>
      </c>
      <c r="T479" s="150"/>
      <c r="U479" s="150"/>
      <c r="V479" s="150"/>
      <c r="W479" s="168"/>
      <c r="X479" s="150"/>
      <c r="Y479" s="466"/>
      <c r="Z479" s="455"/>
      <c r="AA479" s="150"/>
      <c r="AB479" s="490"/>
      <c r="AC479" s="150"/>
      <c r="AD479" s="150"/>
      <c r="AE479" s="466"/>
      <c r="AF479" s="499"/>
      <c r="AG479" s="150"/>
      <c r="AH479" s="150"/>
      <c r="AI479" s="150"/>
      <c r="AJ479" s="150"/>
      <c r="AK479" s="150"/>
      <c r="AL479" s="150"/>
      <c r="AM479" s="150"/>
      <c r="AN479" s="466"/>
      <c r="AO479" s="466"/>
      <c r="AP479" s="150"/>
      <c r="AQ479" s="150"/>
      <c r="AR479" s="151"/>
      <c r="AS479" s="456"/>
      <c r="AT479" s="466"/>
      <c r="AU479" s="150"/>
      <c r="AV479" s="487"/>
      <c r="AW479" s="150"/>
      <c r="AX479" s="150"/>
      <c r="AY479" s="466"/>
      <c r="AZ479" s="466"/>
      <c r="BA479" s="150"/>
      <c r="BB479" s="150"/>
      <c r="BC479" s="466"/>
      <c r="BD479" s="466"/>
      <c r="BE479" s="466"/>
      <c r="BF479" s="466">
        <v>350.53</v>
      </c>
      <c r="BG479" s="150"/>
      <c r="BH479" s="150"/>
      <c r="BI479" s="150"/>
      <c r="BJ479" s="466"/>
      <c r="BK479" s="152"/>
      <c r="BL479" s="160"/>
      <c r="BM479" s="150"/>
      <c r="BN479" s="466"/>
      <c r="BO479" s="150"/>
      <c r="BP479" s="516"/>
      <c r="BQ479" s="160"/>
      <c r="BR479" s="152"/>
      <c r="BS479" s="160"/>
    </row>
    <row r="480" spans="1:71" x14ac:dyDescent="0.3">
      <c r="A480" s="420">
        <f>DL!A477</f>
        <v>434</v>
      </c>
      <c r="B480" s="19" t="s">
        <v>725</v>
      </c>
      <c r="C480" s="149">
        <f>DL!L477</f>
        <v>200</v>
      </c>
      <c r="D480" s="149">
        <f>DL!C477</f>
        <v>10</v>
      </c>
      <c r="E480" s="150"/>
      <c r="F480" s="463"/>
      <c r="G480" s="150"/>
      <c r="H480" s="150"/>
      <c r="I480" s="466"/>
      <c r="J480" s="150"/>
      <c r="K480" s="168"/>
      <c r="L480" s="466"/>
      <c r="M480" s="150"/>
      <c r="N480" s="466"/>
      <c r="O480" s="150"/>
      <c r="P480" s="150"/>
      <c r="Q480" s="150"/>
      <c r="R480" s="472"/>
      <c r="S480" s="466">
        <v>40</v>
      </c>
      <c r="T480" s="150"/>
      <c r="U480" s="150"/>
      <c r="V480" s="150"/>
      <c r="W480" s="168"/>
      <c r="X480" s="150"/>
      <c r="Y480" s="466"/>
      <c r="Z480" s="455"/>
      <c r="AA480" s="150"/>
      <c r="AB480" s="490"/>
      <c r="AC480" s="150"/>
      <c r="AD480" s="150"/>
      <c r="AE480" s="466"/>
      <c r="AF480" s="499"/>
      <c r="AG480" s="150"/>
      <c r="AH480" s="150"/>
      <c r="AI480" s="150"/>
      <c r="AJ480" s="150"/>
      <c r="AK480" s="150"/>
      <c r="AL480" s="150"/>
      <c r="AM480" s="150"/>
      <c r="AN480" s="466"/>
      <c r="AO480" s="466"/>
      <c r="AP480" s="150"/>
      <c r="AQ480" s="150"/>
      <c r="AR480" s="151"/>
      <c r="AS480" s="456"/>
      <c r="AT480" s="466"/>
      <c r="AU480" s="150"/>
      <c r="AV480" s="487"/>
      <c r="AW480" s="150"/>
      <c r="AX480" s="150"/>
      <c r="AY480" s="466"/>
      <c r="AZ480" s="466"/>
      <c r="BA480" s="150"/>
      <c r="BB480" s="150"/>
      <c r="BC480" s="466"/>
      <c r="BD480" s="466"/>
      <c r="BE480" s="466">
        <v>50</v>
      </c>
      <c r="BF480" s="466"/>
      <c r="BG480" s="150"/>
      <c r="BH480" s="150"/>
      <c r="BI480" s="150"/>
      <c r="BJ480" s="466"/>
      <c r="BK480" s="152"/>
      <c r="BL480" s="160"/>
      <c r="BM480" s="150"/>
      <c r="BN480" s="466">
        <v>165</v>
      </c>
      <c r="BO480" s="150"/>
      <c r="BP480" s="516"/>
      <c r="BQ480" s="160"/>
      <c r="BR480" s="152"/>
      <c r="BS480" s="160"/>
    </row>
    <row r="481" spans="1:71" x14ac:dyDescent="0.3">
      <c r="A481" s="420">
        <f>DL!A478</f>
        <v>435</v>
      </c>
      <c r="B481" s="19" t="s">
        <v>1343</v>
      </c>
      <c r="C481" s="149">
        <f>DL!L478</f>
        <v>4000</v>
      </c>
      <c r="D481" s="149" t="str">
        <f>DL!C478</f>
        <v>BOTT</v>
      </c>
      <c r="E481" s="150"/>
      <c r="F481" s="463"/>
      <c r="G481" s="150"/>
      <c r="H481" s="150"/>
      <c r="I481" s="466"/>
      <c r="J481" s="150"/>
      <c r="K481" s="168"/>
      <c r="L481" s="466"/>
      <c r="M481" s="150"/>
      <c r="N481" s="466"/>
      <c r="O481" s="150"/>
      <c r="P481" s="150"/>
      <c r="Q481" s="150"/>
      <c r="R481" s="473">
        <v>350</v>
      </c>
      <c r="S481" s="466">
        <v>200</v>
      </c>
      <c r="T481" s="150">
        <v>400</v>
      </c>
      <c r="U481" s="150"/>
      <c r="V481" s="150"/>
      <c r="W481" s="168"/>
      <c r="X481" s="150"/>
      <c r="Y481" s="466"/>
      <c r="Z481" s="455"/>
      <c r="AA481" s="150">
        <v>450</v>
      </c>
      <c r="AB481" s="490">
        <v>450</v>
      </c>
      <c r="AC481" s="150"/>
      <c r="AD481" s="150"/>
      <c r="AE481" s="466">
        <v>415</v>
      </c>
      <c r="AF481" s="499"/>
      <c r="AG481" s="150"/>
      <c r="AH481" s="150"/>
      <c r="AI481" s="150"/>
      <c r="AJ481" s="150"/>
      <c r="AK481" s="150"/>
      <c r="AL481" s="150"/>
      <c r="AM481" s="150"/>
      <c r="AN481" s="466"/>
      <c r="AO481" s="466"/>
      <c r="AP481" s="150"/>
      <c r="AQ481" s="150"/>
      <c r="AR481" s="151"/>
      <c r="AS481" s="456"/>
      <c r="AT481" s="466"/>
      <c r="AU481" s="150"/>
      <c r="AV481" s="487"/>
      <c r="AW481" s="150"/>
      <c r="AX481" s="150"/>
      <c r="AY481" s="466"/>
      <c r="AZ481" s="466">
        <v>490</v>
      </c>
      <c r="BA481" s="150"/>
      <c r="BB481" s="150"/>
      <c r="BC481" s="466"/>
      <c r="BD481" s="466">
        <v>465</v>
      </c>
      <c r="BE481" s="466"/>
      <c r="BF481" s="466">
        <v>410.08</v>
      </c>
      <c r="BG481" s="150"/>
      <c r="BH481" s="150"/>
      <c r="BI481" s="150"/>
      <c r="BJ481" s="466">
        <v>260</v>
      </c>
      <c r="BK481" s="152"/>
      <c r="BL481" s="160"/>
      <c r="BM481" s="150"/>
      <c r="BN481" s="466"/>
      <c r="BO481" s="150"/>
      <c r="BP481" s="516"/>
      <c r="BQ481" s="160"/>
      <c r="BR481" s="152"/>
      <c r="BS481" s="160"/>
    </row>
    <row r="482" spans="1:71" x14ac:dyDescent="0.3">
      <c r="A482" s="420">
        <f>DL!A479</f>
        <v>436</v>
      </c>
      <c r="B482" s="19" t="s">
        <v>261</v>
      </c>
      <c r="C482" s="149">
        <f>DL!L479</f>
        <v>60</v>
      </c>
      <c r="D482" s="149">
        <f>DL!C479</f>
        <v>100</v>
      </c>
      <c r="E482" s="150"/>
      <c r="F482" s="463"/>
      <c r="G482" s="150"/>
      <c r="H482" s="150"/>
      <c r="I482" s="466"/>
      <c r="J482" s="150"/>
      <c r="K482" s="168"/>
      <c r="L482" s="466"/>
      <c r="M482" s="150"/>
      <c r="N482" s="466"/>
      <c r="O482" s="150"/>
      <c r="P482" s="150"/>
      <c r="Q482" s="150"/>
      <c r="R482" s="472"/>
      <c r="S482" s="466">
        <v>1500</v>
      </c>
      <c r="T482" s="150"/>
      <c r="U482" s="150"/>
      <c r="V482" s="150"/>
      <c r="W482" s="168"/>
      <c r="X482" s="150"/>
      <c r="Y482" s="466"/>
      <c r="Z482" s="455"/>
      <c r="AA482" s="150"/>
      <c r="AB482" s="490"/>
      <c r="AC482" s="150"/>
      <c r="AD482" s="150"/>
      <c r="AE482" s="466"/>
      <c r="AF482" s="499"/>
      <c r="AG482" s="150"/>
      <c r="AH482" s="150"/>
      <c r="AI482" s="150"/>
      <c r="AJ482" s="150"/>
      <c r="AK482" s="150"/>
      <c r="AL482" s="150"/>
      <c r="AM482" s="150"/>
      <c r="AN482" s="466"/>
      <c r="AO482" s="466"/>
      <c r="AP482" s="150"/>
      <c r="AQ482" s="150"/>
      <c r="AR482" s="151"/>
      <c r="AS482" s="456"/>
      <c r="AT482" s="466"/>
      <c r="AU482" s="150"/>
      <c r="AV482" s="487"/>
      <c r="AW482" s="150"/>
      <c r="AX482" s="150"/>
      <c r="AY482" s="466"/>
      <c r="AZ482" s="466"/>
      <c r="BA482" s="150"/>
      <c r="BB482" s="150"/>
      <c r="BC482" s="466"/>
      <c r="BD482" s="466"/>
      <c r="BE482" s="466"/>
      <c r="BF482" s="466"/>
      <c r="BG482" s="150"/>
      <c r="BH482" s="150"/>
      <c r="BI482" s="150"/>
      <c r="BJ482" s="466"/>
      <c r="BK482" s="152"/>
      <c r="BL482" s="160"/>
      <c r="BM482" s="150"/>
      <c r="BN482" s="466"/>
      <c r="BO482" s="150"/>
      <c r="BP482" s="516"/>
      <c r="BQ482" s="160"/>
      <c r="BR482" s="152"/>
      <c r="BS482" s="160"/>
    </row>
    <row r="483" spans="1:71" x14ac:dyDescent="0.3">
      <c r="A483" s="420">
        <f>DL!A480</f>
        <v>437</v>
      </c>
      <c r="B483" s="19" t="s">
        <v>262</v>
      </c>
      <c r="C483" s="149">
        <f>DL!L480</f>
        <v>64</v>
      </c>
      <c r="D483" s="149">
        <f>DL!C480</f>
        <v>100</v>
      </c>
      <c r="E483" s="150"/>
      <c r="F483" s="463"/>
      <c r="G483" s="150"/>
      <c r="H483" s="150"/>
      <c r="I483" s="466"/>
      <c r="J483" s="150"/>
      <c r="K483" s="168"/>
      <c r="L483" s="466"/>
      <c r="M483" s="150"/>
      <c r="N483" s="466"/>
      <c r="O483" s="150"/>
      <c r="P483" s="150"/>
      <c r="Q483" s="150"/>
      <c r="R483" s="472"/>
      <c r="S483" s="466"/>
      <c r="T483" s="150"/>
      <c r="U483" s="150"/>
      <c r="V483" s="150"/>
      <c r="W483" s="168"/>
      <c r="X483" s="150"/>
      <c r="Y483" s="466"/>
      <c r="Z483" s="455"/>
      <c r="AA483" s="150"/>
      <c r="AB483" s="490"/>
      <c r="AC483" s="150"/>
      <c r="AD483" s="150"/>
      <c r="AE483" s="466"/>
      <c r="AF483" s="499"/>
      <c r="AG483" s="150"/>
      <c r="AH483" s="150"/>
      <c r="AI483" s="150"/>
      <c r="AJ483" s="150"/>
      <c r="AK483" s="150"/>
      <c r="AL483" s="150"/>
      <c r="AM483" s="150"/>
      <c r="AN483" s="466"/>
      <c r="AO483" s="466"/>
      <c r="AP483" s="150"/>
      <c r="AQ483" s="150"/>
      <c r="AR483" s="151"/>
      <c r="AS483" s="456"/>
      <c r="AT483" s="466"/>
      <c r="AU483" s="150"/>
      <c r="AV483" s="487"/>
      <c r="AW483" s="150"/>
      <c r="AX483" s="150"/>
      <c r="AY483" s="466"/>
      <c r="AZ483" s="466"/>
      <c r="BA483" s="150"/>
      <c r="BB483" s="150"/>
      <c r="BC483" s="466"/>
      <c r="BD483" s="466"/>
      <c r="BE483" s="466"/>
      <c r="BF483" s="466"/>
      <c r="BG483" s="150"/>
      <c r="BH483" s="150"/>
      <c r="BI483" s="150"/>
      <c r="BJ483" s="466"/>
      <c r="BK483" s="152"/>
      <c r="BL483" s="160"/>
      <c r="BM483" s="150"/>
      <c r="BN483" s="466">
        <v>330</v>
      </c>
      <c r="BO483" s="150"/>
      <c r="BP483" s="516"/>
      <c r="BQ483" s="160"/>
      <c r="BR483" s="152"/>
      <c r="BS483" s="160"/>
    </row>
    <row r="484" spans="1:71" x14ac:dyDescent="0.3">
      <c r="A484" s="420">
        <f>DL!A481</f>
        <v>438</v>
      </c>
      <c r="B484" s="19" t="s">
        <v>263</v>
      </c>
      <c r="C484" s="149">
        <f>DL!L481</f>
        <v>9</v>
      </c>
      <c r="D484" s="149">
        <f>DL!C481</f>
        <v>100</v>
      </c>
      <c r="E484" s="150"/>
      <c r="F484" s="463"/>
      <c r="G484" s="150"/>
      <c r="H484" s="150"/>
      <c r="I484" s="466"/>
      <c r="J484" s="150"/>
      <c r="K484" s="168"/>
      <c r="L484" s="466"/>
      <c r="M484" s="150"/>
      <c r="N484" s="466"/>
      <c r="O484" s="150"/>
      <c r="P484" s="150"/>
      <c r="Q484" s="150"/>
      <c r="R484" s="472"/>
      <c r="S484" s="466">
        <v>4500</v>
      </c>
      <c r="T484" s="150"/>
      <c r="U484" s="150"/>
      <c r="V484" s="150"/>
      <c r="W484" s="168"/>
      <c r="X484" s="150"/>
      <c r="Y484" s="466"/>
      <c r="Z484" s="455"/>
      <c r="AA484" s="150"/>
      <c r="AB484" s="490"/>
      <c r="AC484" s="150"/>
      <c r="AD484" s="150"/>
      <c r="AE484" s="466"/>
      <c r="AF484" s="499"/>
      <c r="AG484" s="150"/>
      <c r="AH484" s="150"/>
      <c r="AI484" s="150"/>
      <c r="AJ484" s="150"/>
      <c r="AK484" s="150"/>
      <c r="AL484" s="150"/>
      <c r="AM484" s="150"/>
      <c r="AN484" s="466"/>
      <c r="AO484" s="466"/>
      <c r="AP484" s="150"/>
      <c r="AQ484" s="150"/>
      <c r="AR484" s="151"/>
      <c r="AS484" s="456"/>
      <c r="AT484" s="466"/>
      <c r="AU484" s="150"/>
      <c r="AV484" s="487"/>
      <c r="AW484" s="150"/>
      <c r="AX484" s="150"/>
      <c r="AY484" s="466"/>
      <c r="AZ484" s="466"/>
      <c r="BA484" s="150"/>
      <c r="BB484" s="150"/>
      <c r="BC484" s="466"/>
      <c r="BD484" s="466"/>
      <c r="BE484" s="466"/>
      <c r="BF484" s="466"/>
      <c r="BG484" s="150"/>
      <c r="BH484" s="150"/>
      <c r="BI484" s="150"/>
      <c r="BJ484" s="466"/>
      <c r="BK484" s="152"/>
      <c r="BL484" s="160"/>
      <c r="BM484" s="150"/>
      <c r="BN484" s="466"/>
      <c r="BO484" s="150"/>
      <c r="BP484" s="516"/>
      <c r="BQ484" s="160"/>
      <c r="BR484" s="152"/>
      <c r="BS484" s="160"/>
    </row>
    <row r="485" spans="1:71" x14ac:dyDescent="0.3">
      <c r="A485" s="420">
        <f>DL!A482</f>
        <v>439</v>
      </c>
      <c r="B485" s="19" t="s">
        <v>264</v>
      </c>
      <c r="C485" s="149">
        <f>DL!L482</f>
        <v>100</v>
      </c>
      <c r="D485" s="149">
        <f>DL!C482</f>
        <v>100</v>
      </c>
      <c r="E485" s="150"/>
      <c r="F485" s="463"/>
      <c r="G485" s="150"/>
      <c r="H485" s="150"/>
      <c r="I485" s="466"/>
      <c r="J485" s="150"/>
      <c r="K485" s="168"/>
      <c r="L485" s="466"/>
      <c r="M485" s="150"/>
      <c r="N485" s="466"/>
      <c r="O485" s="150"/>
      <c r="P485" s="150"/>
      <c r="Q485" s="150"/>
      <c r="R485" s="472"/>
      <c r="S485" s="466">
        <v>1200</v>
      </c>
      <c r="T485" s="150"/>
      <c r="U485" s="150"/>
      <c r="V485" s="150"/>
      <c r="W485" s="168"/>
      <c r="X485" s="150"/>
      <c r="Y485" s="466"/>
      <c r="Z485" s="455"/>
      <c r="AA485" s="150"/>
      <c r="AB485" s="490"/>
      <c r="AC485" s="150"/>
      <c r="AD485" s="150"/>
      <c r="AE485" s="466"/>
      <c r="AF485" s="499"/>
      <c r="AG485" s="150"/>
      <c r="AH485" s="150"/>
      <c r="AI485" s="150"/>
      <c r="AJ485" s="150"/>
      <c r="AK485" s="150"/>
      <c r="AL485" s="150"/>
      <c r="AM485" s="150"/>
      <c r="AN485" s="466"/>
      <c r="AO485" s="466"/>
      <c r="AP485" s="150"/>
      <c r="AQ485" s="150"/>
      <c r="AR485" s="151"/>
      <c r="AS485" s="456"/>
      <c r="AT485" s="466"/>
      <c r="AU485" s="150"/>
      <c r="AV485" s="487"/>
      <c r="AW485" s="150"/>
      <c r="AX485" s="150"/>
      <c r="AY485" s="466"/>
      <c r="AZ485" s="466"/>
      <c r="BA485" s="150"/>
      <c r="BB485" s="150"/>
      <c r="BC485" s="466"/>
      <c r="BD485" s="466"/>
      <c r="BE485" s="466"/>
      <c r="BF485" s="466"/>
      <c r="BG485" s="150"/>
      <c r="BH485" s="150"/>
      <c r="BI485" s="150"/>
      <c r="BJ485" s="466"/>
      <c r="BK485" s="152"/>
      <c r="BL485" s="160"/>
      <c r="BM485" s="150"/>
      <c r="BN485" s="466"/>
      <c r="BO485" s="150">
        <v>761</v>
      </c>
      <c r="BP485" s="516"/>
      <c r="BQ485" s="160"/>
      <c r="BR485" s="152"/>
      <c r="BS485" s="160"/>
    </row>
    <row r="486" spans="1:71" x14ac:dyDescent="0.3">
      <c r="A486" s="420">
        <f>DL!A483</f>
        <v>440</v>
      </c>
      <c r="B486" s="19" t="s">
        <v>265</v>
      </c>
      <c r="C486" s="149">
        <f>DL!L483</f>
        <v>8000</v>
      </c>
      <c r="D486" s="149">
        <f>DL!C483</f>
        <v>14</v>
      </c>
      <c r="E486" s="150"/>
      <c r="F486" s="463"/>
      <c r="G486" s="150">
        <v>279</v>
      </c>
      <c r="H486" s="150"/>
      <c r="I486" s="466"/>
      <c r="J486" s="150"/>
      <c r="K486" s="168"/>
      <c r="L486" s="466"/>
      <c r="M486" s="150"/>
      <c r="N486" s="466">
        <v>195</v>
      </c>
      <c r="O486" s="150"/>
      <c r="P486" s="150"/>
      <c r="Q486" s="150"/>
      <c r="R486" s="472"/>
      <c r="S486" s="466">
        <v>100</v>
      </c>
      <c r="T486" s="159">
        <f>14*26</f>
        <v>364</v>
      </c>
      <c r="U486" s="150"/>
      <c r="V486" s="150">
        <v>198</v>
      </c>
      <c r="W486" s="168"/>
      <c r="X486" s="150"/>
      <c r="Y486" s="466">
        <v>120</v>
      </c>
      <c r="Z486" s="455"/>
      <c r="AA486" s="150">
        <v>425</v>
      </c>
      <c r="AB486" s="490"/>
      <c r="AC486" s="150"/>
      <c r="AD486" s="150"/>
      <c r="AE486" s="466">
        <v>213</v>
      </c>
      <c r="AF486" s="499"/>
      <c r="AG486" s="150">
        <v>140</v>
      </c>
      <c r="AH486" s="150"/>
      <c r="AI486" s="150"/>
      <c r="AJ486" s="150"/>
      <c r="AK486" s="150"/>
      <c r="AL486" s="150"/>
      <c r="AM486" s="150"/>
      <c r="AN486" s="466"/>
      <c r="AO486" s="466">
        <v>132</v>
      </c>
      <c r="AP486" s="150"/>
      <c r="AQ486" s="150"/>
      <c r="AR486" s="151">
        <v>100</v>
      </c>
      <c r="AS486" s="456"/>
      <c r="AT486" s="466"/>
      <c r="AU486" s="150"/>
      <c r="AV486" s="487"/>
      <c r="AW486" s="150"/>
      <c r="AX486" s="150"/>
      <c r="AY486" s="466"/>
      <c r="AZ486" s="466">
        <v>120</v>
      </c>
      <c r="BA486" s="150"/>
      <c r="BB486" s="150"/>
      <c r="BC486" s="466"/>
      <c r="BD486" s="466">
        <v>190</v>
      </c>
      <c r="BE486" s="466">
        <v>180</v>
      </c>
      <c r="BF486" s="466"/>
      <c r="BG486" s="150"/>
      <c r="BH486" s="150"/>
      <c r="BI486" s="150"/>
      <c r="BJ486" s="466"/>
      <c r="BK486" s="152"/>
      <c r="BL486" s="160"/>
      <c r="BM486" s="150">
        <v>160</v>
      </c>
      <c r="BN486" s="466">
        <v>350</v>
      </c>
      <c r="BO486" s="150"/>
      <c r="BP486" s="516">
        <v>190</v>
      </c>
      <c r="BQ486" s="160"/>
      <c r="BR486" s="152"/>
      <c r="BS486" s="160"/>
    </row>
    <row r="487" spans="1:71" x14ac:dyDescent="0.3">
      <c r="A487" s="420">
        <f>DL!A484</f>
        <v>441</v>
      </c>
      <c r="B487" s="19" t="s">
        <v>1344</v>
      </c>
      <c r="C487" s="149">
        <f>DL!L484</f>
        <v>100</v>
      </c>
      <c r="D487" s="149">
        <f>DL!C484</f>
        <v>10</v>
      </c>
      <c r="E487" s="150"/>
      <c r="F487" s="463"/>
      <c r="G487" s="150"/>
      <c r="H487" s="150"/>
      <c r="I487" s="466"/>
      <c r="J487" s="150"/>
      <c r="K487" s="168"/>
      <c r="L487" s="466"/>
      <c r="M487" s="150"/>
      <c r="N487" s="466"/>
      <c r="O487" s="150"/>
      <c r="P487" s="150"/>
      <c r="Q487" s="150"/>
      <c r="R487" s="472"/>
      <c r="S487" s="466"/>
      <c r="T487" s="150"/>
      <c r="U487" s="150"/>
      <c r="V487" s="150"/>
      <c r="W487" s="168"/>
      <c r="X487" s="150"/>
      <c r="Y487" s="466"/>
      <c r="Z487" s="455"/>
      <c r="AA487" s="150"/>
      <c r="AB487" s="490"/>
      <c r="AC487" s="150"/>
      <c r="AD487" s="150"/>
      <c r="AE487" s="466"/>
      <c r="AF487" s="499"/>
      <c r="AG487" s="150"/>
      <c r="AH487" s="150"/>
      <c r="AI487" s="150"/>
      <c r="AJ487" s="150"/>
      <c r="AK487" s="150"/>
      <c r="AL487" s="150"/>
      <c r="AM487" s="150"/>
      <c r="AN487" s="466"/>
      <c r="AO487" s="466">
        <v>900</v>
      </c>
      <c r="AP487" s="150"/>
      <c r="AQ487" s="150"/>
      <c r="AR487" s="151"/>
      <c r="AS487" s="456"/>
      <c r="AT487" s="466"/>
      <c r="AU487" s="150"/>
      <c r="AV487" s="487"/>
      <c r="AW487" s="150"/>
      <c r="AX487" s="150"/>
      <c r="AY487" s="466"/>
      <c r="AZ487" s="466"/>
      <c r="BA487" s="150"/>
      <c r="BB487" s="150"/>
      <c r="BC487" s="466"/>
      <c r="BD487" s="466"/>
      <c r="BE487" s="466"/>
      <c r="BF487" s="466"/>
      <c r="BG487" s="150"/>
      <c r="BH487" s="150"/>
      <c r="BI487" s="150"/>
      <c r="BJ487" s="466"/>
      <c r="BK487" s="152"/>
      <c r="BL487" s="160"/>
      <c r="BM487" s="150"/>
      <c r="BN487" s="466"/>
      <c r="BO487" s="150"/>
      <c r="BP487" s="516"/>
      <c r="BQ487" s="160"/>
      <c r="BR487" s="152"/>
      <c r="BS487" s="160"/>
    </row>
    <row r="488" spans="1:71" x14ac:dyDescent="0.3">
      <c r="A488" s="420">
        <f>DL!A485</f>
        <v>442</v>
      </c>
      <c r="B488" s="19" t="s">
        <v>266</v>
      </c>
      <c r="C488" s="149">
        <v>8000</v>
      </c>
      <c r="D488" s="149" t="str">
        <f>DL!C485</f>
        <v xml:space="preserve">VIAL </v>
      </c>
      <c r="E488" s="150"/>
      <c r="F488" s="463"/>
      <c r="G488" s="150"/>
      <c r="H488" s="150"/>
      <c r="I488" s="466"/>
      <c r="J488" s="150"/>
      <c r="K488" s="168"/>
      <c r="L488" s="466"/>
      <c r="M488" s="150"/>
      <c r="N488" s="466"/>
      <c r="O488" s="150"/>
      <c r="P488" s="150"/>
      <c r="Q488" s="150"/>
      <c r="R488" s="472"/>
      <c r="S488" s="466">
        <v>250</v>
      </c>
      <c r="T488" s="150">
        <v>350</v>
      </c>
      <c r="U488" s="150"/>
      <c r="V488" s="150"/>
      <c r="W488" s="168"/>
      <c r="X488" s="150"/>
      <c r="Y488" s="466"/>
      <c r="Z488" s="455"/>
      <c r="AA488" s="150"/>
      <c r="AB488" s="490"/>
      <c r="AC488" s="150"/>
      <c r="AD488" s="150"/>
      <c r="AE488" s="466"/>
      <c r="AF488" s="499"/>
      <c r="AG488" s="150"/>
      <c r="AH488" s="150"/>
      <c r="AI488" s="150"/>
      <c r="AJ488" s="150"/>
      <c r="AK488" s="150"/>
      <c r="AL488" s="150"/>
      <c r="AM488" s="150"/>
      <c r="AN488" s="466"/>
      <c r="AO488" s="466"/>
      <c r="AP488" s="150"/>
      <c r="AQ488" s="150"/>
      <c r="AR488" s="151"/>
      <c r="AS488" s="456"/>
      <c r="AT488" s="466"/>
      <c r="AU488" s="150"/>
      <c r="AV488" s="487"/>
      <c r="AW488" s="150"/>
      <c r="AX488" s="150"/>
      <c r="AY488" s="466"/>
      <c r="AZ488" s="466"/>
      <c r="BA488" s="150"/>
      <c r="BB488" s="150"/>
      <c r="BC488" s="466"/>
      <c r="BD488" s="466"/>
      <c r="BE488" s="466"/>
      <c r="BF488" s="466"/>
      <c r="BG488" s="150"/>
      <c r="BH488" s="150"/>
      <c r="BI488" s="150"/>
      <c r="BJ488" s="466"/>
      <c r="BK488" s="152"/>
      <c r="BL488" s="160"/>
      <c r="BM488" s="150"/>
      <c r="BN488" s="466">
        <v>420</v>
      </c>
      <c r="BO488" s="150"/>
      <c r="BP488" s="516"/>
      <c r="BQ488" s="160"/>
      <c r="BR488" s="152"/>
      <c r="BS488" s="160"/>
    </row>
    <row r="489" spans="1:71" x14ac:dyDescent="0.3">
      <c r="A489" s="420">
        <f>DL!A486</f>
        <v>443</v>
      </c>
      <c r="B489" s="19" t="s">
        <v>1345</v>
      </c>
      <c r="C489" s="149">
        <f>DL!L486</f>
        <v>208</v>
      </c>
      <c r="D489" s="149">
        <f>DL!C486</f>
        <v>42</v>
      </c>
      <c r="E489" s="150"/>
      <c r="F489" s="463"/>
      <c r="G489" s="150"/>
      <c r="H489" s="150"/>
      <c r="I489" s="466"/>
      <c r="J489" s="150"/>
      <c r="K489" s="168"/>
      <c r="L489" s="466"/>
      <c r="M489" s="150"/>
      <c r="N489" s="466"/>
      <c r="O489" s="150"/>
      <c r="P489" s="150"/>
      <c r="Q489" s="150"/>
      <c r="R489" s="472"/>
      <c r="S489" s="466"/>
      <c r="T489" s="150"/>
      <c r="U489" s="150"/>
      <c r="V489" s="150"/>
      <c r="W489" s="168"/>
      <c r="X489" s="150"/>
      <c r="Y489" s="466"/>
      <c r="Z489" s="455"/>
      <c r="AA489" s="150">
        <v>2000</v>
      </c>
      <c r="AB489" s="490"/>
      <c r="AC489" s="150"/>
      <c r="AD489" s="150"/>
      <c r="AE489" s="466"/>
      <c r="AF489" s="499"/>
      <c r="AG489" s="150"/>
      <c r="AH489" s="150"/>
      <c r="AI489" s="150"/>
      <c r="AJ489" s="150"/>
      <c r="AK489" s="150"/>
      <c r="AL489" s="150"/>
      <c r="AM489" s="150"/>
      <c r="AN489" s="466"/>
      <c r="AO489" s="466"/>
      <c r="AP489" s="150"/>
      <c r="AQ489" s="150"/>
      <c r="AR489" s="151"/>
      <c r="AS489" s="456"/>
      <c r="AT489" s="466"/>
      <c r="AU489" s="150"/>
      <c r="AV489" s="487"/>
      <c r="AW489" s="150"/>
      <c r="AX489" s="150"/>
      <c r="AY489" s="466"/>
      <c r="AZ489" s="466"/>
      <c r="BA489" s="150"/>
      <c r="BB489" s="150"/>
      <c r="BC489" s="466"/>
      <c r="BD489" s="466"/>
      <c r="BE489" s="466"/>
      <c r="BF489" s="466"/>
      <c r="BG489" s="150"/>
      <c r="BH489" s="150"/>
      <c r="BI489" s="150"/>
      <c r="BJ489" s="466"/>
      <c r="BK489" s="152"/>
      <c r="BL489" s="160"/>
      <c r="BM489" s="150"/>
      <c r="BN489" s="466"/>
      <c r="BO489" s="150"/>
      <c r="BP489" s="516">
        <v>1900</v>
      </c>
      <c r="BQ489" s="160"/>
      <c r="BR489" s="152"/>
      <c r="BS489" s="160"/>
    </row>
    <row r="490" spans="1:71" x14ac:dyDescent="0.3">
      <c r="A490" s="420">
        <f>DL!A487</f>
        <v>444</v>
      </c>
      <c r="B490" s="19" t="s">
        <v>268</v>
      </c>
      <c r="C490" s="149">
        <v>1600</v>
      </c>
      <c r="D490" s="149" t="str">
        <f>DL!C487</f>
        <v>AMP</v>
      </c>
      <c r="E490" s="150"/>
      <c r="F490" s="463"/>
      <c r="G490" s="150"/>
      <c r="H490" s="150"/>
      <c r="I490" s="466"/>
      <c r="J490" s="150"/>
      <c r="K490" s="168"/>
      <c r="L490" s="466"/>
      <c r="M490" s="150"/>
      <c r="N490" s="466"/>
      <c r="O490" s="150"/>
      <c r="P490" s="150"/>
      <c r="Q490" s="150"/>
      <c r="R490" s="472"/>
      <c r="S490" s="466">
        <v>300</v>
      </c>
      <c r="T490" s="150"/>
      <c r="U490" s="150"/>
      <c r="V490" s="150"/>
      <c r="W490" s="168"/>
      <c r="X490" s="150"/>
      <c r="Y490" s="466"/>
      <c r="Z490" s="455"/>
      <c r="AA490" s="150"/>
      <c r="AB490" s="490"/>
      <c r="AC490" s="150"/>
      <c r="AD490" s="150"/>
      <c r="AE490" s="466"/>
      <c r="AF490" s="499"/>
      <c r="AG490" s="150"/>
      <c r="AH490" s="150"/>
      <c r="AI490" s="150">
        <v>410</v>
      </c>
      <c r="AJ490" s="150"/>
      <c r="AK490" s="150"/>
      <c r="AL490" s="150"/>
      <c r="AM490" s="150"/>
      <c r="AN490" s="466"/>
      <c r="AO490" s="466"/>
      <c r="AP490" s="150"/>
      <c r="AQ490" s="150"/>
      <c r="AR490" s="151"/>
      <c r="AS490" s="456"/>
      <c r="AT490" s="466"/>
      <c r="AU490" s="150"/>
      <c r="AV490" s="487"/>
      <c r="AW490" s="150"/>
      <c r="AX490" s="150"/>
      <c r="AY490" s="466"/>
      <c r="AZ490" s="466"/>
      <c r="BA490" s="150"/>
      <c r="BB490" s="150"/>
      <c r="BC490" s="466"/>
      <c r="BD490" s="466"/>
      <c r="BE490" s="466"/>
      <c r="BF490" s="466"/>
      <c r="BG490" s="150"/>
      <c r="BH490" s="150"/>
      <c r="BI490" s="150"/>
      <c r="BJ490" s="466"/>
      <c r="BK490" s="152"/>
      <c r="BL490" s="160"/>
      <c r="BM490" s="150"/>
      <c r="BN490" s="466"/>
      <c r="BO490" s="150"/>
      <c r="BP490" s="516"/>
      <c r="BQ490" s="160"/>
      <c r="BR490" s="152"/>
      <c r="BS490" s="160"/>
    </row>
    <row r="491" spans="1:71" x14ac:dyDescent="0.3">
      <c r="A491" s="420">
        <f>DL!A488</f>
        <v>445</v>
      </c>
      <c r="B491" s="19" t="s">
        <v>269</v>
      </c>
      <c r="C491" s="149">
        <f>DL!L488</f>
        <v>20</v>
      </c>
      <c r="D491" s="149">
        <f>DL!C488</f>
        <v>10</v>
      </c>
      <c r="E491" s="150"/>
      <c r="F491" s="463"/>
      <c r="G491" s="150"/>
      <c r="H491" s="150"/>
      <c r="I491" s="466"/>
      <c r="J491" s="150"/>
      <c r="K491" s="168"/>
      <c r="L491" s="466"/>
      <c r="M491" s="150"/>
      <c r="N491" s="466"/>
      <c r="O491" s="150"/>
      <c r="P491" s="150"/>
      <c r="Q491" s="150"/>
      <c r="R491" s="472"/>
      <c r="S491" s="466"/>
      <c r="T491" s="150"/>
      <c r="U491" s="150"/>
      <c r="V491" s="150"/>
      <c r="W491" s="168"/>
      <c r="X491" s="150"/>
      <c r="Y491" s="466"/>
      <c r="Z491" s="455"/>
      <c r="AA491" s="150"/>
      <c r="AB491" s="490"/>
      <c r="AC491" s="150"/>
      <c r="AD491" s="150"/>
      <c r="AE491" s="466"/>
      <c r="AF491" s="499"/>
      <c r="AG491" s="150"/>
      <c r="AH491" s="150"/>
      <c r="AI491" s="150">
        <v>819</v>
      </c>
      <c r="AJ491" s="150"/>
      <c r="AK491" s="150"/>
      <c r="AL491" s="150"/>
      <c r="AM491" s="150"/>
      <c r="AN491" s="466"/>
      <c r="AO491" s="466"/>
      <c r="AP491" s="150"/>
      <c r="AQ491" s="150"/>
      <c r="AR491" s="151"/>
      <c r="AS491" s="456"/>
      <c r="AT491" s="466"/>
      <c r="AU491" s="150"/>
      <c r="AV491" s="487"/>
      <c r="AW491" s="150"/>
      <c r="AX491" s="150"/>
      <c r="AY491" s="466"/>
      <c r="AZ491" s="466"/>
      <c r="BA491" s="150"/>
      <c r="BB491" s="150"/>
      <c r="BC491" s="466"/>
      <c r="BD491" s="466"/>
      <c r="BE491" s="466"/>
      <c r="BF491" s="466"/>
      <c r="BG491" s="150"/>
      <c r="BH491" s="150"/>
      <c r="BI491" s="150"/>
      <c r="BJ491" s="466"/>
      <c r="BK491" s="152"/>
      <c r="BL491" s="160"/>
      <c r="BM491" s="150"/>
      <c r="BN491" s="466"/>
      <c r="BO491" s="150"/>
      <c r="BP491" s="516"/>
      <c r="BQ491" s="160"/>
      <c r="BR491" s="152"/>
      <c r="BS491" s="160"/>
    </row>
    <row r="492" spans="1:71" x14ac:dyDescent="0.3">
      <c r="A492" s="420">
        <f>DL!A489</f>
        <v>446</v>
      </c>
      <c r="B492" s="19" t="s">
        <v>1346</v>
      </c>
      <c r="C492" s="149">
        <f>DL!L489</f>
        <v>400</v>
      </c>
      <c r="D492" s="149" t="str">
        <f>DL!C489</f>
        <v>BOTT</v>
      </c>
      <c r="E492" s="150"/>
      <c r="F492" s="463"/>
      <c r="G492" s="150"/>
      <c r="H492" s="150"/>
      <c r="I492" s="466"/>
      <c r="J492" s="150"/>
      <c r="K492" s="168"/>
      <c r="L492" s="466"/>
      <c r="M492" s="150"/>
      <c r="N492" s="466"/>
      <c r="O492" s="150"/>
      <c r="P492" s="150"/>
      <c r="Q492" s="150"/>
      <c r="R492" s="472"/>
      <c r="S492" s="466"/>
      <c r="T492" s="150"/>
      <c r="U492" s="150"/>
      <c r="V492" s="150"/>
      <c r="W492" s="168"/>
      <c r="X492" s="150"/>
      <c r="Y492" s="466"/>
      <c r="Z492" s="455"/>
      <c r="AA492" s="150"/>
      <c r="AB492" s="490"/>
      <c r="AC492" s="150"/>
      <c r="AD492" s="150"/>
      <c r="AE492" s="466">
        <v>335</v>
      </c>
      <c r="AF492" s="499"/>
      <c r="AG492" s="150"/>
      <c r="AH492" s="150"/>
      <c r="AI492" s="150"/>
      <c r="AJ492" s="150"/>
      <c r="AK492" s="150"/>
      <c r="AL492" s="150"/>
      <c r="AM492" s="150"/>
      <c r="AN492" s="466"/>
      <c r="AO492" s="466"/>
      <c r="AP492" s="150"/>
      <c r="AQ492" s="150"/>
      <c r="AR492" s="151"/>
      <c r="AS492" s="456"/>
      <c r="AT492" s="466"/>
      <c r="AU492" s="150"/>
      <c r="AV492" s="487"/>
      <c r="AW492" s="150"/>
      <c r="AX492" s="150"/>
      <c r="AY492" s="466"/>
      <c r="AZ492" s="466"/>
      <c r="BA492" s="150"/>
      <c r="BB492" s="150"/>
      <c r="BC492" s="466"/>
      <c r="BD492" s="466"/>
      <c r="BE492" s="466"/>
      <c r="BF492" s="466"/>
      <c r="BG492" s="150"/>
      <c r="BH492" s="150"/>
      <c r="BI492" s="150"/>
      <c r="BJ492" s="466">
        <v>410</v>
      </c>
      <c r="BK492" s="152"/>
      <c r="BL492" s="160"/>
      <c r="BM492" s="150"/>
      <c r="BN492" s="466"/>
      <c r="BO492" s="150"/>
      <c r="BP492" s="516"/>
      <c r="BQ492" s="160"/>
      <c r="BR492" s="152"/>
      <c r="BS492" s="160"/>
    </row>
    <row r="493" spans="1:71" x14ac:dyDescent="0.3">
      <c r="A493" s="420">
        <f>DL!A490</f>
        <v>447</v>
      </c>
      <c r="B493" s="19" t="s">
        <v>270</v>
      </c>
      <c r="C493" s="149">
        <f>DL!L490</f>
        <v>20</v>
      </c>
      <c r="D493" s="149">
        <f>DL!C490</f>
        <v>100</v>
      </c>
      <c r="E493" s="150"/>
      <c r="F493" s="463"/>
      <c r="G493" s="150"/>
      <c r="H493" s="150"/>
      <c r="I493" s="466"/>
      <c r="J493" s="150"/>
      <c r="K493" s="168"/>
      <c r="L493" s="466"/>
      <c r="M493" s="150"/>
      <c r="N493" s="466"/>
      <c r="O493" s="150"/>
      <c r="P493" s="150"/>
      <c r="Q493" s="150"/>
      <c r="R493" s="472"/>
      <c r="S493" s="466"/>
      <c r="T493" s="150"/>
      <c r="U493" s="150"/>
      <c r="V493" s="150"/>
      <c r="W493" s="168"/>
      <c r="X493" s="150"/>
      <c r="Y493" s="466"/>
      <c r="Z493" s="455"/>
      <c r="AA493" s="150"/>
      <c r="AB493" s="490"/>
      <c r="AC493" s="150"/>
      <c r="AD493" s="150"/>
      <c r="AE493" s="466"/>
      <c r="AF493" s="499"/>
      <c r="AG493" s="150"/>
      <c r="AH493" s="150"/>
      <c r="AI493" s="150"/>
      <c r="AJ493" s="150"/>
      <c r="AK493" s="150"/>
      <c r="AL493" s="150"/>
      <c r="AM493" s="150"/>
      <c r="AN493" s="466"/>
      <c r="AO493" s="466"/>
      <c r="AP493" s="150"/>
      <c r="AQ493" s="150"/>
      <c r="AR493" s="151"/>
      <c r="AS493" s="456"/>
      <c r="AT493" s="466"/>
      <c r="AU493" s="150"/>
      <c r="AV493" s="487"/>
      <c r="AW493" s="150"/>
      <c r="AX493" s="150"/>
      <c r="AY493" s="466"/>
      <c r="AZ493" s="466"/>
      <c r="BA493" s="150"/>
      <c r="BB493" s="150"/>
      <c r="BC493" s="466"/>
      <c r="BD493" s="466"/>
      <c r="BE493" s="466"/>
      <c r="BF493" s="466"/>
      <c r="BG493" s="150"/>
      <c r="BH493" s="150"/>
      <c r="BI493" s="150"/>
      <c r="BJ493" s="466"/>
      <c r="BK493" s="152"/>
      <c r="BL493" s="160"/>
      <c r="BM493" s="150"/>
      <c r="BN493" s="466"/>
      <c r="BO493" s="150"/>
      <c r="BP493" s="516"/>
      <c r="BQ493" s="160"/>
      <c r="BR493" s="152"/>
      <c r="BS493" s="160"/>
    </row>
    <row r="494" spans="1:71" x14ac:dyDescent="0.3">
      <c r="A494" s="420">
        <f>DL!A491</f>
        <v>448</v>
      </c>
      <c r="B494" s="19" t="s">
        <v>1347</v>
      </c>
      <c r="C494" s="149">
        <v>300</v>
      </c>
      <c r="D494" s="149">
        <v>20</v>
      </c>
      <c r="E494" s="150"/>
      <c r="F494" s="463"/>
      <c r="G494" s="150"/>
      <c r="H494" s="150"/>
      <c r="I494" s="468">
        <v>2875</v>
      </c>
      <c r="J494" s="150"/>
      <c r="K494" s="168"/>
      <c r="L494" s="466"/>
      <c r="M494" s="150"/>
      <c r="N494" s="466"/>
      <c r="O494" s="150"/>
      <c r="P494" s="150"/>
      <c r="Q494" s="150"/>
      <c r="R494" s="472"/>
      <c r="S494" s="466">
        <v>1100</v>
      </c>
      <c r="T494" s="150"/>
      <c r="U494" s="150"/>
      <c r="V494" s="150"/>
      <c r="W494" s="168"/>
      <c r="X494" s="150"/>
      <c r="Y494" s="466"/>
      <c r="Z494" s="455"/>
      <c r="AA494" s="150"/>
      <c r="AB494" s="490"/>
      <c r="AC494" s="150"/>
      <c r="AD494" s="150"/>
      <c r="AE494" s="466"/>
      <c r="AF494" s="499"/>
      <c r="AG494" s="150"/>
      <c r="AH494" s="150"/>
      <c r="AI494" s="150"/>
      <c r="AJ494" s="150"/>
      <c r="AK494" s="150"/>
      <c r="AL494" s="150"/>
      <c r="AM494" s="150"/>
      <c r="AN494" s="467">
        <v>1500</v>
      </c>
      <c r="AO494" s="466">
        <v>1190</v>
      </c>
      <c r="AP494" s="150"/>
      <c r="AQ494" s="150"/>
      <c r="AR494" s="151"/>
      <c r="AS494" s="456"/>
      <c r="AT494" s="466"/>
      <c r="AU494" s="150"/>
      <c r="AV494" s="487"/>
      <c r="AW494" s="150"/>
      <c r="AX494" s="150"/>
      <c r="AY494" s="466"/>
      <c r="AZ494" s="466"/>
      <c r="BA494" s="150"/>
      <c r="BB494" s="150"/>
      <c r="BC494" s="466"/>
      <c r="BD494" s="470">
        <f>530/20*30</f>
        <v>795</v>
      </c>
      <c r="BE494" s="466"/>
      <c r="BF494" s="466"/>
      <c r="BG494" s="150"/>
      <c r="BH494" s="150"/>
      <c r="BI494" s="150"/>
      <c r="BJ494" s="466"/>
      <c r="BK494" s="152"/>
      <c r="BL494" s="160"/>
      <c r="BM494" s="150"/>
      <c r="BN494" s="466"/>
      <c r="BO494" s="150"/>
      <c r="BP494" s="516"/>
      <c r="BQ494" s="160"/>
      <c r="BR494" s="152"/>
      <c r="BS494" s="160"/>
    </row>
    <row r="495" spans="1:71" x14ac:dyDescent="0.3">
      <c r="A495" s="420">
        <f>DL!A492</f>
        <v>449</v>
      </c>
      <c r="B495" s="19" t="s">
        <v>1348</v>
      </c>
      <c r="C495" s="149">
        <f>DL!L492</f>
        <v>80</v>
      </c>
      <c r="D495" s="149" t="str">
        <f>DL!C492</f>
        <v xml:space="preserve">VIAL </v>
      </c>
      <c r="E495" s="150"/>
      <c r="F495" s="463"/>
      <c r="G495" s="150"/>
      <c r="H495" s="150"/>
      <c r="I495" s="466"/>
      <c r="J495" s="150"/>
      <c r="K495" s="168"/>
      <c r="L495" s="466"/>
      <c r="M495" s="150"/>
      <c r="N495" s="466"/>
      <c r="O495" s="150"/>
      <c r="P495" s="150"/>
      <c r="Q495" s="150"/>
      <c r="R495" s="472"/>
      <c r="S495" s="466">
        <v>1400</v>
      </c>
      <c r="T495" s="150"/>
      <c r="U495" s="150"/>
      <c r="V495" s="150"/>
      <c r="W495" s="168"/>
      <c r="X495" s="150"/>
      <c r="Y495" s="466"/>
      <c r="Z495" s="455"/>
      <c r="AA495" s="150"/>
      <c r="AB495" s="490"/>
      <c r="AC495" s="150"/>
      <c r="AD495" s="150"/>
      <c r="AE495" s="466"/>
      <c r="AF495" s="499"/>
      <c r="AG495" s="150"/>
      <c r="AH495" s="150"/>
      <c r="AI495" s="150"/>
      <c r="AJ495" s="150"/>
      <c r="AK495" s="150"/>
      <c r="AL495" s="150"/>
      <c r="AM495" s="150"/>
      <c r="AN495" s="466">
        <v>750</v>
      </c>
      <c r="AO495" s="466"/>
      <c r="AP495" s="150"/>
      <c r="AQ495" s="150"/>
      <c r="AR495" s="151"/>
      <c r="AS495" s="456"/>
      <c r="AT495" s="466"/>
      <c r="AU495" s="150"/>
      <c r="AV495" s="487"/>
      <c r="AW495" s="150"/>
      <c r="AX495" s="150"/>
      <c r="AY495" s="466"/>
      <c r="AZ495" s="466"/>
      <c r="BA495" s="150"/>
      <c r="BB495" s="150"/>
      <c r="BC495" s="466"/>
      <c r="BD495" s="466"/>
      <c r="BE495" s="466"/>
      <c r="BF495" s="466"/>
      <c r="BG495" s="150">
        <v>650</v>
      </c>
      <c r="BH495" s="150"/>
      <c r="BI495" s="150"/>
      <c r="BJ495" s="466"/>
      <c r="BK495" s="152"/>
      <c r="BL495" s="160"/>
      <c r="BM495" s="150"/>
      <c r="BN495" s="466"/>
      <c r="BO495" s="150"/>
      <c r="BP495" s="516"/>
      <c r="BQ495" s="160"/>
      <c r="BR495" s="152"/>
      <c r="BS495" s="160"/>
    </row>
    <row r="496" spans="1:71" x14ac:dyDescent="0.3">
      <c r="A496" s="420">
        <f>DL!A493</f>
        <v>450</v>
      </c>
      <c r="B496" s="19" t="s">
        <v>271</v>
      </c>
      <c r="C496" s="149">
        <f>DL!L493</f>
        <v>200</v>
      </c>
      <c r="D496" s="149">
        <f>DL!C493</f>
        <v>5</v>
      </c>
      <c r="E496" s="150"/>
      <c r="F496" s="463"/>
      <c r="G496" s="150"/>
      <c r="H496" s="150"/>
      <c r="I496" s="466"/>
      <c r="J496" s="150"/>
      <c r="K496" s="168"/>
      <c r="L496" s="466"/>
      <c r="M496" s="150"/>
      <c r="N496" s="466"/>
      <c r="O496" s="150"/>
      <c r="P496" s="150"/>
      <c r="Q496" s="150"/>
      <c r="R496" s="472"/>
      <c r="S496" s="466"/>
      <c r="T496" s="150"/>
      <c r="U496" s="150"/>
      <c r="V496" s="150"/>
      <c r="W496" s="168"/>
      <c r="X496" s="150"/>
      <c r="Y496" s="466"/>
      <c r="Z496" s="455"/>
      <c r="AA496" s="150"/>
      <c r="AB496" s="490"/>
      <c r="AC496" s="150"/>
      <c r="AD496" s="150"/>
      <c r="AE496" s="466"/>
      <c r="AF496" s="499"/>
      <c r="AG496" s="150"/>
      <c r="AH496" s="150"/>
      <c r="AI496" s="150"/>
      <c r="AJ496" s="150"/>
      <c r="AK496" s="150"/>
      <c r="AL496" s="150"/>
      <c r="AM496" s="150"/>
      <c r="AN496" s="466"/>
      <c r="AO496" s="466"/>
      <c r="AP496" s="150"/>
      <c r="AQ496" s="150"/>
      <c r="AR496" s="151"/>
      <c r="AS496" s="456"/>
      <c r="AT496" s="466"/>
      <c r="AU496" s="150"/>
      <c r="AV496" s="487"/>
      <c r="AW496" s="150"/>
      <c r="AX496" s="150"/>
      <c r="AY496" s="466"/>
      <c r="AZ496" s="466"/>
      <c r="BA496" s="150"/>
      <c r="BB496" s="150"/>
      <c r="BC496" s="466"/>
      <c r="BD496" s="466"/>
      <c r="BE496" s="466"/>
      <c r="BF496" s="466"/>
      <c r="BG496" s="150"/>
      <c r="BH496" s="150"/>
      <c r="BI496" s="150"/>
      <c r="BJ496" s="466"/>
      <c r="BK496" s="152"/>
      <c r="BL496" s="160"/>
      <c r="BM496" s="150"/>
      <c r="BN496" s="466"/>
      <c r="BO496" s="150"/>
      <c r="BP496" s="516"/>
      <c r="BQ496" s="160"/>
      <c r="BR496" s="152"/>
      <c r="BS496" s="160"/>
    </row>
    <row r="497" spans="1:71" x14ac:dyDescent="0.3">
      <c r="A497" s="420">
        <f>DL!A494</f>
        <v>451</v>
      </c>
      <c r="B497" s="19" t="s">
        <v>1349</v>
      </c>
      <c r="C497" s="149">
        <f>DL!L494</f>
        <v>100</v>
      </c>
      <c r="D497" s="149">
        <f>DL!C494</f>
        <v>10</v>
      </c>
      <c r="E497" s="150"/>
      <c r="F497" s="463"/>
      <c r="G497" s="150"/>
      <c r="H497" s="150"/>
      <c r="I497" s="466"/>
      <c r="J497" s="150"/>
      <c r="K497" s="168"/>
      <c r="L497" s="466"/>
      <c r="M497" s="150"/>
      <c r="N497" s="466"/>
      <c r="O497" s="150"/>
      <c r="P497" s="150"/>
      <c r="Q497" s="150"/>
      <c r="R497" s="472"/>
      <c r="S497" s="466"/>
      <c r="T497" s="150"/>
      <c r="U497" s="150"/>
      <c r="V497" s="150"/>
      <c r="W497" s="168"/>
      <c r="X497" s="150"/>
      <c r="Y497" s="466"/>
      <c r="Z497" s="455"/>
      <c r="AA497" s="150"/>
      <c r="AB497" s="490"/>
      <c r="AC497" s="150"/>
      <c r="AD497" s="150"/>
      <c r="AE497" s="466"/>
      <c r="AF497" s="499"/>
      <c r="AG497" s="150"/>
      <c r="AH497" s="150"/>
      <c r="AI497" s="150"/>
      <c r="AJ497" s="150"/>
      <c r="AK497" s="150"/>
      <c r="AL497" s="150"/>
      <c r="AM497" s="150"/>
      <c r="AN497" s="467"/>
      <c r="AO497" s="466"/>
      <c r="AP497" s="150"/>
      <c r="AQ497" s="150"/>
      <c r="AR497" s="151"/>
      <c r="AS497" s="456"/>
      <c r="AT497" s="466"/>
      <c r="AU497" s="150"/>
      <c r="AV497" s="487"/>
      <c r="AW497" s="150"/>
      <c r="AX497" s="150"/>
      <c r="AY497" s="466"/>
      <c r="AZ497" s="466"/>
      <c r="BA497" s="150"/>
      <c r="BB497" s="150"/>
      <c r="BC497" s="466"/>
      <c r="BD497" s="466"/>
      <c r="BE497" s="466"/>
      <c r="BF497" s="466"/>
      <c r="BG497" s="150"/>
      <c r="BH497" s="150"/>
      <c r="BI497" s="150"/>
      <c r="BJ497" s="466"/>
      <c r="BK497" s="152"/>
      <c r="BL497" s="160"/>
      <c r="BM497" s="150"/>
      <c r="BN497" s="466"/>
      <c r="BO497" s="150"/>
      <c r="BP497" s="516"/>
      <c r="BQ497" s="160"/>
      <c r="BR497" s="152"/>
      <c r="BS497" s="160"/>
    </row>
    <row r="498" spans="1:71" x14ac:dyDescent="0.3">
      <c r="A498" s="420">
        <f>DL!A495</f>
        <v>452</v>
      </c>
      <c r="B498" s="19" t="s">
        <v>1350</v>
      </c>
      <c r="C498" s="149">
        <v>400</v>
      </c>
      <c r="D498" s="149">
        <f>DL!C495</f>
        <v>10</v>
      </c>
      <c r="E498" s="150"/>
      <c r="F498" s="463"/>
      <c r="G498" s="150"/>
      <c r="H498" s="150"/>
      <c r="I498" s="466"/>
      <c r="J498" s="150"/>
      <c r="K498" s="168"/>
      <c r="L498" s="466"/>
      <c r="M498" s="150"/>
      <c r="N498" s="466"/>
      <c r="O498" s="150"/>
      <c r="P498" s="150"/>
      <c r="Q498" s="150"/>
      <c r="R498" s="472"/>
      <c r="S498" s="466"/>
      <c r="T498" s="150"/>
      <c r="U498" s="150"/>
      <c r="V498" s="150"/>
      <c r="W498" s="168"/>
      <c r="X498" s="150"/>
      <c r="Y498" s="466"/>
      <c r="Z498" s="455"/>
      <c r="AA498" s="150"/>
      <c r="AB498" s="490"/>
      <c r="AC498" s="150"/>
      <c r="AD498" s="150"/>
      <c r="AE498" s="466"/>
      <c r="AF498" s="499"/>
      <c r="AG498" s="150"/>
      <c r="AH498" s="150"/>
      <c r="AI498" s="150"/>
      <c r="AJ498" s="150"/>
      <c r="AK498" s="150"/>
      <c r="AL498" s="150"/>
      <c r="AM498" s="150"/>
      <c r="AN498" s="467">
        <v>1400</v>
      </c>
      <c r="AO498" s="466"/>
      <c r="AP498" s="150"/>
      <c r="AQ498" s="150"/>
      <c r="AR498" s="151"/>
      <c r="AS498" s="456"/>
      <c r="AT498" s="466"/>
      <c r="AU498" s="150"/>
      <c r="AV498" s="487"/>
      <c r="AW498" s="150"/>
      <c r="AX498" s="150"/>
      <c r="AY498" s="466"/>
      <c r="AZ498" s="466">
        <v>3500</v>
      </c>
      <c r="BA498" s="150"/>
      <c r="BB498" s="150"/>
      <c r="BC498" s="466"/>
      <c r="BD498" s="466"/>
      <c r="BE498" s="466"/>
      <c r="BF498" s="466"/>
      <c r="BG498" s="150"/>
      <c r="BH498" s="150"/>
      <c r="BI498" s="150"/>
      <c r="BJ498" s="466"/>
      <c r="BK498" s="152"/>
      <c r="BL498" s="160"/>
      <c r="BM498" s="150"/>
      <c r="BN498" s="466"/>
      <c r="BO498" s="150"/>
      <c r="BP498" s="516"/>
      <c r="BQ498" s="160"/>
      <c r="BR498" s="152"/>
      <c r="BS498" s="160"/>
    </row>
    <row r="499" spans="1:71" x14ac:dyDescent="0.3">
      <c r="A499" s="420">
        <f>DL!A496</f>
        <v>453</v>
      </c>
      <c r="B499" s="19" t="s">
        <v>1123</v>
      </c>
      <c r="C499" s="149">
        <f>DL!L496</f>
        <v>500</v>
      </c>
      <c r="D499" s="149">
        <f>DL!C496</f>
        <v>20</v>
      </c>
      <c r="E499" s="150"/>
      <c r="F499" s="463"/>
      <c r="G499" s="150"/>
      <c r="H499" s="150"/>
      <c r="I499" s="466"/>
      <c r="J499" s="150"/>
      <c r="K499" s="168"/>
      <c r="L499" s="466"/>
      <c r="M499" s="150"/>
      <c r="N499" s="466"/>
      <c r="O499" s="150"/>
      <c r="P499" s="150"/>
      <c r="Q499" s="150"/>
      <c r="R499" s="472"/>
      <c r="S499" s="466"/>
      <c r="T499" s="150"/>
      <c r="U499" s="150"/>
      <c r="V499" s="150"/>
      <c r="W499" s="168"/>
      <c r="X499" s="150"/>
      <c r="Y499" s="466"/>
      <c r="Z499" s="455"/>
      <c r="AA499" s="150"/>
      <c r="AB499" s="490"/>
      <c r="AC499" s="150"/>
      <c r="AD499" s="150"/>
      <c r="AE499" s="466"/>
      <c r="AF499" s="499"/>
      <c r="AG499" s="150"/>
      <c r="AH499" s="150"/>
      <c r="AI499" s="150"/>
      <c r="AJ499" s="150"/>
      <c r="AK499" s="150"/>
      <c r="AL499" s="150"/>
      <c r="AM499" s="150"/>
      <c r="AN499" s="466"/>
      <c r="AO499" s="466"/>
      <c r="AP499" s="150"/>
      <c r="AQ499" s="150"/>
      <c r="AR499" s="151"/>
      <c r="AS499" s="456"/>
      <c r="AT499" s="466"/>
      <c r="AU499" s="150"/>
      <c r="AV499" s="487"/>
      <c r="AW499" s="150"/>
      <c r="AX499" s="150"/>
      <c r="AY499" s="466"/>
      <c r="AZ499" s="466">
        <v>735</v>
      </c>
      <c r="BA499" s="150"/>
      <c r="BB499" s="150"/>
      <c r="BC499" s="466"/>
      <c r="BD499" s="466"/>
      <c r="BE499" s="466"/>
      <c r="BF499" s="466"/>
      <c r="BG499" s="150"/>
      <c r="BH499" s="150"/>
      <c r="BI499" s="150"/>
      <c r="BJ499" s="466"/>
      <c r="BK499" s="152"/>
      <c r="BL499" s="160"/>
      <c r="BM499" s="150"/>
      <c r="BN499" s="466"/>
      <c r="BO499" s="150"/>
      <c r="BP499" s="516"/>
      <c r="BQ499" s="160"/>
      <c r="BR499" s="152"/>
      <c r="BS499" s="160"/>
    </row>
    <row r="500" spans="1:71" x14ac:dyDescent="0.3">
      <c r="A500" s="420">
        <f>DL!A497</f>
        <v>454</v>
      </c>
      <c r="B500" s="19" t="s">
        <v>272</v>
      </c>
      <c r="C500" s="149">
        <f>DL!L497</f>
        <v>1000</v>
      </c>
      <c r="D500" s="149">
        <f>DL!C497</f>
        <v>10</v>
      </c>
      <c r="E500" s="150"/>
      <c r="F500" s="463"/>
      <c r="G500" s="150"/>
      <c r="H500" s="150"/>
      <c r="I500" s="466"/>
      <c r="J500" s="150"/>
      <c r="K500" s="168"/>
      <c r="L500" s="466"/>
      <c r="M500" s="150"/>
      <c r="N500" s="466"/>
      <c r="O500" s="150"/>
      <c r="P500" s="150"/>
      <c r="Q500" s="150"/>
      <c r="R500" s="473">
        <v>42.756999999999998</v>
      </c>
      <c r="S500" s="466"/>
      <c r="T500" s="150"/>
      <c r="U500" s="150"/>
      <c r="V500" s="150"/>
      <c r="W500" s="168"/>
      <c r="X500" s="150"/>
      <c r="Y500" s="466"/>
      <c r="Z500" s="455"/>
      <c r="AA500" s="150"/>
      <c r="AB500" s="490"/>
      <c r="AC500" s="150"/>
      <c r="AD500" s="150"/>
      <c r="AE500" s="466"/>
      <c r="AF500" s="499"/>
      <c r="AG500" s="150"/>
      <c r="AH500" s="150"/>
      <c r="AI500" s="150"/>
      <c r="AJ500" s="150"/>
      <c r="AK500" s="150"/>
      <c r="AL500" s="150"/>
      <c r="AM500" s="150"/>
      <c r="AN500" s="466"/>
      <c r="AO500" s="466"/>
      <c r="AP500" s="150"/>
      <c r="AQ500" s="150"/>
      <c r="AR500" s="151"/>
      <c r="AS500" s="456"/>
      <c r="AT500" s="466"/>
      <c r="AU500" s="150"/>
      <c r="AV500" s="487"/>
      <c r="AW500" s="150"/>
      <c r="AX500" s="150"/>
      <c r="AY500" s="466"/>
      <c r="AZ500" s="466"/>
      <c r="BA500" s="150"/>
      <c r="BB500" s="150"/>
      <c r="BC500" s="466"/>
      <c r="BD500" s="466"/>
      <c r="BE500" s="466"/>
      <c r="BF500" s="466"/>
      <c r="BG500" s="150"/>
      <c r="BH500" s="150"/>
      <c r="BI500" s="150"/>
      <c r="BJ500" s="466"/>
      <c r="BK500" s="152"/>
      <c r="BL500" s="160"/>
      <c r="BM500" s="150"/>
      <c r="BN500" s="466"/>
      <c r="BO500" s="150"/>
      <c r="BP500" s="516"/>
      <c r="BQ500" s="160"/>
      <c r="BR500" s="152"/>
      <c r="BS500" s="160"/>
    </row>
    <row r="501" spans="1:71" x14ac:dyDescent="0.3">
      <c r="A501" s="420"/>
      <c r="B501" s="19"/>
      <c r="C501" s="149">
        <f>DL!L498</f>
        <v>0</v>
      </c>
      <c r="D501" s="149">
        <f>DL!C498</f>
        <v>0</v>
      </c>
      <c r="E501" s="150"/>
      <c r="F501" s="463"/>
      <c r="G501" s="150"/>
      <c r="H501" s="150"/>
      <c r="I501" s="466"/>
      <c r="J501" s="150"/>
      <c r="K501" s="168"/>
      <c r="L501" s="466"/>
      <c r="M501" s="150"/>
      <c r="N501" s="466"/>
      <c r="O501" s="150"/>
      <c r="P501" s="150"/>
      <c r="Q501" s="150"/>
      <c r="R501" s="472"/>
      <c r="S501" s="466"/>
      <c r="T501" s="150"/>
      <c r="U501" s="150"/>
      <c r="V501" s="150"/>
      <c r="W501" s="168"/>
      <c r="X501" s="150"/>
      <c r="Y501" s="466"/>
      <c r="Z501" s="455"/>
      <c r="AA501" s="150"/>
      <c r="AB501" s="490"/>
      <c r="AC501" s="150"/>
      <c r="AD501" s="150"/>
      <c r="AE501" s="466"/>
      <c r="AF501" s="499"/>
      <c r="AG501" s="150"/>
      <c r="AH501" s="150"/>
      <c r="AI501" s="150"/>
      <c r="AJ501" s="150"/>
      <c r="AK501" s="150"/>
      <c r="AL501" s="150"/>
      <c r="AM501" s="150"/>
      <c r="AN501" s="466"/>
      <c r="AO501" s="466"/>
      <c r="AP501" s="150"/>
      <c r="AQ501" s="150"/>
      <c r="AR501" s="151"/>
      <c r="AS501" s="456"/>
      <c r="AT501" s="466"/>
      <c r="AU501" s="150"/>
      <c r="AV501" s="487"/>
      <c r="AW501" s="150"/>
      <c r="AX501" s="150"/>
      <c r="AY501" s="466"/>
      <c r="AZ501" s="466"/>
      <c r="BA501" s="150"/>
      <c r="BB501" s="150"/>
      <c r="BC501" s="466"/>
      <c r="BD501" s="466"/>
      <c r="BE501" s="466"/>
      <c r="BF501" s="466"/>
      <c r="BG501" s="150"/>
      <c r="BH501" s="150"/>
      <c r="BI501" s="150"/>
      <c r="BJ501" s="466"/>
      <c r="BK501" s="152"/>
      <c r="BL501" s="160"/>
      <c r="BM501" s="150"/>
      <c r="BN501" s="466"/>
      <c r="BO501" s="150"/>
      <c r="BP501" s="516"/>
      <c r="BQ501" s="160"/>
      <c r="BR501" s="152"/>
      <c r="BS501" s="160"/>
    </row>
    <row r="502" spans="1:71" x14ac:dyDescent="0.3">
      <c r="A502" s="420"/>
      <c r="B502" s="16"/>
      <c r="C502" s="149">
        <f>DL!L499</f>
        <v>0</v>
      </c>
      <c r="D502" s="149">
        <f>DL!C499</f>
        <v>0</v>
      </c>
      <c r="E502" s="150"/>
      <c r="F502" s="463"/>
      <c r="G502" s="150"/>
      <c r="H502" s="150"/>
      <c r="I502" s="466"/>
      <c r="J502" s="150"/>
      <c r="K502" s="168"/>
      <c r="L502" s="466"/>
      <c r="M502" s="150"/>
      <c r="N502" s="466"/>
      <c r="O502" s="150"/>
      <c r="P502" s="150"/>
      <c r="Q502" s="150"/>
      <c r="R502" s="472"/>
      <c r="S502" s="466"/>
      <c r="T502" s="150"/>
      <c r="U502" s="150"/>
      <c r="V502" s="150"/>
      <c r="W502" s="168"/>
      <c r="X502" s="150"/>
      <c r="Y502" s="466"/>
      <c r="Z502" s="455"/>
      <c r="AA502" s="150"/>
      <c r="AB502" s="490"/>
      <c r="AC502" s="150"/>
      <c r="AD502" s="150"/>
      <c r="AE502" s="466"/>
      <c r="AF502" s="499"/>
      <c r="AG502" s="150"/>
      <c r="AH502" s="150"/>
      <c r="AI502" s="150"/>
      <c r="AJ502" s="150"/>
      <c r="AK502" s="150"/>
      <c r="AL502" s="150"/>
      <c r="AM502" s="150"/>
      <c r="AN502" s="466"/>
      <c r="AO502" s="466"/>
      <c r="AP502" s="150"/>
      <c r="AQ502" s="150"/>
      <c r="AR502" s="151"/>
      <c r="AS502" s="456"/>
      <c r="AT502" s="466"/>
      <c r="AU502" s="150"/>
      <c r="AV502" s="487"/>
      <c r="AW502" s="150"/>
      <c r="AX502" s="150"/>
      <c r="AY502" s="466"/>
      <c r="AZ502" s="466"/>
      <c r="BA502" s="150"/>
      <c r="BB502" s="150"/>
      <c r="BC502" s="466"/>
      <c r="BD502" s="466"/>
      <c r="BE502" s="466"/>
      <c r="BF502" s="466"/>
      <c r="BG502" s="150"/>
      <c r="BH502" s="150"/>
      <c r="BI502" s="150"/>
      <c r="BJ502" s="466"/>
      <c r="BK502" s="152"/>
      <c r="BL502" s="160"/>
      <c r="BM502" s="150"/>
      <c r="BN502" s="466"/>
      <c r="BO502" s="150"/>
      <c r="BP502" s="516"/>
      <c r="BQ502" s="160"/>
      <c r="BR502" s="152"/>
      <c r="BS502" s="160"/>
    </row>
    <row r="503" spans="1:71" x14ac:dyDescent="0.3">
      <c r="A503" s="420" t="str">
        <f>DL!A500</f>
        <v>LOT 10</v>
      </c>
      <c r="B503" s="19" t="s">
        <v>274</v>
      </c>
      <c r="C503" s="149">
        <f>DL!L500</f>
        <v>0</v>
      </c>
      <c r="D503" s="149">
        <f>DL!C500</f>
        <v>0</v>
      </c>
      <c r="E503" s="150"/>
      <c r="F503" s="463"/>
      <c r="G503" s="150"/>
      <c r="H503" s="150"/>
      <c r="I503" s="466"/>
      <c r="J503" s="150"/>
      <c r="K503" s="168"/>
      <c r="L503" s="466"/>
      <c r="M503" s="150"/>
      <c r="N503" s="466"/>
      <c r="O503" s="150"/>
      <c r="P503" s="150"/>
      <c r="Q503" s="150"/>
      <c r="R503" s="474"/>
      <c r="S503" s="466"/>
      <c r="T503" s="150"/>
      <c r="U503" s="150"/>
      <c r="V503" s="150"/>
      <c r="W503" s="168"/>
      <c r="X503" s="150"/>
      <c r="Y503" s="466"/>
      <c r="Z503" s="455"/>
      <c r="AA503" s="150"/>
      <c r="AB503" s="490"/>
      <c r="AC503" s="150"/>
      <c r="AD503" s="150"/>
      <c r="AE503" s="466"/>
      <c r="AF503" s="499"/>
      <c r="AG503" s="150"/>
      <c r="AH503" s="150"/>
      <c r="AI503" s="150"/>
      <c r="AJ503" s="150"/>
      <c r="AK503" s="150"/>
      <c r="AL503" s="150"/>
      <c r="AM503" s="150"/>
      <c r="AN503" s="466"/>
      <c r="AO503" s="466"/>
      <c r="AP503" s="150"/>
      <c r="AQ503" s="150"/>
      <c r="AR503" s="151"/>
      <c r="AS503" s="456"/>
      <c r="AT503" s="466"/>
      <c r="AU503" s="150"/>
      <c r="AV503" s="487"/>
      <c r="AW503" s="150"/>
      <c r="AX503" s="150"/>
      <c r="AY503" s="466"/>
      <c r="AZ503" s="466"/>
      <c r="BA503" s="150"/>
      <c r="BB503" s="150"/>
      <c r="BC503" s="466"/>
      <c r="BD503" s="466"/>
      <c r="BE503" s="466"/>
      <c r="BF503" s="466"/>
      <c r="BG503" s="150"/>
      <c r="BH503" s="150"/>
      <c r="BI503" s="150"/>
      <c r="BJ503" s="466"/>
      <c r="BK503" s="152"/>
      <c r="BL503" s="160"/>
      <c r="BM503" s="150"/>
      <c r="BN503" s="466"/>
      <c r="BO503" s="150"/>
      <c r="BP503" s="516"/>
      <c r="BQ503" s="160"/>
      <c r="BR503" s="152"/>
      <c r="BS503" s="160"/>
    </row>
    <row r="504" spans="1:71" x14ac:dyDescent="0.3">
      <c r="A504" s="420"/>
      <c r="B504" s="19" t="s">
        <v>275</v>
      </c>
      <c r="C504" s="149">
        <f>DL!L501</f>
        <v>0</v>
      </c>
      <c r="D504" s="149">
        <f>DL!C501</f>
        <v>0</v>
      </c>
      <c r="E504" s="150"/>
      <c r="F504" s="463"/>
      <c r="G504" s="150"/>
      <c r="H504" s="150"/>
      <c r="I504" s="466"/>
      <c r="J504" s="150"/>
      <c r="K504" s="168"/>
      <c r="L504" s="466"/>
      <c r="M504" s="150"/>
      <c r="N504" s="466"/>
      <c r="O504" s="150"/>
      <c r="P504" s="150"/>
      <c r="Q504" s="150"/>
      <c r="R504" s="474"/>
      <c r="S504" s="466"/>
      <c r="T504" s="150"/>
      <c r="U504" s="150"/>
      <c r="V504" s="150"/>
      <c r="W504" s="168"/>
      <c r="X504" s="150"/>
      <c r="Y504" s="466"/>
      <c r="Z504" s="455"/>
      <c r="AA504" s="150"/>
      <c r="AB504" s="490"/>
      <c r="AC504" s="150"/>
      <c r="AD504" s="150"/>
      <c r="AE504" s="466"/>
      <c r="AF504" s="499"/>
      <c r="AG504" s="150"/>
      <c r="AH504" s="150"/>
      <c r="AI504" s="150"/>
      <c r="AJ504" s="150"/>
      <c r="AK504" s="150"/>
      <c r="AL504" s="150"/>
      <c r="AM504" s="150"/>
      <c r="AN504" s="466"/>
      <c r="AO504" s="466"/>
      <c r="AP504" s="150"/>
      <c r="AQ504" s="150"/>
      <c r="AR504" s="151"/>
      <c r="AS504" s="456"/>
      <c r="AT504" s="466"/>
      <c r="AU504" s="150"/>
      <c r="AV504" s="487"/>
      <c r="AW504" s="150"/>
      <c r="AX504" s="150"/>
      <c r="AY504" s="466"/>
      <c r="AZ504" s="466"/>
      <c r="BA504" s="150"/>
      <c r="BB504" s="150"/>
      <c r="BC504" s="466"/>
      <c r="BD504" s="466"/>
      <c r="BE504" s="466"/>
      <c r="BF504" s="466"/>
      <c r="BG504" s="150"/>
      <c r="BH504" s="150"/>
      <c r="BI504" s="150"/>
      <c r="BJ504" s="466"/>
      <c r="BK504" s="152"/>
      <c r="BL504" s="160"/>
      <c r="BM504" s="150"/>
      <c r="BN504" s="466"/>
      <c r="BO504" s="150"/>
      <c r="BP504" s="516"/>
      <c r="BQ504" s="160"/>
      <c r="BR504" s="152"/>
      <c r="BS504" s="160"/>
    </row>
    <row r="505" spans="1:71" x14ac:dyDescent="0.3">
      <c r="A505" s="420">
        <f>DL!A502</f>
        <v>455</v>
      </c>
      <c r="B505" s="19" t="s">
        <v>276</v>
      </c>
      <c r="C505" s="149">
        <f>DL!L502</f>
        <v>1040</v>
      </c>
      <c r="D505" s="149" t="str">
        <f>DL!C502</f>
        <v>AMP</v>
      </c>
      <c r="E505" s="150">
        <v>650</v>
      </c>
      <c r="F505" s="463"/>
      <c r="G505" s="150"/>
      <c r="H505" s="150"/>
      <c r="I505" s="466"/>
      <c r="J505" s="150"/>
      <c r="K505" s="168"/>
      <c r="L505" s="466"/>
      <c r="M505" s="150"/>
      <c r="N505" s="466"/>
      <c r="O505" s="150"/>
      <c r="P505" s="150"/>
      <c r="Q505" s="150"/>
      <c r="R505" s="472"/>
      <c r="S505" s="466">
        <v>40</v>
      </c>
      <c r="T505" s="150"/>
      <c r="U505" s="150"/>
      <c r="V505" s="150"/>
      <c r="W505" s="168"/>
      <c r="X505" s="150"/>
      <c r="Y505" s="466"/>
      <c r="Z505" s="455"/>
      <c r="AA505" s="150"/>
      <c r="AB505" s="490"/>
      <c r="AC505" s="150"/>
      <c r="AD505" s="150"/>
      <c r="AE505" s="466"/>
      <c r="AF505" s="499"/>
      <c r="AG505" s="150"/>
      <c r="AH505" s="150"/>
      <c r="AI505" s="150"/>
      <c r="AJ505" s="150"/>
      <c r="AK505" s="150"/>
      <c r="AL505" s="150"/>
      <c r="AM505" s="150"/>
      <c r="AN505" s="466"/>
      <c r="AO505" s="466"/>
      <c r="AP505" s="150"/>
      <c r="AQ505" s="150"/>
      <c r="AR505" s="151"/>
      <c r="AS505" s="456"/>
      <c r="AT505" s="466"/>
      <c r="AU505" s="150"/>
      <c r="AV505" s="487"/>
      <c r="AW505" s="150"/>
      <c r="AX505" s="150"/>
      <c r="AY505" s="466"/>
      <c r="AZ505" s="466"/>
      <c r="BA505" s="150"/>
      <c r="BB505" s="150"/>
      <c r="BC505" s="466"/>
      <c r="BD505" s="466"/>
      <c r="BE505" s="466"/>
      <c r="BF505" s="466"/>
      <c r="BG505" s="150"/>
      <c r="BH505" s="150"/>
      <c r="BI505" s="150"/>
      <c r="BJ505" s="466"/>
      <c r="BK505" s="152"/>
      <c r="BL505" s="160"/>
      <c r="BM505" s="150"/>
      <c r="BN505" s="466"/>
      <c r="BO505" s="150"/>
      <c r="BP505" s="516"/>
      <c r="BQ505" s="160"/>
      <c r="BR505" s="152"/>
      <c r="BS505" s="160"/>
    </row>
    <row r="506" spans="1:71" x14ac:dyDescent="0.3">
      <c r="A506" s="420">
        <f>DL!A503</f>
        <v>456</v>
      </c>
      <c r="B506" s="19" t="s">
        <v>694</v>
      </c>
      <c r="C506" s="149">
        <f>DL!L503</f>
        <v>2</v>
      </c>
      <c r="D506" s="149">
        <f>DL!C503</f>
        <v>1000</v>
      </c>
      <c r="E506" s="150"/>
      <c r="F506" s="463"/>
      <c r="G506" s="150"/>
      <c r="H506" s="150"/>
      <c r="I506" s="466"/>
      <c r="J506" s="150"/>
      <c r="K506" s="168"/>
      <c r="L506" s="466"/>
      <c r="M506" s="150"/>
      <c r="N506" s="466"/>
      <c r="O506" s="150"/>
      <c r="P506" s="150"/>
      <c r="Q506" s="150"/>
      <c r="R506" s="472"/>
      <c r="S506" s="466">
        <v>2200</v>
      </c>
      <c r="T506" s="150"/>
      <c r="U506" s="150"/>
      <c r="V506" s="150"/>
      <c r="W506" s="168"/>
      <c r="X506" s="150"/>
      <c r="Y506" s="466"/>
      <c r="Z506" s="455"/>
      <c r="AA506" s="150"/>
      <c r="AB506" s="490"/>
      <c r="AC506" s="150"/>
      <c r="AD506" s="150"/>
      <c r="AE506" s="466"/>
      <c r="AF506" s="499"/>
      <c r="AG506" s="150"/>
      <c r="AH506" s="150"/>
      <c r="AI506" s="150"/>
      <c r="AJ506" s="150"/>
      <c r="AK506" s="150"/>
      <c r="AL506" s="150"/>
      <c r="AM506" s="150"/>
      <c r="AN506" s="466"/>
      <c r="AO506" s="466"/>
      <c r="AP506" s="150"/>
      <c r="AQ506" s="150"/>
      <c r="AR506" s="151"/>
      <c r="AS506" s="456"/>
      <c r="AT506" s="466"/>
      <c r="AU506" s="150"/>
      <c r="AV506" s="487"/>
      <c r="AW506" s="150"/>
      <c r="AX506" s="150"/>
      <c r="AY506" s="466"/>
      <c r="AZ506" s="466"/>
      <c r="BA506" s="150"/>
      <c r="BB506" s="150"/>
      <c r="BC506" s="466"/>
      <c r="BD506" s="466"/>
      <c r="BE506" s="466"/>
      <c r="BF506" s="466"/>
      <c r="BG506" s="150"/>
      <c r="BH506" s="150"/>
      <c r="BI506" s="150"/>
      <c r="BJ506" s="466"/>
      <c r="BK506" s="152"/>
      <c r="BL506" s="160"/>
      <c r="BM506" s="150"/>
      <c r="BN506" s="466"/>
      <c r="BO506" s="150"/>
      <c r="BP506" s="516"/>
      <c r="BQ506" s="160"/>
      <c r="BR506" s="152"/>
      <c r="BS506" s="160"/>
    </row>
    <row r="507" spans="1:71" x14ac:dyDescent="0.3">
      <c r="A507" s="420">
        <f>DL!A504</f>
        <v>457</v>
      </c>
      <c r="B507" s="19" t="s">
        <v>468</v>
      </c>
      <c r="C507" s="149">
        <f>DL!L504</f>
        <v>20</v>
      </c>
      <c r="D507" s="149">
        <f>DL!C504</f>
        <v>100</v>
      </c>
      <c r="E507" s="150"/>
      <c r="F507" s="463"/>
      <c r="G507" s="150"/>
      <c r="H507" s="150"/>
      <c r="I507" s="466"/>
      <c r="J507" s="150"/>
      <c r="K507" s="168"/>
      <c r="L507" s="466"/>
      <c r="M507" s="150"/>
      <c r="N507" s="466"/>
      <c r="O507" s="150"/>
      <c r="P507" s="150"/>
      <c r="Q507" s="150"/>
      <c r="R507" s="472"/>
      <c r="S507" s="466"/>
      <c r="T507" s="150"/>
      <c r="U507" s="150"/>
      <c r="V507" s="150"/>
      <c r="W507" s="168"/>
      <c r="X507" s="150"/>
      <c r="Y507" s="466"/>
      <c r="Z507" s="455"/>
      <c r="AA507" s="150"/>
      <c r="AB507" s="490"/>
      <c r="AC507" s="150"/>
      <c r="AD507" s="150"/>
      <c r="AE507" s="466"/>
      <c r="AF507" s="499"/>
      <c r="AG507" s="150"/>
      <c r="AH507" s="150"/>
      <c r="AI507" s="150"/>
      <c r="AJ507" s="150"/>
      <c r="AK507" s="150"/>
      <c r="AL507" s="150"/>
      <c r="AM507" s="150"/>
      <c r="AN507" s="466"/>
      <c r="AO507" s="466"/>
      <c r="AP507" s="150"/>
      <c r="AQ507" s="150"/>
      <c r="AR507" s="151"/>
      <c r="AS507" s="456"/>
      <c r="AT507" s="466"/>
      <c r="AU507" s="150"/>
      <c r="AV507" s="487"/>
      <c r="AW507" s="150"/>
      <c r="AX507" s="150"/>
      <c r="AY507" s="466"/>
      <c r="AZ507" s="466"/>
      <c r="BA507" s="150"/>
      <c r="BB507" s="150"/>
      <c r="BC507" s="466"/>
      <c r="BD507" s="466"/>
      <c r="BE507" s="466"/>
      <c r="BF507" s="466"/>
      <c r="BG507" s="150"/>
      <c r="BH507" s="150"/>
      <c r="BI507" s="150"/>
      <c r="BJ507" s="466"/>
      <c r="BK507" s="152"/>
      <c r="BL507" s="160"/>
      <c r="BM507" s="150"/>
      <c r="BN507" s="466"/>
      <c r="BO507" s="150"/>
      <c r="BP507" s="516"/>
      <c r="BQ507" s="160"/>
      <c r="BR507" s="152"/>
      <c r="BS507" s="160"/>
    </row>
    <row r="508" spans="1:71" x14ac:dyDescent="0.3">
      <c r="A508" s="420">
        <f>DL!A505</f>
        <v>458</v>
      </c>
      <c r="B508" s="19" t="s">
        <v>277</v>
      </c>
      <c r="C508" s="149">
        <f>DL!L505</f>
        <v>100</v>
      </c>
      <c r="D508" s="149" t="str">
        <f>DL!C505</f>
        <v>PCS</v>
      </c>
      <c r="E508" s="150"/>
      <c r="F508" s="463"/>
      <c r="G508" s="150"/>
      <c r="H508" s="150"/>
      <c r="I508" s="466"/>
      <c r="J508" s="150"/>
      <c r="K508" s="168"/>
      <c r="L508" s="466"/>
      <c r="M508" s="150"/>
      <c r="N508" s="466"/>
      <c r="O508" s="150"/>
      <c r="P508" s="150"/>
      <c r="Q508" s="150"/>
      <c r="R508" s="472"/>
      <c r="S508" s="466">
        <v>1950</v>
      </c>
      <c r="T508" s="150"/>
      <c r="U508" s="150"/>
      <c r="V508" s="150"/>
      <c r="W508" s="168"/>
      <c r="X508" s="150">
        <v>1550.92</v>
      </c>
      <c r="Y508" s="466"/>
      <c r="Z508" s="455"/>
      <c r="AA508" s="150"/>
      <c r="AB508" s="490"/>
      <c r="AC508" s="150"/>
      <c r="AD508" s="150"/>
      <c r="AE508" s="466"/>
      <c r="AF508" s="499"/>
      <c r="AG508" s="150"/>
      <c r="AH508" s="150"/>
      <c r="AI508" s="150"/>
      <c r="AJ508" s="150"/>
      <c r="AK508" s="150"/>
      <c r="AL508" s="150"/>
      <c r="AM508" s="150"/>
      <c r="AN508" s="466"/>
      <c r="AO508" s="466"/>
      <c r="AP508" s="150"/>
      <c r="AQ508" s="150"/>
      <c r="AR508" s="151"/>
      <c r="AS508" s="456"/>
      <c r="AT508" s="466"/>
      <c r="AU508" s="150"/>
      <c r="AV508" s="487"/>
      <c r="AW508" s="150"/>
      <c r="AX508" s="150"/>
      <c r="AY508" s="466"/>
      <c r="AZ508" s="466">
        <v>0</v>
      </c>
      <c r="BA508" s="150"/>
      <c r="BB508" s="150"/>
      <c r="BC508" s="466"/>
      <c r="BD508" s="466"/>
      <c r="BE508" s="466"/>
      <c r="BF508" s="466"/>
      <c r="BG508" s="150"/>
      <c r="BH508" s="150"/>
      <c r="BI508" s="150"/>
      <c r="BJ508" s="466"/>
      <c r="BK508" s="152"/>
      <c r="BL508" s="160"/>
      <c r="BM508" s="150"/>
      <c r="BN508" s="466"/>
      <c r="BO508" s="150">
        <v>1618</v>
      </c>
      <c r="BP508" s="516"/>
      <c r="BQ508" s="160"/>
      <c r="BR508" s="152"/>
      <c r="BS508" s="160"/>
    </row>
    <row r="509" spans="1:71" x14ac:dyDescent="0.3">
      <c r="A509" s="420">
        <f>DL!A506</f>
        <v>459</v>
      </c>
      <c r="B509" s="19" t="s">
        <v>278</v>
      </c>
      <c r="C509" s="149">
        <f>DL!L506</f>
        <v>12</v>
      </c>
      <c r="D509" s="149" t="str">
        <f>DL!C506</f>
        <v>PCS</v>
      </c>
      <c r="E509" s="150"/>
      <c r="F509" s="463"/>
      <c r="G509" s="150"/>
      <c r="H509" s="150"/>
      <c r="I509" s="466"/>
      <c r="J509" s="150"/>
      <c r="K509" s="168"/>
      <c r="L509" s="466"/>
      <c r="M509" s="150"/>
      <c r="N509" s="466"/>
      <c r="O509" s="150"/>
      <c r="P509" s="150"/>
      <c r="Q509" s="150"/>
      <c r="R509" s="472"/>
      <c r="S509" s="466">
        <v>1950</v>
      </c>
      <c r="T509" s="150"/>
      <c r="U509" s="150"/>
      <c r="V509" s="150"/>
      <c r="W509" s="168"/>
      <c r="X509" s="150">
        <v>1514.96</v>
      </c>
      <c r="Y509" s="466"/>
      <c r="Z509" s="455"/>
      <c r="AA509" s="150"/>
      <c r="AB509" s="490"/>
      <c r="AC509" s="150"/>
      <c r="AD509" s="150"/>
      <c r="AE509" s="466"/>
      <c r="AF509" s="499"/>
      <c r="AG509" s="150"/>
      <c r="AH509" s="150"/>
      <c r="AI509" s="150"/>
      <c r="AJ509" s="150"/>
      <c r="AK509" s="150"/>
      <c r="AL509" s="150"/>
      <c r="AM509" s="150"/>
      <c r="AN509" s="466"/>
      <c r="AO509" s="466"/>
      <c r="AP509" s="150"/>
      <c r="AQ509" s="150"/>
      <c r="AR509" s="151"/>
      <c r="AS509" s="456"/>
      <c r="AT509" s="466"/>
      <c r="AU509" s="150"/>
      <c r="AV509" s="487"/>
      <c r="AW509" s="150"/>
      <c r="AX509" s="150"/>
      <c r="AY509" s="466"/>
      <c r="AZ509" s="466"/>
      <c r="BA509" s="150"/>
      <c r="BB509" s="150"/>
      <c r="BC509" s="466"/>
      <c r="BD509" s="466"/>
      <c r="BE509" s="466"/>
      <c r="BF509" s="466"/>
      <c r="BG509" s="150"/>
      <c r="BH509" s="150"/>
      <c r="BI509" s="150"/>
      <c r="BJ509" s="466"/>
      <c r="BK509" s="152"/>
      <c r="BL509" s="160"/>
      <c r="BM509" s="150"/>
      <c r="BN509" s="466"/>
      <c r="BO509" s="150"/>
      <c r="BP509" s="516"/>
      <c r="BQ509" s="160"/>
      <c r="BR509" s="152"/>
      <c r="BS509" s="160"/>
    </row>
    <row r="510" spans="1:71" x14ac:dyDescent="0.3">
      <c r="A510" s="420">
        <f>DL!A507</f>
        <v>460</v>
      </c>
      <c r="B510" s="19" t="s">
        <v>469</v>
      </c>
      <c r="C510" s="149">
        <f>DL!L507</f>
        <v>52</v>
      </c>
      <c r="D510" s="149" t="str">
        <f>DL!C507</f>
        <v>PCS</v>
      </c>
      <c r="E510" s="150"/>
      <c r="F510" s="463"/>
      <c r="G510" s="150"/>
      <c r="H510" s="150"/>
      <c r="I510" s="466"/>
      <c r="J510" s="150"/>
      <c r="K510" s="168"/>
      <c r="L510" s="466"/>
      <c r="M510" s="150"/>
      <c r="N510" s="466"/>
      <c r="O510" s="150"/>
      <c r="P510" s="150"/>
      <c r="Q510" s="150"/>
      <c r="R510" s="472"/>
      <c r="S510" s="466"/>
      <c r="T510" s="150"/>
      <c r="U510" s="150"/>
      <c r="V510" s="150"/>
      <c r="W510" s="168"/>
      <c r="X510" s="150">
        <v>1415.2</v>
      </c>
      <c r="Y510" s="466"/>
      <c r="Z510" s="455"/>
      <c r="AA510" s="150"/>
      <c r="AB510" s="490"/>
      <c r="AC510" s="150"/>
      <c r="AD510" s="150"/>
      <c r="AE510" s="466"/>
      <c r="AF510" s="499"/>
      <c r="AG510" s="150"/>
      <c r="AH510" s="150"/>
      <c r="AI510" s="150"/>
      <c r="AJ510" s="150"/>
      <c r="AK510" s="150"/>
      <c r="AL510" s="150"/>
      <c r="AM510" s="150"/>
      <c r="AN510" s="466"/>
      <c r="AO510" s="466"/>
      <c r="AP510" s="150"/>
      <c r="AQ510" s="150"/>
      <c r="AR510" s="151"/>
      <c r="AS510" s="456"/>
      <c r="AT510" s="466"/>
      <c r="AU510" s="150"/>
      <c r="AV510" s="487"/>
      <c r="AW510" s="150"/>
      <c r="AX510" s="150"/>
      <c r="AY510" s="466"/>
      <c r="AZ510" s="466"/>
      <c r="BA510" s="150"/>
      <c r="BB510" s="150"/>
      <c r="BC510" s="466"/>
      <c r="BD510" s="466"/>
      <c r="BE510" s="466"/>
      <c r="BF510" s="466"/>
      <c r="BG510" s="150"/>
      <c r="BH510" s="150"/>
      <c r="BI510" s="150"/>
      <c r="BJ510" s="466"/>
      <c r="BK510" s="152"/>
      <c r="BL510" s="160"/>
      <c r="BM510" s="150"/>
      <c r="BN510" s="466"/>
      <c r="BO510" s="150">
        <v>1271</v>
      </c>
      <c r="BP510" s="516"/>
      <c r="BQ510" s="160"/>
      <c r="BR510" s="152"/>
      <c r="BS510" s="160"/>
    </row>
    <row r="511" spans="1:71" x14ac:dyDescent="0.3">
      <c r="A511" s="420">
        <f>DL!A508</f>
        <v>461</v>
      </c>
      <c r="B511" s="19" t="s">
        <v>279</v>
      </c>
      <c r="C511" s="149">
        <f>DL!L508</f>
        <v>60</v>
      </c>
      <c r="D511" s="149" t="str">
        <f>DL!C508</f>
        <v>PCS</v>
      </c>
      <c r="E511" s="150"/>
      <c r="F511" s="463"/>
      <c r="G511" s="150"/>
      <c r="H511" s="150"/>
      <c r="I511" s="466"/>
      <c r="J511" s="150"/>
      <c r="K511" s="168"/>
      <c r="L511" s="466"/>
      <c r="M511" s="150"/>
      <c r="N511" s="466"/>
      <c r="O511" s="150"/>
      <c r="P511" s="150"/>
      <c r="Q511" s="150"/>
      <c r="R511" s="472"/>
      <c r="S511" s="466">
        <v>4400</v>
      </c>
      <c r="T511" s="150"/>
      <c r="U511" s="150"/>
      <c r="V511" s="150"/>
      <c r="W511" s="168"/>
      <c r="X511" s="150">
        <v>3542.64</v>
      </c>
      <c r="Y511" s="466"/>
      <c r="Z511" s="455"/>
      <c r="AA511" s="150"/>
      <c r="AB511" s="490"/>
      <c r="AC511" s="150"/>
      <c r="AD511" s="150"/>
      <c r="AE511" s="466"/>
      <c r="AF511" s="499"/>
      <c r="AG511" s="150"/>
      <c r="AH511" s="150"/>
      <c r="AI511" s="150"/>
      <c r="AJ511" s="150"/>
      <c r="AK511" s="150"/>
      <c r="AL511" s="150"/>
      <c r="AM511" s="150"/>
      <c r="AN511" s="466"/>
      <c r="AO511" s="466"/>
      <c r="AP511" s="150"/>
      <c r="AQ511" s="150"/>
      <c r="AR511" s="151"/>
      <c r="AS511" s="456"/>
      <c r="AT511" s="466"/>
      <c r="AU511" s="150"/>
      <c r="AV511" s="487"/>
      <c r="AW511" s="150"/>
      <c r="AX511" s="150"/>
      <c r="AY511" s="466"/>
      <c r="AZ511" s="466"/>
      <c r="BA511" s="150"/>
      <c r="BB511" s="150"/>
      <c r="BC511" s="466"/>
      <c r="BD511" s="466"/>
      <c r="BE511" s="466"/>
      <c r="BF511" s="466"/>
      <c r="BG511" s="150"/>
      <c r="BH511" s="150"/>
      <c r="BI511" s="150"/>
      <c r="BJ511" s="466"/>
      <c r="BK511" s="152"/>
      <c r="BL511" s="160"/>
      <c r="BM511" s="150"/>
      <c r="BN511" s="466"/>
      <c r="BO511" s="150">
        <v>3695</v>
      </c>
      <c r="BP511" s="516"/>
      <c r="BQ511" s="160"/>
      <c r="BR511" s="152"/>
      <c r="BS511" s="160"/>
    </row>
    <row r="512" spans="1:71" x14ac:dyDescent="0.3">
      <c r="A512" s="420">
        <f>DL!A509</f>
        <v>462</v>
      </c>
      <c r="B512" s="19" t="s">
        <v>470</v>
      </c>
      <c r="C512" s="149">
        <f>DL!L509</f>
        <v>10</v>
      </c>
      <c r="D512" s="149" t="str">
        <f>DL!C509</f>
        <v>PCS</v>
      </c>
      <c r="E512" s="150"/>
      <c r="F512" s="463"/>
      <c r="G512" s="150"/>
      <c r="H512" s="150"/>
      <c r="I512" s="466"/>
      <c r="J512" s="150"/>
      <c r="K512" s="168"/>
      <c r="L512" s="466"/>
      <c r="M512" s="150"/>
      <c r="N512" s="466"/>
      <c r="O512" s="150"/>
      <c r="P512" s="150"/>
      <c r="Q512" s="150"/>
      <c r="R512" s="472"/>
      <c r="S512" s="466">
        <v>4300</v>
      </c>
      <c r="T512" s="150"/>
      <c r="U512" s="150"/>
      <c r="V512" s="150"/>
      <c r="W512" s="168"/>
      <c r="X512" s="150">
        <v>1218</v>
      </c>
      <c r="Y512" s="466"/>
      <c r="Z512" s="455"/>
      <c r="AA512" s="150"/>
      <c r="AB512" s="490"/>
      <c r="AC512" s="150"/>
      <c r="AD512" s="150"/>
      <c r="AE512" s="466"/>
      <c r="AF512" s="499"/>
      <c r="AG512" s="150"/>
      <c r="AH512" s="150"/>
      <c r="AI512" s="150"/>
      <c r="AJ512" s="150"/>
      <c r="AK512" s="150"/>
      <c r="AL512" s="150"/>
      <c r="AM512" s="150"/>
      <c r="AN512" s="466"/>
      <c r="AO512" s="466"/>
      <c r="AP512" s="150"/>
      <c r="AQ512" s="150"/>
      <c r="AR512" s="151"/>
      <c r="AS512" s="456"/>
      <c r="AT512" s="466"/>
      <c r="AU512" s="150"/>
      <c r="AV512" s="487"/>
      <c r="AW512" s="150"/>
      <c r="AX512" s="150"/>
      <c r="AY512" s="466"/>
      <c r="AZ512" s="466"/>
      <c r="BA512" s="150"/>
      <c r="BB512" s="150"/>
      <c r="BC512" s="466"/>
      <c r="BD512" s="466"/>
      <c r="BE512" s="466"/>
      <c r="BF512" s="466"/>
      <c r="BG512" s="150"/>
      <c r="BH512" s="150"/>
      <c r="BI512" s="150"/>
      <c r="BJ512" s="466"/>
      <c r="BK512" s="152"/>
      <c r="BL512" s="160"/>
      <c r="BM512" s="150"/>
      <c r="BN512" s="466"/>
      <c r="BO512" s="150">
        <v>3096</v>
      </c>
      <c r="BP512" s="516"/>
      <c r="BQ512" s="160"/>
      <c r="BR512" s="152"/>
      <c r="BS512" s="160"/>
    </row>
    <row r="513" spans="1:71" x14ac:dyDescent="0.3">
      <c r="A513" s="420">
        <f>DL!A510</f>
        <v>463</v>
      </c>
      <c r="B513" s="19" t="s">
        <v>471</v>
      </c>
      <c r="C513" s="149">
        <f>DL!L510</f>
        <v>200</v>
      </c>
      <c r="D513" s="149" t="str">
        <f>DL!C510</f>
        <v>PCS</v>
      </c>
      <c r="E513" s="150"/>
      <c r="F513" s="463"/>
      <c r="G513" s="150"/>
      <c r="H513" s="150"/>
      <c r="I513" s="466"/>
      <c r="J513" s="150"/>
      <c r="K513" s="168"/>
      <c r="L513" s="466"/>
      <c r="M513" s="150"/>
      <c r="N513" s="466"/>
      <c r="O513" s="150"/>
      <c r="P513" s="150"/>
      <c r="Q513" s="150"/>
      <c r="R513" s="472"/>
      <c r="S513" s="466">
        <v>180</v>
      </c>
      <c r="T513" s="150"/>
      <c r="U513" s="150"/>
      <c r="V513" s="150"/>
      <c r="W513" s="168"/>
      <c r="X513" s="150"/>
      <c r="Y513" s="466"/>
      <c r="Z513" s="455"/>
      <c r="AA513" s="150"/>
      <c r="AB513" s="490"/>
      <c r="AC513" s="150"/>
      <c r="AD513" s="150"/>
      <c r="AE513" s="466"/>
      <c r="AF513" s="499"/>
      <c r="AG513" s="150"/>
      <c r="AH513" s="150"/>
      <c r="AI513" s="150"/>
      <c r="AJ513" s="150"/>
      <c r="AK513" s="150"/>
      <c r="AL513" s="150"/>
      <c r="AM513" s="150"/>
      <c r="AN513" s="466"/>
      <c r="AO513" s="466"/>
      <c r="AP513" s="150"/>
      <c r="AQ513" s="150"/>
      <c r="AR513" s="151"/>
      <c r="AS513" s="456"/>
      <c r="AT513" s="466"/>
      <c r="AU513" s="150"/>
      <c r="AV513" s="487"/>
      <c r="AW513" s="150"/>
      <c r="AX513" s="150"/>
      <c r="AY513" s="466"/>
      <c r="AZ513" s="466"/>
      <c r="BA513" s="150"/>
      <c r="BB513" s="150"/>
      <c r="BC513" s="466"/>
      <c r="BD513" s="466"/>
      <c r="BE513" s="466"/>
      <c r="BF513" s="466"/>
      <c r="BG513" s="150"/>
      <c r="BH513" s="150"/>
      <c r="BI513" s="150"/>
      <c r="BJ513" s="466"/>
      <c r="BK513" s="152"/>
      <c r="BL513" s="160"/>
      <c r="BM513" s="150"/>
      <c r="BN513" s="466"/>
      <c r="BO513" s="150"/>
      <c r="BP513" s="516"/>
      <c r="BQ513" s="160"/>
      <c r="BR513" s="152"/>
      <c r="BS513" s="160"/>
    </row>
    <row r="514" spans="1:71" x14ac:dyDescent="0.3">
      <c r="A514" s="420">
        <f>DL!A511</f>
        <v>464</v>
      </c>
      <c r="B514" s="19" t="s">
        <v>280</v>
      </c>
      <c r="C514" s="149">
        <v>200</v>
      </c>
      <c r="D514" s="149">
        <f>DL!C511</f>
        <v>100</v>
      </c>
      <c r="E514" s="150"/>
      <c r="F514" s="463"/>
      <c r="G514" s="150"/>
      <c r="H514" s="150"/>
      <c r="I514" s="466"/>
      <c r="J514" s="150"/>
      <c r="K514" s="168"/>
      <c r="L514" s="466"/>
      <c r="M514" s="150"/>
      <c r="N514" s="466"/>
      <c r="O514" s="150"/>
      <c r="P514" s="150"/>
      <c r="Q514" s="150"/>
      <c r="R514" s="472"/>
      <c r="S514" s="466">
        <v>700</v>
      </c>
      <c r="T514" s="150"/>
      <c r="U514" s="150"/>
      <c r="V514" s="150"/>
      <c r="W514" s="168"/>
      <c r="X514" s="150"/>
      <c r="Y514" s="466"/>
      <c r="Z514" s="455"/>
      <c r="AA514" s="150"/>
      <c r="AB514" s="490"/>
      <c r="AC514" s="150"/>
      <c r="AD514" s="150"/>
      <c r="AE514" s="466"/>
      <c r="AF514" s="499"/>
      <c r="AG514" s="150"/>
      <c r="AH514" s="150"/>
      <c r="AI514" s="150"/>
      <c r="AJ514" s="150"/>
      <c r="AK514" s="150"/>
      <c r="AL514" s="150"/>
      <c r="AM514" s="150"/>
      <c r="AN514" s="466"/>
      <c r="AO514" s="466"/>
      <c r="AP514" s="150"/>
      <c r="AQ514" s="150"/>
      <c r="AR514" s="151"/>
      <c r="AS514" s="456"/>
      <c r="AT514" s="466"/>
      <c r="AU514" s="150"/>
      <c r="AV514" s="487"/>
      <c r="AW514" s="150"/>
      <c r="AX514" s="150"/>
      <c r="AY514" s="466"/>
      <c r="AZ514" s="466"/>
      <c r="BA514" s="150"/>
      <c r="BB514" s="150"/>
      <c r="BC514" s="466"/>
      <c r="BD514" s="466"/>
      <c r="BE514" s="466"/>
      <c r="BF514" s="466"/>
      <c r="BG514" s="150"/>
      <c r="BH514" s="150"/>
      <c r="BI514" s="150"/>
      <c r="BJ514" s="466"/>
      <c r="BK514" s="152"/>
      <c r="BL514" s="160"/>
      <c r="BM514" s="150"/>
      <c r="BN514" s="466"/>
      <c r="BO514" s="150"/>
      <c r="BP514" s="516"/>
      <c r="BQ514" s="160"/>
      <c r="BR514" s="152"/>
      <c r="BS514" s="160"/>
    </row>
    <row r="515" spans="1:71" x14ac:dyDescent="0.3">
      <c r="A515" s="420">
        <f>DL!A512</f>
        <v>465</v>
      </c>
      <c r="B515" s="19" t="s">
        <v>331</v>
      </c>
      <c r="C515" s="149">
        <f>DL!L512</f>
        <v>240</v>
      </c>
      <c r="D515" s="149" t="str">
        <f>DL!C512</f>
        <v>PCS</v>
      </c>
      <c r="E515" s="150"/>
      <c r="F515" s="463"/>
      <c r="G515" s="150"/>
      <c r="H515" s="150"/>
      <c r="I515" s="466"/>
      <c r="J515" s="150"/>
      <c r="K515" s="168"/>
      <c r="L515" s="466"/>
      <c r="M515" s="150"/>
      <c r="N515" s="466"/>
      <c r="O515" s="150"/>
      <c r="P515" s="150"/>
      <c r="Q515" s="150"/>
      <c r="R515" s="472"/>
      <c r="S515" s="466">
        <v>1000</v>
      </c>
      <c r="T515" s="150"/>
      <c r="U515" s="150"/>
      <c r="V515" s="150"/>
      <c r="W515" s="168"/>
      <c r="X515" s="150">
        <v>1155.3599999999999</v>
      </c>
      <c r="Y515" s="466"/>
      <c r="Z515" s="455"/>
      <c r="AA515" s="150"/>
      <c r="AB515" s="490"/>
      <c r="AC515" s="150"/>
      <c r="AD515" s="150"/>
      <c r="AE515" s="466"/>
      <c r="AF515" s="499"/>
      <c r="AG515" s="150"/>
      <c r="AH515" s="150"/>
      <c r="AI515" s="150"/>
      <c r="AJ515" s="150"/>
      <c r="AK515" s="150"/>
      <c r="AL515" s="150"/>
      <c r="AM515" s="150"/>
      <c r="AN515" s="466"/>
      <c r="AO515" s="466"/>
      <c r="AP515" s="150"/>
      <c r="AQ515" s="150"/>
      <c r="AR515" s="151"/>
      <c r="AS515" s="456"/>
      <c r="AT515" s="466"/>
      <c r="AU515" s="150"/>
      <c r="AV515" s="487"/>
      <c r="AW515" s="150"/>
      <c r="AX515" s="150"/>
      <c r="AY515" s="466"/>
      <c r="AZ515" s="466"/>
      <c r="BA515" s="150"/>
      <c r="BB515" s="150"/>
      <c r="BC515" s="466"/>
      <c r="BD515" s="466"/>
      <c r="BE515" s="466"/>
      <c r="BF515" s="466"/>
      <c r="BG515" s="150"/>
      <c r="BH515" s="150"/>
      <c r="BI515" s="150"/>
      <c r="BJ515" s="466"/>
      <c r="BK515" s="152"/>
      <c r="BL515" s="160"/>
      <c r="BM515" s="150"/>
      <c r="BN515" s="466"/>
      <c r="BO515" s="150">
        <v>1206</v>
      </c>
      <c r="BP515" s="516"/>
      <c r="BQ515" s="160"/>
      <c r="BR515" s="152"/>
      <c r="BS515" s="160"/>
    </row>
    <row r="516" spans="1:71" x14ac:dyDescent="0.3">
      <c r="A516" s="420">
        <f>DL!A513</f>
        <v>466</v>
      </c>
      <c r="B516" s="19" t="s">
        <v>281</v>
      </c>
      <c r="C516" s="149">
        <f>DL!L513</f>
        <v>100</v>
      </c>
      <c r="D516" s="149">
        <f>DL!C513</f>
        <v>20</v>
      </c>
      <c r="E516" s="150">
        <v>2850</v>
      </c>
      <c r="F516" s="463"/>
      <c r="G516" s="150"/>
      <c r="H516" s="150"/>
      <c r="I516" s="466"/>
      <c r="J516" s="150"/>
      <c r="K516" s="168"/>
      <c r="L516" s="466"/>
      <c r="M516" s="150"/>
      <c r="N516" s="466"/>
      <c r="O516" s="150"/>
      <c r="P516" s="150"/>
      <c r="Q516" s="150"/>
      <c r="R516" s="472"/>
      <c r="S516" s="466">
        <v>1700</v>
      </c>
      <c r="T516" s="150"/>
      <c r="U516" s="150"/>
      <c r="V516" s="150"/>
      <c r="W516" s="168"/>
      <c r="X516" s="150"/>
      <c r="Y516" s="466"/>
      <c r="Z516" s="455"/>
      <c r="AA516" s="150"/>
      <c r="AB516" s="490"/>
      <c r="AC516" s="150"/>
      <c r="AD516" s="150"/>
      <c r="AE516" s="466"/>
      <c r="AF516" s="499"/>
      <c r="AG516" s="150"/>
      <c r="AH516" s="150"/>
      <c r="AI516" s="150"/>
      <c r="AJ516" s="150"/>
      <c r="AK516" s="150"/>
      <c r="AL516" s="150"/>
      <c r="AM516" s="150"/>
      <c r="AN516" s="466"/>
      <c r="AO516" s="466"/>
      <c r="AP516" s="150"/>
      <c r="AQ516" s="150"/>
      <c r="AR516" s="151"/>
      <c r="AS516" s="456"/>
      <c r="AT516" s="466"/>
      <c r="AU516" s="150"/>
      <c r="AV516" s="487"/>
      <c r="AW516" s="150"/>
      <c r="AX516" s="150"/>
      <c r="AY516" s="466"/>
      <c r="AZ516" s="466"/>
      <c r="BA516" s="150"/>
      <c r="BB516" s="150"/>
      <c r="BC516" s="466"/>
      <c r="BD516" s="466"/>
      <c r="BE516" s="466"/>
      <c r="BF516" s="466"/>
      <c r="BG516" s="150"/>
      <c r="BH516" s="150"/>
      <c r="BI516" s="150"/>
      <c r="BJ516" s="466"/>
      <c r="BK516" s="152"/>
      <c r="BL516" s="160"/>
      <c r="BM516" s="150"/>
      <c r="BN516" s="466"/>
      <c r="BO516" s="150"/>
      <c r="BP516" s="516"/>
      <c r="BQ516" s="160"/>
      <c r="BR516" s="152"/>
      <c r="BS516" s="160"/>
    </row>
    <row r="517" spans="1:71" x14ac:dyDescent="0.3">
      <c r="A517" s="420">
        <f>DL!A514</f>
        <v>467</v>
      </c>
      <c r="B517" s="19" t="s">
        <v>729</v>
      </c>
      <c r="C517" s="149">
        <f>DL!L514</f>
        <v>40</v>
      </c>
      <c r="D517" s="149">
        <f>DL!C514</f>
        <v>20</v>
      </c>
      <c r="E517" s="150">
        <v>3850</v>
      </c>
      <c r="F517" s="463"/>
      <c r="G517" s="150"/>
      <c r="H517" s="150"/>
      <c r="I517" s="466"/>
      <c r="J517" s="150"/>
      <c r="K517" s="168"/>
      <c r="L517" s="466"/>
      <c r="M517" s="150"/>
      <c r="N517" s="466"/>
      <c r="O517" s="150"/>
      <c r="P517" s="150"/>
      <c r="Q517" s="150"/>
      <c r="R517" s="472"/>
      <c r="S517" s="466">
        <v>3000</v>
      </c>
      <c r="T517" s="150"/>
      <c r="U517" s="150"/>
      <c r="V517" s="150"/>
      <c r="W517" s="168"/>
      <c r="X517" s="150"/>
      <c r="Y517" s="466"/>
      <c r="Z517" s="455"/>
      <c r="AA517" s="150"/>
      <c r="AB517" s="490"/>
      <c r="AC517" s="150"/>
      <c r="AD517" s="150"/>
      <c r="AE517" s="466"/>
      <c r="AF517" s="499"/>
      <c r="AG517" s="150"/>
      <c r="AH517" s="150"/>
      <c r="AI517" s="150"/>
      <c r="AJ517" s="150"/>
      <c r="AK517" s="150"/>
      <c r="AL517" s="150"/>
      <c r="AM517" s="150"/>
      <c r="AN517" s="466"/>
      <c r="AO517" s="466"/>
      <c r="AP517" s="150"/>
      <c r="AQ517" s="150"/>
      <c r="AR517" s="151"/>
      <c r="AS517" s="456"/>
      <c r="AT517" s="466"/>
      <c r="AU517" s="150"/>
      <c r="AV517" s="487"/>
      <c r="AW517" s="150"/>
      <c r="AX517" s="150"/>
      <c r="AY517" s="466"/>
      <c r="AZ517" s="466"/>
      <c r="BA517" s="150"/>
      <c r="BB517" s="150"/>
      <c r="BC517" s="466"/>
      <c r="BD517" s="466"/>
      <c r="BE517" s="466"/>
      <c r="BF517" s="466"/>
      <c r="BG517" s="150"/>
      <c r="BH517" s="150"/>
      <c r="BI517" s="150"/>
      <c r="BJ517" s="466"/>
      <c r="BK517" s="152"/>
      <c r="BL517" s="160"/>
      <c r="BM517" s="150"/>
      <c r="BN517" s="466"/>
      <c r="BO517" s="150"/>
      <c r="BP517" s="516"/>
      <c r="BQ517" s="160"/>
      <c r="BR517" s="152"/>
      <c r="BS517" s="160"/>
    </row>
    <row r="518" spans="1:71" x14ac:dyDescent="0.3">
      <c r="A518" s="420">
        <f>DL!A515</f>
        <v>468</v>
      </c>
      <c r="B518" s="19" t="s">
        <v>282</v>
      </c>
      <c r="C518" s="149">
        <f>DL!L515</f>
        <v>60</v>
      </c>
      <c r="D518" s="149" t="str">
        <f>DL!C515</f>
        <v>BOTT</v>
      </c>
      <c r="E518" s="150"/>
      <c r="F518" s="463"/>
      <c r="G518" s="150"/>
      <c r="H518" s="150"/>
      <c r="I518" s="466"/>
      <c r="J518" s="150"/>
      <c r="K518" s="168"/>
      <c r="L518" s="466"/>
      <c r="M518" s="150"/>
      <c r="N518" s="466"/>
      <c r="O518" s="150"/>
      <c r="P518" s="150"/>
      <c r="Q518" s="150"/>
      <c r="R518" s="472"/>
      <c r="S518" s="466">
        <v>500</v>
      </c>
      <c r="T518" s="150">
        <v>200</v>
      </c>
      <c r="U518" s="150"/>
      <c r="V518" s="150"/>
      <c r="W518" s="168"/>
      <c r="X518" s="150">
        <v>482.56</v>
      </c>
      <c r="Y518" s="466"/>
      <c r="Z518" s="455"/>
      <c r="AA518" s="150"/>
      <c r="AB518" s="490"/>
      <c r="AC518" s="150"/>
      <c r="AD518" s="150"/>
      <c r="AE518" s="466">
        <v>240</v>
      </c>
      <c r="AF518" s="499"/>
      <c r="AG518" s="150"/>
      <c r="AH518" s="150"/>
      <c r="AI518" s="150"/>
      <c r="AJ518" s="150"/>
      <c r="AK518" s="150"/>
      <c r="AL518" s="150"/>
      <c r="AM518" s="150"/>
      <c r="AN518" s="466"/>
      <c r="AO518" s="466"/>
      <c r="AP518" s="150"/>
      <c r="AQ518" s="150"/>
      <c r="AR518" s="151"/>
      <c r="AS518" s="456"/>
      <c r="AT518" s="466"/>
      <c r="AU518" s="150"/>
      <c r="AV518" s="487"/>
      <c r="AW518" s="150"/>
      <c r="AX518" s="150"/>
      <c r="AY518" s="466"/>
      <c r="AZ518" s="466"/>
      <c r="BA518" s="150"/>
      <c r="BB518" s="150"/>
      <c r="BC518" s="466"/>
      <c r="BD518" s="466"/>
      <c r="BE518" s="466"/>
      <c r="BF518" s="466"/>
      <c r="BG518" s="150"/>
      <c r="BH518" s="150"/>
      <c r="BI518" s="150"/>
      <c r="BJ518" s="466">
        <v>250</v>
      </c>
      <c r="BK518" s="152"/>
      <c r="BL518" s="160"/>
      <c r="BM518" s="150"/>
      <c r="BN518" s="466"/>
      <c r="BO518" s="150"/>
      <c r="BP518" s="516"/>
      <c r="BQ518" s="160"/>
      <c r="BR518" s="152"/>
      <c r="BS518" s="160"/>
    </row>
    <row r="519" spans="1:71" x14ac:dyDescent="0.3">
      <c r="A519" s="420"/>
      <c r="B519" s="19"/>
      <c r="C519" s="149">
        <f>DL!L516</f>
        <v>0</v>
      </c>
      <c r="D519" s="149">
        <f>DL!C516</f>
        <v>0</v>
      </c>
      <c r="E519" s="150"/>
      <c r="F519" s="463"/>
      <c r="G519" s="150"/>
      <c r="H519" s="150"/>
      <c r="I519" s="466"/>
      <c r="J519" s="150"/>
      <c r="K519" s="168"/>
      <c r="L519" s="466"/>
      <c r="M519" s="150"/>
      <c r="N519" s="466"/>
      <c r="O519" s="150"/>
      <c r="P519" s="150"/>
      <c r="Q519" s="150"/>
      <c r="R519" s="472"/>
      <c r="S519" s="466"/>
      <c r="T519" s="150"/>
      <c r="U519" s="150"/>
      <c r="V519" s="150"/>
      <c r="W519" s="168"/>
      <c r="X519" s="150"/>
      <c r="Y519" s="466"/>
      <c r="Z519" s="455"/>
      <c r="AA519" s="150"/>
      <c r="AB519" s="490"/>
      <c r="AC519" s="150"/>
      <c r="AD519" s="150"/>
      <c r="AE519" s="466"/>
      <c r="AF519" s="499"/>
      <c r="AG519" s="150"/>
      <c r="AH519" s="150"/>
      <c r="AI519" s="150"/>
      <c r="AJ519" s="150"/>
      <c r="AK519" s="150"/>
      <c r="AL519" s="150"/>
      <c r="AM519" s="150"/>
      <c r="AN519" s="466"/>
      <c r="AO519" s="466"/>
      <c r="AP519" s="150"/>
      <c r="AQ519" s="150"/>
      <c r="AR519" s="151"/>
      <c r="AS519" s="456"/>
      <c r="AT519" s="466"/>
      <c r="AU519" s="150"/>
      <c r="AV519" s="487"/>
      <c r="AW519" s="150"/>
      <c r="AX519" s="150"/>
      <c r="AY519" s="466"/>
      <c r="AZ519" s="466"/>
      <c r="BA519" s="150"/>
      <c r="BB519" s="150"/>
      <c r="BC519" s="466"/>
      <c r="BD519" s="466"/>
      <c r="BE519" s="466"/>
      <c r="BF519" s="466"/>
      <c r="BG519" s="150"/>
      <c r="BH519" s="150"/>
      <c r="BI519" s="150"/>
      <c r="BJ519" s="466"/>
      <c r="BK519" s="152"/>
      <c r="BL519" s="160"/>
      <c r="BM519" s="150"/>
      <c r="BN519" s="466"/>
      <c r="BO519" s="150"/>
      <c r="BP519" s="516"/>
      <c r="BQ519" s="160"/>
      <c r="BR519" s="152"/>
      <c r="BS519" s="160"/>
    </row>
    <row r="520" spans="1:71" x14ac:dyDescent="0.3">
      <c r="A520" s="420"/>
      <c r="B520" s="19" t="s">
        <v>283</v>
      </c>
      <c r="C520" s="149">
        <f>DL!L517</f>
        <v>0</v>
      </c>
      <c r="D520" s="149">
        <f>DL!C517</f>
        <v>0</v>
      </c>
      <c r="E520" s="150"/>
      <c r="F520" s="463"/>
      <c r="G520" s="150"/>
      <c r="H520" s="150"/>
      <c r="I520" s="466"/>
      <c r="J520" s="150"/>
      <c r="K520" s="168"/>
      <c r="L520" s="466"/>
      <c r="M520" s="150"/>
      <c r="N520" s="466"/>
      <c r="O520" s="150"/>
      <c r="P520" s="150"/>
      <c r="Q520" s="150"/>
      <c r="R520" s="472"/>
      <c r="S520" s="466"/>
      <c r="T520" s="150"/>
      <c r="U520" s="150"/>
      <c r="V520" s="150"/>
      <c r="W520" s="168"/>
      <c r="X520" s="150"/>
      <c r="Y520" s="466"/>
      <c r="Z520" s="455"/>
      <c r="AA520" s="150"/>
      <c r="AB520" s="490"/>
      <c r="AC520" s="150"/>
      <c r="AD520" s="150"/>
      <c r="AE520" s="466"/>
      <c r="AF520" s="499"/>
      <c r="AG520" s="150"/>
      <c r="AH520" s="150"/>
      <c r="AI520" s="150"/>
      <c r="AJ520" s="150"/>
      <c r="AK520" s="150"/>
      <c r="AL520" s="150"/>
      <c r="AM520" s="150"/>
      <c r="AN520" s="466"/>
      <c r="AO520" s="466"/>
      <c r="AP520" s="150"/>
      <c r="AQ520" s="150"/>
      <c r="AR520" s="151"/>
      <c r="AS520" s="456"/>
      <c r="AT520" s="466"/>
      <c r="AU520" s="150"/>
      <c r="AV520" s="487"/>
      <c r="AW520" s="150"/>
      <c r="AX520" s="150"/>
      <c r="AY520" s="466"/>
      <c r="AZ520" s="466"/>
      <c r="BA520" s="150"/>
      <c r="BB520" s="150"/>
      <c r="BC520" s="466"/>
      <c r="BD520" s="466"/>
      <c r="BE520" s="466"/>
      <c r="BF520" s="466"/>
      <c r="BG520" s="150"/>
      <c r="BH520" s="150"/>
      <c r="BI520" s="150"/>
      <c r="BJ520" s="466"/>
      <c r="BK520" s="152"/>
      <c r="BL520" s="160"/>
      <c r="BM520" s="150"/>
      <c r="BN520" s="466"/>
      <c r="BO520" s="150"/>
      <c r="BP520" s="516"/>
      <c r="BQ520" s="160"/>
      <c r="BR520" s="152"/>
      <c r="BS520" s="160"/>
    </row>
    <row r="521" spans="1:71" x14ac:dyDescent="0.3">
      <c r="A521" s="420">
        <f>DL!A518</f>
        <v>469</v>
      </c>
      <c r="B521" s="19" t="s">
        <v>284</v>
      </c>
      <c r="C521" s="149">
        <f>DL!L518</f>
        <v>12</v>
      </c>
      <c r="D521" s="149">
        <f>DL!C518</f>
        <v>100</v>
      </c>
      <c r="E521" s="150">
        <v>30000</v>
      </c>
      <c r="F521" s="463"/>
      <c r="G521" s="150"/>
      <c r="H521" s="150"/>
      <c r="I521" s="466"/>
      <c r="J521" s="150"/>
      <c r="K521" s="168"/>
      <c r="L521" s="466"/>
      <c r="M521" s="150"/>
      <c r="N521" s="466"/>
      <c r="O521" s="150"/>
      <c r="P521" s="150"/>
      <c r="Q521" s="150"/>
      <c r="R521" s="472"/>
      <c r="S521" s="466">
        <v>2500</v>
      </c>
      <c r="T521" s="150"/>
      <c r="U521" s="150"/>
      <c r="V521" s="150"/>
      <c r="W521" s="168"/>
      <c r="X521" s="150"/>
      <c r="Y521" s="466"/>
      <c r="Z521" s="455"/>
      <c r="AA521" s="150"/>
      <c r="AB521" s="490"/>
      <c r="AC521" s="150"/>
      <c r="AD521" s="150"/>
      <c r="AE521" s="466"/>
      <c r="AF521" s="499"/>
      <c r="AG521" s="150"/>
      <c r="AH521" s="150"/>
      <c r="AI521" s="150"/>
      <c r="AJ521" s="150"/>
      <c r="AK521" s="150"/>
      <c r="AL521" s="150"/>
      <c r="AM521" s="150"/>
      <c r="AN521" s="466"/>
      <c r="AO521" s="466"/>
      <c r="AP521" s="150"/>
      <c r="AQ521" s="150"/>
      <c r="AR521" s="151"/>
      <c r="AS521" s="456"/>
      <c r="AT521" s="466"/>
      <c r="AU521" s="150"/>
      <c r="AV521" s="487"/>
      <c r="AW521" s="150"/>
      <c r="AX521" s="150"/>
      <c r="AY521" s="466"/>
      <c r="AZ521" s="466"/>
      <c r="BA521" s="150"/>
      <c r="BB521" s="150"/>
      <c r="BC521" s="466"/>
      <c r="BD521" s="466"/>
      <c r="BE521" s="466"/>
      <c r="BF521" s="466"/>
      <c r="BG521" s="150"/>
      <c r="BH521" s="150"/>
      <c r="BI521" s="150"/>
      <c r="BJ521" s="466"/>
      <c r="BK521" s="152"/>
      <c r="BL521" s="160"/>
      <c r="BM521" s="150"/>
      <c r="BN521" s="466"/>
      <c r="BO521" s="150"/>
      <c r="BP521" s="516"/>
      <c r="BQ521" s="160"/>
      <c r="BR521" s="152"/>
      <c r="BS521" s="160"/>
    </row>
    <row r="522" spans="1:71" x14ac:dyDescent="0.3">
      <c r="A522" s="420">
        <f>DL!A519</f>
        <v>470</v>
      </c>
      <c r="B522" s="19" t="s">
        <v>1351</v>
      </c>
      <c r="C522" s="149">
        <f>DL!L519</f>
        <v>60</v>
      </c>
      <c r="D522" s="149" t="str">
        <f>DL!C519</f>
        <v>BOTT</v>
      </c>
      <c r="E522" s="150"/>
      <c r="F522" s="463"/>
      <c r="G522" s="150"/>
      <c r="H522" s="150"/>
      <c r="I522" s="466"/>
      <c r="J522" s="150"/>
      <c r="K522" s="168"/>
      <c r="L522" s="466"/>
      <c r="M522" s="150"/>
      <c r="N522" s="466"/>
      <c r="O522" s="150"/>
      <c r="P522" s="150"/>
      <c r="Q522" s="150"/>
      <c r="R522" s="472"/>
      <c r="S522" s="466">
        <v>250</v>
      </c>
      <c r="T522" s="150">
        <v>240</v>
      </c>
      <c r="U522" s="150"/>
      <c r="V522" s="150"/>
      <c r="W522" s="168"/>
      <c r="X522" s="150"/>
      <c r="Y522" s="466"/>
      <c r="Z522" s="455"/>
      <c r="AA522" s="150"/>
      <c r="AB522" s="490"/>
      <c r="AC522" s="150"/>
      <c r="AD522" s="150"/>
      <c r="AE522" s="466"/>
      <c r="AF522" s="499"/>
      <c r="AG522" s="150"/>
      <c r="AH522" s="150"/>
      <c r="AI522" s="150"/>
      <c r="AJ522" s="150"/>
      <c r="AK522" s="150"/>
      <c r="AL522" s="150"/>
      <c r="AM522" s="150"/>
      <c r="AN522" s="466"/>
      <c r="AO522" s="466"/>
      <c r="AP522" s="150"/>
      <c r="AQ522" s="150"/>
      <c r="AR522" s="151"/>
      <c r="AS522" s="456"/>
      <c r="AT522" s="466"/>
      <c r="AU522" s="150"/>
      <c r="AV522" s="487"/>
      <c r="AW522" s="150"/>
      <c r="AX522" s="150">
        <v>250</v>
      </c>
      <c r="AY522" s="466"/>
      <c r="AZ522" s="466">
        <v>600</v>
      </c>
      <c r="BA522" s="150"/>
      <c r="BB522" s="150"/>
      <c r="BC522" s="466"/>
      <c r="BD522" s="466"/>
      <c r="BE522" s="466"/>
      <c r="BF522" s="466"/>
      <c r="BG522" s="150"/>
      <c r="BH522" s="150"/>
      <c r="BI522" s="150"/>
      <c r="BJ522" s="466"/>
      <c r="BK522" s="152"/>
      <c r="BL522" s="160"/>
      <c r="BM522" s="150"/>
      <c r="BN522" s="466"/>
      <c r="BO522" s="150"/>
      <c r="BP522" s="516"/>
      <c r="BQ522" s="160"/>
      <c r="BR522" s="152"/>
      <c r="BS522" s="160"/>
    </row>
    <row r="523" spans="1:71" x14ac:dyDescent="0.3">
      <c r="A523" s="420">
        <f>DL!A520</f>
        <v>471</v>
      </c>
      <c r="B523" s="19" t="s">
        <v>1352</v>
      </c>
      <c r="C523" s="149">
        <f>DL!L520</f>
        <v>60</v>
      </c>
      <c r="D523" s="149">
        <f>DL!C520</f>
        <v>100</v>
      </c>
      <c r="E523" s="150"/>
      <c r="F523" s="463"/>
      <c r="G523" s="150"/>
      <c r="H523" s="150"/>
      <c r="I523" s="466"/>
      <c r="J523" s="150"/>
      <c r="K523" s="168"/>
      <c r="L523" s="466"/>
      <c r="M523" s="150"/>
      <c r="N523" s="466"/>
      <c r="O523" s="150"/>
      <c r="P523" s="150"/>
      <c r="Q523" s="150"/>
      <c r="R523" s="472"/>
      <c r="S523" s="466">
        <v>900</v>
      </c>
      <c r="T523" s="150"/>
      <c r="U523" s="150"/>
      <c r="V523" s="150"/>
      <c r="W523" s="168"/>
      <c r="X523" s="150"/>
      <c r="Y523" s="466"/>
      <c r="Z523" s="455"/>
      <c r="AA523" s="150"/>
      <c r="AB523" s="490"/>
      <c r="AC523" s="150"/>
      <c r="AD523" s="150"/>
      <c r="AE523" s="466">
        <v>1120</v>
      </c>
      <c r="AF523" s="499"/>
      <c r="AG523" s="150"/>
      <c r="AH523" s="150"/>
      <c r="AI523" s="150"/>
      <c r="AJ523" s="150"/>
      <c r="AK523" s="150"/>
      <c r="AL523" s="150"/>
      <c r="AM523" s="150"/>
      <c r="AN523" s="466"/>
      <c r="AO523" s="466"/>
      <c r="AP523" s="150"/>
      <c r="AQ523" s="150"/>
      <c r="AR523" s="151"/>
      <c r="AS523" s="456"/>
      <c r="AT523" s="466"/>
      <c r="AU523" s="150"/>
      <c r="AV523" s="487"/>
      <c r="AW523" s="150"/>
      <c r="AX523" s="150"/>
      <c r="AY523" s="466"/>
      <c r="AZ523" s="466">
        <f>1100*2</f>
        <v>2200</v>
      </c>
      <c r="BA523" s="150"/>
      <c r="BB523" s="150"/>
      <c r="BC523" s="466"/>
      <c r="BD523" s="466"/>
      <c r="BE523" s="466"/>
      <c r="BF523" s="466"/>
      <c r="BG523" s="150"/>
      <c r="BH523" s="150"/>
      <c r="BI523" s="150"/>
      <c r="BJ523" s="466"/>
      <c r="BK523" s="152"/>
      <c r="BL523" s="160"/>
      <c r="BM523" s="150"/>
      <c r="BN523" s="466"/>
      <c r="BO523" s="150"/>
      <c r="BP523" s="516"/>
      <c r="BQ523" s="160"/>
      <c r="BR523" s="152"/>
      <c r="BS523" s="160"/>
    </row>
    <row r="524" spans="1:71" x14ac:dyDescent="0.3">
      <c r="A524" s="420">
        <f>DL!A521</f>
        <v>472</v>
      </c>
      <c r="B524" s="19" t="s">
        <v>285</v>
      </c>
      <c r="C524" s="149">
        <f>DL!L521</f>
        <v>20</v>
      </c>
      <c r="D524" s="149">
        <f>DL!C521</f>
        <v>1000</v>
      </c>
      <c r="E524" s="150"/>
      <c r="F524" s="463"/>
      <c r="G524" s="150"/>
      <c r="H524" s="150"/>
      <c r="I524" s="466"/>
      <c r="J524" s="150"/>
      <c r="K524" s="168"/>
      <c r="L524" s="466"/>
      <c r="M524" s="150"/>
      <c r="N524" s="466"/>
      <c r="O524" s="150"/>
      <c r="P524" s="150"/>
      <c r="Q524" s="150"/>
      <c r="R524" s="473">
        <v>310</v>
      </c>
      <c r="S524" s="466">
        <v>400</v>
      </c>
      <c r="T524" s="150"/>
      <c r="U524" s="150"/>
      <c r="V524" s="150"/>
      <c r="W524" s="168"/>
      <c r="X524" s="150"/>
      <c r="Y524" s="466"/>
      <c r="Z524" s="455"/>
      <c r="AA524" s="150"/>
      <c r="AB524" s="490"/>
      <c r="AC524" s="150"/>
      <c r="AD524" s="150"/>
      <c r="AE524" s="466"/>
      <c r="AF524" s="499"/>
      <c r="AG524" s="150"/>
      <c r="AH524" s="150"/>
      <c r="AI524" s="150"/>
      <c r="AJ524" s="150"/>
      <c r="AK524" s="150"/>
      <c r="AL524" s="150"/>
      <c r="AM524" s="150"/>
      <c r="AN524" s="466"/>
      <c r="AO524" s="466"/>
      <c r="AP524" s="150"/>
      <c r="AQ524" s="150"/>
      <c r="AR524" s="151"/>
      <c r="AS524" s="456"/>
      <c r="AT524" s="466"/>
      <c r="AU524" s="150"/>
      <c r="AV524" s="487"/>
      <c r="AW524" s="150"/>
      <c r="AX524" s="150">
        <v>850</v>
      </c>
      <c r="AY524" s="466"/>
      <c r="AZ524" s="466"/>
      <c r="BA524" s="150"/>
      <c r="BB524" s="150"/>
      <c r="BC524" s="466"/>
      <c r="BD524" s="466">
        <v>390</v>
      </c>
      <c r="BE524" s="466"/>
      <c r="BF524" s="466"/>
      <c r="BG524" s="150"/>
      <c r="BH524" s="150"/>
      <c r="BI524" s="150"/>
      <c r="BJ524" s="466"/>
      <c r="BK524" s="152"/>
      <c r="BL524" s="160"/>
      <c r="BM524" s="150"/>
      <c r="BN524" s="466"/>
      <c r="BO524" s="150"/>
      <c r="BP524" s="516"/>
      <c r="BQ524" s="160"/>
      <c r="BR524" s="152"/>
      <c r="BS524" s="160"/>
    </row>
    <row r="525" spans="1:71" x14ac:dyDescent="0.3">
      <c r="A525" s="420">
        <f>DL!A522</f>
        <v>473</v>
      </c>
      <c r="B525" s="19" t="s">
        <v>1353</v>
      </c>
      <c r="C525" s="149">
        <f>DL!L522</f>
        <v>800</v>
      </c>
      <c r="D525" s="149" t="str">
        <f>DL!C522</f>
        <v>BOTT</v>
      </c>
      <c r="E525" s="150"/>
      <c r="F525" s="463"/>
      <c r="G525" s="150"/>
      <c r="H525" s="150"/>
      <c r="I525" s="466"/>
      <c r="J525" s="150"/>
      <c r="K525" s="168"/>
      <c r="L525" s="466"/>
      <c r="M525" s="150"/>
      <c r="N525" s="466"/>
      <c r="O525" s="150"/>
      <c r="P525" s="150"/>
      <c r="Q525" s="150"/>
      <c r="R525" s="473">
        <v>120.527</v>
      </c>
      <c r="S525" s="466">
        <v>120</v>
      </c>
      <c r="T525" s="150"/>
      <c r="U525" s="150"/>
      <c r="V525" s="150"/>
      <c r="W525" s="168"/>
      <c r="X525" s="150"/>
      <c r="Y525" s="466"/>
      <c r="Z525" s="455"/>
      <c r="AA525" s="150"/>
      <c r="AB525" s="490"/>
      <c r="AC525" s="150"/>
      <c r="AD525" s="150"/>
      <c r="AE525" s="466">
        <v>150</v>
      </c>
      <c r="AF525" s="499"/>
      <c r="AG525" s="150"/>
      <c r="AH525" s="150"/>
      <c r="AI525" s="150"/>
      <c r="AJ525" s="150"/>
      <c r="AK525" s="150">
        <v>100</v>
      </c>
      <c r="AL525" s="150"/>
      <c r="AM525" s="150"/>
      <c r="AN525" s="466"/>
      <c r="AO525" s="466"/>
      <c r="AP525" s="150"/>
      <c r="AQ525" s="150"/>
      <c r="AR525" s="151"/>
      <c r="AS525" s="456"/>
      <c r="AT525" s="466"/>
      <c r="AU525" s="150"/>
      <c r="AV525" s="487"/>
      <c r="AW525" s="150"/>
      <c r="AX525" s="150">
        <v>120</v>
      </c>
      <c r="AY525" s="466"/>
      <c r="AZ525" s="466"/>
      <c r="BA525" s="150"/>
      <c r="BB525" s="150"/>
      <c r="BC525" s="466"/>
      <c r="BD525" s="466"/>
      <c r="BE525" s="466"/>
      <c r="BF525" s="466"/>
      <c r="BG525" s="150"/>
      <c r="BH525" s="150"/>
      <c r="BI525" s="150"/>
      <c r="BJ525" s="466"/>
      <c r="BK525" s="152"/>
      <c r="BL525" s="160"/>
      <c r="BM525" s="150">
        <v>105</v>
      </c>
      <c r="BN525" s="466"/>
      <c r="BO525" s="150"/>
      <c r="BP525" s="516"/>
      <c r="BQ525" s="160"/>
      <c r="BR525" s="152"/>
      <c r="BS525" s="160"/>
    </row>
    <row r="526" spans="1:71" x14ac:dyDescent="0.3">
      <c r="A526" s="420">
        <f>DL!A523</f>
        <v>474</v>
      </c>
      <c r="B526" s="19" t="s">
        <v>286</v>
      </c>
      <c r="C526" s="149">
        <f>DL!L523</f>
        <v>4</v>
      </c>
      <c r="D526" s="149">
        <f>DL!C523</f>
        <v>100</v>
      </c>
      <c r="E526" s="150"/>
      <c r="F526" s="463"/>
      <c r="G526" s="150"/>
      <c r="H526" s="150"/>
      <c r="I526" s="466"/>
      <c r="J526" s="150"/>
      <c r="K526" s="168"/>
      <c r="L526" s="466"/>
      <c r="M526" s="150"/>
      <c r="N526" s="466"/>
      <c r="O526" s="150"/>
      <c r="P526" s="150"/>
      <c r="Q526" s="150"/>
      <c r="R526" s="472"/>
      <c r="S526" s="466">
        <v>1100</v>
      </c>
      <c r="T526" s="150"/>
      <c r="U526" s="150"/>
      <c r="V526" s="150"/>
      <c r="W526" s="168"/>
      <c r="X526" s="150"/>
      <c r="Y526" s="466"/>
      <c r="Z526" s="455"/>
      <c r="AA526" s="150"/>
      <c r="AB526" s="490"/>
      <c r="AC526" s="150"/>
      <c r="AD526" s="150"/>
      <c r="AE526" s="466"/>
      <c r="AF526" s="499"/>
      <c r="AG526" s="150"/>
      <c r="AH526" s="150"/>
      <c r="AI526" s="150"/>
      <c r="AJ526" s="150"/>
      <c r="AK526" s="150"/>
      <c r="AL526" s="150"/>
      <c r="AM526" s="150"/>
      <c r="AN526" s="466"/>
      <c r="AO526" s="466"/>
      <c r="AP526" s="150"/>
      <c r="AQ526" s="150"/>
      <c r="AR526" s="151"/>
      <c r="AS526" s="456"/>
      <c r="AT526" s="466"/>
      <c r="AU526" s="150"/>
      <c r="AV526" s="487"/>
      <c r="AW526" s="150"/>
      <c r="AX526" s="150"/>
      <c r="AY526" s="466"/>
      <c r="AZ526" s="466"/>
      <c r="BA526" s="150"/>
      <c r="BB526" s="150"/>
      <c r="BC526" s="466"/>
      <c r="BD526" s="466"/>
      <c r="BE526" s="466"/>
      <c r="BF526" s="466"/>
      <c r="BG526" s="150"/>
      <c r="BH526" s="150"/>
      <c r="BI526" s="150"/>
      <c r="BJ526" s="466"/>
      <c r="BK526" s="152"/>
      <c r="BL526" s="160"/>
      <c r="BM526" s="150"/>
      <c r="BN526" s="466"/>
      <c r="BO526" s="150"/>
      <c r="BP526" s="516"/>
      <c r="BQ526" s="160"/>
      <c r="BR526" s="152"/>
      <c r="BS526" s="160"/>
    </row>
    <row r="527" spans="1:71" x14ac:dyDescent="0.3">
      <c r="A527" s="420">
        <f>DL!A524</f>
        <v>475</v>
      </c>
      <c r="B527" s="19" t="s">
        <v>287</v>
      </c>
      <c r="C527" s="149">
        <f>DL!L524</f>
        <v>200</v>
      </c>
      <c r="D527" s="149">
        <f>DL!C524</f>
        <v>50</v>
      </c>
      <c r="E527" s="150"/>
      <c r="F527" s="463"/>
      <c r="G527" s="150"/>
      <c r="H527" s="150"/>
      <c r="I527" s="466"/>
      <c r="J527" s="150"/>
      <c r="K527" s="168"/>
      <c r="L527" s="466"/>
      <c r="M527" s="150"/>
      <c r="N527" s="466"/>
      <c r="O527" s="150"/>
      <c r="P527" s="150"/>
      <c r="Q527" s="150"/>
      <c r="R527" s="472"/>
      <c r="S527" s="466"/>
      <c r="T527" s="150"/>
      <c r="U527" s="150"/>
      <c r="V527" s="150"/>
      <c r="W527" s="168"/>
      <c r="X527" s="150"/>
      <c r="Y527" s="466"/>
      <c r="Z527" s="455"/>
      <c r="AA527" s="150"/>
      <c r="AB527" s="490"/>
      <c r="AC527" s="150"/>
      <c r="AD527" s="150"/>
      <c r="AE527" s="466"/>
      <c r="AF527" s="499"/>
      <c r="AG527" s="150"/>
      <c r="AH527" s="150"/>
      <c r="AI527" s="150"/>
      <c r="AJ527" s="150"/>
      <c r="AK527" s="150"/>
      <c r="AL527" s="150"/>
      <c r="AM527" s="150"/>
      <c r="AN527" s="466"/>
      <c r="AO527" s="466"/>
      <c r="AP527" s="150"/>
      <c r="AQ527" s="150"/>
      <c r="AR527" s="151"/>
      <c r="AS527" s="456"/>
      <c r="AT527" s="466"/>
      <c r="AU527" s="150"/>
      <c r="AV527" s="487"/>
      <c r="AW527" s="150"/>
      <c r="AX527" s="150"/>
      <c r="AY527" s="466"/>
      <c r="AZ527" s="466"/>
      <c r="BA527" s="150"/>
      <c r="BB527" s="150"/>
      <c r="BC527" s="466"/>
      <c r="BD527" s="466"/>
      <c r="BE527" s="466"/>
      <c r="BF527" s="466"/>
      <c r="BG527" s="150"/>
      <c r="BH527" s="150"/>
      <c r="BI527" s="150"/>
      <c r="BJ527" s="466"/>
      <c r="BK527" s="152"/>
      <c r="BL527" s="160"/>
      <c r="BM527" s="150"/>
      <c r="BN527" s="466"/>
      <c r="BO527" s="150">
        <v>1079</v>
      </c>
      <c r="BP527" s="516"/>
      <c r="BQ527" s="160"/>
      <c r="BR527" s="152"/>
      <c r="BS527" s="160"/>
    </row>
    <row r="528" spans="1:71" x14ac:dyDescent="0.3">
      <c r="A528" s="420">
        <f>DL!A525</f>
        <v>476</v>
      </c>
      <c r="B528" s="19" t="s">
        <v>1354</v>
      </c>
      <c r="C528" s="149">
        <f>DL!L525</f>
        <v>20</v>
      </c>
      <c r="D528" s="149">
        <f>DL!C525</f>
        <v>6</v>
      </c>
      <c r="E528" s="150"/>
      <c r="F528" s="463"/>
      <c r="G528" s="150"/>
      <c r="H528" s="150"/>
      <c r="I528" s="466"/>
      <c r="J528" s="150"/>
      <c r="K528" s="168"/>
      <c r="L528" s="466"/>
      <c r="M528" s="150"/>
      <c r="N528" s="466"/>
      <c r="O528" s="150"/>
      <c r="P528" s="150"/>
      <c r="Q528" s="150"/>
      <c r="R528" s="472"/>
      <c r="S528" s="466"/>
      <c r="T528" s="150"/>
      <c r="U528" s="150"/>
      <c r="V528" s="150"/>
      <c r="W528" s="168"/>
      <c r="X528" s="150"/>
      <c r="Y528" s="466"/>
      <c r="Z528" s="455"/>
      <c r="AA528" s="150"/>
      <c r="AB528" s="490"/>
      <c r="AC528" s="150"/>
      <c r="AD528" s="150"/>
      <c r="AE528" s="466"/>
      <c r="AF528" s="499"/>
      <c r="AG528" s="150"/>
      <c r="AH528" s="150"/>
      <c r="AI528" s="150"/>
      <c r="AJ528" s="150"/>
      <c r="AK528" s="150"/>
      <c r="AL528" s="150"/>
      <c r="AM528" s="150"/>
      <c r="AN528" s="466"/>
      <c r="AO528" s="466"/>
      <c r="AP528" s="150"/>
      <c r="AQ528" s="150"/>
      <c r="AR528" s="151"/>
      <c r="AS528" s="456"/>
      <c r="AT528" s="466"/>
      <c r="AU528" s="150"/>
      <c r="AV528" s="487"/>
      <c r="AW528" s="150"/>
      <c r="AX528" s="150"/>
      <c r="AY528" s="466"/>
      <c r="AZ528" s="466"/>
      <c r="BA528" s="150"/>
      <c r="BB528" s="150"/>
      <c r="BC528" s="466"/>
      <c r="BD528" s="466"/>
      <c r="BE528" s="466"/>
      <c r="BF528" s="466"/>
      <c r="BG528" s="150"/>
      <c r="BH528" s="150"/>
      <c r="BI528" s="150"/>
      <c r="BJ528" s="466"/>
      <c r="BK528" s="152"/>
      <c r="BL528" s="160"/>
      <c r="BM528" s="150"/>
      <c r="BN528" s="466"/>
      <c r="BO528" s="150"/>
      <c r="BP528" s="516"/>
      <c r="BQ528" s="160"/>
      <c r="BR528" s="152"/>
      <c r="BS528" s="160"/>
    </row>
    <row r="529" spans="1:71" x14ac:dyDescent="0.3">
      <c r="A529" s="420">
        <f>DL!A526</f>
        <v>477</v>
      </c>
      <c r="B529" s="19" t="s">
        <v>290</v>
      </c>
      <c r="C529" s="149">
        <f>DL!L526</f>
        <v>1600</v>
      </c>
      <c r="D529" s="149" t="str">
        <f>DL!C526</f>
        <v>BOTT</v>
      </c>
      <c r="E529" s="150"/>
      <c r="F529" s="463"/>
      <c r="G529" s="150"/>
      <c r="H529" s="150"/>
      <c r="I529" s="466"/>
      <c r="J529" s="150"/>
      <c r="K529" s="168"/>
      <c r="L529" s="466"/>
      <c r="M529" s="150"/>
      <c r="N529" s="466"/>
      <c r="O529" s="150"/>
      <c r="P529" s="150"/>
      <c r="Q529" s="150"/>
      <c r="R529" s="473">
        <v>160</v>
      </c>
      <c r="S529" s="466">
        <v>100</v>
      </c>
      <c r="T529" s="150"/>
      <c r="U529" s="150"/>
      <c r="V529" s="150"/>
      <c r="W529" s="168"/>
      <c r="X529" s="150"/>
      <c r="Y529" s="466"/>
      <c r="Z529" s="455"/>
      <c r="AA529" s="150"/>
      <c r="AB529" s="490"/>
      <c r="AC529" s="150"/>
      <c r="AD529" s="150"/>
      <c r="AE529" s="466"/>
      <c r="AF529" s="499"/>
      <c r="AG529" s="150"/>
      <c r="AH529" s="150"/>
      <c r="AI529" s="150"/>
      <c r="AJ529" s="150"/>
      <c r="AK529" s="150"/>
      <c r="AL529" s="150"/>
      <c r="AM529" s="150"/>
      <c r="AN529" s="466"/>
      <c r="AO529" s="466"/>
      <c r="AP529" s="150"/>
      <c r="AQ529" s="150"/>
      <c r="AR529" s="151"/>
      <c r="AS529" s="456"/>
      <c r="AT529" s="466"/>
      <c r="AU529" s="150"/>
      <c r="AV529" s="487"/>
      <c r="AW529" s="150"/>
      <c r="AX529" s="150"/>
      <c r="AY529" s="466"/>
      <c r="AZ529" s="466"/>
      <c r="BA529" s="150"/>
      <c r="BB529" s="150"/>
      <c r="BC529" s="466"/>
      <c r="BD529" s="466"/>
      <c r="BE529" s="466"/>
      <c r="BF529" s="466"/>
      <c r="BG529" s="150"/>
      <c r="BH529" s="150"/>
      <c r="BI529" s="150"/>
      <c r="BJ529" s="466">
        <v>160</v>
      </c>
      <c r="BK529" s="152"/>
      <c r="BL529" s="160"/>
      <c r="BM529" s="150">
        <v>125</v>
      </c>
      <c r="BN529" s="466"/>
      <c r="BO529" s="150"/>
      <c r="BP529" s="516"/>
      <c r="BQ529" s="160"/>
      <c r="BR529" s="152"/>
      <c r="BS529" s="160"/>
    </row>
    <row r="530" spans="1:71" x14ac:dyDescent="0.3">
      <c r="A530" s="420">
        <f>DL!A527</f>
        <v>478</v>
      </c>
      <c r="B530" s="19" t="s">
        <v>291</v>
      </c>
      <c r="C530" s="149">
        <f>DL!L527</f>
        <v>1600</v>
      </c>
      <c r="D530" s="149" t="str">
        <f>DL!C527</f>
        <v>BOTT</v>
      </c>
      <c r="E530" s="150"/>
      <c r="F530" s="463"/>
      <c r="G530" s="150"/>
      <c r="H530" s="150"/>
      <c r="I530" s="466"/>
      <c r="J530" s="150"/>
      <c r="K530" s="168"/>
      <c r="L530" s="466"/>
      <c r="M530" s="150"/>
      <c r="N530" s="466"/>
      <c r="O530" s="150"/>
      <c r="P530" s="150"/>
      <c r="Q530" s="150"/>
      <c r="R530" s="473">
        <v>145</v>
      </c>
      <c r="S530" s="466">
        <v>100</v>
      </c>
      <c r="T530" s="150"/>
      <c r="U530" s="150"/>
      <c r="V530" s="150"/>
      <c r="W530" s="168"/>
      <c r="X530" s="150"/>
      <c r="Y530" s="466"/>
      <c r="Z530" s="455"/>
      <c r="AA530" s="150"/>
      <c r="AB530" s="490"/>
      <c r="AC530" s="150"/>
      <c r="AD530" s="150"/>
      <c r="AE530" s="466"/>
      <c r="AF530" s="499"/>
      <c r="AG530" s="150"/>
      <c r="AH530" s="150"/>
      <c r="AI530" s="150"/>
      <c r="AJ530" s="150"/>
      <c r="AK530" s="150"/>
      <c r="AL530" s="150"/>
      <c r="AM530" s="150"/>
      <c r="AN530" s="466"/>
      <c r="AO530" s="466"/>
      <c r="AP530" s="150"/>
      <c r="AQ530" s="150"/>
      <c r="AR530" s="151"/>
      <c r="AS530" s="456"/>
      <c r="AT530" s="466"/>
      <c r="AU530" s="150"/>
      <c r="AV530" s="487"/>
      <c r="AW530" s="150"/>
      <c r="AX530" s="150"/>
      <c r="AY530" s="466"/>
      <c r="AZ530" s="466"/>
      <c r="BA530" s="150"/>
      <c r="BB530" s="150"/>
      <c r="BC530" s="466"/>
      <c r="BD530" s="466"/>
      <c r="BE530" s="466"/>
      <c r="BF530" s="466">
        <v>179.76</v>
      </c>
      <c r="BG530" s="150"/>
      <c r="BH530" s="150"/>
      <c r="BI530" s="150"/>
      <c r="BJ530" s="466"/>
      <c r="BK530" s="152"/>
      <c r="BL530" s="160"/>
      <c r="BM530" s="150">
        <v>115</v>
      </c>
      <c r="BN530" s="466"/>
      <c r="BO530" s="150"/>
      <c r="BP530" s="516"/>
      <c r="BQ530" s="160"/>
      <c r="BR530" s="152"/>
      <c r="BS530" s="160"/>
    </row>
    <row r="531" spans="1:71" x14ac:dyDescent="0.3">
      <c r="A531" s="420">
        <f>DL!A528</f>
        <v>479</v>
      </c>
      <c r="B531" s="19" t="s">
        <v>292</v>
      </c>
      <c r="C531" s="149">
        <v>600</v>
      </c>
      <c r="D531" s="149" t="str">
        <f>DL!C528</f>
        <v>BOTT</v>
      </c>
      <c r="E531" s="150"/>
      <c r="F531" s="463"/>
      <c r="G531" s="150"/>
      <c r="H531" s="150"/>
      <c r="I531" s="466"/>
      <c r="J531" s="150"/>
      <c r="K531" s="168"/>
      <c r="L531" s="466"/>
      <c r="M531" s="150"/>
      <c r="N531" s="466"/>
      <c r="O531" s="150"/>
      <c r="P531" s="150"/>
      <c r="Q531" s="150"/>
      <c r="R531" s="472"/>
      <c r="S531" s="466">
        <v>200</v>
      </c>
      <c r="T531" s="150"/>
      <c r="U531" s="150"/>
      <c r="V531" s="150"/>
      <c r="W531" s="168"/>
      <c r="X531" s="150"/>
      <c r="Y531" s="466"/>
      <c r="Z531" s="455"/>
      <c r="AA531" s="150">
        <v>300</v>
      </c>
      <c r="AB531" s="490"/>
      <c r="AC531" s="150"/>
      <c r="AD531" s="150"/>
      <c r="AE531" s="466">
        <v>280</v>
      </c>
      <c r="AF531" s="499"/>
      <c r="AG531" s="150"/>
      <c r="AH531" s="150"/>
      <c r="AI531" s="150"/>
      <c r="AJ531" s="150"/>
      <c r="AK531" s="150"/>
      <c r="AL531" s="150"/>
      <c r="AM531" s="150"/>
      <c r="AN531" s="466"/>
      <c r="AO531" s="466"/>
      <c r="AP531" s="150"/>
      <c r="AQ531" s="150"/>
      <c r="AR531" s="151"/>
      <c r="AS531" s="456"/>
      <c r="AT531" s="466"/>
      <c r="AU531" s="150"/>
      <c r="AV531" s="487"/>
      <c r="AW531" s="150"/>
      <c r="AX531" s="150"/>
      <c r="AY531" s="466"/>
      <c r="AZ531" s="466"/>
      <c r="BA531" s="150"/>
      <c r="BB531" s="150"/>
      <c r="BC531" s="466"/>
      <c r="BD531" s="466"/>
      <c r="BE531" s="466"/>
      <c r="BF531" s="466"/>
      <c r="BG531" s="150"/>
      <c r="BH531" s="150"/>
      <c r="BI531" s="150"/>
      <c r="BJ531" s="466"/>
      <c r="BK531" s="152"/>
      <c r="BL531" s="160"/>
      <c r="BM531" s="150"/>
      <c r="BN531" s="466"/>
      <c r="BO531" s="150"/>
      <c r="BP531" s="516"/>
      <c r="BQ531" s="160"/>
      <c r="BR531" s="152"/>
      <c r="BS531" s="160"/>
    </row>
    <row r="532" spans="1:71" x14ac:dyDescent="0.3">
      <c r="A532" s="420">
        <f>DL!A529</f>
        <v>480</v>
      </c>
      <c r="B532" s="19" t="s">
        <v>293</v>
      </c>
      <c r="C532" s="149">
        <f>DL!L529</f>
        <v>80</v>
      </c>
      <c r="D532" s="149">
        <f>DL!C529</f>
        <v>10</v>
      </c>
      <c r="E532" s="150"/>
      <c r="F532" s="463"/>
      <c r="G532" s="150"/>
      <c r="H532" s="150"/>
      <c r="I532" s="466"/>
      <c r="J532" s="150"/>
      <c r="K532" s="168"/>
      <c r="L532" s="466"/>
      <c r="M532" s="150"/>
      <c r="N532" s="466"/>
      <c r="O532" s="150"/>
      <c r="P532" s="150"/>
      <c r="Q532" s="150"/>
      <c r="R532" s="472"/>
      <c r="S532" s="466">
        <v>1000</v>
      </c>
      <c r="T532" s="150"/>
      <c r="U532" s="150"/>
      <c r="V532" s="150"/>
      <c r="W532" s="168"/>
      <c r="X532" s="150"/>
      <c r="Y532" s="466"/>
      <c r="Z532" s="455"/>
      <c r="AA532" s="150"/>
      <c r="AB532" s="490"/>
      <c r="AC532" s="150"/>
      <c r="AD532" s="150"/>
      <c r="AE532" s="466"/>
      <c r="AF532" s="499"/>
      <c r="AG532" s="150"/>
      <c r="AH532" s="150"/>
      <c r="AI532" s="150"/>
      <c r="AJ532" s="150"/>
      <c r="AK532" s="150"/>
      <c r="AL532" s="150"/>
      <c r="AM532" s="150"/>
      <c r="AN532" s="466"/>
      <c r="AO532" s="466">
        <v>650</v>
      </c>
      <c r="AP532" s="150"/>
      <c r="AQ532" s="150"/>
      <c r="AR532" s="151"/>
      <c r="AS532" s="456"/>
      <c r="AT532" s="466"/>
      <c r="AU532" s="150"/>
      <c r="AV532" s="487"/>
      <c r="AW532" s="150"/>
      <c r="AX532" s="150"/>
      <c r="AY532" s="466"/>
      <c r="AZ532" s="466"/>
      <c r="BA532" s="150"/>
      <c r="BB532" s="150"/>
      <c r="BC532" s="466"/>
      <c r="BD532" s="466"/>
      <c r="BE532" s="466"/>
      <c r="BF532" s="466"/>
      <c r="BG532" s="150"/>
      <c r="BH532" s="150"/>
      <c r="BI532" s="150"/>
      <c r="BJ532" s="466"/>
      <c r="BK532" s="152"/>
      <c r="BL532" s="160"/>
      <c r="BM532" s="150"/>
      <c r="BN532" s="466"/>
      <c r="BO532" s="150">
        <v>1212.4000000000001</v>
      </c>
      <c r="BP532" s="516"/>
      <c r="BQ532" s="160"/>
      <c r="BR532" s="152"/>
      <c r="BS532" s="160"/>
    </row>
    <row r="533" spans="1:71" x14ac:dyDescent="0.3">
      <c r="A533" s="420">
        <f>DL!A530</f>
        <v>481</v>
      </c>
      <c r="B533" s="19" t="s">
        <v>294</v>
      </c>
      <c r="C533" s="149">
        <v>300</v>
      </c>
      <c r="D533" s="149">
        <f>DL!C530</f>
        <v>10</v>
      </c>
      <c r="E533" s="150"/>
      <c r="F533" s="463"/>
      <c r="G533" s="150"/>
      <c r="H533" s="150"/>
      <c r="I533" s="466"/>
      <c r="J533" s="150"/>
      <c r="K533" s="168"/>
      <c r="L533" s="466"/>
      <c r="M533" s="150"/>
      <c r="N533" s="466"/>
      <c r="O533" s="150"/>
      <c r="P533" s="150"/>
      <c r="Q533" s="150"/>
      <c r="R533" s="472"/>
      <c r="S533" s="466">
        <v>1350</v>
      </c>
      <c r="T533" s="150"/>
      <c r="U533" s="150"/>
      <c r="V533" s="150"/>
      <c r="W533" s="168"/>
      <c r="X533" s="150"/>
      <c r="Y533" s="466"/>
      <c r="Z533" s="455"/>
      <c r="AA533" s="150"/>
      <c r="AB533" s="490"/>
      <c r="AC533" s="150"/>
      <c r="AD533" s="150"/>
      <c r="AE533" s="466"/>
      <c r="AF533" s="499"/>
      <c r="AG533" s="150"/>
      <c r="AH533" s="150"/>
      <c r="AI533" s="150"/>
      <c r="AJ533" s="150"/>
      <c r="AK533" s="150"/>
      <c r="AL533" s="150"/>
      <c r="AM533" s="150"/>
      <c r="AN533" s="466"/>
      <c r="AO533" s="466">
        <v>895</v>
      </c>
      <c r="AP533" s="150"/>
      <c r="AQ533" s="150"/>
      <c r="AR533" s="151"/>
      <c r="AS533" s="456"/>
      <c r="AT533" s="466"/>
      <c r="AU533" s="150"/>
      <c r="AV533" s="487"/>
      <c r="AW533" s="150"/>
      <c r="AX533" s="150"/>
      <c r="AY533" s="466"/>
      <c r="AZ533" s="466"/>
      <c r="BA533" s="150"/>
      <c r="BB533" s="150"/>
      <c r="BC533" s="466"/>
      <c r="BD533" s="466"/>
      <c r="BE533" s="466"/>
      <c r="BF533" s="466"/>
      <c r="BG533" s="150"/>
      <c r="BH533" s="150"/>
      <c r="BI533" s="150"/>
      <c r="BJ533" s="466"/>
      <c r="BK533" s="152"/>
      <c r="BL533" s="160"/>
      <c r="BM533" s="150"/>
      <c r="BN533" s="466"/>
      <c r="BO533" s="150">
        <v>1518</v>
      </c>
      <c r="BP533" s="516"/>
      <c r="BQ533" s="160"/>
      <c r="BR533" s="152"/>
      <c r="BS533" s="160"/>
    </row>
    <row r="534" spans="1:71" x14ac:dyDescent="0.3">
      <c r="A534" s="420">
        <f>DL!A531</f>
        <v>482</v>
      </c>
      <c r="B534" s="19" t="s">
        <v>699</v>
      </c>
      <c r="C534" s="149">
        <f>DL!L531</f>
        <v>4</v>
      </c>
      <c r="D534" s="149">
        <f>DL!C531</f>
        <v>100</v>
      </c>
      <c r="E534" s="150"/>
      <c r="F534" s="463"/>
      <c r="G534" s="150"/>
      <c r="H534" s="150"/>
      <c r="I534" s="466"/>
      <c r="J534" s="150"/>
      <c r="K534" s="168"/>
      <c r="L534" s="466"/>
      <c r="M534" s="150"/>
      <c r="N534" s="466"/>
      <c r="O534" s="150"/>
      <c r="P534" s="150"/>
      <c r="Q534" s="150"/>
      <c r="R534" s="472"/>
      <c r="S534" s="466"/>
      <c r="T534" s="150"/>
      <c r="U534" s="150"/>
      <c r="V534" s="150"/>
      <c r="W534" s="168"/>
      <c r="X534" s="150"/>
      <c r="Y534" s="466"/>
      <c r="Z534" s="455"/>
      <c r="AA534" s="150"/>
      <c r="AB534" s="490"/>
      <c r="AC534" s="150"/>
      <c r="AD534" s="150"/>
      <c r="AE534" s="466"/>
      <c r="AF534" s="499"/>
      <c r="AG534" s="150"/>
      <c r="AH534" s="150"/>
      <c r="AI534" s="150"/>
      <c r="AJ534" s="150"/>
      <c r="AK534" s="150"/>
      <c r="AL534" s="150"/>
      <c r="AM534" s="150"/>
      <c r="AN534" s="466"/>
      <c r="AO534" s="466"/>
      <c r="AP534" s="150"/>
      <c r="AQ534" s="150"/>
      <c r="AR534" s="151"/>
      <c r="AS534" s="456"/>
      <c r="AT534" s="466"/>
      <c r="AU534" s="150"/>
      <c r="AV534" s="487"/>
      <c r="AW534" s="150"/>
      <c r="AX534" s="150"/>
      <c r="AY534" s="466"/>
      <c r="AZ534" s="466"/>
      <c r="BA534" s="150"/>
      <c r="BB534" s="150"/>
      <c r="BC534" s="466"/>
      <c r="BD534" s="466"/>
      <c r="BE534" s="466"/>
      <c r="BF534" s="466"/>
      <c r="BG534" s="150"/>
      <c r="BH534" s="150"/>
      <c r="BI534" s="150"/>
      <c r="BJ534" s="466"/>
      <c r="BK534" s="152"/>
      <c r="BL534" s="160"/>
      <c r="BM534" s="150"/>
      <c r="BN534" s="466"/>
      <c r="BO534" s="150"/>
      <c r="BP534" s="516"/>
      <c r="BQ534" s="160"/>
      <c r="BR534" s="152"/>
      <c r="BS534" s="160"/>
    </row>
    <row r="535" spans="1:71" x14ac:dyDescent="0.3">
      <c r="A535" s="420">
        <f>DL!A532</f>
        <v>483</v>
      </c>
      <c r="B535" s="19" t="s">
        <v>295</v>
      </c>
      <c r="C535" s="149">
        <v>6000</v>
      </c>
      <c r="D535" s="149" t="str">
        <f>DL!C532</f>
        <v>VIAL</v>
      </c>
      <c r="E535" s="150">
        <v>350</v>
      </c>
      <c r="F535" s="463"/>
      <c r="G535" s="150"/>
      <c r="H535" s="150"/>
      <c r="I535" s="466"/>
      <c r="J535" s="150"/>
      <c r="K535" s="168"/>
      <c r="L535" s="466"/>
      <c r="M535" s="150"/>
      <c r="N535" s="466"/>
      <c r="O535" s="150"/>
      <c r="P535" s="150"/>
      <c r="Q535" s="150"/>
      <c r="R535" s="472"/>
      <c r="S535" s="466">
        <v>150</v>
      </c>
      <c r="T535" s="150"/>
      <c r="U535" s="150"/>
      <c r="V535" s="150"/>
      <c r="W535" s="168"/>
      <c r="X535" s="150"/>
      <c r="Y535" s="466"/>
      <c r="Z535" s="455"/>
      <c r="AA535" s="150"/>
      <c r="AB535" s="490"/>
      <c r="AC535" s="150"/>
      <c r="AD535" s="150"/>
      <c r="AE535" s="466"/>
      <c r="AF535" s="499"/>
      <c r="AG535" s="150">
        <v>160</v>
      </c>
      <c r="AH535" s="150"/>
      <c r="AI535" s="150"/>
      <c r="AJ535" s="150"/>
      <c r="AK535" s="150"/>
      <c r="AL535" s="150"/>
      <c r="AM535" s="150"/>
      <c r="AN535" s="466"/>
      <c r="AO535" s="466"/>
      <c r="AP535" s="150"/>
      <c r="AQ535" s="150"/>
      <c r="AR535" s="151"/>
      <c r="AS535" s="456"/>
      <c r="AT535" s="466"/>
      <c r="AU535" s="150"/>
      <c r="AV535" s="487"/>
      <c r="AW535" s="150"/>
      <c r="AX535" s="150"/>
      <c r="AY535" s="466"/>
      <c r="AZ535" s="466"/>
      <c r="BA535" s="150"/>
      <c r="BB535" s="150"/>
      <c r="BC535" s="466"/>
      <c r="BD535" s="466"/>
      <c r="BE535" s="466"/>
      <c r="BF535" s="466"/>
      <c r="BG535" s="150"/>
      <c r="BH535" s="150"/>
      <c r="BI535" s="150"/>
      <c r="BJ535" s="466"/>
      <c r="BK535" s="152"/>
      <c r="BL535" s="160"/>
      <c r="BM535" s="150"/>
      <c r="BN535" s="466"/>
      <c r="BO535" s="150"/>
      <c r="BP535" s="516"/>
      <c r="BQ535" s="160"/>
      <c r="BR535" s="152"/>
      <c r="BS535" s="160"/>
    </row>
    <row r="536" spans="1:71" x14ac:dyDescent="0.3">
      <c r="A536" s="420">
        <f>DL!A533</f>
        <v>484</v>
      </c>
      <c r="B536" s="19" t="s">
        <v>301</v>
      </c>
      <c r="C536" s="149">
        <f>DL!L533</f>
        <v>4</v>
      </c>
      <c r="D536" s="149">
        <f>DL!C533</f>
        <v>30</v>
      </c>
      <c r="E536" s="150"/>
      <c r="F536" s="463"/>
      <c r="G536" s="150"/>
      <c r="H536" s="150"/>
      <c r="I536" s="466"/>
      <c r="J536" s="150"/>
      <c r="K536" s="168"/>
      <c r="L536" s="466"/>
      <c r="M536" s="150"/>
      <c r="N536" s="466"/>
      <c r="O536" s="150"/>
      <c r="P536" s="150"/>
      <c r="Q536" s="150"/>
      <c r="R536" s="472"/>
      <c r="S536" s="466"/>
      <c r="T536" s="150"/>
      <c r="U536" s="150"/>
      <c r="V536" s="150"/>
      <c r="W536" s="168"/>
      <c r="X536" s="150"/>
      <c r="Y536" s="466"/>
      <c r="Z536" s="455"/>
      <c r="AA536" s="150"/>
      <c r="AB536" s="490"/>
      <c r="AC536" s="150"/>
      <c r="AD536" s="150"/>
      <c r="AE536" s="466"/>
      <c r="AF536" s="499"/>
      <c r="AG536" s="150"/>
      <c r="AH536" s="150"/>
      <c r="AI536" s="150"/>
      <c r="AJ536" s="150"/>
      <c r="AK536" s="150"/>
      <c r="AL536" s="150"/>
      <c r="AM536" s="150"/>
      <c r="AN536" s="466"/>
      <c r="AO536" s="466"/>
      <c r="AP536" s="150"/>
      <c r="AQ536" s="150"/>
      <c r="AR536" s="151"/>
      <c r="AS536" s="456"/>
      <c r="AT536" s="466"/>
      <c r="AU536" s="150"/>
      <c r="AV536" s="487"/>
      <c r="AW536" s="150"/>
      <c r="AX536" s="150"/>
      <c r="AY536" s="466"/>
      <c r="AZ536" s="466"/>
      <c r="BA536" s="150"/>
      <c r="BB536" s="150"/>
      <c r="BC536" s="466"/>
      <c r="BD536" s="466"/>
      <c r="BE536" s="466"/>
      <c r="BF536" s="466"/>
      <c r="BG536" s="150"/>
      <c r="BH536" s="150"/>
      <c r="BI536" s="150"/>
      <c r="BJ536" s="466"/>
      <c r="BK536" s="152"/>
      <c r="BL536" s="160"/>
      <c r="BM536" s="150"/>
      <c r="BN536" s="466"/>
      <c r="BO536" s="150"/>
      <c r="BP536" s="516"/>
      <c r="BQ536" s="160"/>
      <c r="BR536" s="152"/>
      <c r="BS536" s="160"/>
    </row>
    <row r="537" spans="1:71" x14ac:dyDescent="0.3">
      <c r="A537" s="420">
        <f>DL!A534</f>
        <v>485</v>
      </c>
      <c r="B537" s="19" t="s">
        <v>1355</v>
      </c>
      <c r="C537" s="149">
        <f>DL!L534</f>
        <v>80</v>
      </c>
      <c r="D537" s="149">
        <f>DL!C534</f>
        <v>100</v>
      </c>
      <c r="E537" s="150"/>
      <c r="F537" s="463"/>
      <c r="G537" s="150"/>
      <c r="H537" s="150"/>
      <c r="I537" s="466"/>
      <c r="J537" s="150"/>
      <c r="K537" s="168"/>
      <c r="L537" s="466"/>
      <c r="M537" s="150"/>
      <c r="N537" s="466"/>
      <c r="O537" s="150"/>
      <c r="P537" s="150"/>
      <c r="Q537" s="150"/>
      <c r="R537" s="472"/>
      <c r="S537" s="466">
        <v>750</v>
      </c>
      <c r="T537" s="150"/>
      <c r="U537" s="150"/>
      <c r="V537" s="150"/>
      <c r="W537" s="168"/>
      <c r="X537" s="150">
        <v>371.2</v>
      </c>
      <c r="Y537" s="466"/>
      <c r="Z537" s="455"/>
      <c r="AA537" s="150"/>
      <c r="AB537" s="490"/>
      <c r="AC537" s="150"/>
      <c r="AD537" s="150"/>
      <c r="AE537" s="466"/>
      <c r="AF537" s="499"/>
      <c r="AG537" s="150"/>
      <c r="AH537" s="150"/>
      <c r="AI537" s="150"/>
      <c r="AJ537" s="150"/>
      <c r="AK537" s="150"/>
      <c r="AL537" s="150"/>
      <c r="AM537" s="150"/>
      <c r="AN537" s="466"/>
      <c r="AO537" s="466"/>
      <c r="AP537" s="150"/>
      <c r="AQ537" s="150"/>
      <c r="AR537" s="151"/>
      <c r="AS537" s="456"/>
      <c r="AT537" s="466"/>
      <c r="AU537" s="150"/>
      <c r="AV537" s="487"/>
      <c r="AW537" s="150"/>
      <c r="AX537" s="150">
        <v>496</v>
      </c>
      <c r="AY537" s="466"/>
      <c r="AZ537" s="466"/>
      <c r="BA537" s="150"/>
      <c r="BB537" s="150"/>
      <c r="BC537" s="466"/>
      <c r="BD537" s="466"/>
      <c r="BE537" s="466"/>
      <c r="BF537" s="466"/>
      <c r="BG537" s="150"/>
      <c r="BH537" s="150"/>
      <c r="BI537" s="150"/>
      <c r="BJ537" s="466"/>
      <c r="BK537" s="152"/>
      <c r="BL537" s="160"/>
      <c r="BM537" s="150"/>
      <c r="BN537" s="466"/>
      <c r="BO537" s="150"/>
      <c r="BP537" s="516"/>
      <c r="BQ537" s="160"/>
      <c r="BR537" s="152"/>
      <c r="BS537" s="160"/>
    </row>
    <row r="538" spans="1:71" x14ac:dyDescent="0.3">
      <c r="A538" s="420">
        <f>DL!A535</f>
        <v>486</v>
      </c>
      <c r="B538" s="19" t="s">
        <v>296</v>
      </c>
      <c r="C538" s="149">
        <f>DL!L535</f>
        <v>400</v>
      </c>
      <c r="D538" s="149">
        <f>DL!C535</f>
        <v>100</v>
      </c>
      <c r="E538" s="150"/>
      <c r="F538" s="463"/>
      <c r="G538" s="150"/>
      <c r="H538" s="150"/>
      <c r="I538" s="466"/>
      <c r="J538" s="150"/>
      <c r="K538" s="168"/>
      <c r="L538" s="466"/>
      <c r="M538" s="150"/>
      <c r="N538" s="466"/>
      <c r="O538" s="150"/>
      <c r="P538" s="150"/>
      <c r="Q538" s="150"/>
      <c r="R538" s="472"/>
      <c r="S538" s="466">
        <v>600</v>
      </c>
      <c r="T538" s="150"/>
      <c r="U538" s="150"/>
      <c r="V538" s="150"/>
      <c r="W538" s="168"/>
      <c r="X538" s="150"/>
      <c r="Y538" s="466"/>
      <c r="Z538" s="455"/>
      <c r="AA538" s="150"/>
      <c r="AB538" s="490"/>
      <c r="AC538" s="150"/>
      <c r="AD538" s="150"/>
      <c r="AE538" s="466"/>
      <c r="AF538" s="499"/>
      <c r="AG538" s="150"/>
      <c r="AH538" s="150"/>
      <c r="AI538" s="150"/>
      <c r="AJ538" s="150"/>
      <c r="AK538" s="150"/>
      <c r="AL538" s="150"/>
      <c r="AM538" s="150"/>
      <c r="AN538" s="466"/>
      <c r="AO538" s="466"/>
      <c r="AP538" s="150"/>
      <c r="AQ538" s="150"/>
      <c r="AR538" s="151"/>
      <c r="AS538" s="456"/>
      <c r="AT538" s="466"/>
      <c r="AU538" s="150"/>
      <c r="AV538" s="487"/>
      <c r="AW538" s="150"/>
      <c r="AX538" s="150"/>
      <c r="AY538" s="466"/>
      <c r="AZ538" s="466"/>
      <c r="BA538" s="150"/>
      <c r="BB538" s="150"/>
      <c r="BC538" s="466"/>
      <c r="BD538" s="466"/>
      <c r="BE538" s="466"/>
      <c r="BF538" s="466"/>
      <c r="BG538" s="150"/>
      <c r="BH538" s="150"/>
      <c r="BI538" s="150"/>
      <c r="BJ538" s="466"/>
      <c r="BK538" s="152"/>
      <c r="BL538" s="160"/>
      <c r="BM538" s="150"/>
      <c r="BN538" s="466">
        <v>680</v>
      </c>
      <c r="BO538" s="150"/>
      <c r="BP538" s="516"/>
      <c r="BQ538" s="160"/>
      <c r="BR538" s="152"/>
      <c r="BS538" s="160"/>
    </row>
    <row r="539" spans="1:71" x14ac:dyDescent="0.3">
      <c r="A539" s="420">
        <f>DL!A536</f>
        <v>487</v>
      </c>
      <c r="B539" s="19" t="s">
        <v>1356</v>
      </c>
      <c r="C539" s="149">
        <f>DL!L536</f>
        <v>120</v>
      </c>
      <c r="D539" s="149" t="str">
        <f>DL!C536</f>
        <v>BOTT</v>
      </c>
      <c r="E539" s="150"/>
      <c r="F539" s="463"/>
      <c r="G539" s="150"/>
      <c r="H539" s="150"/>
      <c r="I539" s="466"/>
      <c r="J539" s="150"/>
      <c r="K539" s="168"/>
      <c r="L539" s="466"/>
      <c r="M539" s="150"/>
      <c r="N539" s="466"/>
      <c r="O539" s="150"/>
      <c r="P539" s="150"/>
      <c r="Q539" s="150"/>
      <c r="R539" s="472"/>
      <c r="S539" s="466">
        <v>450</v>
      </c>
      <c r="T539" s="150"/>
      <c r="U539" s="150"/>
      <c r="V539" s="150"/>
      <c r="W539" s="168"/>
      <c r="X539" s="150"/>
      <c r="Y539" s="466"/>
      <c r="Z539" s="455"/>
      <c r="AA539" s="150"/>
      <c r="AB539" s="490"/>
      <c r="AC539" s="150"/>
      <c r="AD539" s="150"/>
      <c r="AE539" s="466"/>
      <c r="AF539" s="499"/>
      <c r="AG539" s="150"/>
      <c r="AH539" s="150"/>
      <c r="AI539" s="150"/>
      <c r="AJ539" s="150"/>
      <c r="AK539" s="150"/>
      <c r="AL539" s="150"/>
      <c r="AM539" s="150"/>
      <c r="AN539" s="466"/>
      <c r="AO539" s="466"/>
      <c r="AP539" s="150"/>
      <c r="AQ539" s="150"/>
      <c r="AR539" s="151"/>
      <c r="AS539" s="456"/>
      <c r="AT539" s="466"/>
      <c r="AU539" s="150"/>
      <c r="AV539" s="487"/>
      <c r="AW539" s="150"/>
      <c r="AX539" s="150"/>
      <c r="AY539" s="466"/>
      <c r="AZ539" s="466"/>
      <c r="BA539" s="150"/>
      <c r="BB539" s="150"/>
      <c r="BC539" s="466"/>
      <c r="BD539" s="466"/>
      <c r="BE539" s="466"/>
      <c r="BF539" s="466"/>
      <c r="BG539" s="150"/>
      <c r="BH539" s="150"/>
      <c r="BI539" s="150"/>
      <c r="BJ539" s="466"/>
      <c r="BK539" s="152"/>
      <c r="BL539" s="160"/>
      <c r="BM539" s="150"/>
      <c r="BN539" s="466"/>
      <c r="BO539" s="150"/>
      <c r="BP539" s="516"/>
      <c r="BQ539" s="160"/>
      <c r="BR539" s="152"/>
      <c r="BS539" s="160"/>
    </row>
    <row r="540" spans="1:71" x14ac:dyDescent="0.3">
      <c r="A540" s="420">
        <f>DL!A537</f>
        <v>488</v>
      </c>
      <c r="B540" s="19" t="s">
        <v>1357</v>
      </c>
      <c r="C540" s="149">
        <f>DL!L537</f>
        <v>40</v>
      </c>
      <c r="D540" s="149">
        <f>DL!C537</f>
        <v>30</v>
      </c>
      <c r="E540" s="150"/>
      <c r="F540" s="463"/>
      <c r="G540" s="150"/>
      <c r="H540" s="150"/>
      <c r="I540" s="466"/>
      <c r="J540" s="150"/>
      <c r="K540" s="168"/>
      <c r="L540" s="466"/>
      <c r="M540" s="150"/>
      <c r="N540" s="466"/>
      <c r="O540" s="150"/>
      <c r="P540" s="150"/>
      <c r="Q540" s="150"/>
      <c r="R540" s="472"/>
      <c r="S540" s="466"/>
      <c r="T540" s="150"/>
      <c r="U540" s="150"/>
      <c r="V540" s="150"/>
      <c r="W540" s="168"/>
      <c r="X540" s="150"/>
      <c r="Y540" s="466"/>
      <c r="Z540" s="455"/>
      <c r="AA540" s="150"/>
      <c r="AB540" s="490"/>
      <c r="AC540" s="150"/>
      <c r="AD540" s="150"/>
      <c r="AE540" s="466"/>
      <c r="AF540" s="499"/>
      <c r="AG540" s="150"/>
      <c r="AH540" s="150"/>
      <c r="AI540" s="150"/>
      <c r="AJ540" s="150"/>
      <c r="AK540" s="150"/>
      <c r="AL540" s="150"/>
      <c r="AM540" s="150"/>
      <c r="AN540" s="466"/>
      <c r="AO540" s="466">
        <v>975</v>
      </c>
      <c r="AP540" s="150"/>
      <c r="AQ540" s="150"/>
      <c r="AR540" s="151"/>
      <c r="AS540" s="456"/>
      <c r="AT540" s="466"/>
      <c r="AU540" s="150"/>
      <c r="AV540" s="487"/>
      <c r="AW540" s="150"/>
      <c r="AX540" s="150"/>
      <c r="AY540" s="466"/>
      <c r="AZ540" s="466"/>
      <c r="BA540" s="150"/>
      <c r="BB540" s="150"/>
      <c r="BC540" s="466"/>
      <c r="BD540" s="466"/>
      <c r="BE540" s="466"/>
      <c r="BF540" s="466"/>
      <c r="BG540" s="150"/>
      <c r="BH540" s="150"/>
      <c r="BI540" s="150"/>
      <c r="BJ540" s="466"/>
      <c r="BK540" s="152"/>
      <c r="BL540" s="160"/>
      <c r="BM540" s="150"/>
      <c r="BN540" s="466"/>
      <c r="BO540" s="150">
        <v>1214.4000000000001</v>
      </c>
      <c r="BP540" s="516"/>
      <c r="BQ540" s="160"/>
      <c r="BR540" s="152"/>
      <c r="BS540" s="160"/>
    </row>
    <row r="541" spans="1:71" x14ac:dyDescent="0.3">
      <c r="A541" s="420">
        <f>DL!A538</f>
        <v>489</v>
      </c>
      <c r="B541" s="19" t="s">
        <v>297</v>
      </c>
      <c r="C541" s="149">
        <f>DL!L538</f>
        <v>800</v>
      </c>
      <c r="D541" s="149">
        <f>DL!C538</f>
        <v>100</v>
      </c>
      <c r="E541" s="150"/>
      <c r="F541" s="463"/>
      <c r="G541" s="150"/>
      <c r="H541" s="150"/>
      <c r="I541" s="466"/>
      <c r="J541" s="150"/>
      <c r="K541" s="168"/>
      <c r="L541" s="466"/>
      <c r="M541" s="150"/>
      <c r="N541" s="466"/>
      <c r="O541" s="150"/>
      <c r="P541" s="150"/>
      <c r="Q541" s="150"/>
      <c r="R541" s="472"/>
      <c r="S541" s="466">
        <v>260</v>
      </c>
      <c r="T541" s="150"/>
      <c r="U541" s="150"/>
      <c r="V541" s="150"/>
      <c r="W541" s="168"/>
      <c r="X541" s="150"/>
      <c r="Y541" s="466"/>
      <c r="Z541" s="455"/>
      <c r="AA541" s="150"/>
      <c r="AB541" s="490"/>
      <c r="AC541" s="150"/>
      <c r="AD541" s="150"/>
      <c r="AE541" s="466">
        <v>530</v>
      </c>
      <c r="AF541" s="499"/>
      <c r="AG541" s="150"/>
      <c r="AH541" s="150"/>
      <c r="AI541" s="150"/>
      <c r="AJ541" s="150"/>
      <c r="AK541" s="150"/>
      <c r="AL541" s="150"/>
      <c r="AM541" s="150"/>
      <c r="AN541" s="466"/>
      <c r="AO541" s="466"/>
      <c r="AP541" s="150"/>
      <c r="AQ541" s="150"/>
      <c r="AR541" s="151"/>
      <c r="AS541" s="456"/>
      <c r="AT541" s="466"/>
      <c r="AU541" s="150"/>
      <c r="AV541" s="487"/>
      <c r="AW541" s="150"/>
      <c r="AX541" s="150"/>
      <c r="AY541" s="466"/>
      <c r="AZ541" s="466"/>
      <c r="BA541" s="150"/>
      <c r="BB541" s="150"/>
      <c r="BC541" s="466"/>
      <c r="BD541" s="466">
        <v>260</v>
      </c>
      <c r="BE541" s="466"/>
      <c r="BF541" s="466"/>
      <c r="BG541" s="150"/>
      <c r="BH541" s="150"/>
      <c r="BI541" s="150"/>
      <c r="BJ541" s="466"/>
      <c r="BK541" s="152"/>
      <c r="BL541" s="160"/>
      <c r="BM541" s="150"/>
      <c r="BN541" s="466"/>
      <c r="BO541" s="150"/>
      <c r="BP541" s="516"/>
      <c r="BQ541" s="160"/>
      <c r="BR541" s="152"/>
      <c r="BS541" s="160"/>
    </row>
    <row r="542" spans="1:71" x14ac:dyDescent="0.3">
      <c r="A542" s="420">
        <f>DL!A539</f>
        <v>490</v>
      </c>
      <c r="B542" s="19" t="s">
        <v>298</v>
      </c>
      <c r="C542" s="149">
        <f>DL!L539</f>
        <v>50</v>
      </c>
      <c r="D542" s="149">
        <f>DL!C539</f>
        <v>100</v>
      </c>
      <c r="E542" s="150"/>
      <c r="F542" s="463"/>
      <c r="G542" s="150"/>
      <c r="H542" s="150"/>
      <c r="I542" s="466"/>
      <c r="J542" s="150"/>
      <c r="K542" s="168"/>
      <c r="L542" s="466"/>
      <c r="M542" s="150"/>
      <c r="N542" s="466"/>
      <c r="O542" s="150"/>
      <c r="P542" s="150"/>
      <c r="Q542" s="150"/>
      <c r="R542" s="472"/>
      <c r="S542" s="466">
        <v>1400</v>
      </c>
      <c r="T542" s="150"/>
      <c r="U542" s="150"/>
      <c r="V542" s="150"/>
      <c r="W542" s="168"/>
      <c r="X542" s="150"/>
      <c r="Y542" s="466"/>
      <c r="Z542" s="455"/>
      <c r="AA542" s="150"/>
      <c r="AB542" s="490"/>
      <c r="AC542" s="150"/>
      <c r="AD542" s="150"/>
      <c r="AE542" s="466"/>
      <c r="AF542" s="499"/>
      <c r="AG542" s="150"/>
      <c r="AH542" s="150"/>
      <c r="AI542" s="150"/>
      <c r="AJ542" s="150"/>
      <c r="AK542" s="150"/>
      <c r="AL542" s="150"/>
      <c r="AM542" s="150"/>
      <c r="AN542" s="466"/>
      <c r="AO542" s="466"/>
      <c r="AP542" s="150"/>
      <c r="AQ542" s="150"/>
      <c r="AR542" s="151"/>
      <c r="AS542" s="456"/>
      <c r="AT542" s="466"/>
      <c r="AU542" s="150"/>
      <c r="AV542" s="487"/>
      <c r="AW542" s="150"/>
      <c r="AX542" s="150"/>
      <c r="AY542" s="466"/>
      <c r="AZ542" s="466"/>
      <c r="BA542" s="150"/>
      <c r="BB542" s="150"/>
      <c r="BC542" s="466"/>
      <c r="BD542" s="150"/>
      <c r="BE542" s="466"/>
      <c r="BF542" s="466"/>
      <c r="BG542" s="150"/>
      <c r="BH542" s="150"/>
      <c r="BI542" s="150"/>
      <c r="BJ542" s="466"/>
      <c r="BK542" s="152"/>
      <c r="BL542" s="160"/>
      <c r="BM542" s="150"/>
      <c r="BN542" s="466"/>
      <c r="BO542" s="150"/>
      <c r="BP542" s="516"/>
      <c r="BQ542" s="160"/>
      <c r="BR542" s="152"/>
      <c r="BS542" s="160"/>
    </row>
    <row r="543" spans="1:71" x14ac:dyDescent="0.3">
      <c r="A543" s="420">
        <f>DL!A540</f>
        <v>491</v>
      </c>
      <c r="B543" s="19" t="s">
        <v>1358</v>
      </c>
      <c r="C543" s="149">
        <f>DL!L540</f>
        <v>80</v>
      </c>
      <c r="D543" s="149" t="str">
        <f>DL!C540</f>
        <v>BOTT</v>
      </c>
      <c r="E543" s="150"/>
      <c r="F543" s="463"/>
      <c r="G543" s="150"/>
      <c r="H543" s="150"/>
      <c r="I543" s="466"/>
      <c r="J543" s="150"/>
      <c r="K543" s="168"/>
      <c r="L543" s="466"/>
      <c r="M543" s="150"/>
      <c r="N543" s="466"/>
      <c r="O543" s="150"/>
      <c r="P543" s="150"/>
      <c r="Q543" s="150"/>
      <c r="R543" s="472"/>
      <c r="S543" s="466">
        <v>120</v>
      </c>
      <c r="T543" s="150"/>
      <c r="U543" s="150"/>
      <c r="V543" s="150"/>
      <c r="W543" s="168"/>
      <c r="X543" s="150"/>
      <c r="Y543" s="466"/>
      <c r="Z543" s="455"/>
      <c r="AA543" s="150"/>
      <c r="AB543" s="490"/>
      <c r="AC543" s="150"/>
      <c r="AD543" s="150"/>
      <c r="AE543" s="466"/>
      <c r="AF543" s="499"/>
      <c r="AG543" s="150"/>
      <c r="AH543" s="150"/>
      <c r="AI543" s="150"/>
      <c r="AJ543" s="150"/>
      <c r="AK543" s="150">
        <v>120</v>
      </c>
      <c r="AL543" s="150"/>
      <c r="AM543" s="150"/>
      <c r="AN543" s="466"/>
      <c r="AO543" s="466"/>
      <c r="AP543" s="150"/>
      <c r="AQ543" s="150"/>
      <c r="AR543" s="151"/>
      <c r="AS543" s="456"/>
      <c r="AT543" s="466"/>
      <c r="AU543" s="150"/>
      <c r="AV543" s="487"/>
      <c r="AW543" s="150"/>
      <c r="AX543" s="150"/>
      <c r="AY543" s="466"/>
      <c r="AZ543" s="466"/>
      <c r="BA543" s="150"/>
      <c r="BB543" s="150"/>
      <c r="BC543" s="466"/>
      <c r="BD543" s="150"/>
      <c r="BE543" s="466"/>
      <c r="BF543" s="466"/>
      <c r="BG543" s="150"/>
      <c r="BH543" s="150"/>
      <c r="BI543" s="150"/>
      <c r="BJ543" s="466"/>
      <c r="BK543" s="152"/>
      <c r="BL543" s="160"/>
      <c r="BM543" s="150">
        <v>92</v>
      </c>
      <c r="BN543" s="466"/>
      <c r="BO543" s="150"/>
      <c r="BP543" s="516"/>
      <c r="BQ543" s="160"/>
      <c r="BR543" s="152"/>
      <c r="BS543" s="160"/>
    </row>
    <row r="544" spans="1:71" x14ac:dyDescent="0.3">
      <c r="A544" s="420">
        <f>DL!A541</f>
        <v>492</v>
      </c>
      <c r="B544" s="19" t="s">
        <v>1359</v>
      </c>
      <c r="C544" s="149">
        <f>DL!L541</f>
        <v>120</v>
      </c>
      <c r="D544" s="149" t="str">
        <f>DL!C541</f>
        <v>BOTT</v>
      </c>
      <c r="E544" s="150"/>
      <c r="F544" s="463"/>
      <c r="G544" s="150"/>
      <c r="H544" s="150"/>
      <c r="I544" s="466"/>
      <c r="J544" s="150"/>
      <c r="K544" s="168"/>
      <c r="L544" s="466"/>
      <c r="M544" s="150"/>
      <c r="N544" s="466"/>
      <c r="O544" s="150"/>
      <c r="P544" s="150"/>
      <c r="Q544" s="150"/>
      <c r="R544" s="472"/>
      <c r="S544" s="466"/>
      <c r="T544" s="150"/>
      <c r="U544" s="150"/>
      <c r="V544" s="150"/>
      <c r="W544" s="168"/>
      <c r="X544" s="150"/>
      <c r="Y544" s="466"/>
      <c r="Z544" s="455"/>
      <c r="AA544" s="150"/>
      <c r="AB544" s="490"/>
      <c r="AC544" s="150"/>
      <c r="AD544" s="150"/>
      <c r="AE544" s="466"/>
      <c r="AF544" s="499"/>
      <c r="AG544" s="150"/>
      <c r="AH544" s="150"/>
      <c r="AI544" s="150"/>
      <c r="AJ544" s="150"/>
      <c r="AK544" s="150"/>
      <c r="AL544" s="150"/>
      <c r="AM544" s="150"/>
      <c r="AN544" s="466"/>
      <c r="AO544" s="466"/>
      <c r="AP544" s="150"/>
      <c r="AQ544" s="150"/>
      <c r="AR544" s="151"/>
      <c r="AS544" s="456"/>
      <c r="AT544" s="466"/>
      <c r="AU544" s="150"/>
      <c r="AV544" s="487"/>
      <c r="AW544" s="150"/>
      <c r="AX544" s="150"/>
      <c r="AY544" s="466"/>
      <c r="AZ544" s="466"/>
      <c r="BA544" s="150"/>
      <c r="BB544" s="150"/>
      <c r="BC544" s="466"/>
      <c r="BD544" s="150"/>
      <c r="BE544" s="466"/>
      <c r="BF544" s="466">
        <v>316.83</v>
      </c>
      <c r="BG544" s="150"/>
      <c r="BH544" s="150"/>
      <c r="BI544" s="150"/>
      <c r="BJ544" s="466"/>
      <c r="BK544" s="152"/>
      <c r="BL544" s="160"/>
      <c r="BM544" s="150"/>
      <c r="BN544" s="150"/>
      <c r="BO544" s="150"/>
      <c r="BP544" s="516"/>
      <c r="BQ544" s="160"/>
      <c r="BR544" s="152"/>
      <c r="BS544" s="160"/>
    </row>
    <row r="545" spans="1:71" x14ac:dyDescent="0.3">
      <c r="A545" s="420">
        <f>DL!A542</f>
        <v>493</v>
      </c>
      <c r="B545" s="19" t="s">
        <v>300</v>
      </c>
      <c r="C545" s="149">
        <f>DL!L542</f>
        <v>80</v>
      </c>
      <c r="D545" s="149">
        <f>DL!C542</f>
        <v>100</v>
      </c>
      <c r="E545" s="150"/>
      <c r="F545" s="463"/>
      <c r="G545" s="150"/>
      <c r="H545" s="150"/>
      <c r="I545" s="466"/>
      <c r="J545" s="150"/>
      <c r="K545" s="168"/>
      <c r="L545" s="466"/>
      <c r="M545" s="150"/>
      <c r="N545" s="466"/>
      <c r="O545" s="150"/>
      <c r="P545" s="150"/>
      <c r="Q545" s="150"/>
      <c r="R545" s="472"/>
      <c r="S545" s="466"/>
      <c r="T545" s="150"/>
      <c r="U545" s="150"/>
      <c r="V545" s="150"/>
      <c r="W545" s="168"/>
      <c r="X545" s="150"/>
      <c r="Y545" s="466"/>
      <c r="Z545" s="455"/>
      <c r="AA545" s="150"/>
      <c r="AB545" s="490"/>
      <c r="AC545" s="150"/>
      <c r="AD545" s="150"/>
      <c r="AE545" s="466"/>
      <c r="AF545" s="499"/>
      <c r="AG545" s="150"/>
      <c r="AH545" s="150"/>
      <c r="AI545" s="150"/>
      <c r="AJ545" s="150"/>
      <c r="AK545" s="150"/>
      <c r="AL545" s="150"/>
      <c r="AM545" s="150"/>
      <c r="AN545" s="466"/>
      <c r="AO545" s="466"/>
      <c r="AP545" s="150"/>
      <c r="AQ545" s="150"/>
      <c r="AR545" s="151"/>
      <c r="AS545" s="456"/>
      <c r="AT545" s="466"/>
      <c r="AU545" s="150"/>
      <c r="AV545" s="487"/>
      <c r="AW545" s="150"/>
      <c r="AX545" s="150"/>
      <c r="AY545" s="466"/>
      <c r="AZ545" s="466"/>
      <c r="BA545" s="150"/>
      <c r="BB545" s="150"/>
      <c r="BC545" s="466"/>
      <c r="BD545" s="150"/>
      <c r="BE545" s="466"/>
      <c r="BF545" s="466">
        <v>1853.78</v>
      </c>
      <c r="BG545" s="150"/>
      <c r="BH545" s="150"/>
      <c r="BI545" s="150"/>
      <c r="BJ545" s="466"/>
      <c r="BK545" s="152"/>
      <c r="BL545" s="160"/>
      <c r="BM545" s="150"/>
      <c r="BN545" s="150"/>
      <c r="BO545" s="150"/>
      <c r="BP545" s="516"/>
      <c r="BQ545" s="160"/>
      <c r="BR545" s="152"/>
      <c r="BS545" s="160"/>
    </row>
    <row r="546" spans="1:71" x14ac:dyDescent="0.3">
      <c r="A546" s="420"/>
      <c r="B546" s="19"/>
      <c r="C546" s="149">
        <f>DL!L543</f>
        <v>0</v>
      </c>
      <c r="D546" s="149">
        <f>DL!C543</f>
        <v>0</v>
      </c>
      <c r="E546" s="150"/>
      <c r="F546" s="463"/>
      <c r="G546" s="150"/>
      <c r="H546" s="150"/>
      <c r="I546" s="466"/>
      <c r="J546" s="150"/>
      <c r="K546" s="168"/>
      <c r="L546" s="466"/>
      <c r="M546" s="150"/>
      <c r="N546" s="466"/>
      <c r="O546" s="150"/>
      <c r="P546" s="150"/>
      <c r="Q546" s="150"/>
      <c r="R546" s="472"/>
      <c r="S546" s="466"/>
      <c r="T546" s="150"/>
      <c r="U546" s="150"/>
      <c r="V546" s="150"/>
      <c r="W546" s="168"/>
      <c r="X546" s="150"/>
      <c r="Y546" s="466"/>
      <c r="Z546" s="455"/>
      <c r="AA546" s="150"/>
      <c r="AB546" s="490"/>
      <c r="AC546" s="150"/>
      <c r="AD546" s="150"/>
      <c r="AE546" s="466"/>
      <c r="AF546" s="499"/>
      <c r="AG546" s="150"/>
      <c r="AH546" s="150"/>
      <c r="AI546" s="150"/>
      <c r="AJ546" s="150"/>
      <c r="AK546" s="150"/>
      <c r="AL546" s="150"/>
      <c r="AM546" s="150"/>
      <c r="AN546" s="466"/>
      <c r="AO546" s="466"/>
      <c r="AP546" s="150"/>
      <c r="AQ546" s="150"/>
      <c r="AR546" s="151"/>
      <c r="AS546" s="456"/>
      <c r="AT546" s="466"/>
      <c r="AU546" s="150"/>
      <c r="AV546" s="487"/>
      <c r="AW546" s="150"/>
      <c r="AX546" s="150"/>
      <c r="AY546" s="466"/>
      <c r="AZ546" s="466"/>
      <c r="BA546" s="150"/>
      <c r="BB546" s="150"/>
      <c r="BC546" s="466"/>
      <c r="BD546" s="150"/>
      <c r="BE546" s="466"/>
      <c r="BF546" s="466"/>
      <c r="BG546" s="150"/>
      <c r="BH546" s="150"/>
      <c r="BI546" s="150"/>
      <c r="BJ546" s="466"/>
      <c r="BK546" s="152"/>
      <c r="BL546" s="160"/>
      <c r="BM546" s="150"/>
      <c r="BN546" s="150"/>
      <c r="BO546" s="150"/>
      <c r="BP546" s="516"/>
      <c r="BQ546" s="160"/>
      <c r="BR546" s="152"/>
      <c r="BS546" s="160"/>
    </row>
    <row r="547" spans="1:71" x14ac:dyDescent="0.3">
      <c r="A547" s="420"/>
      <c r="B547" s="19"/>
      <c r="C547" s="149">
        <f>DL!L544</f>
        <v>0</v>
      </c>
      <c r="D547" s="149">
        <f>DL!C544</f>
        <v>0</v>
      </c>
      <c r="E547" s="150"/>
      <c r="F547" s="463"/>
      <c r="G547" s="150"/>
      <c r="H547" s="150"/>
      <c r="I547" s="466"/>
      <c r="J547" s="150"/>
      <c r="K547" s="168"/>
      <c r="L547" s="466"/>
      <c r="M547" s="150"/>
      <c r="N547" s="466"/>
      <c r="O547" s="150"/>
      <c r="P547" s="150"/>
      <c r="Q547" s="150"/>
      <c r="R547" s="472"/>
      <c r="S547" s="466"/>
      <c r="T547" s="150"/>
      <c r="U547" s="150"/>
      <c r="V547" s="150"/>
      <c r="W547" s="168"/>
      <c r="X547" s="150"/>
      <c r="Y547" s="466"/>
      <c r="Z547" s="455"/>
      <c r="AA547" s="150"/>
      <c r="AB547" s="490"/>
      <c r="AC547" s="150"/>
      <c r="AD547" s="150"/>
      <c r="AE547" s="466"/>
      <c r="AF547" s="499"/>
      <c r="AG547" s="150"/>
      <c r="AH547" s="150"/>
      <c r="AI547" s="150"/>
      <c r="AJ547" s="150"/>
      <c r="AK547" s="150"/>
      <c r="AL547" s="150"/>
      <c r="AM547" s="150"/>
      <c r="AN547" s="466"/>
      <c r="AO547" s="466"/>
      <c r="AP547" s="150"/>
      <c r="AQ547" s="150"/>
      <c r="AR547" s="151"/>
      <c r="AS547" s="456"/>
      <c r="AT547" s="466"/>
      <c r="AU547" s="150"/>
      <c r="AV547" s="487"/>
      <c r="AW547" s="150"/>
      <c r="AX547" s="150"/>
      <c r="AY547" s="466"/>
      <c r="AZ547" s="466"/>
      <c r="BA547" s="150"/>
      <c r="BB547" s="150"/>
      <c r="BC547" s="466"/>
      <c r="BD547" s="150"/>
      <c r="BE547" s="466"/>
      <c r="BF547" s="466"/>
      <c r="BG547" s="150"/>
      <c r="BH547" s="150"/>
      <c r="BI547" s="150"/>
      <c r="BJ547" s="466"/>
      <c r="BK547" s="152"/>
      <c r="BL547" s="160"/>
      <c r="BM547" s="150"/>
      <c r="BN547" s="150"/>
      <c r="BO547" s="150"/>
      <c r="BP547" s="516"/>
      <c r="BQ547" s="160"/>
      <c r="BR547" s="152"/>
      <c r="BS547" s="160"/>
    </row>
    <row r="548" spans="1:71" x14ac:dyDescent="0.3">
      <c r="A548" s="420" t="str">
        <f>DL!A545</f>
        <v>LOT 11</v>
      </c>
      <c r="B548" s="19" t="s">
        <v>303</v>
      </c>
      <c r="C548" s="149">
        <f>DL!L545</f>
        <v>0</v>
      </c>
      <c r="D548" s="149">
        <f>DL!C545</f>
        <v>0</v>
      </c>
      <c r="E548" s="150"/>
      <c r="F548" s="463"/>
      <c r="G548" s="150"/>
      <c r="H548" s="150"/>
      <c r="I548" s="466"/>
      <c r="J548" s="150"/>
      <c r="K548" s="168"/>
      <c r="L548" s="466"/>
      <c r="M548" s="150"/>
      <c r="N548" s="466"/>
      <c r="O548" s="150"/>
      <c r="P548" s="150"/>
      <c r="Q548" s="150"/>
      <c r="R548" s="472"/>
      <c r="S548" s="466"/>
      <c r="T548" s="150"/>
      <c r="U548" s="150"/>
      <c r="V548" s="150"/>
      <c r="W548" s="168"/>
      <c r="X548" s="150"/>
      <c r="Y548" s="466"/>
      <c r="Z548" s="455"/>
      <c r="AA548" s="150"/>
      <c r="AB548" s="490"/>
      <c r="AC548" s="150"/>
      <c r="AD548" s="150"/>
      <c r="AE548" s="466"/>
      <c r="AF548" s="499"/>
      <c r="AG548" s="150"/>
      <c r="AH548" s="150"/>
      <c r="AI548" s="150"/>
      <c r="AJ548" s="150"/>
      <c r="AK548" s="150"/>
      <c r="AL548" s="150"/>
      <c r="AM548" s="150"/>
      <c r="AN548" s="466"/>
      <c r="AO548" s="466"/>
      <c r="AP548" s="150"/>
      <c r="AQ548" s="150"/>
      <c r="AR548" s="151"/>
      <c r="AS548" s="456"/>
      <c r="AT548" s="466"/>
      <c r="AU548" s="150"/>
      <c r="AV548" s="487"/>
      <c r="AW548" s="150"/>
      <c r="AX548" s="150"/>
      <c r="AY548" s="466"/>
      <c r="AZ548" s="466"/>
      <c r="BA548" s="150"/>
      <c r="BB548" s="150"/>
      <c r="BC548" s="466"/>
      <c r="BD548" s="150"/>
      <c r="BE548" s="466"/>
      <c r="BF548" s="466"/>
      <c r="BG548" s="150"/>
      <c r="BH548" s="150"/>
      <c r="BI548" s="150"/>
      <c r="BJ548" s="466"/>
      <c r="BK548" s="152"/>
      <c r="BL548" s="160"/>
      <c r="BM548" s="150"/>
      <c r="BN548" s="150"/>
      <c r="BO548" s="150"/>
      <c r="BP548" s="516"/>
      <c r="BQ548" s="160"/>
      <c r="BR548" s="152"/>
      <c r="BS548" s="160"/>
    </row>
    <row r="549" spans="1:71" x14ac:dyDescent="0.3">
      <c r="A549" s="420">
        <f>DL!A546</f>
        <v>494</v>
      </c>
      <c r="B549" s="19" t="s">
        <v>304</v>
      </c>
      <c r="C549" s="149">
        <f>DL!L546</f>
        <v>72</v>
      </c>
      <c r="D549" s="149">
        <f>DL!C546</f>
        <v>500</v>
      </c>
      <c r="E549" s="150"/>
      <c r="F549" s="463"/>
      <c r="G549" s="150"/>
      <c r="H549" s="150"/>
      <c r="I549" s="466"/>
      <c r="J549" s="150"/>
      <c r="K549" s="168"/>
      <c r="L549" s="466"/>
      <c r="M549" s="150"/>
      <c r="N549" s="466"/>
      <c r="O549" s="150"/>
      <c r="P549" s="150"/>
      <c r="Q549" s="150"/>
      <c r="R549" s="472"/>
      <c r="S549" s="466">
        <v>500</v>
      </c>
      <c r="T549" s="150"/>
      <c r="U549" s="150"/>
      <c r="V549" s="150"/>
      <c r="W549" s="168"/>
      <c r="X549" s="150"/>
      <c r="Y549" s="466"/>
      <c r="Z549" s="455"/>
      <c r="AA549" s="150"/>
      <c r="AB549" s="490"/>
      <c r="AC549" s="150"/>
      <c r="AD549" s="150"/>
      <c r="AE549" s="466"/>
      <c r="AF549" s="499"/>
      <c r="AG549" s="150">
        <v>9500</v>
      </c>
      <c r="AH549" s="150"/>
      <c r="AI549" s="150"/>
      <c r="AJ549" s="150"/>
      <c r="AK549" s="150"/>
      <c r="AL549" s="150"/>
      <c r="AM549" s="150"/>
      <c r="AN549" s="466"/>
      <c r="AO549" s="466"/>
      <c r="AP549" s="150"/>
      <c r="AQ549" s="150"/>
      <c r="AR549" s="151"/>
      <c r="AS549" s="456"/>
      <c r="AT549" s="466"/>
      <c r="AU549" s="150"/>
      <c r="AV549" s="487"/>
      <c r="AW549" s="150"/>
      <c r="AX549" s="150"/>
      <c r="AY549" s="466"/>
      <c r="AZ549" s="466"/>
      <c r="BA549" s="150"/>
      <c r="BB549" s="150"/>
      <c r="BC549" s="466"/>
      <c r="BD549" s="150"/>
      <c r="BE549" s="466"/>
      <c r="BF549" s="466"/>
      <c r="BG549" s="150"/>
      <c r="BH549" s="150"/>
      <c r="BI549" s="150"/>
      <c r="BJ549" s="466"/>
      <c r="BK549" s="152"/>
      <c r="BL549" s="160"/>
      <c r="BM549" s="150"/>
      <c r="BN549" s="150"/>
      <c r="BO549" s="150"/>
      <c r="BP549" s="516"/>
      <c r="BQ549" s="160"/>
      <c r="BR549" s="152"/>
      <c r="BS549" s="160"/>
    </row>
    <row r="550" spans="1:71" x14ac:dyDescent="0.3">
      <c r="A550" s="420">
        <f>DL!A547</f>
        <v>495</v>
      </c>
      <c r="B550" s="19" t="s">
        <v>472</v>
      </c>
      <c r="C550" s="149">
        <f>DL!L547</f>
        <v>20</v>
      </c>
      <c r="D550" s="149" t="str">
        <f>DL!C547</f>
        <v>TUBE</v>
      </c>
      <c r="E550" s="150"/>
      <c r="F550" s="463"/>
      <c r="G550" s="150"/>
      <c r="H550" s="150"/>
      <c r="I550" s="466"/>
      <c r="J550" s="150"/>
      <c r="K550" s="168"/>
      <c r="L550" s="466"/>
      <c r="M550" s="150"/>
      <c r="N550" s="466"/>
      <c r="O550" s="150"/>
      <c r="P550" s="150"/>
      <c r="Q550" s="150"/>
      <c r="R550" s="472"/>
      <c r="S550" s="466">
        <v>1250</v>
      </c>
      <c r="T550" s="150"/>
      <c r="U550" s="150"/>
      <c r="V550" s="150"/>
      <c r="W550" s="168"/>
      <c r="X550" s="150"/>
      <c r="Y550" s="466"/>
      <c r="Z550" s="455"/>
      <c r="AA550" s="150"/>
      <c r="AB550" s="490"/>
      <c r="AC550" s="150"/>
      <c r="AD550" s="150"/>
      <c r="AE550" s="466"/>
      <c r="AF550" s="499"/>
      <c r="AG550" s="150"/>
      <c r="AH550" s="150"/>
      <c r="AI550" s="150"/>
      <c r="AJ550" s="150"/>
      <c r="AK550" s="150"/>
      <c r="AL550" s="150"/>
      <c r="AM550" s="150"/>
      <c r="AN550" s="466"/>
      <c r="AO550" s="466"/>
      <c r="AP550" s="150"/>
      <c r="AQ550" s="150"/>
      <c r="AR550" s="151"/>
      <c r="AS550" s="456"/>
      <c r="AT550" s="466"/>
      <c r="AU550" s="150"/>
      <c r="AV550" s="487"/>
      <c r="AW550" s="150"/>
      <c r="AX550" s="150"/>
      <c r="AY550" s="466"/>
      <c r="AZ550" s="466"/>
      <c r="BA550" s="150"/>
      <c r="BB550" s="150"/>
      <c r="BC550" s="466"/>
      <c r="BD550" s="150"/>
      <c r="BE550" s="466"/>
      <c r="BF550" s="466"/>
      <c r="BG550" s="150"/>
      <c r="BH550" s="150"/>
      <c r="BI550" s="150"/>
      <c r="BJ550" s="466"/>
      <c r="BK550" s="152"/>
      <c r="BL550" s="160"/>
      <c r="BM550" s="150"/>
      <c r="BN550" s="150"/>
      <c r="BO550" s="150"/>
      <c r="BP550" s="516"/>
      <c r="BQ550" s="160"/>
      <c r="BR550" s="152"/>
      <c r="BS550" s="160"/>
    </row>
    <row r="551" spans="1:71" x14ac:dyDescent="0.3">
      <c r="A551" s="420">
        <f>DL!A548</f>
        <v>496</v>
      </c>
      <c r="B551" s="16" t="s">
        <v>305</v>
      </c>
      <c r="C551" s="149">
        <v>2400</v>
      </c>
      <c r="D551" s="149" t="str">
        <f>DL!C548</f>
        <v>BOTT</v>
      </c>
      <c r="E551" s="150"/>
      <c r="F551" s="463"/>
      <c r="G551" s="150"/>
      <c r="H551" s="150"/>
      <c r="I551" s="466"/>
      <c r="J551" s="150"/>
      <c r="K551" s="168"/>
      <c r="L551" s="466"/>
      <c r="M551" s="150"/>
      <c r="N551" s="466"/>
      <c r="O551" s="150"/>
      <c r="P551" s="150">
        <v>500</v>
      </c>
      <c r="Q551" s="150"/>
      <c r="R551" s="472"/>
      <c r="S551" s="466">
        <v>500</v>
      </c>
      <c r="T551" s="150"/>
      <c r="U551" s="150"/>
      <c r="V551" s="150"/>
      <c r="W551" s="168"/>
      <c r="X551" s="150"/>
      <c r="Y551" s="466"/>
      <c r="Z551" s="455"/>
      <c r="AA551" s="150"/>
      <c r="AB551" s="490"/>
      <c r="AC551" s="150"/>
      <c r="AD551" s="150"/>
      <c r="AE551" s="466"/>
      <c r="AF551" s="499"/>
      <c r="AG551" s="150">
        <v>675</v>
      </c>
      <c r="AH551" s="150"/>
      <c r="AI551" s="150"/>
      <c r="AJ551" s="150"/>
      <c r="AK551" s="150"/>
      <c r="AL551" s="150"/>
      <c r="AM551" s="150"/>
      <c r="AN551" s="466"/>
      <c r="AO551" s="466"/>
      <c r="AP551" s="150"/>
      <c r="AQ551" s="150"/>
      <c r="AR551" s="151"/>
      <c r="AS551" s="456"/>
      <c r="AT551" s="466"/>
      <c r="AU551" s="150"/>
      <c r="AV551" s="487"/>
      <c r="AW551" s="150"/>
      <c r="AX551" s="150"/>
      <c r="AY551" s="466"/>
      <c r="AZ551" s="466"/>
      <c r="BA551" s="150"/>
      <c r="BB551" s="150"/>
      <c r="BC551" s="466"/>
      <c r="BD551" s="150"/>
      <c r="BE551" s="466"/>
      <c r="BF551" s="466"/>
      <c r="BG551" s="150"/>
      <c r="BH551" s="150"/>
      <c r="BI551" s="150"/>
      <c r="BJ551" s="466"/>
      <c r="BK551" s="152"/>
      <c r="BL551" s="160"/>
      <c r="BM551" s="150"/>
      <c r="BN551" s="150"/>
      <c r="BO551" s="150"/>
      <c r="BP551" s="516"/>
      <c r="BQ551" s="160"/>
      <c r="BR551" s="152"/>
      <c r="BS551" s="160"/>
    </row>
    <row r="552" spans="1:71" x14ac:dyDescent="0.3">
      <c r="A552" s="420">
        <f>DL!A549</f>
        <v>497</v>
      </c>
      <c r="B552" s="19" t="s">
        <v>306</v>
      </c>
      <c r="C552" s="149">
        <f>DL!L549</f>
        <v>60</v>
      </c>
      <c r="D552" s="149" t="str">
        <f>DL!C549</f>
        <v>BOTT</v>
      </c>
      <c r="E552" s="150"/>
      <c r="F552" s="463"/>
      <c r="G552" s="150"/>
      <c r="H552" s="150"/>
      <c r="I552" s="466"/>
      <c r="J552" s="150"/>
      <c r="K552" s="168"/>
      <c r="L552" s="466"/>
      <c r="M552" s="150"/>
      <c r="N552" s="466"/>
      <c r="O552" s="150"/>
      <c r="P552" s="150"/>
      <c r="Q552" s="150"/>
      <c r="R552" s="472"/>
      <c r="S552" s="466">
        <v>350</v>
      </c>
      <c r="T552" s="150"/>
      <c r="U552" s="150"/>
      <c r="V552" s="150"/>
      <c r="W552" s="168"/>
      <c r="X552" s="150"/>
      <c r="Y552" s="466"/>
      <c r="Z552" s="455"/>
      <c r="AA552" s="150"/>
      <c r="AB552" s="490"/>
      <c r="AC552" s="150"/>
      <c r="AD552" s="150"/>
      <c r="AE552" s="466"/>
      <c r="AF552" s="499"/>
      <c r="AG552" s="150"/>
      <c r="AH552" s="150"/>
      <c r="AI552" s="150"/>
      <c r="AJ552" s="150"/>
      <c r="AK552" s="150"/>
      <c r="AL552" s="150"/>
      <c r="AM552" s="150"/>
      <c r="AN552" s="466"/>
      <c r="AO552" s="466"/>
      <c r="AP552" s="150"/>
      <c r="AQ552" s="150"/>
      <c r="AR552" s="151"/>
      <c r="AS552" s="456"/>
      <c r="AT552" s="466"/>
      <c r="AU552" s="150"/>
      <c r="AV552" s="487"/>
      <c r="AW552" s="150"/>
      <c r="AX552" s="150"/>
      <c r="AY552" s="466"/>
      <c r="AZ552" s="466"/>
      <c r="BA552" s="150"/>
      <c r="BB552" s="150"/>
      <c r="BC552" s="466"/>
      <c r="BD552" s="150"/>
      <c r="BE552" s="466"/>
      <c r="BF552" s="466"/>
      <c r="BG552" s="150"/>
      <c r="BH552" s="150"/>
      <c r="BI552" s="150"/>
      <c r="BJ552" s="466"/>
      <c r="BK552" s="152"/>
      <c r="BL552" s="160"/>
      <c r="BM552" s="150"/>
      <c r="BN552" s="150"/>
      <c r="BO552" s="150"/>
      <c r="BP552" s="516"/>
      <c r="BQ552" s="160"/>
      <c r="BR552" s="152"/>
      <c r="BS552" s="160"/>
    </row>
    <row r="553" spans="1:71" x14ac:dyDescent="0.3">
      <c r="A553" s="420">
        <f>DL!A550</f>
        <v>498</v>
      </c>
      <c r="B553" s="19" t="s">
        <v>307</v>
      </c>
      <c r="C553" s="149">
        <f>DL!L550</f>
        <v>20</v>
      </c>
      <c r="D553" s="149" t="str">
        <f>DL!C550</f>
        <v>BOTT</v>
      </c>
      <c r="E553" s="150"/>
      <c r="F553" s="463"/>
      <c r="G553" s="150"/>
      <c r="H553" s="150"/>
      <c r="I553" s="466"/>
      <c r="J553" s="150"/>
      <c r="K553" s="168"/>
      <c r="L553" s="466"/>
      <c r="M553" s="150"/>
      <c r="N553" s="466"/>
      <c r="O553" s="150">
        <v>603</v>
      </c>
      <c r="P553" s="150"/>
      <c r="Q553" s="150"/>
      <c r="R553" s="472"/>
      <c r="S553" s="466">
        <v>700</v>
      </c>
      <c r="T553" s="150"/>
      <c r="U553" s="150"/>
      <c r="V553" s="150"/>
      <c r="W553" s="168"/>
      <c r="X553" s="150"/>
      <c r="Y553" s="466"/>
      <c r="Z553" s="455"/>
      <c r="AA553" s="150"/>
      <c r="AB553" s="490"/>
      <c r="AC553" s="150"/>
      <c r="AD553" s="150"/>
      <c r="AE553" s="466"/>
      <c r="AF553" s="499"/>
      <c r="AG553" s="150"/>
      <c r="AH553" s="150"/>
      <c r="AI553" s="150"/>
      <c r="AJ553" s="150"/>
      <c r="AK553" s="150"/>
      <c r="AL553" s="150"/>
      <c r="AM553" s="150"/>
      <c r="AN553" s="466"/>
      <c r="AO553" s="466"/>
      <c r="AP553" s="150"/>
      <c r="AQ553" s="150"/>
      <c r="AR553" s="151"/>
      <c r="AS553" s="456"/>
      <c r="AT553" s="466"/>
      <c r="AU553" s="150"/>
      <c r="AV553" s="487"/>
      <c r="AW553" s="150"/>
      <c r="AX553" s="150"/>
      <c r="AY553" s="466"/>
      <c r="AZ553" s="466"/>
      <c r="BA553" s="150"/>
      <c r="BB553" s="150"/>
      <c r="BC553" s="466"/>
      <c r="BD553" s="150"/>
      <c r="BE553" s="466"/>
      <c r="BF553" s="466"/>
      <c r="BG553" s="150"/>
      <c r="BH553" s="150"/>
      <c r="BI553" s="150"/>
      <c r="BJ553" s="466"/>
      <c r="BK553" s="152"/>
      <c r="BL553" s="160"/>
      <c r="BM553" s="150"/>
      <c r="BN553" s="150"/>
      <c r="BO553" s="150">
        <v>1087</v>
      </c>
      <c r="BP553" s="516"/>
      <c r="BQ553" s="160"/>
      <c r="BR553" s="152"/>
      <c r="BS553" s="160"/>
    </row>
    <row r="554" spans="1:71" x14ac:dyDescent="0.3">
      <c r="A554" s="420">
        <f>DL!A551</f>
        <v>499</v>
      </c>
      <c r="B554" s="19" t="s">
        <v>308</v>
      </c>
      <c r="C554" s="149">
        <f>DL!L551</f>
        <v>20</v>
      </c>
      <c r="D554" s="149" t="str">
        <f>DL!C551</f>
        <v>BOTT</v>
      </c>
      <c r="E554" s="150"/>
      <c r="F554" s="463"/>
      <c r="G554" s="150"/>
      <c r="H554" s="150"/>
      <c r="I554" s="466"/>
      <c r="J554" s="150"/>
      <c r="K554" s="168"/>
      <c r="L554" s="466"/>
      <c r="M554" s="150"/>
      <c r="N554" s="466"/>
      <c r="O554" s="150"/>
      <c r="P554" s="150">
        <v>1300</v>
      </c>
      <c r="Q554" s="150"/>
      <c r="R554" s="472"/>
      <c r="S554" s="466">
        <v>1450</v>
      </c>
      <c r="T554" s="150"/>
      <c r="U554" s="150"/>
      <c r="V554" s="150"/>
      <c r="W554" s="168"/>
      <c r="X554" s="150"/>
      <c r="Y554" s="466"/>
      <c r="Z554" s="455"/>
      <c r="AA554" s="150"/>
      <c r="AB554" s="490"/>
      <c r="AC554" s="150"/>
      <c r="AD554" s="150"/>
      <c r="AE554" s="466"/>
      <c r="AF554" s="499"/>
      <c r="AG554" s="150"/>
      <c r="AH554" s="150"/>
      <c r="AI554" s="150"/>
      <c r="AJ554" s="150"/>
      <c r="AK554" s="150"/>
      <c r="AL554" s="150"/>
      <c r="AM554" s="150"/>
      <c r="AN554" s="466"/>
      <c r="AO554" s="466"/>
      <c r="AP554" s="150"/>
      <c r="AQ554" s="150"/>
      <c r="AR554" s="151"/>
      <c r="AS554" s="456"/>
      <c r="AT554" s="466"/>
      <c r="AU554" s="150"/>
      <c r="AV554" s="487"/>
      <c r="AW554" s="150"/>
      <c r="AX554" s="150"/>
      <c r="AY554" s="466"/>
      <c r="AZ554" s="466"/>
      <c r="BA554" s="150"/>
      <c r="BB554" s="150"/>
      <c r="BC554" s="466"/>
      <c r="BD554" s="150"/>
      <c r="BE554" s="466"/>
      <c r="BF554" s="466"/>
      <c r="BG554" s="150"/>
      <c r="BH554" s="150"/>
      <c r="BI554" s="150"/>
      <c r="BJ554" s="466"/>
      <c r="BK554" s="152"/>
      <c r="BL554" s="160"/>
      <c r="BM554" s="150"/>
      <c r="BN554" s="150"/>
      <c r="BO554" s="150"/>
      <c r="BP554" s="516"/>
      <c r="BQ554" s="160"/>
      <c r="BR554" s="152"/>
      <c r="BS554" s="160"/>
    </row>
    <row r="555" spans="1:71" x14ac:dyDescent="0.3">
      <c r="A555" s="420">
        <f>DL!A552</f>
        <v>500</v>
      </c>
      <c r="B555" s="19" t="s">
        <v>309</v>
      </c>
      <c r="C555" s="149">
        <f>DL!L552</f>
        <v>40</v>
      </c>
      <c r="D555" s="149" t="str">
        <f>DL!C552</f>
        <v>BOTT</v>
      </c>
      <c r="E555" s="150"/>
      <c r="F555" s="463"/>
      <c r="G555" s="150"/>
      <c r="H555" s="150"/>
      <c r="I555" s="466"/>
      <c r="J555" s="150"/>
      <c r="K555" s="168"/>
      <c r="L555" s="466"/>
      <c r="M555" s="150"/>
      <c r="N555" s="466"/>
      <c r="O555" s="150"/>
      <c r="P555" s="150"/>
      <c r="Q555" s="150"/>
      <c r="R555" s="472"/>
      <c r="S555" s="466">
        <v>4300</v>
      </c>
      <c r="T555" s="150"/>
      <c r="U555" s="150"/>
      <c r="V555" s="150"/>
      <c r="W555" s="168"/>
      <c r="X555" s="150"/>
      <c r="Y555" s="466"/>
      <c r="Z555" s="455"/>
      <c r="AA555" s="150"/>
      <c r="AB555" s="490"/>
      <c r="AC555" s="150"/>
      <c r="AD555" s="150"/>
      <c r="AE555" s="466"/>
      <c r="AF555" s="499"/>
      <c r="AG555" s="150"/>
      <c r="AH555" s="150"/>
      <c r="AI555" s="150"/>
      <c r="AJ555" s="150"/>
      <c r="AK555" s="150"/>
      <c r="AL555" s="150"/>
      <c r="AM555" s="150"/>
      <c r="AN555" s="466"/>
      <c r="AO555" s="466"/>
      <c r="AP555" s="150"/>
      <c r="AQ555" s="150"/>
      <c r="AR555" s="151"/>
      <c r="AS555" s="456"/>
      <c r="AT555" s="466"/>
      <c r="AU555" s="150"/>
      <c r="AV555" s="487"/>
      <c r="AW555" s="150"/>
      <c r="AX555" s="150"/>
      <c r="AY555" s="466"/>
      <c r="AZ555" s="466"/>
      <c r="BA555" s="150"/>
      <c r="BB555" s="150"/>
      <c r="BC555" s="466"/>
      <c r="BD555" s="150"/>
      <c r="BE555" s="466"/>
      <c r="BF555" s="466"/>
      <c r="BG555" s="150"/>
      <c r="BH555" s="150"/>
      <c r="BI555" s="150"/>
      <c r="BJ555" s="466"/>
      <c r="BK555" s="152"/>
      <c r="BL555" s="160"/>
      <c r="BM555" s="150"/>
      <c r="BN555" s="150"/>
      <c r="BO555" s="150"/>
      <c r="BP555" s="516"/>
      <c r="BQ555" s="160"/>
      <c r="BR555" s="152"/>
      <c r="BS555" s="160"/>
    </row>
    <row r="556" spans="1:71" x14ac:dyDescent="0.3">
      <c r="A556" s="420">
        <f>DL!A553</f>
        <v>501</v>
      </c>
      <c r="B556" s="19" t="s">
        <v>310</v>
      </c>
      <c r="C556" s="149">
        <f>DL!L553</f>
        <v>40</v>
      </c>
      <c r="D556" s="149" t="str">
        <f>DL!C553</f>
        <v>BOTT</v>
      </c>
      <c r="E556" s="150"/>
      <c r="F556" s="463"/>
      <c r="G556" s="150"/>
      <c r="H556" s="150"/>
      <c r="I556" s="466"/>
      <c r="J556" s="150"/>
      <c r="K556" s="168"/>
      <c r="L556" s="466"/>
      <c r="M556" s="150"/>
      <c r="N556" s="466"/>
      <c r="O556" s="150"/>
      <c r="P556" s="150"/>
      <c r="Q556" s="150"/>
      <c r="R556" s="472"/>
      <c r="S556" s="466"/>
      <c r="T556" s="150"/>
      <c r="U556" s="150"/>
      <c r="V556" s="150"/>
      <c r="W556" s="168"/>
      <c r="X556" s="150"/>
      <c r="Y556" s="466"/>
      <c r="Z556" s="455"/>
      <c r="AA556" s="150"/>
      <c r="AB556" s="490"/>
      <c r="AC556" s="150"/>
      <c r="AD556" s="150"/>
      <c r="AE556" s="466"/>
      <c r="AF556" s="499"/>
      <c r="AG556" s="150"/>
      <c r="AH556" s="150"/>
      <c r="AI556" s="150"/>
      <c r="AJ556" s="150"/>
      <c r="AK556" s="150"/>
      <c r="AL556" s="150"/>
      <c r="AM556" s="150"/>
      <c r="AN556" s="466"/>
      <c r="AO556" s="466"/>
      <c r="AP556" s="150"/>
      <c r="AQ556" s="150"/>
      <c r="AR556" s="151"/>
      <c r="AS556" s="456"/>
      <c r="AT556" s="466"/>
      <c r="AU556" s="150"/>
      <c r="AV556" s="487"/>
      <c r="AW556" s="150"/>
      <c r="AX556" s="150"/>
      <c r="AY556" s="466"/>
      <c r="AZ556" s="466"/>
      <c r="BA556" s="150"/>
      <c r="BB556" s="150"/>
      <c r="BC556" s="466"/>
      <c r="BD556" s="150"/>
      <c r="BE556" s="466"/>
      <c r="BF556" s="466"/>
      <c r="BG556" s="150"/>
      <c r="BH556" s="150"/>
      <c r="BI556" s="150"/>
      <c r="BJ556" s="466"/>
      <c r="BK556" s="152"/>
      <c r="BL556" s="160"/>
      <c r="BM556" s="150"/>
      <c r="BN556" s="150"/>
      <c r="BO556" s="150"/>
      <c r="BP556" s="516"/>
      <c r="BQ556" s="160"/>
      <c r="BR556" s="152"/>
      <c r="BS556" s="160"/>
    </row>
    <row r="557" spans="1:71" x14ac:dyDescent="0.3">
      <c r="A557" s="420">
        <f>DL!A554</f>
        <v>502</v>
      </c>
      <c r="B557" s="19" t="s">
        <v>1360</v>
      </c>
      <c r="C557" s="149">
        <f>DL!L554</f>
        <v>120</v>
      </c>
      <c r="D557" s="149" t="str">
        <f>DL!C554</f>
        <v>BOTT</v>
      </c>
      <c r="E557" s="150"/>
      <c r="F557" s="463"/>
      <c r="G557" s="150"/>
      <c r="H557" s="150"/>
      <c r="I557" s="466">
        <v>298</v>
      </c>
      <c r="J557" s="150"/>
      <c r="K557" s="168"/>
      <c r="L557" s="466"/>
      <c r="M557" s="150"/>
      <c r="N557" s="466"/>
      <c r="O557" s="150"/>
      <c r="P557" s="150">
        <v>250</v>
      </c>
      <c r="Q557" s="150"/>
      <c r="R557" s="472"/>
      <c r="S557" s="466">
        <v>100</v>
      </c>
      <c r="T557" s="150"/>
      <c r="U557" s="150"/>
      <c r="V557" s="150"/>
      <c r="W557" s="168"/>
      <c r="X557" s="150"/>
      <c r="Y557" s="466"/>
      <c r="Z557" s="455"/>
      <c r="AA557" s="150"/>
      <c r="AB557" s="490"/>
      <c r="AC557" s="150"/>
      <c r="AD557" s="150"/>
      <c r="AE557" s="466"/>
      <c r="AF557" s="499"/>
      <c r="AG557" s="150"/>
      <c r="AH557" s="150"/>
      <c r="AI557" s="150"/>
      <c r="AJ557" s="150"/>
      <c r="AK557" s="150"/>
      <c r="AL557" s="150"/>
      <c r="AM557" s="150"/>
      <c r="AN557" s="466"/>
      <c r="AO557" s="466"/>
      <c r="AP557" s="150"/>
      <c r="AQ557" s="150"/>
      <c r="AR557" s="151"/>
      <c r="AS557" s="456"/>
      <c r="AT557" s="466"/>
      <c r="AU557" s="150"/>
      <c r="AV557" s="487"/>
      <c r="AW557" s="150"/>
      <c r="AX557" s="150"/>
      <c r="AY557" s="466"/>
      <c r="AZ557" s="466"/>
      <c r="BA557" s="150"/>
      <c r="BB557" s="150"/>
      <c r="BC557" s="466"/>
      <c r="BD557" s="150"/>
      <c r="BE557" s="466"/>
      <c r="BF557" s="466"/>
      <c r="BG557" s="150"/>
      <c r="BH557" s="150"/>
      <c r="BI557" s="150"/>
      <c r="BJ557" s="466"/>
      <c r="BK557" s="152"/>
      <c r="BL557" s="160"/>
      <c r="BM557" s="150"/>
      <c r="BN557" s="150"/>
      <c r="BO557" s="150"/>
      <c r="BP557" s="516"/>
      <c r="BQ557" s="160"/>
      <c r="BR557" s="152"/>
      <c r="BS557" s="160"/>
    </row>
    <row r="558" spans="1:71" x14ac:dyDescent="0.3">
      <c r="A558" s="420">
        <f>DL!A555</f>
        <v>503</v>
      </c>
      <c r="B558" s="19" t="s">
        <v>312</v>
      </c>
      <c r="C558" s="149">
        <f>DL!L555</f>
        <v>1000</v>
      </c>
      <c r="D558" s="149" t="str">
        <f>DL!C555</f>
        <v>TUBE</v>
      </c>
      <c r="E558" s="150"/>
      <c r="F558" s="463"/>
      <c r="G558" s="150"/>
      <c r="H558" s="150"/>
      <c r="I558" s="466"/>
      <c r="J558" s="150"/>
      <c r="K558" s="168"/>
      <c r="L558" s="466"/>
      <c r="M558" s="150"/>
      <c r="N558" s="466"/>
      <c r="O558" s="150">
        <v>100</v>
      </c>
      <c r="P558" s="150">
        <v>150</v>
      </c>
      <c r="Q558" s="150"/>
      <c r="R558" s="472"/>
      <c r="S558" s="466">
        <v>90</v>
      </c>
      <c r="T558" s="150"/>
      <c r="U558" s="150"/>
      <c r="V558" s="150"/>
      <c r="W558" s="168"/>
      <c r="X558" s="150"/>
      <c r="Y558" s="466"/>
      <c r="Z558" s="455"/>
      <c r="AA558" s="150"/>
      <c r="AB558" s="490"/>
      <c r="AC558" s="150"/>
      <c r="AD558" s="150"/>
      <c r="AE558" s="466"/>
      <c r="AF558" s="499"/>
      <c r="AG558" s="150">
        <v>125</v>
      </c>
      <c r="AH558" s="150"/>
      <c r="AI558" s="150"/>
      <c r="AJ558" s="150"/>
      <c r="AK558" s="150"/>
      <c r="AL558" s="150"/>
      <c r="AM558" s="150"/>
      <c r="AN558" s="466"/>
      <c r="AO558" s="466"/>
      <c r="AP558" s="150"/>
      <c r="AQ558" s="150"/>
      <c r="AR558" s="151"/>
      <c r="AS558" s="456"/>
      <c r="AT558" s="466"/>
      <c r="AU558" s="150"/>
      <c r="AV558" s="487"/>
      <c r="AW558" s="150"/>
      <c r="AX558" s="150"/>
      <c r="AY558" s="466"/>
      <c r="AZ558" s="466"/>
      <c r="BA558" s="150"/>
      <c r="BB558" s="150"/>
      <c r="BC558" s="466"/>
      <c r="BD558" s="150"/>
      <c r="BE558" s="466">
        <v>120</v>
      </c>
      <c r="BF558" s="466"/>
      <c r="BG558" s="150"/>
      <c r="BH558" s="150"/>
      <c r="BI558" s="150"/>
      <c r="BJ558" s="466"/>
      <c r="BK558" s="152"/>
      <c r="BL558" s="160"/>
      <c r="BM558" s="150"/>
      <c r="BN558" s="150"/>
      <c r="BO558" s="150"/>
      <c r="BP558" s="516"/>
      <c r="BQ558" s="160"/>
      <c r="BR558" s="152"/>
      <c r="BS558" s="160"/>
    </row>
    <row r="559" spans="1:71" x14ac:dyDescent="0.3">
      <c r="A559" s="420">
        <f>DL!A556</f>
        <v>504</v>
      </c>
      <c r="B559" s="19" t="s">
        <v>908</v>
      </c>
      <c r="C559" s="149">
        <f>DL!L556</f>
        <v>400</v>
      </c>
      <c r="D559" s="149" t="str">
        <f>DL!C556</f>
        <v>BOTT</v>
      </c>
      <c r="E559" s="150"/>
      <c r="F559" s="463"/>
      <c r="G559" s="150"/>
      <c r="H559" s="150"/>
      <c r="I559" s="466"/>
      <c r="J559" s="150">
        <v>75</v>
      </c>
      <c r="K559" s="168"/>
      <c r="L559" s="466"/>
      <c r="M559" s="150"/>
      <c r="N559" s="466"/>
      <c r="O559" s="150">
        <v>100</v>
      </c>
      <c r="P559" s="150">
        <v>150</v>
      </c>
      <c r="Q559" s="150"/>
      <c r="R559" s="472"/>
      <c r="S559" s="466">
        <v>450</v>
      </c>
      <c r="T559" s="150">
        <v>50</v>
      </c>
      <c r="U559" s="150"/>
      <c r="V559" s="150"/>
      <c r="W559" s="168"/>
      <c r="X559" s="150"/>
      <c r="Y559" s="466"/>
      <c r="Z559" s="455"/>
      <c r="AA559" s="150"/>
      <c r="AB559" s="490"/>
      <c r="AC559" s="150"/>
      <c r="AD559" s="150"/>
      <c r="AE559" s="466"/>
      <c r="AF559" s="499"/>
      <c r="AG559" s="150">
        <v>125</v>
      </c>
      <c r="AH559" s="150"/>
      <c r="AI559" s="150"/>
      <c r="AJ559" s="150"/>
      <c r="AK559" s="150"/>
      <c r="AL559" s="150"/>
      <c r="AM559" s="150"/>
      <c r="AN559" s="466"/>
      <c r="AO559" s="466"/>
      <c r="AP559" s="150"/>
      <c r="AQ559" s="150"/>
      <c r="AR559" s="151"/>
      <c r="AS559" s="456"/>
      <c r="AT559" s="466"/>
      <c r="AU559" s="150"/>
      <c r="AV559" s="487"/>
      <c r="AW559" s="150"/>
      <c r="AX559" s="150"/>
      <c r="AY559" s="466"/>
      <c r="AZ559" s="466"/>
      <c r="BA559" s="150"/>
      <c r="BB559" s="150"/>
      <c r="BC559" s="466"/>
      <c r="BD559" s="150"/>
      <c r="BE559" s="466">
        <v>120</v>
      </c>
      <c r="BF559" s="466"/>
      <c r="BG559" s="150"/>
      <c r="BH559" s="150"/>
      <c r="BI559" s="150"/>
      <c r="BJ559" s="466"/>
      <c r="BK559" s="152"/>
      <c r="BL559" s="160"/>
      <c r="BM559" s="150"/>
      <c r="BN559" s="150"/>
      <c r="BO559" s="150"/>
      <c r="BP559" s="516"/>
      <c r="BQ559" s="160"/>
      <c r="BR559" s="152"/>
      <c r="BS559" s="160"/>
    </row>
    <row r="560" spans="1:71" x14ac:dyDescent="0.3">
      <c r="A560" s="420">
        <f>DL!A557</f>
        <v>505</v>
      </c>
      <c r="B560" s="19" t="s">
        <v>313</v>
      </c>
      <c r="C560" s="149">
        <f>DL!L557</f>
        <v>1000</v>
      </c>
      <c r="D560" s="149" t="str">
        <f>DL!C557</f>
        <v>BOTT</v>
      </c>
      <c r="E560" s="150"/>
      <c r="F560" s="463"/>
      <c r="G560" s="150"/>
      <c r="H560" s="150"/>
      <c r="I560" s="466"/>
      <c r="J560" s="150"/>
      <c r="K560" s="168"/>
      <c r="L560" s="466"/>
      <c r="M560" s="150"/>
      <c r="N560" s="466"/>
      <c r="O560" s="150">
        <v>430</v>
      </c>
      <c r="P560" s="150">
        <v>300</v>
      </c>
      <c r="Q560" s="150"/>
      <c r="R560" s="472"/>
      <c r="S560" s="466">
        <v>130</v>
      </c>
      <c r="T560" s="150"/>
      <c r="U560" s="150"/>
      <c r="V560" s="150"/>
      <c r="W560" s="168"/>
      <c r="X560" s="150"/>
      <c r="Y560" s="466"/>
      <c r="Z560" s="455"/>
      <c r="AA560" s="150"/>
      <c r="AB560" s="490"/>
      <c r="AC560" s="150"/>
      <c r="AD560" s="150"/>
      <c r="AE560" s="466"/>
      <c r="AF560" s="499"/>
      <c r="AG560" s="150">
        <v>330</v>
      </c>
      <c r="AH560" s="150"/>
      <c r="AI560" s="150"/>
      <c r="AJ560" s="150"/>
      <c r="AK560" s="150"/>
      <c r="AL560" s="150"/>
      <c r="AM560" s="150"/>
      <c r="AN560" s="466"/>
      <c r="AO560" s="466"/>
      <c r="AP560" s="150"/>
      <c r="AQ560" s="150"/>
      <c r="AR560" s="151"/>
      <c r="AS560" s="456"/>
      <c r="AT560" s="466"/>
      <c r="AU560" s="150"/>
      <c r="AV560" s="487"/>
      <c r="AW560" s="150"/>
      <c r="AX560" s="150"/>
      <c r="AY560" s="466"/>
      <c r="AZ560" s="466"/>
      <c r="BA560" s="150"/>
      <c r="BB560" s="150"/>
      <c r="BC560" s="466"/>
      <c r="BD560" s="150"/>
      <c r="BE560" s="466"/>
      <c r="BF560" s="466"/>
      <c r="BG560" s="150"/>
      <c r="BH560" s="150"/>
      <c r="BI560" s="150"/>
      <c r="BJ560" s="466"/>
      <c r="BK560" s="152"/>
      <c r="BL560" s="160"/>
      <c r="BM560" s="150"/>
      <c r="BN560" s="150"/>
      <c r="BO560" s="150"/>
      <c r="BP560" s="516"/>
      <c r="BQ560" s="160"/>
      <c r="BR560" s="152"/>
      <c r="BS560" s="160"/>
    </row>
    <row r="561" spans="1:71" x14ac:dyDescent="0.3">
      <c r="A561" s="420">
        <f>DL!A558</f>
        <v>506</v>
      </c>
      <c r="B561" s="19" t="s">
        <v>314</v>
      </c>
      <c r="C561" s="149">
        <f>DL!L558</f>
        <v>200</v>
      </c>
      <c r="D561" s="149" t="str">
        <f>DL!C558</f>
        <v>BOTT</v>
      </c>
      <c r="E561" s="150"/>
      <c r="F561" s="463"/>
      <c r="G561" s="150"/>
      <c r="H561" s="150"/>
      <c r="I561" s="466"/>
      <c r="J561" s="150"/>
      <c r="K561" s="168"/>
      <c r="L561" s="466"/>
      <c r="M561" s="150"/>
      <c r="N561" s="466"/>
      <c r="O561" s="150">
        <v>572</v>
      </c>
      <c r="P561" s="150"/>
      <c r="Q561" s="150"/>
      <c r="R561" s="472"/>
      <c r="S561" s="466">
        <v>500</v>
      </c>
      <c r="T561" s="150"/>
      <c r="U561" s="150"/>
      <c r="V561" s="150"/>
      <c r="W561" s="168"/>
      <c r="X561" s="150"/>
      <c r="Y561" s="466"/>
      <c r="Z561" s="455"/>
      <c r="AA561" s="150"/>
      <c r="AB561" s="490"/>
      <c r="AC561" s="150"/>
      <c r="AD561" s="150"/>
      <c r="AE561" s="466"/>
      <c r="AF561" s="499"/>
      <c r="AG561" s="150"/>
      <c r="AH561" s="150"/>
      <c r="AI561" s="150"/>
      <c r="AJ561" s="150"/>
      <c r="AK561" s="150"/>
      <c r="AL561" s="150"/>
      <c r="AM561" s="150"/>
      <c r="AN561" s="466"/>
      <c r="AO561" s="466"/>
      <c r="AP561" s="150"/>
      <c r="AQ561" s="150"/>
      <c r="AR561" s="151"/>
      <c r="AS561" s="456"/>
      <c r="AT561" s="466"/>
      <c r="AU561" s="150"/>
      <c r="AV561" s="487"/>
      <c r="AW561" s="150"/>
      <c r="AX561" s="150"/>
      <c r="AY561" s="466"/>
      <c r="AZ561" s="466"/>
      <c r="BA561" s="150"/>
      <c r="BB561" s="150"/>
      <c r="BC561" s="466"/>
      <c r="BD561" s="150"/>
      <c r="BE561" s="466"/>
      <c r="BF561" s="466"/>
      <c r="BG561" s="150"/>
      <c r="BH561" s="150"/>
      <c r="BI561" s="150"/>
      <c r="BJ561" s="466"/>
      <c r="BK561" s="152"/>
      <c r="BL561" s="160"/>
      <c r="BM561" s="150"/>
      <c r="BN561" s="150"/>
      <c r="BO561" s="150"/>
      <c r="BP561" s="516"/>
      <c r="BQ561" s="160"/>
      <c r="BR561" s="152"/>
      <c r="BS561" s="160"/>
    </row>
    <row r="562" spans="1:71" x14ac:dyDescent="0.3">
      <c r="A562" s="420">
        <f>DL!A559</f>
        <v>507</v>
      </c>
      <c r="B562" s="19" t="s">
        <v>684</v>
      </c>
      <c r="C562" s="149">
        <f>DL!L559</f>
        <v>20</v>
      </c>
      <c r="D562" s="149" t="str">
        <f>DL!C559</f>
        <v>BOTT</v>
      </c>
      <c r="E562" s="150"/>
      <c r="F562" s="463"/>
      <c r="G562" s="150"/>
      <c r="H562" s="150"/>
      <c r="I562" s="466"/>
      <c r="J562" s="150"/>
      <c r="K562" s="168"/>
      <c r="L562" s="466"/>
      <c r="M562" s="150"/>
      <c r="N562" s="466"/>
      <c r="O562" s="150"/>
      <c r="P562" s="150">
        <v>500</v>
      </c>
      <c r="Q562" s="150"/>
      <c r="R562" s="472"/>
      <c r="S562" s="466">
        <v>600</v>
      </c>
      <c r="T562" s="150"/>
      <c r="U562" s="150"/>
      <c r="V562" s="150"/>
      <c r="W562" s="168"/>
      <c r="X562" s="150"/>
      <c r="Y562" s="466"/>
      <c r="Z562" s="455"/>
      <c r="AA562" s="150"/>
      <c r="AB562" s="490"/>
      <c r="AC562" s="150"/>
      <c r="AD562" s="150"/>
      <c r="AE562" s="466"/>
      <c r="AF562" s="499"/>
      <c r="AG562" s="150"/>
      <c r="AH562" s="150"/>
      <c r="AI562" s="150"/>
      <c r="AJ562" s="150"/>
      <c r="AK562" s="150"/>
      <c r="AL562" s="150"/>
      <c r="AM562" s="150"/>
      <c r="AN562" s="466"/>
      <c r="AO562" s="466"/>
      <c r="AP562" s="150"/>
      <c r="AQ562" s="150"/>
      <c r="AR562" s="151"/>
      <c r="AS562" s="456"/>
      <c r="AT562" s="466"/>
      <c r="AU562" s="150"/>
      <c r="AV562" s="487"/>
      <c r="AW562" s="150"/>
      <c r="AX562" s="150"/>
      <c r="AY562" s="466"/>
      <c r="AZ562" s="466"/>
      <c r="BA562" s="150"/>
      <c r="BB562" s="150"/>
      <c r="BC562" s="466"/>
      <c r="BD562" s="150"/>
      <c r="BE562" s="466"/>
      <c r="BF562" s="466"/>
      <c r="BG562" s="150"/>
      <c r="BH562" s="150"/>
      <c r="BI562" s="150"/>
      <c r="BJ562" s="466"/>
      <c r="BK562" s="152"/>
      <c r="BL562" s="160"/>
      <c r="BM562" s="150"/>
      <c r="BN562" s="150"/>
      <c r="BO562" s="150"/>
      <c r="BP562" s="516"/>
      <c r="BQ562" s="160"/>
      <c r="BR562" s="152"/>
      <c r="BS562" s="160"/>
    </row>
    <row r="563" spans="1:71" x14ac:dyDescent="0.3">
      <c r="A563" s="420">
        <f>DL!A560</f>
        <v>508</v>
      </c>
      <c r="B563" s="19" t="s">
        <v>315</v>
      </c>
      <c r="C563" s="149">
        <f>DL!L560</f>
        <v>300</v>
      </c>
      <c r="D563" s="149" t="str">
        <f>DL!C560</f>
        <v>BOTT</v>
      </c>
      <c r="E563" s="150"/>
      <c r="F563" s="463"/>
      <c r="G563" s="150"/>
      <c r="H563" s="150"/>
      <c r="I563" s="466"/>
      <c r="J563" s="150"/>
      <c r="K563" s="168"/>
      <c r="L563" s="466"/>
      <c r="M563" s="150"/>
      <c r="N563" s="466"/>
      <c r="O563" s="150">
        <v>325</v>
      </c>
      <c r="P563" s="150">
        <v>390</v>
      </c>
      <c r="Q563" s="150"/>
      <c r="R563" s="472"/>
      <c r="S563" s="466">
        <v>350</v>
      </c>
      <c r="T563" s="150"/>
      <c r="U563" s="150"/>
      <c r="V563" s="150"/>
      <c r="W563" s="168"/>
      <c r="X563" s="150"/>
      <c r="Y563" s="466"/>
      <c r="Z563" s="455"/>
      <c r="AA563" s="150"/>
      <c r="AB563" s="490"/>
      <c r="AC563" s="150"/>
      <c r="AD563" s="150"/>
      <c r="AE563" s="466"/>
      <c r="AF563" s="499"/>
      <c r="AG563" s="150"/>
      <c r="AH563" s="150"/>
      <c r="AI563" s="150"/>
      <c r="AJ563" s="150"/>
      <c r="AK563" s="150"/>
      <c r="AL563" s="150"/>
      <c r="AM563" s="150"/>
      <c r="AN563" s="466"/>
      <c r="AO563" s="466"/>
      <c r="AP563" s="150"/>
      <c r="AQ563" s="150"/>
      <c r="AR563" s="151"/>
      <c r="AS563" s="456"/>
      <c r="AT563" s="466"/>
      <c r="AU563" s="150"/>
      <c r="AV563" s="487"/>
      <c r="AW563" s="150"/>
      <c r="AX563" s="150"/>
      <c r="AY563" s="466"/>
      <c r="AZ563" s="466"/>
      <c r="BA563" s="150"/>
      <c r="BB563" s="150"/>
      <c r="BC563" s="466"/>
      <c r="BD563" s="150"/>
      <c r="BE563" s="466"/>
      <c r="BF563" s="466"/>
      <c r="BG563" s="150"/>
      <c r="BH563" s="150"/>
      <c r="BI563" s="150"/>
      <c r="BJ563" s="466"/>
      <c r="BK563" s="152"/>
      <c r="BL563" s="160"/>
      <c r="BM563" s="150"/>
      <c r="BN563" s="150"/>
      <c r="BO563" s="150"/>
      <c r="BP563" s="516"/>
      <c r="BQ563" s="160"/>
      <c r="BR563" s="152"/>
      <c r="BS563" s="160"/>
    </row>
    <row r="564" spans="1:71" x14ac:dyDescent="0.3">
      <c r="A564" s="420">
        <f>DL!A561</f>
        <v>509</v>
      </c>
      <c r="B564" s="19" t="s">
        <v>316</v>
      </c>
      <c r="C564" s="149">
        <f>DL!L561</f>
        <v>52</v>
      </c>
      <c r="D564" s="149" t="str">
        <f>DL!C561</f>
        <v>BOTT</v>
      </c>
      <c r="E564" s="150"/>
      <c r="F564" s="463"/>
      <c r="G564" s="150"/>
      <c r="H564" s="150"/>
      <c r="I564" s="466"/>
      <c r="J564" s="150"/>
      <c r="K564" s="168"/>
      <c r="L564" s="466"/>
      <c r="M564" s="150"/>
      <c r="N564" s="466"/>
      <c r="O564" s="150"/>
      <c r="P564" s="150">
        <v>450</v>
      </c>
      <c r="Q564" s="150"/>
      <c r="R564" s="472"/>
      <c r="S564" s="466">
        <v>520</v>
      </c>
      <c r="T564" s="150"/>
      <c r="U564" s="150"/>
      <c r="V564" s="150"/>
      <c r="W564" s="168"/>
      <c r="X564" s="150"/>
      <c r="Y564" s="466"/>
      <c r="Z564" s="455"/>
      <c r="AA564" s="150"/>
      <c r="AB564" s="490"/>
      <c r="AC564" s="150"/>
      <c r="AD564" s="150"/>
      <c r="AE564" s="466"/>
      <c r="AF564" s="499"/>
      <c r="AG564" s="150"/>
      <c r="AH564" s="150"/>
      <c r="AI564" s="150"/>
      <c r="AJ564" s="150"/>
      <c r="AK564" s="150"/>
      <c r="AL564" s="150"/>
      <c r="AM564" s="150"/>
      <c r="AN564" s="466"/>
      <c r="AO564" s="466"/>
      <c r="AP564" s="150"/>
      <c r="AQ564" s="150"/>
      <c r="AR564" s="151"/>
      <c r="AS564" s="456"/>
      <c r="AT564" s="466"/>
      <c r="AU564" s="150"/>
      <c r="AV564" s="487"/>
      <c r="AW564" s="150"/>
      <c r="AX564" s="150"/>
      <c r="AY564" s="466"/>
      <c r="AZ564" s="466"/>
      <c r="BA564" s="150"/>
      <c r="BB564" s="150"/>
      <c r="BC564" s="466"/>
      <c r="BD564" s="150"/>
      <c r="BE564" s="466"/>
      <c r="BF564" s="466"/>
      <c r="BG564" s="150"/>
      <c r="BH564" s="150"/>
      <c r="BI564" s="150"/>
      <c r="BJ564" s="466"/>
      <c r="BK564" s="152"/>
      <c r="BL564" s="160"/>
      <c r="BM564" s="150"/>
      <c r="BN564" s="150"/>
      <c r="BO564" s="150"/>
      <c r="BP564" s="516"/>
      <c r="BQ564" s="160"/>
      <c r="BR564" s="152"/>
      <c r="BS564" s="160"/>
    </row>
    <row r="565" spans="1:71" x14ac:dyDescent="0.3">
      <c r="A565" s="420">
        <f>DL!A562</f>
        <v>510</v>
      </c>
      <c r="B565" s="19" t="s">
        <v>317</v>
      </c>
      <c r="C565" s="149">
        <f>DL!L562</f>
        <v>80</v>
      </c>
      <c r="D565" s="149">
        <f>DL!C562</f>
        <v>120</v>
      </c>
      <c r="E565" s="150">
        <v>9000</v>
      </c>
      <c r="F565" s="463"/>
      <c r="G565" s="150"/>
      <c r="H565" s="150"/>
      <c r="I565" s="466"/>
      <c r="J565" s="150"/>
      <c r="K565" s="168"/>
      <c r="L565" s="466"/>
      <c r="M565" s="150"/>
      <c r="N565" s="466"/>
      <c r="O565" s="150"/>
      <c r="P565" s="150"/>
      <c r="Q565" s="150"/>
      <c r="R565" s="472"/>
      <c r="S565" s="466">
        <v>10500</v>
      </c>
      <c r="T565" s="150"/>
      <c r="U565" s="150"/>
      <c r="V565" s="150"/>
      <c r="W565" s="168"/>
      <c r="X565" s="150"/>
      <c r="Y565" s="466"/>
      <c r="Z565" s="455"/>
      <c r="AA565" s="150"/>
      <c r="AB565" s="490"/>
      <c r="AC565" s="150"/>
      <c r="AD565" s="150"/>
      <c r="AE565" s="466"/>
      <c r="AF565" s="499"/>
      <c r="AG565" s="150"/>
      <c r="AH565" s="150"/>
      <c r="AI565" s="150"/>
      <c r="AJ565" s="150"/>
      <c r="AK565" s="150"/>
      <c r="AL565" s="150"/>
      <c r="AM565" s="150"/>
      <c r="AN565" s="467">
        <v>6000</v>
      </c>
      <c r="AO565" s="466"/>
      <c r="AP565" s="150"/>
      <c r="AQ565" s="150"/>
      <c r="AR565" s="151"/>
      <c r="AS565" s="456"/>
      <c r="AT565" s="466"/>
      <c r="AU565" s="150"/>
      <c r="AV565" s="487"/>
      <c r="AW565" s="150"/>
      <c r="AX565" s="150"/>
      <c r="AY565" s="466"/>
      <c r="AZ565" s="466"/>
      <c r="BA565" s="150"/>
      <c r="BB565" s="150"/>
      <c r="BC565" s="466"/>
      <c r="BD565" s="150"/>
      <c r="BE565" s="466"/>
      <c r="BF565" s="466"/>
      <c r="BG565" s="150"/>
      <c r="BH565" s="150"/>
      <c r="BI565" s="150"/>
      <c r="BJ565" s="466"/>
      <c r="BK565" s="152"/>
      <c r="BL565" s="160"/>
      <c r="BM565" s="150"/>
      <c r="BN565" s="150"/>
      <c r="BO565" s="150"/>
      <c r="BP565" s="516"/>
      <c r="BQ565" s="160"/>
      <c r="BR565" s="152"/>
      <c r="BS565" s="160"/>
    </row>
    <row r="566" spans="1:71" x14ac:dyDescent="0.3">
      <c r="A566" s="420">
        <f>DL!A563</f>
        <v>511</v>
      </c>
      <c r="B566" s="19" t="s">
        <v>318</v>
      </c>
      <c r="C566" s="149">
        <f>DL!L563</f>
        <v>40</v>
      </c>
      <c r="D566" s="149" t="str">
        <f>DL!C563</f>
        <v>BOTT</v>
      </c>
      <c r="E566" s="150"/>
      <c r="F566" s="463"/>
      <c r="G566" s="150"/>
      <c r="H566" s="150"/>
      <c r="I566" s="466"/>
      <c r="J566" s="150"/>
      <c r="K566" s="168"/>
      <c r="L566" s="466"/>
      <c r="M566" s="150"/>
      <c r="N566" s="466"/>
      <c r="O566" s="150"/>
      <c r="P566" s="150">
        <v>720</v>
      </c>
      <c r="Q566" s="150"/>
      <c r="R566" s="472"/>
      <c r="S566" s="466">
        <v>750</v>
      </c>
      <c r="T566" s="150"/>
      <c r="U566" s="150"/>
      <c r="V566" s="150"/>
      <c r="W566" s="168"/>
      <c r="X566" s="150"/>
      <c r="Y566" s="466"/>
      <c r="Z566" s="455"/>
      <c r="AA566" s="150"/>
      <c r="AB566" s="490"/>
      <c r="AC566" s="150"/>
      <c r="AD566" s="150"/>
      <c r="AE566" s="466"/>
      <c r="AF566" s="499"/>
      <c r="AG566" s="150"/>
      <c r="AH566" s="150"/>
      <c r="AI566" s="150"/>
      <c r="AJ566" s="150"/>
      <c r="AK566" s="150"/>
      <c r="AL566" s="150"/>
      <c r="AM566" s="150"/>
      <c r="AN566" s="466"/>
      <c r="AO566" s="466"/>
      <c r="AP566" s="150"/>
      <c r="AQ566" s="150"/>
      <c r="AR566" s="151"/>
      <c r="AS566" s="456"/>
      <c r="AT566" s="466"/>
      <c r="AU566" s="150"/>
      <c r="AV566" s="487"/>
      <c r="AW566" s="150"/>
      <c r="AX566" s="150"/>
      <c r="AY566" s="466"/>
      <c r="AZ566" s="466"/>
      <c r="BA566" s="150"/>
      <c r="BB566" s="150"/>
      <c r="BC566" s="466"/>
      <c r="BD566" s="150"/>
      <c r="BE566" s="466"/>
      <c r="BF566" s="466"/>
      <c r="BG566" s="150"/>
      <c r="BH566" s="150"/>
      <c r="BI566" s="150"/>
      <c r="BJ566" s="466"/>
      <c r="BK566" s="152"/>
      <c r="BL566" s="160"/>
      <c r="BM566" s="150"/>
      <c r="BN566" s="150"/>
      <c r="BO566" s="150"/>
      <c r="BP566" s="516"/>
      <c r="BQ566" s="160"/>
      <c r="BR566" s="152"/>
      <c r="BS566" s="160"/>
    </row>
    <row r="567" spans="1:71" x14ac:dyDescent="0.3">
      <c r="A567" s="420">
        <f>DL!A564</f>
        <v>512</v>
      </c>
      <c r="B567" s="19" t="s">
        <v>319</v>
      </c>
      <c r="C567" s="149">
        <f>DL!L564</f>
        <v>600</v>
      </c>
      <c r="D567" s="149" t="str">
        <f>DL!C564</f>
        <v>BOTT</v>
      </c>
      <c r="E567" s="150"/>
      <c r="F567" s="463"/>
      <c r="G567" s="150"/>
      <c r="H567" s="150"/>
      <c r="I567" s="466"/>
      <c r="J567" s="150"/>
      <c r="K567" s="168"/>
      <c r="L567" s="466"/>
      <c r="M567" s="150"/>
      <c r="N567" s="466"/>
      <c r="O567" s="150">
        <v>573</v>
      </c>
      <c r="P567" s="150"/>
      <c r="Q567" s="150"/>
      <c r="R567" s="472"/>
      <c r="S567" s="466">
        <v>700</v>
      </c>
      <c r="T567" s="150"/>
      <c r="U567" s="150"/>
      <c r="V567" s="150"/>
      <c r="W567" s="168"/>
      <c r="X567" s="150"/>
      <c r="Y567" s="466"/>
      <c r="Z567" s="455"/>
      <c r="AA567" s="150"/>
      <c r="AB567" s="490"/>
      <c r="AC567" s="150"/>
      <c r="AD567" s="150"/>
      <c r="AE567" s="466"/>
      <c r="AF567" s="499"/>
      <c r="AG567" s="150"/>
      <c r="AH567" s="150"/>
      <c r="AI567" s="150"/>
      <c r="AJ567" s="150"/>
      <c r="AK567" s="150"/>
      <c r="AL567" s="150"/>
      <c r="AM567" s="150"/>
      <c r="AN567" s="466"/>
      <c r="AO567" s="466">
        <v>500</v>
      </c>
      <c r="AP567" s="150"/>
      <c r="AQ567" s="150"/>
      <c r="AR567" s="151"/>
      <c r="AS567" s="456"/>
      <c r="AT567" s="466"/>
      <c r="AU567" s="150"/>
      <c r="AV567" s="487"/>
      <c r="AW567" s="150"/>
      <c r="AX567" s="150"/>
      <c r="AY567" s="466"/>
      <c r="AZ567" s="466"/>
      <c r="BA567" s="150"/>
      <c r="BB567" s="150"/>
      <c r="BC567" s="466"/>
      <c r="BD567" s="150"/>
      <c r="BE567" s="466"/>
      <c r="BF567" s="466"/>
      <c r="BG567" s="150"/>
      <c r="BH567" s="150"/>
      <c r="BI567" s="150"/>
      <c r="BJ567" s="466"/>
      <c r="BK567" s="152"/>
      <c r="BL567" s="160"/>
      <c r="BM567" s="150"/>
      <c r="BN567" s="150"/>
      <c r="BO567" s="150"/>
      <c r="BP567" s="516"/>
      <c r="BQ567" s="160"/>
      <c r="BR567" s="152"/>
      <c r="BS567" s="160"/>
    </row>
    <row r="568" spans="1:71" x14ac:dyDescent="0.3">
      <c r="A568" s="420">
        <f>DL!A565</f>
        <v>513</v>
      </c>
      <c r="B568" s="19" t="s">
        <v>1362</v>
      </c>
      <c r="C568" s="149">
        <f>DL!L565</f>
        <v>200</v>
      </c>
      <c r="D568" s="149" t="str">
        <f>DL!C565</f>
        <v>BOTT</v>
      </c>
      <c r="E568" s="150"/>
      <c r="F568" s="463"/>
      <c r="G568" s="150"/>
      <c r="H568" s="150"/>
      <c r="I568" s="466"/>
      <c r="J568" s="150">
        <v>75</v>
      </c>
      <c r="K568" s="168"/>
      <c r="L568" s="466"/>
      <c r="M568" s="150"/>
      <c r="N568" s="466"/>
      <c r="O568" s="150">
        <v>100</v>
      </c>
      <c r="P568" s="150">
        <v>200</v>
      </c>
      <c r="Q568" s="150"/>
      <c r="R568" s="472"/>
      <c r="S568" s="466">
        <v>805</v>
      </c>
      <c r="T568" s="150">
        <v>90</v>
      </c>
      <c r="U568" s="150"/>
      <c r="V568" s="150"/>
      <c r="W568" s="168"/>
      <c r="X568" s="150"/>
      <c r="Y568" s="466"/>
      <c r="Z568" s="455"/>
      <c r="AA568" s="150"/>
      <c r="AB568" s="490"/>
      <c r="AC568" s="150"/>
      <c r="AD568" s="150"/>
      <c r="AE568" s="466"/>
      <c r="AF568" s="499"/>
      <c r="AG568" s="150"/>
      <c r="AH568" s="150"/>
      <c r="AI568" s="150"/>
      <c r="AJ568" s="150"/>
      <c r="AK568" s="150"/>
      <c r="AL568" s="150"/>
      <c r="AM568" s="150"/>
      <c r="AN568" s="466"/>
      <c r="AO568" s="466"/>
      <c r="AP568" s="150"/>
      <c r="AQ568" s="150"/>
      <c r="AR568" s="151"/>
      <c r="AS568" s="456"/>
      <c r="AT568" s="466"/>
      <c r="AU568" s="150"/>
      <c r="AV568" s="487"/>
      <c r="AW568" s="150"/>
      <c r="AX568" s="150"/>
      <c r="AY568" s="466"/>
      <c r="AZ568" s="466"/>
      <c r="BA568" s="150"/>
      <c r="BB568" s="150"/>
      <c r="BC568" s="466"/>
      <c r="BD568" s="150"/>
      <c r="BE568" s="466">
        <v>120</v>
      </c>
      <c r="BF568" s="466"/>
      <c r="BG568" s="150"/>
      <c r="BH568" s="150"/>
      <c r="BI568" s="150"/>
      <c r="BJ568" s="466"/>
      <c r="BK568" s="152"/>
      <c r="BL568" s="160"/>
      <c r="BM568" s="150"/>
      <c r="BN568" s="150"/>
      <c r="BO568" s="150"/>
      <c r="BP568" s="516"/>
      <c r="BQ568" s="160"/>
      <c r="BR568" s="152"/>
      <c r="BS568" s="160"/>
    </row>
    <row r="569" spans="1:71" x14ac:dyDescent="0.3">
      <c r="A569" s="420">
        <f>DL!A566</f>
        <v>514</v>
      </c>
      <c r="B569" s="19" t="s">
        <v>320</v>
      </c>
      <c r="C569" s="149">
        <f>DL!L566</f>
        <v>600</v>
      </c>
      <c r="D569" s="149" t="str">
        <f>DL!C566</f>
        <v>BOTT</v>
      </c>
      <c r="E569" s="150"/>
      <c r="F569" s="463"/>
      <c r="G569" s="150"/>
      <c r="H569" s="150"/>
      <c r="I569" s="466"/>
      <c r="J569" s="150"/>
      <c r="K569" s="168"/>
      <c r="L569" s="466"/>
      <c r="M569" s="150"/>
      <c r="N569" s="466"/>
      <c r="O569" s="150">
        <v>572</v>
      </c>
      <c r="P569" s="150"/>
      <c r="Q569" s="150"/>
      <c r="R569" s="472"/>
      <c r="S569" s="466">
        <v>700</v>
      </c>
      <c r="T569" s="150"/>
      <c r="U569" s="150"/>
      <c r="V569" s="150"/>
      <c r="W569" s="168"/>
      <c r="X569" s="150"/>
      <c r="Y569" s="466"/>
      <c r="Z569" s="455"/>
      <c r="AA569" s="150"/>
      <c r="AB569" s="490"/>
      <c r="AC569" s="150"/>
      <c r="AD569" s="150"/>
      <c r="AE569" s="466"/>
      <c r="AF569" s="499"/>
      <c r="AG569" s="150"/>
      <c r="AH569" s="150"/>
      <c r="AI569" s="150"/>
      <c r="AJ569" s="150"/>
      <c r="AK569" s="150"/>
      <c r="AL569" s="150"/>
      <c r="AM569" s="150"/>
      <c r="AN569" s="466"/>
      <c r="AO569" s="466"/>
      <c r="AP569" s="150"/>
      <c r="AQ569" s="150"/>
      <c r="AR569" s="151"/>
      <c r="AS569" s="456"/>
      <c r="AT569" s="466"/>
      <c r="AU569" s="150"/>
      <c r="AV569" s="487"/>
      <c r="AW569" s="150"/>
      <c r="AX569" s="150"/>
      <c r="AY569" s="466"/>
      <c r="AZ569" s="466"/>
      <c r="BA569" s="150"/>
      <c r="BB569" s="150"/>
      <c r="BC569" s="466"/>
      <c r="BD569" s="150"/>
      <c r="BE569" s="466"/>
      <c r="BF569" s="466"/>
      <c r="BG569" s="150"/>
      <c r="BH569" s="150"/>
      <c r="BI569" s="150"/>
      <c r="BJ569" s="466"/>
      <c r="BK569" s="152"/>
      <c r="BL569" s="160"/>
      <c r="BM569" s="150"/>
      <c r="BN569" s="150"/>
      <c r="BO569" s="150"/>
      <c r="BP569" s="516"/>
      <c r="BQ569" s="160"/>
      <c r="BR569" s="152"/>
      <c r="BS569" s="160"/>
    </row>
    <row r="570" spans="1:71" x14ac:dyDescent="0.3">
      <c r="A570" s="420">
        <f>DL!A567</f>
        <v>515</v>
      </c>
      <c r="B570" s="19" t="s">
        <v>1363</v>
      </c>
      <c r="C570" s="149">
        <f>DL!L567</f>
        <v>20</v>
      </c>
      <c r="D570" s="149" t="str">
        <f>DL!C567</f>
        <v>BOTT</v>
      </c>
      <c r="E570" s="150"/>
      <c r="F570" s="463"/>
      <c r="G570" s="150"/>
      <c r="H570" s="150"/>
      <c r="I570" s="466"/>
      <c r="J570" s="150"/>
      <c r="K570" s="168"/>
      <c r="L570" s="466"/>
      <c r="M570" s="150"/>
      <c r="N570" s="466"/>
      <c r="O570" s="150"/>
      <c r="P570" s="150"/>
      <c r="Q570" s="150"/>
      <c r="R570" s="472"/>
      <c r="S570" s="466">
        <v>920</v>
      </c>
      <c r="T570" s="150"/>
      <c r="U570" s="150"/>
      <c r="V570" s="150"/>
      <c r="W570" s="168"/>
      <c r="X570" s="150"/>
      <c r="Y570" s="466"/>
      <c r="Z570" s="455"/>
      <c r="AA570" s="150"/>
      <c r="AB570" s="490"/>
      <c r="AC570" s="150"/>
      <c r="AD570" s="150"/>
      <c r="AE570" s="466"/>
      <c r="AF570" s="499"/>
      <c r="AG570" s="150"/>
      <c r="AH570" s="150"/>
      <c r="AI570" s="150"/>
      <c r="AJ570" s="150"/>
      <c r="AK570" s="150"/>
      <c r="AL570" s="150"/>
      <c r="AM570" s="150"/>
      <c r="AN570" s="466"/>
      <c r="AO570" s="466">
        <v>650</v>
      </c>
      <c r="AP570" s="150"/>
      <c r="AQ570" s="150"/>
      <c r="AR570" s="151"/>
      <c r="AS570" s="456"/>
      <c r="AT570" s="466"/>
      <c r="AU570" s="150"/>
      <c r="AV570" s="487"/>
      <c r="AW570" s="150"/>
      <c r="AX570" s="150"/>
      <c r="AY570" s="466"/>
      <c r="AZ570" s="466"/>
      <c r="BA570" s="150"/>
      <c r="BB570" s="150"/>
      <c r="BC570" s="466"/>
      <c r="BD570" s="150"/>
      <c r="BE570" s="466"/>
      <c r="BF570" s="466"/>
      <c r="BG570" s="150"/>
      <c r="BH570" s="150"/>
      <c r="BI570" s="150"/>
      <c r="BJ570" s="466"/>
      <c r="BK570" s="152"/>
      <c r="BL570" s="160"/>
      <c r="BM570" s="150"/>
      <c r="BN570" s="150"/>
      <c r="BO570" s="150"/>
      <c r="BP570" s="516"/>
      <c r="BQ570" s="160"/>
      <c r="BR570" s="152"/>
      <c r="BS570" s="160"/>
    </row>
    <row r="571" spans="1:71" x14ac:dyDescent="0.3">
      <c r="A571" s="420">
        <f>DL!A568</f>
        <v>516</v>
      </c>
      <c r="B571" s="19" t="s">
        <v>321</v>
      </c>
      <c r="C571" s="149">
        <f>DL!L568</f>
        <v>400</v>
      </c>
      <c r="D571" s="149" t="str">
        <f>DL!C568</f>
        <v>BOTT</v>
      </c>
      <c r="E571" s="150">
        <v>2650</v>
      </c>
      <c r="F571" s="463"/>
      <c r="G571" s="150"/>
      <c r="H571" s="150"/>
      <c r="I571" s="466"/>
      <c r="J571" s="150"/>
      <c r="K571" s="168"/>
      <c r="L571" s="466"/>
      <c r="M571" s="150"/>
      <c r="N571" s="466"/>
      <c r="O571" s="150"/>
      <c r="P571" s="150">
        <v>2600</v>
      </c>
      <c r="Q571" s="150"/>
      <c r="R571" s="472"/>
      <c r="S571" s="466">
        <v>3700</v>
      </c>
      <c r="T571" s="150"/>
      <c r="U571" s="150"/>
      <c r="V571" s="150"/>
      <c r="W571" s="168"/>
      <c r="X571" s="150"/>
      <c r="Y571" s="466"/>
      <c r="Z571" s="455"/>
      <c r="AA571" s="150"/>
      <c r="AB571" s="490"/>
      <c r="AC571" s="150"/>
      <c r="AD571" s="150"/>
      <c r="AE571" s="466"/>
      <c r="AF571" s="499"/>
      <c r="AG571" s="150"/>
      <c r="AH571" s="150"/>
      <c r="AI571" s="150"/>
      <c r="AJ571" s="150"/>
      <c r="AK571" s="150"/>
      <c r="AL571" s="150"/>
      <c r="AM571" s="150"/>
      <c r="AN571" s="150"/>
      <c r="AO571" s="466"/>
      <c r="AP571" s="150"/>
      <c r="AQ571" s="150"/>
      <c r="AR571" s="151"/>
      <c r="AS571" s="456"/>
      <c r="AT571" s="466">
        <v>4069</v>
      </c>
      <c r="AU571" s="150"/>
      <c r="AV571" s="487"/>
      <c r="AW571" s="150"/>
      <c r="AX571" s="150"/>
      <c r="AY571" s="466"/>
      <c r="AZ571" s="466"/>
      <c r="BA571" s="150"/>
      <c r="BB571" s="150"/>
      <c r="BC571" s="466"/>
      <c r="BD571" s="150"/>
      <c r="BE571" s="466"/>
      <c r="BF571" s="466"/>
      <c r="BG571" s="150"/>
      <c r="BH571" s="150"/>
      <c r="BI571" s="150"/>
      <c r="BJ571" s="466"/>
      <c r="BK571" s="152"/>
      <c r="BL571" s="160"/>
      <c r="BM571" s="150"/>
      <c r="BN571" s="150"/>
      <c r="BO571" s="150"/>
      <c r="BP571" s="516">
        <v>2300</v>
      </c>
      <c r="BQ571" s="160"/>
      <c r="BR571" s="152"/>
      <c r="BS571" s="160"/>
    </row>
    <row r="572" spans="1:71" x14ac:dyDescent="0.3">
      <c r="A572" s="420">
        <f>DL!A569</f>
        <v>517</v>
      </c>
      <c r="B572" s="19" t="s">
        <v>322</v>
      </c>
      <c r="C572" s="149">
        <f>DL!L569</f>
        <v>300</v>
      </c>
      <c r="D572" s="149" t="str">
        <f>DL!C569</f>
        <v>BOTT</v>
      </c>
      <c r="E572" s="150">
        <v>2950</v>
      </c>
      <c r="F572" s="463"/>
      <c r="G572" s="150"/>
      <c r="H572" s="150"/>
      <c r="I572" s="466"/>
      <c r="J572" s="150"/>
      <c r="K572" s="168"/>
      <c r="L572" s="466"/>
      <c r="M572" s="150"/>
      <c r="N572" s="466"/>
      <c r="O572" s="150"/>
      <c r="P572" s="150"/>
      <c r="Q572" s="150"/>
      <c r="R572" s="472"/>
      <c r="S572" s="466">
        <v>4900</v>
      </c>
      <c r="T572" s="150"/>
      <c r="U572" s="150"/>
      <c r="V572" s="150"/>
      <c r="W572" s="168"/>
      <c r="X572" s="150"/>
      <c r="Y572" s="466"/>
      <c r="Z572" s="455"/>
      <c r="AA572" s="150"/>
      <c r="AB572" s="490"/>
      <c r="AC572" s="150"/>
      <c r="AD572" s="150"/>
      <c r="AE572" s="466"/>
      <c r="AF572" s="499"/>
      <c r="AG572" s="150"/>
      <c r="AH572" s="150"/>
      <c r="AI572" s="150"/>
      <c r="AJ572" s="150"/>
      <c r="AK572" s="150"/>
      <c r="AL572" s="150"/>
      <c r="AM572" s="150"/>
      <c r="AN572" s="150"/>
      <c r="AO572" s="466"/>
      <c r="AP572" s="150"/>
      <c r="AQ572" s="150"/>
      <c r="AR572" s="151"/>
      <c r="AS572" s="456"/>
      <c r="AT572" s="466">
        <v>4282</v>
      </c>
      <c r="AU572" s="150"/>
      <c r="AV572" s="487"/>
      <c r="AW572" s="150"/>
      <c r="AX572" s="150"/>
      <c r="AY572" s="466"/>
      <c r="AZ572" s="466"/>
      <c r="BA572" s="150"/>
      <c r="BB572" s="150"/>
      <c r="BC572" s="466"/>
      <c r="BD572" s="150"/>
      <c r="BE572" s="466"/>
      <c r="BF572" s="466"/>
      <c r="BG572" s="150"/>
      <c r="BH572" s="150"/>
      <c r="BI572" s="150"/>
      <c r="BJ572" s="466"/>
      <c r="BK572" s="152"/>
      <c r="BL572" s="160"/>
      <c r="BM572" s="150"/>
      <c r="BN572" s="150"/>
      <c r="BO572" s="150">
        <v>4069</v>
      </c>
      <c r="BP572" s="152"/>
      <c r="BQ572" s="160"/>
      <c r="BR572" s="152"/>
      <c r="BS572" s="160"/>
    </row>
    <row r="573" spans="1:71" x14ac:dyDescent="0.3">
      <c r="A573" s="420">
        <f>DL!A570</f>
        <v>518</v>
      </c>
      <c r="B573" s="16" t="s">
        <v>323</v>
      </c>
      <c r="C573" s="149">
        <f>DL!L570</f>
        <v>20</v>
      </c>
      <c r="D573" s="149" t="str">
        <f>DL!C570</f>
        <v>BOTT</v>
      </c>
      <c r="E573" s="150"/>
      <c r="F573" s="463"/>
      <c r="G573" s="150"/>
      <c r="H573" s="150"/>
      <c r="I573" s="466"/>
      <c r="J573" s="150"/>
      <c r="K573" s="168"/>
      <c r="L573" s="466"/>
      <c r="M573" s="150"/>
      <c r="N573" s="466"/>
      <c r="O573" s="150"/>
      <c r="P573" s="150"/>
      <c r="Q573" s="150"/>
      <c r="R573" s="472"/>
      <c r="S573" s="466">
        <v>700</v>
      </c>
      <c r="T573" s="150"/>
      <c r="U573" s="150"/>
      <c r="V573" s="150"/>
      <c r="W573" s="168"/>
      <c r="X573" s="150"/>
      <c r="Y573" s="466"/>
      <c r="Z573" s="455"/>
      <c r="AA573" s="150"/>
      <c r="AB573" s="490"/>
      <c r="AC573" s="150"/>
      <c r="AD573" s="150"/>
      <c r="AE573" s="466"/>
      <c r="AF573" s="499"/>
      <c r="AG573" s="150"/>
      <c r="AH573" s="150"/>
      <c r="AI573" s="150"/>
      <c r="AJ573" s="150"/>
      <c r="AK573" s="150"/>
      <c r="AL573" s="150"/>
      <c r="AM573" s="150"/>
      <c r="AN573" s="150"/>
      <c r="AO573" s="466">
        <v>550</v>
      </c>
      <c r="AP573" s="150"/>
      <c r="AQ573" s="150"/>
      <c r="AR573" s="151"/>
      <c r="AS573" s="456"/>
      <c r="AT573" s="466"/>
      <c r="AU573" s="150"/>
      <c r="AV573" s="487"/>
      <c r="AW573" s="150"/>
      <c r="AX573" s="150"/>
      <c r="AY573" s="466"/>
      <c r="AZ573" s="466"/>
      <c r="BA573" s="150"/>
      <c r="BB573" s="150"/>
      <c r="BC573" s="466"/>
      <c r="BD573" s="150"/>
      <c r="BE573" s="466"/>
      <c r="BF573" s="466"/>
      <c r="BG573" s="150"/>
      <c r="BH573" s="150"/>
      <c r="BI573" s="150"/>
      <c r="BJ573" s="466"/>
      <c r="BK573" s="152"/>
      <c r="BL573" s="160"/>
      <c r="BM573" s="150"/>
      <c r="BN573" s="150"/>
      <c r="BO573" s="150">
        <v>4282</v>
      </c>
      <c r="BP573" s="152"/>
      <c r="BQ573" s="160"/>
      <c r="BR573" s="152"/>
      <c r="BS573" s="160"/>
    </row>
    <row r="574" spans="1:71" x14ac:dyDescent="0.3">
      <c r="A574" s="420">
        <f>DL!A571</f>
        <v>519</v>
      </c>
      <c r="B574" s="19" t="s">
        <v>324</v>
      </c>
      <c r="C574" s="149">
        <f>DL!L571</f>
        <v>400</v>
      </c>
      <c r="D574" s="149" t="str">
        <f>DL!C571</f>
        <v>BOTT</v>
      </c>
      <c r="E574" s="150"/>
      <c r="F574" s="463"/>
      <c r="G574" s="150"/>
      <c r="H574" s="150"/>
      <c r="I574" s="466"/>
      <c r="J574" s="150"/>
      <c r="K574" s="168"/>
      <c r="L574" s="466"/>
      <c r="M574" s="150"/>
      <c r="N574" s="466"/>
      <c r="O574" s="150"/>
      <c r="P574" s="150"/>
      <c r="Q574" s="150"/>
      <c r="R574" s="472"/>
      <c r="S574" s="466">
        <v>700</v>
      </c>
      <c r="T574" s="150"/>
      <c r="U574" s="150"/>
      <c r="V574" s="150"/>
      <c r="W574" s="168"/>
      <c r="X574" s="150"/>
      <c r="Y574" s="466"/>
      <c r="Z574" s="455"/>
      <c r="AA574" s="150"/>
      <c r="AB574" s="490"/>
      <c r="AC574" s="150"/>
      <c r="AD574" s="150"/>
      <c r="AE574" s="466"/>
      <c r="AF574" s="499"/>
      <c r="AG574" s="150"/>
      <c r="AH574" s="150"/>
      <c r="AI574" s="150"/>
      <c r="AJ574" s="150"/>
      <c r="AK574" s="150"/>
      <c r="AL574" s="150"/>
      <c r="AM574" s="150"/>
      <c r="AN574" s="150"/>
      <c r="AO574" s="466"/>
      <c r="AP574" s="150"/>
      <c r="AQ574" s="150"/>
      <c r="AR574" s="151"/>
      <c r="AS574" s="456"/>
      <c r="AT574" s="466"/>
      <c r="AU574" s="150"/>
      <c r="AV574" s="487"/>
      <c r="AW574" s="150"/>
      <c r="AX574" s="150"/>
      <c r="AY574" s="466"/>
      <c r="AZ574" s="466"/>
      <c r="BA574" s="150"/>
      <c r="BB574" s="150"/>
      <c r="BC574" s="466"/>
      <c r="BD574" s="150"/>
      <c r="BE574" s="466"/>
      <c r="BF574" s="466"/>
      <c r="BG574" s="150"/>
      <c r="BH574" s="150"/>
      <c r="BI574" s="150"/>
      <c r="BJ574" s="466"/>
      <c r="BK574" s="152"/>
      <c r="BL574" s="160"/>
      <c r="BM574" s="150"/>
      <c r="BN574" s="150"/>
      <c r="BO574" s="150"/>
      <c r="BP574" s="152"/>
      <c r="BQ574" s="160"/>
      <c r="BR574" s="152"/>
      <c r="BS574" s="160"/>
    </row>
    <row r="575" spans="1:71" x14ac:dyDescent="0.3">
      <c r="A575" s="420">
        <f>DL!A572</f>
        <v>520</v>
      </c>
      <c r="B575" s="19" t="s">
        <v>325</v>
      </c>
      <c r="C575" s="149">
        <f>DL!L572</f>
        <v>40</v>
      </c>
      <c r="D575" s="149" t="str">
        <f>DL!C572</f>
        <v>TUBE</v>
      </c>
      <c r="E575" s="150"/>
      <c r="F575" s="463"/>
      <c r="G575" s="150"/>
      <c r="H575" s="150"/>
      <c r="I575" s="466"/>
      <c r="J575" s="150"/>
      <c r="K575" s="168"/>
      <c r="L575" s="466"/>
      <c r="M575" s="150"/>
      <c r="N575" s="466"/>
      <c r="O575" s="150"/>
      <c r="P575" s="150"/>
      <c r="Q575" s="150"/>
      <c r="R575" s="472"/>
      <c r="S575" s="466">
        <v>520</v>
      </c>
      <c r="T575" s="150"/>
      <c r="U575" s="150"/>
      <c r="V575" s="150"/>
      <c r="W575" s="168"/>
      <c r="X575" s="150"/>
      <c r="Y575" s="466"/>
      <c r="Z575" s="455"/>
      <c r="AA575" s="150"/>
      <c r="AB575" s="490"/>
      <c r="AC575" s="150"/>
      <c r="AD575" s="150"/>
      <c r="AE575" s="466"/>
      <c r="AF575" s="499"/>
      <c r="AG575" s="150"/>
      <c r="AH575" s="150"/>
      <c r="AI575" s="150"/>
      <c r="AJ575" s="150"/>
      <c r="AK575" s="150"/>
      <c r="AL575" s="150"/>
      <c r="AM575" s="150"/>
      <c r="AN575" s="150"/>
      <c r="AO575" s="466"/>
      <c r="AP575" s="150"/>
      <c r="AQ575" s="150"/>
      <c r="AR575" s="151"/>
      <c r="AS575" s="456"/>
      <c r="AT575" s="466"/>
      <c r="AU575" s="150"/>
      <c r="AV575" s="487"/>
      <c r="AW575" s="150"/>
      <c r="AX575" s="150"/>
      <c r="AY575" s="466"/>
      <c r="AZ575" s="466"/>
      <c r="BA575" s="150"/>
      <c r="BB575" s="150"/>
      <c r="BC575" s="466"/>
      <c r="BD575" s="150"/>
      <c r="BE575" s="466"/>
      <c r="BF575" s="466"/>
      <c r="BG575" s="150"/>
      <c r="BH575" s="150"/>
      <c r="BI575" s="150"/>
      <c r="BJ575" s="466"/>
      <c r="BK575" s="152"/>
      <c r="BL575" s="160"/>
      <c r="BM575" s="150"/>
      <c r="BN575" s="150"/>
      <c r="BO575" s="150"/>
      <c r="BP575" s="152"/>
      <c r="BQ575" s="160"/>
      <c r="BR575" s="152"/>
      <c r="BS575" s="160"/>
    </row>
    <row r="576" spans="1:71" x14ac:dyDescent="0.3">
      <c r="A576" s="420">
        <f>DL!A573</f>
        <v>521</v>
      </c>
      <c r="B576" s="19" t="s">
        <v>326</v>
      </c>
      <c r="C576" s="149">
        <f>DL!L573</f>
        <v>20</v>
      </c>
      <c r="D576" s="149" t="str">
        <f>DL!C573</f>
        <v>BOTT</v>
      </c>
      <c r="E576" s="150"/>
      <c r="F576" s="463"/>
      <c r="G576" s="150"/>
      <c r="H576" s="150"/>
      <c r="I576" s="466"/>
      <c r="J576" s="150"/>
      <c r="K576" s="168"/>
      <c r="L576" s="466"/>
      <c r="M576" s="150"/>
      <c r="N576" s="466"/>
      <c r="O576" s="150"/>
      <c r="P576" s="150"/>
      <c r="Q576" s="150"/>
      <c r="R576" s="472"/>
      <c r="S576" s="466">
        <v>650</v>
      </c>
      <c r="T576" s="150"/>
      <c r="U576" s="150"/>
      <c r="V576" s="150"/>
      <c r="W576" s="168"/>
      <c r="X576" s="150"/>
      <c r="Y576" s="466"/>
      <c r="Z576" s="455"/>
      <c r="AA576" s="150"/>
      <c r="AB576" s="490"/>
      <c r="AC576" s="150"/>
      <c r="AD576" s="150"/>
      <c r="AE576" s="466"/>
      <c r="AF576" s="499"/>
      <c r="AG576" s="150"/>
      <c r="AH576" s="150"/>
      <c r="AI576" s="150"/>
      <c r="AJ576" s="150"/>
      <c r="AK576" s="150"/>
      <c r="AL576" s="150"/>
      <c r="AM576" s="150"/>
      <c r="AN576" s="150"/>
      <c r="AO576" s="466">
        <v>450</v>
      </c>
      <c r="AP576" s="150"/>
      <c r="AQ576" s="150"/>
      <c r="AR576" s="151"/>
      <c r="AS576" s="456"/>
      <c r="AT576" s="466"/>
      <c r="AU576" s="150"/>
      <c r="AV576" s="487"/>
      <c r="AW576" s="150"/>
      <c r="AX576" s="150"/>
      <c r="AY576" s="466"/>
      <c r="AZ576" s="466"/>
      <c r="BA576" s="150"/>
      <c r="BB576" s="150"/>
      <c r="BC576" s="466"/>
      <c r="BD576" s="150"/>
      <c r="BE576" s="466"/>
      <c r="BF576" s="466"/>
      <c r="BG576" s="150"/>
      <c r="BH576" s="150"/>
      <c r="BI576" s="150"/>
      <c r="BJ576" s="466"/>
      <c r="BK576" s="152"/>
      <c r="BL576" s="160"/>
      <c r="BM576" s="150"/>
      <c r="BN576" s="150"/>
      <c r="BO576" s="150"/>
      <c r="BP576" s="152"/>
      <c r="BQ576" s="160"/>
      <c r="BR576" s="152"/>
      <c r="BS576" s="160"/>
    </row>
    <row r="577" spans="1:71" x14ac:dyDescent="0.3">
      <c r="A577" s="420">
        <f>DL!A574</f>
        <v>522</v>
      </c>
      <c r="B577" s="19" t="s">
        <v>1364</v>
      </c>
      <c r="C577" s="149">
        <f>DL!L574</f>
        <v>20</v>
      </c>
      <c r="D577" s="149" t="str">
        <f>DL!C574</f>
        <v>BOTT</v>
      </c>
      <c r="E577" s="150"/>
      <c r="F577" s="463"/>
      <c r="G577" s="150"/>
      <c r="H577" s="150"/>
      <c r="I577" s="466"/>
      <c r="J577" s="150"/>
      <c r="K577" s="168"/>
      <c r="L577" s="466"/>
      <c r="M577" s="150"/>
      <c r="N577" s="466"/>
      <c r="O577" s="150"/>
      <c r="P577" s="150"/>
      <c r="Q577" s="150"/>
      <c r="R577" s="472"/>
      <c r="S577" s="466">
        <v>760</v>
      </c>
      <c r="T577" s="150"/>
      <c r="U577" s="150"/>
      <c r="V577" s="150"/>
      <c r="W577" s="168"/>
      <c r="X577" s="150"/>
      <c r="Y577" s="466"/>
      <c r="Z577" s="455"/>
      <c r="AA577" s="150"/>
      <c r="AB577" s="490"/>
      <c r="AC577" s="150"/>
      <c r="AD577" s="150"/>
      <c r="AE577" s="466"/>
      <c r="AF577" s="499"/>
      <c r="AG577" s="150"/>
      <c r="AH577" s="150"/>
      <c r="AI577" s="150"/>
      <c r="AJ577" s="150"/>
      <c r="AK577" s="150"/>
      <c r="AL577" s="150"/>
      <c r="AM577" s="150"/>
      <c r="AN577" s="150"/>
      <c r="AO577" s="466"/>
      <c r="AP577" s="150"/>
      <c r="AQ577" s="150"/>
      <c r="AR577" s="151"/>
      <c r="AS577" s="456"/>
      <c r="AT577" s="466"/>
      <c r="AU577" s="150"/>
      <c r="AV577" s="487"/>
      <c r="AW577" s="150"/>
      <c r="AX577" s="150"/>
      <c r="AY577" s="466"/>
      <c r="AZ577" s="150"/>
      <c r="BA577" s="150"/>
      <c r="BB577" s="150"/>
      <c r="BC577" s="466"/>
      <c r="BD577" s="150"/>
      <c r="BE577" s="466"/>
      <c r="BF577" s="466"/>
      <c r="BG577" s="150"/>
      <c r="BH577" s="150"/>
      <c r="BI577" s="150"/>
      <c r="BJ577" s="466"/>
      <c r="BK577" s="152"/>
      <c r="BL577" s="160"/>
      <c r="BM577" s="150"/>
      <c r="BN577" s="150"/>
      <c r="BO577" s="150"/>
      <c r="BP577" s="152"/>
      <c r="BQ577" s="160"/>
      <c r="BR577" s="152"/>
      <c r="BS577" s="160"/>
    </row>
    <row r="578" spans="1:71" x14ac:dyDescent="0.3">
      <c r="A578" s="420">
        <f>DL!A575</f>
        <v>523</v>
      </c>
      <c r="B578" s="19" t="s">
        <v>327</v>
      </c>
      <c r="C578" s="149">
        <v>100</v>
      </c>
      <c r="D578" s="149" t="str">
        <f>DL!C575</f>
        <v>BOTT</v>
      </c>
      <c r="E578" s="150"/>
      <c r="F578" s="463"/>
      <c r="G578" s="150"/>
      <c r="H578" s="150"/>
      <c r="I578" s="466"/>
      <c r="J578" s="150"/>
      <c r="K578" s="168"/>
      <c r="L578" s="466"/>
      <c r="M578" s="150"/>
      <c r="N578" s="466"/>
      <c r="O578" s="150"/>
      <c r="P578" s="150"/>
      <c r="Q578" s="150"/>
      <c r="R578" s="472"/>
      <c r="S578" s="466">
        <v>350</v>
      </c>
      <c r="T578" s="150"/>
      <c r="U578" s="150"/>
      <c r="V578" s="150"/>
      <c r="W578" s="168"/>
      <c r="X578" s="150"/>
      <c r="Y578" s="466"/>
      <c r="Z578" s="455"/>
      <c r="AA578" s="150"/>
      <c r="AB578" s="490"/>
      <c r="AC578" s="150"/>
      <c r="AD578" s="150"/>
      <c r="AE578" s="466"/>
      <c r="AF578" s="499"/>
      <c r="AG578" s="150"/>
      <c r="AH578" s="150"/>
      <c r="AI578" s="150"/>
      <c r="AJ578" s="150"/>
      <c r="AK578" s="150"/>
      <c r="AL578" s="150"/>
      <c r="AM578" s="150"/>
      <c r="AN578" s="150"/>
      <c r="AO578" s="466"/>
      <c r="AP578" s="150"/>
      <c r="AQ578" s="150"/>
      <c r="AR578" s="151"/>
      <c r="AS578" s="456"/>
      <c r="AT578" s="151"/>
      <c r="AU578" s="150"/>
      <c r="AV578" s="487"/>
      <c r="AW578" s="150"/>
      <c r="AX578" s="150"/>
      <c r="AY578" s="466"/>
      <c r="AZ578" s="150"/>
      <c r="BA578" s="150"/>
      <c r="BB578" s="150"/>
      <c r="BC578" s="466"/>
      <c r="BD578" s="150"/>
      <c r="BE578" s="466"/>
      <c r="BF578" s="466"/>
      <c r="BG578" s="150"/>
      <c r="BH578" s="150"/>
      <c r="BI578" s="150"/>
      <c r="BJ578" s="466"/>
      <c r="BK578" s="152"/>
      <c r="BL578" s="160"/>
      <c r="BM578" s="150"/>
      <c r="BN578" s="150"/>
      <c r="BO578" s="150"/>
      <c r="BP578" s="152"/>
      <c r="BQ578" s="160"/>
      <c r="BR578" s="152"/>
      <c r="BS578" s="160"/>
    </row>
    <row r="579" spans="1:71" x14ac:dyDescent="0.3">
      <c r="A579" s="420">
        <f>DL!A576</f>
        <v>524</v>
      </c>
      <c r="B579" s="19" t="s">
        <v>1365</v>
      </c>
      <c r="C579" s="149">
        <f>DL!L576</f>
        <v>80</v>
      </c>
      <c r="D579" s="149" t="str">
        <f>DL!C576</f>
        <v>BOTT</v>
      </c>
      <c r="E579" s="150"/>
      <c r="F579" s="463"/>
      <c r="G579" s="150"/>
      <c r="H579" s="150"/>
      <c r="I579" s="466"/>
      <c r="J579" s="150"/>
      <c r="K579" s="168"/>
      <c r="L579" s="466"/>
      <c r="M579" s="150"/>
      <c r="N579" s="466"/>
      <c r="O579" s="150"/>
      <c r="P579" s="150"/>
      <c r="Q579" s="150"/>
      <c r="R579" s="472"/>
      <c r="S579" s="466">
        <v>2300</v>
      </c>
      <c r="T579" s="150"/>
      <c r="U579" s="150"/>
      <c r="V579" s="150"/>
      <c r="W579" s="168"/>
      <c r="X579" s="150"/>
      <c r="Y579" s="466"/>
      <c r="Z579" s="455"/>
      <c r="AA579" s="150"/>
      <c r="AB579" s="490"/>
      <c r="AC579" s="150"/>
      <c r="AD579" s="150"/>
      <c r="AE579" s="466"/>
      <c r="AF579" s="499"/>
      <c r="AG579" s="150"/>
      <c r="AH579" s="150"/>
      <c r="AI579" s="150"/>
      <c r="AJ579" s="150"/>
      <c r="AK579" s="150"/>
      <c r="AL579" s="150"/>
      <c r="AM579" s="150"/>
      <c r="AN579" s="150"/>
      <c r="AO579" s="466"/>
      <c r="AP579" s="150"/>
      <c r="AQ579" s="150"/>
      <c r="AR579" s="151"/>
      <c r="AS579" s="456"/>
      <c r="AT579" s="151"/>
      <c r="AU579" s="150"/>
      <c r="AV579" s="487"/>
      <c r="AW579" s="150"/>
      <c r="AX579" s="150"/>
      <c r="AY579" s="466"/>
      <c r="AZ579" s="150"/>
      <c r="BA579" s="150"/>
      <c r="BB579" s="150"/>
      <c r="BC579" s="466"/>
      <c r="BD579" s="150"/>
      <c r="BE579" s="466"/>
      <c r="BF579" s="466"/>
      <c r="BG579" s="150"/>
      <c r="BH579" s="150"/>
      <c r="BI579" s="150"/>
      <c r="BJ579" s="466"/>
      <c r="BK579" s="152"/>
      <c r="BL579" s="160"/>
      <c r="BM579" s="150"/>
      <c r="BN579" s="150"/>
      <c r="BO579" s="150"/>
      <c r="BP579" s="152"/>
      <c r="BQ579" s="160"/>
      <c r="BR579" s="152"/>
      <c r="BS579" s="160"/>
    </row>
    <row r="580" spans="1:71" x14ac:dyDescent="0.3">
      <c r="A580" s="420">
        <f>DL!A577</f>
        <v>525</v>
      </c>
      <c r="B580" s="19" t="s">
        <v>1366</v>
      </c>
      <c r="C580" s="149">
        <f>DL!L577</f>
        <v>80</v>
      </c>
      <c r="D580" s="149" t="str">
        <f>DL!C577</f>
        <v>BOTT</v>
      </c>
      <c r="E580" s="150"/>
      <c r="F580" s="463"/>
      <c r="G580" s="150"/>
      <c r="H580" s="150"/>
      <c r="I580" s="466"/>
      <c r="J580" s="150"/>
      <c r="K580" s="168"/>
      <c r="L580" s="466"/>
      <c r="M580" s="150"/>
      <c r="N580" s="466"/>
      <c r="O580" s="150"/>
      <c r="P580" s="150"/>
      <c r="Q580" s="150"/>
      <c r="R580" s="472"/>
      <c r="S580" s="466">
        <v>1500</v>
      </c>
      <c r="T580" s="150"/>
      <c r="U580" s="150"/>
      <c r="V580" s="150"/>
      <c r="W580" s="168"/>
      <c r="X580" s="150"/>
      <c r="Y580" s="466"/>
      <c r="Z580" s="455"/>
      <c r="AA580" s="150"/>
      <c r="AB580" s="490"/>
      <c r="AC580" s="150"/>
      <c r="AD580" s="150"/>
      <c r="AE580" s="466"/>
      <c r="AF580" s="499"/>
      <c r="AG580" s="150"/>
      <c r="AH580" s="150"/>
      <c r="AI580" s="150"/>
      <c r="AJ580" s="150"/>
      <c r="AK580" s="150"/>
      <c r="AL580" s="150"/>
      <c r="AM580" s="150"/>
      <c r="AN580" s="150"/>
      <c r="AO580" s="466"/>
      <c r="AP580" s="150"/>
      <c r="AQ580" s="150"/>
      <c r="AR580" s="151"/>
      <c r="AS580" s="456"/>
      <c r="AT580" s="151"/>
      <c r="AU580" s="150"/>
      <c r="AV580" s="487"/>
      <c r="AW580" s="150"/>
      <c r="AX580" s="150"/>
      <c r="AY580" s="466"/>
      <c r="AZ580" s="150"/>
      <c r="BA580" s="150"/>
      <c r="BB580" s="150"/>
      <c r="BC580" s="466"/>
      <c r="BD580" s="150"/>
      <c r="BE580" s="466"/>
      <c r="BF580" s="466"/>
      <c r="BG580" s="150"/>
      <c r="BH580" s="150"/>
      <c r="BI580" s="150"/>
      <c r="BJ580" s="466"/>
      <c r="BK580" s="152"/>
      <c r="BL580" s="160"/>
      <c r="BM580" s="150"/>
      <c r="BN580" s="150"/>
      <c r="BO580" s="150"/>
      <c r="BP580" s="152"/>
      <c r="BQ580" s="160"/>
      <c r="BR580" s="152"/>
      <c r="BS580" s="160"/>
    </row>
    <row r="581" spans="1:71" x14ac:dyDescent="0.3">
      <c r="A581" s="420">
        <f>DL!A578</f>
        <v>526</v>
      </c>
      <c r="B581" s="16" t="s">
        <v>1367</v>
      </c>
      <c r="C581" s="149">
        <f>DL!L578</f>
        <v>10</v>
      </c>
      <c r="D581" s="149" t="str">
        <f>DL!C578</f>
        <v>BOTT</v>
      </c>
      <c r="E581" s="150"/>
      <c r="F581" s="463"/>
      <c r="G581" s="150"/>
      <c r="H581" s="150"/>
      <c r="I581" s="466"/>
      <c r="J581" s="150"/>
      <c r="K581" s="168"/>
      <c r="L581" s="466"/>
      <c r="M581" s="150"/>
      <c r="N581" s="466"/>
      <c r="O581" s="150"/>
      <c r="P581" s="150">
        <v>650</v>
      </c>
      <c r="Q581" s="150"/>
      <c r="R581" s="472"/>
      <c r="S581" s="466">
        <v>750</v>
      </c>
      <c r="T581" s="150"/>
      <c r="U581" s="150"/>
      <c r="V581" s="150"/>
      <c r="W581" s="168"/>
      <c r="X581" s="150"/>
      <c r="Y581" s="466"/>
      <c r="Z581" s="455"/>
      <c r="AA581" s="150"/>
      <c r="AB581" s="490"/>
      <c r="AC581" s="150"/>
      <c r="AD581" s="150"/>
      <c r="AE581" s="466"/>
      <c r="AF581" s="499"/>
      <c r="AG581" s="150"/>
      <c r="AH581" s="150"/>
      <c r="AI581" s="150"/>
      <c r="AJ581" s="150"/>
      <c r="AK581" s="150"/>
      <c r="AL581" s="150"/>
      <c r="AM581" s="150"/>
      <c r="AN581" s="150"/>
      <c r="AO581" s="466"/>
      <c r="AP581" s="150"/>
      <c r="AQ581" s="150"/>
      <c r="AR581" s="151"/>
      <c r="AS581" s="456"/>
      <c r="AT581" s="151"/>
      <c r="AU581" s="150"/>
      <c r="AV581" s="487"/>
      <c r="AW581" s="150"/>
      <c r="AX581" s="150"/>
      <c r="AY581" s="466"/>
      <c r="AZ581" s="150"/>
      <c r="BA581" s="150"/>
      <c r="BB581" s="150"/>
      <c r="BC581" s="466"/>
      <c r="BD581" s="150"/>
      <c r="BE581" s="466"/>
      <c r="BF581" s="466"/>
      <c r="BG581" s="150"/>
      <c r="BH581" s="150"/>
      <c r="BI581" s="150"/>
      <c r="BJ581" s="466"/>
      <c r="BK581" s="152"/>
      <c r="BL581" s="160"/>
      <c r="BM581" s="150"/>
      <c r="BN581" s="150"/>
      <c r="BO581" s="150"/>
      <c r="BP581" s="152"/>
      <c r="BQ581" s="160"/>
      <c r="BR581" s="152"/>
      <c r="BS581" s="160"/>
    </row>
    <row r="582" spans="1:71" x14ac:dyDescent="0.3">
      <c r="A582" s="420">
        <f>DL!A579</f>
        <v>527</v>
      </c>
      <c r="B582" s="19" t="s">
        <v>332</v>
      </c>
      <c r="C582" s="149">
        <f>DL!L579</f>
        <v>20</v>
      </c>
      <c r="D582" s="149" t="str">
        <f>DL!C579</f>
        <v>BOTT</v>
      </c>
      <c r="E582" s="150"/>
      <c r="F582" s="463"/>
      <c r="G582" s="150"/>
      <c r="H582" s="150"/>
      <c r="I582" s="466"/>
      <c r="J582" s="150"/>
      <c r="K582" s="168"/>
      <c r="L582" s="466"/>
      <c r="M582" s="150"/>
      <c r="N582" s="466"/>
      <c r="O582" s="150"/>
      <c r="P582" s="150"/>
      <c r="Q582" s="150"/>
      <c r="R582" s="472"/>
      <c r="S582" s="466">
        <v>980</v>
      </c>
      <c r="T582" s="150"/>
      <c r="U582" s="150"/>
      <c r="V582" s="150"/>
      <c r="W582" s="168"/>
      <c r="X582" s="150"/>
      <c r="Y582" s="466"/>
      <c r="Z582" s="455"/>
      <c r="AA582" s="150"/>
      <c r="AB582" s="490"/>
      <c r="AC582" s="150"/>
      <c r="AD582" s="150"/>
      <c r="AE582" s="466"/>
      <c r="AF582" s="499"/>
      <c r="AG582" s="150"/>
      <c r="AH582" s="150"/>
      <c r="AI582" s="150"/>
      <c r="AJ582" s="150"/>
      <c r="AK582" s="150"/>
      <c r="AL582" s="150"/>
      <c r="AM582" s="150"/>
      <c r="AN582" s="150"/>
      <c r="AO582" s="466"/>
      <c r="AP582" s="150"/>
      <c r="AQ582" s="150"/>
      <c r="AR582" s="151"/>
      <c r="AS582" s="456"/>
      <c r="AT582" s="151"/>
      <c r="AU582" s="150"/>
      <c r="AV582" s="487"/>
      <c r="AW582" s="150"/>
      <c r="AX582" s="150"/>
      <c r="AY582" s="466"/>
      <c r="AZ582" s="150"/>
      <c r="BA582" s="150"/>
      <c r="BB582" s="150"/>
      <c r="BC582" s="466"/>
      <c r="BD582" s="150"/>
      <c r="BE582" s="466"/>
      <c r="BF582" s="466"/>
      <c r="BG582" s="150"/>
      <c r="BH582" s="150"/>
      <c r="BI582" s="150"/>
      <c r="BJ582" s="466"/>
      <c r="BK582" s="152"/>
      <c r="BL582" s="160"/>
      <c r="BM582" s="150"/>
      <c r="BN582" s="150"/>
      <c r="BO582" s="150"/>
      <c r="BP582" s="152"/>
      <c r="BQ582" s="160"/>
      <c r="BR582" s="152"/>
      <c r="BS582" s="160"/>
    </row>
    <row r="583" spans="1:71" x14ac:dyDescent="0.3">
      <c r="A583" s="420">
        <f>DL!A580</f>
        <v>528</v>
      </c>
      <c r="B583" s="19" t="s">
        <v>731</v>
      </c>
      <c r="C583" s="149">
        <f>DL!L580</f>
        <v>20</v>
      </c>
      <c r="D583" s="149" t="str">
        <f>DL!C580</f>
        <v>BOTT</v>
      </c>
      <c r="E583" s="150"/>
      <c r="F583" s="463"/>
      <c r="G583" s="150"/>
      <c r="H583" s="150"/>
      <c r="I583" s="466"/>
      <c r="J583" s="150"/>
      <c r="K583" s="168"/>
      <c r="L583" s="466"/>
      <c r="M583" s="150"/>
      <c r="N583" s="466"/>
      <c r="O583" s="150"/>
      <c r="P583" s="150"/>
      <c r="Q583" s="150"/>
      <c r="R583" s="472"/>
      <c r="S583" s="466">
        <v>1050</v>
      </c>
      <c r="T583" s="150"/>
      <c r="U583" s="150"/>
      <c r="V583" s="150"/>
      <c r="W583" s="168"/>
      <c r="X583" s="150"/>
      <c r="Y583" s="466"/>
      <c r="Z583" s="455"/>
      <c r="AA583" s="150"/>
      <c r="AB583" s="490"/>
      <c r="AC583" s="150"/>
      <c r="AD583" s="150"/>
      <c r="AE583" s="466"/>
      <c r="AF583" s="499"/>
      <c r="AG583" s="150"/>
      <c r="AH583" s="150"/>
      <c r="AI583" s="150"/>
      <c r="AJ583" s="150"/>
      <c r="AK583" s="150"/>
      <c r="AL583" s="150"/>
      <c r="AM583" s="150"/>
      <c r="AN583" s="150"/>
      <c r="AO583" s="466"/>
      <c r="AP583" s="150"/>
      <c r="AQ583" s="150"/>
      <c r="AR583" s="151"/>
      <c r="AS583" s="456"/>
      <c r="AT583" s="151"/>
      <c r="AU583" s="150"/>
      <c r="AV583" s="487"/>
      <c r="AW583" s="150"/>
      <c r="AX583" s="150"/>
      <c r="AY583" s="466"/>
      <c r="AZ583" s="150"/>
      <c r="BA583" s="150"/>
      <c r="BB583" s="150"/>
      <c r="BC583" s="466"/>
      <c r="BD583" s="150"/>
      <c r="BE583" s="466"/>
      <c r="BF583" s="466"/>
      <c r="BG583" s="150"/>
      <c r="BH583" s="150"/>
      <c r="BI583" s="150"/>
      <c r="BJ583" s="466"/>
      <c r="BK583" s="152"/>
      <c r="BL583" s="160"/>
      <c r="BM583" s="150"/>
      <c r="BN583" s="150"/>
      <c r="BO583" s="150"/>
      <c r="BP583" s="152"/>
      <c r="BQ583" s="160"/>
      <c r="BR583" s="152"/>
      <c r="BS583" s="160"/>
    </row>
    <row r="584" spans="1:71" x14ac:dyDescent="0.3">
      <c r="A584" s="420">
        <f>DL!A581</f>
        <v>529</v>
      </c>
      <c r="B584" s="16" t="s">
        <v>334</v>
      </c>
      <c r="C584" s="149">
        <f>DL!L581</f>
        <v>880</v>
      </c>
      <c r="D584" s="149" t="str">
        <f>DL!C581</f>
        <v>BOTT</v>
      </c>
      <c r="E584" s="150">
        <v>880</v>
      </c>
      <c r="F584" s="463"/>
      <c r="G584" s="150"/>
      <c r="H584" s="150"/>
      <c r="I584" s="466"/>
      <c r="J584" s="150"/>
      <c r="K584" s="168"/>
      <c r="L584" s="466"/>
      <c r="M584" s="150"/>
      <c r="N584" s="466"/>
      <c r="O584" s="150">
        <v>473</v>
      </c>
      <c r="P584" s="150">
        <v>380</v>
      </c>
      <c r="Q584" s="150"/>
      <c r="R584" s="472"/>
      <c r="S584" s="466">
        <v>450</v>
      </c>
      <c r="T584" s="150">
        <v>250</v>
      </c>
      <c r="U584" s="150"/>
      <c r="V584" s="150"/>
      <c r="W584" s="168"/>
      <c r="X584" s="150"/>
      <c r="Y584" s="466"/>
      <c r="Z584" s="455"/>
      <c r="AA584" s="150"/>
      <c r="AB584" s="490"/>
      <c r="AC584" s="150"/>
      <c r="AD584" s="150"/>
      <c r="AE584" s="466"/>
      <c r="AF584" s="499"/>
      <c r="AG584" s="150">
        <v>395</v>
      </c>
      <c r="AH584" s="150"/>
      <c r="AI584" s="150"/>
      <c r="AJ584" s="150"/>
      <c r="AK584" s="150"/>
      <c r="AL584" s="150"/>
      <c r="AM584" s="150"/>
      <c r="AN584" s="150"/>
      <c r="AO584" s="466"/>
      <c r="AP584" s="150"/>
      <c r="AQ584" s="150"/>
      <c r="AR584" s="151"/>
      <c r="AS584" s="456"/>
      <c r="AT584" s="151"/>
      <c r="AU584" s="150"/>
      <c r="AV584" s="487"/>
      <c r="AW584" s="150"/>
      <c r="AX584" s="150"/>
      <c r="AY584" s="466"/>
      <c r="AZ584" s="150"/>
      <c r="BA584" s="150"/>
      <c r="BB584" s="150"/>
      <c r="BC584" s="466"/>
      <c r="BD584" s="150"/>
      <c r="BE584" s="466"/>
      <c r="BF584" s="466"/>
      <c r="BG584" s="150"/>
      <c r="BH584" s="150"/>
      <c r="BI584" s="150"/>
      <c r="BJ584" s="466"/>
      <c r="BK584" s="152"/>
      <c r="BL584" s="160"/>
      <c r="BM584" s="150"/>
      <c r="BN584" s="150"/>
      <c r="BO584" s="150"/>
      <c r="BP584" s="152"/>
      <c r="BQ584" s="160"/>
      <c r="BR584" s="152"/>
      <c r="BS584" s="160"/>
    </row>
    <row r="585" spans="1:71" x14ac:dyDescent="0.3">
      <c r="A585" s="420">
        <f>DL!A582</f>
        <v>530</v>
      </c>
      <c r="B585" s="19" t="s">
        <v>1368</v>
      </c>
      <c r="C585" s="149">
        <f>DL!L582</f>
        <v>800</v>
      </c>
      <c r="D585" s="149" t="str">
        <f>DL!C582</f>
        <v>BOTT</v>
      </c>
      <c r="E585" s="150">
        <v>2950</v>
      </c>
      <c r="F585" s="463"/>
      <c r="G585" s="150"/>
      <c r="H585" s="150"/>
      <c r="I585" s="466"/>
      <c r="J585" s="150"/>
      <c r="K585" s="168"/>
      <c r="L585" s="466"/>
      <c r="M585" s="150"/>
      <c r="N585" s="466"/>
      <c r="O585" s="150"/>
      <c r="P585" s="150"/>
      <c r="Q585" s="150"/>
      <c r="R585" s="472"/>
      <c r="S585" s="466">
        <v>2400</v>
      </c>
      <c r="T585" s="150"/>
      <c r="U585" s="150"/>
      <c r="V585" s="150"/>
      <c r="W585" s="168"/>
      <c r="X585" s="150"/>
      <c r="Y585" s="466"/>
      <c r="Z585" s="455"/>
      <c r="AA585" s="150"/>
      <c r="AB585" s="490"/>
      <c r="AC585" s="150"/>
      <c r="AD585" s="150"/>
      <c r="AE585" s="466"/>
      <c r="AF585" s="499"/>
      <c r="AG585" s="150"/>
      <c r="AH585" s="150"/>
      <c r="AI585" s="150"/>
      <c r="AJ585" s="150"/>
      <c r="AK585" s="150"/>
      <c r="AL585" s="150"/>
      <c r="AM585" s="150"/>
      <c r="AN585" s="150"/>
      <c r="AO585" s="466">
        <v>2200</v>
      </c>
      <c r="AP585" s="150"/>
      <c r="AQ585" s="150"/>
      <c r="AR585" s="151"/>
      <c r="AS585" s="456"/>
      <c r="AT585" s="151"/>
      <c r="AU585" s="150"/>
      <c r="AV585" s="487"/>
      <c r="AW585" s="150"/>
      <c r="AX585" s="150"/>
      <c r="AY585" s="466"/>
      <c r="AZ585" s="150"/>
      <c r="BA585" s="150"/>
      <c r="BB585" s="150"/>
      <c r="BC585" s="466"/>
      <c r="BD585" s="150"/>
      <c r="BE585" s="466"/>
      <c r="BF585" s="466"/>
      <c r="BG585" s="150"/>
      <c r="BH585" s="150"/>
      <c r="BI585" s="150"/>
      <c r="BJ585" s="466"/>
      <c r="BK585" s="152"/>
      <c r="BL585" s="160"/>
      <c r="BM585" s="150"/>
      <c r="BN585" s="150"/>
      <c r="BO585" s="150"/>
      <c r="BP585" s="152"/>
      <c r="BQ585" s="160"/>
      <c r="BR585" s="152"/>
      <c r="BS585" s="160"/>
    </row>
    <row r="586" spans="1:71" x14ac:dyDescent="0.3">
      <c r="A586" s="420">
        <f>DL!A583</f>
        <v>531</v>
      </c>
      <c r="B586" s="19" t="s">
        <v>1369</v>
      </c>
      <c r="C586" s="149">
        <f>DL!L583</f>
        <v>52</v>
      </c>
      <c r="D586" s="149" t="str">
        <f>DL!C583</f>
        <v>BOTT</v>
      </c>
      <c r="E586" s="150"/>
      <c r="F586" s="463"/>
      <c r="G586" s="150"/>
      <c r="H586" s="150"/>
      <c r="I586" s="466"/>
      <c r="J586" s="150"/>
      <c r="K586" s="168"/>
      <c r="L586" s="466"/>
      <c r="M586" s="150"/>
      <c r="N586" s="466"/>
      <c r="O586" s="150"/>
      <c r="P586" s="150"/>
      <c r="Q586" s="150"/>
      <c r="R586" s="472"/>
      <c r="S586" s="466">
        <v>3350</v>
      </c>
      <c r="T586" s="150"/>
      <c r="U586" s="150"/>
      <c r="V586" s="150"/>
      <c r="W586" s="168"/>
      <c r="X586" s="150"/>
      <c r="Y586" s="466"/>
      <c r="Z586" s="455"/>
      <c r="AA586" s="150"/>
      <c r="AB586" s="490"/>
      <c r="AC586" s="150"/>
      <c r="AD586" s="150"/>
      <c r="AE586" s="466"/>
      <c r="AF586" s="499"/>
      <c r="AG586" s="150"/>
      <c r="AH586" s="150"/>
      <c r="AI586" s="150"/>
      <c r="AJ586" s="150"/>
      <c r="AK586" s="150"/>
      <c r="AL586" s="150"/>
      <c r="AM586" s="150"/>
      <c r="AN586" s="150"/>
      <c r="AO586" s="466"/>
      <c r="AP586" s="150"/>
      <c r="AQ586" s="150"/>
      <c r="AR586" s="151"/>
      <c r="AS586" s="456"/>
      <c r="AT586" s="151"/>
      <c r="AU586" s="150"/>
      <c r="AV586" s="487"/>
      <c r="AW586" s="150"/>
      <c r="AX586" s="150"/>
      <c r="AY586" s="466"/>
      <c r="AZ586" s="150"/>
      <c r="BA586" s="150"/>
      <c r="BB586" s="150"/>
      <c r="BC586" s="466"/>
      <c r="BD586" s="150"/>
      <c r="BE586" s="466"/>
      <c r="BF586" s="466"/>
      <c r="BG586" s="150"/>
      <c r="BH586" s="150"/>
      <c r="BI586" s="150"/>
      <c r="BJ586" s="466"/>
      <c r="BK586" s="152"/>
      <c r="BL586" s="160"/>
      <c r="BM586" s="150"/>
      <c r="BN586" s="150"/>
      <c r="BO586" s="150"/>
      <c r="BP586" s="152"/>
      <c r="BQ586" s="160"/>
      <c r="BR586" s="152"/>
      <c r="BS586" s="160"/>
    </row>
    <row r="587" spans="1:71" x14ac:dyDescent="0.3">
      <c r="A587" s="420">
        <f>DL!A584</f>
        <v>532</v>
      </c>
      <c r="B587" s="19" t="s">
        <v>1370</v>
      </c>
      <c r="C587" s="149">
        <f>DL!L584</f>
        <v>52</v>
      </c>
      <c r="D587" s="149" t="str">
        <f>DL!C584</f>
        <v>BOTT</v>
      </c>
      <c r="E587" s="150"/>
      <c r="F587" s="463"/>
      <c r="G587" s="150"/>
      <c r="H587" s="150"/>
      <c r="I587" s="466"/>
      <c r="J587" s="150"/>
      <c r="K587" s="168"/>
      <c r="L587" s="466"/>
      <c r="M587" s="150"/>
      <c r="N587" s="466"/>
      <c r="O587" s="150"/>
      <c r="P587" s="150"/>
      <c r="Q587" s="150"/>
      <c r="R587" s="472"/>
      <c r="S587" s="466">
        <v>3350</v>
      </c>
      <c r="T587" s="150"/>
      <c r="U587" s="150"/>
      <c r="V587" s="150"/>
      <c r="W587" s="168"/>
      <c r="X587" s="150"/>
      <c r="Y587" s="466"/>
      <c r="Z587" s="455"/>
      <c r="AA587" s="150"/>
      <c r="AB587" s="490"/>
      <c r="AC587" s="150"/>
      <c r="AD587" s="150"/>
      <c r="AE587" s="466"/>
      <c r="AF587" s="499"/>
      <c r="AG587" s="150"/>
      <c r="AH587" s="150"/>
      <c r="AI587" s="150"/>
      <c r="AJ587" s="150"/>
      <c r="AK587" s="150"/>
      <c r="AL587" s="150"/>
      <c r="AM587" s="150"/>
      <c r="AN587" s="150"/>
      <c r="AO587" s="466">
        <v>2500</v>
      </c>
      <c r="AP587" s="150"/>
      <c r="AQ587" s="150"/>
      <c r="AR587" s="151"/>
      <c r="AS587" s="456"/>
      <c r="AT587" s="151"/>
      <c r="AU587" s="150"/>
      <c r="AV587" s="487"/>
      <c r="AW587" s="150"/>
      <c r="AX587" s="150"/>
      <c r="AY587" s="466"/>
      <c r="AZ587" s="150"/>
      <c r="BA587" s="150"/>
      <c r="BB587" s="150"/>
      <c r="BC587" s="466"/>
      <c r="BD587" s="150"/>
      <c r="BE587" s="466"/>
      <c r="BF587" s="466"/>
      <c r="BG587" s="150"/>
      <c r="BH587" s="150"/>
      <c r="BI587" s="150"/>
      <c r="BJ587" s="466"/>
      <c r="BK587" s="152"/>
      <c r="BL587" s="160"/>
      <c r="BM587" s="150"/>
      <c r="BN587" s="150"/>
      <c r="BO587" s="150"/>
      <c r="BP587" s="152"/>
      <c r="BQ587" s="160"/>
      <c r="BR587" s="152"/>
      <c r="BS587" s="160"/>
    </row>
    <row r="588" spans="1:71" x14ac:dyDescent="0.3">
      <c r="A588" s="420">
        <f>DL!A585</f>
        <v>533</v>
      </c>
      <c r="B588" s="16" t="s">
        <v>336</v>
      </c>
      <c r="C588" s="149">
        <f>DL!L585</f>
        <v>80</v>
      </c>
      <c r="D588" s="149" t="str">
        <f>DL!C585</f>
        <v>BOTT</v>
      </c>
      <c r="E588" s="150"/>
      <c r="F588" s="463"/>
      <c r="G588" s="150"/>
      <c r="H588" s="150"/>
      <c r="I588" s="466"/>
      <c r="J588" s="150"/>
      <c r="K588" s="168"/>
      <c r="L588" s="466"/>
      <c r="M588" s="150"/>
      <c r="N588" s="466"/>
      <c r="O588" s="150"/>
      <c r="P588" s="150"/>
      <c r="Q588" s="150"/>
      <c r="R588" s="472"/>
      <c r="S588" s="466">
        <v>470</v>
      </c>
      <c r="T588" s="150"/>
      <c r="U588" s="150"/>
      <c r="V588" s="150"/>
      <c r="W588" s="168"/>
      <c r="X588" s="150"/>
      <c r="Y588" s="466"/>
      <c r="Z588" s="455"/>
      <c r="AA588" s="150"/>
      <c r="AB588" s="490"/>
      <c r="AC588" s="150"/>
      <c r="AD588" s="150"/>
      <c r="AE588" s="466"/>
      <c r="AF588" s="499"/>
      <c r="AG588" s="150"/>
      <c r="AH588" s="150"/>
      <c r="AI588" s="150"/>
      <c r="AJ588" s="150"/>
      <c r="AK588" s="150"/>
      <c r="AL588" s="150"/>
      <c r="AM588" s="150"/>
      <c r="AN588" s="150"/>
      <c r="AO588" s="466"/>
      <c r="AP588" s="150"/>
      <c r="AQ588" s="150"/>
      <c r="AR588" s="151"/>
      <c r="AS588" s="456"/>
      <c r="AT588" s="151"/>
      <c r="AU588" s="150"/>
      <c r="AV588" s="487"/>
      <c r="AW588" s="150"/>
      <c r="AX588" s="150"/>
      <c r="AY588" s="466"/>
      <c r="AZ588" s="150"/>
      <c r="BA588" s="150"/>
      <c r="BB588" s="150"/>
      <c r="BC588" s="466"/>
      <c r="BD588" s="150"/>
      <c r="BE588" s="466"/>
      <c r="BF588" s="466"/>
      <c r="BG588" s="150"/>
      <c r="BH588" s="150"/>
      <c r="BI588" s="150"/>
      <c r="BJ588" s="466"/>
      <c r="BK588" s="152"/>
      <c r="BL588" s="160"/>
      <c r="BM588" s="150"/>
      <c r="BN588" s="150"/>
      <c r="BO588" s="150">
        <v>1343</v>
      </c>
      <c r="BP588" s="152"/>
      <c r="BQ588" s="160"/>
      <c r="BR588" s="152"/>
      <c r="BS588" s="160"/>
    </row>
    <row r="589" spans="1:71" x14ac:dyDescent="0.3">
      <c r="A589" s="420">
        <f>DL!A586</f>
        <v>534</v>
      </c>
      <c r="B589" s="16" t="s">
        <v>337</v>
      </c>
      <c r="C589" s="149">
        <f>DL!L586</f>
        <v>40</v>
      </c>
      <c r="D589" s="149" t="str">
        <f>DL!C586</f>
        <v>BOTT</v>
      </c>
      <c r="E589" s="150"/>
      <c r="F589" s="463"/>
      <c r="G589" s="150"/>
      <c r="H589" s="150"/>
      <c r="I589" s="466"/>
      <c r="J589" s="150"/>
      <c r="K589" s="168"/>
      <c r="L589" s="466"/>
      <c r="M589" s="150"/>
      <c r="N589" s="466"/>
      <c r="O589" s="150"/>
      <c r="P589" s="150"/>
      <c r="Q589" s="150"/>
      <c r="R589" s="472"/>
      <c r="S589" s="466">
        <v>420</v>
      </c>
      <c r="T589" s="150"/>
      <c r="U589" s="150"/>
      <c r="V589" s="150"/>
      <c r="W589" s="168"/>
      <c r="X589" s="150"/>
      <c r="Y589" s="466"/>
      <c r="Z589" s="455"/>
      <c r="AA589" s="150"/>
      <c r="AB589" s="490"/>
      <c r="AC589" s="150"/>
      <c r="AD589" s="150"/>
      <c r="AE589" s="466"/>
      <c r="AF589" s="499"/>
      <c r="AG589" s="150"/>
      <c r="AH589" s="150"/>
      <c r="AI589" s="150"/>
      <c r="AJ589" s="150"/>
      <c r="AK589" s="150"/>
      <c r="AL589" s="150"/>
      <c r="AM589" s="150"/>
      <c r="AN589" s="150"/>
      <c r="AO589" s="466"/>
      <c r="AP589" s="150"/>
      <c r="AQ589" s="150"/>
      <c r="AR589" s="151"/>
      <c r="AS589" s="456"/>
      <c r="AT589" s="151"/>
      <c r="AU589" s="150"/>
      <c r="AV589" s="487"/>
      <c r="AW589" s="150"/>
      <c r="AX589" s="150"/>
      <c r="AY589" s="466"/>
      <c r="AZ589" s="150"/>
      <c r="BA589" s="150"/>
      <c r="BB589" s="150"/>
      <c r="BC589" s="466"/>
      <c r="BD589" s="150"/>
      <c r="BE589" s="466"/>
      <c r="BF589" s="466"/>
      <c r="BG589" s="150"/>
      <c r="BH589" s="150"/>
      <c r="BI589" s="150"/>
      <c r="BJ589" s="466"/>
      <c r="BK589" s="152"/>
      <c r="BL589" s="160"/>
      <c r="BM589" s="150"/>
      <c r="BN589" s="150"/>
      <c r="BO589" s="150">
        <v>1749</v>
      </c>
      <c r="BP589" s="152"/>
      <c r="BQ589" s="160"/>
      <c r="BR589" s="152"/>
      <c r="BS589" s="160"/>
    </row>
    <row r="590" spans="1:71" x14ac:dyDescent="0.3">
      <c r="A590" s="420">
        <f>DL!A587</f>
        <v>535</v>
      </c>
      <c r="B590" s="19" t="s">
        <v>338</v>
      </c>
      <c r="C590" s="149">
        <f>DL!L587</f>
        <v>200</v>
      </c>
      <c r="D590" s="149" t="str">
        <f>DL!C587</f>
        <v>BOTT</v>
      </c>
      <c r="E590" s="150"/>
      <c r="F590" s="463"/>
      <c r="G590" s="150"/>
      <c r="H590" s="150"/>
      <c r="I590" s="466"/>
      <c r="J590" s="150"/>
      <c r="K590" s="168"/>
      <c r="L590" s="466"/>
      <c r="M590" s="150"/>
      <c r="N590" s="466"/>
      <c r="O590" s="150">
        <v>950</v>
      </c>
      <c r="P590" s="150">
        <v>500</v>
      </c>
      <c r="Q590" s="150"/>
      <c r="R590" s="472"/>
      <c r="S590" s="466">
        <v>700</v>
      </c>
      <c r="T590" s="150"/>
      <c r="U590" s="150"/>
      <c r="V590" s="150"/>
      <c r="W590" s="168"/>
      <c r="X590" s="150"/>
      <c r="Y590" s="466"/>
      <c r="Z590" s="455"/>
      <c r="AA590" s="150"/>
      <c r="AB590" s="490"/>
      <c r="AC590" s="150"/>
      <c r="AD590" s="150"/>
      <c r="AE590" s="466"/>
      <c r="AF590" s="499"/>
      <c r="AG590" s="150"/>
      <c r="AH590" s="150"/>
      <c r="AI590" s="150"/>
      <c r="AJ590" s="150"/>
      <c r="AK590" s="150"/>
      <c r="AL590" s="150"/>
      <c r="AM590" s="150"/>
      <c r="AN590" s="150"/>
      <c r="AO590" s="466"/>
      <c r="AP590" s="150"/>
      <c r="AQ590" s="150"/>
      <c r="AR590" s="151"/>
      <c r="AS590" s="456"/>
      <c r="AT590" s="151"/>
      <c r="AU590" s="150"/>
      <c r="AV590" s="487"/>
      <c r="AW590" s="150"/>
      <c r="AX590" s="150"/>
      <c r="AY590" s="466"/>
      <c r="AZ590" s="150"/>
      <c r="BA590" s="150"/>
      <c r="BB590" s="150"/>
      <c r="BC590" s="466"/>
      <c r="BD590" s="150"/>
      <c r="BE590" s="466"/>
      <c r="BF590" s="466"/>
      <c r="BG590" s="150"/>
      <c r="BH590" s="150"/>
      <c r="BI590" s="150"/>
      <c r="BJ590" s="466"/>
      <c r="BK590" s="152"/>
      <c r="BL590" s="160"/>
      <c r="BM590" s="150"/>
      <c r="BN590" s="150"/>
      <c r="BO590" s="150"/>
      <c r="BP590" s="152"/>
      <c r="BQ590" s="160"/>
      <c r="BR590" s="152"/>
      <c r="BS590" s="160"/>
    </row>
    <row r="591" spans="1:71" x14ac:dyDescent="0.3">
      <c r="A591" s="420">
        <f>DL!A588</f>
        <v>536</v>
      </c>
      <c r="B591" s="19" t="s">
        <v>328</v>
      </c>
      <c r="C591" s="149">
        <f>DL!L588</f>
        <v>80</v>
      </c>
      <c r="D591" s="149" t="str">
        <f>DL!C588</f>
        <v>BOTT</v>
      </c>
      <c r="E591" s="150"/>
      <c r="F591" s="463"/>
      <c r="G591" s="150"/>
      <c r="H591" s="150"/>
      <c r="I591" s="466"/>
      <c r="J591" s="150"/>
      <c r="K591" s="168"/>
      <c r="L591" s="466"/>
      <c r="M591" s="150"/>
      <c r="N591" s="466"/>
      <c r="O591" s="150"/>
      <c r="P591" s="150"/>
      <c r="Q591" s="150"/>
      <c r="R591" s="472"/>
      <c r="S591" s="466">
        <v>1050</v>
      </c>
      <c r="T591" s="150"/>
      <c r="U591" s="150"/>
      <c r="V591" s="150"/>
      <c r="W591" s="168"/>
      <c r="X591" s="150"/>
      <c r="Y591" s="466"/>
      <c r="Z591" s="455"/>
      <c r="AA591" s="150"/>
      <c r="AB591" s="490"/>
      <c r="AC591" s="150"/>
      <c r="AD591" s="150"/>
      <c r="AE591" s="466"/>
      <c r="AF591" s="499"/>
      <c r="AG591" s="150"/>
      <c r="AH591" s="150"/>
      <c r="AI591" s="150"/>
      <c r="AJ591" s="150"/>
      <c r="AK591" s="150"/>
      <c r="AL591" s="150"/>
      <c r="AM591" s="150"/>
      <c r="AN591" s="150"/>
      <c r="AO591" s="466"/>
      <c r="AP591" s="150"/>
      <c r="AQ591" s="150"/>
      <c r="AR591" s="151"/>
      <c r="AS591" s="456"/>
      <c r="AT591" s="151"/>
      <c r="AU591" s="150"/>
      <c r="AV591" s="487"/>
      <c r="AW591" s="150"/>
      <c r="AX591" s="150"/>
      <c r="AY591" s="466"/>
      <c r="AZ591" s="150"/>
      <c r="BA591" s="150"/>
      <c r="BB591" s="150"/>
      <c r="BC591" s="466"/>
      <c r="BD591" s="150"/>
      <c r="BE591" s="466"/>
      <c r="BF591" s="466"/>
      <c r="BG591" s="150"/>
      <c r="BH591" s="150"/>
      <c r="BI591" s="150"/>
      <c r="BJ591" s="466"/>
      <c r="BK591" s="152"/>
      <c r="BL591" s="160"/>
      <c r="BM591" s="150"/>
      <c r="BN591" s="150"/>
      <c r="BO591" s="150"/>
      <c r="BP591" s="152"/>
      <c r="BQ591" s="160"/>
      <c r="BR591" s="152"/>
      <c r="BS591" s="160"/>
    </row>
    <row r="592" spans="1:71" x14ac:dyDescent="0.3">
      <c r="A592" s="420">
        <f>DL!A589</f>
        <v>537</v>
      </c>
      <c r="B592" s="19" t="s">
        <v>329</v>
      </c>
      <c r="C592" s="149">
        <f>DL!L589</f>
        <v>40</v>
      </c>
      <c r="D592" s="149" t="str">
        <f>DL!C589</f>
        <v>BOTT</v>
      </c>
      <c r="E592" s="150"/>
      <c r="F592" s="463"/>
      <c r="G592" s="150"/>
      <c r="H592" s="150"/>
      <c r="I592" s="466"/>
      <c r="J592" s="150"/>
      <c r="K592" s="168"/>
      <c r="L592" s="466"/>
      <c r="M592" s="150"/>
      <c r="N592" s="466"/>
      <c r="O592" s="150"/>
      <c r="P592" s="150"/>
      <c r="Q592" s="150"/>
      <c r="R592" s="472"/>
      <c r="S592" s="466">
        <v>1050</v>
      </c>
      <c r="T592" s="150"/>
      <c r="U592" s="150"/>
      <c r="V592" s="150"/>
      <c r="W592" s="168"/>
      <c r="X592" s="150"/>
      <c r="Y592" s="466"/>
      <c r="Z592" s="455"/>
      <c r="AA592" s="150"/>
      <c r="AB592" s="490"/>
      <c r="AC592" s="150"/>
      <c r="AD592" s="150"/>
      <c r="AE592" s="466"/>
      <c r="AF592" s="499"/>
      <c r="AG592" s="150"/>
      <c r="AH592" s="150"/>
      <c r="AI592" s="150"/>
      <c r="AJ592" s="150"/>
      <c r="AK592" s="150"/>
      <c r="AL592" s="150"/>
      <c r="AM592" s="150"/>
      <c r="AN592" s="150"/>
      <c r="AO592" s="466"/>
      <c r="AP592" s="150"/>
      <c r="AQ592" s="150"/>
      <c r="AR592" s="151"/>
      <c r="AS592" s="456"/>
      <c r="AT592" s="151"/>
      <c r="AU592" s="150"/>
      <c r="AV592" s="487"/>
      <c r="AW592" s="150"/>
      <c r="AX592" s="150"/>
      <c r="AY592" s="466"/>
      <c r="AZ592" s="150"/>
      <c r="BA592" s="150"/>
      <c r="BB592" s="150"/>
      <c r="BC592" s="466"/>
      <c r="BD592" s="150"/>
      <c r="BE592" s="466"/>
      <c r="BF592" s="466"/>
      <c r="BG592" s="150"/>
      <c r="BH592" s="150"/>
      <c r="BI592" s="150"/>
      <c r="BJ592" s="466"/>
      <c r="BK592" s="152"/>
      <c r="BL592" s="160"/>
      <c r="BM592" s="150"/>
      <c r="BN592" s="150"/>
      <c r="BO592" s="150"/>
      <c r="BP592" s="152"/>
      <c r="BQ592" s="160"/>
      <c r="BR592" s="152"/>
      <c r="BS592" s="160"/>
    </row>
    <row r="593" spans="1:71" x14ac:dyDescent="0.3">
      <c r="A593" s="420">
        <f>DL!A590</f>
        <v>538</v>
      </c>
      <c r="B593" s="19" t="s">
        <v>473</v>
      </c>
      <c r="C593" s="149">
        <f>DL!L590</f>
        <v>1000</v>
      </c>
      <c r="D593" s="149" t="str">
        <f>DL!C590</f>
        <v>BOTT</v>
      </c>
      <c r="E593" s="150"/>
      <c r="F593" s="463"/>
      <c r="G593" s="150"/>
      <c r="H593" s="150"/>
      <c r="I593" s="466"/>
      <c r="J593" s="150"/>
      <c r="K593" s="168"/>
      <c r="L593" s="466"/>
      <c r="M593" s="150"/>
      <c r="N593" s="466"/>
      <c r="O593" s="150"/>
      <c r="P593" s="150"/>
      <c r="Q593" s="150"/>
      <c r="R593" s="472"/>
      <c r="S593" s="466">
        <v>580</v>
      </c>
      <c r="T593" s="150"/>
      <c r="U593" s="150"/>
      <c r="V593" s="150"/>
      <c r="W593" s="168"/>
      <c r="X593" s="150"/>
      <c r="Y593" s="466"/>
      <c r="Z593" s="455"/>
      <c r="AA593" s="150"/>
      <c r="AB593" s="490"/>
      <c r="AC593" s="150"/>
      <c r="AD593" s="150"/>
      <c r="AE593" s="466"/>
      <c r="AF593" s="499"/>
      <c r="AG593" s="150"/>
      <c r="AH593" s="150"/>
      <c r="AI593" s="150"/>
      <c r="AJ593" s="150"/>
      <c r="AK593" s="150"/>
      <c r="AL593" s="150"/>
      <c r="AM593" s="150"/>
      <c r="AN593" s="150"/>
      <c r="AO593" s="466">
        <v>600</v>
      </c>
      <c r="AP593" s="150"/>
      <c r="AQ593" s="150"/>
      <c r="AR593" s="151"/>
      <c r="AS593" s="456"/>
      <c r="AT593" s="151"/>
      <c r="AU593" s="150"/>
      <c r="AV593" s="487"/>
      <c r="AW593" s="150"/>
      <c r="AX593" s="150"/>
      <c r="AY593" s="466"/>
      <c r="AZ593" s="150"/>
      <c r="BA593" s="150"/>
      <c r="BB593" s="150"/>
      <c r="BC593" s="466"/>
      <c r="BD593" s="150"/>
      <c r="BE593" s="466"/>
      <c r="BF593" s="466"/>
      <c r="BG593" s="150"/>
      <c r="BH593" s="150"/>
      <c r="BI593" s="150"/>
      <c r="BJ593" s="466"/>
      <c r="BK593" s="152"/>
      <c r="BL593" s="160"/>
      <c r="BM593" s="150"/>
      <c r="BN593" s="150"/>
      <c r="BO593" s="150"/>
      <c r="BP593" s="152"/>
      <c r="BQ593" s="160"/>
      <c r="BR593" s="152"/>
      <c r="BS593" s="160"/>
    </row>
    <row r="594" spans="1:71" x14ac:dyDescent="0.3">
      <c r="A594" s="420"/>
      <c r="B594" s="19"/>
      <c r="C594" s="149">
        <f>DL!L591</f>
        <v>0</v>
      </c>
      <c r="D594" s="149">
        <f>DL!C591</f>
        <v>0</v>
      </c>
      <c r="E594" s="150"/>
      <c r="F594" s="463"/>
      <c r="G594" s="150"/>
      <c r="H594" s="150"/>
      <c r="I594" s="466"/>
      <c r="J594" s="150"/>
      <c r="K594" s="168"/>
      <c r="L594" s="466"/>
      <c r="M594" s="150"/>
      <c r="N594" s="466"/>
      <c r="O594" s="150"/>
      <c r="P594" s="150"/>
      <c r="Q594" s="150"/>
      <c r="R594" s="472"/>
      <c r="S594" s="466"/>
      <c r="T594" s="150"/>
      <c r="U594" s="150"/>
      <c r="V594" s="150"/>
      <c r="W594" s="168"/>
      <c r="X594" s="150"/>
      <c r="Y594" s="466"/>
      <c r="Z594" s="455"/>
      <c r="AA594" s="150"/>
      <c r="AB594" s="490"/>
      <c r="AC594" s="150"/>
      <c r="AD594" s="150"/>
      <c r="AE594" s="466"/>
      <c r="AF594" s="499"/>
      <c r="AG594" s="150"/>
      <c r="AH594" s="150"/>
      <c r="AI594" s="150"/>
      <c r="AJ594" s="150"/>
      <c r="AK594" s="150"/>
      <c r="AL594" s="150"/>
      <c r="AM594" s="150"/>
      <c r="AN594" s="150"/>
      <c r="AO594" s="466"/>
      <c r="AP594" s="150"/>
      <c r="AQ594" s="150"/>
      <c r="AR594" s="151"/>
      <c r="AS594" s="456"/>
      <c r="AT594" s="151"/>
      <c r="AU594" s="150"/>
      <c r="AV594" s="487"/>
      <c r="AW594" s="150"/>
      <c r="AX594" s="150"/>
      <c r="AY594" s="466"/>
      <c r="AZ594" s="150"/>
      <c r="BA594" s="150"/>
      <c r="BB594" s="150"/>
      <c r="BC594" s="466"/>
      <c r="BD594" s="150"/>
      <c r="BE594" s="466"/>
      <c r="BF594" s="466"/>
      <c r="BG594" s="150"/>
      <c r="BH594" s="150"/>
      <c r="BI594" s="150"/>
      <c r="BJ594" s="466"/>
      <c r="BK594" s="152"/>
      <c r="BL594" s="160"/>
      <c r="BM594" s="150"/>
      <c r="BN594" s="150"/>
      <c r="BO594" s="150"/>
      <c r="BP594" s="152"/>
      <c r="BQ594" s="160"/>
      <c r="BR594" s="152"/>
      <c r="BS594" s="160"/>
    </row>
    <row r="595" spans="1:71" x14ac:dyDescent="0.3">
      <c r="A595" s="420"/>
      <c r="B595" s="19"/>
      <c r="C595" s="149">
        <f>DL!L592</f>
        <v>0</v>
      </c>
      <c r="D595" s="149">
        <f>DL!C592</f>
        <v>0</v>
      </c>
      <c r="E595" s="150"/>
      <c r="F595" s="463"/>
      <c r="G595" s="150"/>
      <c r="H595" s="150"/>
      <c r="I595" s="466"/>
      <c r="J595" s="150"/>
      <c r="K595" s="168"/>
      <c r="L595" s="466"/>
      <c r="M595" s="150"/>
      <c r="N595" s="466"/>
      <c r="O595" s="150"/>
      <c r="P595" s="150"/>
      <c r="Q595" s="150"/>
      <c r="R595" s="472"/>
      <c r="S595" s="466"/>
      <c r="T595" s="150"/>
      <c r="U595" s="150"/>
      <c r="V595" s="150"/>
      <c r="W595" s="168"/>
      <c r="X595" s="150"/>
      <c r="Y595" s="466"/>
      <c r="Z595" s="455"/>
      <c r="AA595" s="150"/>
      <c r="AB595" s="490"/>
      <c r="AC595" s="150"/>
      <c r="AD595" s="150"/>
      <c r="AE595" s="466"/>
      <c r="AF595" s="499"/>
      <c r="AG595" s="150"/>
      <c r="AH595" s="150"/>
      <c r="AI595" s="150"/>
      <c r="AJ595" s="150"/>
      <c r="AK595" s="150"/>
      <c r="AL595" s="150"/>
      <c r="AM595" s="150"/>
      <c r="AN595" s="150"/>
      <c r="AO595" s="466"/>
      <c r="AP595" s="150"/>
      <c r="AQ595" s="150"/>
      <c r="AR595" s="151"/>
      <c r="AS595" s="456"/>
      <c r="AT595" s="151"/>
      <c r="AU595" s="150"/>
      <c r="AV595" s="487"/>
      <c r="AW595" s="150"/>
      <c r="AX595" s="150"/>
      <c r="AY595" s="466"/>
      <c r="AZ595" s="150"/>
      <c r="BA595" s="150"/>
      <c r="BB595" s="150"/>
      <c r="BC595" s="466"/>
      <c r="BD595" s="150"/>
      <c r="BE595" s="466"/>
      <c r="BF595" s="466"/>
      <c r="BG595" s="150"/>
      <c r="BH595" s="150"/>
      <c r="BI595" s="150"/>
      <c r="BJ595" s="466"/>
      <c r="BK595" s="152"/>
      <c r="BL595" s="160"/>
      <c r="BM595" s="150"/>
      <c r="BN595" s="150"/>
      <c r="BO595" s="150"/>
      <c r="BP595" s="152"/>
      <c r="BQ595" s="160"/>
      <c r="BR595" s="152"/>
      <c r="BS595" s="160"/>
    </row>
    <row r="596" spans="1:71" x14ac:dyDescent="0.3">
      <c r="A596" s="420" t="str">
        <f>DL!A593</f>
        <v>LOT 12</v>
      </c>
      <c r="B596" s="19" t="s">
        <v>474</v>
      </c>
      <c r="C596" s="149">
        <f>DL!L593</f>
        <v>0</v>
      </c>
      <c r="D596" s="149">
        <f>DL!C593</f>
        <v>0</v>
      </c>
      <c r="E596" s="150"/>
      <c r="F596" s="463"/>
      <c r="G596" s="150"/>
      <c r="H596" s="150"/>
      <c r="I596" s="466"/>
      <c r="J596" s="150"/>
      <c r="K596" s="168"/>
      <c r="L596" s="466"/>
      <c r="M596" s="150"/>
      <c r="N596" s="466"/>
      <c r="O596" s="150"/>
      <c r="P596" s="150"/>
      <c r="Q596" s="150"/>
      <c r="R596" s="472"/>
      <c r="S596" s="466"/>
      <c r="T596" s="150"/>
      <c r="U596" s="150"/>
      <c r="V596" s="150"/>
      <c r="W596" s="168"/>
      <c r="X596" s="150"/>
      <c r="Y596" s="466"/>
      <c r="Z596" s="455"/>
      <c r="AA596" s="150"/>
      <c r="AB596" s="490"/>
      <c r="AC596" s="150"/>
      <c r="AD596" s="150"/>
      <c r="AE596" s="466"/>
      <c r="AF596" s="499"/>
      <c r="AG596" s="150"/>
      <c r="AH596" s="150"/>
      <c r="AI596" s="150"/>
      <c r="AJ596" s="150"/>
      <c r="AK596" s="150"/>
      <c r="AL596" s="150"/>
      <c r="AM596" s="150"/>
      <c r="AN596" s="150"/>
      <c r="AO596" s="466"/>
      <c r="AP596" s="150"/>
      <c r="AQ596" s="150"/>
      <c r="AR596" s="151"/>
      <c r="AS596" s="456"/>
      <c r="AT596" s="151"/>
      <c r="AU596" s="150"/>
      <c r="AV596" s="487"/>
      <c r="AW596" s="150"/>
      <c r="AX596" s="150"/>
      <c r="AY596" s="466"/>
      <c r="AZ596" s="150"/>
      <c r="BA596" s="150"/>
      <c r="BB596" s="150"/>
      <c r="BC596" s="466"/>
      <c r="BD596" s="150"/>
      <c r="BE596" s="466"/>
      <c r="BF596" s="466"/>
      <c r="BG596" s="150"/>
      <c r="BH596" s="150"/>
      <c r="BI596" s="150"/>
      <c r="BJ596" s="466"/>
      <c r="BK596" s="152"/>
      <c r="BL596" s="160"/>
      <c r="BM596" s="150"/>
      <c r="BN596" s="150"/>
      <c r="BO596" s="150"/>
      <c r="BP596" s="152"/>
      <c r="BQ596" s="160"/>
      <c r="BR596" s="152"/>
      <c r="BS596" s="160"/>
    </row>
    <row r="597" spans="1:71" x14ac:dyDescent="0.3">
      <c r="A597" s="420">
        <f>DL!A594</f>
        <v>539</v>
      </c>
      <c r="B597" s="19" t="s">
        <v>390</v>
      </c>
      <c r="C597" s="149">
        <f>DL!L594</f>
        <v>5</v>
      </c>
      <c r="D597" s="149" t="s">
        <v>455</v>
      </c>
      <c r="E597" s="150"/>
      <c r="F597" s="463"/>
      <c r="G597" s="150"/>
      <c r="H597" s="150"/>
      <c r="I597" s="466"/>
      <c r="J597" s="150"/>
      <c r="K597" s="168"/>
      <c r="L597" s="466"/>
      <c r="M597" s="150"/>
      <c r="N597" s="466"/>
      <c r="O597" s="150"/>
      <c r="P597" s="150"/>
      <c r="Q597" s="150"/>
      <c r="R597" s="472"/>
      <c r="S597" s="466"/>
      <c r="T597" s="150"/>
      <c r="U597" s="150"/>
      <c r="V597" s="150"/>
      <c r="W597" s="168"/>
      <c r="X597" s="150"/>
      <c r="Y597" s="466"/>
      <c r="Z597" s="455"/>
      <c r="AA597" s="150"/>
      <c r="AB597" s="490"/>
      <c r="AC597" s="150"/>
      <c r="AD597" s="150"/>
      <c r="AE597" s="466"/>
      <c r="AF597" s="499"/>
      <c r="AG597" s="150"/>
      <c r="AH597" s="150"/>
      <c r="AI597" s="150">
        <v>512</v>
      </c>
      <c r="AJ597" s="150"/>
      <c r="AK597" s="150"/>
      <c r="AL597" s="150"/>
      <c r="AM597" s="150"/>
      <c r="AN597" s="150"/>
      <c r="AO597" s="466"/>
      <c r="AP597" s="150"/>
      <c r="AQ597" s="150"/>
      <c r="AR597" s="151"/>
      <c r="AS597" s="456"/>
      <c r="AT597" s="151"/>
      <c r="AU597" s="150"/>
      <c r="AV597" s="487"/>
      <c r="AW597" s="150"/>
      <c r="AX597" s="150"/>
      <c r="AY597" s="466"/>
      <c r="AZ597" s="150"/>
      <c r="BA597" s="150"/>
      <c r="BB597" s="150"/>
      <c r="BC597" s="466"/>
      <c r="BD597" s="150"/>
      <c r="BE597" s="466"/>
      <c r="BF597" s="466"/>
      <c r="BG597" s="150"/>
      <c r="BH597" s="150"/>
      <c r="BI597" s="150"/>
      <c r="BJ597" s="466"/>
      <c r="BK597" s="152"/>
      <c r="BL597" s="160"/>
      <c r="BM597" s="150"/>
      <c r="BN597" s="150"/>
      <c r="BO597" s="150"/>
      <c r="BP597" s="152"/>
      <c r="BQ597" s="160"/>
      <c r="BR597" s="152"/>
      <c r="BS597" s="160"/>
    </row>
    <row r="598" spans="1:71" x14ac:dyDescent="0.3">
      <c r="A598" s="420">
        <f>DL!A595</f>
        <v>540</v>
      </c>
      <c r="B598" s="19" t="s">
        <v>475</v>
      </c>
      <c r="C598" s="149">
        <f>DL!L595</f>
        <v>11</v>
      </c>
      <c r="D598" s="149">
        <f>DL!C595</f>
        <v>30</v>
      </c>
      <c r="E598" s="150"/>
      <c r="F598" s="463"/>
      <c r="G598" s="150"/>
      <c r="H598" s="150"/>
      <c r="I598" s="466"/>
      <c r="J598" s="150"/>
      <c r="K598" s="168"/>
      <c r="L598" s="466"/>
      <c r="M598" s="150"/>
      <c r="N598" s="466"/>
      <c r="O598" s="150"/>
      <c r="P598" s="150"/>
      <c r="Q598" s="150"/>
      <c r="R598" s="472"/>
      <c r="S598" s="466"/>
      <c r="T598" s="150"/>
      <c r="U598" s="150"/>
      <c r="V598" s="150"/>
      <c r="W598" s="168"/>
      <c r="X598" s="150"/>
      <c r="Y598" s="466"/>
      <c r="Z598" s="455"/>
      <c r="AA598" s="150"/>
      <c r="AB598" s="490"/>
      <c r="AC598" s="150"/>
      <c r="AD598" s="150"/>
      <c r="AE598" s="466"/>
      <c r="AF598" s="499"/>
      <c r="AG598" s="150"/>
      <c r="AH598" s="150"/>
      <c r="AI598" s="150"/>
      <c r="AJ598" s="150"/>
      <c r="AK598" s="150"/>
      <c r="AL598" s="150"/>
      <c r="AM598" s="150"/>
      <c r="AN598" s="150"/>
      <c r="AO598" s="466"/>
      <c r="AP598" s="150"/>
      <c r="AQ598" s="150"/>
      <c r="AR598" s="151"/>
      <c r="AS598" s="456"/>
      <c r="AT598" s="151"/>
      <c r="AU598" s="150"/>
      <c r="AV598" s="487"/>
      <c r="AW598" s="150"/>
      <c r="AX598" s="150"/>
      <c r="AY598" s="466"/>
      <c r="AZ598" s="150"/>
      <c r="BA598" s="150"/>
      <c r="BB598" s="150"/>
      <c r="BC598" s="466"/>
      <c r="BD598" s="150"/>
      <c r="BE598" s="466"/>
      <c r="BF598" s="466"/>
      <c r="BG598" s="150"/>
      <c r="BH598" s="150"/>
      <c r="BI598" s="150"/>
      <c r="BJ598" s="466"/>
      <c r="BK598" s="152"/>
      <c r="BL598" s="160"/>
      <c r="BM598" s="150"/>
      <c r="BN598" s="150"/>
      <c r="BO598" s="150"/>
      <c r="BP598" s="152"/>
      <c r="BQ598" s="160"/>
      <c r="BR598" s="152"/>
      <c r="BS598" s="160"/>
    </row>
    <row r="599" spans="1:71" x14ac:dyDescent="0.3">
      <c r="A599" s="420">
        <f>DL!A596</f>
        <v>541</v>
      </c>
      <c r="B599" s="19" t="s">
        <v>476</v>
      </c>
      <c r="C599" s="149">
        <f>DL!L596</f>
        <v>5</v>
      </c>
      <c r="D599" s="149">
        <f>DL!C596</f>
        <v>10</v>
      </c>
      <c r="E599" s="150"/>
      <c r="F599" s="463"/>
      <c r="G599" s="150"/>
      <c r="H599" s="150"/>
      <c r="I599" s="466"/>
      <c r="J599" s="150"/>
      <c r="K599" s="168"/>
      <c r="L599" s="466"/>
      <c r="M599" s="150"/>
      <c r="N599" s="466"/>
      <c r="O599" s="150"/>
      <c r="P599" s="150"/>
      <c r="Q599" s="150"/>
      <c r="R599" s="472"/>
      <c r="S599" s="466"/>
      <c r="T599" s="150"/>
      <c r="U599" s="150"/>
      <c r="V599" s="150"/>
      <c r="W599" s="168"/>
      <c r="X599" s="150"/>
      <c r="Y599" s="466"/>
      <c r="Z599" s="455"/>
      <c r="AA599" s="150"/>
      <c r="AB599" s="490"/>
      <c r="AC599" s="150"/>
      <c r="AD599" s="150"/>
      <c r="AE599" s="466"/>
      <c r="AF599" s="499"/>
      <c r="AG599" s="150"/>
      <c r="AH599" s="150"/>
      <c r="AI599" s="150">
        <v>6500</v>
      </c>
      <c r="AJ599" s="150"/>
      <c r="AK599" s="150"/>
      <c r="AL599" s="150"/>
      <c r="AM599" s="150"/>
      <c r="AN599" s="150"/>
      <c r="AO599" s="466"/>
      <c r="AP599" s="150"/>
      <c r="AQ599" s="150"/>
      <c r="AR599" s="151"/>
      <c r="AS599" s="456"/>
      <c r="AT599" s="151"/>
      <c r="AU599" s="150"/>
      <c r="AV599" s="487"/>
      <c r="AW599" s="150"/>
      <c r="AX599" s="150"/>
      <c r="AY599" s="466"/>
      <c r="AZ599" s="150"/>
      <c r="BA599" s="150"/>
      <c r="BB599" s="150"/>
      <c r="BC599" s="466"/>
      <c r="BD599" s="150"/>
      <c r="BE599" s="466"/>
      <c r="BF599" s="466"/>
      <c r="BG599" s="150"/>
      <c r="BH599" s="150"/>
      <c r="BI599" s="150"/>
      <c r="BJ599" s="466"/>
      <c r="BK599" s="152"/>
      <c r="BL599" s="160"/>
      <c r="BM599" s="150"/>
      <c r="BN599" s="150"/>
      <c r="BO599" s="150"/>
      <c r="BP599" s="152"/>
      <c r="BQ599" s="160"/>
      <c r="BR599" s="152"/>
      <c r="BS599" s="160"/>
    </row>
    <row r="600" spans="1:71" x14ac:dyDescent="0.3">
      <c r="A600" s="420">
        <f>DL!A597</f>
        <v>542</v>
      </c>
      <c r="B600" s="19" t="s">
        <v>477</v>
      </c>
      <c r="C600" s="149">
        <f>DL!L597</f>
        <v>10</v>
      </c>
      <c r="D600" s="149">
        <f>DL!C597</f>
        <v>10</v>
      </c>
      <c r="E600" s="150"/>
      <c r="F600" s="463"/>
      <c r="G600" s="150"/>
      <c r="H600" s="150"/>
      <c r="I600" s="466"/>
      <c r="J600" s="150"/>
      <c r="K600" s="168"/>
      <c r="L600" s="466"/>
      <c r="M600" s="150"/>
      <c r="N600" s="466"/>
      <c r="O600" s="150"/>
      <c r="P600" s="150"/>
      <c r="Q600" s="150"/>
      <c r="R600" s="472"/>
      <c r="S600" s="466"/>
      <c r="T600" s="150"/>
      <c r="U600" s="150"/>
      <c r="V600" s="150"/>
      <c r="W600" s="168"/>
      <c r="X600" s="150"/>
      <c r="Y600" s="466"/>
      <c r="Z600" s="455"/>
      <c r="AA600" s="150"/>
      <c r="AB600" s="490"/>
      <c r="AC600" s="150"/>
      <c r="AD600" s="150"/>
      <c r="AE600" s="466"/>
      <c r="AF600" s="499"/>
      <c r="AG600" s="150"/>
      <c r="AH600" s="150"/>
      <c r="AI600" s="150">
        <v>50350</v>
      </c>
      <c r="AJ600" s="150"/>
      <c r="AK600" s="150"/>
      <c r="AL600" s="150"/>
      <c r="AM600" s="150"/>
      <c r="AN600" s="150"/>
      <c r="AO600" s="466"/>
      <c r="AP600" s="150"/>
      <c r="AQ600" s="150"/>
      <c r="AR600" s="151"/>
      <c r="AS600" s="456"/>
      <c r="AT600" s="151"/>
      <c r="AU600" s="150"/>
      <c r="AV600" s="487"/>
      <c r="AW600" s="150"/>
      <c r="AX600" s="150"/>
      <c r="AY600" s="466"/>
      <c r="AZ600" s="150"/>
      <c r="BA600" s="150"/>
      <c r="BB600" s="150"/>
      <c r="BC600" s="466"/>
      <c r="BD600" s="150"/>
      <c r="BE600" s="466"/>
      <c r="BF600" s="466"/>
      <c r="BG600" s="150"/>
      <c r="BH600" s="150"/>
      <c r="BI600" s="150"/>
      <c r="BJ600" s="466"/>
      <c r="BK600" s="152"/>
      <c r="BL600" s="160"/>
      <c r="BM600" s="150"/>
      <c r="BN600" s="150"/>
      <c r="BO600" s="150"/>
      <c r="BP600" s="152"/>
      <c r="BQ600" s="160"/>
      <c r="BR600" s="152"/>
      <c r="BS600" s="160"/>
    </row>
    <row r="601" spans="1:71" x14ac:dyDescent="0.3">
      <c r="A601" s="420">
        <f>DL!A598</f>
        <v>543</v>
      </c>
      <c r="B601" s="19" t="s">
        <v>692</v>
      </c>
      <c r="C601" s="149">
        <f>DL!L598</f>
        <v>26</v>
      </c>
      <c r="D601" s="149" t="str">
        <f>DL!C598</f>
        <v>VIAL</v>
      </c>
      <c r="E601" s="150"/>
      <c r="F601" s="463"/>
      <c r="G601" s="150"/>
      <c r="H601" s="150"/>
      <c r="I601" s="466"/>
      <c r="J601" s="150"/>
      <c r="K601" s="168"/>
      <c r="L601" s="466"/>
      <c r="M601" s="150"/>
      <c r="N601" s="466"/>
      <c r="O601" s="150"/>
      <c r="P601" s="150"/>
      <c r="Q601" s="150"/>
      <c r="R601" s="472"/>
      <c r="S601" s="466"/>
      <c r="T601" s="150"/>
      <c r="U601" s="150"/>
      <c r="V601" s="150"/>
      <c r="W601" s="168"/>
      <c r="X601" s="150"/>
      <c r="Y601" s="466"/>
      <c r="Z601" s="455"/>
      <c r="AA601" s="150"/>
      <c r="AB601" s="490"/>
      <c r="AC601" s="150"/>
      <c r="AD601" s="150"/>
      <c r="AE601" s="466"/>
      <c r="AF601" s="499"/>
      <c r="AG601" s="150"/>
      <c r="AH601" s="150"/>
      <c r="AI601" s="150">
        <v>15282</v>
      </c>
      <c r="AJ601" s="150"/>
      <c r="AK601" s="150"/>
      <c r="AL601" s="150"/>
      <c r="AM601" s="150"/>
      <c r="AN601" s="150"/>
      <c r="AO601" s="466"/>
      <c r="AP601" s="150"/>
      <c r="AQ601" s="150"/>
      <c r="AR601" s="151"/>
      <c r="AS601" s="456"/>
      <c r="AT601" s="151"/>
      <c r="AU601" s="150"/>
      <c r="AV601" s="487"/>
      <c r="AW601" s="150"/>
      <c r="AX601" s="150"/>
      <c r="AY601" s="466"/>
      <c r="AZ601" s="150"/>
      <c r="BA601" s="150"/>
      <c r="BB601" s="150"/>
      <c r="BC601" s="466"/>
      <c r="BD601" s="150"/>
      <c r="BE601" s="466"/>
      <c r="BF601" s="466"/>
      <c r="BG601" s="150"/>
      <c r="BH601" s="150"/>
      <c r="BI601" s="150"/>
      <c r="BJ601" s="466"/>
      <c r="BK601" s="152"/>
      <c r="BL601" s="160"/>
      <c r="BM601" s="150"/>
      <c r="BN601" s="150"/>
      <c r="BO601" s="150"/>
      <c r="BP601" s="152"/>
      <c r="BQ601" s="160"/>
      <c r="BR601" s="152"/>
      <c r="BS601" s="160"/>
    </row>
    <row r="602" spans="1:71" x14ac:dyDescent="0.3">
      <c r="A602" s="420">
        <f>DL!A599</f>
        <v>544</v>
      </c>
      <c r="B602" s="19" t="s">
        <v>478</v>
      </c>
      <c r="C602" s="149">
        <f>DL!L599</f>
        <v>10</v>
      </c>
      <c r="D602" s="149">
        <f>DL!C599</f>
        <v>50</v>
      </c>
      <c r="E602" s="150"/>
      <c r="F602" s="463"/>
      <c r="G602" s="150"/>
      <c r="H602" s="150"/>
      <c r="I602" s="466"/>
      <c r="J602" s="150"/>
      <c r="K602" s="168"/>
      <c r="L602" s="466"/>
      <c r="M602" s="150"/>
      <c r="N602" s="466"/>
      <c r="O602" s="150"/>
      <c r="P602" s="150"/>
      <c r="Q602" s="150"/>
      <c r="R602" s="472"/>
      <c r="S602" s="466"/>
      <c r="T602" s="150"/>
      <c r="U602" s="150"/>
      <c r="V602" s="150"/>
      <c r="W602" s="168"/>
      <c r="X602" s="150"/>
      <c r="Y602" s="466"/>
      <c r="Z602" s="455"/>
      <c r="AA602" s="150"/>
      <c r="AB602" s="490"/>
      <c r="AC602" s="150"/>
      <c r="AD602" s="150"/>
      <c r="AE602" s="466"/>
      <c r="AF602" s="499"/>
      <c r="AG602" s="150"/>
      <c r="AH602" s="150"/>
      <c r="AI602" s="150"/>
      <c r="AJ602" s="150"/>
      <c r="AK602" s="150"/>
      <c r="AL602" s="150"/>
      <c r="AM602" s="150"/>
      <c r="AN602" s="150"/>
      <c r="AO602" s="466"/>
      <c r="AP602" s="150"/>
      <c r="AQ602" s="150"/>
      <c r="AR602" s="151"/>
      <c r="AS602" s="456"/>
      <c r="AT602" s="151"/>
      <c r="AU602" s="150"/>
      <c r="AV602" s="487"/>
      <c r="AW602" s="150"/>
      <c r="AX602" s="150"/>
      <c r="AY602" s="466"/>
      <c r="AZ602" s="150"/>
      <c r="BA602" s="150"/>
      <c r="BB602" s="150"/>
      <c r="BC602" s="466"/>
      <c r="BD602" s="150"/>
      <c r="BE602" s="466"/>
      <c r="BF602" s="466"/>
      <c r="BG602" s="150"/>
      <c r="BH602" s="150"/>
      <c r="BI602" s="150"/>
      <c r="BJ602" s="466"/>
      <c r="BK602" s="152"/>
      <c r="BL602" s="160"/>
      <c r="BM602" s="150"/>
      <c r="BN602" s="150"/>
      <c r="BO602" s="150"/>
      <c r="BP602" s="152"/>
      <c r="BQ602" s="160"/>
      <c r="BR602" s="152"/>
      <c r="BS602" s="160"/>
    </row>
    <row r="603" spans="1:71" x14ac:dyDescent="0.3">
      <c r="A603" s="420">
        <f>DL!A600</f>
        <v>545</v>
      </c>
      <c r="B603" s="19" t="s">
        <v>479</v>
      </c>
      <c r="C603" s="149">
        <f>DL!L600</f>
        <v>11</v>
      </c>
      <c r="D603" s="149">
        <f>DL!C600</f>
        <v>10</v>
      </c>
      <c r="E603" s="150"/>
      <c r="F603" s="463"/>
      <c r="G603" s="150"/>
      <c r="H603" s="150"/>
      <c r="I603" s="466"/>
      <c r="J603" s="150"/>
      <c r="K603" s="168"/>
      <c r="L603" s="466"/>
      <c r="M603" s="150"/>
      <c r="N603" s="466"/>
      <c r="O603" s="150"/>
      <c r="P603" s="150"/>
      <c r="Q603" s="150"/>
      <c r="R603" s="472"/>
      <c r="S603" s="466"/>
      <c r="T603" s="150"/>
      <c r="U603" s="150"/>
      <c r="V603" s="150"/>
      <c r="W603" s="168"/>
      <c r="X603" s="150"/>
      <c r="Y603" s="466"/>
      <c r="Z603" s="455"/>
      <c r="AA603" s="150"/>
      <c r="AB603" s="490"/>
      <c r="AC603" s="150"/>
      <c r="AD603" s="150"/>
      <c r="AE603" s="466"/>
      <c r="AF603" s="499"/>
      <c r="AG603" s="150"/>
      <c r="AH603" s="150"/>
      <c r="AI603" s="150">
        <v>3300</v>
      </c>
      <c r="AJ603" s="150"/>
      <c r="AK603" s="150"/>
      <c r="AL603" s="150"/>
      <c r="AM603" s="150"/>
      <c r="AN603" s="150"/>
      <c r="AO603" s="466"/>
      <c r="AP603" s="150"/>
      <c r="AQ603" s="150"/>
      <c r="AR603" s="151"/>
      <c r="AS603" s="456"/>
      <c r="AT603" s="151"/>
      <c r="AU603" s="150"/>
      <c r="AV603" s="487"/>
      <c r="AW603" s="150"/>
      <c r="AX603" s="150"/>
      <c r="AY603" s="466"/>
      <c r="AZ603" s="150"/>
      <c r="BA603" s="150"/>
      <c r="BB603" s="150"/>
      <c r="BC603" s="466"/>
      <c r="BD603" s="150"/>
      <c r="BE603" s="466"/>
      <c r="BF603" s="466"/>
      <c r="BG603" s="150"/>
      <c r="BH603" s="150"/>
      <c r="BI603" s="150"/>
      <c r="BJ603" s="466"/>
      <c r="BK603" s="152"/>
      <c r="BL603" s="160"/>
      <c r="BM603" s="150"/>
      <c r="BN603" s="150"/>
      <c r="BO603" s="150"/>
      <c r="BP603" s="152"/>
      <c r="BQ603" s="160"/>
      <c r="BR603" s="152"/>
      <c r="BS603" s="160"/>
    </row>
    <row r="604" spans="1:71" x14ac:dyDescent="0.3">
      <c r="A604" s="420">
        <f>DL!A601</f>
        <v>546</v>
      </c>
      <c r="B604" s="19" t="s">
        <v>480</v>
      </c>
      <c r="C604" s="149">
        <f>DL!L601</f>
        <v>50</v>
      </c>
      <c r="D604" s="149" t="str">
        <f>DL!C601</f>
        <v>VIAL</v>
      </c>
      <c r="E604" s="150"/>
      <c r="F604" s="463"/>
      <c r="G604" s="150"/>
      <c r="H604" s="150"/>
      <c r="I604" s="466"/>
      <c r="J604" s="150"/>
      <c r="K604" s="168"/>
      <c r="L604" s="466"/>
      <c r="M604" s="150"/>
      <c r="N604" s="466"/>
      <c r="O604" s="150"/>
      <c r="P604" s="150"/>
      <c r="Q604" s="150"/>
      <c r="R604" s="472"/>
      <c r="S604" s="466"/>
      <c r="T604" s="150"/>
      <c r="U604" s="150"/>
      <c r="V604" s="150"/>
      <c r="W604" s="168"/>
      <c r="X604" s="150"/>
      <c r="Y604" s="466"/>
      <c r="Z604" s="455"/>
      <c r="AA604" s="150"/>
      <c r="AB604" s="490"/>
      <c r="AC604" s="150"/>
      <c r="AD604" s="150"/>
      <c r="AE604" s="466"/>
      <c r="AF604" s="499"/>
      <c r="AG604" s="150"/>
      <c r="AH604" s="150"/>
      <c r="AI604" s="150">
        <v>750</v>
      </c>
      <c r="AJ604" s="150"/>
      <c r="AK604" s="150"/>
      <c r="AL604" s="150"/>
      <c r="AM604" s="150"/>
      <c r="AN604" s="150"/>
      <c r="AO604" s="466"/>
      <c r="AP604" s="150"/>
      <c r="AQ604" s="150"/>
      <c r="AR604" s="151"/>
      <c r="AS604" s="456"/>
      <c r="AT604" s="151"/>
      <c r="AU604" s="150"/>
      <c r="AV604" s="487"/>
      <c r="AW604" s="150"/>
      <c r="AX604" s="150"/>
      <c r="AY604" s="466"/>
      <c r="AZ604" s="150"/>
      <c r="BA604" s="150"/>
      <c r="BB604" s="150"/>
      <c r="BC604" s="466"/>
      <c r="BD604" s="150"/>
      <c r="BE604" s="466"/>
      <c r="BF604" s="466"/>
      <c r="BG604" s="150"/>
      <c r="BH604" s="150"/>
      <c r="BI604" s="150"/>
      <c r="BJ604" s="466"/>
      <c r="BK604" s="152"/>
      <c r="BL604" s="160"/>
      <c r="BM604" s="150"/>
      <c r="BN604" s="150"/>
      <c r="BO604" s="150"/>
      <c r="BP604" s="152"/>
      <c r="BQ604" s="160"/>
      <c r="BR604" s="152"/>
      <c r="BS604" s="160"/>
    </row>
    <row r="605" spans="1:71" x14ac:dyDescent="0.3">
      <c r="A605" s="420">
        <f>DL!A602</f>
        <v>547</v>
      </c>
      <c r="B605" s="19" t="s">
        <v>481</v>
      </c>
      <c r="C605" s="149">
        <f>DL!L602</f>
        <v>20</v>
      </c>
      <c r="D605" s="149">
        <f>DL!C602</f>
        <v>100</v>
      </c>
      <c r="E605" s="150"/>
      <c r="F605" s="463"/>
      <c r="G605" s="150"/>
      <c r="H605" s="150"/>
      <c r="I605" s="466"/>
      <c r="J605" s="150"/>
      <c r="K605" s="168"/>
      <c r="L605" s="466"/>
      <c r="M605" s="150"/>
      <c r="N605" s="466"/>
      <c r="O605" s="150"/>
      <c r="P605" s="150"/>
      <c r="Q605" s="150"/>
      <c r="R605" s="472"/>
      <c r="S605" s="466"/>
      <c r="T605" s="150"/>
      <c r="U605" s="150"/>
      <c r="V605" s="150"/>
      <c r="W605" s="168"/>
      <c r="X605" s="150"/>
      <c r="Y605" s="466"/>
      <c r="Z605" s="455"/>
      <c r="AA605" s="150"/>
      <c r="AB605" s="490"/>
      <c r="AC605" s="150"/>
      <c r="AD605" s="150"/>
      <c r="AE605" s="466"/>
      <c r="AF605" s="499"/>
      <c r="AG605" s="150"/>
      <c r="AH605" s="150"/>
      <c r="AI605" s="150"/>
      <c r="AJ605" s="150"/>
      <c r="AK605" s="150"/>
      <c r="AL605" s="150"/>
      <c r="AM605" s="150"/>
      <c r="AN605" s="150"/>
      <c r="AO605" s="466"/>
      <c r="AP605" s="150"/>
      <c r="AQ605" s="150"/>
      <c r="AR605" s="151"/>
      <c r="AS605" s="456"/>
      <c r="AT605" s="151"/>
      <c r="AU605" s="150"/>
      <c r="AV605" s="487"/>
      <c r="AW605" s="150"/>
      <c r="AX605" s="150"/>
      <c r="AY605" s="466"/>
      <c r="AZ605" s="150"/>
      <c r="BA605" s="150"/>
      <c r="BB605" s="150"/>
      <c r="BC605" s="466"/>
      <c r="BD605" s="150"/>
      <c r="BE605" s="466"/>
      <c r="BF605" s="466"/>
      <c r="BG605" s="150"/>
      <c r="BH605" s="150"/>
      <c r="BI605" s="150"/>
      <c r="BJ605" s="466"/>
      <c r="BK605" s="152"/>
      <c r="BL605" s="160"/>
      <c r="BM605" s="150"/>
      <c r="BN605" s="150"/>
      <c r="BO605" s="150"/>
      <c r="BP605" s="152"/>
      <c r="BQ605" s="160"/>
      <c r="BR605" s="152"/>
      <c r="BS605" s="160"/>
    </row>
    <row r="606" spans="1:71" x14ac:dyDescent="0.3">
      <c r="A606" s="420">
        <f>DL!A603</f>
        <v>548</v>
      </c>
      <c r="B606" s="19" t="s">
        <v>482</v>
      </c>
      <c r="C606" s="149">
        <f>DL!L603</f>
        <v>20</v>
      </c>
      <c r="D606" s="149">
        <f>DL!C603</f>
        <v>30</v>
      </c>
      <c r="E606" s="150"/>
      <c r="F606" s="463"/>
      <c r="G606" s="150"/>
      <c r="H606" s="150"/>
      <c r="I606" s="466"/>
      <c r="J606" s="150"/>
      <c r="K606" s="168"/>
      <c r="L606" s="466"/>
      <c r="M606" s="150"/>
      <c r="N606" s="466"/>
      <c r="O606" s="150"/>
      <c r="P606" s="150"/>
      <c r="Q606" s="150"/>
      <c r="R606" s="472"/>
      <c r="S606" s="466"/>
      <c r="T606" s="150"/>
      <c r="U606" s="150"/>
      <c r="V606" s="150"/>
      <c r="W606" s="168"/>
      <c r="X606" s="150"/>
      <c r="Y606" s="466"/>
      <c r="Z606" s="455"/>
      <c r="AA606" s="150"/>
      <c r="AB606" s="490"/>
      <c r="AC606" s="150"/>
      <c r="AD606" s="150"/>
      <c r="AE606" s="466"/>
      <c r="AF606" s="499"/>
      <c r="AG606" s="150"/>
      <c r="AH606" s="150"/>
      <c r="AI606" s="150"/>
      <c r="AJ606" s="150"/>
      <c r="AK606" s="150"/>
      <c r="AL606" s="150"/>
      <c r="AM606" s="150"/>
      <c r="AN606" s="150"/>
      <c r="AO606" s="466"/>
      <c r="AP606" s="150"/>
      <c r="AQ606" s="150"/>
      <c r="AR606" s="151"/>
      <c r="AS606" s="456"/>
      <c r="AT606" s="151"/>
      <c r="AU606" s="150"/>
      <c r="AV606" s="487"/>
      <c r="AW606" s="150"/>
      <c r="AX606" s="150"/>
      <c r="AY606" s="466"/>
      <c r="AZ606" s="150"/>
      <c r="BA606" s="150"/>
      <c r="BB606" s="150"/>
      <c r="BC606" s="466"/>
      <c r="BD606" s="150"/>
      <c r="BE606" s="466"/>
      <c r="BF606" s="466"/>
      <c r="BG606" s="150"/>
      <c r="BH606" s="150"/>
      <c r="BI606" s="150"/>
      <c r="BJ606" s="466"/>
      <c r="BK606" s="152"/>
      <c r="BL606" s="160"/>
      <c r="BM606" s="150"/>
      <c r="BN606" s="150"/>
      <c r="BO606" s="150">
        <v>53088</v>
      </c>
      <c r="BP606" s="152"/>
      <c r="BQ606" s="160"/>
      <c r="BR606" s="152"/>
      <c r="BS606" s="160"/>
    </row>
    <row r="607" spans="1:71" x14ac:dyDescent="0.3">
      <c r="A607" s="420">
        <f>DL!A604</f>
        <v>549</v>
      </c>
      <c r="B607" s="19" t="s">
        <v>483</v>
      </c>
      <c r="C607" s="149">
        <f>DL!L604</f>
        <v>16</v>
      </c>
      <c r="D607" s="149" t="str">
        <f>DL!C604</f>
        <v>AMP</v>
      </c>
      <c r="E607" s="150"/>
      <c r="F607" s="463"/>
      <c r="G607" s="150"/>
      <c r="H607" s="150"/>
      <c r="I607" s="466"/>
      <c r="J607" s="150"/>
      <c r="K607" s="168"/>
      <c r="L607" s="466"/>
      <c r="M607" s="150"/>
      <c r="N607" s="466"/>
      <c r="O607" s="150"/>
      <c r="P607" s="150"/>
      <c r="Q607" s="150"/>
      <c r="R607" s="472"/>
      <c r="S607" s="466"/>
      <c r="T607" s="150"/>
      <c r="U607" s="150"/>
      <c r="V607" s="150"/>
      <c r="W607" s="168"/>
      <c r="X607" s="150"/>
      <c r="Y607" s="466"/>
      <c r="Z607" s="455"/>
      <c r="AA607" s="150"/>
      <c r="AB607" s="490"/>
      <c r="AC607" s="150"/>
      <c r="AD607" s="150"/>
      <c r="AE607" s="466"/>
      <c r="AF607" s="499"/>
      <c r="AG607" s="150"/>
      <c r="AH607" s="150"/>
      <c r="AI607" s="150">
        <v>3851</v>
      </c>
      <c r="AJ607" s="150"/>
      <c r="AK607" s="150"/>
      <c r="AL607" s="150"/>
      <c r="AM607" s="150"/>
      <c r="AN607" s="150"/>
      <c r="AO607" s="466"/>
      <c r="AP607" s="150"/>
      <c r="AQ607" s="150"/>
      <c r="AR607" s="151"/>
      <c r="AS607" s="456"/>
      <c r="AT607" s="151"/>
      <c r="AU607" s="150"/>
      <c r="AV607" s="487"/>
      <c r="AW607" s="150"/>
      <c r="AX607" s="150"/>
      <c r="AY607" s="466"/>
      <c r="AZ607" s="150"/>
      <c r="BA607" s="150"/>
      <c r="BB607" s="150"/>
      <c r="BC607" s="466"/>
      <c r="BD607" s="150"/>
      <c r="BE607" s="466"/>
      <c r="BF607" s="466"/>
      <c r="BG607" s="150"/>
      <c r="BH607" s="150"/>
      <c r="BI607" s="150"/>
      <c r="BJ607" s="466"/>
      <c r="BK607" s="152"/>
      <c r="BL607" s="160"/>
      <c r="BM607" s="150"/>
      <c r="BN607" s="150"/>
      <c r="BO607" s="150"/>
      <c r="BP607" s="152"/>
      <c r="BQ607" s="160"/>
      <c r="BR607" s="152"/>
      <c r="BS607" s="160"/>
    </row>
    <row r="608" spans="1:71" x14ac:dyDescent="0.3">
      <c r="A608" s="420">
        <f>DL!A605</f>
        <v>550</v>
      </c>
      <c r="B608" s="19" t="s">
        <v>484</v>
      </c>
      <c r="C608" s="149">
        <f>DL!L605</f>
        <v>50</v>
      </c>
      <c r="D608" s="149" t="str">
        <f>DL!C605</f>
        <v>VIAL</v>
      </c>
      <c r="E608" s="150"/>
      <c r="F608" s="463"/>
      <c r="G608" s="150"/>
      <c r="H608" s="150"/>
      <c r="I608" s="466"/>
      <c r="J608" s="150"/>
      <c r="K608" s="168"/>
      <c r="L608" s="466"/>
      <c r="M608" s="150"/>
      <c r="N608" s="466"/>
      <c r="O608" s="150"/>
      <c r="P608" s="150"/>
      <c r="Q608" s="150"/>
      <c r="R608" s="472"/>
      <c r="S608" s="466"/>
      <c r="T608" s="150"/>
      <c r="U608" s="150"/>
      <c r="V608" s="150"/>
      <c r="W608" s="168"/>
      <c r="X608" s="150"/>
      <c r="Y608" s="466"/>
      <c r="Z608" s="455"/>
      <c r="AA608" s="150"/>
      <c r="AB608" s="490"/>
      <c r="AC608" s="150"/>
      <c r="AD608" s="150"/>
      <c r="AE608" s="466"/>
      <c r="AF608" s="499"/>
      <c r="AG608" s="150"/>
      <c r="AH608" s="150"/>
      <c r="AI608" s="150"/>
      <c r="AJ608" s="150"/>
      <c r="AK608" s="150"/>
      <c r="AL608" s="150"/>
      <c r="AM608" s="150"/>
      <c r="AN608" s="150"/>
      <c r="AO608" s="466"/>
      <c r="AP608" s="150"/>
      <c r="AQ608" s="150"/>
      <c r="AR608" s="151"/>
      <c r="AS608" s="456"/>
      <c r="AT608" s="151"/>
      <c r="AU608" s="150"/>
      <c r="AV608" s="487"/>
      <c r="AW608" s="150"/>
      <c r="AX608" s="150"/>
      <c r="AY608" s="466"/>
      <c r="AZ608" s="150"/>
      <c r="BA608" s="150"/>
      <c r="BB608" s="150"/>
      <c r="BC608" s="466"/>
      <c r="BD608" s="150"/>
      <c r="BE608" s="466"/>
      <c r="BF608" s="466"/>
      <c r="BG608" s="150"/>
      <c r="BH608" s="150"/>
      <c r="BI608" s="150"/>
      <c r="BJ608" s="466"/>
      <c r="BK608" s="152"/>
      <c r="BL608" s="160"/>
      <c r="BM608" s="150"/>
      <c r="BN608" s="150"/>
      <c r="BO608" s="150">
        <v>34800</v>
      </c>
      <c r="BP608" s="152"/>
      <c r="BQ608" s="160"/>
      <c r="BR608" s="152"/>
      <c r="BS608" s="160"/>
    </row>
    <row r="609" spans="1:71" x14ac:dyDescent="0.3">
      <c r="A609" s="420">
        <f>DL!A606</f>
        <v>551</v>
      </c>
      <c r="B609" s="19" t="s">
        <v>485</v>
      </c>
      <c r="C609" s="149">
        <f>DL!L606</f>
        <v>10</v>
      </c>
      <c r="D609" s="149">
        <f>DL!C606</f>
        <v>10</v>
      </c>
      <c r="E609" s="150"/>
      <c r="F609" s="463"/>
      <c r="G609" s="150"/>
      <c r="H609" s="150"/>
      <c r="I609" s="468">
        <v>56000</v>
      </c>
      <c r="J609" s="150"/>
      <c r="K609" s="168"/>
      <c r="L609" s="466"/>
      <c r="M609" s="150"/>
      <c r="N609" s="466"/>
      <c r="O609" s="150"/>
      <c r="P609" s="150"/>
      <c r="Q609" s="150"/>
      <c r="R609" s="472"/>
      <c r="S609" s="466"/>
      <c r="T609" s="150"/>
      <c r="U609" s="150"/>
      <c r="V609" s="150"/>
      <c r="W609" s="168"/>
      <c r="X609" s="150"/>
      <c r="Y609" s="466"/>
      <c r="Z609" s="455"/>
      <c r="AA609" s="150"/>
      <c r="AB609" s="490"/>
      <c r="AC609" s="150"/>
      <c r="AD609" s="150"/>
      <c r="AE609" s="466"/>
      <c r="AF609" s="499"/>
      <c r="AG609" s="150"/>
      <c r="AH609" s="150"/>
      <c r="AI609" s="150">
        <v>22454</v>
      </c>
      <c r="AJ609" s="150"/>
      <c r="AK609" s="150"/>
      <c r="AL609" s="150"/>
      <c r="AM609" s="150"/>
      <c r="AN609" s="150"/>
      <c r="AO609" s="466"/>
      <c r="AP609" s="150"/>
      <c r="AQ609" s="150"/>
      <c r="AR609" s="151"/>
      <c r="AS609" s="456"/>
      <c r="AT609" s="151"/>
      <c r="AU609" s="150"/>
      <c r="AV609" s="487"/>
      <c r="AW609" s="150"/>
      <c r="AX609" s="150"/>
      <c r="AY609" s="466"/>
      <c r="AZ609" s="150"/>
      <c r="BA609" s="150"/>
      <c r="BB609" s="150"/>
      <c r="BC609" s="466"/>
      <c r="BD609" s="150"/>
      <c r="BE609" s="466"/>
      <c r="BF609" s="466"/>
      <c r="BG609" s="150"/>
      <c r="BH609" s="150"/>
      <c r="BI609" s="150"/>
      <c r="BJ609" s="466"/>
      <c r="BK609" s="152"/>
      <c r="BL609" s="160"/>
      <c r="BM609" s="150"/>
      <c r="BN609" s="150"/>
      <c r="BO609" s="150">
        <v>56000</v>
      </c>
      <c r="BP609" s="152"/>
      <c r="BQ609" s="160"/>
      <c r="BR609" s="152"/>
      <c r="BS609" s="160"/>
    </row>
    <row r="610" spans="1:71" x14ac:dyDescent="0.3">
      <c r="A610" s="420">
        <f>DL!A607</f>
        <v>552</v>
      </c>
      <c r="B610" s="19" t="s">
        <v>486</v>
      </c>
      <c r="C610" s="149">
        <f>DL!L607</f>
        <v>11</v>
      </c>
      <c r="D610" s="149" t="s">
        <v>455</v>
      </c>
      <c r="E610" s="150"/>
      <c r="F610" s="463"/>
      <c r="G610" s="150"/>
      <c r="H610" s="150"/>
      <c r="I610" s="466"/>
      <c r="J610" s="150"/>
      <c r="K610" s="168"/>
      <c r="L610" s="466"/>
      <c r="M610" s="150"/>
      <c r="N610" s="466"/>
      <c r="O610" s="150"/>
      <c r="P610" s="150"/>
      <c r="Q610" s="150"/>
      <c r="R610" s="472"/>
      <c r="S610" s="466"/>
      <c r="T610" s="150"/>
      <c r="U610" s="150"/>
      <c r="V610" s="150"/>
      <c r="W610" s="168"/>
      <c r="X610" s="150"/>
      <c r="Y610" s="466"/>
      <c r="Z610" s="455"/>
      <c r="AA610" s="150"/>
      <c r="AB610" s="490"/>
      <c r="AC610" s="150"/>
      <c r="AD610" s="150"/>
      <c r="AE610" s="466"/>
      <c r="AF610" s="499"/>
      <c r="AG610" s="150"/>
      <c r="AH610" s="150"/>
      <c r="AI610" s="150">
        <v>3350</v>
      </c>
      <c r="AJ610" s="150"/>
      <c r="AK610" s="150"/>
      <c r="AL610" s="150"/>
      <c r="AM610" s="150"/>
      <c r="AN610" s="150"/>
      <c r="AO610" s="466"/>
      <c r="AP610" s="150"/>
      <c r="AQ610" s="150"/>
      <c r="AR610" s="151"/>
      <c r="AS610" s="456"/>
      <c r="AT610" s="151"/>
      <c r="AU610" s="150"/>
      <c r="AV610" s="487"/>
      <c r="AW610" s="150"/>
      <c r="AX610" s="150"/>
      <c r="AY610" s="466"/>
      <c r="AZ610" s="150"/>
      <c r="BA610" s="150"/>
      <c r="BB610" s="150"/>
      <c r="BC610" s="466"/>
      <c r="BD610" s="150"/>
      <c r="BE610" s="466"/>
      <c r="BF610" s="466"/>
      <c r="BG610" s="150"/>
      <c r="BH610" s="150"/>
      <c r="BI610" s="150"/>
      <c r="BJ610" s="466"/>
      <c r="BK610" s="152"/>
      <c r="BL610" s="160"/>
      <c r="BM610" s="150"/>
      <c r="BN610" s="150"/>
      <c r="BO610" s="150"/>
      <c r="BP610" s="152"/>
      <c r="BQ610" s="160"/>
      <c r="BR610" s="152"/>
      <c r="BS610" s="160"/>
    </row>
    <row r="611" spans="1:71" x14ac:dyDescent="0.3">
      <c r="A611" s="420">
        <f>DL!A608</f>
        <v>553</v>
      </c>
      <c r="B611" s="19" t="s">
        <v>487</v>
      </c>
      <c r="C611" s="149">
        <f>DL!L608</f>
        <v>10</v>
      </c>
      <c r="D611" s="149">
        <f>DL!C608</f>
        <v>10</v>
      </c>
      <c r="E611" s="150"/>
      <c r="F611" s="463"/>
      <c r="G611" s="150"/>
      <c r="H611" s="150"/>
      <c r="I611" s="466"/>
      <c r="J611" s="150"/>
      <c r="K611" s="168"/>
      <c r="L611" s="466"/>
      <c r="M611" s="150"/>
      <c r="N611" s="466"/>
      <c r="O611" s="150"/>
      <c r="P611" s="150"/>
      <c r="Q611" s="150"/>
      <c r="R611" s="472"/>
      <c r="S611" s="466"/>
      <c r="T611" s="150"/>
      <c r="U611" s="150"/>
      <c r="V611" s="150"/>
      <c r="W611" s="168"/>
      <c r="X611" s="150"/>
      <c r="Y611" s="466"/>
      <c r="Z611" s="455"/>
      <c r="AA611" s="150"/>
      <c r="AB611" s="490"/>
      <c r="AC611" s="150"/>
      <c r="AD611" s="150"/>
      <c r="AE611" s="466"/>
      <c r="AF611" s="499"/>
      <c r="AG611" s="150"/>
      <c r="AH611" s="150"/>
      <c r="AI611" s="150">
        <v>1948</v>
      </c>
      <c r="AJ611" s="150"/>
      <c r="AK611" s="150"/>
      <c r="AL611" s="150"/>
      <c r="AM611" s="150"/>
      <c r="AN611" s="150"/>
      <c r="AO611" s="466"/>
      <c r="AP611" s="150"/>
      <c r="AQ611" s="150"/>
      <c r="AR611" s="151"/>
      <c r="AS611" s="456"/>
      <c r="AT611" s="151"/>
      <c r="AU611" s="150"/>
      <c r="AV611" s="487"/>
      <c r="AW611" s="150"/>
      <c r="AX611" s="150"/>
      <c r="AY611" s="466"/>
      <c r="AZ611" s="150"/>
      <c r="BA611" s="150"/>
      <c r="BB611" s="150"/>
      <c r="BC611" s="466"/>
      <c r="BD611" s="150"/>
      <c r="BE611" s="466"/>
      <c r="BF611" s="466"/>
      <c r="BG611" s="150"/>
      <c r="BH611" s="150"/>
      <c r="BI611" s="150"/>
      <c r="BJ611" s="466"/>
      <c r="BK611" s="152"/>
      <c r="BL611" s="160"/>
      <c r="BM611" s="150"/>
      <c r="BN611" s="150"/>
      <c r="BO611" s="150"/>
      <c r="BP611" s="152"/>
      <c r="BQ611" s="160"/>
      <c r="BR611" s="152"/>
      <c r="BS611" s="160"/>
    </row>
    <row r="612" spans="1:71" x14ac:dyDescent="0.3">
      <c r="A612" s="420">
        <f>DL!A609</f>
        <v>554</v>
      </c>
      <c r="B612" s="19" t="s">
        <v>400</v>
      </c>
      <c r="C612" s="149">
        <f>DL!L609</f>
        <v>6</v>
      </c>
      <c r="D612" s="149">
        <f>DL!C609</f>
        <v>1</v>
      </c>
      <c r="E612" s="150"/>
      <c r="F612" s="463"/>
      <c r="G612" s="150"/>
      <c r="H612" s="150"/>
      <c r="I612" s="466"/>
      <c r="J612" s="150"/>
      <c r="K612" s="168"/>
      <c r="L612" s="466"/>
      <c r="M612" s="150"/>
      <c r="N612" s="466"/>
      <c r="O612" s="150"/>
      <c r="P612" s="150"/>
      <c r="Q612" s="150"/>
      <c r="R612" s="472"/>
      <c r="S612" s="466"/>
      <c r="T612" s="150"/>
      <c r="U612" s="150"/>
      <c r="V612" s="150"/>
      <c r="W612" s="168"/>
      <c r="X612" s="150"/>
      <c r="Y612" s="466"/>
      <c r="Z612" s="455"/>
      <c r="AA612" s="150"/>
      <c r="AB612" s="490"/>
      <c r="AC612" s="150"/>
      <c r="AD612" s="150"/>
      <c r="AE612" s="466"/>
      <c r="AF612" s="499"/>
      <c r="AG612" s="150"/>
      <c r="AH612" s="150"/>
      <c r="AI612" s="150"/>
      <c r="AJ612" s="150"/>
      <c r="AK612" s="150"/>
      <c r="AL612" s="150"/>
      <c r="AM612" s="150"/>
      <c r="AN612" s="150"/>
      <c r="AO612" s="466"/>
      <c r="AP612" s="150"/>
      <c r="AQ612" s="150"/>
      <c r="AR612" s="151"/>
      <c r="AS612" s="456"/>
      <c r="AT612" s="151"/>
      <c r="AU612" s="150"/>
      <c r="AV612" s="487"/>
      <c r="AW612" s="150"/>
      <c r="AX612" s="150"/>
      <c r="AY612" s="466"/>
      <c r="AZ612" s="150"/>
      <c r="BA612" s="150"/>
      <c r="BB612" s="150"/>
      <c r="BC612" s="466"/>
      <c r="BD612" s="150"/>
      <c r="BE612" s="466"/>
      <c r="BF612" s="466"/>
      <c r="BG612" s="150"/>
      <c r="BH612" s="150"/>
      <c r="BI612" s="150"/>
      <c r="BJ612" s="466"/>
      <c r="BK612" s="152"/>
      <c r="BL612" s="160"/>
      <c r="BM612" s="150"/>
      <c r="BN612" s="150"/>
      <c r="BO612" s="150">
        <v>120000</v>
      </c>
      <c r="BP612" s="152"/>
      <c r="BQ612" s="160"/>
      <c r="BR612" s="152"/>
      <c r="BS612" s="160"/>
    </row>
    <row r="613" spans="1:71" x14ac:dyDescent="0.3">
      <c r="A613" s="420">
        <f>DL!A610</f>
        <v>555</v>
      </c>
      <c r="B613" s="19" t="s">
        <v>488</v>
      </c>
      <c r="C613" s="149">
        <f>DL!L610</f>
        <v>5</v>
      </c>
      <c r="D613" s="149">
        <f>DL!C610</f>
        <v>100</v>
      </c>
      <c r="E613" s="150"/>
      <c r="F613" s="463"/>
      <c r="G613" s="150"/>
      <c r="H613" s="150"/>
      <c r="I613" s="466"/>
      <c r="J613" s="150"/>
      <c r="K613" s="168"/>
      <c r="L613" s="466"/>
      <c r="M613" s="150"/>
      <c r="N613" s="466"/>
      <c r="O613" s="150"/>
      <c r="P613" s="150"/>
      <c r="Q613" s="150"/>
      <c r="R613" s="472"/>
      <c r="S613" s="466"/>
      <c r="T613" s="150"/>
      <c r="U613" s="150"/>
      <c r="V613" s="150"/>
      <c r="W613" s="168"/>
      <c r="X613" s="150"/>
      <c r="Y613" s="466"/>
      <c r="Z613" s="455"/>
      <c r="AA613" s="150"/>
      <c r="AB613" s="490"/>
      <c r="AC613" s="150"/>
      <c r="AD613" s="150"/>
      <c r="AE613" s="466"/>
      <c r="AF613" s="499"/>
      <c r="AG613" s="150"/>
      <c r="AH613" s="150"/>
      <c r="AI613" s="150">
        <v>9000</v>
      </c>
      <c r="AJ613" s="150"/>
      <c r="AK613" s="150"/>
      <c r="AL613" s="150"/>
      <c r="AM613" s="150"/>
      <c r="AN613" s="150"/>
      <c r="AO613" s="466"/>
      <c r="AP613" s="150"/>
      <c r="AQ613" s="150"/>
      <c r="AR613" s="151"/>
      <c r="AS613" s="456"/>
      <c r="AT613" s="151"/>
      <c r="AU613" s="150"/>
      <c r="AV613" s="487"/>
      <c r="AW613" s="150"/>
      <c r="AX613" s="150"/>
      <c r="AY613" s="466"/>
      <c r="AZ613" s="150"/>
      <c r="BA613" s="150"/>
      <c r="BB613" s="150"/>
      <c r="BC613" s="466"/>
      <c r="BD613" s="150"/>
      <c r="BE613" s="466"/>
      <c r="BF613" s="466"/>
      <c r="BG613" s="150"/>
      <c r="BH613" s="150"/>
      <c r="BI613" s="150"/>
      <c r="BJ613" s="466"/>
      <c r="BK613" s="152"/>
      <c r="BL613" s="160"/>
      <c r="BM613" s="150"/>
      <c r="BN613" s="150"/>
      <c r="BO613" s="150"/>
      <c r="BP613" s="152"/>
      <c r="BQ613" s="160"/>
      <c r="BR613" s="152"/>
      <c r="BS613" s="160"/>
    </row>
    <row r="614" spans="1:71" x14ac:dyDescent="0.3">
      <c r="A614" s="420">
        <f>DL!A611</f>
        <v>556</v>
      </c>
      <c r="B614" s="19" t="s">
        <v>1371</v>
      </c>
      <c r="C614" s="149">
        <f>DL!L611</f>
        <v>20</v>
      </c>
      <c r="D614" s="149" t="str">
        <f>DL!C611</f>
        <v>VIAL</v>
      </c>
      <c r="E614" s="150"/>
      <c r="F614" s="463"/>
      <c r="G614" s="150"/>
      <c r="H614" s="150"/>
      <c r="I614" s="466"/>
      <c r="J614" s="150"/>
      <c r="K614" s="168"/>
      <c r="L614" s="466"/>
      <c r="M614" s="150"/>
      <c r="N614" s="466"/>
      <c r="O614" s="150"/>
      <c r="P614" s="150"/>
      <c r="Q614" s="150"/>
      <c r="R614" s="472"/>
      <c r="S614" s="466"/>
      <c r="T614" s="150"/>
      <c r="U614" s="150"/>
      <c r="V614" s="150"/>
      <c r="W614" s="168"/>
      <c r="X614" s="150"/>
      <c r="Y614" s="466"/>
      <c r="Z614" s="455"/>
      <c r="AA614" s="150"/>
      <c r="AB614" s="490"/>
      <c r="AC614" s="150"/>
      <c r="AD614" s="150"/>
      <c r="AE614" s="466"/>
      <c r="AF614" s="499"/>
      <c r="AG614" s="150"/>
      <c r="AH614" s="150"/>
      <c r="AI614" s="150">
        <v>9310</v>
      </c>
      <c r="AJ614" s="150"/>
      <c r="AK614" s="150"/>
      <c r="AL614" s="150"/>
      <c r="AM614" s="150"/>
      <c r="AN614" s="150"/>
      <c r="AO614" s="466"/>
      <c r="AP614" s="150"/>
      <c r="AQ614" s="150"/>
      <c r="AR614" s="151"/>
      <c r="AS614" s="456"/>
      <c r="AT614" s="151"/>
      <c r="AU614" s="150"/>
      <c r="AV614" s="487"/>
      <c r="AW614" s="150"/>
      <c r="AX614" s="150"/>
      <c r="AY614" s="466"/>
      <c r="AZ614" s="150"/>
      <c r="BA614" s="150"/>
      <c r="BB614" s="150"/>
      <c r="BC614" s="466"/>
      <c r="BD614" s="150"/>
      <c r="BE614" s="466"/>
      <c r="BF614" s="466"/>
      <c r="BG614" s="150"/>
      <c r="BH614" s="150"/>
      <c r="BI614" s="150"/>
      <c r="BJ614" s="466"/>
      <c r="BK614" s="152"/>
      <c r="BL614" s="160"/>
      <c r="BM614" s="150"/>
      <c r="BN614" s="150"/>
      <c r="BO614" s="150"/>
      <c r="BP614" s="152"/>
      <c r="BQ614" s="160"/>
      <c r="BR614" s="152"/>
      <c r="BS614" s="160"/>
    </row>
    <row r="615" spans="1:71" x14ac:dyDescent="0.3">
      <c r="A615" s="420">
        <f>DL!A612</f>
        <v>557</v>
      </c>
      <c r="B615" s="19" t="s">
        <v>2232</v>
      </c>
      <c r="C615" s="149">
        <f>DL!L612</f>
        <v>20</v>
      </c>
      <c r="D615" s="149" t="str">
        <f>DL!C612</f>
        <v>VIAL</v>
      </c>
      <c r="E615" s="150"/>
      <c r="F615" s="463"/>
      <c r="G615" s="150"/>
      <c r="H615" s="150"/>
      <c r="I615" s="466"/>
      <c r="J615" s="150"/>
      <c r="K615" s="168"/>
      <c r="L615" s="466"/>
      <c r="M615" s="150"/>
      <c r="N615" s="466"/>
      <c r="O615" s="150"/>
      <c r="P615" s="150"/>
      <c r="Q615" s="150"/>
      <c r="R615" s="472"/>
      <c r="S615" s="466"/>
      <c r="T615" s="150"/>
      <c r="U615" s="150"/>
      <c r="V615" s="150"/>
      <c r="W615" s="168"/>
      <c r="X615" s="150"/>
      <c r="Y615" s="466"/>
      <c r="Z615" s="455"/>
      <c r="AA615" s="150"/>
      <c r="AB615" s="490"/>
      <c r="AC615" s="150"/>
      <c r="AD615" s="150"/>
      <c r="AE615" s="466"/>
      <c r="AF615" s="499"/>
      <c r="AG615" s="150"/>
      <c r="AH615" s="150"/>
      <c r="AI615" s="150"/>
      <c r="AJ615" s="150"/>
      <c r="AK615" s="150"/>
      <c r="AL615" s="150"/>
      <c r="AM615" s="150"/>
      <c r="AN615" s="150"/>
      <c r="AO615" s="466"/>
      <c r="AP615" s="150"/>
      <c r="AQ615" s="150"/>
      <c r="AR615" s="151"/>
      <c r="AS615" s="456"/>
      <c r="AT615" s="151"/>
      <c r="AU615" s="150"/>
      <c r="AV615" s="487"/>
      <c r="AW615" s="150"/>
      <c r="AX615" s="150"/>
      <c r="AY615" s="466"/>
      <c r="AZ615" s="150"/>
      <c r="BA615" s="150"/>
      <c r="BB615" s="150"/>
      <c r="BC615" s="466"/>
      <c r="BD615" s="150"/>
      <c r="BE615" s="466"/>
      <c r="BF615" s="466"/>
      <c r="BG615" s="150"/>
      <c r="BH615" s="150"/>
      <c r="BI615" s="150"/>
      <c r="BJ615" s="466"/>
      <c r="BK615" s="152"/>
      <c r="BL615" s="160"/>
      <c r="BM615" s="150"/>
      <c r="BN615" s="150"/>
      <c r="BO615" s="150"/>
      <c r="BP615" s="152"/>
      <c r="BQ615" s="160"/>
      <c r="BR615" s="152"/>
      <c r="BS615" s="160"/>
    </row>
    <row r="616" spans="1:71" x14ac:dyDescent="0.3">
      <c r="A616" s="420">
        <f>DL!A613</f>
        <v>558</v>
      </c>
      <c r="B616" s="19" t="s">
        <v>1373</v>
      </c>
      <c r="C616" s="149">
        <f>DL!L613</f>
        <v>20</v>
      </c>
      <c r="D616" s="149" t="str">
        <f>DL!C613</f>
        <v>VIAL</v>
      </c>
      <c r="E616" s="150"/>
      <c r="F616" s="463"/>
      <c r="G616" s="150"/>
      <c r="H616" s="150"/>
      <c r="I616" s="466"/>
      <c r="J616" s="150"/>
      <c r="K616" s="168"/>
      <c r="L616" s="466"/>
      <c r="M616" s="150"/>
      <c r="N616" s="466"/>
      <c r="O616" s="150"/>
      <c r="P616" s="150"/>
      <c r="Q616" s="150"/>
      <c r="R616" s="472"/>
      <c r="S616" s="466"/>
      <c r="T616" s="150"/>
      <c r="U616" s="150"/>
      <c r="V616" s="150"/>
      <c r="W616" s="168"/>
      <c r="X616" s="150"/>
      <c r="Y616" s="466"/>
      <c r="Z616" s="455"/>
      <c r="AA616" s="150"/>
      <c r="AB616" s="490"/>
      <c r="AC616" s="150"/>
      <c r="AD616" s="150"/>
      <c r="AE616" s="466"/>
      <c r="AF616" s="499"/>
      <c r="AG616" s="150"/>
      <c r="AH616" s="150"/>
      <c r="AI616" s="150"/>
      <c r="AJ616" s="150"/>
      <c r="AK616" s="150"/>
      <c r="AL616" s="150"/>
      <c r="AM616" s="150"/>
      <c r="AN616" s="150"/>
      <c r="AO616" s="466"/>
      <c r="AP616" s="150"/>
      <c r="AQ616" s="150"/>
      <c r="AR616" s="151"/>
      <c r="AS616" s="456"/>
      <c r="AT616" s="151"/>
      <c r="AU616" s="150"/>
      <c r="AV616" s="487"/>
      <c r="AW616" s="150"/>
      <c r="AX616" s="150"/>
      <c r="AY616" s="466"/>
      <c r="AZ616" s="150"/>
      <c r="BA616" s="150"/>
      <c r="BB616" s="150"/>
      <c r="BC616" s="466"/>
      <c r="BD616" s="150"/>
      <c r="BE616" s="466"/>
      <c r="BF616" s="466"/>
      <c r="BG616" s="150"/>
      <c r="BH616" s="150"/>
      <c r="BI616" s="150"/>
      <c r="BJ616" s="466"/>
      <c r="BK616" s="152"/>
      <c r="BL616" s="160"/>
      <c r="BM616" s="150"/>
      <c r="BN616" s="150"/>
      <c r="BO616" s="150"/>
      <c r="BP616" s="152"/>
      <c r="BQ616" s="160"/>
      <c r="BR616" s="152"/>
      <c r="BS616" s="160"/>
    </row>
    <row r="617" spans="1:71" x14ac:dyDescent="0.3">
      <c r="A617" s="420">
        <f>DL!A614</f>
        <v>559</v>
      </c>
      <c r="B617" s="19" t="s">
        <v>489</v>
      </c>
      <c r="C617" s="149">
        <f>DL!L614</f>
        <v>22</v>
      </c>
      <c r="D617" s="149">
        <f>DL!C614</f>
        <v>30</v>
      </c>
      <c r="E617" s="150"/>
      <c r="F617" s="463"/>
      <c r="G617" s="150"/>
      <c r="H617" s="150"/>
      <c r="I617" s="466"/>
      <c r="J617" s="150"/>
      <c r="K617" s="168"/>
      <c r="L617" s="466"/>
      <c r="M617" s="150"/>
      <c r="N617" s="466"/>
      <c r="O617" s="150"/>
      <c r="P617" s="150"/>
      <c r="Q617" s="150"/>
      <c r="R617" s="472"/>
      <c r="S617" s="466"/>
      <c r="T617" s="150"/>
      <c r="U617" s="150"/>
      <c r="V617" s="150"/>
      <c r="W617" s="168"/>
      <c r="X617" s="150"/>
      <c r="Y617" s="466"/>
      <c r="Z617" s="455"/>
      <c r="AA617" s="150"/>
      <c r="AB617" s="490"/>
      <c r="AC617" s="150"/>
      <c r="AD617" s="150"/>
      <c r="AE617" s="466"/>
      <c r="AF617" s="499"/>
      <c r="AG617" s="150"/>
      <c r="AH617" s="150"/>
      <c r="AI617" s="150">
        <v>14040</v>
      </c>
      <c r="AJ617" s="150"/>
      <c r="AK617" s="150"/>
      <c r="AL617" s="150"/>
      <c r="AM617" s="150"/>
      <c r="AN617" s="150"/>
      <c r="AO617" s="466"/>
      <c r="AP617" s="150"/>
      <c r="AQ617" s="150"/>
      <c r="AR617" s="151"/>
      <c r="AS617" s="456"/>
      <c r="AT617" s="151"/>
      <c r="AU617" s="150"/>
      <c r="AV617" s="487"/>
      <c r="AW617" s="150"/>
      <c r="AX617" s="150"/>
      <c r="AY617" s="466"/>
      <c r="AZ617" s="150"/>
      <c r="BA617" s="150"/>
      <c r="BB617" s="150"/>
      <c r="BC617" s="466"/>
      <c r="BD617" s="150"/>
      <c r="BE617" s="466"/>
      <c r="BF617" s="466"/>
      <c r="BG617" s="150"/>
      <c r="BH617" s="150"/>
      <c r="BI617" s="150"/>
      <c r="BJ617" s="466"/>
      <c r="BK617" s="152"/>
      <c r="BL617" s="160"/>
      <c r="BM617" s="150"/>
      <c r="BN617" s="150"/>
      <c r="BO617" s="150"/>
      <c r="BP617" s="152"/>
      <c r="BQ617" s="160"/>
      <c r="BR617" s="152"/>
      <c r="BS617" s="160"/>
    </row>
    <row r="618" spans="1:71" x14ac:dyDescent="0.3">
      <c r="A618" s="420">
        <f>DL!A615</f>
        <v>560</v>
      </c>
      <c r="B618" s="19" t="s">
        <v>490</v>
      </c>
      <c r="C618" s="149">
        <f>DL!L615</f>
        <v>11</v>
      </c>
      <c r="D618" s="149">
        <f>DL!C615</f>
        <v>30</v>
      </c>
      <c r="E618" s="150"/>
      <c r="F618" s="463"/>
      <c r="G618" s="150"/>
      <c r="H618" s="150"/>
      <c r="I618" s="466"/>
      <c r="J618" s="150"/>
      <c r="K618" s="168"/>
      <c r="L618" s="466"/>
      <c r="M618" s="150"/>
      <c r="N618" s="466"/>
      <c r="O618" s="150"/>
      <c r="P618" s="150"/>
      <c r="Q618" s="150"/>
      <c r="R618" s="472"/>
      <c r="S618" s="466"/>
      <c r="T618" s="150"/>
      <c r="U618" s="150"/>
      <c r="V618" s="150"/>
      <c r="W618" s="168"/>
      <c r="X618" s="150"/>
      <c r="Y618" s="466"/>
      <c r="Z618" s="455"/>
      <c r="AA618" s="150"/>
      <c r="AB618" s="490"/>
      <c r="AC618" s="150"/>
      <c r="AD618" s="150"/>
      <c r="AE618" s="466"/>
      <c r="AF618" s="499"/>
      <c r="AG618" s="150"/>
      <c r="AH618" s="150"/>
      <c r="AI618" s="150"/>
      <c r="AJ618" s="150"/>
      <c r="AK618" s="150"/>
      <c r="AL618" s="150"/>
      <c r="AM618" s="150"/>
      <c r="AN618" s="150"/>
      <c r="AO618" s="466"/>
      <c r="AP618" s="150"/>
      <c r="AQ618" s="150"/>
      <c r="AR618" s="151"/>
      <c r="AS618" s="456"/>
      <c r="AT618" s="151"/>
      <c r="AU618" s="150"/>
      <c r="AV618" s="487"/>
      <c r="AW618" s="150"/>
      <c r="AX618" s="150"/>
      <c r="AY618" s="466"/>
      <c r="AZ618" s="150"/>
      <c r="BA618" s="150"/>
      <c r="BB618" s="150"/>
      <c r="BC618" s="466"/>
      <c r="BD618" s="150"/>
      <c r="BE618" s="466"/>
      <c r="BF618" s="466"/>
      <c r="BG618" s="150"/>
      <c r="BH618" s="150"/>
      <c r="BI618" s="150"/>
      <c r="BJ618" s="466"/>
      <c r="BK618" s="152"/>
      <c r="BL618" s="160"/>
      <c r="BM618" s="150"/>
      <c r="BN618" s="150"/>
      <c r="BO618" s="150"/>
      <c r="BP618" s="152"/>
      <c r="BQ618" s="160"/>
      <c r="BR618" s="152"/>
      <c r="BS618" s="160"/>
    </row>
    <row r="619" spans="1:71" x14ac:dyDescent="0.3">
      <c r="A619" s="420">
        <f>DL!A616</f>
        <v>561</v>
      </c>
      <c r="B619" s="19" t="s">
        <v>402</v>
      </c>
      <c r="C619" s="149">
        <f>DL!L616</f>
        <v>4</v>
      </c>
      <c r="D619" s="149" t="s">
        <v>455</v>
      </c>
      <c r="E619" s="150"/>
      <c r="F619" s="463"/>
      <c r="G619" s="150"/>
      <c r="H619" s="150"/>
      <c r="I619" s="466"/>
      <c r="J619" s="150"/>
      <c r="K619" s="168"/>
      <c r="L619" s="466"/>
      <c r="M619" s="150"/>
      <c r="N619" s="466"/>
      <c r="O619" s="150"/>
      <c r="P619" s="150"/>
      <c r="Q619" s="150"/>
      <c r="R619" s="472"/>
      <c r="S619" s="466"/>
      <c r="T619" s="150"/>
      <c r="U619" s="150"/>
      <c r="V619" s="150"/>
      <c r="W619" s="168"/>
      <c r="X619" s="150"/>
      <c r="Y619" s="466"/>
      <c r="Z619" s="455"/>
      <c r="AA619" s="150"/>
      <c r="AB619" s="490"/>
      <c r="AC619" s="150"/>
      <c r="AD619" s="150"/>
      <c r="AE619" s="466"/>
      <c r="AF619" s="499"/>
      <c r="AG619" s="150"/>
      <c r="AH619" s="150"/>
      <c r="AI619" s="150">
        <v>683</v>
      </c>
      <c r="AJ619" s="150"/>
      <c r="AK619" s="150"/>
      <c r="AL619" s="150"/>
      <c r="AM619" s="150"/>
      <c r="AN619" s="150"/>
      <c r="AO619" s="466"/>
      <c r="AP619" s="150"/>
      <c r="AQ619" s="150"/>
      <c r="AR619" s="151"/>
      <c r="AS619" s="456"/>
      <c r="AT619" s="151"/>
      <c r="AU619" s="150"/>
      <c r="AV619" s="487"/>
      <c r="AW619" s="150"/>
      <c r="AX619" s="150"/>
      <c r="AY619" s="466"/>
      <c r="AZ619" s="150"/>
      <c r="BA619" s="150"/>
      <c r="BB619" s="150"/>
      <c r="BC619" s="466"/>
      <c r="BD619" s="150"/>
      <c r="BE619" s="466"/>
      <c r="BF619" s="466"/>
      <c r="BG619" s="150"/>
      <c r="BH619" s="150"/>
      <c r="BI619" s="150"/>
      <c r="BJ619" s="466"/>
      <c r="BK619" s="152"/>
      <c r="BL619" s="160"/>
      <c r="BM619" s="150"/>
      <c r="BN619" s="150"/>
      <c r="BO619" s="150"/>
      <c r="BP619" s="152"/>
      <c r="BQ619" s="160"/>
      <c r="BR619" s="152"/>
      <c r="BS619" s="160"/>
    </row>
    <row r="620" spans="1:71" x14ac:dyDescent="0.3">
      <c r="A620" s="420">
        <f>DL!A617</f>
        <v>562</v>
      </c>
      <c r="B620" s="19" t="s">
        <v>403</v>
      </c>
      <c r="C620" s="149">
        <f>DL!L617</f>
        <v>24</v>
      </c>
      <c r="D620" s="149">
        <f>DL!C617</f>
        <v>30</v>
      </c>
      <c r="E620" s="150"/>
      <c r="F620" s="463"/>
      <c r="G620" s="150"/>
      <c r="H620" s="150"/>
      <c r="I620" s="466"/>
      <c r="J620" s="150"/>
      <c r="K620" s="168"/>
      <c r="L620" s="466"/>
      <c r="M620" s="150"/>
      <c r="N620" s="466"/>
      <c r="O620" s="150"/>
      <c r="P620" s="150"/>
      <c r="Q620" s="150"/>
      <c r="R620" s="472"/>
      <c r="S620" s="466"/>
      <c r="T620" s="150"/>
      <c r="U620" s="150"/>
      <c r="V620" s="150"/>
      <c r="W620" s="168"/>
      <c r="X620" s="150"/>
      <c r="Y620" s="466"/>
      <c r="Z620" s="455"/>
      <c r="AA620" s="150"/>
      <c r="AB620" s="490"/>
      <c r="AC620" s="150"/>
      <c r="AD620" s="150"/>
      <c r="AE620" s="466"/>
      <c r="AF620" s="499"/>
      <c r="AG620" s="150"/>
      <c r="AH620" s="150"/>
      <c r="AI620" s="150">
        <v>878</v>
      </c>
      <c r="AJ620" s="150"/>
      <c r="AK620" s="150"/>
      <c r="AL620" s="150"/>
      <c r="AM620" s="150"/>
      <c r="AN620" s="150"/>
      <c r="AO620" s="466"/>
      <c r="AP620" s="150"/>
      <c r="AQ620" s="150"/>
      <c r="AR620" s="151"/>
      <c r="AS620" s="456"/>
      <c r="AT620" s="151"/>
      <c r="AU620" s="150"/>
      <c r="AV620" s="487"/>
      <c r="AW620" s="150"/>
      <c r="AX620" s="150"/>
      <c r="AY620" s="466"/>
      <c r="AZ620" s="150"/>
      <c r="BA620" s="150"/>
      <c r="BB620" s="150"/>
      <c r="BC620" s="466"/>
      <c r="BD620" s="150"/>
      <c r="BE620" s="466"/>
      <c r="BF620" s="466"/>
      <c r="BG620" s="150"/>
      <c r="BH620" s="150"/>
      <c r="BI620" s="150"/>
      <c r="BJ620" s="466"/>
      <c r="BK620" s="152"/>
      <c r="BL620" s="160"/>
      <c r="BM620" s="150"/>
      <c r="BN620" s="150"/>
      <c r="BO620" s="150"/>
      <c r="BP620" s="152"/>
      <c r="BQ620" s="160"/>
      <c r="BR620" s="152"/>
      <c r="BS620" s="160"/>
    </row>
    <row r="621" spans="1:71" x14ac:dyDescent="0.3">
      <c r="A621" s="420">
        <f>DL!A618</f>
        <v>563</v>
      </c>
      <c r="B621" s="19" t="s">
        <v>491</v>
      </c>
      <c r="C621" s="149">
        <f>DL!L618</f>
        <v>4</v>
      </c>
      <c r="D621" s="149">
        <f>DL!C618</f>
        <v>10</v>
      </c>
      <c r="E621" s="150"/>
      <c r="F621" s="463"/>
      <c r="G621" s="150"/>
      <c r="H621" s="150"/>
      <c r="I621" s="466"/>
      <c r="J621" s="150"/>
      <c r="K621" s="168"/>
      <c r="L621" s="466"/>
      <c r="M621" s="150"/>
      <c r="N621" s="466"/>
      <c r="O621" s="150"/>
      <c r="P621" s="150"/>
      <c r="Q621" s="150"/>
      <c r="R621" s="472"/>
      <c r="S621" s="466"/>
      <c r="T621" s="150"/>
      <c r="U621" s="150"/>
      <c r="V621" s="150"/>
      <c r="W621" s="168"/>
      <c r="X621" s="150"/>
      <c r="Y621" s="466"/>
      <c r="Z621" s="455"/>
      <c r="AA621" s="150"/>
      <c r="AB621" s="490"/>
      <c r="AC621" s="150"/>
      <c r="AD621" s="150"/>
      <c r="AE621" s="466"/>
      <c r="AF621" s="499"/>
      <c r="AG621" s="150"/>
      <c r="AH621" s="150"/>
      <c r="AI621" s="150">
        <v>23000</v>
      </c>
      <c r="AJ621" s="150"/>
      <c r="AK621" s="150"/>
      <c r="AL621" s="150"/>
      <c r="AM621" s="150"/>
      <c r="AN621" s="150"/>
      <c r="AO621" s="466"/>
      <c r="AP621" s="150"/>
      <c r="AQ621" s="150"/>
      <c r="AR621" s="151"/>
      <c r="AS621" s="456"/>
      <c r="AT621" s="151"/>
      <c r="AU621" s="150"/>
      <c r="AV621" s="487"/>
      <c r="AW621" s="150"/>
      <c r="AX621" s="150"/>
      <c r="AY621" s="466"/>
      <c r="AZ621" s="150"/>
      <c r="BA621" s="150"/>
      <c r="BB621" s="150"/>
      <c r="BC621" s="466"/>
      <c r="BD621" s="150"/>
      <c r="BE621" s="466"/>
      <c r="BF621" s="466"/>
      <c r="BG621" s="150"/>
      <c r="BH621" s="150"/>
      <c r="BI621" s="150"/>
      <c r="BJ621" s="466"/>
      <c r="BK621" s="152"/>
      <c r="BL621" s="160"/>
      <c r="BM621" s="150"/>
      <c r="BN621" s="150"/>
      <c r="BO621" s="150"/>
      <c r="BP621" s="152"/>
      <c r="BQ621" s="160"/>
      <c r="BR621" s="152"/>
      <c r="BS621" s="160"/>
    </row>
    <row r="622" spans="1:71" x14ac:dyDescent="0.3">
      <c r="A622" s="420">
        <f>DL!A619</f>
        <v>564</v>
      </c>
      <c r="B622" s="19" t="s">
        <v>407</v>
      </c>
      <c r="C622" s="149">
        <f>DL!L619</f>
        <v>35</v>
      </c>
      <c r="D622" s="149">
        <f>DL!C619</f>
        <v>30</v>
      </c>
      <c r="E622" s="150"/>
      <c r="F622" s="463"/>
      <c r="G622" s="150"/>
      <c r="H622" s="150"/>
      <c r="I622" s="466"/>
      <c r="J622" s="150"/>
      <c r="K622" s="168"/>
      <c r="L622" s="466"/>
      <c r="M622" s="150"/>
      <c r="N622" s="466"/>
      <c r="O622" s="150"/>
      <c r="P622" s="150"/>
      <c r="Q622" s="150"/>
      <c r="R622" s="472"/>
      <c r="S622" s="466"/>
      <c r="T622" s="150"/>
      <c r="U622" s="150"/>
      <c r="V622" s="150"/>
      <c r="W622" s="168"/>
      <c r="X622" s="150"/>
      <c r="Y622" s="466"/>
      <c r="Z622" s="455"/>
      <c r="AA622" s="150"/>
      <c r="AB622" s="490"/>
      <c r="AC622" s="150"/>
      <c r="AD622" s="150"/>
      <c r="AE622" s="466"/>
      <c r="AF622" s="499"/>
      <c r="AG622" s="150"/>
      <c r="AH622" s="150"/>
      <c r="AI622" s="150"/>
      <c r="AJ622" s="150"/>
      <c r="AK622" s="150"/>
      <c r="AL622" s="150"/>
      <c r="AM622" s="150"/>
      <c r="AN622" s="150"/>
      <c r="AO622" s="466"/>
      <c r="AP622" s="150"/>
      <c r="AQ622" s="150"/>
      <c r="AR622" s="151"/>
      <c r="AS622" s="456"/>
      <c r="AT622" s="151"/>
      <c r="AU622" s="150"/>
      <c r="AV622" s="487"/>
      <c r="AW622" s="150"/>
      <c r="AX622" s="150"/>
      <c r="AY622" s="466"/>
      <c r="AZ622" s="150"/>
      <c r="BA622" s="150"/>
      <c r="BB622" s="150"/>
      <c r="BC622" s="466"/>
      <c r="BD622" s="150"/>
      <c r="BE622" s="466"/>
      <c r="BF622" s="466"/>
      <c r="BG622" s="150"/>
      <c r="BH622" s="150"/>
      <c r="BI622" s="150"/>
      <c r="BJ622" s="466"/>
      <c r="BK622" s="152"/>
      <c r="BL622" s="160"/>
      <c r="BM622" s="150"/>
      <c r="BN622" s="150"/>
      <c r="BO622" s="150"/>
      <c r="BP622" s="152"/>
      <c r="BQ622" s="160"/>
      <c r="BR622" s="152"/>
      <c r="BS622" s="160"/>
    </row>
    <row r="623" spans="1:71" x14ac:dyDescent="0.3">
      <c r="A623" s="420">
        <f>DL!A620</f>
        <v>565</v>
      </c>
      <c r="B623" s="19" t="s">
        <v>1374</v>
      </c>
      <c r="C623" s="149">
        <f>DL!L620</f>
        <v>5</v>
      </c>
      <c r="D623" s="149">
        <f>DL!C620</f>
        <v>100</v>
      </c>
      <c r="E623" s="150"/>
      <c r="F623" s="463"/>
      <c r="G623" s="150"/>
      <c r="H623" s="150"/>
      <c r="I623" s="466"/>
      <c r="J623" s="150"/>
      <c r="K623" s="168"/>
      <c r="L623" s="466"/>
      <c r="M623" s="150"/>
      <c r="N623" s="466"/>
      <c r="O623" s="150"/>
      <c r="P623" s="150"/>
      <c r="Q623" s="150"/>
      <c r="R623" s="472"/>
      <c r="S623" s="466"/>
      <c r="T623" s="150"/>
      <c r="U623" s="150"/>
      <c r="V623" s="150"/>
      <c r="W623" s="168"/>
      <c r="X623" s="150"/>
      <c r="Y623" s="466"/>
      <c r="Z623" s="455"/>
      <c r="AA623" s="150"/>
      <c r="AB623" s="490"/>
      <c r="AC623" s="150"/>
      <c r="AD623" s="150"/>
      <c r="AE623" s="466"/>
      <c r="AF623" s="499"/>
      <c r="AG623" s="150"/>
      <c r="AH623" s="150"/>
      <c r="AI623" s="150">
        <v>9750</v>
      </c>
      <c r="AJ623" s="150"/>
      <c r="AK623" s="150"/>
      <c r="AL623" s="150"/>
      <c r="AM623" s="150"/>
      <c r="AN623" s="150"/>
      <c r="AO623" s="466"/>
      <c r="AP623" s="150"/>
      <c r="AQ623" s="150"/>
      <c r="AR623" s="151"/>
      <c r="AS623" s="456"/>
      <c r="AT623" s="151"/>
      <c r="AU623" s="150"/>
      <c r="AV623" s="487"/>
      <c r="AW623" s="150"/>
      <c r="AX623" s="150"/>
      <c r="AY623" s="466"/>
      <c r="AZ623" s="150"/>
      <c r="BA623" s="150"/>
      <c r="BB623" s="150"/>
      <c r="BC623" s="466"/>
      <c r="BD623" s="150"/>
      <c r="BE623" s="466"/>
      <c r="BF623" s="466"/>
      <c r="BG623" s="150"/>
      <c r="BH623" s="150"/>
      <c r="BI623" s="150"/>
      <c r="BJ623" s="466"/>
      <c r="BK623" s="152"/>
      <c r="BL623" s="160"/>
      <c r="BM623" s="150"/>
      <c r="BN623" s="150"/>
      <c r="BO623" s="150"/>
      <c r="BP623" s="152"/>
      <c r="BQ623" s="160"/>
      <c r="BR623" s="152"/>
      <c r="BS623" s="160"/>
    </row>
    <row r="624" spans="1:71" x14ac:dyDescent="0.3">
      <c r="A624" s="420">
        <f>DL!A621</f>
        <v>566</v>
      </c>
      <c r="B624" s="19" t="s">
        <v>2058</v>
      </c>
      <c r="C624" s="149">
        <f>DL!L621</f>
        <v>10</v>
      </c>
      <c r="D624" s="149" t="str">
        <f>DL!C621</f>
        <v>AMP</v>
      </c>
      <c r="E624" s="150"/>
      <c r="F624" s="463"/>
      <c r="G624" s="150"/>
      <c r="H624" s="150"/>
      <c r="I624" s="466"/>
      <c r="J624" s="150"/>
      <c r="K624" s="168"/>
      <c r="L624" s="466"/>
      <c r="M624" s="150"/>
      <c r="N624" s="466"/>
      <c r="O624" s="150"/>
      <c r="P624" s="150"/>
      <c r="Q624" s="150"/>
      <c r="R624" s="472"/>
      <c r="S624" s="466"/>
      <c r="T624" s="150"/>
      <c r="U624" s="150"/>
      <c r="V624" s="150"/>
      <c r="W624" s="168"/>
      <c r="X624" s="150"/>
      <c r="Y624" s="466"/>
      <c r="Z624" s="455"/>
      <c r="AA624" s="150"/>
      <c r="AB624" s="490">
        <v>200000</v>
      </c>
      <c r="AC624" s="150"/>
      <c r="AD624" s="150"/>
      <c r="AE624" s="466"/>
      <c r="AF624" s="499"/>
      <c r="AG624" s="150"/>
      <c r="AH624" s="150"/>
      <c r="AI624" s="150"/>
      <c r="AJ624" s="150"/>
      <c r="AK624" s="150"/>
      <c r="AL624" s="150"/>
      <c r="AM624" s="150"/>
      <c r="AN624" s="150"/>
      <c r="AO624" s="466"/>
      <c r="AP624" s="150"/>
      <c r="AQ624" s="150"/>
      <c r="AR624" s="151"/>
      <c r="AS624" s="456"/>
      <c r="AT624" s="151"/>
      <c r="AU624" s="150"/>
      <c r="AV624" s="487"/>
      <c r="AW624" s="150"/>
      <c r="AX624" s="150"/>
      <c r="AY624" s="466"/>
      <c r="AZ624" s="150"/>
      <c r="BA624" s="150"/>
      <c r="BB624" s="150"/>
      <c r="BC624" s="466"/>
      <c r="BD624" s="150"/>
      <c r="BE624" s="466"/>
      <c r="BF624" s="466"/>
      <c r="BG624" s="150"/>
      <c r="BH624" s="150"/>
      <c r="BI624" s="150"/>
      <c r="BJ624" s="466"/>
      <c r="BK624" s="152"/>
      <c r="BL624" s="160"/>
      <c r="BM624" s="150"/>
      <c r="BN624" s="150"/>
      <c r="BO624" s="150"/>
      <c r="BP624" s="152"/>
      <c r="BQ624" s="160"/>
      <c r="BR624" s="152"/>
      <c r="BS624" s="160"/>
    </row>
    <row r="625" spans="1:71" x14ac:dyDescent="0.3">
      <c r="A625" s="420">
        <f>DL!A622</f>
        <v>567</v>
      </c>
      <c r="B625" s="19" t="s">
        <v>409</v>
      </c>
      <c r="C625" s="149">
        <f>DL!L622</f>
        <v>4</v>
      </c>
      <c r="D625" s="149">
        <f>DL!C622</f>
        <v>10</v>
      </c>
      <c r="E625" s="150"/>
      <c r="F625" s="463"/>
      <c r="G625" s="150"/>
      <c r="H625" s="150"/>
      <c r="I625" s="466"/>
      <c r="J625" s="150"/>
      <c r="K625" s="168"/>
      <c r="L625" s="466"/>
      <c r="M625" s="150"/>
      <c r="N625" s="466"/>
      <c r="O625" s="150"/>
      <c r="P625" s="150"/>
      <c r="Q625" s="150"/>
      <c r="R625" s="472"/>
      <c r="S625" s="466"/>
      <c r="T625" s="150"/>
      <c r="U625" s="150"/>
      <c r="V625" s="150"/>
      <c r="W625" s="168"/>
      <c r="X625" s="150"/>
      <c r="Y625" s="466"/>
      <c r="Z625" s="455"/>
      <c r="AA625" s="150"/>
      <c r="AB625" s="490"/>
      <c r="AC625" s="150"/>
      <c r="AD625" s="150"/>
      <c r="AE625" s="466"/>
      <c r="AF625" s="499"/>
      <c r="AG625" s="150"/>
      <c r="AH625" s="150"/>
      <c r="AI625" s="150"/>
      <c r="AJ625" s="150"/>
      <c r="AK625" s="150"/>
      <c r="AL625" s="150"/>
      <c r="AM625" s="150"/>
      <c r="AN625" s="150"/>
      <c r="AO625" s="466"/>
      <c r="AP625" s="150"/>
      <c r="AQ625" s="150"/>
      <c r="AR625" s="151"/>
      <c r="AS625" s="456"/>
      <c r="AT625" s="151"/>
      <c r="AU625" s="150"/>
      <c r="AV625" s="487"/>
      <c r="AW625" s="150"/>
      <c r="AX625" s="150"/>
      <c r="AY625" s="466"/>
      <c r="AZ625" s="150"/>
      <c r="BA625" s="150"/>
      <c r="BB625" s="150"/>
      <c r="BC625" s="466"/>
      <c r="BD625" s="150"/>
      <c r="BE625" s="466"/>
      <c r="BF625" s="466"/>
      <c r="BG625" s="150"/>
      <c r="BH625" s="150"/>
      <c r="BI625" s="150"/>
      <c r="BJ625" s="466"/>
      <c r="BK625" s="152"/>
      <c r="BL625" s="160"/>
      <c r="BM625" s="150"/>
      <c r="BN625" s="150"/>
      <c r="BO625" s="150"/>
      <c r="BP625" s="152"/>
      <c r="BQ625" s="160"/>
      <c r="BR625" s="152"/>
      <c r="BS625" s="160"/>
    </row>
    <row r="626" spans="1:71" x14ac:dyDescent="0.3">
      <c r="A626" s="420">
        <f>DL!A623</f>
        <v>568</v>
      </c>
      <c r="B626" s="19" t="s">
        <v>493</v>
      </c>
      <c r="C626" s="149">
        <f>DL!L623</f>
        <v>5</v>
      </c>
      <c r="D626" s="149">
        <f>DL!C623</f>
        <v>10</v>
      </c>
      <c r="E626" s="150"/>
      <c r="F626" s="463"/>
      <c r="G626" s="150"/>
      <c r="H626" s="150"/>
      <c r="I626" s="466"/>
      <c r="J626" s="150"/>
      <c r="K626" s="168"/>
      <c r="L626" s="466"/>
      <c r="M626" s="150"/>
      <c r="N626" s="466"/>
      <c r="O626" s="150"/>
      <c r="P626" s="150"/>
      <c r="Q626" s="150"/>
      <c r="R626" s="472"/>
      <c r="S626" s="466"/>
      <c r="T626" s="150"/>
      <c r="U626" s="150"/>
      <c r="V626" s="150"/>
      <c r="W626" s="168"/>
      <c r="X626" s="150"/>
      <c r="Y626" s="466"/>
      <c r="Z626" s="455"/>
      <c r="AA626" s="150"/>
      <c r="AB626" s="490"/>
      <c r="AC626" s="150"/>
      <c r="AD626" s="150"/>
      <c r="AE626" s="466"/>
      <c r="AF626" s="499"/>
      <c r="AG626" s="150"/>
      <c r="AH626" s="150"/>
      <c r="AI626" s="150"/>
      <c r="AJ626" s="150"/>
      <c r="AK626" s="150"/>
      <c r="AL626" s="150"/>
      <c r="AM626" s="150"/>
      <c r="AN626" s="150"/>
      <c r="AO626" s="466"/>
      <c r="AP626" s="150"/>
      <c r="AQ626" s="150"/>
      <c r="AR626" s="151"/>
      <c r="AS626" s="456"/>
      <c r="AT626" s="151"/>
      <c r="AU626" s="150"/>
      <c r="AV626" s="487"/>
      <c r="AW626" s="150"/>
      <c r="AX626" s="150"/>
      <c r="AY626" s="466"/>
      <c r="AZ626" s="150"/>
      <c r="BA626" s="150"/>
      <c r="BB626" s="150"/>
      <c r="BC626" s="466"/>
      <c r="BD626" s="150"/>
      <c r="BE626" s="466"/>
      <c r="BF626" s="466"/>
      <c r="BG626" s="150"/>
      <c r="BH626" s="150"/>
      <c r="BI626" s="150"/>
      <c r="BJ626" s="466"/>
      <c r="BK626" s="152"/>
      <c r="BL626" s="160"/>
      <c r="BM626" s="150"/>
      <c r="BN626" s="150"/>
      <c r="BO626" s="150"/>
      <c r="BP626" s="152"/>
      <c r="BQ626" s="160"/>
      <c r="BR626" s="152"/>
      <c r="BS626" s="160"/>
    </row>
    <row r="627" spans="1:71" x14ac:dyDescent="0.3">
      <c r="A627" s="420">
        <f>DL!A624</f>
        <v>569</v>
      </c>
      <c r="B627" s="19" t="s">
        <v>494</v>
      </c>
      <c r="C627" s="149">
        <f>DL!L624</f>
        <v>5</v>
      </c>
      <c r="D627" s="149">
        <f>DL!C624</f>
        <v>10</v>
      </c>
      <c r="E627" s="150"/>
      <c r="F627" s="463"/>
      <c r="G627" s="150"/>
      <c r="H627" s="150"/>
      <c r="I627" s="466"/>
      <c r="J627" s="150"/>
      <c r="K627" s="168"/>
      <c r="L627" s="466"/>
      <c r="M627" s="150"/>
      <c r="N627" s="466"/>
      <c r="O627" s="150"/>
      <c r="P627" s="150"/>
      <c r="Q627" s="150"/>
      <c r="R627" s="472"/>
      <c r="S627" s="466"/>
      <c r="T627" s="150"/>
      <c r="U627" s="150"/>
      <c r="V627" s="150"/>
      <c r="W627" s="168"/>
      <c r="X627" s="150"/>
      <c r="Y627" s="466"/>
      <c r="Z627" s="455"/>
      <c r="AA627" s="150"/>
      <c r="AB627" s="490"/>
      <c r="AC627" s="150"/>
      <c r="AD627" s="150"/>
      <c r="AE627" s="466"/>
      <c r="AF627" s="499"/>
      <c r="AG627" s="150"/>
      <c r="AH627" s="150"/>
      <c r="AI627" s="150">
        <v>780</v>
      </c>
      <c r="AJ627" s="150"/>
      <c r="AK627" s="150"/>
      <c r="AL627" s="150"/>
      <c r="AM627" s="150"/>
      <c r="AN627" s="150"/>
      <c r="AO627" s="466"/>
      <c r="AP627" s="150"/>
      <c r="AQ627" s="150"/>
      <c r="AR627" s="151"/>
      <c r="AS627" s="456"/>
      <c r="AT627" s="151"/>
      <c r="AU627" s="150"/>
      <c r="AV627" s="487"/>
      <c r="AW627" s="150"/>
      <c r="AX627" s="150"/>
      <c r="AY627" s="466"/>
      <c r="AZ627" s="150"/>
      <c r="BA627" s="150"/>
      <c r="BB627" s="150"/>
      <c r="BC627" s="466"/>
      <c r="BD627" s="150"/>
      <c r="BE627" s="466"/>
      <c r="BF627" s="466"/>
      <c r="BG627" s="150"/>
      <c r="BH627" s="150"/>
      <c r="BI627" s="150"/>
      <c r="BJ627" s="466"/>
      <c r="BK627" s="152"/>
      <c r="BL627" s="160"/>
      <c r="BM627" s="150"/>
      <c r="BN627" s="150"/>
      <c r="BO627" s="150"/>
      <c r="BP627" s="152"/>
      <c r="BQ627" s="160"/>
      <c r="BR627" s="152"/>
      <c r="BS627" s="160"/>
    </row>
    <row r="628" spans="1:71" x14ac:dyDescent="0.3">
      <c r="A628" s="420"/>
      <c r="B628" s="19"/>
      <c r="C628" s="149">
        <f>DL!L625</f>
        <v>0</v>
      </c>
      <c r="D628" s="149">
        <f>DL!C625</f>
        <v>0</v>
      </c>
      <c r="E628" s="150"/>
      <c r="F628" s="463"/>
      <c r="G628" s="150"/>
      <c r="H628" s="150"/>
      <c r="I628" s="466"/>
      <c r="J628" s="150"/>
      <c r="K628" s="168"/>
      <c r="L628" s="466"/>
      <c r="M628" s="150"/>
      <c r="N628" s="466"/>
      <c r="O628" s="150"/>
      <c r="P628" s="150"/>
      <c r="Q628" s="150"/>
      <c r="R628" s="472"/>
      <c r="S628" s="466"/>
      <c r="T628" s="150"/>
      <c r="U628" s="150"/>
      <c r="V628" s="150"/>
      <c r="W628" s="168"/>
      <c r="X628" s="150"/>
      <c r="Y628" s="466"/>
      <c r="Z628" s="455"/>
      <c r="AA628" s="150"/>
      <c r="AB628" s="490"/>
      <c r="AC628" s="150"/>
      <c r="AD628" s="150"/>
      <c r="AE628" s="466"/>
      <c r="AF628" s="499"/>
      <c r="AG628" s="150"/>
      <c r="AH628" s="150"/>
      <c r="AI628" s="150"/>
      <c r="AJ628" s="150"/>
      <c r="AK628" s="150"/>
      <c r="AL628" s="150"/>
      <c r="AM628" s="150"/>
      <c r="AN628" s="150"/>
      <c r="AO628" s="466"/>
      <c r="AP628" s="150"/>
      <c r="AQ628" s="150"/>
      <c r="AR628" s="151"/>
      <c r="AS628" s="456"/>
      <c r="AT628" s="151"/>
      <c r="AU628" s="150"/>
      <c r="AV628" s="487"/>
      <c r="AW628" s="150"/>
      <c r="AX628" s="150"/>
      <c r="AY628" s="466"/>
      <c r="AZ628" s="150"/>
      <c r="BA628" s="150"/>
      <c r="BB628" s="150"/>
      <c r="BC628" s="466"/>
      <c r="BD628" s="150"/>
      <c r="BE628" s="466"/>
      <c r="BF628" s="466"/>
      <c r="BG628" s="150"/>
      <c r="BH628" s="150"/>
      <c r="BI628" s="150"/>
      <c r="BJ628" s="466"/>
      <c r="BK628" s="152"/>
      <c r="BL628" s="160"/>
      <c r="BM628" s="150"/>
      <c r="BN628" s="150"/>
      <c r="BO628" s="150"/>
      <c r="BP628" s="152"/>
      <c r="BQ628" s="160"/>
      <c r="BR628" s="152"/>
      <c r="BS628" s="160"/>
    </row>
    <row r="629" spans="1:71" x14ac:dyDescent="0.3">
      <c r="A629" s="420"/>
      <c r="B629" s="19"/>
      <c r="C629" s="149">
        <f>DL!L626</f>
        <v>0</v>
      </c>
      <c r="D629" s="149">
        <f>DL!C626</f>
        <v>0</v>
      </c>
      <c r="E629" s="150"/>
      <c r="F629" s="463"/>
      <c r="G629" s="150"/>
      <c r="H629" s="150"/>
      <c r="I629" s="466"/>
      <c r="J629" s="150"/>
      <c r="K629" s="168"/>
      <c r="L629" s="466"/>
      <c r="M629" s="150"/>
      <c r="N629" s="466"/>
      <c r="O629" s="150"/>
      <c r="P629" s="150"/>
      <c r="Q629" s="150"/>
      <c r="R629" s="472"/>
      <c r="S629" s="466"/>
      <c r="T629" s="150"/>
      <c r="U629" s="150"/>
      <c r="V629" s="150"/>
      <c r="W629" s="168"/>
      <c r="X629" s="150"/>
      <c r="Y629" s="466"/>
      <c r="Z629" s="455"/>
      <c r="AA629" s="150"/>
      <c r="AB629" s="490"/>
      <c r="AC629" s="150"/>
      <c r="AD629" s="150"/>
      <c r="AE629" s="466"/>
      <c r="AF629" s="499"/>
      <c r="AG629" s="150"/>
      <c r="AH629" s="150"/>
      <c r="AI629" s="150"/>
      <c r="AJ629" s="150"/>
      <c r="AK629" s="150"/>
      <c r="AL629" s="150"/>
      <c r="AM629" s="150"/>
      <c r="AN629" s="150"/>
      <c r="AO629" s="466"/>
      <c r="AP629" s="150"/>
      <c r="AQ629" s="150"/>
      <c r="AR629" s="151"/>
      <c r="AS629" s="456"/>
      <c r="AT629" s="151"/>
      <c r="AU629" s="150"/>
      <c r="AV629" s="487"/>
      <c r="AW629" s="150"/>
      <c r="AX629" s="150"/>
      <c r="AY629" s="466"/>
      <c r="AZ629" s="150"/>
      <c r="BA629" s="150"/>
      <c r="BB629" s="150"/>
      <c r="BC629" s="466"/>
      <c r="BD629" s="150"/>
      <c r="BE629" s="466"/>
      <c r="BF629" s="466"/>
      <c r="BG629" s="150"/>
      <c r="BH629" s="150"/>
      <c r="BI629" s="150"/>
      <c r="BJ629" s="466"/>
      <c r="BK629" s="152"/>
      <c r="BL629" s="160"/>
      <c r="BM629" s="150"/>
      <c r="BN629" s="150"/>
      <c r="BO629" s="150"/>
      <c r="BP629" s="152"/>
      <c r="BQ629" s="160"/>
      <c r="BR629" s="152"/>
      <c r="BS629" s="160"/>
    </row>
    <row r="630" spans="1:71" x14ac:dyDescent="0.3">
      <c r="A630" s="420" t="str">
        <f>DL!A627</f>
        <v>LOT 13</v>
      </c>
      <c r="B630" s="19" t="s">
        <v>340</v>
      </c>
      <c r="C630" s="149">
        <f>DL!L627</f>
        <v>0</v>
      </c>
      <c r="D630" s="149">
        <f>DL!C627</f>
        <v>0</v>
      </c>
      <c r="E630" s="150"/>
      <c r="F630" s="463"/>
      <c r="G630" s="150"/>
      <c r="H630" s="150"/>
      <c r="I630" s="466"/>
      <c r="J630" s="150"/>
      <c r="K630" s="168"/>
      <c r="L630" s="466"/>
      <c r="M630" s="150"/>
      <c r="N630" s="466"/>
      <c r="O630" s="150"/>
      <c r="P630" s="150"/>
      <c r="Q630" s="150"/>
      <c r="R630" s="474"/>
      <c r="S630" s="466"/>
      <c r="T630" s="150"/>
      <c r="U630" s="150"/>
      <c r="V630" s="150"/>
      <c r="W630" s="168"/>
      <c r="X630" s="150"/>
      <c r="Y630" s="466"/>
      <c r="Z630" s="455"/>
      <c r="AA630" s="150"/>
      <c r="AB630" s="490"/>
      <c r="AC630" s="150"/>
      <c r="AD630" s="150"/>
      <c r="AE630" s="466"/>
      <c r="AF630" s="499"/>
      <c r="AG630" s="150"/>
      <c r="AH630" s="150"/>
      <c r="AI630" s="150"/>
      <c r="AJ630" s="150"/>
      <c r="AK630" s="150"/>
      <c r="AL630" s="150"/>
      <c r="AM630" s="150"/>
      <c r="AN630" s="150"/>
      <c r="AO630" s="466"/>
      <c r="AP630" s="150"/>
      <c r="AQ630" s="150"/>
      <c r="AR630" s="151"/>
      <c r="AS630" s="456"/>
      <c r="AT630" s="151"/>
      <c r="AU630" s="150"/>
      <c r="AV630" s="487"/>
      <c r="AW630" s="150"/>
      <c r="AX630" s="150"/>
      <c r="AY630" s="466"/>
      <c r="AZ630" s="150"/>
      <c r="BA630" s="150"/>
      <c r="BB630" s="150"/>
      <c r="BC630" s="466"/>
      <c r="BD630" s="150"/>
      <c r="BE630" s="466"/>
      <c r="BF630" s="466"/>
      <c r="BG630" s="150"/>
      <c r="BH630" s="150"/>
      <c r="BI630" s="150"/>
      <c r="BJ630" s="466"/>
      <c r="BK630" s="152"/>
      <c r="BL630" s="160"/>
      <c r="BM630" s="150"/>
      <c r="BN630" s="150"/>
      <c r="BO630" s="150"/>
      <c r="BP630" s="152"/>
      <c r="BQ630" s="160"/>
      <c r="BR630" s="152"/>
      <c r="BS630" s="160"/>
    </row>
    <row r="631" spans="1:71" x14ac:dyDescent="0.3">
      <c r="A631" s="420"/>
      <c r="B631" s="16" t="s">
        <v>341</v>
      </c>
      <c r="C631" s="149">
        <f>DL!L628</f>
        <v>0</v>
      </c>
      <c r="D631" s="149">
        <f>DL!C628</f>
        <v>0</v>
      </c>
      <c r="E631" s="150"/>
      <c r="F631" s="463"/>
      <c r="G631" s="150"/>
      <c r="H631" s="150"/>
      <c r="I631" s="466"/>
      <c r="J631" s="150"/>
      <c r="K631" s="168"/>
      <c r="L631" s="466"/>
      <c r="M631" s="150"/>
      <c r="N631" s="466"/>
      <c r="O631" s="150"/>
      <c r="P631" s="150"/>
      <c r="Q631" s="150"/>
      <c r="R631" s="474"/>
      <c r="S631" s="466"/>
      <c r="T631" s="150"/>
      <c r="U631" s="150"/>
      <c r="V631" s="150"/>
      <c r="W631" s="168"/>
      <c r="X631" s="150"/>
      <c r="Y631" s="466"/>
      <c r="Z631" s="455"/>
      <c r="AA631" s="150"/>
      <c r="AB631" s="490"/>
      <c r="AC631" s="150"/>
      <c r="AD631" s="150"/>
      <c r="AE631" s="466"/>
      <c r="AF631" s="499"/>
      <c r="AG631" s="150"/>
      <c r="AH631" s="150"/>
      <c r="AI631" s="150"/>
      <c r="AJ631" s="150"/>
      <c r="AK631" s="150"/>
      <c r="AL631" s="150"/>
      <c r="AM631" s="150"/>
      <c r="AN631" s="150"/>
      <c r="AO631" s="466"/>
      <c r="AP631" s="150"/>
      <c r="AQ631" s="150"/>
      <c r="AR631" s="151"/>
      <c r="AS631" s="456"/>
      <c r="AT631" s="151"/>
      <c r="AU631" s="150"/>
      <c r="AV631" s="487"/>
      <c r="AW631" s="150"/>
      <c r="AX631" s="150"/>
      <c r="AY631" s="466"/>
      <c r="AZ631" s="150"/>
      <c r="BA631" s="150"/>
      <c r="BB631" s="150"/>
      <c r="BC631" s="466"/>
      <c r="BD631" s="150"/>
      <c r="BE631" s="466"/>
      <c r="BF631" s="466"/>
      <c r="BG631" s="150"/>
      <c r="BH631" s="150"/>
      <c r="BI631" s="150"/>
      <c r="BJ631" s="466"/>
      <c r="BK631" s="152"/>
      <c r="BL631" s="160"/>
      <c r="BM631" s="150"/>
      <c r="BN631" s="150"/>
      <c r="BO631" s="150"/>
      <c r="BP631" s="152"/>
      <c r="BQ631" s="160"/>
      <c r="BR631" s="152"/>
      <c r="BS631" s="160"/>
    </row>
    <row r="632" spans="1:71" x14ac:dyDescent="0.3">
      <c r="A632" s="420">
        <f>DL!A629</f>
        <v>570</v>
      </c>
      <c r="B632" s="16" t="s">
        <v>342</v>
      </c>
      <c r="C632" s="149">
        <v>2000</v>
      </c>
      <c r="D632" s="149">
        <f>DL!C629</f>
        <v>100</v>
      </c>
      <c r="E632" s="150"/>
      <c r="F632" s="463"/>
      <c r="G632" s="150"/>
      <c r="H632" s="150"/>
      <c r="I632" s="466"/>
      <c r="J632" s="150"/>
      <c r="K632" s="168"/>
      <c r="L632" s="466">
        <v>2000</v>
      </c>
      <c r="M632" s="150">
        <v>2000</v>
      </c>
      <c r="N632" s="466"/>
      <c r="O632" s="150"/>
      <c r="P632" s="150">
        <v>2500</v>
      </c>
      <c r="Q632" s="150"/>
      <c r="R632" s="472"/>
      <c r="S632" s="466">
        <v>1800</v>
      </c>
      <c r="T632" s="150"/>
      <c r="U632" s="150"/>
      <c r="V632" s="150"/>
      <c r="W632" s="168"/>
      <c r="X632" s="150"/>
      <c r="Y632" s="466"/>
      <c r="Z632" s="455"/>
      <c r="AA632" s="150"/>
      <c r="AB632" s="490"/>
      <c r="AC632" s="150">
        <v>1960</v>
      </c>
      <c r="AD632" s="150"/>
      <c r="AE632" s="466"/>
      <c r="AF632" s="499"/>
      <c r="AG632" s="150">
        <v>2210</v>
      </c>
      <c r="AH632" s="150"/>
      <c r="AI632" s="150"/>
      <c r="AJ632" s="150"/>
      <c r="AK632" s="150"/>
      <c r="AL632" s="150"/>
      <c r="AM632" s="150"/>
      <c r="AN632" s="150"/>
      <c r="AO632" s="466"/>
      <c r="AP632" s="150"/>
      <c r="AQ632" s="150"/>
      <c r="AR632" s="151"/>
      <c r="AS632" s="456"/>
      <c r="AT632" s="151"/>
      <c r="AU632" s="150"/>
      <c r="AV632" s="487"/>
      <c r="AW632" s="150"/>
      <c r="AX632" s="150"/>
      <c r="AY632" s="466"/>
      <c r="AZ632" s="150"/>
      <c r="BA632" s="150"/>
      <c r="BB632" s="150"/>
      <c r="BC632" s="466"/>
      <c r="BD632" s="150"/>
      <c r="BE632" s="466"/>
      <c r="BF632" s="466"/>
      <c r="BG632" s="150">
        <v>2700</v>
      </c>
      <c r="BH632" s="150"/>
      <c r="BI632" s="150"/>
      <c r="BJ632" s="466"/>
      <c r="BK632" s="152"/>
      <c r="BL632" s="160"/>
      <c r="BM632" s="150"/>
      <c r="BN632" s="150"/>
      <c r="BO632" s="150"/>
      <c r="BP632" s="152"/>
      <c r="BQ632" s="160"/>
      <c r="BR632" s="152"/>
      <c r="BS632" s="160"/>
    </row>
    <row r="633" spans="1:71" x14ac:dyDescent="0.3">
      <c r="A633" s="420">
        <f>DL!A630</f>
        <v>571</v>
      </c>
      <c r="B633" s="16" t="s">
        <v>343</v>
      </c>
      <c r="C633" s="149">
        <v>200</v>
      </c>
      <c r="D633" s="149">
        <f>DL!C630</f>
        <v>80</v>
      </c>
      <c r="E633" s="150"/>
      <c r="F633" s="463"/>
      <c r="G633" s="150"/>
      <c r="H633" s="150"/>
      <c r="I633" s="466"/>
      <c r="J633" s="150"/>
      <c r="K633" s="168"/>
      <c r="L633" s="466">
        <v>3100</v>
      </c>
      <c r="M633" s="150">
        <v>3200</v>
      </c>
      <c r="N633" s="466"/>
      <c r="O633" s="150"/>
      <c r="P633" s="150">
        <v>3700</v>
      </c>
      <c r="Q633" s="150"/>
      <c r="R633" s="472"/>
      <c r="S633" s="466">
        <v>3000</v>
      </c>
      <c r="T633" s="150"/>
      <c r="U633" s="150"/>
      <c r="V633" s="150"/>
      <c r="W633" s="168"/>
      <c r="X633" s="150"/>
      <c r="Y633" s="466"/>
      <c r="Z633" s="455"/>
      <c r="AA633" s="150"/>
      <c r="AB633" s="490"/>
      <c r="AC633" s="150">
        <v>3480</v>
      </c>
      <c r="AD633" s="150"/>
      <c r="AE633" s="466"/>
      <c r="AF633" s="499"/>
      <c r="AG633" s="150"/>
      <c r="AH633" s="150"/>
      <c r="AI633" s="150"/>
      <c r="AJ633" s="150"/>
      <c r="AK633" s="150"/>
      <c r="AL633" s="150"/>
      <c r="AM633" s="150"/>
      <c r="AN633" s="150"/>
      <c r="AO633" s="466"/>
      <c r="AP633" s="150"/>
      <c r="AQ633" s="150"/>
      <c r="AR633" s="151"/>
      <c r="AS633" s="456"/>
      <c r="AT633" s="151"/>
      <c r="AU633" s="150"/>
      <c r="AV633" s="487"/>
      <c r="AW633" s="150"/>
      <c r="AX633" s="150"/>
      <c r="AY633" s="466"/>
      <c r="AZ633" s="150"/>
      <c r="BA633" s="150"/>
      <c r="BB633" s="150"/>
      <c r="BC633" s="466"/>
      <c r="BD633" s="150"/>
      <c r="BE633" s="466"/>
      <c r="BF633" s="466"/>
      <c r="BG633" s="150">
        <f>1960/50*80</f>
        <v>3136</v>
      </c>
      <c r="BH633" s="150"/>
      <c r="BI633" s="150"/>
      <c r="BJ633" s="466"/>
      <c r="BK633" s="152"/>
      <c r="BL633" s="160"/>
      <c r="BM633" s="150"/>
      <c r="BN633" s="150"/>
      <c r="BO633" s="150"/>
      <c r="BP633" s="152"/>
      <c r="BQ633" s="160"/>
      <c r="BR633" s="152"/>
      <c r="BS633" s="160"/>
    </row>
    <row r="634" spans="1:71" x14ac:dyDescent="0.3">
      <c r="A634" s="420">
        <f>DL!A631</f>
        <v>572</v>
      </c>
      <c r="B634" s="16" t="s">
        <v>1425</v>
      </c>
      <c r="C634" s="149">
        <f>DL!L631</f>
        <v>10</v>
      </c>
      <c r="D634" s="149">
        <f>DL!C631</f>
        <v>100</v>
      </c>
      <c r="E634" s="150"/>
      <c r="F634" s="463"/>
      <c r="G634" s="150"/>
      <c r="H634" s="150"/>
      <c r="I634" s="466"/>
      <c r="J634" s="159">
        <f>450*2</f>
        <v>900</v>
      </c>
      <c r="K634" s="168"/>
      <c r="L634" s="466">
        <v>400</v>
      </c>
      <c r="M634" s="150">
        <v>330</v>
      </c>
      <c r="N634" s="466"/>
      <c r="O634" s="150"/>
      <c r="P634" s="150"/>
      <c r="Q634" s="150"/>
      <c r="R634" s="472"/>
      <c r="S634" s="466">
        <v>340</v>
      </c>
      <c r="T634" s="150"/>
      <c r="U634" s="150"/>
      <c r="V634" s="150"/>
      <c r="W634" s="168"/>
      <c r="X634" s="150"/>
      <c r="Y634" s="466"/>
      <c r="Z634" s="455"/>
      <c r="AA634" s="150"/>
      <c r="AB634" s="490"/>
      <c r="AC634" s="150">
        <v>310</v>
      </c>
      <c r="AD634" s="150"/>
      <c r="AE634" s="466"/>
      <c r="AF634" s="499"/>
      <c r="AG634" s="150"/>
      <c r="AH634" s="150"/>
      <c r="AI634" s="150"/>
      <c r="AJ634" s="150"/>
      <c r="AK634" s="150"/>
      <c r="AL634" s="150"/>
      <c r="AM634" s="150"/>
      <c r="AN634" s="150"/>
      <c r="AO634" s="466"/>
      <c r="AP634" s="150"/>
      <c r="AQ634" s="150"/>
      <c r="AR634" s="151"/>
      <c r="AS634" s="456"/>
      <c r="AT634" s="151"/>
      <c r="AU634" s="150"/>
      <c r="AV634" s="487"/>
      <c r="AW634" s="150"/>
      <c r="AX634" s="150"/>
      <c r="AY634" s="466"/>
      <c r="AZ634" s="150"/>
      <c r="BA634" s="150"/>
      <c r="BB634" s="150"/>
      <c r="BC634" s="466"/>
      <c r="BD634" s="150"/>
      <c r="BE634" s="466"/>
      <c r="BF634" s="466"/>
      <c r="BG634" s="150"/>
      <c r="BH634" s="150"/>
      <c r="BI634" s="150"/>
      <c r="BJ634" s="466"/>
      <c r="BK634" s="152"/>
      <c r="BL634" s="160"/>
      <c r="BM634" s="150"/>
      <c r="BN634" s="150"/>
      <c r="BO634" s="150"/>
      <c r="BP634" s="152"/>
      <c r="BQ634" s="160"/>
      <c r="BR634" s="152"/>
      <c r="BS634" s="160"/>
    </row>
    <row r="635" spans="1:71" x14ac:dyDescent="0.3">
      <c r="A635" s="420">
        <f>DL!A632</f>
        <v>573</v>
      </c>
      <c r="B635" s="16" t="s">
        <v>344</v>
      </c>
      <c r="C635" s="149">
        <v>300</v>
      </c>
      <c r="D635" s="149">
        <f>DL!C632</f>
        <v>100</v>
      </c>
      <c r="E635" s="150"/>
      <c r="F635" s="463"/>
      <c r="G635" s="150"/>
      <c r="H635" s="150"/>
      <c r="I635" s="466"/>
      <c r="J635" s="150"/>
      <c r="K635" s="168"/>
      <c r="L635" s="466">
        <v>400</v>
      </c>
      <c r="M635" s="150">
        <v>330</v>
      </c>
      <c r="N635" s="466"/>
      <c r="O635" s="150"/>
      <c r="P635" s="150"/>
      <c r="Q635" s="150"/>
      <c r="R635" s="472"/>
      <c r="S635" s="466">
        <v>350</v>
      </c>
      <c r="T635" s="150"/>
      <c r="U635" s="150"/>
      <c r="V635" s="150"/>
      <c r="W635" s="168"/>
      <c r="X635" s="150"/>
      <c r="Y635" s="466"/>
      <c r="Z635" s="455"/>
      <c r="AA635" s="150"/>
      <c r="AB635" s="490"/>
      <c r="AC635" s="150">
        <v>310</v>
      </c>
      <c r="AD635" s="150"/>
      <c r="AE635" s="466"/>
      <c r="AF635" s="499"/>
      <c r="AG635" s="150"/>
      <c r="AH635" s="150"/>
      <c r="AI635" s="150"/>
      <c r="AJ635" s="150"/>
      <c r="AK635" s="150"/>
      <c r="AL635" s="150"/>
      <c r="AM635" s="150"/>
      <c r="AN635" s="150"/>
      <c r="AO635" s="466"/>
      <c r="AP635" s="150"/>
      <c r="AQ635" s="150"/>
      <c r="AR635" s="151"/>
      <c r="AS635" s="456"/>
      <c r="AT635" s="151"/>
      <c r="AU635" s="150"/>
      <c r="AV635" s="487"/>
      <c r="AW635" s="150"/>
      <c r="AX635" s="150"/>
      <c r="AY635" s="466"/>
      <c r="AZ635" s="150"/>
      <c r="BA635" s="150"/>
      <c r="BB635" s="150"/>
      <c r="BC635" s="466"/>
      <c r="BD635" s="150"/>
      <c r="BE635" s="466"/>
      <c r="BF635" s="466"/>
      <c r="BG635" s="150"/>
      <c r="BH635" s="150"/>
      <c r="BI635" s="150"/>
      <c r="BJ635" s="466"/>
      <c r="BK635" s="152"/>
      <c r="BL635" s="160"/>
      <c r="BM635" s="150"/>
      <c r="BN635" s="150"/>
      <c r="BO635" s="150"/>
      <c r="BP635" s="152"/>
      <c r="BQ635" s="160"/>
      <c r="BR635" s="152"/>
      <c r="BS635" s="160"/>
    </row>
    <row r="636" spans="1:71" x14ac:dyDescent="0.3">
      <c r="A636" s="420">
        <f>DL!A633</f>
        <v>574</v>
      </c>
      <c r="B636" s="16" t="s">
        <v>345</v>
      </c>
      <c r="C636" s="149">
        <v>300</v>
      </c>
      <c r="D636" s="149">
        <f>DL!C633</f>
        <v>100</v>
      </c>
      <c r="E636" s="150"/>
      <c r="F636" s="463"/>
      <c r="G636" s="150"/>
      <c r="H636" s="150"/>
      <c r="I636" s="466"/>
      <c r="J636" s="150"/>
      <c r="K636" s="168"/>
      <c r="L636" s="466">
        <v>450</v>
      </c>
      <c r="M636" s="150">
        <v>460</v>
      </c>
      <c r="N636" s="466"/>
      <c r="O636" s="150"/>
      <c r="P636" s="150"/>
      <c r="Q636" s="150"/>
      <c r="R636" s="472"/>
      <c r="S636" s="466">
        <v>400</v>
      </c>
      <c r="T636" s="150"/>
      <c r="U636" s="150"/>
      <c r="V636" s="150"/>
      <c r="W636" s="168"/>
      <c r="X636" s="150"/>
      <c r="Y636" s="466"/>
      <c r="Z636" s="455"/>
      <c r="AA636" s="150"/>
      <c r="AB636" s="490"/>
      <c r="AC636" s="150">
        <v>445</v>
      </c>
      <c r="AD636" s="150"/>
      <c r="AE636" s="466"/>
      <c r="AF636" s="499"/>
      <c r="AG636" s="150"/>
      <c r="AH636" s="150"/>
      <c r="AI636" s="150"/>
      <c r="AJ636" s="150"/>
      <c r="AK636" s="150"/>
      <c r="AL636" s="150"/>
      <c r="AM636" s="150"/>
      <c r="AN636" s="150"/>
      <c r="AO636" s="466"/>
      <c r="AP636" s="150"/>
      <c r="AQ636" s="150"/>
      <c r="AR636" s="151"/>
      <c r="AS636" s="456"/>
      <c r="AT636" s="151"/>
      <c r="AU636" s="150"/>
      <c r="AV636" s="487"/>
      <c r="AW636" s="150"/>
      <c r="AX636" s="150"/>
      <c r="AY636" s="466"/>
      <c r="AZ636" s="150"/>
      <c r="BA636" s="150"/>
      <c r="BB636" s="150"/>
      <c r="BC636" s="466"/>
      <c r="BD636" s="150"/>
      <c r="BE636" s="466"/>
      <c r="BF636" s="466"/>
      <c r="BG636" s="150"/>
      <c r="BH636" s="150"/>
      <c r="BI636" s="150"/>
      <c r="BJ636" s="466"/>
      <c r="BK636" s="152"/>
      <c r="BL636" s="160"/>
      <c r="BM636" s="150"/>
      <c r="BN636" s="150"/>
      <c r="BO636" s="150"/>
      <c r="BP636" s="152"/>
      <c r="BQ636" s="160"/>
      <c r="BR636" s="152"/>
      <c r="BS636" s="160"/>
    </row>
    <row r="637" spans="1:71" x14ac:dyDescent="0.3">
      <c r="A637" s="420">
        <f>DL!A634</f>
        <v>575</v>
      </c>
      <c r="B637" s="16" t="s">
        <v>346</v>
      </c>
      <c r="C637" s="149">
        <v>3000</v>
      </c>
      <c r="D637" s="149">
        <f>DL!C634</f>
        <v>100</v>
      </c>
      <c r="E637" s="150"/>
      <c r="F637" s="463"/>
      <c r="G637" s="150"/>
      <c r="H637" s="150"/>
      <c r="I637" s="466"/>
      <c r="J637" s="150"/>
      <c r="K637" s="168"/>
      <c r="L637" s="466">
        <v>1200</v>
      </c>
      <c r="M637" s="150">
        <v>1300</v>
      </c>
      <c r="N637" s="466"/>
      <c r="O637" s="150"/>
      <c r="P637" s="150">
        <v>1400</v>
      </c>
      <c r="Q637" s="150"/>
      <c r="R637" s="472"/>
      <c r="S637" s="466">
        <v>1200</v>
      </c>
      <c r="T637" s="150"/>
      <c r="U637" s="150"/>
      <c r="V637" s="150"/>
      <c r="W637" s="168"/>
      <c r="X637" s="150"/>
      <c r="Y637" s="466"/>
      <c r="Z637" s="455"/>
      <c r="AA637" s="150"/>
      <c r="AB637" s="490"/>
      <c r="AC637" s="150"/>
      <c r="AD637" s="150"/>
      <c r="AE637" s="466"/>
      <c r="AF637" s="499"/>
      <c r="AG637" s="150">
        <v>1290</v>
      </c>
      <c r="AH637" s="150"/>
      <c r="AI637" s="150"/>
      <c r="AJ637" s="150"/>
      <c r="AK637" s="150"/>
      <c r="AL637" s="150"/>
      <c r="AM637" s="150"/>
      <c r="AN637" s="150"/>
      <c r="AO637" s="466"/>
      <c r="AP637" s="150"/>
      <c r="AQ637" s="150"/>
      <c r="AR637" s="151"/>
      <c r="AS637" s="456"/>
      <c r="AT637" s="151"/>
      <c r="AU637" s="150"/>
      <c r="AV637" s="487"/>
      <c r="AW637" s="150"/>
      <c r="AX637" s="150"/>
      <c r="AY637" s="466"/>
      <c r="AZ637" s="150"/>
      <c r="BA637" s="150"/>
      <c r="BB637" s="150"/>
      <c r="BC637" s="466"/>
      <c r="BD637" s="150"/>
      <c r="BE637" s="466"/>
      <c r="BF637" s="466"/>
      <c r="BG637" s="150">
        <v>1550</v>
      </c>
      <c r="BH637" s="150"/>
      <c r="BI637" s="150"/>
      <c r="BJ637" s="466"/>
      <c r="BK637" s="152"/>
      <c r="BL637" s="160"/>
      <c r="BM637" s="150"/>
      <c r="BN637" s="150"/>
      <c r="BO637" s="150"/>
      <c r="BP637" s="152"/>
      <c r="BQ637" s="160"/>
      <c r="BR637" s="152"/>
      <c r="BS637" s="160"/>
    </row>
    <row r="638" spans="1:71" x14ac:dyDescent="0.3">
      <c r="A638" s="420">
        <f>DL!A635</f>
        <v>576</v>
      </c>
      <c r="B638" s="16" t="s">
        <v>347</v>
      </c>
      <c r="C638" s="149">
        <v>4000</v>
      </c>
      <c r="D638" s="149">
        <f>DL!C635</f>
        <v>100</v>
      </c>
      <c r="E638" s="150"/>
      <c r="F638" s="463"/>
      <c r="G638" s="150"/>
      <c r="H638" s="150"/>
      <c r="I638" s="466"/>
      <c r="J638" s="150"/>
      <c r="K638" s="168"/>
      <c r="L638" s="466">
        <v>1200</v>
      </c>
      <c r="M638" s="150">
        <v>1300</v>
      </c>
      <c r="N638" s="466"/>
      <c r="O638" s="150"/>
      <c r="P638" s="150"/>
      <c r="Q638" s="150"/>
      <c r="R638" s="472"/>
      <c r="S638" s="466">
        <v>1200</v>
      </c>
      <c r="T638" s="150"/>
      <c r="U638" s="150"/>
      <c r="V638" s="150"/>
      <c r="W638" s="168"/>
      <c r="X638" s="150"/>
      <c r="Y638" s="466"/>
      <c r="Z638" s="455"/>
      <c r="AA638" s="150"/>
      <c r="AB638" s="490"/>
      <c r="AC638" s="150"/>
      <c r="AD638" s="150"/>
      <c r="AE638" s="466"/>
      <c r="AF638" s="499"/>
      <c r="AG638" s="150">
        <v>1290</v>
      </c>
      <c r="AH638" s="150"/>
      <c r="AI638" s="150"/>
      <c r="AJ638" s="150"/>
      <c r="AK638" s="150"/>
      <c r="AL638" s="150"/>
      <c r="AM638" s="150"/>
      <c r="AN638" s="150"/>
      <c r="AO638" s="466"/>
      <c r="AP638" s="150"/>
      <c r="AQ638" s="150"/>
      <c r="AR638" s="151"/>
      <c r="AS638" s="456"/>
      <c r="AT638" s="151"/>
      <c r="AU638" s="150"/>
      <c r="AV638" s="487"/>
      <c r="AW638" s="150"/>
      <c r="AX638" s="150"/>
      <c r="AY638" s="466"/>
      <c r="AZ638" s="150"/>
      <c r="BA638" s="150"/>
      <c r="BB638" s="150"/>
      <c r="BC638" s="466"/>
      <c r="BD638" s="150"/>
      <c r="BE638" s="466"/>
      <c r="BF638" s="466"/>
      <c r="BG638" s="150">
        <v>1700</v>
      </c>
      <c r="BH638" s="150"/>
      <c r="BI638" s="150"/>
      <c r="BJ638" s="466"/>
      <c r="BK638" s="152"/>
      <c r="BL638" s="160"/>
      <c r="BM638" s="150"/>
      <c r="BN638" s="150"/>
      <c r="BO638" s="150"/>
      <c r="BP638" s="152"/>
      <c r="BQ638" s="160"/>
      <c r="BR638" s="152"/>
      <c r="BS638" s="160"/>
    </row>
    <row r="639" spans="1:71" x14ac:dyDescent="0.3">
      <c r="A639" s="420">
        <f>DL!A636</f>
        <v>577</v>
      </c>
      <c r="B639" s="16" t="s">
        <v>1437</v>
      </c>
      <c r="C639" s="149">
        <f>DL!L636</f>
        <v>100</v>
      </c>
      <c r="D639" s="149">
        <f>DL!C636</f>
        <v>100</v>
      </c>
      <c r="E639" s="150"/>
      <c r="F639" s="463"/>
      <c r="G639" s="150"/>
      <c r="H639" s="150"/>
      <c r="I639" s="466"/>
      <c r="J639" s="150"/>
      <c r="K639" s="168"/>
      <c r="L639" s="470">
        <f>200*100</f>
        <v>20000</v>
      </c>
      <c r="M639" s="150">
        <v>19000</v>
      </c>
      <c r="N639" s="466"/>
      <c r="O639" s="150"/>
      <c r="P639" s="150"/>
      <c r="Q639" s="150"/>
      <c r="R639" s="472"/>
      <c r="S639" s="466">
        <f>100*180</f>
        <v>18000</v>
      </c>
      <c r="T639" s="150"/>
      <c r="U639" s="150"/>
      <c r="V639" s="150"/>
      <c r="W639" s="168"/>
      <c r="X639" s="150"/>
      <c r="Y639" s="466"/>
      <c r="Z639" s="455"/>
      <c r="AA639" s="150"/>
      <c r="AB639" s="490"/>
      <c r="AC639" s="150">
        <v>17000</v>
      </c>
      <c r="AD639" s="150"/>
      <c r="AE639" s="466"/>
      <c r="AF639" s="499"/>
      <c r="AG639" s="150"/>
      <c r="AH639" s="150"/>
      <c r="AI639" s="150"/>
      <c r="AJ639" s="150"/>
      <c r="AK639" s="150"/>
      <c r="AL639" s="150"/>
      <c r="AM639" s="150"/>
      <c r="AN639" s="150"/>
      <c r="AO639" s="466"/>
      <c r="AP639" s="150"/>
      <c r="AQ639" s="150"/>
      <c r="AR639" s="151"/>
      <c r="AS639" s="456"/>
      <c r="AT639" s="151"/>
      <c r="AU639" s="150"/>
      <c r="AV639" s="487"/>
      <c r="AW639" s="150"/>
      <c r="AX639" s="150"/>
      <c r="AY639" s="466"/>
      <c r="AZ639" s="150"/>
      <c r="BA639" s="150"/>
      <c r="BB639" s="150"/>
      <c r="BC639" s="466"/>
      <c r="BD639" s="150"/>
      <c r="BE639" s="466"/>
      <c r="BF639" s="466"/>
      <c r="BG639" s="150"/>
      <c r="BH639" s="150"/>
      <c r="BI639" s="150"/>
      <c r="BJ639" s="466"/>
      <c r="BK639" s="152"/>
      <c r="BL639" s="160"/>
      <c r="BM639" s="150"/>
      <c r="BN639" s="150"/>
      <c r="BO639" s="150"/>
      <c r="BP639" s="152"/>
      <c r="BQ639" s="160"/>
      <c r="BR639" s="152"/>
      <c r="BS639" s="160"/>
    </row>
    <row r="640" spans="1:71" x14ac:dyDescent="0.3">
      <c r="A640" s="420">
        <f>DL!A637</f>
        <v>578</v>
      </c>
      <c r="B640" s="16" t="s">
        <v>348</v>
      </c>
      <c r="C640" s="149">
        <v>12</v>
      </c>
      <c r="D640" s="149">
        <f>DL!C637</f>
        <v>400</v>
      </c>
      <c r="E640" s="150"/>
      <c r="F640" s="463"/>
      <c r="G640" s="150"/>
      <c r="H640" s="150"/>
      <c r="I640" s="466"/>
      <c r="J640" s="150"/>
      <c r="K640" s="168"/>
      <c r="L640" s="470">
        <f>8*3700</f>
        <v>29600</v>
      </c>
      <c r="M640" s="150">
        <v>27600</v>
      </c>
      <c r="N640" s="466"/>
      <c r="O640" s="150"/>
      <c r="P640" s="150"/>
      <c r="Q640" s="150"/>
      <c r="R640" s="472"/>
      <c r="S640" s="466">
        <v>23000</v>
      </c>
      <c r="T640" s="150"/>
      <c r="U640" s="150"/>
      <c r="V640" s="150"/>
      <c r="W640" s="168"/>
      <c r="X640" s="150"/>
      <c r="Y640" s="466"/>
      <c r="Z640" s="455"/>
      <c r="AA640" s="150"/>
      <c r="AB640" s="490"/>
      <c r="AC640" s="150">
        <v>28600</v>
      </c>
      <c r="AD640" s="150"/>
      <c r="AE640" s="466"/>
      <c r="AF640" s="499"/>
      <c r="AG640" s="150"/>
      <c r="AH640" s="150"/>
      <c r="AI640" s="150"/>
      <c r="AJ640" s="150"/>
      <c r="AK640" s="150"/>
      <c r="AL640" s="150"/>
      <c r="AM640" s="150"/>
      <c r="AN640" s="150"/>
      <c r="AO640" s="466"/>
      <c r="AP640" s="150"/>
      <c r="AQ640" s="150"/>
      <c r="AR640" s="151"/>
      <c r="AS640" s="456"/>
      <c r="AT640" s="151"/>
      <c r="AU640" s="150"/>
      <c r="AV640" s="487"/>
      <c r="AW640" s="150"/>
      <c r="AX640" s="150"/>
      <c r="AY640" s="466"/>
      <c r="AZ640" s="150"/>
      <c r="BA640" s="150"/>
      <c r="BB640" s="150"/>
      <c r="BC640" s="466"/>
      <c r="BD640" s="150"/>
      <c r="BE640" s="466"/>
      <c r="BF640" s="466"/>
      <c r="BG640" s="150"/>
      <c r="BH640" s="150"/>
      <c r="BI640" s="150"/>
      <c r="BJ640" s="466"/>
      <c r="BK640" s="152"/>
      <c r="BL640" s="160"/>
      <c r="BM640" s="150"/>
      <c r="BN640" s="150"/>
      <c r="BO640" s="150"/>
      <c r="BP640" s="152"/>
      <c r="BQ640" s="160"/>
      <c r="BR640" s="152"/>
      <c r="BS640" s="160"/>
    </row>
    <row r="641" spans="1:71" x14ac:dyDescent="0.3">
      <c r="A641" s="420">
        <f>DL!A638</f>
        <v>579</v>
      </c>
      <c r="B641" s="16" t="s">
        <v>523</v>
      </c>
      <c r="C641" s="149">
        <v>20</v>
      </c>
      <c r="D641" s="149">
        <f>DL!C638</f>
        <v>50</v>
      </c>
      <c r="E641" s="150"/>
      <c r="F641" s="463"/>
      <c r="G641" s="150"/>
      <c r="H641" s="150"/>
      <c r="I641" s="466"/>
      <c r="J641" s="150"/>
      <c r="K641" s="168"/>
      <c r="L641" s="466">
        <v>2200</v>
      </c>
      <c r="M641" s="150">
        <v>2130</v>
      </c>
      <c r="N641" s="466"/>
      <c r="O641" s="150"/>
      <c r="P641" s="150"/>
      <c r="Q641" s="150"/>
      <c r="R641" s="472"/>
      <c r="S641" s="466">
        <v>2000</v>
      </c>
      <c r="T641" s="150"/>
      <c r="U641" s="150"/>
      <c r="V641" s="150"/>
      <c r="W641" s="168">
        <v>2500</v>
      </c>
      <c r="X641" s="150"/>
      <c r="Y641" s="466"/>
      <c r="Z641" s="455"/>
      <c r="AA641" s="150"/>
      <c r="AB641" s="490"/>
      <c r="AC641" s="150"/>
      <c r="AD641" s="150"/>
      <c r="AE641" s="466"/>
      <c r="AF641" s="499"/>
      <c r="AG641" s="150"/>
      <c r="AH641" s="150"/>
      <c r="AI641" s="150"/>
      <c r="AJ641" s="150"/>
      <c r="AK641" s="150"/>
      <c r="AL641" s="150"/>
      <c r="AM641" s="150"/>
      <c r="AN641" s="150"/>
      <c r="AO641" s="466"/>
      <c r="AP641" s="150"/>
      <c r="AQ641" s="150"/>
      <c r="AR641" s="151"/>
      <c r="AS641" s="456"/>
      <c r="AT641" s="151"/>
      <c r="AU641" s="150"/>
      <c r="AV641" s="487"/>
      <c r="AW641" s="150"/>
      <c r="AX641" s="150"/>
      <c r="AY641" s="466"/>
      <c r="AZ641" s="150"/>
      <c r="BA641" s="150"/>
      <c r="BB641" s="150"/>
      <c r="BC641" s="466"/>
      <c r="BD641" s="150"/>
      <c r="BE641" s="466"/>
      <c r="BF641" s="466"/>
      <c r="BG641" s="150"/>
      <c r="BH641" s="150"/>
      <c r="BI641" s="150"/>
      <c r="BJ641" s="466"/>
      <c r="BK641" s="152"/>
      <c r="BL641" s="160"/>
      <c r="BM641" s="150"/>
      <c r="BN641" s="150"/>
      <c r="BO641" s="150"/>
      <c r="BP641" s="152"/>
      <c r="BQ641" s="160"/>
      <c r="BR641" s="152"/>
      <c r="BS641" s="160"/>
    </row>
    <row r="642" spans="1:71" x14ac:dyDescent="0.3">
      <c r="A642" s="420">
        <f>DL!A639</f>
        <v>580</v>
      </c>
      <c r="B642" s="16" t="s">
        <v>525</v>
      </c>
      <c r="C642" s="149">
        <v>300</v>
      </c>
      <c r="D642" s="149">
        <f>DL!C639</f>
        <v>50</v>
      </c>
      <c r="E642" s="150"/>
      <c r="F642" s="463"/>
      <c r="G642" s="150"/>
      <c r="H642" s="150"/>
      <c r="I642" s="466"/>
      <c r="J642" s="150"/>
      <c r="K642" s="168"/>
      <c r="L642" s="466">
        <v>2200</v>
      </c>
      <c r="M642" s="150">
        <v>2130</v>
      </c>
      <c r="N642" s="466"/>
      <c r="O642" s="150"/>
      <c r="P642" s="150"/>
      <c r="Q642" s="150"/>
      <c r="R642" s="472"/>
      <c r="S642" s="466">
        <v>2000</v>
      </c>
      <c r="T642" s="150"/>
      <c r="U642" s="150"/>
      <c r="V642" s="150"/>
      <c r="W642" s="168">
        <v>2500</v>
      </c>
      <c r="X642" s="150"/>
      <c r="Y642" s="466"/>
      <c r="Z642" s="455"/>
      <c r="AA642" s="150"/>
      <c r="AB642" s="490"/>
      <c r="AC642" s="150"/>
      <c r="AD642" s="150"/>
      <c r="AE642" s="466"/>
      <c r="AF642" s="499"/>
      <c r="AG642" s="150"/>
      <c r="AH642" s="150"/>
      <c r="AI642" s="150"/>
      <c r="AJ642" s="150"/>
      <c r="AK642" s="150"/>
      <c r="AL642" s="150"/>
      <c r="AM642" s="150"/>
      <c r="AN642" s="150"/>
      <c r="AO642" s="466"/>
      <c r="AP642" s="150"/>
      <c r="AQ642" s="150"/>
      <c r="AR642" s="151"/>
      <c r="AS642" s="456"/>
      <c r="AT642" s="151"/>
      <c r="AU642" s="150"/>
      <c r="AV642" s="487"/>
      <c r="AW642" s="150"/>
      <c r="AX642" s="150"/>
      <c r="AY642" s="466"/>
      <c r="AZ642" s="150"/>
      <c r="BA642" s="150"/>
      <c r="BB642" s="150"/>
      <c r="BC642" s="466"/>
      <c r="BD642" s="150"/>
      <c r="BE642" s="466"/>
      <c r="BF642" s="466"/>
      <c r="BG642" s="150">
        <v>1900</v>
      </c>
      <c r="BH642" s="150"/>
      <c r="BI642" s="150"/>
      <c r="BJ642" s="466"/>
      <c r="BK642" s="152"/>
      <c r="BL642" s="160"/>
      <c r="BM642" s="150"/>
      <c r="BN642" s="150"/>
      <c r="BO642" s="150"/>
      <c r="BP642" s="152"/>
      <c r="BQ642" s="160"/>
      <c r="BR642" s="152"/>
      <c r="BS642" s="160"/>
    </row>
    <row r="643" spans="1:71" x14ac:dyDescent="0.3">
      <c r="A643" s="420">
        <f>DL!A640</f>
        <v>581</v>
      </c>
      <c r="B643" s="16" t="s">
        <v>526</v>
      </c>
      <c r="C643" s="149">
        <v>400</v>
      </c>
      <c r="D643" s="149">
        <f>DL!C640</f>
        <v>50</v>
      </c>
      <c r="E643" s="150"/>
      <c r="F643" s="463"/>
      <c r="G643" s="150"/>
      <c r="H643" s="150"/>
      <c r="I643" s="466"/>
      <c r="J643" s="150"/>
      <c r="K643" s="168"/>
      <c r="L643" s="466">
        <v>2200</v>
      </c>
      <c r="M643" s="150">
        <v>2130</v>
      </c>
      <c r="N643" s="466"/>
      <c r="O643" s="150"/>
      <c r="P643" s="150"/>
      <c r="Q643" s="150"/>
      <c r="R643" s="472"/>
      <c r="S643" s="466">
        <v>2000</v>
      </c>
      <c r="T643" s="150"/>
      <c r="U643" s="150"/>
      <c r="V643" s="150"/>
      <c r="W643" s="168">
        <v>2500</v>
      </c>
      <c r="X643" s="150"/>
      <c r="Y643" s="466"/>
      <c r="Z643" s="455"/>
      <c r="AA643" s="150"/>
      <c r="AB643" s="490"/>
      <c r="AC643" s="150"/>
      <c r="AD643" s="150"/>
      <c r="AE643" s="466"/>
      <c r="AF643" s="499"/>
      <c r="AG643" s="150"/>
      <c r="AH643" s="150"/>
      <c r="AI643" s="150"/>
      <c r="AJ643" s="150"/>
      <c r="AK643" s="150"/>
      <c r="AL643" s="150"/>
      <c r="AM643" s="150"/>
      <c r="AN643" s="150"/>
      <c r="AO643" s="466"/>
      <c r="AP643" s="150"/>
      <c r="AQ643" s="150"/>
      <c r="AR643" s="151"/>
      <c r="AS643" s="456"/>
      <c r="AT643" s="151"/>
      <c r="AU643" s="150"/>
      <c r="AV643" s="487"/>
      <c r="AW643" s="150"/>
      <c r="AX643" s="150"/>
      <c r="AY643" s="466"/>
      <c r="AZ643" s="150"/>
      <c r="BA643" s="150"/>
      <c r="BB643" s="150"/>
      <c r="BC643" s="466"/>
      <c r="BD643" s="150"/>
      <c r="BE643" s="466"/>
      <c r="BF643" s="466"/>
      <c r="BG643" s="150">
        <v>1900</v>
      </c>
      <c r="BH643" s="150"/>
      <c r="BI643" s="150"/>
      <c r="BJ643" s="466"/>
      <c r="BK643" s="152"/>
      <c r="BL643" s="160"/>
      <c r="BM643" s="150"/>
      <c r="BN643" s="150"/>
      <c r="BO643" s="150"/>
      <c r="BP643" s="152"/>
      <c r="BQ643" s="160"/>
      <c r="BR643" s="152"/>
      <c r="BS643" s="160"/>
    </row>
    <row r="644" spans="1:71" x14ac:dyDescent="0.3">
      <c r="A644" s="420">
        <f>DL!A641</f>
        <v>582</v>
      </c>
      <c r="B644" s="16" t="s">
        <v>527</v>
      </c>
      <c r="C644" s="149">
        <v>200</v>
      </c>
      <c r="D644" s="149">
        <f>DL!C641</f>
        <v>50</v>
      </c>
      <c r="E644" s="150"/>
      <c r="F644" s="463"/>
      <c r="G644" s="150"/>
      <c r="H644" s="150"/>
      <c r="I644" s="466"/>
      <c r="J644" s="150"/>
      <c r="K644" s="168"/>
      <c r="L644" s="466">
        <v>2200</v>
      </c>
      <c r="M644" s="150">
        <v>2130</v>
      </c>
      <c r="N644" s="466"/>
      <c r="O644" s="150"/>
      <c r="P644" s="150"/>
      <c r="Q644" s="150"/>
      <c r="R644" s="472"/>
      <c r="S644" s="466">
        <v>2000</v>
      </c>
      <c r="T644" s="150"/>
      <c r="U644" s="150"/>
      <c r="V644" s="150"/>
      <c r="W644" s="168">
        <v>2500</v>
      </c>
      <c r="X644" s="150"/>
      <c r="Y644" s="466"/>
      <c r="Z644" s="455"/>
      <c r="AA644" s="150"/>
      <c r="AB644" s="490"/>
      <c r="AC644" s="150"/>
      <c r="AD644" s="150"/>
      <c r="AE644" s="466"/>
      <c r="AF644" s="499"/>
      <c r="AG644" s="150"/>
      <c r="AH644" s="150"/>
      <c r="AI644" s="150"/>
      <c r="AJ644" s="150"/>
      <c r="AK644" s="150"/>
      <c r="AL644" s="150"/>
      <c r="AM644" s="150"/>
      <c r="AN644" s="150"/>
      <c r="AO644" s="466"/>
      <c r="AP644" s="150"/>
      <c r="AQ644" s="150"/>
      <c r="AR644" s="151"/>
      <c r="AS644" s="456"/>
      <c r="AT644" s="151"/>
      <c r="AU644" s="150"/>
      <c r="AV644" s="487"/>
      <c r="AW644" s="150"/>
      <c r="AX644" s="150"/>
      <c r="AY644" s="466"/>
      <c r="AZ644" s="150"/>
      <c r="BA644" s="150"/>
      <c r="BB644" s="150"/>
      <c r="BC644" s="466"/>
      <c r="BD644" s="150"/>
      <c r="BE644" s="466"/>
      <c r="BF644" s="466"/>
      <c r="BG644" s="150">
        <v>1900</v>
      </c>
      <c r="BH644" s="150"/>
      <c r="BI644" s="150"/>
      <c r="BJ644" s="466"/>
      <c r="BK644" s="152"/>
      <c r="BL644" s="160"/>
      <c r="BM644" s="150"/>
      <c r="BN644" s="150"/>
      <c r="BO644" s="150"/>
      <c r="BP644" s="152"/>
      <c r="BQ644" s="160"/>
      <c r="BR644" s="152"/>
      <c r="BS644" s="160"/>
    </row>
    <row r="645" spans="1:71" x14ac:dyDescent="0.3">
      <c r="A645" s="420">
        <f>DL!A642</f>
        <v>583</v>
      </c>
      <c r="B645" s="16" t="s">
        <v>528</v>
      </c>
      <c r="C645" s="149">
        <v>300</v>
      </c>
      <c r="D645" s="149">
        <f>DL!C642</f>
        <v>50</v>
      </c>
      <c r="E645" s="150"/>
      <c r="F645" s="463"/>
      <c r="G645" s="150"/>
      <c r="H645" s="150"/>
      <c r="I645" s="466"/>
      <c r="J645" s="150"/>
      <c r="K645" s="168"/>
      <c r="L645" s="466">
        <v>2300</v>
      </c>
      <c r="M645" s="150">
        <v>2200</v>
      </c>
      <c r="N645" s="466"/>
      <c r="O645" s="150"/>
      <c r="P645" s="150"/>
      <c r="Q645" s="150"/>
      <c r="R645" s="472"/>
      <c r="S645" s="466">
        <v>2100</v>
      </c>
      <c r="T645" s="150"/>
      <c r="U645" s="150"/>
      <c r="V645" s="150"/>
      <c r="W645" s="168">
        <v>3000</v>
      </c>
      <c r="X645" s="150"/>
      <c r="Y645" s="466"/>
      <c r="Z645" s="455"/>
      <c r="AA645" s="150"/>
      <c r="AB645" s="490"/>
      <c r="AC645" s="150"/>
      <c r="AD645" s="150"/>
      <c r="AE645" s="466"/>
      <c r="AF645" s="499"/>
      <c r="AG645" s="150"/>
      <c r="AH645" s="150"/>
      <c r="AI645" s="150"/>
      <c r="AJ645" s="150"/>
      <c r="AK645" s="150"/>
      <c r="AL645" s="150"/>
      <c r="AM645" s="150"/>
      <c r="AN645" s="150"/>
      <c r="AO645" s="466"/>
      <c r="AP645" s="150"/>
      <c r="AQ645" s="150"/>
      <c r="AR645" s="151"/>
      <c r="AS645" s="456"/>
      <c r="AT645" s="151"/>
      <c r="AU645" s="150"/>
      <c r="AV645" s="487"/>
      <c r="AW645" s="150"/>
      <c r="AX645" s="150"/>
      <c r="AY645" s="466"/>
      <c r="AZ645" s="150"/>
      <c r="BA645" s="150"/>
      <c r="BB645" s="150"/>
      <c r="BC645" s="466"/>
      <c r="BD645" s="150"/>
      <c r="BE645" s="466"/>
      <c r="BF645" s="466"/>
      <c r="BG645" s="150">
        <v>2250</v>
      </c>
      <c r="BH645" s="150"/>
      <c r="BI645" s="150"/>
      <c r="BJ645" s="466"/>
      <c r="BK645" s="152"/>
      <c r="BL645" s="160"/>
      <c r="BM645" s="150"/>
      <c r="BN645" s="150"/>
      <c r="BO645" s="150"/>
      <c r="BP645" s="152"/>
      <c r="BQ645" s="160"/>
      <c r="BR645" s="152"/>
      <c r="BS645" s="160"/>
    </row>
    <row r="646" spans="1:71" x14ac:dyDescent="0.3">
      <c r="A646" s="420">
        <f>DL!A643</f>
        <v>584</v>
      </c>
      <c r="B646" s="16" t="s">
        <v>349</v>
      </c>
      <c r="C646" s="149">
        <v>400</v>
      </c>
      <c r="D646" s="149">
        <f>DL!C643</f>
        <v>12</v>
      </c>
      <c r="E646" s="150"/>
      <c r="F646" s="463"/>
      <c r="G646" s="150"/>
      <c r="H646" s="150"/>
      <c r="I646" s="469"/>
      <c r="J646" s="150"/>
      <c r="K646" s="168"/>
      <c r="L646" s="469">
        <v>2300</v>
      </c>
      <c r="M646" s="150">
        <v>2300</v>
      </c>
      <c r="N646" s="469"/>
      <c r="O646" s="150"/>
      <c r="P646" s="150"/>
      <c r="Q646" s="150"/>
      <c r="R646" s="475"/>
      <c r="S646" s="476">
        <v>2200</v>
      </c>
      <c r="T646" s="150"/>
      <c r="U646" s="150"/>
      <c r="V646" s="150"/>
      <c r="W646" s="168"/>
      <c r="X646" s="150"/>
      <c r="Y646" s="469"/>
      <c r="Z646" s="455"/>
      <c r="AA646" s="150"/>
      <c r="AB646" s="492"/>
      <c r="AC646" s="150">
        <v>2250</v>
      </c>
      <c r="AD646" s="150"/>
      <c r="AE646" s="469"/>
      <c r="AF646" s="499"/>
      <c r="AG646" s="150"/>
      <c r="AH646" s="150"/>
      <c r="AI646" s="150"/>
      <c r="AJ646" s="150"/>
      <c r="AK646" s="150"/>
      <c r="AL646" s="150"/>
      <c r="AM646" s="150"/>
      <c r="AN646" s="150"/>
      <c r="AO646" s="469"/>
      <c r="AP646" s="150"/>
      <c r="AQ646" s="150"/>
      <c r="AR646" s="151"/>
      <c r="AS646" s="456"/>
      <c r="AT646" s="151"/>
      <c r="AU646" s="150"/>
      <c r="AV646" s="487"/>
      <c r="AW646" s="150"/>
      <c r="AX646" s="150"/>
      <c r="AY646" s="469"/>
      <c r="AZ646" s="150"/>
      <c r="BA646" s="150"/>
      <c r="BB646" s="150"/>
      <c r="BC646" s="469"/>
      <c r="BD646" s="150"/>
      <c r="BE646" s="469"/>
      <c r="BF646" s="469"/>
      <c r="BG646" s="150"/>
      <c r="BH646" s="150"/>
      <c r="BI646" s="150"/>
      <c r="BJ646" s="469"/>
      <c r="BK646" s="152"/>
      <c r="BL646" s="160"/>
      <c r="BM646" s="150"/>
      <c r="BN646" s="150"/>
      <c r="BO646" s="150"/>
      <c r="BP646" s="152"/>
      <c r="BQ646" s="160"/>
      <c r="BR646" s="152"/>
      <c r="BS646" s="160"/>
    </row>
    <row r="647" spans="1:71" x14ac:dyDescent="0.3">
      <c r="A647" s="420">
        <f>DL!A644</f>
        <v>585</v>
      </c>
      <c r="B647" s="16" t="s">
        <v>350</v>
      </c>
      <c r="C647" s="149">
        <f>DL!L644</f>
        <v>20</v>
      </c>
      <c r="D647" s="149">
        <f>DL!C644</f>
        <v>30</v>
      </c>
      <c r="E647" s="150">
        <v>34500</v>
      </c>
      <c r="F647" s="463"/>
      <c r="G647" s="150"/>
      <c r="H647" s="150"/>
      <c r="I647" s="469"/>
      <c r="J647" s="150"/>
      <c r="K647" s="168"/>
      <c r="L647" s="469">
        <v>1500</v>
      </c>
      <c r="M647" s="150"/>
      <c r="N647" s="469"/>
      <c r="O647" s="150"/>
      <c r="P647" s="150"/>
      <c r="Q647" s="150"/>
      <c r="R647" s="475"/>
      <c r="S647" s="476">
        <v>6000</v>
      </c>
      <c r="T647" s="150"/>
      <c r="U647" s="150"/>
      <c r="V647" s="150"/>
      <c r="W647" s="168"/>
      <c r="X647" s="150"/>
      <c r="Y647" s="469"/>
      <c r="Z647" s="455"/>
      <c r="AA647" s="150"/>
      <c r="AB647" s="492"/>
      <c r="AC647" s="150">
        <v>5085</v>
      </c>
      <c r="AD647" s="150"/>
      <c r="AE647" s="469"/>
      <c r="AF647" s="499"/>
      <c r="AG647" s="150"/>
      <c r="AH647" s="150"/>
      <c r="AI647" s="150"/>
      <c r="AJ647" s="150"/>
      <c r="AK647" s="150"/>
      <c r="AL647" s="150"/>
      <c r="AM647" s="150"/>
      <c r="AN647" s="150"/>
      <c r="AO647" s="469"/>
      <c r="AP647" s="150"/>
      <c r="AQ647" s="150"/>
      <c r="AR647" s="151"/>
      <c r="AS647" s="456"/>
      <c r="AT647" s="151"/>
      <c r="AU647" s="150"/>
      <c r="AV647" s="487"/>
      <c r="AW647" s="150"/>
      <c r="AX647" s="150"/>
      <c r="AY647" s="469"/>
      <c r="AZ647" s="150"/>
      <c r="BA647" s="150"/>
      <c r="BB647" s="150"/>
      <c r="BC647" s="469"/>
      <c r="BD647" s="150"/>
      <c r="BE647" s="469"/>
      <c r="BF647" s="469"/>
      <c r="BG647" s="150"/>
      <c r="BH647" s="150"/>
      <c r="BI647" s="150"/>
      <c r="BJ647" s="469"/>
      <c r="BK647" s="152"/>
      <c r="BL647" s="160"/>
      <c r="BM647" s="150"/>
      <c r="BN647" s="150"/>
      <c r="BO647" s="150"/>
      <c r="BP647" s="152"/>
      <c r="BQ647" s="160"/>
      <c r="BR647" s="152"/>
      <c r="BS647" s="160"/>
    </row>
    <row r="648" spans="1:71" x14ac:dyDescent="0.3">
      <c r="A648" s="420">
        <f>DL!A645</f>
        <v>586</v>
      </c>
      <c r="B648" s="16" t="s">
        <v>351</v>
      </c>
      <c r="C648" s="149">
        <f>DL!L645</f>
        <v>20</v>
      </c>
      <c r="D648" s="149">
        <f>DL!C645</f>
        <v>50</v>
      </c>
      <c r="E648" s="150">
        <v>13500</v>
      </c>
      <c r="F648" s="463"/>
      <c r="G648" s="150"/>
      <c r="H648" s="150"/>
      <c r="I648" s="469"/>
      <c r="J648" s="150"/>
      <c r="K648" s="168"/>
      <c r="L648" s="660">
        <f>250*50</f>
        <v>12500</v>
      </c>
      <c r="M648" s="150">
        <v>8625</v>
      </c>
      <c r="N648" s="469"/>
      <c r="O648" s="150"/>
      <c r="P648" s="150"/>
      <c r="Q648" s="150"/>
      <c r="R648" s="475"/>
      <c r="S648" s="476">
        <v>10000</v>
      </c>
      <c r="T648" s="150"/>
      <c r="U648" s="150"/>
      <c r="V648" s="150"/>
      <c r="W648" s="168"/>
      <c r="X648" s="150"/>
      <c r="Y648" s="469"/>
      <c r="Z648" s="455"/>
      <c r="AA648" s="150"/>
      <c r="AB648" s="492"/>
      <c r="AC648" s="150">
        <v>5100</v>
      </c>
      <c r="AD648" s="150"/>
      <c r="AE648" s="469"/>
      <c r="AF648" s="499"/>
      <c r="AG648" s="150"/>
      <c r="AH648" s="150"/>
      <c r="AI648" s="150"/>
      <c r="AJ648" s="150"/>
      <c r="AK648" s="150"/>
      <c r="AL648" s="150"/>
      <c r="AM648" s="150"/>
      <c r="AN648" s="150"/>
      <c r="AO648" s="469"/>
      <c r="AP648" s="150"/>
      <c r="AQ648" s="150"/>
      <c r="AR648" s="151"/>
      <c r="AS648" s="456"/>
      <c r="AT648" s="151"/>
      <c r="AU648" s="150"/>
      <c r="AV648" s="487"/>
      <c r="AW648" s="150"/>
      <c r="AX648" s="150"/>
      <c r="AY648" s="469"/>
      <c r="AZ648" s="150"/>
      <c r="BA648" s="150"/>
      <c r="BB648" s="150"/>
      <c r="BC648" s="469"/>
      <c r="BD648" s="150"/>
      <c r="BE648" s="469"/>
      <c r="BF648" s="469"/>
      <c r="BG648" s="150"/>
      <c r="BH648" s="150"/>
      <c r="BI648" s="150"/>
      <c r="BJ648" s="469"/>
      <c r="BK648" s="152"/>
      <c r="BL648" s="160"/>
      <c r="BM648" s="150"/>
      <c r="BN648" s="150"/>
      <c r="BO648" s="150"/>
      <c r="BP648" s="152"/>
      <c r="BQ648" s="160"/>
      <c r="BR648" s="152"/>
      <c r="BS648" s="160"/>
    </row>
    <row r="649" spans="1:71" x14ac:dyDescent="0.3">
      <c r="A649" s="420">
        <f>DL!A646</f>
        <v>587</v>
      </c>
      <c r="B649" s="16" t="s">
        <v>529</v>
      </c>
      <c r="C649" s="149">
        <f>DL!L646</f>
        <v>20</v>
      </c>
      <c r="D649" s="149">
        <f>DL!C646</f>
        <v>100</v>
      </c>
      <c r="E649" s="150"/>
      <c r="F649" s="463"/>
      <c r="G649" s="150"/>
      <c r="H649" s="150"/>
      <c r="I649" s="469"/>
      <c r="J649" s="150"/>
      <c r="K649" s="168"/>
      <c r="L649" s="469">
        <v>1900</v>
      </c>
      <c r="M649" s="150">
        <v>1725</v>
      </c>
      <c r="N649" s="469"/>
      <c r="O649" s="150"/>
      <c r="P649" s="150"/>
      <c r="Q649" s="150"/>
      <c r="R649" s="475"/>
      <c r="S649" s="476">
        <v>1900</v>
      </c>
      <c r="T649" s="150"/>
      <c r="U649" s="150"/>
      <c r="V649" s="150"/>
      <c r="W649" s="168"/>
      <c r="X649" s="150"/>
      <c r="Y649" s="469"/>
      <c r="Z649" s="455"/>
      <c r="AA649" s="150"/>
      <c r="AB649" s="492"/>
      <c r="AC649" s="150"/>
      <c r="AD649" s="150"/>
      <c r="AE649" s="469"/>
      <c r="AF649" s="499"/>
      <c r="AG649" s="150"/>
      <c r="AH649" s="150"/>
      <c r="AI649" s="150"/>
      <c r="AJ649" s="150"/>
      <c r="AK649" s="150"/>
      <c r="AL649" s="150"/>
      <c r="AM649" s="150"/>
      <c r="AN649" s="150"/>
      <c r="AO649" s="469"/>
      <c r="AP649" s="150"/>
      <c r="AQ649" s="150"/>
      <c r="AR649" s="151"/>
      <c r="AS649" s="456"/>
      <c r="AT649" s="151"/>
      <c r="AU649" s="150"/>
      <c r="AV649" s="487"/>
      <c r="AW649" s="150"/>
      <c r="AX649" s="150"/>
      <c r="AY649" s="469"/>
      <c r="AZ649" s="150"/>
      <c r="BA649" s="150"/>
      <c r="BB649" s="150"/>
      <c r="BC649" s="469"/>
      <c r="BD649" s="150"/>
      <c r="BE649" s="469"/>
      <c r="BF649" s="469"/>
      <c r="BG649" s="150"/>
      <c r="BH649" s="150"/>
      <c r="BI649" s="150"/>
      <c r="BJ649" s="469"/>
      <c r="BK649" s="152"/>
      <c r="BL649" s="160"/>
      <c r="BM649" s="150"/>
      <c r="BN649" s="150"/>
      <c r="BO649" s="150"/>
      <c r="BP649" s="152"/>
      <c r="BQ649" s="160"/>
      <c r="BR649" s="152"/>
      <c r="BS649" s="160"/>
    </row>
    <row r="650" spans="1:71" x14ac:dyDescent="0.3">
      <c r="A650" s="420">
        <f>DL!A647</f>
        <v>588</v>
      </c>
      <c r="B650" s="16" t="s">
        <v>352</v>
      </c>
      <c r="C650" s="149">
        <f>DL!L647</f>
        <v>20</v>
      </c>
      <c r="D650" s="149">
        <f>DL!C647</f>
        <v>12</v>
      </c>
      <c r="E650" s="150"/>
      <c r="F650" s="463"/>
      <c r="G650" s="150"/>
      <c r="H650" s="150"/>
      <c r="I650" s="469"/>
      <c r="J650" s="150"/>
      <c r="K650" s="168"/>
      <c r="L650" s="469">
        <v>550</v>
      </c>
      <c r="M650" s="150">
        <v>460</v>
      </c>
      <c r="N650" s="469"/>
      <c r="O650" s="150"/>
      <c r="P650" s="150"/>
      <c r="Q650" s="150"/>
      <c r="R650" s="475"/>
      <c r="S650" s="476">
        <v>480</v>
      </c>
      <c r="T650" s="150"/>
      <c r="U650" s="150"/>
      <c r="V650" s="150"/>
      <c r="W650" s="168"/>
      <c r="X650" s="150"/>
      <c r="Y650" s="469"/>
      <c r="Z650" s="455"/>
      <c r="AA650" s="150"/>
      <c r="AB650" s="492"/>
      <c r="AC650" s="150">
        <v>490</v>
      </c>
      <c r="AD650" s="150"/>
      <c r="AE650" s="469"/>
      <c r="AF650" s="499"/>
      <c r="AG650" s="150"/>
      <c r="AH650" s="150"/>
      <c r="AI650" s="150"/>
      <c r="AJ650" s="150"/>
      <c r="AK650" s="150"/>
      <c r="AL650" s="150"/>
      <c r="AM650" s="150"/>
      <c r="AN650" s="150"/>
      <c r="AO650" s="469"/>
      <c r="AP650" s="150"/>
      <c r="AQ650" s="150"/>
      <c r="AR650" s="151"/>
      <c r="AS650" s="456"/>
      <c r="AT650" s="151"/>
      <c r="AU650" s="150"/>
      <c r="AV650" s="487"/>
      <c r="AW650" s="150"/>
      <c r="AX650" s="150"/>
      <c r="AY650" s="469"/>
      <c r="AZ650" s="150"/>
      <c r="BA650" s="150"/>
      <c r="BB650" s="150"/>
      <c r="BC650" s="469"/>
      <c r="BD650" s="150"/>
      <c r="BE650" s="469"/>
      <c r="BF650" s="469"/>
      <c r="BG650" s="150"/>
      <c r="BH650" s="150"/>
      <c r="BI650" s="150"/>
      <c r="BJ650" s="469"/>
      <c r="BK650" s="152"/>
      <c r="BL650" s="160"/>
      <c r="BM650" s="150"/>
      <c r="BN650" s="150"/>
      <c r="BO650" s="150"/>
      <c r="BP650" s="152"/>
      <c r="BQ650" s="160"/>
      <c r="BR650" s="152"/>
      <c r="BS650" s="160"/>
    </row>
    <row r="651" spans="1:71" x14ac:dyDescent="0.3">
      <c r="A651" s="420">
        <f>DL!A648</f>
        <v>589</v>
      </c>
      <c r="B651" s="16" t="s">
        <v>1432</v>
      </c>
      <c r="C651" s="149">
        <v>2200</v>
      </c>
      <c r="D651" s="149" t="str">
        <f>DL!C648</f>
        <v>ROLL</v>
      </c>
      <c r="E651" s="150">
        <v>700</v>
      </c>
      <c r="F651" s="463"/>
      <c r="G651" s="150"/>
      <c r="H651" s="150"/>
      <c r="I651" s="469"/>
      <c r="J651" s="150"/>
      <c r="K651" s="168"/>
      <c r="L651" s="469">
        <v>1000</v>
      </c>
      <c r="M651" s="150">
        <v>1100</v>
      </c>
      <c r="N651" s="469"/>
      <c r="O651" s="150"/>
      <c r="P651" s="150"/>
      <c r="Q651" s="150"/>
      <c r="R651" s="475"/>
      <c r="S651" s="476">
        <v>990</v>
      </c>
      <c r="T651" s="150"/>
      <c r="U651" s="150"/>
      <c r="V651" s="150"/>
      <c r="W651" s="168"/>
      <c r="X651" s="150"/>
      <c r="Y651" s="469"/>
      <c r="Z651" s="455"/>
      <c r="AA651" s="150"/>
      <c r="AB651" s="492"/>
      <c r="AC651" s="150"/>
      <c r="AD651" s="150"/>
      <c r="AE651" s="469"/>
      <c r="AF651" s="499"/>
      <c r="AG651" s="150"/>
      <c r="AH651" s="150"/>
      <c r="AI651" s="150"/>
      <c r="AJ651" s="150"/>
      <c r="AK651" s="150"/>
      <c r="AL651" s="150"/>
      <c r="AM651" s="150"/>
      <c r="AN651" s="150"/>
      <c r="AO651" s="469"/>
      <c r="AP651" s="150"/>
      <c r="AQ651" s="150"/>
      <c r="AR651" s="151"/>
      <c r="AS651" s="456"/>
      <c r="AT651" s="151"/>
      <c r="AU651" s="150"/>
      <c r="AV651" s="487"/>
      <c r="AW651" s="150"/>
      <c r="AX651" s="150"/>
      <c r="AY651" s="469"/>
      <c r="AZ651" s="150"/>
      <c r="BA651" s="150"/>
      <c r="BB651" s="150"/>
      <c r="BC651" s="469"/>
      <c r="BD651" s="150"/>
      <c r="BE651" s="469"/>
      <c r="BF651" s="469"/>
      <c r="BG651" s="150"/>
      <c r="BH651" s="150"/>
      <c r="BI651" s="150"/>
      <c r="BJ651" s="469"/>
      <c r="BK651" s="152"/>
      <c r="BL651" s="160"/>
      <c r="BM651" s="150"/>
      <c r="BN651" s="150"/>
      <c r="BO651" s="150"/>
      <c r="BP651" s="152"/>
      <c r="BQ651" s="160"/>
      <c r="BR651" s="152"/>
      <c r="BS651" s="160"/>
    </row>
    <row r="652" spans="1:71" x14ac:dyDescent="0.3">
      <c r="A652" s="420">
        <f>DL!A649</f>
        <v>590</v>
      </c>
      <c r="B652" s="16" t="s">
        <v>354</v>
      </c>
      <c r="C652" s="149">
        <v>400</v>
      </c>
      <c r="D652" s="149">
        <f>DL!C649</f>
        <v>100</v>
      </c>
      <c r="E652" s="150">
        <f>100*80</f>
        <v>8000</v>
      </c>
      <c r="F652" s="463"/>
      <c r="G652" s="150"/>
      <c r="H652" s="150"/>
      <c r="I652" s="469"/>
      <c r="J652" s="150"/>
      <c r="K652" s="168"/>
      <c r="L652" s="469">
        <v>3500</v>
      </c>
      <c r="M652" s="150">
        <v>4800</v>
      </c>
      <c r="N652" s="469"/>
      <c r="O652" s="150"/>
      <c r="P652" s="150"/>
      <c r="Q652" s="150"/>
      <c r="R652" s="475"/>
      <c r="S652" s="476">
        <v>3500</v>
      </c>
      <c r="T652" s="150"/>
      <c r="U652" s="150"/>
      <c r="V652" s="150"/>
      <c r="W652" s="168"/>
      <c r="X652" s="150"/>
      <c r="Y652" s="469"/>
      <c r="Z652" s="455"/>
      <c r="AA652" s="150"/>
      <c r="AB652" s="492"/>
      <c r="AC652" s="150">
        <v>3390</v>
      </c>
      <c r="AD652" s="150"/>
      <c r="AE652" s="469"/>
      <c r="AF652" s="499"/>
      <c r="AG652" s="150"/>
      <c r="AH652" s="150"/>
      <c r="AI652" s="150"/>
      <c r="AJ652" s="150"/>
      <c r="AK652" s="150"/>
      <c r="AL652" s="150"/>
      <c r="AM652" s="150"/>
      <c r="AN652" s="150"/>
      <c r="AO652" s="469"/>
      <c r="AP652" s="150"/>
      <c r="AQ652" s="150"/>
      <c r="AR652" s="151"/>
      <c r="AS652" s="456"/>
      <c r="AT652" s="151"/>
      <c r="AU652" s="150"/>
      <c r="AV652" s="487"/>
      <c r="AW652" s="150"/>
      <c r="AX652" s="150"/>
      <c r="AY652" s="469"/>
      <c r="AZ652" s="150"/>
      <c r="BA652" s="150"/>
      <c r="BB652" s="150"/>
      <c r="BC652" s="469"/>
      <c r="BD652" s="150"/>
      <c r="BE652" s="469"/>
      <c r="BF652" s="469"/>
      <c r="BG652" s="150"/>
      <c r="BH652" s="150"/>
      <c r="BI652" s="150"/>
      <c r="BJ652" s="469"/>
      <c r="BK652" s="152"/>
      <c r="BL652" s="160"/>
      <c r="BM652" s="150"/>
      <c r="BN652" s="150"/>
      <c r="BO652" s="150"/>
      <c r="BP652" s="152"/>
      <c r="BQ652" s="160"/>
      <c r="BR652" s="152"/>
      <c r="BS652" s="160"/>
    </row>
    <row r="653" spans="1:71" x14ac:dyDescent="0.3">
      <c r="A653" s="420">
        <f>DL!A650</f>
        <v>591</v>
      </c>
      <c r="B653" s="16" t="s">
        <v>355</v>
      </c>
      <c r="C653" s="149">
        <v>100</v>
      </c>
      <c r="D653" s="149">
        <f>DL!C650</f>
        <v>12</v>
      </c>
      <c r="E653" s="150"/>
      <c r="F653" s="463"/>
      <c r="G653" s="150"/>
      <c r="H653" s="150"/>
      <c r="I653" s="469"/>
      <c r="J653" s="150"/>
      <c r="K653" s="168"/>
      <c r="L653" s="469">
        <v>1100</v>
      </c>
      <c r="M653" s="150">
        <v>1050</v>
      </c>
      <c r="N653" s="469"/>
      <c r="O653" s="150"/>
      <c r="P653" s="150"/>
      <c r="Q653" s="150"/>
      <c r="R653" s="475"/>
      <c r="S653" s="476">
        <v>1100</v>
      </c>
      <c r="T653" s="150"/>
      <c r="U653" s="150"/>
      <c r="V653" s="150"/>
      <c r="W653" s="168"/>
      <c r="X653" s="150"/>
      <c r="Y653" s="469"/>
      <c r="Z653" s="455"/>
      <c r="AA653" s="150"/>
      <c r="AB653" s="492"/>
      <c r="AC653" s="150">
        <v>978</v>
      </c>
      <c r="AD653" s="150"/>
      <c r="AE653" s="469"/>
      <c r="AF653" s="499"/>
      <c r="AG653" s="150"/>
      <c r="AH653" s="150"/>
      <c r="AI653" s="150"/>
      <c r="AJ653" s="150"/>
      <c r="AK653" s="150"/>
      <c r="AL653" s="150"/>
      <c r="AM653" s="150"/>
      <c r="AN653" s="150"/>
      <c r="AO653" s="469"/>
      <c r="AP653" s="150"/>
      <c r="AQ653" s="150"/>
      <c r="AR653" s="151"/>
      <c r="AS653" s="456"/>
      <c r="AT653" s="151"/>
      <c r="AU653" s="150"/>
      <c r="AV653" s="487"/>
      <c r="AW653" s="150"/>
      <c r="AX653" s="150"/>
      <c r="AY653" s="469"/>
      <c r="AZ653" s="150"/>
      <c r="BA653" s="150"/>
      <c r="BB653" s="150"/>
      <c r="BC653" s="469"/>
      <c r="BD653" s="150"/>
      <c r="BE653" s="469"/>
      <c r="BF653" s="469"/>
      <c r="BG653" s="150"/>
      <c r="BH653" s="150"/>
      <c r="BI653" s="150"/>
      <c r="BJ653" s="469"/>
      <c r="BK653" s="152"/>
      <c r="BL653" s="160"/>
      <c r="BM653" s="150"/>
      <c r="BN653" s="150"/>
      <c r="BO653" s="150"/>
      <c r="BP653" s="152"/>
      <c r="BQ653" s="160"/>
      <c r="BR653" s="152"/>
      <c r="BS653" s="160"/>
    </row>
    <row r="654" spans="1:71" x14ac:dyDescent="0.3">
      <c r="A654" s="420">
        <f>DL!A651</f>
        <v>592</v>
      </c>
      <c r="B654" s="16" t="s">
        <v>356</v>
      </c>
      <c r="C654" s="149">
        <v>400</v>
      </c>
      <c r="D654" s="149">
        <f>DL!C651</f>
        <v>12</v>
      </c>
      <c r="E654" s="150"/>
      <c r="F654" s="463"/>
      <c r="G654" s="150"/>
      <c r="H654" s="150"/>
      <c r="I654" s="469"/>
      <c r="J654" s="150"/>
      <c r="K654" s="168"/>
      <c r="L654" s="469">
        <v>1300</v>
      </c>
      <c r="M654" s="150">
        <v>1300</v>
      </c>
      <c r="N654" s="469"/>
      <c r="O654" s="150"/>
      <c r="P654" s="150"/>
      <c r="Q654" s="150"/>
      <c r="R654" s="475"/>
      <c r="S654" s="476">
        <v>1320</v>
      </c>
      <c r="T654" s="150"/>
      <c r="U654" s="150"/>
      <c r="V654" s="150"/>
      <c r="W654" s="168"/>
      <c r="X654" s="150"/>
      <c r="Y654" s="469"/>
      <c r="Z654" s="455"/>
      <c r="AA654" s="150"/>
      <c r="AB654" s="492"/>
      <c r="AC654" s="150">
        <v>1243</v>
      </c>
      <c r="AD654" s="150"/>
      <c r="AE654" s="469"/>
      <c r="AF654" s="499"/>
      <c r="AG654" s="150"/>
      <c r="AH654" s="150"/>
      <c r="AI654" s="150"/>
      <c r="AJ654" s="150"/>
      <c r="AK654" s="150"/>
      <c r="AL654" s="150"/>
      <c r="AM654" s="150"/>
      <c r="AN654" s="150"/>
      <c r="AO654" s="469"/>
      <c r="AP654" s="150"/>
      <c r="AQ654" s="150"/>
      <c r="AR654" s="151"/>
      <c r="AS654" s="456"/>
      <c r="AT654" s="151"/>
      <c r="AU654" s="150"/>
      <c r="AV654" s="487"/>
      <c r="AW654" s="150"/>
      <c r="AX654" s="150"/>
      <c r="AY654" s="469"/>
      <c r="AZ654" s="150"/>
      <c r="BA654" s="150"/>
      <c r="BB654" s="150"/>
      <c r="BC654" s="469"/>
      <c r="BD654" s="150"/>
      <c r="BE654" s="469"/>
      <c r="BF654" s="469"/>
      <c r="BG654" s="150"/>
      <c r="BH654" s="150"/>
      <c r="BI654" s="150"/>
      <c r="BJ654" s="469"/>
      <c r="BK654" s="152"/>
      <c r="BL654" s="160"/>
      <c r="BM654" s="150"/>
      <c r="BN654" s="150"/>
      <c r="BO654" s="150"/>
      <c r="BP654" s="152"/>
      <c r="BQ654" s="160"/>
      <c r="BR654" s="152"/>
      <c r="BS654" s="160"/>
    </row>
    <row r="655" spans="1:71" x14ac:dyDescent="0.3">
      <c r="A655" s="420">
        <f>DL!A652</f>
        <v>593</v>
      </c>
      <c r="B655" s="16" t="s">
        <v>357</v>
      </c>
      <c r="C655" s="149">
        <f>DL!L652</f>
        <v>20</v>
      </c>
      <c r="D655" s="149">
        <f>DL!C652</f>
        <v>50</v>
      </c>
      <c r="E655" s="150"/>
      <c r="F655" s="463"/>
      <c r="G655" s="150"/>
      <c r="H655" s="150"/>
      <c r="I655" s="469"/>
      <c r="J655" s="150"/>
      <c r="K655" s="168"/>
      <c r="L655" s="469">
        <f>450*50</f>
        <v>22500</v>
      </c>
      <c r="M655" s="150">
        <v>18000</v>
      </c>
      <c r="N655" s="469"/>
      <c r="O655" s="150"/>
      <c r="P655" s="150"/>
      <c r="Q655" s="150"/>
      <c r="R655" s="475"/>
      <c r="S655" s="476">
        <v>17500</v>
      </c>
      <c r="T655" s="150"/>
      <c r="U655" s="150"/>
      <c r="V655" s="150"/>
      <c r="W655" s="168"/>
      <c r="X655" s="150"/>
      <c r="Y655" s="469"/>
      <c r="Z655" s="455"/>
      <c r="AA655" s="150"/>
      <c r="AB655" s="492"/>
      <c r="AC655" s="150"/>
      <c r="AD655" s="150"/>
      <c r="AE655" s="469"/>
      <c r="AF655" s="499"/>
      <c r="AG655" s="150"/>
      <c r="AH655" s="150"/>
      <c r="AI655" s="150"/>
      <c r="AJ655" s="150"/>
      <c r="AK655" s="150"/>
      <c r="AL655" s="150"/>
      <c r="AM655" s="150"/>
      <c r="AN655" s="150"/>
      <c r="AO655" s="469"/>
      <c r="AP655" s="150"/>
      <c r="AQ655" s="150"/>
      <c r="AR655" s="151"/>
      <c r="AS655" s="456"/>
      <c r="AT655" s="151"/>
      <c r="AU655" s="150"/>
      <c r="AV655" s="487"/>
      <c r="AW655" s="150"/>
      <c r="AX655" s="150"/>
      <c r="AY655" s="469"/>
      <c r="AZ655" s="150"/>
      <c r="BA655" s="150"/>
      <c r="BB655" s="150"/>
      <c r="BC655" s="469"/>
      <c r="BD655" s="150"/>
      <c r="BE655" s="469"/>
      <c r="BF655" s="469"/>
      <c r="BG655" s="150"/>
      <c r="BH655" s="150"/>
      <c r="BI655" s="150"/>
      <c r="BJ655" s="469"/>
      <c r="BK655" s="152"/>
      <c r="BL655" s="160"/>
      <c r="BM655" s="150"/>
      <c r="BN655" s="150"/>
      <c r="BO655" s="150"/>
      <c r="BP655" s="152"/>
      <c r="BQ655" s="160"/>
      <c r="BR655" s="152"/>
      <c r="BS655" s="160"/>
    </row>
    <row r="656" spans="1:71" x14ac:dyDescent="0.3">
      <c r="A656" s="420">
        <f>DL!A653</f>
        <v>594</v>
      </c>
      <c r="B656" s="16" t="s">
        <v>530</v>
      </c>
      <c r="C656" s="149">
        <f>DL!L653</f>
        <v>8</v>
      </c>
      <c r="D656" s="149">
        <f>DL!C653</f>
        <v>10</v>
      </c>
      <c r="E656" s="150"/>
      <c r="F656" s="463"/>
      <c r="G656" s="150"/>
      <c r="H656" s="150"/>
      <c r="I656" s="469"/>
      <c r="J656" s="150"/>
      <c r="K656" s="168"/>
      <c r="L656" s="469">
        <v>1800</v>
      </c>
      <c r="M656" s="150">
        <v>19000</v>
      </c>
      <c r="N656" s="469"/>
      <c r="O656" s="150"/>
      <c r="P656" s="150"/>
      <c r="Q656" s="150"/>
      <c r="R656" s="475"/>
      <c r="S656" s="476">
        <v>1900</v>
      </c>
      <c r="T656" s="150"/>
      <c r="U656" s="150"/>
      <c r="V656" s="150"/>
      <c r="W656" s="168"/>
      <c r="X656" s="150"/>
      <c r="Y656" s="469"/>
      <c r="Z656" s="455"/>
      <c r="AA656" s="150"/>
      <c r="AB656" s="492"/>
      <c r="AC656" s="150"/>
      <c r="AD656" s="150"/>
      <c r="AE656" s="469"/>
      <c r="AF656" s="499"/>
      <c r="AG656" s="150"/>
      <c r="AH656" s="150"/>
      <c r="AI656" s="150"/>
      <c r="AJ656" s="150"/>
      <c r="AK656" s="150"/>
      <c r="AL656" s="150"/>
      <c r="AM656" s="150"/>
      <c r="AN656" s="150"/>
      <c r="AO656" s="469"/>
      <c r="AP656" s="150"/>
      <c r="AQ656" s="150"/>
      <c r="AR656" s="151"/>
      <c r="AS656" s="456"/>
      <c r="AT656" s="151"/>
      <c r="AU656" s="150"/>
      <c r="AV656" s="487"/>
      <c r="AW656" s="150"/>
      <c r="AX656" s="150"/>
      <c r="AY656" s="469"/>
      <c r="AZ656" s="150"/>
      <c r="BA656" s="150"/>
      <c r="BB656" s="150"/>
      <c r="BC656" s="469"/>
      <c r="BD656" s="150"/>
      <c r="BE656" s="469"/>
      <c r="BF656" s="469"/>
      <c r="BG656" s="150"/>
      <c r="BH656" s="150"/>
      <c r="BI656" s="150"/>
      <c r="BJ656" s="469"/>
      <c r="BK656" s="152"/>
      <c r="BL656" s="160"/>
      <c r="BM656" s="150"/>
      <c r="BN656" s="150"/>
      <c r="BO656" s="150"/>
      <c r="BP656" s="152"/>
      <c r="BQ656" s="160"/>
      <c r="BR656" s="152"/>
      <c r="BS656" s="160"/>
    </row>
    <row r="657" spans="1:71" x14ac:dyDescent="0.3">
      <c r="A657" s="420">
        <f>DL!A654</f>
        <v>595</v>
      </c>
      <c r="B657" s="16" t="s">
        <v>531</v>
      </c>
      <c r="C657" s="149">
        <f>DL!L654</f>
        <v>4</v>
      </c>
      <c r="D657" s="149">
        <f>DL!C654</f>
        <v>10</v>
      </c>
      <c r="E657" s="150"/>
      <c r="F657" s="463"/>
      <c r="G657" s="150"/>
      <c r="H657" s="150"/>
      <c r="I657" s="469"/>
      <c r="J657" s="150"/>
      <c r="K657" s="168"/>
      <c r="L657" s="469">
        <v>1800</v>
      </c>
      <c r="M657" s="150">
        <v>19000</v>
      </c>
      <c r="N657" s="469"/>
      <c r="O657" s="150"/>
      <c r="P657" s="150"/>
      <c r="Q657" s="150"/>
      <c r="R657" s="475"/>
      <c r="S657" s="476">
        <v>1900</v>
      </c>
      <c r="T657" s="150"/>
      <c r="U657" s="150"/>
      <c r="V657" s="150"/>
      <c r="W657" s="168"/>
      <c r="X657" s="150"/>
      <c r="Y657" s="469"/>
      <c r="Z657" s="455"/>
      <c r="AA657" s="150"/>
      <c r="AB657" s="492"/>
      <c r="AC657" s="150"/>
      <c r="AD657" s="150"/>
      <c r="AE657" s="469"/>
      <c r="AF657" s="499"/>
      <c r="AG657" s="150"/>
      <c r="AH657" s="150"/>
      <c r="AI657" s="150"/>
      <c r="AJ657" s="150"/>
      <c r="AK657" s="150"/>
      <c r="AL657" s="150"/>
      <c r="AM657" s="150"/>
      <c r="AN657" s="150"/>
      <c r="AO657" s="469"/>
      <c r="AP657" s="150"/>
      <c r="AQ657" s="150"/>
      <c r="AR657" s="151"/>
      <c r="AS657" s="456"/>
      <c r="AT657" s="151"/>
      <c r="AU657" s="150"/>
      <c r="AV657" s="487"/>
      <c r="AW657" s="150"/>
      <c r="AX657" s="150"/>
      <c r="AY657" s="469"/>
      <c r="AZ657" s="150"/>
      <c r="BA657" s="150"/>
      <c r="BB657" s="150"/>
      <c r="BC657" s="469"/>
      <c r="BD657" s="150"/>
      <c r="BE657" s="469"/>
      <c r="BF657" s="469"/>
      <c r="BG657" s="150"/>
      <c r="BH657" s="150"/>
      <c r="BI657" s="150"/>
      <c r="BJ657" s="469"/>
      <c r="BK657" s="152"/>
      <c r="BL657" s="160"/>
      <c r="BM657" s="150"/>
      <c r="BN657" s="150"/>
      <c r="BO657" s="150"/>
      <c r="BP657" s="152"/>
      <c r="BQ657" s="160"/>
      <c r="BR657" s="152"/>
      <c r="BS657" s="160"/>
    </row>
    <row r="658" spans="1:71" x14ac:dyDescent="0.3">
      <c r="A658" s="420">
        <f>DL!A655</f>
        <v>596</v>
      </c>
      <c r="B658" s="16" t="s">
        <v>532</v>
      </c>
      <c r="C658" s="149">
        <f>DL!L655</f>
        <v>8</v>
      </c>
      <c r="D658" s="149">
        <f>DL!C655</f>
        <v>10</v>
      </c>
      <c r="E658" s="150"/>
      <c r="F658" s="463"/>
      <c r="G658" s="150"/>
      <c r="H658" s="150"/>
      <c r="I658" s="469"/>
      <c r="J658" s="150"/>
      <c r="K658" s="168"/>
      <c r="L658" s="469">
        <v>1800</v>
      </c>
      <c r="M658" s="150">
        <v>19000</v>
      </c>
      <c r="N658" s="469"/>
      <c r="O658" s="150"/>
      <c r="P658" s="150"/>
      <c r="Q658" s="150"/>
      <c r="R658" s="475"/>
      <c r="S658" s="476">
        <v>1900</v>
      </c>
      <c r="T658" s="150"/>
      <c r="U658" s="150"/>
      <c r="V658" s="150"/>
      <c r="W658" s="168"/>
      <c r="X658" s="150"/>
      <c r="Y658" s="469"/>
      <c r="Z658" s="455"/>
      <c r="AA658" s="150"/>
      <c r="AB658" s="492"/>
      <c r="AC658" s="150"/>
      <c r="AD658" s="150"/>
      <c r="AE658" s="469"/>
      <c r="AF658" s="499"/>
      <c r="AG658" s="150"/>
      <c r="AH658" s="150"/>
      <c r="AI658" s="150"/>
      <c r="AJ658" s="150"/>
      <c r="AK658" s="150"/>
      <c r="AL658" s="150"/>
      <c r="AM658" s="150"/>
      <c r="AN658" s="150"/>
      <c r="AO658" s="469"/>
      <c r="AP658" s="150"/>
      <c r="AQ658" s="150"/>
      <c r="AR658" s="151"/>
      <c r="AS658" s="456"/>
      <c r="AT658" s="151"/>
      <c r="AU658" s="150"/>
      <c r="AV658" s="487"/>
      <c r="AW658" s="150"/>
      <c r="AX658" s="150"/>
      <c r="AY658" s="469"/>
      <c r="AZ658" s="150"/>
      <c r="BA658" s="150"/>
      <c r="BB658" s="150"/>
      <c r="BC658" s="469"/>
      <c r="BD658" s="150"/>
      <c r="BE658" s="469"/>
      <c r="BF658" s="469"/>
      <c r="BG658" s="150"/>
      <c r="BH658" s="150"/>
      <c r="BI658" s="150"/>
      <c r="BJ658" s="469"/>
      <c r="BK658" s="152"/>
      <c r="BL658" s="160"/>
      <c r="BM658" s="150"/>
      <c r="BN658" s="150"/>
      <c r="BO658" s="150"/>
      <c r="BP658" s="152"/>
      <c r="BQ658" s="160"/>
      <c r="BR658" s="152"/>
      <c r="BS658" s="160"/>
    </row>
    <row r="659" spans="1:71" x14ac:dyDescent="0.3">
      <c r="A659" s="420">
        <f>DL!A656</f>
        <v>597</v>
      </c>
      <c r="B659" s="16" t="s">
        <v>533</v>
      </c>
      <c r="C659" s="149">
        <v>300</v>
      </c>
      <c r="D659" s="149">
        <f>DL!C656</f>
        <v>10</v>
      </c>
      <c r="E659" s="150"/>
      <c r="F659" s="463"/>
      <c r="G659" s="150"/>
      <c r="H659" s="150"/>
      <c r="I659" s="469"/>
      <c r="J659" s="150"/>
      <c r="K659" s="168"/>
      <c r="L659" s="469">
        <v>1800</v>
      </c>
      <c r="M659" s="150">
        <v>19000</v>
      </c>
      <c r="N659" s="469"/>
      <c r="O659" s="150"/>
      <c r="P659" s="150"/>
      <c r="Q659" s="150"/>
      <c r="R659" s="475"/>
      <c r="S659" s="476">
        <v>1600</v>
      </c>
      <c r="T659" s="150"/>
      <c r="U659" s="150"/>
      <c r="V659" s="150"/>
      <c r="W659" s="168"/>
      <c r="X659" s="150"/>
      <c r="Y659" s="469"/>
      <c r="Z659" s="455"/>
      <c r="AA659" s="150"/>
      <c r="AB659" s="492"/>
      <c r="AC659" s="150"/>
      <c r="AD659" s="150"/>
      <c r="AE659" s="469"/>
      <c r="AF659" s="499"/>
      <c r="AG659" s="150"/>
      <c r="AH659" s="150"/>
      <c r="AI659" s="150"/>
      <c r="AJ659" s="150"/>
      <c r="AK659" s="150"/>
      <c r="AL659" s="150"/>
      <c r="AM659" s="150"/>
      <c r="AN659" s="150"/>
      <c r="AO659" s="469"/>
      <c r="AP659" s="150"/>
      <c r="AQ659" s="150"/>
      <c r="AR659" s="151"/>
      <c r="AS659" s="456"/>
      <c r="AT659" s="151"/>
      <c r="AU659" s="150"/>
      <c r="AV659" s="487"/>
      <c r="AW659" s="150"/>
      <c r="AX659" s="150"/>
      <c r="AY659" s="469"/>
      <c r="AZ659" s="150"/>
      <c r="BA659" s="150"/>
      <c r="BB659" s="150"/>
      <c r="BC659" s="469"/>
      <c r="BD659" s="150"/>
      <c r="BE659" s="469"/>
      <c r="BF659" s="469"/>
      <c r="BG659" s="150"/>
      <c r="BH659" s="150"/>
      <c r="BI659" s="150"/>
      <c r="BJ659" s="469"/>
      <c r="BK659" s="152"/>
      <c r="BL659" s="160"/>
      <c r="BM659" s="150"/>
      <c r="BN659" s="150"/>
      <c r="BO659" s="150"/>
      <c r="BP659" s="152"/>
      <c r="BQ659" s="160"/>
      <c r="BR659" s="152"/>
      <c r="BS659" s="160"/>
    </row>
    <row r="660" spans="1:71" x14ac:dyDescent="0.3">
      <c r="A660" s="420">
        <f>DL!A657</f>
        <v>598</v>
      </c>
      <c r="B660" s="16" t="s">
        <v>534</v>
      </c>
      <c r="C660" s="149">
        <v>200</v>
      </c>
      <c r="D660" s="149">
        <f>DL!C657</f>
        <v>10</v>
      </c>
      <c r="E660" s="150"/>
      <c r="F660" s="463"/>
      <c r="G660" s="150"/>
      <c r="H660" s="150"/>
      <c r="I660" s="469"/>
      <c r="J660" s="150"/>
      <c r="K660" s="168"/>
      <c r="L660" s="469">
        <v>1800</v>
      </c>
      <c r="M660" s="150">
        <v>19000</v>
      </c>
      <c r="N660" s="469"/>
      <c r="O660" s="150"/>
      <c r="P660" s="150"/>
      <c r="Q660" s="150"/>
      <c r="R660" s="475"/>
      <c r="S660" s="476">
        <v>1600</v>
      </c>
      <c r="T660" s="150"/>
      <c r="U660" s="150"/>
      <c r="V660" s="150"/>
      <c r="W660" s="168"/>
      <c r="X660" s="150"/>
      <c r="Y660" s="469"/>
      <c r="Z660" s="455"/>
      <c r="AA660" s="150"/>
      <c r="AB660" s="492"/>
      <c r="AC660" s="150"/>
      <c r="AD660" s="150"/>
      <c r="AE660" s="469"/>
      <c r="AF660" s="499"/>
      <c r="AG660" s="150"/>
      <c r="AH660" s="150"/>
      <c r="AI660" s="150"/>
      <c r="AJ660" s="150"/>
      <c r="AK660" s="150"/>
      <c r="AL660" s="150"/>
      <c r="AM660" s="150"/>
      <c r="AN660" s="150"/>
      <c r="AO660" s="469"/>
      <c r="AP660" s="150"/>
      <c r="AQ660" s="150"/>
      <c r="AR660" s="151"/>
      <c r="AS660" s="456"/>
      <c r="AT660" s="151"/>
      <c r="AU660" s="150"/>
      <c r="AV660" s="487"/>
      <c r="AW660" s="150"/>
      <c r="AX660" s="150"/>
      <c r="AY660" s="469"/>
      <c r="AZ660" s="150"/>
      <c r="BA660" s="150"/>
      <c r="BB660" s="150"/>
      <c r="BC660" s="469"/>
      <c r="BD660" s="150"/>
      <c r="BE660" s="469"/>
      <c r="BF660" s="469"/>
      <c r="BG660" s="150"/>
      <c r="BH660" s="150"/>
      <c r="BI660" s="150"/>
      <c r="BJ660" s="469"/>
      <c r="BK660" s="152"/>
      <c r="BL660" s="160"/>
      <c r="BM660" s="150"/>
      <c r="BN660" s="150"/>
      <c r="BO660" s="150"/>
      <c r="BP660" s="152"/>
      <c r="BQ660" s="160"/>
      <c r="BR660" s="152"/>
      <c r="BS660" s="160"/>
    </row>
    <row r="661" spans="1:71" x14ac:dyDescent="0.3">
      <c r="A661" s="420">
        <f>DL!A658</f>
        <v>599</v>
      </c>
      <c r="B661" s="16" t="s">
        <v>535</v>
      </c>
      <c r="C661" s="149">
        <f>DL!L658</f>
        <v>20</v>
      </c>
      <c r="D661" s="149">
        <f>DL!C658</f>
        <v>10</v>
      </c>
      <c r="E661" s="150"/>
      <c r="F661" s="463"/>
      <c r="G661" s="150"/>
      <c r="H661" s="150"/>
      <c r="I661" s="469"/>
      <c r="J661" s="150"/>
      <c r="K661" s="168"/>
      <c r="L661" s="469">
        <v>1800</v>
      </c>
      <c r="M661" s="150">
        <v>19000</v>
      </c>
      <c r="N661" s="469"/>
      <c r="O661" s="150"/>
      <c r="P661" s="150"/>
      <c r="Q661" s="150"/>
      <c r="R661" s="475"/>
      <c r="S661" s="476">
        <v>2000</v>
      </c>
      <c r="T661" s="150"/>
      <c r="U661" s="150"/>
      <c r="V661" s="150"/>
      <c r="W661" s="168"/>
      <c r="X661" s="150"/>
      <c r="Y661" s="469"/>
      <c r="Z661" s="455"/>
      <c r="AA661" s="150"/>
      <c r="AB661" s="492"/>
      <c r="AC661" s="150"/>
      <c r="AD661" s="150"/>
      <c r="AE661" s="469"/>
      <c r="AF661" s="499"/>
      <c r="AG661" s="150"/>
      <c r="AH661" s="150"/>
      <c r="AI661" s="150"/>
      <c r="AJ661" s="150"/>
      <c r="AK661" s="150"/>
      <c r="AL661" s="150"/>
      <c r="AM661" s="150"/>
      <c r="AN661" s="150"/>
      <c r="AO661" s="469"/>
      <c r="AP661" s="150"/>
      <c r="AQ661" s="150"/>
      <c r="AR661" s="151"/>
      <c r="AS661" s="456"/>
      <c r="AT661" s="151"/>
      <c r="AU661" s="150"/>
      <c r="AV661" s="487"/>
      <c r="AW661" s="150"/>
      <c r="AX661" s="150"/>
      <c r="AY661" s="469"/>
      <c r="AZ661" s="150"/>
      <c r="BA661" s="150"/>
      <c r="BB661" s="150"/>
      <c r="BC661" s="469"/>
      <c r="BD661" s="150"/>
      <c r="BE661" s="469"/>
      <c r="BF661" s="469"/>
      <c r="BG661" s="150"/>
      <c r="BH661" s="150"/>
      <c r="BI661" s="150"/>
      <c r="BJ661" s="469"/>
      <c r="BK661" s="152"/>
      <c r="BL661" s="160"/>
      <c r="BM661" s="150"/>
      <c r="BN661" s="150"/>
      <c r="BO661" s="150"/>
      <c r="BP661" s="152"/>
      <c r="BQ661" s="160"/>
      <c r="BR661" s="152"/>
      <c r="BS661" s="160"/>
    </row>
    <row r="662" spans="1:71" x14ac:dyDescent="0.3">
      <c r="A662" s="420">
        <f>DL!A659</f>
        <v>600</v>
      </c>
      <c r="B662" s="16" t="s">
        <v>536</v>
      </c>
      <c r="C662" s="149">
        <f>DL!L659</f>
        <v>22</v>
      </c>
      <c r="D662" s="149">
        <f>DL!C659</f>
        <v>10</v>
      </c>
      <c r="E662" s="150"/>
      <c r="F662" s="463"/>
      <c r="G662" s="150"/>
      <c r="H662" s="150"/>
      <c r="I662" s="469"/>
      <c r="J662" s="150"/>
      <c r="K662" s="168"/>
      <c r="L662" s="469">
        <v>1800</v>
      </c>
      <c r="M662" s="150">
        <v>19000</v>
      </c>
      <c r="N662" s="469"/>
      <c r="O662" s="150"/>
      <c r="P662" s="150"/>
      <c r="Q662" s="150"/>
      <c r="R662" s="475"/>
      <c r="S662" s="476">
        <v>1900</v>
      </c>
      <c r="T662" s="150"/>
      <c r="U662" s="150"/>
      <c r="V662" s="150"/>
      <c r="W662" s="168"/>
      <c r="X662" s="150"/>
      <c r="Y662" s="469"/>
      <c r="Z662" s="455"/>
      <c r="AA662" s="150"/>
      <c r="AB662" s="492"/>
      <c r="AC662" s="150"/>
      <c r="AD662" s="150"/>
      <c r="AE662" s="469"/>
      <c r="AF662" s="499"/>
      <c r="AG662" s="150"/>
      <c r="AH662" s="150"/>
      <c r="AI662" s="150"/>
      <c r="AJ662" s="150"/>
      <c r="AK662" s="150"/>
      <c r="AL662" s="150"/>
      <c r="AM662" s="150"/>
      <c r="AN662" s="150"/>
      <c r="AO662" s="469"/>
      <c r="AP662" s="150"/>
      <c r="AQ662" s="150"/>
      <c r="AR662" s="151"/>
      <c r="AS662" s="456"/>
      <c r="AT662" s="151"/>
      <c r="AU662" s="150"/>
      <c r="AV662" s="487"/>
      <c r="AW662" s="150"/>
      <c r="AX662" s="150"/>
      <c r="AY662" s="469"/>
      <c r="AZ662" s="150"/>
      <c r="BA662" s="150"/>
      <c r="BB662" s="150"/>
      <c r="BC662" s="469"/>
      <c r="BD662" s="150"/>
      <c r="BE662" s="469"/>
      <c r="BF662" s="469"/>
      <c r="BG662" s="150"/>
      <c r="BH662" s="150"/>
      <c r="BI662" s="150"/>
      <c r="BJ662" s="469"/>
      <c r="BK662" s="152"/>
      <c r="BL662" s="160"/>
      <c r="BM662" s="150"/>
      <c r="BN662" s="150"/>
      <c r="BO662" s="150"/>
      <c r="BP662" s="152"/>
      <c r="BQ662" s="160"/>
      <c r="BR662" s="152"/>
      <c r="BS662" s="160"/>
    </row>
    <row r="663" spans="1:71" x14ac:dyDescent="0.3">
      <c r="A663" s="420">
        <f>DL!A660</f>
        <v>601</v>
      </c>
      <c r="B663" s="16" t="s">
        <v>537</v>
      </c>
      <c r="C663" s="149">
        <f>DL!L660</f>
        <v>4</v>
      </c>
      <c r="D663" s="149">
        <f>DL!C660</f>
        <v>10</v>
      </c>
      <c r="E663" s="150"/>
      <c r="F663" s="463"/>
      <c r="G663" s="150"/>
      <c r="H663" s="150"/>
      <c r="I663" s="469"/>
      <c r="J663" s="150"/>
      <c r="K663" s="168"/>
      <c r="L663" s="469">
        <v>1800</v>
      </c>
      <c r="M663" s="150">
        <v>19000</v>
      </c>
      <c r="N663" s="469"/>
      <c r="O663" s="150"/>
      <c r="P663" s="150"/>
      <c r="Q663" s="150"/>
      <c r="R663" s="475"/>
      <c r="S663" s="476">
        <v>1900</v>
      </c>
      <c r="T663" s="150"/>
      <c r="U663" s="150"/>
      <c r="V663" s="150"/>
      <c r="W663" s="168"/>
      <c r="X663" s="150"/>
      <c r="Y663" s="469"/>
      <c r="Z663" s="455"/>
      <c r="AA663" s="150"/>
      <c r="AB663" s="492"/>
      <c r="AC663" s="150"/>
      <c r="AD663" s="150"/>
      <c r="AE663" s="469"/>
      <c r="AF663" s="499"/>
      <c r="AG663" s="150"/>
      <c r="AH663" s="150"/>
      <c r="AI663" s="150"/>
      <c r="AJ663" s="150"/>
      <c r="AK663" s="150"/>
      <c r="AL663" s="150"/>
      <c r="AM663" s="150"/>
      <c r="AN663" s="150"/>
      <c r="AO663" s="469"/>
      <c r="AP663" s="150"/>
      <c r="AQ663" s="150"/>
      <c r="AR663" s="151"/>
      <c r="AS663" s="456"/>
      <c r="AT663" s="151"/>
      <c r="AU663" s="150"/>
      <c r="AV663" s="487"/>
      <c r="AW663" s="150"/>
      <c r="AX663" s="150"/>
      <c r="AY663" s="469"/>
      <c r="AZ663" s="150"/>
      <c r="BA663" s="150"/>
      <c r="BB663" s="150"/>
      <c r="BC663" s="469"/>
      <c r="BD663" s="150"/>
      <c r="BE663" s="469"/>
      <c r="BF663" s="469"/>
      <c r="BG663" s="150"/>
      <c r="BH663" s="150"/>
      <c r="BI663" s="150"/>
      <c r="BJ663" s="469"/>
      <c r="BK663" s="152"/>
      <c r="BL663" s="160"/>
      <c r="BM663" s="150"/>
      <c r="BN663" s="150"/>
      <c r="BO663" s="150"/>
      <c r="BP663" s="152"/>
      <c r="BQ663" s="160"/>
      <c r="BR663" s="152"/>
      <c r="BS663" s="160"/>
    </row>
    <row r="664" spans="1:71" x14ac:dyDescent="0.3">
      <c r="A664" s="420">
        <f>DL!A661</f>
        <v>602</v>
      </c>
      <c r="B664" s="16" t="s">
        <v>538</v>
      </c>
      <c r="C664" s="149">
        <f>DL!L661</f>
        <v>2</v>
      </c>
      <c r="D664" s="149">
        <f>DL!C661</f>
        <v>10</v>
      </c>
      <c r="E664" s="150"/>
      <c r="F664" s="463"/>
      <c r="G664" s="150"/>
      <c r="H664" s="150"/>
      <c r="I664" s="469"/>
      <c r="J664" s="150"/>
      <c r="K664" s="168"/>
      <c r="L664" s="469">
        <v>1800</v>
      </c>
      <c r="M664" s="150">
        <v>19000</v>
      </c>
      <c r="N664" s="469"/>
      <c r="O664" s="150"/>
      <c r="P664" s="150"/>
      <c r="Q664" s="150"/>
      <c r="R664" s="475"/>
      <c r="S664" s="476">
        <v>2000</v>
      </c>
      <c r="T664" s="150"/>
      <c r="U664" s="150"/>
      <c r="V664" s="150"/>
      <c r="W664" s="168"/>
      <c r="X664" s="150"/>
      <c r="Y664" s="469"/>
      <c r="Z664" s="455"/>
      <c r="AA664" s="150"/>
      <c r="AB664" s="492"/>
      <c r="AC664" s="150"/>
      <c r="AD664" s="150"/>
      <c r="AE664" s="469"/>
      <c r="AF664" s="499"/>
      <c r="AG664" s="150"/>
      <c r="AH664" s="150"/>
      <c r="AI664" s="150"/>
      <c r="AJ664" s="150"/>
      <c r="AK664" s="150"/>
      <c r="AL664" s="150"/>
      <c r="AM664" s="150"/>
      <c r="AN664" s="150"/>
      <c r="AO664" s="469"/>
      <c r="AP664" s="150"/>
      <c r="AQ664" s="150"/>
      <c r="AR664" s="151"/>
      <c r="AS664" s="456"/>
      <c r="AT664" s="151"/>
      <c r="AU664" s="150"/>
      <c r="AV664" s="487"/>
      <c r="AW664" s="150"/>
      <c r="AX664" s="150"/>
      <c r="AY664" s="469"/>
      <c r="AZ664" s="150"/>
      <c r="BA664" s="150"/>
      <c r="BB664" s="150"/>
      <c r="BC664" s="469"/>
      <c r="BD664" s="150"/>
      <c r="BE664" s="469"/>
      <c r="BF664" s="469"/>
      <c r="BG664" s="150"/>
      <c r="BH664" s="150"/>
      <c r="BI664" s="150"/>
      <c r="BJ664" s="469"/>
      <c r="BK664" s="152"/>
      <c r="BL664" s="160"/>
      <c r="BM664" s="150"/>
      <c r="BN664" s="150"/>
      <c r="BO664" s="150"/>
      <c r="BP664" s="152"/>
      <c r="BQ664" s="160"/>
      <c r="BR664" s="152"/>
      <c r="BS664" s="160"/>
    </row>
    <row r="665" spans="1:71" x14ac:dyDescent="0.3">
      <c r="A665" s="420">
        <f>DL!A662</f>
        <v>603</v>
      </c>
      <c r="B665" s="16" t="s">
        <v>539</v>
      </c>
      <c r="C665" s="149">
        <f>DL!L662</f>
        <v>2</v>
      </c>
      <c r="D665" s="149">
        <f>DL!C662</f>
        <v>10</v>
      </c>
      <c r="E665" s="150"/>
      <c r="F665" s="463"/>
      <c r="G665" s="150"/>
      <c r="H665" s="150"/>
      <c r="I665" s="469"/>
      <c r="J665" s="150"/>
      <c r="K665" s="168"/>
      <c r="L665" s="469">
        <v>1800</v>
      </c>
      <c r="M665" s="150">
        <v>19000</v>
      </c>
      <c r="N665" s="469"/>
      <c r="O665" s="150"/>
      <c r="P665" s="150"/>
      <c r="Q665" s="150"/>
      <c r="R665" s="475"/>
      <c r="S665" s="476">
        <v>2000</v>
      </c>
      <c r="T665" s="150"/>
      <c r="U665" s="150"/>
      <c r="V665" s="150"/>
      <c r="W665" s="168"/>
      <c r="X665" s="150"/>
      <c r="Y665" s="469"/>
      <c r="Z665" s="455"/>
      <c r="AA665" s="150"/>
      <c r="AB665" s="492"/>
      <c r="AC665" s="150"/>
      <c r="AD665" s="150"/>
      <c r="AE665" s="469"/>
      <c r="AF665" s="499"/>
      <c r="AG665" s="150"/>
      <c r="AH665" s="150"/>
      <c r="AI665" s="150"/>
      <c r="AJ665" s="150"/>
      <c r="AK665" s="150"/>
      <c r="AL665" s="150"/>
      <c r="AM665" s="150"/>
      <c r="AN665" s="150"/>
      <c r="AO665" s="469"/>
      <c r="AP665" s="150"/>
      <c r="AQ665" s="150"/>
      <c r="AR665" s="151"/>
      <c r="AS665" s="456"/>
      <c r="AT665" s="151"/>
      <c r="AU665" s="150"/>
      <c r="AV665" s="487"/>
      <c r="AW665" s="150"/>
      <c r="AX665" s="150"/>
      <c r="AY665" s="469"/>
      <c r="AZ665" s="150"/>
      <c r="BA665" s="150"/>
      <c r="BB665" s="150"/>
      <c r="BC665" s="469"/>
      <c r="BD665" s="150"/>
      <c r="BE665" s="469"/>
      <c r="BF665" s="469"/>
      <c r="BG665" s="150"/>
      <c r="BH665" s="150"/>
      <c r="BI665" s="150"/>
      <c r="BJ665" s="469"/>
      <c r="BK665" s="152"/>
      <c r="BL665" s="160"/>
      <c r="BM665" s="150"/>
      <c r="BN665" s="150"/>
      <c r="BO665" s="150"/>
      <c r="BP665" s="152"/>
      <c r="BQ665" s="160"/>
      <c r="BR665" s="152"/>
      <c r="BS665" s="160"/>
    </row>
    <row r="666" spans="1:71" x14ac:dyDescent="0.3">
      <c r="A666" s="420">
        <f>DL!A663</f>
        <v>604</v>
      </c>
      <c r="B666" s="16" t="s">
        <v>735</v>
      </c>
      <c r="C666" s="149">
        <v>20</v>
      </c>
      <c r="D666" s="149">
        <f>DL!C663</f>
        <v>500</v>
      </c>
      <c r="E666" s="150"/>
      <c r="F666" s="463"/>
      <c r="G666" s="150"/>
      <c r="H666" s="150"/>
      <c r="I666" s="469"/>
      <c r="J666" s="150"/>
      <c r="K666" s="168"/>
      <c r="L666" s="469">
        <v>1800</v>
      </c>
      <c r="M666" s="150">
        <v>82000</v>
      </c>
      <c r="N666" s="469"/>
      <c r="O666" s="150"/>
      <c r="P666" s="150"/>
      <c r="Q666" s="150"/>
      <c r="R666" s="475"/>
      <c r="S666" s="476">
        <v>19000</v>
      </c>
      <c r="T666" s="150"/>
      <c r="U666" s="150"/>
      <c r="V666" s="150"/>
      <c r="W666" s="168">
        <v>24000</v>
      </c>
      <c r="X666" s="150"/>
      <c r="Y666" s="469"/>
      <c r="Z666" s="455"/>
      <c r="AA666" s="150"/>
      <c r="AB666" s="492"/>
      <c r="AC666" s="150"/>
      <c r="AD666" s="150"/>
      <c r="AE666" s="469"/>
      <c r="AF666" s="499"/>
      <c r="AG666" s="150"/>
      <c r="AH666" s="150"/>
      <c r="AI666" s="150"/>
      <c r="AJ666" s="150"/>
      <c r="AK666" s="150"/>
      <c r="AL666" s="150"/>
      <c r="AM666" s="150"/>
      <c r="AN666" s="150"/>
      <c r="AO666" s="469"/>
      <c r="AP666" s="150"/>
      <c r="AQ666" s="150"/>
      <c r="AR666" s="151"/>
      <c r="AS666" s="456"/>
      <c r="AT666" s="151"/>
      <c r="AU666" s="150"/>
      <c r="AV666" s="487"/>
      <c r="AW666" s="150"/>
      <c r="AX666" s="150"/>
      <c r="AY666" s="469"/>
      <c r="AZ666" s="150"/>
      <c r="BA666" s="150"/>
      <c r="BB666" s="150"/>
      <c r="BC666" s="469"/>
      <c r="BD666" s="150"/>
      <c r="BE666" s="469"/>
      <c r="BF666" s="469"/>
      <c r="BG666" s="150"/>
      <c r="BH666" s="150"/>
      <c r="BI666" s="150"/>
      <c r="BJ666" s="469"/>
      <c r="BK666" s="152"/>
      <c r="BL666" s="160"/>
      <c r="BM666" s="150"/>
      <c r="BN666" s="150"/>
      <c r="BO666" s="150"/>
      <c r="BP666" s="152"/>
      <c r="BQ666" s="160"/>
      <c r="BR666" s="152"/>
      <c r="BS666" s="160"/>
    </row>
    <row r="667" spans="1:71" x14ac:dyDescent="0.3">
      <c r="A667" s="420">
        <f>DL!A664</f>
        <v>605</v>
      </c>
      <c r="B667" s="16" t="s">
        <v>496</v>
      </c>
      <c r="C667" s="149">
        <v>32</v>
      </c>
      <c r="D667" s="149">
        <f>DL!C664</f>
        <v>100</v>
      </c>
      <c r="E667" s="150"/>
      <c r="F667" s="463"/>
      <c r="G667" s="150"/>
      <c r="H667" s="150"/>
      <c r="I667" s="469"/>
      <c r="J667" s="150"/>
      <c r="K667" s="168"/>
      <c r="L667" s="469">
        <v>2300</v>
      </c>
      <c r="M667" s="150">
        <v>2400</v>
      </c>
      <c r="N667" s="469"/>
      <c r="O667" s="150"/>
      <c r="P667" s="150"/>
      <c r="Q667" s="150"/>
      <c r="R667" s="475"/>
      <c r="S667" s="476">
        <v>2200</v>
      </c>
      <c r="T667" s="150"/>
      <c r="U667" s="150"/>
      <c r="V667" s="150"/>
      <c r="W667" s="168"/>
      <c r="X667" s="150"/>
      <c r="Y667" s="469"/>
      <c r="Z667" s="455"/>
      <c r="AA667" s="150"/>
      <c r="AB667" s="492"/>
      <c r="AC667" s="150">
        <v>2260</v>
      </c>
      <c r="AD667" s="150"/>
      <c r="AE667" s="469"/>
      <c r="AF667" s="499"/>
      <c r="AG667" s="150"/>
      <c r="AH667" s="150"/>
      <c r="AI667" s="150"/>
      <c r="AJ667" s="150"/>
      <c r="AK667" s="150"/>
      <c r="AL667" s="150"/>
      <c r="AM667" s="150"/>
      <c r="AN667" s="150"/>
      <c r="AO667" s="469"/>
      <c r="AP667" s="150"/>
      <c r="AQ667" s="150"/>
      <c r="AR667" s="151"/>
      <c r="AS667" s="456"/>
      <c r="AT667" s="151"/>
      <c r="AU667" s="150"/>
      <c r="AV667" s="487"/>
      <c r="AW667" s="150"/>
      <c r="AX667" s="150"/>
      <c r="AY667" s="469"/>
      <c r="AZ667" s="150"/>
      <c r="BA667" s="150"/>
      <c r="BB667" s="150"/>
      <c r="BC667" s="469"/>
      <c r="BD667" s="150"/>
      <c r="BE667" s="469"/>
      <c r="BF667" s="469"/>
      <c r="BG667" s="150"/>
      <c r="BH667" s="150"/>
      <c r="BI667" s="150"/>
      <c r="BJ667" s="469"/>
      <c r="BK667" s="152"/>
      <c r="BL667" s="160"/>
      <c r="BM667" s="150"/>
      <c r="BN667" s="150"/>
      <c r="BO667" s="150"/>
      <c r="BP667" s="152"/>
      <c r="BQ667" s="160"/>
      <c r="BR667" s="152"/>
      <c r="BS667" s="160"/>
    </row>
    <row r="668" spans="1:71" x14ac:dyDescent="0.3">
      <c r="A668" s="420">
        <f>DL!A665</f>
        <v>606</v>
      </c>
      <c r="B668" s="16" t="s">
        <v>761</v>
      </c>
      <c r="C668" s="149">
        <v>2400</v>
      </c>
      <c r="D668" s="149" t="str">
        <f>DL!C665</f>
        <v>CARTON</v>
      </c>
      <c r="E668" s="150"/>
      <c r="F668" s="463"/>
      <c r="G668" s="150"/>
      <c r="H668" s="150"/>
      <c r="I668" s="469"/>
      <c r="J668" s="150"/>
      <c r="K668" s="168"/>
      <c r="L668" s="469">
        <v>7800</v>
      </c>
      <c r="M668" s="150">
        <v>9000</v>
      </c>
      <c r="N668" s="469"/>
      <c r="O668" s="150"/>
      <c r="P668" s="150"/>
      <c r="Q668" s="150"/>
      <c r="R668" s="475"/>
      <c r="S668" s="476">
        <v>8900</v>
      </c>
      <c r="T668" s="150"/>
      <c r="U668" s="150"/>
      <c r="V668" s="150"/>
      <c r="W668" s="168"/>
      <c r="X668" s="150"/>
      <c r="Y668" s="469"/>
      <c r="Z668" s="455"/>
      <c r="AA668" s="150"/>
      <c r="AB668" s="492"/>
      <c r="AC668" s="150"/>
      <c r="AD668" s="150"/>
      <c r="AE668" s="469"/>
      <c r="AF668" s="499"/>
      <c r="AG668" s="150">
        <v>8900</v>
      </c>
      <c r="AH668" s="150"/>
      <c r="AI668" s="150"/>
      <c r="AJ668" s="150"/>
      <c r="AK668" s="150"/>
      <c r="AL668" s="150"/>
      <c r="AM668" s="150"/>
      <c r="AN668" s="150"/>
      <c r="AO668" s="469"/>
      <c r="AP668" s="150"/>
      <c r="AQ668" s="150"/>
      <c r="AR668" s="151"/>
      <c r="AS668" s="456"/>
      <c r="AT668" s="151"/>
      <c r="AU668" s="150"/>
      <c r="AV668" s="487"/>
      <c r="AW668" s="150"/>
      <c r="AX668" s="150"/>
      <c r="AY668" s="469"/>
      <c r="AZ668" s="150"/>
      <c r="BA668" s="150"/>
      <c r="BB668" s="150"/>
      <c r="BC668" s="469"/>
      <c r="BD668" s="150"/>
      <c r="BE668" s="469"/>
      <c r="BF668" s="469"/>
      <c r="BG668" s="150">
        <v>8500</v>
      </c>
      <c r="BH668" s="150"/>
      <c r="BI668" s="150"/>
      <c r="BJ668" s="469"/>
      <c r="BK668" s="152"/>
      <c r="BL668" s="160"/>
      <c r="BM668" s="150"/>
      <c r="BN668" s="150"/>
      <c r="BO668" s="150"/>
      <c r="BP668" s="152"/>
      <c r="BQ668" s="160"/>
      <c r="BR668" s="152"/>
      <c r="BS668" s="160"/>
    </row>
    <row r="669" spans="1:71" x14ac:dyDescent="0.3">
      <c r="A669" s="420">
        <f>DL!A666</f>
        <v>607</v>
      </c>
      <c r="B669" s="16" t="s">
        <v>1375</v>
      </c>
      <c r="C669" s="149">
        <f>DL!L666</f>
        <v>500</v>
      </c>
      <c r="D669" s="149" t="str">
        <f>DL!C666</f>
        <v>PCS</v>
      </c>
      <c r="E669" s="150"/>
      <c r="F669" s="463"/>
      <c r="G669" s="150"/>
      <c r="H669" s="150"/>
      <c r="I669" s="469"/>
      <c r="J669" s="150"/>
      <c r="K669" s="168"/>
      <c r="L669" s="469"/>
      <c r="M669" s="150"/>
      <c r="N669" s="469"/>
      <c r="O669" s="150"/>
      <c r="P669" s="150"/>
      <c r="Q669" s="150"/>
      <c r="R669" s="475"/>
      <c r="S669" s="476">
        <v>550</v>
      </c>
      <c r="T669" s="150"/>
      <c r="U669" s="150"/>
      <c r="V669" s="150"/>
      <c r="W669" s="168">
        <v>1500</v>
      </c>
      <c r="X669" s="150"/>
      <c r="Y669" s="469"/>
      <c r="Z669" s="455"/>
      <c r="AA669" s="150"/>
      <c r="AB669" s="492"/>
      <c r="AC669" s="150"/>
      <c r="AD669" s="150"/>
      <c r="AE669" s="469"/>
      <c r="AF669" s="499"/>
      <c r="AG669" s="150"/>
      <c r="AH669" s="150"/>
      <c r="AI669" s="150"/>
      <c r="AJ669" s="150"/>
      <c r="AK669" s="150"/>
      <c r="AL669" s="150"/>
      <c r="AM669" s="150"/>
      <c r="AN669" s="150"/>
      <c r="AO669" s="469"/>
      <c r="AP669" s="150"/>
      <c r="AQ669" s="150"/>
      <c r="AR669" s="151"/>
      <c r="AS669" s="456"/>
      <c r="AT669" s="151"/>
      <c r="AU669" s="150"/>
      <c r="AV669" s="487"/>
      <c r="AW669" s="150"/>
      <c r="AX669" s="150"/>
      <c r="AY669" s="469"/>
      <c r="AZ669" s="150"/>
      <c r="BA669" s="150"/>
      <c r="BB669" s="150"/>
      <c r="BC669" s="469"/>
      <c r="BD669" s="150"/>
      <c r="BE669" s="469"/>
      <c r="BF669" s="469"/>
      <c r="BG669" s="150"/>
      <c r="BH669" s="150"/>
      <c r="BI669" s="150"/>
      <c r="BJ669" s="469"/>
      <c r="BK669" s="152"/>
      <c r="BL669" s="160"/>
      <c r="BM669" s="150"/>
      <c r="BN669" s="150"/>
      <c r="BO669" s="150"/>
      <c r="BP669" s="152"/>
      <c r="BQ669" s="160"/>
      <c r="BR669" s="152"/>
      <c r="BS669" s="160"/>
    </row>
    <row r="670" spans="1:71" x14ac:dyDescent="0.3">
      <c r="A670" s="420">
        <f>DL!A667</f>
        <v>608</v>
      </c>
      <c r="B670" s="16" t="s">
        <v>359</v>
      </c>
      <c r="C670" s="149">
        <f>DL!L667</f>
        <v>60</v>
      </c>
      <c r="D670" s="149">
        <f>DL!C667</f>
        <v>25</v>
      </c>
      <c r="E670" s="150"/>
      <c r="F670" s="463"/>
      <c r="G670" s="150"/>
      <c r="H670" s="150"/>
      <c r="I670" s="469"/>
      <c r="J670" s="150"/>
      <c r="K670" s="168"/>
      <c r="L670" s="469">
        <v>2300</v>
      </c>
      <c r="M670" s="150">
        <v>2300</v>
      </c>
      <c r="N670" s="469"/>
      <c r="O670" s="150"/>
      <c r="P670" s="150"/>
      <c r="Q670" s="150"/>
      <c r="R670" s="475"/>
      <c r="S670" s="476">
        <v>2250</v>
      </c>
      <c r="T670" s="150"/>
      <c r="U670" s="150"/>
      <c r="V670" s="150"/>
      <c r="W670" s="168"/>
      <c r="X670" s="150"/>
      <c r="Y670" s="469"/>
      <c r="Z670" s="455"/>
      <c r="AA670" s="150"/>
      <c r="AB670" s="492"/>
      <c r="AC670" s="150">
        <v>2220</v>
      </c>
      <c r="AD670" s="150"/>
      <c r="AE670" s="469"/>
      <c r="AF670" s="499"/>
      <c r="AG670" s="150"/>
      <c r="AH670" s="150"/>
      <c r="AI670" s="150"/>
      <c r="AJ670" s="150"/>
      <c r="AK670" s="150"/>
      <c r="AL670" s="150"/>
      <c r="AM670" s="150"/>
      <c r="AN670" s="150"/>
      <c r="AO670" s="469"/>
      <c r="AP670" s="150"/>
      <c r="AQ670" s="150"/>
      <c r="AR670" s="151"/>
      <c r="AS670" s="456"/>
      <c r="AT670" s="151"/>
      <c r="AU670" s="150"/>
      <c r="AV670" s="487"/>
      <c r="AW670" s="150"/>
      <c r="AX670" s="150"/>
      <c r="AY670" s="469"/>
      <c r="AZ670" s="150"/>
      <c r="BA670" s="150"/>
      <c r="BB670" s="150"/>
      <c r="BC670" s="469"/>
      <c r="BD670" s="150"/>
      <c r="BE670" s="469"/>
      <c r="BF670" s="469"/>
      <c r="BG670" s="150"/>
      <c r="BH670" s="150"/>
      <c r="BI670" s="150"/>
      <c r="BJ670" s="469"/>
      <c r="BK670" s="152"/>
      <c r="BL670" s="160"/>
      <c r="BM670" s="150"/>
      <c r="BN670" s="150"/>
      <c r="BO670" s="150"/>
      <c r="BP670" s="152"/>
      <c r="BQ670" s="160"/>
      <c r="BR670" s="152"/>
      <c r="BS670" s="160"/>
    </row>
    <row r="671" spans="1:71" x14ac:dyDescent="0.3">
      <c r="A671" s="420">
        <f>DL!A668</f>
        <v>609</v>
      </c>
      <c r="B671" s="16" t="s">
        <v>540</v>
      </c>
      <c r="C671" s="149">
        <f>DL!L668</f>
        <v>21</v>
      </c>
      <c r="D671" s="149">
        <f>DL!C668</f>
        <v>10</v>
      </c>
      <c r="E671" s="150"/>
      <c r="F671" s="463"/>
      <c r="G671" s="150"/>
      <c r="H671" s="150"/>
      <c r="I671" s="469"/>
      <c r="J671" s="150"/>
      <c r="K671" s="168"/>
      <c r="L671" s="469">
        <v>1000</v>
      </c>
      <c r="M671" s="150">
        <v>540</v>
      </c>
      <c r="N671" s="469"/>
      <c r="O671" s="150"/>
      <c r="P671" s="150"/>
      <c r="Q671" s="150"/>
      <c r="R671" s="475"/>
      <c r="S671" s="476">
        <v>600</v>
      </c>
      <c r="T671" s="150"/>
      <c r="U671" s="150"/>
      <c r="V671" s="150"/>
      <c r="W671" s="168"/>
      <c r="X671" s="150"/>
      <c r="Y671" s="469"/>
      <c r="Z671" s="455"/>
      <c r="AA671" s="150"/>
      <c r="AB671" s="492"/>
      <c r="AC671" s="150"/>
      <c r="AD671" s="150"/>
      <c r="AE671" s="469"/>
      <c r="AF671" s="499"/>
      <c r="AG671" s="150"/>
      <c r="AH671" s="150"/>
      <c r="AI671" s="150"/>
      <c r="AJ671" s="150"/>
      <c r="AK671" s="150"/>
      <c r="AL671" s="150"/>
      <c r="AM671" s="150"/>
      <c r="AN671" s="150"/>
      <c r="AO671" s="469"/>
      <c r="AP671" s="150"/>
      <c r="AQ671" s="150"/>
      <c r="AR671" s="151"/>
      <c r="AS671" s="456"/>
      <c r="AT671" s="151"/>
      <c r="AU671" s="150"/>
      <c r="AV671" s="487"/>
      <c r="AW671" s="150"/>
      <c r="AX671" s="150"/>
      <c r="AY671" s="469"/>
      <c r="AZ671" s="150"/>
      <c r="BA671" s="150"/>
      <c r="BB671" s="150"/>
      <c r="BC671" s="469"/>
      <c r="BD671" s="150"/>
      <c r="BE671" s="469"/>
      <c r="BF671" s="469"/>
      <c r="BG671" s="150"/>
      <c r="BH671" s="150"/>
      <c r="BI671" s="150"/>
      <c r="BJ671" s="469"/>
      <c r="BK671" s="152"/>
      <c r="BL671" s="160"/>
      <c r="BM671" s="150"/>
      <c r="BN671" s="150"/>
      <c r="BO671" s="150"/>
      <c r="BP671" s="152"/>
      <c r="BQ671" s="160"/>
      <c r="BR671" s="152"/>
      <c r="BS671" s="160"/>
    </row>
    <row r="672" spans="1:71" x14ac:dyDescent="0.3">
      <c r="A672" s="420">
        <f>DL!A669</f>
        <v>610</v>
      </c>
      <c r="B672" s="16" t="s">
        <v>541</v>
      </c>
      <c r="C672" s="149">
        <f>DL!L669</f>
        <v>8</v>
      </c>
      <c r="D672" s="149">
        <f>DL!C669</f>
        <v>10</v>
      </c>
      <c r="E672" s="150"/>
      <c r="F672" s="463"/>
      <c r="G672" s="150"/>
      <c r="H672" s="150"/>
      <c r="I672" s="469"/>
      <c r="J672" s="150"/>
      <c r="K672" s="168"/>
      <c r="L672" s="469">
        <v>1000</v>
      </c>
      <c r="M672" s="150">
        <v>540</v>
      </c>
      <c r="N672" s="469"/>
      <c r="O672" s="150"/>
      <c r="P672" s="150"/>
      <c r="Q672" s="150"/>
      <c r="R672" s="475"/>
      <c r="S672" s="476">
        <v>600</v>
      </c>
      <c r="T672" s="150"/>
      <c r="U672" s="150"/>
      <c r="V672" s="150"/>
      <c r="W672" s="168"/>
      <c r="X672" s="150"/>
      <c r="Y672" s="469"/>
      <c r="Z672" s="455"/>
      <c r="AA672" s="150"/>
      <c r="AB672" s="492"/>
      <c r="AC672" s="150"/>
      <c r="AD672" s="150"/>
      <c r="AE672" s="469"/>
      <c r="AF672" s="499"/>
      <c r="AG672" s="150"/>
      <c r="AH672" s="150"/>
      <c r="AI672" s="150"/>
      <c r="AJ672" s="150"/>
      <c r="AK672" s="150"/>
      <c r="AL672" s="150"/>
      <c r="AM672" s="150"/>
      <c r="AN672" s="150"/>
      <c r="AO672" s="469"/>
      <c r="AP672" s="150"/>
      <c r="AQ672" s="150"/>
      <c r="AR672" s="151"/>
      <c r="AS672" s="456"/>
      <c r="AT672" s="151"/>
      <c r="AU672" s="150"/>
      <c r="AV672" s="487"/>
      <c r="AW672" s="150"/>
      <c r="AX672" s="150"/>
      <c r="AY672" s="469"/>
      <c r="AZ672" s="150"/>
      <c r="BA672" s="150"/>
      <c r="BB672" s="150"/>
      <c r="BC672" s="469"/>
      <c r="BD672" s="150"/>
      <c r="BE672" s="469"/>
      <c r="BF672" s="469"/>
      <c r="BG672" s="150"/>
      <c r="BH672" s="150"/>
      <c r="BI672" s="150"/>
      <c r="BJ672" s="469"/>
      <c r="BK672" s="152"/>
      <c r="BL672" s="160"/>
      <c r="BM672" s="150"/>
      <c r="BN672" s="150"/>
      <c r="BO672" s="150"/>
      <c r="BP672" s="152"/>
      <c r="BQ672" s="160"/>
      <c r="BR672" s="152"/>
      <c r="BS672" s="160"/>
    </row>
    <row r="673" spans="1:71" x14ac:dyDescent="0.3">
      <c r="A673" s="420">
        <f>DL!A670</f>
        <v>611</v>
      </c>
      <c r="B673" s="16" t="s">
        <v>542</v>
      </c>
      <c r="C673" s="149">
        <v>20</v>
      </c>
      <c r="D673" s="149">
        <f>DL!C670</f>
        <v>10</v>
      </c>
      <c r="E673" s="150"/>
      <c r="F673" s="463"/>
      <c r="G673" s="150"/>
      <c r="H673" s="150"/>
      <c r="I673" s="469"/>
      <c r="J673" s="150"/>
      <c r="K673" s="168"/>
      <c r="L673" s="469">
        <v>1000</v>
      </c>
      <c r="M673" s="150">
        <v>540</v>
      </c>
      <c r="N673" s="469"/>
      <c r="O673" s="150"/>
      <c r="P673" s="150"/>
      <c r="Q673" s="150"/>
      <c r="R673" s="475"/>
      <c r="S673" s="476">
        <v>600</v>
      </c>
      <c r="T673" s="150"/>
      <c r="U673" s="150"/>
      <c r="V673" s="150"/>
      <c r="W673" s="168"/>
      <c r="X673" s="150"/>
      <c r="Y673" s="469"/>
      <c r="Z673" s="455"/>
      <c r="AA673" s="150"/>
      <c r="AB673" s="492"/>
      <c r="AC673" s="150"/>
      <c r="AD673" s="150"/>
      <c r="AE673" s="469"/>
      <c r="AF673" s="499"/>
      <c r="AG673" s="150"/>
      <c r="AH673" s="150"/>
      <c r="AI673" s="150"/>
      <c r="AJ673" s="150"/>
      <c r="AK673" s="150"/>
      <c r="AL673" s="150"/>
      <c r="AM673" s="150"/>
      <c r="AN673" s="150"/>
      <c r="AO673" s="469"/>
      <c r="AP673" s="150"/>
      <c r="AQ673" s="150"/>
      <c r="AR673" s="151"/>
      <c r="AS673" s="456"/>
      <c r="AT673" s="151"/>
      <c r="AU673" s="150"/>
      <c r="AV673" s="487"/>
      <c r="AW673" s="150"/>
      <c r="AX673" s="150"/>
      <c r="AY673" s="469"/>
      <c r="AZ673" s="150"/>
      <c r="BA673" s="150"/>
      <c r="BB673" s="150"/>
      <c r="BC673" s="469"/>
      <c r="BD673" s="150"/>
      <c r="BE673" s="469"/>
      <c r="BF673" s="469"/>
      <c r="BG673" s="150"/>
      <c r="BH673" s="150"/>
      <c r="BI673" s="150"/>
      <c r="BJ673" s="469"/>
      <c r="BK673" s="152"/>
      <c r="BL673" s="160"/>
      <c r="BM673" s="150"/>
      <c r="BN673" s="150"/>
      <c r="BO673" s="150"/>
      <c r="BP673" s="152"/>
      <c r="BQ673" s="160"/>
      <c r="BR673" s="152"/>
      <c r="BS673" s="160"/>
    </row>
    <row r="674" spans="1:71" x14ac:dyDescent="0.3">
      <c r="A674" s="420">
        <f>DL!A671</f>
        <v>612</v>
      </c>
      <c r="B674" s="16" t="s">
        <v>543</v>
      </c>
      <c r="C674" s="149">
        <v>20</v>
      </c>
      <c r="D674" s="149">
        <f>DL!C671</f>
        <v>10</v>
      </c>
      <c r="E674" s="150"/>
      <c r="F674" s="463"/>
      <c r="G674" s="150"/>
      <c r="H674" s="150"/>
      <c r="I674" s="469"/>
      <c r="J674" s="150"/>
      <c r="K674" s="168"/>
      <c r="L674" s="469">
        <v>1000</v>
      </c>
      <c r="M674" s="150">
        <v>540</v>
      </c>
      <c r="N674" s="469"/>
      <c r="O674" s="150"/>
      <c r="P674" s="150"/>
      <c r="Q674" s="150"/>
      <c r="R674" s="475"/>
      <c r="S674" s="476">
        <v>600</v>
      </c>
      <c r="T674" s="150"/>
      <c r="U674" s="150"/>
      <c r="V674" s="150"/>
      <c r="W674" s="168"/>
      <c r="X674" s="150"/>
      <c r="Y674" s="469"/>
      <c r="Z674" s="455"/>
      <c r="AA674" s="150"/>
      <c r="AB674" s="492"/>
      <c r="AC674" s="150">
        <v>560</v>
      </c>
      <c r="AD674" s="150"/>
      <c r="AE674" s="469"/>
      <c r="AF674" s="499"/>
      <c r="AG674" s="150"/>
      <c r="AH674" s="150"/>
      <c r="AI674" s="150"/>
      <c r="AJ674" s="150"/>
      <c r="AK674" s="150"/>
      <c r="AL674" s="150"/>
      <c r="AM674" s="150"/>
      <c r="AN674" s="150"/>
      <c r="AO674" s="469"/>
      <c r="AP674" s="150"/>
      <c r="AQ674" s="150"/>
      <c r="AR674" s="151"/>
      <c r="AS674" s="456"/>
      <c r="AT674" s="151"/>
      <c r="AU674" s="150"/>
      <c r="AV674" s="487"/>
      <c r="AW674" s="150"/>
      <c r="AX674" s="150"/>
      <c r="AY674" s="469"/>
      <c r="AZ674" s="150"/>
      <c r="BA674" s="150"/>
      <c r="BB674" s="150"/>
      <c r="BC674" s="469"/>
      <c r="BD674" s="150"/>
      <c r="BE674" s="469"/>
      <c r="BF674" s="469"/>
      <c r="BG674" s="150"/>
      <c r="BH674" s="150"/>
      <c r="BI674" s="150"/>
      <c r="BJ674" s="469"/>
      <c r="BK674" s="152"/>
      <c r="BL674" s="160"/>
      <c r="BM674" s="150"/>
      <c r="BN674" s="150"/>
      <c r="BO674" s="150"/>
      <c r="BP674" s="152"/>
      <c r="BQ674" s="160"/>
      <c r="BR674" s="152"/>
      <c r="BS674" s="160"/>
    </row>
    <row r="675" spans="1:71" x14ac:dyDescent="0.3">
      <c r="A675" s="420">
        <f>DL!A672</f>
        <v>613</v>
      </c>
      <c r="B675" s="16" t="s">
        <v>544</v>
      </c>
      <c r="C675" s="149">
        <f>DL!L672</f>
        <v>20</v>
      </c>
      <c r="D675" s="149">
        <f>DL!C672</f>
        <v>10</v>
      </c>
      <c r="E675" s="150"/>
      <c r="F675" s="463"/>
      <c r="G675" s="150"/>
      <c r="H675" s="150"/>
      <c r="I675" s="469"/>
      <c r="J675" s="150"/>
      <c r="K675" s="168"/>
      <c r="L675" s="469">
        <v>1000</v>
      </c>
      <c r="M675" s="150">
        <v>540</v>
      </c>
      <c r="N675" s="469"/>
      <c r="O675" s="150"/>
      <c r="P675" s="150"/>
      <c r="Q675" s="150"/>
      <c r="R675" s="475"/>
      <c r="S675" s="476">
        <v>600</v>
      </c>
      <c r="T675" s="150"/>
      <c r="U675" s="150"/>
      <c r="V675" s="150"/>
      <c r="W675" s="168"/>
      <c r="X675" s="150"/>
      <c r="Y675" s="469"/>
      <c r="Z675" s="455"/>
      <c r="AA675" s="150"/>
      <c r="AB675" s="492"/>
      <c r="AC675" s="150"/>
      <c r="AD675" s="150"/>
      <c r="AE675" s="469"/>
      <c r="AF675" s="499"/>
      <c r="AG675" s="150"/>
      <c r="AH675" s="150"/>
      <c r="AI675" s="150"/>
      <c r="AJ675" s="150"/>
      <c r="AK675" s="150"/>
      <c r="AL675" s="150"/>
      <c r="AM675" s="150"/>
      <c r="AN675" s="150"/>
      <c r="AO675" s="469"/>
      <c r="AP675" s="150"/>
      <c r="AQ675" s="150"/>
      <c r="AR675" s="151"/>
      <c r="AS675" s="456"/>
      <c r="AT675" s="151"/>
      <c r="AU675" s="150"/>
      <c r="AV675" s="487"/>
      <c r="AW675" s="150"/>
      <c r="AX675" s="150"/>
      <c r="AY675" s="469"/>
      <c r="AZ675" s="150"/>
      <c r="BA675" s="150"/>
      <c r="BB675" s="150"/>
      <c r="BC675" s="469"/>
      <c r="BD675" s="150"/>
      <c r="BE675" s="469"/>
      <c r="BF675" s="469"/>
      <c r="BG675" s="150"/>
      <c r="BH675" s="150"/>
      <c r="BI675" s="150"/>
      <c r="BJ675" s="469"/>
      <c r="BK675" s="152"/>
      <c r="BL675" s="160"/>
      <c r="BM675" s="150"/>
      <c r="BN675" s="150"/>
      <c r="BO675" s="150"/>
      <c r="BP675" s="152"/>
      <c r="BQ675" s="160"/>
      <c r="BR675" s="152"/>
      <c r="BS675" s="160"/>
    </row>
    <row r="676" spans="1:71" x14ac:dyDescent="0.3">
      <c r="A676" s="420">
        <f>DL!A673</f>
        <v>614</v>
      </c>
      <c r="B676" s="16" t="s">
        <v>545</v>
      </c>
      <c r="C676" s="149">
        <f>DL!L673</f>
        <v>4</v>
      </c>
      <c r="D676" s="149">
        <f>DL!C673</f>
        <v>10</v>
      </c>
      <c r="E676" s="150"/>
      <c r="F676" s="463"/>
      <c r="G676" s="150"/>
      <c r="H676" s="150"/>
      <c r="I676" s="469"/>
      <c r="J676" s="150"/>
      <c r="K676" s="168"/>
      <c r="L676" s="469">
        <v>1000</v>
      </c>
      <c r="M676" s="150">
        <v>800</v>
      </c>
      <c r="N676" s="469"/>
      <c r="O676" s="150"/>
      <c r="P676" s="150"/>
      <c r="Q676" s="150"/>
      <c r="R676" s="475"/>
      <c r="S676" s="476">
        <v>600</v>
      </c>
      <c r="T676" s="150"/>
      <c r="U676" s="150"/>
      <c r="V676" s="150"/>
      <c r="W676" s="168"/>
      <c r="X676" s="150"/>
      <c r="Y676" s="469"/>
      <c r="Z676" s="455"/>
      <c r="AA676" s="150"/>
      <c r="AB676" s="492"/>
      <c r="AC676" s="150"/>
      <c r="AD676" s="150"/>
      <c r="AE676" s="469"/>
      <c r="AF676" s="499"/>
      <c r="AG676" s="150"/>
      <c r="AH676" s="150"/>
      <c r="AI676" s="150"/>
      <c r="AJ676" s="150"/>
      <c r="AK676" s="150"/>
      <c r="AL676" s="150"/>
      <c r="AM676" s="150"/>
      <c r="AN676" s="150"/>
      <c r="AO676" s="469"/>
      <c r="AP676" s="150"/>
      <c r="AQ676" s="150"/>
      <c r="AR676" s="151"/>
      <c r="AS676" s="456"/>
      <c r="AT676" s="151"/>
      <c r="AU676" s="150"/>
      <c r="AV676" s="487"/>
      <c r="AW676" s="150"/>
      <c r="AX676" s="150"/>
      <c r="AY676" s="469"/>
      <c r="AZ676" s="150"/>
      <c r="BA676" s="150"/>
      <c r="BB676" s="150"/>
      <c r="BC676" s="469"/>
      <c r="BD676" s="150"/>
      <c r="BE676" s="469"/>
      <c r="BF676" s="469"/>
      <c r="BG676" s="150"/>
      <c r="BH676" s="150"/>
      <c r="BI676" s="150"/>
      <c r="BJ676" s="469"/>
      <c r="BK676" s="152"/>
      <c r="BL676" s="160"/>
      <c r="BM676" s="150"/>
      <c r="BN676" s="150"/>
      <c r="BO676" s="150"/>
      <c r="BP676" s="152"/>
      <c r="BQ676" s="160"/>
      <c r="BR676" s="152"/>
      <c r="BS676" s="160"/>
    </row>
    <row r="677" spans="1:71" x14ac:dyDescent="0.3">
      <c r="A677" s="420">
        <f>DL!A674</f>
        <v>615</v>
      </c>
      <c r="B677" s="16" t="s">
        <v>704</v>
      </c>
      <c r="C677" s="149">
        <f>DL!L674</f>
        <v>4</v>
      </c>
      <c r="D677" s="149">
        <f>DL!C674</f>
        <v>10</v>
      </c>
      <c r="E677" s="150"/>
      <c r="F677" s="463"/>
      <c r="G677" s="150"/>
      <c r="H677" s="150"/>
      <c r="I677" s="469"/>
      <c r="J677" s="150"/>
      <c r="K677" s="168"/>
      <c r="L677" s="469">
        <v>1000</v>
      </c>
      <c r="M677" s="150">
        <v>540</v>
      </c>
      <c r="N677" s="469"/>
      <c r="O677" s="150"/>
      <c r="P677" s="150"/>
      <c r="Q677" s="150"/>
      <c r="R677" s="475"/>
      <c r="S677" s="476">
        <v>600</v>
      </c>
      <c r="T677" s="150"/>
      <c r="U677" s="150"/>
      <c r="V677" s="150"/>
      <c r="W677" s="168"/>
      <c r="X677" s="150"/>
      <c r="Y677" s="469"/>
      <c r="Z677" s="455"/>
      <c r="AA677" s="150"/>
      <c r="AB677" s="492"/>
      <c r="AC677" s="150"/>
      <c r="AD677" s="150"/>
      <c r="AE677" s="469"/>
      <c r="AF677" s="499"/>
      <c r="AG677" s="150"/>
      <c r="AH677" s="150"/>
      <c r="AI677" s="150"/>
      <c r="AJ677" s="150"/>
      <c r="AK677" s="150"/>
      <c r="AL677" s="150"/>
      <c r="AM677" s="150"/>
      <c r="AN677" s="150"/>
      <c r="AO677" s="469"/>
      <c r="AP677" s="150"/>
      <c r="AQ677" s="150"/>
      <c r="AR677" s="151"/>
      <c r="AS677" s="456"/>
      <c r="AT677" s="151"/>
      <c r="AU677" s="150"/>
      <c r="AV677" s="487"/>
      <c r="AW677" s="150"/>
      <c r="AX677" s="150"/>
      <c r="AY677" s="469"/>
      <c r="AZ677" s="150"/>
      <c r="BA677" s="150"/>
      <c r="BB677" s="150"/>
      <c r="BC677" s="469"/>
      <c r="BD677" s="150"/>
      <c r="BE677" s="469"/>
      <c r="BF677" s="469"/>
      <c r="BG677" s="150"/>
      <c r="BH677" s="150"/>
      <c r="BI677" s="150"/>
      <c r="BJ677" s="469"/>
      <c r="BK677" s="152"/>
      <c r="BL677" s="160"/>
      <c r="BM677" s="150"/>
      <c r="BN677" s="150"/>
      <c r="BO677" s="150"/>
      <c r="BP677" s="152"/>
      <c r="BQ677" s="160"/>
      <c r="BR677" s="152"/>
      <c r="BS677" s="160"/>
    </row>
    <row r="678" spans="1:71" x14ac:dyDescent="0.3">
      <c r="A678" s="420">
        <f>DL!A675</f>
        <v>616</v>
      </c>
      <c r="B678" s="16" t="s">
        <v>546</v>
      </c>
      <c r="C678" s="149">
        <v>30</v>
      </c>
      <c r="D678" s="149">
        <f>DL!C675</f>
        <v>100</v>
      </c>
      <c r="E678" s="150"/>
      <c r="F678" s="463"/>
      <c r="G678" s="150"/>
      <c r="H678" s="150"/>
      <c r="I678" s="469"/>
      <c r="J678" s="150"/>
      <c r="K678" s="168"/>
      <c r="L678" s="469">
        <v>10000</v>
      </c>
      <c r="M678" s="150">
        <v>5400</v>
      </c>
      <c r="N678" s="469"/>
      <c r="O678" s="150"/>
      <c r="P678" s="150"/>
      <c r="Q678" s="150"/>
      <c r="R678" s="475"/>
      <c r="S678" s="476">
        <v>6000</v>
      </c>
      <c r="T678" s="150"/>
      <c r="U678" s="150"/>
      <c r="V678" s="150"/>
      <c r="W678" s="168"/>
      <c r="X678" s="150"/>
      <c r="Y678" s="469"/>
      <c r="Z678" s="455"/>
      <c r="AA678" s="150"/>
      <c r="AB678" s="492"/>
      <c r="AC678" s="150"/>
      <c r="AD678" s="150"/>
      <c r="AE678" s="469"/>
      <c r="AF678" s="499"/>
      <c r="AG678" s="150"/>
      <c r="AH678" s="150"/>
      <c r="AI678" s="150"/>
      <c r="AJ678" s="150"/>
      <c r="AK678" s="150"/>
      <c r="AL678" s="150"/>
      <c r="AM678" s="150"/>
      <c r="AN678" s="150"/>
      <c r="AO678" s="469"/>
      <c r="AP678" s="150"/>
      <c r="AQ678" s="150"/>
      <c r="AR678" s="151"/>
      <c r="AS678" s="456"/>
      <c r="AT678" s="151"/>
      <c r="AU678" s="150"/>
      <c r="AV678" s="487"/>
      <c r="AW678" s="150"/>
      <c r="AX678" s="150"/>
      <c r="AY678" s="469"/>
      <c r="AZ678" s="150"/>
      <c r="BA678" s="150"/>
      <c r="BB678" s="150"/>
      <c r="BC678" s="469"/>
      <c r="BD678" s="150"/>
      <c r="BE678" s="469"/>
      <c r="BF678" s="469"/>
      <c r="BG678" s="150"/>
      <c r="BH678" s="150"/>
      <c r="BI678" s="150"/>
      <c r="BJ678" s="469"/>
      <c r="BK678" s="152"/>
      <c r="BL678" s="160"/>
      <c r="BM678" s="150"/>
      <c r="BN678" s="150"/>
      <c r="BO678" s="150"/>
      <c r="BP678" s="152"/>
      <c r="BQ678" s="160"/>
      <c r="BR678" s="152"/>
      <c r="BS678" s="160"/>
    </row>
    <row r="679" spans="1:71" x14ac:dyDescent="0.3">
      <c r="A679" s="420">
        <f>DL!A676</f>
        <v>617</v>
      </c>
      <c r="B679" s="16" t="s">
        <v>547</v>
      </c>
      <c r="C679" s="149">
        <v>24</v>
      </c>
      <c r="D679" s="149">
        <f>DL!C676</f>
        <v>100</v>
      </c>
      <c r="E679" s="150"/>
      <c r="F679" s="463"/>
      <c r="G679" s="150"/>
      <c r="H679" s="150"/>
      <c r="I679" s="469"/>
      <c r="J679" s="150"/>
      <c r="K679" s="168"/>
      <c r="L679" s="469">
        <v>10000</v>
      </c>
      <c r="M679" s="150">
        <v>5400</v>
      </c>
      <c r="N679" s="469"/>
      <c r="O679" s="150"/>
      <c r="P679" s="150"/>
      <c r="Q679" s="150"/>
      <c r="R679" s="475"/>
      <c r="S679" s="476">
        <v>6000</v>
      </c>
      <c r="T679" s="150"/>
      <c r="U679" s="150"/>
      <c r="V679" s="150"/>
      <c r="W679" s="168"/>
      <c r="X679" s="150"/>
      <c r="Y679" s="469"/>
      <c r="Z679" s="455"/>
      <c r="AA679" s="150"/>
      <c r="AB679" s="492"/>
      <c r="AC679" s="150"/>
      <c r="AD679" s="150"/>
      <c r="AE679" s="469"/>
      <c r="AF679" s="499"/>
      <c r="AG679" s="150"/>
      <c r="AH679" s="150"/>
      <c r="AI679" s="150"/>
      <c r="AJ679" s="150"/>
      <c r="AK679" s="150"/>
      <c r="AL679" s="150"/>
      <c r="AM679" s="150"/>
      <c r="AN679" s="150"/>
      <c r="AO679" s="469"/>
      <c r="AP679" s="150"/>
      <c r="AQ679" s="150"/>
      <c r="AR679" s="151"/>
      <c r="AS679" s="456"/>
      <c r="AT679" s="151"/>
      <c r="AU679" s="150"/>
      <c r="AV679" s="487"/>
      <c r="AW679" s="150"/>
      <c r="AX679" s="150"/>
      <c r="AY679" s="469"/>
      <c r="AZ679" s="150"/>
      <c r="BA679" s="150"/>
      <c r="BB679" s="150"/>
      <c r="BC679" s="469"/>
      <c r="BD679" s="150"/>
      <c r="BE679" s="469"/>
      <c r="BF679" s="469"/>
      <c r="BG679" s="150"/>
      <c r="BH679" s="150"/>
      <c r="BI679" s="150"/>
      <c r="BJ679" s="469"/>
      <c r="BK679" s="152"/>
      <c r="BL679" s="160"/>
      <c r="BM679" s="150"/>
      <c r="BN679" s="150"/>
      <c r="BO679" s="150"/>
      <c r="BP679" s="152"/>
      <c r="BQ679" s="160"/>
      <c r="BR679" s="152"/>
      <c r="BS679" s="160"/>
    </row>
    <row r="680" spans="1:71" x14ac:dyDescent="0.3">
      <c r="A680" s="420">
        <f>DL!A677</f>
        <v>618</v>
      </c>
      <c r="B680" s="16" t="s">
        <v>548</v>
      </c>
      <c r="C680" s="149">
        <f>DL!L677</f>
        <v>17</v>
      </c>
      <c r="D680" s="149">
        <f>DL!C677</f>
        <v>10</v>
      </c>
      <c r="E680" s="150"/>
      <c r="F680" s="463"/>
      <c r="G680" s="150"/>
      <c r="H680" s="150"/>
      <c r="I680" s="469"/>
      <c r="J680" s="150"/>
      <c r="K680" s="168"/>
      <c r="L680" s="469">
        <v>1000</v>
      </c>
      <c r="M680" s="150">
        <v>540</v>
      </c>
      <c r="N680" s="469"/>
      <c r="O680" s="150"/>
      <c r="P680" s="150"/>
      <c r="Q680" s="150"/>
      <c r="R680" s="475"/>
      <c r="S680" s="476">
        <v>600</v>
      </c>
      <c r="T680" s="150"/>
      <c r="U680" s="150"/>
      <c r="V680" s="150"/>
      <c r="W680" s="168"/>
      <c r="X680" s="150"/>
      <c r="Y680" s="469"/>
      <c r="Z680" s="455"/>
      <c r="AA680" s="150"/>
      <c r="AB680" s="492"/>
      <c r="AC680" s="150"/>
      <c r="AD680" s="150"/>
      <c r="AE680" s="469"/>
      <c r="AF680" s="499"/>
      <c r="AG680" s="150"/>
      <c r="AH680" s="150"/>
      <c r="AI680" s="150"/>
      <c r="AJ680" s="150"/>
      <c r="AK680" s="150"/>
      <c r="AL680" s="150"/>
      <c r="AM680" s="150"/>
      <c r="AN680" s="150"/>
      <c r="AO680" s="469"/>
      <c r="AP680" s="150"/>
      <c r="AQ680" s="150"/>
      <c r="AR680" s="151"/>
      <c r="AS680" s="456"/>
      <c r="AT680" s="151"/>
      <c r="AU680" s="150"/>
      <c r="AV680" s="487"/>
      <c r="AW680" s="150"/>
      <c r="AX680" s="150"/>
      <c r="AY680" s="469"/>
      <c r="AZ680" s="150"/>
      <c r="BA680" s="150"/>
      <c r="BB680" s="150"/>
      <c r="BC680" s="469"/>
      <c r="BD680" s="150"/>
      <c r="BE680" s="469"/>
      <c r="BF680" s="469"/>
      <c r="BG680" s="150"/>
      <c r="BH680" s="150"/>
      <c r="BI680" s="150"/>
      <c r="BJ680" s="469"/>
      <c r="BK680" s="152"/>
      <c r="BL680" s="160"/>
      <c r="BM680" s="150"/>
      <c r="BN680" s="150"/>
      <c r="BO680" s="150"/>
      <c r="BP680" s="152"/>
      <c r="BQ680" s="160"/>
      <c r="BR680" s="152"/>
      <c r="BS680" s="160"/>
    </row>
    <row r="681" spans="1:71" x14ac:dyDescent="0.3">
      <c r="A681" s="420">
        <f>DL!A678</f>
        <v>619</v>
      </c>
      <c r="B681" s="16" t="s">
        <v>360</v>
      </c>
      <c r="C681" s="149">
        <f>DL!L678</f>
        <v>12</v>
      </c>
      <c r="D681" s="149">
        <f>DL!C678</f>
        <v>100</v>
      </c>
      <c r="E681" s="150"/>
      <c r="F681" s="463"/>
      <c r="G681" s="150"/>
      <c r="H681" s="150"/>
      <c r="I681" s="469"/>
      <c r="J681" s="150"/>
      <c r="K681" s="168"/>
      <c r="L681" s="469"/>
      <c r="M681" s="150"/>
      <c r="N681" s="469"/>
      <c r="O681" s="150"/>
      <c r="P681" s="150"/>
      <c r="Q681" s="150"/>
      <c r="R681" s="475"/>
      <c r="S681" s="476"/>
      <c r="T681" s="150"/>
      <c r="U681" s="150"/>
      <c r="V681" s="150"/>
      <c r="W681" s="168"/>
      <c r="X681" s="150"/>
      <c r="Y681" s="469"/>
      <c r="Z681" s="455"/>
      <c r="AA681" s="150"/>
      <c r="AB681" s="492"/>
      <c r="AC681" s="150"/>
      <c r="AD681" s="150"/>
      <c r="AE681" s="469"/>
      <c r="AF681" s="499"/>
      <c r="AG681" s="150"/>
      <c r="AH681" s="150"/>
      <c r="AI681" s="150"/>
      <c r="AJ681" s="150"/>
      <c r="AK681" s="150"/>
      <c r="AL681" s="150"/>
      <c r="AM681" s="150"/>
      <c r="AN681" s="150"/>
      <c r="AO681" s="469"/>
      <c r="AP681" s="150"/>
      <c r="AQ681" s="150"/>
      <c r="AR681" s="151"/>
      <c r="AS681" s="456"/>
      <c r="AT681" s="151"/>
      <c r="AU681" s="150"/>
      <c r="AV681" s="487"/>
      <c r="AW681" s="150"/>
      <c r="AX681" s="150"/>
      <c r="AY681" s="469"/>
      <c r="AZ681" s="150"/>
      <c r="BA681" s="150"/>
      <c r="BB681" s="150"/>
      <c r="BC681" s="469"/>
      <c r="BD681" s="150"/>
      <c r="BE681" s="469"/>
      <c r="BF681" s="469"/>
      <c r="BG681" s="150"/>
      <c r="BH681" s="150"/>
      <c r="BI681" s="150"/>
      <c r="BJ681" s="469"/>
      <c r="BK681" s="152"/>
      <c r="BL681" s="160"/>
      <c r="BM681" s="150"/>
      <c r="BN681" s="150"/>
      <c r="BO681" s="150"/>
      <c r="BP681" s="152"/>
      <c r="BQ681" s="160"/>
      <c r="BR681" s="152"/>
      <c r="BS681" s="160"/>
    </row>
    <row r="682" spans="1:71" x14ac:dyDescent="0.3">
      <c r="A682" s="420">
        <f>DL!A679</f>
        <v>620</v>
      </c>
      <c r="B682" s="16" t="s">
        <v>361</v>
      </c>
      <c r="C682" s="149">
        <f>DL!L679</f>
        <v>8</v>
      </c>
      <c r="D682" s="149">
        <f>DL!C679</f>
        <v>250</v>
      </c>
      <c r="E682" s="150"/>
      <c r="F682" s="463"/>
      <c r="G682" s="150"/>
      <c r="H682" s="150"/>
      <c r="I682" s="469"/>
      <c r="J682" s="150"/>
      <c r="K682" s="168"/>
      <c r="L682" s="469">
        <v>17000</v>
      </c>
      <c r="M682" s="150">
        <v>17000</v>
      </c>
      <c r="N682" s="469"/>
      <c r="O682" s="150"/>
      <c r="P682" s="150"/>
      <c r="Q682" s="150"/>
      <c r="R682" s="475"/>
      <c r="S682" s="476">
        <v>18000</v>
      </c>
      <c r="T682" s="150"/>
      <c r="U682" s="150"/>
      <c r="V682" s="150"/>
      <c r="W682" s="168"/>
      <c r="X682" s="150"/>
      <c r="Y682" s="469"/>
      <c r="Z682" s="455"/>
      <c r="AA682" s="150"/>
      <c r="AB682" s="492"/>
      <c r="AC682" s="150">
        <v>15540</v>
      </c>
      <c r="AD682" s="150"/>
      <c r="AE682" s="469"/>
      <c r="AF682" s="499"/>
      <c r="AG682" s="150"/>
      <c r="AH682" s="150"/>
      <c r="AI682" s="150"/>
      <c r="AJ682" s="150"/>
      <c r="AK682" s="150"/>
      <c r="AL682" s="150"/>
      <c r="AM682" s="150"/>
      <c r="AN682" s="150"/>
      <c r="AO682" s="469"/>
      <c r="AP682" s="150"/>
      <c r="AQ682" s="150"/>
      <c r="AR682" s="151"/>
      <c r="AS682" s="456"/>
      <c r="AT682" s="151"/>
      <c r="AU682" s="150"/>
      <c r="AV682" s="487"/>
      <c r="AW682" s="150"/>
      <c r="AX682" s="150"/>
      <c r="AY682" s="469"/>
      <c r="AZ682" s="150"/>
      <c r="BA682" s="150"/>
      <c r="BB682" s="150"/>
      <c r="BC682" s="469"/>
      <c r="BD682" s="150"/>
      <c r="BE682" s="469"/>
      <c r="BF682" s="469"/>
      <c r="BG682" s="150"/>
      <c r="BH682" s="150"/>
      <c r="BI682" s="150"/>
      <c r="BJ682" s="469"/>
      <c r="BK682" s="152"/>
      <c r="BL682" s="160"/>
      <c r="BM682" s="150"/>
      <c r="BN682" s="150"/>
      <c r="BO682" s="150"/>
      <c r="BP682" s="152"/>
      <c r="BQ682" s="160"/>
      <c r="BR682" s="152"/>
      <c r="BS682" s="160"/>
    </row>
    <row r="683" spans="1:71" x14ac:dyDescent="0.3">
      <c r="A683" s="420">
        <f>DL!A680</f>
        <v>621</v>
      </c>
      <c r="B683" s="16" t="s">
        <v>1376</v>
      </c>
      <c r="C683" s="149">
        <f>DL!L680</f>
        <v>260</v>
      </c>
      <c r="D683" s="149">
        <f>DL!C680</f>
        <v>10</v>
      </c>
      <c r="E683" s="150"/>
      <c r="F683" s="463"/>
      <c r="G683" s="150"/>
      <c r="H683" s="150"/>
      <c r="I683" s="469"/>
      <c r="J683" s="150"/>
      <c r="K683" s="168"/>
      <c r="L683" s="469">
        <v>1700</v>
      </c>
      <c r="M683" s="150">
        <v>1800</v>
      </c>
      <c r="N683" s="469"/>
      <c r="O683" s="150"/>
      <c r="P683" s="150"/>
      <c r="Q683" s="150"/>
      <c r="R683" s="475"/>
      <c r="S683" s="476">
        <v>1600</v>
      </c>
      <c r="T683" s="150"/>
      <c r="U683" s="150">
        <v>2400</v>
      </c>
      <c r="V683" s="150"/>
      <c r="W683" s="168"/>
      <c r="X683" s="150"/>
      <c r="Y683" s="469"/>
      <c r="Z683" s="455"/>
      <c r="AA683" s="150"/>
      <c r="AB683" s="492"/>
      <c r="AC683" s="150"/>
      <c r="AD683" s="150"/>
      <c r="AE683" s="469"/>
      <c r="AF683" s="499"/>
      <c r="AG683" s="150"/>
      <c r="AH683" s="150"/>
      <c r="AI683" s="150"/>
      <c r="AJ683" s="150"/>
      <c r="AK683" s="150"/>
      <c r="AL683" s="150"/>
      <c r="AM683" s="150"/>
      <c r="AN683" s="150"/>
      <c r="AO683" s="469"/>
      <c r="AP683" s="150"/>
      <c r="AQ683" s="150"/>
      <c r="AR683" s="151"/>
      <c r="AS683" s="456"/>
      <c r="AT683" s="151"/>
      <c r="AU683" s="150"/>
      <c r="AV683" s="487"/>
      <c r="AW683" s="150"/>
      <c r="AX683" s="150"/>
      <c r="AY683" s="469"/>
      <c r="AZ683" s="150"/>
      <c r="BA683" s="150"/>
      <c r="BB683" s="150"/>
      <c r="BC683" s="469"/>
      <c r="BD683" s="150"/>
      <c r="BE683" s="469"/>
      <c r="BF683" s="469"/>
      <c r="BG683" s="150"/>
      <c r="BH683" s="150"/>
      <c r="BI683" s="150"/>
      <c r="BJ683" s="469"/>
      <c r="BK683" s="152"/>
      <c r="BL683" s="160"/>
      <c r="BM683" s="150"/>
      <c r="BN683" s="150"/>
      <c r="BO683" s="150"/>
      <c r="BP683" s="152"/>
      <c r="BQ683" s="160"/>
      <c r="BR683" s="152"/>
      <c r="BS683" s="160"/>
    </row>
    <row r="684" spans="1:71" x14ac:dyDescent="0.3">
      <c r="A684" s="420">
        <f>DL!A681</f>
        <v>622</v>
      </c>
      <c r="B684" s="16" t="s">
        <v>1377</v>
      </c>
      <c r="C684" s="149">
        <f>DL!L681</f>
        <v>672</v>
      </c>
      <c r="D684" s="149">
        <f>DL!C681</f>
        <v>12</v>
      </c>
      <c r="E684" s="150"/>
      <c r="F684" s="463"/>
      <c r="G684" s="150"/>
      <c r="H684" s="150"/>
      <c r="I684" s="469"/>
      <c r="J684" s="150"/>
      <c r="K684" s="168"/>
      <c r="L684" s="469">
        <v>9000</v>
      </c>
      <c r="M684" s="150">
        <v>2880</v>
      </c>
      <c r="N684" s="469"/>
      <c r="O684" s="150"/>
      <c r="P684" s="150"/>
      <c r="Q684" s="150"/>
      <c r="R684" s="475"/>
      <c r="S684" s="476"/>
      <c r="T684" s="150"/>
      <c r="U684" s="150">
        <v>4800</v>
      </c>
      <c r="V684" s="150"/>
      <c r="W684" s="168">
        <v>5500</v>
      </c>
      <c r="X684" s="150"/>
      <c r="Y684" s="469"/>
      <c r="Z684" s="455"/>
      <c r="AA684" s="150"/>
      <c r="AB684" s="492"/>
      <c r="AC684" s="150">
        <v>2775</v>
      </c>
      <c r="AD684" s="150"/>
      <c r="AE684" s="469"/>
      <c r="AF684" s="499"/>
      <c r="AG684" s="150"/>
      <c r="AH684" s="150"/>
      <c r="AI684" s="150"/>
      <c r="AJ684" s="150"/>
      <c r="AK684" s="150"/>
      <c r="AL684" s="150"/>
      <c r="AM684" s="150"/>
      <c r="AN684" s="150"/>
      <c r="AO684" s="469"/>
      <c r="AP684" s="150"/>
      <c r="AQ684" s="150"/>
      <c r="AR684" s="151"/>
      <c r="AS684" s="456"/>
      <c r="AT684" s="151"/>
      <c r="AU684" s="150"/>
      <c r="AV684" s="487"/>
      <c r="AW684" s="150"/>
      <c r="AX684" s="150"/>
      <c r="AY684" s="469"/>
      <c r="AZ684" s="150"/>
      <c r="BA684" s="150"/>
      <c r="BB684" s="150"/>
      <c r="BC684" s="469"/>
      <c r="BD684" s="150"/>
      <c r="BE684" s="469"/>
      <c r="BF684" s="469"/>
      <c r="BG684" s="150"/>
      <c r="BH684" s="150"/>
      <c r="BI684" s="150"/>
      <c r="BJ684" s="469"/>
      <c r="BK684" s="152"/>
      <c r="BL684" s="160"/>
      <c r="BM684" s="150"/>
      <c r="BN684" s="150"/>
      <c r="BO684" s="150"/>
      <c r="BP684" s="152"/>
      <c r="BQ684" s="160"/>
      <c r="BR684" s="152"/>
      <c r="BS684" s="160"/>
    </row>
    <row r="685" spans="1:71" x14ac:dyDescent="0.3">
      <c r="A685" s="420">
        <f>DL!A682</f>
        <v>623</v>
      </c>
      <c r="B685" s="16" t="s">
        <v>1378</v>
      </c>
      <c r="C685" s="149">
        <f>DL!L682</f>
        <v>20</v>
      </c>
      <c r="D685" s="149">
        <f>DL!C682</f>
        <v>6</v>
      </c>
      <c r="E685" s="150"/>
      <c r="F685" s="463"/>
      <c r="G685" s="150"/>
      <c r="H685" s="150"/>
      <c r="I685" s="469"/>
      <c r="J685" s="150"/>
      <c r="K685" s="168"/>
      <c r="L685" s="469">
        <v>8000</v>
      </c>
      <c r="M685" s="150">
        <v>2800</v>
      </c>
      <c r="N685" s="469"/>
      <c r="O685" s="150"/>
      <c r="P685" s="150"/>
      <c r="Q685" s="150"/>
      <c r="R685" s="475"/>
      <c r="S685" s="476"/>
      <c r="T685" s="150"/>
      <c r="U685" s="150">
        <v>4800</v>
      </c>
      <c r="V685" s="150"/>
      <c r="W685" s="168">
        <v>5500</v>
      </c>
      <c r="X685" s="150"/>
      <c r="Y685" s="469"/>
      <c r="Z685" s="455"/>
      <c r="AA685" s="150"/>
      <c r="AB685" s="492"/>
      <c r="AC685" s="150"/>
      <c r="AD685" s="150"/>
      <c r="AE685" s="469"/>
      <c r="AF685" s="499"/>
      <c r="AG685" s="150"/>
      <c r="AH685" s="150"/>
      <c r="AI685" s="150"/>
      <c r="AJ685" s="150"/>
      <c r="AK685" s="150"/>
      <c r="AL685" s="150"/>
      <c r="AM685" s="150"/>
      <c r="AN685" s="150"/>
      <c r="AO685" s="469"/>
      <c r="AP685" s="150"/>
      <c r="AQ685" s="150"/>
      <c r="AR685" s="151"/>
      <c r="AS685" s="456"/>
      <c r="AT685" s="151"/>
      <c r="AU685" s="150"/>
      <c r="AV685" s="487"/>
      <c r="AW685" s="150"/>
      <c r="AX685" s="150"/>
      <c r="AY685" s="469"/>
      <c r="AZ685" s="150"/>
      <c r="BA685" s="150"/>
      <c r="BB685" s="150"/>
      <c r="BC685" s="469"/>
      <c r="BD685" s="150"/>
      <c r="BE685" s="469"/>
      <c r="BF685" s="469"/>
      <c r="BG685" s="150"/>
      <c r="BH685" s="150"/>
      <c r="BI685" s="150"/>
      <c r="BJ685" s="469"/>
      <c r="BK685" s="152"/>
      <c r="BL685" s="160"/>
      <c r="BM685" s="150"/>
      <c r="BN685" s="150"/>
      <c r="BO685" s="150"/>
      <c r="BP685" s="152"/>
      <c r="BQ685" s="160"/>
      <c r="BR685" s="152"/>
      <c r="BS685" s="160"/>
    </row>
    <row r="686" spans="1:71" x14ac:dyDescent="0.3">
      <c r="A686" s="420">
        <f>DL!A683</f>
        <v>624</v>
      </c>
      <c r="B686" s="16" t="s">
        <v>1423</v>
      </c>
      <c r="C686" s="149">
        <v>100</v>
      </c>
      <c r="D686" s="149">
        <f>DL!C683</f>
        <v>4</v>
      </c>
      <c r="E686" s="150"/>
      <c r="F686" s="463"/>
      <c r="G686" s="150"/>
      <c r="H686" s="150"/>
      <c r="I686" s="469"/>
      <c r="J686" s="150"/>
      <c r="K686" s="168"/>
      <c r="L686" s="469">
        <v>9000</v>
      </c>
      <c r="M686" s="150"/>
      <c r="N686" s="469"/>
      <c r="O686" s="150"/>
      <c r="P686" s="150"/>
      <c r="Q686" s="150"/>
      <c r="R686" s="475"/>
      <c r="S686" s="476"/>
      <c r="T686" s="150"/>
      <c r="U686" s="150">
        <v>7500</v>
      </c>
      <c r="V686" s="150"/>
      <c r="W686" s="168">
        <v>7000</v>
      </c>
      <c r="X686" s="150"/>
      <c r="Y686" s="469"/>
      <c r="Z686" s="455"/>
      <c r="AA686" s="150"/>
      <c r="AB686" s="492"/>
      <c r="AC686" s="150"/>
      <c r="AD686" s="150"/>
      <c r="AE686" s="469"/>
      <c r="AF686" s="499"/>
      <c r="AG686" s="150"/>
      <c r="AH686" s="150"/>
      <c r="AI686" s="150"/>
      <c r="AJ686" s="150"/>
      <c r="AK686" s="150"/>
      <c r="AL686" s="150"/>
      <c r="AM686" s="150"/>
      <c r="AN686" s="150"/>
      <c r="AO686" s="469"/>
      <c r="AP686" s="150"/>
      <c r="AQ686" s="150"/>
      <c r="AR686" s="151"/>
      <c r="AS686" s="456"/>
      <c r="AT686" s="151"/>
      <c r="AU686" s="150"/>
      <c r="AV686" s="487"/>
      <c r="AW686" s="150"/>
      <c r="AX686" s="150"/>
      <c r="AY686" s="469"/>
      <c r="AZ686" s="150"/>
      <c r="BA686" s="150"/>
      <c r="BB686" s="150"/>
      <c r="BC686" s="469"/>
      <c r="BD686" s="150"/>
      <c r="BE686" s="469"/>
      <c r="BF686" s="469"/>
      <c r="BG686" s="150"/>
      <c r="BH686" s="150"/>
      <c r="BI686" s="150"/>
      <c r="BJ686" s="469"/>
      <c r="BK686" s="152"/>
      <c r="BL686" s="160"/>
      <c r="BM686" s="150"/>
      <c r="BN686" s="150"/>
      <c r="BO686" s="150"/>
      <c r="BP686" s="152"/>
      <c r="BQ686" s="160"/>
      <c r="BR686" s="152"/>
      <c r="BS686" s="160"/>
    </row>
    <row r="687" spans="1:71" x14ac:dyDescent="0.3">
      <c r="A687" s="420">
        <f>DL!A684</f>
        <v>625</v>
      </c>
      <c r="B687" s="16" t="s">
        <v>1379</v>
      </c>
      <c r="C687" s="149">
        <f>DL!L684</f>
        <v>12</v>
      </c>
      <c r="D687" s="149">
        <f>DL!C684</f>
        <v>4</v>
      </c>
      <c r="E687" s="150"/>
      <c r="F687" s="463"/>
      <c r="G687" s="150"/>
      <c r="H687" s="150"/>
      <c r="I687" s="469"/>
      <c r="J687" s="150"/>
      <c r="K687" s="168"/>
      <c r="L687" s="469">
        <v>9500</v>
      </c>
      <c r="M687" s="150">
        <v>4220</v>
      </c>
      <c r="N687" s="469"/>
      <c r="O687" s="150"/>
      <c r="P687" s="150"/>
      <c r="Q687" s="150"/>
      <c r="R687" s="475"/>
      <c r="S687" s="476"/>
      <c r="T687" s="150"/>
      <c r="U687" s="150">
        <v>4800</v>
      </c>
      <c r="V687" s="150"/>
      <c r="W687" s="168">
        <v>6500</v>
      </c>
      <c r="X687" s="150"/>
      <c r="Y687" s="469"/>
      <c r="Z687" s="455"/>
      <c r="AA687" s="150"/>
      <c r="AB687" s="492"/>
      <c r="AC687" s="150"/>
      <c r="AD687" s="150"/>
      <c r="AE687" s="469"/>
      <c r="AF687" s="499"/>
      <c r="AG687" s="150"/>
      <c r="AH687" s="150"/>
      <c r="AI687" s="150"/>
      <c r="AJ687" s="150"/>
      <c r="AK687" s="150"/>
      <c r="AL687" s="150"/>
      <c r="AM687" s="150"/>
      <c r="AN687" s="150"/>
      <c r="AO687" s="469"/>
      <c r="AP687" s="150"/>
      <c r="AQ687" s="150"/>
      <c r="AR687" s="151"/>
      <c r="AS687" s="456"/>
      <c r="AT687" s="151"/>
      <c r="AU687" s="150"/>
      <c r="AV687" s="487"/>
      <c r="AW687" s="150"/>
      <c r="AX687" s="150"/>
      <c r="AY687" s="469"/>
      <c r="AZ687" s="150"/>
      <c r="BA687" s="150"/>
      <c r="BB687" s="150"/>
      <c r="BC687" s="469"/>
      <c r="BD687" s="150"/>
      <c r="BE687" s="469"/>
      <c r="BF687" s="469"/>
      <c r="BG687" s="150"/>
      <c r="BH687" s="150"/>
      <c r="BI687" s="150"/>
      <c r="BJ687" s="469"/>
      <c r="BK687" s="152"/>
      <c r="BL687" s="160"/>
      <c r="BM687" s="150"/>
      <c r="BN687" s="150"/>
      <c r="BO687" s="150"/>
      <c r="BP687" s="152"/>
      <c r="BQ687" s="160"/>
      <c r="BR687" s="152"/>
      <c r="BS687" s="160"/>
    </row>
    <row r="688" spans="1:71" x14ac:dyDescent="0.3">
      <c r="A688" s="420">
        <f>DL!A685</f>
        <v>626</v>
      </c>
      <c r="B688" s="16" t="s">
        <v>1427</v>
      </c>
      <c r="C688" s="149">
        <f>DL!L685</f>
        <v>105</v>
      </c>
      <c r="D688" s="149">
        <f>DL!C685</f>
        <v>5</v>
      </c>
      <c r="E688" s="150"/>
      <c r="F688" s="463"/>
      <c r="G688" s="150"/>
      <c r="H688" s="150"/>
      <c r="I688" s="469"/>
      <c r="J688" s="150"/>
      <c r="K688" s="168"/>
      <c r="L688" s="469">
        <v>3000</v>
      </c>
      <c r="M688" s="150">
        <v>3360</v>
      </c>
      <c r="N688" s="469"/>
      <c r="O688" s="150"/>
      <c r="P688" s="150"/>
      <c r="Q688" s="150"/>
      <c r="R688" s="475"/>
      <c r="S688" s="476">
        <v>3200</v>
      </c>
      <c r="T688" s="150"/>
      <c r="U688" s="150">
        <v>3800</v>
      </c>
      <c r="V688" s="150"/>
      <c r="W688" s="168"/>
      <c r="X688" s="150"/>
      <c r="Y688" s="469"/>
      <c r="Z688" s="455"/>
      <c r="AA688" s="150"/>
      <c r="AB688" s="492"/>
      <c r="AC688" s="150">
        <v>1413</v>
      </c>
      <c r="AD688" s="150"/>
      <c r="AE688" s="469"/>
      <c r="AF688" s="499"/>
      <c r="AG688" s="150"/>
      <c r="AH688" s="150"/>
      <c r="AI688" s="150"/>
      <c r="AJ688" s="150"/>
      <c r="AK688" s="150"/>
      <c r="AL688" s="150"/>
      <c r="AM688" s="150"/>
      <c r="AN688" s="150"/>
      <c r="AO688" s="469"/>
      <c r="AP688" s="150"/>
      <c r="AQ688" s="150"/>
      <c r="AR688" s="151"/>
      <c r="AS688" s="456"/>
      <c r="AT688" s="151"/>
      <c r="AU688" s="150"/>
      <c r="AV688" s="487"/>
      <c r="AW688" s="150"/>
      <c r="AX688" s="150"/>
      <c r="AY688" s="469"/>
      <c r="AZ688" s="150"/>
      <c r="BA688" s="150"/>
      <c r="BB688" s="150"/>
      <c r="BC688" s="469"/>
      <c r="BD688" s="150"/>
      <c r="BE688" s="469"/>
      <c r="BF688" s="469"/>
      <c r="BG688" s="150"/>
      <c r="BH688" s="150"/>
      <c r="BI688" s="150"/>
      <c r="BJ688" s="469"/>
      <c r="BK688" s="152"/>
      <c r="BL688" s="160"/>
      <c r="BM688" s="150"/>
      <c r="BN688" s="150"/>
      <c r="BO688" s="150"/>
      <c r="BP688" s="152"/>
      <c r="BQ688" s="160"/>
      <c r="BR688" s="152"/>
      <c r="BS688" s="160"/>
    </row>
    <row r="689" spans="1:71" x14ac:dyDescent="0.3">
      <c r="A689" s="420">
        <f>DL!A686</f>
        <v>627</v>
      </c>
      <c r="B689" s="16" t="s">
        <v>1416</v>
      </c>
      <c r="C689" s="149">
        <f>DL!L686</f>
        <v>122</v>
      </c>
      <c r="D689" s="149">
        <f>DL!C686</f>
        <v>5</v>
      </c>
      <c r="E689" s="150"/>
      <c r="F689" s="463"/>
      <c r="G689" s="150"/>
      <c r="H689" s="150"/>
      <c r="I689" s="469"/>
      <c r="J689" s="150"/>
      <c r="K689" s="168"/>
      <c r="L689" s="469">
        <v>3000</v>
      </c>
      <c r="M689" s="150">
        <v>1800</v>
      </c>
      <c r="N689" s="469"/>
      <c r="O689" s="150"/>
      <c r="P689" s="150"/>
      <c r="Q689" s="150"/>
      <c r="R689" s="475"/>
      <c r="S689" s="476">
        <v>2900</v>
      </c>
      <c r="T689" s="150"/>
      <c r="U689" s="150">
        <v>2700</v>
      </c>
      <c r="V689" s="150"/>
      <c r="W689" s="168"/>
      <c r="X689" s="150"/>
      <c r="Y689" s="469"/>
      <c r="Z689" s="455"/>
      <c r="AA689" s="150"/>
      <c r="AB689" s="492"/>
      <c r="AC689" s="150"/>
      <c r="AD689" s="150"/>
      <c r="AE689" s="469"/>
      <c r="AF689" s="499"/>
      <c r="AG689" s="150"/>
      <c r="AH689" s="150"/>
      <c r="AI689" s="150"/>
      <c r="AJ689" s="150"/>
      <c r="AK689" s="150"/>
      <c r="AL689" s="150"/>
      <c r="AM689" s="150"/>
      <c r="AN689" s="150"/>
      <c r="AO689" s="469"/>
      <c r="AP689" s="150"/>
      <c r="AQ689" s="150"/>
      <c r="AR689" s="151"/>
      <c r="AS689" s="456"/>
      <c r="AT689" s="151"/>
      <c r="AU689" s="150"/>
      <c r="AV689" s="487"/>
      <c r="AW689" s="150"/>
      <c r="AX689" s="150"/>
      <c r="AY689" s="469"/>
      <c r="AZ689" s="150"/>
      <c r="BA689" s="150"/>
      <c r="BB689" s="150"/>
      <c r="BC689" s="469"/>
      <c r="BD689" s="150"/>
      <c r="BE689" s="469"/>
      <c r="BF689" s="469"/>
      <c r="BG689" s="150"/>
      <c r="BH689" s="150"/>
      <c r="BI689" s="150"/>
      <c r="BJ689" s="469"/>
      <c r="BK689" s="152"/>
      <c r="BL689" s="160"/>
      <c r="BM689" s="150"/>
      <c r="BN689" s="150"/>
      <c r="BO689" s="150"/>
      <c r="BP689" s="152"/>
      <c r="BQ689" s="160"/>
      <c r="BR689" s="152"/>
      <c r="BS689" s="160"/>
    </row>
    <row r="690" spans="1:71" x14ac:dyDescent="0.3">
      <c r="A690" s="420">
        <f>DL!A687</f>
        <v>628</v>
      </c>
      <c r="B690" s="16" t="s">
        <v>362</v>
      </c>
      <c r="C690" s="149">
        <f>DL!L687</f>
        <v>100</v>
      </c>
      <c r="D690" s="149" t="str">
        <f>DL!C687</f>
        <v>PCS</v>
      </c>
      <c r="E690" s="150"/>
      <c r="F690" s="463"/>
      <c r="G690" s="150"/>
      <c r="H690" s="150"/>
      <c r="I690" s="469"/>
      <c r="J690" s="150"/>
      <c r="K690" s="168"/>
      <c r="L690" s="469">
        <v>3000</v>
      </c>
      <c r="M690" s="150">
        <v>8150</v>
      </c>
      <c r="N690" s="469"/>
      <c r="O690" s="150"/>
      <c r="P690" s="150"/>
      <c r="Q690" s="150"/>
      <c r="R690" s="475"/>
      <c r="S690" s="476">
        <v>3200</v>
      </c>
      <c r="T690" s="150"/>
      <c r="U690" s="150"/>
      <c r="V690" s="150"/>
      <c r="W690" s="168"/>
      <c r="X690" s="150"/>
      <c r="Y690" s="469"/>
      <c r="Z690" s="455"/>
      <c r="AA690" s="150"/>
      <c r="AB690" s="492"/>
      <c r="AC690" s="150"/>
      <c r="AD690" s="150"/>
      <c r="AE690" s="469"/>
      <c r="AF690" s="499"/>
      <c r="AG690" s="150"/>
      <c r="AH690" s="150"/>
      <c r="AI690" s="150"/>
      <c r="AJ690" s="150"/>
      <c r="AK690" s="150"/>
      <c r="AL690" s="150"/>
      <c r="AM690" s="150"/>
      <c r="AN690" s="150"/>
      <c r="AO690" s="469"/>
      <c r="AP690" s="150"/>
      <c r="AQ690" s="150"/>
      <c r="AR690" s="151"/>
      <c r="AS690" s="456"/>
      <c r="AT690" s="151"/>
      <c r="AU690" s="150"/>
      <c r="AV690" s="487"/>
      <c r="AW690" s="150"/>
      <c r="AX690" s="150"/>
      <c r="AY690" s="469"/>
      <c r="AZ690" s="150"/>
      <c r="BA690" s="150"/>
      <c r="BB690" s="150"/>
      <c r="BC690" s="469"/>
      <c r="BD690" s="150"/>
      <c r="BE690" s="469"/>
      <c r="BF690" s="469"/>
      <c r="BG690" s="150"/>
      <c r="BH690" s="150"/>
      <c r="BI690" s="150"/>
      <c r="BJ690" s="469"/>
      <c r="BK690" s="152"/>
      <c r="BL690" s="160"/>
      <c r="BM690" s="150"/>
      <c r="BN690" s="150"/>
      <c r="BO690" s="150"/>
      <c r="BP690" s="152"/>
      <c r="BQ690" s="160"/>
      <c r="BR690" s="152"/>
      <c r="BS690" s="160"/>
    </row>
    <row r="691" spans="1:71" x14ac:dyDescent="0.3">
      <c r="A691" s="420">
        <f>DL!A688</f>
        <v>629</v>
      </c>
      <c r="B691" s="16" t="s">
        <v>363</v>
      </c>
      <c r="C691" s="149">
        <v>40</v>
      </c>
      <c r="D691" s="149">
        <f>DL!C688</f>
        <v>12</v>
      </c>
      <c r="E691" s="150"/>
      <c r="F691" s="463"/>
      <c r="G691" s="150"/>
      <c r="H691" s="150"/>
      <c r="I691" s="469"/>
      <c r="J691" s="150"/>
      <c r="K691" s="168"/>
      <c r="L691" s="469">
        <v>3500</v>
      </c>
      <c r="M691" s="150">
        <v>2400</v>
      </c>
      <c r="N691" s="469"/>
      <c r="O691" s="150"/>
      <c r="P691" s="150"/>
      <c r="Q691" s="150"/>
      <c r="R691" s="475"/>
      <c r="S691" s="476">
        <v>12000</v>
      </c>
      <c r="T691" s="150"/>
      <c r="U691" s="150">
        <v>2800</v>
      </c>
      <c r="V691" s="150"/>
      <c r="W691" s="168"/>
      <c r="X691" s="150"/>
      <c r="Y691" s="469"/>
      <c r="Z691" s="455"/>
      <c r="AA691" s="150"/>
      <c r="AB691" s="492"/>
      <c r="AC691" s="150"/>
      <c r="AD691" s="150"/>
      <c r="AE691" s="469"/>
      <c r="AF691" s="499"/>
      <c r="AG691" s="150"/>
      <c r="AH691" s="150"/>
      <c r="AI691" s="150"/>
      <c r="AJ691" s="150"/>
      <c r="AK691" s="150"/>
      <c r="AL691" s="150"/>
      <c r="AM691" s="150"/>
      <c r="AN691" s="150"/>
      <c r="AO691" s="469"/>
      <c r="AP691" s="150"/>
      <c r="AQ691" s="150"/>
      <c r="AR691" s="151"/>
      <c r="AS691" s="456"/>
      <c r="AT691" s="151"/>
      <c r="AU691" s="150"/>
      <c r="AV691" s="487"/>
      <c r="AW691" s="150"/>
      <c r="AX691" s="150"/>
      <c r="AY691" s="469"/>
      <c r="AZ691" s="150"/>
      <c r="BA691" s="150"/>
      <c r="BB691" s="150"/>
      <c r="BC691" s="469"/>
      <c r="BD691" s="150"/>
      <c r="BE691" s="469"/>
      <c r="BF691" s="469"/>
      <c r="BG691" s="150"/>
      <c r="BH691" s="150"/>
      <c r="BI691" s="150"/>
      <c r="BJ691" s="469"/>
      <c r="BK691" s="152"/>
      <c r="BL691" s="160"/>
      <c r="BM691" s="150"/>
      <c r="BN691" s="150"/>
      <c r="BO691" s="150"/>
      <c r="BP691" s="152"/>
      <c r="BQ691" s="160"/>
      <c r="BR691" s="152"/>
      <c r="BS691" s="160"/>
    </row>
    <row r="692" spans="1:71" x14ac:dyDescent="0.3">
      <c r="A692" s="420">
        <f>DL!A689</f>
        <v>630</v>
      </c>
      <c r="B692" s="16" t="s">
        <v>1418</v>
      </c>
      <c r="C692" s="149">
        <v>3000</v>
      </c>
      <c r="D692" s="149" t="str">
        <f>DL!C689</f>
        <v>PCS</v>
      </c>
      <c r="E692" s="150"/>
      <c r="F692" s="463"/>
      <c r="G692" s="150"/>
      <c r="H692" s="150"/>
      <c r="I692" s="469"/>
      <c r="J692" s="150"/>
      <c r="K692" s="168"/>
      <c r="L692" s="469">
        <v>2000</v>
      </c>
      <c r="M692" s="150">
        <v>2100</v>
      </c>
      <c r="N692" s="469"/>
      <c r="O692" s="150"/>
      <c r="P692" s="150"/>
      <c r="Q692" s="150"/>
      <c r="R692" s="475"/>
      <c r="S692" s="476">
        <v>3100</v>
      </c>
      <c r="T692" s="150"/>
      <c r="U692" s="150">
        <v>2500</v>
      </c>
      <c r="V692" s="150"/>
      <c r="W692" s="168"/>
      <c r="X692" s="150"/>
      <c r="Y692" s="469"/>
      <c r="Z692" s="455"/>
      <c r="AA692" s="150"/>
      <c r="AB692" s="492"/>
      <c r="AC692" s="150"/>
      <c r="AD692" s="150"/>
      <c r="AE692" s="469"/>
      <c r="AF692" s="499"/>
      <c r="AG692" s="150"/>
      <c r="AH692" s="150"/>
      <c r="AI692" s="150"/>
      <c r="AJ692" s="150"/>
      <c r="AK692" s="150"/>
      <c r="AL692" s="150"/>
      <c r="AM692" s="150"/>
      <c r="AN692" s="150"/>
      <c r="AO692" s="469"/>
      <c r="AP692" s="150"/>
      <c r="AQ692" s="150"/>
      <c r="AR692" s="151"/>
      <c r="AS692" s="456"/>
      <c r="AT692" s="151"/>
      <c r="AU692" s="150"/>
      <c r="AV692" s="487"/>
      <c r="AW692" s="150"/>
      <c r="AX692" s="150"/>
      <c r="AY692" s="469"/>
      <c r="AZ692" s="150"/>
      <c r="BA692" s="150"/>
      <c r="BB692" s="150"/>
      <c r="BC692" s="469"/>
      <c r="BD692" s="150"/>
      <c r="BE692" s="469"/>
      <c r="BF692" s="469"/>
      <c r="BG692" s="150"/>
      <c r="BH692" s="150"/>
      <c r="BI692" s="150"/>
      <c r="BJ692" s="469"/>
      <c r="BK692" s="152"/>
      <c r="BL692" s="160"/>
      <c r="BM692" s="150"/>
      <c r="BN692" s="150"/>
      <c r="BO692" s="150"/>
      <c r="BP692" s="152"/>
      <c r="BQ692" s="160"/>
      <c r="BR692" s="152"/>
      <c r="BS692" s="160"/>
    </row>
    <row r="693" spans="1:71" x14ac:dyDescent="0.3">
      <c r="A693" s="420">
        <f>DL!A690</f>
        <v>631</v>
      </c>
      <c r="B693" s="16" t="s">
        <v>364</v>
      </c>
      <c r="C693" s="149">
        <f>DL!L690</f>
        <v>23</v>
      </c>
      <c r="D693" s="149">
        <f>DL!C690</f>
        <v>10</v>
      </c>
      <c r="E693" s="150"/>
      <c r="F693" s="463"/>
      <c r="G693" s="150"/>
      <c r="H693" s="150"/>
      <c r="I693" s="469"/>
      <c r="J693" s="150"/>
      <c r="K693" s="168"/>
      <c r="L693" s="469">
        <v>1800</v>
      </c>
      <c r="M693" s="150">
        <v>16000</v>
      </c>
      <c r="N693" s="469"/>
      <c r="O693" s="150"/>
      <c r="P693" s="150"/>
      <c r="Q693" s="150"/>
      <c r="R693" s="475"/>
      <c r="S693" s="476">
        <v>19000</v>
      </c>
      <c r="T693" s="150"/>
      <c r="U693" s="150">
        <v>18000</v>
      </c>
      <c r="V693" s="150"/>
      <c r="W693" s="168"/>
      <c r="X693" s="150"/>
      <c r="Y693" s="469"/>
      <c r="Z693" s="455"/>
      <c r="AA693" s="150"/>
      <c r="AB693" s="492"/>
      <c r="AC693" s="150">
        <v>3850</v>
      </c>
      <c r="AD693" s="150"/>
      <c r="AE693" s="469"/>
      <c r="AF693" s="499"/>
      <c r="AG693" s="150"/>
      <c r="AH693" s="150"/>
      <c r="AI693" s="150"/>
      <c r="AJ693" s="150"/>
      <c r="AK693" s="150"/>
      <c r="AL693" s="150"/>
      <c r="AM693" s="150"/>
      <c r="AN693" s="150"/>
      <c r="AO693" s="469"/>
      <c r="AP693" s="150"/>
      <c r="AQ693" s="150"/>
      <c r="AR693" s="151"/>
      <c r="AS693" s="456"/>
      <c r="AT693" s="151"/>
      <c r="AU693" s="150"/>
      <c r="AV693" s="487"/>
      <c r="AW693" s="150"/>
      <c r="AX693" s="150"/>
      <c r="AY693" s="469"/>
      <c r="AZ693" s="150"/>
      <c r="BA693" s="150"/>
      <c r="BB693" s="150"/>
      <c r="BC693" s="469"/>
      <c r="BD693" s="150"/>
      <c r="BE693" s="469"/>
      <c r="BF693" s="469"/>
      <c r="BG693" s="150"/>
      <c r="BH693" s="150"/>
      <c r="BI693" s="150"/>
      <c r="BJ693" s="469"/>
      <c r="BK693" s="152"/>
      <c r="BL693" s="160"/>
      <c r="BM693" s="150"/>
      <c r="BN693" s="150"/>
      <c r="BO693" s="150"/>
      <c r="BP693" s="152"/>
      <c r="BQ693" s="160"/>
      <c r="BR693" s="152"/>
      <c r="BS693" s="160"/>
    </row>
    <row r="694" spans="1:71" x14ac:dyDescent="0.3">
      <c r="A694" s="420">
        <f>DL!A691</f>
        <v>632</v>
      </c>
      <c r="B694" s="16" t="s">
        <v>365</v>
      </c>
      <c r="C694" s="149">
        <f>DL!L691</f>
        <v>4</v>
      </c>
      <c r="D694" s="149">
        <f>DL!C691</f>
        <v>100</v>
      </c>
      <c r="E694" s="150"/>
      <c r="F694" s="463"/>
      <c r="G694" s="150"/>
      <c r="H694" s="150"/>
      <c r="I694" s="469"/>
      <c r="J694" s="150"/>
      <c r="K694" s="168"/>
      <c r="L694" s="469">
        <v>400</v>
      </c>
      <c r="M694" s="150">
        <v>1900</v>
      </c>
      <c r="N694" s="469"/>
      <c r="O694" s="150"/>
      <c r="P694" s="150"/>
      <c r="Q694" s="150"/>
      <c r="R694" s="475"/>
      <c r="S694" s="476">
        <v>1850</v>
      </c>
      <c r="T694" s="150"/>
      <c r="U694" s="150">
        <v>5200</v>
      </c>
      <c r="V694" s="150"/>
      <c r="W694" s="168"/>
      <c r="X694" s="150"/>
      <c r="Y694" s="469"/>
      <c r="Z694" s="455"/>
      <c r="AA694" s="150"/>
      <c r="AB694" s="492"/>
      <c r="AC694" s="150"/>
      <c r="AD694" s="150"/>
      <c r="AE694" s="469"/>
      <c r="AF694" s="499"/>
      <c r="AG694" s="150"/>
      <c r="AH694" s="150"/>
      <c r="AI694" s="150"/>
      <c r="AJ694" s="150"/>
      <c r="AK694" s="150"/>
      <c r="AL694" s="150"/>
      <c r="AM694" s="150"/>
      <c r="AN694" s="150"/>
      <c r="AO694" s="469"/>
      <c r="AP694" s="150"/>
      <c r="AQ694" s="150"/>
      <c r="AR694" s="151"/>
      <c r="AS694" s="456"/>
      <c r="AT694" s="151"/>
      <c r="AU694" s="150"/>
      <c r="AV694" s="487"/>
      <c r="AW694" s="150"/>
      <c r="AX694" s="150"/>
      <c r="AY694" s="469"/>
      <c r="AZ694" s="150"/>
      <c r="BA694" s="150"/>
      <c r="BB694" s="150"/>
      <c r="BC694" s="469"/>
      <c r="BD694" s="150"/>
      <c r="BE694" s="469"/>
      <c r="BF694" s="469"/>
      <c r="BG694" s="150"/>
      <c r="BH694" s="150"/>
      <c r="BI694" s="150"/>
      <c r="BJ694" s="469"/>
      <c r="BK694" s="152"/>
      <c r="BL694" s="160"/>
      <c r="BM694" s="150"/>
      <c r="BN694" s="150"/>
      <c r="BO694" s="150"/>
      <c r="BP694" s="152"/>
      <c r="BQ694" s="160"/>
      <c r="BR694" s="152"/>
      <c r="BS694" s="160"/>
    </row>
    <row r="695" spans="1:71" x14ac:dyDescent="0.3">
      <c r="A695" s="420">
        <f>DL!A692</f>
        <v>633</v>
      </c>
      <c r="B695" s="16" t="s">
        <v>736</v>
      </c>
      <c r="C695" s="149">
        <f>DL!L692</f>
        <v>144</v>
      </c>
      <c r="D695" s="149" t="str">
        <f>DL!C692</f>
        <v>PCS</v>
      </c>
      <c r="E695" s="150"/>
      <c r="F695" s="463"/>
      <c r="G695" s="150"/>
      <c r="H695" s="150"/>
      <c r="I695" s="469"/>
      <c r="J695" s="150"/>
      <c r="K695" s="168"/>
      <c r="L695" s="469">
        <v>1700</v>
      </c>
      <c r="M695" s="150">
        <v>600</v>
      </c>
      <c r="N695" s="469"/>
      <c r="O695" s="150"/>
      <c r="P695" s="150"/>
      <c r="Q695" s="150"/>
      <c r="R695" s="475"/>
      <c r="S695" s="476">
        <v>600</v>
      </c>
      <c r="T695" s="150"/>
      <c r="U695" s="150">
        <v>900</v>
      </c>
      <c r="V695" s="150"/>
      <c r="W695" s="168">
        <v>2500</v>
      </c>
      <c r="X695" s="150"/>
      <c r="Y695" s="469"/>
      <c r="Z695" s="455"/>
      <c r="AA695" s="150"/>
      <c r="AB695" s="492"/>
      <c r="AC695" s="150">
        <v>660</v>
      </c>
      <c r="AD695" s="150"/>
      <c r="AE695" s="469"/>
      <c r="AF695" s="499"/>
      <c r="AG695" s="150"/>
      <c r="AH695" s="150"/>
      <c r="AI695" s="150"/>
      <c r="AJ695" s="150"/>
      <c r="AK695" s="150"/>
      <c r="AL695" s="150"/>
      <c r="AM695" s="150"/>
      <c r="AN695" s="150"/>
      <c r="AO695" s="469"/>
      <c r="AP695" s="150"/>
      <c r="AQ695" s="150"/>
      <c r="AR695" s="151"/>
      <c r="AS695" s="456"/>
      <c r="AT695" s="151"/>
      <c r="AU695" s="150"/>
      <c r="AV695" s="487"/>
      <c r="AW695" s="150"/>
      <c r="AX695" s="150"/>
      <c r="AY695" s="469"/>
      <c r="AZ695" s="150"/>
      <c r="BA695" s="150"/>
      <c r="BB695" s="150"/>
      <c r="BC695" s="469"/>
      <c r="BD695" s="150"/>
      <c r="BE695" s="469"/>
      <c r="BF695" s="469"/>
      <c r="BG695" s="150"/>
      <c r="BH695" s="150"/>
      <c r="BI695" s="150"/>
      <c r="BJ695" s="469"/>
      <c r="BK695" s="152"/>
      <c r="BL695" s="160"/>
      <c r="BM695" s="150"/>
      <c r="BN695" s="150"/>
      <c r="BO695" s="150"/>
      <c r="BP695" s="152"/>
      <c r="BQ695" s="160"/>
      <c r="BR695" s="152"/>
      <c r="BS695" s="160"/>
    </row>
    <row r="696" spans="1:71" x14ac:dyDescent="0.3">
      <c r="A696" s="420">
        <f>DL!A693</f>
        <v>634</v>
      </c>
      <c r="B696" s="16" t="s">
        <v>737</v>
      </c>
      <c r="C696" s="149">
        <f>DL!L693</f>
        <v>144</v>
      </c>
      <c r="D696" s="149" t="str">
        <f>DL!C693</f>
        <v>PCS</v>
      </c>
      <c r="E696" s="150"/>
      <c r="F696" s="463"/>
      <c r="G696" s="150"/>
      <c r="H696" s="150"/>
      <c r="I696" s="469"/>
      <c r="J696" s="150"/>
      <c r="K696" s="168"/>
      <c r="L696" s="469">
        <v>2000</v>
      </c>
      <c r="M696" s="150">
        <v>1900</v>
      </c>
      <c r="N696" s="469"/>
      <c r="O696" s="150"/>
      <c r="P696" s="150"/>
      <c r="Q696" s="150"/>
      <c r="R696" s="475"/>
      <c r="S696" s="476">
        <v>1500</v>
      </c>
      <c r="T696" s="150"/>
      <c r="U696" s="150">
        <v>1850</v>
      </c>
      <c r="V696" s="150"/>
      <c r="W696" s="168">
        <v>1000</v>
      </c>
      <c r="X696" s="150"/>
      <c r="Y696" s="469"/>
      <c r="Z696" s="455"/>
      <c r="AA696" s="150"/>
      <c r="AB696" s="492"/>
      <c r="AC696" s="150">
        <v>1650</v>
      </c>
      <c r="AD696" s="150"/>
      <c r="AE696" s="469"/>
      <c r="AF696" s="499"/>
      <c r="AG696" s="150"/>
      <c r="AH696" s="150"/>
      <c r="AI696" s="150"/>
      <c r="AJ696" s="150"/>
      <c r="AK696" s="150"/>
      <c r="AL696" s="150"/>
      <c r="AM696" s="150"/>
      <c r="AN696" s="150"/>
      <c r="AO696" s="469"/>
      <c r="AP696" s="150"/>
      <c r="AQ696" s="150"/>
      <c r="AR696" s="151"/>
      <c r="AS696" s="456"/>
      <c r="AT696" s="151"/>
      <c r="AU696" s="150"/>
      <c r="AV696" s="487"/>
      <c r="AW696" s="150"/>
      <c r="AX696" s="150"/>
      <c r="AY696" s="469"/>
      <c r="AZ696" s="150"/>
      <c r="BA696" s="150"/>
      <c r="BB696" s="150"/>
      <c r="BC696" s="469"/>
      <c r="BD696" s="150"/>
      <c r="BE696" s="469"/>
      <c r="BF696" s="469"/>
      <c r="BG696" s="150"/>
      <c r="BH696" s="150"/>
      <c r="BI696" s="150"/>
      <c r="BJ696" s="469"/>
      <c r="BK696" s="152"/>
      <c r="BL696" s="160"/>
      <c r="BM696" s="150"/>
      <c r="BN696" s="150"/>
      <c r="BO696" s="150"/>
      <c r="BP696" s="152"/>
      <c r="BQ696" s="160"/>
      <c r="BR696" s="152"/>
      <c r="BS696" s="160"/>
    </row>
    <row r="697" spans="1:71" x14ac:dyDescent="0.3">
      <c r="A697" s="420">
        <f>DL!A694</f>
        <v>635</v>
      </c>
      <c r="B697" s="16" t="s">
        <v>366</v>
      </c>
      <c r="C697" s="149">
        <f>DL!L694</f>
        <v>120</v>
      </c>
      <c r="D697" s="149" t="str">
        <f>DL!C694</f>
        <v>PCS</v>
      </c>
      <c r="E697" s="150"/>
      <c r="F697" s="463"/>
      <c r="G697" s="150"/>
      <c r="H697" s="150"/>
      <c r="I697" s="469"/>
      <c r="J697" s="150"/>
      <c r="K697" s="168"/>
      <c r="L697" s="469">
        <v>5500</v>
      </c>
      <c r="M697" s="150">
        <v>4600</v>
      </c>
      <c r="N697" s="469"/>
      <c r="O697" s="150"/>
      <c r="P697" s="150"/>
      <c r="Q697" s="150"/>
      <c r="R697" s="475"/>
      <c r="S697" s="476">
        <v>800</v>
      </c>
      <c r="T697" s="150"/>
      <c r="U697" s="150"/>
      <c r="V697" s="150"/>
      <c r="W697" s="168"/>
      <c r="X697" s="150"/>
      <c r="Y697" s="469"/>
      <c r="Z697" s="455"/>
      <c r="AA697" s="150"/>
      <c r="AB697" s="492"/>
      <c r="AC697" s="150"/>
      <c r="AD697" s="150"/>
      <c r="AE697" s="469"/>
      <c r="AF697" s="499"/>
      <c r="AG697" s="150"/>
      <c r="AH697" s="150"/>
      <c r="AI697" s="150"/>
      <c r="AJ697" s="150"/>
      <c r="AK697" s="150"/>
      <c r="AL697" s="150"/>
      <c r="AM697" s="150"/>
      <c r="AN697" s="150"/>
      <c r="AO697" s="469"/>
      <c r="AP697" s="150"/>
      <c r="AQ697" s="150"/>
      <c r="AR697" s="151"/>
      <c r="AS697" s="456"/>
      <c r="AT697" s="151"/>
      <c r="AU697" s="150"/>
      <c r="AV697" s="487"/>
      <c r="AW697" s="150"/>
      <c r="AX697" s="150"/>
      <c r="AY697" s="469"/>
      <c r="AZ697" s="150"/>
      <c r="BA697" s="150"/>
      <c r="BB697" s="150"/>
      <c r="BC697" s="469"/>
      <c r="BD697" s="150"/>
      <c r="BE697" s="469"/>
      <c r="BF697" s="469"/>
      <c r="BG697" s="150"/>
      <c r="BH697" s="150"/>
      <c r="BI697" s="150"/>
      <c r="BJ697" s="469"/>
      <c r="BK697" s="152"/>
      <c r="BL697" s="160"/>
      <c r="BM697" s="150"/>
      <c r="BN697" s="150"/>
      <c r="BO697" s="150"/>
      <c r="BP697" s="152"/>
      <c r="BQ697" s="160"/>
      <c r="BR697" s="152"/>
      <c r="BS697" s="160"/>
    </row>
    <row r="698" spans="1:71" x14ac:dyDescent="0.3">
      <c r="A698" s="420">
        <f>DL!A695</f>
        <v>636</v>
      </c>
      <c r="B698" s="16" t="s">
        <v>367</v>
      </c>
      <c r="C698" s="149">
        <f>DL!L695</f>
        <v>40</v>
      </c>
      <c r="D698" s="149" t="str">
        <f>DL!C695</f>
        <v>PCS</v>
      </c>
      <c r="E698" s="150"/>
      <c r="F698" s="463"/>
      <c r="G698" s="150"/>
      <c r="H698" s="150"/>
      <c r="I698" s="469"/>
      <c r="J698" s="150"/>
      <c r="K698" s="168"/>
      <c r="L698" s="469">
        <v>5500</v>
      </c>
      <c r="M698" s="150">
        <v>4000</v>
      </c>
      <c r="N698" s="469"/>
      <c r="O698" s="150"/>
      <c r="P698" s="150"/>
      <c r="Q698" s="150"/>
      <c r="R698" s="475"/>
      <c r="S698" s="476">
        <v>800</v>
      </c>
      <c r="T698" s="150"/>
      <c r="U698" s="150"/>
      <c r="V698" s="150"/>
      <c r="W698" s="168"/>
      <c r="X698" s="150"/>
      <c r="Y698" s="469"/>
      <c r="Z698" s="455"/>
      <c r="AA698" s="150"/>
      <c r="AB698" s="492"/>
      <c r="AC698" s="150"/>
      <c r="AD698" s="150"/>
      <c r="AE698" s="469"/>
      <c r="AF698" s="499"/>
      <c r="AG698" s="150"/>
      <c r="AH698" s="150"/>
      <c r="AI698" s="150"/>
      <c r="AJ698" s="150"/>
      <c r="AK698" s="150"/>
      <c r="AL698" s="150"/>
      <c r="AM698" s="150"/>
      <c r="AN698" s="150"/>
      <c r="AO698" s="469"/>
      <c r="AP698" s="150"/>
      <c r="AQ698" s="150"/>
      <c r="AR698" s="151"/>
      <c r="AS698" s="456"/>
      <c r="AT698" s="151"/>
      <c r="AU698" s="150"/>
      <c r="AV698" s="487"/>
      <c r="AW698" s="150"/>
      <c r="AX698" s="150"/>
      <c r="AY698" s="469"/>
      <c r="AZ698" s="150"/>
      <c r="BA698" s="150"/>
      <c r="BB698" s="150"/>
      <c r="BC698" s="469"/>
      <c r="BD698" s="150"/>
      <c r="BE698" s="469"/>
      <c r="BF698" s="469"/>
      <c r="BG698" s="150"/>
      <c r="BH698" s="150"/>
      <c r="BI698" s="150"/>
      <c r="BJ698" s="469"/>
      <c r="BK698" s="152"/>
      <c r="BL698" s="160"/>
      <c r="BM698" s="150"/>
      <c r="BN698" s="150"/>
      <c r="BO698" s="150"/>
      <c r="BP698" s="152"/>
      <c r="BQ698" s="160"/>
      <c r="BR698" s="152"/>
      <c r="BS698" s="160"/>
    </row>
    <row r="699" spans="1:71" x14ac:dyDescent="0.3">
      <c r="A699" s="420">
        <f>DL!A696</f>
        <v>637</v>
      </c>
      <c r="B699" s="16" t="s">
        <v>368</v>
      </c>
      <c r="C699" s="149">
        <v>32</v>
      </c>
      <c r="D699" s="149">
        <f>DL!C696</f>
        <v>100</v>
      </c>
      <c r="E699" s="150"/>
      <c r="F699" s="463"/>
      <c r="G699" s="150"/>
      <c r="H699" s="150"/>
      <c r="I699" s="469"/>
      <c r="J699" s="150"/>
      <c r="K699" s="168"/>
      <c r="L699" s="469">
        <v>6000</v>
      </c>
      <c r="M699" s="150">
        <v>6300</v>
      </c>
      <c r="N699" s="469"/>
      <c r="O699" s="150"/>
      <c r="P699" s="150"/>
      <c r="Q699" s="150"/>
      <c r="R699" s="475"/>
      <c r="S699" s="476">
        <v>5400</v>
      </c>
      <c r="T699" s="150"/>
      <c r="U699" s="150"/>
      <c r="V699" s="150"/>
      <c r="W699" s="168"/>
      <c r="X699" s="150"/>
      <c r="Y699" s="469"/>
      <c r="Z699" s="455"/>
      <c r="AA699" s="150"/>
      <c r="AB699" s="492"/>
      <c r="AC699" s="150">
        <v>5520</v>
      </c>
      <c r="AD699" s="150"/>
      <c r="AE699" s="469"/>
      <c r="AF699" s="499"/>
      <c r="AG699" s="150"/>
      <c r="AH699" s="150"/>
      <c r="AI699" s="150"/>
      <c r="AJ699" s="150"/>
      <c r="AK699" s="150"/>
      <c r="AL699" s="150"/>
      <c r="AM699" s="150"/>
      <c r="AN699" s="150"/>
      <c r="AO699" s="469"/>
      <c r="AP699" s="150"/>
      <c r="AQ699" s="150"/>
      <c r="AR699" s="151"/>
      <c r="AS699" s="456"/>
      <c r="AT699" s="151"/>
      <c r="AU699" s="150"/>
      <c r="AV699" s="487"/>
      <c r="AW699" s="150"/>
      <c r="AX699" s="150"/>
      <c r="AY699" s="469"/>
      <c r="AZ699" s="150"/>
      <c r="BA699" s="150"/>
      <c r="BB699" s="150"/>
      <c r="BC699" s="469"/>
      <c r="BD699" s="150"/>
      <c r="BE699" s="469"/>
      <c r="BF699" s="469"/>
      <c r="BG699" s="150"/>
      <c r="BH699" s="150"/>
      <c r="BI699" s="150"/>
      <c r="BJ699" s="469"/>
      <c r="BK699" s="152"/>
      <c r="BL699" s="160"/>
      <c r="BM699" s="150"/>
      <c r="BN699" s="150"/>
      <c r="BO699" s="150"/>
      <c r="BP699" s="152"/>
      <c r="BQ699" s="160"/>
      <c r="BR699" s="152"/>
      <c r="BS699" s="160"/>
    </row>
    <row r="700" spans="1:71" x14ac:dyDescent="0.3">
      <c r="A700" s="420">
        <f>DL!A697</f>
        <v>638</v>
      </c>
      <c r="B700" s="16" t="s">
        <v>369</v>
      </c>
      <c r="C700" s="149">
        <f>DL!L697</f>
        <v>50</v>
      </c>
      <c r="D700" s="149">
        <f>DL!C697</f>
        <v>12</v>
      </c>
      <c r="E700" s="150"/>
      <c r="F700" s="463"/>
      <c r="G700" s="150"/>
      <c r="H700" s="150"/>
      <c r="I700" s="469"/>
      <c r="J700" s="150"/>
      <c r="K700" s="168"/>
      <c r="L700" s="469">
        <v>1800</v>
      </c>
      <c r="M700" s="150">
        <v>1680</v>
      </c>
      <c r="N700" s="469"/>
      <c r="O700" s="150"/>
      <c r="P700" s="150"/>
      <c r="Q700" s="150"/>
      <c r="R700" s="475"/>
      <c r="S700" s="476">
        <v>8500</v>
      </c>
      <c r="T700" s="150"/>
      <c r="U700" s="150">
        <v>2000</v>
      </c>
      <c r="V700" s="150"/>
      <c r="W700" s="168"/>
      <c r="X700" s="150"/>
      <c r="Y700" s="469"/>
      <c r="Z700" s="455"/>
      <c r="AA700" s="150"/>
      <c r="AB700" s="492"/>
      <c r="AC700" s="150">
        <v>1695</v>
      </c>
      <c r="AD700" s="150"/>
      <c r="AE700" s="469"/>
      <c r="AF700" s="499"/>
      <c r="AG700" s="150"/>
      <c r="AH700" s="150"/>
      <c r="AI700" s="150"/>
      <c r="AJ700" s="150"/>
      <c r="AK700" s="150"/>
      <c r="AL700" s="150"/>
      <c r="AM700" s="150"/>
      <c r="AN700" s="150"/>
      <c r="AO700" s="469"/>
      <c r="AP700" s="150"/>
      <c r="AQ700" s="150"/>
      <c r="AR700" s="151"/>
      <c r="AS700" s="456"/>
      <c r="AT700" s="151"/>
      <c r="AU700" s="150"/>
      <c r="AV700" s="487"/>
      <c r="AW700" s="150"/>
      <c r="AX700" s="150"/>
      <c r="AY700" s="469"/>
      <c r="AZ700" s="150"/>
      <c r="BA700" s="150"/>
      <c r="BB700" s="150"/>
      <c r="BC700" s="469"/>
      <c r="BD700" s="150"/>
      <c r="BE700" s="469"/>
      <c r="BF700" s="469"/>
      <c r="BG700" s="150"/>
      <c r="BH700" s="150"/>
      <c r="BI700" s="150"/>
      <c r="BJ700" s="469"/>
      <c r="BK700" s="152"/>
      <c r="BL700" s="160"/>
      <c r="BM700" s="150"/>
      <c r="BN700" s="150"/>
      <c r="BO700" s="150"/>
      <c r="BP700" s="152"/>
      <c r="BQ700" s="160"/>
      <c r="BR700" s="152"/>
      <c r="BS700" s="160"/>
    </row>
    <row r="701" spans="1:71" x14ac:dyDescent="0.3">
      <c r="A701" s="420">
        <f>DL!A698</f>
        <v>639</v>
      </c>
      <c r="B701" s="16" t="s">
        <v>2186</v>
      </c>
      <c r="C701" s="149">
        <f>DL!L698</f>
        <v>20</v>
      </c>
      <c r="D701" s="149">
        <f>DL!C698</f>
        <v>50</v>
      </c>
      <c r="E701" s="150"/>
      <c r="F701" s="463"/>
      <c r="G701" s="150"/>
      <c r="H701" s="150"/>
      <c r="I701" s="469"/>
      <c r="J701" s="150"/>
      <c r="K701" s="168"/>
      <c r="L701" s="469">
        <f>500*50</f>
        <v>25000</v>
      </c>
      <c r="M701" s="150">
        <v>30000</v>
      </c>
      <c r="N701" s="469"/>
      <c r="O701" s="150"/>
      <c r="P701" s="150"/>
      <c r="Q701" s="150"/>
      <c r="R701" s="475"/>
      <c r="S701" s="476">
        <v>27000</v>
      </c>
      <c r="T701" s="150"/>
      <c r="U701" s="150"/>
      <c r="V701" s="150"/>
      <c r="W701" s="168"/>
      <c r="X701" s="150"/>
      <c r="Y701" s="469"/>
      <c r="Z701" s="455"/>
      <c r="AA701" s="150"/>
      <c r="AB701" s="492"/>
      <c r="AC701" s="150">
        <v>25200</v>
      </c>
      <c r="AD701" s="150"/>
      <c r="AE701" s="469"/>
      <c r="AF701" s="499"/>
      <c r="AG701" s="150"/>
      <c r="AH701" s="150"/>
      <c r="AI701" s="150"/>
      <c r="AJ701" s="150"/>
      <c r="AK701" s="150"/>
      <c r="AL701" s="150"/>
      <c r="AM701" s="150"/>
      <c r="AN701" s="150"/>
      <c r="AO701" s="469"/>
      <c r="AP701" s="150"/>
      <c r="AQ701" s="150"/>
      <c r="AR701" s="151"/>
      <c r="AS701" s="456"/>
      <c r="AT701" s="151"/>
      <c r="AU701" s="150"/>
      <c r="AV701" s="487"/>
      <c r="AW701" s="150"/>
      <c r="AX701" s="150"/>
      <c r="AY701" s="469"/>
      <c r="AZ701" s="150"/>
      <c r="BA701" s="150"/>
      <c r="BB701" s="150"/>
      <c r="BC701" s="469"/>
      <c r="BD701" s="150"/>
      <c r="BE701" s="469"/>
      <c r="BF701" s="469"/>
      <c r="BG701" s="150"/>
      <c r="BH701" s="150"/>
      <c r="BI701" s="150"/>
      <c r="BJ701" s="469"/>
      <c r="BK701" s="152"/>
      <c r="BL701" s="160"/>
      <c r="BM701" s="150"/>
      <c r="BN701" s="150"/>
      <c r="BO701" s="150"/>
      <c r="BP701" s="152"/>
      <c r="BQ701" s="160"/>
      <c r="BR701" s="152"/>
      <c r="BS701" s="160"/>
    </row>
    <row r="702" spans="1:71" x14ac:dyDescent="0.3">
      <c r="A702" s="420">
        <f>DL!A699</f>
        <v>640</v>
      </c>
      <c r="B702" s="16" t="s">
        <v>370</v>
      </c>
      <c r="C702" s="149">
        <f>DL!L699</f>
        <v>4</v>
      </c>
      <c r="D702" s="149">
        <f>DL!C699</f>
        <v>100</v>
      </c>
      <c r="E702" s="150"/>
      <c r="F702" s="463"/>
      <c r="G702" s="150"/>
      <c r="H702" s="150"/>
      <c r="I702" s="469"/>
      <c r="J702" s="150"/>
      <c r="K702" s="168"/>
      <c r="L702" s="469">
        <v>1500</v>
      </c>
      <c r="M702" s="150">
        <v>1300</v>
      </c>
      <c r="N702" s="469"/>
      <c r="O702" s="150"/>
      <c r="P702" s="150"/>
      <c r="Q702" s="150"/>
      <c r="R702" s="475"/>
      <c r="S702" s="476">
        <v>1300</v>
      </c>
      <c r="T702" s="150"/>
      <c r="U702" s="150">
        <v>1900</v>
      </c>
      <c r="V702" s="150"/>
      <c r="W702" s="168">
        <v>2000</v>
      </c>
      <c r="X702" s="150"/>
      <c r="Y702" s="469"/>
      <c r="Z702" s="455"/>
      <c r="AA702" s="150"/>
      <c r="AB702" s="492"/>
      <c r="AC702" s="150"/>
      <c r="AD702" s="150"/>
      <c r="AE702" s="469"/>
      <c r="AF702" s="499"/>
      <c r="AG702" s="150"/>
      <c r="AH702" s="150"/>
      <c r="AI702" s="150"/>
      <c r="AJ702" s="150"/>
      <c r="AK702" s="150"/>
      <c r="AL702" s="150"/>
      <c r="AM702" s="150"/>
      <c r="AN702" s="150"/>
      <c r="AO702" s="469"/>
      <c r="AP702" s="150"/>
      <c r="AQ702" s="150"/>
      <c r="AR702" s="151"/>
      <c r="AS702" s="456"/>
      <c r="AT702" s="151"/>
      <c r="AU702" s="150"/>
      <c r="AV702" s="487"/>
      <c r="AW702" s="150"/>
      <c r="AX702" s="150"/>
      <c r="AY702" s="469"/>
      <c r="AZ702" s="150"/>
      <c r="BA702" s="150"/>
      <c r="BB702" s="150"/>
      <c r="BC702" s="469"/>
      <c r="BD702" s="150"/>
      <c r="BE702" s="469"/>
      <c r="BF702" s="469"/>
      <c r="BG702" s="150"/>
      <c r="BH702" s="150"/>
      <c r="BI702" s="150"/>
      <c r="BJ702" s="469"/>
      <c r="BK702" s="152"/>
      <c r="BL702" s="160"/>
      <c r="BM702" s="150"/>
      <c r="BN702" s="150"/>
      <c r="BO702" s="150"/>
      <c r="BP702" s="152"/>
      <c r="BQ702" s="160"/>
      <c r="BR702" s="152"/>
      <c r="BS702" s="160"/>
    </row>
    <row r="703" spans="1:71" x14ac:dyDescent="0.3">
      <c r="A703" s="420">
        <f>DL!A700</f>
        <v>641</v>
      </c>
      <c r="B703" s="16" t="s">
        <v>371</v>
      </c>
      <c r="C703" s="149">
        <f>DL!L700</f>
        <v>4</v>
      </c>
      <c r="D703" s="149">
        <f>DL!C700</f>
        <v>100</v>
      </c>
      <c r="E703" s="150"/>
      <c r="F703" s="463"/>
      <c r="G703" s="150"/>
      <c r="H703" s="150"/>
      <c r="I703" s="469"/>
      <c r="J703" s="150"/>
      <c r="K703" s="168"/>
      <c r="L703" s="469">
        <v>1500</v>
      </c>
      <c r="M703" s="150">
        <v>1300</v>
      </c>
      <c r="N703" s="469"/>
      <c r="O703" s="150"/>
      <c r="P703" s="150"/>
      <c r="Q703" s="150"/>
      <c r="R703" s="475"/>
      <c r="S703" s="476">
        <v>1300</v>
      </c>
      <c r="T703" s="150"/>
      <c r="U703" s="150">
        <v>1900</v>
      </c>
      <c r="V703" s="150"/>
      <c r="W703" s="168">
        <v>2000</v>
      </c>
      <c r="X703" s="150"/>
      <c r="Y703" s="469"/>
      <c r="Z703" s="455"/>
      <c r="AA703" s="150"/>
      <c r="AB703" s="492"/>
      <c r="AC703" s="150"/>
      <c r="AD703" s="150"/>
      <c r="AE703" s="469"/>
      <c r="AF703" s="499"/>
      <c r="AG703" s="150"/>
      <c r="AH703" s="150"/>
      <c r="AI703" s="150"/>
      <c r="AJ703" s="150"/>
      <c r="AK703" s="150"/>
      <c r="AL703" s="150"/>
      <c r="AM703" s="150"/>
      <c r="AN703" s="150"/>
      <c r="AO703" s="469"/>
      <c r="AP703" s="150"/>
      <c r="AQ703" s="150"/>
      <c r="AR703" s="151"/>
      <c r="AS703" s="456"/>
      <c r="AT703" s="151"/>
      <c r="AU703" s="150"/>
      <c r="AV703" s="487"/>
      <c r="AW703" s="150"/>
      <c r="AX703" s="150"/>
      <c r="AY703" s="469"/>
      <c r="AZ703" s="150"/>
      <c r="BA703" s="150"/>
      <c r="BB703" s="150"/>
      <c r="BC703" s="469"/>
      <c r="BD703" s="150"/>
      <c r="BE703" s="469"/>
      <c r="BF703" s="469"/>
      <c r="BG703" s="150"/>
      <c r="BH703" s="150"/>
      <c r="BI703" s="150"/>
      <c r="BJ703" s="469"/>
      <c r="BK703" s="152"/>
      <c r="BL703" s="160"/>
      <c r="BM703" s="150"/>
      <c r="BN703" s="150"/>
      <c r="BO703" s="150"/>
      <c r="BP703" s="152"/>
      <c r="BQ703" s="160"/>
      <c r="BR703" s="152"/>
      <c r="BS703" s="160"/>
    </row>
    <row r="704" spans="1:71" x14ac:dyDescent="0.3">
      <c r="A704" s="420">
        <f>DL!A701</f>
        <v>642</v>
      </c>
      <c r="B704" s="16" t="s">
        <v>372</v>
      </c>
      <c r="C704" s="149">
        <f>DL!L701</f>
        <v>13</v>
      </c>
      <c r="D704" s="149">
        <f>DL!C701</f>
        <v>100</v>
      </c>
      <c r="E704" s="150"/>
      <c r="F704" s="463"/>
      <c r="G704" s="150"/>
      <c r="H704" s="150"/>
      <c r="I704" s="469"/>
      <c r="J704" s="150"/>
      <c r="K704" s="168"/>
      <c r="L704" s="469">
        <v>1500</v>
      </c>
      <c r="M704" s="150">
        <v>1300</v>
      </c>
      <c r="N704" s="469"/>
      <c r="O704" s="150"/>
      <c r="P704" s="150"/>
      <c r="Q704" s="150"/>
      <c r="R704" s="475"/>
      <c r="S704" s="476">
        <v>1300</v>
      </c>
      <c r="T704" s="150"/>
      <c r="U704" s="150">
        <v>1900</v>
      </c>
      <c r="V704" s="150"/>
      <c r="W704" s="168">
        <v>2000</v>
      </c>
      <c r="X704" s="150"/>
      <c r="Y704" s="469"/>
      <c r="Z704" s="455"/>
      <c r="AA704" s="150"/>
      <c r="AB704" s="492"/>
      <c r="AC704" s="150"/>
      <c r="AD704" s="150"/>
      <c r="AE704" s="469"/>
      <c r="AF704" s="499"/>
      <c r="AG704" s="150"/>
      <c r="AH704" s="150"/>
      <c r="AI704" s="150"/>
      <c r="AJ704" s="150"/>
      <c r="AK704" s="150"/>
      <c r="AL704" s="150"/>
      <c r="AM704" s="150"/>
      <c r="AN704" s="150"/>
      <c r="AO704" s="469"/>
      <c r="AP704" s="150"/>
      <c r="AQ704" s="150"/>
      <c r="AR704" s="151"/>
      <c r="AS704" s="456"/>
      <c r="AT704" s="151"/>
      <c r="AU704" s="150"/>
      <c r="AV704" s="487"/>
      <c r="AW704" s="150"/>
      <c r="AX704" s="150"/>
      <c r="AY704" s="469"/>
      <c r="AZ704" s="150"/>
      <c r="BA704" s="150"/>
      <c r="BB704" s="150"/>
      <c r="BC704" s="469"/>
      <c r="BD704" s="150"/>
      <c r="BE704" s="469"/>
      <c r="BF704" s="469"/>
      <c r="BG704" s="150"/>
      <c r="BH704" s="150"/>
      <c r="BI704" s="150"/>
      <c r="BJ704" s="469"/>
      <c r="BK704" s="152"/>
      <c r="BL704" s="160"/>
      <c r="BM704" s="150"/>
      <c r="BN704" s="150"/>
      <c r="BO704" s="150"/>
      <c r="BP704" s="152"/>
      <c r="BQ704" s="160"/>
      <c r="BR704" s="152"/>
      <c r="BS704" s="160"/>
    </row>
    <row r="705" spans="1:71" x14ac:dyDescent="0.3">
      <c r="A705" s="420">
        <f>DL!A702</f>
        <v>643</v>
      </c>
      <c r="B705" s="16" t="s">
        <v>373</v>
      </c>
      <c r="C705" s="149">
        <v>45</v>
      </c>
      <c r="D705" s="149">
        <f>DL!C702</f>
        <v>100</v>
      </c>
      <c r="E705" s="150"/>
      <c r="F705" s="463"/>
      <c r="G705" s="150"/>
      <c r="H705" s="150"/>
      <c r="I705" s="469"/>
      <c r="J705" s="150"/>
      <c r="K705" s="168"/>
      <c r="L705" s="469">
        <v>1500</v>
      </c>
      <c r="M705" s="150">
        <v>1300</v>
      </c>
      <c r="N705" s="469"/>
      <c r="O705" s="150"/>
      <c r="P705" s="150"/>
      <c r="Q705" s="150"/>
      <c r="R705" s="475"/>
      <c r="S705" s="476">
        <v>1300</v>
      </c>
      <c r="T705" s="150"/>
      <c r="U705" s="150">
        <v>1900</v>
      </c>
      <c r="V705" s="150"/>
      <c r="W705" s="168">
        <v>2000</v>
      </c>
      <c r="X705" s="150"/>
      <c r="Y705" s="469"/>
      <c r="Z705" s="455"/>
      <c r="AA705" s="150"/>
      <c r="AB705" s="492"/>
      <c r="AC705" s="150"/>
      <c r="AD705" s="150"/>
      <c r="AE705" s="469"/>
      <c r="AF705" s="499"/>
      <c r="AG705" s="150"/>
      <c r="AH705" s="150"/>
      <c r="AI705" s="150"/>
      <c r="AJ705" s="150"/>
      <c r="AK705" s="150"/>
      <c r="AL705" s="150"/>
      <c r="AM705" s="150"/>
      <c r="AN705" s="150"/>
      <c r="AO705" s="469"/>
      <c r="AP705" s="150"/>
      <c r="AQ705" s="150"/>
      <c r="AR705" s="151"/>
      <c r="AS705" s="456"/>
      <c r="AT705" s="151"/>
      <c r="AU705" s="150"/>
      <c r="AV705" s="487"/>
      <c r="AW705" s="150"/>
      <c r="AX705" s="150"/>
      <c r="AY705" s="469"/>
      <c r="AZ705" s="150"/>
      <c r="BA705" s="150"/>
      <c r="BB705" s="150"/>
      <c r="BC705" s="469"/>
      <c r="BD705" s="150"/>
      <c r="BE705" s="469"/>
      <c r="BF705" s="469"/>
      <c r="BG705" s="150"/>
      <c r="BH705" s="150"/>
      <c r="BI705" s="150"/>
      <c r="BJ705" s="469"/>
      <c r="BK705" s="152"/>
      <c r="BL705" s="160"/>
      <c r="BM705" s="150"/>
      <c r="BN705" s="150"/>
      <c r="BO705" s="150"/>
      <c r="BP705" s="152"/>
      <c r="BQ705" s="160"/>
      <c r="BR705" s="152"/>
      <c r="BS705" s="160"/>
    </row>
    <row r="706" spans="1:71" x14ac:dyDescent="0.3">
      <c r="A706" s="420">
        <f>DL!A703</f>
        <v>644</v>
      </c>
      <c r="B706" s="16" t="s">
        <v>1422</v>
      </c>
      <c r="C706" s="149">
        <v>20</v>
      </c>
      <c r="D706" s="149">
        <f>DL!C703</f>
        <v>100</v>
      </c>
      <c r="E706" s="150"/>
      <c r="F706" s="463"/>
      <c r="G706" s="150"/>
      <c r="H706" s="150"/>
      <c r="I706" s="469"/>
      <c r="J706" s="150"/>
      <c r="K706" s="168"/>
      <c r="L706" s="469">
        <v>1500</v>
      </c>
      <c r="M706" s="150">
        <v>1300</v>
      </c>
      <c r="N706" s="469"/>
      <c r="O706" s="150"/>
      <c r="P706" s="150"/>
      <c r="Q706" s="150"/>
      <c r="R706" s="475"/>
      <c r="S706" s="476">
        <v>1300</v>
      </c>
      <c r="T706" s="150"/>
      <c r="U706" s="150">
        <v>1900</v>
      </c>
      <c r="V706" s="150"/>
      <c r="W706" s="168">
        <v>2000</v>
      </c>
      <c r="X706" s="150"/>
      <c r="Y706" s="469"/>
      <c r="Z706" s="455"/>
      <c r="AA706" s="150"/>
      <c r="AB706" s="492"/>
      <c r="AC706" s="150"/>
      <c r="AD706" s="150"/>
      <c r="AE706" s="469"/>
      <c r="AF706" s="499"/>
      <c r="AG706" s="150"/>
      <c r="AH706" s="150"/>
      <c r="AI706" s="150"/>
      <c r="AJ706" s="150"/>
      <c r="AK706" s="150"/>
      <c r="AL706" s="150"/>
      <c r="AM706" s="150"/>
      <c r="AN706" s="150"/>
      <c r="AO706" s="469"/>
      <c r="AP706" s="150"/>
      <c r="AQ706" s="150"/>
      <c r="AR706" s="151"/>
      <c r="AS706" s="456"/>
      <c r="AT706" s="151"/>
      <c r="AU706" s="150"/>
      <c r="AV706" s="487"/>
      <c r="AW706" s="150"/>
      <c r="AX706" s="150"/>
      <c r="AY706" s="469"/>
      <c r="AZ706" s="150"/>
      <c r="BA706" s="150"/>
      <c r="BB706" s="150"/>
      <c r="BC706" s="469"/>
      <c r="BD706" s="150"/>
      <c r="BE706" s="469"/>
      <c r="BF706" s="469"/>
      <c r="BG706" s="150"/>
      <c r="BH706" s="150"/>
      <c r="BI706" s="150"/>
      <c r="BJ706" s="469"/>
      <c r="BK706" s="152"/>
      <c r="BL706" s="160"/>
      <c r="BM706" s="150"/>
      <c r="BN706" s="150"/>
      <c r="BO706" s="150"/>
      <c r="BP706" s="152"/>
      <c r="BQ706" s="160"/>
      <c r="BR706" s="152"/>
      <c r="BS706" s="160"/>
    </row>
    <row r="707" spans="1:71" x14ac:dyDescent="0.3">
      <c r="A707" s="420">
        <f>DL!A704</f>
        <v>645</v>
      </c>
      <c r="B707" s="16" t="s">
        <v>374</v>
      </c>
      <c r="C707" s="149">
        <f>DL!L704</f>
        <v>12</v>
      </c>
      <c r="D707" s="149">
        <f>DL!C704</f>
        <v>100</v>
      </c>
      <c r="E707" s="150"/>
      <c r="F707" s="463"/>
      <c r="G707" s="150"/>
      <c r="H707" s="150"/>
      <c r="I707" s="469"/>
      <c r="J707" s="150"/>
      <c r="K707" s="168"/>
      <c r="L707" s="469">
        <v>1500</v>
      </c>
      <c r="M707" s="150">
        <v>1300</v>
      </c>
      <c r="N707" s="469"/>
      <c r="O707" s="150"/>
      <c r="P707" s="150"/>
      <c r="Q707" s="150"/>
      <c r="R707" s="475"/>
      <c r="S707" s="476">
        <v>1300</v>
      </c>
      <c r="T707" s="150"/>
      <c r="U707" s="150">
        <v>1900</v>
      </c>
      <c r="V707" s="150"/>
      <c r="W707" s="168">
        <v>2000</v>
      </c>
      <c r="X707" s="150"/>
      <c r="Y707" s="469"/>
      <c r="Z707" s="455"/>
      <c r="AA707" s="150"/>
      <c r="AB707" s="492"/>
      <c r="AC707" s="150"/>
      <c r="AD707" s="150"/>
      <c r="AE707" s="469"/>
      <c r="AF707" s="499"/>
      <c r="AG707" s="150"/>
      <c r="AH707" s="150"/>
      <c r="AI707" s="150"/>
      <c r="AJ707" s="150"/>
      <c r="AK707" s="150"/>
      <c r="AL707" s="150"/>
      <c r="AM707" s="150"/>
      <c r="AN707" s="150"/>
      <c r="AO707" s="469"/>
      <c r="AP707" s="150"/>
      <c r="AQ707" s="150"/>
      <c r="AR707" s="151"/>
      <c r="AS707" s="456"/>
      <c r="AT707" s="151"/>
      <c r="AU707" s="150"/>
      <c r="AV707" s="487"/>
      <c r="AW707" s="150"/>
      <c r="AX707" s="150"/>
      <c r="AY707" s="469"/>
      <c r="AZ707" s="150"/>
      <c r="BA707" s="150"/>
      <c r="BB707" s="150"/>
      <c r="BC707" s="469"/>
      <c r="BD707" s="150"/>
      <c r="BE707" s="469"/>
      <c r="BF707" s="469"/>
      <c r="BG707" s="150"/>
      <c r="BH707" s="150"/>
      <c r="BI707" s="150"/>
      <c r="BJ707" s="469"/>
      <c r="BK707" s="152"/>
      <c r="BL707" s="160"/>
      <c r="BM707" s="150"/>
      <c r="BN707" s="150"/>
      <c r="BO707" s="150"/>
      <c r="BP707" s="152"/>
      <c r="BQ707" s="160"/>
      <c r="BR707" s="152"/>
      <c r="BS707" s="160"/>
    </row>
    <row r="708" spans="1:71" x14ac:dyDescent="0.3">
      <c r="A708" s="420">
        <f>DL!A705</f>
        <v>646</v>
      </c>
      <c r="B708" s="16" t="s">
        <v>1419</v>
      </c>
      <c r="C708" s="149">
        <v>240</v>
      </c>
      <c r="D708" s="149">
        <f>DL!C705</f>
        <v>50</v>
      </c>
      <c r="E708" s="150"/>
      <c r="F708" s="463"/>
      <c r="G708" s="150"/>
      <c r="H708" s="150"/>
      <c r="I708" s="469"/>
      <c r="J708" s="150"/>
      <c r="K708" s="168"/>
      <c r="L708" s="469">
        <v>3000</v>
      </c>
      <c r="M708" s="150">
        <v>2800</v>
      </c>
      <c r="N708" s="469"/>
      <c r="O708" s="150"/>
      <c r="P708" s="150"/>
      <c r="Q708" s="150"/>
      <c r="R708" s="475"/>
      <c r="S708" s="476">
        <v>2900</v>
      </c>
      <c r="T708" s="150"/>
      <c r="U708" s="150">
        <v>8400</v>
      </c>
      <c r="V708" s="150"/>
      <c r="W708" s="168">
        <v>5000</v>
      </c>
      <c r="X708" s="150"/>
      <c r="Y708" s="469"/>
      <c r="Z708" s="455"/>
      <c r="AA708" s="150"/>
      <c r="AB708" s="492"/>
      <c r="AC708" s="150"/>
      <c r="AD708" s="150"/>
      <c r="AE708" s="469"/>
      <c r="AF708" s="499"/>
      <c r="AG708" s="150"/>
      <c r="AH708" s="150"/>
      <c r="AI708" s="150"/>
      <c r="AJ708" s="150"/>
      <c r="AK708" s="150"/>
      <c r="AL708" s="150"/>
      <c r="AM708" s="150"/>
      <c r="AN708" s="150"/>
      <c r="AO708" s="469"/>
      <c r="AP708" s="150"/>
      <c r="AQ708" s="150"/>
      <c r="AR708" s="151"/>
      <c r="AS708" s="456"/>
      <c r="AT708" s="151"/>
      <c r="AU708" s="150"/>
      <c r="AV708" s="487"/>
      <c r="AW708" s="150"/>
      <c r="AX708" s="150"/>
      <c r="AY708" s="469"/>
      <c r="AZ708" s="150"/>
      <c r="BA708" s="150"/>
      <c r="BB708" s="150"/>
      <c r="BC708" s="469"/>
      <c r="BD708" s="150"/>
      <c r="BE708" s="469"/>
      <c r="BF708" s="469"/>
      <c r="BG708" s="150">
        <v>3000</v>
      </c>
      <c r="BH708" s="150"/>
      <c r="BI708" s="150"/>
      <c r="BJ708" s="469"/>
      <c r="BK708" s="152"/>
      <c r="BL708" s="160"/>
      <c r="BM708" s="150"/>
      <c r="BN708" s="150"/>
      <c r="BO708" s="150"/>
      <c r="BP708" s="152"/>
      <c r="BQ708" s="160"/>
      <c r="BR708" s="152"/>
      <c r="BS708" s="160"/>
    </row>
    <row r="709" spans="1:71" x14ac:dyDescent="0.3">
      <c r="A709" s="420">
        <f>DL!A706</f>
        <v>647</v>
      </c>
      <c r="B709" s="16" t="s">
        <v>1420</v>
      </c>
      <c r="C709" s="149">
        <v>600</v>
      </c>
      <c r="D709" s="149">
        <f>DL!C706</f>
        <v>50</v>
      </c>
      <c r="E709" s="150"/>
      <c r="F709" s="463"/>
      <c r="G709" s="150"/>
      <c r="H709" s="150"/>
      <c r="I709" s="469"/>
      <c r="J709" s="150"/>
      <c r="K709" s="168"/>
      <c r="L709" s="469">
        <v>3000</v>
      </c>
      <c r="M709" s="150">
        <v>2800</v>
      </c>
      <c r="N709" s="469"/>
      <c r="O709" s="150"/>
      <c r="P709" s="150"/>
      <c r="Q709" s="150"/>
      <c r="R709" s="475"/>
      <c r="S709" s="476">
        <v>2900</v>
      </c>
      <c r="T709" s="150"/>
      <c r="U709" s="150">
        <v>8400</v>
      </c>
      <c r="V709" s="150"/>
      <c r="W709" s="168">
        <v>5000</v>
      </c>
      <c r="X709" s="150"/>
      <c r="Y709" s="469"/>
      <c r="Z709" s="455"/>
      <c r="AA709" s="150"/>
      <c r="AB709" s="492"/>
      <c r="AC709" s="150">
        <v>3180</v>
      </c>
      <c r="AD709" s="150"/>
      <c r="AE709" s="469"/>
      <c r="AF709" s="499"/>
      <c r="AG709" s="150"/>
      <c r="AH709" s="150"/>
      <c r="AI709" s="150"/>
      <c r="AJ709" s="150"/>
      <c r="AK709" s="150"/>
      <c r="AL709" s="150"/>
      <c r="AM709" s="150"/>
      <c r="AN709" s="150"/>
      <c r="AO709" s="469"/>
      <c r="AP709" s="150"/>
      <c r="AQ709" s="150"/>
      <c r="AR709" s="151"/>
      <c r="AS709" s="456"/>
      <c r="AT709" s="151"/>
      <c r="AU709" s="150"/>
      <c r="AV709" s="487"/>
      <c r="AW709" s="150"/>
      <c r="AX709" s="150"/>
      <c r="AY709" s="469"/>
      <c r="AZ709" s="150"/>
      <c r="BA709" s="150"/>
      <c r="BB709" s="150"/>
      <c r="BC709" s="469"/>
      <c r="BD709" s="150"/>
      <c r="BE709" s="469"/>
      <c r="BF709" s="469"/>
      <c r="BG709" s="150">
        <v>3000</v>
      </c>
      <c r="BH709" s="150"/>
      <c r="BI709" s="150"/>
      <c r="BJ709" s="469"/>
      <c r="BK709" s="152"/>
      <c r="BL709" s="160"/>
      <c r="BM709" s="150"/>
      <c r="BN709" s="150"/>
      <c r="BO709" s="150"/>
      <c r="BP709" s="152"/>
      <c r="BQ709" s="160"/>
      <c r="BR709" s="152"/>
      <c r="BS709" s="160"/>
    </row>
    <row r="710" spans="1:71" x14ac:dyDescent="0.3">
      <c r="A710" s="420">
        <f>DL!A707</f>
        <v>648</v>
      </c>
      <c r="B710" s="16" t="s">
        <v>1421</v>
      </c>
      <c r="C710" s="149">
        <v>350</v>
      </c>
      <c r="D710" s="149">
        <f>DL!C707</f>
        <v>50</v>
      </c>
      <c r="E710" s="150"/>
      <c r="F710" s="463"/>
      <c r="G710" s="150"/>
      <c r="H710" s="150"/>
      <c r="I710" s="469"/>
      <c r="J710" s="150"/>
      <c r="K710" s="168"/>
      <c r="L710" s="469">
        <v>3000</v>
      </c>
      <c r="M710" s="150">
        <v>2800</v>
      </c>
      <c r="N710" s="469"/>
      <c r="O710" s="150"/>
      <c r="P710" s="150"/>
      <c r="Q710" s="150"/>
      <c r="R710" s="475"/>
      <c r="S710" s="476">
        <v>2900</v>
      </c>
      <c r="T710" s="150"/>
      <c r="U710" s="150">
        <v>8400</v>
      </c>
      <c r="V710" s="150"/>
      <c r="W710" s="168">
        <v>5000</v>
      </c>
      <c r="X710" s="150"/>
      <c r="Y710" s="469"/>
      <c r="Z710" s="455"/>
      <c r="AA710" s="150"/>
      <c r="AB710" s="492"/>
      <c r="AC710" s="150">
        <v>3180</v>
      </c>
      <c r="AD710" s="150"/>
      <c r="AE710" s="469"/>
      <c r="AF710" s="499"/>
      <c r="AG710" s="150"/>
      <c r="AH710" s="150"/>
      <c r="AI710" s="150"/>
      <c r="AJ710" s="150"/>
      <c r="AK710" s="150"/>
      <c r="AL710" s="150"/>
      <c r="AM710" s="150"/>
      <c r="AN710" s="150"/>
      <c r="AO710" s="469"/>
      <c r="AP710" s="150"/>
      <c r="AQ710" s="150"/>
      <c r="AR710" s="151"/>
      <c r="AS710" s="456"/>
      <c r="AT710" s="151"/>
      <c r="AU710" s="150"/>
      <c r="AV710" s="487"/>
      <c r="AW710" s="150"/>
      <c r="AX710" s="150"/>
      <c r="AY710" s="469"/>
      <c r="AZ710" s="150"/>
      <c r="BA710" s="150"/>
      <c r="BB710" s="150"/>
      <c r="BC710" s="469"/>
      <c r="BD710" s="150"/>
      <c r="BE710" s="469"/>
      <c r="BF710" s="469"/>
      <c r="BG710" s="150">
        <v>3000</v>
      </c>
      <c r="BH710" s="150"/>
      <c r="BI710" s="150"/>
      <c r="BJ710" s="469"/>
      <c r="BK710" s="152"/>
      <c r="BL710" s="160"/>
      <c r="BM710" s="150"/>
      <c r="BN710" s="150"/>
      <c r="BO710" s="150"/>
      <c r="BP710" s="152"/>
      <c r="BQ710" s="160"/>
      <c r="BR710" s="152"/>
      <c r="BS710" s="160"/>
    </row>
    <row r="711" spans="1:71" x14ac:dyDescent="0.3">
      <c r="A711" s="420">
        <f>DL!A708</f>
        <v>649</v>
      </c>
      <c r="B711" s="16" t="s">
        <v>377</v>
      </c>
      <c r="C711" s="149">
        <v>600</v>
      </c>
      <c r="D711" s="149">
        <f>DL!C708</f>
        <v>10</v>
      </c>
      <c r="E711" s="150"/>
      <c r="F711" s="463"/>
      <c r="G711" s="150"/>
      <c r="H711" s="150"/>
      <c r="I711" s="469"/>
      <c r="J711" s="150"/>
      <c r="K711" s="168"/>
      <c r="L711" s="469">
        <v>1000</v>
      </c>
      <c r="M711" s="150">
        <v>780</v>
      </c>
      <c r="N711" s="469"/>
      <c r="O711" s="150"/>
      <c r="P711" s="150"/>
      <c r="Q711" s="150"/>
      <c r="R711" s="475"/>
      <c r="S711" s="476">
        <v>800</v>
      </c>
      <c r="T711" s="150"/>
      <c r="U711" s="150">
        <v>1100</v>
      </c>
      <c r="V711" s="150"/>
      <c r="W711" s="168"/>
      <c r="X711" s="150"/>
      <c r="Y711" s="469"/>
      <c r="Z711" s="455"/>
      <c r="AA711" s="150"/>
      <c r="AB711" s="492"/>
      <c r="AC711" s="150">
        <v>715</v>
      </c>
      <c r="AD711" s="150"/>
      <c r="AE711" s="469"/>
      <c r="AF711" s="499"/>
      <c r="AG711" s="150"/>
      <c r="AH711" s="150"/>
      <c r="AI711" s="150"/>
      <c r="AJ711" s="150"/>
      <c r="AK711" s="150"/>
      <c r="AL711" s="150"/>
      <c r="AM711" s="150"/>
      <c r="AN711" s="150"/>
      <c r="AO711" s="469"/>
      <c r="AP711" s="150"/>
      <c r="AQ711" s="150"/>
      <c r="AR711" s="151"/>
      <c r="AS711" s="456"/>
      <c r="AT711" s="151"/>
      <c r="AU711" s="150"/>
      <c r="AV711" s="487"/>
      <c r="AW711" s="150"/>
      <c r="AX711" s="150"/>
      <c r="AY711" s="469"/>
      <c r="AZ711" s="150"/>
      <c r="BA711" s="150"/>
      <c r="BB711" s="150"/>
      <c r="BC711" s="469"/>
      <c r="BD711" s="150"/>
      <c r="BE711" s="469"/>
      <c r="BF711" s="469"/>
      <c r="BG711" s="150"/>
      <c r="BH711" s="150"/>
      <c r="BI711" s="150"/>
      <c r="BJ711" s="469"/>
      <c r="BK711" s="152"/>
      <c r="BL711" s="160"/>
      <c r="BM711" s="150"/>
      <c r="BN711" s="150"/>
      <c r="BO711" s="150"/>
      <c r="BP711" s="152"/>
      <c r="BQ711" s="160"/>
      <c r="BR711" s="152"/>
      <c r="BS711" s="160"/>
    </row>
    <row r="712" spans="1:71" x14ac:dyDescent="0.3">
      <c r="A712" s="420">
        <f>DL!A709</f>
        <v>650</v>
      </c>
      <c r="B712" s="16" t="s">
        <v>378</v>
      </c>
      <c r="C712" s="149">
        <f>DL!L709</f>
        <v>160</v>
      </c>
      <c r="D712" s="149">
        <f>DL!C709</f>
        <v>10</v>
      </c>
      <c r="E712" s="150"/>
      <c r="F712" s="463"/>
      <c r="G712" s="150"/>
      <c r="H712" s="150"/>
      <c r="I712" s="469"/>
      <c r="J712" s="150"/>
      <c r="K712" s="168"/>
      <c r="L712" s="469"/>
      <c r="M712" s="150"/>
      <c r="N712" s="469"/>
      <c r="O712" s="150"/>
      <c r="P712" s="150"/>
      <c r="Q712" s="150"/>
      <c r="R712" s="475"/>
      <c r="S712" s="476">
        <v>400</v>
      </c>
      <c r="T712" s="150"/>
      <c r="U712" s="150">
        <v>950</v>
      </c>
      <c r="V712" s="150"/>
      <c r="W712" s="168"/>
      <c r="X712" s="150"/>
      <c r="Y712" s="469"/>
      <c r="Z712" s="455"/>
      <c r="AA712" s="150"/>
      <c r="AB712" s="492"/>
      <c r="AC712" s="150"/>
      <c r="AD712" s="150"/>
      <c r="AE712" s="469"/>
      <c r="AF712" s="499"/>
      <c r="AG712" s="150"/>
      <c r="AH712" s="150"/>
      <c r="AI712" s="150"/>
      <c r="AJ712" s="150"/>
      <c r="AK712" s="150"/>
      <c r="AL712" s="150"/>
      <c r="AM712" s="150"/>
      <c r="AN712" s="150"/>
      <c r="AO712" s="469"/>
      <c r="AP712" s="150"/>
      <c r="AQ712" s="150"/>
      <c r="AR712" s="151"/>
      <c r="AS712" s="456"/>
      <c r="AT712" s="151"/>
      <c r="AU712" s="150"/>
      <c r="AV712" s="487"/>
      <c r="AW712" s="150"/>
      <c r="AX712" s="150"/>
      <c r="AY712" s="469"/>
      <c r="AZ712" s="150"/>
      <c r="BA712" s="150"/>
      <c r="BB712" s="150"/>
      <c r="BC712" s="469"/>
      <c r="BD712" s="150"/>
      <c r="BE712" s="469"/>
      <c r="BF712" s="469"/>
      <c r="BG712" s="150"/>
      <c r="BH712" s="150"/>
      <c r="BI712" s="150"/>
      <c r="BJ712" s="469"/>
      <c r="BK712" s="152"/>
      <c r="BL712" s="160"/>
      <c r="BM712" s="150"/>
      <c r="BN712" s="150"/>
      <c r="BO712" s="150"/>
      <c r="BP712" s="152"/>
      <c r="BQ712" s="160"/>
      <c r="BR712" s="152"/>
      <c r="BS712" s="160"/>
    </row>
    <row r="713" spans="1:71" x14ac:dyDescent="0.3">
      <c r="A713" s="420"/>
      <c r="B713" s="19"/>
      <c r="C713" s="149">
        <f>DL!L710</f>
        <v>0</v>
      </c>
      <c r="D713" s="149">
        <f>DL!C710</f>
        <v>0</v>
      </c>
      <c r="E713" s="150"/>
      <c r="F713" s="463"/>
      <c r="G713" s="150"/>
      <c r="H713" s="150"/>
      <c r="I713" s="469"/>
      <c r="J713" s="150"/>
      <c r="K713" s="168"/>
      <c r="L713" s="469"/>
      <c r="M713" s="150"/>
      <c r="N713" s="469"/>
      <c r="O713" s="150"/>
      <c r="P713" s="150"/>
      <c r="Q713" s="150"/>
      <c r="R713" s="475"/>
      <c r="S713" s="476"/>
      <c r="T713" s="150"/>
      <c r="U713" s="150"/>
      <c r="V713" s="150"/>
      <c r="W713" s="168"/>
      <c r="X713" s="150"/>
      <c r="Y713" s="469"/>
      <c r="Z713" s="455"/>
      <c r="AA713" s="150"/>
      <c r="AB713" s="492"/>
      <c r="AC713" s="150"/>
      <c r="AD713" s="150"/>
      <c r="AE713" s="469"/>
      <c r="AF713" s="499"/>
      <c r="AG713" s="150"/>
      <c r="AH713" s="150"/>
      <c r="AI713" s="150"/>
      <c r="AJ713" s="150"/>
      <c r="AK713" s="150"/>
      <c r="AL713" s="150"/>
      <c r="AM713" s="150"/>
      <c r="AN713" s="150"/>
      <c r="AO713" s="469"/>
      <c r="AP713" s="150"/>
      <c r="AQ713" s="150"/>
      <c r="AR713" s="151"/>
      <c r="AS713" s="456"/>
      <c r="AT713" s="151"/>
      <c r="AU713" s="150"/>
      <c r="AV713" s="487"/>
      <c r="AW713" s="150"/>
      <c r="AX713" s="150"/>
      <c r="AY713" s="469"/>
      <c r="AZ713" s="150"/>
      <c r="BA713" s="150"/>
      <c r="BB713" s="150"/>
      <c r="BC713" s="469"/>
      <c r="BD713" s="150"/>
      <c r="BE713" s="469"/>
      <c r="BF713" s="469"/>
      <c r="BG713" s="150"/>
      <c r="BH713" s="150"/>
      <c r="BI713" s="150"/>
      <c r="BJ713" s="469"/>
      <c r="BK713" s="152"/>
      <c r="BL713" s="160"/>
      <c r="BM713" s="150"/>
      <c r="BN713" s="150"/>
      <c r="BO713" s="150"/>
      <c r="BP713" s="152"/>
      <c r="BQ713" s="160"/>
      <c r="BR713" s="152"/>
      <c r="BS713" s="160"/>
    </row>
    <row r="714" spans="1:71" x14ac:dyDescent="0.3">
      <c r="A714" s="420"/>
      <c r="B714" s="19"/>
      <c r="C714" s="149">
        <f>DL!L711</f>
        <v>0</v>
      </c>
      <c r="D714" s="149">
        <f>DL!C711</f>
        <v>0</v>
      </c>
      <c r="E714" s="150"/>
      <c r="F714" s="463"/>
      <c r="G714" s="150"/>
      <c r="H714" s="150"/>
      <c r="I714" s="469"/>
      <c r="J714" s="150"/>
      <c r="K714" s="168"/>
      <c r="L714" s="469"/>
      <c r="M714" s="150"/>
      <c r="N714" s="469"/>
      <c r="O714" s="150"/>
      <c r="P714" s="150"/>
      <c r="Q714" s="150"/>
      <c r="R714" s="475"/>
      <c r="S714" s="476"/>
      <c r="T714" s="150"/>
      <c r="U714" s="150"/>
      <c r="V714" s="150"/>
      <c r="W714" s="168"/>
      <c r="X714" s="150"/>
      <c r="Y714" s="469"/>
      <c r="Z714" s="455"/>
      <c r="AA714" s="150"/>
      <c r="AB714" s="492"/>
      <c r="AC714" s="150"/>
      <c r="AD714" s="150"/>
      <c r="AE714" s="469"/>
      <c r="AF714" s="499"/>
      <c r="AG714" s="150"/>
      <c r="AH714" s="150"/>
      <c r="AI714" s="150"/>
      <c r="AJ714" s="150"/>
      <c r="AK714" s="150"/>
      <c r="AL714" s="150"/>
      <c r="AM714" s="150"/>
      <c r="AN714" s="150"/>
      <c r="AO714" s="469"/>
      <c r="AP714" s="150"/>
      <c r="AQ714" s="150"/>
      <c r="AR714" s="151"/>
      <c r="AS714" s="456"/>
      <c r="AT714" s="151"/>
      <c r="AU714" s="150"/>
      <c r="AV714" s="487"/>
      <c r="AW714" s="150"/>
      <c r="AX714" s="150"/>
      <c r="AY714" s="469"/>
      <c r="AZ714" s="150"/>
      <c r="BA714" s="150"/>
      <c r="BB714" s="150"/>
      <c r="BC714" s="469"/>
      <c r="BD714" s="150"/>
      <c r="BE714" s="469"/>
      <c r="BF714" s="469"/>
      <c r="BG714" s="150"/>
      <c r="BH714" s="150"/>
      <c r="BI714" s="150"/>
      <c r="BJ714" s="469"/>
      <c r="BK714" s="152"/>
      <c r="BL714" s="160"/>
      <c r="BM714" s="150"/>
      <c r="BN714" s="150"/>
      <c r="BO714" s="150"/>
      <c r="BP714" s="152"/>
      <c r="BQ714" s="160"/>
      <c r="BR714" s="152"/>
      <c r="BS714" s="160"/>
    </row>
    <row r="715" spans="1:71" x14ac:dyDescent="0.3">
      <c r="A715" s="420"/>
      <c r="B715" s="19" t="s">
        <v>1381</v>
      </c>
      <c r="C715" s="149">
        <f>DL!L712</f>
        <v>0</v>
      </c>
      <c r="D715" s="149">
        <f>DL!C712</f>
        <v>0</v>
      </c>
      <c r="E715" s="150"/>
      <c r="F715" s="463"/>
      <c r="G715" s="150"/>
      <c r="H715" s="150"/>
      <c r="I715" s="469"/>
      <c r="J715" s="150"/>
      <c r="K715" s="168"/>
      <c r="L715" s="469"/>
      <c r="M715" s="150"/>
      <c r="N715" s="469"/>
      <c r="O715" s="150"/>
      <c r="P715" s="150"/>
      <c r="Q715" s="150"/>
      <c r="R715" s="472"/>
      <c r="S715" s="476"/>
      <c r="T715" s="150"/>
      <c r="U715" s="150"/>
      <c r="V715" s="150"/>
      <c r="W715" s="168"/>
      <c r="X715" s="150"/>
      <c r="Y715" s="469"/>
      <c r="Z715" s="455"/>
      <c r="AA715" s="150"/>
      <c r="AB715" s="492"/>
      <c r="AC715" s="150"/>
      <c r="AD715" s="150"/>
      <c r="AE715" s="469"/>
      <c r="AF715" s="499"/>
      <c r="AG715" s="150"/>
      <c r="AH715" s="150"/>
      <c r="AI715" s="150"/>
      <c r="AJ715" s="150"/>
      <c r="AK715" s="150"/>
      <c r="AL715" s="150"/>
      <c r="AM715" s="150"/>
      <c r="AN715" s="150"/>
      <c r="AO715" s="469"/>
      <c r="AP715" s="150"/>
      <c r="AQ715" s="150"/>
      <c r="AR715" s="151"/>
      <c r="AS715" s="456"/>
      <c r="AT715" s="151"/>
      <c r="AU715" s="150"/>
      <c r="AV715" s="487"/>
      <c r="AW715" s="150"/>
      <c r="AX715" s="150"/>
      <c r="AY715" s="469"/>
      <c r="AZ715" s="150"/>
      <c r="BA715" s="150"/>
      <c r="BB715" s="150"/>
      <c r="BC715" s="469"/>
      <c r="BD715" s="150"/>
      <c r="BE715" s="469"/>
      <c r="BF715" s="469"/>
      <c r="BG715" s="150"/>
      <c r="BH715" s="150"/>
      <c r="BI715" s="150"/>
      <c r="BJ715" s="469"/>
      <c r="BK715" s="152"/>
      <c r="BL715" s="160"/>
      <c r="BM715" s="150"/>
      <c r="BN715" s="150"/>
      <c r="BO715" s="150"/>
      <c r="BP715" s="152"/>
      <c r="BQ715" s="160"/>
      <c r="BR715" s="152"/>
      <c r="BS715" s="160"/>
    </row>
    <row r="716" spans="1:71" x14ac:dyDescent="0.3">
      <c r="A716" s="420">
        <f>DL!A713</f>
        <v>651</v>
      </c>
      <c r="B716" s="19" t="s">
        <v>1382</v>
      </c>
      <c r="C716" s="149">
        <f>DL!L713</f>
        <v>20</v>
      </c>
      <c r="D716" s="149" t="str">
        <f>DL!C713</f>
        <v>TUBE</v>
      </c>
      <c r="E716" s="150"/>
      <c r="F716" s="463"/>
      <c r="G716" s="150"/>
      <c r="H716" s="150"/>
      <c r="I716" s="469"/>
      <c r="J716" s="150"/>
      <c r="K716" s="168"/>
      <c r="L716" s="469"/>
      <c r="M716" s="150"/>
      <c r="N716" s="469"/>
      <c r="O716" s="150"/>
      <c r="P716" s="150"/>
      <c r="Q716" s="150"/>
      <c r="R716" s="475"/>
      <c r="S716" s="476">
        <v>3300</v>
      </c>
      <c r="T716" s="150"/>
      <c r="U716" s="150"/>
      <c r="V716" s="150"/>
      <c r="W716" s="168"/>
      <c r="X716" s="150"/>
      <c r="Y716" s="469"/>
      <c r="Z716" s="455"/>
      <c r="AA716" s="150"/>
      <c r="AB716" s="492">
        <v>4000</v>
      </c>
      <c r="AC716" s="150"/>
      <c r="AD716" s="150"/>
      <c r="AE716" s="469"/>
      <c r="AF716" s="499"/>
      <c r="AG716" s="150"/>
      <c r="AH716" s="150"/>
      <c r="AI716" s="150"/>
      <c r="AJ716" s="150"/>
      <c r="AK716" s="150"/>
      <c r="AL716" s="150"/>
      <c r="AM716" s="150"/>
      <c r="AN716" s="150"/>
      <c r="AO716" s="469"/>
      <c r="AP716" s="150"/>
      <c r="AQ716" s="150"/>
      <c r="AR716" s="151"/>
      <c r="AS716" s="456"/>
      <c r="AT716" s="151"/>
      <c r="AU716" s="150"/>
      <c r="AV716" s="487"/>
      <c r="AW716" s="150"/>
      <c r="AX716" s="150"/>
      <c r="AY716" s="469"/>
      <c r="AZ716" s="150"/>
      <c r="BA716" s="150"/>
      <c r="BB716" s="150"/>
      <c r="BC716" s="469"/>
      <c r="BD716" s="150"/>
      <c r="BE716" s="469"/>
      <c r="BF716" s="469"/>
      <c r="BG716" s="150"/>
      <c r="BH716" s="150"/>
      <c r="BI716" s="150"/>
      <c r="BJ716" s="469"/>
      <c r="BK716" s="152"/>
      <c r="BL716" s="160"/>
      <c r="BM716" s="150"/>
      <c r="BN716" s="150"/>
      <c r="BO716" s="150"/>
      <c r="BP716" s="152"/>
      <c r="BQ716" s="160"/>
      <c r="BR716" s="152"/>
      <c r="BS716" s="160"/>
    </row>
    <row r="717" spans="1:71" x14ac:dyDescent="0.3">
      <c r="A717" s="420">
        <f>DL!A714</f>
        <v>652</v>
      </c>
      <c r="B717" s="19" t="s">
        <v>1383</v>
      </c>
      <c r="C717" s="149">
        <f>DL!L714</f>
        <v>20</v>
      </c>
      <c r="D717" s="149" t="str">
        <f>DL!C714</f>
        <v>TUBE</v>
      </c>
      <c r="E717" s="150"/>
      <c r="F717" s="463"/>
      <c r="G717" s="150"/>
      <c r="H717" s="150"/>
      <c r="I717" s="469"/>
      <c r="J717" s="150"/>
      <c r="K717" s="168"/>
      <c r="L717" s="469"/>
      <c r="M717" s="150"/>
      <c r="N717" s="469"/>
      <c r="O717" s="150"/>
      <c r="P717" s="150"/>
      <c r="Q717" s="150"/>
      <c r="R717" s="475"/>
      <c r="S717" s="476">
        <v>1550</v>
      </c>
      <c r="T717" s="150"/>
      <c r="U717" s="150"/>
      <c r="V717" s="150"/>
      <c r="W717" s="168"/>
      <c r="X717" s="150"/>
      <c r="Y717" s="469"/>
      <c r="Z717" s="455"/>
      <c r="AA717" s="150"/>
      <c r="AB717" s="492"/>
      <c r="AC717" s="150"/>
      <c r="AD717" s="150"/>
      <c r="AE717" s="469"/>
      <c r="AF717" s="499"/>
      <c r="AG717" s="150"/>
      <c r="AH717" s="150"/>
      <c r="AI717" s="150"/>
      <c r="AJ717" s="150"/>
      <c r="AK717" s="150"/>
      <c r="AL717" s="150"/>
      <c r="AM717" s="150"/>
      <c r="AN717" s="150"/>
      <c r="AO717" s="469"/>
      <c r="AP717" s="150"/>
      <c r="AQ717" s="150"/>
      <c r="AR717" s="151"/>
      <c r="AS717" s="456"/>
      <c r="AT717" s="151"/>
      <c r="AU717" s="150"/>
      <c r="AV717" s="487"/>
      <c r="AW717" s="150"/>
      <c r="AX717" s="150"/>
      <c r="AY717" s="469"/>
      <c r="AZ717" s="150"/>
      <c r="BA717" s="150"/>
      <c r="BB717" s="150"/>
      <c r="BC717" s="469"/>
      <c r="BD717" s="150"/>
      <c r="BE717" s="469"/>
      <c r="BF717" s="469"/>
      <c r="BG717" s="150"/>
      <c r="BH717" s="150"/>
      <c r="BI717" s="150"/>
      <c r="BJ717" s="469"/>
      <c r="BK717" s="152"/>
      <c r="BL717" s="160"/>
      <c r="BM717" s="150"/>
      <c r="BN717" s="150"/>
      <c r="BO717" s="150"/>
      <c r="BP717" s="152"/>
      <c r="BQ717" s="160"/>
      <c r="BR717" s="152"/>
      <c r="BS717" s="160"/>
    </row>
    <row r="718" spans="1:71" x14ac:dyDescent="0.3">
      <c r="A718" s="420">
        <f>DL!A715</f>
        <v>653</v>
      </c>
      <c r="B718" s="19" t="s">
        <v>1384</v>
      </c>
      <c r="C718" s="149">
        <f>DL!L715</f>
        <v>20</v>
      </c>
      <c r="D718" s="149" t="str">
        <f>DL!C715</f>
        <v>TUBE</v>
      </c>
      <c r="E718" s="150"/>
      <c r="F718" s="463"/>
      <c r="G718" s="150"/>
      <c r="H718" s="150"/>
      <c r="I718" s="469"/>
      <c r="J718" s="150"/>
      <c r="K718" s="168"/>
      <c r="L718" s="469"/>
      <c r="M718" s="150"/>
      <c r="N718" s="469"/>
      <c r="O718" s="150"/>
      <c r="P718" s="150"/>
      <c r="Q718" s="150"/>
      <c r="R718" s="475"/>
      <c r="S718" s="476">
        <v>1550</v>
      </c>
      <c r="T718" s="150"/>
      <c r="U718" s="150"/>
      <c r="V718" s="150"/>
      <c r="W718" s="168"/>
      <c r="X718" s="150"/>
      <c r="Y718" s="469"/>
      <c r="Z718" s="455"/>
      <c r="AA718" s="150"/>
      <c r="AB718" s="492"/>
      <c r="AC718" s="150"/>
      <c r="AD718" s="150"/>
      <c r="AE718" s="469"/>
      <c r="AF718" s="499"/>
      <c r="AG718" s="150"/>
      <c r="AH718" s="150"/>
      <c r="AI718" s="150"/>
      <c r="AJ718" s="150"/>
      <c r="AK718" s="150"/>
      <c r="AL718" s="150"/>
      <c r="AM718" s="150"/>
      <c r="AN718" s="150"/>
      <c r="AO718" s="469"/>
      <c r="AP718" s="150"/>
      <c r="AQ718" s="150"/>
      <c r="AR718" s="151"/>
      <c r="AS718" s="456"/>
      <c r="AT718" s="151"/>
      <c r="AU718" s="150"/>
      <c r="AV718" s="487"/>
      <c r="AW718" s="150"/>
      <c r="AX718" s="150"/>
      <c r="AY718" s="469"/>
      <c r="AZ718" s="150"/>
      <c r="BA718" s="150"/>
      <c r="BB718" s="150"/>
      <c r="BC718" s="469"/>
      <c r="BD718" s="150"/>
      <c r="BE718" s="469"/>
      <c r="BF718" s="469"/>
      <c r="BG718" s="150"/>
      <c r="BH718" s="150"/>
      <c r="BI718" s="150"/>
      <c r="BJ718" s="469"/>
      <c r="BK718" s="152"/>
      <c r="BL718" s="160"/>
      <c r="BM718" s="150"/>
      <c r="BN718" s="150"/>
      <c r="BO718" s="150"/>
      <c r="BP718" s="152"/>
      <c r="BQ718" s="160"/>
      <c r="BR718" s="152"/>
      <c r="BS718" s="160"/>
    </row>
    <row r="719" spans="1:71" x14ac:dyDescent="0.3">
      <c r="A719" s="420">
        <f>DL!A716</f>
        <v>654</v>
      </c>
      <c r="B719" s="19" t="s">
        <v>1385</v>
      </c>
      <c r="C719" s="149">
        <f>DL!L716</f>
        <v>600</v>
      </c>
      <c r="D719" s="149" t="str">
        <f>DL!C716</f>
        <v>BOTT</v>
      </c>
      <c r="E719" s="150"/>
      <c r="F719" s="463"/>
      <c r="G719" s="150"/>
      <c r="H719" s="150"/>
      <c r="I719" s="469"/>
      <c r="J719" s="150"/>
      <c r="K719" s="168"/>
      <c r="L719" s="469"/>
      <c r="M719" s="150"/>
      <c r="N719" s="469"/>
      <c r="O719" s="150"/>
      <c r="P719" s="150"/>
      <c r="Q719" s="150"/>
      <c r="R719" s="475"/>
      <c r="S719" s="476"/>
      <c r="T719" s="150"/>
      <c r="U719" s="150"/>
      <c r="V719" s="150"/>
      <c r="W719" s="168"/>
      <c r="X719" s="150"/>
      <c r="Y719" s="469"/>
      <c r="Z719" s="455"/>
      <c r="AA719" s="150"/>
      <c r="AB719" s="492"/>
      <c r="AC719" s="150"/>
      <c r="AD719" s="150"/>
      <c r="AE719" s="469"/>
      <c r="AF719" s="499"/>
      <c r="AG719" s="150"/>
      <c r="AH719" s="150"/>
      <c r="AI719" s="150"/>
      <c r="AJ719" s="150"/>
      <c r="AK719" s="150"/>
      <c r="AL719" s="150"/>
      <c r="AM719" s="150"/>
      <c r="AN719" s="150"/>
      <c r="AO719" s="469"/>
      <c r="AP719" s="150"/>
      <c r="AQ719" s="150"/>
      <c r="AR719" s="151"/>
      <c r="AS719" s="456"/>
      <c r="AT719" s="151"/>
      <c r="AU719" s="150"/>
      <c r="AV719" s="487"/>
      <c r="AW719" s="150"/>
      <c r="AX719" s="150"/>
      <c r="AY719" s="469"/>
      <c r="AZ719" s="150"/>
      <c r="BA719" s="150"/>
      <c r="BB719" s="150"/>
      <c r="BC719" s="469"/>
      <c r="BD719" s="150"/>
      <c r="BE719" s="469">
        <v>400</v>
      </c>
      <c r="BF719" s="469"/>
      <c r="BG719" s="150"/>
      <c r="BH719" s="150"/>
      <c r="BI719" s="150"/>
      <c r="BJ719" s="469"/>
      <c r="BK719" s="152"/>
      <c r="BL719" s="160"/>
      <c r="BM719" s="150"/>
      <c r="BN719" s="150"/>
      <c r="BO719" s="150"/>
      <c r="BP719" s="152"/>
      <c r="BQ719" s="160"/>
      <c r="BR719" s="152"/>
      <c r="BS719" s="160"/>
    </row>
    <row r="720" spans="1:71" x14ac:dyDescent="0.3">
      <c r="A720" s="420">
        <f>DL!A717</f>
        <v>655</v>
      </c>
      <c r="B720" s="19" t="s">
        <v>1386</v>
      </c>
      <c r="C720" s="149">
        <f>DL!L717</f>
        <v>20</v>
      </c>
      <c r="D720" s="149" t="str">
        <f>DL!C717</f>
        <v>PCS</v>
      </c>
      <c r="E720" s="150"/>
      <c r="F720" s="463"/>
      <c r="G720" s="150"/>
      <c r="H720" s="150"/>
      <c r="I720" s="469"/>
      <c r="J720" s="150"/>
      <c r="K720" s="168"/>
      <c r="L720" s="469"/>
      <c r="M720" s="150"/>
      <c r="N720" s="469"/>
      <c r="O720" s="150"/>
      <c r="P720" s="150"/>
      <c r="Q720" s="150"/>
      <c r="R720" s="475"/>
      <c r="S720" s="476"/>
      <c r="T720" s="150"/>
      <c r="U720" s="150"/>
      <c r="V720" s="150"/>
      <c r="W720" s="168"/>
      <c r="X720" s="150"/>
      <c r="Y720" s="469"/>
      <c r="Z720" s="455"/>
      <c r="AA720" s="150"/>
      <c r="AB720" s="492"/>
      <c r="AC720" s="150"/>
      <c r="AD720" s="150"/>
      <c r="AE720" s="469"/>
      <c r="AF720" s="499"/>
      <c r="AG720" s="150"/>
      <c r="AH720" s="150"/>
      <c r="AI720" s="150"/>
      <c r="AJ720" s="150"/>
      <c r="AK720" s="150"/>
      <c r="AL720" s="150"/>
      <c r="AM720" s="150"/>
      <c r="AN720" s="150"/>
      <c r="AO720" s="469"/>
      <c r="AP720" s="150"/>
      <c r="AQ720" s="150"/>
      <c r="AR720" s="151"/>
      <c r="AS720" s="456"/>
      <c r="AT720" s="151"/>
      <c r="AU720" s="150"/>
      <c r="AV720" s="487"/>
      <c r="AW720" s="150"/>
      <c r="AX720" s="150"/>
      <c r="AY720" s="469"/>
      <c r="AZ720" s="150"/>
      <c r="BA720" s="150"/>
      <c r="BB720" s="150"/>
      <c r="BC720" s="469"/>
      <c r="BD720" s="150"/>
      <c r="BE720" s="469"/>
      <c r="BF720" s="469"/>
      <c r="BG720" s="150"/>
      <c r="BH720" s="150"/>
      <c r="BI720" s="150"/>
      <c r="BJ720" s="469"/>
      <c r="BK720" s="152"/>
      <c r="BL720" s="160"/>
      <c r="BM720" s="150"/>
      <c r="BN720" s="150"/>
      <c r="BO720" s="150"/>
      <c r="BP720" s="152"/>
      <c r="BQ720" s="160"/>
      <c r="BR720" s="152"/>
      <c r="BS720" s="160"/>
    </row>
    <row r="721" spans="1:71" x14ac:dyDescent="0.3">
      <c r="A721" s="420">
        <f>DL!A718</f>
        <v>656</v>
      </c>
      <c r="B721" s="19" t="s">
        <v>1387</v>
      </c>
      <c r="C721" s="149">
        <f>DL!L718</f>
        <v>20</v>
      </c>
      <c r="D721" s="149" t="str">
        <f>DL!C718</f>
        <v>TUBE</v>
      </c>
      <c r="E721" s="150"/>
      <c r="F721" s="463"/>
      <c r="G721" s="150"/>
      <c r="H721" s="150"/>
      <c r="I721" s="469"/>
      <c r="J721" s="150"/>
      <c r="K721" s="168"/>
      <c r="L721" s="469"/>
      <c r="M721" s="150"/>
      <c r="N721" s="469"/>
      <c r="O721" s="150"/>
      <c r="P721" s="150"/>
      <c r="Q721" s="150"/>
      <c r="R721" s="475"/>
      <c r="S721" s="476">
        <v>2700</v>
      </c>
      <c r="T721" s="150"/>
      <c r="U721" s="150"/>
      <c r="V721" s="150"/>
      <c r="W721" s="168"/>
      <c r="X721" s="150"/>
      <c r="Y721" s="469"/>
      <c r="Z721" s="455"/>
      <c r="AA721" s="150"/>
      <c r="AB721" s="492"/>
      <c r="AC721" s="150"/>
      <c r="AD721" s="150"/>
      <c r="AE721" s="469"/>
      <c r="AF721" s="499"/>
      <c r="AG721" s="150"/>
      <c r="AH721" s="150"/>
      <c r="AI721" s="150"/>
      <c r="AJ721" s="150"/>
      <c r="AK721" s="150"/>
      <c r="AL721" s="150"/>
      <c r="AM721" s="150"/>
      <c r="AN721" s="150"/>
      <c r="AO721" s="469"/>
      <c r="AP721" s="150"/>
      <c r="AQ721" s="150"/>
      <c r="AR721" s="151"/>
      <c r="AS721" s="456"/>
      <c r="AT721" s="151"/>
      <c r="AU721" s="150"/>
      <c r="AV721" s="487"/>
      <c r="AW721" s="150"/>
      <c r="AX721" s="150"/>
      <c r="AY721" s="469"/>
      <c r="AZ721" s="150"/>
      <c r="BA721" s="150"/>
      <c r="BB721" s="150"/>
      <c r="BC721" s="469"/>
      <c r="BD721" s="150"/>
      <c r="BE721" s="150"/>
      <c r="BF721" s="469"/>
      <c r="BG721" s="150"/>
      <c r="BH721" s="150"/>
      <c r="BI721" s="150"/>
      <c r="BJ721" s="469"/>
      <c r="BK721" s="152"/>
      <c r="BL721" s="160"/>
      <c r="BM721" s="150"/>
      <c r="BN721" s="150"/>
      <c r="BO721" s="150"/>
      <c r="BP721" s="152"/>
      <c r="BQ721" s="160"/>
      <c r="BR721" s="152"/>
      <c r="BS721" s="160"/>
    </row>
    <row r="722" spans="1:71" x14ac:dyDescent="0.3">
      <c r="A722" s="420">
        <f>DL!A719</f>
        <v>657</v>
      </c>
      <c r="B722" s="19" t="s">
        <v>1388</v>
      </c>
      <c r="C722" s="149">
        <f>DL!L719</f>
        <v>20</v>
      </c>
      <c r="D722" s="149" t="str">
        <f>DL!C719</f>
        <v>TUBE</v>
      </c>
      <c r="E722" s="150"/>
      <c r="F722" s="463"/>
      <c r="G722" s="150"/>
      <c r="H722" s="150"/>
      <c r="I722" s="469"/>
      <c r="J722" s="150"/>
      <c r="K722" s="168"/>
      <c r="L722" s="469"/>
      <c r="M722" s="150"/>
      <c r="N722" s="469"/>
      <c r="O722" s="150"/>
      <c r="P722" s="150"/>
      <c r="Q722" s="150"/>
      <c r="R722" s="475"/>
      <c r="S722" s="476"/>
      <c r="T722" s="150"/>
      <c r="U722" s="150"/>
      <c r="V722" s="150"/>
      <c r="W722" s="168"/>
      <c r="X722" s="150"/>
      <c r="Y722" s="469"/>
      <c r="Z722" s="455"/>
      <c r="AA722" s="150"/>
      <c r="AB722" s="492"/>
      <c r="AC722" s="150"/>
      <c r="AD722" s="150"/>
      <c r="AE722" s="469"/>
      <c r="AF722" s="499"/>
      <c r="AG722" s="150"/>
      <c r="AH722" s="150"/>
      <c r="AI722" s="150"/>
      <c r="AJ722" s="150"/>
      <c r="AK722" s="150"/>
      <c r="AL722" s="150"/>
      <c r="AM722" s="150"/>
      <c r="AN722" s="150"/>
      <c r="AO722" s="469"/>
      <c r="AP722" s="150"/>
      <c r="AQ722" s="150"/>
      <c r="AR722" s="151"/>
      <c r="AS722" s="456"/>
      <c r="AT722" s="151"/>
      <c r="AU722" s="150"/>
      <c r="AV722" s="487"/>
      <c r="AW722" s="150"/>
      <c r="AX722" s="150"/>
      <c r="AY722" s="469"/>
      <c r="AZ722" s="150"/>
      <c r="BA722" s="150"/>
      <c r="BB722" s="150"/>
      <c r="BC722" s="469"/>
      <c r="BD722" s="150"/>
      <c r="BE722" s="150"/>
      <c r="BF722" s="469"/>
      <c r="BG722" s="150"/>
      <c r="BH722" s="150"/>
      <c r="BI722" s="150"/>
      <c r="BJ722" s="469"/>
      <c r="BK722" s="152"/>
      <c r="BL722" s="160"/>
      <c r="BM722" s="150"/>
      <c r="BN722" s="150"/>
      <c r="BO722" s="150"/>
      <c r="BP722" s="152"/>
      <c r="BQ722" s="160"/>
      <c r="BR722" s="152"/>
      <c r="BS722" s="160"/>
    </row>
    <row r="723" spans="1:71" x14ac:dyDescent="0.3">
      <c r="A723" s="420">
        <f>DL!A720</f>
        <v>658</v>
      </c>
      <c r="B723" s="19" t="s">
        <v>1389</v>
      </c>
      <c r="C723" s="149">
        <f>DL!L720</f>
        <v>20</v>
      </c>
      <c r="D723" s="149" t="str">
        <f>DL!C720</f>
        <v>TUBE</v>
      </c>
      <c r="E723" s="150"/>
      <c r="F723" s="463"/>
      <c r="G723" s="150"/>
      <c r="H723" s="150"/>
      <c r="I723" s="469"/>
      <c r="J723" s="150"/>
      <c r="K723" s="168"/>
      <c r="L723" s="469"/>
      <c r="M723" s="150"/>
      <c r="N723" s="469"/>
      <c r="O723" s="150"/>
      <c r="P723" s="150"/>
      <c r="Q723" s="150"/>
      <c r="R723" s="475"/>
      <c r="S723" s="476"/>
      <c r="T723" s="150"/>
      <c r="U723" s="150"/>
      <c r="V723" s="150"/>
      <c r="W723" s="168"/>
      <c r="X723" s="150"/>
      <c r="Y723" s="469"/>
      <c r="Z723" s="455"/>
      <c r="AA723" s="150">
        <v>170</v>
      </c>
      <c r="AB723" s="492"/>
      <c r="AC723" s="150"/>
      <c r="AD723" s="150"/>
      <c r="AE723" s="469"/>
      <c r="AF723" s="499"/>
      <c r="AG723" s="150"/>
      <c r="AH723" s="150"/>
      <c r="AI723" s="150"/>
      <c r="AJ723" s="150"/>
      <c r="AK723" s="150"/>
      <c r="AL723" s="150"/>
      <c r="AM723" s="150"/>
      <c r="AN723" s="150"/>
      <c r="AO723" s="469"/>
      <c r="AP723" s="150"/>
      <c r="AQ723" s="150"/>
      <c r="AR723" s="151"/>
      <c r="AS723" s="456"/>
      <c r="AT723" s="151"/>
      <c r="AU723" s="150"/>
      <c r="AV723" s="487"/>
      <c r="AW723" s="150"/>
      <c r="AX723" s="150"/>
      <c r="AY723" s="469"/>
      <c r="AZ723" s="150"/>
      <c r="BA723" s="150"/>
      <c r="BB723" s="150"/>
      <c r="BC723" s="469"/>
      <c r="BD723" s="150"/>
      <c r="BE723" s="150"/>
      <c r="BF723" s="469"/>
      <c r="BG723" s="150"/>
      <c r="BH723" s="150"/>
      <c r="BI723" s="150"/>
      <c r="BJ723" s="469"/>
      <c r="BK723" s="152"/>
      <c r="BL723" s="160"/>
      <c r="BM723" s="150"/>
      <c r="BN723" s="150"/>
      <c r="BO723" s="150"/>
      <c r="BP723" s="152"/>
      <c r="BQ723" s="160"/>
      <c r="BR723" s="152"/>
      <c r="BS723" s="160"/>
    </row>
    <row r="724" spans="1:71" x14ac:dyDescent="0.3">
      <c r="A724" s="420">
        <f>DL!A721</f>
        <v>659</v>
      </c>
      <c r="B724" s="19" t="s">
        <v>1390</v>
      </c>
      <c r="C724" s="149">
        <f>DL!L721</f>
        <v>20</v>
      </c>
      <c r="D724" s="149" t="str">
        <f>DL!C721</f>
        <v>TUBE</v>
      </c>
      <c r="E724" s="150"/>
      <c r="F724" s="463"/>
      <c r="G724" s="150"/>
      <c r="H724" s="150"/>
      <c r="I724" s="469"/>
      <c r="J724" s="150"/>
      <c r="K724" s="168"/>
      <c r="L724" s="469"/>
      <c r="M724" s="150"/>
      <c r="N724" s="469"/>
      <c r="O724" s="150"/>
      <c r="P724" s="150"/>
      <c r="Q724" s="150"/>
      <c r="R724" s="475"/>
      <c r="S724" s="476">
        <v>2750</v>
      </c>
      <c r="T724" s="150"/>
      <c r="U724" s="150"/>
      <c r="V724" s="150"/>
      <c r="W724" s="168"/>
      <c r="X724" s="150"/>
      <c r="Y724" s="469"/>
      <c r="Z724" s="455"/>
      <c r="AA724" s="150"/>
      <c r="AB724" s="492"/>
      <c r="AC724" s="150"/>
      <c r="AD724" s="150"/>
      <c r="AE724" s="469"/>
      <c r="AF724" s="499"/>
      <c r="AG724" s="150"/>
      <c r="AH724" s="150"/>
      <c r="AI724" s="150"/>
      <c r="AJ724" s="150"/>
      <c r="AK724" s="150"/>
      <c r="AL724" s="150"/>
      <c r="AM724" s="150"/>
      <c r="AN724" s="150"/>
      <c r="AO724" s="469"/>
      <c r="AP724" s="150"/>
      <c r="AQ724" s="150"/>
      <c r="AR724" s="151"/>
      <c r="AS724" s="456"/>
      <c r="AT724" s="151"/>
      <c r="AU724" s="150"/>
      <c r="AV724" s="487"/>
      <c r="AW724" s="150"/>
      <c r="AX724" s="150"/>
      <c r="AY724" s="469"/>
      <c r="AZ724" s="150"/>
      <c r="BA724" s="150"/>
      <c r="BB724" s="150"/>
      <c r="BC724" s="469"/>
      <c r="BD724" s="150"/>
      <c r="BE724" s="150"/>
      <c r="BF724" s="469"/>
      <c r="BG724" s="150"/>
      <c r="BH724" s="150"/>
      <c r="BI724" s="150"/>
      <c r="BJ724" s="469"/>
      <c r="BK724" s="152"/>
      <c r="BL724" s="160"/>
      <c r="BM724" s="150"/>
      <c r="BN724" s="150"/>
      <c r="BO724" s="150"/>
      <c r="BP724" s="152"/>
      <c r="BQ724" s="160"/>
      <c r="BR724" s="152"/>
      <c r="BS724" s="160"/>
    </row>
    <row r="725" spans="1:71" x14ac:dyDescent="0.3">
      <c r="A725" s="420">
        <f>DL!A722</f>
        <v>660</v>
      </c>
      <c r="B725" s="19" t="s">
        <v>1391</v>
      </c>
      <c r="C725" s="149">
        <f>DL!L722</f>
        <v>1</v>
      </c>
      <c r="D725" s="149">
        <f>DL!C722</f>
        <v>500</v>
      </c>
      <c r="E725" s="150"/>
      <c r="F725" s="463"/>
      <c r="G725" s="150"/>
      <c r="H725" s="150"/>
      <c r="I725" s="469"/>
      <c r="J725" s="150"/>
      <c r="K725" s="168"/>
      <c r="L725" s="469"/>
      <c r="M725" s="150"/>
      <c r="N725" s="469"/>
      <c r="O725" s="150"/>
      <c r="P725" s="150"/>
      <c r="Q725" s="150"/>
      <c r="R725" s="475"/>
      <c r="S725" s="476"/>
      <c r="T725" s="150"/>
      <c r="U725" s="150"/>
      <c r="V725" s="150"/>
      <c r="W725" s="168"/>
      <c r="X725" s="150"/>
      <c r="Y725" s="469"/>
      <c r="Z725" s="455"/>
      <c r="AA725" s="150"/>
      <c r="AB725" s="492"/>
      <c r="AC725" s="150"/>
      <c r="AD725" s="150"/>
      <c r="AE725" s="469"/>
      <c r="AF725" s="499"/>
      <c r="AG725" s="150"/>
      <c r="AH725" s="150"/>
      <c r="AI725" s="150"/>
      <c r="AJ725" s="150"/>
      <c r="AK725" s="150"/>
      <c r="AL725" s="150"/>
      <c r="AM725" s="150"/>
      <c r="AN725" s="150"/>
      <c r="AO725" s="469"/>
      <c r="AP725" s="150"/>
      <c r="AQ725" s="150"/>
      <c r="AR725" s="151"/>
      <c r="AS725" s="456"/>
      <c r="AT725" s="151"/>
      <c r="AU725" s="150"/>
      <c r="AV725" s="487"/>
      <c r="AW725" s="150"/>
      <c r="AX725" s="150"/>
      <c r="AY725" s="469"/>
      <c r="AZ725" s="150"/>
      <c r="BA725" s="150"/>
      <c r="BB725" s="150"/>
      <c r="BC725" s="469"/>
      <c r="BD725" s="150"/>
      <c r="BE725" s="150"/>
      <c r="BF725" s="469"/>
      <c r="BG725" s="150"/>
      <c r="BH725" s="150"/>
      <c r="BI725" s="150"/>
      <c r="BJ725" s="469"/>
      <c r="BK725" s="152"/>
      <c r="BL725" s="160"/>
      <c r="BM725" s="150"/>
      <c r="BN725" s="150"/>
      <c r="BO725" s="150"/>
      <c r="BP725" s="152"/>
      <c r="BQ725" s="160"/>
      <c r="BR725" s="152"/>
      <c r="BS725" s="160"/>
    </row>
    <row r="726" spans="1:71" x14ac:dyDescent="0.3">
      <c r="A726" s="420">
        <f>DL!A723</f>
        <v>661</v>
      </c>
      <c r="B726" s="19" t="s">
        <v>1214</v>
      </c>
      <c r="C726" s="149">
        <f>DL!L723</f>
        <v>20</v>
      </c>
      <c r="D726" s="149" t="str">
        <f>DL!C723</f>
        <v>TUBE</v>
      </c>
      <c r="E726" s="150"/>
      <c r="F726" s="463"/>
      <c r="G726" s="150"/>
      <c r="H726" s="150"/>
      <c r="I726" s="469"/>
      <c r="J726" s="150"/>
      <c r="K726" s="168"/>
      <c r="L726" s="469"/>
      <c r="M726" s="150"/>
      <c r="N726" s="469"/>
      <c r="O726" s="150"/>
      <c r="P726" s="150"/>
      <c r="Q726" s="150"/>
      <c r="R726" s="475"/>
      <c r="S726" s="476">
        <v>1800</v>
      </c>
      <c r="T726" s="150"/>
      <c r="U726" s="150"/>
      <c r="V726" s="150"/>
      <c r="W726" s="168"/>
      <c r="X726" s="150"/>
      <c r="Y726" s="469"/>
      <c r="Z726" s="455"/>
      <c r="AA726" s="150"/>
      <c r="AB726" s="492">
        <v>1200</v>
      </c>
      <c r="AC726" s="150"/>
      <c r="AD726" s="150"/>
      <c r="AE726" s="469"/>
      <c r="AF726" s="499"/>
      <c r="AG726" s="150"/>
      <c r="AH726" s="150"/>
      <c r="AI726" s="150"/>
      <c r="AJ726" s="150"/>
      <c r="AK726" s="150"/>
      <c r="AL726" s="150"/>
      <c r="AM726" s="150"/>
      <c r="AN726" s="150"/>
      <c r="AO726" s="469"/>
      <c r="AP726" s="150"/>
      <c r="AQ726" s="150"/>
      <c r="AR726" s="151"/>
      <c r="AS726" s="456"/>
      <c r="AT726" s="151"/>
      <c r="AU726" s="150"/>
      <c r="AV726" s="487"/>
      <c r="AW726" s="150"/>
      <c r="AX726" s="150"/>
      <c r="AY726" s="469"/>
      <c r="AZ726" s="150"/>
      <c r="BA726" s="150"/>
      <c r="BB726" s="150"/>
      <c r="BC726" s="469"/>
      <c r="BD726" s="150"/>
      <c r="BE726" s="150"/>
      <c r="BF726" s="469"/>
      <c r="BG726" s="150"/>
      <c r="BH726" s="150"/>
      <c r="BI726" s="150"/>
      <c r="BJ726" s="469"/>
      <c r="BK726" s="152"/>
      <c r="BL726" s="160"/>
      <c r="BM726" s="150"/>
      <c r="BN726" s="150"/>
      <c r="BO726" s="150"/>
      <c r="BP726" s="152"/>
      <c r="BQ726" s="160"/>
      <c r="BR726" s="152"/>
      <c r="BS726" s="160"/>
    </row>
    <row r="727" spans="1:71" x14ac:dyDescent="0.3">
      <c r="A727" s="420">
        <f>DL!A724</f>
        <v>662</v>
      </c>
      <c r="B727" s="19" t="s">
        <v>1392</v>
      </c>
      <c r="C727" s="149">
        <f>DL!L724</f>
        <v>20</v>
      </c>
      <c r="D727" s="149" t="str">
        <f>DL!C724</f>
        <v>TUBE</v>
      </c>
      <c r="E727" s="150"/>
      <c r="F727" s="463"/>
      <c r="G727" s="150"/>
      <c r="H727" s="150"/>
      <c r="I727" s="469"/>
      <c r="J727" s="150"/>
      <c r="K727" s="168"/>
      <c r="L727" s="469"/>
      <c r="M727" s="150"/>
      <c r="N727" s="469"/>
      <c r="O727" s="150"/>
      <c r="P727" s="150"/>
      <c r="Q727" s="150"/>
      <c r="R727" s="475"/>
      <c r="S727" s="476">
        <v>1800</v>
      </c>
      <c r="T727" s="150"/>
      <c r="U727" s="150"/>
      <c r="V727" s="150"/>
      <c r="W727" s="168"/>
      <c r="X727" s="150"/>
      <c r="Y727" s="469"/>
      <c r="Z727" s="455"/>
      <c r="AA727" s="150"/>
      <c r="AB727" s="492"/>
      <c r="AC727" s="150"/>
      <c r="AD727" s="150"/>
      <c r="AE727" s="469"/>
      <c r="AF727" s="499"/>
      <c r="AG727" s="150"/>
      <c r="AH727" s="150"/>
      <c r="AI727" s="150"/>
      <c r="AJ727" s="150"/>
      <c r="AK727" s="150"/>
      <c r="AL727" s="150"/>
      <c r="AM727" s="150"/>
      <c r="AN727" s="150"/>
      <c r="AO727" s="469"/>
      <c r="AP727" s="150"/>
      <c r="AQ727" s="150"/>
      <c r="AR727" s="151"/>
      <c r="AS727" s="456"/>
      <c r="AT727" s="151"/>
      <c r="AU727" s="150"/>
      <c r="AV727" s="487"/>
      <c r="AW727" s="150"/>
      <c r="AX727" s="150"/>
      <c r="AY727" s="469"/>
      <c r="AZ727" s="150"/>
      <c r="BA727" s="150"/>
      <c r="BB727" s="150"/>
      <c r="BC727" s="469"/>
      <c r="BD727" s="150"/>
      <c r="BE727" s="150"/>
      <c r="BF727" s="469"/>
      <c r="BG727" s="150"/>
      <c r="BH727" s="150"/>
      <c r="BI727" s="150"/>
      <c r="BJ727" s="469"/>
      <c r="BK727" s="152"/>
      <c r="BL727" s="160"/>
      <c r="BM727" s="150"/>
      <c r="BN727" s="150"/>
      <c r="BO727" s="150"/>
      <c r="BP727" s="152"/>
      <c r="BQ727" s="160"/>
      <c r="BR727" s="152"/>
      <c r="BS727" s="160"/>
    </row>
    <row r="728" spans="1:71" x14ac:dyDescent="0.3">
      <c r="A728" s="420">
        <f>DL!A725</f>
        <v>663</v>
      </c>
      <c r="B728" s="19" t="s">
        <v>1393</v>
      </c>
      <c r="C728" s="149">
        <f>DL!L725</f>
        <v>200</v>
      </c>
      <c r="D728" s="149" t="str">
        <f>DL!C725</f>
        <v>TUBE</v>
      </c>
      <c r="E728" s="150"/>
      <c r="F728" s="463"/>
      <c r="G728" s="150"/>
      <c r="H728" s="150"/>
      <c r="I728" s="469"/>
      <c r="J728" s="150"/>
      <c r="K728" s="168"/>
      <c r="L728" s="469"/>
      <c r="M728" s="150"/>
      <c r="N728" s="469"/>
      <c r="O728" s="150"/>
      <c r="P728" s="150"/>
      <c r="Q728" s="150"/>
      <c r="R728" s="475"/>
      <c r="S728" s="476"/>
      <c r="T728" s="150"/>
      <c r="U728" s="150"/>
      <c r="V728" s="150"/>
      <c r="W728" s="168"/>
      <c r="X728" s="150"/>
      <c r="Y728" s="469"/>
      <c r="Z728" s="455"/>
      <c r="AA728" s="150"/>
      <c r="AB728" s="492"/>
      <c r="AC728" s="150"/>
      <c r="AD728" s="150"/>
      <c r="AE728" s="469">
        <v>165</v>
      </c>
      <c r="AF728" s="499"/>
      <c r="AG728" s="150"/>
      <c r="AH728" s="150"/>
      <c r="AI728" s="150"/>
      <c r="AJ728" s="150"/>
      <c r="AK728" s="150"/>
      <c r="AL728" s="150"/>
      <c r="AM728" s="150"/>
      <c r="AN728" s="150"/>
      <c r="AO728" s="469"/>
      <c r="AP728" s="150"/>
      <c r="AQ728" s="150"/>
      <c r="AR728" s="151"/>
      <c r="AS728" s="456"/>
      <c r="AT728" s="151"/>
      <c r="AU728" s="150"/>
      <c r="AV728" s="487"/>
      <c r="AW728" s="150"/>
      <c r="AX728" s="150"/>
      <c r="AY728" s="469"/>
      <c r="AZ728" s="150"/>
      <c r="BA728" s="150"/>
      <c r="BB728" s="150"/>
      <c r="BC728" s="469"/>
      <c r="BD728" s="150"/>
      <c r="BE728" s="150"/>
      <c r="BF728" s="469"/>
      <c r="BG728" s="150"/>
      <c r="BH728" s="150"/>
      <c r="BI728" s="150"/>
      <c r="BJ728" s="469"/>
      <c r="BK728" s="152"/>
      <c r="BL728" s="160"/>
      <c r="BM728" s="150"/>
      <c r="BN728" s="150"/>
      <c r="BO728" s="150"/>
      <c r="BP728" s="152"/>
      <c r="BQ728" s="160"/>
      <c r="BR728" s="152"/>
      <c r="BS728" s="160"/>
    </row>
    <row r="729" spans="1:71" x14ac:dyDescent="0.3">
      <c r="A729" s="420">
        <f>DL!A726</f>
        <v>664</v>
      </c>
      <c r="B729" s="19" t="s">
        <v>1394</v>
      </c>
      <c r="C729" s="149">
        <f>DL!L726</f>
        <v>20</v>
      </c>
      <c r="D729" s="149" t="str">
        <f>DL!C726</f>
        <v>TUBE</v>
      </c>
      <c r="E729" s="150"/>
      <c r="F729" s="463"/>
      <c r="G729" s="150"/>
      <c r="H729" s="150"/>
      <c r="I729" s="469"/>
      <c r="J729" s="150"/>
      <c r="K729" s="168"/>
      <c r="L729" s="469"/>
      <c r="M729" s="150"/>
      <c r="N729" s="469"/>
      <c r="O729" s="150"/>
      <c r="P729" s="150"/>
      <c r="Q729" s="150"/>
      <c r="R729" s="475"/>
      <c r="S729" s="476">
        <v>3000</v>
      </c>
      <c r="T729" s="150"/>
      <c r="U729" s="150"/>
      <c r="V729" s="150"/>
      <c r="W729" s="168"/>
      <c r="X729" s="150"/>
      <c r="Y729" s="469"/>
      <c r="Z729" s="455"/>
      <c r="AA729" s="150"/>
      <c r="AB729" s="492"/>
      <c r="AC729" s="150"/>
      <c r="AD729" s="150"/>
      <c r="AE729" s="469"/>
      <c r="AF729" s="499"/>
      <c r="AG729" s="150"/>
      <c r="AH729" s="150"/>
      <c r="AI729" s="150"/>
      <c r="AJ729" s="150"/>
      <c r="AK729" s="150"/>
      <c r="AL729" s="150"/>
      <c r="AM729" s="150"/>
      <c r="AN729" s="150"/>
      <c r="AO729" s="469"/>
      <c r="AP729" s="150"/>
      <c r="AQ729" s="150"/>
      <c r="AR729" s="151"/>
      <c r="AS729" s="456"/>
      <c r="AT729" s="151"/>
      <c r="AU729" s="150"/>
      <c r="AV729" s="487"/>
      <c r="AW729" s="150"/>
      <c r="AX729" s="150"/>
      <c r="AY729" s="469"/>
      <c r="AZ729" s="150"/>
      <c r="BA729" s="150"/>
      <c r="BB729" s="150"/>
      <c r="BC729" s="469"/>
      <c r="BD729" s="150"/>
      <c r="BE729" s="150"/>
      <c r="BF729" s="469"/>
      <c r="BG729" s="150"/>
      <c r="BH729" s="150"/>
      <c r="BI729" s="150"/>
      <c r="BJ729" s="469"/>
      <c r="BK729" s="152"/>
      <c r="BL729" s="160"/>
      <c r="BM729" s="150"/>
      <c r="BN729" s="150"/>
      <c r="BO729" s="150"/>
      <c r="BP729" s="152"/>
      <c r="BQ729" s="160"/>
      <c r="BR729" s="152"/>
      <c r="BS729" s="160"/>
    </row>
    <row r="730" spans="1:71" x14ac:dyDescent="0.3">
      <c r="A730" s="420">
        <f>DL!A727</f>
        <v>665</v>
      </c>
      <c r="B730" s="19" t="s">
        <v>1395</v>
      </c>
      <c r="C730" s="149">
        <f>DL!L727</f>
        <v>40</v>
      </c>
      <c r="D730" s="149" t="str">
        <f>DL!C727</f>
        <v>TUBE</v>
      </c>
      <c r="E730" s="150"/>
      <c r="F730" s="463"/>
      <c r="G730" s="150"/>
      <c r="H730" s="150"/>
      <c r="I730" s="469"/>
      <c r="J730" s="150"/>
      <c r="K730" s="168"/>
      <c r="L730" s="469"/>
      <c r="M730" s="150"/>
      <c r="N730" s="469"/>
      <c r="O730" s="150"/>
      <c r="P730" s="150"/>
      <c r="Q730" s="150"/>
      <c r="R730" s="475"/>
      <c r="S730" s="476"/>
      <c r="T730" s="150"/>
      <c r="U730" s="150"/>
      <c r="V730" s="150"/>
      <c r="W730" s="168"/>
      <c r="X730" s="150"/>
      <c r="Y730" s="469"/>
      <c r="Z730" s="455"/>
      <c r="AA730" s="150"/>
      <c r="AB730" s="492"/>
      <c r="AC730" s="150"/>
      <c r="AD730" s="150"/>
      <c r="AE730" s="469"/>
      <c r="AF730" s="499"/>
      <c r="AG730" s="150"/>
      <c r="AH730" s="150"/>
      <c r="AI730" s="150"/>
      <c r="AJ730" s="150"/>
      <c r="AK730" s="150"/>
      <c r="AL730" s="150"/>
      <c r="AM730" s="150"/>
      <c r="AN730" s="150"/>
      <c r="AO730" s="469"/>
      <c r="AP730" s="150"/>
      <c r="AQ730" s="150"/>
      <c r="AR730" s="151"/>
      <c r="AS730" s="456"/>
      <c r="AT730" s="151"/>
      <c r="AU730" s="150"/>
      <c r="AV730" s="487"/>
      <c r="AW730" s="150"/>
      <c r="AX730" s="150"/>
      <c r="AY730" s="469"/>
      <c r="AZ730" s="150"/>
      <c r="BA730" s="150"/>
      <c r="BB730" s="150"/>
      <c r="BC730" s="469"/>
      <c r="BD730" s="150"/>
      <c r="BE730" s="150"/>
      <c r="BF730" s="469"/>
      <c r="BG730" s="150"/>
      <c r="BH730" s="150"/>
      <c r="BI730" s="150"/>
      <c r="BJ730" s="469"/>
      <c r="BK730" s="152"/>
      <c r="BL730" s="160"/>
      <c r="BM730" s="150"/>
      <c r="BN730" s="150"/>
      <c r="BO730" s="150"/>
      <c r="BP730" s="152"/>
      <c r="BQ730" s="160"/>
      <c r="BR730" s="152"/>
      <c r="BS730" s="160"/>
    </row>
    <row r="731" spans="1:71" x14ac:dyDescent="0.3">
      <c r="A731" s="420">
        <f>DL!A728</f>
        <v>666</v>
      </c>
      <c r="B731" s="19" t="s">
        <v>1396</v>
      </c>
      <c r="C731" s="149">
        <f>DL!L728</f>
        <v>20</v>
      </c>
      <c r="D731" s="149" t="str">
        <f>DL!C728</f>
        <v>PCS</v>
      </c>
      <c r="E731" s="150"/>
      <c r="F731" s="463"/>
      <c r="G731" s="150"/>
      <c r="H731" s="150"/>
      <c r="I731" s="469"/>
      <c r="J731" s="150"/>
      <c r="K731" s="168"/>
      <c r="L731" s="469"/>
      <c r="M731" s="150"/>
      <c r="N731" s="469"/>
      <c r="O731" s="150"/>
      <c r="P731" s="150"/>
      <c r="Q731" s="150"/>
      <c r="R731" s="475"/>
      <c r="S731" s="476"/>
      <c r="T731" s="150"/>
      <c r="U731" s="150"/>
      <c r="V731" s="150"/>
      <c r="W731" s="168"/>
      <c r="X731" s="150"/>
      <c r="Y731" s="469"/>
      <c r="Z731" s="455"/>
      <c r="AA731" s="150"/>
      <c r="AB731" s="492"/>
      <c r="AC731" s="150"/>
      <c r="AD731" s="150"/>
      <c r="AE731" s="469"/>
      <c r="AF731" s="499"/>
      <c r="AG731" s="150"/>
      <c r="AH731" s="150"/>
      <c r="AI731" s="150"/>
      <c r="AJ731" s="150"/>
      <c r="AK731" s="150"/>
      <c r="AL731" s="150"/>
      <c r="AM731" s="150"/>
      <c r="AN731" s="150"/>
      <c r="AO731" s="469"/>
      <c r="AP731" s="150"/>
      <c r="AQ731" s="150"/>
      <c r="AR731" s="151"/>
      <c r="AS731" s="456"/>
      <c r="AT731" s="151"/>
      <c r="AU731" s="150"/>
      <c r="AV731" s="487"/>
      <c r="AW731" s="150"/>
      <c r="AX731" s="150"/>
      <c r="AY731" s="469"/>
      <c r="AZ731" s="150"/>
      <c r="BA731" s="150"/>
      <c r="BB731" s="150"/>
      <c r="BC731" s="469"/>
      <c r="BD731" s="150"/>
      <c r="BE731" s="150"/>
      <c r="BF731" s="469"/>
      <c r="BG731" s="150"/>
      <c r="BH731" s="150"/>
      <c r="BI731" s="150"/>
      <c r="BJ731" s="469"/>
      <c r="BK731" s="152"/>
      <c r="BL731" s="160"/>
      <c r="BM731" s="150"/>
      <c r="BN731" s="150"/>
      <c r="BO731" s="150"/>
      <c r="BP731" s="152"/>
      <c r="BQ731" s="160"/>
      <c r="BR731" s="152"/>
      <c r="BS731" s="160"/>
    </row>
    <row r="732" spans="1:71" x14ac:dyDescent="0.3">
      <c r="A732" s="420">
        <f>DL!A729</f>
        <v>667</v>
      </c>
      <c r="B732" s="19" t="s">
        <v>1397</v>
      </c>
      <c r="C732" s="149">
        <f>DL!L729</f>
        <v>20</v>
      </c>
      <c r="D732" s="149" t="str">
        <f>DL!C729</f>
        <v>PCS</v>
      </c>
      <c r="E732" s="150"/>
      <c r="F732" s="463"/>
      <c r="G732" s="150"/>
      <c r="H732" s="150"/>
      <c r="I732" s="469"/>
      <c r="J732" s="150"/>
      <c r="K732" s="168"/>
      <c r="L732" s="469"/>
      <c r="M732" s="150"/>
      <c r="N732" s="469"/>
      <c r="O732" s="150"/>
      <c r="P732" s="150"/>
      <c r="Q732" s="150"/>
      <c r="R732" s="475"/>
      <c r="S732" s="476">
        <v>2200</v>
      </c>
      <c r="T732" s="150"/>
      <c r="U732" s="150"/>
      <c r="V732" s="150"/>
      <c r="W732" s="168"/>
      <c r="X732" s="150"/>
      <c r="Y732" s="469"/>
      <c r="Z732" s="455"/>
      <c r="AA732" s="150"/>
      <c r="AB732" s="492"/>
      <c r="AC732" s="150"/>
      <c r="AD732" s="150"/>
      <c r="AE732" s="469"/>
      <c r="AF732" s="499"/>
      <c r="AG732" s="150"/>
      <c r="AH732" s="150"/>
      <c r="AI732" s="150"/>
      <c r="AJ732" s="150"/>
      <c r="AK732" s="150"/>
      <c r="AL732" s="150"/>
      <c r="AM732" s="150"/>
      <c r="AN732" s="150"/>
      <c r="AO732" s="469"/>
      <c r="AP732" s="150"/>
      <c r="AQ732" s="150"/>
      <c r="AR732" s="151"/>
      <c r="AS732" s="456"/>
      <c r="AT732" s="151"/>
      <c r="AU732" s="150"/>
      <c r="AV732" s="487"/>
      <c r="AW732" s="150"/>
      <c r="AX732" s="150"/>
      <c r="AY732" s="469"/>
      <c r="AZ732" s="150"/>
      <c r="BA732" s="150"/>
      <c r="BB732" s="150"/>
      <c r="BC732" s="469"/>
      <c r="BD732" s="150"/>
      <c r="BE732" s="150"/>
      <c r="BF732" s="469"/>
      <c r="BG732" s="150"/>
      <c r="BH732" s="150"/>
      <c r="BI732" s="150"/>
      <c r="BJ732" s="469"/>
      <c r="BK732" s="152"/>
      <c r="BL732" s="160"/>
      <c r="BM732" s="150"/>
      <c r="BN732" s="150"/>
      <c r="BO732" s="150"/>
      <c r="BP732" s="152"/>
      <c r="BQ732" s="160"/>
      <c r="BR732" s="152"/>
      <c r="BS732" s="160"/>
    </row>
    <row r="733" spans="1:71" x14ac:dyDescent="0.3">
      <c r="A733" s="420">
        <f>DL!A730</f>
        <v>668</v>
      </c>
      <c r="B733" s="19" t="s">
        <v>1398</v>
      </c>
      <c r="C733" s="149">
        <f>DL!L730</f>
        <v>20</v>
      </c>
      <c r="D733" s="149" t="str">
        <f>DL!C730</f>
        <v>TUBE</v>
      </c>
      <c r="E733" s="150"/>
      <c r="F733" s="463"/>
      <c r="G733" s="150"/>
      <c r="H733" s="150"/>
      <c r="I733" s="469"/>
      <c r="J733" s="150"/>
      <c r="K733" s="168"/>
      <c r="L733" s="469"/>
      <c r="M733" s="150"/>
      <c r="N733" s="469"/>
      <c r="O733" s="150"/>
      <c r="P733" s="150"/>
      <c r="Q733" s="150"/>
      <c r="R733" s="475"/>
      <c r="S733" s="476"/>
      <c r="T733" s="150"/>
      <c r="U733" s="150"/>
      <c r="V733" s="150"/>
      <c r="W733" s="168"/>
      <c r="X733" s="150"/>
      <c r="Y733" s="469"/>
      <c r="Z733" s="455"/>
      <c r="AA733" s="150"/>
      <c r="AB733" s="492"/>
      <c r="AC733" s="150"/>
      <c r="AD733" s="150"/>
      <c r="AE733" s="469"/>
      <c r="AF733" s="499"/>
      <c r="AG733" s="150"/>
      <c r="AH733" s="150"/>
      <c r="AI733" s="150"/>
      <c r="AJ733" s="150"/>
      <c r="AK733" s="150"/>
      <c r="AL733" s="150"/>
      <c r="AM733" s="150"/>
      <c r="AN733" s="150"/>
      <c r="AO733" s="469"/>
      <c r="AP733" s="150"/>
      <c r="AQ733" s="150"/>
      <c r="AR733" s="151"/>
      <c r="AS733" s="456"/>
      <c r="AT733" s="151"/>
      <c r="AU733" s="150"/>
      <c r="AV733" s="487"/>
      <c r="AW733" s="150"/>
      <c r="AX733" s="150"/>
      <c r="AY733" s="469"/>
      <c r="AZ733" s="150"/>
      <c r="BA733" s="150"/>
      <c r="BB733" s="150"/>
      <c r="BC733" s="469"/>
      <c r="BD733" s="150"/>
      <c r="BE733" s="150"/>
      <c r="BF733" s="469"/>
      <c r="BG733" s="150"/>
      <c r="BH733" s="150"/>
      <c r="BI733" s="150"/>
      <c r="BJ733" s="469"/>
      <c r="BK733" s="152"/>
      <c r="BL733" s="160"/>
      <c r="BM733" s="150"/>
      <c r="BN733" s="150"/>
      <c r="BO733" s="150"/>
      <c r="BP733" s="152"/>
      <c r="BQ733" s="160"/>
      <c r="BR733" s="152"/>
      <c r="BS733" s="160"/>
    </row>
    <row r="734" spans="1:71" x14ac:dyDescent="0.3">
      <c r="A734" s="420"/>
      <c r="B734" s="19"/>
      <c r="C734" s="149">
        <f>DL!L731</f>
        <v>0</v>
      </c>
      <c r="D734" s="149">
        <f>DL!C731</f>
        <v>0</v>
      </c>
      <c r="E734" s="150"/>
      <c r="F734" s="463"/>
      <c r="G734" s="150"/>
      <c r="H734" s="150"/>
      <c r="I734" s="469"/>
      <c r="J734" s="150"/>
      <c r="K734" s="168"/>
      <c r="L734" s="469"/>
      <c r="M734" s="150"/>
      <c r="N734" s="469"/>
      <c r="O734" s="150"/>
      <c r="P734" s="150"/>
      <c r="Q734" s="150"/>
      <c r="R734" s="475"/>
      <c r="S734" s="476"/>
      <c r="T734" s="150"/>
      <c r="U734" s="150"/>
      <c r="V734" s="150"/>
      <c r="W734" s="168"/>
      <c r="X734" s="150"/>
      <c r="Y734" s="469"/>
      <c r="Z734" s="455"/>
      <c r="AA734" s="150"/>
      <c r="AB734" s="492"/>
      <c r="AC734" s="150"/>
      <c r="AD734" s="150"/>
      <c r="AE734" s="469"/>
      <c r="AF734" s="499"/>
      <c r="AG734" s="150"/>
      <c r="AH734" s="150"/>
      <c r="AI734" s="150"/>
      <c r="AJ734" s="150"/>
      <c r="AK734" s="150"/>
      <c r="AL734" s="150"/>
      <c r="AM734" s="150"/>
      <c r="AN734" s="150"/>
      <c r="AO734" s="469"/>
      <c r="AP734" s="150"/>
      <c r="AQ734" s="150"/>
      <c r="AR734" s="151"/>
      <c r="AS734" s="456"/>
      <c r="AT734" s="151"/>
      <c r="AU734" s="150"/>
      <c r="AV734" s="487"/>
      <c r="AW734" s="150"/>
      <c r="AX734" s="150"/>
      <c r="AY734" s="469"/>
      <c r="AZ734" s="150"/>
      <c r="BA734" s="150"/>
      <c r="BB734" s="150"/>
      <c r="BC734" s="469"/>
      <c r="BD734" s="150"/>
      <c r="BE734" s="150"/>
      <c r="BF734" s="469"/>
      <c r="BG734" s="150"/>
      <c r="BH734" s="150"/>
      <c r="BI734" s="150"/>
      <c r="BJ734" s="469"/>
      <c r="BK734" s="152"/>
      <c r="BL734" s="160"/>
      <c r="BM734" s="150"/>
      <c r="BN734" s="150"/>
      <c r="BO734" s="150"/>
      <c r="BP734" s="152"/>
      <c r="BQ734" s="160"/>
      <c r="BR734" s="152"/>
      <c r="BS734" s="160"/>
    </row>
    <row r="735" spans="1:71" x14ac:dyDescent="0.3">
      <c r="A735" s="420"/>
      <c r="B735" s="19"/>
      <c r="C735" s="149">
        <f>DL!L732</f>
        <v>0</v>
      </c>
      <c r="D735" s="149">
        <f>DL!C732</f>
        <v>0</v>
      </c>
      <c r="E735" s="150"/>
      <c r="F735" s="463"/>
      <c r="G735" s="150"/>
      <c r="H735" s="150"/>
      <c r="I735" s="469"/>
      <c r="J735" s="150"/>
      <c r="K735" s="168"/>
      <c r="L735" s="469"/>
      <c r="M735" s="150"/>
      <c r="N735" s="469"/>
      <c r="O735" s="150"/>
      <c r="P735" s="150"/>
      <c r="Q735" s="150"/>
      <c r="R735" s="475"/>
      <c r="S735" s="476"/>
      <c r="T735" s="150"/>
      <c r="U735" s="150"/>
      <c r="V735" s="150"/>
      <c r="W735" s="168"/>
      <c r="X735" s="150"/>
      <c r="Y735" s="469"/>
      <c r="Z735" s="455"/>
      <c r="AA735" s="150"/>
      <c r="AB735" s="492"/>
      <c r="AC735" s="150"/>
      <c r="AD735" s="150"/>
      <c r="AE735" s="469"/>
      <c r="AF735" s="499"/>
      <c r="AG735" s="150"/>
      <c r="AH735" s="150"/>
      <c r="AI735" s="150"/>
      <c r="AJ735" s="150"/>
      <c r="AK735" s="150"/>
      <c r="AL735" s="150"/>
      <c r="AM735" s="150"/>
      <c r="AN735" s="150"/>
      <c r="AO735" s="469"/>
      <c r="AP735" s="150"/>
      <c r="AQ735" s="150"/>
      <c r="AR735" s="151"/>
      <c r="AS735" s="456"/>
      <c r="AT735" s="151"/>
      <c r="AU735" s="150"/>
      <c r="AV735" s="487"/>
      <c r="AW735" s="150"/>
      <c r="AX735" s="150"/>
      <c r="AY735" s="469"/>
      <c r="AZ735" s="150"/>
      <c r="BA735" s="150"/>
      <c r="BB735" s="150"/>
      <c r="BC735" s="469"/>
      <c r="BD735" s="150"/>
      <c r="BE735" s="150"/>
      <c r="BF735" s="469"/>
      <c r="BG735" s="150"/>
      <c r="BH735" s="150"/>
      <c r="BI735" s="150"/>
      <c r="BJ735" s="469"/>
      <c r="BK735" s="152"/>
      <c r="BL735" s="160"/>
      <c r="BM735" s="150"/>
      <c r="BN735" s="150"/>
      <c r="BO735" s="150"/>
      <c r="BP735" s="152"/>
      <c r="BQ735" s="160"/>
      <c r="BR735" s="152"/>
      <c r="BS735" s="160"/>
    </row>
    <row r="736" spans="1:71" x14ac:dyDescent="0.3">
      <c r="A736" s="420"/>
      <c r="B736" s="16" t="s">
        <v>379</v>
      </c>
      <c r="C736" s="149">
        <f>DL!L733</f>
        <v>0</v>
      </c>
      <c r="D736" s="149">
        <f>DL!C733</f>
        <v>0</v>
      </c>
      <c r="E736" s="150"/>
      <c r="F736" s="463"/>
      <c r="G736" s="150"/>
      <c r="H736" s="150"/>
      <c r="I736" s="469"/>
      <c r="J736" s="150"/>
      <c r="K736" s="168"/>
      <c r="L736" s="469"/>
      <c r="M736" s="150"/>
      <c r="N736" s="469"/>
      <c r="O736" s="150"/>
      <c r="P736" s="150"/>
      <c r="Q736" s="150"/>
      <c r="R736" s="472"/>
      <c r="S736" s="476"/>
      <c r="T736" s="150"/>
      <c r="U736" s="150"/>
      <c r="V736" s="150"/>
      <c r="W736" s="168"/>
      <c r="X736" s="150"/>
      <c r="Y736" s="469"/>
      <c r="Z736" s="455"/>
      <c r="AA736" s="150"/>
      <c r="AB736" s="492"/>
      <c r="AC736" s="150"/>
      <c r="AD736" s="150"/>
      <c r="AE736" s="469"/>
      <c r="AF736" s="499"/>
      <c r="AG736" s="150"/>
      <c r="AH736" s="150"/>
      <c r="AI736" s="150"/>
      <c r="AJ736" s="150"/>
      <c r="AK736" s="150"/>
      <c r="AL736" s="150"/>
      <c r="AM736" s="150"/>
      <c r="AN736" s="150"/>
      <c r="AO736" s="469"/>
      <c r="AP736" s="150"/>
      <c r="AQ736" s="150"/>
      <c r="AR736" s="151"/>
      <c r="AS736" s="456"/>
      <c r="AT736" s="151"/>
      <c r="AU736" s="150"/>
      <c r="AV736" s="487"/>
      <c r="AW736" s="150"/>
      <c r="AX736" s="150"/>
      <c r="AY736" s="469"/>
      <c r="AZ736" s="150"/>
      <c r="BA736" s="150"/>
      <c r="BB736" s="150"/>
      <c r="BC736" s="469"/>
      <c r="BD736" s="150"/>
      <c r="BE736" s="150"/>
      <c r="BF736" s="469"/>
      <c r="BG736" s="150"/>
      <c r="BH736" s="150"/>
      <c r="BI736" s="150"/>
      <c r="BJ736" s="469"/>
      <c r="BK736" s="152"/>
      <c r="BL736" s="160"/>
      <c r="BM736" s="150"/>
      <c r="BN736" s="150"/>
      <c r="BO736" s="150"/>
      <c r="BP736" s="152"/>
      <c r="BQ736" s="160"/>
      <c r="BR736" s="152"/>
      <c r="BS736" s="160"/>
    </row>
    <row r="737" spans="1:71" x14ac:dyDescent="0.3">
      <c r="A737" s="420">
        <f>DL!A734</f>
        <v>669</v>
      </c>
      <c r="B737" s="19" t="s">
        <v>380</v>
      </c>
      <c r="C737" s="149">
        <f>DL!L734</f>
        <v>4</v>
      </c>
      <c r="D737" s="149" t="str">
        <f>DL!C734</f>
        <v>2L</v>
      </c>
      <c r="E737" s="150"/>
      <c r="F737" s="463"/>
      <c r="G737" s="150"/>
      <c r="H737" s="150"/>
      <c r="I737" s="469"/>
      <c r="J737" s="150"/>
      <c r="K737" s="168"/>
      <c r="L737" s="469"/>
      <c r="M737" s="150"/>
      <c r="N737" s="469"/>
      <c r="O737" s="150"/>
      <c r="P737" s="150"/>
      <c r="Q737" s="150"/>
      <c r="R737" s="475"/>
      <c r="S737" s="476"/>
      <c r="T737" s="150"/>
      <c r="U737" s="150"/>
      <c r="V737" s="150"/>
      <c r="W737" s="168"/>
      <c r="X737" s="150"/>
      <c r="Y737" s="469"/>
      <c r="Z737" s="455"/>
      <c r="AA737" s="150"/>
      <c r="AB737" s="492"/>
      <c r="AC737" s="150"/>
      <c r="AD737" s="150"/>
      <c r="AE737" s="469"/>
      <c r="AF737" s="499"/>
      <c r="AG737" s="150"/>
      <c r="AH737" s="150"/>
      <c r="AI737" s="150"/>
      <c r="AJ737" s="150"/>
      <c r="AK737" s="150"/>
      <c r="AL737" s="150"/>
      <c r="AM737" s="150"/>
      <c r="AN737" s="150"/>
      <c r="AO737" s="469"/>
      <c r="AP737" s="150"/>
      <c r="AQ737" s="150"/>
      <c r="AR737" s="151"/>
      <c r="AS737" s="456"/>
      <c r="AT737" s="151"/>
      <c r="AU737" s="150"/>
      <c r="AV737" s="487"/>
      <c r="AW737" s="150"/>
      <c r="AX737" s="150"/>
      <c r="AY737" s="469"/>
      <c r="AZ737" s="150"/>
      <c r="BA737" s="150"/>
      <c r="BB737" s="150"/>
      <c r="BC737" s="469"/>
      <c r="BD737" s="150"/>
      <c r="BE737" s="150"/>
      <c r="BF737" s="469"/>
      <c r="BG737" s="150"/>
      <c r="BH737" s="150"/>
      <c r="BI737" s="150"/>
      <c r="BJ737" s="469"/>
      <c r="BK737" s="152"/>
      <c r="BL737" s="160"/>
      <c r="BM737" s="150"/>
      <c r="BN737" s="150"/>
      <c r="BO737" s="150"/>
      <c r="BP737" s="152"/>
      <c r="BQ737" s="160"/>
      <c r="BR737" s="152"/>
      <c r="BS737" s="160"/>
    </row>
    <row r="738" spans="1:71" x14ac:dyDescent="0.3">
      <c r="A738" s="420">
        <f>DL!A735</f>
        <v>670</v>
      </c>
      <c r="B738" s="19" t="s">
        <v>2064</v>
      </c>
      <c r="C738" s="149">
        <f>DL!L735</f>
        <v>128</v>
      </c>
      <c r="D738" s="149" t="str">
        <f>DL!C735</f>
        <v>500ML</v>
      </c>
      <c r="E738" s="150"/>
      <c r="F738" s="463"/>
      <c r="G738" s="150"/>
      <c r="H738" s="150"/>
      <c r="I738" s="469"/>
      <c r="J738" s="150"/>
      <c r="K738" s="168"/>
      <c r="L738" s="469"/>
      <c r="M738" s="150"/>
      <c r="N738" s="469"/>
      <c r="O738" s="150"/>
      <c r="P738" s="150"/>
      <c r="Q738" s="150"/>
      <c r="R738" s="475"/>
      <c r="S738" s="476"/>
      <c r="T738" s="150"/>
      <c r="U738" s="150"/>
      <c r="V738" s="150"/>
      <c r="W738" s="168"/>
      <c r="X738" s="150"/>
      <c r="Y738" s="469"/>
      <c r="Z738" s="455"/>
      <c r="AA738" s="150"/>
      <c r="AB738" s="492"/>
      <c r="AC738" s="150"/>
      <c r="AD738" s="150"/>
      <c r="AE738" s="469"/>
      <c r="AF738" s="499"/>
      <c r="AG738" s="150"/>
      <c r="AH738" s="150"/>
      <c r="AI738" s="150"/>
      <c r="AJ738" s="150"/>
      <c r="AK738" s="150"/>
      <c r="AL738" s="150"/>
      <c r="AM738" s="150"/>
      <c r="AN738" s="150"/>
      <c r="AO738" s="469"/>
      <c r="AP738" s="150"/>
      <c r="AQ738" s="150"/>
      <c r="AR738" s="151"/>
      <c r="AS738" s="456"/>
      <c r="AT738" s="151"/>
      <c r="AU738" s="150"/>
      <c r="AV738" s="487"/>
      <c r="AW738" s="150"/>
      <c r="AX738" s="150"/>
      <c r="AY738" s="469"/>
      <c r="AZ738" s="150"/>
      <c r="BA738" s="150"/>
      <c r="BB738" s="150"/>
      <c r="BC738" s="469">
        <v>7500</v>
      </c>
      <c r="BD738" s="150"/>
      <c r="BE738" s="150"/>
      <c r="BF738" s="469"/>
      <c r="BG738" s="150"/>
      <c r="BH738" s="150"/>
      <c r="BI738" s="150"/>
      <c r="BJ738" s="469"/>
      <c r="BK738" s="152"/>
      <c r="BL738" s="160"/>
      <c r="BM738" s="150"/>
      <c r="BN738" s="150"/>
      <c r="BO738" s="150"/>
      <c r="BP738" s="152"/>
      <c r="BQ738" s="160"/>
      <c r="BR738" s="152"/>
      <c r="BS738" s="160"/>
    </row>
    <row r="739" spans="1:71" x14ac:dyDescent="0.3">
      <c r="A739" s="420">
        <f>DL!A736</f>
        <v>671</v>
      </c>
      <c r="B739" s="19" t="s">
        <v>2065</v>
      </c>
      <c r="C739" s="149">
        <v>30</v>
      </c>
      <c r="D739" s="149" t="str">
        <f>DL!C736</f>
        <v>4L</v>
      </c>
      <c r="E739" s="150"/>
      <c r="F739" s="463"/>
      <c r="G739" s="150"/>
      <c r="H739" s="150"/>
      <c r="I739" s="469"/>
      <c r="J739" s="150"/>
      <c r="K739" s="168"/>
      <c r="L739" s="469"/>
      <c r="M739" s="150"/>
      <c r="N739" s="469"/>
      <c r="O739" s="150"/>
      <c r="P739" s="150"/>
      <c r="Q739" s="150"/>
      <c r="R739" s="475"/>
      <c r="S739" s="476"/>
      <c r="T739" s="150"/>
      <c r="U739" s="150"/>
      <c r="V739" s="150"/>
      <c r="W739" s="168"/>
      <c r="X739" s="150"/>
      <c r="Y739" s="469"/>
      <c r="Z739" s="455"/>
      <c r="AA739" s="150"/>
      <c r="AB739" s="492"/>
      <c r="AC739" s="150"/>
      <c r="AD739" s="150"/>
      <c r="AE739" s="469"/>
      <c r="AF739" s="499"/>
      <c r="AG739" s="150"/>
      <c r="AH739" s="150"/>
      <c r="AI739" s="150"/>
      <c r="AJ739" s="150"/>
      <c r="AK739" s="150"/>
      <c r="AL739" s="150"/>
      <c r="AM739" s="150"/>
      <c r="AN739" s="150"/>
      <c r="AO739" s="469"/>
      <c r="AP739" s="150"/>
      <c r="AQ739" s="150">
        <v>7400</v>
      </c>
      <c r="AR739" s="151"/>
      <c r="AS739" s="456"/>
      <c r="AT739" s="151"/>
      <c r="AU739" s="150"/>
      <c r="AV739" s="487"/>
      <c r="AW739" s="150"/>
      <c r="AX739" s="150"/>
      <c r="AY739" s="469"/>
      <c r="AZ739" s="150"/>
      <c r="BA739" s="150"/>
      <c r="BB739" s="150"/>
      <c r="BC739" s="469">
        <v>8000</v>
      </c>
      <c r="BD739" s="150"/>
      <c r="BE739" s="150"/>
      <c r="BF739" s="469"/>
      <c r="BG739" s="150"/>
      <c r="BH739" s="150"/>
      <c r="BI739" s="150"/>
      <c r="BJ739" s="469"/>
      <c r="BK739" s="152"/>
      <c r="BL739" s="160"/>
      <c r="BM739" s="150"/>
      <c r="BN739" s="150"/>
      <c r="BO739" s="150"/>
      <c r="BP739" s="152"/>
      <c r="BQ739" s="160"/>
      <c r="BR739" s="152"/>
      <c r="BS739" s="160"/>
    </row>
    <row r="740" spans="1:71" x14ac:dyDescent="0.3">
      <c r="A740" s="420">
        <f>DL!A737</f>
        <v>672</v>
      </c>
      <c r="B740" s="19" t="s">
        <v>2068</v>
      </c>
      <c r="C740" s="149">
        <v>2600</v>
      </c>
      <c r="D740" s="149" t="str">
        <f>DL!C737</f>
        <v>BOTT</v>
      </c>
      <c r="E740" s="150"/>
      <c r="F740" s="463"/>
      <c r="G740" s="150"/>
      <c r="H740" s="150"/>
      <c r="I740" s="469"/>
      <c r="J740" s="150"/>
      <c r="K740" s="168"/>
      <c r="L740" s="469"/>
      <c r="M740" s="150"/>
      <c r="N740" s="469"/>
      <c r="O740" s="150"/>
      <c r="P740" s="150"/>
      <c r="Q740" s="150"/>
      <c r="R740" s="475"/>
      <c r="S740" s="476"/>
      <c r="T740" s="150"/>
      <c r="U740" s="150"/>
      <c r="V740" s="150"/>
      <c r="W740" s="168"/>
      <c r="X740" s="150"/>
      <c r="Y740" s="469"/>
      <c r="Z740" s="455"/>
      <c r="AA740" s="150"/>
      <c r="AB740" s="492"/>
      <c r="AC740" s="150"/>
      <c r="AD740" s="150"/>
      <c r="AE740" s="469"/>
      <c r="AF740" s="499"/>
      <c r="AG740" s="150"/>
      <c r="AH740" s="150"/>
      <c r="AI740" s="150"/>
      <c r="AJ740" s="150"/>
      <c r="AK740" s="150"/>
      <c r="AL740" s="150"/>
      <c r="AM740" s="150"/>
      <c r="AN740" s="150"/>
      <c r="AO740" s="469"/>
      <c r="AP740" s="150"/>
      <c r="AQ740" s="150">
        <v>208.33</v>
      </c>
      <c r="AR740" s="151"/>
      <c r="AS740" s="456"/>
      <c r="AT740" s="151"/>
      <c r="AU740" s="150"/>
      <c r="AV740" s="487"/>
      <c r="AW740" s="150"/>
      <c r="AX740" s="150"/>
      <c r="AY740" s="469"/>
      <c r="AZ740" s="150"/>
      <c r="BA740" s="150"/>
      <c r="BB740" s="150"/>
      <c r="BC740" s="469">
        <v>200</v>
      </c>
      <c r="BD740" s="150"/>
      <c r="BE740" s="150"/>
      <c r="BF740" s="469"/>
      <c r="BG740" s="150"/>
      <c r="BH740" s="150"/>
      <c r="BI740" s="150"/>
      <c r="BJ740" s="469"/>
      <c r="BK740" s="152"/>
      <c r="BL740" s="160"/>
      <c r="BM740" s="150"/>
      <c r="BN740" s="150"/>
      <c r="BO740" s="150"/>
      <c r="BP740" s="152"/>
      <c r="BQ740" s="160"/>
      <c r="BR740" s="152"/>
      <c r="BS740" s="160"/>
    </row>
    <row r="741" spans="1:71" x14ac:dyDescent="0.3">
      <c r="A741" s="420">
        <f>DL!A738</f>
        <v>673</v>
      </c>
      <c r="B741" s="19" t="s">
        <v>2067</v>
      </c>
      <c r="C741" s="149">
        <v>60</v>
      </c>
      <c r="D741" s="149">
        <f>DL!C738</f>
        <v>1</v>
      </c>
      <c r="E741" s="150"/>
      <c r="F741" s="463"/>
      <c r="G741" s="150"/>
      <c r="H741" s="150"/>
      <c r="I741" s="469"/>
      <c r="J741" s="150"/>
      <c r="K741" s="168"/>
      <c r="L741" s="469"/>
      <c r="M741" s="150"/>
      <c r="N741" s="469"/>
      <c r="O741" s="150"/>
      <c r="P741" s="150"/>
      <c r="Q741" s="150"/>
      <c r="R741" s="475"/>
      <c r="S741" s="476"/>
      <c r="T741" s="150"/>
      <c r="U741" s="150"/>
      <c r="V741" s="150"/>
      <c r="W741" s="168"/>
      <c r="X741" s="150"/>
      <c r="Y741" s="469"/>
      <c r="Z741" s="455"/>
      <c r="AA741" s="150"/>
      <c r="AB741" s="492"/>
      <c r="AC741" s="150"/>
      <c r="AD741" s="150"/>
      <c r="AE741" s="469"/>
      <c r="AF741" s="499"/>
      <c r="AG741" s="150"/>
      <c r="AH741" s="150"/>
      <c r="AI741" s="150"/>
      <c r="AJ741" s="150"/>
      <c r="AK741" s="150"/>
      <c r="AL741" s="150"/>
      <c r="AM741" s="150"/>
      <c r="AN741" s="150"/>
      <c r="AO741" s="469"/>
      <c r="AP741" s="150"/>
      <c r="AQ741" s="150">
        <v>2662.5</v>
      </c>
      <c r="AR741" s="151"/>
      <c r="AS741" s="456"/>
      <c r="AT741" s="151"/>
      <c r="AU741" s="150"/>
      <c r="AV741" s="487"/>
      <c r="AW741" s="150"/>
      <c r="AX741" s="150"/>
      <c r="AY741" s="469"/>
      <c r="AZ741" s="150"/>
      <c r="BA741" s="150"/>
      <c r="BB741" s="150"/>
      <c r="BC741" s="469">
        <v>2500</v>
      </c>
      <c r="BD741" s="150"/>
      <c r="BE741" s="150"/>
      <c r="BF741" s="469"/>
      <c r="BG741" s="150"/>
      <c r="BH741" s="150"/>
      <c r="BI741" s="150"/>
      <c r="BJ741" s="469"/>
      <c r="BK741" s="152"/>
      <c r="BL741" s="160"/>
      <c r="BM741" s="150"/>
      <c r="BN741" s="150"/>
      <c r="BO741" s="150"/>
      <c r="BP741" s="152"/>
      <c r="BQ741" s="160"/>
      <c r="BR741" s="152"/>
      <c r="BS741" s="160"/>
    </row>
    <row r="742" spans="1:71" x14ac:dyDescent="0.3">
      <c r="A742" s="420">
        <f>DL!A739</f>
        <v>674</v>
      </c>
      <c r="B742" s="19" t="s">
        <v>1435</v>
      </c>
      <c r="C742" s="149">
        <v>10</v>
      </c>
      <c r="D742" s="149" t="str">
        <f>DL!C739</f>
        <v>KEG</v>
      </c>
      <c r="E742" s="150"/>
      <c r="F742" s="463"/>
      <c r="G742" s="150"/>
      <c r="H742" s="150"/>
      <c r="I742" s="469"/>
      <c r="J742" s="150"/>
      <c r="K742" s="168"/>
      <c r="L742" s="469"/>
      <c r="M742" s="150"/>
      <c r="N742" s="469"/>
      <c r="O742" s="150"/>
      <c r="P742" s="150"/>
      <c r="Q742" s="150"/>
      <c r="R742" s="475"/>
      <c r="S742" s="476"/>
      <c r="T742" s="150"/>
      <c r="U742" s="150"/>
      <c r="V742" s="150"/>
      <c r="W742" s="168"/>
      <c r="X742" s="150"/>
      <c r="Y742" s="469"/>
      <c r="Z742" s="455"/>
      <c r="AA742" s="150"/>
      <c r="AB742" s="492"/>
      <c r="AC742" s="150"/>
      <c r="AD742" s="150"/>
      <c r="AE742" s="469"/>
      <c r="AF742" s="499"/>
      <c r="AG742" s="150"/>
      <c r="AH742" s="150"/>
      <c r="AI742" s="150"/>
      <c r="AJ742" s="150"/>
      <c r="AK742" s="150"/>
      <c r="AL742" s="150"/>
      <c r="AM742" s="150"/>
      <c r="AN742" s="150"/>
      <c r="AO742" s="469"/>
      <c r="AP742" s="150"/>
      <c r="AQ742" s="150">
        <v>3450</v>
      </c>
      <c r="AR742" s="151"/>
      <c r="AS742" s="456"/>
      <c r="AT742" s="151"/>
      <c r="AU742" s="150"/>
      <c r="AV742" s="487"/>
      <c r="AW742" s="150"/>
      <c r="AX742" s="150"/>
      <c r="AY742" s="469"/>
      <c r="AZ742" s="150"/>
      <c r="BA742" s="150"/>
      <c r="BB742" s="150"/>
      <c r="BC742" s="469"/>
      <c r="BD742" s="150"/>
      <c r="BE742" s="150"/>
      <c r="BF742" s="469"/>
      <c r="BG742" s="150"/>
      <c r="BH742" s="150"/>
      <c r="BI742" s="150"/>
      <c r="BJ742" s="469"/>
      <c r="BK742" s="152"/>
      <c r="BL742" s="160"/>
      <c r="BM742" s="150"/>
      <c r="BN742" s="150"/>
      <c r="BO742" s="150"/>
      <c r="BP742" s="152"/>
      <c r="BQ742" s="160"/>
      <c r="BR742" s="152"/>
      <c r="BS742" s="160"/>
    </row>
    <row r="743" spans="1:71" x14ac:dyDescent="0.3">
      <c r="A743" s="420">
        <f>DL!A740</f>
        <v>675</v>
      </c>
      <c r="B743" s="19" t="s">
        <v>386</v>
      </c>
      <c r="C743" s="149">
        <f>DL!L740</f>
        <v>1000</v>
      </c>
      <c r="D743" s="149" t="str">
        <f>DL!C740</f>
        <v>BOTT</v>
      </c>
      <c r="E743" s="150"/>
      <c r="F743" s="463"/>
      <c r="G743" s="150"/>
      <c r="H743" s="150"/>
      <c r="I743" s="469"/>
      <c r="J743" s="150"/>
      <c r="K743" s="168"/>
      <c r="L743" s="469"/>
      <c r="M743" s="150"/>
      <c r="N743" s="469"/>
      <c r="O743" s="150"/>
      <c r="P743" s="150"/>
      <c r="Q743" s="150"/>
      <c r="R743" s="475"/>
      <c r="S743" s="476"/>
      <c r="T743" s="150"/>
      <c r="U743" s="150"/>
      <c r="V743" s="150"/>
      <c r="W743" s="168"/>
      <c r="X743" s="150"/>
      <c r="Y743" s="469"/>
      <c r="Z743" s="455"/>
      <c r="AA743" s="150"/>
      <c r="AB743" s="492"/>
      <c r="AC743" s="150"/>
      <c r="AD743" s="150"/>
      <c r="AE743" s="469"/>
      <c r="AF743" s="499"/>
      <c r="AG743" s="150"/>
      <c r="AH743" s="150"/>
      <c r="AI743" s="150"/>
      <c r="AJ743" s="150"/>
      <c r="AK743" s="150"/>
      <c r="AL743" s="150"/>
      <c r="AM743" s="150"/>
      <c r="AN743" s="150"/>
      <c r="AO743" s="469"/>
      <c r="AP743" s="150"/>
      <c r="AQ743" s="150"/>
      <c r="AR743" s="151"/>
      <c r="AS743" s="456"/>
      <c r="AT743" s="151"/>
      <c r="AU743" s="150"/>
      <c r="AV743" s="487"/>
      <c r="AW743" s="150"/>
      <c r="AX743" s="150"/>
      <c r="AY743" s="469"/>
      <c r="AZ743" s="150"/>
      <c r="BA743" s="150"/>
      <c r="BB743" s="150"/>
      <c r="BC743" s="469"/>
      <c r="BD743" s="150"/>
      <c r="BE743" s="150"/>
      <c r="BF743" s="469">
        <v>123.59</v>
      </c>
      <c r="BG743" s="150"/>
      <c r="BH743" s="150"/>
      <c r="BI743" s="150"/>
      <c r="BJ743" s="469"/>
      <c r="BK743" s="152"/>
      <c r="BL743" s="160"/>
      <c r="BM743" s="150"/>
      <c r="BN743" s="150"/>
      <c r="BO743" s="150"/>
      <c r="BP743" s="152"/>
      <c r="BQ743" s="160"/>
      <c r="BR743" s="152"/>
      <c r="BS743" s="160"/>
    </row>
    <row r="744" spans="1:71" x14ac:dyDescent="0.3">
      <c r="A744" s="420">
        <f>DL!A741</f>
        <v>676</v>
      </c>
      <c r="B744" s="19" t="s">
        <v>1428</v>
      </c>
      <c r="C744" s="149">
        <f>DL!L741</f>
        <v>200</v>
      </c>
      <c r="D744" s="149">
        <f>DL!C741</f>
        <v>0</v>
      </c>
      <c r="E744" s="150"/>
      <c r="F744" s="463"/>
      <c r="G744" s="150"/>
      <c r="H744" s="150"/>
      <c r="I744" s="469"/>
      <c r="J744" s="150"/>
      <c r="K744" s="168"/>
      <c r="L744" s="469"/>
      <c r="M744" s="150"/>
      <c r="N744" s="469">
        <v>9945</v>
      </c>
      <c r="O744" s="150"/>
      <c r="P744" s="150"/>
      <c r="Q744" s="150"/>
      <c r="R744" s="475"/>
      <c r="S744" s="476"/>
      <c r="T744" s="150"/>
      <c r="U744" s="150"/>
      <c r="V744" s="150"/>
      <c r="W744" s="168"/>
      <c r="X744" s="150"/>
      <c r="Y744" s="469"/>
      <c r="Z744" s="455"/>
      <c r="AA744" s="150"/>
      <c r="AB744" s="492"/>
      <c r="AC744" s="150"/>
      <c r="AD744" s="150"/>
      <c r="AE744" s="469"/>
      <c r="AF744" s="499"/>
      <c r="AG744" s="150"/>
      <c r="AH744" s="150"/>
      <c r="AI744" s="150"/>
      <c r="AJ744" s="150"/>
      <c r="AK744" s="150"/>
      <c r="AL744" s="150"/>
      <c r="AM744" s="150"/>
      <c r="AN744" s="150"/>
      <c r="AO744" s="469"/>
      <c r="AP744" s="150"/>
      <c r="AQ744" s="150"/>
      <c r="AR744" s="151"/>
      <c r="AS744" s="456"/>
      <c r="AT744" s="151"/>
      <c r="AU744" s="150"/>
      <c r="AV744" s="487"/>
      <c r="AW744" s="150"/>
      <c r="AX744" s="150"/>
      <c r="AY744" s="469"/>
      <c r="AZ744" s="150"/>
      <c r="BA744" s="150"/>
      <c r="BB744" s="150"/>
      <c r="BC744" s="469"/>
      <c r="BD744" s="150"/>
      <c r="BE744" s="150"/>
      <c r="BF744" s="469"/>
      <c r="BG744" s="150"/>
      <c r="BH744" s="150"/>
      <c r="BI744" s="150"/>
      <c r="BJ744" s="469"/>
      <c r="BK744" s="152"/>
      <c r="BL744" s="160"/>
      <c r="BM744" s="150"/>
      <c r="BN744" s="150"/>
      <c r="BO744" s="150"/>
      <c r="BP744" s="152"/>
      <c r="BQ744" s="160"/>
      <c r="BR744" s="152"/>
      <c r="BS744" s="160"/>
    </row>
    <row r="745" spans="1:71" x14ac:dyDescent="0.3">
      <c r="A745" s="420">
        <f>DL!A742</f>
        <v>677</v>
      </c>
      <c r="B745" s="19" t="s">
        <v>1434</v>
      </c>
      <c r="C745" s="149">
        <f>DL!L742</f>
        <v>5</v>
      </c>
      <c r="D745" s="149" t="str">
        <f>DL!C742</f>
        <v>KEG</v>
      </c>
      <c r="E745" s="150"/>
      <c r="F745" s="463"/>
      <c r="G745" s="150"/>
      <c r="H745" s="150"/>
      <c r="I745" s="469"/>
      <c r="J745" s="150"/>
      <c r="K745" s="168"/>
      <c r="L745" s="469"/>
      <c r="M745" s="150"/>
      <c r="N745" s="469"/>
      <c r="O745" s="150"/>
      <c r="P745" s="150"/>
      <c r="Q745" s="150"/>
      <c r="R745" s="475"/>
      <c r="S745" s="476"/>
      <c r="T745" s="150"/>
      <c r="U745" s="150"/>
      <c r="V745" s="150"/>
      <c r="W745" s="168"/>
      <c r="X745" s="150"/>
      <c r="Y745" s="469"/>
      <c r="Z745" s="455"/>
      <c r="AA745" s="150"/>
      <c r="AB745" s="492"/>
      <c r="AC745" s="150"/>
      <c r="AD745" s="150"/>
      <c r="AE745" s="469"/>
      <c r="AF745" s="499"/>
      <c r="AG745" s="150"/>
      <c r="AH745" s="150"/>
      <c r="AI745" s="150"/>
      <c r="AJ745" s="150"/>
      <c r="AK745" s="150"/>
      <c r="AL745" s="150"/>
      <c r="AM745" s="150"/>
      <c r="AN745" s="150"/>
      <c r="AO745" s="469"/>
      <c r="AP745" s="150"/>
      <c r="AQ745" s="150">
        <v>5550</v>
      </c>
      <c r="AR745" s="151"/>
      <c r="AS745" s="456"/>
      <c r="AT745" s="151"/>
      <c r="AU745" s="150"/>
      <c r="AV745" s="487"/>
      <c r="AW745" s="150"/>
      <c r="AX745" s="150"/>
      <c r="AY745" s="469"/>
      <c r="AZ745" s="150"/>
      <c r="BA745" s="150"/>
      <c r="BB745" s="150"/>
      <c r="BC745" s="469"/>
      <c r="BD745" s="150"/>
      <c r="BE745" s="150"/>
      <c r="BF745" s="469"/>
      <c r="BG745" s="150"/>
      <c r="BH745" s="150"/>
      <c r="BI745" s="150"/>
      <c r="BJ745" s="469"/>
      <c r="BK745" s="152"/>
      <c r="BL745" s="160"/>
      <c r="BM745" s="150"/>
      <c r="BN745" s="150"/>
      <c r="BO745" s="150"/>
      <c r="BP745" s="152"/>
      <c r="BQ745" s="160"/>
      <c r="BR745" s="152"/>
      <c r="BS745" s="160"/>
    </row>
    <row r="746" spans="1:71" x14ac:dyDescent="0.3">
      <c r="A746" s="420">
        <f>DL!A743</f>
        <v>678</v>
      </c>
      <c r="B746" s="19" t="s">
        <v>497</v>
      </c>
      <c r="C746" s="149">
        <v>20000</v>
      </c>
      <c r="D746" s="149" t="str">
        <f>DL!C743</f>
        <v>BOTT</v>
      </c>
      <c r="E746" s="150"/>
      <c r="F746" s="463"/>
      <c r="G746" s="150"/>
      <c r="H746" s="150"/>
      <c r="I746" s="469"/>
      <c r="J746" s="150"/>
      <c r="K746" s="168"/>
      <c r="L746" s="469">
        <v>100</v>
      </c>
      <c r="M746" s="150"/>
      <c r="N746" s="469"/>
      <c r="O746" s="150"/>
      <c r="P746" s="150"/>
      <c r="Q746" s="150"/>
      <c r="R746" s="475"/>
      <c r="S746" s="476"/>
      <c r="T746" s="150"/>
      <c r="U746" s="150"/>
      <c r="V746" s="150"/>
      <c r="W746" s="168"/>
      <c r="X746" s="150"/>
      <c r="Y746" s="469"/>
      <c r="Z746" s="455"/>
      <c r="AA746" s="150"/>
      <c r="AB746" s="492"/>
      <c r="AC746" s="150"/>
      <c r="AD746" s="150"/>
      <c r="AE746" s="469"/>
      <c r="AF746" s="499"/>
      <c r="AG746" s="150"/>
      <c r="AH746" s="150"/>
      <c r="AI746" s="150"/>
      <c r="AJ746" s="150"/>
      <c r="AK746" s="150"/>
      <c r="AL746" s="150"/>
      <c r="AM746" s="150"/>
      <c r="AN746" s="150"/>
      <c r="AO746" s="469"/>
      <c r="AP746" s="150"/>
      <c r="AQ746" s="150">
        <v>135</v>
      </c>
      <c r="AR746" s="151"/>
      <c r="AS746" s="456"/>
      <c r="AT746" s="151"/>
      <c r="AU746" s="150"/>
      <c r="AV746" s="487"/>
      <c r="AW746" s="150"/>
      <c r="AX746" s="150"/>
      <c r="AY746" s="469"/>
      <c r="AZ746" s="150"/>
      <c r="BA746" s="150"/>
      <c r="BB746" s="150"/>
      <c r="BC746" s="469">
        <v>120</v>
      </c>
      <c r="BD746" s="150"/>
      <c r="BE746" s="150"/>
      <c r="BF746" s="469">
        <v>255.03</v>
      </c>
      <c r="BG746" s="150"/>
      <c r="BH746" s="150"/>
      <c r="BI746" s="150"/>
      <c r="BJ746" s="469"/>
      <c r="BK746" s="152"/>
      <c r="BL746" s="160"/>
      <c r="BM746" s="150"/>
      <c r="BN746" s="150"/>
      <c r="BO746" s="150"/>
      <c r="BP746" s="152"/>
      <c r="BQ746" s="160"/>
      <c r="BR746" s="152"/>
      <c r="BS746" s="160"/>
    </row>
    <row r="747" spans="1:71" x14ac:dyDescent="0.3">
      <c r="A747" s="420">
        <f>DL!A744</f>
        <v>679</v>
      </c>
      <c r="B747" s="19" t="s">
        <v>498</v>
      </c>
      <c r="C747" s="149">
        <v>440</v>
      </c>
      <c r="D747" s="149">
        <f>DL!C744</f>
        <v>1</v>
      </c>
      <c r="E747" s="150"/>
      <c r="F747" s="463"/>
      <c r="G747" s="150"/>
      <c r="H747" s="150"/>
      <c r="I747" s="469"/>
      <c r="J747" s="150"/>
      <c r="K747" s="168"/>
      <c r="L747" s="469">
        <v>750</v>
      </c>
      <c r="M747" s="150"/>
      <c r="N747" s="469"/>
      <c r="O747" s="150"/>
      <c r="P747" s="150"/>
      <c r="Q747" s="150"/>
      <c r="R747" s="475"/>
      <c r="S747" s="476"/>
      <c r="T747" s="150"/>
      <c r="U747" s="150"/>
      <c r="V747" s="150"/>
      <c r="W747" s="168"/>
      <c r="X747" s="150"/>
      <c r="Y747" s="469"/>
      <c r="Z747" s="455"/>
      <c r="AA747" s="150"/>
      <c r="AB747" s="492"/>
      <c r="AC747" s="150"/>
      <c r="AD747" s="150"/>
      <c r="AE747" s="469"/>
      <c r="AF747" s="499"/>
      <c r="AG747" s="150"/>
      <c r="AH747" s="150"/>
      <c r="AI747" s="150"/>
      <c r="AJ747" s="150"/>
      <c r="AK747" s="150"/>
      <c r="AL747" s="150"/>
      <c r="AM747" s="150"/>
      <c r="AN747" s="150"/>
      <c r="AO747" s="469"/>
      <c r="AP747" s="150"/>
      <c r="AQ747" s="150">
        <v>1650</v>
      </c>
      <c r="AR747" s="151"/>
      <c r="AS747" s="456"/>
      <c r="AT747" s="151"/>
      <c r="AU747" s="150"/>
      <c r="AV747" s="487"/>
      <c r="AW747" s="150"/>
      <c r="AX747" s="150"/>
      <c r="AY747" s="469"/>
      <c r="AZ747" s="150"/>
      <c r="BA747" s="150"/>
      <c r="BB747" s="150"/>
      <c r="BC747" s="469">
        <v>1100</v>
      </c>
      <c r="BD747" s="150"/>
      <c r="BE747" s="150"/>
      <c r="BF747" s="469"/>
      <c r="BG747" s="150"/>
      <c r="BH747" s="150"/>
      <c r="BI747" s="150"/>
      <c r="BJ747" s="469"/>
      <c r="BK747" s="152"/>
      <c r="BL747" s="160"/>
      <c r="BM747" s="150"/>
      <c r="BN747" s="150"/>
      <c r="BO747" s="150"/>
      <c r="BP747" s="152"/>
      <c r="BQ747" s="160"/>
      <c r="BR747" s="152"/>
      <c r="BS747" s="160"/>
    </row>
    <row r="748" spans="1:71" x14ac:dyDescent="0.3">
      <c r="A748" s="420">
        <f>DL!A745</f>
        <v>680</v>
      </c>
      <c r="B748" s="19" t="s">
        <v>1429</v>
      </c>
      <c r="C748" s="149">
        <f>DL!L745</f>
        <v>12</v>
      </c>
      <c r="D748" s="149" t="str">
        <f>DL!C745</f>
        <v>KEG</v>
      </c>
      <c r="E748" s="150"/>
      <c r="F748" s="463"/>
      <c r="G748" s="150"/>
      <c r="H748" s="150"/>
      <c r="I748" s="469"/>
      <c r="J748" s="150"/>
      <c r="K748" s="168"/>
      <c r="L748" s="469"/>
      <c r="M748" s="150"/>
      <c r="N748" s="469"/>
      <c r="O748" s="150"/>
      <c r="P748" s="150"/>
      <c r="Q748" s="150"/>
      <c r="R748" s="475"/>
      <c r="S748" s="476"/>
      <c r="T748" s="150"/>
      <c r="U748" s="150"/>
      <c r="V748" s="150"/>
      <c r="W748" s="168"/>
      <c r="X748" s="150"/>
      <c r="Y748" s="469"/>
      <c r="Z748" s="455"/>
      <c r="AA748" s="150"/>
      <c r="AB748" s="492"/>
      <c r="AC748" s="150"/>
      <c r="AD748" s="150"/>
      <c r="AE748" s="469"/>
      <c r="AF748" s="499"/>
      <c r="AG748" s="150"/>
      <c r="AH748" s="150"/>
      <c r="AI748" s="150"/>
      <c r="AJ748" s="150"/>
      <c r="AK748" s="150"/>
      <c r="AL748" s="150"/>
      <c r="AM748" s="150"/>
      <c r="AN748" s="150"/>
      <c r="AO748" s="469"/>
      <c r="AP748" s="150"/>
      <c r="AQ748" s="150">
        <v>5175</v>
      </c>
      <c r="AR748" s="151"/>
      <c r="AS748" s="456"/>
      <c r="AT748" s="151"/>
      <c r="AU748" s="150"/>
      <c r="AV748" s="487"/>
      <c r="AW748" s="150"/>
      <c r="AX748" s="150"/>
      <c r="AY748" s="469"/>
      <c r="AZ748" s="150"/>
      <c r="BA748" s="150"/>
      <c r="BB748" s="150"/>
      <c r="BC748" s="469"/>
      <c r="BD748" s="150"/>
      <c r="BE748" s="150"/>
      <c r="BF748" s="469"/>
      <c r="BG748" s="150"/>
      <c r="BH748" s="150"/>
      <c r="BI748" s="150"/>
      <c r="BJ748" s="469"/>
      <c r="BK748" s="152"/>
      <c r="BL748" s="160"/>
      <c r="BM748" s="150"/>
      <c r="BN748" s="150"/>
      <c r="BO748" s="150"/>
      <c r="BP748" s="152"/>
      <c r="BQ748" s="160"/>
      <c r="BR748" s="152"/>
      <c r="BS748" s="160"/>
    </row>
    <row r="749" spans="1:71" x14ac:dyDescent="0.3">
      <c r="A749" s="420">
        <f>DL!A746</f>
        <v>681</v>
      </c>
      <c r="B749" s="19" t="s">
        <v>1399</v>
      </c>
      <c r="C749" s="149">
        <f>DL!L746</f>
        <v>500</v>
      </c>
      <c r="D749" s="149" t="str">
        <f>DL!C746</f>
        <v>BOTT</v>
      </c>
      <c r="E749" s="150"/>
      <c r="F749" s="463"/>
      <c r="G749" s="150"/>
      <c r="H749" s="150"/>
      <c r="I749" s="469"/>
      <c r="J749" s="150"/>
      <c r="K749" s="168"/>
      <c r="L749" s="469">
        <v>500</v>
      </c>
      <c r="M749" s="150"/>
      <c r="N749" s="469"/>
      <c r="O749" s="150"/>
      <c r="P749" s="150"/>
      <c r="Q749" s="150"/>
      <c r="R749" s="475"/>
      <c r="S749" s="476"/>
      <c r="T749" s="150"/>
      <c r="U749" s="150"/>
      <c r="V749" s="150"/>
      <c r="W749" s="168"/>
      <c r="X749" s="150"/>
      <c r="Y749" s="469"/>
      <c r="Z749" s="455"/>
      <c r="AA749" s="150"/>
      <c r="AB749" s="492"/>
      <c r="AC749" s="150"/>
      <c r="AD749" s="150"/>
      <c r="AE749" s="469">
        <v>225</v>
      </c>
      <c r="AF749" s="499"/>
      <c r="AG749" s="150"/>
      <c r="AH749" s="150"/>
      <c r="AI749" s="150"/>
      <c r="AJ749" s="150"/>
      <c r="AK749" s="150"/>
      <c r="AL749" s="150"/>
      <c r="AM749" s="150"/>
      <c r="AN749" s="150"/>
      <c r="AO749" s="469"/>
      <c r="AP749" s="150"/>
      <c r="AQ749" s="150"/>
      <c r="AR749" s="151"/>
      <c r="AS749" s="456"/>
      <c r="AT749" s="151"/>
      <c r="AU749" s="150"/>
      <c r="AV749" s="487"/>
      <c r="AW749" s="150"/>
      <c r="AX749" s="150"/>
      <c r="AY749" s="469"/>
      <c r="AZ749" s="150"/>
      <c r="BA749" s="150"/>
      <c r="BB749" s="150"/>
      <c r="BC749" s="469"/>
      <c r="BD749" s="150"/>
      <c r="BE749" s="150"/>
      <c r="BF749" s="469"/>
      <c r="BG749" s="150"/>
      <c r="BH749" s="150"/>
      <c r="BI749" s="150"/>
      <c r="BJ749" s="469"/>
      <c r="BK749" s="152"/>
      <c r="BL749" s="160"/>
      <c r="BM749" s="150"/>
      <c r="BN749" s="150"/>
      <c r="BO749" s="150"/>
      <c r="BP749" s="152"/>
      <c r="BQ749" s="160"/>
      <c r="BR749" s="152"/>
      <c r="BS749" s="160"/>
    </row>
    <row r="750" spans="1:71" x14ac:dyDescent="0.3">
      <c r="A750" s="420">
        <f>DL!A747</f>
        <v>682</v>
      </c>
      <c r="B750" s="19" t="s">
        <v>1400</v>
      </c>
      <c r="C750" s="149">
        <f>DL!L747</f>
        <v>200</v>
      </c>
      <c r="D750" s="149" t="str">
        <f>DL!C747</f>
        <v>BOTT</v>
      </c>
      <c r="E750" s="150"/>
      <c r="F750" s="463"/>
      <c r="G750" s="150"/>
      <c r="H750" s="150"/>
      <c r="I750" s="469"/>
      <c r="J750" s="150"/>
      <c r="K750" s="168"/>
      <c r="L750" s="469">
        <v>600</v>
      </c>
      <c r="M750" s="150"/>
      <c r="N750" s="469"/>
      <c r="O750" s="150"/>
      <c r="P750" s="150"/>
      <c r="Q750" s="150"/>
      <c r="R750" s="475"/>
      <c r="S750" s="476"/>
      <c r="T750" s="150"/>
      <c r="U750" s="150"/>
      <c r="V750" s="150"/>
      <c r="W750" s="168"/>
      <c r="X750" s="150"/>
      <c r="Y750" s="469"/>
      <c r="Z750" s="455"/>
      <c r="AA750" s="150"/>
      <c r="AB750" s="492"/>
      <c r="AC750" s="150"/>
      <c r="AD750" s="150"/>
      <c r="AE750" s="469">
        <v>375</v>
      </c>
      <c r="AF750" s="499"/>
      <c r="AG750" s="150"/>
      <c r="AH750" s="150"/>
      <c r="AI750" s="150"/>
      <c r="AJ750" s="150"/>
      <c r="AK750" s="150"/>
      <c r="AL750" s="150"/>
      <c r="AM750" s="150"/>
      <c r="AN750" s="150"/>
      <c r="AO750" s="469"/>
      <c r="AP750" s="150"/>
      <c r="AQ750" s="150"/>
      <c r="AR750" s="151"/>
      <c r="AS750" s="456"/>
      <c r="AT750" s="151"/>
      <c r="AU750" s="150"/>
      <c r="AV750" s="487"/>
      <c r="AW750" s="150"/>
      <c r="AX750" s="150"/>
      <c r="AY750" s="469"/>
      <c r="AZ750" s="150"/>
      <c r="BA750" s="150"/>
      <c r="BB750" s="150"/>
      <c r="BC750" s="469"/>
      <c r="BD750" s="150"/>
      <c r="BE750" s="150"/>
      <c r="BF750" s="469"/>
      <c r="BG750" s="150"/>
      <c r="BH750" s="150"/>
      <c r="BI750" s="150"/>
      <c r="BJ750" s="469"/>
      <c r="BK750" s="152"/>
      <c r="BL750" s="160"/>
      <c r="BM750" s="150"/>
      <c r="BN750" s="150"/>
      <c r="BO750" s="150"/>
      <c r="BP750" s="152"/>
      <c r="BQ750" s="160"/>
      <c r="BR750" s="152"/>
      <c r="BS750" s="160"/>
    </row>
    <row r="751" spans="1:71" x14ac:dyDescent="0.3">
      <c r="A751" s="420">
        <f>DL!A748</f>
        <v>683</v>
      </c>
      <c r="B751" s="19" t="s">
        <v>388</v>
      </c>
      <c r="C751" s="149">
        <v>1000</v>
      </c>
      <c r="D751" s="149">
        <f>DL!C748</f>
        <v>12</v>
      </c>
      <c r="E751" s="150"/>
      <c r="F751" s="463"/>
      <c r="G751" s="150"/>
      <c r="H751" s="150"/>
      <c r="I751" s="469"/>
      <c r="J751" s="150"/>
      <c r="K751" s="168"/>
      <c r="L751" s="469"/>
      <c r="M751" s="150"/>
      <c r="N751" s="469"/>
      <c r="O751" s="150"/>
      <c r="P751" s="150"/>
      <c r="Q751" s="150"/>
      <c r="R751" s="475"/>
      <c r="S751" s="476"/>
      <c r="T751" s="150"/>
      <c r="U751" s="150"/>
      <c r="V751" s="150"/>
      <c r="W751" s="168"/>
      <c r="X751" s="150"/>
      <c r="Y751" s="469"/>
      <c r="Z751" s="455"/>
      <c r="AA751" s="150"/>
      <c r="AB751" s="492"/>
      <c r="AC751" s="150"/>
      <c r="AD751" s="150"/>
      <c r="AE751" s="469"/>
      <c r="AF751" s="499"/>
      <c r="AG751" s="150"/>
      <c r="AH751" s="150"/>
      <c r="AI751" s="150"/>
      <c r="AJ751" s="150"/>
      <c r="AK751" s="150"/>
      <c r="AL751" s="150"/>
      <c r="AM751" s="150"/>
      <c r="AN751" s="150"/>
      <c r="AO751" s="469"/>
      <c r="AP751" s="150"/>
      <c r="AQ751" s="150"/>
      <c r="AR751" s="151"/>
      <c r="AS751" s="456"/>
      <c r="AT751" s="151"/>
      <c r="AU751" s="150"/>
      <c r="AV751" s="487"/>
      <c r="AW751" s="150"/>
      <c r="AX751" s="150"/>
      <c r="AY751" s="469"/>
      <c r="AZ751" s="150"/>
      <c r="BA751" s="150"/>
      <c r="BB751" s="150"/>
      <c r="BC751" s="469">
        <v>4500</v>
      </c>
      <c r="BD751" s="150"/>
      <c r="BE751" s="150"/>
      <c r="BF751" s="469"/>
      <c r="BG751" s="150"/>
      <c r="BH751" s="150"/>
      <c r="BI751" s="150"/>
      <c r="BJ751" s="469"/>
      <c r="BK751" s="152"/>
      <c r="BL751" s="160"/>
      <c r="BM751" s="150"/>
      <c r="BN751" s="150"/>
      <c r="BO751" s="150"/>
      <c r="BP751" s="152"/>
      <c r="BQ751" s="160"/>
      <c r="BR751" s="152"/>
      <c r="BS751" s="160"/>
    </row>
    <row r="752" spans="1:71" x14ac:dyDescent="0.3">
      <c r="A752" s="420"/>
      <c r="B752" s="19"/>
      <c r="C752" s="149">
        <f>DL!L749</f>
        <v>0</v>
      </c>
      <c r="D752" s="149">
        <f>DL!C749</f>
        <v>0</v>
      </c>
      <c r="E752" s="150"/>
      <c r="F752" s="463"/>
      <c r="G752" s="150"/>
      <c r="H752" s="150"/>
      <c r="I752" s="469"/>
      <c r="J752" s="150"/>
      <c r="K752" s="168"/>
      <c r="L752" s="469"/>
      <c r="M752" s="150"/>
      <c r="N752" s="469"/>
      <c r="O752" s="150"/>
      <c r="P752" s="150"/>
      <c r="Q752" s="150"/>
      <c r="R752" s="475"/>
      <c r="S752" s="476"/>
      <c r="T752" s="150"/>
      <c r="U752" s="150"/>
      <c r="V752" s="150"/>
      <c r="W752" s="168"/>
      <c r="X752" s="150"/>
      <c r="Y752" s="469"/>
      <c r="Z752" s="455"/>
      <c r="AA752" s="150"/>
      <c r="AB752" s="492"/>
      <c r="AC752" s="150"/>
      <c r="AD752" s="150"/>
      <c r="AE752" s="469"/>
      <c r="AF752" s="499"/>
      <c r="AG752" s="150"/>
      <c r="AH752" s="150"/>
      <c r="AI752" s="150"/>
      <c r="AJ752" s="150"/>
      <c r="AK752" s="150"/>
      <c r="AL752" s="150"/>
      <c r="AM752" s="150"/>
      <c r="AN752" s="150"/>
      <c r="AO752" s="469"/>
      <c r="AP752" s="150"/>
      <c r="AQ752" s="150"/>
      <c r="AR752" s="151"/>
      <c r="AS752" s="456"/>
      <c r="AT752" s="151"/>
      <c r="AU752" s="150"/>
      <c r="AV752" s="487"/>
      <c r="AW752" s="150"/>
      <c r="AX752" s="150"/>
      <c r="AY752" s="469"/>
      <c r="AZ752" s="150"/>
      <c r="BA752" s="150"/>
      <c r="BB752" s="150"/>
      <c r="BC752" s="469"/>
      <c r="BD752" s="150"/>
      <c r="BE752" s="150"/>
      <c r="BF752" s="469"/>
      <c r="BG752" s="150"/>
      <c r="BH752" s="150"/>
      <c r="BI752" s="150"/>
      <c r="BJ752" s="469"/>
      <c r="BK752" s="152"/>
      <c r="BL752" s="160"/>
      <c r="BM752" s="150"/>
      <c r="BN752" s="150"/>
      <c r="BO752" s="150"/>
      <c r="BP752" s="152"/>
      <c r="BQ752" s="160"/>
      <c r="BR752" s="152"/>
      <c r="BS752" s="160"/>
    </row>
    <row r="753" spans="1:71" x14ac:dyDescent="0.3">
      <c r="A753" s="420"/>
      <c r="B753" s="19" t="s">
        <v>389</v>
      </c>
      <c r="C753" s="149">
        <f>DL!L750</f>
        <v>0</v>
      </c>
      <c r="D753" s="149">
        <f>DL!C750</f>
        <v>0</v>
      </c>
      <c r="E753" s="150"/>
      <c r="F753" s="463"/>
      <c r="G753" s="150"/>
      <c r="H753" s="150"/>
      <c r="I753" s="469"/>
      <c r="J753" s="150"/>
      <c r="K753" s="168"/>
      <c r="L753" s="469"/>
      <c r="M753" s="150"/>
      <c r="N753" s="469"/>
      <c r="O753" s="150"/>
      <c r="P753" s="150"/>
      <c r="Q753" s="150"/>
      <c r="R753" s="472"/>
      <c r="S753" s="476"/>
      <c r="T753" s="150"/>
      <c r="U753" s="150"/>
      <c r="V753" s="150"/>
      <c r="W753" s="168"/>
      <c r="X753" s="150"/>
      <c r="Y753" s="469"/>
      <c r="Z753" s="455"/>
      <c r="AA753" s="150"/>
      <c r="AB753" s="492"/>
      <c r="AC753" s="150"/>
      <c r="AD753" s="150"/>
      <c r="AE753" s="469"/>
      <c r="AF753" s="499"/>
      <c r="AG753" s="150"/>
      <c r="AH753" s="150"/>
      <c r="AI753" s="150"/>
      <c r="AJ753" s="150"/>
      <c r="AK753" s="150"/>
      <c r="AL753" s="150"/>
      <c r="AM753" s="150"/>
      <c r="AN753" s="150"/>
      <c r="AO753" s="469"/>
      <c r="AP753" s="150"/>
      <c r="AQ753" s="150"/>
      <c r="AR753" s="151"/>
      <c r="AS753" s="456"/>
      <c r="AT753" s="151"/>
      <c r="AU753" s="150"/>
      <c r="AV753" s="487"/>
      <c r="AW753" s="150"/>
      <c r="AX753" s="150"/>
      <c r="AY753" s="469"/>
      <c r="AZ753" s="150"/>
      <c r="BA753" s="150"/>
      <c r="BB753" s="150"/>
      <c r="BC753" s="469"/>
      <c r="BD753" s="150"/>
      <c r="BE753" s="150"/>
      <c r="BF753" s="469"/>
      <c r="BG753" s="150"/>
      <c r="BH753" s="150"/>
      <c r="BI753" s="150"/>
      <c r="BJ753" s="469"/>
      <c r="BK753" s="152"/>
      <c r="BL753" s="160"/>
      <c r="BM753" s="150"/>
      <c r="BN753" s="150"/>
      <c r="BO753" s="150"/>
      <c r="BP753" s="152"/>
      <c r="BQ753" s="160"/>
      <c r="BR753" s="152"/>
      <c r="BS753" s="160"/>
    </row>
    <row r="754" spans="1:71" x14ac:dyDescent="0.3">
      <c r="A754" s="420">
        <f>DL!A751</f>
        <v>684</v>
      </c>
      <c r="B754" s="19" t="s">
        <v>678</v>
      </c>
      <c r="C754" s="149">
        <f>DL!L751</f>
        <v>10</v>
      </c>
      <c r="D754" s="149">
        <f>DL!C751</f>
        <v>2</v>
      </c>
      <c r="E754" s="150"/>
      <c r="F754" s="463"/>
      <c r="G754" s="150"/>
      <c r="H754" s="150"/>
      <c r="I754" s="469"/>
      <c r="J754" s="150"/>
      <c r="K754" s="168"/>
      <c r="L754" s="469"/>
      <c r="M754" s="150"/>
      <c r="N754" s="469"/>
      <c r="O754" s="150"/>
      <c r="P754" s="150"/>
      <c r="Q754" s="150"/>
      <c r="R754" s="475"/>
      <c r="S754" s="476">
        <v>780</v>
      </c>
      <c r="T754" s="150"/>
      <c r="U754" s="150"/>
      <c r="V754" s="150"/>
      <c r="W754" s="168"/>
      <c r="X754" s="150"/>
      <c r="Y754" s="469"/>
      <c r="Z754" s="455"/>
      <c r="AA754" s="150"/>
      <c r="AB754" s="492"/>
      <c r="AC754" s="150"/>
      <c r="AD754" s="150"/>
      <c r="AE754" s="469"/>
      <c r="AF754" s="499"/>
      <c r="AG754" s="150"/>
      <c r="AH754" s="150"/>
      <c r="AI754" s="150"/>
      <c r="AJ754" s="150"/>
      <c r="AK754" s="150"/>
      <c r="AL754" s="150"/>
      <c r="AM754" s="150"/>
      <c r="AN754" s="150"/>
      <c r="AO754" s="469"/>
      <c r="AP754" s="150"/>
      <c r="AQ754" s="150"/>
      <c r="AR754" s="151"/>
      <c r="AS754" s="456"/>
      <c r="AT754" s="151"/>
      <c r="AU754" s="150"/>
      <c r="AV754" s="487"/>
      <c r="AW754" s="150"/>
      <c r="AX754" s="150"/>
      <c r="AY754" s="469"/>
      <c r="AZ754" s="150"/>
      <c r="BA754" s="150"/>
      <c r="BB754" s="150"/>
      <c r="BC754" s="469"/>
      <c r="BD754" s="150"/>
      <c r="BE754" s="150"/>
      <c r="BF754" s="469"/>
      <c r="BG754" s="150"/>
      <c r="BH754" s="150"/>
      <c r="BI754" s="150"/>
      <c r="BJ754" s="469"/>
      <c r="BK754" s="152"/>
      <c r="BL754" s="160"/>
      <c r="BM754" s="150"/>
      <c r="BN754" s="150"/>
      <c r="BO754" s="150"/>
      <c r="BP754" s="152"/>
      <c r="BQ754" s="160"/>
      <c r="BR754" s="152"/>
      <c r="BS754" s="160"/>
    </row>
    <row r="755" spans="1:71" x14ac:dyDescent="0.3">
      <c r="A755" s="420">
        <f>DL!A752</f>
        <v>685</v>
      </c>
      <c r="B755" s="19" t="s">
        <v>392</v>
      </c>
      <c r="C755" s="149">
        <f>DL!L752</f>
        <v>12</v>
      </c>
      <c r="D755" s="149">
        <f>DL!C752</f>
        <v>12</v>
      </c>
      <c r="E755" s="150"/>
      <c r="F755" s="463"/>
      <c r="G755" s="150"/>
      <c r="H755" s="150"/>
      <c r="I755" s="469"/>
      <c r="J755" s="150"/>
      <c r="K755" s="168"/>
      <c r="L755" s="469"/>
      <c r="M755" s="150"/>
      <c r="N755" s="469"/>
      <c r="O755" s="150"/>
      <c r="P755" s="150"/>
      <c r="Q755" s="150"/>
      <c r="R755" s="475"/>
      <c r="S755" s="476">
        <v>1600</v>
      </c>
      <c r="T755" s="150"/>
      <c r="U755" s="150"/>
      <c r="V755" s="150"/>
      <c r="W755" s="168"/>
      <c r="X755" s="150"/>
      <c r="Y755" s="469"/>
      <c r="Z755" s="455"/>
      <c r="AA755" s="150"/>
      <c r="AB755" s="492"/>
      <c r="AC755" s="150"/>
      <c r="AD755" s="150"/>
      <c r="AE755" s="469"/>
      <c r="AF755" s="499"/>
      <c r="AG755" s="150"/>
      <c r="AH755" s="150"/>
      <c r="AI755" s="150"/>
      <c r="AJ755" s="150"/>
      <c r="AK755" s="150"/>
      <c r="AL755" s="150"/>
      <c r="AM755" s="150"/>
      <c r="AN755" s="150"/>
      <c r="AO755" s="469"/>
      <c r="AP755" s="150"/>
      <c r="AQ755" s="150"/>
      <c r="AR755" s="151"/>
      <c r="AS755" s="456"/>
      <c r="AT755" s="151"/>
      <c r="AU755" s="150"/>
      <c r="AV755" s="487"/>
      <c r="AW755" s="150"/>
      <c r="AX755" s="150"/>
      <c r="AY755" s="469"/>
      <c r="AZ755" s="150"/>
      <c r="BA755" s="150"/>
      <c r="BB755" s="150"/>
      <c r="BC755" s="150"/>
      <c r="BD755" s="150"/>
      <c r="BE755" s="150"/>
      <c r="BF755" s="469">
        <f>12*188.75</f>
        <v>2265</v>
      </c>
      <c r="BG755" s="150"/>
      <c r="BH755" s="150"/>
      <c r="BI755" s="150"/>
      <c r="BJ755" s="469"/>
      <c r="BK755" s="152"/>
      <c r="BL755" s="160"/>
      <c r="BM755" s="150"/>
      <c r="BN755" s="150"/>
      <c r="BO755" s="150"/>
      <c r="BP755" s="152"/>
      <c r="BQ755" s="160"/>
      <c r="BR755" s="152"/>
      <c r="BS755" s="160"/>
    </row>
    <row r="756" spans="1:71" x14ac:dyDescent="0.3">
      <c r="A756" s="420">
        <f>DL!A753</f>
        <v>686</v>
      </c>
      <c r="B756" s="19" t="s">
        <v>393</v>
      </c>
      <c r="C756" s="149">
        <f>DL!L753</f>
        <v>160</v>
      </c>
      <c r="D756" s="149">
        <f>DL!C753</f>
        <v>10</v>
      </c>
      <c r="E756" s="150">
        <v>7000</v>
      </c>
      <c r="F756" s="463"/>
      <c r="G756" s="150"/>
      <c r="H756" s="150"/>
      <c r="I756" s="469"/>
      <c r="J756" s="150"/>
      <c r="K756" s="168"/>
      <c r="L756" s="469"/>
      <c r="M756" s="150"/>
      <c r="N756" s="469"/>
      <c r="O756" s="150"/>
      <c r="P756" s="150"/>
      <c r="Q756" s="150"/>
      <c r="R756" s="475"/>
      <c r="S756" s="476">
        <v>400</v>
      </c>
      <c r="T756" s="150"/>
      <c r="U756" s="150"/>
      <c r="V756" s="150"/>
      <c r="W756" s="168"/>
      <c r="X756" s="150"/>
      <c r="Y756" s="469"/>
      <c r="Z756" s="455"/>
      <c r="AA756" s="150"/>
      <c r="AB756" s="492"/>
      <c r="AC756" s="150"/>
      <c r="AD756" s="150"/>
      <c r="AE756" s="469"/>
      <c r="AF756" s="499"/>
      <c r="AG756" s="150"/>
      <c r="AH756" s="150"/>
      <c r="AI756" s="150"/>
      <c r="AJ756" s="150"/>
      <c r="AK756" s="150"/>
      <c r="AL756" s="150"/>
      <c r="AM756" s="150"/>
      <c r="AN756" s="150"/>
      <c r="AO756" s="469"/>
      <c r="AP756" s="150"/>
      <c r="AQ756" s="150"/>
      <c r="AR756" s="151"/>
      <c r="AS756" s="456"/>
      <c r="AT756" s="151"/>
      <c r="AU756" s="150"/>
      <c r="AV756" s="487"/>
      <c r="AW756" s="150"/>
      <c r="AX756" s="150"/>
      <c r="AY756" s="469"/>
      <c r="AZ756" s="150"/>
      <c r="BA756" s="150"/>
      <c r="BB756" s="150"/>
      <c r="BC756" s="150"/>
      <c r="BD756" s="150"/>
      <c r="BE756" s="150"/>
      <c r="BF756" s="469"/>
      <c r="BG756" s="150"/>
      <c r="BH756" s="150"/>
      <c r="BI756" s="150"/>
      <c r="BJ756" s="469"/>
      <c r="BK756" s="152"/>
      <c r="BL756" s="160"/>
      <c r="BM756" s="150"/>
      <c r="BN756" s="150"/>
      <c r="BO756" s="150"/>
      <c r="BP756" s="152"/>
      <c r="BQ756" s="160"/>
      <c r="BR756" s="152"/>
      <c r="BS756" s="160"/>
    </row>
    <row r="757" spans="1:71" x14ac:dyDescent="0.3">
      <c r="A757" s="420">
        <f>DL!A754</f>
        <v>687</v>
      </c>
      <c r="B757" s="19" t="s">
        <v>763</v>
      </c>
      <c r="C757" s="149">
        <f>DL!L754</f>
        <v>256</v>
      </c>
      <c r="D757" s="149">
        <f>DL!C754</f>
        <v>100</v>
      </c>
      <c r="E757" s="150"/>
      <c r="F757" s="463"/>
      <c r="G757" s="150"/>
      <c r="H757" s="150"/>
      <c r="I757" s="469"/>
      <c r="J757" s="150"/>
      <c r="K757" s="168"/>
      <c r="L757" s="469"/>
      <c r="M757" s="150"/>
      <c r="N757" s="469"/>
      <c r="O757" s="150"/>
      <c r="P757" s="150"/>
      <c r="Q757" s="150"/>
      <c r="R757" s="475"/>
      <c r="S757" s="476"/>
      <c r="T757" s="150"/>
      <c r="U757" s="150"/>
      <c r="V757" s="150"/>
      <c r="W757" s="168"/>
      <c r="X757" s="150"/>
      <c r="Y757" s="469"/>
      <c r="Z757" s="455"/>
      <c r="AA757" s="150"/>
      <c r="AB757" s="492"/>
      <c r="AC757" s="150"/>
      <c r="AD757" s="150"/>
      <c r="AE757" s="469"/>
      <c r="AF757" s="499"/>
      <c r="AG757" s="150"/>
      <c r="AH757" s="150"/>
      <c r="AI757" s="150"/>
      <c r="AJ757" s="150"/>
      <c r="AK757" s="150"/>
      <c r="AL757" s="150"/>
      <c r="AM757" s="150"/>
      <c r="AN757" s="150"/>
      <c r="AO757" s="469"/>
      <c r="AP757" s="150"/>
      <c r="AQ757" s="150"/>
      <c r="AR757" s="151"/>
      <c r="AS757" s="456"/>
      <c r="AT757" s="151"/>
      <c r="AU757" s="150"/>
      <c r="AV757" s="487"/>
      <c r="AW757" s="150"/>
      <c r="AX757" s="150"/>
      <c r="AY757" s="469"/>
      <c r="AZ757" s="150"/>
      <c r="BA757" s="150"/>
      <c r="BB757" s="150"/>
      <c r="BC757" s="150"/>
      <c r="BD757" s="150"/>
      <c r="BE757" s="150"/>
      <c r="BF757" s="469"/>
      <c r="BG757" s="150"/>
      <c r="BH757" s="150"/>
      <c r="BI757" s="150"/>
      <c r="BJ757" s="469"/>
      <c r="BK757" s="152"/>
      <c r="BL757" s="160"/>
      <c r="BM757" s="150"/>
      <c r="BN757" s="150"/>
      <c r="BO757" s="150"/>
      <c r="BP757" s="152"/>
      <c r="BQ757" s="160"/>
      <c r="BR757" s="152"/>
      <c r="BS757" s="160"/>
    </row>
    <row r="758" spans="1:71" x14ac:dyDescent="0.3">
      <c r="A758" s="420">
        <f>DL!A755</f>
        <v>688</v>
      </c>
      <c r="B758" s="19" t="s">
        <v>394</v>
      </c>
      <c r="C758" s="149">
        <f>DL!L755</f>
        <v>52</v>
      </c>
      <c r="D758" s="149" t="str">
        <f>DL!C755</f>
        <v>TUBE</v>
      </c>
      <c r="E758" s="150"/>
      <c r="F758" s="463"/>
      <c r="G758" s="150"/>
      <c r="H758" s="150"/>
      <c r="I758" s="469"/>
      <c r="J758" s="150"/>
      <c r="K758" s="168"/>
      <c r="L758" s="469"/>
      <c r="M758" s="150"/>
      <c r="N758" s="469"/>
      <c r="O758" s="150"/>
      <c r="P758" s="150">
        <v>168</v>
      </c>
      <c r="Q758" s="150"/>
      <c r="R758" s="473">
        <v>120</v>
      </c>
      <c r="S758" s="476">
        <v>200</v>
      </c>
      <c r="T758" s="150"/>
      <c r="U758" s="150"/>
      <c r="V758" s="150"/>
      <c r="W758" s="168"/>
      <c r="X758" s="150"/>
      <c r="Y758" s="469"/>
      <c r="Z758" s="455"/>
      <c r="AA758" s="150"/>
      <c r="AB758" s="492"/>
      <c r="AC758" s="150"/>
      <c r="AD758" s="150"/>
      <c r="AE758" s="469">
        <v>150</v>
      </c>
      <c r="AF758" s="499"/>
      <c r="AG758" s="150"/>
      <c r="AH758" s="150"/>
      <c r="AI758" s="150"/>
      <c r="AJ758" s="150"/>
      <c r="AK758" s="150"/>
      <c r="AL758" s="150"/>
      <c r="AM758" s="150"/>
      <c r="AN758" s="150"/>
      <c r="AO758" s="469"/>
      <c r="AP758" s="150"/>
      <c r="AQ758" s="150"/>
      <c r="AR758" s="151"/>
      <c r="AS758" s="456"/>
      <c r="AT758" s="151"/>
      <c r="AU758" s="150"/>
      <c r="AV758" s="487"/>
      <c r="AW758" s="150"/>
      <c r="AX758" s="150"/>
      <c r="AY758" s="469"/>
      <c r="AZ758" s="150"/>
      <c r="BA758" s="150"/>
      <c r="BB758" s="150"/>
      <c r="BC758" s="150"/>
      <c r="BD758" s="150"/>
      <c r="BE758" s="150"/>
      <c r="BF758" s="150"/>
      <c r="BG758" s="150"/>
      <c r="BH758" s="150"/>
      <c r="BI758" s="150"/>
      <c r="BJ758" s="469"/>
      <c r="BK758" s="152"/>
      <c r="BL758" s="160"/>
      <c r="BM758" s="150"/>
      <c r="BN758" s="150"/>
      <c r="BO758" s="150"/>
      <c r="BP758" s="152"/>
      <c r="BQ758" s="160"/>
      <c r="BR758" s="152"/>
      <c r="BS758" s="160"/>
    </row>
    <row r="759" spans="1:71" x14ac:dyDescent="0.3">
      <c r="A759" s="420">
        <f>DL!A756</f>
        <v>689</v>
      </c>
      <c r="B759" s="19" t="s">
        <v>395</v>
      </c>
      <c r="C759" s="149">
        <f>DL!L756</f>
        <v>20</v>
      </c>
      <c r="D759" s="149" t="str">
        <f>DL!C756</f>
        <v>TUBE</v>
      </c>
      <c r="E759" s="150"/>
      <c r="F759" s="463"/>
      <c r="G759" s="150"/>
      <c r="H759" s="150"/>
      <c r="I759" s="469"/>
      <c r="J759" s="150"/>
      <c r="K759" s="168"/>
      <c r="L759" s="469"/>
      <c r="M759" s="150"/>
      <c r="N759" s="469"/>
      <c r="O759" s="150"/>
      <c r="P759" s="150"/>
      <c r="Q759" s="150"/>
      <c r="R759" s="150"/>
      <c r="S759" s="476"/>
      <c r="T759" s="150"/>
      <c r="U759" s="150"/>
      <c r="V759" s="150"/>
      <c r="W759" s="168"/>
      <c r="X759" s="150"/>
      <c r="Y759" s="469"/>
      <c r="Z759" s="455"/>
      <c r="AA759" s="150"/>
      <c r="AB759" s="492"/>
      <c r="AC759" s="150"/>
      <c r="AD759" s="150"/>
      <c r="AE759" s="469"/>
      <c r="AF759" s="499"/>
      <c r="AG759" s="150"/>
      <c r="AH759" s="150"/>
      <c r="AI759" s="150"/>
      <c r="AJ759" s="150"/>
      <c r="AK759" s="150"/>
      <c r="AL759" s="150"/>
      <c r="AM759" s="150"/>
      <c r="AN759" s="150"/>
      <c r="AO759" s="469"/>
      <c r="AP759" s="150"/>
      <c r="AQ759" s="150"/>
      <c r="AR759" s="151"/>
      <c r="AS759" s="456"/>
      <c r="AT759" s="151"/>
      <c r="AU759" s="150"/>
      <c r="AV759" s="487"/>
      <c r="AW759" s="150"/>
      <c r="AX759" s="150"/>
      <c r="AY759" s="469"/>
      <c r="AZ759" s="150"/>
      <c r="BA759" s="150"/>
      <c r="BB759" s="150"/>
      <c r="BC759" s="150"/>
      <c r="BD759" s="150"/>
      <c r="BE759" s="150"/>
      <c r="BF759" s="150"/>
      <c r="BG759" s="150"/>
      <c r="BH759" s="150"/>
      <c r="BI759" s="150"/>
      <c r="BJ759" s="469"/>
      <c r="BK759" s="152"/>
      <c r="BL759" s="160"/>
      <c r="BM759" s="150"/>
      <c r="BN759" s="150"/>
      <c r="BO759" s="150"/>
      <c r="BP759" s="152"/>
      <c r="BQ759" s="160"/>
      <c r="BR759" s="152"/>
      <c r="BS759" s="160"/>
    </row>
    <row r="760" spans="1:71" x14ac:dyDescent="0.3">
      <c r="A760" s="420">
        <f>DL!A757</f>
        <v>690</v>
      </c>
      <c r="B760" s="19" t="s">
        <v>397</v>
      </c>
      <c r="C760" s="149">
        <f>DL!L757</f>
        <v>20</v>
      </c>
      <c r="D760" s="149" t="str">
        <f>DL!C757</f>
        <v>200ML</v>
      </c>
      <c r="E760" s="150"/>
      <c r="F760" s="463"/>
      <c r="G760" s="150"/>
      <c r="H760" s="150"/>
      <c r="I760" s="469"/>
      <c r="J760" s="150"/>
      <c r="K760" s="168"/>
      <c r="L760" s="469"/>
      <c r="M760" s="150"/>
      <c r="N760" s="150"/>
      <c r="O760" s="150"/>
      <c r="P760" s="150"/>
      <c r="Q760" s="150"/>
      <c r="R760" s="150"/>
      <c r="S760" s="476">
        <v>1200</v>
      </c>
      <c r="T760" s="150"/>
      <c r="U760" s="150"/>
      <c r="V760" s="150"/>
      <c r="W760" s="168"/>
      <c r="X760" s="150"/>
      <c r="Y760" s="469"/>
      <c r="Z760" s="455"/>
      <c r="AA760" s="150"/>
      <c r="AB760" s="492"/>
      <c r="AC760" s="150"/>
      <c r="AD760" s="150"/>
      <c r="AE760" s="469"/>
      <c r="AF760" s="499"/>
      <c r="AG760" s="150"/>
      <c r="AH760" s="150"/>
      <c r="AI760" s="150"/>
      <c r="AJ760" s="150"/>
      <c r="AK760" s="150"/>
      <c r="AL760" s="150"/>
      <c r="AM760" s="150"/>
      <c r="AN760" s="150"/>
      <c r="AO760" s="469"/>
      <c r="AP760" s="150"/>
      <c r="AQ760" s="150"/>
      <c r="AR760" s="151"/>
      <c r="AS760" s="456"/>
      <c r="AT760" s="151"/>
      <c r="AU760" s="150"/>
      <c r="AV760" s="487"/>
      <c r="AW760" s="150"/>
      <c r="AX760" s="150"/>
      <c r="AY760" s="469"/>
      <c r="AZ760" s="150"/>
      <c r="BA760" s="150"/>
      <c r="BB760" s="150"/>
      <c r="BC760" s="150"/>
      <c r="BD760" s="150"/>
      <c r="BE760" s="150"/>
      <c r="BF760" s="150"/>
      <c r="BG760" s="150"/>
      <c r="BH760" s="150"/>
      <c r="BI760" s="150"/>
      <c r="BJ760" s="469"/>
      <c r="BK760" s="152"/>
      <c r="BL760" s="160"/>
      <c r="BM760" s="150"/>
      <c r="BN760" s="150"/>
      <c r="BO760" s="150"/>
      <c r="BP760" s="152"/>
      <c r="BQ760" s="160"/>
      <c r="BR760" s="152"/>
      <c r="BS760" s="160"/>
    </row>
    <row r="761" spans="1:71" x14ac:dyDescent="0.3">
      <c r="A761" s="420">
        <f>DL!A758</f>
        <v>691</v>
      </c>
      <c r="B761" s="19" t="s">
        <v>682</v>
      </c>
      <c r="C761" s="149">
        <f>DL!L758</f>
        <v>20</v>
      </c>
      <c r="D761" s="149">
        <f>DL!C758</f>
        <v>30</v>
      </c>
      <c r="E761" s="150"/>
      <c r="F761" s="463"/>
      <c r="G761" s="150"/>
      <c r="H761" s="150"/>
      <c r="I761" s="469"/>
      <c r="J761" s="150"/>
      <c r="K761" s="168"/>
      <c r="L761" s="469"/>
      <c r="M761" s="150"/>
      <c r="N761" s="150"/>
      <c r="O761" s="150"/>
      <c r="P761" s="150"/>
      <c r="Q761" s="150"/>
      <c r="R761" s="150"/>
      <c r="S761" s="476">
        <v>7200</v>
      </c>
      <c r="T761" s="150"/>
      <c r="U761" s="150"/>
      <c r="V761" s="150"/>
      <c r="W761" s="168"/>
      <c r="X761" s="150">
        <v>5493.76</v>
      </c>
      <c r="Y761" s="469"/>
      <c r="Z761" s="455"/>
      <c r="AA761" s="150"/>
      <c r="AB761" s="492"/>
      <c r="AC761" s="150"/>
      <c r="AD761" s="150"/>
      <c r="AE761" s="469"/>
      <c r="AF761" s="499"/>
      <c r="AG761" s="150"/>
      <c r="AH761" s="150"/>
      <c r="AI761" s="150"/>
      <c r="AJ761" s="150"/>
      <c r="AK761" s="150"/>
      <c r="AL761" s="150"/>
      <c r="AM761" s="150"/>
      <c r="AN761" s="150"/>
      <c r="AO761" s="469"/>
      <c r="AP761" s="150"/>
      <c r="AQ761" s="150"/>
      <c r="AR761" s="151"/>
      <c r="AS761" s="456"/>
      <c r="AT761" s="151"/>
      <c r="AU761" s="150"/>
      <c r="AV761" s="487"/>
      <c r="AW761" s="150"/>
      <c r="AX761" s="150"/>
      <c r="AY761" s="469"/>
      <c r="AZ761" s="150"/>
      <c r="BA761" s="150"/>
      <c r="BB761" s="150"/>
      <c r="BC761" s="150"/>
      <c r="BD761" s="150"/>
      <c r="BE761" s="150"/>
      <c r="BF761" s="150"/>
      <c r="BG761" s="150"/>
      <c r="BH761" s="150"/>
      <c r="BI761" s="150"/>
      <c r="BJ761" s="469"/>
      <c r="BK761" s="152"/>
      <c r="BL761" s="160"/>
      <c r="BM761" s="150"/>
      <c r="BN761" s="150"/>
      <c r="BO761" s="150"/>
      <c r="BP761" s="152"/>
      <c r="BQ761" s="160"/>
      <c r="BR761" s="152"/>
      <c r="BS761" s="160"/>
    </row>
    <row r="762" spans="1:71" x14ac:dyDescent="0.3">
      <c r="A762" s="420">
        <f>DL!A759</f>
        <v>692</v>
      </c>
      <c r="B762" s="19" t="s">
        <v>396</v>
      </c>
      <c r="C762" s="149">
        <f>DL!L759</f>
        <v>520</v>
      </c>
      <c r="D762" s="149" t="str">
        <f>DL!C759</f>
        <v>BOTT</v>
      </c>
      <c r="E762" s="150"/>
      <c r="F762" s="463"/>
      <c r="G762" s="150"/>
      <c r="H762" s="150"/>
      <c r="I762" s="469"/>
      <c r="J762" s="150"/>
      <c r="K762" s="168"/>
      <c r="L762" s="469"/>
      <c r="M762" s="150"/>
      <c r="N762" s="150"/>
      <c r="O762" s="150"/>
      <c r="P762" s="150"/>
      <c r="Q762" s="150"/>
      <c r="R762" s="150"/>
      <c r="S762" s="476">
        <v>500</v>
      </c>
      <c r="T762" s="150"/>
      <c r="U762" s="150"/>
      <c r="V762" s="150"/>
      <c r="W762" s="168"/>
      <c r="X762" s="150"/>
      <c r="Y762" s="469"/>
      <c r="Z762" s="455"/>
      <c r="AA762" s="150"/>
      <c r="AB762" s="492"/>
      <c r="AC762" s="150"/>
      <c r="AD762" s="150"/>
      <c r="AE762" s="469"/>
      <c r="AF762" s="499"/>
      <c r="AG762" s="150"/>
      <c r="AH762" s="150"/>
      <c r="AI762" s="150"/>
      <c r="AJ762" s="150"/>
      <c r="AK762" s="150"/>
      <c r="AL762" s="150"/>
      <c r="AM762" s="150"/>
      <c r="AN762" s="150"/>
      <c r="AO762" s="469"/>
      <c r="AP762" s="150"/>
      <c r="AQ762" s="150"/>
      <c r="AR762" s="151"/>
      <c r="AS762" s="456"/>
      <c r="AT762" s="151"/>
      <c r="AU762" s="150"/>
      <c r="AV762" s="487"/>
      <c r="AW762" s="150"/>
      <c r="AX762" s="150"/>
      <c r="AY762" s="469"/>
      <c r="AZ762" s="150"/>
      <c r="BA762" s="150"/>
      <c r="BB762" s="150"/>
      <c r="BC762" s="150"/>
      <c r="BD762" s="150"/>
      <c r="BE762" s="150"/>
      <c r="BF762" s="150"/>
      <c r="BG762" s="150"/>
      <c r="BH762" s="150"/>
      <c r="BI762" s="150"/>
      <c r="BJ762" s="469"/>
      <c r="BK762" s="152"/>
      <c r="BL762" s="160"/>
      <c r="BM762" s="150"/>
      <c r="BN762" s="150"/>
      <c r="BO762" s="150"/>
      <c r="BP762" s="152"/>
      <c r="BQ762" s="160"/>
      <c r="BR762" s="152"/>
      <c r="BS762" s="160"/>
    </row>
    <row r="763" spans="1:71" x14ac:dyDescent="0.3">
      <c r="A763" s="420">
        <f>DL!A760</f>
        <v>693</v>
      </c>
      <c r="B763" s="19" t="s">
        <v>401</v>
      </c>
      <c r="C763" s="149">
        <f>DL!L760</f>
        <v>200</v>
      </c>
      <c r="D763" s="149" t="str">
        <f>DL!C760</f>
        <v>TUBE</v>
      </c>
      <c r="E763" s="150"/>
      <c r="F763" s="463"/>
      <c r="G763" s="150"/>
      <c r="H763" s="150"/>
      <c r="I763" s="469"/>
      <c r="J763" s="150"/>
      <c r="K763" s="168"/>
      <c r="L763" s="469"/>
      <c r="M763" s="150"/>
      <c r="N763" s="150"/>
      <c r="O763" s="150"/>
      <c r="P763" s="150">
        <v>300</v>
      </c>
      <c r="Q763" s="150"/>
      <c r="R763" s="150"/>
      <c r="S763" s="476">
        <v>400</v>
      </c>
      <c r="T763" s="150"/>
      <c r="U763" s="150"/>
      <c r="V763" s="150"/>
      <c r="W763" s="168"/>
      <c r="X763" s="150"/>
      <c r="Y763" s="469"/>
      <c r="Z763" s="455"/>
      <c r="AA763" s="150"/>
      <c r="AB763" s="492"/>
      <c r="AC763" s="150"/>
      <c r="AD763" s="150"/>
      <c r="AE763" s="469"/>
      <c r="AF763" s="499"/>
      <c r="AG763" s="150"/>
      <c r="AH763" s="150"/>
      <c r="AI763" s="150"/>
      <c r="AJ763" s="150"/>
      <c r="AK763" s="150"/>
      <c r="AL763" s="150"/>
      <c r="AM763" s="150"/>
      <c r="AN763" s="150"/>
      <c r="AO763" s="469"/>
      <c r="AP763" s="150"/>
      <c r="AQ763" s="150"/>
      <c r="AR763" s="151"/>
      <c r="AS763" s="456"/>
      <c r="AT763" s="151"/>
      <c r="AU763" s="150"/>
      <c r="AV763" s="487"/>
      <c r="AW763" s="150"/>
      <c r="AX763" s="150"/>
      <c r="AY763" s="469"/>
      <c r="AZ763" s="150"/>
      <c r="BA763" s="150"/>
      <c r="BB763" s="150"/>
      <c r="BC763" s="150"/>
      <c r="BD763" s="150"/>
      <c r="BE763" s="150"/>
      <c r="BF763" s="150"/>
      <c r="BG763" s="150"/>
      <c r="BH763" s="150"/>
      <c r="BI763" s="150"/>
      <c r="BJ763" s="469"/>
      <c r="BK763" s="152"/>
      <c r="BL763" s="160"/>
      <c r="BM763" s="150"/>
      <c r="BN763" s="150"/>
      <c r="BO763" s="150"/>
      <c r="BP763" s="152"/>
      <c r="BQ763" s="160"/>
      <c r="BR763" s="152"/>
      <c r="BS763" s="160"/>
    </row>
    <row r="764" spans="1:71" x14ac:dyDescent="0.3">
      <c r="A764" s="452">
        <f>DL!A761</f>
        <v>694</v>
      </c>
      <c r="B764" s="453" t="s">
        <v>1401</v>
      </c>
      <c r="C764" s="454">
        <f>DL!L761</f>
        <v>12</v>
      </c>
      <c r="D764" s="454" t="str">
        <f>DL!C761</f>
        <v>VIAL</v>
      </c>
      <c r="E764" s="455"/>
      <c r="F764" s="463"/>
      <c r="G764" s="455"/>
      <c r="H764" s="455"/>
      <c r="I764" s="469"/>
      <c r="J764" s="455"/>
      <c r="K764" s="455"/>
      <c r="L764" s="469"/>
      <c r="M764" s="455"/>
      <c r="N764" s="455"/>
      <c r="O764" s="455"/>
      <c r="P764" s="455"/>
      <c r="Q764" s="455"/>
      <c r="R764" s="455"/>
      <c r="S764" s="476"/>
      <c r="T764" s="455"/>
      <c r="U764" s="455"/>
      <c r="V764" s="455"/>
      <c r="W764" s="455"/>
      <c r="X764" s="455"/>
      <c r="Y764" s="469"/>
      <c r="Z764" s="455"/>
      <c r="AA764" s="455"/>
      <c r="AB764" s="492"/>
      <c r="AC764" s="455"/>
      <c r="AD764" s="455"/>
      <c r="AE764" s="469"/>
      <c r="AF764" s="499"/>
      <c r="AG764" s="455"/>
      <c r="AH764" s="455"/>
      <c r="AI764" s="455"/>
      <c r="AJ764" s="455"/>
      <c r="AK764" s="455"/>
      <c r="AL764" s="455"/>
      <c r="AM764" s="455"/>
      <c r="AN764" s="455"/>
      <c r="AO764" s="469"/>
      <c r="AP764" s="455"/>
      <c r="AQ764" s="455"/>
      <c r="AR764" s="456"/>
      <c r="AS764" s="456"/>
      <c r="AT764" s="456"/>
      <c r="AU764" s="455"/>
      <c r="AV764" s="487"/>
      <c r="AW764" s="455"/>
      <c r="AX764" s="455"/>
      <c r="AY764" s="469"/>
      <c r="AZ764" s="455"/>
      <c r="BA764" s="455"/>
      <c r="BB764" s="455"/>
      <c r="BC764" s="455"/>
      <c r="BD764" s="455"/>
      <c r="BE764" s="455"/>
      <c r="BF764" s="455"/>
      <c r="BG764" s="455"/>
      <c r="BH764" s="455"/>
      <c r="BI764" s="455"/>
      <c r="BJ764" s="469"/>
      <c r="BK764" s="457"/>
      <c r="BL764" s="458"/>
      <c r="BM764" s="455"/>
      <c r="BN764" s="455"/>
      <c r="BO764" s="455"/>
      <c r="BP764" s="457"/>
      <c r="BQ764" s="458"/>
      <c r="BR764" s="457"/>
      <c r="BS764" s="458"/>
    </row>
    <row r="765" spans="1:71" x14ac:dyDescent="0.3">
      <c r="A765" s="420">
        <f>DL!A762</f>
        <v>695</v>
      </c>
      <c r="B765" s="19" t="s">
        <v>404</v>
      </c>
      <c r="C765" s="149">
        <f>DL!L762</f>
        <v>600</v>
      </c>
      <c r="D765" s="149" t="str">
        <f>DL!C762</f>
        <v>BOTT</v>
      </c>
      <c r="E765" s="150"/>
      <c r="F765" s="463"/>
      <c r="G765" s="150"/>
      <c r="H765" s="150"/>
      <c r="I765" s="469"/>
      <c r="J765" s="150"/>
      <c r="K765" s="168"/>
      <c r="L765" s="469"/>
      <c r="M765" s="150"/>
      <c r="N765" s="150"/>
      <c r="O765" s="150"/>
      <c r="P765" s="150"/>
      <c r="Q765" s="150"/>
      <c r="R765" s="150"/>
      <c r="S765" s="476">
        <v>350</v>
      </c>
      <c r="T765" s="150"/>
      <c r="U765" s="150"/>
      <c r="V765" s="150"/>
      <c r="W765" s="168"/>
      <c r="X765" s="150"/>
      <c r="Y765" s="469"/>
      <c r="Z765" s="455"/>
      <c r="AA765" s="150"/>
      <c r="AB765" s="492"/>
      <c r="AC765" s="150"/>
      <c r="AD765" s="150"/>
      <c r="AE765" s="469">
        <v>295</v>
      </c>
      <c r="AF765" s="499"/>
      <c r="AG765" s="150"/>
      <c r="AH765" s="150"/>
      <c r="AI765" s="150"/>
      <c r="AJ765" s="150"/>
      <c r="AK765" s="150"/>
      <c r="AL765" s="150"/>
      <c r="AM765" s="150"/>
      <c r="AN765" s="150"/>
      <c r="AO765" s="469"/>
      <c r="AP765" s="150"/>
      <c r="AQ765" s="150"/>
      <c r="AR765" s="151"/>
      <c r="AS765" s="456"/>
      <c r="AT765" s="151"/>
      <c r="AU765" s="150"/>
      <c r="AV765" s="487"/>
      <c r="AW765" s="150"/>
      <c r="AX765" s="150"/>
      <c r="AY765" s="469"/>
      <c r="AZ765" s="150"/>
      <c r="BA765" s="150"/>
      <c r="BB765" s="150"/>
      <c r="BC765" s="150"/>
      <c r="BD765" s="150"/>
      <c r="BE765" s="150"/>
      <c r="BF765" s="150"/>
      <c r="BG765" s="150"/>
      <c r="BH765" s="150"/>
      <c r="BI765" s="150"/>
      <c r="BJ765" s="469"/>
      <c r="BK765" s="152"/>
      <c r="BL765" s="160"/>
      <c r="BM765" s="150"/>
      <c r="BN765" s="150"/>
      <c r="BO765" s="150"/>
      <c r="BP765" s="152"/>
      <c r="BQ765" s="160"/>
      <c r="BR765" s="152"/>
      <c r="BS765" s="160"/>
    </row>
    <row r="766" spans="1:71" x14ac:dyDescent="0.3">
      <c r="A766" s="420">
        <f>DL!A763</f>
        <v>696</v>
      </c>
      <c r="B766" s="19" t="s">
        <v>698</v>
      </c>
      <c r="C766" s="149">
        <f>DL!L763</f>
        <v>10</v>
      </c>
      <c r="D766" s="149">
        <f>DL!C763</f>
        <v>10</v>
      </c>
      <c r="E766" s="150"/>
      <c r="F766" s="463"/>
      <c r="G766" s="150"/>
      <c r="H766" s="150"/>
      <c r="I766" s="469"/>
      <c r="J766" s="150"/>
      <c r="K766" s="168"/>
      <c r="L766" s="469"/>
      <c r="M766" s="150"/>
      <c r="N766" s="150"/>
      <c r="O766" s="150"/>
      <c r="P766" s="150"/>
      <c r="Q766" s="150"/>
      <c r="R766" s="150"/>
      <c r="S766" s="476"/>
      <c r="T766" s="150"/>
      <c r="U766" s="150"/>
      <c r="V766" s="150"/>
      <c r="W766" s="168"/>
      <c r="X766" s="150"/>
      <c r="Y766" s="469"/>
      <c r="Z766" s="455"/>
      <c r="AA766" s="150"/>
      <c r="AB766" s="492"/>
      <c r="AC766" s="150"/>
      <c r="AD766" s="150"/>
      <c r="AE766" s="469"/>
      <c r="AF766" s="499"/>
      <c r="AG766" s="150"/>
      <c r="AH766" s="150"/>
      <c r="AI766" s="150"/>
      <c r="AJ766" s="150"/>
      <c r="AK766" s="150"/>
      <c r="AL766" s="150"/>
      <c r="AM766" s="150"/>
      <c r="AN766" s="150"/>
      <c r="AO766" s="469"/>
      <c r="AP766" s="150"/>
      <c r="AQ766" s="150"/>
      <c r="AR766" s="151"/>
      <c r="AS766" s="456"/>
      <c r="AT766" s="151"/>
      <c r="AU766" s="150"/>
      <c r="AV766" s="487"/>
      <c r="AW766" s="150"/>
      <c r="AX766" s="150"/>
      <c r="AY766" s="469"/>
      <c r="AZ766" s="150"/>
      <c r="BA766" s="150"/>
      <c r="BB766" s="150"/>
      <c r="BC766" s="150"/>
      <c r="BD766" s="150"/>
      <c r="BE766" s="150"/>
      <c r="BF766" s="150"/>
      <c r="BG766" s="150"/>
      <c r="BH766" s="150"/>
      <c r="BI766" s="150"/>
      <c r="BJ766" s="469"/>
      <c r="BK766" s="152"/>
      <c r="BL766" s="160"/>
      <c r="BM766" s="150"/>
      <c r="BN766" s="150"/>
      <c r="BO766" s="150"/>
      <c r="BP766" s="152"/>
      <c r="BQ766" s="160"/>
      <c r="BR766" s="152"/>
      <c r="BS766" s="160"/>
    </row>
    <row r="767" spans="1:71" x14ac:dyDescent="0.3">
      <c r="A767" s="420">
        <f>DL!A764</f>
        <v>697</v>
      </c>
      <c r="B767" s="19" t="s">
        <v>405</v>
      </c>
      <c r="C767" s="149">
        <f>DL!L764</f>
        <v>10</v>
      </c>
      <c r="D767" s="149">
        <f>DL!C764</f>
        <v>10</v>
      </c>
      <c r="E767" s="150"/>
      <c r="F767" s="463"/>
      <c r="G767" s="150"/>
      <c r="H767" s="150"/>
      <c r="I767" s="469"/>
      <c r="J767" s="150"/>
      <c r="K767" s="168"/>
      <c r="L767" s="469"/>
      <c r="M767" s="150"/>
      <c r="N767" s="150"/>
      <c r="O767" s="150"/>
      <c r="P767" s="150"/>
      <c r="Q767" s="150"/>
      <c r="R767" s="150"/>
      <c r="S767" s="476"/>
      <c r="T767" s="150"/>
      <c r="U767" s="150"/>
      <c r="V767" s="150"/>
      <c r="W767" s="168"/>
      <c r="X767" s="150"/>
      <c r="Y767" s="469"/>
      <c r="Z767" s="455"/>
      <c r="AA767" s="150"/>
      <c r="AB767" s="492"/>
      <c r="AC767" s="150"/>
      <c r="AD767" s="150"/>
      <c r="AE767" s="469"/>
      <c r="AF767" s="499"/>
      <c r="AG767" s="150"/>
      <c r="AH767" s="150"/>
      <c r="AI767" s="150"/>
      <c r="AJ767" s="150"/>
      <c r="AK767" s="150"/>
      <c r="AL767" s="150"/>
      <c r="AM767" s="150"/>
      <c r="AN767" s="150"/>
      <c r="AO767" s="469"/>
      <c r="AP767" s="150"/>
      <c r="AQ767" s="150"/>
      <c r="AR767" s="151"/>
      <c r="AS767" s="456"/>
      <c r="AT767" s="151"/>
      <c r="AU767" s="150"/>
      <c r="AV767" s="487"/>
      <c r="AW767" s="150"/>
      <c r="AX767" s="150"/>
      <c r="AY767" s="469"/>
      <c r="AZ767" s="150"/>
      <c r="BA767" s="150"/>
      <c r="BB767" s="150"/>
      <c r="BC767" s="150"/>
      <c r="BD767" s="150"/>
      <c r="BE767" s="150"/>
      <c r="BF767" s="150"/>
      <c r="BG767" s="150"/>
      <c r="BH767" s="150"/>
      <c r="BI767" s="150"/>
      <c r="BJ767" s="469"/>
      <c r="BK767" s="152"/>
      <c r="BL767" s="160"/>
      <c r="BM767" s="150"/>
      <c r="BN767" s="150"/>
      <c r="BO767" s="150"/>
      <c r="BP767" s="152"/>
      <c r="BQ767" s="160"/>
      <c r="BR767" s="152"/>
      <c r="BS767" s="160"/>
    </row>
    <row r="768" spans="1:71" x14ac:dyDescent="0.3">
      <c r="A768" s="420">
        <f>DL!A765</f>
        <v>698</v>
      </c>
      <c r="B768" s="19" t="s">
        <v>1402</v>
      </c>
      <c r="C768" s="149">
        <f>DL!L765</f>
        <v>100</v>
      </c>
      <c r="D768" s="149">
        <f>DL!C765</f>
        <v>10</v>
      </c>
      <c r="E768" s="150"/>
      <c r="F768" s="463"/>
      <c r="G768" s="150"/>
      <c r="H768" s="150"/>
      <c r="I768" s="469"/>
      <c r="J768" s="150"/>
      <c r="K768" s="168"/>
      <c r="L768" s="469"/>
      <c r="M768" s="150"/>
      <c r="N768" s="150"/>
      <c r="O768" s="150"/>
      <c r="P768" s="150"/>
      <c r="Q768" s="150"/>
      <c r="R768" s="150"/>
      <c r="S768" s="476"/>
      <c r="T768" s="150"/>
      <c r="U768" s="150"/>
      <c r="V768" s="150"/>
      <c r="W768" s="168"/>
      <c r="X768" s="150"/>
      <c r="Y768" s="469"/>
      <c r="Z768" s="455"/>
      <c r="AA768" s="150"/>
      <c r="AB768" s="492"/>
      <c r="AC768" s="150"/>
      <c r="AD768" s="150"/>
      <c r="AE768" s="469"/>
      <c r="AF768" s="499"/>
      <c r="AG768" s="150"/>
      <c r="AH768" s="150"/>
      <c r="AI768" s="150"/>
      <c r="AJ768" s="150"/>
      <c r="AK768" s="150"/>
      <c r="AL768" s="150"/>
      <c r="AM768" s="150"/>
      <c r="AN768" s="150"/>
      <c r="AO768" s="469"/>
      <c r="AP768" s="150"/>
      <c r="AQ768" s="150"/>
      <c r="AR768" s="151"/>
      <c r="AS768" s="456"/>
      <c r="AT768" s="151"/>
      <c r="AU768" s="150"/>
      <c r="AV768" s="487"/>
      <c r="AW768" s="150"/>
      <c r="AX768" s="150"/>
      <c r="AY768" s="469"/>
      <c r="AZ768" s="150"/>
      <c r="BA768" s="150"/>
      <c r="BB768" s="150"/>
      <c r="BC768" s="150"/>
      <c r="BD768" s="150"/>
      <c r="BE768" s="150"/>
      <c r="BF768" s="150"/>
      <c r="BG768" s="150"/>
      <c r="BH768" s="150"/>
      <c r="BI768" s="150"/>
      <c r="BJ768" s="469"/>
      <c r="BK768" s="152"/>
      <c r="BL768" s="160"/>
      <c r="BM768" s="150"/>
      <c r="BN768" s="150"/>
      <c r="BO768" s="150"/>
      <c r="BP768" s="152"/>
      <c r="BQ768" s="160"/>
      <c r="BR768" s="152"/>
      <c r="BS768" s="160"/>
    </row>
    <row r="769" spans="1:71" x14ac:dyDescent="0.3">
      <c r="A769" s="420">
        <f>DL!A766</f>
        <v>699</v>
      </c>
      <c r="B769" s="19" t="s">
        <v>1403</v>
      </c>
      <c r="C769" s="149">
        <f>DL!L766</f>
        <v>20</v>
      </c>
      <c r="D769" s="149" t="str">
        <f>DL!C766</f>
        <v>BOTT</v>
      </c>
      <c r="E769" s="150"/>
      <c r="F769" s="463"/>
      <c r="G769" s="150"/>
      <c r="H769" s="150"/>
      <c r="I769" s="469"/>
      <c r="J769" s="150"/>
      <c r="K769" s="168"/>
      <c r="L769" s="469"/>
      <c r="M769" s="150"/>
      <c r="N769" s="150"/>
      <c r="O769" s="150"/>
      <c r="P769" s="150"/>
      <c r="Q769" s="150"/>
      <c r="R769" s="150"/>
      <c r="S769" s="476"/>
      <c r="T769" s="150"/>
      <c r="U769" s="150"/>
      <c r="V769" s="150"/>
      <c r="W769" s="168"/>
      <c r="X769" s="150"/>
      <c r="Y769" s="469"/>
      <c r="Z769" s="455"/>
      <c r="AA769" s="150"/>
      <c r="AB769" s="492"/>
      <c r="AC769" s="150"/>
      <c r="AD769" s="150"/>
      <c r="AE769" s="469"/>
      <c r="AF769" s="499"/>
      <c r="AG769" s="150"/>
      <c r="AH769" s="150"/>
      <c r="AI769" s="150">
        <v>17982</v>
      </c>
      <c r="AJ769" s="150"/>
      <c r="AK769" s="150"/>
      <c r="AL769" s="150"/>
      <c r="AM769" s="150"/>
      <c r="AN769" s="150"/>
      <c r="AO769" s="469"/>
      <c r="AP769" s="150"/>
      <c r="AQ769" s="150"/>
      <c r="AR769" s="151"/>
      <c r="AS769" s="456"/>
      <c r="AT769" s="151"/>
      <c r="AU769" s="150"/>
      <c r="AV769" s="487"/>
      <c r="AW769" s="150"/>
      <c r="AX769" s="150"/>
      <c r="AY769" s="469"/>
      <c r="AZ769" s="150"/>
      <c r="BA769" s="150"/>
      <c r="BB769" s="150"/>
      <c r="BC769" s="150"/>
      <c r="BD769" s="150"/>
      <c r="BE769" s="150"/>
      <c r="BF769" s="150"/>
      <c r="BG769" s="150"/>
      <c r="BH769" s="150"/>
      <c r="BI769" s="150"/>
      <c r="BJ769" s="469"/>
      <c r="BK769" s="152"/>
      <c r="BL769" s="160"/>
      <c r="BM769" s="150"/>
      <c r="BN769" s="150"/>
      <c r="BO769" s="150"/>
      <c r="BP769" s="152"/>
      <c r="BQ769" s="160"/>
      <c r="BR769" s="152"/>
      <c r="BS769" s="160"/>
    </row>
    <row r="770" spans="1:71" x14ac:dyDescent="0.3">
      <c r="A770" s="420">
        <f>DL!A767</f>
        <v>700</v>
      </c>
      <c r="B770" s="19" t="s">
        <v>1404</v>
      </c>
      <c r="C770" s="149">
        <f>DL!L767</f>
        <v>750</v>
      </c>
      <c r="D770" s="149">
        <f>DL!C767</f>
        <v>20</v>
      </c>
      <c r="E770" s="150"/>
      <c r="F770" s="463"/>
      <c r="G770" s="150"/>
      <c r="H770" s="150"/>
      <c r="I770" s="469"/>
      <c r="J770" s="150"/>
      <c r="K770" s="168"/>
      <c r="L770" s="469"/>
      <c r="M770" s="150"/>
      <c r="N770" s="150"/>
      <c r="O770" s="150"/>
      <c r="P770" s="150"/>
      <c r="Q770" s="150"/>
      <c r="R770" s="150"/>
      <c r="S770" s="476">
        <v>800</v>
      </c>
      <c r="T770" s="150"/>
      <c r="U770" s="150"/>
      <c r="V770" s="150"/>
      <c r="W770" s="168"/>
      <c r="X770" s="150"/>
      <c r="Y770" s="469"/>
      <c r="Z770" s="455"/>
      <c r="AA770" s="150"/>
      <c r="AB770" s="492"/>
      <c r="AC770" s="150"/>
      <c r="AD770" s="150"/>
      <c r="AE770" s="469"/>
      <c r="AF770" s="499"/>
      <c r="AG770" s="150"/>
      <c r="AH770" s="150"/>
      <c r="AI770" s="150"/>
      <c r="AJ770" s="150"/>
      <c r="AK770" s="150"/>
      <c r="AL770" s="150"/>
      <c r="AM770" s="150"/>
      <c r="AN770" s="150"/>
      <c r="AO770" s="469"/>
      <c r="AP770" s="150"/>
      <c r="AQ770" s="150"/>
      <c r="AR770" s="151"/>
      <c r="AS770" s="456"/>
      <c r="AT770" s="151"/>
      <c r="AU770" s="150"/>
      <c r="AV770" s="487"/>
      <c r="AW770" s="150"/>
      <c r="AX770" s="150"/>
      <c r="AY770" s="469"/>
      <c r="AZ770" s="150"/>
      <c r="BA770" s="159">
        <f>1495*2</f>
        <v>2990</v>
      </c>
      <c r="BB770" s="150"/>
      <c r="BC770" s="150"/>
      <c r="BD770" s="150"/>
      <c r="BE770" s="150"/>
      <c r="BF770" s="150"/>
      <c r="BG770" s="150"/>
      <c r="BH770" s="150"/>
      <c r="BI770" s="150"/>
      <c r="BJ770" s="469"/>
      <c r="BK770" s="152"/>
      <c r="BL770" s="160"/>
      <c r="BM770" s="150"/>
      <c r="BN770" s="150"/>
      <c r="BO770" s="150"/>
      <c r="BP770" s="152"/>
      <c r="BQ770" s="160"/>
      <c r="BR770" s="152"/>
      <c r="BS770" s="160"/>
    </row>
    <row r="771" spans="1:71" x14ac:dyDescent="0.3">
      <c r="A771" s="420">
        <f>DL!A768</f>
        <v>701</v>
      </c>
      <c r="B771" s="19" t="s">
        <v>685</v>
      </c>
      <c r="C771" s="149">
        <f>DL!L768</f>
        <v>60</v>
      </c>
      <c r="D771" s="149">
        <f>DL!C768</f>
        <v>10</v>
      </c>
      <c r="E771" s="150"/>
      <c r="F771" s="463"/>
      <c r="G771" s="150"/>
      <c r="H771" s="150"/>
      <c r="I771" s="469"/>
      <c r="J771" s="150"/>
      <c r="K771" s="168"/>
      <c r="L771" s="469"/>
      <c r="M771" s="150"/>
      <c r="N771" s="150"/>
      <c r="O771" s="150"/>
      <c r="P771" s="150"/>
      <c r="Q771" s="150"/>
      <c r="R771" s="150"/>
      <c r="S771" s="476">
        <v>180</v>
      </c>
      <c r="T771" s="150"/>
      <c r="U771" s="150"/>
      <c r="V771" s="150"/>
      <c r="W771" s="168"/>
      <c r="X771" s="150"/>
      <c r="Y771" s="469"/>
      <c r="Z771" s="455"/>
      <c r="AA771" s="150"/>
      <c r="AB771" s="492"/>
      <c r="AC771" s="150"/>
      <c r="AD771" s="150"/>
      <c r="AE771" s="469"/>
      <c r="AF771" s="499"/>
      <c r="AG771" s="150"/>
      <c r="AH771" s="150"/>
      <c r="AI771" s="150"/>
      <c r="AJ771" s="150"/>
      <c r="AK771" s="150"/>
      <c r="AL771" s="150"/>
      <c r="AM771" s="150"/>
      <c r="AN771" s="150"/>
      <c r="AO771" s="469"/>
      <c r="AP771" s="150"/>
      <c r="AQ771" s="150"/>
      <c r="AR771" s="151"/>
      <c r="AS771" s="456"/>
      <c r="AT771" s="151"/>
      <c r="AU771" s="150"/>
      <c r="AV771" s="487"/>
      <c r="AW771" s="150"/>
      <c r="AX771" s="150"/>
      <c r="AY771" s="469"/>
      <c r="AZ771" s="150"/>
      <c r="BA771" s="150">
        <v>1656</v>
      </c>
      <c r="BB771" s="150"/>
      <c r="BC771" s="150"/>
      <c r="BD771" s="150"/>
      <c r="BE771" s="150"/>
      <c r="BF771" s="150"/>
      <c r="BG771" s="150"/>
      <c r="BH771" s="150"/>
      <c r="BI771" s="150"/>
      <c r="BJ771" s="469"/>
      <c r="BK771" s="152"/>
      <c r="BL771" s="160"/>
      <c r="BM771" s="150"/>
      <c r="BN771" s="150"/>
      <c r="BO771" s="150"/>
      <c r="BP771" s="152"/>
      <c r="BQ771" s="160"/>
      <c r="BR771" s="152"/>
      <c r="BS771" s="160"/>
    </row>
    <row r="772" spans="1:71" x14ac:dyDescent="0.3">
      <c r="A772" s="420"/>
      <c r="B772" s="19"/>
      <c r="C772" s="149">
        <f>DL!L769</f>
        <v>0</v>
      </c>
      <c r="D772" s="149">
        <f>DL!C769</f>
        <v>0</v>
      </c>
      <c r="E772" s="150"/>
      <c r="F772" s="463"/>
      <c r="G772" s="150"/>
      <c r="H772" s="150"/>
      <c r="I772" s="469"/>
      <c r="J772" s="150"/>
      <c r="K772" s="168"/>
      <c r="L772" s="469"/>
      <c r="M772" s="150"/>
      <c r="N772" s="150"/>
      <c r="O772" s="150"/>
      <c r="P772" s="150"/>
      <c r="Q772" s="150"/>
      <c r="R772" s="150"/>
      <c r="S772" s="476"/>
      <c r="T772" s="150"/>
      <c r="U772" s="150"/>
      <c r="V772" s="150"/>
      <c r="W772" s="168"/>
      <c r="X772" s="150"/>
      <c r="Y772" s="469"/>
      <c r="Z772" s="455"/>
      <c r="AA772" s="150"/>
      <c r="AB772" s="492"/>
      <c r="AC772" s="150"/>
      <c r="AD772" s="150"/>
      <c r="AE772" s="469"/>
      <c r="AF772" s="499"/>
      <c r="AG772" s="150"/>
      <c r="AH772" s="150"/>
      <c r="AI772" s="150"/>
      <c r="AJ772" s="150"/>
      <c r="AK772" s="150"/>
      <c r="AL772" s="150"/>
      <c r="AM772" s="150"/>
      <c r="AN772" s="150"/>
      <c r="AO772" s="469"/>
      <c r="AP772" s="150"/>
      <c r="AQ772" s="150"/>
      <c r="AR772" s="151"/>
      <c r="AS772" s="456"/>
      <c r="AT772" s="151"/>
      <c r="AU772" s="150"/>
      <c r="AV772" s="487"/>
      <c r="AW772" s="150"/>
      <c r="AX772" s="150"/>
      <c r="AY772" s="469"/>
      <c r="AZ772" s="150"/>
      <c r="BA772" s="150"/>
      <c r="BB772" s="150"/>
      <c r="BC772" s="150"/>
      <c r="BD772" s="150"/>
      <c r="BE772" s="150"/>
      <c r="BF772" s="150"/>
      <c r="BG772" s="150"/>
      <c r="BH772" s="150"/>
      <c r="BI772" s="150"/>
      <c r="BJ772" s="469"/>
      <c r="BK772" s="152"/>
      <c r="BL772" s="160"/>
      <c r="BM772" s="150"/>
      <c r="BN772" s="150"/>
      <c r="BO772" s="150"/>
      <c r="BP772" s="152"/>
      <c r="BQ772" s="160"/>
      <c r="BR772" s="152"/>
      <c r="BS772" s="160"/>
    </row>
    <row r="773" spans="1:71" x14ac:dyDescent="0.3">
      <c r="A773" s="420"/>
      <c r="B773" s="19" t="s">
        <v>410</v>
      </c>
      <c r="C773" s="149">
        <f>DL!L770</f>
        <v>0</v>
      </c>
      <c r="D773" s="149">
        <f>DL!C770</f>
        <v>0</v>
      </c>
      <c r="E773" s="150"/>
      <c r="F773" s="463"/>
      <c r="G773" s="150"/>
      <c r="H773" s="150"/>
      <c r="I773" s="469"/>
      <c r="J773" s="150"/>
      <c r="K773" s="168"/>
      <c r="L773" s="469"/>
      <c r="M773" s="150"/>
      <c r="N773" s="150"/>
      <c r="O773" s="150"/>
      <c r="P773" s="150"/>
      <c r="Q773" s="150"/>
      <c r="R773" s="150"/>
      <c r="S773" s="476"/>
      <c r="T773" s="150"/>
      <c r="U773" s="150"/>
      <c r="V773" s="150"/>
      <c r="W773" s="168"/>
      <c r="X773" s="150"/>
      <c r="Y773" s="469"/>
      <c r="Z773" s="455"/>
      <c r="AA773" s="150"/>
      <c r="AB773" s="492"/>
      <c r="AC773" s="150"/>
      <c r="AD773" s="150"/>
      <c r="AE773" s="469"/>
      <c r="AF773" s="499"/>
      <c r="AG773" s="150"/>
      <c r="AH773" s="150"/>
      <c r="AI773" s="150"/>
      <c r="AJ773" s="150"/>
      <c r="AK773" s="150"/>
      <c r="AL773" s="150"/>
      <c r="AM773" s="150"/>
      <c r="AN773" s="150"/>
      <c r="AO773" s="469"/>
      <c r="AP773" s="150"/>
      <c r="AQ773" s="150"/>
      <c r="AR773" s="151"/>
      <c r="AS773" s="456"/>
      <c r="AT773" s="151"/>
      <c r="AU773" s="150"/>
      <c r="AV773" s="487"/>
      <c r="AW773" s="150"/>
      <c r="AX773" s="150"/>
      <c r="AY773" s="469"/>
      <c r="AZ773" s="150"/>
      <c r="BA773" s="150"/>
      <c r="BB773" s="150"/>
      <c r="BC773" s="150"/>
      <c r="BD773" s="150"/>
      <c r="BE773" s="150"/>
      <c r="BF773" s="150"/>
      <c r="BG773" s="150"/>
      <c r="BH773" s="150"/>
      <c r="BI773" s="150"/>
      <c r="BJ773" s="469"/>
      <c r="BK773" s="152"/>
      <c r="BL773" s="160"/>
      <c r="BM773" s="150"/>
      <c r="BN773" s="150"/>
      <c r="BO773" s="150"/>
      <c r="BP773" s="152"/>
      <c r="BQ773" s="160"/>
      <c r="BR773" s="152"/>
      <c r="BS773" s="160"/>
    </row>
    <row r="774" spans="1:71" x14ac:dyDescent="0.3">
      <c r="A774" s="420">
        <f>DL!A771</f>
        <v>702</v>
      </c>
      <c r="B774" s="19" t="s">
        <v>1405</v>
      </c>
      <c r="C774" s="149">
        <f>DL!L771</f>
        <v>20</v>
      </c>
      <c r="D774" s="149">
        <f>DL!C771</f>
        <v>12</v>
      </c>
      <c r="E774" s="150"/>
      <c r="F774" s="463"/>
      <c r="G774" s="150"/>
      <c r="H774" s="150"/>
      <c r="I774" s="469"/>
      <c r="J774" s="150"/>
      <c r="K774" s="168"/>
      <c r="L774" s="469">
        <v>1200</v>
      </c>
      <c r="M774" s="150">
        <v>1000</v>
      </c>
      <c r="N774" s="150"/>
      <c r="O774" s="150"/>
      <c r="P774" s="150"/>
      <c r="Q774" s="150"/>
      <c r="R774" s="150"/>
      <c r="S774" s="476">
        <v>980</v>
      </c>
      <c r="T774" s="150"/>
      <c r="U774" s="150"/>
      <c r="V774" s="150"/>
      <c r="W774" s="168">
        <v>1200</v>
      </c>
      <c r="X774" s="150"/>
      <c r="Y774" s="469"/>
      <c r="Z774" s="455"/>
      <c r="AA774" s="150"/>
      <c r="AB774" s="492"/>
      <c r="AC774" s="150"/>
      <c r="AD774" s="150"/>
      <c r="AE774" s="469"/>
      <c r="AF774" s="499"/>
      <c r="AG774" s="150"/>
      <c r="AH774" s="150"/>
      <c r="AI774" s="150"/>
      <c r="AJ774" s="150"/>
      <c r="AK774" s="150"/>
      <c r="AL774" s="150"/>
      <c r="AM774" s="150"/>
      <c r="AN774" s="150"/>
      <c r="AO774" s="469"/>
      <c r="AP774" s="150"/>
      <c r="AQ774" s="150"/>
      <c r="AR774" s="151"/>
      <c r="AS774" s="456"/>
      <c r="AT774" s="151"/>
      <c r="AU774" s="150"/>
      <c r="AV774" s="487"/>
      <c r="AW774" s="150"/>
      <c r="AX774" s="150"/>
      <c r="AY774" s="469"/>
      <c r="AZ774" s="150"/>
      <c r="BA774" s="150"/>
      <c r="BB774" s="150"/>
      <c r="BC774" s="150"/>
      <c r="BD774" s="150"/>
      <c r="BE774" s="150"/>
      <c r="BF774" s="150"/>
      <c r="BG774" s="150"/>
      <c r="BH774" s="150"/>
      <c r="BI774" s="150"/>
      <c r="BJ774" s="469"/>
      <c r="BK774" s="152"/>
      <c r="BL774" s="160"/>
      <c r="BM774" s="150"/>
      <c r="BN774" s="150"/>
      <c r="BO774" s="150"/>
      <c r="BP774" s="152"/>
      <c r="BQ774" s="160"/>
      <c r="BR774" s="152"/>
      <c r="BS774" s="160"/>
    </row>
    <row r="775" spans="1:71" x14ac:dyDescent="0.3">
      <c r="A775" s="420">
        <f>DL!A772</f>
        <v>703</v>
      </c>
      <c r="B775" s="19" t="s">
        <v>411</v>
      </c>
      <c r="C775" s="149">
        <f>DL!L772</f>
        <v>32</v>
      </c>
      <c r="D775" s="149">
        <f>DL!C772</f>
        <v>12</v>
      </c>
      <c r="E775" s="150"/>
      <c r="F775" s="463"/>
      <c r="G775" s="150"/>
      <c r="H775" s="150"/>
      <c r="I775" s="469"/>
      <c r="J775" s="150"/>
      <c r="K775" s="168"/>
      <c r="L775" s="469">
        <v>1200</v>
      </c>
      <c r="M775" s="150">
        <v>1050</v>
      </c>
      <c r="N775" s="150"/>
      <c r="O775" s="150"/>
      <c r="P775" s="150"/>
      <c r="Q775" s="150"/>
      <c r="R775" s="150"/>
      <c r="S775" s="476">
        <v>980</v>
      </c>
      <c r="T775" s="150"/>
      <c r="U775" s="150"/>
      <c r="V775" s="150"/>
      <c r="W775" s="168">
        <v>1200</v>
      </c>
      <c r="X775" s="150"/>
      <c r="Y775" s="469"/>
      <c r="Z775" s="455"/>
      <c r="AA775" s="150"/>
      <c r="AB775" s="492"/>
      <c r="AC775" s="150"/>
      <c r="AD775" s="150"/>
      <c r="AE775" s="469"/>
      <c r="AF775" s="499"/>
      <c r="AG775" s="150"/>
      <c r="AH775" s="150"/>
      <c r="AI775" s="150"/>
      <c r="AJ775" s="150"/>
      <c r="AK775" s="150"/>
      <c r="AL775" s="150"/>
      <c r="AM775" s="150"/>
      <c r="AN775" s="150"/>
      <c r="AO775" s="469"/>
      <c r="AP775" s="150"/>
      <c r="AQ775" s="150"/>
      <c r="AR775" s="151"/>
      <c r="AS775" s="456"/>
      <c r="AT775" s="151"/>
      <c r="AU775" s="150"/>
      <c r="AV775" s="487"/>
      <c r="AW775" s="150"/>
      <c r="AX775" s="150"/>
      <c r="AY775" s="469"/>
      <c r="AZ775" s="150"/>
      <c r="BA775" s="150"/>
      <c r="BB775" s="150"/>
      <c r="BC775" s="150"/>
      <c r="BD775" s="150"/>
      <c r="BE775" s="150"/>
      <c r="BF775" s="150"/>
      <c r="BG775" s="150"/>
      <c r="BH775" s="150"/>
      <c r="BI775" s="150"/>
      <c r="BJ775" s="469"/>
      <c r="BK775" s="152"/>
      <c r="BL775" s="160"/>
      <c r="BM775" s="150"/>
      <c r="BN775" s="150"/>
      <c r="BO775" s="150"/>
      <c r="BP775" s="152"/>
      <c r="BQ775" s="160"/>
      <c r="BR775" s="152"/>
      <c r="BS775" s="160"/>
    </row>
    <row r="776" spans="1:71" x14ac:dyDescent="0.3">
      <c r="A776" s="420">
        <f>DL!A773</f>
        <v>704</v>
      </c>
      <c r="B776" s="19" t="s">
        <v>412</v>
      </c>
      <c r="C776" s="149">
        <f>DL!L773</f>
        <v>32</v>
      </c>
      <c r="D776" s="149">
        <f>DL!C773</f>
        <v>12</v>
      </c>
      <c r="E776" s="150"/>
      <c r="F776" s="463"/>
      <c r="G776" s="150"/>
      <c r="H776" s="150"/>
      <c r="I776" s="469"/>
      <c r="J776" s="150"/>
      <c r="K776" s="168"/>
      <c r="L776" s="469">
        <v>1200</v>
      </c>
      <c r="M776" s="150">
        <v>1000</v>
      </c>
      <c r="N776" s="150"/>
      <c r="O776" s="150"/>
      <c r="P776" s="150"/>
      <c r="Q776" s="150"/>
      <c r="R776" s="150"/>
      <c r="S776" s="476">
        <v>980</v>
      </c>
      <c r="T776" s="150"/>
      <c r="U776" s="150"/>
      <c r="V776" s="150"/>
      <c r="W776" s="168">
        <v>1200</v>
      </c>
      <c r="X776" s="150"/>
      <c r="Y776" s="469"/>
      <c r="Z776" s="455"/>
      <c r="AA776" s="150"/>
      <c r="AB776" s="492"/>
      <c r="AC776" s="150"/>
      <c r="AD776" s="150"/>
      <c r="AE776" s="469"/>
      <c r="AF776" s="499"/>
      <c r="AG776" s="150"/>
      <c r="AH776" s="150"/>
      <c r="AI776" s="150"/>
      <c r="AJ776" s="150"/>
      <c r="AK776" s="150"/>
      <c r="AL776" s="150"/>
      <c r="AM776" s="150"/>
      <c r="AN776" s="150"/>
      <c r="AO776" s="469"/>
      <c r="AP776" s="150"/>
      <c r="AQ776" s="150"/>
      <c r="AR776" s="151"/>
      <c r="AS776" s="456"/>
      <c r="AT776" s="151"/>
      <c r="AU776" s="150"/>
      <c r="AV776" s="487"/>
      <c r="AW776" s="150"/>
      <c r="AX776" s="150"/>
      <c r="AY776" s="469"/>
      <c r="AZ776" s="150"/>
      <c r="BA776" s="150"/>
      <c r="BB776" s="150"/>
      <c r="BC776" s="150"/>
      <c r="BD776" s="150"/>
      <c r="BE776" s="150"/>
      <c r="BF776" s="150"/>
      <c r="BG776" s="150"/>
      <c r="BH776" s="150"/>
      <c r="BI776" s="150"/>
      <c r="BJ776" s="469"/>
      <c r="BK776" s="152"/>
      <c r="BL776" s="160"/>
      <c r="BM776" s="150"/>
      <c r="BN776" s="150"/>
      <c r="BO776" s="150"/>
      <c r="BP776" s="152"/>
      <c r="BQ776" s="160"/>
      <c r="BR776" s="152"/>
      <c r="BS776" s="160"/>
    </row>
    <row r="777" spans="1:71" x14ac:dyDescent="0.3">
      <c r="A777" s="420">
        <f>DL!A774</f>
        <v>705</v>
      </c>
      <c r="B777" s="19" t="s">
        <v>413</v>
      </c>
      <c r="C777" s="149">
        <f>DL!L774</f>
        <v>10</v>
      </c>
      <c r="D777" s="149">
        <f>DL!C774</f>
        <v>12</v>
      </c>
      <c r="E777" s="150"/>
      <c r="F777" s="463"/>
      <c r="G777" s="150"/>
      <c r="H777" s="150"/>
      <c r="I777" s="469"/>
      <c r="J777" s="150"/>
      <c r="K777" s="168"/>
      <c r="L777" s="469">
        <v>800</v>
      </c>
      <c r="M777" s="150">
        <v>800</v>
      </c>
      <c r="N777" s="150"/>
      <c r="O777" s="150"/>
      <c r="P777" s="150"/>
      <c r="Q777" s="150"/>
      <c r="R777" s="150"/>
      <c r="S777" s="476">
        <v>700</v>
      </c>
      <c r="T777" s="150"/>
      <c r="U777" s="150"/>
      <c r="V777" s="150"/>
      <c r="W777" s="168">
        <v>850</v>
      </c>
      <c r="X777" s="150"/>
      <c r="Y777" s="469"/>
      <c r="Z777" s="455"/>
      <c r="AA777" s="150"/>
      <c r="AB777" s="492"/>
      <c r="AC777" s="150"/>
      <c r="AD777" s="150"/>
      <c r="AE777" s="469"/>
      <c r="AF777" s="499"/>
      <c r="AG777" s="150"/>
      <c r="AH777" s="150"/>
      <c r="AI777" s="150"/>
      <c r="AJ777" s="150"/>
      <c r="AK777" s="150"/>
      <c r="AL777" s="150"/>
      <c r="AM777" s="150"/>
      <c r="AN777" s="150"/>
      <c r="AO777" s="469"/>
      <c r="AP777" s="150"/>
      <c r="AQ777" s="150"/>
      <c r="AR777" s="151"/>
      <c r="AS777" s="456"/>
      <c r="AT777" s="151"/>
      <c r="AU777" s="150"/>
      <c r="AV777" s="487"/>
      <c r="AW777" s="150"/>
      <c r="AX777" s="150"/>
      <c r="AY777" s="469"/>
      <c r="AZ777" s="150"/>
      <c r="BA777" s="150"/>
      <c r="BB777" s="150"/>
      <c r="BC777" s="150"/>
      <c r="BD777" s="150"/>
      <c r="BE777" s="150"/>
      <c r="BF777" s="150"/>
      <c r="BG777" s="150"/>
      <c r="BH777" s="150"/>
      <c r="BI777" s="150"/>
      <c r="BJ777" s="469"/>
      <c r="BK777" s="152"/>
      <c r="BL777" s="160"/>
      <c r="BM777" s="150"/>
      <c r="BN777" s="150"/>
      <c r="BO777" s="150"/>
      <c r="BP777" s="152"/>
      <c r="BQ777" s="160"/>
      <c r="BR777" s="152"/>
      <c r="BS777" s="160"/>
    </row>
    <row r="778" spans="1:71" x14ac:dyDescent="0.3">
      <c r="A778" s="420">
        <f>DL!A775</f>
        <v>706</v>
      </c>
      <c r="B778" s="19" t="s">
        <v>2177</v>
      </c>
      <c r="C778" s="149">
        <v>100</v>
      </c>
      <c r="D778" s="149">
        <f>DL!C775</f>
        <v>12</v>
      </c>
      <c r="E778" s="150"/>
      <c r="F778" s="463"/>
      <c r="G778" s="150"/>
      <c r="H778" s="150"/>
      <c r="I778" s="469"/>
      <c r="J778" s="150"/>
      <c r="K778" s="168"/>
      <c r="L778" s="469">
        <v>800</v>
      </c>
      <c r="M778" s="150">
        <v>700</v>
      </c>
      <c r="N778" s="150"/>
      <c r="O778" s="150"/>
      <c r="P778" s="150"/>
      <c r="Q778" s="150"/>
      <c r="R778" s="150"/>
      <c r="S778" s="476">
        <v>700</v>
      </c>
      <c r="T778" s="150"/>
      <c r="U778" s="150"/>
      <c r="V778" s="150"/>
      <c r="W778" s="168">
        <v>800</v>
      </c>
      <c r="X778" s="150"/>
      <c r="Y778" s="469"/>
      <c r="Z778" s="455"/>
      <c r="AA778" s="150"/>
      <c r="AB778" s="492"/>
      <c r="AC778" s="150"/>
      <c r="AD778" s="150"/>
      <c r="AE778" s="469"/>
      <c r="AF778" s="499"/>
      <c r="AG778" s="150"/>
      <c r="AH778" s="150"/>
      <c r="AI778" s="150"/>
      <c r="AJ778" s="150"/>
      <c r="AK778" s="150"/>
      <c r="AL778" s="150"/>
      <c r="AM778" s="150"/>
      <c r="AN778" s="150"/>
      <c r="AO778" s="469"/>
      <c r="AP778" s="150"/>
      <c r="AQ778" s="150"/>
      <c r="AR778" s="151"/>
      <c r="AS778" s="456"/>
      <c r="AT778" s="151"/>
      <c r="AU778" s="150"/>
      <c r="AV778" s="487"/>
      <c r="AW778" s="150"/>
      <c r="AX778" s="150"/>
      <c r="AY778" s="469"/>
      <c r="AZ778" s="150"/>
      <c r="BA778" s="150"/>
      <c r="BB778" s="150"/>
      <c r="BC778" s="150"/>
      <c r="BD778" s="150"/>
      <c r="BE778" s="150"/>
      <c r="BF778" s="150"/>
      <c r="BG778" s="150"/>
      <c r="BH778" s="150"/>
      <c r="BI778" s="150"/>
      <c r="BJ778" s="469"/>
      <c r="BK778" s="152"/>
      <c r="BL778" s="160"/>
      <c r="BM778" s="150"/>
      <c r="BN778" s="150"/>
      <c r="BO778" s="150"/>
      <c r="BP778" s="152"/>
      <c r="BQ778" s="160"/>
      <c r="BR778" s="152"/>
      <c r="BS778" s="160"/>
    </row>
    <row r="779" spans="1:71" x14ac:dyDescent="0.3">
      <c r="A779" s="420">
        <f>DL!A776</f>
        <v>707</v>
      </c>
      <c r="B779" s="19" t="s">
        <v>1406</v>
      </c>
      <c r="C779" s="149">
        <f>DL!L776</f>
        <v>12</v>
      </c>
      <c r="D779" s="149">
        <f>DL!C776</f>
        <v>12</v>
      </c>
      <c r="E779" s="150"/>
      <c r="F779" s="463"/>
      <c r="G779" s="150"/>
      <c r="H779" s="150"/>
      <c r="I779" s="469"/>
      <c r="J779" s="150"/>
      <c r="K779" s="168"/>
      <c r="L779" s="469">
        <v>8000</v>
      </c>
      <c r="M779" s="150"/>
      <c r="N779" s="150"/>
      <c r="O779" s="150"/>
      <c r="P779" s="150"/>
      <c r="Q779" s="150"/>
      <c r="R779" s="150"/>
      <c r="S779" s="476">
        <v>5500</v>
      </c>
      <c r="T779" s="150"/>
      <c r="U779" s="150"/>
      <c r="V779" s="150"/>
      <c r="W779" s="168">
        <v>5500</v>
      </c>
      <c r="X779" s="150"/>
      <c r="Y779" s="469"/>
      <c r="Z779" s="455"/>
      <c r="AA779" s="150"/>
      <c r="AB779" s="492"/>
      <c r="AC779" s="150"/>
      <c r="AD779" s="150"/>
      <c r="AE779" s="469"/>
      <c r="AF779" s="499"/>
      <c r="AG779" s="150"/>
      <c r="AH779" s="150"/>
      <c r="AI779" s="150"/>
      <c r="AJ779" s="150"/>
      <c r="AK779" s="150"/>
      <c r="AL779" s="150"/>
      <c r="AM779" s="150"/>
      <c r="AN779" s="150"/>
      <c r="AO779" s="469"/>
      <c r="AP779" s="150"/>
      <c r="AQ779" s="150"/>
      <c r="AR779" s="151"/>
      <c r="AS779" s="456"/>
      <c r="AT779" s="151"/>
      <c r="AU779" s="150"/>
      <c r="AV779" s="487"/>
      <c r="AW779" s="150"/>
      <c r="AX779" s="150"/>
      <c r="AY779" s="469"/>
      <c r="AZ779" s="150"/>
      <c r="BA779" s="150"/>
      <c r="BB779" s="150"/>
      <c r="BC779" s="150"/>
      <c r="BD779" s="150"/>
      <c r="BE779" s="150"/>
      <c r="BF779" s="150"/>
      <c r="BG779" s="150"/>
      <c r="BH779" s="150"/>
      <c r="BI779" s="150"/>
      <c r="BJ779" s="469"/>
      <c r="BK779" s="152"/>
      <c r="BL779" s="160"/>
      <c r="BM779" s="150"/>
      <c r="BN779" s="150"/>
      <c r="BO779" s="150"/>
      <c r="BP779" s="152"/>
      <c r="BQ779" s="160"/>
      <c r="BR779" s="152"/>
      <c r="BS779" s="160"/>
    </row>
    <row r="780" spans="1:71" x14ac:dyDescent="0.3">
      <c r="A780" s="420">
        <f>DL!A777</f>
        <v>708</v>
      </c>
      <c r="B780" s="19" t="s">
        <v>499</v>
      </c>
      <c r="C780" s="149">
        <f>DL!L777</f>
        <v>10</v>
      </c>
      <c r="D780" s="149">
        <f>DL!C777</f>
        <v>12</v>
      </c>
      <c r="E780" s="150"/>
      <c r="F780" s="463"/>
      <c r="G780" s="150"/>
      <c r="H780" s="150"/>
      <c r="I780" s="469"/>
      <c r="J780" s="150"/>
      <c r="K780" s="168"/>
      <c r="L780" s="469">
        <v>7500</v>
      </c>
      <c r="M780" s="150"/>
      <c r="N780" s="150"/>
      <c r="O780" s="150"/>
      <c r="P780" s="150"/>
      <c r="Q780" s="150"/>
      <c r="R780" s="150"/>
      <c r="S780" s="476">
        <v>4500</v>
      </c>
      <c r="T780" s="150"/>
      <c r="U780" s="150"/>
      <c r="V780" s="150"/>
      <c r="W780" s="168">
        <v>6000</v>
      </c>
      <c r="X780" s="150"/>
      <c r="Y780" s="469"/>
      <c r="Z780" s="455"/>
      <c r="AA780" s="150"/>
      <c r="AB780" s="492"/>
      <c r="AC780" s="150"/>
      <c r="AD780" s="150"/>
      <c r="AE780" s="469"/>
      <c r="AF780" s="499"/>
      <c r="AG780" s="150"/>
      <c r="AH780" s="150"/>
      <c r="AI780" s="150"/>
      <c r="AJ780" s="150"/>
      <c r="AK780" s="150"/>
      <c r="AL780" s="150"/>
      <c r="AM780" s="150"/>
      <c r="AN780" s="150"/>
      <c r="AO780" s="469"/>
      <c r="AP780" s="150"/>
      <c r="AQ780" s="150"/>
      <c r="AR780" s="151"/>
      <c r="AS780" s="456"/>
      <c r="AT780" s="151"/>
      <c r="AU780" s="150"/>
      <c r="AV780" s="487"/>
      <c r="AW780" s="150"/>
      <c r="AX780" s="150"/>
      <c r="AY780" s="469"/>
      <c r="AZ780" s="150"/>
      <c r="BA780" s="150"/>
      <c r="BB780" s="150"/>
      <c r="BC780" s="150"/>
      <c r="BD780" s="150"/>
      <c r="BE780" s="150"/>
      <c r="BF780" s="150"/>
      <c r="BG780" s="150"/>
      <c r="BH780" s="150"/>
      <c r="BI780" s="150"/>
      <c r="BJ780" s="469"/>
      <c r="BK780" s="152"/>
      <c r="BL780" s="160"/>
      <c r="BM780" s="150"/>
      <c r="BN780" s="150"/>
      <c r="BO780" s="150"/>
      <c r="BP780" s="152"/>
      <c r="BQ780" s="160"/>
      <c r="BR780" s="152"/>
      <c r="BS780" s="160"/>
    </row>
    <row r="781" spans="1:71" x14ac:dyDescent="0.3">
      <c r="A781" s="420"/>
      <c r="B781" s="19"/>
      <c r="C781" s="149">
        <f>DL!L778</f>
        <v>0</v>
      </c>
      <c r="D781" s="149">
        <f>DL!C778</f>
        <v>0</v>
      </c>
      <c r="E781" s="150"/>
      <c r="F781" s="463"/>
      <c r="G781" s="150"/>
      <c r="H781" s="150"/>
      <c r="I781" s="150"/>
      <c r="J781" s="150"/>
      <c r="K781" s="168"/>
      <c r="L781" s="50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68"/>
      <c r="X781" s="150"/>
      <c r="Y781" s="150"/>
      <c r="Z781" s="455"/>
      <c r="AA781" s="150"/>
      <c r="AB781" s="150"/>
      <c r="AC781" s="150"/>
      <c r="AD781" s="150"/>
      <c r="AE781" s="150"/>
      <c r="AF781" s="499"/>
      <c r="AG781" s="150"/>
      <c r="AH781" s="150"/>
      <c r="AI781" s="150"/>
      <c r="AJ781" s="150"/>
      <c r="AK781" s="150"/>
      <c r="AL781" s="150"/>
      <c r="AM781" s="150"/>
      <c r="AN781" s="150"/>
      <c r="AO781" s="500"/>
      <c r="AP781" s="150"/>
      <c r="AQ781" s="150"/>
      <c r="AR781" s="151"/>
      <c r="AS781" s="456"/>
      <c r="AT781" s="151"/>
      <c r="AU781" s="150"/>
      <c r="AV781" s="487"/>
      <c r="AW781" s="150"/>
      <c r="AX781" s="150"/>
      <c r="AY781" s="150"/>
      <c r="AZ781" s="150"/>
      <c r="BA781" s="150"/>
      <c r="BB781" s="150"/>
      <c r="BC781" s="150"/>
      <c r="BD781" s="150"/>
      <c r="BE781" s="150"/>
      <c r="BF781" s="150"/>
      <c r="BG781" s="150"/>
      <c r="BH781" s="150"/>
      <c r="BI781" s="150"/>
      <c r="BJ781" s="150"/>
      <c r="BK781" s="152"/>
      <c r="BL781" s="160"/>
      <c r="BM781" s="150"/>
      <c r="BN781" s="150"/>
      <c r="BO781" s="150"/>
      <c r="BP781" s="152"/>
      <c r="BQ781" s="160"/>
      <c r="BR781" s="152"/>
      <c r="BS781" s="160"/>
    </row>
    <row r="782" spans="1:71" x14ac:dyDescent="0.3">
      <c r="A782" s="420"/>
      <c r="B782" s="19"/>
      <c r="C782" s="149">
        <f>DL!L779</f>
        <v>0</v>
      </c>
      <c r="D782" s="149">
        <f>DL!C779</f>
        <v>0</v>
      </c>
      <c r="E782" s="150"/>
      <c r="F782" s="463"/>
      <c r="G782" s="150"/>
      <c r="H782" s="150"/>
      <c r="I782" s="150"/>
      <c r="J782" s="150"/>
      <c r="K782" s="168"/>
      <c r="L782" s="50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68"/>
      <c r="X782" s="150"/>
      <c r="Y782" s="150"/>
      <c r="Z782" s="455"/>
      <c r="AA782" s="150"/>
      <c r="AB782" s="150"/>
      <c r="AC782" s="150"/>
      <c r="AD782" s="150"/>
      <c r="AE782" s="150"/>
      <c r="AF782" s="499"/>
      <c r="AG782" s="150"/>
      <c r="AH782" s="150"/>
      <c r="AI782" s="150"/>
      <c r="AJ782" s="150"/>
      <c r="AK782" s="150"/>
      <c r="AL782" s="150"/>
      <c r="AM782" s="150"/>
      <c r="AN782" s="150"/>
      <c r="AO782" s="150"/>
      <c r="AP782" s="150"/>
      <c r="AQ782" s="150"/>
      <c r="AR782" s="151"/>
      <c r="AS782" s="456"/>
      <c r="AT782" s="151"/>
      <c r="AU782" s="150"/>
      <c r="AV782" s="487"/>
      <c r="AW782" s="150"/>
      <c r="AX782" s="150"/>
      <c r="AY782" s="150"/>
      <c r="AZ782" s="150"/>
      <c r="BA782" s="150"/>
      <c r="BB782" s="150"/>
      <c r="BC782" s="150"/>
      <c r="BD782" s="150"/>
      <c r="BE782" s="150"/>
      <c r="BF782" s="150"/>
      <c r="BG782" s="150"/>
      <c r="BH782" s="150"/>
      <c r="BI782" s="150"/>
      <c r="BJ782" s="150"/>
      <c r="BK782" s="152"/>
      <c r="BL782" s="160"/>
      <c r="BM782" s="150"/>
      <c r="BN782" s="150"/>
      <c r="BO782" s="150"/>
      <c r="BP782" s="152"/>
      <c r="BQ782" s="160"/>
      <c r="BR782" s="152"/>
      <c r="BS782" s="160"/>
    </row>
    <row r="783" spans="1:71" x14ac:dyDescent="0.3">
      <c r="A783" s="420"/>
      <c r="B783" s="19"/>
      <c r="C783" s="149">
        <f>DL!L780</f>
        <v>0</v>
      </c>
      <c r="D783" s="149">
        <f>DL!C780</f>
        <v>0</v>
      </c>
      <c r="E783" s="150"/>
      <c r="F783" s="463"/>
      <c r="G783" s="150"/>
      <c r="H783" s="150"/>
      <c r="I783" s="150"/>
      <c r="J783" s="150"/>
      <c r="K783" s="168"/>
      <c r="L783" s="50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68"/>
      <c r="X783" s="150"/>
      <c r="Y783" s="150"/>
      <c r="Z783" s="455"/>
      <c r="AA783" s="150"/>
      <c r="AB783" s="150"/>
      <c r="AC783" s="150"/>
      <c r="AD783" s="150"/>
      <c r="AE783" s="150"/>
      <c r="AF783" s="499"/>
      <c r="AG783" s="150"/>
      <c r="AH783" s="150"/>
      <c r="AI783" s="150"/>
      <c r="AJ783" s="150"/>
      <c r="AK783" s="150"/>
      <c r="AL783" s="150"/>
      <c r="AM783" s="150"/>
      <c r="AN783" s="150"/>
      <c r="AO783" s="150"/>
      <c r="AP783" s="150"/>
      <c r="AQ783" s="150"/>
      <c r="AR783" s="151"/>
      <c r="AS783" s="456"/>
      <c r="AT783" s="151"/>
      <c r="AU783" s="150"/>
      <c r="AV783" s="487"/>
      <c r="AW783" s="150"/>
      <c r="AX783" s="150"/>
      <c r="AY783" s="150"/>
      <c r="AZ783" s="150"/>
      <c r="BA783" s="150"/>
      <c r="BB783" s="150"/>
      <c r="BC783" s="150"/>
      <c r="BD783" s="150"/>
      <c r="BE783" s="150"/>
      <c r="BF783" s="150"/>
      <c r="BG783" s="150"/>
      <c r="BH783" s="150"/>
      <c r="BI783" s="150"/>
      <c r="BJ783" s="150"/>
      <c r="BK783" s="152"/>
      <c r="BL783" s="160"/>
      <c r="BM783" s="150"/>
      <c r="BN783" s="150"/>
      <c r="BO783" s="150"/>
      <c r="BP783" s="152"/>
      <c r="BQ783" s="160"/>
      <c r="BR783" s="152"/>
      <c r="BS783" s="160"/>
    </row>
    <row r="784" spans="1:71" x14ac:dyDescent="0.3">
      <c r="A784" s="420" t="str">
        <f>DL!A781</f>
        <v>LOT 14</v>
      </c>
      <c r="B784" s="20" t="s">
        <v>1489</v>
      </c>
      <c r="C784" s="149">
        <f>DL!L781</f>
        <v>0</v>
      </c>
      <c r="D784" s="149">
        <f>DL!C781</f>
        <v>0</v>
      </c>
      <c r="E784" s="150"/>
      <c r="F784" s="463"/>
      <c r="G784" s="150"/>
      <c r="H784" s="150"/>
      <c r="I784" s="150"/>
      <c r="J784" s="150"/>
      <c r="K784" s="168"/>
      <c r="L784" s="50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68"/>
      <c r="X784" s="150"/>
      <c r="Y784" s="150"/>
      <c r="Z784" s="455"/>
      <c r="AA784" s="150"/>
      <c r="AB784" s="150"/>
      <c r="AC784" s="150"/>
      <c r="AD784" s="150"/>
      <c r="AE784" s="150"/>
      <c r="AF784" s="499"/>
      <c r="AG784" s="150"/>
      <c r="AH784" s="150"/>
      <c r="AI784" s="150"/>
      <c r="AJ784" s="150"/>
      <c r="AK784" s="150"/>
      <c r="AL784" s="150"/>
      <c r="AM784" s="150"/>
      <c r="AN784" s="150"/>
      <c r="AO784" s="150"/>
      <c r="AP784" s="150"/>
      <c r="AQ784" s="150"/>
      <c r="AR784" s="151"/>
      <c r="AS784" s="456"/>
      <c r="AT784" s="151"/>
      <c r="AU784" s="150"/>
      <c r="AV784" s="487"/>
      <c r="AW784" s="150"/>
      <c r="AX784" s="150"/>
      <c r="AY784" s="150"/>
      <c r="AZ784" s="150"/>
      <c r="BA784" s="150"/>
      <c r="BB784" s="150"/>
      <c r="BC784" s="150"/>
      <c r="BD784" s="150"/>
      <c r="BE784" s="150"/>
      <c r="BF784" s="150"/>
      <c r="BG784" s="150"/>
      <c r="BH784" s="150"/>
      <c r="BI784" s="150"/>
      <c r="BJ784" s="150"/>
      <c r="BK784" s="152"/>
      <c r="BL784" s="160"/>
      <c r="BM784" s="150"/>
      <c r="BN784" s="150"/>
      <c r="BO784" s="150"/>
      <c r="BP784" s="152"/>
      <c r="BQ784" s="160"/>
      <c r="BR784" s="152"/>
      <c r="BS784" s="160"/>
    </row>
    <row r="785" spans="1:71" x14ac:dyDescent="0.3">
      <c r="A785" s="420"/>
      <c r="B785" s="19"/>
      <c r="C785" s="149">
        <f>DL!L782</f>
        <v>0</v>
      </c>
      <c r="D785" s="149">
        <f>DL!C782</f>
        <v>0</v>
      </c>
      <c r="E785" s="150"/>
      <c r="F785" s="463"/>
      <c r="G785" s="150"/>
      <c r="H785" s="150"/>
      <c r="I785" s="150"/>
      <c r="J785" s="150"/>
      <c r="K785" s="168"/>
      <c r="L785" s="50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68"/>
      <c r="X785" s="150"/>
      <c r="Y785" s="150"/>
      <c r="Z785" s="455"/>
      <c r="AA785" s="150"/>
      <c r="AB785" s="150"/>
      <c r="AC785" s="150"/>
      <c r="AD785" s="150"/>
      <c r="AE785" s="150"/>
      <c r="AF785" s="499"/>
      <c r="AG785" s="150"/>
      <c r="AH785" s="150"/>
      <c r="AI785" s="150"/>
      <c r="AJ785" s="150"/>
      <c r="AK785" s="150"/>
      <c r="AL785" s="150"/>
      <c r="AM785" s="150"/>
      <c r="AN785" s="150"/>
      <c r="AO785" s="150"/>
      <c r="AP785" s="150"/>
      <c r="AQ785" s="150"/>
      <c r="AR785" s="151"/>
      <c r="AS785" s="456"/>
      <c r="AT785" s="151"/>
      <c r="AU785" s="150"/>
      <c r="AV785" s="487"/>
      <c r="AW785" s="150"/>
      <c r="AX785" s="150"/>
      <c r="AY785" s="150"/>
      <c r="AZ785" s="150"/>
      <c r="BA785" s="150"/>
      <c r="BB785" s="150"/>
      <c r="BC785" s="150"/>
      <c r="BD785" s="150"/>
      <c r="BE785" s="150"/>
      <c r="BF785" s="150"/>
      <c r="BG785" s="150"/>
      <c r="BH785" s="150"/>
      <c r="BI785" s="150"/>
      <c r="BJ785" s="150"/>
      <c r="BK785" s="152"/>
      <c r="BL785" s="160"/>
      <c r="BM785" s="150"/>
      <c r="BN785" s="150"/>
      <c r="BO785" s="150"/>
      <c r="BP785" s="152"/>
      <c r="BQ785" s="160"/>
      <c r="BR785" s="152"/>
      <c r="BS785" s="160"/>
    </row>
    <row r="786" spans="1:71" x14ac:dyDescent="0.3">
      <c r="A786" s="420">
        <f>DL!A783</f>
        <v>709</v>
      </c>
      <c r="B786" s="19" t="s">
        <v>1503</v>
      </c>
      <c r="C786" s="149">
        <v>100</v>
      </c>
      <c r="D786" s="149">
        <f>DL!C783</f>
        <v>12</v>
      </c>
      <c r="E786" s="150"/>
      <c r="F786" s="463"/>
      <c r="G786" s="150"/>
      <c r="H786" s="150"/>
      <c r="I786" s="150"/>
      <c r="J786" s="150"/>
      <c r="K786" s="168"/>
      <c r="L786" s="466">
        <v>78000</v>
      </c>
      <c r="M786" s="150"/>
      <c r="N786" s="150"/>
      <c r="O786" s="150"/>
      <c r="P786" s="150"/>
      <c r="Q786" s="150">
        <v>93750</v>
      </c>
      <c r="R786" s="150"/>
      <c r="S786" s="150"/>
      <c r="T786" s="150"/>
      <c r="U786" s="150"/>
      <c r="V786" s="150"/>
      <c r="W786" s="168"/>
      <c r="X786" s="150"/>
      <c r="Y786" s="150"/>
      <c r="Z786" s="455"/>
      <c r="AA786" s="150"/>
      <c r="AB786" s="150"/>
      <c r="AC786" s="150">
        <v>82500</v>
      </c>
      <c r="AD786" s="150"/>
      <c r="AE786" s="150"/>
      <c r="AF786" s="499"/>
      <c r="AG786" s="150"/>
      <c r="AH786" s="150"/>
      <c r="AI786" s="150"/>
      <c r="AJ786" s="150"/>
      <c r="AK786" s="150"/>
      <c r="AL786" s="150">
        <v>90000</v>
      </c>
      <c r="AM786" s="150"/>
      <c r="AN786" s="150"/>
      <c r="AO786" s="150"/>
      <c r="AP786" s="150"/>
      <c r="AQ786" s="150"/>
      <c r="AR786" s="151"/>
      <c r="AS786" s="456"/>
      <c r="AT786" s="151"/>
      <c r="AU786" s="150"/>
      <c r="AV786" s="487"/>
      <c r="AW786" s="150"/>
      <c r="AX786" s="150"/>
      <c r="AY786" s="150"/>
      <c r="AZ786" s="150"/>
      <c r="BA786" s="150"/>
      <c r="BB786" s="150"/>
      <c r="BC786" s="150"/>
      <c r="BD786" s="150"/>
      <c r="BE786" s="150"/>
      <c r="BF786" s="150"/>
      <c r="BG786" s="150"/>
      <c r="BH786" s="150"/>
      <c r="BI786" s="150"/>
      <c r="BJ786" s="150"/>
      <c r="BK786" s="152"/>
      <c r="BL786" s="160">
        <v>85050</v>
      </c>
      <c r="BM786" s="150"/>
      <c r="BN786" s="150"/>
      <c r="BO786" s="150"/>
      <c r="BP786" s="152"/>
      <c r="BQ786" s="160"/>
      <c r="BR786" s="152"/>
      <c r="BS786" s="160"/>
    </row>
    <row r="787" spans="1:71" x14ac:dyDescent="0.3">
      <c r="A787" s="420">
        <f>DL!A784</f>
        <v>710</v>
      </c>
      <c r="B787" s="450" t="s">
        <v>1504</v>
      </c>
      <c r="C787" s="149">
        <v>90</v>
      </c>
      <c r="D787" s="149">
        <f>DL!C784</f>
        <v>12</v>
      </c>
      <c r="E787" s="150"/>
      <c r="F787" s="463"/>
      <c r="G787" s="150"/>
      <c r="H787" s="150"/>
      <c r="I787" s="150"/>
      <c r="J787" s="150"/>
      <c r="K787" s="168"/>
      <c r="L787" s="466">
        <v>65000</v>
      </c>
      <c r="M787" s="150"/>
      <c r="N787" s="150"/>
      <c r="O787" s="150"/>
      <c r="P787" s="150"/>
      <c r="Q787" s="150">
        <v>68750</v>
      </c>
      <c r="R787" s="150"/>
      <c r="S787" s="150"/>
      <c r="T787" s="150"/>
      <c r="U787" s="150"/>
      <c r="V787" s="150"/>
      <c r="W787" s="168"/>
      <c r="X787" s="150"/>
      <c r="Y787" s="150"/>
      <c r="Z787" s="455"/>
      <c r="AA787" s="150"/>
      <c r="AB787" s="150"/>
      <c r="AC787" s="150">
        <v>60500</v>
      </c>
      <c r="AD787" s="150"/>
      <c r="AE787" s="150"/>
      <c r="AF787" s="499"/>
      <c r="AG787" s="150"/>
      <c r="AH787" s="150"/>
      <c r="AI787" s="150"/>
      <c r="AJ787" s="150"/>
      <c r="AK787" s="150"/>
      <c r="AL787" s="150">
        <v>75000</v>
      </c>
      <c r="AM787" s="150"/>
      <c r="AN787" s="150"/>
      <c r="AO787" s="150"/>
      <c r="AP787" s="150"/>
      <c r="AQ787" s="150"/>
      <c r="AR787" s="151"/>
      <c r="AS787" s="456"/>
      <c r="AT787" s="151"/>
      <c r="AU787" s="150"/>
      <c r="AV787" s="487"/>
      <c r="AW787" s="150"/>
      <c r="AX787" s="150"/>
      <c r="AY787" s="150"/>
      <c r="AZ787" s="150"/>
      <c r="BA787" s="150"/>
      <c r="BB787" s="150"/>
      <c r="BC787" s="150"/>
      <c r="BD787" s="150"/>
      <c r="BE787" s="150"/>
      <c r="BF787" s="150"/>
      <c r="BG787" s="150"/>
      <c r="BH787" s="150"/>
      <c r="BI787" s="150"/>
      <c r="BJ787" s="150"/>
      <c r="BK787" s="152"/>
      <c r="BL787" s="160">
        <v>62100</v>
      </c>
      <c r="BM787" s="150"/>
      <c r="BN787" s="150"/>
      <c r="BO787" s="150"/>
      <c r="BP787" s="152"/>
      <c r="BQ787" s="160"/>
      <c r="BR787" s="152"/>
      <c r="BS787" s="160"/>
    </row>
    <row r="788" spans="1:71" x14ac:dyDescent="0.3">
      <c r="A788" s="420">
        <f>DL!A785</f>
        <v>711</v>
      </c>
      <c r="B788" s="450" t="s">
        <v>1505</v>
      </c>
      <c r="C788" s="149">
        <v>25</v>
      </c>
      <c r="D788" s="149" t="str">
        <f>DL!C785</f>
        <v>PACK</v>
      </c>
      <c r="E788" s="150"/>
      <c r="F788" s="463"/>
      <c r="G788" s="150"/>
      <c r="H788" s="150"/>
      <c r="I788" s="150"/>
      <c r="J788" s="150"/>
      <c r="K788" s="168"/>
      <c r="L788" s="466">
        <v>120000</v>
      </c>
      <c r="M788" s="150"/>
      <c r="N788" s="150"/>
      <c r="O788" s="150"/>
      <c r="P788" s="150"/>
      <c r="Q788" s="150">
        <v>143750</v>
      </c>
      <c r="R788" s="150"/>
      <c r="S788" s="150"/>
      <c r="T788" s="150"/>
      <c r="U788" s="150"/>
      <c r="V788" s="150"/>
      <c r="W788" s="168"/>
      <c r="X788" s="150"/>
      <c r="Y788" s="150"/>
      <c r="Z788" s="455"/>
      <c r="AA788" s="150"/>
      <c r="AB788" s="150"/>
      <c r="AC788" s="150"/>
      <c r="AD788" s="150"/>
      <c r="AE788" s="150"/>
      <c r="AF788" s="499"/>
      <c r="AG788" s="150"/>
      <c r="AH788" s="150"/>
      <c r="AI788" s="150"/>
      <c r="AJ788" s="150"/>
      <c r="AK788" s="150"/>
      <c r="AL788" s="150">
        <v>165000</v>
      </c>
      <c r="AM788" s="150"/>
      <c r="AN788" s="150"/>
      <c r="AO788" s="150"/>
      <c r="AP788" s="150"/>
      <c r="AQ788" s="150"/>
      <c r="AR788" s="151"/>
      <c r="AS788" s="456"/>
      <c r="AT788" s="151"/>
      <c r="AU788" s="150"/>
      <c r="AV788" s="487"/>
      <c r="AW788" s="150"/>
      <c r="AX788" s="150"/>
      <c r="AY788" s="150"/>
      <c r="AZ788" s="150"/>
      <c r="BA788" s="150"/>
      <c r="BB788" s="150"/>
      <c r="BC788" s="150"/>
      <c r="BD788" s="150"/>
      <c r="BE788" s="150"/>
      <c r="BF788" s="150"/>
      <c r="BG788" s="150"/>
      <c r="BH788" s="150"/>
      <c r="BI788" s="150"/>
      <c r="BJ788" s="150"/>
      <c r="BK788" s="152"/>
      <c r="BL788" s="160"/>
      <c r="BM788" s="150"/>
      <c r="BN788" s="150"/>
      <c r="BO788" s="150"/>
      <c r="BP788" s="152"/>
      <c r="BQ788" s="160"/>
      <c r="BR788" s="152"/>
      <c r="BS788" s="160"/>
    </row>
    <row r="789" spans="1:71" x14ac:dyDescent="0.3">
      <c r="A789" s="420">
        <f>DL!A786</f>
        <v>712</v>
      </c>
      <c r="B789" s="450" t="s">
        <v>1506</v>
      </c>
      <c r="C789" s="149">
        <v>28</v>
      </c>
      <c r="D789" s="149" t="str">
        <f>DL!C786</f>
        <v>PACK</v>
      </c>
      <c r="E789" s="150"/>
      <c r="F789" s="463"/>
      <c r="G789" s="150"/>
      <c r="H789" s="150"/>
      <c r="I789" s="150"/>
      <c r="J789" s="150"/>
      <c r="K789" s="168"/>
      <c r="L789" s="466"/>
      <c r="M789" s="150"/>
      <c r="N789" s="150"/>
      <c r="O789" s="150"/>
      <c r="P789" s="150"/>
      <c r="Q789" s="150">
        <v>95000</v>
      </c>
      <c r="R789" s="150"/>
      <c r="S789" s="150"/>
      <c r="T789" s="150"/>
      <c r="U789" s="150"/>
      <c r="V789" s="150"/>
      <c r="W789" s="168"/>
      <c r="X789" s="150"/>
      <c r="Y789" s="150"/>
      <c r="Z789" s="455"/>
      <c r="AA789" s="150"/>
      <c r="AB789" s="150"/>
      <c r="AC789" s="150"/>
      <c r="AD789" s="150"/>
      <c r="AE789" s="150"/>
      <c r="AF789" s="499"/>
      <c r="AG789" s="150"/>
      <c r="AH789" s="150"/>
      <c r="AI789" s="150"/>
      <c r="AJ789" s="150"/>
      <c r="AK789" s="150"/>
      <c r="AL789" s="150">
        <v>97500</v>
      </c>
      <c r="AM789" s="150"/>
      <c r="AN789" s="150"/>
      <c r="AO789" s="150"/>
      <c r="AP789" s="150"/>
      <c r="AQ789" s="150"/>
      <c r="AR789" s="151"/>
      <c r="AS789" s="456"/>
      <c r="AT789" s="151"/>
      <c r="AU789" s="150"/>
      <c r="AV789" s="487"/>
      <c r="AW789" s="150"/>
      <c r="AX789" s="150"/>
      <c r="AY789" s="150"/>
      <c r="AZ789" s="150"/>
      <c r="BA789" s="150"/>
      <c r="BB789" s="150"/>
      <c r="BC789" s="150"/>
      <c r="BD789" s="150"/>
      <c r="BE789" s="150"/>
      <c r="BF789" s="150"/>
      <c r="BG789" s="150"/>
      <c r="BH789" s="150"/>
      <c r="BI789" s="150"/>
      <c r="BJ789" s="150"/>
      <c r="BK789" s="152"/>
      <c r="BL789" s="160"/>
      <c r="BM789" s="150"/>
      <c r="BN789" s="150"/>
      <c r="BO789" s="150"/>
      <c r="BP789" s="152"/>
      <c r="BQ789" s="160"/>
      <c r="BR789" s="152"/>
      <c r="BS789" s="160"/>
    </row>
    <row r="790" spans="1:71" x14ac:dyDescent="0.3">
      <c r="A790" s="420">
        <f>DL!A787</f>
        <v>713</v>
      </c>
      <c r="B790" s="42" t="s">
        <v>1492</v>
      </c>
      <c r="C790" s="149">
        <f>DL!L787</f>
        <v>15</v>
      </c>
      <c r="D790" s="149" t="str">
        <f>DL!C787</f>
        <v>5L</v>
      </c>
      <c r="E790" s="150"/>
      <c r="F790" s="463"/>
      <c r="G790" s="150"/>
      <c r="H790" s="150"/>
      <c r="I790" s="150"/>
      <c r="J790" s="150"/>
      <c r="K790" s="168"/>
      <c r="L790" s="466">
        <v>4000</v>
      </c>
      <c r="M790" s="150"/>
      <c r="N790" s="150"/>
      <c r="O790" s="150"/>
      <c r="P790" s="150"/>
      <c r="Q790" s="150">
        <v>4625</v>
      </c>
      <c r="R790" s="150"/>
      <c r="S790" s="150"/>
      <c r="T790" s="150"/>
      <c r="U790" s="150"/>
      <c r="V790" s="150"/>
      <c r="W790" s="168"/>
      <c r="X790" s="150"/>
      <c r="Y790" s="150"/>
      <c r="Z790" s="455"/>
      <c r="AA790" s="150"/>
      <c r="AB790" s="150"/>
      <c r="AC790" s="150">
        <v>3850</v>
      </c>
      <c r="AD790" s="150"/>
      <c r="AE790" s="150"/>
      <c r="AF790" s="499"/>
      <c r="AG790" s="150"/>
      <c r="AH790" s="150"/>
      <c r="AI790" s="150"/>
      <c r="AJ790" s="150"/>
      <c r="AK790" s="150"/>
      <c r="AL790" s="150">
        <v>7500</v>
      </c>
      <c r="AM790" s="150"/>
      <c r="AN790" s="150"/>
      <c r="AO790" s="150"/>
      <c r="AP790" s="150"/>
      <c r="AQ790" s="150"/>
      <c r="AR790" s="151"/>
      <c r="AS790" s="456"/>
      <c r="AT790" s="151"/>
      <c r="AU790" s="150"/>
      <c r="AV790" s="487"/>
      <c r="AW790" s="150"/>
      <c r="AX790" s="150"/>
      <c r="AY790" s="150"/>
      <c r="AZ790" s="150"/>
      <c r="BA790" s="150"/>
      <c r="BB790" s="150"/>
      <c r="BC790" s="150"/>
      <c r="BD790" s="150"/>
      <c r="BE790" s="150"/>
      <c r="BF790" s="150"/>
      <c r="BG790" s="150"/>
      <c r="BH790" s="150"/>
      <c r="BI790" s="150"/>
      <c r="BJ790" s="150"/>
      <c r="BK790" s="152"/>
      <c r="BL790" s="160">
        <v>4500</v>
      </c>
      <c r="BM790" s="150"/>
      <c r="BN790" s="150"/>
      <c r="BO790" s="150"/>
      <c r="BP790" s="152"/>
      <c r="BQ790" s="160"/>
      <c r="BR790" s="152"/>
      <c r="BS790" s="160"/>
    </row>
    <row r="791" spans="1:71" x14ac:dyDescent="0.3">
      <c r="A791" s="420">
        <f>DL!A788</f>
        <v>714</v>
      </c>
      <c r="B791" s="16" t="s">
        <v>1494</v>
      </c>
      <c r="C791" s="149">
        <v>50</v>
      </c>
      <c r="D791" s="149">
        <f>DL!C788</f>
        <v>48</v>
      </c>
      <c r="E791" s="150"/>
      <c r="F791" s="463"/>
      <c r="G791" s="150"/>
      <c r="H791" s="150"/>
      <c r="I791" s="150"/>
      <c r="J791" s="150"/>
      <c r="K791" s="168"/>
      <c r="L791" s="466"/>
      <c r="M791" s="150"/>
      <c r="N791" s="150"/>
      <c r="O791" s="150"/>
      <c r="P791" s="150"/>
      <c r="Q791" s="150">
        <v>4125</v>
      </c>
      <c r="R791" s="150"/>
      <c r="S791" s="150"/>
      <c r="T791" s="150"/>
      <c r="U791" s="150"/>
      <c r="V791" s="150"/>
      <c r="W791" s="168"/>
      <c r="X791" s="150"/>
      <c r="Y791" s="150"/>
      <c r="Z791" s="455"/>
      <c r="AA791" s="150"/>
      <c r="AB791" s="150"/>
      <c r="AC791" s="150"/>
      <c r="AD791" s="150"/>
      <c r="AE791" s="150"/>
      <c r="AF791" s="499"/>
      <c r="AG791" s="150"/>
      <c r="AH791" s="150"/>
      <c r="AI791" s="150"/>
      <c r="AJ791" s="150"/>
      <c r="AK791" s="150"/>
      <c r="AL791" s="150"/>
      <c r="AM791" s="150"/>
      <c r="AN791" s="150"/>
      <c r="AO791" s="150"/>
      <c r="AP791" s="150"/>
      <c r="AQ791" s="150"/>
      <c r="AR791" s="151"/>
      <c r="AS791" s="456"/>
      <c r="AT791" s="151"/>
      <c r="AU791" s="150"/>
      <c r="AV791" s="487"/>
      <c r="AW791" s="150"/>
      <c r="AX791" s="150"/>
      <c r="AY791" s="150"/>
      <c r="AZ791" s="150"/>
      <c r="BA791" s="150"/>
      <c r="BB791" s="150"/>
      <c r="BC791" s="150"/>
      <c r="BD791" s="150"/>
      <c r="BE791" s="150"/>
      <c r="BF791" s="150"/>
      <c r="BG791" s="150"/>
      <c r="BH791" s="150"/>
      <c r="BI791" s="150"/>
      <c r="BJ791" s="150"/>
      <c r="BK791" s="152"/>
      <c r="BL791" s="160"/>
      <c r="BM791" s="150"/>
      <c r="BN791" s="150"/>
      <c r="BO791" s="150"/>
      <c r="BP791" s="152"/>
      <c r="BQ791" s="160"/>
      <c r="BR791" s="152"/>
      <c r="BS791" s="160"/>
    </row>
    <row r="792" spans="1:71" x14ac:dyDescent="0.3">
      <c r="A792" s="420">
        <f>DL!A789</f>
        <v>715</v>
      </c>
      <c r="B792" s="16" t="s">
        <v>1495</v>
      </c>
      <c r="C792" s="149">
        <v>20</v>
      </c>
      <c r="D792" s="149" t="str">
        <f>DL!C789</f>
        <v>BOXES</v>
      </c>
      <c r="E792" s="150"/>
      <c r="F792" s="463"/>
      <c r="G792" s="150"/>
      <c r="H792" s="150"/>
      <c r="I792" s="150"/>
      <c r="J792" s="150"/>
      <c r="K792" s="168"/>
      <c r="L792" s="466">
        <v>5000</v>
      </c>
      <c r="M792" s="150"/>
      <c r="N792" s="150"/>
      <c r="O792" s="150"/>
      <c r="P792" s="150"/>
      <c r="Q792" s="150">
        <v>1625</v>
      </c>
      <c r="R792" s="150"/>
      <c r="S792" s="150"/>
      <c r="T792" s="150"/>
      <c r="U792" s="150"/>
      <c r="V792" s="150"/>
      <c r="W792" s="168"/>
      <c r="X792" s="150"/>
      <c r="Y792" s="150"/>
      <c r="Z792" s="455"/>
      <c r="AA792" s="150"/>
      <c r="AB792" s="150"/>
      <c r="AC792" s="150"/>
      <c r="AD792" s="150"/>
      <c r="AE792" s="150"/>
      <c r="AF792" s="499"/>
      <c r="AG792" s="150"/>
      <c r="AH792" s="150"/>
      <c r="AI792" s="150"/>
      <c r="AJ792" s="150"/>
      <c r="AK792" s="150"/>
      <c r="AL792" s="150">
        <v>3000</v>
      </c>
      <c r="AM792" s="150"/>
      <c r="AN792" s="150"/>
      <c r="AO792" s="150"/>
      <c r="AP792" s="150"/>
      <c r="AQ792" s="150"/>
      <c r="AR792" s="151"/>
      <c r="AS792" s="456"/>
      <c r="AT792" s="151"/>
      <c r="AU792" s="150"/>
      <c r="AV792" s="487"/>
      <c r="AW792" s="150"/>
      <c r="AX792" s="150"/>
      <c r="AY792" s="150"/>
      <c r="AZ792" s="150"/>
      <c r="BA792" s="150"/>
      <c r="BB792" s="150"/>
      <c r="BC792" s="150"/>
      <c r="BD792" s="150"/>
      <c r="BE792" s="150"/>
      <c r="BF792" s="150"/>
      <c r="BG792" s="150"/>
      <c r="BH792" s="150"/>
      <c r="BI792" s="150"/>
      <c r="BJ792" s="150"/>
      <c r="BK792" s="152"/>
      <c r="BL792" s="160"/>
      <c r="BM792" s="150"/>
      <c r="BN792" s="150"/>
      <c r="BO792" s="150"/>
      <c r="BP792" s="152"/>
      <c r="BQ792" s="160"/>
      <c r="BR792" s="152"/>
      <c r="BS792" s="160"/>
    </row>
    <row r="793" spans="1:71" x14ac:dyDescent="0.3">
      <c r="A793" s="420">
        <f>DL!A790</f>
        <v>716</v>
      </c>
      <c r="B793" s="16" t="s">
        <v>1497</v>
      </c>
      <c r="C793" s="149">
        <v>15</v>
      </c>
      <c r="D793" s="149" t="str">
        <f>DL!C790</f>
        <v>BOXES</v>
      </c>
      <c r="E793" s="150"/>
      <c r="F793" s="463"/>
      <c r="G793" s="150"/>
      <c r="H793" s="150"/>
      <c r="I793" s="150"/>
      <c r="J793" s="150"/>
      <c r="K793" s="168"/>
      <c r="L793" s="466">
        <v>500</v>
      </c>
      <c r="M793" s="150"/>
      <c r="N793" s="150"/>
      <c r="O793" s="150"/>
      <c r="P793" s="150"/>
      <c r="Q793" s="150">
        <v>500</v>
      </c>
      <c r="R793" s="150"/>
      <c r="S793" s="150"/>
      <c r="T793" s="150"/>
      <c r="U793" s="150"/>
      <c r="V793" s="150"/>
      <c r="W793" s="168"/>
      <c r="X793" s="150"/>
      <c r="Y793" s="150"/>
      <c r="Z793" s="455"/>
      <c r="AA793" s="150"/>
      <c r="AB793" s="150"/>
      <c r="AC793" s="150">
        <v>330</v>
      </c>
      <c r="AD793" s="150"/>
      <c r="AE793" s="150"/>
      <c r="AF793" s="499"/>
      <c r="AG793" s="150"/>
      <c r="AH793" s="150"/>
      <c r="AI793" s="150"/>
      <c r="AJ793" s="150"/>
      <c r="AK793" s="150"/>
      <c r="AL793" s="150">
        <v>1000</v>
      </c>
      <c r="AM793" s="150"/>
      <c r="AN793" s="150"/>
      <c r="AO793" s="150"/>
      <c r="AP793" s="150"/>
      <c r="AQ793" s="150"/>
      <c r="AR793" s="151"/>
      <c r="AS793" s="456"/>
      <c r="AT793" s="151"/>
      <c r="AU793" s="150"/>
      <c r="AV793" s="487"/>
      <c r="AW793" s="150"/>
      <c r="AX793" s="150"/>
      <c r="AY793" s="150"/>
      <c r="AZ793" s="150"/>
      <c r="BA793" s="150"/>
      <c r="BB793" s="150"/>
      <c r="BC793" s="150"/>
      <c r="BD793" s="150"/>
      <c r="BE793" s="150"/>
      <c r="BF793" s="150"/>
      <c r="BG793" s="150"/>
      <c r="BH793" s="150"/>
      <c r="BI793" s="150"/>
      <c r="BJ793" s="150"/>
      <c r="BK793" s="152"/>
      <c r="BL793" s="160"/>
      <c r="BM793" s="150"/>
      <c r="BN793" s="150"/>
      <c r="BO793" s="150"/>
      <c r="BP793" s="152"/>
      <c r="BQ793" s="160"/>
      <c r="BR793" s="152"/>
      <c r="BS793" s="160"/>
    </row>
    <row r="794" spans="1:71" x14ac:dyDescent="0.3">
      <c r="A794" s="420">
        <f>DL!A791</f>
        <v>717</v>
      </c>
      <c r="B794" s="16" t="s">
        <v>1498</v>
      </c>
      <c r="C794" s="149">
        <v>60</v>
      </c>
      <c r="D794" s="149" t="str">
        <f>DL!C791</f>
        <v>PACK</v>
      </c>
      <c r="E794" s="150"/>
      <c r="F794" s="463"/>
      <c r="G794" s="150"/>
      <c r="H794" s="150"/>
      <c r="I794" s="150"/>
      <c r="J794" s="150"/>
      <c r="K794" s="168"/>
      <c r="L794" s="466">
        <v>15000</v>
      </c>
      <c r="M794" s="150"/>
      <c r="N794" s="150"/>
      <c r="O794" s="150"/>
      <c r="P794" s="150"/>
      <c r="Q794" s="150">
        <v>15625</v>
      </c>
      <c r="R794" s="150"/>
      <c r="S794" s="150"/>
      <c r="T794" s="150"/>
      <c r="U794" s="150"/>
      <c r="V794" s="150"/>
      <c r="W794" s="168"/>
      <c r="X794" s="150"/>
      <c r="Y794" s="150"/>
      <c r="Z794" s="455"/>
      <c r="AA794" s="150"/>
      <c r="AB794" s="150"/>
      <c r="AC794" s="150">
        <v>17920</v>
      </c>
      <c r="AD794" s="150"/>
      <c r="AE794" s="150"/>
      <c r="AF794" s="499"/>
      <c r="AG794" s="150"/>
      <c r="AH794" s="150"/>
      <c r="AI794" s="150"/>
      <c r="AJ794" s="150"/>
      <c r="AK794" s="150"/>
      <c r="AL794" s="150">
        <v>18000</v>
      </c>
      <c r="AM794" s="150"/>
      <c r="AN794" s="150"/>
      <c r="AO794" s="150"/>
      <c r="AP794" s="150"/>
      <c r="AQ794" s="150"/>
      <c r="AR794" s="151"/>
      <c r="AS794" s="456"/>
      <c r="AT794" s="151"/>
      <c r="AU794" s="150"/>
      <c r="AV794" s="487"/>
      <c r="AW794" s="150"/>
      <c r="AX794" s="150"/>
      <c r="AY794" s="150"/>
      <c r="AZ794" s="150"/>
      <c r="BA794" s="150"/>
      <c r="BB794" s="150"/>
      <c r="BC794" s="150"/>
      <c r="BD794" s="150"/>
      <c r="BE794" s="150"/>
      <c r="BF794" s="150"/>
      <c r="BG794" s="150"/>
      <c r="BH794" s="150"/>
      <c r="BI794" s="150"/>
      <c r="BJ794" s="150"/>
      <c r="BK794" s="152"/>
      <c r="BL794" s="160">
        <v>20250</v>
      </c>
      <c r="BM794" s="150"/>
      <c r="BN794" s="150"/>
      <c r="BO794" s="150"/>
      <c r="BP794" s="152"/>
      <c r="BQ794" s="160"/>
      <c r="BR794" s="152"/>
      <c r="BS794" s="160"/>
    </row>
    <row r="795" spans="1:71" x14ac:dyDescent="0.3">
      <c r="A795" s="420">
        <f>DL!A792</f>
        <v>718</v>
      </c>
      <c r="B795" s="16" t="s">
        <v>1499</v>
      </c>
      <c r="C795" s="149">
        <v>5</v>
      </c>
      <c r="D795" s="149" t="str">
        <f>DL!C792</f>
        <v>CARTON</v>
      </c>
      <c r="E795" s="150"/>
      <c r="F795" s="463"/>
      <c r="G795" s="150"/>
      <c r="H795" s="150"/>
      <c r="I795" s="150"/>
      <c r="J795" s="150"/>
      <c r="K795" s="168"/>
      <c r="L795" s="466"/>
      <c r="M795" s="150"/>
      <c r="N795" s="150"/>
      <c r="O795" s="150"/>
      <c r="P795" s="150"/>
      <c r="Q795" s="150">
        <v>57500</v>
      </c>
      <c r="R795" s="150"/>
      <c r="S795" s="150"/>
      <c r="T795" s="150"/>
      <c r="U795" s="150"/>
      <c r="V795" s="150"/>
      <c r="W795" s="168"/>
      <c r="X795" s="150"/>
      <c r="Y795" s="150"/>
      <c r="Z795" s="455"/>
      <c r="AA795" s="150"/>
      <c r="AB795" s="150"/>
      <c r="AC795" s="150">
        <v>17000</v>
      </c>
      <c r="AD795" s="150"/>
      <c r="AE795" s="150"/>
      <c r="AF795" s="499"/>
      <c r="AG795" s="150"/>
      <c r="AH795" s="150"/>
      <c r="AI795" s="150"/>
      <c r="AJ795" s="150"/>
      <c r="AK795" s="150"/>
      <c r="AL795" s="150">
        <v>7000</v>
      </c>
      <c r="AM795" s="150"/>
      <c r="AN795" s="150"/>
      <c r="AO795" s="150"/>
      <c r="AP795" s="150"/>
      <c r="AQ795" s="150"/>
      <c r="AR795" s="151"/>
      <c r="AS795" s="456"/>
      <c r="AT795" s="151"/>
      <c r="AU795" s="150"/>
      <c r="AV795" s="487"/>
      <c r="AW795" s="150"/>
      <c r="AX795" s="150"/>
      <c r="AY795" s="150"/>
      <c r="AZ795" s="150"/>
      <c r="BA795" s="150"/>
      <c r="BB795" s="150"/>
      <c r="BC795" s="150"/>
      <c r="BD795" s="150"/>
      <c r="BE795" s="150"/>
      <c r="BF795" s="150"/>
      <c r="BG795" s="150"/>
      <c r="BH795" s="150"/>
      <c r="BI795" s="150"/>
      <c r="BJ795" s="150"/>
      <c r="BK795" s="152"/>
      <c r="BL795" s="160"/>
      <c r="BM795" s="150"/>
      <c r="BN795" s="150"/>
      <c r="BO795" s="150"/>
      <c r="BP795" s="152"/>
      <c r="BQ795" s="160"/>
      <c r="BR795" s="152"/>
      <c r="BS795" s="160"/>
    </row>
    <row r="796" spans="1:71" x14ac:dyDescent="0.3">
      <c r="A796" s="420">
        <f>DL!A793</f>
        <v>719</v>
      </c>
      <c r="B796" s="16" t="s">
        <v>1500</v>
      </c>
      <c r="C796" s="149">
        <f>DL!L793</f>
        <v>5000</v>
      </c>
      <c r="D796" s="149" t="str">
        <f>DL!C793</f>
        <v>PCS</v>
      </c>
      <c r="E796" s="150"/>
      <c r="F796" s="463"/>
      <c r="G796" s="150"/>
      <c r="H796" s="150"/>
      <c r="I796" s="150"/>
      <c r="J796" s="150"/>
      <c r="K796" s="168"/>
      <c r="L796" s="466"/>
      <c r="M796" s="150"/>
      <c r="N796" s="150"/>
      <c r="O796" s="150"/>
      <c r="P796" s="150"/>
      <c r="Q796" s="150">
        <v>14</v>
      </c>
      <c r="R796" s="150"/>
      <c r="S796" s="150"/>
      <c r="T796" s="150"/>
      <c r="U796" s="150"/>
      <c r="V796" s="150"/>
      <c r="W796" s="168"/>
      <c r="X796" s="150"/>
      <c r="Y796" s="150"/>
      <c r="Z796" s="455"/>
      <c r="AA796" s="150"/>
      <c r="AB796" s="150"/>
      <c r="AC796" s="150"/>
      <c r="AD796" s="150"/>
      <c r="AE796" s="150"/>
      <c r="AF796" s="499"/>
      <c r="AG796" s="150"/>
      <c r="AH796" s="150"/>
      <c r="AI796" s="150"/>
      <c r="AJ796" s="150"/>
      <c r="AK796" s="150"/>
      <c r="AL796" s="150"/>
      <c r="AM796" s="150"/>
      <c r="AN796" s="150"/>
      <c r="AO796" s="150"/>
      <c r="AP796" s="150"/>
      <c r="AQ796" s="150"/>
      <c r="AR796" s="151"/>
      <c r="AS796" s="456"/>
      <c r="AT796" s="151"/>
      <c r="AU796" s="150"/>
      <c r="AV796" s="487"/>
      <c r="AW796" s="150"/>
      <c r="AX796" s="150"/>
      <c r="AY796" s="150"/>
      <c r="AZ796" s="150"/>
      <c r="BA796" s="150"/>
      <c r="BB796" s="150"/>
      <c r="BC796" s="150"/>
      <c r="BD796" s="150"/>
      <c r="BE796" s="150"/>
      <c r="BF796" s="150"/>
      <c r="BG796" s="150"/>
      <c r="BH796" s="150"/>
      <c r="BI796" s="150"/>
      <c r="BJ796" s="150"/>
      <c r="BK796" s="152"/>
      <c r="BL796" s="160"/>
      <c r="BM796" s="150"/>
      <c r="BN796" s="150"/>
      <c r="BO796" s="150"/>
      <c r="BP796" s="152"/>
      <c r="BQ796" s="160"/>
      <c r="BR796" s="152"/>
      <c r="BS796" s="160"/>
    </row>
    <row r="797" spans="1:71" x14ac:dyDescent="0.3">
      <c r="A797" s="420">
        <f>DL!A794</f>
        <v>720</v>
      </c>
      <c r="B797" s="16" t="s">
        <v>1501</v>
      </c>
      <c r="C797" s="149">
        <f>DL!L794</f>
        <v>5000</v>
      </c>
      <c r="D797" s="149" t="str">
        <f>DL!C794</f>
        <v>PCS</v>
      </c>
      <c r="E797" s="150"/>
      <c r="F797" s="463"/>
      <c r="G797" s="150"/>
      <c r="H797" s="150"/>
      <c r="I797" s="150"/>
      <c r="J797" s="150"/>
      <c r="K797" s="168"/>
      <c r="L797" s="466"/>
      <c r="M797" s="150"/>
      <c r="N797" s="150"/>
      <c r="O797" s="150"/>
      <c r="P797" s="150"/>
      <c r="Q797" s="150">
        <v>113</v>
      </c>
      <c r="R797" s="150"/>
      <c r="S797" s="150"/>
      <c r="T797" s="150"/>
      <c r="U797" s="150"/>
      <c r="V797" s="150"/>
      <c r="W797" s="168"/>
      <c r="X797" s="150"/>
      <c r="Y797" s="150"/>
      <c r="Z797" s="455"/>
      <c r="AA797" s="150"/>
      <c r="AB797" s="150"/>
      <c r="AC797" s="150">
        <v>946</v>
      </c>
      <c r="AD797" s="150"/>
      <c r="AE797" s="150"/>
      <c r="AF797" s="499"/>
      <c r="AG797" s="150"/>
      <c r="AH797" s="150"/>
      <c r="AI797" s="150"/>
      <c r="AJ797" s="150"/>
      <c r="AK797" s="150"/>
      <c r="AL797" s="150">
        <v>50</v>
      </c>
      <c r="AM797" s="150"/>
      <c r="AN797" s="150"/>
      <c r="AO797" s="150"/>
      <c r="AP797" s="150"/>
      <c r="AQ797" s="150"/>
      <c r="AR797" s="151"/>
      <c r="AS797" s="456"/>
      <c r="AT797" s="151"/>
      <c r="AU797" s="150"/>
      <c r="AV797" s="487"/>
      <c r="AW797" s="150"/>
      <c r="AX797" s="150"/>
      <c r="AY797" s="150"/>
      <c r="AZ797" s="150"/>
      <c r="BA797" s="150"/>
      <c r="BB797" s="150"/>
      <c r="BC797" s="150"/>
      <c r="BD797" s="150"/>
      <c r="BE797" s="150"/>
      <c r="BF797" s="150"/>
      <c r="BG797" s="150"/>
      <c r="BH797" s="150"/>
      <c r="BI797" s="150"/>
      <c r="BJ797" s="150"/>
      <c r="BK797" s="152"/>
      <c r="BL797" s="160"/>
      <c r="BM797" s="150"/>
      <c r="BN797" s="150"/>
      <c r="BO797" s="150"/>
      <c r="BP797" s="152"/>
      <c r="BQ797" s="160"/>
      <c r="BR797" s="152"/>
      <c r="BS797" s="160"/>
    </row>
    <row r="798" spans="1:71" x14ac:dyDescent="0.3">
      <c r="A798" s="420">
        <f>DL!A795</f>
        <v>721</v>
      </c>
      <c r="B798" s="16" t="s">
        <v>1502</v>
      </c>
      <c r="C798" s="149">
        <f>DL!L795</f>
        <v>5000</v>
      </c>
      <c r="D798" s="149" t="str">
        <f>DL!C795</f>
        <v>PCS</v>
      </c>
      <c r="E798" s="150"/>
      <c r="F798" s="463"/>
      <c r="G798" s="150"/>
      <c r="H798" s="150"/>
      <c r="I798" s="150"/>
      <c r="J798" s="150"/>
      <c r="K798" s="168"/>
      <c r="L798" s="466"/>
      <c r="M798" s="150"/>
      <c r="N798" s="150"/>
      <c r="O798" s="150"/>
      <c r="P798" s="150"/>
      <c r="Q798" s="150">
        <v>81</v>
      </c>
      <c r="R798" s="150"/>
      <c r="S798" s="150"/>
      <c r="T798" s="150"/>
      <c r="U798" s="150"/>
      <c r="V798" s="150"/>
      <c r="W798" s="168"/>
      <c r="X798" s="150"/>
      <c r="Y798" s="150"/>
      <c r="Z798" s="455"/>
      <c r="AA798" s="150"/>
      <c r="AB798" s="150"/>
      <c r="AC798" s="150">
        <v>770</v>
      </c>
      <c r="AD798" s="150"/>
      <c r="AE798" s="150"/>
      <c r="AF798" s="499"/>
      <c r="AG798" s="150"/>
      <c r="AH798" s="150"/>
      <c r="AI798" s="150"/>
      <c r="AJ798" s="150"/>
      <c r="AK798" s="150"/>
      <c r="AL798" s="150">
        <v>30</v>
      </c>
      <c r="AM798" s="150"/>
      <c r="AN798" s="150"/>
      <c r="AO798" s="150"/>
      <c r="AP798" s="150"/>
      <c r="AQ798" s="150"/>
      <c r="AR798" s="151"/>
      <c r="AS798" s="456"/>
      <c r="AT798" s="151"/>
      <c r="AU798" s="150"/>
      <c r="AV798" s="487"/>
      <c r="AW798" s="150"/>
      <c r="AX798" s="150"/>
      <c r="AY798" s="150"/>
      <c r="AZ798" s="150"/>
      <c r="BA798" s="150"/>
      <c r="BB798" s="150"/>
      <c r="BC798" s="150"/>
      <c r="BD798" s="150"/>
      <c r="BE798" s="150"/>
      <c r="BF798" s="150"/>
      <c r="BG798" s="150"/>
      <c r="BH798" s="150"/>
      <c r="BI798" s="150"/>
      <c r="BJ798" s="150"/>
      <c r="BK798" s="152"/>
      <c r="BL798" s="160"/>
      <c r="BM798" s="150"/>
      <c r="BN798" s="150"/>
      <c r="BO798" s="150"/>
      <c r="BP798" s="152"/>
      <c r="BQ798" s="160"/>
      <c r="BR798" s="152"/>
      <c r="BS798" s="160"/>
    </row>
    <row r="799" spans="1:71" x14ac:dyDescent="0.3">
      <c r="A799" s="420"/>
      <c r="B799" s="16"/>
      <c r="C799" s="149">
        <f>DL!L796</f>
        <v>0</v>
      </c>
      <c r="D799" s="149">
        <f>DL!C796</f>
        <v>0</v>
      </c>
      <c r="E799" s="150"/>
      <c r="F799" s="463"/>
      <c r="G799" s="150"/>
      <c r="H799" s="150"/>
      <c r="I799" s="150"/>
      <c r="J799" s="150"/>
      <c r="K799" s="168"/>
      <c r="L799" s="50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68"/>
      <c r="X799" s="150"/>
      <c r="Y799" s="150"/>
      <c r="Z799" s="455"/>
      <c r="AA799" s="150"/>
      <c r="AB799" s="150"/>
      <c r="AC799" s="150"/>
      <c r="AD799" s="150"/>
      <c r="AE799" s="150"/>
      <c r="AF799" s="499"/>
      <c r="AG799" s="150"/>
      <c r="AH799" s="150"/>
      <c r="AI799" s="150"/>
      <c r="AJ799" s="150"/>
      <c r="AK799" s="150"/>
      <c r="AL799" s="150"/>
      <c r="AM799" s="150"/>
      <c r="AN799" s="150"/>
      <c r="AO799" s="150"/>
      <c r="AP799" s="150"/>
      <c r="AQ799" s="150"/>
      <c r="AR799" s="151"/>
      <c r="AS799" s="456"/>
      <c r="AT799" s="151"/>
      <c r="AU799" s="150"/>
      <c r="AV799" s="487"/>
      <c r="AW799" s="150"/>
      <c r="AX799" s="150"/>
      <c r="AY799" s="150"/>
      <c r="AZ799" s="150"/>
      <c r="BA799" s="150"/>
      <c r="BB799" s="150"/>
      <c r="BC799" s="150"/>
      <c r="BD799" s="150"/>
      <c r="BE799" s="150"/>
      <c r="BF799" s="150"/>
      <c r="BG799" s="150"/>
      <c r="BH799" s="150"/>
      <c r="BI799" s="150"/>
      <c r="BJ799" s="150"/>
      <c r="BK799" s="152"/>
      <c r="BL799" s="160"/>
      <c r="BM799" s="150"/>
      <c r="BN799" s="150"/>
      <c r="BO799" s="150"/>
      <c r="BP799" s="152"/>
      <c r="BQ799" s="160"/>
      <c r="BR799" s="152"/>
      <c r="BS799" s="160"/>
    </row>
    <row r="800" spans="1:71" x14ac:dyDescent="0.3">
      <c r="A800" s="420"/>
      <c r="B800" s="19"/>
      <c r="C800" s="149">
        <f>DL!L797</f>
        <v>0</v>
      </c>
      <c r="D800" s="149">
        <f>DL!C797</f>
        <v>0</v>
      </c>
      <c r="E800" s="150"/>
      <c r="F800" s="463"/>
      <c r="G800" s="150"/>
      <c r="H800" s="150"/>
      <c r="I800" s="150"/>
      <c r="J800" s="150"/>
      <c r="K800" s="168"/>
      <c r="L800" s="50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68"/>
      <c r="X800" s="150"/>
      <c r="Y800" s="150"/>
      <c r="Z800" s="455"/>
      <c r="AA800" s="150"/>
      <c r="AB800" s="150"/>
      <c r="AC800" s="150"/>
      <c r="AD800" s="150"/>
      <c r="AE800" s="150"/>
      <c r="AF800" s="499"/>
      <c r="AG800" s="150"/>
      <c r="AH800" s="150"/>
      <c r="AI800" s="150"/>
      <c r="AJ800" s="150"/>
      <c r="AK800" s="150"/>
      <c r="AL800" s="150"/>
      <c r="AM800" s="150"/>
      <c r="AN800" s="150"/>
      <c r="AO800" s="150"/>
      <c r="AP800" s="150"/>
      <c r="AQ800" s="150"/>
      <c r="AR800" s="151"/>
      <c r="AS800" s="456"/>
      <c r="AT800" s="151"/>
      <c r="AU800" s="150"/>
      <c r="AV800" s="487"/>
      <c r="AW800" s="150"/>
      <c r="AX800" s="150"/>
      <c r="AY800" s="150"/>
      <c r="AZ800" s="150"/>
      <c r="BA800" s="150"/>
      <c r="BB800" s="150"/>
      <c r="BC800" s="150"/>
      <c r="BD800" s="150"/>
      <c r="BE800" s="150"/>
      <c r="BF800" s="150"/>
      <c r="BG800" s="150"/>
      <c r="BH800" s="150"/>
      <c r="BI800" s="150"/>
      <c r="BJ800" s="150"/>
      <c r="BK800" s="152"/>
      <c r="BL800" s="160"/>
      <c r="BM800" s="150"/>
      <c r="BN800" s="150"/>
      <c r="BO800" s="150"/>
      <c r="BP800" s="152"/>
      <c r="BQ800" s="160"/>
      <c r="BR800" s="152"/>
      <c r="BS800" s="160"/>
    </row>
    <row r="801" spans="1:71" x14ac:dyDescent="0.3">
      <c r="A801" s="420"/>
      <c r="B801" s="19"/>
      <c r="C801" s="149">
        <f>DL!L798</f>
        <v>0</v>
      </c>
      <c r="D801" s="149">
        <f>DL!C798</f>
        <v>0</v>
      </c>
      <c r="E801" s="150"/>
      <c r="F801" s="463"/>
      <c r="G801" s="150"/>
      <c r="H801" s="150"/>
      <c r="I801" s="150"/>
      <c r="J801" s="150"/>
      <c r="K801" s="168"/>
      <c r="L801" s="50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68"/>
      <c r="X801" s="150"/>
      <c r="Y801" s="150"/>
      <c r="Z801" s="455"/>
      <c r="AA801" s="150"/>
      <c r="AB801" s="150"/>
      <c r="AC801" s="150"/>
      <c r="AD801" s="150"/>
      <c r="AE801" s="150"/>
      <c r="AF801" s="499"/>
      <c r="AG801" s="150"/>
      <c r="AH801" s="150"/>
      <c r="AI801" s="150"/>
      <c r="AJ801" s="150"/>
      <c r="AK801" s="150"/>
      <c r="AL801" s="150"/>
      <c r="AM801" s="150"/>
      <c r="AN801" s="150"/>
      <c r="AO801" s="150"/>
      <c r="AP801" s="150"/>
      <c r="AQ801" s="150"/>
      <c r="AR801" s="151"/>
      <c r="AS801" s="456"/>
      <c r="AT801" s="151"/>
      <c r="AU801" s="150"/>
      <c r="AV801" s="487"/>
      <c r="AW801" s="150"/>
      <c r="AX801" s="150"/>
      <c r="AY801" s="150"/>
      <c r="AZ801" s="150"/>
      <c r="BA801" s="150"/>
      <c r="BB801" s="150"/>
      <c r="BC801" s="150"/>
      <c r="BD801" s="150"/>
      <c r="BE801" s="150"/>
      <c r="BF801" s="150"/>
      <c r="BG801" s="150"/>
      <c r="BH801" s="150"/>
      <c r="BI801" s="150"/>
      <c r="BJ801" s="150"/>
      <c r="BK801" s="152"/>
      <c r="BL801" s="160"/>
      <c r="BM801" s="150"/>
      <c r="BN801" s="150"/>
      <c r="BO801" s="150"/>
      <c r="BP801" s="152"/>
      <c r="BQ801" s="160"/>
      <c r="BR801" s="152"/>
      <c r="BS801" s="160"/>
    </row>
    <row r="802" spans="1:71" x14ac:dyDescent="0.3">
      <c r="A802" s="420"/>
      <c r="B802" s="19"/>
      <c r="C802" s="149">
        <f>DL!L799</f>
        <v>0</v>
      </c>
      <c r="D802" s="149">
        <f>DL!C799</f>
        <v>0</v>
      </c>
      <c r="E802" s="150"/>
      <c r="F802" s="463"/>
      <c r="G802" s="150"/>
      <c r="H802" s="150"/>
      <c r="I802" s="150"/>
      <c r="J802" s="150"/>
      <c r="K802" s="168"/>
      <c r="L802" s="50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68"/>
      <c r="X802" s="150"/>
      <c r="Y802" s="150"/>
      <c r="Z802" s="455"/>
      <c r="AA802" s="150"/>
      <c r="AB802" s="150"/>
      <c r="AC802" s="150"/>
      <c r="AD802" s="150"/>
      <c r="AE802" s="150"/>
      <c r="AF802" s="499"/>
      <c r="AG802" s="150"/>
      <c r="AH802" s="150"/>
      <c r="AI802" s="150"/>
      <c r="AJ802" s="150"/>
      <c r="AK802" s="150"/>
      <c r="AL802" s="150"/>
      <c r="AM802" s="150"/>
      <c r="AN802" s="150"/>
      <c r="AO802" s="150"/>
      <c r="AP802" s="150"/>
      <c r="AQ802" s="150"/>
      <c r="AR802" s="151"/>
      <c r="AS802" s="456"/>
      <c r="AT802" s="151"/>
      <c r="AU802" s="150"/>
      <c r="AV802" s="487"/>
      <c r="AW802" s="150"/>
      <c r="AX802" s="150"/>
      <c r="AY802" s="150"/>
      <c r="AZ802" s="150"/>
      <c r="BA802" s="150"/>
      <c r="BB802" s="150"/>
      <c r="BC802" s="150"/>
      <c r="BD802" s="150"/>
      <c r="BE802" s="150"/>
      <c r="BF802" s="150"/>
      <c r="BG802" s="150"/>
      <c r="BH802" s="150"/>
      <c r="BI802" s="150"/>
      <c r="BJ802" s="150"/>
      <c r="BK802" s="152"/>
      <c r="BL802" s="160"/>
      <c r="BM802" s="150"/>
      <c r="BN802" s="150"/>
      <c r="BO802" s="150"/>
      <c r="BP802" s="152"/>
      <c r="BQ802" s="160"/>
      <c r="BR802" s="152"/>
      <c r="BS802" s="160"/>
    </row>
    <row r="803" spans="1:71" x14ac:dyDescent="0.3">
      <c r="A803" s="420"/>
      <c r="B803" s="19"/>
      <c r="C803" s="149">
        <f>DL!L800</f>
        <v>0</v>
      </c>
      <c r="D803" s="149">
        <f>DL!C800</f>
        <v>0</v>
      </c>
      <c r="E803" s="150"/>
      <c r="F803" s="463"/>
      <c r="G803" s="150"/>
      <c r="H803" s="150"/>
      <c r="I803" s="150"/>
      <c r="J803" s="150"/>
      <c r="K803" s="168"/>
      <c r="L803" s="50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68"/>
      <c r="X803" s="150"/>
      <c r="Y803" s="150"/>
      <c r="Z803" s="455"/>
      <c r="AA803" s="150"/>
      <c r="AB803" s="150"/>
      <c r="AC803" s="150"/>
      <c r="AD803" s="150"/>
      <c r="AE803" s="150"/>
      <c r="AF803" s="499"/>
      <c r="AG803" s="150"/>
      <c r="AH803" s="150"/>
      <c r="AI803" s="150"/>
      <c r="AJ803" s="150"/>
      <c r="AK803" s="150"/>
      <c r="AL803" s="150"/>
      <c r="AM803" s="150"/>
      <c r="AN803" s="150"/>
      <c r="AO803" s="150"/>
      <c r="AP803" s="150"/>
      <c r="AQ803" s="150"/>
      <c r="AR803" s="151"/>
      <c r="AS803" s="456"/>
      <c r="AT803" s="151"/>
      <c r="AU803" s="150"/>
      <c r="AV803" s="487"/>
      <c r="AW803" s="150"/>
      <c r="AX803" s="150"/>
      <c r="AY803" s="150"/>
      <c r="AZ803" s="150"/>
      <c r="BA803" s="150"/>
      <c r="BB803" s="150"/>
      <c r="BC803" s="150"/>
      <c r="BD803" s="150"/>
      <c r="BE803" s="150"/>
      <c r="BF803" s="150"/>
      <c r="BG803" s="150"/>
      <c r="BH803" s="150"/>
      <c r="BI803" s="150"/>
      <c r="BJ803" s="150"/>
      <c r="BK803" s="152"/>
      <c r="BL803" s="160"/>
      <c r="BM803" s="150"/>
      <c r="BN803" s="150"/>
      <c r="BO803" s="150"/>
      <c r="BP803" s="152"/>
      <c r="BQ803" s="160"/>
      <c r="BR803" s="152"/>
      <c r="BS803" s="160"/>
    </row>
    <row r="804" spans="1:71" x14ac:dyDescent="0.3">
      <c r="A804" s="420" t="str">
        <f>DL!A801</f>
        <v>LOT 15</v>
      </c>
      <c r="B804" s="20" t="s">
        <v>1507</v>
      </c>
      <c r="C804" s="149">
        <f>DL!L801</f>
        <v>0</v>
      </c>
      <c r="D804" s="149">
        <f>DL!C801</f>
        <v>0</v>
      </c>
      <c r="E804" s="150"/>
      <c r="F804" s="463"/>
      <c r="G804" s="150"/>
      <c r="H804" s="150"/>
      <c r="I804" s="150"/>
      <c r="J804" s="150"/>
      <c r="K804" s="168"/>
      <c r="L804" s="50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68"/>
      <c r="X804" s="150"/>
      <c r="Y804" s="150"/>
      <c r="Z804" s="455"/>
      <c r="AA804" s="150"/>
      <c r="AB804" s="150"/>
      <c r="AC804" s="150"/>
      <c r="AD804" s="150"/>
      <c r="AE804" s="150"/>
      <c r="AF804" s="499"/>
      <c r="AG804" s="150"/>
      <c r="AH804" s="150"/>
      <c r="AI804" s="150"/>
      <c r="AJ804" s="150"/>
      <c r="AK804" s="150"/>
      <c r="AL804" s="150"/>
      <c r="AM804" s="150"/>
      <c r="AN804" s="150"/>
      <c r="AO804" s="150"/>
      <c r="AP804" s="150"/>
      <c r="AQ804" s="150"/>
      <c r="AR804" s="151"/>
      <c r="AS804" s="456"/>
      <c r="AT804" s="151"/>
      <c r="AU804" s="150"/>
      <c r="AV804" s="487"/>
      <c r="AW804" s="150"/>
      <c r="AX804" s="150"/>
      <c r="AY804" s="150"/>
      <c r="AZ804" s="150"/>
      <c r="BA804" s="150"/>
      <c r="BB804" s="150"/>
      <c r="BC804" s="150"/>
      <c r="BD804" s="150"/>
      <c r="BE804" s="150"/>
      <c r="BF804" s="150"/>
      <c r="BG804" s="150"/>
      <c r="BH804" s="150"/>
      <c r="BI804" s="150"/>
      <c r="BJ804" s="150"/>
      <c r="BK804" s="152"/>
      <c r="BL804" s="160"/>
      <c r="BM804" s="150"/>
      <c r="BN804" s="150"/>
      <c r="BO804" s="150"/>
      <c r="BP804" s="152"/>
      <c r="BQ804" s="160"/>
      <c r="BR804" s="152"/>
      <c r="BS804" s="160"/>
    </row>
    <row r="805" spans="1:71" x14ac:dyDescent="0.3">
      <c r="A805" s="420"/>
      <c r="B805" s="19"/>
      <c r="C805" s="149">
        <f>DL!L802</f>
        <v>0</v>
      </c>
      <c r="D805" s="149">
        <f>DL!C802</f>
        <v>0</v>
      </c>
      <c r="E805" s="150"/>
      <c r="F805" s="463"/>
      <c r="G805" s="150"/>
      <c r="H805" s="150"/>
      <c r="I805" s="150"/>
      <c r="J805" s="150"/>
      <c r="K805" s="168"/>
      <c r="L805" s="50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68"/>
      <c r="X805" s="150"/>
      <c r="Y805" s="150"/>
      <c r="Z805" s="455"/>
      <c r="AA805" s="150"/>
      <c r="AB805" s="150"/>
      <c r="AC805" s="150"/>
      <c r="AD805" s="150"/>
      <c r="AE805" s="150"/>
      <c r="AF805" s="499"/>
      <c r="AG805" s="150"/>
      <c r="AH805" s="150"/>
      <c r="AI805" s="150"/>
      <c r="AJ805" s="150"/>
      <c r="AK805" s="150"/>
      <c r="AL805" s="150"/>
      <c r="AM805" s="150"/>
      <c r="AN805" s="150"/>
      <c r="AO805" s="150"/>
      <c r="AP805" s="150"/>
      <c r="AQ805" s="150"/>
      <c r="AR805" s="151"/>
      <c r="AS805" s="456"/>
      <c r="AT805" s="151"/>
      <c r="AU805" s="150"/>
      <c r="AV805" s="487"/>
      <c r="AW805" s="150"/>
      <c r="AX805" s="150"/>
      <c r="AY805" s="150"/>
      <c r="AZ805" s="150"/>
      <c r="BA805" s="150"/>
      <c r="BB805" s="150"/>
      <c r="BC805" s="150"/>
      <c r="BD805" s="150"/>
      <c r="BE805" s="150"/>
      <c r="BF805" s="150"/>
      <c r="BG805" s="150"/>
      <c r="BH805" s="150"/>
      <c r="BI805" s="150"/>
      <c r="BJ805" s="150"/>
      <c r="BK805" s="152"/>
      <c r="BL805" s="160"/>
      <c r="BM805" s="150"/>
      <c r="BN805" s="150"/>
      <c r="BO805" s="150"/>
      <c r="BP805" s="152"/>
      <c r="BQ805" s="160"/>
      <c r="BR805" s="152"/>
      <c r="BS805" s="160"/>
    </row>
    <row r="806" spans="1:71" x14ac:dyDescent="0.3">
      <c r="A806" s="420">
        <f>DL!A803</f>
        <v>722</v>
      </c>
      <c r="B806" s="19" t="s">
        <v>1508</v>
      </c>
      <c r="C806" s="149">
        <f>DL!L803</f>
        <v>3</v>
      </c>
      <c r="D806" s="149">
        <f>DL!C803</f>
        <v>12</v>
      </c>
      <c r="E806" s="150"/>
      <c r="F806" s="463"/>
      <c r="G806" s="150"/>
      <c r="H806" s="150"/>
      <c r="I806" s="150"/>
      <c r="J806" s="150"/>
      <c r="K806" s="168"/>
      <c r="L806" s="500"/>
      <c r="M806" s="150"/>
      <c r="N806" s="150"/>
      <c r="O806" s="150"/>
      <c r="P806" s="150"/>
      <c r="Q806" s="150">
        <v>7500</v>
      </c>
      <c r="R806" s="150"/>
      <c r="S806" s="150"/>
      <c r="T806" s="150"/>
      <c r="U806" s="150"/>
      <c r="V806" s="150"/>
      <c r="W806" s="168">
        <v>6000</v>
      </c>
      <c r="X806" s="150"/>
      <c r="Y806" s="150"/>
      <c r="Z806" s="455"/>
      <c r="AA806" s="150"/>
      <c r="AB806" s="150"/>
      <c r="AC806" s="150"/>
      <c r="AD806" s="150"/>
      <c r="AE806" s="150"/>
      <c r="AF806" s="499"/>
      <c r="AG806" s="150"/>
      <c r="AH806" s="150"/>
      <c r="AI806" s="150"/>
      <c r="AJ806" s="150"/>
      <c r="AK806" s="150"/>
      <c r="AL806" s="150"/>
      <c r="AM806" s="150"/>
      <c r="AN806" s="150"/>
      <c r="AO806" s="150"/>
      <c r="AP806" s="150"/>
      <c r="AQ806" s="150"/>
      <c r="AR806" s="151"/>
      <c r="AS806" s="456"/>
      <c r="AT806" s="151"/>
      <c r="AU806" s="150"/>
      <c r="AV806" s="487"/>
      <c r="AW806" s="150"/>
      <c r="AX806" s="150"/>
      <c r="AY806" s="150"/>
      <c r="AZ806" s="150"/>
      <c r="BA806" s="150"/>
      <c r="BB806" s="150"/>
      <c r="BC806" s="150"/>
      <c r="BD806" s="150"/>
      <c r="BE806" s="150"/>
      <c r="BF806" s="150"/>
      <c r="BG806" s="150"/>
      <c r="BH806" s="150"/>
      <c r="BI806" s="150"/>
      <c r="BJ806" s="150"/>
      <c r="BK806" s="466"/>
      <c r="BL806" s="160"/>
      <c r="BM806" s="150"/>
      <c r="BN806" s="150"/>
      <c r="BO806" s="150"/>
      <c r="BP806" s="152"/>
      <c r="BQ806" s="160"/>
      <c r="BR806" s="152"/>
      <c r="BS806" s="160"/>
    </row>
    <row r="807" spans="1:71" x14ac:dyDescent="0.3">
      <c r="A807" s="420">
        <f>DL!A804</f>
        <v>723</v>
      </c>
      <c r="B807" s="19" t="s">
        <v>1509</v>
      </c>
      <c r="C807" s="149">
        <f>DL!L804</f>
        <v>3</v>
      </c>
      <c r="D807" s="149">
        <f>DL!C804</f>
        <v>12</v>
      </c>
      <c r="E807" s="150"/>
      <c r="F807" s="463"/>
      <c r="G807" s="150"/>
      <c r="H807" s="150"/>
      <c r="I807" s="150"/>
      <c r="J807" s="150"/>
      <c r="K807" s="168"/>
      <c r="L807" s="500"/>
      <c r="M807" s="150"/>
      <c r="N807" s="150"/>
      <c r="O807" s="150"/>
      <c r="P807" s="150"/>
      <c r="Q807" s="150">
        <v>6875</v>
      </c>
      <c r="R807" s="150"/>
      <c r="S807" s="150"/>
      <c r="T807" s="150"/>
      <c r="U807" s="150"/>
      <c r="V807" s="150"/>
      <c r="W807" s="168">
        <v>6000</v>
      </c>
      <c r="X807" s="150"/>
      <c r="Y807" s="150"/>
      <c r="Z807" s="455"/>
      <c r="AA807" s="150"/>
      <c r="AB807" s="150"/>
      <c r="AC807" s="150"/>
      <c r="AD807" s="150"/>
      <c r="AE807" s="150"/>
      <c r="AF807" s="499"/>
      <c r="AG807" s="150"/>
      <c r="AH807" s="150"/>
      <c r="AI807" s="150"/>
      <c r="AJ807" s="150"/>
      <c r="AK807" s="150"/>
      <c r="AL807" s="150"/>
      <c r="AM807" s="150"/>
      <c r="AN807" s="150"/>
      <c r="AO807" s="150"/>
      <c r="AP807" s="150"/>
      <c r="AQ807" s="150"/>
      <c r="AR807" s="151"/>
      <c r="AS807" s="456"/>
      <c r="AT807" s="151"/>
      <c r="AU807" s="150"/>
      <c r="AV807" s="487"/>
      <c r="AW807" s="150">
        <f>18792/3</f>
        <v>6264</v>
      </c>
      <c r="AX807" s="150"/>
      <c r="AY807" s="150"/>
      <c r="AZ807" s="150"/>
      <c r="BA807" s="150"/>
      <c r="BB807" s="150"/>
      <c r="BC807" s="150"/>
      <c r="BD807" s="150"/>
      <c r="BE807" s="150"/>
      <c r="BF807" s="150"/>
      <c r="BG807" s="150"/>
      <c r="BH807" s="150"/>
      <c r="BI807" s="150"/>
      <c r="BJ807" s="150"/>
      <c r="BK807" s="466"/>
      <c r="BL807" s="160"/>
      <c r="BM807" s="150"/>
      <c r="BN807" s="150"/>
      <c r="BO807" s="150"/>
      <c r="BP807" s="152"/>
      <c r="BQ807" s="160"/>
      <c r="BR807" s="152"/>
      <c r="BS807" s="160"/>
    </row>
    <row r="808" spans="1:71" x14ac:dyDescent="0.3">
      <c r="A808" s="420">
        <f>DL!A805</f>
        <v>724</v>
      </c>
      <c r="B808" s="19" t="s">
        <v>1510</v>
      </c>
      <c r="C808" s="149">
        <f>DL!L805</f>
        <v>4</v>
      </c>
      <c r="D808" s="149">
        <f>DL!C805</f>
        <v>12</v>
      </c>
      <c r="E808" s="150"/>
      <c r="F808" s="463"/>
      <c r="G808" s="150"/>
      <c r="H808" s="150"/>
      <c r="I808" s="150"/>
      <c r="J808" s="150"/>
      <c r="K808" s="168"/>
      <c r="L808" s="500"/>
      <c r="M808" s="150"/>
      <c r="N808" s="150"/>
      <c r="O808" s="150"/>
      <c r="P808" s="150"/>
      <c r="Q808" s="150">
        <v>7500</v>
      </c>
      <c r="R808" s="150"/>
      <c r="S808" s="150"/>
      <c r="T808" s="150"/>
      <c r="U808" s="150"/>
      <c r="V808" s="150"/>
      <c r="W808" s="168">
        <v>6000</v>
      </c>
      <c r="X808" s="150"/>
      <c r="Y808" s="150"/>
      <c r="Z808" s="455"/>
      <c r="AA808" s="150"/>
      <c r="AB808" s="150"/>
      <c r="AC808" s="150"/>
      <c r="AD808" s="150"/>
      <c r="AE808" s="150"/>
      <c r="AF808" s="499"/>
      <c r="AG808" s="150"/>
      <c r="AH808" s="150"/>
      <c r="AI808" s="150"/>
      <c r="AJ808" s="150"/>
      <c r="AK808" s="150"/>
      <c r="AL808" s="150"/>
      <c r="AM808" s="150"/>
      <c r="AN808" s="150"/>
      <c r="AO808" s="150"/>
      <c r="AP808" s="150"/>
      <c r="AQ808" s="150"/>
      <c r="AR808" s="151"/>
      <c r="AS808" s="456"/>
      <c r="AT808" s="151"/>
      <c r="AU808" s="150"/>
      <c r="AV808" s="487"/>
      <c r="AW808" s="150">
        <f>29054.52/3</f>
        <v>9684.84</v>
      </c>
      <c r="AX808" s="150"/>
      <c r="AY808" s="150"/>
      <c r="AZ808" s="150"/>
      <c r="BA808" s="150"/>
      <c r="BB808" s="150"/>
      <c r="BC808" s="150"/>
      <c r="BD808" s="150"/>
      <c r="BE808" s="150"/>
      <c r="BF808" s="150"/>
      <c r="BG808" s="150"/>
      <c r="BH808" s="150"/>
      <c r="BI808" s="150"/>
      <c r="BJ808" s="150"/>
      <c r="BK808" s="466"/>
      <c r="BL808" s="160"/>
      <c r="BM808" s="150"/>
      <c r="BN808" s="150"/>
      <c r="BO808" s="150"/>
      <c r="BP808" s="152"/>
      <c r="BQ808" s="160"/>
      <c r="BR808" s="152"/>
      <c r="BS808" s="160"/>
    </row>
    <row r="809" spans="1:71" x14ac:dyDescent="0.3">
      <c r="A809" s="420">
        <f>DL!A806</f>
        <v>725</v>
      </c>
      <c r="B809" s="19" t="s">
        <v>1511</v>
      </c>
      <c r="C809" s="149">
        <f>DL!L806</f>
        <v>3</v>
      </c>
      <c r="D809" s="149">
        <f>DL!C806</f>
        <v>12</v>
      </c>
      <c r="E809" s="150"/>
      <c r="F809" s="463"/>
      <c r="G809" s="150"/>
      <c r="H809" s="150"/>
      <c r="I809" s="150"/>
      <c r="J809" s="150"/>
      <c r="K809" s="168"/>
      <c r="L809" s="500"/>
      <c r="M809" s="150"/>
      <c r="N809" s="150"/>
      <c r="O809" s="150"/>
      <c r="P809" s="150"/>
      <c r="Q809" s="150">
        <v>7500</v>
      </c>
      <c r="R809" s="150"/>
      <c r="S809" s="150"/>
      <c r="T809" s="150"/>
      <c r="U809" s="150"/>
      <c r="V809" s="150"/>
      <c r="W809" s="168">
        <v>6000</v>
      </c>
      <c r="X809" s="150"/>
      <c r="Y809" s="150"/>
      <c r="Z809" s="455"/>
      <c r="AA809" s="150"/>
      <c r="AB809" s="150"/>
      <c r="AC809" s="150"/>
      <c r="AD809" s="150"/>
      <c r="AE809" s="150"/>
      <c r="AF809" s="499"/>
      <c r="AG809" s="150"/>
      <c r="AH809" s="150"/>
      <c r="AI809" s="150"/>
      <c r="AJ809" s="150"/>
      <c r="AK809" s="150"/>
      <c r="AL809" s="150"/>
      <c r="AM809" s="150"/>
      <c r="AN809" s="150"/>
      <c r="AO809" s="150"/>
      <c r="AP809" s="150"/>
      <c r="AQ809" s="150"/>
      <c r="AR809" s="151"/>
      <c r="AS809" s="456"/>
      <c r="AT809" s="151"/>
      <c r="AU809" s="150"/>
      <c r="AV809" s="487"/>
      <c r="AW809" s="150">
        <f>20880/3</f>
        <v>6960</v>
      </c>
      <c r="AX809" s="150"/>
      <c r="AY809" s="150"/>
      <c r="AZ809" s="150"/>
      <c r="BA809" s="150"/>
      <c r="BB809" s="150"/>
      <c r="BC809" s="150"/>
      <c r="BD809" s="150"/>
      <c r="BE809" s="150"/>
      <c r="BF809" s="150"/>
      <c r="BG809" s="150"/>
      <c r="BH809" s="150"/>
      <c r="BI809" s="150"/>
      <c r="BJ809" s="150"/>
      <c r="BK809" s="466"/>
      <c r="BL809" s="160"/>
      <c r="BM809" s="150"/>
      <c r="BN809" s="150"/>
      <c r="BO809" s="150"/>
      <c r="BP809" s="152"/>
      <c r="BQ809" s="160"/>
      <c r="BR809" s="152"/>
      <c r="BS809" s="160"/>
    </row>
    <row r="810" spans="1:71" x14ac:dyDescent="0.3">
      <c r="A810" s="420">
        <f>DL!A807</f>
        <v>726</v>
      </c>
      <c r="B810" s="19" t="s">
        <v>1514</v>
      </c>
      <c r="C810" s="149">
        <f>DL!L807</f>
        <v>5</v>
      </c>
      <c r="D810" s="149">
        <f>DL!C807</f>
        <v>12</v>
      </c>
      <c r="E810" s="150"/>
      <c r="F810" s="463"/>
      <c r="G810" s="150"/>
      <c r="H810" s="150"/>
      <c r="I810" s="150"/>
      <c r="J810" s="150"/>
      <c r="K810" s="168"/>
      <c r="L810" s="500"/>
      <c r="M810" s="150"/>
      <c r="N810" s="150"/>
      <c r="O810" s="150"/>
      <c r="P810" s="150"/>
      <c r="Q810" s="150">
        <v>6875</v>
      </c>
      <c r="R810" s="150"/>
      <c r="S810" s="150"/>
      <c r="T810" s="150"/>
      <c r="U810" s="150"/>
      <c r="V810" s="150"/>
      <c r="W810" s="168">
        <v>6000</v>
      </c>
      <c r="X810" s="150"/>
      <c r="Y810" s="150"/>
      <c r="Z810" s="455"/>
      <c r="AA810" s="150"/>
      <c r="AB810" s="150"/>
      <c r="AC810" s="150"/>
      <c r="AD810" s="150"/>
      <c r="AE810" s="150"/>
      <c r="AF810" s="499"/>
      <c r="AG810" s="150"/>
      <c r="AH810" s="150"/>
      <c r="AI810" s="150"/>
      <c r="AJ810" s="150"/>
      <c r="AK810" s="150"/>
      <c r="AL810" s="150"/>
      <c r="AM810" s="150"/>
      <c r="AN810" s="150"/>
      <c r="AO810" s="150"/>
      <c r="AP810" s="150"/>
      <c r="AQ810" s="150"/>
      <c r="AR810" s="151"/>
      <c r="AS810" s="456"/>
      <c r="AT810" s="151"/>
      <c r="AU810" s="150"/>
      <c r="AV810" s="487"/>
      <c r="AW810" s="150">
        <f>23849.6/3</f>
        <v>7949.8666666666659</v>
      </c>
      <c r="AX810" s="150"/>
      <c r="AY810" s="150"/>
      <c r="AZ810" s="150"/>
      <c r="BA810" s="150"/>
      <c r="BB810" s="150"/>
      <c r="BC810" s="150"/>
      <c r="BD810" s="150"/>
      <c r="BE810" s="150"/>
      <c r="BF810" s="150"/>
      <c r="BG810" s="150"/>
      <c r="BH810" s="150"/>
      <c r="BI810" s="150"/>
      <c r="BJ810" s="150"/>
      <c r="BK810" s="466"/>
      <c r="BL810" s="160"/>
      <c r="BM810" s="150"/>
      <c r="BN810" s="150"/>
      <c r="BO810" s="150"/>
      <c r="BP810" s="152"/>
      <c r="BQ810" s="160"/>
      <c r="BR810" s="152"/>
      <c r="BS810" s="160"/>
    </row>
    <row r="811" spans="1:71" x14ac:dyDescent="0.3">
      <c r="A811" s="420">
        <f>DL!A808</f>
        <v>727</v>
      </c>
      <c r="B811" s="19" t="s">
        <v>1513</v>
      </c>
      <c r="C811" s="149">
        <v>10</v>
      </c>
      <c r="D811" s="149">
        <f>DL!C808</f>
        <v>12</v>
      </c>
      <c r="E811" s="150"/>
      <c r="F811" s="463"/>
      <c r="G811" s="150"/>
      <c r="H811" s="150"/>
      <c r="I811" s="150"/>
      <c r="J811" s="150"/>
      <c r="K811" s="168"/>
      <c r="L811" s="500"/>
      <c r="M811" s="150"/>
      <c r="N811" s="150"/>
      <c r="O811" s="150"/>
      <c r="P811" s="150"/>
      <c r="Q811" s="150">
        <v>6500</v>
      </c>
      <c r="R811" s="150"/>
      <c r="S811" s="150"/>
      <c r="T811" s="150"/>
      <c r="U811" s="150"/>
      <c r="V811" s="150"/>
      <c r="W811" s="168">
        <v>5000</v>
      </c>
      <c r="X811" s="150"/>
      <c r="Y811" s="150"/>
      <c r="Z811" s="455"/>
      <c r="AA811" s="150"/>
      <c r="AB811" s="150"/>
      <c r="AC811" s="150"/>
      <c r="AD811" s="150"/>
      <c r="AE811" s="150"/>
      <c r="AF811" s="499"/>
      <c r="AG811" s="150"/>
      <c r="AH811" s="150"/>
      <c r="AI811" s="150"/>
      <c r="AJ811" s="150"/>
      <c r="AK811" s="150"/>
      <c r="AL811" s="150"/>
      <c r="AM811" s="150"/>
      <c r="AN811" s="150"/>
      <c r="AO811" s="150"/>
      <c r="AP811" s="150"/>
      <c r="AQ811" s="150"/>
      <c r="AR811" s="151"/>
      <c r="AS811" s="456"/>
      <c r="AT811" s="151"/>
      <c r="AU811" s="150"/>
      <c r="AV811" s="487"/>
      <c r="AW811" s="150">
        <v>8247.6</v>
      </c>
      <c r="AX811" s="150"/>
      <c r="AY811" s="150"/>
      <c r="AZ811" s="150"/>
      <c r="BA811" s="150"/>
      <c r="BB811" s="150"/>
      <c r="BC811" s="150"/>
      <c r="BD811" s="150"/>
      <c r="BE811" s="150"/>
      <c r="BF811" s="150"/>
      <c r="BG811" s="150"/>
      <c r="BH811" s="150"/>
      <c r="BI811" s="150"/>
      <c r="BJ811" s="150"/>
      <c r="BK811" s="466"/>
      <c r="BL811" s="160"/>
      <c r="BM811" s="150"/>
      <c r="BN811" s="150"/>
      <c r="BO811" s="150"/>
      <c r="BP811" s="152"/>
      <c r="BQ811" s="160"/>
      <c r="BR811" s="152"/>
      <c r="BS811" s="160"/>
    </row>
    <row r="812" spans="1:71" x14ac:dyDescent="0.3">
      <c r="A812" s="420">
        <f>DL!A809</f>
        <v>728</v>
      </c>
      <c r="B812" s="19" t="s">
        <v>1512</v>
      </c>
      <c r="C812" s="149">
        <v>10</v>
      </c>
      <c r="D812" s="149">
        <f>DL!C809</f>
        <v>12</v>
      </c>
      <c r="E812" s="150"/>
      <c r="F812" s="463"/>
      <c r="G812" s="150"/>
      <c r="H812" s="150"/>
      <c r="I812" s="150"/>
      <c r="J812" s="150"/>
      <c r="K812" s="168"/>
      <c r="L812" s="500"/>
      <c r="M812" s="150"/>
      <c r="N812" s="150"/>
      <c r="O812" s="150"/>
      <c r="P812" s="150"/>
      <c r="Q812" s="150">
        <v>6500</v>
      </c>
      <c r="R812" s="150"/>
      <c r="S812" s="150"/>
      <c r="T812" s="150"/>
      <c r="U812" s="150"/>
      <c r="V812" s="150"/>
      <c r="W812" s="168">
        <v>5000</v>
      </c>
      <c r="X812" s="150"/>
      <c r="Y812" s="150"/>
      <c r="Z812" s="455"/>
      <c r="AA812" s="150"/>
      <c r="AB812" s="150"/>
      <c r="AC812" s="150"/>
      <c r="AD812" s="150"/>
      <c r="AE812" s="150"/>
      <c r="AF812" s="499"/>
      <c r="AG812" s="150"/>
      <c r="AH812" s="150"/>
      <c r="AI812" s="150"/>
      <c r="AJ812" s="150"/>
      <c r="AK812" s="150"/>
      <c r="AL812" s="150"/>
      <c r="AM812" s="150"/>
      <c r="AN812" s="150"/>
      <c r="AO812" s="150"/>
      <c r="AP812" s="150"/>
      <c r="AQ812" s="150"/>
      <c r="AR812" s="151"/>
      <c r="AS812" s="456"/>
      <c r="AT812" s="151"/>
      <c r="AU812" s="150"/>
      <c r="AV812" s="487"/>
      <c r="AW812" s="150">
        <v>8247.6</v>
      </c>
      <c r="AX812" s="150"/>
      <c r="AY812" s="150"/>
      <c r="AZ812" s="150"/>
      <c r="BA812" s="150"/>
      <c r="BB812" s="150"/>
      <c r="BC812" s="150"/>
      <c r="BD812" s="150"/>
      <c r="BE812" s="150"/>
      <c r="BF812" s="150"/>
      <c r="BG812" s="150"/>
      <c r="BH812" s="150"/>
      <c r="BI812" s="150"/>
      <c r="BJ812" s="150"/>
      <c r="BK812" s="467">
        <v>4375</v>
      </c>
      <c r="BL812" s="160"/>
      <c r="BM812" s="150"/>
      <c r="BN812" s="150"/>
      <c r="BO812" s="150"/>
      <c r="BP812" s="152"/>
      <c r="BQ812" s="160"/>
      <c r="BR812" s="152"/>
      <c r="BS812" s="160"/>
    </row>
    <row r="813" spans="1:71" x14ac:dyDescent="0.3">
      <c r="A813" s="420">
        <f>DL!A810</f>
        <v>729</v>
      </c>
      <c r="B813" s="19" t="s">
        <v>1515</v>
      </c>
      <c r="C813" s="149">
        <v>12</v>
      </c>
      <c r="D813" s="149">
        <f>DL!C810</f>
        <v>12</v>
      </c>
      <c r="E813" s="150"/>
      <c r="F813" s="463"/>
      <c r="G813" s="150"/>
      <c r="H813" s="150"/>
      <c r="I813" s="150"/>
      <c r="J813" s="150"/>
      <c r="K813" s="168"/>
      <c r="L813" s="500"/>
      <c r="M813" s="150"/>
      <c r="N813" s="150"/>
      <c r="O813" s="150"/>
      <c r="P813" s="150"/>
      <c r="Q813" s="150">
        <v>8500</v>
      </c>
      <c r="R813" s="150"/>
      <c r="S813" s="150"/>
      <c r="T813" s="150"/>
      <c r="U813" s="150"/>
      <c r="V813" s="150"/>
      <c r="W813" s="168">
        <v>5500</v>
      </c>
      <c r="X813" s="150"/>
      <c r="Y813" s="150"/>
      <c r="Z813" s="455"/>
      <c r="AA813" s="150"/>
      <c r="AB813" s="150"/>
      <c r="AC813" s="150"/>
      <c r="AD813" s="150"/>
      <c r="AE813" s="150"/>
      <c r="AF813" s="499"/>
      <c r="AG813" s="150"/>
      <c r="AH813" s="150"/>
      <c r="AI813" s="150"/>
      <c r="AJ813" s="150"/>
      <c r="AK813" s="150"/>
      <c r="AL813" s="150"/>
      <c r="AM813" s="150"/>
      <c r="AN813" s="150"/>
      <c r="AO813" s="150"/>
      <c r="AP813" s="150"/>
      <c r="AQ813" s="150"/>
      <c r="AR813" s="151"/>
      <c r="AS813" s="456"/>
      <c r="AT813" s="151"/>
      <c r="AU813" s="150"/>
      <c r="AV813" s="487"/>
      <c r="AW813" s="150">
        <v>9562.75</v>
      </c>
      <c r="AX813" s="150"/>
      <c r="AY813" s="150"/>
      <c r="AZ813" s="150"/>
      <c r="BA813" s="150"/>
      <c r="BB813" s="150"/>
      <c r="BC813" s="150"/>
      <c r="BD813" s="150"/>
      <c r="BE813" s="150"/>
      <c r="BF813" s="150"/>
      <c r="BG813" s="150"/>
      <c r="BH813" s="150"/>
      <c r="BI813" s="150"/>
      <c r="BJ813" s="150"/>
      <c r="BK813" s="467">
        <v>4375</v>
      </c>
      <c r="BL813" s="160"/>
      <c r="BM813" s="150"/>
      <c r="BN813" s="150"/>
      <c r="BO813" s="150"/>
      <c r="BP813" s="152"/>
      <c r="BQ813" s="160"/>
      <c r="BR813" s="152"/>
      <c r="BS813" s="160"/>
    </row>
    <row r="814" spans="1:71" x14ac:dyDescent="0.3">
      <c r="A814" s="420">
        <f>DL!A811</f>
        <v>730</v>
      </c>
      <c r="B814" s="19" t="s">
        <v>1516</v>
      </c>
      <c r="C814" s="149">
        <v>14</v>
      </c>
      <c r="D814" s="149">
        <f>DL!C811</f>
        <v>12</v>
      </c>
      <c r="E814" s="150"/>
      <c r="F814" s="463"/>
      <c r="G814" s="150"/>
      <c r="H814" s="150"/>
      <c r="I814" s="150"/>
      <c r="J814" s="150"/>
      <c r="K814" s="168"/>
      <c r="L814" s="500"/>
      <c r="M814" s="150"/>
      <c r="N814" s="150"/>
      <c r="O814" s="150"/>
      <c r="P814" s="150"/>
      <c r="Q814" s="150">
        <v>8500</v>
      </c>
      <c r="R814" s="150"/>
      <c r="S814" s="150"/>
      <c r="T814" s="150"/>
      <c r="U814" s="150"/>
      <c r="V814" s="150"/>
      <c r="W814" s="168">
        <v>5500</v>
      </c>
      <c r="X814" s="150"/>
      <c r="Y814" s="150"/>
      <c r="Z814" s="455"/>
      <c r="AA814" s="150"/>
      <c r="AB814" s="150"/>
      <c r="AC814" s="150"/>
      <c r="AD814" s="150"/>
      <c r="AE814" s="150"/>
      <c r="AF814" s="499"/>
      <c r="AG814" s="150"/>
      <c r="AH814" s="150"/>
      <c r="AI814" s="150"/>
      <c r="AJ814" s="150"/>
      <c r="AK814" s="150"/>
      <c r="AL814" s="150"/>
      <c r="AM814" s="150"/>
      <c r="AN814" s="150"/>
      <c r="AO814" s="150"/>
      <c r="AP814" s="150"/>
      <c r="AQ814" s="150"/>
      <c r="AR814" s="151"/>
      <c r="AS814" s="456"/>
      <c r="AT814" s="151"/>
      <c r="AU814" s="150"/>
      <c r="AV814" s="487"/>
      <c r="AW814" s="150">
        <v>8966.7999999999993</v>
      </c>
      <c r="AX814" s="150"/>
      <c r="AY814" s="150"/>
      <c r="AZ814" s="150"/>
      <c r="BA814" s="150"/>
      <c r="BB814" s="150"/>
      <c r="BC814" s="150"/>
      <c r="BD814" s="150"/>
      <c r="BE814" s="150"/>
      <c r="BF814" s="150"/>
      <c r="BG814" s="150"/>
      <c r="BH814" s="150"/>
      <c r="BI814" s="150"/>
      <c r="BJ814" s="150"/>
      <c r="BK814" s="467">
        <v>7500</v>
      </c>
      <c r="BL814" s="160"/>
      <c r="BM814" s="150"/>
      <c r="BN814" s="150"/>
      <c r="BO814" s="150"/>
      <c r="BP814" s="152"/>
      <c r="BQ814" s="160"/>
      <c r="BR814" s="152"/>
      <c r="BS814" s="160"/>
    </row>
    <row r="815" spans="1:71" x14ac:dyDescent="0.3">
      <c r="A815" s="420">
        <f>DL!A812</f>
        <v>731</v>
      </c>
      <c r="B815" s="19" t="s">
        <v>1517</v>
      </c>
      <c r="C815" s="149">
        <v>18</v>
      </c>
      <c r="D815" s="149">
        <f>DL!C812</f>
        <v>12</v>
      </c>
      <c r="E815" s="150"/>
      <c r="F815" s="463"/>
      <c r="G815" s="150"/>
      <c r="H815" s="150"/>
      <c r="I815" s="150"/>
      <c r="J815" s="150"/>
      <c r="K815" s="168"/>
      <c r="L815" s="500"/>
      <c r="M815" s="150"/>
      <c r="N815" s="150"/>
      <c r="O815" s="150"/>
      <c r="P815" s="150"/>
      <c r="Q815" s="150">
        <v>25000</v>
      </c>
      <c r="R815" s="150"/>
      <c r="S815" s="150"/>
      <c r="T815" s="150"/>
      <c r="U815" s="150"/>
      <c r="V815" s="150"/>
      <c r="W815" s="168">
        <v>22000</v>
      </c>
      <c r="X815" s="150"/>
      <c r="Y815" s="150"/>
      <c r="Z815" s="455"/>
      <c r="AA815" s="150"/>
      <c r="AB815" s="150"/>
      <c r="AC815" s="150"/>
      <c r="AD815" s="150"/>
      <c r="AE815" s="150"/>
      <c r="AF815" s="499"/>
      <c r="AG815" s="150"/>
      <c r="AH815" s="150"/>
      <c r="AI815" s="150"/>
      <c r="AJ815" s="150"/>
      <c r="AK815" s="150"/>
      <c r="AL815" s="150"/>
      <c r="AM815" s="150"/>
      <c r="AN815" s="150"/>
      <c r="AO815" s="150"/>
      <c r="AP815" s="150"/>
      <c r="AQ815" s="150"/>
      <c r="AR815" s="151"/>
      <c r="AS815" s="456"/>
      <c r="AT815" s="151"/>
      <c r="AU815" s="150"/>
      <c r="AV815" s="487"/>
      <c r="AW815" s="150">
        <v>64654.05</v>
      </c>
      <c r="AX815" s="150"/>
      <c r="AY815" s="150"/>
      <c r="AZ815" s="150"/>
      <c r="BA815" s="150"/>
      <c r="BB815" s="150"/>
      <c r="BC815" s="150"/>
      <c r="BD815" s="150"/>
      <c r="BE815" s="150"/>
      <c r="BF815" s="150"/>
      <c r="BG815" s="150"/>
      <c r="BH815" s="150"/>
      <c r="BI815" s="150"/>
      <c r="BJ815" s="150"/>
      <c r="BK815" s="467">
        <v>20000</v>
      </c>
      <c r="BL815" s="160"/>
      <c r="BM815" s="150"/>
      <c r="BN815" s="150"/>
      <c r="BO815" s="150"/>
      <c r="BP815" s="152"/>
      <c r="BQ815" s="160"/>
      <c r="BR815" s="152"/>
      <c r="BS815" s="160"/>
    </row>
    <row r="816" spans="1:71" x14ac:dyDescent="0.3">
      <c r="A816" s="420">
        <f>DL!A813</f>
        <v>732</v>
      </c>
      <c r="B816" s="19" t="s">
        <v>1518</v>
      </c>
      <c r="C816" s="149">
        <v>12</v>
      </c>
      <c r="D816" s="149">
        <f>DL!C813</f>
        <v>12</v>
      </c>
      <c r="E816" s="150"/>
      <c r="F816" s="463"/>
      <c r="G816" s="150"/>
      <c r="H816" s="150"/>
      <c r="I816" s="150"/>
      <c r="J816" s="150"/>
      <c r="K816" s="168"/>
      <c r="L816" s="500"/>
      <c r="M816" s="150"/>
      <c r="N816" s="150"/>
      <c r="O816" s="150"/>
      <c r="P816" s="150"/>
      <c r="Q816" s="150">
        <v>11000</v>
      </c>
      <c r="R816" s="150"/>
      <c r="S816" s="150"/>
      <c r="T816" s="150"/>
      <c r="U816" s="150"/>
      <c r="V816" s="150"/>
      <c r="W816" s="168">
        <v>7500</v>
      </c>
      <c r="X816" s="150"/>
      <c r="Y816" s="150"/>
      <c r="Z816" s="455"/>
      <c r="AA816" s="150"/>
      <c r="AB816" s="150"/>
      <c r="AC816" s="150"/>
      <c r="AD816" s="150"/>
      <c r="AE816" s="150"/>
      <c r="AF816" s="499"/>
      <c r="AG816" s="150"/>
      <c r="AH816" s="150"/>
      <c r="AI816" s="150"/>
      <c r="AJ816" s="150"/>
      <c r="AK816" s="150"/>
      <c r="AL816" s="150"/>
      <c r="AM816" s="150"/>
      <c r="AN816" s="150"/>
      <c r="AO816" s="150"/>
      <c r="AP816" s="150"/>
      <c r="AQ816" s="150"/>
      <c r="AR816" s="151"/>
      <c r="AS816" s="456"/>
      <c r="AT816" s="151"/>
      <c r="AU816" s="150"/>
      <c r="AV816" s="487"/>
      <c r="AW816" s="150">
        <v>14584.1</v>
      </c>
      <c r="AX816" s="150"/>
      <c r="AY816" s="150"/>
      <c r="AZ816" s="150"/>
      <c r="BA816" s="150"/>
      <c r="BB816" s="150"/>
      <c r="BC816" s="150"/>
      <c r="BD816" s="150"/>
      <c r="BE816" s="150"/>
      <c r="BF816" s="150"/>
      <c r="BG816" s="150"/>
      <c r="BH816" s="150"/>
      <c r="BI816" s="150"/>
      <c r="BJ816" s="150"/>
      <c r="BK816" s="467">
        <v>8750</v>
      </c>
      <c r="BL816" s="160"/>
      <c r="BM816" s="150"/>
      <c r="BN816" s="150"/>
      <c r="BO816" s="150"/>
      <c r="BP816" s="152"/>
      <c r="BQ816" s="160"/>
      <c r="BR816" s="152"/>
      <c r="BS816" s="160"/>
    </row>
    <row r="817" spans="1:71" x14ac:dyDescent="0.3">
      <c r="A817" s="420">
        <f>DL!A814</f>
        <v>733</v>
      </c>
      <c r="B817" s="19" t="s">
        <v>1519</v>
      </c>
      <c r="C817" s="149">
        <v>120</v>
      </c>
      <c r="D817" s="149">
        <f>DL!C814</f>
        <v>12</v>
      </c>
      <c r="E817" s="150"/>
      <c r="F817" s="463"/>
      <c r="G817" s="150"/>
      <c r="H817" s="150"/>
      <c r="I817" s="150"/>
      <c r="J817" s="150"/>
      <c r="K817" s="168"/>
      <c r="L817" s="500"/>
      <c r="M817" s="150"/>
      <c r="N817" s="150"/>
      <c r="O817" s="150"/>
      <c r="P817" s="150"/>
      <c r="Q817" s="150">
        <v>10375</v>
      </c>
      <c r="R817" s="150"/>
      <c r="S817" s="150"/>
      <c r="T817" s="150"/>
      <c r="U817" s="150"/>
      <c r="V817" s="150"/>
      <c r="W817" s="168">
        <v>7000</v>
      </c>
      <c r="X817" s="150"/>
      <c r="Y817" s="150"/>
      <c r="Z817" s="455"/>
      <c r="AA817" s="150"/>
      <c r="AB817" s="150"/>
      <c r="AC817" s="150"/>
      <c r="AD817" s="150"/>
      <c r="AE817" s="150"/>
      <c r="AF817" s="499"/>
      <c r="AG817" s="150"/>
      <c r="AH817" s="150"/>
      <c r="AI817" s="150"/>
      <c r="AJ817" s="150"/>
      <c r="AK817" s="150"/>
      <c r="AL817" s="150"/>
      <c r="AM817" s="150"/>
      <c r="AN817" s="150"/>
      <c r="AO817" s="150"/>
      <c r="AP817" s="150"/>
      <c r="AQ817" s="150"/>
      <c r="AR817" s="151"/>
      <c r="AS817" s="456"/>
      <c r="AT817" s="151"/>
      <c r="AU817" s="150"/>
      <c r="AV817" s="487"/>
      <c r="AW817" s="150">
        <v>9108.9</v>
      </c>
      <c r="AX817" s="150"/>
      <c r="AY817" s="150"/>
      <c r="AZ817" s="150"/>
      <c r="BA817" s="150"/>
      <c r="BB817" s="150"/>
      <c r="BC817" s="150"/>
      <c r="BD817" s="150"/>
      <c r="BE817" s="150"/>
      <c r="BF817" s="150"/>
      <c r="BG817" s="150"/>
      <c r="BH817" s="150"/>
      <c r="BI817" s="150"/>
      <c r="BJ817" s="150"/>
      <c r="BK817" s="467">
        <v>8750</v>
      </c>
      <c r="BL817" s="160"/>
      <c r="BM817" s="150"/>
      <c r="BN817" s="150"/>
      <c r="BO817" s="150"/>
      <c r="BP817" s="152"/>
      <c r="BQ817" s="160"/>
      <c r="BR817" s="152"/>
      <c r="BS817" s="160"/>
    </row>
    <row r="818" spans="1:71" x14ac:dyDescent="0.3">
      <c r="A818" s="420">
        <f>DL!A815</f>
        <v>734</v>
      </c>
      <c r="B818" s="19" t="s">
        <v>1521</v>
      </c>
      <c r="C818" s="149">
        <v>10</v>
      </c>
      <c r="D818" s="149">
        <f>DL!C815</f>
        <v>12</v>
      </c>
      <c r="E818" s="150"/>
      <c r="F818" s="463"/>
      <c r="G818" s="150"/>
      <c r="H818" s="150"/>
      <c r="I818" s="150"/>
      <c r="J818" s="150"/>
      <c r="K818" s="168"/>
      <c r="L818" s="500"/>
      <c r="M818" s="150"/>
      <c r="N818" s="150"/>
      <c r="O818" s="150"/>
      <c r="P818" s="150"/>
      <c r="Q818" s="150">
        <v>11625</v>
      </c>
      <c r="R818" s="150"/>
      <c r="S818" s="150"/>
      <c r="T818" s="150"/>
      <c r="U818" s="150"/>
      <c r="V818" s="150"/>
      <c r="W818" s="168">
        <v>7500</v>
      </c>
      <c r="X818" s="150"/>
      <c r="Y818" s="150"/>
      <c r="Z818" s="455"/>
      <c r="AA818" s="150"/>
      <c r="AB818" s="150"/>
      <c r="AC818" s="150"/>
      <c r="AD818" s="150"/>
      <c r="AE818" s="150"/>
      <c r="AF818" s="499"/>
      <c r="AG818" s="150"/>
      <c r="AH818" s="150"/>
      <c r="AI818" s="150"/>
      <c r="AJ818" s="150"/>
      <c r="AK818" s="150"/>
      <c r="AL818" s="150"/>
      <c r="AM818" s="150"/>
      <c r="AN818" s="150"/>
      <c r="AO818" s="150"/>
      <c r="AP818" s="150"/>
      <c r="AQ818" s="150"/>
      <c r="AR818" s="151"/>
      <c r="AS818" s="456"/>
      <c r="AT818" s="151"/>
      <c r="AU818" s="150"/>
      <c r="AV818" s="487"/>
      <c r="AW818" s="150">
        <v>12006</v>
      </c>
      <c r="AX818" s="150"/>
      <c r="AY818" s="150"/>
      <c r="AZ818" s="150"/>
      <c r="BA818" s="150"/>
      <c r="BB818" s="150"/>
      <c r="BC818" s="150"/>
      <c r="BD818" s="150"/>
      <c r="BE818" s="150"/>
      <c r="BF818" s="150"/>
      <c r="BG818" s="150"/>
      <c r="BH818" s="150"/>
      <c r="BI818" s="150"/>
      <c r="BJ818" s="150"/>
      <c r="BK818" s="467">
        <v>10000</v>
      </c>
      <c r="BL818" s="160"/>
      <c r="BM818" s="150"/>
      <c r="BN818" s="150"/>
      <c r="BO818" s="150"/>
      <c r="BP818" s="152"/>
      <c r="BQ818" s="160"/>
      <c r="BR818" s="152"/>
      <c r="BS818" s="160"/>
    </row>
    <row r="819" spans="1:71" x14ac:dyDescent="0.3">
      <c r="A819" s="420">
        <f>DL!A816</f>
        <v>735</v>
      </c>
      <c r="B819" s="19" t="s">
        <v>1522</v>
      </c>
      <c r="C819" s="149">
        <v>600</v>
      </c>
      <c r="D819" s="149">
        <f>DL!C816</f>
        <v>12</v>
      </c>
      <c r="E819" s="150"/>
      <c r="F819" s="463"/>
      <c r="G819" s="150"/>
      <c r="H819" s="150"/>
      <c r="I819" s="150"/>
      <c r="J819" s="150"/>
      <c r="K819" s="168"/>
      <c r="L819" s="500"/>
      <c r="M819" s="150"/>
      <c r="N819" s="150"/>
      <c r="O819" s="150"/>
      <c r="P819" s="150"/>
      <c r="Q819" s="150">
        <v>11375</v>
      </c>
      <c r="R819" s="150"/>
      <c r="S819" s="150"/>
      <c r="T819" s="150"/>
      <c r="U819" s="150"/>
      <c r="V819" s="150"/>
      <c r="W819" s="168">
        <v>7000</v>
      </c>
      <c r="X819" s="150"/>
      <c r="Y819" s="150"/>
      <c r="Z819" s="455"/>
      <c r="AA819" s="150"/>
      <c r="AB819" s="150"/>
      <c r="AC819" s="150"/>
      <c r="AD819" s="150"/>
      <c r="AE819" s="150"/>
      <c r="AF819" s="499"/>
      <c r="AG819" s="150"/>
      <c r="AH819" s="150"/>
      <c r="AI819" s="150"/>
      <c r="AJ819" s="150"/>
      <c r="AK819" s="150"/>
      <c r="AL819" s="150"/>
      <c r="AM819" s="150"/>
      <c r="AN819" s="150"/>
      <c r="AO819" s="150"/>
      <c r="AP819" s="150"/>
      <c r="AQ819" s="150"/>
      <c r="AR819" s="151"/>
      <c r="AS819" s="456"/>
      <c r="AT819" s="151"/>
      <c r="AU819" s="150"/>
      <c r="AV819" s="487"/>
      <c r="AW819" s="150">
        <v>9097.2000000000007</v>
      </c>
      <c r="AX819" s="150"/>
      <c r="AY819" s="150"/>
      <c r="AZ819" s="150"/>
      <c r="BA819" s="150"/>
      <c r="BB819" s="150"/>
      <c r="BC819" s="150"/>
      <c r="BD819" s="150"/>
      <c r="BE819" s="150"/>
      <c r="BF819" s="150"/>
      <c r="BG819" s="150"/>
      <c r="BH819" s="150"/>
      <c r="BI819" s="150"/>
      <c r="BJ819" s="150"/>
      <c r="BK819" s="467">
        <v>10000</v>
      </c>
      <c r="BL819" s="160"/>
      <c r="BM819" s="150"/>
      <c r="BN819" s="150"/>
      <c r="BO819" s="150"/>
      <c r="BP819" s="152"/>
      <c r="BQ819" s="160"/>
      <c r="BR819" s="152"/>
      <c r="BS819" s="160"/>
    </row>
    <row r="820" spans="1:71" x14ac:dyDescent="0.3">
      <c r="A820" s="420">
        <f>DL!A817</f>
        <v>736</v>
      </c>
      <c r="B820" s="19" t="s">
        <v>1523</v>
      </c>
      <c r="C820" s="149">
        <v>54</v>
      </c>
      <c r="D820" s="149">
        <f>DL!C817</f>
        <v>12</v>
      </c>
      <c r="E820" s="150"/>
      <c r="F820" s="463"/>
      <c r="G820" s="150"/>
      <c r="H820" s="150"/>
      <c r="I820" s="150"/>
      <c r="J820" s="150"/>
      <c r="K820" s="168"/>
      <c r="L820" s="500"/>
      <c r="M820" s="150"/>
      <c r="N820" s="150"/>
      <c r="O820" s="150"/>
      <c r="P820" s="150"/>
      <c r="Q820" s="150">
        <v>14375</v>
      </c>
      <c r="R820" s="150"/>
      <c r="S820" s="150"/>
      <c r="T820" s="150"/>
      <c r="U820" s="150"/>
      <c r="V820" s="150"/>
      <c r="W820" s="168">
        <v>8000</v>
      </c>
      <c r="X820" s="150"/>
      <c r="Y820" s="150"/>
      <c r="Z820" s="455"/>
      <c r="AA820" s="150"/>
      <c r="AB820" s="150"/>
      <c r="AC820" s="150"/>
      <c r="AD820" s="150"/>
      <c r="AE820" s="150"/>
      <c r="AF820" s="499"/>
      <c r="AG820" s="150"/>
      <c r="AH820" s="150"/>
      <c r="AI820" s="150"/>
      <c r="AJ820" s="150"/>
      <c r="AK820" s="150"/>
      <c r="AL820" s="150"/>
      <c r="AM820" s="150"/>
      <c r="AN820" s="150"/>
      <c r="AO820" s="150"/>
      <c r="AP820" s="150"/>
      <c r="AQ820" s="150"/>
      <c r="AR820" s="151"/>
      <c r="AS820" s="456"/>
      <c r="AT820" s="151"/>
      <c r="AU820" s="150"/>
      <c r="AV820" s="487"/>
      <c r="AW820" s="150">
        <v>11484</v>
      </c>
      <c r="AX820" s="150"/>
      <c r="AY820" s="150"/>
      <c r="AZ820" s="150"/>
      <c r="BA820" s="150"/>
      <c r="BB820" s="150"/>
      <c r="BC820" s="150"/>
      <c r="BD820" s="150"/>
      <c r="BE820" s="150"/>
      <c r="BF820" s="150"/>
      <c r="BG820" s="150"/>
      <c r="BH820" s="150"/>
      <c r="BI820" s="150"/>
      <c r="BJ820" s="150"/>
      <c r="BK820" s="467">
        <v>11250</v>
      </c>
      <c r="BL820" s="160"/>
      <c r="BM820" s="150"/>
      <c r="BN820" s="150"/>
      <c r="BO820" s="150"/>
      <c r="BP820" s="152"/>
      <c r="BQ820" s="160"/>
      <c r="BR820" s="152"/>
      <c r="BS820" s="160"/>
    </row>
    <row r="821" spans="1:71" x14ac:dyDescent="0.3">
      <c r="A821" s="420">
        <f>DL!A818</f>
        <v>737</v>
      </c>
      <c r="B821" s="19" t="s">
        <v>1520</v>
      </c>
      <c r="C821" s="149">
        <v>20</v>
      </c>
      <c r="D821" s="149">
        <f>DL!C818</f>
        <v>12</v>
      </c>
      <c r="E821" s="150"/>
      <c r="F821" s="463"/>
      <c r="G821" s="150"/>
      <c r="H821" s="150"/>
      <c r="I821" s="150"/>
      <c r="J821" s="150"/>
      <c r="K821" s="168"/>
      <c r="L821" s="500"/>
      <c r="M821" s="150"/>
      <c r="N821" s="150"/>
      <c r="O821" s="150"/>
      <c r="P821" s="150"/>
      <c r="Q821" s="150">
        <v>11625</v>
      </c>
      <c r="R821" s="150"/>
      <c r="S821" s="150"/>
      <c r="T821" s="150"/>
      <c r="U821" s="150"/>
      <c r="V821" s="150"/>
      <c r="W821" s="168">
        <v>7000</v>
      </c>
      <c r="X821" s="150"/>
      <c r="Y821" s="150"/>
      <c r="Z821" s="455"/>
      <c r="AA821" s="150"/>
      <c r="AB821" s="150"/>
      <c r="AC821" s="150"/>
      <c r="AD821" s="150"/>
      <c r="AE821" s="150"/>
      <c r="AF821" s="499"/>
      <c r="AG821" s="150"/>
      <c r="AH821" s="150"/>
      <c r="AI821" s="150"/>
      <c r="AJ821" s="150"/>
      <c r="AK821" s="150"/>
      <c r="AL821" s="150"/>
      <c r="AM821" s="150"/>
      <c r="AN821" s="150"/>
      <c r="AO821" s="150"/>
      <c r="AP821" s="150"/>
      <c r="AQ821" s="150"/>
      <c r="AR821" s="151"/>
      <c r="AS821" s="456"/>
      <c r="AT821" s="151"/>
      <c r="AU821" s="150"/>
      <c r="AV821" s="487"/>
      <c r="AW821" s="150">
        <v>10440</v>
      </c>
      <c r="AX821" s="150"/>
      <c r="AY821" s="150"/>
      <c r="AZ821" s="150"/>
      <c r="BA821" s="150"/>
      <c r="BB821" s="150"/>
      <c r="BC821" s="150"/>
      <c r="BD821" s="150"/>
      <c r="BE821" s="150"/>
      <c r="BF821" s="150"/>
      <c r="BG821" s="150"/>
      <c r="BH821" s="150"/>
      <c r="BI821" s="150"/>
      <c r="BJ821" s="150"/>
      <c r="BK821" s="467">
        <v>8750</v>
      </c>
      <c r="BL821" s="160"/>
      <c r="BM821" s="150"/>
      <c r="BN821" s="150"/>
      <c r="BO821" s="150"/>
      <c r="BP821" s="152"/>
      <c r="BQ821" s="160"/>
      <c r="BR821" s="152"/>
      <c r="BS821" s="160"/>
    </row>
    <row r="822" spans="1:71" x14ac:dyDescent="0.3">
      <c r="A822" s="420">
        <f>DL!A819</f>
        <v>738</v>
      </c>
      <c r="B822" s="19" t="s">
        <v>1524</v>
      </c>
      <c r="C822" s="149">
        <v>600</v>
      </c>
      <c r="D822" s="149">
        <f>DL!C819</f>
        <v>12</v>
      </c>
      <c r="E822" s="150"/>
      <c r="F822" s="463"/>
      <c r="G822" s="150"/>
      <c r="H822" s="150"/>
      <c r="I822" s="150"/>
      <c r="J822" s="150"/>
      <c r="K822" s="168"/>
      <c r="L822" s="500"/>
      <c r="M822" s="150"/>
      <c r="N822" s="150"/>
      <c r="O822" s="150"/>
      <c r="P822" s="150"/>
      <c r="Q822" s="150">
        <v>11500</v>
      </c>
      <c r="R822" s="150"/>
      <c r="S822" s="150"/>
      <c r="T822" s="150"/>
      <c r="U822" s="150"/>
      <c r="V822" s="150"/>
      <c r="W822" s="168">
        <v>6000</v>
      </c>
      <c r="X822" s="150"/>
      <c r="Y822" s="150"/>
      <c r="Z822" s="455"/>
      <c r="AA822" s="150"/>
      <c r="AB822" s="150"/>
      <c r="AC822" s="150"/>
      <c r="AD822" s="150"/>
      <c r="AE822" s="150"/>
      <c r="AF822" s="499"/>
      <c r="AG822" s="150"/>
      <c r="AH822" s="150"/>
      <c r="AI822" s="150"/>
      <c r="AJ822" s="150"/>
      <c r="AK822" s="150"/>
      <c r="AL822" s="150"/>
      <c r="AM822" s="150"/>
      <c r="AN822" s="150"/>
      <c r="AO822" s="150"/>
      <c r="AP822" s="150"/>
      <c r="AQ822" s="150"/>
      <c r="AR822" s="151"/>
      <c r="AS822" s="456"/>
      <c r="AT822" s="151"/>
      <c r="AU822" s="150"/>
      <c r="AV822" s="487"/>
      <c r="AW822" s="150">
        <v>8738.1</v>
      </c>
      <c r="AX822" s="150"/>
      <c r="AY822" s="150"/>
      <c r="AZ822" s="150"/>
      <c r="BA822" s="150"/>
      <c r="BB822" s="150"/>
      <c r="BC822" s="150"/>
      <c r="BD822" s="150"/>
      <c r="BE822" s="150"/>
      <c r="BF822" s="150"/>
      <c r="BG822" s="150"/>
      <c r="BH822" s="150"/>
      <c r="BI822" s="150"/>
      <c r="BJ822" s="150"/>
      <c r="BK822" s="467">
        <v>8750</v>
      </c>
      <c r="BL822" s="160"/>
      <c r="BM822" s="150"/>
      <c r="BN822" s="150"/>
      <c r="BO822" s="150"/>
      <c r="BP822" s="152"/>
      <c r="BQ822" s="160"/>
      <c r="BR822" s="152"/>
      <c r="BS822" s="160"/>
    </row>
    <row r="823" spans="1:71" x14ac:dyDescent="0.3">
      <c r="A823" s="420">
        <f>DL!A820</f>
        <v>739</v>
      </c>
      <c r="B823" s="19" t="s">
        <v>1525</v>
      </c>
      <c r="C823" s="149">
        <v>20</v>
      </c>
      <c r="D823" s="149">
        <f>DL!C820</f>
        <v>12</v>
      </c>
      <c r="E823" s="150"/>
      <c r="F823" s="463"/>
      <c r="G823" s="150"/>
      <c r="H823" s="150"/>
      <c r="I823" s="150"/>
      <c r="J823" s="150"/>
      <c r="K823" s="168"/>
      <c r="L823" s="500"/>
      <c r="M823" s="150"/>
      <c r="N823" s="150"/>
      <c r="O823" s="150"/>
      <c r="P823" s="150"/>
      <c r="Q823" s="150">
        <v>11000</v>
      </c>
      <c r="R823" s="150"/>
      <c r="S823" s="150"/>
      <c r="T823" s="150"/>
      <c r="U823" s="150"/>
      <c r="V823" s="150"/>
      <c r="W823" s="168">
        <v>7500</v>
      </c>
      <c r="X823" s="150"/>
      <c r="Y823" s="150"/>
      <c r="Z823" s="455"/>
      <c r="AA823" s="150"/>
      <c r="AB823" s="150"/>
      <c r="AC823" s="150"/>
      <c r="AD823" s="150"/>
      <c r="AE823" s="150"/>
      <c r="AF823" s="499"/>
      <c r="AG823" s="150"/>
      <c r="AH823" s="150"/>
      <c r="AI823" s="150"/>
      <c r="AJ823" s="150"/>
      <c r="AK823" s="150"/>
      <c r="AL823" s="150"/>
      <c r="AM823" s="150"/>
      <c r="AN823" s="150"/>
      <c r="AO823" s="150"/>
      <c r="AP823" s="150"/>
      <c r="AQ823" s="150"/>
      <c r="AR823" s="151"/>
      <c r="AS823" s="456"/>
      <c r="AT823" s="151"/>
      <c r="AU823" s="150"/>
      <c r="AV823" s="487"/>
      <c r="AW823" s="150">
        <v>9630.9</v>
      </c>
      <c r="AX823" s="150"/>
      <c r="AY823" s="150"/>
      <c r="AZ823" s="150"/>
      <c r="BA823" s="150"/>
      <c r="BB823" s="150"/>
      <c r="BC823" s="150"/>
      <c r="BD823" s="150"/>
      <c r="BE823" s="150"/>
      <c r="BF823" s="150"/>
      <c r="BG823" s="150"/>
      <c r="BH823" s="150"/>
      <c r="BI823" s="150"/>
      <c r="BJ823" s="150"/>
      <c r="BK823" s="467">
        <v>8750</v>
      </c>
      <c r="BL823" s="160"/>
      <c r="BM823" s="150"/>
      <c r="BN823" s="150"/>
      <c r="BO823" s="150"/>
      <c r="BP823" s="152"/>
      <c r="BQ823" s="160"/>
      <c r="BR823" s="152"/>
      <c r="BS823" s="160"/>
    </row>
    <row r="824" spans="1:71" x14ac:dyDescent="0.3">
      <c r="A824" s="420">
        <f>DL!A821</f>
        <v>740</v>
      </c>
      <c r="B824" s="19" t="s">
        <v>1526</v>
      </c>
      <c r="C824" s="149">
        <v>80</v>
      </c>
      <c r="D824" s="149">
        <f>DL!C821</f>
        <v>12</v>
      </c>
      <c r="E824" s="150"/>
      <c r="F824" s="463"/>
      <c r="G824" s="150"/>
      <c r="H824" s="150"/>
      <c r="I824" s="150"/>
      <c r="J824" s="150"/>
      <c r="K824" s="168"/>
      <c r="L824" s="500"/>
      <c r="M824" s="150"/>
      <c r="N824" s="150"/>
      <c r="O824" s="150"/>
      <c r="P824" s="150"/>
      <c r="Q824" s="150">
        <v>11000</v>
      </c>
      <c r="R824" s="150"/>
      <c r="S824" s="150"/>
      <c r="T824" s="150"/>
      <c r="U824" s="150"/>
      <c r="V824" s="150"/>
      <c r="W824" s="168">
        <v>7000</v>
      </c>
      <c r="X824" s="150"/>
      <c r="Y824" s="150"/>
      <c r="Z824" s="455"/>
      <c r="AA824" s="150"/>
      <c r="AB824" s="150"/>
      <c r="AC824" s="150"/>
      <c r="AD824" s="150"/>
      <c r="AE824" s="150"/>
      <c r="AF824" s="499"/>
      <c r="AG824" s="150"/>
      <c r="AH824" s="150"/>
      <c r="AI824" s="150"/>
      <c r="AJ824" s="150"/>
      <c r="AK824" s="150"/>
      <c r="AL824" s="150"/>
      <c r="AM824" s="150"/>
      <c r="AN824" s="150"/>
      <c r="AO824" s="150"/>
      <c r="AP824" s="150"/>
      <c r="AQ824" s="150"/>
      <c r="AR824" s="151"/>
      <c r="AS824" s="456"/>
      <c r="AT824" s="151"/>
      <c r="AU824" s="150"/>
      <c r="AV824" s="487"/>
      <c r="AW824" s="150">
        <v>9108.9</v>
      </c>
      <c r="AX824" s="150"/>
      <c r="AY824" s="150"/>
      <c r="AZ824" s="150"/>
      <c r="BA824" s="150"/>
      <c r="BB824" s="150"/>
      <c r="BC824" s="150"/>
      <c r="BD824" s="150"/>
      <c r="BE824" s="150"/>
      <c r="BF824" s="150"/>
      <c r="BG824" s="150"/>
      <c r="BH824" s="150"/>
      <c r="BI824" s="150"/>
      <c r="BJ824" s="150"/>
      <c r="BK824" s="467">
        <v>8750</v>
      </c>
      <c r="BL824" s="160"/>
      <c r="BM824" s="150"/>
      <c r="BN824" s="150"/>
      <c r="BO824" s="150"/>
      <c r="BP824" s="152"/>
      <c r="BQ824" s="160"/>
      <c r="BR824" s="152"/>
      <c r="BS824" s="160"/>
    </row>
    <row r="825" spans="1:71" x14ac:dyDescent="0.3">
      <c r="A825" s="420">
        <f>DL!A822</f>
        <v>741</v>
      </c>
      <c r="B825" s="19" t="s">
        <v>1527</v>
      </c>
      <c r="C825" s="149">
        <v>24</v>
      </c>
      <c r="D825" s="149">
        <f>DL!C822</f>
        <v>12</v>
      </c>
      <c r="E825" s="150"/>
      <c r="F825" s="463"/>
      <c r="G825" s="150"/>
      <c r="H825" s="150"/>
      <c r="I825" s="150"/>
      <c r="J825" s="150"/>
      <c r="K825" s="168"/>
      <c r="L825" s="500"/>
      <c r="M825" s="150"/>
      <c r="N825" s="150"/>
      <c r="O825" s="150"/>
      <c r="P825" s="150"/>
      <c r="Q825" s="150">
        <v>11000</v>
      </c>
      <c r="R825" s="150"/>
      <c r="S825" s="150"/>
      <c r="T825" s="150"/>
      <c r="U825" s="150"/>
      <c r="V825" s="150"/>
      <c r="W825" s="168">
        <v>7000</v>
      </c>
      <c r="X825" s="150"/>
      <c r="Y825" s="150"/>
      <c r="Z825" s="455"/>
      <c r="AA825" s="150"/>
      <c r="AB825" s="150"/>
      <c r="AC825" s="150"/>
      <c r="AD825" s="150"/>
      <c r="AE825" s="150"/>
      <c r="AF825" s="499"/>
      <c r="AG825" s="150"/>
      <c r="AH825" s="150"/>
      <c r="AI825" s="150"/>
      <c r="AJ825" s="150"/>
      <c r="AK825" s="150"/>
      <c r="AL825" s="150"/>
      <c r="AM825" s="150"/>
      <c r="AN825" s="150"/>
      <c r="AO825" s="150"/>
      <c r="AP825" s="150"/>
      <c r="AQ825" s="150"/>
      <c r="AR825" s="151"/>
      <c r="AS825" s="456"/>
      <c r="AT825" s="151"/>
      <c r="AU825" s="150"/>
      <c r="AV825" s="487"/>
      <c r="AW825" s="150">
        <v>10570.5</v>
      </c>
      <c r="AX825" s="150"/>
      <c r="AY825" s="150"/>
      <c r="AZ825" s="150"/>
      <c r="BA825" s="150"/>
      <c r="BB825" s="150"/>
      <c r="BC825" s="150"/>
      <c r="BD825" s="150"/>
      <c r="BE825" s="150"/>
      <c r="BF825" s="150"/>
      <c r="BG825" s="150"/>
      <c r="BH825" s="150"/>
      <c r="BI825" s="150"/>
      <c r="BJ825" s="150"/>
      <c r="BK825" s="467">
        <v>8750</v>
      </c>
      <c r="BL825" s="160"/>
      <c r="BM825" s="150"/>
      <c r="BN825" s="150"/>
      <c r="BO825" s="150"/>
      <c r="BP825" s="152"/>
      <c r="BQ825" s="160"/>
      <c r="BR825" s="152"/>
      <c r="BS825" s="160"/>
    </row>
    <row r="826" spans="1:71" x14ac:dyDescent="0.3">
      <c r="A826" s="420">
        <f>DL!A823</f>
        <v>742</v>
      </c>
      <c r="B826" s="19" t="s">
        <v>1528</v>
      </c>
      <c r="C826" s="149">
        <v>12</v>
      </c>
      <c r="D826" s="149">
        <f>DL!C823</f>
        <v>12</v>
      </c>
      <c r="E826" s="150"/>
      <c r="F826" s="463"/>
      <c r="G826" s="150"/>
      <c r="H826" s="150"/>
      <c r="I826" s="150"/>
      <c r="J826" s="150"/>
      <c r="K826" s="168"/>
      <c r="L826" s="50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68">
        <v>7000</v>
      </c>
      <c r="X826" s="150"/>
      <c r="Y826" s="150"/>
      <c r="Z826" s="455"/>
      <c r="AA826" s="150"/>
      <c r="AB826" s="150"/>
      <c r="AC826" s="150"/>
      <c r="AD826" s="150"/>
      <c r="AE826" s="150"/>
      <c r="AF826" s="499"/>
      <c r="AG826" s="150"/>
      <c r="AH826" s="150"/>
      <c r="AI826" s="150"/>
      <c r="AJ826" s="150"/>
      <c r="AK826" s="150"/>
      <c r="AL826" s="150"/>
      <c r="AM826" s="150"/>
      <c r="AN826" s="150"/>
      <c r="AO826" s="150"/>
      <c r="AP826" s="150"/>
      <c r="AQ826" s="150"/>
      <c r="AR826" s="151"/>
      <c r="AS826" s="456"/>
      <c r="AT826" s="151"/>
      <c r="AU826" s="150"/>
      <c r="AV826" s="487"/>
      <c r="AW826" s="150">
        <v>19945.62</v>
      </c>
      <c r="AX826" s="150"/>
      <c r="AY826" s="150"/>
      <c r="AZ826" s="150"/>
      <c r="BA826" s="150"/>
      <c r="BB826" s="150"/>
      <c r="BC826" s="150"/>
      <c r="BD826" s="150"/>
      <c r="BE826" s="150"/>
      <c r="BF826" s="150"/>
      <c r="BG826" s="150"/>
      <c r="BH826" s="150"/>
      <c r="BI826" s="150"/>
      <c r="BJ826" s="150"/>
      <c r="BK826" s="467">
        <v>10000</v>
      </c>
      <c r="BL826" s="160"/>
      <c r="BM826" s="150"/>
      <c r="BN826" s="150"/>
      <c r="BO826" s="150"/>
      <c r="BP826" s="152"/>
      <c r="BQ826" s="160"/>
      <c r="BR826" s="152"/>
      <c r="BS826" s="160"/>
    </row>
    <row r="827" spans="1:71" x14ac:dyDescent="0.3">
      <c r="A827" s="420">
        <f>DL!A824</f>
        <v>743</v>
      </c>
      <c r="B827" s="19" t="s">
        <v>1529</v>
      </c>
      <c r="C827" s="149">
        <v>120</v>
      </c>
      <c r="D827" s="149" t="str">
        <f>DL!C824</f>
        <v>PCS</v>
      </c>
      <c r="E827" s="150"/>
      <c r="F827" s="463"/>
      <c r="G827" s="150"/>
      <c r="H827" s="150"/>
      <c r="I827" s="150"/>
      <c r="J827" s="150"/>
      <c r="K827" s="168"/>
      <c r="L827" s="500"/>
      <c r="M827" s="150"/>
      <c r="N827" s="150"/>
      <c r="O827" s="150"/>
      <c r="P827" s="150"/>
      <c r="Q827" s="150">
        <v>2000</v>
      </c>
      <c r="R827" s="150"/>
      <c r="S827" s="150"/>
      <c r="T827" s="150"/>
      <c r="U827" s="150"/>
      <c r="V827" s="150"/>
      <c r="W827" s="168">
        <v>7000</v>
      </c>
      <c r="X827" s="150"/>
      <c r="Y827" s="150"/>
      <c r="Z827" s="455"/>
      <c r="AA827" s="150"/>
      <c r="AB827" s="150"/>
      <c r="AC827" s="150"/>
      <c r="AD827" s="150"/>
      <c r="AE827" s="150"/>
      <c r="AF827" s="499"/>
      <c r="AG827" s="150"/>
      <c r="AH827" s="150"/>
      <c r="AI827" s="150"/>
      <c r="AJ827" s="150"/>
      <c r="AK827" s="150"/>
      <c r="AL827" s="150"/>
      <c r="AM827" s="150"/>
      <c r="AN827" s="150"/>
      <c r="AO827" s="150"/>
      <c r="AP827" s="150"/>
      <c r="AQ827" s="150"/>
      <c r="AR827" s="151"/>
      <c r="AS827" s="456"/>
      <c r="AT827" s="151"/>
      <c r="AU827" s="150"/>
      <c r="AV827" s="487"/>
      <c r="AW827" s="150"/>
      <c r="AX827" s="150"/>
      <c r="AY827" s="150"/>
      <c r="AZ827" s="150"/>
      <c r="BA827" s="150"/>
      <c r="BB827" s="150"/>
      <c r="BC827" s="150"/>
      <c r="BD827" s="150"/>
      <c r="BE827" s="150"/>
      <c r="BF827" s="150"/>
      <c r="BG827" s="150"/>
      <c r="BH827" s="150"/>
      <c r="BI827" s="150"/>
      <c r="BJ827" s="150"/>
      <c r="BK827" s="467">
        <v>7500</v>
      </c>
      <c r="BL827" s="160"/>
      <c r="BM827" s="150"/>
      <c r="BN827" s="150"/>
      <c r="BO827" s="150"/>
      <c r="BP827" s="152"/>
      <c r="BQ827" s="160"/>
      <c r="BR827" s="152"/>
      <c r="BS827" s="160"/>
    </row>
    <row r="828" spans="1:71" x14ac:dyDescent="0.3">
      <c r="A828" s="420">
        <f>DL!A825</f>
        <v>744</v>
      </c>
      <c r="B828" s="19" t="s">
        <v>1530</v>
      </c>
      <c r="C828" s="149">
        <v>900</v>
      </c>
      <c r="D828" s="149" t="str">
        <f>DL!C825</f>
        <v>CARTON</v>
      </c>
      <c r="E828" s="150"/>
      <c r="F828" s="463"/>
      <c r="G828" s="150"/>
      <c r="H828" s="150"/>
      <c r="I828" s="150"/>
      <c r="J828" s="150"/>
      <c r="K828" s="168"/>
      <c r="L828" s="500"/>
      <c r="M828" s="150">
        <v>7180</v>
      </c>
      <c r="N828" s="150"/>
      <c r="O828" s="150"/>
      <c r="P828" s="150"/>
      <c r="Q828" s="150">
        <v>5630</v>
      </c>
      <c r="R828" s="150"/>
      <c r="S828" s="150"/>
      <c r="T828" s="150"/>
      <c r="U828" s="150"/>
      <c r="V828" s="150"/>
      <c r="W828" s="168"/>
      <c r="X828" s="150"/>
      <c r="Y828" s="150"/>
      <c r="Z828" s="455"/>
      <c r="AA828" s="150"/>
      <c r="AB828" s="150"/>
      <c r="AC828" s="150">
        <v>7150</v>
      </c>
      <c r="AD828" s="150"/>
      <c r="AE828" s="150"/>
      <c r="AF828" s="499"/>
      <c r="AG828" s="150"/>
      <c r="AH828" s="150"/>
      <c r="AI828" s="150"/>
      <c r="AJ828" s="150"/>
      <c r="AK828" s="150"/>
      <c r="AL828" s="150"/>
      <c r="AM828" s="150"/>
      <c r="AN828" s="150"/>
      <c r="AO828" s="150"/>
      <c r="AP828" s="150"/>
      <c r="AQ828" s="150"/>
      <c r="AR828" s="151"/>
      <c r="AS828" s="456"/>
      <c r="AT828" s="151"/>
      <c r="AU828" s="150"/>
      <c r="AV828" s="487"/>
      <c r="AW828" s="150"/>
      <c r="AX828" s="150"/>
      <c r="AY828" s="150"/>
      <c r="AZ828" s="150"/>
      <c r="BA828" s="150"/>
      <c r="BB828" s="150"/>
      <c r="BC828" s="150"/>
      <c r="BD828" s="150"/>
      <c r="BE828" s="150"/>
      <c r="BF828" s="150"/>
      <c r="BG828" s="150"/>
      <c r="BH828" s="150"/>
      <c r="BI828" s="150"/>
      <c r="BJ828" s="150"/>
      <c r="BK828" s="467">
        <v>8125</v>
      </c>
      <c r="BL828" s="160"/>
      <c r="BM828" s="150"/>
      <c r="BN828" s="150"/>
      <c r="BO828" s="150"/>
      <c r="BP828" s="152"/>
      <c r="BQ828" s="160"/>
      <c r="BR828" s="152"/>
      <c r="BS828" s="160"/>
    </row>
    <row r="829" spans="1:71" x14ac:dyDescent="0.3">
      <c r="A829" s="420">
        <f>DL!A826</f>
        <v>745</v>
      </c>
      <c r="B829" s="19" t="s">
        <v>1531</v>
      </c>
      <c r="C829" s="149">
        <v>30</v>
      </c>
      <c r="D829" s="149" t="str">
        <f>DL!C826</f>
        <v>KEG</v>
      </c>
      <c r="E829" s="150"/>
      <c r="F829" s="463"/>
      <c r="G829" s="150"/>
      <c r="H829" s="150"/>
      <c r="I829" s="150"/>
      <c r="J829" s="150"/>
      <c r="K829" s="168"/>
      <c r="L829" s="500"/>
      <c r="M829" s="150">
        <v>28750</v>
      </c>
      <c r="N829" s="150"/>
      <c r="O829" s="150"/>
      <c r="P829" s="150"/>
      <c r="Q829" s="150">
        <v>40000</v>
      </c>
      <c r="R829" s="150"/>
      <c r="S829" s="150"/>
      <c r="T829" s="150"/>
      <c r="U829" s="150"/>
      <c r="V829" s="150"/>
      <c r="W829" s="168"/>
      <c r="X829" s="150"/>
      <c r="Y829" s="150"/>
      <c r="Z829" s="455"/>
      <c r="AA829" s="150"/>
      <c r="AB829" s="150"/>
      <c r="AC829" s="150">
        <v>27120</v>
      </c>
      <c r="AD829" s="150"/>
      <c r="AE829" s="150"/>
      <c r="AF829" s="499"/>
      <c r="AG829" s="150"/>
      <c r="AH829" s="150"/>
      <c r="AI829" s="150"/>
      <c r="AJ829" s="150"/>
      <c r="AK829" s="150"/>
      <c r="AL829" s="150"/>
      <c r="AM829" s="150"/>
      <c r="AN829" s="150"/>
      <c r="AO829" s="150"/>
      <c r="AP829" s="150"/>
      <c r="AQ829" s="150"/>
      <c r="AR829" s="151"/>
      <c r="AS829" s="456"/>
      <c r="AT829" s="151"/>
      <c r="AU829" s="150"/>
      <c r="AV829" s="487"/>
      <c r="AW829" s="150"/>
      <c r="AX829" s="150"/>
      <c r="AY829" s="150"/>
      <c r="AZ829" s="150"/>
      <c r="BA829" s="150"/>
      <c r="BB829" s="150"/>
      <c r="BC829" s="150"/>
      <c r="BD829" s="150"/>
      <c r="BE829" s="150"/>
      <c r="BF829" s="150"/>
      <c r="BG829" s="150"/>
      <c r="BH829" s="150"/>
      <c r="BI829" s="150"/>
      <c r="BJ829" s="150"/>
      <c r="BK829" s="466"/>
      <c r="BL829" s="160"/>
      <c r="BM829" s="150"/>
      <c r="BN829" s="150"/>
      <c r="BO829" s="150"/>
      <c r="BP829" s="152"/>
      <c r="BQ829" s="160"/>
      <c r="BR829" s="152"/>
      <c r="BS829" s="160"/>
    </row>
    <row r="830" spans="1:71" x14ac:dyDescent="0.3">
      <c r="A830" s="420">
        <f>DL!A827</f>
        <v>746</v>
      </c>
      <c r="B830" s="19" t="s">
        <v>1532</v>
      </c>
      <c r="C830" s="149">
        <v>400</v>
      </c>
      <c r="D830" s="149" t="str">
        <f>DL!C827</f>
        <v>PIECE</v>
      </c>
      <c r="E830" s="150"/>
      <c r="F830" s="463"/>
      <c r="G830" s="150"/>
      <c r="H830" s="150"/>
      <c r="I830" s="150"/>
      <c r="J830" s="150"/>
      <c r="K830" s="168"/>
      <c r="L830" s="466">
        <v>850</v>
      </c>
      <c r="M830" s="150">
        <v>150</v>
      </c>
      <c r="N830" s="150"/>
      <c r="O830" s="150"/>
      <c r="P830" s="150"/>
      <c r="Q830" s="150">
        <v>138</v>
      </c>
      <c r="R830" s="150"/>
      <c r="S830" s="150"/>
      <c r="T830" s="150"/>
      <c r="U830" s="150"/>
      <c r="V830" s="150"/>
      <c r="W830" s="168"/>
      <c r="X830" s="150"/>
      <c r="Y830" s="150"/>
      <c r="Z830" s="455"/>
      <c r="AA830" s="150"/>
      <c r="AB830" s="150"/>
      <c r="AC830" s="150"/>
      <c r="AD830" s="150"/>
      <c r="AE830" s="150"/>
      <c r="AF830" s="499"/>
      <c r="AG830" s="150"/>
      <c r="AH830" s="150"/>
      <c r="AI830" s="150"/>
      <c r="AJ830" s="150"/>
      <c r="AK830" s="150"/>
      <c r="AL830" s="150"/>
      <c r="AM830" s="150"/>
      <c r="AN830" s="150"/>
      <c r="AO830" s="150"/>
      <c r="AP830" s="150"/>
      <c r="AQ830" s="150"/>
      <c r="AR830" s="151"/>
      <c r="AS830" s="456"/>
      <c r="AT830" s="151"/>
      <c r="AU830" s="150"/>
      <c r="AV830" s="487"/>
      <c r="AW830" s="150"/>
      <c r="AX830" s="150"/>
      <c r="AY830" s="150"/>
      <c r="AZ830" s="150"/>
      <c r="BA830" s="150"/>
      <c r="BB830" s="150"/>
      <c r="BC830" s="150"/>
      <c r="BD830" s="150"/>
      <c r="BE830" s="150"/>
      <c r="BF830" s="150"/>
      <c r="BG830" s="150"/>
      <c r="BH830" s="150"/>
      <c r="BI830" s="150"/>
      <c r="BJ830" s="150"/>
      <c r="BK830" s="466"/>
      <c r="BL830" s="160"/>
      <c r="BM830" s="150"/>
      <c r="BN830" s="150"/>
      <c r="BO830" s="150"/>
      <c r="BP830" s="152"/>
      <c r="BQ830" s="160"/>
      <c r="BR830" s="152"/>
      <c r="BS830" s="160"/>
    </row>
    <row r="831" spans="1:71" x14ac:dyDescent="0.3">
      <c r="A831" s="420">
        <f>DL!A828</f>
        <v>747</v>
      </c>
      <c r="B831" s="19" t="s">
        <v>1533</v>
      </c>
      <c r="C831" s="149">
        <v>72</v>
      </c>
      <c r="D831" s="149" t="str">
        <f>DL!C828</f>
        <v>PACK</v>
      </c>
      <c r="E831" s="150"/>
      <c r="F831" s="463"/>
      <c r="G831" s="150"/>
      <c r="H831" s="150"/>
      <c r="I831" s="150"/>
      <c r="J831" s="150"/>
      <c r="K831" s="168"/>
      <c r="L831" s="466">
        <v>2500</v>
      </c>
      <c r="M831" s="150">
        <v>2300</v>
      </c>
      <c r="N831" s="150"/>
      <c r="O831" s="150"/>
      <c r="P831" s="150"/>
      <c r="Q831" s="150">
        <v>3125</v>
      </c>
      <c r="R831" s="150"/>
      <c r="S831" s="150"/>
      <c r="T831" s="150"/>
      <c r="U831" s="150"/>
      <c r="V831" s="150"/>
      <c r="W831" s="168">
        <v>4000</v>
      </c>
      <c r="X831" s="150"/>
      <c r="Y831" s="150"/>
      <c r="Z831" s="455"/>
      <c r="AA831" s="150"/>
      <c r="AB831" s="150"/>
      <c r="AC831" s="150">
        <v>2240</v>
      </c>
      <c r="AD831" s="150"/>
      <c r="AE831" s="150"/>
      <c r="AF831" s="499"/>
      <c r="AG831" s="150"/>
      <c r="AH831" s="150"/>
      <c r="AI831" s="150"/>
      <c r="AJ831" s="150"/>
      <c r="AK831" s="150"/>
      <c r="AL831" s="150"/>
      <c r="AM831" s="150"/>
      <c r="AN831" s="150"/>
      <c r="AO831" s="150"/>
      <c r="AP831" s="150"/>
      <c r="AQ831" s="150"/>
      <c r="AR831" s="151"/>
      <c r="AS831" s="456"/>
      <c r="AT831" s="151"/>
      <c r="AU831" s="150"/>
      <c r="AV831" s="487"/>
      <c r="AW831" s="150"/>
      <c r="AX831" s="150"/>
      <c r="AY831" s="150"/>
      <c r="AZ831" s="150"/>
      <c r="BA831" s="150"/>
      <c r="BB831" s="150"/>
      <c r="BC831" s="150"/>
      <c r="BD831" s="150"/>
      <c r="BE831" s="150"/>
      <c r="BF831" s="150"/>
      <c r="BG831" s="150"/>
      <c r="BH831" s="150"/>
      <c r="BI831" s="150"/>
      <c r="BJ831" s="150"/>
      <c r="BK831" s="467">
        <v>2500</v>
      </c>
      <c r="BL831" s="160"/>
      <c r="BM831" s="150"/>
      <c r="BN831" s="150"/>
      <c r="BO831" s="150"/>
      <c r="BP831" s="152"/>
      <c r="BQ831" s="160"/>
      <c r="BR831" s="152"/>
      <c r="BS831" s="160"/>
    </row>
    <row r="832" spans="1:71" x14ac:dyDescent="0.3">
      <c r="A832" s="420">
        <f>DL!A829</f>
        <v>748</v>
      </c>
      <c r="B832" s="19" t="s">
        <v>1534</v>
      </c>
      <c r="C832" s="149">
        <v>1200</v>
      </c>
      <c r="D832" s="149" t="str">
        <f>DL!C829</f>
        <v>PACK</v>
      </c>
      <c r="E832" s="150"/>
      <c r="F832" s="463"/>
      <c r="G832" s="150"/>
      <c r="H832" s="150"/>
      <c r="I832" s="150"/>
      <c r="J832" s="150"/>
      <c r="K832" s="168"/>
      <c r="L832" s="466">
        <v>450</v>
      </c>
      <c r="M832" s="150">
        <v>450</v>
      </c>
      <c r="N832" s="150"/>
      <c r="O832" s="150"/>
      <c r="P832" s="150"/>
      <c r="Q832" s="150">
        <v>563</v>
      </c>
      <c r="R832" s="150"/>
      <c r="S832" s="150"/>
      <c r="T832" s="150"/>
      <c r="U832" s="150"/>
      <c r="V832" s="150"/>
      <c r="W832" s="168"/>
      <c r="X832" s="150"/>
      <c r="Y832" s="150"/>
      <c r="Z832" s="455"/>
      <c r="AA832" s="150"/>
      <c r="AB832" s="150"/>
      <c r="AC832" s="150">
        <v>385</v>
      </c>
      <c r="AD832" s="150"/>
      <c r="AE832" s="150"/>
      <c r="AF832" s="499"/>
      <c r="AG832" s="150"/>
      <c r="AH832" s="150"/>
      <c r="AI832" s="150"/>
      <c r="AJ832" s="150"/>
      <c r="AK832" s="150"/>
      <c r="AL832" s="150"/>
      <c r="AM832" s="150"/>
      <c r="AN832" s="150"/>
      <c r="AO832" s="150"/>
      <c r="AP832" s="150"/>
      <c r="AQ832" s="150"/>
      <c r="AR832" s="151"/>
      <c r="AS832" s="456"/>
      <c r="AT832" s="151"/>
      <c r="AU832" s="150"/>
      <c r="AV832" s="487"/>
      <c r="AW832" s="150"/>
      <c r="AX832" s="150"/>
      <c r="AY832" s="150"/>
      <c r="AZ832" s="150"/>
      <c r="BA832" s="150"/>
      <c r="BB832" s="150"/>
      <c r="BC832" s="150"/>
      <c r="BD832" s="150"/>
      <c r="BE832" s="150"/>
      <c r="BF832" s="150"/>
      <c r="BG832" s="150"/>
      <c r="BH832" s="150"/>
      <c r="BI832" s="150"/>
      <c r="BJ832" s="150"/>
      <c r="BK832" s="467">
        <v>375</v>
      </c>
      <c r="BL832" s="160"/>
      <c r="BM832" s="150"/>
      <c r="BN832" s="150"/>
      <c r="BO832" s="150"/>
      <c r="BP832" s="152"/>
      <c r="BQ832" s="160"/>
      <c r="BR832" s="152"/>
      <c r="BS832" s="160"/>
    </row>
    <row r="833" spans="1:71" x14ac:dyDescent="0.3">
      <c r="A833" s="420">
        <f>DL!A830</f>
        <v>749</v>
      </c>
      <c r="B833" s="19" t="s">
        <v>1535</v>
      </c>
      <c r="C833" s="149">
        <v>100</v>
      </c>
      <c r="D833" s="149" t="str">
        <f>DL!C830</f>
        <v>KEG</v>
      </c>
      <c r="E833" s="150"/>
      <c r="F833" s="463"/>
      <c r="G833" s="150"/>
      <c r="H833" s="150"/>
      <c r="I833" s="150"/>
      <c r="J833" s="150"/>
      <c r="K833" s="168"/>
      <c r="L833" s="466">
        <v>3000</v>
      </c>
      <c r="M833" s="150">
        <v>2750</v>
      </c>
      <c r="N833" s="150"/>
      <c r="O833" s="150"/>
      <c r="P833" s="150"/>
      <c r="Q833" s="150">
        <v>3500</v>
      </c>
      <c r="R833" s="150"/>
      <c r="S833" s="150"/>
      <c r="T833" s="150"/>
      <c r="U833" s="150"/>
      <c r="V833" s="150"/>
      <c r="W833" s="168"/>
      <c r="X833" s="150"/>
      <c r="Y833" s="150"/>
      <c r="Z833" s="455"/>
      <c r="AA833" s="150"/>
      <c r="AB833" s="150"/>
      <c r="AC833" s="150">
        <v>2650</v>
      </c>
      <c r="AD833" s="150"/>
      <c r="AE833" s="150"/>
      <c r="AF833" s="499"/>
      <c r="AG833" s="150"/>
      <c r="AH833" s="150"/>
      <c r="AI833" s="150"/>
      <c r="AJ833" s="150"/>
      <c r="AK833" s="150"/>
      <c r="AL833" s="150"/>
      <c r="AM833" s="150"/>
      <c r="AN833" s="150"/>
      <c r="AO833" s="150"/>
      <c r="AP833" s="150"/>
      <c r="AQ833" s="150"/>
      <c r="AR833" s="151"/>
      <c r="AS833" s="456"/>
      <c r="AT833" s="151"/>
      <c r="AU833" s="150"/>
      <c r="AV833" s="487"/>
      <c r="AW833" s="150"/>
      <c r="AX833" s="150"/>
      <c r="AY833" s="150"/>
      <c r="AZ833" s="150"/>
      <c r="BA833" s="150"/>
      <c r="BB833" s="150"/>
      <c r="BC833" s="150"/>
      <c r="BD833" s="150"/>
      <c r="BE833" s="150"/>
      <c r="BF833" s="150"/>
      <c r="BG833" s="150"/>
      <c r="BH833" s="150"/>
      <c r="BI833" s="150"/>
      <c r="BJ833" s="150"/>
      <c r="BK833" s="467">
        <v>3000</v>
      </c>
      <c r="BL833" s="160"/>
      <c r="BM833" s="150"/>
      <c r="BN833" s="150"/>
      <c r="BO833" s="150"/>
      <c r="BP833" s="152"/>
      <c r="BQ833" s="160"/>
      <c r="BR833" s="152"/>
      <c r="BS833" s="160"/>
    </row>
    <row r="834" spans="1:71" x14ac:dyDescent="0.3">
      <c r="A834" s="420">
        <f>DL!A831</f>
        <v>750</v>
      </c>
      <c r="B834" s="19" t="s">
        <v>1536</v>
      </c>
      <c r="C834" s="149">
        <v>8</v>
      </c>
      <c r="D834" s="149" t="str">
        <f>DL!C831</f>
        <v>KEG</v>
      </c>
      <c r="E834" s="150"/>
      <c r="F834" s="463"/>
      <c r="G834" s="150"/>
      <c r="H834" s="150"/>
      <c r="I834" s="150"/>
      <c r="J834" s="150"/>
      <c r="K834" s="168"/>
      <c r="L834" s="466"/>
      <c r="M834" s="150">
        <v>59000</v>
      </c>
      <c r="N834" s="150"/>
      <c r="O834" s="150"/>
      <c r="P834" s="150"/>
      <c r="Q834" s="150">
        <v>62500</v>
      </c>
      <c r="R834" s="150"/>
      <c r="S834" s="150"/>
      <c r="T834" s="150"/>
      <c r="U834" s="150"/>
      <c r="V834" s="150"/>
      <c r="W834" s="168"/>
      <c r="X834" s="150"/>
      <c r="Y834" s="150"/>
      <c r="Z834" s="455"/>
      <c r="AA834" s="150"/>
      <c r="AB834" s="150"/>
      <c r="AC834" s="150"/>
      <c r="AD834" s="150"/>
      <c r="AE834" s="150"/>
      <c r="AF834" s="499"/>
      <c r="AG834" s="150"/>
      <c r="AH834" s="150"/>
      <c r="AI834" s="150"/>
      <c r="AJ834" s="150"/>
      <c r="AK834" s="150"/>
      <c r="AL834" s="150"/>
      <c r="AM834" s="150"/>
      <c r="AN834" s="150"/>
      <c r="AO834" s="150"/>
      <c r="AP834" s="150"/>
      <c r="AQ834" s="150"/>
      <c r="AR834" s="151"/>
      <c r="AS834" s="456"/>
      <c r="AT834" s="151"/>
      <c r="AU834" s="150"/>
      <c r="AV834" s="487"/>
      <c r="AW834" s="150"/>
      <c r="AX834" s="150"/>
      <c r="AY834" s="150"/>
      <c r="AZ834" s="150"/>
      <c r="BA834" s="150"/>
      <c r="BB834" s="150"/>
      <c r="BC834" s="150"/>
      <c r="BD834" s="150"/>
      <c r="BE834" s="150"/>
      <c r="BF834" s="150"/>
      <c r="BG834" s="150"/>
      <c r="BH834" s="150"/>
      <c r="BI834" s="150"/>
      <c r="BJ834" s="150"/>
      <c r="BK834" s="467"/>
      <c r="BL834" s="160"/>
      <c r="BM834" s="150"/>
      <c r="BN834" s="150"/>
      <c r="BO834" s="150"/>
      <c r="BP834" s="152"/>
      <c r="BQ834" s="160"/>
      <c r="BR834" s="152"/>
      <c r="BS834" s="160"/>
    </row>
    <row r="835" spans="1:71" x14ac:dyDescent="0.3">
      <c r="A835" s="420">
        <f>DL!A832</f>
        <v>751</v>
      </c>
      <c r="B835" s="19" t="s">
        <v>2079</v>
      </c>
      <c r="C835" s="149">
        <v>120</v>
      </c>
      <c r="D835" s="149" t="str">
        <f>DL!C832</f>
        <v>PCS</v>
      </c>
      <c r="E835" s="150"/>
      <c r="F835" s="463"/>
      <c r="G835" s="150"/>
      <c r="H835" s="150"/>
      <c r="I835" s="150"/>
      <c r="J835" s="150"/>
      <c r="K835" s="168"/>
      <c r="L835" s="466">
        <v>500</v>
      </c>
      <c r="M835" s="150">
        <v>230</v>
      </c>
      <c r="N835" s="150"/>
      <c r="O835" s="150"/>
      <c r="P835" s="150"/>
      <c r="Q835" s="150">
        <v>438</v>
      </c>
      <c r="R835" s="150"/>
      <c r="S835" s="150"/>
      <c r="T835" s="150"/>
      <c r="U835" s="150"/>
      <c r="V835" s="150"/>
      <c r="W835" s="168"/>
      <c r="X835" s="150"/>
      <c r="Y835" s="150"/>
      <c r="Z835" s="455"/>
      <c r="AA835" s="150"/>
      <c r="AB835" s="150"/>
      <c r="AC835" s="150">
        <v>165</v>
      </c>
      <c r="AD835" s="150"/>
      <c r="AE835" s="150"/>
      <c r="AF835" s="499"/>
      <c r="AG835" s="150"/>
      <c r="AH835" s="150"/>
      <c r="AI835" s="150"/>
      <c r="AJ835" s="150"/>
      <c r="AK835" s="150"/>
      <c r="AL835" s="150"/>
      <c r="AM835" s="150"/>
      <c r="AN835" s="150"/>
      <c r="AO835" s="150"/>
      <c r="AP835" s="150"/>
      <c r="AQ835" s="150"/>
      <c r="AR835" s="151"/>
      <c r="AS835" s="456"/>
      <c r="AT835" s="151"/>
      <c r="AU835" s="150"/>
      <c r="AV835" s="487"/>
      <c r="AW835" s="150"/>
      <c r="AX835" s="150"/>
      <c r="AY835" s="150"/>
      <c r="AZ835" s="150"/>
      <c r="BA835" s="150"/>
      <c r="BB835" s="150"/>
      <c r="BC835" s="150"/>
      <c r="BD835" s="150"/>
      <c r="BE835" s="150"/>
      <c r="BF835" s="150"/>
      <c r="BG835" s="150"/>
      <c r="BH835" s="150"/>
      <c r="BI835" s="150"/>
      <c r="BJ835" s="150"/>
      <c r="BK835" s="466">
        <v>250</v>
      </c>
      <c r="BL835" s="160"/>
      <c r="BM835" s="150"/>
      <c r="BN835" s="150"/>
      <c r="BO835" s="150"/>
      <c r="BP835" s="152"/>
      <c r="BQ835" s="160"/>
      <c r="BR835" s="152"/>
      <c r="BS835" s="160"/>
    </row>
    <row r="836" spans="1:71" x14ac:dyDescent="0.3">
      <c r="A836" s="420">
        <f>DL!A833</f>
        <v>752</v>
      </c>
      <c r="B836" s="19" t="s">
        <v>1538</v>
      </c>
      <c r="C836" s="149">
        <v>28</v>
      </c>
      <c r="D836" s="149" t="str">
        <f>DL!C833</f>
        <v>CARTON</v>
      </c>
      <c r="E836" s="150"/>
      <c r="F836" s="463"/>
      <c r="G836" s="150"/>
      <c r="H836" s="150"/>
      <c r="I836" s="150"/>
      <c r="J836" s="150"/>
      <c r="K836" s="168"/>
      <c r="L836" s="466">
        <v>5300</v>
      </c>
      <c r="M836" s="150">
        <v>7200</v>
      </c>
      <c r="N836" s="150"/>
      <c r="O836" s="150"/>
      <c r="P836" s="150"/>
      <c r="Q836" s="150">
        <v>6250</v>
      </c>
      <c r="R836" s="150"/>
      <c r="S836" s="150"/>
      <c r="T836" s="150"/>
      <c r="U836" s="150"/>
      <c r="V836" s="150"/>
      <c r="W836" s="168"/>
      <c r="X836" s="150"/>
      <c r="Y836" s="150"/>
      <c r="Z836" s="455"/>
      <c r="AA836" s="150"/>
      <c r="AB836" s="150"/>
      <c r="AC836" s="150">
        <v>5525</v>
      </c>
      <c r="AD836" s="150"/>
      <c r="AE836" s="150"/>
      <c r="AF836" s="499"/>
      <c r="AG836" s="150"/>
      <c r="AH836" s="150"/>
      <c r="AI836" s="150"/>
      <c r="AJ836" s="150"/>
      <c r="AK836" s="150"/>
      <c r="AL836" s="150"/>
      <c r="AM836" s="150"/>
      <c r="AN836" s="150"/>
      <c r="AO836" s="150"/>
      <c r="AP836" s="150"/>
      <c r="AQ836" s="150"/>
      <c r="AR836" s="151"/>
      <c r="AS836" s="456"/>
      <c r="AT836" s="151"/>
      <c r="AU836" s="150"/>
      <c r="AV836" s="487"/>
      <c r="AW836" s="150"/>
      <c r="AX836" s="150"/>
      <c r="AY836" s="150"/>
      <c r="AZ836" s="150"/>
      <c r="BA836" s="150"/>
      <c r="BB836" s="150"/>
      <c r="BC836" s="150"/>
      <c r="BD836" s="150"/>
      <c r="BE836" s="150"/>
      <c r="BF836" s="150"/>
      <c r="BG836" s="150"/>
      <c r="BH836" s="150"/>
      <c r="BI836" s="150"/>
      <c r="BJ836" s="150"/>
      <c r="BK836" s="466">
        <v>7875</v>
      </c>
      <c r="BL836" s="160"/>
      <c r="BM836" s="150"/>
      <c r="BN836" s="150"/>
      <c r="BO836" s="150"/>
      <c r="BP836" s="152"/>
      <c r="BQ836" s="160"/>
      <c r="BR836" s="152"/>
      <c r="BS836" s="160"/>
    </row>
    <row r="837" spans="1:71" x14ac:dyDescent="0.3">
      <c r="A837" s="420">
        <f>DL!A834</f>
        <v>753</v>
      </c>
      <c r="B837" s="19" t="s">
        <v>1539</v>
      </c>
      <c r="C837" s="149">
        <v>400</v>
      </c>
      <c r="D837" s="149" t="str">
        <f>DL!C834</f>
        <v>KEG</v>
      </c>
      <c r="E837" s="150"/>
      <c r="F837" s="463"/>
      <c r="G837" s="150"/>
      <c r="H837" s="150"/>
      <c r="I837" s="150"/>
      <c r="J837" s="150"/>
      <c r="K837" s="168"/>
      <c r="L837" s="466"/>
      <c r="M837" s="150">
        <v>1700</v>
      </c>
      <c r="N837" s="150"/>
      <c r="O837" s="150"/>
      <c r="P837" s="150"/>
      <c r="Q837" s="150">
        <v>1250</v>
      </c>
      <c r="R837" s="150"/>
      <c r="S837" s="150"/>
      <c r="T837" s="150"/>
      <c r="U837" s="150"/>
      <c r="V837" s="150"/>
      <c r="W837" s="168"/>
      <c r="X837" s="150"/>
      <c r="Y837" s="150"/>
      <c r="Z837" s="455"/>
      <c r="AA837" s="150"/>
      <c r="AB837" s="150"/>
      <c r="AC837" s="150"/>
      <c r="AD837" s="150"/>
      <c r="AE837" s="150"/>
      <c r="AF837" s="499"/>
      <c r="AG837" s="150"/>
      <c r="AH837" s="150"/>
      <c r="AI837" s="150"/>
      <c r="AJ837" s="150"/>
      <c r="AK837" s="150"/>
      <c r="AL837" s="150"/>
      <c r="AM837" s="150"/>
      <c r="AN837" s="150"/>
      <c r="AO837" s="150"/>
      <c r="AP837" s="150"/>
      <c r="AQ837" s="150"/>
      <c r="AR837" s="151"/>
      <c r="AS837" s="456"/>
      <c r="AT837" s="151"/>
      <c r="AU837" s="150"/>
      <c r="AV837" s="487"/>
      <c r="AW837" s="150"/>
      <c r="AX837" s="150"/>
      <c r="AY837" s="150"/>
      <c r="AZ837" s="150"/>
      <c r="BA837" s="150"/>
      <c r="BB837" s="150"/>
      <c r="BC837" s="150"/>
      <c r="BD837" s="150"/>
      <c r="BE837" s="150"/>
      <c r="BF837" s="150"/>
      <c r="BG837" s="150"/>
      <c r="BH837" s="150"/>
      <c r="BI837" s="150"/>
      <c r="BJ837" s="150"/>
      <c r="BK837" s="467"/>
      <c r="BL837" s="160"/>
      <c r="BM837" s="150"/>
      <c r="BN837" s="150"/>
      <c r="BO837" s="150"/>
      <c r="BP837" s="152"/>
      <c r="BQ837" s="160"/>
      <c r="BR837" s="152"/>
      <c r="BS837" s="160"/>
    </row>
    <row r="838" spans="1:71" x14ac:dyDescent="0.3">
      <c r="A838" s="420">
        <f>DL!A835</f>
        <v>754</v>
      </c>
      <c r="B838" s="19" t="s">
        <v>1540</v>
      </c>
      <c r="C838" s="149">
        <v>240</v>
      </c>
      <c r="D838" s="149" t="str">
        <f>DL!C835</f>
        <v>BOTTLE</v>
      </c>
      <c r="E838" s="150"/>
      <c r="F838" s="463"/>
      <c r="G838" s="150"/>
      <c r="H838" s="150"/>
      <c r="I838" s="150"/>
      <c r="J838" s="150"/>
      <c r="K838" s="168"/>
      <c r="L838" s="466">
        <v>1200</v>
      </c>
      <c r="M838" s="150">
        <v>1380</v>
      </c>
      <c r="N838" s="150"/>
      <c r="O838" s="150"/>
      <c r="P838" s="150"/>
      <c r="Q838" s="150">
        <v>2500</v>
      </c>
      <c r="R838" s="150"/>
      <c r="S838" s="150"/>
      <c r="T838" s="150"/>
      <c r="U838" s="150"/>
      <c r="V838" s="150"/>
      <c r="W838" s="168"/>
      <c r="X838" s="150"/>
      <c r="Y838" s="150"/>
      <c r="Z838" s="455"/>
      <c r="AA838" s="150"/>
      <c r="AB838" s="150"/>
      <c r="AC838" s="150">
        <v>1100</v>
      </c>
      <c r="AD838" s="150"/>
      <c r="AE838" s="150"/>
      <c r="AF838" s="499"/>
      <c r="AG838" s="150"/>
      <c r="AH838" s="150"/>
      <c r="AI838" s="150"/>
      <c r="AJ838" s="150"/>
      <c r="AK838" s="150"/>
      <c r="AL838" s="150"/>
      <c r="AM838" s="150"/>
      <c r="AN838" s="150"/>
      <c r="AO838" s="150"/>
      <c r="AP838" s="150"/>
      <c r="AQ838" s="150"/>
      <c r="AR838" s="151"/>
      <c r="AS838" s="456"/>
      <c r="AT838" s="151"/>
      <c r="AU838" s="150"/>
      <c r="AV838" s="487"/>
      <c r="AW838" s="150"/>
      <c r="AX838" s="150"/>
      <c r="AY838" s="150"/>
      <c r="AZ838" s="150"/>
      <c r="BA838" s="150"/>
      <c r="BB838" s="150"/>
      <c r="BC838" s="150"/>
      <c r="BD838" s="150"/>
      <c r="BE838" s="150"/>
      <c r="BF838" s="150"/>
      <c r="BG838" s="150"/>
      <c r="BH838" s="150"/>
      <c r="BI838" s="150"/>
      <c r="BJ838" s="150"/>
      <c r="BK838" s="467">
        <v>1625</v>
      </c>
      <c r="BL838" s="160"/>
      <c r="BM838" s="150"/>
      <c r="BN838" s="150"/>
      <c r="BO838" s="150"/>
      <c r="BP838" s="152"/>
      <c r="BQ838" s="160"/>
      <c r="BR838" s="152"/>
      <c r="BS838" s="160"/>
    </row>
    <row r="839" spans="1:71" x14ac:dyDescent="0.3">
      <c r="A839" s="420">
        <f>DL!A836</f>
        <v>755</v>
      </c>
      <c r="B839" s="19" t="s">
        <v>1541</v>
      </c>
      <c r="C839" s="149">
        <v>250</v>
      </c>
      <c r="D839" s="149" t="str">
        <f>DL!C836</f>
        <v>PCS</v>
      </c>
      <c r="E839" s="150"/>
      <c r="F839" s="463"/>
      <c r="G839" s="150"/>
      <c r="H839" s="150"/>
      <c r="I839" s="150"/>
      <c r="J839" s="150"/>
      <c r="K839" s="168"/>
      <c r="L839" s="466">
        <v>3000</v>
      </c>
      <c r="M839" s="150">
        <v>2200</v>
      </c>
      <c r="N839" s="150"/>
      <c r="O839" s="150"/>
      <c r="P839" s="150"/>
      <c r="Q839" s="150">
        <v>2750</v>
      </c>
      <c r="R839" s="150"/>
      <c r="S839" s="150"/>
      <c r="T839" s="150"/>
      <c r="U839" s="150"/>
      <c r="V839" s="150"/>
      <c r="W839" s="168">
        <v>2200</v>
      </c>
      <c r="X839" s="150"/>
      <c r="Y839" s="150"/>
      <c r="Z839" s="455"/>
      <c r="AA839" s="150"/>
      <c r="AB839" s="150"/>
      <c r="AC839" s="150">
        <v>2200</v>
      </c>
      <c r="AD839" s="150"/>
      <c r="AE839" s="150"/>
      <c r="AF839" s="499"/>
      <c r="AG839" s="150"/>
      <c r="AH839" s="150"/>
      <c r="AI839" s="150"/>
      <c r="AJ839" s="150"/>
      <c r="AK839" s="150"/>
      <c r="AL839" s="150"/>
      <c r="AM839" s="150"/>
      <c r="AN839" s="150"/>
      <c r="AO839" s="150"/>
      <c r="AP839" s="150"/>
      <c r="AQ839" s="150"/>
      <c r="AR839" s="151"/>
      <c r="AS839" s="456"/>
      <c r="AT839" s="151"/>
      <c r="AU839" s="150"/>
      <c r="AV839" s="487"/>
      <c r="AW839" s="150"/>
      <c r="AX839" s="150"/>
      <c r="AY839" s="150"/>
      <c r="AZ839" s="150"/>
      <c r="BA839" s="150"/>
      <c r="BB839" s="150"/>
      <c r="BC839" s="150"/>
      <c r="BD839" s="150"/>
      <c r="BE839" s="150"/>
      <c r="BF839" s="150"/>
      <c r="BG839" s="150"/>
      <c r="BH839" s="150"/>
      <c r="BI839" s="150"/>
      <c r="BJ839" s="150"/>
      <c r="BK839" s="467">
        <v>2500</v>
      </c>
      <c r="BL839" s="160"/>
      <c r="BM839" s="150"/>
      <c r="BN839" s="150"/>
      <c r="BO839" s="150"/>
      <c r="BP839" s="152"/>
      <c r="BQ839" s="160"/>
      <c r="BR839" s="152"/>
      <c r="BS839" s="160"/>
    </row>
    <row r="840" spans="1:71" x14ac:dyDescent="0.3">
      <c r="A840" s="420">
        <f>DL!A837</f>
        <v>756</v>
      </c>
      <c r="B840" s="19" t="s">
        <v>1542</v>
      </c>
      <c r="C840" s="149">
        <v>160</v>
      </c>
      <c r="D840" s="149" t="str">
        <f>DL!C837</f>
        <v>PCS</v>
      </c>
      <c r="E840" s="150"/>
      <c r="F840" s="463"/>
      <c r="G840" s="150"/>
      <c r="H840" s="150"/>
      <c r="I840" s="150"/>
      <c r="J840" s="150"/>
      <c r="K840" s="168"/>
      <c r="L840" s="466">
        <v>1300</v>
      </c>
      <c r="M840" s="150">
        <v>500</v>
      </c>
      <c r="N840" s="150"/>
      <c r="O840" s="150"/>
      <c r="P840" s="150"/>
      <c r="Q840" s="150">
        <v>1875</v>
      </c>
      <c r="R840" s="150"/>
      <c r="S840" s="150"/>
      <c r="T840" s="150"/>
      <c r="U840" s="150"/>
      <c r="V840" s="150"/>
      <c r="W840" s="168">
        <v>1400</v>
      </c>
      <c r="X840" s="150"/>
      <c r="Y840" s="150"/>
      <c r="Z840" s="455"/>
      <c r="AA840" s="150"/>
      <c r="AB840" s="150"/>
      <c r="AC840" s="150">
        <v>314</v>
      </c>
      <c r="AD840" s="150"/>
      <c r="AE840" s="150"/>
      <c r="AF840" s="499"/>
      <c r="AG840" s="150"/>
      <c r="AH840" s="150"/>
      <c r="AI840" s="150"/>
      <c r="AJ840" s="150"/>
      <c r="AK840" s="150"/>
      <c r="AL840" s="150"/>
      <c r="AM840" s="150"/>
      <c r="AN840" s="150"/>
      <c r="AO840" s="150"/>
      <c r="AP840" s="150"/>
      <c r="AQ840" s="150"/>
      <c r="AR840" s="151"/>
      <c r="AS840" s="456"/>
      <c r="AT840" s="151"/>
      <c r="AU840" s="150"/>
      <c r="AV840" s="487"/>
      <c r="AW840" s="150"/>
      <c r="AX840" s="150"/>
      <c r="AY840" s="150"/>
      <c r="AZ840" s="150"/>
      <c r="BA840" s="150"/>
      <c r="BB840" s="150"/>
      <c r="BC840" s="150"/>
      <c r="BD840" s="150"/>
      <c r="BE840" s="150"/>
      <c r="BF840" s="150"/>
      <c r="BG840" s="150"/>
      <c r="BH840" s="150"/>
      <c r="BI840" s="150"/>
      <c r="BJ840" s="150"/>
      <c r="BK840" s="467">
        <v>3750</v>
      </c>
      <c r="BL840" s="160"/>
      <c r="BM840" s="150"/>
      <c r="BN840" s="150"/>
      <c r="BO840" s="150"/>
      <c r="BP840" s="152"/>
      <c r="BQ840" s="160"/>
      <c r="BR840" s="152"/>
      <c r="BS840" s="160"/>
    </row>
    <row r="841" spans="1:71" x14ac:dyDescent="0.3">
      <c r="A841" s="420">
        <f>DL!A838</f>
        <v>757</v>
      </c>
      <c r="B841" s="19" t="s">
        <v>1543</v>
      </c>
      <c r="C841" s="149">
        <f>DL!L838</f>
        <v>90</v>
      </c>
      <c r="D841" s="149" t="str">
        <f>DL!C838</f>
        <v>PACK</v>
      </c>
      <c r="E841" s="150"/>
      <c r="F841" s="463"/>
      <c r="G841" s="150"/>
      <c r="H841" s="150"/>
      <c r="I841" s="150"/>
      <c r="J841" s="150"/>
      <c r="K841" s="168"/>
      <c r="L841" s="466">
        <v>1000</v>
      </c>
      <c r="M841" s="150">
        <v>1400</v>
      </c>
      <c r="N841" s="150"/>
      <c r="O841" s="150"/>
      <c r="P841" s="150"/>
      <c r="Q841" s="150">
        <v>475</v>
      </c>
      <c r="R841" s="150"/>
      <c r="S841" s="150"/>
      <c r="T841" s="150"/>
      <c r="U841" s="150"/>
      <c r="V841" s="150"/>
      <c r="W841" s="168"/>
      <c r="X841" s="150"/>
      <c r="Y841" s="150"/>
      <c r="Z841" s="455"/>
      <c r="AA841" s="150"/>
      <c r="AB841" s="150"/>
      <c r="AC841" s="150">
        <v>1100</v>
      </c>
      <c r="AD841" s="150"/>
      <c r="AE841" s="150"/>
      <c r="AF841" s="499"/>
      <c r="AG841" s="150"/>
      <c r="AH841" s="150"/>
      <c r="AI841" s="150"/>
      <c r="AJ841" s="150"/>
      <c r="AK841" s="150"/>
      <c r="AL841" s="150"/>
      <c r="AM841" s="150"/>
      <c r="AN841" s="150"/>
      <c r="AO841" s="150"/>
      <c r="AP841" s="150"/>
      <c r="AQ841" s="150"/>
      <c r="AR841" s="151"/>
      <c r="AS841" s="456"/>
      <c r="AT841" s="151"/>
      <c r="AU841" s="150"/>
      <c r="AV841" s="487"/>
      <c r="AW841" s="150"/>
      <c r="AX841" s="150"/>
      <c r="AY841" s="150"/>
      <c r="AZ841" s="150"/>
      <c r="BA841" s="150"/>
      <c r="BB841" s="150"/>
      <c r="BC841" s="150"/>
      <c r="BD841" s="150"/>
      <c r="BE841" s="150"/>
      <c r="BF841" s="150"/>
      <c r="BG841" s="150"/>
      <c r="BH841" s="150"/>
      <c r="BI841" s="150"/>
      <c r="BJ841" s="150"/>
      <c r="BK841" s="467">
        <v>450</v>
      </c>
      <c r="BL841" s="160"/>
      <c r="BM841" s="150"/>
      <c r="BN841" s="150"/>
      <c r="BO841" s="150"/>
      <c r="BP841" s="152"/>
      <c r="BQ841" s="160"/>
      <c r="BR841" s="152"/>
      <c r="BS841" s="160"/>
    </row>
    <row r="842" spans="1:71" x14ac:dyDescent="0.3">
      <c r="A842" s="420">
        <f>DL!A839</f>
        <v>758</v>
      </c>
      <c r="B842" s="19" t="s">
        <v>1544</v>
      </c>
      <c r="C842" s="149">
        <f>DL!L839</f>
        <v>90</v>
      </c>
      <c r="D842" s="149" t="str">
        <f>DL!C839</f>
        <v>PACK</v>
      </c>
      <c r="E842" s="150"/>
      <c r="F842" s="463"/>
      <c r="G842" s="150"/>
      <c r="H842" s="150"/>
      <c r="I842" s="150"/>
      <c r="J842" s="150"/>
      <c r="K842" s="168"/>
      <c r="L842" s="466">
        <v>1000</v>
      </c>
      <c r="M842" s="150">
        <v>1400</v>
      </c>
      <c r="N842" s="150"/>
      <c r="O842" s="150"/>
      <c r="P842" s="150"/>
      <c r="Q842" s="150">
        <v>475</v>
      </c>
      <c r="R842" s="150"/>
      <c r="S842" s="150"/>
      <c r="T842" s="150"/>
      <c r="U842" s="150"/>
      <c r="V842" s="150"/>
      <c r="W842" s="168"/>
      <c r="X842" s="150"/>
      <c r="Y842" s="150"/>
      <c r="Z842" s="455"/>
      <c r="AA842" s="150"/>
      <c r="AB842" s="150"/>
      <c r="AC842" s="150">
        <v>1100</v>
      </c>
      <c r="AD842" s="150"/>
      <c r="AE842" s="150"/>
      <c r="AF842" s="499"/>
      <c r="AG842" s="150"/>
      <c r="AH842" s="150"/>
      <c r="AI842" s="150"/>
      <c r="AJ842" s="150"/>
      <c r="AK842" s="150"/>
      <c r="AL842" s="150"/>
      <c r="AM842" s="150"/>
      <c r="AN842" s="150"/>
      <c r="AO842" s="150"/>
      <c r="AP842" s="150"/>
      <c r="AQ842" s="150"/>
      <c r="AR842" s="151"/>
      <c r="AS842" s="456"/>
      <c r="AT842" s="151"/>
      <c r="AU842" s="150"/>
      <c r="AV842" s="487"/>
      <c r="AW842" s="150"/>
      <c r="AX842" s="150"/>
      <c r="AY842" s="150"/>
      <c r="AZ842" s="150"/>
      <c r="BA842" s="150"/>
      <c r="BB842" s="150"/>
      <c r="BC842" s="150"/>
      <c r="BD842" s="150"/>
      <c r="BE842" s="150"/>
      <c r="BF842" s="150"/>
      <c r="BG842" s="150"/>
      <c r="BH842" s="150"/>
      <c r="BI842" s="150"/>
      <c r="BJ842" s="150"/>
      <c r="BK842" s="466">
        <v>450</v>
      </c>
      <c r="BL842" s="160"/>
      <c r="BM842" s="150"/>
      <c r="BN842" s="150"/>
      <c r="BO842" s="150"/>
      <c r="BP842" s="152"/>
      <c r="BQ842" s="160"/>
      <c r="BR842" s="152"/>
      <c r="BS842" s="160"/>
    </row>
    <row r="843" spans="1:71" x14ac:dyDescent="0.3">
      <c r="A843" s="420">
        <f>DL!A840</f>
        <v>759</v>
      </c>
      <c r="B843" s="19" t="s">
        <v>1545</v>
      </c>
      <c r="C843" s="149">
        <v>30</v>
      </c>
      <c r="D843" s="149" t="str">
        <f>DL!C840</f>
        <v>PACK</v>
      </c>
      <c r="E843" s="150"/>
      <c r="F843" s="463"/>
      <c r="G843" s="150"/>
      <c r="H843" s="150"/>
      <c r="I843" s="150"/>
      <c r="J843" s="150"/>
      <c r="K843" s="168"/>
      <c r="L843" s="466">
        <f>10*8500</f>
        <v>85000</v>
      </c>
      <c r="M843" s="150">
        <v>69000</v>
      </c>
      <c r="N843" s="150"/>
      <c r="O843" s="150"/>
      <c r="P843" s="150"/>
      <c r="Q843" s="150">
        <v>93750</v>
      </c>
      <c r="R843" s="150"/>
      <c r="S843" s="150"/>
      <c r="T843" s="150"/>
      <c r="U843" s="150"/>
      <c r="V843" s="150"/>
      <c r="W843" s="168"/>
      <c r="X843" s="150"/>
      <c r="Y843" s="150"/>
      <c r="Z843" s="455"/>
      <c r="AA843" s="150"/>
      <c r="AB843" s="150"/>
      <c r="AC843" s="150">
        <f>10*7480</f>
        <v>74800</v>
      </c>
      <c r="AD843" s="150"/>
      <c r="AE843" s="150"/>
      <c r="AF843" s="499"/>
      <c r="AG843" s="150"/>
      <c r="AH843" s="150"/>
      <c r="AI843" s="150"/>
      <c r="AJ843" s="150"/>
      <c r="AK843" s="150"/>
      <c r="AL843" s="150"/>
      <c r="AM843" s="150"/>
      <c r="AN843" s="150"/>
      <c r="AO843" s="150"/>
      <c r="AP843" s="150"/>
      <c r="AQ843" s="150"/>
      <c r="AR843" s="151"/>
      <c r="AS843" s="456"/>
      <c r="AT843" s="151"/>
      <c r="AU843" s="150"/>
      <c r="AV843" s="487"/>
      <c r="AW843" s="150"/>
      <c r="AX843" s="150"/>
      <c r="AY843" s="150"/>
      <c r="AZ843" s="150"/>
      <c r="BA843" s="150"/>
      <c r="BB843" s="150"/>
      <c r="BC843" s="150"/>
      <c r="BD843" s="150"/>
      <c r="BE843" s="150"/>
      <c r="BF843" s="150"/>
      <c r="BG843" s="150"/>
      <c r="BH843" s="150"/>
      <c r="BI843" s="150"/>
      <c r="BJ843" s="150"/>
      <c r="BK843" s="466"/>
      <c r="BL843" s="160"/>
      <c r="BM843" s="150"/>
      <c r="BN843" s="150"/>
      <c r="BO843" s="150"/>
      <c r="BP843" s="152"/>
      <c r="BQ843" s="160"/>
      <c r="BR843" s="152"/>
      <c r="BS843" s="160"/>
    </row>
    <row r="844" spans="1:71" x14ac:dyDescent="0.3">
      <c r="A844" s="420"/>
      <c r="B844" s="19"/>
      <c r="C844" s="149">
        <f>DL!L841</f>
        <v>0</v>
      </c>
      <c r="D844" s="149">
        <f>DL!C841</f>
        <v>0</v>
      </c>
      <c r="E844" s="150"/>
      <c r="F844" s="463"/>
      <c r="G844" s="150"/>
      <c r="H844" s="150"/>
      <c r="I844" s="150"/>
      <c r="J844" s="150"/>
      <c r="K844" s="168"/>
      <c r="L844" s="50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68"/>
      <c r="X844" s="150"/>
      <c r="Y844" s="150"/>
      <c r="Z844" s="455"/>
      <c r="AA844" s="150"/>
      <c r="AB844" s="150"/>
      <c r="AC844" s="150"/>
      <c r="AD844" s="150"/>
      <c r="AE844" s="150"/>
      <c r="AF844" s="499"/>
      <c r="AG844" s="150"/>
      <c r="AH844" s="150"/>
      <c r="AI844" s="150"/>
      <c r="AJ844" s="150"/>
      <c r="AK844" s="150"/>
      <c r="AL844" s="150"/>
      <c r="AM844" s="150"/>
      <c r="AN844" s="150"/>
      <c r="AO844" s="150"/>
      <c r="AP844" s="150"/>
      <c r="AQ844" s="150"/>
      <c r="AR844" s="151"/>
      <c r="AS844" s="456"/>
      <c r="AT844" s="151"/>
      <c r="AU844" s="150"/>
      <c r="AV844" s="487"/>
      <c r="AW844" s="150"/>
      <c r="AX844" s="150"/>
      <c r="AY844" s="150"/>
      <c r="AZ844" s="150"/>
      <c r="BA844" s="150"/>
      <c r="BB844" s="150"/>
      <c r="BC844" s="150"/>
      <c r="BD844" s="150"/>
      <c r="BE844" s="150"/>
      <c r="BF844" s="150"/>
      <c r="BG844" s="150"/>
      <c r="BH844" s="150"/>
      <c r="BI844" s="150"/>
      <c r="BJ844" s="150"/>
      <c r="BK844" s="466"/>
      <c r="BL844" s="160"/>
      <c r="BM844" s="150"/>
      <c r="BN844" s="150"/>
      <c r="BO844" s="150"/>
      <c r="BP844" s="152"/>
      <c r="BQ844" s="160"/>
      <c r="BR844" s="152"/>
      <c r="BS844" s="160"/>
    </row>
    <row r="845" spans="1:71" x14ac:dyDescent="0.3">
      <c r="A845" s="420"/>
      <c r="B845" s="19"/>
      <c r="C845" s="149">
        <f>DL!L842</f>
        <v>0</v>
      </c>
      <c r="D845" s="149">
        <f>DL!C842</f>
        <v>0</v>
      </c>
      <c r="E845" s="150"/>
      <c r="F845" s="463"/>
      <c r="G845" s="150"/>
      <c r="H845" s="150"/>
      <c r="I845" s="150"/>
      <c r="J845" s="150"/>
      <c r="K845" s="168"/>
      <c r="L845" s="50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68"/>
      <c r="X845" s="150"/>
      <c r="Y845" s="150"/>
      <c r="Z845" s="455"/>
      <c r="AA845" s="150"/>
      <c r="AB845" s="150"/>
      <c r="AC845" s="150"/>
      <c r="AD845" s="150"/>
      <c r="AE845" s="150"/>
      <c r="AF845" s="499"/>
      <c r="AG845" s="150"/>
      <c r="AH845" s="150"/>
      <c r="AI845" s="150"/>
      <c r="AJ845" s="150"/>
      <c r="AK845" s="150"/>
      <c r="AL845" s="150"/>
      <c r="AM845" s="150"/>
      <c r="AN845" s="150"/>
      <c r="AO845" s="150"/>
      <c r="AP845" s="150"/>
      <c r="AQ845" s="150"/>
      <c r="AR845" s="151"/>
      <c r="AS845" s="456"/>
      <c r="AT845" s="151"/>
      <c r="AU845" s="150"/>
      <c r="AV845" s="487"/>
      <c r="AW845" s="150"/>
      <c r="AX845" s="150"/>
      <c r="AY845" s="150"/>
      <c r="AZ845" s="150"/>
      <c r="BA845" s="150"/>
      <c r="BB845" s="150"/>
      <c r="BC845" s="150"/>
      <c r="BD845" s="150"/>
      <c r="BE845" s="150"/>
      <c r="BF845" s="150"/>
      <c r="BG845" s="150"/>
      <c r="BH845" s="150"/>
      <c r="BI845" s="150"/>
      <c r="BJ845" s="150"/>
      <c r="BK845" s="466"/>
      <c r="BL845" s="160"/>
      <c r="BM845" s="150"/>
      <c r="BN845" s="150"/>
      <c r="BO845" s="150"/>
      <c r="BP845" s="152"/>
      <c r="BQ845" s="160"/>
      <c r="BR845" s="152"/>
      <c r="BS845" s="160"/>
    </row>
    <row r="846" spans="1:71" x14ac:dyDescent="0.3">
      <c r="A846" s="420"/>
      <c r="B846" s="19"/>
      <c r="C846" s="149">
        <f>DL!L843</f>
        <v>0</v>
      </c>
      <c r="D846" s="149">
        <f>DL!C843</f>
        <v>0</v>
      </c>
      <c r="E846" s="150"/>
      <c r="F846" s="463"/>
      <c r="G846" s="150"/>
      <c r="H846" s="150"/>
      <c r="I846" s="150"/>
      <c r="J846" s="150"/>
      <c r="K846" s="168"/>
      <c r="L846" s="50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68"/>
      <c r="X846" s="150"/>
      <c r="Y846" s="150"/>
      <c r="Z846" s="455"/>
      <c r="AA846" s="150"/>
      <c r="AB846" s="150"/>
      <c r="AC846" s="150"/>
      <c r="AD846" s="150"/>
      <c r="AE846" s="150"/>
      <c r="AF846" s="499"/>
      <c r="AG846" s="150"/>
      <c r="AH846" s="150"/>
      <c r="AI846" s="150"/>
      <c r="AJ846" s="150"/>
      <c r="AK846" s="150"/>
      <c r="AL846" s="150"/>
      <c r="AM846" s="150"/>
      <c r="AN846" s="150"/>
      <c r="AO846" s="150"/>
      <c r="AP846" s="150"/>
      <c r="AQ846" s="150"/>
      <c r="AR846" s="151"/>
      <c r="AS846" s="456"/>
      <c r="AT846" s="151"/>
      <c r="AU846" s="150"/>
      <c r="AV846" s="487"/>
      <c r="AW846" s="150"/>
      <c r="AX846" s="150"/>
      <c r="AY846" s="150"/>
      <c r="AZ846" s="150"/>
      <c r="BA846" s="150"/>
      <c r="BB846" s="150"/>
      <c r="BC846" s="150"/>
      <c r="BD846" s="150"/>
      <c r="BE846" s="150"/>
      <c r="BF846" s="150"/>
      <c r="BG846" s="150"/>
      <c r="BH846" s="150"/>
      <c r="BI846" s="150"/>
      <c r="BJ846" s="150"/>
      <c r="BK846" s="466"/>
      <c r="BL846" s="160"/>
      <c r="BM846" s="150"/>
      <c r="BN846" s="150"/>
      <c r="BO846" s="150"/>
      <c r="BP846" s="152"/>
      <c r="BQ846" s="160"/>
      <c r="BR846" s="152"/>
      <c r="BS846" s="160"/>
    </row>
    <row r="847" spans="1:71" x14ac:dyDescent="0.3">
      <c r="A847" s="420"/>
      <c r="B847" s="19"/>
      <c r="C847" s="149">
        <f>DL!L844</f>
        <v>0</v>
      </c>
      <c r="D847" s="149">
        <f>DL!C844</f>
        <v>0</v>
      </c>
      <c r="E847" s="150"/>
      <c r="F847" s="463"/>
      <c r="G847" s="150"/>
      <c r="H847" s="150"/>
      <c r="I847" s="150"/>
      <c r="J847" s="150"/>
      <c r="K847" s="168"/>
      <c r="L847" s="50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68"/>
      <c r="X847" s="150"/>
      <c r="Y847" s="150"/>
      <c r="Z847" s="455"/>
      <c r="AA847" s="150"/>
      <c r="AB847" s="150"/>
      <c r="AC847" s="150"/>
      <c r="AD847" s="150"/>
      <c r="AE847" s="150"/>
      <c r="AF847" s="499"/>
      <c r="AG847" s="150"/>
      <c r="AH847" s="150"/>
      <c r="AI847" s="150"/>
      <c r="AJ847" s="150"/>
      <c r="AK847" s="150"/>
      <c r="AL847" s="150"/>
      <c r="AM847" s="150"/>
      <c r="AN847" s="150"/>
      <c r="AO847" s="150"/>
      <c r="AP847" s="150"/>
      <c r="AQ847" s="150"/>
      <c r="AR847" s="151"/>
      <c r="AS847" s="456"/>
      <c r="AT847" s="151"/>
      <c r="AU847" s="150"/>
      <c r="AV847" s="487"/>
      <c r="AW847" s="150"/>
      <c r="AX847" s="150"/>
      <c r="AY847" s="150"/>
      <c r="AZ847" s="150"/>
      <c r="BA847" s="150"/>
      <c r="BB847" s="150"/>
      <c r="BC847" s="150"/>
      <c r="BD847" s="150"/>
      <c r="BE847" s="150"/>
      <c r="BF847" s="150"/>
      <c r="BG847" s="150"/>
      <c r="BH847" s="150"/>
      <c r="BI847" s="150"/>
      <c r="BJ847" s="150"/>
      <c r="BK847" s="152"/>
      <c r="BL847" s="160"/>
      <c r="BM847" s="150"/>
      <c r="BN847" s="150"/>
      <c r="BO847" s="150"/>
      <c r="BP847" s="152"/>
      <c r="BQ847" s="160"/>
      <c r="BR847" s="152"/>
      <c r="BS847" s="160"/>
    </row>
    <row r="848" spans="1:71" x14ac:dyDescent="0.3">
      <c r="A848" s="420" t="str">
        <f>DL!A845</f>
        <v>LOT 16</v>
      </c>
      <c r="B848" s="20" t="s">
        <v>1548</v>
      </c>
      <c r="C848" s="149">
        <f>DL!L845</f>
        <v>0</v>
      </c>
      <c r="D848" s="149">
        <f>DL!C845</f>
        <v>0</v>
      </c>
      <c r="E848" s="150"/>
      <c r="F848" s="463"/>
      <c r="G848" s="150"/>
      <c r="H848" s="150"/>
      <c r="I848" s="150"/>
      <c r="J848" s="150"/>
      <c r="K848" s="168"/>
      <c r="L848" s="50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68"/>
      <c r="X848" s="150"/>
      <c r="Y848" s="150"/>
      <c r="Z848" s="455"/>
      <c r="AA848" s="150"/>
      <c r="AB848" s="150"/>
      <c r="AC848" s="150"/>
      <c r="AD848" s="150"/>
      <c r="AE848" s="150"/>
      <c r="AF848" s="499"/>
      <c r="AG848" s="150"/>
      <c r="AH848" s="150"/>
      <c r="AI848" s="150"/>
      <c r="AJ848" s="150"/>
      <c r="AK848" s="150"/>
      <c r="AL848" s="150"/>
      <c r="AM848" s="150"/>
      <c r="AN848" s="150"/>
      <c r="AO848" s="150"/>
      <c r="AP848" s="150"/>
      <c r="AQ848" s="150"/>
      <c r="AR848" s="151"/>
      <c r="AS848" s="456"/>
      <c r="AT848" s="151"/>
      <c r="AU848" s="150"/>
      <c r="AV848" s="487"/>
      <c r="AW848" s="150"/>
      <c r="AX848" s="150"/>
      <c r="AY848" s="150"/>
      <c r="AZ848" s="150"/>
      <c r="BA848" s="150"/>
      <c r="BB848" s="150"/>
      <c r="BC848" s="150"/>
      <c r="BD848" s="150"/>
      <c r="BE848" s="150"/>
      <c r="BF848" s="150"/>
      <c r="BG848" s="150"/>
      <c r="BH848" s="150"/>
      <c r="BI848" s="150"/>
      <c r="BJ848" s="150"/>
      <c r="BK848" s="152"/>
      <c r="BL848" s="160"/>
      <c r="BM848" s="150"/>
      <c r="BN848" s="150"/>
      <c r="BO848" s="150"/>
      <c r="BP848" s="152"/>
      <c r="BQ848" s="160"/>
      <c r="BR848" s="152"/>
      <c r="BS848" s="160"/>
    </row>
    <row r="849" spans="1:71" x14ac:dyDescent="0.3">
      <c r="A849" s="420"/>
      <c r="B849" s="19"/>
      <c r="C849" s="149">
        <f>DL!L846</f>
        <v>0</v>
      </c>
      <c r="D849" s="149">
        <f>DL!C846</f>
        <v>0</v>
      </c>
      <c r="E849" s="150"/>
      <c r="F849" s="463"/>
      <c r="G849" s="150"/>
      <c r="H849" s="150"/>
      <c r="I849" s="150"/>
      <c r="J849" s="150"/>
      <c r="K849" s="168"/>
      <c r="L849" s="50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68"/>
      <c r="X849" s="150"/>
      <c r="Y849" s="150"/>
      <c r="Z849" s="455"/>
      <c r="AA849" s="150"/>
      <c r="AB849" s="150"/>
      <c r="AC849" s="150"/>
      <c r="AD849" s="150"/>
      <c r="AE849" s="150"/>
      <c r="AF849" s="499"/>
      <c r="AG849" s="150"/>
      <c r="AH849" s="150"/>
      <c r="AI849" s="150"/>
      <c r="AJ849" s="150"/>
      <c r="AK849" s="150"/>
      <c r="AL849" s="150"/>
      <c r="AM849" s="150"/>
      <c r="AN849" s="150"/>
      <c r="AO849" s="150"/>
      <c r="AP849" s="150"/>
      <c r="AQ849" s="150"/>
      <c r="AR849" s="151"/>
      <c r="AS849" s="456"/>
      <c r="AT849" s="151"/>
      <c r="AU849" s="150"/>
      <c r="AV849" s="487"/>
      <c r="AW849" s="150"/>
      <c r="AX849" s="150"/>
      <c r="AY849" s="150"/>
      <c r="AZ849" s="150"/>
      <c r="BA849" s="150"/>
      <c r="BB849" s="150"/>
      <c r="BC849" s="150"/>
      <c r="BD849" s="150"/>
      <c r="BE849" s="150"/>
      <c r="BF849" s="150"/>
      <c r="BG849" s="150"/>
      <c r="BH849" s="150"/>
      <c r="BI849" s="150"/>
      <c r="BJ849" s="150"/>
      <c r="BK849" s="152"/>
      <c r="BL849" s="160"/>
      <c r="BM849" s="150"/>
      <c r="BN849" s="150"/>
      <c r="BO849" s="150"/>
      <c r="BP849" s="152"/>
      <c r="BQ849" s="160"/>
      <c r="BR849" s="152"/>
      <c r="BS849" s="160"/>
    </row>
    <row r="850" spans="1:71" x14ac:dyDescent="0.3">
      <c r="A850" s="420">
        <f>DL!A847</f>
        <v>760</v>
      </c>
      <c r="B850" s="19" t="s">
        <v>1572</v>
      </c>
      <c r="C850" s="149">
        <f>DL!L847</f>
        <v>3</v>
      </c>
      <c r="D850" s="149" t="str">
        <f>DL!C847</f>
        <v>1 pack of 100</v>
      </c>
      <c r="E850" s="150"/>
      <c r="F850" s="463"/>
      <c r="G850" s="150"/>
      <c r="H850" s="150"/>
      <c r="I850" s="150"/>
      <c r="J850" s="150"/>
      <c r="K850" s="168"/>
      <c r="L850" s="466">
        <v>5000</v>
      </c>
      <c r="M850" s="150">
        <v>6000</v>
      </c>
      <c r="N850" s="150"/>
      <c r="O850" s="150"/>
      <c r="P850" s="150"/>
      <c r="Q850" s="150">
        <v>1000</v>
      </c>
      <c r="R850" s="150"/>
      <c r="S850" s="150"/>
      <c r="T850" s="150"/>
      <c r="U850" s="150"/>
      <c r="V850" s="150"/>
      <c r="W850" s="168"/>
      <c r="X850" s="150"/>
      <c r="Y850" s="150"/>
      <c r="Z850" s="455"/>
      <c r="AA850" s="150"/>
      <c r="AB850" s="150"/>
      <c r="AC850" s="150"/>
      <c r="AD850" s="150"/>
      <c r="AE850" s="150"/>
      <c r="AF850" s="494">
        <v>1170</v>
      </c>
      <c r="AG850" s="150"/>
      <c r="AH850" s="150"/>
      <c r="AI850" s="150"/>
      <c r="AJ850" s="150"/>
      <c r="AK850" s="150"/>
      <c r="AL850" s="150"/>
      <c r="AM850" s="150"/>
      <c r="AN850" s="150"/>
      <c r="AO850" s="150"/>
      <c r="AP850" s="150"/>
      <c r="AQ850" s="150"/>
      <c r="AR850" s="151"/>
      <c r="AS850" s="456"/>
      <c r="AT850" s="151"/>
      <c r="AU850" s="150"/>
      <c r="AV850" s="487"/>
      <c r="AW850" s="150"/>
      <c r="AX850" s="150"/>
      <c r="AY850" s="150"/>
      <c r="AZ850" s="150"/>
      <c r="BA850" s="150"/>
      <c r="BB850" s="150"/>
      <c r="BC850" s="150"/>
      <c r="BD850" s="150"/>
      <c r="BE850" s="150"/>
      <c r="BF850" s="150"/>
      <c r="BG850" s="150"/>
      <c r="BH850" s="150"/>
      <c r="BI850" s="150"/>
      <c r="BJ850" s="150"/>
      <c r="BK850" s="467">
        <v>5000</v>
      </c>
      <c r="BL850" s="160"/>
      <c r="BM850" s="150"/>
      <c r="BN850" s="150"/>
      <c r="BO850" s="150"/>
      <c r="BP850" s="152"/>
      <c r="BQ850" s="160"/>
      <c r="BR850" s="152"/>
      <c r="BS850" s="160"/>
    </row>
    <row r="851" spans="1:71" x14ac:dyDescent="0.3">
      <c r="A851" s="420">
        <f>DL!A848</f>
        <v>761</v>
      </c>
      <c r="B851" s="19" t="s">
        <v>1573</v>
      </c>
      <c r="C851" s="149">
        <f>DL!L848</f>
        <v>2</v>
      </c>
      <c r="D851" s="149" t="str">
        <f>DL!C848</f>
        <v>2 pcs</v>
      </c>
      <c r="E851" s="150"/>
      <c r="F851" s="463"/>
      <c r="G851" s="150"/>
      <c r="H851" s="150"/>
      <c r="I851" s="150"/>
      <c r="J851" s="150"/>
      <c r="K851" s="168"/>
      <c r="L851" s="466">
        <v>7000</v>
      </c>
      <c r="M851" s="150">
        <v>20000</v>
      </c>
      <c r="N851" s="150"/>
      <c r="O851" s="150"/>
      <c r="P851" s="150"/>
      <c r="Q851" s="150">
        <v>6250</v>
      </c>
      <c r="R851" s="150"/>
      <c r="S851" s="150"/>
      <c r="T851" s="150"/>
      <c r="U851" s="150"/>
      <c r="V851" s="150"/>
      <c r="W851" s="168"/>
      <c r="X851" s="150"/>
      <c r="Y851" s="150"/>
      <c r="Z851" s="455"/>
      <c r="AA851" s="150"/>
      <c r="AB851" s="150"/>
      <c r="AC851" s="150"/>
      <c r="AD851" s="150"/>
      <c r="AE851" s="150"/>
      <c r="AF851" s="495">
        <v>25000</v>
      </c>
      <c r="AG851" s="150"/>
      <c r="AH851" s="150"/>
      <c r="AI851" s="150"/>
      <c r="AJ851" s="150"/>
      <c r="AK851" s="150"/>
      <c r="AL851" s="150"/>
      <c r="AM851" s="150"/>
      <c r="AN851" s="150"/>
      <c r="AO851" s="150"/>
      <c r="AP851" s="150"/>
      <c r="AQ851" s="150"/>
      <c r="AR851" s="151"/>
      <c r="AS851" s="456"/>
      <c r="AT851" s="151"/>
      <c r="AU851" s="150"/>
      <c r="AV851" s="487"/>
      <c r="AW851" s="150"/>
      <c r="AX851" s="150"/>
      <c r="AY851" s="150"/>
      <c r="AZ851" s="150"/>
      <c r="BA851" s="150"/>
      <c r="BB851" s="150"/>
      <c r="BC851" s="150"/>
      <c r="BD851" s="150"/>
      <c r="BE851" s="150"/>
      <c r="BF851" s="150"/>
      <c r="BG851" s="150"/>
      <c r="BH851" s="150"/>
      <c r="BI851" s="150">
        <v>5500</v>
      </c>
      <c r="BJ851" s="150"/>
      <c r="BK851" s="467">
        <v>25000</v>
      </c>
      <c r="BL851" s="160"/>
      <c r="BM851" s="150"/>
      <c r="BN851" s="150"/>
      <c r="BO851" s="150"/>
      <c r="BP851" s="152"/>
      <c r="BQ851" s="160"/>
      <c r="BR851" s="152"/>
      <c r="BS851" s="160"/>
    </row>
    <row r="852" spans="1:71" x14ac:dyDescent="0.3">
      <c r="A852" s="420">
        <f>DL!A849</f>
        <v>762</v>
      </c>
      <c r="B852" s="19" t="s">
        <v>1574</v>
      </c>
      <c r="C852" s="149">
        <f>DL!L849</f>
        <v>2</v>
      </c>
      <c r="D852" s="149" t="str">
        <f>DL!C849</f>
        <v>2 pcs</v>
      </c>
      <c r="E852" s="150"/>
      <c r="F852" s="463"/>
      <c r="G852" s="150"/>
      <c r="H852" s="150"/>
      <c r="I852" s="150"/>
      <c r="J852" s="150"/>
      <c r="K852" s="168"/>
      <c r="L852" s="466">
        <v>9000</v>
      </c>
      <c r="M852" s="150">
        <v>20000</v>
      </c>
      <c r="N852" s="150"/>
      <c r="O852" s="150"/>
      <c r="P852" s="150"/>
      <c r="Q852" s="150">
        <v>6250</v>
      </c>
      <c r="R852" s="150"/>
      <c r="S852" s="150"/>
      <c r="T852" s="150"/>
      <c r="U852" s="150"/>
      <c r="V852" s="150"/>
      <c r="W852" s="168"/>
      <c r="X852" s="150"/>
      <c r="Y852" s="150"/>
      <c r="Z852" s="455"/>
      <c r="AA852" s="150"/>
      <c r="AB852" s="150"/>
      <c r="AC852" s="150"/>
      <c r="AD852" s="150"/>
      <c r="AE852" s="150"/>
      <c r="AF852" s="495">
        <v>25000</v>
      </c>
      <c r="AG852" s="150"/>
      <c r="AH852" s="150"/>
      <c r="AI852" s="150"/>
      <c r="AJ852" s="150"/>
      <c r="AK852" s="150"/>
      <c r="AL852" s="150"/>
      <c r="AM852" s="150"/>
      <c r="AN852" s="150"/>
      <c r="AO852" s="150"/>
      <c r="AP852" s="150"/>
      <c r="AQ852" s="150"/>
      <c r="AR852" s="151"/>
      <c r="AS852" s="456"/>
      <c r="AT852" s="151"/>
      <c r="AU852" s="150"/>
      <c r="AV852" s="487"/>
      <c r="AW852" s="150"/>
      <c r="AX852" s="150"/>
      <c r="AY852" s="150"/>
      <c r="AZ852" s="150"/>
      <c r="BA852" s="150"/>
      <c r="BB852" s="150"/>
      <c r="BC852" s="150"/>
      <c r="BD852" s="150"/>
      <c r="BE852" s="150"/>
      <c r="BF852" s="150"/>
      <c r="BG852" s="150"/>
      <c r="BH852" s="150"/>
      <c r="BI852" s="150">
        <v>6000</v>
      </c>
      <c r="BJ852" s="150"/>
      <c r="BK852" s="467">
        <v>50000</v>
      </c>
      <c r="BL852" s="160"/>
      <c r="BM852" s="150"/>
      <c r="BN852" s="150"/>
      <c r="BO852" s="150"/>
      <c r="BP852" s="152"/>
      <c r="BQ852" s="160"/>
      <c r="BR852" s="152"/>
      <c r="BS852" s="160"/>
    </row>
    <row r="853" spans="1:71" x14ac:dyDescent="0.3">
      <c r="A853" s="420">
        <f>DL!A850</f>
        <v>763</v>
      </c>
      <c r="B853" s="19" t="s">
        <v>1575</v>
      </c>
      <c r="C853" s="149">
        <f>DL!L850</f>
        <v>2</v>
      </c>
      <c r="D853" s="149" t="str">
        <f>DL!C850</f>
        <v>2 pcs</v>
      </c>
      <c r="E853" s="150"/>
      <c r="F853" s="463"/>
      <c r="G853" s="150"/>
      <c r="H853" s="150"/>
      <c r="I853" s="150"/>
      <c r="J853" s="150"/>
      <c r="K853" s="168"/>
      <c r="L853" s="466">
        <v>7000</v>
      </c>
      <c r="M853" s="150">
        <v>20000</v>
      </c>
      <c r="N853" s="150"/>
      <c r="O853" s="150"/>
      <c r="P853" s="150"/>
      <c r="Q853" s="150">
        <v>6250</v>
      </c>
      <c r="R853" s="150"/>
      <c r="S853" s="150"/>
      <c r="T853" s="150"/>
      <c r="U853" s="150"/>
      <c r="V853" s="150"/>
      <c r="W853" s="168"/>
      <c r="X853" s="150"/>
      <c r="Y853" s="150"/>
      <c r="Z853" s="455"/>
      <c r="AA853" s="150"/>
      <c r="AB853" s="150"/>
      <c r="AC853" s="150"/>
      <c r="AD853" s="150"/>
      <c r="AE853" s="150"/>
      <c r="AF853" s="494">
        <v>25000</v>
      </c>
      <c r="AG853" s="150"/>
      <c r="AH853" s="150"/>
      <c r="AI853" s="150"/>
      <c r="AJ853" s="150"/>
      <c r="AK853" s="150"/>
      <c r="AL853" s="150"/>
      <c r="AM853" s="150"/>
      <c r="AN853" s="150"/>
      <c r="AO853" s="150"/>
      <c r="AP853" s="150"/>
      <c r="AQ853" s="150"/>
      <c r="AR853" s="151"/>
      <c r="AS853" s="456"/>
      <c r="AT853" s="151"/>
      <c r="AU853" s="150"/>
      <c r="AV853" s="487"/>
      <c r="AW853" s="150"/>
      <c r="AX853" s="150"/>
      <c r="AY853" s="150"/>
      <c r="AZ853" s="150"/>
      <c r="BA853" s="150"/>
      <c r="BB853" s="150"/>
      <c r="BC853" s="150"/>
      <c r="BD853" s="150"/>
      <c r="BE853" s="150"/>
      <c r="BF853" s="150"/>
      <c r="BG853" s="150"/>
      <c r="BH853" s="150"/>
      <c r="BI853" s="150">
        <v>5500</v>
      </c>
      <c r="BJ853" s="150"/>
      <c r="BK853" s="467">
        <v>25000</v>
      </c>
      <c r="BL853" s="160"/>
      <c r="BM853" s="150"/>
      <c r="BN853" s="150"/>
      <c r="BO853" s="150"/>
      <c r="BP853" s="152"/>
      <c r="BQ853" s="160"/>
      <c r="BR853" s="152"/>
      <c r="BS853" s="160"/>
    </row>
    <row r="854" spans="1:71" x14ac:dyDescent="0.3">
      <c r="A854" s="420">
        <f>DL!A851</f>
        <v>764</v>
      </c>
      <c r="B854" s="19" t="s">
        <v>1576</v>
      </c>
      <c r="C854" s="149">
        <f>DL!L851</f>
        <v>6</v>
      </c>
      <c r="D854" s="149" t="str">
        <f>DL!C851</f>
        <v>6 pcs</v>
      </c>
      <c r="E854" s="150"/>
      <c r="F854" s="463"/>
      <c r="G854" s="150"/>
      <c r="H854" s="150"/>
      <c r="I854" s="150"/>
      <c r="J854" s="150"/>
      <c r="K854" s="168"/>
      <c r="L854" s="466">
        <v>2500</v>
      </c>
      <c r="M854" s="150">
        <v>1200</v>
      </c>
      <c r="N854" s="150"/>
      <c r="O854" s="150"/>
      <c r="P854" s="150"/>
      <c r="Q854" s="150">
        <v>2125</v>
      </c>
      <c r="R854" s="150"/>
      <c r="S854" s="150"/>
      <c r="T854" s="150"/>
      <c r="U854" s="150"/>
      <c r="V854" s="150"/>
      <c r="W854" s="168"/>
      <c r="X854" s="150"/>
      <c r="Y854" s="150"/>
      <c r="Z854" s="455"/>
      <c r="AA854" s="150"/>
      <c r="AB854" s="150"/>
      <c r="AC854" s="150"/>
      <c r="AD854" s="150"/>
      <c r="AE854" s="150"/>
      <c r="AF854" s="494">
        <v>1560</v>
      </c>
      <c r="AG854" s="150"/>
      <c r="AH854" s="150"/>
      <c r="AI854" s="150"/>
      <c r="AJ854" s="150"/>
      <c r="AK854" s="150"/>
      <c r="AL854" s="150"/>
      <c r="AM854" s="150"/>
      <c r="AN854" s="150"/>
      <c r="AO854" s="150"/>
      <c r="AP854" s="150"/>
      <c r="AQ854" s="150"/>
      <c r="AR854" s="151"/>
      <c r="AS854" s="456"/>
      <c r="AT854" s="151"/>
      <c r="AU854" s="150"/>
      <c r="AV854" s="487"/>
      <c r="AW854" s="150"/>
      <c r="AX854" s="150"/>
      <c r="AY854" s="150"/>
      <c r="AZ854" s="150"/>
      <c r="BA854" s="150"/>
      <c r="BB854" s="150"/>
      <c r="BC854" s="150"/>
      <c r="BD854" s="150"/>
      <c r="BE854" s="150"/>
      <c r="BF854" s="150"/>
      <c r="BG854" s="150"/>
      <c r="BH854" s="150"/>
      <c r="BI854" s="150">
        <v>1100</v>
      </c>
      <c r="BJ854" s="150"/>
      <c r="BK854" s="467">
        <v>1625</v>
      </c>
      <c r="BL854" s="160"/>
      <c r="BM854" s="150"/>
      <c r="BN854" s="150"/>
      <c r="BO854" s="150"/>
      <c r="BP854" s="152"/>
      <c r="BQ854" s="160"/>
      <c r="BR854" s="152"/>
      <c r="BS854" s="160"/>
    </row>
    <row r="855" spans="1:71" x14ac:dyDescent="0.3">
      <c r="A855" s="420">
        <f>DL!A852</f>
        <v>765</v>
      </c>
      <c r="B855" s="19" t="s">
        <v>1577</v>
      </c>
      <c r="C855" s="149">
        <f>DL!L852</f>
        <v>10</v>
      </c>
      <c r="D855" s="149" t="str">
        <f>DL!C852</f>
        <v>10 pcs</v>
      </c>
      <c r="E855" s="150"/>
      <c r="F855" s="463"/>
      <c r="G855" s="150"/>
      <c r="H855" s="150"/>
      <c r="I855" s="150"/>
      <c r="J855" s="150"/>
      <c r="K855" s="168"/>
      <c r="L855" s="466">
        <v>1500</v>
      </c>
      <c r="M855" s="150">
        <v>800</v>
      </c>
      <c r="N855" s="150"/>
      <c r="O855" s="150"/>
      <c r="P855" s="150"/>
      <c r="Q855" s="150">
        <v>2750</v>
      </c>
      <c r="R855" s="150"/>
      <c r="S855" s="150"/>
      <c r="T855" s="150"/>
      <c r="U855" s="150"/>
      <c r="V855" s="150"/>
      <c r="W855" s="168"/>
      <c r="X855" s="150"/>
      <c r="Y855" s="150"/>
      <c r="Z855" s="455"/>
      <c r="AA855" s="150"/>
      <c r="AB855" s="150"/>
      <c r="AC855" s="150"/>
      <c r="AD855" s="150"/>
      <c r="AE855" s="150"/>
      <c r="AF855" s="494">
        <v>0</v>
      </c>
      <c r="AG855" s="150"/>
      <c r="AH855" s="150"/>
      <c r="AI855" s="150"/>
      <c r="AJ855" s="150"/>
      <c r="AK855" s="150"/>
      <c r="AL855" s="150"/>
      <c r="AM855" s="150"/>
      <c r="AN855" s="150"/>
      <c r="AO855" s="150"/>
      <c r="AP855" s="150"/>
      <c r="AQ855" s="150"/>
      <c r="AR855" s="151"/>
      <c r="AS855" s="456"/>
      <c r="AT855" s="151"/>
      <c r="AU855" s="150"/>
      <c r="AV855" s="487"/>
      <c r="AW855" s="150"/>
      <c r="AX855" s="150"/>
      <c r="AY855" s="150"/>
      <c r="AZ855" s="150"/>
      <c r="BA855" s="150"/>
      <c r="BB855" s="150"/>
      <c r="BC855" s="150"/>
      <c r="BD855" s="150"/>
      <c r="BE855" s="150"/>
      <c r="BF855" s="150"/>
      <c r="BG855" s="150"/>
      <c r="BH855" s="150"/>
      <c r="BI855" s="150">
        <v>800</v>
      </c>
      <c r="BJ855" s="150"/>
      <c r="BK855" s="467">
        <v>2500</v>
      </c>
      <c r="BL855" s="160"/>
      <c r="BM855" s="150"/>
      <c r="BN855" s="150"/>
      <c r="BO855" s="150"/>
      <c r="BP855" s="152"/>
      <c r="BQ855" s="160"/>
      <c r="BR855" s="152"/>
      <c r="BS855" s="160"/>
    </row>
    <row r="856" spans="1:71" x14ac:dyDescent="0.3">
      <c r="A856" s="420">
        <f>DL!A853</f>
        <v>766</v>
      </c>
      <c r="B856" s="19" t="s">
        <v>1578</v>
      </c>
      <c r="C856" s="149">
        <f>DL!L853</f>
        <v>5</v>
      </c>
      <c r="D856" s="149" t="str">
        <f>DL!C853</f>
        <v>5 pcs</v>
      </c>
      <c r="E856" s="150"/>
      <c r="F856" s="463"/>
      <c r="G856" s="150"/>
      <c r="H856" s="150"/>
      <c r="I856" s="150"/>
      <c r="J856" s="150"/>
      <c r="K856" s="168"/>
      <c r="L856" s="466">
        <v>7000</v>
      </c>
      <c r="M856" s="150">
        <v>500</v>
      </c>
      <c r="N856" s="150"/>
      <c r="O856" s="150"/>
      <c r="P856" s="150"/>
      <c r="Q856" s="150">
        <v>1125</v>
      </c>
      <c r="R856" s="150"/>
      <c r="S856" s="150"/>
      <c r="T856" s="150"/>
      <c r="U856" s="150"/>
      <c r="V856" s="150"/>
      <c r="W856" s="168"/>
      <c r="X856" s="150"/>
      <c r="Y856" s="150"/>
      <c r="Z856" s="455"/>
      <c r="AA856" s="150"/>
      <c r="AB856" s="150"/>
      <c r="AC856" s="150"/>
      <c r="AD856" s="150"/>
      <c r="AE856" s="150"/>
      <c r="AF856" s="494">
        <v>1300</v>
      </c>
      <c r="AG856" s="150"/>
      <c r="AH856" s="150"/>
      <c r="AI856" s="150"/>
      <c r="AJ856" s="150"/>
      <c r="AK856" s="150"/>
      <c r="AL856" s="150"/>
      <c r="AM856" s="150"/>
      <c r="AN856" s="150"/>
      <c r="AO856" s="150"/>
      <c r="AP856" s="150"/>
      <c r="AQ856" s="150"/>
      <c r="AR856" s="151"/>
      <c r="AS856" s="456"/>
      <c r="AT856" s="151"/>
      <c r="AU856" s="150"/>
      <c r="AV856" s="487"/>
      <c r="AW856" s="150"/>
      <c r="AX856" s="150"/>
      <c r="AY856" s="150"/>
      <c r="AZ856" s="150"/>
      <c r="BA856" s="150"/>
      <c r="BB856" s="150"/>
      <c r="BC856" s="150"/>
      <c r="BD856" s="150"/>
      <c r="BE856" s="150"/>
      <c r="BF856" s="150"/>
      <c r="BG856" s="150"/>
      <c r="BH856" s="150"/>
      <c r="BI856" s="150">
        <v>5500</v>
      </c>
      <c r="BJ856" s="150"/>
      <c r="BK856" s="467">
        <v>1500</v>
      </c>
      <c r="BL856" s="160"/>
      <c r="BM856" s="150"/>
      <c r="BN856" s="150"/>
      <c r="BO856" s="150"/>
      <c r="BP856" s="152"/>
      <c r="BQ856" s="160"/>
      <c r="BR856" s="152"/>
      <c r="BS856" s="160"/>
    </row>
    <row r="857" spans="1:71" x14ac:dyDescent="0.3">
      <c r="A857" s="420">
        <f>DL!A854</f>
        <v>767</v>
      </c>
      <c r="B857" s="19" t="s">
        <v>1579</v>
      </c>
      <c r="C857" s="149">
        <f>DL!L854</f>
        <v>6</v>
      </c>
      <c r="D857" s="149" t="str">
        <f>DL!C854</f>
        <v>6 pcs</v>
      </c>
      <c r="E857" s="150"/>
      <c r="F857" s="463"/>
      <c r="G857" s="150"/>
      <c r="H857" s="150"/>
      <c r="I857" s="150"/>
      <c r="J857" s="150"/>
      <c r="K857" s="168"/>
      <c r="L857" s="466"/>
      <c r="M857" s="150">
        <v>900</v>
      </c>
      <c r="N857" s="150"/>
      <c r="O857" s="150"/>
      <c r="P857" s="150"/>
      <c r="Q857" s="150">
        <v>750</v>
      </c>
      <c r="R857" s="150"/>
      <c r="S857" s="150"/>
      <c r="T857" s="150"/>
      <c r="U857" s="150"/>
      <c r="V857" s="150"/>
      <c r="W857" s="168"/>
      <c r="X857" s="150"/>
      <c r="Y857" s="150"/>
      <c r="Z857" s="455"/>
      <c r="AA857" s="150"/>
      <c r="AB857" s="150"/>
      <c r="AC857" s="150"/>
      <c r="AD857" s="150"/>
      <c r="AE857" s="150"/>
      <c r="AF857" s="494">
        <v>2600</v>
      </c>
      <c r="AG857" s="150"/>
      <c r="AH857" s="150"/>
      <c r="AI857" s="150"/>
      <c r="AJ857" s="150"/>
      <c r="AK857" s="150"/>
      <c r="AL857" s="150"/>
      <c r="AM857" s="150"/>
      <c r="AN857" s="150"/>
      <c r="AO857" s="150"/>
      <c r="AP857" s="150"/>
      <c r="AQ857" s="150"/>
      <c r="AR857" s="151"/>
      <c r="AS857" s="456"/>
      <c r="AT857" s="151"/>
      <c r="AU857" s="150"/>
      <c r="AV857" s="487"/>
      <c r="AW857" s="150"/>
      <c r="AX857" s="150"/>
      <c r="AY857" s="150"/>
      <c r="AZ857" s="150"/>
      <c r="BA857" s="150"/>
      <c r="BB857" s="150"/>
      <c r="BC857" s="150"/>
      <c r="BD857" s="150"/>
      <c r="BE857" s="150"/>
      <c r="BF857" s="150"/>
      <c r="BG857" s="150"/>
      <c r="BH857" s="150"/>
      <c r="BI857" s="150"/>
      <c r="BJ857" s="150"/>
      <c r="BK857" s="466">
        <v>650</v>
      </c>
      <c r="BL857" s="160"/>
      <c r="BM857" s="150"/>
      <c r="BN857" s="150"/>
      <c r="BO857" s="150"/>
      <c r="BP857" s="152"/>
      <c r="BQ857" s="160"/>
      <c r="BR857" s="152"/>
      <c r="BS857" s="160"/>
    </row>
    <row r="858" spans="1:71" x14ac:dyDescent="0.3">
      <c r="A858" s="420">
        <f>DL!A855</f>
        <v>768</v>
      </c>
      <c r="B858" s="19" t="s">
        <v>1580</v>
      </c>
      <c r="C858" s="149">
        <f>DL!L855</f>
        <v>4</v>
      </c>
      <c r="D858" s="149" t="str">
        <f>DL!C855</f>
        <v>4 pcs</v>
      </c>
      <c r="E858" s="150"/>
      <c r="F858" s="463"/>
      <c r="G858" s="150"/>
      <c r="H858" s="150"/>
      <c r="I858" s="150"/>
      <c r="J858" s="150"/>
      <c r="K858" s="168"/>
      <c r="L858" s="466">
        <v>5000</v>
      </c>
      <c r="M858" s="150">
        <v>6000</v>
      </c>
      <c r="N858" s="150"/>
      <c r="O858" s="150"/>
      <c r="P858" s="150"/>
      <c r="Q858" s="150">
        <v>6875</v>
      </c>
      <c r="R858" s="150"/>
      <c r="S858" s="150"/>
      <c r="T858" s="150"/>
      <c r="U858" s="150"/>
      <c r="V858" s="150"/>
      <c r="W858" s="168"/>
      <c r="X858" s="150"/>
      <c r="Y858" s="150"/>
      <c r="Z858" s="455"/>
      <c r="AA858" s="150"/>
      <c r="AB858" s="150"/>
      <c r="AC858" s="150"/>
      <c r="AD858" s="150"/>
      <c r="AE858" s="150"/>
      <c r="AF858" s="494">
        <v>3900</v>
      </c>
      <c r="AG858" s="150"/>
      <c r="AH858" s="150"/>
      <c r="AI858" s="150"/>
      <c r="AJ858" s="150"/>
      <c r="AK858" s="150"/>
      <c r="AL858" s="150"/>
      <c r="AM858" s="150"/>
      <c r="AN858" s="150"/>
      <c r="AO858" s="150"/>
      <c r="AP858" s="150"/>
      <c r="AQ858" s="150"/>
      <c r="AR858" s="151"/>
      <c r="AS858" s="456"/>
      <c r="AT858" s="151"/>
      <c r="AU858" s="150"/>
      <c r="AV858" s="487"/>
      <c r="AW858" s="150"/>
      <c r="AX858" s="150"/>
      <c r="AY858" s="150"/>
      <c r="AZ858" s="150"/>
      <c r="BA858" s="150"/>
      <c r="BB858" s="150"/>
      <c r="BC858" s="150"/>
      <c r="BD858" s="150"/>
      <c r="BE858" s="150"/>
      <c r="BF858" s="150"/>
      <c r="BG858" s="150"/>
      <c r="BH858" s="150"/>
      <c r="BI858" s="150"/>
      <c r="BJ858" s="150"/>
      <c r="BK858" s="467">
        <v>5625</v>
      </c>
      <c r="BL858" s="160"/>
      <c r="BM858" s="150"/>
      <c r="BN858" s="150"/>
      <c r="BO858" s="150"/>
      <c r="BP858" s="152"/>
      <c r="BQ858" s="160"/>
      <c r="BR858" s="152"/>
      <c r="BS858" s="160"/>
    </row>
    <row r="859" spans="1:71" x14ac:dyDescent="0.3">
      <c r="A859" s="420">
        <f>DL!A856</f>
        <v>769</v>
      </c>
      <c r="B859" s="19" t="s">
        <v>1581</v>
      </c>
      <c r="C859" s="149">
        <f>DL!L856</f>
        <v>2</v>
      </c>
      <c r="D859" s="149" t="str">
        <f>DL!C856</f>
        <v>2 pcs</v>
      </c>
      <c r="E859" s="150"/>
      <c r="F859" s="463"/>
      <c r="G859" s="150"/>
      <c r="H859" s="150"/>
      <c r="I859" s="150"/>
      <c r="J859" s="150"/>
      <c r="K859" s="168"/>
      <c r="L859" s="466">
        <v>10000</v>
      </c>
      <c r="M859" s="150">
        <v>9600</v>
      </c>
      <c r="N859" s="150"/>
      <c r="O859" s="150"/>
      <c r="P859" s="150"/>
      <c r="Q859" s="150">
        <v>10625</v>
      </c>
      <c r="R859" s="150"/>
      <c r="S859" s="150"/>
      <c r="T859" s="150"/>
      <c r="U859" s="150"/>
      <c r="V859" s="150"/>
      <c r="W859" s="168"/>
      <c r="X859" s="150"/>
      <c r="Y859" s="150"/>
      <c r="Z859" s="455"/>
      <c r="AA859" s="150"/>
      <c r="AB859" s="150"/>
      <c r="AC859" s="150"/>
      <c r="AD859" s="150"/>
      <c r="AE859" s="150"/>
      <c r="AF859" s="494">
        <v>3250</v>
      </c>
      <c r="AG859" s="150"/>
      <c r="AH859" s="150"/>
      <c r="AI859" s="150"/>
      <c r="AJ859" s="150"/>
      <c r="AK859" s="150"/>
      <c r="AL859" s="150"/>
      <c r="AM859" s="150"/>
      <c r="AN859" s="150"/>
      <c r="AO859" s="150"/>
      <c r="AP859" s="150"/>
      <c r="AQ859" s="150"/>
      <c r="AR859" s="151"/>
      <c r="AS859" s="456"/>
      <c r="AT859" s="151"/>
      <c r="AU859" s="150"/>
      <c r="AV859" s="487"/>
      <c r="AW859" s="150"/>
      <c r="AX859" s="150"/>
      <c r="AY859" s="150"/>
      <c r="AZ859" s="150"/>
      <c r="BA859" s="150"/>
      <c r="BB859" s="150"/>
      <c r="BC859" s="150"/>
      <c r="BD859" s="150"/>
      <c r="BE859" s="150"/>
      <c r="BF859" s="150"/>
      <c r="BG859" s="150"/>
      <c r="BH859" s="150"/>
      <c r="BI859" s="150"/>
      <c r="BJ859" s="150"/>
      <c r="BK859" s="467">
        <v>15000</v>
      </c>
      <c r="BL859" s="160"/>
      <c r="BM859" s="150"/>
      <c r="BN859" s="150"/>
      <c r="BO859" s="150"/>
      <c r="BP859" s="152"/>
      <c r="BQ859" s="160"/>
      <c r="BR859" s="152"/>
      <c r="BS859" s="160"/>
    </row>
    <row r="860" spans="1:71" x14ac:dyDescent="0.3">
      <c r="A860" s="420">
        <f>DL!A857</f>
        <v>770</v>
      </c>
      <c r="B860" s="19" t="s">
        <v>1582</v>
      </c>
      <c r="C860" s="149">
        <f>DL!L857</f>
        <v>12</v>
      </c>
      <c r="D860" s="149" t="str">
        <f>DL!C857</f>
        <v>1 pack of 100</v>
      </c>
      <c r="E860" s="150"/>
      <c r="F860" s="463"/>
      <c r="G860" s="150"/>
      <c r="H860" s="150"/>
      <c r="I860" s="150"/>
      <c r="J860" s="150"/>
      <c r="K860" s="168"/>
      <c r="L860" s="466">
        <v>1000</v>
      </c>
      <c r="M860" s="150">
        <v>900</v>
      </c>
      <c r="N860" s="150"/>
      <c r="O860" s="150"/>
      <c r="P860" s="150"/>
      <c r="Q860" s="150">
        <v>1125</v>
      </c>
      <c r="R860" s="150"/>
      <c r="S860" s="150"/>
      <c r="T860" s="150"/>
      <c r="U860" s="150"/>
      <c r="V860" s="150"/>
      <c r="W860" s="168"/>
      <c r="X860" s="150"/>
      <c r="Y860" s="150"/>
      <c r="Z860" s="455"/>
      <c r="AA860" s="150"/>
      <c r="AB860" s="150"/>
      <c r="AC860" s="150"/>
      <c r="AD860" s="150"/>
      <c r="AE860" s="150"/>
      <c r="AF860" s="494">
        <v>1300</v>
      </c>
      <c r="AG860" s="150"/>
      <c r="AH860" s="150"/>
      <c r="AI860" s="150"/>
      <c r="AJ860" s="150"/>
      <c r="AK860" s="150"/>
      <c r="AL860" s="150"/>
      <c r="AM860" s="150"/>
      <c r="AN860" s="150"/>
      <c r="AO860" s="150"/>
      <c r="AP860" s="150"/>
      <c r="AQ860" s="150"/>
      <c r="AR860" s="151"/>
      <c r="AS860" s="456"/>
      <c r="AT860" s="151"/>
      <c r="AU860" s="150"/>
      <c r="AV860" s="487"/>
      <c r="AW860" s="150"/>
      <c r="AX860" s="150"/>
      <c r="AY860" s="150"/>
      <c r="AZ860" s="150"/>
      <c r="BA860" s="150"/>
      <c r="BB860" s="150"/>
      <c r="BC860" s="150"/>
      <c r="BD860" s="150"/>
      <c r="BE860" s="150"/>
      <c r="BF860" s="150"/>
      <c r="BG860" s="150"/>
      <c r="BH860" s="150"/>
      <c r="BI860" s="150">
        <v>1100</v>
      </c>
      <c r="BJ860" s="150"/>
      <c r="BK860" s="467">
        <v>1200</v>
      </c>
      <c r="BL860" s="160"/>
      <c r="BM860" s="150"/>
      <c r="BN860" s="150"/>
      <c r="BO860" s="150"/>
      <c r="BP860" s="152"/>
      <c r="BQ860" s="160"/>
      <c r="BR860" s="152"/>
      <c r="BS860" s="160"/>
    </row>
    <row r="861" spans="1:71" x14ac:dyDescent="0.3">
      <c r="A861" s="420">
        <f>DL!A858</f>
        <v>771</v>
      </c>
      <c r="B861" s="19" t="s">
        <v>1583</v>
      </c>
      <c r="C861" s="149">
        <f>DL!L858</f>
        <v>2</v>
      </c>
      <c r="D861" s="149" t="str">
        <f>DL!C858</f>
        <v>2 pcs</v>
      </c>
      <c r="E861" s="150"/>
      <c r="F861" s="463"/>
      <c r="G861" s="150"/>
      <c r="H861" s="150"/>
      <c r="I861" s="150"/>
      <c r="J861" s="150"/>
      <c r="K861" s="168"/>
      <c r="L861" s="466">
        <v>3500</v>
      </c>
      <c r="M861" s="150">
        <v>3000</v>
      </c>
      <c r="N861" s="150"/>
      <c r="O861" s="150"/>
      <c r="P861" s="150"/>
      <c r="Q861" s="150">
        <v>15000</v>
      </c>
      <c r="R861" s="150"/>
      <c r="S861" s="150"/>
      <c r="T861" s="150"/>
      <c r="U861" s="150"/>
      <c r="V861" s="150"/>
      <c r="W861" s="168"/>
      <c r="X861" s="150"/>
      <c r="Y861" s="150"/>
      <c r="Z861" s="455"/>
      <c r="AA861" s="150"/>
      <c r="AB861" s="150"/>
      <c r="AC861" s="150"/>
      <c r="AD861" s="150"/>
      <c r="AE861" s="150"/>
      <c r="AF861" s="494">
        <v>15600</v>
      </c>
      <c r="AG861" s="150"/>
      <c r="AH861" s="150"/>
      <c r="AI861" s="150"/>
      <c r="AJ861" s="150"/>
      <c r="AK861" s="150"/>
      <c r="AL861" s="150"/>
      <c r="AM861" s="150"/>
      <c r="AN861" s="150"/>
      <c r="AO861" s="150"/>
      <c r="AP861" s="150"/>
      <c r="AQ861" s="150"/>
      <c r="AR861" s="151"/>
      <c r="AS861" s="456"/>
      <c r="AT861" s="151"/>
      <c r="AU861" s="150"/>
      <c r="AV861" s="487"/>
      <c r="AW861" s="150"/>
      <c r="AX861" s="150"/>
      <c r="AY861" s="150"/>
      <c r="AZ861" s="150"/>
      <c r="BA861" s="150"/>
      <c r="BB861" s="150"/>
      <c r="BC861" s="150"/>
      <c r="BD861" s="150"/>
      <c r="BE861" s="150"/>
      <c r="BF861" s="150"/>
      <c r="BG861" s="150"/>
      <c r="BH861" s="150"/>
      <c r="BI861" s="150">
        <v>1400</v>
      </c>
      <c r="BJ861" s="150"/>
      <c r="BK861" s="467">
        <v>20000</v>
      </c>
      <c r="BL861" s="160"/>
      <c r="BM861" s="150"/>
      <c r="BN861" s="150"/>
      <c r="BO861" s="150"/>
      <c r="BP861" s="152"/>
      <c r="BQ861" s="160"/>
      <c r="BR861" s="152"/>
      <c r="BS861" s="160"/>
    </row>
    <row r="862" spans="1:71" x14ac:dyDescent="0.3">
      <c r="A862" s="420">
        <f>DL!A859</f>
        <v>772</v>
      </c>
      <c r="B862" s="19" t="s">
        <v>1584</v>
      </c>
      <c r="C862" s="149">
        <f>DL!L859</f>
        <v>2</v>
      </c>
      <c r="D862" s="149" t="str">
        <f>DL!C859</f>
        <v>1 pack of 100</v>
      </c>
      <c r="E862" s="150"/>
      <c r="F862" s="463"/>
      <c r="G862" s="150"/>
      <c r="H862" s="150"/>
      <c r="I862" s="150"/>
      <c r="J862" s="150"/>
      <c r="K862" s="168"/>
      <c r="L862" s="466"/>
      <c r="M862" s="150">
        <v>3000</v>
      </c>
      <c r="N862" s="150"/>
      <c r="O862" s="150"/>
      <c r="P862" s="150"/>
      <c r="Q862" s="150">
        <v>2250</v>
      </c>
      <c r="R862" s="150"/>
      <c r="S862" s="150"/>
      <c r="T862" s="150"/>
      <c r="U862" s="150"/>
      <c r="V862" s="150"/>
      <c r="W862" s="168"/>
      <c r="X862" s="150"/>
      <c r="Y862" s="150"/>
      <c r="Z862" s="455"/>
      <c r="AA862" s="150"/>
      <c r="AB862" s="150"/>
      <c r="AC862" s="150"/>
      <c r="AD862" s="150"/>
      <c r="AE862" s="150"/>
      <c r="AF862" s="494">
        <v>11050</v>
      </c>
      <c r="AG862" s="150"/>
      <c r="AH862" s="150"/>
      <c r="AI862" s="150"/>
      <c r="AJ862" s="150"/>
      <c r="AK862" s="150"/>
      <c r="AL862" s="150"/>
      <c r="AM862" s="150"/>
      <c r="AN862" s="150"/>
      <c r="AO862" s="150"/>
      <c r="AP862" s="150"/>
      <c r="AQ862" s="150"/>
      <c r="AR862" s="151"/>
      <c r="AS862" s="456"/>
      <c r="AT862" s="151"/>
      <c r="AU862" s="150"/>
      <c r="AV862" s="487"/>
      <c r="AW862" s="150"/>
      <c r="AX862" s="150"/>
      <c r="AY862" s="150"/>
      <c r="AZ862" s="150"/>
      <c r="BA862" s="150"/>
      <c r="BB862" s="150"/>
      <c r="BC862" s="150"/>
      <c r="BD862" s="150"/>
      <c r="BE862" s="150"/>
      <c r="BF862" s="150"/>
      <c r="BG862" s="150"/>
      <c r="BH862" s="150"/>
      <c r="BI862" s="150"/>
      <c r="BJ862" s="150"/>
      <c r="BK862" s="467">
        <v>12000</v>
      </c>
      <c r="BL862" s="160"/>
      <c r="BM862" s="150"/>
      <c r="BN862" s="150"/>
      <c r="BO862" s="150"/>
      <c r="BP862" s="152"/>
      <c r="BQ862" s="160"/>
      <c r="BR862" s="152"/>
      <c r="BS862" s="160"/>
    </row>
    <row r="863" spans="1:71" x14ac:dyDescent="0.3">
      <c r="A863" s="420">
        <f>DL!A860</f>
        <v>773</v>
      </c>
      <c r="B863" s="19" t="s">
        <v>1585</v>
      </c>
      <c r="C863" s="149">
        <f>DL!L860</f>
        <v>2</v>
      </c>
      <c r="D863" s="149" t="str">
        <f>DL!C860</f>
        <v>2 pcs</v>
      </c>
      <c r="E863" s="150"/>
      <c r="F863" s="463"/>
      <c r="G863" s="150"/>
      <c r="H863" s="150"/>
      <c r="I863" s="150"/>
      <c r="J863" s="150"/>
      <c r="K863" s="168"/>
      <c r="L863" s="466">
        <v>4000</v>
      </c>
      <c r="M863" s="150">
        <v>3000</v>
      </c>
      <c r="N863" s="150"/>
      <c r="O863" s="150"/>
      <c r="P863" s="150"/>
      <c r="Q863" s="150">
        <v>2875</v>
      </c>
      <c r="R863" s="150"/>
      <c r="S863" s="150"/>
      <c r="T863" s="150"/>
      <c r="U863" s="150"/>
      <c r="V863" s="150"/>
      <c r="W863" s="168"/>
      <c r="X863" s="150"/>
      <c r="Y863" s="150"/>
      <c r="Z863" s="455"/>
      <c r="AA863" s="150"/>
      <c r="AB863" s="150"/>
      <c r="AC863" s="150"/>
      <c r="AD863" s="150"/>
      <c r="AE863" s="150"/>
      <c r="AF863" s="494">
        <v>11050</v>
      </c>
      <c r="AG863" s="150"/>
      <c r="AH863" s="150"/>
      <c r="AI863" s="150"/>
      <c r="AJ863" s="150"/>
      <c r="AK863" s="150"/>
      <c r="AL863" s="150"/>
      <c r="AM863" s="150"/>
      <c r="AN863" s="150"/>
      <c r="AO863" s="150"/>
      <c r="AP863" s="150"/>
      <c r="AQ863" s="150"/>
      <c r="AR863" s="151"/>
      <c r="AS863" s="456"/>
      <c r="AT863" s="151"/>
      <c r="AU863" s="150"/>
      <c r="AV863" s="487"/>
      <c r="AW863" s="150"/>
      <c r="AX863" s="150"/>
      <c r="AY863" s="150"/>
      <c r="AZ863" s="150"/>
      <c r="BA863" s="150"/>
      <c r="BB863" s="150"/>
      <c r="BC863" s="150"/>
      <c r="BD863" s="150"/>
      <c r="BE863" s="150"/>
      <c r="BF863" s="150"/>
      <c r="BG863" s="150"/>
      <c r="BH863" s="150"/>
      <c r="BI863" s="150"/>
      <c r="BJ863" s="150"/>
      <c r="BK863" s="467">
        <v>4375</v>
      </c>
      <c r="BL863" s="160"/>
      <c r="BM863" s="150"/>
      <c r="BN863" s="150"/>
      <c r="BO863" s="150"/>
      <c r="BP863" s="152"/>
      <c r="BQ863" s="160"/>
      <c r="BR863" s="152"/>
      <c r="BS863" s="160"/>
    </row>
    <row r="864" spans="1:71" x14ac:dyDescent="0.3">
      <c r="A864" s="420">
        <f>DL!A861</f>
        <v>774</v>
      </c>
      <c r="B864" s="19" t="s">
        <v>1586</v>
      </c>
      <c r="C864" s="149">
        <f>DL!L861</f>
        <v>12</v>
      </c>
      <c r="D864" s="149" t="str">
        <f>DL!C861</f>
        <v>1 pack of 10</v>
      </c>
      <c r="E864" s="150"/>
      <c r="F864" s="463"/>
      <c r="G864" s="150"/>
      <c r="H864" s="150"/>
      <c r="I864" s="150"/>
      <c r="J864" s="150"/>
      <c r="K864" s="168"/>
      <c r="L864" s="466">
        <v>10000</v>
      </c>
      <c r="M864" s="150">
        <v>14000</v>
      </c>
      <c r="N864" s="150"/>
      <c r="O864" s="150"/>
      <c r="P864" s="150"/>
      <c r="Q864" s="150">
        <v>16880</v>
      </c>
      <c r="R864" s="150"/>
      <c r="S864" s="150"/>
      <c r="T864" s="150"/>
      <c r="U864" s="150"/>
      <c r="V864" s="150"/>
      <c r="W864" s="168"/>
      <c r="X864" s="150"/>
      <c r="Y864" s="150"/>
      <c r="Z864" s="455"/>
      <c r="AA864" s="150"/>
      <c r="AB864" s="150"/>
      <c r="AC864" s="150"/>
      <c r="AD864" s="150"/>
      <c r="AE864" s="150"/>
      <c r="AF864" s="495">
        <v>0</v>
      </c>
      <c r="AG864" s="150"/>
      <c r="AH864" s="150"/>
      <c r="AI864" s="150"/>
      <c r="AJ864" s="150"/>
      <c r="AK864" s="150"/>
      <c r="AL864" s="150"/>
      <c r="AM864" s="150"/>
      <c r="AN864" s="150"/>
      <c r="AO864" s="150"/>
      <c r="AP864" s="150"/>
      <c r="AQ864" s="150"/>
      <c r="AR864" s="151"/>
      <c r="AS864" s="456"/>
      <c r="AT864" s="151"/>
      <c r="AU864" s="150"/>
      <c r="AV864" s="487"/>
      <c r="AW864" s="150"/>
      <c r="AX864" s="150"/>
      <c r="AY864" s="150"/>
      <c r="AZ864" s="150"/>
      <c r="BA864" s="150"/>
      <c r="BB864" s="150"/>
      <c r="BC864" s="150"/>
      <c r="BD864" s="150"/>
      <c r="BE864" s="150"/>
      <c r="BF864" s="150"/>
      <c r="BG864" s="150"/>
      <c r="BH864" s="150"/>
      <c r="BI864" s="150">
        <v>11500</v>
      </c>
      <c r="BJ864" s="150"/>
      <c r="BK864" s="467">
        <v>10000</v>
      </c>
      <c r="BL864" s="160"/>
      <c r="BM864" s="150"/>
      <c r="BN864" s="150"/>
      <c r="BO864" s="150"/>
      <c r="BP864" s="152"/>
      <c r="BQ864" s="160"/>
      <c r="BR864" s="152"/>
      <c r="BS864" s="160"/>
    </row>
    <row r="865" spans="1:71" x14ac:dyDescent="0.3">
      <c r="A865" s="420">
        <f>DL!A862</f>
        <v>775</v>
      </c>
      <c r="B865" s="19" t="s">
        <v>1587</v>
      </c>
      <c r="C865" s="149">
        <f>DL!L862</f>
        <v>12</v>
      </c>
      <c r="D865" s="149" t="str">
        <f>DL!C862</f>
        <v>1 pack of 10</v>
      </c>
      <c r="E865" s="150"/>
      <c r="F865" s="463"/>
      <c r="G865" s="150"/>
      <c r="H865" s="150"/>
      <c r="I865" s="150"/>
      <c r="J865" s="150"/>
      <c r="K865" s="168"/>
      <c r="L865" s="466">
        <v>10000</v>
      </c>
      <c r="M865" s="150">
        <v>14000</v>
      </c>
      <c r="N865" s="150"/>
      <c r="O865" s="150"/>
      <c r="P865" s="150"/>
      <c r="Q865" s="150">
        <v>16880</v>
      </c>
      <c r="R865" s="150"/>
      <c r="S865" s="150"/>
      <c r="T865" s="150"/>
      <c r="U865" s="150"/>
      <c r="V865" s="150"/>
      <c r="W865" s="168"/>
      <c r="X865" s="150"/>
      <c r="Y865" s="150"/>
      <c r="Z865" s="455"/>
      <c r="AA865" s="150"/>
      <c r="AB865" s="150"/>
      <c r="AC865" s="150"/>
      <c r="AD865" s="150"/>
      <c r="AE865" s="150"/>
      <c r="AF865" s="495">
        <v>0</v>
      </c>
      <c r="AG865" s="150"/>
      <c r="AH865" s="150"/>
      <c r="AI865" s="150"/>
      <c r="AJ865" s="150"/>
      <c r="AK865" s="150"/>
      <c r="AL865" s="150"/>
      <c r="AM865" s="150"/>
      <c r="AN865" s="150"/>
      <c r="AO865" s="150"/>
      <c r="AP865" s="150"/>
      <c r="AQ865" s="150"/>
      <c r="AR865" s="151"/>
      <c r="AS865" s="456"/>
      <c r="AT865" s="151"/>
      <c r="AU865" s="150"/>
      <c r="AV865" s="487"/>
      <c r="AW865" s="150"/>
      <c r="AX865" s="150"/>
      <c r="AY865" s="150"/>
      <c r="AZ865" s="150"/>
      <c r="BA865" s="150"/>
      <c r="BB865" s="150"/>
      <c r="BC865" s="150"/>
      <c r="BD865" s="150"/>
      <c r="BE865" s="150"/>
      <c r="BF865" s="150"/>
      <c r="BG865" s="150"/>
      <c r="BH865" s="150"/>
      <c r="BI865" s="150">
        <v>11000</v>
      </c>
      <c r="BJ865" s="150"/>
      <c r="BK865" s="467">
        <v>10000</v>
      </c>
      <c r="BL865" s="160"/>
      <c r="BM865" s="150"/>
      <c r="BN865" s="150"/>
      <c r="BO865" s="150"/>
      <c r="BP865" s="152"/>
      <c r="BQ865" s="160"/>
      <c r="BR865" s="152"/>
      <c r="BS865" s="160"/>
    </row>
    <row r="866" spans="1:71" x14ac:dyDescent="0.3">
      <c r="A866" s="420">
        <f>DL!A863</f>
        <v>776</v>
      </c>
      <c r="B866" s="19" t="s">
        <v>1588</v>
      </c>
      <c r="C866" s="149">
        <f>DL!L863</f>
        <v>12</v>
      </c>
      <c r="D866" s="149" t="str">
        <f>DL!C863</f>
        <v>1 pack of 10</v>
      </c>
      <c r="E866" s="150"/>
      <c r="F866" s="463"/>
      <c r="G866" s="150"/>
      <c r="H866" s="150"/>
      <c r="I866" s="150"/>
      <c r="J866" s="150"/>
      <c r="K866" s="168"/>
      <c r="L866" s="466">
        <v>13000</v>
      </c>
      <c r="M866" s="150">
        <v>20000</v>
      </c>
      <c r="N866" s="150"/>
      <c r="O866" s="150"/>
      <c r="P866" s="150"/>
      <c r="Q866" s="150">
        <v>20630</v>
      </c>
      <c r="R866" s="150"/>
      <c r="S866" s="150"/>
      <c r="T866" s="150"/>
      <c r="U866" s="150"/>
      <c r="V866" s="150"/>
      <c r="W866" s="168"/>
      <c r="X866" s="150"/>
      <c r="Y866" s="150"/>
      <c r="Z866" s="455"/>
      <c r="AA866" s="150"/>
      <c r="AB866" s="150"/>
      <c r="AC866" s="150"/>
      <c r="AD866" s="150"/>
      <c r="AE866" s="150"/>
      <c r="AF866" s="495">
        <v>0</v>
      </c>
      <c r="AG866" s="150"/>
      <c r="AH866" s="150"/>
      <c r="AI866" s="150"/>
      <c r="AJ866" s="150"/>
      <c r="AK866" s="150"/>
      <c r="AL866" s="150"/>
      <c r="AM866" s="150"/>
      <c r="AN866" s="150"/>
      <c r="AO866" s="150"/>
      <c r="AP866" s="150"/>
      <c r="AQ866" s="150"/>
      <c r="AR866" s="151"/>
      <c r="AS866" s="456"/>
      <c r="AT866" s="151"/>
      <c r="AU866" s="150"/>
      <c r="AV866" s="487"/>
      <c r="AW866" s="150"/>
      <c r="AX866" s="150"/>
      <c r="AY866" s="150"/>
      <c r="AZ866" s="150"/>
      <c r="BA866" s="150"/>
      <c r="BB866" s="150"/>
      <c r="BC866" s="150"/>
      <c r="BD866" s="150"/>
      <c r="BE866" s="150"/>
      <c r="BF866" s="150"/>
      <c r="BG866" s="150"/>
      <c r="BH866" s="150"/>
      <c r="BI866" s="150">
        <v>15000</v>
      </c>
      <c r="BJ866" s="150"/>
      <c r="BK866" s="467">
        <v>15000</v>
      </c>
      <c r="BL866" s="160"/>
      <c r="BM866" s="150"/>
      <c r="BN866" s="150"/>
      <c r="BO866" s="150"/>
      <c r="BP866" s="152"/>
      <c r="BQ866" s="160"/>
      <c r="BR866" s="152"/>
      <c r="BS866" s="160"/>
    </row>
    <row r="867" spans="1:71" x14ac:dyDescent="0.3">
      <c r="A867" s="420">
        <f>DL!A864</f>
        <v>777</v>
      </c>
      <c r="B867" s="19" t="s">
        <v>1589</v>
      </c>
      <c r="C867" s="149">
        <f>DL!L864</f>
        <v>12</v>
      </c>
      <c r="D867" s="149" t="str">
        <f>DL!C864</f>
        <v>1 pack of 10</v>
      </c>
      <c r="E867" s="150"/>
      <c r="F867" s="463"/>
      <c r="G867" s="150"/>
      <c r="H867" s="150"/>
      <c r="I867" s="150"/>
      <c r="J867" s="150"/>
      <c r="K867" s="168"/>
      <c r="L867" s="466">
        <v>14000</v>
      </c>
      <c r="M867" s="150">
        <v>21000</v>
      </c>
      <c r="N867" s="150"/>
      <c r="O867" s="150"/>
      <c r="P867" s="150"/>
      <c r="Q867" s="150">
        <v>20630</v>
      </c>
      <c r="R867" s="150"/>
      <c r="S867" s="150"/>
      <c r="T867" s="150"/>
      <c r="U867" s="150"/>
      <c r="V867" s="150"/>
      <c r="W867" s="168"/>
      <c r="X867" s="150"/>
      <c r="Y867" s="150"/>
      <c r="Z867" s="455"/>
      <c r="AA867" s="150"/>
      <c r="AB867" s="150"/>
      <c r="AC867" s="150"/>
      <c r="AD867" s="150"/>
      <c r="AE867" s="150"/>
      <c r="AF867" s="495">
        <v>0</v>
      </c>
      <c r="AG867" s="150"/>
      <c r="AH867" s="150"/>
      <c r="AI867" s="150"/>
      <c r="AJ867" s="150"/>
      <c r="AK867" s="150"/>
      <c r="AL867" s="150"/>
      <c r="AM867" s="150"/>
      <c r="AN867" s="150"/>
      <c r="AO867" s="150"/>
      <c r="AP867" s="150"/>
      <c r="AQ867" s="150"/>
      <c r="AR867" s="151"/>
      <c r="AS867" s="456"/>
      <c r="AT867" s="151"/>
      <c r="AU867" s="150"/>
      <c r="AV867" s="487"/>
      <c r="AW867" s="150"/>
      <c r="AX867" s="150"/>
      <c r="AY867" s="150"/>
      <c r="AZ867" s="150"/>
      <c r="BA867" s="150"/>
      <c r="BB867" s="150"/>
      <c r="BC867" s="150"/>
      <c r="BD867" s="150"/>
      <c r="BE867" s="150"/>
      <c r="BF867" s="150"/>
      <c r="BG867" s="150"/>
      <c r="BH867" s="150"/>
      <c r="BI867" s="150">
        <v>19000</v>
      </c>
      <c r="BJ867" s="150"/>
      <c r="BK867" s="467">
        <v>15000</v>
      </c>
      <c r="BL867" s="160"/>
      <c r="BM867" s="150"/>
      <c r="BN867" s="150"/>
      <c r="BO867" s="150"/>
      <c r="BP867" s="152"/>
      <c r="BQ867" s="160"/>
      <c r="BR867" s="152"/>
      <c r="BS867" s="160"/>
    </row>
    <row r="868" spans="1:71" x14ac:dyDescent="0.3">
      <c r="A868" s="420">
        <f>DL!A865</f>
        <v>778</v>
      </c>
      <c r="B868" s="19" t="s">
        <v>1590</v>
      </c>
      <c r="C868" s="149">
        <f>DL!L865</f>
        <v>5</v>
      </c>
      <c r="D868" s="149" t="str">
        <f>DL!C865</f>
        <v>1 pack of 10</v>
      </c>
      <c r="E868" s="150"/>
      <c r="F868" s="463"/>
      <c r="G868" s="150"/>
      <c r="H868" s="150"/>
      <c r="I868" s="150"/>
      <c r="J868" s="150"/>
      <c r="K868" s="168"/>
      <c r="L868" s="466">
        <v>25000</v>
      </c>
      <c r="M868" s="150">
        <v>26000</v>
      </c>
      <c r="N868" s="150"/>
      <c r="O868" s="150"/>
      <c r="P868" s="150"/>
      <c r="Q868" s="150">
        <v>29380</v>
      </c>
      <c r="R868" s="150"/>
      <c r="S868" s="150"/>
      <c r="T868" s="150"/>
      <c r="U868" s="150"/>
      <c r="V868" s="150"/>
      <c r="W868" s="168"/>
      <c r="X868" s="150"/>
      <c r="Y868" s="150"/>
      <c r="Z868" s="455"/>
      <c r="AA868" s="150"/>
      <c r="AB868" s="150"/>
      <c r="AC868" s="150"/>
      <c r="AD868" s="150"/>
      <c r="AE868" s="150"/>
      <c r="AF868" s="495">
        <v>0</v>
      </c>
      <c r="AG868" s="150"/>
      <c r="AH868" s="150"/>
      <c r="AI868" s="150"/>
      <c r="AJ868" s="150"/>
      <c r="AK868" s="150"/>
      <c r="AL868" s="150"/>
      <c r="AM868" s="150"/>
      <c r="AN868" s="150"/>
      <c r="AO868" s="150"/>
      <c r="AP868" s="150"/>
      <c r="AQ868" s="150"/>
      <c r="AR868" s="151"/>
      <c r="AS868" s="456"/>
      <c r="AT868" s="151"/>
      <c r="AU868" s="150"/>
      <c r="AV868" s="487"/>
      <c r="AW868" s="150"/>
      <c r="AX868" s="150"/>
      <c r="AY868" s="150"/>
      <c r="AZ868" s="150"/>
      <c r="BA868" s="150"/>
      <c r="BB868" s="150"/>
      <c r="BC868" s="150"/>
      <c r="BD868" s="150"/>
      <c r="BE868" s="150"/>
      <c r="BF868" s="150"/>
      <c r="BG868" s="150"/>
      <c r="BH868" s="150"/>
      <c r="BI868" s="150">
        <v>26500</v>
      </c>
      <c r="BJ868" s="150"/>
      <c r="BK868" s="467">
        <v>20000</v>
      </c>
      <c r="BL868" s="160"/>
      <c r="BM868" s="150"/>
      <c r="BN868" s="150"/>
      <c r="BO868" s="150"/>
      <c r="BP868" s="152"/>
      <c r="BQ868" s="160"/>
      <c r="BR868" s="152"/>
      <c r="BS868" s="160"/>
    </row>
    <row r="869" spans="1:71" x14ac:dyDescent="0.3">
      <c r="A869" s="420">
        <f>DL!A866</f>
        <v>779</v>
      </c>
      <c r="B869" s="19" t="s">
        <v>1591</v>
      </c>
      <c r="C869" s="149">
        <f>DL!L866</f>
        <v>5</v>
      </c>
      <c r="D869" s="149" t="str">
        <f>DL!C866</f>
        <v>1 pack of 10</v>
      </c>
      <c r="E869" s="150"/>
      <c r="F869" s="463"/>
      <c r="G869" s="150"/>
      <c r="H869" s="150"/>
      <c r="I869" s="150"/>
      <c r="J869" s="150"/>
      <c r="K869" s="168"/>
      <c r="L869" s="466">
        <v>25000</v>
      </c>
      <c r="M869" s="150">
        <v>26000</v>
      </c>
      <c r="N869" s="150"/>
      <c r="O869" s="150"/>
      <c r="P869" s="150"/>
      <c r="Q869" s="150">
        <v>29380</v>
      </c>
      <c r="R869" s="150"/>
      <c r="S869" s="150"/>
      <c r="T869" s="150"/>
      <c r="U869" s="150"/>
      <c r="V869" s="150"/>
      <c r="W869" s="168"/>
      <c r="X869" s="150"/>
      <c r="Y869" s="150"/>
      <c r="Z869" s="455"/>
      <c r="AA869" s="150"/>
      <c r="AB869" s="150"/>
      <c r="AC869" s="150"/>
      <c r="AD869" s="150"/>
      <c r="AE869" s="150"/>
      <c r="AF869" s="495">
        <v>26000</v>
      </c>
      <c r="AG869" s="150"/>
      <c r="AH869" s="150"/>
      <c r="AI869" s="150"/>
      <c r="AJ869" s="150"/>
      <c r="AK869" s="150"/>
      <c r="AL869" s="150"/>
      <c r="AM869" s="150"/>
      <c r="AN869" s="150"/>
      <c r="AO869" s="150"/>
      <c r="AP869" s="150"/>
      <c r="AQ869" s="150"/>
      <c r="AR869" s="151"/>
      <c r="AS869" s="456"/>
      <c r="AT869" s="151"/>
      <c r="AU869" s="150"/>
      <c r="AV869" s="487"/>
      <c r="AW869" s="150"/>
      <c r="AX869" s="150"/>
      <c r="AY869" s="150"/>
      <c r="AZ869" s="150"/>
      <c r="BA869" s="150"/>
      <c r="BB869" s="150"/>
      <c r="BC869" s="150"/>
      <c r="BD869" s="150"/>
      <c r="BE869" s="150"/>
      <c r="BF869" s="150"/>
      <c r="BG869" s="150"/>
      <c r="BH869" s="150"/>
      <c r="BI869" s="150">
        <v>25000</v>
      </c>
      <c r="BJ869" s="150"/>
      <c r="BK869" s="467">
        <v>20000</v>
      </c>
      <c r="BL869" s="160"/>
      <c r="BM869" s="150"/>
      <c r="BN869" s="150"/>
      <c r="BO869" s="150"/>
      <c r="BP869" s="152"/>
      <c r="BQ869" s="160"/>
      <c r="BR869" s="152"/>
      <c r="BS869" s="160"/>
    </row>
    <row r="870" spans="1:71" x14ac:dyDescent="0.3">
      <c r="A870" s="420">
        <f>DL!A867</f>
        <v>780</v>
      </c>
      <c r="B870" s="19" t="s">
        <v>1592</v>
      </c>
      <c r="C870" s="149">
        <f>DL!L867</f>
        <v>1</v>
      </c>
      <c r="D870" s="149" t="str">
        <f>DL!C867</f>
        <v>1 cnt of 10</v>
      </c>
      <c r="E870" s="150"/>
      <c r="F870" s="463"/>
      <c r="G870" s="150"/>
      <c r="H870" s="150"/>
      <c r="I870" s="150"/>
      <c r="J870" s="150"/>
      <c r="K870" s="168"/>
      <c r="L870" s="466"/>
      <c r="M870" s="150">
        <v>40000</v>
      </c>
      <c r="N870" s="150"/>
      <c r="O870" s="150"/>
      <c r="P870" s="150"/>
      <c r="Q870" s="150">
        <v>43750</v>
      </c>
      <c r="R870" s="150"/>
      <c r="S870" s="150"/>
      <c r="T870" s="150"/>
      <c r="U870" s="150"/>
      <c r="V870" s="150"/>
      <c r="W870" s="168"/>
      <c r="X870" s="150"/>
      <c r="Y870" s="150"/>
      <c r="Z870" s="455"/>
      <c r="AA870" s="150"/>
      <c r="AB870" s="150"/>
      <c r="AC870" s="150"/>
      <c r="AD870" s="150"/>
      <c r="AE870" s="150"/>
      <c r="AF870" s="494">
        <v>63700</v>
      </c>
      <c r="AG870" s="150"/>
      <c r="AH870" s="150"/>
      <c r="AI870" s="150"/>
      <c r="AJ870" s="150"/>
      <c r="AK870" s="150"/>
      <c r="AL870" s="150"/>
      <c r="AM870" s="150"/>
      <c r="AN870" s="150"/>
      <c r="AO870" s="150"/>
      <c r="AP870" s="150"/>
      <c r="AQ870" s="150"/>
      <c r="AR870" s="151"/>
      <c r="AS870" s="456"/>
      <c r="AT870" s="151"/>
      <c r="AU870" s="150"/>
      <c r="AV870" s="487"/>
      <c r="AW870" s="150"/>
      <c r="AX870" s="150"/>
      <c r="AY870" s="150"/>
      <c r="AZ870" s="150"/>
      <c r="BA870" s="150"/>
      <c r="BB870" s="150"/>
      <c r="BC870" s="150"/>
      <c r="BD870" s="150"/>
      <c r="BE870" s="150"/>
      <c r="BF870" s="150"/>
      <c r="BG870" s="150"/>
      <c r="BH870" s="150"/>
      <c r="BI870" s="150">
        <v>42000</v>
      </c>
      <c r="BJ870" s="150"/>
      <c r="BK870" s="467">
        <v>45000</v>
      </c>
      <c r="BL870" s="160"/>
      <c r="BM870" s="150"/>
      <c r="BN870" s="150"/>
      <c r="BO870" s="150"/>
      <c r="BP870" s="152"/>
      <c r="BQ870" s="160"/>
      <c r="BR870" s="152"/>
      <c r="BS870" s="160"/>
    </row>
    <row r="871" spans="1:71" x14ac:dyDescent="0.3">
      <c r="A871" s="420">
        <f>DL!A868</f>
        <v>781</v>
      </c>
      <c r="B871" s="19" t="s">
        <v>1593</v>
      </c>
      <c r="C871" s="149">
        <f>DL!L868</f>
        <v>50</v>
      </c>
      <c r="D871" s="149" t="str">
        <f>DL!C868</f>
        <v>1 pack of 50</v>
      </c>
      <c r="E871" s="150"/>
      <c r="F871" s="463"/>
      <c r="G871" s="150"/>
      <c r="H871" s="150"/>
      <c r="I871" s="150"/>
      <c r="J871" s="150"/>
      <c r="K871" s="168"/>
      <c r="L871" s="466">
        <v>5000</v>
      </c>
      <c r="M871" s="150">
        <v>8125</v>
      </c>
      <c r="N871" s="150"/>
      <c r="O871" s="150"/>
      <c r="P871" s="150"/>
      <c r="Q871" s="150">
        <v>2375</v>
      </c>
      <c r="R871" s="150"/>
      <c r="S871" s="150"/>
      <c r="T871" s="150"/>
      <c r="U871" s="150"/>
      <c r="V871" s="150"/>
      <c r="W871" s="168"/>
      <c r="X871" s="150"/>
      <c r="Y871" s="150"/>
      <c r="Z871" s="455"/>
      <c r="AA871" s="150"/>
      <c r="AB871" s="150"/>
      <c r="AC871" s="150"/>
      <c r="AD871" s="150"/>
      <c r="AE871" s="150"/>
      <c r="AF871" s="494">
        <v>5850</v>
      </c>
      <c r="AG871" s="150"/>
      <c r="AH871" s="150"/>
      <c r="AI871" s="150"/>
      <c r="AJ871" s="150"/>
      <c r="AK871" s="150"/>
      <c r="AL871" s="150"/>
      <c r="AM871" s="150"/>
      <c r="AN871" s="150"/>
      <c r="AO871" s="150"/>
      <c r="AP871" s="150"/>
      <c r="AQ871" s="150"/>
      <c r="AR871" s="151"/>
      <c r="AS871" s="456"/>
      <c r="AT871" s="151"/>
      <c r="AU871" s="150"/>
      <c r="AV871" s="487"/>
      <c r="AW871" s="150"/>
      <c r="AX871" s="150"/>
      <c r="AY871" s="150"/>
      <c r="AZ871" s="150"/>
      <c r="BA871" s="150"/>
      <c r="BB871" s="150"/>
      <c r="BC871" s="150"/>
      <c r="BD871" s="150"/>
      <c r="BE871" s="150"/>
      <c r="BF871" s="150"/>
      <c r="BG871" s="150"/>
      <c r="BH871" s="150"/>
      <c r="BI871" s="150">
        <v>4125</v>
      </c>
      <c r="BJ871" s="150"/>
      <c r="BK871" s="467">
        <v>3500</v>
      </c>
      <c r="BL871" s="160"/>
      <c r="BM871" s="150"/>
      <c r="BN871" s="150"/>
      <c r="BO871" s="150"/>
      <c r="BP871" s="152"/>
      <c r="BQ871" s="160"/>
      <c r="BR871" s="152"/>
      <c r="BS871" s="160"/>
    </row>
    <row r="872" spans="1:71" x14ac:dyDescent="0.3">
      <c r="A872" s="420">
        <f>DL!A869</f>
        <v>782</v>
      </c>
      <c r="B872" s="19" t="s">
        <v>1594</v>
      </c>
      <c r="C872" s="149">
        <f>DL!L869</f>
        <v>1</v>
      </c>
      <c r="D872" s="149" t="str">
        <f>DL!C869</f>
        <v>1 pack of 50</v>
      </c>
      <c r="E872" s="150"/>
      <c r="F872" s="463"/>
      <c r="G872" s="150"/>
      <c r="H872" s="150"/>
      <c r="I872" s="150"/>
      <c r="J872" s="150"/>
      <c r="K872" s="168"/>
      <c r="L872" s="466">
        <v>6500</v>
      </c>
      <c r="M872" s="150">
        <v>8125</v>
      </c>
      <c r="N872" s="150"/>
      <c r="O872" s="150"/>
      <c r="P872" s="150"/>
      <c r="Q872" s="150">
        <v>2500</v>
      </c>
      <c r="R872" s="150"/>
      <c r="S872" s="150"/>
      <c r="T872" s="150"/>
      <c r="U872" s="150"/>
      <c r="V872" s="150"/>
      <c r="W872" s="168"/>
      <c r="X872" s="150"/>
      <c r="Y872" s="150"/>
      <c r="Z872" s="455"/>
      <c r="AA872" s="150"/>
      <c r="AB872" s="150"/>
      <c r="AC872" s="150"/>
      <c r="AD872" s="150"/>
      <c r="AE872" s="150"/>
      <c r="AF872" s="494">
        <v>5850</v>
      </c>
      <c r="AG872" s="150"/>
      <c r="AH872" s="150"/>
      <c r="AI872" s="150"/>
      <c r="AJ872" s="150"/>
      <c r="AK872" s="150"/>
      <c r="AL872" s="150"/>
      <c r="AM872" s="150"/>
      <c r="AN872" s="150"/>
      <c r="AO872" s="150"/>
      <c r="AP872" s="150"/>
      <c r="AQ872" s="150"/>
      <c r="AR872" s="151"/>
      <c r="AS872" s="456"/>
      <c r="AT872" s="151"/>
      <c r="AU872" s="150"/>
      <c r="AV872" s="487"/>
      <c r="AW872" s="150"/>
      <c r="AX872" s="150"/>
      <c r="AY872" s="150"/>
      <c r="AZ872" s="150"/>
      <c r="BA872" s="150"/>
      <c r="BB872" s="150"/>
      <c r="BC872" s="150"/>
      <c r="BD872" s="150"/>
      <c r="BE872" s="150"/>
      <c r="BF872" s="150"/>
      <c r="BG872" s="150"/>
      <c r="BH872" s="150"/>
      <c r="BI872" s="150">
        <v>2000</v>
      </c>
      <c r="BJ872" s="150"/>
      <c r="BK872" s="467">
        <v>3500</v>
      </c>
      <c r="BL872" s="160"/>
      <c r="BM872" s="150"/>
      <c r="BN872" s="150"/>
      <c r="BO872" s="150"/>
      <c r="BP872" s="152"/>
      <c r="BQ872" s="160"/>
      <c r="BR872" s="152"/>
      <c r="BS872" s="160"/>
    </row>
    <row r="873" spans="1:71" x14ac:dyDescent="0.3">
      <c r="A873" s="420">
        <f>DL!A870</f>
        <v>783</v>
      </c>
      <c r="B873" s="19" t="s">
        <v>1595</v>
      </c>
      <c r="C873" s="149">
        <f>DL!L870</f>
        <v>48</v>
      </c>
      <c r="D873" s="149" t="str">
        <f>DL!C870</f>
        <v>1 pack of 96</v>
      </c>
      <c r="E873" s="150"/>
      <c r="F873" s="463"/>
      <c r="G873" s="150"/>
      <c r="H873" s="150"/>
      <c r="I873" s="150"/>
      <c r="J873" s="150"/>
      <c r="K873" s="168"/>
      <c r="L873" s="466">
        <v>42000</v>
      </c>
      <c r="M873" s="150"/>
      <c r="N873" s="150"/>
      <c r="O873" s="150"/>
      <c r="P873" s="150"/>
      <c r="Q873" s="150">
        <v>44375</v>
      </c>
      <c r="R873" s="150"/>
      <c r="S873" s="150"/>
      <c r="T873" s="150"/>
      <c r="U873" s="150"/>
      <c r="V873" s="150"/>
      <c r="W873" s="168"/>
      <c r="X873" s="150"/>
      <c r="Y873" s="150"/>
      <c r="Z873" s="455"/>
      <c r="AA873" s="150"/>
      <c r="AB873" s="150"/>
      <c r="AC873" s="150"/>
      <c r="AD873" s="150"/>
      <c r="AE873" s="150"/>
      <c r="AF873" s="495">
        <v>52000</v>
      </c>
      <c r="AG873" s="150"/>
      <c r="AH873" s="150"/>
      <c r="AI873" s="150"/>
      <c r="AJ873" s="150"/>
      <c r="AK873" s="150"/>
      <c r="AL873" s="150"/>
      <c r="AM873" s="150"/>
      <c r="AN873" s="150"/>
      <c r="AO873" s="150"/>
      <c r="AP873" s="150"/>
      <c r="AQ873" s="150"/>
      <c r="AR873" s="151"/>
      <c r="AS873" s="456"/>
      <c r="AT873" s="151"/>
      <c r="AU873" s="150"/>
      <c r="AV873" s="487"/>
      <c r="AW873" s="150"/>
      <c r="AX873" s="150"/>
      <c r="AY873" s="150"/>
      <c r="AZ873" s="150"/>
      <c r="BA873" s="150"/>
      <c r="BB873" s="150"/>
      <c r="BC873" s="150"/>
      <c r="BD873" s="150"/>
      <c r="BE873" s="150"/>
      <c r="BF873" s="150"/>
      <c r="BG873" s="150"/>
      <c r="BH873" s="150"/>
      <c r="BI873" s="150"/>
      <c r="BJ873" s="150"/>
      <c r="BK873" s="467">
        <v>30000</v>
      </c>
      <c r="BL873" s="160"/>
      <c r="BM873" s="150"/>
      <c r="BN873" s="150"/>
      <c r="BO873" s="150"/>
      <c r="BP873" s="152"/>
      <c r="BQ873" s="160"/>
      <c r="BR873" s="152"/>
      <c r="BS873" s="160"/>
    </row>
    <row r="874" spans="1:71" x14ac:dyDescent="0.3">
      <c r="A874" s="420">
        <f>DL!A871</f>
        <v>784</v>
      </c>
      <c r="B874" s="19" t="s">
        <v>1596</v>
      </c>
      <c r="C874" s="149">
        <f>DL!L871</f>
        <v>30</v>
      </c>
      <c r="D874" s="149" t="str">
        <f>DL!C871</f>
        <v>30 pcs</v>
      </c>
      <c r="E874" s="150"/>
      <c r="F874" s="463"/>
      <c r="G874" s="150"/>
      <c r="H874" s="150"/>
      <c r="I874" s="150"/>
      <c r="J874" s="150"/>
      <c r="K874" s="168"/>
      <c r="L874" s="466">
        <v>9500</v>
      </c>
      <c r="M874" s="150">
        <v>9600</v>
      </c>
      <c r="N874" s="150"/>
      <c r="O874" s="150"/>
      <c r="P874" s="150"/>
      <c r="Q874" s="150">
        <v>10625</v>
      </c>
      <c r="R874" s="150"/>
      <c r="S874" s="150"/>
      <c r="T874" s="150"/>
      <c r="U874" s="150"/>
      <c r="V874" s="150"/>
      <c r="W874" s="168"/>
      <c r="X874" s="150"/>
      <c r="Y874" s="150"/>
      <c r="Z874" s="455"/>
      <c r="AA874" s="150"/>
      <c r="AB874" s="150"/>
      <c r="AC874" s="150"/>
      <c r="AD874" s="150"/>
      <c r="AE874" s="150"/>
      <c r="AF874" s="494">
        <v>13650</v>
      </c>
      <c r="AG874" s="150"/>
      <c r="AH874" s="150"/>
      <c r="AI874" s="150"/>
      <c r="AJ874" s="150"/>
      <c r="AK874" s="150"/>
      <c r="AL874" s="150"/>
      <c r="AM874" s="150"/>
      <c r="AN874" s="150"/>
      <c r="AO874" s="150"/>
      <c r="AP874" s="150"/>
      <c r="AQ874" s="150"/>
      <c r="AR874" s="151"/>
      <c r="AS874" s="456"/>
      <c r="AT874" s="151"/>
      <c r="AU874" s="150"/>
      <c r="AV874" s="487"/>
      <c r="AW874" s="150"/>
      <c r="AX874" s="150"/>
      <c r="AY874" s="150"/>
      <c r="AZ874" s="150"/>
      <c r="BA874" s="150"/>
      <c r="BB874" s="150"/>
      <c r="BC874" s="150"/>
      <c r="BD874" s="150"/>
      <c r="BE874" s="150"/>
      <c r="BF874" s="150"/>
      <c r="BG874" s="150"/>
      <c r="BH874" s="150"/>
      <c r="BI874" s="150">
        <v>7000</v>
      </c>
      <c r="BJ874" s="150"/>
      <c r="BK874" s="467">
        <v>7500</v>
      </c>
      <c r="BL874" s="160"/>
      <c r="BM874" s="150"/>
      <c r="BN874" s="150"/>
      <c r="BO874" s="150"/>
      <c r="BP874" s="152"/>
      <c r="BQ874" s="160"/>
      <c r="BR874" s="152"/>
      <c r="BS874" s="160"/>
    </row>
    <row r="875" spans="1:71" x14ac:dyDescent="0.3">
      <c r="A875" s="420">
        <f>DL!A872</f>
        <v>785</v>
      </c>
      <c r="B875" s="19" t="s">
        <v>1597</v>
      </c>
      <c r="C875" s="149">
        <f>DL!L872</f>
        <v>6</v>
      </c>
      <c r="D875" s="149" t="str">
        <f>DL!C872</f>
        <v>6 packs</v>
      </c>
      <c r="E875" s="150"/>
      <c r="F875" s="463"/>
      <c r="G875" s="150"/>
      <c r="H875" s="150"/>
      <c r="I875" s="150"/>
      <c r="J875" s="150"/>
      <c r="K875" s="168"/>
      <c r="L875" s="466">
        <v>2000</v>
      </c>
      <c r="M875" s="150">
        <v>1700</v>
      </c>
      <c r="N875" s="150"/>
      <c r="O875" s="150"/>
      <c r="P875" s="150"/>
      <c r="Q875" s="150">
        <v>2125</v>
      </c>
      <c r="R875" s="150"/>
      <c r="S875" s="150"/>
      <c r="T875" s="150"/>
      <c r="U875" s="150"/>
      <c r="V875" s="150"/>
      <c r="W875" s="168"/>
      <c r="X875" s="150"/>
      <c r="Y875" s="150"/>
      <c r="Z875" s="455"/>
      <c r="AA875" s="150"/>
      <c r="AB875" s="150"/>
      <c r="AC875" s="150"/>
      <c r="AD875" s="150"/>
      <c r="AE875" s="150"/>
      <c r="AF875" s="494">
        <v>8450</v>
      </c>
      <c r="AG875" s="150"/>
      <c r="AH875" s="150"/>
      <c r="AI875" s="150"/>
      <c r="AJ875" s="150"/>
      <c r="AK875" s="150"/>
      <c r="AL875" s="150"/>
      <c r="AM875" s="150"/>
      <c r="AN875" s="150"/>
      <c r="AO875" s="150"/>
      <c r="AP875" s="150"/>
      <c r="AQ875" s="150"/>
      <c r="AR875" s="151"/>
      <c r="AS875" s="456"/>
      <c r="AT875" s="151"/>
      <c r="AU875" s="150"/>
      <c r="AV875" s="487"/>
      <c r="AW875" s="150"/>
      <c r="AX875" s="150"/>
      <c r="AY875" s="150"/>
      <c r="AZ875" s="150"/>
      <c r="BA875" s="150"/>
      <c r="BB875" s="150"/>
      <c r="BC875" s="150"/>
      <c r="BD875" s="150"/>
      <c r="BE875" s="150"/>
      <c r="BF875" s="150"/>
      <c r="BG875" s="150"/>
      <c r="BH875" s="150"/>
      <c r="BI875" s="150">
        <v>1600</v>
      </c>
      <c r="BJ875" s="150"/>
      <c r="BK875" s="467">
        <v>2000</v>
      </c>
      <c r="BL875" s="160"/>
      <c r="BM875" s="150"/>
      <c r="BN875" s="150"/>
      <c r="BO875" s="150"/>
      <c r="BP875" s="152"/>
      <c r="BQ875" s="160"/>
      <c r="BR875" s="152"/>
      <c r="BS875" s="160"/>
    </row>
    <row r="876" spans="1:71" x14ac:dyDescent="0.3">
      <c r="A876" s="420">
        <f>DL!A873</f>
        <v>786</v>
      </c>
      <c r="B876" s="19" t="s">
        <v>1598</v>
      </c>
      <c r="C876" s="149">
        <f>DL!L873</f>
        <v>30</v>
      </c>
      <c r="D876" s="149" t="str">
        <f>DL!C873</f>
        <v>1 pack of 100</v>
      </c>
      <c r="E876" s="150"/>
      <c r="F876" s="463"/>
      <c r="G876" s="150"/>
      <c r="H876" s="150"/>
      <c r="I876" s="150"/>
      <c r="J876" s="150"/>
      <c r="K876" s="168"/>
      <c r="L876" s="466"/>
      <c r="M876" s="150">
        <v>10500</v>
      </c>
      <c r="N876" s="150"/>
      <c r="O876" s="150"/>
      <c r="P876" s="150"/>
      <c r="Q876" s="150">
        <v>11875</v>
      </c>
      <c r="R876" s="150"/>
      <c r="S876" s="150"/>
      <c r="T876" s="150"/>
      <c r="U876" s="150"/>
      <c r="V876" s="150"/>
      <c r="W876" s="168"/>
      <c r="X876" s="150"/>
      <c r="Y876" s="150"/>
      <c r="Z876" s="455"/>
      <c r="AA876" s="150"/>
      <c r="AB876" s="150"/>
      <c r="AC876" s="150">
        <v>10170</v>
      </c>
      <c r="AD876" s="150"/>
      <c r="AE876" s="150"/>
      <c r="AF876" s="494">
        <v>14300</v>
      </c>
      <c r="AG876" s="150"/>
      <c r="AH876" s="150"/>
      <c r="AI876" s="150"/>
      <c r="AJ876" s="150"/>
      <c r="AK876" s="150"/>
      <c r="AL876" s="150"/>
      <c r="AM876" s="150"/>
      <c r="AN876" s="150"/>
      <c r="AO876" s="150"/>
      <c r="AP876" s="150"/>
      <c r="AQ876" s="150"/>
      <c r="AR876" s="151"/>
      <c r="AS876" s="456"/>
      <c r="AT876" s="151"/>
      <c r="AU876" s="150"/>
      <c r="AV876" s="487"/>
      <c r="AW876" s="150"/>
      <c r="AX876" s="150"/>
      <c r="AY876" s="150"/>
      <c r="AZ876" s="150"/>
      <c r="BA876" s="150"/>
      <c r="BB876" s="150"/>
      <c r="BC876" s="150"/>
      <c r="BD876" s="150"/>
      <c r="BE876" s="150"/>
      <c r="BF876" s="150"/>
      <c r="BG876" s="150"/>
      <c r="BH876" s="150"/>
      <c r="BI876" s="150">
        <v>10000</v>
      </c>
      <c r="BJ876" s="150"/>
      <c r="BK876" s="467">
        <v>18000</v>
      </c>
      <c r="BL876" s="160"/>
      <c r="BM876" s="150"/>
      <c r="BN876" s="150"/>
      <c r="BO876" s="150"/>
      <c r="BP876" s="152"/>
      <c r="BQ876" s="160"/>
      <c r="BR876" s="152"/>
      <c r="BS876" s="160"/>
    </row>
    <row r="877" spans="1:71" x14ac:dyDescent="0.3">
      <c r="A877" s="420">
        <f>DL!A874</f>
        <v>787</v>
      </c>
      <c r="B877" s="19" t="s">
        <v>1599</v>
      </c>
      <c r="C877" s="149">
        <f>DL!L874</f>
        <v>12</v>
      </c>
      <c r="D877" s="149" t="str">
        <f>DL!C874</f>
        <v>1 pack of 50</v>
      </c>
      <c r="E877" s="150"/>
      <c r="F877" s="463"/>
      <c r="G877" s="150"/>
      <c r="H877" s="150"/>
      <c r="I877" s="150"/>
      <c r="J877" s="150"/>
      <c r="K877" s="168"/>
      <c r="L877" s="466">
        <v>18000</v>
      </c>
      <c r="M877" s="150">
        <f>40*380</f>
        <v>15200</v>
      </c>
      <c r="N877" s="150"/>
      <c r="O877" s="150"/>
      <c r="P877" s="150"/>
      <c r="Q877" s="150">
        <f>40*625</f>
        <v>25000</v>
      </c>
      <c r="R877" s="150"/>
      <c r="S877" s="150"/>
      <c r="T877" s="150"/>
      <c r="U877" s="150"/>
      <c r="V877" s="150"/>
      <c r="W877" s="168"/>
      <c r="X877" s="150"/>
      <c r="Y877" s="150"/>
      <c r="Z877" s="455"/>
      <c r="AA877" s="150"/>
      <c r="AB877" s="150"/>
      <c r="AC877" s="150"/>
      <c r="AD877" s="150"/>
      <c r="AE877" s="150"/>
      <c r="AF877" s="494">
        <f>40*455</f>
        <v>18200</v>
      </c>
      <c r="AG877" s="150"/>
      <c r="AH877" s="150"/>
      <c r="AI877" s="150"/>
      <c r="AJ877" s="150"/>
      <c r="AK877" s="150"/>
      <c r="AL877" s="150"/>
      <c r="AM877" s="150"/>
      <c r="AN877" s="150"/>
      <c r="AO877" s="150"/>
      <c r="AP877" s="150"/>
      <c r="AQ877" s="150"/>
      <c r="AR877" s="151"/>
      <c r="AS877" s="456"/>
      <c r="AT877" s="151"/>
      <c r="AU877" s="150"/>
      <c r="AV877" s="487"/>
      <c r="AW877" s="150"/>
      <c r="AX877" s="150"/>
      <c r="AY877" s="150"/>
      <c r="AZ877" s="150"/>
      <c r="BA877" s="150"/>
      <c r="BB877" s="150"/>
      <c r="BC877" s="150"/>
      <c r="BD877" s="150"/>
      <c r="BE877" s="150"/>
      <c r="BF877" s="150"/>
      <c r="BG877" s="150"/>
      <c r="BH877" s="150"/>
      <c r="BI877" s="150">
        <f>40*370</f>
        <v>14800</v>
      </c>
      <c r="BJ877" s="150"/>
      <c r="BK877" s="467">
        <v>20000</v>
      </c>
      <c r="BL877" s="160"/>
      <c r="BM877" s="150"/>
      <c r="BN877" s="150"/>
      <c r="BO877" s="150"/>
      <c r="BP877" s="152"/>
      <c r="BQ877" s="160"/>
      <c r="BR877" s="152"/>
      <c r="BS877" s="160"/>
    </row>
    <row r="878" spans="1:71" x14ac:dyDescent="0.3">
      <c r="A878" s="420">
        <f>DL!A875</f>
        <v>788</v>
      </c>
      <c r="B878" s="19" t="s">
        <v>1600</v>
      </c>
      <c r="C878" s="149">
        <f>DL!L875</f>
        <v>25</v>
      </c>
      <c r="D878" s="149">
        <f>DL!C875</f>
        <v>0</v>
      </c>
      <c r="E878" s="150"/>
      <c r="F878" s="463"/>
      <c r="G878" s="150"/>
      <c r="H878" s="150"/>
      <c r="I878" s="150"/>
      <c r="J878" s="150"/>
      <c r="K878" s="168"/>
      <c r="L878" s="466"/>
      <c r="M878" s="150">
        <v>41000</v>
      </c>
      <c r="N878" s="150"/>
      <c r="O878" s="150"/>
      <c r="P878" s="150"/>
      <c r="Q878" s="150">
        <v>25625</v>
      </c>
      <c r="R878" s="150"/>
      <c r="S878" s="150"/>
      <c r="T878" s="150"/>
      <c r="U878" s="150"/>
      <c r="V878" s="150"/>
      <c r="W878" s="168"/>
      <c r="X878" s="150"/>
      <c r="Y878" s="150"/>
      <c r="Z878" s="455"/>
      <c r="AA878" s="150"/>
      <c r="AB878" s="150"/>
      <c r="AC878" s="150"/>
      <c r="AD878" s="150"/>
      <c r="AE878" s="150"/>
      <c r="AF878" s="494">
        <v>32500</v>
      </c>
      <c r="AG878" s="150"/>
      <c r="AH878" s="150"/>
      <c r="AI878" s="150"/>
      <c r="AJ878" s="150"/>
      <c r="AK878" s="150"/>
      <c r="AL878" s="150"/>
      <c r="AM878" s="150"/>
      <c r="AN878" s="150"/>
      <c r="AO878" s="150"/>
      <c r="AP878" s="150"/>
      <c r="AQ878" s="150"/>
      <c r="AR878" s="151"/>
      <c r="AS878" s="456"/>
      <c r="AT878" s="151"/>
      <c r="AU878" s="150"/>
      <c r="AV878" s="487"/>
      <c r="AW878" s="150"/>
      <c r="AX878" s="150"/>
      <c r="AY878" s="150"/>
      <c r="AZ878" s="150"/>
      <c r="BA878" s="150"/>
      <c r="BB878" s="150"/>
      <c r="BC878" s="150"/>
      <c r="BD878" s="150"/>
      <c r="BE878" s="150"/>
      <c r="BF878" s="150"/>
      <c r="BG878" s="150"/>
      <c r="BH878" s="150"/>
      <c r="BI878" s="150"/>
      <c r="BJ878" s="150"/>
      <c r="BK878" s="467">
        <v>30000</v>
      </c>
      <c r="BL878" s="160"/>
      <c r="BM878" s="150"/>
      <c r="BN878" s="150"/>
      <c r="BO878" s="150"/>
      <c r="BP878" s="152"/>
      <c r="BQ878" s="160"/>
      <c r="BR878" s="152"/>
      <c r="BS878" s="160"/>
    </row>
    <row r="879" spans="1:71" x14ac:dyDescent="0.3">
      <c r="A879" s="420">
        <f>DL!A876</f>
        <v>789</v>
      </c>
      <c r="B879" s="19" t="s">
        <v>1601</v>
      </c>
      <c r="C879" s="149">
        <f>DL!L876</f>
        <v>1</v>
      </c>
      <c r="D879" s="149" t="str">
        <f>DL!C876</f>
        <v>1 pack of 100</v>
      </c>
      <c r="E879" s="150"/>
      <c r="F879" s="463"/>
      <c r="G879" s="150"/>
      <c r="H879" s="150"/>
      <c r="I879" s="150"/>
      <c r="J879" s="150"/>
      <c r="K879" s="168"/>
      <c r="L879" s="466">
        <v>16000</v>
      </c>
      <c r="M879" s="150">
        <v>17500</v>
      </c>
      <c r="N879" s="150"/>
      <c r="O879" s="150"/>
      <c r="P879" s="150"/>
      <c r="Q879" s="150">
        <v>16875</v>
      </c>
      <c r="R879" s="150"/>
      <c r="S879" s="150"/>
      <c r="T879" s="150"/>
      <c r="U879" s="150"/>
      <c r="V879" s="150"/>
      <c r="W879" s="168"/>
      <c r="X879" s="150"/>
      <c r="Y879" s="150"/>
      <c r="Z879" s="455"/>
      <c r="AA879" s="150"/>
      <c r="AB879" s="150"/>
      <c r="AC879" s="150"/>
      <c r="AD879" s="150"/>
      <c r="AE879" s="150"/>
      <c r="AF879" s="494">
        <v>17550</v>
      </c>
      <c r="AG879" s="150"/>
      <c r="AH879" s="150"/>
      <c r="AI879" s="150"/>
      <c r="AJ879" s="150"/>
      <c r="AK879" s="150"/>
      <c r="AL879" s="150"/>
      <c r="AM879" s="150"/>
      <c r="AN879" s="150"/>
      <c r="AO879" s="150"/>
      <c r="AP879" s="150"/>
      <c r="AQ879" s="150"/>
      <c r="AR879" s="151"/>
      <c r="AS879" s="456"/>
      <c r="AT879" s="151"/>
      <c r="AU879" s="150"/>
      <c r="AV879" s="487"/>
      <c r="AW879" s="150"/>
      <c r="AX879" s="150"/>
      <c r="AY879" s="150"/>
      <c r="AZ879" s="150"/>
      <c r="BA879" s="150"/>
      <c r="BB879" s="150"/>
      <c r="BC879" s="150"/>
      <c r="BD879" s="150"/>
      <c r="BE879" s="150"/>
      <c r="BF879" s="150"/>
      <c r="BG879" s="150"/>
      <c r="BH879" s="150"/>
      <c r="BI879" s="150">
        <v>20000</v>
      </c>
      <c r="BJ879" s="150"/>
      <c r="BK879" s="467">
        <v>18000</v>
      </c>
      <c r="BL879" s="160"/>
      <c r="BM879" s="150"/>
      <c r="BN879" s="150"/>
      <c r="BO879" s="150"/>
      <c r="BP879" s="152"/>
      <c r="BQ879" s="160"/>
      <c r="BR879" s="152"/>
      <c r="BS879" s="160"/>
    </row>
    <row r="880" spans="1:71" x14ac:dyDescent="0.3">
      <c r="A880" s="420">
        <f>DL!A877</f>
        <v>790</v>
      </c>
      <c r="B880" s="19" t="s">
        <v>1602</v>
      </c>
      <c r="C880" s="149">
        <f>DL!L877</f>
        <v>2</v>
      </c>
      <c r="D880" s="149" t="str">
        <f>DL!C877</f>
        <v>1 pack of 50</v>
      </c>
      <c r="E880" s="150"/>
      <c r="F880" s="463"/>
      <c r="G880" s="150"/>
      <c r="H880" s="150"/>
      <c r="I880" s="150"/>
      <c r="J880" s="150"/>
      <c r="K880" s="168"/>
      <c r="L880" s="466">
        <v>7000</v>
      </c>
      <c r="M880" s="150">
        <v>9200</v>
      </c>
      <c r="N880" s="150"/>
      <c r="O880" s="150"/>
      <c r="P880" s="150"/>
      <c r="Q880" s="150">
        <v>3625</v>
      </c>
      <c r="R880" s="150"/>
      <c r="S880" s="150"/>
      <c r="T880" s="150"/>
      <c r="U880" s="150"/>
      <c r="V880" s="150"/>
      <c r="W880" s="168"/>
      <c r="X880" s="150"/>
      <c r="Y880" s="150"/>
      <c r="Z880" s="455"/>
      <c r="AA880" s="150"/>
      <c r="AB880" s="150"/>
      <c r="AC880" s="150"/>
      <c r="AD880" s="150"/>
      <c r="AE880" s="150"/>
      <c r="AF880" s="494">
        <v>8450</v>
      </c>
      <c r="AG880" s="150"/>
      <c r="AH880" s="150"/>
      <c r="AI880" s="150"/>
      <c r="AJ880" s="150"/>
      <c r="AK880" s="150"/>
      <c r="AL880" s="150"/>
      <c r="AM880" s="150"/>
      <c r="AN880" s="150"/>
      <c r="AO880" s="150"/>
      <c r="AP880" s="150"/>
      <c r="AQ880" s="150"/>
      <c r="AR880" s="151"/>
      <c r="AS880" s="456"/>
      <c r="AT880" s="151"/>
      <c r="AU880" s="150"/>
      <c r="AV880" s="487"/>
      <c r="AW880" s="150"/>
      <c r="AX880" s="150"/>
      <c r="AY880" s="150"/>
      <c r="AZ880" s="150"/>
      <c r="BA880" s="150"/>
      <c r="BB880" s="150"/>
      <c r="BC880" s="150"/>
      <c r="BD880" s="150"/>
      <c r="BE880" s="150"/>
      <c r="BF880" s="150"/>
      <c r="BG880" s="150"/>
      <c r="BH880" s="150"/>
      <c r="BI880" s="150">
        <v>3600</v>
      </c>
      <c r="BJ880" s="150"/>
      <c r="BK880" s="467">
        <v>5500</v>
      </c>
      <c r="BL880" s="160"/>
      <c r="BM880" s="150"/>
      <c r="BN880" s="150"/>
      <c r="BO880" s="150"/>
      <c r="BP880" s="152"/>
      <c r="BQ880" s="160"/>
      <c r="BR880" s="152"/>
      <c r="BS880" s="160"/>
    </row>
    <row r="881" spans="1:71" x14ac:dyDescent="0.3">
      <c r="A881" s="420">
        <f>DL!A878</f>
        <v>791</v>
      </c>
      <c r="B881" s="19" t="s">
        <v>1603</v>
      </c>
      <c r="C881" s="149">
        <f>DL!L878</f>
        <v>1</v>
      </c>
      <c r="D881" s="149" t="str">
        <f>DL!C878</f>
        <v>1 pc</v>
      </c>
      <c r="E881" s="150"/>
      <c r="F881" s="463"/>
      <c r="G881" s="150"/>
      <c r="H881" s="150"/>
      <c r="I881" s="150"/>
      <c r="J881" s="150"/>
      <c r="K881" s="168"/>
      <c r="L881" s="466">
        <v>7000</v>
      </c>
      <c r="M881" s="150">
        <v>7500</v>
      </c>
      <c r="N881" s="150"/>
      <c r="O881" s="150"/>
      <c r="P881" s="150"/>
      <c r="Q881" s="150">
        <v>5625</v>
      </c>
      <c r="R881" s="150"/>
      <c r="S881" s="150"/>
      <c r="T881" s="150"/>
      <c r="U881" s="150"/>
      <c r="V881" s="150"/>
      <c r="W881" s="168"/>
      <c r="X881" s="150"/>
      <c r="Y881" s="150"/>
      <c r="Z881" s="455"/>
      <c r="AA881" s="150"/>
      <c r="AB881" s="150"/>
      <c r="AC881" s="150"/>
      <c r="AD881" s="150"/>
      <c r="AE881" s="150"/>
      <c r="AF881" s="494">
        <v>30000</v>
      </c>
      <c r="AG881" s="150"/>
      <c r="AH881" s="150"/>
      <c r="AI881" s="150"/>
      <c r="AJ881" s="150"/>
      <c r="AK881" s="150"/>
      <c r="AL881" s="150"/>
      <c r="AM881" s="150"/>
      <c r="AN881" s="150"/>
      <c r="AO881" s="150"/>
      <c r="AP881" s="150"/>
      <c r="AQ881" s="150"/>
      <c r="AR881" s="151"/>
      <c r="AS881" s="456"/>
      <c r="AT881" s="151"/>
      <c r="AU881" s="150"/>
      <c r="AV881" s="487"/>
      <c r="AW881" s="150"/>
      <c r="AX881" s="150"/>
      <c r="AY881" s="150"/>
      <c r="AZ881" s="150"/>
      <c r="BA881" s="150"/>
      <c r="BB881" s="150"/>
      <c r="BC881" s="150"/>
      <c r="BD881" s="150"/>
      <c r="BE881" s="150"/>
      <c r="BF881" s="150"/>
      <c r="BG881" s="150"/>
      <c r="BH881" s="150"/>
      <c r="BI881" s="150"/>
      <c r="BJ881" s="150"/>
      <c r="BK881" s="467">
        <v>50000</v>
      </c>
      <c r="BL881" s="160"/>
      <c r="BM881" s="150"/>
      <c r="BN881" s="150"/>
      <c r="BO881" s="150"/>
      <c r="BP881" s="152"/>
      <c r="BQ881" s="160"/>
      <c r="BR881" s="152"/>
      <c r="BS881" s="160"/>
    </row>
    <row r="882" spans="1:71" x14ac:dyDescent="0.3">
      <c r="A882" s="420">
        <f>DL!A879</f>
        <v>792</v>
      </c>
      <c r="B882" s="19" t="s">
        <v>1604</v>
      </c>
      <c r="C882" s="149">
        <f>DL!L879</f>
        <v>15</v>
      </c>
      <c r="D882" s="149" t="str">
        <f>DL!C879</f>
        <v>1 pack of 10</v>
      </c>
      <c r="E882" s="150"/>
      <c r="F882" s="463"/>
      <c r="G882" s="150"/>
      <c r="H882" s="150"/>
      <c r="I882" s="150"/>
      <c r="J882" s="150"/>
      <c r="K882" s="168"/>
      <c r="L882" s="466">
        <v>7500</v>
      </c>
      <c r="M882" s="150">
        <v>9000</v>
      </c>
      <c r="N882" s="150"/>
      <c r="O882" s="150"/>
      <c r="P882" s="150"/>
      <c r="Q882" s="150">
        <v>5625</v>
      </c>
      <c r="R882" s="150"/>
      <c r="S882" s="150"/>
      <c r="T882" s="150"/>
      <c r="U882" s="150"/>
      <c r="V882" s="150"/>
      <c r="W882" s="168"/>
      <c r="X882" s="150"/>
      <c r="Y882" s="150"/>
      <c r="Z882" s="455"/>
      <c r="AA882" s="150"/>
      <c r="AB882" s="150"/>
      <c r="AC882" s="150">
        <v>5085</v>
      </c>
      <c r="AD882" s="150"/>
      <c r="AE882" s="150"/>
      <c r="AF882" s="494">
        <v>10400</v>
      </c>
      <c r="AG882" s="150"/>
      <c r="AH882" s="150"/>
      <c r="AI882" s="150"/>
      <c r="AJ882" s="150"/>
      <c r="AK882" s="150"/>
      <c r="AL882" s="150"/>
      <c r="AM882" s="150"/>
      <c r="AN882" s="150"/>
      <c r="AO882" s="150"/>
      <c r="AP882" s="150"/>
      <c r="AQ882" s="150"/>
      <c r="AR882" s="151"/>
      <c r="AS882" s="456"/>
      <c r="AT882" s="151"/>
      <c r="AU882" s="150"/>
      <c r="AV882" s="487"/>
      <c r="AW882" s="150"/>
      <c r="AX882" s="150"/>
      <c r="AY882" s="150"/>
      <c r="AZ882" s="150"/>
      <c r="BA882" s="150"/>
      <c r="BB882" s="150"/>
      <c r="BC882" s="150"/>
      <c r="BD882" s="150"/>
      <c r="BE882" s="150"/>
      <c r="BF882" s="150"/>
      <c r="BG882" s="150"/>
      <c r="BH882" s="150"/>
      <c r="BI882" s="150">
        <v>5500</v>
      </c>
      <c r="BJ882" s="150"/>
      <c r="BK882" s="467">
        <v>7500</v>
      </c>
      <c r="BL882" s="160"/>
      <c r="BM882" s="150"/>
      <c r="BN882" s="150"/>
      <c r="BO882" s="150"/>
      <c r="BP882" s="152"/>
      <c r="BQ882" s="160"/>
      <c r="BR882" s="152"/>
      <c r="BS882" s="160"/>
    </row>
    <row r="883" spans="1:71" x14ac:dyDescent="0.3">
      <c r="A883" s="420">
        <f>DL!A880</f>
        <v>793</v>
      </c>
      <c r="B883" s="19" t="s">
        <v>1605</v>
      </c>
      <c r="C883" s="149">
        <f>DL!L880</f>
        <v>25</v>
      </c>
      <c r="D883" s="149" t="str">
        <f>DL!C880</f>
        <v>1 pack of 10</v>
      </c>
      <c r="E883" s="150"/>
      <c r="F883" s="463"/>
      <c r="G883" s="150"/>
      <c r="H883" s="150"/>
      <c r="I883" s="150"/>
      <c r="J883" s="150"/>
      <c r="K883" s="168"/>
      <c r="L883" s="466">
        <v>7500</v>
      </c>
      <c r="M883" s="150">
        <v>9000</v>
      </c>
      <c r="N883" s="150"/>
      <c r="O883" s="150"/>
      <c r="P883" s="150"/>
      <c r="Q883" s="150">
        <v>5625</v>
      </c>
      <c r="R883" s="150"/>
      <c r="S883" s="150"/>
      <c r="T883" s="150"/>
      <c r="U883" s="150"/>
      <c r="V883" s="150"/>
      <c r="W883" s="168"/>
      <c r="X883" s="150"/>
      <c r="Y883" s="150"/>
      <c r="Z883" s="455"/>
      <c r="AA883" s="150"/>
      <c r="AB883" s="150"/>
      <c r="AC883" s="150">
        <v>5085</v>
      </c>
      <c r="AD883" s="150"/>
      <c r="AE883" s="150"/>
      <c r="AF883" s="494">
        <v>10400</v>
      </c>
      <c r="AG883" s="150"/>
      <c r="AH883" s="150"/>
      <c r="AI883" s="150"/>
      <c r="AJ883" s="150"/>
      <c r="AK883" s="150"/>
      <c r="AL883" s="150"/>
      <c r="AM883" s="150"/>
      <c r="AN883" s="150"/>
      <c r="AO883" s="150"/>
      <c r="AP883" s="150"/>
      <c r="AQ883" s="150"/>
      <c r="AR883" s="151"/>
      <c r="AS883" s="456"/>
      <c r="AT883" s="151"/>
      <c r="AU883" s="150"/>
      <c r="AV883" s="487"/>
      <c r="AW883" s="150"/>
      <c r="AX883" s="150"/>
      <c r="AY883" s="150"/>
      <c r="AZ883" s="150"/>
      <c r="BA883" s="150"/>
      <c r="BB883" s="150"/>
      <c r="BC883" s="150"/>
      <c r="BD883" s="150"/>
      <c r="BE883" s="150"/>
      <c r="BF883" s="150"/>
      <c r="BG883" s="150"/>
      <c r="BH883" s="150"/>
      <c r="BI883" s="150">
        <v>5500</v>
      </c>
      <c r="BJ883" s="150"/>
      <c r="BK883" s="467">
        <v>7500</v>
      </c>
      <c r="BL883" s="160"/>
      <c r="BM883" s="150"/>
      <c r="BN883" s="150"/>
      <c r="BO883" s="150"/>
      <c r="BP883" s="152"/>
      <c r="BQ883" s="160"/>
      <c r="BR883" s="152"/>
      <c r="BS883" s="160"/>
    </row>
    <row r="884" spans="1:71" x14ac:dyDescent="0.3">
      <c r="A884" s="420">
        <f>DL!A881</f>
        <v>794</v>
      </c>
      <c r="B884" s="19" t="s">
        <v>1606</v>
      </c>
      <c r="C884" s="149">
        <f>DL!L881</f>
        <v>15</v>
      </c>
      <c r="D884" s="149">
        <f>DL!C881</f>
        <v>0</v>
      </c>
      <c r="E884" s="150"/>
      <c r="F884" s="463"/>
      <c r="G884" s="150"/>
      <c r="H884" s="150"/>
      <c r="I884" s="150"/>
      <c r="J884" s="150"/>
      <c r="K884" s="168"/>
      <c r="L884" s="466">
        <v>14000</v>
      </c>
      <c r="M884" s="150">
        <v>7200</v>
      </c>
      <c r="N884" s="150"/>
      <c r="O884" s="150"/>
      <c r="P884" s="150"/>
      <c r="Q884" s="150">
        <v>6250</v>
      </c>
      <c r="R884" s="150"/>
      <c r="S884" s="150"/>
      <c r="T884" s="150"/>
      <c r="U884" s="150"/>
      <c r="V884" s="150"/>
      <c r="W884" s="168"/>
      <c r="X884" s="150"/>
      <c r="Y884" s="150"/>
      <c r="Z884" s="455"/>
      <c r="AA884" s="150"/>
      <c r="AB884" s="150"/>
      <c r="AC884" s="150">
        <v>6215</v>
      </c>
      <c r="AD884" s="150"/>
      <c r="AE884" s="150"/>
      <c r="AF884" s="494">
        <v>12350</v>
      </c>
      <c r="AG884" s="150"/>
      <c r="AH884" s="150"/>
      <c r="AI884" s="150"/>
      <c r="AJ884" s="150"/>
      <c r="AK884" s="150"/>
      <c r="AL884" s="150"/>
      <c r="AM884" s="150"/>
      <c r="AN884" s="150"/>
      <c r="AO884" s="150"/>
      <c r="AP884" s="150"/>
      <c r="AQ884" s="150"/>
      <c r="AR884" s="151"/>
      <c r="AS884" s="456"/>
      <c r="AT884" s="151"/>
      <c r="AU884" s="150"/>
      <c r="AV884" s="487"/>
      <c r="AW884" s="150"/>
      <c r="AX884" s="150"/>
      <c r="AY884" s="150"/>
      <c r="AZ884" s="150"/>
      <c r="BA884" s="150"/>
      <c r="BB884" s="150"/>
      <c r="BC884" s="150"/>
      <c r="BD884" s="150"/>
      <c r="BE884" s="150"/>
      <c r="BF884" s="150"/>
      <c r="BG884" s="150"/>
      <c r="BH884" s="150"/>
      <c r="BI884" s="150">
        <v>5500</v>
      </c>
      <c r="BJ884" s="150"/>
      <c r="BK884" s="467">
        <v>9500</v>
      </c>
      <c r="BL884" s="160"/>
      <c r="BM884" s="150"/>
      <c r="BN884" s="150"/>
      <c r="BO884" s="150"/>
      <c r="BP884" s="152"/>
      <c r="BQ884" s="160"/>
      <c r="BR884" s="152"/>
      <c r="BS884" s="160"/>
    </row>
    <row r="885" spans="1:71" x14ac:dyDescent="0.3">
      <c r="A885" s="420">
        <f>DL!A882</f>
        <v>795</v>
      </c>
      <c r="B885" s="19" t="s">
        <v>1607</v>
      </c>
      <c r="C885" s="149">
        <f>DL!L882</f>
        <v>48</v>
      </c>
      <c r="D885" s="149" t="str">
        <f>DL!C882</f>
        <v>1 pack of 96</v>
      </c>
      <c r="E885" s="150"/>
      <c r="F885" s="463"/>
      <c r="G885" s="150"/>
      <c r="H885" s="150"/>
      <c r="I885" s="150"/>
      <c r="J885" s="150"/>
      <c r="K885" s="168"/>
      <c r="L885" s="466">
        <v>50000</v>
      </c>
      <c r="M885" s="150"/>
      <c r="N885" s="150"/>
      <c r="O885" s="150"/>
      <c r="P885" s="150"/>
      <c r="Q885" s="150">
        <v>48125</v>
      </c>
      <c r="R885" s="150"/>
      <c r="S885" s="150"/>
      <c r="T885" s="150"/>
      <c r="U885" s="150"/>
      <c r="V885" s="150"/>
      <c r="W885" s="168"/>
      <c r="X885" s="150"/>
      <c r="Y885" s="150"/>
      <c r="Z885" s="455"/>
      <c r="AA885" s="150"/>
      <c r="AB885" s="150"/>
      <c r="AC885" s="150"/>
      <c r="AD885" s="150"/>
      <c r="AE885" s="150"/>
      <c r="AF885" s="494">
        <v>58500</v>
      </c>
      <c r="AG885" s="150"/>
      <c r="AH885" s="150"/>
      <c r="AI885" s="150"/>
      <c r="AJ885" s="150"/>
      <c r="AK885" s="150"/>
      <c r="AL885" s="150"/>
      <c r="AM885" s="150"/>
      <c r="AN885" s="150"/>
      <c r="AO885" s="150"/>
      <c r="AP885" s="150"/>
      <c r="AQ885" s="150"/>
      <c r="AR885" s="151"/>
      <c r="AS885" s="456"/>
      <c r="AT885" s="151"/>
      <c r="AU885" s="150"/>
      <c r="AV885" s="487"/>
      <c r="AW885" s="150"/>
      <c r="AX885" s="150"/>
      <c r="AY885" s="150"/>
      <c r="AZ885" s="150"/>
      <c r="BA885" s="150"/>
      <c r="BB885" s="150"/>
      <c r="BC885" s="150"/>
      <c r="BD885" s="150"/>
      <c r="BE885" s="150"/>
      <c r="BF885" s="150"/>
      <c r="BG885" s="150"/>
      <c r="BH885" s="150"/>
      <c r="BI885" s="150"/>
      <c r="BJ885" s="150"/>
      <c r="BK885" s="467">
        <v>35000</v>
      </c>
      <c r="BL885" s="160"/>
      <c r="BM885" s="150"/>
      <c r="BN885" s="150"/>
      <c r="BO885" s="150"/>
      <c r="BP885" s="152"/>
      <c r="BQ885" s="160"/>
      <c r="BR885" s="152"/>
      <c r="BS885" s="160"/>
    </row>
    <row r="886" spans="1:71" x14ac:dyDescent="0.3">
      <c r="A886" s="420">
        <f>DL!A883</f>
        <v>796</v>
      </c>
      <c r="B886" s="19" t="s">
        <v>1608</v>
      </c>
      <c r="C886" s="149">
        <f>DL!L883</f>
        <v>48</v>
      </c>
      <c r="D886" s="149" t="str">
        <f>DL!C883</f>
        <v>1 pack of 96</v>
      </c>
      <c r="E886" s="150"/>
      <c r="F886" s="463"/>
      <c r="G886" s="150"/>
      <c r="H886" s="150"/>
      <c r="I886" s="150"/>
      <c r="J886" s="150"/>
      <c r="K886" s="168"/>
      <c r="L886" s="466">
        <v>45000</v>
      </c>
      <c r="M886" s="150"/>
      <c r="N886" s="150"/>
      <c r="O886" s="150"/>
      <c r="P886" s="150"/>
      <c r="Q886" s="150">
        <v>48125</v>
      </c>
      <c r="R886" s="150"/>
      <c r="S886" s="150"/>
      <c r="T886" s="150"/>
      <c r="U886" s="150"/>
      <c r="V886" s="150"/>
      <c r="W886" s="168"/>
      <c r="X886" s="150"/>
      <c r="Y886" s="150"/>
      <c r="Z886" s="455"/>
      <c r="AA886" s="150"/>
      <c r="AB886" s="150"/>
      <c r="AC886" s="150"/>
      <c r="AD886" s="150"/>
      <c r="AE886" s="150"/>
      <c r="AF886" s="494">
        <v>45500</v>
      </c>
      <c r="AG886" s="150"/>
      <c r="AH886" s="150"/>
      <c r="AI886" s="150"/>
      <c r="AJ886" s="150"/>
      <c r="AK886" s="150"/>
      <c r="AL886" s="150"/>
      <c r="AM886" s="150"/>
      <c r="AN886" s="150"/>
      <c r="AO886" s="150"/>
      <c r="AP886" s="150"/>
      <c r="AQ886" s="150"/>
      <c r="AR886" s="151"/>
      <c r="AS886" s="456"/>
      <c r="AT886" s="151"/>
      <c r="AU886" s="150"/>
      <c r="AV886" s="487"/>
      <c r="AW886" s="150"/>
      <c r="AX886" s="150"/>
      <c r="AY886" s="150"/>
      <c r="AZ886" s="150"/>
      <c r="BA886" s="150"/>
      <c r="BB886" s="150"/>
      <c r="BC886" s="150"/>
      <c r="BD886" s="150"/>
      <c r="BE886" s="150"/>
      <c r="BF886" s="150"/>
      <c r="BG886" s="150"/>
      <c r="BH886" s="150"/>
      <c r="BI886" s="150"/>
      <c r="BJ886" s="150"/>
      <c r="BK886" s="467">
        <v>30000</v>
      </c>
      <c r="BL886" s="160"/>
      <c r="BM886" s="150"/>
      <c r="BN886" s="150"/>
      <c r="BO886" s="150"/>
      <c r="BP886" s="152"/>
      <c r="BQ886" s="160"/>
      <c r="BR886" s="152"/>
      <c r="BS886" s="160"/>
    </row>
    <row r="887" spans="1:71" x14ac:dyDescent="0.3">
      <c r="A887" s="420">
        <f>DL!A884</f>
        <v>797</v>
      </c>
      <c r="B887" s="19" t="s">
        <v>1609</v>
      </c>
      <c r="C887" s="149">
        <f>DL!L884</f>
        <v>48</v>
      </c>
      <c r="D887" s="149" t="str">
        <f>DL!C884</f>
        <v>1 pack of 96</v>
      </c>
      <c r="E887" s="150"/>
      <c r="F887" s="463"/>
      <c r="G887" s="150"/>
      <c r="H887" s="150"/>
      <c r="I887" s="150"/>
      <c r="J887" s="150"/>
      <c r="K887" s="168"/>
      <c r="L887" s="466">
        <v>45000</v>
      </c>
      <c r="M887" s="150"/>
      <c r="N887" s="150"/>
      <c r="O887" s="150"/>
      <c r="P887" s="150"/>
      <c r="Q887" s="150">
        <v>48125</v>
      </c>
      <c r="R887" s="150"/>
      <c r="S887" s="150"/>
      <c r="T887" s="150"/>
      <c r="U887" s="150"/>
      <c r="V887" s="150"/>
      <c r="W887" s="168"/>
      <c r="X887" s="150"/>
      <c r="Y887" s="150"/>
      <c r="Z887" s="455"/>
      <c r="AA887" s="150"/>
      <c r="AB887" s="150"/>
      <c r="AC887" s="150"/>
      <c r="AD887" s="150"/>
      <c r="AE887" s="150"/>
      <c r="AF887" s="495">
        <v>52000</v>
      </c>
      <c r="AG887" s="150"/>
      <c r="AH887" s="150"/>
      <c r="AI887" s="150"/>
      <c r="AJ887" s="150"/>
      <c r="AK887" s="150"/>
      <c r="AL887" s="150"/>
      <c r="AM887" s="150"/>
      <c r="AN887" s="150"/>
      <c r="AO887" s="150"/>
      <c r="AP887" s="150"/>
      <c r="AQ887" s="150"/>
      <c r="AR887" s="151"/>
      <c r="AS887" s="456"/>
      <c r="AT887" s="151"/>
      <c r="AU887" s="150"/>
      <c r="AV887" s="487"/>
      <c r="AW887" s="150"/>
      <c r="AX887" s="150"/>
      <c r="AY887" s="150"/>
      <c r="AZ887" s="150"/>
      <c r="BA887" s="150"/>
      <c r="BB887" s="150"/>
      <c r="BC887" s="150"/>
      <c r="BD887" s="150"/>
      <c r="BE887" s="150"/>
      <c r="BF887" s="150"/>
      <c r="BG887" s="150"/>
      <c r="BH887" s="150"/>
      <c r="BI887" s="150"/>
      <c r="BJ887" s="150"/>
      <c r="BK887" s="467">
        <v>30000</v>
      </c>
      <c r="BL887" s="160"/>
      <c r="BM887" s="150"/>
      <c r="BN887" s="150"/>
      <c r="BO887" s="150"/>
      <c r="BP887" s="152"/>
      <c r="BQ887" s="160"/>
      <c r="BR887" s="152"/>
      <c r="BS887" s="160"/>
    </row>
    <row r="888" spans="1:71" x14ac:dyDescent="0.3">
      <c r="A888" s="420">
        <f>DL!A885</f>
        <v>798</v>
      </c>
      <c r="B888" s="19" t="s">
        <v>1610</v>
      </c>
      <c r="C888" s="149">
        <f>DL!L885</f>
        <v>50</v>
      </c>
      <c r="D888" s="149">
        <f>DL!C885</f>
        <v>0</v>
      </c>
      <c r="E888" s="150"/>
      <c r="F888" s="463"/>
      <c r="G888" s="150"/>
      <c r="H888" s="150"/>
      <c r="I888" s="150"/>
      <c r="J888" s="150"/>
      <c r="K888" s="168"/>
      <c r="L888" s="466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68"/>
      <c r="X888" s="150"/>
      <c r="Y888" s="150"/>
      <c r="Z888" s="455"/>
      <c r="AA888" s="150"/>
      <c r="AB888" s="150"/>
      <c r="AC888" s="150"/>
      <c r="AD888" s="150"/>
      <c r="AE888" s="150"/>
      <c r="AF888" s="494">
        <v>0</v>
      </c>
      <c r="AG888" s="150"/>
      <c r="AH888" s="150"/>
      <c r="AI888" s="150"/>
      <c r="AJ888" s="150"/>
      <c r="AK888" s="150"/>
      <c r="AL888" s="150"/>
      <c r="AM888" s="150"/>
      <c r="AN888" s="150"/>
      <c r="AO888" s="150"/>
      <c r="AP888" s="150"/>
      <c r="AQ888" s="150"/>
      <c r="AR888" s="151"/>
      <c r="AS888" s="456"/>
      <c r="AT888" s="151"/>
      <c r="AU888" s="150"/>
      <c r="AV888" s="487"/>
      <c r="AW888" s="150"/>
      <c r="AX888" s="150"/>
      <c r="AY888" s="150"/>
      <c r="AZ888" s="150"/>
      <c r="BA888" s="150"/>
      <c r="BB888" s="150"/>
      <c r="BC888" s="150"/>
      <c r="BD888" s="150"/>
      <c r="BE888" s="150"/>
      <c r="BF888" s="150"/>
      <c r="BG888" s="150"/>
      <c r="BH888" s="150"/>
      <c r="BI888" s="150"/>
      <c r="BJ888" s="150"/>
      <c r="BK888" s="152"/>
      <c r="BL888" s="160">
        <v>39450</v>
      </c>
      <c r="BM888" s="150"/>
      <c r="BN888" s="150"/>
      <c r="BO888" s="150"/>
      <c r="BP888" s="152"/>
      <c r="BQ888" s="160"/>
      <c r="BR888" s="152"/>
      <c r="BS888" s="160"/>
    </row>
    <row r="889" spans="1:71" x14ac:dyDescent="0.3">
      <c r="A889" s="420">
        <f>DL!A886</f>
        <v>799</v>
      </c>
      <c r="B889" s="19" t="s">
        <v>1611</v>
      </c>
      <c r="C889" s="149">
        <f>DL!L886</f>
        <v>6</v>
      </c>
      <c r="D889" s="149">
        <f>DL!C886</f>
        <v>0</v>
      </c>
      <c r="E889" s="150"/>
      <c r="F889" s="463"/>
      <c r="G889" s="150"/>
      <c r="H889" s="150"/>
      <c r="I889" s="150"/>
      <c r="J889" s="150"/>
      <c r="K889" s="168"/>
      <c r="L889" s="466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68"/>
      <c r="X889" s="150"/>
      <c r="Y889" s="150"/>
      <c r="Z889" s="455"/>
      <c r="AA889" s="150"/>
      <c r="AB889" s="150"/>
      <c r="AC889" s="150"/>
      <c r="AD889" s="150"/>
      <c r="AE889" s="150"/>
      <c r="AF889" s="495">
        <v>0</v>
      </c>
      <c r="AG889" s="150"/>
      <c r="AH889" s="150"/>
      <c r="AI889" s="150"/>
      <c r="AJ889" s="150"/>
      <c r="AK889" s="150"/>
      <c r="AL889" s="150"/>
      <c r="AM889" s="150"/>
      <c r="AN889" s="150"/>
      <c r="AO889" s="150"/>
      <c r="AP889" s="150"/>
      <c r="AQ889" s="150"/>
      <c r="AR889" s="151"/>
      <c r="AS889" s="456"/>
      <c r="AT889" s="151"/>
      <c r="AU889" s="150"/>
      <c r="AV889" s="487"/>
      <c r="AW889" s="150"/>
      <c r="AX889" s="150"/>
      <c r="AY889" s="150"/>
      <c r="AZ889" s="150"/>
      <c r="BA889" s="150"/>
      <c r="BB889" s="150"/>
      <c r="BC889" s="150"/>
      <c r="BD889" s="150"/>
      <c r="BE889" s="150"/>
      <c r="BF889" s="150"/>
      <c r="BG889" s="150"/>
      <c r="BH889" s="150"/>
      <c r="BI889" s="150"/>
      <c r="BJ889" s="150"/>
      <c r="BK889" s="152"/>
      <c r="BL889" s="160">
        <v>35702.300000000003</v>
      </c>
      <c r="BM889" s="150"/>
      <c r="BN889" s="150"/>
      <c r="BO889" s="150"/>
      <c r="BP889" s="152"/>
      <c r="BQ889" s="160"/>
      <c r="BR889" s="152"/>
      <c r="BS889" s="160"/>
    </row>
    <row r="890" spans="1:71" x14ac:dyDescent="0.3">
      <c r="A890" s="420">
        <f>DL!A887</f>
        <v>800</v>
      </c>
      <c r="B890" s="19" t="s">
        <v>1612</v>
      </c>
      <c r="C890" s="149">
        <f>DL!L887</f>
        <v>12</v>
      </c>
      <c r="D890" s="149">
        <f>DL!C887</f>
        <v>0</v>
      </c>
      <c r="E890" s="150"/>
      <c r="F890" s="463"/>
      <c r="G890" s="150"/>
      <c r="H890" s="150"/>
      <c r="I890" s="150"/>
      <c r="J890" s="150"/>
      <c r="K890" s="168"/>
      <c r="L890" s="466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68"/>
      <c r="X890" s="150"/>
      <c r="Y890" s="150"/>
      <c r="Z890" s="455"/>
      <c r="AA890" s="150"/>
      <c r="AB890" s="150"/>
      <c r="AC890" s="150"/>
      <c r="AD890" s="150"/>
      <c r="AE890" s="150"/>
      <c r="AF890" s="496">
        <v>0</v>
      </c>
      <c r="AG890" s="150"/>
      <c r="AH890" s="150"/>
      <c r="AI890" s="150"/>
      <c r="AJ890" s="150"/>
      <c r="AK890" s="150"/>
      <c r="AL890" s="150"/>
      <c r="AM890" s="150"/>
      <c r="AN890" s="150"/>
      <c r="AO890" s="150"/>
      <c r="AP890" s="150"/>
      <c r="AQ890" s="150"/>
      <c r="AR890" s="151"/>
      <c r="AS890" s="456"/>
      <c r="AT890" s="151"/>
      <c r="AU890" s="150"/>
      <c r="AV890" s="487"/>
      <c r="AW890" s="150"/>
      <c r="AX890" s="150"/>
      <c r="AY890" s="150"/>
      <c r="AZ890" s="150"/>
      <c r="BA890" s="150"/>
      <c r="BB890" s="150"/>
      <c r="BC890" s="150"/>
      <c r="BD890" s="150"/>
      <c r="BE890" s="150"/>
      <c r="BF890" s="150"/>
      <c r="BG890" s="150"/>
      <c r="BH890" s="150"/>
      <c r="BI890" s="150"/>
      <c r="BJ890" s="150"/>
      <c r="BK890" s="152"/>
      <c r="BL890" s="160">
        <v>335764.21</v>
      </c>
      <c r="BM890" s="150"/>
      <c r="BN890" s="150"/>
      <c r="BO890" s="150"/>
      <c r="BP890" s="152"/>
      <c r="BQ890" s="160"/>
      <c r="BR890" s="152"/>
      <c r="BS890" s="160"/>
    </row>
    <row r="891" spans="1:71" x14ac:dyDescent="0.3">
      <c r="A891" s="420">
        <f>DL!A888</f>
        <v>801</v>
      </c>
      <c r="B891" s="19" t="s">
        <v>1613</v>
      </c>
      <c r="C891" s="149">
        <f>DL!L888</f>
        <v>12</v>
      </c>
      <c r="D891" s="149">
        <f>DL!C888</f>
        <v>0</v>
      </c>
      <c r="E891" s="150"/>
      <c r="F891" s="463"/>
      <c r="G891" s="150"/>
      <c r="H891" s="150"/>
      <c r="I891" s="150"/>
      <c r="J891" s="150"/>
      <c r="K891" s="168"/>
      <c r="L891" s="466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68"/>
      <c r="X891" s="150"/>
      <c r="Y891" s="150"/>
      <c r="Z891" s="455"/>
      <c r="AA891" s="150"/>
      <c r="AB891" s="150"/>
      <c r="AC891" s="150"/>
      <c r="AD891" s="150"/>
      <c r="AE891" s="150"/>
      <c r="AF891" s="495">
        <v>0</v>
      </c>
      <c r="AG891" s="150"/>
      <c r="AH891" s="150"/>
      <c r="AI891" s="150"/>
      <c r="AJ891" s="150"/>
      <c r="AK891" s="150"/>
      <c r="AL891" s="150"/>
      <c r="AM891" s="150"/>
      <c r="AN891" s="150"/>
      <c r="AO891" s="150"/>
      <c r="AP891" s="150"/>
      <c r="AQ891" s="150"/>
      <c r="AR891" s="151"/>
      <c r="AS891" s="456"/>
      <c r="AT891" s="151"/>
      <c r="AU891" s="150"/>
      <c r="AV891" s="487"/>
      <c r="AW891" s="150"/>
      <c r="AX891" s="150"/>
      <c r="AY891" s="150"/>
      <c r="AZ891" s="150"/>
      <c r="BA891" s="150"/>
      <c r="BB891" s="150"/>
      <c r="BC891" s="150"/>
      <c r="BD891" s="150"/>
      <c r="BE891" s="150"/>
      <c r="BF891" s="150"/>
      <c r="BG891" s="150"/>
      <c r="BH891" s="150"/>
      <c r="BI891" s="150"/>
      <c r="BJ891" s="150"/>
      <c r="BK891" s="152"/>
      <c r="BL891" s="160">
        <v>110000</v>
      </c>
      <c r="BM891" s="150"/>
      <c r="BN891" s="150"/>
      <c r="BO891" s="150"/>
      <c r="BP891" s="152"/>
      <c r="BQ891" s="160"/>
      <c r="BR891" s="152"/>
      <c r="BS891" s="160"/>
    </row>
    <row r="892" spans="1:71" x14ac:dyDescent="0.3">
      <c r="A892" s="420">
        <f>DL!A889</f>
        <v>802</v>
      </c>
      <c r="B892" s="19" t="s">
        <v>1614</v>
      </c>
      <c r="C892" s="149">
        <f>DL!L889</f>
        <v>20</v>
      </c>
      <c r="D892" s="149">
        <f>DL!C889</f>
        <v>0</v>
      </c>
      <c r="E892" s="150"/>
      <c r="F892" s="463"/>
      <c r="G892" s="150"/>
      <c r="H892" s="150"/>
      <c r="I892" s="150"/>
      <c r="J892" s="150"/>
      <c r="K892" s="168"/>
      <c r="L892" s="466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68"/>
      <c r="X892" s="150"/>
      <c r="Y892" s="150"/>
      <c r="Z892" s="455"/>
      <c r="AA892" s="150"/>
      <c r="AB892" s="150"/>
      <c r="AC892" s="150"/>
      <c r="AD892" s="150"/>
      <c r="AE892" s="150"/>
      <c r="AF892" s="495">
        <v>0</v>
      </c>
      <c r="AG892" s="150"/>
      <c r="AH892" s="150"/>
      <c r="AI892" s="150"/>
      <c r="AJ892" s="150"/>
      <c r="AK892" s="150"/>
      <c r="AL892" s="150"/>
      <c r="AM892" s="150"/>
      <c r="AN892" s="150"/>
      <c r="AO892" s="150"/>
      <c r="AP892" s="150"/>
      <c r="AQ892" s="150"/>
      <c r="AR892" s="151"/>
      <c r="AS892" s="456"/>
      <c r="AT892" s="151"/>
      <c r="AU892" s="150"/>
      <c r="AV892" s="487"/>
      <c r="AW892" s="150"/>
      <c r="AX892" s="150"/>
      <c r="AY892" s="150"/>
      <c r="AZ892" s="150"/>
      <c r="BA892" s="150"/>
      <c r="BB892" s="150"/>
      <c r="BC892" s="150"/>
      <c r="BD892" s="150"/>
      <c r="BE892" s="150"/>
      <c r="BF892" s="150"/>
      <c r="BG892" s="150"/>
      <c r="BH892" s="150"/>
      <c r="BI892" s="150"/>
      <c r="BJ892" s="150"/>
      <c r="BK892" s="152"/>
      <c r="BL892" s="160">
        <v>20000</v>
      </c>
      <c r="BM892" s="150"/>
      <c r="BN892" s="150"/>
      <c r="BO892" s="150"/>
      <c r="BP892" s="152"/>
      <c r="BQ892" s="160"/>
      <c r="BR892" s="152"/>
      <c r="BS892" s="160"/>
    </row>
    <row r="893" spans="1:71" x14ac:dyDescent="0.3">
      <c r="A893" s="420">
        <f>DL!A890</f>
        <v>803</v>
      </c>
      <c r="B893" s="19" t="s">
        <v>1615</v>
      </c>
      <c r="C893" s="149">
        <f>DL!L890</f>
        <v>12</v>
      </c>
      <c r="D893" s="149" t="str">
        <f>DL!C890</f>
        <v>1 pack of 10</v>
      </c>
      <c r="E893" s="150"/>
      <c r="F893" s="463"/>
      <c r="G893" s="150"/>
      <c r="H893" s="150"/>
      <c r="I893" s="150"/>
      <c r="J893" s="150"/>
      <c r="K893" s="168"/>
      <c r="L893" s="466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68"/>
      <c r="X893" s="150"/>
      <c r="Y893" s="150"/>
      <c r="Z893" s="455"/>
      <c r="AA893" s="150"/>
      <c r="AB893" s="150"/>
      <c r="AC893" s="150"/>
      <c r="AD893" s="150"/>
      <c r="AE893" s="150"/>
      <c r="AF893" s="496">
        <v>0</v>
      </c>
      <c r="AG893" s="150"/>
      <c r="AH893" s="150"/>
      <c r="AI893" s="150"/>
      <c r="AJ893" s="150"/>
      <c r="AK893" s="150"/>
      <c r="AL893" s="150"/>
      <c r="AM893" s="150"/>
      <c r="AN893" s="150"/>
      <c r="AO893" s="150"/>
      <c r="AP893" s="150"/>
      <c r="AQ893" s="150"/>
      <c r="AR893" s="151"/>
      <c r="AS893" s="456"/>
      <c r="AT893" s="151"/>
      <c r="AU893" s="150"/>
      <c r="AV893" s="487"/>
      <c r="AW893" s="150"/>
      <c r="AX893" s="150"/>
      <c r="AY893" s="150"/>
      <c r="AZ893" s="150"/>
      <c r="BA893" s="150"/>
      <c r="BB893" s="150"/>
      <c r="BC893" s="150"/>
      <c r="BD893" s="150"/>
      <c r="BE893" s="150"/>
      <c r="BF893" s="150"/>
      <c r="BG893" s="150"/>
      <c r="BH893" s="150"/>
      <c r="BI893" s="150"/>
      <c r="BJ893" s="150"/>
      <c r="BK893" s="152"/>
      <c r="BL893" s="160">
        <v>32645.119999999999</v>
      </c>
      <c r="BM893" s="150"/>
      <c r="BN893" s="150"/>
      <c r="BO893" s="150"/>
      <c r="BP893" s="152"/>
      <c r="BQ893" s="160"/>
      <c r="BR893" s="152"/>
      <c r="BS893" s="160"/>
    </row>
    <row r="894" spans="1:71" x14ac:dyDescent="0.3">
      <c r="A894" s="420">
        <f>DL!A891</f>
        <v>804</v>
      </c>
      <c r="B894" s="19" t="s">
        <v>1616</v>
      </c>
      <c r="C894" s="149">
        <f>DL!L891</f>
        <v>6</v>
      </c>
      <c r="D894" s="149" t="str">
        <f>DL!C891</f>
        <v>1 pack of 10</v>
      </c>
      <c r="E894" s="150"/>
      <c r="F894" s="463"/>
      <c r="G894" s="150"/>
      <c r="H894" s="150"/>
      <c r="I894" s="150"/>
      <c r="J894" s="150"/>
      <c r="K894" s="168"/>
      <c r="L894" s="466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68"/>
      <c r="X894" s="150"/>
      <c r="Y894" s="150"/>
      <c r="Z894" s="455"/>
      <c r="AA894" s="150"/>
      <c r="AB894" s="150"/>
      <c r="AC894" s="150"/>
      <c r="AD894" s="150"/>
      <c r="AE894" s="150"/>
      <c r="AF894" s="495">
        <v>0</v>
      </c>
      <c r="AG894" s="150"/>
      <c r="AH894" s="150"/>
      <c r="AI894" s="150"/>
      <c r="AJ894" s="150"/>
      <c r="AK894" s="150"/>
      <c r="AL894" s="150"/>
      <c r="AM894" s="150"/>
      <c r="AN894" s="150"/>
      <c r="AO894" s="150"/>
      <c r="AP894" s="150"/>
      <c r="AQ894" s="150"/>
      <c r="AR894" s="151"/>
      <c r="AS894" s="456"/>
      <c r="AT894" s="151"/>
      <c r="AU894" s="150"/>
      <c r="AV894" s="487"/>
      <c r="AW894" s="150"/>
      <c r="AX894" s="150"/>
      <c r="AY894" s="150"/>
      <c r="AZ894" s="150"/>
      <c r="BA894" s="150"/>
      <c r="BB894" s="150"/>
      <c r="BC894" s="150"/>
      <c r="BD894" s="150"/>
      <c r="BE894" s="150"/>
      <c r="BF894" s="150"/>
      <c r="BG894" s="150"/>
      <c r="BH894" s="150"/>
      <c r="BI894" s="150"/>
      <c r="BJ894" s="150"/>
      <c r="BK894" s="152"/>
      <c r="BL894" s="160">
        <v>74922.38</v>
      </c>
      <c r="BM894" s="150"/>
      <c r="BN894" s="150"/>
      <c r="BO894" s="150"/>
      <c r="BP894" s="152"/>
      <c r="BQ894" s="160"/>
      <c r="BR894" s="152"/>
      <c r="BS894" s="160"/>
    </row>
    <row r="895" spans="1:71" ht="20.25" x14ac:dyDescent="0.3">
      <c r="A895" s="420">
        <f>DL!A892</f>
        <v>805</v>
      </c>
      <c r="B895" s="19" t="s">
        <v>2056</v>
      </c>
      <c r="C895" s="149">
        <f>DL!L892</f>
        <v>6</v>
      </c>
      <c r="D895" s="149" t="str">
        <f>DL!C892</f>
        <v>1 pack of 10</v>
      </c>
      <c r="E895" s="150"/>
      <c r="F895" s="463"/>
      <c r="G895" s="150"/>
      <c r="H895" s="150"/>
      <c r="I895" s="150"/>
      <c r="J895" s="150"/>
      <c r="K895" s="168"/>
      <c r="L895" s="466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68"/>
      <c r="X895" s="150"/>
      <c r="Y895" s="150"/>
      <c r="Z895" s="455"/>
      <c r="AA895" s="150"/>
      <c r="AB895" s="150"/>
      <c r="AC895" s="150"/>
      <c r="AD895" s="150"/>
      <c r="AE895" s="150"/>
      <c r="AF895" s="496">
        <v>0</v>
      </c>
      <c r="AG895" s="150"/>
      <c r="AH895" s="150"/>
      <c r="AI895" s="150"/>
      <c r="AJ895" s="150"/>
      <c r="AK895" s="150"/>
      <c r="AL895" s="150"/>
      <c r="AM895" s="150"/>
      <c r="AN895" s="150"/>
      <c r="AO895" s="150"/>
      <c r="AP895" s="150"/>
      <c r="AQ895" s="150"/>
      <c r="AR895" s="151"/>
      <c r="AS895" s="456"/>
      <c r="AT895" s="151"/>
      <c r="AU895" s="150"/>
      <c r="AV895" s="487"/>
      <c r="AW895" s="150"/>
      <c r="AX895" s="150"/>
      <c r="AY895" s="150"/>
      <c r="AZ895" s="150"/>
      <c r="BA895" s="150"/>
      <c r="BB895" s="150"/>
      <c r="BC895" s="150"/>
      <c r="BD895" s="150"/>
      <c r="BE895" s="150"/>
      <c r="BF895" s="150"/>
      <c r="BG895" s="150"/>
      <c r="BH895" s="150"/>
      <c r="BI895" s="150"/>
      <c r="BJ895" s="150"/>
      <c r="BK895" s="152"/>
      <c r="BL895" s="160">
        <v>33391.64</v>
      </c>
      <c r="BM895" s="150"/>
      <c r="BN895" s="150"/>
      <c r="BO895" s="150"/>
      <c r="BP895" s="152"/>
      <c r="BQ895" s="160"/>
      <c r="BR895" s="152"/>
      <c r="BS895" s="160"/>
    </row>
    <row r="896" spans="1:71" x14ac:dyDescent="0.3">
      <c r="A896" s="420">
        <f>DL!A893</f>
        <v>806</v>
      </c>
      <c r="B896" s="19" t="s">
        <v>1617</v>
      </c>
      <c r="C896" s="149">
        <f>DL!L893</f>
        <v>6</v>
      </c>
      <c r="D896" s="149" t="str">
        <f>DL!C893</f>
        <v>1 pack of 10</v>
      </c>
      <c r="E896" s="150"/>
      <c r="F896" s="463"/>
      <c r="G896" s="150"/>
      <c r="H896" s="150"/>
      <c r="I896" s="150"/>
      <c r="J896" s="150"/>
      <c r="K896" s="168"/>
      <c r="L896" s="466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68"/>
      <c r="X896" s="150"/>
      <c r="Y896" s="150"/>
      <c r="Z896" s="455"/>
      <c r="AA896" s="150"/>
      <c r="AB896" s="150"/>
      <c r="AC896" s="150"/>
      <c r="AD896" s="150"/>
      <c r="AE896" s="150"/>
      <c r="AF896" s="496">
        <v>0</v>
      </c>
      <c r="AG896" s="150"/>
      <c r="AH896" s="150"/>
      <c r="AI896" s="150"/>
      <c r="AJ896" s="150"/>
      <c r="AK896" s="150"/>
      <c r="AL896" s="150"/>
      <c r="AM896" s="150"/>
      <c r="AN896" s="150"/>
      <c r="AO896" s="150"/>
      <c r="AP896" s="150"/>
      <c r="AQ896" s="150"/>
      <c r="AR896" s="151"/>
      <c r="AS896" s="456"/>
      <c r="AT896" s="151"/>
      <c r="AU896" s="150"/>
      <c r="AV896" s="487"/>
      <c r="AW896" s="150"/>
      <c r="AX896" s="150"/>
      <c r="AY896" s="150"/>
      <c r="AZ896" s="150"/>
      <c r="BA896" s="150"/>
      <c r="BB896" s="150"/>
      <c r="BC896" s="150"/>
      <c r="BD896" s="150"/>
      <c r="BE896" s="150"/>
      <c r="BF896" s="150"/>
      <c r="BG896" s="150"/>
      <c r="BH896" s="150"/>
      <c r="BI896" s="150"/>
      <c r="BJ896" s="150"/>
      <c r="BK896" s="152"/>
      <c r="BL896" s="160">
        <v>31391.64</v>
      </c>
      <c r="BM896" s="150"/>
      <c r="BN896" s="150"/>
      <c r="BO896" s="150"/>
      <c r="BP896" s="152"/>
      <c r="BQ896" s="160"/>
      <c r="BR896" s="152"/>
      <c r="BS896" s="160"/>
    </row>
    <row r="897" spans="1:71" x14ac:dyDescent="0.3">
      <c r="A897" s="420">
        <f>DL!A894</f>
        <v>807</v>
      </c>
      <c r="B897" s="19" t="s">
        <v>1618</v>
      </c>
      <c r="C897" s="149">
        <f>DL!L894</f>
        <v>6</v>
      </c>
      <c r="D897" s="149" t="str">
        <f>DL!C894</f>
        <v>1 pack of 10</v>
      </c>
      <c r="E897" s="150"/>
      <c r="F897" s="463"/>
      <c r="G897" s="150"/>
      <c r="H897" s="150"/>
      <c r="I897" s="150"/>
      <c r="J897" s="150"/>
      <c r="K897" s="168"/>
      <c r="L897" s="466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68"/>
      <c r="X897" s="150"/>
      <c r="Y897" s="150"/>
      <c r="Z897" s="455"/>
      <c r="AA897" s="150"/>
      <c r="AB897" s="150"/>
      <c r="AC897" s="150"/>
      <c r="AD897" s="150"/>
      <c r="AE897" s="150"/>
      <c r="AF897" s="496">
        <v>0</v>
      </c>
      <c r="AG897" s="150"/>
      <c r="AH897" s="150"/>
      <c r="AI897" s="150"/>
      <c r="AJ897" s="150"/>
      <c r="AK897" s="150"/>
      <c r="AL897" s="150"/>
      <c r="AM897" s="150"/>
      <c r="AN897" s="150"/>
      <c r="AO897" s="150"/>
      <c r="AP897" s="150"/>
      <c r="AQ897" s="150"/>
      <c r="AR897" s="151"/>
      <c r="AS897" s="456"/>
      <c r="AT897" s="151"/>
      <c r="AU897" s="150"/>
      <c r="AV897" s="487"/>
      <c r="AW897" s="150"/>
      <c r="AX897" s="150"/>
      <c r="AY897" s="150"/>
      <c r="AZ897" s="150"/>
      <c r="BA897" s="150"/>
      <c r="BB897" s="150"/>
      <c r="BC897" s="150"/>
      <c r="BD897" s="150"/>
      <c r="BE897" s="150"/>
      <c r="BF897" s="150"/>
      <c r="BG897" s="150"/>
      <c r="BH897" s="150"/>
      <c r="BI897" s="150"/>
      <c r="BJ897" s="150"/>
      <c r="BK897" s="152"/>
      <c r="BL897" s="160">
        <v>40908.1</v>
      </c>
      <c r="BM897" s="150"/>
      <c r="BN897" s="150"/>
      <c r="BO897" s="150"/>
      <c r="BP897" s="152"/>
      <c r="BQ897" s="160"/>
      <c r="BR897" s="152"/>
      <c r="BS897" s="160"/>
    </row>
    <row r="898" spans="1:71" x14ac:dyDescent="0.3">
      <c r="A898" s="420">
        <f>DL!A895</f>
        <v>808</v>
      </c>
      <c r="B898" s="19" t="s">
        <v>1619</v>
      </c>
      <c r="C898" s="149">
        <f>DL!L895</f>
        <v>10</v>
      </c>
      <c r="D898" s="149" t="str">
        <f>DL!C895</f>
        <v>1cnt of 50</v>
      </c>
      <c r="E898" s="150"/>
      <c r="F898" s="463"/>
      <c r="G898" s="150"/>
      <c r="H898" s="150"/>
      <c r="I898" s="150"/>
      <c r="J898" s="150"/>
      <c r="K898" s="168"/>
      <c r="L898" s="466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68"/>
      <c r="X898" s="150"/>
      <c r="Y898" s="150"/>
      <c r="Z898" s="455"/>
      <c r="AA898" s="150"/>
      <c r="AB898" s="150"/>
      <c r="AC898" s="150"/>
      <c r="AD898" s="150"/>
      <c r="AE898" s="150"/>
      <c r="AF898" s="496">
        <v>0</v>
      </c>
      <c r="AG898" s="150"/>
      <c r="AH898" s="150"/>
      <c r="AI898" s="150"/>
      <c r="AJ898" s="150"/>
      <c r="AK898" s="150"/>
      <c r="AL898" s="150"/>
      <c r="AM898" s="150"/>
      <c r="AN898" s="150"/>
      <c r="AO898" s="150"/>
      <c r="AP898" s="150"/>
      <c r="AQ898" s="150"/>
      <c r="AR898" s="151"/>
      <c r="AS898" s="456"/>
      <c r="AT898" s="151"/>
      <c r="AU898" s="150"/>
      <c r="AV898" s="487"/>
      <c r="AW898" s="150"/>
      <c r="AX898" s="150"/>
      <c r="AY898" s="150"/>
      <c r="AZ898" s="150"/>
      <c r="BA898" s="150"/>
      <c r="BB898" s="150"/>
      <c r="BC898" s="150"/>
      <c r="BD898" s="150"/>
      <c r="BE898" s="150"/>
      <c r="BF898" s="150"/>
      <c r="BG898" s="150"/>
      <c r="BH898" s="150"/>
      <c r="BI898" s="150"/>
      <c r="BJ898" s="150"/>
      <c r="BK898" s="152"/>
      <c r="BL898" s="160">
        <v>49519.73</v>
      </c>
      <c r="BM898" s="150"/>
      <c r="BN898" s="150"/>
      <c r="BO898" s="150"/>
      <c r="BP898" s="152"/>
      <c r="BQ898" s="160"/>
      <c r="BR898" s="152"/>
      <c r="BS898" s="160"/>
    </row>
    <row r="899" spans="1:71" x14ac:dyDescent="0.3">
      <c r="A899" s="420">
        <f>DL!A896</f>
        <v>809</v>
      </c>
      <c r="B899" s="19" t="s">
        <v>1620</v>
      </c>
      <c r="C899" s="149">
        <f>DL!L896</f>
        <v>20</v>
      </c>
      <c r="D899" s="149" t="str">
        <f>DL!C896</f>
        <v>1 pack of 20L</v>
      </c>
      <c r="E899" s="150"/>
      <c r="F899" s="463"/>
      <c r="G899" s="150"/>
      <c r="H899" s="150"/>
      <c r="I899" s="150"/>
      <c r="J899" s="150"/>
      <c r="K899" s="168"/>
      <c r="L899" s="466">
        <v>32000</v>
      </c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68"/>
      <c r="X899" s="150"/>
      <c r="Y899" s="150"/>
      <c r="Z899" s="455"/>
      <c r="AA899" s="150"/>
      <c r="AB899" s="150"/>
      <c r="AC899" s="150"/>
      <c r="AD899" s="150"/>
      <c r="AE899" s="150"/>
      <c r="AF899" s="494">
        <v>0</v>
      </c>
      <c r="AG899" s="150"/>
      <c r="AH899" s="150"/>
      <c r="AI899" s="150"/>
      <c r="AJ899" s="150"/>
      <c r="AK899" s="150"/>
      <c r="AL899" s="150"/>
      <c r="AM899" s="150"/>
      <c r="AN899" s="150"/>
      <c r="AO899" s="150"/>
      <c r="AP899" s="150"/>
      <c r="AQ899" s="150"/>
      <c r="AR899" s="151"/>
      <c r="AS899" s="456"/>
      <c r="AT899" s="151"/>
      <c r="AU899" s="150"/>
      <c r="AV899" s="487"/>
      <c r="AW899" s="150"/>
      <c r="AX899" s="150"/>
      <c r="AY899" s="150"/>
      <c r="AZ899" s="150"/>
      <c r="BA899" s="150"/>
      <c r="BB899" s="150"/>
      <c r="BC899" s="150"/>
      <c r="BD899" s="150"/>
      <c r="BE899" s="150"/>
      <c r="BF899" s="150"/>
      <c r="BG899" s="150"/>
      <c r="BH899" s="150"/>
      <c r="BI899" s="150"/>
      <c r="BJ899" s="150"/>
      <c r="BK899" s="152"/>
      <c r="BL899" s="160"/>
      <c r="BM899" s="150"/>
      <c r="BN899" s="150"/>
      <c r="BO899" s="150"/>
      <c r="BP899" s="152"/>
      <c r="BQ899" s="160"/>
      <c r="BR899" s="152"/>
      <c r="BS899" s="160"/>
    </row>
    <row r="900" spans="1:71" x14ac:dyDescent="0.3">
      <c r="A900" s="420">
        <f>DL!A897</f>
        <v>810</v>
      </c>
      <c r="B900" s="19" t="s">
        <v>1564</v>
      </c>
      <c r="C900" s="149">
        <f>DL!L897</f>
        <v>8</v>
      </c>
      <c r="D900" s="149" t="str">
        <f>DL!C897</f>
        <v>1 cnt of 1</v>
      </c>
      <c r="E900" s="150"/>
      <c r="F900" s="463"/>
      <c r="G900" s="150"/>
      <c r="H900" s="150"/>
      <c r="I900" s="150"/>
      <c r="J900" s="150"/>
      <c r="K900" s="168"/>
      <c r="L900" s="466">
        <v>130000</v>
      </c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68"/>
      <c r="X900" s="150"/>
      <c r="Y900" s="150"/>
      <c r="Z900" s="455"/>
      <c r="AA900" s="150"/>
      <c r="AB900" s="150"/>
      <c r="AC900" s="150"/>
      <c r="AD900" s="150"/>
      <c r="AE900" s="150"/>
      <c r="AF900" s="494">
        <v>0</v>
      </c>
      <c r="AG900" s="150"/>
      <c r="AH900" s="150"/>
      <c r="AI900" s="150"/>
      <c r="AJ900" s="150"/>
      <c r="AK900" s="150"/>
      <c r="AL900" s="150"/>
      <c r="AM900" s="150"/>
      <c r="AN900" s="150"/>
      <c r="AO900" s="150"/>
      <c r="AP900" s="150"/>
      <c r="AQ900" s="150"/>
      <c r="AR900" s="151"/>
      <c r="AS900" s="456"/>
      <c r="AT900" s="151"/>
      <c r="AU900" s="150"/>
      <c r="AV900" s="487"/>
      <c r="AW900" s="150"/>
      <c r="AX900" s="150"/>
      <c r="AY900" s="150"/>
      <c r="AZ900" s="150"/>
      <c r="BA900" s="150"/>
      <c r="BB900" s="150"/>
      <c r="BC900" s="150"/>
      <c r="BD900" s="150"/>
      <c r="BE900" s="150"/>
      <c r="BF900" s="150"/>
      <c r="BG900" s="150"/>
      <c r="BH900" s="150"/>
      <c r="BI900" s="150"/>
      <c r="BJ900" s="150"/>
      <c r="BK900" s="152"/>
      <c r="BL900" s="160"/>
      <c r="BM900" s="150"/>
      <c r="BN900" s="150"/>
      <c r="BO900" s="150"/>
      <c r="BP900" s="152"/>
      <c r="BQ900" s="160"/>
      <c r="BR900" s="152"/>
      <c r="BS900" s="160"/>
    </row>
    <row r="901" spans="1:71" x14ac:dyDescent="0.3">
      <c r="A901" s="420">
        <f>DL!A898</f>
        <v>811</v>
      </c>
      <c r="B901" s="19" t="s">
        <v>1621</v>
      </c>
      <c r="C901" s="149">
        <f>DL!L898</f>
        <v>20</v>
      </c>
      <c r="D901" s="149" t="str">
        <f>DL!C898</f>
        <v>1 cnt x 40</v>
      </c>
      <c r="E901" s="150"/>
      <c r="F901" s="463"/>
      <c r="G901" s="150"/>
      <c r="H901" s="150"/>
      <c r="I901" s="150"/>
      <c r="J901" s="150"/>
      <c r="K901" s="168"/>
      <c r="L901" s="466">
        <v>184000</v>
      </c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68"/>
      <c r="X901" s="150"/>
      <c r="Y901" s="150"/>
      <c r="Z901" s="455"/>
      <c r="AA901" s="150"/>
      <c r="AB901" s="150"/>
      <c r="AC901" s="150"/>
      <c r="AD901" s="150"/>
      <c r="AE901" s="150"/>
      <c r="AF901" s="494">
        <v>0</v>
      </c>
      <c r="AG901" s="150"/>
      <c r="AH901" s="150"/>
      <c r="AI901" s="150"/>
      <c r="AJ901" s="150"/>
      <c r="AK901" s="150"/>
      <c r="AL901" s="150"/>
      <c r="AM901" s="150"/>
      <c r="AN901" s="150"/>
      <c r="AO901" s="150"/>
      <c r="AP901" s="150"/>
      <c r="AQ901" s="150"/>
      <c r="AR901" s="151"/>
      <c r="AS901" s="456"/>
      <c r="AT901" s="151"/>
      <c r="AU901" s="150"/>
      <c r="AV901" s="487"/>
      <c r="AW901" s="150"/>
      <c r="AX901" s="150"/>
      <c r="AY901" s="150"/>
      <c r="AZ901" s="150"/>
      <c r="BA901" s="150"/>
      <c r="BB901" s="150"/>
      <c r="BC901" s="150"/>
      <c r="BD901" s="150"/>
      <c r="BE901" s="150"/>
      <c r="BF901" s="150"/>
      <c r="BG901" s="150"/>
      <c r="BH901" s="150"/>
      <c r="BI901" s="150"/>
      <c r="BJ901" s="150"/>
      <c r="BK901" s="152"/>
      <c r="BL901" s="160"/>
      <c r="BM901" s="150"/>
      <c r="BN901" s="150"/>
      <c r="BO901" s="150"/>
      <c r="BP901" s="152"/>
      <c r="BQ901" s="160"/>
      <c r="BR901" s="152"/>
      <c r="BS901" s="160"/>
    </row>
    <row r="902" spans="1:71" x14ac:dyDescent="0.3">
      <c r="A902" s="420">
        <f>DL!A899</f>
        <v>812</v>
      </c>
      <c r="B902" s="19" t="s">
        <v>1622</v>
      </c>
      <c r="C902" s="149">
        <f>DL!L899</f>
        <v>20</v>
      </c>
      <c r="D902" s="149" t="str">
        <f>DL!C899</f>
        <v>1 bottle of 50</v>
      </c>
      <c r="E902" s="150"/>
      <c r="F902" s="463"/>
      <c r="G902" s="150"/>
      <c r="H902" s="150"/>
      <c r="I902" s="150"/>
      <c r="J902" s="150"/>
      <c r="K902" s="168"/>
      <c r="L902" s="466">
        <v>122000</v>
      </c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68"/>
      <c r="X902" s="150"/>
      <c r="Y902" s="150"/>
      <c r="Z902" s="455"/>
      <c r="AA902" s="150"/>
      <c r="AB902" s="150"/>
      <c r="AC902" s="150"/>
      <c r="AD902" s="150"/>
      <c r="AE902" s="150"/>
      <c r="AF902" s="494">
        <v>0</v>
      </c>
      <c r="AG902" s="150"/>
      <c r="AH902" s="150"/>
      <c r="AI902" s="150"/>
      <c r="AJ902" s="150"/>
      <c r="AK902" s="150"/>
      <c r="AL902" s="150"/>
      <c r="AM902" s="150"/>
      <c r="AN902" s="150"/>
      <c r="AO902" s="150"/>
      <c r="AP902" s="150"/>
      <c r="AQ902" s="150"/>
      <c r="AR902" s="151"/>
      <c r="AS902" s="456"/>
      <c r="AT902" s="151"/>
      <c r="AU902" s="150"/>
      <c r="AV902" s="487"/>
      <c r="AW902" s="150"/>
      <c r="AX902" s="150"/>
      <c r="AY902" s="150"/>
      <c r="AZ902" s="150"/>
      <c r="BA902" s="150"/>
      <c r="BB902" s="150"/>
      <c r="BC902" s="150"/>
      <c r="BD902" s="150"/>
      <c r="BE902" s="150"/>
      <c r="BF902" s="150"/>
      <c r="BG902" s="150"/>
      <c r="BH902" s="150"/>
      <c r="BI902" s="150"/>
      <c r="BJ902" s="150"/>
      <c r="BK902" s="152"/>
      <c r="BL902" s="160"/>
      <c r="BM902" s="150"/>
      <c r="BN902" s="150"/>
      <c r="BO902" s="150"/>
      <c r="BP902" s="152"/>
      <c r="BQ902" s="160"/>
      <c r="BR902" s="152"/>
      <c r="BS902" s="160"/>
    </row>
    <row r="903" spans="1:71" x14ac:dyDescent="0.3">
      <c r="A903" s="420">
        <f>DL!A900</f>
        <v>813</v>
      </c>
      <c r="B903" s="19" t="s">
        <v>1623</v>
      </c>
      <c r="C903" s="149">
        <f>DL!L900</f>
        <v>5</v>
      </c>
      <c r="D903" s="149" t="str">
        <f>DL!C900</f>
        <v>1 bottle</v>
      </c>
      <c r="E903" s="150"/>
      <c r="F903" s="463"/>
      <c r="G903" s="150"/>
      <c r="H903" s="150"/>
      <c r="I903" s="150"/>
      <c r="J903" s="150"/>
      <c r="K903" s="168"/>
      <c r="L903" s="466">
        <v>35000</v>
      </c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68"/>
      <c r="X903" s="150"/>
      <c r="Y903" s="150"/>
      <c r="Z903" s="455"/>
      <c r="AA903" s="150"/>
      <c r="AB903" s="150"/>
      <c r="AC903" s="150"/>
      <c r="AD903" s="150"/>
      <c r="AE903" s="150"/>
      <c r="AF903" s="494">
        <v>0</v>
      </c>
      <c r="AG903" s="150"/>
      <c r="AH903" s="150"/>
      <c r="AI903" s="150"/>
      <c r="AJ903" s="150"/>
      <c r="AK903" s="150"/>
      <c r="AL903" s="150"/>
      <c r="AM903" s="150"/>
      <c r="AN903" s="150"/>
      <c r="AO903" s="150"/>
      <c r="AP903" s="150"/>
      <c r="AQ903" s="150"/>
      <c r="AR903" s="151"/>
      <c r="AS903" s="456"/>
      <c r="AT903" s="151"/>
      <c r="AU903" s="150"/>
      <c r="AV903" s="487"/>
      <c r="AW903" s="150"/>
      <c r="AX903" s="150"/>
      <c r="AY903" s="150"/>
      <c r="AZ903" s="150"/>
      <c r="BA903" s="150"/>
      <c r="BB903" s="150"/>
      <c r="BC903" s="150"/>
      <c r="BD903" s="150"/>
      <c r="BE903" s="150"/>
      <c r="BF903" s="150"/>
      <c r="BG903" s="150"/>
      <c r="BH903" s="150"/>
      <c r="BI903" s="150"/>
      <c r="BJ903" s="150"/>
      <c r="BK903" s="152"/>
      <c r="BL903" s="160"/>
      <c r="BM903" s="150"/>
      <c r="BN903" s="150"/>
      <c r="BO903" s="150"/>
      <c r="BP903" s="152"/>
      <c r="BQ903" s="160"/>
      <c r="BR903" s="152"/>
      <c r="BS903" s="160"/>
    </row>
    <row r="904" spans="1:71" x14ac:dyDescent="0.3">
      <c r="A904" s="420">
        <f>DL!A901</f>
        <v>814</v>
      </c>
      <c r="B904" s="19" t="s">
        <v>1569</v>
      </c>
      <c r="C904" s="149">
        <f>DL!L901</f>
        <v>20</v>
      </c>
      <c r="D904" s="149" t="str">
        <f>DL!C901</f>
        <v>1 bottle of 50</v>
      </c>
      <c r="E904" s="150"/>
      <c r="F904" s="463"/>
      <c r="G904" s="150"/>
      <c r="H904" s="150"/>
      <c r="I904" s="150"/>
      <c r="J904" s="150"/>
      <c r="K904" s="168"/>
      <c r="L904" s="466">
        <v>5500</v>
      </c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68"/>
      <c r="X904" s="150"/>
      <c r="Y904" s="150"/>
      <c r="Z904" s="455"/>
      <c r="AA904" s="150"/>
      <c r="AB904" s="150"/>
      <c r="AC904" s="150"/>
      <c r="AD904" s="150"/>
      <c r="AE904" s="150"/>
      <c r="AF904" s="494">
        <v>0</v>
      </c>
      <c r="AG904" s="150"/>
      <c r="AH904" s="150"/>
      <c r="AI904" s="150"/>
      <c r="AJ904" s="150"/>
      <c r="AK904" s="150"/>
      <c r="AL904" s="150"/>
      <c r="AM904" s="150"/>
      <c r="AN904" s="150"/>
      <c r="AO904" s="150"/>
      <c r="AP904" s="150"/>
      <c r="AQ904" s="150"/>
      <c r="AR904" s="151"/>
      <c r="AS904" s="456"/>
      <c r="AT904" s="151"/>
      <c r="AU904" s="150"/>
      <c r="AV904" s="487"/>
      <c r="AW904" s="150"/>
      <c r="AX904" s="150"/>
      <c r="AY904" s="150"/>
      <c r="AZ904" s="150"/>
      <c r="BA904" s="150"/>
      <c r="BB904" s="150"/>
      <c r="BC904" s="150"/>
      <c r="BD904" s="150"/>
      <c r="BE904" s="150"/>
      <c r="BF904" s="150"/>
      <c r="BG904" s="150"/>
      <c r="BH904" s="150"/>
      <c r="BI904" s="150"/>
      <c r="BJ904" s="150"/>
      <c r="BK904" s="152"/>
      <c r="BL904" s="160"/>
      <c r="BM904" s="150"/>
      <c r="BN904" s="150"/>
      <c r="BO904" s="150"/>
      <c r="BP904" s="152"/>
      <c r="BQ904" s="160"/>
      <c r="BR904" s="152"/>
      <c r="BS904" s="160"/>
    </row>
    <row r="905" spans="1:71" x14ac:dyDescent="0.3">
      <c r="A905" s="420">
        <f>DL!A902</f>
        <v>815</v>
      </c>
      <c r="B905" s="19" t="s">
        <v>1624</v>
      </c>
      <c r="C905" s="149">
        <f>DL!L902</f>
        <v>24</v>
      </c>
      <c r="D905" s="149">
        <f>DL!C902</f>
        <v>0</v>
      </c>
      <c r="E905" s="150"/>
      <c r="F905" s="463"/>
      <c r="G905" s="150"/>
      <c r="H905" s="150"/>
      <c r="I905" s="150"/>
      <c r="J905" s="150"/>
      <c r="K905" s="168"/>
      <c r="L905" s="466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68"/>
      <c r="X905" s="150"/>
      <c r="Y905" s="150"/>
      <c r="Z905" s="455"/>
      <c r="AA905" s="150"/>
      <c r="AB905" s="150"/>
      <c r="AC905" s="150"/>
      <c r="AD905" s="150"/>
      <c r="AE905" s="150"/>
      <c r="AF905" s="494">
        <v>0</v>
      </c>
      <c r="AG905" s="150"/>
      <c r="AH905" s="150"/>
      <c r="AI905" s="150"/>
      <c r="AJ905" s="150"/>
      <c r="AK905" s="150"/>
      <c r="AL905" s="150"/>
      <c r="AM905" s="150"/>
      <c r="AN905" s="150"/>
      <c r="AO905" s="150"/>
      <c r="AP905" s="150"/>
      <c r="AQ905" s="150"/>
      <c r="AR905" s="151"/>
      <c r="AS905" s="456"/>
      <c r="AT905" s="151"/>
      <c r="AU905" s="150"/>
      <c r="AV905" s="487"/>
      <c r="AW905" s="150"/>
      <c r="AX905" s="150"/>
      <c r="AY905" s="150"/>
      <c r="AZ905" s="150"/>
      <c r="BA905" s="150"/>
      <c r="BB905" s="150"/>
      <c r="BC905" s="150"/>
      <c r="BD905" s="150"/>
      <c r="BE905" s="150"/>
      <c r="BF905" s="150"/>
      <c r="BG905" s="150"/>
      <c r="BH905" s="150"/>
      <c r="BI905" s="150"/>
      <c r="BJ905" s="150"/>
      <c r="BK905" s="152"/>
      <c r="BL905" s="160">
        <v>57716.1</v>
      </c>
      <c r="BM905" s="150"/>
      <c r="BN905" s="150"/>
      <c r="BO905" s="150"/>
      <c r="BP905" s="152"/>
      <c r="BQ905" s="160"/>
      <c r="BR905" s="152"/>
      <c r="BS905" s="160"/>
    </row>
    <row r="906" spans="1:71" x14ac:dyDescent="0.3">
      <c r="A906" s="420">
        <f>DL!A903</f>
        <v>816</v>
      </c>
      <c r="B906" s="19" t="s">
        <v>1625</v>
      </c>
      <c r="C906" s="149">
        <f>DL!L903</f>
        <v>24</v>
      </c>
      <c r="D906" s="149">
        <f>DL!C903</f>
        <v>0</v>
      </c>
      <c r="E906" s="150"/>
      <c r="F906" s="463"/>
      <c r="G906" s="150"/>
      <c r="H906" s="150"/>
      <c r="I906" s="150"/>
      <c r="J906" s="150"/>
      <c r="K906" s="168"/>
      <c r="L906" s="466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68"/>
      <c r="X906" s="150"/>
      <c r="Y906" s="150"/>
      <c r="Z906" s="455"/>
      <c r="AA906" s="150"/>
      <c r="AB906" s="150"/>
      <c r="AC906" s="150"/>
      <c r="AD906" s="150"/>
      <c r="AE906" s="150"/>
      <c r="AF906" s="494">
        <v>0</v>
      </c>
      <c r="AG906" s="150"/>
      <c r="AH906" s="150"/>
      <c r="AI906" s="150"/>
      <c r="AJ906" s="150"/>
      <c r="AK906" s="150"/>
      <c r="AL906" s="150"/>
      <c r="AM906" s="150"/>
      <c r="AN906" s="150"/>
      <c r="AO906" s="150"/>
      <c r="AP906" s="150"/>
      <c r="AQ906" s="150"/>
      <c r="AR906" s="151"/>
      <c r="AS906" s="456"/>
      <c r="AT906" s="151"/>
      <c r="AU906" s="150"/>
      <c r="AV906" s="487"/>
      <c r="AW906" s="150"/>
      <c r="AX906" s="150"/>
      <c r="AY906" s="150"/>
      <c r="AZ906" s="150"/>
      <c r="BA906" s="150"/>
      <c r="BB906" s="150"/>
      <c r="BC906" s="150"/>
      <c r="BD906" s="150"/>
      <c r="BE906" s="150"/>
      <c r="BF906" s="150"/>
      <c r="BG906" s="150"/>
      <c r="BH906" s="150"/>
      <c r="BI906" s="150"/>
      <c r="BJ906" s="150"/>
      <c r="BK906" s="152"/>
      <c r="BL906" s="160">
        <v>57716.1</v>
      </c>
      <c r="BM906" s="150"/>
      <c r="BN906" s="150"/>
      <c r="BO906" s="150"/>
      <c r="BP906" s="152"/>
      <c r="BQ906" s="160"/>
      <c r="BR906" s="152"/>
      <c r="BS906" s="160"/>
    </row>
    <row r="907" spans="1:71" x14ac:dyDescent="0.3">
      <c r="A907" s="420">
        <f>DL!A904</f>
        <v>817</v>
      </c>
      <c r="B907" s="19" t="s">
        <v>1626</v>
      </c>
      <c r="C907" s="149">
        <f>DL!L904</f>
        <v>24</v>
      </c>
      <c r="D907" s="149">
        <f>DL!C904</f>
        <v>0</v>
      </c>
      <c r="E907" s="150"/>
      <c r="F907" s="463"/>
      <c r="G907" s="150"/>
      <c r="H907" s="150"/>
      <c r="I907" s="150"/>
      <c r="J907" s="150"/>
      <c r="K907" s="168"/>
      <c r="L907" s="466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68"/>
      <c r="X907" s="150"/>
      <c r="Y907" s="150"/>
      <c r="Z907" s="455"/>
      <c r="AA907" s="150"/>
      <c r="AB907" s="150"/>
      <c r="AC907" s="150"/>
      <c r="AD907" s="150"/>
      <c r="AE907" s="150"/>
      <c r="AF907" s="494">
        <v>0</v>
      </c>
      <c r="AG907" s="150"/>
      <c r="AH907" s="150"/>
      <c r="AI907" s="150"/>
      <c r="AJ907" s="150"/>
      <c r="AK907" s="150"/>
      <c r="AL907" s="150"/>
      <c r="AM907" s="150"/>
      <c r="AN907" s="150"/>
      <c r="AO907" s="150"/>
      <c r="AP907" s="150"/>
      <c r="AQ907" s="150"/>
      <c r="AR907" s="151"/>
      <c r="AS907" s="456"/>
      <c r="AT907" s="151"/>
      <c r="AU907" s="150"/>
      <c r="AV907" s="487"/>
      <c r="AW907" s="150"/>
      <c r="AX907" s="150"/>
      <c r="AY907" s="150"/>
      <c r="AZ907" s="150"/>
      <c r="BA907" s="150"/>
      <c r="BB907" s="150"/>
      <c r="BC907" s="150"/>
      <c r="BD907" s="150"/>
      <c r="BE907" s="150"/>
      <c r="BF907" s="150"/>
      <c r="BG907" s="150"/>
      <c r="BH907" s="150"/>
      <c r="BI907" s="150"/>
      <c r="BJ907" s="150"/>
      <c r="BK907" s="152"/>
      <c r="BL907" s="160">
        <v>57716.1</v>
      </c>
      <c r="BM907" s="150"/>
      <c r="BN907" s="150"/>
      <c r="BO907" s="150"/>
      <c r="BP907" s="152"/>
      <c r="BQ907" s="160"/>
      <c r="BR907" s="152"/>
      <c r="BS907" s="160"/>
    </row>
    <row r="908" spans="1:71" x14ac:dyDescent="0.3">
      <c r="A908" s="420">
        <f>DL!A905</f>
        <v>818</v>
      </c>
      <c r="B908" s="19" t="s">
        <v>1627</v>
      </c>
      <c r="C908" s="149">
        <f>DL!L905</f>
        <v>12</v>
      </c>
      <c r="D908" s="149" t="str">
        <f>DL!C905</f>
        <v>1 bottle</v>
      </c>
      <c r="E908" s="150"/>
      <c r="F908" s="463"/>
      <c r="G908" s="150"/>
      <c r="H908" s="150"/>
      <c r="I908" s="150"/>
      <c r="J908" s="150"/>
      <c r="K908" s="168"/>
      <c r="L908" s="466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68"/>
      <c r="X908" s="150"/>
      <c r="Y908" s="150"/>
      <c r="Z908" s="455"/>
      <c r="AA908" s="150"/>
      <c r="AB908" s="150"/>
      <c r="AC908" s="150"/>
      <c r="AD908" s="150"/>
      <c r="AE908" s="150"/>
      <c r="AF908" s="494">
        <v>0</v>
      </c>
      <c r="AG908" s="150"/>
      <c r="AH908" s="150"/>
      <c r="AI908" s="150"/>
      <c r="AJ908" s="150"/>
      <c r="AK908" s="150"/>
      <c r="AL908" s="150"/>
      <c r="AM908" s="150"/>
      <c r="AN908" s="150"/>
      <c r="AO908" s="150"/>
      <c r="AP908" s="150"/>
      <c r="AQ908" s="150"/>
      <c r="AR908" s="151"/>
      <c r="AS908" s="456"/>
      <c r="AT908" s="151"/>
      <c r="AU908" s="150"/>
      <c r="AV908" s="487"/>
      <c r="AW908" s="150"/>
      <c r="AX908" s="150"/>
      <c r="AY908" s="150"/>
      <c r="AZ908" s="150"/>
      <c r="BA908" s="150"/>
      <c r="BB908" s="150"/>
      <c r="BC908" s="150"/>
      <c r="BD908" s="150"/>
      <c r="BE908" s="150"/>
      <c r="BF908" s="150"/>
      <c r="BG908" s="150"/>
      <c r="BH908" s="150"/>
      <c r="BI908" s="150"/>
      <c r="BJ908" s="150"/>
      <c r="BK908" s="152"/>
      <c r="BL908" s="160"/>
      <c r="BM908" s="150"/>
      <c r="BN908" s="150"/>
      <c r="BO908" s="150"/>
      <c r="BP908" s="152"/>
      <c r="BQ908" s="160"/>
      <c r="BR908" s="152"/>
      <c r="BS908" s="160"/>
    </row>
    <row r="909" spans="1:71" x14ac:dyDescent="0.3">
      <c r="A909" s="420">
        <f>DL!A906</f>
        <v>819</v>
      </c>
      <c r="B909" s="19" t="s">
        <v>1628</v>
      </c>
      <c r="C909" s="149">
        <f>DL!L906</f>
        <v>30</v>
      </c>
      <c r="D909" s="149">
        <f>DL!C906</f>
        <v>0</v>
      </c>
      <c r="E909" s="150"/>
      <c r="F909" s="463"/>
      <c r="G909" s="150"/>
      <c r="H909" s="150"/>
      <c r="I909" s="150"/>
      <c r="J909" s="150"/>
      <c r="K909" s="168"/>
      <c r="L909" s="466">
        <v>45000</v>
      </c>
      <c r="M909" s="150">
        <v>39000</v>
      </c>
      <c r="N909" s="150"/>
      <c r="O909" s="150"/>
      <c r="P909" s="150"/>
      <c r="Q909" s="150">
        <v>43750</v>
      </c>
      <c r="R909" s="150"/>
      <c r="S909" s="150"/>
      <c r="T909" s="150"/>
      <c r="U909" s="150"/>
      <c r="V909" s="150"/>
      <c r="W909" s="168"/>
      <c r="X909" s="150"/>
      <c r="Y909" s="150"/>
      <c r="Z909" s="455"/>
      <c r="AA909" s="150"/>
      <c r="AB909" s="150"/>
      <c r="AC909" s="150"/>
      <c r="AD909" s="150"/>
      <c r="AE909" s="150"/>
      <c r="AF909" s="494">
        <v>58500</v>
      </c>
      <c r="AG909" s="150"/>
      <c r="AH909" s="150"/>
      <c r="AI909" s="150"/>
      <c r="AJ909" s="150"/>
      <c r="AK909" s="150"/>
      <c r="AL909" s="150"/>
      <c r="AM909" s="150"/>
      <c r="AN909" s="150"/>
      <c r="AO909" s="150"/>
      <c r="AP909" s="150"/>
      <c r="AQ909" s="150"/>
      <c r="AR909" s="151"/>
      <c r="AS909" s="456"/>
      <c r="AT909" s="151"/>
      <c r="AU909" s="150"/>
      <c r="AV909" s="487"/>
      <c r="AW909" s="150"/>
      <c r="AX909" s="150"/>
      <c r="AY909" s="150"/>
      <c r="AZ909" s="150"/>
      <c r="BA909" s="150"/>
      <c r="BB909" s="150"/>
      <c r="BC909" s="150"/>
      <c r="BD909" s="150"/>
      <c r="BE909" s="150"/>
      <c r="BF909" s="150"/>
      <c r="BG909" s="150"/>
      <c r="BH909" s="150"/>
      <c r="BI909" s="150"/>
      <c r="BJ909" s="150"/>
      <c r="BK909" s="152"/>
      <c r="BL909" s="160"/>
      <c r="BM909" s="150"/>
      <c r="BN909" s="150"/>
      <c r="BO909" s="150"/>
      <c r="BP909" s="152"/>
      <c r="BQ909" s="160"/>
      <c r="BR909" s="152"/>
      <c r="BS909" s="160"/>
    </row>
    <row r="910" spans="1:71" x14ac:dyDescent="0.3">
      <c r="A910" s="420">
        <f>DL!A907</f>
        <v>820</v>
      </c>
      <c r="B910" s="19" t="s">
        <v>1629</v>
      </c>
      <c r="C910" s="149">
        <f>DL!L907</f>
        <v>2</v>
      </c>
      <c r="D910" s="149">
        <f>DL!C907</f>
        <v>0</v>
      </c>
      <c r="E910" s="150"/>
      <c r="F910" s="463"/>
      <c r="G910" s="150"/>
      <c r="H910" s="150"/>
      <c r="I910" s="150"/>
      <c r="J910" s="150"/>
      <c r="K910" s="168"/>
      <c r="L910" s="466">
        <v>15000</v>
      </c>
      <c r="M910" s="150">
        <v>24000</v>
      </c>
      <c r="N910" s="150"/>
      <c r="O910" s="150"/>
      <c r="P910" s="150"/>
      <c r="Q910" s="150">
        <f>10*2500</f>
        <v>25000</v>
      </c>
      <c r="R910" s="150"/>
      <c r="S910" s="150"/>
      <c r="T910" s="150"/>
      <c r="U910" s="150"/>
      <c r="V910" s="150"/>
      <c r="W910" s="168"/>
      <c r="X910" s="150"/>
      <c r="Y910" s="150"/>
      <c r="Z910" s="455"/>
      <c r="AA910" s="150"/>
      <c r="AB910" s="150"/>
      <c r="AC910" s="150"/>
      <c r="AD910" s="150"/>
      <c r="AE910" s="150"/>
      <c r="AF910" s="494">
        <v>27000</v>
      </c>
      <c r="AG910" s="150"/>
      <c r="AH910" s="150"/>
      <c r="AI910" s="150"/>
      <c r="AJ910" s="150"/>
      <c r="AK910" s="150"/>
      <c r="AL910" s="150"/>
      <c r="AM910" s="150"/>
      <c r="AN910" s="150"/>
      <c r="AO910" s="150"/>
      <c r="AP910" s="150"/>
      <c r="AQ910" s="150"/>
      <c r="AR910" s="151"/>
      <c r="AS910" s="456"/>
      <c r="AT910" s="151"/>
      <c r="AU910" s="150"/>
      <c r="AV910" s="487"/>
      <c r="AW910" s="150"/>
      <c r="AX910" s="150"/>
      <c r="AY910" s="150"/>
      <c r="AZ910" s="150"/>
      <c r="BA910" s="150"/>
      <c r="BB910" s="150"/>
      <c r="BC910" s="150"/>
      <c r="BD910" s="150"/>
      <c r="BE910" s="150"/>
      <c r="BF910" s="150"/>
      <c r="BG910" s="150"/>
      <c r="BH910" s="150"/>
      <c r="BI910" s="150"/>
      <c r="BJ910" s="150"/>
      <c r="BK910" s="152"/>
      <c r="BL910" s="160"/>
      <c r="BM910" s="150"/>
      <c r="BN910" s="150"/>
      <c r="BO910" s="150"/>
      <c r="BP910" s="152"/>
      <c r="BQ910" s="160"/>
      <c r="BR910" s="152"/>
      <c r="BS910" s="160"/>
    </row>
    <row r="911" spans="1:71" x14ac:dyDescent="0.3">
      <c r="A911" s="420">
        <f>DL!A908</f>
        <v>821</v>
      </c>
      <c r="B911" s="19" t="s">
        <v>1630</v>
      </c>
      <c r="C911" s="149">
        <f>DL!L908</f>
        <v>6</v>
      </c>
      <c r="D911" s="149">
        <f>DL!C908</f>
        <v>0</v>
      </c>
      <c r="E911" s="150"/>
      <c r="F911" s="463"/>
      <c r="G911" s="150"/>
      <c r="H911" s="150"/>
      <c r="I911" s="150"/>
      <c r="J911" s="150"/>
      <c r="K911" s="168"/>
      <c r="L911" s="466">
        <v>5000</v>
      </c>
      <c r="M911" s="150">
        <v>3000</v>
      </c>
      <c r="N911" s="150"/>
      <c r="O911" s="150"/>
      <c r="P911" s="150"/>
      <c r="Q911" s="150">
        <v>3750</v>
      </c>
      <c r="R911" s="150"/>
      <c r="S911" s="150"/>
      <c r="T911" s="150"/>
      <c r="U911" s="150"/>
      <c r="V911" s="150"/>
      <c r="W911" s="168"/>
      <c r="X911" s="150"/>
      <c r="Y911" s="150"/>
      <c r="Z911" s="455"/>
      <c r="AA911" s="150"/>
      <c r="AB911" s="150"/>
      <c r="AC911" s="150"/>
      <c r="AD911" s="150"/>
      <c r="AE911" s="150"/>
      <c r="AF911" s="494">
        <v>5200</v>
      </c>
      <c r="AG911" s="150"/>
      <c r="AH911" s="150"/>
      <c r="AI911" s="150"/>
      <c r="AJ911" s="150"/>
      <c r="AK911" s="150"/>
      <c r="AL911" s="150"/>
      <c r="AM911" s="150"/>
      <c r="AN911" s="150"/>
      <c r="AO911" s="150"/>
      <c r="AP911" s="150"/>
      <c r="AQ911" s="150"/>
      <c r="AR911" s="151"/>
      <c r="AS911" s="456"/>
      <c r="AT911" s="151"/>
      <c r="AU911" s="150"/>
      <c r="AV911" s="487"/>
      <c r="AW911" s="150"/>
      <c r="AX911" s="150"/>
      <c r="AY911" s="150"/>
      <c r="AZ911" s="150"/>
      <c r="BA911" s="150"/>
      <c r="BB911" s="150"/>
      <c r="BC911" s="150"/>
      <c r="BD911" s="150"/>
      <c r="BE911" s="150"/>
      <c r="BF911" s="150"/>
      <c r="BG911" s="150"/>
      <c r="BH911" s="150"/>
      <c r="BI911" s="150"/>
      <c r="BJ911" s="150"/>
      <c r="BK911" s="152"/>
      <c r="BL911" s="160"/>
      <c r="BM911" s="150"/>
      <c r="BN911" s="150"/>
      <c r="BO911" s="150"/>
      <c r="BP911" s="152"/>
      <c r="BQ911" s="160"/>
      <c r="BR911" s="152"/>
      <c r="BS911" s="160"/>
    </row>
    <row r="912" spans="1:71" x14ac:dyDescent="0.3">
      <c r="A912" s="420">
        <f>DL!A909</f>
        <v>822</v>
      </c>
      <c r="B912" s="19" t="s">
        <v>1631</v>
      </c>
      <c r="C912" s="149">
        <f>DL!L909</f>
        <v>1</v>
      </c>
      <c r="D912" s="149">
        <f>DL!C909</f>
        <v>0</v>
      </c>
      <c r="E912" s="150"/>
      <c r="F912" s="463"/>
      <c r="G912" s="150"/>
      <c r="H912" s="150"/>
      <c r="I912" s="150"/>
      <c r="J912" s="150"/>
      <c r="K912" s="168"/>
      <c r="L912" s="466">
        <v>5000</v>
      </c>
      <c r="M912" s="150">
        <v>3500</v>
      </c>
      <c r="N912" s="150"/>
      <c r="O912" s="150"/>
      <c r="P912" s="150"/>
      <c r="Q912" s="150">
        <v>3750</v>
      </c>
      <c r="R912" s="150"/>
      <c r="S912" s="150"/>
      <c r="T912" s="150"/>
      <c r="U912" s="150"/>
      <c r="V912" s="150"/>
      <c r="W912" s="168"/>
      <c r="X912" s="150"/>
      <c r="Y912" s="150"/>
      <c r="Z912" s="455"/>
      <c r="AA912" s="150"/>
      <c r="AB912" s="150"/>
      <c r="AC912" s="150"/>
      <c r="AD912" s="150"/>
      <c r="AE912" s="150"/>
      <c r="AF912" s="495">
        <v>21944</v>
      </c>
      <c r="AG912" s="150"/>
      <c r="AH912" s="150"/>
      <c r="AI912" s="150"/>
      <c r="AJ912" s="150"/>
      <c r="AK912" s="150"/>
      <c r="AL912" s="150"/>
      <c r="AM912" s="150"/>
      <c r="AN912" s="150"/>
      <c r="AO912" s="150"/>
      <c r="AP912" s="150"/>
      <c r="AQ912" s="150"/>
      <c r="AR912" s="151"/>
      <c r="AS912" s="456"/>
      <c r="AT912" s="151"/>
      <c r="AU912" s="150"/>
      <c r="AV912" s="487"/>
      <c r="AW912" s="150"/>
      <c r="AX912" s="150"/>
      <c r="AY912" s="150"/>
      <c r="AZ912" s="150"/>
      <c r="BA912" s="150"/>
      <c r="BB912" s="150"/>
      <c r="BC912" s="150"/>
      <c r="BD912" s="150"/>
      <c r="BE912" s="150"/>
      <c r="BF912" s="150"/>
      <c r="BG912" s="150"/>
      <c r="BH912" s="150"/>
      <c r="BI912" s="150"/>
      <c r="BJ912" s="150"/>
      <c r="BK912" s="152"/>
      <c r="BL912" s="160"/>
      <c r="BM912" s="150"/>
      <c r="BN912" s="150"/>
      <c r="BO912" s="150"/>
      <c r="BP912" s="152"/>
      <c r="BQ912" s="160"/>
      <c r="BR912" s="152"/>
      <c r="BS912" s="160"/>
    </row>
    <row r="913" spans="1:71" x14ac:dyDescent="0.3">
      <c r="A913" s="420">
        <f>DL!A910</f>
        <v>823</v>
      </c>
      <c r="B913" s="19" t="s">
        <v>1632</v>
      </c>
      <c r="C913" s="149">
        <f>DL!L910</f>
        <v>2</v>
      </c>
      <c r="D913" s="149">
        <f>DL!C910</f>
        <v>0</v>
      </c>
      <c r="E913" s="150"/>
      <c r="F913" s="463"/>
      <c r="G913" s="150"/>
      <c r="H913" s="150"/>
      <c r="I913" s="150"/>
      <c r="J913" s="150"/>
      <c r="K913" s="168"/>
      <c r="L913" s="466">
        <v>5000</v>
      </c>
      <c r="M913" s="150">
        <v>5000</v>
      </c>
      <c r="N913" s="150"/>
      <c r="O913" s="150"/>
      <c r="P913" s="150"/>
      <c r="Q913" s="150">
        <v>3750</v>
      </c>
      <c r="R913" s="150"/>
      <c r="S913" s="150"/>
      <c r="T913" s="150"/>
      <c r="U913" s="150"/>
      <c r="V913" s="150"/>
      <c r="W913" s="168"/>
      <c r="X913" s="150"/>
      <c r="Y913" s="150"/>
      <c r="Z913" s="455"/>
      <c r="AA913" s="150"/>
      <c r="AB913" s="150"/>
      <c r="AC913" s="150"/>
      <c r="AD913" s="150"/>
      <c r="AE913" s="150"/>
      <c r="AF913" s="494">
        <v>12740</v>
      </c>
      <c r="AG913" s="150"/>
      <c r="AH913" s="150"/>
      <c r="AI913" s="150"/>
      <c r="AJ913" s="150"/>
      <c r="AK913" s="150"/>
      <c r="AL913" s="150"/>
      <c r="AM913" s="150"/>
      <c r="AN913" s="150"/>
      <c r="AO913" s="150"/>
      <c r="AP913" s="150"/>
      <c r="AQ913" s="150"/>
      <c r="AR913" s="151"/>
      <c r="AS913" s="456"/>
      <c r="AT913" s="151"/>
      <c r="AU913" s="150"/>
      <c r="AV913" s="487"/>
      <c r="AW913" s="150"/>
      <c r="AX913" s="150"/>
      <c r="AY913" s="150"/>
      <c r="AZ913" s="150"/>
      <c r="BA913" s="150"/>
      <c r="BB913" s="150"/>
      <c r="BC913" s="150"/>
      <c r="BD913" s="150"/>
      <c r="BE913" s="150"/>
      <c r="BF913" s="150"/>
      <c r="BG913" s="150"/>
      <c r="BH913" s="150"/>
      <c r="BI913" s="150">
        <v>3000</v>
      </c>
      <c r="BJ913" s="150"/>
      <c r="BK913" s="152"/>
      <c r="BL913" s="160"/>
      <c r="BM913" s="150"/>
      <c r="BN913" s="150"/>
      <c r="BO913" s="150"/>
      <c r="BP913" s="152"/>
      <c r="BQ913" s="160"/>
      <c r="BR913" s="152"/>
      <c r="BS913" s="160"/>
    </row>
    <row r="914" spans="1:71" x14ac:dyDescent="0.3">
      <c r="A914" s="420">
        <f>DL!A911</f>
        <v>824</v>
      </c>
      <c r="B914" s="19" t="s">
        <v>1633</v>
      </c>
      <c r="C914" s="149">
        <f>DL!L911</f>
        <v>2</v>
      </c>
      <c r="D914" s="149">
        <f>DL!C911</f>
        <v>0</v>
      </c>
      <c r="E914" s="150"/>
      <c r="F914" s="463"/>
      <c r="G914" s="150"/>
      <c r="H914" s="150"/>
      <c r="I914" s="150"/>
      <c r="J914" s="150"/>
      <c r="K914" s="168"/>
      <c r="L914" s="466">
        <v>4500</v>
      </c>
      <c r="M914" s="150">
        <v>4000</v>
      </c>
      <c r="N914" s="150"/>
      <c r="O914" s="150"/>
      <c r="P914" s="150"/>
      <c r="Q914" s="150">
        <v>3750</v>
      </c>
      <c r="R914" s="150"/>
      <c r="S914" s="150"/>
      <c r="T914" s="150"/>
      <c r="U914" s="150"/>
      <c r="V914" s="150"/>
      <c r="W914" s="168"/>
      <c r="X914" s="150"/>
      <c r="Y914" s="150"/>
      <c r="Z914" s="455"/>
      <c r="AA914" s="150"/>
      <c r="AB914" s="150"/>
      <c r="AC914" s="150"/>
      <c r="AD914" s="150"/>
      <c r="AE914" s="150"/>
      <c r="AF914" s="494">
        <v>7150</v>
      </c>
      <c r="AG914" s="150"/>
      <c r="AH914" s="150"/>
      <c r="AI914" s="150"/>
      <c r="AJ914" s="150"/>
      <c r="AK914" s="150"/>
      <c r="AL914" s="150"/>
      <c r="AM914" s="150"/>
      <c r="AN914" s="150"/>
      <c r="AO914" s="150"/>
      <c r="AP914" s="150"/>
      <c r="AQ914" s="150"/>
      <c r="AR914" s="151"/>
      <c r="AS914" s="456"/>
      <c r="AT914" s="151"/>
      <c r="AU914" s="150"/>
      <c r="AV914" s="487"/>
      <c r="AW914" s="150"/>
      <c r="AX914" s="150"/>
      <c r="AY914" s="150"/>
      <c r="AZ914" s="150"/>
      <c r="BA914" s="150"/>
      <c r="BB914" s="150"/>
      <c r="BC914" s="150"/>
      <c r="BD914" s="150"/>
      <c r="BE914" s="150"/>
      <c r="BF914" s="150"/>
      <c r="BG914" s="150"/>
      <c r="BH914" s="150"/>
      <c r="BI914" s="150">
        <v>3400</v>
      </c>
      <c r="BJ914" s="150"/>
      <c r="BK914" s="152"/>
      <c r="BL914" s="160"/>
      <c r="BM914" s="150"/>
      <c r="BN914" s="150"/>
      <c r="BO914" s="150"/>
      <c r="BP914" s="152"/>
      <c r="BQ914" s="160"/>
      <c r="BR914" s="152"/>
      <c r="BS914" s="160"/>
    </row>
    <row r="915" spans="1:71" x14ac:dyDescent="0.3">
      <c r="A915" s="420">
        <f>DL!A912</f>
        <v>825</v>
      </c>
      <c r="B915" s="19" t="s">
        <v>1634</v>
      </c>
      <c r="C915" s="149">
        <f>DL!L912</f>
        <v>48</v>
      </c>
      <c r="D915" s="149" t="str">
        <f>DL!C912</f>
        <v>1 pack of 10</v>
      </c>
      <c r="E915" s="150"/>
      <c r="F915" s="463"/>
      <c r="G915" s="150"/>
      <c r="H915" s="150"/>
      <c r="I915" s="150"/>
      <c r="J915" s="150"/>
      <c r="K915" s="168"/>
      <c r="L915" s="466">
        <v>20000</v>
      </c>
      <c r="M915" s="150">
        <f>10*1800</f>
        <v>18000</v>
      </c>
      <c r="N915" s="150"/>
      <c r="O915" s="150"/>
      <c r="P915" s="150"/>
      <c r="Q915" s="150">
        <v>20000</v>
      </c>
      <c r="R915" s="150"/>
      <c r="S915" s="150"/>
      <c r="T915" s="150"/>
      <c r="U915" s="150"/>
      <c r="V915" s="150"/>
      <c r="W915" s="168"/>
      <c r="X915" s="150"/>
      <c r="Y915" s="150"/>
      <c r="Z915" s="455"/>
      <c r="AA915" s="150"/>
      <c r="AB915" s="150"/>
      <c r="AC915" s="150"/>
      <c r="AD915" s="150"/>
      <c r="AE915" s="150"/>
      <c r="AF915" s="494">
        <v>21450</v>
      </c>
      <c r="AG915" s="150"/>
      <c r="AH915" s="150"/>
      <c r="AI915" s="150"/>
      <c r="AJ915" s="150"/>
      <c r="AK915" s="150"/>
      <c r="AL915" s="150"/>
      <c r="AM915" s="150"/>
      <c r="AN915" s="150"/>
      <c r="AO915" s="150"/>
      <c r="AP915" s="150"/>
      <c r="AQ915" s="150"/>
      <c r="AR915" s="151"/>
      <c r="AS915" s="456"/>
      <c r="AT915" s="151"/>
      <c r="AU915" s="150"/>
      <c r="AV915" s="487"/>
      <c r="AW915" s="150"/>
      <c r="AX915" s="150"/>
      <c r="AY915" s="150"/>
      <c r="AZ915" s="150"/>
      <c r="BA915" s="150"/>
      <c r="BB915" s="150"/>
      <c r="BC915" s="150"/>
      <c r="BD915" s="150"/>
      <c r="BE915" s="150"/>
      <c r="BF915" s="150"/>
      <c r="BG915" s="150"/>
      <c r="BH915" s="150"/>
      <c r="BI915" s="150">
        <v>16000</v>
      </c>
      <c r="BJ915" s="150"/>
      <c r="BK915" s="152"/>
      <c r="BL915" s="160"/>
      <c r="BM915" s="150"/>
      <c r="BN915" s="150"/>
      <c r="BO915" s="150"/>
      <c r="BP915" s="152"/>
      <c r="BQ915" s="160"/>
      <c r="BR915" s="152"/>
      <c r="BS915" s="160"/>
    </row>
    <row r="916" spans="1:71" x14ac:dyDescent="0.3">
      <c r="A916" s="420">
        <f>DL!A913</f>
        <v>826</v>
      </c>
      <c r="B916" s="19" t="s">
        <v>1635</v>
      </c>
      <c r="C916" s="149">
        <f>DL!L913</f>
        <v>48</v>
      </c>
      <c r="D916" s="149" t="str">
        <f>DL!C913</f>
        <v>1 pack of 10</v>
      </c>
      <c r="E916" s="150"/>
      <c r="F916" s="463"/>
      <c r="G916" s="150"/>
      <c r="H916" s="150"/>
      <c r="I916" s="150"/>
      <c r="J916" s="150"/>
      <c r="K916" s="168"/>
      <c r="L916" s="466">
        <v>18000</v>
      </c>
      <c r="M916" s="150">
        <v>1800</v>
      </c>
      <c r="N916" s="150"/>
      <c r="O916" s="150"/>
      <c r="P916" s="150"/>
      <c r="Q916" s="150">
        <v>19375</v>
      </c>
      <c r="R916" s="150"/>
      <c r="S916" s="150"/>
      <c r="T916" s="150"/>
      <c r="U916" s="150"/>
      <c r="V916" s="150"/>
      <c r="W916" s="168"/>
      <c r="X916" s="150"/>
      <c r="Y916" s="150"/>
      <c r="Z916" s="455"/>
      <c r="AA916" s="150"/>
      <c r="AB916" s="150"/>
      <c r="AC916" s="150"/>
      <c r="AD916" s="150"/>
      <c r="AE916" s="150"/>
      <c r="AF916" s="495">
        <v>21450</v>
      </c>
      <c r="AG916" s="150"/>
      <c r="AH916" s="150"/>
      <c r="AI916" s="150"/>
      <c r="AJ916" s="150"/>
      <c r="AK916" s="150"/>
      <c r="AL916" s="150"/>
      <c r="AM916" s="150"/>
      <c r="AN916" s="150"/>
      <c r="AO916" s="150"/>
      <c r="AP916" s="150"/>
      <c r="AQ916" s="150"/>
      <c r="AR916" s="151"/>
      <c r="AS916" s="456"/>
      <c r="AT916" s="151"/>
      <c r="AU916" s="150"/>
      <c r="AV916" s="487"/>
      <c r="AW916" s="150"/>
      <c r="AX916" s="150"/>
      <c r="AY916" s="150"/>
      <c r="AZ916" s="150"/>
      <c r="BA916" s="150"/>
      <c r="BB916" s="150"/>
      <c r="BC916" s="150"/>
      <c r="BD916" s="150"/>
      <c r="BE916" s="150"/>
      <c r="BF916" s="150"/>
      <c r="BG916" s="150"/>
      <c r="BH916" s="150"/>
      <c r="BI916" s="150">
        <v>16000</v>
      </c>
      <c r="BJ916" s="150"/>
      <c r="BK916" s="152"/>
      <c r="BL916" s="160"/>
      <c r="BM916" s="150"/>
      <c r="BN916" s="150"/>
      <c r="BO916" s="150"/>
      <c r="BP916" s="152"/>
      <c r="BQ916" s="160"/>
      <c r="BR916" s="152"/>
      <c r="BS916" s="160"/>
    </row>
    <row r="917" spans="1:71" x14ac:dyDescent="0.3">
      <c r="A917" s="420">
        <f>DL!A914</f>
        <v>827</v>
      </c>
      <c r="B917" s="19" t="s">
        <v>1636</v>
      </c>
      <c r="C917" s="149">
        <f>DL!L914</f>
        <v>3</v>
      </c>
      <c r="D917" s="149" t="str">
        <f>DL!C914</f>
        <v>1 pack of 10</v>
      </c>
      <c r="E917" s="150"/>
      <c r="F917" s="463"/>
      <c r="G917" s="150"/>
      <c r="H917" s="150"/>
      <c r="I917" s="150"/>
      <c r="J917" s="150"/>
      <c r="K917" s="168"/>
      <c r="L917" s="466">
        <v>5000</v>
      </c>
      <c r="M917" s="150">
        <v>4500</v>
      </c>
      <c r="N917" s="150"/>
      <c r="O917" s="150"/>
      <c r="P917" s="150"/>
      <c r="Q917" s="150">
        <v>6875</v>
      </c>
      <c r="R917" s="150"/>
      <c r="S917" s="150"/>
      <c r="T917" s="150"/>
      <c r="U917" s="150"/>
      <c r="V917" s="150"/>
      <c r="W917" s="168"/>
      <c r="X917" s="150"/>
      <c r="Y917" s="150"/>
      <c r="Z917" s="455"/>
      <c r="AA917" s="150"/>
      <c r="AB917" s="150"/>
      <c r="AC917" s="150"/>
      <c r="AD917" s="150"/>
      <c r="AE917" s="150"/>
      <c r="AF917" s="494">
        <v>70200</v>
      </c>
      <c r="AG917" s="150"/>
      <c r="AH917" s="150"/>
      <c r="AI917" s="150"/>
      <c r="AJ917" s="150"/>
      <c r="AK917" s="150"/>
      <c r="AL917" s="150"/>
      <c r="AM917" s="150"/>
      <c r="AN917" s="150"/>
      <c r="AO917" s="150"/>
      <c r="AP917" s="150"/>
      <c r="AQ917" s="150"/>
      <c r="AR917" s="151"/>
      <c r="AS917" s="456"/>
      <c r="AT917" s="151"/>
      <c r="AU917" s="150"/>
      <c r="AV917" s="487"/>
      <c r="AW917" s="150"/>
      <c r="AX917" s="150"/>
      <c r="AY917" s="150"/>
      <c r="AZ917" s="150"/>
      <c r="BA917" s="150"/>
      <c r="BB917" s="150"/>
      <c r="BC917" s="150"/>
      <c r="BD917" s="150"/>
      <c r="BE917" s="150"/>
      <c r="BF917" s="150"/>
      <c r="BG917" s="150"/>
      <c r="BH917" s="150"/>
      <c r="BI917" s="150"/>
      <c r="BJ917" s="150"/>
      <c r="BK917" s="152"/>
      <c r="BL917" s="160"/>
      <c r="BM917" s="150"/>
      <c r="BN917" s="150"/>
      <c r="BO917" s="150"/>
      <c r="BP917" s="152"/>
      <c r="BQ917" s="160"/>
      <c r="BR917" s="152"/>
      <c r="BS917" s="160"/>
    </row>
    <row r="918" spans="1:71" x14ac:dyDescent="0.3">
      <c r="A918" s="420">
        <f>DL!A915</f>
        <v>828</v>
      </c>
      <c r="B918" s="19" t="s">
        <v>1637</v>
      </c>
      <c r="C918" s="149">
        <f>DL!L915</f>
        <v>3</v>
      </c>
      <c r="D918" s="149" t="str">
        <f>DL!C915</f>
        <v>1 pack of 10</v>
      </c>
      <c r="E918" s="150"/>
      <c r="F918" s="463"/>
      <c r="G918" s="150"/>
      <c r="H918" s="150"/>
      <c r="I918" s="150"/>
      <c r="J918" s="150"/>
      <c r="K918" s="168"/>
      <c r="L918" s="466"/>
      <c r="M918" s="150">
        <v>4500</v>
      </c>
      <c r="N918" s="150"/>
      <c r="O918" s="150"/>
      <c r="P918" s="150"/>
      <c r="Q918" s="150">
        <v>20000</v>
      </c>
      <c r="R918" s="150"/>
      <c r="S918" s="150"/>
      <c r="T918" s="150"/>
      <c r="U918" s="150"/>
      <c r="V918" s="150"/>
      <c r="W918" s="168"/>
      <c r="X918" s="150"/>
      <c r="Y918" s="150"/>
      <c r="Z918" s="455"/>
      <c r="AA918" s="150"/>
      <c r="AB918" s="150"/>
      <c r="AC918" s="150"/>
      <c r="AD918" s="150"/>
      <c r="AE918" s="150"/>
      <c r="AF918" s="495">
        <v>36400</v>
      </c>
      <c r="AG918" s="150"/>
      <c r="AH918" s="150"/>
      <c r="AI918" s="150"/>
      <c r="AJ918" s="150"/>
      <c r="AK918" s="150"/>
      <c r="AL918" s="150"/>
      <c r="AM918" s="150"/>
      <c r="AN918" s="150"/>
      <c r="AO918" s="150"/>
      <c r="AP918" s="150"/>
      <c r="AQ918" s="150"/>
      <c r="AR918" s="151"/>
      <c r="AS918" s="456"/>
      <c r="AT918" s="151"/>
      <c r="AU918" s="150"/>
      <c r="AV918" s="487"/>
      <c r="AW918" s="150"/>
      <c r="AX918" s="150"/>
      <c r="AY918" s="150"/>
      <c r="AZ918" s="150"/>
      <c r="BA918" s="150"/>
      <c r="BB918" s="150"/>
      <c r="BC918" s="150"/>
      <c r="BD918" s="150"/>
      <c r="BE918" s="150"/>
      <c r="BF918" s="150"/>
      <c r="BG918" s="150"/>
      <c r="BH918" s="150"/>
      <c r="BI918" s="150">
        <v>3500</v>
      </c>
      <c r="BJ918" s="150"/>
      <c r="BK918" s="152"/>
      <c r="BL918" s="160"/>
      <c r="BM918" s="150"/>
      <c r="BN918" s="150"/>
      <c r="BO918" s="150"/>
      <c r="BP918" s="152"/>
      <c r="BQ918" s="160"/>
      <c r="BR918" s="152"/>
      <c r="BS918" s="160"/>
    </row>
    <row r="919" spans="1:71" x14ac:dyDescent="0.3">
      <c r="A919" s="420">
        <f>DL!A916</f>
        <v>829</v>
      </c>
      <c r="B919" s="19" t="s">
        <v>1638</v>
      </c>
      <c r="C919" s="149">
        <f>DL!L916</f>
        <v>10</v>
      </c>
      <c r="D919" s="149" t="str">
        <f>DL!C916</f>
        <v>1 pack of 100</v>
      </c>
      <c r="E919" s="150"/>
      <c r="F919" s="463"/>
      <c r="G919" s="150"/>
      <c r="H919" s="150"/>
      <c r="I919" s="150"/>
      <c r="J919" s="150"/>
      <c r="K919" s="168"/>
      <c r="L919" s="466">
        <v>4000</v>
      </c>
      <c r="M919" s="150">
        <v>4800</v>
      </c>
      <c r="N919" s="150"/>
      <c r="O919" s="150"/>
      <c r="P919" s="150"/>
      <c r="Q919" s="150">
        <v>3375</v>
      </c>
      <c r="R919" s="150"/>
      <c r="S919" s="150"/>
      <c r="T919" s="150"/>
      <c r="U919" s="150"/>
      <c r="V919" s="150"/>
      <c r="W919" s="168"/>
      <c r="X919" s="150"/>
      <c r="Y919" s="150"/>
      <c r="Z919" s="455"/>
      <c r="AA919" s="150"/>
      <c r="AB919" s="150"/>
      <c r="AC919" s="150"/>
      <c r="AD919" s="150"/>
      <c r="AE919" s="150"/>
      <c r="AF919" s="494">
        <v>4550</v>
      </c>
      <c r="AG919" s="150"/>
      <c r="AH919" s="150"/>
      <c r="AI919" s="150"/>
      <c r="AJ919" s="150"/>
      <c r="AK919" s="150"/>
      <c r="AL919" s="150"/>
      <c r="AM919" s="150"/>
      <c r="AN919" s="150"/>
      <c r="AO919" s="150"/>
      <c r="AP919" s="150"/>
      <c r="AQ919" s="150"/>
      <c r="AR919" s="151"/>
      <c r="AS919" s="456"/>
      <c r="AT919" s="151"/>
      <c r="AU919" s="150"/>
      <c r="AV919" s="487"/>
      <c r="AW919" s="150"/>
      <c r="AX919" s="150"/>
      <c r="AY919" s="150"/>
      <c r="AZ919" s="150"/>
      <c r="BA919" s="150"/>
      <c r="BB919" s="150"/>
      <c r="BC919" s="150"/>
      <c r="BD919" s="150"/>
      <c r="BE919" s="150"/>
      <c r="BF919" s="150"/>
      <c r="BG919" s="150"/>
      <c r="BH919" s="150"/>
      <c r="BI919" s="150">
        <v>4375</v>
      </c>
      <c r="BJ919" s="150"/>
      <c r="BK919" s="152"/>
      <c r="BL919" s="160"/>
      <c r="BM919" s="150"/>
      <c r="BN919" s="150"/>
      <c r="BO919" s="150"/>
      <c r="BP919" s="152"/>
      <c r="BQ919" s="160"/>
      <c r="BR919" s="152"/>
      <c r="BS919" s="160"/>
    </row>
    <row r="920" spans="1:71" x14ac:dyDescent="0.3">
      <c r="A920" s="420">
        <f>DL!A917</f>
        <v>830</v>
      </c>
      <c r="B920" s="19" t="s">
        <v>1639</v>
      </c>
      <c r="C920" s="149">
        <f>DL!L917</f>
        <v>7</v>
      </c>
      <c r="D920" s="149" t="str">
        <f>DL!C917</f>
        <v>1 pack of 100</v>
      </c>
      <c r="E920" s="150"/>
      <c r="F920" s="463"/>
      <c r="G920" s="150"/>
      <c r="H920" s="150"/>
      <c r="I920" s="150"/>
      <c r="J920" s="150"/>
      <c r="K920" s="168"/>
      <c r="L920" s="466"/>
      <c r="M920" s="150">
        <v>4800</v>
      </c>
      <c r="N920" s="150"/>
      <c r="O920" s="150"/>
      <c r="P920" s="150"/>
      <c r="Q920" s="150">
        <v>1125</v>
      </c>
      <c r="R920" s="150"/>
      <c r="S920" s="150"/>
      <c r="T920" s="150"/>
      <c r="U920" s="150"/>
      <c r="V920" s="150"/>
      <c r="W920" s="168"/>
      <c r="X920" s="150"/>
      <c r="Y920" s="150"/>
      <c r="Z920" s="455"/>
      <c r="AA920" s="150"/>
      <c r="AB920" s="150"/>
      <c r="AC920" s="150"/>
      <c r="AD920" s="150"/>
      <c r="AE920" s="150"/>
      <c r="AF920" s="494">
        <v>4550</v>
      </c>
      <c r="AG920" s="150"/>
      <c r="AH920" s="150"/>
      <c r="AI920" s="150"/>
      <c r="AJ920" s="150"/>
      <c r="AK920" s="150"/>
      <c r="AL920" s="150"/>
      <c r="AM920" s="150"/>
      <c r="AN920" s="150"/>
      <c r="AO920" s="150"/>
      <c r="AP920" s="150"/>
      <c r="AQ920" s="150"/>
      <c r="AR920" s="151"/>
      <c r="AS920" s="456"/>
      <c r="AT920" s="151"/>
      <c r="AU920" s="150"/>
      <c r="AV920" s="487"/>
      <c r="AW920" s="150"/>
      <c r="AX920" s="150"/>
      <c r="AY920" s="150"/>
      <c r="AZ920" s="150"/>
      <c r="BA920" s="150"/>
      <c r="BB920" s="150"/>
      <c r="BC920" s="150"/>
      <c r="BD920" s="150"/>
      <c r="BE920" s="150"/>
      <c r="BF920" s="150"/>
      <c r="BG920" s="150"/>
      <c r="BH920" s="150"/>
      <c r="BI920" s="150">
        <v>4375</v>
      </c>
      <c r="BJ920" s="150"/>
      <c r="BK920" s="152"/>
      <c r="BL920" s="160"/>
      <c r="BM920" s="150"/>
      <c r="BN920" s="150"/>
      <c r="BO920" s="150"/>
      <c r="BP920" s="152"/>
      <c r="BQ920" s="160"/>
      <c r="BR920" s="152"/>
      <c r="BS920" s="160"/>
    </row>
    <row r="921" spans="1:71" x14ac:dyDescent="0.3">
      <c r="A921" s="420">
        <f>DL!A918</f>
        <v>831</v>
      </c>
      <c r="B921" s="19" t="s">
        <v>1640</v>
      </c>
      <c r="C921" s="149">
        <f>DL!L918</f>
        <v>6</v>
      </c>
      <c r="D921" s="149" t="str">
        <f>DL!C918</f>
        <v>6 packs</v>
      </c>
      <c r="E921" s="150"/>
      <c r="F921" s="463"/>
      <c r="G921" s="150"/>
      <c r="H921" s="150"/>
      <c r="I921" s="150"/>
      <c r="J921" s="150"/>
      <c r="K921" s="168"/>
      <c r="L921" s="466">
        <f>6*400</f>
        <v>2400</v>
      </c>
      <c r="M921" s="150">
        <v>4200</v>
      </c>
      <c r="N921" s="150"/>
      <c r="O921" s="150"/>
      <c r="P921" s="150"/>
      <c r="Q921" s="150">
        <v>3750</v>
      </c>
      <c r="R921" s="150"/>
      <c r="S921" s="150"/>
      <c r="T921" s="150"/>
      <c r="U921" s="150"/>
      <c r="V921" s="150"/>
      <c r="W921" s="168"/>
      <c r="X921" s="150"/>
      <c r="Y921" s="150"/>
      <c r="Z921" s="455"/>
      <c r="AA921" s="150"/>
      <c r="AB921" s="150"/>
      <c r="AC921" s="150"/>
      <c r="AD921" s="150"/>
      <c r="AE921" s="150"/>
      <c r="AF921" s="494">
        <v>7930</v>
      </c>
      <c r="AG921" s="150"/>
      <c r="AH921" s="150"/>
      <c r="AI921" s="150"/>
      <c r="AJ921" s="150"/>
      <c r="AK921" s="150"/>
      <c r="AL921" s="150"/>
      <c r="AM921" s="150"/>
      <c r="AN921" s="150"/>
      <c r="AO921" s="150"/>
      <c r="AP921" s="150"/>
      <c r="AQ921" s="150"/>
      <c r="AR921" s="151"/>
      <c r="AS921" s="456"/>
      <c r="AT921" s="151"/>
      <c r="AU921" s="150"/>
      <c r="AV921" s="487"/>
      <c r="AW921" s="150"/>
      <c r="AX921" s="150"/>
      <c r="AY921" s="150"/>
      <c r="AZ921" s="150"/>
      <c r="BA921" s="150"/>
      <c r="BB921" s="150"/>
      <c r="BC921" s="150"/>
      <c r="BD921" s="150"/>
      <c r="BE921" s="150"/>
      <c r="BF921" s="150"/>
      <c r="BG921" s="150"/>
      <c r="BH921" s="150"/>
      <c r="BI921" s="150">
        <f>6*349</f>
        <v>2094</v>
      </c>
      <c r="BJ921" s="150"/>
      <c r="BK921" s="152"/>
      <c r="BL921" s="160"/>
      <c r="BM921" s="150"/>
      <c r="BN921" s="150"/>
      <c r="BO921" s="150"/>
      <c r="BP921" s="152"/>
      <c r="BQ921" s="160"/>
      <c r="BR921" s="152"/>
      <c r="BS921" s="160"/>
    </row>
    <row r="922" spans="1:71" x14ac:dyDescent="0.3">
      <c r="A922" s="420">
        <f>DL!A919</f>
        <v>832</v>
      </c>
      <c r="B922" s="19" t="s">
        <v>1641</v>
      </c>
      <c r="C922" s="149">
        <f>DL!L919</f>
        <v>24</v>
      </c>
      <c r="D922" s="149">
        <f>DL!C919</f>
        <v>0</v>
      </c>
      <c r="E922" s="150"/>
      <c r="F922" s="463"/>
      <c r="G922" s="150"/>
      <c r="H922" s="150"/>
      <c r="I922" s="150"/>
      <c r="J922" s="150"/>
      <c r="K922" s="168"/>
      <c r="L922" s="466">
        <v>4000</v>
      </c>
      <c r="M922" s="150">
        <v>600</v>
      </c>
      <c r="N922" s="150"/>
      <c r="O922" s="150"/>
      <c r="P922" s="150"/>
      <c r="Q922" s="150">
        <v>3750</v>
      </c>
      <c r="R922" s="150"/>
      <c r="S922" s="150"/>
      <c r="T922" s="150"/>
      <c r="U922" s="150"/>
      <c r="V922" s="150"/>
      <c r="W922" s="168"/>
      <c r="X922" s="150"/>
      <c r="Y922" s="150"/>
      <c r="Z922" s="455"/>
      <c r="AA922" s="150"/>
      <c r="AB922" s="150"/>
      <c r="AC922" s="150"/>
      <c r="AD922" s="150"/>
      <c r="AE922" s="150"/>
      <c r="AF922" s="494">
        <v>9750</v>
      </c>
      <c r="AG922" s="150"/>
      <c r="AH922" s="150"/>
      <c r="AI922" s="150"/>
      <c r="AJ922" s="150"/>
      <c r="AK922" s="150"/>
      <c r="AL922" s="150"/>
      <c r="AM922" s="150"/>
      <c r="AN922" s="150"/>
      <c r="AO922" s="150"/>
      <c r="AP922" s="150"/>
      <c r="AQ922" s="150"/>
      <c r="AR922" s="151"/>
      <c r="AS922" s="456"/>
      <c r="AT922" s="151"/>
      <c r="AU922" s="150"/>
      <c r="AV922" s="487"/>
      <c r="AW922" s="150"/>
      <c r="AX922" s="150"/>
      <c r="AY922" s="150"/>
      <c r="AZ922" s="150"/>
      <c r="BA922" s="150"/>
      <c r="BB922" s="150"/>
      <c r="BC922" s="150"/>
      <c r="BD922" s="150"/>
      <c r="BE922" s="150"/>
      <c r="BF922" s="150"/>
      <c r="BG922" s="150"/>
      <c r="BH922" s="150"/>
      <c r="BI922" s="150">
        <v>500</v>
      </c>
      <c r="BJ922" s="150"/>
      <c r="BK922" s="152"/>
      <c r="BL922" s="160"/>
      <c r="BM922" s="150"/>
      <c r="BN922" s="150"/>
      <c r="BO922" s="150"/>
      <c r="BP922" s="152"/>
      <c r="BQ922" s="160"/>
      <c r="BR922" s="152"/>
      <c r="BS922" s="160"/>
    </row>
    <row r="923" spans="1:71" x14ac:dyDescent="0.3">
      <c r="A923" s="420">
        <f>DL!A920</f>
        <v>833</v>
      </c>
      <c r="B923" s="19" t="s">
        <v>2073</v>
      </c>
      <c r="C923" s="149">
        <v>12</v>
      </c>
      <c r="D923" s="149" t="s">
        <v>333</v>
      </c>
      <c r="E923" s="150"/>
      <c r="F923" s="463"/>
      <c r="G923" s="150"/>
      <c r="H923" s="150"/>
      <c r="I923" s="150"/>
      <c r="J923" s="150"/>
      <c r="K923" s="168"/>
      <c r="L923" s="466">
        <f>5000/12</f>
        <v>416.66666666666669</v>
      </c>
      <c r="M923" s="150">
        <f>5000/12</f>
        <v>416.66666666666669</v>
      </c>
      <c r="N923" s="150"/>
      <c r="O923" s="150"/>
      <c r="P923" s="150"/>
      <c r="Q923" s="150">
        <f>2500/12</f>
        <v>208.33333333333334</v>
      </c>
      <c r="R923" s="150"/>
      <c r="S923" s="150"/>
      <c r="T923" s="150"/>
      <c r="U923" s="150"/>
      <c r="V923" s="150"/>
      <c r="W923" s="168"/>
      <c r="X923" s="150"/>
      <c r="Y923" s="150"/>
      <c r="Z923" s="455"/>
      <c r="AA923" s="150"/>
      <c r="AB923" s="150"/>
      <c r="AC923" s="150"/>
      <c r="AD923" s="150"/>
      <c r="AE923" s="150"/>
      <c r="AF923" s="494">
        <v>390</v>
      </c>
      <c r="AG923" s="150"/>
      <c r="AH923" s="150"/>
      <c r="AI923" s="150"/>
      <c r="AJ923" s="150"/>
      <c r="AK923" s="150"/>
      <c r="AL923" s="150"/>
      <c r="AM923" s="150"/>
      <c r="AN923" s="150"/>
      <c r="AO923" s="150"/>
      <c r="AP923" s="150"/>
      <c r="AQ923" s="150"/>
      <c r="AR923" s="151"/>
      <c r="AS923" s="456"/>
      <c r="AT923" s="151"/>
      <c r="AU923" s="150"/>
      <c r="AV923" s="487"/>
      <c r="AW923" s="150"/>
      <c r="AX923" s="150"/>
      <c r="AY923" s="150"/>
      <c r="AZ923" s="150"/>
      <c r="BA923" s="150"/>
      <c r="BB923" s="150"/>
      <c r="BC923" s="150"/>
      <c r="BD923" s="150"/>
      <c r="BE923" s="150"/>
      <c r="BF923" s="150"/>
      <c r="BG923" s="150"/>
      <c r="BH923" s="150"/>
      <c r="BI923" s="150">
        <v>390</v>
      </c>
      <c r="BJ923" s="150"/>
      <c r="BK923" s="152"/>
      <c r="BL923" s="160"/>
      <c r="BM923" s="150"/>
      <c r="BN923" s="150"/>
      <c r="BO923" s="150"/>
      <c r="BP923" s="152"/>
      <c r="BQ923" s="160"/>
      <c r="BR923" s="152"/>
      <c r="BS923" s="160"/>
    </row>
    <row r="924" spans="1:71" x14ac:dyDescent="0.3">
      <c r="A924" s="420">
        <f>DL!A921</f>
        <v>834</v>
      </c>
      <c r="B924" s="19" t="s">
        <v>1643</v>
      </c>
      <c r="C924" s="149">
        <f>DL!L921</f>
        <v>3</v>
      </c>
      <c r="D924" s="149">
        <f>DL!C921</f>
        <v>0</v>
      </c>
      <c r="E924" s="150"/>
      <c r="F924" s="463"/>
      <c r="G924" s="150"/>
      <c r="H924" s="150"/>
      <c r="I924" s="150"/>
      <c r="J924" s="150"/>
      <c r="K924" s="168"/>
      <c r="L924" s="466">
        <v>25000</v>
      </c>
      <c r="M924" s="150">
        <v>45000</v>
      </c>
      <c r="N924" s="150"/>
      <c r="O924" s="150"/>
      <c r="P924" s="150"/>
      <c r="Q924" s="150">
        <v>43750</v>
      </c>
      <c r="R924" s="150"/>
      <c r="S924" s="150"/>
      <c r="T924" s="150"/>
      <c r="U924" s="150"/>
      <c r="V924" s="150"/>
      <c r="W924" s="168"/>
      <c r="X924" s="150"/>
      <c r="Y924" s="150"/>
      <c r="Z924" s="455"/>
      <c r="AA924" s="150"/>
      <c r="AB924" s="150"/>
      <c r="AC924" s="150"/>
      <c r="AD924" s="150"/>
      <c r="AE924" s="150"/>
      <c r="AF924" s="494">
        <v>0</v>
      </c>
      <c r="AG924" s="150"/>
      <c r="AH924" s="150"/>
      <c r="AI924" s="150"/>
      <c r="AJ924" s="150"/>
      <c r="AK924" s="150"/>
      <c r="AL924" s="150"/>
      <c r="AM924" s="150"/>
      <c r="AN924" s="150"/>
      <c r="AO924" s="150"/>
      <c r="AP924" s="150"/>
      <c r="AQ924" s="150"/>
      <c r="AR924" s="151"/>
      <c r="AS924" s="456"/>
      <c r="AT924" s="151"/>
      <c r="AU924" s="150"/>
      <c r="AV924" s="487"/>
      <c r="AW924" s="150"/>
      <c r="AX924" s="150"/>
      <c r="AY924" s="150"/>
      <c r="AZ924" s="150"/>
      <c r="BA924" s="150"/>
      <c r="BB924" s="150"/>
      <c r="BC924" s="150"/>
      <c r="BD924" s="150"/>
      <c r="BE924" s="150"/>
      <c r="BF924" s="150"/>
      <c r="BG924" s="150"/>
      <c r="BH924" s="150"/>
      <c r="BI924" s="150">
        <v>42000</v>
      </c>
      <c r="BJ924" s="150"/>
      <c r="BK924" s="152"/>
      <c r="BL924" s="160"/>
      <c r="BM924" s="150"/>
      <c r="BN924" s="150"/>
      <c r="BO924" s="150"/>
      <c r="BP924" s="152"/>
      <c r="BQ924" s="160"/>
      <c r="BR924" s="152"/>
      <c r="BS924" s="160"/>
    </row>
    <row r="925" spans="1:71" x14ac:dyDescent="0.3">
      <c r="A925" s="420">
        <f>DL!A922</f>
        <v>835</v>
      </c>
      <c r="B925" s="19" t="s">
        <v>1644</v>
      </c>
      <c r="C925" s="149">
        <f>DL!L922</f>
        <v>2</v>
      </c>
      <c r="D925" s="149">
        <f>DL!C922</f>
        <v>0</v>
      </c>
      <c r="E925" s="150"/>
      <c r="F925" s="463"/>
      <c r="G925" s="150"/>
      <c r="H925" s="150"/>
      <c r="I925" s="150"/>
      <c r="J925" s="150"/>
      <c r="K925" s="168"/>
      <c r="L925" s="466">
        <v>12000</v>
      </c>
      <c r="M925" s="150">
        <v>30000</v>
      </c>
      <c r="N925" s="150"/>
      <c r="O925" s="150"/>
      <c r="P925" s="150"/>
      <c r="Q925" s="150">
        <v>16250</v>
      </c>
      <c r="R925" s="150"/>
      <c r="S925" s="150"/>
      <c r="T925" s="150"/>
      <c r="U925" s="150"/>
      <c r="V925" s="150"/>
      <c r="W925" s="168"/>
      <c r="X925" s="150"/>
      <c r="Y925" s="150"/>
      <c r="Z925" s="455"/>
      <c r="AA925" s="150"/>
      <c r="AB925" s="150"/>
      <c r="AC925" s="150"/>
      <c r="AD925" s="150"/>
      <c r="AE925" s="150"/>
      <c r="AF925" s="495">
        <v>13000</v>
      </c>
      <c r="AG925" s="150"/>
      <c r="AH925" s="150"/>
      <c r="AI925" s="150"/>
      <c r="AJ925" s="150"/>
      <c r="AK925" s="150"/>
      <c r="AL925" s="150"/>
      <c r="AM925" s="150"/>
      <c r="AN925" s="150"/>
      <c r="AO925" s="150"/>
      <c r="AP925" s="150"/>
      <c r="AQ925" s="150"/>
      <c r="AR925" s="151"/>
      <c r="AS925" s="456"/>
      <c r="AT925" s="151"/>
      <c r="AU925" s="150"/>
      <c r="AV925" s="487"/>
      <c r="AW925" s="150"/>
      <c r="AX925" s="150"/>
      <c r="AY925" s="150"/>
      <c r="AZ925" s="150"/>
      <c r="BA925" s="150"/>
      <c r="BB925" s="150"/>
      <c r="BC925" s="150"/>
      <c r="BD925" s="150"/>
      <c r="BE925" s="150"/>
      <c r="BF925" s="150"/>
      <c r="BG925" s="150"/>
      <c r="BH925" s="150"/>
      <c r="BI925" s="150">
        <v>26000</v>
      </c>
      <c r="BJ925" s="150"/>
      <c r="BK925" s="152"/>
      <c r="BL925" s="160"/>
      <c r="BM925" s="150"/>
      <c r="BN925" s="150"/>
      <c r="BO925" s="150"/>
      <c r="BP925" s="152"/>
      <c r="BQ925" s="160"/>
      <c r="BR925" s="152"/>
      <c r="BS925" s="160"/>
    </row>
    <row r="926" spans="1:71" x14ac:dyDescent="0.3">
      <c r="A926" s="420">
        <f>DL!A923</f>
        <v>836</v>
      </c>
      <c r="B926" s="19" t="s">
        <v>1645</v>
      </c>
      <c r="C926" s="149">
        <f>DL!L923</f>
        <v>2</v>
      </c>
      <c r="D926" s="149">
        <f>DL!C923</f>
        <v>0</v>
      </c>
      <c r="E926" s="150"/>
      <c r="F926" s="463"/>
      <c r="G926" s="150"/>
      <c r="H926" s="150"/>
      <c r="I926" s="150"/>
      <c r="J926" s="150"/>
      <c r="K926" s="168"/>
      <c r="L926" s="466">
        <v>11000</v>
      </c>
      <c r="M926" s="150">
        <v>9000</v>
      </c>
      <c r="N926" s="150"/>
      <c r="O926" s="150"/>
      <c r="P926" s="150"/>
      <c r="Q926" s="150">
        <v>6875</v>
      </c>
      <c r="R926" s="150"/>
      <c r="S926" s="150"/>
      <c r="T926" s="150"/>
      <c r="U926" s="150"/>
      <c r="V926" s="150"/>
      <c r="W926" s="168"/>
      <c r="X926" s="150"/>
      <c r="Y926" s="150"/>
      <c r="Z926" s="455"/>
      <c r="AA926" s="150"/>
      <c r="AB926" s="150"/>
      <c r="AC926" s="150"/>
      <c r="AD926" s="150"/>
      <c r="AE926" s="150"/>
      <c r="AF926" s="494">
        <v>8450</v>
      </c>
      <c r="AG926" s="150"/>
      <c r="AH926" s="150"/>
      <c r="AI926" s="150"/>
      <c r="AJ926" s="150"/>
      <c r="AK926" s="150"/>
      <c r="AL926" s="150"/>
      <c r="AM926" s="150"/>
      <c r="AN926" s="150"/>
      <c r="AO926" s="150"/>
      <c r="AP926" s="150"/>
      <c r="AQ926" s="150"/>
      <c r="AR926" s="151"/>
      <c r="AS926" s="456"/>
      <c r="AT926" s="151"/>
      <c r="AU926" s="150"/>
      <c r="AV926" s="487"/>
      <c r="AW926" s="150"/>
      <c r="AX926" s="150"/>
      <c r="AY926" s="150"/>
      <c r="AZ926" s="150"/>
      <c r="BA926" s="150"/>
      <c r="BB926" s="150"/>
      <c r="BC926" s="150"/>
      <c r="BD926" s="150"/>
      <c r="BE926" s="150"/>
      <c r="BF926" s="150"/>
      <c r="BG926" s="150"/>
      <c r="BH926" s="150"/>
      <c r="BI926" s="150">
        <v>4375</v>
      </c>
      <c r="BJ926" s="150"/>
      <c r="BK926" s="152"/>
      <c r="BL926" s="160"/>
      <c r="BM926" s="150"/>
      <c r="BN926" s="150"/>
      <c r="BO926" s="150"/>
      <c r="BP926" s="152"/>
      <c r="BQ926" s="160"/>
      <c r="BR926" s="152"/>
      <c r="BS926" s="160"/>
    </row>
    <row r="927" spans="1:71" x14ac:dyDescent="0.3">
      <c r="A927" s="420">
        <f>DL!A924</f>
        <v>837</v>
      </c>
      <c r="B927" s="19" t="s">
        <v>1646</v>
      </c>
      <c r="C927" s="149">
        <f>DL!L924</f>
        <v>8</v>
      </c>
      <c r="D927" s="149">
        <f>DL!C924</f>
        <v>0</v>
      </c>
      <c r="E927" s="150"/>
      <c r="F927" s="463"/>
      <c r="G927" s="150"/>
      <c r="H927" s="150"/>
      <c r="I927" s="150"/>
      <c r="J927" s="150"/>
      <c r="K927" s="168"/>
      <c r="L927" s="466">
        <v>4000</v>
      </c>
      <c r="M927" s="150">
        <v>2600</v>
      </c>
      <c r="N927" s="150"/>
      <c r="O927" s="150"/>
      <c r="P927" s="150"/>
      <c r="Q927" s="150">
        <v>3375</v>
      </c>
      <c r="R927" s="150"/>
      <c r="S927" s="150"/>
      <c r="T927" s="150"/>
      <c r="U927" s="150"/>
      <c r="V927" s="150"/>
      <c r="W927" s="168"/>
      <c r="X927" s="150"/>
      <c r="Y927" s="150"/>
      <c r="Z927" s="455"/>
      <c r="AA927" s="150"/>
      <c r="AB927" s="150"/>
      <c r="AC927" s="150"/>
      <c r="AD927" s="150"/>
      <c r="AE927" s="150"/>
      <c r="AF927" s="494">
        <v>36400</v>
      </c>
      <c r="AG927" s="150"/>
      <c r="AH927" s="150"/>
      <c r="AI927" s="150"/>
      <c r="AJ927" s="150"/>
      <c r="AK927" s="150"/>
      <c r="AL927" s="150"/>
      <c r="AM927" s="150"/>
      <c r="AN927" s="150"/>
      <c r="AO927" s="150"/>
      <c r="AP927" s="150"/>
      <c r="AQ927" s="150"/>
      <c r="AR927" s="151"/>
      <c r="AS927" s="456"/>
      <c r="AT927" s="151"/>
      <c r="AU927" s="150"/>
      <c r="AV927" s="487"/>
      <c r="AW927" s="150"/>
      <c r="AX927" s="150"/>
      <c r="AY927" s="150"/>
      <c r="AZ927" s="150"/>
      <c r="BA927" s="150"/>
      <c r="BB927" s="150"/>
      <c r="BC927" s="150"/>
      <c r="BD927" s="150"/>
      <c r="BE927" s="150"/>
      <c r="BF927" s="150"/>
      <c r="BG927" s="150"/>
      <c r="BH927" s="150"/>
      <c r="BI927" s="150"/>
      <c r="BJ927" s="150"/>
      <c r="BK927" s="152"/>
      <c r="BL927" s="160"/>
      <c r="BM927" s="150"/>
      <c r="BN927" s="150"/>
      <c r="BO927" s="150"/>
      <c r="BP927" s="152"/>
      <c r="BQ927" s="160"/>
      <c r="BR927" s="152"/>
      <c r="BS927" s="160"/>
    </row>
    <row r="928" spans="1:71" x14ac:dyDescent="0.3">
      <c r="A928" s="420">
        <f>DL!A925</f>
        <v>838</v>
      </c>
      <c r="B928" s="19" t="s">
        <v>1647</v>
      </c>
      <c r="C928" s="149">
        <f>DL!L925</f>
        <v>3</v>
      </c>
      <c r="D928" s="149">
        <f>DL!C925</f>
        <v>0</v>
      </c>
      <c r="E928" s="150"/>
      <c r="F928" s="463"/>
      <c r="G928" s="150"/>
      <c r="H928" s="150"/>
      <c r="I928" s="150"/>
      <c r="J928" s="150"/>
      <c r="K928" s="168"/>
      <c r="L928" s="466"/>
      <c r="M928" s="150">
        <v>18000</v>
      </c>
      <c r="N928" s="150"/>
      <c r="O928" s="150"/>
      <c r="P928" s="150"/>
      <c r="Q928" s="150">
        <v>1250</v>
      </c>
      <c r="R928" s="150"/>
      <c r="S928" s="150"/>
      <c r="T928" s="150"/>
      <c r="U928" s="150"/>
      <c r="V928" s="150"/>
      <c r="W928" s="168"/>
      <c r="X928" s="150"/>
      <c r="Y928" s="150"/>
      <c r="Z928" s="455"/>
      <c r="AA928" s="150"/>
      <c r="AB928" s="150"/>
      <c r="AC928" s="150"/>
      <c r="AD928" s="150"/>
      <c r="AE928" s="150"/>
      <c r="AF928" s="494">
        <v>0</v>
      </c>
      <c r="AG928" s="150"/>
      <c r="AH928" s="150"/>
      <c r="AI928" s="150"/>
      <c r="AJ928" s="150"/>
      <c r="AK928" s="150"/>
      <c r="AL928" s="150"/>
      <c r="AM928" s="150"/>
      <c r="AN928" s="150"/>
      <c r="AO928" s="150"/>
      <c r="AP928" s="150"/>
      <c r="AQ928" s="150"/>
      <c r="AR928" s="151"/>
      <c r="AS928" s="456"/>
      <c r="AT928" s="151"/>
      <c r="AU928" s="150"/>
      <c r="AV928" s="487"/>
      <c r="AW928" s="150"/>
      <c r="AX928" s="150"/>
      <c r="AY928" s="150"/>
      <c r="AZ928" s="150"/>
      <c r="BA928" s="150"/>
      <c r="BB928" s="150"/>
      <c r="BC928" s="150"/>
      <c r="BD928" s="150"/>
      <c r="BE928" s="150"/>
      <c r="BF928" s="150"/>
      <c r="BG928" s="150"/>
      <c r="BH928" s="150"/>
      <c r="BI928" s="150"/>
      <c r="BJ928" s="150"/>
      <c r="BK928" s="152"/>
      <c r="BL928" s="160"/>
      <c r="BM928" s="150"/>
      <c r="BN928" s="150"/>
      <c r="BO928" s="150"/>
      <c r="BP928" s="152"/>
      <c r="BQ928" s="160"/>
      <c r="BR928" s="152"/>
      <c r="BS928" s="160"/>
    </row>
    <row r="929" spans="1:71" x14ac:dyDescent="0.3">
      <c r="A929" s="420">
        <f>DL!A926</f>
        <v>839</v>
      </c>
      <c r="B929" s="19" t="s">
        <v>1648</v>
      </c>
      <c r="C929" s="149">
        <f>DL!L926</f>
        <v>12</v>
      </c>
      <c r="D929" s="149" t="str">
        <f>DL!C926</f>
        <v>1 pkt of 12</v>
      </c>
      <c r="E929" s="150"/>
      <c r="F929" s="463"/>
      <c r="G929" s="150"/>
      <c r="H929" s="150"/>
      <c r="I929" s="150"/>
      <c r="J929" s="150"/>
      <c r="K929" s="168"/>
      <c r="L929" s="466"/>
      <c r="M929" s="150">
        <v>7200</v>
      </c>
      <c r="N929" s="150"/>
      <c r="O929" s="150"/>
      <c r="P929" s="150"/>
      <c r="Q929" s="150"/>
      <c r="R929" s="150"/>
      <c r="S929" s="150"/>
      <c r="T929" s="150"/>
      <c r="U929" s="150"/>
      <c r="V929" s="150"/>
      <c r="W929" s="168"/>
      <c r="X929" s="150"/>
      <c r="Y929" s="150"/>
      <c r="Z929" s="455"/>
      <c r="AA929" s="150"/>
      <c r="AB929" s="150"/>
      <c r="AC929" s="150"/>
      <c r="AD929" s="150"/>
      <c r="AE929" s="150"/>
      <c r="AF929" s="494">
        <v>0</v>
      </c>
      <c r="AG929" s="150"/>
      <c r="AH929" s="150"/>
      <c r="AI929" s="150"/>
      <c r="AJ929" s="150"/>
      <c r="AK929" s="150"/>
      <c r="AL929" s="150"/>
      <c r="AM929" s="150"/>
      <c r="AN929" s="150"/>
      <c r="AO929" s="150"/>
      <c r="AP929" s="150"/>
      <c r="AQ929" s="150"/>
      <c r="AR929" s="151"/>
      <c r="AS929" s="456"/>
      <c r="AT929" s="151"/>
      <c r="AU929" s="150"/>
      <c r="AV929" s="487"/>
      <c r="AW929" s="150"/>
      <c r="AX929" s="150"/>
      <c r="AY929" s="150"/>
      <c r="AZ929" s="150"/>
      <c r="BA929" s="150"/>
      <c r="BB929" s="150"/>
      <c r="BC929" s="150"/>
      <c r="BD929" s="150"/>
      <c r="BE929" s="150"/>
      <c r="BF929" s="150"/>
      <c r="BG929" s="150"/>
      <c r="BH929" s="150"/>
      <c r="BI929" s="150"/>
      <c r="BJ929" s="150"/>
      <c r="BK929" s="152"/>
      <c r="BL929" s="160"/>
      <c r="BM929" s="150"/>
      <c r="BN929" s="150"/>
      <c r="BO929" s="150"/>
      <c r="BP929" s="152"/>
      <c r="BQ929" s="160"/>
      <c r="BR929" s="152"/>
      <c r="BS929" s="160"/>
    </row>
    <row r="930" spans="1:71" x14ac:dyDescent="0.3">
      <c r="A930" s="420">
        <f>DL!A927</f>
        <v>840</v>
      </c>
      <c r="B930" s="19" t="s">
        <v>1649</v>
      </c>
      <c r="C930" s="149">
        <f>DL!L927</f>
        <v>1</v>
      </c>
      <c r="D930" s="149" t="str">
        <f>DL!C927</f>
        <v>1 packs of 6</v>
      </c>
      <c r="E930" s="150"/>
      <c r="F930" s="463"/>
      <c r="G930" s="150"/>
      <c r="H930" s="150"/>
      <c r="I930" s="150"/>
      <c r="J930" s="150"/>
      <c r="K930" s="168"/>
      <c r="L930" s="466"/>
      <c r="M930" s="150"/>
      <c r="N930" s="150"/>
      <c r="O930" s="150"/>
      <c r="P930" s="150"/>
      <c r="Q930" s="150">
        <v>41250</v>
      </c>
      <c r="R930" s="150"/>
      <c r="S930" s="150"/>
      <c r="T930" s="150"/>
      <c r="U930" s="150"/>
      <c r="V930" s="150"/>
      <c r="W930" s="168"/>
      <c r="X930" s="150"/>
      <c r="Y930" s="150"/>
      <c r="Z930" s="455"/>
      <c r="AA930" s="150"/>
      <c r="AB930" s="150"/>
      <c r="AC930" s="150"/>
      <c r="AD930" s="150"/>
      <c r="AE930" s="150"/>
      <c r="AF930" s="494">
        <v>45500</v>
      </c>
      <c r="AG930" s="150"/>
      <c r="AH930" s="150"/>
      <c r="AI930" s="150"/>
      <c r="AJ930" s="150"/>
      <c r="AK930" s="150"/>
      <c r="AL930" s="150"/>
      <c r="AM930" s="150"/>
      <c r="AN930" s="150"/>
      <c r="AO930" s="150"/>
      <c r="AP930" s="150"/>
      <c r="AQ930" s="150"/>
      <c r="AR930" s="151"/>
      <c r="AS930" s="456"/>
      <c r="AT930" s="151"/>
      <c r="AU930" s="150"/>
      <c r="AV930" s="487"/>
      <c r="AW930" s="150"/>
      <c r="AX930" s="150"/>
      <c r="AY930" s="150"/>
      <c r="AZ930" s="150"/>
      <c r="BA930" s="150"/>
      <c r="BB930" s="150"/>
      <c r="BC930" s="150"/>
      <c r="BD930" s="150"/>
      <c r="BE930" s="150"/>
      <c r="BF930" s="150"/>
      <c r="BG930" s="150"/>
      <c r="BH930" s="150"/>
      <c r="BI930" s="150"/>
      <c r="BJ930" s="150"/>
      <c r="BK930" s="152"/>
      <c r="BL930" s="160"/>
      <c r="BM930" s="150"/>
      <c r="BN930" s="150"/>
      <c r="BO930" s="150"/>
      <c r="BP930" s="152"/>
      <c r="BQ930" s="160"/>
      <c r="BR930" s="152"/>
      <c r="BS930" s="160"/>
    </row>
    <row r="931" spans="1:71" x14ac:dyDescent="0.3">
      <c r="A931" s="420">
        <f>DL!A928</f>
        <v>841</v>
      </c>
      <c r="B931" s="19" t="s">
        <v>1650</v>
      </c>
      <c r="C931" s="149">
        <f>DL!L928</f>
        <v>1</v>
      </c>
      <c r="D931" s="149" t="str">
        <f>DL!C928</f>
        <v>1 pc</v>
      </c>
      <c r="E931" s="150"/>
      <c r="F931" s="463"/>
      <c r="G931" s="150"/>
      <c r="H931" s="150"/>
      <c r="I931" s="150"/>
      <c r="J931" s="150"/>
      <c r="K931" s="168"/>
      <c r="L931" s="466"/>
      <c r="M931" s="150"/>
      <c r="N931" s="150"/>
      <c r="O931" s="150"/>
      <c r="P931" s="150"/>
      <c r="Q931" s="150">
        <v>38750</v>
      </c>
      <c r="R931" s="150"/>
      <c r="S931" s="150"/>
      <c r="T931" s="150"/>
      <c r="U931" s="150"/>
      <c r="V931" s="150"/>
      <c r="W931" s="168"/>
      <c r="X931" s="150"/>
      <c r="Y931" s="150"/>
      <c r="Z931" s="455"/>
      <c r="AA931" s="150"/>
      <c r="AB931" s="150"/>
      <c r="AC931" s="150"/>
      <c r="AD931" s="150"/>
      <c r="AE931" s="150"/>
      <c r="AF931" s="494">
        <v>45500</v>
      </c>
      <c r="AG931" s="150"/>
      <c r="AH931" s="150"/>
      <c r="AI931" s="150"/>
      <c r="AJ931" s="150"/>
      <c r="AK931" s="150"/>
      <c r="AL931" s="150"/>
      <c r="AM931" s="150"/>
      <c r="AN931" s="150"/>
      <c r="AO931" s="150"/>
      <c r="AP931" s="150"/>
      <c r="AQ931" s="150"/>
      <c r="AR931" s="151"/>
      <c r="AS931" s="456"/>
      <c r="AT931" s="151"/>
      <c r="AU931" s="150"/>
      <c r="AV931" s="487"/>
      <c r="AW931" s="150"/>
      <c r="AX931" s="150"/>
      <c r="AY931" s="150"/>
      <c r="AZ931" s="150"/>
      <c r="BA931" s="150"/>
      <c r="BB931" s="150"/>
      <c r="BC931" s="150"/>
      <c r="BD931" s="150"/>
      <c r="BE931" s="150"/>
      <c r="BF931" s="150"/>
      <c r="BG931" s="150"/>
      <c r="BH931" s="150"/>
      <c r="BI931" s="150"/>
      <c r="BJ931" s="150"/>
      <c r="BK931" s="152"/>
      <c r="BL931" s="160"/>
      <c r="BM931" s="150"/>
      <c r="BN931" s="150"/>
      <c r="BO931" s="150"/>
      <c r="BP931" s="152"/>
      <c r="BQ931" s="160"/>
      <c r="BR931" s="152"/>
      <c r="BS931" s="160"/>
    </row>
    <row r="932" spans="1:71" x14ac:dyDescent="0.3">
      <c r="A932" s="420">
        <f>DL!A929</f>
        <v>842</v>
      </c>
      <c r="B932" s="19" t="s">
        <v>1651</v>
      </c>
      <c r="C932" s="149">
        <f>DL!L929</f>
        <v>1</v>
      </c>
      <c r="D932" s="149">
        <f>DL!C929</f>
        <v>0</v>
      </c>
      <c r="E932" s="150"/>
      <c r="F932" s="463"/>
      <c r="G932" s="150"/>
      <c r="H932" s="150"/>
      <c r="I932" s="150"/>
      <c r="J932" s="150"/>
      <c r="K932" s="168"/>
      <c r="L932" s="466">
        <v>25000</v>
      </c>
      <c r="M932" s="150"/>
      <c r="N932" s="150"/>
      <c r="O932" s="150"/>
      <c r="P932" s="150"/>
      <c r="Q932" s="150">
        <v>296563</v>
      </c>
      <c r="R932" s="150"/>
      <c r="S932" s="150"/>
      <c r="T932" s="150"/>
      <c r="U932" s="150"/>
      <c r="V932" s="150"/>
      <c r="W932" s="168"/>
      <c r="X932" s="150"/>
      <c r="Y932" s="150"/>
      <c r="Z932" s="455"/>
      <c r="AA932" s="150"/>
      <c r="AB932" s="150"/>
      <c r="AC932" s="150"/>
      <c r="AD932" s="150"/>
      <c r="AE932" s="150"/>
      <c r="AF932" s="494">
        <v>0</v>
      </c>
      <c r="AG932" s="150"/>
      <c r="AH932" s="150"/>
      <c r="AI932" s="150"/>
      <c r="AJ932" s="150"/>
      <c r="AK932" s="150"/>
      <c r="AL932" s="150"/>
      <c r="AM932" s="150"/>
      <c r="AN932" s="150"/>
      <c r="AO932" s="150"/>
      <c r="AP932" s="150"/>
      <c r="AQ932" s="150"/>
      <c r="AR932" s="151"/>
      <c r="AS932" s="456"/>
      <c r="AT932" s="151"/>
      <c r="AU932" s="150"/>
      <c r="AV932" s="487"/>
      <c r="AW932" s="150"/>
      <c r="AX932" s="150"/>
      <c r="AY932" s="150"/>
      <c r="AZ932" s="150"/>
      <c r="BA932" s="150"/>
      <c r="BB932" s="150"/>
      <c r="BC932" s="150"/>
      <c r="BD932" s="150"/>
      <c r="BE932" s="150"/>
      <c r="BF932" s="150"/>
      <c r="BG932" s="150"/>
      <c r="BH932" s="150"/>
      <c r="BI932" s="150">
        <v>380000</v>
      </c>
      <c r="BJ932" s="150"/>
      <c r="BK932" s="152"/>
      <c r="BL932" s="160"/>
      <c r="BM932" s="150"/>
      <c r="BN932" s="150"/>
      <c r="BO932" s="150"/>
      <c r="BP932" s="152"/>
      <c r="BQ932" s="160"/>
      <c r="BR932" s="152"/>
      <c r="BS932" s="160"/>
    </row>
    <row r="933" spans="1:71" x14ac:dyDescent="0.3">
      <c r="A933" s="420">
        <f>DL!A930</f>
        <v>843</v>
      </c>
      <c r="B933" s="19" t="s">
        <v>1652</v>
      </c>
      <c r="C933" s="149">
        <f>DL!L930</f>
        <v>7</v>
      </c>
      <c r="D933" s="149">
        <f>DL!C930</f>
        <v>0</v>
      </c>
      <c r="E933" s="150"/>
      <c r="F933" s="463"/>
      <c r="G933" s="150"/>
      <c r="H933" s="150"/>
      <c r="I933" s="150"/>
      <c r="J933" s="150"/>
      <c r="K933" s="168"/>
      <c r="L933" s="466">
        <v>2500</v>
      </c>
      <c r="M933" s="150">
        <v>2000</v>
      </c>
      <c r="N933" s="150"/>
      <c r="O933" s="150"/>
      <c r="P933" s="150"/>
      <c r="Q933" s="150">
        <v>2125</v>
      </c>
      <c r="R933" s="150"/>
      <c r="S933" s="150"/>
      <c r="T933" s="150"/>
      <c r="U933" s="150"/>
      <c r="V933" s="150"/>
      <c r="W933" s="168"/>
      <c r="X933" s="150"/>
      <c r="Y933" s="150"/>
      <c r="Z933" s="455"/>
      <c r="AA933" s="150"/>
      <c r="AB933" s="150"/>
      <c r="AC933" s="150"/>
      <c r="AD933" s="150"/>
      <c r="AE933" s="150"/>
      <c r="AF933" s="494">
        <v>5850</v>
      </c>
      <c r="AG933" s="150"/>
      <c r="AH933" s="150"/>
      <c r="AI933" s="150"/>
      <c r="AJ933" s="150"/>
      <c r="AK933" s="150"/>
      <c r="AL933" s="150"/>
      <c r="AM933" s="150"/>
      <c r="AN933" s="150"/>
      <c r="AO933" s="150"/>
      <c r="AP933" s="150"/>
      <c r="AQ933" s="150"/>
      <c r="AR933" s="151"/>
      <c r="AS933" s="456"/>
      <c r="AT933" s="151"/>
      <c r="AU933" s="150"/>
      <c r="AV933" s="487"/>
      <c r="AW933" s="150"/>
      <c r="AX933" s="150"/>
      <c r="AY933" s="150"/>
      <c r="AZ933" s="150"/>
      <c r="BA933" s="150"/>
      <c r="BB933" s="150"/>
      <c r="BC933" s="150"/>
      <c r="BD933" s="150"/>
      <c r="BE933" s="150"/>
      <c r="BF933" s="150"/>
      <c r="BG933" s="150"/>
      <c r="BH933" s="150"/>
      <c r="BI933" s="150"/>
      <c r="BJ933" s="150"/>
      <c r="BK933" s="152"/>
      <c r="BL933" s="160"/>
      <c r="BM933" s="150"/>
      <c r="BN933" s="150"/>
      <c r="BO933" s="150"/>
      <c r="BP933" s="152"/>
      <c r="BQ933" s="160"/>
      <c r="BR933" s="152"/>
      <c r="BS933" s="160"/>
    </row>
    <row r="934" spans="1:71" x14ac:dyDescent="0.3">
      <c r="A934" s="420">
        <f>DL!A931</f>
        <v>844</v>
      </c>
      <c r="B934" s="19" t="s">
        <v>1653</v>
      </c>
      <c r="C934" s="149">
        <f>DL!L931</f>
        <v>20</v>
      </c>
      <c r="D934" s="149">
        <f>DL!C931</f>
        <v>0</v>
      </c>
      <c r="E934" s="150"/>
      <c r="F934" s="463"/>
      <c r="G934" s="150"/>
      <c r="H934" s="150"/>
      <c r="I934" s="150"/>
      <c r="J934" s="150"/>
      <c r="K934" s="168"/>
      <c r="L934" s="466"/>
      <c r="M934" s="150"/>
      <c r="N934" s="150"/>
      <c r="O934" s="150"/>
      <c r="P934" s="150"/>
      <c r="Q934" s="150">
        <v>48388</v>
      </c>
      <c r="R934" s="150"/>
      <c r="S934" s="150"/>
      <c r="T934" s="150"/>
      <c r="U934" s="150"/>
      <c r="V934" s="150"/>
      <c r="W934" s="168"/>
      <c r="X934" s="150"/>
      <c r="Y934" s="150"/>
      <c r="Z934" s="455"/>
      <c r="AA934" s="150"/>
      <c r="AB934" s="150"/>
      <c r="AC934" s="150"/>
      <c r="AD934" s="150"/>
      <c r="AE934" s="150"/>
      <c r="AF934" s="494">
        <v>0</v>
      </c>
      <c r="AG934" s="150"/>
      <c r="AH934" s="150"/>
      <c r="AI934" s="150"/>
      <c r="AJ934" s="150"/>
      <c r="AK934" s="150"/>
      <c r="AL934" s="150"/>
      <c r="AM934" s="150"/>
      <c r="AN934" s="150"/>
      <c r="AO934" s="150"/>
      <c r="AP934" s="150"/>
      <c r="AQ934" s="150"/>
      <c r="AR934" s="151"/>
      <c r="AS934" s="456"/>
      <c r="AT934" s="151"/>
      <c r="AU934" s="150"/>
      <c r="AV934" s="487"/>
      <c r="AW934" s="150"/>
      <c r="AX934" s="150"/>
      <c r="AY934" s="150"/>
      <c r="AZ934" s="150"/>
      <c r="BA934" s="150"/>
      <c r="BB934" s="150"/>
      <c r="BC934" s="150"/>
      <c r="BD934" s="150"/>
      <c r="BE934" s="150"/>
      <c r="BF934" s="150"/>
      <c r="BG934" s="150"/>
      <c r="BH934" s="150"/>
      <c r="BI934" s="150"/>
      <c r="BJ934" s="150"/>
      <c r="BK934" s="152"/>
      <c r="BL934" s="160"/>
      <c r="BM934" s="150"/>
      <c r="BN934" s="150"/>
      <c r="BO934" s="150"/>
      <c r="BP934" s="152"/>
      <c r="BQ934" s="160"/>
      <c r="BR934" s="152"/>
      <c r="BS934" s="160"/>
    </row>
    <row r="935" spans="1:71" x14ac:dyDescent="0.3">
      <c r="A935" s="420">
        <f>DL!A932</f>
        <v>845</v>
      </c>
      <c r="B935" s="19" t="s">
        <v>1654</v>
      </c>
      <c r="C935" s="149">
        <f>DL!L932</f>
        <v>20</v>
      </c>
      <c r="D935" s="149">
        <f>DL!C932</f>
        <v>0</v>
      </c>
      <c r="E935" s="150"/>
      <c r="F935" s="463"/>
      <c r="G935" s="150"/>
      <c r="H935" s="150"/>
      <c r="I935" s="150"/>
      <c r="J935" s="150"/>
      <c r="K935" s="168"/>
      <c r="L935" s="466"/>
      <c r="M935" s="150"/>
      <c r="N935" s="150"/>
      <c r="O935" s="150"/>
      <c r="P935" s="150"/>
      <c r="Q935" s="150">
        <v>48388</v>
      </c>
      <c r="R935" s="150"/>
      <c r="S935" s="150"/>
      <c r="T935" s="150"/>
      <c r="U935" s="150"/>
      <c r="V935" s="150"/>
      <c r="W935" s="168"/>
      <c r="X935" s="150"/>
      <c r="Y935" s="150"/>
      <c r="Z935" s="455"/>
      <c r="AA935" s="150"/>
      <c r="AB935" s="150"/>
      <c r="AC935" s="150"/>
      <c r="AD935" s="150"/>
      <c r="AE935" s="150"/>
      <c r="AF935" s="494">
        <v>7800</v>
      </c>
      <c r="AG935" s="150"/>
      <c r="AH935" s="150"/>
      <c r="AI935" s="150"/>
      <c r="AJ935" s="150"/>
      <c r="AK935" s="150"/>
      <c r="AL935" s="150"/>
      <c r="AM935" s="150"/>
      <c r="AN935" s="150"/>
      <c r="AO935" s="150"/>
      <c r="AP935" s="150"/>
      <c r="AQ935" s="150"/>
      <c r="AR935" s="151"/>
      <c r="AS935" s="456"/>
      <c r="AT935" s="151"/>
      <c r="AU935" s="150"/>
      <c r="AV935" s="487"/>
      <c r="AW935" s="150"/>
      <c r="AX935" s="150"/>
      <c r="AY935" s="150"/>
      <c r="AZ935" s="150"/>
      <c r="BA935" s="150"/>
      <c r="BB935" s="150"/>
      <c r="BC935" s="150"/>
      <c r="BD935" s="150"/>
      <c r="BE935" s="150"/>
      <c r="BF935" s="150"/>
      <c r="BG935" s="150"/>
      <c r="BH935" s="150"/>
      <c r="BI935" s="150"/>
      <c r="BJ935" s="150"/>
      <c r="BK935" s="152"/>
      <c r="BL935" s="160"/>
      <c r="BM935" s="150"/>
      <c r="BN935" s="150"/>
      <c r="BO935" s="150"/>
      <c r="BP935" s="152"/>
      <c r="BQ935" s="160"/>
      <c r="BR935" s="152"/>
      <c r="BS935" s="160"/>
    </row>
    <row r="936" spans="1:71" x14ac:dyDescent="0.3">
      <c r="A936" s="420"/>
      <c r="B936" s="19"/>
      <c r="C936" s="149">
        <f>DL!L933</f>
        <v>0</v>
      </c>
      <c r="D936" s="149">
        <f>DL!C933</f>
        <v>0</v>
      </c>
      <c r="E936" s="150"/>
      <c r="F936" s="463"/>
      <c r="G936" s="150"/>
      <c r="H936" s="150"/>
      <c r="I936" s="150"/>
      <c r="J936" s="150"/>
      <c r="K936" s="168"/>
      <c r="L936" s="466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68"/>
      <c r="X936" s="150"/>
      <c r="Y936" s="150"/>
      <c r="Z936" s="455"/>
      <c r="AA936" s="150"/>
      <c r="AB936" s="150"/>
      <c r="AC936" s="150"/>
      <c r="AD936" s="150"/>
      <c r="AE936" s="150"/>
      <c r="AF936" s="494">
        <v>0</v>
      </c>
      <c r="AG936" s="150"/>
      <c r="AH936" s="150"/>
      <c r="AI936" s="150"/>
      <c r="AJ936" s="150"/>
      <c r="AK936" s="150"/>
      <c r="AL936" s="150"/>
      <c r="AM936" s="150"/>
      <c r="AN936" s="150"/>
      <c r="AO936" s="150"/>
      <c r="AP936" s="150"/>
      <c r="AQ936" s="150"/>
      <c r="AR936" s="151"/>
      <c r="AS936" s="456"/>
      <c r="AT936" s="151"/>
      <c r="AU936" s="150"/>
      <c r="AV936" s="487"/>
      <c r="AW936" s="150"/>
      <c r="AX936" s="150"/>
      <c r="AY936" s="150"/>
      <c r="AZ936" s="150"/>
      <c r="BA936" s="150"/>
      <c r="BB936" s="150"/>
      <c r="BC936" s="150"/>
      <c r="BD936" s="150"/>
      <c r="BE936" s="150"/>
      <c r="BF936" s="150"/>
      <c r="BG936" s="150"/>
      <c r="BH936" s="150"/>
      <c r="BI936" s="150"/>
      <c r="BJ936" s="150"/>
      <c r="BK936" s="152"/>
      <c r="BL936" s="160"/>
      <c r="BM936" s="150"/>
      <c r="BN936" s="150"/>
      <c r="BO936" s="150"/>
      <c r="BP936" s="152"/>
      <c r="BQ936" s="160"/>
      <c r="BR936" s="152"/>
      <c r="BS936" s="160"/>
    </row>
    <row r="937" spans="1:71" x14ac:dyDescent="0.3">
      <c r="A937" s="420"/>
      <c r="B937" s="19"/>
      <c r="C937" s="149">
        <f>DL!L934</f>
        <v>0</v>
      </c>
      <c r="D937" s="149">
        <f>DL!C934</f>
        <v>0</v>
      </c>
      <c r="E937" s="150"/>
      <c r="F937" s="463"/>
      <c r="G937" s="150"/>
      <c r="H937" s="150"/>
      <c r="I937" s="150"/>
      <c r="J937" s="150"/>
      <c r="K937" s="168"/>
      <c r="L937" s="50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68"/>
      <c r="X937" s="150"/>
      <c r="Y937" s="150"/>
      <c r="Z937" s="455"/>
      <c r="AA937" s="150"/>
      <c r="AB937" s="150"/>
      <c r="AC937" s="150"/>
      <c r="AD937" s="150"/>
      <c r="AE937" s="150"/>
      <c r="AF937" s="494">
        <v>0</v>
      </c>
      <c r="AG937" s="150"/>
      <c r="AH937" s="150"/>
      <c r="AI937" s="150"/>
      <c r="AJ937" s="150"/>
      <c r="AK937" s="150"/>
      <c r="AL937" s="150"/>
      <c r="AM937" s="150"/>
      <c r="AN937" s="150"/>
      <c r="AO937" s="150"/>
      <c r="AP937" s="150"/>
      <c r="AQ937" s="150"/>
      <c r="AR937" s="151"/>
      <c r="AS937" s="456"/>
      <c r="AT937" s="151"/>
      <c r="AU937" s="150"/>
      <c r="AV937" s="487"/>
      <c r="AW937" s="150"/>
      <c r="AX937" s="150"/>
      <c r="AY937" s="150"/>
      <c r="AZ937" s="150"/>
      <c r="BA937" s="150"/>
      <c r="BB937" s="150"/>
      <c r="BC937" s="150"/>
      <c r="BD937" s="150"/>
      <c r="BE937" s="150"/>
      <c r="BF937" s="150"/>
      <c r="BG937" s="150"/>
      <c r="BH937" s="150"/>
      <c r="BI937" s="150"/>
      <c r="BJ937" s="150"/>
      <c r="BK937" s="152"/>
      <c r="BL937" s="160"/>
      <c r="BM937" s="150"/>
      <c r="BN937" s="150"/>
      <c r="BO937" s="150"/>
      <c r="BP937" s="152"/>
      <c r="BQ937" s="160"/>
      <c r="BR937" s="152"/>
      <c r="BS937" s="160"/>
    </row>
    <row r="938" spans="1:71" x14ac:dyDescent="0.3">
      <c r="A938" s="420"/>
      <c r="B938" s="19"/>
      <c r="C938" s="149">
        <f>DL!L935</f>
        <v>0</v>
      </c>
      <c r="D938" s="149">
        <f>DL!C935</f>
        <v>0</v>
      </c>
      <c r="E938" s="150"/>
      <c r="F938" s="463"/>
      <c r="G938" s="150"/>
      <c r="H938" s="150"/>
      <c r="I938" s="150"/>
      <c r="J938" s="150"/>
      <c r="K938" s="168"/>
      <c r="L938" s="50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68"/>
      <c r="X938" s="150"/>
      <c r="Y938" s="150"/>
      <c r="Z938" s="455"/>
      <c r="AA938" s="150"/>
      <c r="AB938" s="150"/>
      <c r="AC938" s="150"/>
      <c r="AD938" s="150"/>
      <c r="AE938" s="150"/>
      <c r="AF938" s="499"/>
      <c r="AG938" s="150"/>
      <c r="AH938" s="150"/>
      <c r="AI938" s="150"/>
      <c r="AJ938" s="150"/>
      <c r="AK938" s="150"/>
      <c r="AL938" s="150"/>
      <c r="AM938" s="150"/>
      <c r="AN938" s="150"/>
      <c r="AO938" s="150"/>
      <c r="AP938" s="150"/>
      <c r="AQ938" s="150"/>
      <c r="AR938" s="151"/>
      <c r="AS938" s="456"/>
      <c r="AT938" s="151"/>
      <c r="AU938" s="150"/>
      <c r="AV938" s="487"/>
      <c r="AW938" s="150"/>
      <c r="AX938" s="150"/>
      <c r="AY938" s="150"/>
      <c r="AZ938" s="150"/>
      <c r="BA938" s="150"/>
      <c r="BB938" s="150"/>
      <c r="BC938" s="150"/>
      <c r="BD938" s="150"/>
      <c r="BE938" s="150"/>
      <c r="BF938" s="150"/>
      <c r="BG938" s="150"/>
      <c r="BH938" s="150"/>
      <c r="BI938" s="150"/>
      <c r="BJ938" s="150"/>
      <c r="BK938" s="152"/>
      <c r="BL938" s="160"/>
      <c r="BM938" s="150"/>
      <c r="BN938" s="150"/>
      <c r="BO938" s="150"/>
      <c r="BP938" s="152"/>
      <c r="BQ938" s="160"/>
      <c r="BR938" s="152"/>
      <c r="BS938" s="160"/>
    </row>
    <row r="939" spans="1:71" x14ac:dyDescent="0.3">
      <c r="A939" s="420"/>
      <c r="B939" s="19"/>
      <c r="C939" s="149">
        <f>DL!L936</f>
        <v>0</v>
      </c>
      <c r="D939" s="149">
        <f>DL!C936</f>
        <v>0</v>
      </c>
      <c r="E939" s="150"/>
      <c r="F939" s="463"/>
      <c r="G939" s="150"/>
      <c r="H939" s="150"/>
      <c r="I939" s="150"/>
      <c r="J939" s="150"/>
      <c r="K939" s="168"/>
      <c r="L939" s="50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68"/>
      <c r="X939" s="150"/>
      <c r="Y939" s="150"/>
      <c r="Z939" s="455"/>
      <c r="AA939" s="150"/>
      <c r="AB939" s="150"/>
      <c r="AC939" s="150"/>
      <c r="AD939" s="150"/>
      <c r="AE939" s="150"/>
      <c r="AF939" s="499"/>
      <c r="AG939" s="150"/>
      <c r="AH939" s="150"/>
      <c r="AI939" s="150"/>
      <c r="AJ939" s="150"/>
      <c r="AK939" s="150"/>
      <c r="AL939" s="150"/>
      <c r="AM939" s="150"/>
      <c r="AN939" s="150"/>
      <c r="AO939" s="150"/>
      <c r="AP939" s="150"/>
      <c r="AQ939" s="150"/>
      <c r="AR939" s="151"/>
      <c r="AS939" s="456"/>
      <c r="AT939" s="151"/>
      <c r="AU939" s="150"/>
      <c r="AV939" s="487"/>
      <c r="AW939" s="150"/>
      <c r="AX939" s="150"/>
      <c r="AY939" s="150"/>
      <c r="AZ939" s="150"/>
      <c r="BA939" s="150"/>
      <c r="BB939" s="150"/>
      <c r="BC939" s="150"/>
      <c r="BD939" s="150"/>
      <c r="BE939" s="150"/>
      <c r="BF939" s="150"/>
      <c r="BG939" s="150"/>
      <c r="BH939" s="150"/>
      <c r="BI939" s="150"/>
      <c r="BJ939" s="150"/>
      <c r="BK939" s="152"/>
      <c r="BL939" s="160"/>
      <c r="BM939" s="150"/>
      <c r="BN939" s="150"/>
      <c r="BO939" s="150"/>
      <c r="BP939" s="152"/>
      <c r="BQ939" s="160"/>
      <c r="BR939" s="152"/>
      <c r="BS939" s="160"/>
    </row>
    <row r="940" spans="1:71" x14ac:dyDescent="0.3">
      <c r="A940" s="420" t="str">
        <f>DL!A937</f>
        <v>LOT 17</v>
      </c>
      <c r="B940" s="20" t="s">
        <v>1657</v>
      </c>
      <c r="C940" s="149">
        <f>DL!L937</f>
        <v>0</v>
      </c>
      <c r="D940" s="149">
        <f>DL!C937</f>
        <v>0</v>
      </c>
      <c r="E940" s="150"/>
      <c r="F940" s="463"/>
      <c r="G940" s="150"/>
      <c r="H940" s="150"/>
      <c r="I940" s="150"/>
      <c r="J940" s="150"/>
      <c r="K940" s="168"/>
      <c r="L940" s="50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68"/>
      <c r="X940" s="150"/>
      <c r="Y940" s="150"/>
      <c r="Z940" s="455"/>
      <c r="AA940" s="150"/>
      <c r="AB940" s="150"/>
      <c r="AC940" s="150"/>
      <c r="AD940" s="150"/>
      <c r="AE940" s="150"/>
      <c r="AF940" s="499"/>
      <c r="AG940" s="150"/>
      <c r="AH940" s="150"/>
      <c r="AI940" s="150"/>
      <c r="AJ940" s="150"/>
      <c r="AK940" s="150"/>
      <c r="AL940" s="150"/>
      <c r="AM940" s="150"/>
      <c r="AN940" s="150"/>
      <c r="AO940" s="150"/>
      <c r="AP940" s="150"/>
      <c r="AQ940" s="150"/>
      <c r="AR940" s="151"/>
      <c r="AS940" s="456"/>
      <c r="AT940" s="151"/>
      <c r="AU940" s="150"/>
      <c r="AV940" s="487"/>
      <c r="AW940" s="150"/>
      <c r="AX940" s="150"/>
      <c r="AY940" s="150"/>
      <c r="AZ940" s="150"/>
      <c r="BA940" s="150"/>
      <c r="BB940" s="150"/>
      <c r="BC940" s="150"/>
      <c r="BD940" s="150"/>
      <c r="BE940" s="150"/>
      <c r="BF940" s="150"/>
      <c r="BG940" s="150"/>
      <c r="BH940" s="150"/>
      <c r="BI940" s="150"/>
      <c r="BJ940" s="150"/>
      <c r="BK940" s="152"/>
      <c r="BL940" s="160"/>
      <c r="BM940" s="150"/>
      <c r="BN940" s="150"/>
      <c r="BO940" s="150"/>
      <c r="BP940" s="152"/>
      <c r="BQ940" s="160"/>
      <c r="BR940" s="152"/>
      <c r="BS940" s="160"/>
    </row>
    <row r="941" spans="1:71" x14ac:dyDescent="0.3">
      <c r="A941" s="420"/>
      <c r="B941" s="19"/>
      <c r="C941" s="149">
        <f>DL!L938</f>
        <v>0</v>
      </c>
      <c r="D941" s="149">
        <f>DL!C938</f>
        <v>0</v>
      </c>
      <c r="E941" s="150"/>
      <c r="F941" s="463"/>
      <c r="G941" s="150"/>
      <c r="H941" s="150"/>
      <c r="I941" s="150"/>
      <c r="J941" s="150"/>
      <c r="K941" s="168"/>
      <c r="L941" s="50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68"/>
      <c r="X941" s="150"/>
      <c r="Y941" s="150"/>
      <c r="Z941" s="455"/>
      <c r="AA941" s="150"/>
      <c r="AB941" s="150"/>
      <c r="AC941" s="150"/>
      <c r="AD941" s="150"/>
      <c r="AE941" s="150"/>
      <c r="AF941" s="499"/>
      <c r="AG941" s="150"/>
      <c r="AH941" s="150"/>
      <c r="AI941" s="150"/>
      <c r="AJ941" s="150"/>
      <c r="AK941" s="150"/>
      <c r="AL941" s="150"/>
      <c r="AM941" s="150"/>
      <c r="AN941" s="150"/>
      <c r="AO941" s="150"/>
      <c r="AP941" s="150"/>
      <c r="AQ941" s="150"/>
      <c r="AR941" s="151"/>
      <c r="AS941" s="456"/>
      <c r="AT941" s="151"/>
      <c r="AU941" s="150"/>
      <c r="AV941" s="487"/>
      <c r="AW941" s="150"/>
      <c r="AX941" s="150"/>
      <c r="AY941" s="150"/>
      <c r="AZ941" s="150"/>
      <c r="BA941" s="150"/>
      <c r="BB941" s="150"/>
      <c r="BC941" s="150"/>
      <c r="BD941" s="150"/>
      <c r="BE941" s="150"/>
      <c r="BF941" s="150"/>
      <c r="BG941" s="150"/>
      <c r="BH941" s="150"/>
      <c r="BI941" s="150"/>
      <c r="BJ941" s="150"/>
      <c r="BK941" s="152"/>
      <c r="BL941" s="160"/>
      <c r="BM941" s="150"/>
      <c r="BN941" s="150"/>
      <c r="BO941" s="150"/>
      <c r="BP941" s="152"/>
      <c r="BQ941" s="160"/>
      <c r="BR941" s="152"/>
      <c r="BS941" s="160"/>
    </row>
    <row r="942" spans="1:71" x14ac:dyDescent="0.3">
      <c r="A942" s="420">
        <f>DL!A939</f>
        <v>846</v>
      </c>
      <c r="B942" s="19" t="s">
        <v>1701</v>
      </c>
      <c r="C942" s="149">
        <f>DL!L939</f>
        <v>1</v>
      </c>
      <c r="D942" s="149" t="str">
        <f>DL!C939</f>
        <v>Bottle (2.5L)</v>
      </c>
      <c r="E942" s="150"/>
      <c r="F942" s="463"/>
      <c r="G942" s="150"/>
      <c r="H942" s="150"/>
      <c r="I942" s="150"/>
      <c r="J942" s="150"/>
      <c r="K942" s="168"/>
      <c r="L942" s="466"/>
      <c r="M942" s="150">
        <v>11800</v>
      </c>
      <c r="N942" s="150"/>
      <c r="O942" s="150"/>
      <c r="P942" s="150"/>
      <c r="Q942" s="150">
        <v>12500</v>
      </c>
      <c r="R942" s="150"/>
      <c r="S942" s="150"/>
      <c r="T942" s="150"/>
      <c r="U942" s="150"/>
      <c r="V942" s="150"/>
      <c r="W942" s="168"/>
      <c r="X942" s="150"/>
      <c r="Y942" s="150"/>
      <c r="Z942" s="455"/>
      <c r="AA942" s="150"/>
      <c r="AB942" s="150"/>
      <c r="AC942" s="150"/>
      <c r="AD942" s="150"/>
      <c r="AE942" s="150"/>
      <c r="AF942" s="495">
        <v>18460</v>
      </c>
      <c r="AG942" s="150"/>
      <c r="AH942" s="150"/>
      <c r="AI942" s="150"/>
      <c r="AJ942" s="150"/>
      <c r="AK942" s="150"/>
      <c r="AL942" s="150"/>
      <c r="AM942" s="150"/>
      <c r="AN942" s="150"/>
      <c r="AO942" s="150"/>
      <c r="AP942" s="150"/>
      <c r="AQ942" s="150"/>
      <c r="AR942" s="151"/>
      <c r="AS942" s="456"/>
      <c r="AT942" s="151"/>
      <c r="AU942" s="150"/>
      <c r="AV942" s="487"/>
      <c r="AW942" s="150"/>
      <c r="AX942" s="150"/>
      <c r="AY942" s="150"/>
      <c r="AZ942" s="150"/>
      <c r="BA942" s="150"/>
      <c r="BB942" s="150"/>
      <c r="BC942" s="150"/>
      <c r="BD942" s="150"/>
      <c r="BE942" s="150"/>
      <c r="BF942" s="150"/>
      <c r="BG942" s="150"/>
      <c r="BH942" s="150"/>
      <c r="BI942" s="150">
        <v>10500</v>
      </c>
      <c r="BJ942" s="150"/>
      <c r="BK942" s="467">
        <v>10500</v>
      </c>
      <c r="BL942" s="160"/>
      <c r="BM942" s="150"/>
      <c r="BN942" s="150"/>
      <c r="BO942" s="150"/>
      <c r="BP942" s="152"/>
      <c r="BQ942" s="160"/>
      <c r="BR942" s="152"/>
      <c r="BS942" s="160"/>
    </row>
    <row r="943" spans="1:71" x14ac:dyDescent="0.3">
      <c r="A943" s="420">
        <f>DL!A940</f>
        <v>847</v>
      </c>
      <c r="B943" s="19" t="s">
        <v>1702</v>
      </c>
      <c r="C943" s="149">
        <f>DL!L940</f>
        <v>1</v>
      </c>
      <c r="D943" s="149" t="str">
        <f>DL!C940</f>
        <v>Bottle (2.5L)</v>
      </c>
      <c r="E943" s="150"/>
      <c r="F943" s="463"/>
      <c r="G943" s="150"/>
      <c r="H943" s="150"/>
      <c r="I943" s="150"/>
      <c r="J943" s="150"/>
      <c r="K943" s="168"/>
      <c r="L943" s="466">
        <v>12000</v>
      </c>
      <c r="M943" s="150">
        <v>11800</v>
      </c>
      <c r="N943" s="150"/>
      <c r="O943" s="150"/>
      <c r="P943" s="150"/>
      <c r="Q943" s="150">
        <v>13750</v>
      </c>
      <c r="R943" s="150"/>
      <c r="S943" s="150"/>
      <c r="T943" s="150"/>
      <c r="U943" s="150"/>
      <c r="V943" s="150"/>
      <c r="W943" s="168"/>
      <c r="X943" s="150"/>
      <c r="Y943" s="150"/>
      <c r="Z943" s="455"/>
      <c r="AA943" s="150"/>
      <c r="AB943" s="150"/>
      <c r="AC943" s="150"/>
      <c r="AD943" s="150"/>
      <c r="AE943" s="150"/>
      <c r="AF943" s="495">
        <v>16250</v>
      </c>
      <c r="AG943" s="150"/>
      <c r="AH943" s="150"/>
      <c r="AI943" s="150"/>
      <c r="AJ943" s="150"/>
      <c r="AK943" s="150"/>
      <c r="AL943" s="150"/>
      <c r="AM943" s="150"/>
      <c r="AN943" s="150"/>
      <c r="AO943" s="150"/>
      <c r="AP943" s="150"/>
      <c r="AQ943" s="150"/>
      <c r="AR943" s="151"/>
      <c r="AS943" s="456"/>
      <c r="AT943" s="151"/>
      <c r="AU943" s="150"/>
      <c r="AV943" s="487"/>
      <c r="AW943" s="150"/>
      <c r="AX943" s="150"/>
      <c r="AY943" s="150"/>
      <c r="AZ943" s="150"/>
      <c r="BA943" s="150"/>
      <c r="BB943" s="150"/>
      <c r="BC943" s="150"/>
      <c r="BD943" s="150"/>
      <c r="BE943" s="150"/>
      <c r="BF943" s="150"/>
      <c r="BG943" s="150"/>
      <c r="BH943" s="150"/>
      <c r="BI943" s="150">
        <v>5000</v>
      </c>
      <c r="BJ943" s="150"/>
      <c r="BK943" s="467">
        <v>10500</v>
      </c>
      <c r="BL943" s="160"/>
      <c r="BM943" s="150"/>
      <c r="BN943" s="150"/>
      <c r="BO943" s="150"/>
      <c r="BP943" s="152"/>
      <c r="BQ943" s="160"/>
      <c r="BR943" s="152"/>
      <c r="BS943" s="160"/>
    </row>
    <row r="944" spans="1:71" x14ac:dyDescent="0.3">
      <c r="A944" s="420">
        <f>DL!A941</f>
        <v>848</v>
      </c>
      <c r="B944" s="19" t="s">
        <v>1703</v>
      </c>
      <c r="C944" s="149">
        <f>DL!L941</f>
        <v>1</v>
      </c>
      <c r="D944" s="149" t="str">
        <f>DL!C941</f>
        <v>1 bottle (25G)</v>
      </c>
      <c r="E944" s="150"/>
      <c r="F944" s="463"/>
      <c r="G944" s="150"/>
      <c r="H944" s="150"/>
      <c r="I944" s="150"/>
      <c r="J944" s="150"/>
      <c r="K944" s="168"/>
      <c r="L944" s="466"/>
      <c r="M944" s="150">
        <v>4000</v>
      </c>
      <c r="N944" s="150"/>
      <c r="O944" s="150"/>
      <c r="P944" s="150"/>
      <c r="Q944" s="150">
        <v>3500</v>
      </c>
      <c r="R944" s="150"/>
      <c r="S944" s="150"/>
      <c r="T944" s="150"/>
      <c r="U944" s="150"/>
      <c r="V944" s="150"/>
      <c r="W944" s="168"/>
      <c r="X944" s="150"/>
      <c r="Y944" s="150"/>
      <c r="Z944" s="455"/>
      <c r="AA944" s="150"/>
      <c r="AB944" s="150"/>
      <c r="AC944" s="150"/>
      <c r="AD944" s="150"/>
      <c r="AE944" s="150"/>
      <c r="AF944" s="494">
        <v>16250</v>
      </c>
      <c r="AG944" s="150"/>
      <c r="AH944" s="150"/>
      <c r="AI944" s="150"/>
      <c r="AJ944" s="150"/>
      <c r="AK944" s="150"/>
      <c r="AL944" s="150"/>
      <c r="AM944" s="150"/>
      <c r="AN944" s="150"/>
      <c r="AO944" s="150"/>
      <c r="AP944" s="150"/>
      <c r="AQ944" s="150"/>
      <c r="AR944" s="151"/>
      <c r="AS944" s="456"/>
      <c r="AT944" s="151"/>
      <c r="AU944" s="150"/>
      <c r="AV944" s="487"/>
      <c r="AW944" s="150"/>
      <c r="AX944" s="150"/>
      <c r="AY944" s="150"/>
      <c r="AZ944" s="150"/>
      <c r="BA944" s="150"/>
      <c r="BB944" s="150"/>
      <c r="BC944" s="150"/>
      <c r="BD944" s="150"/>
      <c r="BE944" s="150"/>
      <c r="BF944" s="150"/>
      <c r="BG944" s="150"/>
      <c r="BH944" s="150"/>
      <c r="BI944" s="150">
        <v>4000</v>
      </c>
      <c r="BJ944" s="150"/>
      <c r="BK944" s="467">
        <v>25000</v>
      </c>
      <c r="BL944" s="160"/>
      <c r="BM944" s="150"/>
      <c r="BN944" s="150"/>
      <c r="BO944" s="150"/>
      <c r="BP944" s="152"/>
      <c r="BQ944" s="160"/>
      <c r="BR944" s="152"/>
      <c r="BS944" s="160"/>
    </row>
    <row r="945" spans="1:71" x14ac:dyDescent="0.3">
      <c r="A945" s="420">
        <f>DL!A942</f>
        <v>849</v>
      </c>
      <c r="B945" s="19" t="s">
        <v>1704</v>
      </c>
      <c r="C945" s="149">
        <f>DL!L942</f>
        <v>180</v>
      </c>
      <c r="D945" s="149" t="str">
        <f>DL!C942</f>
        <v>1 keg (40 Ltrs)</v>
      </c>
      <c r="E945" s="150"/>
      <c r="F945" s="463"/>
      <c r="G945" s="150"/>
      <c r="H945" s="150"/>
      <c r="I945" s="150"/>
      <c r="J945" s="150"/>
      <c r="K945" s="168"/>
      <c r="L945" s="466">
        <v>9500</v>
      </c>
      <c r="M945" s="150">
        <v>15500</v>
      </c>
      <c r="N945" s="150"/>
      <c r="O945" s="150"/>
      <c r="P945" s="150"/>
      <c r="Q945" s="150">
        <v>10625</v>
      </c>
      <c r="R945" s="150"/>
      <c r="S945" s="150"/>
      <c r="T945" s="150"/>
      <c r="U945" s="150"/>
      <c r="V945" s="150"/>
      <c r="W945" s="168"/>
      <c r="X945" s="150"/>
      <c r="Y945" s="150"/>
      <c r="Z945" s="455"/>
      <c r="AA945" s="150"/>
      <c r="AB945" s="150"/>
      <c r="AC945" s="150"/>
      <c r="AD945" s="150"/>
      <c r="AE945" s="150"/>
      <c r="AF945" s="494">
        <v>0</v>
      </c>
      <c r="AG945" s="150"/>
      <c r="AH945" s="150"/>
      <c r="AI945" s="150"/>
      <c r="AJ945" s="150"/>
      <c r="AK945" s="150"/>
      <c r="AL945" s="150"/>
      <c r="AM945" s="150"/>
      <c r="AN945" s="150"/>
      <c r="AO945" s="150"/>
      <c r="AP945" s="150"/>
      <c r="AQ945" s="150"/>
      <c r="AR945" s="151"/>
      <c r="AS945" s="456"/>
      <c r="AT945" s="151"/>
      <c r="AU945" s="150"/>
      <c r="AV945" s="487"/>
      <c r="AW945" s="150"/>
      <c r="AX945" s="150"/>
      <c r="AY945" s="150"/>
      <c r="AZ945" s="150"/>
      <c r="BA945" s="150"/>
      <c r="BB945" s="150"/>
      <c r="BC945" s="150"/>
      <c r="BD945" s="150"/>
      <c r="BE945" s="150"/>
      <c r="BF945" s="150"/>
      <c r="BG945" s="150"/>
      <c r="BH945" s="150"/>
      <c r="BI945" s="150">
        <v>9300</v>
      </c>
      <c r="BJ945" s="150"/>
      <c r="BK945" s="467">
        <v>10300</v>
      </c>
      <c r="BL945" s="160"/>
      <c r="BM945" s="150"/>
      <c r="BN945" s="150"/>
      <c r="BO945" s="150"/>
      <c r="BP945" s="152"/>
      <c r="BQ945" s="160"/>
      <c r="BR945" s="152"/>
      <c r="BS945" s="160"/>
    </row>
    <row r="946" spans="1:71" x14ac:dyDescent="0.3">
      <c r="A946" s="420">
        <f>DL!A943</f>
        <v>850</v>
      </c>
      <c r="B946" s="19" t="s">
        <v>1705</v>
      </c>
      <c r="C946" s="149">
        <f>DL!L943</f>
        <v>20</v>
      </c>
      <c r="D946" s="149" t="str">
        <f>DL!C943</f>
        <v>1 Carton (40packs)</v>
      </c>
      <c r="E946" s="150"/>
      <c r="F946" s="463"/>
      <c r="G946" s="150"/>
      <c r="H946" s="150"/>
      <c r="I946" s="150"/>
      <c r="J946" s="150"/>
      <c r="K946" s="168"/>
      <c r="L946" s="466">
        <v>18000</v>
      </c>
      <c r="M946" s="150">
        <v>18000</v>
      </c>
      <c r="N946" s="150"/>
      <c r="O946" s="150"/>
      <c r="P946" s="150"/>
      <c r="Q946" s="150">
        <v>19375</v>
      </c>
      <c r="R946" s="150"/>
      <c r="S946" s="150"/>
      <c r="T946" s="150"/>
      <c r="U946" s="150"/>
      <c r="V946" s="150"/>
      <c r="W946" s="168"/>
      <c r="X946" s="150"/>
      <c r="Y946" s="150"/>
      <c r="Z946" s="455"/>
      <c r="AA946" s="150"/>
      <c r="AB946" s="150"/>
      <c r="AC946" s="150"/>
      <c r="AD946" s="150"/>
      <c r="AE946" s="150"/>
      <c r="AF946" s="494">
        <v>22750</v>
      </c>
      <c r="AG946" s="150"/>
      <c r="AH946" s="150"/>
      <c r="AI946" s="150"/>
      <c r="AJ946" s="150"/>
      <c r="AK946" s="150"/>
      <c r="AL946" s="150"/>
      <c r="AM946" s="150"/>
      <c r="AN946" s="150"/>
      <c r="AO946" s="150"/>
      <c r="AP946" s="150"/>
      <c r="AQ946" s="150"/>
      <c r="AR946" s="151"/>
      <c r="AS946" s="456"/>
      <c r="AT946" s="151"/>
      <c r="AU946" s="150"/>
      <c r="AV946" s="487"/>
      <c r="AW946" s="150"/>
      <c r="AX946" s="150"/>
      <c r="AY946" s="150"/>
      <c r="AZ946" s="150"/>
      <c r="BA946" s="150"/>
      <c r="BB946" s="150"/>
      <c r="BC946" s="150"/>
      <c r="BD946" s="150"/>
      <c r="BE946" s="150"/>
      <c r="BF946" s="150"/>
      <c r="BG946" s="150"/>
      <c r="BH946" s="150"/>
      <c r="BI946" s="150">
        <v>19800</v>
      </c>
      <c r="BJ946" s="150"/>
      <c r="BK946" s="467">
        <v>20000</v>
      </c>
      <c r="BL946" s="160"/>
      <c r="BM946" s="150"/>
      <c r="BN946" s="150"/>
      <c r="BO946" s="150"/>
      <c r="BP946" s="152"/>
      <c r="BQ946" s="160"/>
      <c r="BR946" s="152"/>
      <c r="BS946" s="160"/>
    </row>
    <row r="947" spans="1:71" x14ac:dyDescent="0.3">
      <c r="A947" s="420">
        <f>DL!A944</f>
        <v>851</v>
      </c>
      <c r="B947" s="19" t="s">
        <v>1706</v>
      </c>
      <c r="C947" s="149">
        <v>5</v>
      </c>
      <c r="D947" s="149" t="str">
        <f>DL!C944</f>
        <v>1 bottle (2.5L)</v>
      </c>
      <c r="E947" s="150"/>
      <c r="F947" s="463"/>
      <c r="G947" s="150"/>
      <c r="H947" s="150"/>
      <c r="I947" s="150"/>
      <c r="J947" s="150"/>
      <c r="K947" s="168"/>
      <c r="L947" s="466">
        <v>7500</v>
      </c>
      <c r="M947" s="150">
        <v>11800</v>
      </c>
      <c r="N947" s="150"/>
      <c r="O947" s="150"/>
      <c r="P947" s="150"/>
      <c r="Q947" s="150">
        <v>14375</v>
      </c>
      <c r="R947" s="150"/>
      <c r="S947" s="150"/>
      <c r="T947" s="150"/>
      <c r="U947" s="150"/>
      <c r="V947" s="150"/>
      <c r="W947" s="168"/>
      <c r="X947" s="150"/>
      <c r="Y947" s="150"/>
      <c r="Z947" s="455"/>
      <c r="AA947" s="150"/>
      <c r="AB947" s="150"/>
      <c r="AC947" s="150"/>
      <c r="AD947" s="150"/>
      <c r="AE947" s="150"/>
      <c r="AF947" s="495">
        <v>19500</v>
      </c>
      <c r="AG947" s="150"/>
      <c r="AH947" s="150"/>
      <c r="AI947" s="150"/>
      <c r="AJ947" s="150"/>
      <c r="AK947" s="150"/>
      <c r="AL947" s="150"/>
      <c r="AM947" s="150"/>
      <c r="AN947" s="150"/>
      <c r="AO947" s="150"/>
      <c r="AP947" s="150"/>
      <c r="AQ947" s="150"/>
      <c r="AR947" s="151"/>
      <c r="AS947" s="456"/>
      <c r="AT947" s="151"/>
      <c r="AU947" s="150"/>
      <c r="AV947" s="487"/>
      <c r="AW947" s="150"/>
      <c r="AX947" s="150"/>
      <c r="AY947" s="150"/>
      <c r="AZ947" s="150"/>
      <c r="BA947" s="150"/>
      <c r="BB947" s="150"/>
      <c r="BC947" s="150"/>
      <c r="BD947" s="150"/>
      <c r="BE947" s="150"/>
      <c r="BF947" s="150"/>
      <c r="BG947" s="150"/>
      <c r="BH947" s="150"/>
      <c r="BI947" s="150">
        <v>9800</v>
      </c>
      <c r="BJ947" s="150"/>
      <c r="BK947" s="467">
        <v>12000</v>
      </c>
      <c r="BL947" s="160"/>
      <c r="BM947" s="150"/>
      <c r="BN947" s="150"/>
      <c r="BO947" s="150"/>
      <c r="BP947" s="152"/>
      <c r="BQ947" s="160"/>
      <c r="BR947" s="152"/>
      <c r="BS947" s="160"/>
    </row>
    <row r="948" spans="1:71" x14ac:dyDescent="0.3">
      <c r="A948" s="420">
        <f>DL!A945</f>
        <v>852</v>
      </c>
      <c r="B948" s="19" t="s">
        <v>1707</v>
      </c>
      <c r="C948" s="149">
        <f>DL!L945</f>
        <v>20</v>
      </c>
      <c r="D948" s="149" t="str">
        <f>DL!C945</f>
        <v>1Carton (10x100)</v>
      </c>
      <c r="E948" s="150"/>
      <c r="F948" s="463"/>
      <c r="G948" s="150"/>
      <c r="H948" s="150"/>
      <c r="I948" s="150"/>
      <c r="J948" s="150"/>
      <c r="K948" s="168"/>
      <c r="L948" s="466">
        <v>14000</v>
      </c>
      <c r="M948" s="150">
        <v>7500</v>
      </c>
      <c r="N948" s="150"/>
      <c r="O948" s="150"/>
      <c r="P948" s="150"/>
      <c r="Q948" s="150">
        <v>16875</v>
      </c>
      <c r="R948" s="150"/>
      <c r="S948" s="150"/>
      <c r="T948" s="150"/>
      <c r="U948" s="150"/>
      <c r="V948" s="150"/>
      <c r="W948" s="168"/>
      <c r="X948" s="150"/>
      <c r="Y948" s="150"/>
      <c r="Z948" s="455"/>
      <c r="AA948" s="150"/>
      <c r="AB948" s="150"/>
      <c r="AC948" s="150"/>
      <c r="AD948" s="150"/>
      <c r="AE948" s="150"/>
      <c r="AF948" s="494">
        <v>11050</v>
      </c>
      <c r="AG948" s="150"/>
      <c r="AH948" s="150"/>
      <c r="AI948" s="150"/>
      <c r="AJ948" s="150"/>
      <c r="AK948" s="150"/>
      <c r="AL948" s="150"/>
      <c r="AM948" s="150"/>
      <c r="AN948" s="150"/>
      <c r="AO948" s="150"/>
      <c r="AP948" s="150"/>
      <c r="AQ948" s="150"/>
      <c r="AR948" s="151"/>
      <c r="AS948" s="456"/>
      <c r="AT948" s="151"/>
      <c r="AU948" s="150"/>
      <c r="AV948" s="487"/>
      <c r="AW948" s="150"/>
      <c r="AX948" s="150"/>
      <c r="AY948" s="150"/>
      <c r="AZ948" s="150"/>
      <c r="BA948" s="150"/>
      <c r="BB948" s="150"/>
      <c r="BC948" s="150"/>
      <c r="BD948" s="150"/>
      <c r="BE948" s="150"/>
      <c r="BF948" s="150"/>
      <c r="BG948" s="150"/>
      <c r="BH948" s="150"/>
      <c r="BI948" s="150">
        <v>5900</v>
      </c>
      <c r="BJ948" s="150"/>
      <c r="BK948" s="467">
        <v>20000</v>
      </c>
      <c r="BL948" s="160"/>
      <c r="BM948" s="150"/>
      <c r="BN948" s="150"/>
      <c r="BO948" s="150"/>
      <c r="BP948" s="152"/>
      <c r="BQ948" s="160"/>
      <c r="BR948" s="152"/>
      <c r="BS948" s="160"/>
    </row>
    <row r="949" spans="1:71" x14ac:dyDescent="0.3">
      <c r="A949" s="420">
        <f>DL!A946</f>
        <v>853</v>
      </c>
      <c r="B949" s="19" t="s">
        <v>1708</v>
      </c>
      <c r="C949" s="149">
        <f>DL!L946</f>
        <v>20</v>
      </c>
      <c r="D949" s="149" t="str">
        <f>DL!C946</f>
        <v>1 Carton (10x100)</v>
      </c>
      <c r="E949" s="150"/>
      <c r="F949" s="463"/>
      <c r="G949" s="150"/>
      <c r="H949" s="150"/>
      <c r="I949" s="150"/>
      <c r="J949" s="150"/>
      <c r="K949" s="168"/>
      <c r="L949" s="466">
        <v>15000</v>
      </c>
      <c r="M949" s="150"/>
      <c r="N949" s="150"/>
      <c r="O949" s="150"/>
      <c r="P949" s="150"/>
      <c r="Q949" s="150">
        <v>16875</v>
      </c>
      <c r="R949" s="150"/>
      <c r="S949" s="150"/>
      <c r="T949" s="150"/>
      <c r="U949" s="150"/>
      <c r="V949" s="150"/>
      <c r="W949" s="168"/>
      <c r="X949" s="150"/>
      <c r="Y949" s="150"/>
      <c r="Z949" s="455"/>
      <c r="AA949" s="150"/>
      <c r="AB949" s="150"/>
      <c r="AC949" s="150"/>
      <c r="AD949" s="150"/>
      <c r="AE949" s="150"/>
      <c r="AF949" s="494">
        <v>12350</v>
      </c>
      <c r="AG949" s="150"/>
      <c r="AH949" s="150"/>
      <c r="AI949" s="150"/>
      <c r="AJ949" s="150"/>
      <c r="AK949" s="150"/>
      <c r="AL949" s="150"/>
      <c r="AM949" s="150"/>
      <c r="AN949" s="150"/>
      <c r="AO949" s="150"/>
      <c r="AP949" s="150"/>
      <c r="AQ949" s="150"/>
      <c r="AR949" s="151"/>
      <c r="AS949" s="456"/>
      <c r="AT949" s="151"/>
      <c r="AU949" s="150"/>
      <c r="AV949" s="487"/>
      <c r="AW949" s="150"/>
      <c r="AX949" s="150"/>
      <c r="AY949" s="150"/>
      <c r="AZ949" s="150"/>
      <c r="BA949" s="150"/>
      <c r="BB949" s="150"/>
      <c r="BC949" s="150"/>
      <c r="BD949" s="150"/>
      <c r="BE949" s="150"/>
      <c r="BF949" s="150"/>
      <c r="BG949" s="150"/>
      <c r="BH949" s="150"/>
      <c r="BI949" s="150"/>
      <c r="BJ949" s="150"/>
      <c r="BK949" s="467">
        <v>22000</v>
      </c>
      <c r="BL949" s="160"/>
      <c r="BM949" s="150"/>
      <c r="BN949" s="150"/>
      <c r="BO949" s="150"/>
      <c r="BP949" s="152"/>
      <c r="BQ949" s="160"/>
      <c r="BR949" s="152"/>
      <c r="BS949" s="160"/>
    </row>
    <row r="950" spans="1:71" x14ac:dyDescent="0.3">
      <c r="A950" s="420">
        <f>DL!A947</f>
        <v>854</v>
      </c>
      <c r="B950" s="19" t="s">
        <v>1709</v>
      </c>
      <c r="C950" s="149">
        <f>DL!L947</f>
        <v>20</v>
      </c>
      <c r="D950" s="149" t="str">
        <f>DL!C947</f>
        <v>1Carton (10x100)</v>
      </c>
      <c r="E950" s="150"/>
      <c r="F950" s="463"/>
      <c r="G950" s="150"/>
      <c r="H950" s="150"/>
      <c r="I950" s="150"/>
      <c r="J950" s="150"/>
      <c r="K950" s="168"/>
      <c r="L950" s="466">
        <v>16000</v>
      </c>
      <c r="M950" s="150"/>
      <c r="N950" s="150"/>
      <c r="O950" s="150"/>
      <c r="P950" s="150"/>
      <c r="Q950" s="150">
        <v>18125</v>
      </c>
      <c r="R950" s="150"/>
      <c r="S950" s="150"/>
      <c r="T950" s="150"/>
      <c r="U950" s="150"/>
      <c r="V950" s="150"/>
      <c r="W950" s="168"/>
      <c r="X950" s="150"/>
      <c r="Y950" s="150"/>
      <c r="Z950" s="455"/>
      <c r="AA950" s="150"/>
      <c r="AB950" s="150"/>
      <c r="AC950" s="150"/>
      <c r="AD950" s="150"/>
      <c r="AE950" s="150"/>
      <c r="AF950" s="494">
        <v>0</v>
      </c>
      <c r="AG950" s="150"/>
      <c r="AH950" s="150"/>
      <c r="AI950" s="150"/>
      <c r="AJ950" s="150"/>
      <c r="AK950" s="150"/>
      <c r="AL950" s="150"/>
      <c r="AM950" s="150"/>
      <c r="AN950" s="150"/>
      <c r="AO950" s="150"/>
      <c r="AP950" s="150"/>
      <c r="AQ950" s="150"/>
      <c r="AR950" s="151"/>
      <c r="AS950" s="456"/>
      <c r="AT950" s="151"/>
      <c r="AU950" s="150"/>
      <c r="AV950" s="487"/>
      <c r="AW950" s="150"/>
      <c r="AX950" s="150"/>
      <c r="AY950" s="150"/>
      <c r="AZ950" s="150"/>
      <c r="BA950" s="150"/>
      <c r="BB950" s="150"/>
      <c r="BC950" s="150"/>
      <c r="BD950" s="150"/>
      <c r="BE950" s="150"/>
      <c r="BF950" s="150"/>
      <c r="BG950" s="150"/>
      <c r="BH950" s="150"/>
      <c r="BI950" s="150">
        <v>17500</v>
      </c>
      <c r="BJ950" s="150"/>
      <c r="BK950" s="467">
        <v>25000</v>
      </c>
      <c r="BL950" s="160"/>
      <c r="BM950" s="150"/>
      <c r="BN950" s="150"/>
      <c r="BO950" s="150"/>
      <c r="BP950" s="152"/>
      <c r="BQ950" s="160"/>
      <c r="BR950" s="152"/>
      <c r="BS950" s="160"/>
    </row>
    <row r="951" spans="1:71" x14ac:dyDescent="0.3">
      <c r="A951" s="420">
        <f>DL!A948</f>
        <v>855</v>
      </c>
      <c r="B951" s="19" t="s">
        <v>1710</v>
      </c>
      <c r="C951" s="149">
        <f>DL!L948</f>
        <v>1</v>
      </c>
      <c r="D951" s="149" t="str">
        <f>DL!C948</f>
        <v>1 bottle (2.5L)</v>
      </c>
      <c r="E951" s="150"/>
      <c r="F951" s="463"/>
      <c r="G951" s="150"/>
      <c r="H951" s="150"/>
      <c r="I951" s="150"/>
      <c r="J951" s="150"/>
      <c r="K951" s="168"/>
      <c r="L951" s="466">
        <v>7000</v>
      </c>
      <c r="M951" s="150">
        <v>11800</v>
      </c>
      <c r="N951" s="150"/>
      <c r="O951" s="150"/>
      <c r="P951" s="150"/>
      <c r="Q951" s="150">
        <v>6875</v>
      </c>
      <c r="R951" s="150"/>
      <c r="S951" s="150"/>
      <c r="T951" s="150"/>
      <c r="U951" s="150"/>
      <c r="V951" s="150"/>
      <c r="W951" s="168"/>
      <c r="X951" s="150"/>
      <c r="Y951" s="150"/>
      <c r="Z951" s="455"/>
      <c r="AA951" s="150"/>
      <c r="AB951" s="150"/>
      <c r="AC951" s="150"/>
      <c r="AD951" s="150"/>
      <c r="AE951" s="150"/>
      <c r="AF951" s="495">
        <v>16900</v>
      </c>
      <c r="AG951" s="150"/>
      <c r="AH951" s="150"/>
      <c r="AI951" s="150"/>
      <c r="AJ951" s="150"/>
      <c r="AK951" s="150"/>
      <c r="AL951" s="150"/>
      <c r="AM951" s="150"/>
      <c r="AN951" s="150"/>
      <c r="AO951" s="150"/>
      <c r="AP951" s="150"/>
      <c r="AQ951" s="150"/>
      <c r="AR951" s="151"/>
      <c r="AS951" s="456"/>
      <c r="AT951" s="151"/>
      <c r="AU951" s="150"/>
      <c r="AV951" s="487"/>
      <c r="AW951" s="150"/>
      <c r="AX951" s="150"/>
      <c r="AY951" s="150"/>
      <c r="AZ951" s="150"/>
      <c r="BA951" s="150"/>
      <c r="BB951" s="150"/>
      <c r="BC951" s="150"/>
      <c r="BD951" s="150"/>
      <c r="BE951" s="150"/>
      <c r="BF951" s="150"/>
      <c r="BG951" s="150"/>
      <c r="BH951" s="150"/>
      <c r="BI951" s="150">
        <v>5000</v>
      </c>
      <c r="BJ951" s="150"/>
      <c r="BK951" s="467">
        <v>10500</v>
      </c>
      <c r="BL951" s="160"/>
      <c r="BM951" s="150"/>
      <c r="BN951" s="150"/>
      <c r="BO951" s="150"/>
      <c r="BP951" s="152"/>
      <c r="BQ951" s="160"/>
      <c r="BR951" s="152"/>
      <c r="BS951" s="160"/>
    </row>
    <row r="952" spans="1:71" x14ac:dyDescent="0.3">
      <c r="A952" s="420">
        <f>DL!A949</f>
        <v>856</v>
      </c>
      <c r="B952" s="19" t="s">
        <v>1711</v>
      </c>
      <c r="C952" s="149">
        <f>DL!L949</f>
        <v>10</v>
      </c>
      <c r="D952" s="149" t="str">
        <f>DL!C949</f>
        <v>1 bottle (2.5L)</v>
      </c>
      <c r="E952" s="150"/>
      <c r="F952" s="463"/>
      <c r="G952" s="150"/>
      <c r="H952" s="150"/>
      <c r="I952" s="150"/>
      <c r="J952" s="150"/>
      <c r="K952" s="168"/>
      <c r="L952" s="466">
        <v>9500</v>
      </c>
      <c r="M952" s="150">
        <v>9600</v>
      </c>
      <c r="N952" s="150"/>
      <c r="O952" s="150"/>
      <c r="P952" s="150"/>
      <c r="Q952" s="150">
        <v>4750</v>
      </c>
      <c r="R952" s="150"/>
      <c r="S952" s="150"/>
      <c r="T952" s="150"/>
      <c r="U952" s="150"/>
      <c r="V952" s="150"/>
      <c r="W952" s="168"/>
      <c r="X952" s="150"/>
      <c r="Y952" s="150"/>
      <c r="Z952" s="455"/>
      <c r="AA952" s="150"/>
      <c r="AB952" s="150"/>
      <c r="AC952" s="150"/>
      <c r="AD952" s="150"/>
      <c r="AE952" s="150"/>
      <c r="AF952" s="495">
        <v>13000</v>
      </c>
      <c r="AG952" s="150"/>
      <c r="AH952" s="150"/>
      <c r="AI952" s="150"/>
      <c r="AJ952" s="150"/>
      <c r="AK952" s="150"/>
      <c r="AL952" s="150"/>
      <c r="AM952" s="150"/>
      <c r="AN952" s="150"/>
      <c r="AO952" s="150"/>
      <c r="AP952" s="150"/>
      <c r="AQ952" s="150"/>
      <c r="AR952" s="151"/>
      <c r="AS952" s="456"/>
      <c r="AT952" s="151"/>
      <c r="AU952" s="150"/>
      <c r="AV952" s="487"/>
      <c r="AW952" s="150"/>
      <c r="AX952" s="150"/>
      <c r="AY952" s="150"/>
      <c r="AZ952" s="150"/>
      <c r="BA952" s="150"/>
      <c r="BB952" s="150"/>
      <c r="BC952" s="150"/>
      <c r="BD952" s="150"/>
      <c r="BE952" s="150"/>
      <c r="BF952" s="150"/>
      <c r="BG952" s="150"/>
      <c r="BH952" s="150"/>
      <c r="BI952" s="150">
        <v>4500</v>
      </c>
      <c r="BJ952" s="150"/>
      <c r="BK952" s="467">
        <v>7500</v>
      </c>
      <c r="BL952" s="160"/>
      <c r="BM952" s="150"/>
      <c r="BN952" s="150"/>
      <c r="BO952" s="150"/>
      <c r="BP952" s="152"/>
      <c r="BQ952" s="160"/>
      <c r="BR952" s="152"/>
      <c r="BS952" s="160"/>
    </row>
    <row r="953" spans="1:71" x14ac:dyDescent="0.3">
      <c r="A953" s="420">
        <f>DL!A950</f>
        <v>857</v>
      </c>
      <c r="B953" s="19" t="s">
        <v>1712</v>
      </c>
      <c r="C953" s="149">
        <f>DL!L950</f>
        <v>20</v>
      </c>
      <c r="D953" s="149" t="str">
        <f>DL!C950</f>
        <v>1 pack (50pcs)</v>
      </c>
      <c r="E953" s="150"/>
      <c r="F953" s="463"/>
      <c r="G953" s="150"/>
      <c r="H953" s="150"/>
      <c r="I953" s="150"/>
      <c r="J953" s="150"/>
      <c r="K953" s="168"/>
      <c r="L953" s="466">
        <v>49000</v>
      </c>
      <c r="M953" s="150">
        <v>54000</v>
      </c>
      <c r="N953" s="150"/>
      <c r="O953" s="150"/>
      <c r="P953" s="150"/>
      <c r="Q953" s="150">
        <v>51250</v>
      </c>
      <c r="R953" s="150"/>
      <c r="S953" s="150"/>
      <c r="T953" s="150"/>
      <c r="U953" s="150"/>
      <c r="V953" s="150"/>
      <c r="W953" s="168"/>
      <c r="X953" s="150"/>
      <c r="Y953" s="150"/>
      <c r="Z953" s="455"/>
      <c r="AA953" s="150"/>
      <c r="AB953" s="150"/>
      <c r="AC953" s="150"/>
      <c r="AD953" s="150"/>
      <c r="AE953" s="150"/>
      <c r="AF953" s="494">
        <v>0</v>
      </c>
      <c r="AG953" s="150"/>
      <c r="AH953" s="150"/>
      <c r="AI953" s="150"/>
      <c r="AJ953" s="150"/>
      <c r="AK953" s="150"/>
      <c r="AL953" s="150"/>
      <c r="AM953" s="150"/>
      <c r="AN953" s="150"/>
      <c r="AO953" s="150"/>
      <c r="AP953" s="150"/>
      <c r="AQ953" s="150"/>
      <c r="AR953" s="151"/>
      <c r="AS953" s="456"/>
      <c r="AT953" s="151"/>
      <c r="AU953" s="150"/>
      <c r="AV953" s="487"/>
      <c r="AW953" s="150"/>
      <c r="AX953" s="150"/>
      <c r="AY953" s="150"/>
      <c r="AZ953" s="150"/>
      <c r="BA953" s="150"/>
      <c r="BB953" s="150"/>
      <c r="BC953" s="150"/>
      <c r="BD953" s="150"/>
      <c r="BE953" s="150"/>
      <c r="BF953" s="150"/>
      <c r="BG953" s="150"/>
      <c r="BH953" s="150"/>
      <c r="BI953" s="150">
        <v>55500</v>
      </c>
      <c r="BJ953" s="150"/>
      <c r="BK953" s="467">
        <v>40000</v>
      </c>
      <c r="BL953" s="160"/>
      <c r="BM953" s="150"/>
      <c r="BN953" s="150"/>
      <c r="BO953" s="150"/>
      <c r="BP953" s="152"/>
      <c r="BQ953" s="160"/>
      <c r="BR953" s="152"/>
      <c r="BS953" s="160"/>
    </row>
    <row r="954" spans="1:71" x14ac:dyDescent="0.3">
      <c r="A954" s="420">
        <f>DL!A951</f>
        <v>858</v>
      </c>
      <c r="B954" s="19" t="s">
        <v>1713</v>
      </c>
      <c r="C954" s="149">
        <f>DL!L951</f>
        <v>5</v>
      </c>
      <c r="D954" s="149" t="str">
        <f>DL!C951</f>
        <v>1 pack (20pcs)</v>
      </c>
      <c r="E954" s="150"/>
      <c r="F954" s="463"/>
      <c r="G954" s="150"/>
      <c r="H954" s="150"/>
      <c r="I954" s="150"/>
      <c r="J954" s="150"/>
      <c r="K954" s="168"/>
      <c r="L954" s="466"/>
      <c r="M954" s="150">
        <v>2500</v>
      </c>
      <c r="N954" s="150"/>
      <c r="O954" s="150"/>
      <c r="P954" s="150"/>
      <c r="Q954" s="150">
        <v>8750</v>
      </c>
      <c r="R954" s="150"/>
      <c r="S954" s="150"/>
      <c r="T954" s="150"/>
      <c r="U954" s="150"/>
      <c r="V954" s="150"/>
      <c r="W954" s="168"/>
      <c r="X954" s="150"/>
      <c r="Y954" s="150"/>
      <c r="Z954" s="455"/>
      <c r="AA954" s="150"/>
      <c r="AB954" s="150"/>
      <c r="AC954" s="150">
        <v>6600</v>
      </c>
      <c r="AD954" s="150"/>
      <c r="AE954" s="150"/>
      <c r="AF954" s="494">
        <v>3640</v>
      </c>
      <c r="AG954" s="150"/>
      <c r="AH954" s="150"/>
      <c r="AI954" s="150"/>
      <c r="AJ954" s="150"/>
      <c r="AK954" s="150"/>
      <c r="AL954" s="150"/>
      <c r="AM954" s="150"/>
      <c r="AN954" s="150"/>
      <c r="AO954" s="150"/>
      <c r="AP954" s="150"/>
      <c r="AQ954" s="150"/>
      <c r="AR954" s="151"/>
      <c r="AS954" s="456"/>
      <c r="AT954" s="151"/>
      <c r="AU954" s="150"/>
      <c r="AV954" s="487"/>
      <c r="AW954" s="150"/>
      <c r="AX954" s="150"/>
      <c r="AY954" s="150"/>
      <c r="AZ954" s="150"/>
      <c r="BA954" s="150"/>
      <c r="BB954" s="150"/>
      <c r="BC954" s="150"/>
      <c r="BD954" s="150"/>
      <c r="BE954" s="150"/>
      <c r="BF954" s="150"/>
      <c r="BG954" s="150"/>
      <c r="BH954" s="150"/>
      <c r="BI954" s="150"/>
      <c r="BJ954" s="150"/>
      <c r="BK954" s="467">
        <v>15000</v>
      </c>
      <c r="BL954" s="160"/>
      <c r="BM954" s="150"/>
      <c r="BN954" s="150"/>
      <c r="BO954" s="150"/>
      <c r="BP954" s="152"/>
      <c r="BQ954" s="160"/>
      <c r="BR954" s="152"/>
      <c r="BS954" s="160"/>
    </row>
    <row r="955" spans="1:71" x14ac:dyDescent="0.3">
      <c r="A955" s="420">
        <f>DL!A952</f>
        <v>859</v>
      </c>
      <c r="B955" s="19" t="s">
        <v>1714</v>
      </c>
      <c r="C955" s="149">
        <f>DL!L952</f>
        <v>1</v>
      </c>
      <c r="D955" s="149" t="str">
        <f>DL!C952</f>
        <v>1 bottle</v>
      </c>
      <c r="E955" s="150"/>
      <c r="F955" s="463"/>
      <c r="G955" s="150"/>
      <c r="H955" s="150"/>
      <c r="I955" s="150"/>
      <c r="J955" s="150"/>
      <c r="K955" s="168"/>
      <c r="L955" s="466">
        <v>4000</v>
      </c>
      <c r="M955" s="150">
        <v>4200</v>
      </c>
      <c r="N955" s="150"/>
      <c r="O955" s="150"/>
      <c r="P955" s="150"/>
      <c r="Q955" s="150">
        <v>4375</v>
      </c>
      <c r="R955" s="150"/>
      <c r="S955" s="150"/>
      <c r="T955" s="150"/>
      <c r="U955" s="150"/>
      <c r="V955" s="150"/>
      <c r="W955" s="168"/>
      <c r="X955" s="150"/>
      <c r="Y955" s="150"/>
      <c r="Z955" s="455"/>
      <c r="AA955" s="150"/>
      <c r="AB955" s="150"/>
      <c r="AC955" s="150"/>
      <c r="AD955" s="150"/>
      <c r="AE955" s="150"/>
      <c r="AF955" s="494">
        <v>5850</v>
      </c>
      <c r="AG955" s="150"/>
      <c r="AH955" s="150"/>
      <c r="AI955" s="150"/>
      <c r="AJ955" s="150"/>
      <c r="AK955" s="150"/>
      <c r="AL955" s="150"/>
      <c r="AM955" s="150"/>
      <c r="AN955" s="150"/>
      <c r="AO955" s="150"/>
      <c r="AP955" s="150"/>
      <c r="AQ955" s="150"/>
      <c r="AR955" s="151"/>
      <c r="AS955" s="456"/>
      <c r="AT955" s="151"/>
      <c r="AU955" s="150"/>
      <c r="AV955" s="487"/>
      <c r="AW955" s="150"/>
      <c r="AX955" s="150"/>
      <c r="AY955" s="150"/>
      <c r="AZ955" s="150"/>
      <c r="BA955" s="150"/>
      <c r="BB955" s="150"/>
      <c r="BC955" s="150"/>
      <c r="BD955" s="150"/>
      <c r="BE955" s="150"/>
      <c r="BF955" s="150"/>
      <c r="BG955" s="150"/>
      <c r="BH955" s="150"/>
      <c r="BI955" s="150"/>
      <c r="BJ955" s="150"/>
      <c r="BK955" s="467">
        <v>5000</v>
      </c>
      <c r="BL955" s="160"/>
      <c r="BM955" s="150"/>
      <c r="BN955" s="150"/>
      <c r="BO955" s="150"/>
      <c r="BP955" s="152"/>
      <c r="BQ955" s="160"/>
      <c r="BR955" s="152"/>
      <c r="BS955" s="160"/>
    </row>
    <row r="956" spans="1:71" x14ac:dyDescent="0.3">
      <c r="A956" s="420">
        <f>DL!A953</f>
        <v>860</v>
      </c>
      <c r="B956" s="19" t="s">
        <v>1715</v>
      </c>
      <c r="C956" s="149">
        <f>DL!L953</f>
        <v>5</v>
      </c>
      <c r="D956" s="149" t="str">
        <f>DL!C953</f>
        <v>1 bottle (1 liter)</v>
      </c>
      <c r="E956" s="150"/>
      <c r="F956" s="463"/>
      <c r="G956" s="150"/>
      <c r="H956" s="150"/>
      <c r="I956" s="150"/>
      <c r="J956" s="150"/>
      <c r="K956" s="168"/>
      <c r="L956" s="466">
        <v>7000</v>
      </c>
      <c r="M956" s="150">
        <v>16800</v>
      </c>
      <c r="N956" s="150"/>
      <c r="O956" s="150"/>
      <c r="P956" s="150"/>
      <c r="Q956" s="150">
        <v>16250</v>
      </c>
      <c r="R956" s="150"/>
      <c r="S956" s="150"/>
      <c r="T956" s="150"/>
      <c r="U956" s="150"/>
      <c r="V956" s="150"/>
      <c r="W956" s="168"/>
      <c r="X956" s="150"/>
      <c r="Y956" s="150"/>
      <c r="Z956" s="455"/>
      <c r="AA956" s="150"/>
      <c r="AB956" s="150"/>
      <c r="AC956" s="150"/>
      <c r="AD956" s="150"/>
      <c r="AE956" s="150"/>
      <c r="AF956" s="495">
        <v>23400</v>
      </c>
      <c r="AG956" s="150"/>
      <c r="AH956" s="150"/>
      <c r="AI956" s="150"/>
      <c r="AJ956" s="150"/>
      <c r="AK956" s="150"/>
      <c r="AL956" s="150"/>
      <c r="AM956" s="150"/>
      <c r="AN956" s="150"/>
      <c r="AO956" s="150"/>
      <c r="AP956" s="150"/>
      <c r="AQ956" s="150"/>
      <c r="AR956" s="151"/>
      <c r="AS956" s="456"/>
      <c r="AT956" s="151"/>
      <c r="AU956" s="150"/>
      <c r="AV956" s="487"/>
      <c r="AW956" s="150"/>
      <c r="AX956" s="150"/>
      <c r="AY956" s="150"/>
      <c r="AZ956" s="150"/>
      <c r="BA956" s="150"/>
      <c r="BB956" s="150"/>
      <c r="BC956" s="150"/>
      <c r="BD956" s="150"/>
      <c r="BE956" s="150"/>
      <c r="BF956" s="150"/>
      <c r="BG956" s="150"/>
      <c r="BH956" s="150"/>
      <c r="BI956" s="150"/>
      <c r="BJ956" s="150"/>
      <c r="BK956" s="467">
        <v>10000</v>
      </c>
      <c r="BL956" s="160"/>
      <c r="BM956" s="150"/>
      <c r="BN956" s="150"/>
      <c r="BO956" s="150"/>
      <c r="BP956" s="152"/>
      <c r="BQ956" s="160"/>
      <c r="BR956" s="152"/>
      <c r="BS956" s="160"/>
    </row>
    <row r="957" spans="1:71" x14ac:dyDescent="0.3">
      <c r="A957" s="420">
        <f>DL!A954</f>
        <v>861</v>
      </c>
      <c r="B957" s="19" t="s">
        <v>1716</v>
      </c>
      <c r="C957" s="149">
        <f>DL!L954</f>
        <v>15</v>
      </c>
      <c r="D957" s="149" t="str">
        <f>DL!C954</f>
        <v>1 pack (5 x25KG SLAB</v>
      </c>
      <c r="E957" s="150"/>
      <c r="F957" s="463"/>
      <c r="G957" s="150"/>
      <c r="H957" s="150"/>
      <c r="I957" s="150"/>
      <c r="J957" s="150"/>
      <c r="K957" s="168"/>
      <c r="L957" s="466">
        <v>20000</v>
      </c>
      <c r="M957" s="150">
        <v>21600</v>
      </c>
      <c r="N957" s="150"/>
      <c r="O957" s="150"/>
      <c r="P957" s="150"/>
      <c r="Q957" s="150">
        <v>26250</v>
      </c>
      <c r="R957" s="150"/>
      <c r="S957" s="150"/>
      <c r="T957" s="150"/>
      <c r="U957" s="150"/>
      <c r="V957" s="150"/>
      <c r="W957" s="168"/>
      <c r="X957" s="150"/>
      <c r="Y957" s="150"/>
      <c r="Z957" s="455"/>
      <c r="AA957" s="150"/>
      <c r="AB957" s="150"/>
      <c r="AC957" s="150"/>
      <c r="AD957" s="150"/>
      <c r="AE957" s="150"/>
      <c r="AF957" s="494">
        <v>0</v>
      </c>
      <c r="AG957" s="150"/>
      <c r="AH957" s="150"/>
      <c r="AI957" s="150"/>
      <c r="AJ957" s="150"/>
      <c r="AK957" s="150"/>
      <c r="AL957" s="150"/>
      <c r="AM957" s="150"/>
      <c r="AN957" s="150"/>
      <c r="AO957" s="150"/>
      <c r="AP957" s="150"/>
      <c r="AQ957" s="150"/>
      <c r="AR957" s="151"/>
      <c r="AS957" s="456"/>
      <c r="AT957" s="151"/>
      <c r="AU957" s="150"/>
      <c r="AV957" s="487"/>
      <c r="AW957" s="150"/>
      <c r="AX957" s="150"/>
      <c r="AY957" s="150"/>
      <c r="AZ957" s="150"/>
      <c r="BA957" s="150"/>
      <c r="BB957" s="150"/>
      <c r="BC957" s="150"/>
      <c r="BD957" s="150"/>
      <c r="BE957" s="150"/>
      <c r="BF957" s="150"/>
      <c r="BG957" s="150"/>
      <c r="BH957" s="150"/>
      <c r="BI957" s="150"/>
      <c r="BJ957" s="150"/>
      <c r="BK957" s="467">
        <v>25000</v>
      </c>
      <c r="BL957" s="160"/>
      <c r="BM957" s="150"/>
      <c r="BN957" s="150"/>
      <c r="BO957" s="150"/>
      <c r="BP957" s="152"/>
      <c r="BQ957" s="160"/>
      <c r="BR957" s="152"/>
      <c r="BS957" s="160"/>
    </row>
    <row r="958" spans="1:71" x14ac:dyDescent="0.3">
      <c r="A958" s="420">
        <f>DL!A955</f>
        <v>862</v>
      </c>
      <c r="B958" s="19" t="s">
        <v>1717</v>
      </c>
      <c r="C958" s="149">
        <f>DL!L955</f>
        <v>1</v>
      </c>
      <c r="D958" s="149" t="str">
        <f>DL!C955</f>
        <v>1 bag (25KG)</v>
      </c>
      <c r="E958" s="150"/>
      <c r="F958" s="463"/>
      <c r="G958" s="150"/>
      <c r="H958" s="150"/>
      <c r="I958" s="150"/>
      <c r="J958" s="150"/>
      <c r="K958" s="168"/>
      <c r="L958" s="466">
        <v>70000</v>
      </c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68"/>
      <c r="X958" s="150"/>
      <c r="Y958" s="150"/>
      <c r="Z958" s="455"/>
      <c r="AA958" s="150"/>
      <c r="AB958" s="150"/>
      <c r="AC958" s="150"/>
      <c r="AD958" s="150"/>
      <c r="AE958" s="150"/>
      <c r="AF958" s="494">
        <v>0</v>
      </c>
      <c r="AG958" s="150"/>
      <c r="AH958" s="150"/>
      <c r="AI958" s="150"/>
      <c r="AJ958" s="150"/>
      <c r="AK958" s="150"/>
      <c r="AL958" s="150"/>
      <c r="AM958" s="150"/>
      <c r="AN958" s="150"/>
      <c r="AO958" s="150"/>
      <c r="AP958" s="150"/>
      <c r="AQ958" s="150"/>
      <c r="AR958" s="151"/>
      <c r="AS958" s="456"/>
      <c r="AT958" s="151"/>
      <c r="AU958" s="150"/>
      <c r="AV958" s="487"/>
      <c r="AW958" s="150"/>
      <c r="AX958" s="150"/>
      <c r="AY958" s="150"/>
      <c r="AZ958" s="150"/>
      <c r="BA958" s="150"/>
      <c r="BB958" s="150"/>
      <c r="BC958" s="150"/>
      <c r="BD958" s="150"/>
      <c r="BE958" s="150"/>
      <c r="BF958" s="150"/>
      <c r="BG958" s="150"/>
      <c r="BH958" s="150"/>
      <c r="BI958" s="150"/>
      <c r="BJ958" s="150"/>
      <c r="BK958" s="467"/>
      <c r="BL958" s="160"/>
      <c r="BM958" s="150"/>
      <c r="BN958" s="150"/>
      <c r="BO958" s="150"/>
      <c r="BP958" s="152"/>
      <c r="BQ958" s="160"/>
      <c r="BR958" s="152"/>
      <c r="BS958" s="160"/>
    </row>
    <row r="959" spans="1:71" x14ac:dyDescent="0.3">
      <c r="A959" s="420">
        <f>DL!A956</f>
        <v>863</v>
      </c>
      <c r="B959" s="19" t="s">
        <v>1718</v>
      </c>
      <c r="C959" s="149">
        <f>DL!L956</f>
        <v>8</v>
      </c>
      <c r="D959" s="149" t="str">
        <f>DL!C956</f>
        <v>1 Carton (24pcs)</v>
      </c>
      <c r="E959" s="150"/>
      <c r="F959" s="463"/>
      <c r="G959" s="150"/>
      <c r="H959" s="150"/>
      <c r="I959" s="150"/>
      <c r="J959" s="150"/>
      <c r="K959" s="168"/>
      <c r="L959" s="466">
        <v>2500</v>
      </c>
      <c r="M959" s="150">
        <v>2850</v>
      </c>
      <c r="N959" s="150"/>
      <c r="O959" s="150"/>
      <c r="P959" s="150"/>
      <c r="Q959" s="150">
        <v>4125</v>
      </c>
      <c r="R959" s="150"/>
      <c r="S959" s="150"/>
      <c r="T959" s="150"/>
      <c r="U959" s="150"/>
      <c r="V959" s="150"/>
      <c r="W959" s="168"/>
      <c r="X959" s="150"/>
      <c r="Y959" s="150"/>
      <c r="Z959" s="455"/>
      <c r="AA959" s="150"/>
      <c r="AB959" s="150"/>
      <c r="AC959" s="150"/>
      <c r="AD959" s="150"/>
      <c r="AE959" s="150"/>
      <c r="AF959" s="494">
        <v>2184</v>
      </c>
      <c r="AG959" s="150"/>
      <c r="AH959" s="150"/>
      <c r="AI959" s="150"/>
      <c r="AJ959" s="150"/>
      <c r="AK959" s="150"/>
      <c r="AL959" s="150"/>
      <c r="AM959" s="150"/>
      <c r="AN959" s="150"/>
      <c r="AO959" s="150"/>
      <c r="AP959" s="150"/>
      <c r="AQ959" s="150"/>
      <c r="AR959" s="151"/>
      <c r="AS959" s="456"/>
      <c r="AT959" s="151"/>
      <c r="AU959" s="150"/>
      <c r="AV959" s="487"/>
      <c r="AW959" s="150"/>
      <c r="AX959" s="150"/>
      <c r="AY959" s="150"/>
      <c r="AZ959" s="150"/>
      <c r="BA959" s="150"/>
      <c r="BB959" s="150"/>
      <c r="BC959" s="150"/>
      <c r="BD959" s="150"/>
      <c r="BE959" s="150"/>
      <c r="BF959" s="150"/>
      <c r="BG959" s="150"/>
      <c r="BH959" s="150"/>
      <c r="BI959" s="150"/>
      <c r="BJ959" s="150"/>
      <c r="BK959" s="467">
        <v>3000</v>
      </c>
      <c r="BL959" s="160"/>
      <c r="BM959" s="150"/>
      <c r="BN959" s="150"/>
      <c r="BO959" s="150"/>
      <c r="BP959" s="152"/>
      <c r="BQ959" s="160"/>
      <c r="BR959" s="152"/>
      <c r="BS959" s="160"/>
    </row>
    <row r="960" spans="1:71" x14ac:dyDescent="0.3">
      <c r="A960" s="420">
        <f>DL!A957</f>
        <v>864</v>
      </c>
      <c r="B960" s="19" t="s">
        <v>1719</v>
      </c>
      <c r="C960" s="149">
        <f>DL!L957</f>
        <v>10</v>
      </c>
      <c r="D960" s="149" t="str">
        <f>DL!C957</f>
        <v>1Bottle (20MLS)</v>
      </c>
      <c r="E960" s="150"/>
      <c r="F960" s="463"/>
      <c r="G960" s="150"/>
      <c r="H960" s="150"/>
      <c r="I960" s="150"/>
      <c r="J960" s="150"/>
      <c r="K960" s="168"/>
      <c r="L960" s="466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68"/>
      <c r="X960" s="150"/>
      <c r="Y960" s="150"/>
      <c r="Z960" s="455"/>
      <c r="AA960" s="150"/>
      <c r="AB960" s="150"/>
      <c r="AC960" s="150"/>
      <c r="AD960" s="150"/>
      <c r="AE960" s="150"/>
      <c r="AF960" s="494">
        <v>0</v>
      </c>
      <c r="AG960" s="150"/>
      <c r="AH960" s="150"/>
      <c r="AI960" s="150"/>
      <c r="AJ960" s="150"/>
      <c r="AK960" s="150"/>
      <c r="AL960" s="150"/>
      <c r="AM960" s="150"/>
      <c r="AN960" s="150"/>
      <c r="AO960" s="150"/>
      <c r="AP960" s="150"/>
      <c r="AQ960" s="150"/>
      <c r="AR960" s="151"/>
      <c r="AS960" s="456"/>
      <c r="AT960" s="151"/>
      <c r="AU960" s="150"/>
      <c r="AV960" s="487"/>
      <c r="AW960" s="150"/>
      <c r="AX960" s="150"/>
      <c r="AY960" s="150"/>
      <c r="AZ960" s="150"/>
      <c r="BA960" s="150"/>
      <c r="BB960" s="150"/>
      <c r="BC960" s="150"/>
      <c r="BD960" s="150"/>
      <c r="BE960" s="150"/>
      <c r="BF960" s="150"/>
      <c r="BG960" s="150"/>
      <c r="BH960" s="150"/>
      <c r="BI960" s="150"/>
      <c r="BJ960" s="150"/>
      <c r="BK960" s="467">
        <v>25000</v>
      </c>
      <c r="BL960" s="160"/>
      <c r="BM960" s="150"/>
      <c r="BN960" s="150"/>
      <c r="BO960" s="150"/>
      <c r="BP960" s="152"/>
      <c r="BQ960" s="160"/>
      <c r="BR960" s="152"/>
      <c r="BS960" s="160"/>
    </row>
    <row r="961" spans="1:71" x14ac:dyDescent="0.3">
      <c r="A961" s="420">
        <f>DL!A958</f>
        <v>865</v>
      </c>
      <c r="B961" s="19" t="s">
        <v>1674</v>
      </c>
      <c r="C961" s="149">
        <f>DL!L958</f>
        <v>4</v>
      </c>
      <c r="D961" s="149" t="str">
        <f>DL!C958</f>
        <v>1 Carton (12 x 1 litre)</v>
      </c>
      <c r="E961" s="150"/>
      <c r="F961" s="463"/>
      <c r="G961" s="150"/>
      <c r="H961" s="150"/>
      <c r="I961" s="150"/>
      <c r="J961" s="150"/>
      <c r="K961" s="168"/>
      <c r="L961" s="466"/>
      <c r="M961" s="150">
        <v>31600</v>
      </c>
      <c r="N961" s="150"/>
      <c r="O961" s="150"/>
      <c r="P961" s="150"/>
      <c r="Q961" s="150">
        <v>42000</v>
      </c>
      <c r="R961" s="150"/>
      <c r="S961" s="150"/>
      <c r="T961" s="150"/>
      <c r="U961" s="150"/>
      <c r="V961" s="150"/>
      <c r="W961" s="168"/>
      <c r="X961" s="150"/>
      <c r="Y961" s="150"/>
      <c r="Z961" s="455"/>
      <c r="AA961" s="150"/>
      <c r="AB961" s="150"/>
      <c r="AC961" s="150">
        <v>31580</v>
      </c>
      <c r="AD961" s="150"/>
      <c r="AE961" s="150"/>
      <c r="AF961" s="494">
        <v>0</v>
      </c>
      <c r="AG961" s="150"/>
      <c r="AH961" s="150"/>
      <c r="AI961" s="150"/>
      <c r="AJ961" s="150"/>
      <c r="AK961" s="150"/>
      <c r="AL961" s="150"/>
      <c r="AM961" s="150"/>
      <c r="AN961" s="150"/>
      <c r="AO961" s="150"/>
      <c r="AP961" s="150"/>
      <c r="AQ961" s="150"/>
      <c r="AR961" s="151"/>
      <c r="AS961" s="456"/>
      <c r="AT961" s="151"/>
      <c r="AU961" s="150"/>
      <c r="AV961" s="487"/>
      <c r="AW961" s="150"/>
      <c r="AX961" s="150"/>
      <c r="AY961" s="150"/>
      <c r="AZ961" s="150"/>
      <c r="BA961" s="150"/>
      <c r="BB961" s="150"/>
      <c r="BC961" s="150"/>
      <c r="BD961" s="150"/>
      <c r="BE961" s="150"/>
      <c r="BF961" s="150"/>
      <c r="BG961" s="150"/>
      <c r="BH961" s="150"/>
      <c r="BI961" s="150"/>
      <c r="BJ961" s="150"/>
      <c r="BK961" s="467"/>
      <c r="BL961" s="160"/>
      <c r="BM961" s="150"/>
      <c r="BN961" s="150"/>
      <c r="BO961" s="150"/>
      <c r="BP961" s="152"/>
      <c r="BQ961" s="160"/>
      <c r="BR961" s="152"/>
      <c r="BS961" s="160"/>
    </row>
    <row r="962" spans="1:71" x14ac:dyDescent="0.3">
      <c r="A962" s="420">
        <f>DL!A959</f>
        <v>866</v>
      </c>
      <c r="B962" s="19" t="s">
        <v>1720</v>
      </c>
      <c r="C962" s="149">
        <f>DL!L959</f>
        <v>4</v>
      </c>
      <c r="D962" s="149" t="str">
        <f>DL!C959</f>
        <v>1 Carton (10pcs)</v>
      </c>
      <c r="E962" s="150"/>
      <c r="F962" s="463"/>
      <c r="G962" s="150"/>
      <c r="H962" s="150"/>
      <c r="I962" s="150"/>
      <c r="J962" s="150"/>
      <c r="K962" s="168"/>
      <c r="L962" s="466"/>
      <c r="M962" s="150">
        <v>32600</v>
      </c>
      <c r="N962" s="150"/>
      <c r="O962" s="150"/>
      <c r="P962" s="150"/>
      <c r="Q962" s="150">
        <v>41250</v>
      </c>
      <c r="R962" s="150"/>
      <c r="S962" s="150"/>
      <c r="T962" s="150"/>
      <c r="U962" s="150"/>
      <c r="V962" s="150"/>
      <c r="W962" s="168"/>
      <c r="X962" s="150"/>
      <c r="Y962" s="150"/>
      <c r="Z962" s="455"/>
      <c r="AA962" s="150"/>
      <c r="AB962" s="150"/>
      <c r="AC962" s="150"/>
      <c r="AD962" s="150"/>
      <c r="AE962" s="150"/>
      <c r="AF962" s="494">
        <v>0</v>
      </c>
      <c r="AG962" s="150"/>
      <c r="AH962" s="150"/>
      <c r="AI962" s="150"/>
      <c r="AJ962" s="150"/>
      <c r="AK962" s="150"/>
      <c r="AL962" s="150"/>
      <c r="AM962" s="150"/>
      <c r="AN962" s="150"/>
      <c r="AO962" s="150"/>
      <c r="AP962" s="150"/>
      <c r="AQ962" s="150"/>
      <c r="AR962" s="151"/>
      <c r="AS962" s="456"/>
      <c r="AT962" s="151"/>
      <c r="AU962" s="150"/>
      <c r="AV962" s="487"/>
      <c r="AW962" s="150"/>
      <c r="AX962" s="150"/>
      <c r="AY962" s="150"/>
      <c r="AZ962" s="150"/>
      <c r="BA962" s="150"/>
      <c r="BB962" s="150"/>
      <c r="BC962" s="150"/>
      <c r="BD962" s="150"/>
      <c r="BE962" s="150"/>
      <c r="BF962" s="150"/>
      <c r="BG962" s="150"/>
      <c r="BH962" s="150"/>
      <c r="BI962" s="150"/>
      <c r="BJ962" s="150"/>
      <c r="BK962" s="467"/>
      <c r="BL962" s="160"/>
      <c r="BM962" s="150"/>
      <c r="BN962" s="150"/>
      <c r="BO962" s="150"/>
      <c r="BP962" s="152"/>
      <c r="BQ962" s="160"/>
      <c r="BR962" s="152"/>
      <c r="BS962" s="160"/>
    </row>
    <row r="963" spans="1:71" x14ac:dyDescent="0.3">
      <c r="A963" s="420">
        <f>DL!A960</f>
        <v>867</v>
      </c>
      <c r="B963" s="19" t="s">
        <v>1721</v>
      </c>
      <c r="C963" s="149">
        <f>DL!L960</f>
        <v>4</v>
      </c>
      <c r="D963" s="149" t="str">
        <f>DL!C960</f>
        <v>1 Carton (50x10)</v>
      </c>
      <c r="E963" s="150"/>
      <c r="F963" s="463"/>
      <c r="G963" s="150"/>
      <c r="H963" s="150"/>
      <c r="I963" s="150"/>
      <c r="J963" s="150"/>
      <c r="K963" s="168"/>
      <c r="L963" s="466">
        <v>5000</v>
      </c>
      <c r="M963" s="150">
        <v>4500</v>
      </c>
      <c r="N963" s="150"/>
      <c r="O963" s="150"/>
      <c r="P963" s="150"/>
      <c r="Q963" s="150">
        <v>5000</v>
      </c>
      <c r="R963" s="150"/>
      <c r="S963" s="150"/>
      <c r="T963" s="150"/>
      <c r="U963" s="150"/>
      <c r="V963" s="150"/>
      <c r="W963" s="168"/>
      <c r="X963" s="150"/>
      <c r="Y963" s="150"/>
      <c r="Z963" s="455"/>
      <c r="AA963" s="150"/>
      <c r="AB963" s="150"/>
      <c r="AC963" s="150">
        <v>16800</v>
      </c>
      <c r="AD963" s="150"/>
      <c r="AE963" s="150"/>
      <c r="AF963" s="495">
        <v>18200</v>
      </c>
      <c r="AG963" s="150"/>
      <c r="AH963" s="150"/>
      <c r="AI963" s="150"/>
      <c r="AJ963" s="150"/>
      <c r="AK963" s="150"/>
      <c r="AL963" s="150"/>
      <c r="AM963" s="150"/>
      <c r="AN963" s="150"/>
      <c r="AO963" s="150"/>
      <c r="AP963" s="150"/>
      <c r="AQ963" s="150"/>
      <c r="AR963" s="151"/>
      <c r="AS963" s="456"/>
      <c r="AT963" s="151"/>
      <c r="AU963" s="150"/>
      <c r="AV963" s="487"/>
      <c r="AW963" s="150"/>
      <c r="AX963" s="150"/>
      <c r="AY963" s="150"/>
      <c r="AZ963" s="150"/>
      <c r="BA963" s="150"/>
      <c r="BB963" s="150"/>
      <c r="BC963" s="150"/>
      <c r="BD963" s="150"/>
      <c r="BE963" s="150"/>
      <c r="BF963" s="150"/>
      <c r="BG963" s="150"/>
      <c r="BH963" s="150"/>
      <c r="BI963" s="150"/>
      <c r="BJ963" s="150"/>
      <c r="BK963" s="467">
        <v>21875</v>
      </c>
      <c r="BL963" s="160"/>
      <c r="BM963" s="150"/>
      <c r="BN963" s="150"/>
      <c r="BO963" s="150"/>
      <c r="BP963" s="152"/>
      <c r="BQ963" s="160"/>
      <c r="BR963" s="152"/>
      <c r="BS963" s="160"/>
    </row>
    <row r="964" spans="1:71" x14ac:dyDescent="0.3">
      <c r="A964" s="420">
        <f>DL!A961</f>
        <v>868</v>
      </c>
      <c r="B964" s="19" t="s">
        <v>1722</v>
      </c>
      <c r="C964" s="149">
        <f>DL!L961</f>
        <v>2</v>
      </c>
      <c r="D964" s="149" t="str">
        <f>DL!C961</f>
        <v>1 pack (25pcs) Medium</v>
      </c>
      <c r="E964" s="150"/>
      <c r="F964" s="463"/>
      <c r="G964" s="150"/>
      <c r="H964" s="150"/>
      <c r="I964" s="150"/>
      <c r="J964" s="150"/>
      <c r="K964" s="168"/>
      <c r="L964" s="466"/>
      <c r="M964" s="150">
        <v>1200</v>
      </c>
      <c r="N964" s="150"/>
      <c r="O964" s="150"/>
      <c r="P964" s="150"/>
      <c r="Q964" s="150">
        <v>1250</v>
      </c>
      <c r="R964" s="150"/>
      <c r="S964" s="150"/>
      <c r="T964" s="150"/>
      <c r="U964" s="150"/>
      <c r="V964" s="150"/>
      <c r="W964" s="168"/>
      <c r="X964" s="150"/>
      <c r="Y964" s="150"/>
      <c r="Z964" s="455"/>
      <c r="AA964" s="150"/>
      <c r="AB964" s="150"/>
      <c r="AC964" s="150"/>
      <c r="AD964" s="150"/>
      <c r="AE964" s="150"/>
      <c r="AF964" s="494">
        <v>1560</v>
      </c>
      <c r="AG964" s="150"/>
      <c r="AH964" s="150"/>
      <c r="AI964" s="150"/>
      <c r="AJ964" s="150"/>
      <c r="AK964" s="150"/>
      <c r="AL964" s="150"/>
      <c r="AM964" s="150"/>
      <c r="AN964" s="150"/>
      <c r="AO964" s="150"/>
      <c r="AP964" s="150"/>
      <c r="AQ964" s="150"/>
      <c r="AR964" s="151"/>
      <c r="AS964" s="456"/>
      <c r="AT964" s="151"/>
      <c r="AU964" s="150"/>
      <c r="AV964" s="487"/>
      <c r="AW964" s="150"/>
      <c r="AX964" s="150"/>
      <c r="AY964" s="150"/>
      <c r="AZ964" s="150"/>
      <c r="BA964" s="150"/>
      <c r="BB964" s="150"/>
      <c r="BC964" s="150"/>
      <c r="BD964" s="150"/>
      <c r="BE964" s="150"/>
      <c r="BF964" s="150"/>
      <c r="BG964" s="150"/>
      <c r="BH964" s="150"/>
      <c r="BI964" s="150">
        <v>1500</v>
      </c>
      <c r="BJ964" s="150"/>
      <c r="BK964" s="467">
        <v>2000</v>
      </c>
      <c r="BL964" s="160"/>
      <c r="BM964" s="150"/>
      <c r="BN964" s="150"/>
      <c r="BO964" s="150"/>
      <c r="BP964" s="152"/>
      <c r="BQ964" s="160"/>
      <c r="BR964" s="152"/>
      <c r="BS964" s="160"/>
    </row>
    <row r="965" spans="1:71" x14ac:dyDescent="0.3">
      <c r="A965" s="420">
        <f>DL!A962</f>
        <v>869</v>
      </c>
      <c r="B965" s="19" t="s">
        <v>1723</v>
      </c>
      <c r="C965" s="149">
        <f>DL!L962</f>
        <v>8</v>
      </c>
      <c r="D965" s="149" t="str">
        <f>DL!C962</f>
        <v>1 piece</v>
      </c>
      <c r="E965" s="150"/>
      <c r="F965" s="463"/>
      <c r="G965" s="150"/>
      <c r="H965" s="150"/>
      <c r="I965" s="150"/>
      <c r="J965" s="150"/>
      <c r="K965" s="168"/>
      <c r="L965" s="466">
        <v>500</v>
      </c>
      <c r="M965" s="150">
        <v>800</v>
      </c>
      <c r="N965" s="150"/>
      <c r="O965" s="150"/>
      <c r="P965" s="150"/>
      <c r="Q965" s="150">
        <v>500</v>
      </c>
      <c r="R965" s="150"/>
      <c r="S965" s="150"/>
      <c r="T965" s="150"/>
      <c r="U965" s="150"/>
      <c r="V965" s="150"/>
      <c r="W965" s="168"/>
      <c r="X965" s="150"/>
      <c r="Y965" s="150"/>
      <c r="Z965" s="455"/>
      <c r="AA965" s="150"/>
      <c r="AB965" s="150"/>
      <c r="AC965" s="150">
        <v>250</v>
      </c>
      <c r="AD965" s="150"/>
      <c r="AE965" s="150"/>
      <c r="AF965" s="494">
        <v>520</v>
      </c>
      <c r="AG965" s="150"/>
      <c r="AH965" s="150"/>
      <c r="AI965" s="150"/>
      <c r="AJ965" s="150"/>
      <c r="AK965" s="150"/>
      <c r="AL965" s="150"/>
      <c r="AM965" s="150"/>
      <c r="AN965" s="150"/>
      <c r="AO965" s="150"/>
      <c r="AP965" s="150"/>
      <c r="AQ965" s="150"/>
      <c r="AR965" s="151"/>
      <c r="AS965" s="456"/>
      <c r="AT965" s="151"/>
      <c r="AU965" s="150"/>
      <c r="AV965" s="487"/>
      <c r="AW965" s="150"/>
      <c r="AX965" s="150"/>
      <c r="AY965" s="150"/>
      <c r="AZ965" s="150"/>
      <c r="BA965" s="150"/>
      <c r="BB965" s="150"/>
      <c r="BC965" s="150"/>
      <c r="BD965" s="150"/>
      <c r="BE965" s="150"/>
      <c r="BF965" s="150"/>
      <c r="BG965" s="150"/>
      <c r="BH965" s="150"/>
      <c r="BI965" s="150"/>
      <c r="BJ965" s="150"/>
      <c r="BK965" s="467">
        <v>650</v>
      </c>
      <c r="BL965" s="160"/>
      <c r="BM965" s="150"/>
      <c r="BN965" s="150"/>
      <c r="BO965" s="150"/>
      <c r="BP965" s="152"/>
      <c r="BQ965" s="160"/>
      <c r="BR965" s="152"/>
      <c r="BS965" s="160"/>
    </row>
    <row r="966" spans="1:71" x14ac:dyDescent="0.3">
      <c r="A966" s="420">
        <f>DL!A963</f>
        <v>870</v>
      </c>
      <c r="B966" s="19" t="s">
        <v>1724</v>
      </c>
      <c r="C966" s="149">
        <f>DL!L963</f>
        <v>8</v>
      </c>
      <c r="D966" s="149" t="str">
        <f>DL!C963</f>
        <v>1 piece</v>
      </c>
      <c r="E966" s="150"/>
      <c r="F966" s="463"/>
      <c r="G966" s="150"/>
      <c r="H966" s="150"/>
      <c r="I966" s="150"/>
      <c r="J966" s="150"/>
      <c r="K966" s="168"/>
      <c r="L966" s="466">
        <v>500</v>
      </c>
      <c r="M966" s="150">
        <v>800</v>
      </c>
      <c r="N966" s="150"/>
      <c r="O966" s="150"/>
      <c r="P966" s="150"/>
      <c r="Q966" s="150">
        <v>500</v>
      </c>
      <c r="R966" s="150"/>
      <c r="S966" s="150"/>
      <c r="T966" s="150"/>
      <c r="U966" s="150"/>
      <c r="V966" s="150"/>
      <c r="W966" s="168"/>
      <c r="X966" s="150"/>
      <c r="Y966" s="150"/>
      <c r="Z966" s="455"/>
      <c r="AA966" s="150"/>
      <c r="AB966" s="150"/>
      <c r="AC966" s="150">
        <v>250</v>
      </c>
      <c r="AD966" s="150"/>
      <c r="AE966" s="150"/>
      <c r="AF966" s="494">
        <v>520</v>
      </c>
      <c r="AG966" s="150"/>
      <c r="AH966" s="150"/>
      <c r="AI966" s="150"/>
      <c r="AJ966" s="150"/>
      <c r="AK966" s="150"/>
      <c r="AL966" s="150"/>
      <c r="AM966" s="150"/>
      <c r="AN966" s="150"/>
      <c r="AO966" s="150"/>
      <c r="AP966" s="150"/>
      <c r="AQ966" s="150"/>
      <c r="AR966" s="151"/>
      <c r="AS966" s="456"/>
      <c r="AT966" s="151"/>
      <c r="AU966" s="150"/>
      <c r="AV966" s="487"/>
      <c r="AW966" s="150"/>
      <c r="AX966" s="150"/>
      <c r="AY966" s="150"/>
      <c r="AZ966" s="150"/>
      <c r="BA966" s="150"/>
      <c r="BB966" s="150"/>
      <c r="BC966" s="150"/>
      <c r="BD966" s="150"/>
      <c r="BE966" s="150"/>
      <c r="BF966" s="150"/>
      <c r="BG966" s="150"/>
      <c r="BH966" s="150"/>
      <c r="BI966" s="150"/>
      <c r="BJ966" s="150"/>
      <c r="BK966" s="467">
        <v>650</v>
      </c>
      <c r="BL966" s="160"/>
      <c r="BM966" s="150"/>
      <c r="BN966" s="150"/>
      <c r="BO966" s="150"/>
      <c r="BP966" s="152"/>
      <c r="BQ966" s="160"/>
      <c r="BR966" s="152"/>
      <c r="BS966" s="160"/>
    </row>
    <row r="967" spans="1:71" x14ac:dyDescent="0.3">
      <c r="A967" s="420">
        <f>DL!A964</f>
        <v>871</v>
      </c>
      <c r="B967" s="19" t="s">
        <v>1725</v>
      </c>
      <c r="C967" s="149">
        <f>DL!L964</f>
        <v>12</v>
      </c>
      <c r="D967" s="149" t="str">
        <f>DL!C964</f>
        <v>1 bottle (500MLS)</v>
      </c>
      <c r="E967" s="150"/>
      <c r="F967" s="463"/>
      <c r="G967" s="150"/>
      <c r="H967" s="150"/>
      <c r="I967" s="150"/>
      <c r="J967" s="150"/>
      <c r="K967" s="168"/>
      <c r="L967" s="466"/>
      <c r="M967" s="150">
        <v>850</v>
      </c>
      <c r="N967" s="150"/>
      <c r="O967" s="150"/>
      <c r="P967" s="150"/>
      <c r="Q967" s="150"/>
      <c r="R967" s="150"/>
      <c r="S967" s="150"/>
      <c r="T967" s="150"/>
      <c r="U967" s="150"/>
      <c r="V967" s="150"/>
      <c r="W967" s="168"/>
      <c r="X967" s="150"/>
      <c r="Y967" s="150"/>
      <c r="Z967" s="455"/>
      <c r="AA967" s="150"/>
      <c r="AB967" s="150"/>
      <c r="AC967" s="150"/>
      <c r="AD967" s="150"/>
      <c r="AE967" s="150"/>
      <c r="AF967" s="494">
        <v>715</v>
      </c>
      <c r="AG967" s="150"/>
      <c r="AH967" s="150"/>
      <c r="AI967" s="150"/>
      <c r="AJ967" s="150"/>
      <c r="AK967" s="150"/>
      <c r="AL967" s="150"/>
      <c r="AM967" s="150"/>
      <c r="AN967" s="150"/>
      <c r="AO967" s="150"/>
      <c r="AP967" s="150"/>
      <c r="AQ967" s="150"/>
      <c r="AR967" s="151"/>
      <c r="AS967" s="456"/>
      <c r="AT967" s="151"/>
      <c r="AU967" s="150"/>
      <c r="AV967" s="487"/>
      <c r="AW967" s="150"/>
      <c r="AX967" s="150"/>
      <c r="AY967" s="150"/>
      <c r="AZ967" s="150"/>
      <c r="BA967" s="150"/>
      <c r="BB967" s="150"/>
      <c r="BC967" s="150"/>
      <c r="BD967" s="150"/>
      <c r="BE967" s="150"/>
      <c r="BF967" s="150"/>
      <c r="BG967" s="150"/>
      <c r="BH967" s="150"/>
      <c r="BI967" s="150"/>
      <c r="BJ967" s="150"/>
      <c r="BK967" s="467">
        <v>650</v>
      </c>
      <c r="BL967" s="160"/>
      <c r="BM967" s="150"/>
      <c r="BN967" s="150"/>
      <c r="BO967" s="150"/>
      <c r="BP967" s="152"/>
      <c r="BQ967" s="160"/>
      <c r="BR967" s="152"/>
      <c r="BS967" s="160"/>
    </row>
    <row r="968" spans="1:71" x14ac:dyDescent="0.3">
      <c r="A968" s="420">
        <f>DL!A965</f>
        <v>872</v>
      </c>
      <c r="B968" s="19" t="s">
        <v>1726</v>
      </c>
      <c r="C968" s="149">
        <f>DL!L965</f>
        <v>2</v>
      </c>
      <c r="D968" s="149" t="str">
        <f>DL!C965</f>
        <v>1 Drum (200 LTRS</v>
      </c>
      <c r="E968" s="150"/>
      <c r="F968" s="463"/>
      <c r="G968" s="150"/>
      <c r="H968" s="150"/>
      <c r="I968" s="150"/>
      <c r="J968" s="150"/>
      <c r="K968" s="168"/>
      <c r="L968" s="466">
        <v>250000</v>
      </c>
      <c r="M968" s="150">
        <v>120000</v>
      </c>
      <c r="N968" s="150"/>
      <c r="O968" s="150"/>
      <c r="P968" s="150"/>
      <c r="Q968" s="150">
        <v>206250</v>
      </c>
      <c r="R968" s="150"/>
      <c r="S968" s="150"/>
      <c r="T968" s="150"/>
      <c r="U968" s="150"/>
      <c r="V968" s="150"/>
      <c r="W968" s="168"/>
      <c r="X968" s="150"/>
      <c r="Y968" s="150"/>
      <c r="Z968" s="455"/>
      <c r="AA968" s="150"/>
      <c r="AB968" s="150"/>
      <c r="AC968" s="150"/>
      <c r="AD968" s="150"/>
      <c r="AE968" s="150"/>
      <c r="AF968" s="494">
        <v>0</v>
      </c>
      <c r="AG968" s="150"/>
      <c r="AH968" s="150"/>
      <c r="AI968" s="150"/>
      <c r="AJ968" s="150"/>
      <c r="AK968" s="150"/>
      <c r="AL968" s="150"/>
      <c r="AM968" s="150"/>
      <c r="AN968" s="150"/>
      <c r="AO968" s="150"/>
      <c r="AP968" s="150"/>
      <c r="AQ968" s="150"/>
      <c r="AR968" s="151"/>
      <c r="AS968" s="456"/>
      <c r="AT968" s="151"/>
      <c r="AU968" s="150"/>
      <c r="AV968" s="487"/>
      <c r="AW968" s="150"/>
      <c r="AX968" s="150"/>
      <c r="AY968" s="150"/>
      <c r="AZ968" s="150"/>
      <c r="BA968" s="150"/>
      <c r="BB968" s="150"/>
      <c r="BC968" s="150"/>
      <c r="BD968" s="150"/>
      <c r="BE968" s="150"/>
      <c r="BF968" s="150"/>
      <c r="BG968" s="150"/>
      <c r="BH968" s="150"/>
      <c r="BI968" s="150">
        <v>122000</v>
      </c>
      <c r="BJ968" s="150"/>
      <c r="BK968" s="467">
        <v>165000</v>
      </c>
      <c r="BL968" s="160"/>
      <c r="BM968" s="150"/>
      <c r="BN968" s="150"/>
      <c r="BO968" s="150"/>
      <c r="BP968" s="152"/>
      <c r="BQ968" s="160"/>
      <c r="BR968" s="152"/>
      <c r="BS968" s="160"/>
    </row>
    <row r="969" spans="1:71" x14ac:dyDescent="0.3">
      <c r="A969" s="420">
        <f>DL!A966</f>
        <v>873</v>
      </c>
      <c r="B969" s="19" t="s">
        <v>1727</v>
      </c>
      <c r="C969" s="149">
        <f>DL!L966</f>
        <v>6</v>
      </c>
      <c r="D969" s="149" t="str">
        <f>DL!C966</f>
        <v>1 piece</v>
      </c>
      <c r="E969" s="150"/>
      <c r="F969" s="463"/>
      <c r="G969" s="150"/>
      <c r="H969" s="150"/>
      <c r="I969" s="150"/>
      <c r="J969" s="150"/>
      <c r="K969" s="168"/>
      <c r="L969" s="466"/>
      <c r="M969" s="150">
        <v>300</v>
      </c>
      <c r="N969" s="150"/>
      <c r="O969" s="150"/>
      <c r="P969" s="150"/>
      <c r="Q969" s="150"/>
      <c r="R969" s="150"/>
      <c r="S969" s="150"/>
      <c r="T969" s="150"/>
      <c r="U969" s="150"/>
      <c r="V969" s="150"/>
      <c r="W969" s="168"/>
      <c r="X969" s="150"/>
      <c r="Y969" s="150"/>
      <c r="Z969" s="455"/>
      <c r="AA969" s="150"/>
      <c r="AB969" s="150"/>
      <c r="AC969" s="150"/>
      <c r="AD969" s="150"/>
      <c r="AE969" s="150"/>
      <c r="AF969" s="494">
        <v>65</v>
      </c>
      <c r="AG969" s="150"/>
      <c r="AH969" s="150"/>
      <c r="AI969" s="150"/>
      <c r="AJ969" s="150"/>
      <c r="AK969" s="150"/>
      <c r="AL969" s="150"/>
      <c r="AM969" s="150"/>
      <c r="AN969" s="150"/>
      <c r="AO969" s="150"/>
      <c r="AP969" s="150"/>
      <c r="AQ969" s="150"/>
      <c r="AR969" s="151"/>
      <c r="AS969" s="456"/>
      <c r="AT969" s="151"/>
      <c r="AU969" s="150"/>
      <c r="AV969" s="487"/>
      <c r="AW969" s="150"/>
      <c r="AX969" s="150"/>
      <c r="AY969" s="150"/>
      <c r="AZ969" s="150"/>
      <c r="BA969" s="150"/>
      <c r="BB969" s="150"/>
      <c r="BC969" s="150"/>
      <c r="BD969" s="150"/>
      <c r="BE969" s="150"/>
      <c r="BF969" s="150"/>
      <c r="BG969" s="150"/>
      <c r="BH969" s="150"/>
      <c r="BI969" s="150"/>
      <c r="BJ969" s="150"/>
      <c r="BK969" s="467">
        <v>50</v>
      </c>
      <c r="BL969" s="160"/>
      <c r="BM969" s="150"/>
      <c r="BN969" s="150"/>
      <c r="BO969" s="150"/>
      <c r="BP969" s="152"/>
      <c r="BQ969" s="160"/>
      <c r="BR969" s="152"/>
      <c r="BS969" s="160"/>
    </row>
    <row r="970" spans="1:71" x14ac:dyDescent="0.3">
      <c r="A970" s="420">
        <f>DL!A967</f>
        <v>874</v>
      </c>
      <c r="B970" s="19" t="s">
        <v>1728</v>
      </c>
      <c r="C970" s="149">
        <f>DL!L967</f>
        <v>1</v>
      </c>
      <c r="D970" s="149" t="str">
        <f>DL!C967</f>
        <v>1 bottle (500g)</v>
      </c>
      <c r="E970" s="150"/>
      <c r="F970" s="463"/>
      <c r="G970" s="150"/>
      <c r="H970" s="150"/>
      <c r="I970" s="150"/>
      <c r="J970" s="150"/>
      <c r="K970" s="168"/>
      <c r="L970" s="466">
        <v>7000</v>
      </c>
      <c r="M970" s="150">
        <v>5000</v>
      </c>
      <c r="N970" s="150"/>
      <c r="O970" s="150"/>
      <c r="P970" s="150"/>
      <c r="Q970" s="150">
        <v>5625</v>
      </c>
      <c r="R970" s="150"/>
      <c r="S970" s="150"/>
      <c r="T970" s="150"/>
      <c r="U970" s="150"/>
      <c r="V970" s="150"/>
      <c r="W970" s="168"/>
      <c r="X970" s="150"/>
      <c r="Y970" s="150"/>
      <c r="Z970" s="455"/>
      <c r="AA970" s="150"/>
      <c r="AB970" s="150"/>
      <c r="AC970" s="150"/>
      <c r="AD970" s="150"/>
      <c r="AE970" s="150"/>
      <c r="AF970" s="494"/>
      <c r="AG970" s="150"/>
      <c r="AH970" s="150"/>
      <c r="AI970" s="150"/>
      <c r="AJ970" s="150"/>
      <c r="AK970" s="150"/>
      <c r="AL970" s="150"/>
      <c r="AM970" s="150"/>
      <c r="AN970" s="150"/>
      <c r="AO970" s="150"/>
      <c r="AP970" s="150"/>
      <c r="AQ970" s="150"/>
      <c r="AR970" s="151"/>
      <c r="AS970" s="456"/>
      <c r="AT970" s="151"/>
      <c r="AU970" s="150"/>
      <c r="AV970" s="487"/>
      <c r="AW970" s="150"/>
      <c r="AX970" s="150"/>
      <c r="AY970" s="150"/>
      <c r="AZ970" s="150"/>
      <c r="BA970" s="150"/>
      <c r="BB970" s="150"/>
      <c r="BC970" s="150"/>
      <c r="BD970" s="150"/>
      <c r="BE970" s="150"/>
      <c r="BF970" s="150"/>
      <c r="BG970" s="150"/>
      <c r="BH970" s="150"/>
      <c r="BI970" s="150">
        <v>8800</v>
      </c>
      <c r="BJ970" s="150"/>
      <c r="BK970" s="467">
        <v>6500</v>
      </c>
      <c r="BL970" s="160"/>
      <c r="BM970" s="150"/>
      <c r="BN970" s="150"/>
      <c r="BO970" s="150"/>
      <c r="BP970" s="152"/>
      <c r="BQ970" s="160"/>
      <c r="BR970" s="152"/>
      <c r="BS970" s="160"/>
    </row>
    <row r="971" spans="1:71" x14ac:dyDescent="0.3">
      <c r="A971" s="420">
        <f>DL!A968</f>
        <v>875</v>
      </c>
      <c r="B971" s="19" t="s">
        <v>1729</v>
      </c>
      <c r="C971" s="149">
        <f>DL!L968</f>
        <v>4</v>
      </c>
      <c r="D971" s="149" t="str">
        <f>DL!C968</f>
        <v>1 Carton (10 x500ml)</v>
      </c>
      <c r="E971" s="150"/>
      <c r="F971" s="463"/>
      <c r="G971" s="150"/>
      <c r="H971" s="150"/>
      <c r="I971" s="150"/>
      <c r="J971" s="150"/>
      <c r="K971" s="168"/>
      <c r="L971" s="466"/>
      <c r="M971" s="150">
        <v>21600</v>
      </c>
      <c r="N971" s="150"/>
      <c r="O971" s="150"/>
      <c r="P971" s="150"/>
      <c r="Q971" s="150"/>
      <c r="R971" s="150"/>
      <c r="S971" s="150"/>
      <c r="T971" s="150"/>
      <c r="U971" s="150"/>
      <c r="V971" s="150"/>
      <c r="W971" s="168"/>
      <c r="X971" s="150"/>
      <c r="Y971" s="150"/>
      <c r="Z971" s="455"/>
      <c r="AA971" s="150"/>
      <c r="AB971" s="150"/>
      <c r="AC971" s="150"/>
      <c r="AD971" s="150"/>
      <c r="AE971" s="150"/>
      <c r="AF971" s="494">
        <v>0</v>
      </c>
      <c r="AG971" s="150"/>
      <c r="AH971" s="150"/>
      <c r="AI971" s="150"/>
      <c r="AJ971" s="150"/>
      <c r="AK971" s="150"/>
      <c r="AL971" s="150"/>
      <c r="AM971" s="150"/>
      <c r="AN971" s="150"/>
      <c r="AO971" s="150"/>
      <c r="AP971" s="150"/>
      <c r="AQ971" s="150"/>
      <c r="AR971" s="151"/>
      <c r="AS971" s="456"/>
      <c r="AT971" s="151"/>
      <c r="AU971" s="150"/>
      <c r="AV971" s="487"/>
      <c r="AW971" s="150"/>
      <c r="AX971" s="150"/>
      <c r="AY971" s="150"/>
      <c r="AZ971" s="150"/>
      <c r="BA971" s="150"/>
      <c r="BB971" s="150"/>
      <c r="BC971" s="150"/>
      <c r="BD971" s="150"/>
      <c r="BE971" s="150"/>
      <c r="BF971" s="150"/>
      <c r="BG971" s="150"/>
      <c r="BH971" s="150"/>
      <c r="BI971" s="150">
        <v>27000</v>
      </c>
      <c r="BJ971" s="150"/>
      <c r="BK971" s="467">
        <v>38125</v>
      </c>
      <c r="BL971" s="160"/>
      <c r="BM971" s="150"/>
      <c r="BN971" s="150"/>
      <c r="BO971" s="150"/>
      <c r="BP971" s="152"/>
      <c r="BQ971" s="160"/>
      <c r="BR971" s="152"/>
      <c r="BS971" s="160"/>
    </row>
    <row r="972" spans="1:71" x14ac:dyDescent="0.3">
      <c r="A972" s="420">
        <f>DL!A969</f>
        <v>876</v>
      </c>
      <c r="B972" s="19" t="s">
        <v>1730</v>
      </c>
      <c r="C972" s="149">
        <f>DL!L969</f>
        <v>24</v>
      </c>
      <c r="D972" s="149" t="str">
        <f>DL!C969</f>
        <v>1 pair</v>
      </c>
      <c r="E972" s="150"/>
      <c r="F972" s="463"/>
      <c r="G972" s="150"/>
      <c r="H972" s="150"/>
      <c r="I972" s="150"/>
      <c r="J972" s="150"/>
      <c r="K972" s="168"/>
      <c r="L972" s="466"/>
      <c r="M972" s="150">
        <v>500</v>
      </c>
      <c r="N972" s="150"/>
      <c r="O972" s="150"/>
      <c r="P972" s="150"/>
      <c r="Q972" s="150">
        <v>1625</v>
      </c>
      <c r="R972" s="150"/>
      <c r="S972" s="150"/>
      <c r="T972" s="150"/>
      <c r="U972" s="150"/>
      <c r="V972" s="150"/>
      <c r="W972" s="168"/>
      <c r="X972" s="150"/>
      <c r="Y972" s="150"/>
      <c r="Z972" s="455"/>
      <c r="AA972" s="150"/>
      <c r="AB972" s="150"/>
      <c r="AC972" s="150">
        <v>400</v>
      </c>
      <c r="AD972" s="150"/>
      <c r="AE972" s="150"/>
      <c r="AF972" s="494">
        <v>0</v>
      </c>
      <c r="AG972" s="150"/>
      <c r="AH972" s="150"/>
      <c r="AI972" s="150"/>
      <c r="AJ972" s="150"/>
      <c r="AK972" s="150"/>
      <c r="AL972" s="150"/>
      <c r="AM972" s="150"/>
      <c r="AN972" s="150"/>
      <c r="AO972" s="150"/>
      <c r="AP972" s="150"/>
      <c r="AQ972" s="150"/>
      <c r="AR972" s="151"/>
      <c r="AS972" s="456"/>
      <c r="AT972" s="151"/>
      <c r="AU972" s="150"/>
      <c r="AV972" s="487"/>
      <c r="AW972" s="150"/>
      <c r="AX972" s="150"/>
      <c r="AY972" s="150"/>
      <c r="AZ972" s="150"/>
      <c r="BA972" s="150"/>
      <c r="BB972" s="150"/>
      <c r="BC972" s="150"/>
      <c r="BD972" s="150"/>
      <c r="BE972" s="150"/>
      <c r="BF972" s="150"/>
      <c r="BG972" s="150"/>
      <c r="BH972" s="150"/>
      <c r="BI972" s="150">
        <v>800</v>
      </c>
      <c r="BJ972" s="150"/>
      <c r="BK972" s="467">
        <v>6500</v>
      </c>
      <c r="BL972" s="160"/>
      <c r="BM972" s="150"/>
      <c r="BN972" s="150"/>
      <c r="BO972" s="150"/>
      <c r="BP972" s="152"/>
      <c r="BQ972" s="160"/>
      <c r="BR972" s="152"/>
      <c r="BS972" s="160"/>
    </row>
    <row r="973" spans="1:71" x14ac:dyDescent="0.3">
      <c r="A973" s="420">
        <f>DL!A970</f>
        <v>877</v>
      </c>
      <c r="B973" s="19" t="s">
        <v>1685</v>
      </c>
      <c r="C973" s="149">
        <f>DL!L970</f>
        <v>2</v>
      </c>
      <c r="D973" s="149" t="str">
        <f>DL!C970</f>
        <v>1 Drum (200 LTRS)</v>
      </c>
      <c r="E973" s="150"/>
      <c r="F973" s="463"/>
      <c r="G973" s="150"/>
      <c r="H973" s="150"/>
      <c r="I973" s="150"/>
      <c r="J973" s="150"/>
      <c r="K973" s="168"/>
      <c r="L973" s="466">
        <v>230000</v>
      </c>
      <c r="M973" s="150">
        <v>270000</v>
      </c>
      <c r="N973" s="150"/>
      <c r="O973" s="150"/>
      <c r="P973" s="150"/>
      <c r="Q973" s="150">
        <v>181250</v>
      </c>
      <c r="R973" s="150"/>
      <c r="S973" s="150"/>
      <c r="T973" s="150"/>
      <c r="U973" s="150"/>
      <c r="V973" s="150"/>
      <c r="W973" s="168"/>
      <c r="X973" s="150"/>
      <c r="Y973" s="150"/>
      <c r="Z973" s="455"/>
      <c r="AA973" s="150"/>
      <c r="AB973" s="150"/>
      <c r="AC973" s="150"/>
      <c r="AD973" s="150"/>
      <c r="AE973" s="150"/>
      <c r="AF973" s="494">
        <v>0</v>
      </c>
      <c r="AG973" s="150"/>
      <c r="AH973" s="150"/>
      <c r="AI973" s="150"/>
      <c r="AJ973" s="150"/>
      <c r="AK973" s="150"/>
      <c r="AL973" s="150"/>
      <c r="AM973" s="150"/>
      <c r="AN973" s="150"/>
      <c r="AO973" s="150"/>
      <c r="AP973" s="150"/>
      <c r="AQ973" s="150"/>
      <c r="AR973" s="151"/>
      <c r="AS973" s="456"/>
      <c r="AT973" s="151"/>
      <c r="AU973" s="150"/>
      <c r="AV973" s="487"/>
      <c r="AW973" s="150"/>
      <c r="AX973" s="150"/>
      <c r="AY973" s="150"/>
      <c r="AZ973" s="150"/>
      <c r="BA973" s="150"/>
      <c r="BB973" s="150"/>
      <c r="BC973" s="150"/>
      <c r="BD973" s="150"/>
      <c r="BE973" s="150"/>
      <c r="BF973" s="150"/>
      <c r="BG973" s="150"/>
      <c r="BH973" s="150"/>
      <c r="BI973" s="150">
        <v>125000</v>
      </c>
      <c r="BJ973" s="150"/>
      <c r="BK973" s="467">
        <v>180000</v>
      </c>
      <c r="BL973" s="160"/>
      <c r="BM973" s="150"/>
      <c r="BN973" s="150"/>
      <c r="BO973" s="150"/>
      <c r="BP973" s="152"/>
      <c r="BQ973" s="160"/>
      <c r="BR973" s="152"/>
      <c r="BS973" s="160"/>
    </row>
    <row r="974" spans="1:71" x14ac:dyDescent="0.3">
      <c r="A974" s="420">
        <f>DL!A971</f>
        <v>878</v>
      </c>
      <c r="B974" s="19" t="s">
        <v>1731</v>
      </c>
      <c r="C974" s="149">
        <f>DL!L971</f>
        <v>1</v>
      </c>
      <c r="D974" s="149" t="str">
        <f>DL!C971</f>
        <v>1 bottle (25G)</v>
      </c>
      <c r="E974" s="150"/>
      <c r="F974" s="463"/>
      <c r="G974" s="150"/>
      <c r="H974" s="150"/>
      <c r="I974" s="150"/>
      <c r="J974" s="150"/>
      <c r="K974" s="168"/>
      <c r="L974" s="466">
        <v>5500</v>
      </c>
      <c r="M974" s="150">
        <v>5000</v>
      </c>
      <c r="N974" s="150"/>
      <c r="O974" s="150"/>
      <c r="P974" s="150"/>
      <c r="Q974" s="150">
        <v>4375</v>
      </c>
      <c r="R974" s="150"/>
      <c r="S974" s="150"/>
      <c r="T974" s="150"/>
      <c r="U974" s="150"/>
      <c r="V974" s="150"/>
      <c r="W974" s="168"/>
      <c r="X974" s="150"/>
      <c r="Y974" s="150"/>
      <c r="Z974" s="455"/>
      <c r="AA974" s="150"/>
      <c r="AB974" s="150"/>
      <c r="AC974" s="150"/>
      <c r="AD974" s="150"/>
      <c r="AE974" s="150"/>
      <c r="AF974" s="495">
        <v>20280</v>
      </c>
      <c r="AG974" s="150"/>
      <c r="AH974" s="150"/>
      <c r="AI974" s="150"/>
      <c r="AJ974" s="150"/>
      <c r="AK974" s="150"/>
      <c r="AL974" s="150"/>
      <c r="AM974" s="150"/>
      <c r="AN974" s="150"/>
      <c r="AO974" s="150"/>
      <c r="AP974" s="150"/>
      <c r="AQ974" s="150"/>
      <c r="AR974" s="151"/>
      <c r="AS974" s="456"/>
      <c r="AT974" s="151"/>
      <c r="AU974" s="150"/>
      <c r="AV974" s="487"/>
      <c r="AW974" s="150"/>
      <c r="AX974" s="150"/>
      <c r="AY974" s="150"/>
      <c r="AZ974" s="150"/>
      <c r="BA974" s="150"/>
      <c r="BB974" s="150"/>
      <c r="BC974" s="150"/>
      <c r="BD974" s="150"/>
      <c r="BE974" s="150"/>
      <c r="BF974" s="150"/>
      <c r="BG974" s="150"/>
      <c r="BH974" s="150"/>
      <c r="BI974" s="150">
        <v>3300</v>
      </c>
      <c r="BJ974" s="150"/>
      <c r="BK974" s="467">
        <v>25000</v>
      </c>
      <c r="BL974" s="160"/>
      <c r="BM974" s="150"/>
      <c r="BN974" s="150"/>
      <c r="BO974" s="150"/>
      <c r="BP974" s="152"/>
      <c r="BQ974" s="160"/>
      <c r="BR974" s="152"/>
      <c r="BS974" s="160"/>
    </row>
    <row r="975" spans="1:71" x14ac:dyDescent="0.3">
      <c r="A975" s="420">
        <f>DL!A972</f>
        <v>879</v>
      </c>
      <c r="B975" s="19" t="s">
        <v>1732</v>
      </c>
      <c r="C975" s="149">
        <f>DL!L972</f>
        <v>10</v>
      </c>
      <c r="D975" s="149" t="str">
        <f>DL!C972</f>
        <v>1 pack of 5 Slides</v>
      </c>
      <c r="E975" s="150"/>
      <c r="F975" s="463"/>
      <c r="G975" s="150"/>
      <c r="H975" s="150"/>
      <c r="I975" s="150"/>
      <c r="J975" s="150"/>
      <c r="K975" s="168"/>
      <c r="L975" s="466">
        <v>3000</v>
      </c>
      <c r="M975" s="150">
        <v>2500</v>
      </c>
      <c r="N975" s="150"/>
      <c r="O975" s="150"/>
      <c r="P975" s="150"/>
      <c r="Q975" s="150">
        <v>2875</v>
      </c>
      <c r="R975" s="150"/>
      <c r="S975" s="150"/>
      <c r="T975" s="150"/>
      <c r="U975" s="150"/>
      <c r="V975" s="150"/>
      <c r="W975" s="168"/>
      <c r="X975" s="150"/>
      <c r="Y975" s="150"/>
      <c r="Z975" s="455"/>
      <c r="AA975" s="150"/>
      <c r="AB975" s="150"/>
      <c r="AC975" s="150"/>
      <c r="AD975" s="150"/>
      <c r="AE975" s="150"/>
      <c r="AF975" s="494">
        <v>650</v>
      </c>
      <c r="AG975" s="150"/>
      <c r="AH975" s="150"/>
      <c r="AI975" s="150"/>
      <c r="AJ975" s="150"/>
      <c r="AK975" s="150"/>
      <c r="AL975" s="150"/>
      <c r="AM975" s="150"/>
      <c r="AN975" s="150"/>
      <c r="AO975" s="150"/>
      <c r="AP975" s="150"/>
      <c r="AQ975" s="150"/>
      <c r="AR975" s="151"/>
      <c r="AS975" s="456"/>
      <c r="AT975" s="151"/>
      <c r="AU975" s="150"/>
      <c r="AV975" s="487"/>
      <c r="AW975" s="150"/>
      <c r="AX975" s="150"/>
      <c r="AY975" s="150"/>
      <c r="AZ975" s="150"/>
      <c r="BA975" s="150"/>
      <c r="BB975" s="150"/>
      <c r="BC975" s="150"/>
      <c r="BD975" s="150"/>
      <c r="BE975" s="150"/>
      <c r="BF975" s="150"/>
      <c r="BG975" s="150"/>
      <c r="BH975" s="150"/>
      <c r="BI975" s="150"/>
      <c r="BJ975" s="150"/>
      <c r="BK975" s="467">
        <v>4500</v>
      </c>
      <c r="BL975" s="160"/>
      <c r="BM975" s="150"/>
      <c r="BN975" s="150"/>
      <c r="BO975" s="150"/>
      <c r="BP975" s="152"/>
      <c r="BQ975" s="160"/>
      <c r="BR975" s="152"/>
      <c r="BS975" s="160"/>
    </row>
    <row r="976" spans="1:71" x14ac:dyDescent="0.3">
      <c r="A976" s="420">
        <f>DL!A973</f>
        <v>880</v>
      </c>
      <c r="B976" s="19" t="s">
        <v>1733</v>
      </c>
      <c r="C976" s="149">
        <f>DL!L973</f>
        <v>15</v>
      </c>
      <c r="D976" s="149" t="str">
        <f>DL!C973</f>
        <v>1 pack (12pcs)</v>
      </c>
      <c r="E976" s="150"/>
      <c r="F976" s="463"/>
      <c r="G976" s="150"/>
      <c r="H976" s="150"/>
      <c r="I976" s="150"/>
      <c r="J976" s="150"/>
      <c r="K976" s="168"/>
      <c r="L976" s="466"/>
      <c r="M976" s="150">
        <v>21500</v>
      </c>
      <c r="N976" s="150"/>
      <c r="O976" s="150"/>
      <c r="P976" s="150"/>
      <c r="Q976" s="150">
        <v>2875</v>
      </c>
      <c r="R976" s="150"/>
      <c r="S976" s="150"/>
      <c r="T976" s="150"/>
      <c r="U976" s="150"/>
      <c r="V976" s="150"/>
      <c r="W976" s="168"/>
      <c r="X976" s="150"/>
      <c r="Y976" s="150"/>
      <c r="Z976" s="455"/>
      <c r="AA976" s="150"/>
      <c r="AB976" s="150"/>
      <c r="AC976" s="150"/>
      <c r="AD976" s="150"/>
      <c r="AE976" s="150"/>
      <c r="AF976" s="495">
        <v>15600</v>
      </c>
      <c r="AG976" s="150"/>
      <c r="AH976" s="150"/>
      <c r="AI976" s="150"/>
      <c r="AJ976" s="150"/>
      <c r="AK976" s="150"/>
      <c r="AL976" s="150"/>
      <c r="AM976" s="150"/>
      <c r="AN976" s="150"/>
      <c r="AO976" s="150"/>
      <c r="AP976" s="150"/>
      <c r="AQ976" s="150"/>
      <c r="AR976" s="151"/>
      <c r="AS976" s="456"/>
      <c r="AT976" s="151"/>
      <c r="AU976" s="150"/>
      <c r="AV976" s="487"/>
      <c r="AW976" s="150"/>
      <c r="AX976" s="150"/>
      <c r="AY976" s="150"/>
      <c r="AZ976" s="150"/>
      <c r="BA976" s="150"/>
      <c r="BB976" s="150"/>
      <c r="BC976" s="150"/>
      <c r="BD976" s="150"/>
      <c r="BE976" s="150"/>
      <c r="BF976" s="150"/>
      <c r="BG976" s="150"/>
      <c r="BH976" s="150"/>
      <c r="BI976" s="150"/>
      <c r="BJ976" s="150"/>
      <c r="BK976" s="467">
        <v>90000</v>
      </c>
      <c r="BL976" s="160"/>
      <c r="BM976" s="150"/>
      <c r="BN976" s="150"/>
      <c r="BO976" s="150"/>
      <c r="BP976" s="152"/>
      <c r="BQ976" s="160"/>
      <c r="BR976" s="152"/>
      <c r="BS976" s="160"/>
    </row>
    <row r="977" spans="1:71" x14ac:dyDescent="0.3">
      <c r="A977" s="420">
        <f>DL!A974</f>
        <v>881</v>
      </c>
      <c r="B977" s="19" t="s">
        <v>1734</v>
      </c>
      <c r="C977" s="149">
        <f>DL!L974</f>
        <v>5</v>
      </c>
      <c r="D977" s="149" t="str">
        <f>DL!C974</f>
        <v>1 bottle (500mls)</v>
      </c>
      <c r="E977" s="150"/>
      <c r="F977" s="463"/>
      <c r="G977" s="150"/>
      <c r="H977" s="150"/>
      <c r="I977" s="150"/>
      <c r="J977" s="150"/>
      <c r="K977" s="168"/>
      <c r="L977" s="466">
        <v>17000</v>
      </c>
      <c r="M977" s="150">
        <v>18000</v>
      </c>
      <c r="N977" s="150"/>
      <c r="O977" s="150"/>
      <c r="P977" s="150"/>
      <c r="Q977" s="150">
        <v>15625</v>
      </c>
      <c r="R977" s="150"/>
      <c r="S977" s="150"/>
      <c r="T977" s="150"/>
      <c r="U977" s="150"/>
      <c r="V977" s="150"/>
      <c r="W977" s="168"/>
      <c r="X977" s="150"/>
      <c r="Y977" s="150"/>
      <c r="Z977" s="455"/>
      <c r="AA977" s="150"/>
      <c r="AB977" s="150"/>
      <c r="AC977" s="150"/>
      <c r="AD977" s="150"/>
      <c r="AE977" s="150"/>
      <c r="AF977" s="495">
        <v>23400</v>
      </c>
      <c r="AG977" s="150"/>
      <c r="AH977" s="150"/>
      <c r="AI977" s="150"/>
      <c r="AJ977" s="150"/>
      <c r="AK977" s="150"/>
      <c r="AL977" s="150"/>
      <c r="AM977" s="150"/>
      <c r="AN977" s="150"/>
      <c r="AO977" s="150"/>
      <c r="AP977" s="150"/>
      <c r="AQ977" s="150"/>
      <c r="AR977" s="151"/>
      <c r="AS977" s="456"/>
      <c r="AT977" s="151"/>
      <c r="AU977" s="150"/>
      <c r="AV977" s="487"/>
      <c r="AW977" s="150"/>
      <c r="AX977" s="150"/>
      <c r="AY977" s="150"/>
      <c r="AZ977" s="150"/>
      <c r="BA977" s="150"/>
      <c r="BB977" s="150"/>
      <c r="BC977" s="150"/>
      <c r="BD977" s="150"/>
      <c r="BE977" s="150"/>
      <c r="BF977" s="150"/>
      <c r="BG977" s="150"/>
      <c r="BH977" s="150"/>
      <c r="BI977" s="150"/>
      <c r="BJ977" s="150"/>
      <c r="BK977" s="467">
        <v>25000</v>
      </c>
      <c r="BL977" s="160"/>
      <c r="BM977" s="150"/>
      <c r="BN977" s="150"/>
      <c r="BO977" s="150"/>
      <c r="BP977" s="152"/>
      <c r="BQ977" s="160"/>
      <c r="BR977" s="152"/>
      <c r="BS977" s="160"/>
    </row>
    <row r="978" spans="1:71" x14ac:dyDescent="0.3">
      <c r="A978" s="420">
        <f>DL!A975</f>
        <v>882</v>
      </c>
      <c r="B978" s="19" t="s">
        <v>1735</v>
      </c>
      <c r="C978" s="149">
        <f>DL!L975</f>
        <v>20</v>
      </c>
      <c r="D978" s="149" t="str">
        <f>DL!C975</f>
        <v>1 keg (1liter)</v>
      </c>
      <c r="E978" s="150"/>
      <c r="F978" s="463"/>
      <c r="G978" s="150"/>
      <c r="H978" s="150"/>
      <c r="I978" s="150"/>
      <c r="J978" s="150"/>
      <c r="K978" s="168"/>
      <c r="L978" s="466"/>
      <c r="M978" s="150">
        <v>2400</v>
      </c>
      <c r="N978" s="150"/>
      <c r="O978" s="150"/>
      <c r="P978" s="150"/>
      <c r="Q978" s="150">
        <v>1125</v>
      </c>
      <c r="R978" s="150"/>
      <c r="S978" s="150"/>
      <c r="T978" s="150"/>
      <c r="U978" s="150"/>
      <c r="V978" s="150"/>
      <c r="W978" s="168"/>
      <c r="X978" s="150"/>
      <c r="Y978" s="150"/>
      <c r="Z978" s="455"/>
      <c r="AA978" s="150"/>
      <c r="AB978" s="150"/>
      <c r="AC978" s="150"/>
      <c r="AD978" s="150"/>
      <c r="AE978" s="150"/>
      <c r="AF978" s="494">
        <v>0</v>
      </c>
      <c r="AG978" s="150"/>
      <c r="AH978" s="150"/>
      <c r="AI978" s="150"/>
      <c r="AJ978" s="150"/>
      <c r="AK978" s="150"/>
      <c r="AL978" s="150"/>
      <c r="AM978" s="150"/>
      <c r="AN978" s="150"/>
      <c r="AO978" s="150"/>
      <c r="AP978" s="150"/>
      <c r="AQ978" s="150"/>
      <c r="AR978" s="151"/>
      <c r="AS978" s="456"/>
      <c r="AT978" s="151"/>
      <c r="AU978" s="150"/>
      <c r="AV978" s="487"/>
      <c r="AW978" s="150"/>
      <c r="AX978" s="150"/>
      <c r="AY978" s="150"/>
      <c r="AZ978" s="150"/>
      <c r="BA978" s="150"/>
      <c r="BB978" s="150"/>
      <c r="BC978" s="150"/>
      <c r="BD978" s="150"/>
      <c r="BE978" s="150"/>
      <c r="BF978" s="150"/>
      <c r="BG978" s="150"/>
      <c r="BH978" s="150"/>
      <c r="BI978" s="150"/>
      <c r="BJ978" s="150"/>
      <c r="BK978" s="467">
        <v>1200</v>
      </c>
      <c r="BL978" s="160"/>
      <c r="BM978" s="150"/>
      <c r="BN978" s="150"/>
      <c r="BO978" s="150"/>
      <c r="BP978" s="152"/>
      <c r="BQ978" s="160"/>
      <c r="BR978" s="152"/>
      <c r="BS978" s="160"/>
    </row>
    <row r="979" spans="1:71" x14ac:dyDescent="0.3">
      <c r="A979" s="420">
        <f>DL!A976</f>
        <v>883</v>
      </c>
      <c r="B979" s="19" t="s">
        <v>1736</v>
      </c>
      <c r="C979" s="149">
        <f>DL!L976</f>
        <v>10</v>
      </c>
      <c r="D979" s="149" t="str">
        <f>DL!C976</f>
        <v>1 carton (12 x 500mls)</v>
      </c>
      <c r="E979" s="150"/>
      <c r="F979" s="463"/>
      <c r="G979" s="150"/>
      <c r="H979" s="150"/>
      <c r="I979" s="150"/>
      <c r="J979" s="150"/>
      <c r="K979" s="168"/>
      <c r="L979" s="466"/>
      <c r="M979" s="150">
        <v>4800</v>
      </c>
      <c r="N979" s="150"/>
      <c r="O979" s="150"/>
      <c r="P979" s="150"/>
      <c r="Q979" s="150">
        <v>5625</v>
      </c>
      <c r="R979" s="150"/>
      <c r="S979" s="150"/>
      <c r="T979" s="150"/>
      <c r="U979" s="150"/>
      <c r="V979" s="150"/>
      <c r="W979" s="168"/>
      <c r="X979" s="150"/>
      <c r="Y979" s="150"/>
      <c r="Z979" s="455"/>
      <c r="AA979" s="150"/>
      <c r="AB979" s="150"/>
      <c r="AC979" s="150">
        <v>5400</v>
      </c>
      <c r="AD979" s="150"/>
      <c r="AE979" s="150"/>
      <c r="AF979" s="494">
        <v>7930</v>
      </c>
      <c r="AG979" s="150"/>
      <c r="AH979" s="150"/>
      <c r="AI979" s="150"/>
      <c r="AJ979" s="150"/>
      <c r="AK979" s="150"/>
      <c r="AL979" s="150"/>
      <c r="AM979" s="150"/>
      <c r="AN979" s="150"/>
      <c r="AO979" s="150"/>
      <c r="AP979" s="150"/>
      <c r="AQ979" s="150"/>
      <c r="AR979" s="151"/>
      <c r="AS979" s="456"/>
      <c r="AT979" s="151"/>
      <c r="AU979" s="150"/>
      <c r="AV979" s="487"/>
      <c r="AW979" s="150"/>
      <c r="AX979" s="150"/>
      <c r="AY979" s="150"/>
      <c r="AZ979" s="150"/>
      <c r="BA979" s="150"/>
      <c r="BB979" s="150"/>
      <c r="BC979" s="150"/>
      <c r="BD979" s="150"/>
      <c r="BE979" s="150"/>
      <c r="BF979" s="150"/>
      <c r="BG979" s="150"/>
      <c r="BH979" s="150"/>
      <c r="BI979" s="150">
        <v>4560</v>
      </c>
      <c r="BJ979" s="150"/>
      <c r="BK979" s="467">
        <v>5625</v>
      </c>
      <c r="BL979" s="160"/>
      <c r="BM979" s="150"/>
      <c r="BN979" s="150"/>
      <c r="BO979" s="150"/>
      <c r="BP979" s="152"/>
      <c r="BQ979" s="160"/>
      <c r="BR979" s="152"/>
      <c r="BS979" s="160"/>
    </row>
    <row r="980" spans="1:71" x14ac:dyDescent="0.3">
      <c r="A980" s="420">
        <f>DL!A977</f>
        <v>884</v>
      </c>
      <c r="B980" s="19" t="s">
        <v>1737</v>
      </c>
      <c r="C980" s="149">
        <f>DL!L977</f>
        <v>15</v>
      </c>
      <c r="D980" s="149" t="str">
        <f>DL!C977</f>
        <v>1 bottle (500ml)</v>
      </c>
      <c r="E980" s="150"/>
      <c r="F980" s="463"/>
      <c r="G980" s="150"/>
      <c r="H980" s="150"/>
      <c r="I980" s="150"/>
      <c r="J980" s="150"/>
      <c r="K980" s="168"/>
      <c r="L980" s="466">
        <v>7000</v>
      </c>
      <c r="M980" s="150">
        <v>8400</v>
      </c>
      <c r="N980" s="150"/>
      <c r="O980" s="150"/>
      <c r="P980" s="150"/>
      <c r="Q980" s="150">
        <v>8125</v>
      </c>
      <c r="R980" s="150"/>
      <c r="S980" s="150"/>
      <c r="T980" s="150"/>
      <c r="U980" s="150"/>
      <c r="V980" s="150"/>
      <c r="W980" s="168"/>
      <c r="X980" s="150"/>
      <c r="Y980" s="150"/>
      <c r="Z980" s="455"/>
      <c r="AA980" s="150"/>
      <c r="AB980" s="150"/>
      <c r="AC980" s="150"/>
      <c r="AD980" s="150"/>
      <c r="AE980" s="150"/>
      <c r="AF980" s="494">
        <v>0</v>
      </c>
      <c r="AG980" s="150"/>
      <c r="AH980" s="150"/>
      <c r="AI980" s="150"/>
      <c r="AJ980" s="150"/>
      <c r="AK980" s="150"/>
      <c r="AL980" s="150"/>
      <c r="AM980" s="150"/>
      <c r="AN980" s="150"/>
      <c r="AO980" s="150"/>
      <c r="AP980" s="150"/>
      <c r="AQ980" s="150"/>
      <c r="AR980" s="151"/>
      <c r="AS980" s="456"/>
      <c r="AT980" s="151"/>
      <c r="AU980" s="150"/>
      <c r="AV980" s="487"/>
      <c r="AW980" s="150"/>
      <c r="AX980" s="150"/>
      <c r="AY980" s="150"/>
      <c r="AZ980" s="150"/>
      <c r="BA980" s="150"/>
      <c r="BB980" s="150"/>
      <c r="BC980" s="150"/>
      <c r="BD980" s="150"/>
      <c r="BE980" s="150"/>
      <c r="BF980" s="150"/>
      <c r="BG980" s="150"/>
      <c r="BH980" s="150"/>
      <c r="BI980" s="150">
        <v>5900</v>
      </c>
      <c r="BJ980" s="150"/>
      <c r="BK980" s="467">
        <v>10000</v>
      </c>
      <c r="BL980" s="160"/>
      <c r="BM980" s="150"/>
      <c r="BN980" s="150"/>
      <c r="BO980" s="150"/>
      <c r="BP980" s="152"/>
      <c r="BQ980" s="160"/>
      <c r="BR980" s="152"/>
      <c r="BS980" s="160"/>
    </row>
    <row r="981" spans="1:71" x14ac:dyDescent="0.3">
      <c r="A981" s="420">
        <f>DL!A978</f>
        <v>885</v>
      </c>
      <c r="B981" s="19" t="s">
        <v>1738</v>
      </c>
      <c r="C981" s="149">
        <f>DL!L978</f>
        <v>10</v>
      </c>
      <c r="D981" s="149" t="str">
        <f>DL!C978</f>
        <v>1 Carton (100pcs)</v>
      </c>
      <c r="E981" s="150"/>
      <c r="F981" s="463"/>
      <c r="G981" s="150"/>
      <c r="H981" s="150"/>
      <c r="I981" s="150"/>
      <c r="J981" s="150"/>
      <c r="K981" s="168"/>
      <c r="L981" s="466"/>
      <c r="M981" s="150">
        <v>14000</v>
      </c>
      <c r="N981" s="150"/>
      <c r="O981" s="150"/>
      <c r="P981" s="150"/>
      <c r="Q981" s="150">
        <v>13750</v>
      </c>
      <c r="R981" s="150"/>
      <c r="S981" s="150"/>
      <c r="T981" s="150"/>
      <c r="U981" s="150"/>
      <c r="V981" s="150"/>
      <c r="W981" s="168"/>
      <c r="X981" s="150"/>
      <c r="Y981" s="150"/>
      <c r="Z981" s="455"/>
      <c r="AA981" s="150"/>
      <c r="AB981" s="150"/>
      <c r="AC981" s="150"/>
      <c r="AD981" s="150"/>
      <c r="AE981" s="150"/>
      <c r="AF981" s="494">
        <v>13650</v>
      </c>
      <c r="AG981" s="150"/>
      <c r="AH981" s="150"/>
      <c r="AI981" s="150"/>
      <c r="AJ981" s="150"/>
      <c r="AK981" s="150"/>
      <c r="AL981" s="150"/>
      <c r="AM981" s="150"/>
      <c r="AN981" s="150"/>
      <c r="AO981" s="150"/>
      <c r="AP981" s="150"/>
      <c r="AQ981" s="150"/>
      <c r="AR981" s="151"/>
      <c r="AS981" s="456"/>
      <c r="AT981" s="151"/>
      <c r="AU981" s="150"/>
      <c r="AV981" s="487"/>
      <c r="AW981" s="150"/>
      <c r="AX981" s="150"/>
      <c r="AY981" s="150"/>
      <c r="AZ981" s="150"/>
      <c r="BA981" s="150"/>
      <c r="BB981" s="150"/>
      <c r="BC981" s="150"/>
      <c r="BD981" s="150"/>
      <c r="BE981" s="150"/>
      <c r="BF981" s="150"/>
      <c r="BG981" s="150"/>
      <c r="BH981" s="150"/>
      <c r="BI981" s="150"/>
      <c r="BJ981" s="150"/>
      <c r="BK981" s="467">
        <v>15000</v>
      </c>
      <c r="BL981" s="160"/>
      <c r="BM981" s="150"/>
      <c r="BN981" s="150"/>
      <c r="BO981" s="150"/>
      <c r="BP981" s="152"/>
      <c r="BQ981" s="160"/>
      <c r="BR981" s="152"/>
      <c r="BS981" s="160"/>
    </row>
    <row r="982" spans="1:71" x14ac:dyDescent="0.3">
      <c r="A982" s="420">
        <f>DL!A979</f>
        <v>886</v>
      </c>
      <c r="B982" s="19" t="s">
        <v>1694</v>
      </c>
      <c r="C982" s="149">
        <f>DL!L979</f>
        <v>20</v>
      </c>
      <c r="D982" s="149" t="str">
        <f>DL!C979</f>
        <v>1 Carton (100pcs)</v>
      </c>
      <c r="E982" s="150"/>
      <c r="F982" s="463"/>
      <c r="G982" s="150"/>
      <c r="H982" s="150"/>
      <c r="I982" s="150"/>
      <c r="J982" s="150"/>
      <c r="K982" s="168"/>
      <c r="L982" s="466">
        <v>3000</v>
      </c>
      <c r="M982" s="150">
        <v>2500</v>
      </c>
      <c r="N982" s="150"/>
      <c r="O982" s="150"/>
      <c r="P982" s="150"/>
      <c r="Q982" s="150">
        <v>3750</v>
      </c>
      <c r="R982" s="150"/>
      <c r="S982" s="150"/>
      <c r="T982" s="150"/>
      <c r="U982" s="150"/>
      <c r="V982" s="150"/>
      <c r="W982" s="168"/>
      <c r="X982" s="150"/>
      <c r="Y982" s="150"/>
      <c r="Z982" s="455"/>
      <c r="AA982" s="150"/>
      <c r="AB982" s="150"/>
      <c r="AC982" s="150"/>
      <c r="AD982" s="150"/>
      <c r="AE982" s="150"/>
      <c r="AF982" s="494">
        <v>7150</v>
      </c>
      <c r="AG982" s="150"/>
      <c r="AH982" s="150"/>
      <c r="AI982" s="150"/>
      <c r="AJ982" s="150"/>
      <c r="AK982" s="150"/>
      <c r="AL982" s="150"/>
      <c r="AM982" s="150"/>
      <c r="AN982" s="150"/>
      <c r="AO982" s="150"/>
      <c r="AP982" s="150"/>
      <c r="AQ982" s="150"/>
      <c r="AR982" s="151"/>
      <c r="AS982" s="456"/>
      <c r="AT982" s="151"/>
      <c r="AU982" s="150"/>
      <c r="AV982" s="487"/>
      <c r="AW982" s="150"/>
      <c r="AX982" s="150"/>
      <c r="AY982" s="150"/>
      <c r="AZ982" s="150"/>
      <c r="BA982" s="150"/>
      <c r="BB982" s="150"/>
      <c r="BC982" s="150"/>
      <c r="BD982" s="150"/>
      <c r="BE982" s="150"/>
      <c r="BF982" s="150"/>
      <c r="BG982" s="150"/>
      <c r="BH982" s="150"/>
      <c r="BI982" s="150"/>
      <c r="BJ982" s="150"/>
      <c r="BK982" s="467">
        <v>2500</v>
      </c>
      <c r="BL982" s="160"/>
      <c r="BM982" s="150"/>
      <c r="BN982" s="150"/>
      <c r="BO982" s="150"/>
      <c r="BP982" s="152"/>
      <c r="BQ982" s="160"/>
      <c r="BR982" s="152"/>
      <c r="BS982" s="160"/>
    </row>
    <row r="983" spans="1:71" x14ac:dyDescent="0.3">
      <c r="A983" s="420">
        <f>DL!A980</f>
        <v>887</v>
      </c>
      <c r="B983" s="19" t="s">
        <v>1739</v>
      </c>
      <c r="C983" s="149">
        <f>DL!L980</f>
        <v>5</v>
      </c>
      <c r="D983" s="149" t="str">
        <f>DL!C980</f>
        <v>1 bottle (6pcs)</v>
      </c>
      <c r="E983" s="150"/>
      <c r="F983" s="463"/>
      <c r="G983" s="150"/>
      <c r="H983" s="150"/>
      <c r="I983" s="150"/>
      <c r="J983" s="150"/>
      <c r="K983" s="168"/>
      <c r="L983" s="466"/>
      <c r="M983" s="150"/>
      <c r="N983" s="150"/>
      <c r="O983" s="150"/>
      <c r="P983" s="150"/>
      <c r="Q983" s="150">
        <v>1000</v>
      </c>
      <c r="R983" s="150"/>
      <c r="S983" s="150"/>
      <c r="T983" s="150"/>
      <c r="U983" s="150"/>
      <c r="V983" s="150"/>
      <c r="W983" s="168"/>
      <c r="X983" s="150"/>
      <c r="Y983" s="150"/>
      <c r="Z983" s="455"/>
      <c r="AA983" s="150"/>
      <c r="AB983" s="150"/>
      <c r="AC983" s="150">
        <v>1695</v>
      </c>
      <c r="AD983" s="150"/>
      <c r="AE983" s="150"/>
      <c r="AF983" s="494">
        <v>0</v>
      </c>
      <c r="AG983" s="150"/>
      <c r="AH983" s="500"/>
      <c r="AI983" s="150"/>
      <c r="AJ983" s="150"/>
      <c r="AK983" s="150"/>
      <c r="AL983" s="150"/>
      <c r="AM983" s="150"/>
      <c r="AN983" s="150"/>
      <c r="AO983" s="150"/>
      <c r="AP983" s="150"/>
      <c r="AQ983" s="150"/>
      <c r="AR983" s="151"/>
      <c r="AS983" s="456"/>
      <c r="AT983" s="151"/>
      <c r="AU983" s="150"/>
      <c r="AV983" s="487"/>
      <c r="AW983" s="150"/>
      <c r="AX983" s="150"/>
      <c r="AY983" s="150"/>
      <c r="AZ983" s="150"/>
      <c r="BA983" s="150"/>
      <c r="BB983" s="150"/>
      <c r="BC983" s="150"/>
      <c r="BD983" s="150"/>
      <c r="BE983" s="150"/>
      <c r="BF983" s="150"/>
      <c r="BG983" s="150"/>
      <c r="BH983" s="150"/>
      <c r="BI983" s="150"/>
      <c r="BJ983" s="150"/>
      <c r="BK983" s="466"/>
      <c r="BL983" s="160"/>
      <c r="BM983" s="150"/>
      <c r="BN983" s="150"/>
      <c r="BO983" s="150"/>
      <c r="BP983" s="152"/>
      <c r="BQ983" s="160"/>
      <c r="BR983" s="152"/>
      <c r="BS983" s="160"/>
    </row>
    <row r="984" spans="1:71" x14ac:dyDescent="0.3">
      <c r="A984" s="420">
        <f>DL!A981</f>
        <v>888</v>
      </c>
      <c r="B984" s="19" t="s">
        <v>1740</v>
      </c>
      <c r="C984" s="149">
        <f>DL!L981</f>
        <v>10</v>
      </c>
      <c r="D984" s="149" t="str">
        <f>DL!C981</f>
        <v>1 pack (10pcs)</v>
      </c>
      <c r="E984" s="150"/>
      <c r="F984" s="463"/>
      <c r="G984" s="150"/>
      <c r="H984" s="150"/>
      <c r="I984" s="150"/>
      <c r="J984" s="150"/>
      <c r="K984" s="168"/>
      <c r="L984" s="466"/>
      <c r="M984" s="150"/>
      <c r="N984" s="150"/>
      <c r="O984" s="150"/>
      <c r="P984" s="150"/>
      <c r="Q984" s="150">
        <v>1875</v>
      </c>
      <c r="R984" s="150"/>
      <c r="S984" s="150"/>
      <c r="T984" s="150"/>
      <c r="U984" s="150"/>
      <c r="V984" s="150"/>
      <c r="W984" s="168"/>
      <c r="X984" s="150"/>
      <c r="Y984" s="150"/>
      <c r="Z984" s="455"/>
      <c r="AA984" s="150"/>
      <c r="AB984" s="150"/>
      <c r="AC984" s="150">
        <v>2530</v>
      </c>
      <c r="AD984" s="150"/>
      <c r="AE984" s="150"/>
      <c r="AF984" s="494">
        <v>0</v>
      </c>
      <c r="AG984" s="150"/>
      <c r="AH984" s="500"/>
      <c r="AI984" s="150"/>
      <c r="AJ984" s="150"/>
      <c r="AK984" s="150"/>
      <c r="AL984" s="150"/>
      <c r="AM984" s="150"/>
      <c r="AN984" s="150"/>
      <c r="AO984" s="150"/>
      <c r="AP984" s="150"/>
      <c r="AQ984" s="150"/>
      <c r="AR984" s="151"/>
      <c r="AS984" s="456"/>
      <c r="AT984" s="151"/>
      <c r="AU984" s="150"/>
      <c r="AV984" s="487"/>
      <c r="AW984" s="150"/>
      <c r="AX984" s="150"/>
      <c r="AY984" s="150"/>
      <c r="AZ984" s="150"/>
      <c r="BA984" s="150"/>
      <c r="BB984" s="150"/>
      <c r="BC984" s="150"/>
      <c r="BD984" s="150"/>
      <c r="BE984" s="150"/>
      <c r="BF984" s="150"/>
      <c r="BG984" s="150"/>
      <c r="BH984" s="150"/>
      <c r="BI984" s="150"/>
      <c r="BJ984" s="150"/>
      <c r="BK984" s="467">
        <v>9500</v>
      </c>
      <c r="BL984" s="160"/>
      <c r="BM984" s="150"/>
      <c r="BN984" s="150"/>
      <c r="BO984" s="150"/>
      <c r="BP984" s="152"/>
      <c r="BQ984" s="160"/>
      <c r="BR984" s="152"/>
      <c r="BS984" s="160"/>
    </row>
    <row r="985" spans="1:71" x14ac:dyDescent="0.3">
      <c r="A985" s="420">
        <f>DL!A982</f>
        <v>889</v>
      </c>
      <c r="B985" s="19" t="s">
        <v>1741</v>
      </c>
      <c r="C985" s="149">
        <f>DL!L982</f>
        <v>1</v>
      </c>
      <c r="D985" s="149" t="str">
        <f>DL!C982</f>
        <v>1 Pack of 500 pcs</v>
      </c>
      <c r="E985" s="150"/>
      <c r="F985" s="463"/>
      <c r="G985" s="150"/>
      <c r="H985" s="150"/>
      <c r="I985" s="150"/>
      <c r="J985" s="150"/>
      <c r="K985" s="168"/>
      <c r="L985" s="466">
        <v>13000</v>
      </c>
      <c r="M985" s="150">
        <v>15000</v>
      </c>
      <c r="N985" s="150"/>
      <c r="O985" s="150"/>
      <c r="P985" s="150"/>
      <c r="Q985" s="150">
        <v>13125</v>
      </c>
      <c r="R985" s="150"/>
      <c r="S985" s="150"/>
      <c r="T985" s="150"/>
      <c r="U985" s="150"/>
      <c r="V985" s="150"/>
      <c r="W985" s="168"/>
      <c r="X985" s="150"/>
      <c r="Y985" s="150"/>
      <c r="Z985" s="455"/>
      <c r="AA985" s="150"/>
      <c r="AB985" s="150"/>
      <c r="AC985" s="150"/>
      <c r="AD985" s="150"/>
      <c r="AE985" s="150"/>
      <c r="AF985" s="495">
        <v>14300</v>
      </c>
      <c r="AG985" s="150"/>
      <c r="AH985" s="500"/>
      <c r="AI985" s="150"/>
      <c r="AJ985" s="150"/>
      <c r="AK985" s="150"/>
      <c r="AL985" s="150"/>
      <c r="AM985" s="150"/>
      <c r="AN985" s="150"/>
      <c r="AO985" s="150"/>
      <c r="AP985" s="150"/>
      <c r="AQ985" s="150"/>
      <c r="AR985" s="151"/>
      <c r="AS985" s="456"/>
      <c r="AT985" s="151"/>
      <c r="AU985" s="150"/>
      <c r="AV985" s="487"/>
      <c r="AW985" s="150"/>
      <c r="AX985" s="150"/>
      <c r="AY985" s="150"/>
      <c r="AZ985" s="150"/>
      <c r="BA985" s="150"/>
      <c r="BB985" s="150"/>
      <c r="BC985" s="150"/>
      <c r="BD985" s="150"/>
      <c r="BE985" s="150"/>
      <c r="BF985" s="150"/>
      <c r="BG985" s="150"/>
      <c r="BH985" s="150"/>
      <c r="BI985" s="150"/>
      <c r="BJ985" s="150"/>
      <c r="BK985" s="467">
        <v>15000</v>
      </c>
      <c r="BL985" s="160"/>
      <c r="BM985" s="150"/>
      <c r="BN985" s="150"/>
      <c r="BO985" s="150"/>
      <c r="BP985" s="152"/>
      <c r="BQ985" s="160"/>
      <c r="BR985" s="152"/>
      <c r="BS985" s="160"/>
    </row>
    <row r="986" spans="1:71" x14ac:dyDescent="0.3">
      <c r="A986" s="420">
        <f>DL!A983</f>
        <v>890</v>
      </c>
      <c r="B986" s="19" t="s">
        <v>1742</v>
      </c>
      <c r="C986" s="149">
        <f>DL!L983</f>
        <v>2</v>
      </c>
      <c r="D986" s="149" t="str">
        <f>DL!C983</f>
        <v>1 bottle (500ml)</v>
      </c>
      <c r="E986" s="150"/>
      <c r="F986" s="463"/>
      <c r="G986" s="150"/>
      <c r="H986" s="150"/>
      <c r="I986" s="150"/>
      <c r="J986" s="150"/>
      <c r="K986" s="168"/>
      <c r="L986" s="466">
        <v>5000</v>
      </c>
      <c r="M986" s="150">
        <v>6000</v>
      </c>
      <c r="N986" s="150"/>
      <c r="O986" s="150"/>
      <c r="P986" s="150"/>
      <c r="Q986" s="150">
        <v>5625</v>
      </c>
      <c r="R986" s="150"/>
      <c r="S986" s="150"/>
      <c r="T986" s="150"/>
      <c r="U986" s="150"/>
      <c r="V986" s="150"/>
      <c r="W986" s="168"/>
      <c r="X986" s="150"/>
      <c r="Y986" s="150"/>
      <c r="Z986" s="455"/>
      <c r="AA986" s="150"/>
      <c r="AB986" s="150"/>
      <c r="AC986" s="150"/>
      <c r="AD986" s="150"/>
      <c r="AE986" s="150"/>
      <c r="AF986" s="494">
        <v>13650</v>
      </c>
      <c r="AG986" s="150"/>
      <c r="AH986" s="500"/>
      <c r="AI986" s="150"/>
      <c r="AJ986" s="150"/>
      <c r="AK986" s="150"/>
      <c r="AL986" s="150"/>
      <c r="AM986" s="150"/>
      <c r="AN986" s="150"/>
      <c r="AO986" s="150"/>
      <c r="AP986" s="150"/>
      <c r="AQ986" s="150"/>
      <c r="AR986" s="151"/>
      <c r="AS986" s="456"/>
      <c r="AT986" s="151"/>
      <c r="AU986" s="150"/>
      <c r="AV986" s="487"/>
      <c r="AW986" s="150"/>
      <c r="AX986" s="150"/>
      <c r="AY986" s="150"/>
      <c r="AZ986" s="150"/>
      <c r="BA986" s="150"/>
      <c r="BB986" s="150"/>
      <c r="BC986" s="150"/>
      <c r="BD986" s="150"/>
      <c r="BE986" s="150"/>
      <c r="BF986" s="150"/>
      <c r="BG986" s="150"/>
      <c r="BH986" s="150"/>
      <c r="BI986" s="150">
        <v>3800</v>
      </c>
      <c r="BJ986" s="150"/>
      <c r="BK986" s="467">
        <v>18000</v>
      </c>
      <c r="BL986" s="160"/>
      <c r="BM986" s="150"/>
      <c r="BN986" s="150"/>
      <c r="BO986" s="150"/>
      <c r="BP986" s="152"/>
      <c r="BQ986" s="160"/>
      <c r="BR986" s="152"/>
      <c r="BS986" s="160"/>
    </row>
    <row r="987" spans="1:71" x14ac:dyDescent="0.3">
      <c r="A987" s="420">
        <f>DL!A984</f>
        <v>891</v>
      </c>
      <c r="B987" s="19" t="s">
        <v>1743</v>
      </c>
      <c r="C987" s="149">
        <f>DL!L984</f>
        <v>2</v>
      </c>
      <c r="D987" s="149" t="str">
        <f>DL!C984</f>
        <v>1 bottle (500ml)</v>
      </c>
      <c r="E987" s="150"/>
      <c r="F987" s="463"/>
      <c r="G987" s="150"/>
      <c r="H987" s="150"/>
      <c r="I987" s="150"/>
      <c r="J987" s="150"/>
      <c r="K987" s="168"/>
      <c r="L987" s="466">
        <v>15000</v>
      </c>
      <c r="M987" s="150"/>
      <c r="N987" s="150"/>
      <c r="O987" s="150"/>
      <c r="P987" s="150"/>
      <c r="Q987" s="150">
        <v>6875</v>
      </c>
      <c r="R987" s="150"/>
      <c r="S987" s="150"/>
      <c r="T987" s="150"/>
      <c r="U987" s="150"/>
      <c r="V987" s="150"/>
      <c r="W987" s="168"/>
      <c r="X987" s="150"/>
      <c r="Y987" s="150"/>
      <c r="Z987" s="455"/>
      <c r="AA987" s="150"/>
      <c r="AB987" s="150"/>
      <c r="AC987" s="150"/>
      <c r="AD987" s="150"/>
      <c r="AE987" s="150"/>
      <c r="AF987" s="494">
        <v>0</v>
      </c>
      <c r="AG987" s="150"/>
      <c r="AH987" s="500"/>
      <c r="AI987" s="150"/>
      <c r="AJ987" s="150"/>
      <c r="AK987" s="150"/>
      <c r="AL987" s="150"/>
      <c r="AM987" s="150"/>
      <c r="AN987" s="150"/>
      <c r="AO987" s="150"/>
      <c r="AP987" s="150"/>
      <c r="AQ987" s="150"/>
      <c r="AR987" s="151"/>
      <c r="AS987" s="456"/>
      <c r="AT987" s="151"/>
      <c r="AU987" s="150"/>
      <c r="AV987" s="487"/>
      <c r="AW987" s="150"/>
      <c r="AX987" s="150"/>
      <c r="AY987" s="150"/>
      <c r="AZ987" s="150"/>
      <c r="BA987" s="150"/>
      <c r="BB987" s="150"/>
      <c r="BC987" s="150"/>
      <c r="BD987" s="150"/>
      <c r="BE987" s="150"/>
      <c r="BF987" s="150"/>
      <c r="BG987" s="150"/>
      <c r="BH987" s="150"/>
      <c r="BI987" s="150">
        <v>8000</v>
      </c>
      <c r="BJ987" s="150"/>
      <c r="BK987" s="466"/>
      <c r="BL987" s="160"/>
      <c r="BM987" s="150"/>
      <c r="BN987" s="150"/>
      <c r="BO987" s="150"/>
      <c r="BP987" s="152"/>
      <c r="BQ987" s="160"/>
      <c r="BR987" s="152"/>
      <c r="BS987" s="160"/>
    </row>
    <row r="988" spans="1:71" x14ac:dyDescent="0.3">
      <c r="A988" s="420">
        <f>DL!A985</f>
        <v>892</v>
      </c>
      <c r="B988" s="19" t="s">
        <v>1744</v>
      </c>
      <c r="C988" s="149">
        <f>DL!L985</f>
        <v>2</v>
      </c>
      <c r="D988" s="149" t="str">
        <f>DL!C985</f>
        <v>1 bottle (500ml)</v>
      </c>
      <c r="E988" s="150"/>
      <c r="F988" s="463"/>
      <c r="G988" s="150"/>
      <c r="H988" s="150"/>
      <c r="I988" s="150"/>
      <c r="J988" s="150"/>
      <c r="K988" s="168"/>
      <c r="L988" s="466">
        <v>15000</v>
      </c>
      <c r="M988" s="150">
        <v>15500</v>
      </c>
      <c r="N988" s="150"/>
      <c r="O988" s="150"/>
      <c r="P988" s="150"/>
      <c r="Q988" s="150">
        <v>8125</v>
      </c>
      <c r="R988" s="150"/>
      <c r="S988" s="150"/>
      <c r="T988" s="150"/>
      <c r="U988" s="150"/>
      <c r="V988" s="150"/>
      <c r="W988" s="168"/>
      <c r="X988" s="150"/>
      <c r="Y988" s="150"/>
      <c r="Z988" s="455"/>
      <c r="AA988" s="150"/>
      <c r="AB988" s="150"/>
      <c r="AC988" s="150"/>
      <c r="AD988" s="150"/>
      <c r="AE988" s="150"/>
      <c r="AF988" s="494">
        <v>0</v>
      </c>
      <c r="AG988" s="150"/>
      <c r="AH988" s="500"/>
      <c r="AI988" s="150"/>
      <c r="AJ988" s="150"/>
      <c r="AK988" s="150"/>
      <c r="AL988" s="150"/>
      <c r="AM988" s="150"/>
      <c r="AN988" s="150"/>
      <c r="AO988" s="150"/>
      <c r="AP988" s="150"/>
      <c r="AQ988" s="150"/>
      <c r="AR988" s="151"/>
      <c r="AS988" s="456"/>
      <c r="AT988" s="151"/>
      <c r="AU988" s="150"/>
      <c r="AV988" s="487"/>
      <c r="AW988" s="150"/>
      <c r="AX988" s="150"/>
      <c r="AY988" s="150"/>
      <c r="AZ988" s="150"/>
      <c r="BA988" s="150"/>
      <c r="BB988" s="150"/>
      <c r="BC988" s="150"/>
      <c r="BD988" s="150"/>
      <c r="BE988" s="150"/>
      <c r="BF988" s="150"/>
      <c r="BG988" s="150"/>
      <c r="BH988" s="150"/>
      <c r="BI988" s="150">
        <v>6500</v>
      </c>
      <c r="BJ988" s="150"/>
      <c r="BK988" s="467">
        <v>25000</v>
      </c>
      <c r="BL988" s="160"/>
      <c r="BM988" s="150"/>
      <c r="BN988" s="150"/>
      <c r="BO988" s="150"/>
      <c r="BP988" s="152"/>
      <c r="BQ988" s="160"/>
      <c r="BR988" s="152"/>
      <c r="BS988" s="160"/>
    </row>
    <row r="989" spans="1:71" x14ac:dyDescent="0.3">
      <c r="A989" s="420">
        <f>DL!A986</f>
        <v>893</v>
      </c>
      <c r="B989" s="19" t="s">
        <v>1745</v>
      </c>
      <c r="C989" s="149">
        <f>DL!L986</f>
        <v>2</v>
      </c>
      <c r="D989" s="149" t="str">
        <f>DL!C986</f>
        <v>500ml</v>
      </c>
      <c r="E989" s="150"/>
      <c r="F989" s="463"/>
      <c r="G989" s="150"/>
      <c r="H989" s="150"/>
      <c r="I989" s="150"/>
      <c r="J989" s="150"/>
      <c r="K989" s="168"/>
      <c r="L989" s="466">
        <v>5000</v>
      </c>
      <c r="M989" s="150">
        <v>5800</v>
      </c>
      <c r="N989" s="150"/>
      <c r="O989" s="150"/>
      <c r="P989" s="150"/>
      <c r="Q989" s="150">
        <v>7500</v>
      </c>
      <c r="R989" s="150"/>
      <c r="S989" s="150"/>
      <c r="T989" s="150"/>
      <c r="U989" s="150"/>
      <c r="V989" s="150"/>
      <c r="W989" s="168"/>
      <c r="X989" s="150"/>
      <c r="Y989" s="150"/>
      <c r="Z989" s="455"/>
      <c r="AA989" s="150"/>
      <c r="AB989" s="150"/>
      <c r="AC989" s="150"/>
      <c r="AD989" s="150"/>
      <c r="AE989" s="150"/>
      <c r="AF989" s="494">
        <v>0</v>
      </c>
      <c r="AG989" s="150"/>
      <c r="AH989" s="500"/>
      <c r="AI989" s="150"/>
      <c r="AJ989" s="150"/>
      <c r="AK989" s="150"/>
      <c r="AL989" s="150"/>
      <c r="AM989" s="150"/>
      <c r="AN989" s="150"/>
      <c r="AO989" s="150"/>
      <c r="AP989" s="150"/>
      <c r="AQ989" s="150"/>
      <c r="AR989" s="151"/>
      <c r="AS989" s="456"/>
      <c r="AT989" s="151"/>
      <c r="AU989" s="150"/>
      <c r="AV989" s="487"/>
      <c r="AW989" s="150"/>
      <c r="AX989" s="150"/>
      <c r="AY989" s="150"/>
      <c r="AZ989" s="150"/>
      <c r="BA989" s="150"/>
      <c r="BB989" s="150"/>
      <c r="BC989" s="150"/>
      <c r="BD989" s="150"/>
      <c r="BE989" s="150"/>
      <c r="BF989" s="150"/>
      <c r="BG989" s="150"/>
      <c r="BH989" s="150"/>
      <c r="BI989" s="150">
        <v>5500</v>
      </c>
      <c r="BJ989" s="150"/>
      <c r="BK989" s="467">
        <v>9500</v>
      </c>
      <c r="BL989" s="160"/>
      <c r="BM989" s="150"/>
      <c r="BN989" s="150"/>
      <c r="BO989" s="150"/>
      <c r="BP989" s="152"/>
      <c r="BQ989" s="160"/>
      <c r="BR989" s="152"/>
      <c r="BS989" s="160"/>
    </row>
    <row r="990" spans="1:71" x14ac:dyDescent="0.3">
      <c r="A990" s="420">
        <f>DL!A987</f>
        <v>894</v>
      </c>
      <c r="B990" s="19" t="s">
        <v>1746</v>
      </c>
      <c r="C990" s="149">
        <f>DL!L987</f>
        <v>2</v>
      </c>
      <c r="D990" s="149" t="str">
        <f>DL!C987</f>
        <v>500ml</v>
      </c>
      <c r="E990" s="150"/>
      <c r="F990" s="463"/>
      <c r="G990" s="150"/>
      <c r="H990" s="150"/>
      <c r="I990" s="150"/>
      <c r="J990" s="150"/>
      <c r="K990" s="168"/>
      <c r="L990" s="466">
        <v>10000</v>
      </c>
      <c r="M990" s="150">
        <v>9500</v>
      </c>
      <c r="N990" s="150"/>
      <c r="O990" s="150"/>
      <c r="P990" s="150"/>
      <c r="Q990" s="150">
        <v>8125</v>
      </c>
      <c r="R990" s="150"/>
      <c r="S990" s="150"/>
      <c r="T990" s="150"/>
      <c r="U990" s="150"/>
      <c r="V990" s="150"/>
      <c r="W990" s="168"/>
      <c r="X990" s="150"/>
      <c r="Y990" s="150"/>
      <c r="Z990" s="455"/>
      <c r="AA990" s="150"/>
      <c r="AB990" s="150"/>
      <c r="AC990" s="150"/>
      <c r="AD990" s="150"/>
      <c r="AE990" s="150"/>
      <c r="AF990" s="494">
        <v>0</v>
      </c>
      <c r="AG990" s="150"/>
      <c r="AH990" s="500"/>
      <c r="AI990" s="150"/>
      <c r="AJ990" s="150"/>
      <c r="AK990" s="150"/>
      <c r="AL990" s="150"/>
      <c r="AM990" s="150"/>
      <c r="AN990" s="150"/>
      <c r="AO990" s="150"/>
      <c r="AP990" s="150"/>
      <c r="AQ990" s="150"/>
      <c r="AR990" s="151"/>
      <c r="AS990" s="456"/>
      <c r="AT990" s="151"/>
      <c r="AU990" s="150"/>
      <c r="AV990" s="487"/>
      <c r="AW990" s="150"/>
      <c r="AX990" s="150"/>
      <c r="AY990" s="150"/>
      <c r="AZ990" s="150"/>
      <c r="BA990" s="150"/>
      <c r="BB990" s="150"/>
      <c r="BC990" s="150"/>
      <c r="BD990" s="150"/>
      <c r="BE990" s="150"/>
      <c r="BF990" s="150"/>
      <c r="BG990" s="150"/>
      <c r="BH990" s="150"/>
      <c r="BI990" s="150">
        <v>6000</v>
      </c>
      <c r="BJ990" s="150"/>
      <c r="BK990" s="467"/>
      <c r="BL990" s="160"/>
      <c r="BM990" s="150"/>
      <c r="BN990" s="150"/>
      <c r="BO990" s="150"/>
      <c r="BP990" s="152"/>
      <c r="BQ990" s="160"/>
      <c r="BR990" s="152"/>
      <c r="BS990" s="160"/>
    </row>
    <row r="991" spans="1:71" x14ac:dyDescent="0.3">
      <c r="A991" s="420">
        <f>DL!A988</f>
        <v>895</v>
      </c>
      <c r="B991" s="19" t="s">
        <v>1747</v>
      </c>
      <c r="C991" s="149">
        <f>DL!L988</f>
        <v>2</v>
      </c>
      <c r="D991" s="149" t="str">
        <f>DL!C988</f>
        <v>25g</v>
      </c>
      <c r="E991" s="150"/>
      <c r="F991" s="463"/>
      <c r="G991" s="150"/>
      <c r="H991" s="150"/>
      <c r="I991" s="150"/>
      <c r="J991" s="150"/>
      <c r="K991" s="168"/>
      <c r="L991" s="466">
        <v>7000</v>
      </c>
      <c r="M991" s="150">
        <v>8500</v>
      </c>
      <c r="N991" s="150"/>
      <c r="O991" s="150"/>
      <c r="P991" s="150"/>
      <c r="Q991" s="150">
        <v>9375</v>
      </c>
      <c r="R991" s="150"/>
      <c r="S991" s="150"/>
      <c r="T991" s="150"/>
      <c r="U991" s="150"/>
      <c r="V991" s="150"/>
      <c r="W991" s="168"/>
      <c r="X991" s="150"/>
      <c r="Y991" s="150"/>
      <c r="Z991" s="455"/>
      <c r="AA991" s="150"/>
      <c r="AB991" s="150"/>
      <c r="AC991" s="150"/>
      <c r="AD991" s="150"/>
      <c r="AE991" s="150"/>
      <c r="AF991" s="494">
        <v>0</v>
      </c>
      <c r="AG991" s="150"/>
      <c r="AH991" s="500"/>
      <c r="AI991" s="150"/>
      <c r="AJ991" s="150"/>
      <c r="AK991" s="150"/>
      <c r="AL991" s="150"/>
      <c r="AM991" s="150"/>
      <c r="AN991" s="150"/>
      <c r="AO991" s="150"/>
      <c r="AP991" s="150"/>
      <c r="AQ991" s="150"/>
      <c r="AR991" s="151"/>
      <c r="AS991" s="456"/>
      <c r="AT991" s="151"/>
      <c r="AU991" s="150"/>
      <c r="AV991" s="487"/>
      <c r="AW991" s="150"/>
      <c r="AX991" s="150"/>
      <c r="AY991" s="150"/>
      <c r="AZ991" s="150"/>
      <c r="BA991" s="150"/>
      <c r="BB991" s="150"/>
      <c r="BC991" s="150"/>
      <c r="BD991" s="150"/>
      <c r="BE991" s="150"/>
      <c r="BF991" s="150"/>
      <c r="BG991" s="150"/>
      <c r="BH991" s="150"/>
      <c r="BI991" s="150">
        <v>7500</v>
      </c>
      <c r="BJ991" s="150"/>
      <c r="BK991" s="467">
        <v>25000</v>
      </c>
      <c r="BL991" s="160"/>
      <c r="BM991" s="150"/>
      <c r="BN991" s="150"/>
      <c r="BO991" s="150"/>
      <c r="BP991" s="152"/>
      <c r="BQ991" s="160"/>
      <c r="BR991" s="152"/>
      <c r="BS991" s="160"/>
    </row>
    <row r="992" spans="1:71" x14ac:dyDescent="0.3">
      <c r="A992" s="420">
        <f>DL!A989</f>
        <v>896</v>
      </c>
      <c r="B992" s="19" t="s">
        <v>1748</v>
      </c>
      <c r="C992" s="149">
        <f>DL!L989</f>
        <v>2</v>
      </c>
      <c r="D992" s="149" t="str">
        <f>DL!C989</f>
        <v>25g</v>
      </c>
      <c r="E992" s="150"/>
      <c r="F992" s="463"/>
      <c r="G992" s="150"/>
      <c r="H992" s="150"/>
      <c r="I992" s="150"/>
      <c r="J992" s="150"/>
      <c r="K992" s="168"/>
      <c r="L992" s="466">
        <v>5000</v>
      </c>
      <c r="M992" s="150">
        <v>4000</v>
      </c>
      <c r="N992" s="150"/>
      <c r="O992" s="150"/>
      <c r="P992" s="150"/>
      <c r="Q992" s="150">
        <v>5000</v>
      </c>
      <c r="R992" s="150"/>
      <c r="S992" s="150"/>
      <c r="T992" s="150"/>
      <c r="U992" s="150"/>
      <c r="V992" s="150"/>
      <c r="W992" s="168"/>
      <c r="X992" s="150"/>
      <c r="Y992" s="150"/>
      <c r="Z992" s="455"/>
      <c r="AA992" s="150"/>
      <c r="AB992" s="150"/>
      <c r="AC992" s="150"/>
      <c r="AD992" s="150"/>
      <c r="AE992" s="150"/>
      <c r="AF992" s="494">
        <v>0</v>
      </c>
      <c r="AG992" s="150"/>
      <c r="AH992" s="500"/>
      <c r="AI992" s="150"/>
      <c r="AJ992" s="150"/>
      <c r="AK992" s="150"/>
      <c r="AL992" s="150"/>
      <c r="AM992" s="150"/>
      <c r="AN992" s="150"/>
      <c r="AO992" s="150"/>
      <c r="AP992" s="150"/>
      <c r="AQ992" s="150"/>
      <c r="AR992" s="151"/>
      <c r="AS992" s="456"/>
      <c r="AT992" s="151"/>
      <c r="AU992" s="150"/>
      <c r="AV992" s="487"/>
      <c r="AW992" s="150"/>
      <c r="AX992" s="150"/>
      <c r="AY992" s="150"/>
      <c r="AZ992" s="150"/>
      <c r="BA992" s="150"/>
      <c r="BB992" s="150"/>
      <c r="BC992" s="150"/>
      <c r="BD992" s="150"/>
      <c r="BE992" s="150"/>
      <c r="BF992" s="150"/>
      <c r="BG992" s="150"/>
      <c r="BH992" s="150"/>
      <c r="BI992" s="150">
        <v>4500</v>
      </c>
      <c r="BJ992" s="150"/>
      <c r="BK992" s="467">
        <v>25000</v>
      </c>
      <c r="BL992" s="160"/>
      <c r="BM992" s="150"/>
      <c r="BN992" s="150"/>
      <c r="BO992" s="150"/>
      <c r="BP992" s="152"/>
      <c r="BQ992" s="160"/>
      <c r="BR992" s="152"/>
      <c r="BS992" s="160"/>
    </row>
    <row r="993" spans="1:71" x14ac:dyDescent="0.3">
      <c r="A993" s="420">
        <f>DL!A990</f>
        <v>897</v>
      </c>
      <c r="B993" s="19" t="s">
        <v>1749</v>
      </c>
      <c r="C993" s="149">
        <f>DL!L990</f>
        <v>2</v>
      </c>
      <c r="D993" s="149" t="str">
        <f>DL!C990</f>
        <v>25g</v>
      </c>
      <c r="E993" s="150"/>
      <c r="F993" s="463"/>
      <c r="G993" s="150"/>
      <c r="H993" s="150"/>
      <c r="I993" s="150"/>
      <c r="J993" s="150"/>
      <c r="K993" s="168"/>
      <c r="L993" s="466">
        <v>5000</v>
      </c>
      <c r="M993" s="150">
        <v>4000</v>
      </c>
      <c r="N993" s="150"/>
      <c r="O993" s="150"/>
      <c r="P993" s="150"/>
      <c r="Q993" s="150">
        <v>5625</v>
      </c>
      <c r="R993" s="150"/>
      <c r="S993" s="150"/>
      <c r="T993" s="150"/>
      <c r="U993" s="150"/>
      <c r="V993" s="150"/>
      <c r="W993" s="168"/>
      <c r="X993" s="150"/>
      <c r="Y993" s="150"/>
      <c r="Z993" s="455"/>
      <c r="AA993" s="150"/>
      <c r="AB993" s="150"/>
      <c r="AC993" s="150"/>
      <c r="AD993" s="150"/>
      <c r="AE993" s="150"/>
      <c r="AF993" s="494">
        <v>0</v>
      </c>
      <c r="AG993" s="150"/>
      <c r="AH993" s="500"/>
      <c r="AI993" s="150"/>
      <c r="AJ993" s="150"/>
      <c r="AK993" s="150"/>
      <c r="AL993" s="150"/>
      <c r="AM993" s="150"/>
      <c r="AN993" s="150"/>
      <c r="AO993" s="150"/>
      <c r="AP993" s="150"/>
      <c r="AQ993" s="150"/>
      <c r="AR993" s="151"/>
      <c r="AS993" s="456"/>
      <c r="AT993" s="151"/>
      <c r="AU993" s="150"/>
      <c r="AV993" s="487"/>
      <c r="AW993" s="150"/>
      <c r="AX993" s="150"/>
      <c r="AY993" s="150"/>
      <c r="AZ993" s="150"/>
      <c r="BA993" s="150"/>
      <c r="BB993" s="150"/>
      <c r="BC993" s="150"/>
      <c r="BD993" s="150"/>
      <c r="BE993" s="150"/>
      <c r="BF993" s="150"/>
      <c r="BG993" s="150"/>
      <c r="BH993" s="150"/>
      <c r="BI993" s="150">
        <v>7000</v>
      </c>
      <c r="BJ993" s="150"/>
      <c r="BK993" s="467">
        <v>50000</v>
      </c>
      <c r="BL993" s="160"/>
      <c r="BM993" s="150"/>
      <c r="BN993" s="150"/>
      <c r="BO993" s="150"/>
      <c r="BP993" s="152"/>
      <c r="BQ993" s="160"/>
      <c r="BR993" s="152"/>
      <c r="BS993" s="160"/>
    </row>
    <row r="994" spans="1:71" x14ac:dyDescent="0.3">
      <c r="A994" s="420">
        <f>DL!A991</f>
        <v>898</v>
      </c>
      <c r="B994" s="19" t="s">
        <v>1750</v>
      </c>
      <c r="C994" s="149">
        <f>DL!L991</f>
        <v>2</v>
      </c>
      <c r="D994" s="149" t="str">
        <f>DL!C991</f>
        <v>500mls</v>
      </c>
      <c r="E994" s="150"/>
      <c r="F994" s="463"/>
      <c r="G994" s="150"/>
      <c r="H994" s="150"/>
      <c r="I994" s="150"/>
      <c r="J994" s="150"/>
      <c r="K994" s="168"/>
      <c r="L994" s="466">
        <v>15000</v>
      </c>
      <c r="M994" s="150">
        <v>11500</v>
      </c>
      <c r="N994" s="150"/>
      <c r="O994" s="150"/>
      <c r="P994" s="150"/>
      <c r="Q994" s="150">
        <v>4375</v>
      </c>
      <c r="R994" s="150"/>
      <c r="S994" s="150"/>
      <c r="T994" s="150"/>
      <c r="U994" s="150"/>
      <c r="V994" s="150"/>
      <c r="W994" s="168"/>
      <c r="X994" s="150"/>
      <c r="Y994" s="150"/>
      <c r="Z994" s="455"/>
      <c r="AA994" s="150"/>
      <c r="AB994" s="150"/>
      <c r="AC994" s="150"/>
      <c r="AD994" s="150"/>
      <c r="AE994" s="150"/>
      <c r="AF994" s="494">
        <v>0</v>
      </c>
      <c r="AG994" s="150"/>
      <c r="AH994" s="500"/>
      <c r="AI994" s="150"/>
      <c r="AJ994" s="150"/>
      <c r="AK994" s="150"/>
      <c r="AL994" s="150"/>
      <c r="AM994" s="150"/>
      <c r="AN994" s="150"/>
      <c r="AO994" s="150"/>
      <c r="AP994" s="150"/>
      <c r="AQ994" s="150"/>
      <c r="AR994" s="151"/>
      <c r="AS994" s="456"/>
      <c r="AT994" s="151"/>
      <c r="AU994" s="150"/>
      <c r="AV994" s="487"/>
      <c r="AW994" s="150"/>
      <c r="AX994" s="150"/>
      <c r="AY994" s="150"/>
      <c r="AZ994" s="150"/>
      <c r="BA994" s="150"/>
      <c r="BB994" s="150"/>
      <c r="BC994" s="150"/>
      <c r="BD994" s="150"/>
      <c r="BE994" s="150"/>
      <c r="BF994" s="150"/>
      <c r="BG994" s="150"/>
      <c r="BH994" s="150"/>
      <c r="BI994" s="150"/>
      <c r="BJ994" s="150"/>
      <c r="BK994" s="467">
        <v>25000</v>
      </c>
      <c r="BL994" s="160"/>
      <c r="BM994" s="150"/>
      <c r="BN994" s="150"/>
      <c r="BO994" s="150"/>
      <c r="BP994" s="152"/>
      <c r="BQ994" s="160"/>
      <c r="BR994" s="152"/>
      <c r="BS994" s="160"/>
    </row>
    <row r="995" spans="1:71" x14ac:dyDescent="0.3">
      <c r="A995" s="420">
        <f>DL!A992</f>
        <v>899</v>
      </c>
      <c r="B995" s="19" t="s">
        <v>1751</v>
      </c>
      <c r="C995" s="149">
        <f>DL!L992</f>
        <v>2</v>
      </c>
      <c r="D995" s="149" t="str">
        <f>DL!C992</f>
        <v>25g</v>
      </c>
      <c r="E995" s="150"/>
      <c r="F995" s="463"/>
      <c r="G995" s="150"/>
      <c r="H995" s="150"/>
      <c r="I995" s="150"/>
      <c r="J995" s="150"/>
      <c r="K995" s="168"/>
      <c r="L995" s="466">
        <v>15000</v>
      </c>
      <c r="M995" s="150"/>
      <c r="N995" s="150"/>
      <c r="O995" s="150"/>
      <c r="P995" s="150"/>
      <c r="Q995" s="150">
        <v>7500</v>
      </c>
      <c r="R995" s="150"/>
      <c r="S995" s="150"/>
      <c r="T995" s="150"/>
      <c r="U995" s="150"/>
      <c r="V995" s="150"/>
      <c r="W995" s="168"/>
      <c r="X995" s="150"/>
      <c r="Y995" s="150"/>
      <c r="Z995" s="455"/>
      <c r="AA995" s="150"/>
      <c r="AB995" s="150"/>
      <c r="AC995" s="150"/>
      <c r="AD995" s="150"/>
      <c r="AE995" s="150"/>
      <c r="AF995" s="494">
        <v>0</v>
      </c>
      <c r="AG995" s="150"/>
      <c r="AH995" s="500"/>
      <c r="AI995" s="150"/>
      <c r="AJ995" s="150"/>
      <c r="AK995" s="150"/>
      <c r="AL995" s="150"/>
      <c r="AM995" s="150"/>
      <c r="AN995" s="150"/>
      <c r="AO995" s="150"/>
      <c r="AP995" s="150"/>
      <c r="AQ995" s="150"/>
      <c r="AR995" s="151"/>
      <c r="AS995" s="456"/>
      <c r="AT995" s="151"/>
      <c r="AU995" s="150"/>
      <c r="AV995" s="487"/>
      <c r="AW995" s="150"/>
      <c r="AX995" s="150"/>
      <c r="AY995" s="150"/>
      <c r="AZ995" s="150"/>
      <c r="BA995" s="150"/>
      <c r="BB995" s="150"/>
      <c r="BC995" s="150"/>
      <c r="BD995" s="150"/>
      <c r="BE995" s="150"/>
      <c r="BF995" s="150"/>
      <c r="BG995" s="150"/>
      <c r="BH995" s="150"/>
      <c r="BI995" s="150">
        <v>7000</v>
      </c>
      <c r="BJ995" s="150"/>
      <c r="BK995" s="467">
        <v>35000</v>
      </c>
      <c r="BL995" s="160"/>
      <c r="BM995" s="150"/>
      <c r="BN995" s="150"/>
      <c r="BO995" s="150"/>
      <c r="BP995" s="152"/>
      <c r="BQ995" s="160"/>
      <c r="BR995" s="152"/>
      <c r="BS995" s="160"/>
    </row>
    <row r="996" spans="1:71" x14ac:dyDescent="0.3">
      <c r="A996" s="420">
        <f>DL!A993</f>
        <v>900</v>
      </c>
      <c r="B996" s="19" t="s">
        <v>1752</v>
      </c>
      <c r="C996" s="149">
        <f>DL!L993</f>
        <v>5</v>
      </c>
      <c r="D996" s="149" t="str">
        <f>DL!C993</f>
        <v>25g</v>
      </c>
      <c r="E996" s="150"/>
      <c r="F996" s="463"/>
      <c r="G996" s="150"/>
      <c r="H996" s="150"/>
      <c r="I996" s="150"/>
      <c r="J996" s="150"/>
      <c r="K996" s="168"/>
      <c r="L996" s="466">
        <v>15000</v>
      </c>
      <c r="M996" s="150">
        <v>110000</v>
      </c>
      <c r="N996" s="150"/>
      <c r="O996" s="150"/>
      <c r="P996" s="150"/>
      <c r="Q996" s="150">
        <v>15000</v>
      </c>
      <c r="R996" s="150"/>
      <c r="S996" s="150"/>
      <c r="T996" s="150"/>
      <c r="U996" s="150"/>
      <c r="V996" s="150"/>
      <c r="W996" s="168"/>
      <c r="X996" s="150"/>
      <c r="Y996" s="150"/>
      <c r="Z996" s="455"/>
      <c r="AA996" s="150"/>
      <c r="AB996" s="150"/>
      <c r="AC996" s="150"/>
      <c r="AD996" s="150"/>
      <c r="AE996" s="150"/>
      <c r="AF996" s="495">
        <v>23400</v>
      </c>
      <c r="AG996" s="150"/>
      <c r="AH996" s="500"/>
      <c r="AI996" s="150"/>
      <c r="AJ996" s="150"/>
      <c r="AK996" s="150"/>
      <c r="AL996" s="150"/>
      <c r="AM996" s="150"/>
      <c r="AN996" s="150"/>
      <c r="AO996" s="150"/>
      <c r="AP996" s="150"/>
      <c r="AQ996" s="150"/>
      <c r="AR996" s="151"/>
      <c r="AS996" s="456"/>
      <c r="AT996" s="151"/>
      <c r="AU996" s="150"/>
      <c r="AV996" s="487"/>
      <c r="AW996" s="150"/>
      <c r="AX996" s="150"/>
      <c r="AY996" s="150"/>
      <c r="AZ996" s="150"/>
      <c r="BA996" s="150"/>
      <c r="BB996" s="150"/>
      <c r="BC996" s="150"/>
      <c r="BD996" s="150"/>
      <c r="BE996" s="150"/>
      <c r="BF996" s="150"/>
      <c r="BG996" s="150"/>
      <c r="BH996" s="150"/>
      <c r="BI996" s="150">
        <v>65000</v>
      </c>
      <c r="BJ996" s="150"/>
      <c r="BK996" s="467">
        <v>50000</v>
      </c>
      <c r="BL996" s="160"/>
      <c r="BM996" s="150"/>
      <c r="BN996" s="150"/>
      <c r="BO996" s="150"/>
      <c r="BP996" s="152"/>
      <c r="BQ996" s="160"/>
      <c r="BR996" s="152"/>
      <c r="BS996" s="160"/>
    </row>
    <row r="997" spans="1:71" x14ac:dyDescent="0.3">
      <c r="A997" s="420">
        <f>DL!A994</f>
        <v>901</v>
      </c>
      <c r="B997" s="19" t="s">
        <v>1753</v>
      </c>
      <c r="C997" s="149">
        <f>DL!L994</f>
        <v>5</v>
      </c>
      <c r="D997" s="149" t="str">
        <f>DL!C994</f>
        <v>25g</v>
      </c>
      <c r="E997" s="150"/>
      <c r="F997" s="463"/>
      <c r="G997" s="150"/>
      <c r="H997" s="150"/>
      <c r="I997" s="150"/>
      <c r="J997" s="150"/>
      <c r="K997" s="168"/>
      <c r="L997" s="466">
        <v>4000</v>
      </c>
      <c r="M997" s="150">
        <v>5000</v>
      </c>
      <c r="N997" s="150"/>
      <c r="O997" s="150"/>
      <c r="P997" s="150"/>
      <c r="Q997" s="150">
        <v>3125</v>
      </c>
      <c r="R997" s="150"/>
      <c r="S997" s="150"/>
      <c r="T997" s="150"/>
      <c r="U997" s="150"/>
      <c r="V997" s="150"/>
      <c r="W997" s="168"/>
      <c r="X997" s="150"/>
      <c r="Y997" s="150"/>
      <c r="Z997" s="455"/>
      <c r="AA997" s="150"/>
      <c r="AB997" s="150"/>
      <c r="AC997" s="150"/>
      <c r="AD997" s="150"/>
      <c r="AE997" s="150"/>
      <c r="AF997" s="494">
        <v>0</v>
      </c>
      <c r="AG997" s="150"/>
      <c r="AH997" s="500"/>
      <c r="AI997" s="150"/>
      <c r="AJ997" s="150"/>
      <c r="AK997" s="150"/>
      <c r="AL997" s="150"/>
      <c r="AM997" s="150"/>
      <c r="AN997" s="150"/>
      <c r="AO997" s="150"/>
      <c r="AP997" s="150"/>
      <c r="AQ997" s="150"/>
      <c r="AR997" s="151"/>
      <c r="AS997" s="456"/>
      <c r="AT997" s="151"/>
      <c r="AU997" s="150"/>
      <c r="AV997" s="487"/>
      <c r="AW997" s="150"/>
      <c r="AX997" s="150"/>
      <c r="AY997" s="150"/>
      <c r="AZ997" s="150"/>
      <c r="BA997" s="150"/>
      <c r="BB997" s="150"/>
      <c r="BC997" s="150"/>
      <c r="BD997" s="150"/>
      <c r="BE997" s="150"/>
      <c r="BF997" s="150"/>
      <c r="BG997" s="150"/>
      <c r="BH997" s="150"/>
      <c r="BI997" s="150">
        <v>3200</v>
      </c>
      <c r="BJ997" s="150"/>
      <c r="BK997" s="467">
        <v>6500</v>
      </c>
      <c r="BL997" s="160"/>
      <c r="BM997" s="150"/>
      <c r="BN997" s="150"/>
      <c r="BO997" s="150"/>
      <c r="BP997" s="152"/>
      <c r="BQ997" s="160"/>
      <c r="BR997" s="152"/>
      <c r="BS997" s="160"/>
    </row>
    <row r="998" spans="1:71" x14ac:dyDescent="0.3">
      <c r="A998" s="420"/>
      <c r="B998" s="19"/>
      <c r="C998" s="149">
        <f>DL!L995</f>
        <v>0</v>
      </c>
      <c r="D998" s="149">
        <f>DL!C995</f>
        <v>0</v>
      </c>
      <c r="E998" s="150"/>
      <c r="F998" s="463"/>
      <c r="G998" s="150"/>
      <c r="H998" s="150"/>
      <c r="I998" s="150"/>
      <c r="J998" s="150"/>
      <c r="K998" s="168"/>
      <c r="L998" s="50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68"/>
      <c r="X998" s="150"/>
      <c r="Y998" s="150"/>
      <c r="Z998" s="455"/>
      <c r="AA998" s="150"/>
      <c r="AB998" s="150"/>
      <c r="AC998" s="150"/>
      <c r="AD998" s="150"/>
      <c r="AE998" s="150"/>
      <c r="AF998" s="499"/>
      <c r="AG998" s="150"/>
      <c r="AH998" s="500"/>
      <c r="AI998" s="150"/>
      <c r="AJ998" s="150"/>
      <c r="AK998" s="150"/>
      <c r="AL998" s="150"/>
      <c r="AM998" s="150"/>
      <c r="AN998" s="150"/>
      <c r="AO998" s="150"/>
      <c r="AP998" s="150"/>
      <c r="AQ998" s="150"/>
      <c r="AR998" s="151"/>
      <c r="AS998" s="456"/>
      <c r="AT998" s="151"/>
      <c r="AU998" s="150"/>
      <c r="AV998" s="487"/>
      <c r="AW998" s="150"/>
      <c r="AX998" s="150"/>
      <c r="AY998" s="150"/>
      <c r="AZ998" s="150"/>
      <c r="BA998" s="150"/>
      <c r="BB998" s="150"/>
      <c r="BC998" s="150"/>
      <c r="BD998" s="150"/>
      <c r="BE998" s="150"/>
      <c r="BF998" s="150"/>
      <c r="BG998" s="150"/>
      <c r="BH998" s="150"/>
      <c r="BI998" s="150"/>
      <c r="BJ998" s="150"/>
      <c r="BK998" s="152"/>
      <c r="BL998" s="160"/>
      <c r="BM998" s="150"/>
      <c r="BN998" s="150"/>
      <c r="BO998" s="150"/>
      <c r="BP998" s="152"/>
      <c r="BQ998" s="160"/>
      <c r="BR998" s="152"/>
      <c r="BS998" s="160"/>
    </row>
    <row r="999" spans="1:71" x14ac:dyDescent="0.3">
      <c r="A999" s="420"/>
      <c r="B999" s="19"/>
      <c r="C999" s="149">
        <f>DL!L996</f>
        <v>0</v>
      </c>
      <c r="D999" s="149">
        <f>DL!C996</f>
        <v>0</v>
      </c>
      <c r="E999" s="150"/>
      <c r="F999" s="463"/>
      <c r="G999" s="150"/>
      <c r="H999" s="150"/>
      <c r="I999" s="150"/>
      <c r="J999" s="150"/>
      <c r="K999" s="168"/>
      <c r="L999" s="50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68"/>
      <c r="X999" s="150"/>
      <c r="Y999" s="150"/>
      <c r="Z999" s="455"/>
      <c r="AA999" s="150"/>
      <c r="AB999" s="150"/>
      <c r="AC999" s="150"/>
      <c r="AD999" s="150"/>
      <c r="AE999" s="150"/>
      <c r="AF999" s="499"/>
      <c r="AG999" s="150"/>
      <c r="AH999" s="500"/>
      <c r="AI999" s="150"/>
      <c r="AJ999" s="150"/>
      <c r="AK999" s="150"/>
      <c r="AL999" s="150"/>
      <c r="AM999" s="150"/>
      <c r="AN999" s="150"/>
      <c r="AO999" s="150"/>
      <c r="AP999" s="150"/>
      <c r="AQ999" s="150"/>
      <c r="AR999" s="151"/>
      <c r="AS999" s="456"/>
      <c r="AT999" s="151"/>
      <c r="AU999" s="150"/>
      <c r="AV999" s="487"/>
      <c r="AW999" s="150"/>
      <c r="AX999" s="150"/>
      <c r="AY999" s="150"/>
      <c r="AZ999" s="150"/>
      <c r="BA999" s="150"/>
      <c r="BB999" s="150"/>
      <c r="BC999" s="150"/>
      <c r="BD999" s="150"/>
      <c r="BE999" s="150"/>
      <c r="BF999" s="150"/>
      <c r="BG999" s="150"/>
      <c r="BH999" s="150"/>
      <c r="BI999" s="150"/>
      <c r="BJ999" s="150"/>
      <c r="BK999" s="152"/>
      <c r="BL999" s="160"/>
      <c r="BM999" s="150"/>
      <c r="BN999" s="150"/>
      <c r="BO999" s="150"/>
      <c r="BP999" s="152"/>
      <c r="BQ999" s="160"/>
      <c r="BR999" s="152"/>
      <c r="BS999" s="160"/>
    </row>
    <row r="1000" spans="1:71" x14ac:dyDescent="0.3">
      <c r="A1000" s="420"/>
      <c r="B1000" s="19"/>
      <c r="C1000" s="149">
        <f>DL!L997</f>
        <v>0</v>
      </c>
      <c r="D1000" s="149">
        <f>DL!C997</f>
        <v>0</v>
      </c>
      <c r="E1000" s="150"/>
      <c r="F1000" s="463"/>
      <c r="G1000" s="150"/>
      <c r="H1000" s="150"/>
      <c r="I1000" s="150"/>
      <c r="J1000" s="150"/>
      <c r="K1000" s="168"/>
      <c r="L1000" s="50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68"/>
      <c r="X1000" s="150"/>
      <c r="Y1000" s="150"/>
      <c r="Z1000" s="455"/>
      <c r="AA1000" s="150"/>
      <c r="AB1000" s="150"/>
      <c r="AC1000" s="150"/>
      <c r="AD1000" s="150"/>
      <c r="AE1000" s="150"/>
      <c r="AF1000" s="499"/>
      <c r="AG1000" s="150"/>
      <c r="AH1000" s="500"/>
      <c r="AI1000" s="150"/>
      <c r="AJ1000" s="150"/>
      <c r="AK1000" s="150"/>
      <c r="AL1000" s="150"/>
      <c r="AM1000" s="150"/>
      <c r="AN1000" s="150"/>
      <c r="AO1000" s="150"/>
      <c r="AP1000" s="150"/>
      <c r="AQ1000" s="150"/>
      <c r="AR1000" s="151"/>
      <c r="AS1000" s="456"/>
      <c r="AT1000" s="151"/>
      <c r="AU1000" s="150"/>
      <c r="AV1000" s="487"/>
      <c r="AW1000" s="150"/>
      <c r="AX1000" s="150"/>
      <c r="AY1000" s="150"/>
      <c r="AZ1000" s="150"/>
      <c r="BA1000" s="150"/>
      <c r="BB1000" s="150"/>
      <c r="BC1000" s="150"/>
      <c r="BD1000" s="150"/>
      <c r="BE1000" s="150"/>
      <c r="BF1000" s="150"/>
      <c r="BG1000" s="150"/>
      <c r="BH1000" s="150"/>
      <c r="BI1000" s="150"/>
      <c r="BJ1000" s="150"/>
      <c r="BK1000" s="152"/>
      <c r="BL1000" s="160"/>
      <c r="BM1000" s="150"/>
      <c r="BN1000" s="150"/>
      <c r="BO1000" s="150"/>
      <c r="BP1000" s="152"/>
      <c r="BQ1000" s="160"/>
      <c r="BR1000" s="152"/>
      <c r="BS1000" s="160"/>
    </row>
    <row r="1001" spans="1:71" x14ac:dyDescent="0.3">
      <c r="A1001" s="420"/>
      <c r="B1001" s="19"/>
      <c r="C1001" s="149">
        <f>DL!L998</f>
        <v>0</v>
      </c>
      <c r="D1001" s="149">
        <f>DL!C998</f>
        <v>0</v>
      </c>
      <c r="E1001" s="150"/>
      <c r="F1001" s="463"/>
      <c r="G1001" s="150"/>
      <c r="H1001" s="150"/>
      <c r="I1001" s="150"/>
      <c r="J1001" s="150"/>
      <c r="K1001" s="168"/>
      <c r="L1001" s="500"/>
      <c r="M1001" s="150"/>
      <c r="N1001" s="150"/>
      <c r="O1001" s="150"/>
      <c r="P1001" s="150"/>
      <c r="Q1001" s="150"/>
      <c r="R1001" s="150"/>
      <c r="S1001" s="150"/>
      <c r="T1001" s="150"/>
      <c r="U1001" s="150"/>
      <c r="V1001" s="150"/>
      <c r="W1001" s="168"/>
      <c r="X1001" s="150"/>
      <c r="Y1001" s="150"/>
      <c r="Z1001" s="455"/>
      <c r="AA1001" s="150"/>
      <c r="AB1001" s="150"/>
      <c r="AC1001" s="150"/>
      <c r="AD1001" s="150"/>
      <c r="AE1001" s="150"/>
      <c r="AF1001" s="499"/>
      <c r="AG1001" s="150"/>
      <c r="AH1001" s="500"/>
      <c r="AI1001" s="150"/>
      <c r="AJ1001" s="150"/>
      <c r="AK1001" s="150"/>
      <c r="AL1001" s="150"/>
      <c r="AM1001" s="150"/>
      <c r="AN1001" s="150"/>
      <c r="AO1001" s="150"/>
      <c r="AP1001" s="150"/>
      <c r="AQ1001" s="150"/>
      <c r="AR1001" s="151"/>
      <c r="AS1001" s="456"/>
      <c r="AT1001" s="151"/>
      <c r="AU1001" s="150"/>
      <c r="AV1001" s="487"/>
      <c r="AW1001" s="150"/>
      <c r="AX1001" s="150"/>
      <c r="AY1001" s="150"/>
      <c r="AZ1001" s="150"/>
      <c r="BA1001" s="150"/>
      <c r="BB1001" s="150"/>
      <c r="BC1001" s="150"/>
      <c r="BD1001" s="150"/>
      <c r="BE1001" s="150"/>
      <c r="BF1001" s="150"/>
      <c r="BG1001" s="150"/>
      <c r="BH1001" s="150"/>
      <c r="BI1001" s="150"/>
      <c r="BJ1001" s="150"/>
      <c r="BK1001" s="152"/>
      <c r="BL1001" s="160"/>
      <c r="BM1001" s="150"/>
      <c r="BN1001" s="150"/>
      <c r="BO1001" s="150"/>
      <c r="BP1001" s="152"/>
      <c r="BQ1001" s="160"/>
      <c r="BR1001" s="152"/>
      <c r="BS1001" s="160"/>
    </row>
    <row r="1002" spans="1:71" x14ac:dyDescent="0.3">
      <c r="A1002" s="420" t="str">
        <f>DL!A999</f>
        <v>LOT 18</v>
      </c>
      <c r="B1002" s="20" t="s">
        <v>1754</v>
      </c>
      <c r="C1002" s="149">
        <f>DL!L999</f>
        <v>0</v>
      </c>
      <c r="D1002" s="149">
        <f>DL!C999</f>
        <v>0</v>
      </c>
      <c r="E1002" s="150"/>
      <c r="F1002" s="463"/>
      <c r="G1002" s="150"/>
      <c r="H1002" s="150"/>
      <c r="I1002" s="150"/>
      <c r="J1002" s="150"/>
      <c r="K1002" s="168"/>
      <c r="L1002" s="500"/>
      <c r="M1002" s="150"/>
      <c r="N1002" s="150"/>
      <c r="O1002" s="150"/>
      <c r="P1002" s="150"/>
      <c r="Q1002" s="150"/>
      <c r="R1002" s="150"/>
      <c r="S1002" s="150"/>
      <c r="T1002" s="150"/>
      <c r="U1002" s="150"/>
      <c r="V1002" s="150"/>
      <c r="W1002" s="168"/>
      <c r="X1002" s="150"/>
      <c r="Y1002" s="150"/>
      <c r="Z1002" s="455"/>
      <c r="AA1002" s="150"/>
      <c r="AB1002" s="150"/>
      <c r="AC1002" s="150"/>
      <c r="AD1002" s="150"/>
      <c r="AE1002" s="150"/>
      <c r="AF1002" s="499"/>
      <c r="AG1002" s="150"/>
      <c r="AH1002" s="500"/>
      <c r="AI1002" s="150"/>
      <c r="AJ1002" s="150"/>
      <c r="AK1002" s="150"/>
      <c r="AL1002" s="150"/>
      <c r="AM1002" s="150"/>
      <c r="AN1002" s="150"/>
      <c r="AO1002" s="150"/>
      <c r="AP1002" s="150"/>
      <c r="AQ1002" s="150"/>
      <c r="AR1002" s="151"/>
      <c r="AS1002" s="456"/>
      <c r="AT1002" s="151"/>
      <c r="AU1002" s="150"/>
      <c r="AV1002" s="487"/>
      <c r="AW1002" s="150"/>
      <c r="AX1002" s="150"/>
      <c r="AY1002" s="150"/>
      <c r="AZ1002" s="150"/>
      <c r="BA1002" s="150"/>
      <c r="BB1002" s="150"/>
      <c r="BC1002" s="150"/>
      <c r="BD1002" s="150"/>
      <c r="BE1002" s="150"/>
      <c r="BF1002" s="150"/>
      <c r="BG1002" s="150"/>
      <c r="BH1002" s="150"/>
      <c r="BI1002" s="150"/>
      <c r="BJ1002" s="150"/>
      <c r="BK1002" s="152"/>
      <c r="BL1002" s="160"/>
      <c r="BM1002" s="150"/>
      <c r="BN1002" s="150"/>
      <c r="BO1002" s="150"/>
      <c r="BP1002" s="152"/>
      <c r="BQ1002" s="160"/>
      <c r="BR1002" s="152"/>
      <c r="BS1002" s="160"/>
    </row>
    <row r="1003" spans="1:71" x14ac:dyDescent="0.3">
      <c r="A1003" s="420"/>
      <c r="B1003" s="19" t="s">
        <v>1786</v>
      </c>
      <c r="C1003" s="149">
        <f>DL!L1000</f>
        <v>0</v>
      </c>
      <c r="D1003" s="149">
        <f>DL!C1000</f>
        <v>0</v>
      </c>
      <c r="E1003" s="150"/>
      <c r="F1003" s="463"/>
      <c r="G1003" s="150"/>
      <c r="H1003" s="150"/>
      <c r="I1003" s="150"/>
      <c r="J1003" s="150"/>
      <c r="K1003" s="168"/>
      <c r="L1003" s="500"/>
      <c r="M1003" s="150"/>
      <c r="N1003" s="150"/>
      <c r="O1003" s="150"/>
      <c r="P1003" s="150"/>
      <c r="Q1003" s="150"/>
      <c r="R1003" s="150"/>
      <c r="S1003" s="150"/>
      <c r="T1003" s="150"/>
      <c r="U1003" s="150"/>
      <c r="V1003" s="150"/>
      <c r="W1003" s="168"/>
      <c r="X1003" s="150"/>
      <c r="Y1003" s="150"/>
      <c r="Z1003" s="455"/>
      <c r="AA1003" s="150"/>
      <c r="AB1003" s="150"/>
      <c r="AC1003" s="150"/>
      <c r="AD1003" s="150"/>
      <c r="AE1003" s="150"/>
      <c r="AF1003" s="499"/>
      <c r="AG1003" s="150"/>
      <c r="AH1003" s="500"/>
      <c r="AI1003" s="150"/>
      <c r="AJ1003" s="150"/>
      <c r="AK1003" s="150"/>
      <c r="AL1003" s="150"/>
      <c r="AM1003" s="150"/>
      <c r="AN1003" s="150"/>
      <c r="AO1003" s="150"/>
      <c r="AP1003" s="150"/>
      <c r="AQ1003" s="150"/>
      <c r="AR1003" s="151"/>
      <c r="AS1003" s="456"/>
      <c r="AT1003" s="151"/>
      <c r="AU1003" s="150"/>
      <c r="AV1003" s="487"/>
      <c r="AW1003" s="150"/>
      <c r="AX1003" s="150"/>
      <c r="AY1003" s="150"/>
      <c r="AZ1003" s="150"/>
      <c r="BA1003" s="150"/>
      <c r="BB1003" s="150"/>
      <c r="BC1003" s="150"/>
      <c r="BD1003" s="150"/>
      <c r="BE1003" s="150"/>
      <c r="BF1003" s="150"/>
      <c r="BG1003" s="150"/>
      <c r="BH1003" s="150"/>
      <c r="BI1003" s="150"/>
      <c r="BJ1003" s="150"/>
      <c r="BK1003" s="152"/>
      <c r="BL1003" s="160"/>
      <c r="BM1003" s="150"/>
      <c r="BN1003" s="150"/>
      <c r="BO1003" s="150"/>
      <c r="BP1003" s="152"/>
      <c r="BQ1003" s="160"/>
      <c r="BR1003" s="152"/>
      <c r="BS1003" s="160"/>
    </row>
    <row r="1004" spans="1:71" x14ac:dyDescent="0.3">
      <c r="A1004" s="420">
        <f>DL!A1001</f>
        <v>902</v>
      </c>
      <c r="B1004" s="19" t="s">
        <v>1787</v>
      </c>
      <c r="C1004" s="149">
        <f>DL!L1001</f>
        <v>240</v>
      </c>
      <c r="D1004" s="149" t="str">
        <f>DL!C1001</f>
        <v>1 cartoon (500)</v>
      </c>
      <c r="E1004" s="150"/>
      <c r="F1004" s="463"/>
      <c r="G1004" s="150"/>
      <c r="H1004" s="150"/>
      <c r="I1004" s="150"/>
      <c r="J1004" s="150"/>
      <c r="K1004" s="168"/>
      <c r="L1004" s="466"/>
      <c r="M1004" s="150">
        <v>4800</v>
      </c>
      <c r="N1004" s="150"/>
      <c r="O1004" s="150"/>
      <c r="P1004" s="150"/>
      <c r="Q1004" s="150">
        <v>499</v>
      </c>
      <c r="R1004" s="150"/>
      <c r="S1004" s="150"/>
      <c r="T1004" s="150"/>
      <c r="U1004" s="150"/>
      <c r="V1004" s="150"/>
      <c r="W1004" s="168"/>
      <c r="X1004" s="150"/>
      <c r="Y1004" s="150"/>
      <c r="Z1004" s="455"/>
      <c r="AA1004" s="150"/>
      <c r="AB1004" s="150"/>
      <c r="AC1004" s="150"/>
      <c r="AD1004" s="150"/>
      <c r="AE1004" s="150"/>
      <c r="AF1004" s="494">
        <v>660.4</v>
      </c>
      <c r="AG1004" s="150"/>
      <c r="AH1004" s="501"/>
      <c r="AI1004" s="150"/>
      <c r="AJ1004" s="150"/>
      <c r="AK1004" s="150"/>
      <c r="AL1004" s="150"/>
      <c r="AM1004" s="150"/>
      <c r="AN1004" s="150"/>
      <c r="AO1004" s="150"/>
      <c r="AP1004" s="150"/>
      <c r="AQ1004" s="150"/>
      <c r="AR1004" s="151"/>
      <c r="AS1004" s="456"/>
      <c r="AT1004" s="151"/>
      <c r="AU1004" s="150"/>
      <c r="AV1004" s="487"/>
      <c r="AW1004" s="150"/>
      <c r="AX1004" s="150"/>
      <c r="AY1004" s="150"/>
      <c r="AZ1004" s="150"/>
      <c r="BA1004" s="150"/>
      <c r="BB1004" s="150"/>
      <c r="BC1004" s="150"/>
      <c r="BD1004" s="150"/>
      <c r="BE1004" s="150"/>
      <c r="BF1004" s="150"/>
      <c r="BG1004" s="150"/>
      <c r="BH1004" s="150"/>
      <c r="BI1004" s="159">
        <f>350*18</f>
        <v>6300</v>
      </c>
      <c r="BJ1004" s="150"/>
      <c r="BK1004" s="467">
        <v>5625</v>
      </c>
      <c r="BL1004" s="160"/>
      <c r="BM1004" s="150"/>
      <c r="BN1004" s="150"/>
      <c r="BO1004" s="150"/>
      <c r="BP1004" s="152"/>
      <c r="BQ1004" s="160"/>
      <c r="BR1004" s="152"/>
      <c r="BS1004" s="160"/>
    </row>
    <row r="1005" spans="1:71" x14ac:dyDescent="0.3">
      <c r="A1005" s="420">
        <f>DL!A1002</f>
        <v>903</v>
      </c>
      <c r="B1005" s="19" t="s">
        <v>1788</v>
      </c>
      <c r="C1005" s="149">
        <f>DL!L1002</f>
        <v>240</v>
      </c>
      <c r="D1005" s="149" t="str">
        <f>DL!C1002</f>
        <v>1 cartoon of 24 pieces</v>
      </c>
      <c r="E1005" s="150"/>
      <c r="F1005" s="463"/>
      <c r="G1005" s="150"/>
      <c r="H1005" s="150"/>
      <c r="I1005" s="150"/>
      <c r="J1005" s="150"/>
      <c r="K1005" s="168"/>
      <c r="L1005" s="466"/>
      <c r="M1005" s="150">
        <v>8640</v>
      </c>
      <c r="N1005" s="150"/>
      <c r="O1005" s="150"/>
      <c r="P1005" s="150"/>
      <c r="Q1005" s="150">
        <v>1181</v>
      </c>
      <c r="R1005" s="150"/>
      <c r="S1005" s="150"/>
      <c r="T1005" s="150"/>
      <c r="U1005" s="150"/>
      <c r="V1005" s="150"/>
      <c r="W1005" s="168"/>
      <c r="X1005" s="150"/>
      <c r="Y1005" s="150"/>
      <c r="Z1005" s="455"/>
      <c r="AA1005" s="150"/>
      <c r="AB1005" s="150"/>
      <c r="AC1005" s="150">
        <v>430</v>
      </c>
      <c r="AD1005" s="150"/>
      <c r="AE1005" s="150"/>
      <c r="AF1005" s="494">
        <v>455</v>
      </c>
      <c r="AG1005" s="150"/>
      <c r="AH1005" s="501"/>
      <c r="AI1005" s="150"/>
      <c r="AJ1005" s="150"/>
      <c r="AK1005" s="150"/>
      <c r="AL1005" s="150"/>
      <c r="AM1005" s="150"/>
      <c r="AN1005" s="150"/>
      <c r="AO1005" s="150"/>
      <c r="AP1005" s="150"/>
      <c r="AQ1005" s="150"/>
      <c r="AR1005" s="151"/>
      <c r="AS1005" s="456"/>
      <c r="AT1005" s="151"/>
      <c r="AU1005" s="150"/>
      <c r="AV1005" s="487"/>
      <c r="AW1005" s="150"/>
      <c r="AX1005" s="150"/>
      <c r="AY1005" s="150"/>
      <c r="AZ1005" s="150"/>
      <c r="BA1005" s="150"/>
      <c r="BB1005" s="150"/>
      <c r="BC1005" s="150"/>
      <c r="BD1005" s="150"/>
      <c r="BE1005" s="150"/>
      <c r="BF1005" s="150"/>
      <c r="BG1005" s="150"/>
      <c r="BH1005" s="150"/>
      <c r="BI1005" s="150"/>
      <c r="BJ1005" s="150"/>
      <c r="BK1005" s="467">
        <v>9000</v>
      </c>
      <c r="BL1005" s="160"/>
      <c r="BM1005" s="150"/>
      <c r="BN1005" s="150"/>
      <c r="BO1005" s="150"/>
      <c r="BP1005" s="152"/>
      <c r="BQ1005" s="160"/>
      <c r="BR1005" s="152"/>
      <c r="BS1005" s="160"/>
    </row>
    <row r="1006" spans="1:71" x14ac:dyDescent="0.3">
      <c r="A1006" s="420">
        <f>DL!A1003</f>
        <v>904</v>
      </c>
      <c r="B1006" s="19" t="s">
        <v>1789</v>
      </c>
      <c r="C1006" s="149">
        <f>DL!L1003</f>
        <v>240</v>
      </c>
      <c r="D1006" s="149" t="str">
        <f>DL!C1003</f>
        <v>1 pack of 50 kit</v>
      </c>
      <c r="E1006" s="150"/>
      <c r="F1006" s="463"/>
      <c r="G1006" s="150"/>
      <c r="H1006" s="150"/>
      <c r="I1006" s="150"/>
      <c r="J1006" s="150"/>
      <c r="K1006" s="168"/>
      <c r="L1006" s="466"/>
      <c r="M1006" s="150">
        <v>4400</v>
      </c>
      <c r="N1006" s="150"/>
      <c r="O1006" s="150"/>
      <c r="P1006" s="150"/>
      <c r="Q1006" s="150">
        <v>2527</v>
      </c>
      <c r="R1006" s="150"/>
      <c r="S1006" s="150"/>
      <c r="T1006" s="150"/>
      <c r="U1006" s="150"/>
      <c r="V1006" s="150"/>
      <c r="W1006" s="168"/>
      <c r="X1006" s="150"/>
      <c r="Y1006" s="150"/>
      <c r="Z1006" s="455"/>
      <c r="AA1006" s="150"/>
      <c r="AB1006" s="150"/>
      <c r="AC1006" s="150">
        <v>3520</v>
      </c>
      <c r="AD1006" s="150"/>
      <c r="AE1006" s="150"/>
      <c r="AF1006" s="494">
        <v>5850</v>
      </c>
      <c r="AG1006" s="150"/>
      <c r="AH1006" s="501"/>
      <c r="AI1006" s="150"/>
      <c r="AJ1006" s="150"/>
      <c r="AK1006" s="150"/>
      <c r="AL1006" s="150"/>
      <c r="AM1006" s="150"/>
      <c r="AN1006" s="150"/>
      <c r="AO1006" s="150"/>
      <c r="AP1006" s="150"/>
      <c r="AQ1006" s="150"/>
      <c r="AR1006" s="151"/>
      <c r="AS1006" s="456"/>
      <c r="AT1006" s="151"/>
      <c r="AU1006" s="150"/>
      <c r="AV1006" s="487"/>
      <c r="AW1006" s="150"/>
      <c r="AX1006" s="150"/>
      <c r="AY1006" s="150"/>
      <c r="AZ1006" s="150"/>
      <c r="BA1006" s="150"/>
      <c r="BB1006" s="150"/>
      <c r="BC1006" s="150"/>
      <c r="BD1006" s="150"/>
      <c r="BE1006" s="150"/>
      <c r="BF1006" s="150"/>
      <c r="BG1006" s="150"/>
      <c r="BH1006" s="150"/>
      <c r="BI1006" s="150">
        <v>3800</v>
      </c>
      <c r="BJ1006" s="150"/>
      <c r="BK1006" s="467">
        <v>3500</v>
      </c>
      <c r="BL1006" s="160"/>
      <c r="BM1006" s="150"/>
      <c r="BN1006" s="150"/>
      <c r="BO1006" s="150"/>
      <c r="BP1006" s="152"/>
      <c r="BQ1006" s="160"/>
      <c r="BR1006" s="152"/>
      <c r="BS1006" s="160"/>
    </row>
    <row r="1007" spans="1:71" x14ac:dyDescent="0.3">
      <c r="A1007" s="420">
        <f>DL!A1004</f>
        <v>905</v>
      </c>
      <c r="B1007" s="19" t="s">
        <v>1790</v>
      </c>
      <c r="C1007" s="149">
        <f>DL!L1004</f>
        <v>240</v>
      </c>
      <c r="D1007" s="149" t="str">
        <f>DL!C1004</f>
        <v>1 pack of 50 kit</v>
      </c>
      <c r="E1007" s="150"/>
      <c r="F1007" s="463"/>
      <c r="G1007" s="150"/>
      <c r="H1007" s="150"/>
      <c r="I1007" s="150"/>
      <c r="J1007" s="150"/>
      <c r="K1007" s="168"/>
      <c r="L1007" s="466"/>
      <c r="M1007" s="150">
        <v>5600</v>
      </c>
      <c r="N1007" s="150"/>
      <c r="O1007" s="150"/>
      <c r="P1007" s="150"/>
      <c r="Q1007" s="150">
        <v>3857</v>
      </c>
      <c r="R1007" s="150"/>
      <c r="S1007" s="150"/>
      <c r="T1007" s="150"/>
      <c r="U1007" s="150"/>
      <c r="V1007" s="150"/>
      <c r="W1007" s="168"/>
      <c r="X1007" s="150"/>
      <c r="Y1007" s="150"/>
      <c r="Z1007" s="455"/>
      <c r="AA1007" s="150"/>
      <c r="AB1007" s="150"/>
      <c r="AC1007" s="150">
        <v>5170</v>
      </c>
      <c r="AD1007" s="150"/>
      <c r="AE1007" s="150"/>
      <c r="AF1007" s="494">
        <v>8450</v>
      </c>
      <c r="AG1007" s="150"/>
      <c r="AH1007" s="501"/>
      <c r="AI1007" s="150"/>
      <c r="AJ1007" s="150"/>
      <c r="AK1007" s="150"/>
      <c r="AL1007" s="150"/>
      <c r="AM1007" s="150"/>
      <c r="AN1007" s="150"/>
      <c r="AO1007" s="150"/>
      <c r="AP1007" s="150"/>
      <c r="AQ1007" s="150"/>
      <c r="AR1007" s="151"/>
      <c r="AS1007" s="456"/>
      <c r="AT1007" s="151"/>
      <c r="AU1007" s="150"/>
      <c r="AV1007" s="487"/>
      <c r="AW1007" s="150"/>
      <c r="AX1007" s="150"/>
      <c r="AY1007" s="150"/>
      <c r="AZ1007" s="150"/>
      <c r="BA1007" s="150"/>
      <c r="BB1007" s="150"/>
      <c r="BC1007" s="150"/>
      <c r="BD1007" s="150"/>
      <c r="BE1007" s="150"/>
      <c r="BF1007" s="150"/>
      <c r="BG1007" s="150"/>
      <c r="BH1007" s="150"/>
      <c r="BI1007" s="150">
        <v>3500</v>
      </c>
      <c r="BJ1007" s="150"/>
      <c r="BK1007" s="467">
        <v>5500</v>
      </c>
      <c r="BL1007" s="160"/>
      <c r="BM1007" s="150"/>
      <c r="BN1007" s="150"/>
      <c r="BO1007" s="150"/>
      <c r="BP1007" s="152"/>
      <c r="BQ1007" s="160"/>
      <c r="BR1007" s="152"/>
      <c r="BS1007" s="160"/>
    </row>
    <row r="1008" spans="1:71" x14ac:dyDescent="0.3">
      <c r="A1008" s="420">
        <f>DL!A1005</f>
        <v>906</v>
      </c>
      <c r="B1008" s="19" t="s">
        <v>1791</v>
      </c>
      <c r="C1008" s="149">
        <f>DL!L1005</f>
        <v>240</v>
      </c>
      <c r="D1008" s="149" t="str">
        <f>DL!C1005</f>
        <v>1 pack of 50 kit</v>
      </c>
      <c r="E1008" s="150"/>
      <c r="F1008" s="463"/>
      <c r="G1008" s="150"/>
      <c r="H1008" s="150"/>
      <c r="I1008" s="150"/>
      <c r="J1008" s="150"/>
      <c r="K1008" s="168"/>
      <c r="L1008" s="466"/>
      <c r="M1008" s="150">
        <v>4800</v>
      </c>
      <c r="N1008" s="150"/>
      <c r="O1008" s="150"/>
      <c r="P1008" s="150"/>
      <c r="Q1008" s="150">
        <v>3059</v>
      </c>
      <c r="R1008" s="150"/>
      <c r="S1008" s="150"/>
      <c r="T1008" s="150"/>
      <c r="U1008" s="150"/>
      <c r="V1008" s="150"/>
      <c r="W1008" s="168"/>
      <c r="X1008" s="150"/>
      <c r="Y1008" s="150"/>
      <c r="Z1008" s="455"/>
      <c r="AA1008" s="150"/>
      <c r="AB1008" s="150"/>
      <c r="AC1008" s="150">
        <v>3630</v>
      </c>
      <c r="AD1008" s="150"/>
      <c r="AE1008" s="150"/>
      <c r="AF1008" s="494">
        <v>5850</v>
      </c>
      <c r="AG1008" s="150"/>
      <c r="AH1008" s="501"/>
      <c r="AI1008" s="150"/>
      <c r="AJ1008" s="150"/>
      <c r="AK1008" s="150"/>
      <c r="AL1008" s="150"/>
      <c r="AM1008" s="150"/>
      <c r="AN1008" s="150"/>
      <c r="AO1008" s="150"/>
      <c r="AP1008" s="150"/>
      <c r="AQ1008" s="150"/>
      <c r="AR1008" s="151"/>
      <c r="AS1008" s="456"/>
      <c r="AT1008" s="151"/>
      <c r="AU1008" s="150"/>
      <c r="AV1008" s="487"/>
      <c r="AW1008" s="150"/>
      <c r="AX1008" s="150"/>
      <c r="AY1008" s="150"/>
      <c r="AZ1008" s="150"/>
      <c r="BA1008" s="150"/>
      <c r="BB1008" s="150"/>
      <c r="BC1008" s="150"/>
      <c r="BD1008" s="150"/>
      <c r="BE1008" s="150"/>
      <c r="BF1008" s="150"/>
      <c r="BG1008" s="150"/>
      <c r="BH1008" s="150"/>
      <c r="BI1008" s="150">
        <v>2000</v>
      </c>
      <c r="BJ1008" s="150"/>
      <c r="BK1008" s="467">
        <v>3500</v>
      </c>
      <c r="BL1008" s="160"/>
      <c r="BM1008" s="150"/>
      <c r="BN1008" s="150"/>
      <c r="BO1008" s="150"/>
      <c r="BP1008" s="152"/>
      <c r="BQ1008" s="160"/>
      <c r="BR1008" s="152"/>
      <c r="BS1008" s="160"/>
    </row>
    <row r="1009" spans="1:71" x14ac:dyDescent="0.3">
      <c r="A1009" s="420">
        <f>DL!A1006</f>
        <v>907</v>
      </c>
      <c r="B1009" s="19" t="s">
        <v>1702</v>
      </c>
      <c r="C1009" s="149">
        <f>DL!L1006</f>
        <v>20</v>
      </c>
      <c r="D1009" s="149" t="str">
        <f>DL!C1006</f>
        <v>1 bottle of 2.5L</v>
      </c>
      <c r="E1009" s="150"/>
      <c r="F1009" s="463"/>
      <c r="G1009" s="150"/>
      <c r="H1009" s="150"/>
      <c r="I1009" s="150"/>
      <c r="J1009" s="150"/>
      <c r="K1009" s="168"/>
      <c r="L1009" s="466"/>
      <c r="M1009" s="150">
        <v>12000</v>
      </c>
      <c r="N1009" s="150"/>
      <c r="O1009" s="150"/>
      <c r="P1009" s="150"/>
      <c r="Q1009" s="150">
        <v>5985</v>
      </c>
      <c r="R1009" s="150"/>
      <c r="S1009" s="150"/>
      <c r="T1009" s="150"/>
      <c r="U1009" s="150"/>
      <c r="V1009" s="150"/>
      <c r="W1009" s="168"/>
      <c r="X1009" s="150"/>
      <c r="Y1009" s="150"/>
      <c r="Z1009" s="455"/>
      <c r="AA1009" s="150"/>
      <c r="AB1009" s="150"/>
      <c r="AC1009" s="150"/>
      <c r="AD1009" s="150"/>
      <c r="AE1009" s="150"/>
      <c r="AF1009" s="495">
        <v>16900</v>
      </c>
      <c r="AG1009" s="150"/>
      <c r="AH1009" s="501"/>
      <c r="AI1009" s="150"/>
      <c r="AJ1009" s="150"/>
      <c r="AK1009" s="150"/>
      <c r="AL1009" s="150"/>
      <c r="AM1009" s="150"/>
      <c r="AN1009" s="150"/>
      <c r="AO1009" s="150"/>
      <c r="AP1009" s="150"/>
      <c r="AQ1009" s="150"/>
      <c r="AR1009" s="151"/>
      <c r="AS1009" s="456"/>
      <c r="AT1009" s="151"/>
      <c r="AU1009" s="150"/>
      <c r="AV1009" s="487"/>
      <c r="AW1009" s="150"/>
      <c r="AX1009" s="150"/>
      <c r="AY1009" s="150"/>
      <c r="AZ1009" s="150"/>
      <c r="BA1009" s="150"/>
      <c r="BB1009" s="150"/>
      <c r="BC1009" s="150"/>
      <c r="BD1009" s="150"/>
      <c r="BE1009" s="150"/>
      <c r="BF1009" s="150"/>
      <c r="BG1009" s="150"/>
      <c r="BH1009" s="150"/>
      <c r="BI1009" s="150">
        <v>5000</v>
      </c>
      <c r="BJ1009" s="150"/>
      <c r="BK1009" s="467">
        <v>10500</v>
      </c>
      <c r="BL1009" s="160"/>
      <c r="BM1009" s="150"/>
      <c r="BN1009" s="150"/>
      <c r="BO1009" s="150"/>
      <c r="BP1009" s="152"/>
      <c r="BQ1009" s="160"/>
      <c r="BR1009" s="152"/>
      <c r="BS1009" s="160"/>
    </row>
    <row r="1010" spans="1:71" x14ac:dyDescent="0.3">
      <c r="A1010" s="420">
        <f>DL!A1007</f>
        <v>908</v>
      </c>
      <c r="B1010" s="19" t="s">
        <v>1792</v>
      </c>
      <c r="C1010" s="149">
        <f>DL!L1007</f>
        <v>20</v>
      </c>
      <c r="D1010" s="149" t="str">
        <f>DL!C1007</f>
        <v>1 bottle of 2.5L</v>
      </c>
      <c r="E1010" s="150"/>
      <c r="F1010" s="463"/>
      <c r="G1010" s="150"/>
      <c r="H1010" s="150"/>
      <c r="I1010" s="150"/>
      <c r="J1010" s="150"/>
      <c r="K1010" s="168"/>
      <c r="L1010" s="466"/>
      <c r="M1010" s="150">
        <v>9600</v>
      </c>
      <c r="N1010" s="150"/>
      <c r="O1010" s="150"/>
      <c r="P1010" s="150"/>
      <c r="Q1010" s="150">
        <v>4655</v>
      </c>
      <c r="R1010" s="150"/>
      <c r="S1010" s="150"/>
      <c r="T1010" s="150"/>
      <c r="U1010" s="150"/>
      <c r="V1010" s="150"/>
      <c r="W1010" s="168"/>
      <c r="X1010" s="150"/>
      <c r="Y1010" s="150"/>
      <c r="Z1010" s="455"/>
      <c r="AA1010" s="150"/>
      <c r="AB1010" s="150"/>
      <c r="AC1010" s="150"/>
      <c r="AD1010" s="150"/>
      <c r="AE1010" s="150"/>
      <c r="AF1010" s="495">
        <v>13000</v>
      </c>
      <c r="AG1010" s="150"/>
      <c r="AH1010" s="501"/>
      <c r="AI1010" s="150"/>
      <c r="AJ1010" s="150"/>
      <c r="AK1010" s="150"/>
      <c r="AL1010" s="150"/>
      <c r="AM1010" s="150"/>
      <c r="AN1010" s="150"/>
      <c r="AO1010" s="150"/>
      <c r="AP1010" s="150"/>
      <c r="AQ1010" s="150"/>
      <c r="AR1010" s="151"/>
      <c r="AS1010" s="456"/>
      <c r="AT1010" s="151"/>
      <c r="AU1010" s="150"/>
      <c r="AV1010" s="487"/>
      <c r="AW1010" s="150"/>
      <c r="AX1010" s="150"/>
      <c r="AY1010" s="150"/>
      <c r="AZ1010" s="150"/>
      <c r="BA1010" s="150"/>
      <c r="BB1010" s="150"/>
      <c r="BC1010" s="150"/>
      <c r="BD1010" s="150"/>
      <c r="BE1010" s="150"/>
      <c r="BF1010" s="150"/>
      <c r="BG1010" s="150"/>
      <c r="BH1010" s="150"/>
      <c r="BI1010" s="150">
        <v>4500</v>
      </c>
      <c r="BJ1010" s="150"/>
      <c r="BK1010" s="467">
        <v>10500</v>
      </c>
      <c r="BL1010" s="160"/>
      <c r="BM1010" s="150"/>
      <c r="BN1010" s="150"/>
      <c r="BO1010" s="150"/>
      <c r="BP1010" s="152"/>
      <c r="BQ1010" s="160"/>
      <c r="BR1010" s="152"/>
      <c r="BS1010" s="160"/>
    </row>
    <row r="1011" spans="1:71" x14ac:dyDescent="0.3">
      <c r="A1011" s="420">
        <f>DL!A1008</f>
        <v>909</v>
      </c>
      <c r="B1011" s="19" t="s">
        <v>1793</v>
      </c>
      <c r="C1011" s="149">
        <f>DL!L1008</f>
        <v>40</v>
      </c>
      <c r="D1011" s="149" t="str">
        <f>DL!C1008</f>
        <v>1 bottle of 500g</v>
      </c>
      <c r="E1011" s="150"/>
      <c r="F1011" s="463"/>
      <c r="G1011" s="150"/>
      <c r="H1011" s="150"/>
      <c r="I1011" s="150"/>
      <c r="J1011" s="150"/>
      <c r="K1011" s="168"/>
      <c r="L1011" s="466"/>
      <c r="M1011" s="150">
        <v>26000</v>
      </c>
      <c r="N1011" s="150"/>
      <c r="O1011" s="150"/>
      <c r="P1011" s="150"/>
      <c r="Q1011" s="150">
        <v>23275</v>
      </c>
      <c r="R1011" s="150"/>
      <c r="S1011" s="150"/>
      <c r="T1011" s="150"/>
      <c r="U1011" s="150"/>
      <c r="V1011" s="150"/>
      <c r="W1011" s="168"/>
      <c r="X1011" s="150"/>
      <c r="Y1011" s="150"/>
      <c r="Z1011" s="455"/>
      <c r="AA1011" s="150"/>
      <c r="AB1011" s="150"/>
      <c r="AC1011" s="150"/>
      <c r="AD1011" s="150"/>
      <c r="AE1011" s="150"/>
      <c r="AF1011" s="495">
        <v>24050</v>
      </c>
      <c r="AG1011" s="150"/>
      <c r="AH1011" s="501"/>
      <c r="AI1011" s="150"/>
      <c r="AJ1011" s="150"/>
      <c r="AK1011" s="150"/>
      <c r="AL1011" s="150"/>
      <c r="AM1011" s="150"/>
      <c r="AN1011" s="150"/>
      <c r="AO1011" s="150"/>
      <c r="AP1011" s="150"/>
      <c r="AQ1011" s="150"/>
      <c r="AR1011" s="151"/>
      <c r="AS1011" s="456"/>
      <c r="AT1011" s="151"/>
      <c r="AU1011" s="150"/>
      <c r="AV1011" s="487"/>
      <c r="AW1011" s="150"/>
      <c r="AX1011" s="150"/>
      <c r="AY1011" s="150"/>
      <c r="AZ1011" s="150"/>
      <c r="BA1011" s="150"/>
      <c r="BB1011" s="150"/>
      <c r="BC1011" s="150"/>
      <c r="BD1011" s="150"/>
      <c r="BE1011" s="150"/>
      <c r="BF1011" s="150"/>
      <c r="BG1011" s="150"/>
      <c r="BH1011" s="150"/>
      <c r="BI1011" s="150">
        <v>22500</v>
      </c>
      <c r="BJ1011" s="150"/>
      <c r="BK1011" s="467">
        <v>20000</v>
      </c>
      <c r="BL1011" s="160"/>
      <c r="BM1011" s="150"/>
      <c r="BN1011" s="150"/>
      <c r="BO1011" s="150"/>
      <c r="BP1011" s="152"/>
      <c r="BQ1011" s="160"/>
      <c r="BR1011" s="152"/>
      <c r="BS1011" s="160"/>
    </row>
    <row r="1012" spans="1:71" x14ac:dyDescent="0.3">
      <c r="A1012" s="420">
        <f>DL!A1009</f>
        <v>910</v>
      </c>
      <c r="B1012" s="19" t="s">
        <v>1794</v>
      </c>
      <c r="C1012" s="149">
        <f>DL!L1009</f>
        <v>40</v>
      </c>
      <c r="D1012" s="149" t="str">
        <f>DL!C1009</f>
        <v>1 bottle of 500g</v>
      </c>
      <c r="E1012" s="150"/>
      <c r="F1012" s="463"/>
      <c r="G1012" s="150"/>
      <c r="H1012" s="150"/>
      <c r="I1012" s="150"/>
      <c r="J1012" s="150"/>
      <c r="K1012" s="168"/>
      <c r="L1012" s="466"/>
      <c r="M1012" s="150">
        <v>24000</v>
      </c>
      <c r="N1012" s="150"/>
      <c r="O1012" s="150"/>
      <c r="P1012" s="150"/>
      <c r="Q1012" s="150">
        <v>22610</v>
      </c>
      <c r="R1012" s="150"/>
      <c r="S1012" s="150"/>
      <c r="T1012" s="150"/>
      <c r="U1012" s="150"/>
      <c r="V1012" s="150"/>
      <c r="W1012" s="168"/>
      <c r="X1012" s="150"/>
      <c r="Y1012" s="150"/>
      <c r="Z1012" s="455"/>
      <c r="AA1012" s="150"/>
      <c r="AB1012" s="150"/>
      <c r="AC1012" s="150"/>
      <c r="AD1012" s="150"/>
      <c r="AE1012" s="150"/>
      <c r="AF1012" s="495">
        <v>23400</v>
      </c>
      <c r="AG1012" s="150"/>
      <c r="AH1012" s="501"/>
      <c r="AI1012" s="150"/>
      <c r="AJ1012" s="150"/>
      <c r="AK1012" s="150"/>
      <c r="AL1012" s="150"/>
      <c r="AM1012" s="150"/>
      <c r="AN1012" s="150"/>
      <c r="AO1012" s="150"/>
      <c r="AP1012" s="150"/>
      <c r="AQ1012" s="150"/>
      <c r="AR1012" s="151"/>
      <c r="AS1012" s="456"/>
      <c r="AT1012" s="151"/>
      <c r="AU1012" s="150"/>
      <c r="AV1012" s="487"/>
      <c r="AW1012" s="150"/>
      <c r="AX1012" s="150"/>
      <c r="AY1012" s="150"/>
      <c r="AZ1012" s="150"/>
      <c r="BA1012" s="150"/>
      <c r="BB1012" s="150"/>
      <c r="BC1012" s="150"/>
      <c r="BD1012" s="150"/>
      <c r="BE1012" s="150"/>
      <c r="BF1012" s="150"/>
      <c r="BG1012" s="150"/>
      <c r="BH1012" s="150"/>
      <c r="BI1012" s="150">
        <v>22500</v>
      </c>
      <c r="BJ1012" s="150"/>
      <c r="BK1012" s="467">
        <v>20000</v>
      </c>
      <c r="BL1012" s="160"/>
      <c r="BM1012" s="150"/>
      <c r="BN1012" s="150"/>
      <c r="BO1012" s="150"/>
      <c r="BP1012" s="152"/>
      <c r="BQ1012" s="160"/>
      <c r="BR1012" s="152"/>
      <c r="BS1012" s="160"/>
    </row>
    <row r="1013" spans="1:71" x14ac:dyDescent="0.3">
      <c r="A1013" s="420">
        <f>DL!A1010</f>
        <v>911</v>
      </c>
      <c r="B1013" s="19" t="s">
        <v>1795</v>
      </c>
      <c r="C1013" s="149">
        <f>DL!L1010</f>
        <v>40</v>
      </c>
      <c r="D1013" s="149" t="str">
        <f>DL!C1010</f>
        <v>1 bottle of 500g</v>
      </c>
      <c r="E1013" s="150"/>
      <c r="F1013" s="463"/>
      <c r="G1013" s="150"/>
      <c r="H1013" s="150"/>
      <c r="I1013" s="150"/>
      <c r="J1013" s="150"/>
      <c r="K1013" s="168"/>
      <c r="L1013" s="466"/>
      <c r="M1013" s="150">
        <v>21500</v>
      </c>
      <c r="N1013" s="150"/>
      <c r="O1013" s="150"/>
      <c r="P1013" s="150"/>
      <c r="Q1013" s="150">
        <v>23275</v>
      </c>
      <c r="R1013" s="150"/>
      <c r="S1013" s="150"/>
      <c r="T1013" s="150"/>
      <c r="U1013" s="150"/>
      <c r="V1013" s="150"/>
      <c r="W1013" s="168"/>
      <c r="X1013" s="150"/>
      <c r="Y1013" s="150"/>
      <c r="Z1013" s="455"/>
      <c r="AA1013" s="150"/>
      <c r="AB1013" s="150"/>
      <c r="AC1013" s="150"/>
      <c r="AD1013" s="150"/>
      <c r="AE1013" s="150"/>
      <c r="AF1013" s="495">
        <v>22750</v>
      </c>
      <c r="AG1013" s="150"/>
      <c r="AH1013" s="501"/>
      <c r="AI1013" s="150"/>
      <c r="AJ1013" s="150"/>
      <c r="AK1013" s="150"/>
      <c r="AL1013" s="150"/>
      <c r="AM1013" s="150"/>
      <c r="AN1013" s="150"/>
      <c r="AO1013" s="150"/>
      <c r="AP1013" s="150"/>
      <c r="AQ1013" s="150"/>
      <c r="AR1013" s="151"/>
      <c r="AS1013" s="456"/>
      <c r="AT1013" s="151"/>
      <c r="AU1013" s="150"/>
      <c r="AV1013" s="487"/>
      <c r="AW1013" s="150"/>
      <c r="AX1013" s="150"/>
      <c r="AY1013" s="150"/>
      <c r="AZ1013" s="150"/>
      <c r="BA1013" s="150"/>
      <c r="BB1013" s="150"/>
      <c r="BC1013" s="150"/>
      <c r="BD1013" s="150"/>
      <c r="BE1013" s="150"/>
      <c r="BF1013" s="150"/>
      <c r="BG1013" s="150"/>
      <c r="BH1013" s="150"/>
      <c r="BI1013" s="150">
        <v>21875</v>
      </c>
      <c r="BJ1013" s="150"/>
      <c r="BK1013" s="467">
        <v>20000</v>
      </c>
      <c r="BL1013" s="160"/>
      <c r="BM1013" s="150"/>
      <c r="BN1013" s="150"/>
      <c r="BO1013" s="150"/>
      <c r="BP1013" s="152"/>
      <c r="BQ1013" s="160"/>
      <c r="BR1013" s="152"/>
      <c r="BS1013" s="160"/>
    </row>
    <row r="1014" spans="1:71" x14ac:dyDescent="0.3">
      <c r="A1014" s="420">
        <f>DL!A1011</f>
        <v>912</v>
      </c>
      <c r="B1014" s="19" t="s">
        <v>1796</v>
      </c>
      <c r="C1014" s="149">
        <f>DL!L1011</f>
        <v>40</v>
      </c>
      <c r="D1014" s="149" t="str">
        <f>DL!C1011</f>
        <v>1 bottle of500g</v>
      </c>
      <c r="E1014" s="150"/>
      <c r="F1014" s="463"/>
      <c r="G1014" s="150"/>
      <c r="H1014" s="150"/>
      <c r="I1014" s="150"/>
      <c r="J1014" s="150"/>
      <c r="K1014" s="168"/>
      <c r="L1014" s="466"/>
      <c r="M1014" s="150">
        <v>21500</v>
      </c>
      <c r="N1014" s="150"/>
      <c r="O1014" s="150"/>
      <c r="P1014" s="150"/>
      <c r="Q1014" s="150">
        <v>20615</v>
      </c>
      <c r="R1014" s="150"/>
      <c r="S1014" s="150"/>
      <c r="T1014" s="150"/>
      <c r="U1014" s="150"/>
      <c r="V1014" s="150"/>
      <c r="W1014" s="168"/>
      <c r="X1014" s="150"/>
      <c r="Y1014" s="150"/>
      <c r="Z1014" s="455"/>
      <c r="AA1014" s="150"/>
      <c r="AB1014" s="150"/>
      <c r="AC1014" s="150"/>
      <c r="AD1014" s="150"/>
      <c r="AE1014" s="150"/>
      <c r="AF1014" s="495">
        <v>21450</v>
      </c>
      <c r="AG1014" s="150"/>
      <c r="AH1014" s="501"/>
      <c r="AI1014" s="150"/>
      <c r="AJ1014" s="150"/>
      <c r="AK1014" s="150"/>
      <c r="AL1014" s="150"/>
      <c r="AM1014" s="150"/>
      <c r="AN1014" s="150"/>
      <c r="AO1014" s="150"/>
      <c r="AP1014" s="150"/>
      <c r="AQ1014" s="150"/>
      <c r="AR1014" s="151"/>
      <c r="AS1014" s="456"/>
      <c r="AT1014" s="151"/>
      <c r="AU1014" s="150"/>
      <c r="AV1014" s="487"/>
      <c r="AW1014" s="150"/>
      <c r="AX1014" s="150"/>
      <c r="AY1014" s="150"/>
      <c r="AZ1014" s="150"/>
      <c r="BA1014" s="150"/>
      <c r="BB1014" s="150"/>
      <c r="BC1014" s="150"/>
      <c r="BD1014" s="150"/>
      <c r="BE1014" s="150"/>
      <c r="BF1014" s="150"/>
      <c r="BG1014" s="150"/>
      <c r="BH1014" s="150"/>
      <c r="BI1014" s="150">
        <v>19375</v>
      </c>
      <c r="BJ1014" s="150"/>
      <c r="BK1014" s="467">
        <v>18000</v>
      </c>
      <c r="BL1014" s="160"/>
      <c r="BM1014" s="150"/>
      <c r="BN1014" s="150"/>
      <c r="BO1014" s="150"/>
      <c r="BP1014" s="152"/>
      <c r="BQ1014" s="160"/>
      <c r="BR1014" s="152"/>
      <c r="BS1014" s="160"/>
    </row>
    <row r="1015" spans="1:71" x14ac:dyDescent="0.3">
      <c r="A1015" s="420">
        <f>DL!A1012</f>
        <v>913</v>
      </c>
      <c r="B1015" s="19" t="s">
        <v>1797</v>
      </c>
      <c r="C1015" s="149">
        <f>DL!L1012</f>
        <v>40</v>
      </c>
      <c r="D1015" s="149" t="str">
        <f>DL!C1012</f>
        <v>1 bottle of 500g</v>
      </c>
      <c r="E1015" s="150"/>
      <c r="F1015" s="463"/>
      <c r="G1015" s="150"/>
      <c r="H1015" s="150"/>
      <c r="I1015" s="150"/>
      <c r="J1015" s="150"/>
      <c r="K1015" s="168"/>
      <c r="L1015" s="466"/>
      <c r="M1015" s="150">
        <v>26000</v>
      </c>
      <c r="N1015" s="150"/>
      <c r="O1015" s="150"/>
      <c r="P1015" s="150"/>
      <c r="Q1015" s="150">
        <v>29925</v>
      </c>
      <c r="R1015" s="150"/>
      <c r="S1015" s="150"/>
      <c r="T1015" s="150"/>
      <c r="U1015" s="150"/>
      <c r="V1015" s="150"/>
      <c r="W1015" s="168"/>
      <c r="X1015" s="150"/>
      <c r="Y1015" s="150"/>
      <c r="Z1015" s="455"/>
      <c r="AA1015" s="150"/>
      <c r="AB1015" s="150"/>
      <c r="AC1015" s="150"/>
      <c r="AD1015" s="150"/>
      <c r="AE1015" s="150"/>
      <c r="AF1015" s="495">
        <v>27950</v>
      </c>
      <c r="AG1015" s="150"/>
      <c r="AH1015" s="501"/>
      <c r="AI1015" s="150"/>
      <c r="AJ1015" s="150"/>
      <c r="AK1015" s="150"/>
      <c r="AL1015" s="150"/>
      <c r="AM1015" s="150"/>
      <c r="AN1015" s="150"/>
      <c r="AO1015" s="150"/>
      <c r="AP1015" s="150"/>
      <c r="AQ1015" s="150"/>
      <c r="AR1015" s="151"/>
      <c r="AS1015" s="456"/>
      <c r="AT1015" s="151"/>
      <c r="AU1015" s="150"/>
      <c r="AV1015" s="487"/>
      <c r="AW1015" s="150"/>
      <c r="AX1015" s="150"/>
      <c r="AY1015" s="150"/>
      <c r="AZ1015" s="150"/>
      <c r="BA1015" s="150"/>
      <c r="BB1015" s="150"/>
      <c r="BC1015" s="150"/>
      <c r="BD1015" s="150"/>
      <c r="BE1015" s="150"/>
      <c r="BF1015" s="150"/>
      <c r="BG1015" s="150"/>
      <c r="BH1015" s="150"/>
      <c r="BI1015" s="150">
        <v>26875</v>
      </c>
      <c r="BJ1015" s="150"/>
      <c r="BK1015" s="467">
        <v>20000</v>
      </c>
      <c r="BL1015" s="160"/>
      <c r="BM1015" s="150"/>
      <c r="BN1015" s="150"/>
      <c r="BO1015" s="150"/>
      <c r="BP1015" s="152"/>
      <c r="BQ1015" s="160"/>
      <c r="BR1015" s="152"/>
      <c r="BS1015" s="160"/>
    </row>
    <row r="1016" spans="1:71" x14ac:dyDescent="0.3">
      <c r="A1016" s="420">
        <f>DL!A1013</f>
        <v>914</v>
      </c>
      <c r="B1016" s="19" t="s">
        <v>1798</v>
      </c>
      <c r="C1016" s="149">
        <f>DL!L1013</f>
        <v>40</v>
      </c>
      <c r="D1016" s="149" t="str">
        <f>DL!C1013</f>
        <v>1 bottle of 500g</v>
      </c>
      <c r="E1016" s="150"/>
      <c r="F1016" s="463"/>
      <c r="G1016" s="150"/>
      <c r="H1016" s="150"/>
      <c r="I1016" s="150"/>
      <c r="J1016" s="150"/>
      <c r="K1016" s="168"/>
      <c r="L1016" s="466"/>
      <c r="M1016" s="150">
        <v>24000</v>
      </c>
      <c r="N1016" s="150"/>
      <c r="O1016" s="150"/>
      <c r="P1016" s="150"/>
      <c r="Q1016" s="150">
        <v>37240</v>
      </c>
      <c r="R1016" s="150"/>
      <c r="S1016" s="150"/>
      <c r="T1016" s="150"/>
      <c r="U1016" s="150"/>
      <c r="V1016" s="150"/>
      <c r="W1016" s="168"/>
      <c r="X1016" s="150"/>
      <c r="Y1016" s="150"/>
      <c r="Z1016" s="455"/>
      <c r="AA1016" s="150"/>
      <c r="AB1016" s="150"/>
      <c r="AC1016" s="150"/>
      <c r="AD1016" s="150"/>
      <c r="AE1016" s="150"/>
      <c r="AF1016" s="495">
        <v>20150</v>
      </c>
      <c r="AG1016" s="150"/>
      <c r="AH1016" s="501"/>
      <c r="AI1016" s="150"/>
      <c r="AJ1016" s="150"/>
      <c r="AK1016" s="150"/>
      <c r="AL1016" s="150"/>
      <c r="AM1016" s="150"/>
      <c r="AN1016" s="150"/>
      <c r="AO1016" s="150"/>
      <c r="AP1016" s="150"/>
      <c r="AQ1016" s="150"/>
      <c r="AR1016" s="151"/>
      <c r="AS1016" s="456"/>
      <c r="AT1016" s="151"/>
      <c r="AU1016" s="150"/>
      <c r="AV1016" s="487"/>
      <c r="AW1016" s="150"/>
      <c r="AX1016" s="150"/>
      <c r="AY1016" s="150"/>
      <c r="AZ1016" s="150"/>
      <c r="BA1016" s="150"/>
      <c r="BB1016" s="150"/>
      <c r="BC1016" s="150"/>
      <c r="BD1016" s="150"/>
      <c r="BE1016" s="150"/>
      <c r="BF1016" s="150"/>
      <c r="BG1016" s="150"/>
      <c r="BH1016" s="150"/>
      <c r="BI1016" s="150">
        <v>18750</v>
      </c>
      <c r="BJ1016" s="150"/>
      <c r="BK1016" s="467">
        <v>20000</v>
      </c>
      <c r="BL1016" s="160"/>
      <c r="BM1016" s="150"/>
      <c r="BN1016" s="150"/>
      <c r="BO1016" s="150"/>
      <c r="BP1016" s="152"/>
      <c r="BQ1016" s="160"/>
      <c r="BR1016" s="152"/>
      <c r="BS1016" s="160"/>
    </row>
    <row r="1017" spans="1:71" x14ac:dyDescent="0.3">
      <c r="A1017" s="420">
        <f>DL!A1014</f>
        <v>915</v>
      </c>
      <c r="B1017" s="19" t="s">
        <v>1799</v>
      </c>
      <c r="C1017" s="149">
        <f>DL!L1014</f>
        <v>40</v>
      </c>
      <c r="D1017" s="149" t="str">
        <f>DL!C1014</f>
        <v>1 bottle of 500g</v>
      </c>
      <c r="E1017" s="150"/>
      <c r="F1017" s="463"/>
      <c r="G1017" s="150"/>
      <c r="H1017" s="150"/>
      <c r="I1017" s="150"/>
      <c r="J1017" s="150"/>
      <c r="K1017" s="168"/>
      <c r="L1017" s="466"/>
      <c r="M1017" s="150">
        <v>29000</v>
      </c>
      <c r="N1017" s="150"/>
      <c r="O1017" s="150"/>
      <c r="P1017" s="150"/>
      <c r="Q1017" s="150">
        <v>19285</v>
      </c>
      <c r="R1017" s="150"/>
      <c r="S1017" s="150"/>
      <c r="T1017" s="150"/>
      <c r="U1017" s="150"/>
      <c r="V1017" s="150"/>
      <c r="W1017" s="168"/>
      <c r="X1017" s="150"/>
      <c r="Y1017" s="150"/>
      <c r="Z1017" s="455"/>
      <c r="AA1017" s="150"/>
      <c r="AB1017" s="150"/>
      <c r="AC1017" s="150"/>
      <c r="AD1017" s="150"/>
      <c r="AE1017" s="150"/>
      <c r="AF1017" s="494">
        <v>0</v>
      </c>
      <c r="AG1017" s="150"/>
      <c r="AH1017" s="501"/>
      <c r="AI1017" s="150"/>
      <c r="AJ1017" s="150"/>
      <c r="AK1017" s="150"/>
      <c r="AL1017" s="150"/>
      <c r="AM1017" s="150"/>
      <c r="AN1017" s="150"/>
      <c r="AO1017" s="150"/>
      <c r="AP1017" s="150"/>
      <c r="AQ1017" s="150"/>
      <c r="AR1017" s="151"/>
      <c r="AS1017" s="456"/>
      <c r="AT1017" s="151"/>
      <c r="AU1017" s="150"/>
      <c r="AV1017" s="487"/>
      <c r="AW1017" s="150"/>
      <c r="AX1017" s="150"/>
      <c r="AY1017" s="150"/>
      <c r="AZ1017" s="150"/>
      <c r="BA1017" s="150"/>
      <c r="BB1017" s="150"/>
      <c r="BC1017" s="150"/>
      <c r="BD1017" s="150"/>
      <c r="BE1017" s="150"/>
      <c r="BF1017" s="150"/>
      <c r="BG1017" s="150"/>
      <c r="BH1017" s="150"/>
      <c r="BI1017" s="150"/>
      <c r="BJ1017" s="150"/>
      <c r="BK1017" s="467">
        <v>20000</v>
      </c>
      <c r="BL1017" s="160"/>
      <c r="BM1017" s="150"/>
      <c r="BN1017" s="150"/>
      <c r="BO1017" s="150"/>
      <c r="BP1017" s="152"/>
      <c r="BQ1017" s="160"/>
      <c r="BR1017" s="152"/>
      <c r="BS1017" s="160"/>
    </row>
    <row r="1018" spans="1:71" x14ac:dyDescent="0.3">
      <c r="A1018" s="420">
        <f>DL!A1015</f>
        <v>916</v>
      </c>
      <c r="B1018" s="19" t="s">
        <v>1800</v>
      </c>
      <c r="C1018" s="149">
        <f>DL!L1015</f>
        <v>40</v>
      </c>
      <c r="D1018" s="149" t="str">
        <f>DL!C1015</f>
        <v>1 bottle of 500g</v>
      </c>
      <c r="E1018" s="150"/>
      <c r="F1018" s="463"/>
      <c r="G1018" s="150"/>
      <c r="H1018" s="150"/>
      <c r="I1018" s="150"/>
      <c r="J1018" s="150"/>
      <c r="K1018" s="168"/>
      <c r="L1018" s="466"/>
      <c r="M1018" s="150">
        <v>31000</v>
      </c>
      <c r="N1018" s="150"/>
      <c r="O1018" s="150"/>
      <c r="P1018" s="150"/>
      <c r="Q1018" s="150">
        <v>29260</v>
      </c>
      <c r="R1018" s="150"/>
      <c r="S1018" s="150"/>
      <c r="T1018" s="150"/>
      <c r="U1018" s="150"/>
      <c r="V1018" s="150"/>
      <c r="W1018" s="168"/>
      <c r="X1018" s="150"/>
      <c r="Y1018" s="150"/>
      <c r="Z1018" s="455"/>
      <c r="AA1018" s="150"/>
      <c r="AB1018" s="150"/>
      <c r="AC1018" s="150"/>
      <c r="AD1018" s="150"/>
      <c r="AE1018" s="150"/>
      <c r="AF1018" s="495">
        <v>27300</v>
      </c>
      <c r="AG1018" s="150"/>
      <c r="AH1018" s="501"/>
      <c r="AI1018" s="150"/>
      <c r="AJ1018" s="150"/>
      <c r="AK1018" s="150"/>
      <c r="AL1018" s="150"/>
      <c r="AM1018" s="150"/>
      <c r="AN1018" s="150"/>
      <c r="AO1018" s="150"/>
      <c r="AP1018" s="150"/>
      <c r="AQ1018" s="150"/>
      <c r="AR1018" s="151"/>
      <c r="AS1018" s="456"/>
      <c r="AT1018" s="151"/>
      <c r="AU1018" s="150"/>
      <c r="AV1018" s="487"/>
      <c r="AW1018" s="150"/>
      <c r="AX1018" s="150"/>
      <c r="AY1018" s="150"/>
      <c r="AZ1018" s="150"/>
      <c r="BA1018" s="150"/>
      <c r="BB1018" s="150"/>
      <c r="BC1018" s="150"/>
      <c r="BD1018" s="150"/>
      <c r="BE1018" s="150"/>
      <c r="BF1018" s="150"/>
      <c r="BG1018" s="150"/>
      <c r="BH1018" s="150"/>
      <c r="BI1018" s="150">
        <v>26250</v>
      </c>
      <c r="BJ1018" s="150"/>
      <c r="BK1018" s="467">
        <v>20000</v>
      </c>
      <c r="BL1018" s="160"/>
      <c r="BM1018" s="150"/>
      <c r="BN1018" s="150"/>
      <c r="BO1018" s="150"/>
      <c r="BP1018" s="152"/>
      <c r="BQ1018" s="160"/>
      <c r="BR1018" s="152"/>
      <c r="BS1018" s="160"/>
    </row>
    <row r="1019" spans="1:71" x14ac:dyDescent="0.3">
      <c r="A1019" s="420">
        <f>DL!A1016</f>
        <v>917</v>
      </c>
      <c r="B1019" s="19" t="s">
        <v>1801</v>
      </c>
      <c r="C1019" s="149">
        <f>DL!L1016</f>
        <v>40</v>
      </c>
      <c r="D1019" s="149" t="str">
        <f>DL!C1016</f>
        <v>1 cartoon of 500pieces</v>
      </c>
      <c r="E1019" s="150"/>
      <c r="F1019" s="463"/>
      <c r="G1019" s="150"/>
      <c r="H1019" s="150"/>
      <c r="I1019" s="150"/>
      <c r="J1019" s="150"/>
      <c r="K1019" s="168"/>
      <c r="L1019" s="466"/>
      <c r="M1019" s="150">
        <v>28500</v>
      </c>
      <c r="N1019" s="150"/>
      <c r="O1019" s="150"/>
      <c r="P1019" s="150"/>
      <c r="Q1019" s="150">
        <v>2261</v>
      </c>
      <c r="R1019" s="150"/>
      <c r="S1019" s="150"/>
      <c r="T1019" s="150"/>
      <c r="U1019" s="150"/>
      <c r="V1019" s="150"/>
      <c r="W1019" s="168"/>
      <c r="X1019" s="150"/>
      <c r="Y1019" s="150"/>
      <c r="Z1019" s="455"/>
      <c r="AA1019" s="150"/>
      <c r="AB1019" s="150"/>
      <c r="AC1019" s="150">
        <v>1695</v>
      </c>
      <c r="AD1019" s="150"/>
      <c r="AE1019" s="150"/>
      <c r="AF1019" s="495">
        <v>39000</v>
      </c>
      <c r="AG1019" s="150"/>
      <c r="AH1019" s="502">
        <v>15000</v>
      </c>
      <c r="AI1019" s="150"/>
      <c r="AJ1019" s="150"/>
      <c r="AK1019" s="150"/>
      <c r="AL1019" s="150"/>
      <c r="AM1019" s="150"/>
      <c r="AN1019" s="150"/>
      <c r="AO1019" s="150"/>
      <c r="AP1019" s="150"/>
      <c r="AQ1019" s="150"/>
      <c r="AR1019" s="151"/>
      <c r="AS1019" s="456"/>
      <c r="AT1019" s="151"/>
      <c r="AU1019" s="150"/>
      <c r="AV1019" s="487"/>
      <c r="AW1019" s="150"/>
      <c r="AX1019" s="150"/>
      <c r="AY1019" s="150"/>
      <c r="AZ1019" s="150"/>
      <c r="BA1019" s="150"/>
      <c r="BB1019" s="150"/>
      <c r="BC1019" s="150"/>
      <c r="BD1019" s="150"/>
      <c r="BE1019" s="150"/>
      <c r="BF1019" s="150"/>
      <c r="BG1019" s="150"/>
      <c r="BH1019" s="150"/>
      <c r="BI1019" s="150">
        <v>1800</v>
      </c>
      <c r="BJ1019" s="150"/>
      <c r="BK1019" s="467">
        <v>38000</v>
      </c>
      <c r="BL1019" s="160"/>
      <c r="BM1019" s="150"/>
      <c r="BN1019" s="150"/>
      <c r="BO1019" s="150"/>
      <c r="BP1019" s="152"/>
      <c r="BQ1019" s="160"/>
      <c r="BR1019" s="152"/>
      <c r="BS1019" s="160"/>
    </row>
    <row r="1020" spans="1:71" x14ac:dyDescent="0.3">
      <c r="A1020" s="420">
        <f>DL!A1017</f>
        <v>918</v>
      </c>
      <c r="B1020" s="19" t="s">
        <v>1802</v>
      </c>
      <c r="C1020" s="149">
        <v>10</v>
      </c>
      <c r="D1020" s="149" t="str">
        <f>DL!C1017</f>
        <v>1 cartoon 1000pieces</v>
      </c>
      <c r="E1020" s="150"/>
      <c r="F1020" s="463"/>
      <c r="G1020" s="150"/>
      <c r="H1020" s="150"/>
      <c r="I1020" s="150"/>
      <c r="J1020" s="150"/>
      <c r="K1020" s="168"/>
      <c r="L1020" s="466"/>
      <c r="M1020" s="150">
        <v>12000</v>
      </c>
      <c r="N1020" s="150"/>
      <c r="O1020" s="150"/>
      <c r="P1020" s="150"/>
      <c r="Q1020" s="150">
        <v>13965</v>
      </c>
      <c r="R1020" s="150"/>
      <c r="S1020" s="150"/>
      <c r="T1020" s="150"/>
      <c r="U1020" s="150"/>
      <c r="V1020" s="150"/>
      <c r="W1020" s="168"/>
      <c r="X1020" s="150"/>
      <c r="Y1020" s="150"/>
      <c r="Z1020" s="455"/>
      <c r="AA1020" s="150"/>
      <c r="AB1020" s="150"/>
      <c r="AC1020" s="150"/>
      <c r="AD1020" s="150"/>
      <c r="AE1020" s="150"/>
      <c r="AF1020" s="494">
        <v>35750</v>
      </c>
      <c r="AG1020" s="150"/>
      <c r="AH1020" s="150"/>
      <c r="AI1020" s="150"/>
      <c r="AJ1020" s="150"/>
      <c r="AK1020" s="150"/>
      <c r="AL1020" s="150"/>
      <c r="AM1020" s="150"/>
      <c r="AN1020" s="150"/>
      <c r="AO1020" s="150"/>
      <c r="AP1020" s="150"/>
      <c r="AQ1020" s="150"/>
      <c r="AR1020" s="151"/>
      <c r="AS1020" s="456"/>
      <c r="AT1020" s="151"/>
      <c r="AU1020" s="150"/>
      <c r="AV1020" s="487"/>
      <c r="AW1020" s="150"/>
      <c r="AX1020" s="150"/>
      <c r="AY1020" s="150"/>
      <c r="AZ1020" s="150"/>
      <c r="BA1020" s="150"/>
      <c r="BB1020" s="150"/>
      <c r="BC1020" s="150"/>
      <c r="BD1020" s="150"/>
      <c r="BE1020" s="150"/>
      <c r="BF1020" s="150"/>
      <c r="BG1020" s="150"/>
      <c r="BH1020" s="150"/>
      <c r="BI1020" s="150"/>
      <c r="BJ1020" s="150"/>
      <c r="BK1020" s="467">
        <v>35000</v>
      </c>
      <c r="BL1020" s="160"/>
      <c r="BM1020" s="150"/>
      <c r="BN1020" s="150"/>
      <c r="BO1020" s="150"/>
      <c r="BP1020" s="152"/>
      <c r="BQ1020" s="160"/>
      <c r="BR1020" s="152"/>
      <c r="BS1020" s="160"/>
    </row>
    <row r="1021" spans="1:71" x14ac:dyDescent="0.3">
      <c r="A1021" s="420">
        <f>DL!A1018</f>
        <v>919</v>
      </c>
      <c r="B1021" s="19" t="s">
        <v>1803</v>
      </c>
      <c r="C1021" s="149">
        <v>20</v>
      </c>
      <c r="D1021" s="149" t="str">
        <f>DL!C1018</f>
        <v>1 cartoon 500pieces</v>
      </c>
      <c r="E1021" s="150"/>
      <c r="F1021" s="463"/>
      <c r="G1021" s="150"/>
      <c r="H1021" s="150"/>
      <c r="I1021" s="150"/>
      <c r="J1021" s="150"/>
      <c r="K1021" s="168"/>
      <c r="L1021" s="466"/>
      <c r="M1021" s="150"/>
      <c r="N1021" s="150"/>
      <c r="O1021" s="150"/>
      <c r="P1021" s="150"/>
      <c r="Q1021" s="150">
        <v>33915</v>
      </c>
      <c r="R1021" s="150"/>
      <c r="S1021" s="150"/>
      <c r="T1021" s="150"/>
      <c r="U1021" s="150"/>
      <c r="V1021" s="150"/>
      <c r="W1021" s="168"/>
      <c r="X1021" s="150"/>
      <c r="Y1021" s="150"/>
      <c r="Z1021" s="455"/>
      <c r="AA1021" s="150"/>
      <c r="AB1021" s="150"/>
      <c r="AC1021" s="150"/>
      <c r="AD1021" s="150"/>
      <c r="AE1021" s="150"/>
      <c r="AF1021" s="494">
        <v>0</v>
      </c>
      <c r="AG1021" s="150"/>
      <c r="AH1021" s="150"/>
      <c r="AI1021" s="150"/>
      <c r="AJ1021" s="150"/>
      <c r="AK1021" s="150"/>
      <c r="AL1021" s="150"/>
      <c r="AM1021" s="150"/>
      <c r="AN1021" s="150"/>
      <c r="AO1021" s="150"/>
      <c r="AP1021" s="150"/>
      <c r="AQ1021" s="150"/>
      <c r="AR1021" s="151"/>
      <c r="AS1021" s="456"/>
      <c r="AT1021" s="151"/>
      <c r="AU1021" s="150"/>
      <c r="AV1021" s="487"/>
      <c r="AW1021" s="150"/>
      <c r="AX1021" s="150"/>
      <c r="AY1021" s="150"/>
      <c r="AZ1021" s="150"/>
      <c r="BA1021" s="150"/>
      <c r="BB1021" s="150"/>
      <c r="BC1021" s="150"/>
      <c r="BD1021" s="150"/>
      <c r="BE1021" s="150"/>
      <c r="BF1021" s="150"/>
      <c r="BG1021" s="150"/>
      <c r="BH1021" s="150"/>
      <c r="BI1021" s="150"/>
      <c r="BJ1021" s="150"/>
      <c r="BK1021" s="467">
        <v>65000</v>
      </c>
      <c r="BL1021" s="160"/>
      <c r="BM1021" s="150"/>
      <c r="BN1021" s="150"/>
      <c r="BO1021" s="150"/>
      <c r="BP1021" s="152"/>
      <c r="BQ1021" s="160"/>
      <c r="BR1021" s="152"/>
      <c r="BS1021" s="160"/>
    </row>
    <row r="1022" spans="1:71" x14ac:dyDescent="0.3">
      <c r="A1022" s="420">
        <f>DL!A1019</f>
        <v>920</v>
      </c>
      <c r="B1022" s="19" t="s">
        <v>1804</v>
      </c>
      <c r="C1022" s="149">
        <v>20</v>
      </c>
      <c r="D1022" s="149" t="str">
        <f>DL!C1019</f>
        <v>1 bottle (500g)</v>
      </c>
      <c r="E1022" s="150"/>
      <c r="F1022" s="463"/>
      <c r="G1022" s="150"/>
      <c r="H1022" s="150"/>
      <c r="I1022" s="150"/>
      <c r="J1022" s="150"/>
      <c r="K1022" s="168"/>
      <c r="L1022" s="466"/>
      <c r="M1022" s="150">
        <v>35500</v>
      </c>
      <c r="N1022" s="150"/>
      <c r="O1022" s="150"/>
      <c r="P1022" s="150"/>
      <c r="Q1022" s="150">
        <v>27930</v>
      </c>
      <c r="R1022" s="150"/>
      <c r="S1022" s="150"/>
      <c r="T1022" s="150"/>
      <c r="U1022" s="150"/>
      <c r="V1022" s="150"/>
      <c r="W1022" s="168"/>
      <c r="X1022" s="150"/>
      <c r="Y1022" s="150"/>
      <c r="Z1022" s="455"/>
      <c r="AA1022" s="150"/>
      <c r="AB1022" s="150"/>
      <c r="AC1022" s="150"/>
      <c r="AD1022" s="150"/>
      <c r="AE1022" s="150"/>
      <c r="AF1022" s="495">
        <v>27950</v>
      </c>
      <c r="AG1022" s="150"/>
      <c r="AH1022" s="150"/>
      <c r="AI1022" s="150"/>
      <c r="AJ1022" s="150"/>
      <c r="AK1022" s="150"/>
      <c r="AL1022" s="150"/>
      <c r="AM1022" s="150"/>
      <c r="AN1022" s="150"/>
      <c r="AO1022" s="150"/>
      <c r="AP1022" s="150"/>
      <c r="AQ1022" s="150"/>
      <c r="AR1022" s="151"/>
      <c r="AS1022" s="456"/>
      <c r="AT1022" s="151"/>
      <c r="AU1022" s="150"/>
      <c r="AV1022" s="487"/>
      <c r="AW1022" s="150"/>
      <c r="AX1022" s="150"/>
      <c r="AY1022" s="150"/>
      <c r="AZ1022" s="150"/>
      <c r="BA1022" s="150"/>
      <c r="BB1022" s="150"/>
      <c r="BC1022" s="150"/>
      <c r="BD1022" s="150"/>
      <c r="BE1022" s="150"/>
      <c r="BF1022" s="150"/>
      <c r="BG1022" s="150"/>
      <c r="BH1022" s="150"/>
      <c r="BI1022" s="150">
        <v>27100</v>
      </c>
      <c r="BJ1022" s="150"/>
      <c r="BK1022" s="467">
        <v>20000</v>
      </c>
      <c r="BL1022" s="160"/>
      <c r="BM1022" s="150"/>
      <c r="BN1022" s="150"/>
      <c r="BO1022" s="150"/>
      <c r="BP1022" s="152"/>
      <c r="BQ1022" s="160"/>
      <c r="BR1022" s="152"/>
      <c r="BS1022" s="160"/>
    </row>
    <row r="1023" spans="1:71" x14ac:dyDescent="0.3">
      <c r="A1023" s="420">
        <f>DL!A1020</f>
        <v>921</v>
      </c>
      <c r="B1023" s="19" t="s">
        <v>1805</v>
      </c>
      <c r="C1023" s="149">
        <v>20</v>
      </c>
      <c r="D1023" s="149" t="str">
        <f>DL!C1020</f>
        <v>1 bottle (500g)</v>
      </c>
      <c r="E1023" s="150"/>
      <c r="F1023" s="463"/>
      <c r="G1023" s="150"/>
      <c r="H1023" s="150"/>
      <c r="I1023" s="150"/>
      <c r="J1023" s="150"/>
      <c r="K1023" s="168"/>
      <c r="L1023" s="466"/>
      <c r="M1023" s="150">
        <v>36000</v>
      </c>
      <c r="N1023" s="150"/>
      <c r="O1023" s="150"/>
      <c r="P1023" s="150"/>
      <c r="Q1023" s="150">
        <v>24605</v>
      </c>
      <c r="R1023" s="150"/>
      <c r="S1023" s="150"/>
      <c r="T1023" s="150"/>
      <c r="U1023" s="150"/>
      <c r="V1023" s="150"/>
      <c r="W1023" s="168"/>
      <c r="X1023" s="150"/>
      <c r="Y1023" s="150"/>
      <c r="Z1023" s="455"/>
      <c r="AA1023" s="150"/>
      <c r="AB1023" s="150"/>
      <c r="AC1023" s="150"/>
      <c r="AD1023" s="150"/>
      <c r="AE1023" s="150"/>
      <c r="AF1023" s="495">
        <v>27300</v>
      </c>
      <c r="AG1023" s="150"/>
      <c r="AH1023" s="150"/>
      <c r="AI1023" s="150"/>
      <c r="AJ1023" s="150"/>
      <c r="AK1023" s="150"/>
      <c r="AL1023" s="150"/>
      <c r="AM1023" s="150"/>
      <c r="AN1023" s="150"/>
      <c r="AO1023" s="150"/>
      <c r="AP1023" s="150"/>
      <c r="AQ1023" s="150"/>
      <c r="AR1023" s="151"/>
      <c r="AS1023" s="456"/>
      <c r="AT1023" s="151"/>
      <c r="AU1023" s="150"/>
      <c r="AV1023" s="487"/>
      <c r="AW1023" s="150"/>
      <c r="AX1023" s="150"/>
      <c r="AY1023" s="150"/>
      <c r="AZ1023" s="150"/>
      <c r="BA1023" s="150"/>
      <c r="BB1023" s="150"/>
      <c r="BC1023" s="150"/>
      <c r="BD1023" s="150"/>
      <c r="BE1023" s="150"/>
      <c r="BF1023" s="150"/>
      <c r="BG1023" s="150"/>
      <c r="BH1023" s="150"/>
      <c r="BI1023" s="150">
        <v>26875</v>
      </c>
      <c r="BJ1023" s="150"/>
      <c r="BK1023" s="467">
        <v>20000</v>
      </c>
      <c r="BL1023" s="160"/>
      <c r="BM1023" s="150"/>
      <c r="BN1023" s="150"/>
      <c r="BO1023" s="150"/>
      <c r="BP1023" s="152"/>
      <c r="BQ1023" s="160"/>
      <c r="BR1023" s="152"/>
      <c r="BS1023" s="160"/>
    </row>
    <row r="1024" spans="1:71" x14ac:dyDescent="0.3">
      <c r="A1024" s="420">
        <f>DL!A1021</f>
        <v>922</v>
      </c>
      <c r="B1024" s="19" t="s">
        <v>1806</v>
      </c>
      <c r="C1024" s="149">
        <f>DL!L1021</f>
        <v>20</v>
      </c>
      <c r="D1024" s="149" t="str">
        <f>DL!C1021</f>
        <v>1 pack of 100 tests</v>
      </c>
      <c r="E1024" s="150"/>
      <c r="F1024" s="463"/>
      <c r="G1024" s="150"/>
      <c r="H1024" s="150"/>
      <c r="I1024" s="150"/>
      <c r="J1024" s="150"/>
      <c r="K1024" s="168"/>
      <c r="L1024" s="466"/>
      <c r="M1024" s="150"/>
      <c r="N1024" s="150"/>
      <c r="O1024" s="150"/>
      <c r="P1024" s="150"/>
      <c r="Q1024" s="150">
        <v>12635</v>
      </c>
      <c r="R1024" s="150"/>
      <c r="S1024" s="150"/>
      <c r="T1024" s="150"/>
      <c r="U1024" s="150"/>
      <c r="V1024" s="150"/>
      <c r="W1024" s="168"/>
      <c r="X1024" s="150"/>
      <c r="Y1024" s="150"/>
      <c r="Z1024" s="455"/>
      <c r="AA1024" s="150"/>
      <c r="AB1024" s="150"/>
      <c r="AC1024" s="150">
        <v>16800</v>
      </c>
      <c r="AD1024" s="150"/>
      <c r="AE1024" s="150"/>
      <c r="AF1024" s="494">
        <v>11050</v>
      </c>
      <c r="AG1024" s="150"/>
      <c r="AH1024" s="150"/>
      <c r="AI1024" s="150"/>
      <c r="AJ1024" s="150"/>
      <c r="AK1024" s="150"/>
      <c r="AL1024" s="150"/>
      <c r="AM1024" s="150"/>
      <c r="AN1024" s="150"/>
      <c r="AO1024" s="150"/>
      <c r="AP1024" s="150"/>
      <c r="AQ1024" s="150"/>
      <c r="AR1024" s="151"/>
      <c r="AS1024" s="456"/>
      <c r="AT1024" s="151"/>
      <c r="AU1024" s="150"/>
      <c r="AV1024" s="487"/>
      <c r="AW1024" s="150"/>
      <c r="AX1024" s="150"/>
      <c r="AY1024" s="150"/>
      <c r="AZ1024" s="150"/>
      <c r="BA1024" s="150"/>
      <c r="BB1024" s="150"/>
      <c r="BC1024" s="150"/>
      <c r="BD1024" s="150"/>
      <c r="BE1024" s="150"/>
      <c r="BF1024" s="150"/>
      <c r="BG1024" s="150"/>
      <c r="BH1024" s="150"/>
      <c r="BI1024" s="150"/>
      <c r="BJ1024" s="150"/>
      <c r="BK1024" s="467">
        <v>25000</v>
      </c>
      <c r="BL1024" s="160"/>
      <c r="BM1024" s="150"/>
      <c r="BN1024" s="150"/>
      <c r="BO1024" s="150"/>
      <c r="BP1024" s="152"/>
      <c r="BQ1024" s="160"/>
      <c r="BR1024" s="152"/>
      <c r="BS1024" s="160"/>
    </row>
    <row r="1025" spans="1:71" x14ac:dyDescent="0.3">
      <c r="A1025" s="420">
        <f>DL!A1022</f>
        <v>923</v>
      </c>
      <c r="B1025" s="19" t="s">
        <v>1807</v>
      </c>
      <c r="C1025" s="149">
        <v>20</v>
      </c>
      <c r="D1025" s="149" t="str">
        <f>DL!C1022</f>
        <v>1 bottle of 500g</v>
      </c>
      <c r="E1025" s="150"/>
      <c r="F1025" s="463"/>
      <c r="G1025" s="150"/>
      <c r="H1025" s="150"/>
      <c r="I1025" s="150"/>
      <c r="J1025" s="150"/>
      <c r="K1025" s="168"/>
      <c r="L1025" s="466"/>
      <c r="M1025" s="150"/>
      <c r="N1025" s="150"/>
      <c r="O1025" s="150"/>
      <c r="P1025" s="150"/>
      <c r="Q1025" s="150">
        <v>22610</v>
      </c>
      <c r="R1025" s="150"/>
      <c r="S1025" s="150"/>
      <c r="T1025" s="150"/>
      <c r="U1025" s="150"/>
      <c r="V1025" s="150"/>
      <c r="W1025" s="168"/>
      <c r="X1025" s="150"/>
      <c r="Y1025" s="150"/>
      <c r="Z1025" s="455"/>
      <c r="AA1025" s="150"/>
      <c r="AB1025" s="150"/>
      <c r="AC1025" s="150"/>
      <c r="AD1025" s="150"/>
      <c r="AE1025" s="150"/>
      <c r="AF1025" s="495">
        <v>33150</v>
      </c>
      <c r="AG1025" s="150"/>
      <c r="AH1025" s="150"/>
      <c r="AI1025" s="150"/>
      <c r="AJ1025" s="150"/>
      <c r="AK1025" s="150"/>
      <c r="AL1025" s="150"/>
      <c r="AM1025" s="150"/>
      <c r="AN1025" s="150"/>
      <c r="AO1025" s="150"/>
      <c r="AP1025" s="150"/>
      <c r="AQ1025" s="150"/>
      <c r="AR1025" s="151"/>
      <c r="AS1025" s="456"/>
      <c r="AT1025" s="151"/>
      <c r="AU1025" s="150"/>
      <c r="AV1025" s="487"/>
      <c r="AW1025" s="150"/>
      <c r="AX1025" s="150"/>
      <c r="AY1025" s="150"/>
      <c r="AZ1025" s="150"/>
      <c r="BA1025" s="150"/>
      <c r="BB1025" s="150"/>
      <c r="BC1025" s="150"/>
      <c r="BD1025" s="150"/>
      <c r="BE1025" s="150"/>
      <c r="BF1025" s="150"/>
      <c r="BG1025" s="150"/>
      <c r="BH1025" s="150"/>
      <c r="BI1025" s="150"/>
      <c r="BJ1025" s="150"/>
      <c r="BK1025" s="467">
        <v>20000</v>
      </c>
      <c r="BL1025" s="160"/>
      <c r="BM1025" s="150"/>
      <c r="BN1025" s="150"/>
      <c r="BO1025" s="150"/>
      <c r="BP1025" s="152"/>
      <c r="BQ1025" s="160"/>
      <c r="BR1025" s="152"/>
      <c r="BS1025" s="160"/>
    </row>
    <row r="1026" spans="1:71" x14ac:dyDescent="0.3">
      <c r="A1026" s="420">
        <f>DL!A1023</f>
        <v>924</v>
      </c>
      <c r="B1026" s="19" t="s">
        <v>1808</v>
      </c>
      <c r="C1026" s="149">
        <v>20</v>
      </c>
      <c r="D1026" s="149" t="str">
        <f>DL!C1023</f>
        <v>1 box (8 bottle)</v>
      </c>
      <c r="E1026" s="150"/>
      <c r="F1026" s="463"/>
      <c r="G1026" s="150"/>
      <c r="H1026" s="150"/>
      <c r="I1026" s="150"/>
      <c r="J1026" s="150"/>
      <c r="K1026" s="168"/>
      <c r="L1026" s="466"/>
      <c r="M1026" s="150">
        <v>10500</v>
      </c>
      <c r="N1026" s="150"/>
      <c r="O1026" s="150"/>
      <c r="P1026" s="150"/>
      <c r="Q1026" s="150">
        <v>8645</v>
      </c>
      <c r="R1026" s="150"/>
      <c r="S1026" s="150"/>
      <c r="T1026" s="150"/>
      <c r="U1026" s="150"/>
      <c r="V1026" s="150"/>
      <c r="W1026" s="168"/>
      <c r="X1026" s="150"/>
      <c r="Y1026" s="150"/>
      <c r="Z1026" s="455"/>
      <c r="AA1026" s="150"/>
      <c r="AB1026" s="150"/>
      <c r="AC1026" s="150"/>
      <c r="AD1026" s="150"/>
      <c r="AE1026" s="150"/>
      <c r="AF1026" s="494">
        <v>11050</v>
      </c>
      <c r="AG1026" s="150"/>
      <c r="AH1026" s="150"/>
      <c r="AI1026" s="150"/>
      <c r="AJ1026" s="150"/>
      <c r="AK1026" s="150"/>
      <c r="AL1026" s="150"/>
      <c r="AM1026" s="150"/>
      <c r="AN1026" s="150"/>
      <c r="AO1026" s="150"/>
      <c r="AP1026" s="150"/>
      <c r="AQ1026" s="150"/>
      <c r="AR1026" s="151"/>
      <c r="AS1026" s="456"/>
      <c r="AT1026" s="151"/>
      <c r="AU1026" s="150"/>
      <c r="AV1026" s="487"/>
      <c r="AW1026" s="150"/>
      <c r="AX1026" s="150"/>
      <c r="AY1026" s="150"/>
      <c r="AZ1026" s="150"/>
      <c r="BA1026" s="150"/>
      <c r="BB1026" s="150"/>
      <c r="BC1026" s="150"/>
      <c r="BD1026" s="150"/>
      <c r="BE1026" s="150"/>
      <c r="BF1026" s="150"/>
      <c r="BG1026" s="150"/>
      <c r="BH1026" s="150"/>
      <c r="BI1026" s="150">
        <v>10625</v>
      </c>
      <c r="BJ1026" s="150"/>
      <c r="BK1026" s="467">
        <v>6500</v>
      </c>
      <c r="BL1026" s="160"/>
      <c r="BM1026" s="150"/>
      <c r="BN1026" s="150"/>
      <c r="BO1026" s="150"/>
      <c r="BP1026" s="152"/>
      <c r="BQ1026" s="160"/>
      <c r="BR1026" s="152"/>
      <c r="BS1026" s="160"/>
    </row>
    <row r="1027" spans="1:71" x14ac:dyDescent="0.3">
      <c r="A1027" s="420">
        <f>DL!A1024</f>
        <v>925</v>
      </c>
      <c r="B1027" s="19" t="s">
        <v>1809</v>
      </c>
      <c r="C1027" s="149">
        <v>20</v>
      </c>
      <c r="D1027" s="149" t="str">
        <f>DL!C1024</f>
        <v>1 bottle of 500g</v>
      </c>
      <c r="E1027" s="150"/>
      <c r="F1027" s="463"/>
      <c r="G1027" s="150"/>
      <c r="H1027" s="150"/>
      <c r="I1027" s="150"/>
      <c r="J1027" s="150"/>
      <c r="K1027" s="168"/>
      <c r="L1027" s="466"/>
      <c r="M1027" s="150"/>
      <c r="N1027" s="150"/>
      <c r="O1027" s="150"/>
      <c r="P1027" s="150"/>
      <c r="Q1027" s="150">
        <v>19950</v>
      </c>
      <c r="R1027" s="150"/>
      <c r="S1027" s="150"/>
      <c r="T1027" s="150"/>
      <c r="U1027" s="150"/>
      <c r="V1027" s="150"/>
      <c r="W1027" s="168"/>
      <c r="X1027" s="150"/>
      <c r="Y1027" s="150"/>
      <c r="Z1027" s="455"/>
      <c r="AA1027" s="150"/>
      <c r="AB1027" s="150"/>
      <c r="AC1027" s="150"/>
      <c r="AD1027" s="150"/>
      <c r="AE1027" s="150"/>
      <c r="AF1027" s="495">
        <v>23400</v>
      </c>
      <c r="AG1027" s="150"/>
      <c r="AH1027" s="150"/>
      <c r="AI1027" s="150"/>
      <c r="AJ1027" s="150"/>
      <c r="AK1027" s="150"/>
      <c r="AL1027" s="150"/>
      <c r="AM1027" s="150"/>
      <c r="AN1027" s="150"/>
      <c r="AO1027" s="150"/>
      <c r="AP1027" s="150"/>
      <c r="AQ1027" s="150"/>
      <c r="AR1027" s="151"/>
      <c r="AS1027" s="456"/>
      <c r="AT1027" s="151"/>
      <c r="AU1027" s="150"/>
      <c r="AV1027" s="487"/>
      <c r="AW1027" s="150"/>
      <c r="AX1027" s="150"/>
      <c r="AY1027" s="150"/>
      <c r="AZ1027" s="150"/>
      <c r="BA1027" s="150"/>
      <c r="BB1027" s="150"/>
      <c r="BC1027" s="150"/>
      <c r="BD1027" s="150"/>
      <c r="BE1027" s="150"/>
      <c r="BF1027" s="150"/>
      <c r="BG1027" s="150"/>
      <c r="BH1027" s="150"/>
      <c r="BI1027" s="150"/>
      <c r="BJ1027" s="150"/>
      <c r="BK1027" s="467">
        <v>20000</v>
      </c>
      <c r="BL1027" s="160"/>
      <c r="BM1027" s="150"/>
      <c r="BN1027" s="150"/>
      <c r="BO1027" s="150"/>
      <c r="BP1027" s="152"/>
      <c r="BQ1027" s="160"/>
      <c r="BR1027" s="152"/>
      <c r="BS1027" s="160"/>
    </row>
    <row r="1028" spans="1:71" x14ac:dyDescent="0.3">
      <c r="A1028" s="420">
        <f>DL!A1025</f>
        <v>926</v>
      </c>
      <c r="B1028" s="19" t="s">
        <v>1810</v>
      </c>
      <c r="C1028" s="149">
        <f>DL!L1025</f>
        <v>12</v>
      </c>
      <c r="D1028" s="149" t="str">
        <f>DL!C1025</f>
        <v>1 bottle of 500g</v>
      </c>
      <c r="E1028" s="150"/>
      <c r="F1028" s="463"/>
      <c r="G1028" s="150"/>
      <c r="H1028" s="150"/>
      <c r="I1028" s="150"/>
      <c r="J1028" s="150"/>
      <c r="K1028" s="168"/>
      <c r="L1028" s="466"/>
      <c r="M1028" s="150"/>
      <c r="N1028" s="150"/>
      <c r="O1028" s="150"/>
      <c r="P1028" s="150"/>
      <c r="Q1028" s="150">
        <v>24605</v>
      </c>
      <c r="R1028" s="150"/>
      <c r="S1028" s="150"/>
      <c r="T1028" s="150"/>
      <c r="U1028" s="150"/>
      <c r="V1028" s="150"/>
      <c r="W1028" s="168"/>
      <c r="X1028" s="150"/>
      <c r="Y1028" s="150"/>
      <c r="Z1028" s="455"/>
      <c r="AA1028" s="150"/>
      <c r="AB1028" s="150"/>
      <c r="AC1028" s="150"/>
      <c r="AD1028" s="150"/>
      <c r="AE1028" s="150"/>
      <c r="AF1028" s="495">
        <v>27300</v>
      </c>
      <c r="AG1028" s="150"/>
      <c r="AH1028" s="150"/>
      <c r="AI1028" s="150"/>
      <c r="AJ1028" s="150"/>
      <c r="AK1028" s="150"/>
      <c r="AL1028" s="150"/>
      <c r="AM1028" s="150"/>
      <c r="AN1028" s="150"/>
      <c r="AO1028" s="150"/>
      <c r="AP1028" s="150"/>
      <c r="AQ1028" s="150"/>
      <c r="AR1028" s="151"/>
      <c r="AS1028" s="456"/>
      <c r="AT1028" s="151"/>
      <c r="AU1028" s="150"/>
      <c r="AV1028" s="487"/>
      <c r="AW1028" s="150"/>
      <c r="AX1028" s="150"/>
      <c r="AY1028" s="150"/>
      <c r="AZ1028" s="150"/>
      <c r="BA1028" s="150"/>
      <c r="BB1028" s="150"/>
      <c r="BC1028" s="150"/>
      <c r="BD1028" s="150"/>
      <c r="BE1028" s="150"/>
      <c r="BF1028" s="150"/>
      <c r="BG1028" s="150"/>
      <c r="BH1028" s="150"/>
      <c r="BI1028" s="150">
        <v>26875</v>
      </c>
      <c r="BJ1028" s="150"/>
      <c r="BK1028" s="467">
        <v>20000</v>
      </c>
      <c r="BL1028" s="160"/>
      <c r="BM1028" s="150"/>
      <c r="BN1028" s="150"/>
      <c r="BO1028" s="150"/>
      <c r="BP1028" s="152"/>
      <c r="BQ1028" s="160"/>
      <c r="BR1028" s="152"/>
      <c r="BS1028" s="160"/>
    </row>
    <row r="1029" spans="1:71" x14ac:dyDescent="0.3">
      <c r="A1029" s="420">
        <f>DL!A1026</f>
        <v>927</v>
      </c>
      <c r="B1029" s="19" t="s">
        <v>1811</v>
      </c>
      <c r="C1029" s="149">
        <f>DL!L1026</f>
        <v>12</v>
      </c>
      <c r="D1029" s="149" t="str">
        <f>DL!C1026</f>
        <v>1 bottle of 500g</v>
      </c>
      <c r="E1029" s="150"/>
      <c r="F1029" s="463"/>
      <c r="G1029" s="150"/>
      <c r="H1029" s="150"/>
      <c r="I1029" s="150"/>
      <c r="J1029" s="150"/>
      <c r="K1029" s="168"/>
      <c r="L1029" s="466"/>
      <c r="M1029" s="150"/>
      <c r="N1029" s="150"/>
      <c r="O1029" s="150"/>
      <c r="P1029" s="150"/>
      <c r="Q1029" s="150">
        <v>22610</v>
      </c>
      <c r="R1029" s="150"/>
      <c r="S1029" s="150"/>
      <c r="T1029" s="150"/>
      <c r="U1029" s="150"/>
      <c r="V1029" s="150"/>
      <c r="W1029" s="168"/>
      <c r="X1029" s="150"/>
      <c r="Y1029" s="150"/>
      <c r="Z1029" s="455"/>
      <c r="AA1029" s="150"/>
      <c r="AB1029" s="150"/>
      <c r="AC1029" s="150"/>
      <c r="AD1029" s="150"/>
      <c r="AE1029" s="150"/>
      <c r="AF1029" s="495">
        <v>32500</v>
      </c>
      <c r="AG1029" s="150"/>
      <c r="AH1029" s="150"/>
      <c r="AI1029" s="150"/>
      <c r="AJ1029" s="150"/>
      <c r="AK1029" s="150"/>
      <c r="AL1029" s="150"/>
      <c r="AM1029" s="150"/>
      <c r="AN1029" s="150"/>
      <c r="AO1029" s="150"/>
      <c r="AP1029" s="150"/>
      <c r="AQ1029" s="150"/>
      <c r="AR1029" s="151"/>
      <c r="AS1029" s="456"/>
      <c r="AT1029" s="151"/>
      <c r="AU1029" s="150"/>
      <c r="AV1029" s="487"/>
      <c r="AW1029" s="150"/>
      <c r="AX1029" s="150"/>
      <c r="AY1029" s="150"/>
      <c r="AZ1029" s="150"/>
      <c r="BA1029" s="150"/>
      <c r="BB1029" s="150"/>
      <c r="BC1029" s="150"/>
      <c r="BD1029" s="150"/>
      <c r="BE1029" s="150"/>
      <c r="BF1029" s="150"/>
      <c r="BG1029" s="150"/>
      <c r="BH1029" s="150"/>
      <c r="BI1029" s="150">
        <v>26250</v>
      </c>
      <c r="BJ1029" s="150"/>
      <c r="BK1029" s="467">
        <v>20000</v>
      </c>
      <c r="BL1029" s="160"/>
      <c r="BM1029" s="150"/>
      <c r="BN1029" s="150"/>
      <c r="BO1029" s="150"/>
      <c r="BP1029" s="152"/>
      <c r="BQ1029" s="160"/>
      <c r="BR1029" s="152"/>
      <c r="BS1029" s="160"/>
    </row>
    <row r="1030" spans="1:71" x14ac:dyDescent="0.3">
      <c r="A1030" s="420">
        <f>DL!A1027</f>
        <v>928</v>
      </c>
      <c r="B1030" s="19" t="s">
        <v>1812</v>
      </c>
      <c r="C1030" s="149">
        <f>DL!L1027</f>
        <v>4</v>
      </c>
      <c r="D1030" s="149" t="str">
        <f>DL!C1027</f>
        <v>1 bottle of 500g</v>
      </c>
      <c r="E1030" s="150"/>
      <c r="F1030" s="463"/>
      <c r="G1030" s="150"/>
      <c r="H1030" s="150"/>
      <c r="I1030" s="150"/>
      <c r="J1030" s="150"/>
      <c r="K1030" s="168"/>
      <c r="L1030" s="466"/>
      <c r="M1030" s="150">
        <v>41000</v>
      </c>
      <c r="N1030" s="150"/>
      <c r="O1030" s="150"/>
      <c r="P1030" s="150"/>
      <c r="Q1030" s="150">
        <v>13965</v>
      </c>
      <c r="R1030" s="150"/>
      <c r="S1030" s="150"/>
      <c r="T1030" s="150"/>
      <c r="U1030" s="150"/>
      <c r="V1030" s="150"/>
      <c r="W1030" s="168"/>
      <c r="X1030" s="150"/>
      <c r="Y1030" s="150"/>
      <c r="Z1030" s="455"/>
      <c r="AA1030" s="150"/>
      <c r="AB1030" s="150"/>
      <c r="AC1030" s="150"/>
      <c r="AD1030" s="150"/>
      <c r="AE1030" s="150"/>
      <c r="AF1030" s="494">
        <v>12480</v>
      </c>
      <c r="AG1030" s="150"/>
      <c r="AH1030" s="150"/>
      <c r="AI1030" s="150"/>
      <c r="AJ1030" s="150"/>
      <c r="AK1030" s="150"/>
      <c r="AL1030" s="150"/>
      <c r="AM1030" s="150"/>
      <c r="AN1030" s="150"/>
      <c r="AO1030" s="150"/>
      <c r="AP1030" s="150"/>
      <c r="AQ1030" s="150"/>
      <c r="AR1030" s="151"/>
      <c r="AS1030" s="456"/>
      <c r="AT1030" s="151"/>
      <c r="AU1030" s="150"/>
      <c r="AV1030" s="487"/>
      <c r="AW1030" s="150"/>
      <c r="AX1030" s="150"/>
      <c r="AY1030" s="150"/>
      <c r="AZ1030" s="150"/>
      <c r="BA1030" s="150"/>
      <c r="BB1030" s="150"/>
      <c r="BC1030" s="150"/>
      <c r="BD1030" s="150"/>
      <c r="BE1030" s="150"/>
      <c r="BF1030" s="150"/>
      <c r="BG1030" s="150"/>
      <c r="BH1030" s="150"/>
      <c r="BI1030" s="150">
        <v>14500</v>
      </c>
      <c r="BJ1030" s="150"/>
      <c r="BK1030" s="467">
        <v>18000</v>
      </c>
      <c r="BL1030" s="160"/>
      <c r="BM1030" s="150"/>
      <c r="BN1030" s="150"/>
      <c r="BO1030" s="150"/>
      <c r="BP1030" s="152"/>
      <c r="BQ1030" s="160"/>
      <c r="BR1030" s="152"/>
      <c r="BS1030" s="160"/>
    </row>
    <row r="1031" spans="1:71" x14ac:dyDescent="0.3">
      <c r="A1031" s="420">
        <f>DL!A1028</f>
        <v>929</v>
      </c>
      <c r="B1031" s="19" t="s">
        <v>1813</v>
      </c>
      <c r="C1031" s="149">
        <f>DL!L1028</f>
        <v>4</v>
      </c>
      <c r="D1031" s="149" t="str">
        <f>DL!C1028</f>
        <v>1 bottle of 1000</v>
      </c>
      <c r="E1031" s="150"/>
      <c r="F1031" s="463"/>
      <c r="G1031" s="150"/>
      <c r="H1031" s="150"/>
      <c r="I1031" s="150"/>
      <c r="J1031" s="150"/>
      <c r="K1031" s="168"/>
      <c r="L1031" s="466"/>
      <c r="M1031" s="150">
        <v>14500</v>
      </c>
      <c r="N1031" s="150"/>
      <c r="O1031" s="150"/>
      <c r="P1031" s="150"/>
      <c r="Q1031" s="150">
        <v>13965</v>
      </c>
      <c r="R1031" s="150"/>
      <c r="S1031" s="150"/>
      <c r="T1031" s="150"/>
      <c r="U1031" s="150"/>
      <c r="V1031" s="150"/>
      <c r="W1031" s="168"/>
      <c r="X1031" s="150"/>
      <c r="Y1031" s="150"/>
      <c r="Z1031" s="455"/>
      <c r="AA1031" s="150"/>
      <c r="AB1031" s="150"/>
      <c r="AC1031" s="150"/>
      <c r="AD1031" s="150"/>
      <c r="AE1031" s="150"/>
      <c r="AF1031" s="494">
        <v>0</v>
      </c>
      <c r="AG1031" s="150"/>
      <c r="AH1031" s="150"/>
      <c r="AI1031" s="150"/>
      <c r="AJ1031" s="150"/>
      <c r="AK1031" s="150"/>
      <c r="AL1031" s="150"/>
      <c r="AM1031" s="150"/>
      <c r="AN1031" s="150"/>
      <c r="AO1031" s="150"/>
      <c r="AP1031" s="150"/>
      <c r="AQ1031" s="150"/>
      <c r="AR1031" s="151"/>
      <c r="AS1031" s="456"/>
      <c r="AT1031" s="151"/>
      <c r="AU1031" s="150"/>
      <c r="AV1031" s="487"/>
      <c r="AW1031" s="150"/>
      <c r="AX1031" s="150"/>
      <c r="AY1031" s="150"/>
      <c r="AZ1031" s="150"/>
      <c r="BA1031" s="150"/>
      <c r="BB1031" s="150"/>
      <c r="BC1031" s="150"/>
      <c r="BD1031" s="150"/>
      <c r="BE1031" s="150"/>
      <c r="BF1031" s="150"/>
      <c r="BG1031" s="150"/>
      <c r="BH1031" s="150"/>
      <c r="BI1031" s="150">
        <v>13000</v>
      </c>
      <c r="BJ1031" s="150"/>
      <c r="BK1031" s="467">
        <v>40000</v>
      </c>
      <c r="BL1031" s="160"/>
      <c r="BM1031" s="150"/>
      <c r="BN1031" s="150"/>
      <c r="BO1031" s="150"/>
      <c r="BP1031" s="152"/>
      <c r="BQ1031" s="160"/>
      <c r="BR1031" s="152"/>
      <c r="BS1031" s="160"/>
    </row>
    <row r="1032" spans="1:71" x14ac:dyDescent="0.3">
      <c r="A1032" s="420">
        <f>DL!A1029</f>
        <v>930</v>
      </c>
      <c r="B1032" s="19" t="s">
        <v>1814</v>
      </c>
      <c r="C1032" s="149">
        <v>10</v>
      </c>
      <c r="D1032" s="149" t="str">
        <f>DL!C1029</f>
        <v>1 bottle of (2L)</v>
      </c>
      <c r="E1032" s="150"/>
      <c r="F1032" s="463"/>
      <c r="G1032" s="150"/>
      <c r="H1032" s="150"/>
      <c r="I1032" s="150"/>
      <c r="J1032" s="150"/>
      <c r="K1032" s="168"/>
      <c r="L1032" s="466"/>
      <c r="M1032" s="150">
        <v>3800</v>
      </c>
      <c r="N1032" s="150"/>
      <c r="O1032" s="150"/>
      <c r="P1032" s="150"/>
      <c r="Q1032" s="150">
        <v>13300</v>
      </c>
      <c r="R1032" s="150"/>
      <c r="S1032" s="150"/>
      <c r="T1032" s="150"/>
      <c r="U1032" s="150"/>
      <c r="V1032" s="150"/>
      <c r="W1032" s="168"/>
      <c r="X1032" s="150"/>
      <c r="Y1032" s="150"/>
      <c r="Z1032" s="455"/>
      <c r="AA1032" s="150"/>
      <c r="AB1032" s="150"/>
      <c r="AC1032" s="150"/>
      <c r="AD1032" s="150"/>
      <c r="AE1032" s="150"/>
      <c r="AF1032" s="494">
        <v>11050</v>
      </c>
      <c r="AG1032" s="150"/>
      <c r="AH1032" s="150"/>
      <c r="AI1032" s="150"/>
      <c r="AJ1032" s="150"/>
      <c r="AK1032" s="150"/>
      <c r="AL1032" s="150"/>
      <c r="AM1032" s="150"/>
      <c r="AN1032" s="150"/>
      <c r="AO1032" s="150"/>
      <c r="AP1032" s="150"/>
      <c r="AQ1032" s="150"/>
      <c r="AR1032" s="151"/>
      <c r="AS1032" s="456"/>
      <c r="AT1032" s="151"/>
      <c r="AU1032" s="150"/>
      <c r="AV1032" s="487"/>
      <c r="AW1032" s="150"/>
      <c r="AX1032" s="150"/>
      <c r="AY1032" s="150"/>
      <c r="AZ1032" s="150"/>
      <c r="BA1032" s="150"/>
      <c r="BB1032" s="150"/>
      <c r="BC1032" s="150"/>
      <c r="BD1032" s="150"/>
      <c r="BE1032" s="150"/>
      <c r="BF1032" s="150"/>
      <c r="BG1032" s="150"/>
      <c r="BH1032" s="150"/>
      <c r="BI1032" s="150">
        <v>3800</v>
      </c>
      <c r="BJ1032" s="150"/>
      <c r="BK1032" s="467">
        <v>30000</v>
      </c>
      <c r="BL1032" s="160"/>
      <c r="BM1032" s="150"/>
      <c r="BN1032" s="150"/>
      <c r="BO1032" s="150"/>
      <c r="BP1032" s="152"/>
      <c r="BQ1032" s="160"/>
      <c r="BR1032" s="152"/>
      <c r="BS1032" s="160"/>
    </row>
    <row r="1033" spans="1:71" x14ac:dyDescent="0.3">
      <c r="A1033" s="420">
        <f>DL!A1030</f>
        <v>931</v>
      </c>
      <c r="B1033" s="19" t="s">
        <v>1815</v>
      </c>
      <c r="C1033" s="149">
        <f>DL!L1030</f>
        <v>4</v>
      </c>
      <c r="D1033" s="149" t="str">
        <f>DL!C1030</f>
        <v>1 bottle of 500g</v>
      </c>
      <c r="E1033" s="150"/>
      <c r="F1033" s="463"/>
      <c r="G1033" s="150"/>
      <c r="H1033" s="150"/>
      <c r="I1033" s="150"/>
      <c r="J1033" s="150"/>
      <c r="K1033" s="168"/>
      <c r="L1033" s="466"/>
      <c r="M1033" s="150">
        <v>8400</v>
      </c>
      <c r="N1033" s="150"/>
      <c r="O1033" s="150"/>
      <c r="P1033" s="150"/>
      <c r="Q1033" s="150">
        <v>6650</v>
      </c>
      <c r="R1033" s="150"/>
      <c r="S1033" s="150"/>
      <c r="T1033" s="150"/>
      <c r="U1033" s="150"/>
      <c r="V1033" s="150"/>
      <c r="W1033" s="168"/>
      <c r="X1033" s="150"/>
      <c r="Y1033" s="150"/>
      <c r="Z1033" s="455"/>
      <c r="AA1033" s="150"/>
      <c r="AB1033" s="150"/>
      <c r="AC1033" s="150"/>
      <c r="AD1033" s="150"/>
      <c r="AE1033" s="150"/>
      <c r="AF1033" s="494"/>
      <c r="AG1033" s="150"/>
      <c r="AH1033" s="150"/>
      <c r="AI1033" s="150"/>
      <c r="AJ1033" s="150"/>
      <c r="AK1033" s="150"/>
      <c r="AL1033" s="150"/>
      <c r="AM1033" s="150"/>
      <c r="AN1033" s="150"/>
      <c r="AO1033" s="150"/>
      <c r="AP1033" s="150"/>
      <c r="AQ1033" s="150"/>
      <c r="AR1033" s="151"/>
      <c r="AS1033" s="456"/>
      <c r="AT1033" s="151"/>
      <c r="AU1033" s="150"/>
      <c r="AV1033" s="487"/>
      <c r="AW1033" s="150"/>
      <c r="AX1033" s="150"/>
      <c r="AY1033" s="150"/>
      <c r="AZ1033" s="150"/>
      <c r="BA1033" s="150"/>
      <c r="BB1033" s="150"/>
      <c r="BC1033" s="150"/>
      <c r="BD1033" s="150"/>
      <c r="BE1033" s="150"/>
      <c r="BF1033" s="150"/>
      <c r="BG1033" s="150"/>
      <c r="BH1033" s="150"/>
      <c r="BI1033" s="150">
        <v>4000</v>
      </c>
      <c r="BJ1033" s="150"/>
      <c r="BK1033" s="467">
        <v>6500</v>
      </c>
      <c r="BL1033" s="160"/>
      <c r="BM1033" s="150"/>
      <c r="BN1033" s="150"/>
      <c r="BO1033" s="150"/>
      <c r="BP1033" s="152"/>
      <c r="BQ1033" s="160"/>
      <c r="BR1033" s="152"/>
      <c r="BS1033" s="160"/>
    </row>
    <row r="1034" spans="1:71" x14ac:dyDescent="0.3">
      <c r="A1034" s="420">
        <f>DL!A1031</f>
        <v>932</v>
      </c>
      <c r="B1034" s="19" t="s">
        <v>1816</v>
      </c>
      <c r="C1034" s="149">
        <f>DL!L1031</f>
        <v>60</v>
      </c>
      <c r="D1034" s="149" t="str">
        <f>DL!C1031</f>
        <v>1 pack of 25kit</v>
      </c>
      <c r="E1034" s="150"/>
      <c r="F1034" s="463"/>
      <c r="G1034" s="150"/>
      <c r="H1034" s="150"/>
      <c r="I1034" s="150"/>
      <c r="J1034" s="150"/>
      <c r="K1034" s="168"/>
      <c r="L1034" s="466"/>
      <c r="M1034" s="150">
        <v>2400</v>
      </c>
      <c r="N1034" s="150"/>
      <c r="O1034" s="150"/>
      <c r="P1034" s="150"/>
      <c r="Q1034" s="150">
        <v>3724</v>
      </c>
      <c r="R1034" s="150"/>
      <c r="S1034" s="150"/>
      <c r="T1034" s="150"/>
      <c r="U1034" s="150"/>
      <c r="V1034" s="150"/>
      <c r="W1034" s="168"/>
      <c r="X1034" s="150"/>
      <c r="Y1034" s="150"/>
      <c r="Z1034" s="455"/>
      <c r="AA1034" s="150"/>
      <c r="AB1034" s="150"/>
      <c r="AC1034" s="150"/>
      <c r="AD1034" s="150"/>
      <c r="AE1034" s="150"/>
      <c r="AF1034" s="494">
        <v>9750</v>
      </c>
      <c r="AG1034" s="150"/>
      <c r="AH1034" s="150"/>
      <c r="AI1034" s="150"/>
      <c r="AJ1034" s="150"/>
      <c r="AK1034" s="150"/>
      <c r="AL1034" s="150"/>
      <c r="AM1034" s="150"/>
      <c r="AN1034" s="150"/>
      <c r="AO1034" s="150"/>
      <c r="AP1034" s="150"/>
      <c r="AQ1034" s="150"/>
      <c r="AR1034" s="151"/>
      <c r="AS1034" s="456"/>
      <c r="AT1034" s="151"/>
      <c r="AU1034" s="150"/>
      <c r="AV1034" s="487"/>
      <c r="AW1034" s="150"/>
      <c r="AX1034" s="150"/>
      <c r="AY1034" s="150"/>
      <c r="AZ1034" s="150"/>
      <c r="BA1034" s="150"/>
      <c r="BB1034" s="150"/>
      <c r="BC1034" s="150"/>
      <c r="BD1034" s="150"/>
      <c r="BE1034" s="150"/>
      <c r="BF1034" s="150"/>
      <c r="BG1034" s="150"/>
      <c r="BH1034" s="150"/>
      <c r="BI1034" s="150">
        <v>2500</v>
      </c>
      <c r="BJ1034" s="150"/>
      <c r="BK1034" s="467">
        <v>2500</v>
      </c>
      <c r="BL1034" s="160"/>
      <c r="BM1034" s="150"/>
      <c r="BN1034" s="150"/>
      <c r="BO1034" s="150"/>
      <c r="BP1034" s="152"/>
      <c r="BQ1034" s="160"/>
      <c r="BR1034" s="152"/>
      <c r="BS1034" s="160"/>
    </row>
    <row r="1035" spans="1:71" x14ac:dyDescent="0.3">
      <c r="A1035" s="420">
        <f>DL!A1032</f>
        <v>933</v>
      </c>
      <c r="B1035" s="19" t="s">
        <v>1817</v>
      </c>
      <c r="C1035" s="149">
        <f>DL!L1032</f>
        <v>12</v>
      </c>
      <c r="D1035" s="149" t="str">
        <f>DL!C1032</f>
        <v>1 bottle of 25g</v>
      </c>
      <c r="E1035" s="150"/>
      <c r="F1035" s="463"/>
      <c r="G1035" s="150"/>
      <c r="H1035" s="150"/>
      <c r="I1035" s="150"/>
      <c r="J1035" s="150"/>
      <c r="K1035" s="168"/>
      <c r="L1035" s="466"/>
      <c r="M1035" s="150">
        <v>4500</v>
      </c>
      <c r="N1035" s="150"/>
      <c r="O1035" s="150"/>
      <c r="P1035" s="150"/>
      <c r="Q1035" s="150">
        <v>4389</v>
      </c>
      <c r="R1035" s="150"/>
      <c r="S1035" s="150"/>
      <c r="T1035" s="150"/>
      <c r="U1035" s="150"/>
      <c r="V1035" s="150"/>
      <c r="W1035" s="168"/>
      <c r="X1035" s="150"/>
      <c r="Y1035" s="150"/>
      <c r="Z1035" s="455"/>
      <c r="AA1035" s="150"/>
      <c r="AB1035" s="150"/>
      <c r="AC1035" s="150"/>
      <c r="AD1035" s="150"/>
      <c r="AE1035" s="150"/>
      <c r="AF1035" s="494">
        <v>3900</v>
      </c>
      <c r="AG1035" s="150"/>
      <c r="AH1035" s="150"/>
      <c r="AI1035" s="150"/>
      <c r="AJ1035" s="150"/>
      <c r="AK1035" s="150"/>
      <c r="AL1035" s="150"/>
      <c r="AM1035" s="150"/>
      <c r="AN1035" s="150"/>
      <c r="AO1035" s="150"/>
      <c r="AP1035" s="150"/>
      <c r="AQ1035" s="150"/>
      <c r="AR1035" s="151"/>
      <c r="AS1035" s="456"/>
      <c r="AT1035" s="151"/>
      <c r="AU1035" s="150"/>
      <c r="AV1035" s="487"/>
      <c r="AW1035" s="150"/>
      <c r="AX1035" s="150"/>
      <c r="AY1035" s="150"/>
      <c r="AZ1035" s="150"/>
      <c r="BA1035" s="150"/>
      <c r="BB1035" s="150"/>
      <c r="BC1035" s="150"/>
      <c r="BD1035" s="150"/>
      <c r="BE1035" s="150"/>
      <c r="BF1035" s="150"/>
      <c r="BG1035" s="150"/>
      <c r="BH1035" s="150"/>
      <c r="BI1035" s="150"/>
      <c r="BJ1035" s="150"/>
      <c r="BK1035" s="467">
        <v>3500</v>
      </c>
      <c r="BL1035" s="160"/>
      <c r="BM1035" s="150"/>
      <c r="BN1035" s="150"/>
      <c r="BO1035" s="150"/>
      <c r="BP1035" s="152"/>
      <c r="BQ1035" s="160"/>
      <c r="BR1035" s="152"/>
      <c r="BS1035" s="160"/>
    </row>
    <row r="1036" spans="1:71" x14ac:dyDescent="0.3">
      <c r="A1036" s="420">
        <f>DL!A1033</f>
        <v>934</v>
      </c>
      <c r="B1036" s="19" t="s">
        <v>1818</v>
      </c>
      <c r="C1036" s="149">
        <f>DL!L1033</f>
        <v>12</v>
      </c>
      <c r="D1036" s="149" t="str">
        <f>DL!C1033</f>
        <v>1 bottle of 25g</v>
      </c>
      <c r="E1036" s="150"/>
      <c r="F1036" s="463"/>
      <c r="G1036" s="150"/>
      <c r="H1036" s="150"/>
      <c r="I1036" s="150"/>
      <c r="J1036" s="150"/>
      <c r="K1036" s="168"/>
      <c r="L1036" s="466"/>
      <c r="M1036" s="150">
        <v>3800</v>
      </c>
      <c r="N1036" s="150"/>
      <c r="O1036" s="150"/>
      <c r="P1036" s="150"/>
      <c r="Q1036" s="150">
        <v>3724</v>
      </c>
      <c r="R1036" s="150"/>
      <c r="S1036" s="150"/>
      <c r="T1036" s="150"/>
      <c r="U1036" s="150"/>
      <c r="V1036" s="150"/>
      <c r="W1036" s="168"/>
      <c r="X1036" s="150"/>
      <c r="Y1036" s="150"/>
      <c r="Z1036" s="455"/>
      <c r="AA1036" s="150"/>
      <c r="AB1036" s="150"/>
      <c r="AC1036" s="150"/>
      <c r="AD1036" s="150"/>
      <c r="AE1036" s="150"/>
      <c r="AF1036" s="494">
        <v>3250</v>
      </c>
      <c r="AG1036" s="150"/>
      <c r="AH1036" s="150"/>
      <c r="AI1036" s="150"/>
      <c r="AJ1036" s="150"/>
      <c r="AK1036" s="150"/>
      <c r="AL1036" s="150"/>
      <c r="AM1036" s="150"/>
      <c r="AN1036" s="150"/>
      <c r="AO1036" s="150"/>
      <c r="AP1036" s="150"/>
      <c r="AQ1036" s="150"/>
      <c r="AR1036" s="151"/>
      <c r="AS1036" s="456"/>
      <c r="AT1036" s="151"/>
      <c r="AU1036" s="150"/>
      <c r="AV1036" s="487"/>
      <c r="AW1036" s="150"/>
      <c r="AX1036" s="150"/>
      <c r="AY1036" s="150"/>
      <c r="AZ1036" s="150"/>
      <c r="BA1036" s="150"/>
      <c r="BB1036" s="150"/>
      <c r="BC1036" s="150"/>
      <c r="BD1036" s="150"/>
      <c r="BE1036" s="150"/>
      <c r="BF1036" s="150"/>
      <c r="BG1036" s="150"/>
      <c r="BH1036" s="150"/>
      <c r="BI1036" s="150">
        <v>2400</v>
      </c>
      <c r="BJ1036" s="150"/>
      <c r="BK1036" s="467">
        <v>8500</v>
      </c>
      <c r="BL1036" s="160"/>
      <c r="BM1036" s="150"/>
      <c r="BN1036" s="150"/>
      <c r="BO1036" s="150"/>
      <c r="BP1036" s="152"/>
      <c r="BQ1036" s="160"/>
      <c r="BR1036" s="152"/>
      <c r="BS1036" s="160"/>
    </row>
    <row r="1037" spans="1:71" x14ac:dyDescent="0.3">
      <c r="A1037" s="420">
        <f>DL!A1034</f>
        <v>935</v>
      </c>
      <c r="B1037" s="19" t="s">
        <v>1819</v>
      </c>
      <c r="C1037" s="149">
        <v>12</v>
      </c>
      <c r="D1037" s="149" t="str">
        <f>DL!C1034</f>
        <v>1 bottle of 2ml</v>
      </c>
      <c r="E1037" s="150"/>
      <c r="F1037" s="463"/>
      <c r="G1037" s="150"/>
      <c r="H1037" s="150"/>
      <c r="I1037" s="150"/>
      <c r="J1037" s="150"/>
      <c r="K1037" s="168"/>
      <c r="L1037" s="466"/>
      <c r="M1037" s="150">
        <v>5000</v>
      </c>
      <c r="N1037" s="150"/>
      <c r="O1037" s="150"/>
      <c r="P1037" s="150"/>
      <c r="Q1037" s="150">
        <v>2660</v>
      </c>
      <c r="R1037" s="150"/>
      <c r="S1037" s="150"/>
      <c r="T1037" s="150"/>
      <c r="U1037" s="150"/>
      <c r="V1037" s="150"/>
      <c r="W1037" s="168"/>
      <c r="X1037" s="150"/>
      <c r="Y1037" s="150"/>
      <c r="Z1037" s="455"/>
      <c r="AA1037" s="150"/>
      <c r="AB1037" s="150"/>
      <c r="AC1037" s="150"/>
      <c r="AD1037" s="150"/>
      <c r="AE1037" s="150"/>
      <c r="AF1037" s="495">
        <v>3250</v>
      </c>
      <c r="AG1037" s="150"/>
      <c r="AH1037" s="150"/>
      <c r="AI1037" s="150"/>
      <c r="AJ1037" s="150"/>
      <c r="AK1037" s="150"/>
      <c r="AL1037" s="150"/>
      <c r="AM1037" s="150"/>
      <c r="AN1037" s="150"/>
      <c r="AO1037" s="150"/>
      <c r="AP1037" s="150"/>
      <c r="AQ1037" s="150"/>
      <c r="AR1037" s="151"/>
      <c r="AS1037" s="456"/>
      <c r="AT1037" s="151"/>
      <c r="AU1037" s="150"/>
      <c r="AV1037" s="487"/>
      <c r="AW1037" s="150"/>
      <c r="AX1037" s="150"/>
      <c r="AY1037" s="150"/>
      <c r="AZ1037" s="150"/>
      <c r="BA1037" s="150"/>
      <c r="BB1037" s="150"/>
      <c r="BC1037" s="150"/>
      <c r="BD1037" s="150"/>
      <c r="BE1037" s="150"/>
      <c r="BF1037" s="150"/>
      <c r="BG1037" s="150"/>
      <c r="BH1037" s="150"/>
      <c r="BI1037" s="150"/>
      <c r="BJ1037" s="150"/>
      <c r="BK1037" s="467">
        <v>3500</v>
      </c>
      <c r="BL1037" s="160"/>
      <c r="BM1037" s="150"/>
      <c r="BN1037" s="150"/>
      <c r="BO1037" s="150"/>
      <c r="BP1037" s="152"/>
      <c r="BQ1037" s="160"/>
      <c r="BR1037" s="152"/>
      <c r="BS1037" s="160"/>
    </row>
    <row r="1038" spans="1:71" x14ac:dyDescent="0.3">
      <c r="A1038" s="420">
        <f>DL!A1035</f>
        <v>936</v>
      </c>
      <c r="B1038" s="19" t="s">
        <v>1820</v>
      </c>
      <c r="C1038" s="149">
        <f>DL!L1035</f>
        <v>20</v>
      </c>
      <c r="D1038" s="149" t="str">
        <f>DL!C1035</f>
        <v>1 pack of 1000pieces</v>
      </c>
      <c r="E1038" s="150"/>
      <c r="F1038" s="463"/>
      <c r="G1038" s="150"/>
      <c r="H1038" s="150"/>
      <c r="I1038" s="150"/>
      <c r="J1038" s="150"/>
      <c r="K1038" s="168"/>
      <c r="L1038" s="466"/>
      <c r="M1038" s="150">
        <v>6250</v>
      </c>
      <c r="N1038" s="150"/>
      <c r="O1038" s="150"/>
      <c r="P1038" s="150"/>
      <c r="Q1038" s="150">
        <v>3990</v>
      </c>
      <c r="R1038" s="150"/>
      <c r="S1038" s="150"/>
      <c r="T1038" s="150"/>
      <c r="U1038" s="150"/>
      <c r="V1038" s="150"/>
      <c r="W1038" s="168"/>
      <c r="X1038" s="150"/>
      <c r="Y1038" s="150"/>
      <c r="Z1038" s="455"/>
      <c r="AA1038" s="150"/>
      <c r="AB1038" s="150"/>
      <c r="AC1038" s="150">
        <v>3300</v>
      </c>
      <c r="AD1038" s="150"/>
      <c r="AE1038" s="150"/>
      <c r="AF1038" s="494">
        <v>5850</v>
      </c>
      <c r="AG1038" s="150"/>
      <c r="AH1038" s="150"/>
      <c r="AI1038" s="150"/>
      <c r="AJ1038" s="150"/>
      <c r="AK1038" s="150"/>
      <c r="AL1038" s="150"/>
      <c r="AM1038" s="150"/>
      <c r="AN1038" s="150"/>
      <c r="AO1038" s="150"/>
      <c r="AP1038" s="150"/>
      <c r="AQ1038" s="150"/>
      <c r="AR1038" s="151"/>
      <c r="AS1038" s="456"/>
      <c r="AT1038" s="151"/>
      <c r="AU1038" s="150"/>
      <c r="AV1038" s="487"/>
      <c r="AW1038" s="150"/>
      <c r="AX1038" s="150"/>
      <c r="AY1038" s="150"/>
      <c r="AZ1038" s="150"/>
      <c r="BA1038" s="150"/>
      <c r="BB1038" s="150"/>
      <c r="BC1038" s="150"/>
      <c r="BD1038" s="150"/>
      <c r="BE1038" s="150"/>
      <c r="BF1038" s="150"/>
      <c r="BG1038" s="150"/>
      <c r="BH1038" s="150"/>
      <c r="BI1038" s="150"/>
      <c r="BJ1038" s="150"/>
      <c r="BK1038" s="467">
        <v>5000</v>
      </c>
      <c r="BL1038" s="160"/>
      <c r="BM1038" s="150"/>
      <c r="BN1038" s="150"/>
      <c r="BO1038" s="150"/>
      <c r="BP1038" s="152"/>
      <c r="BQ1038" s="160"/>
      <c r="BR1038" s="152"/>
      <c r="BS1038" s="160"/>
    </row>
    <row r="1039" spans="1:71" x14ac:dyDescent="0.3">
      <c r="A1039" s="420">
        <f>DL!A1036</f>
        <v>937</v>
      </c>
      <c r="B1039" s="19" t="s">
        <v>1821</v>
      </c>
      <c r="C1039" s="149">
        <f>DL!L1036</f>
        <v>40</v>
      </c>
      <c r="D1039" s="149" t="str">
        <f>DL!C1036</f>
        <v>100 x 10 pieces</v>
      </c>
      <c r="E1039" s="150"/>
      <c r="F1039" s="463"/>
      <c r="G1039" s="150"/>
      <c r="H1039" s="150"/>
      <c r="I1039" s="150"/>
      <c r="J1039" s="150"/>
      <c r="K1039" s="168"/>
      <c r="L1039" s="466"/>
      <c r="M1039" s="150">
        <v>7200</v>
      </c>
      <c r="N1039" s="150"/>
      <c r="O1039" s="150"/>
      <c r="P1039" s="150"/>
      <c r="Q1039" s="150">
        <v>7049</v>
      </c>
      <c r="R1039" s="150"/>
      <c r="S1039" s="150"/>
      <c r="T1039" s="150"/>
      <c r="U1039" s="150"/>
      <c r="V1039" s="150"/>
      <c r="W1039" s="168"/>
      <c r="X1039" s="150"/>
      <c r="Y1039" s="150"/>
      <c r="Z1039" s="455"/>
      <c r="AA1039" s="150"/>
      <c r="AB1039" s="150"/>
      <c r="AC1039" s="150"/>
      <c r="AD1039" s="150"/>
      <c r="AE1039" s="150"/>
      <c r="AF1039" s="494">
        <v>11050</v>
      </c>
      <c r="AG1039" s="150"/>
      <c r="AH1039" s="150"/>
      <c r="AI1039" s="150"/>
      <c r="AJ1039" s="150"/>
      <c r="AK1039" s="150"/>
      <c r="AL1039" s="150"/>
      <c r="AM1039" s="150"/>
      <c r="AN1039" s="150"/>
      <c r="AO1039" s="150"/>
      <c r="AP1039" s="150"/>
      <c r="AQ1039" s="150"/>
      <c r="AR1039" s="151"/>
      <c r="AS1039" s="456"/>
      <c r="AT1039" s="151"/>
      <c r="AU1039" s="150"/>
      <c r="AV1039" s="487"/>
      <c r="AW1039" s="150"/>
      <c r="AX1039" s="150"/>
      <c r="AY1039" s="150"/>
      <c r="AZ1039" s="150"/>
      <c r="BA1039" s="150"/>
      <c r="BB1039" s="150"/>
      <c r="BC1039" s="150"/>
      <c r="BD1039" s="150"/>
      <c r="BE1039" s="150"/>
      <c r="BF1039" s="150"/>
      <c r="BG1039" s="150"/>
      <c r="BH1039" s="150"/>
      <c r="BI1039" s="150"/>
      <c r="BJ1039" s="150"/>
      <c r="BK1039" s="467">
        <v>9500</v>
      </c>
      <c r="BL1039" s="160"/>
      <c r="BM1039" s="150"/>
      <c r="BN1039" s="150"/>
      <c r="BO1039" s="150"/>
      <c r="BP1039" s="152"/>
      <c r="BQ1039" s="160"/>
      <c r="BR1039" s="152"/>
      <c r="BS1039" s="160"/>
    </row>
    <row r="1040" spans="1:71" x14ac:dyDescent="0.3">
      <c r="A1040" s="420">
        <f>DL!A1037</f>
        <v>938</v>
      </c>
      <c r="B1040" s="19" t="s">
        <v>1822</v>
      </c>
      <c r="C1040" s="149">
        <f>DL!L1037</f>
        <v>40</v>
      </c>
      <c r="D1040" s="149" t="str">
        <f>DL!C1037</f>
        <v>8pack x 50 pieces</v>
      </c>
      <c r="E1040" s="150"/>
      <c r="F1040" s="463"/>
      <c r="G1040" s="150"/>
      <c r="H1040" s="150"/>
      <c r="I1040" s="150"/>
      <c r="J1040" s="150"/>
      <c r="K1040" s="168"/>
      <c r="L1040" s="466"/>
      <c r="M1040" s="150">
        <v>18000</v>
      </c>
      <c r="N1040" s="150"/>
      <c r="O1040" s="150"/>
      <c r="P1040" s="150"/>
      <c r="Q1040" s="150">
        <v>8246</v>
      </c>
      <c r="R1040" s="150"/>
      <c r="S1040" s="150"/>
      <c r="T1040" s="150"/>
      <c r="U1040" s="150"/>
      <c r="V1040" s="150"/>
      <c r="W1040" s="168"/>
      <c r="X1040" s="150"/>
      <c r="Y1040" s="150"/>
      <c r="Z1040" s="455"/>
      <c r="AA1040" s="150"/>
      <c r="AB1040" s="150"/>
      <c r="AC1040" s="150">
        <v>13240</v>
      </c>
      <c r="AD1040" s="150"/>
      <c r="AE1040" s="150"/>
      <c r="AF1040" s="495">
        <v>24700</v>
      </c>
      <c r="AG1040" s="150"/>
      <c r="AH1040" s="150"/>
      <c r="AI1040" s="150"/>
      <c r="AJ1040" s="150"/>
      <c r="AK1040" s="150"/>
      <c r="AL1040" s="150"/>
      <c r="AM1040" s="150"/>
      <c r="AN1040" s="150"/>
      <c r="AO1040" s="150"/>
      <c r="AP1040" s="150"/>
      <c r="AQ1040" s="150"/>
      <c r="AR1040" s="151"/>
      <c r="AS1040" s="456"/>
      <c r="AT1040" s="151"/>
      <c r="AU1040" s="150"/>
      <c r="AV1040" s="487"/>
      <c r="AW1040" s="150"/>
      <c r="AX1040" s="150"/>
      <c r="AY1040" s="150"/>
      <c r="AZ1040" s="150"/>
      <c r="BA1040" s="150"/>
      <c r="BB1040" s="150"/>
      <c r="BC1040" s="150"/>
      <c r="BD1040" s="150"/>
      <c r="BE1040" s="150"/>
      <c r="BF1040" s="150"/>
      <c r="BG1040" s="150"/>
      <c r="BH1040" s="150"/>
      <c r="BI1040" s="150">
        <v>20500</v>
      </c>
      <c r="BJ1040" s="150"/>
      <c r="BK1040" s="467">
        <v>20000</v>
      </c>
      <c r="BL1040" s="160"/>
      <c r="BM1040" s="150"/>
      <c r="BN1040" s="150"/>
      <c r="BO1040" s="150"/>
      <c r="BP1040" s="152"/>
      <c r="BQ1040" s="160"/>
      <c r="BR1040" s="152"/>
      <c r="BS1040" s="160"/>
    </row>
    <row r="1041" spans="1:71" x14ac:dyDescent="0.3">
      <c r="A1041" s="420">
        <f>DL!A1038</f>
        <v>939</v>
      </c>
      <c r="B1041" s="19" t="s">
        <v>1634</v>
      </c>
      <c r="C1041" s="149">
        <v>20</v>
      </c>
      <c r="D1041" s="149" t="str">
        <f>DL!C1038</f>
        <v>1 pack of 100</v>
      </c>
      <c r="E1041" s="150"/>
      <c r="F1041" s="463"/>
      <c r="G1041" s="150"/>
      <c r="H1041" s="150"/>
      <c r="I1041" s="150"/>
      <c r="J1041" s="150"/>
      <c r="K1041" s="168"/>
      <c r="L1041" s="466"/>
      <c r="M1041" s="150">
        <v>18000</v>
      </c>
      <c r="N1041" s="150"/>
      <c r="O1041" s="150"/>
      <c r="P1041" s="150"/>
      <c r="Q1041" s="150">
        <v>21950</v>
      </c>
      <c r="R1041" s="150"/>
      <c r="S1041" s="150"/>
      <c r="T1041" s="150"/>
      <c r="U1041" s="150"/>
      <c r="V1041" s="150"/>
      <c r="W1041" s="168"/>
      <c r="X1041" s="150"/>
      <c r="Y1041" s="150"/>
      <c r="Z1041" s="455"/>
      <c r="AA1041" s="150"/>
      <c r="AB1041" s="150"/>
      <c r="AC1041" s="150"/>
      <c r="AD1041" s="150"/>
      <c r="AE1041" s="150"/>
      <c r="AF1041" s="495">
        <v>23400</v>
      </c>
      <c r="AG1041" s="150"/>
      <c r="AH1041" s="150"/>
      <c r="AI1041" s="150"/>
      <c r="AJ1041" s="150"/>
      <c r="AK1041" s="150"/>
      <c r="AL1041" s="150"/>
      <c r="AM1041" s="150"/>
      <c r="AN1041" s="150"/>
      <c r="AO1041" s="150"/>
      <c r="AP1041" s="150"/>
      <c r="AQ1041" s="150"/>
      <c r="AR1041" s="151"/>
      <c r="AS1041" s="456"/>
      <c r="AT1041" s="151"/>
      <c r="AU1041" s="150"/>
      <c r="AV1041" s="487"/>
      <c r="AW1041" s="150"/>
      <c r="AX1041" s="150"/>
      <c r="AY1041" s="150"/>
      <c r="AZ1041" s="150"/>
      <c r="BA1041" s="150"/>
      <c r="BB1041" s="150"/>
      <c r="BC1041" s="150"/>
      <c r="BD1041" s="150"/>
      <c r="BE1041" s="150"/>
      <c r="BF1041" s="150"/>
      <c r="BG1041" s="150"/>
      <c r="BH1041" s="150"/>
      <c r="BI1041" s="150">
        <v>20000</v>
      </c>
      <c r="BJ1041" s="150"/>
      <c r="BK1041" s="467">
        <v>20000</v>
      </c>
      <c r="BL1041" s="160"/>
      <c r="BM1041" s="150"/>
      <c r="BN1041" s="150"/>
      <c r="BO1041" s="150"/>
      <c r="BP1041" s="152"/>
      <c r="BQ1041" s="160"/>
      <c r="BR1041" s="152"/>
      <c r="BS1041" s="160"/>
    </row>
    <row r="1042" spans="1:71" x14ac:dyDescent="0.3">
      <c r="A1042" s="420">
        <f>DL!A1039</f>
        <v>940</v>
      </c>
      <c r="B1042" s="19" t="s">
        <v>1823</v>
      </c>
      <c r="C1042" s="149">
        <f>DL!L1039</f>
        <v>4</v>
      </c>
      <c r="D1042" s="149" t="str">
        <f>DL!C1039</f>
        <v>1 cartoon (144)pieces</v>
      </c>
      <c r="E1042" s="150"/>
      <c r="F1042" s="463"/>
      <c r="G1042" s="150"/>
      <c r="H1042" s="150"/>
      <c r="I1042" s="150"/>
      <c r="J1042" s="150"/>
      <c r="K1042" s="168"/>
      <c r="L1042" s="466"/>
      <c r="M1042" s="150">
        <v>27500</v>
      </c>
      <c r="N1042" s="150"/>
      <c r="O1042" s="150"/>
      <c r="P1042" s="150"/>
      <c r="Q1042" s="150">
        <v>19152</v>
      </c>
      <c r="R1042" s="150"/>
      <c r="S1042" s="150"/>
      <c r="T1042" s="150"/>
      <c r="U1042" s="150"/>
      <c r="V1042" s="150"/>
      <c r="W1042" s="168"/>
      <c r="X1042" s="150"/>
      <c r="Y1042" s="150"/>
      <c r="Z1042" s="455"/>
      <c r="AA1042" s="150"/>
      <c r="AB1042" s="150"/>
      <c r="AC1042" s="150">
        <v>23760</v>
      </c>
      <c r="AD1042" s="150"/>
      <c r="AE1042" s="150"/>
      <c r="AF1042" s="495">
        <v>46800</v>
      </c>
      <c r="AG1042" s="150"/>
      <c r="AH1042" s="150"/>
      <c r="AI1042" s="150"/>
      <c r="AJ1042" s="150"/>
      <c r="AK1042" s="150"/>
      <c r="AL1042" s="150"/>
      <c r="AM1042" s="150"/>
      <c r="AN1042" s="150"/>
      <c r="AO1042" s="150"/>
      <c r="AP1042" s="150"/>
      <c r="AQ1042" s="150"/>
      <c r="AR1042" s="151"/>
      <c r="AS1042" s="456"/>
      <c r="AT1042" s="151"/>
      <c r="AU1042" s="150"/>
      <c r="AV1042" s="487"/>
      <c r="AW1042" s="150"/>
      <c r="AX1042" s="150"/>
      <c r="AY1042" s="150"/>
      <c r="AZ1042" s="150"/>
      <c r="BA1042" s="150"/>
      <c r="BB1042" s="150"/>
      <c r="BC1042" s="150"/>
      <c r="BD1042" s="150"/>
      <c r="BE1042" s="150"/>
      <c r="BF1042" s="150"/>
      <c r="BG1042" s="150"/>
      <c r="BH1042" s="150"/>
      <c r="BI1042" s="150"/>
      <c r="BJ1042" s="150"/>
      <c r="BK1042" s="467">
        <v>32400</v>
      </c>
      <c r="BL1042" s="160"/>
      <c r="BM1042" s="150"/>
      <c r="BN1042" s="150"/>
      <c r="BO1042" s="150"/>
      <c r="BP1042" s="152"/>
      <c r="BQ1042" s="160"/>
      <c r="BR1042" s="152"/>
      <c r="BS1042" s="160"/>
    </row>
    <row r="1043" spans="1:71" x14ac:dyDescent="0.3">
      <c r="A1043" s="420">
        <f>DL!A1040</f>
        <v>941</v>
      </c>
      <c r="B1043" s="19" t="s">
        <v>1824</v>
      </c>
      <c r="C1043" s="149">
        <f>DL!L1040</f>
        <v>40</v>
      </c>
      <c r="D1043" s="149" t="str">
        <f>DL!C1040</f>
        <v>1 pack (20 roll)</v>
      </c>
      <c r="E1043" s="150"/>
      <c r="F1043" s="463"/>
      <c r="G1043" s="150"/>
      <c r="H1043" s="150"/>
      <c r="I1043" s="150"/>
      <c r="J1043" s="150"/>
      <c r="K1043" s="168"/>
      <c r="L1043" s="466"/>
      <c r="M1043" s="150">
        <v>8500</v>
      </c>
      <c r="N1043" s="150"/>
      <c r="O1043" s="150"/>
      <c r="P1043" s="150"/>
      <c r="Q1043" s="150">
        <v>7710</v>
      </c>
      <c r="R1043" s="150"/>
      <c r="S1043" s="150"/>
      <c r="T1043" s="150"/>
      <c r="U1043" s="150"/>
      <c r="V1043" s="150"/>
      <c r="W1043" s="168"/>
      <c r="X1043" s="150"/>
      <c r="Y1043" s="150"/>
      <c r="Z1043" s="455"/>
      <c r="AA1043" s="150"/>
      <c r="AB1043" s="150"/>
      <c r="AC1043" s="150"/>
      <c r="AD1043" s="150"/>
      <c r="AE1043" s="150"/>
      <c r="AF1043" s="494">
        <v>9100</v>
      </c>
      <c r="AG1043" s="150"/>
      <c r="AH1043" s="150"/>
      <c r="AI1043" s="150"/>
      <c r="AJ1043" s="150"/>
      <c r="AK1043" s="150"/>
      <c r="AL1043" s="150"/>
      <c r="AM1043" s="150"/>
      <c r="AN1043" s="150"/>
      <c r="AO1043" s="150"/>
      <c r="AP1043" s="150"/>
      <c r="AQ1043" s="150"/>
      <c r="AR1043" s="151"/>
      <c r="AS1043" s="456"/>
      <c r="AT1043" s="151"/>
      <c r="AU1043" s="150"/>
      <c r="AV1043" s="487"/>
      <c r="AW1043" s="150"/>
      <c r="AX1043" s="150"/>
      <c r="AY1043" s="150"/>
      <c r="AZ1043" s="150"/>
      <c r="BA1043" s="150"/>
      <c r="BB1043" s="150"/>
      <c r="BC1043" s="150"/>
      <c r="BD1043" s="150"/>
      <c r="BE1043" s="150"/>
      <c r="BF1043" s="150"/>
      <c r="BG1043" s="150"/>
      <c r="BH1043" s="150"/>
      <c r="BI1043" s="150">
        <v>7500</v>
      </c>
      <c r="BJ1043" s="150"/>
      <c r="BK1043" s="467">
        <v>17500</v>
      </c>
      <c r="BL1043" s="160"/>
      <c r="BM1043" s="150"/>
      <c r="BN1043" s="150"/>
      <c r="BO1043" s="150"/>
      <c r="BP1043" s="152"/>
      <c r="BQ1043" s="160"/>
      <c r="BR1043" s="152"/>
      <c r="BS1043" s="160"/>
    </row>
    <row r="1044" spans="1:71" x14ac:dyDescent="0.3">
      <c r="A1044" s="420">
        <f>DL!A1041</f>
        <v>942</v>
      </c>
      <c r="B1044" s="19" t="s">
        <v>1825</v>
      </c>
      <c r="C1044" s="149">
        <f>DL!L1041</f>
        <v>10</v>
      </c>
      <c r="D1044" s="149" t="str">
        <f>DL!C1041</f>
        <v>1 pack of 72pieces</v>
      </c>
      <c r="E1044" s="150"/>
      <c r="F1044" s="463"/>
      <c r="G1044" s="150"/>
      <c r="H1044" s="150"/>
      <c r="I1044" s="150"/>
      <c r="J1044" s="150"/>
      <c r="K1044" s="168"/>
      <c r="L1044" s="466"/>
      <c r="M1044" s="150">
        <v>380</v>
      </c>
      <c r="N1044" s="150"/>
      <c r="O1044" s="150"/>
      <c r="P1044" s="150"/>
      <c r="Q1044" s="150">
        <v>532</v>
      </c>
      <c r="R1044" s="150"/>
      <c r="S1044" s="150"/>
      <c r="T1044" s="150"/>
      <c r="U1044" s="150"/>
      <c r="V1044" s="150"/>
      <c r="W1044" s="168"/>
      <c r="X1044" s="150"/>
      <c r="Y1044" s="150"/>
      <c r="Z1044" s="455"/>
      <c r="AA1044" s="150"/>
      <c r="AB1044" s="150"/>
      <c r="AC1044" s="150"/>
      <c r="AD1044" s="150"/>
      <c r="AE1044" s="150"/>
      <c r="AF1044" s="494">
        <v>390</v>
      </c>
      <c r="AG1044" s="150"/>
      <c r="AH1044" s="150"/>
      <c r="AI1044" s="150"/>
      <c r="AJ1044" s="150"/>
      <c r="AK1044" s="150"/>
      <c r="AL1044" s="150"/>
      <c r="AM1044" s="150"/>
      <c r="AN1044" s="150"/>
      <c r="AO1044" s="150"/>
      <c r="AP1044" s="150"/>
      <c r="AQ1044" s="150"/>
      <c r="AR1044" s="151"/>
      <c r="AS1044" s="456"/>
      <c r="AT1044" s="151"/>
      <c r="AU1044" s="150"/>
      <c r="AV1044" s="487"/>
      <c r="AW1044" s="150"/>
      <c r="AX1044" s="150"/>
      <c r="AY1044" s="150"/>
      <c r="AZ1044" s="150"/>
      <c r="BA1044" s="150"/>
      <c r="BB1044" s="150"/>
      <c r="BC1044" s="150"/>
      <c r="BD1044" s="150"/>
      <c r="BE1044" s="150"/>
      <c r="BF1044" s="150"/>
      <c r="BG1044" s="150"/>
      <c r="BH1044" s="150"/>
      <c r="BI1044" s="150">
        <v>400</v>
      </c>
      <c r="BJ1044" s="150"/>
      <c r="BK1044" s="466">
        <v>500</v>
      </c>
      <c r="BL1044" s="160"/>
      <c r="BM1044" s="150"/>
      <c r="BN1044" s="150"/>
      <c r="BO1044" s="150"/>
      <c r="BP1044" s="152"/>
      <c r="BQ1044" s="160"/>
      <c r="BR1044" s="152"/>
      <c r="BS1044" s="160"/>
    </row>
    <row r="1045" spans="1:71" x14ac:dyDescent="0.3">
      <c r="A1045" s="420">
        <f>DL!A1042</f>
        <v>943</v>
      </c>
      <c r="B1045" s="19" t="s">
        <v>1826</v>
      </c>
      <c r="C1045" s="149">
        <f>DL!L1042</f>
        <v>5</v>
      </c>
      <c r="D1045" s="149" t="str">
        <f>DL!C1042</f>
        <v>1 pack of 72pieces</v>
      </c>
      <c r="E1045" s="150"/>
      <c r="F1045" s="463"/>
      <c r="G1045" s="150"/>
      <c r="H1045" s="150"/>
      <c r="I1045" s="150"/>
      <c r="J1045" s="150"/>
      <c r="K1045" s="168"/>
      <c r="L1045" s="466"/>
      <c r="M1045" s="150">
        <f>40*380</f>
        <v>15200</v>
      </c>
      <c r="N1045" s="150"/>
      <c r="O1045" s="150"/>
      <c r="P1045" s="150"/>
      <c r="Q1045" s="150">
        <f>40*931</f>
        <v>37240</v>
      </c>
      <c r="R1045" s="150"/>
      <c r="S1045" s="150"/>
      <c r="T1045" s="150"/>
      <c r="U1045" s="150"/>
      <c r="V1045" s="150"/>
      <c r="W1045" s="168"/>
      <c r="X1045" s="150"/>
      <c r="Y1045" s="150"/>
      <c r="Z1045" s="455"/>
      <c r="AA1045" s="150"/>
      <c r="AB1045" s="150"/>
      <c r="AC1045" s="150"/>
      <c r="AD1045" s="150"/>
      <c r="AE1045" s="150"/>
      <c r="AF1045" s="494">
        <f>40*520</f>
        <v>20800</v>
      </c>
      <c r="AG1045" s="150"/>
      <c r="AH1045" s="150"/>
      <c r="AI1045" s="150"/>
      <c r="AJ1045" s="150"/>
      <c r="AK1045" s="150"/>
      <c r="AL1045" s="150"/>
      <c r="AM1045" s="150"/>
      <c r="AN1045" s="150"/>
      <c r="AO1045" s="150"/>
      <c r="AP1045" s="150"/>
      <c r="AQ1045" s="150"/>
      <c r="AR1045" s="151"/>
      <c r="AS1045" s="456"/>
      <c r="AT1045" s="151"/>
      <c r="AU1045" s="150"/>
      <c r="AV1045" s="487"/>
      <c r="AW1045" s="150"/>
      <c r="AX1045" s="150"/>
      <c r="AY1045" s="150"/>
      <c r="AZ1045" s="150"/>
      <c r="BA1045" s="150"/>
      <c r="BB1045" s="150"/>
      <c r="BC1045" s="150"/>
      <c r="BD1045" s="150"/>
      <c r="BE1045" s="150"/>
      <c r="BF1045" s="150"/>
      <c r="BG1045" s="150"/>
      <c r="BH1045" s="150"/>
      <c r="BI1045" s="150">
        <f>40*440</f>
        <v>17600</v>
      </c>
      <c r="BJ1045" s="150"/>
      <c r="BK1045" s="467">
        <f>40*1000</f>
        <v>40000</v>
      </c>
      <c r="BL1045" s="160"/>
      <c r="BM1045" s="150"/>
      <c r="BN1045" s="150"/>
      <c r="BO1045" s="150"/>
      <c r="BP1045" s="152"/>
      <c r="BQ1045" s="160"/>
      <c r="BR1045" s="152"/>
      <c r="BS1045" s="160"/>
    </row>
    <row r="1046" spans="1:71" x14ac:dyDescent="0.3">
      <c r="A1046" s="420">
        <f>DL!A1043</f>
        <v>944</v>
      </c>
      <c r="B1046" s="19" t="s">
        <v>1827</v>
      </c>
      <c r="C1046" s="149">
        <v>12</v>
      </c>
      <c r="D1046" s="149" t="s">
        <v>333</v>
      </c>
      <c r="E1046" s="150"/>
      <c r="F1046" s="463"/>
      <c r="G1046" s="150"/>
      <c r="H1046" s="150"/>
      <c r="I1046" s="150"/>
      <c r="J1046" s="150"/>
      <c r="K1046" s="168"/>
      <c r="L1046" s="466"/>
      <c r="M1046" s="150">
        <v>4200</v>
      </c>
      <c r="N1046" s="150"/>
      <c r="O1046" s="150"/>
      <c r="P1046" s="150"/>
      <c r="Q1046" s="150">
        <v>4655</v>
      </c>
      <c r="R1046" s="150"/>
      <c r="S1046" s="150"/>
      <c r="T1046" s="150"/>
      <c r="U1046" s="150"/>
      <c r="V1046" s="150"/>
      <c r="W1046" s="168"/>
      <c r="X1046" s="150"/>
      <c r="Y1046" s="150"/>
      <c r="Z1046" s="455"/>
      <c r="AA1046" s="150"/>
      <c r="AB1046" s="150"/>
      <c r="AC1046" s="150"/>
      <c r="AD1046" s="150"/>
      <c r="AE1046" s="150"/>
      <c r="AF1046" s="494">
        <v>5850</v>
      </c>
      <c r="AG1046" s="150"/>
      <c r="AH1046" s="150"/>
      <c r="AI1046" s="150"/>
      <c r="AJ1046" s="150"/>
      <c r="AK1046" s="150"/>
      <c r="AL1046" s="150"/>
      <c r="AM1046" s="150"/>
      <c r="AN1046" s="150"/>
      <c r="AO1046" s="150"/>
      <c r="AP1046" s="150"/>
      <c r="AQ1046" s="150"/>
      <c r="AR1046" s="151"/>
      <c r="AS1046" s="456"/>
      <c r="AT1046" s="151"/>
      <c r="AU1046" s="150"/>
      <c r="AV1046" s="487"/>
      <c r="AW1046" s="150"/>
      <c r="AX1046" s="150"/>
      <c r="AY1046" s="150"/>
      <c r="AZ1046" s="150"/>
      <c r="BA1046" s="150"/>
      <c r="BB1046" s="150"/>
      <c r="BC1046" s="150"/>
      <c r="BD1046" s="150"/>
      <c r="BE1046" s="150"/>
      <c r="BF1046" s="150"/>
      <c r="BG1046" s="150"/>
      <c r="BH1046" s="150"/>
      <c r="BI1046" s="150"/>
      <c r="BJ1046" s="150"/>
      <c r="BK1046" s="467">
        <v>5000</v>
      </c>
      <c r="BL1046" s="160"/>
      <c r="BM1046" s="150"/>
      <c r="BN1046" s="150"/>
      <c r="BO1046" s="150"/>
      <c r="BP1046" s="152"/>
      <c r="BQ1046" s="160"/>
      <c r="BR1046" s="152"/>
      <c r="BS1046" s="160"/>
    </row>
    <row r="1047" spans="1:71" x14ac:dyDescent="0.3">
      <c r="A1047" s="420">
        <f>DL!A1044</f>
        <v>945</v>
      </c>
      <c r="B1047" s="19" t="s">
        <v>1828</v>
      </c>
      <c r="C1047" s="149">
        <f>DL!L1044</f>
        <v>20</v>
      </c>
      <c r="D1047" s="149" t="str">
        <f>DL!C1044</f>
        <v>1 pack of 1000pieces</v>
      </c>
      <c r="E1047" s="150"/>
      <c r="F1047" s="463"/>
      <c r="G1047" s="150"/>
      <c r="H1047" s="150"/>
      <c r="I1047" s="150"/>
      <c r="J1047" s="150"/>
      <c r="K1047" s="168"/>
      <c r="L1047" s="466"/>
      <c r="M1047" s="150">
        <v>900</v>
      </c>
      <c r="N1047" s="150"/>
      <c r="O1047" s="150"/>
      <c r="P1047" s="150"/>
      <c r="Q1047" s="150">
        <v>1330</v>
      </c>
      <c r="R1047" s="150"/>
      <c r="S1047" s="150"/>
      <c r="T1047" s="150"/>
      <c r="U1047" s="150"/>
      <c r="V1047" s="150"/>
      <c r="W1047" s="168"/>
      <c r="X1047" s="150"/>
      <c r="Y1047" s="150"/>
      <c r="Z1047" s="455"/>
      <c r="AA1047" s="150"/>
      <c r="AB1047" s="150"/>
      <c r="AC1047" s="150"/>
      <c r="AD1047" s="150"/>
      <c r="AE1047" s="150"/>
      <c r="AF1047" s="494">
        <v>1235</v>
      </c>
      <c r="AG1047" s="150"/>
      <c r="AH1047" s="150"/>
      <c r="AI1047" s="150"/>
      <c r="AJ1047" s="150"/>
      <c r="AK1047" s="150"/>
      <c r="AL1047" s="150"/>
      <c r="AM1047" s="150"/>
      <c r="AN1047" s="150"/>
      <c r="AO1047" s="150"/>
      <c r="AP1047" s="150"/>
      <c r="AQ1047" s="150"/>
      <c r="AR1047" s="151"/>
      <c r="AS1047" s="456"/>
      <c r="AT1047" s="151"/>
      <c r="AU1047" s="150"/>
      <c r="AV1047" s="487"/>
      <c r="AW1047" s="150"/>
      <c r="AX1047" s="150"/>
      <c r="AY1047" s="150"/>
      <c r="AZ1047" s="150"/>
      <c r="BA1047" s="150"/>
      <c r="BB1047" s="150"/>
      <c r="BC1047" s="150"/>
      <c r="BD1047" s="150"/>
      <c r="BE1047" s="150"/>
      <c r="BF1047" s="150"/>
      <c r="BG1047" s="150"/>
      <c r="BH1047" s="150"/>
      <c r="BI1047" s="150"/>
      <c r="BJ1047" s="150"/>
      <c r="BK1047" s="467">
        <v>1200</v>
      </c>
      <c r="BL1047" s="160"/>
      <c r="BM1047" s="150"/>
      <c r="BN1047" s="150"/>
      <c r="BO1047" s="150"/>
      <c r="BP1047" s="152"/>
      <c r="BQ1047" s="160"/>
      <c r="BR1047" s="152"/>
      <c r="BS1047" s="160"/>
    </row>
    <row r="1048" spans="1:71" x14ac:dyDescent="0.3">
      <c r="A1048" s="420">
        <f>DL!A1045</f>
        <v>946</v>
      </c>
      <c r="B1048" s="19" t="s">
        <v>1829</v>
      </c>
      <c r="C1048" s="149">
        <v>40</v>
      </c>
      <c r="D1048" s="149" t="str">
        <f>DL!C1045</f>
        <v>1 pack of 12pieces</v>
      </c>
      <c r="E1048" s="150"/>
      <c r="F1048" s="463"/>
      <c r="G1048" s="150"/>
      <c r="H1048" s="150"/>
      <c r="I1048" s="150"/>
      <c r="J1048" s="150"/>
      <c r="K1048" s="168"/>
      <c r="L1048" s="466"/>
      <c r="M1048" s="150">
        <v>7200</v>
      </c>
      <c r="N1048" s="150"/>
      <c r="O1048" s="150"/>
      <c r="P1048" s="150"/>
      <c r="Q1048" s="150">
        <v>8379</v>
      </c>
      <c r="R1048" s="150"/>
      <c r="S1048" s="150"/>
      <c r="T1048" s="150"/>
      <c r="U1048" s="150"/>
      <c r="V1048" s="150"/>
      <c r="W1048" s="168"/>
      <c r="X1048" s="150"/>
      <c r="Y1048" s="150"/>
      <c r="Z1048" s="455"/>
      <c r="AA1048" s="150"/>
      <c r="AB1048" s="150"/>
      <c r="AC1048" s="150"/>
      <c r="AD1048" s="150"/>
      <c r="AE1048" s="150"/>
      <c r="AF1048" s="494">
        <v>9750</v>
      </c>
      <c r="AG1048" s="150"/>
      <c r="AH1048" s="150"/>
      <c r="AI1048" s="150"/>
      <c r="AJ1048" s="150"/>
      <c r="AK1048" s="150"/>
      <c r="AL1048" s="150"/>
      <c r="AM1048" s="150"/>
      <c r="AN1048" s="150"/>
      <c r="AO1048" s="150"/>
      <c r="AP1048" s="150"/>
      <c r="AQ1048" s="150"/>
      <c r="AR1048" s="151"/>
      <c r="AS1048" s="456"/>
      <c r="AT1048" s="151"/>
      <c r="AU1048" s="150"/>
      <c r="AV1048" s="487"/>
      <c r="AW1048" s="150"/>
      <c r="AX1048" s="150"/>
      <c r="AY1048" s="150"/>
      <c r="AZ1048" s="150"/>
      <c r="BA1048" s="150"/>
      <c r="BB1048" s="150"/>
      <c r="BC1048" s="150"/>
      <c r="BD1048" s="150"/>
      <c r="BE1048" s="150"/>
      <c r="BF1048" s="150"/>
      <c r="BG1048" s="150"/>
      <c r="BH1048" s="150"/>
      <c r="BI1048" s="150"/>
      <c r="BJ1048" s="150"/>
      <c r="BK1048" s="467">
        <v>9500</v>
      </c>
      <c r="BL1048" s="160"/>
      <c r="BM1048" s="150"/>
      <c r="BN1048" s="150"/>
      <c r="BO1048" s="150"/>
      <c r="BP1048" s="152"/>
      <c r="BQ1048" s="160"/>
      <c r="BR1048" s="152"/>
      <c r="BS1048" s="160"/>
    </row>
    <row r="1049" spans="1:71" x14ac:dyDescent="0.3">
      <c r="A1049" s="420">
        <f>DL!A1046</f>
        <v>947</v>
      </c>
      <c r="B1049" s="19" t="s">
        <v>1830</v>
      </c>
      <c r="C1049" s="149">
        <v>40</v>
      </c>
      <c r="D1049" s="149" t="str">
        <f>DL!C1046</f>
        <v>1 pack of 100pieces</v>
      </c>
      <c r="E1049" s="150"/>
      <c r="F1049" s="463"/>
      <c r="G1049" s="150"/>
      <c r="H1049" s="150"/>
      <c r="I1049" s="150"/>
      <c r="J1049" s="150"/>
      <c r="K1049" s="168"/>
      <c r="L1049" s="466"/>
      <c r="M1049" s="150"/>
      <c r="N1049" s="150"/>
      <c r="O1049" s="150"/>
      <c r="P1049" s="150"/>
      <c r="Q1049" s="150">
        <v>5985</v>
      </c>
      <c r="R1049" s="150"/>
      <c r="S1049" s="150"/>
      <c r="T1049" s="150"/>
      <c r="U1049" s="150"/>
      <c r="V1049" s="150"/>
      <c r="W1049" s="168"/>
      <c r="X1049" s="150"/>
      <c r="Y1049" s="150"/>
      <c r="Z1049" s="455"/>
      <c r="AA1049" s="150"/>
      <c r="AB1049" s="150"/>
      <c r="AC1049" s="150">
        <v>2750</v>
      </c>
      <c r="AD1049" s="150"/>
      <c r="AE1049" s="150"/>
      <c r="AF1049" s="494">
        <v>3250</v>
      </c>
      <c r="AG1049" s="150"/>
      <c r="AH1049" s="150"/>
      <c r="AI1049" s="150"/>
      <c r="AJ1049" s="150"/>
      <c r="AK1049" s="150"/>
      <c r="AL1049" s="150"/>
      <c r="AM1049" s="150"/>
      <c r="AN1049" s="150"/>
      <c r="AO1049" s="150"/>
      <c r="AP1049" s="150"/>
      <c r="AQ1049" s="150"/>
      <c r="AR1049" s="151"/>
      <c r="AS1049" s="456"/>
      <c r="AT1049" s="151"/>
      <c r="AU1049" s="150"/>
      <c r="AV1049" s="487"/>
      <c r="AW1049" s="150"/>
      <c r="AX1049" s="150"/>
      <c r="AY1049" s="150"/>
      <c r="AZ1049" s="150"/>
      <c r="BA1049" s="150"/>
      <c r="BB1049" s="150"/>
      <c r="BC1049" s="150"/>
      <c r="BD1049" s="150"/>
      <c r="BE1049" s="150"/>
      <c r="BF1049" s="150"/>
      <c r="BG1049" s="150"/>
      <c r="BH1049" s="150"/>
      <c r="BI1049" s="150"/>
      <c r="BJ1049" s="150"/>
      <c r="BK1049" s="467">
        <v>3500</v>
      </c>
      <c r="BL1049" s="160"/>
      <c r="BM1049" s="150"/>
      <c r="BN1049" s="150"/>
      <c r="BO1049" s="150"/>
      <c r="BP1049" s="152"/>
      <c r="BQ1049" s="160"/>
      <c r="BR1049" s="152"/>
      <c r="BS1049" s="160"/>
    </row>
    <row r="1050" spans="1:71" x14ac:dyDescent="0.3">
      <c r="A1050" s="420">
        <f>DL!A1047</f>
        <v>948</v>
      </c>
      <c r="B1050" s="19" t="s">
        <v>1831</v>
      </c>
      <c r="C1050" s="149">
        <f>DL!L1047</f>
        <v>12</v>
      </c>
      <c r="D1050" s="149" t="str">
        <f>DL!C1047</f>
        <v>1 bottle of 2L</v>
      </c>
      <c r="E1050" s="150"/>
      <c r="F1050" s="463"/>
      <c r="G1050" s="150"/>
      <c r="H1050" s="150"/>
      <c r="I1050" s="150"/>
      <c r="J1050" s="150"/>
      <c r="K1050" s="168"/>
      <c r="L1050" s="466"/>
      <c r="M1050" s="150">
        <v>11800</v>
      </c>
      <c r="N1050" s="150"/>
      <c r="O1050" s="150"/>
      <c r="P1050" s="150"/>
      <c r="Q1050" s="150">
        <v>3990</v>
      </c>
      <c r="R1050" s="150"/>
      <c r="S1050" s="150"/>
      <c r="T1050" s="150"/>
      <c r="U1050" s="150"/>
      <c r="V1050" s="150"/>
      <c r="W1050" s="168"/>
      <c r="X1050" s="150"/>
      <c r="Y1050" s="150"/>
      <c r="Z1050" s="455"/>
      <c r="AA1050" s="150"/>
      <c r="AB1050" s="150"/>
      <c r="AC1050" s="150"/>
      <c r="AD1050" s="150"/>
      <c r="AE1050" s="150"/>
      <c r="AF1050" s="494">
        <v>11700</v>
      </c>
      <c r="AG1050" s="150"/>
      <c r="AH1050" s="150"/>
      <c r="AI1050" s="150"/>
      <c r="AJ1050" s="150"/>
      <c r="AK1050" s="150"/>
      <c r="AL1050" s="150"/>
      <c r="AM1050" s="150"/>
      <c r="AN1050" s="150"/>
      <c r="AO1050" s="150"/>
      <c r="AP1050" s="150"/>
      <c r="AQ1050" s="150"/>
      <c r="AR1050" s="151"/>
      <c r="AS1050" s="456"/>
      <c r="AT1050" s="151"/>
      <c r="AU1050" s="150"/>
      <c r="AV1050" s="487"/>
      <c r="AW1050" s="150"/>
      <c r="AX1050" s="150"/>
      <c r="AY1050" s="150"/>
      <c r="AZ1050" s="150"/>
      <c r="BA1050" s="150"/>
      <c r="BB1050" s="150"/>
      <c r="BC1050" s="150"/>
      <c r="BD1050" s="150"/>
      <c r="BE1050" s="150"/>
      <c r="BF1050" s="150"/>
      <c r="BG1050" s="150"/>
      <c r="BH1050" s="150"/>
      <c r="BI1050" s="150">
        <v>11000</v>
      </c>
      <c r="BJ1050" s="150"/>
      <c r="BK1050" s="467">
        <v>15000</v>
      </c>
      <c r="BL1050" s="160"/>
      <c r="BM1050" s="150"/>
      <c r="BN1050" s="150"/>
      <c r="BO1050" s="150"/>
      <c r="BP1050" s="152"/>
      <c r="BQ1050" s="160"/>
      <c r="BR1050" s="152"/>
      <c r="BS1050" s="160"/>
    </row>
    <row r="1051" spans="1:71" x14ac:dyDescent="0.3">
      <c r="A1051" s="420">
        <f>DL!A1048</f>
        <v>949</v>
      </c>
      <c r="B1051" s="19" t="s">
        <v>1832</v>
      </c>
      <c r="C1051" s="149">
        <f>DL!L1048</f>
        <v>4</v>
      </c>
      <c r="D1051" s="149" t="str">
        <f>DL!C1048</f>
        <v>1 bottle of 250g</v>
      </c>
      <c r="E1051" s="150"/>
      <c r="F1051" s="463"/>
      <c r="G1051" s="150"/>
      <c r="H1051" s="150"/>
      <c r="I1051" s="150"/>
      <c r="J1051" s="150"/>
      <c r="K1051" s="168"/>
      <c r="L1051" s="466"/>
      <c r="M1051" s="150"/>
      <c r="N1051" s="150"/>
      <c r="O1051" s="150"/>
      <c r="P1051" s="150"/>
      <c r="Q1051" s="150">
        <v>3724</v>
      </c>
      <c r="R1051" s="150"/>
      <c r="S1051" s="150"/>
      <c r="T1051" s="150"/>
      <c r="U1051" s="150"/>
      <c r="V1051" s="150"/>
      <c r="W1051" s="168"/>
      <c r="X1051" s="150"/>
      <c r="Y1051" s="150"/>
      <c r="Z1051" s="455"/>
      <c r="AA1051" s="150"/>
      <c r="AB1051" s="150"/>
      <c r="AC1051" s="150"/>
      <c r="AD1051" s="150"/>
      <c r="AE1051" s="150"/>
      <c r="AF1051" s="494">
        <v>0</v>
      </c>
      <c r="AG1051" s="150"/>
      <c r="AH1051" s="150"/>
      <c r="AI1051" s="150"/>
      <c r="AJ1051" s="150"/>
      <c r="AK1051" s="150"/>
      <c r="AL1051" s="150"/>
      <c r="AM1051" s="150"/>
      <c r="AN1051" s="150"/>
      <c r="AO1051" s="150"/>
      <c r="AP1051" s="150"/>
      <c r="AQ1051" s="150"/>
      <c r="AR1051" s="151"/>
      <c r="AS1051" s="456"/>
      <c r="AT1051" s="151"/>
      <c r="AU1051" s="150"/>
      <c r="AV1051" s="487"/>
      <c r="AW1051" s="150"/>
      <c r="AX1051" s="150"/>
      <c r="AY1051" s="150"/>
      <c r="AZ1051" s="150"/>
      <c r="BA1051" s="150"/>
      <c r="BB1051" s="150"/>
      <c r="BC1051" s="150"/>
      <c r="BD1051" s="150"/>
      <c r="BE1051" s="150"/>
      <c r="BF1051" s="150"/>
      <c r="BG1051" s="150"/>
      <c r="BH1051" s="150"/>
      <c r="BI1051" s="150"/>
      <c r="BJ1051" s="150"/>
      <c r="BK1051" s="467">
        <v>50000</v>
      </c>
      <c r="BL1051" s="160"/>
      <c r="BM1051" s="150"/>
      <c r="BN1051" s="150"/>
      <c r="BO1051" s="150"/>
      <c r="BP1051" s="152"/>
      <c r="BQ1051" s="160"/>
      <c r="BR1051" s="152"/>
      <c r="BS1051" s="160"/>
    </row>
    <row r="1052" spans="1:71" x14ac:dyDescent="0.3">
      <c r="A1052" s="420">
        <f>DL!A1049</f>
        <v>950</v>
      </c>
      <c r="B1052" s="19" t="s">
        <v>1833</v>
      </c>
      <c r="C1052" s="149">
        <v>4</v>
      </c>
      <c r="D1052" s="149" t="str">
        <f>DL!C1049</f>
        <v>1 bottle of 250g</v>
      </c>
      <c r="E1052" s="150"/>
      <c r="F1052" s="463"/>
      <c r="G1052" s="150"/>
      <c r="H1052" s="150"/>
      <c r="I1052" s="150"/>
      <c r="J1052" s="150"/>
      <c r="K1052" s="168"/>
      <c r="L1052" s="466"/>
      <c r="M1052" s="150"/>
      <c r="N1052" s="150"/>
      <c r="O1052" s="150"/>
      <c r="P1052" s="150"/>
      <c r="Q1052" s="150">
        <v>16625</v>
      </c>
      <c r="R1052" s="150"/>
      <c r="S1052" s="150"/>
      <c r="T1052" s="150"/>
      <c r="U1052" s="150"/>
      <c r="V1052" s="150"/>
      <c r="W1052" s="168"/>
      <c r="X1052" s="150"/>
      <c r="Y1052" s="150"/>
      <c r="Z1052" s="455"/>
      <c r="AA1052" s="150"/>
      <c r="AB1052" s="150"/>
      <c r="AC1052" s="150"/>
      <c r="AD1052" s="150"/>
      <c r="AE1052" s="150"/>
      <c r="AF1052" s="494">
        <v>0</v>
      </c>
      <c r="AG1052" s="150"/>
      <c r="AH1052" s="150"/>
      <c r="AI1052" s="150"/>
      <c r="AJ1052" s="150"/>
      <c r="AK1052" s="150"/>
      <c r="AL1052" s="150"/>
      <c r="AM1052" s="150"/>
      <c r="AN1052" s="150"/>
      <c r="AO1052" s="150"/>
      <c r="AP1052" s="150"/>
      <c r="AQ1052" s="150"/>
      <c r="AR1052" s="151"/>
      <c r="AS1052" s="456"/>
      <c r="AT1052" s="151"/>
      <c r="AU1052" s="150"/>
      <c r="AV1052" s="487"/>
      <c r="AW1052" s="150"/>
      <c r="AX1052" s="150"/>
      <c r="AY1052" s="150"/>
      <c r="AZ1052" s="150"/>
      <c r="BA1052" s="150"/>
      <c r="BB1052" s="150"/>
      <c r="BC1052" s="150"/>
      <c r="BD1052" s="150"/>
      <c r="BE1052" s="150"/>
      <c r="BF1052" s="150"/>
      <c r="BG1052" s="150"/>
      <c r="BH1052" s="150"/>
      <c r="BI1052" s="150"/>
      <c r="BJ1052" s="150"/>
      <c r="BK1052" s="467">
        <v>95000</v>
      </c>
      <c r="BL1052" s="160"/>
      <c r="BM1052" s="150"/>
      <c r="BN1052" s="150"/>
      <c r="BO1052" s="150"/>
      <c r="BP1052" s="152"/>
      <c r="BQ1052" s="160"/>
      <c r="BR1052" s="152"/>
      <c r="BS1052" s="160"/>
    </row>
    <row r="1053" spans="1:71" x14ac:dyDescent="0.3">
      <c r="A1053" s="420">
        <f>DL!A1050</f>
        <v>951</v>
      </c>
      <c r="B1053" s="19" t="s">
        <v>1834</v>
      </c>
      <c r="C1053" s="149">
        <f>DL!L1050</f>
        <v>10</v>
      </c>
      <c r="D1053" s="149" t="str">
        <f>DL!C1050</f>
        <v>1 x 10 pieces</v>
      </c>
      <c r="E1053" s="150"/>
      <c r="F1053" s="463"/>
      <c r="G1053" s="150"/>
      <c r="H1053" s="150"/>
      <c r="I1053" s="150"/>
      <c r="J1053" s="150"/>
      <c r="K1053" s="168"/>
      <c r="L1053" s="466"/>
      <c r="M1053" s="150">
        <v>9500</v>
      </c>
      <c r="N1053" s="150"/>
      <c r="O1053" s="150"/>
      <c r="P1053" s="150"/>
      <c r="Q1053" s="150">
        <v>16625</v>
      </c>
      <c r="R1053" s="150"/>
      <c r="S1053" s="150"/>
      <c r="T1053" s="150"/>
      <c r="U1053" s="150"/>
      <c r="V1053" s="150"/>
      <c r="W1053" s="168"/>
      <c r="X1053" s="150"/>
      <c r="Y1053" s="150"/>
      <c r="Z1053" s="455"/>
      <c r="AA1053" s="150"/>
      <c r="AB1053" s="150"/>
      <c r="AC1053" s="150"/>
      <c r="AD1053" s="150"/>
      <c r="AE1053" s="150"/>
      <c r="AF1053" s="495">
        <v>15600</v>
      </c>
      <c r="AG1053" s="150"/>
      <c r="AH1053" s="150"/>
      <c r="AI1053" s="150"/>
      <c r="AJ1053" s="150"/>
      <c r="AK1053" s="150"/>
      <c r="AL1053" s="150"/>
      <c r="AM1053" s="150"/>
      <c r="AN1053" s="150"/>
      <c r="AO1053" s="150"/>
      <c r="AP1053" s="150"/>
      <c r="AQ1053" s="150"/>
      <c r="AR1053" s="151"/>
      <c r="AS1053" s="456"/>
      <c r="AT1053" s="151"/>
      <c r="AU1053" s="150"/>
      <c r="AV1053" s="487"/>
      <c r="AW1053" s="150"/>
      <c r="AX1053" s="150"/>
      <c r="AY1053" s="150"/>
      <c r="AZ1053" s="150"/>
      <c r="BA1053" s="150"/>
      <c r="BB1053" s="150"/>
      <c r="BC1053" s="150"/>
      <c r="BD1053" s="150"/>
      <c r="BE1053" s="150"/>
      <c r="BF1053" s="150"/>
      <c r="BG1053" s="150"/>
      <c r="BH1053" s="150"/>
      <c r="BI1053" s="150">
        <v>32000</v>
      </c>
      <c r="BJ1053" s="150"/>
      <c r="BK1053" s="467">
        <v>20000</v>
      </c>
      <c r="BL1053" s="160"/>
      <c r="BM1053" s="150"/>
      <c r="BN1053" s="150"/>
      <c r="BO1053" s="150"/>
      <c r="BP1053" s="152"/>
      <c r="BQ1053" s="160"/>
      <c r="BR1053" s="152"/>
      <c r="BS1053" s="160"/>
    </row>
    <row r="1054" spans="1:71" x14ac:dyDescent="0.3">
      <c r="A1054" s="420">
        <f>DL!A1051</f>
        <v>952</v>
      </c>
      <c r="B1054" s="19" t="s">
        <v>1835</v>
      </c>
      <c r="C1054" s="149">
        <v>10</v>
      </c>
      <c r="D1054" s="149" t="str">
        <f>DL!C1051</f>
        <v>1 pack (8pcs)</v>
      </c>
      <c r="E1054" s="150"/>
      <c r="F1054" s="463"/>
      <c r="G1054" s="150"/>
      <c r="H1054" s="150"/>
      <c r="I1054" s="150"/>
      <c r="J1054" s="150"/>
      <c r="K1054" s="168"/>
      <c r="L1054" s="466"/>
      <c r="M1054" s="150"/>
      <c r="N1054" s="150"/>
      <c r="O1054" s="150"/>
      <c r="P1054" s="150"/>
      <c r="Q1054" s="150">
        <v>15960</v>
      </c>
      <c r="R1054" s="150"/>
      <c r="S1054" s="150"/>
      <c r="T1054" s="150"/>
      <c r="U1054" s="150"/>
      <c r="V1054" s="150"/>
      <c r="W1054" s="168"/>
      <c r="X1054" s="150"/>
      <c r="Y1054" s="150"/>
      <c r="Z1054" s="455"/>
      <c r="AA1054" s="150"/>
      <c r="AB1054" s="150"/>
      <c r="AC1054" s="150"/>
      <c r="AD1054" s="150"/>
      <c r="AE1054" s="150"/>
      <c r="AF1054" s="494">
        <v>0</v>
      </c>
      <c r="AG1054" s="150"/>
      <c r="AH1054" s="150"/>
      <c r="AI1054" s="150"/>
      <c r="AJ1054" s="150"/>
      <c r="AK1054" s="150"/>
      <c r="AL1054" s="150"/>
      <c r="AM1054" s="150"/>
      <c r="AN1054" s="150"/>
      <c r="AO1054" s="150"/>
      <c r="AP1054" s="150"/>
      <c r="AQ1054" s="150"/>
      <c r="AR1054" s="151"/>
      <c r="AS1054" s="456"/>
      <c r="AT1054" s="151"/>
      <c r="AU1054" s="150"/>
      <c r="AV1054" s="487"/>
      <c r="AW1054" s="150"/>
      <c r="AX1054" s="150"/>
      <c r="AY1054" s="150"/>
      <c r="AZ1054" s="150"/>
      <c r="BA1054" s="150"/>
      <c r="BB1054" s="150"/>
      <c r="BC1054" s="150"/>
      <c r="BD1054" s="150"/>
      <c r="BE1054" s="150"/>
      <c r="BF1054" s="150"/>
      <c r="BG1054" s="150"/>
      <c r="BH1054" s="150"/>
      <c r="BI1054" s="150"/>
      <c r="BJ1054" s="150"/>
      <c r="BK1054" s="467">
        <v>85000</v>
      </c>
      <c r="BL1054" s="160"/>
      <c r="BM1054" s="150"/>
      <c r="BN1054" s="150"/>
      <c r="BO1054" s="150"/>
      <c r="BP1054" s="152"/>
      <c r="BQ1054" s="160"/>
      <c r="BR1054" s="152"/>
      <c r="BS1054" s="160"/>
    </row>
    <row r="1055" spans="1:71" x14ac:dyDescent="0.3">
      <c r="A1055" s="420">
        <f>DL!A1052</f>
        <v>953</v>
      </c>
      <c r="B1055" s="19" t="s">
        <v>1836</v>
      </c>
      <c r="C1055" s="149">
        <f>DL!L1052</f>
        <v>5</v>
      </c>
      <c r="D1055" s="149" t="str">
        <f>DL!C1052</f>
        <v>1 pack (8pcs)</v>
      </c>
      <c r="E1055" s="150"/>
      <c r="F1055" s="463"/>
      <c r="G1055" s="150"/>
      <c r="H1055" s="150"/>
      <c r="I1055" s="150"/>
      <c r="J1055" s="150"/>
      <c r="K1055" s="168"/>
      <c r="L1055" s="466"/>
      <c r="M1055" s="150"/>
      <c r="N1055" s="150"/>
      <c r="O1055" s="150"/>
      <c r="P1055" s="150"/>
      <c r="Q1055" s="150">
        <v>15960</v>
      </c>
      <c r="R1055" s="150"/>
      <c r="S1055" s="150"/>
      <c r="T1055" s="150"/>
      <c r="U1055" s="150"/>
      <c r="V1055" s="150"/>
      <c r="W1055" s="168"/>
      <c r="X1055" s="150"/>
      <c r="Y1055" s="150"/>
      <c r="Z1055" s="455"/>
      <c r="AA1055" s="150"/>
      <c r="AB1055" s="150"/>
      <c r="AC1055" s="150"/>
      <c r="AD1055" s="150"/>
      <c r="AE1055" s="150"/>
      <c r="AF1055" s="494">
        <v>0</v>
      </c>
      <c r="AG1055" s="150"/>
      <c r="AH1055" s="150"/>
      <c r="AI1055" s="150"/>
      <c r="AJ1055" s="150"/>
      <c r="AK1055" s="150"/>
      <c r="AL1055" s="150"/>
      <c r="AM1055" s="150"/>
      <c r="AN1055" s="150"/>
      <c r="AO1055" s="150"/>
      <c r="AP1055" s="150"/>
      <c r="AQ1055" s="150"/>
      <c r="AR1055" s="151"/>
      <c r="AS1055" s="456"/>
      <c r="AT1055" s="151"/>
      <c r="AU1055" s="150"/>
      <c r="AV1055" s="487"/>
      <c r="AW1055" s="150"/>
      <c r="AX1055" s="150"/>
      <c r="AY1055" s="150"/>
      <c r="AZ1055" s="150"/>
      <c r="BA1055" s="150"/>
      <c r="BB1055" s="150"/>
      <c r="BC1055" s="150"/>
      <c r="BD1055" s="150"/>
      <c r="BE1055" s="150"/>
      <c r="BF1055" s="150"/>
      <c r="BG1055" s="150"/>
      <c r="BH1055" s="150"/>
      <c r="BI1055" s="150"/>
      <c r="BJ1055" s="150"/>
      <c r="BK1055" s="467">
        <v>85000</v>
      </c>
      <c r="BL1055" s="160"/>
      <c r="BM1055" s="150"/>
      <c r="BN1055" s="150"/>
      <c r="BO1055" s="150"/>
      <c r="BP1055" s="152"/>
      <c r="BQ1055" s="160"/>
      <c r="BR1055" s="152"/>
      <c r="BS1055" s="160"/>
    </row>
    <row r="1056" spans="1:71" x14ac:dyDescent="0.3">
      <c r="A1056" s="420">
        <f>DL!A1053</f>
        <v>954</v>
      </c>
      <c r="B1056" s="19" t="s">
        <v>2074</v>
      </c>
      <c r="C1056" s="149">
        <f>DL!L1053</f>
        <v>20</v>
      </c>
      <c r="D1056" s="149" t="str">
        <f>DL!C1053</f>
        <v>1 bottle of 25g</v>
      </c>
      <c r="E1056" s="150"/>
      <c r="F1056" s="463"/>
      <c r="G1056" s="150"/>
      <c r="H1056" s="150"/>
      <c r="I1056" s="150"/>
      <c r="J1056" s="150"/>
      <c r="K1056" s="168"/>
      <c r="L1056" s="466"/>
      <c r="M1056" s="150">
        <v>120000</v>
      </c>
      <c r="N1056" s="150"/>
      <c r="O1056" s="150"/>
      <c r="P1056" s="150"/>
      <c r="Q1056" s="150">
        <v>6650</v>
      </c>
      <c r="R1056" s="150"/>
      <c r="S1056" s="150"/>
      <c r="T1056" s="150"/>
      <c r="U1056" s="150"/>
      <c r="V1056" s="150"/>
      <c r="W1056" s="168"/>
      <c r="X1056" s="150"/>
      <c r="Y1056" s="150"/>
      <c r="Z1056" s="455"/>
      <c r="AA1056" s="150"/>
      <c r="AB1056" s="150"/>
      <c r="AC1056" s="150"/>
      <c r="AD1056" s="150"/>
      <c r="AE1056" s="150"/>
      <c r="AF1056" s="494">
        <v>0</v>
      </c>
      <c r="AG1056" s="150"/>
      <c r="AH1056" s="150"/>
      <c r="AI1056" s="150"/>
      <c r="AJ1056" s="150"/>
      <c r="AK1056" s="150"/>
      <c r="AL1056" s="150"/>
      <c r="AM1056" s="150"/>
      <c r="AN1056" s="150"/>
      <c r="AO1056" s="150"/>
      <c r="AP1056" s="150"/>
      <c r="AQ1056" s="150"/>
      <c r="AR1056" s="151"/>
      <c r="AS1056" s="456"/>
      <c r="AT1056" s="151"/>
      <c r="AU1056" s="150"/>
      <c r="AV1056" s="487"/>
      <c r="AW1056" s="150"/>
      <c r="AX1056" s="150"/>
      <c r="AY1056" s="150"/>
      <c r="AZ1056" s="150"/>
      <c r="BA1056" s="150"/>
      <c r="BB1056" s="150"/>
      <c r="BC1056" s="150"/>
      <c r="BD1056" s="150"/>
      <c r="BE1056" s="150"/>
      <c r="BF1056" s="150"/>
      <c r="BG1056" s="150"/>
      <c r="BH1056" s="150"/>
      <c r="BI1056" s="150"/>
      <c r="BJ1056" s="150"/>
      <c r="BK1056" s="467">
        <v>25000</v>
      </c>
      <c r="BL1056" s="160"/>
      <c r="BM1056" s="150"/>
      <c r="BN1056" s="150"/>
      <c r="BO1056" s="150"/>
      <c r="BP1056" s="152"/>
      <c r="BQ1056" s="160"/>
      <c r="BR1056" s="152"/>
      <c r="BS1056" s="160"/>
    </row>
    <row r="1057" spans="1:71" x14ac:dyDescent="0.3">
      <c r="A1057" s="420">
        <f>DL!A1054</f>
        <v>955</v>
      </c>
      <c r="B1057" s="19" t="s">
        <v>1838</v>
      </c>
      <c r="C1057" s="149">
        <f>DL!L1054</f>
        <v>100</v>
      </c>
      <c r="D1057" s="149" t="str">
        <f>DL!C1054</f>
        <v>1 box (10 x 50) pieces</v>
      </c>
      <c r="E1057" s="150"/>
      <c r="F1057" s="463"/>
      <c r="G1057" s="150"/>
      <c r="H1057" s="150"/>
      <c r="I1057" s="150"/>
      <c r="J1057" s="150"/>
      <c r="K1057" s="168"/>
      <c r="L1057" s="466"/>
      <c r="M1057" s="150"/>
      <c r="N1057" s="150"/>
      <c r="O1057" s="150"/>
      <c r="P1057" s="150"/>
      <c r="Q1057" s="150">
        <v>798</v>
      </c>
      <c r="R1057" s="150"/>
      <c r="S1057" s="150"/>
      <c r="T1057" s="150"/>
      <c r="U1057" s="150"/>
      <c r="V1057" s="150"/>
      <c r="W1057" s="168"/>
      <c r="X1057" s="150"/>
      <c r="Y1057" s="150"/>
      <c r="Z1057" s="455"/>
      <c r="AA1057" s="150"/>
      <c r="AB1057" s="150"/>
      <c r="AC1057" s="150">
        <v>960</v>
      </c>
      <c r="AD1057" s="150"/>
      <c r="AE1057" s="150"/>
      <c r="AF1057" s="494">
        <v>1170</v>
      </c>
      <c r="AG1057" s="150"/>
      <c r="AH1057" s="150"/>
      <c r="AI1057" s="150"/>
      <c r="AJ1057" s="150"/>
      <c r="AK1057" s="150"/>
      <c r="AL1057" s="150"/>
      <c r="AM1057" s="150"/>
      <c r="AN1057" s="150"/>
      <c r="AO1057" s="150"/>
      <c r="AP1057" s="150"/>
      <c r="AQ1057" s="150"/>
      <c r="AR1057" s="151"/>
      <c r="AS1057" s="456"/>
      <c r="AT1057" s="151"/>
      <c r="AU1057" s="150"/>
      <c r="AV1057" s="487"/>
      <c r="AW1057" s="150"/>
      <c r="AX1057" s="150"/>
      <c r="AY1057" s="150"/>
      <c r="AZ1057" s="150"/>
      <c r="BA1057" s="150"/>
      <c r="BB1057" s="150"/>
      <c r="BC1057" s="150"/>
      <c r="BD1057" s="150"/>
      <c r="BE1057" s="150"/>
      <c r="BF1057" s="150"/>
      <c r="BG1057" s="150"/>
      <c r="BH1057" s="150"/>
      <c r="BI1057" s="150"/>
      <c r="BJ1057" s="150"/>
      <c r="BK1057" s="467">
        <v>15000</v>
      </c>
      <c r="BL1057" s="160"/>
      <c r="BM1057" s="150"/>
      <c r="BN1057" s="150"/>
      <c r="BO1057" s="150"/>
      <c r="BP1057" s="152"/>
      <c r="BQ1057" s="160"/>
      <c r="BR1057" s="152"/>
      <c r="BS1057" s="160"/>
    </row>
    <row r="1058" spans="1:71" x14ac:dyDescent="0.3">
      <c r="A1058" s="420">
        <f>DL!A1055</f>
        <v>956</v>
      </c>
      <c r="B1058" s="19" t="s">
        <v>1839</v>
      </c>
      <c r="C1058" s="149">
        <v>20</v>
      </c>
      <c r="D1058" s="149" t="str">
        <f>DL!C1055</f>
        <v>1 pack (25 pcs)</v>
      </c>
      <c r="E1058" s="150"/>
      <c r="F1058" s="463"/>
      <c r="G1058" s="150"/>
      <c r="H1058" s="150"/>
      <c r="I1058" s="150"/>
      <c r="J1058" s="150"/>
      <c r="K1058" s="168"/>
      <c r="L1058" s="466"/>
      <c r="M1058" s="150"/>
      <c r="N1058" s="150"/>
      <c r="O1058" s="150"/>
      <c r="P1058" s="150"/>
      <c r="Q1058" s="150">
        <v>11305</v>
      </c>
      <c r="R1058" s="150"/>
      <c r="S1058" s="150"/>
      <c r="T1058" s="150"/>
      <c r="U1058" s="150"/>
      <c r="V1058" s="150"/>
      <c r="W1058" s="168"/>
      <c r="X1058" s="150"/>
      <c r="Y1058" s="150"/>
      <c r="Z1058" s="455"/>
      <c r="AA1058" s="150"/>
      <c r="AB1058" s="150"/>
      <c r="AC1058" s="150"/>
      <c r="AD1058" s="150"/>
      <c r="AE1058" s="150"/>
      <c r="AF1058" s="494">
        <v>19500</v>
      </c>
      <c r="AG1058" s="150"/>
      <c r="AH1058" s="150"/>
      <c r="AI1058" s="150"/>
      <c r="AJ1058" s="150"/>
      <c r="AK1058" s="150"/>
      <c r="AL1058" s="150"/>
      <c r="AM1058" s="150"/>
      <c r="AN1058" s="150"/>
      <c r="AO1058" s="150"/>
      <c r="AP1058" s="150"/>
      <c r="AQ1058" s="150"/>
      <c r="AR1058" s="151"/>
      <c r="AS1058" s="456"/>
      <c r="AT1058" s="151"/>
      <c r="AU1058" s="150"/>
      <c r="AV1058" s="487"/>
      <c r="AW1058" s="150"/>
      <c r="AX1058" s="150"/>
      <c r="AY1058" s="150"/>
      <c r="AZ1058" s="150"/>
      <c r="BA1058" s="150"/>
      <c r="BB1058" s="150"/>
      <c r="BC1058" s="150"/>
      <c r="BD1058" s="150"/>
      <c r="BE1058" s="150"/>
      <c r="BF1058" s="150"/>
      <c r="BG1058" s="150"/>
      <c r="BH1058" s="150"/>
      <c r="BI1058" s="150"/>
      <c r="BJ1058" s="150"/>
      <c r="BK1058" s="467">
        <v>35000</v>
      </c>
      <c r="BL1058" s="160"/>
      <c r="BM1058" s="150"/>
      <c r="BN1058" s="150"/>
      <c r="BO1058" s="150"/>
      <c r="BP1058" s="152"/>
      <c r="BQ1058" s="160"/>
      <c r="BR1058" s="152"/>
      <c r="BS1058" s="160"/>
    </row>
    <row r="1059" spans="1:71" x14ac:dyDescent="0.3">
      <c r="A1059" s="420"/>
      <c r="B1059" s="19"/>
      <c r="C1059" s="149">
        <f>DL!L1056</f>
        <v>0</v>
      </c>
      <c r="D1059" s="149">
        <f>DL!C1056</f>
        <v>0</v>
      </c>
      <c r="E1059" s="150"/>
      <c r="F1059" s="463"/>
      <c r="G1059" s="150"/>
      <c r="H1059" s="150"/>
      <c r="I1059" s="150"/>
      <c r="J1059" s="150"/>
      <c r="K1059" s="168"/>
      <c r="L1059" s="466"/>
      <c r="M1059" s="150"/>
      <c r="N1059" s="150"/>
      <c r="O1059" s="150"/>
      <c r="P1059" s="150"/>
      <c r="Q1059" s="150"/>
      <c r="R1059" s="150"/>
      <c r="S1059" s="150"/>
      <c r="T1059" s="150"/>
      <c r="U1059" s="150"/>
      <c r="V1059" s="150"/>
      <c r="W1059" s="168"/>
      <c r="X1059" s="150"/>
      <c r="Y1059" s="150"/>
      <c r="Z1059" s="455"/>
      <c r="AA1059" s="150"/>
      <c r="AB1059" s="150"/>
      <c r="AC1059" s="150"/>
      <c r="AD1059" s="150"/>
      <c r="AE1059" s="150"/>
      <c r="AF1059" s="494">
        <v>0</v>
      </c>
      <c r="AG1059" s="150"/>
      <c r="AH1059" s="150"/>
      <c r="AI1059" s="150"/>
      <c r="AJ1059" s="150"/>
      <c r="AK1059" s="150"/>
      <c r="AL1059" s="150"/>
      <c r="AM1059" s="150"/>
      <c r="AN1059" s="150"/>
      <c r="AO1059" s="150"/>
      <c r="AP1059" s="150"/>
      <c r="AQ1059" s="150"/>
      <c r="AR1059" s="151"/>
      <c r="AS1059" s="456"/>
      <c r="AT1059" s="151"/>
      <c r="AU1059" s="150"/>
      <c r="AV1059" s="487"/>
      <c r="AW1059" s="150"/>
      <c r="AX1059" s="150"/>
      <c r="AY1059" s="150"/>
      <c r="AZ1059" s="150"/>
      <c r="BA1059" s="150"/>
      <c r="BB1059" s="150"/>
      <c r="BC1059" s="150"/>
      <c r="BD1059" s="150"/>
      <c r="BE1059" s="150"/>
      <c r="BF1059" s="150"/>
      <c r="BG1059" s="150"/>
      <c r="BH1059" s="150"/>
      <c r="BI1059" s="150"/>
      <c r="BJ1059" s="150"/>
      <c r="BK1059" s="466"/>
      <c r="BL1059" s="160"/>
      <c r="BM1059" s="150"/>
      <c r="BN1059" s="150"/>
      <c r="BO1059" s="150"/>
      <c r="BP1059" s="152"/>
      <c r="BQ1059" s="160"/>
      <c r="BR1059" s="152"/>
      <c r="BS1059" s="160"/>
    </row>
    <row r="1060" spans="1:71" x14ac:dyDescent="0.3">
      <c r="A1060" s="420"/>
      <c r="B1060" s="19"/>
      <c r="C1060" s="149">
        <f>DL!L1057</f>
        <v>0</v>
      </c>
      <c r="D1060" s="149">
        <f>DL!C1057</f>
        <v>0</v>
      </c>
      <c r="E1060" s="150"/>
      <c r="F1060" s="463"/>
      <c r="G1060" s="150"/>
      <c r="H1060" s="150"/>
      <c r="I1060" s="150"/>
      <c r="J1060" s="150"/>
      <c r="K1060" s="168"/>
      <c r="L1060" s="466"/>
      <c r="M1060" s="150"/>
      <c r="N1060" s="150"/>
      <c r="O1060" s="150"/>
      <c r="P1060" s="150"/>
      <c r="Q1060" s="150"/>
      <c r="R1060" s="150"/>
      <c r="S1060" s="150"/>
      <c r="T1060" s="150"/>
      <c r="U1060" s="150"/>
      <c r="V1060" s="150"/>
      <c r="W1060" s="168"/>
      <c r="X1060" s="150"/>
      <c r="Y1060" s="150"/>
      <c r="Z1060" s="455"/>
      <c r="AA1060" s="150"/>
      <c r="AB1060" s="150"/>
      <c r="AC1060" s="150"/>
      <c r="AD1060" s="150"/>
      <c r="AE1060" s="150"/>
      <c r="AF1060" s="494">
        <v>0</v>
      </c>
      <c r="AG1060" s="150"/>
      <c r="AH1060" s="150"/>
      <c r="AI1060" s="150"/>
      <c r="AJ1060" s="150"/>
      <c r="AK1060" s="150"/>
      <c r="AL1060" s="150"/>
      <c r="AM1060" s="150"/>
      <c r="AN1060" s="150"/>
      <c r="AO1060" s="150"/>
      <c r="AP1060" s="150"/>
      <c r="AQ1060" s="150"/>
      <c r="AR1060" s="151"/>
      <c r="AS1060" s="456"/>
      <c r="AT1060" s="151"/>
      <c r="AU1060" s="150"/>
      <c r="AV1060" s="487"/>
      <c r="AW1060" s="150"/>
      <c r="AX1060" s="150"/>
      <c r="AY1060" s="150"/>
      <c r="AZ1060" s="150"/>
      <c r="BA1060" s="150"/>
      <c r="BB1060" s="150"/>
      <c r="BC1060" s="150"/>
      <c r="BD1060" s="150"/>
      <c r="BE1060" s="150"/>
      <c r="BF1060" s="150"/>
      <c r="BG1060" s="150"/>
      <c r="BH1060" s="150"/>
      <c r="BI1060" s="150"/>
      <c r="BJ1060" s="150"/>
      <c r="BK1060" s="466"/>
      <c r="BL1060" s="160"/>
      <c r="BM1060" s="150"/>
      <c r="BN1060" s="150"/>
      <c r="BO1060" s="150"/>
      <c r="BP1060" s="152"/>
      <c r="BQ1060" s="160"/>
      <c r="BR1060" s="152"/>
      <c r="BS1060" s="160"/>
    </row>
    <row r="1061" spans="1:71" x14ac:dyDescent="0.3">
      <c r="A1061" s="420" t="str">
        <f>DL!A1058</f>
        <v>LOT 19</v>
      </c>
      <c r="B1061" s="19" t="s">
        <v>1785</v>
      </c>
      <c r="C1061" s="149">
        <f>DL!L1058</f>
        <v>0</v>
      </c>
      <c r="D1061" s="149">
        <f>DL!C1058</f>
        <v>0</v>
      </c>
      <c r="E1061" s="150"/>
      <c r="F1061" s="463"/>
      <c r="G1061" s="150"/>
      <c r="H1061" s="150"/>
      <c r="I1061" s="150"/>
      <c r="J1061" s="150"/>
      <c r="K1061" s="168"/>
      <c r="L1061" s="466"/>
      <c r="M1061" s="150"/>
      <c r="N1061" s="150"/>
      <c r="O1061" s="150"/>
      <c r="P1061" s="150"/>
      <c r="Q1061" s="150"/>
      <c r="R1061" s="150"/>
      <c r="S1061" s="150"/>
      <c r="T1061" s="150"/>
      <c r="U1061" s="150"/>
      <c r="V1061" s="150"/>
      <c r="W1061" s="168"/>
      <c r="X1061" s="150"/>
      <c r="Y1061" s="150"/>
      <c r="Z1061" s="455"/>
      <c r="AA1061" s="150"/>
      <c r="AB1061" s="150"/>
      <c r="AC1061" s="150"/>
      <c r="AD1061" s="150"/>
      <c r="AE1061" s="150"/>
      <c r="AF1061" s="494">
        <v>0</v>
      </c>
      <c r="AG1061" s="150"/>
      <c r="AH1061" s="150"/>
      <c r="AI1061" s="150"/>
      <c r="AJ1061" s="150"/>
      <c r="AK1061" s="150"/>
      <c r="AL1061" s="150"/>
      <c r="AM1061" s="150"/>
      <c r="AN1061" s="150"/>
      <c r="AO1061" s="150"/>
      <c r="AP1061" s="150"/>
      <c r="AQ1061" s="150"/>
      <c r="AR1061" s="151"/>
      <c r="AS1061" s="456"/>
      <c r="AT1061" s="151"/>
      <c r="AU1061" s="150"/>
      <c r="AV1061" s="487"/>
      <c r="AW1061" s="150"/>
      <c r="AX1061" s="150"/>
      <c r="AY1061" s="150"/>
      <c r="AZ1061" s="150"/>
      <c r="BA1061" s="150"/>
      <c r="BB1061" s="150"/>
      <c r="BC1061" s="150"/>
      <c r="BD1061" s="150"/>
      <c r="BE1061" s="150"/>
      <c r="BF1061" s="150"/>
      <c r="BG1061" s="150"/>
      <c r="BH1061" s="150"/>
      <c r="BI1061" s="150"/>
      <c r="BJ1061" s="150"/>
      <c r="BK1061" s="466"/>
      <c r="BL1061" s="160"/>
      <c r="BM1061" s="150"/>
      <c r="BN1061" s="150"/>
      <c r="BO1061" s="150"/>
      <c r="BP1061" s="152"/>
      <c r="BQ1061" s="160"/>
      <c r="BR1061" s="152"/>
      <c r="BS1061" s="160"/>
    </row>
    <row r="1062" spans="1:71" x14ac:dyDescent="0.3">
      <c r="A1062" s="420">
        <f>DL!A1059</f>
        <v>957</v>
      </c>
      <c r="B1062" s="19" t="s">
        <v>1841</v>
      </c>
      <c r="C1062" s="149">
        <v>12</v>
      </c>
      <c r="D1062" s="149" t="str">
        <f>DL!C1059</f>
        <v>1 PACK OF 250 PCS</v>
      </c>
      <c r="E1062" s="150"/>
      <c r="F1062" s="463"/>
      <c r="G1062" s="150"/>
      <c r="H1062" s="150"/>
      <c r="I1062" s="150"/>
      <c r="J1062" s="150"/>
      <c r="K1062" s="168"/>
      <c r="L1062" s="466"/>
      <c r="M1062" s="150"/>
      <c r="N1062" s="150"/>
      <c r="O1062" s="150"/>
      <c r="P1062" s="150"/>
      <c r="Q1062" s="150">
        <v>9044</v>
      </c>
      <c r="R1062" s="150"/>
      <c r="S1062" s="150"/>
      <c r="T1062" s="150"/>
      <c r="U1062" s="150"/>
      <c r="V1062" s="150"/>
      <c r="W1062" s="168"/>
      <c r="X1062" s="150"/>
      <c r="Y1062" s="150"/>
      <c r="Z1062" s="455"/>
      <c r="AA1062" s="150"/>
      <c r="AB1062" s="150"/>
      <c r="AC1062" s="150"/>
      <c r="AD1062" s="150"/>
      <c r="AE1062" s="150"/>
      <c r="AF1062" s="495">
        <v>0</v>
      </c>
      <c r="AG1062" s="150"/>
      <c r="AH1062" s="150"/>
      <c r="AI1062" s="150"/>
      <c r="AJ1062" s="150"/>
      <c r="AK1062" s="150"/>
      <c r="AL1062" s="150"/>
      <c r="AM1062" s="150"/>
      <c r="AN1062" s="150"/>
      <c r="AO1062" s="150"/>
      <c r="AP1062" s="150"/>
      <c r="AQ1062" s="150"/>
      <c r="AR1062" s="151"/>
      <c r="AS1062" s="456"/>
      <c r="AT1062" s="151"/>
      <c r="AU1062" s="150"/>
      <c r="AV1062" s="487"/>
      <c r="AW1062" s="150"/>
      <c r="AX1062" s="150"/>
      <c r="AY1062" s="150"/>
      <c r="AZ1062" s="150"/>
      <c r="BA1062" s="150"/>
      <c r="BB1062" s="150"/>
      <c r="BC1062" s="150"/>
      <c r="BD1062" s="150"/>
      <c r="BE1062" s="150"/>
      <c r="BF1062" s="150"/>
      <c r="BG1062" s="150"/>
      <c r="BH1062" s="150"/>
      <c r="BI1062" s="150"/>
      <c r="BJ1062" s="150"/>
      <c r="BK1062" s="467">
        <v>6000</v>
      </c>
      <c r="BL1062" s="160"/>
      <c r="BM1062" s="150"/>
      <c r="BN1062" s="150"/>
      <c r="BO1062" s="150"/>
      <c r="BP1062" s="152"/>
      <c r="BQ1062" s="160"/>
      <c r="BR1062" s="152"/>
      <c r="BS1062" s="160"/>
    </row>
    <row r="1063" spans="1:71" x14ac:dyDescent="0.3">
      <c r="A1063" s="420">
        <f>DL!A1060</f>
        <v>958</v>
      </c>
      <c r="B1063" s="19" t="s">
        <v>1842</v>
      </c>
      <c r="C1063" s="149">
        <v>12</v>
      </c>
      <c r="D1063" s="149" t="str">
        <f>DL!C1060</f>
        <v>1 PACK OF 250 PCS</v>
      </c>
      <c r="E1063" s="150"/>
      <c r="F1063" s="463"/>
      <c r="G1063" s="150"/>
      <c r="H1063" s="150"/>
      <c r="I1063" s="150"/>
      <c r="J1063" s="150"/>
      <c r="K1063" s="168"/>
      <c r="L1063" s="466">
        <v>14000</v>
      </c>
      <c r="M1063" s="150"/>
      <c r="N1063" s="150"/>
      <c r="O1063" s="150"/>
      <c r="P1063" s="150"/>
      <c r="Q1063" s="150">
        <v>9044</v>
      </c>
      <c r="R1063" s="150"/>
      <c r="S1063" s="150"/>
      <c r="T1063" s="150"/>
      <c r="U1063" s="150"/>
      <c r="V1063" s="150"/>
      <c r="W1063" s="168"/>
      <c r="X1063" s="150"/>
      <c r="Y1063" s="150"/>
      <c r="Z1063" s="455"/>
      <c r="AA1063" s="150"/>
      <c r="AB1063" s="150"/>
      <c r="AC1063" s="150"/>
      <c r="AD1063" s="150"/>
      <c r="AE1063" s="150"/>
      <c r="AF1063" s="495">
        <v>0</v>
      </c>
      <c r="AG1063" s="150"/>
      <c r="AH1063" s="150"/>
      <c r="AI1063" s="150"/>
      <c r="AJ1063" s="150"/>
      <c r="AK1063" s="150"/>
      <c r="AL1063" s="150"/>
      <c r="AM1063" s="150"/>
      <c r="AN1063" s="150"/>
      <c r="AO1063" s="150"/>
      <c r="AP1063" s="150"/>
      <c r="AQ1063" s="150"/>
      <c r="AR1063" s="151"/>
      <c r="AS1063" s="456"/>
      <c r="AT1063" s="151"/>
      <c r="AU1063" s="150"/>
      <c r="AV1063" s="487"/>
      <c r="AW1063" s="150"/>
      <c r="AX1063" s="150"/>
      <c r="AY1063" s="150"/>
      <c r="AZ1063" s="150"/>
      <c r="BA1063" s="150"/>
      <c r="BB1063" s="150"/>
      <c r="BC1063" s="150"/>
      <c r="BD1063" s="150"/>
      <c r="BE1063" s="150"/>
      <c r="BF1063" s="150"/>
      <c r="BG1063" s="150"/>
      <c r="BH1063" s="150"/>
      <c r="BI1063" s="150"/>
      <c r="BJ1063" s="150"/>
      <c r="BK1063" s="466">
        <v>6000</v>
      </c>
      <c r="BL1063" s="160"/>
      <c r="BM1063" s="150"/>
      <c r="BN1063" s="150"/>
      <c r="BO1063" s="150"/>
      <c r="BP1063" s="152"/>
      <c r="BQ1063" s="160"/>
      <c r="BR1063" s="152"/>
      <c r="BS1063" s="160"/>
    </row>
    <row r="1064" spans="1:71" x14ac:dyDescent="0.3">
      <c r="A1064" s="420">
        <f>DL!A1061</f>
        <v>959</v>
      </c>
      <c r="B1064" s="19" t="s">
        <v>1843</v>
      </c>
      <c r="C1064" s="149">
        <v>12</v>
      </c>
      <c r="D1064" s="149" t="str">
        <f>DL!C1061</f>
        <v>1 PACK OF 250 PCS</v>
      </c>
      <c r="E1064" s="150"/>
      <c r="F1064" s="463"/>
      <c r="G1064" s="150"/>
      <c r="H1064" s="150"/>
      <c r="I1064" s="150"/>
      <c r="J1064" s="150"/>
      <c r="K1064" s="168"/>
      <c r="L1064" s="466">
        <v>14000</v>
      </c>
      <c r="M1064" s="150"/>
      <c r="N1064" s="150"/>
      <c r="O1064" s="150"/>
      <c r="P1064" s="150"/>
      <c r="Q1064" s="150">
        <v>9044</v>
      </c>
      <c r="R1064" s="150"/>
      <c r="S1064" s="150"/>
      <c r="T1064" s="150"/>
      <c r="U1064" s="150"/>
      <c r="V1064" s="150"/>
      <c r="W1064" s="168"/>
      <c r="X1064" s="150"/>
      <c r="Y1064" s="150"/>
      <c r="Z1064" s="455"/>
      <c r="AA1064" s="150"/>
      <c r="AB1064" s="150"/>
      <c r="AC1064" s="150"/>
      <c r="AD1064" s="150"/>
      <c r="AE1064" s="150"/>
      <c r="AF1064" s="495">
        <v>0</v>
      </c>
      <c r="AG1064" s="150"/>
      <c r="AH1064" s="150"/>
      <c r="AI1064" s="150"/>
      <c r="AJ1064" s="150"/>
      <c r="AK1064" s="150"/>
      <c r="AL1064" s="150"/>
      <c r="AM1064" s="150"/>
      <c r="AN1064" s="150"/>
      <c r="AO1064" s="150"/>
      <c r="AP1064" s="150"/>
      <c r="AQ1064" s="150"/>
      <c r="AR1064" s="151"/>
      <c r="AS1064" s="456"/>
      <c r="AT1064" s="151"/>
      <c r="AU1064" s="150"/>
      <c r="AV1064" s="487"/>
      <c r="AW1064" s="150"/>
      <c r="AX1064" s="150"/>
      <c r="AY1064" s="150"/>
      <c r="AZ1064" s="150"/>
      <c r="BA1064" s="150"/>
      <c r="BB1064" s="150"/>
      <c r="BC1064" s="150"/>
      <c r="BD1064" s="150"/>
      <c r="BE1064" s="150"/>
      <c r="BF1064" s="150"/>
      <c r="BG1064" s="150"/>
      <c r="BH1064" s="150"/>
      <c r="BI1064" s="150"/>
      <c r="BJ1064" s="150"/>
      <c r="BK1064" s="467">
        <v>6000</v>
      </c>
      <c r="BL1064" s="160"/>
      <c r="BM1064" s="150"/>
      <c r="BN1064" s="150"/>
      <c r="BO1064" s="150"/>
      <c r="BP1064" s="152"/>
      <c r="BQ1064" s="160"/>
      <c r="BR1064" s="152"/>
      <c r="BS1064" s="160"/>
    </row>
    <row r="1065" spans="1:71" x14ac:dyDescent="0.3">
      <c r="A1065" s="420">
        <f>DL!A1062</f>
        <v>960</v>
      </c>
      <c r="B1065" s="19" t="s">
        <v>1844</v>
      </c>
      <c r="C1065" s="149">
        <v>12</v>
      </c>
      <c r="D1065" s="149" t="str">
        <f>DL!C1062</f>
        <v>1 PACK OF 250 PCS</v>
      </c>
      <c r="E1065" s="150"/>
      <c r="F1065" s="463"/>
      <c r="G1065" s="150"/>
      <c r="H1065" s="150"/>
      <c r="I1065" s="150"/>
      <c r="J1065" s="150"/>
      <c r="K1065" s="168"/>
      <c r="L1065" s="466">
        <v>14000</v>
      </c>
      <c r="M1065" s="150"/>
      <c r="N1065" s="150"/>
      <c r="O1065" s="150"/>
      <c r="P1065" s="150"/>
      <c r="Q1065" s="150">
        <v>9044</v>
      </c>
      <c r="R1065" s="150"/>
      <c r="S1065" s="150"/>
      <c r="T1065" s="150"/>
      <c r="U1065" s="150"/>
      <c r="V1065" s="150"/>
      <c r="W1065" s="168"/>
      <c r="X1065" s="150"/>
      <c r="Y1065" s="150"/>
      <c r="Z1065" s="455"/>
      <c r="AA1065" s="150"/>
      <c r="AB1065" s="150"/>
      <c r="AC1065" s="150"/>
      <c r="AD1065" s="150"/>
      <c r="AE1065" s="150"/>
      <c r="AF1065" s="495">
        <v>0</v>
      </c>
      <c r="AG1065" s="150"/>
      <c r="AH1065" s="150"/>
      <c r="AI1065" s="150"/>
      <c r="AJ1065" s="150"/>
      <c r="AK1065" s="150"/>
      <c r="AL1065" s="150"/>
      <c r="AM1065" s="150"/>
      <c r="AN1065" s="150"/>
      <c r="AO1065" s="150"/>
      <c r="AP1065" s="150"/>
      <c r="AQ1065" s="150"/>
      <c r="AR1065" s="151"/>
      <c r="AS1065" s="456"/>
      <c r="AT1065" s="151"/>
      <c r="AU1065" s="150"/>
      <c r="AV1065" s="487"/>
      <c r="AW1065" s="150"/>
      <c r="AX1065" s="150"/>
      <c r="AY1065" s="150"/>
      <c r="AZ1065" s="150"/>
      <c r="BA1065" s="150"/>
      <c r="BB1065" s="150"/>
      <c r="BC1065" s="150"/>
      <c r="BD1065" s="150"/>
      <c r="BE1065" s="150"/>
      <c r="BF1065" s="150"/>
      <c r="BG1065" s="150"/>
      <c r="BH1065" s="150"/>
      <c r="BI1065" s="150"/>
      <c r="BJ1065" s="150"/>
      <c r="BK1065" s="467">
        <v>6000</v>
      </c>
      <c r="BL1065" s="160"/>
      <c r="BM1065" s="150"/>
      <c r="BN1065" s="150"/>
      <c r="BO1065" s="150"/>
      <c r="BP1065" s="152"/>
      <c r="BQ1065" s="160"/>
      <c r="BR1065" s="152"/>
      <c r="BS1065" s="160"/>
    </row>
    <row r="1066" spans="1:71" x14ac:dyDescent="0.3">
      <c r="A1066" s="420">
        <f>DL!A1063</f>
        <v>961</v>
      </c>
      <c r="B1066" s="19" t="s">
        <v>1845</v>
      </c>
      <c r="C1066" s="149">
        <v>12</v>
      </c>
      <c r="D1066" s="149" t="str">
        <f>DL!C1063</f>
        <v>1 PACK OF 250 PCS</v>
      </c>
      <c r="E1066" s="150"/>
      <c r="F1066" s="463"/>
      <c r="G1066" s="150"/>
      <c r="H1066" s="150"/>
      <c r="I1066" s="150"/>
      <c r="J1066" s="150"/>
      <c r="K1066" s="168"/>
      <c r="L1066" s="466">
        <v>14000</v>
      </c>
      <c r="M1066" s="150"/>
      <c r="N1066" s="150"/>
      <c r="O1066" s="150"/>
      <c r="P1066" s="150"/>
      <c r="Q1066" s="150">
        <v>9044</v>
      </c>
      <c r="R1066" s="150"/>
      <c r="S1066" s="150"/>
      <c r="T1066" s="150"/>
      <c r="U1066" s="150"/>
      <c r="V1066" s="150"/>
      <c r="W1066" s="168"/>
      <c r="X1066" s="150"/>
      <c r="Y1066" s="150"/>
      <c r="Z1066" s="455"/>
      <c r="AA1066" s="150"/>
      <c r="AB1066" s="150"/>
      <c r="AC1066" s="150"/>
      <c r="AD1066" s="150"/>
      <c r="AE1066" s="150"/>
      <c r="AF1066" s="495">
        <v>0</v>
      </c>
      <c r="AG1066" s="150"/>
      <c r="AH1066" s="150"/>
      <c r="AI1066" s="150"/>
      <c r="AJ1066" s="150"/>
      <c r="AK1066" s="150"/>
      <c r="AL1066" s="150"/>
      <c r="AM1066" s="150"/>
      <c r="AN1066" s="150"/>
      <c r="AO1066" s="150"/>
      <c r="AP1066" s="150"/>
      <c r="AQ1066" s="150"/>
      <c r="AR1066" s="151"/>
      <c r="AS1066" s="456"/>
      <c r="AT1066" s="151"/>
      <c r="AU1066" s="150"/>
      <c r="AV1066" s="487"/>
      <c r="AW1066" s="150"/>
      <c r="AX1066" s="150"/>
      <c r="AY1066" s="150"/>
      <c r="AZ1066" s="150"/>
      <c r="BA1066" s="150"/>
      <c r="BB1066" s="150"/>
      <c r="BC1066" s="150"/>
      <c r="BD1066" s="150"/>
      <c r="BE1066" s="150"/>
      <c r="BF1066" s="150"/>
      <c r="BG1066" s="150"/>
      <c r="BH1066" s="150"/>
      <c r="BI1066" s="150"/>
      <c r="BJ1066" s="150"/>
      <c r="BK1066" s="467">
        <v>6000</v>
      </c>
      <c r="BL1066" s="160"/>
      <c r="BM1066" s="150"/>
      <c r="BN1066" s="150"/>
      <c r="BO1066" s="150"/>
      <c r="BP1066" s="152"/>
      <c r="BQ1066" s="160"/>
      <c r="BR1066" s="152"/>
      <c r="BS1066" s="160"/>
    </row>
    <row r="1067" spans="1:71" x14ac:dyDescent="0.3">
      <c r="A1067" s="420">
        <f>DL!A1064</f>
        <v>962</v>
      </c>
      <c r="B1067" s="19" t="s">
        <v>1846</v>
      </c>
      <c r="C1067" s="149">
        <v>24</v>
      </c>
      <c r="D1067" s="149" t="str">
        <f>DL!C1064</f>
        <v>1 PACK OF 250 PCS</v>
      </c>
      <c r="E1067" s="150"/>
      <c r="F1067" s="463"/>
      <c r="G1067" s="150"/>
      <c r="H1067" s="150"/>
      <c r="I1067" s="150"/>
      <c r="J1067" s="150"/>
      <c r="K1067" s="168"/>
      <c r="L1067" s="466">
        <v>14000</v>
      </c>
      <c r="M1067" s="150"/>
      <c r="N1067" s="150"/>
      <c r="O1067" s="150"/>
      <c r="P1067" s="150"/>
      <c r="Q1067" s="150">
        <v>9044</v>
      </c>
      <c r="R1067" s="150"/>
      <c r="S1067" s="150"/>
      <c r="T1067" s="150"/>
      <c r="U1067" s="150"/>
      <c r="V1067" s="150"/>
      <c r="W1067" s="168"/>
      <c r="X1067" s="150"/>
      <c r="Y1067" s="150"/>
      <c r="Z1067" s="455"/>
      <c r="AA1067" s="150"/>
      <c r="AB1067" s="150"/>
      <c r="AC1067" s="150"/>
      <c r="AD1067" s="150"/>
      <c r="AE1067" s="150"/>
      <c r="AF1067" s="495">
        <v>0</v>
      </c>
      <c r="AG1067" s="150"/>
      <c r="AH1067" s="150"/>
      <c r="AI1067" s="150"/>
      <c r="AJ1067" s="150"/>
      <c r="AK1067" s="150"/>
      <c r="AL1067" s="150"/>
      <c r="AM1067" s="150"/>
      <c r="AN1067" s="150"/>
      <c r="AO1067" s="150"/>
      <c r="AP1067" s="150"/>
      <c r="AQ1067" s="150"/>
      <c r="AR1067" s="151"/>
      <c r="AS1067" s="456"/>
      <c r="AT1067" s="151"/>
      <c r="AU1067" s="150"/>
      <c r="AV1067" s="487"/>
      <c r="AW1067" s="150"/>
      <c r="AX1067" s="150"/>
      <c r="AY1067" s="150"/>
      <c r="AZ1067" s="150"/>
      <c r="BA1067" s="150"/>
      <c r="BB1067" s="150"/>
      <c r="BC1067" s="150"/>
      <c r="BD1067" s="150"/>
      <c r="BE1067" s="150"/>
      <c r="BF1067" s="150"/>
      <c r="BG1067" s="150"/>
      <c r="BH1067" s="150"/>
      <c r="BI1067" s="150"/>
      <c r="BJ1067" s="150"/>
      <c r="BK1067" s="467">
        <v>6000</v>
      </c>
      <c r="BL1067" s="160"/>
      <c r="BM1067" s="150"/>
      <c r="BN1067" s="150"/>
      <c r="BO1067" s="150"/>
      <c r="BP1067" s="152"/>
      <c r="BQ1067" s="160"/>
      <c r="BR1067" s="152"/>
      <c r="BS1067" s="160"/>
    </row>
    <row r="1068" spans="1:71" x14ac:dyDescent="0.3">
      <c r="A1068" s="420">
        <f>DL!A1065</f>
        <v>963</v>
      </c>
      <c r="B1068" s="19" t="s">
        <v>2075</v>
      </c>
      <c r="C1068" s="149">
        <v>12</v>
      </c>
      <c r="D1068" s="149" t="str">
        <f>DL!C1065</f>
        <v>1 PACK OF 250 PCS</v>
      </c>
      <c r="E1068" s="150"/>
      <c r="F1068" s="463"/>
      <c r="G1068" s="150"/>
      <c r="H1068" s="150"/>
      <c r="I1068" s="150"/>
      <c r="J1068" s="150"/>
      <c r="K1068" s="168"/>
      <c r="L1068" s="466">
        <v>14000</v>
      </c>
      <c r="M1068" s="150"/>
      <c r="N1068" s="150"/>
      <c r="O1068" s="150"/>
      <c r="P1068" s="150"/>
      <c r="Q1068" s="150">
        <v>9044</v>
      </c>
      <c r="R1068" s="150"/>
      <c r="S1068" s="150"/>
      <c r="T1068" s="150"/>
      <c r="U1068" s="150"/>
      <c r="V1068" s="150"/>
      <c r="W1068" s="168"/>
      <c r="X1068" s="150"/>
      <c r="Y1068" s="150"/>
      <c r="Z1068" s="455"/>
      <c r="AA1068" s="150"/>
      <c r="AB1068" s="150"/>
      <c r="AC1068" s="150"/>
      <c r="AD1068" s="150"/>
      <c r="AE1068" s="150"/>
      <c r="AF1068" s="495">
        <v>0</v>
      </c>
      <c r="AG1068" s="150"/>
      <c r="AH1068" s="150"/>
      <c r="AI1068" s="150"/>
      <c r="AJ1068" s="150"/>
      <c r="AK1068" s="150"/>
      <c r="AL1068" s="150"/>
      <c r="AM1068" s="150"/>
      <c r="AN1068" s="150"/>
      <c r="AO1068" s="150"/>
      <c r="AP1068" s="150"/>
      <c r="AQ1068" s="150"/>
      <c r="AR1068" s="151"/>
      <c r="AS1068" s="456"/>
      <c r="AT1068" s="151"/>
      <c r="AU1068" s="150"/>
      <c r="AV1068" s="487"/>
      <c r="AW1068" s="150"/>
      <c r="AX1068" s="150"/>
      <c r="AY1068" s="150"/>
      <c r="AZ1068" s="150"/>
      <c r="BA1068" s="150"/>
      <c r="BB1068" s="150"/>
      <c r="BC1068" s="150"/>
      <c r="BD1068" s="150"/>
      <c r="BE1068" s="150"/>
      <c r="BF1068" s="150"/>
      <c r="BG1068" s="150"/>
      <c r="BH1068" s="150"/>
      <c r="BI1068" s="150"/>
      <c r="BJ1068" s="150"/>
      <c r="BK1068" s="467">
        <v>6000</v>
      </c>
      <c r="BL1068" s="160"/>
      <c r="BM1068" s="150"/>
      <c r="BN1068" s="150"/>
      <c r="BO1068" s="150"/>
      <c r="BP1068" s="152"/>
      <c r="BQ1068" s="160"/>
      <c r="BR1068" s="152"/>
      <c r="BS1068" s="160"/>
    </row>
    <row r="1069" spans="1:71" x14ac:dyDescent="0.3">
      <c r="A1069" s="420">
        <f>DL!A1066</f>
        <v>964</v>
      </c>
      <c r="B1069" s="19" t="s">
        <v>1848</v>
      </c>
      <c r="C1069" s="149">
        <v>12</v>
      </c>
      <c r="D1069" s="149" t="str">
        <f>DL!C1066</f>
        <v>1 PACK OF 250 PCS</v>
      </c>
      <c r="E1069" s="150"/>
      <c r="F1069" s="463"/>
      <c r="G1069" s="150"/>
      <c r="H1069" s="150"/>
      <c r="I1069" s="150"/>
      <c r="J1069" s="150"/>
      <c r="K1069" s="168"/>
      <c r="L1069" s="466">
        <v>14000</v>
      </c>
      <c r="M1069" s="150"/>
      <c r="N1069" s="150"/>
      <c r="O1069" s="150"/>
      <c r="P1069" s="150"/>
      <c r="Q1069" s="150">
        <v>9044</v>
      </c>
      <c r="R1069" s="150"/>
      <c r="S1069" s="150"/>
      <c r="T1069" s="150"/>
      <c r="U1069" s="150"/>
      <c r="V1069" s="150"/>
      <c r="W1069" s="168"/>
      <c r="X1069" s="150"/>
      <c r="Y1069" s="150"/>
      <c r="Z1069" s="455"/>
      <c r="AA1069" s="150"/>
      <c r="AB1069" s="150"/>
      <c r="AC1069" s="150"/>
      <c r="AD1069" s="150"/>
      <c r="AE1069" s="150"/>
      <c r="AF1069" s="495">
        <v>0</v>
      </c>
      <c r="AG1069" s="150"/>
      <c r="AH1069" s="150"/>
      <c r="AI1069" s="150"/>
      <c r="AJ1069" s="150"/>
      <c r="AK1069" s="150"/>
      <c r="AL1069" s="150"/>
      <c r="AM1069" s="150"/>
      <c r="AN1069" s="150"/>
      <c r="AO1069" s="150"/>
      <c r="AP1069" s="150"/>
      <c r="AQ1069" s="150"/>
      <c r="AR1069" s="151"/>
      <c r="AS1069" s="456"/>
      <c r="AT1069" s="151"/>
      <c r="AU1069" s="150"/>
      <c r="AV1069" s="487"/>
      <c r="AW1069" s="150"/>
      <c r="AX1069" s="150"/>
      <c r="AY1069" s="150"/>
      <c r="AZ1069" s="150"/>
      <c r="BA1069" s="150"/>
      <c r="BB1069" s="150"/>
      <c r="BC1069" s="150"/>
      <c r="BD1069" s="150"/>
      <c r="BE1069" s="150"/>
      <c r="BF1069" s="150"/>
      <c r="BG1069" s="150"/>
      <c r="BH1069" s="150"/>
      <c r="BI1069" s="150"/>
      <c r="BJ1069" s="150"/>
      <c r="BK1069" s="467">
        <v>6000</v>
      </c>
      <c r="BL1069" s="160"/>
      <c r="BM1069" s="150"/>
      <c r="BN1069" s="150"/>
      <c r="BO1069" s="150"/>
      <c r="BP1069" s="152"/>
      <c r="BQ1069" s="160"/>
      <c r="BR1069" s="152"/>
      <c r="BS1069" s="160"/>
    </row>
    <row r="1070" spans="1:71" x14ac:dyDescent="0.3">
      <c r="A1070" s="420">
        <f>DL!A1067</f>
        <v>965</v>
      </c>
      <c r="B1070" s="19" t="s">
        <v>1849</v>
      </c>
      <c r="C1070" s="149">
        <v>12</v>
      </c>
      <c r="D1070" s="149" t="str">
        <f>DL!C1067</f>
        <v>1 PACK OF 250 PCS</v>
      </c>
      <c r="E1070" s="150"/>
      <c r="F1070" s="463"/>
      <c r="G1070" s="150"/>
      <c r="H1070" s="150"/>
      <c r="I1070" s="150"/>
      <c r="J1070" s="150"/>
      <c r="K1070" s="168"/>
      <c r="L1070" s="466">
        <v>14000</v>
      </c>
      <c r="M1070" s="150"/>
      <c r="N1070" s="150"/>
      <c r="O1070" s="150"/>
      <c r="P1070" s="150"/>
      <c r="Q1070" s="150">
        <v>9044</v>
      </c>
      <c r="R1070" s="150"/>
      <c r="S1070" s="150"/>
      <c r="T1070" s="150"/>
      <c r="U1070" s="150"/>
      <c r="V1070" s="150"/>
      <c r="W1070" s="168"/>
      <c r="X1070" s="150"/>
      <c r="Y1070" s="150"/>
      <c r="Z1070" s="455"/>
      <c r="AA1070" s="150"/>
      <c r="AB1070" s="150"/>
      <c r="AC1070" s="150"/>
      <c r="AD1070" s="150"/>
      <c r="AE1070" s="150"/>
      <c r="AF1070" s="495">
        <v>0</v>
      </c>
      <c r="AG1070" s="150"/>
      <c r="AH1070" s="150"/>
      <c r="AI1070" s="150"/>
      <c r="AJ1070" s="150"/>
      <c r="AK1070" s="150"/>
      <c r="AL1070" s="150"/>
      <c r="AM1070" s="150"/>
      <c r="AN1070" s="150"/>
      <c r="AO1070" s="150"/>
      <c r="AP1070" s="150"/>
      <c r="AQ1070" s="150"/>
      <c r="AR1070" s="151"/>
      <c r="AS1070" s="456"/>
      <c r="AT1070" s="151"/>
      <c r="AU1070" s="150"/>
      <c r="AV1070" s="487"/>
      <c r="AW1070" s="150"/>
      <c r="AX1070" s="150"/>
      <c r="AY1070" s="150"/>
      <c r="AZ1070" s="150"/>
      <c r="BA1070" s="150"/>
      <c r="BB1070" s="150"/>
      <c r="BC1070" s="150"/>
      <c r="BD1070" s="150"/>
      <c r="BE1070" s="150"/>
      <c r="BF1070" s="150"/>
      <c r="BG1070" s="150"/>
      <c r="BH1070" s="150"/>
      <c r="BI1070" s="150"/>
      <c r="BJ1070" s="150"/>
      <c r="BK1070" s="467">
        <v>6000</v>
      </c>
      <c r="BL1070" s="160"/>
      <c r="BM1070" s="150"/>
      <c r="BN1070" s="150"/>
      <c r="BO1070" s="150"/>
      <c r="BP1070" s="152"/>
      <c r="BQ1070" s="160"/>
      <c r="BR1070" s="152"/>
      <c r="BS1070" s="160"/>
    </row>
    <row r="1071" spans="1:71" x14ac:dyDescent="0.3">
      <c r="A1071" s="420">
        <f>DL!A1068</f>
        <v>966</v>
      </c>
      <c r="B1071" s="19" t="s">
        <v>1850</v>
      </c>
      <c r="C1071" s="149">
        <v>24</v>
      </c>
      <c r="D1071" s="149" t="str">
        <f>DL!C1068</f>
        <v>1 PACK OF 250 PCS</v>
      </c>
      <c r="E1071" s="150"/>
      <c r="F1071" s="463"/>
      <c r="G1071" s="150"/>
      <c r="H1071" s="150"/>
      <c r="I1071" s="150"/>
      <c r="J1071" s="150"/>
      <c r="K1071" s="168"/>
      <c r="L1071" s="466">
        <v>14000</v>
      </c>
      <c r="M1071" s="150"/>
      <c r="N1071" s="150"/>
      <c r="O1071" s="150"/>
      <c r="P1071" s="150"/>
      <c r="Q1071" s="150">
        <v>9044</v>
      </c>
      <c r="R1071" s="150"/>
      <c r="S1071" s="150"/>
      <c r="T1071" s="150"/>
      <c r="U1071" s="150"/>
      <c r="V1071" s="150"/>
      <c r="W1071" s="168"/>
      <c r="X1071" s="150"/>
      <c r="Y1071" s="150"/>
      <c r="Z1071" s="455"/>
      <c r="AA1071" s="150"/>
      <c r="AB1071" s="150"/>
      <c r="AC1071" s="150"/>
      <c r="AD1071" s="150"/>
      <c r="AE1071" s="150"/>
      <c r="AF1071" s="495">
        <v>0</v>
      </c>
      <c r="AG1071" s="150"/>
      <c r="AH1071" s="150"/>
      <c r="AI1071" s="150"/>
      <c r="AJ1071" s="150"/>
      <c r="AK1071" s="150"/>
      <c r="AL1071" s="150"/>
      <c r="AM1071" s="150"/>
      <c r="AN1071" s="150"/>
      <c r="AO1071" s="150"/>
      <c r="AP1071" s="150"/>
      <c r="AQ1071" s="150"/>
      <c r="AR1071" s="151"/>
      <c r="AS1071" s="456"/>
      <c r="AT1071" s="151"/>
      <c r="AU1071" s="150"/>
      <c r="AV1071" s="487"/>
      <c r="AW1071" s="150"/>
      <c r="AX1071" s="150"/>
      <c r="AY1071" s="150"/>
      <c r="AZ1071" s="150"/>
      <c r="BA1071" s="150"/>
      <c r="BB1071" s="150"/>
      <c r="BC1071" s="150"/>
      <c r="BD1071" s="150"/>
      <c r="BE1071" s="150"/>
      <c r="BF1071" s="150"/>
      <c r="BG1071" s="150"/>
      <c r="BH1071" s="150"/>
      <c r="BI1071" s="150"/>
      <c r="BJ1071" s="150"/>
      <c r="BK1071" s="467">
        <v>6000</v>
      </c>
      <c r="BL1071" s="160"/>
      <c r="BM1071" s="150"/>
      <c r="BN1071" s="150"/>
      <c r="BO1071" s="150"/>
      <c r="BP1071" s="152"/>
      <c r="BQ1071" s="160"/>
      <c r="BR1071" s="152"/>
      <c r="BS1071" s="160"/>
    </row>
    <row r="1072" spans="1:71" x14ac:dyDescent="0.3">
      <c r="A1072" s="420">
        <f>DL!A1069</f>
        <v>967</v>
      </c>
      <c r="B1072" s="19" t="s">
        <v>1851</v>
      </c>
      <c r="C1072" s="149">
        <v>12</v>
      </c>
      <c r="D1072" s="149" t="str">
        <f>DL!C1069</f>
        <v>1 PACK OF 250 PCS</v>
      </c>
      <c r="E1072" s="150"/>
      <c r="F1072" s="463"/>
      <c r="G1072" s="150"/>
      <c r="H1072" s="150"/>
      <c r="I1072" s="150"/>
      <c r="J1072" s="150"/>
      <c r="K1072" s="168"/>
      <c r="L1072" s="466">
        <v>14000</v>
      </c>
      <c r="M1072" s="150"/>
      <c r="N1072" s="150"/>
      <c r="O1072" s="150"/>
      <c r="P1072" s="150"/>
      <c r="Q1072" s="150">
        <v>9044</v>
      </c>
      <c r="R1072" s="150"/>
      <c r="S1072" s="150"/>
      <c r="T1072" s="150"/>
      <c r="U1072" s="150"/>
      <c r="V1072" s="150"/>
      <c r="W1072" s="168"/>
      <c r="X1072" s="150"/>
      <c r="Y1072" s="150"/>
      <c r="Z1072" s="455"/>
      <c r="AA1072" s="150"/>
      <c r="AB1072" s="150"/>
      <c r="AC1072" s="150"/>
      <c r="AD1072" s="150"/>
      <c r="AE1072" s="150"/>
      <c r="AF1072" s="495">
        <v>0</v>
      </c>
      <c r="AG1072" s="150"/>
      <c r="AH1072" s="150"/>
      <c r="AI1072" s="150"/>
      <c r="AJ1072" s="150"/>
      <c r="AK1072" s="150"/>
      <c r="AL1072" s="150"/>
      <c r="AM1072" s="150"/>
      <c r="AN1072" s="150"/>
      <c r="AO1072" s="150"/>
      <c r="AP1072" s="150"/>
      <c r="AQ1072" s="150"/>
      <c r="AR1072" s="151"/>
      <c r="AS1072" s="456"/>
      <c r="AT1072" s="151"/>
      <c r="AU1072" s="150"/>
      <c r="AV1072" s="487"/>
      <c r="AW1072" s="150"/>
      <c r="AX1072" s="150"/>
      <c r="AY1072" s="150"/>
      <c r="AZ1072" s="150"/>
      <c r="BA1072" s="150"/>
      <c r="BB1072" s="150"/>
      <c r="BC1072" s="150"/>
      <c r="BD1072" s="150"/>
      <c r="BE1072" s="150"/>
      <c r="BF1072" s="150"/>
      <c r="BG1072" s="150"/>
      <c r="BH1072" s="150"/>
      <c r="BI1072" s="150"/>
      <c r="BJ1072" s="150"/>
      <c r="BK1072" s="467">
        <v>6000</v>
      </c>
      <c r="BL1072" s="160"/>
      <c r="BM1072" s="150"/>
      <c r="BN1072" s="150"/>
      <c r="BO1072" s="150"/>
      <c r="BP1072" s="152"/>
      <c r="BQ1072" s="160"/>
      <c r="BR1072" s="152"/>
      <c r="BS1072" s="160"/>
    </row>
    <row r="1073" spans="1:71" x14ac:dyDescent="0.3">
      <c r="A1073" s="420">
        <f>DL!A1070</f>
        <v>968</v>
      </c>
      <c r="B1073" s="19" t="s">
        <v>1852</v>
      </c>
      <c r="C1073" s="149">
        <v>4</v>
      </c>
      <c r="D1073" s="149" t="str">
        <f>DL!C1070</f>
        <v>1 PACK OF 250 PCS</v>
      </c>
      <c r="E1073" s="150"/>
      <c r="F1073" s="463"/>
      <c r="G1073" s="150"/>
      <c r="H1073" s="150"/>
      <c r="I1073" s="150"/>
      <c r="J1073" s="150"/>
      <c r="K1073" s="168"/>
      <c r="L1073" s="466">
        <v>14000</v>
      </c>
      <c r="M1073" s="150"/>
      <c r="N1073" s="150"/>
      <c r="O1073" s="150"/>
      <c r="P1073" s="150"/>
      <c r="Q1073" s="150">
        <v>17955</v>
      </c>
      <c r="R1073" s="150"/>
      <c r="S1073" s="150"/>
      <c r="T1073" s="150"/>
      <c r="U1073" s="150"/>
      <c r="V1073" s="150"/>
      <c r="W1073" s="168"/>
      <c r="X1073" s="150"/>
      <c r="Y1073" s="150"/>
      <c r="Z1073" s="455"/>
      <c r="AA1073" s="150"/>
      <c r="AB1073" s="150"/>
      <c r="AC1073" s="150"/>
      <c r="AD1073" s="150"/>
      <c r="AE1073" s="150"/>
      <c r="AF1073" s="495">
        <v>0</v>
      </c>
      <c r="AG1073" s="150"/>
      <c r="AH1073" s="150"/>
      <c r="AI1073" s="150"/>
      <c r="AJ1073" s="150"/>
      <c r="AK1073" s="150"/>
      <c r="AL1073" s="150"/>
      <c r="AM1073" s="150"/>
      <c r="AN1073" s="150"/>
      <c r="AO1073" s="150"/>
      <c r="AP1073" s="150"/>
      <c r="AQ1073" s="150"/>
      <c r="AR1073" s="151"/>
      <c r="AS1073" s="456"/>
      <c r="AT1073" s="151"/>
      <c r="AU1073" s="150"/>
      <c r="AV1073" s="487"/>
      <c r="AW1073" s="150"/>
      <c r="AX1073" s="150"/>
      <c r="AY1073" s="150"/>
      <c r="AZ1073" s="150"/>
      <c r="BA1073" s="150"/>
      <c r="BB1073" s="150"/>
      <c r="BC1073" s="150"/>
      <c r="BD1073" s="150"/>
      <c r="BE1073" s="150"/>
      <c r="BF1073" s="150"/>
      <c r="BG1073" s="150"/>
      <c r="BH1073" s="150"/>
      <c r="BI1073" s="150"/>
      <c r="BJ1073" s="150"/>
      <c r="BK1073" s="467">
        <v>8500</v>
      </c>
      <c r="BL1073" s="160"/>
      <c r="BM1073" s="150"/>
      <c r="BN1073" s="150"/>
      <c r="BO1073" s="150"/>
      <c r="BP1073" s="152"/>
      <c r="BQ1073" s="160"/>
      <c r="BR1073" s="152"/>
      <c r="BS1073" s="160"/>
    </row>
    <row r="1074" spans="1:71" x14ac:dyDescent="0.3">
      <c r="A1074" s="420">
        <f>DL!A1071</f>
        <v>969</v>
      </c>
      <c r="B1074" s="19" t="s">
        <v>1853</v>
      </c>
      <c r="C1074" s="149">
        <v>4</v>
      </c>
      <c r="D1074" s="149" t="str">
        <f>DL!C1071</f>
        <v>1 PACK OF 250 PCS</v>
      </c>
      <c r="E1074" s="150"/>
      <c r="F1074" s="463"/>
      <c r="G1074" s="150"/>
      <c r="H1074" s="150"/>
      <c r="I1074" s="150"/>
      <c r="J1074" s="150"/>
      <c r="K1074" s="168"/>
      <c r="L1074" s="466">
        <v>14000</v>
      </c>
      <c r="M1074" s="150"/>
      <c r="N1074" s="150"/>
      <c r="O1074" s="150"/>
      <c r="P1074" s="150"/>
      <c r="Q1074" s="150">
        <v>9044</v>
      </c>
      <c r="R1074" s="150"/>
      <c r="S1074" s="150"/>
      <c r="T1074" s="150"/>
      <c r="U1074" s="150"/>
      <c r="V1074" s="150"/>
      <c r="W1074" s="168"/>
      <c r="X1074" s="150"/>
      <c r="Y1074" s="150"/>
      <c r="Z1074" s="455"/>
      <c r="AA1074" s="150"/>
      <c r="AB1074" s="150"/>
      <c r="AC1074" s="150"/>
      <c r="AD1074" s="150"/>
      <c r="AE1074" s="150"/>
      <c r="AF1074" s="495">
        <v>0</v>
      </c>
      <c r="AG1074" s="150"/>
      <c r="AH1074" s="150"/>
      <c r="AI1074" s="150"/>
      <c r="AJ1074" s="150"/>
      <c r="AK1074" s="150"/>
      <c r="AL1074" s="150"/>
      <c r="AM1074" s="150"/>
      <c r="AN1074" s="150"/>
      <c r="AO1074" s="150"/>
      <c r="AP1074" s="150"/>
      <c r="AQ1074" s="150"/>
      <c r="AR1074" s="151"/>
      <c r="AS1074" s="456"/>
      <c r="AT1074" s="151"/>
      <c r="AU1074" s="150"/>
      <c r="AV1074" s="487"/>
      <c r="AW1074" s="150"/>
      <c r="AX1074" s="150"/>
      <c r="AY1074" s="150"/>
      <c r="AZ1074" s="150"/>
      <c r="BA1074" s="150"/>
      <c r="BB1074" s="150"/>
      <c r="BC1074" s="150"/>
      <c r="BD1074" s="150"/>
      <c r="BE1074" s="150"/>
      <c r="BF1074" s="150"/>
      <c r="BG1074" s="150"/>
      <c r="BH1074" s="150"/>
      <c r="BI1074" s="150"/>
      <c r="BJ1074" s="150"/>
      <c r="BK1074" s="467">
        <v>6500</v>
      </c>
      <c r="BL1074" s="160"/>
      <c r="BM1074" s="150"/>
      <c r="BN1074" s="150"/>
      <c r="BO1074" s="150"/>
      <c r="BP1074" s="152"/>
      <c r="BQ1074" s="160"/>
      <c r="BR1074" s="152"/>
      <c r="BS1074" s="160"/>
    </row>
    <row r="1075" spans="1:71" x14ac:dyDescent="0.3">
      <c r="A1075" s="420">
        <f>DL!A1072</f>
        <v>970</v>
      </c>
      <c r="B1075" s="19" t="s">
        <v>1702</v>
      </c>
      <c r="C1075" s="149">
        <v>4</v>
      </c>
      <c r="D1075" s="149" t="str">
        <f>DL!C1072</f>
        <v>BOTTLE (2.5L)</v>
      </c>
      <c r="E1075" s="150"/>
      <c r="F1075" s="463"/>
      <c r="G1075" s="150"/>
      <c r="H1075" s="150"/>
      <c r="I1075" s="150"/>
      <c r="J1075" s="150"/>
      <c r="K1075" s="168"/>
      <c r="L1075" s="466">
        <v>7000</v>
      </c>
      <c r="M1075" s="150"/>
      <c r="N1075" s="150"/>
      <c r="O1075" s="150"/>
      <c r="P1075" s="150"/>
      <c r="Q1075" s="150">
        <v>6650</v>
      </c>
      <c r="R1075" s="150"/>
      <c r="S1075" s="150"/>
      <c r="T1075" s="150"/>
      <c r="U1075" s="150"/>
      <c r="V1075" s="150"/>
      <c r="W1075" s="168"/>
      <c r="X1075" s="150"/>
      <c r="Y1075" s="150"/>
      <c r="Z1075" s="455"/>
      <c r="AA1075" s="150"/>
      <c r="AB1075" s="150"/>
      <c r="AC1075" s="150"/>
      <c r="AD1075" s="150"/>
      <c r="AE1075" s="150"/>
      <c r="AF1075" s="494">
        <v>16250</v>
      </c>
      <c r="AG1075" s="150"/>
      <c r="AH1075" s="150"/>
      <c r="AI1075" s="150"/>
      <c r="AJ1075" s="150"/>
      <c r="AK1075" s="150"/>
      <c r="AL1075" s="150"/>
      <c r="AM1075" s="150"/>
      <c r="AN1075" s="150"/>
      <c r="AO1075" s="150"/>
      <c r="AP1075" s="150"/>
      <c r="AQ1075" s="150"/>
      <c r="AR1075" s="151"/>
      <c r="AS1075" s="456"/>
      <c r="AT1075" s="151"/>
      <c r="AU1075" s="150"/>
      <c r="AV1075" s="487"/>
      <c r="AW1075" s="150"/>
      <c r="AX1075" s="150"/>
      <c r="AY1075" s="150"/>
      <c r="AZ1075" s="150"/>
      <c r="BA1075" s="150"/>
      <c r="BB1075" s="150"/>
      <c r="BC1075" s="150"/>
      <c r="BD1075" s="150"/>
      <c r="BE1075" s="150"/>
      <c r="BF1075" s="150"/>
      <c r="BG1075" s="150"/>
      <c r="BH1075" s="150"/>
      <c r="BI1075" s="150">
        <v>5000</v>
      </c>
      <c r="BJ1075" s="150"/>
      <c r="BK1075" s="467">
        <v>10500</v>
      </c>
      <c r="BL1075" s="160"/>
      <c r="BM1075" s="150"/>
      <c r="BN1075" s="150"/>
      <c r="BO1075" s="150"/>
      <c r="BP1075" s="152"/>
      <c r="BQ1075" s="160"/>
      <c r="BR1075" s="152"/>
      <c r="BS1075" s="160"/>
    </row>
    <row r="1076" spans="1:71" x14ac:dyDescent="0.3">
      <c r="A1076" s="420">
        <f>DL!A1073</f>
        <v>971</v>
      </c>
      <c r="B1076" s="19" t="s">
        <v>1854</v>
      </c>
      <c r="C1076" s="149">
        <f>DL!L1073</f>
        <v>2</v>
      </c>
      <c r="D1076" s="149" t="str">
        <f>DL!C1073</f>
        <v>BOTTLE (2.5L)</v>
      </c>
      <c r="E1076" s="150"/>
      <c r="F1076" s="463"/>
      <c r="G1076" s="150"/>
      <c r="H1076" s="150"/>
      <c r="I1076" s="150"/>
      <c r="J1076" s="150"/>
      <c r="K1076" s="168"/>
      <c r="L1076" s="466">
        <v>7500</v>
      </c>
      <c r="M1076" s="150"/>
      <c r="N1076" s="150"/>
      <c r="O1076" s="150"/>
      <c r="P1076" s="150"/>
      <c r="Q1076" s="150">
        <v>14630</v>
      </c>
      <c r="R1076" s="150"/>
      <c r="S1076" s="150"/>
      <c r="T1076" s="150"/>
      <c r="U1076" s="150"/>
      <c r="V1076" s="150"/>
      <c r="W1076" s="168"/>
      <c r="X1076" s="150"/>
      <c r="Y1076" s="150"/>
      <c r="Z1076" s="455"/>
      <c r="AA1076" s="150"/>
      <c r="AB1076" s="150"/>
      <c r="AC1076" s="150"/>
      <c r="AD1076" s="150"/>
      <c r="AE1076" s="150"/>
      <c r="AF1076" s="495">
        <v>18460</v>
      </c>
      <c r="AG1076" s="150"/>
      <c r="AH1076" s="150"/>
      <c r="AI1076" s="150"/>
      <c r="AJ1076" s="150"/>
      <c r="AK1076" s="150"/>
      <c r="AL1076" s="150"/>
      <c r="AM1076" s="150"/>
      <c r="AN1076" s="150"/>
      <c r="AO1076" s="150"/>
      <c r="AP1076" s="150"/>
      <c r="AQ1076" s="150"/>
      <c r="AR1076" s="151"/>
      <c r="AS1076" s="456"/>
      <c r="AT1076" s="151"/>
      <c r="AU1076" s="150"/>
      <c r="AV1076" s="487"/>
      <c r="AW1076" s="150"/>
      <c r="AX1076" s="150"/>
      <c r="AY1076" s="150"/>
      <c r="AZ1076" s="150"/>
      <c r="BA1076" s="150"/>
      <c r="BB1076" s="150"/>
      <c r="BC1076" s="150"/>
      <c r="BD1076" s="150"/>
      <c r="BE1076" s="150"/>
      <c r="BF1076" s="150"/>
      <c r="BG1076" s="150"/>
      <c r="BH1076" s="150"/>
      <c r="BI1076" s="150">
        <v>5000</v>
      </c>
      <c r="BJ1076" s="150"/>
      <c r="BK1076" s="467">
        <v>10500</v>
      </c>
      <c r="BL1076" s="160"/>
      <c r="BM1076" s="150"/>
      <c r="BN1076" s="150"/>
      <c r="BO1076" s="150"/>
      <c r="BP1076" s="152"/>
      <c r="BQ1076" s="160"/>
      <c r="BR1076" s="152"/>
      <c r="BS1076" s="160"/>
    </row>
    <row r="1077" spans="1:71" x14ac:dyDescent="0.3">
      <c r="A1077" s="420">
        <f>DL!A1074</f>
        <v>972</v>
      </c>
      <c r="B1077" s="19" t="s">
        <v>1855</v>
      </c>
      <c r="C1077" s="149">
        <f>DL!L1074</f>
        <v>20</v>
      </c>
      <c r="D1077" s="149" t="str">
        <f>DL!C1074</f>
        <v>1 X 1 PIECE</v>
      </c>
      <c r="E1077" s="150"/>
      <c r="F1077" s="463"/>
      <c r="G1077" s="150"/>
      <c r="H1077" s="150"/>
      <c r="I1077" s="150"/>
      <c r="J1077" s="150"/>
      <c r="K1077" s="168"/>
      <c r="L1077" s="466"/>
      <c r="M1077" s="150"/>
      <c r="N1077" s="150"/>
      <c r="O1077" s="150"/>
      <c r="P1077" s="150"/>
      <c r="Q1077" s="150">
        <v>1330</v>
      </c>
      <c r="R1077" s="150"/>
      <c r="S1077" s="150"/>
      <c r="T1077" s="150"/>
      <c r="U1077" s="150"/>
      <c r="V1077" s="150"/>
      <c r="W1077" s="168"/>
      <c r="X1077" s="150"/>
      <c r="Y1077" s="150"/>
      <c r="Z1077" s="455"/>
      <c r="AA1077" s="150"/>
      <c r="AB1077" s="150"/>
      <c r="AC1077" s="150"/>
      <c r="AD1077" s="150"/>
      <c r="AE1077" s="150"/>
      <c r="AF1077" s="494">
        <v>2600</v>
      </c>
      <c r="AG1077" s="150"/>
      <c r="AH1077" s="150"/>
      <c r="AI1077" s="150"/>
      <c r="AJ1077" s="150"/>
      <c r="AK1077" s="150"/>
      <c r="AL1077" s="150"/>
      <c r="AM1077" s="150"/>
      <c r="AN1077" s="150"/>
      <c r="AO1077" s="150"/>
      <c r="AP1077" s="150"/>
      <c r="AQ1077" s="150"/>
      <c r="AR1077" s="151"/>
      <c r="AS1077" s="456"/>
      <c r="AT1077" s="151"/>
      <c r="AU1077" s="150"/>
      <c r="AV1077" s="487"/>
      <c r="AW1077" s="150"/>
      <c r="AX1077" s="150"/>
      <c r="AY1077" s="150"/>
      <c r="AZ1077" s="150"/>
      <c r="BA1077" s="150"/>
      <c r="BB1077" s="150"/>
      <c r="BC1077" s="150"/>
      <c r="BD1077" s="150"/>
      <c r="BE1077" s="150"/>
      <c r="BF1077" s="150"/>
      <c r="BG1077" s="150"/>
      <c r="BH1077" s="150"/>
      <c r="BI1077" s="150"/>
      <c r="BJ1077" s="150"/>
      <c r="BK1077" s="467">
        <v>4500</v>
      </c>
      <c r="BL1077" s="160"/>
      <c r="BM1077" s="150"/>
      <c r="BN1077" s="150"/>
      <c r="BO1077" s="150"/>
      <c r="BP1077" s="152"/>
      <c r="BQ1077" s="160"/>
      <c r="BR1077" s="152"/>
      <c r="BS1077" s="160"/>
    </row>
    <row r="1078" spans="1:71" x14ac:dyDescent="0.3">
      <c r="A1078" s="420">
        <f>DL!A1075</f>
        <v>973</v>
      </c>
      <c r="B1078" s="19" t="s">
        <v>1856</v>
      </c>
      <c r="C1078" s="149">
        <f>DL!L1075</f>
        <v>40</v>
      </c>
      <c r="D1078" s="149" t="str">
        <f>DL!C1075</f>
        <v>1 X 1 PIECE</v>
      </c>
      <c r="E1078" s="150"/>
      <c r="F1078" s="463"/>
      <c r="G1078" s="150"/>
      <c r="H1078" s="150"/>
      <c r="I1078" s="150"/>
      <c r="J1078" s="150"/>
      <c r="K1078" s="168"/>
      <c r="L1078" s="466"/>
      <c r="M1078" s="150"/>
      <c r="N1078" s="150"/>
      <c r="O1078" s="150"/>
      <c r="P1078" s="150"/>
      <c r="Q1078" s="150">
        <v>19950</v>
      </c>
      <c r="R1078" s="150"/>
      <c r="S1078" s="150"/>
      <c r="T1078" s="150"/>
      <c r="U1078" s="150"/>
      <c r="V1078" s="150"/>
      <c r="W1078" s="168"/>
      <c r="X1078" s="150"/>
      <c r="Y1078" s="150"/>
      <c r="Z1078" s="455"/>
      <c r="AA1078" s="150"/>
      <c r="AB1078" s="150"/>
      <c r="AC1078" s="150"/>
      <c r="AD1078" s="150"/>
      <c r="AE1078" s="150"/>
      <c r="AF1078" s="495">
        <v>7800</v>
      </c>
      <c r="AG1078" s="150"/>
      <c r="AH1078" s="150"/>
      <c r="AI1078" s="150"/>
      <c r="AJ1078" s="150"/>
      <c r="AK1078" s="150"/>
      <c r="AL1078" s="150"/>
      <c r="AM1078" s="150"/>
      <c r="AN1078" s="150"/>
      <c r="AO1078" s="150"/>
      <c r="AP1078" s="150"/>
      <c r="AQ1078" s="150"/>
      <c r="AR1078" s="151"/>
      <c r="AS1078" s="456"/>
      <c r="AT1078" s="151"/>
      <c r="AU1078" s="150"/>
      <c r="AV1078" s="487"/>
      <c r="AW1078" s="150"/>
      <c r="AX1078" s="150"/>
      <c r="AY1078" s="150"/>
      <c r="AZ1078" s="150"/>
      <c r="BA1078" s="150"/>
      <c r="BB1078" s="150"/>
      <c r="BC1078" s="150"/>
      <c r="BD1078" s="150"/>
      <c r="BE1078" s="150"/>
      <c r="BF1078" s="150"/>
      <c r="BG1078" s="150"/>
      <c r="BH1078" s="150"/>
      <c r="BI1078" s="150"/>
      <c r="BJ1078" s="150"/>
      <c r="BK1078" s="467">
        <v>180000</v>
      </c>
      <c r="BL1078" s="160"/>
      <c r="BM1078" s="150"/>
      <c r="BN1078" s="150"/>
      <c r="BO1078" s="150"/>
      <c r="BP1078" s="152"/>
      <c r="BQ1078" s="160"/>
      <c r="BR1078" s="152"/>
      <c r="BS1078" s="160"/>
    </row>
    <row r="1079" spans="1:71" x14ac:dyDescent="0.3">
      <c r="A1079" s="420"/>
      <c r="B1079" s="19"/>
      <c r="C1079" s="149">
        <f>DL!L1076</f>
        <v>0</v>
      </c>
      <c r="D1079" s="149">
        <f>DL!C1076</f>
        <v>0</v>
      </c>
      <c r="E1079" s="150"/>
      <c r="F1079" s="463"/>
      <c r="G1079" s="150"/>
      <c r="H1079" s="150"/>
      <c r="I1079" s="150"/>
      <c r="J1079" s="150"/>
      <c r="K1079" s="168"/>
      <c r="L1079" s="500"/>
      <c r="M1079" s="150"/>
      <c r="N1079" s="150"/>
      <c r="O1079" s="150"/>
      <c r="P1079" s="150"/>
      <c r="Q1079" s="150"/>
      <c r="R1079" s="150"/>
      <c r="S1079" s="150"/>
      <c r="T1079" s="150"/>
      <c r="U1079" s="150"/>
      <c r="V1079" s="150"/>
      <c r="W1079" s="168"/>
      <c r="X1079" s="150"/>
      <c r="Y1079" s="150"/>
      <c r="Z1079" s="455"/>
      <c r="AA1079" s="150"/>
      <c r="AB1079" s="150"/>
      <c r="AC1079" s="150"/>
      <c r="AD1079" s="150"/>
      <c r="AE1079" s="150"/>
      <c r="AF1079" s="499"/>
      <c r="AG1079" s="150"/>
      <c r="AH1079" s="150"/>
      <c r="AI1079" s="150"/>
      <c r="AJ1079" s="150"/>
      <c r="AK1079" s="150"/>
      <c r="AL1079" s="150"/>
      <c r="AM1079" s="150"/>
      <c r="AN1079" s="150"/>
      <c r="AO1079" s="150"/>
      <c r="AP1079" s="150"/>
      <c r="AQ1079" s="150"/>
      <c r="AR1079" s="151"/>
      <c r="AS1079" s="456"/>
      <c r="AT1079" s="151"/>
      <c r="AU1079" s="150"/>
      <c r="AV1079" s="487"/>
      <c r="AW1079" s="150"/>
      <c r="AX1079" s="150"/>
      <c r="AY1079" s="150"/>
      <c r="AZ1079" s="150"/>
      <c r="BA1079" s="150"/>
      <c r="BB1079" s="150"/>
      <c r="BC1079" s="150"/>
      <c r="BD1079" s="150"/>
      <c r="BE1079" s="150"/>
      <c r="BF1079" s="150"/>
      <c r="BG1079" s="150"/>
      <c r="BH1079" s="150"/>
      <c r="BI1079" s="150"/>
      <c r="BJ1079" s="150"/>
      <c r="BK1079" s="466"/>
      <c r="BL1079" s="160"/>
      <c r="BM1079" s="150"/>
      <c r="BN1079" s="150"/>
      <c r="BO1079" s="150"/>
      <c r="BP1079" s="152"/>
      <c r="BQ1079" s="160"/>
      <c r="BR1079" s="152"/>
      <c r="BS1079" s="160"/>
    </row>
    <row r="1080" spans="1:71" x14ac:dyDescent="0.3">
      <c r="A1080" s="420"/>
      <c r="B1080" s="19"/>
      <c r="C1080" s="149">
        <f>DL!L1077</f>
        <v>0</v>
      </c>
      <c r="D1080" s="149">
        <f>DL!C1077</f>
        <v>0</v>
      </c>
      <c r="E1080" s="150"/>
      <c r="F1080" s="463"/>
      <c r="G1080" s="150"/>
      <c r="H1080" s="150"/>
      <c r="I1080" s="150"/>
      <c r="J1080" s="150"/>
      <c r="K1080" s="168"/>
      <c r="L1080" s="500"/>
      <c r="M1080" s="150"/>
      <c r="N1080" s="150"/>
      <c r="O1080" s="150"/>
      <c r="P1080" s="150"/>
      <c r="Q1080" s="150"/>
      <c r="R1080" s="150"/>
      <c r="S1080" s="150"/>
      <c r="T1080" s="150"/>
      <c r="U1080" s="150"/>
      <c r="V1080" s="150"/>
      <c r="W1080" s="168"/>
      <c r="X1080" s="150"/>
      <c r="Y1080" s="150"/>
      <c r="Z1080" s="455"/>
      <c r="AA1080" s="150"/>
      <c r="AB1080" s="150"/>
      <c r="AC1080" s="150"/>
      <c r="AD1080" s="150"/>
      <c r="AE1080" s="150"/>
      <c r="AF1080" s="499"/>
      <c r="AG1080" s="150"/>
      <c r="AH1080" s="150"/>
      <c r="AI1080" s="150"/>
      <c r="AJ1080" s="150"/>
      <c r="AK1080" s="150"/>
      <c r="AL1080" s="150"/>
      <c r="AM1080" s="150"/>
      <c r="AN1080" s="150"/>
      <c r="AO1080" s="150"/>
      <c r="AP1080" s="150"/>
      <c r="AQ1080" s="150"/>
      <c r="AR1080" s="151"/>
      <c r="AS1080" s="456"/>
      <c r="AT1080" s="151"/>
      <c r="AU1080" s="150"/>
      <c r="AV1080" s="487"/>
      <c r="AW1080" s="150"/>
      <c r="AX1080" s="150"/>
      <c r="AY1080" s="150"/>
      <c r="AZ1080" s="150"/>
      <c r="BA1080" s="150"/>
      <c r="BB1080" s="150"/>
      <c r="BC1080" s="150"/>
      <c r="BD1080" s="150"/>
      <c r="BE1080" s="150"/>
      <c r="BF1080" s="150"/>
      <c r="BG1080" s="150"/>
      <c r="BH1080" s="150"/>
      <c r="BI1080" s="150"/>
      <c r="BJ1080" s="150"/>
      <c r="BK1080" s="152"/>
      <c r="BL1080" s="160"/>
      <c r="BM1080" s="150"/>
      <c r="BN1080" s="150"/>
      <c r="BO1080" s="150"/>
      <c r="BP1080" s="152"/>
      <c r="BQ1080" s="160"/>
      <c r="BR1080" s="152"/>
      <c r="BS1080" s="160"/>
    </row>
    <row r="1081" spans="1:71" x14ac:dyDescent="0.3">
      <c r="A1081" s="420"/>
      <c r="B1081" s="20" t="s">
        <v>1857</v>
      </c>
      <c r="C1081" s="149">
        <f>DL!L1078</f>
        <v>0</v>
      </c>
      <c r="D1081" s="149">
        <f>DL!C1078</f>
        <v>0</v>
      </c>
      <c r="E1081" s="150"/>
      <c r="F1081" s="463"/>
      <c r="G1081" s="150"/>
      <c r="H1081" s="150"/>
      <c r="I1081" s="150"/>
      <c r="J1081" s="150"/>
      <c r="K1081" s="168"/>
      <c r="L1081" s="500"/>
      <c r="M1081" s="150"/>
      <c r="N1081" s="150"/>
      <c r="O1081" s="150"/>
      <c r="P1081" s="150"/>
      <c r="Q1081" s="150"/>
      <c r="R1081" s="150"/>
      <c r="S1081" s="150"/>
      <c r="T1081" s="150"/>
      <c r="U1081" s="150"/>
      <c r="V1081" s="150"/>
      <c r="W1081" s="168"/>
      <c r="X1081" s="150"/>
      <c r="Y1081" s="150"/>
      <c r="Z1081" s="455"/>
      <c r="AA1081" s="150"/>
      <c r="AB1081" s="150"/>
      <c r="AC1081" s="150"/>
      <c r="AD1081" s="150"/>
      <c r="AE1081" s="150"/>
      <c r="AF1081" s="499"/>
      <c r="AG1081" s="150"/>
      <c r="AH1081" s="150"/>
      <c r="AI1081" s="150"/>
      <c r="AJ1081" s="150"/>
      <c r="AK1081" s="150"/>
      <c r="AL1081" s="150"/>
      <c r="AM1081" s="150"/>
      <c r="AN1081" s="150"/>
      <c r="AO1081" s="150"/>
      <c r="AP1081" s="150"/>
      <c r="AQ1081" s="150"/>
      <c r="AR1081" s="151"/>
      <c r="AS1081" s="456"/>
      <c r="AT1081" s="151"/>
      <c r="AU1081" s="150"/>
      <c r="AV1081" s="487"/>
      <c r="AW1081" s="150"/>
      <c r="AX1081" s="150"/>
      <c r="AY1081" s="150"/>
      <c r="AZ1081" s="150"/>
      <c r="BA1081" s="150"/>
      <c r="BB1081" s="150"/>
      <c r="BC1081" s="150"/>
      <c r="BD1081" s="150"/>
      <c r="BE1081" s="150"/>
      <c r="BF1081" s="150"/>
      <c r="BG1081" s="150"/>
      <c r="BH1081" s="150"/>
      <c r="BI1081" s="150"/>
      <c r="BJ1081" s="150"/>
      <c r="BK1081" s="152"/>
      <c r="BL1081" s="160"/>
      <c r="BM1081" s="150"/>
      <c r="BN1081" s="150"/>
      <c r="BO1081" s="150"/>
      <c r="BP1081" s="152"/>
      <c r="BQ1081" s="160"/>
      <c r="BR1081" s="152"/>
      <c r="BS1081" s="160"/>
    </row>
    <row r="1082" spans="1:71" ht="22.5" x14ac:dyDescent="0.3">
      <c r="A1082" s="420">
        <f>DL!A1079</f>
        <v>974</v>
      </c>
      <c r="B1082" s="19" t="s">
        <v>1858</v>
      </c>
      <c r="C1082" s="149">
        <v>500</v>
      </c>
      <c r="D1082" s="149" t="str">
        <f>DL!C1079</f>
        <v>12 PCS/CARTON</v>
      </c>
      <c r="E1082" s="150"/>
      <c r="F1082" s="463"/>
      <c r="G1082" s="150"/>
      <c r="H1082" s="150"/>
      <c r="I1082" s="150"/>
      <c r="J1082" s="150"/>
      <c r="K1082" s="168"/>
      <c r="L1082" s="500"/>
      <c r="M1082" s="150">
        <v>4800</v>
      </c>
      <c r="N1082" s="150"/>
      <c r="O1082" s="150"/>
      <c r="P1082" s="150"/>
      <c r="Q1082" s="150">
        <v>499</v>
      </c>
      <c r="R1082" s="150"/>
      <c r="S1082" s="150"/>
      <c r="T1082" s="150"/>
      <c r="U1082" s="150"/>
      <c r="V1082" s="150"/>
      <c r="W1082" s="168"/>
      <c r="X1082" s="150"/>
      <c r="Y1082" s="150"/>
      <c r="Z1082" s="455"/>
      <c r="AA1082" s="150"/>
      <c r="AB1082" s="150"/>
      <c r="AC1082" s="150">
        <v>5400</v>
      </c>
      <c r="AD1082" s="150"/>
      <c r="AE1082" s="150"/>
      <c r="AF1082" s="499"/>
      <c r="AG1082" s="150"/>
      <c r="AH1082" s="150"/>
      <c r="AI1082" s="150"/>
      <c r="AJ1082" s="150"/>
      <c r="AK1082" s="150"/>
      <c r="AL1082" s="150"/>
      <c r="AM1082" s="150"/>
      <c r="AN1082" s="150"/>
      <c r="AO1082" s="150"/>
      <c r="AP1082" s="150"/>
      <c r="AQ1082" s="150"/>
      <c r="AR1082" s="151"/>
      <c r="AS1082" s="456"/>
      <c r="AT1082" s="151"/>
      <c r="AU1082" s="150"/>
      <c r="AV1082" s="487"/>
      <c r="AW1082" s="150"/>
      <c r="AX1082" s="150"/>
      <c r="AY1082" s="150"/>
      <c r="AZ1082" s="150"/>
      <c r="BA1082" s="150"/>
      <c r="BB1082" s="150"/>
      <c r="BC1082" s="150"/>
      <c r="BD1082" s="150"/>
      <c r="BE1082" s="150"/>
      <c r="BF1082" s="150"/>
      <c r="BG1082" s="150"/>
      <c r="BH1082" s="150"/>
      <c r="BI1082" s="150">
        <v>4660</v>
      </c>
      <c r="BJ1082" s="150"/>
      <c r="BK1082" s="511">
        <v>5625</v>
      </c>
      <c r="BL1082" s="160"/>
      <c r="BM1082" s="150"/>
      <c r="BN1082" s="150"/>
      <c r="BO1082" s="150"/>
      <c r="BP1082" s="152"/>
      <c r="BQ1082" s="160"/>
      <c r="BR1082" s="152"/>
      <c r="BS1082" s="160"/>
    </row>
    <row r="1083" spans="1:71" ht="22.5" x14ac:dyDescent="0.3">
      <c r="A1083" s="420">
        <f>DL!A1080</f>
        <v>975</v>
      </c>
      <c r="B1083" s="19" t="s">
        <v>1860</v>
      </c>
      <c r="C1083" s="149">
        <f>DL!L1080</f>
        <v>96</v>
      </c>
      <c r="D1083" s="149" t="str">
        <f>DL!C1080</f>
        <v>25/CARTON</v>
      </c>
      <c r="E1083" s="150"/>
      <c r="F1083" s="463"/>
      <c r="G1083" s="150"/>
      <c r="H1083" s="150"/>
      <c r="I1083" s="150"/>
      <c r="J1083" s="150"/>
      <c r="K1083" s="168"/>
      <c r="L1083" s="500"/>
      <c r="M1083" s="150">
        <v>6000</v>
      </c>
      <c r="N1083" s="150"/>
      <c r="O1083" s="150"/>
      <c r="P1083" s="150"/>
      <c r="Q1083" s="150">
        <v>7980</v>
      </c>
      <c r="R1083" s="150"/>
      <c r="S1083" s="150"/>
      <c r="T1083" s="150"/>
      <c r="U1083" s="150"/>
      <c r="V1083" s="150"/>
      <c r="W1083" s="168"/>
      <c r="X1083" s="150"/>
      <c r="Y1083" s="150"/>
      <c r="Z1083" s="455"/>
      <c r="AA1083" s="150"/>
      <c r="AB1083" s="150"/>
      <c r="AC1083" s="150"/>
      <c r="AD1083" s="150"/>
      <c r="AE1083" s="150"/>
      <c r="AF1083" s="499"/>
      <c r="AG1083" s="150"/>
      <c r="AH1083" s="150"/>
      <c r="AI1083" s="150"/>
      <c r="AJ1083" s="150"/>
      <c r="AK1083" s="150"/>
      <c r="AL1083" s="150"/>
      <c r="AM1083" s="150"/>
      <c r="AN1083" s="150"/>
      <c r="AO1083" s="150"/>
      <c r="AP1083" s="150"/>
      <c r="AQ1083" s="150"/>
      <c r="AR1083" s="151"/>
      <c r="AS1083" s="456"/>
      <c r="AT1083" s="151"/>
      <c r="AU1083" s="150"/>
      <c r="AV1083" s="487"/>
      <c r="AW1083" s="150"/>
      <c r="AX1083" s="150"/>
      <c r="AY1083" s="150"/>
      <c r="AZ1083" s="150"/>
      <c r="BA1083" s="150"/>
      <c r="BB1083" s="150"/>
      <c r="BC1083" s="150"/>
      <c r="BD1083" s="150"/>
      <c r="BE1083" s="150"/>
      <c r="BF1083" s="150"/>
      <c r="BG1083" s="150"/>
      <c r="BH1083" s="150"/>
      <c r="BI1083" s="150">
        <v>7000</v>
      </c>
      <c r="BJ1083" s="150"/>
      <c r="BK1083" s="511">
        <v>8500</v>
      </c>
      <c r="BL1083" s="160"/>
      <c r="BM1083" s="150"/>
      <c r="BN1083" s="150"/>
      <c r="BO1083" s="150"/>
      <c r="BP1083" s="152"/>
      <c r="BQ1083" s="160"/>
      <c r="BR1083" s="152"/>
      <c r="BS1083" s="160"/>
    </row>
    <row r="1084" spans="1:71" ht="22.5" x14ac:dyDescent="0.3">
      <c r="A1084" s="420">
        <f>DL!A1081</f>
        <v>976</v>
      </c>
      <c r="B1084" s="19" t="s">
        <v>1861</v>
      </c>
      <c r="C1084" s="149">
        <v>250</v>
      </c>
      <c r="D1084" s="149" t="str">
        <f>DL!C1081</f>
        <v>100/PACK</v>
      </c>
      <c r="E1084" s="150"/>
      <c r="F1084" s="463"/>
      <c r="G1084" s="150"/>
      <c r="H1084" s="150"/>
      <c r="I1084" s="150"/>
      <c r="J1084" s="150"/>
      <c r="K1084" s="168"/>
      <c r="L1084" s="500"/>
      <c r="M1084" s="150"/>
      <c r="N1084" s="150"/>
      <c r="O1084" s="150"/>
      <c r="P1084" s="150"/>
      <c r="Q1084" s="150">
        <v>31920</v>
      </c>
      <c r="R1084" s="150"/>
      <c r="S1084" s="150"/>
      <c r="T1084" s="150"/>
      <c r="U1084" s="150"/>
      <c r="V1084" s="150"/>
      <c r="W1084" s="168"/>
      <c r="X1084" s="150"/>
      <c r="Y1084" s="150"/>
      <c r="Z1084" s="455"/>
      <c r="AA1084" s="150"/>
      <c r="AB1084" s="150"/>
      <c r="AC1084" s="150">
        <v>3000</v>
      </c>
      <c r="AD1084" s="150"/>
      <c r="AE1084" s="150"/>
      <c r="AF1084" s="499"/>
      <c r="AG1084" s="150"/>
      <c r="AH1084" s="150"/>
      <c r="AI1084" s="150"/>
      <c r="AJ1084" s="150"/>
      <c r="AK1084" s="150"/>
      <c r="AL1084" s="150"/>
      <c r="AM1084" s="150"/>
      <c r="AN1084" s="150"/>
      <c r="AO1084" s="150"/>
      <c r="AP1084" s="150"/>
      <c r="AQ1084" s="150"/>
      <c r="AR1084" s="151"/>
      <c r="AS1084" s="456"/>
      <c r="AT1084" s="151"/>
      <c r="AU1084" s="150"/>
      <c r="AV1084" s="487"/>
      <c r="AW1084" s="150"/>
      <c r="AX1084" s="150"/>
      <c r="AY1084" s="150"/>
      <c r="AZ1084" s="150"/>
      <c r="BA1084" s="150"/>
      <c r="BB1084" s="150"/>
      <c r="BC1084" s="150"/>
      <c r="BD1084" s="150"/>
      <c r="BE1084" s="150"/>
      <c r="BF1084" s="150"/>
      <c r="BG1084" s="150"/>
      <c r="BH1084" s="150"/>
      <c r="BI1084" s="150">
        <v>3600</v>
      </c>
      <c r="BJ1084" s="150"/>
      <c r="BK1084" s="511">
        <v>6000</v>
      </c>
      <c r="BL1084" s="160"/>
      <c r="BM1084" s="150"/>
      <c r="BN1084" s="150"/>
      <c r="BO1084" s="150"/>
      <c r="BP1084" s="152"/>
      <c r="BQ1084" s="160"/>
      <c r="BR1084" s="152"/>
      <c r="BS1084" s="160"/>
    </row>
    <row r="1085" spans="1:71" ht="22.5" x14ac:dyDescent="0.3">
      <c r="A1085" s="420">
        <f>DL!A1082</f>
        <v>977</v>
      </c>
      <c r="B1085" s="19" t="s">
        <v>1862</v>
      </c>
      <c r="C1085" s="149">
        <v>250</v>
      </c>
      <c r="D1085" s="149" t="str">
        <f>DL!C1082</f>
        <v>100/PACK</v>
      </c>
      <c r="E1085" s="150"/>
      <c r="F1085" s="463"/>
      <c r="G1085" s="150"/>
      <c r="H1085" s="150"/>
      <c r="I1085" s="150"/>
      <c r="J1085" s="150"/>
      <c r="K1085" s="168"/>
      <c r="L1085" s="500"/>
      <c r="M1085" s="150"/>
      <c r="N1085" s="150"/>
      <c r="O1085" s="150"/>
      <c r="P1085" s="150"/>
      <c r="Q1085" s="150">
        <v>31920</v>
      </c>
      <c r="R1085" s="150"/>
      <c r="S1085" s="150"/>
      <c r="T1085" s="150"/>
      <c r="U1085" s="150"/>
      <c r="V1085" s="150"/>
      <c r="W1085" s="168"/>
      <c r="X1085" s="150"/>
      <c r="Y1085" s="150"/>
      <c r="Z1085" s="455"/>
      <c r="AA1085" s="150"/>
      <c r="AB1085" s="150"/>
      <c r="AC1085" s="150">
        <v>3000</v>
      </c>
      <c r="AD1085" s="150"/>
      <c r="AE1085" s="150"/>
      <c r="AF1085" s="499"/>
      <c r="AG1085" s="150"/>
      <c r="AH1085" s="150"/>
      <c r="AI1085" s="150"/>
      <c r="AJ1085" s="150"/>
      <c r="AK1085" s="150"/>
      <c r="AL1085" s="150"/>
      <c r="AM1085" s="150"/>
      <c r="AN1085" s="150"/>
      <c r="AO1085" s="150"/>
      <c r="AP1085" s="150"/>
      <c r="AQ1085" s="150"/>
      <c r="AR1085" s="151"/>
      <c r="AS1085" s="456"/>
      <c r="AT1085" s="151"/>
      <c r="AU1085" s="150"/>
      <c r="AV1085" s="487"/>
      <c r="AW1085" s="150"/>
      <c r="AX1085" s="150"/>
      <c r="AY1085" s="150"/>
      <c r="AZ1085" s="150"/>
      <c r="BA1085" s="150"/>
      <c r="BB1085" s="150"/>
      <c r="BC1085" s="150"/>
      <c r="BD1085" s="150"/>
      <c r="BE1085" s="150"/>
      <c r="BF1085" s="150"/>
      <c r="BG1085" s="150"/>
      <c r="BH1085" s="150"/>
      <c r="BI1085" s="150">
        <v>3650</v>
      </c>
      <c r="BJ1085" s="150"/>
      <c r="BK1085" s="511">
        <v>6000</v>
      </c>
      <c r="BL1085" s="160"/>
      <c r="BM1085" s="150"/>
      <c r="BN1085" s="150"/>
      <c r="BO1085" s="150"/>
      <c r="BP1085" s="152"/>
      <c r="BQ1085" s="160"/>
      <c r="BR1085" s="152"/>
      <c r="BS1085" s="160"/>
    </row>
    <row r="1086" spans="1:71" ht="22.5" x14ac:dyDescent="0.3">
      <c r="A1086" s="420">
        <f>DL!A1083</f>
        <v>978</v>
      </c>
      <c r="B1086" s="19" t="s">
        <v>1863</v>
      </c>
      <c r="C1086" s="149">
        <v>450</v>
      </c>
      <c r="D1086" s="149" t="str">
        <f>DL!C1083</f>
        <v>100/PACK</v>
      </c>
      <c r="E1086" s="150"/>
      <c r="F1086" s="463"/>
      <c r="G1086" s="150"/>
      <c r="H1086" s="150"/>
      <c r="I1086" s="150"/>
      <c r="J1086" s="150"/>
      <c r="K1086" s="168"/>
      <c r="L1086" s="500"/>
      <c r="M1086" s="150"/>
      <c r="N1086" s="150"/>
      <c r="O1086" s="150"/>
      <c r="P1086" s="150"/>
      <c r="Q1086" s="150">
        <v>26600</v>
      </c>
      <c r="R1086" s="150"/>
      <c r="S1086" s="150"/>
      <c r="T1086" s="150"/>
      <c r="U1086" s="150"/>
      <c r="V1086" s="150"/>
      <c r="W1086" s="168"/>
      <c r="X1086" s="150"/>
      <c r="Y1086" s="150"/>
      <c r="Z1086" s="455"/>
      <c r="AA1086" s="150"/>
      <c r="AB1086" s="150"/>
      <c r="AC1086" s="150">
        <v>5500</v>
      </c>
      <c r="AD1086" s="150"/>
      <c r="AE1086" s="150"/>
      <c r="AF1086" s="499"/>
      <c r="AG1086" s="150"/>
      <c r="AH1086" s="150"/>
      <c r="AI1086" s="150"/>
      <c r="AJ1086" s="150"/>
      <c r="AK1086" s="150"/>
      <c r="AL1086" s="150"/>
      <c r="AM1086" s="150"/>
      <c r="AN1086" s="150"/>
      <c r="AO1086" s="150"/>
      <c r="AP1086" s="150"/>
      <c r="AQ1086" s="150"/>
      <c r="AR1086" s="151"/>
      <c r="AS1086" s="456"/>
      <c r="AT1086" s="151"/>
      <c r="AU1086" s="150"/>
      <c r="AV1086" s="487"/>
      <c r="AW1086" s="150"/>
      <c r="AX1086" s="150"/>
      <c r="AY1086" s="150"/>
      <c r="AZ1086" s="150"/>
      <c r="BA1086" s="150"/>
      <c r="BB1086" s="150"/>
      <c r="BC1086" s="150"/>
      <c r="BD1086" s="150"/>
      <c r="BE1086" s="150"/>
      <c r="BF1086" s="150"/>
      <c r="BG1086" s="150"/>
      <c r="BH1086" s="150"/>
      <c r="BI1086" s="150">
        <v>3400</v>
      </c>
      <c r="BJ1086" s="150"/>
      <c r="BK1086" s="511">
        <v>5000</v>
      </c>
      <c r="BL1086" s="160"/>
      <c r="BM1086" s="150"/>
      <c r="BN1086" s="150"/>
      <c r="BO1086" s="150"/>
      <c r="BP1086" s="152"/>
      <c r="BQ1086" s="160"/>
      <c r="BR1086" s="152"/>
      <c r="BS1086" s="160"/>
    </row>
    <row r="1087" spans="1:71" ht="22.5" x14ac:dyDescent="0.3">
      <c r="A1087" s="420">
        <f>DL!A1084</f>
        <v>979</v>
      </c>
      <c r="B1087" s="19" t="s">
        <v>1864</v>
      </c>
      <c r="C1087" s="149">
        <f>DL!L1084</f>
        <v>288</v>
      </c>
      <c r="D1087" s="149" t="s">
        <v>2078</v>
      </c>
      <c r="E1087" s="150"/>
      <c r="F1087" s="463"/>
      <c r="G1087" s="150"/>
      <c r="H1087" s="150"/>
      <c r="I1087" s="150"/>
      <c r="J1087" s="150"/>
      <c r="K1087" s="168"/>
      <c r="L1087" s="500"/>
      <c r="M1087" s="150">
        <v>500</v>
      </c>
      <c r="N1087" s="150"/>
      <c r="O1087" s="150"/>
      <c r="P1087" s="150"/>
      <c r="Q1087" s="150">
        <v>1064</v>
      </c>
      <c r="R1087" s="150"/>
      <c r="S1087" s="150"/>
      <c r="T1087" s="150"/>
      <c r="U1087" s="150"/>
      <c r="V1087" s="150"/>
      <c r="W1087" s="168"/>
      <c r="X1087" s="150"/>
      <c r="Y1087" s="150"/>
      <c r="Z1087" s="455"/>
      <c r="AA1087" s="150"/>
      <c r="AB1087" s="150"/>
      <c r="AC1087" s="150"/>
      <c r="AD1087" s="150"/>
      <c r="AE1087" s="150"/>
      <c r="AF1087" s="499"/>
      <c r="AG1087" s="150"/>
      <c r="AH1087" s="150"/>
      <c r="AI1087" s="150"/>
      <c r="AJ1087" s="150"/>
      <c r="AK1087" s="150"/>
      <c r="AL1087" s="150"/>
      <c r="AM1087" s="150"/>
      <c r="AN1087" s="150"/>
      <c r="AO1087" s="150"/>
      <c r="AP1087" s="150"/>
      <c r="AQ1087" s="150"/>
      <c r="AR1087" s="151"/>
      <c r="AS1087" s="456"/>
      <c r="AT1087" s="151"/>
      <c r="AU1087" s="150"/>
      <c r="AV1087" s="487"/>
      <c r="AW1087" s="150"/>
      <c r="AX1087" s="150"/>
      <c r="AY1087" s="150"/>
      <c r="AZ1087" s="150"/>
      <c r="BA1087" s="150"/>
      <c r="BB1087" s="150"/>
      <c r="BC1087" s="150"/>
      <c r="BD1087" s="150"/>
      <c r="BE1087" s="150"/>
      <c r="BF1087" s="150"/>
      <c r="BG1087" s="150"/>
      <c r="BH1087" s="150"/>
      <c r="BI1087" s="150">
        <v>800</v>
      </c>
      <c r="BJ1087" s="150"/>
      <c r="BK1087" s="511"/>
      <c r="BL1087" s="160"/>
      <c r="BM1087" s="150"/>
      <c r="BN1087" s="150"/>
      <c r="BO1087" s="150"/>
      <c r="BP1087" s="152"/>
      <c r="BQ1087" s="160"/>
      <c r="BR1087" s="152"/>
      <c r="BS1087" s="160"/>
    </row>
    <row r="1088" spans="1:71" ht="22.5" x14ac:dyDescent="0.3">
      <c r="A1088" s="420">
        <f>DL!A1085</f>
        <v>980</v>
      </c>
      <c r="B1088" s="19" t="s">
        <v>1865</v>
      </c>
      <c r="C1088" s="149">
        <f>DL!L1085</f>
        <v>525</v>
      </c>
      <c r="D1088" s="149" t="str">
        <f>DL!C1085</f>
        <v>100/PACK</v>
      </c>
      <c r="E1088" s="150"/>
      <c r="F1088" s="463"/>
      <c r="G1088" s="150"/>
      <c r="H1088" s="150"/>
      <c r="I1088" s="150"/>
      <c r="J1088" s="150"/>
      <c r="K1088" s="168"/>
      <c r="L1088" s="500"/>
      <c r="M1088" s="150">
        <v>450</v>
      </c>
      <c r="N1088" s="150"/>
      <c r="O1088" s="150"/>
      <c r="P1088" s="150"/>
      <c r="Q1088" s="150">
        <v>599</v>
      </c>
      <c r="R1088" s="150"/>
      <c r="S1088" s="150"/>
      <c r="T1088" s="150"/>
      <c r="U1088" s="150"/>
      <c r="V1088" s="150"/>
      <c r="W1088" s="168"/>
      <c r="X1088" s="150"/>
      <c r="Y1088" s="150"/>
      <c r="Z1088" s="455"/>
      <c r="AA1088" s="150"/>
      <c r="AB1088" s="150"/>
      <c r="AC1088" s="150">
        <v>330</v>
      </c>
      <c r="AD1088" s="150"/>
      <c r="AE1088" s="150"/>
      <c r="AF1088" s="499"/>
      <c r="AG1088" s="150"/>
      <c r="AH1088" s="150"/>
      <c r="AI1088" s="150"/>
      <c r="AJ1088" s="150"/>
      <c r="AK1088" s="150"/>
      <c r="AL1088" s="150"/>
      <c r="AM1088" s="150"/>
      <c r="AN1088" s="150"/>
      <c r="AO1088" s="150"/>
      <c r="AP1088" s="150"/>
      <c r="AQ1088" s="150"/>
      <c r="AR1088" s="151"/>
      <c r="AS1088" s="456"/>
      <c r="AT1088" s="151"/>
      <c r="AU1088" s="150"/>
      <c r="AV1088" s="487"/>
      <c r="AW1088" s="150"/>
      <c r="AX1088" s="150"/>
      <c r="AY1088" s="150"/>
      <c r="AZ1088" s="150"/>
      <c r="BA1088" s="150"/>
      <c r="BB1088" s="150"/>
      <c r="BC1088" s="150"/>
      <c r="BD1088" s="150"/>
      <c r="BE1088" s="150"/>
      <c r="BF1088" s="150"/>
      <c r="BG1088" s="150"/>
      <c r="BH1088" s="150"/>
      <c r="BI1088" s="150"/>
      <c r="BJ1088" s="150"/>
      <c r="BK1088" s="511">
        <v>800</v>
      </c>
      <c r="BL1088" s="160"/>
      <c r="BM1088" s="150"/>
      <c r="BN1088" s="150"/>
      <c r="BO1088" s="150"/>
      <c r="BP1088" s="152"/>
      <c r="BQ1088" s="160"/>
      <c r="BR1088" s="152"/>
      <c r="BS1088" s="160"/>
    </row>
    <row r="1089" spans="1:71" x14ac:dyDescent="0.3">
      <c r="A1089" s="420"/>
      <c r="B1089" s="19"/>
      <c r="C1089" s="149">
        <f>DL!L1086</f>
        <v>0</v>
      </c>
      <c r="D1089" s="149">
        <f>DL!C1086</f>
        <v>0</v>
      </c>
      <c r="E1089" s="150"/>
      <c r="F1089" s="463"/>
      <c r="G1089" s="150"/>
      <c r="H1089" s="150"/>
      <c r="I1089" s="150"/>
      <c r="J1089" s="150"/>
      <c r="K1089" s="168"/>
      <c r="L1089" s="500"/>
      <c r="M1089" s="150"/>
      <c r="N1089" s="150"/>
      <c r="O1089" s="150"/>
      <c r="P1089" s="150"/>
      <c r="Q1089" s="150"/>
      <c r="R1089" s="150"/>
      <c r="S1089" s="150"/>
      <c r="T1089" s="150"/>
      <c r="U1089" s="150"/>
      <c r="V1089" s="150"/>
      <c r="W1089" s="168"/>
      <c r="X1089" s="150"/>
      <c r="Y1089" s="150"/>
      <c r="Z1089" s="455"/>
      <c r="AA1089" s="150"/>
      <c r="AB1089" s="150"/>
      <c r="AC1089" s="150"/>
      <c r="AD1089" s="150"/>
      <c r="AE1089" s="150"/>
      <c r="AF1089" s="499"/>
      <c r="AG1089" s="150"/>
      <c r="AH1089" s="150"/>
      <c r="AI1089" s="150"/>
      <c r="AJ1089" s="150"/>
      <c r="AK1089" s="150"/>
      <c r="AL1089" s="150"/>
      <c r="AM1089" s="150"/>
      <c r="AN1089" s="150"/>
      <c r="AO1089" s="150"/>
      <c r="AP1089" s="150"/>
      <c r="AQ1089" s="150"/>
      <c r="AR1089" s="151"/>
      <c r="AS1089" s="456"/>
      <c r="AT1089" s="151"/>
      <c r="AU1089" s="150"/>
      <c r="AV1089" s="487"/>
      <c r="AW1089" s="150"/>
      <c r="AX1089" s="150"/>
      <c r="AY1089" s="150"/>
      <c r="AZ1089" s="150"/>
      <c r="BA1089" s="150"/>
      <c r="BB1089" s="150"/>
      <c r="BC1089" s="150"/>
      <c r="BD1089" s="150"/>
      <c r="BE1089" s="150"/>
      <c r="BF1089" s="150"/>
      <c r="BG1089" s="150"/>
      <c r="BH1089" s="150"/>
      <c r="BI1089" s="150"/>
      <c r="BJ1089" s="150"/>
      <c r="BK1089" s="152"/>
      <c r="BL1089" s="160"/>
      <c r="BM1089" s="150"/>
      <c r="BN1089" s="150"/>
      <c r="BO1089" s="150"/>
      <c r="BP1089" s="152"/>
      <c r="BQ1089" s="160"/>
      <c r="BR1089" s="152"/>
      <c r="BS1089" s="160"/>
    </row>
    <row r="1090" spans="1:71" x14ac:dyDescent="0.3">
      <c r="A1090" s="420"/>
      <c r="B1090" s="19"/>
      <c r="C1090" s="149">
        <f>DL!L1087</f>
        <v>0</v>
      </c>
      <c r="D1090" s="149">
        <f>DL!C1087</f>
        <v>0</v>
      </c>
      <c r="E1090" s="150"/>
      <c r="F1090" s="463"/>
      <c r="G1090" s="150"/>
      <c r="H1090" s="150"/>
      <c r="I1090" s="150"/>
      <c r="J1090" s="150"/>
      <c r="K1090" s="168"/>
      <c r="L1090" s="500"/>
      <c r="M1090" s="150"/>
      <c r="N1090" s="150"/>
      <c r="O1090" s="150"/>
      <c r="P1090" s="150"/>
      <c r="Q1090" s="150"/>
      <c r="R1090" s="150"/>
      <c r="S1090" s="150"/>
      <c r="T1090" s="150"/>
      <c r="U1090" s="150"/>
      <c r="V1090" s="150"/>
      <c r="W1090" s="168"/>
      <c r="X1090" s="150"/>
      <c r="Y1090" s="150"/>
      <c r="Z1090" s="455"/>
      <c r="AA1090" s="150"/>
      <c r="AB1090" s="150"/>
      <c r="AC1090" s="150"/>
      <c r="AD1090" s="150"/>
      <c r="AE1090" s="150"/>
      <c r="AF1090" s="499"/>
      <c r="AG1090" s="150"/>
      <c r="AH1090" s="150"/>
      <c r="AI1090" s="150"/>
      <c r="AJ1090" s="150"/>
      <c r="AK1090" s="150"/>
      <c r="AL1090" s="150"/>
      <c r="AM1090" s="150"/>
      <c r="AN1090" s="150"/>
      <c r="AO1090" s="150"/>
      <c r="AP1090" s="150"/>
      <c r="AQ1090" s="150"/>
      <c r="AR1090" s="151"/>
      <c r="AS1090" s="456"/>
      <c r="AT1090" s="151"/>
      <c r="AU1090" s="150"/>
      <c r="AV1090" s="487"/>
      <c r="AW1090" s="150"/>
      <c r="AX1090" s="150"/>
      <c r="AY1090" s="150"/>
      <c r="AZ1090" s="150"/>
      <c r="BA1090" s="150"/>
      <c r="BB1090" s="150"/>
      <c r="BC1090" s="150"/>
      <c r="BD1090" s="150"/>
      <c r="BE1090" s="150"/>
      <c r="BF1090" s="150"/>
      <c r="BG1090" s="150"/>
      <c r="BH1090" s="150"/>
      <c r="BI1090" s="150"/>
      <c r="BJ1090" s="150"/>
      <c r="BK1090" s="152"/>
      <c r="BL1090" s="160"/>
      <c r="BM1090" s="150"/>
      <c r="BN1090" s="150"/>
      <c r="BO1090" s="150"/>
      <c r="BP1090" s="152"/>
      <c r="BQ1090" s="160"/>
      <c r="BR1090" s="152"/>
      <c r="BS1090" s="160"/>
    </row>
    <row r="1091" spans="1:71" x14ac:dyDescent="0.3">
      <c r="A1091" s="420"/>
      <c r="B1091" s="10"/>
      <c r="C1091" s="149">
        <f>DL!L1088</f>
        <v>0</v>
      </c>
      <c r="D1091" s="149">
        <f>DL!C1088</f>
        <v>0</v>
      </c>
      <c r="E1091" s="150"/>
      <c r="F1091" s="463"/>
      <c r="G1091" s="150"/>
      <c r="H1091" s="150"/>
      <c r="I1091" s="150"/>
      <c r="J1091" s="150"/>
      <c r="K1091" s="168"/>
      <c r="L1091" s="500"/>
      <c r="M1091" s="150"/>
      <c r="N1091" s="150"/>
      <c r="O1091" s="150"/>
      <c r="P1091" s="150"/>
      <c r="Q1091" s="150"/>
      <c r="R1091" s="150"/>
      <c r="S1091" s="150"/>
      <c r="T1091" s="150"/>
      <c r="U1091" s="150"/>
      <c r="V1091" s="150"/>
      <c r="W1091" s="168"/>
      <c r="X1091" s="150"/>
      <c r="Y1091" s="150"/>
      <c r="Z1091" s="455"/>
      <c r="AA1091" s="150"/>
      <c r="AB1091" s="150"/>
      <c r="AC1091" s="150"/>
      <c r="AD1091" s="150"/>
      <c r="AE1091" s="150"/>
      <c r="AF1091" s="499"/>
      <c r="AG1091" s="150"/>
      <c r="AH1091" s="150"/>
      <c r="AI1091" s="150"/>
      <c r="AJ1091" s="150"/>
      <c r="AK1091" s="150"/>
      <c r="AL1091" s="150"/>
      <c r="AM1091" s="150"/>
      <c r="AN1091" s="150"/>
      <c r="AO1091" s="150"/>
      <c r="AP1091" s="150"/>
      <c r="AQ1091" s="150"/>
      <c r="AR1091" s="151"/>
      <c r="AS1091" s="456"/>
      <c r="AT1091" s="151"/>
      <c r="AU1091" s="150"/>
      <c r="AV1091" s="487"/>
      <c r="AW1091" s="150"/>
      <c r="AX1091" s="150"/>
      <c r="AY1091" s="150"/>
      <c r="AZ1091" s="150"/>
      <c r="BA1091" s="150"/>
      <c r="BB1091" s="150"/>
      <c r="BC1091" s="150"/>
      <c r="BD1091" s="150"/>
      <c r="BE1091" s="150"/>
      <c r="BF1091" s="150"/>
      <c r="BG1091" s="150"/>
      <c r="BH1091" s="150"/>
      <c r="BI1091" s="150"/>
      <c r="BJ1091" s="150"/>
      <c r="BK1091" s="152"/>
      <c r="BL1091" s="160"/>
      <c r="BM1091" s="150"/>
      <c r="BN1091" s="150"/>
      <c r="BO1091" s="150"/>
      <c r="BP1091" s="152"/>
      <c r="BQ1091" s="160"/>
      <c r="BR1091" s="152"/>
      <c r="BS1091" s="160"/>
    </row>
    <row r="1092" spans="1:71" x14ac:dyDescent="0.3">
      <c r="A1092" s="420" t="str">
        <f>DL!A1089</f>
        <v>LOT 20</v>
      </c>
      <c r="B1092" s="451" t="s">
        <v>1868</v>
      </c>
      <c r="C1092" s="149">
        <f>DL!L1089</f>
        <v>0</v>
      </c>
      <c r="D1092" s="149">
        <f>DL!C1089</f>
        <v>0</v>
      </c>
      <c r="E1092" s="150"/>
      <c r="F1092" s="463"/>
      <c r="G1092" s="150"/>
      <c r="H1092" s="150"/>
      <c r="I1092" s="150"/>
      <c r="J1092" s="150"/>
      <c r="K1092" s="168"/>
      <c r="L1092" s="500"/>
      <c r="M1092" s="150"/>
      <c r="N1092" s="150"/>
      <c r="O1092" s="150"/>
      <c r="P1092" s="150"/>
      <c r="Q1092" s="150"/>
      <c r="R1092" s="150"/>
      <c r="S1092" s="150"/>
      <c r="T1092" s="150"/>
      <c r="U1092" s="150"/>
      <c r="V1092" s="150"/>
      <c r="W1092" s="168"/>
      <c r="X1092" s="150"/>
      <c r="Y1092" s="150"/>
      <c r="Z1092" s="455"/>
      <c r="AA1092" s="150"/>
      <c r="AB1092" s="150"/>
      <c r="AC1092" s="150"/>
      <c r="AD1092" s="150"/>
      <c r="AE1092" s="150"/>
      <c r="AF1092" s="499"/>
      <c r="AG1092" s="150"/>
      <c r="AH1092" s="150"/>
      <c r="AI1092" s="150"/>
      <c r="AJ1092" s="150"/>
      <c r="AK1092" s="150"/>
      <c r="AL1092" s="150"/>
      <c r="AM1092" s="150"/>
      <c r="AN1092" s="150"/>
      <c r="AO1092" s="150"/>
      <c r="AP1092" s="150"/>
      <c r="AQ1092" s="150"/>
      <c r="AR1092" s="151"/>
      <c r="AS1092" s="456"/>
      <c r="AT1092" s="151"/>
      <c r="AU1092" s="150"/>
      <c r="AV1092" s="487"/>
      <c r="AW1092" s="150"/>
      <c r="AX1092" s="150"/>
      <c r="AY1092" s="150"/>
      <c r="AZ1092" s="150"/>
      <c r="BA1092" s="150"/>
      <c r="BB1092" s="150"/>
      <c r="BC1092" s="150"/>
      <c r="BD1092" s="150"/>
      <c r="BE1092" s="150"/>
      <c r="BF1092" s="150"/>
      <c r="BG1092" s="150"/>
      <c r="BH1092" s="150"/>
      <c r="BI1092" s="150"/>
      <c r="BJ1092" s="150"/>
      <c r="BK1092" s="152"/>
      <c r="BL1092" s="160"/>
      <c r="BM1092" s="150"/>
      <c r="BN1092" s="150"/>
      <c r="BO1092" s="150"/>
      <c r="BP1092" s="152"/>
      <c r="BQ1092" s="160"/>
      <c r="BR1092" s="152"/>
      <c r="BS1092" s="160"/>
    </row>
    <row r="1093" spans="1:71" x14ac:dyDescent="0.3">
      <c r="A1093" s="420"/>
      <c r="B1093" s="19"/>
      <c r="C1093" s="149">
        <f>DL!L1090</f>
        <v>0</v>
      </c>
      <c r="D1093" s="149">
        <f>DL!C1090</f>
        <v>0</v>
      </c>
      <c r="E1093" s="150"/>
      <c r="F1093" s="463"/>
      <c r="G1093" s="150"/>
      <c r="H1093" s="150"/>
      <c r="I1093" s="150"/>
      <c r="J1093" s="150"/>
      <c r="K1093" s="168"/>
      <c r="L1093" s="500"/>
      <c r="M1093" s="150"/>
      <c r="N1093" s="150"/>
      <c r="O1093" s="150"/>
      <c r="P1093" s="150"/>
      <c r="Q1093" s="150"/>
      <c r="R1093" s="150"/>
      <c r="S1093" s="150"/>
      <c r="T1093" s="150"/>
      <c r="U1093" s="150"/>
      <c r="V1093" s="150"/>
      <c r="W1093" s="168"/>
      <c r="X1093" s="150"/>
      <c r="Y1093" s="150"/>
      <c r="Z1093" s="455"/>
      <c r="AA1093" s="150"/>
      <c r="AB1093" s="150"/>
      <c r="AC1093" s="150"/>
      <c r="AD1093" s="150"/>
      <c r="AE1093" s="150"/>
      <c r="AF1093" s="499"/>
      <c r="AG1093" s="150"/>
      <c r="AH1093" s="150"/>
      <c r="AI1093" s="150"/>
      <c r="AJ1093" s="150"/>
      <c r="AK1093" s="150"/>
      <c r="AL1093" s="150"/>
      <c r="AM1093" s="150"/>
      <c r="AN1093" s="150"/>
      <c r="AO1093" s="150"/>
      <c r="AP1093" s="150"/>
      <c r="AQ1093" s="150"/>
      <c r="AR1093" s="151"/>
      <c r="AS1093" s="456"/>
      <c r="AT1093" s="151"/>
      <c r="AU1093" s="150"/>
      <c r="AV1093" s="487"/>
      <c r="AW1093" s="150"/>
      <c r="AX1093" s="150"/>
      <c r="AY1093" s="150"/>
      <c r="AZ1093" s="150"/>
      <c r="BA1093" s="150"/>
      <c r="BB1093" s="150"/>
      <c r="BC1093" s="150"/>
      <c r="BD1093" s="150"/>
      <c r="BE1093" s="150"/>
      <c r="BF1093" s="150"/>
      <c r="BG1093" s="150"/>
      <c r="BH1093" s="150"/>
      <c r="BI1093" s="150"/>
      <c r="BJ1093" s="150"/>
      <c r="BK1093" s="152"/>
      <c r="BL1093" s="160"/>
      <c r="BM1093" s="150"/>
      <c r="BN1093" s="150"/>
      <c r="BO1093" s="150"/>
      <c r="BP1093" s="152"/>
      <c r="BQ1093" s="160"/>
      <c r="BR1093" s="152"/>
      <c r="BS1093" s="160"/>
    </row>
    <row r="1094" spans="1:71" x14ac:dyDescent="0.3">
      <c r="A1094" s="420">
        <f>DL!A1091</f>
        <v>981</v>
      </c>
      <c r="B1094" s="19" t="s">
        <v>2057</v>
      </c>
      <c r="C1094" s="149">
        <f>DL!L1091</f>
        <v>36</v>
      </c>
      <c r="D1094" s="149" t="str">
        <f>DL!C1091</f>
        <v>6*15ml</v>
      </c>
      <c r="E1094" s="150"/>
      <c r="F1094" s="463"/>
      <c r="G1094" s="150"/>
      <c r="H1094" s="150"/>
      <c r="I1094" s="150"/>
      <c r="J1094" s="150"/>
      <c r="K1094" s="168"/>
      <c r="L1094" s="466"/>
      <c r="M1094" s="150">
        <v>20000</v>
      </c>
      <c r="N1094" s="150"/>
      <c r="O1094" s="150"/>
      <c r="P1094" s="150"/>
      <c r="Q1094" s="150">
        <v>21625</v>
      </c>
      <c r="R1094" s="150"/>
      <c r="S1094" s="150"/>
      <c r="T1094" s="150"/>
      <c r="U1094" s="150"/>
      <c r="V1094" s="150"/>
      <c r="W1094" s="168"/>
      <c r="X1094" s="150"/>
      <c r="Y1094" s="150"/>
      <c r="Z1094" s="455"/>
      <c r="AA1094" s="150"/>
      <c r="AB1094" s="150"/>
      <c r="AC1094" s="150">
        <v>19050</v>
      </c>
      <c r="AD1094" s="150"/>
      <c r="AE1094" s="150"/>
      <c r="AF1094" s="495">
        <v>21580</v>
      </c>
      <c r="AG1094" s="150"/>
      <c r="AH1094" s="501"/>
      <c r="AI1094" s="150"/>
      <c r="AJ1094" s="150"/>
      <c r="AK1094" s="150"/>
      <c r="AL1094" s="150"/>
      <c r="AM1094" s="466">
        <v>19000</v>
      </c>
      <c r="AN1094" s="150"/>
      <c r="AO1094" s="150"/>
      <c r="AP1094" s="150"/>
      <c r="AQ1094" s="150"/>
      <c r="AR1094" s="151"/>
      <c r="AS1094" s="456"/>
      <c r="AT1094" s="151"/>
      <c r="AU1094" s="150"/>
      <c r="AV1094" s="487"/>
      <c r="AW1094" s="150"/>
      <c r="AX1094" s="150"/>
      <c r="AY1094" s="150"/>
      <c r="AZ1094" s="150"/>
      <c r="BA1094" s="150"/>
      <c r="BB1094" s="150"/>
      <c r="BC1094" s="150"/>
      <c r="BD1094" s="150"/>
      <c r="BE1094" s="150"/>
      <c r="BF1094" s="150"/>
      <c r="BG1094" s="150"/>
      <c r="BH1094" s="150"/>
      <c r="BI1094" s="150">
        <v>20777</v>
      </c>
      <c r="BJ1094" s="150"/>
      <c r="BK1094" s="467">
        <v>20000</v>
      </c>
      <c r="BL1094" s="160"/>
      <c r="BM1094" s="150"/>
      <c r="BN1094" s="150"/>
      <c r="BO1094" s="150"/>
      <c r="BP1094" s="152"/>
      <c r="BQ1094" s="160"/>
      <c r="BR1094" s="152"/>
      <c r="BS1094" s="160"/>
    </row>
    <row r="1095" spans="1:71" x14ac:dyDescent="0.3">
      <c r="A1095" s="420">
        <f>DL!A1092</f>
        <v>982</v>
      </c>
      <c r="B1095" s="19" t="s">
        <v>1895</v>
      </c>
      <c r="C1095" s="149">
        <f>DL!L1092</f>
        <v>80</v>
      </c>
      <c r="D1095" s="149" t="str">
        <f>DL!C1092</f>
        <v>6*30ml</v>
      </c>
      <c r="E1095" s="150"/>
      <c r="F1095" s="463"/>
      <c r="G1095" s="150"/>
      <c r="H1095" s="150"/>
      <c r="I1095" s="150"/>
      <c r="J1095" s="150"/>
      <c r="K1095" s="168"/>
      <c r="L1095" s="466"/>
      <c r="M1095" s="150">
        <v>18000</v>
      </c>
      <c r="N1095" s="150"/>
      <c r="O1095" s="150"/>
      <c r="P1095" s="150"/>
      <c r="Q1095" s="150">
        <v>19125</v>
      </c>
      <c r="R1095" s="150"/>
      <c r="S1095" s="150"/>
      <c r="T1095" s="150"/>
      <c r="U1095" s="150"/>
      <c r="V1095" s="150"/>
      <c r="W1095" s="168"/>
      <c r="X1095" s="150"/>
      <c r="Y1095" s="150"/>
      <c r="Z1095" s="455"/>
      <c r="AA1095" s="150"/>
      <c r="AB1095" s="150"/>
      <c r="AC1095" s="150">
        <v>16950</v>
      </c>
      <c r="AD1095" s="150"/>
      <c r="AE1095" s="150"/>
      <c r="AF1095" s="495">
        <v>19110</v>
      </c>
      <c r="AG1095" s="150"/>
      <c r="AH1095" s="501"/>
      <c r="AI1095" s="150"/>
      <c r="AJ1095" s="150"/>
      <c r="AK1095" s="150"/>
      <c r="AL1095" s="150"/>
      <c r="AM1095" s="466"/>
      <c r="AN1095" s="150"/>
      <c r="AO1095" s="150"/>
      <c r="AP1095" s="150"/>
      <c r="AQ1095" s="150"/>
      <c r="AR1095" s="151"/>
      <c r="AS1095" s="456"/>
      <c r="AT1095" s="151"/>
      <c r="AU1095" s="150"/>
      <c r="AV1095" s="487"/>
      <c r="AW1095" s="150"/>
      <c r="AX1095" s="150"/>
      <c r="AY1095" s="150"/>
      <c r="AZ1095" s="150"/>
      <c r="BA1095" s="150"/>
      <c r="BB1095" s="150"/>
      <c r="BC1095" s="150"/>
      <c r="BD1095" s="150"/>
      <c r="BE1095" s="150"/>
      <c r="BF1095" s="150"/>
      <c r="BG1095" s="150"/>
      <c r="BH1095" s="150"/>
      <c r="BI1095" s="150">
        <v>18750</v>
      </c>
      <c r="BJ1095" s="150"/>
      <c r="BK1095" s="467">
        <v>18000</v>
      </c>
      <c r="BL1095" s="160"/>
      <c r="BM1095" s="150"/>
      <c r="BN1095" s="150"/>
      <c r="BO1095" s="150"/>
      <c r="BP1095" s="152"/>
      <c r="BQ1095" s="160"/>
      <c r="BR1095" s="152"/>
      <c r="BS1095" s="160"/>
    </row>
    <row r="1096" spans="1:71" x14ac:dyDescent="0.3">
      <c r="A1096" s="420">
        <f>DL!A1093</f>
        <v>983</v>
      </c>
      <c r="B1096" s="19" t="s">
        <v>1896</v>
      </c>
      <c r="C1096" s="149">
        <f>DL!L1093</f>
        <v>24</v>
      </c>
      <c r="D1096" s="149" t="str">
        <f>DL!C1093</f>
        <v>2*100ml</v>
      </c>
      <c r="E1096" s="150"/>
      <c r="F1096" s="463"/>
      <c r="G1096" s="150"/>
      <c r="H1096" s="150"/>
      <c r="I1096" s="150"/>
      <c r="J1096" s="150"/>
      <c r="K1096" s="168"/>
      <c r="L1096" s="466"/>
      <c r="M1096" s="150">
        <v>15500</v>
      </c>
      <c r="N1096" s="150"/>
      <c r="O1096" s="150"/>
      <c r="P1096" s="150"/>
      <c r="Q1096" s="150">
        <v>16250</v>
      </c>
      <c r="R1096" s="150"/>
      <c r="S1096" s="150"/>
      <c r="T1096" s="150"/>
      <c r="U1096" s="150"/>
      <c r="V1096" s="150"/>
      <c r="W1096" s="168"/>
      <c r="X1096" s="150"/>
      <c r="Y1096" s="150"/>
      <c r="Z1096" s="455"/>
      <c r="AA1096" s="150"/>
      <c r="AB1096" s="150"/>
      <c r="AC1096" s="150">
        <v>14690</v>
      </c>
      <c r="AD1096" s="150"/>
      <c r="AE1096" s="150"/>
      <c r="AF1096" s="494">
        <v>19110</v>
      </c>
      <c r="AG1096" s="150"/>
      <c r="AH1096" s="501"/>
      <c r="AI1096" s="150"/>
      <c r="AJ1096" s="150"/>
      <c r="AK1096" s="150"/>
      <c r="AL1096" s="150"/>
      <c r="AM1096" s="466">
        <v>14950</v>
      </c>
      <c r="AN1096" s="150"/>
      <c r="AO1096" s="150"/>
      <c r="AP1096" s="150"/>
      <c r="AQ1096" s="150"/>
      <c r="AR1096" s="151"/>
      <c r="AS1096" s="456"/>
      <c r="AT1096" s="151"/>
      <c r="AU1096" s="150"/>
      <c r="AV1096" s="487"/>
      <c r="AW1096" s="150"/>
      <c r="AX1096" s="150"/>
      <c r="AY1096" s="150"/>
      <c r="AZ1096" s="150"/>
      <c r="BA1096" s="150"/>
      <c r="BB1096" s="150"/>
      <c r="BC1096" s="150"/>
      <c r="BD1096" s="150"/>
      <c r="BE1096" s="150"/>
      <c r="BF1096" s="150"/>
      <c r="BG1096" s="150"/>
      <c r="BH1096" s="150"/>
      <c r="BI1096" s="150">
        <v>16000</v>
      </c>
      <c r="BJ1096" s="150"/>
      <c r="BK1096" s="467">
        <v>15000</v>
      </c>
      <c r="BL1096" s="160"/>
      <c r="BM1096" s="150"/>
      <c r="BN1096" s="150"/>
      <c r="BO1096" s="150"/>
      <c r="BP1096" s="152"/>
      <c r="BQ1096" s="160"/>
      <c r="BR1096" s="152"/>
      <c r="BS1096" s="160"/>
    </row>
    <row r="1097" spans="1:71" x14ac:dyDescent="0.3">
      <c r="A1097" s="420">
        <f>DL!A1094</f>
        <v>984</v>
      </c>
      <c r="B1097" s="19" t="s">
        <v>1897</v>
      </c>
      <c r="C1097" s="149">
        <f>DL!L1094</f>
        <v>16</v>
      </c>
      <c r="D1097" s="149" t="str">
        <f>DL!C1094</f>
        <v>1*300ml</v>
      </c>
      <c r="E1097" s="150"/>
      <c r="F1097" s="463"/>
      <c r="G1097" s="150"/>
      <c r="H1097" s="150"/>
      <c r="I1097" s="150"/>
      <c r="J1097" s="150"/>
      <c r="K1097" s="168"/>
      <c r="L1097" s="466"/>
      <c r="M1097" s="150"/>
      <c r="N1097" s="150"/>
      <c r="O1097" s="150"/>
      <c r="P1097" s="150"/>
      <c r="Q1097" s="150">
        <v>25625</v>
      </c>
      <c r="R1097" s="150"/>
      <c r="S1097" s="150"/>
      <c r="T1097" s="150"/>
      <c r="U1097" s="150"/>
      <c r="V1097" s="150"/>
      <c r="W1097" s="168"/>
      <c r="X1097" s="150"/>
      <c r="Y1097" s="150"/>
      <c r="Z1097" s="455"/>
      <c r="AA1097" s="150"/>
      <c r="AB1097" s="150"/>
      <c r="AC1097" s="150">
        <v>13560</v>
      </c>
      <c r="AD1097" s="150"/>
      <c r="AE1097" s="150"/>
      <c r="AF1097" s="494">
        <v>0</v>
      </c>
      <c r="AG1097" s="150"/>
      <c r="AH1097" s="501"/>
      <c r="AI1097" s="150"/>
      <c r="AJ1097" s="150"/>
      <c r="AK1097" s="150"/>
      <c r="AL1097" s="150"/>
      <c r="AM1097" s="466"/>
      <c r="AN1097" s="150"/>
      <c r="AO1097" s="150"/>
      <c r="AP1097" s="150"/>
      <c r="AQ1097" s="150"/>
      <c r="AR1097" s="151"/>
      <c r="AS1097" s="456"/>
      <c r="AT1097" s="151"/>
      <c r="AU1097" s="150"/>
      <c r="AV1097" s="487"/>
      <c r="AW1097" s="150"/>
      <c r="AX1097" s="150"/>
      <c r="AY1097" s="150"/>
      <c r="AZ1097" s="150"/>
      <c r="BA1097" s="150"/>
      <c r="BB1097" s="150"/>
      <c r="BC1097" s="150"/>
      <c r="BD1097" s="150"/>
      <c r="BE1097" s="150"/>
      <c r="BF1097" s="150"/>
      <c r="BG1097" s="150"/>
      <c r="BH1097" s="150"/>
      <c r="BI1097" s="150"/>
      <c r="BJ1097" s="150"/>
      <c r="BK1097" s="466"/>
      <c r="BL1097" s="160"/>
      <c r="BM1097" s="150"/>
      <c r="BN1097" s="150"/>
      <c r="BO1097" s="150"/>
      <c r="BP1097" s="152"/>
      <c r="BQ1097" s="160"/>
      <c r="BR1097" s="152"/>
      <c r="BS1097" s="160"/>
    </row>
    <row r="1098" spans="1:71" x14ac:dyDescent="0.3">
      <c r="A1098" s="420">
        <f>DL!A1095</f>
        <v>985</v>
      </c>
      <c r="B1098" s="19" t="s">
        <v>1898</v>
      </c>
      <c r="C1098" s="149">
        <f>DL!L1095</f>
        <v>60</v>
      </c>
      <c r="D1098" s="149" t="str">
        <f>DL!C1095</f>
        <v>Urease</v>
      </c>
      <c r="E1098" s="150"/>
      <c r="F1098" s="463"/>
      <c r="G1098" s="150"/>
      <c r="H1098" s="150"/>
      <c r="I1098" s="150"/>
      <c r="J1098" s="150"/>
      <c r="K1098" s="168"/>
      <c r="L1098" s="466"/>
      <c r="M1098" s="150">
        <v>9900</v>
      </c>
      <c r="N1098" s="150"/>
      <c r="O1098" s="150"/>
      <c r="P1098" s="150"/>
      <c r="Q1098" s="150">
        <v>11000</v>
      </c>
      <c r="R1098" s="150"/>
      <c r="S1098" s="150"/>
      <c r="T1098" s="150"/>
      <c r="U1098" s="150"/>
      <c r="V1098" s="150"/>
      <c r="W1098" s="168"/>
      <c r="X1098" s="150"/>
      <c r="Y1098" s="150"/>
      <c r="Z1098" s="455"/>
      <c r="AA1098" s="150"/>
      <c r="AB1098" s="150"/>
      <c r="AC1098" s="150">
        <v>9605</v>
      </c>
      <c r="AD1098" s="150"/>
      <c r="AE1098" s="150"/>
      <c r="AF1098" s="494">
        <v>11050</v>
      </c>
      <c r="AG1098" s="150"/>
      <c r="AH1098" s="501"/>
      <c r="AI1098" s="150"/>
      <c r="AJ1098" s="150"/>
      <c r="AK1098" s="150"/>
      <c r="AL1098" s="150"/>
      <c r="AM1098" s="466"/>
      <c r="AN1098" s="150"/>
      <c r="AO1098" s="150"/>
      <c r="AP1098" s="150"/>
      <c r="AQ1098" s="150"/>
      <c r="AR1098" s="151"/>
      <c r="AS1098" s="456"/>
      <c r="AT1098" s="151"/>
      <c r="AU1098" s="150"/>
      <c r="AV1098" s="487"/>
      <c r="AW1098" s="150"/>
      <c r="AX1098" s="150"/>
      <c r="AY1098" s="150"/>
      <c r="AZ1098" s="150"/>
      <c r="BA1098" s="150"/>
      <c r="BB1098" s="150"/>
      <c r="BC1098" s="150"/>
      <c r="BD1098" s="150"/>
      <c r="BE1098" s="150"/>
      <c r="BF1098" s="150"/>
      <c r="BG1098" s="150"/>
      <c r="BH1098" s="150"/>
      <c r="BI1098" s="150">
        <v>11000</v>
      </c>
      <c r="BJ1098" s="150"/>
      <c r="BK1098" s="467">
        <v>10000</v>
      </c>
      <c r="BL1098" s="160"/>
      <c r="BM1098" s="150"/>
      <c r="BN1098" s="150"/>
      <c r="BO1098" s="150"/>
      <c r="BP1098" s="152"/>
      <c r="BQ1098" s="160"/>
      <c r="BR1098" s="152"/>
      <c r="BS1098" s="160"/>
    </row>
    <row r="1099" spans="1:71" x14ac:dyDescent="0.3">
      <c r="A1099" s="420">
        <f>DL!A1096</f>
        <v>986</v>
      </c>
      <c r="B1099" s="19" t="s">
        <v>1899</v>
      </c>
      <c r="C1099" s="149">
        <f>DL!L1096</f>
        <v>60</v>
      </c>
      <c r="D1099" s="149" t="str">
        <f>DL!C1096</f>
        <v>2*100ml</v>
      </c>
      <c r="E1099" s="150"/>
      <c r="F1099" s="463"/>
      <c r="G1099" s="150"/>
      <c r="H1099" s="150"/>
      <c r="I1099" s="150"/>
      <c r="J1099" s="150"/>
      <c r="K1099" s="168"/>
      <c r="L1099" s="466"/>
      <c r="M1099" s="150">
        <v>10500</v>
      </c>
      <c r="N1099" s="150"/>
      <c r="O1099" s="150"/>
      <c r="P1099" s="150"/>
      <c r="Q1099" s="150">
        <v>9375</v>
      </c>
      <c r="R1099" s="150"/>
      <c r="S1099" s="150"/>
      <c r="T1099" s="150"/>
      <c r="U1099" s="150"/>
      <c r="V1099" s="150"/>
      <c r="W1099" s="168"/>
      <c r="X1099" s="150"/>
      <c r="Y1099" s="150"/>
      <c r="Z1099" s="455"/>
      <c r="AA1099" s="150"/>
      <c r="AB1099" s="150"/>
      <c r="AC1099" s="150">
        <v>9040</v>
      </c>
      <c r="AD1099" s="150"/>
      <c r="AE1099" s="150"/>
      <c r="AF1099" s="494">
        <v>12350</v>
      </c>
      <c r="AG1099" s="150"/>
      <c r="AH1099" s="501"/>
      <c r="AI1099" s="150"/>
      <c r="AJ1099" s="150"/>
      <c r="AK1099" s="150"/>
      <c r="AL1099" s="150"/>
      <c r="AM1099" s="466">
        <v>9290</v>
      </c>
      <c r="AN1099" s="150"/>
      <c r="AO1099" s="150"/>
      <c r="AP1099" s="150"/>
      <c r="AQ1099" s="150"/>
      <c r="AR1099" s="151"/>
      <c r="AS1099" s="456"/>
      <c r="AT1099" s="151"/>
      <c r="AU1099" s="150"/>
      <c r="AV1099" s="487"/>
      <c r="AW1099" s="150"/>
      <c r="AX1099" s="150"/>
      <c r="AY1099" s="150"/>
      <c r="AZ1099" s="150"/>
      <c r="BA1099" s="150"/>
      <c r="BB1099" s="150"/>
      <c r="BC1099" s="150"/>
      <c r="BD1099" s="150"/>
      <c r="BE1099" s="150"/>
      <c r="BF1099" s="150"/>
      <c r="BG1099" s="150"/>
      <c r="BH1099" s="150"/>
      <c r="BI1099" s="150"/>
      <c r="BJ1099" s="150"/>
      <c r="BK1099" s="467">
        <v>15000</v>
      </c>
      <c r="BL1099" s="160"/>
      <c r="BM1099" s="150"/>
      <c r="BN1099" s="150"/>
      <c r="BO1099" s="150"/>
      <c r="BP1099" s="152"/>
      <c r="BQ1099" s="160"/>
      <c r="BR1099" s="152"/>
      <c r="BS1099" s="160"/>
    </row>
    <row r="1100" spans="1:71" x14ac:dyDescent="0.3">
      <c r="A1100" s="420">
        <f>DL!A1097</f>
        <v>987</v>
      </c>
      <c r="B1100" s="19" t="s">
        <v>1900</v>
      </c>
      <c r="C1100" s="149">
        <f>DL!L1097</f>
        <v>24</v>
      </c>
      <c r="D1100" s="149" t="str">
        <f>DL!C1097</f>
        <v>2*100ml</v>
      </c>
      <c r="E1100" s="150"/>
      <c r="F1100" s="463"/>
      <c r="G1100" s="150"/>
      <c r="H1100" s="150"/>
      <c r="I1100" s="150"/>
      <c r="J1100" s="150"/>
      <c r="K1100" s="168"/>
      <c r="L1100" s="466"/>
      <c r="M1100" s="150">
        <v>7800</v>
      </c>
      <c r="N1100" s="150"/>
      <c r="O1100" s="150"/>
      <c r="P1100" s="150"/>
      <c r="Q1100" s="150">
        <v>8750</v>
      </c>
      <c r="R1100" s="150"/>
      <c r="S1100" s="150"/>
      <c r="T1100" s="150"/>
      <c r="U1100" s="150"/>
      <c r="V1100" s="150"/>
      <c r="W1100" s="168"/>
      <c r="X1100" s="150"/>
      <c r="Y1100" s="150"/>
      <c r="Z1100" s="455"/>
      <c r="AA1100" s="150"/>
      <c r="AB1100" s="150"/>
      <c r="AC1100" s="150"/>
      <c r="AD1100" s="150"/>
      <c r="AE1100" s="150"/>
      <c r="AF1100" s="494">
        <v>8450</v>
      </c>
      <c r="AG1100" s="150"/>
      <c r="AH1100" s="501"/>
      <c r="AI1100" s="150"/>
      <c r="AJ1100" s="150"/>
      <c r="AK1100" s="150"/>
      <c r="AL1100" s="150"/>
      <c r="AM1100" s="466">
        <v>7800</v>
      </c>
      <c r="AN1100" s="150"/>
      <c r="AO1100" s="150"/>
      <c r="AP1100" s="150"/>
      <c r="AQ1100" s="150"/>
      <c r="AR1100" s="151"/>
      <c r="AS1100" s="456"/>
      <c r="AT1100" s="151"/>
      <c r="AU1100" s="150"/>
      <c r="AV1100" s="487"/>
      <c r="AW1100" s="150"/>
      <c r="AX1100" s="150"/>
      <c r="AY1100" s="150"/>
      <c r="AZ1100" s="150"/>
      <c r="BA1100" s="150"/>
      <c r="BB1100" s="150"/>
      <c r="BC1100" s="150"/>
      <c r="BD1100" s="150"/>
      <c r="BE1100" s="150"/>
      <c r="BF1100" s="150"/>
      <c r="BG1100" s="150"/>
      <c r="BH1100" s="150"/>
      <c r="BI1100" s="150"/>
      <c r="BJ1100" s="150"/>
      <c r="BK1100" s="467">
        <v>7500</v>
      </c>
      <c r="BL1100" s="160"/>
      <c r="BM1100" s="150"/>
      <c r="BN1100" s="150"/>
      <c r="BO1100" s="150"/>
      <c r="BP1100" s="152"/>
      <c r="BQ1100" s="160"/>
      <c r="BR1100" s="152"/>
      <c r="BS1100" s="160"/>
    </row>
    <row r="1101" spans="1:71" x14ac:dyDescent="0.3">
      <c r="A1101" s="420">
        <f>DL!A1098</f>
        <v>988</v>
      </c>
      <c r="B1101" s="19" t="s">
        <v>1901</v>
      </c>
      <c r="C1101" s="149">
        <f>DL!L1098</f>
        <v>24</v>
      </c>
      <c r="D1101" s="149" t="str">
        <f>DL!C1098</f>
        <v>2*100ml</v>
      </c>
      <c r="E1101" s="150"/>
      <c r="F1101" s="463"/>
      <c r="G1101" s="150"/>
      <c r="H1101" s="150"/>
      <c r="I1101" s="150"/>
      <c r="J1101" s="150"/>
      <c r="K1101" s="168"/>
      <c r="L1101" s="466"/>
      <c r="M1101" s="150">
        <v>7800</v>
      </c>
      <c r="N1101" s="150"/>
      <c r="O1101" s="150"/>
      <c r="P1101" s="150"/>
      <c r="Q1101" s="150">
        <v>8750</v>
      </c>
      <c r="R1101" s="150"/>
      <c r="S1101" s="150"/>
      <c r="T1101" s="150"/>
      <c r="U1101" s="150"/>
      <c r="V1101" s="150"/>
      <c r="W1101" s="168"/>
      <c r="X1101" s="150"/>
      <c r="Y1101" s="150"/>
      <c r="Z1101" s="455"/>
      <c r="AA1101" s="150"/>
      <c r="AB1101" s="150"/>
      <c r="AC1101" s="150"/>
      <c r="AD1101" s="150"/>
      <c r="AE1101" s="150"/>
      <c r="AF1101" s="494">
        <v>8450</v>
      </c>
      <c r="AG1101" s="150"/>
      <c r="AH1101" s="501"/>
      <c r="AI1101" s="150"/>
      <c r="AJ1101" s="150"/>
      <c r="AK1101" s="150"/>
      <c r="AL1101" s="150"/>
      <c r="AM1101" s="466">
        <v>7800</v>
      </c>
      <c r="AN1101" s="150"/>
      <c r="AO1101" s="150"/>
      <c r="AP1101" s="150"/>
      <c r="AQ1101" s="150"/>
      <c r="AR1101" s="151"/>
      <c r="AS1101" s="456"/>
      <c r="AT1101" s="151"/>
      <c r="AU1101" s="150"/>
      <c r="AV1101" s="487"/>
      <c r="AW1101" s="150"/>
      <c r="AX1101" s="150"/>
      <c r="AY1101" s="150"/>
      <c r="AZ1101" s="150"/>
      <c r="BA1101" s="150"/>
      <c r="BB1101" s="150"/>
      <c r="BC1101" s="150"/>
      <c r="BD1101" s="150"/>
      <c r="BE1101" s="150"/>
      <c r="BF1101" s="150"/>
      <c r="BG1101" s="150"/>
      <c r="BH1101" s="150"/>
      <c r="BI1101" s="150"/>
      <c r="BJ1101" s="150"/>
      <c r="BK1101" s="467">
        <v>7500</v>
      </c>
      <c r="BL1101" s="160"/>
      <c r="BM1101" s="150"/>
      <c r="BN1101" s="150"/>
      <c r="BO1101" s="150"/>
      <c r="BP1101" s="152"/>
      <c r="BQ1101" s="160"/>
      <c r="BR1101" s="152"/>
      <c r="BS1101" s="160"/>
    </row>
    <row r="1102" spans="1:71" x14ac:dyDescent="0.3">
      <c r="A1102" s="420">
        <f>DL!A1099</f>
        <v>989</v>
      </c>
      <c r="B1102" s="19" t="s">
        <v>1902</v>
      </c>
      <c r="C1102" s="149">
        <f>DL!L1099</f>
        <v>36</v>
      </c>
      <c r="D1102" s="149" t="str">
        <f>DL!C1099</f>
        <v>2*100ml</v>
      </c>
      <c r="E1102" s="150"/>
      <c r="F1102" s="463"/>
      <c r="G1102" s="150"/>
      <c r="H1102" s="150"/>
      <c r="I1102" s="150"/>
      <c r="J1102" s="150"/>
      <c r="K1102" s="168"/>
      <c r="L1102" s="466"/>
      <c r="M1102" s="150">
        <v>12000</v>
      </c>
      <c r="N1102" s="150"/>
      <c r="O1102" s="150"/>
      <c r="P1102" s="150"/>
      <c r="Q1102" s="150">
        <v>13750</v>
      </c>
      <c r="R1102" s="150"/>
      <c r="S1102" s="150"/>
      <c r="T1102" s="150"/>
      <c r="U1102" s="150"/>
      <c r="V1102" s="150"/>
      <c r="W1102" s="168"/>
      <c r="X1102" s="150"/>
      <c r="Y1102" s="150"/>
      <c r="Z1102" s="455"/>
      <c r="AA1102" s="150"/>
      <c r="AB1102" s="150"/>
      <c r="AC1102" s="150"/>
      <c r="AD1102" s="150"/>
      <c r="AE1102" s="150"/>
      <c r="AF1102" s="494">
        <v>11700</v>
      </c>
      <c r="AG1102" s="150"/>
      <c r="AH1102" s="501"/>
      <c r="AI1102" s="150"/>
      <c r="AJ1102" s="150"/>
      <c r="AK1102" s="150"/>
      <c r="AL1102" s="150"/>
      <c r="AM1102" s="466">
        <v>12900</v>
      </c>
      <c r="AN1102" s="150"/>
      <c r="AO1102" s="150"/>
      <c r="AP1102" s="150"/>
      <c r="AQ1102" s="150"/>
      <c r="AR1102" s="151"/>
      <c r="AS1102" s="456"/>
      <c r="AT1102" s="151"/>
      <c r="AU1102" s="150"/>
      <c r="AV1102" s="487"/>
      <c r="AW1102" s="150"/>
      <c r="AX1102" s="150"/>
      <c r="AY1102" s="150"/>
      <c r="AZ1102" s="150"/>
      <c r="BA1102" s="150"/>
      <c r="BB1102" s="150"/>
      <c r="BC1102" s="150"/>
      <c r="BD1102" s="150"/>
      <c r="BE1102" s="150"/>
      <c r="BF1102" s="150"/>
      <c r="BG1102" s="150"/>
      <c r="BH1102" s="150"/>
      <c r="BI1102" s="150"/>
      <c r="BJ1102" s="150"/>
      <c r="BK1102" s="467">
        <v>12000</v>
      </c>
      <c r="BL1102" s="160"/>
      <c r="BM1102" s="150"/>
      <c r="BN1102" s="150"/>
      <c r="BO1102" s="150"/>
      <c r="BP1102" s="152"/>
      <c r="BQ1102" s="160"/>
      <c r="BR1102" s="152"/>
      <c r="BS1102" s="160"/>
    </row>
    <row r="1103" spans="1:71" x14ac:dyDescent="0.3">
      <c r="A1103" s="420">
        <f>DL!A1100</f>
        <v>990</v>
      </c>
      <c r="B1103" s="19" t="s">
        <v>1903</v>
      </c>
      <c r="C1103" s="149">
        <f>DL!L1100</f>
        <v>12</v>
      </c>
      <c r="D1103" s="149" t="str">
        <f>DL!C1100</f>
        <v>10*100ml</v>
      </c>
      <c r="E1103" s="150"/>
      <c r="F1103" s="463"/>
      <c r="G1103" s="150"/>
      <c r="H1103" s="150"/>
      <c r="I1103" s="150"/>
      <c r="J1103" s="150"/>
      <c r="K1103" s="168"/>
      <c r="L1103" s="466"/>
      <c r="M1103" s="150">
        <v>21000</v>
      </c>
      <c r="N1103" s="150"/>
      <c r="O1103" s="150"/>
      <c r="P1103" s="150"/>
      <c r="Q1103" s="150">
        <v>6875</v>
      </c>
      <c r="R1103" s="150"/>
      <c r="S1103" s="150"/>
      <c r="T1103" s="150"/>
      <c r="U1103" s="150"/>
      <c r="V1103" s="150"/>
      <c r="W1103" s="168"/>
      <c r="X1103" s="150"/>
      <c r="Y1103" s="150"/>
      <c r="Z1103" s="455"/>
      <c r="AA1103" s="150"/>
      <c r="AB1103" s="150"/>
      <c r="AC1103" s="150"/>
      <c r="AD1103" s="150"/>
      <c r="AE1103" s="150"/>
      <c r="AF1103" s="494">
        <v>22230</v>
      </c>
      <c r="AG1103" s="150"/>
      <c r="AH1103" s="501"/>
      <c r="AI1103" s="150"/>
      <c r="AJ1103" s="150"/>
      <c r="AK1103" s="150"/>
      <c r="AL1103" s="150"/>
      <c r="AM1103" s="466"/>
      <c r="AN1103" s="150"/>
      <c r="AO1103" s="150"/>
      <c r="AP1103" s="150"/>
      <c r="AQ1103" s="150"/>
      <c r="AR1103" s="151"/>
      <c r="AS1103" s="456"/>
      <c r="AT1103" s="151"/>
      <c r="AU1103" s="150"/>
      <c r="AV1103" s="487"/>
      <c r="AW1103" s="150"/>
      <c r="AX1103" s="150"/>
      <c r="AY1103" s="150"/>
      <c r="AZ1103" s="150"/>
      <c r="BA1103" s="150"/>
      <c r="BB1103" s="150"/>
      <c r="BC1103" s="150"/>
      <c r="BD1103" s="150"/>
      <c r="BE1103" s="150"/>
      <c r="BF1103" s="150"/>
      <c r="BG1103" s="150"/>
      <c r="BH1103" s="150"/>
      <c r="BI1103" s="150"/>
      <c r="BJ1103" s="150"/>
      <c r="BK1103" s="467">
        <v>20000</v>
      </c>
      <c r="BL1103" s="160"/>
      <c r="BM1103" s="150"/>
      <c r="BN1103" s="150"/>
      <c r="BO1103" s="150"/>
      <c r="BP1103" s="152"/>
      <c r="BQ1103" s="160"/>
      <c r="BR1103" s="152"/>
      <c r="BS1103" s="160"/>
    </row>
    <row r="1104" spans="1:71" x14ac:dyDescent="0.3">
      <c r="A1104" s="420">
        <f>DL!A1101</f>
        <v>991</v>
      </c>
      <c r="B1104" s="19" t="s">
        <v>1904</v>
      </c>
      <c r="C1104" s="149">
        <f>DL!L1101</f>
        <v>100</v>
      </c>
      <c r="D1104" s="149" t="str">
        <f>DL!C1101</f>
        <v>1*100pcs</v>
      </c>
      <c r="E1104" s="150"/>
      <c r="F1104" s="463"/>
      <c r="G1104" s="150"/>
      <c r="H1104" s="150"/>
      <c r="I1104" s="150"/>
      <c r="J1104" s="150"/>
      <c r="K1104" s="168">
        <v>5325</v>
      </c>
      <c r="L1104" s="466"/>
      <c r="M1104" s="150">
        <v>2600</v>
      </c>
      <c r="N1104" s="150"/>
      <c r="O1104" s="150"/>
      <c r="P1104" s="150"/>
      <c r="Q1104" s="150">
        <v>1875</v>
      </c>
      <c r="R1104" s="150"/>
      <c r="S1104" s="150"/>
      <c r="T1104" s="150"/>
      <c r="U1104" s="150"/>
      <c r="V1104" s="150"/>
      <c r="W1104" s="168"/>
      <c r="X1104" s="150"/>
      <c r="Y1104" s="150"/>
      <c r="Z1104" s="455"/>
      <c r="AA1104" s="150"/>
      <c r="AB1104" s="150"/>
      <c r="AC1104" s="150">
        <v>2825</v>
      </c>
      <c r="AD1104" s="150"/>
      <c r="AE1104" s="150"/>
      <c r="AF1104" s="494">
        <v>3640</v>
      </c>
      <c r="AG1104" s="150"/>
      <c r="AH1104" s="501"/>
      <c r="AI1104" s="150"/>
      <c r="AJ1104" s="150"/>
      <c r="AK1104" s="150"/>
      <c r="AL1104" s="150"/>
      <c r="AM1104" s="466">
        <v>2640</v>
      </c>
      <c r="AN1104" s="150"/>
      <c r="AO1104" s="150"/>
      <c r="AP1104" s="150"/>
      <c r="AQ1104" s="150"/>
      <c r="AR1104" s="151"/>
      <c r="AS1104" s="456"/>
      <c r="AT1104" s="151"/>
      <c r="AU1104" s="150"/>
      <c r="AV1104" s="487"/>
      <c r="AW1104" s="150"/>
      <c r="AX1104" s="150"/>
      <c r="AY1104" s="150"/>
      <c r="AZ1104" s="150"/>
      <c r="BA1104" s="150"/>
      <c r="BB1104" s="150"/>
      <c r="BC1104" s="150"/>
      <c r="BD1104" s="150"/>
      <c r="BE1104" s="150"/>
      <c r="BF1104" s="150"/>
      <c r="BG1104" s="150"/>
      <c r="BH1104" s="150"/>
      <c r="BI1104" s="150"/>
      <c r="BJ1104" s="150"/>
      <c r="BK1104" s="467">
        <v>2700</v>
      </c>
      <c r="BL1104" s="160"/>
      <c r="BM1104" s="150"/>
      <c r="BN1104" s="150"/>
      <c r="BO1104" s="150"/>
      <c r="BP1104" s="152"/>
      <c r="BQ1104" s="160"/>
      <c r="BR1104" s="152"/>
      <c r="BS1104" s="160"/>
    </row>
    <row r="1105" spans="1:71" x14ac:dyDescent="0.3">
      <c r="A1105" s="420">
        <f>DL!A1102</f>
        <v>992</v>
      </c>
      <c r="B1105" s="19" t="s">
        <v>1905</v>
      </c>
      <c r="C1105" s="149">
        <f>DL!L1102</f>
        <v>36</v>
      </c>
      <c r="D1105" s="149" t="str">
        <f>DL!C1102</f>
        <v>1*25</v>
      </c>
      <c r="E1105" s="150"/>
      <c r="F1105" s="463"/>
      <c r="G1105" s="150"/>
      <c r="H1105" s="150"/>
      <c r="I1105" s="150"/>
      <c r="J1105" s="150"/>
      <c r="K1105" s="168">
        <v>4050</v>
      </c>
      <c r="L1105" s="466"/>
      <c r="M1105" s="150">
        <v>3900</v>
      </c>
      <c r="N1105" s="150"/>
      <c r="O1105" s="150"/>
      <c r="P1105" s="150"/>
      <c r="Q1105" s="150">
        <v>4000</v>
      </c>
      <c r="R1105" s="150"/>
      <c r="S1105" s="150"/>
      <c r="T1105" s="150"/>
      <c r="U1105" s="150"/>
      <c r="V1105" s="150"/>
      <c r="W1105" s="168"/>
      <c r="X1105" s="150"/>
      <c r="Y1105" s="150"/>
      <c r="Z1105" s="455"/>
      <c r="AA1105" s="150"/>
      <c r="AB1105" s="150"/>
      <c r="AC1105" s="150">
        <v>3300</v>
      </c>
      <c r="AD1105" s="150"/>
      <c r="AE1105" s="150"/>
      <c r="AF1105" s="494">
        <v>4550</v>
      </c>
      <c r="AG1105" s="150"/>
      <c r="AH1105" s="501"/>
      <c r="AI1105" s="150"/>
      <c r="AJ1105" s="150"/>
      <c r="AK1105" s="150"/>
      <c r="AL1105" s="150"/>
      <c r="AM1105" s="466"/>
      <c r="AN1105" s="150"/>
      <c r="AO1105" s="150"/>
      <c r="AP1105" s="150"/>
      <c r="AQ1105" s="150"/>
      <c r="AR1105" s="151"/>
      <c r="AS1105" s="456"/>
      <c r="AT1105" s="151"/>
      <c r="AU1105" s="150"/>
      <c r="AV1105" s="487"/>
      <c r="AW1105" s="150"/>
      <c r="AX1105" s="150"/>
      <c r="AY1105" s="150"/>
      <c r="AZ1105" s="150"/>
      <c r="BA1105" s="150"/>
      <c r="BB1105" s="150"/>
      <c r="BC1105" s="150"/>
      <c r="BD1105" s="150"/>
      <c r="BE1105" s="150"/>
      <c r="BF1105" s="150"/>
      <c r="BG1105" s="150"/>
      <c r="BH1105" s="150"/>
      <c r="BI1105" s="150"/>
      <c r="BJ1105" s="150"/>
      <c r="BK1105" s="467">
        <v>5000</v>
      </c>
      <c r="BL1105" s="160"/>
      <c r="BM1105" s="150"/>
      <c r="BN1105" s="150"/>
      <c r="BO1105" s="150"/>
      <c r="BP1105" s="152"/>
      <c r="BQ1105" s="160"/>
      <c r="BR1105" s="152"/>
      <c r="BS1105" s="160"/>
    </row>
    <row r="1106" spans="1:71" x14ac:dyDescent="0.3">
      <c r="A1106" s="420">
        <f>DL!A1103</f>
        <v>993</v>
      </c>
      <c r="B1106" s="19" t="s">
        <v>1907</v>
      </c>
      <c r="C1106" s="149">
        <f>DL!L1103</f>
        <v>12</v>
      </c>
      <c r="D1106" s="149" t="str">
        <f>DL!C1103</f>
        <v>20*25ml</v>
      </c>
      <c r="E1106" s="150"/>
      <c r="F1106" s="463"/>
      <c r="G1106" s="150"/>
      <c r="H1106" s="150"/>
      <c r="I1106" s="150"/>
      <c r="J1106" s="150"/>
      <c r="K1106" s="168"/>
      <c r="L1106" s="466"/>
      <c r="M1106" s="150">
        <v>30000</v>
      </c>
      <c r="N1106" s="150"/>
      <c r="O1106" s="150"/>
      <c r="P1106" s="150"/>
      <c r="Q1106" s="150">
        <v>70000</v>
      </c>
      <c r="R1106" s="150"/>
      <c r="S1106" s="150"/>
      <c r="T1106" s="150"/>
      <c r="U1106" s="150"/>
      <c r="V1106" s="150"/>
      <c r="W1106" s="168"/>
      <c r="X1106" s="150"/>
      <c r="Y1106" s="150"/>
      <c r="Z1106" s="455"/>
      <c r="AA1106" s="150"/>
      <c r="AB1106" s="150"/>
      <c r="AC1106" s="150"/>
      <c r="AD1106" s="150"/>
      <c r="AE1106" s="150"/>
      <c r="AF1106" s="494">
        <v>26650</v>
      </c>
      <c r="AG1106" s="150"/>
      <c r="AH1106" s="501"/>
      <c r="AI1106" s="150"/>
      <c r="AJ1106" s="150"/>
      <c r="AK1106" s="150"/>
      <c r="AL1106" s="150"/>
      <c r="AM1106" s="466"/>
      <c r="AN1106" s="150"/>
      <c r="AO1106" s="150"/>
      <c r="AP1106" s="150"/>
      <c r="AQ1106" s="150"/>
      <c r="AR1106" s="151"/>
      <c r="AS1106" s="456"/>
      <c r="AT1106" s="151"/>
      <c r="AU1106" s="150"/>
      <c r="AV1106" s="487"/>
      <c r="AW1106" s="150"/>
      <c r="AX1106" s="150"/>
      <c r="AY1106" s="150"/>
      <c r="AZ1106" s="150"/>
      <c r="BA1106" s="150"/>
      <c r="BB1106" s="150"/>
      <c r="BC1106" s="150"/>
      <c r="BD1106" s="150"/>
      <c r="BE1106" s="150"/>
      <c r="BF1106" s="150"/>
      <c r="BG1106" s="150"/>
      <c r="BH1106" s="150"/>
      <c r="BI1106" s="150"/>
      <c r="BJ1106" s="150"/>
      <c r="BK1106" s="467">
        <v>30000</v>
      </c>
      <c r="BL1106" s="160"/>
      <c r="BM1106" s="150"/>
      <c r="BN1106" s="150"/>
      <c r="BO1106" s="150"/>
      <c r="BP1106" s="152"/>
      <c r="BQ1106" s="160"/>
      <c r="BR1106" s="152"/>
      <c r="BS1106" s="160"/>
    </row>
    <row r="1107" spans="1:71" x14ac:dyDescent="0.3">
      <c r="A1107" s="420">
        <f>DL!A1104</f>
        <v>994</v>
      </c>
      <c r="B1107" s="19" t="s">
        <v>1908</v>
      </c>
      <c r="C1107" s="149">
        <f>DL!L1104</f>
        <v>40</v>
      </c>
      <c r="D1107" s="149" t="str">
        <f>DL!C1104</f>
        <v>1*100ml</v>
      </c>
      <c r="E1107" s="150"/>
      <c r="F1107" s="463"/>
      <c r="G1107" s="150"/>
      <c r="H1107" s="150"/>
      <c r="I1107" s="150"/>
      <c r="J1107" s="150"/>
      <c r="K1107" s="168"/>
      <c r="L1107" s="466"/>
      <c r="M1107" s="150">
        <v>6600</v>
      </c>
      <c r="N1107" s="150"/>
      <c r="O1107" s="150"/>
      <c r="P1107" s="150"/>
      <c r="Q1107" s="150">
        <v>7500</v>
      </c>
      <c r="R1107" s="150"/>
      <c r="S1107" s="150"/>
      <c r="T1107" s="150"/>
      <c r="U1107" s="150"/>
      <c r="V1107" s="150"/>
      <c r="W1107" s="168"/>
      <c r="X1107" s="150"/>
      <c r="Y1107" s="150"/>
      <c r="Z1107" s="455"/>
      <c r="AA1107" s="150"/>
      <c r="AB1107" s="150"/>
      <c r="AC1107" s="150">
        <v>6215</v>
      </c>
      <c r="AD1107" s="150"/>
      <c r="AE1107" s="150"/>
      <c r="AF1107" s="494">
        <v>7150</v>
      </c>
      <c r="AG1107" s="150"/>
      <c r="AH1107" s="501"/>
      <c r="AI1107" s="150"/>
      <c r="AJ1107" s="150"/>
      <c r="AK1107" s="150"/>
      <c r="AL1107" s="150"/>
      <c r="AM1107" s="466"/>
      <c r="AN1107" s="150"/>
      <c r="AO1107" s="150"/>
      <c r="AP1107" s="150"/>
      <c r="AQ1107" s="150"/>
      <c r="AR1107" s="151"/>
      <c r="AS1107" s="456"/>
      <c r="AT1107" s="151"/>
      <c r="AU1107" s="150"/>
      <c r="AV1107" s="487"/>
      <c r="AW1107" s="150"/>
      <c r="AX1107" s="150"/>
      <c r="AY1107" s="150"/>
      <c r="AZ1107" s="150"/>
      <c r="BA1107" s="150"/>
      <c r="BB1107" s="150"/>
      <c r="BC1107" s="150"/>
      <c r="BD1107" s="150"/>
      <c r="BE1107" s="150"/>
      <c r="BF1107" s="150"/>
      <c r="BG1107" s="150"/>
      <c r="BH1107" s="150"/>
      <c r="BI1107" s="150"/>
      <c r="BJ1107" s="150"/>
      <c r="BK1107" s="467">
        <v>7500</v>
      </c>
      <c r="BL1107" s="160"/>
      <c r="BM1107" s="150"/>
      <c r="BN1107" s="150"/>
      <c r="BO1107" s="150"/>
      <c r="BP1107" s="152"/>
      <c r="BQ1107" s="160"/>
      <c r="BR1107" s="152"/>
      <c r="BS1107" s="160"/>
    </row>
    <row r="1108" spans="1:71" x14ac:dyDescent="0.3">
      <c r="A1108" s="420">
        <f>DL!A1105</f>
        <v>995</v>
      </c>
      <c r="B1108" s="19" t="s">
        <v>1906</v>
      </c>
      <c r="C1108" s="149">
        <f>DL!L1105</f>
        <v>40</v>
      </c>
      <c r="D1108" s="149" t="str">
        <f>DL!C1105</f>
        <v>1*5 PACKS</v>
      </c>
      <c r="E1108" s="150"/>
      <c r="F1108" s="463"/>
      <c r="G1108" s="150"/>
      <c r="H1108" s="150"/>
      <c r="I1108" s="150"/>
      <c r="J1108" s="150"/>
      <c r="K1108" s="168"/>
      <c r="L1108" s="466"/>
      <c r="M1108" s="150"/>
      <c r="N1108" s="150"/>
      <c r="O1108" s="150"/>
      <c r="P1108" s="150"/>
      <c r="Q1108" s="150"/>
      <c r="R1108" s="150"/>
      <c r="S1108" s="150"/>
      <c r="T1108" s="150"/>
      <c r="U1108" s="150"/>
      <c r="V1108" s="150"/>
      <c r="W1108" s="168"/>
      <c r="X1108" s="150"/>
      <c r="Y1108" s="150"/>
      <c r="Z1108" s="455"/>
      <c r="AA1108" s="150"/>
      <c r="AB1108" s="150"/>
      <c r="AC1108" s="150"/>
      <c r="AD1108" s="150"/>
      <c r="AE1108" s="150"/>
      <c r="AF1108" s="494">
        <v>120000</v>
      </c>
      <c r="AG1108" s="150"/>
      <c r="AH1108" s="501"/>
      <c r="AI1108" s="150"/>
      <c r="AJ1108" s="150"/>
      <c r="AK1108" s="150"/>
      <c r="AL1108" s="150"/>
      <c r="AM1108" s="466"/>
      <c r="AN1108" s="150"/>
      <c r="AO1108" s="150"/>
      <c r="AP1108" s="150"/>
      <c r="AQ1108" s="150"/>
      <c r="AR1108" s="151"/>
      <c r="AS1108" s="456"/>
      <c r="AT1108" s="151"/>
      <c r="AU1108" s="150"/>
      <c r="AV1108" s="487"/>
      <c r="AW1108" s="150"/>
      <c r="AX1108" s="150"/>
      <c r="AY1108" s="150"/>
      <c r="AZ1108" s="150"/>
      <c r="BA1108" s="150"/>
      <c r="BB1108" s="150"/>
      <c r="BC1108" s="150"/>
      <c r="BD1108" s="150"/>
      <c r="BE1108" s="150"/>
      <c r="BF1108" s="150"/>
      <c r="BG1108" s="150"/>
      <c r="BH1108" s="150"/>
      <c r="BI1108" s="150"/>
      <c r="BJ1108" s="150"/>
      <c r="BK1108" s="466"/>
      <c r="BL1108" s="160"/>
      <c r="BM1108" s="150"/>
      <c r="BN1108" s="150"/>
      <c r="BO1108" s="150"/>
      <c r="BP1108" s="152"/>
      <c r="BQ1108" s="160"/>
      <c r="BR1108" s="152"/>
      <c r="BS1108" s="160"/>
    </row>
    <row r="1109" spans="1:71" x14ac:dyDescent="0.3">
      <c r="A1109" s="420">
        <f>DL!A1106</f>
        <v>996</v>
      </c>
      <c r="B1109" s="19" t="s">
        <v>1910</v>
      </c>
      <c r="C1109" s="149">
        <f>DL!L1106</f>
        <v>24</v>
      </c>
      <c r="D1109" s="149" t="str">
        <f>DL!C1106</f>
        <v>30ml</v>
      </c>
      <c r="E1109" s="150"/>
      <c r="F1109" s="463"/>
      <c r="G1109" s="150"/>
      <c r="H1109" s="150"/>
      <c r="I1109" s="150"/>
      <c r="J1109" s="150"/>
      <c r="K1109" s="168"/>
      <c r="L1109" s="466"/>
      <c r="M1109" s="150"/>
      <c r="N1109" s="150"/>
      <c r="O1109" s="150"/>
      <c r="P1109" s="150"/>
      <c r="Q1109" s="150"/>
      <c r="R1109" s="150"/>
      <c r="S1109" s="150"/>
      <c r="T1109" s="150"/>
      <c r="U1109" s="150"/>
      <c r="V1109" s="150"/>
      <c r="W1109" s="168"/>
      <c r="X1109" s="150"/>
      <c r="Y1109" s="150"/>
      <c r="Z1109" s="455"/>
      <c r="AA1109" s="150"/>
      <c r="AB1109" s="150"/>
      <c r="AC1109" s="150"/>
      <c r="AD1109" s="150"/>
      <c r="AE1109" s="150"/>
      <c r="AF1109" s="494">
        <v>45000</v>
      </c>
      <c r="AG1109" s="150"/>
      <c r="AH1109" s="501"/>
      <c r="AI1109" s="150"/>
      <c r="AJ1109" s="150"/>
      <c r="AK1109" s="150"/>
      <c r="AL1109" s="150"/>
      <c r="AM1109" s="466"/>
      <c r="AN1109" s="150"/>
      <c r="AO1109" s="150"/>
      <c r="AP1109" s="150"/>
      <c r="AQ1109" s="150"/>
      <c r="AR1109" s="151"/>
      <c r="AS1109" s="456"/>
      <c r="AT1109" s="151"/>
      <c r="AU1109" s="150"/>
      <c r="AV1109" s="487"/>
      <c r="AW1109" s="150"/>
      <c r="AX1109" s="150"/>
      <c r="AY1109" s="150"/>
      <c r="AZ1109" s="150"/>
      <c r="BA1109" s="150"/>
      <c r="BB1109" s="150"/>
      <c r="BC1109" s="150"/>
      <c r="BD1109" s="150"/>
      <c r="BE1109" s="150"/>
      <c r="BF1109" s="150"/>
      <c r="BG1109" s="150"/>
      <c r="BH1109" s="150"/>
      <c r="BI1109" s="150"/>
      <c r="BJ1109" s="150"/>
      <c r="BK1109" s="466"/>
      <c r="BL1109" s="160"/>
      <c r="BM1109" s="150"/>
      <c r="BN1109" s="150"/>
      <c r="BO1109" s="150"/>
      <c r="BP1109" s="152"/>
      <c r="BQ1109" s="160"/>
      <c r="BR1109" s="152"/>
      <c r="BS1109" s="160"/>
    </row>
    <row r="1110" spans="1:71" x14ac:dyDescent="0.3">
      <c r="A1110" s="420">
        <f>DL!A1107</f>
        <v>997</v>
      </c>
      <c r="B1110" s="19" t="s">
        <v>1909</v>
      </c>
      <c r="C1110" s="149">
        <f>DL!L1107</f>
        <v>24</v>
      </c>
      <c r="D1110" s="149" t="str">
        <f>DL!C1107</f>
        <v>30ml</v>
      </c>
      <c r="E1110" s="150"/>
      <c r="F1110" s="463"/>
      <c r="G1110" s="150"/>
      <c r="H1110" s="150"/>
      <c r="I1110" s="150"/>
      <c r="J1110" s="150"/>
      <c r="K1110" s="168"/>
      <c r="L1110" s="466"/>
      <c r="M1110" s="150"/>
      <c r="N1110" s="150"/>
      <c r="O1110" s="150"/>
      <c r="P1110" s="150"/>
      <c r="Q1110" s="150"/>
      <c r="R1110" s="150"/>
      <c r="S1110" s="150"/>
      <c r="T1110" s="150"/>
      <c r="U1110" s="150"/>
      <c r="V1110" s="150"/>
      <c r="W1110" s="168"/>
      <c r="X1110" s="150"/>
      <c r="Y1110" s="150"/>
      <c r="Z1110" s="455"/>
      <c r="AA1110" s="150"/>
      <c r="AB1110" s="150"/>
      <c r="AC1110" s="150"/>
      <c r="AD1110" s="150"/>
      <c r="AE1110" s="150"/>
      <c r="AF1110" s="494">
        <v>50000</v>
      </c>
      <c r="AG1110" s="150"/>
      <c r="AH1110" s="501"/>
      <c r="AI1110" s="150"/>
      <c r="AJ1110" s="150"/>
      <c r="AK1110" s="150"/>
      <c r="AL1110" s="150"/>
      <c r="AM1110" s="466"/>
      <c r="AN1110" s="150"/>
      <c r="AO1110" s="150"/>
      <c r="AP1110" s="150"/>
      <c r="AQ1110" s="150"/>
      <c r="AR1110" s="151"/>
      <c r="AS1110" s="456"/>
      <c r="AT1110" s="151"/>
      <c r="AU1110" s="150"/>
      <c r="AV1110" s="487"/>
      <c r="AW1110" s="150"/>
      <c r="AX1110" s="150"/>
      <c r="AY1110" s="150"/>
      <c r="AZ1110" s="150"/>
      <c r="BA1110" s="150"/>
      <c r="BB1110" s="150"/>
      <c r="BC1110" s="150"/>
      <c r="BD1110" s="150"/>
      <c r="BE1110" s="150"/>
      <c r="BF1110" s="150"/>
      <c r="BG1110" s="150"/>
      <c r="BH1110" s="150"/>
      <c r="BI1110" s="150"/>
      <c r="BJ1110" s="150"/>
      <c r="BK1110" s="466"/>
      <c r="BL1110" s="160"/>
      <c r="BM1110" s="150"/>
      <c r="BN1110" s="150"/>
      <c r="BO1110" s="150"/>
      <c r="BP1110" s="152"/>
      <c r="BQ1110" s="160"/>
      <c r="BR1110" s="152"/>
      <c r="BS1110" s="160"/>
    </row>
    <row r="1111" spans="1:71" x14ac:dyDescent="0.3">
      <c r="A1111" s="420">
        <f>DL!A1108</f>
        <v>998</v>
      </c>
      <c r="B1111" s="19" t="s">
        <v>1911</v>
      </c>
      <c r="C1111" s="149">
        <f>DL!L1108</f>
        <v>16</v>
      </c>
      <c r="D1111" s="149" t="str">
        <f>DL!C1108</f>
        <v>6*30ml</v>
      </c>
      <c r="E1111" s="150"/>
      <c r="F1111" s="463"/>
      <c r="G1111" s="150"/>
      <c r="H1111" s="150"/>
      <c r="I1111" s="150"/>
      <c r="J1111" s="150"/>
      <c r="K1111" s="168"/>
      <c r="L1111" s="466"/>
      <c r="M1111" s="150">
        <v>18500</v>
      </c>
      <c r="N1111" s="150"/>
      <c r="O1111" s="150"/>
      <c r="P1111" s="150"/>
      <c r="Q1111" s="150">
        <v>9875</v>
      </c>
      <c r="R1111" s="150"/>
      <c r="S1111" s="150"/>
      <c r="T1111" s="150"/>
      <c r="U1111" s="150"/>
      <c r="V1111" s="150"/>
      <c r="W1111" s="168"/>
      <c r="X1111" s="150"/>
      <c r="Y1111" s="150"/>
      <c r="Z1111" s="455"/>
      <c r="AA1111" s="150"/>
      <c r="AB1111" s="150"/>
      <c r="AC1111" s="150">
        <v>7910</v>
      </c>
      <c r="AD1111" s="150"/>
      <c r="AE1111" s="150"/>
      <c r="AF1111" s="494">
        <v>9230</v>
      </c>
      <c r="AG1111" s="150"/>
      <c r="AH1111" s="501"/>
      <c r="AI1111" s="150"/>
      <c r="AJ1111" s="150"/>
      <c r="AK1111" s="150"/>
      <c r="AL1111" s="150"/>
      <c r="AM1111" s="466"/>
      <c r="AN1111" s="150"/>
      <c r="AO1111" s="150"/>
      <c r="AP1111" s="150"/>
      <c r="AQ1111" s="150"/>
      <c r="AR1111" s="151"/>
      <c r="AS1111" s="456"/>
      <c r="AT1111" s="151"/>
      <c r="AU1111" s="150"/>
      <c r="AV1111" s="487"/>
      <c r="AW1111" s="150"/>
      <c r="AX1111" s="150"/>
      <c r="AY1111" s="150"/>
      <c r="AZ1111" s="150"/>
      <c r="BA1111" s="150"/>
      <c r="BB1111" s="150"/>
      <c r="BC1111" s="150"/>
      <c r="BD1111" s="150"/>
      <c r="BE1111" s="150"/>
      <c r="BF1111" s="150"/>
      <c r="BG1111" s="150"/>
      <c r="BH1111" s="150"/>
      <c r="BI1111" s="150"/>
      <c r="BJ1111" s="150"/>
      <c r="BK1111" s="467">
        <v>9000</v>
      </c>
      <c r="BL1111" s="160"/>
      <c r="BM1111" s="150"/>
      <c r="BN1111" s="150"/>
      <c r="BO1111" s="150"/>
      <c r="BP1111" s="152"/>
      <c r="BQ1111" s="160"/>
      <c r="BR1111" s="152"/>
      <c r="BS1111" s="160"/>
    </row>
    <row r="1112" spans="1:71" x14ac:dyDescent="0.3">
      <c r="A1112" s="420">
        <f>DL!A1109</f>
        <v>999</v>
      </c>
      <c r="B1112" s="19" t="s">
        <v>1912</v>
      </c>
      <c r="C1112" s="149">
        <f>DL!L1109</f>
        <v>20</v>
      </c>
      <c r="D1112" s="149" t="str">
        <f>DL!C1109</f>
        <v>6*15ml</v>
      </c>
      <c r="E1112" s="150"/>
      <c r="F1112" s="463"/>
      <c r="G1112" s="150"/>
      <c r="H1112" s="150"/>
      <c r="I1112" s="150"/>
      <c r="J1112" s="150"/>
      <c r="K1112" s="168"/>
      <c r="L1112" s="466"/>
      <c r="M1112" s="150">
        <v>12000</v>
      </c>
      <c r="N1112" s="150"/>
      <c r="O1112" s="150"/>
      <c r="P1112" s="150"/>
      <c r="Q1112" s="150">
        <v>13750</v>
      </c>
      <c r="R1112" s="150"/>
      <c r="S1112" s="150"/>
      <c r="T1112" s="150"/>
      <c r="U1112" s="150"/>
      <c r="V1112" s="150"/>
      <c r="W1112" s="168"/>
      <c r="X1112" s="150"/>
      <c r="Y1112" s="150"/>
      <c r="Z1112" s="455"/>
      <c r="AA1112" s="150"/>
      <c r="AB1112" s="150"/>
      <c r="AC1112" s="150">
        <v>11300</v>
      </c>
      <c r="AD1112" s="150"/>
      <c r="AE1112" s="150"/>
      <c r="AF1112" s="494">
        <v>12610</v>
      </c>
      <c r="AG1112" s="150"/>
      <c r="AH1112" s="501"/>
      <c r="AI1112" s="150"/>
      <c r="AJ1112" s="150"/>
      <c r="AK1112" s="150"/>
      <c r="AL1112" s="150"/>
      <c r="AM1112" s="466">
        <v>11900</v>
      </c>
      <c r="AN1112" s="150"/>
      <c r="AO1112" s="150"/>
      <c r="AP1112" s="150"/>
      <c r="AQ1112" s="150"/>
      <c r="AR1112" s="151"/>
      <c r="AS1112" s="456"/>
      <c r="AT1112" s="151"/>
      <c r="AU1112" s="150"/>
      <c r="AV1112" s="487"/>
      <c r="AW1112" s="150"/>
      <c r="AX1112" s="150"/>
      <c r="AY1112" s="150"/>
      <c r="AZ1112" s="150"/>
      <c r="BA1112" s="150"/>
      <c r="BB1112" s="150"/>
      <c r="BC1112" s="150"/>
      <c r="BD1112" s="150"/>
      <c r="BE1112" s="150"/>
      <c r="BF1112" s="150"/>
      <c r="BG1112" s="150"/>
      <c r="BH1112" s="150"/>
      <c r="BI1112" s="150"/>
      <c r="BJ1112" s="150"/>
      <c r="BK1112" s="467">
        <v>12000</v>
      </c>
      <c r="BL1112" s="160"/>
      <c r="BM1112" s="150"/>
      <c r="BN1112" s="150"/>
      <c r="BO1112" s="150"/>
      <c r="BP1112" s="152"/>
      <c r="BQ1112" s="160"/>
      <c r="BR1112" s="152"/>
      <c r="BS1112" s="160"/>
    </row>
    <row r="1113" spans="1:71" x14ac:dyDescent="0.3">
      <c r="A1113" s="420">
        <f>DL!A1110</f>
        <v>1000</v>
      </c>
      <c r="B1113" s="19" t="s">
        <v>1913</v>
      </c>
      <c r="C1113" s="149">
        <f>DL!L1110</f>
        <v>12</v>
      </c>
      <c r="D1113" s="149" t="str">
        <f>DL!C1110</f>
        <v>20*5ml</v>
      </c>
      <c r="E1113" s="150"/>
      <c r="F1113" s="463"/>
      <c r="G1113" s="150"/>
      <c r="H1113" s="150"/>
      <c r="I1113" s="150"/>
      <c r="J1113" s="150"/>
      <c r="K1113" s="168"/>
      <c r="L1113" s="466"/>
      <c r="M1113" s="150">
        <v>30000</v>
      </c>
      <c r="N1113" s="150"/>
      <c r="O1113" s="150"/>
      <c r="P1113" s="150"/>
      <c r="Q1113" s="150">
        <v>32500</v>
      </c>
      <c r="R1113" s="150"/>
      <c r="S1113" s="150"/>
      <c r="T1113" s="150"/>
      <c r="U1113" s="150"/>
      <c r="V1113" s="150"/>
      <c r="W1113" s="168"/>
      <c r="X1113" s="150"/>
      <c r="Y1113" s="150"/>
      <c r="Z1113" s="455"/>
      <c r="AA1113" s="150"/>
      <c r="AB1113" s="150"/>
      <c r="AC1113" s="150"/>
      <c r="AD1113" s="150"/>
      <c r="AE1113" s="150"/>
      <c r="AF1113" s="494">
        <v>26650</v>
      </c>
      <c r="AG1113" s="150"/>
      <c r="AH1113" s="501"/>
      <c r="AI1113" s="150"/>
      <c r="AJ1113" s="150"/>
      <c r="AK1113" s="150"/>
      <c r="AL1113" s="150"/>
      <c r="AM1113" s="466"/>
      <c r="AN1113" s="150"/>
      <c r="AO1113" s="150"/>
      <c r="AP1113" s="150"/>
      <c r="AQ1113" s="150"/>
      <c r="AR1113" s="151"/>
      <c r="AS1113" s="456"/>
      <c r="AT1113" s="151"/>
      <c r="AU1113" s="150"/>
      <c r="AV1113" s="487"/>
      <c r="AW1113" s="150"/>
      <c r="AX1113" s="150"/>
      <c r="AY1113" s="150"/>
      <c r="AZ1113" s="150"/>
      <c r="BA1113" s="150"/>
      <c r="BB1113" s="150"/>
      <c r="BC1113" s="150"/>
      <c r="BD1113" s="150"/>
      <c r="BE1113" s="150"/>
      <c r="BF1113" s="150"/>
      <c r="BG1113" s="150"/>
      <c r="BH1113" s="150"/>
      <c r="BI1113" s="150"/>
      <c r="BJ1113" s="150"/>
      <c r="BK1113" s="467">
        <v>30000</v>
      </c>
      <c r="BL1113" s="160"/>
      <c r="BM1113" s="150"/>
      <c r="BN1113" s="150"/>
      <c r="BO1113" s="150"/>
      <c r="BP1113" s="152"/>
      <c r="BQ1113" s="160"/>
      <c r="BR1113" s="152"/>
      <c r="BS1113" s="160"/>
    </row>
    <row r="1114" spans="1:71" x14ac:dyDescent="0.3">
      <c r="A1114" s="420">
        <f>DL!A1111</f>
        <v>1001</v>
      </c>
      <c r="B1114" s="19" t="s">
        <v>1914</v>
      </c>
      <c r="C1114" s="149">
        <v>36</v>
      </c>
      <c r="D1114" s="149" t="str">
        <f>DL!C1111</f>
        <v>1*20</v>
      </c>
      <c r="E1114" s="150"/>
      <c r="F1114" s="463"/>
      <c r="G1114" s="150"/>
      <c r="H1114" s="150"/>
      <c r="I1114" s="150"/>
      <c r="J1114" s="150"/>
      <c r="K1114" s="168">
        <f>20*1152</f>
        <v>23040</v>
      </c>
      <c r="L1114" s="466"/>
      <c r="M1114" s="150"/>
      <c r="N1114" s="150"/>
      <c r="O1114" s="150"/>
      <c r="P1114" s="150"/>
      <c r="Q1114" s="150"/>
      <c r="R1114" s="150"/>
      <c r="S1114" s="150"/>
      <c r="T1114" s="150"/>
      <c r="U1114" s="150"/>
      <c r="V1114" s="150"/>
      <c r="W1114" s="168"/>
      <c r="X1114" s="150"/>
      <c r="Y1114" s="150"/>
      <c r="Z1114" s="455"/>
      <c r="AA1114" s="150"/>
      <c r="AB1114" s="150"/>
      <c r="AC1114" s="150"/>
      <c r="AD1114" s="150"/>
      <c r="AE1114" s="150"/>
      <c r="AF1114" s="495">
        <v>1456</v>
      </c>
      <c r="AG1114" s="150"/>
      <c r="AH1114" s="501"/>
      <c r="AI1114" s="150"/>
      <c r="AJ1114" s="150"/>
      <c r="AK1114" s="150"/>
      <c r="AL1114" s="150"/>
      <c r="AM1114" s="466"/>
      <c r="AN1114" s="150"/>
      <c r="AO1114" s="150"/>
      <c r="AP1114" s="150"/>
      <c r="AQ1114" s="150"/>
      <c r="AR1114" s="151"/>
      <c r="AS1114" s="456"/>
      <c r="AT1114" s="151"/>
      <c r="AU1114" s="150"/>
      <c r="AV1114" s="487"/>
      <c r="AW1114" s="150"/>
      <c r="AX1114" s="150"/>
      <c r="AY1114" s="150"/>
      <c r="AZ1114" s="150"/>
      <c r="BA1114" s="150"/>
      <c r="BB1114" s="150"/>
      <c r="BC1114" s="150"/>
      <c r="BD1114" s="150"/>
      <c r="BE1114" s="150"/>
      <c r="BF1114" s="150"/>
      <c r="BG1114" s="150"/>
      <c r="BH1114" s="150"/>
      <c r="BI1114" s="150"/>
      <c r="BJ1114" s="150"/>
      <c r="BK1114" s="466"/>
      <c r="BL1114" s="160"/>
      <c r="BM1114" s="150"/>
      <c r="BN1114" s="150"/>
      <c r="BO1114" s="150"/>
      <c r="BP1114" s="152"/>
      <c r="BQ1114" s="160"/>
      <c r="BR1114" s="152"/>
      <c r="BS1114" s="160"/>
    </row>
    <row r="1115" spans="1:71" x14ac:dyDescent="0.3">
      <c r="A1115" s="420">
        <f>DL!A1112</f>
        <v>1002</v>
      </c>
      <c r="B1115" s="19" t="s">
        <v>1915</v>
      </c>
      <c r="C1115" s="149">
        <v>12</v>
      </c>
      <c r="D1115" s="149" t="str">
        <f>DL!C1112</f>
        <v>1*25</v>
      </c>
      <c r="E1115" s="150"/>
      <c r="F1115" s="463"/>
      <c r="G1115" s="150"/>
      <c r="H1115" s="150"/>
      <c r="I1115" s="150"/>
      <c r="J1115" s="150"/>
      <c r="K1115" s="168"/>
      <c r="L1115" s="466"/>
      <c r="M1115" s="150"/>
      <c r="N1115" s="150"/>
      <c r="O1115" s="150"/>
      <c r="P1115" s="150"/>
      <c r="Q1115" s="150"/>
      <c r="R1115" s="150"/>
      <c r="S1115" s="150"/>
      <c r="T1115" s="150"/>
      <c r="U1115" s="150"/>
      <c r="V1115" s="150"/>
      <c r="W1115" s="168"/>
      <c r="X1115" s="150"/>
      <c r="Y1115" s="150"/>
      <c r="Z1115" s="455"/>
      <c r="AA1115" s="150"/>
      <c r="AB1115" s="150"/>
      <c r="AC1115" s="150"/>
      <c r="AD1115" s="150"/>
      <c r="AE1115" s="150"/>
      <c r="AF1115" s="495">
        <f>25*1456</f>
        <v>36400</v>
      </c>
      <c r="AG1115" s="150"/>
      <c r="AH1115" s="501"/>
      <c r="AI1115" s="150"/>
      <c r="AJ1115" s="150"/>
      <c r="AK1115" s="150"/>
      <c r="AL1115" s="150"/>
      <c r="AM1115" s="466"/>
      <c r="AN1115" s="150"/>
      <c r="AO1115" s="150"/>
      <c r="AP1115" s="150"/>
      <c r="AQ1115" s="150"/>
      <c r="AR1115" s="151"/>
      <c r="AS1115" s="456"/>
      <c r="AT1115" s="151"/>
      <c r="AU1115" s="150"/>
      <c r="AV1115" s="487"/>
      <c r="AW1115" s="150"/>
      <c r="AX1115" s="150"/>
      <c r="AY1115" s="150"/>
      <c r="AZ1115" s="150"/>
      <c r="BA1115" s="150"/>
      <c r="BB1115" s="150"/>
      <c r="BC1115" s="150"/>
      <c r="BD1115" s="150"/>
      <c r="BE1115" s="150"/>
      <c r="BF1115" s="150"/>
      <c r="BG1115" s="150"/>
      <c r="BH1115" s="150"/>
      <c r="BI1115" s="150"/>
      <c r="BJ1115" s="150"/>
      <c r="BK1115" s="467">
        <v>38000</v>
      </c>
      <c r="BL1115" s="160"/>
      <c r="BM1115" s="150"/>
      <c r="BN1115" s="150"/>
      <c r="BO1115" s="150"/>
      <c r="BP1115" s="152"/>
      <c r="BQ1115" s="160"/>
      <c r="BR1115" s="152"/>
      <c r="BS1115" s="160"/>
    </row>
    <row r="1116" spans="1:71" x14ac:dyDescent="0.3">
      <c r="A1116" s="420">
        <f>DL!A1113</f>
        <v>1003</v>
      </c>
      <c r="B1116" s="19" t="s">
        <v>1916</v>
      </c>
      <c r="C1116" s="149">
        <v>12</v>
      </c>
      <c r="D1116" s="149" t="str">
        <f>DL!C1113</f>
        <v>1*25</v>
      </c>
      <c r="E1116" s="150"/>
      <c r="F1116" s="463"/>
      <c r="G1116" s="150"/>
      <c r="H1116" s="150"/>
      <c r="I1116" s="150"/>
      <c r="J1116" s="150"/>
      <c r="K1116" s="168"/>
      <c r="L1116" s="466"/>
      <c r="M1116" s="150"/>
      <c r="N1116" s="150"/>
      <c r="O1116" s="150"/>
      <c r="P1116" s="150"/>
      <c r="Q1116" s="150"/>
      <c r="R1116" s="150"/>
      <c r="S1116" s="150"/>
      <c r="T1116" s="150"/>
      <c r="U1116" s="150"/>
      <c r="V1116" s="150"/>
      <c r="W1116" s="168"/>
      <c r="X1116" s="150"/>
      <c r="Y1116" s="150"/>
      <c r="Z1116" s="455"/>
      <c r="AA1116" s="150"/>
      <c r="AB1116" s="150"/>
      <c r="AC1116" s="150"/>
      <c r="AD1116" s="150"/>
      <c r="AE1116" s="150"/>
      <c r="AF1116" s="495">
        <f>25*1456</f>
        <v>36400</v>
      </c>
      <c r="AG1116" s="150"/>
      <c r="AH1116" s="501"/>
      <c r="AI1116" s="150"/>
      <c r="AJ1116" s="150"/>
      <c r="AK1116" s="150"/>
      <c r="AL1116" s="150"/>
      <c r="AM1116" s="466"/>
      <c r="AN1116" s="150"/>
      <c r="AO1116" s="150"/>
      <c r="AP1116" s="150"/>
      <c r="AQ1116" s="150"/>
      <c r="AR1116" s="151"/>
      <c r="AS1116" s="456"/>
      <c r="AT1116" s="151"/>
      <c r="AU1116" s="150"/>
      <c r="AV1116" s="487"/>
      <c r="AW1116" s="150"/>
      <c r="AX1116" s="150"/>
      <c r="AY1116" s="150"/>
      <c r="AZ1116" s="150"/>
      <c r="BA1116" s="150"/>
      <c r="BB1116" s="150"/>
      <c r="BC1116" s="150"/>
      <c r="BD1116" s="150"/>
      <c r="BE1116" s="150"/>
      <c r="BF1116" s="150"/>
      <c r="BG1116" s="150"/>
      <c r="BH1116" s="150"/>
      <c r="BI1116" s="150"/>
      <c r="BJ1116" s="150"/>
      <c r="BK1116" s="467">
        <v>38000</v>
      </c>
      <c r="BL1116" s="160"/>
      <c r="BM1116" s="150"/>
      <c r="BN1116" s="150"/>
      <c r="BO1116" s="150"/>
      <c r="BP1116" s="152"/>
      <c r="BQ1116" s="160"/>
      <c r="BR1116" s="152"/>
      <c r="BS1116" s="160"/>
    </row>
    <row r="1117" spans="1:71" x14ac:dyDescent="0.3">
      <c r="A1117" s="420">
        <f>DL!A1114</f>
        <v>1004</v>
      </c>
      <c r="B1117" s="19" t="s">
        <v>1917</v>
      </c>
      <c r="C1117" s="149">
        <v>12</v>
      </c>
      <c r="D1117" s="149" t="str">
        <f>DL!C1114</f>
        <v>1*25</v>
      </c>
      <c r="E1117" s="150"/>
      <c r="F1117" s="463"/>
      <c r="G1117" s="150"/>
      <c r="H1117" s="150"/>
      <c r="I1117" s="150"/>
      <c r="J1117" s="150"/>
      <c r="K1117" s="168"/>
      <c r="L1117" s="466"/>
      <c r="M1117" s="150"/>
      <c r="N1117" s="150"/>
      <c r="O1117" s="150"/>
      <c r="P1117" s="150"/>
      <c r="Q1117" s="150"/>
      <c r="R1117" s="150"/>
      <c r="S1117" s="150"/>
      <c r="T1117" s="150"/>
      <c r="U1117" s="150"/>
      <c r="V1117" s="150"/>
      <c r="W1117" s="168"/>
      <c r="X1117" s="150"/>
      <c r="Y1117" s="150"/>
      <c r="Z1117" s="455"/>
      <c r="AA1117" s="150"/>
      <c r="AB1117" s="150"/>
      <c r="AC1117" s="150"/>
      <c r="AD1117" s="150"/>
      <c r="AE1117" s="150"/>
      <c r="AF1117" s="495">
        <f>25*1456</f>
        <v>36400</v>
      </c>
      <c r="AG1117" s="150"/>
      <c r="AH1117" s="501"/>
      <c r="AI1117" s="150"/>
      <c r="AJ1117" s="150"/>
      <c r="AK1117" s="150"/>
      <c r="AL1117" s="150"/>
      <c r="AM1117" s="466"/>
      <c r="AN1117" s="150"/>
      <c r="AO1117" s="150"/>
      <c r="AP1117" s="150"/>
      <c r="AQ1117" s="150"/>
      <c r="AR1117" s="151"/>
      <c r="AS1117" s="456"/>
      <c r="AT1117" s="151"/>
      <c r="AU1117" s="150"/>
      <c r="AV1117" s="487"/>
      <c r="AW1117" s="150"/>
      <c r="AX1117" s="150"/>
      <c r="AY1117" s="150"/>
      <c r="AZ1117" s="150"/>
      <c r="BA1117" s="150"/>
      <c r="BB1117" s="150"/>
      <c r="BC1117" s="150"/>
      <c r="BD1117" s="150"/>
      <c r="BE1117" s="150"/>
      <c r="BF1117" s="150"/>
      <c r="BG1117" s="150"/>
      <c r="BH1117" s="150"/>
      <c r="BI1117" s="150"/>
      <c r="BJ1117" s="150"/>
      <c r="BK1117" s="467">
        <v>38000</v>
      </c>
      <c r="BL1117" s="160"/>
      <c r="BM1117" s="150"/>
      <c r="BN1117" s="150"/>
      <c r="BO1117" s="150"/>
      <c r="BP1117" s="152"/>
      <c r="BQ1117" s="160"/>
      <c r="BR1117" s="152"/>
      <c r="BS1117" s="160"/>
    </row>
    <row r="1118" spans="1:71" x14ac:dyDescent="0.3">
      <c r="A1118" s="420">
        <f>DL!A1115</f>
        <v>1005</v>
      </c>
      <c r="B1118" s="19" t="s">
        <v>1918</v>
      </c>
      <c r="C1118" s="149">
        <v>12</v>
      </c>
      <c r="D1118" s="149" t="str">
        <f>DL!C1115</f>
        <v>1*25</v>
      </c>
      <c r="E1118" s="150"/>
      <c r="F1118" s="463"/>
      <c r="G1118" s="150"/>
      <c r="H1118" s="150"/>
      <c r="I1118" s="150"/>
      <c r="J1118" s="150"/>
      <c r="K1118" s="168"/>
      <c r="L1118" s="466"/>
      <c r="M1118" s="150"/>
      <c r="N1118" s="150"/>
      <c r="O1118" s="150"/>
      <c r="P1118" s="150"/>
      <c r="Q1118" s="150"/>
      <c r="R1118" s="150"/>
      <c r="S1118" s="150"/>
      <c r="T1118" s="150"/>
      <c r="U1118" s="150"/>
      <c r="V1118" s="150"/>
      <c r="W1118" s="168"/>
      <c r="X1118" s="150"/>
      <c r="Y1118" s="150"/>
      <c r="Z1118" s="455"/>
      <c r="AA1118" s="150"/>
      <c r="AB1118" s="150"/>
      <c r="AC1118" s="150"/>
      <c r="AD1118" s="150"/>
      <c r="AE1118" s="150"/>
      <c r="AF1118" s="495">
        <f>25*1456</f>
        <v>36400</v>
      </c>
      <c r="AG1118" s="150"/>
      <c r="AH1118" s="501"/>
      <c r="AI1118" s="150"/>
      <c r="AJ1118" s="150"/>
      <c r="AK1118" s="150"/>
      <c r="AL1118" s="150"/>
      <c r="AM1118" s="466"/>
      <c r="AN1118" s="150"/>
      <c r="AO1118" s="150"/>
      <c r="AP1118" s="150"/>
      <c r="AQ1118" s="150"/>
      <c r="AR1118" s="151"/>
      <c r="AS1118" s="456"/>
      <c r="AT1118" s="151"/>
      <c r="AU1118" s="150"/>
      <c r="AV1118" s="487"/>
      <c r="AW1118" s="150"/>
      <c r="AX1118" s="150"/>
      <c r="AY1118" s="150"/>
      <c r="AZ1118" s="150"/>
      <c r="BA1118" s="150"/>
      <c r="BB1118" s="150"/>
      <c r="BC1118" s="150"/>
      <c r="BD1118" s="150"/>
      <c r="BE1118" s="150"/>
      <c r="BF1118" s="150"/>
      <c r="BG1118" s="150"/>
      <c r="BH1118" s="150"/>
      <c r="BI1118" s="150"/>
      <c r="BJ1118" s="150"/>
      <c r="BK1118" s="467">
        <v>38000</v>
      </c>
      <c r="BL1118" s="160"/>
      <c r="BM1118" s="150"/>
      <c r="BN1118" s="150"/>
      <c r="BO1118" s="150"/>
      <c r="BP1118" s="152"/>
      <c r="BQ1118" s="160"/>
      <c r="BR1118" s="152"/>
      <c r="BS1118" s="160"/>
    </row>
    <row r="1119" spans="1:71" x14ac:dyDescent="0.3">
      <c r="A1119" s="420">
        <f>DL!A1116</f>
        <v>1006</v>
      </c>
      <c r="B1119" s="19" t="s">
        <v>1919</v>
      </c>
      <c r="C1119" s="149">
        <v>20</v>
      </c>
      <c r="D1119" s="149" t="str">
        <f>DL!C1116</f>
        <v>1*20</v>
      </c>
      <c r="E1119" s="150"/>
      <c r="F1119" s="463"/>
      <c r="G1119" s="150"/>
      <c r="H1119" s="150"/>
      <c r="I1119" s="150"/>
      <c r="J1119" s="150"/>
      <c r="K1119" s="168">
        <f>20*1152</f>
        <v>23040</v>
      </c>
      <c r="L1119" s="466"/>
      <c r="M1119" s="150"/>
      <c r="N1119" s="150"/>
      <c r="O1119" s="150"/>
      <c r="P1119" s="150"/>
      <c r="Q1119" s="150"/>
      <c r="R1119" s="150"/>
      <c r="S1119" s="150"/>
      <c r="T1119" s="150"/>
      <c r="U1119" s="150"/>
      <c r="V1119" s="150"/>
      <c r="W1119" s="168"/>
      <c r="X1119" s="150"/>
      <c r="Y1119" s="150"/>
      <c r="Z1119" s="455"/>
      <c r="AA1119" s="150"/>
      <c r="AB1119" s="150"/>
      <c r="AC1119" s="150"/>
      <c r="AD1119" s="150"/>
      <c r="AE1119" s="150"/>
      <c r="AF1119" s="495">
        <f>20*1456</f>
        <v>29120</v>
      </c>
      <c r="AG1119" s="150"/>
      <c r="AH1119" s="501"/>
      <c r="AI1119" s="150"/>
      <c r="AJ1119" s="150"/>
      <c r="AK1119" s="150"/>
      <c r="AL1119" s="150"/>
      <c r="AM1119" s="466"/>
      <c r="AN1119" s="150"/>
      <c r="AO1119" s="150"/>
      <c r="AP1119" s="150"/>
      <c r="AQ1119" s="150"/>
      <c r="AR1119" s="151"/>
      <c r="AS1119" s="456"/>
      <c r="AT1119" s="151"/>
      <c r="AU1119" s="150"/>
      <c r="AV1119" s="487"/>
      <c r="AW1119" s="150"/>
      <c r="AX1119" s="150"/>
      <c r="AY1119" s="150"/>
      <c r="AZ1119" s="150"/>
      <c r="BA1119" s="150"/>
      <c r="BB1119" s="150"/>
      <c r="BC1119" s="150"/>
      <c r="BD1119" s="150"/>
      <c r="BE1119" s="150"/>
      <c r="BF1119" s="150"/>
      <c r="BG1119" s="150"/>
      <c r="BH1119" s="150"/>
      <c r="BI1119" s="150"/>
      <c r="BJ1119" s="150"/>
      <c r="BK1119" s="466"/>
      <c r="BL1119" s="160"/>
      <c r="BM1119" s="150"/>
      <c r="BN1119" s="150"/>
      <c r="BO1119" s="150"/>
      <c r="BP1119" s="152"/>
      <c r="BQ1119" s="160"/>
      <c r="BR1119" s="152"/>
      <c r="BS1119" s="160"/>
    </row>
    <row r="1120" spans="1:71" x14ac:dyDescent="0.3">
      <c r="A1120" s="420">
        <f>DL!A1117</f>
        <v>1007</v>
      </c>
      <c r="B1120" s="19" t="s">
        <v>1920</v>
      </c>
      <c r="C1120" s="149">
        <v>15</v>
      </c>
      <c r="D1120" s="149" t="str">
        <f>DL!C1117</f>
        <v>1*20</v>
      </c>
      <c r="E1120" s="150"/>
      <c r="F1120" s="463"/>
      <c r="G1120" s="150"/>
      <c r="H1120" s="150"/>
      <c r="I1120" s="150"/>
      <c r="J1120" s="150"/>
      <c r="K1120" s="168">
        <f>20*1152</f>
        <v>23040</v>
      </c>
      <c r="L1120" s="466"/>
      <c r="M1120" s="150"/>
      <c r="N1120" s="150"/>
      <c r="O1120" s="150"/>
      <c r="P1120" s="150"/>
      <c r="Q1120" s="150"/>
      <c r="R1120" s="150"/>
      <c r="S1120" s="150"/>
      <c r="T1120" s="150"/>
      <c r="U1120" s="150"/>
      <c r="V1120" s="150"/>
      <c r="W1120" s="168"/>
      <c r="X1120" s="150"/>
      <c r="Y1120" s="150"/>
      <c r="Z1120" s="455"/>
      <c r="AA1120" s="150"/>
      <c r="AB1120" s="150"/>
      <c r="AC1120" s="150"/>
      <c r="AD1120" s="150"/>
      <c r="AE1120" s="150"/>
      <c r="AF1120" s="495">
        <f>20*1456</f>
        <v>29120</v>
      </c>
      <c r="AG1120" s="150"/>
      <c r="AH1120" s="501"/>
      <c r="AI1120" s="150"/>
      <c r="AJ1120" s="150"/>
      <c r="AK1120" s="150"/>
      <c r="AL1120" s="150"/>
      <c r="AM1120" s="466"/>
      <c r="AN1120" s="150"/>
      <c r="AO1120" s="150"/>
      <c r="AP1120" s="150"/>
      <c r="AQ1120" s="150"/>
      <c r="AR1120" s="151"/>
      <c r="AS1120" s="456"/>
      <c r="AT1120" s="151"/>
      <c r="AU1120" s="150"/>
      <c r="AV1120" s="487"/>
      <c r="AW1120" s="150"/>
      <c r="AX1120" s="150"/>
      <c r="AY1120" s="150"/>
      <c r="AZ1120" s="150"/>
      <c r="BA1120" s="150"/>
      <c r="BB1120" s="150"/>
      <c r="BC1120" s="150"/>
      <c r="BD1120" s="150"/>
      <c r="BE1120" s="150"/>
      <c r="BF1120" s="150"/>
      <c r="BG1120" s="150"/>
      <c r="BH1120" s="150"/>
      <c r="BI1120" s="150"/>
      <c r="BJ1120" s="150"/>
      <c r="BK1120" s="466"/>
      <c r="BL1120" s="160"/>
      <c r="BM1120" s="150"/>
      <c r="BN1120" s="150"/>
      <c r="BO1120" s="150"/>
      <c r="BP1120" s="152"/>
      <c r="BQ1120" s="160"/>
      <c r="BR1120" s="152"/>
      <c r="BS1120" s="160"/>
    </row>
    <row r="1121" spans="1:71" x14ac:dyDescent="0.3">
      <c r="A1121" s="420">
        <f>DL!A1118</f>
        <v>1008</v>
      </c>
      <c r="B1121" s="19" t="s">
        <v>1921</v>
      </c>
      <c r="C1121" s="149">
        <v>72</v>
      </c>
      <c r="D1121" s="149" t="str">
        <f>DL!C1118</f>
        <v>1*10</v>
      </c>
      <c r="E1121" s="150"/>
      <c r="F1121" s="463"/>
      <c r="G1121" s="150"/>
      <c r="H1121" s="150"/>
      <c r="I1121" s="150"/>
      <c r="J1121" s="150"/>
      <c r="K1121" s="168">
        <f>10*1920</f>
        <v>19200</v>
      </c>
      <c r="L1121" s="466"/>
      <c r="M1121" s="150"/>
      <c r="N1121" s="150"/>
      <c r="O1121" s="150"/>
      <c r="P1121" s="150"/>
      <c r="Q1121" s="150"/>
      <c r="R1121" s="150"/>
      <c r="S1121" s="150"/>
      <c r="T1121" s="150"/>
      <c r="U1121" s="150"/>
      <c r="V1121" s="150"/>
      <c r="W1121" s="168"/>
      <c r="X1121" s="150"/>
      <c r="Y1121" s="150"/>
      <c r="Z1121" s="455"/>
      <c r="AA1121" s="150"/>
      <c r="AB1121" s="150"/>
      <c r="AC1121" s="150"/>
      <c r="AD1121" s="150"/>
      <c r="AE1121" s="150"/>
      <c r="AF1121" s="495">
        <f>10*2860</f>
        <v>28600</v>
      </c>
      <c r="AG1121" s="150"/>
      <c r="AH1121" s="501"/>
      <c r="AI1121" s="150"/>
      <c r="AJ1121" s="150"/>
      <c r="AK1121" s="150"/>
      <c r="AL1121" s="150"/>
      <c r="AM1121" s="466"/>
      <c r="AN1121" s="150"/>
      <c r="AO1121" s="150"/>
      <c r="AP1121" s="150"/>
      <c r="AQ1121" s="150"/>
      <c r="AR1121" s="151"/>
      <c r="AS1121" s="456"/>
      <c r="AT1121" s="151"/>
      <c r="AU1121" s="150"/>
      <c r="AV1121" s="487"/>
      <c r="AW1121" s="150"/>
      <c r="AX1121" s="150"/>
      <c r="AY1121" s="150"/>
      <c r="AZ1121" s="150"/>
      <c r="BA1121" s="150"/>
      <c r="BB1121" s="150"/>
      <c r="BC1121" s="150"/>
      <c r="BD1121" s="150"/>
      <c r="BE1121" s="150"/>
      <c r="BF1121" s="150"/>
      <c r="BG1121" s="150"/>
      <c r="BH1121" s="150"/>
      <c r="BI1121" s="150"/>
      <c r="BJ1121" s="150"/>
      <c r="BK1121" s="466"/>
      <c r="BL1121" s="160"/>
      <c r="BM1121" s="150"/>
      <c r="BN1121" s="150"/>
      <c r="BO1121" s="150"/>
      <c r="BP1121" s="152"/>
      <c r="BQ1121" s="160"/>
      <c r="BR1121" s="152"/>
      <c r="BS1121" s="160"/>
    </row>
    <row r="1122" spans="1:71" x14ac:dyDescent="0.3">
      <c r="A1122" s="420">
        <f>DL!A1119</f>
        <v>1009</v>
      </c>
      <c r="B1122" s="19" t="s">
        <v>1922</v>
      </c>
      <c r="C1122" s="149">
        <v>15</v>
      </c>
      <c r="D1122" s="149" t="str">
        <f>DL!C1119</f>
        <v>1*20</v>
      </c>
      <c r="E1122" s="150"/>
      <c r="F1122" s="463"/>
      <c r="G1122" s="150"/>
      <c r="H1122" s="150"/>
      <c r="I1122" s="150"/>
      <c r="J1122" s="150"/>
      <c r="K1122" s="168">
        <f>20*1152</f>
        <v>23040</v>
      </c>
      <c r="L1122" s="466"/>
      <c r="M1122" s="150"/>
      <c r="N1122" s="150"/>
      <c r="O1122" s="150"/>
      <c r="P1122" s="150"/>
      <c r="Q1122" s="150"/>
      <c r="R1122" s="150"/>
      <c r="S1122" s="150"/>
      <c r="T1122" s="150"/>
      <c r="U1122" s="150"/>
      <c r="V1122" s="150"/>
      <c r="W1122" s="168"/>
      <c r="X1122" s="150"/>
      <c r="Y1122" s="150"/>
      <c r="Z1122" s="455"/>
      <c r="AA1122" s="150"/>
      <c r="AB1122" s="150"/>
      <c r="AC1122" s="150"/>
      <c r="AD1122" s="150"/>
      <c r="AE1122" s="150"/>
      <c r="AF1122" s="495">
        <f>20*1456</f>
        <v>29120</v>
      </c>
      <c r="AG1122" s="150"/>
      <c r="AH1122" s="501"/>
      <c r="AI1122" s="150"/>
      <c r="AJ1122" s="150"/>
      <c r="AK1122" s="150"/>
      <c r="AL1122" s="150"/>
      <c r="AM1122" s="466"/>
      <c r="AN1122" s="150"/>
      <c r="AO1122" s="150"/>
      <c r="AP1122" s="150"/>
      <c r="AQ1122" s="150"/>
      <c r="AR1122" s="151"/>
      <c r="AS1122" s="456"/>
      <c r="AT1122" s="151"/>
      <c r="AU1122" s="150"/>
      <c r="AV1122" s="487"/>
      <c r="AW1122" s="150"/>
      <c r="AX1122" s="150"/>
      <c r="AY1122" s="150"/>
      <c r="AZ1122" s="150"/>
      <c r="BA1122" s="150"/>
      <c r="BB1122" s="150"/>
      <c r="BC1122" s="150"/>
      <c r="BD1122" s="150"/>
      <c r="BE1122" s="150"/>
      <c r="BF1122" s="150"/>
      <c r="BG1122" s="150"/>
      <c r="BH1122" s="150"/>
      <c r="BI1122" s="150"/>
      <c r="BJ1122" s="150"/>
      <c r="BK1122" s="466"/>
      <c r="BL1122" s="160"/>
      <c r="BM1122" s="150"/>
      <c r="BN1122" s="150"/>
      <c r="BO1122" s="150"/>
      <c r="BP1122" s="152"/>
      <c r="BQ1122" s="160"/>
      <c r="BR1122" s="152"/>
      <c r="BS1122" s="160"/>
    </row>
    <row r="1123" spans="1:71" x14ac:dyDescent="0.3">
      <c r="A1123" s="420">
        <f>DL!A1120</f>
        <v>1010</v>
      </c>
      <c r="B1123" s="19" t="s">
        <v>1923</v>
      </c>
      <c r="C1123" s="149">
        <v>2</v>
      </c>
      <c r="D1123" s="149" t="str">
        <f>DL!C1120</f>
        <v>1*25</v>
      </c>
      <c r="E1123" s="150"/>
      <c r="F1123" s="463"/>
      <c r="G1123" s="150"/>
      <c r="H1123" s="150"/>
      <c r="I1123" s="150"/>
      <c r="J1123" s="150"/>
      <c r="K1123" s="168"/>
      <c r="L1123" s="466"/>
      <c r="M1123" s="150"/>
      <c r="N1123" s="150"/>
      <c r="O1123" s="150"/>
      <c r="P1123" s="150"/>
      <c r="Q1123" s="150"/>
      <c r="R1123" s="150"/>
      <c r="S1123" s="150"/>
      <c r="T1123" s="150"/>
      <c r="U1123" s="150"/>
      <c r="V1123" s="150"/>
      <c r="W1123" s="168"/>
      <c r="X1123" s="150"/>
      <c r="Y1123" s="150"/>
      <c r="Z1123" s="455"/>
      <c r="AA1123" s="150"/>
      <c r="AB1123" s="150"/>
      <c r="AC1123" s="150"/>
      <c r="AD1123" s="150"/>
      <c r="AE1123" s="150"/>
      <c r="AF1123" s="495">
        <f>25*1300</f>
        <v>32500</v>
      </c>
      <c r="AG1123" s="150"/>
      <c r="AH1123" s="501"/>
      <c r="AI1123" s="150"/>
      <c r="AJ1123" s="150"/>
      <c r="AK1123" s="150"/>
      <c r="AL1123" s="150"/>
      <c r="AM1123" s="466"/>
      <c r="AN1123" s="150"/>
      <c r="AO1123" s="150"/>
      <c r="AP1123" s="150"/>
      <c r="AQ1123" s="150"/>
      <c r="AR1123" s="151"/>
      <c r="AS1123" s="456"/>
      <c r="AT1123" s="151"/>
      <c r="AU1123" s="150"/>
      <c r="AV1123" s="487"/>
      <c r="AW1123" s="150"/>
      <c r="AX1123" s="150"/>
      <c r="AY1123" s="150"/>
      <c r="AZ1123" s="150"/>
      <c r="BA1123" s="150"/>
      <c r="BB1123" s="150"/>
      <c r="BC1123" s="150"/>
      <c r="BD1123" s="150"/>
      <c r="BE1123" s="150"/>
      <c r="BF1123" s="150"/>
      <c r="BG1123" s="150"/>
      <c r="BH1123" s="150"/>
      <c r="BI1123" s="150"/>
      <c r="BJ1123" s="150"/>
      <c r="BK1123" s="467">
        <v>45000</v>
      </c>
      <c r="BL1123" s="160"/>
      <c r="BM1123" s="150"/>
      <c r="BN1123" s="150"/>
      <c r="BO1123" s="150"/>
      <c r="BP1123" s="152"/>
      <c r="BQ1123" s="160"/>
      <c r="BR1123" s="152"/>
      <c r="BS1123" s="160"/>
    </row>
    <row r="1124" spans="1:71" x14ac:dyDescent="0.3">
      <c r="A1124" s="420">
        <f>DL!A1121</f>
        <v>1011</v>
      </c>
      <c r="B1124" s="19" t="s">
        <v>1924</v>
      </c>
      <c r="C1124" s="149">
        <v>12</v>
      </c>
      <c r="D1124" s="149" t="str">
        <f>DL!C1121</f>
        <v>1*25</v>
      </c>
      <c r="E1124" s="150"/>
      <c r="F1124" s="463"/>
      <c r="G1124" s="150"/>
      <c r="H1124" s="150"/>
      <c r="I1124" s="150"/>
      <c r="J1124" s="150"/>
      <c r="K1124" s="168"/>
      <c r="L1124" s="466"/>
      <c r="M1124" s="150"/>
      <c r="N1124" s="150"/>
      <c r="O1124" s="150"/>
      <c r="P1124" s="150"/>
      <c r="Q1124" s="150"/>
      <c r="R1124" s="150"/>
      <c r="S1124" s="150"/>
      <c r="T1124" s="150"/>
      <c r="U1124" s="150"/>
      <c r="V1124" s="150"/>
      <c r="W1124" s="168"/>
      <c r="X1124" s="150"/>
      <c r="Y1124" s="150"/>
      <c r="Z1124" s="455"/>
      <c r="AA1124" s="150"/>
      <c r="AB1124" s="150"/>
      <c r="AC1124" s="150"/>
      <c r="AD1124" s="150"/>
      <c r="AE1124" s="150"/>
      <c r="AF1124" s="495">
        <f>25*1456</f>
        <v>36400</v>
      </c>
      <c r="AG1124" s="150"/>
      <c r="AH1124" s="501"/>
      <c r="AI1124" s="150"/>
      <c r="AJ1124" s="150"/>
      <c r="AK1124" s="150"/>
      <c r="AL1124" s="150"/>
      <c r="AM1124" s="466"/>
      <c r="AN1124" s="150"/>
      <c r="AO1124" s="150"/>
      <c r="AP1124" s="150"/>
      <c r="AQ1124" s="150"/>
      <c r="AR1124" s="151"/>
      <c r="AS1124" s="456"/>
      <c r="AT1124" s="151"/>
      <c r="AU1124" s="150"/>
      <c r="AV1124" s="487"/>
      <c r="AW1124" s="150"/>
      <c r="AX1124" s="150"/>
      <c r="AY1124" s="150"/>
      <c r="AZ1124" s="150"/>
      <c r="BA1124" s="150"/>
      <c r="BB1124" s="150"/>
      <c r="BC1124" s="150"/>
      <c r="BD1124" s="150"/>
      <c r="BE1124" s="150"/>
      <c r="BF1124" s="150"/>
      <c r="BG1124" s="150"/>
      <c r="BH1124" s="150"/>
      <c r="BI1124" s="150"/>
      <c r="BJ1124" s="150"/>
      <c r="BK1124" s="467">
        <v>40000</v>
      </c>
      <c r="BL1124" s="160"/>
      <c r="BM1124" s="150"/>
      <c r="BN1124" s="150"/>
      <c r="BO1124" s="150"/>
      <c r="BP1124" s="152"/>
      <c r="BQ1124" s="160"/>
      <c r="BR1124" s="152"/>
      <c r="BS1124" s="160"/>
    </row>
    <row r="1125" spans="1:71" x14ac:dyDescent="0.3">
      <c r="A1125" s="420">
        <f>DL!A1122</f>
        <v>1012</v>
      </c>
      <c r="B1125" s="19" t="s">
        <v>1925</v>
      </c>
      <c r="C1125" s="149">
        <f>DL!L1122</f>
        <v>80</v>
      </c>
      <c r="D1125" s="149" t="str">
        <f>DL!C1122</f>
        <v>1*500</v>
      </c>
      <c r="E1125" s="150"/>
      <c r="F1125" s="463"/>
      <c r="G1125" s="150"/>
      <c r="H1125" s="150"/>
      <c r="I1125" s="150"/>
      <c r="J1125" s="150"/>
      <c r="K1125" s="168"/>
      <c r="L1125" s="466"/>
      <c r="M1125" s="150">
        <v>900</v>
      </c>
      <c r="N1125" s="150"/>
      <c r="O1125" s="150"/>
      <c r="P1125" s="150"/>
      <c r="Q1125" s="150">
        <v>1000</v>
      </c>
      <c r="R1125" s="150"/>
      <c r="S1125" s="150"/>
      <c r="T1125" s="150"/>
      <c r="U1125" s="150"/>
      <c r="V1125" s="150"/>
      <c r="W1125" s="168"/>
      <c r="X1125" s="150"/>
      <c r="Y1125" s="150"/>
      <c r="Z1125" s="455"/>
      <c r="AA1125" s="150"/>
      <c r="AB1125" s="150"/>
      <c r="AC1125" s="150">
        <v>800</v>
      </c>
      <c r="AD1125" s="150"/>
      <c r="AE1125" s="150"/>
      <c r="AF1125" s="494">
        <v>1235</v>
      </c>
      <c r="AG1125" s="150"/>
      <c r="AH1125" s="501"/>
      <c r="AI1125" s="150"/>
      <c r="AJ1125" s="150"/>
      <c r="AK1125" s="150"/>
      <c r="AL1125" s="150"/>
      <c r="AM1125" s="466">
        <v>990</v>
      </c>
      <c r="AN1125" s="150"/>
      <c r="AO1125" s="150"/>
      <c r="AP1125" s="150"/>
      <c r="AQ1125" s="150"/>
      <c r="AR1125" s="151"/>
      <c r="AS1125" s="456"/>
      <c r="AT1125" s="151"/>
      <c r="AU1125" s="150"/>
      <c r="AV1125" s="487"/>
      <c r="AW1125" s="150"/>
      <c r="AX1125" s="150"/>
      <c r="AY1125" s="150"/>
      <c r="AZ1125" s="150"/>
      <c r="BA1125" s="150"/>
      <c r="BB1125" s="150"/>
      <c r="BC1125" s="150"/>
      <c r="BD1125" s="150"/>
      <c r="BE1125" s="150"/>
      <c r="BF1125" s="150"/>
      <c r="BG1125" s="150"/>
      <c r="BH1125" s="150"/>
      <c r="BI1125" s="150">
        <v>990</v>
      </c>
      <c r="BJ1125" s="150"/>
      <c r="BK1125" s="467">
        <v>1200</v>
      </c>
      <c r="BL1125" s="160"/>
      <c r="BM1125" s="150"/>
      <c r="BN1125" s="150"/>
      <c r="BO1125" s="150"/>
      <c r="BP1125" s="152"/>
      <c r="BQ1125" s="160"/>
      <c r="BR1125" s="152"/>
      <c r="BS1125" s="160"/>
    </row>
    <row r="1126" spans="1:71" x14ac:dyDescent="0.3">
      <c r="A1126" s="420">
        <f>DL!A1123</f>
        <v>1013</v>
      </c>
      <c r="B1126" s="19" t="s">
        <v>1926</v>
      </c>
      <c r="C1126" s="149">
        <f>DL!L1123</f>
        <v>60</v>
      </c>
      <c r="D1126" s="149" t="str">
        <f>DL!C1123</f>
        <v>1*500</v>
      </c>
      <c r="E1126" s="150"/>
      <c r="F1126" s="463"/>
      <c r="G1126" s="150"/>
      <c r="H1126" s="150"/>
      <c r="I1126" s="150"/>
      <c r="J1126" s="150"/>
      <c r="K1126" s="168"/>
      <c r="L1126" s="466"/>
      <c r="M1126" s="150">
        <v>900</v>
      </c>
      <c r="N1126" s="150"/>
      <c r="O1126" s="150"/>
      <c r="P1126" s="150"/>
      <c r="Q1126" s="150">
        <v>1000</v>
      </c>
      <c r="R1126" s="150"/>
      <c r="S1126" s="150"/>
      <c r="T1126" s="150"/>
      <c r="U1126" s="150"/>
      <c r="V1126" s="150"/>
      <c r="W1126" s="168"/>
      <c r="X1126" s="150"/>
      <c r="Y1126" s="150"/>
      <c r="Z1126" s="455"/>
      <c r="AA1126" s="150"/>
      <c r="AB1126" s="150"/>
      <c r="AC1126" s="150">
        <v>905</v>
      </c>
      <c r="AD1126" s="150"/>
      <c r="AE1126" s="150"/>
      <c r="AF1126" s="494">
        <v>1300</v>
      </c>
      <c r="AG1126" s="150"/>
      <c r="AH1126" s="501"/>
      <c r="AI1126" s="150"/>
      <c r="AJ1126" s="150"/>
      <c r="AK1126" s="150"/>
      <c r="AL1126" s="150"/>
      <c r="AM1126" s="466">
        <v>990</v>
      </c>
      <c r="AN1126" s="150"/>
      <c r="AO1126" s="150"/>
      <c r="AP1126" s="150"/>
      <c r="AQ1126" s="150"/>
      <c r="AR1126" s="151"/>
      <c r="AS1126" s="456"/>
      <c r="AT1126" s="151"/>
      <c r="AU1126" s="150"/>
      <c r="AV1126" s="487"/>
      <c r="AW1126" s="150"/>
      <c r="AX1126" s="150"/>
      <c r="AY1126" s="150"/>
      <c r="AZ1126" s="150"/>
      <c r="BA1126" s="150"/>
      <c r="BB1126" s="150"/>
      <c r="BC1126" s="150"/>
      <c r="BD1126" s="150"/>
      <c r="BE1126" s="150"/>
      <c r="BF1126" s="150"/>
      <c r="BG1126" s="150"/>
      <c r="BH1126" s="150"/>
      <c r="BI1126" s="150">
        <v>1000</v>
      </c>
      <c r="BJ1126" s="150"/>
      <c r="BK1126" s="467">
        <v>1200</v>
      </c>
      <c r="BL1126" s="160"/>
      <c r="BM1126" s="150"/>
      <c r="BN1126" s="150"/>
      <c r="BO1126" s="150"/>
      <c r="BP1126" s="152"/>
      <c r="BQ1126" s="160"/>
      <c r="BR1126" s="152"/>
      <c r="BS1126" s="160"/>
    </row>
    <row r="1127" spans="1:71" x14ac:dyDescent="0.3">
      <c r="A1127" s="420">
        <f>DL!A1124</f>
        <v>1014</v>
      </c>
      <c r="B1127" s="19" t="s">
        <v>1927</v>
      </c>
      <c r="C1127" s="149">
        <v>20</v>
      </c>
      <c r="D1127" s="149" t="str">
        <f>DL!C1124</f>
        <v>1*1000</v>
      </c>
      <c r="E1127" s="150"/>
      <c r="F1127" s="463"/>
      <c r="G1127" s="150"/>
      <c r="H1127" s="150"/>
      <c r="I1127" s="150"/>
      <c r="J1127" s="150"/>
      <c r="K1127" s="168"/>
      <c r="L1127" s="466"/>
      <c r="M1127" s="150"/>
      <c r="N1127" s="150"/>
      <c r="O1127" s="150"/>
      <c r="P1127" s="150"/>
      <c r="Q1127" s="150">
        <v>19375</v>
      </c>
      <c r="R1127" s="150"/>
      <c r="S1127" s="150"/>
      <c r="T1127" s="150"/>
      <c r="U1127" s="150"/>
      <c r="V1127" s="150"/>
      <c r="W1127" s="168"/>
      <c r="X1127" s="150"/>
      <c r="Y1127" s="150"/>
      <c r="Z1127" s="455"/>
      <c r="AA1127" s="150"/>
      <c r="AB1127" s="150"/>
      <c r="AC1127" s="150"/>
      <c r="AD1127" s="150"/>
      <c r="AE1127" s="150"/>
      <c r="AF1127" s="494">
        <f>1000*21.45</f>
        <v>21450</v>
      </c>
      <c r="AG1127" s="150"/>
      <c r="AH1127" s="501"/>
      <c r="AI1127" s="150"/>
      <c r="AJ1127" s="150"/>
      <c r="AK1127" s="150"/>
      <c r="AL1127" s="150"/>
      <c r="AM1127" s="150"/>
      <c r="AN1127" s="150"/>
      <c r="AO1127" s="150"/>
      <c r="AP1127" s="150"/>
      <c r="AQ1127" s="150"/>
      <c r="AR1127" s="151"/>
      <c r="AS1127" s="456"/>
      <c r="AT1127" s="151"/>
      <c r="AU1127" s="150"/>
      <c r="AV1127" s="487"/>
      <c r="AW1127" s="150"/>
      <c r="AX1127" s="150"/>
      <c r="AY1127" s="150"/>
      <c r="AZ1127" s="150"/>
      <c r="BA1127" s="150"/>
      <c r="BB1127" s="150"/>
      <c r="BC1127" s="150"/>
      <c r="BD1127" s="150"/>
      <c r="BE1127" s="150"/>
      <c r="BF1127" s="150"/>
      <c r="BG1127" s="150"/>
      <c r="BH1127" s="150"/>
      <c r="BI1127" s="150"/>
      <c r="BJ1127" s="150"/>
      <c r="BK1127" s="467">
        <v>20000</v>
      </c>
      <c r="BL1127" s="160"/>
      <c r="BM1127" s="150"/>
      <c r="BN1127" s="150"/>
      <c r="BO1127" s="150"/>
      <c r="BP1127" s="152"/>
      <c r="BQ1127" s="160"/>
      <c r="BR1127" s="152"/>
      <c r="BS1127" s="160"/>
    </row>
    <row r="1128" spans="1:71" x14ac:dyDescent="0.3">
      <c r="A1128" s="420">
        <f>DL!A1125</f>
        <v>1015</v>
      </c>
      <c r="B1128" s="19" t="s">
        <v>1928</v>
      </c>
      <c r="C1128" s="149">
        <v>28</v>
      </c>
      <c r="D1128" s="149" t="str">
        <f>DL!C1125</f>
        <v>1*1000</v>
      </c>
      <c r="E1128" s="150"/>
      <c r="F1128" s="463"/>
      <c r="G1128" s="150"/>
      <c r="H1128" s="150"/>
      <c r="I1128" s="150"/>
      <c r="J1128" s="150"/>
      <c r="K1128" s="168"/>
      <c r="L1128" s="466"/>
      <c r="M1128" s="150">
        <v>18000</v>
      </c>
      <c r="N1128" s="150"/>
      <c r="O1128" s="150"/>
      <c r="P1128" s="150"/>
      <c r="Q1128" s="150">
        <v>23125</v>
      </c>
      <c r="R1128" s="150"/>
      <c r="S1128" s="150"/>
      <c r="T1128" s="150"/>
      <c r="U1128" s="150"/>
      <c r="V1128" s="150"/>
      <c r="W1128" s="168"/>
      <c r="X1128" s="150"/>
      <c r="Y1128" s="150"/>
      <c r="Z1128" s="455"/>
      <c r="AA1128" s="150"/>
      <c r="AB1128" s="150"/>
      <c r="AC1128" s="150"/>
      <c r="AD1128" s="150"/>
      <c r="AE1128" s="150"/>
      <c r="AF1128" s="494">
        <f>1000*36.4</f>
        <v>36400</v>
      </c>
      <c r="AG1128" s="150"/>
      <c r="AH1128" s="501"/>
      <c r="AI1128" s="150"/>
      <c r="AJ1128" s="150"/>
      <c r="AK1128" s="150"/>
      <c r="AL1128" s="150"/>
      <c r="AM1128" s="150"/>
      <c r="AN1128" s="150"/>
      <c r="AO1128" s="150"/>
      <c r="AP1128" s="150"/>
      <c r="AQ1128" s="150"/>
      <c r="AR1128" s="151"/>
      <c r="AS1128" s="456"/>
      <c r="AT1128" s="151"/>
      <c r="AU1128" s="150"/>
      <c r="AV1128" s="487"/>
      <c r="AW1128" s="150"/>
      <c r="AX1128" s="150"/>
      <c r="AY1128" s="150"/>
      <c r="AZ1128" s="150"/>
      <c r="BA1128" s="150"/>
      <c r="BB1128" s="150"/>
      <c r="BC1128" s="150"/>
      <c r="BD1128" s="150"/>
      <c r="BE1128" s="150"/>
      <c r="BF1128" s="150"/>
      <c r="BG1128" s="150"/>
      <c r="BH1128" s="150"/>
      <c r="BI1128" s="150"/>
      <c r="BJ1128" s="150"/>
      <c r="BK1128" s="467">
        <v>25000</v>
      </c>
      <c r="BL1128" s="160"/>
      <c r="BM1128" s="150"/>
      <c r="BN1128" s="150"/>
      <c r="BO1128" s="150"/>
      <c r="BP1128" s="152"/>
      <c r="BQ1128" s="160"/>
      <c r="BR1128" s="152"/>
      <c r="BS1128" s="160"/>
    </row>
    <row r="1129" spans="1:71" x14ac:dyDescent="0.3">
      <c r="A1129" s="420">
        <f>DL!A1126</f>
        <v>1016</v>
      </c>
      <c r="B1129" s="19" t="s">
        <v>1929</v>
      </c>
      <c r="C1129" s="149">
        <v>24</v>
      </c>
      <c r="D1129" s="149" t="str">
        <f>DL!C1126</f>
        <v>1*1000</v>
      </c>
      <c r="E1129" s="150"/>
      <c r="F1129" s="463"/>
      <c r="G1129" s="150"/>
      <c r="H1129" s="150"/>
      <c r="I1129" s="150"/>
      <c r="J1129" s="150"/>
      <c r="K1129" s="168"/>
      <c r="L1129" s="466"/>
      <c r="M1129" s="150"/>
      <c r="N1129" s="150"/>
      <c r="O1129" s="150"/>
      <c r="P1129" s="150"/>
      <c r="Q1129" s="150">
        <v>13125</v>
      </c>
      <c r="R1129" s="150"/>
      <c r="S1129" s="150"/>
      <c r="T1129" s="150"/>
      <c r="U1129" s="150"/>
      <c r="V1129" s="150"/>
      <c r="W1129" s="168"/>
      <c r="X1129" s="150"/>
      <c r="Y1129" s="150"/>
      <c r="Z1129" s="455"/>
      <c r="AA1129" s="150"/>
      <c r="AB1129" s="150"/>
      <c r="AC1129" s="150"/>
      <c r="AD1129" s="150"/>
      <c r="AE1129" s="150"/>
      <c r="AF1129" s="494">
        <f>1000*35.75</f>
        <v>35750</v>
      </c>
      <c r="AG1129" s="150"/>
      <c r="AH1129" s="501"/>
      <c r="AI1129" s="150"/>
      <c r="AJ1129" s="150"/>
      <c r="AK1129" s="150"/>
      <c r="AL1129" s="150"/>
      <c r="AM1129" s="150"/>
      <c r="AN1129" s="150"/>
      <c r="AO1129" s="150"/>
      <c r="AP1129" s="150"/>
      <c r="AQ1129" s="150"/>
      <c r="AR1129" s="151"/>
      <c r="AS1129" s="456"/>
      <c r="AT1129" s="151"/>
      <c r="AU1129" s="150"/>
      <c r="AV1129" s="487"/>
      <c r="AW1129" s="150"/>
      <c r="AX1129" s="150"/>
      <c r="AY1129" s="150"/>
      <c r="AZ1129" s="150"/>
      <c r="BA1129" s="150"/>
      <c r="BB1129" s="150"/>
      <c r="BC1129" s="150"/>
      <c r="BD1129" s="150"/>
      <c r="BE1129" s="150"/>
      <c r="BF1129" s="150"/>
      <c r="BG1129" s="150"/>
      <c r="BH1129" s="150"/>
      <c r="BI1129" s="150"/>
      <c r="BJ1129" s="150"/>
      <c r="BK1129" s="467">
        <v>35000</v>
      </c>
      <c r="BL1129" s="160"/>
      <c r="BM1129" s="150"/>
      <c r="BN1129" s="150"/>
      <c r="BO1129" s="150"/>
      <c r="BP1129" s="152"/>
      <c r="BQ1129" s="160"/>
      <c r="BR1129" s="152"/>
      <c r="BS1129" s="160"/>
    </row>
    <row r="1130" spans="1:71" x14ac:dyDescent="0.3">
      <c r="A1130" s="420">
        <f>DL!A1127</f>
        <v>1017</v>
      </c>
      <c r="B1130" s="19" t="s">
        <v>1930</v>
      </c>
      <c r="C1130" s="149">
        <f>DL!L1127</f>
        <v>16</v>
      </c>
      <c r="D1130" s="149" t="str">
        <f>DL!C1127</f>
        <v>10-100ul</v>
      </c>
      <c r="E1130" s="150"/>
      <c r="F1130" s="463"/>
      <c r="G1130" s="150"/>
      <c r="H1130" s="150"/>
      <c r="I1130" s="150"/>
      <c r="J1130" s="150"/>
      <c r="K1130" s="168"/>
      <c r="L1130" s="466"/>
      <c r="M1130" s="150"/>
      <c r="N1130" s="150"/>
      <c r="O1130" s="150"/>
      <c r="P1130" s="150"/>
      <c r="Q1130" s="150">
        <v>10000</v>
      </c>
      <c r="R1130" s="150"/>
      <c r="S1130" s="150"/>
      <c r="T1130" s="150"/>
      <c r="U1130" s="150"/>
      <c r="V1130" s="150"/>
      <c r="W1130" s="168"/>
      <c r="X1130" s="150"/>
      <c r="Y1130" s="150"/>
      <c r="Z1130" s="455"/>
      <c r="AA1130" s="150"/>
      <c r="AB1130" s="150"/>
      <c r="AC1130" s="150"/>
      <c r="AD1130" s="150"/>
      <c r="AE1130" s="150"/>
      <c r="AF1130" s="495">
        <v>25000</v>
      </c>
      <c r="AG1130" s="150"/>
      <c r="AH1130" s="501"/>
      <c r="AI1130" s="150"/>
      <c r="AJ1130" s="150"/>
      <c r="AK1130" s="150"/>
      <c r="AL1130" s="150"/>
      <c r="AM1130" s="150"/>
      <c r="AN1130" s="150"/>
      <c r="AO1130" s="150"/>
      <c r="AP1130" s="150"/>
      <c r="AQ1130" s="150"/>
      <c r="AR1130" s="151"/>
      <c r="AS1130" s="456"/>
      <c r="AT1130" s="151"/>
      <c r="AU1130" s="150"/>
      <c r="AV1130" s="487"/>
      <c r="AW1130" s="150"/>
      <c r="AX1130" s="150"/>
      <c r="AY1130" s="150"/>
      <c r="AZ1130" s="150"/>
      <c r="BA1130" s="150"/>
      <c r="BB1130" s="150"/>
      <c r="BC1130" s="150"/>
      <c r="BD1130" s="150"/>
      <c r="BE1130" s="150"/>
      <c r="BF1130" s="150"/>
      <c r="BG1130" s="150"/>
      <c r="BH1130" s="150"/>
      <c r="BI1130" s="150">
        <v>5700</v>
      </c>
      <c r="BJ1130" s="150"/>
      <c r="BK1130" s="467">
        <v>40000</v>
      </c>
      <c r="BL1130" s="160"/>
      <c r="BM1130" s="150"/>
      <c r="BN1130" s="150"/>
      <c r="BO1130" s="150"/>
      <c r="BP1130" s="152"/>
      <c r="BQ1130" s="160"/>
      <c r="BR1130" s="152"/>
      <c r="BS1130" s="160"/>
    </row>
    <row r="1131" spans="1:71" x14ac:dyDescent="0.3">
      <c r="A1131" s="420">
        <f>DL!A1128</f>
        <v>1018</v>
      </c>
      <c r="B1131" s="19" t="s">
        <v>1930</v>
      </c>
      <c r="C1131" s="149">
        <f>DL!L1128</f>
        <v>16</v>
      </c>
      <c r="D1131" s="149" t="str">
        <f>DL!C1128</f>
        <v>100-1000ul</v>
      </c>
      <c r="E1131" s="150"/>
      <c r="F1131" s="463"/>
      <c r="G1131" s="150"/>
      <c r="H1131" s="150"/>
      <c r="I1131" s="150"/>
      <c r="J1131" s="150"/>
      <c r="K1131" s="168"/>
      <c r="L1131" s="466"/>
      <c r="M1131" s="150"/>
      <c r="N1131" s="150"/>
      <c r="O1131" s="150"/>
      <c r="P1131" s="150"/>
      <c r="Q1131" s="150">
        <v>11200</v>
      </c>
      <c r="R1131" s="150"/>
      <c r="S1131" s="150"/>
      <c r="T1131" s="150"/>
      <c r="U1131" s="150"/>
      <c r="V1131" s="150"/>
      <c r="W1131" s="168"/>
      <c r="X1131" s="150"/>
      <c r="Y1131" s="150"/>
      <c r="Z1131" s="455"/>
      <c r="AA1131" s="150"/>
      <c r="AB1131" s="150"/>
      <c r="AC1131" s="150"/>
      <c r="AD1131" s="150"/>
      <c r="AE1131" s="150"/>
      <c r="AF1131" s="495">
        <v>25000</v>
      </c>
      <c r="AG1131" s="150"/>
      <c r="AH1131" s="501"/>
      <c r="AI1131" s="150"/>
      <c r="AJ1131" s="150"/>
      <c r="AK1131" s="150"/>
      <c r="AL1131" s="150"/>
      <c r="AM1131" s="150"/>
      <c r="AN1131" s="150"/>
      <c r="AO1131" s="150"/>
      <c r="AP1131" s="150"/>
      <c r="AQ1131" s="150"/>
      <c r="AR1131" s="151"/>
      <c r="AS1131" s="456"/>
      <c r="AT1131" s="151"/>
      <c r="AU1131" s="150"/>
      <c r="AV1131" s="487"/>
      <c r="AW1131" s="150"/>
      <c r="AX1131" s="150"/>
      <c r="AY1131" s="150"/>
      <c r="AZ1131" s="150"/>
      <c r="BA1131" s="150"/>
      <c r="BB1131" s="150"/>
      <c r="BC1131" s="150"/>
      <c r="BD1131" s="150"/>
      <c r="BE1131" s="150"/>
      <c r="BF1131" s="150"/>
      <c r="BG1131" s="150"/>
      <c r="BH1131" s="150"/>
      <c r="BI1131" s="150">
        <v>5500</v>
      </c>
      <c r="BJ1131" s="150"/>
      <c r="BK1131" s="467">
        <v>40000</v>
      </c>
      <c r="BL1131" s="160"/>
      <c r="BM1131" s="150"/>
      <c r="BN1131" s="150"/>
      <c r="BO1131" s="150"/>
      <c r="BP1131" s="152"/>
      <c r="BQ1131" s="160"/>
      <c r="BR1131" s="152"/>
      <c r="BS1131" s="160"/>
    </row>
    <row r="1132" spans="1:71" x14ac:dyDescent="0.3">
      <c r="A1132" s="420">
        <f>DL!A1129</f>
        <v>1019</v>
      </c>
      <c r="B1132" s="19" t="s">
        <v>1930</v>
      </c>
      <c r="C1132" s="149">
        <f>DL!L1129</f>
        <v>8</v>
      </c>
      <c r="D1132" s="149" t="str">
        <f>DL!C1129</f>
        <v>1-5ul</v>
      </c>
      <c r="E1132" s="150"/>
      <c r="F1132" s="463"/>
      <c r="G1132" s="150"/>
      <c r="H1132" s="150"/>
      <c r="I1132" s="150"/>
      <c r="J1132" s="150"/>
      <c r="K1132" s="168"/>
      <c r="L1132" s="466"/>
      <c r="M1132" s="150"/>
      <c r="N1132" s="150"/>
      <c r="O1132" s="150"/>
      <c r="P1132" s="150"/>
      <c r="Q1132" s="150">
        <v>13125</v>
      </c>
      <c r="R1132" s="150"/>
      <c r="S1132" s="150"/>
      <c r="T1132" s="150"/>
      <c r="U1132" s="150"/>
      <c r="V1132" s="150"/>
      <c r="W1132" s="168"/>
      <c r="X1132" s="150"/>
      <c r="Y1132" s="150"/>
      <c r="Z1132" s="455"/>
      <c r="AA1132" s="150"/>
      <c r="AB1132" s="150"/>
      <c r="AC1132" s="150"/>
      <c r="AD1132" s="150"/>
      <c r="AE1132" s="150"/>
      <c r="AF1132" s="495">
        <v>25000</v>
      </c>
      <c r="AG1132" s="150"/>
      <c r="AH1132" s="501"/>
      <c r="AI1132" s="150"/>
      <c r="AJ1132" s="150"/>
      <c r="AK1132" s="150"/>
      <c r="AL1132" s="150"/>
      <c r="AM1132" s="150"/>
      <c r="AN1132" s="150"/>
      <c r="AO1132" s="150"/>
      <c r="AP1132" s="150"/>
      <c r="AQ1132" s="150"/>
      <c r="AR1132" s="151"/>
      <c r="AS1132" s="456"/>
      <c r="AT1132" s="151"/>
      <c r="AU1132" s="150"/>
      <c r="AV1132" s="487"/>
      <c r="AW1132" s="150"/>
      <c r="AX1132" s="150"/>
      <c r="AY1132" s="150"/>
      <c r="AZ1132" s="150"/>
      <c r="BA1132" s="150"/>
      <c r="BB1132" s="150"/>
      <c r="BC1132" s="150"/>
      <c r="BD1132" s="150"/>
      <c r="BE1132" s="150"/>
      <c r="BF1132" s="150"/>
      <c r="BG1132" s="150"/>
      <c r="BH1132" s="150"/>
      <c r="BI1132" s="150">
        <v>5500</v>
      </c>
      <c r="BJ1132" s="150"/>
      <c r="BK1132" s="467">
        <v>50000</v>
      </c>
      <c r="BL1132" s="160"/>
      <c r="BM1132" s="150"/>
      <c r="BN1132" s="150"/>
      <c r="BO1132" s="150"/>
      <c r="BP1132" s="152"/>
      <c r="BQ1132" s="160"/>
      <c r="BR1132" s="152"/>
      <c r="BS1132" s="160"/>
    </row>
    <row r="1133" spans="1:71" x14ac:dyDescent="0.3">
      <c r="A1133" s="420">
        <f>DL!A1130</f>
        <v>1020</v>
      </c>
      <c r="B1133" s="19" t="s">
        <v>1936</v>
      </c>
      <c r="C1133" s="149">
        <v>1</v>
      </c>
      <c r="D1133" s="149" t="str">
        <f>DL!C1130</f>
        <v>1*1000</v>
      </c>
      <c r="E1133" s="150"/>
      <c r="F1133" s="463"/>
      <c r="G1133" s="150"/>
      <c r="H1133" s="150"/>
      <c r="I1133" s="150"/>
      <c r="J1133" s="150"/>
      <c r="K1133" s="168"/>
      <c r="L1133" s="466"/>
      <c r="M1133" s="150"/>
      <c r="N1133" s="150"/>
      <c r="O1133" s="150"/>
      <c r="P1133" s="150"/>
      <c r="Q1133" s="150">
        <v>19375</v>
      </c>
      <c r="R1133" s="150"/>
      <c r="S1133" s="150"/>
      <c r="T1133" s="150"/>
      <c r="U1133" s="150"/>
      <c r="V1133" s="150"/>
      <c r="W1133" s="168"/>
      <c r="X1133" s="150"/>
      <c r="Y1133" s="150"/>
      <c r="Z1133" s="455"/>
      <c r="AA1133" s="150"/>
      <c r="AB1133" s="150"/>
      <c r="AC1133" s="150"/>
      <c r="AD1133" s="150"/>
      <c r="AE1133" s="150"/>
      <c r="AF1133" s="495">
        <f>1000*21.45</f>
        <v>21450</v>
      </c>
      <c r="AG1133" s="150"/>
      <c r="AH1133" s="501"/>
      <c r="AI1133" s="150"/>
      <c r="AJ1133" s="150"/>
      <c r="AK1133" s="150"/>
      <c r="AL1133" s="150"/>
      <c r="AM1133" s="150"/>
      <c r="AN1133" s="150"/>
      <c r="AO1133" s="150"/>
      <c r="AP1133" s="150"/>
      <c r="AQ1133" s="150"/>
      <c r="AR1133" s="151"/>
      <c r="AS1133" s="456"/>
      <c r="AT1133" s="151"/>
      <c r="AU1133" s="150"/>
      <c r="AV1133" s="487"/>
      <c r="AW1133" s="150"/>
      <c r="AX1133" s="150"/>
      <c r="AY1133" s="150"/>
      <c r="AZ1133" s="150"/>
      <c r="BA1133" s="150"/>
      <c r="BB1133" s="150"/>
      <c r="BC1133" s="150"/>
      <c r="BD1133" s="150"/>
      <c r="BE1133" s="150"/>
      <c r="BF1133" s="150"/>
      <c r="BG1133" s="150"/>
      <c r="BH1133" s="150"/>
      <c r="BI1133" s="150"/>
      <c r="BJ1133" s="150"/>
      <c r="BK1133" s="467">
        <v>20000</v>
      </c>
      <c r="BL1133" s="160"/>
      <c r="BM1133" s="150"/>
      <c r="BN1133" s="150"/>
      <c r="BO1133" s="150"/>
      <c r="BP1133" s="152"/>
      <c r="BQ1133" s="160"/>
      <c r="BR1133" s="152"/>
      <c r="BS1133" s="160"/>
    </row>
    <row r="1134" spans="1:71" x14ac:dyDescent="0.3">
      <c r="A1134" s="420">
        <f>DL!A1131</f>
        <v>1021</v>
      </c>
      <c r="B1134" s="19" t="s">
        <v>1935</v>
      </c>
      <c r="C1134" s="149">
        <v>20</v>
      </c>
      <c r="D1134" s="149" t="str">
        <f>DL!C1131</f>
        <v>1*1000</v>
      </c>
      <c r="E1134" s="150"/>
      <c r="F1134" s="463"/>
      <c r="G1134" s="150"/>
      <c r="H1134" s="150"/>
      <c r="I1134" s="150"/>
      <c r="J1134" s="150"/>
      <c r="K1134" s="168"/>
      <c r="L1134" s="466"/>
      <c r="M1134" s="150">
        <v>18000</v>
      </c>
      <c r="N1134" s="150"/>
      <c r="O1134" s="150"/>
      <c r="P1134" s="150"/>
      <c r="Q1134" s="150">
        <v>19375</v>
      </c>
      <c r="R1134" s="150"/>
      <c r="S1134" s="150"/>
      <c r="T1134" s="150"/>
      <c r="U1134" s="150"/>
      <c r="V1134" s="150"/>
      <c r="W1134" s="168"/>
      <c r="X1134" s="150"/>
      <c r="Y1134" s="150"/>
      <c r="Z1134" s="455"/>
      <c r="AA1134" s="150"/>
      <c r="AB1134" s="150"/>
      <c r="AC1134" s="150"/>
      <c r="AD1134" s="150"/>
      <c r="AE1134" s="150"/>
      <c r="AF1134" s="495">
        <f>1000*21.45</f>
        <v>21450</v>
      </c>
      <c r="AG1134" s="150"/>
      <c r="AH1134" s="501"/>
      <c r="AI1134" s="150"/>
      <c r="AJ1134" s="150"/>
      <c r="AK1134" s="150"/>
      <c r="AL1134" s="150"/>
      <c r="AM1134" s="150"/>
      <c r="AN1134" s="150"/>
      <c r="AO1134" s="150"/>
      <c r="AP1134" s="150"/>
      <c r="AQ1134" s="150"/>
      <c r="AR1134" s="151"/>
      <c r="AS1134" s="456"/>
      <c r="AT1134" s="151"/>
      <c r="AU1134" s="150"/>
      <c r="AV1134" s="487"/>
      <c r="AW1134" s="150"/>
      <c r="AX1134" s="150"/>
      <c r="AY1134" s="150"/>
      <c r="AZ1134" s="150"/>
      <c r="BA1134" s="150"/>
      <c r="BB1134" s="150"/>
      <c r="BC1134" s="150"/>
      <c r="BD1134" s="150"/>
      <c r="BE1134" s="150"/>
      <c r="BF1134" s="150"/>
      <c r="BG1134" s="150"/>
      <c r="BH1134" s="150"/>
      <c r="BI1134" s="150"/>
      <c r="BJ1134" s="150"/>
      <c r="BK1134" s="467">
        <v>20000</v>
      </c>
      <c r="BL1134" s="160"/>
      <c r="BM1134" s="150"/>
      <c r="BN1134" s="150"/>
      <c r="BO1134" s="150"/>
      <c r="BP1134" s="152"/>
      <c r="BQ1134" s="160"/>
      <c r="BR1134" s="152"/>
      <c r="BS1134" s="160"/>
    </row>
    <row r="1135" spans="1:71" x14ac:dyDescent="0.3">
      <c r="A1135" s="420">
        <f>DL!A1132</f>
        <v>1022</v>
      </c>
      <c r="B1135" s="19" t="s">
        <v>1934</v>
      </c>
      <c r="C1135" s="149">
        <f>DL!L1132</f>
        <v>128</v>
      </c>
      <c r="D1135" s="149" t="str">
        <f>DL!C1132</f>
        <v>Roll</v>
      </c>
      <c r="E1135" s="150"/>
      <c r="F1135" s="463"/>
      <c r="G1135" s="150"/>
      <c r="H1135" s="150"/>
      <c r="I1135" s="150"/>
      <c r="J1135" s="150"/>
      <c r="K1135" s="168"/>
      <c r="L1135" s="466"/>
      <c r="M1135" s="150"/>
      <c r="N1135" s="150"/>
      <c r="O1135" s="150"/>
      <c r="P1135" s="150"/>
      <c r="Q1135" s="150"/>
      <c r="R1135" s="150"/>
      <c r="S1135" s="150"/>
      <c r="T1135" s="150"/>
      <c r="U1135" s="150"/>
      <c r="V1135" s="150"/>
      <c r="W1135" s="168"/>
      <c r="X1135" s="150"/>
      <c r="Y1135" s="150"/>
      <c r="Z1135" s="455"/>
      <c r="AA1135" s="150"/>
      <c r="AB1135" s="150"/>
      <c r="AC1135" s="150"/>
      <c r="AD1135" s="150"/>
      <c r="AE1135" s="150"/>
      <c r="AF1135" s="494">
        <v>1500</v>
      </c>
      <c r="AG1135" s="150"/>
      <c r="AH1135" s="501"/>
      <c r="AI1135" s="150"/>
      <c r="AJ1135" s="150"/>
      <c r="AK1135" s="150"/>
      <c r="AL1135" s="150"/>
      <c r="AM1135" s="150"/>
      <c r="AN1135" s="150"/>
      <c r="AO1135" s="150"/>
      <c r="AP1135" s="150"/>
      <c r="AQ1135" s="150"/>
      <c r="AR1135" s="151"/>
      <c r="AS1135" s="456"/>
      <c r="AT1135" s="151"/>
      <c r="AU1135" s="150"/>
      <c r="AV1135" s="487"/>
      <c r="AW1135" s="150"/>
      <c r="AX1135" s="150"/>
      <c r="AY1135" s="150"/>
      <c r="AZ1135" s="150"/>
      <c r="BA1135" s="150"/>
      <c r="BB1135" s="150"/>
      <c r="BC1135" s="150"/>
      <c r="BD1135" s="150"/>
      <c r="BE1135" s="150"/>
      <c r="BF1135" s="150"/>
      <c r="BG1135" s="150"/>
      <c r="BH1135" s="150"/>
      <c r="BI1135" s="150"/>
      <c r="BJ1135" s="150"/>
      <c r="BK1135" s="466"/>
      <c r="BL1135" s="160"/>
      <c r="BM1135" s="150"/>
      <c r="BN1135" s="150"/>
      <c r="BO1135" s="150"/>
      <c r="BP1135" s="152"/>
      <c r="BQ1135" s="160"/>
      <c r="BR1135" s="152"/>
      <c r="BS1135" s="160"/>
    </row>
    <row r="1136" spans="1:71" x14ac:dyDescent="0.3">
      <c r="A1136" s="420">
        <f>DL!A1133</f>
        <v>1023</v>
      </c>
      <c r="B1136" s="19" t="s">
        <v>1933</v>
      </c>
      <c r="C1136" s="149">
        <f>DL!L1133</f>
        <v>20</v>
      </c>
      <c r="D1136" s="149" t="str">
        <f>DL!C1133</f>
        <v>500g</v>
      </c>
      <c r="E1136" s="150"/>
      <c r="F1136" s="463"/>
      <c r="G1136" s="150"/>
      <c r="H1136" s="150"/>
      <c r="I1136" s="150"/>
      <c r="J1136" s="150"/>
      <c r="K1136" s="168"/>
      <c r="L1136" s="466"/>
      <c r="M1136" s="150"/>
      <c r="N1136" s="150"/>
      <c r="O1136" s="150"/>
      <c r="P1136" s="150"/>
      <c r="Q1136" s="150">
        <v>97170</v>
      </c>
      <c r="R1136" s="150"/>
      <c r="S1136" s="150"/>
      <c r="T1136" s="150"/>
      <c r="U1136" s="150"/>
      <c r="V1136" s="150"/>
      <c r="W1136" s="168"/>
      <c r="X1136" s="150"/>
      <c r="Y1136" s="150"/>
      <c r="Z1136" s="455"/>
      <c r="AA1136" s="150"/>
      <c r="AB1136" s="150"/>
      <c r="AC1136" s="150"/>
      <c r="AD1136" s="150"/>
      <c r="AE1136" s="150"/>
      <c r="AF1136" s="494">
        <v>11700</v>
      </c>
      <c r="AG1136" s="150"/>
      <c r="AH1136" s="501"/>
      <c r="AI1136" s="150"/>
      <c r="AJ1136" s="150"/>
      <c r="AK1136" s="150"/>
      <c r="AL1136" s="150"/>
      <c r="AM1136" s="150"/>
      <c r="AN1136" s="150"/>
      <c r="AO1136" s="150"/>
      <c r="AP1136" s="150"/>
      <c r="AQ1136" s="150"/>
      <c r="AR1136" s="151"/>
      <c r="AS1136" s="456"/>
      <c r="AT1136" s="151"/>
      <c r="AU1136" s="150"/>
      <c r="AV1136" s="487"/>
      <c r="AW1136" s="150"/>
      <c r="AX1136" s="150"/>
      <c r="AY1136" s="150"/>
      <c r="AZ1136" s="150"/>
      <c r="BA1136" s="150"/>
      <c r="BB1136" s="150"/>
      <c r="BC1136" s="150"/>
      <c r="BD1136" s="150"/>
      <c r="BE1136" s="150"/>
      <c r="BF1136" s="150"/>
      <c r="BG1136" s="150"/>
      <c r="BH1136" s="150"/>
      <c r="BI1136" s="150">
        <v>40000</v>
      </c>
      <c r="BJ1136" s="150"/>
      <c r="BK1136" s="467">
        <v>180000</v>
      </c>
      <c r="BL1136" s="160"/>
      <c r="BM1136" s="150"/>
      <c r="BN1136" s="150"/>
      <c r="BO1136" s="150"/>
      <c r="BP1136" s="152"/>
      <c r="BQ1136" s="160"/>
      <c r="BR1136" s="152"/>
      <c r="BS1136" s="160"/>
    </row>
    <row r="1137" spans="1:71" x14ac:dyDescent="0.3">
      <c r="A1137" s="420">
        <f>DL!A1134</f>
        <v>1024</v>
      </c>
      <c r="B1137" s="19" t="s">
        <v>1932</v>
      </c>
      <c r="C1137" s="149">
        <f>DL!L1134</f>
        <v>20</v>
      </c>
      <c r="D1137" s="149" t="str">
        <f>DL!C1134</f>
        <v>500g</v>
      </c>
      <c r="E1137" s="150"/>
      <c r="F1137" s="463"/>
      <c r="G1137" s="150"/>
      <c r="H1137" s="150"/>
      <c r="I1137" s="150"/>
      <c r="J1137" s="150"/>
      <c r="K1137" s="168"/>
      <c r="L1137" s="466">
        <v>5000</v>
      </c>
      <c r="M1137" s="150"/>
      <c r="N1137" s="150"/>
      <c r="O1137" s="150"/>
      <c r="P1137" s="150"/>
      <c r="Q1137" s="150">
        <v>6625</v>
      </c>
      <c r="R1137" s="150"/>
      <c r="S1137" s="150"/>
      <c r="T1137" s="150"/>
      <c r="U1137" s="150"/>
      <c r="V1137" s="150"/>
      <c r="W1137" s="168"/>
      <c r="X1137" s="150"/>
      <c r="Y1137" s="150"/>
      <c r="Z1137" s="455"/>
      <c r="AA1137" s="150"/>
      <c r="AB1137" s="150"/>
      <c r="AC1137" s="150"/>
      <c r="AD1137" s="150"/>
      <c r="AE1137" s="150"/>
      <c r="AF1137" s="494">
        <v>7150</v>
      </c>
      <c r="AG1137" s="150"/>
      <c r="AH1137" s="501"/>
      <c r="AI1137" s="150"/>
      <c r="AJ1137" s="150"/>
      <c r="AK1137" s="150"/>
      <c r="AL1137" s="150"/>
      <c r="AM1137" s="150"/>
      <c r="AN1137" s="150"/>
      <c r="AO1137" s="150"/>
      <c r="AP1137" s="150"/>
      <c r="AQ1137" s="150"/>
      <c r="AR1137" s="151"/>
      <c r="AS1137" s="456"/>
      <c r="AT1137" s="151"/>
      <c r="AU1137" s="150"/>
      <c r="AV1137" s="487"/>
      <c r="AW1137" s="150"/>
      <c r="AX1137" s="150"/>
      <c r="AY1137" s="150"/>
      <c r="AZ1137" s="150"/>
      <c r="BA1137" s="150"/>
      <c r="BB1137" s="150"/>
      <c r="BC1137" s="150"/>
      <c r="BD1137" s="150"/>
      <c r="BE1137" s="150"/>
      <c r="BF1137" s="150"/>
      <c r="BG1137" s="150"/>
      <c r="BH1137" s="150"/>
      <c r="BI1137" s="150">
        <v>3400</v>
      </c>
      <c r="BJ1137" s="150"/>
      <c r="BK1137" s="467">
        <v>18000</v>
      </c>
      <c r="BL1137" s="160"/>
      <c r="BM1137" s="150"/>
      <c r="BN1137" s="150"/>
      <c r="BO1137" s="150"/>
      <c r="BP1137" s="152"/>
      <c r="BQ1137" s="160"/>
      <c r="BR1137" s="152"/>
      <c r="BS1137" s="160"/>
    </row>
    <row r="1138" spans="1:71" x14ac:dyDescent="0.3">
      <c r="A1138" s="420">
        <f>DL!A1135</f>
        <v>1025</v>
      </c>
      <c r="B1138" s="19" t="s">
        <v>1931</v>
      </c>
      <c r="C1138" s="149">
        <f>DL!L1135</f>
        <v>20</v>
      </c>
      <c r="D1138" s="149" t="str">
        <f>DL!C1135</f>
        <v>500g</v>
      </c>
      <c r="E1138" s="150"/>
      <c r="F1138" s="463"/>
      <c r="G1138" s="150"/>
      <c r="H1138" s="150"/>
      <c r="I1138" s="150"/>
      <c r="J1138" s="150"/>
      <c r="K1138" s="168"/>
      <c r="L1138" s="466">
        <v>7000</v>
      </c>
      <c r="M1138" s="150"/>
      <c r="N1138" s="150"/>
      <c r="O1138" s="150"/>
      <c r="P1138" s="150"/>
      <c r="Q1138" s="150">
        <v>4499</v>
      </c>
      <c r="R1138" s="150"/>
      <c r="S1138" s="150"/>
      <c r="T1138" s="150"/>
      <c r="U1138" s="150"/>
      <c r="V1138" s="150"/>
      <c r="W1138" s="168"/>
      <c r="X1138" s="150"/>
      <c r="Y1138" s="150"/>
      <c r="Z1138" s="455"/>
      <c r="AA1138" s="150"/>
      <c r="AB1138" s="150"/>
      <c r="AC1138" s="150"/>
      <c r="AD1138" s="150"/>
      <c r="AE1138" s="150"/>
      <c r="AF1138" s="494">
        <v>7150</v>
      </c>
      <c r="AG1138" s="150"/>
      <c r="AH1138" s="501"/>
      <c r="AI1138" s="150"/>
      <c r="AJ1138" s="150"/>
      <c r="AK1138" s="150"/>
      <c r="AL1138" s="150"/>
      <c r="AM1138" s="150"/>
      <c r="AN1138" s="150"/>
      <c r="AO1138" s="150"/>
      <c r="AP1138" s="150"/>
      <c r="AQ1138" s="150"/>
      <c r="AR1138" s="151"/>
      <c r="AS1138" s="456"/>
      <c r="AT1138" s="151"/>
      <c r="AU1138" s="150"/>
      <c r="AV1138" s="487"/>
      <c r="AW1138" s="150"/>
      <c r="AX1138" s="150"/>
      <c r="AY1138" s="150"/>
      <c r="AZ1138" s="150"/>
      <c r="BA1138" s="150"/>
      <c r="BB1138" s="150"/>
      <c r="BC1138" s="150"/>
      <c r="BD1138" s="150"/>
      <c r="BE1138" s="150"/>
      <c r="BF1138" s="150"/>
      <c r="BG1138" s="150"/>
      <c r="BH1138" s="150"/>
      <c r="BI1138" s="150">
        <v>3500</v>
      </c>
      <c r="BJ1138" s="150"/>
      <c r="BK1138" s="467">
        <v>9500</v>
      </c>
      <c r="BL1138" s="160"/>
      <c r="BM1138" s="150"/>
      <c r="BN1138" s="150"/>
      <c r="BO1138" s="150"/>
      <c r="BP1138" s="152"/>
      <c r="BQ1138" s="160"/>
      <c r="BR1138" s="152"/>
      <c r="BS1138" s="160"/>
    </row>
    <row r="1139" spans="1:71" x14ac:dyDescent="0.3">
      <c r="A1139" s="420">
        <f>DL!A1136</f>
        <v>1026</v>
      </c>
      <c r="B1139" s="19" t="s">
        <v>1937</v>
      </c>
      <c r="C1139" s="149">
        <f>DL!L1136</f>
        <v>20</v>
      </c>
      <c r="D1139" s="149" t="str">
        <f>DL!C1136</f>
        <v>500g</v>
      </c>
      <c r="E1139" s="150"/>
      <c r="F1139" s="463"/>
      <c r="G1139" s="150"/>
      <c r="H1139" s="150"/>
      <c r="I1139" s="150"/>
      <c r="J1139" s="150"/>
      <c r="K1139" s="168"/>
      <c r="L1139" s="466">
        <v>4000</v>
      </c>
      <c r="M1139" s="150"/>
      <c r="N1139" s="150"/>
      <c r="O1139" s="150"/>
      <c r="P1139" s="150"/>
      <c r="Q1139" s="150">
        <v>5000</v>
      </c>
      <c r="R1139" s="150"/>
      <c r="S1139" s="150"/>
      <c r="T1139" s="150"/>
      <c r="U1139" s="150"/>
      <c r="V1139" s="150"/>
      <c r="W1139" s="168"/>
      <c r="X1139" s="150"/>
      <c r="Y1139" s="150"/>
      <c r="Z1139" s="455"/>
      <c r="AA1139" s="150"/>
      <c r="AB1139" s="150"/>
      <c r="AC1139" s="150"/>
      <c r="AD1139" s="150"/>
      <c r="AE1139" s="150"/>
      <c r="AF1139" s="494">
        <v>7540</v>
      </c>
      <c r="AG1139" s="150"/>
      <c r="AH1139" s="501"/>
      <c r="AI1139" s="150"/>
      <c r="AJ1139" s="150"/>
      <c r="AK1139" s="150"/>
      <c r="AL1139" s="150"/>
      <c r="AM1139" s="150"/>
      <c r="AN1139" s="150"/>
      <c r="AO1139" s="150"/>
      <c r="AP1139" s="150"/>
      <c r="AQ1139" s="150"/>
      <c r="AR1139" s="151"/>
      <c r="AS1139" s="456"/>
      <c r="AT1139" s="151"/>
      <c r="AU1139" s="150"/>
      <c r="AV1139" s="487"/>
      <c r="AW1139" s="150"/>
      <c r="AX1139" s="150"/>
      <c r="AY1139" s="150"/>
      <c r="AZ1139" s="150"/>
      <c r="BA1139" s="150"/>
      <c r="BB1139" s="150"/>
      <c r="BC1139" s="150"/>
      <c r="BD1139" s="150"/>
      <c r="BE1139" s="150"/>
      <c r="BF1139" s="150"/>
      <c r="BG1139" s="150"/>
      <c r="BH1139" s="150"/>
      <c r="BI1139" s="150">
        <v>3400</v>
      </c>
      <c r="BJ1139" s="150"/>
      <c r="BK1139" s="467">
        <v>6500</v>
      </c>
      <c r="BL1139" s="160"/>
      <c r="BM1139" s="150"/>
      <c r="BN1139" s="150"/>
      <c r="BO1139" s="150"/>
      <c r="BP1139" s="152"/>
      <c r="BQ1139" s="160"/>
      <c r="BR1139" s="152"/>
      <c r="BS1139" s="160"/>
    </row>
    <row r="1140" spans="1:71" x14ac:dyDescent="0.3">
      <c r="A1140" s="420">
        <f>DL!A1137</f>
        <v>1027</v>
      </c>
      <c r="B1140" s="19" t="s">
        <v>1938</v>
      </c>
      <c r="C1140" s="149">
        <f>DL!L1137</f>
        <v>80</v>
      </c>
      <c r="D1140" s="149" t="str">
        <f>DL!C1137</f>
        <v>500ml</v>
      </c>
      <c r="E1140" s="150"/>
      <c r="F1140" s="463"/>
      <c r="G1140" s="150"/>
      <c r="H1140" s="150"/>
      <c r="I1140" s="150"/>
      <c r="J1140" s="150"/>
      <c r="K1140" s="168"/>
      <c r="L1140" s="466"/>
      <c r="M1140" s="150"/>
      <c r="N1140" s="150"/>
      <c r="O1140" s="150"/>
      <c r="P1140" s="150"/>
      <c r="Q1140" s="150">
        <v>375</v>
      </c>
      <c r="R1140" s="150"/>
      <c r="S1140" s="150"/>
      <c r="T1140" s="150"/>
      <c r="U1140" s="150"/>
      <c r="V1140" s="150"/>
      <c r="W1140" s="168"/>
      <c r="X1140" s="150"/>
      <c r="Y1140" s="150"/>
      <c r="Z1140" s="455"/>
      <c r="AA1140" s="150"/>
      <c r="AB1140" s="150"/>
      <c r="AC1140" s="150"/>
      <c r="AD1140" s="150"/>
      <c r="AE1140" s="150"/>
      <c r="AF1140" s="494">
        <v>520</v>
      </c>
      <c r="AG1140" s="150"/>
      <c r="AH1140" s="501"/>
      <c r="AI1140" s="150"/>
      <c r="AJ1140" s="150"/>
      <c r="AK1140" s="150"/>
      <c r="AL1140" s="150"/>
      <c r="AM1140" s="150"/>
      <c r="AN1140" s="150"/>
      <c r="AO1140" s="150"/>
      <c r="AP1140" s="150"/>
      <c r="AQ1140" s="150"/>
      <c r="AR1140" s="151"/>
      <c r="AS1140" s="456"/>
      <c r="AT1140" s="151"/>
      <c r="AU1140" s="150"/>
      <c r="AV1140" s="487"/>
      <c r="AW1140" s="150"/>
      <c r="AX1140" s="150"/>
      <c r="AY1140" s="150"/>
      <c r="AZ1140" s="150"/>
      <c r="BA1140" s="150"/>
      <c r="BB1140" s="150"/>
      <c r="BC1140" s="150"/>
      <c r="BD1140" s="150"/>
      <c r="BE1140" s="150"/>
      <c r="BF1140" s="150"/>
      <c r="BG1140" s="150"/>
      <c r="BH1140" s="150"/>
      <c r="BI1140" s="150">
        <v>350</v>
      </c>
      <c r="BJ1140" s="150"/>
      <c r="BK1140" s="466">
        <v>650</v>
      </c>
      <c r="BL1140" s="160"/>
      <c r="BM1140" s="150"/>
      <c r="BN1140" s="150"/>
      <c r="BO1140" s="150"/>
      <c r="BP1140" s="152"/>
      <c r="BQ1140" s="160"/>
      <c r="BR1140" s="152"/>
      <c r="BS1140" s="160"/>
    </row>
    <row r="1141" spans="1:71" x14ac:dyDescent="0.3">
      <c r="A1141" s="420">
        <f>DL!A1138</f>
        <v>1028</v>
      </c>
      <c r="B1141" s="19" t="s">
        <v>1939</v>
      </c>
      <c r="C1141" s="149">
        <f>DL!L1138</f>
        <v>80</v>
      </c>
      <c r="D1141" s="149" t="str">
        <f>DL!C1138</f>
        <v>100ml</v>
      </c>
      <c r="E1141" s="150"/>
      <c r="F1141" s="463"/>
      <c r="G1141" s="150"/>
      <c r="H1141" s="150"/>
      <c r="I1141" s="150"/>
      <c r="J1141" s="150"/>
      <c r="K1141" s="168"/>
      <c r="L1141" s="466"/>
      <c r="M1141" s="150"/>
      <c r="N1141" s="150"/>
      <c r="O1141" s="150"/>
      <c r="P1141" s="150"/>
      <c r="Q1141" s="150">
        <v>125</v>
      </c>
      <c r="R1141" s="150"/>
      <c r="S1141" s="150"/>
      <c r="T1141" s="150"/>
      <c r="U1141" s="150"/>
      <c r="V1141" s="150"/>
      <c r="W1141" s="168"/>
      <c r="X1141" s="150"/>
      <c r="Y1141" s="150"/>
      <c r="Z1141" s="455"/>
      <c r="AA1141" s="150"/>
      <c r="AB1141" s="150"/>
      <c r="AC1141" s="150">
        <v>450</v>
      </c>
      <c r="AD1141" s="150"/>
      <c r="AE1141" s="150"/>
      <c r="AF1141" s="494">
        <v>455</v>
      </c>
      <c r="AG1141" s="150"/>
      <c r="AH1141" s="501"/>
      <c r="AI1141" s="150"/>
      <c r="AJ1141" s="150"/>
      <c r="AK1141" s="150"/>
      <c r="AL1141" s="150"/>
      <c r="AM1141" s="150"/>
      <c r="AN1141" s="150"/>
      <c r="AO1141" s="150"/>
      <c r="AP1141" s="150"/>
      <c r="AQ1141" s="150"/>
      <c r="AR1141" s="151"/>
      <c r="AS1141" s="456"/>
      <c r="AT1141" s="151"/>
      <c r="AU1141" s="150"/>
      <c r="AV1141" s="487"/>
      <c r="AW1141" s="150"/>
      <c r="AX1141" s="150"/>
      <c r="AY1141" s="150"/>
      <c r="AZ1141" s="150"/>
      <c r="BA1141" s="150"/>
      <c r="BB1141" s="150"/>
      <c r="BC1141" s="150"/>
      <c r="BD1141" s="150"/>
      <c r="BE1141" s="150"/>
      <c r="BF1141" s="150"/>
      <c r="BG1141" s="150"/>
      <c r="BH1141" s="150"/>
      <c r="BI1141" s="150"/>
      <c r="BJ1141" s="150"/>
      <c r="BK1141" s="152"/>
      <c r="BL1141" s="160"/>
      <c r="BM1141" s="150"/>
      <c r="BN1141" s="150"/>
      <c r="BO1141" s="150"/>
      <c r="BP1141" s="152"/>
      <c r="BQ1141" s="160"/>
      <c r="BR1141" s="152"/>
      <c r="BS1141" s="160"/>
    </row>
    <row r="1142" spans="1:71" x14ac:dyDescent="0.3">
      <c r="A1142" s="420">
        <f>DL!A1139</f>
        <v>1029</v>
      </c>
      <c r="B1142" s="19" t="s">
        <v>1940</v>
      </c>
      <c r="C1142" s="149">
        <f>DL!L1139</f>
        <v>8</v>
      </c>
      <c r="D1142" s="149" t="str">
        <f>DL!C1139</f>
        <v>96 wells</v>
      </c>
      <c r="E1142" s="150"/>
      <c r="F1142" s="463"/>
      <c r="G1142" s="150"/>
      <c r="H1142" s="150"/>
      <c r="I1142" s="150"/>
      <c r="J1142" s="150"/>
      <c r="K1142" s="168"/>
      <c r="L1142" s="466">
        <v>40000</v>
      </c>
      <c r="M1142" s="150"/>
      <c r="N1142" s="150"/>
      <c r="O1142" s="150"/>
      <c r="P1142" s="150"/>
      <c r="Q1142" s="150"/>
      <c r="R1142" s="150"/>
      <c r="S1142" s="150"/>
      <c r="T1142" s="150"/>
      <c r="U1142" s="150"/>
      <c r="V1142" s="150"/>
      <c r="W1142" s="168"/>
      <c r="X1142" s="150"/>
      <c r="Y1142" s="150"/>
      <c r="Z1142" s="455"/>
      <c r="AA1142" s="150"/>
      <c r="AB1142" s="150"/>
      <c r="AC1142" s="150"/>
      <c r="AD1142" s="150"/>
      <c r="AE1142" s="150"/>
      <c r="AF1142" s="494">
        <v>35000</v>
      </c>
      <c r="AG1142" s="150"/>
      <c r="AH1142" s="502">
        <v>33000</v>
      </c>
      <c r="AI1142" s="150"/>
      <c r="AJ1142" s="150"/>
      <c r="AK1142" s="150"/>
      <c r="AL1142" s="150"/>
      <c r="AM1142" s="150"/>
      <c r="AN1142" s="150"/>
      <c r="AO1142" s="150"/>
      <c r="AP1142" s="150"/>
      <c r="AQ1142" s="150"/>
      <c r="AR1142" s="151"/>
      <c r="AS1142" s="456"/>
      <c r="AT1142" s="151"/>
      <c r="AU1142" s="150"/>
      <c r="AV1142" s="487"/>
      <c r="AW1142" s="150"/>
      <c r="AX1142" s="150"/>
      <c r="AY1142" s="150"/>
      <c r="AZ1142" s="150"/>
      <c r="BA1142" s="150"/>
      <c r="BB1142" s="150"/>
      <c r="BC1142" s="150"/>
      <c r="BD1142" s="150"/>
      <c r="BE1142" s="150"/>
      <c r="BF1142" s="150"/>
      <c r="BG1142" s="150"/>
      <c r="BH1142" s="150"/>
      <c r="BI1142" s="150"/>
      <c r="BJ1142" s="150"/>
      <c r="BK1142" s="152"/>
      <c r="BL1142" s="160"/>
      <c r="BM1142" s="150"/>
      <c r="BN1142" s="150"/>
      <c r="BO1142" s="150"/>
      <c r="BP1142" s="152"/>
      <c r="BQ1142" s="160"/>
      <c r="BR1142" s="152"/>
      <c r="BS1142" s="160"/>
    </row>
    <row r="1143" spans="1:71" x14ac:dyDescent="0.3">
      <c r="A1143" s="420">
        <f>DL!A1140</f>
        <v>1030</v>
      </c>
      <c r="B1143" s="19" t="s">
        <v>1941</v>
      </c>
      <c r="C1143" s="149">
        <f>DL!L1140</f>
        <v>8</v>
      </c>
      <c r="D1143" s="149" t="str">
        <f>DL!C1140</f>
        <v>96 wells</v>
      </c>
      <c r="E1143" s="150"/>
      <c r="F1143" s="463"/>
      <c r="G1143" s="150"/>
      <c r="H1143" s="150"/>
      <c r="I1143" s="150"/>
      <c r="J1143" s="150"/>
      <c r="K1143" s="168"/>
      <c r="L1143" s="466">
        <v>35000</v>
      </c>
      <c r="M1143" s="150"/>
      <c r="N1143" s="150"/>
      <c r="O1143" s="150"/>
      <c r="P1143" s="150"/>
      <c r="Q1143" s="150"/>
      <c r="R1143" s="150"/>
      <c r="S1143" s="150"/>
      <c r="T1143" s="150"/>
      <c r="U1143" s="150"/>
      <c r="V1143" s="150"/>
      <c r="W1143" s="168"/>
      <c r="X1143" s="150"/>
      <c r="Y1143" s="150"/>
      <c r="Z1143" s="455"/>
      <c r="AA1143" s="150"/>
      <c r="AB1143" s="150"/>
      <c r="AC1143" s="150"/>
      <c r="AD1143" s="150"/>
      <c r="AE1143" s="150"/>
      <c r="AF1143" s="495">
        <v>35000</v>
      </c>
      <c r="AG1143" s="150"/>
      <c r="AH1143" s="502">
        <v>38000</v>
      </c>
      <c r="AI1143" s="150"/>
      <c r="AJ1143" s="150"/>
      <c r="AK1143" s="150"/>
      <c r="AL1143" s="150"/>
      <c r="AM1143" s="150"/>
      <c r="AN1143" s="150"/>
      <c r="AO1143" s="150"/>
      <c r="AP1143" s="150"/>
      <c r="AQ1143" s="150"/>
      <c r="AR1143" s="151"/>
      <c r="AS1143" s="456"/>
      <c r="AT1143" s="151"/>
      <c r="AU1143" s="150"/>
      <c r="AV1143" s="487"/>
      <c r="AW1143" s="150"/>
      <c r="AX1143" s="150"/>
      <c r="AY1143" s="150"/>
      <c r="AZ1143" s="150"/>
      <c r="BA1143" s="150"/>
      <c r="BB1143" s="150"/>
      <c r="BC1143" s="150"/>
      <c r="BD1143" s="150"/>
      <c r="BE1143" s="150"/>
      <c r="BF1143" s="150"/>
      <c r="BG1143" s="150"/>
      <c r="BH1143" s="150"/>
      <c r="BI1143" s="150"/>
      <c r="BJ1143" s="150"/>
      <c r="BK1143" s="152"/>
      <c r="BL1143" s="160"/>
      <c r="BM1143" s="150"/>
      <c r="BN1143" s="150"/>
      <c r="BO1143" s="150"/>
      <c r="BP1143" s="152"/>
      <c r="BQ1143" s="160"/>
      <c r="BR1143" s="152"/>
      <c r="BS1143" s="160"/>
    </row>
    <row r="1144" spans="1:71" x14ac:dyDescent="0.3">
      <c r="A1144" s="420">
        <f>DL!A1141</f>
        <v>1031</v>
      </c>
      <c r="B1144" s="19" t="s">
        <v>1942</v>
      </c>
      <c r="C1144" s="149">
        <f>DL!L1141</f>
        <v>8</v>
      </c>
      <c r="D1144" s="149" t="str">
        <f>DL!C1141</f>
        <v>96 wells</v>
      </c>
      <c r="E1144" s="150"/>
      <c r="F1144" s="463"/>
      <c r="G1144" s="150"/>
      <c r="H1144" s="150"/>
      <c r="I1144" s="150"/>
      <c r="J1144" s="150"/>
      <c r="K1144" s="168"/>
      <c r="L1144" s="466">
        <v>35000</v>
      </c>
      <c r="M1144" s="150"/>
      <c r="N1144" s="150"/>
      <c r="O1144" s="150"/>
      <c r="P1144" s="150"/>
      <c r="Q1144" s="150"/>
      <c r="R1144" s="150"/>
      <c r="S1144" s="150"/>
      <c r="T1144" s="150"/>
      <c r="U1144" s="150"/>
      <c r="V1144" s="150"/>
      <c r="W1144" s="168"/>
      <c r="X1144" s="150"/>
      <c r="Y1144" s="150"/>
      <c r="Z1144" s="455"/>
      <c r="AA1144" s="150"/>
      <c r="AB1144" s="150"/>
      <c r="AC1144" s="150"/>
      <c r="AD1144" s="150"/>
      <c r="AE1144" s="150"/>
      <c r="AF1144" s="495">
        <v>35000</v>
      </c>
      <c r="AG1144" s="150"/>
      <c r="AH1144" s="502">
        <v>38000</v>
      </c>
      <c r="AI1144" s="150"/>
      <c r="AJ1144" s="150"/>
      <c r="AK1144" s="150"/>
      <c r="AL1144" s="150"/>
      <c r="AM1144" s="150"/>
      <c r="AN1144" s="150"/>
      <c r="AO1144" s="150"/>
      <c r="AP1144" s="150"/>
      <c r="AQ1144" s="150"/>
      <c r="AR1144" s="151"/>
      <c r="AS1144" s="456"/>
      <c r="AT1144" s="151"/>
      <c r="AU1144" s="150"/>
      <c r="AV1144" s="487"/>
      <c r="AW1144" s="150"/>
      <c r="AX1144" s="150"/>
      <c r="AY1144" s="150"/>
      <c r="AZ1144" s="150"/>
      <c r="BA1144" s="150"/>
      <c r="BB1144" s="150"/>
      <c r="BC1144" s="150"/>
      <c r="BD1144" s="150"/>
      <c r="BE1144" s="150"/>
      <c r="BF1144" s="150"/>
      <c r="BG1144" s="150"/>
      <c r="BH1144" s="150"/>
      <c r="BI1144" s="150"/>
      <c r="BJ1144" s="150"/>
      <c r="BK1144" s="152"/>
      <c r="BL1144" s="160"/>
      <c r="BM1144" s="150"/>
      <c r="BN1144" s="150"/>
      <c r="BO1144" s="150"/>
      <c r="BP1144" s="152"/>
      <c r="BQ1144" s="160"/>
      <c r="BR1144" s="152"/>
      <c r="BS1144" s="160"/>
    </row>
    <row r="1145" spans="1:71" x14ac:dyDescent="0.3">
      <c r="A1145" s="420">
        <f>DL!A1142</f>
        <v>1032</v>
      </c>
      <c r="B1145" s="19" t="s">
        <v>1943</v>
      </c>
      <c r="C1145" s="149">
        <f>DL!L1142</f>
        <v>8</v>
      </c>
      <c r="D1145" s="149" t="str">
        <f>DL!C1142</f>
        <v>96 wells</v>
      </c>
      <c r="E1145" s="150"/>
      <c r="F1145" s="463"/>
      <c r="G1145" s="150"/>
      <c r="H1145" s="150"/>
      <c r="I1145" s="150"/>
      <c r="J1145" s="150"/>
      <c r="K1145" s="168"/>
      <c r="L1145" s="466">
        <v>40000</v>
      </c>
      <c r="M1145" s="150"/>
      <c r="N1145" s="150"/>
      <c r="O1145" s="150"/>
      <c r="P1145" s="150"/>
      <c r="Q1145" s="150"/>
      <c r="R1145" s="150"/>
      <c r="S1145" s="150"/>
      <c r="T1145" s="150"/>
      <c r="U1145" s="150"/>
      <c r="V1145" s="150"/>
      <c r="W1145" s="168"/>
      <c r="X1145" s="150"/>
      <c r="Y1145" s="150"/>
      <c r="Z1145" s="455"/>
      <c r="AA1145" s="150"/>
      <c r="AB1145" s="150"/>
      <c r="AC1145" s="150"/>
      <c r="AD1145" s="150"/>
      <c r="AE1145" s="150"/>
      <c r="AF1145" s="494">
        <v>32000</v>
      </c>
      <c r="AG1145" s="150"/>
      <c r="AH1145" s="502">
        <v>38000</v>
      </c>
      <c r="AI1145" s="150"/>
      <c r="AJ1145" s="150"/>
      <c r="AK1145" s="150"/>
      <c r="AL1145" s="150"/>
      <c r="AM1145" s="150"/>
      <c r="AN1145" s="150"/>
      <c r="AO1145" s="150"/>
      <c r="AP1145" s="150"/>
      <c r="AQ1145" s="150"/>
      <c r="AR1145" s="151"/>
      <c r="AS1145" s="456"/>
      <c r="AT1145" s="151"/>
      <c r="AU1145" s="150"/>
      <c r="AV1145" s="487"/>
      <c r="AW1145" s="150"/>
      <c r="AX1145" s="150"/>
      <c r="AY1145" s="150"/>
      <c r="AZ1145" s="150"/>
      <c r="BA1145" s="150"/>
      <c r="BB1145" s="150"/>
      <c r="BC1145" s="150"/>
      <c r="BD1145" s="150"/>
      <c r="BE1145" s="150"/>
      <c r="BF1145" s="150"/>
      <c r="BG1145" s="150"/>
      <c r="BH1145" s="150"/>
      <c r="BI1145" s="150"/>
      <c r="BJ1145" s="150"/>
      <c r="BK1145" s="152"/>
      <c r="BL1145" s="160"/>
      <c r="BM1145" s="150"/>
      <c r="BN1145" s="150"/>
      <c r="BO1145" s="150"/>
      <c r="BP1145" s="152"/>
      <c r="BQ1145" s="160"/>
      <c r="BR1145" s="152"/>
      <c r="BS1145" s="160"/>
    </row>
    <row r="1146" spans="1:71" x14ac:dyDescent="0.3">
      <c r="A1146" s="420">
        <f>DL!A1143</f>
        <v>1033</v>
      </c>
      <c r="B1146" s="19" t="s">
        <v>1944</v>
      </c>
      <c r="C1146" s="149">
        <f>DL!L1143</f>
        <v>4</v>
      </c>
      <c r="D1146" s="149" t="str">
        <f>DL!C1143</f>
        <v>96 wells</v>
      </c>
      <c r="E1146" s="150"/>
      <c r="F1146" s="463"/>
      <c r="G1146" s="150"/>
      <c r="H1146" s="150"/>
      <c r="I1146" s="150"/>
      <c r="J1146" s="150"/>
      <c r="K1146" s="168"/>
      <c r="L1146" s="466">
        <v>45000</v>
      </c>
      <c r="M1146" s="150"/>
      <c r="N1146" s="150"/>
      <c r="O1146" s="150"/>
      <c r="P1146" s="150"/>
      <c r="Q1146" s="150"/>
      <c r="R1146" s="150"/>
      <c r="S1146" s="150"/>
      <c r="T1146" s="150"/>
      <c r="U1146" s="150"/>
      <c r="V1146" s="150"/>
      <c r="W1146" s="168"/>
      <c r="X1146" s="150"/>
      <c r="Y1146" s="150"/>
      <c r="Z1146" s="455"/>
      <c r="AA1146" s="150"/>
      <c r="AB1146" s="150"/>
      <c r="AC1146" s="150"/>
      <c r="AD1146" s="150"/>
      <c r="AE1146" s="150"/>
      <c r="AF1146" s="494">
        <v>35100</v>
      </c>
      <c r="AG1146" s="150"/>
      <c r="AH1146" s="502">
        <v>38000</v>
      </c>
      <c r="AI1146" s="150"/>
      <c r="AJ1146" s="150"/>
      <c r="AK1146" s="150"/>
      <c r="AL1146" s="150"/>
      <c r="AM1146" s="150"/>
      <c r="AN1146" s="150"/>
      <c r="AO1146" s="150"/>
      <c r="AP1146" s="150"/>
      <c r="AQ1146" s="150"/>
      <c r="AR1146" s="151"/>
      <c r="AS1146" s="456"/>
      <c r="AT1146" s="151"/>
      <c r="AU1146" s="150"/>
      <c r="AV1146" s="487"/>
      <c r="AW1146" s="150"/>
      <c r="AX1146" s="150"/>
      <c r="AY1146" s="150"/>
      <c r="AZ1146" s="150"/>
      <c r="BA1146" s="150"/>
      <c r="BB1146" s="150"/>
      <c r="BC1146" s="150"/>
      <c r="BD1146" s="150"/>
      <c r="BE1146" s="150"/>
      <c r="BF1146" s="150"/>
      <c r="BG1146" s="150"/>
      <c r="BH1146" s="150"/>
      <c r="BI1146" s="150"/>
      <c r="BJ1146" s="150"/>
      <c r="BK1146" s="152"/>
      <c r="BL1146" s="160"/>
      <c r="BM1146" s="150"/>
      <c r="BN1146" s="150"/>
      <c r="BO1146" s="150"/>
      <c r="BP1146" s="152"/>
      <c r="BQ1146" s="160"/>
      <c r="BR1146" s="152"/>
      <c r="BS1146" s="160"/>
    </row>
    <row r="1147" spans="1:71" x14ac:dyDescent="0.3">
      <c r="A1147" s="420">
        <f>DL!A1144</f>
        <v>1034</v>
      </c>
      <c r="B1147" s="19" t="s">
        <v>1945</v>
      </c>
      <c r="C1147" s="149">
        <f>DL!L1144</f>
        <v>4</v>
      </c>
      <c r="D1147" s="149" t="str">
        <f>DL!C1144</f>
        <v>96 wells</v>
      </c>
      <c r="E1147" s="150"/>
      <c r="F1147" s="463"/>
      <c r="G1147" s="150"/>
      <c r="H1147" s="150"/>
      <c r="I1147" s="150"/>
      <c r="J1147" s="150"/>
      <c r="K1147" s="168"/>
      <c r="L1147" s="466">
        <v>45000</v>
      </c>
      <c r="M1147" s="150"/>
      <c r="N1147" s="150"/>
      <c r="O1147" s="150"/>
      <c r="P1147" s="150"/>
      <c r="Q1147" s="150"/>
      <c r="R1147" s="150"/>
      <c r="S1147" s="150"/>
      <c r="T1147" s="150"/>
      <c r="U1147" s="150"/>
      <c r="V1147" s="150"/>
      <c r="W1147" s="168"/>
      <c r="X1147" s="150"/>
      <c r="Y1147" s="150"/>
      <c r="Z1147" s="455"/>
      <c r="AA1147" s="150"/>
      <c r="AB1147" s="150"/>
      <c r="AC1147" s="150"/>
      <c r="AD1147" s="150"/>
      <c r="AE1147" s="150"/>
      <c r="AF1147" s="494">
        <v>35100</v>
      </c>
      <c r="AG1147" s="150"/>
      <c r="AH1147" s="502">
        <v>38000</v>
      </c>
      <c r="AI1147" s="150"/>
      <c r="AJ1147" s="150"/>
      <c r="AK1147" s="150"/>
      <c r="AL1147" s="150"/>
      <c r="AM1147" s="150"/>
      <c r="AN1147" s="150"/>
      <c r="AO1147" s="150"/>
      <c r="AP1147" s="150"/>
      <c r="AQ1147" s="150"/>
      <c r="AR1147" s="151"/>
      <c r="AS1147" s="456"/>
      <c r="AT1147" s="151"/>
      <c r="AU1147" s="150"/>
      <c r="AV1147" s="487"/>
      <c r="AW1147" s="150"/>
      <c r="AX1147" s="150"/>
      <c r="AY1147" s="150"/>
      <c r="AZ1147" s="150"/>
      <c r="BA1147" s="150"/>
      <c r="BB1147" s="150"/>
      <c r="BC1147" s="150"/>
      <c r="BD1147" s="150"/>
      <c r="BE1147" s="150"/>
      <c r="BF1147" s="150"/>
      <c r="BG1147" s="150"/>
      <c r="BH1147" s="150"/>
      <c r="BI1147" s="150"/>
      <c r="BJ1147" s="150"/>
      <c r="BK1147" s="152"/>
      <c r="BL1147" s="160"/>
      <c r="BM1147" s="150"/>
      <c r="BN1147" s="150"/>
      <c r="BO1147" s="150"/>
      <c r="BP1147" s="152"/>
      <c r="BQ1147" s="160"/>
      <c r="BR1147" s="152"/>
      <c r="BS1147" s="160"/>
    </row>
    <row r="1148" spans="1:71" x14ac:dyDescent="0.3">
      <c r="A1148" s="420">
        <f>DL!A1145</f>
        <v>1035</v>
      </c>
      <c r="B1148" s="19" t="s">
        <v>1946</v>
      </c>
      <c r="C1148" s="149">
        <f>DL!L1145</f>
        <v>4</v>
      </c>
      <c r="D1148" s="149" t="str">
        <f>DL!C1145</f>
        <v>96 wells</v>
      </c>
      <c r="E1148" s="150"/>
      <c r="F1148" s="463"/>
      <c r="G1148" s="150"/>
      <c r="H1148" s="150"/>
      <c r="I1148" s="150"/>
      <c r="J1148" s="150"/>
      <c r="K1148" s="168"/>
      <c r="L1148" s="466">
        <v>45000</v>
      </c>
      <c r="M1148" s="150"/>
      <c r="N1148" s="150"/>
      <c r="O1148" s="150"/>
      <c r="P1148" s="150"/>
      <c r="Q1148" s="150"/>
      <c r="R1148" s="150"/>
      <c r="S1148" s="150"/>
      <c r="T1148" s="150"/>
      <c r="U1148" s="150"/>
      <c r="V1148" s="150"/>
      <c r="W1148" s="168"/>
      <c r="X1148" s="150"/>
      <c r="Y1148" s="150"/>
      <c r="Z1148" s="455"/>
      <c r="AA1148" s="150"/>
      <c r="AB1148" s="150"/>
      <c r="AC1148" s="150"/>
      <c r="AD1148" s="150"/>
      <c r="AE1148" s="150"/>
      <c r="AF1148" s="494">
        <v>31500</v>
      </c>
      <c r="AG1148" s="150"/>
      <c r="AH1148" s="502">
        <v>28000</v>
      </c>
      <c r="AI1148" s="150"/>
      <c r="AJ1148" s="150"/>
      <c r="AK1148" s="150"/>
      <c r="AL1148" s="150"/>
      <c r="AM1148" s="150"/>
      <c r="AN1148" s="150"/>
      <c r="AO1148" s="150"/>
      <c r="AP1148" s="150"/>
      <c r="AQ1148" s="150"/>
      <c r="AR1148" s="151"/>
      <c r="AS1148" s="456"/>
      <c r="AT1148" s="151"/>
      <c r="AU1148" s="150"/>
      <c r="AV1148" s="487"/>
      <c r="AW1148" s="150"/>
      <c r="AX1148" s="150"/>
      <c r="AY1148" s="150"/>
      <c r="AZ1148" s="150"/>
      <c r="BA1148" s="150"/>
      <c r="BB1148" s="150"/>
      <c r="BC1148" s="150"/>
      <c r="BD1148" s="150"/>
      <c r="BE1148" s="150"/>
      <c r="BF1148" s="150"/>
      <c r="BG1148" s="150"/>
      <c r="BH1148" s="150"/>
      <c r="BI1148" s="150"/>
      <c r="BJ1148" s="150"/>
      <c r="BK1148" s="152"/>
      <c r="BL1148" s="160"/>
      <c r="BM1148" s="150"/>
      <c r="BN1148" s="150"/>
      <c r="BO1148" s="150"/>
      <c r="BP1148" s="152"/>
      <c r="BQ1148" s="160"/>
      <c r="BR1148" s="152"/>
      <c r="BS1148" s="160"/>
    </row>
    <row r="1149" spans="1:71" x14ac:dyDescent="0.3">
      <c r="A1149" s="420">
        <f>DL!A1146</f>
        <v>1036</v>
      </c>
      <c r="B1149" s="19" t="s">
        <v>1947</v>
      </c>
      <c r="C1149" s="149">
        <f>DL!L1146</f>
        <v>4</v>
      </c>
      <c r="D1149" s="149" t="str">
        <f>DL!C1146</f>
        <v>96 wells</v>
      </c>
      <c r="E1149" s="150"/>
      <c r="F1149" s="463"/>
      <c r="G1149" s="150"/>
      <c r="H1149" s="150"/>
      <c r="I1149" s="150"/>
      <c r="J1149" s="150"/>
      <c r="K1149" s="168"/>
      <c r="L1149" s="466">
        <v>35000</v>
      </c>
      <c r="M1149" s="150"/>
      <c r="N1149" s="150"/>
      <c r="O1149" s="150"/>
      <c r="P1149" s="150"/>
      <c r="Q1149" s="150"/>
      <c r="R1149" s="150"/>
      <c r="S1149" s="150"/>
      <c r="T1149" s="150"/>
      <c r="U1149" s="150"/>
      <c r="V1149" s="150"/>
      <c r="W1149" s="168"/>
      <c r="X1149" s="150"/>
      <c r="Y1149" s="150"/>
      <c r="Z1149" s="455"/>
      <c r="AA1149" s="150"/>
      <c r="AB1149" s="150"/>
      <c r="AC1149" s="150"/>
      <c r="AD1149" s="150"/>
      <c r="AE1149" s="150"/>
      <c r="AF1149" s="494">
        <v>31500</v>
      </c>
      <c r="AG1149" s="150"/>
      <c r="AH1149" s="502">
        <v>28000</v>
      </c>
      <c r="AI1149" s="150"/>
      <c r="AJ1149" s="150"/>
      <c r="AK1149" s="150"/>
      <c r="AL1149" s="150"/>
      <c r="AM1149" s="150"/>
      <c r="AN1149" s="150"/>
      <c r="AO1149" s="150"/>
      <c r="AP1149" s="150"/>
      <c r="AQ1149" s="150"/>
      <c r="AR1149" s="151"/>
      <c r="AS1149" s="456"/>
      <c r="AT1149" s="151"/>
      <c r="AU1149" s="150"/>
      <c r="AV1149" s="487"/>
      <c r="AW1149" s="150"/>
      <c r="AX1149" s="150"/>
      <c r="AY1149" s="150"/>
      <c r="AZ1149" s="150"/>
      <c r="BA1149" s="150"/>
      <c r="BB1149" s="150"/>
      <c r="BC1149" s="150"/>
      <c r="BD1149" s="150"/>
      <c r="BE1149" s="150"/>
      <c r="BF1149" s="150"/>
      <c r="BG1149" s="150"/>
      <c r="BH1149" s="150"/>
      <c r="BI1149" s="150"/>
      <c r="BJ1149" s="150"/>
      <c r="BK1149" s="152"/>
      <c r="BL1149" s="160"/>
      <c r="BM1149" s="150"/>
      <c r="BN1149" s="150"/>
      <c r="BO1149" s="150"/>
      <c r="BP1149" s="152"/>
      <c r="BQ1149" s="160"/>
      <c r="BR1149" s="152"/>
      <c r="BS1149" s="160"/>
    </row>
    <row r="1150" spans="1:71" x14ac:dyDescent="0.3">
      <c r="A1150" s="420">
        <f>DL!A1147</f>
        <v>1037</v>
      </c>
      <c r="B1150" s="19" t="s">
        <v>1948</v>
      </c>
      <c r="C1150" s="149">
        <f>DL!L1147</f>
        <v>4</v>
      </c>
      <c r="D1150" s="149" t="str">
        <f>DL!C1147</f>
        <v>96 wells</v>
      </c>
      <c r="E1150" s="150"/>
      <c r="F1150" s="463"/>
      <c r="G1150" s="150"/>
      <c r="H1150" s="150"/>
      <c r="I1150" s="150"/>
      <c r="J1150" s="150"/>
      <c r="K1150" s="168"/>
      <c r="L1150" s="466">
        <v>35000</v>
      </c>
      <c r="M1150" s="150"/>
      <c r="N1150" s="150"/>
      <c r="O1150" s="150"/>
      <c r="P1150" s="150"/>
      <c r="Q1150" s="150"/>
      <c r="R1150" s="150"/>
      <c r="S1150" s="150"/>
      <c r="T1150" s="150"/>
      <c r="U1150" s="150"/>
      <c r="V1150" s="150"/>
      <c r="W1150" s="168"/>
      <c r="X1150" s="150"/>
      <c r="Y1150" s="150"/>
      <c r="Z1150" s="455"/>
      <c r="AA1150" s="150"/>
      <c r="AB1150" s="150"/>
      <c r="AC1150" s="150"/>
      <c r="AD1150" s="150"/>
      <c r="AE1150" s="150"/>
      <c r="AF1150" s="494">
        <v>31500</v>
      </c>
      <c r="AG1150" s="150"/>
      <c r="AH1150" s="502">
        <v>28000</v>
      </c>
      <c r="AI1150" s="150"/>
      <c r="AJ1150" s="150"/>
      <c r="AK1150" s="150"/>
      <c r="AL1150" s="150"/>
      <c r="AM1150" s="150"/>
      <c r="AN1150" s="150"/>
      <c r="AO1150" s="150"/>
      <c r="AP1150" s="150"/>
      <c r="AQ1150" s="150"/>
      <c r="AR1150" s="151"/>
      <c r="AS1150" s="456"/>
      <c r="AT1150" s="151"/>
      <c r="AU1150" s="150"/>
      <c r="AV1150" s="487"/>
      <c r="AW1150" s="150"/>
      <c r="AX1150" s="150"/>
      <c r="AY1150" s="150"/>
      <c r="AZ1150" s="150"/>
      <c r="BA1150" s="150"/>
      <c r="BB1150" s="150"/>
      <c r="BC1150" s="150"/>
      <c r="BD1150" s="150"/>
      <c r="BE1150" s="150"/>
      <c r="BF1150" s="150"/>
      <c r="BG1150" s="150"/>
      <c r="BH1150" s="150"/>
      <c r="BI1150" s="150"/>
      <c r="BJ1150" s="150"/>
      <c r="BK1150" s="152"/>
      <c r="BL1150" s="160"/>
      <c r="BM1150" s="150"/>
      <c r="BN1150" s="150"/>
      <c r="BO1150" s="150"/>
      <c r="BP1150" s="152"/>
      <c r="BQ1150" s="160"/>
      <c r="BR1150" s="152"/>
      <c r="BS1150" s="160"/>
    </row>
    <row r="1151" spans="1:71" x14ac:dyDescent="0.3">
      <c r="A1151" s="420">
        <f>DL!A1148</f>
        <v>1038</v>
      </c>
      <c r="B1151" s="19" t="s">
        <v>1949</v>
      </c>
      <c r="C1151" s="149">
        <f>DL!L1148</f>
        <v>2</v>
      </c>
      <c r="D1151" s="149" t="str">
        <f>DL!C1148</f>
        <v>96 wells</v>
      </c>
      <c r="E1151" s="150"/>
      <c r="F1151" s="463"/>
      <c r="G1151" s="150"/>
      <c r="H1151" s="150"/>
      <c r="I1151" s="150"/>
      <c r="J1151" s="150"/>
      <c r="K1151" s="168"/>
      <c r="L1151" s="466">
        <v>48000</v>
      </c>
      <c r="M1151" s="150"/>
      <c r="N1151" s="150"/>
      <c r="O1151" s="150"/>
      <c r="P1151" s="150"/>
      <c r="Q1151" s="150"/>
      <c r="R1151" s="150"/>
      <c r="S1151" s="150"/>
      <c r="T1151" s="150"/>
      <c r="U1151" s="150"/>
      <c r="V1151" s="150"/>
      <c r="W1151" s="168"/>
      <c r="X1151" s="150"/>
      <c r="Y1151" s="150"/>
      <c r="Z1151" s="455"/>
      <c r="AA1151" s="150"/>
      <c r="AB1151" s="150"/>
      <c r="AC1151" s="150"/>
      <c r="AD1151" s="150"/>
      <c r="AE1151" s="150"/>
      <c r="AF1151" s="494">
        <v>487500</v>
      </c>
      <c r="AG1151" s="150"/>
      <c r="AH1151" s="502">
        <v>38000</v>
      </c>
      <c r="AI1151" s="150"/>
      <c r="AJ1151" s="150"/>
      <c r="AK1151" s="150"/>
      <c r="AL1151" s="150"/>
      <c r="AM1151" s="150"/>
      <c r="AN1151" s="150"/>
      <c r="AO1151" s="150"/>
      <c r="AP1151" s="150"/>
      <c r="AQ1151" s="150"/>
      <c r="AR1151" s="151"/>
      <c r="AS1151" s="456"/>
      <c r="AT1151" s="151"/>
      <c r="AU1151" s="150"/>
      <c r="AV1151" s="487"/>
      <c r="AW1151" s="150"/>
      <c r="AX1151" s="150"/>
      <c r="AY1151" s="150"/>
      <c r="AZ1151" s="150"/>
      <c r="BA1151" s="150"/>
      <c r="BB1151" s="150"/>
      <c r="BC1151" s="150"/>
      <c r="BD1151" s="150"/>
      <c r="BE1151" s="150"/>
      <c r="BF1151" s="150"/>
      <c r="BG1151" s="150"/>
      <c r="BH1151" s="150"/>
      <c r="BI1151" s="150"/>
      <c r="BJ1151" s="150"/>
      <c r="BK1151" s="152"/>
      <c r="BL1151" s="160"/>
      <c r="BM1151" s="150"/>
      <c r="BN1151" s="150"/>
      <c r="BO1151" s="150"/>
      <c r="BP1151" s="152"/>
      <c r="BQ1151" s="160"/>
      <c r="BR1151" s="152"/>
      <c r="BS1151" s="160"/>
    </row>
    <row r="1152" spans="1:71" x14ac:dyDescent="0.3">
      <c r="A1152" s="420"/>
      <c r="B1152" s="19"/>
      <c r="C1152" s="149">
        <f>DL!L1149</f>
        <v>0</v>
      </c>
      <c r="D1152" s="149">
        <f>DL!C1149</f>
        <v>0</v>
      </c>
      <c r="E1152" s="150"/>
      <c r="F1152" s="463"/>
      <c r="G1152" s="150"/>
      <c r="H1152" s="150"/>
      <c r="I1152" s="150"/>
      <c r="J1152" s="150"/>
      <c r="K1152" s="168"/>
      <c r="L1152" s="500"/>
      <c r="M1152" s="150"/>
      <c r="N1152" s="150"/>
      <c r="O1152" s="150"/>
      <c r="P1152" s="150"/>
      <c r="Q1152" s="150"/>
      <c r="R1152" s="150"/>
      <c r="S1152" s="150"/>
      <c r="T1152" s="150"/>
      <c r="U1152" s="150"/>
      <c r="V1152" s="150"/>
      <c r="W1152" s="168"/>
      <c r="X1152" s="150"/>
      <c r="Y1152" s="150"/>
      <c r="Z1152" s="455"/>
      <c r="AA1152" s="150"/>
      <c r="AB1152" s="150"/>
      <c r="AC1152" s="150"/>
      <c r="AD1152" s="150"/>
      <c r="AE1152" s="150"/>
      <c r="AF1152" s="499"/>
      <c r="AG1152" s="150"/>
      <c r="AH1152" s="500"/>
      <c r="AI1152" s="150"/>
      <c r="AJ1152" s="150"/>
      <c r="AK1152" s="150"/>
      <c r="AL1152" s="150"/>
      <c r="AM1152" s="150"/>
      <c r="AN1152" s="150"/>
      <c r="AO1152" s="150"/>
      <c r="AP1152" s="150"/>
      <c r="AQ1152" s="150"/>
      <c r="AR1152" s="151"/>
      <c r="AS1152" s="456"/>
      <c r="AT1152" s="151"/>
      <c r="AU1152" s="150"/>
      <c r="AV1152" s="487"/>
      <c r="AW1152" s="150"/>
      <c r="AX1152" s="150"/>
      <c r="AY1152" s="150"/>
      <c r="AZ1152" s="150"/>
      <c r="BA1152" s="150"/>
      <c r="BB1152" s="150"/>
      <c r="BC1152" s="150"/>
      <c r="BD1152" s="150"/>
      <c r="BE1152" s="150"/>
      <c r="BF1152" s="150"/>
      <c r="BG1152" s="150"/>
      <c r="BH1152" s="150"/>
      <c r="BI1152" s="150"/>
      <c r="BJ1152" s="150"/>
      <c r="BK1152" s="152"/>
      <c r="BL1152" s="160"/>
      <c r="BM1152" s="150"/>
      <c r="BN1152" s="150"/>
      <c r="BO1152" s="150"/>
      <c r="BP1152" s="152"/>
      <c r="BQ1152" s="160"/>
      <c r="BR1152" s="152"/>
      <c r="BS1152" s="160"/>
    </row>
    <row r="1153" spans="1:71" x14ac:dyDescent="0.3">
      <c r="A1153" s="420"/>
      <c r="B1153" s="19"/>
      <c r="C1153" s="149">
        <f>DL!L1150</f>
        <v>0</v>
      </c>
      <c r="D1153" s="149">
        <f>DL!C1150</f>
        <v>0</v>
      </c>
      <c r="E1153" s="150"/>
      <c r="F1153" s="463"/>
      <c r="G1153" s="150"/>
      <c r="H1153" s="150"/>
      <c r="I1153" s="150"/>
      <c r="J1153" s="150"/>
      <c r="K1153" s="168"/>
      <c r="L1153" s="500"/>
      <c r="M1153" s="150"/>
      <c r="N1153" s="150"/>
      <c r="O1153" s="150"/>
      <c r="P1153" s="150"/>
      <c r="Q1153" s="150"/>
      <c r="R1153" s="150"/>
      <c r="S1153" s="150"/>
      <c r="T1153" s="150"/>
      <c r="U1153" s="150"/>
      <c r="V1153" s="150"/>
      <c r="W1153" s="168"/>
      <c r="X1153" s="150"/>
      <c r="Y1153" s="150"/>
      <c r="Z1153" s="455"/>
      <c r="AA1153" s="150"/>
      <c r="AB1153" s="150"/>
      <c r="AC1153" s="150"/>
      <c r="AD1153" s="150"/>
      <c r="AE1153" s="150"/>
      <c r="AF1153" s="499"/>
      <c r="AG1153" s="150"/>
      <c r="AH1153" s="500"/>
      <c r="AI1153" s="150"/>
      <c r="AJ1153" s="150"/>
      <c r="AK1153" s="150"/>
      <c r="AL1153" s="150"/>
      <c r="AM1153" s="150"/>
      <c r="AN1153" s="150"/>
      <c r="AO1153" s="150"/>
      <c r="AP1153" s="150"/>
      <c r="AQ1153" s="150"/>
      <c r="AR1153" s="151"/>
      <c r="AS1153" s="456"/>
      <c r="AT1153" s="151"/>
      <c r="AU1153" s="150"/>
      <c r="AV1153" s="487"/>
      <c r="AW1153" s="150"/>
      <c r="AX1153" s="150"/>
      <c r="AY1153" s="150"/>
      <c r="AZ1153" s="150"/>
      <c r="BA1153" s="150"/>
      <c r="BB1153" s="150"/>
      <c r="BC1153" s="150"/>
      <c r="BD1153" s="150"/>
      <c r="BE1153" s="150"/>
      <c r="BF1153" s="150"/>
      <c r="BG1153" s="150"/>
      <c r="BH1153" s="150"/>
      <c r="BI1153" s="150"/>
      <c r="BJ1153" s="150"/>
      <c r="BK1153" s="152"/>
      <c r="BL1153" s="160"/>
      <c r="BM1153" s="150"/>
      <c r="BN1153" s="150"/>
      <c r="BO1153" s="150"/>
      <c r="BP1153" s="152"/>
      <c r="BQ1153" s="160"/>
      <c r="BR1153" s="152"/>
      <c r="BS1153" s="160"/>
    </row>
    <row r="1154" spans="1:71" x14ac:dyDescent="0.3">
      <c r="A1154" s="420"/>
      <c r="B1154" s="19"/>
      <c r="C1154" s="149">
        <f>DL!L1151</f>
        <v>0</v>
      </c>
      <c r="D1154" s="149">
        <f>DL!C1151</f>
        <v>0</v>
      </c>
      <c r="E1154" s="150"/>
      <c r="F1154" s="463"/>
      <c r="G1154" s="150"/>
      <c r="H1154" s="150"/>
      <c r="I1154" s="150"/>
      <c r="J1154" s="150"/>
      <c r="K1154" s="168"/>
      <c r="L1154" s="500"/>
      <c r="M1154" s="150"/>
      <c r="N1154" s="150"/>
      <c r="O1154" s="150"/>
      <c r="P1154" s="150"/>
      <c r="Q1154" s="150"/>
      <c r="R1154" s="150"/>
      <c r="S1154" s="150"/>
      <c r="T1154" s="150"/>
      <c r="U1154" s="150"/>
      <c r="V1154" s="150"/>
      <c r="W1154" s="168"/>
      <c r="X1154" s="150"/>
      <c r="Y1154" s="150"/>
      <c r="Z1154" s="455"/>
      <c r="AA1154" s="150"/>
      <c r="AB1154" s="150"/>
      <c r="AC1154" s="150"/>
      <c r="AD1154" s="150"/>
      <c r="AE1154" s="150"/>
      <c r="AF1154" s="499"/>
      <c r="AG1154" s="150"/>
      <c r="AH1154" s="500"/>
      <c r="AI1154" s="150"/>
      <c r="AJ1154" s="150"/>
      <c r="AK1154" s="150"/>
      <c r="AL1154" s="150"/>
      <c r="AM1154" s="150"/>
      <c r="AN1154" s="150"/>
      <c r="AO1154" s="150"/>
      <c r="AP1154" s="150"/>
      <c r="AQ1154" s="150"/>
      <c r="AR1154" s="151"/>
      <c r="AS1154" s="456"/>
      <c r="AT1154" s="151"/>
      <c r="AU1154" s="150"/>
      <c r="AV1154" s="487"/>
      <c r="AW1154" s="150"/>
      <c r="AX1154" s="150"/>
      <c r="AY1154" s="150"/>
      <c r="AZ1154" s="150"/>
      <c r="BA1154" s="150"/>
      <c r="BB1154" s="150"/>
      <c r="BC1154" s="150"/>
      <c r="BD1154" s="150"/>
      <c r="BE1154" s="150"/>
      <c r="BF1154" s="150"/>
      <c r="BG1154" s="150"/>
      <c r="BH1154" s="150"/>
      <c r="BI1154" s="150"/>
      <c r="BJ1154" s="150"/>
      <c r="BK1154" s="152"/>
      <c r="BL1154" s="160"/>
      <c r="BM1154" s="150"/>
      <c r="BN1154" s="150"/>
      <c r="BO1154" s="150"/>
      <c r="BP1154" s="152"/>
      <c r="BQ1154" s="160"/>
      <c r="BR1154" s="152"/>
      <c r="BS1154" s="160"/>
    </row>
    <row r="1155" spans="1:71" x14ac:dyDescent="0.3">
      <c r="A1155" s="420" t="str">
        <f>DL!A1152</f>
        <v>LOT 21</v>
      </c>
      <c r="B1155" s="451" t="s">
        <v>1950</v>
      </c>
      <c r="C1155" s="149">
        <f>DL!L1152</f>
        <v>0</v>
      </c>
      <c r="D1155" s="149">
        <f>DL!C1152</f>
        <v>0</v>
      </c>
      <c r="E1155" s="150"/>
      <c r="F1155" s="463"/>
      <c r="G1155" s="150"/>
      <c r="H1155" s="150"/>
      <c r="I1155" s="150"/>
      <c r="J1155" s="150"/>
      <c r="K1155" s="168"/>
      <c r="L1155" s="500"/>
      <c r="M1155" s="150"/>
      <c r="N1155" s="150"/>
      <c r="O1155" s="150"/>
      <c r="P1155" s="150"/>
      <c r="Q1155" s="150"/>
      <c r="R1155" s="150"/>
      <c r="S1155" s="150"/>
      <c r="T1155" s="150"/>
      <c r="U1155" s="150"/>
      <c r="V1155" s="150"/>
      <c r="W1155" s="168"/>
      <c r="X1155" s="150"/>
      <c r="Y1155" s="150"/>
      <c r="Z1155" s="455"/>
      <c r="AA1155" s="150"/>
      <c r="AB1155" s="150"/>
      <c r="AC1155" s="150"/>
      <c r="AD1155" s="150"/>
      <c r="AE1155" s="150"/>
      <c r="AF1155" s="499"/>
      <c r="AG1155" s="150"/>
      <c r="AH1155" s="500"/>
      <c r="AI1155" s="150"/>
      <c r="AJ1155" s="150"/>
      <c r="AK1155" s="150"/>
      <c r="AL1155" s="150"/>
      <c r="AM1155" s="150"/>
      <c r="AN1155" s="150"/>
      <c r="AO1155" s="150"/>
      <c r="AP1155" s="150"/>
      <c r="AQ1155" s="150"/>
      <c r="AR1155" s="151"/>
      <c r="AS1155" s="456"/>
      <c r="AT1155" s="151"/>
      <c r="AU1155" s="150"/>
      <c r="AV1155" s="487"/>
      <c r="AW1155" s="150"/>
      <c r="AX1155" s="150"/>
      <c r="AY1155" s="150"/>
      <c r="AZ1155" s="150"/>
      <c r="BA1155" s="150"/>
      <c r="BB1155" s="150"/>
      <c r="BC1155" s="150"/>
      <c r="BD1155" s="150"/>
      <c r="BE1155" s="150"/>
      <c r="BF1155" s="150"/>
      <c r="BG1155" s="150"/>
      <c r="BH1155" s="150"/>
      <c r="BI1155" s="150"/>
      <c r="BJ1155" s="150"/>
      <c r="BK1155" s="152"/>
      <c r="BL1155" s="160"/>
      <c r="BM1155" s="150"/>
      <c r="BN1155" s="150"/>
      <c r="BO1155" s="150"/>
      <c r="BP1155" s="152"/>
      <c r="BQ1155" s="160"/>
      <c r="BR1155" s="152"/>
      <c r="BS1155" s="160"/>
    </row>
    <row r="1156" spans="1:71" x14ac:dyDescent="0.3">
      <c r="A1156" s="420"/>
      <c r="B1156" s="19"/>
      <c r="C1156" s="149">
        <f>DL!L1153</f>
        <v>0</v>
      </c>
      <c r="D1156" s="149">
        <f>DL!C1153</f>
        <v>0</v>
      </c>
      <c r="E1156" s="150"/>
      <c r="F1156" s="463"/>
      <c r="G1156" s="150"/>
      <c r="H1156" s="150"/>
      <c r="I1156" s="150"/>
      <c r="J1156" s="150"/>
      <c r="K1156" s="168"/>
      <c r="L1156" s="500"/>
      <c r="M1156" s="150"/>
      <c r="N1156" s="150"/>
      <c r="O1156" s="150"/>
      <c r="P1156" s="150"/>
      <c r="Q1156" s="150"/>
      <c r="R1156" s="150"/>
      <c r="S1156" s="150"/>
      <c r="T1156" s="150"/>
      <c r="U1156" s="150"/>
      <c r="V1156" s="150"/>
      <c r="W1156" s="168"/>
      <c r="X1156" s="150"/>
      <c r="Y1156" s="150"/>
      <c r="Z1156" s="455"/>
      <c r="AA1156" s="150"/>
      <c r="AB1156" s="150"/>
      <c r="AC1156" s="150"/>
      <c r="AD1156" s="150"/>
      <c r="AE1156" s="150"/>
      <c r="AF1156" s="499"/>
      <c r="AG1156" s="150"/>
      <c r="AH1156" s="500"/>
      <c r="AI1156" s="150"/>
      <c r="AJ1156" s="150"/>
      <c r="AK1156" s="150"/>
      <c r="AL1156" s="150"/>
      <c r="AM1156" s="150"/>
      <c r="AN1156" s="150"/>
      <c r="AO1156" s="150"/>
      <c r="AP1156" s="150"/>
      <c r="AQ1156" s="150"/>
      <c r="AR1156" s="151"/>
      <c r="AS1156" s="456"/>
      <c r="AT1156" s="151"/>
      <c r="AU1156" s="150"/>
      <c r="AV1156" s="487"/>
      <c r="AW1156" s="150"/>
      <c r="AX1156" s="150"/>
      <c r="AY1156" s="150"/>
      <c r="AZ1156" s="150"/>
      <c r="BA1156" s="150"/>
      <c r="BB1156" s="150"/>
      <c r="BC1156" s="150"/>
      <c r="BD1156" s="150"/>
      <c r="BE1156" s="150"/>
      <c r="BF1156" s="150"/>
      <c r="BG1156" s="150"/>
      <c r="BH1156" s="150"/>
      <c r="BI1156" s="150"/>
      <c r="BJ1156" s="150"/>
      <c r="BK1156" s="152"/>
      <c r="BL1156" s="160"/>
      <c r="BM1156" s="150"/>
      <c r="BN1156" s="150"/>
      <c r="BO1156" s="150"/>
      <c r="BP1156" s="152"/>
      <c r="BQ1156" s="160"/>
      <c r="BR1156" s="152"/>
      <c r="BS1156" s="160"/>
    </row>
    <row r="1157" spans="1:71" x14ac:dyDescent="0.3">
      <c r="A1157" s="420"/>
      <c r="B1157" s="20" t="s">
        <v>1951</v>
      </c>
      <c r="C1157" s="149">
        <f>DL!L1154</f>
        <v>0</v>
      </c>
      <c r="D1157" s="149">
        <f>DL!C1154</f>
        <v>0</v>
      </c>
      <c r="E1157" s="150"/>
      <c r="F1157" s="463"/>
      <c r="G1157" s="150"/>
      <c r="H1157" s="150"/>
      <c r="I1157" s="150"/>
      <c r="J1157" s="150"/>
      <c r="K1157" s="168"/>
      <c r="L1157" s="500"/>
      <c r="M1157" s="150"/>
      <c r="N1157" s="150"/>
      <c r="O1157" s="150"/>
      <c r="P1157" s="150"/>
      <c r="Q1157" s="150"/>
      <c r="R1157" s="150"/>
      <c r="S1157" s="150"/>
      <c r="T1157" s="150"/>
      <c r="U1157" s="150"/>
      <c r="V1157" s="150"/>
      <c r="W1157" s="168"/>
      <c r="X1157" s="150"/>
      <c r="Y1157" s="150"/>
      <c r="Z1157" s="455"/>
      <c r="AA1157" s="150"/>
      <c r="AB1157" s="150"/>
      <c r="AC1157" s="150"/>
      <c r="AD1157" s="150"/>
      <c r="AE1157" s="150"/>
      <c r="AF1157" s="499"/>
      <c r="AG1157" s="150"/>
      <c r="AH1157" s="500"/>
      <c r="AI1157" s="150"/>
      <c r="AJ1157" s="150"/>
      <c r="AK1157" s="150"/>
      <c r="AL1157" s="150"/>
      <c r="AM1157" s="150"/>
      <c r="AN1157" s="150"/>
      <c r="AO1157" s="150"/>
      <c r="AP1157" s="150"/>
      <c r="AQ1157" s="150"/>
      <c r="AR1157" s="151"/>
      <c r="AS1157" s="456"/>
      <c r="AT1157" s="151"/>
      <c r="AU1157" s="150"/>
      <c r="AV1157" s="487"/>
      <c r="AW1157" s="150"/>
      <c r="AX1157" s="150"/>
      <c r="AY1157" s="150"/>
      <c r="AZ1157" s="150"/>
      <c r="BA1157" s="150"/>
      <c r="BB1157" s="150"/>
      <c r="BC1157" s="150"/>
      <c r="BD1157" s="150"/>
      <c r="BE1157" s="150"/>
      <c r="BF1157" s="150"/>
      <c r="BG1157" s="150"/>
      <c r="BH1157" s="150"/>
      <c r="BI1157" s="150"/>
      <c r="BJ1157" s="150"/>
      <c r="BK1157" s="152"/>
      <c r="BL1157" s="160"/>
      <c r="BM1157" s="150"/>
      <c r="BN1157" s="150"/>
      <c r="BO1157" s="150"/>
      <c r="BP1157" s="152"/>
      <c r="BQ1157" s="160"/>
      <c r="BR1157" s="152"/>
      <c r="BS1157" s="160"/>
    </row>
    <row r="1158" spans="1:71" ht="23.25" x14ac:dyDescent="0.3">
      <c r="A1158" s="420">
        <f>DL!A1155</f>
        <v>1039</v>
      </c>
      <c r="B1158" s="19" t="s">
        <v>1960</v>
      </c>
      <c r="C1158" s="149">
        <f>DL!L1155</f>
        <v>1</v>
      </c>
      <c r="D1158" s="149" t="str">
        <f>DL!C1155</f>
        <v>1 x 10 pcs</v>
      </c>
      <c r="E1158" s="150"/>
      <c r="F1158" s="463"/>
      <c r="G1158" s="150"/>
      <c r="H1158" s="150"/>
      <c r="I1158" s="150"/>
      <c r="J1158" s="150"/>
      <c r="K1158" s="168"/>
      <c r="L1158" s="500"/>
      <c r="M1158" s="150">
        <v>14000</v>
      </c>
      <c r="N1158" s="150"/>
      <c r="O1158" s="150"/>
      <c r="P1158" s="150"/>
      <c r="Q1158" s="150">
        <v>16875</v>
      </c>
      <c r="R1158" s="150"/>
      <c r="S1158" s="150"/>
      <c r="T1158" s="150"/>
      <c r="U1158" s="150"/>
      <c r="V1158" s="150"/>
      <c r="W1158" s="168"/>
      <c r="X1158" s="150"/>
      <c r="Y1158" s="150"/>
      <c r="Z1158" s="455"/>
      <c r="AA1158" s="150"/>
      <c r="AB1158" s="150"/>
      <c r="AC1158" s="150"/>
      <c r="AD1158" s="150"/>
      <c r="AE1158" s="150"/>
      <c r="AF1158" s="497">
        <v>0</v>
      </c>
      <c r="AG1158" s="150"/>
      <c r="AH1158" s="500"/>
      <c r="AI1158" s="150"/>
      <c r="AJ1158" s="150"/>
      <c r="AK1158" s="150"/>
      <c r="AL1158" s="150"/>
      <c r="AM1158" s="150"/>
      <c r="AN1158" s="150"/>
      <c r="AO1158" s="150"/>
      <c r="AP1158" s="150"/>
      <c r="AQ1158" s="150"/>
      <c r="AR1158" s="151"/>
      <c r="AS1158" s="456"/>
      <c r="AT1158" s="151"/>
      <c r="AU1158" s="150"/>
      <c r="AV1158" s="487"/>
      <c r="AW1158" s="150"/>
      <c r="AX1158" s="150"/>
      <c r="AY1158" s="150"/>
      <c r="AZ1158" s="150"/>
      <c r="BA1158" s="150"/>
      <c r="BB1158" s="150"/>
      <c r="BC1158" s="150"/>
      <c r="BD1158" s="150"/>
      <c r="BE1158" s="150"/>
      <c r="BF1158" s="150"/>
      <c r="BG1158" s="150"/>
      <c r="BH1158" s="150"/>
      <c r="BI1158" s="150">
        <v>9900</v>
      </c>
      <c r="BJ1158" s="150"/>
      <c r="BK1158" s="512">
        <v>10000</v>
      </c>
      <c r="BL1158" s="160"/>
      <c r="BM1158" s="150"/>
      <c r="BN1158" s="150"/>
      <c r="BO1158" s="150"/>
      <c r="BP1158" s="152"/>
      <c r="BQ1158" s="160"/>
      <c r="BR1158" s="152"/>
      <c r="BS1158" s="160"/>
    </row>
    <row r="1159" spans="1:71" ht="23.25" x14ac:dyDescent="0.3">
      <c r="A1159" s="420">
        <f>DL!A1156</f>
        <v>1040</v>
      </c>
      <c r="B1159" s="19" t="s">
        <v>1961</v>
      </c>
      <c r="C1159" s="149">
        <f>DL!L1156</f>
        <v>1</v>
      </c>
      <c r="D1159" s="149" t="str">
        <f>DL!C1156</f>
        <v>1 x 10 pcs</v>
      </c>
      <c r="E1159" s="150"/>
      <c r="F1159" s="463"/>
      <c r="G1159" s="150"/>
      <c r="H1159" s="150"/>
      <c r="I1159" s="150"/>
      <c r="J1159" s="150"/>
      <c r="K1159" s="168"/>
      <c r="L1159" s="500"/>
      <c r="M1159" s="150">
        <v>14000</v>
      </c>
      <c r="N1159" s="150"/>
      <c r="O1159" s="150"/>
      <c r="P1159" s="150"/>
      <c r="Q1159" s="150">
        <v>16875</v>
      </c>
      <c r="R1159" s="150"/>
      <c r="S1159" s="150"/>
      <c r="T1159" s="150"/>
      <c r="U1159" s="150"/>
      <c r="V1159" s="150"/>
      <c r="W1159" s="168"/>
      <c r="X1159" s="150"/>
      <c r="Y1159" s="150"/>
      <c r="Z1159" s="455"/>
      <c r="AA1159" s="150"/>
      <c r="AB1159" s="150"/>
      <c r="AC1159" s="150"/>
      <c r="AD1159" s="150"/>
      <c r="AE1159" s="150"/>
      <c r="AF1159" s="497">
        <v>0</v>
      </c>
      <c r="AG1159" s="150"/>
      <c r="AH1159" s="500"/>
      <c r="AI1159" s="150"/>
      <c r="AJ1159" s="150"/>
      <c r="AK1159" s="150"/>
      <c r="AL1159" s="150"/>
      <c r="AM1159" s="150"/>
      <c r="AN1159" s="150"/>
      <c r="AO1159" s="150"/>
      <c r="AP1159" s="150"/>
      <c r="AQ1159" s="150"/>
      <c r="AR1159" s="151"/>
      <c r="AS1159" s="456"/>
      <c r="AT1159" s="151"/>
      <c r="AU1159" s="150"/>
      <c r="AV1159" s="487"/>
      <c r="AW1159" s="150"/>
      <c r="AX1159" s="150"/>
      <c r="AY1159" s="150"/>
      <c r="AZ1159" s="150"/>
      <c r="BA1159" s="150"/>
      <c r="BB1159" s="150"/>
      <c r="BC1159" s="150"/>
      <c r="BD1159" s="150"/>
      <c r="BE1159" s="150"/>
      <c r="BF1159" s="150"/>
      <c r="BG1159" s="150"/>
      <c r="BH1159" s="150"/>
      <c r="BI1159" s="150">
        <f>10*1000</f>
        <v>10000</v>
      </c>
      <c r="BJ1159" s="150"/>
      <c r="BK1159" s="512">
        <v>10000</v>
      </c>
      <c r="BL1159" s="160"/>
      <c r="BM1159" s="150"/>
      <c r="BN1159" s="150"/>
      <c r="BO1159" s="150"/>
      <c r="BP1159" s="152"/>
      <c r="BQ1159" s="160"/>
      <c r="BR1159" s="152"/>
      <c r="BS1159" s="160"/>
    </row>
    <row r="1160" spans="1:71" ht="23.25" x14ac:dyDescent="0.3">
      <c r="A1160" s="420">
        <f>DL!A1157</f>
        <v>1041</v>
      </c>
      <c r="B1160" s="19" t="s">
        <v>1962</v>
      </c>
      <c r="C1160" s="149">
        <f>DL!L1157</f>
        <v>1</v>
      </c>
      <c r="D1160" s="149" t="str">
        <f>DL!C1157</f>
        <v>1 x 10 pcs</v>
      </c>
      <c r="E1160" s="150"/>
      <c r="F1160" s="463"/>
      <c r="G1160" s="150"/>
      <c r="H1160" s="150"/>
      <c r="I1160" s="150"/>
      <c r="J1160" s="150"/>
      <c r="K1160" s="168"/>
      <c r="L1160" s="500"/>
      <c r="M1160" s="150">
        <v>17000</v>
      </c>
      <c r="N1160" s="150"/>
      <c r="O1160" s="150"/>
      <c r="P1160" s="150"/>
      <c r="Q1160" s="150">
        <v>21875</v>
      </c>
      <c r="R1160" s="150"/>
      <c r="S1160" s="150"/>
      <c r="T1160" s="150"/>
      <c r="U1160" s="150"/>
      <c r="V1160" s="150"/>
      <c r="W1160" s="168"/>
      <c r="X1160" s="150"/>
      <c r="Y1160" s="150"/>
      <c r="Z1160" s="455"/>
      <c r="AA1160" s="150"/>
      <c r="AB1160" s="150"/>
      <c r="AC1160" s="150"/>
      <c r="AD1160" s="150"/>
      <c r="AE1160" s="150"/>
      <c r="AF1160" s="497">
        <v>0</v>
      </c>
      <c r="AG1160" s="150"/>
      <c r="AH1160" s="500"/>
      <c r="AI1160" s="150"/>
      <c r="AJ1160" s="150"/>
      <c r="AK1160" s="150"/>
      <c r="AL1160" s="150"/>
      <c r="AM1160" s="150"/>
      <c r="AN1160" s="150"/>
      <c r="AO1160" s="150"/>
      <c r="AP1160" s="150"/>
      <c r="AQ1160" s="150"/>
      <c r="AR1160" s="151"/>
      <c r="AS1160" s="456"/>
      <c r="AT1160" s="151"/>
      <c r="AU1160" s="150"/>
      <c r="AV1160" s="487"/>
      <c r="AW1160" s="150"/>
      <c r="AX1160" s="150"/>
      <c r="AY1160" s="150"/>
      <c r="AZ1160" s="150"/>
      <c r="BA1160" s="150"/>
      <c r="BB1160" s="150"/>
      <c r="BC1160" s="150"/>
      <c r="BD1160" s="150"/>
      <c r="BE1160" s="150"/>
      <c r="BF1160" s="150"/>
      <c r="BG1160" s="150"/>
      <c r="BH1160" s="150"/>
      <c r="BI1160" s="150"/>
      <c r="BJ1160" s="150"/>
      <c r="BK1160" s="512">
        <v>15000</v>
      </c>
      <c r="BL1160" s="160"/>
      <c r="BM1160" s="150"/>
      <c r="BN1160" s="150"/>
      <c r="BO1160" s="150"/>
      <c r="BP1160" s="152"/>
      <c r="BQ1160" s="160"/>
      <c r="BR1160" s="152"/>
      <c r="BS1160" s="160"/>
    </row>
    <row r="1161" spans="1:71" ht="23.25" x14ac:dyDescent="0.3">
      <c r="A1161" s="420">
        <f>DL!A1158</f>
        <v>1042</v>
      </c>
      <c r="B1161" s="19" t="s">
        <v>1963</v>
      </c>
      <c r="C1161" s="149">
        <f>DL!L1158</f>
        <v>1</v>
      </c>
      <c r="D1161" s="149" t="str">
        <f>DL!C1158</f>
        <v>1 x 10 pcs</v>
      </c>
      <c r="E1161" s="150"/>
      <c r="F1161" s="463"/>
      <c r="G1161" s="150"/>
      <c r="H1161" s="150"/>
      <c r="I1161" s="150"/>
      <c r="J1161" s="150"/>
      <c r="K1161" s="168"/>
      <c r="L1161" s="500"/>
      <c r="M1161" s="150">
        <v>21000</v>
      </c>
      <c r="N1161" s="150"/>
      <c r="O1161" s="150"/>
      <c r="P1161" s="150"/>
      <c r="Q1161" s="150">
        <v>20625</v>
      </c>
      <c r="R1161" s="150"/>
      <c r="S1161" s="150"/>
      <c r="T1161" s="150"/>
      <c r="U1161" s="150"/>
      <c r="V1161" s="150"/>
      <c r="W1161" s="168"/>
      <c r="X1161" s="150"/>
      <c r="Y1161" s="150"/>
      <c r="Z1161" s="455"/>
      <c r="AA1161" s="150"/>
      <c r="AB1161" s="150"/>
      <c r="AC1161" s="150"/>
      <c r="AD1161" s="150"/>
      <c r="AE1161" s="150"/>
      <c r="AF1161" s="497">
        <v>0</v>
      </c>
      <c r="AG1161" s="150"/>
      <c r="AH1161" s="500"/>
      <c r="AI1161" s="150"/>
      <c r="AJ1161" s="150"/>
      <c r="AK1161" s="150"/>
      <c r="AL1161" s="150"/>
      <c r="AM1161" s="150"/>
      <c r="AN1161" s="150"/>
      <c r="AO1161" s="150"/>
      <c r="AP1161" s="150"/>
      <c r="AQ1161" s="150"/>
      <c r="AR1161" s="151"/>
      <c r="AS1161" s="456"/>
      <c r="AT1161" s="151"/>
      <c r="AU1161" s="150"/>
      <c r="AV1161" s="487"/>
      <c r="AW1161" s="150"/>
      <c r="AX1161" s="150"/>
      <c r="AY1161" s="150"/>
      <c r="AZ1161" s="150"/>
      <c r="BA1161" s="150"/>
      <c r="BB1161" s="150"/>
      <c r="BC1161" s="150"/>
      <c r="BD1161" s="150"/>
      <c r="BE1161" s="150"/>
      <c r="BF1161" s="150"/>
      <c r="BG1161" s="150"/>
      <c r="BH1161" s="150"/>
      <c r="BI1161" s="150"/>
      <c r="BJ1161" s="150"/>
      <c r="BK1161" s="512">
        <v>15000</v>
      </c>
      <c r="BL1161" s="160"/>
      <c r="BM1161" s="150"/>
      <c r="BN1161" s="150"/>
      <c r="BO1161" s="150"/>
      <c r="BP1161" s="152"/>
      <c r="BQ1161" s="160"/>
      <c r="BR1161" s="152"/>
      <c r="BS1161" s="160"/>
    </row>
    <row r="1162" spans="1:71" ht="23.25" x14ac:dyDescent="0.3">
      <c r="A1162" s="420">
        <f>DL!A1159</f>
        <v>1043</v>
      </c>
      <c r="B1162" s="19" t="s">
        <v>1964</v>
      </c>
      <c r="C1162" s="149">
        <f>DL!L1159</f>
        <v>24</v>
      </c>
      <c r="D1162" s="149" t="str">
        <f>DL!C1159</f>
        <v>1 x 50 pcs</v>
      </c>
      <c r="E1162" s="150"/>
      <c r="F1162" s="463"/>
      <c r="G1162" s="150"/>
      <c r="H1162" s="150"/>
      <c r="I1162" s="150"/>
      <c r="J1162" s="150"/>
      <c r="K1162" s="168"/>
      <c r="L1162" s="500"/>
      <c r="M1162" s="150">
        <v>3800</v>
      </c>
      <c r="N1162" s="150"/>
      <c r="O1162" s="150"/>
      <c r="P1162" s="150"/>
      <c r="Q1162" s="150">
        <v>4375</v>
      </c>
      <c r="R1162" s="150"/>
      <c r="S1162" s="150"/>
      <c r="T1162" s="150"/>
      <c r="U1162" s="150"/>
      <c r="V1162" s="150"/>
      <c r="W1162" s="168"/>
      <c r="X1162" s="150"/>
      <c r="Y1162" s="150"/>
      <c r="Z1162" s="455"/>
      <c r="AA1162" s="150"/>
      <c r="AB1162" s="150"/>
      <c r="AC1162" s="150">
        <v>3520</v>
      </c>
      <c r="AD1162" s="150"/>
      <c r="AE1162" s="150"/>
      <c r="AF1162" s="498">
        <v>5760</v>
      </c>
      <c r="AG1162" s="150"/>
      <c r="AH1162" s="500"/>
      <c r="AI1162" s="150"/>
      <c r="AJ1162" s="150"/>
      <c r="AK1162" s="150"/>
      <c r="AL1162" s="150"/>
      <c r="AM1162" s="150"/>
      <c r="AN1162" s="150"/>
      <c r="AO1162" s="150"/>
      <c r="AP1162" s="150"/>
      <c r="AQ1162" s="150"/>
      <c r="AR1162" s="151"/>
      <c r="AS1162" s="456"/>
      <c r="AT1162" s="151"/>
      <c r="AU1162" s="150"/>
      <c r="AV1162" s="487"/>
      <c r="AW1162" s="150"/>
      <c r="AX1162" s="150"/>
      <c r="AY1162" s="150"/>
      <c r="AZ1162" s="150"/>
      <c r="BA1162" s="150"/>
      <c r="BB1162" s="150"/>
      <c r="BC1162" s="150"/>
      <c r="BD1162" s="150"/>
      <c r="BE1162" s="150"/>
      <c r="BF1162" s="150"/>
      <c r="BG1162" s="150"/>
      <c r="BH1162" s="150"/>
      <c r="BI1162" s="150"/>
      <c r="BJ1162" s="150"/>
      <c r="BK1162" s="512">
        <v>3500</v>
      </c>
      <c r="BL1162" s="160"/>
      <c r="BM1162" s="150"/>
      <c r="BN1162" s="150"/>
      <c r="BO1162" s="150"/>
      <c r="BP1162" s="152"/>
      <c r="BQ1162" s="160"/>
      <c r="BR1162" s="152"/>
      <c r="BS1162" s="160"/>
    </row>
    <row r="1163" spans="1:71" ht="23.25" x14ac:dyDescent="0.3">
      <c r="A1163" s="420">
        <f>DL!A1160</f>
        <v>1044</v>
      </c>
      <c r="B1163" s="19" t="s">
        <v>1965</v>
      </c>
      <c r="C1163" s="149">
        <f>DL!L1160</f>
        <v>24</v>
      </c>
      <c r="D1163" s="149" t="str">
        <f>DL!C1160</f>
        <v>1 x 50 pcs</v>
      </c>
      <c r="E1163" s="150"/>
      <c r="F1163" s="463"/>
      <c r="G1163" s="150"/>
      <c r="H1163" s="150"/>
      <c r="I1163" s="150"/>
      <c r="J1163" s="150"/>
      <c r="K1163" s="168"/>
      <c r="L1163" s="500"/>
      <c r="M1163" s="150">
        <v>5800</v>
      </c>
      <c r="N1163" s="150"/>
      <c r="O1163" s="150"/>
      <c r="P1163" s="150"/>
      <c r="Q1163" s="150">
        <v>6250</v>
      </c>
      <c r="R1163" s="150"/>
      <c r="S1163" s="150"/>
      <c r="T1163" s="150"/>
      <c r="U1163" s="150"/>
      <c r="V1163" s="150"/>
      <c r="W1163" s="168"/>
      <c r="X1163" s="150"/>
      <c r="Y1163" s="150"/>
      <c r="Z1163" s="455"/>
      <c r="AA1163" s="150"/>
      <c r="AB1163" s="150"/>
      <c r="AC1163" s="150">
        <v>5260</v>
      </c>
      <c r="AD1163" s="150"/>
      <c r="AE1163" s="150"/>
      <c r="AF1163" s="498">
        <v>8320</v>
      </c>
      <c r="AG1163" s="150"/>
      <c r="AH1163" s="500"/>
      <c r="AI1163" s="150"/>
      <c r="AJ1163" s="150"/>
      <c r="AK1163" s="150"/>
      <c r="AL1163" s="150"/>
      <c r="AM1163" s="150"/>
      <c r="AN1163" s="150"/>
      <c r="AO1163" s="150"/>
      <c r="AP1163" s="150"/>
      <c r="AQ1163" s="150"/>
      <c r="AR1163" s="151"/>
      <c r="AS1163" s="456"/>
      <c r="AT1163" s="151"/>
      <c r="AU1163" s="150"/>
      <c r="AV1163" s="487"/>
      <c r="AW1163" s="150"/>
      <c r="AX1163" s="150"/>
      <c r="AY1163" s="150"/>
      <c r="AZ1163" s="150"/>
      <c r="BA1163" s="150"/>
      <c r="BB1163" s="150"/>
      <c r="BC1163" s="150"/>
      <c r="BD1163" s="150"/>
      <c r="BE1163" s="150"/>
      <c r="BF1163" s="150"/>
      <c r="BG1163" s="150"/>
      <c r="BH1163" s="150"/>
      <c r="BI1163" s="150">
        <v>5700</v>
      </c>
      <c r="BJ1163" s="150"/>
      <c r="BK1163" s="512">
        <v>5500</v>
      </c>
      <c r="BL1163" s="160"/>
      <c r="BM1163" s="150"/>
      <c r="BN1163" s="150"/>
      <c r="BO1163" s="150"/>
      <c r="BP1163" s="152"/>
      <c r="BQ1163" s="160"/>
      <c r="BR1163" s="152"/>
      <c r="BS1163" s="160"/>
    </row>
    <row r="1164" spans="1:71" ht="23.25" x14ac:dyDescent="0.3">
      <c r="A1164" s="420">
        <f>DL!A1161</f>
        <v>1045</v>
      </c>
      <c r="B1164" s="19" t="s">
        <v>1966</v>
      </c>
      <c r="C1164" s="149">
        <f>DL!L1161</f>
        <v>24</v>
      </c>
      <c r="D1164" s="149" t="str">
        <f>DL!C1161</f>
        <v>1 x 50 pcs</v>
      </c>
      <c r="E1164" s="150"/>
      <c r="F1164" s="463"/>
      <c r="G1164" s="150"/>
      <c r="H1164" s="150"/>
      <c r="I1164" s="150"/>
      <c r="J1164" s="150"/>
      <c r="K1164" s="168"/>
      <c r="L1164" s="500"/>
      <c r="M1164" s="150">
        <v>4800</v>
      </c>
      <c r="N1164" s="150"/>
      <c r="O1164" s="150"/>
      <c r="P1164" s="150"/>
      <c r="Q1164" s="150">
        <v>5000</v>
      </c>
      <c r="R1164" s="150"/>
      <c r="S1164" s="150"/>
      <c r="T1164" s="150"/>
      <c r="U1164" s="150"/>
      <c r="V1164" s="150"/>
      <c r="W1164" s="168"/>
      <c r="X1164" s="150"/>
      <c r="Y1164" s="150"/>
      <c r="Z1164" s="455"/>
      <c r="AA1164" s="150"/>
      <c r="AB1164" s="150"/>
      <c r="AC1164" s="150">
        <v>3630</v>
      </c>
      <c r="AD1164" s="150"/>
      <c r="AE1164" s="150"/>
      <c r="AF1164" s="498">
        <v>5760</v>
      </c>
      <c r="AG1164" s="150"/>
      <c r="AH1164" s="500"/>
      <c r="AI1164" s="150"/>
      <c r="AJ1164" s="150"/>
      <c r="AK1164" s="150"/>
      <c r="AL1164" s="150"/>
      <c r="AM1164" s="150"/>
      <c r="AN1164" s="150"/>
      <c r="AO1164" s="150"/>
      <c r="AP1164" s="150"/>
      <c r="AQ1164" s="150"/>
      <c r="AR1164" s="151"/>
      <c r="AS1164" s="456"/>
      <c r="AT1164" s="151"/>
      <c r="AU1164" s="150"/>
      <c r="AV1164" s="487"/>
      <c r="AW1164" s="150"/>
      <c r="AX1164" s="150"/>
      <c r="AY1164" s="150"/>
      <c r="AZ1164" s="150"/>
      <c r="BA1164" s="150"/>
      <c r="BB1164" s="150"/>
      <c r="BC1164" s="150"/>
      <c r="BD1164" s="150"/>
      <c r="BE1164" s="150"/>
      <c r="BF1164" s="150"/>
      <c r="BG1164" s="150"/>
      <c r="BH1164" s="150"/>
      <c r="BI1164" s="150">
        <v>3900</v>
      </c>
      <c r="BJ1164" s="150"/>
      <c r="BK1164" s="512">
        <v>3500</v>
      </c>
      <c r="BL1164" s="160"/>
      <c r="BM1164" s="150"/>
      <c r="BN1164" s="150"/>
      <c r="BO1164" s="150"/>
      <c r="BP1164" s="152"/>
      <c r="BQ1164" s="160"/>
      <c r="BR1164" s="152"/>
      <c r="BS1164" s="160"/>
    </row>
    <row r="1165" spans="1:71" ht="23.25" x14ac:dyDescent="0.3">
      <c r="A1165" s="420">
        <f>DL!A1162</f>
        <v>1046</v>
      </c>
      <c r="B1165" s="19" t="s">
        <v>1967</v>
      </c>
      <c r="C1165" s="149">
        <f>DL!L1162</f>
        <v>24</v>
      </c>
      <c r="D1165" s="149" t="str">
        <f>DL!C1162</f>
        <v>1 x 25</v>
      </c>
      <c r="E1165" s="150"/>
      <c r="F1165" s="463"/>
      <c r="G1165" s="150"/>
      <c r="H1165" s="150"/>
      <c r="I1165" s="150"/>
      <c r="J1165" s="150"/>
      <c r="K1165" s="168"/>
      <c r="L1165" s="500"/>
      <c r="M1165" s="150">
        <v>3200</v>
      </c>
      <c r="N1165" s="150"/>
      <c r="O1165" s="150"/>
      <c r="P1165" s="150"/>
      <c r="Q1165" s="150">
        <v>3750</v>
      </c>
      <c r="R1165" s="150"/>
      <c r="S1165" s="150"/>
      <c r="T1165" s="150"/>
      <c r="U1165" s="150"/>
      <c r="V1165" s="150"/>
      <c r="W1165" s="168"/>
      <c r="X1165" s="150"/>
      <c r="Y1165" s="150"/>
      <c r="Z1165" s="455"/>
      <c r="AA1165" s="150"/>
      <c r="AB1165" s="150"/>
      <c r="AC1165" s="150">
        <v>3300</v>
      </c>
      <c r="AD1165" s="150"/>
      <c r="AE1165" s="150"/>
      <c r="AF1165" s="498">
        <v>4480</v>
      </c>
      <c r="AG1165" s="150"/>
      <c r="AH1165" s="500"/>
      <c r="AI1165" s="150"/>
      <c r="AJ1165" s="150"/>
      <c r="AK1165" s="150"/>
      <c r="AL1165" s="150"/>
      <c r="AM1165" s="150"/>
      <c r="AN1165" s="150"/>
      <c r="AO1165" s="150"/>
      <c r="AP1165" s="150"/>
      <c r="AQ1165" s="150"/>
      <c r="AR1165" s="151"/>
      <c r="AS1165" s="456"/>
      <c r="AT1165" s="151"/>
      <c r="AU1165" s="150"/>
      <c r="AV1165" s="487"/>
      <c r="AW1165" s="150"/>
      <c r="AX1165" s="150"/>
      <c r="AY1165" s="150"/>
      <c r="AZ1165" s="150"/>
      <c r="BA1165" s="150"/>
      <c r="BB1165" s="150"/>
      <c r="BC1165" s="150"/>
      <c r="BD1165" s="150"/>
      <c r="BE1165" s="150"/>
      <c r="BF1165" s="150"/>
      <c r="BG1165" s="150"/>
      <c r="BH1165" s="150"/>
      <c r="BI1165" s="150"/>
      <c r="BJ1165" s="150"/>
      <c r="BK1165" s="512">
        <v>3500</v>
      </c>
      <c r="BL1165" s="160"/>
      <c r="BM1165" s="150"/>
      <c r="BN1165" s="150"/>
      <c r="BO1165" s="150"/>
      <c r="BP1165" s="152"/>
      <c r="BQ1165" s="160"/>
      <c r="BR1165" s="152"/>
      <c r="BS1165" s="160"/>
    </row>
    <row r="1166" spans="1:71" ht="23.25" x14ac:dyDescent="0.3">
      <c r="A1166" s="420">
        <f>DL!A1163</f>
        <v>1047</v>
      </c>
      <c r="B1166" s="19" t="s">
        <v>1968</v>
      </c>
      <c r="C1166" s="149">
        <f>DL!L1163</f>
        <v>24</v>
      </c>
      <c r="D1166" s="149" t="str">
        <f>DL!C1163</f>
        <v>1 x 100 pcs</v>
      </c>
      <c r="E1166" s="150"/>
      <c r="F1166" s="463"/>
      <c r="G1166" s="150"/>
      <c r="H1166" s="150"/>
      <c r="I1166" s="150"/>
      <c r="J1166" s="150"/>
      <c r="K1166" s="168"/>
      <c r="L1166" s="500"/>
      <c r="M1166" s="150"/>
      <c r="N1166" s="150"/>
      <c r="O1166" s="150"/>
      <c r="P1166" s="150"/>
      <c r="Q1166" s="150">
        <v>3750</v>
      </c>
      <c r="R1166" s="150"/>
      <c r="S1166" s="150"/>
      <c r="T1166" s="150"/>
      <c r="U1166" s="150"/>
      <c r="V1166" s="150"/>
      <c r="W1166" s="168"/>
      <c r="X1166" s="150"/>
      <c r="Y1166" s="150"/>
      <c r="Z1166" s="455"/>
      <c r="AA1166" s="150"/>
      <c r="AB1166" s="150"/>
      <c r="AC1166" s="150">
        <v>3000</v>
      </c>
      <c r="AD1166" s="150"/>
      <c r="AE1166" s="150"/>
      <c r="AF1166" s="498">
        <v>3584</v>
      </c>
      <c r="AG1166" s="150"/>
      <c r="AH1166" s="500"/>
      <c r="AI1166" s="150"/>
      <c r="AJ1166" s="150"/>
      <c r="AK1166" s="150"/>
      <c r="AL1166" s="150"/>
      <c r="AM1166" s="150"/>
      <c r="AN1166" s="150"/>
      <c r="AO1166" s="150"/>
      <c r="AP1166" s="150"/>
      <c r="AQ1166" s="150"/>
      <c r="AR1166" s="151"/>
      <c r="AS1166" s="456"/>
      <c r="AT1166" s="151"/>
      <c r="AU1166" s="150"/>
      <c r="AV1166" s="487"/>
      <c r="AW1166" s="150"/>
      <c r="AX1166" s="150"/>
      <c r="AY1166" s="150"/>
      <c r="AZ1166" s="150"/>
      <c r="BA1166" s="150"/>
      <c r="BB1166" s="150"/>
      <c r="BC1166" s="150"/>
      <c r="BD1166" s="150"/>
      <c r="BE1166" s="150"/>
      <c r="BF1166" s="150"/>
      <c r="BG1166" s="150"/>
      <c r="BH1166" s="150"/>
      <c r="BI1166" s="150">
        <v>3600</v>
      </c>
      <c r="BJ1166" s="150"/>
      <c r="BK1166" s="512">
        <v>2800</v>
      </c>
      <c r="BL1166" s="160"/>
      <c r="BM1166" s="150"/>
      <c r="BN1166" s="150"/>
      <c r="BO1166" s="150"/>
      <c r="BP1166" s="152"/>
      <c r="BQ1166" s="160"/>
      <c r="BR1166" s="152"/>
      <c r="BS1166" s="160"/>
    </row>
    <row r="1167" spans="1:71" ht="23.25" x14ac:dyDescent="0.3">
      <c r="A1167" s="420">
        <f>DL!A1164</f>
        <v>1048</v>
      </c>
      <c r="B1167" s="19" t="s">
        <v>1969</v>
      </c>
      <c r="C1167" s="149">
        <f>DL!L1164</f>
        <v>5</v>
      </c>
      <c r="D1167" s="149" t="str">
        <f>DL!C1164</f>
        <v>1 x 400 pcs</v>
      </c>
      <c r="E1167" s="150"/>
      <c r="F1167" s="463"/>
      <c r="G1167" s="150"/>
      <c r="H1167" s="150"/>
      <c r="I1167" s="150"/>
      <c r="J1167" s="150"/>
      <c r="K1167" s="168"/>
      <c r="L1167" s="500"/>
      <c r="M1167" s="150">
        <v>12000</v>
      </c>
      <c r="N1167" s="150"/>
      <c r="O1167" s="150"/>
      <c r="P1167" s="150"/>
      <c r="Q1167" s="150">
        <v>13750</v>
      </c>
      <c r="R1167" s="150"/>
      <c r="S1167" s="150"/>
      <c r="T1167" s="150"/>
      <c r="U1167" s="150"/>
      <c r="V1167" s="150"/>
      <c r="W1167" s="168"/>
      <c r="X1167" s="150"/>
      <c r="Y1167" s="150"/>
      <c r="Z1167" s="455"/>
      <c r="AA1167" s="150"/>
      <c r="AB1167" s="150"/>
      <c r="AC1167" s="150">
        <v>11550</v>
      </c>
      <c r="AD1167" s="150"/>
      <c r="AE1167" s="150"/>
      <c r="AF1167" s="498">
        <v>14080</v>
      </c>
      <c r="AG1167" s="150"/>
      <c r="AH1167" s="500"/>
      <c r="AI1167" s="150"/>
      <c r="AJ1167" s="150"/>
      <c r="AK1167" s="150"/>
      <c r="AL1167" s="150"/>
      <c r="AM1167" s="150"/>
      <c r="AN1167" s="150"/>
      <c r="AO1167" s="150"/>
      <c r="AP1167" s="150"/>
      <c r="AQ1167" s="150"/>
      <c r="AR1167" s="151"/>
      <c r="AS1167" s="456"/>
      <c r="AT1167" s="151"/>
      <c r="AU1167" s="150"/>
      <c r="AV1167" s="487"/>
      <c r="AW1167" s="150"/>
      <c r="AX1167" s="150"/>
      <c r="AY1167" s="150"/>
      <c r="AZ1167" s="150"/>
      <c r="BA1167" s="150"/>
      <c r="BB1167" s="150"/>
      <c r="BC1167" s="150"/>
      <c r="BD1167" s="150"/>
      <c r="BE1167" s="150"/>
      <c r="BF1167" s="150"/>
      <c r="BG1167" s="150"/>
      <c r="BH1167" s="150"/>
      <c r="BI1167" s="150">
        <v>13000</v>
      </c>
      <c r="BJ1167" s="150"/>
      <c r="BK1167" s="512">
        <v>12500</v>
      </c>
      <c r="BL1167" s="160"/>
      <c r="BM1167" s="150"/>
      <c r="BN1167" s="150"/>
      <c r="BO1167" s="150"/>
      <c r="BP1167" s="152"/>
      <c r="BQ1167" s="160"/>
      <c r="BR1167" s="152"/>
      <c r="BS1167" s="160"/>
    </row>
    <row r="1168" spans="1:71" ht="23.25" x14ac:dyDescent="0.3">
      <c r="A1168" s="420">
        <f>DL!A1165</f>
        <v>1049</v>
      </c>
      <c r="B1168" s="19" t="s">
        <v>1970</v>
      </c>
      <c r="C1168" s="149">
        <f>DL!L1165</f>
        <v>24</v>
      </c>
      <c r="D1168" s="149" t="str">
        <f>DL!C1165</f>
        <v>1 x 200 pcs</v>
      </c>
      <c r="E1168" s="150"/>
      <c r="F1168" s="463"/>
      <c r="G1168" s="150"/>
      <c r="H1168" s="150"/>
      <c r="I1168" s="150"/>
      <c r="J1168" s="150"/>
      <c r="K1168" s="168"/>
      <c r="L1168" s="500"/>
      <c r="M1168" s="150">
        <v>600</v>
      </c>
      <c r="N1168" s="150"/>
      <c r="O1168" s="150"/>
      <c r="P1168" s="150"/>
      <c r="Q1168" s="150">
        <v>875</v>
      </c>
      <c r="R1168" s="150"/>
      <c r="S1168" s="150"/>
      <c r="T1168" s="150"/>
      <c r="U1168" s="150"/>
      <c r="V1168" s="150"/>
      <c r="W1168" s="168"/>
      <c r="X1168" s="150"/>
      <c r="Y1168" s="150"/>
      <c r="Z1168" s="455"/>
      <c r="AA1168" s="150"/>
      <c r="AB1168" s="150"/>
      <c r="AC1168" s="150">
        <v>670</v>
      </c>
      <c r="AD1168" s="150"/>
      <c r="AE1168" s="150"/>
      <c r="AF1168" s="498">
        <v>896</v>
      </c>
      <c r="AG1168" s="150"/>
      <c r="AH1168" s="500"/>
      <c r="AI1168" s="150"/>
      <c r="AJ1168" s="150"/>
      <c r="AK1168" s="150"/>
      <c r="AL1168" s="150"/>
      <c r="AM1168" s="150"/>
      <c r="AN1168" s="150"/>
      <c r="AO1168" s="150"/>
      <c r="AP1168" s="150"/>
      <c r="AQ1168" s="150"/>
      <c r="AR1168" s="151"/>
      <c r="AS1168" s="456"/>
      <c r="AT1168" s="151"/>
      <c r="AU1168" s="150"/>
      <c r="AV1168" s="487"/>
      <c r="AW1168" s="150"/>
      <c r="AX1168" s="150"/>
      <c r="AY1168" s="150"/>
      <c r="AZ1168" s="150"/>
      <c r="BA1168" s="150"/>
      <c r="BB1168" s="150"/>
      <c r="BC1168" s="150"/>
      <c r="BD1168" s="150"/>
      <c r="BE1168" s="150"/>
      <c r="BF1168" s="150"/>
      <c r="BG1168" s="150"/>
      <c r="BH1168" s="150"/>
      <c r="BI1168" s="150">
        <v>780</v>
      </c>
      <c r="BJ1168" s="150"/>
      <c r="BK1168" s="512">
        <v>650</v>
      </c>
      <c r="BL1168" s="160"/>
      <c r="BM1168" s="150"/>
      <c r="BN1168" s="150"/>
      <c r="BO1168" s="150"/>
      <c r="BP1168" s="152"/>
      <c r="BQ1168" s="160"/>
      <c r="BR1168" s="152"/>
      <c r="BS1168" s="160"/>
    </row>
    <row r="1169" spans="1:71" ht="23.25" x14ac:dyDescent="0.3">
      <c r="A1169" s="420">
        <f>DL!A1166</f>
        <v>1050</v>
      </c>
      <c r="B1169" s="19" t="s">
        <v>1971</v>
      </c>
      <c r="C1169" s="149">
        <f>DL!L1166</f>
        <v>3</v>
      </c>
      <c r="D1169" s="149" t="str">
        <f>DL!C1166</f>
        <v>1 x 200 pcs</v>
      </c>
      <c r="E1169" s="150"/>
      <c r="F1169" s="463"/>
      <c r="G1169" s="150"/>
      <c r="H1169" s="150"/>
      <c r="I1169" s="150"/>
      <c r="J1169" s="150"/>
      <c r="K1169" s="168"/>
      <c r="L1169" s="500"/>
      <c r="M1169" s="150">
        <v>10500</v>
      </c>
      <c r="N1169" s="150"/>
      <c r="O1169" s="150"/>
      <c r="P1169" s="150"/>
      <c r="Q1169" s="150">
        <v>11250</v>
      </c>
      <c r="R1169" s="150"/>
      <c r="S1169" s="150"/>
      <c r="T1169" s="150"/>
      <c r="U1169" s="150"/>
      <c r="V1169" s="150"/>
      <c r="W1169" s="168"/>
      <c r="X1169" s="150"/>
      <c r="Y1169" s="150"/>
      <c r="Z1169" s="455"/>
      <c r="AA1169" s="150"/>
      <c r="AB1169" s="150"/>
      <c r="AC1169" s="150">
        <v>9520</v>
      </c>
      <c r="AD1169" s="150"/>
      <c r="AE1169" s="150"/>
      <c r="AF1169" s="498">
        <v>10880</v>
      </c>
      <c r="AG1169" s="150"/>
      <c r="AH1169" s="500"/>
      <c r="AI1169" s="150"/>
      <c r="AJ1169" s="150"/>
      <c r="AK1169" s="150"/>
      <c r="AL1169" s="150"/>
      <c r="AM1169" s="150"/>
      <c r="AN1169" s="150"/>
      <c r="AO1169" s="150"/>
      <c r="AP1169" s="150"/>
      <c r="AQ1169" s="150"/>
      <c r="AR1169" s="151"/>
      <c r="AS1169" s="456"/>
      <c r="AT1169" s="151"/>
      <c r="AU1169" s="150"/>
      <c r="AV1169" s="487"/>
      <c r="AW1169" s="150"/>
      <c r="AX1169" s="150"/>
      <c r="AY1169" s="150"/>
      <c r="AZ1169" s="150"/>
      <c r="BA1169" s="150"/>
      <c r="BB1169" s="150"/>
      <c r="BC1169" s="150"/>
      <c r="BD1169" s="150"/>
      <c r="BE1169" s="150"/>
      <c r="BF1169" s="150"/>
      <c r="BG1169" s="150"/>
      <c r="BH1169" s="150"/>
      <c r="BI1169" s="150">
        <v>10625</v>
      </c>
      <c r="BJ1169" s="150"/>
      <c r="BK1169" s="512">
        <v>10000</v>
      </c>
      <c r="BL1169" s="160"/>
      <c r="BM1169" s="150"/>
      <c r="BN1169" s="150"/>
      <c r="BO1169" s="150"/>
      <c r="BP1169" s="152"/>
      <c r="BQ1169" s="160"/>
      <c r="BR1169" s="152"/>
      <c r="BS1169" s="160"/>
    </row>
    <row r="1170" spans="1:71" ht="23.25" x14ac:dyDescent="0.3">
      <c r="A1170" s="420">
        <f>DL!A1167</f>
        <v>1051</v>
      </c>
      <c r="B1170" s="19" t="s">
        <v>1599</v>
      </c>
      <c r="C1170" s="149">
        <f>DL!L1167</f>
        <v>24</v>
      </c>
      <c r="D1170" s="149" t="str">
        <f>DL!C1167</f>
        <v>-</v>
      </c>
      <c r="E1170" s="150"/>
      <c r="F1170" s="463"/>
      <c r="G1170" s="150"/>
      <c r="H1170" s="150"/>
      <c r="I1170" s="150"/>
      <c r="J1170" s="150"/>
      <c r="K1170" s="168"/>
      <c r="L1170" s="500"/>
      <c r="M1170" s="150">
        <v>380</v>
      </c>
      <c r="N1170" s="150"/>
      <c r="O1170" s="150"/>
      <c r="P1170" s="150"/>
      <c r="Q1170" s="150">
        <v>500</v>
      </c>
      <c r="R1170" s="150"/>
      <c r="S1170" s="150"/>
      <c r="T1170" s="150"/>
      <c r="U1170" s="150"/>
      <c r="V1170" s="150"/>
      <c r="W1170" s="168"/>
      <c r="X1170" s="150"/>
      <c r="Y1170" s="150"/>
      <c r="Z1170" s="455"/>
      <c r="AA1170" s="150"/>
      <c r="AB1170" s="150"/>
      <c r="AC1170" s="150"/>
      <c r="AD1170" s="150"/>
      <c r="AE1170" s="150"/>
      <c r="AF1170" s="498">
        <v>448</v>
      </c>
      <c r="AG1170" s="150"/>
      <c r="AH1170" s="500"/>
      <c r="AI1170" s="150"/>
      <c r="AJ1170" s="150"/>
      <c r="AK1170" s="150"/>
      <c r="AL1170" s="150"/>
      <c r="AM1170" s="150"/>
      <c r="AN1170" s="150"/>
      <c r="AO1170" s="150"/>
      <c r="AP1170" s="150"/>
      <c r="AQ1170" s="150"/>
      <c r="AR1170" s="151"/>
      <c r="AS1170" s="456"/>
      <c r="AT1170" s="151"/>
      <c r="AU1170" s="150"/>
      <c r="AV1170" s="487"/>
      <c r="AW1170" s="150"/>
      <c r="AX1170" s="150"/>
      <c r="AY1170" s="150"/>
      <c r="AZ1170" s="150"/>
      <c r="BA1170" s="150"/>
      <c r="BB1170" s="150"/>
      <c r="BC1170" s="150"/>
      <c r="BD1170" s="150"/>
      <c r="BE1170" s="150"/>
      <c r="BF1170" s="150"/>
      <c r="BG1170" s="150"/>
      <c r="BH1170" s="150"/>
      <c r="BI1170" s="150">
        <v>500</v>
      </c>
      <c r="BJ1170" s="150"/>
      <c r="BK1170" s="513">
        <v>500</v>
      </c>
      <c r="BL1170" s="160"/>
      <c r="BM1170" s="150"/>
      <c r="BN1170" s="150"/>
      <c r="BO1170" s="150"/>
      <c r="BP1170" s="152"/>
      <c r="BQ1170" s="160"/>
      <c r="BR1170" s="152"/>
      <c r="BS1170" s="160"/>
    </row>
    <row r="1171" spans="1:71" ht="23.25" x14ac:dyDescent="0.3">
      <c r="A1171" s="420">
        <f>DL!A1168</f>
        <v>1052</v>
      </c>
      <c r="B1171" s="19" t="s">
        <v>1787</v>
      </c>
      <c r="C1171" s="149">
        <f>DL!L1168</f>
        <v>24</v>
      </c>
      <c r="D1171" s="149" t="str">
        <f>DL!C1168</f>
        <v>-</v>
      </c>
      <c r="E1171" s="150"/>
      <c r="F1171" s="463"/>
      <c r="G1171" s="150"/>
      <c r="H1171" s="150"/>
      <c r="I1171" s="150"/>
      <c r="J1171" s="150"/>
      <c r="K1171" s="168"/>
      <c r="L1171" s="500"/>
      <c r="M1171" s="150">
        <v>480</v>
      </c>
      <c r="N1171" s="150"/>
      <c r="O1171" s="150"/>
      <c r="P1171" s="150"/>
      <c r="Q1171" s="150">
        <v>468.75</v>
      </c>
      <c r="R1171" s="150"/>
      <c r="S1171" s="150"/>
      <c r="T1171" s="150"/>
      <c r="U1171" s="150"/>
      <c r="V1171" s="150"/>
      <c r="W1171" s="168"/>
      <c r="X1171" s="150"/>
      <c r="Y1171" s="150"/>
      <c r="Z1171" s="455"/>
      <c r="AA1171" s="150"/>
      <c r="AB1171" s="150"/>
      <c r="AC1171" s="150"/>
      <c r="AD1171" s="150"/>
      <c r="AE1171" s="150"/>
      <c r="AF1171" s="498">
        <v>704</v>
      </c>
      <c r="AG1171" s="150"/>
      <c r="AH1171" s="500"/>
      <c r="AI1171" s="150"/>
      <c r="AJ1171" s="150"/>
      <c r="AK1171" s="150"/>
      <c r="AL1171" s="150"/>
      <c r="AM1171" s="150"/>
      <c r="AN1171" s="150"/>
      <c r="AO1171" s="150"/>
      <c r="AP1171" s="150"/>
      <c r="AQ1171" s="150"/>
      <c r="AR1171" s="151"/>
      <c r="AS1171" s="456"/>
      <c r="AT1171" s="151"/>
      <c r="AU1171" s="150"/>
      <c r="AV1171" s="487"/>
      <c r="AW1171" s="150"/>
      <c r="AX1171" s="150"/>
      <c r="AY1171" s="150"/>
      <c r="AZ1171" s="150"/>
      <c r="BA1171" s="150"/>
      <c r="BB1171" s="150"/>
      <c r="BC1171" s="150"/>
      <c r="BD1171" s="150"/>
      <c r="BE1171" s="150"/>
      <c r="BF1171" s="150"/>
      <c r="BG1171" s="150"/>
      <c r="BH1171" s="150"/>
      <c r="BI1171" s="150">
        <v>350</v>
      </c>
      <c r="BJ1171" s="150"/>
      <c r="BK1171" s="513">
        <v>500</v>
      </c>
      <c r="BL1171" s="160"/>
      <c r="BM1171" s="150"/>
      <c r="BN1171" s="150"/>
      <c r="BO1171" s="150"/>
      <c r="BP1171" s="152"/>
      <c r="BQ1171" s="160"/>
      <c r="BR1171" s="152"/>
      <c r="BS1171" s="160"/>
    </row>
    <row r="1172" spans="1:71" ht="23.25" x14ac:dyDescent="0.3">
      <c r="A1172" s="420">
        <f>DL!A1169</f>
        <v>1053</v>
      </c>
      <c r="B1172" s="450" t="s">
        <v>1973</v>
      </c>
      <c r="C1172" s="149">
        <f>DL!L1169</f>
        <v>3</v>
      </c>
      <c r="D1172" s="149" t="str">
        <f>DL!C1169</f>
        <v>1 x 1000 pcs</v>
      </c>
      <c r="E1172" s="150"/>
      <c r="F1172" s="463"/>
      <c r="G1172" s="150"/>
      <c r="H1172" s="150"/>
      <c r="I1172" s="150"/>
      <c r="J1172" s="150"/>
      <c r="K1172" s="168"/>
      <c r="L1172" s="500"/>
      <c r="M1172" s="150">
        <v>18000</v>
      </c>
      <c r="N1172" s="150"/>
      <c r="O1172" s="150"/>
      <c r="P1172" s="150"/>
      <c r="Q1172" s="150">
        <v>41250</v>
      </c>
      <c r="R1172" s="150"/>
      <c r="S1172" s="150"/>
      <c r="T1172" s="150"/>
      <c r="U1172" s="150"/>
      <c r="V1172" s="150"/>
      <c r="W1172" s="168"/>
      <c r="X1172" s="150"/>
      <c r="Y1172" s="150"/>
      <c r="Z1172" s="455"/>
      <c r="AA1172" s="150"/>
      <c r="AB1172" s="150"/>
      <c r="AC1172" s="150">
        <v>16800</v>
      </c>
      <c r="AD1172" s="150"/>
      <c r="AE1172" s="150"/>
      <c r="AF1172" s="498">
        <v>23680</v>
      </c>
      <c r="AG1172" s="150"/>
      <c r="AH1172" s="500"/>
      <c r="AI1172" s="150"/>
      <c r="AJ1172" s="150"/>
      <c r="AK1172" s="150"/>
      <c r="AL1172" s="150"/>
      <c r="AM1172" s="150"/>
      <c r="AN1172" s="150"/>
      <c r="AO1172" s="150"/>
      <c r="AP1172" s="150"/>
      <c r="AQ1172" s="150"/>
      <c r="AR1172" s="151"/>
      <c r="AS1172" s="456"/>
      <c r="AT1172" s="151"/>
      <c r="AU1172" s="150"/>
      <c r="AV1172" s="487"/>
      <c r="AW1172" s="150"/>
      <c r="AX1172" s="150"/>
      <c r="AY1172" s="150"/>
      <c r="AZ1172" s="150"/>
      <c r="BA1172" s="150"/>
      <c r="BB1172" s="150"/>
      <c r="BC1172" s="150"/>
      <c r="BD1172" s="150"/>
      <c r="BE1172" s="150"/>
      <c r="BF1172" s="150"/>
      <c r="BG1172" s="150"/>
      <c r="BH1172" s="150"/>
      <c r="BI1172" s="150">
        <v>19500</v>
      </c>
      <c r="BJ1172" s="150"/>
      <c r="BK1172" s="512">
        <v>20000</v>
      </c>
      <c r="BL1172" s="160"/>
      <c r="BM1172" s="150"/>
      <c r="BN1172" s="150"/>
      <c r="BO1172" s="150"/>
      <c r="BP1172" s="152"/>
      <c r="BQ1172" s="160"/>
      <c r="BR1172" s="152"/>
      <c r="BS1172" s="160"/>
    </row>
    <row r="1173" spans="1:71" ht="23.25" x14ac:dyDescent="0.3">
      <c r="A1173" s="420">
        <f>DL!A1170</f>
        <v>1054</v>
      </c>
      <c r="B1173" s="19" t="s">
        <v>1972</v>
      </c>
      <c r="C1173" s="149">
        <f>DL!L1170</f>
        <v>2</v>
      </c>
      <c r="D1173" s="149" t="str">
        <f>DL!C1170</f>
        <v>1 x 100 pcs</v>
      </c>
      <c r="E1173" s="150"/>
      <c r="F1173" s="463"/>
      <c r="G1173" s="150"/>
      <c r="H1173" s="150"/>
      <c r="I1173" s="150"/>
      <c r="J1173" s="150"/>
      <c r="K1173" s="168"/>
      <c r="L1173" s="500"/>
      <c r="M1173" s="150">
        <v>2400</v>
      </c>
      <c r="N1173" s="150"/>
      <c r="O1173" s="150"/>
      <c r="P1173" s="150"/>
      <c r="Q1173" s="150">
        <v>1250</v>
      </c>
      <c r="R1173" s="150"/>
      <c r="S1173" s="150"/>
      <c r="T1173" s="150"/>
      <c r="U1173" s="150"/>
      <c r="V1173" s="150"/>
      <c r="W1173" s="168"/>
      <c r="X1173" s="150"/>
      <c r="Y1173" s="150"/>
      <c r="Z1173" s="455"/>
      <c r="AA1173" s="150"/>
      <c r="AB1173" s="150"/>
      <c r="AC1173" s="150">
        <v>1130</v>
      </c>
      <c r="AD1173" s="150"/>
      <c r="AE1173" s="150"/>
      <c r="AF1173" s="498">
        <v>8320</v>
      </c>
      <c r="AG1173" s="150"/>
      <c r="AH1173" s="500"/>
      <c r="AI1173" s="150"/>
      <c r="AJ1173" s="150"/>
      <c r="AK1173" s="150"/>
      <c r="AL1173" s="150"/>
      <c r="AM1173" s="150"/>
      <c r="AN1173" s="150"/>
      <c r="AO1173" s="150"/>
      <c r="AP1173" s="150"/>
      <c r="AQ1173" s="150"/>
      <c r="AR1173" s="151"/>
      <c r="AS1173" s="456"/>
      <c r="AT1173" s="151"/>
      <c r="AU1173" s="150"/>
      <c r="AV1173" s="487"/>
      <c r="AW1173" s="150"/>
      <c r="AX1173" s="150"/>
      <c r="AY1173" s="150"/>
      <c r="AZ1173" s="150"/>
      <c r="BA1173" s="150"/>
      <c r="BB1173" s="150"/>
      <c r="BC1173" s="150"/>
      <c r="BD1173" s="150"/>
      <c r="BE1173" s="150"/>
      <c r="BF1173" s="150"/>
      <c r="BG1173" s="150"/>
      <c r="BH1173" s="150"/>
      <c r="BI1173" s="150">
        <v>1300</v>
      </c>
      <c r="BJ1173" s="150"/>
      <c r="BK1173" s="512">
        <v>2000</v>
      </c>
      <c r="BL1173" s="160"/>
      <c r="BM1173" s="150"/>
      <c r="BN1173" s="150"/>
      <c r="BO1173" s="150"/>
      <c r="BP1173" s="152"/>
      <c r="BQ1173" s="160"/>
      <c r="BR1173" s="152"/>
      <c r="BS1173" s="160"/>
    </row>
    <row r="1174" spans="1:71" ht="23.25" x14ac:dyDescent="0.3">
      <c r="A1174" s="420"/>
      <c r="B1174" s="19"/>
      <c r="C1174" s="149">
        <f>DL!L1171</f>
        <v>0</v>
      </c>
      <c r="D1174" s="149">
        <f>DL!C1171</f>
        <v>0</v>
      </c>
      <c r="E1174" s="150"/>
      <c r="F1174" s="463"/>
      <c r="G1174" s="150"/>
      <c r="H1174" s="150"/>
      <c r="I1174" s="150"/>
      <c r="J1174" s="150"/>
      <c r="K1174" s="168"/>
      <c r="L1174" s="500"/>
      <c r="M1174" s="150"/>
      <c r="N1174" s="150"/>
      <c r="O1174" s="150"/>
      <c r="P1174" s="150"/>
      <c r="Q1174" s="150"/>
      <c r="R1174" s="150"/>
      <c r="S1174" s="150"/>
      <c r="T1174" s="150"/>
      <c r="U1174" s="150"/>
      <c r="V1174" s="150"/>
      <c r="W1174" s="168"/>
      <c r="X1174" s="150"/>
      <c r="Y1174" s="150"/>
      <c r="Z1174" s="455"/>
      <c r="AA1174" s="150"/>
      <c r="AB1174" s="150"/>
      <c r="AC1174" s="150"/>
      <c r="AD1174" s="150"/>
      <c r="AE1174" s="150"/>
      <c r="AF1174" s="499"/>
      <c r="AG1174" s="150"/>
      <c r="AH1174" s="500"/>
      <c r="AI1174" s="150"/>
      <c r="AJ1174" s="150"/>
      <c r="AK1174" s="150"/>
      <c r="AL1174" s="150"/>
      <c r="AM1174" s="150"/>
      <c r="AN1174" s="150"/>
      <c r="AO1174" s="150"/>
      <c r="AP1174" s="150"/>
      <c r="AQ1174" s="150"/>
      <c r="AR1174" s="151"/>
      <c r="AS1174" s="456"/>
      <c r="AT1174" s="151"/>
      <c r="AU1174" s="150"/>
      <c r="AV1174" s="487"/>
      <c r="AW1174" s="150"/>
      <c r="AX1174" s="150"/>
      <c r="AY1174" s="150"/>
      <c r="AZ1174" s="150"/>
      <c r="BA1174" s="150"/>
      <c r="BB1174" s="150"/>
      <c r="BC1174" s="150"/>
      <c r="BD1174" s="150"/>
      <c r="BE1174" s="150"/>
      <c r="BF1174" s="150"/>
      <c r="BG1174" s="150"/>
      <c r="BH1174" s="150"/>
      <c r="BI1174" s="150"/>
      <c r="BJ1174" s="150"/>
      <c r="BK1174" s="513"/>
      <c r="BL1174" s="160"/>
      <c r="BM1174" s="150"/>
      <c r="BN1174" s="150"/>
      <c r="BO1174" s="150"/>
      <c r="BP1174" s="152"/>
      <c r="BQ1174" s="160"/>
      <c r="BR1174" s="152"/>
      <c r="BS1174" s="160"/>
    </row>
    <row r="1175" spans="1:71" ht="23.25" x14ac:dyDescent="0.3">
      <c r="A1175" s="420"/>
      <c r="B1175" s="19"/>
      <c r="C1175" s="149">
        <f>DL!L1172</f>
        <v>0</v>
      </c>
      <c r="D1175" s="149">
        <f>DL!C1172</f>
        <v>0</v>
      </c>
      <c r="E1175" s="150"/>
      <c r="F1175" s="463"/>
      <c r="G1175" s="150"/>
      <c r="H1175" s="150"/>
      <c r="I1175" s="150"/>
      <c r="J1175" s="150"/>
      <c r="K1175" s="168"/>
      <c r="L1175" s="500"/>
      <c r="M1175" s="150"/>
      <c r="N1175" s="150"/>
      <c r="O1175" s="150"/>
      <c r="P1175" s="150"/>
      <c r="Q1175" s="150"/>
      <c r="R1175" s="150"/>
      <c r="S1175" s="150"/>
      <c r="T1175" s="150"/>
      <c r="U1175" s="150"/>
      <c r="V1175" s="150"/>
      <c r="W1175" s="168"/>
      <c r="X1175" s="150"/>
      <c r="Y1175" s="150"/>
      <c r="Z1175" s="455"/>
      <c r="AA1175" s="150"/>
      <c r="AB1175" s="150"/>
      <c r="AC1175" s="150"/>
      <c r="AD1175" s="150"/>
      <c r="AE1175" s="150"/>
      <c r="AF1175" s="499"/>
      <c r="AG1175" s="150"/>
      <c r="AH1175" s="500"/>
      <c r="AI1175" s="150"/>
      <c r="AJ1175" s="150"/>
      <c r="AK1175" s="150"/>
      <c r="AL1175" s="150"/>
      <c r="AM1175" s="150"/>
      <c r="AN1175" s="150"/>
      <c r="AO1175" s="150"/>
      <c r="AP1175" s="150"/>
      <c r="AQ1175" s="150"/>
      <c r="AR1175" s="151"/>
      <c r="AS1175" s="456"/>
      <c r="AT1175" s="151"/>
      <c r="AU1175" s="150"/>
      <c r="AV1175" s="487"/>
      <c r="AW1175" s="150"/>
      <c r="AX1175" s="150"/>
      <c r="AY1175" s="150"/>
      <c r="AZ1175" s="150"/>
      <c r="BA1175" s="150"/>
      <c r="BB1175" s="150"/>
      <c r="BC1175" s="150"/>
      <c r="BD1175" s="150"/>
      <c r="BE1175" s="150"/>
      <c r="BF1175" s="150"/>
      <c r="BG1175" s="150"/>
      <c r="BH1175" s="150"/>
      <c r="BI1175" s="150"/>
      <c r="BJ1175" s="150"/>
      <c r="BK1175" s="513"/>
      <c r="BL1175" s="160"/>
      <c r="BM1175" s="150"/>
      <c r="BN1175" s="150"/>
      <c r="BO1175" s="150"/>
      <c r="BP1175" s="152"/>
      <c r="BQ1175" s="160"/>
      <c r="BR1175" s="152"/>
      <c r="BS1175" s="160"/>
    </row>
    <row r="1176" spans="1:71" x14ac:dyDescent="0.3">
      <c r="A1176" s="420"/>
      <c r="B1176" s="20" t="s">
        <v>1987</v>
      </c>
      <c r="C1176" s="149">
        <f>DL!L1173</f>
        <v>0</v>
      </c>
      <c r="D1176" s="149">
        <f>DL!C1173</f>
        <v>0</v>
      </c>
      <c r="E1176" s="150"/>
      <c r="F1176" s="463"/>
      <c r="G1176" s="150"/>
      <c r="H1176" s="150"/>
      <c r="I1176" s="150"/>
      <c r="J1176" s="150"/>
      <c r="K1176" s="168"/>
      <c r="L1176" s="500"/>
      <c r="M1176" s="150"/>
      <c r="N1176" s="150"/>
      <c r="O1176" s="150"/>
      <c r="P1176" s="150"/>
      <c r="Q1176" s="150"/>
      <c r="R1176" s="150"/>
      <c r="S1176" s="150"/>
      <c r="T1176" s="150"/>
      <c r="U1176" s="150"/>
      <c r="V1176" s="150"/>
      <c r="W1176" s="168"/>
      <c r="X1176" s="150"/>
      <c r="Y1176" s="150"/>
      <c r="Z1176" s="455"/>
      <c r="AA1176" s="150"/>
      <c r="AB1176" s="150"/>
      <c r="AC1176" s="150"/>
      <c r="AD1176" s="150"/>
      <c r="AE1176" s="150"/>
      <c r="AF1176" s="499"/>
      <c r="AG1176" s="150"/>
      <c r="AH1176" s="500"/>
      <c r="AI1176" s="150"/>
      <c r="AJ1176" s="150"/>
      <c r="AK1176" s="150"/>
      <c r="AL1176" s="150"/>
      <c r="AM1176" s="150"/>
      <c r="AN1176" s="150"/>
      <c r="AO1176" s="150"/>
      <c r="AP1176" s="150"/>
      <c r="AQ1176" s="150"/>
      <c r="AR1176" s="151"/>
      <c r="AS1176" s="456"/>
      <c r="AT1176" s="151"/>
      <c r="AU1176" s="150"/>
      <c r="AV1176" s="487"/>
      <c r="AW1176" s="150"/>
      <c r="AX1176" s="150"/>
      <c r="AY1176" s="150"/>
      <c r="AZ1176" s="150"/>
      <c r="BA1176" s="150"/>
      <c r="BB1176" s="150"/>
      <c r="BC1176" s="150"/>
      <c r="BD1176" s="150"/>
      <c r="BE1176" s="150"/>
      <c r="BF1176" s="150"/>
      <c r="BG1176" s="150"/>
      <c r="BH1176" s="150"/>
      <c r="BI1176" s="150"/>
      <c r="BJ1176" s="150"/>
      <c r="BK1176" s="152"/>
      <c r="BL1176" s="160"/>
      <c r="BM1176" s="150"/>
      <c r="BN1176" s="150"/>
      <c r="BO1176" s="150"/>
      <c r="BP1176" s="152"/>
      <c r="BQ1176" s="160"/>
      <c r="BR1176" s="152"/>
      <c r="BS1176" s="160"/>
    </row>
    <row r="1177" spans="1:71" ht="23.25" x14ac:dyDescent="0.3">
      <c r="A1177" s="420">
        <f>DL!A1174</f>
        <v>1055</v>
      </c>
      <c r="B1177" s="19" t="s">
        <v>1988</v>
      </c>
      <c r="C1177" s="149">
        <f>DL!L1174</f>
        <v>300</v>
      </c>
      <c r="D1177" s="149" t="str">
        <f>DL!C1174</f>
        <v>Packs</v>
      </c>
      <c r="E1177" s="150"/>
      <c r="F1177" s="463"/>
      <c r="G1177" s="150"/>
      <c r="H1177" s="150"/>
      <c r="I1177" s="150"/>
      <c r="J1177" s="150"/>
      <c r="K1177" s="168"/>
      <c r="L1177" s="500"/>
      <c r="M1177" s="150">
        <v>2400</v>
      </c>
      <c r="N1177" s="150"/>
      <c r="O1177" s="150"/>
      <c r="P1177" s="150"/>
      <c r="Q1177" s="150">
        <v>3125</v>
      </c>
      <c r="R1177" s="150"/>
      <c r="S1177" s="150"/>
      <c r="T1177" s="150"/>
      <c r="U1177" s="150"/>
      <c r="V1177" s="150"/>
      <c r="W1177" s="168"/>
      <c r="X1177" s="150"/>
      <c r="Y1177" s="150"/>
      <c r="Z1177" s="455"/>
      <c r="AA1177" s="150"/>
      <c r="AB1177" s="150"/>
      <c r="AC1177" s="150">
        <v>1980</v>
      </c>
      <c r="AD1177" s="150"/>
      <c r="AE1177" s="150"/>
      <c r="AF1177" s="494">
        <v>11050</v>
      </c>
      <c r="AG1177" s="150"/>
      <c r="AH1177" s="501"/>
      <c r="AI1177" s="150"/>
      <c r="AJ1177" s="150"/>
      <c r="AK1177" s="150"/>
      <c r="AL1177" s="150"/>
      <c r="AM1177" s="150"/>
      <c r="AN1177" s="150"/>
      <c r="AO1177" s="150"/>
      <c r="AP1177" s="150"/>
      <c r="AQ1177" s="150"/>
      <c r="AR1177" s="151"/>
      <c r="AS1177" s="456"/>
      <c r="AT1177" s="151"/>
      <c r="AU1177" s="150"/>
      <c r="AV1177" s="487"/>
      <c r="AW1177" s="150"/>
      <c r="AX1177" s="150"/>
      <c r="AY1177" s="150"/>
      <c r="AZ1177" s="150"/>
      <c r="BA1177" s="150"/>
      <c r="BB1177" s="150"/>
      <c r="BC1177" s="150"/>
      <c r="BD1177" s="150"/>
      <c r="BE1177" s="150"/>
      <c r="BF1177" s="150"/>
      <c r="BG1177" s="150"/>
      <c r="BH1177" s="150"/>
      <c r="BI1177" s="150"/>
      <c r="BJ1177" s="150"/>
      <c r="BK1177" s="514">
        <v>2500</v>
      </c>
      <c r="BL1177" s="160"/>
      <c r="BM1177" s="150"/>
      <c r="BN1177" s="150"/>
      <c r="BO1177" s="150"/>
      <c r="BP1177" s="152"/>
      <c r="BQ1177" s="160"/>
      <c r="BR1177" s="152"/>
      <c r="BS1177" s="160"/>
    </row>
    <row r="1178" spans="1:71" ht="23.25" x14ac:dyDescent="0.3">
      <c r="A1178" s="420">
        <f>DL!A1175</f>
        <v>1056</v>
      </c>
      <c r="B1178" s="19" t="s">
        <v>2069</v>
      </c>
      <c r="C1178" s="149">
        <f>DL!L1175</f>
        <v>90</v>
      </c>
      <c r="D1178" s="149" t="str">
        <f>DL!C1175</f>
        <v>Packs</v>
      </c>
      <c r="E1178" s="150"/>
      <c r="F1178" s="463"/>
      <c r="G1178" s="150"/>
      <c r="H1178" s="150"/>
      <c r="I1178" s="150"/>
      <c r="J1178" s="150"/>
      <c r="K1178" s="168"/>
      <c r="L1178" s="500"/>
      <c r="M1178" s="150">
        <v>4800</v>
      </c>
      <c r="N1178" s="150"/>
      <c r="O1178" s="150"/>
      <c r="P1178" s="150"/>
      <c r="Q1178" s="150">
        <v>5375</v>
      </c>
      <c r="R1178" s="150"/>
      <c r="S1178" s="150"/>
      <c r="T1178" s="150"/>
      <c r="U1178" s="150"/>
      <c r="V1178" s="150"/>
      <c r="W1178" s="168"/>
      <c r="X1178" s="150"/>
      <c r="Y1178" s="150"/>
      <c r="Z1178" s="455"/>
      <c r="AA1178" s="150"/>
      <c r="AB1178" s="150"/>
      <c r="AC1178" s="150">
        <v>4180</v>
      </c>
      <c r="AD1178" s="150"/>
      <c r="AE1178" s="150"/>
      <c r="AF1178" s="494">
        <v>910</v>
      </c>
      <c r="AG1178" s="150"/>
      <c r="AH1178" s="501"/>
      <c r="AI1178" s="150"/>
      <c r="AJ1178" s="150"/>
      <c r="AK1178" s="150"/>
      <c r="AL1178" s="150"/>
      <c r="AM1178" s="150"/>
      <c r="AN1178" s="150"/>
      <c r="AO1178" s="150"/>
      <c r="AP1178" s="150"/>
      <c r="AQ1178" s="150"/>
      <c r="AR1178" s="151"/>
      <c r="AS1178" s="456"/>
      <c r="AT1178" s="151"/>
      <c r="AU1178" s="150"/>
      <c r="AV1178" s="487"/>
      <c r="AW1178" s="150"/>
      <c r="AX1178" s="150"/>
      <c r="AY1178" s="150"/>
      <c r="AZ1178" s="150"/>
      <c r="BA1178" s="150"/>
      <c r="BB1178" s="150"/>
      <c r="BC1178" s="150"/>
      <c r="BD1178" s="150"/>
      <c r="BE1178" s="150"/>
      <c r="BF1178" s="150"/>
      <c r="BG1178" s="150"/>
      <c r="BH1178" s="150"/>
      <c r="BI1178" s="150"/>
      <c r="BJ1178" s="150"/>
      <c r="BK1178" s="514">
        <v>6500</v>
      </c>
      <c r="BL1178" s="160"/>
      <c r="BM1178" s="150"/>
      <c r="BN1178" s="150"/>
      <c r="BO1178" s="150"/>
      <c r="BP1178" s="152"/>
      <c r="BQ1178" s="160"/>
      <c r="BR1178" s="152"/>
      <c r="BS1178" s="160"/>
    </row>
    <row r="1179" spans="1:71" ht="23.25" x14ac:dyDescent="0.3">
      <c r="A1179" s="420">
        <f>DL!A1176</f>
        <v>1057</v>
      </c>
      <c r="B1179" s="19" t="s">
        <v>1989</v>
      </c>
      <c r="C1179" s="149">
        <f>DL!L1176</f>
        <v>18</v>
      </c>
      <c r="D1179" s="149" t="str">
        <f>DL!C1176</f>
        <v>Cartons</v>
      </c>
      <c r="E1179" s="150"/>
      <c r="F1179" s="463"/>
      <c r="G1179" s="150"/>
      <c r="H1179" s="150"/>
      <c r="I1179" s="150"/>
      <c r="J1179" s="150"/>
      <c r="K1179" s="168"/>
      <c r="L1179" s="500"/>
      <c r="M1179" s="150">
        <v>13500</v>
      </c>
      <c r="N1179" s="150"/>
      <c r="O1179" s="150"/>
      <c r="P1179" s="150"/>
      <c r="Q1179" s="150">
        <v>20000</v>
      </c>
      <c r="R1179" s="150"/>
      <c r="S1179" s="150"/>
      <c r="T1179" s="150"/>
      <c r="U1179" s="150"/>
      <c r="V1179" s="150"/>
      <c r="W1179" s="168"/>
      <c r="X1179" s="150"/>
      <c r="Y1179" s="150"/>
      <c r="Z1179" s="455"/>
      <c r="AA1179" s="150"/>
      <c r="AB1179" s="150"/>
      <c r="AC1179" s="150"/>
      <c r="AD1179" s="150"/>
      <c r="AE1179" s="150"/>
      <c r="AF1179" s="494">
        <v>24700</v>
      </c>
      <c r="AG1179" s="150"/>
      <c r="AH1179" s="502">
        <v>12000</v>
      </c>
      <c r="AI1179" s="150"/>
      <c r="AJ1179" s="150"/>
      <c r="AK1179" s="150"/>
      <c r="AL1179" s="150"/>
      <c r="AM1179" s="150"/>
      <c r="AN1179" s="150"/>
      <c r="AO1179" s="150"/>
      <c r="AP1179" s="150"/>
      <c r="AQ1179" s="150"/>
      <c r="AR1179" s="151"/>
      <c r="AS1179" s="456"/>
      <c r="AT1179" s="151"/>
      <c r="AU1179" s="150"/>
      <c r="AV1179" s="487"/>
      <c r="AW1179" s="150"/>
      <c r="AX1179" s="150"/>
      <c r="AY1179" s="150"/>
      <c r="AZ1179" s="150"/>
      <c r="BA1179" s="150"/>
      <c r="BB1179" s="150"/>
      <c r="BC1179" s="150"/>
      <c r="BD1179" s="150"/>
      <c r="BE1179" s="150"/>
      <c r="BF1179" s="150"/>
      <c r="BG1179" s="150"/>
      <c r="BH1179" s="150"/>
      <c r="BI1179" s="150">
        <v>14950</v>
      </c>
      <c r="BJ1179" s="150"/>
      <c r="BK1179" s="514">
        <v>20000</v>
      </c>
      <c r="BL1179" s="160"/>
      <c r="BM1179" s="150"/>
      <c r="BN1179" s="150"/>
      <c r="BO1179" s="150"/>
      <c r="BP1179" s="152"/>
      <c r="BQ1179" s="160"/>
      <c r="BR1179" s="152"/>
      <c r="BS1179" s="160"/>
    </row>
    <row r="1180" spans="1:71" ht="23.25" x14ac:dyDescent="0.3">
      <c r="A1180" s="420">
        <f>DL!A1177</f>
        <v>1058</v>
      </c>
      <c r="B1180" s="19" t="s">
        <v>1990</v>
      </c>
      <c r="C1180" s="149">
        <f>DL!L1177</f>
        <v>3000</v>
      </c>
      <c r="D1180" s="149" t="str">
        <f>DL!C1177</f>
        <v>Pcs</v>
      </c>
      <c r="E1180" s="150"/>
      <c r="F1180" s="463"/>
      <c r="G1180" s="150"/>
      <c r="H1180" s="150"/>
      <c r="I1180" s="150"/>
      <c r="J1180" s="150"/>
      <c r="K1180" s="168"/>
      <c r="L1180" s="500"/>
      <c r="M1180" s="150">
        <v>30</v>
      </c>
      <c r="N1180" s="150"/>
      <c r="O1180" s="150"/>
      <c r="P1180" s="150"/>
      <c r="Q1180" s="150">
        <v>35</v>
      </c>
      <c r="R1180" s="150"/>
      <c r="S1180" s="150"/>
      <c r="T1180" s="150"/>
      <c r="U1180" s="150"/>
      <c r="V1180" s="150"/>
      <c r="W1180" s="168"/>
      <c r="X1180" s="150"/>
      <c r="Y1180" s="150"/>
      <c r="Z1180" s="455"/>
      <c r="AA1180" s="150"/>
      <c r="AB1180" s="150"/>
      <c r="AC1180" s="150"/>
      <c r="AD1180" s="150"/>
      <c r="AE1180" s="150"/>
      <c r="AF1180" s="494">
        <v>35.75</v>
      </c>
      <c r="AG1180" s="150"/>
      <c r="AH1180" s="501">
        <v>26.25</v>
      </c>
      <c r="AI1180" s="150"/>
      <c r="AJ1180" s="150"/>
      <c r="AK1180" s="150"/>
      <c r="AL1180" s="150"/>
      <c r="AM1180" s="150"/>
      <c r="AN1180" s="150"/>
      <c r="AO1180" s="150"/>
      <c r="AP1180" s="150"/>
      <c r="AQ1180" s="150"/>
      <c r="AR1180" s="151"/>
      <c r="AS1180" s="456"/>
      <c r="AT1180" s="151"/>
      <c r="AU1180" s="150"/>
      <c r="AV1180" s="487"/>
      <c r="AW1180" s="150"/>
      <c r="AX1180" s="150"/>
      <c r="AY1180" s="150"/>
      <c r="AZ1180" s="150"/>
      <c r="BA1180" s="150"/>
      <c r="BB1180" s="150"/>
      <c r="BC1180" s="150"/>
      <c r="BD1180" s="150"/>
      <c r="BE1180" s="150"/>
      <c r="BF1180" s="150"/>
      <c r="BG1180" s="150"/>
      <c r="BH1180" s="150"/>
      <c r="BI1180" s="150">
        <v>32.5</v>
      </c>
      <c r="BJ1180" s="150"/>
      <c r="BK1180" s="515">
        <v>35</v>
      </c>
      <c r="BL1180" s="160"/>
      <c r="BM1180" s="150"/>
      <c r="BN1180" s="150"/>
      <c r="BO1180" s="150"/>
      <c r="BP1180" s="152"/>
      <c r="BQ1180" s="160"/>
      <c r="BR1180" s="152"/>
      <c r="BS1180" s="160"/>
    </row>
    <row r="1181" spans="1:71" ht="23.25" x14ac:dyDescent="0.3">
      <c r="A1181" s="420">
        <f>DL!A1178</f>
        <v>1059</v>
      </c>
      <c r="B1181" s="19" t="s">
        <v>1992</v>
      </c>
      <c r="C1181" s="149">
        <f>DL!L1178</f>
        <v>60</v>
      </c>
      <c r="D1181" s="149" t="str">
        <f>DL!C1178</f>
        <v>Packs</v>
      </c>
      <c r="E1181" s="150"/>
      <c r="F1181" s="463"/>
      <c r="G1181" s="150"/>
      <c r="H1181" s="150"/>
      <c r="I1181" s="150"/>
      <c r="J1181" s="150"/>
      <c r="K1181" s="168"/>
      <c r="L1181" s="500"/>
      <c r="M1181" s="150">
        <v>5600</v>
      </c>
      <c r="N1181" s="150"/>
      <c r="O1181" s="150"/>
      <c r="P1181" s="150"/>
      <c r="Q1181" s="150">
        <v>6250</v>
      </c>
      <c r="R1181" s="150"/>
      <c r="S1181" s="150"/>
      <c r="T1181" s="150"/>
      <c r="U1181" s="150"/>
      <c r="V1181" s="150"/>
      <c r="W1181" s="168"/>
      <c r="X1181" s="150"/>
      <c r="Y1181" s="150"/>
      <c r="Z1181" s="455"/>
      <c r="AA1181" s="150"/>
      <c r="AB1181" s="150"/>
      <c r="AC1181" s="150"/>
      <c r="AD1181" s="150"/>
      <c r="AE1181" s="150"/>
      <c r="AF1181" s="494">
        <v>5850</v>
      </c>
      <c r="AG1181" s="150"/>
      <c r="AH1181" s="501"/>
      <c r="AI1181" s="150"/>
      <c r="AJ1181" s="150"/>
      <c r="AK1181" s="150"/>
      <c r="AL1181" s="150"/>
      <c r="AM1181" s="150"/>
      <c r="AN1181" s="150"/>
      <c r="AO1181" s="150"/>
      <c r="AP1181" s="150"/>
      <c r="AQ1181" s="150"/>
      <c r="AR1181" s="151"/>
      <c r="AS1181" s="456"/>
      <c r="AT1181" s="151"/>
      <c r="AU1181" s="150"/>
      <c r="AV1181" s="487"/>
      <c r="AW1181" s="150"/>
      <c r="AX1181" s="150"/>
      <c r="AY1181" s="150"/>
      <c r="AZ1181" s="150"/>
      <c r="BA1181" s="150"/>
      <c r="BB1181" s="150"/>
      <c r="BC1181" s="150"/>
      <c r="BD1181" s="150"/>
      <c r="BE1181" s="150"/>
      <c r="BF1181" s="150"/>
      <c r="BG1181" s="150"/>
      <c r="BH1181" s="150"/>
      <c r="BI1181" s="150">
        <v>6000</v>
      </c>
      <c r="BJ1181" s="150"/>
      <c r="BK1181" s="514">
        <v>5500</v>
      </c>
      <c r="BL1181" s="160"/>
      <c r="BM1181" s="150"/>
      <c r="BN1181" s="150"/>
      <c r="BO1181" s="150"/>
      <c r="BP1181" s="152"/>
      <c r="BQ1181" s="160"/>
      <c r="BR1181" s="152"/>
      <c r="BS1181" s="160"/>
    </row>
    <row r="1182" spans="1:71" ht="23.25" x14ac:dyDescent="0.3">
      <c r="A1182" s="420">
        <f>DL!A1179</f>
        <v>1060</v>
      </c>
      <c r="B1182" s="19" t="s">
        <v>1991</v>
      </c>
      <c r="C1182" s="149">
        <f>DL!L1179</f>
        <v>60</v>
      </c>
      <c r="D1182" s="149" t="str">
        <f>DL!C1179</f>
        <v>Packs</v>
      </c>
      <c r="E1182" s="150"/>
      <c r="F1182" s="463"/>
      <c r="G1182" s="150"/>
      <c r="H1182" s="150"/>
      <c r="I1182" s="150"/>
      <c r="J1182" s="150"/>
      <c r="K1182" s="168"/>
      <c r="L1182" s="500"/>
      <c r="M1182" s="150">
        <v>3990</v>
      </c>
      <c r="N1182" s="150"/>
      <c r="O1182" s="150"/>
      <c r="P1182" s="150"/>
      <c r="Q1182" s="150">
        <v>4375</v>
      </c>
      <c r="R1182" s="150"/>
      <c r="S1182" s="150"/>
      <c r="T1182" s="150"/>
      <c r="U1182" s="150"/>
      <c r="V1182" s="150"/>
      <c r="W1182" s="168"/>
      <c r="X1182" s="150"/>
      <c r="Y1182" s="150"/>
      <c r="Z1182" s="455"/>
      <c r="AA1182" s="150"/>
      <c r="AB1182" s="150"/>
      <c r="AC1182" s="150"/>
      <c r="AD1182" s="150"/>
      <c r="AE1182" s="150"/>
      <c r="AF1182" s="494">
        <v>4290</v>
      </c>
      <c r="AG1182" s="150"/>
      <c r="AH1182" s="501"/>
      <c r="AI1182" s="150"/>
      <c r="AJ1182" s="150"/>
      <c r="AK1182" s="150"/>
      <c r="AL1182" s="150"/>
      <c r="AM1182" s="150"/>
      <c r="AN1182" s="150"/>
      <c r="AO1182" s="150"/>
      <c r="AP1182" s="150"/>
      <c r="AQ1182" s="150"/>
      <c r="AR1182" s="151"/>
      <c r="AS1182" s="456"/>
      <c r="AT1182" s="151"/>
      <c r="AU1182" s="150"/>
      <c r="AV1182" s="487"/>
      <c r="AW1182" s="150"/>
      <c r="AX1182" s="150"/>
      <c r="AY1182" s="150"/>
      <c r="AZ1182" s="150"/>
      <c r="BA1182" s="150"/>
      <c r="BB1182" s="150"/>
      <c r="BC1182" s="150"/>
      <c r="BD1182" s="150"/>
      <c r="BE1182" s="150"/>
      <c r="BF1182" s="150"/>
      <c r="BG1182" s="150"/>
      <c r="BH1182" s="150"/>
      <c r="BI1182" s="150">
        <v>4200</v>
      </c>
      <c r="BJ1182" s="150"/>
      <c r="BK1182" s="514">
        <v>3800</v>
      </c>
      <c r="BL1182" s="160"/>
      <c r="BM1182" s="150"/>
      <c r="BN1182" s="150"/>
      <c r="BO1182" s="150"/>
      <c r="BP1182" s="152"/>
      <c r="BQ1182" s="160"/>
      <c r="BR1182" s="152"/>
      <c r="BS1182" s="160"/>
    </row>
    <row r="1183" spans="1:71" ht="23.25" x14ac:dyDescent="0.3">
      <c r="A1183" s="420">
        <f>DL!A1180</f>
        <v>1061</v>
      </c>
      <c r="B1183" s="19" t="s">
        <v>1993</v>
      </c>
      <c r="C1183" s="149">
        <f>DL!L1180</f>
        <v>42</v>
      </c>
      <c r="D1183" s="149" t="str">
        <f>DL!C1180</f>
        <v>Pkts</v>
      </c>
      <c r="E1183" s="150"/>
      <c r="F1183" s="463"/>
      <c r="G1183" s="150"/>
      <c r="H1183" s="150"/>
      <c r="I1183" s="150"/>
      <c r="J1183" s="150"/>
      <c r="K1183" s="168"/>
      <c r="L1183" s="500"/>
      <c r="M1183" s="150">
        <v>15500</v>
      </c>
      <c r="N1183" s="150"/>
      <c r="O1183" s="150"/>
      <c r="P1183" s="150"/>
      <c r="Q1183" s="150">
        <v>16250</v>
      </c>
      <c r="R1183" s="150"/>
      <c r="S1183" s="150"/>
      <c r="T1183" s="150"/>
      <c r="U1183" s="150"/>
      <c r="V1183" s="150"/>
      <c r="W1183" s="168"/>
      <c r="X1183" s="150"/>
      <c r="Y1183" s="150"/>
      <c r="Z1183" s="455"/>
      <c r="AA1183" s="150"/>
      <c r="AB1183" s="150"/>
      <c r="AC1183" s="150"/>
      <c r="AD1183" s="150"/>
      <c r="AE1183" s="150"/>
      <c r="AF1183" s="494">
        <v>17550</v>
      </c>
      <c r="AG1183" s="150"/>
      <c r="AH1183" s="501"/>
      <c r="AI1183" s="150"/>
      <c r="AJ1183" s="150"/>
      <c r="AK1183" s="150"/>
      <c r="AL1183" s="150"/>
      <c r="AM1183" s="150"/>
      <c r="AN1183" s="150"/>
      <c r="AO1183" s="150"/>
      <c r="AP1183" s="150"/>
      <c r="AQ1183" s="150"/>
      <c r="AR1183" s="151"/>
      <c r="AS1183" s="456"/>
      <c r="AT1183" s="151"/>
      <c r="AU1183" s="150"/>
      <c r="AV1183" s="487"/>
      <c r="AW1183" s="150"/>
      <c r="AX1183" s="150"/>
      <c r="AY1183" s="150"/>
      <c r="AZ1183" s="150"/>
      <c r="BA1183" s="150"/>
      <c r="BB1183" s="150"/>
      <c r="BC1183" s="150"/>
      <c r="BD1183" s="150"/>
      <c r="BE1183" s="150"/>
      <c r="BF1183" s="150"/>
      <c r="BG1183" s="150"/>
      <c r="BH1183" s="150"/>
      <c r="BI1183" s="150">
        <v>16500</v>
      </c>
      <c r="BJ1183" s="150"/>
      <c r="BK1183" s="514">
        <v>18000</v>
      </c>
      <c r="BL1183" s="160"/>
      <c r="BM1183" s="150"/>
      <c r="BN1183" s="150"/>
      <c r="BO1183" s="150"/>
      <c r="BP1183" s="152"/>
      <c r="BQ1183" s="160"/>
      <c r="BR1183" s="152"/>
      <c r="BS1183" s="160"/>
    </row>
    <row r="1184" spans="1:71" ht="23.25" x14ac:dyDescent="0.3">
      <c r="A1184" s="420">
        <f>DL!A1181</f>
        <v>1062</v>
      </c>
      <c r="B1184" s="19" t="s">
        <v>1995</v>
      </c>
      <c r="C1184" s="149">
        <f>DL!L1181</f>
        <v>60</v>
      </c>
      <c r="D1184" s="149" t="str">
        <f>DL!C1181</f>
        <v>Pkts</v>
      </c>
      <c r="E1184" s="150"/>
      <c r="F1184" s="463"/>
      <c r="G1184" s="150"/>
      <c r="H1184" s="150"/>
      <c r="I1184" s="150"/>
      <c r="J1184" s="150"/>
      <c r="K1184" s="168"/>
      <c r="L1184" s="500"/>
      <c r="M1184" s="150">
        <v>2400</v>
      </c>
      <c r="N1184" s="150"/>
      <c r="O1184" s="150"/>
      <c r="P1184" s="150"/>
      <c r="Q1184" s="150">
        <v>2875</v>
      </c>
      <c r="R1184" s="150"/>
      <c r="S1184" s="150"/>
      <c r="T1184" s="150"/>
      <c r="U1184" s="150"/>
      <c r="V1184" s="150"/>
      <c r="W1184" s="168"/>
      <c r="X1184" s="150"/>
      <c r="Y1184" s="150"/>
      <c r="Z1184" s="455"/>
      <c r="AA1184" s="150"/>
      <c r="AB1184" s="150"/>
      <c r="AC1184" s="150"/>
      <c r="AD1184" s="150"/>
      <c r="AE1184" s="150"/>
      <c r="AF1184" s="494">
        <v>5850</v>
      </c>
      <c r="AG1184" s="150"/>
      <c r="AH1184" s="501"/>
      <c r="AI1184" s="150"/>
      <c r="AJ1184" s="150"/>
      <c r="AK1184" s="150"/>
      <c r="AL1184" s="150"/>
      <c r="AM1184" s="150"/>
      <c r="AN1184" s="150"/>
      <c r="AO1184" s="150"/>
      <c r="AP1184" s="150"/>
      <c r="AQ1184" s="150"/>
      <c r="AR1184" s="151"/>
      <c r="AS1184" s="456"/>
      <c r="AT1184" s="151"/>
      <c r="AU1184" s="150"/>
      <c r="AV1184" s="487"/>
      <c r="AW1184" s="150"/>
      <c r="AX1184" s="150"/>
      <c r="AY1184" s="150"/>
      <c r="AZ1184" s="150"/>
      <c r="BA1184" s="150"/>
      <c r="BB1184" s="150"/>
      <c r="BC1184" s="150"/>
      <c r="BD1184" s="150"/>
      <c r="BE1184" s="150"/>
      <c r="BF1184" s="150"/>
      <c r="BG1184" s="150"/>
      <c r="BH1184" s="150"/>
      <c r="BI1184" s="150"/>
      <c r="BJ1184" s="150"/>
      <c r="BK1184" s="514">
        <v>3000</v>
      </c>
      <c r="BL1184" s="160"/>
      <c r="BM1184" s="150"/>
      <c r="BN1184" s="150"/>
      <c r="BO1184" s="150"/>
      <c r="BP1184" s="152"/>
      <c r="BQ1184" s="160"/>
      <c r="BR1184" s="152"/>
      <c r="BS1184" s="160"/>
    </row>
    <row r="1185" spans="1:71" ht="23.25" x14ac:dyDescent="0.3">
      <c r="A1185" s="420">
        <f>DL!A1182</f>
        <v>1063</v>
      </c>
      <c r="B1185" s="19" t="s">
        <v>1994</v>
      </c>
      <c r="C1185" s="149">
        <f>DL!L1182</f>
        <v>60</v>
      </c>
      <c r="D1185" s="149" t="str">
        <f>DL!C1182</f>
        <v>Pkts</v>
      </c>
      <c r="E1185" s="150"/>
      <c r="F1185" s="463"/>
      <c r="G1185" s="150"/>
      <c r="H1185" s="150"/>
      <c r="I1185" s="150"/>
      <c r="J1185" s="150"/>
      <c r="K1185" s="168"/>
      <c r="L1185" s="500"/>
      <c r="M1185" s="150">
        <v>600</v>
      </c>
      <c r="N1185" s="150"/>
      <c r="O1185" s="150"/>
      <c r="P1185" s="150"/>
      <c r="Q1185" s="150">
        <v>875</v>
      </c>
      <c r="R1185" s="150"/>
      <c r="S1185" s="150"/>
      <c r="T1185" s="150"/>
      <c r="U1185" s="150"/>
      <c r="V1185" s="150"/>
      <c r="W1185" s="168"/>
      <c r="X1185" s="150"/>
      <c r="Y1185" s="150"/>
      <c r="Z1185" s="455"/>
      <c r="AA1185" s="150"/>
      <c r="AB1185" s="150"/>
      <c r="AC1185" s="150"/>
      <c r="AD1185" s="150"/>
      <c r="AE1185" s="150"/>
      <c r="AF1185" s="494">
        <v>910</v>
      </c>
      <c r="AG1185" s="150"/>
      <c r="AH1185" s="501"/>
      <c r="AI1185" s="150"/>
      <c r="AJ1185" s="150"/>
      <c r="AK1185" s="150"/>
      <c r="AL1185" s="150"/>
      <c r="AM1185" s="150"/>
      <c r="AN1185" s="150"/>
      <c r="AO1185" s="150"/>
      <c r="AP1185" s="150"/>
      <c r="AQ1185" s="150"/>
      <c r="AR1185" s="151"/>
      <c r="AS1185" s="456"/>
      <c r="AT1185" s="151"/>
      <c r="AU1185" s="150"/>
      <c r="AV1185" s="487"/>
      <c r="AW1185" s="150"/>
      <c r="AX1185" s="150"/>
      <c r="AY1185" s="150"/>
      <c r="AZ1185" s="150"/>
      <c r="BA1185" s="150"/>
      <c r="BB1185" s="150"/>
      <c r="BC1185" s="150"/>
      <c r="BD1185" s="150"/>
      <c r="BE1185" s="150"/>
      <c r="BF1185" s="150"/>
      <c r="BG1185" s="150"/>
      <c r="BH1185" s="150"/>
      <c r="BI1185" s="150">
        <v>420</v>
      </c>
      <c r="BJ1185" s="150"/>
      <c r="BK1185" s="515">
        <v>650</v>
      </c>
      <c r="BL1185" s="160"/>
      <c r="BM1185" s="150"/>
      <c r="BN1185" s="150"/>
      <c r="BO1185" s="150"/>
      <c r="BP1185" s="152"/>
      <c r="BQ1185" s="160"/>
      <c r="BR1185" s="152"/>
      <c r="BS1185" s="160"/>
    </row>
    <row r="1186" spans="1:71" ht="23.25" x14ac:dyDescent="0.3">
      <c r="A1186" s="420">
        <f>DL!A1183</f>
        <v>1064</v>
      </c>
      <c r="B1186" s="19" t="s">
        <v>1788</v>
      </c>
      <c r="C1186" s="149">
        <f>DL!L1183</f>
        <v>12</v>
      </c>
      <c r="D1186" s="149" t="str">
        <f>DL!C1183</f>
        <v>Cartons</v>
      </c>
      <c r="E1186" s="150"/>
      <c r="F1186" s="463"/>
      <c r="G1186" s="150"/>
      <c r="H1186" s="150"/>
      <c r="I1186" s="150"/>
      <c r="J1186" s="150"/>
      <c r="K1186" s="168"/>
      <c r="L1186" s="500"/>
      <c r="M1186" s="150">
        <v>700</v>
      </c>
      <c r="N1186" s="150"/>
      <c r="O1186" s="150"/>
      <c r="P1186" s="150"/>
      <c r="Q1186" s="150"/>
      <c r="R1186" s="150"/>
      <c r="S1186" s="150"/>
      <c r="T1186" s="150"/>
      <c r="U1186" s="150"/>
      <c r="V1186" s="150"/>
      <c r="W1186" s="168"/>
      <c r="X1186" s="150"/>
      <c r="Y1186" s="150"/>
      <c r="Z1186" s="455"/>
      <c r="AA1186" s="150"/>
      <c r="AB1186" s="150"/>
      <c r="AC1186" s="150">
        <v>10320</v>
      </c>
      <c r="AD1186" s="150"/>
      <c r="AE1186" s="150"/>
      <c r="AF1186" s="494">
        <v>5460</v>
      </c>
      <c r="AG1186" s="150"/>
      <c r="AH1186" s="501"/>
      <c r="AI1186" s="150"/>
      <c r="AJ1186" s="150"/>
      <c r="AK1186" s="150"/>
      <c r="AL1186" s="150"/>
      <c r="AM1186" s="150"/>
      <c r="AN1186" s="150"/>
      <c r="AO1186" s="150"/>
      <c r="AP1186" s="150"/>
      <c r="AQ1186" s="150"/>
      <c r="AR1186" s="151"/>
      <c r="AS1186" s="456"/>
      <c r="AT1186" s="151"/>
      <c r="AU1186" s="150"/>
      <c r="AV1186" s="487"/>
      <c r="AW1186" s="150"/>
      <c r="AX1186" s="150"/>
      <c r="AY1186" s="150"/>
      <c r="AZ1186" s="150"/>
      <c r="BA1186" s="150"/>
      <c r="BB1186" s="150"/>
      <c r="BC1186" s="150"/>
      <c r="BD1186" s="150"/>
      <c r="BE1186" s="150"/>
      <c r="BF1186" s="150"/>
      <c r="BG1186" s="150"/>
      <c r="BH1186" s="150"/>
      <c r="BI1186" s="150"/>
      <c r="BJ1186" s="150"/>
      <c r="BK1186" s="514">
        <v>9000</v>
      </c>
      <c r="BL1186" s="160"/>
      <c r="BM1186" s="150"/>
      <c r="BN1186" s="150"/>
      <c r="BO1186" s="150"/>
      <c r="BP1186" s="152"/>
      <c r="BQ1186" s="160"/>
      <c r="BR1186" s="152"/>
      <c r="BS1186" s="160"/>
    </row>
    <row r="1187" spans="1:71" ht="23.25" x14ac:dyDescent="0.3">
      <c r="A1187" s="420">
        <f>DL!A1184</f>
        <v>1065</v>
      </c>
      <c r="B1187" s="19" t="s">
        <v>1996</v>
      </c>
      <c r="C1187" s="149">
        <f>DL!L1184</f>
        <v>6</v>
      </c>
      <c r="D1187" s="149" t="str">
        <f>DL!C1184</f>
        <v>Bottles</v>
      </c>
      <c r="E1187" s="150"/>
      <c r="F1187" s="463"/>
      <c r="G1187" s="150"/>
      <c r="H1187" s="150"/>
      <c r="I1187" s="150"/>
      <c r="J1187" s="150"/>
      <c r="K1187" s="168"/>
      <c r="L1187" s="500"/>
      <c r="M1187" s="150">
        <v>3000</v>
      </c>
      <c r="N1187" s="150"/>
      <c r="O1187" s="150"/>
      <c r="P1187" s="150"/>
      <c r="Q1187" s="150">
        <v>3500</v>
      </c>
      <c r="R1187" s="150"/>
      <c r="S1187" s="150"/>
      <c r="T1187" s="150"/>
      <c r="U1187" s="150"/>
      <c r="V1187" s="150"/>
      <c r="W1187" s="168"/>
      <c r="X1187" s="150"/>
      <c r="Y1187" s="150"/>
      <c r="Z1187" s="455"/>
      <c r="AA1187" s="150"/>
      <c r="AB1187" s="150"/>
      <c r="AC1187" s="150"/>
      <c r="AD1187" s="150"/>
      <c r="AE1187" s="150"/>
      <c r="AF1187" s="494">
        <v>5850</v>
      </c>
      <c r="AG1187" s="150"/>
      <c r="AH1187" s="501"/>
      <c r="AI1187" s="150"/>
      <c r="AJ1187" s="150"/>
      <c r="AK1187" s="150"/>
      <c r="AL1187" s="150"/>
      <c r="AM1187" s="150"/>
      <c r="AN1187" s="150"/>
      <c r="AO1187" s="150"/>
      <c r="AP1187" s="150"/>
      <c r="AQ1187" s="150"/>
      <c r="AR1187" s="151"/>
      <c r="AS1187" s="456"/>
      <c r="AT1187" s="151"/>
      <c r="AU1187" s="150"/>
      <c r="AV1187" s="487"/>
      <c r="AW1187" s="150"/>
      <c r="AX1187" s="150"/>
      <c r="AY1187" s="150"/>
      <c r="AZ1187" s="150"/>
      <c r="BA1187" s="150"/>
      <c r="BB1187" s="150"/>
      <c r="BC1187" s="150"/>
      <c r="BD1187" s="150"/>
      <c r="BE1187" s="150"/>
      <c r="BF1187" s="150"/>
      <c r="BG1187" s="150"/>
      <c r="BH1187" s="150"/>
      <c r="BI1187" s="150"/>
      <c r="BJ1187" s="150"/>
      <c r="BK1187" s="514">
        <v>3500</v>
      </c>
      <c r="BL1187" s="160"/>
      <c r="BM1187" s="150"/>
      <c r="BN1187" s="150"/>
      <c r="BO1187" s="150"/>
      <c r="BP1187" s="152"/>
      <c r="BQ1187" s="160"/>
      <c r="BR1187" s="152"/>
      <c r="BS1187" s="160"/>
    </row>
    <row r="1188" spans="1:71" ht="23.25" x14ac:dyDescent="0.3">
      <c r="A1188" s="420">
        <f>DL!A1185</f>
        <v>1066</v>
      </c>
      <c r="B1188" s="19" t="s">
        <v>1997</v>
      </c>
      <c r="C1188" s="149">
        <f>DL!L1185</f>
        <v>3</v>
      </c>
      <c r="D1188" s="149" t="str">
        <f>DL!C1185</f>
        <v>Pkt (10)</v>
      </c>
      <c r="E1188" s="150"/>
      <c r="F1188" s="463"/>
      <c r="G1188" s="150"/>
      <c r="H1188" s="150"/>
      <c r="I1188" s="150"/>
      <c r="J1188" s="150"/>
      <c r="K1188" s="168"/>
      <c r="L1188" s="500"/>
      <c r="M1188" s="150">
        <v>14000</v>
      </c>
      <c r="N1188" s="150"/>
      <c r="O1188" s="150"/>
      <c r="P1188" s="150"/>
      <c r="Q1188" s="150">
        <v>16875</v>
      </c>
      <c r="R1188" s="150"/>
      <c r="S1188" s="150"/>
      <c r="T1188" s="150"/>
      <c r="U1188" s="150"/>
      <c r="V1188" s="150"/>
      <c r="W1188" s="168"/>
      <c r="X1188" s="150"/>
      <c r="Y1188" s="150"/>
      <c r="Z1188" s="455"/>
      <c r="AA1188" s="150"/>
      <c r="AB1188" s="150"/>
      <c r="AC1188" s="150"/>
      <c r="AD1188" s="150"/>
      <c r="AE1188" s="150"/>
      <c r="AF1188" s="495">
        <v>0</v>
      </c>
      <c r="AG1188" s="150"/>
      <c r="AH1188" s="501"/>
      <c r="AI1188" s="150"/>
      <c r="AJ1188" s="150"/>
      <c r="AK1188" s="150"/>
      <c r="AL1188" s="150"/>
      <c r="AM1188" s="150"/>
      <c r="AN1188" s="150"/>
      <c r="AO1188" s="150"/>
      <c r="AP1188" s="150"/>
      <c r="AQ1188" s="150"/>
      <c r="AR1188" s="151"/>
      <c r="AS1188" s="456"/>
      <c r="AT1188" s="151"/>
      <c r="AU1188" s="150"/>
      <c r="AV1188" s="487"/>
      <c r="AW1188" s="150"/>
      <c r="AX1188" s="150"/>
      <c r="AY1188" s="150"/>
      <c r="AZ1188" s="150"/>
      <c r="BA1188" s="150"/>
      <c r="BB1188" s="150"/>
      <c r="BC1188" s="150"/>
      <c r="BD1188" s="150"/>
      <c r="BE1188" s="150"/>
      <c r="BF1188" s="150"/>
      <c r="BG1188" s="150"/>
      <c r="BH1188" s="150"/>
      <c r="BI1188" s="150">
        <v>10500</v>
      </c>
      <c r="BJ1188" s="150"/>
      <c r="BK1188" s="514">
        <v>10000</v>
      </c>
      <c r="BL1188" s="160"/>
      <c r="BM1188" s="150"/>
      <c r="BN1188" s="150"/>
      <c r="BO1188" s="150"/>
      <c r="BP1188" s="152"/>
      <c r="BQ1188" s="160"/>
      <c r="BR1188" s="152"/>
      <c r="BS1188" s="160"/>
    </row>
    <row r="1189" spans="1:71" ht="23.25" x14ac:dyDescent="0.3">
      <c r="A1189" s="420">
        <f>DL!A1186</f>
        <v>1067</v>
      </c>
      <c r="B1189" s="19" t="s">
        <v>1998</v>
      </c>
      <c r="C1189" s="149">
        <f>DL!L1186</f>
        <v>3</v>
      </c>
      <c r="D1189" s="149" t="str">
        <f>DL!C1186</f>
        <v>Pkt (10)</v>
      </c>
      <c r="E1189" s="150"/>
      <c r="F1189" s="463"/>
      <c r="G1189" s="150"/>
      <c r="H1189" s="150"/>
      <c r="I1189" s="150"/>
      <c r="J1189" s="150"/>
      <c r="K1189" s="168"/>
      <c r="L1189" s="500"/>
      <c r="M1189" s="150">
        <v>14000</v>
      </c>
      <c r="N1189" s="150"/>
      <c r="O1189" s="150"/>
      <c r="P1189" s="150"/>
      <c r="Q1189" s="150">
        <v>16875</v>
      </c>
      <c r="R1189" s="150"/>
      <c r="S1189" s="150"/>
      <c r="T1189" s="150"/>
      <c r="U1189" s="150"/>
      <c r="V1189" s="150"/>
      <c r="W1189" s="168"/>
      <c r="X1189" s="150"/>
      <c r="Y1189" s="150"/>
      <c r="Z1189" s="455"/>
      <c r="AA1189" s="150"/>
      <c r="AB1189" s="150"/>
      <c r="AC1189" s="150">
        <v>12250</v>
      </c>
      <c r="AD1189" s="150"/>
      <c r="AE1189" s="150"/>
      <c r="AF1189" s="495">
        <v>0</v>
      </c>
      <c r="AG1189" s="150"/>
      <c r="AH1189" s="501"/>
      <c r="AI1189" s="150"/>
      <c r="AJ1189" s="150"/>
      <c r="AK1189" s="150"/>
      <c r="AL1189" s="150"/>
      <c r="AM1189" s="150"/>
      <c r="AN1189" s="150"/>
      <c r="AO1189" s="150"/>
      <c r="AP1189" s="150"/>
      <c r="AQ1189" s="150"/>
      <c r="AR1189" s="151"/>
      <c r="AS1189" s="456"/>
      <c r="AT1189" s="151"/>
      <c r="AU1189" s="150"/>
      <c r="AV1189" s="487"/>
      <c r="AW1189" s="150"/>
      <c r="AX1189" s="150"/>
      <c r="AY1189" s="150"/>
      <c r="AZ1189" s="150"/>
      <c r="BA1189" s="150"/>
      <c r="BB1189" s="150"/>
      <c r="BC1189" s="150"/>
      <c r="BD1189" s="150"/>
      <c r="BE1189" s="150"/>
      <c r="BF1189" s="150"/>
      <c r="BG1189" s="150"/>
      <c r="BH1189" s="150"/>
      <c r="BI1189" s="150">
        <v>10500</v>
      </c>
      <c r="BJ1189" s="150"/>
      <c r="BK1189" s="514">
        <v>10000</v>
      </c>
      <c r="BL1189" s="160"/>
      <c r="BM1189" s="150"/>
      <c r="BN1189" s="150"/>
      <c r="BO1189" s="150"/>
      <c r="BP1189" s="152"/>
      <c r="BQ1189" s="160"/>
      <c r="BR1189" s="152"/>
      <c r="BS1189" s="160"/>
    </row>
    <row r="1190" spans="1:71" ht="23.25" x14ac:dyDescent="0.3">
      <c r="A1190" s="420">
        <f>DL!A1187</f>
        <v>1068</v>
      </c>
      <c r="B1190" s="19" t="s">
        <v>1999</v>
      </c>
      <c r="C1190" s="149">
        <f>DL!L1187</f>
        <v>3</v>
      </c>
      <c r="D1190" s="149" t="str">
        <f>DL!C1187</f>
        <v>Pkt (10)</v>
      </c>
      <c r="E1190" s="150"/>
      <c r="F1190" s="463"/>
      <c r="G1190" s="150"/>
      <c r="H1190" s="150"/>
      <c r="I1190" s="150"/>
      <c r="J1190" s="150"/>
      <c r="K1190" s="168"/>
      <c r="L1190" s="500"/>
      <c r="M1190" s="150">
        <v>20000</v>
      </c>
      <c r="N1190" s="150"/>
      <c r="O1190" s="150"/>
      <c r="P1190" s="150"/>
      <c r="Q1190" s="150">
        <v>20625</v>
      </c>
      <c r="R1190" s="150"/>
      <c r="S1190" s="150"/>
      <c r="T1190" s="150"/>
      <c r="U1190" s="150"/>
      <c r="V1190" s="150"/>
      <c r="W1190" s="168"/>
      <c r="X1190" s="150"/>
      <c r="Y1190" s="150"/>
      <c r="Z1190" s="455"/>
      <c r="AA1190" s="150"/>
      <c r="AB1190" s="150"/>
      <c r="AC1190" s="150"/>
      <c r="AD1190" s="150"/>
      <c r="AE1190" s="150"/>
      <c r="AF1190" s="495">
        <v>0</v>
      </c>
      <c r="AG1190" s="150"/>
      <c r="AH1190" s="501"/>
      <c r="AI1190" s="150"/>
      <c r="AJ1190" s="150"/>
      <c r="AK1190" s="150"/>
      <c r="AL1190" s="150"/>
      <c r="AM1190" s="150"/>
      <c r="AN1190" s="150"/>
      <c r="AO1190" s="150"/>
      <c r="AP1190" s="150"/>
      <c r="AQ1190" s="150"/>
      <c r="AR1190" s="151"/>
      <c r="AS1190" s="456"/>
      <c r="AT1190" s="151"/>
      <c r="AU1190" s="150"/>
      <c r="AV1190" s="487"/>
      <c r="AW1190" s="150"/>
      <c r="AX1190" s="150"/>
      <c r="AY1190" s="150"/>
      <c r="AZ1190" s="150"/>
      <c r="BA1190" s="150"/>
      <c r="BB1190" s="150"/>
      <c r="BC1190" s="150"/>
      <c r="BD1190" s="150"/>
      <c r="BE1190" s="150"/>
      <c r="BF1190" s="150"/>
      <c r="BG1190" s="150"/>
      <c r="BH1190" s="150"/>
      <c r="BI1190" s="150">
        <v>12500</v>
      </c>
      <c r="BJ1190" s="150"/>
      <c r="BK1190" s="514">
        <v>15000</v>
      </c>
      <c r="BL1190" s="160"/>
      <c r="BM1190" s="150"/>
      <c r="BN1190" s="150"/>
      <c r="BO1190" s="150"/>
      <c r="BP1190" s="152"/>
      <c r="BQ1190" s="160"/>
      <c r="BR1190" s="152"/>
      <c r="BS1190" s="160"/>
    </row>
    <row r="1191" spans="1:71" ht="23.25" x14ac:dyDescent="0.3">
      <c r="A1191" s="420">
        <f>DL!A1188</f>
        <v>1069</v>
      </c>
      <c r="B1191" s="19" t="s">
        <v>2000</v>
      </c>
      <c r="C1191" s="149">
        <f>DL!L1188</f>
        <v>3</v>
      </c>
      <c r="D1191" s="149" t="str">
        <f>DL!C1188</f>
        <v>Pkt (10)</v>
      </c>
      <c r="E1191" s="150"/>
      <c r="F1191" s="463"/>
      <c r="G1191" s="150"/>
      <c r="H1191" s="150"/>
      <c r="I1191" s="150"/>
      <c r="J1191" s="150"/>
      <c r="K1191" s="168"/>
      <c r="L1191" s="500"/>
      <c r="M1191" s="150">
        <v>21000</v>
      </c>
      <c r="N1191" s="150"/>
      <c r="O1191" s="150"/>
      <c r="P1191" s="150"/>
      <c r="Q1191" s="150">
        <v>20625</v>
      </c>
      <c r="R1191" s="150"/>
      <c r="S1191" s="150"/>
      <c r="T1191" s="150"/>
      <c r="U1191" s="150"/>
      <c r="V1191" s="150"/>
      <c r="W1191" s="168"/>
      <c r="X1191" s="150"/>
      <c r="Y1191" s="150"/>
      <c r="Z1191" s="455"/>
      <c r="AA1191" s="150"/>
      <c r="AB1191" s="150"/>
      <c r="AC1191" s="150">
        <v>12250</v>
      </c>
      <c r="AD1191" s="150"/>
      <c r="AE1191" s="150"/>
      <c r="AF1191" s="495">
        <v>0</v>
      </c>
      <c r="AG1191" s="150"/>
      <c r="AH1191" s="501"/>
      <c r="AI1191" s="150"/>
      <c r="AJ1191" s="150"/>
      <c r="AK1191" s="150"/>
      <c r="AL1191" s="150"/>
      <c r="AM1191" s="150"/>
      <c r="AN1191" s="150"/>
      <c r="AO1191" s="150"/>
      <c r="AP1191" s="150"/>
      <c r="AQ1191" s="150"/>
      <c r="AR1191" s="151"/>
      <c r="AS1191" s="456"/>
      <c r="AT1191" s="151"/>
      <c r="AU1191" s="150"/>
      <c r="AV1191" s="487"/>
      <c r="AW1191" s="150"/>
      <c r="AX1191" s="150"/>
      <c r="AY1191" s="150"/>
      <c r="AZ1191" s="150"/>
      <c r="BA1191" s="150"/>
      <c r="BB1191" s="150"/>
      <c r="BC1191" s="150"/>
      <c r="BD1191" s="150"/>
      <c r="BE1191" s="150"/>
      <c r="BF1191" s="150"/>
      <c r="BG1191" s="150"/>
      <c r="BH1191" s="150"/>
      <c r="BI1191" s="150">
        <v>12500</v>
      </c>
      <c r="BJ1191" s="150"/>
      <c r="BK1191" s="514">
        <v>15000</v>
      </c>
      <c r="BL1191" s="160"/>
      <c r="BM1191" s="150"/>
      <c r="BN1191" s="150"/>
      <c r="BO1191" s="150"/>
      <c r="BP1191" s="152"/>
      <c r="BQ1191" s="160"/>
      <c r="BR1191" s="152"/>
      <c r="BS1191" s="160"/>
    </row>
    <row r="1192" spans="1:71" ht="23.25" x14ac:dyDescent="0.3">
      <c r="A1192" s="420">
        <f>DL!A1189</f>
        <v>1070</v>
      </c>
      <c r="B1192" s="19" t="s">
        <v>2001</v>
      </c>
      <c r="C1192" s="149">
        <f>DL!L1189</f>
        <v>10</v>
      </c>
      <c r="D1192" s="149" t="str">
        <f>DL!C1189</f>
        <v>Pack</v>
      </c>
      <c r="E1192" s="150"/>
      <c r="F1192" s="463"/>
      <c r="G1192" s="150"/>
      <c r="H1192" s="150"/>
      <c r="I1192" s="150"/>
      <c r="J1192" s="150"/>
      <c r="K1192" s="168"/>
      <c r="L1192" s="500"/>
      <c r="M1192" s="150">
        <v>27500</v>
      </c>
      <c r="N1192" s="150"/>
      <c r="O1192" s="150"/>
      <c r="P1192" s="150"/>
      <c r="Q1192" s="150">
        <v>29375</v>
      </c>
      <c r="R1192" s="150"/>
      <c r="S1192" s="150"/>
      <c r="T1192" s="150"/>
      <c r="U1192" s="150"/>
      <c r="V1192" s="150"/>
      <c r="W1192" s="168"/>
      <c r="X1192" s="150"/>
      <c r="Y1192" s="150"/>
      <c r="Z1192" s="455"/>
      <c r="AA1192" s="150"/>
      <c r="AB1192" s="150"/>
      <c r="AC1192" s="150">
        <v>12250</v>
      </c>
      <c r="AD1192" s="150"/>
      <c r="AE1192" s="150"/>
      <c r="AF1192" s="495">
        <v>26000</v>
      </c>
      <c r="AG1192" s="150"/>
      <c r="AH1192" s="501"/>
      <c r="AI1192" s="150"/>
      <c r="AJ1192" s="150"/>
      <c r="AK1192" s="150"/>
      <c r="AL1192" s="150"/>
      <c r="AM1192" s="150"/>
      <c r="AN1192" s="150"/>
      <c r="AO1192" s="150"/>
      <c r="AP1192" s="150"/>
      <c r="AQ1192" s="150"/>
      <c r="AR1192" s="151"/>
      <c r="AS1192" s="456"/>
      <c r="AT1192" s="151"/>
      <c r="AU1192" s="150"/>
      <c r="AV1192" s="487"/>
      <c r="AW1192" s="150"/>
      <c r="AX1192" s="150"/>
      <c r="AY1192" s="150"/>
      <c r="AZ1192" s="150"/>
      <c r="BA1192" s="150"/>
      <c r="BB1192" s="150"/>
      <c r="BC1192" s="150"/>
      <c r="BD1192" s="150"/>
      <c r="BE1192" s="150"/>
      <c r="BF1192" s="150"/>
      <c r="BG1192" s="150"/>
      <c r="BH1192" s="150"/>
      <c r="BI1192" s="150">
        <v>22500</v>
      </c>
      <c r="BJ1192" s="150"/>
      <c r="BK1192" s="514">
        <v>20000</v>
      </c>
      <c r="BL1192" s="160"/>
      <c r="BM1192" s="150"/>
      <c r="BN1192" s="150"/>
      <c r="BO1192" s="150"/>
      <c r="BP1192" s="152"/>
      <c r="BQ1192" s="160"/>
      <c r="BR1192" s="152"/>
      <c r="BS1192" s="160"/>
    </row>
    <row r="1193" spans="1:71" ht="23.25" x14ac:dyDescent="0.3">
      <c r="A1193" s="420">
        <f>DL!A1190</f>
        <v>1071</v>
      </c>
      <c r="B1193" s="19" t="s">
        <v>1591</v>
      </c>
      <c r="C1193" s="149">
        <f>DL!L1190</f>
        <v>10</v>
      </c>
      <c r="D1193" s="149" t="str">
        <f>DL!C1190</f>
        <v>Pkt</v>
      </c>
      <c r="E1193" s="150"/>
      <c r="F1193" s="463"/>
      <c r="G1193" s="150"/>
      <c r="H1193" s="150"/>
      <c r="I1193" s="150"/>
      <c r="J1193" s="150"/>
      <c r="K1193" s="168"/>
      <c r="L1193" s="500"/>
      <c r="M1193" s="150">
        <v>27500</v>
      </c>
      <c r="N1193" s="150"/>
      <c r="O1193" s="150"/>
      <c r="P1193" s="150"/>
      <c r="Q1193" s="150">
        <v>29375</v>
      </c>
      <c r="R1193" s="150"/>
      <c r="S1193" s="150"/>
      <c r="T1193" s="150"/>
      <c r="U1193" s="150"/>
      <c r="V1193" s="150"/>
      <c r="W1193" s="168"/>
      <c r="X1193" s="150"/>
      <c r="Y1193" s="150"/>
      <c r="Z1193" s="455"/>
      <c r="AA1193" s="150"/>
      <c r="AB1193" s="150"/>
      <c r="AC1193" s="150"/>
      <c r="AD1193" s="150"/>
      <c r="AE1193" s="150"/>
      <c r="AF1193" s="495">
        <v>26000</v>
      </c>
      <c r="AG1193" s="150"/>
      <c r="AH1193" s="501"/>
      <c r="AI1193" s="150"/>
      <c r="AJ1193" s="150"/>
      <c r="AK1193" s="150"/>
      <c r="AL1193" s="150"/>
      <c r="AM1193" s="150"/>
      <c r="AN1193" s="150"/>
      <c r="AO1193" s="150"/>
      <c r="AP1193" s="150"/>
      <c r="AQ1193" s="150"/>
      <c r="AR1193" s="151"/>
      <c r="AS1193" s="456"/>
      <c r="AT1193" s="151"/>
      <c r="AU1193" s="150"/>
      <c r="AV1193" s="487"/>
      <c r="AW1193" s="150"/>
      <c r="AX1193" s="150"/>
      <c r="AY1193" s="150"/>
      <c r="AZ1193" s="150"/>
      <c r="BA1193" s="150"/>
      <c r="BB1193" s="150"/>
      <c r="BC1193" s="150"/>
      <c r="BD1193" s="150"/>
      <c r="BE1193" s="150"/>
      <c r="BF1193" s="150"/>
      <c r="BG1193" s="150"/>
      <c r="BH1193" s="150"/>
      <c r="BI1193" s="150">
        <v>25000</v>
      </c>
      <c r="BJ1193" s="150"/>
      <c r="BK1193" s="514">
        <v>20000</v>
      </c>
      <c r="BL1193" s="160"/>
      <c r="BM1193" s="150"/>
      <c r="BN1193" s="150"/>
      <c r="BO1193" s="150"/>
      <c r="BP1193" s="152"/>
      <c r="BQ1193" s="160"/>
      <c r="BR1193" s="152"/>
      <c r="BS1193" s="160"/>
    </row>
    <row r="1194" spans="1:71" ht="23.25" x14ac:dyDescent="0.3">
      <c r="A1194" s="420">
        <f>DL!A1191</f>
        <v>1072</v>
      </c>
      <c r="B1194" s="19" t="s">
        <v>2002</v>
      </c>
      <c r="C1194" s="149">
        <f>DL!L1191</f>
        <v>60</v>
      </c>
      <c r="D1194" s="149" t="str">
        <f>DL!C1191</f>
        <v>Pkt</v>
      </c>
      <c r="E1194" s="150"/>
      <c r="F1194" s="463"/>
      <c r="G1194" s="150"/>
      <c r="H1194" s="150"/>
      <c r="I1194" s="150"/>
      <c r="J1194" s="150"/>
      <c r="K1194" s="168"/>
      <c r="L1194" s="500"/>
      <c r="M1194" s="150">
        <v>380</v>
      </c>
      <c r="N1194" s="150"/>
      <c r="O1194" s="150"/>
      <c r="P1194" s="150"/>
      <c r="Q1194" s="150">
        <v>875</v>
      </c>
      <c r="R1194" s="150"/>
      <c r="S1194" s="150"/>
      <c r="T1194" s="150"/>
      <c r="U1194" s="150"/>
      <c r="V1194" s="150"/>
      <c r="W1194" s="168"/>
      <c r="X1194" s="150"/>
      <c r="Y1194" s="150"/>
      <c r="Z1194" s="455"/>
      <c r="AA1194" s="150"/>
      <c r="AB1194" s="150"/>
      <c r="AC1194" s="150"/>
      <c r="AD1194" s="150"/>
      <c r="AE1194" s="150"/>
      <c r="AF1194" s="494">
        <v>455</v>
      </c>
      <c r="AG1194" s="150"/>
      <c r="AH1194" s="501"/>
      <c r="AI1194" s="150"/>
      <c r="AJ1194" s="150"/>
      <c r="AK1194" s="150"/>
      <c r="AL1194" s="150"/>
      <c r="AM1194" s="150"/>
      <c r="AN1194" s="150"/>
      <c r="AO1194" s="150"/>
      <c r="AP1194" s="150"/>
      <c r="AQ1194" s="150"/>
      <c r="AR1194" s="151"/>
      <c r="AS1194" s="456"/>
      <c r="AT1194" s="151"/>
      <c r="AU1194" s="150"/>
      <c r="AV1194" s="487"/>
      <c r="AW1194" s="150"/>
      <c r="AX1194" s="150"/>
      <c r="AY1194" s="150"/>
      <c r="AZ1194" s="150"/>
      <c r="BA1194" s="150"/>
      <c r="BB1194" s="150"/>
      <c r="BC1194" s="150"/>
      <c r="BD1194" s="150"/>
      <c r="BE1194" s="150"/>
      <c r="BF1194" s="150"/>
      <c r="BG1194" s="150"/>
      <c r="BH1194" s="150"/>
      <c r="BI1194" s="150">
        <v>450</v>
      </c>
      <c r="BJ1194" s="150"/>
      <c r="BK1194" s="515">
        <v>500</v>
      </c>
      <c r="BL1194" s="160"/>
      <c r="BM1194" s="150"/>
      <c r="BN1194" s="150"/>
      <c r="BO1194" s="150"/>
      <c r="BP1194" s="152"/>
      <c r="BQ1194" s="160"/>
      <c r="BR1194" s="152"/>
      <c r="BS1194" s="160"/>
    </row>
    <row r="1195" spans="1:71" ht="23.25" x14ac:dyDescent="0.3">
      <c r="A1195" s="420">
        <f>DL!A1192</f>
        <v>1073</v>
      </c>
      <c r="B1195" s="19" t="s">
        <v>2003</v>
      </c>
      <c r="C1195" s="149">
        <f>DL!L1192</f>
        <v>2</v>
      </c>
      <c r="D1195" s="149" t="str">
        <f>DL!C1192</f>
        <v>Pkt</v>
      </c>
      <c r="E1195" s="150"/>
      <c r="F1195" s="463"/>
      <c r="G1195" s="150"/>
      <c r="H1195" s="150"/>
      <c r="I1195" s="150"/>
      <c r="J1195" s="150"/>
      <c r="K1195" s="168"/>
      <c r="L1195" s="500"/>
      <c r="M1195" s="150">
        <v>276000</v>
      </c>
      <c r="N1195" s="150"/>
      <c r="O1195" s="150"/>
      <c r="P1195" s="150"/>
      <c r="Q1195" s="150">
        <v>31250</v>
      </c>
      <c r="R1195" s="150"/>
      <c r="S1195" s="150"/>
      <c r="T1195" s="150"/>
      <c r="U1195" s="150"/>
      <c r="V1195" s="150"/>
      <c r="W1195" s="168"/>
      <c r="X1195" s="150"/>
      <c r="Y1195" s="150"/>
      <c r="Z1195" s="455"/>
      <c r="AA1195" s="150"/>
      <c r="AB1195" s="150"/>
      <c r="AC1195" s="150"/>
      <c r="AD1195" s="150"/>
      <c r="AE1195" s="150"/>
      <c r="AF1195" s="494">
        <v>27000</v>
      </c>
      <c r="AG1195" s="150"/>
      <c r="AH1195" s="501"/>
      <c r="AI1195" s="150"/>
      <c r="AJ1195" s="150"/>
      <c r="AK1195" s="150"/>
      <c r="AL1195" s="150"/>
      <c r="AM1195" s="150"/>
      <c r="AN1195" s="150"/>
      <c r="AO1195" s="150"/>
      <c r="AP1195" s="150"/>
      <c r="AQ1195" s="150"/>
      <c r="AR1195" s="151"/>
      <c r="AS1195" s="456"/>
      <c r="AT1195" s="151"/>
      <c r="AU1195" s="150"/>
      <c r="AV1195" s="487"/>
      <c r="AW1195" s="150"/>
      <c r="AX1195" s="150"/>
      <c r="AY1195" s="150"/>
      <c r="AZ1195" s="150"/>
      <c r="BA1195" s="150"/>
      <c r="BB1195" s="150"/>
      <c r="BC1195" s="150"/>
      <c r="BD1195" s="150"/>
      <c r="BE1195" s="150"/>
      <c r="BF1195" s="150"/>
      <c r="BG1195" s="150"/>
      <c r="BH1195" s="150"/>
      <c r="BI1195" s="150">
        <v>37000</v>
      </c>
      <c r="BJ1195" s="150"/>
      <c r="BK1195" s="514">
        <v>30000</v>
      </c>
      <c r="BL1195" s="160"/>
      <c r="BM1195" s="150"/>
      <c r="BN1195" s="150"/>
      <c r="BO1195" s="150"/>
      <c r="BP1195" s="152"/>
      <c r="BQ1195" s="160"/>
      <c r="BR1195" s="152"/>
      <c r="BS1195" s="160"/>
    </row>
    <row r="1196" spans="1:71" ht="23.25" x14ac:dyDescent="0.3">
      <c r="A1196" s="420">
        <f>DL!A1193</f>
        <v>1074</v>
      </c>
      <c r="B1196" s="19" t="s">
        <v>2004</v>
      </c>
      <c r="C1196" s="149">
        <f>DL!L1193</f>
        <v>6</v>
      </c>
      <c r="D1196" s="149" t="str">
        <f>DL!C1193</f>
        <v>Pkt</v>
      </c>
      <c r="E1196" s="150"/>
      <c r="F1196" s="463"/>
      <c r="G1196" s="150"/>
      <c r="H1196" s="150"/>
      <c r="I1196" s="150"/>
      <c r="J1196" s="150"/>
      <c r="K1196" s="168"/>
      <c r="L1196" s="500"/>
      <c r="M1196" s="150">
        <v>900</v>
      </c>
      <c r="N1196" s="150"/>
      <c r="O1196" s="150"/>
      <c r="P1196" s="150"/>
      <c r="Q1196" s="150">
        <v>1125</v>
      </c>
      <c r="R1196" s="150"/>
      <c r="S1196" s="150"/>
      <c r="T1196" s="150"/>
      <c r="U1196" s="150"/>
      <c r="V1196" s="150"/>
      <c r="W1196" s="168"/>
      <c r="X1196" s="150"/>
      <c r="Y1196" s="150"/>
      <c r="Z1196" s="455"/>
      <c r="AA1196" s="150"/>
      <c r="AB1196" s="150"/>
      <c r="AC1196" s="150"/>
      <c r="AD1196" s="150"/>
      <c r="AE1196" s="150"/>
      <c r="AF1196" s="494">
        <v>1235</v>
      </c>
      <c r="AG1196" s="150"/>
      <c r="AH1196" s="502">
        <v>1200</v>
      </c>
      <c r="AI1196" s="150"/>
      <c r="AJ1196" s="150"/>
      <c r="AK1196" s="150"/>
      <c r="AL1196" s="150"/>
      <c r="AM1196" s="150"/>
      <c r="AN1196" s="150"/>
      <c r="AO1196" s="150"/>
      <c r="AP1196" s="150"/>
      <c r="AQ1196" s="150"/>
      <c r="AR1196" s="151"/>
      <c r="AS1196" s="456"/>
      <c r="AT1196" s="151"/>
      <c r="AU1196" s="150"/>
      <c r="AV1196" s="487"/>
      <c r="AW1196" s="150"/>
      <c r="AX1196" s="150"/>
      <c r="AY1196" s="150"/>
      <c r="AZ1196" s="150"/>
      <c r="BA1196" s="150"/>
      <c r="BB1196" s="150"/>
      <c r="BC1196" s="150"/>
      <c r="BD1196" s="150"/>
      <c r="BE1196" s="150"/>
      <c r="BF1196" s="150"/>
      <c r="BG1196" s="150"/>
      <c r="BH1196" s="150"/>
      <c r="BI1196" s="150">
        <v>1000</v>
      </c>
      <c r="BJ1196" s="150"/>
      <c r="BK1196" s="514">
        <v>1200</v>
      </c>
      <c r="BL1196" s="160"/>
      <c r="BM1196" s="150"/>
      <c r="BN1196" s="150"/>
      <c r="BO1196" s="150"/>
      <c r="BP1196" s="152"/>
      <c r="BQ1196" s="160"/>
      <c r="BR1196" s="152"/>
      <c r="BS1196" s="160"/>
    </row>
    <row r="1197" spans="1:71" ht="23.25" x14ac:dyDescent="0.3">
      <c r="A1197" s="420">
        <f>DL!A1194</f>
        <v>1075</v>
      </c>
      <c r="B1197" s="19" t="s">
        <v>2005</v>
      </c>
      <c r="C1197" s="149">
        <f>DL!L1194</f>
        <v>6</v>
      </c>
      <c r="D1197" s="149" t="str">
        <f>DL!C1194</f>
        <v>Pkt</v>
      </c>
      <c r="E1197" s="150"/>
      <c r="F1197" s="463"/>
      <c r="G1197" s="150"/>
      <c r="H1197" s="150"/>
      <c r="I1197" s="150"/>
      <c r="J1197" s="150"/>
      <c r="K1197" s="168"/>
      <c r="L1197" s="500"/>
      <c r="M1197" s="150">
        <v>900</v>
      </c>
      <c r="N1197" s="150"/>
      <c r="O1197" s="150"/>
      <c r="P1197" s="150"/>
      <c r="Q1197" s="150">
        <v>1125</v>
      </c>
      <c r="R1197" s="150"/>
      <c r="S1197" s="150"/>
      <c r="T1197" s="150"/>
      <c r="U1197" s="150"/>
      <c r="V1197" s="150"/>
      <c r="W1197" s="168"/>
      <c r="X1197" s="150"/>
      <c r="Y1197" s="150"/>
      <c r="Z1197" s="455"/>
      <c r="AA1197" s="150"/>
      <c r="AB1197" s="150"/>
      <c r="AC1197" s="150"/>
      <c r="AD1197" s="150"/>
      <c r="AE1197" s="150"/>
      <c r="AF1197" s="494">
        <v>1300</v>
      </c>
      <c r="AG1197" s="150"/>
      <c r="AH1197" s="502">
        <v>1200</v>
      </c>
      <c r="AI1197" s="150"/>
      <c r="AJ1197" s="150"/>
      <c r="AK1197" s="150"/>
      <c r="AL1197" s="150"/>
      <c r="AM1197" s="150"/>
      <c r="AN1197" s="150"/>
      <c r="AO1197" s="150"/>
      <c r="AP1197" s="150"/>
      <c r="AQ1197" s="150"/>
      <c r="AR1197" s="151"/>
      <c r="AS1197" s="456"/>
      <c r="AT1197" s="151"/>
      <c r="AU1197" s="150"/>
      <c r="AV1197" s="487"/>
      <c r="AW1197" s="150"/>
      <c r="AX1197" s="150"/>
      <c r="AY1197" s="150"/>
      <c r="AZ1197" s="150"/>
      <c r="BA1197" s="150"/>
      <c r="BB1197" s="150"/>
      <c r="BC1197" s="150"/>
      <c r="BD1197" s="150"/>
      <c r="BE1197" s="150"/>
      <c r="BF1197" s="150"/>
      <c r="BG1197" s="150"/>
      <c r="BH1197" s="150"/>
      <c r="BI1197" s="150">
        <v>1100</v>
      </c>
      <c r="BJ1197" s="150"/>
      <c r="BK1197" s="514">
        <v>1200</v>
      </c>
      <c r="BL1197" s="160"/>
      <c r="BM1197" s="150"/>
      <c r="BN1197" s="150"/>
      <c r="BO1197" s="150"/>
      <c r="BP1197" s="152"/>
      <c r="BQ1197" s="160"/>
      <c r="BR1197" s="152"/>
      <c r="BS1197" s="160"/>
    </row>
    <row r="1198" spans="1:71" ht="23.25" x14ac:dyDescent="0.3">
      <c r="A1198" s="420">
        <f>DL!A1195</f>
        <v>1076</v>
      </c>
      <c r="B1198" s="19" t="s">
        <v>2006</v>
      </c>
      <c r="C1198" s="149">
        <f>DL!L1195</f>
        <v>2</v>
      </c>
      <c r="D1198" s="149" t="str">
        <f>DL!C1195</f>
        <v>Pcs</v>
      </c>
      <c r="E1198" s="150"/>
      <c r="F1198" s="463"/>
      <c r="G1198" s="150"/>
      <c r="H1198" s="150"/>
      <c r="I1198" s="150"/>
      <c r="J1198" s="150"/>
      <c r="K1198" s="168"/>
      <c r="L1198" s="500"/>
      <c r="M1198" s="150">
        <v>3500</v>
      </c>
      <c r="N1198" s="150"/>
      <c r="O1198" s="150"/>
      <c r="P1198" s="150"/>
      <c r="Q1198" s="150">
        <v>15000</v>
      </c>
      <c r="R1198" s="150"/>
      <c r="S1198" s="150"/>
      <c r="T1198" s="150"/>
      <c r="U1198" s="150"/>
      <c r="V1198" s="150"/>
      <c r="W1198" s="168"/>
      <c r="X1198" s="150"/>
      <c r="Y1198" s="150"/>
      <c r="Z1198" s="455"/>
      <c r="AA1198" s="150"/>
      <c r="AB1198" s="150"/>
      <c r="AC1198" s="150"/>
      <c r="AD1198" s="150"/>
      <c r="AE1198" s="150"/>
      <c r="AF1198" s="495">
        <v>15600</v>
      </c>
      <c r="AG1198" s="150"/>
      <c r="AH1198" s="501"/>
      <c r="AI1198" s="150"/>
      <c r="AJ1198" s="150"/>
      <c r="AK1198" s="150"/>
      <c r="AL1198" s="150"/>
      <c r="AM1198" s="150"/>
      <c r="AN1198" s="150"/>
      <c r="AO1198" s="150"/>
      <c r="AP1198" s="150"/>
      <c r="AQ1198" s="150"/>
      <c r="AR1198" s="151"/>
      <c r="AS1198" s="456"/>
      <c r="AT1198" s="151"/>
      <c r="AU1198" s="150"/>
      <c r="AV1198" s="487"/>
      <c r="AW1198" s="150"/>
      <c r="AX1198" s="150"/>
      <c r="AY1198" s="150"/>
      <c r="AZ1198" s="150"/>
      <c r="BA1198" s="150"/>
      <c r="BB1198" s="150"/>
      <c r="BC1198" s="150"/>
      <c r="BD1198" s="150"/>
      <c r="BE1198" s="150"/>
      <c r="BF1198" s="150"/>
      <c r="BG1198" s="150"/>
      <c r="BH1198" s="150"/>
      <c r="BI1198" s="150"/>
      <c r="BJ1198" s="150"/>
      <c r="BK1198" s="514">
        <v>20000</v>
      </c>
      <c r="BL1198" s="160"/>
      <c r="BM1198" s="150"/>
      <c r="BN1198" s="150"/>
      <c r="BO1198" s="150"/>
      <c r="BP1198" s="152"/>
      <c r="BQ1198" s="160"/>
      <c r="BR1198" s="152"/>
      <c r="BS1198" s="160"/>
    </row>
    <row r="1199" spans="1:71" ht="23.25" x14ac:dyDescent="0.3">
      <c r="A1199" s="420">
        <f>DL!A1196</f>
        <v>1077</v>
      </c>
      <c r="B1199" s="19" t="s">
        <v>2007</v>
      </c>
      <c r="C1199" s="149">
        <f>DL!L1196</f>
        <v>10</v>
      </c>
      <c r="D1199" s="149" t="str">
        <f>DL!C1196</f>
        <v>Pkt</v>
      </c>
      <c r="E1199" s="150"/>
      <c r="F1199" s="463"/>
      <c r="G1199" s="150"/>
      <c r="H1199" s="150"/>
      <c r="I1199" s="150"/>
      <c r="J1199" s="150"/>
      <c r="K1199" s="168"/>
      <c r="L1199" s="500"/>
      <c r="M1199" s="150">
        <v>8500</v>
      </c>
      <c r="N1199" s="150"/>
      <c r="O1199" s="150"/>
      <c r="P1199" s="150"/>
      <c r="Q1199" s="150">
        <v>8125</v>
      </c>
      <c r="R1199" s="150"/>
      <c r="S1199" s="150"/>
      <c r="T1199" s="150"/>
      <c r="U1199" s="150"/>
      <c r="V1199" s="150"/>
      <c r="W1199" s="168"/>
      <c r="X1199" s="150"/>
      <c r="Y1199" s="150"/>
      <c r="Z1199" s="455"/>
      <c r="AA1199" s="150"/>
      <c r="AB1199" s="150"/>
      <c r="AC1199" s="150"/>
      <c r="AD1199" s="150"/>
      <c r="AE1199" s="150"/>
      <c r="AF1199" s="494">
        <v>11700</v>
      </c>
      <c r="AG1199" s="150"/>
      <c r="AH1199" s="501"/>
      <c r="AI1199" s="150"/>
      <c r="AJ1199" s="150"/>
      <c r="AK1199" s="150"/>
      <c r="AL1199" s="150"/>
      <c r="AM1199" s="150"/>
      <c r="AN1199" s="150"/>
      <c r="AO1199" s="150"/>
      <c r="AP1199" s="150"/>
      <c r="AQ1199" s="150"/>
      <c r="AR1199" s="151"/>
      <c r="AS1199" s="456"/>
      <c r="AT1199" s="151"/>
      <c r="AU1199" s="150"/>
      <c r="AV1199" s="487"/>
      <c r="AW1199" s="150"/>
      <c r="AX1199" s="150"/>
      <c r="AY1199" s="150"/>
      <c r="AZ1199" s="150"/>
      <c r="BA1199" s="150"/>
      <c r="BB1199" s="150"/>
      <c r="BC1199" s="150"/>
      <c r="BD1199" s="150"/>
      <c r="BE1199" s="150"/>
      <c r="BF1199" s="150"/>
      <c r="BG1199" s="150"/>
      <c r="BH1199" s="150"/>
      <c r="BI1199" s="150">
        <v>12000</v>
      </c>
      <c r="BJ1199" s="150"/>
      <c r="BK1199" s="514">
        <v>8500</v>
      </c>
      <c r="BL1199" s="160"/>
      <c r="BM1199" s="150"/>
      <c r="BN1199" s="150"/>
      <c r="BO1199" s="150"/>
      <c r="BP1199" s="152"/>
      <c r="BQ1199" s="160"/>
      <c r="BR1199" s="152"/>
      <c r="BS1199" s="160"/>
    </row>
    <row r="1200" spans="1:71" ht="23.25" x14ac:dyDescent="0.3">
      <c r="A1200" s="420">
        <f>DL!A1197</f>
        <v>1078</v>
      </c>
      <c r="B1200" s="19" t="s">
        <v>2008</v>
      </c>
      <c r="C1200" s="149">
        <f>DL!L1197</f>
        <v>5</v>
      </c>
      <c r="D1200" s="149" t="str">
        <f>DL!C1197</f>
        <v>Pkt</v>
      </c>
      <c r="E1200" s="150"/>
      <c r="F1200" s="463"/>
      <c r="G1200" s="150"/>
      <c r="H1200" s="150"/>
      <c r="I1200" s="150"/>
      <c r="J1200" s="150"/>
      <c r="K1200" s="168"/>
      <c r="L1200" s="500"/>
      <c r="M1200" s="150">
        <v>18000</v>
      </c>
      <c r="N1200" s="150"/>
      <c r="O1200" s="150"/>
      <c r="P1200" s="150"/>
      <c r="Q1200" s="150">
        <v>18125</v>
      </c>
      <c r="R1200" s="150"/>
      <c r="S1200" s="150"/>
      <c r="T1200" s="150"/>
      <c r="U1200" s="150"/>
      <c r="V1200" s="150"/>
      <c r="W1200" s="168"/>
      <c r="X1200" s="150"/>
      <c r="Y1200" s="150"/>
      <c r="Z1200" s="455"/>
      <c r="AA1200" s="150"/>
      <c r="AB1200" s="150"/>
      <c r="AC1200" s="150"/>
      <c r="AD1200" s="150"/>
      <c r="AE1200" s="150"/>
      <c r="AF1200" s="495">
        <v>27300</v>
      </c>
      <c r="AG1200" s="150"/>
      <c r="AH1200" s="501"/>
      <c r="AI1200" s="150"/>
      <c r="AJ1200" s="150"/>
      <c r="AK1200" s="150"/>
      <c r="AL1200" s="150"/>
      <c r="AM1200" s="150"/>
      <c r="AN1200" s="150"/>
      <c r="AO1200" s="150"/>
      <c r="AP1200" s="150"/>
      <c r="AQ1200" s="150"/>
      <c r="AR1200" s="151"/>
      <c r="AS1200" s="456"/>
      <c r="AT1200" s="151"/>
      <c r="AU1200" s="150"/>
      <c r="AV1200" s="487"/>
      <c r="AW1200" s="150"/>
      <c r="AX1200" s="150"/>
      <c r="AY1200" s="150"/>
      <c r="AZ1200" s="150"/>
      <c r="BA1200" s="150"/>
      <c r="BB1200" s="150"/>
      <c r="BC1200" s="150"/>
      <c r="BD1200" s="150"/>
      <c r="BE1200" s="150"/>
      <c r="BF1200" s="150"/>
      <c r="BG1200" s="150"/>
      <c r="BH1200" s="150"/>
      <c r="BI1200" s="150"/>
      <c r="BJ1200" s="150"/>
      <c r="BK1200" s="514">
        <v>85000</v>
      </c>
      <c r="BL1200" s="160"/>
      <c r="BM1200" s="150"/>
      <c r="BN1200" s="150"/>
      <c r="BO1200" s="150"/>
      <c r="BP1200" s="152"/>
      <c r="BQ1200" s="160"/>
      <c r="BR1200" s="152"/>
      <c r="BS1200" s="160"/>
    </row>
    <row r="1201" spans="1:71" ht="23.25" x14ac:dyDescent="0.3">
      <c r="A1201" s="420">
        <f>DL!A1198</f>
        <v>1079</v>
      </c>
      <c r="B1201" s="19" t="s">
        <v>1827</v>
      </c>
      <c r="C1201" s="149">
        <f>DL!L1198</f>
        <v>12</v>
      </c>
      <c r="D1201" s="149" t="str">
        <f>DL!C1198</f>
        <v>Bottles</v>
      </c>
      <c r="E1201" s="150"/>
      <c r="F1201" s="463"/>
      <c r="G1201" s="150"/>
      <c r="H1201" s="150"/>
      <c r="I1201" s="150"/>
      <c r="J1201" s="150"/>
      <c r="K1201" s="168"/>
      <c r="L1201" s="500"/>
      <c r="M1201" s="150">
        <v>7200</v>
      </c>
      <c r="N1201" s="150"/>
      <c r="O1201" s="150"/>
      <c r="P1201" s="150"/>
      <c r="Q1201" s="150">
        <v>4375</v>
      </c>
      <c r="R1201" s="150"/>
      <c r="S1201" s="150"/>
      <c r="T1201" s="150"/>
      <c r="U1201" s="150"/>
      <c r="V1201" s="150"/>
      <c r="W1201" s="168"/>
      <c r="X1201" s="150"/>
      <c r="Y1201" s="150"/>
      <c r="Z1201" s="455"/>
      <c r="AA1201" s="150"/>
      <c r="AB1201" s="150"/>
      <c r="AC1201" s="150"/>
      <c r="AD1201" s="150"/>
      <c r="AE1201" s="150"/>
      <c r="AF1201" s="494">
        <v>5850</v>
      </c>
      <c r="AG1201" s="150"/>
      <c r="AH1201" s="501"/>
      <c r="AI1201" s="150"/>
      <c r="AJ1201" s="150"/>
      <c r="AK1201" s="150"/>
      <c r="AL1201" s="150"/>
      <c r="AM1201" s="150"/>
      <c r="AN1201" s="150"/>
      <c r="AO1201" s="150"/>
      <c r="AP1201" s="150"/>
      <c r="AQ1201" s="150"/>
      <c r="AR1201" s="151"/>
      <c r="AS1201" s="456"/>
      <c r="AT1201" s="151"/>
      <c r="AU1201" s="150"/>
      <c r="AV1201" s="487"/>
      <c r="AW1201" s="150"/>
      <c r="AX1201" s="150"/>
      <c r="AY1201" s="150"/>
      <c r="AZ1201" s="150"/>
      <c r="BA1201" s="150"/>
      <c r="BB1201" s="150"/>
      <c r="BC1201" s="150"/>
      <c r="BD1201" s="150"/>
      <c r="BE1201" s="150"/>
      <c r="BF1201" s="150"/>
      <c r="BG1201" s="150"/>
      <c r="BH1201" s="150"/>
      <c r="BI1201" s="150">
        <v>3500</v>
      </c>
      <c r="BJ1201" s="150"/>
      <c r="BK1201" s="514">
        <v>5000</v>
      </c>
      <c r="BL1201" s="160"/>
      <c r="BM1201" s="150"/>
      <c r="BN1201" s="150"/>
      <c r="BO1201" s="150"/>
      <c r="BP1201" s="152"/>
      <c r="BQ1201" s="160"/>
      <c r="BR1201" s="152"/>
      <c r="BS1201" s="160"/>
    </row>
    <row r="1202" spans="1:71" ht="23.25" x14ac:dyDescent="0.3">
      <c r="A1202" s="420">
        <f>DL!A1199</f>
        <v>1080</v>
      </c>
      <c r="B1202" s="19" t="s">
        <v>2009</v>
      </c>
      <c r="C1202" s="149">
        <f>DL!L1199</f>
        <v>10</v>
      </c>
      <c r="D1202" s="149" t="str">
        <f>DL!C1199</f>
        <v>1 x 10</v>
      </c>
      <c r="E1202" s="150"/>
      <c r="F1202" s="463"/>
      <c r="G1202" s="150"/>
      <c r="H1202" s="150"/>
      <c r="I1202" s="150"/>
      <c r="J1202" s="150"/>
      <c r="K1202" s="168"/>
      <c r="L1202" s="500"/>
      <c r="M1202" s="150">
        <v>7200</v>
      </c>
      <c r="N1202" s="150"/>
      <c r="O1202" s="150"/>
      <c r="P1202" s="150"/>
      <c r="Q1202" s="150">
        <v>6875</v>
      </c>
      <c r="R1202" s="150"/>
      <c r="S1202" s="150"/>
      <c r="T1202" s="150"/>
      <c r="U1202" s="150"/>
      <c r="V1202" s="150"/>
      <c r="W1202" s="168"/>
      <c r="X1202" s="150"/>
      <c r="Y1202" s="150"/>
      <c r="Z1202" s="455"/>
      <c r="AA1202" s="150"/>
      <c r="AB1202" s="150"/>
      <c r="AC1202" s="150"/>
      <c r="AD1202" s="150"/>
      <c r="AE1202" s="150"/>
      <c r="AF1202" s="494">
        <v>12350</v>
      </c>
      <c r="AG1202" s="150"/>
      <c r="AH1202" s="501"/>
      <c r="AI1202" s="150"/>
      <c r="AJ1202" s="150"/>
      <c r="AK1202" s="150"/>
      <c r="AL1202" s="150"/>
      <c r="AM1202" s="150"/>
      <c r="AN1202" s="150"/>
      <c r="AO1202" s="150"/>
      <c r="AP1202" s="150"/>
      <c r="AQ1202" s="150"/>
      <c r="AR1202" s="151"/>
      <c r="AS1202" s="456"/>
      <c r="AT1202" s="151"/>
      <c r="AU1202" s="150"/>
      <c r="AV1202" s="487"/>
      <c r="AW1202" s="150"/>
      <c r="AX1202" s="150"/>
      <c r="AY1202" s="150"/>
      <c r="AZ1202" s="150"/>
      <c r="BA1202" s="150"/>
      <c r="BB1202" s="150"/>
      <c r="BC1202" s="150"/>
      <c r="BD1202" s="150"/>
      <c r="BE1202" s="150"/>
      <c r="BF1202" s="150"/>
      <c r="BG1202" s="150"/>
      <c r="BH1202" s="150"/>
      <c r="BI1202" s="150">
        <v>5500</v>
      </c>
      <c r="BJ1202" s="150"/>
      <c r="BK1202" s="514">
        <v>9500</v>
      </c>
      <c r="BL1202" s="160"/>
      <c r="BM1202" s="150"/>
      <c r="BN1202" s="150"/>
      <c r="BO1202" s="150"/>
      <c r="BP1202" s="152"/>
      <c r="BQ1202" s="160"/>
      <c r="BR1202" s="152"/>
      <c r="BS1202" s="160"/>
    </row>
    <row r="1203" spans="1:71" ht="23.25" x14ac:dyDescent="0.3">
      <c r="A1203" s="420">
        <f>DL!A1200</f>
        <v>1081</v>
      </c>
      <c r="B1203" s="19" t="s">
        <v>1605</v>
      </c>
      <c r="C1203" s="149">
        <f>DL!L1200</f>
        <v>12</v>
      </c>
      <c r="D1203" s="149" t="str">
        <f>DL!C1200</f>
        <v>1 x 10</v>
      </c>
      <c r="E1203" s="150"/>
      <c r="F1203" s="463"/>
      <c r="G1203" s="150"/>
      <c r="H1203" s="150"/>
      <c r="I1203" s="150"/>
      <c r="J1203" s="150"/>
      <c r="K1203" s="168"/>
      <c r="L1203" s="500"/>
      <c r="M1203" s="150">
        <v>7200</v>
      </c>
      <c r="N1203" s="150"/>
      <c r="O1203" s="150"/>
      <c r="P1203" s="150"/>
      <c r="Q1203" s="150">
        <v>6875</v>
      </c>
      <c r="R1203" s="150"/>
      <c r="S1203" s="150"/>
      <c r="T1203" s="150"/>
      <c r="U1203" s="150"/>
      <c r="V1203" s="150"/>
      <c r="W1203" s="168"/>
      <c r="X1203" s="150"/>
      <c r="Y1203" s="150"/>
      <c r="Z1203" s="455"/>
      <c r="AA1203" s="150"/>
      <c r="AB1203" s="150"/>
      <c r="AC1203" s="150"/>
      <c r="AD1203" s="150"/>
      <c r="AE1203" s="150"/>
      <c r="AF1203" s="494">
        <v>10400</v>
      </c>
      <c r="AG1203" s="150"/>
      <c r="AH1203" s="501"/>
      <c r="AI1203" s="150"/>
      <c r="AJ1203" s="150"/>
      <c r="AK1203" s="150"/>
      <c r="AL1203" s="150"/>
      <c r="AM1203" s="150"/>
      <c r="AN1203" s="150"/>
      <c r="AO1203" s="150"/>
      <c r="AP1203" s="150"/>
      <c r="AQ1203" s="150"/>
      <c r="AR1203" s="151"/>
      <c r="AS1203" s="456"/>
      <c r="AT1203" s="151"/>
      <c r="AU1203" s="150"/>
      <c r="AV1203" s="487"/>
      <c r="AW1203" s="150"/>
      <c r="AX1203" s="150"/>
      <c r="AY1203" s="150"/>
      <c r="AZ1203" s="150"/>
      <c r="BA1203" s="150"/>
      <c r="BB1203" s="150"/>
      <c r="BC1203" s="150"/>
      <c r="BD1203" s="150"/>
      <c r="BE1203" s="150"/>
      <c r="BF1203" s="150"/>
      <c r="BG1203" s="150"/>
      <c r="BH1203" s="150"/>
      <c r="BI1203" s="150">
        <v>5625</v>
      </c>
      <c r="BJ1203" s="150"/>
      <c r="BK1203" s="514">
        <v>7500</v>
      </c>
      <c r="BL1203" s="160"/>
      <c r="BM1203" s="150"/>
      <c r="BN1203" s="150"/>
      <c r="BO1203" s="150"/>
      <c r="BP1203" s="152"/>
      <c r="BQ1203" s="160"/>
      <c r="BR1203" s="152"/>
      <c r="BS1203" s="160"/>
    </row>
    <row r="1204" spans="1:71" ht="23.25" x14ac:dyDescent="0.3">
      <c r="A1204" s="420">
        <f>DL!A1201</f>
        <v>1082</v>
      </c>
      <c r="B1204" s="19" t="s">
        <v>1808</v>
      </c>
      <c r="C1204" s="149">
        <f>DL!L1201</f>
        <v>6</v>
      </c>
      <c r="D1204" s="149" t="str">
        <f>DL!C1201</f>
        <v>Pkt</v>
      </c>
      <c r="E1204" s="150"/>
      <c r="F1204" s="463"/>
      <c r="G1204" s="150"/>
      <c r="H1204" s="150"/>
      <c r="I1204" s="150"/>
      <c r="J1204" s="150"/>
      <c r="K1204" s="168"/>
      <c r="L1204" s="500"/>
      <c r="M1204" s="150">
        <v>10500</v>
      </c>
      <c r="N1204" s="150"/>
      <c r="O1204" s="150"/>
      <c r="P1204" s="150"/>
      <c r="Q1204" s="150">
        <v>11250</v>
      </c>
      <c r="R1204" s="150"/>
      <c r="S1204" s="150"/>
      <c r="T1204" s="150"/>
      <c r="U1204" s="150"/>
      <c r="V1204" s="150"/>
      <c r="W1204" s="168"/>
      <c r="X1204" s="150"/>
      <c r="Y1204" s="150"/>
      <c r="Z1204" s="455"/>
      <c r="AA1204" s="150"/>
      <c r="AB1204" s="150"/>
      <c r="AC1204" s="150">
        <v>9350</v>
      </c>
      <c r="AD1204" s="150"/>
      <c r="AE1204" s="150"/>
      <c r="AF1204" s="494">
        <v>11050</v>
      </c>
      <c r="AG1204" s="150"/>
      <c r="AH1204" s="501"/>
      <c r="AI1204" s="150"/>
      <c r="AJ1204" s="150"/>
      <c r="AK1204" s="150"/>
      <c r="AL1204" s="150"/>
      <c r="AM1204" s="150"/>
      <c r="AN1204" s="150"/>
      <c r="AO1204" s="150"/>
      <c r="AP1204" s="150"/>
      <c r="AQ1204" s="150"/>
      <c r="AR1204" s="151"/>
      <c r="AS1204" s="456"/>
      <c r="AT1204" s="151"/>
      <c r="AU1204" s="150"/>
      <c r="AV1204" s="487"/>
      <c r="AW1204" s="150"/>
      <c r="AX1204" s="150"/>
      <c r="AY1204" s="150"/>
      <c r="AZ1204" s="150"/>
      <c r="BA1204" s="150"/>
      <c r="BB1204" s="150"/>
      <c r="BC1204" s="150"/>
      <c r="BD1204" s="150"/>
      <c r="BE1204" s="150"/>
      <c r="BF1204" s="150"/>
      <c r="BG1204" s="150"/>
      <c r="BH1204" s="150"/>
      <c r="BI1204" s="150">
        <v>11250</v>
      </c>
      <c r="BJ1204" s="150"/>
      <c r="BK1204" s="514">
        <v>6500</v>
      </c>
      <c r="BL1204" s="160"/>
      <c r="BM1204" s="150"/>
      <c r="BN1204" s="150"/>
      <c r="BO1204" s="150"/>
      <c r="BP1204" s="152"/>
      <c r="BQ1204" s="160"/>
      <c r="BR1204" s="152"/>
      <c r="BS1204" s="160"/>
    </row>
    <row r="1205" spans="1:71" ht="23.25" x14ac:dyDescent="0.3">
      <c r="A1205" s="420">
        <f>DL!A1202</f>
        <v>1083</v>
      </c>
      <c r="B1205" s="19" t="s">
        <v>2010</v>
      </c>
      <c r="C1205" s="149">
        <f>DL!L1202</f>
        <v>6</v>
      </c>
      <c r="D1205" s="149" t="str">
        <f>DL!C1202</f>
        <v>Bottles</v>
      </c>
      <c r="E1205" s="150"/>
      <c r="F1205" s="463"/>
      <c r="G1205" s="150"/>
      <c r="H1205" s="150"/>
      <c r="I1205" s="150"/>
      <c r="J1205" s="150"/>
      <c r="K1205" s="168"/>
      <c r="L1205" s="500"/>
      <c r="M1205" s="150">
        <v>9500</v>
      </c>
      <c r="N1205" s="150"/>
      <c r="O1205" s="150"/>
      <c r="P1205" s="150"/>
      <c r="Q1205" s="150">
        <v>6000</v>
      </c>
      <c r="R1205" s="150"/>
      <c r="S1205" s="150"/>
      <c r="T1205" s="150"/>
      <c r="U1205" s="150"/>
      <c r="V1205" s="150"/>
      <c r="W1205" s="168"/>
      <c r="X1205" s="150"/>
      <c r="Y1205" s="150"/>
      <c r="Z1205" s="455"/>
      <c r="AA1205" s="150"/>
      <c r="AB1205" s="150"/>
      <c r="AC1205" s="150"/>
      <c r="AD1205" s="150"/>
      <c r="AE1205" s="150"/>
      <c r="AF1205" s="494">
        <v>13650</v>
      </c>
      <c r="AG1205" s="150"/>
      <c r="AH1205" s="501"/>
      <c r="AI1205" s="150"/>
      <c r="AJ1205" s="150"/>
      <c r="AK1205" s="150"/>
      <c r="AL1205" s="150"/>
      <c r="AM1205" s="150"/>
      <c r="AN1205" s="150"/>
      <c r="AO1205" s="150"/>
      <c r="AP1205" s="150"/>
      <c r="AQ1205" s="150"/>
      <c r="AR1205" s="151"/>
      <c r="AS1205" s="456"/>
      <c r="AT1205" s="151"/>
      <c r="AU1205" s="150"/>
      <c r="AV1205" s="487"/>
      <c r="AW1205" s="150"/>
      <c r="AX1205" s="150"/>
      <c r="AY1205" s="150"/>
      <c r="AZ1205" s="150"/>
      <c r="BA1205" s="150"/>
      <c r="BB1205" s="150"/>
      <c r="BC1205" s="150"/>
      <c r="BD1205" s="150"/>
      <c r="BE1205" s="150"/>
      <c r="BF1205" s="150"/>
      <c r="BG1205" s="150"/>
      <c r="BH1205" s="150"/>
      <c r="BI1205" s="150">
        <v>4500</v>
      </c>
      <c r="BJ1205" s="150"/>
      <c r="BK1205" s="514">
        <v>7500</v>
      </c>
      <c r="BL1205" s="160"/>
      <c r="BM1205" s="150"/>
      <c r="BN1205" s="150"/>
      <c r="BO1205" s="150"/>
      <c r="BP1205" s="152"/>
      <c r="BQ1205" s="160"/>
      <c r="BR1205" s="152"/>
      <c r="BS1205" s="160"/>
    </row>
    <row r="1206" spans="1:71" ht="23.25" x14ac:dyDescent="0.3">
      <c r="A1206" s="420">
        <f>DL!A1203</f>
        <v>1084</v>
      </c>
      <c r="B1206" s="19" t="s">
        <v>2011</v>
      </c>
      <c r="C1206" s="149">
        <f>DL!L1203</f>
        <v>3</v>
      </c>
      <c r="D1206" s="149" t="str">
        <f>DL!C1203</f>
        <v>Pkt</v>
      </c>
      <c r="E1206" s="150"/>
      <c r="F1206" s="463"/>
      <c r="G1206" s="150"/>
      <c r="H1206" s="150"/>
      <c r="I1206" s="150"/>
      <c r="J1206" s="150"/>
      <c r="K1206" s="168"/>
      <c r="L1206" s="500"/>
      <c r="M1206" s="150">
        <v>9500</v>
      </c>
      <c r="N1206" s="150"/>
      <c r="O1206" s="150"/>
      <c r="P1206" s="150"/>
      <c r="Q1206" s="150">
        <v>10625</v>
      </c>
      <c r="R1206" s="150"/>
      <c r="S1206" s="150"/>
      <c r="T1206" s="150"/>
      <c r="U1206" s="150"/>
      <c r="V1206" s="150"/>
      <c r="W1206" s="168"/>
      <c r="X1206" s="150"/>
      <c r="Y1206" s="150"/>
      <c r="Z1206" s="455"/>
      <c r="AA1206" s="150"/>
      <c r="AB1206" s="150"/>
      <c r="AC1206" s="150"/>
      <c r="AD1206" s="150"/>
      <c r="AE1206" s="150"/>
      <c r="AF1206" s="494">
        <v>12350</v>
      </c>
      <c r="AG1206" s="150"/>
      <c r="AH1206" s="501"/>
      <c r="AI1206" s="150"/>
      <c r="AJ1206" s="150"/>
      <c r="AK1206" s="150"/>
      <c r="AL1206" s="150"/>
      <c r="AM1206" s="150"/>
      <c r="AN1206" s="150"/>
      <c r="AO1206" s="150"/>
      <c r="AP1206" s="150"/>
      <c r="AQ1206" s="150"/>
      <c r="AR1206" s="151"/>
      <c r="AS1206" s="456"/>
      <c r="AT1206" s="151"/>
      <c r="AU1206" s="150"/>
      <c r="AV1206" s="487"/>
      <c r="AW1206" s="150"/>
      <c r="AX1206" s="150"/>
      <c r="AY1206" s="150"/>
      <c r="AZ1206" s="150"/>
      <c r="BA1206" s="150"/>
      <c r="BB1206" s="150"/>
      <c r="BC1206" s="150"/>
      <c r="BD1206" s="150"/>
      <c r="BE1206" s="150"/>
      <c r="BF1206" s="150"/>
      <c r="BG1206" s="150"/>
      <c r="BH1206" s="150"/>
      <c r="BI1206" s="150">
        <v>875</v>
      </c>
      <c r="BJ1206" s="150"/>
      <c r="BK1206" s="514">
        <v>8500</v>
      </c>
      <c r="BL1206" s="160"/>
      <c r="BM1206" s="150"/>
      <c r="BN1206" s="150"/>
      <c r="BO1206" s="150"/>
      <c r="BP1206" s="152"/>
      <c r="BQ1206" s="160"/>
      <c r="BR1206" s="152"/>
      <c r="BS1206" s="160"/>
    </row>
    <row r="1207" spans="1:71" ht="23.25" x14ac:dyDescent="0.3">
      <c r="A1207" s="420">
        <f>DL!A1204</f>
        <v>1085</v>
      </c>
      <c r="B1207" s="19" t="s">
        <v>2012</v>
      </c>
      <c r="C1207" s="149">
        <f>DL!L1204</f>
        <v>6</v>
      </c>
      <c r="D1207" s="149" t="str">
        <f>DL!C1204</f>
        <v>Bottle</v>
      </c>
      <c r="E1207" s="150"/>
      <c r="F1207" s="463"/>
      <c r="G1207" s="150"/>
      <c r="H1207" s="150"/>
      <c r="I1207" s="150"/>
      <c r="J1207" s="150"/>
      <c r="K1207" s="168"/>
      <c r="L1207" s="500"/>
      <c r="M1207" s="150">
        <v>2500</v>
      </c>
      <c r="N1207" s="150"/>
      <c r="O1207" s="150"/>
      <c r="P1207" s="150"/>
      <c r="Q1207" s="150">
        <v>3500</v>
      </c>
      <c r="R1207" s="150"/>
      <c r="S1207" s="150"/>
      <c r="T1207" s="150"/>
      <c r="U1207" s="150"/>
      <c r="V1207" s="150"/>
      <c r="W1207" s="168"/>
      <c r="X1207" s="150"/>
      <c r="Y1207" s="150"/>
      <c r="Z1207" s="455"/>
      <c r="AA1207" s="150"/>
      <c r="AB1207" s="150"/>
      <c r="AC1207" s="150"/>
      <c r="AD1207" s="150"/>
      <c r="AE1207" s="150"/>
      <c r="AF1207" s="494">
        <v>4550</v>
      </c>
      <c r="AG1207" s="150"/>
      <c r="AH1207" s="501"/>
      <c r="AI1207" s="150"/>
      <c r="AJ1207" s="150"/>
      <c r="AK1207" s="150"/>
      <c r="AL1207" s="150"/>
      <c r="AM1207" s="150"/>
      <c r="AN1207" s="150"/>
      <c r="AO1207" s="150"/>
      <c r="AP1207" s="150"/>
      <c r="AQ1207" s="150"/>
      <c r="AR1207" s="151"/>
      <c r="AS1207" s="456"/>
      <c r="AT1207" s="151"/>
      <c r="AU1207" s="150"/>
      <c r="AV1207" s="487"/>
      <c r="AW1207" s="150"/>
      <c r="AX1207" s="150"/>
      <c r="AY1207" s="150"/>
      <c r="AZ1207" s="150"/>
      <c r="BA1207" s="150"/>
      <c r="BB1207" s="150"/>
      <c r="BC1207" s="150"/>
      <c r="BD1207" s="150"/>
      <c r="BE1207" s="150"/>
      <c r="BF1207" s="150"/>
      <c r="BG1207" s="150"/>
      <c r="BH1207" s="150"/>
      <c r="BI1207" s="150">
        <v>300</v>
      </c>
      <c r="BJ1207" s="150"/>
      <c r="BK1207" s="514">
        <v>3500</v>
      </c>
      <c r="BL1207" s="160"/>
      <c r="BM1207" s="150"/>
      <c r="BN1207" s="150"/>
      <c r="BO1207" s="150"/>
      <c r="BP1207" s="152"/>
      <c r="BQ1207" s="160"/>
      <c r="BR1207" s="152"/>
      <c r="BS1207" s="160"/>
    </row>
    <row r="1208" spans="1:71" ht="23.25" x14ac:dyDescent="0.3">
      <c r="A1208" s="420">
        <f>DL!A1205</f>
        <v>1086</v>
      </c>
      <c r="B1208" s="19" t="s">
        <v>2013</v>
      </c>
      <c r="C1208" s="149">
        <f>DL!L1205</f>
        <v>6</v>
      </c>
      <c r="D1208" s="149" t="str">
        <f>DL!C1205</f>
        <v>Bottle</v>
      </c>
      <c r="E1208" s="150"/>
      <c r="F1208" s="463"/>
      <c r="G1208" s="150"/>
      <c r="H1208" s="150"/>
      <c r="I1208" s="150"/>
      <c r="J1208" s="150"/>
      <c r="K1208" s="168"/>
      <c r="L1208" s="500"/>
      <c r="M1208" s="150">
        <v>2500</v>
      </c>
      <c r="N1208" s="150"/>
      <c r="O1208" s="150"/>
      <c r="P1208" s="150"/>
      <c r="Q1208" s="150">
        <v>3500</v>
      </c>
      <c r="R1208" s="150"/>
      <c r="S1208" s="150"/>
      <c r="T1208" s="150"/>
      <c r="U1208" s="150"/>
      <c r="V1208" s="150"/>
      <c r="W1208" s="168"/>
      <c r="X1208" s="150"/>
      <c r="Y1208" s="150"/>
      <c r="Z1208" s="455"/>
      <c r="AA1208" s="150"/>
      <c r="AB1208" s="150"/>
      <c r="AC1208" s="150"/>
      <c r="AD1208" s="150"/>
      <c r="AE1208" s="150"/>
      <c r="AF1208" s="494">
        <v>4550</v>
      </c>
      <c r="AG1208" s="150"/>
      <c r="AH1208" s="501"/>
      <c r="AI1208" s="150"/>
      <c r="AJ1208" s="150"/>
      <c r="AK1208" s="150"/>
      <c r="AL1208" s="150"/>
      <c r="AM1208" s="150"/>
      <c r="AN1208" s="150"/>
      <c r="AO1208" s="150"/>
      <c r="AP1208" s="150"/>
      <c r="AQ1208" s="150"/>
      <c r="AR1208" s="151"/>
      <c r="AS1208" s="456"/>
      <c r="AT1208" s="151"/>
      <c r="AU1208" s="150"/>
      <c r="AV1208" s="487"/>
      <c r="AW1208" s="150"/>
      <c r="AX1208" s="150"/>
      <c r="AY1208" s="150"/>
      <c r="AZ1208" s="150"/>
      <c r="BA1208" s="150"/>
      <c r="BB1208" s="150"/>
      <c r="BC1208" s="150"/>
      <c r="BD1208" s="150"/>
      <c r="BE1208" s="150"/>
      <c r="BF1208" s="150"/>
      <c r="BG1208" s="150"/>
      <c r="BH1208" s="150"/>
      <c r="BI1208" s="150"/>
      <c r="BJ1208" s="150"/>
      <c r="BK1208" s="514">
        <v>3500</v>
      </c>
      <c r="BL1208" s="160"/>
      <c r="BM1208" s="150"/>
      <c r="BN1208" s="150"/>
      <c r="BO1208" s="150"/>
      <c r="BP1208" s="152"/>
      <c r="BQ1208" s="160"/>
      <c r="BR1208" s="152"/>
      <c r="BS1208" s="160"/>
    </row>
    <row r="1209" spans="1:71" ht="23.25" x14ac:dyDescent="0.3">
      <c r="A1209" s="420">
        <f>DL!A1206</f>
        <v>1087</v>
      </c>
      <c r="B1209" s="19" t="s">
        <v>2014</v>
      </c>
      <c r="C1209" s="149">
        <f>DL!L1206</f>
        <v>2</v>
      </c>
      <c r="D1209" s="149" t="str">
        <f>DL!C1206</f>
        <v>Bottles</v>
      </c>
      <c r="E1209" s="150"/>
      <c r="F1209" s="463"/>
      <c r="G1209" s="150"/>
      <c r="H1209" s="150"/>
      <c r="I1209" s="150"/>
      <c r="J1209" s="150"/>
      <c r="K1209" s="168"/>
      <c r="L1209" s="500"/>
      <c r="M1209" s="150">
        <v>3600</v>
      </c>
      <c r="N1209" s="150"/>
      <c r="O1209" s="150"/>
      <c r="P1209" s="150"/>
      <c r="Q1209" s="150">
        <v>4375</v>
      </c>
      <c r="R1209" s="150"/>
      <c r="S1209" s="150"/>
      <c r="T1209" s="150"/>
      <c r="U1209" s="150"/>
      <c r="V1209" s="150"/>
      <c r="W1209" s="168"/>
      <c r="X1209" s="150"/>
      <c r="Y1209" s="150"/>
      <c r="Z1209" s="455"/>
      <c r="AA1209" s="150"/>
      <c r="AB1209" s="150"/>
      <c r="AC1209" s="150"/>
      <c r="AD1209" s="150"/>
      <c r="AE1209" s="150"/>
      <c r="AF1209" s="494">
        <v>5850</v>
      </c>
      <c r="AG1209" s="150"/>
      <c r="AH1209" s="501"/>
      <c r="AI1209" s="150"/>
      <c r="AJ1209" s="150"/>
      <c r="AK1209" s="150"/>
      <c r="AL1209" s="150"/>
      <c r="AM1209" s="150"/>
      <c r="AN1209" s="150"/>
      <c r="AO1209" s="150"/>
      <c r="AP1209" s="150"/>
      <c r="AQ1209" s="150"/>
      <c r="AR1209" s="151"/>
      <c r="AS1209" s="456"/>
      <c r="AT1209" s="151"/>
      <c r="AU1209" s="150"/>
      <c r="AV1209" s="487"/>
      <c r="AW1209" s="150"/>
      <c r="AX1209" s="150"/>
      <c r="AY1209" s="150"/>
      <c r="AZ1209" s="150"/>
      <c r="BA1209" s="150"/>
      <c r="BB1209" s="150"/>
      <c r="BC1209" s="150"/>
      <c r="BD1209" s="150"/>
      <c r="BE1209" s="150"/>
      <c r="BF1209" s="150"/>
      <c r="BG1209" s="150"/>
      <c r="BH1209" s="150"/>
      <c r="BI1209" s="150"/>
      <c r="BJ1209" s="150"/>
      <c r="BK1209" s="514">
        <v>3500</v>
      </c>
      <c r="BL1209" s="160"/>
      <c r="BM1209" s="150"/>
      <c r="BN1209" s="150"/>
      <c r="BO1209" s="150"/>
      <c r="BP1209" s="152"/>
      <c r="BQ1209" s="160"/>
      <c r="BR1209" s="152"/>
      <c r="BS1209" s="160"/>
    </row>
    <row r="1210" spans="1:71" ht="23.25" x14ac:dyDescent="0.3">
      <c r="A1210" s="420">
        <f>DL!A1207</f>
        <v>1088</v>
      </c>
      <c r="B1210" s="19" t="s">
        <v>2015</v>
      </c>
      <c r="C1210" s="149">
        <f>DL!L1207</f>
        <v>6</v>
      </c>
      <c r="D1210" s="149" t="str">
        <f>DL!C1207</f>
        <v>Pkt</v>
      </c>
      <c r="E1210" s="150"/>
      <c r="F1210" s="463"/>
      <c r="G1210" s="150"/>
      <c r="H1210" s="150"/>
      <c r="I1210" s="150"/>
      <c r="J1210" s="150"/>
      <c r="K1210" s="168"/>
      <c r="L1210" s="500"/>
      <c r="M1210" s="150"/>
      <c r="N1210" s="150"/>
      <c r="O1210" s="150"/>
      <c r="P1210" s="150"/>
      <c r="Q1210" s="150">
        <v>13125</v>
      </c>
      <c r="R1210" s="150"/>
      <c r="S1210" s="150"/>
      <c r="T1210" s="150"/>
      <c r="U1210" s="150"/>
      <c r="V1210" s="150"/>
      <c r="W1210" s="168"/>
      <c r="X1210" s="150"/>
      <c r="Y1210" s="150"/>
      <c r="Z1210" s="455"/>
      <c r="AA1210" s="150"/>
      <c r="AB1210" s="150"/>
      <c r="AC1210" s="150"/>
      <c r="AD1210" s="150"/>
      <c r="AE1210" s="150"/>
      <c r="AF1210" s="494">
        <v>0</v>
      </c>
      <c r="AG1210" s="150"/>
      <c r="AH1210" s="501"/>
      <c r="AI1210" s="150"/>
      <c r="AJ1210" s="150"/>
      <c r="AK1210" s="150"/>
      <c r="AL1210" s="150"/>
      <c r="AM1210" s="150"/>
      <c r="AN1210" s="150"/>
      <c r="AO1210" s="150"/>
      <c r="AP1210" s="150"/>
      <c r="AQ1210" s="150"/>
      <c r="AR1210" s="151"/>
      <c r="AS1210" s="456"/>
      <c r="AT1210" s="151"/>
      <c r="AU1210" s="150"/>
      <c r="AV1210" s="487"/>
      <c r="AW1210" s="150"/>
      <c r="AX1210" s="150"/>
      <c r="AY1210" s="150"/>
      <c r="AZ1210" s="150"/>
      <c r="BA1210" s="150"/>
      <c r="BB1210" s="150"/>
      <c r="BC1210" s="150"/>
      <c r="BD1210" s="150"/>
      <c r="BE1210" s="150"/>
      <c r="BF1210" s="150"/>
      <c r="BG1210" s="150"/>
      <c r="BH1210" s="150"/>
      <c r="BI1210" s="150"/>
      <c r="BJ1210" s="150"/>
      <c r="BK1210" s="514">
        <v>15000</v>
      </c>
      <c r="BL1210" s="160"/>
      <c r="BM1210" s="150"/>
      <c r="BN1210" s="150"/>
      <c r="BO1210" s="150"/>
      <c r="BP1210" s="152"/>
      <c r="BQ1210" s="160"/>
      <c r="BR1210" s="152"/>
      <c r="BS1210" s="160"/>
    </row>
    <row r="1211" spans="1:71" ht="23.25" x14ac:dyDescent="0.3">
      <c r="A1211" s="420">
        <f>DL!A1208</f>
        <v>1089</v>
      </c>
      <c r="B1211" s="19" t="s">
        <v>2016</v>
      </c>
      <c r="C1211" s="149">
        <f>DL!L1208</f>
        <v>1</v>
      </c>
      <c r="D1211" s="149" t="str">
        <f>DL!C1208</f>
        <v>Bottle</v>
      </c>
      <c r="E1211" s="150"/>
      <c r="F1211" s="463"/>
      <c r="G1211" s="150"/>
      <c r="H1211" s="150"/>
      <c r="I1211" s="150"/>
      <c r="J1211" s="150"/>
      <c r="K1211" s="168"/>
      <c r="L1211" s="500"/>
      <c r="M1211" s="150">
        <v>21000</v>
      </c>
      <c r="N1211" s="150"/>
      <c r="O1211" s="150"/>
      <c r="P1211" s="150"/>
      <c r="Q1211" s="150">
        <v>19375</v>
      </c>
      <c r="R1211" s="150"/>
      <c r="S1211" s="150"/>
      <c r="T1211" s="150"/>
      <c r="U1211" s="150"/>
      <c r="V1211" s="150"/>
      <c r="W1211" s="168"/>
      <c r="X1211" s="150"/>
      <c r="Y1211" s="150"/>
      <c r="Z1211" s="455"/>
      <c r="AA1211" s="150"/>
      <c r="AB1211" s="150"/>
      <c r="AC1211" s="150"/>
      <c r="AD1211" s="150"/>
      <c r="AE1211" s="150"/>
      <c r="AF1211" s="495">
        <v>28470</v>
      </c>
      <c r="AG1211" s="150"/>
      <c r="AH1211" s="501"/>
      <c r="AI1211" s="150"/>
      <c r="AJ1211" s="150"/>
      <c r="AK1211" s="150"/>
      <c r="AL1211" s="150"/>
      <c r="AM1211" s="150"/>
      <c r="AN1211" s="150"/>
      <c r="AO1211" s="150"/>
      <c r="AP1211" s="150"/>
      <c r="AQ1211" s="150"/>
      <c r="AR1211" s="151"/>
      <c r="AS1211" s="456"/>
      <c r="AT1211" s="151"/>
      <c r="AU1211" s="150"/>
      <c r="AV1211" s="487"/>
      <c r="AW1211" s="150"/>
      <c r="AX1211" s="150"/>
      <c r="AY1211" s="150"/>
      <c r="AZ1211" s="150"/>
      <c r="BA1211" s="150"/>
      <c r="BB1211" s="150"/>
      <c r="BC1211" s="150"/>
      <c r="BD1211" s="150"/>
      <c r="BE1211" s="150"/>
      <c r="BF1211" s="150"/>
      <c r="BG1211" s="150"/>
      <c r="BH1211" s="150"/>
      <c r="BI1211" s="150">
        <v>19375</v>
      </c>
      <c r="BJ1211" s="150"/>
      <c r="BK1211" s="514">
        <v>18000</v>
      </c>
      <c r="BL1211" s="160"/>
      <c r="BM1211" s="150"/>
      <c r="BN1211" s="150"/>
      <c r="BO1211" s="150"/>
      <c r="BP1211" s="152"/>
      <c r="BQ1211" s="160"/>
      <c r="BR1211" s="152"/>
      <c r="BS1211" s="160"/>
    </row>
    <row r="1212" spans="1:71" ht="23.25" x14ac:dyDescent="0.3">
      <c r="A1212" s="420">
        <f>DL!A1209</f>
        <v>1090</v>
      </c>
      <c r="B1212" s="19" t="s">
        <v>1795</v>
      </c>
      <c r="C1212" s="149">
        <f>DL!L1209</f>
        <v>1</v>
      </c>
      <c r="D1212" s="149" t="str">
        <f>DL!C1209</f>
        <v>Bottle</v>
      </c>
      <c r="E1212" s="150"/>
      <c r="F1212" s="463"/>
      <c r="G1212" s="150"/>
      <c r="H1212" s="150"/>
      <c r="I1212" s="150"/>
      <c r="J1212" s="150"/>
      <c r="K1212" s="168"/>
      <c r="L1212" s="500"/>
      <c r="M1212" s="150">
        <v>21000</v>
      </c>
      <c r="N1212" s="150"/>
      <c r="O1212" s="150"/>
      <c r="P1212" s="150"/>
      <c r="Q1212" s="150">
        <v>21875</v>
      </c>
      <c r="R1212" s="150"/>
      <c r="S1212" s="150"/>
      <c r="T1212" s="150"/>
      <c r="U1212" s="150"/>
      <c r="V1212" s="150"/>
      <c r="W1212" s="168"/>
      <c r="X1212" s="150"/>
      <c r="Y1212" s="150"/>
      <c r="Z1212" s="455"/>
      <c r="AA1212" s="150"/>
      <c r="AB1212" s="150"/>
      <c r="AC1212" s="150"/>
      <c r="AD1212" s="150"/>
      <c r="AE1212" s="150"/>
      <c r="AF1212" s="495">
        <v>37570</v>
      </c>
      <c r="AG1212" s="150"/>
      <c r="AH1212" s="501"/>
      <c r="AI1212" s="150"/>
      <c r="AJ1212" s="150"/>
      <c r="AK1212" s="150"/>
      <c r="AL1212" s="150"/>
      <c r="AM1212" s="150"/>
      <c r="AN1212" s="150"/>
      <c r="AO1212" s="150"/>
      <c r="AP1212" s="150"/>
      <c r="AQ1212" s="150"/>
      <c r="AR1212" s="151"/>
      <c r="AS1212" s="456"/>
      <c r="AT1212" s="151"/>
      <c r="AU1212" s="150"/>
      <c r="AV1212" s="487"/>
      <c r="AW1212" s="150"/>
      <c r="AX1212" s="150"/>
      <c r="AY1212" s="150"/>
      <c r="AZ1212" s="150"/>
      <c r="BA1212" s="150"/>
      <c r="BB1212" s="150"/>
      <c r="BC1212" s="150"/>
      <c r="BD1212" s="150"/>
      <c r="BE1212" s="150"/>
      <c r="BF1212" s="150"/>
      <c r="BG1212" s="150"/>
      <c r="BH1212" s="150"/>
      <c r="BI1212" s="150">
        <v>21876</v>
      </c>
      <c r="BJ1212" s="150"/>
      <c r="BK1212" s="514">
        <v>20000</v>
      </c>
      <c r="BL1212" s="160"/>
      <c r="BM1212" s="150"/>
      <c r="BN1212" s="150"/>
      <c r="BO1212" s="150"/>
      <c r="BP1212" s="152"/>
      <c r="BQ1212" s="160"/>
      <c r="BR1212" s="152"/>
      <c r="BS1212" s="160"/>
    </row>
    <row r="1213" spans="1:71" ht="23.25" x14ac:dyDescent="0.3">
      <c r="A1213" s="420">
        <f>DL!A1210</f>
        <v>1091</v>
      </c>
      <c r="B1213" s="19" t="s">
        <v>2017</v>
      </c>
      <c r="C1213" s="149">
        <f>DL!L1210</f>
        <v>1</v>
      </c>
      <c r="D1213" s="149" t="str">
        <f>DL!C1210</f>
        <v>Carton</v>
      </c>
      <c r="E1213" s="150"/>
      <c r="F1213" s="463"/>
      <c r="G1213" s="150"/>
      <c r="H1213" s="150"/>
      <c r="I1213" s="150"/>
      <c r="J1213" s="150"/>
      <c r="K1213" s="168"/>
      <c r="L1213" s="500"/>
      <c r="M1213" s="150">
        <v>16500</v>
      </c>
      <c r="N1213" s="150"/>
      <c r="O1213" s="150"/>
      <c r="P1213" s="150"/>
      <c r="Q1213" s="150">
        <v>18750</v>
      </c>
      <c r="R1213" s="150"/>
      <c r="S1213" s="150"/>
      <c r="T1213" s="150"/>
      <c r="U1213" s="150"/>
      <c r="V1213" s="150"/>
      <c r="W1213" s="168"/>
      <c r="X1213" s="150"/>
      <c r="Y1213" s="150"/>
      <c r="Z1213" s="455"/>
      <c r="AA1213" s="150"/>
      <c r="AB1213" s="150"/>
      <c r="AC1213" s="150"/>
      <c r="AD1213" s="150"/>
      <c r="AE1213" s="150"/>
      <c r="AF1213" s="494">
        <v>19500</v>
      </c>
      <c r="AG1213" s="150"/>
      <c r="AH1213" s="502">
        <v>15000</v>
      </c>
      <c r="AI1213" s="150"/>
      <c r="AJ1213" s="150"/>
      <c r="AK1213" s="150"/>
      <c r="AL1213" s="150"/>
      <c r="AM1213" s="150"/>
      <c r="AN1213" s="150"/>
      <c r="AO1213" s="150"/>
      <c r="AP1213" s="150"/>
      <c r="AQ1213" s="150"/>
      <c r="AR1213" s="151"/>
      <c r="AS1213" s="456"/>
      <c r="AT1213" s="151"/>
      <c r="AU1213" s="150"/>
      <c r="AV1213" s="487"/>
      <c r="AW1213" s="150"/>
      <c r="AX1213" s="150"/>
      <c r="AY1213" s="150"/>
      <c r="AZ1213" s="150"/>
      <c r="BA1213" s="150"/>
      <c r="BB1213" s="150"/>
      <c r="BC1213" s="150"/>
      <c r="BD1213" s="150"/>
      <c r="BE1213" s="150"/>
      <c r="BF1213" s="150"/>
      <c r="BG1213" s="150"/>
      <c r="BH1213" s="150"/>
      <c r="BI1213" s="150">
        <v>18000</v>
      </c>
      <c r="BJ1213" s="150"/>
      <c r="BK1213" s="514">
        <v>17500</v>
      </c>
      <c r="BL1213" s="160"/>
      <c r="BM1213" s="150"/>
      <c r="BN1213" s="150"/>
      <c r="BO1213" s="150"/>
      <c r="BP1213" s="152"/>
      <c r="BQ1213" s="160"/>
      <c r="BR1213" s="152"/>
      <c r="BS1213" s="160"/>
    </row>
    <row r="1214" spans="1:71" ht="23.25" x14ac:dyDescent="0.3">
      <c r="A1214" s="420">
        <f>DL!A1211</f>
        <v>1092</v>
      </c>
      <c r="B1214" s="19" t="s">
        <v>2018</v>
      </c>
      <c r="C1214" s="149">
        <f>DL!L1211</f>
        <v>1</v>
      </c>
      <c r="D1214" s="149" t="str">
        <f>DL!C1211</f>
        <v>Carton</v>
      </c>
      <c r="E1214" s="150"/>
      <c r="F1214" s="463"/>
      <c r="G1214" s="150"/>
      <c r="H1214" s="150"/>
      <c r="I1214" s="150"/>
      <c r="J1214" s="150"/>
      <c r="K1214" s="168"/>
      <c r="L1214" s="500"/>
      <c r="M1214" s="150">
        <v>28500</v>
      </c>
      <c r="N1214" s="150"/>
      <c r="O1214" s="150"/>
      <c r="P1214" s="150"/>
      <c r="Q1214" s="150">
        <v>40000</v>
      </c>
      <c r="R1214" s="150"/>
      <c r="S1214" s="150"/>
      <c r="T1214" s="150"/>
      <c r="U1214" s="150"/>
      <c r="V1214" s="150"/>
      <c r="W1214" s="168"/>
      <c r="X1214" s="150"/>
      <c r="Y1214" s="150"/>
      <c r="Z1214" s="455"/>
      <c r="AA1214" s="150"/>
      <c r="AB1214" s="150"/>
      <c r="AC1214" s="150"/>
      <c r="AD1214" s="150"/>
      <c r="AE1214" s="150"/>
      <c r="AF1214" s="494">
        <v>1950</v>
      </c>
      <c r="AG1214" s="150"/>
      <c r="AH1214" s="502">
        <v>15000</v>
      </c>
      <c r="AI1214" s="150"/>
      <c r="AJ1214" s="150"/>
      <c r="AK1214" s="150"/>
      <c r="AL1214" s="150"/>
      <c r="AM1214" s="150"/>
      <c r="AN1214" s="150"/>
      <c r="AO1214" s="150"/>
      <c r="AP1214" s="150"/>
      <c r="AQ1214" s="150"/>
      <c r="AR1214" s="151"/>
      <c r="AS1214" s="456"/>
      <c r="AT1214" s="151"/>
      <c r="AU1214" s="150"/>
      <c r="AV1214" s="487"/>
      <c r="AW1214" s="150"/>
      <c r="AX1214" s="150"/>
      <c r="AY1214" s="150"/>
      <c r="AZ1214" s="150"/>
      <c r="BA1214" s="150"/>
      <c r="BB1214" s="150"/>
      <c r="BC1214" s="150"/>
      <c r="BD1214" s="150"/>
      <c r="BE1214" s="150"/>
      <c r="BF1214" s="150"/>
      <c r="BG1214" s="150"/>
      <c r="BH1214" s="150"/>
      <c r="BI1214" s="150">
        <v>18000</v>
      </c>
      <c r="BJ1214" s="150"/>
      <c r="BK1214" s="514">
        <v>35000</v>
      </c>
      <c r="BL1214" s="160"/>
      <c r="BM1214" s="150"/>
      <c r="BN1214" s="150"/>
      <c r="BO1214" s="150"/>
      <c r="BP1214" s="152"/>
      <c r="BQ1214" s="160"/>
      <c r="BR1214" s="152"/>
      <c r="BS1214" s="160"/>
    </row>
    <row r="1215" spans="1:71" ht="23.25" x14ac:dyDescent="0.3">
      <c r="A1215" s="420">
        <f>DL!A1212</f>
        <v>1093</v>
      </c>
      <c r="B1215" s="19" t="s">
        <v>2019</v>
      </c>
      <c r="C1215" s="149">
        <f>DL!L1212</f>
        <v>6</v>
      </c>
      <c r="D1215" s="149" t="str">
        <f>DL!C1212</f>
        <v>Box</v>
      </c>
      <c r="E1215" s="150"/>
      <c r="F1215" s="463"/>
      <c r="G1215" s="150"/>
      <c r="H1215" s="150"/>
      <c r="I1215" s="150"/>
      <c r="J1215" s="150"/>
      <c r="K1215" s="168"/>
      <c r="L1215" s="500"/>
      <c r="M1215" s="150">
        <v>12000</v>
      </c>
      <c r="N1215" s="150"/>
      <c r="O1215" s="150"/>
      <c r="P1215" s="150"/>
      <c r="Q1215" s="150">
        <v>13125</v>
      </c>
      <c r="R1215" s="150"/>
      <c r="S1215" s="150"/>
      <c r="T1215" s="150"/>
      <c r="U1215" s="150"/>
      <c r="V1215" s="150"/>
      <c r="W1215" s="168"/>
      <c r="X1215" s="150"/>
      <c r="Y1215" s="150"/>
      <c r="Z1215" s="455"/>
      <c r="AA1215" s="150"/>
      <c r="AB1215" s="150"/>
      <c r="AC1215" s="150"/>
      <c r="AD1215" s="150"/>
      <c r="AE1215" s="150"/>
      <c r="AF1215" s="494">
        <v>12350</v>
      </c>
      <c r="AG1215" s="150"/>
      <c r="AH1215" s="150"/>
      <c r="AI1215" s="150"/>
      <c r="AJ1215" s="150"/>
      <c r="AK1215" s="150"/>
      <c r="AL1215" s="150"/>
      <c r="AM1215" s="150"/>
      <c r="AN1215" s="150"/>
      <c r="AO1215" s="150"/>
      <c r="AP1215" s="150"/>
      <c r="AQ1215" s="150"/>
      <c r="AR1215" s="151"/>
      <c r="AS1215" s="456"/>
      <c r="AT1215" s="151"/>
      <c r="AU1215" s="150"/>
      <c r="AV1215" s="487"/>
      <c r="AW1215" s="150"/>
      <c r="AX1215" s="150"/>
      <c r="AY1215" s="150"/>
      <c r="AZ1215" s="150"/>
      <c r="BA1215" s="150"/>
      <c r="BB1215" s="150"/>
      <c r="BC1215" s="150"/>
      <c r="BD1215" s="150"/>
      <c r="BE1215" s="150"/>
      <c r="BF1215" s="150"/>
      <c r="BG1215" s="150"/>
      <c r="BH1215" s="150"/>
      <c r="BI1215" s="150">
        <v>14375</v>
      </c>
      <c r="BJ1215" s="150"/>
      <c r="BK1215" s="514">
        <v>9500</v>
      </c>
      <c r="BL1215" s="160"/>
      <c r="BM1215" s="150"/>
      <c r="BN1215" s="150"/>
      <c r="BO1215" s="150"/>
      <c r="BP1215" s="152"/>
      <c r="BQ1215" s="160"/>
      <c r="BR1215" s="152"/>
      <c r="BS1215" s="160"/>
    </row>
    <row r="1216" spans="1:71" ht="23.25" x14ac:dyDescent="0.3">
      <c r="A1216" s="420">
        <f>DL!A1213</f>
        <v>1094</v>
      </c>
      <c r="B1216" s="19" t="s">
        <v>2020</v>
      </c>
      <c r="C1216" s="149">
        <f>DL!L1213</f>
        <v>6</v>
      </c>
      <c r="D1216" s="149" t="str">
        <f>DL!C1213</f>
        <v>Box</v>
      </c>
      <c r="E1216" s="150"/>
      <c r="F1216" s="463"/>
      <c r="G1216" s="150"/>
      <c r="H1216" s="150"/>
      <c r="I1216" s="150"/>
      <c r="J1216" s="150"/>
      <c r="K1216" s="168"/>
      <c r="L1216" s="500"/>
      <c r="M1216" s="150">
        <v>12000</v>
      </c>
      <c r="N1216" s="150"/>
      <c r="O1216" s="150"/>
      <c r="P1216" s="150"/>
      <c r="Q1216" s="150">
        <v>13125</v>
      </c>
      <c r="R1216" s="150"/>
      <c r="S1216" s="150"/>
      <c r="T1216" s="150"/>
      <c r="U1216" s="150"/>
      <c r="V1216" s="150"/>
      <c r="W1216" s="168"/>
      <c r="X1216" s="150"/>
      <c r="Y1216" s="150"/>
      <c r="Z1216" s="455"/>
      <c r="AA1216" s="150"/>
      <c r="AB1216" s="150"/>
      <c r="AC1216" s="150"/>
      <c r="AD1216" s="150"/>
      <c r="AE1216" s="150"/>
      <c r="AF1216" s="494">
        <v>12350</v>
      </c>
      <c r="AG1216" s="150"/>
      <c r="AH1216" s="150"/>
      <c r="AI1216" s="150"/>
      <c r="AJ1216" s="150"/>
      <c r="AK1216" s="150"/>
      <c r="AL1216" s="150"/>
      <c r="AM1216" s="150"/>
      <c r="AN1216" s="150"/>
      <c r="AO1216" s="150"/>
      <c r="AP1216" s="150"/>
      <c r="AQ1216" s="150"/>
      <c r="AR1216" s="151"/>
      <c r="AS1216" s="456"/>
      <c r="AT1216" s="151"/>
      <c r="AU1216" s="150"/>
      <c r="AV1216" s="487"/>
      <c r="AW1216" s="150"/>
      <c r="AX1216" s="150"/>
      <c r="AY1216" s="150"/>
      <c r="AZ1216" s="150"/>
      <c r="BA1216" s="150"/>
      <c r="BB1216" s="150"/>
      <c r="BC1216" s="150"/>
      <c r="BD1216" s="150"/>
      <c r="BE1216" s="150"/>
      <c r="BF1216" s="150"/>
      <c r="BG1216" s="150"/>
      <c r="BH1216" s="150"/>
      <c r="BI1216" s="150">
        <v>14375</v>
      </c>
      <c r="BJ1216" s="150"/>
      <c r="BK1216" s="514">
        <v>9500</v>
      </c>
      <c r="BL1216" s="160"/>
      <c r="BM1216" s="150"/>
      <c r="BN1216" s="150"/>
      <c r="BO1216" s="150"/>
      <c r="BP1216" s="152"/>
      <c r="BQ1216" s="160"/>
      <c r="BR1216" s="152"/>
      <c r="BS1216" s="160"/>
    </row>
    <row r="1217" spans="1:71" ht="23.25" x14ac:dyDescent="0.3">
      <c r="A1217" s="420">
        <f>DL!A1214</f>
        <v>1095</v>
      </c>
      <c r="B1217" s="19" t="s">
        <v>2021</v>
      </c>
      <c r="C1217" s="149">
        <f>DL!L1214</f>
        <v>1</v>
      </c>
      <c r="D1217" s="149" t="str">
        <f>DL!C1214</f>
        <v>Carton</v>
      </c>
      <c r="E1217" s="150"/>
      <c r="F1217" s="463"/>
      <c r="G1217" s="150"/>
      <c r="H1217" s="150"/>
      <c r="I1217" s="150"/>
      <c r="J1217" s="150"/>
      <c r="K1217" s="168"/>
      <c r="L1217" s="500"/>
      <c r="M1217" s="150">
        <v>3500</v>
      </c>
      <c r="N1217" s="150"/>
      <c r="O1217" s="150"/>
      <c r="P1217" s="150"/>
      <c r="Q1217" s="150">
        <v>5000</v>
      </c>
      <c r="R1217" s="150"/>
      <c r="S1217" s="150"/>
      <c r="T1217" s="150"/>
      <c r="U1217" s="150"/>
      <c r="V1217" s="150"/>
      <c r="W1217" s="168"/>
      <c r="X1217" s="150"/>
      <c r="Y1217" s="150"/>
      <c r="Z1217" s="455"/>
      <c r="AA1217" s="150"/>
      <c r="AB1217" s="150"/>
      <c r="AC1217" s="150"/>
      <c r="AD1217" s="150"/>
      <c r="AE1217" s="150"/>
      <c r="AF1217" s="494">
        <v>4550</v>
      </c>
      <c r="AG1217" s="150"/>
      <c r="AH1217" s="150"/>
      <c r="AI1217" s="150"/>
      <c r="AJ1217" s="150"/>
      <c r="AK1217" s="150"/>
      <c r="AL1217" s="150"/>
      <c r="AM1217" s="150"/>
      <c r="AN1217" s="150"/>
      <c r="AO1217" s="150"/>
      <c r="AP1217" s="150"/>
      <c r="AQ1217" s="150"/>
      <c r="AR1217" s="151"/>
      <c r="AS1217" s="456"/>
      <c r="AT1217" s="151"/>
      <c r="AU1217" s="150"/>
      <c r="AV1217" s="487"/>
      <c r="AW1217" s="150"/>
      <c r="AX1217" s="150"/>
      <c r="AY1217" s="150"/>
      <c r="AZ1217" s="150"/>
      <c r="BA1217" s="150"/>
      <c r="BB1217" s="150"/>
      <c r="BC1217" s="150"/>
      <c r="BD1217" s="150"/>
      <c r="BE1217" s="150"/>
      <c r="BF1217" s="150"/>
      <c r="BG1217" s="150"/>
      <c r="BH1217" s="150"/>
      <c r="BI1217" s="150"/>
      <c r="BJ1217" s="150"/>
      <c r="BK1217" s="514">
        <v>15000</v>
      </c>
      <c r="BL1217" s="160"/>
      <c r="BM1217" s="150"/>
      <c r="BN1217" s="150"/>
      <c r="BO1217" s="150"/>
      <c r="BP1217" s="152"/>
      <c r="BQ1217" s="160"/>
      <c r="BR1217" s="152"/>
      <c r="BS1217" s="160"/>
    </row>
    <row r="1218" spans="1:71" ht="23.25" x14ac:dyDescent="0.3">
      <c r="A1218" s="420">
        <f>DL!A1215</f>
        <v>1096</v>
      </c>
      <c r="B1218" s="19" t="s">
        <v>2022</v>
      </c>
      <c r="C1218" s="149">
        <f>DL!L1215</f>
        <v>1</v>
      </c>
      <c r="D1218" s="149" t="str">
        <f>DL!C1215</f>
        <v>Pcs</v>
      </c>
      <c r="E1218" s="150"/>
      <c r="F1218" s="463"/>
      <c r="G1218" s="150"/>
      <c r="H1218" s="150"/>
      <c r="I1218" s="150"/>
      <c r="J1218" s="150"/>
      <c r="K1218" s="168"/>
      <c r="L1218" s="500"/>
      <c r="M1218" s="150">
        <v>700</v>
      </c>
      <c r="N1218" s="150"/>
      <c r="O1218" s="150"/>
      <c r="P1218" s="150"/>
      <c r="Q1218" s="150">
        <v>1000</v>
      </c>
      <c r="R1218" s="150"/>
      <c r="S1218" s="150"/>
      <c r="T1218" s="150"/>
      <c r="U1218" s="150"/>
      <c r="V1218" s="150"/>
      <c r="W1218" s="168"/>
      <c r="X1218" s="150"/>
      <c r="Y1218" s="150"/>
      <c r="Z1218" s="455"/>
      <c r="AA1218" s="150"/>
      <c r="AB1218" s="150"/>
      <c r="AC1218" s="150"/>
      <c r="AD1218" s="150"/>
      <c r="AE1218" s="150"/>
      <c r="AF1218" s="494">
        <v>3120</v>
      </c>
      <c r="AG1218" s="150"/>
      <c r="AH1218" s="150"/>
      <c r="AI1218" s="150"/>
      <c r="AJ1218" s="150"/>
      <c r="AK1218" s="150"/>
      <c r="AL1218" s="150"/>
      <c r="AM1218" s="150"/>
      <c r="AN1218" s="150"/>
      <c r="AO1218" s="150"/>
      <c r="AP1218" s="150"/>
      <c r="AQ1218" s="150"/>
      <c r="AR1218" s="151"/>
      <c r="AS1218" s="456"/>
      <c r="AT1218" s="151"/>
      <c r="AU1218" s="150"/>
      <c r="AV1218" s="487"/>
      <c r="AW1218" s="150"/>
      <c r="AX1218" s="150"/>
      <c r="AY1218" s="150"/>
      <c r="AZ1218" s="150"/>
      <c r="BA1218" s="150"/>
      <c r="BB1218" s="150"/>
      <c r="BC1218" s="150"/>
      <c r="BD1218" s="150"/>
      <c r="BE1218" s="150"/>
      <c r="BF1218" s="150"/>
      <c r="BG1218" s="150"/>
      <c r="BH1218" s="150"/>
      <c r="BI1218" s="150">
        <v>700</v>
      </c>
      <c r="BJ1218" s="150"/>
      <c r="BK1218" s="515">
        <v>650</v>
      </c>
      <c r="BL1218" s="160"/>
      <c r="BM1218" s="150"/>
      <c r="BN1218" s="150"/>
      <c r="BO1218" s="150"/>
      <c r="BP1218" s="152"/>
      <c r="BQ1218" s="160"/>
      <c r="BR1218" s="152"/>
      <c r="BS1218" s="160"/>
    </row>
    <row r="1219" spans="1:71" ht="23.25" x14ac:dyDescent="0.3">
      <c r="A1219" s="420">
        <f>DL!A1216</f>
        <v>1097</v>
      </c>
      <c r="B1219" s="19" t="s">
        <v>2023</v>
      </c>
      <c r="C1219" s="149">
        <f>DL!L1216</f>
        <v>1</v>
      </c>
      <c r="D1219" s="149" t="str">
        <f>DL!C1216</f>
        <v>Pcs</v>
      </c>
      <c r="E1219" s="150"/>
      <c r="F1219" s="463"/>
      <c r="G1219" s="150"/>
      <c r="H1219" s="150"/>
      <c r="I1219" s="150"/>
      <c r="J1219" s="150"/>
      <c r="K1219" s="168"/>
      <c r="L1219" s="500"/>
      <c r="M1219" s="150">
        <v>1500</v>
      </c>
      <c r="N1219" s="150"/>
      <c r="O1219" s="150"/>
      <c r="P1219" s="150"/>
      <c r="Q1219" s="150">
        <v>1125</v>
      </c>
      <c r="R1219" s="150"/>
      <c r="S1219" s="150"/>
      <c r="T1219" s="150"/>
      <c r="U1219" s="150"/>
      <c r="V1219" s="150"/>
      <c r="W1219" s="168"/>
      <c r="X1219" s="150"/>
      <c r="Y1219" s="150"/>
      <c r="Z1219" s="455"/>
      <c r="AA1219" s="150"/>
      <c r="AB1219" s="150"/>
      <c r="AC1219" s="150"/>
      <c r="AD1219" s="150"/>
      <c r="AE1219" s="150"/>
      <c r="AF1219" s="494">
        <v>3900</v>
      </c>
      <c r="AG1219" s="150"/>
      <c r="AH1219" s="150"/>
      <c r="AI1219" s="150"/>
      <c r="AJ1219" s="150"/>
      <c r="AK1219" s="150"/>
      <c r="AL1219" s="150"/>
      <c r="AM1219" s="150"/>
      <c r="AN1219" s="150"/>
      <c r="AO1219" s="150"/>
      <c r="AP1219" s="150"/>
      <c r="AQ1219" s="150"/>
      <c r="AR1219" s="151"/>
      <c r="AS1219" s="456"/>
      <c r="AT1219" s="151"/>
      <c r="AU1219" s="150"/>
      <c r="AV1219" s="487"/>
      <c r="AW1219" s="150"/>
      <c r="AX1219" s="150"/>
      <c r="AY1219" s="150"/>
      <c r="AZ1219" s="150"/>
      <c r="BA1219" s="150"/>
      <c r="BB1219" s="150"/>
      <c r="BC1219" s="150"/>
      <c r="BD1219" s="150"/>
      <c r="BE1219" s="150"/>
      <c r="BF1219" s="150"/>
      <c r="BG1219" s="150"/>
      <c r="BH1219" s="150"/>
      <c r="BI1219" s="150">
        <v>1000</v>
      </c>
      <c r="BJ1219" s="150"/>
      <c r="BK1219" s="514">
        <v>1200</v>
      </c>
      <c r="BL1219" s="160"/>
      <c r="BM1219" s="150"/>
      <c r="BN1219" s="150"/>
      <c r="BO1219" s="150"/>
      <c r="BP1219" s="152"/>
      <c r="BQ1219" s="160"/>
      <c r="BR1219" s="152"/>
      <c r="BS1219" s="160"/>
    </row>
    <row r="1220" spans="1:71" ht="23.25" x14ac:dyDescent="0.3">
      <c r="A1220" s="420">
        <f>DL!A1217</f>
        <v>1098</v>
      </c>
      <c r="B1220" s="19" t="s">
        <v>2024</v>
      </c>
      <c r="C1220" s="149">
        <f>DL!L1217</f>
        <v>1</v>
      </c>
      <c r="D1220" s="149" t="str">
        <f>DL!C1217</f>
        <v>Pcs</v>
      </c>
      <c r="E1220" s="150"/>
      <c r="F1220" s="463"/>
      <c r="G1220" s="150"/>
      <c r="H1220" s="150"/>
      <c r="I1220" s="150"/>
      <c r="J1220" s="150"/>
      <c r="K1220" s="168"/>
      <c r="L1220" s="500"/>
      <c r="M1220" s="150">
        <v>2000</v>
      </c>
      <c r="N1220" s="150"/>
      <c r="O1220" s="150"/>
      <c r="P1220" s="150"/>
      <c r="Q1220" s="150">
        <v>1875</v>
      </c>
      <c r="R1220" s="150"/>
      <c r="S1220" s="150"/>
      <c r="T1220" s="150"/>
      <c r="U1220" s="150"/>
      <c r="V1220" s="150"/>
      <c r="W1220" s="168"/>
      <c r="X1220" s="150"/>
      <c r="Y1220" s="150"/>
      <c r="Z1220" s="455"/>
      <c r="AA1220" s="150"/>
      <c r="AB1220" s="150"/>
      <c r="AC1220" s="150"/>
      <c r="AD1220" s="150"/>
      <c r="AE1220" s="150"/>
      <c r="AF1220" s="494">
        <v>11700</v>
      </c>
      <c r="AG1220" s="150"/>
      <c r="AH1220" s="150"/>
      <c r="AI1220" s="150"/>
      <c r="AJ1220" s="150"/>
      <c r="AK1220" s="150"/>
      <c r="AL1220" s="150"/>
      <c r="AM1220" s="150"/>
      <c r="AN1220" s="150"/>
      <c r="AO1220" s="150"/>
      <c r="AP1220" s="150"/>
      <c r="AQ1220" s="150"/>
      <c r="AR1220" s="151"/>
      <c r="AS1220" s="456"/>
      <c r="AT1220" s="151"/>
      <c r="AU1220" s="150"/>
      <c r="AV1220" s="487"/>
      <c r="AW1220" s="150"/>
      <c r="AX1220" s="150"/>
      <c r="AY1220" s="150"/>
      <c r="AZ1220" s="150"/>
      <c r="BA1220" s="150"/>
      <c r="BB1220" s="150"/>
      <c r="BC1220" s="150"/>
      <c r="BD1220" s="150"/>
      <c r="BE1220" s="150"/>
      <c r="BF1220" s="150"/>
      <c r="BG1220" s="150"/>
      <c r="BH1220" s="150"/>
      <c r="BI1220" s="150">
        <v>1600</v>
      </c>
      <c r="BJ1220" s="150"/>
      <c r="BK1220" s="514">
        <v>2000</v>
      </c>
      <c r="BL1220" s="160"/>
      <c r="BM1220" s="150"/>
      <c r="BN1220" s="150"/>
      <c r="BO1220" s="150"/>
      <c r="BP1220" s="152"/>
      <c r="BQ1220" s="160"/>
      <c r="BR1220" s="152"/>
      <c r="BS1220" s="160"/>
    </row>
    <row r="1221" spans="1:71" ht="23.25" x14ac:dyDescent="0.3">
      <c r="A1221" s="420">
        <f>DL!A1218</f>
        <v>1099</v>
      </c>
      <c r="B1221" s="19" t="s">
        <v>2025</v>
      </c>
      <c r="C1221" s="149">
        <f>DL!L1218</f>
        <v>1</v>
      </c>
      <c r="D1221" s="149" t="str">
        <f>DL!C1218</f>
        <v>Pcs</v>
      </c>
      <c r="E1221" s="150"/>
      <c r="F1221" s="463"/>
      <c r="G1221" s="150"/>
      <c r="H1221" s="150"/>
      <c r="I1221" s="150"/>
      <c r="J1221" s="150"/>
      <c r="K1221" s="168"/>
      <c r="L1221" s="500"/>
      <c r="M1221" s="150">
        <v>3000</v>
      </c>
      <c r="N1221" s="150"/>
      <c r="O1221" s="150"/>
      <c r="P1221" s="150"/>
      <c r="Q1221" s="150">
        <v>3125</v>
      </c>
      <c r="R1221" s="150"/>
      <c r="S1221" s="150"/>
      <c r="T1221" s="150"/>
      <c r="U1221" s="150"/>
      <c r="V1221" s="150"/>
      <c r="W1221" s="168"/>
      <c r="X1221" s="150"/>
      <c r="Y1221" s="150"/>
      <c r="Z1221" s="455"/>
      <c r="AA1221" s="150"/>
      <c r="AB1221" s="150"/>
      <c r="AC1221" s="150"/>
      <c r="AD1221" s="150"/>
      <c r="AE1221" s="150"/>
      <c r="AF1221" s="494">
        <v>15600</v>
      </c>
      <c r="AG1221" s="150"/>
      <c r="AH1221" s="150"/>
      <c r="AI1221" s="150"/>
      <c r="AJ1221" s="150"/>
      <c r="AK1221" s="150"/>
      <c r="AL1221" s="150"/>
      <c r="AM1221" s="150"/>
      <c r="AN1221" s="150"/>
      <c r="AO1221" s="150"/>
      <c r="AP1221" s="150"/>
      <c r="AQ1221" s="150"/>
      <c r="AR1221" s="151"/>
      <c r="AS1221" s="456"/>
      <c r="AT1221" s="151"/>
      <c r="AU1221" s="150"/>
      <c r="AV1221" s="487"/>
      <c r="AW1221" s="150"/>
      <c r="AX1221" s="150"/>
      <c r="AY1221" s="150"/>
      <c r="AZ1221" s="150"/>
      <c r="BA1221" s="150"/>
      <c r="BB1221" s="150"/>
      <c r="BC1221" s="150"/>
      <c r="BD1221" s="150"/>
      <c r="BE1221" s="150"/>
      <c r="BF1221" s="150"/>
      <c r="BG1221" s="150"/>
      <c r="BH1221" s="150"/>
      <c r="BI1221" s="150">
        <v>2300</v>
      </c>
      <c r="BJ1221" s="150"/>
      <c r="BK1221" s="514">
        <v>3000</v>
      </c>
      <c r="BL1221" s="160"/>
      <c r="BM1221" s="150"/>
      <c r="BN1221" s="150"/>
      <c r="BO1221" s="150"/>
      <c r="BP1221" s="152"/>
      <c r="BQ1221" s="160"/>
      <c r="BR1221" s="152"/>
      <c r="BS1221" s="160"/>
    </row>
    <row r="1222" spans="1:71" ht="23.25" x14ac:dyDescent="0.3">
      <c r="A1222" s="420">
        <f>DL!A1219</f>
        <v>1100</v>
      </c>
      <c r="B1222" s="19" t="s">
        <v>2026</v>
      </c>
      <c r="C1222" s="149">
        <f>DL!L1219</f>
        <v>3</v>
      </c>
      <c r="D1222" s="149" t="str">
        <f>DL!C1219</f>
        <v>Pcs</v>
      </c>
      <c r="E1222" s="150"/>
      <c r="F1222" s="463"/>
      <c r="G1222" s="150"/>
      <c r="H1222" s="150"/>
      <c r="I1222" s="150"/>
      <c r="J1222" s="150"/>
      <c r="K1222" s="168"/>
      <c r="L1222" s="500"/>
      <c r="M1222" s="150">
        <v>19000</v>
      </c>
      <c r="N1222" s="150"/>
      <c r="O1222" s="150"/>
      <c r="P1222" s="150"/>
      <c r="Q1222" s="150">
        <v>13750</v>
      </c>
      <c r="R1222" s="150"/>
      <c r="S1222" s="150"/>
      <c r="T1222" s="150"/>
      <c r="U1222" s="150"/>
      <c r="V1222" s="150"/>
      <c r="W1222" s="168"/>
      <c r="X1222" s="150"/>
      <c r="Y1222" s="150"/>
      <c r="Z1222" s="455"/>
      <c r="AA1222" s="150"/>
      <c r="AB1222" s="150"/>
      <c r="AC1222" s="150"/>
      <c r="AD1222" s="150"/>
      <c r="AE1222" s="150"/>
      <c r="AF1222" s="495">
        <v>15600</v>
      </c>
      <c r="AG1222" s="150"/>
      <c r="AH1222" s="150"/>
      <c r="AI1222" s="150"/>
      <c r="AJ1222" s="150"/>
      <c r="AK1222" s="150"/>
      <c r="AL1222" s="150"/>
      <c r="AM1222" s="150"/>
      <c r="AN1222" s="150"/>
      <c r="AO1222" s="150"/>
      <c r="AP1222" s="150"/>
      <c r="AQ1222" s="150"/>
      <c r="AR1222" s="151"/>
      <c r="AS1222" s="456"/>
      <c r="AT1222" s="151"/>
      <c r="AU1222" s="150"/>
      <c r="AV1222" s="487"/>
      <c r="AW1222" s="150"/>
      <c r="AX1222" s="150"/>
      <c r="AY1222" s="150"/>
      <c r="AZ1222" s="150"/>
      <c r="BA1222" s="150"/>
      <c r="BB1222" s="150"/>
      <c r="BC1222" s="150"/>
      <c r="BD1222" s="150"/>
      <c r="BE1222" s="150"/>
      <c r="BF1222" s="150"/>
      <c r="BG1222" s="150"/>
      <c r="BH1222" s="150"/>
      <c r="BI1222" s="150">
        <v>31400</v>
      </c>
      <c r="BJ1222" s="150"/>
      <c r="BK1222" s="514">
        <v>25000</v>
      </c>
      <c r="BL1222" s="160"/>
      <c r="BM1222" s="150"/>
      <c r="BN1222" s="150"/>
      <c r="BO1222" s="150"/>
      <c r="BP1222" s="152"/>
      <c r="BQ1222" s="160"/>
      <c r="BR1222" s="152"/>
      <c r="BS1222" s="160"/>
    </row>
    <row r="1223" spans="1:71" ht="23.25" x14ac:dyDescent="0.3">
      <c r="A1223" s="420">
        <f>DL!A1220</f>
        <v>1101</v>
      </c>
      <c r="B1223" s="19" t="s">
        <v>2027</v>
      </c>
      <c r="C1223" s="149">
        <f>DL!L1220</f>
        <v>36</v>
      </c>
      <c r="D1223" s="149" t="str">
        <f>DL!C1220</f>
        <v>packs</v>
      </c>
      <c r="E1223" s="150"/>
      <c r="F1223" s="463"/>
      <c r="G1223" s="150"/>
      <c r="H1223" s="150"/>
      <c r="I1223" s="150"/>
      <c r="J1223" s="150"/>
      <c r="K1223" s="168"/>
      <c r="L1223" s="500"/>
      <c r="M1223" s="150">
        <v>3990</v>
      </c>
      <c r="N1223" s="150"/>
      <c r="O1223" s="150"/>
      <c r="P1223" s="150"/>
      <c r="Q1223" s="150">
        <v>5625</v>
      </c>
      <c r="R1223" s="150"/>
      <c r="S1223" s="150"/>
      <c r="T1223" s="150"/>
      <c r="U1223" s="150"/>
      <c r="V1223" s="150"/>
      <c r="W1223" s="168"/>
      <c r="X1223" s="150"/>
      <c r="Y1223" s="150"/>
      <c r="Z1223" s="455"/>
      <c r="AA1223" s="150"/>
      <c r="AB1223" s="150"/>
      <c r="AC1223" s="150">
        <v>3390</v>
      </c>
      <c r="AD1223" s="150"/>
      <c r="AE1223" s="150"/>
      <c r="AF1223" s="494">
        <v>4550</v>
      </c>
      <c r="AG1223" s="150"/>
      <c r="AH1223" s="150"/>
      <c r="AI1223" s="150"/>
      <c r="AJ1223" s="150"/>
      <c r="AK1223" s="150"/>
      <c r="AL1223" s="150"/>
      <c r="AM1223" s="150"/>
      <c r="AN1223" s="150"/>
      <c r="AO1223" s="150"/>
      <c r="AP1223" s="150"/>
      <c r="AQ1223" s="150"/>
      <c r="AR1223" s="151"/>
      <c r="AS1223" s="456"/>
      <c r="AT1223" s="151"/>
      <c r="AU1223" s="150"/>
      <c r="AV1223" s="487"/>
      <c r="AW1223" s="150"/>
      <c r="AX1223" s="150"/>
      <c r="AY1223" s="150"/>
      <c r="AZ1223" s="150"/>
      <c r="BA1223" s="150"/>
      <c r="BB1223" s="150"/>
      <c r="BC1223" s="150"/>
      <c r="BD1223" s="150"/>
      <c r="BE1223" s="150"/>
      <c r="BF1223" s="150"/>
      <c r="BG1223" s="150"/>
      <c r="BH1223" s="150"/>
      <c r="BI1223" s="150"/>
      <c r="BJ1223" s="150"/>
      <c r="BK1223" s="514">
        <v>3500</v>
      </c>
      <c r="BL1223" s="160"/>
      <c r="BM1223" s="150"/>
      <c r="BN1223" s="150"/>
      <c r="BO1223" s="150"/>
      <c r="BP1223" s="152"/>
      <c r="BQ1223" s="160"/>
      <c r="BR1223" s="152"/>
      <c r="BS1223" s="160"/>
    </row>
    <row r="1224" spans="1:71" ht="23.25" x14ac:dyDescent="0.3">
      <c r="A1224" s="420"/>
      <c r="B1224" s="14"/>
      <c r="C1224" s="149"/>
      <c r="D1224" s="149"/>
      <c r="E1224" s="150"/>
      <c r="F1224" s="463"/>
      <c r="G1224" s="150"/>
      <c r="H1224" s="150"/>
      <c r="I1224" s="150"/>
      <c r="J1224" s="150"/>
      <c r="K1224" s="168"/>
      <c r="L1224" s="500"/>
      <c r="M1224" s="150"/>
      <c r="N1224" s="150"/>
      <c r="O1224" s="150"/>
      <c r="P1224" s="150"/>
      <c r="Q1224" s="150"/>
      <c r="R1224" s="150"/>
      <c r="S1224" s="150"/>
      <c r="T1224" s="150"/>
      <c r="U1224" s="150"/>
      <c r="V1224" s="150"/>
      <c r="W1224" s="168"/>
      <c r="X1224" s="150"/>
      <c r="Y1224" s="150"/>
      <c r="Z1224" s="455"/>
      <c r="AA1224" s="150"/>
      <c r="AB1224" s="150"/>
      <c r="AC1224" s="150"/>
      <c r="AD1224" s="150"/>
      <c r="AE1224" s="150"/>
      <c r="AF1224" s="150"/>
      <c r="AG1224" s="150"/>
      <c r="AH1224" s="150"/>
      <c r="AI1224" s="150"/>
      <c r="AJ1224" s="150"/>
      <c r="AK1224" s="150"/>
      <c r="AL1224" s="150"/>
      <c r="AM1224" s="150"/>
      <c r="AN1224" s="150"/>
      <c r="AO1224" s="150"/>
      <c r="AP1224" s="150"/>
      <c r="AQ1224" s="150"/>
      <c r="AR1224" s="151"/>
      <c r="AS1224" s="456"/>
      <c r="AT1224" s="151"/>
      <c r="AU1224" s="150"/>
      <c r="AV1224" s="487"/>
      <c r="AW1224" s="150"/>
      <c r="AX1224" s="150"/>
      <c r="AY1224" s="150"/>
      <c r="AZ1224" s="150"/>
      <c r="BA1224" s="150"/>
      <c r="BB1224" s="150"/>
      <c r="BC1224" s="150"/>
      <c r="BD1224" s="150"/>
      <c r="BE1224" s="150"/>
      <c r="BF1224" s="150"/>
      <c r="BG1224" s="150"/>
      <c r="BH1224" s="150"/>
      <c r="BI1224" s="150"/>
      <c r="BJ1224" s="150"/>
      <c r="BK1224" s="515"/>
      <c r="BL1224" s="160"/>
      <c r="BM1224" s="150"/>
      <c r="BN1224" s="150"/>
      <c r="BO1224" s="150"/>
      <c r="BP1224" s="152"/>
      <c r="BQ1224" s="160"/>
      <c r="BR1224" s="152"/>
      <c r="BS1224" s="160"/>
    </row>
    <row r="1225" spans="1:71" ht="23.25" x14ac:dyDescent="0.3">
      <c r="A1225" s="420"/>
      <c r="B1225" s="14"/>
      <c r="C1225" s="149"/>
      <c r="D1225" s="149"/>
      <c r="E1225" s="150"/>
      <c r="F1225" s="463"/>
      <c r="G1225" s="150"/>
      <c r="H1225" s="150"/>
      <c r="I1225" s="150"/>
      <c r="J1225" s="150"/>
      <c r="K1225" s="168"/>
      <c r="L1225" s="500"/>
      <c r="M1225" s="150"/>
      <c r="N1225" s="150"/>
      <c r="O1225" s="150"/>
      <c r="P1225" s="150"/>
      <c r="Q1225" s="150"/>
      <c r="R1225" s="150"/>
      <c r="S1225" s="150"/>
      <c r="T1225" s="150"/>
      <c r="U1225" s="150"/>
      <c r="V1225" s="150"/>
      <c r="W1225" s="168"/>
      <c r="X1225" s="150"/>
      <c r="Y1225" s="150"/>
      <c r="Z1225" s="455"/>
      <c r="AA1225" s="150"/>
      <c r="AB1225" s="150"/>
      <c r="AC1225" s="150"/>
      <c r="AD1225" s="150"/>
      <c r="AE1225" s="150"/>
      <c r="AF1225" s="150"/>
      <c r="AG1225" s="150"/>
      <c r="AH1225" s="150"/>
      <c r="AI1225" s="150"/>
      <c r="AJ1225" s="150"/>
      <c r="AK1225" s="150"/>
      <c r="AL1225" s="150"/>
      <c r="AM1225" s="150"/>
      <c r="AN1225" s="150"/>
      <c r="AO1225" s="150"/>
      <c r="AP1225" s="150"/>
      <c r="AQ1225" s="150"/>
      <c r="AR1225" s="151"/>
      <c r="AS1225" s="456"/>
      <c r="AT1225" s="151"/>
      <c r="AU1225" s="150"/>
      <c r="AV1225" s="487"/>
      <c r="AW1225" s="150"/>
      <c r="AX1225" s="150"/>
      <c r="AY1225" s="150"/>
      <c r="AZ1225" s="150"/>
      <c r="BA1225" s="150"/>
      <c r="BB1225" s="150"/>
      <c r="BC1225" s="150"/>
      <c r="BD1225" s="150"/>
      <c r="BE1225" s="150"/>
      <c r="BF1225" s="150"/>
      <c r="BG1225" s="150"/>
      <c r="BH1225" s="150"/>
      <c r="BI1225" s="150"/>
      <c r="BJ1225" s="150"/>
      <c r="BK1225" s="515"/>
      <c r="BL1225" s="160"/>
      <c r="BM1225" s="150"/>
      <c r="BN1225" s="150"/>
      <c r="BO1225" s="150"/>
      <c r="BP1225" s="152"/>
      <c r="BQ1225" s="160"/>
      <c r="BR1225" s="152"/>
      <c r="BS1225" s="160"/>
    </row>
    <row r="1226" spans="1:71" ht="23.25" x14ac:dyDescent="0.3">
      <c r="A1226" s="157"/>
      <c r="B1226" s="157"/>
      <c r="C1226" s="157"/>
      <c r="D1226" s="157"/>
      <c r="BK1226" s="515"/>
    </row>
    <row r="1227" spans="1:71" x14ac:dyDescent="0.3">
      <c r="A1227" s="157"/>
      <c r="B1227" s="157"/>
      <c r="C1227" s="157"/>
      <c r="D1227" s="157"/>
    </row>
    <row r="1228" spans="1:71" x14ac:dyDescent="0.3">
      <c r="A1228" s="157"/>
      <c r="B1228" s="157"/>
      <c r="C1228" s="157"/>
      <c r="D1228" s="157"/>
    </row>
    <row r="1229" spans="1:71" x14ac:dyDescent="0.3">
      <c r="A1229" s="157"/>
      <c r="B1229" s="157"/>
      <c r="C1229" s="157"/>
      <c r="D1229" s="157"/>
    </row>
    <row r="1230" spans="1:71" x14ac:dyDescent="0.3">
      <c r="A1230" s="157"/>
      <c r="B1230" s="157"/>
      <c r="C1230" s="157"/>
      <c r="D1230" s="157"/>
    </row>
    <row r="1231" spans="1:71" x14ac:dyDescent="0.3">
      <c r="A1231" s="157"/>
      <c r="B1231" s="157"/>
      <c r="C1231" s="157"/>
      <c r="D1231" s="157"/>
    </row>
    <row r="1232" spans="1:71" x14ac:dyDescent="0.3">
      <c r="A1232" s="157"/>
      <c r="B1232" s="157"/>
      <c r="C1232" s="157"/>
      <c r="D1232" s="157"/>
    </row>
    <row r="1233" spans="1:4" x14ac:dyDescent="0.3">
      <c r="A1233" s="157"/>
      <c r="B1233" s="157"/>
      <c r="C1233" s="157"/>
      <c r="D1233" s="157"/>
    </row>
    <row r="1234" spans="1:4" x14ac:dyDescent="0.3">
      <c r="A1234" s="157"/>
      <c r="B1234" s="157"/>
      <c r="C1234" s="157"/>
      <c r="D1234" s="157"/>
    </row>
    <row r="1235" spans="1:4" x14ac:dyDescent="0.3">
      <c r="A1235" s="157"/>
      <c r="B1235" s="157"/>
      <c r="C1235" s="157"/>
      <c r="D1235" s="157"/>
    </row>
    <row r="1236" spans="1:4" x14ac:dyDescent="0.3">
      <c r="A1236" s="157"/>
      <c r="B1236" s="157"/>
      <c r="C1236" s="157"/>
      <c r="D1236" s="157"/>
    </row>
    <row r="1237" spans="1:4" x14ac:dyDescent="0.3">
      <c r="A1237" s="157"/>
      <c r="B1237" s="157"/>
      <c r="C1237" s="157"/>
      <c r="D1237" s="157"/>
    </row>
    <row r="1238" spans="1:4" x14ac:dyDescent="0.3">
      <c r="A1238" s="157"/>
      <c r="B1238" s="157"/>
      <c r="C1238" s="157"/>
      <c r="D1238" s="157"/>
    </row>
    <row r="1239" spans="1:4" x14ac:dyDescent="0.3">
      <c r="A1239" s="157"/>
      <c r="B1239" s="157"/>
      <c r="C1239" s="157"/>
      <c r="D1239" s="157"/>
    </row>
    <row r="1240" spans="1:4" x14ac:dyDescent="0.3">
      <c r="A1240" s="157"/>
      <c r="B1240" s="157"/>
      <c r="C1240" s="157"/>
      <c r="D1240" s="157"/>
    </row>
    <row r="1241" spans="1:4" x14ac:dyDescent="0.3">
      <c r="A1241" s="157"/>
      <c r="B1241" s="157"/>
      <c r="C1241" s="157"/>
      <c r="D1241" s="157"/>
    </row>
    <row r="1242" spans="1:4" x14ac:dyDescent="0.3">
      <c r="A1242" s="157"/>
      <c r="B1242" s="157"/>
      <c r="C1242" s="157"/>
      <c r="D1242" s="157"/>
    </row>
    <row r="1243" spans="1:4" x14ac:dyDescent="0.3">
      <c r="A1243" s="157"/>
      <c r="B1243" s="157"/>
      <c r="C1243" s="157"/>
      <c r="D1243" s="157"/>
    </row>
    <row r="1244" spans="1:4" x14ac:dyDescent="0.3">
      <c r="A1244" s="157"/>
      <c r="B1244" s="157"/>
      <c r="C1244" s="157"/>
      <c r="D1244" s="157"/>
    </row>
    <row r="1245" spans="1:4" x14ac:dyDescent="0.3">
      <c r="A1245" s="157"/>
      <c r="B1245" s="157"/>
      <c r="C1245" s="157"/>
      <c r="D1245" s="157"/>
    </row>
    <row r="1246" spans="1:4" x14ac:dyDescent="0.3">
      <c r="A1246" s="157"/>
      <c r="B1246" s="157"/>
      <c r="C1246" s="157"/>
      <c r="D1246" s="157"/>
    </row>
    <row r="1247" spans="1:4" x14ac:dyDescent="0.3">
      <c r="A1247" s="157"/>
      <c r="B1247" s="157"/>
      <c r="C1247" s="157"/>
      <c r="D1247" s="157"/>
    </row>
    <row r="1248" spans="1:4" x14ac:dyDescent="0.3">
      <c r="A1248" s="157"/>
      <c r="B1248" s="157"/>
      <c r="C1248" s="157"/>
      <c r="D1248" s="157"/>
    </row>
    <row r="1249" spans="1:4" x14ac:dyDescent="0.3">
      <c r="A1249" s="157"/>
      <c r="B1249" s="157"/>
      <c r="C1249" s="157"/>
      <c r="D1249" s="157"/>
    </row>
    <row r="1250" spans="1:4" x14ac:dyDescent="0.3">
      <c r="A1250" s="157"/>
      <c r="B1250" s="157"/>
      <c r="C1250" s="157"/>
      <c r="D1250" s="157"/>
    </row>
    <row r="1251" spans="1:4" x14ac:dyDescent="0.3">
      <c r="A1251" s="157"/>
      <c r="B1251" s="157"/>
      <c r="C1251" s="157"/>
      <c r="D1251" s="157"/>
    </row>
    <row r="1252" spans="1:4" x14ac:dyDescent="0.3">
      <c r="A1252" s="157"/>
      <c r="B1252" s="157"/>
      <c r="C1252" s="157"/>
      <c r="D1252" s="157"/>
    </row>
    <row r="1253" spans="1:4" x14ac:dyDescent="0.3">
      <c r="A1253" s="157"/>
      <c r="B1253" s="157"/>
      <c r="C1253" s="157"/>
      <c r="D1253" s="157"/>
    </row>
    <row r="1254" spans="1:4" x14ac:dyDescent="0.3">
      <c r="A1254" s="157"/>
      <c r="B1254" s="157"/>
      <c r="C1254" s="157"/>
      <c r="D1254" s="157"/>
    </row>
    <row r="1255" spans="1:4" x14ac:dyDescent="0.3">
      <c r="A1255" s="157"/>
      <c r="B1255" s="157"/>
      <c r="C1255" s="157"/>
      <c r="D1255" s="157"/>
    </row>
    <row r="1256" spans="1:4" x14ac:dyDescent="0.3">
      <c r="A1256" s="157"/>
      <c r="B1256" s="157"/>
      <c r="C1256" s="157"/>
      <c r="D1256" s="157"/>
    </row>
    <row r="1257" spans="1:4" x14ac:dyDescent="0.3">
      <c r="A1257" s="157"/>
      <c r="B1257" s="157"/>
      <c r="C1257" s="157"/>
      <c r="D1257" s="157"/>
    </row>
    <row r="1258" spans="1:4" x14ac:dyDescent="0.3">
      <c r="A1258" s="157"/>
      <c r="B1258" s="157"/>
      <c r="C1258" s="157"/>
      <c r="D1258" s="157"/>
    </row>
    <row r="1259" spans="1:4" x14ac:dyDescent="0.3">
      <c r="A1259" s="157"/>
      <c r="B1259" s="157"/>
      <c r="C1259" s="157"/>
      <c r="D1259" s="157"/>
    </row>
    <row r="1260" spans="1:4" x14ac:dyDescent="0.3">
      <c r="A1260" s="157"/>
      <c r="B1260" s="157"/>
      <c r="C1260" s="157"/>
      <c r="D1260" s="157"/>
    </row>
    <row r="1261" spans="1:4" x14ac:dyDescent="0.3">
      <c r="A1261" s="157"/>
      <c r="B1261" s="157"/>
      <c r="C1261" s="157"/>
      <c r="D1261" s="157"/>
    </row>
    <row r="1262" spans="1:4" x14ac:dyDescent="0.3">
      <c r="A1262" s="157"/>
      <c r="B1262" s="157"/>
      <c r="C1262" s="157"/>
      <c r="D1262" s="157"/>
    </row>
    <row r="1263" spans="1:4" x14ac:dyDescent="0.3">
      <c r="A1263" s="157"/>
      <c r="B1263" s="157"/>
      <c r="C1263" s="157"/>
      <c r="D1263" s="157"/>
    </row>
    <row r="1264" spans="1:4" x14ac:dyDescent="0.3">
      <c r="A1264" s="157"/>
      <c r="B1264" s="157"/>
      <c r="C1264" s="157"/>
      <c r="D1264" s="157"/>
    </row>
    <row r="1265" spans="1:4" x14ac:dyDescent="0.3">
      <c r="A1265" s="157"/>
      <c r="B1265" s="157"/>
      <c r="C1265" s="157"/>
      <c r="D1265" s="157"/>
    </row>
    <row r="1266" spans="1:4" x14ac:dyDescent="0.3">
      <c r="A1266" s="157"/>
      <c r="B1266" s="157"/>
      <c r="C1266" s="157"/>
      <c r="D1266" s="157"/>
    </row>
    <row r="1267" spans="1:4" x14ac:dyDescent="0.3">
      <c r="A1267" s="157"/>
      <c r="B1267" s="157"/>
      <c r="C1267" s="157"/>
      <c r="D1267" s="157"/>
    </row>
    <row r="1268" spans="1:4" x14ac:dyDescent="0.3">
      <c r="A1268" s="157"/>
      <c r="B1268" s="157"/>
      <c r="C1268" s="157"/>
      <c r="D1268" s="157"/>
    </row>
    <row r="1269" spans="1:4" x14ac:dyDescent="0.3">
      <c r="A1269" s="157"/>
      <c r="B1269" s="157"/>
      <c r="C1269" s="157"/>
      <c r="D1269" s="157"/>
    </row>
    <row r="1270" spans="1:4" x14ac:dyDescent="0.3">
      <c r="A1270" s="157"/>
      <c r="B1270" s="157"/>
      <c r="C1270" s="157"/>
      <c r="D1270" s="157"/>
    </row>
    <row r="1271" spans="1:4" x14ac:dyDescent="0.3">
      <c r="A1271" s="157"/>
      <c r="B1271" s="157"/>
      <c r="C1271" s="157"/>
      <c r="D1271" s="157"/>
    </row>
    <row r="1272" spans="1:4" x14ac:dyDescent="0.3">
      <c r="A1272" s="157"/>
      <c r="B1272" s="157"/>
      <c r="C1272" s="157"/>
      <c r="D1272" s="157"/>
    </row>
    <row r="1273" spans="1:4" x14ac:dyDescent="0.3">
      <c r="A1273" s="157"/>
      <c r="B1273" s="157"/>
      <c r="C1273" s="157"/>
      <c r="D1273" s="157"/>
    </row>
    <row r="1274" spans="1:4" x14ac:dyDescent="0.3">
      <c r="A1274" s="157"/>
      <c r="B1274" s="157"/>
      <c r="C1274" s="157"/>
      <c r="D1274" s="157"/>
    </row>
    <row r="1275" spans="1:4" x14ac:dyDescent="0.3">
      <c r="A1275" s="157"/>
      <c r="B1275" s="157"/>
      <c r="C1275" s="157"/>
      <c r="D1275" s="157"/>
    </row>
    <row r="1276" spans="1:4" x14ac:dyDescent="0.3">
      <c r="A1276" s="157"/>
      <c r="B1276" s="157"/>
      <c r="C1276" s="157"/>
      <c r="D1276" s="157"/>
    </row>
    <row r="1277" spans="1:4" x14ac:dyDescent="0.3">
      <c r="A1277" s="157"/>
      <c r="B1277" s="157"/>
      <c r="C1277" s="157"/>
      <c r="D1277" s="157"/>
    </row>
    <row r="1278" spans="1:4" x14ac:dyDescent="0.3">
      <c r="A1278" s="157"/>
      <c r="B1278" s="157"/>
      <c r="C1278" s="157"/>
      <c r="D1278" s="157"/>
    </row>
    <row r="1279" spans="1:4" x14ac:dyDescent="0.3">
      <c r="A1279" s="157"/>
      <c r="B1279" s="157"/>
      <c r="C1279" s="157"/>
      <c r="D1279" s="157"/>
    </row>
    <row r="1280" spans="1:4" x14ac:dyDescent="0.3">
      <c r="A1280" s="157"/>
      <c r="B1280" s="157"/>
      <c r="C1280" s="157"/>
      <c r="D1280" s="157"/>
    </row>
    <row r="1281" spans="1:4" x14ac:dyDescent="0.3">
      <c r="A1281" s="157"/>
      <c r="B1281" s="157"/>
      <c r="C1281" s="157"/>
      <c r="D1281" s="157"/>
    </row>
    <row r="1282" spans="1:4" x14ac:dyDescent="0.3">
      <c r="A1282" s="157"/>
      <c r="B1282" s="157"/>
      <c r="C1282" s="157"/>
      <c r="D1282" s="157"/>
    </row>
    <row r="1283" spans="1:4" x14ac:dyDescent="0.3">
      <c r="A1283" s="157"/>
      <c r="B1283" s="157"/>
      <c r="C1283" s="157"/>
      <c r="D1283" s="157"/>
    </row>
    <row r="1284" spans="1:4" x14ac:dyDescent="0.3">
      <c r="A1284" s="157"/>
      <c r="B1284" s="157"/>
      <c r="C1284" s="157"/>
      <c r="D1284" s="157"/>
    </row>
    <row r="1285" spans="1:4" x14ac:dyDescent="0.3">
      <c r="A1285" s="157"/>
      <c r="B1285" s="157"/>
      <c r="C1285" s="157"/>
      <c r="D1285" s="157"/>
    </row>
    <row r="1286" spans="1:4" x14ac:dyDescent="0.3">
      <c r="A1286" s="157"/>
      <c r="B1286" s="157"/>
      <c r="C1286" s="157"/>
      <c r="D1286" s="157"/>
    </row>
    <row r="1287" spans="1:4" x14ac:dyDescent="0.3">
      <c r="A1287" s="157"/>
      <c r="B1287" s="157"/>
      <c r="C1287" s="157"/>
      <c r="D1287" s="157"/>
    </row>
    <row r="1288" spans="1:4" x14ac:dyDescent="0.3">
      <c r="A1288" s="157"/>
      <c r="B1288" s="157"/>
      <c r="C1288" s="157"/>
      <c r="D1288" s="157"/>
    </row>
    <row r="1289" spans="1:4" x14ac:dyDescent="0.3">
      <c r="A1289" s="157"/>
      <c r="B1289" s="157"/>
      <c r="C1289" s="157"/>
      <c r="D1289" s="157"/>
    </row>
    <row r="1290" spans="1:4" x14ac:dyDescent="0.3">
      <c r="A1290" s="157"/>
      <c r="B1290" s="157"/>
      <c r="C1290" s="157"/>
      <c r="D1290" s="157"/>
    </row>
    <row r="1291" spans="1:4" x14ac:dyDescent="0.3">
      <c r="A1291" s="157"/>
      <c r="B1291" s="157"/>
      <c r="C1291" s="157"/>
      <c r="D1291" s="157"/>
    </row>
    <row r="1292" spans="1:4" x14ac:dyDescent="0.3">
      <c r="A1292" s="157"/>
      <c r="B1292" s="157"/>
      <c r="C1292" s="157"/>
      <c r="D1292" s="157"/>
    </row>
    <row r="1293" spans="1:4" x14ac:dyDescent="0.3">
      <c r="A1293" s="157"/>
      <c r="B1293" s="157"/>
      <c r="C1293" s="157"/>
      <c r="D1293" s="157"/>
    </row>
    <row r="1294" spans="1:4" x14ac:dyDescent="0.3">
      <c r="A1294" s="157"/>
      <c r="B1294" s="157"/>
      <c r="C1294" s="157"/>
      <c r="D1294" s="157"/>
    </row>
    <row r="1295" spans="1:4" x14ac:dyDescent="0.3">
      <c r="A1295" s="157"/>
      <c r="B1295" s="157"/>
      <c r="C1295" s="157"/>
      <c r="D1295" s="157"/>
    </row>
    <row r="1296" spans="1:4" x14ac:dyDescent="0.3">
      <c r="A1296" s="157"/>
      <c r="B1296" s="157"/>
      <c r="C1296" s="157"/>
      <c r="D1296" s="157"/>
    </row>
    <row r="1297" spans="1:4" x14ac:dyDescent="0.3">
      <c r="A1297" s="157"/>
      <c r="B1297" s="157"/>
      <c r="C1297" s="157"/>
      <c r="D1297" s="157"/>
    </row>
    <row r="1298" spans="1:4" x14ac:dyDescent="0.3">
      <c r="A1298" s="157"/>
      <c r="B1298" s="157"/>
      <c r="C1298" s="157"/>
      <c r="D1298" s="157"/>
    </row>
    <row r="1299" spans="1:4" x14ac:dyDescent="0.3">
      <c r="A1299" s="157"/>
      <c r="B1299" s="157"/>
      <c r="C1299" s="157"/>
      <c r="D1299" s="157"/>
    </row>
    <row r="1300" spans="1:4" x14ac:dyDescent="0.3">
      <c r="A1300" s="157"/>
      <c r="B1300" s="157"/>
      <c r="C1300" s="157"/>
      <c r="D1300" s="157"/>
    </row>
    <row r="1301" spans="1:4" x14ac:dyDescent="0.3">
      <c r="A1301" s="157"/>
      <c r="B1301" s="157"/>
      <c r="C1301" s="157"/>
      <c r="D1301" s="157"/>
    </row>
    <row r="1302" spans="1:4" x14ac:dyDescent="0.3">
      <c r="A1302" s="157"/>
      <c r="B1302" s="157"/>
      <c r="C1302" s="157"/>
      <c r="D1302" s="157"/>
    </row>
    <row r="1303" spans="1:4" x14ac:dyDescent="0.3">
      <c r="A1303" s="157"/>
      <c r="B1303" s="157"/>
      <c r="C1303" s="157"/>
      <c r="D1303" s="157"/>
    </row>
    <row r="1304" spans="1:4" x14ac:dyDescent="0.3">
      <c r="A1304" s="157"/>
      <c r="B1304" s="157"/>
      <c r="C1304" s="157"/>
      <c r="D1304" s="157"/>
    </row>
    <row r="1305" spans="1:4" x14ac:dyDescent="0.3">
      <c r="A1305" s="157"/>
      <c r="B1305" s="157"/>
      <c r="C1305" s="157"/>
      <c r="D1305" s="157"/>
    </row>
    <row r="1306" spans="1:4" x14ac:dyDescent="0.3">
      <c r="A1306" s="157"/>
      <c r="B1306" s="157"/>
      <c r="C1306" s="157"/>
      <c r="D1306" s="157"/>
    </row>
    <row r="1307" spans="1:4" x14ac:dyDescent="0.3">
      <c r="A1307" s="157"/>
      <c r="B1307" s="157"/>
      <c r="C1307" s="157"/>
      <c r="D1307" s="157"/>
    </row>
    <row r="1308" spans="1:4" x14ac:dyDescent="0.3">
      <c r="A1308" s="157"/>
      <c r="B1308" s="157"/>
      <c r="C1308" s="157"/>
      <c r="D1308" s="157"/>
    </row>
    <row r="1309" spans="1:4" x14ac:dyDescent="0.3">
      <c r="A1309" s="157"/>
      <c r="B1309" s="157"/>
      <c r="C1309" s="157"/>
      <c r="D1309" s="157"/>
    </row>
    <row r="1310" spans="1:4" x14ac:dyDescent="0.3">
      <c r="A1310" s="157"/>
      <c r="B1310" s="157"/>
      <c r="C1310" s="157"/>
      <c r="D1310" s="157"/>
    </row>
    <row r="1311" spans="1:4" x14ac:dyDescent="0.3">
      <c r="A1311" s="157"/>
      <c r="B1311" s="157"/>
      <c r="C1311" s="157"/>
      <c r="D1311" s="157"/>
    </row>
    <row r="1312" spans="1:4" x14ac:dyDescent="0.3">
      <c r="A1312" s="157"/>
      <c r="B1312" s="157"/>
      <c r="C1312" s="157"/>
      <c r="D1312" s="157"/>
    </row>
    <row r="1313" spans="1:4" x14ac:dyDescent="0.3">
      <c r="A1313" s="157"/>
      <c r="B1313" s="157"/>
      <c r="C1313" s="157"/>
      <c r="D1313" s="157"/>
    </row>
    <row r="1314" spans="1:4" x14ac:dyDescent="0.3">
      <c r="A1314" s="157"/>
      <c r="B1314" s="157"/>
      <c r="C1314" s="157"/>
      <c r="D1314" s="157"/>
    </row>
    <row r="1315" spans="1:4" x14ac:dyDescent="0.3">
      <c r="A1315" s="157"/>
      <c r="B1315" s="157"/>
      <c r="C1315" s="157"/>
      <c r="D1315" s="157"/>
    </row>
    <row r="1316" spans="1:4" x14ac:dyDescent="0.3">
      <c r="A1316" s="157"/>
      <c r="B1316" s="157"/>
      <c r="C1316" s="157"/>
      <c r="D1316" s="157"/>
    </row>
    <row r="1317" spans="1:4" x14ac:dyDescent="0.3">
      <c r="A1317" s="157"/>
      <c r="B1317" s="157"/>
      <c r="C1317" s="157"/>
      <c r="D1317" s="157"/>
    </row>
    <row r="1318" spans="1:4" x14ac:dyDescent="0.3">
      <c r="A1318" s="157"/>
      <c r="B1318" s="157"/>
      <c r="C1318" s="157"/>
      <c r="D1318" s="157"/>
    </row>
    <row r="1319" spans="1:4" x14ac:dyDescent="0.3">
      <c r="A1319" s="157"/>
      <c r="B1319" s="157"/>
      <c r="C1319" s="157"/>
      <c r="D1319" s="157"/>
    </row>
    <row r="1320" spans="1:4" x14ac:dyDescent="0.3">
      <c r="A1320" s="157"/>
      <c r="B1320" s="157"/>
      <c r="C1320" s="157"/>
      <c r="D1320" s="157"/>
    </row>
    <row r="1321" spans="1:4" x14ac:dyDescent="0.3">
      <c r="A1321" s="157"/>
      <c r="B1321" s="157"/>
      <c r="C1321" s="157"/>
      <c r="D1321" s="157"/>
    </row>
    <row r="1322" spans="1:4" x14ac:dyDescent="0.3">
      <c r="A1322" s="157"/>
      <c r="B1322" s="157"/>
      <c r="C1322" s="157"/>
      <c r="D1322" s="157"/>
    </row>
    <row r="1323" spans="1:4" x14ac:dyDescent="0.3">
      <c r="A1323" s="157"/>
      <c r="B1323" s="157"/>
      <c r="C1323" s="157"/>
      <c r="D1323" s="157"/>
    </row>
    <row r="1324" spans="1:4" x14ac:dyDescent="0.3">
      <c r="A1324" s="157"/>
      <c r="B1324" s="157"/>
      <c r="C1324" s="157"/>
      <c r="D1324" s="157"/>
    </row>
    <row r="1325" spans="1:4" x14ac:dyDescent="0.3">
      <c r="A1325" s="157"/>
      <c r="B1325" s="157"/>
      <c r="C1325" s="157"/>
      <c r="D1325" s="157"/>
    </row>
    <row r="1326" spans="1:4" x14ac:dyDescent="0.3">
      <c r="A1326" s="157"/>
      <c r="B1326" s="157"/>
      <c r="C1326" s="157"/>
      <c r="D1326" s="157"/>
    </row>
    <row r="1327" spans="1:4" x14ac:dyDescent="0.3">
      <c r="A1327" s="157"/>
      <c r="B1327" s="157"/>
      <c r="C1327" s="157"/>
      <c r="D1327" s="157"/>
    </row>
    <row r="1328" spans="1:4" x14ac:dyDescent="0.3">
      <c r="A1328" s="157"/>
      <c r="B1328" s="157"/>
      <c r="C1328" s="157"/>
      <c r="D1328" s="157"/>
    </row>
    <row r="1329" spans="1:4" x14ac:dyDescent="0.3">
      <c r="A1329" s="157"/>
      <c r="B1329" s="157"/>
      <c r="C1329" s="157"/>
      <c r="D1329" s="157"/>
    </row>
    <row r="1330" spans="1:4" x14ac:dyDescent="0.3">
      <c r="A1330" s="157"/>
      <c r="B1330" s="157"/>
      <c r="C1330" s="157"/>
      <c r="D1330" s="157"/>
    </row>
    <row r="1331" spans="1:4" x14ac:dyDescent="0.3">
      <c r="A1331" s="157"/>
      <c r="B1331" s="157"/>
      <c r="C1331" s="157"/>
      <c r="D1331" s="157"/>
    </row>
    <row r="1332" spans="1:4" x14ac:dyDescent="0.3">
      <c r="A1332" s="157"/>
      <c r="B1332" s="157"/>
      <c r="C1332" s="157"/>
      <c r="D1332" s="157"/>
    </row>
    <row r="1333" spans="1:4" x14ac:dyDescent="0.3">
      <c r="A1333" s="157"/>
      <c r="B1333" s="157"/>
      <c r="C1333" s="157"/>
      <c r="D1333" s="157"/>
    </row>
    <row r="1334" spans="1:4" x14ac:dyDescent="0.3">
      <c r="A1334" s="157"/>
      <c r="B1334" s="157"/>
      <c r="C1334" s="157"/>
      <c r="D1334" s="157"/>
    </row>
    <row r="1335" spans="1:4" x14ac:dyDescent="0.3">
      <c r="A1335" s="157"/>
      <c r="B1335" s="157"/>
      <c r="C1335" s="157"/>
      <c r="D1335" s="157"/>
    </row>
    <row r="1336" spans="1:4" x14ac:dyDescent="0.3">
      <c r="A1336" s="157"/>
      <c r="B1336" s="157"/>
      <c r="C1336" s="157"/>
      <c r="D1336" s="157"/>
    </row>
    <row r="1337" spans="1:4" x14ac:dyDescent="0.3">
      <c r="A1337" s="157"/>
      <c r="B1337" s="157"/>
      <c r="C1337" s="157"/>
      <c r="D1337" s="157"/>
    </row>
    <row r="1338" spans="1:4" x14ac:dyDescent="0.3">
      <c r="A1338" s="157"/>
      <c r="B1338" s="157"/>
      <c r="C1338" s="157"/>
      <c r="D1338" s="157"/>
    </row>
    <row r="1339" spans="1:4" x14ac:dyDescent="0.3">
      <c r="A1339" s="157"/>
      <c r="B1339" s="157"/>
      <c r="C1339" s="157"/>
      <c r="D1339" s="157"/>
    </row>
    <row r="1340" spans="1:4" x14ac:dyDescent="0.3">
      <c r="A1340" s="157"/>
      <c r="B1340" s="157"/>
      <c r="C1340" s="157"/>
      <c r="D1340" s="157"/>
    </row>
    <row r="1341" spans="1:4" x14ac:dyDescent="0.3">
      <c r="A1341" s="157"/>
      <c r="B1341" s="157"/>
      <c r="C1341" s="157"/>
      <c r="D1341" s="157"/>
    </row>
    <row r="1342" spans="1:4" x14ac:dyDescent="0.3">
      <c r="A1342" s="157"/>
      <c r="B1342" s="157"/>
      <c r="C1342" s="157"/>
      <c r="D1342" s="157"/>
    </row>
    <row r="1343" spans="1:4" x14ac:dyDescent="0.3">
      <c r="A1343" s="157"/>
      <c r="B1343" s="157"/>
      <c r="C1343" s="157"/>
      <c r="D1343" s="157"/>
    </row>
    <row r="1344" spans="1:4" x14ac:dyDescent="0.3">
      <c r="A1344" s="157"/>
      <c r="B1344" s="157"/>
      <c r="C1344" s="157"/>
      <c r="D1344" s="157"/>
    </row>
    <row r="1345" spans="1:4" x14ac:dyDescent="0.3">
      <c r="A1345" s="157"/>
      <c r="B1345" s="157"/>
      <c r="C1345" s="157"/>
      <c r="D1345" s="157"/>
    </row>
    <row r="1346" spans="1:4" x14ac:dyDescent="0.3">
      <c r="A1346" s="157"/>
      <c r="B1346" s="157"/>
      <c r="C1346" s="157"/>
      <c r="D1346" s="157"/>
    </row>
    <row r="1347" spans="1:4" x14ac:dyDescent="0.3">
      <c r="A1347" s="157"/>
      <c r="B1347" s="157"/>
      <c r="C1347" s="157"/>
      <c r="D1347" s="157"/>
    </row>
    <row r="1348" spans="1:4" x14ac:dyDescent="0.3">
      <c r="A1348" s="157"/>
      <c r="B1348" s="157"/>
      <c r="C1348" s="157"/>
      <c r="D1348" s="157"/>
    </row>
    <row r="1349" spans="1:4" x14ac:dyDescent="0.3">
      <c r="A1349" s="157"/>
      <c r="B1349" s="157"/>
      <c r="C1349" s="157"/>
      <c r="D1349" s="157"/>
    </row>
    <row r="1350" spans="1:4" x14ac:dyDescent="0.3">
      <c r="A1350" s="157"/>
      <c r="B1350" s="157"/>
      <c r="C1350" s="157"/>
      <c r="D1350" s="157"/>
    </row>
    <row r="1351" spans="1:4" x14ac:dyDescent="0.3">
      <c r="A1351" s="157"/>
      <c r="B1351" s="157"/>
      <c r="C1351" s="157"/>
      <c r="D1351" s="157"/>
    </row>
    <row r="1352" spans="1:4" x14ac:dyDescent="0.3">
      <c r="A1352" s="157"/>
      <c r="B1352" s="157"/>
      <c r="C1352" s="157"/>
      <c r="D1352" s="157"/>
    </row>
    <row r="1353" spans="1:4" x14ac:dyDescent="0.3">
      <c r="A1353" s="157"/>
      <c r="B1353" s="157"/>
      <c r="C1353" s="157"/>
      <c r="D1353" s="157"/>
    </row>
    <row r="1354" spans="1:4" x14ac:dyDescent="0.3">
      <c r="A1354" s="157"/>
      <c r="B1354" s="157"/>
      <c r="C1354" s="157"/>
      <c r="D1354" s="157"/>
    </row>
    <row r="1355" spans="1:4" x14ac:dyDescent="0.3">
      <c r="A1355" s="157"/>
      <c r="B1355" s="157"/>
      <c r="C1355" s="157"/>
      <c r="D1355" s="157"/>
    </row>
    <row r="1356" spans="1:4" x14ac:dyDescent="0.3">
      <c r="A1356" s="157"/>
      <c r="B1356" s="157"/>
      <c r="C1356" s="157"/>
      <c r="D1356" s="157"/>
    </row>
    <row r="1357" spans="1:4" x14ac:dyDescent="0.3">
      <c r="A1357" s="157"/>
      <c r="B1357" s="157"/>
      <c r="C1357" s="157"/>
      <c r="D1357" s="157"/>
    </row>
    <row r="1358" spans="1:4" x14ac:dyDescent="0.3">
      <c r="A1358" s="157"/>
      <c r="B1358" s="157"/>
      <c r="C1358" s="157"/>
      <c r="D1358" s="157"/>
    </row>
    <row r="1359" spans="1:4" x14ac:dyDescent="0.3">
      <c r="A1359" s="157"/>
      <c r="B1359" s="157"/>
      <c r="C1359" s="157"/>
      <c r="D1359" s="157"/>
    </row>
    <row r="1360" spans="1:4" x14ac:dyDescent="0.3">
      <c r="A1360" s="157"/>
      <c r="B1360" s="157"/>
      <c r="C1360" s="157"/>
      <c r="D1360" s="157"/>
    </row>
    <row r="1361" spans="1:4" x14ac:dyDescent="0.3">
      <c r="A1361" s="157"/>
      <c r="B1361" s="157"/>
      <c r="C1361" s="157"/>
      <c r="D1361" s="157"/>
    </row>
    <row r="1362" spans="1:4" x14ac:dyDescent="0.3">
      <c r="A1362" s="157"/>
      <c r="B1362" s="157"/>
      <c r="C1362" s="157"/>
      <c r="D1362" s="157"/>
    </row>
    <row r="1363" spans="1:4" x14ac:dyDescent="0.3">
      <c r="A1363" s="157"/>
      <c r="B1363" s="157"/>
      <c r="C1363" s="157"/>
      <c r="D1363" s="157"/>
    </row>
    <row r="1364" spans="1:4" x14ac:dyDescent="0.3">
      <c r="A1364" s="157"/>
      <c r="B1364" s="157"/>
      <c r="C1364" s="157"/>
      <c r="D1364" s="157"/>
    </row>
    <row r="1365" spans="1:4" x14ac:dyDescent="0.3">
      <c r="A1365" s="157"/>
      <c r="B1365" s="157"/>
      <c r="C1365" s="157"/>
      <c r="D1365" s="157"/>
    </row>
    <row r="1366" spans="1:4" x14ac:dyDescent="0.3">
      <c r="A1366" s="157"/>
      <c r="B1366" s="157"/>
      <c r="C1366" s="157"/>
      <c r="D1366" s="157"/>
    </row>
    <row r="1367" spans="1:4" x14ac:dyDescent="0.3">
      <c r="A1367" s="157"/>
      <c r="B1367" s="157"/>
      <c r="C1367" s="157"/>
      <c r="D1367" s="157"/>
    </row>
    <row r="1368" spans="1:4" x14ac:dyDescent="0.3">
      <c r="A1368" s="157"/>
      <c r="B1368" s="157"/>
      <c r="C1368" s="157"/>
      <c r="D1368" s="157"/>
    </row>
    <row r="1369" spans="1:4" x14ac:dyDescent="0.3">
      <c r="A1369" s="157"/>
      <c r="B1369" s="157"/>
      <c r="C1369" s="157"/>
      <c r="D1369" s="157"/>
    </row>
    <row r="1370" spans="1:4" x14ac:dyDescent="0.3">
      <c r="A1370" s="157"/>
      <c r="B1370" s="157"/>
      <c r="C1370" s="157"/>
      <c r="D1370" s="157"/>
    </row>
    <row r="1371" spans="1:4" x14ac:dyDescent="0.3">
      <c r="A1371" s="157"/>
      <c r="B1371" s="157"/>
      <c r="C1371" s="157"/>
      <c r="D1371" s="157"/>
    </row>
    <row r="1372" spans="1:4" x14ac:dyDescent="0.3">
      <c r="A1372" s="157"/>
      <c r="B1372" s="157"/>
      <c r="C1372" s="157"/>
      <c r="D1372" s="157"/>
    </row>
    <row r="1373" spans="1:4" x14ac:dyDescent="0.3">
      <c r="A1373" s="157"/>
      <c r="B1373" s="157"/>
      <c r="C1373" s="157"/>
      <c r="D1373" s="157"/>
    </row>
    <row r="1374" spans="1:4" x14ac:dyDescent="0.3">
      <c r="A1374" s="157"/>
      <c r="B1374" s="157"/>
      <c r="C1374" s="157"/>
      <c r="D1374" s="157"/>
    </row>
    <row r="1375" spans="1:4" x14ac:dyDescent="0.3">
      <c r="A1375" s="157"/>
      <c r="B1375" s="157"/>
      <c r="C1375" s="157"/>
      <c r="D1375" s="157"/>
    </row>
    <row r="1376" spans="1:4" x14ac:dyDescent="0.3">
      <c r="A1376" s="157"/>
      <c r="B1376" s="157"/>
      <c r="C1376" s="157"/>
      <c r="D1376" s="157"/>
    </row>
    <row r="1377" spans="1:4" x14ac:dyDescent="0.3">
      <c r="A1377" s="157"/>
      <c r="B1377" s="157"/>
      <c r="C1377" s="157"/>
      <c r="D1377" s="157"/>
    </row>
    <row r="1378" spans="1:4" x14ac:dyDescent="0.3">
      <c r="A1378" s="157"/>
      <c r="B1378" s="157"/>
      <c r="C1378" s="157"/>
      <c r="D1378" s="157"/>
    </row>
    <row r="1379" spans="1:4" x14ac:dyDescent="0.3">
      <c r="A1379" s="157"/>
      <c r="B1379" s="157"/>
      <c r="C1379" s="157"/>
      <c r="D1379" s="157"/>
    </row>
    <row r="1380" spans="1:4" x14ac:dyDescent="0.3">
      <c r="A1380" s="157"/>
      <c r="B1380" s="157"/>
      <c r="C1380" s="157"/>
      <c r="D1380" s="157"/>
    </row>
    <row r="1381" spans="1:4" x14ac:dyDescent="0.3">
      <c r="A1381" s="157"/>
      <c r="B1381" s="157"/>
      <c r="C1381" s="157"/>
      <c r="D1381" s="157"/>
    </row>
    <row r="1382" spans="1:4" x14ac:dyDescent="0.3">
      <c r="A1382" s="157"/>
      <c r="B1382" s="157"/>
      <c r="C1382" s="157"/>
      <c r="D1382" s="157"/>
    </row>
    <row r="1383" spans="1:4" x14ac:dyDescent="0.3">
      <c r="A1383" s="157"/>
      <c r="B1383" s="157"/>
      <c r="C1383" s="157"/>
      <c r="D1383" s="157"/>
    </row>
    <row r="1384" spans="1:4" x14ac:dyDescent="0.3">
      <c r="A1384" s="157"/>
      <c r="B1384" s="157"/>
      <c r="C1384" s="157"/>
      <c r="D1384" s="157"/>
    </row>
    <row r="1385" spans="1:4" x14ac:dyDescent="0.3">
      <c r="A1385" s="157"/>
      <c r="B1385" s="157"/>
      <c r="C1385" s="157"/>
      <c r="D1385" s="157"/>
    </row>
    <row r="1386" spans="1:4" x14ac:dyDescent="0.3">
      <c r="A1386" s="157"/>
      <c r="B1386" s="157"/>
      <c r="C1386" s="157"/>
      <c r="D1386" s="157"/>
    </row>
    <row r="1387" spans="1:4" x14ac:dyDescent="0.3">
      <c r="A1387" s="157"/>
      <c r="B1387" s="157"/>
      <c r="C1387" s="157"/>
      <c r="D1387" s="157"/>
    </row>
    <row r="1388" spans="1:4" x14ac:dyDescent="0.3">
      <c r="A1388" s="157"/>
      <c r="B1388" s="157"/>
      <c r="C1388" s="157"/>
      <c r="D1388" s="157"/>
    </row>
    <row r="1389" spans="1:4" x14ac:dyDescent="0.3">
      <c r="A1389" s="157"/>
      <c r="B1389" s="157"/>
      <c r="C1389" s="157"/>
      <c r="D1389" s="157"/>
    </row>
    <row r="1390" spans="1:4" x14ac:dyDescent="0.3">
      <c r="A1390" s="157"/>
      <c r="B1390" s="157"/>
      <c r="C1390" s="157"/>
      <c r="D1390" s="157"/>
    </row>
    <row r="1391" spans="1:4" x14ac:dyDescent="0.3">
      <c r="A1391" s="157"/>
      <c r="B1391" s="157"/>
      <c r="C1391" s="157"/>
      <c r="D1391" s="157"/>
    </row>
    <row r="1392" spans="1:4" x14ac:dyDescent="0.3">
      <c r="A1392" s="157"/>
      <c r="B1392" s="157"/>
      <c r="C1392" s="157"/>
      <c r="D1392" s="157"/>
    </row>
    <row r="1393" spans="1:4" x14ac:dyDescent="0.3">
      <c r="A1393" s="157"/>
      <c r="B1393" s="157"/>
      <c r="C1393" s="157"/>
      <c r="D1393" s="157"/>
    </row>
    <row r="1394" spans="1:4" x14ac:dyDescent="0.3">
      <c r="A1394" s="157"/>
      <c r="B1394" s="157"/>
      <c r="C1394" s="157"/>
      <c r="D1394" s="157"/>
    </row>
    <row r="1395" spans="1:4" x14ac:dyDescent="0.3">
      <c r="A1395" s="157"/>
      <c r="B1395" s="157"/>
      <c r="C1395" s="157"/>
      <c r="D1395" s="157"/>
    </row>
    <row r="1396" spans="1:4" x14ac:dyDescent="0.3">
      <c r="A1396" s="157"/>
      <c r="B1396" s="157"/>
      <c r="C1396" s="157"/>
      <c r="D1396" s="157"/>
    </row>
    <row r="1397" spans="1:4" x14ac:dyDescent="0.3">
      <c r="A1397" s="157"/>
      <c r="B1397" s="157"/>
      <c r="C1397" s="157"/>
      <c r="D1397" s="157"/>
    </row>
    <row r="1398" spans="1:4" x14ac:dyDescent="0.3">
      <c r="A1398" s="157"/>
      <c r="B1398" s="157"/>
      <c r="C1398" s="157"/>
      <c r="D1398" s="157"/>
    </row>
    <row r="1399" spans="1:4" x14ac:dyDescent="0.3">
      <c r="A1399" s="157"/>
      <c r="B1399" s="157"/>
      <c r="C1399" s="157"/>
      <c r="D1399" s="157"/>
    </row>
    <row r="1400" spans="1:4" x14ac:dyDescent="0.3">
      <c r="A1400" s="157"/>
      <c r="B1400" s="157"/>
      <c r="C1400" s="157"/>
      <c r="D1400" s="157"/>
    </row>
    <row r="1401" spans="1:4" x14ac:dyDescent="0.3">
      <c r="A1401" s="157"/>
      <c r="B1401" s="157"/>
      <c r="C1401" s="157"/>
      <c r="D1401" s="157"/>
    </row>
    <row r="1402" spans="1:4" x14ac:dyDescent="0.3">
      <c r="A1402" s="157"/>
      <c r="B1402" s="157"/>
      <c r="C1402" s="157"/>
      <c r="D1402" s="157"/>
    </row>
    <row r="1403" spans="1:4" x14ac:dyDescent="0.3">
      <c r="A1403" s="157"/>
      <c r="B1403" s="157"/>
      <c r="C1403" s="157"/>
      <c r="D1403" s="157"/>
    </row>
    <row r="1404" spans="1:4" x14ac:dyDescent="0.3">
      <c r="A1404" s="157"/>
      <c r="B1404" s="157"/>
      <c r="C1404" s="157"/>
      <c r="D1404" s="157"/>
    </row>
    <row r="1405" spans="1:4" x14ac:dyDescent="0.3">
      <c r="A1405" s="157"/>
      <c r="B1405" s="157"/>
      <c r="C1405" s="157"/>
      <c r="D1405" s="157"/>
    </row>
    <row r="1406" spans="1:4" x14ac:dyDescent="0.3">
      <c r="A1406" s="157"/>
      <c r="B1406" s="157"/>
      <c r="C1406" s="157"/>
      <c r="D1406" s="157"/>
    </row>
    <row r="1407" spans="1:4" x14ac:dyDescent="0.3">
      <c r="A1407" s="157"/>
      <c r="B1407" s="157"/>
      <c r="C1407" s="157"/>
      <c r="D1407" s="157"/>
    </row>
    <row r="1408" spans="1:4" x14ac:dyDescent="0.3">
      <c r="A1408" s="157"/>
      <c r="B1408" s="157"/>
      <c r="C1408" s="157"/>
      <c r="D1408" s="157"/>
    </row>
    <row r="1409" spans="1:4" x14ac:dyDescent="0.3">
      <c r="A1409" s="157"/>
      <c r="B1409" s="157"/>
      <c r="C1409" s="157"/>
      <c r="D1409" s="157"/>
    </row>
    <row r="1410" spans="1:4" x14ac:dyDescent="0.3">
      <c r="A1410" s="157"/>
      <c r="B1410" s="157"/>
      <c r="C1410" s="157"/>
      <c r="D1410" s="157"/>
    </row>
    <row r="1411" spans="1:4" x14ac:dyDescent="0.3">
      <c r="A1411" s="157"/>
      <c r="B1411" s="157"/>
      <c r="C1411" s="157"/>
      <c r="D1411" s="157"/>
    </row>
    <row r="1412" spans="1:4" x14ac:dyDescent="0.3">
      <c r="A1412" s="157"/>
      <c r="B1412" s="157"/>
      <c r="C1412" s="157"/>
      <c r="D1412" s="157"/>
    </row>
    <row r="1413" spans="1:4" x14ac:dyDescent="0.3">
      <c r="A1413" s="157"/>
      <c r="B1413" s="157"/>
      <c r="C1413" s="157"/>
      <c r="D1413" s="157"/>
    </row>
    <row r="1414" spans="1:4" x14ac:dyDescent="0.3">
      <c r="A1414" s="157"/>
      <c r="B1414" s="157"/>
      <c r="C1414" s="157"/>
      <c r="D1414" s="157"/>
    </row>
    <row r="1415" spans="1:4" x14ac:dyDescent="0.3">
      <c r="A1415" s="157"/>
      <c r="B1415" s="157"/>
      <c r="C1415" s="157"/>
      <c r="D1415" s="157"/>
    </row>
    <row r="1416" spans="1:4" x14ac:dyDescent="0.3">
      <c r="A1416" s="157"/>
      <c r="B1416" s="157"/>
      <c r="C1416" s="157"/>
      <c r="D1416" s="157"/>
    </row>
    <row r="1417" spans="1:4" x14ac:dyDescent="0.3">
      <c r="A1417" s="157"/>
      <c r="B1417" s="157"/>
      <c r="C1417" s="157"/>
      <c r="D1417" s="157"/>
    </row>
    <row r="1418" spans="1:4" x14ac:dyDescent="0.3">
      <c r="A1418" s="157"/>
      <c r="B1418" s="157"/>
      <c r="C1418" s="157"/>
      <c r="D1418" s="157"/>
    </row>
    <row r="1419" spans="1:4" x14ac:dyDescent="0.3">
      <c r="A1419" s="157"/>
      <c r="B1419" s="157"/>
      <c r="C1419" s="157"/>
      <c r="D1419" s="157"/>
    </row>
    <row r="1420" spans="1:4" x14ac:dyDescent="0.3">
      <c r="A1420" s="157"/>
      <c r="B1420" s="157"/>
      <c r="C1420" s="157"/>
      <c r="D1420" s="157"/>
    </row>
    <row r="1421" spans="1:4" x14ac:dyDescent="0.3">
      <c r="A1421" s="157"/>
      <c r="B1421" s="157"/>
      <c r="C1421" s="157"/>
      <c r="D1421" s="157"/>
    </row>
    <row r="1422" spans="1:4" x14ac:dyDescent="0.3">
      <c r="A1422" s="157"/>
      <c r="B1422" s="157"/>
      <c r="C1422" s="157"/>
      <c r="D1422" s="157"/>
    </row>
    <row r="1423" spans="1:4" x14ac:dyDescent="0.3">
      <c r="A1423" s="157"/>
      <c r="B1423" s="157"/>
      <c r="C1423" s="157"/>
      <c r="D1423" s="157"/>
    </row>
    <row r="1424" spans="1:4" x14ac:dyDescent="0.3">
      <c r="A1424" s="157"/>
      <c r="B1424" s="157"/>
      <c r="C1424" s="157"/>
      <c r="D1424" s="157"/>
    </row>
    <row r="1425" spans="1:4" x14ac:dyDescent="0.3">
      <c r="A1425" s="157"/>
      <c r="B1425" s="157"/>
      <c r="C1425" s="157"/>
      <c r="D1425" s="157"/>
    </row>
    <row r="1426" spans="1:4" x14ac:dyDescent="0.3">
      <c r="A1426" s="157"/>
      <c r="B1426" s="157"/>
      <c r="C1426" s="157"/>
      <c r="D1426" s="157"/>
    </row>
    <row r="1427" spans="1:4" x14ac:dyDescent="0.3">
      <c r="A1427" s="157"/>
      <c r="B1427" s="157"/>
      <c r="C1427" s="157"/>
      <c r="D1427" s="157"/>
    </row>
    <row r="1428" spans="1:4" x14ac:dyDescent="0.3">
      <c r="A1428" s="157"/>
      <c r="B1428" s="157"/>
      <c r="C1428" s="157"/>
      <c r="D1428" s="157"/>
    </row>
    <row r="1429" spans="1:4" x14ac:dyDescent="0.3">
      <c r="A1429" s="157"/>
      <c r="B1429" s="157"/>
      <c r="C1429" s="157"/>
      <c r="D1429" s="157"/>
    </row>
    <row r="1430" spans="1:4" x14ac:dyDescent="0.3">
      <c r="A1430" s="157"/>
      <c r="B1430" s="157"/>
      <c r="C1430" s="157"/>
      <c r="D1430" s="157"/>
    </row>
    <row r="1431" spans="1:4" x14ac:dyDescent="0.3">
      <c r="A1431" s="157"/>
      <c r="B1431" s="157"/>
      <c r="C1431" s="157"/>
      <c r="D1431" s="157"/>
    </row>
    <row r="1432" spans="1:4" x14ac:dyDescent="0.3">
      <c r="A1432" s="157"/>
      <c r="B1432" s="157"/>
      <c r="C1432" s="157"/>
      <c r="D1432" s="157"/>
    </row>
    <row r="1433" spans="1:4" x14ac:dyDescent="0.3">
      <c r="A1433" s="157"/>
      <c r="B1433" s="157"/>
      <c r="C1433" s="157"/>
      <c r="D1433" s="157"/>
    </row>
    <row r="1434" spans="1:4" x14ac:dyDescent="0.3">
      <c r="A1434" s="157"/>
      <c r="B1434" s="157"/>
      <c r="C1434" s="157"/>
      <c r="D1434" s="157"/>
    </row>
    <row r="1435" spans="1:4" x14ac:dyDescent="0.3">
      <c r="A1435" s="157"/>
      <c r="B1435" s="157"/>
      <c r="C1435" s="157"/>
      <c r="D1435" s="157"/>
    </row>
    <row r="1436" spans="1:4" x14ac:dyDescent="0.3">
      <c r="A1436" s="157"/>
      <c r="B1436" s="157"/>
      <c r="C1436" s="157"/>
      <c r="D1436" s="157"/>
    </row>
    <row r="1437" spans="1:4" x14ac:dyDescent="0.3">
      <c r="A1437" s="157"/>
      <c r="B1437" s="157"/>
      <c r="C1437" s="157"/>
      <c r="D1437" s="157"/>
    </row>
    <row r="1438" spans="1:4" x14ac:dyDescent="0.3">
      <c r="A1438" s="157"/>
      <c r="B1438" s="157"/>
      <c r="C1438" s="157"/>
      <c r="D1438" s="157"/>
    </row>
    <row r="1439" spans="1:4" x14ac:dyDescent="0.3">
      <c r="A1439" s="157"/>
      <c r="B1439" s="157"/>
      <c r="C1439" s="157"/>
      <c r="D1439" s="157"/>
    </row>
    <row r="1440" spans="1:4" x14ac:dyDescent="0.3">
      <c r="A1440" s="157"/>
      <c r="B1440" s="157"/>
      <c r="C1440" s="157"/>
      <c r="D1440" s="157"/>
    </row>
    <row r="1441" spans="1:4" x14ac:dyDescent="0.3">
      <c r="A1441" s="157"/>
      <c r="B1441" s="157"/>
      <c r="C1441" s="157"/>
      <c r="D1441" s="157"/>
    </row>
    <row r="1442" spans="1:4" x14ac:dyDescent="0.3">
      <c r="A1442" s="157"/>
      <c r="B1442" s="157"/>
      <c r="C1442" s="157"/>
      <c r="D1442" s="157"/>
    </row>
    <row r="1443" spans="1:4" x14ac:dyDescent="0.3">
      <c r="A1443" s="157"/>
      <c r="B1443" s="157"/>
      <c r="C1443" s="157"/>
      <c r="D1443" s="157"/>
    </row>
    <row r="1444" spans="1:4" x14ac:dyDescent="0.3">
      <c r="A1444" s="157"/>
      <c r="B1444" s="157"/>
      <c r="C1444" s="157"/>
      <c r="D1444" s="157"/>
    </row>
    <row r="1445" spans="1:4" x14ac:dyDescent="0.3">
      <c r="A1445" s="157"/>
      <c r="B1445" s="157"/>
      <c r="C1445" s="157"/>
      <c r="D1445" s="157"/>
    </row>
    <row r="1446" spans="1:4" x14ac:dyDescent="0.3">
      <c r="A1446" s="157"/>
      <c r="B1446" s="157"/>
      <c r="C1446" s="157"/>
      <c r="D1446" s="157"/>
    </row>
    <row r="1447" spans="1:4" x14ac:dyDescent="0.3">
      <c r="A1447" s="157"/>
      <c r="B1447" s="157"/>
      <c r="C1447" s="157"/>
      <c r="D1447" s="157"/>
    </row>
    <row r="1448" spans="1:4" x14ac:dyDescent="0.3">
      <c r="A1448" s="157"/>
      <c r="B1448" s="157"/>
      <c r="C1448" s="157"/>
      <c r="D1448" s="157"/>
    </row>
    <row r="1449" spans="1:4" x14ac:dyDescent="0.3">
      <c r="A1449" s="157"/>
      <c r="B1449" s="157"/>
      <c r="C1449" s="157"/>
      <c r="D1449" s="157"/>
    </row>
    <row r="1450" spans="1:4" x14ac:dyDescent="0.3">
      <c r="A1450" s="157"/>
      <c r="B1450" s="157"/>
      <c r="C1450" s="157"/>
      <c r="D1450" s="157"/>
    </row>
    <row r="1451" spans="1:4" x14ac:dyDescent="0.3">
      <c r="A1451" s="157"/>
      <c r="B1451" s="157"/>
      <c r="C1451" s="157"/>
      <c r="D1451" s="157"/>
    </row>
    <row r="1452" spans="1:4" x14ac:dyDescent="0.3">
      <c r="A1452" s="157"/>
      <c r="B1452" s="157"/>
      <c r="C1452" s="157"/>
      <c r="D1452" s="157"/>
    </row>
    <row r="1453" spans="1:4" x14ac:dyDescent="0.3">
      <c r="A1453" s="157"/>
      <c r="B1453" s="157"/>
      <c r="C1453" s="157"/>
      <c r="D1453" s="157"/>
    </row>
    <row r="1454" spans="1:4" x14ac:dyDescent="0.3">
      <c r="A1454" s="157"/>
      <c r="B1454" s="157"/>
      <c r="C1454" s="157"/>
      <c r="D1454" s="157"/>
    </row>
    <row r="1455" spans="1:4" x14ac:dyDescent="0.3">
      <c r="A1455" s="157"/>
      <c r="B1455" s="157"/>
      <c r="C1455" s="157"/>
      <c r="D1455" s="157"/>
    </row>
    <row r="1456" spans="1:4" x14ac:dyDescent="0.3">
      <c r="A1456" s="157"/>
      <c r="B1456" s="157"/>
      <c r="C1456" s="157"/>
      <c r="D1456" s="157"/>
    </row>
    <row r="1457" spans="1:4" x14ac:dyDescent="0.3">
      <c r="A1457" s="157"/>
      <c r="B1457" s="157"/>
      <c r="C1457" s="157"/>
      <c r="D1457" s="157"/>
    </row>
    <row r="1458" spans="1:4" x14ac:dyDescent="0.3">
      <c r="A1458" s="157"/>
      <c r="B1458" s="157"/>
      <c r="C1458" s="157"/>
      <c r="D1458" s="157"/>
    </row>
    <row r="1459" spans="1:4" x14ac:dyDescent="0.3">
      <c r="A1459" s="157"/>
      <c r="B1459" s="157"/>
      <c r="C1459" s="157"/>
      <c r="D1459" s="157"/>
    </row>
    <row r="1460" spans="1:4" x14ac:dyDescent="0.3">
      <c r="A1460" s="157"/>
      <c r="B1460" s="157"/>
      <c r="C1460" s="157"/>
      <c r="D1460" s="157"/>
    </row>
    <row r="1461" spans="1:4" x14ac:dyDescent="0.3">
      <c r="A1461" s="157"/>
      <c r="B1461" s="157"/>
      <c r="C1461" s="157"/>
      <c r="D1461" s="157"/>
    </row>
    <row r="1462" spans="1:4" x14ac:dyDescent="0.3">
      <c r="A1462" s="157"/>
      <c r="B1462" s="157"/>
      <c r="C1462" s="157"/>
      <c r="D1462" s="157"/>
    </row>
    <row r="1463" spans="1:4" x14ac:dyDescent="0.3">
      <c r="A1463" s="157"/>
      <c r="B1463" s="157"/>
      <c r="C1463" s="157"/>
      <c r="D1463" s="157"/>
    </row>
    <row r="1464" spans="1:4" x14ac:dyDescent="0.3">
      <c r="A1464" s="157"/>
      <c r="B1464" s="157"/>
      <c r="C1464" s="157"/>
      <c r="D1464" s="157"/>
    </row>
    <row r="1465" spans="1:4" x14ac:dyDescent="0.3">
      <c r="A1465" s="157"/>
      <c r="B1465" s="157"/>
      <c r="C1465" s="157"/>
      <c r="D1465" s="157"/>
    </row>
    <row r="1466" spans="1:4" x14ac:dyDescent="0.3">
      <c r="A1466" s="157"/>
      <c r="B1466" s="157"/>
      <c r="C1466" s="157"/>
      <c r="D1466" s="157"/>
    </row>
    <row r="1467" spans="1:4" x14ac:dyDescent="0.3">
      <c r="A1467" s="157"/>
      <c r="B1467" s="157"/>
      <c r="C1467" s="157"/>
      <c r="D1467" s="157"/>
    </row>
    <row r="1468" spans="1:4" x14ac:dyDescent="0.3">
      <c r="A1468" s="157"/>
      <c r="B1468" s="157"/>
      <c r="C1468" s="157"/>
      <c r="D1468" s="157"/>
    </row>
    <row r="1469" spans="1:4" x14ac:dyDescent="0.3">
      <c r="A1469" s="157"/>
      <c r="B1469" s="157"/>
      <c r="C1469" s="157"/>
      <c r="D1469" s="157"/>
    </row>
    <row r="1470" spans="1:4" x14ac:dyDescent="0.3">
      <c r="A1470" s="157"/>
      <c r="B1470" s="157"/>
      <c r="C1470" s="157"/>
      <c r="D1470" s="157"/>
    </row>
    <row r="1471" spans="1:4" x14ac:dyDescent="0.3">
      <c r="A1471" s="157"/>
      <c r="B1471" s="157"/>
      <c r="C1471" s="157"/>
      <c r="D1471" s="157"/>
    </row>
    <row r="1472" spans="1:4" x14ac:dyDescent="0.3">
      <c r="A1472" s="157"/>
      <c r="B1472" s="157"/>
      <c r="C1472" s="157"/>
      <c r="D1472" s="157"/>
    </row>
    <row r="1473" spans="1:4" x14ac:dyDescent="0.3">
      <c r="A1473" s="157"/>
      <c r="B1473" s="157"/>
      <c r="C1473" s="157"/>
      <c r="D1473" s="157"/>
    </row>
    <row r="1474" spans="1:4" x14ac:dyDescent="0.3">
      <c r="A1474" s="157"/>
      <c r="B1474" s="157"/>
      <c r="C1474" s="157"/>
      <c r="D1474" s="157"/>
    </row>
    <row r="1475" spans="1:4" x14ac:dyDescent="0.3">
      <c r="A1475" s="157"/>
      <c r="B1475" s="157"/>
      <c r="C1475" s="157"/>
      <c r="D1475" s="157"/>
    </row>
    <row r="1476" spans="1:4" x14ac:dyDescent="0.3">
      <c r="A1476" s="157"/>
      <c r="B1476" s="157"/>
      <c r="C1476" s="157"/>
      <c r="D1476" s="157"/>
    </row>
    <row r="1477" spans="1:4" x14ac:dyDescent="0.3">
      <c r="A1477" s="157"/>
      <c r="B1477" s="157"/>
      <c r="C1477" s="157"/>
      <c r="D1477" s="157"/>
    </row>
    <row r="1478" spans="1:4" x14ac:dyDescent="0.3">
      <c r="A1478" s="157"/>
      <c r="B1478" s="157"/>
      <c r="C1478" s="157"/>
      <c r="D1478" s="157"/>
    </row>
    <row r="1479" spans="1:4" x14ac:dyDescent="0.3">
      <c r="A1479" s="157"/>
      <c r="B1479" s="157"/>
      <c r="C1479" s="157"/>
      <c r="D1479" s="157"/>
    </row>
    <row r="1480" spans="1:4" x14ac:dyDescent="0.3">
      <c r="A1480" s="157"/>
      <c r="B1480" s="157"/>
      <c r="C1480" s="157"/>
      <c r="D1480" s="157"/>
    </row>
    <row r="1481" spans="1:4" x14ac:dyDescent="0.3">
      <c r="A1481" s="157"/>
      <c r="B1481" s="157"/>
      <c r="C1481" s="157"/>
      <c r="D1481" s="157"/>
    </row>
    <row r="1482" spans="1:4" x14ac:dyDescent="0.3">
      <c r="A1482" s="157"/>
      <c r="B1482" s="157"/>
      <c r="C1482" s="157"/>
      <c r="D1482" s="157"/>
    </row>
    <row r="1483" spans="1:4" x14ac:dyDescent="0.3">
      <c r="A1483" s="157"/>
      <c r="B1483" s="157"/>
      <c r="C1483" s="157"/>
      <c r="D1483" s="157"/>
    </row>
    <row r="1484" spans="1:4" x14ac:dyDescent="0.3">
      <c r="A1484" s="157"/>
      <c r="B1484" s="157"/>
      <c r="C1484" s="157"/>
      <c r="D1484" s="157"/>
    </row>
    <row r="1485" spans="1:4" x14ac:dyDescent="0.3">
      <c r="A1485" s="157"/>
      <c r="B1485" s="157"/>
      <c r="C1485" s="157"/>
      <c r="D1485" s="157"/>
    </row>
    <row r="1486" spans="1:4" x14ac:dyDescent="0.3">
      <c r="A1486" s="157"/>
      <c r="B1486" s="157"/>
      <c r="C1486" s="157"/>
      <c r="D1486" s="157"/>
    </row>
    <row r="1487" spans="1:4" x14ac:dyDescent="0.3">
      <c r="A1487" s="157"/>
      <c r="B1487" s="157"/>
      <c r="C1487" s="157"/>
      <c r="D1487" s="157"/>
    </row>
    <row r="1488" spans="1:4" x14ac:dyDescent="0.3">
      <c r="A1488" s="157"/>
      <c r="B1488" s="157"/>
      <c r="C1488" s="157"/>
      <c r="D1488" s="157"/>
    </row>
    <row r="1489" spans="1:4" x14ac:dyDescent="0.3">
      <c r="A1489" s="157"/>
      <c r="B1489" s="157"/>
      <c r="C1489" s="157"/>
      <c r="D1489" s="157"/>
    </row>
    <row r="1490" spans="1:4" x14ac:dyDescent="0.3">
      <c r="A1490" s="157"/>
      <c r="B1490" s="157"/>
      <c r="C1490" s="157"/>
      <c r="D1490" s="157"/>
    </row>
    <row r="1491" spans="1:4" x14ac:dyDescent="0.3">
      <c r="A1491" s="157"/>
      <c r="B1491" s="157"/>
      <c r="C1491" s="157"/>
      <c r="D1491" s="157"/>
    </row>
    <row r="1492" spans="1:4" x14ac:dyDescent="0.3">
      <c r="A1492" s="157"/>
      <c r="B1492" s="157"/>
      <c r="C1492" s="157"/>
      <c r="D1492" s="157"/>
    </row>
    <row r="1493" spans="1:4" x14ac:dyDescent="0.3">
      <c r="A1493" s="157"/>
      <c r="B1493" s="157"/>
      <c r="C1493" s="157"/>
      <c r="D1493" s="157"/>
    </row>
    <row r="1494" spans="1:4" x14ac:dyDescent="0.3">
      <c r="A1494" s="157"/>
      <c r="B1494" s="157"/>
      <c r="C1494" s="157"/>
      <c r="D1494" s="157"/>
    </row>
    <row r="1495" spans="1:4" x14ac:dyDescent="0.3">
      <c r="A1495" s="157"/>
      <c r="B1495" s="157"/>
      <c r="C1495" s="157"/>
      <c r="D1495" s="157"/>
    </row>
    <row r="1496" spans="1:4" x14ac:dyDescent="0.3">
      <c r="A1496" s="157"/>
      <c r="B1496" s="157"/>
      <c r="C1496" s="157"/>
      <c r="D1496" s="157"/>
    </row>
    <row r="1497" spans="1:4" x14ac:dyDescent="0.3">
      <c r="A1497" s="157"/>
      <c r="B1497" s="157"/>
      <c r="C1497" s="157"/>
      <c r="D1497" s="157"/>
    </row>
    <row r="1498" spans="1:4" x14ac:dyDescent="0.3">
      <c r="A1498" s="157"/>
      <c r="B1498" s="157"/>
      <c r="C1498" s="157"/>
      <c r="D1498" s="157"/>
    </row>
    <row r="1499" spans="1:4" x14ac:dyDescent="0.3">
      <c r="A1499" s="157"/>
      <c r="B1499" s="157"/>
      <c r="C1499" s="157"/>
      <c r="D1499" s="157"/>
    </row>
    <row r="1500" spans="1:4" x14ac:dyDescent="0.3">
      <c r="A1500" s="157"/>
      <c r="B1500" s="157"/>
      <c r="C1500" s="157"/>
      <c r="D1500" s="157"/>
    </row>
    <row r="1501" spans="1:4" x14ac:dyDescent="0.3">
      <c r="A1501" s="157"/>
      <c r="B1501" s="157"/>
      <c r="C1501" s="157"/>
      <c r="D1501" s="157"/>
    </row>
    <row r="1502" spans="1:4" x14ac:dyDescent="0.3">
      <c r="A1502" s="157"/>
      <c r="B1502" s="157"/>
      <c r="C1502" s="157"/>
      <c r="D1502" s="157"/>
    </row>
    <row r="1503" spans="1:4" x14ac:dyDescent="0.3">
      <c r="A1503" s="157"/>
      <c r="B1503" s="157"/>
      <c r="C1503" s="157"/>
      <c r="D1503" s="157"/>
    </row>
    <row r="1504" spans="1:4" x14ac:dyDescent="0.3">
      <c r="A1504" s="157"/>
      <c r="B1504" s="157"/>
      <c r="C1504" s="157"/>
      <c r="D1504" s="157"/>
    </row>
    <row r="1505" spans="1:4" x14ac:dyDescent="0.3">
      <c r="A1505" s="157"/>
      <c r="B1505" s="157"/>
      <c r="C1505" s="157"/>
      <c r="D1505" s="157"/>
    </row>
    <row r="1506" spans="1:4" x14ac:dyDescent="0.3">
      <c r="A1506" s="157"/>
      <c r="B1506" s="157"/>
      <c r="C1506" s="157"/>
      <c r="D1506" s="157"/>
    </row>
    <row r="1507" spans="1:4" x14ac:dyDescent="0.3">
      <c r="A1507" s="157"/>
      <c r="B1507" s="157"/>
      <c r="C1507" s="157"/>
      <c r="D1507" s="157"/>
    </row>
    <row r="1508" spans="1:4" x14ac:dyDescent="0.3">
      <c r="A1508" s="157"/>
      <c r="B1508" s="157"/>
      <c r="C1508" s="157"/>
      <c r="D1508" s="157"/>
    </row>
    <row r="1509" spans="1:4" x14ac:dyDescent="0.3">
      <c r="A1509" s="157"/>
      <c r="B1509" s="157"/>
      <c r="C1509" s="157"/>
      <c r="D1509" s="157"/>
    </row>
    <row r="1510" spans="1:4" x14ac:dyDescent="0.3">
      <c r="A1510" s="157"/>
      <c r="B1510" s="157"/>
      <c r="C1510" s="157"/>
      <c r="D1510" s="157"/>
    </row>
    <row r="1511" spans="1:4" x14ac:dyDescent="0.3">
      <c r="A1511" s="157"/>
      <c r="B1511" s="157"/>
      <c r="C1511" s="157"/>
      <c r="D1511" s="157"/>
    </row>
    <row r="1512" spans="1:4" x14ac:dyDescent="0.3">
      <c r="A1512" s="157"/>
      <c r="B1512" s="157"/>
      <c r="C1512" s="157"/>
      <c r="D1512" s="157"/>
    </row>
    <row r="1513" spans="1:4" x14ac:dyDescent="0.3">
      <c r="A1513" s="157"/>
      <c r="B1513" s="157"/>
      <c r="C1513" s="157"/>
      <c r="D1513" s="157"/>
    </row>
    <row r="1514" spans="1:4" x14ac:dyDescent="0.3">
      <c r="A1514" s="157"/>
      <c r="B1514" s="157"/>
      <c r="C1514" s="157"/>
      <c r="D1514" s="157"/>
    </row>
    <row r="1515" spans="1:4" x14ac:dyDescent="0.3">
      <c r="A1515" s="157"/>
      <c r="B1515" s="157"/>
      <c r="C1515" s="157"/>
      <c r="D1515" s="157"/>
    </row>
    <row r="1516" spans="1:4" x14ac:dyDescent="0.3">
      <c r="A1516" s="157"/>
      <c r="B1516" s="157"/>
      <c r="C1516" s="157"/>
      <c r="D1516" s="157"/>
    </row>
    <row r="1517" spans="1:4" x14ac:dyDescent="0.3">
      <c r="A1517" s="157"/>
      <c r="B1517" s="157"/>
      <c r="C1517" s="157"/>
      <c r="D1517" s="157"/>
    </row>
    <row r="1518" spans="1:4" x14ac:dyDescent="0.3">
      <c r="A1518" s="157"/>
      <c r="B1518" s="157"/>
      <c r="C1518" s="157"/>
      <c r="D1518" s="157"/>
    </row>
    <row r="1519" spans="1:4" x14ac:dyDescent="0.3">
      <c r="A1519" s="157"/>
      <c r="B1519" s="157"/>
      <c r="C1519" s="157"/>
      <c r="D1519" s="157"/>
    </row>
    <row r="1520" spans="1:4" x14ac:dyDescent="0.3">
      <c r="A1520" s="157"/>
      <c r="B1520" s="157"/>
      <c r="C1520" s="157"/>
      <c r="D1520" s="157"/>
    </row>
    <row r="1521" spans="1:4" x14ac:dyDescent="0.3">
      <c r="A1521" s="157"/>
      <c r="B1521" s="157"/>
      <c r="C1521" s="157"/>
      <c r="D1521" s="157"/>
    </row>
    <row r="1522" spans="1:4" x14ac:dyDescent="0.3">
      <c r="A1522" s="157"/>
      <c r="B1522" s="157"/>
      <c r="C1522" s="157"/>
      <c r="D1522" s="157"/>
    </row>
    <row r="1523" spans="1:4" x14ac:dyDescent="0.3">
      <c r="A1523" s="157"/>
      <c r="B1523" s="157"/>
      <c r="C1523" s="157"/>
      <c r="D1523" s="157"/>
    </row>
    <row r="1524" spans="1:4" x14ac:dyDescent="0.3">
      <c r="A1524" s="157"/>
      <c r="B1524" s="157"/>
      <c r="C1524" s="157"/>
      <c r="D1524" s="157"/>
    </row>
    <row r="1525" spans="1:4" x14ac:dyDescent="0.3">
      <c r="A1525" s="157"/>
      <c r="B1525" s="157"/>
      <c r="C1525" s="157"/>
      <c r="D1525" s="157"/>
    </row>
    <row r="1526" spans="1:4" x14ac:dyDescent="0.3">
      <c r="A1526" s="157"/>
      <c r="B1526" s="157"/>
      <c r="C1526" s="157"/>
      <c r="D1526" s="157"/>
    </row>
    <row r="1527" spans="1:4" x14ac:dyDescent="0.3">
      <c r="A1527" s="157"/>
      <c r="B1527" s="157"/>
      <c r="C1527" s="157"/>
      <c r="D1527" s="157"/>
    </row>
    <row r="1528" spans="1:4" x14ac:dyDescent="0.3">
      <c r="A1528" s="157"/>
      <c r="B1528" s="157"/>
      <c r="C1528" s="157"/>
      <c r="D1528" s="157"/>
    </row>
    <row r="1529" spans="1:4" x14ac:dyDescent="0.3">
      <c r="A1529" s="157"/>
      <c r="B1529" s="157"/>
      <c r="C1529" s="157"/>
      <c r="D1529" s="157"/>
    </row>
    <row r="1530" spans="1:4" x14ac:dyDescent="0.3">
      <c r="A1530" s="157"/>
      <c r="B1530" s="157"/>
      <c r="C1530" s="157"/>
      <c r="D1530" s="157"/>
    </row>
    <row r="1531" spans="1:4" x14ac:dyDescent="0.3">
      <c r="A1531" s="157"/>
      <c r="B1531" s="157"/>
      <c r="C1531" s="157"/>
      <c r="D1531" s="157"/>
    </row>
    <row r="1532" spans="1:4" x14ac:dyDescent="0.3">
      <c r="A1532" s="157"/>
      <c r="B1532" s="157"/>
      <c r="C1532" s="157"/>
      <c r="D1532" s="157"/>
    </row>
    <row r="1533" spans="1:4" x14ac:dyDescent="0.3">
      <c r="A1533" s="157"/>
      <c r="B1533" s="157"/>
      <c r="C1533" s="157"/>
      <c r="D1533" s="157"/>
    </row>
    <row r="1534" spans="1:4" x14ac:dyDescent="0.3">
      <c r="A1534" s="157"/>
      <c r="B1534" s="157"/>
      <c r="C1534" s="157"/>
      <c r="D1534" s="157"/>
    </row>
    <row r="1535" spans="1:4" x14ac:dyDescent="0.3">
      <c r="A1535" s="157"/>
      <c r="B1535" s="157"/>
      <c r="C1535" s="157"/>
      <c r="D1535" s="157"/>
    </row>
    <row r="1536" spans="1:4" x14ac:dyDescent="0.3">
      <c r="A1536" s="157"/>
      <c r="B1536" s="157"/>
      <c r="C1536" s="157"/>
      <c r="D1536" s="157"/>
    </row>
    <row r="1537" spans="1:4" x14ac:dyDescent="0.3">
      <c r="A1537" s="157"/>
      <c r="B1537" s="157"/>
      <c r="C1537" s="157"/>
      <c r="D1537" s="157"/>
    </row>
    <row r="1538" spans="1:4" x14ac:dyDescent="0.3">
      <c r="A1538" s="157"/>
      <c r="B1538" s="157"/>
      <c r="C1538" s="157"/>
      <c r="D1538" s="157"/>
    </row>
    <row r="1539" spans="1:4" x14ac:dyDescent="0.3">
      <c r="A1539" s="157"/>
      <c r="B1539" s="157"/>
      <c r="C1539" s="157"/>
      <c r="D1539" s="157"/>
    </row>
    <row r="1540" spans="1:4" x14ac:dyDescent="0.3">
      <c r="A1540" s="157"/>
      <c r="B1540" s="157"/>
      <c r="C1540" s="157"/>
      <c r="D1540" s="157"/>
    </row>
    <row r="1541" spans="1:4" x14ac:dyDescent="0.3">
      <c r="A1541" s="157"/>
      <c r="B1541" s="157"/>
      <c r="C1541" s="157"/>
      <c r="D1541" s="157"/>
    </row>
    <row r="1542" spans="1:4" x14ac:dyDescent="0.3">
      <c r="A1542" s="157"/>
      <c r="B1542" s="157"/>
      <c r="C1542" s="157"/>
      <c r="D1542" s="157"/>
    </row>
    <row r="1543" spans="1:4" x14ac:dyDescent="0.3">
      <c r="A1543" s="157"/>
      <c r="B1543" s="157"/>
      <c r="C1543" s="157"/>
      <c r="D1543" s="157"/>
    </row>
    <row r="1544" spans="1:4" x14ac:dyDescent="0.3">
      <c r="A1544" s="157"/>
      <c r="B1544" s="157"/>
      <c r="C1544" s="157"/>
      <c r="D1544" s="157"/>
    </row>
    <row r="1545" spans="1:4" x14ac:dyDescent="0.3">
      <c r="A1545" s="157"/>
      <c r="B1545" s="157"/>
      <c r="C1545" s="157"/>
      <c r="D1545" s="157"/>
    </row>
    <row r="1546" spans="1:4" x14ac:dyDescent="0.3">
      <c r="A1546" s="157"/>
      <c r="B1546" s="157"/>
      <c r="C1546" s="157"/>
      <c r="D1546" s="157"/>
    </row>
    <row r="1547" spans="1:4" x14ac:dyDescent="0.3">
      <c r="A1547" s="157"/>
      <c r="B1547" s="157"/>
      <c r="C1547" s="157"/>
      <c r="D1547" s="157"/>
    </row>
    <row r="1548" spans="1:4" x14ac:dyDescent="0.3">
      <c r="A1548" s="157"/>
      <c r="B1548" s="157"/>
      <c r="C1548" s="157"/>
      <c r="D1548" s="157"/>
    </row>
    <row r="1549" spans="1:4" x14ac:dyDescent="0.3">
      <c r="A1549" s="157"/>
      <c r="B1549" s="157"/>
      <c r="C1549" s="157"/>
      <c r="D1549" s="157"/>
    </row>
    <row r="1550" spans="1:4" x14ac:dyDescent="0.3">
      <c r="A1550" s="157"/>
      <c r="B1550" s="157"/>
      <c r="C1550" s="157"/>
      <c r="D1550" s="157"/>
    </row>
    <row r="1551" spans="1:4" x14ac:dyDescent="0.3">
      <c r="A1551" s="157"/>
      <c r="B1551" s="157"/>
      <c r="C1551" s="157"/>
      <c r="D1551" s="157"/>
    </row>
    <row r="1552" spans="1:4" x14ac:dyDescent="0.3">
      <c r="A1552" s="157"/>
      <c r="B1552" s="157"/>
      <c r="C1552" s="157"/>
      <c r="D1552" s="157"/>
    </row>
    <row r="1553" spans="1:4" x14ac:dyDescent="0.3">
      <c r="A1553" s="157"/>
      <c r="B1553" s="157"/>
      <c r="C1553" s="157"/>
      <c r="D1553" s="157"/>
    </row>
    <row r="1554" spans="1:4" x14ac:dyDescent="0.3">
      <c r="A1554" s="157"/>
      <c r="B1554" s="157"/>
      <c r="C1554" s="157"/>
      <c r="D1554" s="157"/>
    </row>
    <row r="1555" spans="1:4" x14ac:dyDescent="0.3">
      <c r="A1555" s="157"/>
      <c r="B1555" s="157"/>
      <c r="C1555" s="157"/>
      <c r="D1555" s="157"/>
    </row>
    <row r="1556" spans="1:4" x14ac:dyDescent="0.3">
      <c r="A1556" s="157"/>
      <c r="B1556" s="157"/>
      <c r="C1556" s="157"/>
      <c r="D1556" s="157"/>
    </row>
    <row r="1557" spans="1:4" x14ac:dyDescent="0.3">
      <c r="A1557" s="157"/>
      <c r="B1557" s="157"/>
      <c r="C1557" s="157"/>
      <c r="D1557" s="157"/>
    </row>
    <row r="1558" spans="1:4" x14ac:dyDescent="0.3">
      <c r="A1558" s="157"/>
      <c r="B1558" s="157"/>
      <c r="C1558" s="157"/>
      <c r="D1558" s="157"/>
    </row>
    <row r="1559" spans="1:4" x14ac:dyDescent="0.3">
      <c r="A1559" s="157"/>
      <c r="B1559" s="157"/>
      <c r="C1559" s="157"/>
      <c r="D1559" s="157"/>
    </row>
    <row r="1560" spans="1:4" x14ac:dyDescent="0.3">
      <c r="A1560" s="157"/>
      <c r="B1560" s="157"/>
      <c r="C1560" s="157"/>
      <c r="D1560" s="157"/>
    </row>
    <row r="1561" spans="1:4" x14ac:dyDescent="0.3">
      <c r="A1561" s="157"/>
      <c r="B1561" s="157"/>
      <c r="C1561" s="157"/>
      <c r="D1561" s="157"/>
    </row>
    <row r="1562" spans="1:4" x14ac:dyDescent="0.3">
      <c r="A1562" s="157"/>
      <c r="B1562" s="157"/>
      <c r="C1562" s="157"/>
      <c r="D1562" s="157"/>
    </row>
    <row r="1563" spans="1:4" x14ac:dyDescent="0.3">
      <c r="A1563" s="157"/>
      <c r="B1563" s="157"/>
      <c r="C1563" s="157"/>
      <c r="D1563" s="157"/>
    </row>
    <row r="1564" spans="1:4" x14ac:dyDescent="0.3">
      <c r="A1564" s="157"/>
      <c r="B1564" s="157"/>
      <c r="C1564" s="157"/>
      <c r="D1564" s="157"/>
    </row>
    <row r="1565" spans="1:4" x14ac:dyDescent="0.3">
      <c r="A1565" s="157"/>
      <c r="B1565" s="157"/>
      <c r="C1565" s="157"/>
      <c r="D1565" s="157"/>
    </row>
    <row r="1566" spans="1:4" x14ac:dyDescent="0.3">
      <c r="A1566" s="157"/>
      <c r="B1566" s="157"/>
      <c r="C1566" s="157"/>
      <c r="D1566" s="157"/>
    </row>
    <row r="1567" spans="1:4" x14ac:dyDescent="0.3">
      <c r="A1567" s="157"/>
      <c r="B1567" s="157"/>
      <c r="C1567" s="157"/>
      <c r="D1567" s="157"/>
    </row>
    <row r="1568" spans="1:4" x14ac:dyDescent="0.3">
      <c r="A1568" s="157"/>
      <c r="B1568" s="157"/>
      <c r="C1568" s="157"/>
      <c r="D1568" s="157"/>
    </row>
    <row r="1569" spans="1:4" x14ac:dyDescent="0.3">
      <c r="A1569" s="157"/>
      <c r="B1569" s="157"/>
      <c r="C1569" s="157"/>
      <c r="D1569" s="157"/>
    </row>
    <row r="1570" spans="1:4" x14ac:dyDescent="0.3">
      <c r="A1570" s="157"/>
      <c r="B1570" s="157"/>
      <c r="C1570" s="157"/>
      <c r="D1570" s="157"/>
    </row>
    <row r="1571" spans="1:4" x14ac:dyDescent="0.3">
      <c r="A1571" s="157"/>
      <c r="B1571" s="157"/>
      <c r="C1571" s="157"/>
      <c r="D1571" s="157"/>
    </row>
    <row r="1572" spans="1:4" x14ac:dyDescent="0.3">
      <c r="A1572" s="157"/>
      <c r="B1572" s="157"/>
      <c r="C1572" s="157"/>
      <c r="D1572" s="157"/>
    </row>
    <row r="1573" spans="1:4" x14ac:dyDescent="0.3">
      <c r="A1573" s="157"/>
      <c r="B1573" s="157"/>
      <c r="C1573" s="157"/>
      <c r="D1573" s="157"/>
    </row>
    <row r="1574" spans="1:4" x14ac:dyDescent="0.3">
      <c r="A1574" s="157"/>
      <c r="B1574" s="157"/>
      <c r="C1574" s="157"/>
      <c r="D1574" s="157"/>
    </row>
    <row r="1575" spans="1:4" x14ac:dyDescent="0.3">
      <c r="A1575" s="157"/>
      <c r="B1575" s="157"/>
      <c r="C1575" s="157"/>
      <c r="D1575" s="157"/>
    </row>
    <row r="1576" spans="1:4" x14ac:dyDescent="0.3">
      <c r="A1576" s="157"/>
      <c r="B1576" s="157"/>
      <c r="C1576" s="157"/>
      <c r="D1576" s="157"/>
    </row>
    <row r="1577" spans="1:4" x14ac:dyDescent="0.3">
      <c r="A1577" s="157"/>
      <c r="B1577" s="157"/>
      <c r="C1577" s="157"/>
      <c r="D1577" s="157"/>
    </row>
    <row r="1578" spans="1:4" x14ac:dyDescent="0.3">
      <c r="A1578" s="157"/>
      <c r="B1578" s="157"/>
      <c r="C1578" s="157"/>
      <c r="D1578" s="157"/>
    </row>
    <row r="1579" spans="1:4" x14ac:dyDescent="0.3">
      <c r="A1579" s="157"/>
      <c r="B1579" s="157"/>
      <c r="C1579" s="157"/>
      <c r="D1579" s="157"/>
    </row>
    <row r="1580" spans="1:4" x14ac:dyDescent="0.3">
      <c r="A1580" s="157"/>
      <c r="B1580" s="157"/>
      <c r="C1580" s="157"/>
      <c r="D1580" s="157"/>
    </row>
    <row r="1581" spans="1:4" x14ac:dyDescent="0.3">
      <c r="A1581" s="157"/>
      <c r="B1581" s="157"/>
      <c r="C1581" s="157"/>
      <c r="D1581" s="157"/>
    </row>
    <row r="1582" spans="1:4" x14ac:dyDescent="0.3">
      <c r="A1582" s="157"/>
      <c r="B1582" s="157"/>
      <c r="C1582" s="157"/>
      <c r="D1582" s="157"/>
    </row>
    <row r="1583" spans="1:4" x14ac:dyDescent="0.3">
      <c r="A1583" s="157"/>
      <c r="B1583" s="157"/>
      <c r="C1583" s="157"/>
      <c r="D1583" s="157"/>
    </row>
    <row r="1584" spans="1:4" x14ac:dyDescent="0.3">
      <c r="A1584" s="157"/>
      <c r="B1584" s="157"/>
      <c r="C1584" s="157"/>
      <c r="D1584" s="157"/>
    </row>
    <row r="1585" spans="1:4" x14ac:dyDescent="0.3">
      <c r="A1585" s="157"/>
      <c r="B1585" s="157"/>
      <c r="C1585" s="157"/>
      <c r="D1585" s="157"/>
    </row>
    <row r="1586" spans="1:4" x14ac:dyDescent="0.3">
      <c r="A1586" s="157"/>
      <c r="B1586" s="157"/>
      <c r="C1586" s="157"/>
      <c r="D1586" s="157"/>
    </row>
    <row r="1587" spans="1:4" x14ac:dyDescent="0.3">
      <c r="A1587" s="157"/>
      <c r="B1587" s="157"/>
      <c r="C1587" s="157"/>
      <c r="D1587" s="157"/>
    </row>
    <row r="1588" spans="1:4" x14ac:dyDescent="0.3">
      <c r="A1588" s="157"/>
      <c r="B1588" s="157"/>
      <c r="C1588" s="157"/>
      <c r="D1588" s="157"/>
    </row>
    <row r="1589" spans="1:4" x14ac:dyDescent="0.3">
      <c r="A1589" s="157"/>
      <c r="B1589" s="157"/>
      <c r="C1589" s="157"/>
      <c r="D1589" s="157"/>
    </row>
    <row r="1590" spans="1:4" x14ac:dyDescent="0.3">
      <c r="A1590" s="157"/>
      <c r="B1590" s="157"/>
      <c r="C1590" s="157"/>
      <c r="D1590" s="157"/>
    </row>
    <row r="1591" spans="1:4" x14ac:dyDescent="0.3">
      <c r="A1591" s="157"/>
      <c r="B1591" s="157"/>
      <c r="C1591" s="157"/>
      <c r="D1591" s="157"/>
    </row>
    <row r="1592" spans="1:4" x14ac:dyDescent="0.3">
      <c r="A1592" s="157"/>
      <c r="B1592" s="157"/>
      <c r="C1592" s="157"/>
      <c r="D1592" s="157"/>
    </row>
    <row r="1593" spans="1:4" x14ac:dyDescent="0.3">
      <c r="A1593" s="157"/>
      <c r="B1593" s="157"/>
      <c r="C1593" s="157"/>
      <c r="D1593" s="157"/>
    </row>
    <row r="1594" spans="1:4" x14ac:dyDescent="0.3">
      <c r="A1594" s="157"/>
      <c r="B1594" s="157"/>
      <c r="C1594" s="157"/>
      <c r="D1594" s="157"/>
    </row>
    <row r="1595" spans="1:4" x14ac:dyDescent="0.3">
      <c r="A1595" s="157"/>
      <c r="B1595" s="157"/>
      <c r="C1595" s="157"/>
      <c r="D1595" s="157"/>
    </row>
    <row r="1596" spans="1:4" x14ac:dyDescent="0.3">
      <c r="A1596" s="157"/>
      <c r="B1596" s="157"/>
      <c r="C1596" s="157"/>
      <c r="D1596" s="157"/>
    </row>
    <row r="1597" spans="1:4" x14ac:dyDescent="0.3">
      <c r="A1597" s="157"/>
      <c r="B1597" s="157"/>
      <c r="C1597" s="157"/>
      <c r="D1597" s="157"/>
    </row>
    <row r="1598" spans="1:4" x14ac:dyDescent="0.3">
      <c r="A1598" s="157"/>
      <c r="B1598" s="157"/>
      <c r="C1598" s="157"/>
      <c r="D1598" s="157"/>
    </row>
    <row r="1599" spans="1:4" x14ac:dyDescent="0.3">
      <c r="A1599" s="157"/>
      <c r="B1599" s="157"/>
      <c r="C1599" s="157"/>
      <c r="D1599" s="157"/>
    </row>
    <row r="1600" spans="1:4" x14ac:dyDescent="0.3">
      <c r="A1600" s="157"/>
      <c r="B1600" s="157"/>
      <c r="C1600" s="157"/>
      <c r="D1600" s="157"/>
    </row>
    <row r="1601" spans="1:4" x14ac:dyDescent="0.3">
      <c r="A1601" s="157"/>
      <c r="B1601" s="157"/>
      <c r="C1601" s="157"/>
      <c r="D1601" s="157"/>
    </row>
    <row r="1602" spans="1:4" x14ac:dyDescent="0.3">
      <c r="A1602" s="157"/>
      <c r="B1602" s="157"/>
      <c r="C1602" s="157"/>
      <c r="D1602" s="157"/>
    </row>
    <row r="1603" spans="1:4" x14ac:dyDescent="0.3">
      <c r="A1603" s="157"/>
      <c r="B1603" s="157"/>
      <c r="C1603" s="157"/>
      <c r="D1603" s="157"/>
    </row>
    <row r="1604" spans="1:4" x14ac:dyDescent="0.3">
      <c r="A1604" s="157"/>
      <c r="B1604" s="157"/>
      <c r="C1604" s="157"/>
      <c r="D1604" s="157"/>
    </row>
    <row r="1605" spans="1:4" x14ac:dyDescent="0.3">
      <c r="A1605" s="157"/>
      <c r="B1605" s="157"/>
      <c r="C1605" s="157"/>
      <c r="D1605" s="157"/>
    </row>
    <row r="1606" spans="1:4" x14ac:dyDescent="0.3">
      <c r="A1606" s="157"/>
      <c r="B1606" s="157"/>
      <c r="C1606" s="157"/>
      <c r="D1606" s="157"/>
    </row>
    <row r="1607" spans="1:4" x14ac:dyDescent="0.3">
      <c r="A1607" s="157"/>
      <c r="B1607" s="157"/>
      <c r="C1607" s="157"/>
      <c r="D1607" s="157"/>
    </row>
    <row r="1608" spans="1:4" x14ac:dyDescent="0.3">
      <c r="A1608" s="157"/>
      <c r="B1608" s="157"/>
      <c r="C1608" s="157"/>
      <c r="D1608" s="157"/>
    </row>
    <row r="1609" spans="1:4" x14ac:dyDescent="0.3">
      <c r="A1609" s="157"/>
      <c r="B1609" s="157"/>
      <c r="C1609" s="157"/>
      <c r="D1609" s="157"/>
    </row>
    <row r="1610" spans="1:4" x14ac:dyDescent="0.3">
      <c r="A1610" s="157"/>
      <c r="B1610" s="157"/>
      <c r="C1610" s="157"/>
      <c r="D1610" s="157"/>
    </row>
    <row r="1611" spans="1:4" x14ac:dyDescent="0.3">
      <c r="A1611" s="157"/>
      <c r="B1611" s="157"/>
      <c r="C1611" s="157"/>
      <c r="D1611" s="157"/>
    </row>
    <row r="1612" spans="1:4" x14ac:dyDescent="0.3">
      <c r="A1612" s="157"/>
      <c r="B1612" s="157"/>
      <c r="C1612" s="157"/>
      <c r="D1612" s="157"/>
    </row>
    <row r="1613" spans="1:4" x14ac:dyDescent="0.3">
      <c r="A1613" s="157"/>
      <c r="B1613" s="157"/>
      <c r="C1613" s="157"/>
      <c r="D1613" s="157"/>
    </row>
    <row r="1614" spans="1:4" x14ac:dyDescent="0.3">
      <c r="A1614" s="157"/>
      <c r="B1614" s="157"/>
      <c r="C1614" s="157"/>
      <c r="D1614" s="157"/>
    </row>
    <row r="1615" spans="1:4" x14ac:dyDescent="0.3">
      <c r="A1615" s="157"/>
      <c r="B1615" s="157"/>
      <c r="C1615" s="157"/>
      <c r="D1615" s="157"/>
    </row>
    <row r="1616" spans="1:4" x14ac:dyDescent="0.3">
      <c r="A1616" s="157"/>
      <c r="B1616" s="157"/>
      <c r="C1616" s="157"/>
      <c r="D1616" s="157"/>
    </row>
    <row r="1617" spans="1:4" x14ac:dyDescent="0.3">
      <c r="A1617" s="157"/>
      <c r="B1617" s="157"/>
      <c r="C1617" s="157"/>
      <c r="D1617" s="157"/>
    </row>
    <row r="1618" spans="1:4" x14ac:dyDescent="0.3">
      <c r="A1618" s="157"/>
      <c r="B1618" s="157"/>
      <c r="C1618" s="157"/>
      <c r="D1618" s="157"/>
    </row>
    <row r="1619" spans="1:4" x14ac:dyDescent="0.3">
      <c r="A1619" s="157"/>
      <c r="B1619" s="157"/>
      <c r="C1619" s="157"/>
      <c r="D1619" s="157"/>
    </row>
    <row r="1620" spans="1:4" x14ac:dyDescent="0.3">
      <c r="A1620" s="157"/>
      <c r="B1620" s="157"/>
      <c r="C1620" s="157"/>
      <c r="D1620" s="157"/>
    </row>
    <row r="1621" spans="1:4" x14ac:dyDescent="0.3">
      <c r="A1621" s="157"/>
      <c r="B1621" s="157"/>
      <c r="C1621" s="157"/>
      <c r="D1621" s="157"/>
    </row>
    <row r="1622" spans="1:4" x14ac:dyDescent="0.3">
      <c r="A1622" s="157"/>
      <c r="B1622" s="157"/>
      <c r="C1622" s="157"/>
      <c r="D1622" s="157"/>
    </row>
    <row r="1623" spans="1:4" x14ac:dyDescent="0.3">
      <c r="A1623" s="157"/>
      <c r="B1623" s="157"/>
      <c r="C1623" s="157"/>
      <c r="D1623" s="157"/>
    </row>
    <row r="1624" spans="1:4" x14ac:dyDescent="0.3">
      <c r="A1624" s="157"/>
      <c r="B1624" s="157"/>
      <c r="C1624" s="157"/>
      <c r="D1624" s="157"/>
    </row>
    <row r="1625" spans="1:4" x14ac:dyDescent="0.3">
      <c r="A1625" s="157"/>
      <c r="B1625" s="157"/>
      <c r="C1625" s="157"/>
      <c r="D1625" s="157"/>
    </row>
    <row r="1626" spans="1:4" x14ac:dyDescent="0.3">
      <c r="A1626" s="157"/>
      <c r="B1626" s="157"/>
      <c r="C1626" s="157"/>
      <c r="D1626" s="157"/>
    </row>
    <row r="1627" spans="1:4" x14ac:dyDescent="0.3">
      <c r="A1627" s="157"/>
      <c r="B1627" s="157"/>
      <c r="C1627" s="157"/>
      <c r="D1627" s="157"/>
    </row>
    <row r="1628" spans="1:4" x14ac:dyDescent="0.3">
      <c r="A1628" s="157"/>
      <c r="B1628" s="157"/>
      <c r="C1628" s="157"/>
      <c r="D1628" s="157"/>
    </row>
    <row r="1629" spans="1:4" x14ac:dyDescent="0.3">
      <c r="A1629" s="157"/>
      <c r="B1629" s="157"/>
      <c r="C1629" s="157"/>
      <c r="D1629" s="157"/>
    </row>
    <row r="1630" spans="1:4" x14ac:dyDescent="0.3">
      <c r="A1630" s="157"/>
      <c r="B1630" s="157"/>
      <c r="C1630" s="157"/>
      <c r="D1630" s="157"/>
    </row>
    <row r="1631" spans="1:4" x14ac:dyDescent="0.3">
      <c r="A1631" s="157"/>
      <c r="B1631" s="157"/>
      <c r="C1631" s="157"/>
      <c r="D1631" s="157"/>
    </row>
    <row r="1632" spans="1:4" x14ac:dyDescent="0.3">
      <c r="A1632" s="157"/>
      <c r="B1632" s="157"/>
      <c r="C1632" s="157"/>
      <c r="D1632" s="157"/>
    </row>
    <row r="1633" spans="1:4" x14ac:dyDescent="0.3">
      <c r="A1633" s="157"/>
      <c r="B1633" s="157"/>
      <c r="C1633" s="157"/>
      <c r="D1633" s="157"/>
    </row>
    <row r="1634" spans="1:4" x14ac:dyDescent="0.3">
      <c r="A1634" s="157"/>
      <c r="B1634" s="157"/>
      <c r="C1634" s="157"/>
      <c r="D1634" s="157"/>
    </row>
    <row r="1635" spans="1:4" x14ac:dyDescent="0.3">
      <c r="A1635" s="157"/>
      <c r="B1635" s="157"/>
      <c r="C1635" s="157"/>
      <c r="D1635" s="157"/>
    </row>
    <row r="1636" spans="1:4" x14ac:dyDescent="0.3">
      <c r="A1636" s="157"/>
      <c r="B1636" s="157"/>
      <c r="C1636" s="157"/>
      <c r="D1636" s="157"/>
    </row>
    <row r="1637" spans="1:4" x14ac:dyDescent="0.3">
      <c r="A1637" s="157"/>
      <c r="B1637" s="157"/>
      <c r="C1637" s="157"/>
      <c r="D1637" s="157"/>
    </row>
    <row r="1638" spans="1:4" x14ac:dyDescent="0.3">
      <c r="A1638" s="157"/>
      <c r="B1638" s="157"/>
      <c r="C1638" s="157"/>
      <c r="D1638" s="157"/>
    </row>
    <row r="1639" spans="1:4" x14ac:dyDescent="0.3">
      <c r="A1639" s="157"/>
      <c r="B1639" s="157"/>
      <c r="C1639" s="157"/>
      <c r="D1639" s="157"/>
    </row>
    <row r="1640" spans="1:4" x14ac:dyDescent="0.3">
      <c r="A1640" s="157"/>
      <c r="B1640" s="157"/>
      <c r="C1640" s="157"/>
      <c r="D1640" s="157"/>
    </row>
    <row r="1641" spans="1:4" x14ac:dyDescent="0.3">
      <c r="A1641" s="157"/>
      <c r="B1641" s="157"/>
      <c r="C1641" s="157"/>
      <c r="D1641" s="157"/>
    </row>
    <row r="1642" spans="1:4" x14ac:dyDescent="0.3">
      <c r="A1642" s="157"/>
      <c r="B1642" s="157"/>
      <c r="C1642" s="157"/>
      <c r="D1642" s="157"/>
    </row>
    <row r="1643" spans="1:4" x14ac:dyDescent="0.3">
      <c r="A1643" s="157"/>
      <c r="B1643" s="157"/>
      <c r="C1643" s="157"/>
      <c r="D1643" s="157"/>
    </row>
    <row r="1644" spans="1:4" x14ac:dyDescent="0.3">
      <c r="A1644" s="157"/>
      <c r="B1644" s="157"/>
      <c r="C1644" s="157"/>
      <c r="D1644" s="157"/>
    </row>
    <row r="1645" spans="1:4" x14ac:dyDescent="0.3">
      <c r="A1645" s="157"/>
      <c r="B1645" s="157"/>
      <c r="C1645" s="157"/>
      <c r="D1645" s="157"/>
    </row>
    <row r="1646" spans="1:4" x14ac:dyDescent="0.3">
      <c r="A1646" s="157"/>
      <c r="B1646" s="157"/>
      <c r="C1646" s="157"/>
      <c r="D1646" s="157"/>
    </row>
    <row r="1647" spans="1:4" x14ac:dyDescent="0.3">
      <c r="A1647" s="157"/>
      <c r="B1647" s="157"/>
      <c r="C1647" s="157"/>
      <c r="D1647" s="157"/>
    </row>
    <row r="1648" spans="1:4" x14ac:dyDescent="0.3">
      <c r="A1648" s="157"/>
      <c r="B1648" s="157"/>
      <c r="C1648" s="157"/>
      <c r="D1648" s="157"/>
    </row>
    <row r="1649" spans="1:4" x14ac:dyDescent="0.3">
      <c r="A1649" s="157"/>
      <c r="B1649" s="157"/>
      <c r="C1649" s="157"/>
      <c r="D1649" s="157"/>
    </row>
    <row r="1650" spans="1:4" x14ac:dyDescent="0.3">
      <c r="A1650" s="157"/>
      <c r="B1650" s="157"/>
      <c r="C1650" s="157"/>
      <c r="D1650" s="157"/>
    </row>
    <row r="1651" spans="1:4" x14ac:dyDescent="0.3">
      <c r="A1651" s="157"/>
      <c r="B1651" s="157"/>
      <c r="C1651" s="157"/>
      <c r="D1651" s="157"/>
    </row>
    <row r="1652" spans="1:4" x14ac:dyDescent="0.3">
      <c r="A1652" s="157"/>
      <c r="B1652" s="157"/>
      <c r="C1652" s="157"/>
      <c r="D1652" s="157"/>
    </row>
    <row r="1653" spans="1:4" x14ac:dyDescent="0.3">
      <c r="A1653" s="157"/>
      <c r="B1653" s="157"/>
      <c r="C1653" s="157"/>
      <c r="D1653" s="157"/>
    </row>
    <row r="1654" spans="1:4" x14ac:dyDescent="0.3">
      <c r="A1654" s="157"/>
      <c r="B1654" s="157"/>
      <c r="C1654" s="157"/>
      <c r="D1654" s="157"/>
    </row>
    <row r="1655" spans="1:4" x14ac:dyDescent="0.3">
      <c r="A1655" s="157"/>
      <c r="B1655" s="157"/>
      <c r="C1655" s="157"/>
      <c r="D1655" s="157"/>
    </row>
    <row r="1656" spans="1:4" x14ac:dyDescent="0.3">
      <c r="A1656" s="157"/>
      <c r="B1656" s="157"/>
      <c r="C1656" s="157"/>
      <c r="D1656" s="157"/>
    </row>
    <row r="1657" spans="1:4" x14ac:dyDescent="0.3">
      <c r="A1657" s="157"/>
      <c r="B1657" s="157"/>
      <c r="C1657" s="157"/>
      <c r="D1657" s="157"/>
    </row>
    <row r="1658" spans="1:4" x14ac:dyDescent="0.3">
      <c r="A1658" s="157"/>
      <c r="B1658" s="157"/>
      <c r="C1658" s="157"/>
      <c r="D1658" s="157"/>
    </row>
    <row r="1659" spans="1:4" x14ac:dyDescent="0.3">
      <c r="A1659" s="157"/>
      <c r="B1659" s="157"/>
      <c r="C1659" s="157"/>
      <c r="D1659" s="157"/>
    </row>
    <row r="1660" spans="1:4" x14ac:dyDescent="0.3">
      <c r="A1660" s="157"/>
      <c r="B1660" s="157"/>
      <c r="C1660" s="157"/>
      <c r="D1660" s="157"/>
    </row>
    <row r="1661" spans="1:4" x14ac:dyDescent="0.3">
      <c r="A1661" s="157"/>
      <c r="B1661" s="157"/>
      <c r="C1661" s="157"/>
      <c r="D1661" s="157"/>
    </row>
    <row r="1662" spans="1:4" x14ac:dyDescent="0.3">
      <c r="A1662" s="157"/>
      <c r="B1662" s="157"/>
      <c r="C1662" s="157"/>
      <c r="D1662" s="157"/>
    </row>
    <row r="1663" spans="1:4" x14ac:dyDescent="0.3">
      <c r="A1663" s="157"/>
      <c r="B1663" s="157"/>
      <c r="C1663" s="157"/>
      <c r="D1663" s="157"/>
    </row>
    <row r="1664" spans="1:4" x14ac:dyDescent="0.3">
      <c r="A1664" s="157"/>
      <c r="B1664" s="157"/>
      <c r="C1664" s="157"/>
      <c r="D1664" s="157"/>
    </row>
    <row r="1665" spans="1:4" x14ac:dyDescent="0.3">
      <c r="A1665" s="157"/>
      <c r="B1665" s="157"/>
      <c r="C1665" s="157"/>
      <c r="D1665" s="157"/>
    </row>
    <row r="1666" spans="1:4" x14ac:dyDescent="0.3">
      <c r="A1666" s="157"/>
      <c r="B1666" s="157"/>
      <c r="C1666" s="157"/>
      <c r="D1666" s="157"/>
    </row>
    <row r="1667" spans="1:4" x14ac:dyDescent="0.3">
      <c r="A1667" s="157"/>
      <c r="B1667" s="157"/>
      <c r="C1667" s="157"/>
      <c r="D1667" s="157"/>
    </row>
    <row r="1668" spans="1:4" x14ac:dyDescent="0.3">
      <c r="A1668" s="157"/>
      <c r="B1668" s="157"/>
      <c r="C1668" s="157"/>
      <c r="D1668" s="157"/>
    </row>
    <row r="1669" spans="1:4" x14ac:dyDescent="0.3">
      <c r="A1669" s="157"/>
      <c r="B1669" s="157"/>
      <c r="C1669" s="157"/>
      <c r="D1669" s="157"/>
    </row>
    <row r="1670" spans="1:4" x14ac:dyDescent="0.3">
      <c r="A1670" s="157"/>
      <c r="B1670" s="157"/>
      <c r="C1670" s="157"/>
      <c r="D1670" s="157"/>
    </row>
    <row r="1671" spans="1:4" x14ac:dyDescent="0.3">
      <c r="A1671" s="157"/>
      <c r="B1671" s="157"/>
      <c r="C1671" s="157"/>
      <c r="D1671" s="157"/>
    </row>
    <row r="1672" spans="1:4" x14ac:dyDescent="0.3">
      <c r="A1672" s="157"/>
      <c r="B1672" s="157"/>
      <c r="C1672" s="157"/>
      <c r="D1672" s="157"/>
    </row>
    <row r="1673" spans="1:4" x14ac:dyDescent="0.3">
      <c r="A1673" s="157"/>
      <c r="B1673" s="157"/>
      <c r="C1673" s="157"/>
      <c r="D1673" s="157"/>
    </row>
    <row r="1674" spans="1:4" x14ac:dyDescent="0.3">
      <c r="A1674" s="157"/>
      <c r="B1674" s="157"/>
      <c r="C1674" s="157"/>
      <c r="D1674" s="157"/>
    </row>
    <row r="1675" spans="1:4" x14ac:dyDescent="0.3">
      <c r="A1675" s="157"/>
      <c r="B1675" s="157"/>
      <c r="C1675" s="157"/>
      <c r="D1675" s="157"/>
    </row>
    <row r="1676" spans="1:4" x14ac:dyDescent="0.3">
      <c r="A1676" s="157"/>
      <c r="B1676" s="157"/>
      <c r="C1676" s="157"/>
      <c r="D1676" s="157"/>
    </row>
    <row r="1677" spans="1:4" x14ac:dyDescent="0.3">
      <c r="A1677" s="157"/>
      <c r="B1677" s="157"/>
      <c r="C1677" s="157"/>
      <c r="D1677" s="157"/>
    </row>
    <row r="1678" spans="1:4" x14ac:dyDescent="0.3">
      <c r="A1678" s="157"/>
      <c r="B1678" s="157"/>
      <c r="C1678" s="157"/>
      <c r="D1678" s="157"/>
    </row>
    <row r="1679" spans="1:4" x14ac:dyDescent="0.3">
      <c r="A1679" s="157"/>
      <c r="B1679" s="157"/>
      <c r="C1679" s="157"/>
      <c r="D1679" s="157"/>
    </row>
    <row r="1680" spans="1:4" x14ac:dyDescent="0.3">
      <c r="A1680" s="157"/>
      <c r="B1680" s="157"/>
      <c r="C1680" s="157"/>
      <c r="D1680" s="157"/>
    </row>
    <row r="1681" spans="1:4" x14ac:dyDescent="0.3">
      <c r="A1681" s="157"/>
      <c r="B1681" s="157"/>
      <c r="C1681" s="157"/>
      <c r="D1681" s="157"/>
    </row>
    <row r="1682" spans="1:4" x14ac:dyDescent="0.3">
      <c r="A1682" s="157"/>
      <c r="B1682" s="157"/>
      <c r="C1682" s="157"/>
      <c r="D1682" s="157"/>
    </row>
    <row r="1683" spans="1:4" x14ac:dyDescent="0.3">
      <c r="A1683" s="157"/>
      <c r="B1683" s="157"/>
      <c r="C1683" s="157"/>
      <c r="D1683" s="157"/>
    </row>
    <row r="1684" spans="1:4" x14ac:dyDescent="0.3">
      <c r="A1684" s="157"/>
      <c r="B1684" s="157"/>
      <c r="C1684" s="157"/>
      <c r="D1684" s="157"/>
    </row>
    <row r="1685" spans="1:4" x14ac:dyDescent="0.3">
      <c r="A1685" s="157"/>
      <c r="B1685" s="157"/>
      <c r="C1685" s="157"/>
      <c r="D1685" s="157"/>
    </row>
    <row r="1686" spans="1:4" x14ac:dyDescent="0.3">
      <c r="A1686" s="157"/>
      <c r="B1686" s="157"/>
      <c r="C1686" s="157"/>
      <c r="D1686" s="157"/>
    </row>
    <row r="1687" spans="1:4" x14ac:dyDescent="0.3">
      <c r="A1687" s="157"/>
      <c r="B1687" s="157"/>
      <c r="C1687" s="157"/>
      <c r="D1687" s="157"/>
    </row>
    <row r="1688" spans="1:4" x14ac:dyDescent="0.3">
      <c r="A1688" s="157"/>
      <c r="B1688" s="157"/>
      <c r="C1688" s="157"/>
      <c r="D1688" s="157"/>
    </row>
    <row r="1689" spans="1:4" x14ac:dyDescent="0.3">
      <c r="A1689" s="157"/>
      <c r="B1689" s="157"/>
      <c r="C1689" s="157"/>
      <c r="D1689" s="157"/>
    </row>
    <row r="1690" spans="1:4" x14ac:dyDescent="0.3">
      <c r="A1690" s="157"/>
      <c r="B1690" s="157"/>
      <c r="C1690" s="157"/>
      <c r="D1690" s="157"/>
    </row>
    <row r="1691" spans="1:4" x14ac:dyDescent="0.3">
      <c r="A1691" s="157"/>
      <c r="B1691" s="157"/>
      <c r="C1691" s="157"/>
      <c r="D1691" s="157"/>
    </row>
    <row r="1692" spans="1:4" x14ac:dyDescent="0.3">
      <c r="A1692" s="157"/>
      <c r="B1692" s="157"/>
      <c r="C1692" s="157"/>
      <c r="D1692" s="157"/>
    </row>
    <row r="1693" spans="1:4" x14ac:dyDescent="0.3">
      <c r="A1693" s="157"/>
      <c r="B1693" s="157"/>
      <c r="C1693" s="157"/>
      <c r="D1693" s="157"/>
    </row>
    <row r="1694" spans="1:4" x14ac:dyDescent="0.3">
      <c r="A1694" s="157"/>
      <c r="B1694" s="157"/>
      <c r="C1694" s="157"/>
      <c r="D1694" s="157"/>
    </row>
    <row r="1695" spans="1:4" x14ac:dyDescent="0.3">
      <c r="A1695" s="157"/>
      <c r="B1695" s="157"/>
      <c r="C1695" s="157"/>
      <c r="D1695" s="157"/>
    </row>
    <row r="1696" spans="1:4" x14ac:dyDescent="0.3">
      <c r="A1696" s="157"/>
      <c r="B1696" s="157"/>
      <c r="C1696" s="157"/>
      <c r="D1696" s="157"/>
    </row>
    <row r="1697" spans="1:4" x14ac:dyDescent="0.3">
      <c r="A1697" s="157"/>
      <c r="B1697" s="157"/>
      <c r="C1697" s="157"/>
      <c r="D1697" s="157"/>
    </row>
    <row r="1698" spans="1:4" x14ac:dyDescent="0.3">
      <c r="A1698" s="157"/>
      <c r="B1698" s="157"/>
      <c r="C1698" s="157"/>
      <c r="D1698" s="157"/>
    </row>
    <row r="1699" spans="1:4" x14ac:dyDescent="0.3">
      <c r="A1699" s="157"/>
      <c r="B1699" s="157"/>
      <c r="C1699" s="157"/>
      <c r="D1699" s="157"/>
    </row>
    <row r="1700" spans="1:4" x14ac:dyDescent="0.3">
      <c r="A1700" s="157"/>
      <c r="B1700" s="157"/>
      <c r="C1700" s="157"/>
      <c r="D1700" s="157"/>
    </row>
    <row r="1701" spans="1:4" x14ac:dyDescent="0.3">
      <c r="A1701" s="157"/>
      <c r="B1701" s="157"/>
      <c r="C1701" s="157"/>
      <c r="D1701" s="157"/>
    </row>
    <row r="1702" spans="1:4" x14ac:dyDescent="0.3">
      <c r="A1702" s="157"/>
      <c r="B1702" s="157"/>
      <c r="C1702" s="157"/>
      <c r="D1702" s="157"/>
    </row>
    <row r="1703" spans="1:4" x14ac:dyDescent="0.3">
      <c r="A1703" s="157"/>
      <c r="B1703" s="157"/>
      <c r="C1703" s="157"/>
      <c r="D1703" s="157"/>
    </row>
    <row r="1704" spans="1:4" x14ac:dyDescent="0.3">
      <c r="A1704" s="157"/>
      <c r="B1704" s="157"/>
      <c r="C1704" s="157"/>
      <c r="D1704" s="157"/>
    </row>
    <row r="1705" spans="1:4" x14ac:dyDescent="0.3">
      <c r="A1705" s="157"/>
      <c r="B1705" s="157"/>
      <c r="C1705" s="157"/>
      <c r="D1705" s="157"/>
    </row>
    <row r="1706" spans="1:4" x14ac:dyDescent="0.3">
      <c r="A1706" s="157"/>
      <c r="B1706" s="157"/>
      <c r="C1706" s="157"/>
      <c r="D1706" s="157"/>
    </row>
    <row r="1707" spans="1:4" x14ac:dyDescent="0.3">
      <c r="A1707" s="157"/>
      <c r="B1707" s="157"/>
      <c r="C1707" s="157"/>
      <c r="D1707" s="157"/>
    </row>
    <row r="1708" spans="1:4" x14ac:dyDescent="0.3">
      <c r="A1708" s="157"/>
      <c r="B1708" s="157"/>
      <c r="C1708" s="157"/>
      <c r="D1708" s="157"/>
    </row>
    <row r="1709" spans="1:4" x14ac:dyDescent="0.3">
      <c r="A1709" s="157"/>
      <c r="B1709" s="157"/>
      <c r="C1709" s="157"/>
      <c r="D1709" s="157"/>
    </row>
    <row r="1710" spans="1:4" x14ac:dyDescent="0.3">
      <c r="A1710" s="157"/>
      <c r="B1710" s="157"/>
      <c r="C1710" s="157"/>
      <c r="D1710" s="157"/>
    </row>
    <row r="1711" spans="1:4" x14ac:dyDescent="0.3">
      <c r="A1711" s="157"/>
      <c r="B1711" s="157"/>
      <c r="C1711" s="157"/>
      <c r="D1711" s="157"/>
    </row>
    <row r="1712" spans="1:4" x14ac:dyDescent="0.3">
      <c r="A1712" s="157"/>
      <c r="B1712" s="157"/>
      <c r="C1712" s="157"/>
      <c r="D1712" s="157"/>
    </row>
    <row r="1713" spans="1:4" x14ac:dyDescent="0.3">
      <c r="A1713" s="157"/>
      <c r="B1713" s="157"/>
      <c r="C1713" s="157"/>
      <c r="D1713" s="157"/>
    </row>
    <row r="1714" spans="1:4" x14ac:dyDescent="0.3">
      <c r="A1714" s="157"/>
      <c r="B1714" s="157"/>
      <c r="C1714" s="157"/>
      <c r="D1714" s="157"/>
    </row>
    <row r="1715" spans="1:4" x14ac:dyDescent="0.3">
      <c r="A1715" s="157"/>
      <c r="B1715" s="157"/>
      <c r="C1715" s="157"/>
      <c r="D1715" s="157"/>
    </row>
    <row r="1716" spans="1:4" x14ac:dyDescent="0.3">
      <c r="A1716" s="157"/>
      <c r="B1716" s="157"/>
      <c r="C1716" s="157"/>
      <c r="D1716" s="157"/>
    </row>
    <row r="1717" spans="1:4" x14ac:dyDescent="0.3">
      <c r="A1717" s="157"/>
      <c r="B1717" s="157"/>
      <c r="C1717" s="157"/>
      <c r="D1717" s="157"/>
    </row>
    <row r="1718" spans="1:4" x14ac:dyDescent="0.3">
      <c r="A1718" s="157"/>
      <c r="B1718" s="157"/>
      <c r="C1718" s="157"/>
      <c r="D1718" s="157"/>
    </row>
    <row r="1719" spans="1:4" x14ac:dyDescent="0.3">
      <c r="A1719" s="157"/>
      <c r="B1719" s="157"/>
      <c r="C1719" s="157"/>
      <c r="D1719" s="157"/>
    </row>
    <row r="1720" spans="1:4" x14ac:dyDescent="0.3">
      <c r="A1720" s="157"/>
      <c r="B1720" s="157"/>
      <c r="C1720" s="157"/>
      <c r="D1720" s="157"/>
    </row>
    <row r="1721" spans="1:4" x14ac:dyDescent="0.3">
      <c r="A1721" s="157"/>
      <c r="B1721" s="157"/>
      <c r="C1721" s="157"/>
      <c r="D1721" s="157"/>
    </row>
    <row r="1722" spans="1:4" x14ac:dyDescent="0.3">
      <c r="A1722" s="157"/>
      <c r="B1722" s="157"/>
      <c r="C1722" s="157"/>
      <c r="D1722" s="157"/>
    </row>
    <row r="1723" spans="1:4" x14ac:dyDescent="0.3">
      <c r="A1723" s="157"/>
      <c r="B1723" s="157"/>
      <c r="C1723" s="157"/>
      <c r="D1723" s="157"/>
    </row>
    <row r="1724" spans="1:4" x14ac:dyDescent="0.3">
      <c r="A1724" s="157"/>
      <c r="B1724" s="157"/>
      <c r="C1724" s="157"/>
      <c r="D1724" s="157"/>
    </row>
    <row r="1725" spans="1:4" x14ac:dyDescent="0.3">
      <c r="A1725" s="157"/>
      <c r="B1725" s="157"/>
      <c r="C1725" s="157"/>
      <c r="D1725" s="157"/>
    </row>
    <row r="1726" spans="1:4" x14ac:dyDescent="0.3">
      <c r="A1726" s="157"/>
      <c r="B1726" s="157"/>
      <c r="C1726" s="157"/>
      <c r="D1726" s="157"/>
    </row>
    <row r="1727" spans="1:4" x14ac:dyDescent="0.3">
      <c r="A1727" s="157"/>
      <c r="B1727" s="157"/>
      <c r="C1727" s="157"/>
      <c r="D1727" s="157"/>
    </row>
    <row r="1728" spans="1:4" x14ac:dyDescent="0.3">
      <c r="A1728" s="157"/>
      <c r="B1728" s="157"/>
      <c r="C1728" s="157"/>
      <c r="D1728" s="157"/>
    </row>
    <row r="1729" spans="1:4" x14ac:dyDescent="0.3">
      <c r="A1729" s="157"/>
      <c r="B1729" s="157"/>
      <c r="C1729" s="157"/>
      <c r="D1729" s="157"/>
    </row>
    <row r="1730" spans="1:4" x14ac:dyDescent="0.3">
      <c r="A1730" s="157"/>
      <c r="B1730" s="157"/>
      <c r="C1730" s="157"/>
      <c r="D1730" s="157"/>
    </row>
    <row r="1731" spans="1:4" x14ac:dyDescent="0.3">
      <c r="A1731" s="157"/>
      <c r="B1731" s="157"/>
      <c r="C1731" s="157"/>
      <c r="D1731" s="157"/>
    </row>
    <row r="1732" spans="1:4" x14ac:dyDescent="0.3">
      <c r="A1732" s="157"/>
      <c r="B1732" s="157"/>
      <c r="C1732" s="157"/>
      <c r="D1732" s="157"/>
    </row>
    <row r="1733" spans="1:4" x14ac:dyDescent="0.3">
      <c r="A1733" s="157"/>
      <c r="B1733" s="157"/>
      <c r="C1733" s="157"/>
      <c r="D1733" s="157"/>
    </row>
    <row r="1734" spans="1:4" x14ac:dyDescent="0.3">
      <c r="A1734" s="157"/>
      <c r="B1734" s="157"/>
      <c r="C1734" s="157"/>
      <c r="D1734" s="157"/>
    </row>
    <row r="1735" spans="1:4" x14ac:dyDescent="0.3">
      <c r="A1735" s="157"/>
      <c r="B1735" s="157"/>
      <c r="C1735" s="157"/>
      <c r="D1735" s="157"/>
    </row>
    <row r="1736" spans="1:4" x14ac:dyDescent="0.3">
      <c r="A1736" s="157"/>
      <c r="B1736" s="157"/>
      <c r="C1736" s="157"/>
      <c r="D1736" s="157"/>
    </row>
    <row r="1737" spans="1:4" x14ac:dyDescent="0.3">
      <c r="A1737" s="157"/>
      <c r="B1737" s="157"/>
      <c r="C1737" s="157"/>
      <c r="D1737" s="157"/>
    </row>
    <row r="1738" spans="1:4" x14ac:dyDescent="0.3">
      <c r="A1738" s="157"/>
      <c r="B1738" s="157"/>
      <c r="C1738" s="157"/>
      <c r="D1738" s="157"/>
    </row>
    <row r="1739" spans="1:4" x14ac:dyDescent="0.3">
      <c r="A1739" s="157"/>
      <c r="B1739" s="157"/>
      <c r="C1739" s="157"/>
      <c r="D1739" s="157"/>
    </row>
    <row r="1740" spans="1:4" x14ac:dyDescent="0.3">
      <c r="A1740" s="157"/>
      <c r="B1740" s="157"/>
      <c r="C1740" s="157"/>
      <c r="D1740" s="157"/>
    </row>
    <row r="1741" spans="1:4" x14ac:dyDescent="0.3">
      <c r="A1741" s="157"/>
      <c r="B1741" s="157"/>
      <c r="C1741" s="157"/>
      <c r="D1741" s="157"/>
    </row>
    <row r="1742" spans="1:4" x14ac:dyDescent="0.3">
      <c r="A1742" s="157"/>
      <c r="B1742" s="157"/>
      <c r="C1742" s="157"/>
      <c r="D1742" s="157"/>
    </row>
    <row r="1743" spans="1:4" x14ac:dyDescent="0.3">
      <c r="A1743" s="157"/>
      <c r="B1743" s="157"/>
      <c r="C1743" s="157"/>
      <c r="D1743" s="157"/>
    </row>
    <row r="1744" spans="1:4" x14ac:dyDescent="0.3">
      <c r="A1744" s="157"/>
      <c r="B1744" s="157"/>
      <c r="C1744" s="157"/>
      <c r="D1744" s="157"/>
    </row>
    <row r="1745" spans="1:4" x14ac:dyDescent="0.3">
      <c r="A1745" s="157"/>
      <c r="B1745" s="157"/>
      <c r="C1745" s="157"/>
      <c r="D1745" s="157"/>
    </row>
    <row r="1746" spans="1:4" x14ac:dyDescent="0.3">
      <c r="A1746" s="157"/>
      <c r="B1746" s="157"/>
      <c r="C1746" s="157"/>
      <c r="D1746" s="157"/>
    </row>
    <row r="1747" spans="1:4" x14ac:dyDescent="0.3">
      <c r="A1747" s="157"/>
      <c r="B1747" s="157"/>
      <c r="C1747" s="157"/>
      <c r="D1747" s="157"/>
    </row>
    <row r="1748" spans="1:4" x14ac:dyDescent="0.3">
      <c r="A1748" s="157"/>
      <c r="B1748" s="157"/>
      <c r="C1748" s="157"/>
      <c r="D1748" s="157"/>
    </row>
    <row r="1749" spans="1:4" x14ac:dyDescent="0.3">
      <c r="A1749" s="157"/>
      <c r="B1749" s="157"/>
      <c r="C1749" s="157"/>
      <c r="D1749" s="157"/>
    </row>
    <row r="1750" spans="1:4" x14ac:dyDescent="0.3">
      <c r="A1750" s="157"/>
      <c r="B1750" s="157"/>
      <c r="C1750" s="157"/>
      <c r="D1750" s="157"/>
    </row>
    <row r="1751" spans="1:4" x14ac:dyDescent="0.3">
      <c r="A1751" s="157"/>
      <c r="B1751" s="157"/>
      <c r="C1751" s="157"/>
      <c r="D1751" s="157"/>
    </row>
    <row r="1752" spans="1:4" x14ac:dyDescent="0.3">
      <c r="A1752" s="157"/>
      <c r="B1752" s="157"/>
      <c r="C1752" s="157"/>
      <c r="D1752" s="157"/>
    </row>
    <row r="1753" spans="1:4" x14ac:dyDescent="0.3">
      <c r="A1753" s="157"/>
      <c r="B1753" s="157"/>
      <c r="C1753" s="157"/>
      <c r="D1753" s="157"/>
    </row>
    <row r="1754" spans="1:4" x14ac:dyDescent="0.3">
      <c r="A1754" s="157"/>
      <c r="B1754" s="157"/>
      <c r="C1754" s="157"/>
      <c r="D1754" s="157"/>
    </row>
    <row r="1755" spans="1:4" x14ac:dyDescent="0.3">
      <c r="A1755" s="157"/>
      <c r="B1755" s="157"/>
      <c r="C1755" s="157"/>
      <c r="D1755" s="157"/>
    </row>
    <row r="1756" spans="1:4" x14ac:dyDescent="0.3">
      <c r="A1756" s="157"/>
      <c r="B1756" s="157"/>
      <c r="C1756" s="157"/>
      <c r="D1756" s="157"/>
    </row>
    <row r="1757" spans="1:4" x14ac:dyDescent="0.3">
      <c r="A1757" s="157"/>
      <c r="B1757" s="157"/>
      <c r="C1757" s="157"/>
      <c r="D1757" s="157"/>
    </row>
    <row r="1758" spans="1:4" x14ac:dyDescent="0.3">
      <c r="A1758" s="157"/>
      <c r="B1758" s="157"/>
      <c r="C1758" s="157"/>
      <c r="D1758" s="157"/>
    </row>
    <row r="1759" spans="1:4" x14ac:dyDescent="0.3">
      <c r="A1759" s="157"/>
      <c r="B1759" s="157"/>
      <c r="C1759" s="157"/>
      <c r="D1759" s="157"/>
    </row>
    <row r="1760" spans="1:4" x14ac:dyDescent="0.3">
      <c r="A1760" s="157"/>
      <c r="B1760" s="157"/>
      <c r="C1760" s="157"/>
      <c r="D1760" s="157"/>
    </row>
    <row r="1761" spans="1:4" x14ac:dyDescent="0.3">
      <c r="A1761" s="157"/>
      <c r="B1761" s="157"/>
      <c r="C1761" s="157"/>
      <c r="D1761" s="157"/>
    </row>
    <row r="1762" spans="1:4" x14ac:dyDescent="0.3">
      <c r="A1762" s="157"/>
      <c r="B1762" s="157"/>
      <c r="C1762" s="157"/>
      <c r="D1762" s="157"/>
    </row>
    <row r="1763" spans="1:4" x14ac:dyDescent="0.3">
      <c r="A1763" s="157"/>
      <c r="B1763" s="157"/>
      <c r="C1763" s="157"/>
      <c r="D1763" s="157"/>
    </row>
    <row r="1764" spans="1:4" x14ac:dyDescent="0.3">
      <c r="A1764" s="157"/>
      <c r="B1764" s="157"/>
      <c r="C1764" s="157"/>
      <c r="D1764" s="157"/>
    </row>
    <row r="1765" spans="1:4" x14ac:dyDescent="0.3">
      <c r="A1765" s="157"/>
      <c r="B1765" s="157"/>
      <c r="C1765" s="157"/>
      <c r="D1765" s="157"/>
    </row>
    <row r="1766" spans="1:4" x14ac:dyDescent="0.3">
      <c r="A1766" s="157"/>
      <c r="B1766" s="157"/>
      <c r="C1766" s="157"/>
      <c r="D1766" s="157"/>
    </row>
    <row r="1767" spans="1:4" x14ac:dyDescent="0.3">
      <c r="A1767" s="157"/>
      <c r="B1767" s="157"/>
      <c r="C1767" s="157"/>
      <c r="D1767" s="157"/>
    </row>
    <row r="1768" spans="1:4" x14ac:dyDescent="0.3">
      <c r="A1768" s="157"/>
      <c r="B1768" s="157"/>
      <c r="C1768" s="157"/>
      <c r="D1768" s="157"/>
    </row>
    <row r="1769" spans="1:4" x14ac:dyDescent="0.3">
      <c r="A1769" s="157"/>
      <c r="B1769" s="157"/>
      <c r="C1769" s="157"/>
      <c r="D1769" s="157"/>
    </row>
    <row r="1770" spans="1:4" x14ac:dyDescent="0.3">
      <c r="A1770" s="157"/>
      <c r="B1770" s="157"/>
      <c r="C1770" s="157"/>
      <c r="D1770" s="157"/>
    </row>
    <row r="1771" spans="1:4" x14ac:dyDescent="0.3">
      <c r="A1771" s="157"/>
      <c r="B1771" s="157"/>
      <c r="C1771" s="157"/>
      <c r="D1771" s="157"/>
    </row>
    <row r="1772" spans="1:4" x14ac:dyDescent="0.3">
      <c r="A1772" s="157"/>
      <c r="B1772" s="157"/>
      <c r="C1772" s="157"/>
      <c r="D1772" s="157"/>
    </row>
    <row r="1773" spans="1:4" x14ac:dyDescent="0.3">
      <c r="A1773" s="157"/>
      <c r="B1773" s="157"/>
      <c r="C1773" s="157"/>
      <c r="D1773" s="157"/>
    </row>
    <row r="1774" spans="1:4" x14ac:dyDescent="0.3">
      <c r="A1774" s="157"/>
      <c r="B1774" s="157"/>
      <c r="C1774" s="157"/>
      <c r="D1774" s="157"/>
    </row>
    <row r="1775" spans="1:4" x14ac:dyDescent="0.3">
      <c r="A1775" s="157"/>
      <c r="B1775" s="157"/>
      <c r="C1775" s="157"/>
      <c r="D1775" s="157"/>
    </row>
    <row r="1776" spans="1:4" x14ac:dyDescent="0.3">
      <c r="A1776" s="157"/>
      <c r="B1776" s="157"/>
      <c r="C1776" s="157"/>
      <c r="D1776" s="157"/>
    </row>
    <row r="1777" spans="1:4" x14ac:dyDescent="0.3">
      <c r="A1777" s="157"/>
      <c r="B1777" s="157"/>
      <c r="C1777" s="157"/>
      <c r="D1777" s="157"/>
    </row>
    <row r="1778" spans="1:4" x14ac:dyDescent="0.3">
      <c r="A1778" s="157"/>
      <c r="B1778" s="157"/>
      <c r="C1778" s="157"/>
      <c r="D1778" s="157"/>
    </row>
    <row r="1779" spans="1:4" x14ac:dyDescent="0.3">
      <c r="A1779" s="157"/>
      <c r="B1779" s="157"/>
      <c r="C1779" s="157"/>
      <c r="D1779" s="157"/>
    </row>
    <row r="1780" spans="1:4" x14ac:dyDescent="0.3">
      <c r="A1780" s="157"/>
      <c r="B1780" s="157"/>
      <c r="C1780" s="157"/>
      <c r="D1780" s="157"/>
    </row>
    <row r="1781" spans="1:4" x14ac:dyDescent="0.3">
      <c r="A1781" s="157"/>
      <c r="B1781" s="157"/>
      <c r="C1781" s="157"/>
      <c r="D1781" s="157"/>
    </row>
    <row r="1782" spans="1:4" x14ac:dyDescent="0.3">
      <c r="A1782" s="157"/>
      <c r="B1782" s="157"/>
      <c r="C1782" s="157"/>
      <c r="D1782" s="157"/>
    </row>
    <row r="1783" spans="1:4" x14ac:dyDescent="0.3">
      <c r="A1783" s="157"/>
      <c r="B1783" s="157"/>
      <c r="C1783" s="157"/>
      <c r="D1783" s="157"/>
    </row>
    <row r="1784" spans="1:4" x14ac:dyDescent="0.3">
      <c r="A1784" s="157"/>
      <c r="B1784" s="157"/>
      <c r="C1784" s="157"/>
      <c r="D1784" s="157"/>
    </row>
    <row r="1785" spans="1:4" x14ac:dyDescent="0.3">
      <c r="A1785" s="157"/>
      <c r="B1785" s="157"/>
      <c r="C1785" s="157"/>
      <c r="D1785" s="157"/>
    </row>
    <row r="1786" spans="1:4" x14ac:dyDescent="0.3">
      <c r="A1786" s="157"/>
      <c r="B1786" s="157"/>
      <c r="C1786" s="157"/>
      <c r="D1786" s="157"/>
    </row>
    <row r="1787" spans="1:4" x14ac:dyDescent="0.3">
      <c r="A1787" s="157"/>
      <c r="B1787" s="157"/>
      <c r="C1787" s="157"/>
      <c r="D1787" s="157"/>
    </row>
    <row r="1788" spans="1:4" x14ac:dyDescent="0.3">
      <c r="A1788" s="157"/>
      <c r="B1788" s="157"/>
      <c r="C1788" s="157"/>
      <c r="D1788" s="157"/>
    </row>
    <row r="1789" spans="1:4" x14ac:dyDescent="0.3">
      <c r="A1789" s="157"/>
      <c r="B1789" s="157"/>
      <c r="C1789" s="157"/>
      <c r="D1789" s="157"/>
    </row>
    <row r="1790" spans="1:4" x14ac:dyDescent="0.3">
      <c r="A1790" s="157"/>
      <c r="B1790" s="157"/>
      <c r="C1790" s="157"/>
      <c r="D1790" s="157"/>
    </row>
    <row r="1791" spans="1:4" x14ac:dyDescent="0.3">
      <c r="A1791" s="157"/>
      <c r="B1791" s="157"/>
      <c r="C1791" s="157"/>
      <c r="D1791" s="157"/>
    </row>
    <row r="1792" spans="1:4" x14ac:dyDescent="0.3">
      <c r="A1792" s="157"/>
      <c r="B1792" s="157"/>
      <c r="C1792" s="157"/>
      <c r="D1792" s="157"/>
    </row>
    <row r="1793" spans="1:4" x14ac:dyDescent="0.3">
      <c r="A1793" s="157"/>
      <c r="B1793" s="157"/>
      <c r="C1793" s="157"/>
      <c r="D1793" s="157"/>
    </row>
    <row r="1794" spans="1:4" x14ac:dyDescent="0.3">
      <c r="A1794" s="157"/>
      <c r="B1794" s="157"/>
      <c r="C1794" s="157"/>
      <c r="D1794" s="157"/>
    </row>
    <row r="1795" spans="1:4" x14ac:dyDescent="0.3">
      <c r="A1795" s="157"/>
      <c r="B1795" s="157"/>
      <c r="C1795" s="157"/>
      <c r="D1795" s="157"/>
    </row>
    <row r="1796" spans="1:4" x14ac:dyDescent="0.3">
      <c r="A1796" s="157"/>
      <c r="B1796" s="157"/>
      <c r="C1796" s="157"/>
      <c r="D1796" s="157"/>
    </row>
    <row r="1797" spans="1:4" x14ac:dyDescent="0.3">
      <c r="A1797" s="157"/>
      <c r="B1797" s="157"/>
      <c r="C1797" s="157"/>
      <c r="D1797" s="157"/>
    </row>
    <row r="1798" spans="1:4" x14ac:dyDescent="0.3">
      <c r="A1798" s="157"/>
      <c r="B1798" s="157"/>
      <c r="C1798" s="157"/>
      <c r="D1798" s="157"/>
    </row>
    <row r="1799" spans="1:4" x14ac:dyDescent="0.3">
      <c r="A1799" s="157"/>
      <c r="B1799" s="157"/>
      <c r="C1799" s="157"/>
      <c r="D1799" s="157"/>
    </row>
    <row r="1800" spans="1:4" x14ac:dyDescent="0.3">
      <c r="A1800" s="157"/>
      <c r="B1800" s="157"/>
      <c r="C1800" s="157"/>
      <c r="D1800" s="157"/>
    </row>
    <row r="1801" spans="1:4" x14ac:dyDescent="0.3">
      <c r="A1801" s="157"/>
      <c r="B1801" s="157"/>
      <c r="C1801" s="157"/>
      <c r="D1801" s="157"/>
    </row>
    <row r="1802" spans="1:4" x14ac:dyDescent="0.3">
      <c r="A1802" s="157"/>
      <c r="B1802" s="157"/>
      <c r="C1802" s="157"/>
      <c r="D1802" s="157"/>
    </row>
    <row r="1803" spans="1:4" x14ac:dyDescent="0.3">
      <c r="A1803" s="157"/>
      <c r="B1803" s="157"/>
      <c r="C1803" s="157"/>
      <c r="D1803" s="157"/>
    </row>
    <row r="1804" spans="1:4" x14ac:dyDescent="0.3">
      <c r="A1804" s="157"/>
      <c r="B1804" s="157"/>
      <c r="C1804" s="157"/>
      <c r="D1804" s="157"/>
    </row>
    <row r="1805" spans="1:4" x14ac:dyDescent="0.3">
      <c r="A1805" s="157"/>
      <c r="B1805" s="157"/>
      <c r="C1805" s="157"/>
      <c r="D1805" s="157"/>
    </row>
    <row r="1806" spans="1:4" x14ac:dyDescent="0.3">
      <c r="A1806" s="157"/>
      <c r="B1806" s="157"/>
      <c r="C1806" s="157"/>
      <c r="D1806" s="157"/>
    </row>
    <row r="1807" spans="1:4" x14ac:dyDescent="0.3">
      <c r="A1807" s="157"/>
      <c r="B1807" s="157"/>
      <c r="C1807" s="157"/>
      <c r="D1807" s="157"/>
    </row>
    <row r="1808" spans="1:4" x14ac:dyDescent="0.3">
      <c r="A1808" s="157"/>
      <c r="B1808" s="157"/>
      <c r="C1808" s="157"/>
      <c r="D1808" s="157"/>
    </row>
    <row r="1809" spans="1:4" x14ac:dyDescent="0.3">
      <c r="A1809" s="157"/>
      <c r="B1809" s="157"/>
      <c r="C1809" s="157"/>
      <c r="D1809" s="157"/>
    </row>
    <row r="1810" spans="1:4" x14ac:dyDescent="0.3">
      <c r="A1810" s="157"/>
      <c r="B1810" s="157"/>
      <c r="C1810" s="157"/>
      <c r="D1810" s="157"/>
    </row>
    <row r="1811" spans="1:4" x14ac:dyDescent="0.3">
      <c r="A1811" s="157"/>
      <c r="B1811" s="157"/>
      <c r="C1811" s="157"/>
      <c r="D1811" s="157"/>
    </row>
    <row r="1812" spans="1:4" x14ac:dyDescent="0.3">
      <c r="A1812" s="157"/>
      <c r="B1812" s="157"/>
      <c r="C1812" s="157"/>
      <c r="D1812" s="157"/>
    </row>
    <row r="1813" spans="1:4" x14ac:dyDescent="0.3">
      <c r="A1813" s="157"/>
      <c r="B1813" s="157"/>
      <c r="C1813" s="157"/>
      <c r="D1813" s="157"/>
    </row>
    <row r="1814" spans="1:4" x14ac:dyDescent="0.3">
      <c r="A1814" s="157"/>
      <c r="B1814" s="157"/>
      <c r="C1814" s="157"/>
      <c r="D1814" s="157"/>
    </row>
    <row r="1815" spans="1:4" x14ac:dyDescent="0.3">
      <c r="A1815" s="157"/>
      <c r="B1815" s="157"/>
      <c r="C1815" s="157"/>
      <c r="D1815" s="157"/>
    </row>
    <row r="1816" spans="1:4" x14ac:dyDescent="0.3">
      <c r="A1816" s="157"/>
      <c r="B1816" s="157"/>
      <c r="C1816" s="157"/>
      <c r="D1816" s="157"/>
    </row>
    <row r="1817" spans="1:4" x14ac:dyDescent="0.3">
      <c r="A1817" s="157"/>
      <c r="B1817" s="157"/>
      <c r="C1817" s="157"/>
      <c r="D1817" s="157"/>
    </row>
    <row r="1818" spans="1:4" x14ac:dyDescent="0.3">
      <c r="A1818" s="157"/>
      <c r="B1818" s="157"/>
      <c r="C1818" s="157"/>
      <c r="D1818" s="157"/>
    </row>
    <row r="1819" spans="1:4" x14ac:dyDescent="0.3">
      <c r="A1819" s="157"/>
      <c r="B1819" s="157"/>
      <c r="C1819" s="157"/>
      <c r="D1819" s="157"/>
    </row>
    <row r="1820" spans="1:4" x14ac:dyDescent="0.3">
      <c r="A1820" s="157"/>
      <c r="B1820" s="157"/>
      <c r="C1820" s="157"/>
      <c r="D1820" s="157"/>
    </row>
    <row r="1821" spans="1:4" x14ac:dyDescent="0.3">
      <c r="A1821" s="157"/>
      <c r="B1821" s="157"/>
      <c r="C1821" s="157"/>
      <c r="D1821" s="157"/>
    </row>
    <row r="1822" spans="1:4" x14ac:dyDescent="0.3">
      <c r="A1822" s="157"/>
      <c r="B1822" s="157"/>
      <c r="C1822" s="157"/>
      <c r="D1822" s="157"/>
    </row>
    <row r="1823" spans="1:4" x14ac:dyDescent="0.3">
      <c r="A1823" s="157"/>
      <c r="B1823" s="157"/>
      <c r="C1823" s="157"/>
      <c r="D1823" s="157"/>
    </row>
    <row r="1824" spans="1:4" x14ac:dyDescent="0.3">
      <c r="A1824" s="157"/>
      <c r="B1824" s="157"/>
      <c r="C1824" s="157"/>
      <c r="D1824" s="157"/>
    </row>
    <row r="1825" spans="1:4" x14ac:dyDescent="0.3">
      <c r="A1825" s="157"/>
      <c r="B1825" s="157"/>
      <c r="C1825" s="157"/>
      <c r="D1825" s="157"/>
    </row>
    <row r="1826" spans="1:4" x14ac:dyDescent="0.3">
      <c r="A1826" s="157"/>
      <c r="B1826" s="157"/>
      <c r="C1826" s="157"/>
      <c r="D1826" s="157"/>
    </row>
    <row r="1827" spans="1:4" x14ac:dyDescent="0.3">
      <c r="A1827" s="157"/>
      <c r="B1827" s="157"/>
      <c r="C1827" s="157"/>
      <c r="D1827" s="157"/>
    </row>
    <row r="1828" spans="1:4" x14ac:dyDescent="0.3">
      <c r="A1828" s="157"/>
      <c r="B1828" s="157"/>
      <c r="C1828" s="157"/>
      <c r="D1828" s="157"/>
    </row>
    <row r="1829" spans="1:4" x14ac:dyDescent="0.3">
      <c r="A1829" s="157"/>
      <c r="B1829" s="157"/>
      <c r="C1829" s="157"/>
      <c r="D1829" s="157"/>
    </row>
    <row r="1830" spans="1:4" x14ac:dyDescent="0.3">
      <c r="A1830" s="157"/>
      <c r="B1830" s="157"/>
      <c r="C1830" s="157"/>
      <c r="D1830" s="157"/>
    </row>
    <row r="1831" spans="1:4" x14ac:dyDescent="0.3">
      <c r="A1831" s="157"/>
      <c r="B1831" s="157"/>
      <c r="C1831" s="157"/>
      <c r="D1831" s="157"/>
    </row>
    <row r="1832" spans="1:4" x14ac:dyDescent="0.3">
      <c r="A1832" s="157"/>
      <c r="B1832" s="157"/>
      <c r="C1832" s="157"/>
      <c r="D1832" s="157"/>
    </row>
    <row r="1833" spans="1:4" x14ac:dyDescent="0.3">
      <c r="A1833" s="157"/>
      <c r="B1833" s="157"/>
      <c r="C1833" s="157"/>
      <c r="D1833" s="157"/>
    </row>
    <row r="1834" spans="1:4" x14ac:dyDescent="0.3">
      <c r="A1834" s="157"/>
      <c r="B1834" s="157"/>
      <c r="C1834" s="157"/>
      <c r="D1834" s="157"/>
    </row>
    <row r="1835" spans="1:4" x14ac:dyDescent="0.3">
      <c r="A1835" s="157"/>
      <c r="B1835" s="157"/>
      <c r="C1835" s="157"/>
      <c r="D1835" s="157"/>
    </row>
    <row r="1836" spans="1:4" x14ac:dyDescent="0.3">
      <c r="A1836" s="157"/>
      <c r="B1836" s="157"/>
      <c r="C1836" s="157"/>
      <c r="D1836" s="157"/>
    </row>
    <row r="1837" spans="1:4" x14ac:dyDescent="0.3">
      <c r="A1837" s="157"/>
      <c r="B1837" s="157"/>
      <c r="C1837" s="157"/>
      <c r="D1837" s="157"/>
    </row>
    <row r="1838" spans="1:4" x14ac:dyDescent="0.3">
      <c r="A1838" s="157"/>
      <c r="B1838" s="157"/>
      <c r="C1838" s="157"/>
      <c r="D1838" s="157"/>
    </row>
    <row r="1839" spans="1:4" x14ac:dyDescent="0.3">
      <c r="A1839" s="157"/>
      <c r="B1839" s="157"/>
      <c r="C1839" s="157"/>
      <c r="D1839" s="157"/>
    </row>
    <row r="1840" spans="1:4" x14ac:dyDescent="0.3">
      <c r="A1840" s="157"/>
      <c r="B1840" s="157"/>
      <c r="C1840" s="157"/>
      <c r="D1840" s="157"/>
    </row>
    <row r="1841" spans="1:4" x14ac:dyDescent="0.3">
      <c r="A1841" s="157"/>
      <c r="B1841" s="157"/>
      <c r="C1841" s="157"/>
      <c r="D1841" s="157"/>
    </row>
    <row r="1842" spans="1:4" x14ac:dyDescent="0.3">
      <c r="A1842" s="157"/>
      <c r="B1842" s="157"/>
      <c r="C1842" s="157"/>
      <c r="D1842" s="157"/>
    </row>
    <row r="1843" spans="1:4" x14ac:dyDescent="0.3">
      <c r="A1843" s="157"/>
      <c r="B1843" s="157"/>
      <c r="C1843" s="157"/>
      <c r="D1843" s="157"/>
    </row>
    <row r="1844" spans="1:4" x14ac:dyDescent="0.3">
      <c r="A1844" s="157"/>
      <c r="B1844" s="157"/>
      <c r="C1844" s="157"/>
      <c r="D1844" s="157"/>
    </row>
    <row r="1845" spans="1:4" x14ac:dyDescent="0.3">
      <c r="A1845" s="157"/>
      <c r="B1845" s="157"/>
      <c r="C1845" s="157"/>
      <c r="D1845" s="157"/>
    </row>
    <row r="1846" spans="1:4" x14ac:dyDescent="0.3">
      <c r="A1846" s="157"/>
      <c r="B1846" s="157"/>
      <c r="C1846" s="157"/>
      <c r="D1846" s="157"/>
    </row>
    <row r="1847" spans="1:4" x14ac:dyDescent="0.3">
      <c r="A1847" s="157"/>
      <c r="B1847" s="157"/>
      <c r="C1847" s="157"/>
      <c r="D1847" s="157"/>
    </row>
    <row r="1848" spans="1:4" x14ac:dyDescent="0.3">
      <c r="A1848" s="157"/>
      <c r="B1848" s="157"/>
      <c r="C1848" s="157"/>
      <c r="D1848" s="157"/>
    </row>
    <row r="1849" spans="1:4" x14ac:dyDescent="0.3">
      <c r="A1849" s="157"/>
      <c r="B1849" s="157"/>
      <c r="C1849" s="157"/>
      <c r="D1849" s="157"/>
    </row>
    <row r="1850" spans="1:4" x14ac:dyDescent="0.3">
      <c r="A1850" s="157"/>
      <c r="B1850" s="157"/>
      <c r="C1850" s="157"/>
      <c r="D1850" s="157"/>
    </row>
    <row r="1851" spans="1:4" x14ac:dyDescent="0.3">
      <c r="A1851" s="157"/>
      <c r="B1851" s="157"/>
      <c r="C1851" s="157"/>
      <c r="D1851" s="157"/>
    </row>
    <row r="1852" spans="1:4" x14ac:dyDescent="0.3">
      <c r="A1852" s="157"/>
      <c r="B1852" s="157"/>
      <c r="C1852" s="157"/>
      <c r="D1852" s="157"/>
    </row>
    <row r="1853" spans="1:4" x14ac:dyDescent="0.3">
      <c r="A1853" s="157"/>
      <c r="B1853" s="157"/>
      <c r="C1853" s="157"/>
      <c r="D1853" s="157"/>
    </row>
    <row r="1854" spans="1:4" x14ac:dyDescent="0.3">
      <c r="A1854" s="157"/>
      <c r="B1854" s="157"/>
      <c r="C1854" s="157"/>
      <c r="D1854" s="157"/>
    </row>
    <row r="1855" spans="1:4" x14ac:dyDescent="0.3">
      <c r="A1855" s="157"/>
      <c r="B1855" s="157"/>
      <c r="C1855" s="157"/>
      <c r="D1855" s="157"/>
    </row>
    <row r="1856" spans="1:4" x14ac:dyDescent="0.3">
      <c r="A1856" s="157"/>
      <c r="B1856" s="157"/>
      <c r="C1856" s="157"/>
      <c r="D1856" s="157"/>
    </row>
    <row r="1857" spans="1:4" x14ac:dyDescent="0.3">
      <c r="A1857" s="157"/>
      <c r="B1857" s="157"/>
      <c r="C1857" s="157"/>
      <c r="D1857" s="157"/>
    </row>
    <row r="1858" spans="1:4" x14ac:dyDescent="0.3">
      <c r="A1858" s="157"/>
      <c r="B1858" s="157"/>
      <c r="C1858" s="157"/>
      <c r="D1858" s="157"/>
    </row>
    <row r="1859" spans="1:4" x14ac:dyDescent="0.3">
      <c r="A1859" s="157"/>
      <c r="B1859" s="157"/>
      <c r="C1859" s="157"/>
      <c r="D1859" s="157"/>
    </row>
    <row r="1860" spans="1:4" x14ac:dyDescent="0.3">
      <c r="A1860" s="157"/>
      <c r="B1860" s="157"/>
      <c r="C1860" s="157"/>
      <c r="D1860" s="157"/>
    </row>
    <row r="1861" spans="1:4" x14ac:dyDescent="0.3">
      <c r="A1861" s="157"/>
      <c r="B1861" s="157"/>
      <c r="C1861" s="157"/>
      <c r="D1861" s="157"/>
    </row>
    <row r="1862" spans="1:4" x14ac:dyDescent="0.3">
      <c r="A1862" s="157"/>
      <c r="B1862" s="157"/>
      <c r="C1862" s="157"/>
      <c r="D1862" s="157"/>
    </row>
    <row r="1863" spans="1:4" x14ac:dyDescent="0.3">
      <c r="A1863" s="157"/>
      <c r="B1863" s="157"/>
      <c r="C1863" s="157"/>
      <c r="D1863" s="157"/>
    </row>
    <row r="1864" spans="1:4" x14ac:dyDescent="0.3">
      <c r="A1864" s="157"/>
      <c r="B1864" s="157"/>
      <c r="C1864" s="157"/>
      <c r="D1864" s="157"/>
    </row>
    <row r="1865" spans="1:4" x14ac:dyDescent="0.3">
      <c r="A1865" s="157"/>
      <c r="B1865" s="157"/>
      <c r="C1865" s="157"/>
      <c r="D1865" s="157"/>
    </row>
    <row r="1866" spans="1:4" x14ac:dyDescent="0.3">
      <c r="A1866" s="157"/>
      <c r="B1866" s="157"/>
      <c r="C1866" s="157"/>
      <c r="D1866" s="157"/>
    </row>
    <row r="1867" spans="1:4" x14ac:dyDescent="0.3">
      <c r="A1867" s="157"/>
      <c r="B1867" s="157"/>
      <c r="C1867" s="157"/>
      <c r="D1867" s="157"/>
    </row>
    <row r="1868" spans="1:4" x14ac:dyDescent="0.3">
      <c r="A1868" s="157"/>
      <c r="B1868" s="157"/>
      <c r="C1868" s="157"/>
      <c r="D1868" s="157"/>
    </row>
    <row r="1869" spans="1:4" x14ac:dyDescent="0.3">
      <c r="A1869" s="157"/>
      <c r="B1869" s="157"/>
      <c r="C1869" s="157"/>
      <c r="D1869" s="157"/>
    </row>
    <row r="1870" spans="1:4" x14ac:dyDescent="0.3">
      <c r="A1870" s="157"/>
      <c r="B1870" s="157"/>
      <c r="C1870" s="157"/>
      <c r="D1870" s="157"/>
    </row>
    <row r="1871" spans="1:4" x14ac:dyDescent="0.3">
      <c r="A1871" s="157"/>
      <c r="B1871" s="157"/>
      <c r="C1871" s="157"/>
      <c r="D1871" s="157"/>
    </row>
    <row r="1872" spans="1:4" x14ac:dyDescent="0.3">
      <c r="A1872" s="157"/>
      <c r="B1872" s="157"/>
      <c r="C1872" s="157"/>
      <c r="D1872" s="157"/>
    </row>
    <row r="1873" spans="1:4" x14ac:dyDescent="0.3">
      <c r="A1873" s="157"/>
      <c r="B1873" s="157"/>
      <c r="C1873" s="157"/>
      <c r="D1873" s="157"/>
    </row>
    <row r="1874" spans="1:4" x14ac:dyDescent="0.3">
      <c r="A1874" s="157"/>
      <c r="B1874" s="157"/>
      <c r="C1874" s="157"/>
      <c r="D1874" s="157"/>
    </row>
    <row r="1875" spans="1:4" x14ac:dyDescent="0.3">
      <c r="A1875" s="157"/>
      <c r="B1875" s="157"/>
      <c r="C1875" s="157"/>
      <c r="D1875" s="157"/>
    </row>
    <row r="1876" spans="1:4" x14ac:dyDescent="0.3">
      <c r="A1876" s="157"/>
      <c r="B1876" s="157"/>
      <c r="C1876" s="157"/>
      <c r="D1876" s="157"/>
    </row>
    <row r="1877" spans="1:4" x14ac:dyDescent="0.3">
      <c r="A1877" s="157"/>
      <c r="B1877" s="157"/>
      <c r="C1877" s="157"/>
      <c r="D1877" s="157"/>
    </row>
    <row r="1878" spans="1:4" x14ac:dyDescent="0.3">
      <c r="A1878" s="157"/>
      <c r="B1878" s="157"/>
      <c r="C1878" s="157"/>
      <c r="D1878" s="157"/>
    </row>
    <row r="1879" spans="1:4" x14ac:dyDescent="0.3">
      <c r="A1879" s="157"/>
      <c r="B1879" s="157"/>
      <c r="C1879" s="157"/>
      <c r="D1879" s="157"/>
    </row>
    <row r="1880" spans="1:4" x14ac:dyDescent="0.3">
      <c r="A1880" s="157"/>
      <c r="B1880" s="157"/>
      <c r="C1880" s="157"/>
      <c r="D1880" s="157"/>
    </row>
    <row r="1881" spans="1:4" x14ac:dyDescent="0.3">
      <c r="A1881" s="157"/>
      <c r="B1881" s="157"/>
      <c r="C1881" s="157"/>
      <c r="D1881" s="157"/>
    </row>
    <row r="1882" spans="1:4" x14ac:dyDescent="0.3">
      <c r="A1882" s="157"/>
      <c r="B1882" s="157"/>
      <c r="C1882" s="157"/>
      <c r="D1882" s="157"/>
    </row>
    <row r="1883" spans="1:4" x14ac:dyDescent="0.3">
      <c r="A1883" s="157"/>
      <c r="B1883" s="157"/>
      <c r="C1883" s="157"/>
      <c r="D1883" s="157"/>
    </row>
    <row r="1884" spans="1:4" x14ac:dyDescent="0.3">
      <c r="A1884" s="157"/>
      <c r="B1884" s="157"/>
      <c r="C1884" s="157"/>
      <c r="D1884" s="157"/>
    </row>
    <row r="1885" spans="1:4" x14ac:dyDescent="0.3">
      <c r="A1885" s="157"/>
      <c r="B1885" s="157"/>
      <c r="C1885" s="157"/>
      <c r="D1885" s="157"/>
    </row>
    <row r="1886" spans="1:4" x14ac:dyDescent="0.3">
      <c r="A1886" s="157"/>
      <c r="B1886" s="157"/>
      <c r="C1886" s="157"/>
      <c r="D1886" s="157"/>
    </row>
    <row r="1887" spans="1:4" x14ac:dyDescent="0.3">
      <c r="A1887" s="157"/>
      <c r="B1887" s="157"/>
      <c r="C1887" s="157"/>
      <c r="D1887" s="157"/>
    </row>
    <row r="1888" spans="1:4" x14ac:dyDescent="0.3">
      <c r="A1888" s="157"/>
      <c r="B1888" s="157"/>
      <c r="C1888" s="157"/>
      <c r="D1888" s="157"/>
    </row>
    <row r="1889" spans="1:4" x14ac:dyDescent="0.3">
      <c r="A1889" s="157"/>
      <c r="B1889" s="157"/>
      <c r="C1889" s="157"/>
      <c r="D1889" s="157"/>
    </row>
    <row r="1890" spans="1:4" x14ac:dyDescent="0.3">
      <c r="A1890" s="157"/>
      <c r="B1890" s="157"/>
      <c r="C1890" s="157"/>
      <c r="D1890" s="157"/>
    </row>
    <row r="1891" spans="1:4" x14ac:dyDescent="0.3">
      <c r="A1891" s="157"/>
      <c r="B1891" s="157"/>
      <c r="C1891" s="157"/>
      <c r="D1891" s="157"/>
    </row>
    <row r="1892" spans="1:4" x14ac:dyDescent="0.3">
      <c r="A1892" s="157"/>
      <c r="B1892" s="157"/>
      <c r="C1892" s="157"/>
      <c r="D1892" s="157"/>
    </row>
    <row r="1893" spans="1:4" x14ac:dyDescent="0.3">
      <c r="A1893" s="157"/>
      <c r="B1893" s="157"/>
      <c r="C1893" s="157"/>
      <c r="D1893" s="157"/>
    </row>
    <row r="1894" spans="1:4" x14ac:dyDescent="0.3">
      <c r="A1894" s="157"/>
      <c r="B1894" s="157"/>
      <c r="C1894" s="157"/>
      <c r="D1894" s="157"/>
    </row>
    <row r="1895" spans="1:4" x14ac:dyDescent="0.3">
      <c r="A1895" s="157"/>
      <c r="B1895" s="157"/>
      <c r="C1895" s="157"/>
      <c r="D1895" s="157"/>
    </row>
    <row r="1896" spans="1:4" x14ac:dyDescent="0.3">
      <c r="A1896" s="157"/>
      <c r="B1896" s="157"/>
      <c r="C1896" s="157"/>
      <c r="D1896" s="157"/>
    </row>
    <row r="1897" spans="1:4" x14ac:dyDescent="0.3">
      <c r="A1897" s="157"/>
      <c r="B1897" s="157"/>
      <c r="C1897" s="157"/>
      <c r="D1897" s="157"/>
    </row>
    <row r="1898" spans="1:4" x14ac:dyDescent="0.3">
      <c r="A1898" s="157"/>
      <c r="B1898" s="157"/>
      <c r="C1898" s="157"/>
      <c r="D1898" s="157"/>
    </row>
    <row r="1899" spans="1:4" x14ac:dyDescent="0.3">
      <c r="A1899" s="157"/>
      <c r="B1899" s="157"/>
      <c r="C1899" s="157"/>
      <c r="D1899" s="157"/>
    </row>
    <row r="1900" spans="1:4" x14ac:dyDescent="0.3">
      <c r="A1900" s="157"/>
      <c r="B1900" s="157"/>
      <c r="C1900" s="157"/>
      <c r="D1900" s="157"/>
    </row>
    <row r="1901" spans="1:4" x14ac:dyDescent="0.3">
      <c r="A1901" s="157"/>
      <c r="B1901" s="157"/>
      <c r="C1901" s="157"/>
      <c r="D1901" s="157"/>
    </row>
    <row r="1902" spans="1:4" x14ac:dyDescent="0.3">
      <c r="A1902" s="157"/>
      <c r="B1902" s="157"/>
      <c r="C1902" s="157"/>
      <c r="D1902" s="157"/>
    </row>
    <row r="1903" spans="1:4" x14ac:dyDescent="0.3">
      <c r="A1903" s="157"/>
      <c r="B1903" s="157"/>
      <c r="C1903" s="157"/>
      <c r="D1903" s="157"/>
    </row>
    <row r="1904" spans="1:4" x14ac:dyDescent="0.3">
      <c r="A1904" s="157"/>
      <c r="B1904" s="157"/>
      <c r="C1904" s="157"/>
      <c r="D1904" s="157"/>
    </row>
    <row r="1905" spans="1:4" x14ac:dyDescent="0.3">
      <c r="A1905" s="157"/>
      <c r="B1905" s="157"/>
      <c r="C1905" s="157"/>
      <c r="D1905" s="157"/>
    </row>
    <row r="1906" spans="1:4" x14ac:dyDescent="0.3">
      <c r="A1906" s="157"/>
      <c r="B1906" s="157"/>
      <c r="C1906" s="157"/>
      <c r="D1906" s="157"/>
    </row>
    <row r="1907" spans="1:4" x14ac:dyDescent="0.3">
      <c r="A1907" s="157"/>
      <c r="B1907" s="157"/>
      <c r="C1907" s="157"/>
      <c r="D1907" s="157"/>
    </row>
    <row r="1908" spans="1:4" x14ac:dyDescent="0.3">
      <c r="A1908" s="157"/>
      <c r="B1908" s="157"/>
      <c r="C1908" s="157"/>
      <c r="D1908" s="157"/>
    </row>
    <row r="1909" spans="1:4" x14ac:dyDescent="0.3">
      <c r="A1909" s="157"/>
      <c r="B1909" s="157"/>
      <c r="C1909" s="157"/>
      <c r="D1909" s="157"/>
    </row>
    <row r="1910" spans="1:4" x14ac:dyDescent="0.3">
      <c r="A1910" s="157"/>
      <c r="B1910" s="157"/>
      <c r="C1910" s="157"/>
      <c r="D1910" s="157"/>
    </row>
    <row r="1911" spans="1:4" x14ac:dyDescent="0.3">
      <c r="A1911" s="157"/>
      <c r="B1911" s="157"/>
      <c r="C1911" s="157"/>
      <c r="D1911" s="157"/>
    </row>
    <row r="1912" spans="1:4" x14ac:dyDescent="0.3">
      <c r="A1912" s="157"/>
      <c r="B1912" s="157"/>
      <c r="C1912" s="157"/>
      <c r="D1912" s="157"/>
    </row>
    <row r="1913" spans="1:4" x14ac:dyDescent="0.3">
      <c r="A1913" s="157"/>
      <c r="B1913" s="157"/>
      <c r="C1913" s="157"/>
      <c r="D1913" s="157"/>
    </row>
    <row r="1914" spans="1:4" x14ac:dyDescent="0.3">
      <c r="A1914" s="157"/>
      <c r="B1914" s="157"/>
      <c r="C1914" s="157"/>
      <c r="D1914" s="157"/>
    </row>
    <row r="1915" spans="1:4" x14ac:dyDescent="0.3">
      <c r="A1915" s="157"/>
      <c r="B1915" s="157"/>
      <c r="C1915" s="157"/>
      <c r="D1915" s="157"/>
    </row>
    <row r="1916" spans="1:4" x14ac:dyDescent="0.3">
      <c r="A1916" s="157"/>
      <c r="B1916" s="157"/>
      <c r="C1916" s="157"/>
      <c r="D1916" s="157"/>
    </row>
    <row r="1917" spans="1:4" x14ac:dyDescent="0.3">
      <c r="A1917" s="157"/>
      <c r="B1917" s="157"/>
      <c r="C1917" s="157"/>
      <c r="D1917" s="157"/>
    </row>
    <row r="1918" spans="1:4" x14ac:dyDescent="0.3">
      <c r="A1918" s="157"/>
      <c r="B1918" s="157"/>
      <c r="C1918" s="157"/>
      <c r="D1918" s="157"/>
    </row>
    <row r="1919" spans="1:4" x14ac:dyDescent="0.3">
      <c r="A1919" s="157"/>
      <c r="B1919" s="157"/>
      <c r="C1919" s="157"/>
      <c r="D1919" s="157"/>
    </row>
    <row r="1920" spans="1:4" x14ac:dyDescent="0.3">
      <c r="A1920" s="157"/>
      <c r="B1920" s="157"/>
      <c r="C1920" s="157"/>
      <c r="D1920" s="157"/>
    </row>
    <row r="1921" spans="1:4" x14ac:dyDescent="0.3">
      <c r="A1921" s="157"/>
      <c r="B1921" s="157"/>
      <c r="C1921" s="157"/>
      <c r="D1921" s="157"/>
    </row>
    <row r="1922" spans="1:4" x14ac:dyDescent="0.3">
      <c r="A1922" s="157"/>
      <c r="B1922" s="157"/>
      <c r="C1922" s="157"/>
      <c r="D1922" s="157"/>
    </row>
    <row r="1923" spans="1:4" x14ac:dyDescent="0.3">
      <c r="A1923" s="157"/>
      <c r="B1923" s="157"/>
      <c r="C1923" s="157"/>
      <c r="D1923" s="157"/>
    </row>
    <row r="1924" spans="1:4" x14ac:dyDescent="0.3">
      <c r="A1924" s="157"/>
      <c r="B1924" s="157"/>
      <c r="C1924" s="157"/>
      <c r="D1924" s="157"/>
    </row>
    <row r="1925" spans="1:4" x14ac:dyDescent="0.3">
      <c r="A1925" s="157"/>
      <c r="B1925" s="157"/>
      <c r="C1925" s="157"/>
      <c r="D1925" s="157"/>
    </row>
    <row r="1926" spans="1:4" x14ac:dyDescent="0.3">
      <c r="A1926" s="157"/>
      <c r="B1926" s="157"/>
      <c r="C1926" s="157"/>
      <c r="D1926" s="157"/>
    </row>
    <row r="1927" spans="1:4" x14ac:dyDescent="0.3">
      <c r="A1927" s="157"/>
      <c r="B1927" s="157"/>
      <c r="C1927" s="157"/>
      <c r="D1927" s="157"/>
    </row>
    <row r="1928" spans="1:4" x14ac:dyDescent="0.3">
      <c r="A1928" s="157"/>
      <c r="B1928" s="157"/>
      <c r="C1928" s="157"/>
      <c r="D1928" s="157"/>
    </row>
    <row r="1929" spans="1:4" x14ac:dyDescent="0.3">
      <c r="A1929" s="157"/>
      <c r="B1929" s="157"/>
      <c r="C1929" s="157"/>
      <c r="D1929" s="157"/>
    </row>
    <row r="1930" spans="1:4" x14ac:dyDescent="0.3">
      <c r="A1930" s="157"/>
      <c r="B1930" s="157"/>
      <c r="C1930" s="157"/>
      <c r="D1930" s="157"/>
    </row>
    <row r="1931" spans="1:4" x14ac:dyDescent="0.3">
      <c r="A1931" s="157"/>
      <c r="B1931" s="157"/>
      <c r="C1931" s="157"/>
      <c r="D1931" s="157"/>
    </row>
    <row r="1932" spans="1:4" x14ac:dyDescent="0.3">
      <c r="A1932" s="157"/>
      <c r="B1932" s="157"/>
      <c r="C1932" s="157"/>
      <c r="D1932" s="157"/>
    </row>
    <row r="1933" spans="1:4" x14ac:dyDescent="0.3">
      <c r="A1933" s="157"/>
      <c r="B1933" s="157"/>
      <c r="C1933" s="157"/>
      <c r="D1933" s="157"/>
    </row>
    <row r="1934" spans="1:4" x14ac:dyDescent="0.3">
      <c r="A1934" s="157"/>
      <c r="B1934" s="157"/>
      <c r="C1934" s="157"/>
      <c r="D1934" s="157"/>
    </row>
    <row r="1935" spans="1:4" x14ac:dyDescent="0.3">
      <c r="A1935" s="157"/>
      <c r="B1935" s="157"/>
      <c r="C1935" s="157"/>
      <c r="D1935" s="157"/>
    </row>
    <row r="1936" spans="1:4" x14ac:dyDescent="0.3">
      <c r="A1936" s="157"/>
      <c r="B1936" s="157"/>
      <c r="C1936" s="157"/>
      <c r="D1936" s="157"/>
    </row>
    <row r="1937" spans="1:4" x14ac:dyDescent="0.3">
      <c r="A1937" s="157"/>
      <c r="B1937" s="157"/>
      <c r="C1937" s="157"/>
      <c r="D1937" s="157"/>
    </row>
    <row r="1938" spans="1:4" x14ac:dyDescent="0.3">
      <c r="A1938" s="157"/>
      <c r="B1938" s="157"/>
      <c r="C1938" s="157"/>
      <c r="D1938" s="157"/>
    </row>
    <row r="1939" spans="1:4" x14ac:dyDescent="0.3">
      <c r="A1939" s="157"/>
      <c r="B1939" s="157"/>
      <c r="C1939" s="157"/>
      <c r="D1939" s="157"/>
    </row>
    <row r="1940" spans="1:4" x14ac:dyDescent="0.3">
      <c r="A1940" s="157"/>
      <c r="B1940" s="157"/>
      <c r="C1940" s="157"/>
      <c r="D1940" s="157"/>
    </row>
    <row r="1941" spans="1:4" x14ac:dyDescent="0.3">
      <c r="A1941" s="157"/>
      <c r="B1941" s="157"/>
      <c r="C1941" s="157"/>
      <c r="D1941" s="157"/>
    </row>
    <row r="1942" spans="1:4" x14ac:dyDescent="0.3">
      <c r="A1942" s="157"/>
      <c r="B1942" s="157"/>
      <c r="C1942" s="157"/>
      <c r="D1942" s="157"/>
    </row>
    <row r="1943" spans="1:4" x14ac:dyDescent="0.3">
      <c r="A1943" s="157"/>
      <c r="B1943" s="157"/>
      <c r="C1943" s="157"/>
      <c r="D1943" s="157"/>
    </row>
    <row r="1944" spans="1:4" x14ac:dyDescent="0.3">
      <c r="A1944" s="157"/>
      <c r="B1944" s="157"/>
      <c r="C1944" s="157"/>
      <c r="D1944" s="157"/>
    </row>
    <row r="1945" spans="1:4" x14ac:dyDescent="0.3">
      <c r="A1945" s="157"/>
      <c r="B1945" s="157"/>
      <c r="C1945" s="157"/>
      <c r="D1945" s="157"/>
    </row>
    <row r="1946" spans="1:4" x14ac:dyDescent="0.3">
      <c r="A1946" s="157"/>
      <c r="B1946" s="157"/>
      <c r="C1946" s="157"/>
      <c r="D1946" s="157"/>
    </row>
    <row r="1947" spans="1:4" x14ac:dyDescent="0.3">
      <c r="A1947" s="157"/>
      <c r="B1947" s="157"/>
      <c r="C1947" s="157"/>
      <c r="D1947" s="157"/>
    </row>
    <row r="1948" spans="1:4" x14ac:dyDescent="0.3">
      <c r="A1948" s="157"/>
      <c r="B1948" s="157"/>
      <c r="C1948" s="157"/>
      <c r="D1948" s="157"/>
    </row>
    <row r="1949" spans="1:4" x14ac:dyDescent="0.3">
      <c r="A1949" s="157"/>
      <c r="B1949" s="157"/>
      <c r="C1949" s="157"/>
      <c r="D1949" s="157"/>
    </row>
    <row r="1950" spans="1:4" x14ac:dyDescent="0.3">
      <c r="A1950" s="157"/>
      <c r="B1950" s="157"/>
      <c r="C1950" s="157"/>
      <c r="D1950" s="157"/>
    </row>
    <row r="1951" spans="1:4" x14ac:dyDescent="0.3">
      <c r="A1951" s="157"/>
      <c r="B1951" s="157"/>
      <c r="C1951" s="157"/>
      <c r="D1951" s="157"/>
    </row>
    <row r="1952" spans="1:4" x14ac:dyDescent="0.3">
      <c r="A1952" s="157"/>
      <c r="B1952" s="157"/>
      <c r="C1952" s="157"/>
      <c r="D1952" s="157"/>
    </row>
    <row r="1953" spans="1:4" x14ac:dyDescent="0.3">
      <c r="A1953" s="157"/>
      <c r="B1953" s="157"/>
      <c r="C1953" s="157"/>
      <c r="D1953" s="157"/>
    </row>
    <row r="1954" spans="1:4" x14ac:dyDescent="0.3">
      <c r="A1954" s="157"/>
      <c r="B1954" s="157"/>
      <c r="C1954" s="157"/>
      <c r="D1954" s="157"/>
    </row>
    <row r="1955" spans="1:4" x14ac:dyDescent="0.3">
      <c r="A1955" s="157"/>
      <c r="B1955" s="157"/>
      <c r="C1955" s="157"/>
      <c r="D1955" s="157"/>
    </row>
    <row r="1956" spans="1:4" x14ac:dyDescent="0.3">
      <c r="A1956" s="157"/>
      <c r="B1956" s="157"/>
      <c r="C1956" s="157"/>
      <c r="D1956" s="157"/>
    </row>
    <row r="1957" spans="1:4" x14ac:dyDescent="0.3">
      <c r="A1957" s="157"/>
      <c r="B1957" s="157"/>
      <c r="C1957" s="157"/>
      <c r="D1957" s="157"/>
    </row>
    <row r="1958" spans="1:4" x14ac:dyDescent="0.3">
      <c r="A1958" s="157"/>
      <c r="B1958" s="157"/>
      <c r="C1958" s="157"/>
      <c r="D1958" s="157"/>
    </row>
    <row r="1959" spans="1:4" x14ac:dyDescent="0.3">
      <c r="A1959" s="157"/>
      <c r="B1959" s="157"/>
      <c r="C1959" s="157"/>
      <c r="D1959" s="157"/>
    </row>
    <row r="1960" spans="1:4" x14ac:dyDescent="0.3">
      <c r="A1960" s="157"/>
      <c r="B1960" s="157"/>
      <c r="C1960" s="157"/>
      <c r="D1960" s="157"/>
    </row>
    <row r="1961" spans="1:4" x14ac:dyDescent="0.3">
      <c r="A1961" s="157"/>
      <c r="B1961" s="157"/>
      <c r="C1961" s="157"/>
      <c r="D1961" s="157"/>
    </row>
    <row r="1962" spans="1:4" x14ac:dyDescent="0.3">
      <c r="A1962" s="157"/>
      <c r="B1962" s="157"/>
      <c r="C1962" s="157"/>
      <c r="D1962" s="157"/>
    </row>
    <row r="1963" spans="1:4" x14ac:dyDescent="0.3">
      <c r="A1963" s="157"/>
      <c r="B1963" s="157"/>
      <c r="C1963" s="157"/>
      <c r="D1963" s="157"/>
    </row>
    <row r="1964" spans="1:4" x14ac:dyDescent="0.3">
      <c r="A1964" s="157"/>
      <c r="B1964" s="157"/>
      <c r="C1964" s="157"/>
      <c r="D1964" s="157"/>
    </row>
    <row r="1965" spans="1:4" x14ac:dyDescent="0.3">
      <c r="A1965" s="157"/>
      <c r="B1965" s="157"/>
      <c r="C1965" s="157"/>
      <c r="D1965" s="157"/>
    </row>
    <row r="1966" spans="1:4" x14ac:dyDescent="0.3">
      <c r="A1966" s="157"/>
      <c r="B1966" s="157"/>
      <c r="C1966" s="157"/>
      <c r="D1966" s="157"/>
    </row>
    <row r="1967" spans="1:4" x14ac:dyDescent="0.3">
      <c r="A1967" s="157"/>
      <c r="B1967" s="157"/>
      <c r="C1967" s="157"/>
      <c r="D1967" s="157"/>
    </row>
    <row r="1968" spans="1:4" x14ac:dyDescent="0.3">
      <c r="A1968" s="157"/>
      <c r="B1968" s="157"/>
      <c r="C1968" s="157"/>
      <c r="D1968" s="157"/>
    </row>
    <row r="1969" spans="1:4" x14ac:dyDescent="0.3">
      <c r="A1969" s="157"/>
      <c r="B1969" s="157"/>
      <c r="C1969" s="157"/>
      <c r="D1969" s="157"/>
    </row>
    <row r="1970" spans="1:4" x14ac:dyDescent="0.3">
      <c r="A1970" s="157"/>
      <c r="B1970" s="157"/>
      <c r="C1970" s="157"/>
      <c r="D1970" s="157"/>
    </row>
    <row r="1971" spans="1:4" x14ac:dyDescent="0.3">
      <c r="A1971" s="157"/>
      <c r="B1971" s="157"/>
      <c r="C1971" s="157"/>
      <c r="D1971" s="157"/>
    </row>
    <row r="1972" spans="1:4" x14ac:dyDescent="0.3">
      <c r="A1972" s="157"/>
      <c r="B1972" s="157"/>
      <c r="C1972" s="157"/>
      <c r="D1972" s="157"/>
    </row>
    <row r="1973" spans="1:4" x14ac:dyDescent="0.3">
      <c r="A1973" s="157"/>
      <c r="B1973" s="157"/>
      <c r="C1973" s="157"/>
      <c r="D1973" s="157"/>
    </row>
    <row r="1974" spans="1:4" x14ac:dyDescent="0.3">
      <c r="A1974" s="157"/>
      <c r="B1974" s="157"/>
      <c r="C1974" s="157"/>
      <c r="D1974" s="157"/>
    </row>
    <row r="1975" spans="1:4" x14ac:dyDescent="0.3">
      <c r="A1975" s="157"/>
      <c r="B1975" s="157"/>
      <c r="C1975" s="157"/>
      <c r="D1975" s="157"/>
    </row>
    <row r="1976" spans="1:4" x14ac:dyDescent="0.3">
      <c r="A1976" s="157"/>
      <c r="B1976" s="157"/>
      <c r="C1976" s="157"/>
      <c r="D1976" s="157"/>
    </row>
    <row r="1977" spans="1:4" x14ac:dyDescent="0.3">
      <c r="A1977" s="157"/>
      <c r="B1977" s="157"/>
      <c r="C1977" s="157"/>
      <c r="D1977" s="157"/>
    </row>
    <row r="1978" spans="1:4" x14ac:dyDescent="0.3">
      <c r="A1978" s="157"/>
      <c r="B1978" s="157"/>
      <c r="C1978" s="157"/>
      <c r="D1978" s="157"/>
    </row>
    <row r="1979" spans="1:4" x14ac:dyDescent="0.3">
      <c r="A1979" s="157"/>
      <c r="B1979" s="157"/>
      <c r="C1979" s="157"/>
      <c r="D1979" s="157"/>
    </row>
    <row r="1980" spans="1:4" x14ac:dyDescent="0.3">
      <c r="A1980" s="157"/>
      <c r="B1980" s="157"/>
      <c r="C1980" s="157"/>
      <c r="D1980" s="157"/>
    </row>
    <row r="1981" spans="1:4" x14ac:dyDescent="0.3">
      <c r="A1981" s="157"/>
      <c r="B1981" s="157"/>
      <c r="C1981" s="157"/>
      <c r="D1981" s="157"/>
    </row>
    <row r="1982" spans="1:4" x14ac:dyDescent="0.3">
      <c r="A1982" s="157"/>
      <c r="B1982" s="157"/>
      <c r="C1982" s="157"/>
      <c r="D1982" s="157"/>
    </row>
    <row r="1983" spans="1:4" x14ac:dyDescent="0.3">
      <c r="A1983" s="157"/>
      <c r="B1983" s="157"/>
      <c r="C1983" s="157"/>
      <c r="D1983" s="157"/>
    </row>
    <row r="1984" spans="1:4" x14ac:dyDescent="0.3">
      <c r="A1984" s="157"/>
      <c r="B1984" s="157"/>
      <c r="C1984" s="157"/>
      <c r="D1984" s="157"/>
    </row>
    <row r="1985" spans="1:4" x14ac:dyDescent="0.3">
      <c r="A1985" s="157"/>
      <c r="B1985" s="157"/>
      <c r="C1985" s="157"/>
      <c r="D1985" s="157"/>
    </row>
    <row r="1986" spans="1:4" x14ac:dyDescent="0.3">
      <c r="A1986" s="157"/>
      <c r="B1986" s="157"/>
      <c r="C1986" s="157"/>
      <c r="D1986" s="157"/>
    </row>
    <row r="1987" spans="1:4" x14ac:dyDescent="0.3">
      <c r="A1987" s="157"/>
      <c r="B1987" s="157"/>
      <c r="C1987" s="157"/>
      <c r="D1987" s="157"/>
    </row>
    <row r="1988" spans="1:4" x14ac:dyDescent="0.3">
      <c r="A1988" s="157"/>
      <c r="B1988" s="157"/>
      <c r="C1988" s="157"/>
      <c r="D1988" s="157"/>
    </row>
    <row r="1989" spans="1:4" x14ac:dyDescent="0.3">
      <c r="A1989" s="157"/>
      <c r="B1989" s="157"/>
      <c r="C1989" s="157"/>
      <c r="D1989" s="157"/>
    </row>
    <row r="1990" spans="1:4" x14ac:dyDescent="0.3">
      <c r="A1990" s="157"/>
      <c r="B1990" s="157"/>
      <c r="C1990" s="157"/>
      <c r="D1990" s="157"/>
    </row>
    <row r="1991" spans="1:4" x14ac:dyDescent="0.3">
      <c r="A1991" s="157"/>
      <c r="B1991" s="157"/>
      <c r="C1991" s="157"/>
      <c r="D1991" s="157"/>
    </row>
    <row r="1992" spans="1:4" x14ac:dyDescent="0.3">
      <c r="A1992" s="157"/>
      <c r="B1992" s="157"/>
      <c r="C1992" s="157"/>
      <c r="D1992" s="157"/>
    </row>
    <row r="1993" spans="1:4" x14ac:dyDescent="0.3">
      <c r="A1993" s="157"/>
      <c r="B1993" s="157"/>
      <c r="C1993" s="157"/>
      <c r="D1993" s="157"/>
    </row>
    <row r="1994" spans="1:4" x14ac:dyDescent="0.3">
      <c r="A1994" s="157"/>
      <c r="B1994" s="157"/>
      <c r="C1994" s="157"/>
      <c r="D1994" s="157"/>
    </row>
    <row r="1995" spans="1:4" x14ac:dyDescent="0.3">
      <c r="A1995" s="157"/>
      <c r="B1995" s="157"/>
      <c r="C1995" s="157"/>
      <c r="D1995" s="157"/>
    </row>
    <row r="1996" spans="1:4" x14ac:dyDescent="0.3">
      <c r="A1996" s="157"/>
      <c r="B1996" s="157"/>
      <c r="C1996" s="157"/>
      <c r="D1996" s="157"/>
    </row>
    <row r="1997" spans="1:4" x14ac:dyDescent="0.3">
      <c r="A1997" s="157"/>
      <c r="B1997" s="157"/>
      <c r="C1997" s="157"/>
      <c r="D1997" s="157"/>
    </row>
    <row r="1998" spans="1:4" x14ac:dyDescent="0.3">
      <c r="A1998" s="157"/>
      <c r="B1998" s="157"/>
      <c r="C1998" s="157"/>
      <c r="D1998" s="157"/>
    </row>
    <row r="1999" spans="1:4" x14ac:dyDescent="0.3">
      <c r="A1999" s="157"/>
      <c r="B1999" s="157"/>
      <c r="C1999" s="157"/>
      <c r="D1999" s="157"/>
    </row>
    <row r="2000" spans="1:4" x14ac:dyDescent="0.3">
      <c r="A2000" s="157"/>
      <c r="B2000" s="157"/>
      <c r="C2000" s="157"/>
      <c r="D2000" s="157"/>
    </row>
    <row r="2001" spans="1:4" x14ac:dyDescent="0.3">
      <c r="A2001" s="157"/>
      <c r="B2001" s="157"/>
      <c r="C2001" s="157"/>
      <c r="D2001" s="157"/>
    </row>
    <row r="2002" spans="1:4" x14ac:dyDescent="0.3">
      <c r="A2002" s="157"/>
      <c r="B2002" s="157"/>
      <c r="C2002" s="157"/>
      <c r="D2002" s="157"/>
    </row>
    <row r="2003" spans="1:4" x14ac:dyDescent="0.3">
      <c r="A2003" s="157"/>
      <c r="B2003" s="157"/>
      <c r="C2003" s="157"/>
      <c r="D2003" s="157"/>
    </row>
    <row r="2004" spans="1:4" x14ac:dyDescent="0.3">
      <c r="A2004" s="157"/>
      <c r="B2004" s="157"/>
      <c r="C2004" s="157"/>
      <c r="D2004" s="157"/>
    </row>
    <row r="2005" spans="1:4" x14ac:dyDescent="0.3">
      <c r="A2005" s="157"/>
      <c r="B2005" s="157"/>
      <c r="C2005" s="157"/>
      <c r="D2005" s="157"/>
    </row>
    <row r="2006" spans="1:4" x14ac:dyDescent="0.3">
      <c r="A2006" s="157"/>
      <c r="B2006" s="157"/>
      <c r="C2006" s="157"/>
      <c r="D2006" s="157"/>
    </row>
    <row r="2007" spans="1:4" x14ac:dyDescent="0.3">
      <c r="A2007" s="157"/>
      <c r="B2007" s="157"/>
      <c r="C2007" s="157"/>
      <c r="D2007" s="157"/>
    </row>
    <row r="2008" spans="1:4" x14ac:dyDescent="0.3">
      <c r="A2008" s="157"/>
      <c r="B2008" s="157"/>
      <c r="C2008" s="157"/>
      <c r="D2008" s="157"/>
    </row>
    <row r="2009" spans="1:4" x14ac:dyDescent="0.3">
      <c r="A2009" s="157"/>
      <c r="B2009" s="157"/>
      <c r="C2009" s="157"/>
      <c r="D2009" s="157"/>
    </row>
    <row r="2010" spans="1:4" x14ac:dyDescent="0.3">
      <c r="A2010" s="157"/>
      <c r="B2010" s="157"/>
      <c r="C2010" s="157"/>
      <c r="D2010" s="157"/>
    </row>
    <row r="2011" spans="1:4" x14ac:dyDescent="0.3">
      <c r="A2011" s="157"/>
      <c r="B2011" s="157"/>
      <c r="C2011" s="157"/>
      <c r="D2011" s="157"/>
    </row>
    <row r="2012" spans="1:4" x14ac:dyDescent="0.3">
      <c r="A2012" s="157"/>
      <c r="B2012" s="157"/>
      <c r="C2012" s="157"/>
      <c r="D2012" s="157"/>
    </row>
    <row r="2013" spans="1:4" x14ac:dyDescent="0.3">
      <c r="A2013" s="157"/>
      <c r="B2013" s="157"/>
      <c r="C2013" s="157"/>
      <c r="D2013" s="157"/>
    </row>
    <row r="2014" spans="1:4" x14ac:dyDescent="0.3">
      <c r="A2014" s="157"/>
      <c r="B2014" s="157"/>
      <c r="C2014" s="157"/>
      <c r="D2014" s="157"/>
    </row>
    <row r="2015" spans="1:4" x14ac:dyDescent="0.3">
      <c r="A2015" s="157"/>
      <c r="B2015" s="157"/>
      <c r="C2015" s="157"/>
      <c r="D2015" s="157"/>
    </row>
    <row r="2016" spans="1:4" x14ac:dyDescent="0.3">
      <c r="A2016" s="157"/>
      <c r="B2016" s="157"/>
      <c r="C2016" s="157"/>
      <c r="D2016" s="157"/>
    </row>
    <row r="2017" spans="1:4" x14ac:dyDescent="0.3">
      <c r="A2017" s="157"/>
      <c r="B2017" s="157"/>
      <c r="C2017" s="157"/>
      <c r="D2017" s="157"/>
    </row>
    <row r="2018" spans="1:4" x14ac:dyDescent="0.3">
      <c r="A2018" s="157"/>
      <c r="B2018" s="157"/>
      <c r="C2018" s="157"/>
      <c r="D2018" s="157"/>
    </row>
    <row r="2019" spans="1:4" x14ac:dyDescent="0.3">
      <c r="A2019" s="157"/>
      <c r="B2019" s="157"/>
      <c r="C2019" s="157"/>
      <c r="D2019" s="157"/>
    </row>
    <row r="2020" spans="1:4" x14ac:dyDescent="0.3">
      <c r="A2020" s="157"/>
      <c r="B2020" s="157"/>
      <c r="C2020" s="157"/>
      <c r="D2020" s="157"/>
    </row>
    <row r="2021" spans="1:4" x14ac:dyDescent="0.3">
      <c r="A2021" s="157"/>
      <c r="B2021" s="157"/>
      <c r="C2021" s="157"/>
      <c r="D2021" s="157"/>
    </row>
    <row r="2022" spans="1:4" x14ac:dyDescent="0.3">
      <c r="A2022" s="157"/>
      <c r="B2022" s="157"/>
      <c r="C2022" s="157"/>
      <c r="D2022" s="157"/>
    </row>
    <row r="2023" spans="1:4" x14ac:dyDescent="0.3">
      <c r="A2023" s="157"/>
      <c r="B2023" s="157"/>
      <c r="C2023" s="157"/>
      <c r="D2023" s="157"/>
    </row>
    <row r="2024" spans="1:4" x14ac:dyDescent="0.3">
      <c r="A2024" s="157"/>
      <c r="B2024" s="157"/>
      <c r="C2024" s="157"/>
      <c r="D2024" s="157"/>
    </row>
    <row r="2025" spans="1:4" x14ac:dyDescent="0.3">
      <c r="A2025" s="157"/>
      <c r="B2025" s="157"/>
      <c r="C2025" s="157"/>
      <c r="D2025" s="157"/>
    </row>
    <row r="2026" spans="1:4" x14ac:dyDescent="0.3">
      <c r="A2026" s="157"/>
      <c r="B2026" s="157"/>
      <c r="C2026" s="157"/>
      <c r="D2026" s="157"/>
    </row>
    <row r="2027" spans="1:4" x14ac:dyDescent="0.3">
      <c r="A2027" s="157"/>
      <c r="B2027" s="157"/>
      <c r="C2027" s="157"/>
      <c r="D2027" s="157"/>
    </row>
    <row r="2028" spans="1:4" x14ac:dyDescent="0.3">
      <c r="A2028" s="157"/>
      <c r="B2028" s="157"/>
      <c r="C2028" s="157"/>
      <c r="D2028" s="157"/>
    </row>
    <row r="2029" spans="1:4" x14ac:dyDescent="0.3">
      <c r="A2029" s="157"/>
      <c r="B2029" s="157"/>
      <c r="C2029" s="157"/>
      <c r="D2029" s="157"/>
    </row>
    <row r="2030" spans="1:4" x14ac:dyDescent="0.3">
      <c r="A2030" s="157"/>
      <c r="B2030" s="157"/>
      <c r="C2030" s="157"/>
      <c r="D2030" s="157"/>
    </row>
    <row r="2031" spans="1:4" x14ac:dyDescent="0.3">
      <c r="A2031" s="157"/>
      <c r="B2031" s="157"/>
      <c r="C2031" s="157"/>
      <c r="D2031" s="157"/>
    </row>
    <row r="2032" spans="1:4" x14ac:dyDescent="0.3">
      <c r="A2032" s="157"/>
      <c r="B2032" s="157"/>
      <c r="C2032" s="157"/>
      <c r="D2032" s="157"/>
    </row>
    <row r="2033" spans="1:4" x14ac:dyDescent="0.3">
      <c r="A2033" s="157"/>
      <c r="B2033" s="157"/>
      <c r="C2033" s="157"/>
      <c r="D2033" s="157"/>
    </row>
    <row r="2034" spans="1:4" x14ac:dyDescent="0.3">
      <c r="A2034" s="157"/>
      <c r="B2034" s="157"/>
      <c r="C2034" s="157"/>
      <c r="D2034" s="157"/>
    </row>
    <row r="2035" spans="1:4" x14ac:dyDescent="0.3">
      <c r="A2035" s="157"/>
      <c r="B2035" s="157"/>
      <c r="C2035" s="157"/>
      <c r="D2035" s="157"/>
    </row>
    <row r="2036" spans="1:4" x14ac:dyDescent="0.3">
      <c r="A2036" s="157"/>
      <c r="B2036" s="157"/>
      <c r="C2036" s="157"/>
      <c r="D2036" s="157"/>
    </row>
    <row r="2037" spans="1:4" x14ac:dyDescent="0.3">
      <c r="A2037" s="157"/>
      <c r="B2037" s="157"/>
      <c r="C2037" s="157"/>
      <c r="D2037" s="157"/>
    </row>
    <row r="2038" spans="1:4" x14ac:dyDescent="0.3">
      <c r="A2038" s="157"/>
      <c r="B2038" s="157"/>
      <c r="C2038" s="157"/>
      <c r="D2038" s="157"/>
    </row>
    <row r="2039" spans="1:4" x14ac:dyDescent="0.3">
      <c r="A2039" s="157"/>
      <c r="B2039" s="157"/>
      <c r="C2039" s="157"/>
      <c r="D2039" s="157"/>
    </row>
    <row r="2040" spans="1:4" x14ac:dyDescent="0.3">
      <c r="A2040" s="157"/>
      <c r="B2040" s="157"/>
      <c r="C2040" s="157"/>
      <c r="D2040" s="157"/>
    </row>
    <row r="2041" spans="1:4" x14ac:dyDescent="0.3">
      <c r="A2041" s="157"/>
      <c r="B2041" s="157"/>
      <c r="C2041" s="157"/>
      <c r="D2041" s="157"/>
    </row>
    <row r="2042" spans="1:4" x14ac:dyDescent="0.3">
      <c r="A2042" s="157"/>
      <c r="B2042" s="157"/>
      <c r="C2042" s="157"/>
      <c r="D2042" s="157"/>
    </row>
    <row r="2043" spans="1:4" x14ac:dyDescent="0.3">
      <c r="A2043" s="157"/>
      <c r="B2043" s="157"/>
      <c r="C2043" s="157"/>
      <c r="D2043" s="157"/>
    </row>
    <row r="2044" spans="1:4" x14ac:dyDescent="0.3">
      <c r="A2044" s="157"/>
      <c r="B2044" s="157"/>
      <c r="C2044" s="157"/>
      <c r="D2044" s="157"/>
    </row>
    <row r="2045" spans="1:4" x14ac:dyDescent="0.3">
      <c r="A2045" s="157"/>
      <c r="B2045" s="157"/>
      <c r="C2045" s="157"/>
      <c r="D2045" s="157"/>
    </row>
    <row r="2046" spans="1:4" x14ac:dyDescent="0.3">
      <c r="A2046" s="157"/>
      <c r="B2046" s="157"/>
      <c r="C2046" s="157"/>
      <c r="D2046" s="157"/>
    </row>
    <row r="2047" spans="1:4" x14ac:dyDescent="0.3">
      <c r="A2047" s="157"/>
      <c r="B2047" s="157"/>
      <c r="C2047" s="157"/>
      <c r="D2047" s="157"/>
    </row>
    <row r="2048" spans="1:4" x14ac:dyDescent="0.3">
      <c r="A2048" s="157"/>
      <c r="B2048" s="157"/>
      <c r="C2048" s="157"/>
      <c r="D2048" s="157"/>
    </row>
    <row r="2049" spans="1:4" x14ac:dyDescent="0.3">
      <c r="A2049" s="157"/>
      <c r="B2049" s="157"/>
      <c r="C2049" s="157"/>
      <c r="D2049" s="157"/>
    </row>
    <row r="2050" spans="1:4" x14ac:dyDescent="0.3">
      <c r="A2050" s="157"/>
      <c r="B2050" s="157"/>
      <c r="C2050" s="157"/>
      <c r="D2050" s="157"/>
    </row>
    <row r="2051" spans="1:4" x14ac:dyDescent="0.3">
      <c r="A2051" s="157"/>
      <c r="B2051" s="157"/>
      <c r="C2051" s="157"/>
      <c r="D2051" s="157"/>
    </row>
    <row r="2052" spans="1:4" x14ac:dyDescent="0.3">
      <c r="A2052" s="157"/>
      <c r="B2052" s="157"/>
      <c r="C2052" s="157"/>
      <c r="D2052" s="157"/>
    </row>
    <row r="2053" spans="1:4" x14ac:dyDescent="0.3">
      <c r="A2053" s="157"/>
      <c r="B2053" s="157"/>
      <c r="C2053" s="157"/>
      <c r="D2053" s="157"/>
    </row>
    <row r="2054" spans="1:4" x14ac:dyDescent="0.3">
      <c r="A2054" s="157"/>
      <c r="B2054" s="157"/>
      <c r="C2054" s="157"/>
      <c r="D2054" s="157"/>
    </row>
    <row r="2055" spans="1:4" x14ac:dyDescent="0.3">
      <c r="A2055" s="157"/>
      <c r="B2055" s="157"/>
      <c r="C2055" s="157"/>
      <c r="D2055" s="157"/>
    </row>
    <row r="2056" spans="1:4" x14ac:dyDescent="0.3">
      <c r="A2056" s="157"/>
      <c r="B2056" s="157"/>
      <c r="C2056" s="157"/>
      <c r="D2056" s="157"/>
    </row>
    <row r="2057" spans="1:4" x14ac:dyDescent="0.3">
      <c r="A2057" s="157"/>
      <c r="B2057" s="157"/>
      <c r="C2057" s="157"/>
      <c r="D2057" s="157"/>
    </row>
    <row r="2058" spans="1:4" x14ac:dyDescent="0.3">
      <c r="A2058" s="157"/>
      <c r="B2058" s="157"/>
      <c r="C2058" s="157"/>
      <c r="D2058" s="157"/>
    </row>
    <row r="2059" spans="1:4" x14ac:dyDescent="0.3">
      <c r="A2059" s="157"/>
      <c r="B2059" s="157"/>
      <c r="C2059" s="157"/>
      <c r="D2059" s="157"/>
    </row>
    <row r="2060" spans="1:4" x14ac:dyDescent="0.3">
      <c r="A2060" s="157"/>
      <c r="B2060" s="157"/>
      <c r="C2060" s="157"/>
      <c r="D2060" s="157"/>
    </row>
    <row r="2061" spans="1:4" x14ac:dyDescent="0.3">
      <c r="A2061" s="157"/>
      <c r="B2061" s="157"/>
      <c r="C2061" s="157"/>
      <c r="D2061" s="157"/>
    </row>
    <row r="2062" spans="1:4" x14ac:dyDescent="0.3">
      <c r="A2062" s="157"/>
      <c r="B2062" s="157"/>
      <c r="C2062" s="157"/>
      <c r="D2062" s="157"/>
    </row>
    <row r="2063" spans="1:4" x14ac:dyDescent="0.3">
      <c r="A2063" s="157"/>
      <c r="B2063" s="157"/>
      <c r="C2063" s="157"/>
      <c r="D2063" s="157"/>
    </row>
    <row r="2064" spans="1:4" x14ac:dyDescent="0.3">
      <c r="A2064" s="157"/>
      <c r="B2064" s="157"/>
      <c r="C2064" s="157"/>
      <c r="D2064" s="157"/>
    </row>
    <row r="2065" spans="1:4" x14ac:dyDescent="0.3">
      <c r="A2065" s="157"/>
      <c r="B2065" s="157"/>
      <c r="C2065" s="157"/>
      <c r="D2065" s="157"/>
    </row>
    <row r="2066" spans="1:4" x14ac:dyDescent="0.3">
      <c r="A2066" s="157"/>
      <c r="B2066" s="157"/>
      <c r="C2066" s="157"/>
      <c r="D2066" s="157"/>
    </row>
    <row r="2067" spans="1:4" x14ac:dyDescent="0.3">
      <c r="A2067" s="157"/>
      <c r="B2067" s="157"/>
      <c r="C2067" s="157"/>
      <c r="D2067" s="157"/>
    </row>
    <row r="2068" spans="1:4" x14ac:dyDescent="0.3">
      <c r="A2068" s="157"/>
      <c r="B2068" s="157"/>
      <c r="C2068" s="157"/>
      <c r="D2068" s="157"/>
    </row>
    <row r="2069" spans="1:4" x14ac:dyDescent="0.3">
      <c r="A2069" s="157"/>
      <c r="B2069" s="157"/>
      <c r="C2069" s="157"/>
      <c r="D2069" s="157"/>
    </row>
    <row r="2070" spans="1:4" x14ac:dyDescent="0.3">
      <c r="A2070" s="157"/>
      <c r="B2070" s="157"/>
      <c r="C2070" s="157"/>
      <c r="D2070" s="157"/>
    </row>
    <row r="2071" spans="1:4" x14ac:dyDescent="0.3">
      <c r="A2071" s="157"/>
      <c r="B2071" s="157"/>
      <c r="C2071" s="157"/>
      <c r="D2071" s="157"/>
    </row>
    <row r="2072" spans="1:4" x14ac:dyDescent="0.3">
      <c r="A2072" s="157"/>
      <c r="B2072" s="157"/>
      <c r="C2072" s="157"/>
      <c r="D2072" s="157"/>
    </row>
    <row r="2073" spans="1:4" x14ac:dyDescent="0.3">
      <c r="A2073" s="157"/>
      <c r="B2073" s="157"/>
      <c r="C2073" s="157"/>
      <c r="D2073" s="157"/>
    </row>
    <row r="2074" spans="1:4" x14ac:dyDescent="0.3">
      <c r="A2074" s="157"/>
      <c r="B2074" s="157"/>
      <c r="C2074" s="157"/>
      <c r="D2074" s="157"/>
    </row>
    <row r="2075" spans="1:4" x14ac:dyDescent="0.3">
      <c r="A2075" s="157"/>
      <c r="B2075" s="157"/>
      <c r="C2075" s="157"/>
      <c r="D2075" s="157"/>
    </row>
    <row r="2076" spans="1:4" x14ac:dyDescent="0.3">
      <c r="A2076" s="157"/>
      <c r="B2076" s="157"/>
      <c r="C2076" s="157"/>
      <c r="D2076" s="157"/>
    </row>
    <row r="2077" spans="1:4" x14ac:dyDescent="0.3">
      <c r="A2077" s="157"/>
      <c r="B2077" s="157"/>
      <c r="C2077" s="157"/>
      <c r="D2077" s="157"/>
    </row>
    <row r="2078" spans="1:4" x14ac:dyDescent="0.3">
      <c r="A2078" s="157"/>
      <c r="B2078" s="157"/>
      <c r="C2078" s="157"/>
      <c r="D2078" s="157"/>
    </row>
    <row r="2079" spans="1:4" x14ac:dyDescent="0.3">
      <c r="A2079" s="157"/>
      <c r="B2079" s="157"/>
      <c r="C2079" s="157"/>
      <c r="D2079" s="157"/>
    </row>
    <row r="2080" spans="1:4" x14ac:dyDescent="0.3">
      <c r="A2080" s="157"/>
      <c r="B2080" s="157"/>
      <c r="C2080" s="157"/>
      <c r="D2080" s="157"/>
    </row>
    <row r="2081" spans="1:4" x14ac:dyDescent="0.3">
      <c r="A2081" s="157"/>
      <c r="B2081" s="157"/>
      <c r="C2081" s="157"/>
      <c r="D2081" s="157"/>
    </row>
    <row r="2082" spans="1:4" x14ac:dyDescent="0.3">
      <c r="A2082" s="157"/>
      <c r="B2082" s="157"/>
      <c r="C2082" s="157"/>
      <c r="D2082" s="157"/>
    </row>
    <row r="2083" spans="1:4" x14ac:dyDescent="0.3">
      <c r="A2083" s="157"/>
      <c r="B2083" s="157"/>
      <c r="C2083" s="157"/>
      <c r="D2083" s="157"/>
    </row>
    <row r="2084" spans="1:4" x14ac:dyDescent="0.3">
      <c r="A2084" s="157"/>
      <c r="B2084" s="157"/>
      <c r="C2084" s="157"/>
      <c r="D2084" s="157"/>
    </row>
    <row r="2085" spans="1:4" x14ac:dyDescent="0.3">
      <c r="A2085" s="157"/>
      <c r="B2085" s="157"/>
      <c r="C2085" s="157"/>
      <c r="D2085" s="157"/>
    </row>
    <row r="2086" spans="1:4" x14ac:dyDescent="0.3">
      <c r="A2086" s="157"/>
      <c r="B2086" s="157"/>
      <c r="C2086" s="157"/>
      <c r="D2086" s="157"/>
    </row>
    <row r="2087" spans="1:4" x14ac:dyDescent="0.3">
      <c r="A2087" s="157"/>
      <c r="B2087" s="157"/>
      <c r="C2087" s="157"/>
      <c r="D2087" s="157"/>
    </row>
    <row r="2088" spans="1:4" x14ac:dyDescent="0.3">
      <c r="A2088" s="157"/>
      <c r="B2088" s="157"/>
      <c r="C2088" s="157"/>
      <c r="D2088" s="157"/>
    </row>
    <row r="2089" spans="1:4" x14ac:dyDescent="0.3">
      <c r="A2089" s="157"/>
      <c r="B2089" s="157"/>
      <c r="C2089" s="157"/>
      <c r="D2089" s="157"/>
    </row>
    <row r="2090" spans="1:4" x14ac:dyDescent="0.3">
      <c r="A2090" s="157"/>
      <c r="B2090" s="157"/>
      <c r="C2090" s="157"/>
      <c r="D2090" s="157"/>
    </row>
    <row r="2091" spans="1:4" x14ac:dyDescent="0.3">
      <c r="A2091" s="157"/>
      <c r="B2091" s="157"/>
      <c r="C2091" s="157"/>
      <c r="D2091" s="157"/>
    </row>
    <row r="2092" spans="1:4" x14ac:dyDescent="0.3">
      <c r="A2092" s="157"/>
      <c r="B2092" s="157"/>
      <c r="C2092" s="157"/>
      <c r="D2092" s="157"/>
    </row>
    <row r="2093" spans="1:4" x14ac:dyDescent="0.3">
      <c r="A2093" s="157"/>
      <c r="B2093" s="157"/>
      <c r="C2093" s="157"/>
      <c r="D2093" s="157"/>
    </row>
    <row r="2094" spans="1:4" x14ac:dyDescent="0.3">
      <c r="A2094" s="157"/>
      <c r="B2094" s="157"/>
      <c r="C2094" s="157"/>
      <c r="D2094" s="157"/>
    </row>
    <row r="2095" spans="1:4" x14ac:dyDescent="0.3">
      <c r="A2095" s="157"/>
      <c r="B2095" s="157"/>
      <c r="C2095" s="157"/>
      <c r="D2095" s="157"/>
    </row>
    <row r="2096" spans="1:4" x14ac:dyDescent="0.3">
      <c r="A2096" s="157"/>
      <c r="B2096" s="157"/>
      <c r="C2096" s="157"/>
      <c r="D2096" s="157"/>
    </row>
    <row r="2097" spans="1:4" x14ac:dyDescent="0.3">
      <c r="A2097" s="157"/>
      <c r="B2097" s="157"/>
      <c r="C2097" s="157"/>
      <c r="D2097" s="157"/>
    </row>
    <row r="2098" spans="1:4" x14ac:dyDescent="0.3">
      <c r="A2098" s="157"/>
      <c r="B2098" s="157"/>
      <c r="C2098" s="157"/>
      <c r="D2098" s="157"/>
    </row>
    <row r="2099" spans="1:4" x14ac:dyDescent="0.3">
      <c r="A2099" s="157"/>
      <c r="B2099" s="157"/>
      <c r="C2099" s="157"/>
      <c r="D2099" s="157"/>
    </row>
    <row r="2100" spans="1:4" x14ac:dyDescent="0.3">
      <c r="A2100" s="157"/>
      <c r="B2100" s="157"/>
      <c r="C2100" s="157"/>
      <c r="D2100" s="157"/>
    </row>
    <row r="2101" spans="1:4" x14ac:dyDescent="0.3">
      <c r="A2101" s="157"/>
      <c r="B2101" s="157"/>
      <c r="C2101" s="157"/>
      <c r="D2101" s="157"/>
    </row>
    <row r="2102" spans="1:4" x14ac:dyDescent="0.3">
      <c r="A2102" s="157"/>
      <c r="B2102" s="157"/>
      <c r="C2102" s="157"/>
      <c r="D2102" s="157"/>
    </row>
    <row r="2103" spans="1:4" x14ac:dyDescent="0.3">
      <c r="A2103" s="157"/>
      <c r="B2103" s="157"/>
      <c r="C2103" s="157"/>
      <c r="D2103" s="157"/>
    </row>
    <row r="2104" spans="1:4" x14ac:dyDescent="0.3">
      <c r="A2104" s="157"/>
      <c r="B2104" s="157"/>
      <c r="C2104" s="157"/>
      <c r="D2104" s="157"/>
    </row>
    <row r="2105" spans="1:4" x14ac:dyDescent="0.3">
      <c r="A2105" s="157"/>
      <c r="B2105" s="157"/>
      <c r="C2105" s="157"/>
      <c r="D2105" s="157"/>
    </row>
    <row r="2106" spans="1:4" x14ac:dyDescent="0.3">
      <c r="A2106" s="157"/>
      <c r="B2106" s="157"/>
      <c r="C2106" s="157"/>
      <c r="D2106" s="157"/>
    </row>
    <row r="2107" spans="1:4" x14ac:dyDescent="0.3">
      <c r="A2107" s="157"/>
      <c r="B2107" s="157"/>
      <c r="C2107" s="157"/>
      <c r="D2107" s="157"/>
    </row>
    <row r="2108" spans="1:4" x14ac:dyDescent="0.3">
      <c r="A2108" s="157"/>
      <c r="B2108" s="157"/>
      <c r="C2108" s="157"/>
      <c r="D2108" s="157"/>
    </row>
    <row r="2109" spans="1:4" x14ac:dyDescent="0.3">
      <c r="A2109" s="157"/>
      <c r="B2109" s="157"/>
      <c r="C2109" s="157"/>
      <c r="D2109" s="157"/>
    </row>
    <row r="2110" spans="1:4" x14ac:dyDescent="0.3">
      <c r="A2110" s="157"/>
      <c r="B2110" s="157"/>
      <c r="C2110" s="157"/>
      <c r="D2110" s="157"/>
    </row>
    <row r="2111" spans="1:4" x14ac:dyDescent="0.3">
      <c r="A2111" s="157"/>
      <c r="B2111" s="157"/>
      <c r="C2111" s="157"/>
      <c r="D2111" s="157"/>
    </row>
    <row r="2112" spans="1:4" x14ac:dyDescent="0.3">
      <c r="A2112" s="157"/>
      <c r="B2112" s="157"/>
      <c r="C2112" s="157"/>
      <c r="D2112" s="157"/>
    </row>
    <row r="2113" spans="1:4" x14ac:dyDescent="0.3">
      <c r="A2113" s="157"/>
      <c r="B2113" s="157"/>
      <c r="C2113" s="157"/>
      <c r="D2113" s="157"/>
    </row>
    <row r="2114" spans="1:4" x14ac:dyDescent="0.3">
      <c r="A2114" s="157"/>
      <c r="B2114" s="157"/>
      <c r="C2114" s="157"/>
      <c r="D2114" s="157"/>
    </row>
    <row r="2115" spans="1:4" x14ac:dyDescent="0.3">
      <c r="A2115" s="157"/>
      <c r="B2115" s="157"/>
      <c r="C2115" s="157"/>
      <c r="D2115" s="157"/>
    </row>
    <row r="2116" spans="1:4" x14ac:dyDescent="0.3">
      <c r="A2116" s="157"/>
      <c r="B2116" s="157"/>
      <c r="C2116" s="157"/>
      <c r="D2116" s="157"/>
    </row>
    <row r="2117" spans="1:4" x14ac:dyDescent="0.3">
      <c r="A2117" s="157"/>
      <c r="B2117" s="157"/>
      <c r="C2117" s="157"/>
      <c r="D2117" s="157"/>
    </row>
    <row r="2118" spans="1:4" x14ac:dyDescent="0.3">
      <c r="A2118" s="157"/>
      <c r="B2118" s="157"/>
      <c r="C2118" s="157"/>
      <c r="D2118" s="157"/>
    </row>
    <row r="2119" spans="1:4" x14ac:dyDescent="0.3">
      <c r="A2119" s="157"/>
      <c r="B2119" s="157"/>
      <c r="C2119" s="157"/>
      <c r="D2119" s="157"/>
    </row>
    <row r="2120" spans="1:4" x14ac:dyDescent="0.3">
      <c r="A2120" s="157"/>
      <c r="B2120" s="157"/>
      <c r="C2120" s="157"/>
      <c r="D2120" s="157"/>
    </row>
    <row r="2121" spans="1:4" x14ac:dyDescent="0.3">
      <c r="A2121" s="157"/>
      <c r="B2121" s="157"/>
      <c r="C2121" s="157"/>
      <c r="D2121" s="157"/>
    </row>
    <row r="2122" spans="1:4" x14ac:dyDescent="0.3">
      <c r="A2122" s="157"/>
      <c r="B2122" s="157"/>
      <c r="C2122" s="157"/>
      <c r="D2122" s="157"/>
    </row>
    <row r="2123" spans="1:4" x14ac:dyDescent="0.3">
      <c r="A2123" s="157"/>
      <c r="B2123" s="157"/>
      <c r="C2123" s="157"/>
      <c r="D2123" s="157"/>
    </row>
    <row r="2124" spans="1:4" x14ac:dyDescent="0.3">
      <c r="A2124" s="157"/>
      <c r="B2124" s="157"/>
      <c r="C2124" s="157"/>
      <c r="D2124" s="157"/>
    </row>
    <row r="2125" spans="1:4" x14ac:dyDescent="0.3">
      <c r="A2125" s="157"/>
      <c r="B2125" s="157"/>
      <c r="C2125" s="157"/>
      <c r="D2125" s="157"/>
    </row>
    <row r="2126" spans="1:4" x14ac:dyDescent="0.3">
      <c r="A2126" s="157"/>
      <c r="B2126" s="157"/>
      <c r="C2126" s="157"/>
      <c r="D2126" s="157"/>
    </row>
    <row r="2127" spans="1:4" x14ac:dyDescent="0.3">
      <c r="A2127" s="157"/>
      <c r="B2127" s="157"/>
      <c r="C2127" s="157"/>
      <c r="D2127" s="157"/>
    </row>
    <row r="2128" spans="1:4" x14ac:dyDescent="0.3">
      <c r="A2128" s="157"/>
      <c r="B2128" s="157"/>
      <c r="C2128" s="157"/>
      <c r="D2128" s="157"/>
    </row>
    <row r="2129" spans="1:4" x14ac:dyDescent="0.3">
      <c r="A2129" s="157"/>
      <c r="B2129" s="157"/>
      <c r="C2129" s="157"/>
      <c r="D2129" s="157"/>
    </row>
    <row r="2130" spans="1:4" x14ac:dyDescent="0.3">
      <c r="A2130" s="157"/>
      <c r="B2130" s="157"/>
      <c r="C2130" s="157"/>
      <c r="D2130" s="157"/>
    </row>
    <row r="2131" spans="1:4" x14ac:dyDescent="0.3">
      <c r="A2131" s="157"/>
      <c r="B2131" s="157"/>
      <c r="C2131" s="157"/>
      <c r="D2131" s="157"/>
    </row>
    <row r="2132" spans="1:4" x14ac:dyDescent="0.3">
      <c r="A2132" s="157"/>
      <c r="B2132" s="157"/>
      <c r="C2132" s="157"/>
      <c r="D2132" s="157"/>
    </row>
    <row r="2133" spans="1:4" x14ac:dyDescent="0.3">
      <c r="A2133" s="157"/>
      <c r="B2133" s="157"/>
      <c r="C2133" s="157"/>
      <c r="D2133" s="157"/>
    </row>
    <row r="2134" spans="1:4" x14ac:dyDescent="0.3">
      <c r="A2134" s="157"/>
      <c r="B2134" s="157"/>
      <c r="C2134" s="157"/>
      <c r="D2134" s="157"/>
    </row>
    <row r="2135" spans="1:4" x14ac:dyDescent="0.3">
      <c r="A2135" s="157"/>
      <c r="B2135" s="157"/>
      <c r="C2135" s="157"/>
      <c r="D2135" s="157"/>
    </row>
    <row r="2136" spans="1:4" x14ac:dyDescent="0.3">
      <c r="A2136" s="157"/>
      <c r="B2136" s="157"/>
      <c r="C2136" s="157"/>
      <c r="D2136" s="157"/>
    </row>
    <row r="2137" spans="1:4" x14ac:dyDescent="0.3">
      <c r="A2137" s="157"/>
      <c r="B2137" s="157"/>
      <c r="C2137" s="157"/>
      <c r="D2137" s="157"/>
    </row>
    <row r="2138" spans="1:4" x14ac:dyDescent="0.3">
      <c r="A2138" s="157"/>
      <c r="B2138" s="157"/>
      <c r="C2138" s="157"/>
      <c r="D2138" s="157"/>
    </row>
    <row r="2139" spans="1:4" x14ac:dyDescent="0.3">
      <c r="A2139" s="157"/>
      <c r="B2139" s="157"/>
      <c r="C2139" s="157"/>
      <c r="D2139" s="157"/>
    </row>
    <row r="2140" spans="1:4" x14ac:dyDescent="0.3">
      <c r="A2140" s="157"/>
      <c r="B2140" s="157"/>
      <c r="C2140" s="157"/>
      <c r="D2140" s="157"/>
    </row>
    <row r="2141" spans="1:4" x14ac:dyDescent="0.3">
      <c r="A2141" s="157"/>
      <c r="B2141" s="157"/>
      <c r="C2141" s="157"/>
      <c r="D2141" s="157"/>
    </row>
    <row r="2142" spans="1:4" x14ac:dyDescent="0.3">
      <c r="A2142" s="157"/>
      <c r="B2142" s="157"/>
      <c r="C2142" s="157"/>
      <c r="D2142" s="157"/>
    </row>
    <row r="2143" spans="1:4" x14ac:dyDescent="0.3">
      <c r="A2143" s="157"/>
      <c r="B2143" s="157"/>
      <c r="C2143" s="157"/>
      <c r="D2143" s="157"/>
    </row>
    <row r="2144" spans="1:4" x14ac:dyDescent="0.3">
      <c r="A2144" s="157"/>
      <c r="B2144" s="157"/>
      <c r="C2144" s="157"/>
      <c r="D2144" s="157"/>
    </row>
    <row r="2145" spans="1:4" x14ac:dyDescent="0.3">
      <c r="A2145" s="157"/>
      <c r="B2145" s="157"/>
      <c r="C2145" s="157"/>
      <c r="D2145" s="157"/>
    </row>
    <row r="2146" spans="1:4" x14ac:dyDescent="0.3">
      <c r="A2146" s="157"/>
      <c r="B2146" s="157"/>
      <c r="C2146" s="157"/>
      <c r="D2146" s="157"/>
    </row>
    <row r="2147" spans="1:4" x14ac:dyDescent="0.3">
      <c r="A2147" s="157"/>
      <c r="B2147" s="157"/>
      <c r="C2147" s="157"/>
      <c r="D2147" s="157"/>
    </row>
    <row r="2148" spans="1:4" x14ac:dyDescent="0.3">
      <c r="A2148" s="157"/>
      <c r="B2148" s="157"/>
      <c r="C2148" s="157"/>
      <c r="D2148" s="157"/>
    </row>
    <row r="2149" spans="1:4" x14ac:dyDescent="0.3">
      <c r="A2149" s="157"/>
      <c r="B2149" s="157"/>
      <c r="C2149" s="157"/>
      <c r="D2149" s="157"/>
    </row>
    <row r="2150" spans="1:4" x14ac:dyDescent="0.3">
      <c r="A2150" s="157"/>
      <c r="B2150" s="157"/>
      <c r="C2150" s="157"/>
      <c r="D2150" s="157"/>
    </row>
    <row r="2151" spans="1:4" x14ac:dyDescent="0.3">
      <c r="A2151" s="157"/>
      <c r="B2151" s="157"/>
      <c r="C2151" s="157"/>
      <c r="D2151" s="157"/>
    </row>
    <row r="2152" spans="1:4" x14ac:dyDescent="0.3">
      <c r="A2152" s="157"/>
      <c r="B2152" s="157"/>
      <c r="C2152" s="157"/>
      <c r="D2152" s="157"/>
    </row>
    <row r="2153" spans="1:4" x14ac:dyDescent="0.3">
      <c r="A2153" s="157"/>
      <c r="B2153" s="157"/>
      <c r="C2153" s="157"/>
      <c r="D2153" s="157"/>
    </row>
    <row r="2154" spans="1:4" x14ac:dyDescent="0.3">
      <c r="A2154" s="157"/>
      <c r="B2154" s="157"/>
      <c r="C2154" s="157"/>
      <c r="D2154" s="157"/>
    </row>
    <row r="2155" spans="1:4" x14ac:dyDescent="0.3">
      <c r="A2155" s="157"/>
      <c r="B2155" s="157"/>
      <c r="C2155" s="157"/>
      <c r="D2155" s="157"/>
    </row>
    <row r="2156" spans="1:4" x14ac:dyDescent="0.3">
      <c r="A2156" s="157"/>
      <c r="B2156" s="157"/>
      <c r="C2156" s="157"/>
      <c r="D2156" s="157"/>
    </row>
    <row r="2157" spans="1:4" x14ac:dyDescent="0.3">
      <c r="A2157" s="157"/>
      <c r="B2157" s="157"/>
      <c r="C2157" s="157"/>
      <c r="D2157" s="157"/>
    </row>
    <row r="2158" spans="1:4" x14ac:dyDescent="0.3">
      <c r="A2158" s="157"/>
      <c r="B2158" s="157"/>
      <c r="C2158" s="157"/>
      <c r="D2158" s="157"/>
    </row>
    <row r="2159" spans="1:4" x14ac:dyDescent="0.3">
      <c r="A2159" s="157"/>
      <c r="B2159" s="157"/>
      <c r="C2159" s="157"/>
      <c r="D2159" s="157"/>
    </row>
    <row r="2160" spans="1:4" x14ac:dyDescent="0.3">
      <c r="A2160" s="157"/>
      <c r="B2160" s="157"/>
      <c r="C2160" s="157"/>
      <c r="D2160" s="157"/>
    </row>
    <row r="2161" spans="1:4" x14ac:dyDescent="0.3">
      <c r="A2161" s="157"/>
      <c r="B2161" s="157"/>
      <c r="C2161" s="157"/>
      <c r="D2161" s="157"/>
    </row>
    <row r="2162" spans="1:4" x14ac:dyDescent="0.3">
      <c r="A2162" s="157"/>
      <c r="B2162" s="157"/>
      <c r="C2162" s="157"/>
      <c r="D2162" s="157"/>
    </row>
    <row r="2163" spans="1:4" x14ac:dyDescent="0.3">
      <c r="A2163" s="157"/>
      <c r="B2163" s="157"/>
      <c r="C2163" s="157"/>
      <c r="D2163" s="157"/>
    </row>
    <row r="2164" spans="1:4" x14ac:dyDescent="0.3">
      <c r="A2164" s="157"/>
      <c r="B2164" s="157"/>
      <c r="C2164" s="157"/>
      <c r="D2164" s="157"/>
    </row>
    <row r="2165" spans="1:4" x14ac:dyDescent="0.3">
      <c r="A2165" s="157"/>
      <c r="B2165" s="157"/>
      <c r="C2165" s="157"/>
      <c r="D2165" s="157"/>
    </row>
    <row r="2166" spans="1:4" x14ac:dyDescent="0.3">
      <c r="A2166" s="157"/>
      <c r="B2166" s="157"/>
      <c r="C2166" s="157"/>
      <c r="D2166" s="157"/>
    </row>
    <row r="2167" spans="1:4" x14ac:dyDescent="0.3">
      <c r="A2167" s="157"/>
      <c r="B2167" s="157"/>
      <c r="C2167" s="157"/>
      <c r="D2167" s="157"/>
    </row>
    <row r="2168" spans="1:4" x14ac:dyDescent="0.3">
      <c r="A2168" s="157"/>
      <c r="B2168" s="157"/>
      <c r="C2168" s="157"/>
      <c r="D2168" s="157"/>
    </row>
    <row r="2169" spans="1:4" x14ac:dyDescent="0.3">
      <c r="A2169" s="157"/>
      <c r="B2169" s="157"/>
      <c r="C2169" s="157"/>
      <c r="D2169" s="157"/>
    </row>
    <row r="2170" spans="1:4" x14ac:dyDescent="0.3">
      <c r="A2170" s="157"/>
      <c r="B2170" s="157"/>
      <c r="C2170" s="157"/>
      <c r="D2170" s="157"/>
    </row>
    <row r="2171" spans="1:4" x14ac:dyDescent="0.3">
      <c r="A2171" s="157"/>
      <c r="B2171" s="157"/>
      <c r="C2171" s="157"/>
      <c r="D2171" s="157"/>
    </row>
    <row r="2172" spans="1:4" x14ac:dyDescent="0.3">
      <c r="A2172" s="157"/>
      <c r="B2172" s="157"/>
      <c r="C2172" s="157"/>
      <c r="D2172" s="157"/>
    </row>
    <row r="2173" spans="1:4" x14ac:dyDescent="0.3">
      <c r="A2173" s="157"/>
      <c r="B2173" s="157"/>
      <c r="C2173" s="157"/>
      <c r="D2173" s="157"/>
    </row>
    <row r="2174" spans="1:4" x14ac:dyDescent="0.3">
      <c r="A2174" s="157"/>
      <c r="B2174" s="157"/>
      <c r="C2174" s="157"/>
      <c r="D2174" s="157"/>
    </row>
    <row r="2175" spans="1:4" x14ac:dyDescent="0.3">
      <c r="A2175" s="157"/>
      <c r="B2175" s="157"/>
      <c r="C2175" s="157"/>
      <c r="D2175" s="157"/>
    </row>
    <row r="2176" spans="1:4" x14ac:dyDescent="0.3">
      <c r="A2176" s="157"/>
      <c r="B2176" s="157"/>
      <c r="C2176" s="157"/>
      <c r="D2176" s="157"/>
    </row>
    <row r="2177" spans="1:4" x14ac:dyDescent="0.3">
      <c r="A2177" s="157"/>
      <c r="B2177" s="157"/>
      <c r="C2177" s="157"/>
      <c r="D2177" s="157"/>
    </row>
    <row r="2178" spans="1:4" x14ac:dyDescent="0.3">
      <c r="A2178" s="157"/>
      <c r="B2178" s="157"/>
      <c r="C2178" s="157"/>
      <c r="D2178" s="157"/>
    </row>
    <row r="2179" spans="1:4" x14ac:dyDescent="0.3">
      <c r="A2179" s="157"/>
      <c r="B2179" s="157"/>
      <c r="C2179" s="157"/>
      <c r="D2179" s="157"/>
    </row>
    <row r="2180" spans="1:4" x14ac:dyDescent="0.3">
      <c r="A2180" s="157"/>
      <c r="B2180" s="157"/>
      <c r="C2180" s="157"/>
      <c r="D2180" s="157"/>
    </row>
    <row r="2181" spans="1:4" x14ac:dyDescent="0.3">
      <c r="A2181" s="157"/>
      <c r="B2181" s="157"/>
      <c r="C2181" s="157"/>
      <c r="D2181" s="157"/>
    </row>
    <row r="2182" spans="1:4" x14ac:dyDescent="0.3">
      <c r="A2182" s="157"/>
      <c r="B2182" s="157"/>
      <c r="C2182" s="157"/>
      <c r="D2182" s="157"/>
    </row>
    <row r="2183" spans="1:4" x14ac:dyDescent="0.3">
      <c r="A2183" s="157"/>
      <c r="B2183" s="157"/>
      <c r="C2183" s="157"/>
      <c r="D2183" s="157"/>
    </row>
    <row r="2184" spans="1:4" x14ac:dyDescent="0.3">
      <c r="A2184" s="157"/>
      <c r="B2184" s="157"/>
      <c r="C2184" s="157"/>
      <c r="D2184" s="157"/>
    </row>
    <row r="2185" spans="1:4" x14ac:dyDescent="0.3">
      <c r="A2185" s="157"/>
      <c r="B2185" s="157"/>
      <c r="C2185" s="157"/>
      <c r="D2185" s="157"/>
    </row>
    <row r="2186" spans="1:4" x14ac:dyDescent="0.3">
      <c r="A2186" s="157"/>
      <c r="B2186" s="157"/>
      <c r="C2186" s="157"/>
      <c r="D2186" s="157"/>
    </row>
    <row r="2187" spans="1:4" x14ac:dyDescent="0.3">
      <c r="A2187" s="157"/>
      <c r="B2187" s="157"/>
      <c r="C2187" s="157"/>
      <c r="D2187" s="157"/>
    </row>
    <row r="2188" spans="1:4" x14ac:dyDescent="0.3">
      <c r="A2188" s="157"/>
      <c r="B2188" s="157"/>
      <c r="C2188" s="157"/>
      <c r="D2188" s="157"/>
    </row>
    <row r="2189" spans="1:4" x14ac:dyDescent="0.3">
      <c r="A2189" s="157"/>
      <c r="B2189" s="157"/>
      <c r="C2189" s="157"/>
      <c r="D2189" s="157"/>
    </row>
    <row r="2190" spans="1:4" x14ac:dyDescent="0.3">
      <c r="A2190" s="157"/>
      <c r="B2190" s="157"/>
      <c r="C2190" s="157"/>
      <c r="D2190" s="157"/>
    </row>
    <row r="2191" spans="1:4" x14ac:dyDescent="0.3">
      <c r="A2191" s="157"/>
      <c r="B2191" s="157"/>
      <c r="C2191" s="157"/>
      <c r="D2191" s="157"/>
    </row>
    <row r="2192" spans="1:4" x14ac:dyDescent="0.3">
      <c r="A2192" s="157"/>
      <c r="B2192" s="157"/>
      <c r="C2192" s="157"/>
      <c r="D2192" s="157"/>
    </row>
    <row r="2193" spans="1:4" x14ac:dyDescent="0.3">
      <c r="A2193" s="157"/>
      <c r="B2193" s="157"/>
      <c r="C2193" s="157"/>
      <c r="D2193" s="157"/>
    </row>
    <row r="2194" spans="1:4" x14ac:dyDescent="0.3">
      <c r="A2194" s="157"/>
      <c r="B2194" s="157"/>
      <c r="C2194" s="157"/>
      <c r="D2194" s="157"/>
    </row>
    <row r="2195" spans="1:4" x14ac:dyDescent="0.3">
      <c r="A2195" s="157"/>
      <c r="B2195" s="157"/>
      <c r="C2195" s="157"/>
      <c r="D2195" s="157"/>
    </row>
    <row r="2196" spans="1:4" x14ac:dyDescent="0.3">
      <c r="A2196" s="157"/>
      <c r="B2196" s="157"/>
      <c r="C2196" s="157"/>
      <c r="D2196" s="157"/>
    </row>
    <row r="2197" spans="1:4" x14ac:dyDescent="0.3">
      <c r="A2197" s="157"/>
      <c r="B2197" s="157"/>
      <c r="C2197" s="157"/>
      <c r="D2197" s="157"/>
    </row>
    <row r="2198" spans="1:4" x14ac:dyDescent="0.3">
      <c r="A2198" s="157"/>
      <c r="B2198" s="157"/>
      <c r="C2198" s="157"/>
      <c r="D2198" s="157"/>
    </row>
    <row r="2199" spans="1:4" x14ac:dyDescent="0.3">
      <c r="A2199" s="157"/>
      <c r="B2199" s="157"/>
      <c r="C2199" s="157"/>
      <c r="D2199" s="157"/>
    </row>
    <row r="2200" spans="1:4" x14ac:dyDescent="0.3">
      <c r="A2200" s="157"/>
      <c r="B2200" s="157"/>
      <c r="C2200" s="157"/>
      <c r="D2200" s="157"/>
    </row>
    <row r="2201" spans="1:4" x14ac:dyDescent="0.3">
      <c r="A2201" s="157"/>
      <c r="B2201" s="157"/>
      <c r="C2201" s="157"/>
      <c r="D2201" s="157"/>
    </row>
    <row r="2202" spans="1:4" x14ac:dyDescent="0.3">
      <c r="A2202" s="157"/>
      <c r="B2202" s="157"/>
      <c r="C2202" s="157"/>
      <c r="D2202" s="157"/>
    </row>
    <row r="2203" spans="1:4" x14ac:dyDescent="0.3">
      <c r="A2203" s="157"/>
      <c r="B2203" s="157"/>
      <c r="C2203" s="157"/>
      <c r="D2203" s="157"/>
    </row>
    <row r="2204" spans="1:4" x14ac:dyDescent="0.3">
      <c r="A2204" s="157"/>
      <c r="B2204" s="157"/>
      <c r="C2204" s="157"/>
      <c r="D2204" s="157"/>
    </row>
    <row r="2205" spans="1:4" x14ac:dyDescent="0.3">
      <c r="A2205" s="157"/>
      <c r="B2205" s="157"/>
      <c r="C2205" s="157"/>
      <c r="D2205" s="157"/>
    </row>
    <row r="2206" spans="1:4" x14ac:dyDescent="0.3">
      <c r="A2206" s="157"/>
      <c r="B2206" s="157"/>
      <c r="C2206" s="157"/>
      <c r="D2206" s="157"/>
    </row>
    <row r="2207" spans="1:4" x14ac:dyDescent="0.3">
      <c r="A2207" s="157"/>
      <c r="B2207" s="157"/>
      <c r="C2207" s="157"/>
      <c r="D2207" s="157"/>
    </row>
    <row r="2208" spans="1:4" x14ac:dyDescent="0.3">
      <c r="A2208" s="157"/>
      <c r="B2208" s="157"/>
      <c r="C2208" s="157"/>
      <c r="D2208" s="157"/>
    </row>
    <row r="2209" spans="1:4" x14ac:dyDescent="0.3">
      <c r="A2209" s="157"/>
      <c r="B2209" s="157"/>
      <c r="C2209" s="157"/>
      <c r="D2209" s="157"/>
    </row>
    <row r="2210" spans="1:4" x14ac:dyDescent="0.3">
      <c r="A2210" s="157"/>
      <c r="B2210" s="157"/>
      <c r="C2210" s="157"/>
      <c r="D2210" s="157"/>
    </row>
    <row r="2211" spans="1:4" x14ac:dyDescent="0.3">
      <c r="A2211" s="157"/>
      <c r="B2211" s="157"/>
      <c r="C2211" s="157"/>
      <c r="D2211" s="157"/>
    </row>
    <row r="2212" spans="1:4" x14ac:dyDescent="0.3">
      <c r="A2212" s="157"/>
      <c r="B2212" s="157"/>
      <c r="C2212" s="157"/>
      <c r="D2212" s="157"/>
    </row>
    <row r="2213" spans="1:4" x14ac:dyDescent="0.3">
      <c r="A2213" s="157"/>
      <c r="B2213" s="157"/>
      <c r="C2213" s="157"/>
      <c r="D2213" s="157"/>
    </row>
    <row r="2214" spans="1:4" x14ac:dyDescent="0.3">
      <c r="A2214" s="157"/>
      <c r="B2214" s="157"/>
      <c r="C2214" s="157"/>
      <c r="D2214" s="157"/>
    </row>
    <row r="2215" spans="1:4" x14ac:dyDescent="0.3">
      <c r="A2215" s="157"/>
      <c r="B2215" s="157"/>
      <c r="C2215" s="157"/>
      <c r="D2215" s="157"/>
    </row>
    <row r="2216" spans="1:4" x14ac:dyDescent="0.3">
      <c r="A2216" s="157"/>
      <c r="B2216" s="157"/>
      <c r="C2216" s="157"/>
      <c r="D2216" s="157"/>
    </row>
    <row r="2217" spans="1:4" x14ac:dyDescent="0.3">
      <c r="A2217" s="157"/>
      <c r="B2217" s="157"/>
      <c r="C2217" s="157"/>
      <c r="D2217" s="157"/>
    </row>
    <row r="2218" spans="1:4" x14ac:dyDescent="0.3">
      <c r="A2218" s="157"/>
      <c r="B2218" s="157"/>
      <c r="C2218" s="157"/>
      <c r="D2218" s="157"/>
    </row>
    <row r="2219" spans="1:4" x14ac:dyDescent="0.3">
      <c r="A2219" s="157"/>
      <c r="B2219" s="157"/>
      <c r="C2219" s="157"/>
      <c r="D2219" s="157"/>
    </row>
    <row r="2220" spans="1:4" x14ac:dyDescent="0.3">
      <c r="A2220" s="157"/>
      <c r="B2220" s="157"/>
      <c r="C2220" s="157"/>
      <c r="D2220" s="157"/>
    </row>
    <row r="2221" spans="1:4" x14ac:dyDescent="0.3">
      <c r="A2221" s="157"/>
      <c r="B2221" s="157"/>
      <c r="C2221" s="157"/>
      <c r="D2221" s="157"/>
    </row>
    <row r="2222" spans="1:4" x14ac:dyDescent="0.3">
      <c r="A2222" s="157"/>
      <c r="B2222" s="157"/>
      <c r="C2222" s="157"/>
      <c r="D2222" s="157"/>
    </row>
    <row r="2223" spans="1:4" x14ac:dyDescent="0.3">
      <c r="A2223" s="157"/>
      <c r="B2223" s="157"/>
      <c r="C2223" s="157"/>
      <c r="D2223" s="157"/>
    </row>
    <row r="2224" spans="1:4" x14ac:dyDescent="0.3">
      <c r="A2224" s="157"/>
      <c r="B2224" s="157"/>
      <c r="C2224" s="157"/>
      <c r="D2224" s="157"/>
    </row>
    <row r="2225" spans="1:4" x14ac:dyDescent="0.3">
      <c r="A2225" s="157"/>
      <c r="B2225" s="157"/>
      <c r="C2225" s="157"/>
      <c r="D2225" s="157"/>
    </row>
    <row r="2226" spans="1:4" x14ac:dyDescent="0.3">
      <c r="A2226" s="157"/>
      <c r="B2226" s="157"/>
      <c r="C2226" s="157"/>
      <c r="D2226" s="157"/>
    </row>
    <row r="2227" spans="1:4" x14ac:dyDescent="0.3">
      <c r="A2227" s="157"/>
      <c r="B2227" s="157"/>
      <c r="C2227" s="157"/>
      <c r="D2227" s="157"/>
    </row>
    <row r="2228" spans="1:4" x14ac:dyDescent="0.3">
      <c r="A2228" s="157"/>
      <c r="B2228" s="157"/>
      <c r="C2228" s="157"/>
      <c r="D2228" s="157"/>
    </row>
    <row r="2229" spans="1:4" x14ac:dyDescent="0.3">
      <c r="A2229" s="157"/>
      <c r="B2229" s="157"/>
      <c r="C2229" s="157"/>
      <c r="D2229" s="157"/>
    </row>
    <row r="2230" spans="1:4" x14ac:dyDescent="0.3">
      <c r="A2230" s="157"/>
      <c r="B2230" s="157"/>
      <c r="C2230" s="157"/>
      <c r="D2230" s="157"/>
    </row>
    <row r="2231" spans="1:4" x14ac:dyDescent="0.3">
      <c r="A2231" s="157"/>
      <c r="B2231" s="157"/>
      <c r="C2231" s="157"/>
      <c r="D2231" s="157"/>
    </row>
    <row r="2232" spans="1:4" x14ac:dyDescent="0.3">
      <c r="A2232" s="157"/>
      <c r="B2232" s="157"/>
      <c r="C2232" s="157"/>
      <c r="D2232" s="157"/>
    </row>
    <row r="2233" spans="1:4" x14ac:dyDescent="0.3">
      <c r="A2233" s="157"/>
      <c r="B2233" s="157"/>
      <c r="C2233" s="157"/>
      <c r="D2233" s="157"/>
    </row>
    <row r="2234" spans="1:4" x14ac:dyDescent="0.3">
      <c r="A2234" s="157"/>
      <c r="B2234" s="157"/>
      <c r="C2234" s="157"/>
      <c r="D2234" s="157"/>
    </row>
    <row r="2235" spans="1:4" x14ac:dyDescent="0.3">
      <c r="A2235" s="157"/>
      <c r="B2235" s="157"/>
      <c r="C2235" s="157"/>
      <c r="D2235" s="157"/>
    </row>
    <row r="2236" spans="1:4" x14ac:dyDescent="0.3">
      <c r="A2236" s="157"/>
      <c r="B2236" s="157"/>
      <c r="C2236" s="157"/>
      <c r="D2236" s="157"/>
    </row>
    <row r="2237" spans="1:4" x14ac:dyDescent="0.3">
      <c r="A2237" s="157"/>
      <c r="B2237" s="157"/>
      <c r="C2237" s="157"/>
      <c r="D2237" s="157"/>
    </row>
    <row r="2238" spans="1:4" x14ac:dyDescent="0.3">
      <c r="A2238" s="157"/>
      <c r="B2238" s="157"/>
      <c r="C2238" s="157"/>
      <c r="D2238" s="157"/>
    </row>
    <row r="2239" spans="1:4" x14ac:dyDescent="0.3">
      <c r="A2239" s="157"/>
      <c r="B2239" s="157"/>
      <c r="C2239" s="157"/>
      <c r="D2239" s="157"/>
    </row>
    <row r="2240" spans="1:4" x14ac:dyDescent="0.3">
      <c r="A2240" s="157"/>
      <c r="B2240" s="157"/>
      <c r="C2240" s="157"/>
      <c r="D2240" s="157"/>
    </row>
    <row r="2241" spans="1:4" x14ac:dyDescent="0.3">
      <c r="A2241" s="157"/>
      <c r="B2241" s="157"/>
      <c r="C2241" s="157"/>
      <c r="D2241" s="157"/>
    </row>
    <row r="2242" spans="1:4" x14ac:dyDescent="0.3">
      <c r="A2242" s="157"/>
      <c r="B2242" s="157"/>
      <c r="C2242" s="157"/>
      <c r="D2242" s="157"/>
    </row>
    <row r="2243" spans="1:4" x14ac:dyDescent="0.3">
      <c r="A2243" s="157"/>
      <c r="B2243" s="157"/>
      <c r="C2243" s="157"/>
      <c r="D2243" s="157"/>
    </row>
    <row r="2244" spans="1:4" x14ac:dyDescent="0.3">
      <c r="A2244" s="157"/>
      <c r="B2244" s="157"/>
      <c r="C2244" s="157"/>
      <c r="D2244" s="157"/>
    </row>
    <row r="2245" spans="1:4" x14ac:dyDescent="0.3">
      <c r="A2245" s="157"/>
      <c r="B2245" s="157"/>
      <c r="C2245" s="157"/>
      <c r="D2245" s="157"/>
    </row>
    <row r="2246" spans="1:4" x14ac:dyDescent="0.3">
      <c r="A2246" s="157"/>
      <c r="B2246" s="157"/>
      <c r="C2246" s="157"/>
      <c r="D2246" s="157"/>
    </row>
    <row r="2247" spans="1:4" x14ac:dyDescent="0.3">
      <c r="A2247" s="157"/>
      <c r="B2247" s="157"/>
      <c r="C2247" s="157"/>
      <c r="D2247" s="157"/>
    </row>
    <row r="2248" spans="1:4" x14ac:dyDescent="0.3">
      <c r="A2248" s="157"/>
      <c r="B2248" s="157"/>
      <c r="C2248" s="157"/>
      <c r="D2248" s="157"/>
    </row>
    <row r="2249" spans="1:4" x14ac:dyDescent="0.3">
      <c r="A2249" s="157"/>
      <c r="B2249" s="157"/>
      <c r="C2249" s="157"/>
      <c r="D2249" s="157"/>
    </row>
    <row r="2250" spans="1:4" x14ac:dyDescent="0.3">
      <c r="A2250" s="157"/>
      <c r="B2250" s="157"/>
      <c r="C2250" s="157"/>
      <c r="D2250" s="157"/>
    </row>
    <row r="2251" spans="1:4" x14ac:dyDescent="0.3">
      <c r="A2251" s="157"/>
      <c r="B2251" s="157"/>
      <c r="C2251" s="157"/>
      <c r="D2251" s="157"/>
    </row>
    <row r="2252" spans="1:4" x14ac:dyDescent="0.3">
      <c r="A2252" s="157"/>
      <c r="B2252" s="157"/>
      <c r="C2252" s="157"/>
      <c r="D2252" s="157"/>
    </row>
    <row r="2253" spans="1:4" x14ac:dyDescent="0.3">
      <c r="A2253" s="157"/>
      <c r="B2253" s="157"/>
      <c r="C2253" s="157"/>
      <c r="D2253" s="157"/>
    </row>
    <row r="2254" spans="1:4" x14ac:dyDescent="0.3">
      <c r="A2254" s="157"/>
      <c r="B2254" s="157"/>
      <c r="C2254" s="157"/>
      <c r="D2254" s="157"/>
    </row>
    <row r="2255" spans="1:4" x14ac:dyDescent="0.3">
      <c r="A2255" s="157"/>
      <c r="B2255" s="157"/>
      <c r="C2255" s="157"/>
      <c r="D2255" s="157"/>
    </row>
    <row r="2256" spans="1:4" x14ac:dyDescent="0.3">
      <c r="A2256" s="157"/>
      <c r="B2256" s="157"/>
      <c r="C2256" s="157"/>
      <c r="D2256" s="157"/>
    </row>
    <row r="2257" spans="1:4" x14ac:dyDescent="0.3">
      <c r="A2257" s="157"/>
      <c r="B2257" s="157"/>
      <c r="C2257" s="157"/>
      <c r="D2257" s="157"/>
    </row>
    <row r="2258" spans="1:4" x14ac:dyDescent="0.3">
      <c r="A2258" s="157"/>
      <c r="B2258" s="157"/>
      <c r="C2258" s="157"/>
      <c r="D2258" s="157"/>
    </row>
    <row r="2259" spans="1:4" x14ac:dyDescent="0.3">
      <c r="A2259" s="157"/>
      <c r="B2259" s="157"/>
      <c r="C2259" s="157"/>
      <c r="D2259" s="157"/>
    </row>
    <row r="2260" spans="1:4" x14ac:dyDescent="0.3">
      <c r="A2260" s="157"/>
      <c r="B2260" s="157"/>
      <c r="C2260" s="157"/>
      <c r="D2260" s="157"/>
    </row>
    <row r="2261" spans="1:4" x14ac:dyDescent="0.3">
      <c r="A2261" s="157"/>
      <c r="B2261" s="157"/>
      <c r="C2261" s="157"/>
      <c r="D2261" s="157"/>
    </row>
    <row r="2262" spans="1:4" x14ac:dyDescent="0.3">
      <c r="A2262" s="157"/>
      <c r="B2262" s="157"/>
      <c r="C2262" s="157"/>
      <c r="D2262" s="157"/>
    </row>
    <row r="2263" spans="1:4" x14ac:dyDescent="0.3">
      <c r="A2263" s="157"/>
      <c r="B2263" s="157"/>
      <c r="C2263" s="157"/>
      <c r="D2263" s="157"/>
    </row>
    <row r="2264" spans="1:4" x14ac:dyDescent="0.3">
      <c r="A2264" s="157"/>
      <c r="B2264" s="157"/>
      <c r="C2264" s="157"/>
      <c r="D2264" s="157"/>
    </row>
    <row r="2265" spans="1:4" x14ac:dyDescent="0.3">
      <c r="A2265" s="157"/>
      <c r="B2265" s="157"/>
      <c r="C2265" s="157"/>
      <c r="D2265" s="157"/>
    </row>
    <row r="2266" spans="1:4" x14ac:dyDescent="0.3">
      <c r="A2266" s="157"/>
      <c r="B2266" s="157"/>
      <c r="C2266" s="157"/>
      <c r="D2266" s="157"/>
    </row>
    <row r="2267" spans="1:4" x14ac:dyDescent="0.3">
      <c r="A2267" s="157"/>
      <c r="B2267" s="157"/>
      <c r="C2267" s="157"/>
      <c r="D2267" s="157"/>
    </row>
    <row r="2268" spans="1:4" x14ac:dyDescent="0.3">
      <c r="A2268" s="157"/>
      <c r="B2268" s="157"/>
      <c r="C2268" s="157"/>
      <c r="D2268" s="157"/>
    </row>
    <row r="2269" spans="1:4" x14ac:dyDescent="0.3">
      <c r="A2269" s="157"/>
      <c r="B2269" s="157"/>
      <c r="C2269" s="157"/>
      <c r="D2269" s="157"/>
    </row>
    <row r="2270" spans="1:4" x14ac:dyDescent="0.3">
      <c r="A2270" s="157"/>
      <c r="B2270" s="157"/>
      <c r="C2270" s="157"/>
      <c r="D2270" s="157"/>
    </row>
    <row r="2271" spans="1:4" x14ac:dyDescent="0.3">
      <c r="A2271" s="157"/>
      <c r="B2271" s="157"/>
      <c r="C2271" s="157"/>
      <c r="D2271" s="157"/>
    </row>
    <row r="2272" spans="1:4" x14ac:dyDescent="0.3">
      <c r="A2272" s="157"/>
      <c r="B2272" s="157"/>
      <c r="C2272" s="157"/>
      <c r="D2272" s="157"/>
    </row>
    <row r="2273" spans="1:4" x14ac:dyDescent="0.3">
      <c r="A2273" s="157"/>
      <c r="B2273" s="157"/>
      <c r="C2273" s="157"/>
      <c r="D2273" s="157"/>
    </row>
    <row r="2274" spans="1:4" x14ac:dyDescent="0.3">
      <c r="A2274" s="157"/>
      <c r="B2274" s="157"/>
      <c r="C2274" s="157"/>
      <c r="D2274" s="157"/>
    </row>
    <row r="2275" spans="1:4" x14ac:dyDescent="0.3">
      <c r="A2275" s="157"/>
      <c r="B2275" s="157"/>
      <c r="C2275" s="157"/>
      <c r="D2275" s="157"/>
    </row>
    <row r="2276" spans="1:4" x14ac:dyDescent="0.3">
      <c r="A2276" s="157"/>
      <c r="B2276" s="157"/>
      <c r="C2276" s="157"/>
      <c r="D2276" s="157"/>
    </row>
    <row r="2277" spans="1:4" x14ac:dyDescent="0.3">
      <c r="A2277" s="157"/>
      <c r="B2277" s="157"/>
      <c r="C2277" s="157"/>
      <c r="D2277" s="157"/>
    </row>
    <row r="2278" spans="1:4" x14ac:dyDescent="0.3">
      <c r="A2278" s="157"/>
      <c r="B2278" s="157"/>
      <c r="C2278" s="157"/>
      <c r="D2278" s="157"/>
    </row>
    <row r="2279" spans="1:4" x14ac:dyDescent="0.3">
      <c r="A2279" s="157"/>
      <c r="B2279" s="157"/>
      <c r="C2279" s="157"/>
      <c r="D2279" s="157"/>
    </row>
    <row r="2280" spans="1:4" x14ac:dyDescent="0.3">
      <c r="A2280" s="157"/>
      <c r="B2280" s="157"/>
      <c r="C2280" s="157"/>
      <c r="D2280" s="157"/>
    </row>
    <row r="2281" spans="1:4" x14ac:dyDescent="0.3">
      <c r="A2281" s="157"/>
      <c r="B2281" s="157"/>
      <c r="C2281" s="157"/>
      <c r="D2281" s="157"/>
    </row>
    <row r="2282" spans="1:4" x14ac:dyDescent="0.3">
      <c r="A2282" s="157"/>
      <c r="B2282" s="157"/>
      <c r="C2282" s="157"/>
      <c r="D2282" s="157"/>
    </row>
    <row r="2283" spans="1:4" x14ac:dyDescent="0.3">
      <c r="A2283" s="157"/>
      <c r="B2283" s="157"/>
      <c r="C2283" s="157"/>
      <c r="D2283" s="157"/>
    </row>
    <row r="2284" spans="1:4" x14ac:dyDescent="0.3">
      <c r="A2284" s="157"/>
      <c r="B2284" s="157"/>
      <c r="C2284" s="157"/>
      <c r="D2284" s="157"/>
    </row>
    <row r="2285" spans="1:4" x14ac:dyDescent="0.3">
      <c r="A2285" s="157"/>
      <c r="B2285" s="157"/>
      <c r="C2285" s="157"/>
      <c r="D2285" s="157"/>
    </row>
    <row r="2286" spans="1:4" x14ac:dyDescent="0.3">
      <c r="A2286" s="157"/>
      <c r="B2286" s="157"/>
      <c r="C2286" s="157"/>
      <c r="D2286" s="157"/>
    </row>
    <row r="2287" spans="1:4" x14ac:dyDescent="0.3">
      <c r="A2287" s="157"/>
      <c r="B2287" s="157"/>
      <c r="C2287" s="157"/>
      <c r="D2287" s="157"/>
    </row>
    <row r="2288" spans="1:4" x14ac:dyDescent="0.3">
      <c r="A2288" s="157"/>
      <c r="B2288" s="157"/>
      <c r="C2288" s="157"/>
      <c r="D2288" s="157"/>
    </row>
    <row r="2289" spans="1:4" x14ac:dyDescent="0.3">
      <c r="A2289" s="157"/>
      <c r="B2289" s="157"/>
      <c r="C2289" s="157"/>
      <c r="D2289" s="157"/>
    </row>
    <row r="2290" spans="1:4" x14ac:dyDescent="0.3">
      <c r="A2290" s="157"/>
      <c r="B2290" s="157"/>
      <c r="C2290" s="157"/>
      <c r="D2290" s="157"/>
    </row>
    <row r="2291" spans="1:4" x14ac:dyDescent="0.3">
      <c r="A2291" s="157"/>
      <c r="B2291" s="157"/>
      <c r="C2291" s="157"/>
      <c r="D2291" s="157"/>
    </row>
    <row r="2292" spans="1:4" x14ac:dyDescent="0.3">
      <c r="A2292" s="157"/>
      <c r="B2292" s="157"/>
      <c r="C2292" s="157"/>
      <c r="D2292" s="157"/>
    </row>
    <row r="2293" spans="1:4" x14ac:dyDescent="0.3">
      <c r="A2293" s="157"/>
      <c r="B2293" s="157"/>
      <c r="C2293" s="157"/>
      <c r="D2293" s="157"/>
    </row>
    <row r="2294" spans="1:4" x14ac:dyDescent="0.3">
      <c r="A2294" s="157"/>
      <c r="B2294" s="157"/>
      <c r="C2294" s="157"/>
      <c r="D2294" s="157"/>
    </row>
    <row r="2295" spans="1:4" x14ac:dyDescent="0.3">
      <c r="A2295" s="157"/>
      <c r="B2295" s="157"/>
      <c r="C2295" s="157"/>
      <c r="D2295" s="157"/>
    </row>
    <row r="2296" spans="1:4" x14ac:dyDescent="0.3">
      <c r="A2296" s="157"/>
      <c r="B2296" s="157"/>
      <c r="C2296" s="157"/>
      <c r="D2296" s="157"/>
    </row>
    <row r="2297" spans="1:4" x14ac:dyDescent="0.3">
      <c r="A2297" s="157"/>
      <c r="B2297" s="157"/>
      <c r="C2297" s="157"/>
      <c r="D2297" s="157"/>
    </row>
    <row r="2298" spans="1:4" x14ac:dyDescent="0.3">
      <c r="A2298" s="157"/>
      <c r="B2298" s="157"/>
      <c r="C2298" s="157"/>
      <c r="D2298" s="157"/>
    </row>
    <row r="2299" spans="1:4" x14ac:dyDescent="0.3">
      <c r="A2299" s="157"/>
      <c r="B2299" s="157"/>
      <c r="C2299" s="157"/>
      <c r="D2299" s="157"/>
    </row>
    <row r="2300" spans="1:4" x14ac:dyDescent="0.3">
      <c r="A2300" s="157"/>
      <c r="B2300" s="157"/>
      <c r="C2300" s="157"/>
      <c r="D2300" s="157"/>
    </row>
    <row r="2301" spans="1:4" x14ac:dyDescent="0.3">
      <c r="A2301" s="157"/>
      <c r="B2301" s="157"/>
      <c r="C2301" s="157"/>
      <c r="D2301" s="157"/>
    </row>
    <row r="2302" spans="1:4" x14ac:dyDescent="0.3">
      <c r="A2302" s="157"/>
      <c r="B2302" s="157"/>
      <c r="C2302" s="157"/>
      <c r="D2302" s="157"/>
    </row>
    <row r="2303" spans="1:4" x14ac:dyDescent="0.3">
      <c r="A2303" s="157"/>
      <c r="B2303" s="157"/>
      <c r="C2303" s="157"/>
      <c r="D2303" s="157"/>
    </row>
    <row r="2304" spans="1:4" x14ac:dyDescent="0.3">
      <c r="A2304" s="157"/>
      <c r="B2304" s="157"/>
      <c r="C2304" s="157"/>
      <c r="D2304" s="157"/>
    </row>
    <row r="2305" spans="1:4" x14ac:dyDescent="0.3">
      <c r="A2305" s="157"/>
      <c r="B2305" s="157"/>
      <c r="C2305" s="157"/>
      <c r="D2305" s="157"/>
    </row>
    <row r="2306" spans="1:4" x14ac:dyDescent="0.3">
      <c r="A2306" s="157"/>
      <c r="B2306" s="157"/>
      <c r="C2306" s="157"/>
      <c r="D2306" s="157"/>
    </row>
    <row r="2307" spans="1:4" x14ac:dyDescent="0.3">
      <c r="A2307" s="157"/>
      <c r="B2307" s="157"/>
      <c r="C2307" s="157"/>
      <c r="D2307" s="157"/>
    </row>
    <row r="2308" spans="1:4" x14ac:dyDescent="0.3">
      <c r="A2308" s="157"/>
      <c r="B2308" s="157"/>
      <c r="C2308" s="157"/>
      <c r="D2308" s="157"/>
    </row>
    <row r="2309" spans="1:4" x14ac:dyDescent="0.3">
      <c r="A2309" s="157"/>
      <c r="B2309" s="157"/>
      <c r="C2309" s="157"/>
      <c r="D2309" s="157"/>
    </row>
    <row r="2310" spans="1:4" x14ac:dyDescent="0.3">
      <c r="A2310" s="157"/>
      <c r="B2310" s="157"/>
      <c r="C2310" s="157"/>
      <c r="D2310" s="157"/>
    </row>
    <row r="2311" spans="1:4" x14ac:dyDescent="0.3">
      <c r="A2311" s="157"/>
      <c r="B2311" s="157"/>
      <c r="C2311" s="157"/>
      <c r="D2311" s="157"/>
    </row>
    <row r="2312" spans="1:4" x14ac:dyDescent="0.3">
      <c r="A2312" s="157"/>
      <c r="B2312" s="157"/>
      <c r="C2312" s="157"/>
      <c r="D2312" s="157"/>
    </row>
    <row r="2313" spans="1:4" x14ac:dyDescent="0.3">
      <c r="A2313" s="157"/>
      <c r="B2313" s="157"/>
      <c r="C2313" s="157"/>
      <c r="D2313" s="157"/>
    </row>
    <row r="2314" spans="1:4" x14ac:dyDescent="0.3">
      <c r="A2314" s="157"/>
      <c r="B2314" s="157"/>
      <c r="C2314" s="157"/>
      <c r="D2314" s="157"/>
    </row>
    <row r="2315" spans="1:4" x14ac:dyDescent="0.3">
      <c r="A2315" s="157"/>
      <c r="B2315" s="157"/>
      <c r="C2315" s="157"/>
      <c r="D2315" s="157"/>
    </row>
    <row r="2316" spans="1:4" x14ac:dyDescent="0.3">
      <c r="A2316" s="157"/>
      <c r="B2316" s="157"/>
      <c r="C2316" s="157"/>
      <c r="D2316" s="157"/>
    </row>
    <row r="2317" spans="1:4" x14ac:dyDescent="0.3">
      <c r="A2317" s="157"/>
      <c r="B2317" s="157"/>
      <c r="C2317" s="157"/>
      <c r="D2317" s="157"/>
    </row>
    <row r="2318" spans="1:4" x14ac:dyDescent="0.3">
      <c r="A2318" s="157"/>
      <c r="B2318" s="157"/>
      <c r="C2318" s="157"/>
      <c r="D2318" s="157"/>
    </row>
    <row r="2319" spans="1:4" x14ac:dyDescent="0.3">
      <c r="A2319" s="157"/>
      <c r="B2319" s="157"/>
      <c r="C2319" s="157"/>
      <c r="D2319" s="157"/>
    </row>
    <row r="2320" spans="1:4" x14ac:dyDescent="0.3">
      <c r="A2320" s="157"/>
      <c r="B2320" s="157"/>
      <c r="C2320" s="157"/>
      <c r="D2320" s="157"/>
    </row>
    <row r="2321" spans="1:4" x14ac:dyDescent="0.3">
      <c r="A2321" s="157"/>
      <c r="B2321" s="157"/>
      <c r="C2321" s="157"/>
      <c r="D2321" s="157"/>
    </row>
    <row r="2322" spans="1:4" x14ac:dyDescent="0.3">
      <c r="A2322" s="157"/>
      <c r="B2322" s="157"/>
      <c r="C2322" s="157"/>
      <c r="D2322" s="157"/>
    </row>
    <row r="2323" spans="1:4" x14ac:dyDescent="0.3">
      <c r="A2323" s="157"/>
      <c r="B2323" s="157"/>
      <c r="C2323" s="157"/>
      <c r="D2323" s="157"/>
    </row>
    <row r="2324" spans="1:4" x14ac:dyDescent="0.3">
      <c r="A2324" s="157"/>
      <c r="B2324" s="157"/>
      <c r="C2324" s="157"/>
      <c r="D2324" s="157"/>
    </row>
    <row r="2325" spans="1:4" x14ac:dyDescent="0.3">
      <c r="A2325" s="157"/>
      <c r="B2325" s="157"/>
      <c r="C2325" s="157"/>
      <c r="D2325" s="157"/>
    </row>
    <row r="2326" spans="1:4" x14ac:dyDescent="0.3">
      <c r="A2326" s="157"/>
      <c r="B2326" s="157"/>
      <c r="C2326" s="157"/>
      <c r="D2326" s="157"/>
    </row>
    <row r="2327" spans="1:4" x14ac:dyDescent="0.3">
      <c r="A2327" s="157"/>
      <c r="B2327" s="157"/>
      <c r="C2327" s="157"/>
      <c r="D2327" s="157"/>
    </row>
    <row r="2328" spans="1:4" x14ac:dyDescent="0.3">
      <c r="A2328" s="157"/>
      <c r="B2328" s="157"/>
      <c r="C2328" s="157"/>
      <c r="D2328" s="157"/>
    </row>
    <row r="2329" spans="1:4" x14ac:dyDescent="0.3">
      <c r="A2329" s="157"/>
      <c r="B2329" s="157"/>
      <c r="C2329" s="157"/>
      <c r="D2329" s="157"/>
    </row>
    <row r="2330" spans="1:4" x14ac:dyDescent="0.3">
      <c r="A2330" s="157"/>
      <c r="B2330" s="157"/>
      <c r="C2330" s="157"/>
      <c r="D2330" s="157"/>
    </row>
    <row r="2331" spans="1:4" x14ac:dyDescent="0.3">
      <c r="A2331" s="157"/>
      <c r="B2331" s="157"/>
      <c r="C2331" s="157"/>
      <c r="D2331" s="157"/>
    </row>
    <row r="2332" spans="1:4" x14ac:dyDescent="0.3">
      <c r="A2332" s="157"/>
      <c r="B2332" s="157"/>
      <c r="C2332" s="157"/>
      <c r="D2332" s="157"/>
    </row>
    <row r="2333" spans="1:4" x14ac:dyDescent="0.3">
      <c r="A2333" s="157"/>
      <c r="B2333" s="157"/>
      <c r="C2333" s="157"/>
      <c r="D2333" s="157"/>
    </row>
    <row r="2334" spans="1:4" x14ac:dyDescent="0.3">
      <c r="A2334" s="157"/>
      <c r="B2334" s="157"/>
      <c r="C2334" s="157"/>
      <c r="D2334" s="157"/>
    </row>
    <row r="2335" spans="1:4" x14ac:dyDescent="0.3">
      <c r="A2335" s="157"/>
      <c r="B2335" s="157"/>
      <c r="C2335" s="157"/>
      <c r="D2335" s="157"/>
    </row>
    <row r="2336" spans="1:4" x14ac:dyDescent="0.3">
      <c r="A2336" s="157"/>
      <c r="B2336" s="157"/>
      <c r="C2336" s="157"/>
      <c r="D2336" s="157"/>
    </row>
    <row r="2337" spans="1:4" x14ac:dyDescent="0.3">
      <c r="A2337" s="157"/>
      <c r="B2337" s="157"/>
      <c r="C2337" s="157"/>
      <c r="D2337" s="157"/>
    </row>
    <row r="2338" spans="1:4" x14ac:dyDescent="0.3">
      <c r="A2338" s="157"/>
      <c r="B2338" s="157"/>
      <c r="C2338" s="157"/>
      <c r="D2338" s="157"/>
    </row>
    <row r="2339" spans="1:4" x14ac:dyDescent="0.3">
      <c r="A2339" s="157"/>
      <c r="B2339" s="157"/>
      <c r="C2339" s="157"/>
      <c r="D2339" s="157"/>
    </row>
    <row r="2340" spans="1:4" x14ac:dyDescent="0.3">
      <c r="A2340" s="157"/>
      <c r="B2340" s="157"/>
      <c r="C2340" s="157"/>
      <c r="D2340" s="157"/>
    </row>
    <row r="2341" spans="1:4" x14ac:dyDescent="0.3">
      <c r="A2341" s="157"/>
      <c r="B2341" s="157"/>
      <c r="C2341" s="157"/>
      <c r="D2341" s="157"/>
    </row>
    <row r="2342" spans="1:4" x14ac:dyDescent="0.3">
      <c r="A2342" s="157"/>
      <c r="B2342" s="157"/>
      <c r="C2342" s="157"/>
      <c r="D2342" s="157"/>
    </row>
    <row r="2343" spans="1:4" x14ac:dyDescent="0.3">
      <c r="A2343" s="157"/>
      <c r="B2343" s="157"/>
      <c r="C2343" s="157"/>
      <c r="D2343" s="157"/>
    </row>
    <row r="2344" spans="1:4" x14ac:dyDescent="0.3">
      <c r="A2344" s="157"/>
      <c r="B2344" s="157"/>
      <c r="C2344" s="157"/>
      <c r="D2344" s="157"/>
    </row>
    <row r="2345" spans="1:4" x14ac:dyDescent="0.3">
      <c r="A2345" s="157"/>
      <c r="B2345" s="157"/>
      <c r="C2345" s="157"/>
      <c r="D2345" s="157"/>
    </row>
    <row r="2346" spans="1:4" x14ac:dyDescent="0.3">
      <c r="A2346" s="157"/>
      <c r="B2346" s="157"/>
      <c r="C2346" s="157"/>
      <c r="D2346" s="157"/>
    </row>
    <row r="2347" spans="1:4" x14ac:dyDescent="0.3">
      <c r="A2347" s="157"/>
      <c r="B2347" s="157"/>
      <c r="C2347" s="157"/>
      <c r="D2347" s="157"/>
    </row>
    <row r="2348" spans="1:4" x14ac:dyDescent="0.3">
      <c r="A2348" s="157"/>
      <c r="B2348" s="157"/>
      <c r="C2348" s="157"/>
      <c r="D2348" s="157"/>
    </row>
    <row r="2349" spans="1:4" x14ac:dyDescent="0.3">
      <c r="A2349" s="157"/>
      <c r="B2349" s="157"/>
      <c r="C2349" s="157"/>
      <c r="D2349" s="157"/>
    </row>
    <row r="2350" spans="1:4" x14ac:dyDescent="0.3">
      <c r="A2350" s="157"/>
      <c r="B2350" s="157"/>
      <c r="C2350" s="157"/>
      <c r="D2350" s="157"/>
    </row>
    <row r="2351" spans="1:4" x14ac:dyDescent="0.3">
      <c r="A2351" s="157"/>
      <c r="B2351" s="157"/>
      <c r="C2351" s="157"/>
      <c r="D2351" s="157"/>
    </row>
    <row r="2352" spans="1:4" x14ac:dyDescent="0.3">
      <c r="A2352" s="157"/>
      <c r="B2352" s="157"/>
      <c r="C2352" s="157"/>
      <c r="D2352" s="157"/>
    </row>
    <row r="2353" spans="1:4" x14ac:dyDescent="0.3">
      <c r="A2353" s="157"/>
      <c r="B2353" s="157"/>
      <c r="C2353" s="157"/>
      <c r="D2353" s="157"/>
    </row>
    <row r="2354" spans="1:4" x14ac:dyDescent="0.3">
      <c r="A2354" s="157"/>
      <c r="B2354" s="157"/>
      <c r="C2354" s="157"/>
      <c r="D2354" s="157"/>
    </row>
    <row r="2355" spans="1:4" x14ac:dyDescent="0.3">
      <c r="A2355" s="157"/>
      <c r="B2355" s="157"/>
      <c r="C2355" s="157"/>
      <c r="D2355" s="157"/>
    </row>
    <row r="2356" spans="1:4" x14ac:dyDescent="0.3">
      <c r="A2356" s="157"/>
      <c r="B2356" s="157"/>
      <c r="C2356" s="157"/>
      <c r="D2356" s="157"/>
    </row>
    <row r="2357" spans="1:4" x14ac:dyDescent="0.3">
      <c r="A2357" s="157"/>
      <c r="B2357" s="157"/>
      <c r="C2357" s="157"/>
      <c r="D2357" s="157"/>
    </row>
    <row r="2358" spans="1:4" x14ac:dyDescent="0.3">
      <c r="A2358" s="157"/>
      <c r="B2358" s="157"/>
      <c r="C2358" s="157"/>
      <c r="D2358" s="157"/>
    </row>
    <row r="2359" spans="1:4" x14ac:dyDescent="0.3">
      <c r="A2359" s="157"/>
      <c r="B2359" s="157"/>
      <c r="C2359" s="157"/>
      <c r="D2359" s="157"/>
    </row>
    <row r="2360" spans="1:4" x14ac:dyDescent="0.3">
      <c r="A2360" s="157"/>
      <c r="B2360" s="157"/>
      <c r="C2360" s="157"/>
      <c r="D2360" s="157"/>
    </row>
    <row r="2361" spans="1:4" x14ac:dyDescent="0.3">
      <c r="A2361" s="157"/>
      <c r="B2361" s="157"/>
      <c r="C2361" s="157"/>
      <c r="D2361" s="157"/>
    </row>
    <row r="2362" spans="1:4" x14ac:dyDescent="0.3">
      <c r="A2362" s="157"/>
      <c r="B2362" s="157"/>
      <c r="C2362" s="157"/>
      <c r="D2362" s="157"/>
    </row>
    <row r="2363" spans="1:4" x14ac:dyDescent="0.3">
      <c r="A2363" s="157"/>
      <c r="B2363" s="157"/>
      <c r="C2363" s="157"/>
      <c r="D2363" s="157"/>
    </row>
    <row r="2364" spans="1:4" x14ac:dyDescent="0.3">
      <c r="A2364" s="157"/>
      <c r="B2364" s="157"/>
      <c r="C2364" s="157"/>
      <c r="D2364" s="157"/>
    </row>
    <row r="2365" spans="1:4" x14ac:dyDescent="0.3">
      <c r="A2365" s="157"/>
      <c r="B2365" s="157"/>
      <c r="C2365" s="157"/>
      <c r="D2365" s="157"/>
    </row>
    <row r="2366" spans="1:4" x14ac:dyDescent="0.3">
      <c r="A2366" s="157"/>
      <c r="B2366" s="157"/>
      <c r="C2366" s="157"/>
      <c r="D2366" s="157"/>
    </row>
    <row r="2367" spans="1:4" x14ac:dyDescent="0.3">
      <c r="A2367" s="157"/>
      <c r="B2367" s="157"/>
      <c r="C2367" s="157"/>
      <c r="D2367" s="157"/>
    </row>
    <row r="2368" spans="1:4" x14ac:dyDescent="0.3">
      <c r="A2368" s="157"/>
      <c r="B2368" s="157"/>
      <c r="C2368" s="157"/>
      <c r="D2368" s="157"/>
    </row>
    <row r="2369" spans="1:4" x14ac:dyDescent="0.3">
      <c r="A2369" s="157"/>
      <c r="B2369" s="157"/>
      <c r="C2369" s="157"/>
      <c r="D2369" s="157"/>
    </row>
    <row r="2370" spans="1:4" x14ac:dyDescent="0.3">
      <c r="A2370" s="157"/>
      <c r="B2370" s="157"/>
      <c r="C2370" s="157"/>
      <c r="D2370" s="157"/>
    </row>
    <row r="2371" spans="1:4" x14ac:dyDescent="0.3">
      <c r="A2371" s="157"/>
      <c r="B2371" s="157"/>
      <c r="C2371" s="157"/>
      <c r="D2371" s="157"/>
    </row>
    <row r="2372" spans="1:4" x14ac:dyDescent="0.3">
      <c r="A2372" s="157"/>
      <c r="B2372" s="157"/>
      <c r="C2372" s="157"/>
      <c r="D2372" s="157"/>
    </row>
    <row r="2373" spans="1:4" x14ac:dyDescent="0.3">
      <c r="A2373" s="157"/>
      <c r="B2373" s="157"/>
      <c r="C2373" s="157"/>
      <c r="D2373" s="157"/>
    </row>
    <row r="2374" spans="1:4" x14ac:dyDescent="0.3">
      <c r="A2374" s="157"/>
      <c r="B2374" s="157"/>
      <c r="C2374" s="157"/>
      <c r="D2374" s="157"/>
    </row>
    <row r="2375" spans="1:4" x14ac:dyDescent="0.3">
      <c r="A2375" s="157"/>
      <c r="B2375" s="157"/>
      <c r="C2375" s="157"/>
      <c r="D2375" s="157"/>
    </row>
    <row r="2376" spans="1:4" x14ac:dyDescent="0.3">
      <c r="A2376" s="157"/>
      <c r="B2376" s="157"/>
      <c r="C2376" s="157"/>
      <c r="D2376" s="157"/>
    </row>
    <row r="2377" spans="1:4" x14ac:dyDescent="0.3">
      <c r="A2377" s="157"/>
      <c r="B2377" s="157"/>
      <c r="C2377" s="157"/>
      <c r="D2377" s="157"/>
    </row>
    <row r="2378" spans="1:4" x14ac:dyDescent="0.3">
      <c r="A2378" s="157"/>
      <c r="B2378" s="157"/>
      <c r="C2378" s="157"/>
      <c r="D2378" s="157"/>
    </row>
    <row r="2379" spans="1:4" x14ac:dyDescent="0.3">
      <c r="A2379" s="157"/>
      <c r="B2379" s="157"/>
      <c r="C2379" s="157"/>
      <c r="D2379" s="157"/>
    </row>
    <row r="2380" spans="1:4" x14ac:dyDescent="0.3">
      <c r="A2380" s="157"/>
      <c r="B2380" s="157"/>
      <c r="C2380" s="157"/>
      <c r="D2380" s="157"/>
    </row>
    <row r="2381" spans="1:4" x14ac:dyDescent="0.3">
      <c r="A2381" s="157"/>
      <c r="B2381" s="157"/>
      <c r="C2381" s="157"/>
      <c r="D2381" s="157"/>
    </row>
    <row r="2382" spans="1:4" x14ac:dyDescent="0.3">
      <c r="A2382" s="157"/>
      <c r="B2382" s="157"/>
      <c r="C2382" s="157"/>
      <c r="D2382" s="157"/>
    </row>
    <row r="2383" spans="1:4" x14ac:dyDescent="0.3">
      <c r="A2383" s="157"/>
      <c r="B2383" s="157"/>
      <c r="C2383" s="157"/>
      <c r="D2383" s="157"/>
    </row>
    <row r="2384" spans="1:4" x14ac:dyDescent="0.3">
      <c r="A2384" s="157"/>
      <c r="B2384" s="157"/>
      <c r="C2384" s="157"/>
      <c r="D2384" s="157"/>
    </row>
    <row r="2385" spans="1:4" x14ac:dyDescent="0.3">
      <c r="A2385" s="157"/>
      <c r="B2385" s="157"/>
      <c r="C2385" s="157"/>
      <c r="D2385" s="157"/>
    </row>
    <row r="2386" spans="1:4" x14ac:dyDescent="0.3">
      <c r="A2386" s="157"/>
      <c r="B2386" s="157"/>
      <c r="C2386" s="157"/>
      <c r="D2386" s="157"/>
    </row>
    <row r="2387" spans="1:4" x14ac:dyDescent="0.3">
      <c r="A2387" s="157"/>
      <c r="B2387" s="157"/>
      <c r="C2387" s="157"/>
      <c r="D2387" s="157"/>
    </row>
    <row r="2388" spans="1:4" x14ac:dyDescent="0.3">
      <c r="A2388" s="157"/>
      <c r="B2388" s="157"/>
      <c r="C2388" s="157"/>
      <c r="D2388" s="157"/>
    </row>
    <row r="2389" spans="1:4" x14ac:dyDescent="0.3">
      <c r="A2389" s="157"/>
      <c r="B2389" s="157"/>
      <c r="C2389" s="157"/>
      <c r="D2389" s="157"/>
    </row>
    <row r="2390" spans="1:4" x14ac:dyDescent="0.3">
      <c r="A2390" s="157"/>
      <c r="B2390" s="157"/>
      <c r="C2390" s="157"/>
      <c r="D2390" s="157"/>
    </row>
    <row r="2391" spans="1:4" x14ac:dyDescent="0.3">
      <c r="A2391" s="157"/>
      <c r="B2391" s="157"/>
      <c r="C2391" s="157"/>
      <c r="D2391" s="157"/>
    </row>
    <row r="2392" spans="1:4" x14ac:dyDescent="0.3">
      <c r="A2392" s="157"/>
      <c r="B2392" s="157"/>
      <c r="C2392" s="157"/>
      <c r="D2392" s="157"/>
    </row>
    <row r="2393" spans="1:4" x14ac:dyDescent="0.3">
      <c r="A2393" s="157"/>
      <c r="B2393" s="157"/>
      <c r="C2393" s="157"/>
      <c r="D2393" s="157"/>
    </row>
    <row r="2394" spans="1:4" x14ac:dyDescent="0.3">
      <c r="A2394" s="157"/>
      <c r="B2394" s="157"/>
      <c r="C2394" s="157"/>
      <c r="D2394" s="157"/>
    </row>
    <row r="2395" spans="1:4" x14ac:dyDescent="0.3">
      <c r="A2395" s="157"/>
      <c r="B2395" s="157"/>
      <c r="C2395" s="157"/>
      <c r="D2395" s="157"/>
    </row>
    <row r="2396" spans="1:4" x14ac:dyDescent="0.3">
      <c r="A2396" s="157"/>
      <c r="B2396" s="157"/>
      <c r="C2396" s="157"/>
      <c r="D2396" s="157"/>
    </row>
    <row r="2397" spans="1:4" x14ac:dyDescent="0.3">
      <c r="A2397" s="157"/>
      <c r="B2397" s="157"/>
      <c r="C2397" s="157"/>
      <c r="D2397" s="157"/>
    </row>
    <row r="2398" spans="1:4" x14ac:dyDescent="0.3">
      <c r="A2398" s="157"/>
      <c r="B2398" s="157"/>
      <c r="C2398" s="157"/>
      <c r="D2398" s="157"/>
    </row>
    <row r="2399" spans="1:4" x14ac:dyDescent="0.3">
      <c r="A2399" s="157"/>
      <c r="B2399" s="157"/>
      <c r="C2399" s="157"/>
      <c r="D2399" s="157"/>
    </row>
    <row r="2400" spans="1:4" x14ac:dyDescent="0.3">
      <c r="A2400" s="157"/>
      <c r="B2400" s="157"/>
      <c r="C2400" s="157"/>
      <c r="D2400" s="157"/>
    </row>
    <row r="2401" spans="1:4" x14ac:dyDescent="0.3">
      <c r="A2401" s="157"/>
      <c r="B2401" s="157"/>
      <c r="C2401" s="157"/>
      <c r="D2401" s="157"/>
    </row>
    <row r="2402" spans="1:4" x14ac:dyDescent="0.3">
      <c r="A2402" s="157"/>
      <c r="B2402" s="157"/>
      <c r="C2402" s="157"/>
      <c r="D2402" s="157"/>
    </row>
    <row r="2403" spans="1:4" x14ac:dyDescent="0.3">
      <c r="A2403" s="157"/>
      <c r="B2403" s="157"/>
      <c r="C2403" s="157"/>
      <c r="D2403" s="157"/>
    </row>
    <row r="2404" spans="1:4" x14ac:dyDescent="0.3">
      <c r="A2404" s="157"/>
      <c r="B2404" s="157"/>
      <c r="C2404" s="157"/>
      <c r="D2404" s="157"/>
    </row>
    <row r="2405" spans="1:4" x14ac:dyDescent="0.3">
      <c r="A2405" s="157"/>
      <c r="B2405" s="157"/>
      <c r="C2405" s="157"/>
      <c r="D2405" s="157"/>
    </row>
    <row r="2406" spans="1:4" x14ac:dyDescent="0.3">
      <c r="A2406" s="157"/>
      <c r="B2406" s="157"/>
      <c r="C2406" s="157"/>
      <c r="D2406" s="157"/>
    </row>
    <row r="2407" spans="1:4" x14ac:dyDescent="0.3">
      <c r="A2407" s="157"/>
      <c r="B2407" s="157"/>
      <c r="C2407" s="157"/>
      <c r="D2407" s="157"/>
    </row>
    <row r="2408" spans="1:4" x14ac:dyDescent="0.3">
      <c r="A2408" s="157"/>
      <c r="B2408" s="157"/>
      <c r="C2408" s="157"/>
      <c r="D2408" s="157"/>
    </row>
    <row r="2409" spans="1:4" x14ac:dyDescent="0.3">
      <c r="A2409" s="157"/>
      <c r="B2409" s="157"/>
      <c r="C2409" s="157"/>
      <c r="D2409" s="157"/>
    </row>
    <row r="2410" spans="1:4" x14ac:dyDescent="0.3">
      <c r="A2410" s="157"/>
      <c r="B2410" s="157"/>
      <c r="C2410" s="157"/>
      <c r="D2410" s="157"/>
    </row>
    <row r="2411" spans="1:4" x14ac:dyDescent="0.3">
      <c r="A2411" s="157"/>
      <c r="B2411" s="157"/>
      <c r="C2411" s="157"/>
      <c r="D2411" s="157"/>
    </row>
    <row r="2412" spans="1:4" x14ac:dyDescent="0.3">
      <c r="A2412" s="157"/>
      <c r="B2412" s="157"/>
      <c r="C2412" s="157"/>
      <c r="D2412" s="157"/>
    </row>
    <row r="2413" spans="1:4" x14ac:dyDescent="0.3">
      <c r="A2413" s="157"/>
      <c r="B2413" s="157"/>
      <c r="C2413" s="157"/>
      <c r="D2413" s="157"/>
    </row>
    <row r="2414" spans="1:4" x14ac:dyDescent="0.3">
      <c r="A2414" s="157"/>
      <c r="B2414" s="157"/>
      <c r="C2414" s="157"/>
      <c r="D2414" s="157"/>
    </row>
    <row r="2415" spans="1:4" x14ac:dyDescent="0.3">
      <c r="A2415" s="157"/>
      <c r="B2415" s="157"/>
      <c r="C2415" s="157"/>
      <c r="D2415" s="157"/>
    </row>
    <row r="2416" spans="1:4" x14ac:dyDescent="0.3">
      <c r="A2416" s="157"/>
      <c r="B2416" s="157"/>
      <c r="C2416" s="157"/>
      <c r="D2416" s="157"/>
    </row>
    <row r="2417" spans="1:4" x14ac:dyDescent="0.3">
      <c r="A2417" s="157"/>
      <c r="B2417" s="157"/>
      <c r="C2417" s="157"/>
      <c r="D2417" s="157"/>
    </row>
    <row r="2418" spans="1:4" x14ac:dyDescent="0.3">
      <c r="A2418" s="157"/>
      <c r="B2418" s="157"/>
      <c r="C2418" s="157"/>
      <c r="D2418" s="157"/>
    </row>
    <row r="2419" spans="1:4" x14ac:dyDescent="0.3">
      <c r="A2419" s="157"/>
      <c r="B2419" s="157"/>
      <c r="C2419" s="157"/>
      <c r="D2419" s="157"/>
    </row>
    <row r="2420" spans="1:4" x14ac:dyDescent="0.3">
      <c r="A2420" s="157"/>
      <c r="B2420" s="157"/>
      <c r="C2420" s="157"/>
      <c r="D2420" s="157"/>
    </row>
    <row r="2421" spans="1:4" x14ac:dyDescent="0.3">
      <c r="A2421" s="157"/>
      <c r="B2421" s="157"/>
      <c r="C2421" s="157"/>
      <c r="D2421" s="157"/>
    </row>
    <row r="2422" spans="1:4" x14ac:dyDescent="0.3">
      <c r="A2422" s="157"/>
      <c r="B2422" s="157"/>
      <c r="C2422" s="157"/>
      <c r="D2422" s="157"/>
    </row>
    <row r="2423" spans="1:4" x14ac:dyDescent="0.3">
      <c r="A2423" s="157"/>
      <c r="B2423" s="157"/>
      <c r="C2423" s="157"/>
      <c r="D2423" s="157"/>
    </row>
    <row r="2424" spans="1:4" x14ac:dyDescent="0.3">
      <c r="A2424" s="157"/>
      <c r="B2424" s="157"/>
      <c r="C2424" s="157"/>
      <c r="D2424" s="157"/>
    </row>
    <row r="2425" spans="1:4" x14ac:dyDescent="0.3">
      <c r="A2425" s="157"/>
      <c r="B2425" s="157"/>
      <c r="C2425" s="157"/>
      <c r="D2425" s="157"/>
    </row>
    <row r="2426" spans="1:4" x14ac:dyDescent="0.3">
      <c r="A2426" s="157"/>
      <c r="B2426" s="157"/>
      <c r="C2426" s="157"/>
      <c r="D2426" s="157"/>
    </row>
    <row r="2427" spans="1:4" x14ac:dyDescent="0.3">
      <c r="A2427" s="157"/>
      <c r="B2427" s="157"/>
      <c r="C2427" s="157"/>
      <c r="D2427" s="157"/>
    </row>
    <row r="2428" spans="1:4" x14ac:dyDescent="0.3">
      <c r="A2428" s="157"/>
      <c r="B2428" s="157"/>
      <c r="C2428" s="157"/>
      <c r="D2428" s="157"/>
    </row>
    <row r="2429" spans="1:4" x14ac:dyDescent="0.3">
      <c r="A2429" s="157"/>
      <c r="B2429" s="157"/>
      <c r="C2429" s="157"/>
      <c r="D2429" s="157"/>
    </row>
    <row r="2430" spans="1:4" x14ac:dyDescent="0.3">
      <c r="A2430" s="157"/>
      <c r="B2430" s="157"/>
      <c r="C2430" s="157"/>
      <c r="D2430" s="157"/>
    </row>
    <row r="2431" spans="1:4" x14ac:dyDescent="0.3">
      <c r="A2431" s="157"/>
      <c r="B2431" s="157"/>
      <c r="C2431" s="157"/>
      <c r="D2431" s="157"/>
    </row>
    <row r="2432" spans="1:4" x14ac:dyDescent="0.3">
      <c r="A2432" s="157"/>
      <c r="B2432" s="157"/>
      <c r="C2432" s="157"/>
      <c r="D2432" s="157"/>
    </row>
    <row r="2433" spans="1:4" x14ac:dyDescent="0.3">
      <c r="A2433" s="157"/>
      <c r="B2433" s="157"/>
      <c r="C2433" s="157"/>
      <c r="D2433" s="157"/>
    </row>
    <row r="2434" spans="1:4" x14ac:dyDescent="0.3">
      <c r="A2434" s="157"/>
      <c r="B2434" s="157"/>
      <c r="C2434" s="157"/>
      <c r="D2434" s="157"/>
    </row>
    <row r="2435" spans="1:4" x14ac:dyDescent="0.3">
      <c r="A2435" s="157"/>
      <c r="B2435" s="157"/>
      <c r="C2435" s="157"/>
      <c r="D2435" s="157"/>
    </row>
    <row r="2436" spans="1:4" x14ac:dyDescent="0.3">
      <c r="A2436" s="157"/>
      <c r="B2436" s="157"/>
      <c r="C2436" s="157"/>
      <c r="D2436" s="157"/>
    </row>
    <row r="2437" spans="1:4" x14ac:dyDescent="0.3">
      <c r="A2437" s="157"/>
      <c r="B2437" s="157"/>
      <c r="C2437" s="157"/>
      <c r="D2437" s="157"/>
    </row>
    <row r="2438" spans="1:4" x14ac:dyDescent="0.3">
      <c r="A2438" s="157"/>
      <c r="B2438" s="157"/>
      <c r="C2438" s="157"/>
      <c r="D2438" s="157"/>
    </row>
    <row r="2439" spans="1:4" x14ac:dyDescent="0.3">
      <c r="A2439" s="157"/>
      <c r="B2439" s="157"/>
      <c r="C2439" s="157"/>
      <c r="D2439" s="157"/>
    </row>
    <row r="2440" spans="1:4" x14ac:dyDescent="0.3">
      <c r="A2440" s="157"/>
      <c r="B2440" s="157"/>
      <c r="C2440" s="157"/>
      <c r="D2440" s="157"/>
    </row>
    <row r="2441" spans="1:4" x14ac:dyDescent="0.3">
      <c r="A2441" s="157"/>
      <c r="B2441" s="157"/>
      <c r="C2441" s="157"/>
      <c r="D2441" s="157"/>
    </row>
    <row r="2442" spans="1:4" x14ac:dyDescent="0.3">
      <c r="A2442" s="157"/>
      <c r="B2442" s="157"/>
      <c r="C2442" s="157"/>
      <c r="D2442" s="157"/>
    </row>
    <row r="2443" spans="1:4" x14ac:dyDescent="0.3">
      <c r="A2443" s="157"/>
      <c r="B2443" s="157"/>
      <c r="C2443" s="157"/>
      <c r="D2443" s="157"/>
    </row>
    <row r="2444" spans="1:4" x14ac:dyDescent="0.3">
      <c r="A2444" s="157"/>
      <c r="B2444" s="157"/>
      <c r="C2444" s="157"/>
      <c r="D2444" s="157"/>
    </row>
    <row r="2445" spans="1:4" x14ac:dyDescent="0.3">
      <c r="A2445" s="157"/>
      <c r="B2445" s="157"/>
      <c r="C2445" s="157"/>
      <c r="D2445" s="157"/>
    </row>
    <row r="2446" spans="1:4" x14ac:dyDescent="0.3">
      <c r="A2446" s="157"/>
      <c r="B2446" s="157"/>
      <c r="C2446" s="157"/>
      <c r="D2446" s="157"/>
    </row>
    <row r="2447" spans="1:4" x14ac:dyDescent="0.3">
      <c r="A2447" s="157"/>
      <c r="B2447" s="157"/>
      <c r="C2447" s="157"/>
      <c r="D2447" s="157"/>
    </row>
    <row r="2448" spans="1:4" x14ac:dyDescent="0.3">
      <c r="A2448" s="157"/>
      <c r="B2448" s="157"/>
      <c r="C2448" s="157"/>
      <c r="D2448" s="157"/>
    </row>
    <row r="2449" spans="1:4" x14ac:dyDescent="0.3">
      <c r="A2449" s="157"/>
      <c r="B2449" s="157"/>
      <c r="C2449" s="157"/>
      <c r="D2449" s="157"/>
    </row>
    <row r="2450" spans="1:4" x14ac:dyDescent="0.3">
      <c r="A2450" s="157"/>
      <c r="B2450" s="157"/>
      <c r="C2450" s="157"/>
      <c r="D2450" s="157"/>
    </row>
    <row r="2451" spans="1:4" x14ac:dyDescent="0.3">
      <c r="A2451" s="157"/>
      <c r="B2451" s="157"/>
      <c r="C2451" s="157"/>
      <c r="D2451" s="157"/>
    </row>
    <row r="2452" spans="1:4" x14ac:dyDescent="0.3">
      <c r="A2452" s="157"/>
      <c r="B2452" s="157"/>
      <c r="C2452" s="157"/>
      <c r="D2452" s="157"/>
    </row>
    <row r="2453" spans="1:4" x14ac:dyDescent="0.3">
      <c r="A2453" s="157"/>
      <c r="B2453" s="157"/>
      <c r="C2453" s="157"/>
      <c r="D2453" s="157"/>
    </row>
    <row r="2454" spans="1:4" x14ac:dyDescent="0.3">
      <c r="A2454" s="157"/>
      <c r="B2454" s="157"/>
      <c r="C2454" s="157"/>
      <c r="D2454" s="157"/>
    </row>
    <row r="2455" spans="1:4" x14ac:dyDescent="0.3">
      <c r="A2455" s="157"/>
      <c r="B2455" s="157"/>
      <c r="C2455" s="157"/>
      <c r="D2455" s="157"/>
    </row>
    <row r="2456" spans="1:4" x14ac:dyDescent="0.3">
      <c r="A2456" s="157"/>
      <c r="B2456" s="157"/>
      <c r="C2456" s="157"/>
      <c r="D2456" s="157"/>
    </row>
    <row r="2457" spans="1:4" x14ac:dyDescent="0.3">
      <c r="A2457" s="157"/>
      <c r="B2457" s="157"/>
      <c r="C2457" s="157"/>
      <c r="D2457" s="157"/>
    </row>
    <row r="2458" spans="1:4" x14ac:dyDescent="0.3">
      <c r="A2458" s="157"/>
      <c r="B2458" s="157"/>
      <c r="C2458" s="157"/>
      <c r="D2458" s="157"/>
    </row>
    <row r="2459" spans="1:4" x14ac:dyDescent="0.3">
      <c r="A2459" s="157"/>
      <c r="B2459" s="157"/>
      <c r="C2459" s="157"/>
      <c r="D2459" s="157"/>
    </row>
    <row r="2460" spans="1:4" x14ac:dyDescent="0.3">
      <c r="A2460" s="157"/>
      <c r="B2460" s="157"/>
      <c r="C2460" s="157"/>
      <c r="D2460" s="157"/>
    </row>
    <row r="2461" spans="1:4" x14ac:dyDescent="0.3">
      <c r="A2461" s="157"/>
      <c r="B2461" s="157"/>
      <c r="C2461" s="157"/>
      <c r="D2461" s="157"/>
    </row>
    <row r="2462" spans="1:4" x14ac:dyDescent="0.3">
      <c r="A2462" s="157"/>
      <c r="B2462" s="157"/>
      <c r="C2462" s="157"/>
      <c r="D2462" s="157"/>
    </row>
    <row r="2463" spans="1:4" x14ac:dyDescent="0.3">
      <c r="A2463" s="157"/>
      <c r="B2463" s="157"/>
      <c r="C2463" s="157"/>
      <c r="D2463" s="157"/>
    </row>
    <row r="2464" spans="1:4" x14ac:dyDescent="0.3">
      <c r="A2464" s="157"/>
      <c r="B2464" s="157"/>
      <c r="C2464" s="157"/>
      <c r="D2464" s="157"/>
    </row>
    <row r="2465" spans="1:4" x14ac:dyDescent="0.3">
      <c r="A2465" s="157"/>
      <c r="B2465" s="157"/>
      <c r="C2465" s="157"/>
      <c r="D2465" s="157"/>
    </row>
    <row r="2466" spans="1:4" x14ac:dyDescent="0.3">
      <c r="A2466" s="157"/>
      <c r="B2466" s="157"/>
      <c r="C2466" s="157"/>
      <c r="D2466" s="157"/>
    </row>
    <row r="2467" spans="1:4" x14ac:dyDescent="0.3">
      <c r="A2467" s="157"/>
      <c r="B2467" s="157"/>
      <c r="C2467" s="157"/>
      <c r="D2467" s="157"/>
    </row>
    <row r="2468" spans="1:4" x14ac:dyDescent="0.3">
      <c r="A2468" s="157"/>
      <c r="B2468" s="157"/>
      <c r="C2468" s="157"/>
      <c r="D2468" s="157"/>
    </row>
    <row r="2469" spans="1:4" x14ac:dyDescent="0.3">
      <c r="A2469" s="157"/>
      <c r="B2469" s="157"/>
      <c r="C2469" s="157"/>
      <c r="D2469" s="157"/>
    </row>
    <row r="2470" spans="1:4" x14ac:dyDescent="0.3">
      <c r="A2470" s="157"/>
      <c r="B2470" s="157"/>
      <c r="C2470" s="157"/>
      <c r="D2470" s="157"/>
    </row>
    <row r="2471" spans="1:4" x14ac:dyDescent="0.3">
      <c r="A2471" s="157"/>
      <c r="B2471" s="157"/>
      <c r="C2471" s="157"/>
      <c r="D2471" s="157"/>
    </row>
    <row r="2472" spans="1:4" x14ac:dyDescent="0.3">
      <c r="A2472" s="157"/>
      <c r="B2472" s="157"/>
      <c r="C2472" s="157"/>
      <c r="D2472" s="157"/>
    </row>
    <row r="2473" spans="1:4" x14ac:dyDescent="0.3">
      <c r="A2473" s="157"/>
      <c r="B2473" s="157"/>
      <c r="C2473" s="157"/>
      <c r="D2473" s="157"/>
    </row>
    <row r="2474" spans="1:4" x14ac:dyDescent="0.3">
      <c r="A2474" s="157"/>
      <c r="B2474" s="157"/>
      <c r="C2474" s="157"/>
      <c r="D2474" s="157"/>
    </row>
    <row r="2475" spans="1:4" x14ac:dyDescent="0.3">
      <c r="A2475" s="157"/>
      <c r="B2475" s="157"/>
      <c r="C2475" s="157"/>
      <c r="D2475" s="157"/>
    </row>
    <row r="2476" spans="1:4" x14ac:dyDescent="0.3">
      <c r="A2476" s="157"/>
      <c r="B2476" s="157"/>
      <c r="C2476" s="157"/>
      <c r="D2476" s="157"/>
    </row>
    <row r="2477" spans="1:4" x14ac:dyDescent="0.3">
      <c r="A2477" s="157"/>
      <c r="B2477" s="157"/>
      <c r="C2477" s="157"/>
      <c r="D2477" s="157"/>
    </row>
    <row r="2478" spans="1:4" x14ac:dyDescent="0.3">
      <c r="A2478" s="157"/>
      <c r="B2478" s="157"/>
      <c r="C2478" s="157"/>
      <c r="D2478" s="157"/>
    </row>
    <row r="2479" spans="1:4" x14ac:dyDescent="0.3">
      <c r="A2479" s="157"/>
      <c r="B2479" s="157"/>
      <c r="C2479" s="157"/>
      <c r="D2479" s="157"/>
    </row>
    <row r="2480" spans="1:4" x14ac:dyDescent="0.3">
      <c r="A2480" s="157"/>
      <c r="B2480" s="157"/>
      <c r="C2480" s="157"/>
      <c r="D2480" s="157"/>
    </row>
    <row r="2481" spans="1:4" x14ac:dyDescent="0.3">
      <c r="A2481" s="157"/>
      <c r="B2481" s="157"/>
      <c r="C2481" s="157"/>
      <c r="D2481" s="157"/>
    </row>
    <row r="2482" spans="1:4" x14ac:dyDescent="0.3">
      <c r="A2482" s="157"/>
      <c r="B2482" s="157"/>
      <c r="C2482" s="157"/>
      <c r="D2482" s="157"/>
    </row>
    <row r="2483" spans="1:4" x14ac:dyDescent="0.3">
      <c r="A2483" s="157"/>
      <c r="B2483" s="157"/>
      <c r="C2483" s="157"/>
      <c r="D2483" s="157"/>
    </row>
    <row r="2484" spans="1:4" x14ac:dyDescent="0.3">
      <c r="A2484" s="157"/>
      <c r="B2484" s="157"/>
      <c r="C2484" s="157"/>
      <c r="D2484" s="157"/>
    </row>
    <row r="2485" spans="1:4" x14ac:dyDescent="0.3">
      <c r="A2485" s="157"/>
      <c r="B2485" s="157"/>
      <c r="C2485" s="157"/>
      <c r="D2485" s="157"/>
    </row>
    <row r="2486" spans="1:4" x14ac:dyDescent="0.3">
      <c r="A2486" s="157"/>
      <c r="B2486" s="157"/>
      <c r="C2486" s="157"/>
      <c r="D2486" s="157"/>
    </row>
    <row r="2487" spans="1:4" x14ac:dyDescent="0.3">
      <c r="A2487" s="157"/>
      <c r="B2487" s="157"/>
      <c r="C2487" s="157"/>
      <c r="D2487" s="157"/>
    </row>
    <row r="2488" spans="1:4" x14ac:dyDescent="0.3">
      <c r="A2488" s="157"/>
      <c r="B2488" s="157"/>
      <c r="C2488" s="157"/>
      <c r="D2488" s="157"/>
    </row>
    <row r="2489" spans="1:4" x14ac:dyDescent="0.3">
      <c r="A2489" s="157"/>
      <c r="B2489" s="157"/>
      <c r="C2489" s="157"/>
      <c r="D2489" s="157"/>
    </row>
    <row r="2490" spans="1:4" x14ac:dyDescent="0.3">
      <c r="A2490" s="157"/>
      <c r="B2490" s="157"/>
      <c r="C2490" s="157"/>
      <c r="D2490" s="157"/>
    </row>
    <row r="2491" spans="1:4" x14ac:dyDescent="0.3">
      <c r="A2491" s="157"/>
      <c r="B2491" s="157"/>
      <c r="C2491" s="157"/>
      <c r="D2491" s="157"/>
    </row>
    <row r="2492" spans="1:4" x14ac:dyDescent="0.3">
      <c r="A2492" s="157"/>
      <c r="B2492" s="157"/>
      <c r="C2492" s="157"/>
      <c r="D2492" s="157"/>
    </row>
    <row r="2493" spans="1:4" x14ac:dyDescent="0.3">
      <c r="A2493" s="157"/>
      <c r="B2493" s="157"/>
      <c r="C2493" s="157"/>
      <c r="D2493" s="157"/>
    </row>
    <row r="2494" spans="1:4" x14ac:dyDescent="0.3">
      <c r="A2494" s="157"/>
      <c r="B2494" s="157"/>
      <c r="C2494" s="157"/>
      <c r="D2494" s="157"/>
    </row>
    <row r="2495" spans="1:4" x14ac:dyDescent="0.3">
      <c r="A2495" s="157"/>
      <c r="B2495" s="157"/>
      <c r="C2495" s="157"/>
      <c r="D2495" s="157"/>
    </row>
    <row r="2496" spans="1:4" x14ac:dyDescent="0.3">
      <c r="A2496" s="157"/>
      <c r="B2496" s="157"/>
      <c r="C2496" s="157"/>
      <c r="D2496" s="157"/>
    </row>
    <row r="2497" spans="1:4" x14ac:dyDescent="0.3">
      <c r="A2497" s="157"/>
      <c r="B2497" s="157"/>
      <c r="C2497" s="157"/>
      <c r="D2497" s="157"/>
    </row>
    <row r="2498" spans="1:4" x14ac:dyDescent="0.3">
      <c r="A2498" s="157"/>
      <c r="B2498" s="157"/>
      <c r="C2498" s="157"/>
      <c r="D2498" s="157"/>
    </row>
    <row r="2499" spans="1:4" x14ac:dyDescent="0.3">
      <c r="A2499" s="157"/>
      <c r="B2499" s="157"/>
      <c r="C2499" s="157"/>
      <c r="D2499" s="157"/>
    </row>
    <row r="2500" spans="1:4" x14ac:dyDescent="0.3">
      <c r="A2500" s="157"/>
      <c r="B2500" s="157"/>
      <c r="C2500" s="157"/>
      <c r="D2500" s="157"/>
    </row>
    <row r="2501" spans="1:4" x14ac:dyDescent="0.3">
      <c r="A2501" s="157"/>
      <c r="B2501" s="157"/>
      <c r="C2501" s="157"/>
      <c r="D2501" s="157"/>
    </row>
    <row r="2502" spans="1:4" x14ac:dyDescent="0.3">
      <c r="A2502" s="157"/>
      <c r="B2502" s="157"/>
      <c r="C2502" s="157"/>
      <c r="D2502" s="157"/>
    </row>
    <row r="2503" spans="1:4" x14ac:dyDescent="0.3">
      <c r="A2503" s="157"/>
      <c r="B2503" s="157"/>
      <c r="C2503" s="157"/>
      <c r="D2503" s="157"/>
    </row>
    <row r="2504" spans="1:4" x14ac:dyDescent="0.3">
      <c r="A2504" s="157"/>
      <c r="B2504" s="157"/>
      <c r="C2504" s="157"/>
      <c r="D2504" s="157"/>
    </row>
    <row r="2505" spans="1:4" x14ac:dyDescent="0.3">
      <c r="A2505" s="157"/>
      <c r="B2505" s="157"/>
      <c r="C2505" s="157"/>
      <c r="D2505" s="157"/>
    </row>
    <row r="2506" spans="1:4" x14ac:dyDescent="0.3">
      <c r="A2506" s="157"/>
      <c r="B2506" s="157"/>
      <c r="C2506" s="157"/>
      <c r="D2506" s="157"/>
    </row>
    <row r="2507" spans="1:4" x14ac:dyDescent="0.3">
      <c r="A2507" s="157"/>
      <c r="B2507" s="157"/>
      <c r="C2507" s="157"/>
      <c r="D2507" s="157"/>
    </row>
    <row r="2508" spans="1:4" x14ac:dyDescent="0.3">
      <c r="A2508" s="157"/>
      <c r="B2508" s="157"/>
      <c r="C2508" s="157"/>
      <c r="D2508" s="157"/>
    </row>
    <row r="2509" spans="1:4" x14ac:dyDescent="0.3">
      <c r="A2509" s="157"/>
      <c r="B2509" s="157"/>
      <c r="C2509" s="157"/>
      <c r="D2509" s="157"/>
    </row>
    <row r="2510" spans="1:4" x14ac:dyDescent="0.3">
      <c r="A2510" s="157"/>
      <c r="B2510" s="157"/>
      <c r="C2510" s="157"/>
      <c r="D2510" s="157"/>
    </row>
    <row r="2511" spans="1:4" x14ac:dyDescent="0.3">
      <c r="A2511" s="157"/>
      <c r="B2511" s="157"/>
      <c r="C2511" s="157"/>
      <c r="D2511" s="157"/>
    </row>
    <row r="2512" spans="1:4" x14ac:dyDescent="0.3">
      <c r="A2512" s="157"/>
      <c r="B2512" s="157"/>
      <c r="C2512" s="157"/>
      <c r="D2512" s="157"/>
    </row>
    <row r="2513" spans="1:4" x14ac:dyDescent="0.3">
      <c r="A2513" s="157"/>
      <c r="B2513" s="157"/>
      <c r="C2513" s="157"/>
      <c r="D2513" s="157"/>
    </row>
    <row r="2514" spans="1:4" x14ac:dyDescent="0.3">
      <c r="A2514" s="157"/>
      <c r="B2514" s="157"/>
      <c r="C2514" s="157"/>
      <c r="D2514" s="157"/>
    </row>
    <row r="2515" spans="1:4" x14ac:dyDescent="0.3">
      <c r="A2515" s="157"/>
      <c r="B2515" s="157"/>
      <c r="C2515" s="157"/>
      <c r="D2515" s="157"/>
    </row>
    <row r="2516" spans="1:4" x14ac:dyDescent="0.3">
      <c r="A2516" s="157"/>
      <c r="B2516" s="157"/>
      <c r="C2516" s="157"/>
      <c r="D2516" s="157"/>
    </row>
    <row r="2517" spans="1:4" x14ac:dyDescent="0.3">
      <c r="A2517" s="157"/>
      <c r="B2517" s="157"/>
      <c r="C2517" s="157"/>
      <c r="D2517" s="157"/>
    </row>
    <row r="2518" spans="1:4" x14ac:dyDescent="0.3">
      <c r="A2518" s="157"/>
      <c r="B2518" s="157"/>
      <c r="C2518" s="157"/>
      <c r="D2518" s="157"/>
    </row>
    <row r="2519" spans="1:4" x14ac:dyDescent="0.3">
      <c r="A2519" s="157"/>
      <c r="B2519" s="157"/>
      <c r="C2519" s="157"/>
      <c r="D2519" s="157"/>
    </row>
    <row r="2520" spans="1:4" x14ac:dyDescent="0.3">
      <c r="A2520" s="157"/>
      <c r="B2520" s="157"/>
      <c r="C2520" s="157"/>
      <c r="D2520" s="157"/>
    </row>
    <row r="2521" spans="1:4" x14ac:dyDescent="0.3">
      <c r="A2521" s="157"/>
      <c r="B2521" s="157"/>
      <c r="C2521" s="157"/>
      <c r="D2521" s="157"/>
    </row>
    <row r="2522" spans="1:4" x14ac:dyDescent="0.3">
      <c r="A2522" s="157"/>
      <c r="B2522" s="157"/>
      <c r="C2522" s="157"/>
      <c r="D2522" s="157"/>
    </row>
    <row r="2523" spans="1:4" x14ac:dyDescent="0.3">
      <c r="A2523" s="157"/>
      <c r="B2523" s="157"/>
      <c r="C2523" s="157"/>
      <c r="D2523" s="157"/>
    </row>
    <row r="2524" spans="1:4" x14ac:dyDescent="0.3">
      <c r="A2524" s="157"/>
      <c r="B2524" s="157"/>
      <c r="C2524" s="157"/>
      <c r="D2524" s="157"/>
    </row>
    <row r="2525" spans="1:4" x14ac:dyDescent="0.3">
      <c r="A2525" s="157"/>
      <c r="B2525" s="157"/>
      <c r="C2525" s="157"/>
      <c r="D2525" s="157"/>
    </row>
    <row r="2526" spans="1:4" x14ac:dyDescent="0.3">
      <c r="A2526" s="157"/>
      <c r="B2526" s="157"/>
      <c r="C2526" s="157"/>
      <c r="D2526" s="157"/>
    </row>
    <row r="2527" spans="1:4" x14ac:dyDescent="0.3">
      <c r="A2527" s="157"/>
      <c r="B2527" s="157"/>
      <c r="C2527" s="157"/>
      <c r="D2527" s="157"/>
    </row>
    <row r="2528" spans="1:4" x14ac:dyDescent="0.3">
      <c r="A2528" s="157"/>
      <c r="B2528" s="157"/>
      <c r="C2528" s="157"/>
      <c r="D2528" s="157"/>
    </row>
    <row r="2529" spans="1:4" x14ac:dyDescent="0.3">
      <c r="A2529" s="157"/>
      <c r="B2529" s="157"/>
      <c r="C2529" s="157"/>
      <c r="D2529" s="157"/>
    </row>
    <row r="2530" spans="1:4" x14ac:dyDescent="0.3">
      <c r="A2530" s="157"/>
      <c r="B2530" s="157"/>
      <c r="C2530" s="157"/>
      <c r="D2530" s="157"/>
    </row>
    <row r="2531" spans="1:4" x14ac:dyDescent="0.3">
      <c r="A2531" s="157"/>
      <c r="B2531" s="157"/>
      <c r="C2531" s="157"/>
      <c r="D2531" s="157"/>
    </row>
    <row r="2532" spans="1:4" x14ac:dyDescent="0.3">
      <c r="A2532" s="157"/>
      <c r="B2532" s="157"/>
      <c r="C2532" s="157"/>
      <c r="D2532" s="157"/>
    </row>
    <row r="2533" spans="1:4" x14ac:dyDescent="0.3">
      <c r="A2533" s="157"/>
      <c r="B2533" s="157"/>
      <c r="C2533" s="157"/>
      <c r="D2533" s="157"/>
    </row>
    <row r="2534" spans="1:4" x14ac:dyDescent="0.3">
      <c r="A2534" s="157"/>
      <c r="B2534" s="157"/>
      <c r="C2534" s="157"/>
      <c r="D2534" s="157"/>
    </row>
    <row r="2535" spans="1:4" x14ac:dyDescent="0.3">
      <c r="A2535" s="157"/>
      <c r="B2535" s="157"/>
      <c r="C2535" s="157"/>
      <c r="D2535" s="157"/>
    </row>
    <row r="2536" spans="1:4" x14ac:dyDescent="0.3">
      <c r="A2536" s="157"/>
      <c r="B2536" s="157"/>
      <c r="C2536" s="157"/>
      <c r="D2536" s="157"/>
    </row>
    <row r="2537" spans="1:4" x14ac:dyDescent="0.3">
      <c r="A2537" s="157"/>
      <c r="B2537" s="157"/>
      <c r="C2537" s="157"/>
      <c r="D2537" s="157"/>
    </row>
    <row r="2538" spans="1:4" x14ac:dyDescent="0.3">
      <c r="A2538" s="157"/>
      <c r="B2538" s="157"/>
      <c r="C2538" s="157"/>
      <c r="D2538" s="157"/>
    </row>
    <row r="2539" spans="1:4" x14ac:dyDescent="0.3">
      <c r="A2539" s="157"/>
      <c r="B2539" s="157"/>
      <c r="C2539" s="157"/>
      <c r="D2539" s="157"/>
    </row>
    <row r="2540" spans="1:4" x14ac:dyDescent="0.3">
      <c r="A2540" s="157"/>
      <c r="B2540" s="157"/>
      <c r="C2540" s="157"/>
      <c r="D2540" s="157"/>
    </row>
    <row r="2541" spans="1:4" x14ac:dyDescent="0.3">
      <c r="A2541" s="157"/>
      <c r="B2541" s="157"/>
      <c r="C2541" s="157"/>
      <c r="D2541" s="157"/>
    </row>
    <row r="2542" spans="1:4" x14ac:dyDescent="0.3">
      <c r="A2542" s="157"/>
      <c r="B2542" s="157"/>
      <c r="C2542" s="157"/>
      <c r="D2542" s="157"/>
    </row>
    <row r="2543" spans="1:4" x14ac:dyDescent="0.3">
      <c r="A2543" s="157"/>
      <c r="B2543" s="157"/>
      <c r="C2543" s="157"/>
      <c r="D2543" s="157"/>
    </row>
    <row r="2544" spans="1:4" x14ac:dyDescent="0.3">
      <c r="A2544" s="157"/>
      <c r="B2544" s="157"/>
      <c r="C2544" s="157"/>
      <c r="D2544" s="157"/>
    </row>
    <row r="2545" spans="1:4" x14ac:dyDescent="0.3">
      <c r="A2545" s="157"/>
      <c r="B2545" s="157"/>
      <c r="C2545" s="157"/>
      <c r="D2545" s="157"/>
    </row>
    <row r="2546" spans="1:4" x14ac:dyDescent="0.3">
      <c r="A2546" s="157"/>
      <c r="B2546" s="157"/>
      <c r="C2546" s="157"/>
      <c r="D2546" s="157"/>
    </row>
    <row r="2547" spans="1:4" x14ac:dyDescent="0.3">
      <c r="A2547" s="157"/>
      <c r="B2547" s="157"/>
      <c r="C2547" s="157"/>
      <c r="D2547" s="157"/>
    </row>
    <row r="2548" spans="1:4" x14ac:dyDescent="0.3">
      <c r="A2548" s="157"/>
      <c r="B2548" s="157"/>
      <c r="C2548" s="157"/>
      <c r="D2548" s="157"/>
    </row>
    <row r="2549" spans="1:4" x14ac:dyDescent="0.3">
      <c r="A2549" s="157"/>
      <c r="B2549" s="157"/>
      <c r="C2549" s="157"/>
      <c r="D2549" s="157"/>
    </row>
    <row r="2550" spans="1:4" x14ac:dyDescent="0.3">
      <c r="A2550" s="157"/>
      <c r="B2550" s="157"/>
      <c r="C2550" s="157"/>
      <c r="D2550" s="157"/>
    </row>
    <row r="2551" spans="1:4" x14ac:dyDescent="0.3">
      <c r="A2551" s="157"/>
      <c r="B2551" s="157"/>
      <c r="C2551" s="157"/>
      <c r="D2551" s="157"/>
    </row>
    <row r="2552" spans="1:4" x14ac:dyDescent="0.3">
      <c r="A2552" s="157"/>
      <c r="B2552" s="157"/>
      <c r="C2552" s="157"/>
      <c r="D2552" s="157"/>
    </row>
    <row r="2553" spans="1:4" x14ac:dyDescent="0.3">
      <c r="A2553" s="157"/>
      <c r="B2553" s="157"/>
      <c r="C2553" s="157"/>
      <c r="D2553" s="157"/>
    </row>
    <row r="2554" spans="1:4" x14ac:dyDescent="0.3">
      <c r="A2554" s="157"/>
      <c r="B2554" s="157"/>
      <c r="C2554" s="157"/>
      <c r="D2554" s="157"/>
    </row>
    <row r="2555" spans="1:4" x14ac:dyDescent="0.3">
      <c r="A2555" s="157"/>
      <c r="B2555" s="157"/>
      <c r="C2555" s="157"/>
      <c r="D2555" s="157"/>
    </row>
    <row r="2556" spans="1:4" x14ac:dyDescent="0.3">
      <c r="A2556" s="157"/>
      <c r="B2556" s="157"/>
      <c r="C2556" s="157"/>
      <c r="D2556" s="157"/>
    </row>
    <row r="2557" spans="1:4" x14ac:dyDescent="0.3">
      <c r="A2557" s="157"/>
      <c r="B2557" s="157"/>
      <c r="C2557" s="157"/>
      <c r="D2557" s="157"/>
    </row>
    <row r="2558" spans="1:4" x14ac:dyDescent="0.3">
      <c r="A2558" s="157"/>
      <c r="B2558" s="157"/>
      <c r="C2558" s="157"/>
      <c r="D2558" s="157"/>
    </row>
    <row r="2559" spans="1:4" x14ac:dyDescent="0.3">
      <c r="A2559" s="157"/>
      <c r="B2559" s="157"/>
      <c r="C2559" s="157"/>
      <c r="D2559" s="157"/>
    </row>
    <row r="2560" spans="1:4" x14ac:dyDescent="0.3">
      <c r="A2560" s="157"/>
      <c r="B2560" s="157"/>
      <c r="C2560" s="157"/>
      <c r="D2560" s="157"/>
    </row>
    <row r="2561" spans="1:4" x14ac:dyDescent="0.3">
      <c r="A2561" s="157"/>
      <c r="B2561" s="157"/>
      <c r="C2561" s="157"/>
      <c r="D2561" s="157"/>
    </row>
    <row r="2562" spans="1:4" x14ac:dyDescent="0.3">
      <c r="A2562" s="157"/>
      <c r="B2562" s="157"/>
      <c r="C2562" s="157"/>
      <c r="D2562" s="157"/>
    </row>
    <row r="2563" spans="1:4" x14ac:dyDescent="0.3">
      <c r="A2563" s="157"/>
      <c r="B2563" s="157"/>
      <c r="C2563" s="157"/>
      <c r="D2563" s="157"/>
    </row>
    <row r="2564" spans="1:4" x14ac:dyDescent="0.3">
      <c r="A2564" s="157"/>
      <c r="B2564" s="157"/>
      <c r="C2564" s="157"/>
      <c r="D2564" s="157"/>
    </row>
    <row r="2565" spans="1:4" x14ac:dyDescent="0.3">
      <c r="A2565" s="157"/>
      <c r="B2565" s="157"/>
      <c r="C2565" s="157"/>
      <c r="D2565" s="157"/>
    </row>
    <row r="2566" spans="1:4" x14ac:dyDescent="0.3">
      <c r="A2566" s="157"/>
      <c r="B2566" s="157"/>
      <c r="C2566" s="157"/>
      <c r="D2566" s="157"/>
    </row>
    <row r="2567" spans="1:4" x14ac:dyDescent="0.3">
      <c r="A2567" s="157"/>
      <c r="B2567" s="157"/>
      <c r="C2567" s="157"/>
      <c r="D2567" s="157"/>
    </row>
    <row r="2568" spans="1:4" x14ac:dyDescent="0.3">
      <c r="A2568" s="157"/>
      <c r="B2568" s="157"/>
      <c r="C2568" s="157"/>
      <c r="D2568" s="157"/>
    </row>
    <row r="2569" spans="1:4" x14ac:dyDescent="0.3">
      <c r="A2569" s="157"/>
      <c r="B2569" s="157"/>
      <c r="C2569" s="157"/>
      <c r="D2569" s="157"/>
    </row>
    <row r="2570" spans="1:4" x14ac:dyDescent="0.3">
      <c r="A2570" s="157"/>
      <c r="B2570" s="157"/>
      <c r="C2570" s="157"/>
      <c r="D2570" s="157"/>
    </row>
    <row r="2571" spans="1:4" x14ac:dyDescent="0.3">
      <c r="A2571" s="157"/>
      <c r="B2571" s="157"/>
      <c r="C2571" s="157"/>
      <c r="D2571" s="157"/>
    </row>
    <row r="2572" spans="1:4" x14ac:dyDescent="0.3">
      <c r="A2572" s="157"/>
      <c r="B2572" s="157"/>
      <c r="C2572" s="157"/>
      <c r="D2572" s="157"/>
    </row>
    <row r="2573" spans="1:4" x14ac:dyDescent="0.3">
      <c r="A2573" s="157"/>
      <c r="B2573" s="157"/>
      <c r="C2573" s="157"/>
      <c r="D2573" s="157"/>
    </row>
    <row r="2574" spans="1:4" x14ac:dyDescent="0.3">
      <c r="A2574" s="157"/>
      <c r="B2574" s="157"/>
      <c r="C2574" s="157"/>
      <c r="D2574" s="157"/>
    </row>
    <row r="2575" spans="1:4" x14ac:dyDescent="0.3">
      <c r="A2575" s="157"/>
      <c r="B2575" s="157"/>
      <c r="C2575" s="157"/>
      <c r="D2575" s="157"/>
    </row>
    <row r="2576" spans="1:4" x14ac:dyDescent="0.3">
      <c r="A2576" s="157"/>
      <c r="B2576" s="157"/>
      <c r="C2576" s="157"/>
      <c r="D2576" s="157"/>
    </row>
    <row r="2577" spans="1:4" x14ac:dyDescent="0.3">
      <c r="A2577" s="157"/>
      <c r="B2577" s="157"/>
      <c r="C2577" s="157"/>
      <c r="D2577" s="157"/>
    </row>
    <row r="2578" spans="1:4" x14ac:dyDescent="0.3">
      <c r="A2578" s="157"/>
      <c r="B2578" s="157"/>
      <c r="C2578" s="157"/>
      <c r="D2578" s="157"/>
    </row>
    <row r="2579" spans="1:4" x14ac:dyDescent="0.3">
      <c r="A2579" s="157"/>
      <c r="B2579" s="157"/>
      <c r="C2579" s="157"/>
      <c r="D2579" s="157"/>
    </row>
    <row r="2580" spans="1:4" x14ac:dyDescent="0.3">
      <c r="A2580" s="157"/>
      <c r="B2580" s="157"/>
      <c r="C2580" s="157"/>
      <c r="D2580" s="157"/>
    </row>
    <row r="2581" spans="1:4" x14ac:dyDescent="0.3">
      <c r="A2581" s="157"/>
      <c r="B2581" s="157"/>
      <c r="C2581" s="157"/>
      <c r="D2581" s="157"/>
    </row>
    <row r="2582" spans="1:4" x14ac:dyDescent="0.3">
      <c r="A2582" s="157"/>
      <c r="B2582" s="157"/>
      <c r="C2582" s="157"/>
      <c r="D2582" s="157"/>
    </row>
    <row r="2583" spans="1:4" x14ac:dyDescent="0.3">
      <c r="A2583" s="157"/>
      <c r="B2583" s="157"/>
      <c r="C2583" s="157"/>
      <c r="D2583" s="157"/>
    </row>
    <row r="2584" spans="1:4" x14ac:dyDescent="0.3">
      <c r="A2584" s="157"/>
      <c r="B2584" s="157"/>
      <c r="C2584" s="157"/>
      <c r="D2584" s="157"/>
    </row>
    <row r="2585" spans="1:4" x14ac:dyDescent="0.3">
      <c r="A2585" s="157"/>
      <c r="B2585" s="157"/>
      <c r="C2585" s="157"/>
      <c r="D2585" s="157"/>
    </row>
    <row r="2586" spans="1:4" x14ac:dyDescent="0.3">
      <c r="A2586" s="157"/>
      <c r="B2586" s="157"/>
      <c r="C2586" s="157"/>
      <c r="D2586" s="157"/>
    </row>
    <row r="2587" spans="1:4" x14ac:dyDescent="0.3">
      <c r="A2587" s="157"/>
      <c r="B2587" s="157"/>
      <c r="C2587" s="157"/>
      <c r="D2587" s="157"/>
    </row>
    <row r="2588" spans="1:4" x14ac:dyDescent="0.3">
      <c r="A2588" s="157"/>
      <c r="B2588" s="157"/>
      <c r="C2588" s="157"/>
      <c r="D2588" s="157"/>
    </row>
    <row r="2589" spans="1:4" x14ac:dyDescent="0.3">
      <c r="A2589" s="157"/>
      <c r="B2589" s="157"/>
      <c r="C2589" s="157"/>
      <c r="D2589" s="157"/>
    </row>
    <row r="2590" spans="1:4" x14ac:dyDescent="0.3">
      <c r="A2590" s="157"/>
      <c r="B2590" s="157"/>
      <c r="C2590" s="157"/>
      <c r="D2590" s="157"/>
    </row>
    <row r="2591" spans="1:4" x14ac:dyDescent="0.3">
      <c r="A2591" s="157"/>
      <c r="B2591" s="157"/>
      <c r="C2591" s="157"/>
      <c r="D2591" s="157"/>
    </row>
    <row r="2592" spans="1:4" x14ac:dyDescent="0.3">
      <c r="A2592" s="157"/>
      <c r="B2592" s="157"/>
      <c r="C2592" s="157"/>
      <c r="D2592" s="157"/>
    </row>
    <row r="2593" spans="1:4" x14ac:dyDescent="0.3">
      <c r="A2593" s="157"/>
      <c r="B2593" s="157"/>
      <c r="C2593" s="157"/>
      <c r="D2593" s="157"/>
    </row>
    <row r="2594" spans="1:4" x14ac:dyDescent="0.3">
      <c r="A2594" s="157"/>
      <c r="B2594" s="157"/>
      <c r="C2594" s="157"/>
      <c r="D2594" s="157"/>
    </row>
    <row r="2595" spans="1:4" x14ac:dyDescent="0.3">
      <c r="A2595" s="157"/>
      <c r="B2595" s="157"/>
      <c r="C2595" s="157"/>
      <c r="D2595" s="157"/>
    </row>
    <row r="2596" spans="1:4" x14ac:dyDescent="0.3">
      <c r="A2596" s="157"/>
      <c r="B2596" s="157"/>
      <c r="C2596" s="157"/>
      <c r="D2596" s="157"/>
    </row>
    <row r="2597" spans="1:4" x14ac:dyDescent="0.3">
      <c r="A2597" s="157"/>
      <c r="B2597" s="157"/>
      <c r="C2597" s="157"/>
      <c r="D2597" s="157"/>
    </row>
    <row r="2598" spans="1:4" x14ac:dyDescent="0.3">
      <c r="A2598" s="157"/>
      <c r="B2598" s="157"/>
      <c r="C2598" s="157"/>
      <c r="D2598" s="157"/>
    </row>
    <row r="2599" spans="1:4" x14ac:dyDescent="0.3">
      <c r="A2599" s="157"/>
      <c r="B2599" s="157"/>
      <c r="C2599" s="157"/>
      <c r="D2599" s="157"/>
    </row>
    <row r="2600" spans="1:4" x14ac:dyDescent="0.3">
      <c r="A2600" s="157"/>
      <c r="B2600" s="157"/>
      <c r="C2600" s="157"/>
      <c r="D2600" s="157"/>
    </row>
    <row r="2601" spans="1:4" x14ac:dyDescent="0.3">
      <c r="A2601" s="157"/>
      <c r="B2601" s="157"/>
      <c r="C2601" s="157"/>
      <c r="D2601" s="157"/>
    </row>
    <row r="2602" spans="1:4" x14ac:dyDescent="0.3">
      <c r="A2602" s="157"/>
      <c r="B2602" s="157"/>
      <c r="C2602" s="157"/>
      <c r="D2602" s="157"/>
    </row>
    <row r="2603" spans="1:4" x14ac:dyDescent="0.3">
      <c r="A2603" s="157"/>
      <c r="B2603" s="157"/>
      <c r="C2603" s="157"/>
      <c r="D2603" s="157"/>
    </row>
    <row r="2604" spans="1:4" x14ac:dyDescent="0.3">
      <c r="A2604" s="157"/>
      <c r="B2604" s="157"/>
      <c r="C2604" s="157"/>
      <c r="D2604" s="157"/>
    </row>
    <row r="2605" spans="1:4" x14ac:dyDescent="0.3">
      <c r="A2605" s="157"/>
      <c r="B2605" s="157"/>
      <c r="C2605" s="157"/>
      <c r="D2605" s="157"/>
    </row>
    <row r="2606" spans="1:4" x14ac:dyDescent="0.3">
      <c r="A2606" s="157"/>
      <c r="B2606" s="157"/>
      <c r="C2606" s="157"/>
      <c r="D2606" s="157"/>
    </row>
    <row r="2607" spans="1:4" x14ac:dyDescent="0.3">
      <c r="A2607" s="157"/>
      <c r="B2607" s="157"/>
      <c r="C2607" s="157"/>
      <c r="D2607" s="157"/>
    </row>
    <row r="2608" spans="1:4" x14ac:dyDescent="0.3">
      <c r="A2608" s="157"/>
      <c r="B2608" s="157"/>
      <c r="C2608" s="157"/>
      <c r="D2608" s="157"/>
    </row>
    <row r="2609" spans="1:4" x14ac:dyDescent="0.3">
      <c r="A2609" s="157"/>
      <c r="B2609" s="157"/>
      <c r="C2609" s="157"/>
      <c r="D2609" s="157"/>
    </row>
    <row r="2610" spans="1:4" x14ac:dyDescent="0.3">
      <c r="A2610" s="157"/>
      <c r="B2610" s="157"/>
      <c r="C2610" s="157"/>
      <c r="D2610" s="157"/>
    </row>
    <row r="2611" spans="1:4" x14ac:dyDescent="0.3">
      <c r="A2611" s="157"/>
      <c r="B2611" s="157"/>
      <c r="C2611" s="157"/>
      <c r="D2611" s="157"/>
    </row>
    <row r="2612" spans="1:4" x14ac:dyDescent="0.3">
      <c r="A2612" s="157"/>
      <c r="B2612" s="157"/>
      <c r="C2612" s="157"/>
      <c r="D2612" s="157"/>
    </row>
    <row r="2613" spans="1:4" x14ac:dyDescent="0.3">
      <c r="A2613" s="157"/>
      <c r="B2613" s="157"/>
      <c r="C2613" s="157"/>
      <c r="D2613" s="157"/>
    </row>
    <row r="2614" spans="1:4" x14ac:dyDescent="0.3">
      <c r="A2614" s="157"/>
      <c r="B2614" s="157"/>
      <c r="C2614" s="157"/>
      <c r="D2614" s="157"/>
    </row>
    <row r="2615" spans="1:4" x14ac:dyDescent="0.3">
      <c r="A2615" s="157"/>
      <c r="B2615" s="157"/>
      <c r="C2615" s="157"/>
      <c r="D2615" s="157"/>
    </row>
    <row r="2616" spans="1:4" x14ac:dyDescent="0.3">
      <c r="A2616" s="157"/>
      <c r="B2616" s="157"/>
      <c r="C2616" s="157"/>
      <c r="D2616" s="157"/>
    </row>
    <row r="2617" spans="1:4" x14ac:dyDescent="0.3">
      <c r="A2617" s="157"/>
      <c r="B2617" s="157"/>
      <c r="C2617" s="157"/>
      <c r="D2617" s="157"/>
    </row>
    <row r="2618" spans="1:4" x14ac:dyDescent="0.3">
      <c r="A2618" s="157"/>
      <c r="B2618" s="157"/>
      <c r="C2618" s="157"/>
      <c r="D2618" s="157"/>
    </row>
    <row r="2619" spans="1:4" x14ac:dyDescent="0.3">
      <c r="A2619" s="157"/>
      <c r="B2619" s="157"/>
      <c r="C2619" s="157"/>
      <c r="D2619" s="157"/>
    </row>
    <row r="2620" spans="1:4" x14ac:dyDescent="0.3">
      <c r="A2620" s="157"/>
      <c r="B2620" s="157"/>
      <c r="C2620" s="157"/>
      <c r="D2620" s="157"/>
    </row>
    <row r="2621" spans="1:4" x14ac:dyDescent="0.3">
      <c r="A2621" s="157"/>
      <c r="B2621" s="157"/>
      <c r="C2621" s="157"/>
      <c r="D2621" s="157"/>
    </row>
    <row r="2622" spans="1:4" x14ac:dyDescent="0.3">
      <c r="A2622" s="157"/>
      <c r="B2622" s="157"/>
      <c r="C2622" s="157"/>
      <c r="D2622" s="157"/>
    </row>
    <row r="2623" spans="1:4" x14ac:dyDescent="0.3">
      <c r="A2623" s="157"/>
      <c r="B2623" s="157"/>
      <c r="C2623" s="157"/>
      <c r="D2623" s="157"/>
    </row>
    <row r="2624" spans="1:4" x14ac:dyDescent="0.3">
      <c r="A2624" s="157"/>
      <c r="B2624" s="157"/>
      <c r="C2624" s="157"/>
      <c r="D2624" s="157"/>
    </row>
    <row r="2625" spans="1:4" x14ac:dyDescent="0.3">
      <c r="A2625" s="157"/>
      <c r="B2625" s="157"/>
      <c r="C2625" s="157"/>
      <c r="D2625" s="157"/>
    </row>
    <row r="2626" spans="1:4" x14ac:dyDescent="0.3">
      <c r="A2626" s="157"/>
      <c r="B2626" s="157"/>
      <c r="C2626" s="157"/>
      <c r="D2626" s="157"/>
    </row>
    <row r="2627" spans="1:4" x14ac:dyDescent="0.3">
      <c r="A2627" s="157"/>
      <c r="B2627" s="157"/>
      <c r="C2627" s="157"/>
      <c r="D2627" s="157"/>
    </row>
    <row r="2628" spans="1:4" x14ac:dyDescent="0.3">
      <c r="A2628" s="157"/>
      <c r="B2628" s="157"/>
      <c r="C2628" s="157"/>
      <c r="D2628" s="157"/>
    </row>
    <row r="2629" spans="1:4" x14ac:dyDescent="0.3">
      <c r="A2629" s="157"/>
      <c r="B2629" s="157"/>
      <c r="C2629" s="157"/>
      <c r="D2629" s="157"/>
    </row>
    <row r="2630" spans="1:4" x14ac:dyDescent="0.3">
      <c r="A2630" s="157"/>
      <c r="B2630" s="157"/>
      <c r="C2630" s="157"/>
      <c r="D2630" s="157"/>
    </row>
    <row r="2631" spans="1:4" x14ac:dyDescent="0.3">
      <c r="A2631" s="157"/>
      <c r="B2631" s="157"/>
      <c r="C2631" s="157"/>
      <c r="D2631" s="157"/>
    </row>
    <row r="2632" spans="1:4" x14ac:dyDescent="0.3">
      <c r="A2632" s="157"/>
      <c r="B2632" s="157"/>
      <c r="C2632" s="157"/>
      <c r="D2632" s="157"/>
    </row>
    <row r="2633" spans="1:4" x14ac:dyDescent="0.3">
      <c r="A2633" s="157"/>
      <c r="B2633" s="157"/>
      <c r="C2633" s="157"/>
      <c r="D2633" s="157"/>
    </row>
    <row r="2634" spans="1:4" x14ac:dyDescent="0.3">
      <c r="A2634" s="157"/>
      <c r="B2634" s="157"/>
      <c r="C2634" s="157"/>
      <c r="D2634" s="157"/>
    </row>
    <row r="2635" spans="1:4" x14ac:dyDescent="0.3">
      <c r="A2635" s="157"/>
      <c r="B2635" s="157"/>
      <c r="C2635" s="157"/>
      <c r="D2635" s="157"/>
    </row>
    <row r="2636" spans="1:4" x14ac:dyDescent="0.3">
      <c r="A2636" s="157"/>
      <c r="B2636" s="157"/>
      <c r="C2636" s="157"/>
      <c r="D2636" s="157"/>
    </row>
    <row r="2637" spans="1:4" x14ac:dyDescent="0.3">
      <c r="A2637" s="157"/>
      <c r="B2637" s="157"/>
      <c r="C2637" s="157"/>
      <c r="D2637" s="157"/>
    </row>
    <row r="2638" spans="1:4" x14ac:dyDescent="0.3">
      <c r="A2638" s="157"/>
      <c r="B2638" s="157"/>
      <c r="C2638" s="157"/>
      <c r="D2638" s="157"/>
    </row>
    <row r="2639" spans="1:4" x14ac:dyDescent="0.3">
      <c r="A2639" s="157"/>
      <c r="B2639" s="157"/>
      <c r="C2639" s="157"/>
      <c r="D2639" s="157"/>
    </row>
    <row r="2640" spans="1:4" x14ac:dyDescent="0.3">
      <c r="A2640" s="157"/>
      <c r="B2640" s="157"/>
      <c r="C2640" s="157"/>
      <c r="D2640" s="157"/>
    </row>
    <row r="2641" spans="1:4" x14ac:dyDescent="0.3">
      <c r="A2641" s="157"/>
      <c r="B2641" s="157"/>
      <c r="C2641" s="157"/>
      <c r="D2641" s="157"/>
    </row>
    <row r="2642" spans="1:4" x14ac:dyDescent="0.3">
      <c r="A2642" s="157"/>
      <c r="B2642" s="157"/>
      <c r="C2642" s="157"/>
      <c r="D2642" s="157"/>
    </row>
    <row r="2643" spans="1:4" x14ac:dyDescent="0.3">
      <c r="A2643" s="157"/>
      <c r="B2643" s="157"/>
      <c r="C2643" s="157"/>
      <c r="D2643" s="157"/>
    </row>
    <row r="2644" spans="1:4" x14ac:dyDescent="0.3">
      <c r="A2644" s="157"/>
      <c r="B2644" s="157"/>
      <c r="C2644" s="157"/>
      <c r="D2644" s="157"/>
    </row>
    <row r="2645" spans="1:4" x14ac:dyDescent="0.3">
      <c r="A2645" s="157"/>
      <c r="B2645" s="157"/>
      <c r="C2645" s="157"/>
      <c r="D2645" s="157"/>
    </row>
    <row r="2646" spans="1:4" x14ac:dyDescent="0.3">
      <c r="A2646" s="157"/>
      <c r="B2646" s="157"/>
      <c r="C2646" s="157"/>
      <c r="D2646" s="157"/>
    </row>
    <row r="2647" spans="1:4" x14ac:dyDescent="0.3">
      <c r="A2647" s="157"/>
      <c r="B2647" s="157"/>
      <c r="C2647" s="157"/>
      <c r="D2647" s="157"/>
    </row>
    <row r="2648" spans="1:4" x14ac:dyDescent="0.3">
      <c r="A2648" s="157"/>
      <c r="B2648" s="157"/>
      <c r="C2648" s="157"/>
      <c r="D2648" s="157"/>
    </row>
    <row r="2649" spans="1:4" x14ac:dyDescent="0.3">
      <c r="A2649" s="157"/>
      <c r="B2649" s="157"/>
      <c r="C2649" s="157"/>
      <c r="D2649" s="157"/>
    </row>
    <row r="2650" spans="1:4" x14ac:dyDescent="0.3">
      <c r="A2650" s="157"/>
      <c r="B2650" s="157"/>
      <c r="C2650" s="157"/>
      <c r="D2650" s="157"/>
    </row>
    <row r="2651" spans="1:4" x14ac:dyDescent="0.3">
      <c r="A2651" s="157"/>
      <c r="B2651" s="157"/>
      <c r="C2651" s="157"/>
      <c r="D2651" s="157"/>
    </row>
    <row r="2652" spans="1:4" x14ac:dyDescent="0.3">
      <c r="A2652" s="157"/>
      <c r="B2652" s="157"/>
      <c r="C2652" s="157"/>
      <c r="D2652" s="157"/>
    </row>
    <row r="2653" spans="1:4" x14ac:dyDescent="0.3">
      <c r="A2653" s="157"/>
      <c r="B2653" s="157"/>
      <c r="C2653" s="157"/>
      <c r="D2653" s="157"/>
    </row>
    <row r="2654" spans="1:4" x14ac:dyDescent="0.3">
      <c r="A2654" s="157"/>
      <c r="B2654" s="157"/>
      <c r="C2654" s="157"/>
      <c r="D2654" s="157"/>
    </row>
    <row r="2655" spans="1:4" x14ac:dyDescent="0.3">
      <c r="A2655" s="157"/>
      <c r="B2655" s="157"/>
      <c r="C2655" s="157"/>
      <c r="D2655" s="157"/>
    </row>
    <row r="2656" spans="1:4" x14ac:dyDescent="0.3">
      <c r="A2656" s="157"/>
      <c r="B2656" s="157"/>
      <c r="C2656" s="157"/>
      <c r="D2656" s="157"/>
    </row>
    <row r="2657" spans="1:4" x14ac:dyDescent="0.3">
      <c r="A2657" s="157"/>
      <c r="B2657" s="157"/>
      <c r="C2657" s="157"/>
      <c r="D2657" s="157"/>
    </row>
    <row r="2658" spans="1:4" x14ac:dyDescent="0.3">
      <c r="A2658" s="157"/>
      <c r="B2658" s="157"/>
      <c r="C2658" s="157"/>
      <c r="D2658" s="157"/>
    </row>
    <row r="2659" spans="1:4" x14ac:dyDescent="0.3">
      <c r="A2659" s="157"/>
      <c r="B2659" s="157"/>
      <c r="C2659" s="157"/>
      <c r="D2659" s="157"/>
    </row>
    <row r="2660" spans="1:4" x14ac:dyDescent="0.3">
      <c r="A2660" s="157"/>
      <c r="B2660" s="157"/>
      <c r="C2660" s="157"/>
      <c r="D2660" s="157"/>
    </row>
    <row r="2661" spans="1:4" x14ac:dyDescent="0.3">
      <c r="A2661" s="157"/>
      <c r="B2661" s="157"/>
      <c r="C2661" s="157"/>
      <c r="D2661" s="157"/>
    </row>
    <row r="2662" spans="1:4" x14ac:dyDescent="0.3">
      <c r="A2662" s="157"/>
      <c r="B2662" s="157"/>
      <c r="C2662" s="157"/>
      <c r="D2662" s="157"/>
    </row>
    <row r="2663" spans="1:4" x14ac:dyDescent="0.3">
      <c r="A2663" s="157"/>
      <c r="B2663" s="157"/>
      <c r="C2663" s="157"/>
      <c r="D2663" s="157"/>
    </row>
    <row r="2664" spans="1:4" x14ac:dyDescent="0.3">
      <c r="A2664" s="157"/>
      <c r="B2664" s="157"/>
      <c r="C2664" s="157"/>
      <c r="D2664" s="157"/>
    </row>
    <row r="2665" spans="1:4" x14ac:dyDescent="0.3">
      <c r="A2665" s="157"/>
      <c r="B2665" s="157"/>
      <c r="C2665" s="157"/>
      <c r="D2665" s="157"/>
    </row>
    <row r="2666" spans="1:4" x14ac:dyDescent="0.3">
      <c r="A2666" s="157"/>
      <c r="B2666" s="157"/>
      <c r="C2666" s="157"/>
      <c r="D2666" s="157"/>
    </row>
    <row r="2667" spans="1:4" x14ac:dyDescent="0.3">
      <c r="A2667" s="157"/>
      <c r="B2667" s="157"/>
      <c r="C2667" s="157"/>
      <c r="D2667" s="157"/>
    </row>
    <row r="2668" spans="1:4" x14ac:dyDescent="0.3">
      <c r="A2668" s="157"/>
      <c r="B2668" s="157"/>
      <c r="C2668" s="157"/>
      <c r="D2668" s="157"/>
    </row>
    <row r="2669" spans="1:4" x14ac:dyDescent="0.3">
      <c r="A2669" s="157"/>
      <c r="B2669" s="157"/>
      <c r="C2669" s="157"/>
      <c r="D2669" s="157"/>
    </row>
    <row r="2670" spans="1:4" x14ac:dyDescent="0.3">
      <c r="A2670" s="157"/>
      <c r="B2670" s="157"/>
      <c r="C2670" s="157"/>
      <c r="D2670" s="157"/>
    </row>
    <row r="2671" spans="1:4" x14ac:dyDescent="0.3">
      <c r="A2671" s="157"/>
      <c r="B2671" s="157"/>
      <c r="C2671" s="157"/>
      <c r="D2671" s="157"/>
    </row>
    <row r="2672" spans="1:4" x14ac:dyDescent="0.3">
      <c r="A2672" s="157"/>
      <c r="B2672" s="157"/>
      <c r="C2672" s="157"/>
      <c r="D2672" s="157"/>
    </row>
    <row r="2673" spans="1:4" x14ac:dyDescent="0.3">
      <c r="A2673" s="157"/>
      <c r="B2673" s="157"/>
      <c r="C2673" s="157"/>
      <c r="D2673" s="157"/>
    </row>
    <row r="2674" spans="1:4" x14ac:dyDescent="0.3">
      <c r="A2674" s="157"/>
      <c r="B2674" s="157"/>
      <c r="C2674" s="157"/>
      <c r="D2674" s="157"/>
    </row>
    <row r="2675" spans="1:4" x14ac:dyDescent="0.3">
      <c r="A2675" s="157"/>
      <c r="B2675" s="157"/>
      <c r="C2675" s="157"/>
      <c r="D2675" s="157"/>
    </row>
    <row r="2676" spans="1:4" x14ac:dyDescent="0.3">
      <c r="A2676" s="157"/>
      <c r="B2676" s="157"/>
      <c r="C2676" s="157"/>
      <c r="D2676" s="157"/>
    </row>
    <row r="2677" spans="1:4" x14ac:dyDescent="0.3">
      <c r="A2677" s="157"/>
      <c r="B2677" s="157"/>
      <c r="C2677" s="157"/>
      <c r="D2677" s="157"/>
    </row>
    <row r="2678" spans="1:4" x14ac:dyDescent="0.3">
      <c r="A2678" s="157"/>
      <c r="B2678" s="157"/>
      <c r="C2678" s="157"/>
      <c r="D2678" s="157"/>
    </row>
    <row r="2679" spans="1:4" x14ac:dyDescent="0.3">
      <c r="A2679" s="157"/>
      <c r="B2679" s="157"/>
      <c r="C2679" s="157"/>
      <c r="D2679" s="157"/>
    </row>
    <row r="2680" spans="1:4" x14ac:dyDescent="0.3">
      <c r="A2680" s="157"/>
      <c r="B2680" s="157"/>
      <c r="C2680" s="157"/>
      <c r="D2680" s="157"/>
    </row>
    <row r="2681" spans="1:4" x14ac:dyDescent="0.3">
      <c r="A2681" s="157"/>
      <c r="B2681" s="157"/>
      <c r="C2681" s="157"/>
      <c r="D2681" s="157"/>
    </row>
    <row r="2682" spans="1:4" x14ac:dyDescent="0.3">
      <c r="A2682" s="157"/>
      <c r="B2682" s="157"/>
      <c r="C2682" s="157"/>
      <c r="D2682" s="157"/>
    </row>
    <row r="2683" spans="1:4" x14ac:dyDescent="0.3">
      <c r="A2683" s="157"/>
      <c r="B2683" s="157"/>
      <c r="C2683" s="157"/>
      <c r="D2683" s="157"/>
    </row>
    <row r="2684" spans="1:4" x14ac:dyDescent="0.3">
      <c r="A2684" s="157"/>
      <c r="B2684" s="157"/>
      <c r="C2684" s="157"/>
      <c r="D2684" s="157"/>
    </row>
    <row r="2685" spans="1:4" x14ac:dyDescent="0.3">
      <c r="A2685" s="157"/>
      <c r="B2685" s="157"/>
      <c r="C2685" s="157"/>
      <c r="D2685" s="157"/>
    </row>
    <row r="2686" spans="1:4" x14ac:dyDescent="0.3">
      <c r="A2686" s="157"/>
      <c r="B2686" s="157"/>
      <c r="C2686" s="157"/>
      <c r="D2686" s="157"/>
    </row>
    <row r="2687" spans="1:4" x14ac:dyDescent="0.3">
      <c r="A2687" s="157"/>
      <c r="B2687" s="157"/>
      <c r="C2687" s="157"/>
      <c r="D2687" s="157"/>
    </row>
    <row r="2688" spans="1:4" x14ac:dyDescent="0.3">
      <c r="A2688" s="157"/>
      <c r="B2688" s="157"/>
      <c r="C2688" s="157"/>
      <c r="D2688" s="157"/>
    </row>
    <row r="2689" spans="1:4" x14ac:dyDescent="0.3">
      <c r="A2689" s="157"/>
      <c r="B2689" s="157"/>
      <c r="C2689" s="157"/>
      <c r="D2689" s="157"/>
    </row>
    <row r="2690" spans="1:4" x14ac:dyDescent="0.3">
      <c r="A2690" s="157"/>
      <c r="B2690" s="157"/>
      <c r="C2690" s="157"/>
      <c r="D2690" s="157"/>
    </row>
    <row r="2691" spans="1:4" x14ac:dyDescent="0.3">
      <c r="A2691" s="157"/>
      <c r="B2691" s="157"/>
      <c r="C2691" s="157"/>
      <c r="D2691" s="157"/>
    </row>
    <row r="2692" spans="1:4" x14ac:dyDescent="0.3">
      <c r="A2692" s="157"/>
      <c r="B2692" s="157"/>
      <c r="C2692" s="157"/>
      <c r="D2692" s="157"/>
    </row>
    <row r="2693" spans="1:4" x14ac:dyDescent="0.3">
      <c r="A2693" s="157"/>
      <c r="B2693" s="157"/>
      <c r="C2693" s="157"/>
      <c r="D2693" s="157"/>
    </row>
    <row r="2694" spans="1:4" x14ac:dyDescent="0.3">
      <c r="A2694" s="157"/>
      <c r="B2694" s="157"/>
      <c r="C2694" s="157"/>
      <c r="D2694" s="157"/>
    </row>
    <row r="2695" spans="1:4" x14ac:dyDescent="0.3">
      <c r="A2695" s="157"/>
      <c r="B2695" s="157"/>
      <c r="C2695" s="157"/>
      <c r="D2695" s="157"/>
    </row>
    <row r="2696" spans="1:4" x14ac:dyDescent="0.3">
      <c r="A2696" s="157"/>
      <c r="B2696" s="157"/>
      <c r="C2696" s="157"/>
      <c r="D2696" s="157"/>
    </row>
    <row r="2697" spans="1:4" x14ac:dyDescent="0.3">
      <c r="A2697" s="157"/>
      <c r="B2697" s="157"/>
      <c r="C2697" s="157"/>
      <c r="D2697" s="157"/>
    </row>
    <row r="2698" spans="1:4" x14ac:dyDescent="0.3">
      <c r="A2698" s="157"/>
      <c r="B2698" s="157"/>
      <c r="C2698" s="157"/>
      <c r="D2698" s="157"/>
    </row>
    <row r="2699" spans="1:4" x14ac:dyDescent="0.3">
      <c r="A2699" s="157"/>
      <c r="B2699" s="157"/>
      <c r="C2699" s="157"/>
      <c r="D2699" s="157"/>
    </row>
    <row r="2700" spans="1:4" x14ac:dyDescent="0.3">
      <c r="A2700" s="157"/>
      <c r="B2700" s="157"/>
      <c r="C2700" s="157"/>
      <c r="D2700" s="157"/>
    </row>
    <row r="2701" spans="1:4" x14ac:dyDescent="0.3">
      <c r="A2701" s="157"/>
      <c r="B2701" s="157"/>
      <c r="C2701" s="157"/>
      <c r="D2701" s="157"/>
    </row>
    <row r="2702" spans="1:4" x14ac:dyDescent="0.3">
      <c r="A2702" s="157"/>
      <c r="B2702" s="157"/>
      <c r="C2702" s="157"/>
      <c r="D2702" s="157"/>
    </row>
    <row r="2703" spans="1:4" x14ac:dyDescent="0.3">
      <c r="A2703" s="157"/>
      <c r="B2703" s="157"/>
      <c r="C2703" s="157"/>
      <c r="D2703" s="157"/>
    </row>
    <row r="2704" spans="1:4" x14ac:dyDescent="0.3">
      <c r="A2704" s="157"/>
      <c r="B2704" s="157"/>
      <c r="C2704" s="157"/>
      <c r="D2704" s="157"/>
    </row>
    <row r="2705" spans="1:4" x14ac:dyDescent="0.3">
      <c r="A2705" s="157"/>
      <c r="B2705" s="157"/>
      <c r="C2705" s="157"/>
      <c r="D2705" s="157"/>
    </row>
    <row r="2706" spans="1:4" x14ac:dyDescent="0.3">
      <c r="A2706" s="157"/>
      <c r="B2706" s="157"/>
      <c r="C2706" s="157"/>
      <c r="D2706" s="157"/>
    </row>
    <row r="2707" spans="1:4" x14ac:dyDescent="0.3">
      <c r="A2707" s="157"/>
      <c r="B2707" s="157"/>
      <c r="C2707" s="157"/>
      <c r="D2707" s="157"/>
    </row>
    <row r="2708" spans="1:4" x14ac:dyDescent="0.3">
      <c r="A2708" s="157"/>
      <c r="B2708" s="157"/>
      <c r="C2708" s="157"/>
      <c r="D2708" s="157"/>
    </row>
    <row r="2709" spans="1:4" x14ac:dyDescent="0.3">
      <c r="A2709" s="157"/>
      <c r="B2709" s="157"/>
      <c r="C2709" s="157"/>
      <c r="D2709" s="157"/>
    </row>
    <row r="2710" spans="1:4" x14ac:dyDescent="0.3">
      <c r="A2710" s="157"/>
      <c r="B2710" s="157"/>
      <c r="C2710" s="157"/>
      <c r="D2710" s="157"/>
    </row>
    <row r="2711" spans="1:4" x14ac:dyDescent="0.3">
      <c r="A2711" s="157"/>
      <c r="B2711" s="157"/>
      <c r="C2711" s="157"/>
      <c r="D2711" s="157"/>
    </row>
    <row r="2712" spans="1:4" x14ac:dyDescent="0.3">
      <c r="A2712" s="157"/>
      <c r="B2712" s="157"/>
      <c r="C2712" s="157"/>
      <c r="D2712" s="157"/>
    </row>
    <row r="2713" spans="1:4" x14ac:dyDescent="0.3">
      <c r="A2713" s="157"/>
      <c r="B2713" s="157"/>
      <c r="C2713" s="157"/>
      <c r="D2713" s="157"/>
    </row>
    <row r="2714" spans="1:4" x14ac:dyDescent="0.3">
      <c r="A2714" s="157"/>
      <c r="B2714" s="157"/>
      <c r="C2714" s="157"/>
      <c r="D2714" s="157"/>
    </row>
    <row r="2715" spans="1:4" x14ac:dyDescent="0.3">
      <c r="A2715" s="157"/>
      <c r="B2715" s="157"/>
      <c r="C2715" s="157"/>
      <c r="D2715" s="157"/>
    </row>
    <row r="2716" spans="1:4" x14ac:dyDescent="0.3">
      <c r="A2716" s="157"/>
      <c r="B2716" s="157"/>
      <c r="C2716" s="157"/>
      <c r="D2716" s="157"/>
    </row>
    <row r="2717" spans="1:4" x14ac:dyDescent="0.3">
      <c r="A2717" s="157"/>
      <c r="B2717" s="157"/>
      <c r="C2717" s="157"/>
      <c r="D2717" s="157"/>
    </row>
    <row r="2718" spans="1:4" x14ac:dyDescent="0.3">
      <c r="A2718" s="157"/>
      <c r="B2718" s="157"/>
      <c r="C2718" s="157"/>
      <c r="D2718" s="157"/>
    </row>
    <row r="2719" spans="1:4" x14ac:dyDescent="0.3">
      <c r="A2719" s="157"/>
      <c r="B2719" s="157"/>
      <c r="C2719" s="157"/>
      <c r="D2719" s="157"/>
    </row>
    <row r="2720" spans="1:4" x14ac:dyDescent="0.3">
      <c r="A2720" s="157"/>
      <c r="B2720" s="157"/>
      <c r="C2720" s="157"/>
      <c r="D2720" s="157"/>
    </row>
    <row r="2721" spans="1:4" x14ac:dyDescent="0.3">
      <c r="A2721" s="157"/>
      <c r="B2721" s="157"/>
      <c r="C2721" s="157"/>
      <c r="D2721" s="157"/>
    </row>
    <row r="2722" spans="1:4" x14ac:dyDescent="0.3">
      <c r="A2722" s="157"/>
      <c r="B2722" s="157"/>
      <c r="C2722" s="157"/>
      <c r="D2722" s="157"/>
    </row>
    <row r="2723" spans="1:4" x14ac:dyDescent="0.3">
      <c r="A2723" s="157"/>
      <c r="B2723" s="157"/>
      <c r="C2723" s="157"/>
      <c r="D2723" s="157"/>
    </row>
    <row r="2724" spans="1:4" x14ac:dyDescent="0.3">
      <c r="A2724" s="157"/>
      <c r="B2724" s="157"/>
      <c r="C2724" s="157"/>
      <c r="D2724" s="157"/>
    </row>
    <row r="2725" spans="1:4" x14ac:dyDescent="0.3">
      <c r="A2725" s="157"/>
      <c r="B2725" s="157"/>
      <c r="C2725" s="157"/>
      <c r="D2725" s="157"/>
    </row>
    <row r="2726" spans="1:4" x14ac:dyDescent="0.3">
      <c r="A2726" s="157"/>
      <c r="B2726" s="157"/>
      <c r="C2726" s="157"/>
      <c r="D2726" s="157"/>
    </row>
    <row r="2727" spans="1:4" x14ac:dyDescent="0.3">
      <c r="A2727" s="157"/>
      <c r="B2727" s="157"/>
      <c r="C2727" s="157"/>
      <c r="D2727" s="157"/>
    </row>
    <row r="2728" spans="1:4" x14ac:dyDescent="0.3">
      <c r="A2728" s="157"/>
      <c r="B2728" s="157"/>
      <c r="C2728" s="157"/>
      <c r="D2728" s="157"/>
    </row>
    <row r="2729" spans="1:4" x14ac:dyDescent="0.3">
      <c r="A2729" s="157"/>
      <c r="B2729" s="157"/>
      <c r="C2729" s="157"/>
      <c r="D2729" s="157"/>
    </row>
    <row r="2730" spans="1:4" x14ac:dyDescent="0.3">
      <c r="A2730" s="157"/>
      <c r="B2730" s="157"/>
      <c r="C2730" s="157"/>
      <c r="D2730" s="157"/>
    </row>
    <row r="2731" spans="1:4" x14ac:dyDescent="0.3">
      <c r="A2731" s="157"/>
      <c r="B2731" s="157"/>
      <c r="C2731" s="157"/>
      <c r="D2731" s="157"/>
    </row>
    <row r="2732" spans="1:4" x14ac:dyDescent="0.3">
      <c r="A2732" s="157"/>
      <c r="B2732" s="157"/>
      <c r="C2732" s="157"/>
      <c r="D2732" s="157"/>
    </row>
    <row r="2733" spans="1:4" x14ac:dyDescent="0.3">
      <c r="A2733" s="157"/>
      <c r="B2733" s="157"/>
      <c r="C2733" s="157"/>
      <c r="D2733" s="157"/>
    </row>
    <row r="2734" spans="1:4" x14ac:dyDescent="0.3">
      <c r="A2734" s="157"/>
      <c r="B2734" s="157"/>
      <c r="C2734" s="157"/>
      <c r="D2734" s="157"/>
    </row>
    <row r="2735" spans="1:4" x14ac:dyDescent="0.3">
      <c r="A2735" s="157"/>
      <c r="B2735" s="157"/>
      <c r="C2735" s="157"/>
      <c r="D2735" s="157"/>
    </row>
    <row r="2736" spans="1:4" x14ac:dyDescent="0.3">
      <c r="A2736" s="157"/>
      <c r="B2736" s="157"/>
      <c r="C2736" s="157"/>
      <c r="D2736" s="157"/>
    </row>
    <row r="2737" spans="1:4" x14ac:dyDescent="0.3">
      <c r="A2737" s="157"/>
      <c r="B2737" s="157"/>
      <c r="C2737" s="157"/>
      <c r="D2737" s="157"/>
    </row>
    <row r="2738" spans="1:4" x14ac:dyDescent="0.3">
      <c r="A2738" s="157"/>
      <c r="B2738" s="157"/>
      <c r="C2738" s="157"/>
      <c r="D2738" s="157"/>
    </row>
    <row r="2739" spans="1:4" x14ac:dyDescent="0.3">
      <c r="A2739" s="157"/>
      <c r="B2739" s="157"/>
      <c r="C2739" s="157"/>
      <c r="D2739" s="157"/>
    </row>
    <row r="2740" spans="1:4" x14ac:dyDescent="0.3">
      <c r="A2740" s="157"/>
      <c r="B2740" s="157"/>
      <c r="C2740" s="157"/>
      <c r="D2740" s="157"/>
    </row>
    <row r="2741" spans="1:4" x14ac:dyDescent="0.3">
      <c r="A2741" s="157"/>
      <c r="B2741" s="157"/>
      <c r="C2741" s="157"/>
      <c r="D2741" s="157"/>
    </row>
    <row r="2742" spans="1:4" x14ac:dyDescent="0.3">
      <c r="A2742" s="157"/>
      <c r="B2742" s="157"/>
      <c r="C2742" s="157"/>
      <c r="D2742" s="157"/>
    </row>
    <row r="2743" spans="1:4" x14ac:dyDescent="0.3">
      <c r="A2743" s="157"/>
      <c r="B2743" s="157"/>
      <c r="C2743" s="157"/>
      <c r="D2743" s="157"/>
    </row>
    <row r="2744" spans="1:4" x14ac:dyDescent="0.3">
      <c r="A2744" s="157"/>
      <c r="B2744" s="157"/>
      <c r="C2744" s="157"/>
      <c r="D2744" s="157"/>
    </row>
    <row r="2745" spans="1:4" x14ac:dyDescent="0.3">
      <c r="A2745" s="157"/>
      <c r="B2745" s="157"/>
      <c r="C2745" s="157"/>
      <c r="D2745" s="157"/>
    </row>
    <row r="2746" spans="1:4" x14ac:dyDescent="0.3">
      <c r="A2746" s="157"/>
      <c r="B2746" s="157"/>
      <c r="C2746" s="157"/>
      <c r="D2746" s="157"/>
    </row>
    <row r="2747" spans="1:4" x14ac:dyDescent="0.3">
      <c r="A2747" s="157"/>
      <c r="B2747" s="157"/>
      <c r="C2747" s="157"/>
      <c r="D2747" s="157"/>
    </row>
    <row r="2748" spans="1:4" x14ac:dyDescent="0.3">
      <c r="A2748" s="157"/>
      <c r="B2748" s="157"/>
      <c r="C2748" s="157"/>
      <c r="D2748" s="157"/>
    </row>
    <row r="2749" spans="1:4" x14ac:dyDescent="0.3">
      <c r="A2749" s="157"/>
      <c r="B2749" s="157"/>
      <c r="C2749" s="157"/>
      <c r="D2749" s="157"/>
    </row>
    <row r="2750" spans="1:4" x14ac:dyDescent="0.3">
      <c r="A2750" s="157"/>
      <c r="B2750" s="157"/>
      <c r="C2750" s="157"/>
      <c r="D2750" s="157"/>
    </row>
    <row r="2751" spans="1:4" x14ac:dyDescent="0.3">
      <c r="A2751" s="157"/>
      <c r="B2751" s="157"/>
      <c r="C2751" s="157"/>
      <c r="D2751" s="157"/>
    </row>
    <row r="2752" spans="1:4" x14ac:dyDescent="0.3">
      <c r="A2752" s="157"/>
      <c r="B2752" s="157"/>
      <c r="C2752" s="157"/>
      <c r="D2752" s="157"/>
    </row>
    <row r="2753" spans="1:4" x14ac:dyDescent="0.3">
      <c r="A2753" s="157"/>
      <c r="B2753" s="157"/>
      <c r="C2753" s="157"/>
      <c r="D2753" s="157"/>
    </row>
    <row r="2754" spans="1:4" x14ac:dyDescent="0.3">
      <c r="A2754" s="157"/>
      <c r="B2754" s="157"/>
      <c r="C2754" s="157"/>
      <c r="D2754" s="157"/>
    </row>
    <row r="2755" spans="1:4" x14ac:dyDescent="0.3">
      <c r="A2755" s="157"/>
      <c r="B2755" s="157"/>
      <c r="C2755" s="157"/>
      <c r="D2755" s="157"/>
    </row>
    <row r="2756" spans="1:4" x14ac:dyDescent="0.3">
      <c r="A2756" s="157"/>
      <c r="B2756" s="157"/>
      <c r="C2756" s="157"/>
      <c r="D2756" s="157"/>
    </row>
    <row r="2757" spans="1:4" x14ac:dyDescent="0.3">
      <c r="A2757" s="157"/>
      <c r="B2757" s="157"/>
      <c r="C2757" s="157"/>
      <c r="D2757" s="157"/>
    </row>
    <row r="2758" spans="1:4" x14ac:dyDescent="0.3">
      <c r="A2758" s="157"/>
      <c r="B2758" s="157"/>
      <c r="C2758" s="157"/>
      <c r="D2758" s="157"/>
    </row>
    <row r="2759" spans="1:4" x14ac:dyDescent="0.3">
      <c r="A2759" s="157"/>
      <c r="B2759" s="157"/>
      <c r="C2759" s="157"/>
      <c r="D2759" s="157"/>
    </row>
    <row r="2760" spans="1:4" x14ac:dyDescent="0.3">
      <c r="A2760" s="157"/>
      <c r="B2760" s="157"/>
      <c r="C2760" s="157"/>
      <c r="D2760" s="157"/>
    </row>
    <row r="2761" spans="1:4" x14ac:dyDescent="0.3">
      <c r="A2761" s="157"/>
      <c r="B2761" s="157"/>
      <c r="C2761" s="157"/>
      <c r="D2761" s="157"/>
    </row>
    <row r="2762" spans="1:4" x14ac:dyDescent="0.3">
      <c r="A2762" s="157"/>
      <c r="B2762" s="157"/>
      <c r="C2762" s="157"/>
      <c r="D2762" s="157"/>
    </row>
    <row r="2763" spans="1:4" x14ac:dyDescent="0.3">
      <c r="A2763" s="157"/>
      <c r="B2763" s="157"/>
      <c r="C2763" s="157"/>
      <c r="D2763" s="157"/>
    </row>
    <row r="2764" spans="1:4" x14ac:dyDescent="0.3">
      <c r="A2764" s="157"/>
      <c r="B2764" s="157"/>
      <c r="C2764" s="157"/>
      <c r="D2764" s="157"/>
    </row>
    <row r="2765" spans="1:4" x14ac:dyDescent="0.3">
      <c r="A2765" s="157"/>
      <c r="B2765" s="157"/>
      <c r="C2765" s="157"/>
      <c r="D2765" s="157"/>
    </row>
    <row r="2766" spans="1:4" x14ac:dyDescent="0.3">
      <c r="A2766" s="157"/>
      <c r="B2766" s="157"/>
      <c r="C2766" s="157"/>
      <c r="D2766" s="157"/>
    </row>
    <row r="2767" spans="1:4" x14ac:dyDescent="0.3">
      <c r="A2767" s="157"/>
      <c r="B2767" s="157"/>
      <c r="C2767" s="157"/>
      <c r="D2767" s="157"/>
    </row>
    <row r="2768" spans="1:4" x14ac:dyDescent="0.3">
      <c r="A2768" s="157"/>
      <c r="B2768" s="157"/>
      <c r="C2768" s="157"/>
      <c r="D2768" s="157"/>
    </row>
    <row r="2769" spans="1:4" x14ac:dyDescent="0.3">
      <c r="A2769" s="157"/>
      <c r="B2769" s="157"/>
      <c r="C2769" s="157"/>
      <c r="D2769" s="157"/>
    </row>
    <row r="2770" spans="1:4" x14ac:dyDescent="0.3">
      <c r="A2770" s="157"/>
      <c r="B2770" s="157"/>
      <c r="C2770" s="157"/>
      <c r="D2770" s="157"/>
    </row>
    <row r="2771" spans="1:4" x14ac:dyDescent="0.3">
      <c r="A2771" s="157"/>
      <c r="B2771" s="157"/>
      <c r="C2771" s="157"/>
      <c r="D2771" s="157"/>
    </row>
    <row r="2772" spans="1:4" x14ac:dyDescent="0.3">
      <c r="A2772" s="157"/>
      <c r="B2772" s="157"/>
      <c r="C2772" s="157"/>
      <c r="D2772" s="157"/>
    </row>
    <row r="2773" spans="1:4" x14ac:dyDescent="0.3">
      <c r="A2773" s="157"/>
      <c r="B2773" s="157"/>
      <c r="C2773" s="157"/>
      <c r="D2773" s="157"/>
    </row>
    <row r="2774" spans="1:4" x14ac:dyDescent="0.3">
      <c r="A2774" s="157"/>
      <c r="B2774" s="157"/>
      <c r="C2774" s="157"/>
      <c r="D2774" s="157"/>
    </row>
    <row r="2775" spans="1:4" x14ac:dyDescent="0.3">
      <c r="A2775" s="157"/>
      <c r="B2775" s="157"/>
      <c r="C2775" s="157"/>
      <c r="D2775" s="157"/>
    </row>
    <row r="2776" spans="1:4" x14ac:dyDescent="0.3">
      <c r="A2776" s="157"/>
      <c r="B2776" s="157"/>
      <c r="C2776" s="157"/>
      <c r="D2776" s="157"/>
    </row>
    <row r="2777" spans="1:4" x14ac:dyDescent="0.3">
      <c r="A2777" s="157"/>
      <c r="B2777" s="157"/>
      <c r="C2777" s="157"/>
      <c r="D2777" s="157"/>
    </row>
    <row r="2778" spans="1:4" x14ac:dyDescent="0.3">
      <c r="A2778" s="157"/>
      <c r="B2778" s="157"/>
      <c r="C2778" s="157"/>
      <c r="D2778" s="157"/>
    </row>
    <row r="2779" spans="1:4" x14ac:dyDescent="0.3">
      <c r="A2779" s="157"/>
      <c r="B2779" s="157"/>
      <c r="C2779" s="157"/>
      <c r="D2779" s="157"/>
    </row>
    <row r="2780" spans="1:4" x14ac:dyDescent="0.3">
      <c r="A2780" s="157"/>
      <c r="B2780" s="157"/>
      <c r="C2780" s="157"/>
      <c r="D2780" s="157"/>
    </row>
    <row r="2781" spans="1:4" x14ac:dyDescent="0.3">
      <c r="A2781" s="157"/>
      <c r="B2781" s="157"/>
      <c r="C2781" s="157"/>
      <c r="D2781" s="157"/>
    </row>
    <row r="2782" spans="1:4" x14ac:dyDescent="0.3">
      <c r="A2782" s="157"/>
      <c r="B2782" s="157"/>
      <c r="C2782" s="157"/>
      <c r="D2782" s="157"/>
    </row>
    <row r="2783" spans="1:4" x14ac:dyDescent="0.3">
      <c r="A2783" s="157"/>
      <c r="B2783" s="157"/>
      <c r="C2783" s="157"/>
      <c r="D2783" s="157"/>
    </row>
    <row r="2784" spans="1:4" x14ac:dyDescent="0.3">
      <c r="A2784" s="157"/>
      <c r="B2784" s="157"/>
      <c r="C2784" s="157"/>
      <c r="D2784" s="157"/>
    </row>
    <row r="2785" spans="1:4" x14ac:dyDescent="0.3">
      <c r="A2785" s="157"/>
      <c r="B2785" s="157"/>
      <c r="C2785" s="157"/>
      <c r="D2785" s="157"/>
    </row>
    <row r="2786" spans="1:4" x14ac:dyDescent="0.3">
      <c r="A2786" s="157"/>
      <c r="B2786" s="157"/>
      <c r="C2786" s="157"/>
      <c r="D2786" s="157"/>
    </row>
    <row r="2787" spans="1:4" x14ac:dyDescent="0.3">
      <c r="A2787" s="157"/>
      <c r="B2787" s="157"/>
      <c r="C2787" s="157"/>
      <c r="D2787" s="157"/>
    </row>
    <row r="2788" spans="1:4" x14ac:dyDescent="0.3">
      <c r="A2788" s="157"/>
      <c r="B2788" s="157"/>
      <c r="C2788" s="157"/>
      <c r="D2788" s="157"/>
    </row>
    <row r="2789" spans="1:4" x14ac:dyDescent="0.3">
      <c r="A2789" s="157"/>
      <c r="B2789" s="157"/>
      <c r="C2789" s="157"/>
      <c r="D2789" s="157"/>
    </row>
    <row r="2790" spans="1:4" x14ac:dyDescent="0.3">
      <c r="A2790" s="157"/>
      <c r="B2790" s="157"/>
      <c r="C2790" s="157"/>
      <c r="D2790" s="157"/>
    </row>
    <row r="2791" spans="1:4" x14ac:dyDescent="0.3">
      <c r="A2791" s="157"/>
      <c r="B2791" s="157"/>
      <c r="C2791" s="157"/>
      <c r="D2791" s="157"/>
    </row>
    <row r="2792" spans="1:4" x14ac:dyDescent="0.3">
      <c r="A2792" s="157"/>
      <c r="B2792" s="157"/>
      <c r="C2792" s="157"/>
      <c r="D2792" s="157"/>
    </row>
    <row r="2793" spans="1:4" x14ac:dyDescent="0.3">
      <c r="A2793" s="157"/>
      <c r="B2793" s="157"/>
      <c r="C2793" s="157"/>
      <c r="D2793" s="157"/>
    </row>
    <row r="2794" spans="1:4" x14ac:dyDescent="0.3">
      <c r="A2794" s="157"/>
      <c r="B2794" s="157"/>
      <c r="C2794" s="157"/>
      <c r="D2794" s="157"/>
    </row>
    <row r="2795" spans="1:4" x14ac:dyDescent="0.3">
      <c r="A2795" s="157"/>
      <c r="B2795" s="157"/>
      <c r="C2795" s="157"/>
      <c r="D2795" s="157"/>
    </row>
    <row r="2796" spans="1:4" x14ac:dyDescent="0.3">
      <c r="A2796" s="157"/>
      <c r="B2796" s="157"/>
      <c r="C2796" s="157"/>
      <c r="D2796" s="157"/>
    </row>
    <row r="2797" spans="1:4" x14ac:dyDescent="0.3">
      <c r="A2797" s="157"/>
      <c r="B2797" s="157"/>
      <c r="C2797" s="157"/>
      <c r="D2797" s="157"/>
    </row>
    <row r="2798" spans="1:4" x14ac:dyDescent="0.3">
      <c r="A2798" s="157"/>
      <c r="B2798" s="157"/>
      <c r="C2798" s="157"/>
      <c r="D2798" s="157"/>
    </row>
    <row r="2799" spans="1:4" x14ac:dyDescent="0.3">
      <c r="A2799" s="157"/>
      <c r="B2799" s="157"/>
      <c r="C2799" s="157"/>
      <c r="D2799" s="157"/>
    </row>
    <row r="2800" spans="1:4" x14ac:dyDescent="0.3">
      <c r="A2800" s="157"/>
      <c r="B2800" s="157"/>
      <c r="C2800" s="157"/>
      <c r="D2800" s="157"/>
    </row>
    <row r="2801" spans="1:4" x14ac:dyDescent="0.3">
      <c r="A2801" s="157"/>
      <c r="B2801" s="157"/>
      <c r="C2801" s="157"/>
      <c r="D2801" s="157"/>
    </row>
    <row r="2802" spans="1:4" x14ac:dyDescent="0.3">
      <c r="A2802" s="157"/>
      <c r="B2802" s="157"/>
      <c r="C2802" s="157"/>
      <c r="D2802" s="157"/>
    </row>
    <row r="2803" spans="1:4" x14ac:dyDescent="0.3">
      <c r="A2803" s="157"/>
      <c r="B2803" s="157"/>
      <c r="C2803" s="157"/>
      <c r="D2803" s="157"/>
    </row>
    <row r="2804" spans="1:4" x14ac:dyDescent="0.3">
      <c r="A2804" s="157"/>
      <c r="B2804" s="157"/>
      <c r="C2804" s="157"/>
      <c r="D2804" s="157"/>
    </row>
    <row r="2805" spans="1:4" x14ac:dyDescent="0.3">
      <c r="A2805" s="157"/>
      <c r="B2805" s="157"/>
      <c r="C2805" s="157"/>
      <c r="D2805" s="157"/>
    </row>
    <row r="2806" spans="1:4" x14ac:dyDescent="0.3">
      <c r="A2806" s="157"/>
      <c r="B2806" s="157"/>
      <c r="C2806" s="157"/>
      <c r="D2806" s="157"/>
    </row>
    <row r="2807" spans="1:4" x14ac:dyDescent="0.3">
      <c r="A2807" s="157"/>
      <c r="B2807" s="157"/>
      <c r="C2807" s="157"/>
      <c r="D2807" s="157"/>
    </row>
    <row r="2808" spans="1:4" x14ac:dyDescent="0.3">
      <c r="A2808" s="157"/>
      <c r="B2808" s="157"/>
      <c r="C2808" s="157"/>
      <c r="D2808" s="157"/>
    </row>
    <row r="2809" spans="1:4" x14ac:dyDescent="0.3">
      <c r="A2809" s="157"/>
      <c r="B2809" s="157"/>
      <c r="C2809" s="157"/>
      <c r="D2809" s="157"/>
    </row>
    <row r="2810" spans="1:4" x14ac:dyDescent="0.3">
      <c r="A2810" s="157"/>
      <c r="B2810" s="157"/>
      <c r="C2810" s="157"/>
      <c r="D2810" s="157"/>
    </row>
    <row r="2811" spans="1:4" x14ac:dyDescent="0.3">
      <c r="A2811" s="157"/>
      <c r="B2811" s="157"/>
      <c r="C2811" s="157"/>
      <c r="D2811" s="157"/>
    </row>
    <row r="2812" spans="1:4" x14ac:dyDescent="0.3">
      <c r="A2812" s="157"/>
      <c r="B2812" s="157"/>
      <c r="C2812" s="157"/>
      <c r="D2812" s="157"/>
    </row>
    <row r="2813" spans="1:4" x14ac:dyDescent="0.3">
      <c r="A2813" s="157"/>
      <c r="B2813" s="157"/>
      <c r="C2813" s="157"/>
      <c r="D2813" s="157"/>
    </row>
    <row r="2814" spans="1:4" x14ac:dyDescent="0.3">
      <c r="A2814" s="157"/>
      <c r="B2814" s="157"/>
      <c r="C2814" s="157"/>
      <c r="D2814" s="157"/>
    </row>
    <row r="2815" spans="1:4" x14ac:dyDescent="0.3">
      <c r="A2815" s="157"/>
      <c r="B2815" s="157"/>
      <c r="C2815" s="157"/>
      <c r="D2815" s="157"/>
    </row>
    <row r="2816" spans="1:4" x14ac:dyDescent="0.3">
      <c r="A2816" s="157"/>
      <c r="B2816" s="157"/>
      <c r="C2816" s="157"/>
      <c r="D2816" s="157"/>
    </row>
    <row r="2817" spans="1:4" x14ac:dyDescent="0.3">
      <c r="A2817" s="157"/>
      <c r="B2817" s="157"/>
      <c r="C2817" s="157"/>
      <c r="D2817" s="157"/>
    </row>
    <row r="2818" spans="1:4" x14ac:dyDescent="0.3">
      <c r="A2818" s="157"/>
      <c r="B2818" s="157"/>
      <c r="C2818" s="157"/>
      <c r="D2818" s="157"/>
    </row>
    <row r="2819" spans="1:4" x14ac:dyDescent="0.3">
      <c r="A2819" s="157"/>
      <c r="B2819" s="157"/>
      <c r="C2819" s="157"/>
      <c r="D2819" s="157"/>
    </row>
    <row r="2820" spans="1:4" x14ac:dyDescent="0.3">
      <c r="A2820" s="157"/>
      <c r="B2820" s="157"/>
      <c r="C2820" s="157"/>
      <c r="D2820" s="157"/>
    </row>
    <row r="2821" spans="1:4" x14ac:dyDescent="0.3">
      <c r="A2821" s="157"/>
      <c r="B2821" s="157"/>
      <c r="C2821" s="157"/>
      <c r="D2821" s="157"/>
    </row>
    <row r="2822" spans="1:4" x14ac:dyDescent="0.3">
      <c r="A2822" s="157"/>
      <c r="B2822" s="157"/>
      <c r="C2822" s="157"/>
      <c r="D2822" s="157"/>
    </row>
    <row r="2823" spans="1:4" x14ac:dyDescent="0.3">
      <c r="A2823" s="157"/>
      <c r="B2823" s="157"/>
      <c r="C2823" s="157"/>
      <c r="D2823" s="157"/>
    </row>
    <row r="2824" spans="1:4" x14ac:dyDescent="0.3">
      <c r="A2824" s="157"/>
      <c r="B2824" s="157"/>
      <c r="C2824" s="157"/>
      <c r="D2824" s="157"/>
    </row>
    <row r="2825" spans="1:4" x14ac:dyDescent="0.3">
      <c r="A2825" s="157"/>
      <c r="B2825" s="157"/>
      <c r="C2825" s="157"/>
      <c r="D2825" s="157"/>
    </row>
    <row r="2826" spans="1:4" x14ac:dyDescent="0.3">
      <c r="A2826" s="157"/>
      <c r="B2826" s="157"/>
      <c r="C2826" s="157"/>
      <c r="D2826" s="157"/>
    </row>
    <row r="2827" spans="1:4" x14ac:dyDescent="0.3">
      <c r="A2827" s="157"/>
      <c r="B2827" s="157"/>
      <c r="C2827" s="157"/>
      <c r="D2827" s="157"/>
    </row>
    <row r="2828" spans="1:4" x14ac:dyDescent="0.3">
      <c r="A2828" s="157"/>
      <c r="B2828" s="157"/>
      <c r="C2828" s="157"/>
      <c r="D2828" s="157"/>
    </row>
    <row r="2829" spans="1:4" x14ac:dyDescent="0.3">
      <c r="A2829" s="157"/>
      <c r="B2829" s="157"/>
      <c r="C2829" s="157"/>
      <c r="D2829" s="157"/>
    </row>
    <row r="2830" spans="1:4" x14ac:dyDescent="0.3">
      <c r="A2830" s="157"/>
      <c r="B2830" s="157"/>
      <c r="C2830" s="157"/>
      <c r="D2830" s="157"/>
    </row>
    <row r="2831" spans="1:4" x14ac:dyDescent="0.3">
      <c r="A2831" s="157"/>
      <c r="B2831" s="157"/>
      <c r="C2831" s="157"/>
      <c r="D2831" s="157"/>
    </row>
    <row r="2832" spans="1:4" x14ac:dyDescent="0.3">
      <c r="A2832" s="157"/>
      <c r="B2832" s="157"/>
      <c r="C2832" s="157"/>
      <c r="D2832" s="157"/>
    </row>
    <row r="2833" spans="1:4" x14ac:dyDescent="0.3">
      <c r="A2833" s="157"/>
      <c r="B2833" s="157"/>
      <c r="C2833" s="157"/>
      <c r="D2833" s="157"/>
    </row>
    <row r="2834" spans="1:4" x14ac:dyDescent="0.3">
      <c r="A2834" s="157"/>
      <c r="B2834" s="157"/>
      <c r="C2834" s="157"/>
      <c r="D2834" s="157"/>
    </row>
    <row r="2835" spans="1:4" x14ac:dyDescent="0.3">
      <c r="A2835" s="157"/>
      <c r="B2835" s="157"/>
      <c r="C2835" s="157"/>
      <c r="D2835" s="157"/>
    </row>
    <row r="2836" spans="1:4" x14ac:dyDescent="0.3">
      <c r="A2836" s="157"/>
      <c r="B2836" s="157"/>
      <c r="C2836" s="157"/>
      <c r="D2836" s="157"/>
    </row>
    <row r="2837" spans="1:4" x14ac:dyDescent="0.3">
      <c r="A2837" s="157"/>
      <c r="B2837" s="157"/>
      <c r="C2837" s="157"/>
      <c r="D2837" s="157"/>
    </row>
    <row r="2838" spans="1:4" x14ac:dyDescent="0.3">
      <c r="A2838" s="157"/>
      <c r="B2838" s="157"/>
      <c r="C2838" s="157"/>
      <c r="D2838" s="157"/>
    </row>
    <row r="2839" spans="1:4" x14ac:dyDescent="0.3">
      <c r="A2839" s="157"/>
      <c r="B2839" s="157"/>
      <c r="C2839" s="157"/>
      <c r="D2839" s="157"/>
    </row>
    <row r="2840" spans="1:4" x14ac:dyDescent="0.3">
      <c r="A2840" s="157"/>
      <c r="B2840" s="157"/>
      <c r="C2840" s="157"/>
      <c r="D2840" s="157"/>
    </row>
    <row r="2841" spans="1:4" x14ac:dyDescent="0.3">
      <c r="A2841" s="157"/>
      <c r="B2841" s="157"/>
      <c r="C2841" s="157"/>
      <c r="D2841" s="157"/>
    </row>
    <row r="2842" spans="1:4" x14ac:dyDescent="0.3">
      <c r="A2842" s="157"/>
      <c r="B2842" s="157"/>
      <c r="C2842" s="157"/>
      <c r="D2842" s="157"/>
    </row>
    <row r="2843" spans="1:4" x14ac:dyDescent="0.3">
      <c r="A2843" s="157"/>
      <c r="B2843" s="157"/>
      <c r="C2843" s="157"/>
      <c r="D2843" s="157"/>
    </row>
    <row r="2844" spans="1:4" x14ac:dyDescent="0.3">
      <c r="A2844" s="157"/>
      <c r="B2844" s="157"/>
      <c r="C2844" s="157"/>
      <c r="D2844" s="157"/>
    </row>
    <row r="2845" spans="1:4" x14ac:dyDescent="0.3">
      <c r="A2845" s="157"/>
      <c r="B2845" s="157"/>
      <c r="C2845" s="157"/>
      <c r="D2845" s="157"/>
    </row>
    <row r="2846" spans="1:4" x14ac:dyDescent="0.3">
      <c r="A2846" s="157"/>
      <c r="B2846" s="157"/>
      <c r="C2846" s="157"/>
      <c r="D2846" s="157"/>
    </row>
    <row r="2847" spans="1:4" x14ac:dyDescent="0.3">
      <c r="A2847" s="157"/>
      <c r="B2847" s="157"/>
      <c r="C2847" s="157"/>
      <c r="D2847" s="157"/>
    </row>
    <row r="2848" spans="1:4" x14ac:dyDescent="0.3">
      <c r="A2848" s="157"/>
      <c r="B2848" s="157"/>
      <c r="C2848" s="157"/>
      <c r="D2848" s="157"/>
    </row>
    <row r="2849" spans="1:4" x14ac:dyDescent="0.3">
      <c r="A2849" s="157"/>
      <c r="B2849" s="157"/>
      <c r="C2849" s="157"/>
      <c r="D2849" s="157"/>
    </row>
    <row r="2850" spans="1:4" x14ac:dyDescent="0.3">
      <c r="A2850" s="157"/>
      <c r="B2850" s="157"/>
      <c r="C2850" s="157"/>
      <c r="D2850" s="157"/>
    </row>
    <row r="2851" spans="1:4" x14ac:dyDescent="0.3">
      <c r="A2851" s="157"/>
      <c r="B2851" s="157"/>
      <c r="C2851" s="157"/>
      <c r="D2851" s="157"/>
    </row>
    <row r="2852" spans="1:4" x14ac:dyDescent="0.3">
      <c r="A2852" s="157"/>
      <c r="B2852" s="157"/>
      <c r="C2852" s="157"/>
      <c r="D2852" s="157"/>
    </row>
    <row r="2853" spans="1:4" x14ac:dyDescent="0.3">
      <c r="A2853" s="157"/>
      <c r="B2853" s="157"/>
      <c r="C2853" s="157"/>
      <c r="D2853" s="157"/>
    </row>
    <row r="2854" spans="1:4" x14ac:dyDescent="0.3">
      <c r="A2854" s="157"/>
      <c r="B2854" s="157"/>
      <c r="C2854" s="157"/>
      <c r="D2854" s="157"/>
    </row>
    <row r="2855" spans="1:4" x14ac:dyDescent="0.3">
      <c r="A2855" s="157"/>
      <c r="B2855" s="157"/>
      <c r="C2855" s="157"/>
      <c r="D2855" s="157"/>
    </row>
    <row r="2856" spans="1:4" x14ac:dyDescent="0.3">
      <c r="A2856" s="157"/>
      <c r="B2856" s="157"/>
      <c r="C2856" s="157"/>
      <c r="D2856" s="157"/>
    </row>
    <row r="2857" spans="1:4" x14ac:dyDescent="0.3">
      <c r="A2857" s="157"/>
      <c r="B2857" s="157"/>
      <c r="C2857" s="157"/>
      <c r="D2857" s="157"/>
    </row>
    <row r="2858" spans="1:4" x14ac:dyDescent="0.3">
      <c r="A2858" s="157"/>
      <c r="B2858" s="157"/>
      <c r="C2858" s="157"/>
      <c r="D2858" s="157"/>
    </row>
    <row r="2859" spans="1:4" x14ac:dyDescent="0.3">
      <c r="A2859" s="157"/>
      <c r="B2859" s="157"/>
      <c r="C2859" s="157"/>
      <c r="D2859" s="157"/>
    </row>
    <row r="2860" spans="1:4" x14ac:dyDescent="0.3">
      <c r="A2860" s="157"/>
      <c r="B2860" s="157"/>
      <c r="C2860" s="157"/>
      <c r="D2860" s="157"/>
    </row>
    <row r="2861" spans="1:4" x14ac:dyDescent="0.3">
      <c r="A2861" s="157"/>
      <c r="B2861" s="157"/>
      <c r="C2861" s="157"/>
      <c r="D2861" s="157"/>
    </row>
    <row r="2862" spans="1:4" x14ac:dyDescent="0.3">
      <c r="A2862" s="157"/>
      <c r="B2862" s="157"/>
      <c r="C2862" s="157"/>
      <c r="D2862" s="157"/>
    </row>
    <row r="2863" spans="1:4" x14ac:dyDescent="0.3">
      <c r="A2863" s="157"/>
      <c r="B2863" s="157"/>
      <c r="C2863" s="157"/>
      <c r="D2863" s="157"/>
    </row>
    <row r="2864" spans="1:4" x14ac:dyDescent="0.3">
      <c r="A2864" s="157"/>
      <c r="B2864" s="157"/>
      <c r="C2864" s="157"/>
      <c r="D2864" s="157"/>
    </row>
    <row r="2865" spans="1:4" x14ac:dyDescent="0.3">
      <c r="A2865" s="157"/>
      <c r="B2865" s="157"/>
      <c r="C2865" s="157"/>
      <c r="D2865" s="157"/>
    </row>
    <row r="2866" spans="1:4" x14ac:dyDescent="0.3">
      <c r="A2866" s="157"/>
      <c r="B2866" s="157"/>
      <c r="C2866" s="157"/>
      <c r="D2866" s="157"/>
    </row>
    <row r="2867" spans="1:4" x14ac:dyDescent="0.3">
      <c r="A2867" s="157"/>
      <c r="B2867" s="157"/>
      <c r="C2867" s="157"/>
      <c r="D2867" s="157"/>
    </row>
    <row r="2868" spans="1:4" x14ac:dyDescent="0.3">
      <c r="A2868" s="157"/>
      <c r="B2868" s="157"/>
      <c r="C2868" s="157"/>
      <c r="D2868" s="157"/>
    </row>
    <row r="2869" spans="1:4" x14ac:dyDescent="0.3">
      <c r="A2869" s="157"/>
      <c r="B2869" s="157"/>
      <c r="C2869" s="157"/>
      <c r="D2869" s="157"/>
    </row>
    <row r="2870" spans="1:4" x14ac:dyDescent="0.3">
      <c r="A2870" s="157"/>
      <c r="B2870" s="157"/>
      <c r="C2870" s="157"/>
      <c r="D2870" s="157"/>
    </row>
    <row r="2871" spans="1:4" x14ac:dyDescent="0.3">
      <c r="A2871" s="157"/>
      <c r="B2871" s="157"/>
      <c r="C2871" s="157"/>
      <c r="D2871" s="157"/>
    </row>
    <row r="2872" spans="1:4" x14ac:dyDescent="0.3">
      <c r="A2872" s="157"/>
      <c r="B2872" s="157"/>
      <c r="C2872" s="157"/>
      <c r="D2872" s="157"/>
    </row>
    <row r="2873" spans="1:4" x14ac:dyDescent="0.3">
      <c r="A2873" s="157"/>
      <c r="B2873" s="157"/>
      <c r="C2873" s="157"/>
      <c r="D2873" s="157"/>
    </row>
    <row r="2874" spans="1:4" x14ac:dyDescent="0.3">
      <c r="A2874" s="157"/>
      <c r="B2874" s="157"/>
      <c r="C2874" s="157"/>
      <c r="D2874" s="157"/>
    </row>
    <row r="2875" spans="1:4" x14ac:dyDescent="0.3">
      <c r="A2875" s="157"/>
      <c r="B2875" s="157"/>
      <c r="C2875" s="157"/>
      <c r="D2875" s="157"/>
    </row>
    <row r="2876" spans="1:4" x14ac:dyDescent="0.3">
      <c r="A2876" s="157"/>
      <c r="B2876" s="157"/>
      <c r="C2876" s="157"/>
      <c r="D2876" s="157"/>
    </row>
    <row r="2877" spans="1:4" x14ac:dyDescent="0.3">
      <c r="A2877" s="157"/>
      <c r="B2877" s="157"/>
      <c r="C2877" s="157"/>
      <c r="D2877" s="157"/>
    </row>
    <row r="2878" spans="1:4" x14ac:dyDescent="0.3">
      <c r="A2878" s="157"/>
      <c r="B2878" s="157"/>
      <c r="C2878" s="157"/>
      <c r="D2878" s="157"/>
    </row>
    <row r="2879" spans="1:4" x14ac:dyDescent="0.3">
      <c r="A2879" s="157"/>
      <c r="B2879" s="157"/>
      <c r="C2879" s="157"/>
      <c r="D2879" s="157"/>
    </row>
    <row r="2880" spans="1:4" x14ac:dyDescent="0.3">
      <c r="A2880" s="157"/>
      <c r="B2880" s="157"/>
      <c r="C2880" s="157"/>
      <c r="D2880" s="157"/>
    </row>
    <row r="2881" spans="1:4" x14ac:dyDescent="0.3">
      <c r="A2881" s="157"/>
      <c r="B2881" s="157"/>
      <c r="C2881" s="157"/>
      <c r="D2881" s="157"/>
    </row>
    <row r="2882" spans="1:4" x14ac:dyDescent="0.3">
      <c r="A2882" s="157"/>
      <c r="B2882" s="157"/>
      <c r="C2882" s="157"/>
      <c r="D2882" s="157"/>
    </row>
    <row r="2883" spans="1:4" x14ac:dyDescent="0.3">
      <c r="A2883" s="157"/>
      <c r="B2883" s="157"/>
      <c r="C2883" s="157"/>
      <c r="D2883" s="157"/>
    </row>
    <row r="2884" spans="1:4" x14ac:dyDescent="0.3">
      <c r="A2884" s="157"/>
      <c r="B2884" s="157"/>
      <c r="C2884" s="157"/>
      <c r="D2884" s="157"/>
    </row>
    <row r="2885" spans="1:4" x14ac:dyDescent="0.3">
      <c r="A2885" s="157"/>
      <c r="B2885" s="157"/>
      <c r="C2885" s="157"/>
      <c r="D2885" s="157"/>
    </row>
    <row r="2886" spans="1:4" x14ac:dyDescent="0.3">
      <c r="A2886" s="157"/>
      <c r="B2886" s="157"/>
      <c r="C2886" s="157"/>
      <c r="D2886" s="157"/>
    </row>
    <row r="2887" spans="1:4" x14ac:dyDescent="0.3">
      <c r="A2887" s="157"/>
      <c r="B2887" s="157"/>
      <c r="C2887" s="157"/>
      <c r="D2887" s="157"/>
    </row>
    <row r="2888" spans="1:4" x14ac:dyDescent="0.3">
      <c r="A2888" s="157"/>
      <c r="B2888" s="157"/>
      <c r="C2888" s="157"/>
      <c r="D2888" s="157"/>
    </row>
    <row r="2889" spans="1:4" x14ac:dyDescent="0.3">
      <c r="A2889" s="157"/>
      <c r="B2889" s="157"/>
      <c r="C2889" s="157"/>
      <c r="D2889" s="157"/>
    </row>
    <row r="2890" spans="1:4" x14ac:dyDescent="0.3">
      <c r="A2890" s="157"/>
      <c r="B2890" s="157"/>
      <c r="C2890" s="157"/>
      <c r="D2890" s="157"/>
    </row>
    <row r="2891" spans="1:4" x14ac:dyDescent="0.3">
      <c r="A2891" s="157"/>
      <c r="B2891" s="157"/>
      <c r="C2891" s="157"/>
      <c r="D2891" s="157"/>
    </row>
    <row r="2892" spans="1:4" x14ac:dyDescent="0.3">
      <c r="A2892" s="157"/>
      <c r="B2892" s="157"/>
      <c r="C2892" s="157"/>
      <c r="D2892" s="157"/>
    </row>
    <row r="2893" spans="1:4" x14ac:dyDescent="0.3">
      <c r="A2893" s="157"/>
      <c r="B2893" s="157"/>
      <c r="C2893" s="157"/>
      <c r="D2893" s="157"/>
    </row>
    <row r="2894" spans="1:4" x14ac:dyDescent="0.3">
      <c r="A2894" s="157"/>
      <c r="B2894" s="157"/>
      <c r="C2894" s="157"/>
      <c r="D2894" s="157"/>
    </row>
    <row r="2895" spans="1:4" x14ac:dyDescent="0.3">
      <c r="A2895" s="157"/>
      <c r="B2895" s="157"/>
      <c r="C2895" s="157"/>
      <c r="D2895" s="157"/>
    </row>
    <row r="2896" spans="1:4" x14ac:dyDescent="0.3">
      <c r="A2896" s="157"/>
      <c r="B2896" s="157"/>
      <c r="C2896" s="157"/>
      <c r="D2896" s="157"/>
    </row>
    <row r="2897" spans="1:4" x14ac:dyDescent="0.3">
      <c r="A2897" s="157"/>
      <c r="B2897" s="157"/>
      <c r="C2897" s="157"/>
      <c r="D2897" s="157"/>
    </row>
    <row r="2898" spans="1:4" x14ac:dyDescent="0.3">
      <c r="A2898" s="157"/>
      <c r="B2898" s="157"/>
      <c r="C2898" s="157"/>
      <c r="D2898" s="157"/>
    </row>
    <row r="2899" spans="1:4" x14ac:dyDescent="0.3">
      <c r="A2899" s="157"/>
      <c r="B2899" s="157"/>
      <c r="C2899" s="157"/>
      <c r="D2899" s="157"/>
    </row>
    <row r="2900" spans="1:4" x14ac:dyDescent="0.3">
      <c r="A2900" s="157"/>
      <c r="B2900" s="157"/>
      <c r="C2900" s="157"/>
      <c r="D2900" s="157"/>
    </row>
    <row r="2901" spans="1:4" x14ac:dyDescent="0.3">
      <c r="A2901" s="157"/>
      <c r="B2901" s="157"/>
      <c r="C2901" s="157"/>
      <c r="D2901" s="157"/>
    </row>
    <row r="2902" spans="1:4" x14ac:dyDescent="0.3">
      <c r="A2902" s="157"/>
      <c r="B2902" s="157"/>
      <c r="C2902" s="157"/>
      <c r="D2902" s="157"/>
    </row>
    <row r="2903" spans="1:4" x14ac:dyDescent="0.3">
      <c r="A2903" s="157"/>
      <c r="B2903" s="157"/>
      <c r="C2903" s="157"/>
      <c r="D2903" s="157"/>
    </row>
    <row r="2904" spans="1:4" x14ac:dyDescent="0.3">
      <c r="A2904" s="157"/>
      <c r="B2904" s="157"/>
      <c r="C2904" s="157"/>
      <c r="D2904" s="157"/>
    </row>
    <row r="2905" spans="1:4" x14ac:dyDescent="0.3">
      <c r="A2905" s="157"/>
      <c r="B2905" s="157"/>
      <c r="C2905" s="157"/>
      <c r="D2905" s="157"/>
    </row>
    <row r="2906" spans="1:4" x14ac:dyDescent="0.3">
      <c r="A2906" s="157"/>
      <c r="B2906" s="157"/>
      <c r="C2906" s="157"/>
      <c r="D2906" s="157"/>
    </row>
    <row r="2907" spans="1:4" x14ac:dyDescent="0.3">
      <c r="A2907" s="157"/>
      <c r="B2907" s="157"/>
      <c r="C2907" s="157"/>
      <c r="D2907" s="157"/>
    </row>
    <row r="2908" spans="1:4" x14ac:dyDescent="0.3">
      <c r="A2908" s="157"/>
      <c r="B2908" s="157"/>
      <c r="C2908" s="157"/>
      <c r="D2908" s="157"/>
    </row>
    <row r="2909" spans="1:4" x14ac:dyDescent="0.3">
      <c r="A2909" s="157"/>
      <c r="B2909" s="157"/>
      <c r="C2909" s="157"/>
      <c r="D2909" s="157"/>
    </row>
    <row r="2910" spans="1:4" x14ac:dyDescent="0.3">
      <c r="A2910" s="157"/>
      <c r="B2910" s="157"/>
      <c r="C2910" s="157"/>
      <c r="D2910" s="157"/>
    </row>
    <row r="2911" spans="1:4" x14ac:dyDescent="0.3">
      <c r="A2911" s="157"/>
      <c r="B2911" s="157"/>
      <c r="C2911" s="157"/>
      <c r="D2911" s="157"/>
    </row>
    <row r="2912" spans="1:4" x14ac:dyDescent="0.3">
      <c r="A2912" s="157"/>
      <c r="B2912" s="157"/>
      <c r="C2912" s="157"/>
      <c r="D2912" s="157"/>
    </row>
    <row r="2913" spans="1:4" x14ac:dyDescent="0.3">
      <c r="A2913" s="157"/>
      <c r="B2913" s="157"/>
      <c r="C2913" s="157"/>
      <c r="D2913" s="157"/>
    </row>
    <row r="2914" spans="1:4" x14ac:dyDescent="0.3">
      <c r="A2914" s="157"/>
      <c r="B2914" s="157"/>
      <c r="C2914" s="157"/>
      <c r="D2914" s="157"/>
    </row>
    <row r="2915" spans="1:4" x14ac:dyDescent="0.3">
      <c r="A2915" s="157"/>
      <c r="B2915" s="157"/>
      <c r="C2915" s="157"/>
      <c r="D2915" s="157"/>
    </row>
    <row r="2916" spans="1:4" x14ac:dyDescent="0.3">
      <c r="A2916" s="157"/>
      <c r="B2916" s="157"/>
      <c r="C2916" s="157"/>
      <c r="D2916" s="157"/>
    </row>
    <row r="2917" spans="1:4" x14ac:dyDescent="0.3">
      <c r="A2917" s="157"/>
      <c r="B2917" s="157"/>
      <c r="C2917" s="157"/>
      <c r="D2917" s="157"/>
    </row>
    <row r="2918" spans="1:4" x14ac:dyDescent="0.3">
      <c r="A2918" s="157"/>
      <c r="B2918" s="157"/>
      <c r="C2918" s="157"/>
      <c r="D2918" s="157"/>
    </row>
    <row r="2919" spans="1:4" x14ac:dyDescent="0.3">
      <c r="A2919" s="157"/>
      <c r="B2919" s="157"/>
      <c r="C2919" s="157"/>
      <c r="D2919" s="157"/>
    </row>
    <row r="2920" spans="1:4" x14ac:dyDescent="0.3">
      <c r="A2920" s="157"/>
      <c r="B2920" s="157"/>
      <c r="C2920" s="157"/>
      <c r="D2920" s="157"/>
    </row>
    <row r="2921" spans="1:4" x14ac:dyDescent="0.3">
      <c r="A2921" s="157"/>
      <c r="B2921" s="157"/>
      <c r="C2921" s="157"/>
      <c r="D2921" s="157"/>
    </row>
    <row r="2922" spans="1:4" x14ac:dyDescent="0.3">
      <c r="A2922" s="157"/>
      <c r="B2922" s="157"/>
      <c r="C2922" s="157"/>
      <c r="D2922" s="157"/>
    </row>
    <row r="2923" spans="1:4" x14ac:dyDescent="0.3">
      <c r="A2923" s="157"/>
      <c r="B2923" s="157"/>
      <c r="C2923" s="157"/>
      <c r="D2923" s="157"/>
    </row>
    <row r="2924" spans="1:4" x14ac:dyDescent="0.3">
      <c r="A2924" s="157"/>
      <c r="B2924" s="157"/>
      <c r="C2924" s="157"/>
      <c r="D2924" s="157"/>
    </row>
    <row r="2925" spans="1:4" x14ac:dyDescent="0.3">
      <c r="A2925" s="157"/>
      <c r="B2925" s="157"/>
      <c r="C2925" s="157"/>
      <c r="D2925" s="157"/>
    </row>
    <row r="2926" spans="1:4" x14ac:dyDescent="0.3">
      <c r="A2926" s="157"/>
      <c r="B2926" s="157"/>
      <c r="C2926" s="157"/>
      <c r="D2926" s="157"/>
    </row>
    <row r="2927" spans="1:4" x14ac:dyDescent="0.3">
      <c r="A2927" s="157"/>
      <c r="B2927" s="157"/>
      <c r="C2927" s="157"/>
      <c r="D2927" s="157"/>
    </row>
    <row r="2928" spans="1:4" x14ac:dyDescent="0.3">
      <c r="A2928" s="157"/>
      <c r="B2928" s="157"/>
      <c r="C2928" s="157"/>
      <c r="D2928" s="157"/>
    </row>
    <row r="2929" spans="1:4" x14ac:dyDescent="0.3">
      <c r="A2929" s="157"/>
      <c r="B2929" s="157"/>
      <c r="C2929" s="157"/>
      <c r="D2929" s="157"/>
    </row>
    <row r="2930" spans="1:4" x14ac:dyDescent="0.3">
      <c r="A2930" s="157"/>
      <c r="B2930" s="157"/>
      <c r="C2930" s="157"/>
      <c r="D2930" s="157"/>
    </row>
    <row r="2931" spans="1:4" x14ac:dyDescent="0.3">
      <c r="A2931" s="157"/>
      <c r="B2931" s="157"/>
      <c r="C2931" s="157"/>
      <c r="D2931" s="157"/>
    </row>
    <row r="2932" spans="1:4" x14ac:dyDescent="0.3">
      <c r="A2932" s="157"/>
      <c r="B2932" s="157"/>
      <c r="C2932" s="157"/>
      <c r="D2932" s="157"/>
    </row>
    <row r="2933" spans="1:4" x14ac:dyDescent="0.3">
      <c r="A2933" s="157"/>
      <c r="B2933" s="157"/>
      <c r="C2933" s="157"/>
      <c r="D2933" s="157"/>
    </row>
    <row r="2934" spans="1:4" x14ac:dyDescent="0.3">
      <c r="A2934" s="157"/>
      <c r="B2934" s="157"/>
      <c r="C2934" s="157"/>
      <c r="D2934" s="157"/>
    </row>
    <row r="2935" spans="1:4" x14ac:dyDescent="0.3">
      <c r="A2935" s="157"/>
      <c r="B2935" s="157"/>
      <c r="C2935" s="157"/>
      <c r="D2935" s="157"/>
    </row>
    <row r="2936" spans="1:4" x14ac:dyDescent="0.3">
      <c r="A2936" s="157"/>
      <c r="B2936" s="157"/>
      <c r="C2936" s="157"/>
      <c r="D2936" s="157"/>
    </row>
    <row r="2937" spans="1:4" x14ac:dyDescent="0.3">
      <c r="A2937" s="157"/>
      <c r="B2937" s="157"/>
      <c r="C2937" s="157"/>
      <c r="D2937" s="157"/>
    </row>
    <row r="2938" spans="1:4" x14ac:dyDescent="0.3">
      <c r="A2938" s="157"/>
      <c r="B2938" s="157"/>
      <c r="C2938" s="157"/>
      <c r="D2938" s="157"/>
    </row>
    <row r="2939" spans="1:4" x14ac:dyDescent="0.3">
      <c r="A2939" s="157"/>
      <c r="B2939" s="157"/>
      <c r="C2939" s="157"/>
      <c r="D2939" s="157"/>
    </row>
    <row r="2940" spans="1:4" x14ac:dyDescent="0.3">
      <c r="A2940" s="157"/>
      <c r="B2940" s="157"/>
      <c r="C2940" s="157"/>
      <c r="D2940" s="157"/>
    </row>
    <row r="2941" spans="1:4" x14ac:dyDescent="0.3">
      <c r="A2941" s="157"/>
      <c r="B2941" s="157"/>
      <c r="C2941" s="157"/>
      <c r="D2941" s="157"/>
    </row>
    <row r="2942" spans="1:4" x14ac:dyDescent="0.3">
      <c r="A2942" s="157"/>
      <c r="B2942" s="157"/>
      <c r="C2942" s="157"/>
      <c r="D2942" s="157"/>
    </row>
    <row r="2943" spans="1:4" x14ac:dyDescent="0.3">
      <c r="A2943" s="157"/>
      <c r="B2943" s="157"/>
      <c r="C2943" s="157"/>
      <c r="D2943" s="157"/>
    </row>
    <row r="2944" spans="1:4" x14ac:dyDescent="0.3">
      <c r="A2944" s="157"/>
      <c r="B2944" s="157"/>
      <c r="C2944" s="157"/>
      <c r="D2944" s="157"/>
    </row>
    <row r="2945" spans="1:4" x14ac:dyDescent="0.3">
      <c r="A2945" s="157"/>
      <c r="B2945" s="157"/>
      <c r="C2945" s="157"/>
      <c r="D2945" s="157"/>
    </row>
    <row r="2946" spans="1:4" x14ac:dyDescent="0.3">
      <c r="A2946" s="157"/>
      <c r="B2946" s="157"/>
      <c r="C2946" s="157"/>
      <c r="D2946" s="157"/>
    </row>
    <row r="2947" spans="1:4" x14ac:dyDescent="0.3">
      <c r="A2947" s="157"/>
      <c r="B2947" s="157"/>
      <c r="C2947" s="157"/>
      <c r="D2947" s="157"/>
    </row>
    <row r="2948" spans="1:4" x14ac:dyDescent="0.3">
      <c r="A2948" s="157"/>
      <c r="B2948" s="157"/>
      <c r="C2948" s="157"/>
      <c r="D2948" s="157"/>
    </row>
    <row r="2949" spans="1:4" x14ac:dyDescent="0.3">
      <c r="A2949" s="157"/>
      <c r="B2949" s="157"/>
      <c r="C2949" s="157"/>
      <c r="D2949" s="157"/>
    </row>
    <row r="2950" spans="1:4" x14ac:dyDescent="0.3">
      <c r="A2950" s="157"/>
      <c r="B2950" s="157"/>
      <c r="C2950" s="157"/>
      <c r="D2950" s="157"/>
    </row>
    <row r="2951" spans="1:4" x14ac:dyDescent="0.3">
      <c r="A2951" s="157"/>
      <c r="B2951" s="157"/>
      <c r="C2951" s="157"/>
      <c r="D2951" s="157"/>
    </row>
    <row r="2952" spans="1:4" x14ac:dyDescent="0.3">
      <c r="A2952" s="157"/>
      <c r="B2952" s="157"/>
      <c r="C2952" s="157"/>
      <c r="D2952" s="157"/>
    </row>
    <row r="2953" spans="1:4" x14ac:dyDescent="0.3">
      <c r="A2953" s="157"/>
      <c r="B2953" s="157"/>
      <c r="C2953" s="157"/>
      <c r="D2953" s="157"/>
    </row>
    <row r="2954" spans="1:4" x14ac:dyDescent="0.3">
      <c r="A2954" s="157"/>
      <c r="B2954" s="157"/>
      <c r="C2954" s="157"/>
      <c r="D2954" s="157"/>
    </row>
    <row r="2955" spans="1:4" x14ac:dyDescent="0.3">
      <c r="A2955" s="157"/>
      <c r="B2955" s="157"/>
      <c r="C2955" s="157"/>
      <c r="D2955" s="157"/>
    </row>
    <row r="2956" spans="1:4" x14ac:dyDescent="0.3">
      <c r="A2956" s="157"/>
      <c r="B2956" s="157"/>
      <c r="C2956" s="157"/>
      <c r="D2956" s="157"/>
    </row>
    <row r="2957" spans="1:4" x14ac:dyDescent="0.3">
      <c r="A2957" s="157"/>
      <c r="B2957" s="157"/>
      <c r="C2957" s="157"/>
      <c r="D2957" s="157"/>
    </row>
    <row r="2958" spans="1:4" x14ac:dyDescent="0.3">
      <c r="A2958" s="157"/>
      <c r="B2958" s="157"/>
      <c r="C2958" s="157"/>
      <c r="D2958" s="157"/>
    </row>
    <row r="2959" spans="1:4" x14ac:dyDescent="0.3">
      <c r="A2959" s="157"/>
      <c r="B2959" s="157"/>
      <c r="C2959" s="157"/>
      <c r="D2959" s="157"/>
    </row>
    <row r="2960" spans="1:4" x14ac:dyDescent="0.3">
      <c r="A2960" s="157"/>
      <c r="B2960" s="157"/>
      <c r="C2960" s="157"/>
      <c r="D2960" s="157"/>
    </row>
    <row r="2961" spans="1:4" x14ac:dyDescent="0.3">
      <c r="A2961" s="157"/>
      <c r="B2961" s="157"/>
      <c r="C2961" s="157"/>
      <c r="D2961" s="157"/>
    </row>
    <row r="2962" spans="1:4" x14ac:dyDescent="0.3">
      <c r="A2962" s="157"/>
      <c r="B2962" s="157"/>
      <c r="C2962" s="157"/>
      <c r="D2962" s="157"/>
    </row>
    <row r="2963" spans="1:4" x14ac:dyDescent="0.3">
      <c r="A2963" s="157"/>
      <c r="B2963" s="157"/>
      <c r="C2963" s="157"/>
      <c r="D2963" s="157"/>
    </row>
    <row r="2964" spans="1:4" x14ac:dyDescent="0.3">
      <c r="A2964" s="157"/>
      <c r="B2964" s="157"/>
      <c r="C2964" s="157"/>
      <c r="D2964" s="157"/>
    </row>
    <row r="2965" spans="1:4" x14ac:dyDescent="0.3">
      <c r="A2965" s="157"/>
      <c r="B2965" s="157"/>
      <c r="C2965" s="157"/>
      <c r="D2965" s="157"/>
    </row>
    <row r="2966" spans="1:4" x14ac:dyDescent="0.3">
      <c r="A2966" s="157"/>
      <c r="B2966" s="157"/>
      <c r="C2966" s="157"/>
      <c r="D2966" s="157"/>
    </row>
    <row r="2967" spans="1:4" x14ac:dyDescent="0.3">
      <c r="A2967" s="157"/>
      <c r="B2967" s="157"/>
      <c r="C2967" s="157"/>
      <c r="D2967" s="157"/>
    </row>
    <row r="2968" spans="1:4" x14ac:dyDescent="0.3">
      <c r="A2968" s="157"/>
      <c r="B2968" s="157"/>
      <c r="C2968" s="157"/>
      <c r="D2968" s="157"/>
    </row>
    <row r="2969" spans="1:4" x14ac:dyDescent="0.3">
      <c r="A2969" s="157"/>
      <c r="B2969" s="157"/>
      <c r="C2969" s="157"/>
      <c r="D2969" s="157"/>
    </row>
    <row r="2970" spans="1:4" x14ac:dyDescent="0.3">
      <c r="A2970" s="157"/>
      <c r="B2970" s="157"/>
      <c r="C2970" s="157"/>
      <c r="D2970" s="157"/>
    </row>
    <row r="2971" spans="1:4" x14ac:dyDescent="0.3">
      <c r="A2971" s="157"/>
      <c r="B2971" s="157"/>
      <c r="C2971" s="157"/>
      <c r="D2971" s="157"/>
    </row>
    <row r="2972" spans="1:4" x14ac:dyDescent="0.3">
      <c r="A2972" s="157"/>
      <c r="B2972" s="157"/>
      <c r="C2972" s="157"/>
      <c r="D2972" s="157"/>
    </row>
    <row r="2973" spans="1:4" x14ac:dyDescent="0.3">
      <c r="A2973" s="157"/>
      <c r="B2973" s="157"/>
      <c r="C2973" s="157"/>
      <c r="D2973" s="157"/>
    </row>
    <row r="2974" spans="1:4" x14ac:dyDescent="0.3">
      <c r="A2974" s="157"/>
      <c r="B2974" s="157"/>
      <c r="C2974" s="157"/>
      <c r="D2974" s="157"/>
    </row>
    <row r="2975" spans="1:4" x14ac:dyDescent="0.3">
      <c r="A2975" s="157"/>
      <c r="B2975" s="157"/>
      <c r="C2975" s="157"/>
      <c r="D2975" s="157"/>
    </row>
    <row r="2976" spans="1:4" x14ac:dyDescent="0.3">
      <c r="A2976" s="157"/>
      <c r="B2976" s="157"/>
      <c r="C2976" s="157"/>
      <c r="D2976" s="157"/>
    </row>
    <row r="2977" spans="1:4" x14ac:dyDescent="0.3">
      <c r="A2977" s="157"/>
      <c r="B2977" s="157"/>
      <c r="C2977" s="157"/>
      <c r="D2977" s="157"/>
    </row>
    <row r="2978" spans="1:4" x14ac:dyDescent="0.3">
      <c r="A2978" s="157"/>
      <c r="B2978" s="157"/>
      <c r="C2978" s="157"/>
      <c r="D2978" s="157"/>
    </row>
    <row r="2979" spans="1:4" x14ac:dyDescent="0.3">
      <c r="A2979" s="157"/>
      <c r="B2979" s="157"/>
      <c r="C2979" s="157"/>
      <c r="D2979" s="157"/>
    </row>
    <row r="2980" spans="1:4" x14ac:dyDescent="0.3">
      <c r="A2980" s="157"/>
      <c r="B2980" s="157"/>
      <c r="C2980" s="157"/>
      <c r="D2980" s="157"/>
    </row>
    <row r="2981" spans="1:4" x14ac:dyDescent="0.3">
      <c r="A2981" s="157"/>
      <c r="B2981" s="157"/>
      <c r="C2981" s="157"/>
      <c r="D2981" s="157"/>
    </row>
    <row r="2982" spans="1:4" x14ac:dyDescent="0.3">
      <c r="A2982" s="157"/>
      <c r="B2982" s="157"/>
      <c r="C2982" s="157"/>
      <c r="D2982" s="157"/>
    </row>
    <row r="2983" spans="1:4" x14ac:dyDescent="0.3">
      <c r="A2983" s="157"/>
      <c r="B2983" s="157"/>
      <c r="C2983" s="157"/>
      <c r="D2983" s="157"/>
    </row>
    <row r="2984" spans="1:4" x14ac:dyDescent="0.3">
      <c r="A2984" s="157"/>
      <c r="B2984" s="157"/>
      <c r="C2984" s="157"/>
      <c r="D2984" s="157"/>
    </row>
    <row r="2985" spans="1:4" x14ac:dyDescent="0.3">
      <c r="A2985" s="157"/>
      <c r="B2985" s="157"/>
      <c r="C2985" s="157"/>
      <c r="D2985" s="157"/>
    </row>
    <row r="2986" spans="1:4" x14ac:dyDescent="0.3">
      <c r="A2986" s="157"/>
      <c r="B2986" s="157"/>
      <c r="C2986" s="157"/>
      <c r="D2986" s="157"/>
    </row>
    <row r="2987" spans="1:4" x14ac:dyDescent="0.3">
      <c r="A2987" s="157"/>
      <c r="B2987" s="157"/>
      <c r="C2987" s="157"/>
      <c r="D2987" s="157"/>
    </row>
    <row r="2988" spans="1:4" x14ac:dyDescent="0.3">
      <c r="A2988" s="157"/>
      <c r="B2988" s="157"/>
      <c r="C2988" s="157"/>
      <c r="D2988" s="157"/>
    </row>
    <row r="2989" spans="1:4" x14ac:dyDescent="0.3">
      <c r="A2989" s="157"/>
      <c r="B2989" s="157"/>
      <c r="C2989" s="157"/>
      <c r="D2989" s="157"/>
    </row>
    <row r="2990" spans="1:4" x14ac:dyDescent="0.3">
      <c r="A2990" s="157"/>
      <c r="B2990" s="157"/>
      <c r="C2990" s="157"/>
      <c r="D2990" s="157"/>
    </row>
    <row r="2991" spans="1:4" x14ac:dyDescent="0.3">
      <c r="A2991" s="157"/>
      <c r="B2991" s="157"/>
      <c r="C2991" s="157"/>
      <c r="D2991" s="157"/>
    </row>
    <row r="2992" spans="1:4" x14ac:dyDescent="0.3">
      <c r="A2992" s="157"/>
      <c r="B2992" s="157"/>
      <c r="C2992" s="157"/>
      <c r="D2992" s="157"/>
    </row>
    <row r="2993" spans="1:4" x14ac:dyDescent="0.3">
      <c r="A2993" s="157"/>
      <c r="B2993" s="157"/>
      <c r="C2993" s="157"/>
      <c r="D2993" s="157"/>
    </row>
    <row r="2994" spans="1:4" x14ac:dyDescent="0.3">
      <c r="A2994" s="157"/>
      <c r="B2994" s="157"/>
      <c r="C2994" s="157"/>
      <c r="D2994" s="157"/>
    </row>
    <row r="2995" spans="1:4" x14ac:dyDescent="0.3">
      <c r="A2995" s="157"/>
      <c r="B2995" s="157"/>
      <c r="C2995" s="157"/>
      <c r="D2995" s="157"/>
    </row>
    <row r="2996" spans="1:4" x14ac:dyDescent="0.3">
      <c r="A2996" s="157"/>
      <c r="B2996" s="157"/>
      <c r="C2996" s="157"/>
      <c r="D2996" s="157"/>
    </row>
    <row r="2997" spans="1:4" x14ac:dyDescent="0.3">
      <c r="A2997" s="157"/>
      <c r="B2997" s="157"/>
      <c r="C2997" s="157"/>
      <c r="D2997" s="157"/>
    </row>
    <row r="2998" spans="1:4" x14ac:dyDescent="0.3">
      <c r="A2998" s="157"/>
      <c r="B2998" s="157"/>
      <c r="C2998" s="157"/>
      <c r="D2998" s="157"/>
    </row>
    <row r="2999" spans="1:4" x14ac:dyDescent="0.3">
      <c r="A2999" s="157"/>
      <c r="B2999" s="157"/>
      <c r="C2999" s="157"/>
      <c r="D2999" s="157"/>
    </row>
    <row r="3000" spans="1:4" x14ac:dyDescent="0.3">
      <c r="A3000" s="157"/>
      <c r="B3000" s="157"/>
      <c r="C3000" s="157"/>
      <c r="D3000" s="157"/>
    </row>
    <row r="3001" spans="1:4" x14ac:dyDescent="0.3">
      <c r="A3001" s="157"/>
      <c r="B3001" s="157"/>
      <c r="C3001" s="157"/>
      <c r="D3001" s="157"/>
    </row>
    <row r="3002" spans="1:4" x14ac:dyDescent="0.3">
      <c r="A3002" s="157"/>
      <c r="B3002" s="157"/>
      <c r="C3002" s="157"/>
      <c r="D3002" s="157"/>
    </row>
    <row r="3003" spans="1:4" x14ac:dyDescent="0.3">
      <c r="A3003" s="157"/>
      <c r="B3003" s="157"/>
      <c r="C3003" s="157"/>
      <c r="D3003" s="157"/>
    </row>
    <row r="3004" spans="1:4" x14ac:dyDescent="0.3">
      <c r="A3004" s="157"/>
      <c r="B3004" s="157"/>
      <c r="C3004" s="157"/>
      <c r="D3004" s="157"/>
    </row>
    <row r="3005" spans="1:4" x14ac:dyDescent="0.3">
      <c r="A3005" s="157"/>
      <c r="B3005" s="157"/>
      <c r="C3005" s="157"/>
      <c r="D3005" s="157"/>
    </row>
    <row r="3006" spans="1:4" x14ac:dyDescent="0.3">
      <c r="A3006" s="157"/>
      <c r="B3006" s="157"/>
      <c r="C3006" s="157"/>
      <c r="D3006" s="157"/>
    </row>
    <row r="3007" spans="1:4" x14ac:dyDescent="0.3">
      <c r="A3007" s="157"/>
      <c r="B3007" s="157"/>
      <c r="C3007" s="157"/>
      <c r="D3007" s="157"/>
    </row>
    <row r="3008" spans="1:4" x14ac:dyDescent="0.3">
      <c r="A3008" s="157"/>
      <c r="B3008" s="157"/>
      <c r="C3008" s="157"/>
      <c r="D3008" s="157"/>
    </row>
    <row r="3009" spans="1:4" x14ac:dyDescent="0.3">
      <c r="A3009" s="157"/>
      <c r="B3009" s="157"/>
      <c r="C3009" s="157"/>
      <c r="D3009" s="157"/>
    </row>
    <row r="3010" spans="1:4" x14ac:dyDescent="0.3">
      <c r="A3010" s="157"/>
      <c r="B3010" s="157"/>
      <c r="C3010" s="157"/>
      <c r="D3010" s="157"/>
    </row>
    <row r="3011" spans="1:4" x14ac:dyDescent="0.3">
      <c r="A3011" s="157"/>
      <c r="B3011" s="157"/>
      <c r="C3011" s="157"/>
      <c r="D3011" s="157"/>
    </row>
    <row r="3012" spans="1:4" x14ac:dyDescent="0.3">
      <c r="A3012" s="157"/>
      <c r="B3012" s="157"/>
      <c r="C3012" s="157"/>
      <c r="D3012" s="157"/>
    </row>
    <row r="3013" spans="1:4" x14ac:dyDescent="0.3">
      <c r="A3013" s="157"/>
      <c r="B3013" s="157"/>
      <c r="C3013" s="157"/>
      <c r="D3013" s="157"/>
    </row>
    <row r="3014" spans="1:4" x14ac:dyDescent="0.3">
      <c r="A3014" s="157"/>
      <c r="B3014" s="157"/>
      <c r="C3014" s="157"/>
      <c r="D3014" s="157"/>
    </row>
    <row r="3015" spans="1:4" x14ac:dyDescent="0.3">
      <c r="A3015" s="157"/>
      <c r="B3015" s="157"/>
      <c r="C3015" s="157"/>
      <c r="D3015" s="157"/>
    </row>
    <row r="3016" spans="1:4" x14ac:dyDescent="0.3">
      <c r="A3016" s="157"/>
      <c r="B3016" s="157"/>
      <c r="C3016" s="157"/>
      <c r="D3016" s="157"/>
    </row>
    <row r="3017" spans="1:4" x14ac:dyDescent="0.3">
      <c r="A3017" s="157"/>
      <c r="B3017" s="157"/>
      <c r="C3017" s="157"/>
      <c r="D3017" s="157"/>
    </row>
    <row r="3018" spans="1:4" x14ac:dyDescent="0.3">
      <c r="A3018" s="157"/>
      <c r="B3018" s="157"/>
      <c r="C3018" s="157"/>
      <c r="D3018" s="157"/>
    </row>
    <row r="3019" spans="1:4" x14ac:dyDescent="0.3">
      <c r="A3019" s="157"/>
      <c r="B3019" s="157"/>
      <c r="C3019" s="157"/>
      <c r="D3019" s="157"/>
    </row>
    <row r="3020" spans="1:4" x14ac:dyDescent="0.3">
      <c r="A3020" s="157"/>
      <c r="B3020" s="157"/>
      <c r="C3020" s="157"/>
      <c r="D3020" s="157"/>
    </row>
    <row r="3021" spans="1:4" x14ac:dyDescent="0.3">
      <c r="A3021" s="157"/>
      <c r="B3021" s="157"/>
      <c r="C3021" s="157"/>
      <c r="D3021" s="157"/>
    </row>
    <row r="3022" spans="1:4" x14ac:dyDescent="0.3">
      <c r="A3022" s="157"/>
      <c r="B3022" s="157"/>
      <c r="C3022" s="157"/>
      <c r="D3022" s="157"/>
    </row>
    <row r="3023" spans="1:4" x14ac:dyDescent="0.3">
      <c r="A3023" s="157"/>
      <c r="B3023" s="157"/>
      <c r="C3023" s="157"/>
      <c r="D3023" s="157"/>
    </row>
    <row r="3024" spans="1:4" x14ac:dyDescent="0.3">
      <c r="A3024" s="157"/>
      <c r="B3024" s="157"/>
      <c r="C3024" s="157"/>
      <c r="D3024" s="157"/>
    </row>
    <row r="3025" spans="1:4" x14ac:dyDescent="0.3">
      <c r="A3025" s="157"/>
      <c r="B3025" s="157"/>
      <c r="C3025" s="157"/>
      <c r="D3025" s="157"/>
    </row>
    <row r="3026" spans="1:4" x14ac:dyDescent="0.3">
      <c r="A3026" s="157"/>
      <c r="B3026" s="157"/>
      <c r="C3026" s="157"/>
      <c r="D3026" s="157"/>
    </row>
    <row r="3027" spans="1:4" x14ac:dyDescent="0.3">
      <c r="A3027" s="157"/>
      <c r="B3027" s="157"/>
      <c r="C3027" s="157"/>
      <c r="D3027" s="157"/>
    </row>
    <row r="3028" spans="1:4" x14ac:dyDescent="0.3">
      <c r="A3028" s="157"/>
      <c r="B3028" s="157"/>
      <c r="C3028" s="157"/>
      <c r="D3028" s="157"/>
    </row>
    <row r="3029" spans="1:4" x14ac:dyDescent="0.3">
      <c r="A3029" s="157"/>
      <c r="B3029" s="157"/>
      <c r="C3029" s="157"/>
      <c r="D3029" s="157"/>
    </row>
    <row r="3030" spans="1:4" x14ac:dyDescent="0.3">
      <c r="A3030" s="157"/>
      <c r="B3030" s="157"/>
      <c r="C3030" s="157"/>
      <c r="D3030" s="157"/>
    </row>
    <row r="3031" spans="1:4" x14ac:dyDescent="0.3">
      <c r="A3031" s="157"/>
      <c r="B3031" s="157"/>
      <c r="C3031" s="157"/>
      <c r="D3031" s="157"/>
    </row>
    <row r="3032" spans="1:4" x14ac:dyDescent="0.3">
      <c r="A3032" s="157"/>
      <c r="B3032" s="157"/>
      <c r="C3032" s="157"/>
      <c r="D3032" s="157"/>
    </row>
    <row r="3033" spans="1:4" x14ac:dyDescent="0.3">
      <c r="A3033" s="157"/>
      <c r="B3033" s="157"/>
      <c r="C3033" s="157"/>
      <c r="D3033" s="157"/>
    </row>
    <row r="3034" spans="1:4" x14ac:dyDescent="0.3">
      <c r="A3034" s="157"/>
      <c r="B3034" s="157"/>
      <c r="C3034" s="157"/>
      <c r="D3034" s="157"/>
    </row>
    <row r="3035" spans="1:4" x14ac:dyDescent="0.3">
      <c r="A3035" s="157"/>
      <c r="B3035" s="157"/>
      <c r="C3035" s="157"/>
      <c r="D3035" s="157"/>
    </row>
    <row r="3036" spans="1:4" x14ac:dyDescent="0.3">
      <c r="A3036" s="157"/>
      <c r="B3036" s="157"/>
      <c r="C3036" s="157"/>
      <c r="D3036" s="157"/>
    </row>
    <row r="3037" spans="1:4" x14ac:dyDescent="0.3">
      <c r="A3037" s="157"/>
      <c r="B3037" s="157"/>
      <c r="C3037" s="157"/>
      <c r="D3037" s="157"/>
    </row>
    <row r="3038" spans="1:4" x14ac:dyDescent="0.3">
      <c r="A3038" s="157"/>
      <c r="B3038" s="157"/>
      <c r="C3038" s="157"/>
      <c r="D3038" s="157"/>
    </row>
    <row r="3039" spans="1:4" x14ac:dyDescent="0.3">
      <c r="A3039" s="157"/>
      <c r="B3039" s="157"/>
      <c r="C3039" s="157"/>
      <c r="D3039" s="157"/>
    </row>
    <row r="3040" spans="1:4" x14ac:dyDescent="0.3">
      <c r="A3040" s="157"/>
      <c r="B3040" s="157"/>
      <c r="C3040" s="157"/>
      <c r="D3040" s="157"/>
    </row>
    <row r="3041" spans="1:4" x14ac:dyDescent="0.3">
      <c r="A3041" s="157"/>
      <c r="B3041" s="157"/>
      <c r="C3041" s="157"/>
      <c r="D3041" s="157"/>
    </row>
    <row r="3042" spans="1:4" x14ac:dyDescent="0.3">
      <c r="A3042" s="157"/>
      <c r="B3042" s="157"/>
      <c r="C3042" s="157"/>
      <c r="D3042" s="157"/>
    </row>
    <row r="3043" spans="1:4" x14ac:dyDescent="0.3">
      <c r="A3043" s="157"/>
      <c r="B3043" s="157"/>
      <c r="C3043" s="157"/>
      <c r="D3043" s="157"/>
    </row>
    <row r="3044" spans="1:4" x14ac:dyDescent="0.3">
      <c r="A3044" s="157"/>
      <c r="B3044" s="157"/>
      <c r="C3044" s="157"/>
      <c r="D3044" s="157"/>
    </row>
    <row r="3045" spans="1:4" x14ac:dyDescent="0.3">
      <c r="A3045" s="157"/>
      <c r="B3045" s="157"/>
      <c r="C3045" s="157"/>
      <c r="D3045" s="157"/>
    </row>
    <row r="3046" spans="1:4" x14ac:dyDescent="0.3">
      <c r="A3046" s="157"/>
      <c r="B3046" s="157"/>
      <c r="C3046" s="157"/>
      <c r="D3046" s="157"/>
    </row>
    <row r="3047" spans="1:4" x14ac:dyDescent="0.3">
      <c r="A3047" s="157"/>
      <c r="B3047" s="157"/>
      <c r="C3047" s="157"/>
      <c r="D3047" s="157"/>
    </row>
    <row r="3048" spans="1:4" x14ac:dyDescent="0.3">
      <c r="A3048" s="157"/>
      <c r="B3048" s="157"/>
      <c r="C3048" s="157"/>
      <c r="D3048" s="157"/>
    </row>
    <row r="3049" spans="1:4" x14ac:dyDescent="0.3">
      <c r="A3049" s="157"/>
      <c r="B3049" s="157"/>
      <c r="C3049" s="157"/>
      <c r="D3049" s="157"/>
    </row>
    <row r="3050" spans="1:4" x14ac:dyDescent="0.3">
      <c r="A3050" s="157"/>
      <c r="B3050" s="157"/>
      <c r="C3050" s="157"/>
      <c r="D3050" s="157"/>
    </row>
    <row r="3051" spans="1:4" x14ac:dyDescent="0.3">
      <c r="A3051" s="157"/>
      <c r="B3051" s="157"/>
      <c r="C3051" s="157"/>
      <c r="D3051" s="157"/>
    </row>
    <row r="3052" spans="1:4" x14ac:dyDescent="0.3">
      <c r="A3052" s="157"/>
      <c r="B3052" s="157"/>
      <c r="C3052" s="157"/>
      <c r="D3052" s="157"/>
    </row>
    <row r="3053" spans="1:4" x14ac:dyDescent="0.3">
      <c r="A3053" s="157"/>
      <c r="B3053" s="157"/>
      <c r="C3053" s="157"/>
      <c r="D3053" s="157"/>
    </row>
    <row r="3054" spans="1:4" x14ac:dyDescent="0.3">
      <c r="A3054" s="157"/>
      <c r="B3054" s="157"/>
      <c r="C3054" s="157"/>
      <c r="D3054" s="157"/>
    </row>
    <row r="3055" spans="1:4" x14ac:dyDescent="0.3">
      <c r="A3055" s="157"/>
      <c r="B3055" s="157"/>
      <c r="C3055" s="157"/>
      <c r="D3055" s="157"/>
    </row>
    <row r="3056" spans="1:4" x14ac:dyDescent="0.3">
      <c r="A3056" s="157"/>
      <c r="B3056" s="157"/>
      <c r="C3056" s="157"/>
      <c r="D3056" s="157"/>
    </row>
    <row r="3057" spans="1:4" x14ac:dyDescent="0.3">
      <c r="A3057" s="157"/>
      <c r="B3057" s="157"/>
      <c r="C3057" s="157"/>
      <c r="D3057" s="157"/>
    </row>
    <row r="3058" spans="1:4" x14ac:dyDescent="0.3">
      <c r="A3058" s="157"/>
      <c r="B3058" s="157"/>
      <c r="C3058" s="157"/>
      <c r="D3058" s="157"/>
    </row>
    <row r="3059" spans="1:4" x14ac:dyDescent="0.3">
      <c r="A3059" s="157"/>
      <c r="B3059" s="157"/>
      <c r="C3059" s="157"/>
      <c r="D3059" s="157"/>
    </row>
    <row r="3060" spans="1:4" x14ac:dyDescent="0.3">
      <c r="A3060" s="157"/>
      <c r="B3060" s="157"/>
      <c r="C3060" s="157"/>
      <c r="D3060" s="157"/>
    </row>
    <row r="3061" spans="1:4" x14ac:dyDescent="0.3">
      <c r="A3061" s="157"/>
      <c r="B3061" s="157"/>
      <c r="C3061" s="157"/>
      <c r="D3061" s="157"/>
    </row>
    <row r="3062" spans="1:4" x14ac:dyDescent="0.3">
      <c r="A3062" s="157"/>
      <c r="B3062" s="157"/>
      <c r="C3062" s="157"/>
      <c r="D3062" s="157"/>
    </row>
    <row r="3063" spans="1:4" x14ac:dyDescent="0.3">
      <c r="A3063" s="157"/>
      <c r="B3063" s="157"/>
      <c r="C3063" s="157"/>
      <c r="D3063" s="157"/>
    </row>
    <row r="3064" spans="1:4" x14ac:dyDescent="0.3">
      <c r="A3064" s="157"/>
      <c r="B3064" s="157"/>
      <c r="C3064" s="157"/>
      <c r="D3064" s="157"/>
    </row>
    <row r="3065" spans="1:4" x14ac:dyDescent="0.3">
      <c r="A3065" s="157"/>
      <c r="B3065" s="157"/>
      <c r="C3065" s="157"/>
      <c r="D3065" s="157"/>
    </row>
    <row r="3066" spans="1:4" x14ac:dyDescent="0.3">
      <c r="A3066" s="157"/>
      <c r="B3066" s="157"/>
      <c r="C3066" s="157"/>
      <c r="D3066" s="157"/>
    </row>
    <row r="3067" spans="1:4" x14ac:dyDescent="0.3">
      <c r="A3067" s="157"/>
      <c r="B3067" s="157"/>
      <c r="C3067" s="157"/>
      <c r="D3067" s="157"/>
    </row>
    <row r="3068" spans="1:4" x14ac:dyDescent="0.3">
      <c r="A3068" s="157"/>
      <c r="B3068" s="157"/>
      <c r="C3068" s="157"/>
      <c r="D3068" s="157"/>
    </row>
    <row r="3069" spans="1:4" x14ac:dyDescent="0.3">
      <c r="A3069" s="157"/>
      <c r="B3069" s="157"/>
      <c r="C3069" s="157"/>
      <c r="D3069" s="157"/>
    </row>
    <row r="3070" spans="1:4" x14ac:dyDescent="0.3">
      <c r="A3070" s="157"/>
      <c r="B3070" s="157"/>
      <c r="C3070" s="157"/>
      <c r="D3070" s="157"/>
    </row>
    <row r="3071" spans="1:4" x14ac:dyDescent="0.3">
      <c r="A3071" s="157"/>
      <c r="B3071" s="157"/>
      <c r="C3071" s="157"/>
      <c r="D3071" s="157"/>
    </row>
    <row r="3072" spans="1:4" x14ac:dyDescent="0.3">
      <c r="A3072" s="157"/>
      <c r="B3072" s="157"/>
      <c r="C3072" s="157"/>
      <c r="D3072" s="157"/>
    </row>
    <row r="3073" spans="1:4" x14ac:dyDescent="0.3">
      <c r="A3073" s="157"/>
      <c r="B3073" s="157"/>
      <c r="C3073" s="157"/>
      <c r="D3073" s="157"/>
    </row>
    <row r="3074" spans="1:4" x14ac:dyDescent="0.3">
      <c r="A3074" s="157"/>
      <c r="B3074" s="157"/>
      <c r="C3074" s="157"/>
      <c r="D3074" s="157"/>
    </row>
    <row r="3075" spans="1:4" x14ac:dyDescent="0.3">
      <c r="A3075" s="157"/>
      <c r="B3075" s="157"/>
      <c r="C3075" s="157"/>
      <c r="D3075" s="157"/>
    </row>
    <row r="3076" spans="1:4" x14ac:dyDescent="0.3">
      <c r="A3076" s="157"/>
      <c r="B3076" s="157"/>
      <c r="C3076" s="157"/>
      <c r="D3076" s="157"/>
    </row>
    <row r="3077" spans="1:4" x14ac:dyDescent="0.3">
      <c r="A3077" s="157"/>
      <c r="B3077" s="157"/>
      <c r="C3077" s="157"/>
      <c r="D3077" s="157"/>
    </row>
    <row r="3078" spans="1:4" x14ac:dyDescent="0.3">
      <c r="A3078" s="157"/>
      <c r="B3078" s="157"/>
      <c r="C3078" s="157"/>
      <c r="D3078" s="157"/>
    </row>
    <row r="3079" spans="1:4" x14ac:dyDescent="0.3">
      <c r="A3079" s="157"/>
      <c r="B3079" s="157"/>
      <c r="C3079" s="157"/>
      <c r="D3079" s="157"/>
    </row>
    <row r="3080" spans="1:4" x14ac:dyDescent="0.3">
      <c r="A3080" s="157"/>
      <c r="B3080" s="157"/>
      <c r="C3080" s="157"/>
      <c r="D3080" s="157"/>
    </row>
    <row r="3081" spans="1:4" x14ac:dyDescent="0.3">
      <c r="A3081" s="157"/>
      <c r="B3081" s="157"/>
      <c r="C3081" s="157"/>
      <c r="D3081" s="157"/>
    </row>
    <row r="3082" spans="1:4" x14ac:dyDescent="0.3">
      <c r="A3082" s="157"/>
      <c r="B3082" s="157"/>
      <c r="C3082" s="157"/>
      <c r="D3082" s="157"/>
    </row>
    <row r="3083" spans="1:4" x14ac:dyDescent="0.3">
      <c r="A3083" s="157"/>
      <c r="B3083" s="157"/>
      <c r="C3083" s="157"/>
      <c r="D3083" s="157"/>
    </row>
    <row r="3084" spans="1:4" x14ac:dyDescent="0.3">
      <c r="A3084" s="157"/>
      <c r="B3084" s="157"/>
      <c r="C3084" s="157"/>
      <c r="D3084" s="157"/>
    </row>
    <row r="3085" spans="1:4" x14ac:dyDescent="0.3">
      <c r="A3085" s="157"/>
      <c r="B3085" s="157"/>
      <c r="C3085" s="157"/>
      <c r="D3085" s="157"/>
    </row>
    <row r="3086" spans="1:4" x14ac:dyDescent="0.3">
      <c r="A3086" s="157"/>
      <c r="B3086" s="157"/>
      <c r="C3086" s="157"/>
      <c r="D3086" s="157"/>
    </row>
    <row r="3087" spans="1:4" x14ac:dyDescent="0.3">
      <c r="A3087" s="157"/>
      <c r="B3087" s="157"/>
      <c r="C3087" s="157"/>
      <c r="D3087" s="157"/>
    </row>
    <row r="3088" spans="1:4" x14ac:dyDescent="0.3">
      <c r="A3088" s="157"/>
      <c r="B3088" s="157"/>
      <c r="C3088" s="157"/>
      <c r="D3088" s="157"/>
    </row>
    <row r="3089" spans="1:4" x14ac:dyDescent="0.3">
      <c r="A3089" s="157"/>
      <c r="B3089" s="157"/>
      <c r="C3089" s="157"/>
      <c r="D3089" s="157"/>
    </row>
    <row r="3090" spans="1:4" x14ac:dyDescent="0.3">
      <c r="A3090" s="157"/>
      <c r="B3090" s="157"/>
      <c r="C3090" s="157"/>
      <c r="D3090" s="157"/>
    </row>
    <row r="3091" spans="1:4" x14ac:dyDescent="0.3">
      <c r="A3091" s="157"/>
      <c r="B3091" s="157"/>
      <c r="C3091" s="157"/>
      <c r="D3091" s="157"/>
    </row>
    <row r="3092" spans="1:4" x14ac:dyDescent="0.3">
      <c r="A3092" s="157"/>
      <c r="B3092" s="157"/>
      <c r="C3092" s="157"/>
      <c r="D3092" s="157"/>
    </row>
    <row r="3093" spans="1:4" x14ac:dyDescent="0.3">
      <c r="A3093" s="157"/>
      <c r="B3093" s="157"/>
      <c r="C3093" s="157"/>
      <c r="D3093" s="157"/>
    </row>
    <row r="3094" spans="1:4" x14ac:dyDescent="0.3">
      <c r="A3094" s="157"/>
      <c r="B3094" s="157"/>
      <c r="C3094" s="157"/>
      <c r="D3094" s="157"/>
    </row>
    <row r="3095" spans="1:4" x14ac:dyDescent="0.3">
      <c r="A3095" s="157"/>
      <c r="B3095" s="157"/>
      <c r="C3095" s="157"/>
      <c r="D3095" s="157"/>
    </row>
    <row r="3096" spans="1:4" x14ac:dyDescent="0.3">
      <c r="A3096" s="157"/>
      <c r="B3096" s="157"/>
      <c r="C3096" s="157"/>
      <c r="D3096" s="157"/>
    </row>
    <row r="3097" spans="1:4" x14ac:dyDescent="0.3">
      <c r="A3097" s="157"/>
      <c r="B3097" s="157"/>
      <c r="C3097" s="157"/>
      <c r="D3097" s="157"/>
    </row>
    <row r="3098" spans="1:4" x14ac:dyDescent="0.3">
      <c r="A3098" s="157"/>
      <c r="B3098" s="157"/>
      <c r="C3098" s="157"/>
      <c r="D3098" s="157"/>
    </row>
    <row r="3099" spans="1:4" x14ac:dyDescent="0.3">
      <c r="A3099" s="157"/>
      <c r="B3099" s="157"/>
      <c r="C3099" s="157"/>
      <c r="D3099" s="157"/>
    </row>
    <row r="3100" spans="1:4" x14ac:dyDescent="0.3">
      <c r="A3100" s="157"/>
      <c r="B3100" s="157"/>
      <c r="C3100" s="157"/>
      <c r="D3100" s="157"/>
    </row>
    <row r="3101" spans="1:4" x14ac:dyDescent="0.3">
      <c r="A3101" s="157"/>
      <c r="B3101" s="157"/>
      <c r="C3101" s="157"/>
      <c r="D3101" s="157"/>
    </row>
    <row r="3102" spans="1:4" x14ac:dyDescent="0.3">
      <c r="A3102" s="157"/>
      <c r="B3102" s="157"/>
      <c r="C3102" s="157"/>
      <c r="D3102" s="157"/>
    </row>
    <row r="3103" spans="1:4" x14ac:dyDescent="0.3">
      <c r="A3103" s="157"/>
      <c r="B3103" s="157"/>
      <c r="C3103" s="157"/>
      <c r="D3103" s="157"/>
    </row>
    <row r="3104" spans="1:4" x14ac:dyDescent="0.3">
      <c r="A3104" s="157"/>
      <c r="B3104" s="157"/>
      <c r="C3104" s="157"/>
      <c r="D3104" s="157"/>
    </row>
    <row r="3105" spans="1:4" x14ac:dyDescent="0.3">
      <c r="A3105" s="157"/>
      <c r="B3105" s="157"/>
      <c r="C3105" s="157"/>
      <c r="D3105" s="157"/>
    </row>
    <row r="3106" spans="1:4" x14ac:dyDescent="0.3">
      <c r="A3106" s="157"/>
      <c r="B3106" s="157"/>
      <c r="C3106" s="157"/>
      <c r="D3106" s="157"/>
    </row>
    <row r="3107" spans="1:4" x14ac:dyDescent="0.3">
      <c r="A3107" s="157"/>
      <c r="B3107" s="157"/>
      <c r="C3107" s="157"/>
      <c r="D3107" s="157"/>
    </row>
    <row r="3108" spans="1:4" x14ac:dyDescent="0.3">
      <c r="A3108" s="157"/>
      <c r="B3108" s="157"/>
      <c r="C3108" s="157"/>
      <c r="D3108" s="157"/>
    </row>
    <row r="3109" spans="1:4" x14ac:dyDescent="0.3">
      <c r="A3109" s="157"/>
      <c r="B3109" s="157"/>
      <c r="C3109" s="157"/>
      <c r="D3109" s="157"/>
    </row>
    <row r="3110" spans="1:4" x14ac:dyDescent="0.3">
      <c r="A3110" s="157"/>
      <c r="B3110" s="157"/>
      <c r="C3110" s="157"/>
      <c r="D3110" s="157"/>
    </row>
    <row r="3111" spans="1:4" x14ac:dyDescent="0.3">
      <c r="A3111" s="157"/>
      <c r="B3111" s="157"/>
      <c r="C3111" s="157"/>
      <c r="D3111" s="157"/>
    </row>
    <row r="3112" spans="1:4" x14ac:dyDescent="0.3">
      <c r="A3112" s="157"/>
      <c r="B3112" s="157"/>
      <c r="C3112" s="157"/>
      <c r="D3112" s="157"/>
    </row>
    <row r="3113" spans="1:4" x14ac:dyDescent="0.3">
      <c r="A3113" s="157"/>
      <c r="B3113" s="157"/>
      <c r="C3113" s="157"/>
      <c r="D3113" s="157"/>
    </row>
    <row r="3114" spans="1:4" x14ac:dyDescent="0.3">
      <c r="A3114" s="157"/>
      <c r="B3114" s="157"/>
      <c r="C3114" s="157"/>
      <c r="D3114" s="157"/>
    </row>
    <row r="3115" spans="1:4" x14ac:dyDescent="0.3">
      <c r="A3115" s="157"/>
      <c r="B3115" s="157"/>
      <c r="C3115" s="157"/>
      <c r="D3115" s="157"/>
    </row>
    <row r="3116" spans="1:4" x14ac:dyDescent="0.3">
      <c r="A3116" s="157"/>
      <c r="B3116" s="157"/>
      <c r="C3116" s="157"/>
      <c r="D3116" s="157"/>
    </row>
    <row r="3117" spans="1:4" x14ac:dyDescent="0.3">
      <c r="A3117" s="157"/>
      <c r="B3117" s="157"/>
      <c r="C3117" s="157"/>
      <c r="D3117" s="157"/>
    </row>
    <row r="3118" spans="1:4" x14ac:dyDescent="0.3">
      <c r="A3118" s="157"/>
      <c r="B3118" s="157"/>
      <c r="C3118" s="157"/>
      <c r="D3118" s="157"/>
    </row>
    <row r="3119" spans="1:4" x14ac:dyDescent="0.3">
      <c r="A3119" s="157"/>
      <c r="B3119" s="157"/>
      <c r="C3119" s="157"/>
      <c r="D3119" s="157"/>
    </row>
    <row r="3120" spans="1:4" x14ac:dyDescent="0.3">
      <c r="A3120" s="157"/>
      <c r="B3120" s="157"/>
      <c r="C3120" s="157"/>
      <c r="D3120" s="157"/>
    </row>
    <row r="3121" spans="1:4" x14ac:dyDescent="0.3">
      <c r="A3121" s="157"/>
      <c r="B3121" s="157"/>
      <c r="C3121" s="157"/>
      <c r="D3121" s="157"/>
    </row>
    <row r="3122" spans="1:4" x14ac:dyDescent="0.3">
      <c r="A3122" s="157"/>
      <c r="B3122" s="157"/>
      <c r="C3122" s="157"/>
      <c r="D3122" s="157"/>
    </row>
    <row r="3123" spans="1:4" x14ac:dyDescent="0.3">
      <c r="A3123" s="157"/>
      <c r="B3123" s="157"/>
      <c r="C3123" s="157"/>
      <c r="D3123" s="157"/>
    </row>
    <row r="3124" spans="1:4" x14ac:dyDescent="0.3">
      <c r="A3124" s="157"/>
      <c r="B3124" s="157"/>
      <c r="C3124" s="157"/>
      <c r="D3124" s="157"/>
    </row>
    <row r="3125" spans="1:4" x14ac:dyDescent="0.3">
      <c r="A3125" s="157"/>
      <c r="B3125" s="157"/>
      <c r="C3125" s="157"/>
      <c r="D3125" s="157"/>
    </row>
    <row r="3126" spans="1:4" x14ac:dyDescent="0.3">
      <c r="A3126" s="157"/>
      <c r="B3126" s="157"/>
      <c r="C3126" s="157"/>
      <c r="D3126" s="157"/>
    </row>
    <row r="3127" spans="1:4" x14ac:dyDescent="0.3">
      <c r="A3127" s="157"/>
      <c r="B3127" s="157"/>
      <c r="C3127" s="157"/>
      <c r="D3127" s="157"/>
    </row>
    <row r="3128" spans="1:4" x14ac:dyDescent="0.3">
      <c r="A3128" s="157"/>
      <c r="B3128" s="157"/>
      <c r="C3128" s="157"/>
      <c r="D3128" s="157"/>
    </row>
    <row r="3129" spans="1:4" x14ac:dyDescent="0.3">
      <c r="A3129" s="157"/>
      <c r="B3129" s="157"/>
      <c r="C3129" s="157"/>
      <c r="D3129" s="157"/>
    </row>
    <row r="3130" spans="1:4" x14ac:dyDescent="0.3">
      <c r="A3130" s="157"/>
      <c r="B3130" s="157"/>
      <c r="C3130" s="157"/>
      <c r="D3130" s="157"/>
    </row>
    <row r="3131" spans="1:4" x14ac:dyDescent="0.3">
      <c r="A3131" s="157"/>
      <c r="B3131" s="157"/>
      <c r="C3131" s="157"/>
      <c r="D3131" s="157"/>
    </row>
    <row r="3132" spans="1:4" x14ac:dyDescent="0.3">
      <c r="A3132" s="157"/>
      <c r="B3132" s="157"/>
      <c r="C3132" s="157"/>
      <c r="D3132" s="157"/>
    </row>
    <row r="3133" spans="1:4" x14ac:dyDescent="0.3">
      <c r="A3133" s="157"/>
      <c r="B3133" s="157"/>
      <c r="C3133" s="157"/>
      <c r="D3133" s="157"/>
    </row>
    <row r="3134" spans="1:4" x14ac:dyDescent="0.3">
      <c r="A3134" s="157"/>
      <c r="B3134" s="157"/>
      <c r="C3134" s="157"/>
      <c r="D3134" s="157"/>
    </row>
    <row r="3135" spans="1:4" x14ac:dyDescent="0.3">
      <c r="A3135" s="157"/>
      <c r="B3135" s="157"/>
      <c r="C3135" s="157"/>
      <c r="D3135" s="157"/>
    </row>
    <row r="3136" spans="1:4" x14ac:dyDescent="0.3">
      <c r="A3136" s="157"/>
      <c r="B3136" s="157"/>
      <c r="C3136" s="157"/>
      <c r="D3136" s="157"/>
    </row>
    <row r="3137" spans="1:4" x14ac:dyDescent="0.3">
      <c r="A3137" s="157"/>
      <c r="B3137" s="157"/>
      <c r="C3137" s="157"/>
      <c r="D3137" s="157"/>
    </row>
    <row r="3138" spans="1:4" x14ac:dyDescent="0.3">
      <c r="A3138" s="157"/>
      <c r="B3138" s="157"/>
      <c r="C3138" s="157"/>
      <c r="D3138" s="157"/>
    </row>
    <row r="3139" spans="1:4" x14ac:dyDescent="0.3">
      <c r="A3139" s="157"/>
      <c r="B3139" s="157"/>
      <c r="C3139" s="157"/>
      <c r="D3139" s="157"/>
    </row>
    <row r="3140" spans="1:4" x14ac:dyDescent="0.3">
      <c r="A3140" s="157"/>
      <c r="B3140" s="157"/>
      <c r="C3140" s="157"/>
      <c r="D3140" s="157"/>
    </row>
    <row r="3141" spans="1:4" x14ac:dyDescent="0.3">
      <c r="A3141" s="157"/>
      <c r="B3141" s="157"/>
      <c r="C3141" s="157"/>
      <c r="D3141" s="157"/>
    </row>
    <row r="3142" spans="1:4" x14ac:dyDescent="0.3">
      <c r="A3142" s="157"/>
      <c r="B3142" s="157"/>
      <c r="C3142" s="157"/>
      <c r="D3142" s="157"/>
    </row>
    <row r="3143" spans="1:4" x14ac:dyDescent="0.3">
      <c r="A3143" s="157"/>
      <c r="B3143" s="157"/>
      <c r="C3143" s="157"/>
      <c r="D3143" s="157"/>
    </row>
    <row r="3144" spans="1:4" x14ac:dyDescent="0.3">
      <c r="A3144" s="157"/>
      <c r="B3144" s="157"/>
      <c r="C3144" s="157"/>
      <c r="D3144" s="157"/>
    </row>
    <row r="3145" spans="1:4" x14ac:dyDescent="0.3">
      <c r="A3145" s="157"/>
      <c r="B3145" s="157"/>
      <c r="C3145" s="157"/>
      <c r="D3145" s="157"/>
    </row>
    <row r="3146" spans="1:4" x14ac:dyDescent="0.3">
      <c r="A3146" s="157"/>
      <c r="B3146" s="157"/>
      <c r="C3146" s="157"/>
      <c r="D3146" s="157"/>
    </row>
    <row r="3147" spans="1:4" x14ac:dyDescent="0.3">
      <c r="A3147" s="157"/>
      <c r="B3147" s="157"/>
      <c r="C3147" s="157"/>
      <c r="D3147" s="157"/>
    </row>
    <row r="3148" spans="1:4" x14ac:dyDescent="0.3">
      <c r="A3148" s="157"/>
      <c r="B3148" s="157"/>
      <c r="C3148" s="157"/>
      <c r="D3148" s="157"/>
    </row>
    <row r="3149" spans="1:4" x14ac:dyDescent="0.3">
      <c r="A3149" s="157"/>
      <c r="B3149" s="157"/>
      <c r="C3149" s="157"/>
      <c r="D3149" s="157"/>
    </row>
    <row r="3150" spans="1:4" x14ac:dyDescent="0.3">
      <c r="A3150" s="157"/>
      <c r="B3150" s="157"/>
      <c r="C3150" s="157"/>
      <c r="D3150" s="157"/>
    </row>
    <row r="3151" spans="1:4" x14ac:dyDescent="0.3">
      <c r="A3151" s="157"/>
      <c r="B3151" s="157"/>
      <c r="C3151" s="157"/>
      <c r="D3151" s="157"/>
    </row>
    <row r="3152" spans="1:4" x14ac:dyDescent="0.3">
      <c r="A3152" s="157"/>
      <c r="B3152" s="157"/>
      <c r="C3152" s="157"/>
      <c r="D3152" s="157"/>
    </row>
    <row r="3153" spans="1:4" x14ac:dyDescent="0.3">
      <c r="A3153" s="157"/>
      <c r="B3153" s="157"/>
      <c r="C3153" s="157"/>
      <c r="D3153" s="157"/>
    </row>
    <row r="3154" spans="1:4" x14ac:dyDescent="0.3">
      <c r="A3154" s="157"/>
      <c r="B3154" s="157"/>
      <c r="C3154" s="157"/>
      <c r="D3154" s="157"/>
    </row>
    <row r="3155" spans="1:4" x14ac:dyDescent="0.3">
      <c r="A3155" s="157"/>
      <c r="B3155" s="157"/>
      <c r="C3155" s="157"/>
      <c r="D3155" s="157"/>
    </row>
    <row r="3156" spans="1:4" x14ac:dyDescent="0.3">
      <c r="A3156" s="157"/>
      <c r="B3156" s="157"/>
      <c r="C3156" s="157"/>
      <c r="D3156" s="157"/>
    </row>
    <row r="3157" spans="1:4" x14ac:dyDescent="0.3">
      <c r="A3157" s="157"/>
      <c r="B3157" s="157"/>
      <c r="C3157" s="157"/>
      <c r="D3157" s="157"/>
    </row>
    <row r="3158" spans="1:4" x14ac:dyDescent="0.3">
      <c r="A3158" s="157"/>
      <c r="B3158" s="157"/>
      <c r="C3158" s="157"/>
      <c r="D3158" s="157"/>
    </row>
    <row r="3159" spans="1:4" x14ac:dyDescent="0.3">
      <c r="A3159" s="157"/>
      <c r="B3159" s="157"/>
      <c r="C3159" s="157"/>
      <c r="D3159" s="157"/>
    </row>
    <row r="3160" spans="1:4" x14ac:dyDescent="0.3">
      <c r="A3160" s="157"/>
      <c r="B3160" s="157"/>
      <c r="C3160" s="157"/>
      <c r="D3160" s="157"/>
    </row>
    <row r="3161" spans="1:4" x14ac:dyDescent="0.3">
      <c r="A3161" s="157"/>
      <c r="B3161" s="157"/>
      <c r="C3161" s="157"/>
      <c r="D3161" s="157"/>
    </row>
    <row r="3162" spans="1:4" x14ac:dyDescent="0.3">
      <c r="A3162" s="157"/>
      <c r="B3162" s="157"/>
      <c r="C3162" s="157"/>
      <c r="D3162" s="157"/>
    </row>
    <row r="3163" spans="1:4" x14ac:dyDescent="0.3">
      <c r="A3163" s="157"/>
      <c r="B3163" s="157"/>
      <c r="C3163" s="157"/>
      <c r="D3163" s="157"/>
    </row>
    <row r="3164" spans="1:4" x14ac:dyDescent="0.3">
      <c r="A3164" s="157"/>
      <c r="B3164" s="157"/>
      <c r="C3164" s="157"/>
      <c r="D3164" s="157"/>
    </row>
    <row r="3165" spans="1:4" x14ac:dyDescent="0.3">
      <c r="A3165" s="157"/>
      <c r="B3165" s="157"/>
      <c r="C3165" s="157"/>
      <c r="D3165" s="157"/>
    </row>
    <row r="3166" spans="1:4" x14ac:dyDescent="0.3">
      <c r="A3166" s="157"/>
      <c r="B3166" s="157"/>
      <c r="C3166" s="157"/>
      <c r="D3166" s="157"/>
    </row>
    <row r="3167" spans="1:4" x14ac:dyDescent="0.3">
      <c r="A3167" s="157"/>
      <c r="B3167" s="157"/>
      <c r="C3167" s="157"/>
      <c r="D3167" s="157"/>
    </row>
    <row r="3168" spans="1:4" x14ac:dyDescent="0.3">
      <c r="A3168" s="157"/>
      <c r="B3168" s="157"/>
      <c r="C3168" s="157"/>
      <c r="D3168" s="157"/>
    </row>
    <row r="3169" spans="1:4" x14ac:dyDescent="0.3">
      <c r="A3169" s="157"/>
      <c r="B3169" s="157"/>
      <c r="C3169" s="157"/>
      <c r="D3169" s="157"/>
    </row>
    <row r="3170" spans="1:4" x14ac:dyDescent="0.3">
      <c r="A3170" s="157"/>
      <c r="B3170" s="157"/>
      <c r="C3170" s="157"/>
      <c r="D3170" s="157"/>
    </row>
    <row r="3171" spans="1:4" x14ac:dyDescent="0.3">
      <c r="A3171" s="157"/>
      <c r="B3171" s="157"/>
      <c r="C3171" s="157"/>
      <c r="D3171" s="157"/>
    </row>
    <row r="3172" spans="1:4" x14ac:dyDescent="0.3">
      <c r="A3172" s="157"/>
      <c r="B3172" s="157"/>
      <c r="C3172" s="157"/>
      <c r="D3172" s="157"/>
    </row>
    <row r="3173" spans="1:4" x14ac:dyDescent="0.3">
      <c r="A3173" s="157"/>
      <c r="B3173" s="157"/>
      <c r="C3173" s="157"/>
      <c r="D3173" s="157"/>
    </row>
    <row r="3174" spans="1:4" x14ac:dyDescent="0.3">
      <c r="A3174" s="157"/>
      <c r="B3174" s="157"/>
      <c r="C3174" s="157"/>
      <c r="D3174" s="157"/>
    </row>
    <row r="3175" spans="1:4" x14ac:dyDescent="0.3">
      <c r="A3175" s="157"/>
      <c r="B3175" s="157"/>
      <c r="C3175" s="157"/>
      <c r="D3175" s="157"/>
    </row>
    <row r="3176" spans="1:4" x14ac:dyDescent="0.3">
      <c r="A3176" s="157"/>
      <c r="B3176" s="157"/>
      <c r="C3176" s="157"/>
      <c r="D3176" s="157"/>
    </row>
    <row r="3177" spans="1:4" x14ac:dyDescent="0.3">
      <c r="A3177" s="157"/>
      <c r="B3177" s="157"/>
      <c r="C3177" s="157"/>
      <c r="D3177" s="157"/>
    </row>
    <row r="3178" spans="1:4" x14ac:dyDescent="0.3">
      <c r="A3178" s="157"/>
      <c r="B3178" s="157"/>
      <c r="C3178" s="157"/>
      <c r="D3178" s="157"/>
    </row>
    <row r="3179" spans="1:4" x14ac:dyDescent="0.3">
      <c r="A3179" s="157"/>
      <c r="B3179" s="157"/>
      <c r="C3179" s="157"/>
      <c r="D3179" s="157"/>
    </row>
    <row r="3180" spans="1:4" x14ac:dyDescent="0.3">
      <c r="A3180" s="157"/>
      <c r="B3180" s="157"/>
      <c r="C3180" s="157"/>
      <c r="D3180" s="157"/>
    </row>
    <row r="3181" spans="1:4" x14ac:dyDescent="0.3">
      <c r="A3181" s="157"/>
      <c r="B3181" s="157"/>
      <c r="C3181" s="157"/>
      <c r="D3181" s="157"/>
    </row>
    <row r="3182" spans="1:4" x14ac:dyDescent="0.3">
      <c r="A3182" s="157"/>
      <c r="B3182" s="157"/>
      <c r="C3182" s="157"/>
      <c r="D3182" s="157"/>
    </row>
    <row r="3183" spans="1:4" x14ac:dyDescent="0.3">
      <c r="A3183" s="157"/>
      <c r="B3183" s="157"/>
      <c r="C3183" s="157"/>
      <c r="D3183" s="157"/>
    </row>
    <row r="3184" spans="1:4" x14ac:dyDescent="0.3">
      <c r="A3184" s="157"/>
      <c r="B3184" s="157"/>
      <c r="C3184" s="157"/>
      <c r="D3184" s="157"/>
    </row>
    <row r="3185" spans="1:4" x14ac:dyDescent="0.3">
      <c r="A3185" s="157"/>
      <c r="B3185" s="157"/>
      <c r="C3185" s="157"/>
      <c r="D3185" s="157"/>
    </row>
    <row r="3186" spans="1:4" x14ac:dyDescent="0.3">
      <c r="A3186" s="157"/>
      <c r="B3186" s="157"/>
      <c r="C3186" s="157"/>
      <c r="D3186" s="157"/>
    </row>
    <row r="3187" spans="1:4" x14ac:dyDescent="0.3">
      <c r="A3187" s="157"/>
      <c r="B3187" s="157"/>
      <c r="C3187" s="157"/>
      <c r="D3187" s="157"/>
    </row>
    <row r="3188" spans="1:4" x14ac:dyDescent="0.3">
      <c r="A3188" s="157"/>
      <c r="B3188" s="157"/>
      <c r="C3188" s="157"/>
      <c r="D3188" s="157"/>
    </row>
    <row r="3189" spans="1:4" x14ac:dyDescent="0.3">
      <c r="A3189" s="157"/>
      <c r="B3189" s="157"/>
      <c r="C3189" s="157"/>
      <c r="D3189" s="157"/>
    </row>
    <row r="3190" spans="1:4" x14ac:dyDescent="0.3">
      <c r="A3190" s="157"/>
      <c r="B3190" s="157"/>
      <c r="C3190" s="157"/>
      <c r="D3190" s="157"/>
    </row>
    <row r="3191" spans="1:4" x14ac:dyDescent="0.3">
      <c r="A3191" s="157"/>
      <c r="B3191" s="157"/>
      <c r="C3191" s="157"/>
      <c r="D3191" s="157"/>
    </row>
    <row r="3192" spans="1:4" x14ac:dyDescent="0.3">
      <c r="A3192" s="157"/>
      <c r="B3192" s="157"/>
      <c r="C3192" s="157"/>
      <c r="D3192" s="157"/>
    </row>
    <row r="3193" spans="1:4" x14ac:dyDescent="0.3">
      <c r="A3193" s="157"/>
      <c r="B3193" s="157"/>
      <c r="C3193" s="157"/>
      <c r="D3193" s="157"/>
    </row>
    <row r="3194" spans="1:4" x14ac:dyDescent="0.3">
      <c r="A3194" s="157"/>
      <c r="B3194" s="157"/>
      <c r="C3194" s="157"/>
      <c r="D3194" s="157"/>
    </row>
    <row r="3195" spans="1:4" x14ac:dyDescent="0.3">
      <c r="A3195" s="157"/>
      <c r="B3195" s="157"/>
      <c r="C3195" s="157"/>
      <c r="D3195" s="157"/>
    </row>
    <row r="3196" spans="1:4" x14ac:dyDescent="0.3">
      <c r="A3196" s="157"/>
      <c r="B3196" s="157"/>
      <c r="C3196" s="157"/>
      <c r="D3196" s="157"/>
    </row>
    <row r="3197" spans="1:4" x14ac:dyDescent="0.3">
      <c r="A3197" s="157"/>
      <c r="B3197" s="157"/>
      <c r="C3197" s="157"/>
      <c r="D3197" s="157"/>
    </row>
    <row r="3198" spans="1:4" x14ac:dyDescent="0.3">
      <c r="A3198" s="157"/>
      <c r="B3198" s="157"/>
      <c r="C3198" s="157"/>
      <c r="D3198" s="157"/>
    </row>
    <row r="3199" spans="1:4" x14ac:dyDescent="0.3">
      <c r="A3199" s="157"/>
      <c r="B3199" s="157"/>
      <c r="C3199" s="157"/>
      <c r="D3199" s="157"/>
    </row>
    <row r="3200" spans="1:4" x14ac:dyDescent="0.3">
      <c r="A3200" s="157"/>
      <c r="B3200" s="157"/>
      <c r="C3200" s="157"/>
      <c r="D3200" s="157"/>
    </row>
    <row r="3201" spans="1:4" x14ac:dyDescent="0.3">
      <c r="A3201" s="157"/>
      <c r="B3201" s="157"/>
      <c r="C3201" s="157"/>
      <c r="D3201" s="157"/>
    </row>
    <row r="3202" spans="1:4" x14ac:dyDescent="0.3">
      <c r="A3202" s="157"/>
      <c r="B3202" s="157"/>
      <c r="C3202" s="157"/>
      <c r="D3202" s="157"/>
    </row>
    <row r="3203" spans="1:4" x14ac:dyDescent="0.3">
      <c r="A3203" s="157"/>
      <c r="B3203" s="157"/>
      <c r="C3203" s="157"/>
      <c r="D3203" s="157"/>
    </row>
    <row r="3204" spans="1:4" x14ac:dyDescent="0.3">
      <c r="A3204" s="157"/>
      <c r="B3204" s="157"/>
      <c r="C3204" s="157"/>
      <c r="D3204" s="157"/>
    </row>
    <row r="3205" spans="1:4" x14ac:dyDescent="0.3">
      <c r="A3205" s="157"/>
      <c r="B3205" s="157"/>
      <c r="C3205" s="157"/>
      <c r="D3205" s="157"/>
    </row>
    <row r="3206" spans="1:4" x14ac:dyDescent="0.3">
      <c r="A3206" s="157"/>
      <c r="B3206" s="157"/>
      <c r="C3206" s="157"/>
      <c r="D3206" s="157"/>
    </row>
    <row r="3207" spans="1:4" x14ac:dyDescent="0.3">
      <c r="A3207" s="157"/>
      <c r="B3207" s="157"/>
      <c r="C3207" s="157"/>
      <c r="D3207" s="157"/>
    </row>
    <row r="3208" spans="1:4" x14ac:dyDescent="0.3">
      <c r="A3208" s="157"/>
      <c r="B3208" s="157"/>
      <c r="C3208" s="157"/>
      <c r="D3208" s="157"/>
    </row>
    <row r="3209" spans="1:4" x14ac:dyDescent="0.3">
      <c r="A3209" s="157"/>
      <c r="B3209" s="157"/>
      <c r="C3209" s="157"/>
      <c r="D3209" s="157"/>
    </row>
    <row r="3210" spans="1:4" x14ac:dyDescent="0.3">
      <c r="A3210" s="157"/>
      <c r="B3210" s="157"/>
      <c r="C3210" s="157"/>
      <c r="D3210" s="157"/>
    </row>
    <row r="3211" spans="1:4" x14ac:dyDescent="0.3">
      <c r="A3211" s="157"/>
      <c r="B3211" s="157"/>
      <c r="C3211" s="157"/>
      <c r="D3211" s="157"/>
    </row>
    <row r="3212" spans="1:4" x14ac:dyDescent="0.3">
      <c r="A3212" s="157"/>
      <c r="B3212" s="157"/>
      <c r="C3212" s="157"/>
      <c r="D3212" s="157"/>
    </row>
    <row r="3213" spans="1:4" x14ac:dyDescent="0.3">
      <c r="A3213" s="157"/>
      <c r="B3213" s="157"/>
      <c r="C3213" s="157"/>
      <c r="D3213" s="157"/>
    </row>
    <row r="3214" spans="1:4" x14ac:dyDescent="0.3">
      <c r="A3214" s="157"/>
      <c r="B3214" s="157"/>
      <c r="C3214" s="157"/>
      <c r="D3214" s="157"/>
    </row>
    <row r="3215" spans="1:4" x14ac:dyDescent="0.3">
      <c r="A3215" s="157"/>
      <c r="B3215" s="157"/>
      <c r="C3215" s="157"/>
      <c r="D3215" s="157"/>
    </row>
    <row r="3216" spans="1:4" x14ac:dyDescent="0.3">
      <c r="A3216" s="157"/>
      <c r="B3216" s="157"/>
      <c r="C3216" s="157"/>
      <c r="D3216" s="157"/>
    </row>
    <row r="3217" spans="1:4" x14ac:dyDescent="0.3">
      <c r="A3217" s="157"/>
      <c r="B3217" s="157"/>
      <c r="C3217" s="157"/>
      <c r="D3217" s="157"/>
    </row>
    <row r="3218" spans="1:4" x14ac:dyDescent="0.3">
      <c r="A3218" s="157"/>
      <c r="B3218" s="157"/>
      <c r="C3218" s="157"/>
      <c r="D3218" s="157"/>
    </row>
    <row r="3219" spans="1:4" x14ac:dyDescent="0.3">
      <c r="A3219" s="157"/>
      <c r="B3219" s="157"/>
      <c r="C3219" s="157"/>
      <c r="D3219" s="157"/>
    </row>
    <row r="3220" spans="1:4" x14ac:dyDescent="0.3">
      <c r="A3220" s="157"/>
      <c r="B3220" s="157"/>
      <c r="C3220" s="157"/>
      <c r="D3220" s="157"/>
    </row>
    <row r="3221" spans="1:4" x14ac:dyDescent="0.3">
      <c r="A3221" s="157"/>
      <c r="B3221" s="157"/>
      <c r="C3221" s="157"/>
      <c r="D3221" s="157"/>
    </row>
    <row r="3222" spans="1:4" x14ac:dyDescent="0.3">
      <c r="A3222" s="157"/>
      <c r="B3222" s="157"/>
      <c r="C3222" s="157"/>
      <c r="D3222" s="157"/>
    </row>
    <row r="3223" spans="1:4" x14ac:dyDescent="0.3">
      <c r="A3223" s="157"/>
      <c r="B3223" s="157"/>
      <c r="C3223" s="157"/>
      <c r="D3223" s="157"/>
    </row>
    <row r="3224" spans="1:4" x14ac:dyDescent="0.3">
      <c r="A3224" s="157"/>
      <c r="B3224" s="157"/>
      <c r="C3224" s="157"/>
      <c r="D3224" s="157"/>
    </row>
    <row r="3225" spans="1:4" x14ac:dyDescent="0.3">
      <c r="A3225" s="157"/>
      <c r="B3225" s="157"/>
      <c r="C3225" s="157"/>
      <c r="D3225" s="157"/>
    </row>
    <row r="3226" spans="1:4" x14ac:dyDescent="0.3">
      <c r="A3226" s="157"/>
      <c r="B3226" s="157"/>
      <c r="C3226" s="157"/>
      <c r="D3226" s="157"/>
    </row>
    <row r="3227" spans="1:4" x14ac:dyDescent="0.3">
      <c r="A3227" s="157"/>
      <c r="B3227" s="157"/>
      <c r="C3227" s="157"/>
      <c r="D3227" s="157"/>
    </row>
    <row r="3228" spans="1:4" x14ac:dyDescent="0.3">
      <c r="A3228" s="157"/>
      <c r="B3228" s="157"/>
      <c r="C3228" s="157"/>
      <c r="D3228" s="157"/>
    </row>
    <row r="3229" spans="1:4" x14ac:dyDescent="0.3">
      <c r="A3229" s="157"/>
      <c r="B3229" s="157"/>
      <c r="C3229" s="157"/>
      <c r="D3229" s="157"/>
    </row>
    <row r="3230" spans="1:4" x14ac:dyDescent="0.3">
      <c r="A3230" s="157"/>
      <c r="B3230" s="157"/>
      <c r="C3230" s="157"/>
      <c r="D3230" s="157"/>
    </row>
    <row r="3231" spans="1:4" x14ac:dyDescent="0.3">
      <c r="A3231" s="157"/>
      <c r="B3231" s="157"/>
      <c r="C3231" s="157"/>
      <c r="D3231" s="157"/>
    </row>
    <row r="3232" spans="1:4" x14ac:dyDescent="0.3">
      <c r="A3232" s="157"/>
      <c r="B3232" s="157"/>
      <c r="C3232" s="157"/>
      <c r="D3232" s="157"/>
    </row>
    <row r="3233" spans="1:4" x14ac:dyDescent="0.3">
      <c r="A3233" s="157"/>
      <c r="B3233" s="157"/>
      <c r="C3233" s="157"/>
      <c r="D3233" s="157"/>
    </row>
    <row r="3234" spans="1:4" x14ac:dyDescent="0.3">
      <c r="A3234" s="157"/>
      <c r="B3234" s="157"/>
      <c r="C3234" s="157"/>
      <c r="D3234" s="157"/>
    </row>
    <row r="3235" spans="1:4" x14ac:dyDescent="0.3">
      <c r="A3235" s="157"/>
      <c r="B3235" s="157"/>
      <c r="C3235" s="157"/>
      <c r="D3235" s="157"/>
    </row>
    <row r="3236" spans="1:4" x14ac:dyDescent="0.3">
      <c r="A3236" s="157"/>
      <c r="B3236" s="157"/>
      <c r="C3236" s="157"/>
      <c r="D3236" s="157"/>
    </row>
    <row r="3237" spans="1:4" x14ac:dyDescent="0.3">
      <c r="A3237" s="157"/>
      <c r="B3237" s="157"/>
      <c r="C3237" s="157"/>
      <c r="D3237" s="157"/>
    </row>
    <row r="3238" spans="1:4" x14ac:dyDescent="0.3">
      <c r="A3238" s="157"/>
      <c r="B3238" s="157"/>
      <c r="C3238" s="157"/>
      <c r="D3238" s="157"/>
    </row>
    <row r="3239" spans="1:4" x14ac:dyDescent="0.3">
      <c r="A3239" s="157"/>
      <c r="B3239" s="157"/>
      <c r="C3239" s="157"/>
      <c r="D3239" s="157"/>
    </row>
    <row r="3240" spans="1:4" x14ac:dyDescent="0.3">
      <c r="A3240" s="157"/>
      <c r="B3240" s="157"/>
      <c r="C3240" s="157"/>
      <c r="D3240" s="157"/>
    </row>
    <row r="3241" spans="1:4" x14ac:dyDescent="0.3">
      <c r="A3241" s="157"/>
      <c r="B3241" s="157"/>
      <c r="C3241" s="157"/>
      <c r="D3241" s="157"/>
    </row>
    <row r="3242" spans="1:4" x14ac:dyDescent="0.3">
      <c r="A3242" s="157"/>
      <c r="B3242" s="157"/>
      <c r="C3242" s="157"/>
      <c r="D3242" s="157"/>
    </row>
    <row r="3243" spans="1:4" x14ac:dyDescent="0.3">
      <c r="A3243" s="157"/>
      <c r="B3243" s="157"/>
      <c r="C3243" s="157"/>
      <c r="D3243" s="157"/>
    </row>
    <row r="3244" spans="1:4" x14ac:dyDescent="0.3">
      <c r="A3244" s="157"/>
      <c r="B3244" s="157"/>
      <c r="C3244" s="157"/>
      <c r="D3244" s="157"/>
    </row>
    <row r="3245" spans="1:4" x14ac:dyDescent="0.3">
      <c r="A3245" s="157"/>
      <c r="B3245" s="157"/>
      <c r="C3245" s="157"/>
      <c r="D3245" s="157"/>
    </row>
    <row r="3246" spans="1:4" x14ac:dyDescent="0.3">
      <c r="A3246" s="157"/>
      <c r="B3246" s="157"/>
      <c r="C3246" s="157"/>
      <c r="D3246" s="157"/>
    </row>
    <row r="3247" spans="1:4" x14ac:dyDescent="0.3">
      <c r="A3247" s="157"/>
      <c r="B3247" s="157"/>
      <c r="C3247" s="157"/>
      <c r="D3247" s="157"/>
    </row>
    <row r="3248" spans="1:4" x14ac:dyDescent="0.3">
      <c r="A3248" s="157"/>
      <c r="B3248" s="157"/>
      <c r="C3248" s="157"/>
      <c r="D3248" s="157"/>
    </row>
    <row r="3249" spans="1:4" x14ac:dyDescent="0.3">
      <c r="A3249" s="157"/>
      <c r="B3249" s="157"/>
      <c r="C3249" s="157"/>
      <c r="D3249" s="157"/>
    </row>
    <row r="3250" spans="1:4" x14ac:dyDescent="0.3">
      <c r="A3250" s="157"/>
      <c r="B3250" s="157"/>
      <c r="C3250" s="157"/>
      <c r="D3250" s="157"/>
    </row>
    <row r="3251" spans="1:4" x14ac:dyDescent="0.3">
      <c r="A3251" s="157"/>
      <c r="B3251" s="157"/>
      <c r="C3251" s="157"/>
      <c r="D3251" s="157"/>
    </row>
    <row r="3252" spans="1:4" x14ac:dyDescent="0.3">
      <c r="A3252" s="157"/>
      <c r="B3252" s="157"/>
      <c r="C3252" s="157"/>
      <c r="D3252" s="157"/>
    </row>
    <row r="3253" spans="1:4" x14ac:dyDescent="0.3">
      <c r="A3253" s="157"/>
      <c r="B3253" s="157"/>
      <c r="C3253" s="157"/>
      <c r="D3253" s="157"/>
    </row>
    <row r="3254" spans="1:4" x14ac:dyDescent="0.3">
      <c r="A3254" s="157"/>
      <c r="B3254" s="157"/>
      <c r="C3254" s="157"/>
      <c r="D3254" s="157"/>
    </row>
    <row r="3255" spans="1:4" x14ac:dyDescent="0.3">
      <c r="A3255" s="157"/>
      <c r="B3255" s="157"/>
      <c r="C3255" s="157"/>
      <c r="D3255" s="157"/>
    </row>
    <row r="3256" spans="1:4" x14ac:dyDescent="0.3">
      <c r="A3256" s="157"/>
      <c r="B3256" s="157"/>
      <c r="C3256" s="157"/>
      <c r="D3256" s="157"/>
    </row>
    <row r="3257" spans="1:4" x14ac:dyDescent="0.3">
      <c r="A3257" s="157"/>
      <c r="B3257" s="157"/>
      <c r="C3257" s="157"/>
      <c r="D3257" s="157"/>
    </row>
    <row r="3258" spans="1:4" x14ac:dyDescent="0.3">
      <c r="A3258" s="157"/>
      <c r="B3258" s="157"/>
      <c r="C3258" s="157"/>
      <c r="D3258" s="157"/>
    </row>
    <row r="3259" spans="1:4" x14ac:dyDescent="0.3">
      <c r="A3259" s="157"/>
      <c r="B3259" s="157"/>
      <c r="C3259" s="157"/>
      <c r="D3259" s="157"/>
    </row>
    <row r="3260" spans="1:4" x14ac:dyDescent="0.3">
      <c r="A3260" s="157"/>
      <c r="B3260" s="157"/>
      <c r="C3260" s="157"/>
      <c r="D3260" s="157"/>
    </row>
    <row r="3261" spans="1:4" x14ac:dyDescent="0.3">
      <c r="A3261" s="157"/>
      <c r="B3261" s="157"/>
      <c r="C3261" s="157"/>
      <c r="D3261" s="157"/>
    </row>
    <row r="3262" spans="1:4" x14ac:dyDescent="0.3">
      <c r="A3262" s="157"/>
      <c r="B3262" s="157"/>
      <c r="C3262" s="157"/>
      <c r="D3262" s="157"/>
    </row>
    <row r="3263" spans="1:4" x14ac:dyDescent="0.3">
      <c r="A3263" s="157"/>
      <c r="B3263" s="157"/>
      <c r="C3263" s="157"/>
      <c r="D3263" s="157"/>
    </row>
    <row r="3264" spans="1:4" x14ac:dyDescent="0.3">
      <c r="A3264" s="157"/>
      <c r="B3264" s="157"/>
      <c r="C3264" s="157"/>
      <c r="D3264" s="157"/>
    </row>
    <row r="3265" spans="1:4" x14ac:dyDescent="0.3">
      <c r="A3265" s="157"/>
      <c r="B3265" s="157"/>
      <c r="C3265" s="157"/>
      <c r="D3265" s="157"/>
    </row>
    <row r="3266" spans="1:4" x14ac:dyDescent="0.3">
      <c r="A3266" s="157"/>
      <c r="B3266" s="157"/>
      <c r="C3266" s="157"/>
      <c r="D3266" s="157"/>
    </row>
    <row r="3267" spans="1:4" x14ac:dyDescent="0.3">
      <c r="A3267" s="157"/>
      <c r="B3267" s="157"/>
      <c r="C3267" s="157"/>
      <c r="D3267" s="157"/>
    </row>
    <row r="3268" spans="1:4" x14ac:dyDescent="0.3">
      <c r="A3268" s="157"/>
      <c r="B3268" s="157"/>
      <c r="C3268" s="157"/>
      <c r="D3268" s="157"/>
    </row>
    <row r="3269" spans="1:4" x14ac:dyDescent="0.3">
      <c r="A3269" s="157"/>
      <c r="B3269" s="157"/>
      <c r="C3269" s="157"/>
      <c r="D3269" s="157"/>
    </row>
    <row r="3270" spans="1:4" x14ac:dyDescent="0.3">
      <c r="A3270" s="157"/>
      <c r="B3270" s="157"/>
      <c r="C3270" s="157"/>
      <c r="D3270" s="157"/>
    </row>
    <row r="3271" spans="1:4" x14ac:dyDescent="0.3">
      <c r="A3271" s="157"/>
      <c r="B3271" s="157"/>
      <c r="C3271" s="157"/>
      <c r="D3271" s="157"/>
    </row>
    <row r="3272" spans="1:4" x14ac:dyDescent="0.3">
      <c r="A3272" s="157"/>
      <c r="B3272" s="157"/>
      <c r="C3272" s="157"/>
      <c r="D3272" s="157"/>
    </row>
    <row r="3273" spans="1:4" x14ac:dyDescent="0.3">
      <c r="A3273" s="157"/>
      <c r="B3273" s="157"/>
      <c r="C3273" s="157"/>
      <c r="D3273" s="157"/>
    </row>
    <row r="3274" spans="1:4" x14ac:dyDescent="0.3">
      <c r="A3274" s="157"/>
      <c r="B3274" s="157"/>
      <c r="C3274" s="157"/>
      <c r="D3274" s="157"/>
    </row>
    <row r="3275" spans="1:4" x14ac:dyDescent="0.3">
      <c r="A3275" s="157"/>
      <c r="B3275" s="157"/>
      <c r="C3275" s="157"/>
      <c r="D3275" s="157"/>
    </row>
    <row r="3276" spans="1:4" x14ac:dyDescent="0.3">
      <c r="A3276" s="157"/>
      <c r="B3276" s="157"/>
      <c r="C3276" s="157"/>
      <c r="D3276" s="157"/>
    </row>
    <row r="3277" spans="1:4" x14ac:dyDescent="0.3">
      <c r="A3277" s="157"/>
      <c r="B3277" s="157"/>
      <c r="C3277" s="157"/>
      <c r="D3277" s="157"/>
    </row>
    <row r="3278" spans="1:4" x14ac:dyDescent="0.3">
      <c r="A3278" s="157"/>
      <c r="B3278" s="157"/>
      <c r="C3278" s="157"/>
      <c r="D3278" s="157"/>
    </row>
    <row r="3279" spans="1:4" x14ac:dyDescent="0.3">
      <c r="A3279" s="157"/>
      <c r="B3279" s="157"/>
      <c r="C3279" s="157"/>
      <c r="D3279" s="157"/>
    </row>
    <row r="3280" spans="1:4" x14ac:dyDescent="0.3">
      <c r="A3280" s="157"/>
      <c r="B3280" s="157"/>
      <c r="C3280" s="157"/>
      <c r="D3280" s="157"/>
    </row>
    <row r="3281" spans="1:4" x14ac:dyDescent="0.3">
      <c r="A3281" s="157"/>
      <c r="B3281" s="157"/>
      <c r="C3281" s="157"/>
      <c r="D3281" s="157"/>
    </row>
    <row r="3282" spans="1:4" x14ac:dyDescent="0.3">
      <c r="A3282" s="157"/>
      <c r="B3282" s="157"/>
      <c r="C3282" s="157"/>
      <c r="D3282" s="157"/>
    </row>
    <row r="3283" spans="1:4" x14ac:dyDescent="0.3">
      <c r="A3283" s="157"/>
      <c r="B3283" s="157"/>
      <c r="C3283" s="157"/>
      <c r="D3283" s="157"/>
    </row>
    <row r="3284" spans="1:4" x14ac:dyDescent="0.3">
      <c r="A3284" s="157"/>
      <c r="B3284" s="157"/>
      <c r="C3284" s="157"/>
      <c r="D3284" s="157"/>
    </row>
    <row r="3285" spans="1:4" x14ac:dyDescent="0.3">
      <c r="A3285" s="157"/>
      <c r="B3285" s="157"/>
      <c r="C3285" s="157"/>
      <c r="D3285" s="157"/>
    </row>
    <row r="3286" spans="1:4" x14ac:dyDescent="0.3">
      <c r="A3286" s="157"/>
      <c r="B3286" s="157"/>
      <c r="C3286" s="157"/>
      <c r="D3286" s="157"/>
    </row>
    <row r="3287" spans="1:4" x14ac:dyDescent="0.3">
      <c r="A3287" s="157"/>
      <c r="B3287" s="157"/>
      <c r="C3287" s="157"/>
      <c r="D3287" s="157"/>
    </row>
    <row r="3288" spans="1:4" x14ac:dyDescent="0.3">
      <c r="A3288" s="157"/>
      <c r="B3288" s="157"/>
      <c r="C3288" s="157"/>
      <c r="D3288" s="157"/>
    </row>
    <row r="3289" spans="1:4" x14ac:dyDescent="0.3">
      <c r="A3289" s="157"/>
      <c r="B3289" s="157"/>
      <c r="C3289" s="157"/>
      <c r="D3289" s="157"/>
    </row>
    <row r="3290" spans="1:4" x14ac:dyDescent="0.3">
      <c r="A3290" s="157"/>
      <c r="B3290" s="157"/>
      <c r="C3290" s="157"/>
      <c r="D3290" s="157"/>
    </row>
    <row r="3291" spans="1:4" x14ac:dyDescent="0.3">
      <c r="A3291" s="157"/>
      <c r="B3291" s="157"/>
      <c r="C3291" s="157"/>
      <c r="D3291" s="157"/>
    </row>
    <row r="3292" spans="1:4" x14ac:dyDescent="0.3">
      <c r="A3292" s="157"/>
      <c r="B3292" s="157"/>
      <c r="C3292" s="157"/>
      <c r="D3292" s="157"/>
    </row>
    <row r="3293" spans="1:4" x14ac:dyDescent="0.3">
      <c r="A3293" s="157"/>
      <c r="B3293" s="157"/>
      <c r="C3293" s="157"/>
      <c r="D3293" s="157"/>
    </row>
    <row r="3294" spans="1:4" x14ac:dyDescent="0.3">
      <c r="A3294" s="157"/>
      <c r="B3294" s="157"/>
      <c r="C3294" s="157"/>
      <c r="D3294" s="157"/>
    </row>
    <row r="3295" spans="1:4" x14ac:dyDescent="0.3">
      <c r="A3295" s="157"/>
      <c r="B3295" s="157"/>
      <c r="C3295" s="157"/>
      <c r="D3295" s="157"/>
    </row>
    <row r="3296" spans="1:4" x14ac:dyDescent="0.3">
      <c r="A3296" s="157"/>
      <c r="B3296" s="157"/>
      <c r="C3296" s="157"/>
      <c r="D3296" s="157"/>
    </row>
    <row r="3297" spans="1:4" x14ac:dyDescent="0.3">
      <c r="A3297" s="157"/>
      <c r="B3297" s="157"/>
      <c r="C3297" s="157"/>
      <c r="D3297" s="157"/>
    </row>
    <row r="3298" spans="1:4" x14ac:dyDescent="0.3">
      <c r="A3298" s="157"/>
      <c r="B3298" s="157"/>
      <c r="C3298" s="157"/>
      <c r="D3298" s="157"/>
    </row>
    <row r="3299" spans="1:4" x14ac:dyDescent="0.3">
      <c r="A3299" s="157"/>
      <c r="B3299" s="157"/>
      <c r="C3299" s="157"/>
      <c r="D3299" s="157"/>
    </row>
    <row r="3300" spans="1:4" x14ac:dyDescent="0.3">
      <c r="A3300" s="157"/>
      <c r="B3300" s="157"/>
      <c r="C3300" s="157"/>
      <c r="D3300" s="157"/>
    </row>
    <row r="3301" spans="1:4" x14ac:dyDescent="0.3">
      <c r="A3301" s="157"/>
      <c r="B3301" s="157"/>
      <c r="C3301" s="157"/>
      <c r="D3301" s="157"/>
    </row>
    <row r="3302" spans="1:4" x14ac:dyDescent="0.3">
      <c r="A3302" s="157"/>
      <c r="B3302" s="157"/>
      <c r="C3302" s="157"/>
      <c r="D3302" s="157"/>
    </row>
    <row r="3303" spans="1:4" x14ac:dyDescent="0.3">
      <c r="A3303" s="157"/>
      <c r="B3303" s="157"/>
      <c r="C3303" s="157"/>
      <c r="D3303" s="157"/>
    </row>
    <row r="3304" spans="1:4" x14ac:dyDescent="0.3">
      <c r="A3304" s="157"/>
      <c r="B3304" s="157"/>
      <c r="C3304" s="157"/>
      <c r="D3304" s="157"/>
    </row>
    <row r="3305" spans="1:4" x14ac:dyDescent="0.3">
      <c r="A3305" s="157"/>
      <c r="B3305" s="157"/>
      <c r="C3305" s="157"/>
      <c r="D3305" s="157"/>
    </row>
    <row r="3306" spans="1:4" x14ac:dyDescent="0.3">
      <c r="A3306" s="157"/>
      <c r="B3306" s="157"/>
      <c r="C3306" s="157"/>
      <c r="D3306" s="157"/>
    </row>
    <row r="3307" spans="1:4" x14ac:dyDescent="0.3">
      <c r="A3307" s="157"/>
      <c r="B3307" s="157"/>
      <c r="C3307" s="157"/>
      <c r="D3307" s="157"/>
    </row>
    <row r="3308" spans="1:4" x14ac:dyDescent="0.3">
      <c r="A3308" s="157"/>
      <c r="B3308" s="157"/>
      <c r="C3308" s="157"/>
      <c r="D3308" s="157"/>
    </row>
    <row r="3309" spans="1:4" x14ac:dyDescent="0.3">
      <c r="A3309" s="157"/>
      <c r="B3309" s="157"/>
      <c r="C3309" s="157"/>
      <c r="D3309" s="157"/>
    </row>
    <row r="3310" spans="1:4" x14ac:dyDescent="0.3">
      <c r="A3310" s="157"/>
      <c r="B3310" s="157"/>
      <c r="C3310" s="157"/>
      <c r="D3310" s="157"/>
    </row>
    <row r="3311" spans="1:4" x14ac:dyDescent="0.3">
      <c r="A3311" s="157"/>
      <c r="B3311" s="157"/>
      <c r="C3311" s="157"/>
      <c r="D3311" s="157"/>
    </row>
    <row r="3312" spans="1:4" x14ac:dyDescent="0.3">
      <c r="A3312" s="157"/>
      <c r="B3312" s="157"/>
      <c r="C3312" s="157"/>
      <c r="D3312" s="157"/>
    </row>
    <row r="3313" spans="1:4" x14ac:dyDescent="0.3">
      <c r="A3313" s="157"/>
      <c r="B3313" s="157"/>
      <c r="C3313" s="157"/>
      <c r="D3313" s="157"/>
    </row>
    <row r="3314" spans="1:4" x14ac:dyDescent="0.3">
      <c r="A3314" s="157"/>
      <c r="B3314" s="157"/>
      <c r="C3314" s="157"/>
      <c r="D3314" s="157"/>
    </row>
    <row r="3315" spans="1:4" x14ac:dyDescent="0.3">
      <c r="A3315" s="157"/>
      <c r="B3315" s="157"/>
      <c r="C3315" s="157"/>
      <c r="D3315" s="157"/>
    </row>
    <row r="3316" spans="1:4" x14ac:dyDescent="0.3">
      <c r="A3316" s="157"/>
      <c r="B3316" s="157"/>
      <c r="C3316" s="157"/>
      <c r="D3316" s="157"/>
    </row>
    <row r="3317" spans="1:4" x14ac:dyDescent="0.3">
      <c r="A3317" s="157"/>
      <c r="B3317" s="157"/>
      <c r="C3317" s="157"/>
      <c r="D3317" s="157"/>
    </row>
    <row r="3318" spans="1:4" x14ac:dyDescent="0.3">
      <c r="A3318" s="157"/>
      <c r="B3318" s="157"/>
      <c r="C3318" s="157"/>
      <c r="D3318" s="157"/>
    </row>
    <row r="3319" spans="1:4" x14ac:dyDescent="0.3">
      <c r="A3319" s="157"/>
      <c r="B3319" s="157"/>
      <c r="C3319" s="157"/>
      <c r="D3319" s="157"/>
    </row>
    <row r="3320" spans="1:4" x14ac:dyDescent="0.3">
      <c r="A3320" s="157"/>
      <c r="B3320" s="157"/>
      <c r="C3320" s="157"/>
      <c r="D3320" s="157"/>
    </row>
    <row r="3321" spans="1:4" x14ac:dyDescent="0.3">
      <c r="A3321" s="157"/>
      <c r="B3321" s="157"/>
      <c r="C3321" s="157"/>
      <c r="D3321" s="157"/>
    </row>
    <row r="3322" spans="1:4" x14ac:dyDescent="0.3">
      <c r="A3322" s="157"/>
      <c r="B3322" s="157"/>
      <c r="C3322" s="157"/>
      <c r="D3322" s="157"/>
    </row>
    <row r="3323" spans="1:4" x14ac:dyDescent="0.3">
      <c r="A3323" s="157"/>
      <c r="B3323" s="157"/>
      <c r="C3323" s="157"/>
      <c r="D3323" s="157"/>
    </row>
    <row r="3324" spans="1:4" x14ac:dyDescent="0.3">
      <c r="A3324" s="157"/>
      <c r="B3324" s="157"/>
      <c r="C3324" s="157"/>
      <c r="D3324" s="157"/>
    </row>
    <row r="3325" spans="1:4" x14ac:dyDescent="0.3">
      <c r="A3325" s="157"/>
      <c r="B3325" s="157"/>
      <c r="C3325" s="157"/>
      <c r="D3325" s="157"/>
    </row>
    <row r="3326" spans="1:4" x14ac:dyDescent="0.3">
      <c r="A3326" s="157"/>
      <c r="B3326" s="157"/>
      <c r="C3326" s="157"/>
      <c r="D3326" s="157"/>
    </row>
    <row r="3327" spans="1:4" x14ac:dyDescent="0.3">
      <c r="A3327" s="157"/>
      <c r="B3327" s="157"/>
      <c r="C3327" s="157"/>
      <c r="D3327" s="157"/>
    </row>
    <row r="3328" spans="1:4" x14ac:dyDescent="0.3">
      <c r="A3328" s="157"/>
      <c r="B3328" s="157"/>
      <c r="C3328" s="157"/>
      <c r="D3328" s="157"/>
    </row>
    <row r="3329" spans="1:4" x14ac:dyDescent="0.3">
      <c r="A3329" s="157"/>
      <c r="B3329" s="157"/>
      <c r="C3329" s="157"/>
      <c r="D3329" s="157"/>
    </row>
    <row r="3330" spans="1:4" x14ac:dyDescent="0.3">
      <c r="A3330" s="157"/>
      <c r="B3330" s="157"/>
      <c r="C3330" s="157"/>
      <c r="D3330" s="157"/>
    </row>
    <row r="3331" spans="1:4" x14ac:dyDescent="0.3">
      <c r="A3331" s="157"/>
      <c r="B3331" s="157"/>
      <c r="C3331" s="157"/>
      <c r="D3331" s="157"/>
    </row>
    <row r="3332" spans="1:4" x14ac:dyDescent="0.3">
      <c r="A3332" s="157"/>
      <c r="B3332" s="157"/>
      <c r="C3332" s="157"/>
      <c r="D3332" s="157"/>
    </row>
    <row r="3333" spans="1:4" x14ac:dyDescent="0.3">
      <c r="A3333" s="157"/>
      <c r="B3333" s="157"/>
      <c r="C3333" s="157"/>
      <c r="D3333" s="157"/>
    </row>
    <row r="3334" spans="1:4" x14ac:dyDescent="0.3">
      <c r="A3334" s="157"/>
      <c r="B3334" s="157"/>
      <c r="C3334" s="157"/>
      <c r="D3334" s="157"/>
    </row>
    <row r="3335" spans="1:4" x14ac:dyDescent="0.3">
      <c r="A3335" s="157"/>
      <c r="B3335" s="157"/>
      <c r="C3335" s="157"/>
      <c r="D3335" s="157"/>
    </row>
    <row r="3336" spans="1:4" x14ac:dyDescent="0.3">
      <c r="A3336" s="157"/>
      <c r="B3336" s="157"/>
      <c r="C3336" s="157"/>
      <c r="D3336" s="157"/>
    </row>
    <row r="3337" spans="1:4" x14ac:dyDescent="0.3">
      <c r="A3337" s="157"/>
      <c r="B3337" s="157"/>
      <c r="C3337" s="157"/>
      <c r="D3337" s="157"/>
    </row>
    <row r="3338" spans="1:4" x14ac:dyDescent="0.3">
      <c r="A3338" s="157"/>
      <c r="B3338" s="157"/>
      <c r="C3338" s="157"/>
      <c r="D3338" s="157"/>
    </row>
    <row r="3339" spans="1:4" x14ac:dyDescent="0.3">
      <c r="A3339" s="157"/>
      <c r="B3339" s="157"/>
      <c r="C3339" s="157"/>
      <c r="D3339" s="157"/>
    </row>
    <row r="3340" spans="1:4" x14ac:dyDescent="0.3">
      <c r="A3340" s="157"/>
      <c r="B3340" s="157"/>
      <c r="C3340" s="157"/>
      <c r="D3340" s="157"/>
    </row>
    <row r="3341" spans="1:4" x14ac:dyDescent="0.3">
      <c r="A3341" s="157"/>
      <c r="B3341" s="157"/>
      <c r="C3341" s="157"/>
      <c r="D3341" s="157"/>
    </row>
    <row r="3342" spans="1:4" x14ac:dyDescent="0.3">
      <c r="A3342" s="157"/>
      <c r="B3342" s="157"/>
      <c r="C3342" s="157"/>
      <c r="D3342" s="157"/>
    </row>
    <row r="3343" spans="1:4" x14ac:dyDescent="0.3">
      <c r="A3343" s="157"/>
      <c r="B3343" s="157"/>
      <c r="C3343" s="157"/>
      <c r="D3343" s="157"/>
    </row>
    <row r="3344" spans="1:4" x14ac:dyDescent="0.3">
      <c r="A3344" s="157"/>
      <c r="B3344" s="157"/>
      <c r="C3344" s="157"/>
      <c r="D3344" s="157"/>
    </row>
    <row r="3345" spans="1:4" x14ac:dyDescent="0.3">
      <c r="A3345" s="157"/>
      <c r="B3345" s="157"/>
      <c r="C3345" s="157"/>
      <c r="D3345" s="157"/>
    </row>
    <row r="3346" spans="1:4" x14ac:dyDescent="0.3">
      <c r="A3346" s="157"/>
      <c r="B3346" s="157"/>
      <c r="C3346" s="157"/>
      <c r="D3346" s="157"/>
    </row>
    <row r="3347" spans="1:4" x14ac:dyDescent="0.3">
      <c r="A3347" s="157"/>
      <c r="B3347" s="157"/>
      <c r="C3347" s="157"/>
      <c r="D3347" s="157"/>
    </row>
    <row r="3348" spans="1:4" x14ac:dyDescent="0.3">
      <c r="A3348" s="157"/>
      <c r="B3348" s="157"/>
      <c r="C3348" s="157"/>
      <c r="D3348" s="157"/>
    </row>
    <row r="3349" spans="1:4" x14ac:dyDescent="0.3">
      <c r="A3349" s="157"/>
      <c r="B3349" s="157"/>
      <c r="C3349" s="157"/>
      <c r="D3349" s="157"/>
    </row>
    <row r="3350" spans="1:4" x14ac:dyDescent="0.3">
      <c r="A3350" s="157"/>
      <c r="B3350" s="157"/>
      <c r="C3350" s="157"/>
      <c r="D3350" s="157"/>
    </row>
    <row r="3351" spans="1:4" x14ac:dyDescent="0.3">
      <c r="A3351" s="157"/>
      <c r="B3351" s="157"/>
      <c r="C3351" s="157"/>
      <c r="D3351" s="157"/>
    </row>
    <row r="3352" spans="1:4" x14ac:dyDescent="0.3">
      <c r="A3352" s="157"/>
      <c r="B3352" s="157"/>
      <c r="C3352" s="157"/>
      <c r="D3352" s="157"/>
    </row>
    <row r="3353" spans="1:4" x14ac:dyDescent="0.3">
      <c r="A3353" s="157"/>
      <c r="B3353" s="157"/>
      <c r="C3353" s="157"/>
      <c r="D3353" s="157"/>
    </row>
    <row r="3354" spans="1:4" x14ac:dyDescent="0.3">
      <c r="A3354" s="157"/>
      <c r="B3354" s="157"/>
      <c r="C3354" s="157"/>
      <c r="D3354" s="157"/>
    </row>
    <row r="3355" spans="1:4" x14ac:dyDescent="0.3">
      <c r="A3355" s="157"/>
      <c r="B3355" s="157"/>
      <c r="C3355" s="157"/>
      <c r="D3355" s="157"/>
    </row>
    <row r="3356" spans="1:4" x14ac:dyDescent="0.3">
      <c r="A3356" s="157"/>
      <c r="B3356" s="157"/>
      <c r="C3356" s="157"/>
      <c r="D3356" s="157"/>
    </row>
    <row r="3357" spans="1:4" x14ac:dyDescent="0.3">
      <c r="A3357" s="157"/>
      <c r="B3357" s="157"/>
      <c r="C3357" s="157"/>
      <c r="D3357" s="157"/>
    </row>
    <row r="3358" spans="1:4" x14ac:dyDescent="0.3">
      <c r="A3358" s="157"/>
      <c r="B3358" s="157"/>
      <c r="C3358" s="157"/>
      <c r="D3358" s="157"/>
    </row>
    <row r="3359" spans="1:4" x14ac:dyDescent="0.3">
      <c r="A3359" s="157"/>
      <c r="B3359" s="157"/>
      <c r="C3359" s="157"/>
      <c r="D3359" s="157"/>
    </row>
    <row r="3360" spans="1:4" x14ac:dyDescent="0.3">
      <c r="A3360" s="157"/>
      <c r="B3360" s="157"/>
      <c r="C3360" s="157"/>
      <c r="D3360" s="157"/>
    </row>
    <row r="3361" spans="1:4" x14ac:dyDescent="0.3">
      <c r="A3361" s="157"/>
      <c r="B3361" s="157"/>
      <c r="C3361" s="157"/>
      <c r="D3361" s="157"/>
    </row>
    <row r="3362" spans="1:4" x14ac:dyDescent="0.3">
      <c r="A3362" s="157"/>
      <c r="B3362" s="157"/>
      <c r="C3362" s="157"/>
      <c r="D3362" s="157"/>
    </row>
    <row r="3363" spans="1:4" x14ac:dyDescent="0.3">
      <c r="A3363" s="157"/>
      <c r="B3363" s="157"/>
      <c r="C3363" s="157"/>
      <c r="D3363" s="157"/>
    </row>
    <row r="3364" spans="1:4" x14ac:dyDescent="0.3">
      <c r="A3364" s="157"/>
      <c r="B3364" s="157"/>
      <c r="C3364" s="157"/>
      <c r="D3364" s="157"/>
    </row>
    <row r="3365" spans="1:4" x14ac:dyDescent="0.3">
      <c r="A3365" s="157"/>
      <c r="B3365" s="157"/>
      <c r="C3365" s="157"/>
      <c r="D3365" s="157"/>
    </row>
    <row r="3366" spans="1:4" x14ac:dyDescent="0.3">
      <c r="A3366" s="157"/>
      <c r="B3366" s="157"/>
      <c r="C3366" s="157"/>
      <c r="D3366" s="157"/>
    </row>
    <row r="3367" spans="1:4" x14ac:dyDescent="0.3">
      <c r="A3367" s="157"/>
      <c r="B3367" s="157"/>
      <c r="C3367" s="157"/>
      <c r="D3367" s="157"/>
    </row>
    <row r="3368" spans="1:4" x14ac:dyDescent="0.3">
      <c r="A3368" s="157"/>
      <c r="B3368" s="157"/>
      <c r="C3368" s="157"/>
      <c r="D3368" s="157"/>
    </row>
    <row r="3369" spans="1:4" x14ac:dyDescent="0.3">
      <c r="A3369" s="157"/>
      <c r="B3369" s="157"/>
      <c r="C3369" s="157"/>
      <c r="D3369" s="157"/>
    </row>
    <row r="3370" spans="1:4" x14ac:dyDescent="0.3">
      <c r="A3370" s="157"/>
      <c r="B3370" s="157"/>
      <c r="C3370" s="157"/>
      <c r="D3370" s="157"/>
    </row>
    <row r="3371" spans="1:4" x14ac:dyDescent="0.3">
      <c r="A3371" s="157"/>
      <c r="B3371" s="157"/>
      <c r="C3371" s="157"/>
      <c r="D3371" s="157"/>
    </row>
    <row r="3372" spans="1:4" x14ac:dyDescent="0.3">
      <c r="A3372" s="157"/>
      <c r="B3372" s="157"/>
      <c r="C3372" s="157"/>
      <c r="D3372" s="157"/>
    </row>
    <row r="3373" spans="1:4" x14ac:dyDescent="0.3">
      <c r="A3373" s="157"/>
      <c r="B3373" s="157"/>
      <c r="C3373" s="157"/>
      <c r="D3373" s="157"/>
    </row>
    <row r="3374" spans="1:4" x14ac:dyDescent="0.3">
      <c r="A3374" s="157"/>
      <c r="B3374" s="157"/>
      <c r="C3374" s="157"/>
      <c r="D3374" s="157"/>
    </row>
    <row r="3375" spans="1:4" x14ac:dyDescent="0.3">
      <c r="A3375" s="157"/>
      <c r="B3375" s="157"/>
      <c r="C3375" s="157"/>
      <c r="D3375" s="157"/>
    </row>
    <row r="3376" spans="1:4" x14ac:dyDescent="0.3">
      <c r="A3376" s="157"/>
      <c r="B3376" s="157"/>
      <c r="C3376" s="157"/>
      <c r="D3376" s="157"/>
    </row>
    <row r="3377" spans="1:4" x14ac:dyDescent="0.3">
      <c r="A3377" s="157"/>
      <c r="B3377" s="157"/>
      <c r="C3377" s="157"/>
      <c r="D3377" s="157"/>
    </row>
    <row r="3378" spans="1:4" x14ac:dyDescent="0.3">
      <c r="A3378" s="157"/>
      <c r="B3378" s="157"/>
      <c r="C3378" s="157"/>
      <c r="D3378" s="157"/>
    </row>
    <row r="3379" spans="1:4" x14ac:dyDescent="0.3">
      <c r="A3379" s="157"/>
      <c r="B3379" s="157"/>
      <c r="C3379" s="157"/>
      <c r="D3379" s="157"/>
    </row>
    <row r="3380" spans="1:4" x14ac:dyDescent="0.3">
      <c r="A3380" s="157"/>
      <c r="B3380" s="157"/>
      <c r="C3380" s="157"/>
      <c r="D3380" s="157"/>
    </row>
    <row r="3381" spans="1:4" x14ac:dyDescent="0.3">
      <c r="A3381" s="157"/>
      <c r="B3381" s="157"/>
      <c r="C3381" s="157"/>
      <c r="D3381" s="157"/>
    </row>
    <row r="3382" spans="1:4" x14ac:dyDescent="0.3">
      <c r="A3382" s="157"/>
      <c r="B3382" s="157"/>
      <c r="C3382" s="157"/>
      <c r="D3382" s="157"/>
    </row>
    <row r="3383" spans="1:4" x14ac:dyDescent="0.3">
      <c r="A3383" s="157"/>
      <c r="B3383" s="157"/>
      <c r="C3383" s="157"/>
      <c r="D3383" s="157"/>
    </row>
    <row r="3384" spans="1:4" x14ac:dyDescent="0.3">
      <c r="A3384" s="157"/>
      <c r="B3384" s="157"/>
      <c r="C3384" s="157"/>
      <c r="D3384" s="157"/>
    </row>
    <row r="3385" spans="1:4" x14ac:dyDescent="0.3">
      <c r="A3385" s="157"/>
      <c r="B3385" s="157"/>
      <c r="C3385" s="157"/>
      <c r="D3385" s="157"/>
    </row>
    <row r="3386" spans="1:4" x14ac:dyDescent="0.3">
      <c r="A3386" s="157"/>
      <c r="B3386" s="157"/>
      <c r="C3386" s="157"/>
      <c r="D3386" s="157"/>
    </row>
    <row r="3387" spans="1:4" x14ac:dyDescent="0.3">
      <c r="A3387" s="157"/>
      <c r="B3387" s="157"/>
      <c r="C3387" s="157"/>
      <c r="D3387" s="157"/>
    </row>
    <row r="3388" spans="1:4" x14ac:dyDescent="0.3">
      <c r="A3388" s="157"/>
      <c r="B3388" s="157"/>
      <c r="C3388" s="157"/>
      <c r="D3388" s="157"/>
    </row>
    <row r="3389" spans="1:4" x14ac:dyDescent="0.3">
      <c r="A3389" s="157"/>
      <c r="B3389" s="157"/>
      <c r="C3389" s="157"/>
      <c r="D3389" s="157"/>
    </row>
    <row r="3390" spans="1:4" x14ac:dyDescent="0.3">
      <c r="A3390" s="157"/>
      <c r="B3390" s="157"/>
      <c r="C3390" s="157"/>
      <c r="D3390" s="157"/>
    </row>
    <row r="3391" spans="1:4" x14ac:dyDescent="0.3">
      <c r="A3391" s="157"/>
      <c r="B3391" s="157"/>
      <c r="C3391" s="157"/>
      <c r="D3391" s="157"/>
    </row>
    <row r="3392" spans="1:4" x14ac:dyDescent="0.3">
      <c r="A3392" s="157"/>
      <c r="B3392" s="157"/>
      <c r="C3392" s="157"/>
      <c r="D3392" s="157"/>
    </row>
    <row r="3393" spans="1:4" x14ac:dyDescent="0.3">
      <c r="A3393" s="157"/>
      <c r="B3393" s="157"/>
      <c r="C3393" s="157"/>
      <c r="D3393" s="157"/>
    </row>
    <row r="3394" spans="1:4" x14ac:dyDescent="0.3">
      <c r="A3394" s="157"/>
      <c r="B3394" s="157"/>
      <c r="C3394" s="157"/>
      <c r="D3394" s="157"/>
    </row>
    <row r="3395" spans="1:4" x14ac:dyDescent="0.3">
      <c r="A3395" s="157"/>
      <c r="B3395" s="157"/>
      <c r="C3395" s="157"/>
      <c r="D3395" s="157"/>
    </row>
    <row r="3396" spans="1:4" x14ac:dyDescent="0.3">
      <c r="A3396" s="157"/>
      <c r="B3396" s="157"/>
      <c r="C3396" s="157"/>
      <c r="D3396" s="157"/>
    </row>
    <row r="3397" spans="1:4" x14ac:dyDescent="0.3">
      <c r="A3397" s="157"/>
      <c r="B3397" s="157"/>
      <c r="C3397" s="157"/>
      <c r="D3397" s="157"/>
    </row>
    <row r="3398" spans="1:4" x14ac:dyDescent="0.3">
      <c r="A3398" s="157"/>
      <c r="B3398" s="157"/>
      <c r="C3398" s="157"/>
      <c r="D3398" s="157"/>
    </row>
    <row r="3399" spans="1:4" x14ac:dyDescent="0.3">
      <c r="A3399" s="157"/>
      <c r="B3399" s="157"/>
      <c r="C3399" s="157"/>
      <c r="D3399" s="157"/>
    </row>
    <row r="3400" spans="1:4" x14ac:dyDescent="0.3">
      <c r="A3400" s="157"/>
      <c r="B3400" s="157"/>
      <c r="C3400" s="157"/>
      <c r="D3400" s="157"/>
    </row>
    <row r="3401" spans="1:4" x14ac:dyDescent="0.3">
      <c r="A3401" s="157"/>
      <c r="B3401" s="157"/>
      <c r="C3401" s="157"/>
      <c r="D3401" s="157"/>
    </row>
    <row r="3402" spans="1:4" x14ac:dyDescent="0.3">
      <c r="A3402" s="157"/>
      <c r="B3402" s="157"/>
      <c r="C3402" s="157"/>
      <c r="D3402" s="157"/>
    </row>
    <row r="3403" spans="1:4" x14ac:dyDescent="0.3">
      <c r="A3403" s="157"/>
      <c r="B3403" s="157"/>
      <c r="C3403" s="157"/>
      <c r="D3403" s="157"/>
    </row>
    <row r="3404" spans="1:4" x14ac:dyDescent="0.3">
      <c r="A3404" s="157"/>
      <c r="B3404" s="157"/>
      <c r="C3404" s="157"/>
      <c r="D3404" s="157"/>
    </row>
    <row r="3405" spans="1:4" x14ac:dyDescent="0.3">
      <c r="A3405" s="157"/>
      <c r="B3405" s="157"/>
      <c r="C3405" s="157"/>
      <c r="D3405" s="157"/>
    </row>
    <row r="3406" spans="1:4" x14ac:dyDescent="0.3">
      <c r="A3406" s="157"/>
      <c r="B3406" s="157"/>
      <c r="C3406" s="157"/>
      <c r="D3406" s="157"/>
    </row>
    <row r="3407" spans="1:4" x14ac:dyDescent="0.3">
      <c r="A3407" s="157"/>
      <c r="B3407" s="157"/>
      <c r="C3407" s="157"/>
      <c r="D3407" s="157"/>
    </row>
    <row r="3408" spans="1:4" x14ac:dyDescent="0.3">
      <c r="A3408" s="157"/>
      <c r="B3408" s="157"/>
      <c r="C3408" s="157"/>
      <c r="D3408" s="157"/>
    </row>
    <row r="3409" spans="1:4" x14ac:dyDescent="0.3">
      <c r="A3409" s="157"/>
      <c r="B3409" s="157"/>
      <c r="C3409" s="157"/>
      <c r="D3409" s="157"/>
    </row>
    <row r="3410" spans="1:4" x14ac:dyDescent="0.3">
      <c r="A3410" s="157"/>
      <c r="B3410" s="157"/>
      <c r="C3410" s="157"/>
      <c r="D3410" s="157"/>
    </row>
    <row r="3411" spans="1:4" x14ac:dyDescent="0.3">
      <c r="A3411" s="157"/>
      <c r="B3411" s="157"/>
      <c r="C3411" s="157"/>
      <c r="D3411" s="157"/>
    </row>
    <row r="3412" spans="1:4" x14ac:dyDescent="0.3">
      <c r="A3412" s="157"/>
      <c r="B3412" s="157"/>
      <c r="C3412" s="157"/>
      <c r="D3412" s="157"/>
    </row>
    <row r="3413" spans="1:4" x14ac:dyDescent="0.3">
      <c r="A3413" s="157"/>
      <c r="B3413" s="157"/>
      <c r="C3413" s="157"/>
      <c r="D3413" s="157"/>
    </row>
    <row r="3414" spans="1:4" x14ac:dyDescent="0.3">
      <c r="A3414" s="157"/>
      <c r="B3414" s="157"/>
      <c r="C3414" s="157"/>
      <c r="D3414" s="157"/>
    </row>
    <row r="3415" spans="1:4" x14ac:dyDescent="0.3">
      <c r="A3415" s="157"/>
      <c r="B3415" s="157"/>
      <c r="C3415" s="157"/>
      <c r="D3415" s="157"/>
    </row>
    <row r="3416" spans="1:4" x14ac:dyDescent="0.3">
      <c r="A3416" s="157"/>
      <c r="B3416" s="157"/>
      <c r="C3416" s="157"/>
      <c r="D3416" s="157"/>
    </row>
    <row r="3417" spans="1:4" x14ac:dyDescent="0.3">
      <c r="A3417" s="157"/>
      <c r="B3417" s="157"/>
      <c r="C3417" s="157"/>
      <c r="D3417" s="157"/>
    </row>
    <row r="3418" spans="1:4" x14ac:dyDescent="0.3">
      <c r="A3418" s="157"/>
      <c r="B3418" s="157"/>
      <c r="C3418" s="157"/>
      <c r="D3418" s="157"/>
    </row>
    <row r="3419" spans="1:4" x14ac:dyDescent="0.3">
      <c r="A3419" s="157"/>
      <c r="B3419" s="157"/>
      <c r="C3419" s="157"/>
      <c r="D3419" s="157"/>
    </row>
    <row r="3420" spans="1:4" x14ac:dyDescent="0.3">
      <c r="A3420" s="157"/>
      <c r="B3420" s="157"/>
      <c r="C3420" s="157"/>
      <c r="D3420" s="157"/>
    </row>
    <row r="3421" spans="1:4" x14ac:dyDescent="0.3">
      <c r="A3421" s="157"/>
      <c r="B3421" s="157"/>
      <c r="C3421" s="157"/>
      <c r="D3421" s="157"/>
    </row>
    <row r="3422" spans="1:4" x14ac:dyDescent="0.3">
      <c r="A3422" s="157"/>
      <c r="B3422" s="157"/>
      <c r="C3422" s="157"/>
      <c r="D3422" s="157"/>
    </row>
    <row r="3423" spans="1:4" x14ac:dyDescent="0.3">
      <c r="A3423" s="157"/>
      <c r="B3423" s="157"/>
      <c r="C3423" s="157"/>
      <c r="D3423" s="157"/>
    </row>
    <row r="3424" spans="1:4" x14ac:dyDescent="0.3">
      <c r="A3424" s="157"/>
      <c r="B3424" s="157"/>
      <c r="C3424" s="157"/>
      <c r="D3424" s="157"/>
    </row>
    <row r="3425" spans="1:4" x14ac:dyDescent="0.3">
      <c r="A3425" s="157"/>
      <c r="B3425" s="157"/>
      <c r="C3425" s="157"/>
      <c r="D3425" s="157"/>
    </row>
    <row r="3426" spans="1:4" x14ac:dyDescent="0.3">
      <c r="A3426" s="157"/>
      <c r="B3426" s="157"/>
      <c r="C3426" s="157"/>
      <c r="D3426" s="157"/>
    </row>
    <row r="3427" spans="1:4" x14ac:dyDescent="0.3">
      <c r="A3427" s="157"/>
      <c r="B3427" s="157"/>
      <c r="C3427" s="157"/>
      <c r="D3427" s="157"/>
    </row>
    <row r="3428" spans="1:4" x14ac:dyDescent="0.3">
      <c r="A3428" s="157"/>
      <c r="B3428" s="157"/>
      <c r="C3428" s="157"/>
      <c r="D3428" s="157"/>
    </row>
    <row r="3429" spans="1:4" x14ac:dyDescent="0.3">
      <c r="A3429" s="157"/>
      <c r="B3429" s="157"/>
      <c r="C3429" s="157"/>
      <c r="D3429" s="157"/>
    </row>
    <row r="3430" spans="1:4" x14ac:dyDescent="0.3">
      <c r="A3430" s="157"/>
      <c r="B3430" s="157"/>
      <c r="C3430" s="157"/>
      <c r="D3430" s="157"/>
    </row>
    <row r="3431" spans="1:4" x14ac:dyDescent="0.3">
      <c r="A3431" s="157"/>
      <c r="B3431" s="157"/>
      <c r="C3431" s="157"/>
      <c r="D3431" s="157"/>
    </row>
    <row r="3432" spans="1:4" x14ac:dyDescent="0.3">
      <c r="A3432" s="157"/>
      <c r="B3432" s="157"/>
      <c r="C3432" s="157"/>
      <c r="D3432" s="157"/>
    </row>
    <row r="3433" spans="1:4" x14ac:dyDescent="0.3">
      <c r="A3433" s="157"/>
      <c r="B3433" s="157"/>
      <c r="C3433" s="157"/>
      <c r="D3433" s="157"/>
    </row>
    <row r="3434" spans="1:4" x14ac:dyDescent="0.3">
      <c r="A3434" s="157"/>
      <c r="B3434" s="157"/>
      <c r="C3434" s="157"/>
      <c r="D3434" s="157"/>
    </row>
    <row r="3435" spans="1:4" x14ac:dyDescent="0.3">
      <c r="A3435" s="157"/>
      <c r="B3435" s="157"/>
      <c r="C3435" s="157"/>
      <c r="D3435" s="157"/>
    </row>
    <row r="3436" spans="1:4" x14ac:dyDescent="0.3">
      <c r="A3436" s="157"/>
      <c r="B3436" s="157"/>
      <c r="C3436" s="157"/>
      <c r="D3436" s="157"/>
    </row>
    <row r="3437" spans="1:4" x14ac:dyDescent="0.3">
      <c r="A3437" s="157"/>
      <c r="B3437" s="157"/>
      <c r="C3437" s="157"/>
      <c r="D3437" s="157"/>
    </row>
    <row r="3438" spans="1:4" x14ac:dyDescent="0.3">
      <c r="A3438" s="157"/>
      <c r="B3438" s="157"/>
      <c r="C3438" s="157"/>
      <c r="D3438" s="157"/>
    </row>
    <row r="3439" spans="1:4" x14ac:dyDescent="0.3">
      <c r="A3439" s="157"/>
      <c r="B3439" s="157"/>
      <c r="C3439" s="157"/>
      <c r="D3439" s="157"/>
    </row>
    <row r="3440" spans="1:4" x14ac:dyDescent="0.3">
      <c r="A3440" s="157"/>
      <c r="B3440" s="157"/>
      <c r="C3440" s="157"/>
      <c r="D3440" s="157"/>
    </row>
    <row r="3441" spans="1:4" x14ac:dyDescent="0.3">
      <c r="A3441" s="157"/>
      <c r="B3441" s="157"/>
      <c r="C3441" s="157"/>
      <c r="D3441" s="157"/>
    </row>
    <row r="3442" spans="1:4" x14ac:dyDescent="0.3">
      <c r="A3442" s="157"/>
      <c r="B3442" s="157"/>
      <c r="C3442" s="157"/>
      <c r="D3442" s="157"/>
    </row>
    <row r="3443" spans="1:4" x14ac:dyDescent="0.3">
      <c r="A3443" s="157"/>
      <c r="B3443" s="157"/>
      <c r="C3443" s="157"/>
      <c r="D3443" s="157"/>
    </row>
    <row r="3444" spans="1:4" x14ac:dyDescent="0.3">
      <c r="A3444" s="157"/>
      <c r="B3444" s="157"/>
      <c r="C3444" s="157"/>
      <c r="D3444" s="157"/>
    </row>
    <row r="3445" spans="1:4" x14ac:dyDescent="0.3">
      <c r="A3445" s="157"/>
      <c r="B3445" s="157"/>
      <c r="C3445" s="157"/>
      <c r="D3445" s="157"/>
    </row>
    <row r="3446" spans="1:4" x14ac:dyDescent="0.3">
      <c r="A3446" s="157"/>
      <c r="B3446" s="157"/>
      <c r="C3446" s="157"/>
      <c r="D3446" s="157"/>
    </row>
    <row r="3447" spans="1:4" x14ac:dyDescent="0.3">
      <c r="A3447" s="157"/>
      <c r="B3447" s="157"/>
      <c r="C3447" s="157"/>
      <c r="D3447" s="157"/>
    </row>
    <row r="3448" spans="1:4" x14ac:dyDescent="0.3">
      <c r="A3448" s="157"/>
      <c r="B3448" s="157"/>
      <c r="C3448" s="157"/>
      <c r="D3448" s="157"/>
    </row>
    <row r="3449" spans="1:4" x14ac:dyDescent="0.3">
      <c r="A3449" s="157"/>
      <c r="B3449" s="157"/>
      <c r="C3449" s="157"/>
      <c r="D3449" s="157"/>
    </row>
    <row r="3450" spans="1:4" x14ac:dyDescent="0.3">
      <c r="A3450" s="157"/>
      <c r="B3450" s="157"/>
      <c r="C3450" s="157"/>
      <c r="D3450" s="157"/>
    </row>
    <row r="3451" spans="1:4" x14ac:dyDescent="0.3">
      <c r="A3451" s="157"/>
      <c r="B3451" s="157"/>
      <c r="C3451" s="157"/>
      <c r="D3451" s="157"/>
    </row>
    <row r="3452" spans="1:4" x14ac:dyDescent="0.3">
      <c r="A3452" s="157"/>
      <c r="B3452" s="157"/>
      <c r="C3452" s="157"/>
      <c r="D3452" s="157"/>
    </row>
    <row r="3453" spans="1:4" x14ac:dyDescent="0.3">
      <c r="A3453" s="157"/>
      <c r="B3453" s="157"/>
      <c r="C3453" s="157"/>
      <c r="D3453" s="157"/>
    </row>
    <row r="3454" spans="1:4" x14ac:dyDescent="0.3">
      <c r="A3454" s="157"/>
      <c r="B3454" s="157"/>
      <c r="C3454" s="157"/>
      <c r="D3454" s="157"/>
    </row>
    <row r="3455" spans="1:4" x14ac:dyDescent="0.3">
      <c r="A3455" s="157"/>
      <c r="B3455" s="157"/>
      <c r="C3455" s="157"/>
      <c r="D3455" s="157"/>
    </row>
    <row r="3456" spans="1:4" x14ac:dyDescent="0.3">
      <c r="A3456" s="157"/>
      <c r="B3456" s="157"/>
      <c r="C3456" s="157"/>
      <c r="D3456" s="157"/>
    </row>
    <row r="3457" spans="1:4" x14ac:dyDescent="0.3">
      <c r="A3457" s="157"/>
      <c r="B3457" s="157"/>
      <c r="C3457" s="157"/>
      <c r="D3457" s="157"/>
    </row>
    <row r="3458" spans="1:4" x14ac:dyDescent="0.3">
      <c r="A3458" s="157"/>
      <c r="B3458" s="157"/>
      <c r="C3458" s="157"/>
      <c r="D3458" s="157"/>
    </row>
    <row r="3459" spans="1:4" x14ac:dyDescent="0.3">
      <c r="A3459" s="157"/>
      <c r="B3459" s="157"/>
      <c r="C3459" s="157"/>
      <c r="D3459" s="157"/>
    </row>
    <row r="3460" spans="1:4" x14ac:dyDescent="0.3">
      <c r="A3460" s="157"/>
      <c r="B3460" s="157"/>
      <c r="C3460" s="157"/>
      <c r="D3460" s="157"/>
    </row>
    <row r="3461" spans="1:4" x14ac:dyDescent="0.3">
      <c r="A3461" s="157"/>
      <c r="B3461" s="157"/>
      <c r="C3461" s="157"/>
      <c r="D3461" s="157"/>
    </row>
    <row r="3462" spans="1:4" x14ac:dyDescent="0.3">
      <c r="A3462" s="157"/>
      <c r="B3462" s="157"/>
      <c r="C3462" s="157"/>
      <c r="D3462" s="157"/>
    </row>
    <row r="3463" spans="1:4" x14ac:dyDescent="0.3">
      <c r="A3463" s="157"/>
      <c r="B3463" s="157"/>
      <c r="C3463" s="157"/>
      <c r="D3463" s="157"/>
    </row>
    <row r="3464" spans="1:4" x14ac:dyDescent="0.3">
      <c r="A3464" s="157"/>
      <c r="B3464" s="157"/>
      <c r="C3464" s="157"/>
      <c r="D3464" s="157"/>
    </row>
    <row r="3465" spans="1:4" x14ac:dyDescent="0.3">
      <c r="A3465" s="157"/>
      <c r="B3465" s="157"/>
      <c r="C3465" s="157"/>
      <c r="D3465" s="157"/>
    </row>
    <row r="3466" spans="1:4" x14ac:dyDescent="0.3">
      <c r="A3466" s="157"/>
      <c r="B3466" s="157"/>
      <c r="C3466" s="157"/>
      <c r="D3466" s="157"/>
    </row>
    <row r="3467" spans="1:4" x14ac:dyDescent="0.3">
      <c r="A3467" s="157"/>
      <c r="B3467" s="157"/>
      <c r="C3467" s="157"/>
      <c r="D3467" s="157"/>
    </row>
    <row r="3468" spans="1:4" x14ac:dyDescent="0.3">
      <c r="A3468" s="157"/>
      <c r="B3468" s="157"/>
      <c r="C3468" s="157"/>
      <c r="D3468" s="157"/>
    </row>
    <row r="3469" spans="1:4" x14ac:dyDescent="0.3">
      <c r="A3469" s="157"/>
      <c r="B3469" s="157"/>
      <c r="C3469" s="157"/>
      <c r="D3469" s="157"/>
    </row>
    <row r="3470" spans="1:4" x14ac:dyDescent="0.3">
      <c r="A3470" s="157"/>
      <c r="B3470" s="157"/>
      <c r="C3470" s="157"/>
      <c r="D3470" s="157"/>
    </row>
    <row r="3471" spans="1:4" x14ac:dyDescent="0.3">
      <c r="A3471" s="157"/>
      <c r="B3471" s="157"/>
      <c r="C3471" s="157"/>
      <c r="D3471" s="157"/>
    </row>
    <row r="3472" spans="1:4" x14ac:dyDescent="0.3">
      <c r="A3472" s="157"/>
      <c r="B3472" s="157"/>
      <c r="C3472" s="157"/>
      <c r="D3472" s="157"/>
    </row>
    <row r="3473" spans="1:4" x14ac:dyDescent="0.3">
      <c r="A3473" s="157"/>
      <c r="B3473" s="157"/>
      <c r="C3473" s="157"/>
      <c r="D3473" s="157"/>
    </row>
    <row r="3474" spans="1:4" x14ac:dyDescent="0.3">
      <c r="A3474" s="157"/>
      <c r="B3474" s="157"/>
      <c r="C3474" s="157"/>
      <c r="D3474" s="157"/>
    </row>
    <row r="3475" spans="1:4" x14ac:dyDescent="0.3">
      <c r="A3475" s="157"/>
      <c r="B3475" s="157"/>
      <c r="C3475" s="157"/>
      <c r="D3475" s="157"/>
    </row>
    <row r="3476" spans="1:4" x14ac:dyDescent="0.3">
      <c r="A3476" s="157"/>
      <c r="B3476" s="157"/>
      <c r="C3476" s="157"/>
      <c r="D3476" s="157"/>
    </row>
    <row r="3477" spans="1:4" x14ac:dyDescent="0.3">
      <c r="A3477" s="157"/>
      <c r="B3477" s="157"/>
      <c r="C3477" s="157"/>
      <c r="D3477" s="157"/>
    </row>
    <row r="3478" spans="1:4" x14ac:dyDescent="0.3">
      <c r="A3478" s="157"/>
      <c r="B3478" s="157"/>
      <c r="C3478" s="157"/>
      <c r="D3478" s="157"/>
    </row>
    <row r="3479" spans="1:4" x14ac:dyDescent="0.3">
      <c r="A3479" s="157"/>
      <c r="B3479" s="157"/>
      <c r="C3479" s="157"/>
      <c r="D3479" s="157"/>
    </row>
    <row r="3480" spans="1:4" x14ac:dyDescent="0.3">
      <c r="A3480" s="157"/>
      <c r="B3480" s="157"/>
      <c r="C3480" s="157"/>
      <c r="D3480" s="157"/>
    </row>
    <row r="3481" spans="1:4" x14ac:dyDescent="0.3">
      <c r="A3481" s="157"/>
      <c r="B3481" s="157"/>
      <c r="C3481" s="157"/>
      <c r="D3481" s="157"/>
    </row>
    <row r="3482" spans="1:4" x14ac:dyDescent="0.3">
      <c r="A3482" s="157"/>
      <c r="B3482" s="157"/>
      <c r="C3482" s="157"/>
      <c r="D3482" s="157"/>
    </row>
    <row r="3483" spans="1:4" x14ac:dyDescent="0.3">
      <c r="A3483" s="157"/>
      <c r="B3483" s="157"/>
      <c r="C3483" s="157"/>
      <c r="D3483" s="157"/>
    </row>
    <row r="3484" spans="1:4" x14ac:dyDescent="0.3">
      <c r="A3484" s="157"/>
      <c r="B3484" s="157"/>
      <c r="C3484" s="157"/>
      <c r="D3484" s="157"/>
    </row>
    <row r="3485" spans="1:4" x14ac:dyDescent="0.3">
      <c r="A3485" s="157"/>
      <c r="B3485" s="157"/>
      <c r="C3485" s="157"/>
      <c r="D3485" s="157"/>
    </row>
    <row r="3486" spans="1:4" x14ac:dyDescent="0.3">
      <c r="A3486" s="157"/>
      <c r="B3486" s="157"/>
      <c r="C3486" s="157"/>
      <c r="D3486" s="157"/>
    </row>
    <row r="3487" spans="1:4" x14ac:dyDescent="0.3">
      <c r="A3487" s="157"/>
      <c r="B3487" s="157"/>
      <c r="C3487" s="157"/>
      <c r="D3487" s="157"/>
    </row>
    <row r="3488" spans="1:4" x14ac:dyDescent="0.3">
      <c r="A3488" s="157"/>
      <c r="B3488" s="157"/>
      <c r="C3488" s="157"/>
      <c r="D3488" s="157"/>
    </row>
    <row r="3489" spans="1:4" x14ac:dyDescent="0.3">
      <c r="A3489" s="157"/>
      <c r="B3489" s="157"/>
      <c r="C3489" s="157"/>
      <c r="D3489" s="157"/>
    </row>
    <row r="3490" spans="1:4" x14ac:dyDescent="0.3">
      <c r="A3490" s="157"/>
      <c r="B3490" s="157"/>
      <c r="C3490" s="157"/>
      <c r="D3490" s="157"/>
    </row>
    <row r="3491" spans="1:4" x14ac:dyDescent="0.3">
      <c r="A3491" s="157"/>
      <c r="B3491" s="157"/>
      <c r="C3491" s="157"/>
      <c r="D3491" s="157"/>
    </row>
    <row r="3492" spans="1:4" x14ac:dyDescent="0.3">
      <c r="A3492" s="157"/>
      <c r="B3492" s="157"/>
      <c r="C3492" s="157"/>
      <c r="D3492" s="157"/>
    </row>
    <row r="3493" spans="1:4" x14ac:dyDescent="0.3">
      <c r="A3493" s="157"/>
      <c r="B3493" s="157"/>
      <c r="C3493" s="157"/>
      <c r="D3493" s="157"/>
    </row>
    <row r="3494" spans="1:4" x14ac:dyDescent="0.3">
      <c r="A3494" s="157"/>
      <c r="B3494" s="157"/>
      <c r="C3494" s="157"/>
      <c r="D3494" s="157"/>
    </row>
    <row r="3495" spans="1:4" x14ac:dyDescent="0.3">
      <c r="A3495" s="157"/>
      <c r="B3495" s="157"/>
      <c r="C3495" s="157"/>
      <c r="D3495" s="157"/>
    </row>
    <row r="3496" spans="1:4" x14ac:dyDescent="0.3">
      <c r="A3496" s="157"/>
      <c r="B3496" s="157"/>
      <c r="C3496" s="157"/>
      <c r="D3496" s="157"/>
    </row>
    <row r="3497" spans="1:4" x14ac:dyDescent="0.3">
      <c r="A3497" s="157"/>
      <c r="B3497" s="157"/>
      <c r="C3497" s="157"/>
      <c r="D3497" s="157"/>
    </row>
    <row r="3498" spans="1:4" x14ac:dyDescent="0.3">
      <c r="A3498" s="157"/>
      <c r="B3498" s="157"/>
      <c r="C3498" s="157"/>
      <c r="D3498" s="157"/>
    </row>
    <row r="3499" spans="1:4" x14ac:dyDescent="0.3">
      <c r="A3499" s="157"/>
      <c r="B3499" s="157"/>
      <c r="C3499" s="157"/>
      <c r="D3499" s="157"/>
    </row>
    <row r="3500" spans="1:4" x14ac:dyDescent="0.3">
      <c r="A3500" s="157"/>
      <c r="B3500" s="157"/>
      <c r="C3500" s="157"/>
      <c r="D3500" s="157"/>
    </row>
    <row r="3501" spans="1:4" x14ac:dyDescent="0.3">
      <c r="A3501" s="157"/>
      <c r="B3501" s="157"/>
      <c r="C3501" s="157"/>
      <c r="D3501" s="157"/>
    </row>
    <row r="3502" spans="1:4" x14ac:dyDescent="0.3">
      <c r="A3502" s="157"/>
      <c r="B3502" s="157"/>
      <c r="C3502" s="157"/>
      <c r="D3502" s="157"/>
    </row>
    <row r="3503" spans="1:4" x14ac:dyDescent="0.3">
      <c r="A3503" s="157"/>
      <c r="B3503" s="157"/>
      <c r="C3503" s="157"/>
      <c r="D3503" s="157"/>
    </row>
    <row r="3504" spans="1:4" x14ac:dyDescent="0.3">
      <c r="A3504" s="157"/>
      <c r="B3504" s="157"/>
      <c r="C3504" s="157"/>
      <c r="D3504" s="157"/>
    </row>
    <row r="3505" spans="1:4" x14ac:dyDescent="0.3">
      <c r="A3505" s="157"/>
      <c r="B3505" s="157"/>
      <c r="C3505" s="157"/>
      <c r="D3505" s="157"/>
    </row>
    <row r="3506" spans="1:4" x14ac:dyDescent="0.3">
      <c r="A3506" s="157"/>
      <c r="B3506" s="157"/>
      <c r="C3506" s="157"/>
      <c r="D3506" s="157"/>
    </row>
    <row r="3507" spans="1:4" x14ac:dyDescent="0.3">
      <c r="A3507" s="157"/>
      <c r="B3507" s="157"/>
      <c r="C3507" s="157"/>
      <c r="D3507" s="157"/>
    </row>
    <row r="3508" spans="1:4" x14ac:dyDescent="0.3">
      <c r="A3508" s="157"/>
      <c r="B3508" s="157"/>
      <c r="C3508" s="157"/>
      <c r="D3508" s="157"/>
    </row>
    <row r="3509" spans="1:4" x14ac:dyDescent="0.3">
      <c r="A3509" s="157"/>
      <c r="B3509" s="157"/>
      <c r="C3509" s="157"/>
      <c r="D3509" s="157"/>
    </row>
    <row r="3510" spans="1:4" x14ac:dyDescent="0.3">
      <c r="A3510" s="157"/>
      <c r="B3510" s="157"/>
      <c r="C3510" s="157"/>
      <c r="D3510" s="157"/>
    </row>
    <row r="3511" spans="1:4" x14ac:dyDescent="0.3">
      <c r="A3511" s="157"/>
      <c r="B3511" s="157"/>
      <c r="C3511" s="157"/>
      <c r="D3511" s="157"/>
    </row>
    <row r="3512" spans="1:4" x14ac:dyDescent="0.3">
      <c r="A3512" s="157"/>
      <c r="B3512" s="157"/>
      <c r="C3512" s="157"/>
      <c r="D3512" s="157"/>
    </row>
    <row r="3513" spans="1:4" x14ac:dyDescent="0.3">
      <c r="A3513" s="157"/>
      <c r="B3513" s="157"/>
      <c r="C3513" s="157"/>
      <c r="D3513" s="157"/>
    </row>
    <row r="3514" spans="1:4" x14ac:dyDescent="0.3">
      <c r="A3514" s="157"/>
      <c r="B3514" s="157"/>
      <c r="C3514" s="157"/>
      <c r="D3514" s="157"/>
    </row>
    <row r="3515" spans="1:4" x14ac:dyDescent="0.3">
      <c r="A3515" s="157"/>
      <c r="B3515" s="157"/>
      <c r="C3515" s="157"/>
      <c r="D3515" s="157"/>
    </row>
    <row r="3516" spans="1:4" x14ac:dyDescent="0.3">
      <c r="A3516" s="157"/>
      <c r="B3516" s="157"/>
      <c r="C3516" s="157"/>
      <c r="D3516" s="157"/>
    </row>
    <row r="3517" spans="1:4" x14ac:dyDescent="0.3">
      <c r="A3517" s="157"/>
      <c r="B3517" s="157"/>
      <c r="C3517" s="157"/>
      <c r="D3517" s="157"/>
    </row>
    <row r="3518" spans="1:4" x14ac:dyDescent="0.3">
      <c r="A3518" s="157"/>
      <c r="B3518" s="157"/>
      <c r="C3518" s="157"/>
      <c r="D3518" s="157"/>
    </row>
    <row r="3519" spans="1:4" x14ac:dyDescent="0.3">
      <c r="A3519" s="157"/>
      <c r="B3519" s="157"/>
      <c r="C3519" s="157"/>
      <c r="D3519" s="157"/>
    </row>
    <row r="3520" spans="1:4" x14ac:dyDescent="0.3">
      <c r="A3520" s="157"/>
      <c r="B3520" s="157"/>
      <c r="C3520" s="157"/>
      <c r="D3520" s="157"/>
    </row>
    <row r="3521" spans="1:4" x14ac:dyDescent="0.3">
      <c r="A3521" s="157"/>
      <c r="B3521" s="157"/>
      <c r="C3521" s="157"/>
      <c r="D3521" s="157"/>
    </row>
    <row r="3522" spans="1:4" x14ac:dyDescent="0.3">
      <c r="A3522" s="157"/>
      <c r="B3522" s="157"/>
      <c r="C3522" s="157"/>
      <c r="D3522" s="157"/>
    </row>
    <row r="3523" spans="1:4" x14ac:dyDescent="0.3">
      <c r="A3523" s="157"/>
      <c r="B3523" s="157"/>
      <c r="C3523" s="157"/>
      <c r="D3523" s="157"/>
    </row>
    <row r="3524" spans="1:4" x14ac:dyDescent="0.3">
      <c r="A3524" s="157"/>
      <c r="B3524" s="157"/>
      <c r="C3524" s="157"/>
      <c r="D3524" s="157"/>
    </row>
    <row r="3525" spans="1:4" x14ac:dyDescent="0.3">
      <c r="A3525" s="157"/>
      <c r="B3525" s="157"/>
      <c r="C3525" s="157"/>
      <c r="D3525" s="157"/>
    </row>
    <row r="3526" spans="1:4" x14ac:dyDescent="0.3">
      <c r="A3526" s="157"/>
      <c r="B3526" s="157"/>
      <c r="C3526" s="157"/>
      <c r="D3526" s="157"/>
    </row>
    <row r="3527" spans="1:4" x14ac:dyDescent="0.3">
      <c r="A3527" s="157"/>
      <c r="B3527" s="157"/>
      <c r="C3527" s="157"/>
      <c r="D3527" s="157"/>
    </row>
    <row r="3528" spans="1:4" x14ac:dyDescent="0.3">
      <c r="A3528" s="157"/>
      <c r="B3528" s="157"/>
      <c r="C3528" s="157"/>
      <c r="D3528" s="157"/>
    </row>
    <row r="3529" spans="1:4" x14ac:dyDescent="0.3">
      <c r="A3529" s="157"/>
      <c r="B3529" s="157"/>
      <c r="C3529" s="157"/>
      <c r="D3529" s="157"/>
    </row>
    <row r="3530" spans="1:4" x14ac:dyDescent="0.3">
      <c r="A3530" s="157"/>
      <c r="B3530" s="157"/>
      <c r="C3530" s="157"/>
      <c r="D3530" s="157"/>
    </row>
    <row r="3531" spans="1:4" x14ac:dyDescent="0.3">
      <c r="A3531" s="157"/>
      <c r="B3531" s="157"/>
      <c r="C3531" s="157"/>
      <c r="D3531" s="157"/>
    </row>
    <row r="3532" spans="1:4" x14ac:dyDescent="0.3">
      <c r="A3532" s="157"/>
      <c r="B3532" s="157"/>
      <c r="C3532" s="157"/>
      <c r="D3532" s="157"/>
    </row>
    <row r="3533" spans="1:4" x14ac:dyDescent="0.3">
      <c r="A3533" s="157"/>
      <c r="B3533" s="157"/>
      <c r="C3533" s="157"/>
      <c r="D3533" s="157"/>
    </row>
    <row r="3534" spans="1:4" x14ac:dyDescent="0.3">
      <c r="A3534" s="157"/>
      <c r="B3534" s="157"/>
      <c r="C3534" s="157"/>
      <c r="D3534" s="157"/>
    </row>
    <row r="3535" spans="1:4" x14ac:dyDescent="0.3">
      <c r="A3535" s="157"/>
      <c r="B3535" s="157"/>
      <c r="C3535" s="157"/>
      <c r="D3535" s="157"/>
    </row>
    <row r="3536" spans="1:4" x14ac:dyDescent="0.3">
      <c r="A3536" s="157"/>
      <c r="B3536" s="157"/>
      <c r="C3536" s="157"/>
      <c r="D3536" s="157"/>
    </row>
    <row r="3537" spans="1:4" x14ac:dyDescent="0.3">
      <c r="A3537" s="157"/>
      <c r="B3537" s="157"/>
      <c r="C3537" s="157"/>
      <c r="D3537" s="157"/>
    </row>
    <row r="3538" spans="1:4" x14ac:dyDescent="0.3">
      <c r="A3538" s="157"/>
      <c r="B3538" s="157"/>
      <c r="C3538" s="157"/>
      <c r="D3538" s="157"/>
    </row>
    <row r="3539" spans="1:4" x14ac:dyDescent="0.3">
      <c r="A3539" s="157"/>
      <c r="B3539" s="157"/>
      <c r="C3539" s="157"/>
      <c r="D3539" s="157"/>
    </row>
    <row r="3540" spans="1:4" x14ac:dyDescent="0.3">
      <c r="A3540" s="157"/>
      <c r="B3540" s="157"/>
      <c r="C3540" s="157"/>
      <c r="D3540" s="157"/>
    </row>
    <row r="3541" spans="1:4" x14ac:dyDescent="0.3">
      <c r="A3541" s="157"/>
      <c r="B3541" s="157"/>
      <c r="C3541" s="157"/>
      <c r="D3541" s="157"/>
    </row>
    <row r="3542" spans="1:4" x14ac:dyDescent="0.3">
      <c r="A3542" s="157"/>
      <c r="B3542" s="157"/>
      <c r="C3542" s="157"/>
      <c r="D3542" s="157"/>
    </row>
    <row r="3543" spans="1:4" x14ac:dyDescent="0.3">
      <c r="A3543" s="157"/>
      <c r="B3543" s="157"/>
      <c r="C3543" s="157"/>
      <c r="D3543" s="157"/>
    </row>
    <row r="3544" spans="1:4" x14ac:dyDescent="0.3">
      <c r="A3544" s="157"/>
      <c r="B3544" s="157"/>
      <c r="C3544" s="157"/>
      <c r="D3544" s="157"/>
    </row>
    <row r="3545" spans="1:4" x14ac:dyDescent="0.3">
      <c r="A3545" s="157"/>
      <c r="B3545" s="157"/>
      <c r="C3545" s="157"/>
      <c r="D3545" s="157"/>
    </row>
    <row r="3546" spans="1:4" x14ac:dyDescent="0.3">
      <c r="A3546" s="157"/>
      <c r="B3546" s="157"/>
      <c r="C3546" s="157"/>
      <c r="D3546" s="157"/>
    </row>
    <row r="3547" spans="1:4" x14ac:dyDescent="0.3">
      <c r="A3547" s="157"/>
      <c r="B3547" s="157"/>
      <c r="C3547" s="157"/>
      <c r="D3547" s="157"/>
    </row>
    <row r="3548" spans="1:4" x14ac:dyDescent="0.3">
      <c r="A3548" s="157"/>
      <c r="B3548" s="157"/>
      <c r="C3548" s="157"/>
      <c r="D3548" s="157"/>
    </row>
    <row r="3549" spans="1:4" x14ac:dyDescent="0.3">
      <c r="A3549" s="157"/>
      <c r="B3549" s="157"/>
      <c r="C3549" s="157"/>
      <c r="D3549" s="157"/>
    </row>
    <row r="3550" spans="1:4" x14ac:dyDescent="0.3">
      <c r="A3550" s="157"/>
      <c r="B3550" s="157"/>
      <c r="C3550" s="157"/>
      <c r="D3550" s="157"/>
    </row>
    <row r="3551" spans="1:4" x14ac:dyDescent="0.3">
      <c r="A3551" s="157"/>
      <c r="B3551" s="157"/>
      <c r="C3551" s="157"/>
      <c r="D3551" s="157"/>
    </row>
    <row r="3552" spans="1:4" x14ac:dyDescent="0.3">
      <c r="A3552" s="157"/>
      <c r="B3552" s="157"/>
      <c r="C3552" s="157"/>
      <c r="D3552" s="157"/>
    </row>
    <row r="3553" spans="1:4" x14ac:dyDescent="0.3">
      <c r="A3553" s="157"/>
      <c r="B3553" s="157"/>
      <c r="C3553" s="157"/>
      <c r="D3553" s="157"/>
    </row>
    <row r="3554" spans="1:4" x14ac:dyDescent="0.3">
      <c r="A3554" s="157"/>
      <c r="B3554" s="157"/>
      <c r="C3554" s="157"/>
      <c r="D3554" s="157"/>
    </row>
    <row r="3555" spans="1:4" x14ac:dyDescent="0.3">
      <c r="A3555" s="157"/>
      <c r="B3555" s="157"/>
      <c r="C3555" s="157"/>
      <c r="D3555" s="157"/>
    </row>
    <row r="3556" spans="1:4" x14ac:dyDescent="0.3">
      <c r="A3556" s="157"/>
      <c r="B3556" s="157"/>
      <c r="C3556" s="157"/>
      <c r="D3556" s="157"/>
    </row>
    <row r="3557" spans="1:4" x14ac:dyDescent="0.3">
      <c r="A3557" s="157"/>
      <c r="B3557" s="157"/>
      <c r="C3557" s="157"/>
      <c r="D3557" s="157"/>
    </row>
    <row r="3558" spans="1:4" x14ac:dyDescent="0.3">
      <c r="A3558" s="157"/>
      <c r="B3558" s="157"/>
      <c r="C3558" s="157"/>
      <c r="D3558" s="157"/>
    </row>
    <row r="3559" spans="1:4" x14ac:dyDescent="0.3">
      <c r="A3559" s="157"/>
      <c r="B3559" s="157"/>
      <c r="C3559" s="157"/>
      <c r="D3559" s="157"/>
    </row>
    <row r="3560" spans="1:4" x14ac:dyDescent="0.3">
      <c r="A3560" s="157"/>
      <c r="B3560" s="157"/>
      <c r="C3560" s="157"/>
      <c r="D3560" s="157"/>
    </row>
    <row r="3561" spans="1:4" x14ac:dyDescent="0.3">
      <c r="A3561" s="157"/>
      <c r="B3561" s="157"/>
      <c r="C3561" s="157"/>
      <c r="D3561" s="157"/>
    </row>
    <row r="3562" spans="1:4" x14ac:dyDescent="0.3">
      <c r="A3562" s="157"/>
      <c r="B3562" s="157"/>
      <c r="C3562" s="157"/>
      <c r="D3562" s="157"/>
    </row>
    <row r="3563" spans="1:4" x14ac:dyDescent="0.3">
      <c r="A3563" s="157"/>
      <c r="B3563" s="157"/>
      <c r="C3563" s="157"/>
      <c r="D3563" s="157"/>
    </row>
    <row r="3564" spans="1:4" x14ac:dyDescent="0.3">
      <c r="A3564" s="157"/>
      <c r="B3564" s="157"/>
      <c r="C3564" s="157"/>
      <c r="D3564" s="157"/>
    </row>
    <row r="3565" spans="1:4" x14ac:dyDescent="0.3">
      <c r="A3565" s="157"/>
      <c r="B3565" s="157"/>
      <c r="C3565" s="157"/>
      <c r="D3565" s="157"/>
    </row>
    <row r="3566" spans="1:4" x14ac:dyDescent="0.3">
      <c r="A3566" s="157"/>
      <c r="B3566" s="157"/>
      <c r="C3566" s="157"/>
      <c r="D3566" s="157"/>
    </row>
    <row r="3567" spans="1:4" x14ac:dyDescent="0.3">
      <c r="A3567" s="157"/>
      <c r="B3567" s="157"/>
      <c r="C3567" s="157"/>
      <c r="D3567" s="157"/>
    </row>
    <row r="3568" spans="1:4" x14ac:dyDescent="0.3">
      <c r="A3568" s="157"/>
      <c r="B3568" s="157"/>
      <c r="C3568" s="157"/>
      <c r="D3568" s="157"/>
    </row>
    <row r="3569" spans="1:4" x14ac:dyDescent="0.3">
      <c r="A3569" s="157"/>
      <c r="B3569" s="157"/>
      <c r="C3569" s="157"/>
      <c r="D3569" s="157"/>
    </row>
    <row r="3570" spans="1:4" x14ac:dyDescent="0.3">
      <c r="A3570" s="157"/>
      <c r="B3570" s="157"/>
      <c r="C3570" s="157"/>
      <c r="D3570" s="157"/>
    </row>
    <row r="3571" spans="1:4" x14ac:dyDescent="0.3">
      <c r="A3571" s="157"/>
      <c r="B3571" s="157"/>
      <c r="C3571" s="157"/>
      <c r="D3571" s="157"/>
    </row>
    <row r="3572" spans="1:4" x14ac:dyDescent="0.3">
      <c r="A3572" s="157"/>
      <c r="B3572" s="157"/>
      <c r="C3572" s="157"/>
      <c r="D3572" s="157"/>
    </row>
    <row r="3573" spans="1:4" x14ac:dyDescent="0.3">
      <c r="A3573" s="157"/>
      <c r="B3573" s="157"/>
      <c r="C3573" s="157"/>
      <c r="D3573" s="157"/>
    </row>
    <row r="3574" spans="1:4" x14ac:dyDescent="0.3">
      <c r="A3574" s="157"/>
      <c r="B3574" s="157"/>
      <c r="C3574" s="157"/>
      <c r="D3574" s="157"/>
    </row>
    <row r="3575" spans="1:4" x14ac:dyDescent="0.3">
      <c r="A3575" s="157"/>
      <c r="B3575" s="157"/>
      <c r="C3575" s="157"/>
      <c r="D3575" s="157"/>
    </row>
    <row r="3576" spans="1:4" x14ac:dyDescent="0.3">
      <c r="A3576" s="157"/>
      <c r="B3576" s="157"/>
      <c r="C3576" s="157"/>
      <c r="D3576" s="157"/>
    </row>
    <row r="3577" spans="1:4" x14ac:dyDescent="0.3">
      <c r="A3577" s="157"/>
      <c r="B3577" s="157"/>
      <c r="C3577" s="157"/>
      <c r="D3577" s="157"/>
    </row>
    <row r="3578" spans="1:4" x14ac:dyDescent="0.3">
      <c r="A3578" s="157"/>
      <c r="B3578" s="157"/>
      <c r="C3578" s="157"/>
      <c r="D3578" s="157"/>
    </row>
    <row r="3579" spans="1:4" x14ac:dyDescent="0.3">
      <c r="A3579" s="157"/>
      <c r="B3579" s="157"/>
      <c r="C3579" s="157"/>
      <c r="D3579" s="157"/>
    </row>
    <row r="3580" spans="1:4" x14ac:dyDescent="0.3">
      <c r="A3580" s="157"/>
      <c r="B3580" s="157"/>
      <c r="C3580" s="157"/>
      <c r="D3580" s="157"/>
    </row>
    <row r="3581" spans="1:4" x14ac:dyDescent="0.3">
      <c r="A3581" s="157"/>
      <c r="B3581" s="157"/>
      <c r="C3581" s="157"/>
      <c r="D3581" s="157"/>
    </row>
    <row r="3582" spans="1:4" x14ac:dyDescent="0.3">
      <c r="A3582" s="157"/>
      <c r="B3582" s="157"/>
      <c r="C3582" s="157"/>
      <c r="D3582" s="157"/>
    </row>
    <row r="3583" spans="1:4" x14ac:dyDescent="0.3">
      <c r="A3583" s="157"/>
      <c r="B3583" s="157"/>
      <c r="C3583" s="157"/>
      <c r="D3583" s="157"/>
    </row>
    <row r="3584" spans="1:4" x14ac:dyDescent="0.3">
      <c r="A3584" s="157"/>
      <c r="B3584" s="157"/>
      <c r="C3584" s="157"/>
      <c r="D3584" s="157"/>
    </row>
    <row r="3585" spans="1:4" x14ac:dyDescent="0.3">
      <c r="A3585" s="157"/>
      <c r="B3585" s="157"/>
      <c r="C3585" s="157"/>
      <c r="D3585" s="157"/>
    </row>
    <row r="3586" spans="1:4" x14ac:dyDescent="0.3">
      <c r="A3586" s="157"/>
      <c r="B3586" s="157"/>
      <c r="C3586" s="157"/>
      <c r="D3586" s="157"/>
    </row>
    <row r="3587" spans="1:4" x14ac:dyDescent="0.3">
      <c r="A3587" s="157"/>
      <c r="B3587" s="157"/>
      <c r="C3587" s="157"/>
      <c r="D3587" s="157"/>
    </row>
    <row r="3588" spans="1:4" x14ac:dyDescent="0.3">
      <c r="A3588" s="157"/>
      <c r="B3588" s="157"/>
      <c r="C3588" s="157"/>
      <c r="D3588" s="157"/>
    </row>
    <row r="3589" spans="1:4" x14ac:dyDescent="0.3">
      <c r="A3589" s="157"/>
      <c r="B3589" s="157"/>
      <c r="C3589" s="157"/>
      <c r="D3589" s="157"/>
    </row>
    <row r="3590" spans="1:4" x14ac:dyDescent="0.3">
      <c r="A3590" s="157"/>
      <c r="B3590" s="157"/>
      <c r="C3590" s="157"/>
      <c r="D3590" s="157"/>
    </row>
    <row r="3591" spans="1:4" x14ac:dyDescent="0.3">
      <c r="A3591" s="157"/>
      <c r="B3591" s="157"/>
      <c r="C3591" s="157"/>
      <c r="D3591" s="157"/>
    </row>
    <row r="3592" spans="1:4" x14ac:dyDescent="0.3">
      <c r="A3592" s="157"/>
      <c r="B3592" s="157"/>
      <c r="C3592" s="157"/>
      <c r="D3592" s="157"/>
    </row>
    <row r="3593" spans="1:4" x14ac:dyDescent="0.3">
      <c r="A3593" s="157"/>
      <c r="B3593" s="157"/>
      <c r="C3593" s="157"/>
      <c r="D3593" s="157"/>
    </row>
    <row r="3594" spans="1:4" x14ac:dyDescent="0.3">
      <c r="A3594" s="157"/>
      <c r="B3594" s="157"/>
      <c r="C3594" s="157"/>
      <c r="D3594" s="157"/>
    </row>
    <row r="3595" spans="1:4" x14ac:dyDescent="0.3">
      <c r="A3595" s="157"/>
      <c r="B3595" s="157"/>
      <c r="C3595" s="157"/>
      <c r="D3595" s="157"/>
    </row>
    <row r="3596" spans="1:4" x14ac:dyDescent="0.3">
      <c r="A3596" s="157"/>
      <c r="B3596" s="157"/>
      <c r="C3596" s="157"/>
      <c r="D3596" s="157"/>
    </row>
    <row r="3597" spans="1:4" x14ac:dyDescent="0.3">
      <c r="A3597" s="157"/>
      <c r="B3597" s="157"/>
      <c r="C3597" s="157"/>
      <c r="D3597" s="157"/>
    </row>
    <row r="3598" spans="1:4" x14ac:dyDescent="0.3">
      <c r="A3598" s="157"/>
      <c r="B3598" s="157"/>
      <c r="C3598" s="157"/>
      <c r="D3598" s="157"/>
    </row>
    <row r="3599" spans="1:4" x14ac:dyDescent="0.3">
      <c r="A3599" s="157"/>
      <c r="B3599" s="157"/>
      <c r="C3599" s="157"/>
      <c r="D3599" s="157"/>
    </row>
    <row r="3600" spans="1:4" x14ac:dyDescent="0.3">
      <c r="A3600" s="157"/>
      <c r="B3600" s="157"/>
      <c r="C3600" s="157"/>
      <c r="D3600" s="157"/>
    </row>
    <row r="3601" spans="1:4" x14ac:dyDescent="0.3">
      <c r="A3601" s="157"/>
      <c r="B3601" s="157"/>
      <c r="C3601" s="157"/>
      <c r="D3601" s="157"/>
    </row>
    <row r="3602" spans="1:4" x14ac:dyDescent="0.3">
      <c r="A3602" s="157"/>
      <c r="B3602" s="157"/>
      <c r="C3602" s="157"/>
      <c r="D3602" s="157"/>
    </row>
    <row r="3603" spans="1:4" x14ac:dyDescent="0.3">
      <c r="A3603" s="157"/>
      <c r="B3603" s="157"/>
      <c r="C3603" s="157"/>
      <c r="D3603" s="157"/>
    </row>
    <row r="3604" spans="1:4" x14ac:dyDescent="0.3">
      <c r="A3604" s="157"/>
      <c r="B3604" s="157"/>
      <c r="C3604" s="157"/>
      <c r="D3604" s="157"/>
    </row>
    <row r="3605" spans="1:4" x14ac:dyDescent="0.3">
      <c r="A3605" s="157"/>
      <c r="B3605" s="157"/>
      <c r="C3605" s="157"/>
      <c r="D3605" s="157"/>
    </row>
    <row r="3606" spans="1:4" x14ac:dyDescent="0.3">
      <c r="A3606" s="157"/>
      <c r="B3606" s="157"/>
      <c r="C3606" s="157"/>
      <c r="D3606" s="157"/>
    </row>
    <row r="3607" spans="1:4" x14ac:dyDescent="0.3">
      <c r="A3607" s="157"/>
      <c r="B3607" s="157"/>
      <c r="C3607" s="157"/>
      <c r="D3607" s="157"/>
    </row>
    <row r="3608" spans="1:4" x14ac:dyDescent="0.3">
      <c r="A3608" s="157"/>
      <c r="B3608" s="157"/>
      <c r="C3608" s="157"/>
      <c r="D3608" s="157"/>
    </row>
    <row r="3609" spans="1:4" x14ac:dyDescent="0.3">
      <c r="A3609" s="157"/>
      <c r="B3609" s="157"/>
      <c r="C3609" s="157"/>
      <c r="D3609" s="157"/>
    </row>
    <row r="3610" spans="1:4" x14ac:dyDescent="0.3">
      <c r="A3610" s="157"/>
      <c r="B3610" s="157"/>
      <c r="C3610" s="157"/>
      <c r="D3610" s="157"/>
    </row>
    <row r="3611" spans="1:4" x14ac:dyDescent="0.3">
      <c r="A3611" s="157"/>
      <c r="B3611" s="157"/>
      <c r="C3611" s="157"/>
      <c r="D3611" s="157"/>
    </row>
    <row r="3612" spans="1:4" x14ac:dyDescent="0.3">
      <c r="A3612" s="157"/>
      <c r="B3612" s="157"/>
      <c r="C3612" s="157"/>
      <c r="D3612" s="157"/>
    </row>
    <row r="3613" spans="1:4" x14ac:dyDescent="0.3">
      <c r="A3613" s="157"/>
      <c r="B3613" s="157"/>
      <c r="C3613" s="157"/>
      <c r="D3613" s="157"/>
    </row>
    <row r="3614" spans="1:4" x14ac:dyDescent="0.3">
      <c r="A3614" s="157"/>
      <c r="B3614" s="157"/>
      <c r="C3614" s="157"/>
      <c r="D3614" s="157"/>
    </row>
    <row r="3615" spans="1:4" x14ac:dyDescent="0.3">
      <c r="A3615" s="157"/>
      <c r="B3615" s="157"/>
      <c r="C3615" s="157"/>
      <c r="D3615" s="157"/>
    </row>
    <row r="3616" spans="1:4" x14ac:dyDescent="0.3">
      <c r="A3616" s="157"/>
      <c r="B3616" s="157"/>
      <c r="C3616" s="157"/>
      <c r="D3616" s="157"/>
    </row>
    <row r="3617" spans="1:4" x14ac:dyDescent="0.3">
      <c r="A3617" s="157"/>
      <c r="B3617" s="157"/>
      <c r="C3617" s="157"/>
      <c r="D3617" s="157"/>
    </row>
    <row r="3618" spans="1:4" x14ac:dyDescent="0.3">
      <c r="A3618" s="157"/>
      <c r="B3618" s="157"/>
      <c r="C3618" s="157"/>
      <c r="D3618" s="157"/>
    </row>
    <row r="3619" spans="1:4" x14ac:dyDescent="0.3">
      <c r="A3619" s="157"/>
      <c r="B3619" s="157"/>
      <c r="C3619" s="157"/>
      <c r="D3619" s="157"/>
    </row>
    <row r="3620" spans="1:4" x14ac:dyDescent="0.3">
      <c r="A3620" s="157"/>
      <c r="B3620" s="157"/>
      <c r="C3620" s="157"/>
      <c r="D3620" s="157"/>
    </row>
    <row r="3621" spans="1:4" x14ac:dyDescent="0.3">
      <c r="A3621" s="157"/>
      <c r="B3621" s="157"/>
      <c r="C3621" s="157"/>
      <c r="D3621" s="157"/>
    </row>
    <row r="3622" spans="1:4" x14ac:dyDescent="0.3">
      <c r="A3622" s="157"/>
      <c r="B3622" s="157"/>
      <c r="C3622" s="157"/>
      <c r="D3622" s="157"/>
    </row>
    <row r="3623" spans="1:4" x14ac:dyDescent="0.3">
      <c r="A3623" s="157"/>
      <c r="B3623" s="157"/>
      <c r="C3623" s="157"/>
      <c r="D3623" s="157"/>
    </row>
    <row r="3624" spans="1:4" x14ac:dyDescent="0.3">
      <c r="A3624" s="157"/>
      <c r="B3624" s="157"/>
      <c r="C3624" s="157"/>
      <c r="D3624" s="157"/>
    </row>
    <row r="3625" spans="1:4" x14ac:dyDescent="0.3">
      <c r="A3625" s="157"/>
      <c r="B3625" s="157"/>
      <c r="C3625" s="157"/>
      <c r="D3625" s="157"/>
    </row>
    <row r="3626" spans="1:4" x14ac:dyDescent="0.3">
      <c r="A3626" s="157"/>
      <c r="B3626" s="157"/>
      <c r="C3626" s="157"/>
      <c r="D3626" s="157"/>
    </row>
    <row r="3627" spans="1:4" x14ac:dyDescent="0.3">
      <c r="A3627" s="157"/>
      <c r="B3627" s="157"/>
      <c r="C3627" s="157"/>
      <c r="D3627" s="157"/>
    </row>
    <row r="3628" spans="1:4" x14ac:dyDescent="0.3">
      <c r="A3628" s="157"/>
      <c r="B3628" s="157"/>
      <c r="C3628" s="157"/>
      <c r="D3628" s="157"/>
    </row>
    <row r="3629" spans="1:4" x14ac:dyDescent="0.3">
      <c r="A3629" s="157"/>
      <c r="B3629" s="157"/>
      <c r="C3629" s="157"/>
      <c r="D3629" s="157"/>
    </row>
    <row r="3630" spans="1:4" x14ac:dyDescent="0.3">
      <c r="A3630" s="157"/>
      <c r="B3630" s="157"/>
      <c r="C3630" s="157"/>
      <c r="D3630" s="157"/>
    </row>
    <row r="3631" spans="1:4" x14ac:dyDescent="0.3">
      <c r="A3631" s="157"/>
      <c r="B3631" s="157"/>
      <c r="C3631" s="157"/>
      <c r="D3631" s="157"/>
    </row>
    <row r="3632" spans="1:4" x14ac:dyDescent="0.3">
      <c r="A3632" s="157"/>
      <c r="B3632" s="157"/>
      <c r="C3632" s="157"/>
      <c r="D3632" s="157"/>
    </row>
    <row r="3633" spans="1:4" x14ac:dyDescent="0.3">
      <c r="A3633" s="157"/>
      <c r="B3633" s="157"/>
      <c r="C3633" s="157"/>
      <c r="D3633" s="157"/>
    </row>
    <row r="3634" spans="1:4" x14ac:dyDescent="0.3">
      <c r="A3634" s="157"/>
      <c r="B3634" s="157"/>
      <c r="C3634" s="157"/>
      <c r="D3634" s="157"/>
    </row>
    <row r="3635" spans="1:4" x14ac:dyDescent="0.3">
      <c r="A3635" s="157"/>
      <c r="B3635" s="157"/>
      <c r="C3635" s="157"/>
      <c r="D3635" s="157"/>
    </row>
    <row r="3636" spans="1:4" x14ac:dyDescent="0.3">
      <c r="A3636" s="157"/>
      <c r="B3636" s="157"/>
      <c r="C3636" s="157"/>
      <c r="D3636" s="157"/>
    </row>
    <row r="3637" spans="1:4" x14ac:dyDescent="0.3">
      <c r="A3637" s="157"/>
      <c r="B3637" s="157"/>
      <c r="C3637" s="157"/>
      <c r="D3637" s="157"/>
    </row>
    <row r="3638" spans="1:4" x14ac:dyDescent="0.3">
      <c r="A3638" s="157"/>
      <c r="B3638" s="157"/>
      <c r="C3638" s="157"/>
      <c r="D3638" s="157"/>
    </row>
    <row r="3639" spans="1:4" x14ac:dyDescent="0.3">
      <c r="A3639" s="157"/>
      <c r="B3639" s="157"/>
      <c r="C3639" s="157"/>
      <c r="D3639" s="157"/>
    </row>
    <row r="3640" spans="1:4" x14ac:dyDescent="0.3">
      <c r="A3640" s="157"/>
      <c r="B3640" s="157"/>
      <c r="C3640" s="157"/>
      <c r="D3640" s="157"/>
    </row>
    <row r="3641" spans="1:4" x14ac:dyDescent="0.3">
      <c r="A3641" s="157"/>
      <c r="B3641" s="157"/>
      <c r="C3641" s="157"/>
      <c r="D3641" s="157"/>
    </row>
    <row r="3642" spans="1:4" x14ac:dyDescent="0.3">
      <c r="A3642" s="157"/>
      <c r="B3642" s="157"/>
      <c r="C3642" s="157"/>
      <c r="D3642" s="157"/>
    </row>
    <row r="3643" spans="1:4" x14ac:dyDescent="0.3">
      <c r="A3643" s="157"/>
      <c r="B3643" s="157"/>
      <c r="C3643" s="157"/>
      <c r="D3643" s="157"/>
    </row>
    <row r="3644" spans="1:4" x14ac:dyDescent="0.3">
      <c r="A3644" s="157"/>
      <c r="B3644" s="157"/>
      <c r="C3644" s="157"/>
      <c r="D3644" s="157"/>
    </row>
    <row r="3645" spans="1:4" x14ac:dyDescent="0.3">
      <c r="A3645" s="157"/>
      <c r="B3645" s="157"/>
      <c r="C3645" s="157"/>
      <c r="D3645" s="157"/>
    </row>
    <row r="3646" spans="1:4" x14ac:dyDescent="0.3">
      <c r="A3646" s="157"/>
      <c r="B3646" s="157"/>
      <c r="C3646" s="157"/>
      <c r="D3646" s="157"/>
    </row>
    <row r="3647" spans="1:4" x14ac:dyDescent="0.3">
      <c r="A3647" s="157"/>
      <c r="B3647" s="157"/>
      <c r="C3647" s="157"/>
      <c r="D3647" s="157"/>
    </row>
    <row r="3648" spans="1:4" x14ac:dyDescent="0.3">
      <c r="A3648" s="157"/>
      <c r="B3648" s="157"/>
      <c r="C3648" s="157"/>
      <c r="D3648" s="157"/>
    </row>
    <row r="3649" spans="1:4" x14ac:dyDescent="0.3">
      <c r="A3649" s="157"/>
      <c r="B3649" s="157"/>
      <c r="C3649" s="157"/>
      <c r="D3649" s="157"/>
    </row>
    <row r="3650" spans="1:4" x14ac:dyDescent="0.3">
      <c r="A3650" s="157"/>
      <c r="B3650" s="157"/>
      <c r="C3650" s="157"/>
      <c r="D3650" s="157"/>
    </row>
    <row r="3651" spans="1:4" x14ac:dyDescent="0.3">
      <c r="A3651" s="157"/>
      <c r="B3651" s="157"/>
      <c r="C3651" s="157"/>
      <c r="D3651" s="157"/>
    </row>
    <row r="3652" spans="1:4" x14ac:dyDescent="0.3">
      <c r="A3652" s="157"/>
      <c r="B3652" s="157"/>
      <c r="C3652" s="157"/>
      <c r="D3652" s="157"/>
    </row>
    <row r="3653" spans="1:4" x14ac:dyDescent="0.3">
      <c r="A3653" s="157"/>
      <c r="B3653" s="157"/>
      <c r="C3653" s="157"/>
      <c r="D3653" s="157"/>
    </row>
    <row r="3654" spans="1:4" x14ac:dyDescent="0.3">
      <c r="A3654" s="157"/>
      <c r="B3654" s="157"/>
      <c r="C3654" s="157"/>
      <c r="D3654" s="157"/>
    </row>
    <row r="3655" spans="1:4" x14ac:dyDescent="0.3">
      <c r="A3655" s="157"/>
      <c r="B3655" s="157"/>
      <c r="C3655" s="157"/>
      <c r="D3655" s="157"/>
    </row>
    <row r="3656" spans="1:4" x14ac:dyDescent="0.3">
      <c r="A3656" s="157"/>
      <c r="B3656" s="157"/>
      <c r="C3656" s="157"/>
      <c r="D3656" s="157"/>
    </row>
    <row r="3657" spans="1:4" x14ac:dyDescent="0.3">
      <c r="A3657" s="157"/>
      <c r="B3657" s="157"/>
      <c r="C3657" s="157"/>
      <c r="D3657" s="157"/>
    </row>
    <row r="3658" spans="1:4" x14ac:dyDescent="0.3">
      <c r="A3658" s="157"/>
      <c r="B3658" s="157"/>
      <c r="C3658" s="157"/>
      <c r="D3658" s="157"/>
    </row>
    <row r="3659" spans="1:4" x14ac:dyDescent="0.3">
      <c r="A3659" s="157"/>
      <c r="B3659" s="157"/>
      <c r="C3659" s="157"/>
      <c r="D3659" s="157"/>
    </row>
    <row r="3660" spans="1:4" x14ac:dyDescent="0.3">
      <c r="A3660" s="157"/>
      <c r="B3660" s="157"/>
      <c r="C3660" s="157"/>
      <c r="D3660" s="157"/>
    </row>
    <row r="3661" spans="1:4" x14ac:dyDescent="0.3">
      <c r="A3661" s="157"/>
      <c r="B3661" s="157"/>
      <c r="C3661" s="157"/>
      <c r="D3661" s="157"/>
    </row>
    <row r="3662" spans="1:4" x14ac:dyDescent="0.3">
      <c r="A3662" s="157"/>
      <c r="B3662" s="157"/>
      <c r="C3662" s="157"/>
      <c r="D3662" s="157"/>
    </row>
    <row r="3663" spans="1:4" x14ac:dyDescent="0.3">
      <c r="A3663" s="157"/>
      <c r="B3663" s="157"/>
      <c r="C3663" s="157"/>
      <c r="D3663" s="157"/>
    </row>
    <row r="3664" spans="1:4" x14ac:dyDescent="0.3">
      <c r="A3664" s="157"/>
      <c r="B3664" s="157"/>
      <c r="C3664" s="157"/>
      <c r="D3664" s="157"/>
    </row>
    <row r="3665" spans="1:4" x14ac:dyDescent="0.3">
      <c r="A3665" s="157"/>
      <c r="B3665" s="157"/>
      <c r="C3665" s="157"/>
      <c r="D3665" s="157"/>
    </row>
    <row r="3666" spans="1:4" x14ac:dyDescent="0.3">
      <c r="A3666" s="157"/>
      <c r="B3666" s="157"/>
      <c r="C3666" s="157"/>
      <c r="D3666" s="157"/>
    </row>
    <row r="3667" spans="1:4" x14ac:dyDescent="0.3">
      <c r="A3667" s="157"/>
      <c r="B3667" s="157"/>
      <c r="C3667" s="157"/>
      <c r="D3667" s="157"/>
    </row>
    <row r="3668" spans="1:4" x14ac:dyDescent="0.3">
      <c r="A3668" s="157"/>
      <c r="B3668" s="157"/>
      <c r="C3668" s="157"/>
      <c r="D3668" s="157"/>
    </row>
    <row r="3669" spans="1:4" x14ac:dyDescent="0.3">
      <c r="A3669" s="157"/>
      <c r="B3669" s="157"/>
      <c r="C3669" s="157"/>
      <c r="D3669" s="157"/>
    </row>
    <row r="3670" spans="1:4" x14ac:dyDescent="0.3">
      <c r="A3670" s="157"/>
      <c r="B3670" s="157"/>
      <c r="C3670" s="157"/>
      <c r="D3670" s="157"/>
    </row>
    <row r="3671" spans="1:4" x14ac:dyDescent="0.3">
      <c r="A3671" s="157"/>
      <c r="B3671" s="157"/>
      <c r="C3671" s="157"/>
      <c r="D3671" s="157"/>
    </row>
    <row r="3672" spans="1:4" x14ac:dyDescent="0.3">
      <c r="A3672" s="157"/>
      <c r="B3672" s="157"/>
      <c r="C3672" s="157"/>
      <c r="D3672" s="157"/>
    </row>
    <row r="3673" spans="1:4" x14ac:dyDescent="0.3">
      <c r="A3673" s="157"/>
      <c r="B3673" s="157"/>
      <c r="C3673" s="157"/>
      <c r="D3673" s="157"/>
    </row>
    <row r="3674" spans="1:4" x14ac:dyDescent="0.3">
      <c r="A3674" s="157"/>
      <c r="B3674" s="157"/>
      <c r="C3674" s="157"/>
      <c r="D3674" s="157"/>
    </row>
    <row r="3675" spans="1:4" x14ac:dyDescent="0.3">
      <c r="A3675" s="157"/>
      <c r="B3675" s="157"/>
      <c r="C3675" s="157"/>
      <c r="D3675" s="157"/>
    </row>
    <row r="3676" spans="1:4" x14ac:dyDescent="0.3">
      <c r="A3676" s="157"/>
      <c r="B3676" s="157"/>
      <c r="C3676" s="157"/>
      <c r="D3676" s="157"/>
    </row>
    <row r="3677" spans="1:4" x14ac:dyDescent="0.3">
      <c r="A3677" s="157"/>
      <c r="B3677" s="157"/>
      <c r="C3677" s="157"/>
      <c r="D3677" s="157"/>
    </row>
    <row r="3678" spans="1:4" x14ac:dyDescent="0.3">
      <c r="A3678" s="157"/>
      <c r="B3678" s="157"/>
      <c r="C3678" s="157"/>
      <c r="D3678" s="157"/>
    </row>
    <row r="3679" spans="1:4" x14ac:dyDescent="0.3">
      <c r="A3679" s="157"/>
      <c r="B3679" s="157"/>
      <c r="C3679" s="157"/>
      <c r="D3679" s="157"/>
    </row>
    <row r="3680" spans="1:4" x14ac:dyDescent="0.3">
      <c r="A3680" s="157"/>
      <c r="B3680" s="157"/>
      <c r="C3680" s="157"/>
      <c r="D3680" s="157"/>
    </row>
    <row r="3681" spans="1:4" x14ac:dyDescent="0.3">
      <c r="A3681" s="157"/>
      <c r="B3681" s="157"/>
      <c r="C3681" s="157"/>
      <c r="D3681" s="157"/>
    </row>
    <row r="3682" spans="1:4" x14ac:dyDescent="0.3">
      <c r="A3682" s="157"/>
      <c r="B3682" s="157"/>
      <c r="C3682" s="157"/>
      <c r="D3682" s="157"/>
    </row>
    <row r="3683" spans="1:4" x14ac:dyDescent="0.3">
      <c r="A3683" s="157"/>
      <c r="B3683" s="157"/>
      <c r="C3683" s="157"/>
      <c r="D3683" s="157"/>
    </row>
    <row r="3684" spans="1:4" x14ac:dyDescent="0.3">
      <c r="A3684" s="157"/>
      <c r="B3684" s="157"/>
      <c r="C3684" s="157"/>
      <c r="D3684" s="157"/>
    </row>
    <row r="3685" spans="1:4" x14ac:dyDescent="0.3">
      <c r="A3685" s="157"/>
      <c r="B3685" s="157"/>
      <c r="C3685" s="157"/>
      <c r="D3685" s="157"/>
    </row>
    <row r="3686" spans="1:4" x14ac:dyDescent="0.3">
      <c r="A3686" s="157"/>
      <c r="B3686" s="157"/>
      <c r="C3686" s="157"/>
      <c r="D3686" s="157"/>
    </row>
    <row r="3687" spans="1:4" x14ac:dyDescent="0.3">
      <c r="A3687" s="157"/>
      <c r="B3687" s="157"/>
      <c r="C3687" s="157"/>
      <c r="D3687" s="157"/>
    </row>
    <row r="3688" spans="1:4" x14ac:dyDescent="0.3">
      <c r="A3688" s="157"/>
      <c r="B3688" s="157"/>
      <c r="C3688" s="157"/>
      <c r="D3688" s="157"/>
    </row>
    <row r="3689" spans="1:4" x14ac:dyDescent="0.3">
      <c r="A3689" s="157"/>
      <c r="B3689" s="157"/>
      <c r="C3689" s="157"/>
      <c r="D3689" s="157"/>
    </row>
    <row r="3690" spans="1:4" x14ac:dyDescent="0.3">
      <c r="A3690" s="157"/>
      <c r="B3690" s="157"/>
      <c r="C3690" s="157"/>
      <c r="D3690" s="157"/>
    </row>
    <row r="3691" spans="1:4" x14ac:dyDescent="0.3">
      <c r="A3691" s="157"/>
      <c r="B3691" s="157"/>
      <c r="C3691" s="157"/>
      <c r="D3691" s="157"/>
    </row>
    <row r="3692" spans="1:4" x14ac:dyDescent="0.3">
      <c r="A3692" s="157"/>
      <c r="B3692" s="157"/>
      <c r="C3692" s="157"/>
      <c r="D3692" s="157"/>
    </row>
    <row r="3693" spans="1:4" x14ac:dyDescent="0.3">
      <c r="A3693" s="157"/>
      <c r="B3693" s="157"/>
      <c r="C3693" s="157"/>
      <c r="D3693" s="157"/>
    </row>
    <row r="3694" spans="1:4" x14ac:dyDescent="0.3">
      <c r="A3694" s="157"/>
      <c r="B3694" s="157"/>
      <c r="C3694" s="157"/>
      <c r="D3694" s="157"/>
    </row>
    <row r="3695" spans="1:4" x14ac:dyDescent="0.3">
      <c r="A3695" s="157"/>
      <c r="B3695" s="157"/>
      <c r="C3695" s="157"/>
      <c r="D3695" s="157"/>
    </row>
    <row r="3696" spans="1:4" x14ac:dyDescent="0.3">
      <c r="A3696" s="157"/>
      <c r="B3696" s="157"/>
      <c r="C3696" s="157"/>
      <c r="D3696" s="157"/>
    </row>
    <row r="3697" spans="1:4" x14ac:dyDescent="0.3">
      <c r="A3697" s="157"/>
      <c r="B3697" s="157"/>
      <c r="C3697" s="157"/>
      <c r="D3697" s="157"/>
    </row>
    <row r="3698" spans="1:4" x14ac:dyDescent="0.3">
      <c r="A3698" s="157"/>
      <c r="B3698" s="157"/>
      <c r="C3698" s="157"/>
      <c r="D3698" s="157"/>
    </row>
    <row r="3699" spans="1:4" x14ac:dyDescent="0.3">
      <c r="A3699" s="157"/>
      <c r="B3699" s="157"/>
      <c r="C3699" s="157"/>
      <c r="D3699" s="157"/>
    </row>
    <row r="3700" spans="1:4" x14ac:dyDescent="0.3">
      <c r="A3700" s="157"/>
      <c r="B3700" s="157"/>
      <c r="C3700" s="157"/>
      <c r="D3700" s="157"/>
    </row>
    <row r="3701" spans="1:4" x14ac:dyDescent="0.3">
      <c r="A3701" s="157"/>
      <c r="B3701" s="157"/>
      <c r="C3701" s="157"/>
      <c r="D3701" s="157"/>
    </row>
    <row r="3702" spans="1:4" x14ac:dyDescent="0.3">
      <c r="A3702" s="157"/>
      <c r="B3702" s="157"/>
      <c r="C3702" s="157"/>
      <c r="D3702" s="157"/>
    </row>
    <row r="3703" spans="1:4" x14ac:dyDescent="0.3">
      <c r="A3703" s="157"/>
      <c r="B3703" s="157"/>
      <c r="C3703" s="157"/>
      <c r="D3703" s="157"/>
    </row>
    <row r="3704" spans="1:4" x14ac:dyDescent="0.3">
      <c r="A3704" s="157"/>
      <c r="B3704" s="157"/>
      <c r="C3704" s="157"/>
      <c r="D3704" s="157"/>
    </row>
    <row r="3705" spans="1:4" x14ac:dyDescent="0.3">
      <c r="A3705" s="157"/>
      <c r="B3705" s="157"/>
      <c r="C3705" s="157"/>
      <c r="D3705" s="157"/>
    </row>
    <row r="3706" spans="1:4" x14ac:dyDescent="0.3">
      <c r="A3706" s="157"/>
      <c r="B3706" s="157"/>
      <c r="C3706" s="157"/>
      <c r="D3706" s="157"/>
    </row>
    <row r="3707" spans="1:4" x14ac:dyDescent="0.3">
      <c r="A3707" s="157"/>
      <c r="B3707" s="157"/>
      <c r="C3707" s="157"/>
      <c r="D3707" s="157"/>
    </row>
    <row r="3708" spans="1:4" x14ac:dyDescent="0.3">
      <c r="A3708" s="157"/>
      <c r="B3708" s="157"/>
      <c r="C3708" s="157"/>
      <c r="D3708" s="157"/>
    </row>
    <row r="3709" spans="1:4" x14ac:dyDescent="0.3">
      <c r="A3709" s="157"/>
      <c r="B3709" s="157"/>
      <c r="C3709" s="157"/>
      <c r="D3709" s="157"/>
    </row>
    <row r="3710" spans="1:4" x14ac:dyDescent="0.3">
      <c r="A3710" s="157"/>
      <c r="B3710" s="157"/>
      <c r="C3710" s="157"/>
      <c r="D3710" s="157"/>
    </row>
    <row r="3711" spans="1:4" x14ac:dyDescent="0.3">
      <c r="A3711" s="157"/>
      <c r="B3711" s="157"/>
      <c r="C3711" s="157"/>
      <c r="D3711" s="157"/>
    </row>
    <row r="3712" spans="1:4" x14ac:dyDescent="0.3">
      <c r="A3712" s="157"/>
      <c r="B3712" s="157"/>
      <c r="C3712" s="157"/>
      <c r="D3712" s="157"/>
    </row>
    <row r="3713" spans="1:4" x14ac:dyDescent="0.3">
      <c r="A3713" s="157"/>
      <c r="B3713" s="157"/>
      <c r="C3713" s="157"/>
      <c r="D3713" s="157"/>
    </row>
    <row r="3714" spans="1:4" x14ac:dyDescent="0.3">
      <c r="A3714" s="157"/>
      <c r="B3714" s="157"/>
      <c r="C3714" s="157"/>
      <c r="D3714" s="157"/>
    </row>
    <row r="3715" spans="1:4" x14ac:dyDescent="0.3">
      <c r="A3715" s="157"/>
      <c r="B3715" s="157"/>
      <c r="C3715" s="157"/>
      <c r="D3715" s="157"/>
    </row>
    <row r="3716" spans="1:4" x14ac:dyDescent="0.3">
      <c r="A3716" s="157"/>
      <c r="B3716" s="157"/>
      <c r="C3716" s="157"/>
      <c r="D3716" s="157"/>
    </row>
    <row r="3717" spans="1:4" x14ac:dyDescent="0.3">
      <c r="A3717" s="157"/>
      <c r="B3717" s="157"/>
      <c r="C3717" s="157"/>
      <c r="D3717" s="157"/>
    </row>
    <row r="3718" spans="1:4" x14ac:dyDescent="0.3">
      <c r="A3718" s="157"/>
      <c r="B3718" s="157"/>
      <c r="C3718" s="157"/>
      <c r="D3718" s="157"/>
    </row>
    <row r="3719" spans="1:4" x14ac:dyDescent="0.3">
      <c r="A3719" s="157"/>
      <c r="B3719" s="157"/>
      <c r="C3719" s="157"/>
      <c r="D3719" s="157"/>
    </row>
    <row r="3720" spans="1:4" x14ac:dyDescent="0.3">
      <c r="A3720" s="157"/>
      <c r="B3720" s="157"/>
      <c r="C3720" s="157"/>
      <c r="D3720" s="157"/>
    </row>
    <row r="3721" spans="1:4" x14ac:dyDescent="0.3">
      <c r="A3721" s="157"/>
      <c r="B3721" s="157"/>
      <c r="C3721" s="157"/>
      <c r="D3721" s="157"/>
    </row>
    <row r="3722" spans="1:4" x14ac:dyDescent="0.3">
      <c r="A3722" s="157"/>
      <c r="B3722" s="157"/>
      <c r="C3722" s="157"/>
      <c r="D3722" s="157"/>
    </row>
    <row r="3723" spans="1:4" x14ac:dyDescent="0.3">
      <c r="A3723" s="157"/>
      <c r="B3723" s="157"/>
      <c r="C3723" s="157"/>
      <c r="D3723" s="157"/>
    </row>
    <row r="3724" spans="1:4" x14ac:dyDescent="0.3">
      <c r="A3724" s="157"/>
      <c r="B3724" s="157"/>
      <c r="C3724" s="157"/>
      <c r="D3724" s="157"/>
    </row>
    <row r="3725" spans="1:4" x14ac:dyDescent="0.3">
      <c r="A3725" s="157"/>
      <c r="B3725" s="157"/>
      <c r="C3725" s="157"/>
      <c r="D3725" s="157"/>
    </row>
    <row r="3726" spans="1:4" x14ac:dyDescent="0.3">
      <c r="A3726" s="157"/>
      <c r="B3726" s="157"/>
      <c r="C3726" s="157"/>
      <c r="D3726" s="157"/>
    </row>
    <row r="3727" spans="1:4" x14ac:dyDescent="0.3">
      <c r="A3727" s="157"/>
      <c r="B3727" s="157"/>
      <c r="C3727" s="157"/>
      <c r="D3727" s="157"/>
    </row>
    <row r="3728" spans="1:4" x14ac:dyDescent="0.3">
      <c r="A3728" s="157"/>
      <c r="B3728" s="157"/>
      <c r="C3728" s="157"/>
      <c r="D3728" s="157"/>
    </row>
    <row r="3729" spans="1:4" x14ac:dyDescent="0.3">
      <c r="A3729" s="157"/>
      <c r="B3729" s="157"/>
      <c r="C3729" s="157"/>
      <c r="D3729" s="157"/>
    </row>
    <row r="3730" spans="1:4" x14ac:dyDescent="0.3">
      <c r="A3730" s="157"/>
      <c r="B3730" s="157"/>
      <c r="C3730" s="157"/>
      <c r="D3730" s="157"/>
    </row>
    <row r="3731" spans="1:4" x14ac:dyDescent="0.3">
      <c r="A3731" s="157"/>
      <c r="B3731" s="157"/>
      <c r="C3731" s="157"/>
      <c r="D3731" s="157"/>
    </row>
    <row r="3732" spans="1:4" x14ac:dyDescent="0.3">
      <c r="A3732" s="157"/>
      <c r="B3732" s="157"/>
      <c r="C3732" s="157"/>
      <c r="D3732" s="157"/>
    </row>
    <row r="3733" spans="1:4" x14ac:dyDescent="0.3">
      <c r="A3733" s="157"/>
      <c r="B3733" s="157"/>
      <c r="C3733" s="157"/>
      <c r="D3733" s="157"/>
    </row>
    <row r="3734" spans="1:4" x14ac:dyDescent="0.3">
      <c r="A3734" s="157"/>
      <c r="B3734" s="157"/>
      <c r="C3734" s="157"/>
      <c r="D3734" s="157"/>
    </row>
    <row r="3735" spans="1:4" x14ac:dyDescent="0.3">
      <c r="A3735" s="157"/>
      <c r="B3735" s="157"/>
      <c r="C3735" s="157"/>
      <c r="D3735" s="157"/>
    </row>
    <row r="3736" spans="1:4" x14ac:dyDescent="0.3">
      <c r="A3736" s="157"/>
      <c r="B3736" s="157"/>
      <c r="C3736" s="157"/>
      <c r="D3736" s="157"/>
    </row>
    <row r="3737" spans="1:4" x14ac:dyDescent="0.3">
      <c r="A3737" s="157"/>
      <c r="B3737" s="157"/>
      <c r="C3737" s="157"/>
      <c r="D3737" s="157"/>
    </row>
    <row r="3738" spans="1:4" x14ac:dyDescent="0.3">
      <c r="A3738" s="157"/>
      <c r="B3738" s="157"/>
      <c r="C3738" s="157"/>
      <c r="D3738" s="157"/>
    </row>
    <row r="3739" spans="1:4" x14ac:dyDescent="0.3">
      <c r="A3739" s="157"/>
      <c r="B3739" s="157"/>
      <c r="C3739" s="157"/>
      <c r="D3739" s="157"/>
    </row>
    <row r="3740" spans="1:4" x14ac:dyDescent="0.3">
      <c r="A3740" s="157"/>
      <c r="B3740" s="157"/>
      <c r="C3740" s="157"/>
      <c r="D3740" s="157"/>
    </row>
    <row r="3741" spans="1:4" x14ac:dyDescent="0.3">
      <c r="A3741" s="157"/>
      <c r="B3741" s="157"/>
      <c r="C3741" s="157"/>
      <c r="D3741" s="157"/>
    </row>
    <row r="3742" spans="1:4" x14ac:dyDescent="0.3">
      <c r="A3742" s="157"/>
      <c r="B3742" s="157"/>
      <c r="C3742" s="157"/>
      <c r="D3742" s="157"/>
    </row>
    <row r="3743" spans="1:4" x14ac:dyDescent="0.3">
      <c r="A3743" s="157"/>
      <c r="B3743" s="157"/>
      <c r="C3743" s="157"/>
      <c r="D3743" s="157"/>
    </row>
    <row r="3744" spans="1:4" x14ac:dyDescent="0.3">
      <c r="A3744" s="157"/>
      <c r="B3744" s="157"/>
      <c r="C3744" s="157"/>
      <c r="D3744" s="157"/>
    </row>
    <row r="3745" spans="1:4" x14ac:dyDescent="0.3">
      <c r="A3745" s="157"/>
      <c r="B3745" s="157"/>
      <c r="C3745" s="157"/>
      <c r="D3745" s="157"/>
    </row>
    <row r="3746" spans="1:4" x14ac:dyDescent="0.3">
      <c r="A3746" s="157"/>
      <c r="B3746" s="157"/>
      <c r="C3746" s="157"/>
      <c r="D3746" s="157"/>
    </row>
    <row r="3747" spans="1:4" x14ac:dyDescent="0.3">
      <c r="A3747" s="157"/>
      <c r="B3747" s="157"/>
      <c r="C3747" s="157"/>
      <c r="D3747" s="157"/>
    </row>
    <row r="3748" spans="1:4" x14ac:dyDescent="0.3">
      <c r="A3748" s="157"/>
      <c r="B3748" s="157"/>
      <c r="C3748" s="157"/>
      <c r="D3748" s="157"/>
    </row>
    <row r="3749" spans="1:4" x14ac:dyDescent="0.3">
      <c r="A3749" s="157"/>
      <c r="B3749" s="157"/>
      <c r="C3749" s="157"/>
      <c r="D3749" s="157"/>
    </row>
    <row r="3750" spans="1:4" x14ac:dyDescent="0.3">
      <c r="A3750" s="157"/>
      <c r="B3750" s="157"/>
      <c r="C3750" s="157"/>
      <c r="D3750" s="157"/>
    </row>
    <row r="3751" spans="1:4" x14ac:dyDescent="0.3">
      <c r="A3751" s="157"/>
      <c r="B3751" s="157"/>
      <c r="C3751" s="157"/>
      <c r="D3751" s="157"/>
    </row>
    <row r="3752" spans="1:4" x14ac:dyDescent="0.3">
      <c r="A3752" s="157"/>
      <c r="B3752" s="157"/>
      <c r="C3752" s="157"/>
      <c r="D3752" s="157"/>
    </row>
    <row r="3753" spans="1:4" x14ac:dyDescent="0.3">
      <c r="A3753" s="157"/>
      <c r="B3753" s="157"/>
      <c r="C3753" s="157"/>
      <c r="D3753" s="157"/>
    </row>
    <row r="3754" spans="1:4" x14ac:dyDescent="0.3">
      <c r="A3754" s="157"/>
      <c r="B3754" s="157"/>
      <c r="C3754" s="157"/>
      <c r="D3754" s="157"/>
    </row>
    <row r="3755" spans="1:4" x14ac:dyDescent="0.3">
      <c r="A3755" s="157"/>
      <c r="B3755" s="157"/>
      <c r="C3755" s="157"/>
      <c r="D3755" s="157"/>
    </row>
    <row r="3756" spans="1:4" x14ac:dyDescent="0.3">
      <c r="A3756" s="157"/>
      <c r="B3756" s="157"/>
      <c r="C3756" s="157"/>
      <c r="D3756" s="157"/>
    </row>
    <row r="3757" spans="1:4" x14ac:dyDescent="0.3">
      <c r="A3757" s="157"/>
      <c r="B3757" s="157"/>
      <c r="C3757" s="157"/>
      <c r="D3757" s="157"/>
    </row>
    <row r="3758" spans="1:4" x14ac:dyDescent="0.3">
      <c r="A3758" s="157"/>
      <c r="B3758" s="157"/>
      <c r="C3758" s="157"/>
      <c r="D3758" s="157"/>
    </row>
    <row r="3759" spans="1:4" x14ac:dyDescent="0.3">
      <c r="A3759" s="157"/>
      <c r="B3759" s="157"/>
      <c r="C3759" s="157"/>
      <c r="D3759" s="157"/>
    </row>
    <row r="3760" spans="1:4" x14ac:dyDescent="0.3">
      <c r="A3760" s="157"/>
      <c r="B3760" s="157"/>
      <c r="C3760" s="157"/>
      <c r="D3760" s="157"/>
    </row>
    <row r="3761" spans="1:4" x14ac:dyDescent="0.3">
      <c r="A3761" s="157"/>
      <c r="B3761" s="157"/>
      <c r="C3761" s="157"/>
      <c r="D3761" s="157"/>
    </row>
    <row r="3762" spans="1:4" x14ac:dyDescent="0.3">
      <c r="A3762" s="157"/>
      <c r="B3762" s="157"/>
      <c r="C3762" s="157"/>
      <c r="D3762" s="157"/>
    </row>
    <row r="3763" spans="1:4" x14ac:dyDescent="0.3">
      <c r="A3763" s="157"/>
      <c r="B3763" s="157"/>
      <c r="C3763" s="157"/>
      <c r="D3763" s="157"/>
    </row>
    <row r="3764" spans="1:4" x14ac:dyDescent="0.3">
      <c r="A3764" s="157"/>
      <c r="B3764" s="157"/>
      <c r="C3764" s="157"/>
      <c r="D3764" s="157"/>
    </row>
    <row r="3765" spans="1:4" x14ac:dyDescent="0.3">
      <c r="A3765" s="157"/>
      <c r="B3765" s="157"/>
      <c r="C3765" s="157"/>
      <c r="D3765" s="157"/>
    </row>
    <row r="3766" spans="1:4" x14ac:dyDescent="0.3">
      <c r="A3766" s="157"/>
      <c r="B3766" s="157"/>
      <c r="C3766" s="157"/>
      <c r="D3766" s="157"/>
    </row>
    <row r="3767" spans="1:4" x14ac:dyDescent="0.3">
      <c r="A3767" s="157"/>
      <c r="B3767" s="157"/>
      <c r="C3767" s="157"/>
      <c r="D3767" s="157"/>
    </row>
    <row r="3768" spans="1:4" x14ac:dyDescent="0.3">
      <c r="A3768" s="157"/>
      <c r="B3768" s="157"/>
      <c r="C3768" s="157"/>
      <c r="D3768" s="157"/>
    </row>
    <row r="3769" spans="1:4" x14ac:dyDescent="0.3">
      <c r="A3769" s="157"/>
      <c r="B3769" s="157"/>
      <c r="C3769" s="157"/>
      <c r="D3769" s="157"/>
    </row>
    <row r="3770" spans="1:4" x14ac:dyDescent="0.3">
      <c r="A3770" s="157"/>
      <c r="B3770" s="157"/>
      <c r="C3770" s="157"/>
      <c r="D3770" s="157"/>
    </row>
    <row r="3771" spans="1:4" x14ac:dyDescent="0.3">
      <c r="A3771" s="157"/>
      <c r="B3771" s="157"/>
      <c r="C3771" s="157"/>
      <c r="D3771" s="157"/>
    </row>
    <row r="3772" spans="1:4" x14ac:dyDescent="0.3">
      <c r="A3772" s="157"/>
      <c r="B3772" s="157"/>
      <c r="C3772" s="157"/>
      <c r="D3772" s="157"/>
    </row>
    <row r="3773" spans="1:4" x14ac:dyDescent="0.3">
      <c r="A3773" s="157"/>
      <c r="B3773" s="157"/>
      <c r="C3773" s="157"/>
      <c r="D3773" s="157"/>
    </row>
    <row r="3774" spans="1:4" x14ac:dyDescent="0.3">
      <c r="A3774" s="157"/>
      <c r="B3774" s="157"/>
      <c r="C3774" s="157"/>
      <c r="D3774" s="157"/>
    </row>
    <row r="3775" spans="1:4" x14ac:dyDescent="0.3">
      <c r="A3775" s="157"/>
      <c r="B3775" s="157"/>
      <c r="C3775" s="157"/>
      <c r="D3775" s="157"/>
    </row>
    <row r="3776" spans="1:4" x14ac:dyDescent="0.3">
      <c r="A3776" s="157"/>
      <c r="B3776" s="157"/>
      <c r="C3776" s="157"/>
      <c r="D3776" s="157"/>
    </row>
    <row r="3777" spans="1:4" x14ac:dyDescent="0.3">
      <c r="A3777" s="157"/>
      <c r="B3777" s="157"/>
      <c r="C3777" s="157"/>
      <c r="D3777" s="157"/>
    </row>
    <row r="3778" spans="1:4" x14ac:dyDescent="0.3">
      <c r="A3778" s="157"/>
      <c r="B3778" s="157"/>
      <c r="C3778" s="157"/>
      <c r="D3778" s="157"/>
    </row>
    <row r="3779" spans="1:4" x14ac:dyDescent="0.3">
      <c r="A3779" s="157"/>
      <c r="B3779" s="157"/>
      <c r="C3779" s="157"/>
      <c r="D3779" s="157"/>
    </row>
    <row r="3780" spans="1:4" x14ac:dyDescent="0.3">
      <c r="A3780" s="157"/>
      <c r="B3780" s="157"/>
      <c r="C3780" s="157"/>
      <c r="D3780" s="157"/>
    </row>
    <row r="3781" spans="1:4" x14ac:dyDescent="0.3">
      <c r="A3781" s="157"/>
      <c r="B3781" s="157"/>
      <c r="C3781" s="157"/>
      <c r="D3781" s="157"/>
    </row>
    <row r="3782" spans="1:4" x14ac:dyDescent="0.3">
      <c r="A3782" s="157"/>
      <c r="B3782" s="157"/>
      <c r="C3782" s="157"/>
      <c r="D3782" s="157"/>
    </row>
    <row r="3783" spans="1:4" x14ac:dyDescent="0.3">
      <c r="A3783" s="157"/>
      <c r="B3783" s="157"/>
      <c r="C3783" s="157"/>
      <c r="D3783" s="157"/>
    </row>
    <row r="3784" spans="1:4" x14ac:dyDescent="0.3">
      <c r="A3784" s="157"/>
      <c r="B3784" s="157"/>
      <c r="C3784" s="157"/>
      <c r="D3784" s="157"/>
    </row>
    <row r="3785" spans="1:4" x14ac:dyDescent="0.3">
      <c r="A3785" s="157"/>
      <c r="B3785" s="157"/>
      <c r="C3785" s="157"/>
      <c r="D3785" s="157"/>
    </row>
    <row r="3786" spans="1:4" x14ac:dyDescent="0.3">
      <c r="A3786" s="157"/>
      <c r="B3786" s="157"/>
      <c r="C3786" s="157"/>
      <c r="D3786" s="157"/>
    </row>
    <row r="3787" spans="1:4" x14ac:dyDescent="0.3">
      <c r="A3787" s="157"/>
      <c r="B3787" s="157"/>
      <c r="C3787" s="157"/>
      <c r="D3787" s="157"/>
    </row>
    <row r="3788" spans="1:4" x14ac:dyDescent="0.3">
      <c r="A3788" s="157"/>
      <c r="B3788" s="157"/>
      <c r="C3788" s="157"/>
      <c r="D3788" s="157"/>
    </row>
    <row r="3789" spans="1:4" x14ac:dyDescent="0.3">
      <c r="A3789" s="157"/>
      <c r="B3789" s="157"/>
      <c r="C3789" s="157"/>
      <c r="D3789" s="157"/>
    </row>
    <row r="3790" spans="1:4" x14ac:dyDescent="0.3">
      <c r="A3790" s="157"/>
      <c r="B3790" s="157"/>
      <c r="C3790" s="157"/>
      <c r="D3790" s="157"/>
    </row>
    <row r="3791" spans="1:4" x14ac:dyDescent="0.3">
      <c r="A3791" s="157"/>
      <c r="B3791" s="157"/>
      <c r="C3791" s="157"/>
      <c r="D3791" s="157"/>
    </row>
    <row r="3792" spans="1:4" x14ac:dyDescent="0.3">
      <c r="A3792" s="157"/>
      <c r="B3792" s="157"/>
      <c r="C3792" s="157"/>
      <c r="D3792" s="157"/>
    </row>
    <row r="3793" spans="1:4" x14ac:dyDescent="0.3">
      <c r="A3793" s="157"/>
      <c r="B3793" s="157"/>
      <c r="C3793" s="157"/>
      <c r="D3793" s="157"/>
    </row>
    <row r="3794" spans="1:4" x14ac:dyDescent="0.3">
      <c r="A3794" s="157"/>
      <c r="B3794" s="157"/>
      <c r="C3794" s="157"/>
      <c r="D3794" s="157"/>
    </row>
    <row r="3795" spans="1:4" x14ac:dyDescent="0.3">
      <c r="A3795" s="157"/>
      <c r="B3795" s="157"/>
      <c r="C3795" s="157"/>
      <c r="D3795" s="157"/>
    </row>
    <row r="3796" spans="1:4" x14ac:dyDescent="0.3">
      <c r="A3796" s="157"/>
      <c r="B3796" s="157"/>
      <c r="C3796" s="157"/>
      <c r="D3796" s="157"/>
    </row>
    <row r="3797" spans="1:4" x14ac:dyDescent="0.3">
      <c r="A3797" s="157"/>
      <c r="B3797" s="157"/>
      <c r="C3797" s="157"/>
      <c r="D3797" s="157"/>
    </row>
    <row r="3798" spans="1:4" x14ac:dyDescent="0.3">
      <c r="A3798" s="157"/>
      <c r="B3798" s="157"/>
      <c r="C3798" s="157"/>
      <c r="D3798" s="157"/>
    </row>
    <row r="3799" spans="1:4" x14ac:dyDescent="0.3">
      <c r="A3799" s="157"/>
      <c r="B3799" s="157"/>
      <c r="C3799" s="157"/>
      <c r="D3799" s="157"/>
    </row>
    <row r="3800" spans="1:4" x14ac:dyDescent="0.3">
      <c r="A3800" s="157"/>
      <c r="B3800" s="157"/>
      <c r="C3800" s="157"/>
      <c r="D3800" s="157"/>
    </row>
    <row r="3801" spans="1:4" x14ac:dyDescent="0.3">
      <c r="A3801" s="157"/>
      <c r="B3801" s="157"/>
      <c r="C3801" s="157"/>
      <c r="D3801" s="157"/>
    </row>
    <row r="3802" spans="1:4" x14ac:dyDescent="0.3">
      <c r="A3802" s="157"/>
      <c r="B3802" s="157"/>
      <c r="C3802" s="157"/>
      <c r="D3802" s="157"/>
    </row>
    <row r="3803" spans="1:4" x14ac:dyDescent="0.3">
      <c r="A3803" s="157"/>
      <c r="B3803" s="157"/>
      <c r="C3803" s="157"/>
      <c r="D3803" s="157"/>
    </row>
    <row r="3804" spans="1:4" x14ac:dyDescent="0.3">
      <c r="A3804" s="157"/>
      <c r="B3804" s="157"/>
      <c r="C3804" s="157"/>
      <c r="D3804" s="157"/>
    </row>
    <row r="3805" spans="1:4" x14ac:dyDescent="0.3">
      <c r="A3805" s="157"/>
      <c r="B3805" s="157"/>
      <c r="C3805" s="157"/>
      <c r="D3805" s="157"/>
    </row>
  </sheetData>
  <protectedRanges>
    <protectedRange sqref="E3:BP7" name="Range4"/>
    <protectedRange sqref="E11:G1225 I781:BK785 H11:H34 H36:H1225 J11:K780 O11:X759 Z11:AA780 AC11:AD780 AF571:AN780 M760:X780 M11:M759 I938:BK941 I937:AE937 AG888:BK937 I998:BK1003 I942:K997 AG942:BJ997 I1080:BK1081 I1004:K1078 AG1020:BJ1078 I1176:BK1176 I1158:AE1173 AG1158:BJ1173 I1152:BK1157 I1094:K1151 AG1094:AG1151 I1224:BJ1225 I1177:AE1223 AG1215:BJ1223 AG1004:AG1019 AI1004:BJ1019 AI1141:BK1151 AG1177:AG1214 AI1177:BJ1214 AI1094:AL1126 AN1094:BJ1126 AF11:AM570 AP578:AX780 AP11:AS577 AU11:AX577 AZ758:BI780 I799:BK805 I786:K798 M786:BK798 I847:BK849 I830:K843 M830:BJ843 I850:K936 M850:AE936 M942:AE997 M1004:AE1078 M1094:AE1151 BA11:BB576 AZ577:BB754 BD721:BE754 BD542:BD720 AZ755:BE757 BG11:BI757 BK11:BK780 I806:BJ829 I844:BJ846 AG850:BJ887 I1079:BJ1079 I1089:BK1093 I1082:BJ1088 AI1127:BJ1140 I1174:BJ1175 BM544:BP1225 BR11:BR1225 BO11:BP129 BM11:BM543 BO131:BP543 BO130:BQ130" name="Range3"/>
    <protectedRange sqref="B5" name="Range1"/>
    <protectedRange sqref="I11:I780" name="Range1_1"/>
    <protectedRange sqref="N11:N759" name="Range1_2"/>
    <protectedRange sqref="Y11:Y780" name="Range1_3"/>
    <protectedRange sqref="AB11:AB780" name="Range1_4"/>
    <protectedRange sqref="AE11:AE780" name="Range1_5"/>
    <protectedRange sqref="L11:L780" name="Range1_6"/>
    <protectedRange sqref="AF850:AF937" name="Range1_7"/>
    <protectedRange sqref="AF942:AF997" name="Range1_8"/>
    <protectedRange sqref="AF1004:AF1078" name="Range1_9"/>
    <protectedRange sqref="AF1158:AF1173" name="Range1_10"/>
    <protectedRange sqref="AF1094:AF1151" name="Range1_11"/>
    <protectedRange sqref="AF1177:AF1223" name="Range1_12"/>
    <protectedRange sqref="AH1004:AH1019" name="Range1_13"/>
    <protectedRange sqref="AH1094:AH1151" name="Range1_14"/>
    <protectedRange sqref="AH1177:AH1214" name="Range1_15"/>
    <protectedRange sqref="AM1094:AM1126" name="Range1_16"/>
    <protectedRange sqref="AN11:AN570" name="Range1_17"/>
    <protectedRange sqref="AO11:AO780" name="Range1_18"/>
    <protectedRange sqref="AT11:AT577" name="Range1_19"/>
    <protectedRange sqref="AY11:AY780" name="Range1_20"/>
    <protectedRange sqref="L786:L798" name="Range1_1_1"/>
    <protectedRange sqref="L830:L843" name="Range1_21"/>
    <protectedRange sqref="L850:L936" name="Range1_22"/>
    <protectedRange sqref="L942:L997" name="Range1_23"/>
    <protectedRange sqref="L1004:L1078" name="Range1_24"/>
    <protectedRange sqref="L1094:L1151" name="Range1_25"/>
    <protectedRange sqref="AZ11:AZ576" name="Range1_26"/>
    <protectedRange sqref="BC11:BC754" name="Range1_27"/>
    <protectedRange sqref="BD11:BD541" name="Range1_28"/>
    <protectedRange sqref="BE11:BE720" name="Range1_29"/>
    <protectedRange sqref="BF11:BF757" name="Range1_30"/>
    <protectedRange sqref="BJ11:BJ780" name="Range1_31"/>
    <protectedRange sqref="BK807:BK846" name="Range1_32"/>
    <protectedRange sqref="BK850:BK887" name="Range1_33"/>
    <protectedRange sqref="BK942:BK997" name="Range1_34"/>
    <protectedRange sqref="BK1004:BK1079" name="Range1_35"/>
    <protectedRange sqref="BK1082:BK1088" name="Range1_36"/>
    <protectedRange sqref="BK1094:BK1140" name="Range1_37"/>
    <protectedRange sqref="BK1158:BK1175" name="Range1_38"/>
    <protectedRange sqref="BK1177:BK1226" name="Range1_39"/>
    <protectedRange sqref="BN11:BN543" name="Range1_40"/>
  </protectedRanges>
  <mergeCells count="68">
    <mergeCell ref="C1:D1"/>
    <mergeCell ref="O3:O7"/>
    <mergeCell ref="E3:E7"/>
    <mergeCell ref="F3:F7"/>
    <mergeCell ref="G3:G7"/>
    <mergeCell ref="H3:H7"/>
    <mergeCell ref="I3:I7"/>
    <mergeCell ref="J3:J7"/>
    <mergeCell ref="K3:K7"/>
    <mergeCell ref="L3:L7"/>
    <mergeCell ref="M3:M7"/>
    <mergeCell ref="N3:N7"/>
    <mergeCell ref="AA3:AA7"/>
    <mergeCell ref="P3:P7"/>
    <mergeCell ref="Q3:Q7"/>
    <mergeCell ref="R3:R7"/>
    <mergeCell ref="S3:S7"/>
    <mergeCell ref="T3:T7"/>
    <mergeCell ref="U3:U7"/>
    <mergeCell ref="V3:V7"/>
    <mergeCell ref="W3:W7"/>
    <mergeCell ref="X3:X7"/>
    <mergeCell ref="Y3:Y7"/>
    <mergeCell ref="Z3:Z7"/>
    <mergeCell ref="AM3:AM7"/>
    <mergeCell ref="AB3:AB7"/>
    <mergeCell ref="AC3:AC7"/>
    <mergeCell ref="AD3:AD7"/>
    <mergeCell ref="AE3:AE7"/>
    <mergeCell ref="AF3:AF7"/>
    <mergeCell ref="AG3:AG7"/>
    <mergeCell ref="AH3:AH7"/>
    <mergeCell ref="AI3:AI7"/>
    <mergeCell ref="AJ3:AJ7"/>
    <mergeCell ref="AK3:AK7"/>
    <mergeCell ref="AL3:AL7"/>
    <mergeCell ref="AT3:AT7"/>
    <mergeCell ref="AN3:AN7"/>
    <mergeCell ref="AO3:AO7"/>
    <mergeCell ref="AP3:AP7"/>
    <mergeCell ref="AQ3:AQ7"/>
    <mergeCell ref="AR3:AR7"/>
    <mergeCell ref="AS3:AS7"/>
    <mergeCell ref="AU3:AU7"/>
    <mergeCell ref="AV3:AV7"/>
    <mergeCell ref="AW3:AW7"/>
    <mergeCell ref="AX3:AX7"/>
    <mergeCell ref="AY3:AY7"/>
    <mergeCell ref="AZ3:AZ7"/>
    <mergeCell ref="BA3:BA7"/>
    <mergeCell ref="BB3:BB7"/>
    <mergeCell ref="BC3:BC7"/>
    <mergeCell ref="BD3:BD7"/>
    <mergeCell ref="BL3:BL7"/>
    <mergeCell ref="BJ3:BJ7"/>
    <mergeCell ref="BK3:BK7"/>
    <mergeCell ref="BE3:BE7"/>
    <mergeCell ref="BF3:BF7"/>
    <mergeCell ref="BG3:BG7"/>
    <mergeCell ref="BH3:BH7"/>
    <mergeCell ref="BI3:BI7"/>
    <mergeCell ref="BR3:BR7"/>
    <mergeCell ref="BS3:BS7"/>
    <mergeCell ref="BM3:BM7"/>
    <mergeCell ref="BN3:BN7"/>
    <mergeCell ref="BO3:BO7"/>
    <mergeCell ref="BP3:BP7"/>
    <mergeCell ref="BQ3:BQ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598"/>
  <sheetViews>
    <sheetView topLeftCell="B873" zoomScale="105" zoomScaleNormal="105" workbookViewId="0">
      <selection activeCell="D850" sqref="D850"/>
    </sheetView>
  </sheetViews>
  <sheetFormatPr defaultRowHeight="15" x14ac:dyDescent="0.25"/>
  <cols>
    <col min="1" max="1" width="24.140625" hidden="1" customWidth="1"/>
    <col min="2" max="2" width="1" customWidth="1"/>
    <col min="3" max="3" width="10.7109375" customWidth="1"/>
    <col min="4" max="4" width="10.28515625" customWidth="1"/>
    <col min="7" max="7" width="9.140625" customWidth="1"/>
    <col min="8" max="8" width="9.42578125" customWidth="1"/>
    <col min="9" max="10" width="10.28515625" customWidth="1"/>
    <col min="11" max="11" width="10.7109375" customWidth="1"/>
    <col min="12" max="13" width="12.7109375" customWidth="1"/>
    <col min="14" max="14" width="11.5703125" customWidth="1"/>
    <col min="15" max="15" width="11" customWidth="1"/>
    <col min="16" max="16" width="10.5703125" customWidth="1"/>
    <col min="17" max="17" width="10.7109375" customWidth="1"/>
    <col min="18" max="18" width="7.28515625" style="29" customWidth="1"/>
    <col min="19" max="19" width="10" customWidth="1"/>
    <col min="20" max="20" width="11.7109375" customWidth="1"/>
    <col min="21" max="21" width="12.140625" customWidth="1"/>
  </cols>
  <sheetData>
    <row r="1" spans="1:26" x14ac:dyDescent="0.25">
      <c r="F1" s="428"/>
      <c r="G1" s="427"/>
      <c r="J1" s="428" t="s">
        <v>2039</v>
      </c>
    </row>
    <row r="2" spans="1:26" ht="36.75" thickBot="1" x14ac:dyDescent="0.6">
      <c r="A2" s="92"/>
      <c r="B2" s="517"/>
      <c r="C2" s="518"/>
      <c r="D2" s="518"/>
      <c r="E2" s="518"/>
      <c r="F2" s="518"/>
      <c r="G2" s="518"/>
      <c r="H2" s="519" t="str">
        <f>IF(S3&gt;=1055,"LOT 21 LABORATORY REQUIREMENT - OBADA ANNEX",IF(S3&gt;=1039,"LOT 21 - LABORATORY REQUIREMENT - SHAJE ANNEX",IF(S3&gt;=981,"LOT 20 - LABORATORY - CHEMICAL PATHOLOGY",IF(S3&gt;=974,"LOT 19 - MICROBIOLOGY - INFECTION CONTROL",IF(S3&gt;=957,"LOT 19 - MICROBIOLOGY - SENSITIVITY DISCS",IF(S3&gt;=902,"LOT 18 - MICROBIOLOGY - REAGENT KITS",IF(S3&gt;=846,"LOT 17 - HISTOPATHOLOGY",IF(S3&gt;=760,"LOT 16 - HAEMATOLOGY",IF(S3&gt;=722,"LOT 15 - THEATRE DEPARTMENT",IF(S3&gt;=709,"LOT 14 - RADIOLOGY DEPARTMENT",IF(S3&gt;=702,"LOT 13 - PHARMACY - CONSUMABLES - SUTURES",IF(S3&gt;=684,"LOT 13 - PHARMACY - CONSUMABLES",IF(S3&gt;=669,"LOT 13 PHARMACY - DISINFECTANTS",IF(S3&gt;=651,"LOT 13 - PHARMACY - DERMATOLOGICAL PREPARATIONS",IF(S3&gt;=570,"LOT 13 - PHARMACY - DRESSINGS/CONSUMABLES",IF(S3&gt;=539,"LOT 12 - PHARMACY - ONCOLOGY DRUGS",IF(S3&gt;=494,"LOT 11 - PHARMACY - EYE/EAR MEDICATIONS",IF(S3&gt;=455,"LOT 10 - PHARMACY - RESPIRATORY TRACT DRUGS",IF(S3&gt;=424,"LOT 9 - PHARMACY GASTROINTESTINAL DRUGS",IF(S3&gt;=381,"LOT 8 - PHARMACY -OBSTETRICS/GYNAECOLOGY DRUGS",IF(S3&gt;=351,"LOT 7 - PHARMACY - HYPNOSEDATIVE DRUGS",IF(S3&gt;=285,"LOT 6 PHARMACY - BLOOD &amp; NUTRITIONAL DRUGS",IF(S3&gt;=194,"LOT 5 - PHARMACY - ANTI-INFECTIVE AGENTS",IF(S3&gt;=142,"LOT 4 - PHARMACY - ANTI-INFLAMMATORY/ANTI-PYRETIC/ANALGESICS",IF(S3&gt;=118,"LOT 3 - PHARMACY - ORAL HYPOGLYCAEMIC DRUGS",IF(S3&gt;=34,"LOT 3 - PHARMACY - ANTI-HYPERTENSIVES",IF(S3&gt;=19,"LOT 2 - PHARMACY - STERILE INTRAVENOUS FLUIDS",IF(S3&gt;=1,"LOT 1 - PHARMACY - ANTI-MALARIALS","-"))))))))))))))))))))))))))))</f>
        <v>LOT 1 - PHARMACY - ANTI-MALARIALS</v>
      </c>
      <c r="I2" s="520"/>
      <c r="J2" s="518"/>
      <c r="K2" s="518"/>
      <c r="L2" s="518"/>
      <c r="M2" s="518"/>
      <c r="N2" s="518"/>
      <c r="O2" s="518"/>
      <c r="P2" s="518"/>
      <c r="Q2" s="518"/>
      <c r="R2" s="521"/>
      <c r="S2" s="518"/>
      <c r="T2" s="518"/>
      <c r="U2" s="518"/>
      <c r="V2" s="32"/>
      <c r="W2" s="32"/>
      <c r="X2" s="32"/>
      <c r="Y2" s="32"/>
    </row>
    <row r="3" spans="1:26" ht="57" thickBot="1" x14ac:dyDescent="0.7">
      <c r="A3" s="95" t="s">
        <v>779</v>
      </c>
      <c r="B3" s="522"/>
      <c r="C3" s="523" t="str">
        <f>IF($S$3=1,PR!$B$11,IF($S$3=2,PR!$B$12,IF($S$3=3,PR!$B$13,IF($S$3=4,PR!$B$14,IF($S$3=5,PR!$B$15,IF($S$3=6,PR!$B$16,IF($S$3=7,PR!$B$17,IF($S$3=8,PR!$B$18,IF($S$3=9,PR!$B$19,IF($S$3=10,PR!$B$20,IF($S$3=11,PR!$B$21,IF($S$3=12,PR!$B$22,IF($S$3=13,PR!$B$23,IF($S$3=14,PR!$B$24,IF($S$3=15,PR!$B$25,IF($S$3=16,PR!$B$26,IF($S$3=17,PR!$B$27,IF($S$3=18,PR!$B$28,IF($S$3=19,PR!$B$32,IF($S$3=20,PR!$B$33,IF($S$3=21,PR!$B$34,IF($S$3=22,PR!$B$35,IF($S$3=23,PR!$B$36,IF($S$3=24,PR!$B$37,IF($S$3=25,PR!$B$38,IF($S$3=26,PR!$B$39,IF($S$3=27,PR!$B$40,IF($S$3=28,PR!$B$41,IF($S$3=29,PR!$B$42,IF($S$3=30,PR!$B$43,IF($S$3=31,PR!$B$44,IF($S$3=32,PR!$B$45,IF($S$3=33,PR!$B$46,IF($S$3=34,PR!$B$50,IF($S$3=35,PR!$B$51,IF($S$3=36,PR!$B$52,IF($S$3=37,PR!$B$53,IF($S$3=38,PR!$B$54,IF($S$3=39,PR!$B$55,IF($S$3=40,PR!$B$56,IF($S$3=41,PR!$B$57,IF($S$3=42,PR!$B$58,IF($S$3=43,PR!$B$59,IF($S$3=44,PR!$B$60,IF($S$3=45,PR!$B$61,IF($S$3=46,PR!$B$62,IF($S$3=47,PR!$B$63,IF($S$3=48,PR!$B$64,IF($S$3=49,PR!$B$65,IF($S$3=50,PR!$B$66,IF($S$3=51,PR!$B$67,IF($S$3=52,PR!$B$68,IF($S$3=53,PR!$B$69,IF($S$3=54,PR!$B$70,IF($S$3=55,PR!$B$71,IF($S$3=56,PR!$B$72,IF($S$3=57,PR!$B$73,IF($S$3=58,PR!$B$74,IF($S$3=59,PR!$B$75,IF($S$3=60,PR!$B$76,"-"))))))))))))))))))))))))))))))))))))))))))))))))))))))))))))</f>
        <v>ARTEROLANE + PIPERAQUINE</v>
      </c>
      <c r="D3" s="524"/>
      <c r="E3" s="524"/>
      <c r="F3" s="524"/>
      <c r="G3" s="524"/>
      <c r="H3" s="524"/>
      <c r="I3" s="524"/>
      <c r="J3" s="524"/>
      <c r="K3" s="524"/>
      <c r="L3" s="524"/>
      <c r="M3" s="524"/>
      <c r="N3" s="524"/>
      <c r="O3" s="524"/>
      <c r="P3" s="524"/>
      <c r="Q3" s="525"/>
      <c r="R3" s="521"/>
      <c r="S3" s="539">
        <v>9</v>
      </c>
      <c r="T3" s="518"/>
      <c r="U3" s="518"/>
      <c r="V3" s="32"/>
      <c r="W3" s="32"/>
      <c r="X3" s="32"/>
      <c r="Y3" s="32"/>
      <c r="Z3" s="32"/>
    </row>
    <row r="4" spans="1:26" ht="42.75" thickBot="1" x14ac:dyDescent="0.7">
      <c r="A4" s="91"/>
      <c r="B4" s="518"/>
      <c r="C4" s="526" t="s">
        <v>780</v>
      </c>
      <c r="D4" s="798">
        <f>IF($S$3=1,PR!$D$11,IF($S$3=2,PR!$D$12,IF($S$3=3,PR!$D$13,IF($S$3=4,PR!$D$14,IF($S$3=5,PR!$D$15,IF($S$3=6,PR!$D$16,IF($S$3=7,PR!$D$17,IF($S$3=8,PR!$D$18,IF($S$3=9,PR!$D$19,IF($S$3=10,PR!$D$20,IF($S$3=11,PR!$D$21,IF($S$3=12,PR!$D$22,IF($S$3=13,PR!$D$23,IF($S$3=14,PR!$D$24,IF($S$3=15,PR!$D$25,IF($S$3=16,PR!$D$26,IF($S$3=17,PR!$D$27,IF($S$3=18,PR!$D$28,IF($S$3=19,PR!$D$32,IF($S$3=20,PR!$D$33,IF($S$3=21,PR!$D$34,IF($S$3=22,PR!$D$35,IF($S$3=23,PR!$D$36,IF($S$3=24,PR!$D$37,IF($S$3=25,PR!$D$38,IF($S$3=26,PR!$D$39,IF($S$3=27,PR!$D$40,IF($S$3=28,PR!$D$41,IF($S$3=29,PR!$D$42,IF($S$3=30,PR!$D$43,IF($S$3=31,PR!$D$44,IF($S$3=32,PR!$D$45,IF($S$3=33,PR!$D$46,IF($S$3=34,PR!$D$50,IF($S$3=35,PR!$D$51,IF($S$3=36,PR!$D$52,IF($S$3=37,PR!$D$53,IF($S$3=38,PR!$D$54,IF($S$3=39,PR!$D$55,IF($S$3=40,PR!$D$56,IF($S$3=41,PR!$D$57,IF($S$3=42,PR!$D$58,IF($S$3=43,PR!$D$59,IF($S$3=44,PR!$D$60,IF($S$3=45,PR!$D$61,IF($S$3=46,PR!$D$62,IF($S$3=47,PR!$D$63,IF($S$3=48,PR!$D$64,IF($S$3=49,PR!$D$65,IF($S$3=50,PR!$D$66,IF($S$3=51,PR!$D$67,IF($S$3=52,PR!$D$68,IF($S$3=53,PR!$D$69,IF($S$3=54,PR!$D$70,IF($S$3=55,PR!$D$71,IF($S$3=56,PR!$D$72,IF($S$3=57,PR!$D$73,IF($S$3=58,PR!$D$74,IF($S$3=59,PR!$D$75,IF($S$3=60,PR!$D$76,"-"))))))))))))))))))))))))))))))))))))))))))))))))))))))))))))</f>
        <v>10</v>
      </c>
      <c r="E4" s="798"/>
      <c r="F4" s="798"/>
      <c r="G4" s="802" t="s">
        <v>781</v>
      </c>
      <c r="H4" s="802"/>
      <c r="I4" s="802"/>
      <c r="J4" s="802"/>
      <c r="K4" s="798">
        <f>IF($S$3=1,PR!$C$11,IF($S$3=2,PR!$C$12,IF($S$3=3,PR!$C$13,IF($S$3=4,PR!$C$14,IF($S$3=5,PR!$C$15,IF($S$3=6,PR!$C$16,IF($S$3=7,PR!$C$17,IF($S$3=8,PR!$C$18,IF($S$3=9,PR!$C$19,IF($S$3=10,PR!$C$20,IF($S$3=11,PR!$C$21,IF($S$3=12,PR!$C$22,IF($S$3=13,PR!$C$23,IF($S$3=14,PR!$C$24,IF($S$3=15,PR!$C$25,IF($S$3=16,PR!$C$26,IF($S$3=17,PR!$C$27,IF($S$3=18,PR!$C$28,IF($S$3=19,PR!$C$32,IF($S$3=20,PR!$C$33,IF($S$3=21,PR!$C$34,IF($S$3=22,PR!$C$35,IF($S$3=23,PR!$C$36,IF($S$3=24,PR!$C$37,IF($S$3=25,PR!$C$38,IF($S$3=26,PR!$C$39,IF($S$3=27,PR!$C$40,IF($S$3=28,PR!$C$41,IF($S$3=29,PR!$C$42,IF($S$3=30,PR!$C$43,IF($S$3=31,PR!$C$44,IF($S$3=32,PR!$C$45,IF($S$3=33,PR!$C$46,IF($S$3=34,PR!$C$50,IF($S$3=35,PR!$C$51,IF($S$3=36,PR!$C$52,IF($S$3=37,PR!$C$53,IF($S$3=38,PR!$C$54,IF($S$3=39,PR!$C$55,IF($S$3=40,PR!$C$56,IF($S$3=41,PR!$C$57,IF($S$3=42,PR!$C$58,IF($S$3=43,PR!$C$59,IF($S$3=44,PR!$C$60,IF($S$3=45,PR!$C$61,IF($S$3=46,PR!$C$62,IF($S$3=47,PR!$C$63,IF($S$3=48,PR!$C$64,IF($S$3=49,PR!$C$65,IF($S$3=50,PR!$C$66,IF($S$3=51,PR!$C$67,IF($S$3=52,PR!$C$68,IF($S$3=53,PR!$C$69,IF($S$3=54,PR!$C$70,IF($S$3=55,PR!$C$71,IF($S$3=56,PR!$C$72,IF($S$3=57,PR!$C$73,IF($S$3=58,PR!$C$74,IF($S$3=59,PR!$C$75,IF($S$3=60,PR!$C$76,"-"))))))))))))))))))))))))))))))))))))))))))))))))))))))))))))</f>
        <v>20</v>
      </c>
      <c r="L4" s="798"/>
      <c r="M4" s="798"/>
      <c r="N4" s="518"/>
      <c r="O4" s="518"/>
      <c r="P4" s="518"/>
      <c r="Q4" s="518"/>
      <c r="R4" s="521"/>
      <c r="S4" s="518"/>
      <c r="T4" s="518"/>
      <c r="U4" s="518"/>
      <c r="V4" s="32"/>
      <c r="W4" s="32"/>
      <c r="X4" s="32"/>
      <c r="Y4" s="32"/>
      <c r="Z4" s="32"/>
    </row>
    <row r="5" spans="1:26" ht="19.5" thickTop="1" x14ac:dyDescent="0.25">
      <c r="A5" s="91"/>
      <c r="B5" s="518"/>
      <c r="C5" s="527"/>
      <c r="D5" s="528"/>
      <c r="E5" s="518"/>
      <c r="F5" s="518"/>
      <c r="G5" s="529"/>
      <c r="H5" s="529"/>
      <c r="I5" s="529"/>
      <c r="J5" s="529"/>
      <c r="K5" s="530"/>
      <c r="L5" s="530"/>
      <c r="M5" s="518"/>
      <c r="N5" s="518"/>
      <c r="O5" s="518"/>
      <c r="P5" s="518"/>
      <c r="Q5" s="518"/>
      <c r="R5" s="521"/>
      <c r="S5" s="518"/>
      <c r="T5" s="518"/>
      <c r="U5" s="518"/>
      <c r="V5" s="32"/>
      <c r="W5" s="32"/>
      <c r="X5" s="32"/>
      <c r="Y5" s="32"/>
      <c r="Z5" s="32"/>
    </row>
    <row r="6" spans="1:26" ht="15.75" thickBot="1" x14ac:dyDescent="0.3">
      <c r="A6" s="94" t="s">
        <v>782</v>
      </c>
      <c r="B6" s="531"/>
      <c r="C6" s="531" t="str">
        <f>N!$C$4</f>
        <v>ALPHA</v>
      </c>
      <c r="D6" s="531" t="str">
        <f>N!$C$5</f>
        <v>ASSENE</v>
      </c>
      <c r="E6" s="531" t="str">
        <f>N!$C$6</f>
        <v>BIOFEM</v>
      </c>
      <c r="F6" s="531" t="str">
        <f>N!$C$7</f>
        <v>BIOMED</v>
      </c>
      <c r="G6" s="531" t="str">
        <f>N!$C$8</f>
        <v>CHI</v>
      </c>
      <c r="H6" s="531" t="str">
        <f>N!$C$9</f>
        <v>CLARION</v>
      </c>
      <c r="I6" s="531" t="str">
        <f>N!$C$10</f>
        <v>CODIX</v>
      </c>
      <c r="J6" s="531" t="str">
        <f>N!$C$11</f>
        <v>COSMADE</v>
      </c>
      <c r="K6" s="531" t="str">
        <f>N!$C$12</f>
        <v>SANCON</v>
      </c>
      <c r="L6" s="531" t="str">
        <f>N!$C$13</f>
        <v>DEVON</v>
      </c>
      <c r="M6" s="531" t="str">
        <f>N!$C$14</f>
        <v>DORTEMAG</v>
      </c>
      <c r="N6" s="531" t="str">
        <f>N!$C$15</f>
        <v>DGF</v>
      </c>
      <c r="O6" s="532" t="str">
        <f>N!$C$16</f>
        <v>DYNAMIC</v>
      </c>
      <c r="P6" s="531" t="str">
        <f>N!$C$17</f>
        <v>EMZOR</v>
      </c>
      <c r="Q6" s="531" t="str">
        <f>N!$C$18</f>
        <v>EUMATT</v>
      </c>
      <c r="R6" s="531" t="str">
        <f>N!$C$19</f>
        <v>FIDSON</v>
      </c>
      <c r="S6" s="531" t="str">
        <f>N!$C$20</f>
        <v>FCGLOBAL</v>
      </c>
      <c r="T6" s="518"/>
      <c r="U6" s="518"/>
      <c r="V6" s="32"/>
      <c r="W6" s="32"/>
      <c r="X6" s="32"/>
      <c r="Y6" s="32"/>
    </row>
    <row r="7" spans="1:26" ht="15.75" thickBot="1" x14ac:dyDescent="0.3">
      <c r="A7" s="93"/>
      <c r="B7" s="533"/>
      <c r="C7" s="534">
        <f>IF($S$3=1,PR!$E$11,IF($S$3=2,PR!$E$12,IF($S$3=3,PR!$E$13,IF($S$3=4,PR!$E$14,IF($S$3=5,PR!$E$15,IF($S$3=6,PR!$E$16,IF($S$3=7,PR!$E$17,IF($S$3=8,PR!$E$18,IF($S$3=9,PR!$E$19,IF($S$3=10,PR!$E$20,IF($S$3=11,PR!$E$21,IF($S$3=12,PR!$E$22,IF($S$3=13,PR!$E$23,IF($S$3=14,PR!$E$24,IF($S$3=15,PR!$E$25,IF($S$3=16,PR!$E$26,IF($S$3=17,PR!$E$27,IF($S$3=18,PR!$E$28,IF($S$3=19,PR!$E$32,IF($S$3=20,PR!$E$33,IF($S$3=21,PR!$E$34,IF($S$3=22,PR!$E$35,IF($S$3=23,PR!$E$36,IF($S$3=24,PR!$E$37,IF($S$3=25,PR!$E$38,IF($S$3=26,PR!$E$39,IF($S$3=27,PR!$E$40,IF($S$3=28,PR!$E$41,IF($S$3=29,PR!$E$42,IF($S$3=30,PR!$E$43,IF($S$3=31,PR!$E$44,IF($S$3=32,PR!$E$45,IF($S$3=33,PR!$E$46,IF($S$3=34,PR!$E$50,IF($S$3=35,PR!$E$51,IF($S$3=36,PR!$E$52,IF($S$3=37,PR!$E$53,IF($S$3=38,PR!$E$54,IF($S$3=39,PR!$E$55,IF($S$3=40,PR!$E$56,IF($S$3=41,PR!$E$57,IF($S$3=42,PR!$E$58,IF($S$3=43,PR!$E$59,IF($S$3=44,PR!$E$60,IF($S$3=45,PR!$E$61,IF($S$3=46,PR!$E$62,IF($S$3=47,PR!$E$63,IF($S$3=48,PR!$E$64,IF($S$3=49,PR!$E$65,IF($S$3=50,PR!$E$66,IF($S$3=51,PR!$E$67,IF($S$3=52,PR!$E$68,IF($S$3=53,PR!$E$69,IF($S$3=54,PR!$E$70,IF($S$3=55,PR!$E$71,IF($S$3=56,PR!$E$72,IF($S$3=57,PR!$E$73,IF($S$3=58,PR!$E$74,IF($S$3=59,PR!$E$75,IF($S$3=60,PR!$E$76,"-"))))))))))))))))))))))))))))))))))))))))))))))))))))))))))))</f>
        <v>0</v>
      </c>
      <c r="D7" s="534">
        <f>IF($S$3=1,PR!$F$11,IF($S$3=2,PR!$F$12,IF($S$3=3,PR!$F$13,IF($S$3=4,PR!$F$14,IF($S$3=5,PR!$F$15,IF($S$3=6,PR!$F$16,IF($S$3=7,PR!$F$17,IF($S$3=8,PR!$F$18,IF($S$3=9,PR!$F$19,IF($S$3=10,PR!$F$20,IF($S$3=11,PR!$F$21,IF($S$3=12,PR!$F$22,IF($S$3=13,PR!$F$23,IF($S$3=14,PR!$F$24,IF($S$3=15,PR!$F$25,IF($S$3=16,PR!$F$26,IF($S$3=17,PR!$F$27,IF($S$3=18,PR!$F$28,IF($S$3=19,PR!$F$32,IF($S$3=20,PR!$F$33,IF($S$3=21,PR!$F$34,IF($S$3=22,PR!$F$35,IF($S$3=23,PR!$F$36,IF($S$3=24,PR!$F$37,IF($S$3=25,PR!$F$38,IF($S$3=26,PR!$F$39,IF($S$3=27,PR!$F$40,IF($S$3=28,PR!$F$41,IF($S$3=29,PR!$F$42,IF($S$3=30,PR!$F$43,IF($S$3=31,PR!$F$44,IF($S$3=32,PR!$F$45,IF($S$3=33,PR!$F$46,IF($S$3=34,PR!$F$50,IF($S$3=35,PR!$F$51,IF($S$3=36,PR!$F$52,IF($S$3=37,PR!$F$53,IF($S$3=38,PR!$F$54,IF($S$3=39,PR!$F$55,IF($S$3=40,PR!$F$56,IF($S$3=41,PR!$F$57,IF($S$3=42,PR!$F$58,IF($S$3=43,PR!$F$59,IF($S$3=44,PR!$F$60,IF($S$3=45,PR!$F$61,IF($S$3=46,PR!$F$62,IF($S$3=47,PR!$F$63,IF($S$3=48,PR!$F$64,IF($S$3=49,PR!$F$65,IF($S$3=50,PR!$F$66,IF($S$3=51,PR!$F$67,IF($S$3=52,PR!$F$68,IF($S$3=53,PR!$F$69,IF($S$3=54,PR!$F$70,IF($S$3=55,PR!$F$71,IF($S$3=56,PR!$F$72,IF($S$3=57,PR!$F$73,IF($S$3=58,PR!$F$74,IF($S$3=59,PR!$F$75,IF($S$3=60,PR!$F$76,"-"))))))))))))))))))))))))))))))))))))))))))))))))))))))))))))</f>
        <v>0</v>
      </c>
      <c r="E7" s="534">
        <f>IF($S$3=1,PR!$G$11,IF($S$3=2,PR!$G$12,IF($S$3=3,PR!$G$13,IF($S$3=4,PR!$G$14,IF($S$3=5,PR!$G$15,IF($S$3=6,PR!$G$16,IF($S$3=7,PR!$G$17,IF($S$3=8,PR!$G$18,IF($S$3=9,PR!$G$19,IF($S$3=10,PR!$G$20,IF($S$3=11,PR!$G$21,IF($S$3=12,PR!$G$22,IF($S$3=13,PR!$G$23,IF($S$3=14,PR!$G$24,IF($S$3=15,PR!$G$25,IF($S$3=16,PR!$G$26,IF($S$3=17,PR!$G$27,IF($S$3=18,PR!$G$28,IF($S$3=19,PR!$G$32,IF($S$3=20,PR!$G$33,IF($S$3=21,PR!$G$34,IF($S$3=22,PR!$G$35,IF($S$3=23,PR!$G$36,IF($S$3=24,PR!$G$37,IF($S$3=25,PR!$G$38,IF($S$3=26,PR!$G$39,IF($S$3=27,PR!$G$40,IF($S$3=28,PR!$G$41,IF($S$3=29,PR!$G$42,IF($S$3=30,PR!$G$43,IF($S$3=31,PR!$G$44,IF($S$3=32,PR!$G$45,IF($S$3=33,PR!$G$46,IF($S$3=34,PR!$G$50,IF($S$3=35,PR!$G$51,IF($S$3=36,PR!$G$52,IF($S$3=37,PR!$G$53,IF($S$3=38,PR!$G$54,IF($S$3=39,PR!$G$55,IF($S$3=40,PR!$G$56,IF($S$3=41,PR!$G$57,IF($S$3=42,PR!$G$58,IF($S$3=43,PR!$G$59,IF($S$3=44,PR!$G$60,IF($S$3=45,PR!$G$61,IF($S$3=46,PR!$G$62,IF($S$3=47,PR!$G$63,IF($S$3=48,PR!$G$64,IF($S$3=49,PR!$G$65,IF($S$3=50,PR!$G$66,IF($S$3=51,PR!$G$67,IF($S$3=52,PR!$G$68,IF($S$3=53,PR!$G$69,IF($S$3=54,PR!$G$70,IF($S$3=55,PR!$G$71,IF($S$3=56,PR!$G$72,IF($S$3=57,PR!$G$73,IF($S$3=58,PR!$G$74,IF($S$3=59,PR!$G$75,IF($S$3=60,PR!$G$76,"-"))))))))))))))))))))))))))))))))))))))))))))))))))))))))))))</f>
        <v>0</v>
      </c>
      <c r="F7" s="534">
        <f>IF($S$3=1,PR!$H$11,IF($S$3=2,PR!$H$12,IF($S$3=3,PR!$H$13,IF($S$3=4,PR!$H$14,IF($S$3=5,PR!$H$15,IF($S$3=6,PR!$H$16,IF($S$3=7,PR!$H$17,IF($S$3=8,PR!$H$18,IF($S$3=9,PR!$H$19,IF($S$3=10,PR!$H$20,IF($S$3=11,PR!$H$21,IF($S$3=12,PR!$H$22,IF($S$3=13,PR!$H$23,IF($S$3=14,PR!$H$24,IF($S$3=15,PR!$H$25,IF($S$3=16,PR!$H$26,IF($S$3=17,PR!$H$27,IF($S$3=18,PR!$H$28,IF($S$3=19,PR!$H$32,IF($S$3=20,PR!$H$33,IF($S$3=21,PR!$H$34,IF($S$3=22,PR!$H$35,IF($S$3=23,PR!$H$36,IF($S$3=24,PR!$H$37,IF($S$3=25,PR!$H$38,IF($S$3=26,PR!$H$39,IF($S$3=27,PR!$H$40,IF($S$3=28,PR!$H$41,IF($S$3=29,PR!$H$42,IF($S$3=30,PR!$H$43,IF($S$3=31,PR!$H$44,IF($S$3=32,PR!$H$45,IF($S$3=33,PR!$H$46,IF($S$3=34,PR!$H$50,IF($S$3=35,PR!$H$51,IF($S$3=36,PR!$H$52,IF($S$3=37,PR!$H$53,IF($S$3=38,PR!$H$54,IF($S$3=39,PR!$H$55,IF($S$3=40,PR!$H$56,IF($S$3=41,PR!$H$57,IF($S$3=42,PR!$H$58,IF($S$3=43,PR!$H$59,IF($S$3=44,PR!$H$60,IF($S$3=45,PR!$H$61,IF($S$3=46,PR!$H$62,IF($S$3=47,PR!$H$63,IF($S$3=48,PR!$H$64,IF($S$3=49,PR!$H$65,IF($S$3=50,PR!$H$66,IF($S$3=51,PR!$H$67,IF($S$3=52,PR!$H$68,IF($S$3=53,PR!$H$69,IF($S$3=54,PR!$H$70,IF($S$3=55,PR!$H$71,IF($S$3=56,PR!$H$72,IF($S$3=57,PR!$H$73,IF($S$3=58,PR!$H$74,IF($S$3=59,PR!$H$75,IF($S$3=60,PR!$H$76,"-"))))))))))))))))))))))))))))))))))))))))))))))))))))))))))))</f>
        <v>0</v>
      </c>
      <c r="G7" s="534">
        <f>IF($S$3=1,PR!$I$11,IF($S$3=2,PR!$I$12,IF($S$3=3,PR!$I$13,IF($S$3=4,PR!$I$14,IF($S$3=5,PR!$I$15,IF($S$3=6,PR!$I$16,IF($S$3=7,PR!$I$17,IF($S$3=8,PR!$I$18,IF($S$3=9,PR!$I$19,IF($S$3=10,PR!$I$20,IF($S$3=11,PR!$I$21,IF($S$3=12,PR!$I$22,IF($S$3=13,PR!$I$23,IF($S$3=14,PR!$I$24,IF($S$3=15,PR!$I$25,IF($S$3=16,PR!$I$26,IF($S$3=17,PR!$I$27,IF($S$3=18,PR!$I$28,IF($S$3=19,PR!$I$32,IF($S$3=20,PR!$I$33,IF($S$3=21,PR!$I$34,IF($S$3=22,PR!$I$35,IF($S$3=23,PR!$I$36,IF($S$3=24,PR!$I$37,IF($S$3=25,PR!$I$38,IF($S$3=26,PR!$I$39,IF($S$3=27,PR!$I$40,IF($S$3=28,PR!$I$41,IF($S$3=29,PR!$I$42,IF($S$3=30,PR!$I$43,IF($S$3=31,PR!$I$44,IF($S$3=32,PR!$I$45,IF($S$3=33,PR!$I$46,IF($S$3=34,PR!$I$50,IF($S$3=35,PR!$I$51,IF($S$3=36,PR!$I$52,IF($S$3=37,PR!$I$53,IF($S$3=38,PR!$I$54,IF($S$3=39,PR!$I$55,IF($S$3=40,PR!$I$56,IF($S$3=41,PR!$I$57,IF($S$3=42,PR!$I$58,IF($S$3=43,PR!$I$59,IF($S$3=44,PR!$I$60,IF($S$3=45,PR!$I$61,IF($S$3=46,PR!$I$62,IF($S$3=47,PR!$I$63,IF($S$3=48,PR!$I$64,IF($S$3=49,PR!$I$65,IF($S$3=50,PR!$I$66,IF($S$3=51,PR!$I$67,IF($S$3=52,PR!$I$68,IF($S$3=53,PR!$I$69,IF($S$3=54,PR!$I$70,IF($S$3=55,PR!$I$71,IF($S$3=56,PR!$I$72,IF($S$3=57,PR!$I$73,IF($S$3=58,PR!$I$74,IF($S$3=59,PR!$I$75,IF($S$3=60,PR!$I$76,"-"))))))))))))))))))))))))))))))))))))))))))))))))))))))))))))</f>
        <v>0</v>
      </c>
      <c r="H7" s="534">
        <f>IF($S$3=1,PR!$J$11,IF($S$3=2,PR!$J$12,IF($S$3=3,PR!$J$13,IF($S$3=4,PR!$J$14,IF($S$3=5,PR!$J$15,IF($S$3=6,PR!$J$16,IF($S$3=7,PR!$J$17,IF($S$3=8,PR!$J$18,IF($S$3=9,PR!$J$19,IF($S$3=10,PR!$J$20,IF($S$3=11,PR!$J$21,IF($S$3=12,PR!$J$22,IF($S$3=13,PR!$J$23,IF($S$3=14,PR!$J$24,IF($S$3=15,PR!$J$25,IF($S$3=16,PR!$J$26,IF($S$3=17,PR!$J$27,IF($S$3=18,PR!$J$28,IF($S$3=19,PR!$J$32,IF($S$3=20,PR!$J$33,IF($S$3=21,PR!$J$34,IF($S$3=22,PR!$J$35,IF($S$3=23,PR!$J$36,IF($S$3=24,PR!$J$37,IF($S$3=25,PR!$J$38,IF($S$3=26,PR!$J$39,IF($S$3=27,PR!$J$40,IF($S$3=28,PR!$J$41,IF($S$3=29,PR!$J$42,IF($S$3=30,PR!$J$43,IF($S$3=31,PR!$J$44,IF($S$3=32,PR!$J$45,IF($S$3=33,PR!$J$46,IF($S$3=34,PR!$J$50,IF($S$3=35,PR!$J$51,IF($S$3=36,PR!$J$52,IF($S$3=37,PR!$J$53,IF($S$3=38,PR!$J$54,IF($S$3=39,PR!$J$55,IF($S$3=40,PR!$J$56,IF($S$3=41,PR!$J$57,IF($S$3=42,PR!$J$58,IF($S$3=43,PR!$J$59,IF($S$3=44,PR!$J$60,IF($S$3=45,PR!$J$61,IF($S$3=46,PR!$J$62,IF($S$3=47,PR!$J$63,IF($S$3=48,PR!$J$64,IF($S$3=49,PR!$J$65,IF($S$3=50,PR!$J$66,IF($S$3=51,PR!$J$67,IF($S$3=52,PR!$J$68,IF($S$3=53,PR!$J$69,IF($S$3=54,PR!$J$70,IF($S$3=55,PR!$J$71,IF($S$3=56,PR!$J$72,IF($S$3=57,PR!$J$73,IF($S$3=58,PR!$J$74,IF($S$3=59,PR!$J$75,IF($S$3=60,PR!$J$76,"-"))))))))))))))))))))))))))))))))))))))))))))))))))))))))))))</f>
        <v>0</v>
      </c>
      <c r="I7" s="534">
        <f>IF($S$3=1,PR!$K$11,IF($S$3=2,PR!$K$12,IF($S$3=3,PR!$K$13,IF($S$3=4,PR!$K$14,IF($S$3=5,PR!$K$15,IF($S$3=6,PR!$K$16,IF($S$3=7,PR!$K$17,IF($S$3=8,PR!$K$18,IF($S$3=9,PR!$K$19,IF($S$3=10,PR!$K$20,IF($S$3=11,PR!$K$21,IF($S$3=12,PR!$K$22,IF($S$3=13,PR!$K$23,IF($S$3=14,PR!$K$24,IF($S$3=15,PR!$K$25,IF($S$3=16,PR!$K$26,IF($S$3=17,PR!$K$27,IF($S$3=18,PR!$K$28,IF($S$3=19,PR!$K$32,IF($S$3=20,PR!$K$33,IF($S$3=21,PR!$K$34,IF($S$3=22,PR!$K$35,IF($S$3=23,PR!$K$36,IF($S$3=24,PR!$K$37,IF($S$3=25,PR!$K$38,IF($S$3=26,PR!$K$39,IF($S$3=27,PR!$K$40,IF($S$3=28,PR!$K$41,IF($S$3=29,PR!$K$42,IF($S$3=30,PR!$K$43,IF($S$3=31,PR!$K$44,IF($S$3=32,PR!$K$45,IF($S$3=33,PR!$K$46,IF($S$3=34,PR!$K$50,IF($S$3=35,PR!$K$51,IF($S$3=36,PR!$K$52,IF($S$3=37,PR!$K$53,IF($S$3=38,PR!$K$54,IF($S$3=39,PR!$K$55,IF($S$3=40,PR!$K$56,IF($S$3=41,PR!$K$57,IF($S$3=42,PR!$K$58,IF($S$3=43,PR!$K$59,IF($S$3=44,PR!$K$60,IF($S$3=45,PR!$K$61,IF($S$3=46,PR!$K$62,IF($S$3=47,PR!$K$63,IF($S$3=48,PR!$K$64,IF($S$3=49,PR!$K$65,IF($S$3=50,PR!$K$66,IF($S$3=51,PR!$K$67,IF($S$3=52,PR!$K$68,IF($S$3=53,PR!$K$69,IF($S$3=54,PR!$K$70,IF($S$3=55,PR!$K$71,IF($S$3=56,PR!$K$72,IF($S$3=57,PR!$K$73,IF($S$3=58,PR!$K$74,IF($S$3=59,PR!$K$75,IF($S$3=60,PR!$K$76,"-"))))))))))))))))))))))))))))))))))))))))))))))))))))))))))))</f>
        <v>0</v>
      </c>
      <c r="J7" s="534">
        <f>IF($S$3=1,PR!$L$11,IF($S$3=2,PR!$L$12,IF($S$3=3,PR!$L$13,IF($S$3=4,PR!$L$14,IF($S$3=5,PR!$L$15,IF($S$3=6,PR!$L$16,IF($S$3=7,PR!$L$17,IF($S$3=8,PR!$L$18,IF($S$3=9,PR!$L$19,IF($S$3=10,PR!$L$20,IF($S$3=11,PR!$L$21,IF($S$3=12,PR!$L$22,IF($S$3=13,PR!$L$23,IF($S$3=14,PR!$L$24,IF($S$3=15,PR!$L$25,IF($S$3=16,PR!$L$26,IF($S$3=17,PR!$L$27,IF($S$3=18,PR!$L$28,IF($S$3=19,PR!$L$32,IF($S$3=20,PR!$L$33,IF($S$3=21,PR!$L$34,IF($S$3=22,PR!$L$35,IF($S$3=23,PR!$L$36,IF($S$3=24,PR!$L$37,IF($S$3=25,PR!$L$38,IF($S$3=26,PR!$L$39,IF($S$3=27,PR!$L$40,IF($S$3=28,PR!$L$41,IF($S$3=29,PR!$L$42,IF($S$3=30,PR!$L$43,IF($S$3=31,PR!$L$44,IF($S$3=32,PR!$L$45,IF($S$3=33,PR!$L$46,IF($S$3=34,PR!$L$50,IF($S$3=35,PR!$L$51,IF($S$3=36,PR!$L$52,IF($S$3=37,PR!$L$53,IF($S$3=38,PR!$L$54,IF($S$3=39,PR!$L$55,IF($S$3=40,PR!$L$56,IF($S$3=41,PR!$L$57,IF($S$3=42,PR!$L$58,IF($S$3=43,PR!$L$59,IF($S$3=44,PR!$L$60,IF($S$3=45,PR!$L$61,IF($S$3=46,PR!$L$62,IF($S$3=47,PR!$L$63,IF($S$3=48,PR!$L$64,IF($S$3=49,PR!$L$65,IF($S$3=50,PR!$L$66,IF($S$3=51,PR!$L$67,IF($S$3=52,PR!$L$68,IF($S$3=53,PR!$L$69,IF($S$3=54,PR!$L$70,IF($S$3=55,PR!$L$71,IF($S$3=56,PR!$L$72,IF($S$3=57,PR!$L$73,IF($S$3=58,PR!$L$74,IF($S$3=59,PR!$L$75,IF($S$3=60,PR!$L$76,"-"))))))))))))))))))))))))))))))))))))))))))))))))))))))))))))</f>
        <v>0</v>
      </c>
      <c r="K7" s="534">
        <f>IF($S$3=1,PR!$M$11,IF($S$3=2,PR!$M$12,IF($S$3=3,PR!$M$13,IF($S$3=4,PR!$M$14,IF($S$3=5,PR!$M$15,IF($S$3=6,PR!$M$16,IF($S$3=7,PR!$M$17,IF($S$3=8,PR!$M$18,IF($S$3=9,PR!$M$19,IF($S$3=10,PR!$M$20,IF($S$3=11,PR!$M$21,IF($S$3=12,PR!$M$22,IF($S$3=13,PR!$M$23,IF($S$3=14,PR!$M$24,IF($S$3=15,PR!$M$25,IF($S$3=16,PR!$M$26,IF($S$3=17,PR!$M$27,IF($S$3=18,PR!$M$28,IF($S$3=19,PR!$M$32,IF($S$3=20,PR!$M$33,IF($S$3=21,PR!$M$34,IF($S$3=22,PR!$M$35,IF($S$3=23,PR!$M$36,IF($S$3=24,PR!$M$37,IF($S$3=25,PR!$M$38,IF($S$3=26,PR!$M$39,IF($S$3=27,PR!$M$40,IF($S$3=28,PR!$M$41,IF($S$3=29,PR!$M$42,IF($S$3=30,PR!$M$43,IF($S$3=31,PR!$M$44,IF($S$3=32,PR!$M$45,IF($S$3=33,PR!$M$46,IF($S$3=34,PR!$M$50,IF($S$3=35,PR!$M$51,IF($S$3=36,PR!$M$52,IF($S$3=37,PR!$M$53,IF($S$3=38,PR!$M$54,IF($S$3=39,PR!$M$55,IF($S$3=40,PR!$M$56,IF($S$3=41,PR!$M$57,IF($S$3=42,PR!$M$58,IF($S$3=43,PR!$M$59,IF($S$3=44,PR!$M$60,IF($S$3=45,PR!$M$61,IF($S$3=46,PR!$M$62,IF($S$3=47,PR!$M$63,IF($S$3=48,PR!$M$64,IF($S$3=49,PR!$M$65,IF($S$3=50,PR!$M$66,IF($S$3=51,PR!$M$67,IF($S$3=52,PR!$M$68,IF($S$3=53,PR!$M$69,IF($S$3=54,PR!$M$70,IF($S$3=55,PR!$M$71,IF($S$3=56,PR!$M$72,IF($S$3=57,PR!$M$73,IF($S$3=58,PR!$M$74,IF($S$3=59,PR!$M$75,IF($S$3=60,PR!$M$76,"-"))))))))))))))))))))))))))))))))))))))))))))))))))))))))))))</f>
        <v>0</v>
      </c>
      <c r="L7" s="534">
        <f>IF($S$3=1,PR!$N$11,IF($S$3=2,PR!$N$12,IF($S$3=3,PR!$N$13,IF($S$3=4,PR!$N$14,IF($S$3=5,PR!$N$15,IF($S$3=6,PR!$N$16,IF($S$3=7,PR!$N$17,IF($S$3=8,PR!$N$18,IF($S$3=9,PR!$N$19,IF($S$3=10,PR!$N$20,IF($S$3=11,PR!$N$21,IF($S$3=12,PR!$N$22,IF($S$3=13,PR!$N$23,IF($S$3=14,PR!$N$24,IF($S$3=15,PR!$N$25,IF($S$3=16,PR!$N$26,IF($S$3=17,PR!$N$27,IF($S$3=18,PR!$N$28,IF($S$3=19,PR!$N$32,IF($S$3=20,PR!$N$33,IF($S$3=21,PR!$N$34,IF($S$3=22,PR!$N$35,IF($S$3=23,PR!$N$36,IF($S$3=24,PR!$N$37,IF($S$3=25,PR!$N$38,IF($S$3=26,PR!$N$39,IF($S$3=27,PR!$N$40,IF($S$3=28,PR!$N$41,IF($S$3=29,PR!$N$42,IF($S$3=30,PR!$N$43,IF($S$3=31,PR!$N$44,IF($S$3=32,PR!$N$45,IF($S$3=33,PR!$N$46,IF($S$3=34,PR!$N$50,IF($S$3=35,PR!$N$51,IF($S$3=36,PR!$N$52,IF($S$3=37,PR!$N$53,IF($S$3=38,PR!$N$54,IF($S$3=39,PR!$N$55,IF($S$3=40,PR!$N$56,IF($S$3=41,PR!$N$57,IF($S$3=42,PR!$N$58,IF($S$3=43,PR!$N$59,IF($S$3=44,PR!$N$60,IF($S$3=45,PR!$N$61,IF($S$3=46,PR!$N$62,IF($S$3=47,PR!$N$63,IF($S$3=48,PR!$N$64,IF($S$3=49,PR!$N$65,IF($S$3=50,PR!$N$66,IF($S$3=51,PR!$N$67,IF($S$3=52,PR!$N$68,IF($S$3=53,PR!$N$69,IF($S$3=54,PR!$N$70,IF($S$3=55,PR!$N$71,IF($S$3=56,PR!$N$72,IF($S$3=57,PR!$N$73,IF($S$3=58,PR!$N$74,IF($S$3=59,PR!$N$75,IF($S$3=60,PR!$N$76,"-"))))))))))))))))))))))))))))))))))))))))))))))))))))))))))))</f>
        <v>0</v>
      </c>
      <c r="M7" s="534">
        <f>IF($S$3=1,PR!$O$11,IF($S$3=2,PR!$O$12,IF($S$3=3,PR!$O$13,IF($S$3=4,PR!$O$14,IF($S$3=5,PR!$O$15,IF($S$3=6,PR!$O$16,IF($S$3=7,PR!$O$17,IF($S$3=8,PR!$O$18,IF($S$3=9,PR!$O$19,IF($S$3=10,PR!$O$20,IF($S$3=11,PR!$O$21,IF($S$3=12,PR!$O$22,IF($S$3=13,PR!$O$23,IF($S$3=14,PR!$O$24,IF($S$3=15,PR!$O$25,IF($S$3=16,PR!$O$26,IF($S$3=17,PR!$O$27,IF($S$3=18,PR!$O$28,IF($S$3=19,PR!$O$32,IF($S$3=20,PR!$O$33,IF($S$3=21,PR!$O$34,IF($S$3=22,PR!$O$35,IF($S$3=23,PR!$O$36,IF($S$3=24,PR!$O$37,IF($S$3=25,PR!$O$38,IF($S$3=26,PR!$O$39,IF($S$3=27,PR!$O$40,IF($S$3=28,PR!$O$41,IF($S$3=29,PR!$O$42,IF($S$3=30,PR!$O$43,IF($S$3=31,PR!$O$44,IF($S$3=32,PR!$O$45,IF($S$3=33,PR!$O$46,IF($S$3=34,PR!$O$50,IF($S$3=35,PR!$O$51,IF($S$3=36,PR!$O$52,IF($S$3=37,PR!$O$53,IF($S$3=38,PR!$O$54,IF($S$3=39,PR!$O$55,IF($S$3=40,PR!$O$56,IF($S$3=41,PR!$O$57,IF($S$3=42,PR!$O$58,IF($S$3=43,PR!$O$59,IF($S$3=44,PR!$O$60,IF($S$3=45,PR!$O$61,IF($S$3=46,PR!$O$62,IF($S$3=47,PR!$O$63,IF($S$3=48,PR!$O$64,IF($S$3=49,PR!$O$65,IF($S$3=50,PR!$O$66,IF($S$3=51,PR!$O$67,IF($S$3=52,PR!$O$68,IF($S$3=53,PR!$O$69,IF($S$3=54,PR!$O$70,IF($S$3=55,PR!$O$71,IF($S$3=56,PR!$O$72,IF($S$3=57,PR!$O$73,IF($S$3=58,PR!$O$74,IF($S$3=59,PR!$O$75,IF($S$3=60,PR!$O$76,"-"))))))))))))))))))))))))))))))))))))))))))))))))))))))))))))</f>
        <v>0</v>
      </c>
      <c r="N7" s="534">
        <f>IF($S$3=1,PR!$P$11,IF($S$3=2,PR!$P$12,IF($S$3=3,PR!$P$13,IF($S$3=4,PR!$P$14,IF($S$3=5,PR!$P$15,IF($S$3=6,PR!$P$16,IF($S$3=7,PR!$P$17,IF($S$3=8,PR!$P$18,IF($S$3=9,PR!$P$19,IF($S$3=10,PR!$P$20,IF($S$3=11,PR!$P$21,IF($S$3=12,PR!$P$22,IF($S$3=13,PR!$P$23,IF($S$3=14,PR!$P$24,IF($S$3=15,PR!$P$25,IF($S$3=16,PR!$P$26,IF($S$3=17,PR!$P$27,IF($S$3=18,PR!$P$28,IF($S$3=19,PR!$P$32,IF($S$3=20,PR!$P$33,IF($S$3=21,PR!$P$34,IF($S$3=22,PR!$P$35,IF($S$3=23,PR!$P$36,IF($S$3=24,PR!$P$37,IF($S$3=25,PR!$P$38,IF($S$3=26,PR!$P$39,IF($S$3=27,PR!$P$40,IF($S$3=28,PR!$P$41,IF($S$3=29,PR!$P$42,IF($S$3=30,PR!$P$43,IF($S$3=31,PR!$P$44,IF($S$3=32,PR!$P$45,IF($S$3=33,PR!$P$46,IF($S$3=34,PR!$P$50,IF($S$3=35,PR!$P$51,IF($S$3=36,PR!$P$52,IF($S$3=37,PR!$P$53,IF($S$3=38,PR!$P$54,IF($S$3=39,PR!$P$55,IF($S$3=40,PR!$P$56,IF($S$3=41,PR!$P$57,IF($S$3=42,PR!$P$58,IF($S$3=43,PR!$P$59,IF($S$3=44,PR!$P$60,IF($S$3=45,PR!$P$61,IF($S$3=46,PR!$P$62,IF($S$3=47,PR!$P$63,IF($S$3=48,PR!$P$64,IF($S$3=49,PR!$P$65,IF($S$3=50,PR!$P$66,IF($S$3=51,PR!$P$67,IF($S$3=52,PR!$P$68,IF($S$3=53,PR!$P$69,IF($S$3=54,PR!$P$70,IF($S$3=55,PR!$P$71,IF($S$3=56,PR!$P$72,IF($S$3=57,PR!$P$73,IF($S$3=58,PR!$P$74,IF($S$3=59,PR!$P$75,IF($S$3=60,PR!$P$76,"-"))))))))))))))))))))))))))))))))))))))))))))))))))))))))))))</f>
        <v>0</v>
      </c>
      <c r="O7" s="534">
        <f>IF($S$3=1,PR!$Q$11,IF($S$3=2,PR!$Q$12,IF($S$3=3,PR!$Q$13,IF($S$3=4,PR!$Q$14,IF($S$3=5,PR!$Q$15,IF($S$3=6,PR!$Q$16,IF($S$3=7,PR!$Q$17,IF($S$3=8,PR!$Q$18,IF($S$3=9,PR!$Q$19,IF($S$3=10,PR!$Q$20,IF($S$3=11,PR!$Q$21,IF($S$3=12,PR!$Q$22,IF($S$3=13,PR!$Q$23,IF($S$3=14,PR!$Q$24,IF($S$3=15,PR!$Q$25,IF($S$3=16,PR!$Q$26,IF($S$3=17,PR!$Q$27,IF($S$3=18,PR!$Q$28,IF($S$3=19,PR!$Q$32,IF($S$3=20,PR!$Q$33,IF($S$3=21,PR!$Q$34,IF($S$3=22,PR!$Q$35,IF($S$3=23,PR!$Q$36,IF($S$3=24,PR!$Q$37,IF($S$3=25,PR!$Q$38,IF($S$3=26,PR!$Q$39,IF($S$3=27,PR!$Q$40,IF($S$3=28,PR!$Q$41,IF($S$3=29,PR!$Q$42,IF($S$3=30,PR!$Q$43,IF($S$3=31,PR!$Q$44,IF($S$3=32,PR!$Q$45,IF($S$3=33,PR!$Q$46,IF($S$3=34,PR!$Q$50,IF($S$3=35,PR!$Q$51,IF($S$3=36,PR!$Q$52,IF($S$3=37,PR!$Q$53,IF($S$3=38,PR!$Q$54,IF($S$3=39,PR!$Q$55,IF($S$3=40,PR!$Q$56,IF($S$3=41,PR!$Q$57,IF($S$3=42,PR!$Q$58,IF($S$3=43,PR!$Q$59,IF($S$3=44,PR!$Q$60,IF($S$3=45,PR!$Q$61,IF($S$3=46,PR!$Q$62,IF($S$3=47,PR!$Q$63,IF($S$3=48,PR!$Q$64,IF($S$3=49,PR!$Q$65,IF($S$3=50,PR!$Q$66,IF($S$3=51,PR!$Q$67,IF($S$3=52,PR!$Q$68,IF($S$3=53,PR!$Q$69,IF($S$3=54,PR!$Q$70,IF($S$3=55,PR!$Q$71,IF($S$3=56,PR!$Q$72,IF($S$3=57,PR!$Q$73,IF($S$3=58,PR!$Q$74,IF($S$3=59,PR!$Q$75,IF($S$3=60,PR!$Q$76,"-"))))))))))))))))))))))))))))))))))))))))))))))))))))))))))))</f>
        <v>0</v>
      </c>
      <c r="P7" s="534">
        <f>IF($S$3=1,PR!$R$11,IF($S$3=2,PR!$R$12,IF($S$3=3,PR!$R$13,IF($S$3=4,PR!$R$14,IF($S$3=5,PR!$R$15,IF($S$3=6,PR!$R$16,IF($S$3=7,PR!$R$17,IF($S$3=8,PR!$R$18,IF($S$3=9,PR!$R$19,IF($S$3=10,PR!$R$20,IF($S$3=11,PR!$R$21,IF($S$3=12,PR!$R$22,IF($S$3=13,PR!$R$23,IF($S$3=14,PR!$R$24,IF($S$3=15,PR!$R$25,IF($S$3=16,PR!$R$26,IF($S$3=17,PR!$R$27,IF($S$3=18,PR!$R$28,IF($S$3=19,PR!$R$32,IF($S$3=20,PR!$R$33,IF($S$3=21,PR!$R$34,IF($S$3=22,PR!$R$35,IF($S$3=23,PR!$R$36,IF($S$3=24,PR!$R$37,IF($S$3=25,PR!$R$38,IF($S$3=26,PR!$R$39,IF($S$3=27,PR!$R$40,IF($S$3=28,PR!$R$41,IF($S$3=29,PR!$R$42,IF($S$3=30,PR!$R$43,IF($S$3=31,PR!$R$44,IF($S$3=32,PR!$R$45,IF($S$3=33,PR!$R$46,IF($S$3=34,PR!$R$50,IF($S$3=35,PR!$R$51,IF($S$3=36,PR!$R$52,IF($S$3=37,PR!$R$53,IF($S$3=38,PR!$R$54,IF($S$3=39,PR!$R$55,IF($S$3=40,PR!$R$56,IF($S$3=41,PR!$R$57,IF($S$3=42,PR!$R$58,IF($S$3=43,PR!$R$59,IF($S$3=44,PR!$R$60,IF($S$3=45,PR!$R$61,IF($S$3=46,PR!$R$62,IF($S$3=47,PR!$R$63,IF($S$3=48,PR!$R$64,IF($S$3=49,PR!$R$65,IF($S$3=50,PR!$R$66,IF($S$3=51,PR!$R$67,IF($S$3=52,PR!$R$68,IF($S$3=53,PR!$R$69,IF($S$3=54,PR!$R$70,IF($S$3=55,PR!$R$71,IF($S$3=56,PR!$R$72,IF($S$3=57,PR!$R$73,IF($S$3=58,PR!$R$74,IF($S$3=59,PR!$R$75,IF($S$3=60,PR!$R$76,"-"))))))))))))))))))))))))))))))))))))))))))))))))))))))))))))</f>
        <v>0</v>
      </c>
      <c r="Q7" s="534">
        <f>IF($S$3=1,PR!$S$11,IF($S$3=2,PR!$S$12,IF($S$3=3,PR!$S$13,IF($S$3=4,PR!$S$14,IF($S$3=5,PR!$S$15,IF($S$3=6,PR!$S$16,IF($S$3=7,PR!$S$17,IF($S$3=8,PR!$S$18,IF($S$3=9,PR!$S$19,IF($S$3=10,PR!$S$20,IF($S$3=11,PR!$S$21,IF($S$3=12,PR!$S$22,IF($S$3=13,PR!$S$23,IF($S$3=14,PR!$S$24,IF($S$3=15,PR!$S$25,IF($S$3=16,PR!$S$26,IF($S$3=17,PR!$S$27,IF($S$3=18,PR!$S$28,IF($S$3=19,PR!$S$32,IF($S$3=20,PR!$S$33,IF($S$3=21,PR!$S$34,IF($S$3=22,PR!$S$35,IF($S$3=23,PR!$S$36,IF($S$3=24,PR!$S$37,IF($S$3=25,PR!$S$38,IF($S$3=26,PR!$S$39,IF($S$3=27,PR!$S$40,IF($S$3=28,PR!$S$41,IF($S$3=29,PR!$S$42,IF($S$3=30,PR!$S$43,IF($S$3=31,PR!$S$44,IF($S$3=32,PR!$S$45,IF($S$3=33,PR!$S$46,IF($S$3=34,PR!$S$50,IF($S$3=35,PR!$S$51,IF($S$3=36,PR!$S$52,IF($S$3=37,PR!$S$53,IF($S$3=38,PR!$S$54,IF($S$3=39,PR!$S$55,IF($S$3=40,PR!$S$56,IF($S$3=41,PR!$S$57,IF($S$3=42,PR!$S$58,IF($S$3=43,PR!$S$59,IF($S$3=44,PR!$S$60,IF($S$3=45,PR!$S$61,IF($S$3=46,PR!$S$62,IF($S$3=47,PR!$S$63,IF($S$3=48,PR!$S$64,IF($S$3=49,PR!$S$65,IF($S$3=50,PR!$S$66,IF($S$3=51,PR!$S$67,IF($S$3=52,PR!$S$68,IF($S$3=53,PR!$S$69,IF($S$3=54,PR!$S$70,IF($S$3=55,PR!$S$71,IF($S$3=56,PR!$S$72,IF($S$3=57,PR!$S$73,IF($S$3=58,PR!$S$74,IF($S$3=59,PR!$S$75,IF($S$3=60,PR!$S$76,"-"))))))))))))))))))))))))))))))))))))))))))))))))))))))))))))</f>
        <v>0</v>
      </c>
      <c r="R7" s="534">
        <f>IF($S$3=1,PR!$T$11,IF($S$3=2,PR!$T$12,IF($S$3=3,PR!$T$13,IF($S$3=4,PR!$T$14,IF($S$3=5,PR!$T$15,IF($S$3=6,PR!$T$16,IF($S$3=7,PR!$T$17,IF($S$3=8,PR!$T$18,IF($S$3=9,PR!$T$19,IF($S$3=10,PR!$T$20,IF($S$3=11,PR!$T$21,IF($S$3=12,PR!$T$22,IF($S$3=13,PR!$T$23,IF($S$3=14,PR!$T$24,IF($S$3=15,PR!$T$25,IF($S$3=16,PR!$T$26,IF($S$3=17,PR!$T$27,IF($S$3=18,PR!$T$28,IF($S$3=19,PR!$T$32,IF($S$3=20,PR!$T$33,IF($S$3=21,PR!$T$34,IF($S$3=22,PR!$T$35,IF($S$3=23,PR!$T$36,IF($S$3=24,PR!$T$37,IF($S$3=25,PR!$T$38,IF($S$3=26,PR!$T$39,IF($S$3=27,PR!$T$40,IF($S$3=28,PR!$T$41,IF($S$3=29,PR!$T$42,IF($S$3=30,PR!$T$43,IF($S$3=31,PR!$T$44,IF($S$3=32,PR!$T$45,IF($S$3=33,PR!$T$46,IF($S$3=34,PR!$T$50,IF($S$3=35,PR!$T$51,IF($S$3=36,PR!$T$52,IF($S$3=37,PR!$T$53,IF($S$3=38,PR!$T$54,IF($S$3=39,PR!$T$55,IF($S$3=40,PR!$T$56,IF($S$3=41,PR!$T$57,IF($S$3=42,PR!$T$58,IF($S$3=43,PR!$T$59,IF($S$3=44,PR!$T$60,IF($S$3=45,PR!$T$61,IF($S$3=46,PR!$T$62,IF($S$3=47,PR!$T$63,IF($S$3=48,PR!$T$64,IF($S$3=49,PR!$T$65,IF($S$3=50,PR!$T$66,IF($S$3=51,PR!$T$67,IF($S$3=52,PR!$T$68,IF($S$3=53,PR!$T$69,IF($S$3=54,PR!$T$70,IF($S$3=55,PR!$T$71,IF($S$3=56,PR!$T$72,IF($S$3=57,PR!$T$73,IF($S$3=58,PR!$T$74,IF($S$3=59,PR!$T$75,IF($S$3=60,PR!$T$76,"-"))))))))))))))))))))))))))))))))))))))))))))))))))))))))))))</f>
        <v>0</v>
      </c>
      <c r="S7" s="534">
        <f>IF($S$3=1,PR!$U$11,IF($S$3=2,PR!$U$12,IF($S$3=3,PR!$U$13,IF($S$3=4,PR!$U$14,IF($S$3=5,PR!$U$15,IF($S$3=6,PR!$U$16,IF($S$3=7,PR!$U$17,IF($S$3=8,PR!$U$18,IF($S$3=9,PR!$U$19,IF($S$3=10,PR!$U$20,IF($S$3=11,PR!$U$21,IF($S$3=12,PR!$U$22,IF($S$3=13,PR!$U$23,IF($S$3=14,PR!$U$24,IF($S$3=15,PR!$U$25,IF($S$3=16,PR!$U$26,IF($S$3=17,PR!$U$27,IF($S$3=18,PR!$U$28,IF($S$3=19,PR!$U$32,IF($S$3=20,PR!$U$33,IF($S$3=21,PR!$U$34,IF($S$3=22,PR!$U$35,IF($S$3=23,PR!$U$36,IF($S$3=24,PR!$U$37,IF($S$3=25,PR!$U$38,IF($S$3=26,PR!$U$39,IF($S$3=27,PR!$U$40,IF($S$3=28,PR!$U$41,IF($S$3=29,PR!$U$42,IF($S$3=30,PR!$U$43,IF($S$3=31,PR!$U$44,IF($S$3=32,PR!$U$45,IF($S$3=33,PR!$U$46,IF($S$3=34,PR!$U$50,IF($S$3=35,PR!$U$51,IF($S$3=36,PR!$U$52,IF($S$3=37,PR!$U$53,IF($S$3=38,PR!$U$54,IF($S$3=39,PR!$U$55,IF($S$3=40,PR!$U$56,IF($S$3=41,PR!$U$57,IF($S$3=42,PR!$U$58,IF($S$3=43,PR!$U$59,IF($S$3=44,PR!$U$60,IF($S$3=45,PR!$U$61,IF($S$3=46,PR!$U$62,IF($S$3=47,PR!$U$63,IF($S$3=48,PR!$U$64,IF($S$3=49,PR!$U$65,IF($S$3=50,PR!$U$66,IF($S$3=51,PR!$U$67,IF($S$3=52,PR!$U$68,IF($S$3=53,PR!$U$69,IF($S$3=54,PR!$U$70,IF($S$3=55,PR!$U$71,IF($S$3=56,PR!$U$72,IF($S$3=57,PR!$U$73,IF($S$3=58,PR!$U$74,IF($S$3=59,PR!$U$75,IF($S$3=60,PR!$U$76,"-"))))))))))))))))))))))))))))))))))))))))))))))))))))))))))))</f>
        <v>0</v>
      </c>
      <c r="T7" s="518"/>
      <c r="U7" s="518"/>
      <c r="V7" s="32"/>
      <c r="W7" s="32"/>
      <c r="X7" s="32"/>
      <c r="Y7" s="32"/>
    </row>
    <row r="8" spans="1:26" x14ac:dyDescent="0.25">
      <c r="A8" s="91"/>
      <c r="B8" s="518"/>
      <c r="C8" s="529"/>
      <c r="D8" s="518"/>
      <c r="E8" s="518"/>
      <c r="F8" s="518"/>
      <c r="G8" s="518"/>
      <c r="H8" s="518"/>
      <c r="I8" s="518"/>
      <c r="J8" s="518"/>
      <c r="K8" s="518"/>
      <c r="L8" s="518"/>
      <c r="M8" s="518"/>
      <c r="N8" s="518"/>
      <c r="O8" s="518"/>
      <c r="P8" s="518"/>
      <c r="Q8" s="518"/>
      <c r="R8" s="521"/>
      <c r="S8" s="521"/>
      <c r="T8" s="518"/>
      <c r="U8" s="518"/>
      <c r="V8" s="32"/>
      <c r="W8" s="32"/>
      <c r="X8" s="32"/>
      <c r="Y8" s="32"/>
      <c r="Z8" s="32"/>
    </row>
    <row r="9" spans="1:26" ht="15.75" thickBot="1" x14ac:dyDescent="0.3">
      <c r="A9" s="91"/>
      <c r="B9" s="518"/>
      <c r="C9" s="531" t="str">
        <f>N!$C$21</f>
        <v>GENEITH</v>
      </c>
      <c r="D9" s="531" t="str">
        <f>N!$C$22</f>
        <v>GINOS</v>
      </c>
      <c r="E9" s="531" t="str">
        <f>N!$C$23</f>
        <v>GSK</v>
      </c>
      <c r="F9" s="531" t="str">
        <f>N!$C$24</f>
        <v>GLOBORG</v>
      </c>
      <c r="G9" s="531" t="str">
        <f>N!$C$25</f>
        <v>GOODNEWS</v>
      </c>
      <c r="H9" s="531" t="str">
        <f>N!$C$26</f>
        <v>GREENLIFE</v>
      </c>
      <c r="I9" s="531" t="str">
        <f>N!$C$27</f>
        <v>HLINE</v>
      </c>
      <c r="J9" s="531" t="str">
        <f>N!$C$28</f>
        <v>ROTECH</v>
      </c>
      <c r="K9" s="531" t="str">
        <f>N!$C$29</f>
        <v>ISN</v>
      </c>
      <c r="L9" s="531" t="str">
        <f>N!$C$30</f>
        <v>JAWA</v>
      </c>
      <c r="M9" s="531" t="str">
        <f>N!$C$31</f>
        <v>LAYO</v>
      </c>
      <c r="N9" s="531" t="str">
        <f>N!$C$32</f>
        <v>LEADWAY</v>
      </c>
      <c r="O9" s="531" t="str">
        <f>N!$C$33</f>
        <v>LHV</v>
      </c>
      <c r="P9" s="531" t="str">
        <f>N!$C$34</f>
        <v>MANOLA</v>
      </c>
      <c r="Q9" s="531" t="str">
        <f>N!$C$35</f>
        <v>MARCSON</v>
      </c>
      <c r="R9" s="531" t="str">
        <f>N!$C$36</f>
        <v>M&amp;B</v>
      </c>
      <c r="S9" s="531" t="str">
        <f>N!$C$37</f>
        <v>MTRUST</v>
      </c>
      <c r="T9" s="518"/>
      <c r="U9" s="518"/>
      <c r="V9" s="32"/>
      <c r="W9" s="32"/>
      <c r="X9" s="32"/>
      <c r="Y9" s="32"/>
      <c r="Z9" s="32"/>
    </row>
    <row r="10" spans="1:26" ht="15.75" thickBot="1" x14ac:dyDescent="0.3">
      <c r="A10" s="91"/>
      <c r="B10" s="518"/>
      <c r="C10" s="534">
        <f>IF($S$3=1,PR!$V$11,IF($S$3=2,PR!$V$12,IF($S$3=3,PR!$V$13,IF($S$3=4,PR!$V$14,IF($S$3=5,PR!$V$15,IF($S$3=6,PR!$V$16,IF($S$3=7,PR!$V$17,IF($S$3=8,PR!$V$18,IF($S$3=9,PR!$V$19,IF($S$3=10,PR!$V$20,IF($S$3=11,PR!$V$21,IF($S$3=12,PR!$V$22,IF($S$3=13,PR!$V$23,IF($S$3=14,PR!$V$24,IF($S$3=15,PR!$V$25,IF($S$3=16,PR!$V$26,IF($S$3=17,PR!$V$27,IF($S$3=18,PR!$V$28,IF($S$3=19,PR!$V$32,IF($S$3=20,PR!$V$33,IF($S$3=21,PR!$V$34,IF($S$3=22,PR!$V$35,IF($S$3=23,PR!$V$36,IF($S$3=24,PR!$V$37,IF($S$3=25,PR!$V$38,IF($S$3=26,PR!$V$39,IF($S$3=27,PR!$V$40,IF($S$3=28,PR!$V$41,IF($S$3=29,PR!$V$42,IF($S$3=30,PR!$V$43,IF($S$3=31,PR!$V$44,IF($S$3=32,PR!$V$45,IF($S$3=33,PR!$V$46,IF($S$3=34,PR!$V$50,IF($S$3=35,PR!$V$51,IF($S$3=36,PR!$V$52,IF($S$3=37,PR!$V$53,IF($S$3=38,PR!$V$54,IF($S$3=39,PR!$V$55,IF($S$3=40,PR!$V$56,IF($S$3=41,PR!$V$57,IF($S$3=42,PR!$V$58,IF($S$3=43,PR!$V$59,IF($S$3=44,PR!$V$60,IF($S$3=45,PR!$V$61,IF($S$3=46,PR!$V$62,IF($S$3=47,PR!$V$63,IF($S$3=48,PR!$V$64,IF($S$3=49,PR!$V$65,IF($S$3=50,PR!$V$66,IF($S$3=51,PR!$V$67,IF($S$3=52,PR!$V$68,IF($S$3=53,PR!$V$69,IF($S$3=54,PR!$V$70,IF($S$3=55,PR!$V$71,IF($S$3=56,PR!$V$72,IF($S$3=57,PR!$V$73,IF($S$3=58,PR!$V$74,IF($S$3=59,PR!$V$75,IF($S$3=60,PR!$V$76,"-"))))))))))))))))))))))))))))))))))))))))))))))))))))))))))))</f>
        <v>0</v>
      </c>
      <c r="D10" s="534">
        <f>IF($S$3=1,PR!$W$11,IF($S$3=2,PR!$W$12,IF($S$3=3,PR!$W$13,IF($S$3=4,PR!$W$14,IF($S$3=5,PR!$W$15,IF($S$3=6,PR!$W$16,IF($S$3=7,PR!$W$17,IF($S$3=8,PR!$W$18,IF($S$3=9,PR!$W$19,IF($S$3=10,PR!$W$20,IF($S$3=11,PR!$W$21,IF($S$3=12,PR!$W$22,IF($S$3=13,PR!$W$23,IF($S$3=14,PR!$W$24,IF($S$3=15,PR!$W$25,IF($S$3=16,PR!$W$26,IF($S$3=17,PR!$W$27,IF($S$3=18,PR!$W$28,IF($S$3=19,PR!$W$32,IF($S$3=20,PR!$W$33,IF($S$3=21,PR!$W$34,IF($S$3=22,PR!$W$35,IF($S$3=23,PR!$W$36,IF($S$3=24,PR!$W$37,IF($S$3=25,PR!$W$38,IF($S$3=26,PR!$W$39,IF($S$3=27,PR!$W$40,IF($S$3=28,PR!$W$41,IF($S$3=29,PR!$W$42,IF($S$3=30,PR!$W$43,IF($S$3=31,PR!$W$44,IF($S$3=32,PR!$W$45,IF($S$3=33,PR!$W$46,IF($S$3=34,PR!$W$50,IF($S$3=35,PR!$W$51,IF($S$3=36,PR!$W$52,IF($S$3=37,PR!$W$53,IF($S$3=38,PR!$W$54,IF($S$3=39,PR!$W$55,IF($S$3=40,PR!$W$56,IF($S$3=41,PR!$W$57,IF($S$3=42,PR!$W$58,IF($S$3=43,PR!$W$59,IF($S$3=44,PR!$W$60,IF($S$3=45,PR!$W$61,IF($S$3=46,PR!$W$62,IF($S$3=47,PR!$W$63,IF($S$3=48,PR!$W$64,IF($S$3=49,PR!$W$65,IF($S$3=50,PR!$W$66,IF($S$3=51,PR!$W$67,IF($S$3=52,PR!$W$68,IF($S$3=53,PR!$W$69,IF($S$3=54,PR!$W$70,IF($S$3=55,PR!$W$71,IF($S$3=56,PR!$W$72,IF($S$3=57,PR!$W$73,IF($S$3=58,PR!$W$74,IF($S$3=59,PR!$W$75,IF($S$3=60,PR!$W$76,"-"))))))))))))))))))))))))))))))))))))))))))))))))))))))))))))</f>
        <v>0</v>
      </c>
      <c r="E10" s="534">
        <f>IF($S$3=1,PR!$X$11,IF($S$3=2,PR!$X$12,IF($S$3=3,PR!$X$13,IF($S$3=4,PR!$X$14,IF($S$3=5,PR!$X$15,IF($S$3=6,PR!$X$16,IF($S$3=7,PR!$X$17,IF($S$3=8,PR!$X$18,IF($S$3=9,PR!$X$19,IF($S$3=10,PR!$X$20,IF($S$3=11,PR!$X$21,IF($S$3=12,PR!$X$22,IF($S$3=13,PR!$X$23,IF($S$3=14,PR!$X$24,IF($S$3=15,PR!$X$25,IF($S$3=16,PR!$X$26,IF($S$3=17,PR!$X$27,IF($S$3=18,PR!$X$28,IF($S$3=19,PR!$X$32,IF($S$3=20,PR!$X$33,IF($S$3=21,PR!$X$34,IF($S$3=22,PR!$X$35,IF($S$3=23,PR!$X$36,IF($S$3=24,PR!$X$37,IF($S$3=25,PR!$X$38,IF($S$3=26,PR!$X$39,IF($S$3=27,PR!$X$40,IF($S$3=28,PR!$X$41,IF($S$3=29,PR!$X$42,IF($S$3=30,PR!$X$43,IF($S$3=31,PR!$X$44,IF($S$3=32,PR!$X$45,IF($S$3=33,PR!$X$46,IF($S$3=34,PR!$X$50,IF($S$3=35,PR!$X$51,IF($S$3=36,PR!$X$52,IF($S$3=37,PR!$X$53,IF($S$3=38,PR!$X$54,IF($S$3=39,PR!$X$55,IF($S$3=40,PR!$X$56,IF($S$3=41,PR!$X$57,IF($S$3=42,PR!$X$58,IF($S$3=43,PR!$X$59,IF($S$3=44,PR!$X$60,IF($S$3=45,PR!$X$61,IF($S$3=46,PR!$X$62,IF($S$3=47,PR!$X$63,IF($S$3=48,PR!$X$64,IF($S$3=49,PR!$X$65,IF($S$3=50,PR!$X$66,IF($S$3=51,PR!$X$67,IF($S$3=52,PR!$X$68,IF($S$3=53,PR!$X$69,IF($S$3=54,PR!$X$70,IF($S$3=55,PR!$X$71,IF($S$3=56,PR!$X$72,IF($S$3=57,PR!$X$73,IF($S$3=58,PR!$X$74,IF($S$3=59,PR!$X$75,IF($S$3=60,PR!$X$76,"-"))))))))))))))))))))))))))))))))))))))))))))))))))))))))))))</f>
        <v>0</v>
      </c>
      <c r="F10" s="534">
        <f>IF($S$3=1,PR!$Y$11,IF($S$3=2,PR!$Y$12,IF($S$3=3,PR!$Y$13,IF($S$3=4,PR!$Y$14,IF($S$3=5,PR!$Y$15,IF($S$3=6,PR!$Y$16,IF($S$3=7,PR!$Y$17,IF($S$3=8,PR!$Y$18,IF($S$3=9,PR!$Y$19,IF($S$3=10,PR!$Y$20,IF($S$3=11,PR!$Y$21,IF($S$3=12,PR!$Y$22,IF($S$3=13,PR!$Y$23,IF($S$3=14,PR!$Y$24,IF($S$3=15,PR!$Y$25,IF($S$3=16,PR!$Y$26,IF($S$3=17,PR!$Y$27,IF($S$3=18,PR!$Y$28,IF($S$3=19,PR!$Y$32,IF($S$3=20,PR!$Y$33,IF($S$3=21,PR!$Y$34,IF($S$3=22,PR!$Y$35,IF($S$3=23,PR!$Y$36,IF($S$3=24,PR!$Y$37,IF($S$3=25,PR!$Y$38,IF($S$3=26,PR!$Y$39,IF($S$3=27,PR!$Y$40,IF($S$3=28,PR!$Y$41,IF($S$3=29,PR!$Y$42,IF($S$3=30,PR!$Y$43,IF($S$3=31,PR!$Y$44,IF($S$3=32,PR!$Y$45,IF($S$3=33,PR!$Y$46,IF($S$3=34,PR!$Y$50,IF($S$3=35,PR!$Y$51,IF($S$3=36,PR!$Y$52,IF($S$3=37,PR!$Y$53,IF($S$3=38,PR!$Y$54,IF($S$3=39,PR!$Y$55,IF($S$3=40,PR!$Y$56,IF($S$3=41,PR!$Y$57,IF($S$3=42,PR!$Y$58,IF($S$3=43,PR!$Y$59,IF($S$3=44,PR!$Y$60,IF($S$3=45,PR!$Y$61,IF($S$3=46,PR!$Y$62,IF($S$3=47,PR!$Y$63,IF($S$3=48,PR!$Y$64,IF($S$3=49,PR!$Y$65,IF($S$3=50,PR!$Y$66,IF($S$3=51,PR!$Y$67,IF($S$3=52,PR!$Y$68,IF($S$3=53,PR!$Y$69,IF($S$3=54,PR!$Y$70,IF($S$3=55,PR!$Y$71,IF($S$3=56,PR!$Y$72,IF($S$3=57,PR!$Y$73,IF($S$3=58,PR!$Y$74,IF($S$3=59,PR!$Y$75,IF($S$3=60,PR!$Y$76,"-"))))))))))))))))))))))))))))))))))))))))))))))))))))))))))))</f>
        <v>0</v>
      </c>
      <c r="G10" s="534">
        <f>IF($S$3=1,PR!$Z$11,IF($S$3=2,PR!$Z$12,IF($S$3=3,PR!$Z$13,IF($S$3=4,PR!$Z$14,IF($S$3=5,PR!$Z$15,IF($S$3=6,PR!$Z$16,IF($S$3=7,PR!$Z$17,IF($S$3=8,PR!$Z$18,IF($S$3=9,PR!$Z$19,IF($S$3=10,PR!$Z$20,IF($S$3=11,PR!$Z$21,IF($S$3=12,PR!$Z$22,IF($S$3=13,PR!$Z$23,IF($S$3=14,PR!$Z$24,IF($S$3=15,PR!$Z$25,IF($S$3=16,PR!$Z$26,IF($S$3=17,PR!$Z$27,IF($S$3=18,PR!$Z$28,IF($S$3=19,PR!$Z$32,IF($S$3=20,PR!$Z$33,IF($S$3=21,PR!$Z$34,IF($S$3=22,PR!$Z$35,IF($S$3=23,PR!$Z$36,IF($S$3=24,PR!$Z$37,IF($S$3=25,PR!$Z$38,IF($S$3=26,PR!$Z$39,IF($S$3=27,PR!$Z$40,IF($S$3=28,PR!$Z$41,IF($S$3=29,PR!$Z$42,IF($S$3=30,PR!$Z$43,IF($S$3=31,PR!$Z$44,IF($S$3=32,PR!$Z$45,IF($S$3=33,PR!$Z$46,IF($S$3=34,PR!$Z$50,IF($S$3=35,PR!$Z$51,IF($S$3=36,PR!$Z$52,IF($S$3=37,PR!$Z$53,IF($S$3=38,PR!$Z$54,IF($S$3=39,PR!$Z$55,IF($S$3=40,PR!$Z$56,IF($S$3=41,PR!$Z$57,IF($S$3=42,PR!$Z$58,IF($S$3=43,PR!$Z$59,IF($S$3=44,PR!$Z$60,IF($S$3=45,PR!$Z$61,IF($S$3=46,PR!$Z$62,IF($S$3=47,PR!$Z$63,IF($S$3=48,PR!$Z$64,IF($S$3=49,PR!$Z$65,IF($S$3=50,PR!$Z$66,IF($S$3=51,PR!$Z$67,IF($S$3=52,PR!$Z$68,IF($S$3=53,PR!$Z$69,IF($S$3=54,PR!$Z$70,IF($S$3=55,PR!$Z$71,IF($S$3=56,PR!$Z$72,IF($S$3=57,PR!$Z$73,IF($S$3=58,PR!$Z$74,IF($S$3=59,PR!$Z$75,IF($S$3=60,PR!$Z$76,"-"))))))))))))))))))))))))))))))))))))))))))))))))))))))))))))</f>
        <v>0</v>
      </c>
      <c r="H10" s="534">
        <f>IF($S$3=1,PR!$AA$11,IF($S$3=2,PR!$AA$12,IF($S$3=3,PR!$AA$13,IF($S$3=4,PR!$AA$14,IF($S$3=5,PR!$AA$15,IF($S$3=6,PR!$AA$16,IF($S$3=7,PR!$AA$17,IF($S$3=8,PR!$AA$18,IF($S$3=9,PR!$AA$19,IF($S$3=10,PR!$AA$20,IF($S$3=11,PR!$AA$21,IF($S$3=12,PR!$AA$22,IF($S$3=13,PR!$AA$23,IF($S$3=14,PR!$AA$24,IF($S$3=15,PR!$AA$25,IF($S$3=16,PR!$AA$26,IF($S$3=17,PR!$AA$27,IF($S$3=18,PR!$AA$28,IF($S$3=19,PR!$AA$32,IF($S$3=20,PR!$AA$33,IF($S$3=21,PR!$AA$34,IF($S$3=22,PR!$AA$35,IF($S$3=23,PR!$AA$36,IF($S$3=24,PR!$AA$37,IF($S$3=25,PR!$AA$38,IF($S$3=26,PR!$AA$39,IF($S$3=27,PR!$AA$40,IF($S$3=28,PR!$AA$41,IF($S$3=29,PR!$AA$42,IF($S$3=30,PR!$AA$43,IF($S$3=31,PR!$AA$44,IF($S$3=32,PR!$AA$45,IF($S$3=33,PR!$AA$46,IF($S$3=34,PR!$AA$50,IF($S$3=35,PR!$AA$51,IF($S$3=36,PR!$AA$52,IF($S$3=37,PR!$AA$53,IF($S$3=38,PR!$AA$54,IF($S$3=39,PR!$AA$55,IF($S$3=40,PR!$AA$56,IF($S$3=41,PR!$AA$57,IF($S$3=42,PR!$AA$58,IF($S$3=43,PR!$AA$59,IF($S$3=44,PR!$AA$60,IF($S$3=45,PR!$AA$61,IF($S$3=46,PR!$AA$62,IF($S$3=47,PR!$AA$63,IF($S$3=48,PR!$AA$64,IF($S$3=49,PR!$AA$65,IF($S$3=50,PR!$AA$66,IF($S$3=51,PR!$AA$67,IF($S$3=52,PR!$AA$68,IF($S$3=53,PR!$AA$69,IF($S$3=54,PR!$AA$70,IF($S$3=55,PR!$AA$71,IF($S$3=56,PR!$AA$72,IF($S$3=57,PR!$AA$73,IF($S$3=58,PR!$AA$74,IF($S$3=59,PR!$AA$75,IF($S$3=60,PR!$AA$76,"-"))))))))))))))))))))))))))))))))))))))))))))))))))))))))))))</f>
        <v>0</v>
      </c>
      <c r="I10" s="534">
        <f>IF($S$3=1,PR!$AB$11,IF($S$3=2,PR!$AB$12,IF($S$3=3,PR!$AB$13,IF($S$3=4,PR!$AB$14,IF($S$3=5,PR!$AB$15,IF($S$3=6,PR!$AB$16,IF($S$3=7,PR!$AB$17,IF($S$3=8,PR!$AB$18,IF($S$3=9,PR!$AB$19,IF($S$3=10,PR!$AB$20,IF($S$3=11,PR!$AB$21,IF($S$3=12,PR!$AB$22,IF($S$3=13,PR!$AB$23,IF($S$3=14,PR!$AB$24,IF($S$3=15,PR!$AB$25,IF($S$3=16,PR!$AB$26,IF($S$3=17,PR!$AB$27,IF($S$3=18,PR!$AB$28,IF($S$3=19,PR!$AB$32,IF($S$3=20,PR!$AB$33,IF($S$3=21,PR!$AB$34,IF($S$3=22,PR!$AB$35,IF($S$3=23,PR!$AB$36,IF($S$3=24,PR!$AB$37,IF($S$3=25,PR!$AB$38,IF($S$3=26,PR!$AB$39,IF($S$3=27,PR!$AB$40,IF($S$3=28,PR!$AB$41,IF($S$3=29,PR!$AB$42,IF($S$3=30,PR!$AB$43,IF($S$3=31,PR!$AB$44,IF($S$3=32,PR!$AB$45,IF($S$3=33,PR!$AB$46,IF($S$3=34,PR!$AB$50,IF($S$3=35,PR!$AB$51,IF($S$3=36,PR!$AB$52,IF($S$3=37,PR!$AB$53,IF($S$3=38,PR!$AB$54,IF($S$3=39,PR!$AB$55,IF($S$3=40,PR!$AB$56,IF($S$3=41,PR!$AB$57,IF($S$3=42,PR!$AB$58,IF($S$3=43,PR!$AB$59,IF($S$3=44,PR!$AB$60,IF($S$3=45,PR!$AB$61,IF($S$3=46,PR!$AB$62,IF($S$3=47,PR!$AB$63,IF($S$3=48,PR!$AB$64,IF($S$3=49,PR!$AB$65,IF($S$3=50,PR!$AB$66,IF($S$3=51,PR!$AB$67,IF($S$3=52,PR!$AB$68,IF($S$3=53,PR!$AB$69,IF($S$3=54,PR!$AB$70,IF($S$3=55,PR!$AB$71,IF($S$3=56,PR!$AB$72,IF($S$3=57,PR!$AB$73,IF($S$3=58,PR!$AB$74,IF($S$3=59,PR!$AB$75,IF($S$3=60,PR!$AB$76,"-"))))))))))))))))))))))))))))))))))))))))))))))))))))))))))))</f>
        <v>0</v>
      </c>
      <c r="J10" s="534">
        <f>IF($S$3=1,PR!$AC$11,IF($S$3=2,PR!$AC$12,IF($S$3=3,PR!$AC$13,IF($S$3=4,PR!$AC$14,IF($S$3=5,PR!$AC$15,IF($S$3=6,PR!$AC$16,IF($S$3=7,PR!$AC$17,IF($S$3=8,PR!$AC$18,IF($S$3=9,PR!$AC$19,IF($S$3=10,PR!$AC$20,IF($S$3=11,PR!$AC$21,IF($S$3=12,PR!$AC$22,IF($S$3=13,PR!$AC$23,IF($S$3=14,PR!$AC$24,IF($S$3=15,PR!$AC$25,IF($S$3=16,PR!$AC$26,IF($S$3=17,PR!$AC$27,IF($S$3=18,PR!$AC$28,IF($S$3=19,PR!$AC$32,IF($S$3=20,PR!$AC$33,IF($S$3=21,PR!$AC$34,IF($S$3=22,PR!$AC$35,IF($S$3=23,PR!$AC$36,IF($S$3=24,PR!$AC$37,IF($S$3=25,PR!$AC$38,IF($S$3=26,PR!$AC$39,IF($S$3=27,PR!$AC$40,IF($S$3=28,PR!$AC$41,IF($S$3=29,PR!$AC$42,IF($S$3=30,PR!$AC$43,IF($S$3=31,PR!$AC$44,IF($S$3=32,PR!$AC$45,IF($S$3=33,PR!$AC$46,IF($S$3=34,PR!$AC$50,IF($S$3=35,PR!$AC$51,IF($S$3=36,PR!$AC$52,IF($S$3=37,PR!$AC$53,IF($S$3=38,PR!$AC$54,IF($S$3=39,PR!$AC$55,IF($S$3=40,PR!$AC$56,IF($S$3=41,PR!$AC$57,IF($S$3=42,PR!$AC$58,IF($S$3=43,PR!$AC$59,IF($S$3=44,PR!$AC$60,IF($S$3=45,PR!$AC$61,IF($S$3=46,PR!$AC$62,IF($S$3=47,PR!$AC$63,IF($S$3=48,PR!$AC$64,IF($S$3=49,PR!$AC$65,IF($S$3=50,PR!$AC$66,IF($S$3=51,PR!$AC$67,IF($S$3=52,PR!$AC$68,IF($S$3=53,PR!$AC$69,IF($S$3=54,PR!$AC$70,IF($S$3=55,PR!$AC$71,IF($S$3=56,PR!$AC$72,IF($S$3=57,PR!$AC$73,IF($S$3=58,PR!$AC$74,IF($S$3=59,PR!$AC$75,IF($S$3=60,PR!$AC$76,"-"))))))))))))))))))))))))))))))))))))))))))))))))))))))))))))</f>
        <v>0</v>
      </c>
      <c r="K10" s="534">
        <f>IF($S$3=1,PR!$AD$11,IF($S$3=2,PR!$AD$12,IF($S$3=3,PR!$AD$13,IF($S$3=4,PR!$AD$14,IF($S$3=5,PR!$AD$15,IF($S$3=6,PR!$AD$16,IF($S$3=7,PR!$AD$17,IF($S$3=8,PR!$AD$18,IF($S$3=9,PR!$AD$19,IF($S$3=10,PR!$AD$20,IF($S$3=11,PR!$AD$21,IF($S$3=12,PR!$AD$22,IF($S$3=13,PR!$AD$23,IF($S$3=14,PR!$AD$24,IF($S$3=15,PR!$AD$25,IF($S$3=16,PR!$AD$26,IF($S$3=17,PR!$AD$27,IF($S$3=18,PR!$AD$28,IF($S$3=19,PR!$AD$32,IF($S$3=20,PR!$AD$33,IF($S$3=21,PR!$AD$34,IF($S$3=22,PR!$AD$35,IF($S$3=23,PR!$AD$36,IF($S$3=24,PR!$AD$37,IF($S$3=25,PR!$AD$38,IF($S$3=26,PR!$AD$39,IF($S$3=27,PR!$AD$40,IF($S$3=28,PR!$AD$41,IF($S$3=29,PR!$AD$42,IF($S$3=30,PR!$AD$43,IF($S$3=31,PR!$AD$44,IF($S$3=32,PR!$AD$45,IF($S$3=33,PR!$AD$46,IF($S$3=34,PR!$AD$50,IF($S$3=35,PR!$AD$51,IF($S$3=36,PR!$AD$52,IF($S$3=37,PR!$AD$53,IF($S$3=38,PR!$AD$54,IF($S$3=39,PR!$AD$55,IF($S$3=40,PR!$AD$56,IF($S$3=41,PR!$AD$57,IF($S$3=42,PR!$AD$58,IF($S$3=43,PR!$AD$59,IF($S$3=44,PR!$AD$60,IF($S$3=45,PR!$AD$61,IF($S$3=46,PR!$AD$62,IF($S$3=47,PR!$AD$63,IF($S$3=48,PR!$AD$64,IF($S$3=49,PR!$AD$65,IF($S$3=50,PR!$AD$66,IF($S$3=51,PR!$AD$67,IF($S$3=52,PR!$AD$68,IF($S$3=53,PR!$AD$69,IF($S$3=54,PR!$AD$70,IF($S$3=55,PR!$AD$71,IF($S$3=56,PR!$AD$72,IF($S$3=57,PR!$AD$73,IF($S$3=58,PR!$AD$74,IF($S$3=59,PR!$AD$75,IF($S$3=60,PR!$AD$76,"-"))))))))))))))))))))))))))))))))))))))))))))))))))))))))))))</f>
        <v>0</v>
      </c>
      <c r="L10" s="534">
        <f>IF($S$3=1,PR!$AE$11,IF($S$3=2,PR!$AE$12,IF($S$3=3,PR!$AE$13,IF($S$3=4,PR!$AE$14,IF($S$3=5,PR!$AE$15,IF($S$3=6,PR!$AE$16,IF($S$3=7,PR!$AE$17,IF($S$3=8,PR!$AE$18,IF($S$3=9,PR!$AE$19,IF($S$3=10,PR!$AE$20,IF($S$3=11,PR!$AE$21,IF($S$3=12,PR!$AE$22,IF($S$3=13,PR!$AE$23,IF($S$3=14,PR!$AE$24,IF($S$3=15,PR!$AE$25,IF($S$3=16,PR!$AE$26,IF($S$3=17,PR!$AE$27,IF($S$3=18,PR!$AE$28,IF($S$3=19,PR!$AE$32,IF($S$3=20,PR!$AE$33,IF($S$3=21,PR!$AE$34,IF($S$3=22,PR!$AE$35,IF($S$3=23,PR!$AE$36,IF($S$3=24,PR!$AE$37,IF($S$3=25,PR!$AE$38,IF($S$3=26,PR!$AE$39,IF($S$3=27,PR!$AE$40,IF($S$3=28,PR!$AE$41,IF($S$3=29,PR!$AE$42,IF($S$3=30,PR!$AE$43,IF($S$3=31,PR!$AE$44,IF($S$3=32,PR!$AE$45,IF($S$3=33,PR!$AE$46,IF($S$3=34,PR!$AE$50,IF($S$3=35,PR!$AE$51,IF($S$3=36,PR!$AE$52,IF($S$3=37,PR!$AE$53,IF($S$3=38,PR!$AE$54,IF($S$3=39,PR!$AE$55,IF($S$3=40,PR!$AE$56,IF($S$3=41,PR!$AE$57,IF($S$3=42,PR!$AE$58,IF($S$3=43,PR!$AE$59,IF($S$3=44,PR!$AE$60,IF($S$3=45,PR!$AE$61,IF($S$3=46,PR!$AE$62,IF($S$3=47,PR!$AE$63,IF($S$3=48,PR!$AE$64,IF($S$3=49,PR!$AE$65,IF($S$3=50,PR!$AE$66,IF($S$3=51,PR!$AE$67,IF($S$3=52,PR!$AE$68,IF($S$3=53,PR!$AE$69,IF($S$3=54,PR!$AE$70,IF($S$3=55,PR!$AE$71,IF($S$3=56,PR!$AE$72,IF($S$3=57,PR!$AE$73,IF($S$3=58,PR!$AE$74,IF($S$3=59,PR!$AE$75,IF($S$3=60,PR!$AE$76,"-"))))))))))))))))))))))))))))))))))))))))))))))))))))))))))))</f>
        <v>0</v>
      </c>
      <c r="M10" s="534">
        <f>IF($S$3=1,PR!$AF$11,IF($S$3=2,PR!$AF$12,IF($S$3=3,PR!$AF$13,IF($S$3=4,PR!$AF$14,IF($S$3=5,PR!$AF$15,IF($S$3=6,PR!$AF$16,IF($S$3=7,PR!$AF$17,IF($S$3=8,PR!$AF$18,IF($S$3=9,PR!$AF$19,IF($S$3=10,PR!$AF$20,IF($S$3=11,PR!$AF$21,IF($S$3=12,PR!$AF$22,IF($S$3=13,PR!$AF$23,IF($S$3=14,PR!$AF$24,IF($S$3=15,PR!$AF$25,IF($S$3=16,PR!$AF$26,IF($S$3=17,PR!$AF$27,IF($S$3=18,PR!$AF$28,IF($S$3=19,PR!$AF$32,IF($S$3=20,PR!$AF$33,IF($S$3=21,PR!$AF$34,IF($S$3=22,PR!$AF$35,IF($S$3=23,PR!$AF$36,IF($S$3=24,PR!$AF$37,IF($S$3=25,PR!$AF$38,IF($S$3=26,PR!$AF$39,IF($S$3=27,PR!$AF$40,IF($S$3=28,PR!$AF$41,IF($S$3=29,PR!$AF$42,IF($S$3=30,PR!$AF$43,IF($S$3=31,PR!$AF$44,IF($S$3=32,PR!$AF$45,IF($S$3=33,PR!$AF$46,IF($S$3=34,PR!$AF$50,IF($S$3=35,PR!$AF$51,IF($S$3=36,PR!$AF$52,IF($S$3=37,PR!$AF$53,IF($S$3=38,PR!$AF$54,IF($S$3=39,PR!$AF$55,IF($S$3=40,PR!$AF$56,IF($S$3=41,PR!$AF$57,IF($S$3=42,PR!$AF$58,IF($S$3=43,PR!$AF$59,IF($S$3=44,PR!$AF$60,IF($S$3=45,PR!$AF$61,IF($S$3=46,PR!$AF$62,IF($S$3=47,PR!$AF$63,IF($S$3=48,PR!$AF$64,IF($S$3=49,PR!$AF$65,IF($S$3=50,PR!$AF$66,IF($S$3=51,PR!$AF$67,IF($S$3=52,PR!$AF$68,IF($S$3=53,PR!$AF$69,IF($S$3=54,PR!$AF$70,IF($S$3=55,PR!$AF$71,IF($S$3=56,PR!$AF$72,IF($S$3=57,PR!$AF$73,IF($S$3=58,PR!$AF$74,IF($S$3=59,PR!$AF$75,IF($S$3=60,PR!$AF$76,"-"))))))))))))))))))))))))))))))))))))))))))))))))))))))))))))</f>
        <v>0</v>
      </c>
      <c r="N10" s="534">
        <f>IF($S$3=1,PR!$AG$11,IF($S$3=2,PR!$AG$12,IF($S$3=3,PR!$AG$13,IF($S$3=4,PR!$AG$14,IF($S$3=5,PR!$AG$15,IF($S$3=6,PR!$AG$16,IF($S$3=7,PR!$AG$17,IF($S$3=8,PR!$AG$18,IF($S$3=9,PR!$AG$19,IF($S$3=10,PR!$AG$20,IF($S$3=11,PR!$AG$21,IF($S$3=12,PR!$AG$22,IF($S$3=13,PR!$AG$23,IF($S$3=14,PR!$AG$24,IF($S$3=15,PR!$AG$25,IF($S$3=16,PR!$AG$26,IF($S$3=17,PR!$AG$27,IF($S$3=18,PR!$AG$28,IF($S$3=19,PR!$AG$32,IF($S$3=20,PR!$AG$33,IF($S$3=21,PR!$AG$34,IF($S$3=22,PR!$AG$35,IF($S$3=23,PR!$AG$36,IF($S$3=24,PR!$AG$37,IF($S$3=25,PR!$AG$38,IF($S$3=26,PR!$AG$39,IF($S$3=27,PR!$AG$40,IF($S$3=28,PR!$AG$41,IF($S$3=29,PR!$AG$42,IF($S$3=30,PR!$AG$43,IF($S$3=31,PR!$AG$44,IF($S$3=32,PR!$AG$45,IF($S$3=33,PR!$AG$46,IF($S$3=34,PR!$AG$50,IF($S$3=35,PR!$AG$51,IF($S$3=36,PR!$AG$52,IF($S$3=37,PR!$AG$53,IF($S$3=38,PR!$AG$54,IF($S$3=39,PR!$AG$55,IF($S$3=40,PR!$AG$56,IF($S$3=41,PR!$AG$57,IF($S$3=42,PR!$AG$58,IF($S$3=43,PR!$AG$59,IF($S$3=44,PR!$AG$60,IF($S$3=45,PR!$AG$61,IF($S$3=46,PR!$AG$62,IF($S$3=47,PR!$AG$63,IF($S$3=48,PR!$AG$64,IF($S$3=49,PR!$AG$65,IF($S$3=50,PR!$AG$66,IF($S$3=51,PR!$AG$67,IF($S$3=52,PR!$AG$68,IF($S$3=53,PR!$AG$69,IF($S$3=54,PR!$AG$70,IF($S$3=55,PR!$AG$71,IF($S$3=56,PR!$AG$72,IF($S$3=57,PR!$AG$73,IF($S$3=58,PR!$AG$74,IF($S$3=59,PR!$AG$75,IF($S$3=60,PR!$AG$76,"-"))))))))))))))))))))))))))))))))))))))))))))))))))))))))))))</f>
        <v>0</v>
      </c>
      <c r="O10" s="534">
        <f>IF($S$3=1,PR!$AH$11,IF($S$3=2,PR!$AH$12,IF($S$3=3,PR!$AH$13,IF($S$3=4,PR!$AH$14,IF($S$3=5,PR!$AH$15,IF($S$3=6,PR!$AH$16,IF($S$3=7,PR!$AH$17,IF($S$3=8,PR!$AH$18,IF($S$3=9,PR!$AH$19,IF($S$3=10,PR!$AH$20,IF($S$3=11,PR!$AH$21,IF($S$3=12,PR!$AH$22,IF($S$3=13,PR!$AH$23,IF($S$3=14,PR!$AH$24,IF($S$3=15,PR!$AH$25,IF($S$3=16,PR!$AH$26,IF($S$3=17,PR!$AH$27,IF($S$3=18,PR!$AH$28,IF($S$3=19,PR!$AH$32,IF($S$3=20,PR!$AH$33,IF($S$3=21,PR!$AH$34,IF($S$3=22,PR!$AH$35,IF($S$3=23,PR!$AH$36,IF($S$3=24,PR!$AH$37,IF($S$3=25,PR!$AH$38,IF($S$3=26,PR!$AH$39,IF($S$3=27,PR!$AH$40,IF($S$3=28,PR!$AH$41,IF($S$3=29,PR!$AH$42,IF($S$3=30,PR!$AH$43,IF($S$3=31,PR!$AH$44,IF($S$3=32,PR!$AH$45,IF($S$3=33,PR!$AH$46,IF($S$3=34,PR!$AH$50,IF($S$3=35,PR!$AH$51,IF($S$3=36,PR!$AH$52,IF($S$3=37,PR!$AH$53,IF($S$3=38,PR!$AH$54,IF($S$3=39,PR!$AH$55,IF($S$3=40,PR!$AH$56,IF($S$3=41,PR!$AH$57,IF($S$3=42,PR!$AH$58,IF($S$3=43,PR!$AH$59,IF($S$3=44,PR!$AH$60,IF($S$3=45,PR!$AH$61,IF($S$3=46,PR!$AH$62,IF($S$3=47,PR!$AH$63,IF($S$3=48,PR!$AH$64,IF($S$3=49,PR!$AH$65,IF($S$3=50,PR!$AH$66,IF($S$3=51,PR!$AH$67,IF($S$3=52,PR!$AH$68,IF($S$3=53,PR!$AH$69,IF($S$3=54,PR!$AH$70,IF($S$3=55,PR!$AH$71,IF($S$3=56,PR!$AH$72,IF($S$3=57,PR!$AH$73,IF($S$3=58,PR!$AH$74,IF($S$3=59,PR!$AH$75,IF($S$3=60,PR!$AH$76,"-"))))))))))))))))))))))))))))))))))))))))))))))))))))))))))))</f>
        <v>0</v>
      </c>
      <c r="P10" s="534">
        <f>IF($S$3=1,PR!$AI$11,IF($S$3=2,PR!$AI$12,IF($S$3=3,PR!$AI$13,IF($S$3=4,PR!$AI$14,IF($S$3=5,PR!$AI$15,IF($S$3=6,PR!$AI$16,IF($S$3=7,PR!$AI$17,IF($S$3=8,PR!$AI$18,IF($S$3=9,PR!$AI$19,IF($S$3=10,PR!$AI$20,IF($S$3=11,PR!$AI$21,IF($S$3=12,PR!$AI$22,IF($S$3=13,PR!$AI$23,IF($S$3=14,PR!$AI$24,IF($S$3=15,PR!$AI$25,IF($S$3=16,PR!$AI$26,IF($S$3=17,PR!$AI$27,IF($S$3=18,PR!$AI$28,IF($S$3=19,PR!$AI$32,IF($S$3=20,PR!$AI$33,IF($S$3=21,PR!$AI$34,IF($S$3=22,PR!$AI$35,IF($S$3=23,PR!$AI$36,IF($S$3=24,PR!$AI$37,IF($S$3=25,PR!$AI$38,IF($S$3=26,PR!$AI$39,IF($S$3=27,PR!$AI$40,IF($S$3=28,PR!$AI$41,IF($S$3=29,PR!$AI$42,IF($S$3=30,PR!$AI$43,IF($S$3=31,PR!$AI$44,IF($S$3=32,PR!$AI$45,IF($S$3=33,PR!$AI$46,IF($S$3=34,PR!$AI$50,IF($S$3=35,PR!$AI$51,IF($S$3=36,PR!$AI$52,IF($S$3=37,PR!$AI$53,IF($S$3=38,PR!$AI$54,IF($S$3=39,PR!$AI$55,IF($S$3=40,PR!$AI$56,IF($S$3=41,PR!$AI$57,IF($S$3=42,PR!$AI$58,IF($S$3=43,PR!$AI$59,IF($S$3=44,PR!$AI$60,IF($S$3=45,PR!$AI$61,IF($S$3=46,PR!$AI$62,IF($S$3=47,PR!$AI$63,IF($S$3=48,PR!$AI$64,IF($S$3=49,PR!$AI$65,IF($S$3=50,PR!$AI$66,IF($S$3=51,PR!$AI$67,IF($S$3=52,PR!$AI$68,IF($S$3=53,PR!$AI$69,IF($S$3=54,PR!$AI$70,IF($S$3=55,PR!$AI$71,IF($S$3=56,PR!$AI$72,IF($S$3=57,PR!$AI$73,IF($S$3=58,PR!$AI$74,IF($S$3=59,PR!$AI$75,IF($S$3=60,PR!$AI$76,"-"))))))))))))))))))))))))))))))))))))))))))))))))))))))))))))</f>
        <v>0</v>
      </c>
      <c r="Q10" s="534">
        <f>IF($S$3=1,PR!$AJ$11,IF($S$3=2,PR!$AJ$12,IF($S$3=3,PR!$AJ$13,IF($S$3=4,PR!$AJ$14,IF($S$3=5,PR!$AJ$15,IF($S$3=6,PR!$AJ$16,IF($S$3=7,PR!$AJ$17,IF($S$3=8,PR!$AJ$18,IF($S$3=9,PR!$AJ$19,IF($S$3=10,PR!$AJ$20,IF($S$3=11,PR!$AJ$21,IF($S$3=12,PR!$AJ$22,IF($S$3=13,PR!$AJ$23,IF($S$3=14,PR!$AJ$24,IF($S$3=15,PR!$AJ$25,IF($S$3=16,PR!$AJ$26,IF($S$3=17,PR!$AJ$27,IF($S$3=18,PR!$AJ$28,IF($S$3=19,PR!$AJ$32,IF($S$3=20,PR!$AJ$33,IF($S$3=21,PR!$AJ$34,IF($S$3=22,PR!$AJ$35,IF($S$3=23,PR!$AJ$36,IF($S$3=24,PR!$AJ$37,IF($S$3=25,PR!$AJ$38,IF($S$3=26,PR!$AJ$39,IF($S$3=27,PR!$AJ$40,IF($S$3=28,PR!$AJ$41,IF($S$3=29,PR!$AJ$42,IF($S$3=30,PR!$AJ$43,IF($S$3=31,PR!$AJ$44,IF($S$3=32,PR!$AJ$45,IF($S$3=33,PR!$AJ$46,IF($S$3=34,PR!$AJ$50,IF($S$3=35,PR!$AJ$51,IF($S$3=36,PR!$AJ$52,IF($S$3=37,PR!$AJ$53,IF($S$3=38,PR!$AJ$54,IF($S$3=39,PR!$AJ$55,IF($S$3=40,PR!$AJ$56,IF($S$3=41,PR!$AJ$57,IF($S$3=42,PR!$AJ$58,IF($S$3=43,PR!$AJ$59,IF($S$3=44,PR!$AJ$60,IF($S$3=45,PR!$AJ$61,IF($S$3=46,PR!$AJ$62,IF($S$3=47,PR!$AJ$63,IF($S$3=48,PR!$AJ$64,IF($S$3=49,PR!$AJ$65,IF($S$3=50,PR!$AJ$66,IF($S$3=51,PR!$AJ$67,IF($S$3=52,PR!$AJ$68,IF($S$3=53,PR!$AJ$69,IF($S$3=54,PR!$AJ$70,IF($S$3=55,PR!$AJ$71,IF($S$3=56,PR!$AJ$72,IF($S$3=57,PR!$AJ$73,IF($S$3=58,PR!$AJ$74,IF($S$3=59,PR!$AJ$75,IF($S$3=60,PR!$AJ$76,"-"))))))))))))))))))))))))))))))))))))))))))))))))))))))))))))</f>
        <v>0</v>
      </c>
      <c r="R10" s="534">
        <f>IF($S$3=1,PR!$AK$11,IF($S$3=2,PR!$AK$12,IF($S$3=3,PR!$AK$13,IF($S$3=4,PR!$AK$14,IF($S$3=5,PR!$AK$15,IF($S$3=6,PR!$AK$16,IF($S$3=7,PR!$AK$17,IF($S$3=8,PR!$AK$18,IF($S$3=9,PR!$AK$19,IF($S$3=10,PR!$AK$20,IF($S$3=11,PR!$AK$21,IF($S$3=12,PR!$AK$22,IF($S$3=13,PR!$AK$23,IF($S$3=14,PR!$AK$24,IF($S$3=15,PR!$AK$25,IF($S$3=16,PR!$AK$26,IF($S$3=17,PR!$AK$27,IF($S$3=18,PR!$AK$28,IF($S$3=19,PR!$AK$32,IF($S$3=20,PR!$AK$33,IF($S$3=21,PR!$AK$34,IF($S$3=22,PR!$AK$35,IF($S$3=23,PR!$AK$36,IF($S$3=24,PR!$AK$37,IF($S$3=25,PR!$AK$38,IF($S$3=26,PR!$AK$39,IF($S$3=27,PR!$AK$40,IF($S$3=28,PR!$AK$41,IF($S$3=29,PR!$AK$42,IF($S$3=30,PR!$AK$43,IF($S$3=31,PR!$AK$44,IF($S$3=32,PR!$AK$45,IF($S$3=33,PR!$AK$46,IF($S$3=34,PR!$AK$50,IF($S$3=35,PR!$AK$51,IF($S$3=36,PR!$AK$52,IF($S$3=37,PR!$AK$53,IF($S$3=38,PR!$AK$54,IF($S$3=39,PR!$AK$55,IF($S$3=40,PR!$AK$56,IF($S$3=41,PR!$AK$57,IF($S$3=42,PR!$AK$58,IF($S$3=43,PR!$AK$59,IF($S$3=44,PR!$AK$60,IF($S$3=45,PR!$AK$61,IF($S$3=46,PR!$AK$62,IF($S$3=47,PR!$AK$63,IF($S$3=48,PR!$AK$64,IF($S$3=49,PR!$AK$65,IF($S$3=50,PR!$AK$66,IF($S$3=51,PR!$AK$67,IF($S$3=52,PR!$AK$68,IF($S$3=53,PR!$AK$69,IF($S$3=54,PR!$AK$70,IF($S$3=55,PR!$AK$71,IF($S$3=56,PR!$AK$72,IF($S$3=57,PR!$AK$73,IF($S$3=58,PR!$AK$74,IF($S$3=59,PR!$AK$75,IF($S$3=60,PR!$AK$76,"-"))))))))))))))))))))))))))))))))))))))))))))))))))))))))))))</f>
        <v>0</v>
      </c>
      <c r="S10" s="534">
        <f>IF($S$3=1,PR!$AM$11,IF($S$3=2,PR!$AM$12,IF($S$3=3,PR!$AM$13,IF($S$3=4,PR!$AM$14,IF($S$3=5,PR!$AM$15,IF($S$3=6,PR!$AM$16,IF($S$3=7,PR!$AM$17,IF($S$3=8,PR!$AM$18,IF($S$3=9,PR!$AM$19,IF($S$3=10,PR!$AM$20,IF($S$3=11,PR!$AM$21,IF($S$3=12,PR!$AM$22,IF($S$3=13,PR!$AM$23,IF($S$3=14,PR!$AM$24,IF($S$3=15,PR!$AM$25,IF($S$3=16,PR!$AM$26,IF($S$3=17,PR!$AM$27,IF($S$3=18,PR!$AM$28,IF($S$3=19,PR!$AM$32,IF($S$3=20,PR!$AM$33,IF($S$3=21,PR!$AM$34,IF($S$3=22,PR!$AM$35,IF($S$3=23,PR!$AM$36,IF($S$3=24,PR!$AM$37,IF($S$3=25,PR!$AM$38,IF($S$3=26,PR!$AM$39,IF($S$3=27,PR!$AM$40,IF($S$3=28,PR!$AM$41,IF($S$3=29,PR!$AM$42,IF($S$3=30,PR!$AM$43,IF($S$3=31,PR!$AM$44,IF($S$3=32,PR!$AM$45,IF($S$3=33,PR!$AM$46,IF($S$3=34,PR!$AM$50,IF($S$3=35,PR!$AM$51,IF($S$3=36,PR!$AM$52,IF($S$3=37,PR!$AM$53,IF($S$3=38,PR!$AM$54,IF($S$3=39,PR!$AM$55,IF($S$3=40,PR!$AM$56,IF($S$3=41,PR!$AM$57,IF($S$3=42,PR!$AM$58,IF($S$3=43,PR!$AM$59,IF($S$3=44,PR!$AM$60,IF($S$3=45,PR!$AM$61,IF($S$3=46,PR!$AM$62,IF($S$3=47,PR!$AM$63,IF($S$3=48,PR!$AM$64,IF($S$3=49,PR!$AM$65,IF($S$3=50,PR!$AM$66,IF($S$3=51,PR!$AM$67,IF($S$3=52,PR!$AM$68,IF($S$3=53,PR!$AM$69,IF($S$3=54,PR!$AM$70,IF($S$3=55,PR!$AM$71,IF($S$3=56,PR!$AM$72,IF($S$3=57,PR!$AM$73,IF($S$3=58,PR!$AM$74,IF($S$3=59,PR!$AM$75,IF($S$3=60,PR!$AM$76,"-"))))))))))))))))))))))))))))))))))))))))))))))))))))))))))))</f>
        <v>0</v>
      </c>
      <c r="T10" s="518"/>
      <c r="U10" s="518"/>
      <c r="V10" s="32"/>
      <c r="W10" s="32"/>
      <c r="X10" s="32"/>
      <c r="Y10" s="32"/>
      <c r="Z10" s="32"/>
    </row>
    <row r="11" spans="1:26" ht="15.75" x14ac:dyDescent="0.25">
      <c r="A11" s="91"/>
      <c r="B11" s="518"/>
      <c r="C11" s="529"/>
      <c r="D11" s="518"/>
      <c r="E11" s="518"/>
      <c r="F11" s="518"/>
      <c r="G11" s="518"/>
      <c r="H11" s="518"/>
      <c r="I11" s="518"/>
      <c r="J11" s="518"/>
      <c r="K11" s="518"/>
      <c r="L11" s="518"/>
      <c r="M11" s="518"/>
      <c r="N11" s="518"/>
      <c r="O11" s="518"/>
      <c r="P11" s="518"/>
      <c r="Q11" s="518"/>
      <c r="R11" s="535"/>
      <c r="S11" s="535"/>
      <c r="T11" s="518"/>
      <c r="U11" s="518"/>
      <c r="V11" s="32"/>
      <c r="W11" s="32"/>
      <c r="X11" s="32"/>
      <c r="Y11" s="32"/>
      <c r="Z11" s="32"/>
    </row>
    <row r="12" spans="1:26" ht="15.75" thickBot="1" x14ac:dyDescent="0.3">
      <c r="A12" s="91"/>
      <c r="B12" s="518"/>
      <c r="C12" s="531" t="str">
        <f>N!$C$38</f>
        <v>MWORLD</v>
      </c>
      <c r="D12" s="531" t="str">
        <f>N!$C$39</f>
        <v>MEGA</v>
      </c>
      <c r="E12" s="531" t="str">
        <f>N!$C$40</f>
        <v>MICRONOVA</v>
      </c>
      <c r="F12" s="531" t="str">
        <f>N!$C$41</f>
        <v>MFLASH</v>
      </c>
      <c r="G12" s="531" t="str">
        <f>N!$C$42</f>
        <v>MORISON</v>
      </c>
      <c r="H12" s="531" t="str">
        <f>N!$C$43</f>
        <v>NEMEL</v>
      </c>
      <c r="I12" s="531" t="str">
        <f>N!$C$44</f>
        <v>NHP</v>
      </c>
      <c r="J12" s="531" t="str">
        <f>N!$C$45</f>
        <v>NHC</v>
      </c>
      <c r="K12" s="531" t="str">
        <f>N!$C$46</f>
        <v>OLEAF</v>
      </c>
      <c r="L12" s="531" t="str">
        <f>N!$C$47</f>
        <v>OCULUS</v>
      </c>
      <c r="M12" s="531" t="str">
        <f>N!$C$48</f>
        <v>PACIFIC</v>
      </c>
      <c r="N12" s="531" t="str">
        <f>N!$C$49</f>
        <v>PHAMATEX</v>
      </c>
      <c r="O12" s="531" t="str">
        <f>N!$C$50</f>
        <v>PETHICS</v>
      </c>
      <c r="P12" s="531" t="str">
        <f>N!$C$51</f>
        <v>PHILIPS</v>
      </c>
      <c r="Q12" s="531" t="str">
        <f>N!$C$52</f>
        <v>RANBAXY</v>
      </c>
      <c r="R12" s="531" t="str">
        <f>N!$C$53</f>
        <v>REALS</v>
      </c>
      <c r="S12" s="531" t="str">
        <f>N!$C$54</f>
        <v>ROYAL</v>
      </c>
      <c r="T12" s="518"/>
      <c r="U12" s="518"/>
      <c r="V12" s="32"/>
      <c r="W12" s="32"/>
      <c r="X12" s="32"/>
      <c r="Y12" s="32"/>
      <c r="Z12" s="32"/>
    </row>
    <row r="13" spans="1:26" ht="15.75" thickBot="1" x14ac:dyDescent="0.3">
      <c r="A13" s="91"/>
      <c r="B13" s="518"/>
      <c r="C13" s="534">
        <f>IF($S$3=1,PR!$AN$11,IF($S$3=2,PR!$AN$12,IF($S$3=3,PR!$AN$13,IF($S$3=4,PR!$AN$14,IF($S$3=5,PR!$AN$15,IF($S$3=6,PR!$AN$16,IF($S$3=7,PR!$AN$17,IF($S$3=8,PR!$AN$18,IF($S$3=9,PR!$AN$19,IF($S$3=10,PR!$AN$20,IF($S$3=11,PR!$AN$21,IF($S$3=12,PR!$AN$22,IF($S$3=13,PR!$AN$23,IF($S$3=14,PR!$AN$24,IF($S$3=15,PR!$AN$25,IF($S$3=16,PR!$AN$26,IF($S$3=17,PR!$AN$27,IF($S$3=18,PR!$AN$28,IF($S$3=19,PR!$AN$32,IF($S$3=20,PR!$AN$33,IF($S$3=21,PR!$AN$34,IF($S$3=22,PR!$AN$35,IF($S$3=23,PR!$AN$36,IF($S$3=24,PR!$AN$37,IF($S$3=25,PR!$AN$38,IF($S$3=26,PR!$AN$39,IF($S$3=27,PR!$AN$40,IF($S$3=28,PR!$AN$41,IF($S$3=29,PR!$AN$42,IF($S$3=30,PR!$AN$43,IF($S$3=31,PR!$AN$44,IF($S$3=32,PR!$AN$45,IF($S$3=33,PR!$AN$46,IF($S$3=34,PR!$AN$50,IF($S$3=35,PR!$AN$51,IF($S$3=36,PR!$AN$52,IF($S$3=37,PR!$AN$53,IF($S$3=38,PR!$AN$54,IF($S$3=39,PR!$AN$55,IF($S$3=40,PR!$AN$56,IF($S$3=41,PR!$AN$57,IF($S$3=42,PR!$AN$58,IF($S$3=43,PR!$AN$59,IF($S$3=44,PR!$AN$60,IF($S$3=45,PR!$AN$61,IF($S$3=46,PR!$AN$62,IF($S$3=47,PR!$AN$63,IF($S$3=48,PR!$AN$64,IF($S$3=49,PR!$AN$65,IF($S$3=50,PR!$AN$66,IF($S$3=51,PR!$AN$67,IF($S$3=52,PR!$AN$68,IF($S$3=53,PR!$AN$69,IF($S$3=54,PR!$AN$70,IF($S$3=55,PR!$AN$71,IF($S$3=56,PR!$AN$72,IF($S$3=57,PR!$AN$73,IF($S$3=58,PR!$AN$74,IF($S$3=59,PR!$AN$75,IF($S$3=60,PR!$AN$76,"-"))))))))))))))))))))))))))))))))))))))))))))))))))))))))))))</f>
        <v>0</v>
      </c>
      <c r="D13" s="534">
        <f>IF($S$3=1,PR!$AN$11,IF($S$3=2,PR!$AN$12,IF($S$3=3,PR!$AN$13,IF($S$3=4,PR!$AN$14,IF($S$3=5,PR!$AN$15,IF($S$3=6,PR!$AN$16,IF($S$3=7,PR!$AN$17,IF($S$3=8,PR!$AN$18,IF($S$3=9,PR!$AN$19,IF($S$3=10,PR!$AN$20,IF($S$3=11,PR!$AN$21,IF($S$3=12,PR!$AN$22,IF($S$3=13,PR!$AN$23,IF($S$3=14,PR!$AN$24,IF($S$3=15,PR!$AN$25,IF($S$3=16,PR!$AN$26,IF($S$3=17,PR!$AN$27,IF($S$3=18,PR!$AN$28,IF($S$3=19,PR!$AN$32,IF($S$3=20,PR!$AN$33,IF($S$3=21,PR!$AN$34,IF($S$3=22,PR!$AN$35,IF($S$3=23,PR!$AN$36,IF($S$3=24,PR!$AN$37,IF($S$3=25,PR!$AN$38,IF($S$3=26,PR!$AN$39,IF($S$3=27,PR!$AN$40,IF($S$3=28,PR!$AN$41,IF($S$3=29,PR!$AN$42,IF($S$3=30,PR!$AN$43,IF($S$3=31,PR!$AN$44,IF($S$3=32,PR!$AN$45,IF($S$3=33,PR!$AN$46,IF($S$3=34,PR!$AN$50,IF($S$3=35,PR!$AN$51,IF($S$3=36,PR!$AN$52,IF($S$3=37,PR!$AN$53,IF($S$3=38,PR!$AN$54,IF($S$3=39,PR!$AN$55,IF($S$3=40,PR!$AN$56,IF($S$3=41,PR!$AN$57,IF($S$3=42,PR!$AN$58,IF($S$3=43,PR!$AN$59,IF($S$3=44,PR!$AN$60,IF($S$3=45,PR!$AN$61,IF($S$3=46,PR!$AN$62,IF($S$3=47,PR!$AN$63,IF($S$3=48,PR!$AN$64,IF($S$3=49,PR!$AN$65,IF($S$3=50,PR!$AN$66,IF($S$3=51,PR!$AN$67,IF($S$3=52,PR!$AN$68,IF($S$3=53,PR!$AN$69,IF($S$3=54,PR!$AN$70,IF($S$3=55,PR!$AN$71,IF($S$3=56,PR!$AN$72,IF($S$3=57,PR!$AN$73,IF($S$3=58,PR!$AN$74,IF($S$3=59,PR!$AN$75,IF($S$3=60,PR!$AN$76,"-"))))))))))))))))))))))))))))))))))))))))))))))))))))))))))))</f>
        <v>0</v>
      </c>
      <c r="E13" s="534">
        <f>IF($S$3=1,PR!$AO$11,IF($S$3=2,PR!$AO$12,IF($S$3=3,PR!$AO$13,IF($S$3=4,PR!$AO$14,IF($S$3=5,PR!$AO$15,IF($S$3=6,PR!$AO$16,IF($S$3=7,PR!$AO$17,IF($S$3=8,PR!$AO$18,IF($S$3=9,PR!$AO$19,IF($S$3=10,PR!$AO$20,IF($S$3=11,PR!$AO$21,IF($S$3=12,PR!$AO$22,IF($S$3=13,PR!$AO$23,IF($S$3=14,PR!$AO$24,IF($S$3=15,PR!$AO$25,IF($S$3=16,PR!$AO$26,IF($S$3=17,PR!$AO$27,IF($S$3=18,PR!$AO$28,IF($S$3=19,PR!$AO$32,IF($S$3=20,PR!$AO$33,IF($S$3=21,PR!$AO$34,IF($S$3=22,PR!$AO$35,IF($S$3=23,PR!$AO$36,IF($S$3=24,PR!$AO$37,IF($S$3=25,PR!$AO$38,IF($S$3=26,PR!$AO$39,IF($S$3=27,PR!$AO$40,IF($S$3=28,PR!$AO$41,IF($S$3=29,PR!$AO$42,IF($S$3=30,PR!$AO$43,IF($S$3=31,PR!$AO$44,IF($S$3=32,PR!$AO$45,IF($S$3=33,PR!$AO$46,IF($S$3=34,PR!$AO$50,IF($S$3=35,PR!$AO$51,IF($S$3=36,PR!$AO$52,IF($S$3=37,PR!$AO$53,IF($S$3=38,PR!$AO$54,IF($S$3=39,PR!$AO$55,IF($S$3=40,PR!$AO$56,IF($S$3=41,PR!$AO$57,IF($S$3=42,PR!$AO$58,IF($S$3=43,PR!$AO$59,IF($S$3=44,PR!$AO$60,IF($S$3=45,PR!$AO$61,IF($S$3=46,PR!$AO$62,IF($S$3=47,PR!$AO$63,IF($S$3=48,PR!$AO$64,IF($S$3=49,PR!$AO$65,IF($S$3=50,PR!$AO$66,IF($S$3=51,PR!$AO$67,IF($S$3=52,PR!$AO$68,IF($S$3=53,PR!$AO$69,IF($S$3=54,PR!$AO$70,IF($S$3=55,PR!$AO$71,IF($S$3=56,PR!$AO$72,IF($S$3=57,PR!$AO$73,IF($S$3=58,PR!$AO$74,IF($S$3=59,PR!$AO$75,IF($S$3=60,PR!$AO$76,"-"))))))))))))))))))))))))))))))))))))))))))))))))))))))))))))</f>
        <v>0</v>
      </c>
      <c r="F13" s="534">
        <f>IF($S$3=1,PR!$AP$11,IF($S$3=2,PR!$AP$12,IF($S$3=3,PR!$AP$13,IF($S$3=4,PR!$AP$14,IF($S$3=5,PR!$AP$15,IF($S$3=6,PR!$AP$16,IF($S$3=7,PR!$AP$17,IF($S$3=8,PR!$AP$18,IF($S$3=9,PR!$AP$19,IF($S$3=10,PR!$AP$20,IF($S$3=11,PR!$AP$21,IF($S$3=12,PR!$AP$22,IF($S$3=13,PR!$AP$23,IF($S$3=14,PR!$AP$24,IF($S$3=15,PR!$AP$25,IF($S$3=16,PR!$AP$26,IF($S$3=17,PR!$AP$27,IF($S$3=18,PR!$AP$28,IF($S$3=19,PR!$AP$32,IF($S$3=20,PR!$AP$33,IF($S$3=21,PR!$AP$34,IF($S$3=22,PR!$AP$35,IF($S$3=23,PR!$AP$36,IF($S$3=24,PR!$AP$37,IF($S$3=25,PR!$AP$38,IF($S$3=26,PR!$AP$39,IF($S$3=27,PR!$AP$40,IF($S$3=28,PR!$AP$41,IF($S$3=29,PR!$AP$42,IF($S$3=30,PR!$AP$43,IF($S$3=31,PR!$AP$44,IF($S$3=32,PR!$AP$45,IF($S$3=33,PR!$AP$46,IF($S$3=34,PR!$AP$50,IF($S$3=35,PR!$AP$51,IF($S$3=36,PR!$AP$52,IF($S$3=37,PR!$AP$53,IF($S$3=38,PR!$AP$54,IF($S$3=39,PR!$AP$55,IF($S$3=40,PR!$AP$56,IF($S$3=41,PR!$AP$57,IF($S$3=42,PR!$AP$58,IF($S$3=43,PR!$AP$59,IF($S$3=44,PR!$AP$60,IF($S$3=45,PR!$AP$61,IF($S$3=46,PR!$AP$62,IF($S$3=47,PR!$AP$63,IF($S$3=48,PR!$AP$64,IF($S$3=49,PR!$AP$65,IF($S$3=50,PR!$AP$66,IF($S$3=51,PR!$AP$67,IF($S$3=52,PR!$AP$68,IF($S$3=53,PR!$AP$69,IF($S$3=54,PR!$AP$70,IF($S$3=55,PR!$AP$71,IF($S$3=56,PR!$AP$72,IF($S$3=57,PR!$AP$73,IF($S$3=58,PR!$AP$74,IF($S$3=59,PR!$AP$75,IF($S$3=60,PR!$AP$76,"-"))))))))))))))))))))))))))))))))))))))))))))))))))))))))))))</f>
        <v>0</v>
      </c>
      <c r="G13" s="534">
        <f>IF($S$3=1,PR!$AQ$11,IF($S$3=2,PR!$AQ$12,IF($S$3=3,PR!$AQ$13,IF($S$3=4,PR!$AQ$14,IF($S$3=5,PR!$AQ$15,IF($S$3=6,PR!$AQ$16,IF($S$3=7,PR!$AQ$17,IF($S$3=8,PR!$AQ$18,IF($S$3=9,PR!$AQ$19,IF($S$3=10,PR!$AQ$20,IF($S$3=11,PR!$AQ$21,IF($S$3=12,PR!$AQ$22,IF($S$3=13,PR!$AQ$23,IF($S$3=14,PR!$AQ$24,IF($S$3=15,PR!$AQ$25,IF($S$3=16,PR!$AQ$26,IF($S$3=17,PR!$AQ$27,IF($S$3=18,PR!$AQ$28,IF($S$3=19,PR!$AQ$32,IF($S$3=20,PR!$AQ$33,IF($S$3=21,PR!$AQ$34,IF($S$3=22,PR!$AQ$35,IF($S$3=23,PR!$AQ$36,IF($S$3=24,PR!$AQ$37,IF($S$3=25,PR!$AQ$38,IF($S$3=26,PR!$AQ$39,IF($S$3=27,PR!$AQ$40,IF($S$3=28,PR!$AQ$41,IF($S$3=29,PR!$AQ$42,IF($S$3=30,PR!$AQ$43,IF($S$3=31,PR!$AQ$44,IF($S$3=32,PR!$AQ$45,IF($S$3=33,PR!$AQ$46,IF($S$3=34,PR!$AQ$50,IF($S$3=35,PR!$AQ$51,IF($S$3=36,PR!$AQ$52,IF($S$3=37,PR!$AQ$53,IF($S$3=38,PR!$AQ$54,IF($S$3=39,PR!$AQ$55,IF($S$3=40,PR!$AQ$56,IF($S$3=41,PR!$AQ$57,IF($S$3=42,PR!$AQ$58,IF($S$3=43,PR!$AQ$59,IF($S$3=44,PR!$AQ$60,IF($S$3=45,PR!$AQ$61,IF($S$3=46,PR!$AQ$62,IF($S$3=47,PR!$AQ$63,IF($S$3=48,PR!$AQ$64,IF($S$3=49,PR!$AQ$65,IF($S$3=50,PR!$AQ$66,IF($S$3=51,PR!$AQ$67,IF($S$3=52,PR!$AQ$68,IF($S$3=53,PR!$AQ$69,IF($S$3=54,PR!$AQ$70,IF($S$3=55,PR!$AQ$71,IF($S$3=56,PR!$AQ$72,IF($S$3=57,PR!$AQ$73,IF($S$3=58,PR!$AQ$74,IF($S$3=59,PR!$AQ$75,IF($S$3=60,PR!$AQ$76,"-"))))))))))))))))))))))))))))))))))))))))))))))))))))))))))))</f>
        <v>0</v>
      </c>
      <c r="H13" s="534">
        <f>IF($S$3=1,PR!$AR$11,IF($S$3=2,PR!$AR$12,IF($S$3=3,PR!$AR$13,IF($S$3=4,PR!$AR$14,IF($S$3=5,PR!$AR$15,IF($S$3=6,PR!$AR$16,IF($S$3=7,PR!$AR$17,IF($S$3=8,PR!$AR$18,IF($S$3=9,PR!$AR$19,IF($S$3=10,PR!$AR$20,IF($S$3=11,PR!$AR$21,IF($S$3=12,PR!$AR$22,IF($S$3=13,PR!$AR$23,IF($S$3=14,PR!$AR$24,IF($S$3=15,PR!$AR$25,IF($S$3=16,PR!$AR$26,IF($S$3=17,PR!$AR$27,IF($S$3=18,PR!$AR$28,IF($S$3=19,PR!$AR$32,IF($S$3=20,PR!$AR$33,IF($S$3=21,PR!$AR$34,IF($S$3=22,PR!$AR$35,IF($S$3=23,PR!$AR$36,IF($S$3=24,PR!$AR$37,IF($S$3=25,PR!$AR$38,IF($S$3=26,PR!$AR$39,IF($S$3=27,PR!$AR$40,IF($S$3=28,PR!$AR$41,IF($S$3=29,PR!$AR$42,IF($S$3=30,PR!$AR$43,IF($S$3=31,PR!$AR$44,IF($S$3=32,PR!$AR$45,IF($S$3=33,PR!$AR$46,IF($S$3=34,PR!$AR$50,IF($S$3=35,PR!$AR$51,IF($S$3=36,PR!$AR$52,IF($S$3=37,PR!$AR$53,IF($S$3=38,PR!$AR$54,IF($S$3=39,PR!$AR$55,IF($S$3=40,PR!$AR$56,IF($S$3=41,PR!$AR$57,IF($S$3=42,PR!$AR$58,IF($S$3=43,PR!$AR$59,IF($S$3=44,PR!$AR$60,IF($S$3=45,PR!$AR$61,IF($S$3=46,PR!$AR$62,IF($S$3=47,PR!$AR$63,IF($S$3=48,PR!$AR$64,IF($S$3=49,PR!$AR$65,IF($S$3=50,PR!$AR$66,IF($S$3=51,PR!$AR$67,IF($S$3=52,PR!$AR$68,IF($S$3=53,PR!$AR$69,IF($S$3=54,PR!$AR$70,IF($S$3=55,PR!$AR$71,IF($S$3=56,PR!$AR$72,IF($S$3=57,PR!$AR$73,IF($S$3=58,PR!$AR$74,IF($S$3=59,PR!$AR$75,IF($S$3=60,PR!$AR$76,"-"))))))))))))))))))))))))))))))))))))))))))))))))))))))))))))</f>
        <v>0</v>
      </c>
      <c r="I13" s="534">
        <f>IF($S$3=1,PR!$AS$11,IF($S$3=2,PR!$AS$12,IF($S$3=3,PR!$AS$13,IF($S$3=4,PR!$AS$14,IF($S$3=5,PR!$AS$15,IF($S$3=6,PR!$AS$16,IF($S$3=7,PR!$AS$17,IF($S$3=8,PR!$AS$18,IF($S$3=9,PR!$AS$19,IF($S$3=10,PR!$AS$20,IF($S$3=11,PR!$AS$21,IF($S$3=12,PR!$AS$22,IF($S$3=13,PR!$AS$23,IF($S$3=14,PR!$AS$24,IF($S$3=15,PR!$AS$25,IF($S$3=16,PR!$AS$26,IF($S$3=17,PR!$AS$27,IF($S$3=18,PR!$AS$28,IF($S$3=19,PR!$AS$32,IF($S$3=20,PR!$AS$33,IF($S$3=21,PR!$AS$34,IF($S$3=22,PR!$AS$35,IF($S$3=23,PR!$AS$36,IF($S$3=24,PR!$AS$37,IF($S$3=25,PR!$AS$38,IF($S$3=26,PR!$AS$39,IF($S$3=27,PR!$AS$40,IF($S$3=28,PR!$AS$41,IF($S$3=29,PR!$AS$42,IF($S$3=30,PR!$AS$43,IF($S$3=31,PR!$AS$44,IF($S$3=32,PR!$AS$45,IF($S$3=33,PR!$AS$46,IF($S$3=34,PR!$AS$50,IF($S$3=35,PR!$AS$51,IF($S$3=36,PR!$AS$52,IF($S$3=37,PR!$AS$53,IF($S$3=38,PR!$AS$54,IF($S$3=39,PR!$AS$55,IF($S$3=40,PR!$AS$56,IF($S$3=41,PR!$AS$57,IF($S$3=42,PR!$AS$58,IF($S$3=43,PR!$AS$59,IF($S$3=44,PR!$AS$60,IF($S$3=45,PR!$AS$61,IF($S$3=46,PR!$AS$62,IF($S$3=47,PR!$AS$63,IF($S$3=48,PR!$AS$64,IF($S$3=49,PR!$AS$65,IF($S$3=50,PR!$AS$66,IF($S$3=51,PR!$AS$67,IF($S$3=52,PR!$AS$68,IF($S$3=53,PR!$AS$69,IF($S$3=54,PR!$AS$70,IF($S$3=55,PR!$AS$71,IF($S$3=56,PR!$AS$72,IF($S$3=57,PR!$AS$73,IF($S$3=58,PR!$AS$74,IF($S$3=59,PR!$AS$75,IF($S$3=60,PR!$AS$76,"-"))))))))))))))))))))))))))))))))))))))))))))))))))))))))))))</f>
        <v>0</v>
      </c>
      <c r="J13" s="534">
        <f>IF($S$3=1,PR!$AT$11,IF($S$3=2,PR!$AT$12,IF($S$3=3,PR!$AT$13,IF($S$3=4,PR!$AT$14,IF($S$3=5,PR!$AT$15,IF($S$3=6,PR!$AT$16,IF($S$3=7,PR!$AT$17,IF($S$3=8,PR!$AT$18,IF($S$3=9,PR!$AT$19,IF($S$3=10,PR!$AT$20,IF($S$3=11,PR!$AT$21,IF($S$3=12,PR!$AT$22,IF($S$3=13,PR!$AT$23,IF($S$3=14,PR!$AT$24,IF($S$3=15,PR!$AT$25,IF($S$3=16,PR!$AT$26,IF($S$3=17,PR!$AT$27,IF($S$3=18,PR!$AT$28,IF($S$3=19,PR!$AT$32,IF($S$3=20,PR!$AT$33,IF($S$3=21,PR!$AT$34,IF($S$3=22,PR!$AT$35,IF($S$3=23,PR!$AT$36,IF($S$3=24,PR!$AT$37,IF($S$3=25,PR!$AT$38,IF($S$3=26,PR!$AT$39,IF($S$3=27,PR!$AT$40,IF($S$3=28,PR!$AT$41,IF($S$3=29,PR!$AT$42,IF($S$3=30,PR!$AT$43,IF($S$3=31,PR!$AT$44,IF($S$3=32,PR!$AT$45,IF($S$3=33,PR!$AT$46,IF($S$3=34,PR!$AT$50,IF($S$3=35,PR!$AT$51,IF($S$3=36,PR!$AT$52,IF($S$3=37,PR!$AT$53,IF($S$3=38,PR!$AT$54,IF($S$3=39,PR!$AT$55,IF($S$3=40,PR!$AT$56,IF($S$3=41,PR!$AT$57,IF($S$3=42,PR!$AT$58,IF($S$3=43,PR!$AT$59,IF($S$3=44,PR!$AT$60,IF($S$3=45,PR!$AT$61,IF($S$3=46,PR!$AT$62,IF($S$3=47,PR!$AT$63,IF($S$3=48,PR!$AT$64,IF($S$3=49,PR!$AT$65,IF($S$3=50,PR!$AT$66,IF($S$3=51,PR!$AT$67,IF($S$3=52,PR!$AT$68,IF($S$3=53,PR!$AT$69,IF($S$3=54,PR!$AT$70,IF($S$3=55,PR!$AT$71,IF($S$3=56,PR!$AT$72,IF($S$3=57,PR!$AT$73,IF($S$3=58,PR!$AT$74,IF($S$3=59,PR!$AT$75,IF($S$3=60,PR!$AT$76,"-"))))))))))))))))))))))))))))))))))))))))))))))))))))))))))))</f>
        <v>0</v>
      </c>
      <c r="K13" s="534">
        <f>IF($S$3=1,PR!$AU$11,IF($S$3=2,PR!$AU$12,IF($S$3=3,PR!$AU$13,IF($S$3=4,PR!$AU$14,IF($S$3=5,PR!$AU$15,IF($S$3=6,PR!$AU$16,IF($S$3=7,PR!$AU$17,IF($S$3=8,PR!$AU$18,IF($S$3=9,PR!$AU$19,IF($S$3=10,PR!$AU$20,IF($S$3=11,PR!$AU$21,IF($S$3=12,PR!$AU$22,IF($S$3=13,PR!$AU$23,IF($S$3=14,PR!$AU$24,IF($S$3=15,PR!$AU$25,IF($S$3=16,PR!$AU$26,IF($S$3=17,PR!$AU$27,IF($S$3=18,PR!$AU$28,IF($S$3=19,PR!$AU$32,IF($S$3=20,PR!$AU$33,IF($S$3=21,PR!$AU$34,IF($S$3=22,PR!$AU$35,IF($S$3=23,PR!$AU$36,IF($S$3=24,PR!$AU$37,IF($S$3=25,PR!$AU$38,IF($S$3=26,PR!$AU$39,IF($S$3=27,PR!$AU$40,IF($S$3=28,PR!$AU$41,IF($S$3=29,PR!$AU$42,IF($S$3=30,PR!$AU$43,IF($S$3=31,PR!$AU$44,IF($S$3=32,PR!$AU$45,IF($S$3=33,PR!$AU$46,IF($S$3=34,PR!$AU$50,IF($S$3=35,PR!$AU$51,IF($S$3=36,PR!$AU$52,IF($S$3=37,PR!$AU$53,IF($S$3=38,PR!$AU$54,IF($S$3=39,PR!$AU$55,IF($S$3=40,PR!$AU$56,IF($S$3=41,PR!$AU$57,IF($S$3=42,PR!$AU$58,IF($S$3=43,PR!$AU$59,IF($S$3=44,PR!$AU$60,IF($S$3=45,PR!$AU$61,IF($S$3=46,PR!$AU$62,IF($S$3=47,PR!$AU$63,IF($S$3=48,PR!$AU$64,IF($S$3=49,PR!$AU$65,IF($S$3=50,PR!$AU$66,IF($S$3=51,PR!$AU$67,IF($S$3=52,PR!$AU$68,IF($S$3=53,PR!$AU$69,IF($S$3=54,PR!$AU$70,IF($S$3=55,PR!$AU$71,IF($S$3=56,PR!$AU$72,IF($S$3=57,PR!$AU$73,IF($S$3=58,PR!$AU$74,IF($S$3=59,PR!$AU$75,IF($S$3=60,PR!$AU$76,"-"))))))))))))))))))))))))))))))))))))))))))))))))))))))))))))</f>
        <v>0</v>
      </c>
      <c r="L13" s="534">
        <f>IF($S$3=1,PR!$AV$11,IF($S$3=2,PR!$AV$12,IF($S$3=3,PR!$AV$13,IF($S$3=4,PR!$AV$14,IF($S$3=5,PR!$AV$15,IF($S$3=6,PR!$AV$16,IF($S$3=7,PR!$AV$17,IF($S$3=8,PR!$AV$18,IF($S$3=9,PR!$AV$19,IF($S$3=10,PR!$AV$20,IF($S$3=11,PR!$AV$21,IF($S$3=12,PR!$AV$22,IF($S$3=13,PR!$AV$23,IF($S$3=14,PR!$AV$24,IF($S$3=15,PR!$AV$25,IF($S$3=16,PR!$AV$26,IF($S$3=17,PR!$AV$27,IF($S$3=18,PR!$AV$28,IF($S$3=19,PR!$AV$32,IF($S$3=20,PR!$AV$33,IF($S$3=21,PR!$AV$34,IF($S$3=22,PR!$AV$35,IF($S$3=23,PR!$AV$36,IF($S$3=24,PR!$AV$37,IF($S$3=25,PR!$AV$38,IF($S$3=26,PR!$AV$39,IF($S$3=27,PR!$AV$40,IF($S$3=28,PR!$AV$41,IF($S$3=29,PR!$AV$42,IF($S$3=30,PR!$AV$43,IF($S$3=31,PR!$AV$44,IF($S$3=32,PR!$AV$45,IF($S$3=33,PR!$AV$46,IF($S$3=34,PR!$AV$50,IF($S$3=35,PR!$AV$51,IF($S$3=36,PR!$AV$52,IF($S$3=37,PR!$AV$53,IF($S$3=38,PR!$AV$54,IF($S$3=39,PR!$AV$55,IF($S$3=40,PR!$AV$56,IF($S$3=41,PR!$AV$57,IF($S$3=42,PR!$AV$58,IF($S$3=43,PR!$AV$59,IF($S$3=44,PR!$AV$60,IF($S$3=45,PR!$AV$61,IF($S$3=46,PR!$AV$62,IF($S$3=47,PR!$AV$63,IF($S$3=48,PR!$AV$64,IF($S$3=49,PR!$AV$65,IF($S$3=50,PR!$AV$66,IF($S$3=51,PR!$AV$67,IF($S$3=52,PR!$AV$68,IF($S$3=53,PR!$AV$69,IF($S$3=54,PR!$AV$70,IF($S$3=55,PR!$AV$71,IF($S$3=56,PR!$AV$72,IF($S$3=57,PR!$AV$73,IF($S$3=58,PR!$AV$74,IF($S$3=59,PR!$AV$75,IF($S$3=60,PR!$AV$76,"-"))))))))))))))))))))))))))))))))))))))))))))))))))))))))))))</f>
        <v>0</v>
      </c>
      <c r="M13" s="534">
        <f>IF($S$3=1,PR!$AW$11,IF($S$3=2,PR!$AW$12,IF($S$3=3,PR!$AW$13,IF($S$3=4,PR!$AW$14,IF($S$3=5,PR!$AW$15,IF($S$3=6,PR!$AW$16,IF($S$3=7,PR!$AW$17,IF($S$3=8,PR!$AW$18,IF($S$3=9,PR!$AW$19,IF($S$3=10,PR!$AW$20,IF($S$3=11,PR!$AW$21,IF($S$3=12,PR!$AW$22,IF($S$3=13,PR!$AW$23,IF($S$3=14,PR!$AW$24,IF($S$3=15,PR!$AW$25,IF($S$3=16,PR!$AW$26,IF($S$3=17,PR!$AW$27,IF($S$3=18,PR!$AW$28,IF($S$3=19,PR!$AW$32,IF($S$3=20,PR!$AW$33,IF($S$3=21,PR!$AW$34,IF($S$3=22,PR!$AW$35,IF($S$3=23,PR!$AW$36,IF($S$3=24,PR!$AW$37,IF($S$3=25,PR!$AW$38,IF($S$3=26,PR!$AW$39,IF($S$3=27,PR!$AW$40,IF($S$3=28,PR!$AW$41,IF($S$3=29,PR!$AW$42,IF($S$3=30,PR!$AW$43,IF($S$3=31,PR!$AW$44,IF($S$3=32,PR!$AW$45,IF($S$3=33,PR!$AW$46,IF($S$3=34,PR!$AW$50,IF($S$3=35,PR!$AW$51,IF($S$3=36,PR!$AW$52,IF($S$3=37,PR!$AW$53,IF($S$3=38,PR!$AW$54,IF($S$3=39,PR!$AW$55,IF($S$3=40,PR!$AW$56,IF($S$3=41,PR!$AW$57,IF($S$3=42,PR!$AW$58,IF($S$3=43,PR!$AW$59,IF($S$3=44,PR!$AW$60,IF($S$3=45,PR!$AW$61,IF($S$3=46,PR!$AW$62,IF($S$3=47,PR!$AW$63,IF($S$3=48,PR!$AW$64,IF($S$3=49,PR!$AW$65,IF($S$3=50,PR!$AW$66,IF($S$3=51,PR!$AW$67,IF($S$3=52,PR!$AW$68,IF($S$3=53,PR!$AW$69,IF($S$3=54,PR!$AW$70,IF($S$3=55,PR!$AW$71,IF($S$3=56,PR!$AW$72,IF($S$3=57,PR!$AW$73,IF($S$3=58,PR!$AW$74,IF($S$3=59,PR!$AW$75,IF($S$3=60,PR!$AW$76,"-"))))))))))))))))))))))))))))))))))))))))))))))))))))))))))))</f>
        <v>0</v>
      </c>
      <c r="N13" s="534">
        <f>IF($S$3=1,PR!$AX$11,IF($S$3=2,PR!$AX$12,IF($S$3=3,PR!$AX$13,IF($S$3=4,PR!$AX$14,IF($S$3=5,PR!$AX$15,IF($S$3=6,PR!$AX$16,IF($S$3=7,PR!$AX$17,IF($S$3=8,PR!$AX$18,IF($S$3=9,PR!$AX$19,IF($S$3=10,PR!$AX$20,IF($S$3=11,PR!$AX$21,IF($S$3=12,PR!$AX$22,IF($S$3=13,PR!$AX$23,IF($S$3=14,PR!$AX$24,IF($S$3=15,PR!$AX$25,IF($S$3=16,PR!$AX$26,IF($S$3=17,PR!$AX$27,IF($S$3=18,PR!$AX$28,IF($S$3=19,PR!$AX$32,IF($S$3=20,PR!$AX$33,IF($S$3=21,PR!$AX$34,IF($S$3=22,PR!$AX$35,IF($S$3=23,PR!$AX$36,IF($S$3=24,PR!$AX$37,IF($S$3=25,PR!$AX$38,IF($S$3=26,PR!$AX$39,IF($S$3=27,PR!$AX$40,IF($S$3=28,PR!$AX$41,IF($S$3=29,PR!$AX$42,IF($S$3=30,PR!$AX$43,IF($S$3=31,PR!$AX$44,IF($S$3=32,PR!$AX$45,IF($S$3=33,PR!$AX$46,IF($S$3=34,PR!$AX$50,IF($S$3=35,PR!$AX$51,IF($S$3=36,PR!$AX$52,IF($S$3=37,PR!$AX$53,IF($S$3=38,PR!$AX$54,IF($S$3=39,PR!$AX$55,IF($S$3=40,PR!$AX$56,IF($S$3=41,PR!$AX$57,IF($S$3=42,PR!$AX$58,IF($S$3=43,PR!$AX$59,IF($S$3=44,PR!$AX$60,IF($S$3=45,PR!$AX$61,IF($S$3=46,PR!$AX$62,IF($S$3=47,PR!$AX$63,IF($S$3=48,PR!$AX$64,IF($S$3=49,PR!$AX$65,IF($S$3=50,PR!$AX$66,IF($S$3=51,PR!$AX$67,IF($S$3=52,PR!$AX$68,IF($S$3=53,PR!$AX$69,IF($S$3=54,PR!$AX$70,IF($S$3=55,PR!$AX$71,IF($S$3=56,PR!$AX$72,IF($S$3=57,PR!$AX$73,IF($S$3=58,PR!$AX$74,IF($S$3=59,PR!$AX$75,IF($S$3=60,PR!$AX$76,"-"))))))))))))))))))))))))))))))))))))))))))))))))))))))))))))</f>
        <v>0</v>
      </c>
      <c r="O13" s="534">
        <f>IF($S$3=1,PR!$AY$11,IF($S$3=2,PR!$AY$12,IF($S$3=3,PR!$AY$13,IF($S$3=4,PR!$AY$14,IF($S$3=5,PR!$AY$15,IF($S$3=6,PR!$AY$16,IF($S$3=7,PR!$AY$17,IF($S$3=8,PR!$AY$18,IF($S$3=9,PR!$AY$19,IF($S$3=10,PR!$AY$20,IF($S$3=11,PR!$AY$21,IF($S$3=12,PR!$AY$22,IF($S$3=13,PR!$AY$23,IF($S$3=14,PR!$AY$24,IF($S$3=15,PR!$AY$25,IF($S$3=16,PR!$AY$26,IF($S$3=17,PR!$AY$27,IF($S$3=18,PR!$AY$28,IF($S$3=19,PR!$AY$32,IF($S$3=20,PR!$AY$33,IF($S$3=21,PR!$AY$34,IF($S$3=22,PR!$AY$35,IF($S$3=23,PR!$AY$36,IF($S$3=24,PR!$AY$37,IF($S$3=25,PR!$AY$38,IF($S$3=26,PR!$AY$39,IF($S$3=27,PR!$AY$40,IF($S$3=28,PR!$AY$41,IF($S$3=29,PR!$AY$42,IF($S$3=30,PR!$AY$43,IF($S$3=31,PR!$AY$44,IF($S$3=32,PR!$AY$45,IF($S$3=33,PR!$AY$46,IF($S$3=34,PR!$AY$50,IF($S$3=35,PR!$AY$51,IF($S$3=36,PR!$AY$52,IF($S$3=37,PR!$AY$53,IF($S$3=38,PR!$AY$54,IF($S$3=39,PR!$AY$55,IF($S$3=40,PR!$AY$56,IF($S$3=41,PR!$AY$57,IF($S$3=42,PR!$AY$58,IF($S$3=43,PR!$AY$59,IF($S$3=44,PR!$AY$60,IF($S$3=45,PR!$AY$61,IF($S$3=46,PR!$AY$62,IF($S$3=47,PR!$AY$63,IF($S$3=48,PR!$AY$64,IF($S$3=49,PR!$AY$65,IF($S$3=50,PR!$AY$66,IF($S$3=51,PR!$AY$67,IF($S$3=52,PR!$AY$68,IF($S$3=53,PR!$AY$69,IF($S$3=54,PR!$AY$70,IF($S$3=55,PR!$AY$71,IF($S$3=56,PR!$AY$72,IF($S$3=57,PR!$AY$73,IF($S$3=58,PR!$AY$74,IF($S$3=59,PR!$AY$75,IF($S$3=60,PR!$AY$76,"-"))))))))))))))))))))))))))))))))))))))))))))))))))))))))))))</f>
        <v>0</v>
      </c>
      <c r="P13" s="534">
        <f>IF($S$3=1,PR!$AZ$11,IF($S$3=2,PR!$AZ$12,IF($S$3=3,PR!$AZ$13,IF($S$3=4,PR!$AZ$14,IF($S$3=5,PR!$AZ$15,IF($S$3=6,PR!$AZ$16,IF($S$3=7,PR!$AZ$17,IF($S$3=8,PR!$AZ$18,IF($S$3=9,PR!$AZ$19,IF($S$3=10,PR!$AZ$20,IF($S$3=11,PR!$AZ$21,IF($S$3=12,PR!$AZ$22,IF($S$3=13,PR!$AZ$23,IF($S$3=14,PR!$AZ$24,IF($S$3=15,PR!$AZ$25,IF($S$3=16,PR!$AZ$26,IF($S$3=17,PR!$AZ$27,IF($S$3=18,PR!$AZ$28,IF($S$3=19,PR!$AZ$32,IF($S$3=20,PR!$AZ$33,IF($S$3=21,PR!$AZ$34,IF($S$3=22,PR!$AZ$35,IF($S$3=23,PR!$AZ$36,IF($S$3=24,PR!$AZ$37,IF($S$3=25,PR!$AZ$38,IF($S$3=26,PR!$AZ$39,IF($S$3=27,PR!$AZ$40,IF($S$3=28,PR!$AZ$41,IF($S$3=29,PR!$AZ$42,IF($S$3=30,PR!$AZ$43,IF($S$3=31,PR!$AZ$44,IF($S$3=32,PR!$AZ$45,IF($S$3=33,PR!$AZ$46,IF($S$3=34,PR!$AZ$50,IF($S$3=35,PR!$AZ$51,IF($S$3=36,PR!$AZ$52,IF($S$3=37,PR!$AZ$53,IF($S$3=38,PR!$AZ$54,IF($S$3=39,PR!$AZ$55,IF($S$3=40,PR!$AZ$56,IF($S$3=41,PR!$AZ$57,IF($S$3=42,PR!$AZ$58,IF($S$3=43,PR!$AZ$59,IF($S$3=44,PR!$AZ$60,IF($S$3=45,PR!$AZ$61,IF($S$3=46,PR!$AZ$62,IF($S$3=47,PR!$AZ$63,IF($S$3=48,PR!$AZ$64,IF($S$3=49,PR!$AZ$65,IF($S$3=50,PR!$AZ$66,IF($S$3=51,PR!$AZ$67,IF($S$3=52,PR!$AZ$68,IF($S$3=53,PR!$AZ$69,IF($S$3=54,PR!$AZ$70,IF($S$3=55,PR!$AZ$71,IF($S$3=56,PR!$AZ$72,IF($S$3=57,PR!$AZ$73,IF($S$3=58,PR!$AZ$74,IF($S$3=59,PR!$AZ$75,IF($S$3=60,PR!$AZ$76,"-"))))))))))))))))))))))))))))))))))))))))))))))))))))))))))))</f>
        <v>0</v>
      </c>
      <c r="Q13" s="534">
        <f>IF($S$3=1,PR!$BA$11,IF($S$3=2,PR!$BA$12,IF($S$3=3,PR!$BA$13,IF($S$3=4,PR!$BA$14,IF($S$3=5,PR!$BA$15,IF($S$3=6,PR!$BA$16,IF($S$3=7,PR!$BA$17,IF($S$3=8,PR!$BA$18,IF($S$3=9,PR!$BA$19,IF($S$3=10,PR!$BA$20,IF($S$3=11,PR!$BA$21,IF($S$3=12,PR!$BA$22,IF($S$3=13,PR!$BA$23,IF($S$3=14,PR!$BA$24,IF($S$3=15,PR!$BA$25,IF($S$3=16,PR!$BA$26,IF($S$3=17,PR!$BA$27,IF($S$3=18,PR!$BA$28,IF($S$3=19,PR!$BA$32,IF($S$3=20,PR!$BA$33,IF($S$3=21,PR!$BA$34,IF($S$3=22,PR!$BA$35,IF($S$3=23,PR!$BA$36,IF($S$3=24,PR!$BA$37,IF($S$3=25,PR!$BA$38,IF($S$3=26,PR!$BA$39,IF($S$3=27,PR!$BA$40,IF($S$3=28,PR!$BA$41,IF($S$3=29,PR!$BA$42,IF($S$3=30,PR!$BA$43,IF($S$3=31,PR!$BA$44,IF($S$3=32,PR!$BA$45,IF($S$3=33,PR!$BA$46,IF($S$3=34,PR!$BA$50,IF($S$3=35,PR!$BA$51,IF($S$3=36,PR!$BA$52,IF($S$3=37,PR!$BA$53,IF($S$3=38,PR!$BA$54,IF($S$3=39,PR!$BA$55,IF($S$3=40,PR!$BA$56,IF($S$3=41,PR!$BA$57,IF($S$3=42,PR!$BA$58,IF($S$3=43,PR!$BA$59,IF($S$3=44,PR!$BA$60,IF($S$3=45,PR!$BA$61,IF($S$3=46,PR!$BA$62,IF($S$3=47,PR!$BA$63,IF($S$3=48,PR!$BA$64,IF($S$3=49,PR!$BA$65,IF($S$3=50,PR!$BA$66,IF($S$3=51,PR!$BA$67,IF($S$3=52,PR!$BA$68,IF($S$3=53,PR!$BA$69,IF($S$3=54,PR!$BA$70,IF($S$3=55,PR!$BA$71,IF($S$3=56,PR!$BA$72,IF($S$3=57,PR!$BA$73,IF($S$3=58,PR!$BA$74,IF($S$3=59,PR!$BA$75,IF($S$3=60,PR!$BA$76,"-"))))))))))))))))))))))))))))))))))))))))))))))))))))))))))))</f>
        <v>8650</v>
      </c>
      <c r="R13" s="534">
        <f>IF($S$3=1,PR!$BB$11,IF($S$3=2,PR!$BB$12,IF($S$3=3,PR!$BB$13,IF($S$3=4,PR!$BB$14,IF($S$3=5,PR!$BB$15,IF($S$3=6,PR!$BB$16,IF($S$3=7,PR!$BB$17,IF($S$3=8,PR!$BB$18,IF($S$3=9,PR!$BB$19,IF($S$3=10,PR!$BB$20,IF($S$3=11,PR!$BB$21,IF($S$3=12,PR!$BB$22,IF($S$3=13,PR!$BB$23,IF($S$3=14,PR!$BB$24,IF($S$3=15,PR!$BB$25,IF($S$3=16,PR!$BB$26,IF($S$3=17,PR!$BB$27,IF($S$3=18,PR!$BB$28,IF($S$3=19,PR!$BB$32,IF($S$3=20,PR!$BB$33,IF($S$3=21,PR!$BB$34,IF($S$3=22,PR!$BB$35,IF($S$3=23,PR!$BB$36,IF($S$3=24,PR!$BB$37,IF($S$3=25,PR!$BB$38,IF($S$3=26,PR!$BB$39,IF($S$3=27,PR!$BB$40,IF($S$3=28,PR!$BB$41,IF($S$3=29,PR!$BB$42,IF($S$3=30,PR!$BB$43,IF($S$3=31,PR!$BB$44,IF($S$3=32,PR!$BB$45,IF($S$3=33,PR!$BB$46,IF($S$3=34,PR!$BB$50,IF($S$3=35,PR!$BB$51,IF($S$3=36,PR!$BB$52,IF($S$3=37,PR!$BB$53,IF($S$3=38,PR!$BB$54,IF($S$3=39,PR!$BB$55,IF($S$3=40,PR!$BB$56,IF($S$3=41,PR!$BB$57,IF($S$3=42,PR!$BB$58,IF($S$3=43,PR!$BB$59,IF($S$3=44,PR!$BB$60,IF($S$3=45,PR!$BB$61,IF($S$3=46,PR!$BB$62,IF($S$3=47,PR!$BB$63,IF($S$3=48,PR!$BB$64,IF($S$3=49,PR!$BB$65,IF($S$3=50,PR!$BB$66,IF($S$3=51,PR!$BB$67,IF($S$3=52,PR!$BB$68,IF($S$3=53,PR!$BB$69,IF($S$3=54,PR!$BB$70,IF($S$3=55,PR!$BB$71,IF($S$3=56,PR!$BB$72,IF($S$3=57,PR!$BB$73,IF($S$3=58,PR!$BB$74,IF($S$3=59,PR!$BB$75,IF($S$3=60,PR!$BB$76,"-"))))))))))))))))))))))))))))))))))))))))))))))))))))))))))))</f>
        <v>0</v>
      </c>
      <c r="S13" s="534">
        <f>IF($S$3=1,PR!$BC$11,IF($S$3=2,PR!$BC$12,IF($S$3=3,PR!$BC$13,IF($S$3=4,PR!$BC$14,IF($S$3=5,PR!$BC$15,IF($S$3=6,PR!$BC$16,IF($S$3=7,PR!$BC$17,IF($S$3=8,PR!$BC$18,IF($S$3=9,PR!$BC$19,IF($S$3=10,PR!$BC$20,IF($S$3=11,PR!$BC$21,IF($S$3=12,PR!$BC$22,IF($S$3=13,PR!$BC$23,IF($S$3=14,PR!$BC$24,IF($S$3=15,PR!$BC$25,IF($S$3=16,PR!$BC$26,IF($S$3=17,PR!$BC$27,IF($S$3=18,PR!$BC$28,IF($S$3=19,PR!$BC$32,IF($S$3=20,PR!$BC$33,IF($S$3=21,PR!$BC$34,IF($S$3=22,PR!$BC$35,IF($S$3=23,PR!$BC$36,IF($S$3=24,PR!$BC$37,IF($S$3=25,PR!$BC$38,IF($S$3=26,PR!$BC$39,IF($S$3=27,PR!$BC$40,IF($S$3=28,PR!$BC$41,IF($S$3=29,PR!$BC$42,IF($S$3=30,PR!$BC$43,IF($S$3=31,PR!$BC$44,IF($S$3=32,PR!$BC$45,IF($S$3=33,PR!$BC$46,IF($S$3=34,PR!$BC$50,IF($S$3=35,PR!$BC$51,IF($S$3=36,PR!$BC$52,IF($S$3=37,PR!$BC$53,IF($S$3=38,PR!$BC$54,IF($S$3=39,PR!$BC$55,IF($S$3=40,PR!$BC$56,IF($S$3=41,PR!$BC$57,IF($S$3=42,PR!$BC$58,IF($S$3=43,PR!$BC$59,IF($S$3=44,PR!$BC$60,IF($S$3=45,PR!$BC$61,IF($S$3=46,PR!$BC$62,IF($S$3=47,PR!$BC$63,IF($S$3=48,PR!$BC$64,IF($S$3=49,PR!$BC$65,IF($S$3=50,PR!$BC$66,IF($S$3=51,PR!$BC$67,IF($S$3=52,PR!$BC$68,IF($S$3=53,PR!$BC$69,IF($S$3=54,PR!$BC$70,IF($S$3=55,PR!$BC$71,IF($S$3=56,PR!$BC$72,IF($S$3=57,PR!$BC$73,IF($S$3=58,PR!$BC$74,IF($S$3=59,PR!$BC$75,IF($S$3=60,PR!$BC$76,"-"))))))))))))))))))))))))))))))))))))))))))))))))))))))))))))</f>
        <v>0</v>
      </c>
      <c r="T13" s="518"/>
      <c r="U13" s="518"/>
      <c r="V13" s="32"/>
      <c r="W13" s="32"/>
      <c r="X13" s="32"/>
      <c r="Y13" s="32"/>
      <c r="Z13" s="32"/>
    </row>
    <row r="14" spans="1:26" ht="15.75" x14ac:dyDescent="0.25">
      <c r="A14" s="91"/>
      <c r="B14" s="518"/>
      <c r="C14" s="529"/>
      <c r="D14" s="518"/>
      <c r="E14" s="518"/>
      <c r="F14" s="518"/>
      <c r="G14" s="518"/>
      <c r="H14" s="518"/>
      <c r="I14" s="518"/>
      <c r="J14" s="518"/>
      <c r="K14" s="518"/>
      <c r="L14" s="518"/>
      <c r="M14" s="518"/>
      <c r="N14" s="518"/>
      <c r="O14" s="518"/>
      <c r="P14" s="518"/>
      <c r="Q14" s="518"/>
      <c r="R14" s="535"/>
      <c r="S14" s="535"/>
      <c r="T14" s="518"/>
      <c r="U14" s="518"/>
      <c r="V14" s="32"/>
      <c r="W14" s="32"/>
      <c r="X14" s="32"/>
      <c r="Y14" s="32"/>
      <c r="Z14" s="32"/>
    </row>
    <row r="15" spans="1:26" ht="15.75" thickBot="1" x14ac:dyDescent="0.3">
      <c r="A15" s="91"/>
      <c r="B15" s="518"/>
      <c r="C15" s="531" t="str">
        <f>N!$C$55</f>
        <v>SAM</v>
      </c>
      <c r="D15" s="531" t="str">
        <f>N!$C$56</f>
        <v>SEAGREEN</v>
      </c>
      <c r="E15" s="531" t="str">
        <f>N!$C$57</f>
        <v>SKG</v>
      </c>
      <c r="F15" s="531" t="str">
        <f>N!$C$58</f>
        <v>TAH</v>
      </c>
      <c r="G15" s="531" t="str">
        <f>N!$C$59</f>
        <v>TAYLEK</v>
      </c>
      <c r="H15" s="531" t="str">
        <f>N!$C$60</f>
        <v>TEMITA</v>
      </c>
      <c r="I15" s="531" t="str">
        <f>N!$C$61</f>
        <v>THL</v>
      </c>
      <c r="J15" s="531" t="str">
        <f>N!$C$62</f>
        <v>UBASTIC</v>
      </c>
      <c r="K15" s="531" t="str">
        <f>N!$C$63</f>
        <v>UNION</v>
      </c>
      <c r="L15" s="531" t="str">
        <f>N!$C$64</f>
        <v>UNIQUE</v>
      </c>
      <c r="M15" s="531" t="str">
        <f>N!$C$65</f>
        <v>VIXA</v>
      </c>
      <c r="N15" s="531" t="str">
        <f>N!$C$66</f>
        <v>WWCV</v>
      </c>
      <c r="O15" s="531" t="str">
        <f>N!$C$67</f>
        <v>ZOLON</v>
      </c>
      <c r="P15" s="531" t="e">
        <f>N!#REF!</f>
        <v>#REF!</v>
      </c>
      <c r="Q15" s="531" t="e">
        <f>N!#REF!</f>
        <v>#REF!</v>
      </c>
      <c r="R15" s="531" t="e">
        <f>N!#REF!</f>
        <v>#REF!</v>
      </c>
      <c r="S15" s="518"/>
      <c r="T15" s="518"/>
      <c r="U15" s="518"/>
      <c r="V15" s="32"/>
      <c r="W15" s="32"/>
      <c r="X15" s="32"/>
      <c r="Y15" s="32"/>
      <c r="Z15" s="32"/>
    </row>
    <row r="16" spans="1:26" ht="15.75" thickBot="1" x14ac:dyDescent="0.3">
      <c r="A16" s="91"/>
      <c r="B16" s="518"/>
      <c r="C16" s="534">
        <f>IF($S$3=1,PR!$BD$11,IF($S$3=2,PR!$BD$12,IF($S$3=3,PR!$BD$13,IF($S$3=4,PR!$BD$14,IF($S$3=5,PR!$BD$15,IF($S$3=6,PR!$BD$16,IF($S$3=7,PR!$BD$17,IF($S$3=8,PR!$BD$18,IF($S$3=9,PR!$BD$19,IF($S$3=10,PR!$BD$20,IF($S$3=11,PR!$BD$21,IF($S$3=12,PR!$BD$22,IF($S$3=13,PR!$BD$23,IF($S$3=14,PR!$BD$24,IF($S$3=15,PR!$BD$25,IF($S$3=16,PR!$BD$26,IF($S$3=17,PR!$BD$27,IF($S$3=18,PR!$BD$28,IF($S$3=19,PR!$BD$32,IF($S$3=20,PR!$BD$33,IF($S$3=21,PR!$BD$34,IF($S$3=22,PR!$BD$35,IF($S$3=23,PR!$BD$36,IF($S$3=24,PR!$BD$37,IF($S$3=25,PR!$BD$38,IF($S$3=26,PR!$BD$39,IF($S$3=27,PR!$BD$40,IF($S$3=28,PR!$BD$41,IF($S$3=29,PR!$BD$42,IF($S$3=30,PR!$BD$43,IF($S$3=31,PR!$BD$44,IF($S$3=32,PR!$BD$45,IF($S$3=33,PR!$BD$46,IF($S$3=34,PR!$BD$50,IF($S$3=35,PR!$BD$51,IF($S$3=36,PR!$BD$52,IF($S$3=37,PR!$BD$53,IF($S$3=38,PR!$BD$54,IF($S$3=39,PR!$BD$55,IF($S$3=40,PR!$BD$56,IF($S$3=41,PR!$BD$57,IF($S$3=42,PR!$BD$58,IF($S$3=43,PR!$BD$59,IF($S$3=44,PR!$BD$60,IF($S$3=45,PR!$BD$61,IF($S$3=46,PR!$BD$62,IF($S$3=47,PR!$BD$63,IF($S$3=48,PR!$BD$64,IF($S$3=49,PR!$BD$65,IF($S$3=50,PR!$BD$66,IF($S$3=51,PR!$BD$67,IF($S$3=52,PR!$BD$68,IF($S$3=53,PR!$BD$69,IF($S$3=54,PR!$BD$70,IF($S$3=55,PR!$BD$71,IF($S$3=56,PR!$BD$72,IF($S$3=57,PR!$BD$73,IF($S$3=58,PR!$BD$74,IF($S$3=59,PR!$BD$75,IF($S$3=60,PR!$BD$76,"-"))))))))))))))))))))))))))))))))))))))))))))))))))))))))))))</f>
        <v>0</v>
      </c>
      <c r="D16" s="534">
        <f>IF($S$3=1,PR!$BE$11,IF($S$3=2,PR!$BE$12,IF($S$3=3,PR!$BE$13,IF($S$3=4,PR!$BE$14,IF($S$3=5,PR!$BE$15,IF($S$3=6,PR!$BE$16,IF($S$3=7,PR!$BE$17,IF($S$3=8,PR!$BE$18,IF($S$3=9,PR!$BE$19,IF($S$3=10,PR!$BE$20,IF($S$3=11,PR!$BE$21,IF($S$3=12,PR!$BE$22,IF($S$3=13,PR!$BE$23,IF($S$3=14,PR!$BE$24,IF($S$3=15,PR!$BE$25,IF($S$3=16,PR!$BE$26,IF($S$3=17,PR!$BE$27,IF($S$3=18,PR!$BE$28,IF($S$3=19,PR!$BE$32,IF($S$3=20,PR!$BE$33,IF($S$3=21,PR!$BE$34,IF($S$3=22,PR!$BE$35,IF($S$3=23,PR!$BE$36,IF($S$3=24,PR!$BE$37,IF($S$3=25,PR!$BE$38,IF($S$3=26,PR!$BE$39,IF($S$3=27,PR!$BE$40,IF($S$3=28,PR!$BE$41,IF($S$3=29,PR!$BE$42,IF($S$3=30,PR!$BE$43,IF($S$3=31,PR!$BE$44,IF($S$3=32,PR!$BE$45,IF($S$3=33,PR!$BE$46,IF($S$3=34,PR!$BE$50,IF($S$3=35,PR!$BE$51,IF($S$3=36,PR!$BE$52,IF($S$3=37,PR!$BE$53,IF($S$3=38,PR!$BE$54,IF($S$3=39,PR!$BE$55,IF($S$3=40,PR!$BE$56,IF($S$3=41,PR!$BE$57,IF($S$3=42,PR!$BE$58,IF($S$3=43,PR!$BE$59,IF($S$3=44,PR!$BE$60,IF($S$3=45,PR!$BE$61,IF($S$3=46,PR!$BE$62,IF($S$3=47,PR!$BE$63,IF($S$3=48,PR!$BE$64,IF($S$3=49,PR!$BE$65,IF($S$3=50,PR!$BE$66,IF($S$3=51,PR!$BE$67,IF($S$3=52,PR!$BE$68,IF($S$3=53,PR!$BE$69,IF($S$3=54,PR!$BE$70,IF($S$3=55,PR!$BE$71,IF($S$3=56,PR!$BE$72,IF($S$3=57,PR!$BE$73,IF($S$3=58,PR!$BE$74,IF($S$3=59,PR!$BE$75,IF($S$3=60,PR!$BE$76,"-"))))))))))))))))))))))))))))))))))))))))))))))))))))))))))))</f>
        <v>0</v>
      </c>
      <c r="E16" s="534">
        <f>IF($S$3=1,PR!$BF$11,IF($S$3=2,PR!$BF$12,IF($S$3=3,PR!$BF$13,IF($S$3=4,PR!$BF$14,IF($S$3=5,PR!$BF$15,IF($S$3=6,PR!$BF$16,IF($S$3=7,PR!$BF$17,IF($S$3=8,PR!$BF$18,IF($S$3=9,PR!$BF$19,IF($S$3=10,PR!$BF$20,IF($S$3=11,PR!$BF$21,IF($S$3=12,PR!$BF$22,IF($S$3=13,PR!$BF$23,IF($S$3=14,PR!$BF$24,IF($S$3=15,PR!$BF$25,IF($S$3=16,PR!$BF$26,IF($S$3=17,PR!$BF$27,IF($S$3=18,PR!$BF$28,IF($S$3=19,PR!$BF$32,IF($S$3=20,PR!$BF$33,IF($S$3=21,PR!$BF$34,IF($S$3=22,PR!$BF$35,IF($S$3=23,PR!$BF$36,IF($S$3=24,PR!$BF$37,IF($S$3=25,PR!$BF$38,IF($S$3=26,PR!$BF$39,IF($S$3=27,PR!$BF$40,IF($S$3=28,PR!$BF$41,IF($S$3=29,PR!$BF$42,IF($S$3=30,PR!$BF$43,IF($S$3=31,PR!$BF$44,IF($S$3=32,PR!$BF$45,IF($S$3=33,PR!$BF$46,IF($S$3=34,PR!$BF$50,IF($S$3=35,PR!$BF$51,IF($S$3=36,PR!$BF$52,IF($S$3=37,PR!$BF$53,IF($S$3=38,PR!$BF$54,IF($S$3=39,PR!$BF$55,IF($S$3=40,PR!$BF$56,IF($S$3=41,PR!$BF$57,IF($S$3=42,PR!$BF$58,IF($S$3=43,PR!$BF$59,IF($S$3=44,PR!$BF$60,IF($S$3=45,PR!$BF$61,IF($S$3=46,PR!$BF$62,IF($S$3=47,PR!$BF$63,IF($S$3=48,PR!$BF$64,IF($S$3=49,PR!$BF$65,IF($S$3=50,PR!$BF$66,IF($S$3=51,PR!$BF$67,IF($S$3=52,PR!$BF$68,IF($S$3=53,PR!$BF$69,IF($S$3=54,PR!$BF$70,IF($S$3=55,PR!$BF$71,IF($S$3=56,PR!$BF$72,IF($S$3=57,PR!$BF$73,IF($S$3=58,PR!$BF$74,IF($S$3=59,PR!$BF$75,IF($S$3=60,PR!$BF$76,"-"))))))))))))))))))))))))))))))))))))))))))))))))))))))))))))</f>
        <v>0</v>
      </c>
      <c r="F16" s="534">
        <f>IF($S$3=1,PR!$BG$11,IF($S$3=2,PR!$BG$12,IF($S$3=3,PR!$BG$13,IF($S$3=4,PR!$BG$14,IF($S$3=5,PR!$BG$15,IF($S$3=6,PR!$BG$16,IF($S$3=7,PR!$BG$17,IF($S$3=8,PR!$BG$18,IF($S$3=9,PR!$BG$19,IF($S$3=10,PR!$BG$20,IF($S$3=11,PR!$BG$21,IF($S$3=12,PR!$BG$22,IF($S$3=13,PR!$BG$23,IF($S$3=14,PR!$BG$24,IF($S$3=15,PR!$BG$25,IF($S$3=16,PR!$BG$26,IF($S$3=17,PR!$BG$27,IF($S$3=18,PR!$BG$28,IF($S$3=19,PR!$BG$32,IF($S$3=20,PR!$BG$33,IF($S$3=21,PR!$BG$34,IF($S$3=22,PR!$BG$35,IF($S$3=23,PR!$BG$36,IF($S$3=24,PR!$BG$37,IF($S$3=25,PR!$BG$38,IF($S$3=26,PR!$BG$39,IF($S$3=27,PR!$BG$40,IF($S$3=28,PR!$BG$41,IF($S$3=29,PR!$BG$42,IF($S$3=30,PR!$BG$43,IF($S$3=31,PR!$BG$44,IF($S$3=32,PR!$BG$45,IF($S$3=33,PR!$BG$46,IF($S$3=34,PR!$BG$50,IF($S$3=35,PR!$BG$51,IF($S$3=36,PR!$BG$52,IF($S$3=37,PR!$BG$53,IF($S$3=38,PR!$BG$54,IF($S$3=39,PR!$BG$55,IF($S$3=40,PR!$BG$56,IF($S$3=41,PR!$BG$57,IF($S$3=42,PR!$BG$58,IF($S$3=43,PR!$BG$59,IF($S$3=44,PR!$BG$60,IF($S$3=45,PR!$BG$61,IF($S$3=46,PR!$BG$62,IF($S$3=47,PR!$BG$63,IF($S$3=48,PR!$BG$64,IF($S$3=49,PR!$BG$65,IF($S$3=50,PR!$BG$66,IF($S$3=51,PR!$BG$67,IF($S$3=52,PR!$BG$68,IF($S$3=53,PR!$BG$69,IF($S$3=54,PR!$BG$70,IF($S$3=55,PR!$BG$71,IF($S$3=56,PR!$BG$72,IF($S$3=57,PR!$BG$73,IF($S$3=58,PR!$BG$74,IF($S$3=59,PR!$BG$75,IF($S$3=60,PR!$BG$76,"-"))))))))))))))))))))))))))))))))))))))))))))))))))))))))))))</f>
        <v>0</v>
      </c>
      <c r="G16" s="534">
        <f>IF($S$3=1,PR!$BH$11,IF($S$3=2,PR!$BH$12,IF($S$3=3,PR!$BH$13,IF($S$3=4,PR!$BH$14,IF($S$3=5,PR!$BH$15,IF($S$3=6,PR!$BH$16,IF($S$3=7,PR!$BH$17,IF($S$3=8,PR!$BH$18,IF($S$3=9,PR!$BH$19,IF($S$3=10,PR!$BH$20,IF($S$3=11,PR!$BH$21,IF($S$3=12,PR!$BH$22,IF($S$3=13,PR!$BH$23,IF($S$3=14,PR!$BH$24,IF($S$3=15,PR!$BH$25,IF($S$3=16,PR!$BH$26,IF($S$3=17,PR!$BH$27,IF($S$3=18,PR!$BH$28,IF($S$3=19,PR!$BH$32,IF($S$3=20,PR!$BH$33,IF($S$3=21,PR!$BH$34,IF($S$3=22,PR!$BH$35,IF($S$3=23,PR!$BH$36,IF($S$3=24,PR!$BH$37,IF($S$3=25,PR!$BH$38,IF($S$3=26,PR!$BH$39,IF($S$3=27,PR!$BH$40,IF($S$3=28,PR!$BH$41,IF($S$3=29,PR!$BH$42,IF($S$3=30,PR!$BH$43,IF($S$3=31,PR!$BH$44,IF($S$3=32,PR!$BH$45,IF($S$3=33,PR!$BH$46,IF($S$3=34,PR!$BH$50,IF($S$3=35,PR!$BH$51,IF($S$3=36,PR!$BH$52,IF($S$3=37,PR!$BH$53,IF($S$3=38,PR!$BH$54,IF($S$3=39,PR!$BH$55,IF($S$3=40,PR!$BH$56,IF($S$3=41,PR!$BH$57,IF($S$3=42,PR!$BH$58,IF($S$3=43,PR!$BH$59,IF($S$3=44,PR!$BH$60,IF($S$3=45,PR!$BH$61,IF($S$3=46,PR!$BH$62,IF($S$3=47,PR!$BH$63,IF($S$3=48,PR!$BH$64,IF($S$3=49,PR!$BH$65,IF($S$3=50,PR!$BH$66,IF($S$3=51,PR!$BH$67,IF($S$3=52,PR!$BH$68,IF($S$3=53,PR!$BH$69,IF($S$3=54,PR!$BH$70,IF($S$3=55,PR!$BH$71,IF($S$3=56,PR!$BH$72,IF($S$3=57,PR!$BH$73,IF($S$3=58,PR!$BH$74,IF($S$3=59,PR!$BH$75,IF($S$3=60,PR!$BH$76,"-"))))))))))))))))))))))))))))))))))))))))))))))))))))))))))))</f>
        <v>0</v>
      </c>
      <c r="H16" s="534">
        <f>IF($S$3=1,PR!$BI$11,IF($S$3=2,PR!$BI$12,IF($S$3=3,PR!$BI$13,IF($S$3=4,PR!$BI$14,IF($S$3=5,PR!$BI$15,IF($S$3=6,PR!$BI$16,IF($S$3=7,PR!$BI$17,IF($S$3=8,PR!$BI$18,IF($S$3=9,PR!$BI$19,IF($S$3=10,PR!$BI$20,IF($S$3=11,PR!$BI$21,IF($S$3=12,PR!$BI$22,IF($S$3=13,PR!$BI$23,IF($S$3=14,PR!$BI$24,IF($S$3=15,PR!$BI$25,IF($S$3=16,PR!$BI$26,IF($S$3=17,PR!$BI$27,IF($S$3=18,PR!$BI$28,IF($S$3=19,PR!$BI$32,IF($S$3=20,PR!$BI$33,IF($S$3=21,PR!$BI$34,IF($S$3=22,PR!$BI$35,IF($S$3=23,PR!$BI$36,IF($S$3=24,PR!$BI$37,IF($S$3=25,PR!$BI$38,IF($S$3=26,PR!$BI$39,IF($S$3=27,PR!$BI$40,IF($S$3=28,PR!$BI$41,IF($S$3=29,PR!$BI$42,IF($S$3=30,PR!$BI$43,IF($S$3=31,PR!$BI$44,IF($S$3=32,PR!$BI$45,IF($S$3=33,PR!$BI$46,IF($S$3=34,PR!$BI$50,IF($S$3=35,PR!$BI$51,IF($S$3=36,PR!$BI$52,IF($S$3=37,PR!$BI$53,IF($S$3=38,PR!$BI$54,IF($S$3=39,PR!$BI$55,IF($S$3=40,PR!$BI$56,IF($S$3=41,PR!$BI$57,IF($S$3=42,PR!$BI$58,IF($S$3=43,PR!$BI$59,IF($S$3=44,PR!$BI$60,IF($S$3=45,PR!$BI$61,IF($S$3=46,PR!$BI$62,IF($S$3=47,PR!$BI$63,IF($S$3=48,PR!$BI$64,IF($S$3=49,PR!$BI$65,IF($S$3=50,PR!$BI$66,IF($S$3=51,PR!$BI$67,IF($S$3=52,PR!$BI$68,IF($S$3=53,PR!$BI$69,IF($S$3=54,PR!$BI$70,IF($S$3=55,PR!$BI$71,IF($S$3=56,PR!$BI$72,IF($S$3=57,PR!$BI$73,IF($S$3=58,PR!$BI$74,IF($S$3=59,PR!$BI$75,IF($S$3=60,PR!$BI$76,"-"))))))))))))))))))))))))))))))))))))))))))))))))))))))))))))</f>
        <v>0</v>
      </c>
      <c r="I16" s="534">
        <f>IF($S$3=1,PR!$BJ$11,IF($S$3=2,PR!$BJ$12,IF($S$3=3,PR!$BJ$13,IF($S$3=4,PR!$BJ$14,IF($S$3=5,PR!$BJ$15,IF($S$3=6,PR!$BJ$16,IF($S$3=7,PR!$BJ$17,IF($S$3=8,PR!$BJ$18,IF($S$3=9,PR!$BJ$19,IF($S$3=10,PR!$BJ$20,IF($S$3=11,PR!$BJ$21,IF($S$3=12,PR!$BJ$22,IF($S$3=13,PR!$BJ$23,IF($S$3=14,PR!$BJ$24,IF($S$3=15,PR!$BJ$25,IF($S$3=16,PR!$BJ$26,IF($S$3=17,PR!$BJ$27,IF($S$3=18,PR!$BJ$28,IF($S$3=19,PR!$BJ$32,IF($S$3=20,PR!$BJ$33,IF($S$3=21,PR!$BJ$34,IF($S$3=22,PR!$BJ$35,IF($S$3=23,PR!$BJ$36,IF($S$3=24,PR!$BJ$37,IF($S$3=25,PR!$BJ$38,IF($S$3=26,PR!$BJ$39,IF($S$3=27,PR!$BJ$40,IF($S$3=28,PR!$BJ$41,IF($S$3=29,PR!$BJ$42,IF($S$3=30,PR!$BJ$43,IF($S$3=31,PR!$BJ$44,IF($S$3=32,PR!$BJ$45,IF($S$3=33,PR!$BJ$46,IF($S$3=34,PR!$BJ$50,IF($S$3=35,PR!$BJ$51,IF($S$3=36,PR!$BJ$52,IF($S$3=37,PR!$BJ$53,IF($S$3=38,PR!$BJ$54,IF($S$3=39,PR!$BJ$55,IF($S$3=40,PR!$BJ$56,IF($S$3=41,PR!$BJ$57,IF($S$3=42,PR!$BJ$58,IF($S$3=43,PR!$BJ$59,IF($S$3=44,PR!$BJ$60,IF($S$3=45,PR!$BJ$61,IF($S$3=46,PR!$BJ$62,IF($S$3=47,PR!$BJ$63,IF($S$3=48,PR!$BJ$64,IF($S$3=49,PR!$BJ$65,IF($S$3=50,PR!$BJ$66,IF($S$3=51,PR!$BJ$67,IF($S$3=52,PR!$BJ$68,IF($S$3=53,PR!$BJ$69,IF($S$3=54,PR!$BJ$70,IF($S$3=55,PR!$BJ$71,IF($S$3=56,PR!$BJ$72,IF($S$3=57,PR!$BJ$73,IF($S$3=58,PR!$BJ$74,IF($S$3=59,PR!$BJ$75,IF($S$3=60,PR!$BJ$76,"-"))))))))))))))))))))))))))))))))))))))))))))))))))))))))))))</f>
        <v>0</v>
      </c>
      <c r="J16" s="534">
        <f>IF($S$3=1,PR!$BK$11,IF($S$3=2,PR!$BK$12,IF($S$3=3,PR!$BK$13,IF($S$3=4,PR!$BK$14,IF($S$3=5,PR!$BK$15,IF($S$3=6,PR!$BK$16,IF($S$3=7,PR!$BK$17,IF($S$3=8,PR!$BK$18,IF($S$3=9,PR!$BK$19,IF($S$3=10,PR!$BK$20,IF($S$3=11,PR!$BK$21,IF($S$3=12,PR!$BK$22,IF($S$3=13,PR!$BK$23,IF($S$3=14,PR!$BK$24,IF($S$3=15,PR!$BK$25,IF($S$3=16,PR!$BK$26,IF($S$3=17,PR!$BK$27,IF($S$3=18,PR!$BK$28,IF($S$3=19,PR!$BK$32,IF($S$3=20,PR!$BK$33,IF($S$3=21,PR!$BK$34,IF($S$3=22,PR!$BK$35,IF($S$3=23,PR!$BK$36,IF($S$3=24,PR!$BK$37,IF($S$3=25,PR!$BK$38,IF($S$3=26,PR!$BK$39,IF($S$3=27,PR!$BK$40,IF($S$3=28,PR!$BK$41,IF($S$3=29,PR!$BK$42,IF($S$3=30,PR!$BK$43,IF($S$3=31,PR!$BK$44,IF($S$3=32,PR!$BK$45,IF($S$3=33,PR!$BK$46,IF($S$3=34,PR!$BK$50,IF($S$3=35,PR!$BK$51,IF($S$3=36,PR!$BK$52,IF($S$3=37,PR!$BK$53,IF($S$3=38,PR!$BK$54,IF($S$3=39,PR!$BK$55,IF($S$3=40,PR!$BK$56,IF($S$3=41,PR!$BK$57,IF($S$3=42,PR!$BK$58,IF($S$3=43,PR!$BK$59,IF($S$3=44,PR!$BK$60,IF($S$3=45,PR!$BK$61,IF($S$3=46,PR!$BK$62,IF($S$3=47,PR!$BK$63,IF($S$3=48,PR!$BK$64,IF($S$3=49,PR!$BK$65,IF($S$3=50,PR!$BK$66,IF($S$3=51,PR!$BK$67,IF($S$3=52,PR!$BK$68,IF($S$3=53,PR!$BK$69,IF($S$3=54,PR!$BK$70,IF($S$3=55,PR!$BK$71,IF($S$3=56,PR!$BK$72,IF($S$3=57,PR!$BK$73,IF($S$3=58,PR!$BK$74,IF($S$3=59,PR!$BK$75,IF($S$3=60,PR!$BK$76,"-"))))))))))))))))))))))))))))))))))))))))))))))))))))))))))))</f>
        <v>0</v>
      </c>
      <c r="K16" s="534">
        <f>IF($S$3=1,PR!$BL$11,IF($S$3=2,PR!$BL$12,IF($S$3=3,PR!$BL$13,IF($S$3=4,PR!$BL$14,IF($S$3=5,PR!$BL$15,IF($S$3=6,PR!$BL$16,IF($S$3=7,PR!$BL$17,IF($S$3=8,PR!$BL$18,IF($S$3=9,PR!$BL$19,IF($S$3=10,PR!$BL$20,IF($S$3=11,PR!$BL$21,IF($S$3=12,PR!$BL$22,IF($S$3=13,PR!$BL$23,IF($S$3=14,PR!$BL$24,IF($S$3=15,PR!$BL$25,IF($S$3=16,PR!$BL$26,IF($S$3=17,PR!$BL$27,IF($S$3=18,PR!$BL$28,IF($S$3=19,PR!$BL$32,IF($S$3=20,PR!$BL$33,IF($S$3=21,PR!$BL$34,IF($S$3=22,PR!$BL$35,IF($S$3=23,PR!$BL$36,IF($S$3=24,PR!$BL$37,IF($S$3=25,PR!$BL$38,IF($S$3=26,PR!$BL$39,IF($S$3=27,PR!$BL$40,IF($S$3=28,PR!$BL$41,IF($S$3=29,PR!$BL$42,IF($S$3=30,PR!$BL$43,IF($S$3=31,PR!$BL$44,IF($S$3=32,PR!$BL$45,IF($S$3=33,PR!$BL$46,IF($S$3=34,PR!$BL$50,IF($S$3=35,PR!$BL$51,IF($S$3=36,PR!$BL$52,IF($S$3=37,PR!$BL$53,IF($S$3=38,PR!$BL$54,IF($S$3=39,PR!$BL$55,IF($S$3=40,PR!$BL$56,IF($S$3=41,PR!$BL$57,IF($S$3=42,PR!$BL$58,IF($S$3=43,PR!$BL$59,IF($S$3=44,PR!$BL$60,IF($S$3=45,PR!$BL$61,IF($S$3=46,PR!$BL$62,IF($S$3=47,PR!$BL$63,IF($S$3=48,PR!$BL$64,IF($S$3=49,PR!$BL$65,IF($S$3=50,PR!$BL$66,IF($S$3=51,PR!$BL$67,IF($S$3=52,PR!$BL$68,IF($S$3=53,PR!$BL$69,IF($S$3=54,PR!$BL$70,IF($S$3=55,PR!$BL$71,IF($S$3=56,PR!$BL$72,IF($S$3=57,PR!$BL$73,IF($S$3=58,PR!$BL$74,IF($S$3=59,PR!$BL$75,IF($S$3=60,PR!$BL$76,"-"))))))))))))))))))))))))))))))))))))))))))))))))))))))))))))</f>
        <v>0</v>
      </c>
      <c r="L16" s="534">
        <f>IF($S$3=1,PR!$BM$11,IF($S$3=2,PR!$BM$12,IF($S$3=3,PR!$BM$13,IF($S$3=4,PR!$BM$14,IF($S$3=5,PR!$BM$15,IF($S$3=6,PR!$BM$16,IF($S$3=7,PR!$BM$17,IF($S$3=8,PR!$BM$18,IF($S$3=9,PR!$BM$19,IF($S$3=10,PR!$BM$20,IF($S$3=11,PR!$BM$21,IF($S$3=12,PR!$BM$22,IF($S$3=13,PR!$BM$23,IF($S$3=14,PR!$BM$24,IF($S$3=15,PR!$BM$25,IF($S$3=16,PR!$BM$26,IF($S$3=17,PR!$BM$27,IF($S$3=18,PR!$BM$28,IF($S$3=19,PR!$BM$32,IF($S$3=20,PR!$BM$33,IF($S$3=21,PR!$BM$34,IF($S$3=22,PR!$BM$35,IF($S$3=23,PR!$BM$36,IF($S$3=24,PR!$BM$37,IF($S$3=25,PR!$BM$38,IF($S$3=26,PR!$BM$39,IF($S$3=27,PR!$BM$40,IF($S$3=28,PR!$BM$41,IF($S$3=29,PR!$BM$42,IF($S$3=30,PR!$BM$43,IF($S$3=31,PR!$BM$44,IF($S$3=32,PR!$BM$45,IF($S$3=33,PR!$BM$46,IF($S$3=34,PR!$BM$50,IF($S$3=35,PR!$BM$51,IF($S$3=36,PR!$BM$52,IF($S$3=37,PR!$BM$53,IF($S$3=38,PR!$BM$54,IF($S$3=39,PR!$BM$55,IF($S$3=40,PR!$BM$56,IF($S$3=41,PR!$BM$57,IF($S$3=42,PR!$BM$58,IF($S$3=43,PR!$BM$59,IF($S$3=44,PR!$BM$60,IF($S$3=45,PR!$BM$61,IF($S$3=46,PR!$BM$62,IF($S$3=47,PR!$BM$63,IF($S$3=48,PR!$BM$64,IF($S$3=49,PR!$BM$65,IF($S$3=50,PR!$BM$66,IF($S$3=51,PR!$BM$67,IF($S$3=52,PR!$BM$68,IF($S$3=53,PR!$BM$69,IF($S$3=54,PR!$BM$70,IF($S$3=55,PR!$BM$71,IF($S$3=56,PR!$BM$72,IF($S$3=57,PR!$BM$73,IF($S$3=58,PR!$BM$74,IF($S$3=59,PR!$BM$75,IF($S$3=60,PR!$BM$76,"-"))))))))))))))))))))))))))))))))))))))))))))))))))))))))))))</f>
        <v>0</v>
      </c>
      <c r="M16" s="534">
        <f>IF($S$3=1,PR!$BN$11,IF($S$3=2,PR!$BN$12,IF($S$3=3,PR!$BN$13,IF($S$3=4,PR!$BN$14,IF($S$3=5,PR!$BN$15,IF($S$3=6,PR!$BN$16,IF($S$3=7,PR!$BN$17,IF($S$3=8,PR!$BN$18,IF($S$3=9,PR!$BN$19,IF($S$3=10,PR!$BN$20,IF($S$3=11,PR!$BN$21,IF($S$3=12,PR!$BN$22,IF($S$3=13,PR!$BN$23,IF($S$3=14,PR!$BN$24,IF($S$3=15,PR!$BN$25,IF($S$3=16,PR!$BN$26,IF($S$3=17,PR!$BN$27,IF($S$3=18,PR!$BN$28,IF($S$3=19,PR!$BN$32,IF($S$3=20,PR!$BN$33,IF($S$3=21,PR!$BN$34,IF($S$3=22,PR!$BN$35,IF($S$3=23,PR!$BN$36,IF($S$3=24,PR!$BN$37,IF($S$3=25,PR!$BN$38,IF($S$3=26,PR!$BN$39,IF($S$3=27,PR!$BN$40,IF($S$3=28,PR!$BN$41,IF($S$3=29,PR!$BN$42,IF($S$3=30,PR!$BN$43,IF($S$3=31,PR!$BN$44,IF($S$3=32,PR!$BN$45,IF($S$3=33,PR!$BN$46,IF($S$3=34,PR!$BN$50,IF($S$3=35,PR!$BN$51,IF($S$3=36,PR!$BN$52,IF($S$3=37,PR!$BN$53,IF($S$3=38,PR!$BN$54,IF($S$3=39,PR!$BN$55,IF($S$3=40,PR!$BN$56,IF($S$3=41,PR!$BN$57,IF($S$3=42,PR!$BN$58,IF($S$3=43,PR!$BN$59,IF($S$3=44,PR!$BN$60,IF($S$3=45,PR!$BN$61,IF($S$3=46,PR!$BN$62,IF($S$3=47,PR!$BN$63,IF($S$3=48,PR!$BN$64,IF($S$3=49,PR!$BN$65,IF($S$3=50,PR!$BN$66,IF($S$3=51,PR!$BN$67,IF($S$3=52,PR!$BN$68,IF($S$3=53,PR!$BN$69,IF($S$3=54,PR!$BN$70,IF($S$3=55,PR!$BN$71,IF($S$3=56,PR!$BN$72,IF($S$3=57,PR!$BN$73,IF($S$3=58,PR!$BN$74,IF($S$3=59,PR!$BN$75,IF($S$3=60,PR!$BN$76,"-"))))))))))))))))))))))))))))))))))))))))))))))))))))))))))))</f>
        <v>0</v>
      </c>
      <c r="N16" s="534">
        <f>IF($S$3=1,PR!$BO$11,IF($S$3=2,PR!$BO$12,IF($S$3=3,PR!$BO$13,IF($S$3=4,PR!$BO$14,IF($S$3=5,PR!$BO$15,IF($S$3=6,PR!$BO$16,IF($S$3=7,PR!$BO$17,IF($S$3=8,PR!$BO$18,IF($S$3=9,PR!$BO$19,IF($S$3=10,PR!$BO$20,IF($S$3=11,PR!$BO$21,IF($S$3=12,PR!$BO$22,IF($S$3=13,PR!$BO$23,IF($S$3=14,PR!$BO$24,IF($S$3=15,PR!$BO$25,IF($S$3=16,PR!$BO$26,IF($S$3=17,PR!$BO$27,IF($S$3=18,PR!$BO$28,IF($S$3=19,PR!$BO$32,IF($S$3=20,PR!$BO$33,IF($S$3=21,PR!$BO$34,IF($S$3=22,PR!$BO$35,IF($S$3=23,PR!$BO$36,IF($S$3=24,PR!$BO$37,IF($S$3=25,PR!$BO$38,IF($S$3=26,PR!$BO$39,IF($S$3=27,PR!$BO$40,IF($S$3=28,PR!$BO$41,IF($S$3=29,PR!$BO$42,IF($S$3=30,PR!$BO$43,IF($S$3=31,PR!$BO$44,IF($S$3=32,PR!$BO$45,IF($S$3=33,PR!$BO$46,IF($S$3=34,PR!$BO$50,IF($S$3=35,PR!$BO$51,IF($S$3=36,PR!$BO$52,IF($S$3=37,PR!$BO$53,IF($S$3=38,PR!$BO$54,IF($S$3=39,PR!$BO$55,IF($S$3=40,PR!$BO$56,IF($S$3=41,PR!$BO$57,IF($S$3=42,PR!$BO$58,IF($S$3=43,PR!$BO$59,IF($S$3=44,PR!$BO$60,IF($S$3=45,PR!$BO$61,IF($S$3=46,PR!$BO$62,IF($S$3=47,PR!$BO$63,IF($S$3=48,PR!$BO$64,IF($S$3=49,PR!$BO$65,IF($S$3=50,PR!$BO$66,IF($S$3=51,PR!$BO$67,IF($S$3=52,PR!$BO$68,IF($S$3=53,PR!$BO$69,IF($S$3=54,PR!$BO$70,IF($S$3=55,PR!$BO$71,IF($S$3=56,PR!$BO$72,IF($S$3=57,PR!$BO$73,IF($S$3=58,PR!$BO$74,IF($S$3=59,PR!$BO$75,IF($S$3=60,PR!$BO$76,"-"))))))))))))))))))))))))))))))))))))))))))))))))))))))))))))</f>
        <v>0</v>
      </c>
      <c r="O16" s="534">
        <f>IF($S$3=1,PR!$BP$11,IF($S$3=2,PR!$BP$12,IF($S$3=3,PR!$BP$13,IF($S$3=4,PR!$BP$14,IF($S$3=5,PR!$BP$15,IF($S$3=6,PR!$BP$16,IF($S$3=7,PR!$BP$17,IF($S$3=8,PR!$BP$18,IF($S$3=9,PR!$BP$19,IF($S$3=10,PR!$BP$20,IF($S$3=11,PR!$BP$21,IF($S$3=12,PR!$BP$22,IF($S$3=13,PR!$BP$23,IF($S$3=14,PR!$BP$24,IF($S$3=15,PR!$BP$25,IF($S$3=16,PR!$BP$26,IF($S$3=17,PR!$BP$27,IF($S$3=18,PR!$BP$28,IF($S$3=19,PR!$BP$32,IF($S$3=20,PR!$BP$33,IF($S$3=21,PR!$BP$34,IF($S$3=22,PR!$BP$35,IF($S$3=23,PR!$BP$36,IF($S$3=24,PR!$BP$37,IF($S$3=25,PR!$BP$38,IF($S$3=26,PR!$BP$39,IF($S$3=27,PR!$BP$40,IF($S$3=28,PR!$BP$41,IF($S$3=29,PR!$BP$42,IF($S$3=30,PR!$BP$43,IF($S$3=31,PR!$BP$44,IF($S$3=32,PR!$BP$45,IF($S$3=33,PR!$BP$46,IF($S$3=34,PR!$BP$50,IF($S$3=35,PR!$BP$51,IF($S$3=36,PR!$BP$52,IF($S$3=37,PR!$BP$53,IF($S$3=38,PR!$BP$54,IF($S$3=39,PR!$BP$55,IF($S$3=40,PR!$BP$56,IF($S$3=41,PR!$BP$57,IF($S$3=42,PR!$BP$58,IF($S$3=43,PR!$BP$59,IF($S$3=44,PR!$BP$60,IF($S$3=45,PR!$BP$61,IF($S$3=46,PR!$BP$62,IF($S$3=47,PR!$BP$63,IF($S$3=48,PR!$BP$64,IF($S$3=49,PR!$BP$65,IF($S$3=50,PR!$BP$66,IF($S$3=51,PR!$BP$67,IF($S$3=52,PR!$BP$68,IF($S$3=53,PR!$BP$69,IF($S$3=54,PR!$BP$70,IF($S$3=55,PR!$BP$71,IF($S$3=56,PR!$BP$72,IF($S$3=57,PR!$BP$73,IF($S$3=58,PR!$BP$74,IF($S$3=59,PR!$BP$75,IF($S$3=60,PR!$BP$76,"-"))))))))))))))))))))))))))))))))))))))))))))))))))))))))))))</f>
        <v>0</v>
      </c>
      <c r="P16" s="534">
        <f>IF($S$3=1,PR!$BQ$11,IF($S$3=2,PR!$BQ$12,IF($S$3=3,PR!$BQ$13,IF($S$3=4,PR!$BQ$14,IF($S$3=5,PR!$BQ$15,IF($S$3=6,PR!$BQ$16,IF($S$3=7,PR!$BQ$17,IF($S$3=8,PR!$BQ$18,IF($S$3=9,PR!$BQ$19,IF($S$3=10,PR!$BQ$20,IF($S$3=11,PR!$BQ$21,IF($S$3=12,PR!$BQ$22,IF($S$3=13,PR!$BQ$23,IF($S$3=14,PR!$BQ$24,IF($S$3=15,PR!$BQ$25,IF($S$3=16,PR!$BQ$26,IF($S$3=17,PR!$BQ$27,IF($S$3=18,PR!$BQ$28,IF($S$3=19,PR!$BQ$32,IF($S$3=20,PR!$BQ$33,IF($S$3=21,PR!$BQ$34,IF($S$3=22,PR!$BQ$35,IF($S$3=23,PR!$BQ$36,IF($S$3=24,PR!$BQ$37,IF($S$3=25,PR!$BQ$38,IF($S$3=26,PR!$BQ$39,IF($S$3=27,PR!$BQ$40,IF($S$3=28,PR!$BQ$41,IF($S$3=29,PR!$BQ$42,IF($S$3=30,PR!$BQ$43,IF($S$3=31,PR!$BQ$44,IF($S$3=32,PR!$BQ$45,IF($S$3=33,PR!$BQ$46,IF($S$3=34,PR!$BQ$50,IF($S$3=35,PR!$BQ$51,IF($S$3=36,PR!$BQ$52,IF($S$3=37,PR!$BQ$53,IF($S$3=38,PR!$BQ$54,IF($S$3=39,PR!$BQ$55,IF($S$3=40,PR!$BQ$56,IF($S$3=41,PR!$BQ$57,IF($S$3=42,PR!$BQ$58,IF($S$3=43,PR!$BQ$59,IF($S$3=44,PR!$BQ$60,IF($S$3=45,PR!$BQ$61,IF($S$3=46,PR!$BQ$62,IF($S$3=47,PR!$BQ$63,IF($S$3=48,PR!$BQ$64,IF($S$3=49,PR!$BQ$65,IF($S$3=50,PR!$BQ$66,IF($S$3=51,PR!$BQ$67,IF($S$3=52,PR!$BQ$68,IF($S$3=53,PR!$BQ$69,IF($S$3=54,PR!$BQ$70,IF($S$3=55,PR!$BQ$71,IF($S$3=56,PR!$BQ$72,IF($S$3=57,PR!$BQ$73,IF($S$3=58,PR!$BQ$74,IF($S$3=59,PR!$BQ$75,IF($S$3=60,PR!$BQ$76,"-"))))))))))))))))))))))))))))))))))))))))))))))))))))))))))))</f>
        <v>0</v>
      </c>
      <c r="Q16" s="534">
        <f>IF($S$3=1,PR!$BR$11,IF($S$3=2,PR!$BR$12,IF($S$3=3,PR!$BR$13,IF($S$3=4,PR!$BR$14,IF($S$3=5,PR!$BR$15,IF($S$3=6,PR!$BR$16,IF($S$3=7,PR!$BR$17,IF($S$3=8,PR!$BR$18,IF($S$3=9,PR!$BR$19,IF($S$3=10,PR!$BR$20,IF($S$3=11,PR!$BR$21,IF($S$3=12,PR!$BR$22,IF($S$3=13,PR!$BR$23,IF($S$3=14,PR!$BR$24,IF($S$3=15,PR!$BR$25,IF($S$3=16,PR!$BR$26,IF($S$3=17,PR!$BR$27,IF($S$3=18,PR!$BR$28,IF($S$3=19,PR!$BR$32,IF($S$3=20,PR!$BR$33,IF($S$3=21,PR!$BR$34,IF($S$3=22,PR!$BR$35,IF($S$3=23,PR!$BR$36,IF($S$3=24,PR!$BR$37,IF($S$3=25,PR!$BR$38,IF($S$3=26,PR!$BR$39,IF($S$3=27,PR!$BR$40,IF($S$3=28,PR!$BR$41,IF($S$3=29,PR!$BR$42,IF($S$3=30,PR!$BR$43,IF($S$3=31,PR!$BR$44,IF($S$3=32,PR!$BR$45,IF($S$3=33,PR!$BR$46,IF($S$3=34,PR!$BR$50,IF($S$3=35,PR!$BR$51,IF($S$3=36,PR!$BR$52,IF($S$3=37,PR!$BR$53,IF($S$3=38,PR!$BR$54,IF($S$3=39,PR!$BR$55,IF($S$3=40,PR!$BR$56,IF($S$3=41,PR!$BR$57,IF($S$3=42,PR!$BR$58,IF($S$3=43,PR!$BR$59,IF($S$3=44,PR!$BR$60,IF($S$3=45,PR!$BR$61,IF($S$3=46,PR!$BR$62,IF($S$3=47,PR!$BR$63,IF($S$3=48,PR!$BR$64,IF($S$3=49,PR!$BR$65,IF($S$3=50,PR!$BR$66,IF($S$3=51,PR!$BR$67,IF($S$3=52,PR!$BR$68,IF($S$3=53,PR!$BR$69,IF($S$3=54,PR!$BR$70,IF($S$3=55,PR!$BR$71,IF($S$3=56,PR!$BR$72,IF($S$3=57,PR!$BR$73,IF($S$3=58,PR!$BR$74,IF($S$3=59,PR!$BR$75,IF($S$3=60,PR!$BR$76,"-"))))))))))))))))))))))))))))))))))))))))))))))))))))))))))))</f>
        <v>0</v>
      </c>
      <c r="R16" s="534">
        <f>IF($S$3=1,PR!$BS$11,IF($S$3=2,PR!$BS$12,IF($S$3=3,PR!$BS$13,IF($S$3=4,PR!$BS$14,IF($S$3=5,PR!$BS$15,IF($S$3=6,PR!$BS$16,IF($S$3=7,PR!$BS$17,IF($S$3=8,PR!$BS$18,IF($S$3=9,PR!$BS$19,IF($S$3=10,PR!$BS$20,IF($S$3=11,PR!$BS$21,IF($S$3=12,PR!$BS$22,IF($S$3=13,PR!$BS$23,IF($S$3=14,PR!$BS$24,IF($S$3=15,PR!$BS$25,IF($S$3=16,PR!$BS$26,IF($S$3=17,PR!$BS$27,IF($S$3=18,PR!$BS$28,IF($S$3=19,PR!$BS$32,IF($S$3=20,PR!$BS$33,IF($S$3=21,PR!$BS$34,IF($S$3=22,PR!$BS$35,IF($S$3=23,PR!$BS$36,IF($S$3=24,PR!$BS$37,IF($S$3=25,PR!$BS$38,IF($S$3=26,PR!$BS$39,IF($S$3=27,PR!$BS$40,IF($S$3=28,PR!$BS$41,IF($S$3=29,PR!$BS$42,IF($S$3=30,PR!$BS$43,IF($S$3=31,PR!$BS$44,IF($S$3=32,PR!$BS$45,IF($S$3=33,PR!$BS$46,IF($S$3=34,PR!$BS$50,IF($S$3=35,PR!$BS$51,IF($S$3=36,PR!$BS$52,IF($S$3=37,PR!$BS$53,IF($S$3=38,PR!$BS$54,IF($S$3=39,PR!$BS$55,IF($S$3=40,PR!$BS$56,IF($S$3=41,PR!$BS$57,IF($S$3=42,PR!$BS$58,IF($S$3=43,PR!$BS$59,IF($S$3=44,PR!$BS$60,IF($S$3=45,PR!$BS$61,IF($S$3=46,PR!$BS$62,IF($S$3=47,PR!$BS$63,IF($S$3=48,PR!$BS$64,IF($S$3=49,PR!$BS$65,IF($S$3=50,PR!$BS$66,IF($S$3=51,PR!$BS$67,IF($S$3=52,PR!$BS$68,IF($S$3=53,PR!$BS$69,IF($S$3=54,PR!$BS$70,IF($S$3=55,PR!$BS$71,IF($S$3=56,PR!$BS$72,IF($S$3=57,PR!$BS$73,IF($S$3=58,PR!$BS$74,IF($S$3=59,PR!$BS$75,IF($S$3=60,PR!$BS$76,"-"))))))))))))))))))))))))))))))))))))))))))))))))))))))))))))</f>
        <v>0</v>
      </c>
      <c r="S16" s="518"/>
      <c r="T16" s="518"/>
      <c r="U16" s="518"/>
      <c r="V16" s="32"/>
      <c r="W16" s="32"/>
      <c r="X16" s="32"/>
      <c r="Y16" s="32"/>
      <c r="Z16" s="32"/>
    </row>
    <row r="17" spans="1:26" ht="30" x14ac:dyDescent="0.25">
      <c r="A17" s="91"/>
      <c r="B17" s="518"/>
      <c r="C17" s="529"/>
      <c r="D17" s="518"/>
      <c r="E17" s="518"/>
      <c r="F17" s="518"/>
      <c r="G17" s="518"/>
      <c r="H17" s="518"/>
      <c r="I17" s="518"/>
      <c r="J17" s="518"/>
      <c r="K17" s="536" t="s">
        <v>783</v>
      </c>
      <c r="L17" s="537" t="s">
        <v>418</v>
      </c>
      <c r="M17" s="537" t="s">
        <v>419</v>
      </c>
      <c r="N17" s="538" t="s">
        <v>420</v>
      </c>
      <c r="O17" s="518"/>
      <c r="P17" s="518"/>
      <c r="Q17" s="518"/>
      <c r="R17" s="518"/>
      <c r="S17" s="518"/>
      <c r="T17" s="518"/>
      <c r="U17" s="518"/>
      <c r="V17" s="32"/>
      <c r="W17" s="32"/>
      <c r="X17" s="32"/>
      <c r="Y17" s="32"/>
      <c r="Z17" s="32"/>
    </row>
    <row r="18" spans="1:26" x14ac:dyDescent="0.25">
      <c r="A18" s="91"/>
      <c r="B18" s="518"/>
      <c r="C18" s="529"/>
      <c r="D18" s="518"/>
      <c r="E18" s="518"/>
      <c r="F18" s="518"/>
      <c r="G18" s="518"/>
      <c r="H18" s="518"/>
      <c r="I18" s="518"/>
      <c r="J18" s="518"/>
      <c r="K18" s="521" t="s">
        <v>785</v>
      </c>
      <c r="L18" s="518"/>
      <c r="M18" s="518"/>
      <c r="N18" s="518"/>
      <c r="O18" s="518"/>
      <c r="P18" s="518"/>
      <c r="Q18" s="518"/>
      <c r="R18" s="518"/>
      <c r="S18" s="518"/>
      <c r="T18" s="518"/>
      <c r="U18" s="518"/>
      <c r="V18" s="32"/>
      <c r="W18" s="32"/>
      <c r="X18" s="32"/>
      <c r="Y18" s="32"/>
      <c r="Z18" s="32"/>
    </row>
    <row r="19" spans="1:26" x14ac:dyDescent="0.25">
      <c r="A19" s="32"/>
      <c r="B19" s="32"/>
      <c r="C19" s="96"/>
      <c r="D19" s="32"/>
      <c r="E19" s="32"/>
      <c r="F19" s="32"/>
      <c r="G19" s="32"/>
      <c r="H19" s="32"/>
      <c r="I19" s="32"/>
      <c r="J19" s="32"/>
      <c r="K19" s="97">
        <v>1</v>
      </c>
      <c r="L19" s="98" t="s">
        <v>821</v>
      </c>
      <c r="M19" s="99" t="s">
        <v>823</v>
      </c>
      <c r="N19" s="100" t="s">
        <v>630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x14ac:dyDescent="0.2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97">
        <f t="shared" ref="K20:K51" si="0">1+K19</f>
        <v>2</v>
      </c>
      <c r="L20" s="98" t="s">
        <v>821</v>
      </c>
      <c r="M20" s="99" t="s">
        <v>618</v>
      </c>
      <c r="N20" s="100" t="s">
        <v>620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x14ac:dyDescent="0.2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97">
        <f t="shared" si="0"/>
        <v>3</v>
      </c>
      <c r="L21" s="98" t="s">
        <v>821</v>
      </c>
      <c r="M21" s="99" t="s">
        <v>824</v>
      </c>
      <c r="N21" s="100" t="s">
        <v>614</v>
      </c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x14ac:dyDescent="0.2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97">
        <f t="shared" si="0"/>
        <v>4</v>
      </c>
      <c r="L22" s="98"/>
      <c r="M22" s="99"/>
      <c r="N22" s="100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x14ac:dyDescent="0.25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97">
        <f t="shared" si="0"/>
        <v>5</v>
      </c>
      <c r="L23" s="98" t="s">
        <v>619</v>
      </c>
      <c r="M23" s="99"/>
      <c r="N23" s="100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x14ac:dyDescent="0.25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97">
        <f t="shared" si="0"/>
        <v>6</v>
      </c>
      <c r="L24" s="98" t="s">
        <v>622</v>
      </c>
      <c r="M24" s="99" t="s">
        <v>824</v>
      </c>
      <c r="N24" s="100" t="s">
        <v>821</v>
      </c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x14ac:dyDescent="0.25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97">
        <f t="shared" si="0"/>
        <v>7</v>
      </c>
      <c r="L25" s="98" t="s">
        <v>614</v>
      </c>
      <c r="M25" s="99" t="s">
        <v>1448</v>
      </c>
      <c r="N25" s="100" t="s">
        <v>827</v>
      </c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x14ac:dyDescent="0.25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97">
        <f t="shared" si="0"/>
        <v>8</v>
      </c>
      <c r="L26" s="98" t="s">
        <v>824</v>
      </c>
      <c r="M26" s="99" t="s">
        <v>1448</v>
      </c>
      <c r="N26" s="100" t="s">
        <v>1235</v>
      </c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x14ac:dyDescent="0.25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97">
        <f t="shared" si="0"/>
        <v>9</v>
      </c>
      <c r="L27" s="98" t="s">
        <v>636</v>
      </c>
      <c r="M27" s="99"/>
      <c r="N27" s="100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x14ac:dyDescent="0.25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97">
        <f t="shared" si="0"/>
        <v>10</v>
      </c>
      <c r="L28" s="98" t="s">
        <v>821</v>
      </c>
      <c r="M28" s="99" t="s">
        <v>635</v>
      </c>
      <c r="N28" s="100" t="s">
        <v>623</v>
      </c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x14ac:dyDescent="0.25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97">
        <f t="shared" si="0"/>
        <v>11</v>
      </c>
      <c r="L29" s="98" t="s">
        <v>821</v>
      </c>
      <c r="M29" s="99" t="s">
        <v>619</v>
      </c>
      <c r="N29" s="100" t="s">
        <v>635</v>
      </c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x14ac:dyDescent="0.25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97">
        <f t="shared" si="0"/>
        <v>12</v>
      </c>
      <c r="L30" s="98" t="s">
        <v>821</v>
      </c>
      <c r="M30" s="99" t="s">
        <v>619</v>
      </c>
      <c r="N30" s="100" t="s">
        <v>623</v>
      </c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x14ac:dyDescent="0.25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97">
        <f t="shared" si="0"/>
        <v>13</v>
      </c>
      <c r="L31" s="98"/>
      <c r="M31" s="99"/>
      <c r="N31" s="100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x14ac:dyDescent="0.25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97">
        <f t="shared" si="0"/>
        <v>14</v>
      </c>
      <c r="L32" s="98" t="s">
        <v>821</v>
      </c>
      <c r="M32" s="99" t="s">
        <v>623</v>
      </c>
      <c r="N32" s="100" t="s">
        <v>1233</v>
      </c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x14ac:dyDescent="0.25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97">
        <f t="shared" si="0"/>
        <v>15</v>
      </c>
      <c r="L33" s="98" t="s">
        <v>821</v>
      </c>
      <c r="M33" s="99"/>
      <c r="N33" s="100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x14ac:dyDescent="0.25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97">
        <f t="shared" si="0"/>
        <v>16</v>
      </c>
      <c r="L34" s="98" t="s">
        <v>821</v>
      </c>
      <c r="M34" s="99"/>
      <c r="N34" s="100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x14ac:dyDescent="0.25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97">
        <f t="shared" si="0"/>
        <v>17</v>
      </c>
      <c r="L35" s="98" t="s">
        <v>821</v>
      </c>
      <c r="M35" s="99"/>
      <c r="N35" s="100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x14ac:dyDescent="0.25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97">
        <f t="shared" si="0"/>
        <v>18</v>
      </c>
      <c r="L36" s="98" t="s">
        <v>829</v>
      </c>
      <c r="M36" s="99" t="s">
        <v>824</v>
      </c>
      <c r="N36" s="100" t="s">
        <v>821</v>
      </c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x14ac:dyDescent="0.25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97">
        <f t="shared" si="0"/>
        <v>19</v>
      </c>
      <c r="L37" s="98" t="s">
        <v>819</v>
      </c>
      <c r="M37" s="99" t="s">
        <v>631</v>
      </c>
      <c r="N37" s="100" t="s">
        <v>633</v>
      </c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x14ac:dyDescent="0.25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97">
        <f t="shared" si="0"/>
        <v>20</v>
      </c>
      <c r="L38" s="98" t="s">
        <v>633</v>
      </c>
      <c r="M38" s="99" t="s">
        <v>819</v>
      </c>
      <c r="N38" s="100" t="s">
        <v>1452</v>
      </c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x14ac:dyDescent="0.25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97">
        <f t="shared" si="0"/>
        <v>21</v>
      </c>
      <c r="L39" s="98" t="s">
        <v>633</v>
      </c>
      <c r="M39" s="99" t="s">
        <v>819</v>
      </c>
      <c r="N39" s="100" t="s">
        <v>1452</v>
      </c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x14ac:dyDescent="0.25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97">
        <f t="shared" si="0"/>
        <v>22</v>
      </c>
      <c r="L40" s="98" t="s">
        <v>631</v>
      </c>
      <c r="M40" s="99" t="s">
        <v>633</v>
      </c>
      <c r="N40" s="100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x14ac:dyDescent="0.25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97">
        <f t="shared" si="0"/>
        <v>23</v>
      </c>
      <c r="L41" s="98" t="s">
        <v>819</v>
      </c>
      <c r="M41" s="99" t="s">
        <v>631</v>
      </c>
      <c r="N41" s="100" t="s">
        <v>633</v>
      </c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x14ac:dyDescent="0.25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97">
        <f t="shared" si="0"/>
        <v>24</v>
      </c>
      <c r="L42" s="98" t="s">
        <v>819</v>
      </c>
      <c r="M42" s="99" t="s">
        <v>631</v>
      </c>
      <c r="N42" s="100" t="s">
        <v>633</v>
      </c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x14ac:dyDescent="0.2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97">
        <f t="shared" si="0"/>
        <v>25</v>
      </c>
      <c r="L43" s="98" t="s">
        <v>819</v>
      </c>
      <c r="M43" s="99" t="s">
        <v>631</v>
      </c>
      <c r="N43" s="100" t="s">
        <v>633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x14ac:dyDescent="0.2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97">
        <f t="shared" si="0"/>
        <v>26</v>
      </c>
      <c r="L44" s="98" t="s">
        <v>819</v>
      </c>
      <c r="M44" s="99" t="s">
        <v>633</v>
      </c>
      <c r="N44" s="100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x14ac:dyDescent="0.2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97">
        <f t="shared" si="0"/>
        <v>27</v>
      </c>
      <c r="L45" s="98"/>
      <c r="M45" s="99"/>
      <c r="N45" s="100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x14ac:dyDescent="0.2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97">
        <f t="shared" si="0"/>
        <v>28</v>
      </c>
      <c r="L46" s="98" t="s">
        <v>630</v>
      </c>
      <c r="M46" s="99" t="s">
        <v>631</v>
      </c>
      <c r="N46" s="100" t="s">
        <v>634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x14ac:dyDescent="0.2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97">
        <f t="shared" si="0"/>
        <v>29</v>
      </c>
      <c r="L47" s="98" t="s">
        <v>819</v>
      </c>
      <c r="M47" s="99" t="s">
        <v>633</v>
      </c>
      <c r="N47" s="100" t="s">
        <v>1452</v>
      </c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x14ac:dyDescent="0.2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97">
        <f t="shared" si="0"/>
        <v>30</v>
      </c>
      <c r="L48" s="98" t="s">
        <v>819</v>
      </c>
      <c r="M48" s="99" t="s">
        <v>633</v>
      </c>
      <c r="N48" s="100" t="s">
        <v>1452</v>
      </c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x14ac:dyDescent="0.2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97">
        <f t="shared" si="0"/>
        <v>31</v>
      </c>
      <c r="L49" s="98" t="s">
        <v>819</v>
      </c>
      <c r="M49" s="99" t="s">
        <v>633</v>
      </c>
      <c r="N49" s="100" t="s">
        <v>1452</v>
      </c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x14ac:dyDescent="0.2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97">
        <f t="shared" si="0"/>
        <v>32</v>
      </c>
      <c r="L50" s="98" t="s">
        <v>630</v>
      </c>
      <c r="M50" s="99" t="s">
        <v>819</v>
      </c>
      <c r="N50" s="100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x14ac:dyDescent="0.2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97">
        <f t="shared" si="0"/>
        <v>33</v>
      </c>
      <c r="L51" s="98" t="s">
        <v>818</v>
      </c>
      <c r="M51" s="99" t="s">
        <v>1452</v>
      </c>
      <c r="N51" s="100" t="s">
        <v>619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x14ac:dyDescent="0.2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97">
        <f t="shared" ref="K52:K78" si="1">1+K51</f>
        <v>34</v>
      </c>
      <c r="L52" s="98" t="s">
        <v>1450</v>
      </c>
      <c r="M52" s="99" t="s">
        <v>614</v>
      </c>
      <c r="N52" s="100" t="s">
        <v>627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x14ac:dyDescent="0.2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97">
        <f t="shared" si="1"/>
        <v>35</v>
      </c>
      <c r="L53" s="98" t="s">
        <v>821</v>
      </c>
      <c r="M53" s="99" t="s">
        <v>632</v>
      </c>
      <c r="N53" s="100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x14ac:dyDescent="0.2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97">
        <f t="shared" si="1"/>
        <v>36</v>
      </c>
      <c r="L54" s="98" t="s">
        <v>823</v>
      </c>
      <c r="M54" s="99"/>
      <c r="N54" s="100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x14ac:dyDescent="0.2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97">
        <f t="shared" si="1"/>
        <v>37</v>
      </c>
      <c r="L55" s="98" t="s">
        <v>821</v>
      </c>
      <c r="M55" s="99" t="s">
        <v>1243</v>
      </c>
      <c r="N55" s="100" t="s">
        <v>622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x14ac:dyDescent="0.2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97">
        <f t="shared" si="1"/>
        <v>38</v>
      </c>
      <c r="L56" s="98" t="s">
        <v>823</v>
      </c>
      <c r="M56" s="99"/>
      <c r="N56" s="100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x14ac:dyDescent="0.2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97">
        <f t="shared" si="1"/>
        <v>39</v>
      </c>
      <c r="L57" s="98" t="s">
        <v>617</v>
      </c>
      <c r="M57" s="99" t="s">
        <v>862</v>
      </c>
      <c r="N57" s="100" t="s">
        <v>1446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x14ac:dyDescent="0.2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97">
        <f t="shared" si="1"/>
        <v>40</v>
      </c>
      <c r="L58" s="98" t="s">
        <v>636</v>
      </c>
      <c r="M58" s="99"/>
      <c r="N58" s="100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x14ac:dyDescent="0.2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97">
        <f t="shared" si="1"/>
        <v>41</v>
      </c>
      <c r="L59" s="98" t="s">
        <v>636</v>
      </c>
      <c r="M59" s="99"/>
      <c r="N59" s="100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x14ac:dyDescent="0.2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97">
        <f t="shared" si="1"/>
        <v>42</v>
      </c>
      <c r="L60" s="98"/>
      <c r="M60" s="99"/>
      <c r="N60" s="100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x14ac:dyDescent="0.2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97">
        <f t="shared" si="1"/>
        <v>43</v>
      </c>
      <c r="L61" s="98"/>
      <c r="M61" s="99"/>
      <c r="N61" s="100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x14ac:dyDescent="0.2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97">
        <f t="shared" si="1"/>
        <v>44</v>
      </c>
      <c r="L62" s="98" t="s">
        <v>821</v>
      </c>
      <c r="M62" s="99"/>
      <c r="N62" s="100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x14ac:dyDescent="0.2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97">
        <f t="shared" si="1"/>
        <v>45</v>
      </c>
      <c r="L63" s="98" t="s">
        <v>821</v>
      </c>
      <c r="M63" s="99"/>
      <c r="N63" s="100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x14ac:dyDescent="0.2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97">
        <f t="shared" si="1"/>
        <v>46</v>
      </c>
      <c r="L64" s="98" t="s">
        <v>821</v>
      </c>
      <c r="M64" s="99" t="s">
        <v>614</v>
      </c>
      <c r="N64" s="100" t="s">
        <v>627</v>
      </c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x14ac:dyDescent="0.2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97">
        <f t="shared" si="1"/>
        <v>47</v>
      </c>
      <c r="L65" s="98" t="s">
        <v>633</v>
      </c>
      <c r="M65" s="99"/>
      <c r="N65" s="100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x14ac:dyDescent="0.2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97">
        <f t="shared" si="1"/>
        <v>48</v>
      </c>
      <c r="L66" s="98" t="s">
        <v>632</v>
      </c>
      <c r="M66" s="99" t="s">
        <v>617</v>
      </c>
      <c r="N66" s="100" t="s">
        <v>821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x14ac:dyDescent="0.2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97">
        <f t="shared" si="1"/>
        <v>49</v>
      </c>
      <c r="L67" s="98" t="s">
        <v>632</v>
      </c>
      <c r="M67" s="99" t="s">
        <v>621</v>
      </c>
      <c r="N67" s="100" t="s">
        <v>617</v>
      </c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x14ac:dyDescent="0.2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97">
        <f t="shared" si="1"/>
        <v>50</v>
      </c>
      <c r="L68" s="98" t="s">
        <v>632</v>
      </c>
      <c r="M68" s="99" t="s">
        <v>821</v>
      </c>
      <c r="N68" s="100" t="s">
        <v>1246</v>
      </c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x14ac:dyDescent="0.2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97">
        <f t="shared" si="1"/>
        <v>51</v>
      </c>
      <c r="L69" s="98" t="s">
        <v>821</v>
      </c>
      <c r="M69" s="99" t="s">
        <v>1246</v>
      </c>
      <c r="N69" s="100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x14ac:dyDescent="0.2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97">
        <f t="shared" si="1"/>
        <v>52</v>
      </c>
      <c r="L70" s="98" t="s">
        <v>821</v>
      </c>
      <c r="M70" s="99"/>
      <c r="N70" s="100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x14ac:dyDescent="0.2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97">
        <f t="shared" si="1"/>
        <v>53</v>
      </c>
      <c r="L71" s="98" t="s">
        <v>821</v>
      </c>
      <c r="M71" s="99"/>
      <c r="N71" s="100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x14ac:dyDescent="0.2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97">
        <f t="shared" si="1"/>
        <v>54</v>
      </c>
      <c r="L72" s="98" t="s">
        <v>646</v>
      </c>
      <c r="M72" s="99"/>
      <c r="N72" s="100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x14ac:dyDescent="0.2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97">
        <f t="shared" si="1"/>
        <v>55</v>
      </c>
      <c r="L73" s="98" t="s">
        <v>646</v>
      </c>
      <c r="M73" s="99"/>
      <c r="N73" s="100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x14ac:dyDescent="0.2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97">
        <f t="shared" si="1"/>
        <v>56</v>
      </c>
      <c r="L74" s="98" t="s">
        <v>821</v>
      </c>
      <c r="M74" s="99"/>
      <c r="N74" s="100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x14ac:dyDescent="0.2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97">
        <f t="shared" si="1"/>
        <v>57</v>
      </c>
      <c r="L75" s="98" t="s">
        <v>618</v>
      </c>
      <c r="M75" s="99" t="s">
        <v>615</v>
      </c>
      <c r="N75" s="100" t="s">
        <v>816</v>
      </c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x14ac:dyDescent="0.2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97">
        <f t="shared" si="1"/>
        <v>58</v>
      </c>
      <c r="L76" s="98" t="s">
        <v>821</v>
      </c>
      <c r="M76" s="99"/>
      <c r="N76" s="100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x14ac:dyDescent="0.2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97">
        <f t="shared" si="1"/>
        <v>59</v>
      </c>
      <c r="L77" s="98" t="s">
        <v>821</v>
      </c>
      <c r="M77" s="99"/>
      <c r="N77" s="100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97">
        <f t="shared" si="1"/>
        <v>60</v>
      </c>
      <c r="L78" s="98" t="s">
        <v>821</v>
      </c>
      <c r="M78" s="99" t="s">
        <v>816</v>
      </c>
      <c r="N78" s="100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x14ac:dyDescent="0.2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x14ac:dyDescent="0.2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101"/>
      <c r="S80" s="32"/>
      <c r="T80" s="32"/>
      <c r="U80" s="32"/>
      <c r="V80" s="32"/>
      <c r="W80" s="32"/>
      <c r="X80" s="32"/>
      <c r="Y80" s="32"/>
      <c r="Z80" s="32"/>
    </row>
    <row r="81" spans="1:26" x14ac:dyDescent="0.2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101"/>
      <c r="S81" s="32"/>
      <c r="T81" s="32"/>
      <c r="U81" s="32"/>
      <c r="V81" s="32"/>
      <c r="W81" s="32"/>
      <c r="X81" s="32"/>
      <c r="Y81" s="32"/>
      <c r="Z81" s="32"/>
    </row>
    <row r="82" spans="1:26" x14ac:dyDescent="0.25">
      <c r="A82" s="32"/>
      <c r="F82" s="428"/>
      <c r="G82" s="427"/>
      <c r="J82" s="428" t="s">
        <v>784</v>
      </c>
      <c r="V82" s="32"/>
      <c r="W82" s="32"/>
      <c r="X82" s="32"/>
      <c r="Y82" s="32"/>
      <c r="Z82" s="32"/>
    </row>
    <row r="83" spans="1:26" ht="36.75" thickBot="1" x14ac:dyDescent="0.6">
      <c r="A83" s="92"/>
      <c r="B83" s="517"/>
      <c r="C83" s="518"/>
      <c r="D83" s="518"/>
      <c r="E83" s="518"/>
      <c r="F83" s="518"/>
      <c r="G83" s="518"/>
      <c r="H83" s="519" t="str">
        <f>IF($S$84&gt;=1055,"LOT 21 LABORATORY REQUIREMENT - OBADA ANNEX",IF($S$84&gt;=1039,"LOT 21 - LABORATORY REQUIREMENT - SHAJE ANNEX",IF($S$84&gt;=981,"LOT 20 - LABORATORY - CHEMICAL PATHOLOGY",IF($S$84&gt;=974,"LOT 19 - MICROBIOLOGY - INFECTION CONTROL",IF($S$84&gt;=957,"LOT 19 - MICROBIOLOGY - SENSITIVITY DISCS",IF($S$84&gt;=902,"LOT 18 - MICROBIOLOGY - REAGENT KITS",IF($S$84&gt;=846,"LOT 17 - HISTOPATHOLOGY",IF($S$84&gt;=760,"LOT 16 - HAEMATOLOGY",IF($S$84&gt;=722,"LOT 15 - THEATRE DEPARTMENT",IF($S$84&gt;=709,"LOT 14 - RADIOLOGY DEPARTMENT",IF($S$84&gt;=702,"LOT 13 - PHARMACY - CONSUMABLES - SUTURES",IF($S$84&gt;=684,"LOT 13 - PHARMACY - CONSUMABLES",IF($S$84&gt;=669,"LOT 13 PHARMACY - DISINFECTANTS",IF($S$84&gt;=651,"LOT 13 - PHARMACY - DERMATOLOGICAL PREPARATIONS",IF($S$84&gt;=570,"LOT 13 - PHARMACY - DRESSINGS/CONSUMABLES",IF($S$84&gt;=539,"LOT 12 - PHARMACY - ONCOLOGY DRUGS",IF($S$84&gt;=494,"LOT 11 - PHARMACY - EYE/EAR MEDICATIONS",IF($S$84&gt;=455,"LOT 10 - PHARMACY - RESPIRATORY TRACT DRUGS",IF($S$84&gt;=424,"LOT 9 - PHARMACY GASTROINTESTINAL DRUGS",IF($S$84&gt;=381,"LOT 8 - PHARMACY -OBSTETRICS/GYNAECOLOGY DRUGS",IF($S$84&gt;=351,"LOT 7 - PHARMACY - HYPNOSEDATIVE DRUGS",IF($S$84&gt;=285,"LOT 6 PHARMACY - BLOOD &amp; NUTRITIONAL DRUGS",IF($S$84&gt;=194,"LOT 5 - PHARMACY - ANTI-INFECTIVE AGENTS",IF($S$84&gt;=142,"LOT 4 - PHARMACY - ANTI-INFLAMMATORY/ANTI-PYRETIC/ANALGESICS",IF($S$84&gt;=118,"LOT 3 - PHARMACY - ORAL HYPOGLYCAEMIC DRUGS",IF($S$84&gt;=34,"LOT 3 - PHARMACY - ANTI-HYPERTENSIVES",IF($S$84&gt;=19,"LOT 2 - PHARMACY - STERILE INTRAVENOUS FLUIDS",IF($S$84&gt;=1,"LOT 1 - PHARMACY - ANTI-MALARIALS","-"))))))))))))))))))))))))))))</f>
        <v>LOT 3 - PHARMACY - ANTI-HYPERTENSIVES</v>
      </c>
      <c r="I83" s="520"/>
      <c r="J83" s="518"/>
      <c r="K83" s="518"/>
      <c r="L83" s="518"/>
      <c r="M83" s="518"/>
      <c r="N83" s="518"/>
      <c r="O83" s="518"/>
      <c r="P83" s="518"/>
      <c r="Q83" s="518"/>
      <c r="R83" s="521"/>
      <c r="S83" s="518"/>
      <c r="T83" s="518"/>
      <c r="U83" s="518"/>
      <c r="V83" s="32"/>
      <c r="W83" s="32"/>
      <c r="X83" s="32"/>
      <c r="Y83" s="32"/>
      <c r="Z83" s="32"/>
    </row>
    <row r="84" spans="1:26" ht="39" customHeight="1" thickBot="1" x14ac:dyDescent="0.7">
      <c r="A84" s="95" t="s">
        <v>779</v>
      </c>
      <c r="B84" s="522"/>
      <c r="C84" s="799" t="str">
        <f>IF($S$84=61,PR!$B$77,IF($S$84=62,PR!$B$78,IF($S$84=63,PR!$B$79,IF($S$84=64,PR!$B$80,IF($S$84=65,PR!$B$81,IF($S$84=66,PR!$B$82,IF($S$84=67,PR!$B$83,IF($S$84=68,PR!$B$84,IF($S$84=69,PR!$B$85,IF($S$84=70,PR!$B$86,IF($S$84=71,PR!$B$87,IF($S$84=72,PR!$B$88,IF($S$84=73,PR!$B$89,IF($S$84=74,PR!$B$90,IF($S$84=75,PR!$B$91,IF($S$84=76,PR!$B$92,IF($S$84=77,PR!$B$93,IF($S$84=78,PR!$B$94,IF($S$84=79,PR!$B$95,IF($S$84=80,PR!$B$96,IF($S$84=81,PR!$B$97,IF($S$84=82,PR!$B$98,IF($S$84=83,PR!$B$99,IF($S$84=84,PR!$B$100,IF($S$84=85,PR!$B$101,IF($S$84=86,PR!$B$102,IF($S$84=87,PR!$B$103,IF($S$84=88,PR!$B$104,IF($S$84=89,PR!$B$105,IF($S$84=90,PR!$B$106,IF($S$84=91,PR!$B$107,IF($S$84=92,PR!$B$108,IF($S$84=93,PR!$B$109,IF($S$84=94,PR!$B$110,IF($S$84=95,PR!$B$111,IF($S$84=96,PR!$B$112,IF($S$84=97,PR!$B$113,IF($S$84=98,PR!$B$114,IF($S$84=99,PR!$B$115,IF($S$84=100,PR!$B$116,IF($S$84=101,PR!$B$117,IF($S$84=102,PR!$B$118,IF($S$84=103,PR!$B$119,IF($S$84=104,PR!$B$120,IF($S$84=105,PR!$B$121,IF($S$84=106,PR!$B$122,IF($S$84=107,PR!$B$123,IF($S$84=108,PR!$B$124,IF($S$84=109,PR!$B$125,IF($S$84=110,PR!$B$126,IF($S$84=111,PR!$B$127,IF($S$84=112,PR!$B$128,IF($S$84=113,PR!$B$129,IF($S$84=114,PR!$B$130,IF($S$84=115,PR!$B$131,IF($S$84=116,PR!$B$132,IF($S$84=117,PR!$B$133,IF($S$84=118,PR!$B$136,IF($S$84=119,PR!$B$137,IF($S$84=120,PR!$B$138,"-"))))))))))))))))))))))))))))))))))))))))))))))))))))))))))))</f>
        <v>TELMISARTAN 80MG TAB</v>
      </c>
      <c r="D84" s="800"/>
      <c r="E84" s="800"/>
      <c r="F84" s="800"/>
      <c r="G84" s="800"/>
      <c r="H84" s="800"/>
      <c r="I84" s="800"/>
      <c r="J84" s="800"/>
      <c r="K84" s="800"/>
      <c r="L84" s="800"/>
      <c r="M84" s="800"/>
      <c r="N84" s="800"/>
      <c r="O84" s="800"/>
      <c r="P84" s="800"/>
      <c r="Q84" s="801"/>
      <c r="R84" s="521"/>
      <c r="S84" s="106">
        <v>107</v>
      </c>
      <c r="T84" s="518"/>
      <c r="U84" s="518"/>
      <c r="V84" s="32"/>
      <c r="W84" s="32"/>
      <c r="X84" s="32"/>
      <c r="Y84" s="32"/>
      <c r="Z84" s="32"/>
    </row>
    <row r="85" spans="1:26" ht="35.25" customHeight="1" thickBot="1" x14ac:dyDescent="0.7">
      <c r="A85" s="91"/>
      <c r="B85" s="518"/>
      <c r="C85" s="526" t="s">
        <v>780</v>
      </c>
      <c r="D85" s="798">
        <f>IF($S$84=61,PR!$D$77,IF($S$84=62,PR!$D$78,IF($S$84=63,PR!$D$79,IF($S$84=64,PR!$D$80,IF($S$84=65,PR!$D$81,IF($S$84=66,PR!$D$82,IF($S$84=67,PR!$D$83,IF($S$84=68,PR!$D$84,IF($S$84=69,PR!$D$85,IF($S$84=70,PR!$D$86,IF($S$84=71,PR!$D$87,IF($S$84=72,PR!$D$88,IF($S$84=73,PR!$D$89,IF($S$84=74,PR!$D$90,IF($S$84=75,PR!$D$91,IF($S$84=76,PR!$D$92,IF($S$84=77,PR!$D$93,IF($S$84=78,PR!$D$94,IF($S$84=79,PR!$D$95,IF($S$84=80,PR!$D$96,IF($S$84=81,PR!$D$97,IF($S$84=82,PR!$D$98,IF($S$84=83,PR!$D$99,IF($S$84=84,PR!$D$100,IF($S$84=85,PR!$D$101,IF($S$84=86,PR!$D$102,IF($S$84=87,PR!$D$103,IF($S$84=88,PR!$D$104,IF($S$84=89,PR!$D$105,IF($S$84=90,PR!$D$106,IF($S$84=91,PR!$D$107,IF($S$84=92,PR!$D$108,IF($S$84=93,PR!$D$109,IF($S$84=94,PR!$D$110,IF($S$84=95,PR!$D$111,IF($S$84=96,PR!$D$112,IF($S$84=97,PR!$D$113,IF($S$84=98,PR!$D$114,IF($S$84=99,PR!$D$115,IF($S$84=100,PR!$D$116,IF($S$84=101,PR!$D$117,IF($S$84=102,PR!$D$118,IF($S$84=103,PR!$D$119,IF($S$84=104,PR!$D$120,IF($S$84=105,PR!$D$121,IF($S$84=106,PR!$D$122,IF($S$84=107,PR!$D$123,IF($S$84=108,PR!$D$124,IF($S$84=109,PR!$D$125,IF($S$84=110,PR!$D$126,IF($S$84=111,PR!$D$127,IF($S$84=112,PR!$D$128,IF($S$84=113,PR!$D$129,IF($S$84=114,PR!$D$130,IF($S$84=115,PR!$D$131,IF($S$84=116,PR!$D$132,IF($S$84=117,PR!$D$133,IF($S$84=118,PR!$D$136,IF($S$84=119,PR!$D$137,IF($S$84=120,PR!$D$138,"-"))))))))))))))))))))))))))))))))))))))))))))))))))))))))))))</f>
        <v>30</v>
      </c>
      <c r="E85" s="798"/>
      <c r="F85" s="798"/>
      <c r="G85" s="802" t="s">
        <v>781</v>
      </c>
      <c r="H85" s="802"/>
      <c r="I85" s="802"/>
      <c r="J85" s="802"/>
      <c r="K85" s="798">
        <f>IF($S$84=61,PR!$C$77,IF($S$84=62,PR!$C$78,IF($S$84=63,PR!$C$79,IF($S$84=64,PR!$C$80,IF($S$84=65,PR!$C$81,IF($S$84=66,PR!$C$82,IF($S$84=67,PR!$C$83,IF($S$84=68,PR!$C$84,IF($S$84=69,PR!$C$85,IF($S$84=70,PR!$C$86,IF($S$84=71,PR!$C$87,IF($S$84=72,PR!$C$88,IF($S$84=73,PR!$C$89,IF($S$84=74,PR!$C$90,IF($S$84=75,PR!$C$91,IF($S$84=76,PR!$C$92,IF($S$84=77,PR!$C$93,IF($S$84=78,PR!$C$94,IF($S$84=79,PR!$C$95,IF($S$84=80,PR!$C$96,IF($S$84=81,PR!$C$97,IF($S$84=82,PR!$C$98,IF($S$84=83,PR!$C$99,IF($S$84=84,PR!$C$100,IF($S$84=85,PR!$C$101,IF($S$84=86,PR!$C$102,IF($S$84=87,PR!$C$103,IF($S$84=88,PR!$C$104,IF($S$84=89,PR!$C$105,IF($S$84=90,PR!$C$106,IF($S$84=91,PR!$C$107,IF($S$84=92,PR!$C$108,IF($S$84=93,PR!$C$109,IF($S$84=94,PR!$C$110,IF($S$84=95,PR!$C$111,IF($S$84=96,PR!$C$112,IF($S$84=97,PR!$C$113,IF($S$84=98,PR!$C$114,IF($S$84=99,PR!$C$115,IF($S$84=100,PR!$C$116,IF($S$84=101,PR!$C$117,IF($S$84=102,PR!$C$118,IF($S$84=103,PR!$C$119,IF($S$84=104,PR!$C$120,IF($S$84=105,PR!$C$121,IF($S$84=106,PR!$C$122,IF($S$84=107,PR!$C$123,IF($S$84=108,PR!$C$124,IF($S$84=109,PR!$C$125,IF($S$84=110,PR!$C$126,IF($S$84=111,PR!$C$127,IF($S$84=112,PR!$C$128,IF($S$84=113,PR!$C$129,IF($S$84=114,PR!$C$130,IF($S$84=115,PR!$C$131,IF($S$84=116,PR!$C$132,IF($S$84=117,PR!$C$133,IF($S$84=118,PR!$C$136,IF($S$84=119,PR!$C$137,IF($S$84=120,PR!$C$138,"-"))))))))))))))))))))))))))))))))))))))))))))))))))))))))))))</f>
        <v>52</v>
      </c>
      <c r="L85" s="798"/>
      <c r="M85" s="798"/>
      <c r="N85" s="518"/>
      <c r="O85" s="518"/>
      <c r="P85" s="518"/>
      <c r="Q85" s="518"/>
      <c r="R85" s="521"/>
      <c r="S85" s="518"/>
      <c r="T85" s="518"/>
      <c r="U85" s="518"/>
      <c r="V85" s="32"/>
      <c r="W85" s="32"/>
      <c r="X85" s="32"/>
      <c r="Y85" s="32"/>
      <c r="Z85" s="32"/>
    </row>
    <row r="86" spans="1:26" ht="19.5" thickTop="1" x14ac:dyDescent="0.25">
      <c r="A86" s="91"/>
      <c r="B86" s="518"/>
      <c r="C86" s="527"/>
      <c r="D86" s="528"/>
      <c r="E86" s="518"/>
      <c r="F86" s="518"/>
      <c r="G86" s="529"/>
      <c r="H86" s="529"/>
      <c r="I86" s="529"/>
      <c r="J86" s="529"/>
      <c r="K86" s="530"/>
      <c r="L86" s="530"/>
      <c r="M86" s="518"/>
      <c r="N86" s="518"/>
      <c r="O86" s="518"/>
      <c r="P86" s="518"/>
      <c r="Q86" s="518"/>
      <c r="R86" s="521"/>
      <c r="S86" s="518"/>
      <c r="T86" s="518"/>
      <c r="U86" s="518"/>
      <c r="V86" s="32"/>
      <c r="W86" s="32"/>
      <c r="X86" s="32"/>
      <c r="Y86" s="32"/>
      <c r="Z86" s="32"/>
    </row>
    <row r="87" spans="1:26" ht="15.75" thickBot="1" x14ac:dyDescent="0.3">
      <c r="A87" s="94" t="s">
        <v>782</v>
      </c>
      <c r="B87" s="531"/>
      <c r="C87" s="531" t="str">
        <f>N!$C$4</f>
        <v>ALPHA</v>
      </c>
      <c r="D87" s="531" t="str">
        <f>N!$C$5</f>
        <v>ASSENE</v>
      </c>
      <c r="E87" s="531" t="str">
        <f>N!$C$6</f>
        <v>BIOFEM</v>
      </c>
      <c r="F87" s="531" t="str">
        <f>N!$C$7</f>
        <v>BIOMED</v>
      </c>
      <c r="G87" s="531" t="str">
        <f>N!$C$8</f>
        <v>CHI</v>
      </c>
      <c r="H87" s="531" t="str">
        <f>N!$C$9</f>
        <v>CLARION</v>
      </c>
      <c r="I87" s="531" t="str">
        <f>N!$C$10</f>
        <v>CODIX</v>
      </c>
      <c r="J87" s="531" t="str">
        <f>N!$C$11</f>
        <v>COSMADE</v>
      </c>
      <c r="K87" s="531" t="str">
        <f>N!$C$12</f>
        <v>SANCON</v>
      </c>
      <c r="L87" s="531" t="str">
        <f>N!$C$13</f>
        <v>DEVON</v>
      </c>
      <c r="M87" s="531" t="str">
        <f>N!$C$14</f>
        <v>DORTEMAG</v>
      </c>
      <c r="N87" s="531" t="str">
        <f>N!$C$15</f>
        <v>DGF</v>
      </c>
      <c r="O87" s="532" t="str">
        <f>N!$C$16</f>
        <v>DYNAMIC</v>
      </c>
      <c r="P87" s="531" t="str">
        <f>N!$C$17</f>
        <v>EMZOR</v>
      </c>
      <c r="Q87" s="531" t="str">
        <f>N!$C$18</f>
        <v>EUMATT</v>
      </c>
      <c r="R87" s="531" t="str">
        <f>N!$C$19</f>
        <v>FIDSON</v>
      </c>
      <c r="S87" s="531" t="str">
        <f>N!$C$20</f>
        <v>FCGLOBAL</v>
      </c>
      <c r="T87" s="518"/>
      <c r="U87" s="518"/>
      <c r="V87" s="32"/>
      <c r="W87" s="32"/>
      <c r="X87" s="32"/>
      <c r="Y87" s="32"/>
    </row>
    <row r="88" spans="1:26" ht="15.75" thickBot="1" x14ac:dyDescent="0.3">
      <c r="A88" s="93"/>
      <c r="B88" s="533"/>
      <c r="C88" s="534">
        <f>IF($S$84=61,PR!$E$77,IF($S$84=62,PR!$E$78,IF($S$84=63,PR!$E$79,IF($S$84=64,PR!$E$80,IF($S$84=65,PR!$E$81,IF($S$84=66,PR!$E$82,IF($S$84=67,PR!$E$83,IF($S$84=68,PR!$E$84,IF($S$84=69,PR!$E$85,IF($S$84=70,PR!$E$86,IF($S$84=71,PR!$E$87,IF($S$84=72,PR!$E$88,IF($S$84=73,PR!$E$89,IF($S$84=74,PR!$E$90,IF($S$84=75,PR!$E$91,IF($S$84=76,PR!$E$92,IF($S$84=77,PR!$E$93,IF($S$84=78,PR!$E$94,IF($S$84=79,PR!$E$95,IF($S$84=80,PR!$E$96,IF($S$84=81,PR!$E$97,IF($S$84=82,PR!$E$98,IF($S$84=83,PR!$E$99,IF($S$84=84,PR!$E$100,IF($S$84=85,PR!$E$101,IF($S$84=86,PR!$E$102,IF($S$84=87,PR!$E$103,IF($S$84=88,PR!$E$104,IF($S$84=89,PR!$E$105,IF($S$84=90,PR!$E$106,IF($S$84=91,PR!$E$107,IF($S$84=92,PR!$E$108,IF($S$84=93,PR!$E$109,IF($S$84=94,PR!$E$110,IF($S$84=95,PR!$E$111,IF($S$84=96,PR!$E$112,IF($S$84=97,PR!$E$113,IF($S$84=98,PR!$E$114,IF($S$84=99,PR!$E$115,IF($S$84=100,PR!$E$116,IF($S$84=101,PR!$E$117,IF($S$84=102,PR!$E$118,IF($S$84=103,PR!$E$119,IF($S$84=104,PR!$E$120,IF($S$84=105,PR!$E$121,IF($S$84=106,PR!$E$122,IF($S$84=107,PR!$E$123,IF($S$84=108,PR!$E$124,IF($S$84=109,PR!$E$125,IF($S$84=110,PR!$E$126,IF($S$84=111,PR!$E$127,IF($S$84=112,PR!$E$128,IF($S$84=113,PR!$E$129,IF($S$84=114,PR!$E$130,IF($S$84=115,PR!$E$131,IF($S$84=116,PR!$E$132,IF($S$84=117,PR!$E$133,IF($S$84=118,PR!$E$136,IF($S$84=119,PR!$E$137,IF($S$84=120,PR!$E$138,"-"))))))))))))))))))))))))))))))))))))))))))))))))))))))))))))</f>
        <v>0</v>
      </c>
      <c r="D88" s="534">
        <f>IF($S$84=61,PR!$F$77,IF($S$84=62,PR!$F$78,IF($S$84=63,PR!$F$79,IF($S$84=64,PR!$F$80,IF($S$84=65,PR!$F$81,IF($S$84=66,PR!$F$82,IF($S$84=67,PR!$F$83,IF($S$84=68,PR!$F$84,IF($S$84=69,PR!$F$85,IF($S$84=70,PR!$F$86,IF($S$84=71,PR!$F$87,IF($S$84=72,PR!$F$88,IF($S$84=73,PR!$F$89,IF($S$84=74,PR!$F$90,IF($S$84=75,PR!$F$91,IF($S$84=76,PR!$F$92,IF($S$84=77,PR!$F$93,IF($S$84=78,PR!$F$94,IF($S$84=79,PR!$F$95,IF($S$84=80,PR!$F$96,IF($S$84=81,PR!$F$97,IF($S$84=82,PR!$F$98,IF($S$84=83,PR!$F$99,IF($S$84=84,PR!$F$100,IF($S$84=85,PR!$F$101,IF($S$84=86,PR!$F$102,IF($S$84=87,PR!$F$103,IF($S$84=88,PR!$F$104,IF($S$84=89,PR!$F$105,IF($S$84=90,PR!$F$106,IF($S$84=91,PR!$F$107,IF($S$84=92,PR!$F$108,IF($S$84=93,PR!$F$109,IF($S$84=94,PR!$F$110,IF($S$84=95,PR!$F$111,IF($S$84=96,PR!$F$112,IF($S$84=97,PR!$F$113,IF($S$84=98,PR!$F$114,IF($S$84=99,PR!$F$115,IF($S$84=100,PR!$F$116,IF($S$84=101,PR!$F$117,IF($S$84=102,PR!$F$118,IF($S$84=103,PR!$F$119,IF($S$84=104,PR!$F$120,IF($S$84=105,PR!$F$121,IF($S$84=106,PR!$F$122,IF($S$84=107,PR!$F$123,IF($S$84=108,PR!$F$124,IF($S$84=109,PR!$F$125,IF($S$84=110,PR!$F$126,IF($S$84=111,PR!$F$127,IF($S$84=112,PR!$F$128,IF($S$84=113,PR!$F$129,IF($S$84=114,PR!$F$130,IF($S$84=115,PR!$F$131,IF($S$84=116,PR!$F$132,IF($S$84=117,PR!$F$133,IF($S$84=118,PR!$F$136,IF($S$84=119,PR!$F$137,IF($S$84=120,PR!$F$138,"-"))))))))))))))))))))))))))))))))))))))))))))))))))))))))))))</f>
        <v>0</v>
      </c>
      <c r="E88" s="534">
        <f>IF($S$84=61,PR!$G$77,IF($S$84=62,PR!$G$78,IF($S$84=63,PR!$G$79,IF($S$84=64,PR!$G$80,IF($S$84=65,PR!$G$81,IF($S$84=66,PR!$G$82,IF($S$84=67,PR!$G$83,IF($S$84=68,PR!$G$84,IF($S$84=69,PR!$G$85,IF($S$84=70,PR!$G$86,IF($S$84=71,PR!$G$87,IF($S$84=72,PR!$G$88,IF($S$84=73,PR!$G$89,IF($S$84=74,PR!$G$90,IF($S$84=75,PR!$G$91,IF($S$84=76,PR!$G$92,IF($S$84=77,PR!$G$93,IF($S$84=78,PR!$G$94,IF($S$84=79,PR!$G$95,IF($S$84=80,PR!$G$96,IF($S$84=81,PR!$G$97,IF($S$84=82,PR!$G$98,IF($S$84=83,PR!$G$99,IF($S$84=84,PR!$G$100,IF($S$84=85,PR!$G$101,IF($S$84=86,PR!$G$102,IF($S$84=87,PR!$G$103,IF($S$84=88,PR!$G$104,IF($S$84=89,PR!$G$105,IF($S$84=90,PR!$G$106,IF($S$84=91,PR!$G$107,IF($S$84=92,PR!$G$108,IF($S$84=93,PR!$G$109,IF($S$84=94,PR!$G$110,IF($S$84=95,PR!$G$111,IF($S$84=96,PR!$G$112,IF($S$84=97,PR!$G$113,IF($S$84=98,PR!$G$114,IF($S$84=99,PR!$G$115,IF($S$84=100,PR!$G$116,IF($S$84=101,PR!$G$117,IF($S$84=102,PR!$G$118,IF($S$84=103,PR!$G$119,IF($S$84=104,PR!$G$120,IF($S$84=105,PR!$G$121,IF($S$84=106,PR!$G$122,IF($S$84=107,PR!$G$123,IF($S$84=108,PR!$G$124,IF($S$84=109,PR!$G$125,IF($S$84=110,PR!$G$126,IF($S$84=111,PR!$G$127,IF($S$84=112,PR!$G$128,IF($S$84=113,PR!$G$129,IF($S$84=114,PR!$G$130,IF($S$84=115,PR!$G$131,IF($S$84=116,PR!$G$132,IF($S$84=117,PR!$G$133,IF($S$84=118,PR!$G$136,IF($S$84=119,PR!$G$137,IF($S$84=120,PR!$G$138,"-"))))))))))))))))))))))))))))))))))))))))))))))))))))))))))))</f>
        <v>0</v>
      </c>
      <c r="F88" s="534">
        <f>IF($S$84=61,PR!$H$77,IF($S$84=62,PR!$H$78,IF($S$84=63,PR!$H$79,IF($S$84=64,PR!$H$80,IF($S$84=65,PR!$H$81,IF($S$84=66,PR!$H$82,IF($S$84=67,PR!$H$83,IF($S$84=68,PR!$H$84,IF($S$84=69,PR!$H$85,IF($S$84=70,PR!$H$86,IF($S$84=71,PR!$H$87,IF($S$84=72,PR!$H$88,IF($S$84=73,PR!$H$89,IF($S$84=74,PR!$H$90,IF($S$84=75,PR!$H$91,IF($S$84=76,PR!$H$92,IF($S$84=77,PR!$H$93,IF($S$84=78,PR!$H$94,IF($S$84=79,PR!$H$95,IF($S$84=80,PR!$H$96,IF($S$84=81,PR!$H$97,IF($S$84=82,PR!$H$98,IF($S$84=83,PR!$H$99,IF($S$84=84,PR!$H$100,IF($S$84=85,PR!$H$101,IF($S$84=86,PR!$H$102,IF($S$84=87,PR!$H$103,IF($S$84=88,PR!$H$104,IF($S$84=89,PR!$H$105,IF($S$84=90,PR!$H$106,IF($S$84=91,PR!$H$107,IF($S$84=92,PR!$H$108,IF($S$84=93,PR!$H$109,IF($S$84=94,PR!$H$110,IF($S$84=95,PR!$H$111,IF($S$84=96,PR!$H$112,IF($S$84=97,PR!$H$113,IF($S$84=98,PR!$H$114,IF($S$84=99,PR!$H$115,IF($S$84=100,PR!$H$116,IF($S$84=101,PR!$H$117,IF($S$84=102,PR!$H$118,IF($S$84=103,PR!$H$119,IF($S$84=104,PR!$H$120,IF($S$84=105,PR!$H$121,IF($S$84=106,PR!$H$122,IF($S$84=107,PR!$H$123,IF($S$84=108,PR!$H$124,IF($S$84=109,PR!$H$125,IF($S$84=110,PR!$H$126,IF($S$84=111,PR!$H$127,IF($S$84=112,PR!$H$128,IF($S$84=113,PR!$H$129,IF($S$84=114,PR!$H$130,IF($S$84=115,PR!$H$131,IF($S$84=116,PR!$H$132,IF($S$84=117,PR!$H$133,IF($S$84=118,PR!$H$136,IF($S$84=119,PR!$H$137,IF($S$84=120,PR!$H$138,"-"))))))))))))))))))))))))))))))))))))))))))))))))))))))))))))</f>
        <v>0</v>
      </c>
      <c r="G88" s="534">
        <f>IF($S$84=61,PR!$I$77,IF($S$84=62,PR!$I$78,IF($S$84=63,PR!$I$79,IF($S$84=64,PR!$I$80,IF($S$84=65,PR!$I$81,IF($S$84=66,PR!$I$82,IF($S$84=67,PR!$I$83,IF($S$84=68,PR!$I$84,IF($S$84=69,PR!$I$85,IF($S$84=70,PR!$I$86,IF($S$84=71,PR!$I$87,IF($S$84=72,PR!$I$88,IF($S$84=73,PR!$I$89,IF($S$84=74,PR!$I$90,IF($S$84=75,PR!$I$91,IF($S$84=76,PR!$I$92,IF($S$84=77,PR!$I$93,IF($S$84=78,PR!$I$94,IF($S$84=79,PR!$I$95,IF($S$84=80,PR!$I$96,IF($S$84=81,PR!$I$97,IF($S$84=82,PR!$I$98,IF($S$84=83,PR!$I$99,IF($S$84=84,PR!$I$100,IF($S$84=85,PR!$I$101,IF($S$84=86,PR!$I$102,IF($S$84=87,PR!$I$103,IF($S$84=88,PR!$I$104,IF($S$84=89,PR!$I$105,IF($S$84=90,PR!$I$106,IF($S$84=91,PR!$I$107,IF($S$84=92,PR!$I$108,IF($S$84=93,PR!$I$109,IF($S$84=94,PR!$I$110,IF($S$84=95,PR!$I$111,IF($S$84=96,PR!$I$112,IF($S$84=97,PR!$I$113,IF($S$84=98,PR!$I$114,IF($S$84=99,PR!$I$115,IF($S$84=100,PR!$I$116,IF($S$84=101,PR!$I$117,IF($S$84=102,PR!$I$118,IF($S$84=103,PR!$I$119,IF($S$84=104,PR!$I$120,IF($S$84=105,PR!$I$121,IF($S$84=106,PR!$I$122,IF($S$84=107,PR!$I$123,IF($S$84=108,PR!$I$124,IF($S$84=109,PR!$I$125,IF($S$84=110,PR!$I$126,IF($S$84=111,PR!$I$127,IF($S$84=112,PR!$I$128,IF($S$84=113,PR!$I$129,IF($S$84=114,PR!$I$130,IF($S$84=115,PR!$I$131,IF($S$84=116,PR!$I$132,IF($S$84=117,PR!$I$133,IF($S$84=118,PR!$I$136,IF($S$84=119,PR!$I$137,IF($S$84=120,PR!$I$138,"-"))))))))))))))))))))))))))))))))))))))))))))))))))))))))))))</f>
        <v>0</v>
      </c>
      <c r="H88" s="534">
        <f>IF($S$84=61,PR!$J$77,IF($S$84=62,PR!$J$78,IF($S$84=63,PR!$J$79,IF($S$84=64,PR!$J$80,IF($S$84=65,PR!$J$81,IF($S$84=66,PR!$J$82,IF($S$84=67,PR!$J$83,IF($S$84=68,PR!$J$84,IF($S$84=69,PR!$J$85,IF($S$84=70,PR!$J$86,IF($S$84=71,PR!$J$87,IF($S$84=72,PR!$J$88,IF($S$84=73,PR!$J$89,IF($S$84=74,PR!$J$90,IF($S$84=75,PR!$J$91,IF($S$84=76,PR!$J$92,IF($S$84=77,PR!$J$93,IF($S$84=78,PR!$J$94,IF($S$84=79,PR!$J$95,IF($S$84=80,PR!$J$96,IF($S$84=81,PR!$J$97,IF($S$84=82,PR!$J$98,IF($S$84=83,PR!$J$99,IF($S$84=84,PR!$J$100,IF($S$84=85,PR!$J$101,IF($S$84=86,PR!$J$102,IF($S$84=87,PR!$J$103,IF($S$84=88,PR!$J$104,IF($S$84=89,PR!$J$105,IF($S$84=90,PR!$J$106,IF($S$84=91,PR!$J$107,IF($S$84=92,PR!$J$108,IF($S$84=93,PR!$J$109,IF($S$84=94,PR!$J$110,IF($S$84=95,PR!$J$111,IF($S$84=96,PR!$J$112,IF($S$84=97,PR!$J$113,IF($S$84=98,PR!$J$114,IF($S$84=99,PR!$J$115,IF($S$84=100,PR!$J$116,IF($S$84=101,PR!$J$117,IF($S$84=102,PR!$J$118,IF($S$84=103,PR!$J$119,IF($S$84=104,PR!$J$120,IF($S$84=105,PR!$J$121,IF($S$84=106,PR!$J$122,IF($S$84=107,PR!$J$123,IF($S$84=108,PR!$J$124,IF($S$84=109,PR!$J$125,IF($S$84=110,PR!$J$126,IF($S$84=111,PR!$J$127,IF($S$84=112,PR!$J$128,IF($S$84=113,PR!$J$129,IF($S$84=114,PR!$J$130,IF($S$84=115,PR!$J$131,IF($S$84=116,PR!$J$132,IF($S$84=117,PR!$J$133,IF($S$84=118,PR!$J$136,IF($S$84=119,PR!$J$137,IF($S$84=120,PR!$J$138,"-"))))))))))))))))))))))))))))))))))))))))))))))))))))))))))))</f>
        <v>0</v>
      </c>
      <c r="I88" s="534">
        <f>IF($S$84=61,PR!$K$77,IF($S$84=62,PR!$K$78,IF($S$84=63,PR!$K$79,IF($S$84=64,PR!$K$80,IF($S$84=65,PR!$K$81,IF($S$84=66,PR!$K$82,IF($S$84=67,PR!$K$83,IF($S$84=68,PR!$K$84,IF($S$84=69,PR!$K$85,IF($S$84=70,PR!$K$86,IF($S$84=71,PR!$K$87,IF($S$84=72,PR!$K$88,IF($S$84=73,PR!$K$89,IF($S$84=74,PR!$K$90,IF($S$84=75,PR!$K$91,IF($S$84=76,PR!$K$92,IF($S$84=77,PR!$K$93,IF($S$84=78,PR!$K$94,IF($S$84=79,PR!$K$95,IF($S$84=80,PR!$K$96,IF($S$84=81,PR!$K$97,IF($S$84=82,PR!$K$98,IF($S$84=83,PR!$K$99,IF($S$84=84,PR!$K$100,IF($S$84=85,PR!$K$101,IF($S$84=86,PR!$K$102,IF($S$84=87,PR!$K$103,IF($S$84=88,PR!$K$104,IF($S$84=89,PR!$K$105,IF($S$84=90,PR!$K$106,IF($S$84=91,PR!$K$107,IF($S$84=92,PR!$K$108,IF($S$84=93,PR!$K$109,IF($S$84=94,PR!$K$110,IF($S$84=95,PR!$K$111,IF($S$84=96,PR!$K$112,IF($S$84=97,PR!$K$113,IF($S$84=98,PR!$K$114,IF($S$84=99,PR!$K$115,IF($S$84=100,PR!$K$116,IF($S$84=101,PR!$K$117,IF($S$84=102,PR!$K$118,IF($S$84=103,PR!$K$119,IF($S$84=104,PR!$K$120,IF($S$84=105,PR!$K$121,IF($S$84=106,PR!$K$122,IF($S$84=107,PR!$K$123,IF($S$84=108,PR!$K$124,IF($S$84=109,PR!$K$125,IF($S$84=110,PR!$K$126,IF($S$84=111,PR!$K$127,IF($S$84=112,PR!$K$128,IF($S$84=113,PR!$K$129,IF($S$84=114,PR!$K$130,IF($S$84=115,PR!$K$131,IF($S$84=116,PR!$K$132,IF($S$84=117,PR!$K$133,IF($S$84=118,PR!$K$136,IF($S$84=119,PR!$K$137,IF($S$84=120,PR!$K$138,"-"))))))))))))))))))))))))))))))))))))))))))))))))))))))))))))</f>
        <v>0</v>
      </c>
      <c r="J88" s="534">
        <f>IF($S$84=61,PR!$L$77,IF($S$84=62,PR!$L$78,IF($S$84=63,PR!$L$79,IF($S$84=64,PR!$L$80,IF($S$84=65,PR!$L$81,IF($S$84=66,PR!$L$82,IF($S$84=67,PR!$L$83,IF($S$84=68,PR!$L$84,IF($S$84=69,PR!$L$85,IF($S$84=70,PR!$L$86,IF($S$84=71,PR!$L$87,IF($S$84=72,PR!$L$88,IF($S$84=73,PR!$L$89,IF($S$84=74,PR!$L$90,IF($S$84=75,PR!$L$91,IF($S$84=76,PR!$L$92,IF($S$84=77,PR!$L$93,IF($S$84=78,PR!$L$94,IF($S$84=79,PR!$L$95,IF($S$84=80,PR!$L$96,IF($S$84=81,PR!$L$97,IF($S$84=82,PR!$L$98,IF($S$84=83,PR!$L$99,IF($S$84=84,PR!$L$100,IF($S$84=85,PR!$L$101,IF($S$84=86,PR!$L$102,IF($S$84=87,PR!$L$103,IF($S$84=88,PR!$L$104,IF($S$84=89,PR!$L$105,IF($S$84=90,PR!$L$106,IF($S$84=91,PR!$L$107,IF($S$84=92,PR!$L$108,IF($S$84=93,PR!$L$109,IF($S$84=94,PR!$L$110,IF($S$84=95,PR!$L$111,IF($S$84=96,PR!$L$112,IF($S$84=97,PR!$L$113,IF($S$84=98,PR!$L$114,IF($S$84=99,PR!$L$115,IF($S$84=100,PR!$L$116,IF($S$84=101,PR!$L$117,IF($S$84=102,PR!$L$118,IF($S$84=103,PR!$L$119,IF($S$84=104,PR!$L$120,IF($S$84=105,PR!$L$121,IF($S$84=106,PR!$L$122,IF($S$84=107,PR!$L$123,IF($S$84=108,PR!$L$124,IF($S$84=109,PR!$L$125,IF($S$84=110,PR!$L$126,IF($S$84=111,PR!$L$127,IF($S$84=112,PR!$L$128,IF($S$84=113,PR!$L$129,IF($S$84=114,PR!$L$130,IF($S$84=115,PR!$L$131,IF($S$84=116,PR!$L$132,IF($S$84=117,PR!$L$133,IF($S$84=118,PR!$L$136,IF($S$84=119,PR!$L$137,IF($S$84=120,PR!$L$138,"-"))))))))))))))))))))))))))))))))))))))))))))))))))))))))))))</f>
        <v>0</v>
      </c>
      <c r="K88" s="534">
        <f>IF($S$84=61,PR!$M$77,IF($S$84=62,PR!$M$78,IF($S$84=63,PR!$M$79,IF($S$84=64,PR!$M$80,IF($S$84=65,PR!$M$81,IF($S$84=66,PR!$M$82,IF($S$84=67,PR!$M$83,IF($S$84=68,PR!$M$84,IF($S$84=69,PR!$M$85,IF($S$84=70,PR!$M$86,IF($S$84=71,PR!$M$87,IF($S$84=72,PR!$M$88,IF($S$84=73,PR!$M$89,IF($S$84=74,PR!$M$90,IF($S$84=75,PR!$M$91,IF($S$84=76,PR!$M$92,IF($S$84=77,PR!$M$93,IF($S$84=78,PR!$M$94,IF($S$84=79,PR!$M$95,IF($S$84=80,PR!$M$96,IF($S$84=81,PR!$M$97,IF($S$84=82,PR!$M$98,IF($S$84=83,PR!$M$99,IF($S$84=84,PR!$M$100,IF($S$84=85,PR!$M$101,IF($S$84=86,PR!$M$102,IF($S$84=87,PR!$M$103,IF($S$84=88,PR!$M$104,IF($S$84=89,PR!$M$105,IF($S$84=90,PR!$M$106,IF($S$84=91,PR!$M$107,IF($S$84=92,PR!$M$108,IF($S$84=93,PR!$M$109,IF($S$84=94,PR!$M$110,IF($S$84=95,PR!$M$111,IF($S$84=96,PR!$M$112,IF($S$84=97,PR!$M$113,IF($S$84=98,PR!$M$114,IF($S$84=99,PR!$M$115,IF($S$84=100,PR!$M$116,IF($S$84=101,PR!$M$117,IF($S$84=102,PR!$M$118,IF($S$84=103,PR!$M$119,IF($S$84=104,PR!$M$120,IF($S$84=105,PR!$M$121,IF($S$84=106,PR!$M$122,IF($S$84=107,PR!$M$123,IF($S$84=108,PR!$M$124,IF($S$84=109,PR!$M$125,IF($S$84=110,PR!$M$126,IF($S$84=111,PR!$M$127,IF($S$84=112,PR!$M$128,IF($S$84=113,PR!$M$129,IF($S$84=114,PR!$M$130,IF($S$84=115,PR!$M$131,IF($S$84=116,PR!$M$132,IF($S$84=117,PR!$M$133,IF($S$84=118,PR!$M$136,IF($S$84=119,PR!$M$137,IF($S$84=120,PR!$M$138,"-"))))))))))))))))))))))))))))))))))))))))))))))))))))))))))))</f>
        <v>0</v>
      </c>
      <c r="L88" s="534">
        <f>IF($S$84=61,PR!$N$77,IF($S$84=62,PR!$N$78,IF($S$84=63,PR!$N$79,IF($S$84=64,PR!$N$80,IF($S$84=65,PR!$N$81,IF($S$84=66,PR!$N$82,IF($S$84=67,PR!$N$83,IF($S$84=68,PR!$N$84,IF($S$84=69,PR!$N$85,IF($S$84=70,PR!$N$86,IF($S$84=71,PR!$N$87,IF($S$84=72,PR!$N$88,IF($S$84=73,PR!$N$89,IF($S$84=74,PR!$N$90,IF($S$84=75,PR!$N$91,IF($S$84=76,PR!$N$92,IF($S$84=77,PR!$N$93,IF($S$84=78,PR!$N$94,IF($S$84=79,PR!$N$95,IF($S$84=80,PR!$N$96,IF($S$84=81,PR!$N$97,IF($S$84=82,PR!$N$98,IF($S$84=83,PR!$N$99,IF($S$84=84,PR!$N$100,IF($S$84=85,PR!$N$101,IF($S$84=86,PR!$N$102,IF($S$84=87,PR!$N$103,IF($S$84=88,PR!$N$104,IF($S$84=89,PR!$N$105,IF($S$84=90,PR!$N$106,IF($S$84=91,PR!$N$107,IF($S$84=92,PR!$N$108,IF($S$84=93,PR!$N$109,IF($S$84=94,PR!$N$110,IF($S$84=95,PR!$N$111,IF($S$84=96,PR!$N$112,IF($S$84=97,PR!$N$113,IF($S$84=98,PR!$N$114,IF($S$84=99,PR!$N$115,IF($S$84=100,PR!$N$116,IF($S$84=101,PR!$N$117,IF($S$84=102,PR!$N$118,IF($S$84=103,PR!$N$119,IF($S$84=104,PR!$N$120,IF($S$84=105,PR!$N$121,IF($S$84=106,PR!$N$122,IF($S$84=107,PR!$N$123,IF($S$84=108,PR!$N$124,IF($S$84=109,PR!$N$125,IF($S$84=110,PR!$N$126,IF($S$84=111,PR!$N$127,IF($S$84=112,PR!$N$128,IF($S$84=113,PR!$N$129,IF($S$84=114,PR!$N$130,IF($S$84=115,PR!$N$131,IF($S$84=116,PR!$N$132,IF($S$84=117,PR!$N$133,IF($S$84=118,PR!$N$136,IF($S$84=119,PR!$N$137,IF($S$84=120,PR!$N$138,"-"))))))))))))))))))))))))))))))))))))))))))))))))))))))))))))</f>
        <v>0</v>
      </c>
      <c r="M88" s="534">
        <f>IF($S$84=61,PR!$O$77,IF($S$84=62,PR!$O$78,IF($S$84=63,PR!$O$79,IF($S$84=64,PR!$O$80,IF($S$84=65,PR!$O$81,IF($S$84=66,PR!$O$82,IF($S$84=67,PR!$O$83,IF($S$84=68,PR!$O$84,IF($S$84=69,PR!$O$85,IF($S$84=70,PR!$O$86,IF($S$84=71,PR!$O$87,IF($S$84=72,PR!$O$88,IF($S$84=73,PR!$O$89,IF($S$84=74,PR!$O$90,IF($S$84=75,PR!$O$91,IF($S$84=76,PR!$O$92,IF($S$84=77,PR!$O$93,IF($S$84=78,PR!$O$94,IF($S$84=79,PR!$O$95,IF($S$84=80,PR!$O$96,IF($S$84=81,PR!$O$97,IF($S$84=82,PR!$O$98,IF($S$84=83,PR!$O$99,IF($S$84=84,PR!$O$100,IF($S$84=85,PR!$O$101,IF($S$84=86,PR!$O$102,IF($S$84=87,PR!$O$103,IF($S$84=88,PR!$O$104,IF($S$84=89,PR!$O$105,IF($S$84=90,PR!$O$106,IF($S$84=91,PR!$O$107,IF($S$84=92,PR!$O$108,IF($S$84=93,PR!$O$109,IF($S$84=94,PR!$O$110,IF($S$84=95,PR!$O$111,IF($S$84=96,PR!$O$112,IF($S$84=97,PR!$O$113,IF($S$84=98,PR!$O$114,IF($S$84=99,PR!$O$115,IF($S$84=100,PR!$O$116,IF($S$84=101,PR!$O$117,IF($S$84=102,PR!$O$118,IF($S$84=103,PR!$O$119,IF($S$84=104,PR!$O$120,IF($S$84=105,PR!$O$121,IF($S$84=106,PR!$O$122,IF($S$84=107,PR!$O$123,IF($S$84=108,PR!$O$124,IF($S$84=109,PR!$O$125,IF($S$84=110,PR!$O$126,IF($S$84=111,PR!$O$127,IF($S$84=112,PR!$O$128,IF($S$84=113,PR!$O$129,IF($S$84=114,PR!$O$130,IF($S$84=115,PR!$O$131,IF($S$84=116,PR!$O$132,IF($S$84=117,PR!$O$133,IF($S$84=118,PR!$O$136,IF($S$84=119,PR!$O$137,IF($S$84=120,PR!$O$138,"-"))))))))))))))))))))))))))))))))))))))))))))))))))))))))))))</f>
        <v>0</v>
      </c>
      <c r="N88" s="534">
        <f>IF($S$84=61,PR!$P$77,IF($S$84=62,PR!$P$78,IF($S$84=63,PR!$P$79,IF($S$84=64,PR!$P$80,IF($S$84=65,PR!$P$81,IF($S$84=66,PR!$P$82,IF($S$84=67,PR!$P$83,IF($S$84=68,PR!$P$84,IF($S$84=69,PR!$P$85,IF($S$84=70,PR!$P$86,IF($S$84=71,PR!$P$87,IF($S$84=72,PR!$P$88,IF($S$84=73,PR!$P$89,IF($S$84=74,PR!$P$90,IF($S$84=75,PR!$P$91,IF($S$84=76,PR!$P$92,IF($S$84=77,PR!$P$93,IF($S$84=78,PR!$P$94,IF($S$84=79,PR!$P$95,IF($S$84=80,PR!$P$96,IF($S$84=81,PR!$P$97,IF($S$84=82,PR!$P$98,IF($S$84=83,PR!$P$99,IF($S$84=84,PR!$P$100,IF($S$84=85,PR!$P$101,IF($S$84=86,PR!$P$102,IF($S$84=87,PR!$P$103,IF($S$84=88,PR!$P$104,IF($S$84=89,PR!$P$105,IF($S$84=90,PR!$P$106,IF($S$84=91,PR!$P$107,IF($S$84=92,PR!$P$108,IF($S$84=93,PR!$P$109,IF($S$84=94,PR!$P$110,IF($S$84=95,PR!$P$111,IF($S$84=96,PR!$P$112,IF($S$84=97,PR!$P$113,IF($S$84=98,PR!$P$114,IF($S$84=99,PR!$P$115,IF($S$84=100,PR!$P$116,IF($S$84=101,PR!$P$117,IF($S$84=102,PR!$P$118,IF($S$84=103,PR!$P$119,IF($S$84=104,PR!$P$120,IF($S$84=105,PR!$P$121,IF($S$84=106,PR!$P$122,IF($S$84=107,PR!$P$123,IF($S$84=108,PR!$P$124,IF($S$84=109,PR!$P$125,IF($S$84=110,PR!$P$126,IF($S$84=111,PR!$P$127,IF($S$84=112,PR!$P$128,IF($S$84=113,PR!$P$129,IF($S$84=114,PR!$P$130,IF($S$84=115,PR!$P$131,IF($S$84=116,PR!$P$132,IF($S$84=117,PR!$P$133,IF($S$84=118,PR!$P$136,IF($S$84=119,PR!$P$137,IF($S$84=120,PR!$P$138,"-"))))))))))))))))))))))))))))))))))))))))))))))))))))))))))))</f>
        <v>0</v>
      </c>
      <c r="O88" s="534">
        <f>IF($S$84=61,PR!$Q$77,IF($S$84=62,PR!$Q$78,IF($S$84=63,PR!$Q$79,IF($S$84=64,PR!$Q$80,IF($S$84=65,PR!$Q$81,IF($S$84=66,PR!$Q$82,IF($S$84=67,PR!$Q$83,IF($S$84=68,PR!$Q$84,IF($S$84=69,PR!$Q$85,IF($S$84=70,PR!$Q$86,IF($S$84=71,PR!$Q$87,IF($S$84=72,PR!$Q$88,IF($S$84=73,PR!$Q$89,IF($S$84=74,PR!$Q$90,IF($S$84=75,PR!$Q$91,IF($S$84=76,PR!$Q$92,IF($S$84=77,PR!$Q$93,IF($S$84=78,PR!$Q$94,IF($S$84=79,PR!$Q$95,IF($S$84=80,PR!$Q$96,IF($S$84=81,PR!$Q$97,IF($S$84=82,PR!$Q$98,IF($S$84=83,PR!$Q$99,IF($S$84=84,PR!$Q$100,IF($S$84=85,PR!$Q$101,IF($S$84=86,PR!$Q$102,IF($S$84=87,PR!$Q$103,IF($S$84=88,PR!$Q$104,IF($S$84=89,PR!$Q$105,IF($S$84=90,PR!$Q$106,IF($S$84=91,PR!$Q$107,IF($S$84=92,PR!$Q$108,IF($S$84=93,PR!$Q$109,IF($S$84=94,PR!$Q$110,IF($S$84=95,PR!$Q$111,IF($S$84=96,PR!$Q$112,IF($S$84=97,PR!$Q$113,IF($S$84=98,PR!$Q$114,IF($S$84=99,PR!$Q$115,IF($S$84=100,PR!$Q$116,IF($S$84=101,PR!$Q$117,IF($S$84=102,PR!$Q$118,IF($S$84=103,PR!$Q$119,IF($S$84=104,PR!$Q$120,IF($S$84=105,PR!$Q$121,IF($S$84=106,PR!$Q$122,IF($S$84=107,PR!$Q$123,IF($S$84=108,PR!$Q$124,IF($S$84=109,PR!$Q$125,IF($S$84=110,PR!$Q$126,IF($S$84=111,PR!$Q$127,IF($S$84=112,PR!$Q$128,IF($S$84=113,PR!$Q$129,IF($S$84=114,PR!$Q$130,IF($S$84=115,PR!$Q$131,IF($S$84=116,PR!$Q$132,IF($S$84=117,PR!$Q$133,IF($S$84=118,PR!$Q$136,IF($S$84=119,PR!$Q$137,IF($S$84=120,PR!$Q$138,"-"))))))))))))))))))))))))))))))))))))))))))))))))))))))))))))</f>
        <v>0</v>
      </c>
      <c r="P88" s="534">
        <f>IF($S$84=61,PR!$R$77,IF($S$84=62,PR!$R$78,IF($S$84=63,PR!$R$79,IF($S$84=64,PR!$R$80,IF($S$84=65,PR!$R$81,IF($S$84=66,PR!$R$82,IF($S$84=67,PR!$R$83,IF($S$84=68,PR!$R$84,IF($S$84=69,PR!$R$85,IF($S$84=70,PR!$R$86,IF($S$84=71,PR!$R$87,IF($S$84=72,PR!$R$88,IF($S$84=73,PR!$R$89,IF($S$84=74,PR!$R$90,IF($S$84=75,PR!$R$91,IF($S$84=76,PR!$R$92,IF($S$84=77,PR!$R$93,IF($S$84=78,PR!$R$94,IF($S$84=79,PR!$R$95,IF($S$84=80,PR!$R$96,IF($S$84=81,PR!$R$97,IF($S$84=82,PR!$R$98,IF($S$84=83,PR!$R$99,IF($S$84=84,PR!$R$100,IF($S$84=85,PR!$R$101,IF($S$84=86,PR!$R$102,IF($S$84=87,PR!$R$103,IF($S$84=88,PR!$R$104,IF($S$84=89,PR!$R$105,IF($S$84=90,PR!$R$106,IF($S$84=91,PR!$R$107,IF($S$84=92,PR!$R$108,IF($S$84=93,PR!$R$109,IF($S$84=94,PR!$R$110,IF($S$84=95,PR!$R$111,IF($S$84=96,PR!$R$112,IF($S$84=97,PR!$R$113,IF($S$84=98,PR!$R$114,IF($S$84=99,PR!$R$115,IF($S$84=100,PR!$R$116,IF($S$84=101,PR!$R$117,IF($S$84=102,PR!$R$118,IF($S$84=103,PR!$R$119,IF($S$84=104,PR!$R$120,IF($S$84=105,PR!$R$121,IF($S$84=106,PR!$R$122,IF($S$84=107,PR!$R$123,IF($S$84=108,PR!$R$124,IF($S$84=109,PR!$R$125,IF($S$84=110,PR!$R$126,IF($S$84=111,PR!$R$127,IF($S$84=112,PR!$R$128,IF($S$84=113,PR!$R$129,IF($S$84=114,PR!$R$130,IF($S$84=115,PR!$R$131,IF($S$84=116,PR!$R$132,IF($S$84=117,PR!$R$133,IF($S$84=118,PR!$R$136,IF($S$84=119,PR!$R$137,IF($S$84=120,PR!$R$138,"-"))))))))))))))))))))))))))))))))))))))))))))))))))))))))))))</f>
        <v>0</v>
      </c>
      <c r="Q88" s="534">
        <f>IF($S$84=61,PR!$S$77,IF($S$84=62,PR!$S$78,IF($S$84=63,PR!$S$79,IF($S$84=64,PR!$S$80,IF($S$84=65,PR!$S$81,IF($S$84=66,PR!$S$82,IF($S$84=67,PR!$S$83,IF($S$84=68,PR!$S$84,IF($S$84=69,PR!$S$85,IF($S$84=70,PR!$S$86,IF($S$84=71,PR!$S$87,IF($S$84=72,PR!$S$88,IF($S$84=73,PR!$S$89,IF($S$84=74,PR!$S$90,IF($S$84=75,PR!$S$91,IF($S$84=76,PR!$S$92,IF($S$84=77,PR!$S$93,IF($S$84=78,PR!$S$94,IF($S$84=79,PR!$S$95,IF($S$84=80,PR!$S$96,IF($S$84=81,PR!$S$97,IF($S$84=82,PR!$S$98,IF($S$84=83,PR!$S$99,IF($S$84=84,PR!$S$100,IF($S$84=85,PR!$S$101,IF($S$84=86,PR!$S$102,IF($S$84=87,PR!$S$103,IF($S$84=88,PR!$S$104,IF($S$84=89,PR!$S$105,IF($S$84=90,PR!$S$106,IF($S$84=91,PR!$S$107,IF($S$84=92,PR!$S$108,IF($S$84=93,PR!$S$109,IF($S$84=94,PR!$S$110,IF($S$84=95,PR!$S$111,IF($S$84=96,PR!$S$112,IF($S$84=97,PR!$S$113,IF($S$84=98,PR!$S$114,IF($S$84=99,PR!$S$115,IF($S$84=100,PR!$S$116,IF($S$84=101,PR!$S$117,IF($S$84=102,PR!$S$118,IF($S$84=103,PR!$S$119,IF($S$84=104,PR!$S$120,IF($S$84=105,PR!$S$121,IF($S$84=106,PR!$S$122,IF($S$84=107,PR!$S$123,IF($S$84=108,PR!$S$124,IF($S$84=109,PR!$S$125,IF($S$84=110,PR!$S$126,IF($S$84=111,PR!$S$127,IF($S$84=112,PR!$S$128,IF($S$84=113,PR!$S$129,IF($S$84=114,PR!$S$130,IF($S$84=115,PR!$S$131,IF($S$84=116,PR!$S$132,IF($S$84=117,PR!$S$133,IF($S$84=118,PR!$S$136,IF($S$84=119,PR!$S$137,IF($S$84=120,PR!$S$138,"-"))))))))))))))))))))))))))))))))))))))))))))))))))))))))))))</f>
        <v>0</v>
      </c>
      <c r="R88" s="534">
        <f>IF($S$84=61,PR!$T$77,IF($S$84=62,PR!$T$78,IF($S$84=63,PR!$T$79,IF($S$84=64,PR!$T$80,IF($S$84=65,PR!$T$81,IF($S$84=66,PR!$T$82,IF($S$84=67,PR!$T$83,IF($S$84=68,PR!$T$84,IF($S$84=69,PR!$T$85,IF($S$84=70,PR!$T$86,IF($S$84=71,PR!$T$87,IF($S$84=72,PR!$T$88,IF($S$84=73,PR!$T$89,IF($S$84=74,PR!$T$90,IF($S$84=75,PR!$T$91,IF($S$84=76,PR!$T$92,IF($S$84=77,PR!$T$93,IF($S$84=78,PR!$T$94,IF($S$84=79,PR!$T$95,IF($S$84=80,PR!$T$96,IF($S$84=81,PR!$T$97,IF($S$84=82,PR!$T$98,IF($S$84=83,PR!$T$99,IF($S$84=84,PR!$T$100,IF($S$84=85,PR!$T$101,IF($S$84=86,PR!$T$102,IF($S$84=87,PR!$T$103,IF($S$84=88,PR!$T$104,IF($S$84=89,PR!$T$105,IF($S$84=90,PR!$T$106,IF($S$84=91,PR!$T$107,IF($S$84=92,PR!$T$108,IF($S$84=93,PR!$T$109,IF($S$84=94,PR!$T$110,IF($S$84=95,PR!$T$111,IF($S$84=96,PR!$T$112,IF($S$84=97,PR!$T$113,IF($S$84=98,PR!$T$114,IF($S$84=99,PR!$T$115,IF($S$84=100,PR!$T$116,IF($S$84=101,PR!$T$117,IF($S$84=102,PR!$T$118,IF($S$84=103,PR!$T$119,IF($S$84=104,PR!$T$120,IF($S$84=105,PR!$T$121,IF($S$84=106,PR!$T$122,IF($S$84=107,PR!$T$123,IF($S$84=108,PR!$T$124,IF($S$84=109,PR!$T$125,IF($S$84=110,PR!$T$126,IF($S$84=111,PR!$T$127,IF($S$84=112,PR!$T$128,IF($S$84=113,PR!$T$129,IF($S$84=114,PR!$T$130,IF($S$84=115,PR!$T$131,IF($S$84=116,PR!$T$132,IF($S$84=117,PR!$T$133,IF($S$84=118,PR!$T$136,IF($S$84=119,PR!$T$137,IF($S$84=120,PR!$T$138,"-"))))))))))))))))))))))))))))))))))))))))))))))))))))))))))))</f>
        <v>0</v>
      </c>
      <c r="S88" s="534">
        <f>IF($S$84=61,PR!$U$77,IF($S$84=62,PR!$U$78,IF($S$84=63,PR!$U$79,IF($S$84=64,PR!$U$80,IF($S$84=65,PR!$U$81,IF($S$84=66,PR!$U$82,IF($S$84=67,PR!$U$83,IF($S$84=68,PR!$U$84,IF($S$84=69,PR!$U$85,IF($S$84=70,PR!$U$86,IF($S$84=71,PR!$U$87,IF($S$84=72,PR!$U$88,IF($S$84=73,PR!$U$89,IF($S$84=74,PR!$U$90,IF($S$84=75,PR!$U$91,IF($S$84=76,PR!$U$92,IF($S$84=77,PR!$U$93,IF($S$84=78,PR!$U$94,IF($S$84=79,PR!$U$95,IF($S$84=80,PR!$U$96,IF($S$84=81,PR!$U$97,IF($S$84=82,PR!$U$98,IF($S$84=83,PR!$U$99,IF($S$84=84,PR!$U$100,IF($S$84=85,PR!$U$101,IF($S$84=86,PR!$U$102,IF($S$84=87,PR!$U$103,IF($S$84=88,PR!$U$104,IF($S$84=89,PR!$U$105,IF($S$84=90,PR!$U$106,IF($S$84=91,PR!$U$107,IF($S$84=92,PR!$U$108,IF($S$84=93,PR!$U$109,IF($S$84=94,PR!$U$110,IF($S$84=95,PR!$U$111,IF($S$84=96,PR!$U$112,IF($S$84=97,PR!$U$113,IF($S$84=98,PR!$U$114,IF($S$84=99,PR!$U$115,IF($S$84=100,PR!$U$116,IF($S$84=101,PR!$U$117,IF($S$84=102,PR!$U$118,IF($S$84=103,PR!$U$119,IF($S$84=104,PR!$U$120,IF($S$84=105,PR!$U$121,IF($S$84=106,PR!$U$122,IF($S$84=107,PR!$U$123,IF($S$84=108,PR!$U$124,IF($S$84=109,PR!$U$125,IF($S$84=110,PR!$U$126,IF($S$84=111,PR!$U$127,IF($S$84=112,PR!$U$128,IF($S$84=113,PR!$U$129,IF($S$84=114,PR!$U$130,IF($S$84=115,PR!$U$131,IF($S$84=116,PR!$U$132,IF($S$84=117,PR!$U$133,IF($S$84=118,PR!$U$136,IF($S$84=119,PR!$U$137,IF($S$84=120,PR!$U$138,"-"))))))))))))))))))))))))))))))))))))))))))))))))))))))))))))</f>
        <v>0</v>
      </c>
      <c r="T88" s="518"/>
      <c r="U88" s="518"/>
      <c r="V88" s="32"/>
      <c r="W88" s="32"/>
      <c r="X88" s="32"/>
      <c r="Y88" s="32"/>
    </row>
    <row r="89" spans="1:26" x14ac:dyDescent="0.25">
      <c r="A89" s="91"/>
      <c r="B89" s="518"/>
      <c r="C89" s="529"/>
      <c r="D89" s="518"/>
      <c r="E89" s="518"/>
      <c r="F89" s="518"/>
      <c r="G89" s="518"/>
      <c r="H89" s="518"/>
      <c r="I89" s="518"/>
      <c r="J89" s="518"/>
      <c r="K89" s="518"/>
      <c r="L89" s="518"/>
      <c r="M89" s="518"/>
      <c r="N89" s="518"/>
      <c r="O89" s="518"/>
      <c r="P89" s="518"/>
      <c r="Q89" s="518"/>
      <c r="R89" s="521"/>
      <c r="S89" s="521"/>
      <c r="T89" s="518"/>
      <c r="U89" s="518"/>
      <c r="V89" s="32"/>
      <c r="W89" s="32"/>
      <c r="X89" s="32"/>
      <c r="Y89" s="32"/>
      <c r="Z89" s="32"/>
    </row>
    <row r="90" spans="1:26" ht="15.75" thickBot="1" x14ac:dyDescent="0.3">
      <c r="A90" s="91"/>
      <c r="B90" s="518"/>
      <c r="C90" s="531" t="str">
        <f>N!$C$21</f>
        <v>GENEITH</v>
      </c>
      <c r="D90" s="531" t="str">
        <f>N!$C$22</f>
        <v>GINOS</v>
      </c>
      <c r="E90" s="531" t="str">
        <f>N!$C$23</f>
        <v>GSK</v>
      </c>
      <c r="F90" s="531" t="str">
        <f>N!$C$24</f>
        <v>GLOBORG</v>
      </c>
      <c r="G90" s="531" t="str">
        <f>N!$C$25</f>
        <v>GOODNEWS</v>
      </c>
      <c r="H90" s="531" t="str">
        <f>N!$C$26</f>
        <v>GREENLIFE</v>
      </c>
      <c r="I90" s="531" t="str">
        <f>N!$C$27</f>
        <v>HLINE</v>
      </c>
      <c r="J90" s="531" t="str">
        <f>N!$C$28</f>
        <v>ROTECH</v>
      </c>
      <c r="K90" s="531" t="str">
        <f>N!$C$29</f>
        <v>ISN</v>
      </c>
      <c r="L90" s="531" t="str">
        <f>N!$C$30</f>
        <v>JAWA</v>
      </c>
      <c r="M90" s="531" t="str">
        <f>N!$C$31</f>
        <v>LAYO</v>
      </c>
      <c r="N90" s="531" t="str">
        <f>N!$C$32</f>
        <v>LEADWAY</v>
      </c>
      <c r="O90" s="531" t="str">
        <f>N!$C$33</f>
        <v>LHV</v>
      </c>
      <c r="P90" s="531" t="str">
        <f>N!$C$34</f>
        <v>MANOLA</v>
      </c>
      <c r="Q90" s="531" t="str">
        <f>N!$C$35</f>
        <v>MARCSON</v>
      </c>
      <c r="R90" s="531" t="str">
        <f>N!$C$36</f>
        <v>M&amp;B</v>
      </c>
      <c r="S90" s="531" t="str">
        <f>N!$C$37</f>
        <v>MTRUST</v>
      </c>
      <c r="T90" s="518"/>
      <c r="U90" s="518"/>
      <c r="V90" s="32"/>
      <c r="W90" s="32"/>
      <c r="X90" s="32"/>
      <c r="Y90" s="32"/>
      <c r="Z90" s="32"/>
    </row>
    <row r="91" spans="1:26" ht="15.75" thickBot="1" x14ac:dyDescent="0.3">
      <c r="A91" s="91"/>
      <c r="B91" s="518"/>
      <c r="C91" s="534">
        <f>IF($S$84=61,PR!$V$77,IF($S$84=62,PR!$V$78,IF($S$84=63,PR!$V$79,IF($S$84=64,PR!$V$80,IF($S$84=65,PR!$V$81,IF($S$84=66,PR!$V$82,IF($S$84=67,PR!$V$83,IF($S$84=68,PR!$V$84,IF($S$84=69,PR!$V$85,IF($S$84=70,PR!$V$86,IF($S$84=71,PR!$V$87,IF($S$84=72,PR!$V$88,IF($S$84=73,PR!$V$89,IF($S$84=74,PR!$V$90,IF($S$84=75,PR!$V$91,IF($S$84=76,PR!$V$92,IF($S$84=77,PR!$V$93,IF($S$84=78,PR!$V$94,IF($S$84=79,PR!$V$95,IF($S$84=80,PR!$V$96,IF($S$84=81,PR!$V$97,IF($S$84=82,PR!$V$98,IF($S$84=83,PR!$V$99,IF($S$84=84,PR!$V$100,IF($S$84=85,PR!$V$101,IF($S$84=86,PR!$V$102,IF($S$84=87,PR!$V$103,IF($S$84=88,PR!$V$104,IF($S$84=89,PR!$V$105,IF($S$84=90,PR!$V$106,IF($S$84=91,PR!$V$107,IF($S$84=92,PR!$V$108,IF($S$84=93,PR!$V$109,IF($S$84=94,PR!$V$110,IF($S$84=95,PR!$V$111,IF($S$84=96,PR!$V$112,IF($S$84=97,PR!$V$113,IF($S$84=98,PR!$V$114,IF($S$84=99,PR!$V$115,IF($S$84=100,PR!$V$116,IF($S$84=101,PR!$V$117,IF($S$84=102,PR!$V$118,IF($S$84=103,PR!$V$119,IF($S$84=104,PR!$V$120,IF($S$84=105,PR!$V$121,IF($S$84=106,PR!$V$122,IF($S$84=107,PR!$V$123,IF($S$84=108,PR!$V$124,IF($S$84=109,PR!$V$125,IF($S$84=110,PR!$V$126,IF($S$84=111,PR!$V$127,IF($S$84=112,PR!$V$128,IF($S$84=113,PR!$V$129,IF($S$84=114,PR!$V$130,IF($S$84=115,PR!$V$131,IF($S$84=116,PR!$V$132,IF($S$84=117,PR!$V$133,IF($S$84=118,PR!$V$136,IF($S$84=119,PR!$V$137,IF($S$84=120,PR!$V$138,"-"))))))))))))))))))))))))))))))))))))))))))))))))))))))))))))</f>
        <v>0</v>
      </c>
      <c r="D91" s="534">
        <f>IF($S$84=61,PR!$W$77,IF($S$84=62,PR!$W$78,IF($S$84=63,PR!$W$79,IF($S$84=64,PR!$W$80,IF($S$84=65,PR!$W$81,IF($S$84=66,PR!$W$82,IF($S$84=67,PR!$W$83,IF($S$84=68,PR!$W$84,IF($S$84=69,PR!$W$85,IF($S$84=70,PR!$W$86,IF($S$84=71,PR!$W$87,IF($S$84=72,PR!$W$88,IF($S$84=73,PR!$W$89,IF($S$84=74,PR!$W$90,IF($S$84=75,PR!$W$91,IF($S$84=76,PR!$W$92,IF($S$84=77,PR!$W$93,IF($S$84=78,PR!$W$94,IF($S$84=79,PR!$W$95,IF($S$84=80,PR!$W$96,IF($S$84=81,PR!$W$97,IF($S$84=82,PR!$W$98,IF($S$84=83,PR!$W$99,IF($S$84=84,PR!$W$100,IF($S$84=85,PR!$W$101,IF($S$84=86,PR!$W$102,IF($S$84=87,PR!$W$103,IF($S$84=88,PR!$W$104,IF($S$84=89,PR!$W$105,IF($S$84=90,PR!$W$106,IF($S$84=91,PR!$W$107,IF($S$84=92,PR!$W$108,IF($S$84=93,PR!$W$109,IF($S$84=94,PR!$W$110,IF($S$84=95,PR!$W$111,IF($S$84=96,PR!$W$112,IF($S$84=97,PR!$W$113,IF($S$84=98,PR!$W$114,IF($S$84=99,PR!$W$115,IF($S$84=100,PR!$W$116,IF($S$84=101,PR!$W$117,IF($S$84=102,PR!$W$118,IF($S$84=103,PR!$W$119,IF($S$84=104,PR!$W$120,IF($S$84=105,PR!$W$121,IF($S$84=106,PR!$W$122,IF($S$84=107,PR!$W$123,IF($S$84=108,PR!$W$124,IF($S$84=109,PR!$W$125,IF($S$84=110,PR!$W$126,IF($S$84=111,PR!$W$127,IF($S$84=112,PR!$W$128,IF($S$84=113,PR!$W$129,IF($S$84=114,PR!$W$130,IF($S$84=115,PR!$W$131,IF($S$84=116,PR!$W$132,IF($S$84=117,PR!$W$133,IF($S$84=118,PR!$W$136,IF($S$84=119,PR!$W$137,IF($S$84=120,PR!$W$138,"-"))))))))))))))))))))))))))))))))))))))))))))))))))))))))))))</f>
        <v>0</v>
      </c>
      <c r="E91" s="534">
        <f>IF($S$84=61,PR!$X$77,IF($S$84=62,PR!$X$78,IF($S$84=63,PR!$X$79,IF($S$84=64,PR!$X$80,IF($S$84=65,PR!$X$81,IF($S$84=66,PR!$X$82,IF($S$84=67,PR!$X$83,IF($S$84=68,PR!$X$84,IF($S$84=69,PR!$X$85,IF($S$84=70,PR!$X$86,IF($S$84=71,PR!$X$87,IF($S$84=72,PR!$X$88,IF($S$84=73,PR!$X$89,IF($S$84=74,PR!$X$90,IF($S$84=75,PR!$X$91,IF($S$84=76,PR!$X$92,IF($S$84=77,PR!$X$93,IF($S$84=78,PR!$X$94,IF($S$84=79,PR!$X$95,IF($S$84=80,PR!$X$96,IF($S$84=81,PR!$X$97,IF($S$84=82,PR!$X$98,IF($S$84=83,PR!$X$99,IF($S$84=84,PR!$X$100,IF($S$84=85,PR!$X$101,IF($S$84=86,PR!$X$102,IF($S$84=87,PR!$X$103,IF($S$84=88,PR!$X$104,IF($S$84=89,PR!$X$105,IF($S$84=90,PR!$X$106,IF($S$84=91,PR!$X$107,IF($S$84=92,PR!$X$108,IF($S$84=93,PR!$X$109,IF($S$84=94,PR!$X$110,IF($S$84=95,PR!$X$111,IF($S$84=96,PR!$X$112,IF($S$84=97,PR!$X$113,IF($S$84=98,PR!$X$114,IF($S$84=99,PR!$X$115,IF($S$84=100,PR!$X$116,IF($S$84=101,PR!$X$117,IF($S$84=102,PR!$X$118,IF($S$84=103,PR!$X$119,IF($S$84=104,PR!$X$120,IF($S$84=105,PR!$X$121,IF($S$84=106,PR!$X$122,IF($S$84=107,PR!$X$123,IF($S$84=108,PR!$X$124,IF($S$84=109,PR!$X$125,IF($S$84=110,PR!$X$126,IF($S$84=111,PR!$X$127,IF($S$84=112,PR!$X$128,IF($S$84=113,PR!$X$129,IF($S$84=114,PR!$X$130,IF($S$84=115,PR!$X$131,IF($S$84=116,PR!$X$132,IF($S$84=117,PR!$X$133,IF($S$84=118,PR!$X$136,IF($S$84=119,PR!$X$137,IF($S$84=120,PR!$X$138,"-"))))))))))))))))))))))))))))))))))))))))))))))))))))))))))))</f>
        <v>0</v>
      </c>
      <c r="F91" s="534">
        <f>IF($S$84=61,PR!$Y$77,IF($S$84=62,PR!$Y$78,IF($S$84=63,PR!$Y$79,IF($S$84=64,PR!$Y$80,IF($S$84=65,PR!$Y$81,IF($S$84=66,PR!$Y$82,IF($S$84=67,PR!$Y$83,IF($S$84=68,PR!$Y$84,IF($S$84=69,PR!$Y$85,IF($S$84=70,PR!$Y$86,IF($S$84=71,PR!$Y$87,IF($S$84=72,PR!$Y$88,IF($S$84=73,PR!$Y$89,IF($S$84=74,PR!$Y$90,IF($S$84=75,PR!$Y$91,IF($S$84=76,PR!$Y$92,IF($S$84=77,PR!$Y$93,IF($S$84=78,PR!$Y$94,IF($S$84=79,PR!$Y$95,IF($S$84=80,PR!$Y$96,IF($S$84=81,PR!$Y$97,IF($S$84=82,PR!$Y$98,IF($S$84=83,PR!$Y$99,IF($S$84=84,PR!$Y$100,IF($S$84=85,PR!$Y$101,IF($S$84=86,PR!$Y$102,IF($S$84=87,PR!$Y$103,IF($S$84=88,PR!$Y$104,IF($S$84=89,PR!$Y$105,IF($S$84=90,PR!$Y$106,IF($S$84=91,PR!$Y$107,IF($S$84=92,PR!$Y$108,IF($S$84=93,PR!$Y$109,IF($S$84=94,PR!$Y$110,IF($S$84=95,PR!$Y$111,IF($S$84=96,PR!$Y$112,IF($S$84=97,PR!$Y$113,IF($S$84=98,PR!$Y$114,IF($S$84=99,PR!$Y$115,IF($S$84=100,PR!$Y$116,IF($S$84=101,PR!$Y$117,IF($S$84=102,PR!$Y$118,IF($S$84=103,PR!$Y$119,IF($S$84=104,PR!$Y$120,IF($S$84=105,PR!$Y$121,IF($S$84=106,PR!$Y$122,IF($S$84=107,PR!$Y$123,IF($S$84=108,PR!$Y$124,IF($S$84=109,PR!$Y$125,IF($S$84=110,PR!$Y$126,IF($S$84=111,PR!$Y$127,IF($S$84=112,PR!$Y$128,IF($S$84=113,PR!$Y$129,IF($S$84=114,PR!$Y$130,IF($S$84=115,PR!$Y$131,IF($S$84=116,PR!$Y$132,IF($S$84=117,PR!$Y$133,IF($S$84=118,PR!$Y$136,IF($S$84=119,PR!$Y$137,IF($S$84=120,PR!$Y$138,"-"))))))))))))))))))))))))))))))))))))))))))))))))))))))))))))</f>
        <v>0</v>
      </c>
      <c r="G91" s="534">
        <f>IF($S$84=61,PR!$Z$77,IF($S$84=62,PR!$Z$78,IF($S$84=63,PR!$Z$79,IF($S$84=64,PR!$Z$80,IF($S$84=65,PR!$Z$81,IF($S$84=66,PR!$Z$82,IF($S$84=67,PR!$Z$83,IF($S$84=68,PR!$Z$84,IF($S$84=69,PR!$Z$85,IF($S$84=70,PR!$Z$86,IF($S$84=71,PR!$Z$87,IF($S$84=72,PR!$Z$88,IF($S$84=73,PR!$Z$89,IF($S$84=74,PR!$Z$90,IF($S$84=75,PR!$Z$91,IF($S$84=76,PR!$Z$92,IF($S$84=77,PR!$Z$93,IF($S$84=78,PR!$Z$94,IF($S$84=79,PR!$Z$95,IF($S$84=80,PR!$Z$96,IF($S$84=81,PR!$Z$97,IF($S$84=82,PR!$Z$98,IF($S$84=83,PR!$Z$99,IF($S$84=84,PR!$Z$100,IF($S$84=85,PR!$Z$101,IF($S$84=86,PR!$Z$102,IF($S$84=87,PR!$Z$103,IF($S$84=88,PR!$Z$104,IF($S$84=89,PR!$Z$105,IF($S$84=90,PR!$Z$106,IF($S$84=91,PR!$Z$107,IF($S$84=92,PR!$Z$108,IF($S$84=93,PR!$Z$109,IF($S$84=94,PR!$Z$110,IF($S$84=95,PR!$Z$111,IF($S$84=96,PR!$Z$112,IF($S$84=97,PR!$Z$113,IF($S$84=98,PR!$Z$114,IF($S$84=99,PR!$Z$115,IF($S$84=100,PR!$Z$116,IF($S$84=101,PR!$Z$117,IF($S$84=102,PR!$Z$118,IF($S$84=103,PR!$Z$119,IF($S$84=104,PR!$Z$120,IF($S$84=105,PR!$Z$121,IF($S$84=106,PR!$Z$122,IF($S$84=107,PR!$Z$123,IF($S$84=108,PR!$Z$124,IF($S$84=109,PR!$Z$125,IF($S$84=110,PR!$Z$126,IF($S$84=111,PR!$Z$127,IF($S$84=112,PR!$Z$128,IF($S$84=113,PR!$Z$129,IF($S$84=114,PR!$Z$130,IF($S$84=115,PR!$Z$131,IF($S$84=116,PR!$Z$132,IF($S$84=117,PR!$Z$133,IF($S$84=118,PR!$Z$136,IF($S$84=119,PR!$Z$137,IF($S$84=120,PR!$Z$138,"-"))))))))))))))))))))))))))))))))))))))))))))))))))))))))))))</f>
        <v>0</v>
      </c>
      <c r="H91" s="534">
        <f>IF($S$84=61,PR!$AA$77,IF($S$84=62,PR!$AA$78,IF($S$84=63,PR!$AA$79,IF($S$84=64,PR!$AA$80,IF($S$84=65,PR!$AA$81,IF($S$84=66,PR!$AA$82,IF($S$84=67,PR!$AA$83,IF($S$84=68,PR!$AA$84,IF($S$84=69,PR!$AA$85,IF($S$84=70,PR!$AA$86,IF($S$84=71,PR!$AA$87,IF($S$84=72,PR!$AA$88,IF($S$84=73,PR!$AA$89,IF($S$84=74,PR!$AA$90,IF($S$84=75,PR!$AA$91,IF($S$84=76,PR!$AA$92,IF($S$84=77,PR!$AA$93,IF($S$84=78,PR!$AA$94,IF($S$84=79,PR!$AA$95,IF($S$84=80,PR!$AA$96,IF($S$84=81,PR!$AA$97,IF($S$84=82,PR!$AA$98,IF($S$84=83,PR!$AA$99,IF($S$84=84,PR!$AA$100,IF($S$84=85,PR!$AA$101,IF($S$84=86,PR!$AA$102,IF($S$84=87,PR!$AA$103,IF($S$84=88,PR!$AA$104,IF($S$84=89,PR!$AA$105,IF($S$84=90,PR!$AA$106,IF($S$84=91,PR!$AA$107,IF($S$84=92,PR!$AA$108,IF($S$84=93,PR!$AA$109,IF($S$84=94,PR!$AA$110,IF($S$84=95,PR!$AA$111,IF($S$84=96,PR!$AA$112,IF($S$84=97,PR!$AA$113,IF($S$84=98,PR!$AA$114,IF($S$84=99,PR!$AA$115,IF($S$84=100,PR!$AA$116,IF($S$84=101,PR!$AA$117,IF($S$84=102,PR!$AA$118,IF($S$84=103,PR!$AA$119,IF($S$84=104,PR!$AA$120,IF($S$84=105,PR!$AA$121,IF($S$84=106,PR!$AA$122,IF($S$84=107,PR!$AA$123,IF($S$84=108,PR!$AA$124,IF($S$84=109,PR!$AA$125,IF($S$84=110,PR!$AA$126,IF($S$84=111,PR!$AA$127,IF($S$84=112,PR!$AA$128,IF($S$84=113,PR!$AA$129,IF($S$84=114,PR!$AA$130,IF($S$84=115,PR!$AA$131,IF($S$84=116,PR!$AA$132,IF($S$84=117,PR!$AA$133,IF($S$84=118,PR!$AA$136,IF($S$84=119,PR!$AA$137,IF($S$84=120,PR!$AA$138,"-"))))))))))))))))))))))))))))))))))))))))))))))))))))))))))))</f>
        <v>0</v>
      </c>
      <c r="I91" s="534">
        <f>IF($S$84=61,PR!$AB$77,IF($S$84=62,PR!$AB$78,IF($S$84=63,PR!$AB$79,IF($S$84=64,PR!$AB$80,IF($S$84=65,PR!$AB$81,IF($S$84=66,PR!$AB$82,IF($S$84=67,PR!$AB$83,IF($S$84=68,PR!$AB$84,IF($S$84=69,PR!$AB$85,IF($S$84=70,PR!$AB$86,IF($S$84=71,PR!$AB$87,IF($S$84=72,PR!$AB$88,IF($S$84=73,PR!$AB$89,IF($S$84=74,PR!$AB$90,IF($S$84=75,PR!$AB$91,IF($S$84=76,PR!$AB$92,IF($S$84=77,PR!$AB$93,IF($S$84=78,PR!$AB$94,IF($S$84=79,PR!$AB$95,IF($S$84=80,PR!$AB$96,IF($S$84=81,PR!$AB$97,IF($S$84=82,PR!$AB$98,IF($S$84=83,PR!$AB$99,IF($S$84=84,PR!$AB$100,IF($S$84=85,PR!$AB$101,IF($S$84=86,PR!$AB$102,IF($S$84=87,PR!$AB$103,IF($S$84=88,PR!$AB$104,IF($S$84=89,PR!$AB$105,IF($S$84=90,PR!$AB$106,IF($S$84=91,PR!$AB$107,IF($S$84=92,PR!$AB$108,IF($S$84=93,PR!$AB$109,IF($S$84=94,PR!$AB$110,IF($S$84=95,PR!$AB$111,IF($S$84=96,PR!$AB$112,IF($S$84=97,PR!$AB$113,IF($S$84=98,PR!$AB$114,IF($S$84=99,PR!$AB$115,IF($S$84=100,PR!$AB$116,IF($S$84=101,PR!$AB$117,IF($S$84=102,PR!$AB$118,IF($S$84=103,PR!$AB$119,IF($S$84=104,PR!$AB$120,IF($S$84=105,PR!$AB$121,IF($S$84=106,PR!$AB$122,IF($S$84=107,PR!$AB$123,IF($S$84=108,PR!$AB$124,IF($S$84=109,PR!$AB$125,IF($S$84=110,PR!$AB$126,IF($S$84=111,PR!$AB$127,IF($S$84=112,PR!$AB$128,IF($S$84=113,PR!$AB$129,IF($S$84=114,PR!$AB$130,IF($S$84=115,PR!$AB$131,IF($S$84=116,PR!$AB$132,IF($S$84=117,PR!$AB$133,IF($S$84=118,PR!$AB$136,IF($S$84=119,PR!$AB$137,IF($S$84=120,PR!$AB$138,"-"))))))))))))))))))))))))))))))))))))))))))))))))))))))))))))</f>
        <v>0</v>
      </c>
      <c r="J91" s="534">
        <f>IF($S$84=61,PR!$AC$77,IF($S$84=62,PR!$AC$78,IF($S$84=63,PR!$AC$79,IF($S$84=64,PR!$AC$80,IF($S$84=65,PR!$AC$81,IF($S$84=66,PR!$AC$82,IF($S$84=67,PR!$AC$83,IF($S$84=68,PR!$AC$84,IF($S$84=69,PR!$AC$85,IF($S$84=70,PR!$AC$86,IF($S$84=71,PR!$AC$87,IF($S$84=72,PR!$AC$88,IF($S$84=73,PR!$AC$89,IF($S$84=74,PR!$AC$90,IF($S$84=75,PR!$AC$91,IF($S$84=76,PR!$AC$92,IF($S$84=77,PR!$AC$93,IF($S$84=78,PR!$AC$94,IF($S$84=79,PR!$AC$95,IF($S$84=80,PR!$AC$96,IF($S$84=81,PR!$AC$97,IF($S$84=82,PR!$AC$98,IF($S$84=83,PR!$AC$99,IF($S$84=84,PR!$AC$100,IF($S$84=85,PR!$AC$101,IF($S$84=86,PR!$AC$102,IF($S$84=87,PR!$AC$103,IF($S$84=88,PR!$AC$104,IF($S$84=89,PR!$AC$105,IF($S$84=90,PR!$AC$106,IF($S$84=91,PR!$AC$107,IF($S$84=92,PR!$AC$108,IF($S$84=93,PR!$AC$109,IF($S$84=94,PR!$AC$110,IF($S$84=95,PR!$AC$111,IF($S$84=96,PR!$AC$112,IF($S$84=97,PR!$AC$113,IF($S$84=98,PR!$AC$114,IF($S$84=99,PR!$AC$115,IF($S$84=100,PR!$AC$116,IF($S$84=101,PR!$AC$117,IF($S$84=102,PR!$AC$118,IF($S$84=103,PR!$AC$119,IF($S$84=104,PR!$AC$120,IF($S$84=105,PR!$AC$121,IF($S$84=106,PR!$AC$122,IF($S$84=107,PR!$AC$123,IF($S$84=108,PR!$AC$124,IF($S$84=109,PR!$AC$125,IF($S$84=110,PR!$AC$126,IF($S$84=111,PR!$AC$127,IF($S$84=112,PR!$AC$128,IF($S$84=113,PR!$AC$129,IF($S$84=114,PR!$AC$130,IF($S$84=115,PR!$AC$131,IF($S$84=116,PR!$AC$132,IF($S$84=117,PR!$AC$133,IF($S$84=118,PR!$AC$136,IF($S$84=119,PR!$AC$137,IF($S$84=120,PR!$AC$138,"-"))))))))))))))))))))))))))))))))))))))))))))))))))))))))))))</f>
        <v>0</v>
      </c>
      <c r="K91" s="534">
        <f>IF($S$84=61,PR!$AD$77,IF($S$84=62,PR!$AD$78,IF($S$84=63,PR!$AD$79,IF($S$84=64,PR!$AD$80,IF($S$84=65,PR!$AD$81,IF($S$84=66,PR!$AD$82,IF($S$84=67,PR!$AD$83,IF($S$84=68,PR!$AD$84,IF($S$84=69,PR!$AD$85,IF($S$84=70,PR!$AD$86,IF($S$84=71,PR!$AD$87,IF($S$84=72,PR!$AD$88,IF($S$84=73,PR!$AD$89,IF($S$84=74,PR!$AD$90,IF($S$84=75,PR!$AD$91,IF($S$84=76,PR!$AD$92,IF($S$84=77,PR!$AD$93,IF($S$84=78,PR!$AD$94,IF($S$84=79,PR!$AD$95,IF($S$84=80,PR!$AD$96,IF($S$84=81,PR!$AD$97,IF($S$84=82,PR!$AD$98,IF($S$84=83,PR!$AD$99,IF($S$84=84,PR!$AD$100,IF($S$84=85,PR!$AD$101,IF($S$84=86,PR!$AD$102,IF($S$84=87,PR!$AD$103,IF($S$84=88,PR!$AD$104,IF($S$84=89,PR!$AD$105,IF($S$84=90,PR!$AD$106,IF($S$84=91,PR!$AD$107,IF($S$84=92,PR!$AD$108,IF($S$84=93,PR!$AD$109,IF($S$84=94,PR!$AD$110,IF($S$84=95,PR!$AD$111,IF($S$84=96,PR!$AD$112,IF($S$84=97,PR!$AD$113,IF($S$84=98,PR!$AD$114,IF($S$84=99,PR!$AD$115,IF($S$84=100,PR!$AD$116,IF($S$84=101,PR!$AD$117,IF($S$84=102,PR!$AD$118,IF($S$84=103,PR!$AD$119,IF($S$84=104,PR!$AD$120,IF($S$84=105,PR!$AD$121,IF($S$84=106,PR!$AD$122,IF($S$84=107,PR!$AD$123,IF($S$84=108,PR!$AD$124,IF($S$84=109,PR!$AD$125,IF($S$84=110,PR!$AD$126,IF($S$84=111,PR!$AD$127,IF($S$84=112,PR!$AD$128,IF($S$84=113,PR!$AD$129,IF($S$84=114,PR!$AD$130,IF($S$84=115,PR!$AD$131,IF($S$84=116,PR!$AD$132,IF($S$84=117,PR!$AD$133,IF($S$84=118,PR!$AD$136,IF($S$84=119,PR!$AD$137,IF($S$84=120,PR!$AD$138,"-"))))))))))))))))))))))))))))))))))))))))))))))))))))))))))))</f>
        <v>0</v>
      </c>
      <c r="L91" s="534">
        <f>IF($S$84=61,PR!$AE$77,IF($S$84=62,PR!$AE$78,IF($S$84=63,PR!$AE$79,IF($S$84=64,PR!$AE$80,IF($S$84=65,PR!$AE$81,IF($S$84=66,PR!$AE$82,IF($S$84=67,PR!$AE$83,IF($S$84=68,PR!$AE$84,IF($S$84=69,PR!$AE$85,IF($S$84=70,PR!$AE$86,IF($S$84=71,PR!$AE$87,IF($S$84=72,PR!$AE$88,IF($S$84=73,PR!$AE$89,IF($S$84=74,PR!$AE$90,IF($S$84=75,PR!$AE$91,IF($S$84=76,PR!$AE$92,IF($S$84=77,PR!$AE$93,IF($S$84=78,PR!$AE$94,IF($S$84=79,PR!$AE$95,IF($S$84=80,PR!$AE$96,IF($S$84=81,PR!$AE$97,IF($S$84=82,PR!$AE$98,IF($S$84=83,PR!$AE$99,IF($S$84=84,PR!$AE$100,IF($S$84=85,PR!$AE$101,IF($S$84=86,PR!$AE$102,IF($S$84=87,PR!$AE$103,IF($S$84=88,PR!$AE$104,IF($S$84=89,PR!$AE$105,IF($S$84=90,PR!$AE$106,IF($S$84=91,PR!$AE$107,IF($S$84=92,PR!$AE$108,IF($S$84=93,PR!$AE$109,IF($S$84=94,PR!$AE$110,IF($S$84=95,PR!$AE$111,IF($S$84=96,PR!$AE$112,IF($S$84=97,PR!$AE$113,IF($S$84=98,PR!$AE$114,IF($S$84=99,PR!$AE$115,IF($S$84=100,PR!$AE$116,IF($S$84=101,PR!$AE$117,IF($S$84=102,PR!$AE$118,IF($S$84=103,PR!$AE$119,IF($S$84=104,PR!$AE$120,IF($S$84=105,PR!$AE$121,IF($S$84=106,PR!$AE$122,IF($S$84=107,PR!$AE$123,IF($S$84=108,PR!$AE$124,IF($S$84=109,PR!$AE$125,IF($S$84=110,PR!$AE$126,IF($S$84=111,PR!$AE$127,IF($S$84=112,PR!$AE$128,IF($S$84=113,PR!$AE$129,IF($S$84=114,PR!$AE$130,IF($S$84=115,PR!$AE$131,IF($S$84=116,PR!$AE$132,IF($S$84=117,PR!$AE$133,IF($S$84=118,PR!$AE$136,IF($S$84=119,PR!$AE$137,IF($S$84=120,PR!$AE$138,"-"))))))))))))))))))))))))))))))))))))))))))))))))))))))))))))</f>
        <v>0</v>
      </c>
      <c r="M91" s="534">
        <f>IF($S$84=61,PR!$AF$77,IF($S$84=62,PR!$AF$78,IF($S$84=63,PR!$AF$79,IF($S$84=64,PR!$AF$80,IF($S$84=65,PR!$AF$81,IF($S$84=66,PR!$AF$82,IF($S$84=67,PR!$AF$83,IF($S$84=68,PR!$AF$84,IF($S$84=69,PR!$AF$85,IF($S$84=70,PR!$AF$86,IF($S$84=71,PR!$AF$87,IF($S$84=72,PR!$AF$88,IF($S$84=73,PR!$AF$89,IF($S$84=74,PR!$AF$90,IF($S$84=75,PR!$AF$91,IF($S$84=76,PR!$AF$92,IF($S$84=77,PR!$AF$93,IF($S$84=78,PR!$AF$94,IF($S$84=79,PR!$AF$95,IF($S$84=80,PR!$AF$96,IF($S$84=81,PR!$AF$97,IF($S$84=82,PR!$AF$98,IF($S$84=83,PR!$AF$99,IF($S$84=84,PR!$AF$100,IF($S$84=85,PR!$AF$101,IF($S$84=86,PR!$AF$102,IF($S$84=87,PR!$AF$103,IF($S$84=88,PR!$AF$104,IF($S$84=89,PR!$AF$105,IF($S$84=90,PR!$AF$106,IF($S$84=91,PR!$AF$107,IF($S$84=92,PR!$AF$108,IF($S$84=93,PR!$AF$109,IF($S$84=94,PR!$AF$110,IF($S$84=95,PR!$AF$111,IF($S$84=96,PR!$AF$112,IF($S$84=97,PR!$AF$113,IF($S$84=98,PR!$AF$114,IF($S$84=99,PR!$AF$115,IF($S$84=100,PR!$AF$116,IF($S$84=101,PR!$AF$117,IF($S$84=102,PR!$AF$118,IF($S$84=103,PR!$AF$119,IF($S$84=104,PR!$AF$120,IF($S$84=105,PR!$AF$121,IF($S$84=106,PR!$AF$122,IF($S$84=107,PR!$AF$123,IF($S$84=108,PR!$AF$124,IF($S$84=109,PR!$AF$125,IF($S$84=110,PR!$AF$126,IF($S$84=111,PR!$AF$127,IF($S$84=112,PR!$AF$128,IF($S$84=113,PR!$AF$129,IF($S$84=114,PR!$AF$130,IF($S$84=115,PR!$AF$131,IF($S$84=116,PR!$AF$132,IF($S$84=117,PR!$AF$133,IF($S$84=118,PR!$AF$136,IF($S$84=119,PR!$AF$137,IF($S$84=120,PR!$AF$138,"-"))))))))))))))))))))))))))))))))))))))))))))))))))))))))))))</f>
        <v>0</v>
      </c>
      <c r="N91" s="534">
        <f>IF($S$84=61,PR!$AG$77,IF($S$84=62,PR!$AG$78,IF($S$84=63,PR!$AG$79,IF($S$84=64,PR!$AG$80,IF($S$84=65,PR!$AG$81,IF($S$84=66,PR!$AG$82,IF($S$84=67,PR!$AG$83,IF($S$84=68,PR!$AG$84,IF($S$84=69,PR!$AG$85,IF($S$84=70,PR!$AG$86,IF($S$84=71,PR!$AG$87,IF($S$84=72,PR!$AG$88,IF($S$84=73,PR!$AG$89,IF($S$84=74,PR!$AG$90,IF($S$84=75,PR!$AG$91,IF($S$84=76,PR!$AG$92,IF($S$84=77,PR!$AG$93,IF($S$84=78,PR!$AG$94,IF($S$84=79,PR!$AG$95,IF($S$84=80,PR!$AG$96,IF($S$84=81,PR!$AG$97,IF($S$84=82,PR!$AG$98,IF($S$84=83,PR!$AG$99,IF($S$84=84,PR!$AG$100,IF($S$84=85,PR!$AG$101,IF($S$84=86,PR!$AG$102,IF($S$84=87,PR!$AG$103,IF($S$84=88,PR!$AG$104,IF($S$84=89,PR!$AG$105,IF($S$84=90,PR!$AG$106,IF($S$84=91,PR!$AG$107,IF($S$84=92,PR!$AG$108,IF($S$84=93,PR!$AG$109,IF($S$84=94,PR!$AG$110,IF($S$84=95,PR!$AG$111,IF($S$84=96,PR!$AG$112,IF($S$84=97,PR!$AG$113,IF($S$84=98,PR!$AG$114,IF($S$84=99,PR!$AG$115,IF($S$84=100,PR!$AG$116,IF($S$84=101,PR!$AG$117,IF($S$84=102,PR!$AG$118,IF($S$84=103,PR!$AG$119,IF($S$84=104,PR!$AG$120,IF($S$84=105,PR!$AG$121,IF($S$84=106,PR!$AG$122,IF($S$84=107,PR!$AG$123,IF($S$84=108,PR!$AG$124,IF($S$84=109,PR!$AG$125,IF($S$84=110,PR!$AG$126,IF($S$84=111,PR!$AG$127,IF($S$84=112,PR!$AG$128,IF($S$84=113,PR!$AG$129,IF($S$84=114,PR!$AG$130,IF($S$84=115,PR!$AG$131,IF($S$84=116,PR!$AG$132,IF($S$84=117,PR!$AG$133,IF($S$84=118,PR!$AG$136,IF($S$84=119,PR!$AG$137,IF($S$84=120,PR!$AG$138,"-"))))))))))))))))))))))))))))))))))))))))))))))))))))))))))))</f>
        <v>0</v>
      </c>
      <c r="O91" s="534">
        <f>IF($S$84=61,PR!$AH$77,IF($S$84=62,PR!$AH$78,IF($S$84=63,PR!$AH$79,IF($S$84=64,PR!$AH$80,IF($S$84=65,PR!$AH$81,IF($S$84=66,PR!$AH$82,IF($S$84=67,PR!$AH$83,IF($S$84=68,PR!$AH$84,IF($S$84=69,PR!$AH$85,IF($S$84=70,PR!$AH$86,IF($S$84=71,PR!$AH$87,IF($S$84=72,PR!$AH$88,IF($S$84=73,PR!$AH$89,IF($S$84=74,PR!$AH$90,IF($S$84=75,PR!$AH$91,IF($S$84=76,PR!$AH$92,IF($S$84=77,PR!$AH$93,IF($S$84=78,PR!$AH$94,IF($S$84=79,PR!$AH$95,IF($S$84=80,PR!$AH$96,IF($S$84=81,PR!$AH$97,IF($S$84=82,PR!$AH$98,IF($S$84=83,PR!$AH$99,IF($S$84=84,PR!$AH$100,IF($S$84=85,PR!$AH$101,IF($S$84=86,PR!$AH$102,IF($S$84=87,PR!$AH$103,IF($S$84=88,PR!$AH$104,IF($S$84=89,PR!$AH$105,IF($S$84=90,PR!$AH$106,IF($S$84=91,PR!$AH$107,IF($S$84=92,PR!$AH$108,IF($S$84=93,PR!$AH$109,IF($S$84=94,PR!$AH$110,IF($S$84=95,PR!$AH$111,IF($S$84=96,PR!$AH$112,IF($S$84=97,PR!$AH$113,IF($S$84=98,PR!$AH$114,IF($S$84=99,PR!$AH$115,IF($S$84=100,PR!$AH$116,IF($S$84=101,PR!$AH$117,IF($S$84=102,PR!$AH$118,IF($S$84=103,PR!$AH$119,IF($S$84=104,PR!$AH$120,IF($S$84=105,PR!$AH$121,IF($S$84=106,PR!$AH$122,IF($S$84=107,PR!$AH$123,IF($S$84=108,PR!$AH$124,IF($S$84=109,PR!$AH$125,IF($S$84=110,PR!$AH$126,IF($S$84=111,PR!$AH$127,IF($S$84=112,PR!$AH$128,IF($S$84=113,PR!$AH$129,IF($S$84=114,PR!$AH$130,IF($S$84=115,PR!$AH$131,IF($S$84=116,PR!$AH$132,IF($S$84=117,PR!$AH$133,IF($S$84=118,PR!$AH$136,IF($S$84=119,PR!$AH$137,IF($S$84=120,PR!$AH$138,"-"))))))))))))))))))))))))))))))))))))))))))))))))))))))))))))</f>
        <v>0</v>
      </c>
      <c r="P91" s="534">
        <f>IF($S$84=61,PR!$AI$77,IF($S$84=62,PR!$AI$78,IF($S$84=63,PR!$AI$79,IF($S$84=64,PR!$AI$80,IF($S$84=65,PR!$AI$81,IF($S$84=66,PR!$AI$82,IF($S$84=67,PR!$AI$83,IF($S$84=68,PR!$AI$84,IF($S$84=69,PR!$AI$85,IF($S$84=70,PR!$AI$86,IF($S$84=71,PR!$AI$87,IF($S$84=72,PR!$AI$88,IF($S$84=73,PR!$AI$89,IF($S$84=74,PR!$AI$90,IF($S$84=75,PR!$AI$91,IF($S$84=76,PR!$AI$92,IF($S$84=77,PR!$AI$93,IF($S$84=78,PR!$AI$94,IF($S$84=79,PR!$AI$95,IF($S$84=80,PR!$AI$96,IF($S$84=81,PR!$AI$97,IF($S$84=82,PR!$AI$98,IF($S$84=83,PR!$AI$99,IF($S$84=84,PR!$AI$100,IF($S$84=85,PR!$AI$101,IF($S$84=86,PR!$AI$102,IF($S$84=87,PR!$AI$103,IF($S$84=88,PR!$AI$104,IF($S$84=89,PR!$AI$105,IF($S$84=90,PR!$AI$106,IF($S$84=91,PR!$AI$107,IF($S$84=92,PR!$AI$108,IF($S$84=93,PR!$AI$109,IF($S$84=94,PR!$AI$110,IF($S$84=95,PR!$AI$111,IF($S$84=96,PR!$AI$112,IF($S$84=97,PR!$AI$113,IF($S$84=98,PR!$AI$114,IF($S$84=99,PR!$AI$115,IF($S$84=100,PR!$AI$116,IF($S$84=101,PR!$AI$117,IF($S$84=102,PR!$AI$118,IF($S$84=103,PR!$AI$119,IF($S$84=104,PR!$AI$120,IF($S$84=105,PR!$AI$121,IF($S$84=106,PR!$AI$122,IF($S$84=107,PR!$AI$123,IF($S$84=108,PR!$AI$124,IF($S$84=109,PR!$AI$125,IF($S$84=110,PR!$AI$126,IF($S$84=111,PR!$AI$127,IF($S$84=112,PR!$AI$128,IF($S$84=113,PR!$AI$129,IF($S$84=114,PR!$AI$130,IF($S$84=115,PR!$AI$131,IF($S$84=116,PR!$AI$132,IF($S$84=117,PR!$AI$133,IF($S$84=118,PR!$AI$136,IF($S$84=119,PR!$AI$137,IF($S$84=120,PR!$AI$138,"-"))))))))))))))))))))))))))))))))))))))))))))))))))))))))))))</f>
        <v>0</v>
      </c>
      <c r="Q91" s="534">
        <f>IF($S$84=61,PR!$AJ$77,IF($S$84=62,PR!$AJ$78,IF($S$84=63,PR!$AJ$79,IF($S$84=64,PR!$AJ$80,IF($S$84=65,PR!$AJ$81,IF($S$84=66,PR!$AJ$82,IF($S$84=67,PR!$AJ$83,IF($S$84=68,PR!$AJ$84,IF($S$84=69,PR!$AJ$85,IF($S$84=70,PR!$AJ$86,IF($S$84=71,PR!$AJ$87,IF($S$84=72,PR!$AJ$88,IF($S$84=73,PR!$AJ$89,IF($S$84=74,PR!$AJ$90,IF($S$84=75,PR!$AJ$91,IF($S$84=76,PR!$AJ$92,IF($S$84=77,PR!$AJ$93,IF($S$84=78,PR!$AJ$94,IF($S$84=79,PR!$AJ$95,IF($S$84=80,PR!$AJ$96,IF($S$84=81,PR!$AJ$97,IF($S$84=82,PR!$AJ$98,IF($S$84=83,PR!$AJ$99,IF($S$84=84,PR!$AJ$100,IF($S$84=85,PR!$AJ$101,IF($S$84=86,PR!$AJ$102,IF($S$84=87,PR!$AJ$103,IF($S$84=88,PR!$AJ$104,IF($S$84=89,PR!$AJ$105,IF($S$84=90,PR!$AJ$106,IF($S$84=91,PR!$AJ$107,IF($S$84=92,PR!$AJ$108,IF($S$84=93,PR!$AJ$109,IF($S$84=94,PR!$AJ$110,IF($S$84=95,PR!$AJ$111,IF($S$84=96,PR!$AJ$112,IF($S$84=97,PR!$AJ$113,IF($S$84=98,PR!$AJ$114,IF($S$84=99,PR!$AJ$115,IF($S$84=100,PR!$AJ$116,IF($S$84=101,PR!$AJ$117,IF($S$84=102,PR!$AJ$118,IF($S$84=103,PR!$AJ$119,IF($S$84=104,PR!$AJ$120,IF($S$84=105,PR!$AJ$121,IF($S$84=106,PR!$AJ$122,IF($S$84=107,PR!$AJ$123,IF($S$84=108,PR!$AJ$124,IF($S$84=109,PR!$AJ$125,IF($S$84=110,PR!$AJ$126,IF($S$84=111,PR!$AJ$127,IF($S$84=112,PR!$AJ$128,IF($S$84=113,PR!$AJ$129,IF($S$84=114,PR!$AJ$130,IF($S$84=115,PR!$AJ$131,IF($S$84=116,PR!$AJ$132,IF($S$84=117,PR!$AJ$133,IF($S$84=118,PR!$AJ$136,IF($S$84=119,PR!$AJ$137,IF($S$84=120,PR!$AJ$138,"-"))))))))))))))))))))))))))))))))))))))))))))))))))))))))))))</f>
        <v>0</v>
      </c>
      <c r="R91" s="534">
        <f>IF($S$84=61,PR!$AK$77,IF($S$84=62,PR!$AK$78,IF($S$84=63,PR!$AK$79,IF($S$84=64,PR!$AK$80,IF($S$84=65,PR!$AK$81,IF($S$84=66,PR!$AK$82,IF($S$84=67,PR!$AK$83,IF($S$84=68,PR!$AK$84,IF($S$84=69,PR!$AK$85,IF($S$84=70,PR!$AK$86,IF($S$84=71,PR!$AK$87,IF($S$84=72,PR!$AK$88,IF($S$84=73,PR!$AK$89,IF($S$84=74,PR!$AK$90,IF($S$84=75,PR!$AK$91,IF($S$84=76,PR!$AK$92,IF($S$84=77,PR!$AK$93,IF($S$84=78,PR!$AK$94,IF($S$84=79,PR!$AK$95,IF($S$84=80,PR!$AK$96,IF($S$84=81,PR!$AK$97,IF($S$84=82,PR!$AK$98,IF($S$84=83,PR!$AK$99,IF($S$84=84,PR!$AK$100,IF($S$84=85,PR!$AK$101,IF($S$84=86,PR!$AK$102,IF($S$84=87,PR!$AK$103,IF($S$84=88,PR!$AK$104,IF($S$84=89,PR!$AK$105,IF($S$84=90,PR!$AK$106,IF($S$84=91,PR!$AK$107,IF($S$84=92,PR!$AK$108,IF($S$84=93,PR!$AK$109,IF($S$84=94,PR!$AK$110,IF($S$84=95,PR!$AK$111,IF($S$84=96,PR!$AK$112,IF($S$84=97,PR!$AK$113,IF($S$84=98,PR!$AK$114,IF($S$84=99,PR!$AK$115,IF($S$84=100,PR!$AK$116,IF($S$84=101,PR!$AK$117,IF($S$84=102,PR!$AK$118,IF($S$84=103,PR!$AK$119,IF($S$84=104,PR!$AK$120,IF($S$84=105,PR!$AK$121,IF($S$84=106,PR!$AK$122,IF($S$84=107,PR!$AK$123,IF($S$84=108,PR!$AK$124,IF($S$84=109,PR!$AK$125,IF($S$84=110,PR!$AK$126,IF($S$84=111,PR!$AK$127,IF($S$84=112,PR!$AK$128,IF($S$84=113,PR!$AK$129,IF($S$84=114,PR!$AK$130,IF($S$84=115,PR!$AK$131,IF($S$84=116,PR!$AK$132,IF($S$84=117,PR!$AK$133,IF($S$84=118,PR!$AK$136,IF($S$84=119,PR!$AK$137,IF($S$84=120,PR!$AK$138,"-"))))))))))))))))))))))))))))))))))))))))))))))))))))))))))))</f>
        <v>0</v>
      </c>
      <c r="S91" s="534">
        <f>IF($S$84=61,PR!$AM$77,IF($S$84=62,PR!$AM$78,IF($S$84=63,PR!$AM$79,IF($S$84=64,PR!$AM$80,IF($S$84=65,PR!$AM$81,IF($S$84=66,PR!$AM$82,IF($S$84=67,PR!$AM$83,IF($S$84=68,PR!$AM$84,IF($S$84=69,PR!$AM$85,IF($S$84=70,PR!$AM$86,IF($S$84=71,PR!$AM$87,IF($S$84=72,PR!$AM$88,IF($S$84=73,PR!$AM$89,IF($S$84=74,PR!$AM$90,IF($S$84=75,PR!$AM$91,IF($S$84=76,PR!$AM$92,IF($S$84=77,PR!$AM$93,IF($S$84=78,PR!$AM$94,IF($S$84=79,PR!$AM$95,IF($S$84=80,PR!$AM$96,IF($S$84=81,PR!$AM$97,IF($S$84=82,PR!$AM$98,IF($S$84=83,PR!$AM$99,IF($S$84=84,PR!$AM$100,IF($S$84=85,PR!$AM$101,IF($S$84=86,PR!$AM$102,IF($S$84=87,PR!$AM$103,IF($S$84=88,PR!$AM$104,IF($S$84=89,PR!$AM$105,IF($S$84=90,PR!$AM$106,IF($S$84=91,PR!$AM$107,IF($S$84=92,PR!$AM$108,IF($S$84=93,PR!$AM$109,IF($S$84=94,PR!$AM$110,IF($S$84=95,PR!$AM$111,IF($S$84=96,PR!$AM$112,IF($S$84=97,PR!$AM$113,IF($S$84=98,PR!$AM$114,IF($S$84=99,PR!$AM$115,IF($S$84=100,PR!$AM$116,IF($S$84=101,PR!$AM$117,IF($S$84=102,PR!$AM$118,IF($S$84=103,PR!$AM$119,IF($S$84=104,PR!$AM$120,IF($S$84=105,PR!$AM$121,IF($S$84=106,PR!$AM$122,IF($S$84=107,PR!$AM$123,IF($S$84=108,PR!$AM$124,IF($S$84=109,PR!$AM$125,IF($S$84=110,PR!$AM$126,IF($S$84=111,PR!$AM$127,IF($S$84=112,PR!$AM$128,IF($S$84=113,PR!$AM$129,IF($S$84=114,PR!$AM$130,IF($S$84=115,PR!$AM$131,IF($S$84=116,PR!$AM$132,IF($S$84=117,PR!$AM$133,IF($S$84=118,PR!$AM$136,IF($S$84=119,PR!$AM$137,IF($S$84=120,PR!$AM$138,"-"))))))))))))))))))))))))))))))))))))))))))))))))))))))))))))</f>
        <v>0</v>
      </c>
      <c r="T91" s="518"/>
      <c r="U91" s="518"/>
      <c r="V91" s="32"/>
      <c r="W91" s="32"/>
      <c r="X91" s="32"/>
      <c r="Y91" s="32"/>
      <c r="Z91" s="32"/>
    </row>
    <row r="92" spans="1:26" ht="15.75" x14ac:dyDescent="0.25">
      <c r="A92" s="91"/>
      <c r="B92" s="518"/>
      <c r="C92" s="529"/>
      <c r="D92" s="518"/>
      <c r="E92" s="518"/>
      <c r="F92" s="518"/>
      <c r="G92" s="518"/>
      <c r="H92" s="518"/>
      <c r="I92" s="518"/>
      <c r="J92" s="518"/>
      <c r="K92" s="518"/>
      <c r="L92" s="518"/>
      <c r="M92" s="518"/>
      <c r="N92" s="518"/>
      <c r="O92" s="518"/>
      <c r="P92" s="518"/>
      <c r="Q92" s="518"/>
      <c r="R92" s="535"/>
      <c r="S92" s="535"/>
      <c r="T92" s="518"/>
      <c r="U92" s="518"/>
      <c r="V92" s="32"/>
      <c r="W92" s="32"/>
      <c r="X92" s="32"/>
      <c r="Y92" s="32"/>
      <c r="Z92" s="32"/>
    </row>
    <row r="93" spans="1:26" ht="15.75" thickBot="1" x14ac:dyDescent="0.3">
      <c r="A93" s="91"/>
      <c r="B93" s="518"/>
      <c r="C93" s="531" t="str">
        <f>N!$C$38</f>
        <v>MWORLD</v>
      </c>
      <c r="D93" s="531" t="str">
        <f>N!$C$39</f>
        <v>MEGA</v>
      </c>
      <c r="E93" s="531" t="str">
        <f>N!$C$40</f>
        <v>MICRONOVA</v>
      </c>
      <c r="F93" s="531" t="str">
        <f>N!$C$41</f>
        <v>MFLASH</v>
      </c>
      <c r="G93" s="531" t="str">
        <f>N!$C$42</f>
        <v>MORISON</v>
      </c>
      <c r="H93" s="531" t="str">
        <f>N!$C$43</f>
        <v>NEMEL</v>
      </c>
      <c r="I93" s="531" t="str">
        <f>N!$C$44</f>
        <v>NHP</v>
      </c>
      <c r="J93" s="531" t="str">
        <f>N!$C$45</f>
        <v>NHC</v>
      </c>
      <c r="K93" s="531" t="str">
        <f>N!$C$46</f>
        <v>OLEAF</v>
      </c>
      <c r="L93" s="531" t="str">
        <f>N!$C$47</f>
        <v>OCULUS</v>
      </c>
      <c r="M93" s="531" t="str">
        <f>N!$C$48</f>
        <v>PACIFIC</v>
      </c>
      <c r="N93" s="531" t="str">
        <f>N!$C$49</f>
        <v>PHAMATEX</v>
      </c>
      <c r="O93" s="531" t="str">
        <f>N!$C$50</f>
        <v>PETHICS</v>
      </c>
      <c r="P93" s="531" t="str">
        <f>N!$C$51</f>
        <v>PHILIPS</v>
      </c>
      <c r="Q93" s="531" t="str">
        <f>N!$C$52</f>
        <v>RANBAXY</v>
      </c>
      <c r="R93" s="531" t="str">
        <f>N!$C$53</f>
        <v>REALS</v>
      </c>
      <c r="S93" s="531" t="str">
        <f>N!$C$54</f>
        <v>ROYAL</v>
      </c>
      <c r="T93" s="518"/>
      <c r="U93" s="518"/>
      <c r="V93" s="32"/>
      <c r="W93" s="32"/>
      <c r="X93" s="32"/>
      <c r="Y93" s="32"/>
      <c r="Z93" s="32"/>
    </row>
    <row r="94" spans="1:26" ht="15.75" thickBot="1" x14ac:dyDescent="0.3">
      <c r="A94" s="91"/>
      <c r="B94" s="518"/>
      <c r="C94" s="534">
        <f>IF($S$84=61,PR!$AN$77,IF($S$84=62,PR!$AN$78,IF($S$84=63,PR!$AN$79,IF($S$84=64,PR!$AN$80,IF($S$84=65,PR!$AN$81,IF($S$84=66,PR!$AN$82,IF($S$84=67,PR!$AN$83,IF($S$84=68,PR!$AN$84,IF($S$84=69,PR!$AN$85,IF($S$84=70,PR!$AN$86,IF($S$84=71,PR!$AN$87,IF($S$84=72,PR!$AN$88,IF($S$84=73,PR!$AN$89,IF($S$84=74,PR!$AN$90,IF($S$84=75,PR!$AN$91,IF($S$84=76,PR!$AN$92,IF($S$84=77,PR!$AN$93,IF($S$84=78,PR!$AN$94,IF($S$84=79,PR!$AN$95,IF($S$84=80,PR!$AN$96,IF($S$84=81,PR!$AN$97,IF($S$84=82,PR!$AN$98,IF($S$84=83,PR!$AN$99,IF($S$84=84,PR!$AN$100,IF($S$84=85,PR!$AN$101,IF($S$84=86,PR!$AN$102,IF($S$84=87,PR!$AN$103,IF($S$84=88,PR!$AN$104,IF($S$84=89,PR!$AN$105,IF($S$84=90,PR!$AN$106,IF($S$84=91,PR!$AN$107,IF($S$84=92,PR!$AN$108,IF($S$84=93,PR!$AN$109,IF($S$84=94,PR!$AN$110,IF($S$84=95,PR!$AN$111,IF($S$84=96,PR!$AN$112,IF($S$84=97,PR!$AN$113,IF($S$84=98,PR!$AN$114,IF($S$84=99,PR!$AN$115,IF($S$84=100,PR!$AN$116,IF($S$84=101,PR!$AN$117,IF($S$84=102,PR!$AN$118,IF($S$84=103,PR!$AN$119,IF($S$84=104,PR!$AN$120,IF($S$84=105,PR!$AN$121,IF($S$84=106,PR!$AN$122,IF($S$84=107,PR!$AN$123,IF($S$84=108,PR!$AN$124,IF($S$84=109,PR!$AN$125,IF($S$84=110,PR!$AN$126,IF($S$84=111,PR!$AN$127,IF($S$84=112,PR!$AN$128,IF($S$84=113,PR!$AN$129,IF($S$84=114,PR!$AN$130,IF($S$84=115,PR!$AN$131,IF($S$84=116,PR!$AN$132,IF($S$84=117,PR!$AN$133,IF($S$84=118,PR!$AN$136,IF($S$84=119,PR!$AN$137,IF($S$84=120,PR!$AN$138,"-"))))))))))))))))))))))))))))))))))))))))))))))))))))))))))))</f>
        <v>2500</v>
      </c>
      <c r="D94" s="534">
        <f>IF($S$84=61,PR!$AN$77,IF($S$84=62,PR!$AN$78,IF($S$84=63,PR!$AN$79,IF($S$84=64,PR!$AN$80,IF($S$84=65,PR!$AN$81,IF($S$84=66,PR!$AN$82,IF($S$84=67,PR!$AN$83,IF($S$84=68,PR!$AN$84,IF($S$84=69,PR!$AN$85,IF($S$84=70,PR!$AN$86,IF($S$84=71,PR!$AN$87,IF($S$84=72,PR!$AN$88,IF($S$84=73,PR!$AN$89,IF($S$84=74,PR!$AN$90,IF($S$84=75,PR!$AN$91,IF($S$84=76,PR!$AN$92,IF($S$84=77,PR!$AN$93,IF($S$84=78,PR!$AN$94,IF($S$84=79,PR!$AN$95,IF($S$84=80,PR!$AN$96,IF($S$84=81,PR!$AN$97,IF($S$84=82,PR!$AN$98,IF($S$84=83,PR!$AN$99,IF($S$84=84,PR!$AN$100,IF($S$84=85,PR!$AN$101,IF($S$84=86,PR!$AN$102,IF($S$84=87,PR!$AN$103,IF($S$84=88,PR!$AN$104,IF($S$84=89,PR!$AN$105,IF($S$84=90,PR!$AN$106,IF($S$84=91,PR!$AN$107,IF($S$84=92,PR!$AN$108,IF($S$84=93,PR!$AN$109,IF($S$84=94,PR!$AN$110,IF($S$84=95,PR!$AN$111,IF($S$84=96,PR!$AN$112,IF($S$84=97,PR!$AN$113,IF($S$84=98,PR!$AN$114,IF($S$84=99,PR!$AN$115,IF($S$84=100,PR!$AN$116,IF($S$84=101,PR!$AN$117,IF($S$84=102,PR!$AN$118,IF($S$84=103,PR!$AN$119,IF($S$84=104,PR!$AN$120,IF($S$84=105,PR!$AN$121,IF($S$84=106,PR!$AN$122,IF($S$84=107,PR!$AN$123,IF($S$84=108,PR!$AN$124,IF($S$84=109,PR!$AN$125,IF($S$84=110,PR!$AN$126,IF($S$84=111,PR!$AN$127,IF($S$84=112,PR!$AN$128,IF($S$84=113,PR!$AN$129,IF($S$84=114,PR!$AN$130,IF($S$84=115,PR!$AN$131,IF($S$84=116,PR!$AN$132,IF($S$84=117,PR!$AN$133,IF($S$84=118,PR!$AN$136,IF($S$84=119,PR!$AN$137,IF($S$84=120,PR!$AN$138,"-"))))))))))))))))))))))))))))))))))))))))))))))))))))))))))))</f>
        <v>2500</v>
      </c>
      <c r="E94" s="534">
        <f>IF($S$84=61,PR!$AO$77,IF($S$84=62,PR!$AO$78,IF($S$84=63,PR!$AO$79,IF($S$84=64,PR!$AO$80,IF($S$84=65,PR!$AO$81,IF($S$84=66,PR!$AO$82,IF($S$84=67,PR!$AO$83,IF($S$84=68,PR!$AO$84,IF($S$84=69,PR!$AO$85,IF($S$84=70,PR!$AO$86,IF($S$84=71,PR!$AO$87,IF($S$84=72,PR!$AO$88,IF($S$84=73,PR!$AO$89,IF($S$84=74,PR!$AO$90,IF($S$84=75,PR!$AO$91,IF($S$84=76,PR!$AO$92,IF($S$84=77,PR!$AO$93,IF($S$84=78,PR!$AO$94,IF($S$84=79,PR!$AO$95,IF($S$84=80,PR!$AO$96,IF($S$84=81,PR!$AO$97,IF($S$84=82,PR!$AO$98,IF($S$84=83,PR!$AO$99,IF($S$84=84,PR!$AO$100,IF($S$84=85,PR!$AO$101,IF($S$84=86,PR!$AO$102,IF($S$84=87,PR!$AO$103,IF($S$84=88,PR!$AO$104,IF($S$84=89,PR!$AO$105,IF($S$84=90,PR!$AO$106,IF($S$84=91,PR!$AO$107,IF($S$84=92,PR!$AO$108,IF($S$84=93,PR!$AO$109,IF($S$84=94,PR!$AO$110,IF($S$84=95,PR!$AO$111,IF($S$84=96,PR!$AO$112,IF($S$84=97,PR!$AO$113,IF($S$84=98,PR!$AO$114,IF($S$84=99,PR!$AO$115,IF($S$84=100,PR!$AO$116,IF($S$84=101,PR!$AO$117,IF($S$84=102,PR!$AO$118,IF($S$84=103,PR!$AO$119,IF($S$84=104,PR!$AO$120,IF($S$84=105,PR!$AO$121,IF($S$84=106,PR!$AO$122,IF($S$84=107,PR!$AO$123,IF($S$84=108,PR!$AO$124,IF($S$84=109,PR!$AO$125,IF($S$84=110,PR!$AO$126,IF($S$84=111,PR!$AO$127,IF($S$84=112,PR!$AO$128,IF($S$84=113,PR!$AO$129,IF($S$84=114,PR!$AO$130,IF($S$84=115,PR!$AO$131,IF($S$84=116,PR!$AO$132,IF($S$84=117,PR!$AO$133,IF($S$84=118,PR!$AO$136,IF($S$84=119,PR!$AO$137,IF($S$84=120,PR!$AO$138,"-"))))))))))))))))))))))))))))))))))))))))))))))))))))))))))))</f>
        <v>2700</v>
      </c>
      <c r="F94" s="534">
        <f>IF($S$84=61,PR!$AP$77,IF($S$84=62,PR!$AP$78,IF($S$84=63,PR!$AP$79,IF($S$84=64,PR!$AP$80,IF($S$84=65,PR!$AP$81,IF($S$84=66,PR!$AP$82,IF($S$84=67,PR!$AP$83,IF($S$84=68,PR!$AP$84,IF($S$84=69,PR!$AP$85,IF($S$84=70,PR!$AP$86,IF($S$84=71,PR!$AP$87,IF($S$84=72,PR!$AP$88,IF($S$84=73,PR!$AP$89,IF($S$84=74,PR!$AP$90,IF($S$84=75,PR!$AP$91,IF($S$84=76,PR!$AP$92,IF($S$84=77,PR!$AP$93,IF($S$84=78,PR!$AP$94,IF($S$84=79,PR!$AP$95,IF($S$84=80,PR!$AP$96,IF($S$84=81,PR!$AP$97,IF($S$84=82,PR!$AP$98,IF($S$84=83,PR!$AP$99,IF($S$84=84,PR!$AP$100,IF($S$84=85,PR!$AP$101,IF($S$84=86,PR!$AP$102,IF($S$84=87,PR!$AP$103,IF($S$84=88,PR!$AP$104,IF($S$84=89,PR!$AP$105,IF($S$84=90,PR!$AP$106,IF($S$84=91,PR!$AP$107,IF($S$84=92,PR!$AP$108,IF($S$84=93,PR!$AP$109,IF($S$84=94,PR!$AP$110,IF($S$84=95,PR!$AP$111,IF($S$84=96,PR!$AP$112,IF($S$84=97,PR!$AP$113,IF($S$84=98,PR!$AP$114,IF($S$84=99,PR!$AP$115,IF($S$84=100,PR!$AP$116,IF($S$84=101,PR!$AP$117,IF($S$84=102,PR!$AP$118,IF($S$84=103,PR!$AP$119,IF($S$84=104,PR!$AP$120,IF($S$84=105,PR!$AP$121,IF($S$84=106,PR!$AP$122,IF($S$84=107,PR!$AP$123,IF($S$84=108,PR!$AP$124,IF($S$84=109,PR!$AP$125,IF($S$84=110,PR!$AP$126,IF($S$84=111,PR!$AP$127,IF($S$84=112,PR!$AP$128,IF($S$84=113,PR!$AP$129,IF($S$84=114,PR!$AP$130,IF($S$84=115,PR!$AP$131,IF($S$84=116,PR!$AP$132,IF($S$84=117,PR!$AP$133,IF($S$84=118,PR!$AP$136,IF($S$84=119,PR!$AP$137,IF($S$84=120,PR!$AP$138,"-"))))))))))))))))))))))))))))))))))))))))))))))))))))))))))))</f>
        <v>0</v>
      </c>
      <c r="G94" s="534">
        <f>IF($S$84=61,PR!$AQ$77,IF($S$84=62,PR!$AQ$78,IF($S$84=63,PR!$AQ$79,IF($S$84=64,PR!$AQ$80,IF($S$84=65,PR!$AQ$81,IF($S$84=66,PR!$AQ$82,IF($S$84=67,PR!$AQ$83,IF($S$84=68,PR!$AQ$84,IF($S$84=69,PR!$AQ$85,IF($S$84=70,PR!$AQ$86,IF($S$84=71,PR!$AQ$87,IF($S$84=72,PR!$AQ$88,IF($S$84=73,PR!$AQ$89,IF($S$84=74,PR!$AQ$90,IF($S$84=75,PR!$AQ$91,IF($S$84=76,PR!$AQ$92,IF($S$84=77,PR!$AQ$93,IF($S$84=78,PR!$AQ$94,IF($S$84=79,PR!$AQ$95,IF($S$84=80,PR!$AQ$96,IF($S$84=81,PR!$AQ$97,IF($S$84=82,PR!$AQ$98,IF($S$84=83,PR!$AQ$99,IF($S$84=84,PR!$AQ$100,IF($S$84=85,PR!$AQ$101,IF($S$84=86,PR!$AQ$102,IF($S$84=87,PR!$AQ$103,IF($S$84=88,PR!$AQ$104,IF($S$84=89,PR!$AQ$105,IF($S$84=90,PR!$AQ$106,IF($S$84=91,PR!$AQ$107,IF($S$84=92,PR!$AQ$108,IF($S$84=93,PR!$AQ$109,IF($S$84=94,PR!$AQ$110,IF($S$84=95,PR!$AQ$111,IF($S$84=96,PR!$AQ$112,IF($S$84=97,PR!$AQ$113,IF($S$84=98,PR!$AQ$114,IF($S$84=99,PR!$AQ$115,IF($S$84=100,PR!$AQ$116,IF($S$84=101,PR!$AQ$117,IF($S$84=102,PR!$AQ$118,IF($S$84=103,PR!$AQ$119,IF($S$84=104,PR!$AQ$120,IF($S$84=105,PR!$AQ$121,IF($S$84=106,PR!$AQ$122,IF($S$84=107,PR!$AQ$123,IF($S$84=108,PR!$AQ$124,IF($S$84=109,PR!$AQ$125,IF($S$84=110,PR!$AQ$126,IF($S$84=111,PR!$AQ$127,IF($S$84=112,PR!$AQ$128,IF($S$84=113,PR!$AQ$129,IF($S$84=114,PR!$AQ$130,IF($S$84=115,PR!$AQ$131,IF($S$84=116,PR!$AQ$132,IF($S$84=117,PR!$AQ$133,IF($S$84=118,PR!$AQ$136,IF($S$84=119,PR!$AQ$137,IF($S$84=120,PR!$AQ$138,"-"))))))))))))))))))))))))))))))))))))))))))))))))))))))))))))</f>
        <v>0</v>
      </c>
      <c r="H94" s="534">
        <f>IF($S$84=61,PR!$AR$77,IF($S$84=62,PR!$AR$78,IF($S$84=63,PR!$AR$79,IF($S$84=64,PR!$AR$80,IF($S$84=65,PR!$AR$81,IF($S$84=66,PR!$AR$82,IF($S$84=67,PR!$AR$83,IF($S$84=68,PR!$AR$84,IF($S$84=69,PR!$AR$85,IF($S$84=70,PR!$AR$86,IF($S$84=71,PR!$AR$87,IF($S$84=72,PR!$AR$88,IF($S$84=73,PR!$AR$89,IF($S$84=74,PR!$AR$90,IF($S$84=75,PR!$AR$91,IF($S$84=76,PR!$AR$92,IF($S$84=77,PR!$AR$93,IF($S$84=78,PR!$AR$94,IF($S$84=79,PR!$AR$95,IF($S$84=80,PR!$AR$96,IF($S$84=81,PR!$AR$97,IF($S$84=82,PR!$AR$98,IF($S$84=83,PR!$AR$99,IF($S$84=84,PR!$AR$100,IF($S$84=85,PR!$AR$101,IF($S$84=86,PR!$AR$102,IF($S$84=87,PR!$AR$103,IF($S$84=88,PR!$AR$104,IF($S$84=89,PR!$AR$105,IF($S$84=90,PR!$AR$106,IF($S$84=91,PR!$AR$107,IF($S$84=92,PR!$AR$108,IF($S$84=93,PR!$AR$109,IF($S$84=94,PR!$AR$110,IF($S$84=95,PR!$AR$111,IF($S$84=96,PR!$AR$112,IF($S$84=97,PR!$AR$113,IF($S$84=98,PR!$AR$114,IF($S$84=99,PR!$AR$115,IF($S$84=100,PR!$AR$116,IF($S$84=101,PR!$AR$117,IF($S$84=102,PR!$AR$118,IF($S$84=103,PR!$AR$119,IF($S$84=104,PR!$AR$120,IF($S$84=105,PR!$AR$121,IF($S$84=106,PR!$AR$122,IF($S$84=107,PR!$AR$123,IF($S$84=108,PR!$AR$124,IF($S$84=109,PR!$AR$125,IF($S$84=110,PR!$AR$126,IF($S$84=111,PR!$AR$127,IF($S$84=112,PR!$AR$128,IF($S$84=113,PR!$AR$129,IF($S$84=114,PR!$AR$130,IF($S$84=115,PR!$AR$131,IF($S$84=116,PR!$AR$132,IF($S$84=117,PR!$AR$133,IF($S$84=118,PR!$AR$136,IF($S$84=119,PR!$AR$137,IF($S$84=120,PR!$AR$138,"-"))))))))))))))))))))))))))))))))))))))))))))))))))))))))))))</f>
        <v>0</v>
      </c>
      <c r="I94" s="534">
        <f>IF($S$84=61,PR!$AS$77,IF($S$84=62,PR!$AS$78,IF($S$84=63,PR!$AS$79,IF($S$84=64,PR!$AS$80,IF($S$84=65,PR!$AS$81,IF($S$84=66,PR!$AS$82,IF($S$84=67,PR!$AS$83,IF($S$84=68,PR!$AS$84,IF($S$84=69,PR!$AS$85,IF($S$84=70,PR!$AS$86,IF($S$84=71,PR!$AS$87,IF($S$84=72,PR!$AS$88,IF($S$84=73,PR!$AS$89,IF($S$84=74,PR!$AS$90,IF($S$84=75,PR!$AS$91,IF($S$84=76,PR!$AS$92,IF($S$84=77,PR!$AS$93,IF($S$84=78,PR!$AS$94,IF($S$84=79,PR!$AS$95,IF($S$84=80,PR!$AS$96,IF($S$84=81,PR!$AS$97,IF($S$84=82,PR!$AS$98,IF($S$84=83,PR!$AS$99,IF($S$84=84,PR!$AS$100,IF($S$84=85,PR!$AS$101,IF($S$84=86,PR!$AS$102,IF($S$84=87,PR!$AS$103,IF($S$84=88,PR!$AS$104,IF($S$84=89,PR!$AS$105,IF($S$84=90,PR!$AS$106,IF($S$84=91,PR!$AS$107,IF($S$84=92,PR!$AS$108,IF($S$84=93,PR!$AS$109,IF($S$84=94,PR!$AS$110,IF($S$84=95,PR!$AS$111,IF($S$84=96,PR!$AS$112,IF($S$84=97,PR!$AS$113,IF($S$84=98,PR!$AS$114,IF($S$84=99,PR!$AS$115,IF($S$84=100,PR!$AS$116,IF($S$84=101,PR!$AS$117,IF($S$84=102,PR!$AS$118,IF($S$84=103,PR!$AS$119,IF($S$84=104,PR!$AS$120,IF($S$84=105,PR!$AS$121,IF($S$84=106,PR!$AS$122,IF($S$84=107,PR!$AS$123,IF($S$84=108,PR!$AS$124,IF($S$84=109,PR!$AS$125,IF($S$84=110,PR!$AS$126,IF($S$84=111,PR!$AS$127,IF($S$84=112,PR!$AS$128,IF($S$84=113,PR!$AS$129,IF($S$84=114,PR!$AS$130,IF($S$84=115,PR!$AS$131,IF($S$84=116,PR!$AS$132,IF($S$84=117,PR!$AS$133,IF($S$84=118,PR!$AS$136,IF($S$84=119,PR!$AS$137,IF($S$84=120,PR!$AS$138,"-"))))))))))))))))))))))))))))))))))))))))))))))))))))))))))))</f>
        <v>0</v>
      </c>
      <c r="J94" s="534">
        <f>IF($S$84=61,PR!$AT$77,IF($S$84=62,PR!$AT$78,IF($S$84=63,PR!$AT$79,IF($S$84=64,PR!$AT$80,IF($S$84=65,PR!$AT$81,IF($S$84=66,PR!$AT$82,IF($S$84=67,PR!$AT$83,IF($S$84=68,PR!$AT$84,IF($S$84=69,PR!$AT$85,IF($S$84=70,PR!$AT$86,IF($S$84=71,PR!$AT$87,IF($S$84=72,PR!$AT$88,IF($S$84=73,PR!$AT$89,IF($S$84=74,PR!$AT$90,IF($S$84=75,PR!$AT$91,IF($S$84=76,PR!$AT$92,IF($S$84=77,PR!$AT$93,IF($S$84=78,PR!$AT$94,IF($S$84=79,PR!$AT$95,IF($S$84=80,PR!$AT$96,IF($S$84=81,PR!$AT$97,IF($S$84=82,PR!$AT$98,IF($S$84=83,PR!$AT$99,IF($S$84=84,PR!$AT$100,IF($S$84=85,PR!$AT$101,IF($S$84=86,PR!$AT$102,IF($S$84=87,PR!$AT$103,IF($S$84=88,PR!$AT$104,IF($S$84=89,PR!$AT$105,IF($S$84=90,PR!$AT$106,IF($S$84=91,PR!$AT$107,IF($S$84=92,PR!$AT$108,IF($S$84=93,PR!$AT$109,IF($S$84=94,PR!$AT$110,IF($S$84=95,PR!$AT$111,IF($S$84=96,PR!$AT$112,IF($S$84=97,PR!$AT$113,IF($S$84=98,PR!$AT$114,IF($S$84=99,PR!$AT$115,IF($S$84=100,PR!$AT$116,IF($S$84=101,PR!$AT$117,IF($S$84=102,PR!$AT$118,IF($S$84=103,PR!$AT$119,IF($S$84=104,PR!$AT$120,IF($S$84=105,PR!$AT$121,IF($S$84=106,PR!$AT$122,IF($S$84=107,PR!$AT$123,IF($S$84=108,PR!$AT$124,IF($S$84=109,PR!$AT$125,IF($S$84=110,PR!$AT$126,IF($S$84=111,PR!$AT$127,IF($S$84=112,PR!$AT$128,IF($S$84=113,PR!$AT$129,IF($S$84=114,PR!$AT$130,IF($S$84=115,PR!$AT$131,IF($S$84=116,PR!$AT$132,IF($S$84=117,PR!$AT$133,IF($S$84=118,PR!$AT$136,IF($S$84=119,PR!$AT$137,IF($S$84=120,PR!$AT$138,"-"))))))))))))))))))))))))))))))))))))))))))))))))))))))))))))</f>
        <v>0</v>
      </c>
      <c r="K94" s="534">
        <f>IF($S$84=61,PR!$AU$77,IF($S$84=62,PR!$AU$78,IF($S$84=63,PR!$AU$79,IF($S$84=64,PR!$AU$80,IF($S$84=65,PR!$AU$81,IF($S$84=66,PR!$AU$82,IF($S$84=67,PR!$AU$83,IF($S$84=68,PR!$AU$84,IF($S$84=69,PR!$AU$85,IF($S$84=70,PR!$AU$86,IF($S$84=71,PR!$AU$87,IF($S$84=72,PR!$AU$88,IF($S$84=73,PR!$AU$89,IF($S$84=74,PR!$AU$90,IF($S$84=75,PR!$AU$91,IF($S$84=76,PR!$AU$92,IF($S$84=77,PR!$AU$93,IF($S$84=78,PR!$AU$94,IF($S$84=79,PR!$AU$95,IF($S$84=80,PR!$AU$96,IF($S$84=81,PR!$AU$97,IF($S$84=82,PR!$AU$98,IF($S$84=83,PR!$AU$99,IF($S$84=84,PR!$AU$100,IF($S$84=85,PR!$AU$101,IF($S$84=86,PR!$AU$102,IF($S$84=87,PR!$AU$103,IF($S$84=88,PR!$AU$104,IF($S$84=89,PR!$AU$105,IF($S$84=90,PR!$AU$106,IF($S$84=91,PR!$AU$107,IF($S$84=92,PR!$AU$108,IF($S$84=93,PR!$AU$109,IF($S$84=94,PR!$AU$110,IF($S$84=95,PR!$AU$111,IF($S$84=96,PR!$AU$112,IF($S$84=97,PR!$AU$113,IF($S$84=98,PR!$AU$114,IF($S$84=99,PR!$AU$115,IF($S$84=100,PR!$AU$116,IF($S$84=101,PR!$AU$117,IF($S$84=102,PR!$AU$118,IF($S$84=103,PR!$AU$119,IF($S$84=104,PR!$AU$120,IF($S$84=105,PR!$AU$121,IF($S$84=106,PR!$AU$122,IF($S$84=107,PR!$AU$123,IF($S$84=108,PR!$AU$124,IF($S$84=109,PR!$AU$125,IF($S$84=110,PR!$AU$126,IF($S$84=111,PR!$AU$127,IF($S$84=112,PR!$AU$128,IF($S$84=113,PR!$AU$129,IF($S$84=114,PR!$AU$130,IF($S$84=115,PR!$AU$131,IF($S$84=116,PR!$AU$132,IF($S$84=117,PR!$AU$133,IF($S$84=118,PR!$AU$136,IF($S$84=119,PR!$AU$137,IF($S$84=120,PR!$AU$138,"-"))))))))))))))))))))))))))))))))))))))))))))))))))))))))))))</f>
        <v>0</v>
      </c>
      <c r="L94" s="534">
        <f>IF($S$84=61,PR!$AV$77,IF($S$84=62,PR!$AV$78,IF($S$84=63,PR!$AV$79,IF($S$84=64,PR!$AV$80,IF($S$84=65,PR!$AV$81,IF($S$84=66,PR!$AV$82,IF($S$84=67,PR!$AV$83,IF($S$84=68,PR!$AV$84,IF($S$84=69,PR!$AV$85,IF($S$84=70,PR!$AV$86,IF($S$84=71,PR!$AV$87,IF($S$84=72,PR!$AV$88,IF($S$84=73,PR!$AV$89,IF($S$84=74,PR!$AV$90,IF($S$84=75,PR!$AV$91,IF($S$84=76,PR!$AV$92,IF($S$84=77,PR!$AV$93,IF($S$84=78,PR!$AV$94,IF($S$84=79,PR!$AV$95,IF($S$84=80,PR!$AV$96,IF($S$84=81,PR!$AV$97,IF($S$84=82,PR!$AV$98,IF($S$84=83,PR!$AV$99,IF($S$84=84,PR!$AV$100,IF($S$84=85,PR!$AV$101,IF($S$84=86,PR!$AV$102,IF($S$84=87,PR!$AV$103,IF($S$84=88,PR!$AV$104,IF($S$84=89,PR!$AV$105,IF($S$84=90,PR!$AV$106,IF($S$84=91,PR!$AV$107,IF($S$84=92,PR!$AV$108,IF($S$84=93,PR!$AV$109,IF($S$84=94,PR!$AV$110,IF($S$84=95,PR!$AV$111,IF($S$84=96,PR!$AV$112,IF($S$84=97,PR!$AV$113,IF($S$84=98,PR!$AV$114,IF($S$84=99,PR!$AV$115,IF($S$84=100,PR!$AV$116,IF($S$84=101,PR!$AV$117,IF($S$84=102,PR!$AV$118,IF($S$84=103,PR!$AV$119,IF($S$84=104,PR!$AV$120,IF($S$84=105,PR!$AV$121,IF($S$84=106,PR!$AV$122,IF($S$84=107,PR!$AV$123,IF($S$84=108,PR!$AV$124,IF($S$84=109,PR!$AV$125,IF($S$84=110,PR!$AV$126,IF($S$84=111,PR!$AV$127,IF($S$84=112,PR!$AV$128,IF($S$84=113,PR!$AV$129,IF($S$84=114,PR!$AV$130,IF($S$84=115,PR!$AV$131,IF($S$84=116,PR!$AV$132,IF($S$84=117,PR!$AV$133,IF($S$84=118,PR!$AV$136,IF($S$84=119,PR!$AV$137,IF($S$84=120,PR!$AV$138,"-"))))))))))))))))))))))))))))))))))))))))))))))))))))))))))))</f>
        <v>0</v>
      </c>
      <c r="M94" s="534">
        <f>IF($S$84=61,PR!$AW$77,IF($S$84=62,PR!$AW$78,IF($S$84=63,PR!$AW$79,IF($S$84=64,PR!$AW$80,IF($S$84=65,PR!$AW$81,IF($S$84=66,PR!$AW$82,IF($S$84=67,PR!$AW$83,IF($S$84=68,PR!$AW$84,IF($S$84=69,PR!$AW$85,IF($S$84=70,PR!$AW$86,IF($S$84=71,PR!$AW$87,IF($S$84=72,PR!$AW$88,IF($S$84=73,PR!$AW$89,IF($S$84=74,PR!$AW$90,IF($S$84=75,PR!$AW$91,IF($S$84=76,PR!$AW$92,IF($S$84=77,PR!$AW$93,IF($S$84=78,PR!$AW$94,IF($S$84=79,PR!$AW$95,IF($S$84=80,PR!$AW$96,IF($S$84=81,PR!$AW$97,IF($S$84=82,PR!$AW$98,IF($S$84=83,PR!$AW$99,IF($S$84=84,PR!$AW$100,IF($S$84=85,PR!$AW$101,IF($S$84=86,PR!$AW$102,IF($S$84=87,PR!$AW$103,IF($S$84=88,PR!$AW$104,IF($S$84=89,PR!$AW$105,IF($S$84=90,PR!$AW$106,IF($S$84=91,PR!$AW$107,IF($S$84=92,PR!$AW$108,IF($S$84=93,PR!$AW$109,IF($S$84=94,PR!$AW$110,IF($S$84=95,PR!$AW$111,IF($S$84=96,PR!$AW$112,IF($S$84=97,PR!$AW$113,IF($S$84=98,PR!$AW$114,IF($S$84=99,PR!$AW$115,IF($S$84=100,PR!$AW$116,IF($S$84=101,PR!$AW$117,IF($S$84=102,PR!$AW$118,IF($S$84=103,PR!$AW$119,IF($S$84=104,PR!$AW$120,IF($S$84=105,PR!$AW$121,IF($S$84=106,PR!$AW$122,IF($S$84=107,PR!$AW$123,IF($S$84=108,PR!$AW$124,IF($S$84=109,PR!$AW$125,IF($S$84=110,PR!$AW$126,IF($S$84=111,PR!$AW$127,IF($S$84=112,PR!$AW$128,IF($S$84=113,PR!$AW$129,IF($S$84=114,PR!$AW$130,IF($S$84=115,PR!$AW$131,IF($S$84=116,PR!$AW$132,IF($S$84=117,PR!$AW$133,IF($S$84=118,PR!$AW$136,IF($S$84=119,PR!$AW$137,IF($S$84=120,PR!$AW$138,"-"))))))))))))))))))))))))))))))))))))))))))))))))))))))))))))</f>
        <v>0</v>
      </c>
      <c r="N94" s="534">
        <f>IF($S$84=61,PR!$AX$77,IF($S$84=62,PR!$AX$78,IF($S$84=63,PR!$AX$79,IF($S$84=64,PR!$AX$80,IF($S$84=65,PR!$AX$81,IF($S$84=66,PR!$AX$82,IF($S$84=67,PR!$AX$83,IF($S$84=68,PR!$AX$84,IF($S$84=69,PR!$AX$85,IF($S$84=70,PR!$AX$86,IF($S$84=71,PR!$AX$87,IF($S$84=72,PR!$AX$88,IF($S$84=73,PR!$AX$89,IF($S$84=74,PR!$AX$90,IF($S$84=75,PR!$AX$91,IF($S$84=76,PR!$AX$92,IF($S$84=77,PR!$AX$93,IF($S$84=78,PR!$AX$94,IF($S$84=79,PR!$AX$95,IF($S$84=80,PR!$AX$96,IF($S$84=81,PR!$AX$97,IF($S$84=82,PR!$AX$98,IF($S$84=83,PR!$AX$99,IF($S$84=84,PR!$AX$100,IF($S$84=85,PR!$AX$101,IF($S$84=86,PR!$AX$102,IF($S$84=87,PR!$AX$103,IF($S$84=88,PR!$AX$104,IF($S$84=89,PR!$AX$105,IF($S$84=90,PR!$AX$106,IF($S$84=91,PR!$AX$107,IF($S$84=92,PR!$AX$108,IF($S$84=93,PR!$AX$109,IF($S$84=94,PR!$AX$110,IF($S$84=95,PR!$AX$111,IF($S$84=96,PR!$AX$112,IF($S$84=97,PR!$AX$113,IF($S$84=98,PR!$AX$114,IF($S$84=99,PR!$AX$115,IF($S$84=100,PR!$AX$116,IF($S$84=101,PR!$AX$117,IF($S$84=102,PR!$AX$118,IF($S$84=103,PR!$AX$119,IF($S$84=104,PR!$AX$120,IF($S$84=105,PR!$AX$121,IF($S$84=106,PR!$AX$122,IF($S$84=107,PR!$AX$123,IF($S$84=108,PR!$AX$124,IF($S$84=109,PR!$AX$125,IF($S$84=110,PR!$AX$126,IF($S$84=111,PR!$AX$127,IF($S$84=112,PR!$AX$128,IF($S$84=113,PR!$AX$129,IF($S$84=114,PR!$AX$130,IF($S$84=115,PR!$AX$131,IF($S$84=116,PR!$AX$132,IF($S$84=117,PR!$AX$133,IF($S$84=118,PR!$AX$136,IF($S$84=119,PR!$AX$137,IF($S$84=120,PR!$AX$138,"-"))))))))))))))))))))))))))))))))))))))))))))))))))))))))))))</f>
        <v>0</v>
      </c>
      <c r="O94" s="534">
        <f>IF($S$84=61,PR!$AY$77,IF($S$84=62,PR!$AY$78,IF($S$84=63,PR!$AY$79,IF($S$84=64,PR!$AY$80,IF($S$84=65,PR!$AY$81,IF($S$84=66,PR!$AY$82,IF($S$84=67,PR!$AY$83,IF($S$84=68,PR!$AY$84,IF($S$84=69,PR!$AY$85,IF($S$84=70,PR!$AY$86,IF($S$84=71,PR!$AY$87,IF($S$84=72,PR!$AY$88,IF($S$84=73,PR!$AY$89,IF($S$84=74,PR!$AY$90,IF($S$84=75,PR!$AY$91,IF($S$84=76,PR!$AY$92,IF($S$84=77,PR!$AY$93,IF($S$84=78,PR!$AY$94,IF($S$84=79,PR!$AY$95,IF($S$84=80,PR!$AY$96,IF($S$84=81,PR!$AY$97,IF($S$84=82,PR!$AY$98,IF($S$84=83,PR!$AY$99,IF($S$84=84,PR!$AY$100,IF($S$84=85,PR!$AY$101,IF($S$84=86,PR!$AY$102,IF($S$84=87,PR!$AY$103,IF($S$84=88,PR!$AY$104,IF($S$84=89,PR!$AY$105,IF($S$84=90,PR!$AY$106,IF($S$84=91,PR!$AY$107,IF($S$84=92,PR!$AY$108,IF($S$84=93,PR!$AY$109,IF($S$84=94,PR!$AY$110,IF($S$84=95,PR!$AY$111,IF($S$84=96,PR!$AY$112,IF($S$84=97,PR!$AY$113,IF($S$84=98,PR!$AY$114,IF($S$84=99,PR!$AY$115,IF($S$84=100,PR!$AY$116,IF($S$84=101,PR!$AY$117,IF($S$84=102,PR!$AY$118,IF($S$84=103,PR!$AY$119,IF($S$84=104,PR!$AY$120,IF($S$84=105,PR!$AY$121,IF($S$84=106,PR!$AY$122,IF($S$84=107,PR!$AY$123,IF($S$84=108,PR!$AY$124,IF($S$84=109,PR!$AY$125,IF($S$84=110,PR!$AY$126,IF($S$84=111,PR!$AY$127,IF($S$84=112,PR!$AY$128,IF($S$84=113,PR!$AY$129,IF($S$84=114,PR!$AY$130,IF($S$84=115,PR!$AY$131,IF($S$84=116,PR!$AY$132,IF($S$84=117,PR!$AY$133,IF($S$84=118,PR!$AY$136,IF($S$84=119,PR!$AY$137,IF($S$84=120,PR!$AY$138,"-"))))))))))))))))))))))))))))))))))))))))))))))))))))))))))))</f>
        <v>0</v>
      </c>
      <c r="P94" s="534">
        <f>IF($S$84=61,PR!$AZ$77,IF($S$84=62,PR!$AZ$78,IF($S$84=63,PR!$AZ$79,IF($S$84=64,PR!$AZ$80,IF($S$84=65,PR!$AZ$81,IF($S$84=66,PR!$AZ$82,IF($S$84=67,PR!$AZ$83,IF($S$84=68,PR!$AZ$84,IF($S$84=69,PR!$AZ$85,IF($S$84=70,PR!$AZ$86,IF($S$84=71,PR!$AZ$87,IF($S$84=72,PR!$AZ$88,IF($S$84=73,PR!$AZ$89,IF($S$84=74,PR!$AZ$90,IF($S$84=75,PR!$AZ$91,IF($S$84=76,PR!$AZ$92,IF($S$84=77,PR!$AZ$93,IF($S$84=78,PR!$AZ$94,IF($S$84=79,PR!$AZ$95,IF($S$84=80,PR!$AZ$96,IF($S$84=81,PR!$AZ$97,IF($S$84=82,PR!$AZ$98,IF($S$84=83,PR!$AZ$99,IF($S$84=84,PR!$AZ$100,IF($S$84=85,PR!$AZ$101,IF($S$84=86,PR!$AZ$102,IF($S$84=87,PR!$AZ$103,IF($S$84=88,PR!$AZ$104,IF($S$84=89,PR!$AZ$105,IF($S$84=90,PR!$AZ$106,IF($S$84=91,PR!$AZ$107,IF($S$84=92,PR!$AZ$108,IF($S$84=93,PR!$AZ$109,IF($S$84=94,PR!$AZ$110,IF($S$84=95,PR!$AZ$111,IF($S$84=96,PR!$AZ$112,IF($S$84=97,PR!$AZ$113,IF($S$84=98,PR!$AZ$114,IF($S$84=99,PR!$AZ$115,IF($S$84=100,PR!$AZ$116,IF($S$84=101,PR!$AZ$117,IF($S$84=102,PR!$AZ$118,IF($S$84=103,PR!$AZ$119,IF($S$84=104,PR!$AZ$120,IF($S$84=105,PR!$AZ$121,IF($S$84=106,PR!$AZ$122,IF($S$84=107,PR!$AZ$123,IF($S$84=108,PR!$AZ$124,IF($S$84=109,PR!$AZ$125,IF($S$84=110,PR!$AZ$126,IF($S$84=111,PR!$AZ$127,IF($S$84=112,PR!$AZ$128,IF($S$84=113,PR!$AZ$129,IF($S$84=114,PR!$AZ$130,IF($S$84=115,PR!$AZ$131,IF($S$84=116,PR!$AZ$132,IF($S$84=117,PR!$AZ$133,IF($S$84=118,PR!$AZ$136,IF($S$84=119,PR!$AZ$137,IF($S$84=120,PR!$AZ$138,"-"))))))))))))))))))))))))))))))))))))))))))))))))))))))))))))</f>
        <v>2500</v>
      </c>
      <c r="Q94" s="534">
        <f>IF($S$84=61,PR!$BA$77,IF($S$84=62,PR!$BA$78,IF($S$84=63,PR!$BA$79,IF($S$84=64,PR!$BA$80,IF($S$84=65,PR!$BA$81,IF($S$84=66,PR!$BA$82,IF($S$84=67,PR!$BA$83,IF($S$84=68,PR!$BA$84,IF($S$84=69,PR!$BA$85,IF($S$84=70,PR!$BA$86,IF($S$84=71,PR!$BA$87,IF($S$84=72,PR!$BA$88,IF($S$84=73,PR!$BA$89,IF($S$84=74,PR!$BA$90,IF($S$84=75,PR!$BA$91,IF($S$84=76,PR!$BA$92,IF($S$84=77,PR!$BA$93,IF($S$84=78,PR!$BA$94,IF($S$84=79,PR!$BA$95,IF($S$84=80,PR!$BA$96,IF($S$84=81,PR!$BA$97,IF($S$84=82,PR!$BA$98,IF($S$84=83,PR!$BA$99,IF($S$84=84,PR!$BA$100,IF($S$84=85,PR!$BA$101,IF($S$84=86,PR!$BA$102,IF($S$84=87,PR!$BA$103,IF($S$84=88,PR!$BA$104,IF($S$84=89,PR!$BA$105,IF($S$84=90,PR!$BA$106,IF($S$84=91,PR!$BA$107,IF($S$84=92,PR!$BA$108,IF($S$84=93,PR!$BA$109,IF($S$84=94,PR!$BA$110,IF($S$84=95,PR!$BA$111,IF($S$84=96,PR!$BA$112,IF($S$84=97,PR!$BA$113,IF($S$84=98,PR!$BA$114,IF($S$84=99,PR!$BA$115,IF($S$84=100,PR!$BA$116,IF($S$84=101,PR!$BA$117,IF($S$84=102,PR!$BA$118,IF($S$84=103,PR!$BA$119,IF($S$84=104,PR!$BA$120,IF($S$84=105,PR!$BA$121,IF($S$84=106,PR!$BA$122,IF($S$84=107,PR!$BA$123,IF($S$84=108,PR!$BA$124,IF($S$84=109,PR!$BA$125,IF($S$84=110,PR!$BA$126,IF($S$84=111,PR!$BA$127,IF($S$84=112,PR!$BA$128,IF($S$84=113,PR!$BA$129,IF($S$84=114,PR!$BA$130,IF($S$84=115,PR!$BA$131,IF($S$84=116,PR!$BA$132,IF($S$84=117,PR!$BA$133,IF($S$84=118,PR!$BA$136,IF($S$84=119,PR!$BA$137,IF($S$84=120,PR!$BA$138,"-"))))))))))))))))))))))))))))))))))))))))))))))))))))))))))))</f>
        <v>0</v>
      </c>
      <c r="R94" s="534">
        <f>IF($S$84=61,PR!$BB$77,IF($S$84=62,PR!$BB$78,IF($S$84=63,PR!$BB$79,IF($S$84=64,PR!$BB$80,IF($S$84=65,PR!$BB$81,IF($S$84=66,PR!$BB$82,IF($S$84=67,PR!$BB$83,IF($S$84=68,PR!$BB$84,IF($S$84=69,PR!$BB$85,IF($S$84=70,PR!$BB$86,IF($S$84=71,PR!$BB$87,IF($S$84=72,PR!$BB$88,IF($S$84=73,PR!$BB$89,IF($S$84=74,PR!$BB$90,IF($S$84=75,PR!$BB$91,IF($S$84=76,PR!$BB$92,IF($S$84=77,PR!$BB$93,IF($S$84=78,PR!$BB$94,IF($S$84=79,PR!$BB$95,IF($S$84=80,PR!$BB$96,IF($S$84=81,PR!$BB$97,IF($S$84=82,PR!$BB$98,IF($S$84=83,PR!$BB$99,IF($S$84=84,PR!$BB$100,IF($S$84=85,PR!$BB$101,IF($S$84=86,PR!$BB$102,IF($S$84=87,PR!$BB$103,IF($S$84=88,PR!$BB$104,IF($S$84=89,PR!$BB$105,IF($S$84=90,PR!$BB$106,IF($S$84=91,PR!$BB$107,IF($S$84=92,PR!$BB$108,IF($S$84=93,PR!$BB$109,IF($S$84=94,PR!$BB$110,IF($S$84=95,PR!$BB$111,IF($S$84=96,PR!$BB$112,IF($S$84=97,PR!$BB$113,IF($S$84=98,PR!$BB$114,IF($S$84=99,PR!$BB$115,IF($S$84=100,PR!$BB$116,IF($S$84=101,PR!$BB$117,IF($S$84=102,PR!$BB$118,IF($S$84=103,PR!$BB$119,IF($S$84=104,PR!$BB$120,IF($S$84=105,PR!$BB$121,IF($S$84=106,PR!$BB$122,IF($S$84=107,PR!$BB$123,IF($S$84=108,PR!$BB$124,IF($S$84=109,PR!$BB$125,IF($S$84=110,PR!$BB$126,IF($S$84=111,PR!$BB$127,IF($S$84=112,PR!$BB$128,IF($S$84=113,PR!$BB$129,IF($S$84=114,PR!$BB$130,IF($S$84=115,PR!$BB$131,IF($S$84=116,PR!$BB$132,IF($S$84=117,PR!$BB$133,IF($S$84=118,PR!$BB$136,IF($S$84=119,PR!$BB$137,IF($S$84=120,PR!$BB$138,"-"))))))))))))))))))))))))))))))))))))))))))))))))))))))))))))</f>
        <v>0</v>
      </c>
      <c r="S94" s="534">
        <f>IF($S$84=61,PR!$BC$77,IF($S$84=62,PR!$BC$78,IF($S$84=63,PR!$BC$79,IF($S$84=64,PR!$BC$80,IF($S$84=65,PR!$BC$81,IF($S$84=66,PR!$BC$82,IF($S$84=67,PR!$BC$83,IF($S$84=68,PR!$BC$84,IF($S$84=69,PR!$BC$85,IF($S$84=70,PR!$BC$86,IF($S$84=71,PR!$BC$87,IF($S$84=72,PR!$BC$88,IF($S$84=73,PR!$BC$89,IF($S$84=74,PR!$BC$90,IF($S$84=75,PR!$BC$91,IF($S$84=76,PR!$BC$92,IF($S$84=77,PR!$BC$93,IF($S$84=78,PR!$BC$94,IF($S$84=79,PR!$BC$95,IF($S$84=80,PR!$BC$96,IF($S$84=81,PR!$BC$97,IF($S$84=82,PR!$BC$98,IF($S$84=83,PR!$BC$99,IF($S$84=84,PR!$BC$100,IF($S$84=85,PR!$BC$101,IF($S$84=86,PR!$BC$102,IF($S$84=87,PR!$BC$103,IF($S$84=88,PR!$BC$104,IF($S$84=89,PR!$BC$105,IF($S$84=90,PR!$BC$106,IF($S$84=91,PR!$BC$107,IF($S$84=92,PR!$BC$108,IF($S$84=93,PR!$BC$109,IF($S$84=94,PR!$BC$110,IF($S$84=95,PR!$BC$111,IF($S$84=96,PR!$BC$112,IF($S$84=97,PR!$BC$113,IF($S$84=98,PR!$BC$114,IF($S$84=99,PR!$BC$115,IF($S$84=100,PR!$BC$116,IF($S$84=101,PR!$BC$117,IF($S$84=102,PR!$BC$118,IF($S$84=103,PR!$BC$119,IF($S$84=104,PR!$BC$120,IF($S$84=105,PR!$BC$121,IF($S$84=106,PR!$BC$122,IF($S$84=107,PR!$BC$123,IF($S$84=108,PR!$BC$124,IF($S$84=109,PR!$BC$125,IF($S$84=110,PR!$BC$126,IF($S$84=111,PR!$BC$127,IF($S$84=112,PR!$BC$128,IF($S$84=113,PR!$BC$129,IF($S$84=114,PR!$BC$130,IF($S$84=115,PR!$BC$131,IF($S$84=116,PR!$BC$132,IF($S$84=117,PR!$BC$133,IF($S$84=118,PR!$BC$136,IF($S$84=119,PR!$BC$137,IF($S$84=120,PR!$BC$138,"-"))))))))))))))))))))))))))))))))))))))))))))))))))))))))))))</f>
        <v>0</v>
      </c>
      <c r="T94" s="518"/>
      <c r="U94" s="518"/>
      <c r="V94" s="32"/>
      <c r="W94" s="32"/>
      <c r="X94" s="32"/>
      <c r="Y94" s="32"/>
      <c r="Z94" s="32"/>
    </row>
    <row r="95" spans="1:26" ht="15.75" x14ac:dyDescent="0.25">
      <c r="A95" s="91"/>
      <c r="B95" s="518"/>
      <c r="C95" s="529"/>
      <c r="D95" s="518"/>
      <c r="E95" s="518"/>
      <c r="F95" s="518"/>
      <c r="G95" s="518"/>
      <c r="H95" s="518"/>
      <c r="I95" s="518"/>
      <c r="J95" s="518"/>
      <c r="K95" s="518"/>
      <c r="L95" s="518"/>
      <c r="M95" s="518"/>
      <c r="N95" s="518"/>
      <c r="O95" s="518"/>
      <c r="P95" s="518"/>
      <c r="Q95" s="518"/>
      <c r="R95" s="535"/>
      <c r="S95" s="535"/>
      <c r="T95" s="518"/>
      <c r="U95" s="518"/>
      <c r="V95" s="32"/>
      <c r="W95" s="32"/>
      <c r="X95" s="32"/>
      <c r="Y95" s="32"/>
      <c r="Z95" s="32"/>
    </row>
    <row r="96" spans="1:26" ht="15.75" thickBot="1" x14ac:dyDescent="0.3">
      <c r="A96" s="91"/>
      <c r="B96" s="518"/>
      <c r="C96" s="531" t="str">
        <f>N!$C$55</f>
        <v>SAM</v>
      </c>
      <c r="D96" s="531" t="str">
        <f>N!$C$56</f>
        <v>SEAGREEN</v>
      </c>
      <c r="E96" s="531" t="str">
        <f>N!$C$57</f>
        <v>SKG</v>
      </c>
      <c r="F96" s="531" t="str">
        <f>N!$C$58</f>
        <v>TAH</v>
      </c>
      <c r="G96" s="531" t="str">
        <f>N!$C$59</f>
        <v>TAYLEK</v>
      </c>
      <c r="H96" s="531" t="str">
        <f>N!$C$60</f>
        <v>TEMITA</v>
      </c>
      <c r="I96" s="531" t="str">
        <f>N!$C$61</f>
        <v>THL</v>
      </c>
      <c r="J96" s="531" t="str">
        <f>N!$C$62</f>
        <v>UBASTIC</v>
      </c>
      <c r="K96" s="531" t="str">
        <f>N!$C$63</f>
        <v>UNION</v>
      </c>
      <c r="L96" s="531" t="str">
        <f>N!$C$64</f>
        <v>UNIQUE</v>
      </c>
      <c r="M96" s="531" t="str">
        <f>N!$C$65</f>
        <v>VIXA</v>
      </c>
      <c r="N96" s="531" t="str">
        <f>N!$C$66</f>
        <v>WWCV</v>
      </c>
      <c r="O96" s="531" t="str">
        <f>N!$C$67</f>
        <v>ZOLON</v>
      </c>
      <c r="P96" s="531" t="e">
        <f>N!#REF!</f>
        <v>#REF!</v>
      </c>
      <c r="Q96" s="531" t="e">
        <f>N!#REF!</f>
        <v>#REF!</v>
      </c>
      <c r="R96" s="531" t="e">
        <f>N!#REF!</f>
        <v>#REF!</v>
      </c>
      <c r="S96" s="518"/>
      <c r="T96" s="518"/>
      <c r="U96" s="518"/>
      <c r="V96" s="32"/>
      <c r="W96" s="32"/>
      <c r="X96" s="32"/>
      <c r="Y96" s="32"/>
      <c r="Z96" s="32"/>
    </row>
    <row r="97" spans="1:26" ht="15.75" thickBot="1" x14ac:dyDescent="0.3">
      <c r="A97" s="91"/>
      <c r="B97" s="518"/>
      <c r="C97" s="534">
        <f>IF($S$84=61,PR!$BD$77,IF($S$84=62,PR!$BD$78,IF($S$84=63,PR!$BD$79,IF($S$84=64,PR!$BD$80,IF($S$84=65,PR!$BD$81,IF($S$84=66,PR!$BD$82,IF($S$84=67,PR!$BD$83,IF($S$84=68,PR!$BD$84,IF($S$84=69,PR!$BD$85,IF($S$84=70,PR!$BD$86,IF($S$84=71,PR!$BD$87,IF($S$84=72,PR!$BD$88,IF($S$84=73,PR!$BD$89,IF($S$84=74,PR!$BD$90,IF($S$84=75,PR!$BD$91,IF($S$84=76,PR!$BD$92,IF($S$84=77,PR!$BD$93,IF($S$84=78,PR!$BD$94,IF($S$84=79,PR!$BD$95,IF($S$84=80,PR!$BD$96,IF($S$84=81,PR!$BD$97,IF($S$84=82,PR!$BD$98,IF($S$84=83,PR!$BD$99,IF($S$84=84,PR!$BD$100,IF($S$84=85,PR!$BD$101,IF($S$84=86,PR!$BD$102,IF($S$84=87,PR!$BD$103,IF($S$84=88,PR!$BD$104,IF($S$84=89,PR!$BD$105,IF($S$84=90,PR!$BD$106,IF($S$84=91,PR!$BD$107,IF($S$84=92,PR!$BD$108,IF($S$84=93,PR!$BD$109,IF($S$84=94,PR!$BD$110,IF($S$84=95,PR!$BD$111,IF($S$84=96,PR!$BD$112,IF($S$84=97,PR!$BD$113,IF($S$84=98,PR!$BD$114,IF($S$84=99,PR!$BD$115,IF($S$84=100,PR!$BD$116,IF($S$84=101,PR!$BD$117,IF($S$84=102,PR!$BD$118,IF($S$84=103,PR!$BD$119,IF($S$84=104,PR!$BD$120,IF($S$84=105,PR!$BD$121,IF($S$84=106,PR!$BD$122,IF($S$84=107,PR!$BD$123,IF($S$84=108,PR!$BD$124,IF($S$84=109,PR!$BD$125,IF($S$84=110,PR!$BD$126,IF($S$84=111,PR!$BD$127,IF($S$84=112,PR!$BD$128,IF($S$84=113,PR!$BD$129,IF($S$84=114,PR!$BD$130,IF($S$84=115,PR!$BD$131,IF($S$84=116,PR!$BD$132,IF($S$84=117,PR!$BD$133,IF($S$84=118,PR!$BD$136,IF($S$84=119,PR!$BD$137,IF($S$84=120,PR!$BD$138,"-"))))))))))))))))))))))))))))))))))))))))))))))))))))))))))))</f>
        <v>0</v>
      </c>
      <c r="D97" s="534">
        <f>IF($S$84=61,PR!$BE$77,IF($S$84=62,PR!$BE$78,IF($S$84=63,PR!$BE$79,IF($S$84=64,PR!$BE$80,IF($S$84=65,PR!$BE$81,IF($S$84=66,PR!$BE$82,IF($S$84=67,PR!$BE$83,IF($S$84=68,PR!$BE$84,IF($S$84=69,PR!$BE$85,IF($S$84=70,PR!$BE$86,IF($S$84=71,PR!$BE$87,IF($S$84=72,PR!$BE$88,IF($S$84=73,PR!$BE$89,IF($S$84=74,PR!$BE$90,IF($S$84=75,PR!$BE$91,IF($S$84=76,PR!$BE$92,IF($S$84=77,PR!$BE$93,IF($S$84=78,PR!$BE$94,IF($S$84=79,PR!$BE$95,IF($S$84=80,PR!$BE$96,IF($S$84=81,PR!$BE$97,IF($S$84=82,PR!$BE$98,IF($S$84=83,PR!$BE$99,IF($S$84=84,PR!$BE$100,IF($S$84=85,PR!$BE$101,IF($S$84=86,PR!$BE$102,IF($S$84=87,PR!$BE$103,IF($S$84=88,PR!$BE$104,IF($S$84=89,PR!$BE$105,IF($S$84=90,PR!$BE$106,IF($S$84=91,PR!$BE$107,IF($S$84=92,PR!$BE$108,IF($S$84=93,PR!$BE$109,IF($S$84=94,PR!$BE$110,IF($S$84=95,PR!$BE$111,IF($S$84=96,PR!$BE$112,IF($S$84=97,PR!$BE$113,IF($S$84=98,PR!$BE$114,IF($S$84=99,PR!$BE$115,IF($S$84=100,PR!$BE$116,IF($S$84=101,PR!$BE$117,IF($S$84=102,PR!$BE$118,IF($S$84=103,PR!$BE$119,IF($S$84=104,PR!$BE$120,IF($S$84=105,PR!$BE$121,IF($S$84=106,PR!$BE$122,IF($S$84=107,PR!$BE$123,IF($S$84=108,PR!$BE$124,IF($S$84=109,PR!$BE$125,IF($S$84=110,PR!$BE$126,IF($S$84=111,PR!$BE$127,IF($S$84=112,PR!$BE$128,IF($S$84=113,PR!$BE$129,IF($S$84=114,PR!$BE$130,IF($S$84=115,PR!$BE$131,IF($S$84=116,PR!$BE$132,IF($S$84=117,PR!$BE$133,IF($S$84=118,PR!$BE$136,IF($S$84=119,PR!$BE$137,IF($S$84=120,PR!$BE$138,"-"))))))))))))))))))))))))))))))))))))))))))))))))))))))))))))</f>
        <v>0</v>
      </c>
      <c r="E97" s="534">
        <f>IF($S$84=61,PR!$BF$77,IF($S$84=62,PR!$BF$78,IF($S$84=63,PR!$BF$79,IF($S$84=64,PR!$BF$80,IF($S$84=65,PR!$BF$81,IF($S$84=66,PR!$BF$82,IF($S$84=67,PR!$BF$83,IF($S$84=68,PR!$BF$84,IF($S$84=69,PR!$BF$85,IF($S$84=70,PR!$BF$86,IF($S$84=71,PR!$BF$87,IF($S$84=72,PR!$BF$88,IF($S$84=73,PR!$BF$89,IF($S$84=74,PR!$BF$90,IF($S$84=75,PR!$BF$91,IF($S$84=76,PR!$BF$92,IF($S$84=77,PR!$BF$93,IF($S$84=78,PR!$BF$94,IF($S$84=79,PR!$BF$95,IF($S$84=80,PR!$BF$96,IF($S$84=81,PR!$BF$97,IF($S$84=82,PR!$BF$98,IF($S$84=83,PR!$BF$99,IF($S$84=84,PR!$BF$100,IF($S$84=85,PR!$BF$101,IF($S$84=86,PR!$BF$102,IF($S$84=87,PR!$BF$103,IF($S$84=88,PR!$BF$104,IF($S$84=89,PR!$BF$105,IF($S$84=90,PR!$BF$106,IF($S$84=91,PR!$BF$107,IF($S$84=92,PR!$BF$108,IF($S$84=93,PR!$BF$109,IF($S$84=94,PR!$BF$110,IF($S$84=95,PR!$BF$111,IF($S$84=96,PR!$BF$112,IF($S$84=97,PR!$BF$113,IF($S$84=98,PR!$BF$114,IF($S$84=99,PR!$BF$115,IF($S$84=100,PR!$BF$116,IF($S$84=101,PR!$BF$117,IF($S$84=102,PR!$BF$118,IF($S$84=103,PR!$BF$119,IF($S$84=104,PR!$BF$120,IF($S$84=105,PR!$BF$121,IF($S$84=106,PR!$BF$122,IF($S$84=107,PR!$BF$123,IF($S$84=108,PR!$BF$124,IF($S$84=109,PR!$BF$125,IF($S$84=110,PR!$BF$126,IF($S$84=111,PR!$BF$127,IF($S$84=112,PR!$BF$128,IF($S$84=113,PR!$BF$129,IF($S$84=114,PR!$BF$130,IF($S$84=115,PR!$BF$131,IF($S$84=116,PR!$BF$132,IF($S$84=117,PR!$BF$133,IF($S$84=118,PR!$BF$136,IF($S$84=119,PR!$BF$137,IF($S$84=120,PR!$BF$138,"-"))))))))))))))))))))))))))))))))))))))))))))))))))))))))))))</f>
        <v>0</v>
      </c>
      <c r="F97" s="534">
        <f>IF($S$84=61,PR!$BG$77,IF($S$84=62,PR!$BG$78,IF($S$84=63,PR!$BG$79,IF($S$84=64,PR!$BG$80,IF($S$84=65,PR!$BG$81,IF($S$84=66,PR!$BG$82,IF($S$84=67,PR!$BG$83,IF($S$84=68,PR!$BG$84,IF($S$84=69,PR!$BG$85,IF($S$84=70,PR!$BG$86,IF($S$84=71,PR!$BG$87,IF($S$84=72,PR!$BG$88,IF($S$84=73,PR!$BG$89,IF($S$84=74,PR!$BG$90,IF($S$84=75,PR!$BG$91,IF($S$84=76,PR!$BG$92,IF($S$84=77,PR!$BG$93,IF($S$84=78,PR!$BG$94,IF($S$84=79,PR!$BG$95,IF($S$84=80,PR!$BG$96,IF($S$84=81,PR!$BG$97,IF($S$84=82,PR!$BG$98,IF($S$84=83,PR!$BG$99,IF($S$84=84,PR!$BG$100,IF($S$84=85,PR!$BG$101,IF($S$84=86,PR!$BG$102,IF($S$84=87,PR!$BG$103,IF($S$84=88,PR!$BG$104,IF($S$84=89,PR!$BG$105,IF($S$84=90,PR!$BG$106,IF($S$84=91,PR!$BG$107,IF($S$84=92,PR!$BG$108,IF($S$84=93,PR!$BG$109,IF($S$84=94,PR!$BG$110,IF($S$84=95,PR!$BG$111,IF($S$84=96,PR!$BG$112,IF($S$84=97,PR!$BG$113,IF($S$84=98,PR!$BG$114,IF($S$84=99,PR!$BG$115,IF($S$84=100,PR!$BG$116,IF($S$84=101,PR!$BG$117,IF($S$84=102,PR!$BG$118,IF($S$84=103,PR!$BG$119,IF($S$84=104,PR!$BG$120,IF($S$84=105,PR!$BG$121,IF($S$84=106,PR!$BG$122,IF($S$84=107,PR!$BG$123,IF($S$84=108,PR!$BG$124,IF($S$84=109,PR!$BG$125,IF($S$84=110,PR!$BG$126,IF($S$84=111,PR!$BG$127,IF($S$84=112,PR!$BG$128,IF($S$84=113,PR!$BG$129,IF($S$84=114,PR!$BG$130,IF($S$84=115,PR!$BG$131,IF($S$84=116,PR!$BG$132,IF($S$84=117,PR!$BG$133,IF($S$84=118,PR!$BG$136,IF($S$84=119,PR!$BG$137,IF($S$84=120,PR!$BG$138,"-"))))))))))))))))))))))))))))))))))))))))))))))))))))))))))))</f>
        <v>0</v>
      </c>
      <c r="G97" s="534">
        <f>IF($S$84=61,PR!$BH$77,IF($S$84=62,PR!$BH$78,IF($S$84=63,PR!$BH$79,IF($S$84=64,PR!$BH$80,IF($S$84=65,PR!$BH$81,IF($S$84=66,PR!$BH$82,IF($S$84=67,PR!$BH$83,IF($S$84=68,PR!$BH$84,IF($S$84=69,PR!$BH$85,IF($S$84=70,PR!$BH$86,IF($S$84=71,PR!$BH$87,IF($S$84=72,PR!$BH$88,IF($S$84=73,PR!$BH$89,IF($S$84=74,PR!$BH$90,IF($S$84=75,PR!$BH$91,IF($S$84=76,PR!$BH$92,IF($S$84=77,PR!$BH$93,IF($S$84=78,PR!$BH$94,IF($S$84=79,PR!$BH$95,IF($S$84=80,PR!$BH$96,IF($S$84=81,PR!$BH$97,IF($S$84=82,PR!$BH$98,IF($S$84=83,PR!$BH$99,IF($S$84=84,PR!$BH$100,IF($S$84=85,PR!$BH$101,IF($S$84=86,PR!$BH$102,IF($S$84=87,PR!$BH$103,IF($S$84=88,PR!$BH$104,IF($S$84=89,PR!$BH$105,IF($S$84=90,PR!$BH$106,IF($S$84=91,PR!$BH$107,IF($S$84=92,PR!$BH$108,IF($S$84=93,PR!$BH$109,IF($S$84=94,PR!$BH$110,IF($S$84=95,PR!$BH$111,IF($S$84=96,PR!$BH$112,IF($S$84=97,PR!$BH$113,IF($S$84=98,PR!$BH$114,IF($S$84=99,PR!$BH$115,IF($S$84=100,PR!$BH$116,IF($S$84=101,PR!$BH$117,IF($S$84=102,PR!$BH$118,IF($S$84=103,PR!$BH$119,IF($S$84=104,PR!$BH$120,IF($S$84=105,PR!$BH$121,IF($S$84=106,PR!$BH$122,IF($S$84=107,PR!$BH$123,IF($S$84=108,PR!$BH$124,IF($S$84=109,PR!$BH$125,IF($S$84=110,PR!$BH$126,IF($S$84=111,PR!$BH$127,IF($S$84=112,PR!$BH$128,IF($S$84=113,PR!$BH$129,IF($S$84=114,PR!$BH$130,IF($S$84=115,PR!$BH$131,IF($S$84=116,PR!$BH$132,IF($S$84=117,PR!$BH$133,IF($S$84=118,PR!$BH$136,IF($S$84=119,PR!$BH$137,IF($S$84=120,PR!$BH$138,"-"))))))))))))))))))))))))))))))))))))))))))))))))))))))))))))</f>
        <v>0</v>
      </c>
      <c r="H97" s="534">
        <f>IF($S$84=61,PR!$BI$77,IF($S$84=62,PR!$BI$78,IF($S$84=63,PR!$BI$79,IF($S$84=64,PR!$BI$80,IF($S$84=65,PR!$BI$81,IF($S$84=66,PR!$BI$82,IF($S$84=67,PR!$BI$83,IF($S$84=68,PR!$BI$84,IF($S$84=69,PR!$BI$85,IF($S$84=70,PR!$BI$86,IF($S$84=71,PR!$BI$87,IF($S$84=72,PR!$BI$88,IF($S$84=73,PR!$BI$89,IF($S$84=74,PR!$BI$90,IF($S$84=75,PR!$BI$91,IF($S$84=76,PR!$BI$92,IF($S$84=77,PR!$BI$93,IF($S$84=78,PR!$BI$94,IF($S$84=79,PR!$BI$95,IF($S$84=80,PR!$BI$96,IF($S$84=81,PR!$BI$97,IF($S$84=82,PR!$BI$98,IF($S$84=83,PR!$BI$99,IF($S$84=84,PR!$BI$100,IF($S$84=85,PR!$BI$101,IF($S$84=86,PR!$BI$102,IF($S$84=87,PR!$BI$103,IF($S$84=88,PR!$BI$104,IF($S$84=89,PR!$BI$105,IF($S$84=90,PR!$BI$106,IF($S$84=91,PR!$BI$107,IF($S$84=92,PR!$BI$108,IF($S$84=93,PR!$BI$109,IF($S$84=94,PR!$BI$110,IF($S$84=95,PR!$BI$111,IF($S$84=96,PR!$BI$112,IF($S$84=97,PR!$BI$113,IF($S$84=98,PR!$BI$114,IF($S$84=99,PR!$BI$115,IF($S$84=100,PR!$BI$116,IF($S$84=101,PR!$BI$117,IF($S$84=102,PR!$BI$118,IF($S$84=103,PR!$BI$119,IF($S$84=104,PR!$BI$120,IF($S$84=105,PR!$BI$121,IF($S$84=106,PR!$BI$122,IF($S$84=107,PR!$BI$123,IF($S$84=108,PR!$BI$124,IF($S$84=109,PR!$BI$125,IF($S$84=110,PR!$BI$126,IF($S$84=111,PR!$BI$127,IF($S$84=112,PR!$BI$128,IF($S$84=113,PR!$BI$129,IF($S$84=114,PR!$BI$130,IF($S$84=115,PR!$BI$131,IF($S$84=116,PR!$BI$132,IF($S$84=117,PR!$BI$133,IF($S$84=118,PR!$BI$136,IF($S$84=119,PR!$BI$137,IF($S$84=120,PR!$BI$138,"-"))))))))))))))))))))))))))))))))))))))))))))))))))))))))))))</f>
        <v>0</v>
      </c>
      <c r="I97" s="534">
        <f>IF($S$84=61,PR!$BJ$77,IF($S$84=62,PR!$BJ$78,IF($S$84=63,PR!$BJ$79,IF($S$84=64,PR!$BJ$80,IF($S$84=65,PR!$BJ$81,IF($S$84=66,PR!$BJ$82,IF($S$84=67,PR!$BJ$83,IF($S$84=68,PR!$BJ$84,IF($S$84=69,PR!$BJ$85,IF($S$84=70,PR!$BJ$86,IF($S$84=71,PR!$BJ$87,IF($S$84=72,PR!$BJ$88,IF($S$84=73,PR!$BJ$89,IF($S$84=74,PR!$BJ$90,IF($S$84=75,PR!$BJ$91,IF($S$84=76,PR!$BJ$92,IF($S$84=77,PR!$BJ$93,IF($S$84=78,PR!$BJ$94,IF($S$84=79,PR!$BJ$95,IF($S$84=80,PR!$BJ$96,IF($S$84=81,PR!$BJ$97,IF($S$84=82,PR!$BJ$98,IF($S$84=83,PR!$BJ$99,IF($S$84=84,PR!$BJ$100,IF($S$84=85,PR!$BJ$101,IF($S$84=86,PR!$BJ$102,IF($S$84=87,PR!$BJ$103,IF($S$84=88,PR!$BJ$104,IF($S$84=89,PR!$BJ$105,IF($S$84=90,PR!$BJ$106,IF($S$84=91,PR!$BJ$107,IF($S$84=92,PR!$BJ$108,IF($S$84=93,PR!$BJ$109,IF($S$84=94,PR!$BJ$110,IF($S$84=95,PR!$BJ$111,IF($S$84=96,PR!$BJ$112,IF($S$84=97,PR!$BJ$113,IF($S$84=98,PR!$BJ$114,IF($S$84=99,PR!$BJ$115,IF($S$84=100,PR!$BJ$116,IF($S$84=101,PR!$BJ$117,IF($S$84=102,PR!$BJ$118,IF($S$84=103,PR!$BJ$119,IF($S$84=104,PR!$BJ$120,IF($S$84=105,PR!$BJ$121,IF($S$84=106,PR!$BJ$122,IF($S$84=107,PR!$BJ$123,IF($S$84=108,PR!$BJ$124,IF($S$84=109,PR!$BJ$125,IF($S$84=110,PR!$BJ$126,IF($S$84=111,PR!$BJ$127,IF($S$84=112,PR!$BJ$128,IF($S$84=113,PR!$BJ$129,IF($S$84=114,PR!$BJ$130,IF($S$84=115,PR!$BJ$131,IF($S$84=116,PR!$BJ$132,IF($S$84=117,PR!$BJ$133,IF($S$84=118,PR!$BJ$136,IF($S$84=119,PR!$BJ$137,IF($S$84=120,PR!$BJ$138,"-"))))))))))))))))))))))))))))))))))))))))))))))))))))))))))))</f>
        <v>0</v>
      </c>
      <c r="J97" s="534">
        <f>IF($S$84=61,PR!$BK$77,IF($S$84=62,PR!$BK$78,IF($S$84=63,PR!$BK$79,IF($S$84=64,PR!$BK$80,IF($S$84=65,PR!$BK$81,IF($S$84=66,PR!$BK$82,IF($S$84=67,PR!$BK$83,IF($S$84=68,PR!$BK$84,IF($S$84=69,PR!$BK$85,IF($S$84=70,PR!$BK$86,IF($S$84=71,PR!$BK$87,IF($S$84=72,PR!$BK$88,IF($S$84=73,PR!$BK$89,IF($S$84=74,PR!$BK$90,IF($S$84=75,PR!$BK$91,IF($S$84=76,PR!$BK$92,IF($S$84=77,PR!$BK$93,IF($S$84=78,PR!$BK$94,IF($S$84=79,PR!$BK$95,IF($S$84=80,PR!$BK$96,IF($S$84=81,PR!$BK$97,IF($S$84=82,PR!$BK$98,IF($S$84=83,PR!$BK$99,IF($S$84=84,PR!$BK$100,IF($S$84=85,PR!$BK$101,IF($S$84=86,PR!$BK$102,IF($S$84=87,PR!$BK$103,IF($S$84=88,PR!$BK$104,IF($S$84=89,PR!$BK$105,IF($S$84=90,PR!$BK$106,IF($S$84=91,PR!$BK$107,IF($S$84=92,PR!$BK$108,IF($S$84=93,PR!$BK$109,IF($S$84=94,PR!$BK$110,IF($S$84=95,PR!$BK$111,IF($S$84=96,PR!$BK$112,IF($S$84=97,PR!$BK$113,IF($S$84=98,PR!$BK$114,IF($S$84=99,PR!$BK$115,IF($S$84=100,PR!$BK$116,IF($S$84=101,PR!$BK$117,IF($S$84=102,PR!$BK$118,IF($S$84=103,PR!$BK$119,IF($S$84=104,PR!$BK$120,IF($S$84=105,PR!$BK$121,IF($S$84=106,PR!$BK$122,IF($S$84=107,PR!$BK$123,IF($S$84=108,PR!$BK$124,IF($S$84=109,PR!$BK$125,IF($S$84=110,PR!$BK$126,IF($S$84=111,PR!$BK$127,IF($S$84=112,PR!$BK$128,IF($S$84=113,PR!$BK$129,IF($S$84=114,PR!$BK$130,IF($S$84=115,PR!$BK$131,IF($S$84=116,PR!$BK$132,IF($S$84=117,PR!$BK$133,IF($S$84=118,PR!$BK$136,IF($S$84=119,PR!$BK$137,IF($S$84=120,PR!$BK$138,"-"))))))))))))))))))))))))))))))))))))))))))))))))))))))))))))</f>
        <v>0</v>
      </c>
      <c r="K97" s="534">
        <f>IF($S$84=61,PR!$BL$77,IF($S$84=62,PR!$BL$78,IF($S$84=63,PR!$BL$79,IF($S$84=64,PR!$BL$80,IF($S$84=65,PR!$BL$81,IF($S$84=66,PR!$BL$82,IF($S$84=67,PR!$BL$83,IF($S$84=68,PR!$BL$84,IF($S$84=69,PR!$BL$85,IF($S$84=70,PR!$BL$86,IF($S$84=71,PR!$BL$87,IF($S$84=72,PR!$BL$88,IF($S$84=73,PR!$BL$89,IF($S$84=74,PR!$BL$90,IF($S$84=75,PR!$BL$91,IF($S$84=76,PR!$BL$92,IF($S$84=77,PR!$BL$93,IF($S$84=78,PR!$BL$94,IF($S$84=79,PR!$BL$95,IF($S$84=80,PR!$BL$96,IF($S$84=81,PR!$BL$97,IF($S$84=82,PR!$BL$98,IF($S$84=83,PR!$BL$99,IF($S$84=84,PR!$BL$100,IF($S$84=85,PR!$BL$101,IF($S$84=86,PR!$BL$102,IF($S$84=87,PR!$BL$103,IF($S$84=88,PR!$BL$104,IF($S$84=89,PR!$BL$105,IF($S$84=90,PR!$BL$106,IF($S$84=91,PR!$BL$107,IF($S$84=92,PR!$BL$108,IF($S$84=93,PR!$BL$109,IF($S$84=94,PR!$BL$110,IF($S$84=95,PR!$BL$111,IF($S$84=96,PR!$BL$112,IF($S$84=97,PR!$BL$113,IF($S$84=98,PR!$BL$114,IF($S$84=99,PR!$BL$115,IF($S$84=100,PR!$BL$116,IF($S$84=101,PR!$BL$117,IF($S$84=102,PR!$BL$118,IF($S$84=103,PR!$BL$119,IF($S$84=104,PR!$BL$120,IF($S$84=105,PR!$BL$121,IF($S$84=106,PR!$BL$122,IF($S$84=107,PR!$BL$123,IF($S$84=108,PR!$BL$124,IF($S$84=109,PR!$BL$125,IF($S$84=110,PR!$BL$126,IF($S$84=111,PR!$BL$127,IF($S$84=112,PR!$BL$128,IF($S$84=113,PR!$BL$129,IF($S$84=114,PR!$BL$130,IF($S$84=115,PR!$BL$131,IF($S$84=116,PR!$BL$132,IF($S$84=117,PR!$BL$133,IF($S$84=118,PR!$BL$136,IF($S$84=119,PR!$BL$137,IF($S$84=120,PR!$BL$138,"-"))))))))))))))))))))))))))))))))))))))))))))))))))))))))))))</f>
        <v>0</v>
      </c>
      <c r="L97" s="534">
        <f>IF($S$84=61,PR!$BM$77,IF($S$84=62,PR!$BM$78,IF($S$84=63,PR!$BM$79,IF($S$84=64,PR!$BM$80,IF($S$84=65,PR!$BM$81,IF($S$84=66,PR!$BM$82,IF($S$84=67,PR!$BM$83,IF($S$84=68,PR!$BM$84,IF($S$84=69,PR!$BM$85,IF($S$84=70,PR!$BM$86,IF($S$84=71,PR!$BM$87,IF($S$84=72,PR!$BM$88,IF($S$84=73,PR!$BM$89,IF($S$84=74,PR!$BM$90,IF($S$84=75,PR!$BM$91,IF($S$84=76,PR!$BM$92,IF($S$84=77,PR!$BM$93,IF($S$84=78,PR!$BM$94,IF($S$84=79,PR!$BM$95,IF($S$84=80,PR!$BM$96,IF($S$84=81,PR!$BM$97,IF($S$84=82,PR!$BM$98,IF($S$84=83,PR!$BM$99,IF($S$84=84,PR!$BM$100,IF($S$84=85,PR!$BM$101,IF($S$84=86,PR!$BM$102,IF($S$84=87,PR!$BM$103,IF($S$84=88,PR!$BM$104,IF($S$84=89,PR!$BM$105,IF($S$84=90,PR!$BM$106,IF($S$84=91,PR!$BM$107,IF($S$84=92,PR!$BM$108,IF($S$84=93,PR!$BM$109,IF($S$84=94,PR!$BM$110,IF($S$84=95,PR!$BM$111,IF($S$84=96,PR!$BM$112,IF($S$84=97,PR!$BM$113,IF($S$84=98,PR!$BM$114,IF($S$84=99,PR!$BM$115,IF($S$84=100,PR!$BM$116,IF($S$84=101,PR!$BM$117,IF($S$84=102,PR!$BM$118,IF($S$84=103,PR!$BM$119,IF($S$84=104,PR!$BM$120,IF($S$84=105,PR!$BM$121,IF($S$84=106,PR!$BM$122,IF($S$84=107,PR!$BM$123,IF($S$84=108,PR!$BM$124,IF($S$84=109,PR!$BM$125,IF($S$84=110,PR!$BM$126,IF($S$84=111,PR!$BM$127,IF($S$84=112,PR!$BM$128,IF($S$84=113,PR!$BM$129,IF($S$84=114,PR!$BM$130,IF($S$84=115,PR!$BM$131,IF($S$84=116,PR!$BM$132,IF($S$84=117,PR!$BM$133,IF($S$84=118,PR!$BM$136,IF($S$84=119,PR!$BM$137,IF($S$84=120,PR!$BM$138,"-"))))))))))))))))))))))))))))))))))))))))))))))))))))))))))))</f>
        <v>0</v>
      </c>
      <c r="M97" s="534">
        <f>IF($S$84=61,PR!$BN$77,IF($S$84=62,PR!$BN$78,IF($S$84=63,PR!$BN$79,IF($S$84=64,PR!$BN$80,IF($S$84=65,PR!$BN$81,IF($S$84=66,PR!$BN$82,IF($S$84=67,PR!$BN$83,IF($S$84=68,PR!$BN$84,IF($S$84=69,PR!$BN$85,IF($S$84=70,PR!$BN$86,IF($S$84=71,PR!$BN$87,IF($S$84=72,PR!$BN$88,IF($S$84=73,PR!$BN$89,IF($S$84=74,PR!$BN$90,IF($S$84=75,PR!$BN$91,IF($S$84=76,PR!$BN$92,IF($S$84=77,PR!$BN$93,IF($S$84=78,PR!$BN$94,IF($S$84=79,PR!$BN$95,IF($S$84=80,PR!$BN$96,IF($S$84=81,PR!$BN$97,IF($S$84=82,PR!$BN$98,IF($S$84=83,PR!$BN$99,IF($S$84=84,PR!$BN$100,IF($S$84=85,PR!$BN$101,IF($S$84=86,PR!$BN$102,IF($S$84=87,PR!$BN$103,IF($S$84=88,PR!$BN$104,IF($S$84=89,PR!$BN$105,IF($S$84=90,PR!$BN$106,IF($S$84=91,PR!$BN$107,IF($S$84=92,PR!$BN$108,IF($S$84=93,PR!$BN$109,IF($S$84=94,PR!$BN$110,IF($S$84=95,PR!$BN$111,IF($S$84=96,PR!$BN$112,IF($S$84=97,PR!$BN$113,IF($S$84=98,PR!$BN$114,IF($S$84=99,PR!$BN$115,IF($S$84=100,PR!$BN$116,IF($S$84=101,PR!$BN$117,IF($S$84=102,PR!$BN$118,IF($S$84=103,PR!$BN$119,IF($S$84=104,PR!$BN$120,IF($S$84=105,PR!$BN$121,IF($S$84=106,PR!$BN$122,IF($S$84=107,PR!$BN$123,IF($S$84=108,PR!$BN$124,IF($S$84=109,PR!$BN$125,IF($S$84=110,PR!$BN$126,IF($S$84=111,PR!$BN$127,IF($S$84=112,PR!$BN$128,IF($S$84=113,PR!$BN$129,IF($S$84=114,PR!$BN$130,IF($S$84=115,PR!$BN$131,IF($S$84=116,PR!$BN$132,IF($S$84=117,PR!$BN$133,IF($S$84=118,PR!$BN$136,IF($S$84=119,PR!$BN$137,IF($S$84=120,PR!$BN$138,"-"))))))))))))))))))))))))))))))))))))))))))))))))))))))))))))</f>
        <v>0</v>
      </c>
      <c r="N97" s="534">
        <f>IF($S$84=61,PR!$BO$77,IF($S$84=62,PR!$BO$78,IF($S$84=63,PR!$BO$79,IF($S$84=64,PR!$BO$80,IF($S$84=65,PR!$BO$81,IF($S$84=66,PR!$BO$82,IF($S$84=67,PR!$BO$83,IF($S$84=68,PR!$BO$84,IF($S$84=69,PR!$BO$85,IF($S$84=70,PR!$BO$86,IF($S$84=71,PR!$BO$87,IF($S$84=72,PR!$BO$88,IF($S$84=73,PR!$BO$89,IF($S$84=74,PR!$BO$90,IF($S$84=75,PR!$BO$91,IF($S$84=76,PR!$BO$92,IF($S$84=77,PR!$BO$93,IF($S$84=78,PR!$BO$94,IF($S$84=79,PR!$BO$95,IF($S$84=80,PR!$BO$96,IF($S$84=81,PR!$BO$97,IF($S$84=82,PR!$BO$98,IF($S$84=83,PR!$BO$99,IF($S$84=84,PR!$BO$100,IF($S$84=85,PR!$BO$101,IF($S$84=86,PR!$BO$102,IF($S$84=87,PR!$BO$103,IF($S$84=88,PR!$BO$104,IF($S$84=89,PR!$BO$105,IF($S$84=90,PR!$BO$106,IF($S$84=91,PR!$BO$107,IF($S$84=92,PR!$BO$108,IF($S$84=93,PR!$BO$109,IF($S$84=94,PR!$BO$110,IF($S$84=95,PR!$BO$111,IF($S$84=96,PR!$BO$112,IF($S$84=97,PR!$BO$113,IF($S$84=98,PR!$BO$114,IF($S$84=99,PR!$BO$115,IF($S$84=100,PR!$BO$116,IF($S$84=101,PR!$BO$117,IF($S$84=102,PR!$BO$118,IF($S$84=103,PR!$BO$119,IF($S$84=104,PR!$BO$120,IF($S$84=105,PR!$BO$121,IF($S$84=106,PR!$BO$122,IF($S$84=107,PR!$BO$123,IF($S$84=108,PR!$BO$124,IF($S$84=109,PR!$BO$125,IF($S$84=110,PR!$BO$126,IF($S$84=111,PR!$BO$127,IF($S$84=112,PR!$BO$128,IF($S$84=113,PR!$BO$129,IF($S$84=114,PR!$BO$130,IF($S$84=115,PR!$BO$131,IF($S$84=116,PR!$BO$132,IF($S$84=117,PR!$BO$133,IF($S$84=118,PR!$BO$136,IF($S$84=119,PR!$BO$137,IF($S$84=120,PR!$BO$138,"-"))))))))))))))))))))))))))))))))))))))))))))))))))))))))))))</f>
        <v>0</v>
      </c>
      <c r="O97" s="534">
        <f>IF($S$84=61,PR!$BP$77,IF($S$84=62,PR!$BP$78,IF($S$84=63,PR!$BP$79,IF($S$84=64,PR!$BP$80,IF($S$84=65,PR!$BP$81,IF($S$84=66,PR!$BP$82,IF($S$84=67,PR!$BP$83,IF($S$84=68,PR!$BP$84,IF($S$84=69,PR!$BP$85,IF($S$84=70,PR!$BP$86,IF($S$84=71,PR!$BP$87,IF($S$84=72,PR!$BP$88,IF($S$84=73,PR!$BP$89,IF($S$84=74,PR!$BP$90,IF($S$84=75,PR!$BP$91,IF($S$84=76,PR!$BP$92,IF($S$84=77,PR!$BP$93,IF($S$84=78,PR!$BP$94,IF($S$84=79,PR!$BP$95,IF($S$84=80,PR!$BP$96,IF($S$84=81,PR!$BP$97,IF($S$84=82,PR!$BP$98,IF($S$84=83,PR!$BP$99,IF($S$84=84,PR!$BP$100,IF($S$84=85,PR!$BP$101,IF($S$84=86,PR!$BP$102,IF($S$84=87,PR!$BP$103,IF($S$84=88,PR!$BP$104,IF($S$84=89,PR!$BP$105,IF($S$84=90,PR!$BP$106,IF($S$84=91,PR!$BP$107,IF($S$84=92,PR!$BP$108,IF($S$84=93,PR!$BP$109,IF($S$84=94,PR!$BP$110,IF($S$84=95,PR!$BP$111,IF($S$84=96,PR!$BP$112,IF($S$84=97,PR!$BP$113,IF($S$84=98,PR!$BP$114,IF($S$84=99,PR!$BP$115,IF($S$84=100,PR!$BP$116,IF($S$84=101,PR!$BP$117,IF($S$84=102,PR!$BP$118,IF($S$84=103,PR!$BP$119,IF($S$84=104,PR!$BP$120,IF($S$84=105,PR!$BP$121,IF($S$84=106,PR!$BP$122,IF($S$84=107,PR!$BP$123,IF($S$84=108,PR!$BP$124,IF($S$84=109,PR!$BP$125,IF($S$84=110,PR!$BP$126,IF($S$84=111,PR!$BP$127,IF($S$84=112,PR!$BP$128,IF($S$84=113,PR!$BP$129,IF($S$84=114,PR!$BP$130,IF($S$84=115,PR!$BP$131,IF($S$84=116,PR!$BP$132,IF($S$84=117,PR!$BP$133,IF($S$84=118,PR!$BP$136,IF($S$84=119,PR!$BP$137,IF($S$84=120,PR!$BP$138,"-"))))))))))))))))))))))))))))))))))))))))))))))))))))))))))))</f>
        <v>0</v>
      </c>
      <c r="P97" s="534">
        <f>IF($S$84=61,PR!$BQ$77,IF($S$84=62,PR!$BQ$78,IF($S$84=63,PR!$BQ$79,IF($S$84=64,PR!$BQ$80,IF($S$84=65,PR!$BQ$81,IF($S$84=66,PR!$BQ$82,IF($S$84=67,PR!$BQ$83,IF($S$84=68,PR!$BQ$84,IF($S$84=69,PR!$BQ$85,IF($S$84=70,PR!$BQ$86,IF($S$84=71,PR!$BQ$87,IF($S$84=72,PR!$BQ$88,IF($S$84=73,PR!$BQ$89,IF($S$84=74,PR!$BQ$90,IF($S$84=75,PR!$BQ$91,IF($S$84=76,PR!$BQ$92,IF($S$84=77,PR!$BQ$93,IF($S$84=78,PR!$BQ$94,IF($S$84=79,PR!$BQ$95,IF($S$84=80,PR!$BQ$96,IF($S$84=81,PR!$BQ$97,IF($S$84=82,PR!$BQ$98,IF($S$84=83,PR!$BQ$99,IF($S$84=84,PR!$BQ$100,IF($S$84=85,PR!$BQ$101,IF($S$84=86,PR!$BQ$102,IF($S$84=87,PR!$BQ$103,IF($S$84=88,PR!$BQ$104,IF($S$84=89,PR!$BQ$105,IF($S$84=90,PR!$BQ$106,IF($S$84=91,PR!$BQ$107,IF($S$84=92,PR!$BQ$108,IF($S$84=93,PR!$BQ$109,IF($S$84=94,PR!$BQ$110,IF($S$84=95,PR!$BQ$111,IF($S$84=96,PR!$BQ$112,IF($S$84=97,PR!$BQ$113,IF($S$84=98,PR!$BQ$114,IF($S$84=99,PR!$BQ$115,IF($S$84=100,PR!$BQ$116,IF($S$84=101,PR!$BQ$117,IF($S$84=102,PR!$BQ$118,IF($S$84=103,PR!$BQ$119,IF($S$84=104,PR!$BQ$120,IF($S$84=105,PR!$BQ$121,IF($S$84=106,PR!$BQ$122,IF($S$84=107,PR!$BQ$123,IF($S$84=108,PR!$BQ$124,IF($S$84=109,PR!$BQ$125,IF($S$84=110,PR!$BQ$126,IF($S$84=111,PR!$BQ$127,IF($S$84=112,PR!$BQ$128,IF($S$84=113,PR!$BQ$129,IF($S$84=114,PR!$BQ$130,IF($S$84=115,PR!$BQ$131,IF($S$84=116,PR!$BQ$132,IF($S$84=117,PR!$BQ$133,IF($S$84=118,PR!$BQ$136,IF($S$84=119,PR!$BQ$137,IF($S$84=120,PR!$BQ$138,"-"))))))))))))))))))))))))))))))))))))))))))))))))))))))))))))</f>
        <v>0</v>
      </c>
      <c r="Q97" s="534">
        <f>IF($S$84=61,PR!$BR$77,IF($S$84=62,PR!$BR$78,IF($S$84=63,PR!$BR$79,IF($S$84=64,PR!$BR$80,IF($S$84=65,PR!$BR$81,IF($S$84=66,PR!$BR$82,IF($S$84=67,PR!$BR$83,IF($S$84=68,PR!$BR$84,IF($S$84=69,PR!$BR$85,IF($S$84=70,PR!$BR$86,IF($S$84=71,PR!$BR$87,IF($S$84=72,PR!$BR$88,IF($S$84=73,PR!$BR$89,IF($S$84=74,PR!$BR$90,IF($S$84=75,PR!$BR$91,IF($S$84=76,PR!$BR$92,IF($S$84=77,PR!$BR$93,IF($S$84=78,PR!$BR$94,IF($S$84=79,PR!$BR$95,IF($S$84=80,PR!$BR$96,IF($S$84=81,PR!$BR$97,IF($S$84=82,PR!$BR$98,IF($S$84=83,PR!$BR$99,IF($S$84=84,PR!$BR$100,IF($S$84=85,PR!$BR$101,IF($S$84=86,PR!$BR$102,IF($S$84=87,PR!$BR$103,IF($S$84=88,PR!$BR$104,IF($S$84=89,PR!$BR$105,IF($S$84=90,PR!$BR$106,IF($S$84=91,PR!$BR$107,IF($S$84=92,PR!$BR$108,IF($S$84=93,PR!$BR$109,IF($S$84=94,PR!$BR$110,IF($S$84=95,PR!$BR$111,IF($S$84=96,PR!$BR$112,IF($S$84=97,PR!$BR$113,IF($S$84=98,PR!$BR$114,IF($S$84=99,PR!$BR$115,IF($S$84=100,PR!$BR$116,IF($S$84=101,PR!$BR$117,IF($S$84=102,PR!$BR$118,IF($S$84=103,PR!$BR$119,IF($S$84=104,PR!$BR$120,IF($S$84=105,PR!$BR$121,IF($S$84=106,PR!$BR$122,IF($S$84=107,PR!$BR$123,IF($S$84=108,PR!$BR$124,IF($S$84=109,PR!$BR$125,IF($S$84=110,PR!$BR$126,IF($S$84=111,PR!$BR$127,IF($S$84=112,PR!$BR$128,IF($S$84=113,PR!$BR$129,IF($S$84=114,PR!$BR$130,IF($S$84=115,PR!$BR$131,IF($S$84=116,PR!$BR$132,IF($S$84=117,PR!$BR$133,IF($S$84=118,PR!$BR$136,IF($S$84=119,PR!$BR$137,IF($S$84=120,PR!$BR$138,"-"))))))))))))))))))))))))))))))))))))))))))))))))))))))))))))</f>
        <v>0</v>
      </c>
      <c r="R97" s="534">
        <f>IF($S$84=61,PR!$BS$77,IF($S$84=62,PR!$BS$78,IF($S$84=63,PR!$BS$79,IF($S$84=64,PR!$BS$80,IF($S$84=65,PR!$BS$81,IF($S$84=66,PR!$BS$82,IF($S$84=67,PR!$BS$83,IF($S$84=68,PR!$BS$84,IF($S$84=69,PR!$BS$85,IF($S$84=70,PR!$BS$86,IF($S$84=71,PR!$BS$87,IF($S$84=72,PR!$BS$88,IF($S$84=73,PR!$BS$89,IF($S$84=74,PR!$BS$90,IF($S$84=75,PR!$BS$91,IF($S$84=76,PR!$BS$92,IF($S$84=77,PR!$BS$93,IF($S$84=78,PR!$BS$94,IF($S$84=79,PR!$BS$95,IF($S$84=80,PR!$BS$96,IF($S$84=81,PR!$BS$97,IF($S$84=82,PR!$BS$98,IF($S$84=83,PR!$BS$99,IF($S$84=84,PR!$BS$100,IF($S$84=85,PR!$BS$101,IF($S$84=86,PR!$BS$102,IF($S$84=87,PR!$BS$103,IF($S$84=88,PR!$BS$104,IF($S$84=89,PR!$BS$105,IF($S$84=90,PR!$BS$106,IF($S$84=91,PR!$BS$107,IF($S$84=92,PR!$BS$108,IF($S$84=93,PR!$BS$109,IF($S$84=94,PR!$BS$110,IF($S$84=95,PR!$BS$111,IF($S$84=96,PR!$BS$112,IF($S$84=97,PR!$BS$113,IF($S$84=98,PR!$BS$114,IF($S$84=99,PR!$BS$115,IF($S$84=100,PR!$BS$116,IF($S$84=101,PR!$BS$117,IF($S$84=102,PR!$BS$118,IF($S$84=103,PR!$BS$119,IF($S$84=104,PR!$BS$120,IF($S$84=105,PR!$BS$121,IF($S$84=106,PR!$BS$122,IF($S$84=107,PR!$BS$123,IF($S$84=108,PR!$BS$124,IF($S$84=109,PR!$BS$125,IF($S$84=110,PR!$BS$126,IF($S$84=111,PR!$BS$127,IF($S$84=112,PR!$BS$128,IF($S$84=113,PR!$BS$129,IF($S$84=114,PR!$BS$130,IF($S$84=115,PR!$BS$131,IF($S$84=116,PR!$BS$132,IF($S$84=117,PR!$BS$133,IF($S$84=118,PR!$BS$136,IF($S$84=119,PR!$BS$137,IF($S$84=120,PR!$BS$138,"-"))))))))))))))))))))))))))))))))))))))))))))))))))))))))))))</f>
        <v>0</v>
      </c>
      <c r="S97" s="518"/>
      <c r="T97" s="518"/>
      <c r="U97" s="518"/>
      <c r="V97" s="32"/>
      <c r="W97" s="32"/>
      <c r="X97" s="32"/>
      <c r="Y97" s="32"/>
      <c r="Z97" s="32"/>
    </row>
    <row r="98" spans="1:26" x14ac:dyDescent="0.25">
      <c r="A98" s="91"/>
      <c r="B98" s="518"/>
      <c r="C98" s="529"/>
      <c r="D98" s="518"/>
      <c r="E98" s="518"/>
      <c r="F98" s="518"/>
      <c r="G98" s="518"/>
      <c r="H98" s="518"/>
      <c r="I98" s="518"/>
      <c r="J98" s="518"/>
      <c r="K98" s="518"/>
      <c r="L98" s="518"/>
      <c r="M98" s="518"/>
      <c r="N98" s="518"/>
      <c r="O98" s="518"/>
      <c r="P98" s="518"/>
      <c r="Q98" s="518"/>
      <c r="R98" s="521"/>
      <c r="S98" s="518"/>
      <c r="T98" s="518"/>
      <c r="U98" s="518"/>
      <c r="V98" s="32"/>
      <c r="W98" s="32"/>
      <c r="X98" s="32"/>
      <c r="Y98" s="32"/>
      <c r="Z98" s="32"/>
    </row>
    <row r="99" spans="1:26" ht="30" x14ac:dyDescent="0.25">
      <c r="A99" s="91"/>
      <c r="B99" s="518"/>
      <c r="C99" s="529"/>
      <c r="D99" s="518"/>
      <c r="E99" s="518"/>
      <c r="F99" s="518"/>
      <c r="G99" s="518"/>
      <c r="H99" s="518"/>
      <c r="I99" s="518"/>
      <c r="J99" s="518"/>
      <c r="K99" s="536" t="s">
        <v>783</v>
      </c>
      <c r="L99" s="537" t="s">
        <v>418</v>
      </c>
      <c r="M99" s="537" t="s">
        <v>419</v>
      </c>
      <c r="N99" s="538" t="s">
        <v>420</v>
      </c>
      <c r="O99" s="518"/>
      <c r="P99" s="518"/>
      <c r="Q99" s="518"/>
      <c r="R99" s="518"/>
      <c r="S99" s="518"/>
      <c r="T99" s="518"/>
      <c r="U99" s="518"/>
      <c r="V99" s="32"/>
      <c r="W99" s="32"/>
      <c r="X99" s="32"/>
      <c r="Y99" s="32"/>
      <c r="Z99" s="32"/>
    </row>
    <row r="100" spans="1:26" x14ac:dyDescent="0.25">
      <c r="A100" s="91"/>
      <c r="B100" s="518"/>
      <c r="C100" s="529"/>
      <c r="D100" s="518"/>
      <c r="E100" s="518"/>
      <c r="F100" s="518"/>
      <c r="G100" s="518"/>
      <c r="H100" s="518"/>
      <c r="I100" s="518"/>
      <c r="J100" s="518"/>
      <c r="K100" s="521" t="s">
        <v>785</v>
      </c>
      <c r="L100" s="518"/>
      <c r="M100" s="518"/>
      <c r="N100" s="518"/>
      <c r="O100" s="518"/>
      <c r="P100" s="518"/>
      <c r="Q100" s="518"/>
      <c r="R100" s="518"/>
      <c r="S100" s="518"/>
      <c r="T100" s="518"/>
      <c r="U100" s="518"/>
      <c r="V100" s="32"/>
      <c r="W100" s="32"/>
      <c r="X100" s="32"/>
      <c r="Y100" s="32"/>
      <c r="Z100" s="32"/>
    </row>
    <row r="101" spans="1:26" x14ac:dyDescent="0.25">
      <c r="A101" s="32"/>
      <c r="B101" s="32"/>
      <c r="C101" s="96"/>
      <c r="D101" s="32"/>
      <c r="E101" s="32"/>
      <c r="F101" s="32"/>
      <c r="G101" s="32"/>
      <c r="H101" s="32"/>
      <c r="I101" s="32"/>
      <c r="J101" s="32"/>
      <c r="K101" s="97">
        <v>61</v>
      </c>
      <c r="L101" s="98" t="s">
        <v>821</v>
      </c>
      <c r="M101" s="99" t="s">
        <v>634</v>
      </c>
      <c r="N101" s="100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x14ac:dyDescent="0.2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97">
        <f>1+K101</f>
        <v>62</v>
      </c>
      <c r="L102" s="98" t="s">
        <v>617</v>
      </c>
      <c r="M102" s="99" t="s">
        <v>821</v>
      </c>
      <c r="N102" s="100" t="s">
        <v>1233</v>
      </c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x14ac:dyDescent="0.2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97">
        <f t="shared" ref="K103:K160" si="2">1+K102</f>
        <v>63</v>
      </c>
      <c r="L103" s="98"/>
      <c r="M103" s="99"/>
      <c r="N103" s="100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x14ac:dyDescent="0.2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97">
        <f t="shared" si="2"/>
        <v>64</v>
      </c>
      <c r="L104" s="98" t="s">
        <v>821</v>
      </c>
      <c r="M104" s="99"/>
      <c r="N104" s="100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x14ac:dyDescent="0.2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97">
        <f t="shared" si="2"/>
        <v>65</v>
      </c>
      <c r="L105" s="98" t="s">
        <v>829</v>
      </c>
      <c r="M105" s="99" t="s">
        <v>821</v>
      </c>
      <c r="N105" s="100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x14ac:dyDescent="0.2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97">
        <f t="shared" si="2"/>
        <v>66</v>
      </c>
      <c r="L106" s="98" t="s">
        <v>821</v>
      </c>
      <c r="M106" s="99" t="s">
        <v>1446</v>
      </c>
      <c r="N106" s="100" t="s">
        <v>618</v>
      </c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x14ac:dyDescent="0.2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97">
        <f t="shared" si="2"/>
        <v>67</v>
      </c>
      <c r="L107" s="98" t="s">
        <v>1446</v>
      </c>
      <c r="M107" s="99"/>
      <c r="N107" s="100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x14ac:dyDescent="0.2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97">
        <f t="shared" si="2"/>
        <v>68</v>
      </c>
      <c r="L108" s="98" t="s">
        <v>1446</v>
      </c>
      <c r="M108" s="99"/>
      <c r="N108" s="100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x14ac:dyDescent="0.2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97">
        <f t="shared" si="2"/>
        <v>69</v>
      </c>
      <c r="L109" s="98" t="s">
        <v>1446</v>
      </c>
      <c r="M109" s="99" t="s">
        <v>821</v>
      </c>
      <c r="N109" s="100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x14ac:dyDescent="0.2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97">
        <f t="shared" si="2"/>
        <v>70</v>
      </c>
      <c r="L110" s="98" t="s">
        <v>1446</v>
      </c>
      <c r="M110" s="99" t="s">
        <v>821</v>
      </c>
      <c r="N110" s="100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x14ac:dyDescent="0.2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97">
        <f t="shared" si="2"/>
        <v>71</v>
      </c>
      <c r="L111" s="98" t="s">
        <v>1446</v>
      </c>
      <c r="M111" s="99" t="s">
        <v>821</v>
      </c>
      <c r="N111" s="100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x14ac:dyDescent="0.2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97">
        <f t="shared" si="2"/>
        <v>72</v>
      </c>
      <c r="L112" s="98"/>
      <c r="M112" s="99"/>
      <c r="N112" s="100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x14ac:dyDescent="0.2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97">
        <f t="shared" si="2"/>
        <v>73</v>
      </c>
      <c r="L113" s="98" t="s">
        <v>821</v>
      </c>
      <c r="M113" s="99"/>
      <c r="N113" s="100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x14ac:dyDescent="0.2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97">
        <f t="shared" si="2"/>
        <v>74</v>
      </c>
      <c r="L114" s="98" t="s">
        <v>821</v>
      </c>
      <c r="M114" s="99"/>
      <c r="N114" s="100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x14ac:dyDescent="0.2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97">
        <f t="shared" si="2"/>
        <v>75</v>
      </c>
      <c r="L115" s="98" t="s">
        <v>622</v>
      </c>
      <c r="M115" s="99" t="s">
        <v>821</v>
      </c>
      <c r="N115" s="100" t="s">
        <v>1450</v>
      </c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x14ac:dyDescent="0.2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97">
        <f t="shared" si="2"/>
        <v>76</v>
      </c>
      <c r="L116" s="98" t="s">
        <v>821</v>
      </c>
      <c r="M116" s="99" t="s">
        <v>622</v>
      </c>
      <c r="N116" s="100" t="s">
        <v>1450</v>
      </c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x14ac:dyDescent="0.2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97">
        <f t="shared" si="2"/>
        <v>77</v>
      </c>
      <c r="L117" s="98" t="s">
        <v>821</v>
      </c>
      <c r="M117" s="99" t="s">
        <v>632</v>
      </c>
      <c r="N117" s="100" t="s">
        <v>827</v>
      </c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x14ac:dyDescent="0.2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97">
        <f t="shared" si="2"/>
        <v>78</v>
      </c>
      <c r="L118" s="98" t="s">
        <v>1243</v>
      </c>
      <c r="M118" s="99" t="s">
        <v>821</v>
      </c>
      <c r="N118" s="100" t="s">
        <v>623</v>
      </c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x14ac:dyDescent="0.2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97">
        <f t="shared" si="2"/>
        <v>79</v>
      </c>
      <c r="L119" s="98" t="s">
        <v>1243</v>
      </c>
      <c r="M119" s="99" t="s">
        <v>827</v>
      </c>
      <c r="N119" s="100" t="s">
        <v>632</v>
      </c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x14ac:dyDescent="0.2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97">
        <f t="shared" si="2"/>
        <v>80</v>
      </c>
      <c r="L120" s="98" t="s">
        <v>619</v>
      </c>
      <c r="M120" s="99" t="s">
        <v>821</v>
      </c>
      <c r="N120" s="100" t="s">
        <v>622</v>
      </c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x14ac:dyDescent="0.2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97">
        <f t="shared" si="2"/>
        <v>81</v>
      </c>
      <c r="L121" s="98" t="s">
        <v>821</v>
      </c>
      <c r="M121" s="99"/>
      <c r="N121" s="100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x14ac:dyDescent="0.2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97">
        <f t="shared" si="2"/>
        <v>82</v>
      </c>
      <c r="L122" s="98" t="s">
        <v>821</v>
      </c>
      <c r="M122" s="99"/>
      <c r="N122" s="100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x14ac:dyDescent="0.2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97">
        <f t="shared" si="2"/>
        <v>83</v>
      </c>
      <c r="L123" s="98" t="s">
        <v>632</v>
      </c>
      <c r="M123" s="99" t="s">
        <v>821</v>
      </c>
      <c r="N123" s="100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x14ac:dyDescent="0.2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97">
        <f t="shared" si="2"/>
        <v>84</v>
      </c>
      <c r="L124" s="98" t="s">
        <v>632</v>
      </c>
      <c r="M124" s="99" t="s">
        <v>821</v>
      </c>
      <c r="N124" s="100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x14ac:dyDescent="0.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97">
        <f t="shared" si="2"/>
        <v>85</v>
      </c>
      <c r="L125" s="98" t="s">
        <v>632</v>
      </c>
      <c r="M125" s="99" t="s">
        <v>821</v>
      </c>
      <c r="N125" s="100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x14ac:dyDescent="0.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97">
        <f t="shared" si="2"/>
        <v>86</v>
      </c>
      <c r="L126" s="98" t="s">
        <v>632</v>
      </c>
      <c r="M126" s="99" t="s">
        <v>821</v>
      </c>
      <c r="N126" s="100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x14ac:dyDescent="0.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97">
        <f t="shared" si="2"/>
        <v>87</v>
      </c>
      <c r="L127" s="98" t="s">
        <v>821</v>
      </c>
      <c r="M127" s="99" t="s">
        <v>623</v>
      </c>
      <c r="N127" s="100" t="s">
        <v>616</v>
      </c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x14ac:dyDescent="0.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97">
        <f t="shared" si="2"/>
        <v>88</v>
      </c>
      <c r="L128" s="98" t="s">
        <v>616</v>
      </c>
      <c r="M128" s="99" t="s">
        <v>821</v>
      </c>
      <c r="N128" s="100" t="s">
        <v>621</v>
      </c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x14ac:dyDescent="0.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97">
        <f t="shared" si="2"/>
        <v>89</v>
      </c>
      <c r="L129" s="98" t="s">
        <v>1446</v>
      </c>
      <c r="M129" s="99"/>
      <c r="N129" s="100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x14ac:dyDescent="0.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97">
        <f t="shared" si="2"/>
        <v>90</v>
      </c>
      <c r="L130" s="98" t="s">
        <v>1446</v>
      </c>
      <c r="M130" s="99"/>
      <c r="N130" s="100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x14ac:dyDescent="0.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97">
        <f t="shared" si="2"/>
        <v>91</v>
      </c>
      <c r="L131" s="98" t="s">
        <v>1446</v>
      </c>
      <c r="M131" s="99"/>
      <c r="N131" s="100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x14ac:dyDescent="0.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97">
        <f t="shared" si="2"/>
        <v>92</v>
      </c>
      <c r="L132" s="98" t="s">
        <v>1446</v>
      </c>
      <c r="M132" s="99"/>
      <c r="N132" s="100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x14ac:dyDescent="0.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97">
        <f t="shared" si="2"/>
        <v>93</v>
      </c>
      <c r="L133" s="98" t="s">
        <v>1446</v>
      </c>
      <c r="M133" s="99"/>
      <c r="N133" s="100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x14ac:dyDescent="0.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97">
        <f t="shared" si="2"/>
        <v>94</v>
      </c>
      <c r="L134" s="98" t="s">
        <v>1446</v>
      </c>
      <c r="M134" s="99"/>
      <c r="N134" s="100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x14ac:dyDescent="0.2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97">
        <f t="shared" si="2"/>
        <v>95</v>
      </c>
      <c r="L135" s="98" t="s">
        <v>821</v>
      </c>
      <c r="M135" s="99"/>
      <c r="N135" s="100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x14ac:dyDescent="0.2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97">
        <f t="shared" si="2"/>
        <v>96</v>
      </c>
      <c r="L136" s="98" t="s">
        <v>821</v>
      </c>
      <c r="M136" s="99" t="s">
        <v>1446</v>
      </c>
      <c r="N136" s="100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x14ac:dyDescent="0.2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97">
        <f t="shared" si="2"/>
        <v>97</v>
      </c>
      <c r="L137" s="98" t="s">
        <v>821</v>
      </c>
      <c r="M137" s="99" t="s">
        <v>617</v>
      </c>
      <c r="N137" s="100" t="s">
        <v>616</v>
      </c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x14ac:dyDescent="0.2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97">
        <f t="shared" si="2"/>
        <v>98</v>
      </c>
      <c r="L138" s="98" t="s">
        <v>1233</v>
      </c>
      <c r="M138" s="99" t="s">
        <v>636</v>
      </c>
      <c r="N138" s="100" t="s">
        <v>618</v>
      </c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x14ac:dyDescent="0.2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97">
        <f t="shared" si="2"/>
        <v>99</v>
      </c>
      <c r="L139" s="98" t="s">
        <v>636</v>
      </c>
      <c r="M139" s="99" t="s">
        <v>821</v>
      </c>
      <c r="N139" s="100" t="s">
        <v>632</v>
      </c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x14ac:dyDescent="0.2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97">
        <f t="shared" si="2"/>
        <v>100</v>
      </c>
      <c r="L140" s="98"/>
      <c r="M140" s="99"/>
      <c r="N140" s="100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x14ac:dyDescent="0.2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97">
        <f t="shared" si="2"/>
        <v>101</v>
      </c>
      <c r="L141" s="98"/>
      <c r="M141" s="99"/>
      <c r="N141" s="100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x14ac:dyDescent="0.2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97">
        <f t="shared" si="2"/>
        <v>102</v>
      </c>
      <c r="L142" s="98"/>
      <c r="M142" s="99"/>
      <c r="N142" s="100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x14ac:dyDescent="0.2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97">
        <f t="shared" si="2"/>
        <v>103</v>
      </c>
      <c r="L143" s="98" t="s">
        <v>1243</v>
      </c>
      <c r="M143" s="99" t="s">
        <v>821</v>
      </c>
      <c r="N143" s="100" t="s">
        <v>618</v>
      </c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x14ac:dyDescent="0.2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97">
        <f t="shared" si="2"/>
        <v>104</v>
      </c>
      <c r="L144" s="98" t="s">
        <v>821</v>
      </c>
      <c r="M144" s="99" t="s">
        <v>1243</v>
      </c>
      <c r="N144" s="100" t="s">
        <v>618</v>
      </c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x14ac:dyDescent="0.2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97">
        <f t="shared" si="2"/>
        <v>105</v>
      </c>
      <c r="L145" s="98" t="s">
        <v>1450</v>
      </c>
      <c r="M145" s="99" t="s">
        <v>820</v>
      </c>
      <c r="N145" s="100" t="s">
        <v>622</v>
      </c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x14ac:dyDescent="0.2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97">
        <f t="shared" si="2"/>
        <v>106</v>
      </c>
      <c r="L146" s="98" t="s">
        <v>1246</v>
      </c>
      <c r="M146" s="99" t="s">
        <v>821</v>
      </c>
      <c r="N146" s="100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x14ac:dyDescent="0.2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97">
        <f t="shared" si="2"/>
        <v>107</v>
      </c>
      <c r="L147" s="98" t="s">
        <v>816</v>
      </c>
      <c r="M147" s="99" t="s">
        <v>618</v>
      </c>
      <c r="N147" s="100" t="s">
        <v>632</v>
      </c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x14ac:dyDescent="0.2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97">
        <f t="shared" si="2"/>
        <v>108</v>
      </c>
      <c r="L148" s="98"/>
      <c r="M148" s="99"/>
      <c r="N148" s="100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x14ac:dyDescent="0.2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97">
        <f t="shared" si="2"/>
        <v>109</v>
      </c>
      <c r="L149" s="98"/>
      <c r="M149" s="99"/>
      <c r="N149" s="100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x14ac:dyDescent="0.2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97">
        <f t="shared" si="2"/>
        <v>110</v>
      </c>
      <c r="L150" s="98" t="s">
        <v>824</v>
      </c>
      <c r="M150" s="99" t="s">
        <v>618</v>
      </c>
      <c r="N150" s="100" t="s">
        <v>821</v>
      </c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x14ac:dyDescent="0.2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97">
        <f t="shared" si="2"/>
        <v>111</v>
      </c>
      <c r="L151" s="98" t="s">
        <v>632</v>
      </c>
      <c r="M151" s="99" t="s">
        <v>821</v>
      </c>
      <c r="N151" s="100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x14ac:dyDescent="0.2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97">
        <f t="shared" si="2"/>
        <v>112</v>
      </c>
      <c r="L152" s="98" t="s">
        <v>632</v>
      </c>
      <c r="M152" s="99" t="s">
        <v>821</v>
      </c>
      <c r="N152" s="100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x14ac:dyDescent="0.2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97">
        <f t="shared" si="2"/>
        <v>113</v>
      </c>
      <c r="L153" s="98" t="s">
        <v>632</v>
      </c>
      <c r="M153" s="99" t="s">
        <v>821</v>
      </c>
      <c r="N153" s="100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x14ac:dyDescent="0.2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97">
        <f t="shared" si="2"/>
        <v>114</v>
      </c>
      <c r="L154" s="98" t="s">
        <v>632</v>
      </c>
      <c r="M154" s="99" t="s">
        <v>821</v>
      </c>
      <c r="N154" s="100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x14ac:dyDescent="0.2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97">
        <f t="shared" si="2"/>
        <v>115</v>
      </c>
      <c r="L155" s="98"/>
      <c r="M155" s="99"/>
      <c r="N155" s="100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x14ac:dyDescent="0.2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97">
        <f t="shared" si="2"/>
        <v>116</v>
      </c>
      <c r="L156" s="98" t="s">
        <v>636</v>
      </c>
      <c r="M156" s="99"/>
      <c r="N156" s="100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x14ac:dyDescent="0.2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97">
        <f t="shared" si="2"/>
        <v>117</v>
      </c>
      <c r="L157" s="98"/>
      <c r="M157" s="99"/>
      <c r="N157" s="100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x14ac:dyDescent="0.2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97">
        <f t="shared" si="2"/>
        <v>118</v>
      </c>
      <c r="L158" s="98" t="s">
        <v>620</v>
      </c>
      <c r="M158" s="99" t="s">
        <v>821</v>
      </c>
      <c r="N158" s="100" t="s">
        <v>633</v>
      </c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x14ac:dyDescent="0.2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97">
        <f t="shared" si="2"/>
        <v>119</v>
      </c>
      <c r="L159" s="98" t="s">
        <v>632</v>
      </c>
      <c r="M159" s="99" t="s">
        <v>821</v>
      </c>
      <c r="N159" s="100" t="s">
        <v>820</v>
      </c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x14ac:dyDescent="0.2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97">
        <f t="shared" si="2"/>
        <v>120</v>
      </c>
      <c r="L160" s="98" t="s">
        <v>821</v>
      </c>
      <c r="M160" s="99" t="s">
        <v>615</v>
      </c>
      <c r="N160" s="100" t="s">
        <v>632</v>
      </c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x14ac:dyDescent="0.2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x14ac:dyDescent="0.2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x14ac:dyDescent="0.2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x14ac:dyDescent="0.2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x14ac:dyDescent="0.2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x14ac:dyDescent="0.25">
      <c r="A166" s="32"/>
      <c r="F166" s="428"/>
      <c r="G166" s="427"/>
      <c r="J166" s="428" t="s">
        <v>786</v>
      </c>
      <c r="V166" s="32"/>
      <c r="W166" s="32"/>
      <c r="X166" s="32"/>
      <c r="Y166" s="32"/>
      <c r="Z166" s="32"/>
    </row>
    <row r="167" spans="1:26" ht="36.75" thickBot="1" x14ac:dyDescent="0.6">
      <c r="A167" s="92"/>
      <c r="B167" s="517"/>
      <c r="C167" s="518"/>
      <c r="D167" s="518"/>
      <c r="E167" s="518"/>
      <c r="F167" s="518"/>
      <c r="G167" s="518"/>
      <c r="H167" s="519" t="str">
        <f>IF($S$168&gt;=1055,"LOT 21 LABORATORY REQUIREMENT - OBADA ANNEX",IF($S$168&gt;=1039,"LOT 21 - LABORATORY REQUIREMENT - SHAJE ANNEX",IF($S$168&gt;=981,"LOT 20 - LABORATORY - CHEMICAL PATHOLOGY",IF($S$168&gt;=974,"LOT 19 - MICROBIOLOGY - INFECTION CONTROL",IF($S$168&gt;=957,"LOT 19 - MICROBIOLOGY - SENSITIVITY DISCS",IF($S$168&gt;=902,"LOT 18 - MICROBIOLOGY - REAGENT KITS",IF($S$168&gt;=846,"LOT 17 - HISTOPATHOLOGY",IF($S$168&gt;=760,"LOT 16 - HAEMATOLOGY",IF($S$168&gt;=722,"LOT 15 - THEATRE DEPARTMENT",IF($S$168&gt;=709,"LOT 14 - RADIOLOGY DEPARTMENT",IF($S$168&gt;=702,"LOT 13 - PHARMACY - CONSUMABLES - SUTURES",IF($S$168&gt;=684,"LOT 13 - PHARMACY - CONSUMABLES",IF($S$168&gt;=669,"LOT 13 PHARMACY - DISINFECTANTS",IF($S$168&gt;=651,"LOT 13 - PHARMACY - DERMATOLOGICAL PREPARATIONS",IF($S$168&gt;=570,"LOT 13 - PHARMACY - DRESSINGS/CONSUMABLES",IF($S$168&gt;=539,"LOT 12 - PHARMACY - ONCOLOGY DRUGS",IF($S$168&gt;=494,"LOT 11 - PHARMACY - EYE/EAR MEDICATIONS",IF($S$168&gt;=455,"LOT 10 - PHARMACY - RESPIRATORY TRACT DRUGS",IF($S$168&gt;=424,"LOT 9 - PHARMACY GASTROINTESTINAL DRUGS",IF($S$168&gt;=381,"LOT 8 - PHARMACY -OBSTETRICS/GYNAECOLOGY DRUGS",IF($S$168&gt;=351,"LOT 7 - PHARMACY - HYPNOSEDATIVE DRUGS",IF($S$168&gt;=285,"LOT 6 PHARMACY - BLOOD &amp; NUTRITIONAL DRUGS",IF($S$168&gt;=194,"LOT 5 - PHARMACY - ANTI-INFECTIVE AGENTS",IF($S$168&gt;=142,"LOT 4 - PHARMACY - ANTI-INFLAMMATORY/ANTI-PYRETIC/ANALGESICS",IF($S$168&gt;=118,"LOT 3 - PHARMACY - ORAL HYPOGLYCAEMIC DRUGS",IF($S$168&gt;=34,"LOT 3 - PHARMACY - ANTI-HYPERTENSIVES",IF($S$168&gt;=19,"LOT 2 - PHARMACY - STERILE INTRAVENOUS FLUIDS",IF($S$168&gt;=1,"LOT 1 - PHARMACY - ANTI-MALARIALS","-"))))))))))))))))))))))))))))</f>
        <v>LOT 3 - PHARMACY - ORAL HYPOGLYCAEMIC DRUGS</v>
      </c>
      <c r="I167" s="520"/>
      <c r="J167" s="518"/>
      <c r="K167" s="518"/>
      <c r="L167" s="518"/>
      <c r="M167" s="518"/>
      <c r="N167" s="518"/>
      <c r="O167" s="518"/>
      <c r="P167" s="518"/>
      <c r="Q167" s="518"/>
      <c r="R167" s="521"/>
      <c r="S167" s="518"/>
      <c r="T167" s="518"/>
      <c r="U167" s="518"/>
      <c r="V167" s="32"/>
      <c r="W167" s="32"/>
      <c r="X167" s="32"/>
      <c r="Y167" s="32"/>
      <c r="Z167" s="32"/>
    </row>
    <row r="168" spans="1:26" ht="43.5" customHeight="1" thickBot="1" x14ac:dyDescent="0.7">
      <c r="A168" s="95" t="s">
        <v>779</v>
      </c>
      <c r="B168" s="522"/>
      <c r="C168" s="540" t="str">
        <f>IF($S$168=121,PR!$B$139,IF($S$168=122,PR!$B$140,IF($S$168=123,PR!$B$141,IF($S$168=124,PR!$B$142,IF($S$168=125,PR!$B$143,IF($S$168=126,PR!$B$144,IF($S$168=127,PR!$B$145,IF($S$168=128,PR!$B$146,IF($S$168=129,PR!$B$147,IF($S$168=130,PR!$B$148,IF($S$168=131,PR!$B$149,IF($S$168=132,PR!$B$150,IF($S$168=133,PR!$B$151,IF($S$168=134,PR!$B$152,IF($S$168=135,PR!$B$153,IF($S$168=136,PR!$B$154,IF($S$168=137,PR!$B$155,IF($S$168=138,PR!$B$156,IF($S$168=139,PR!$B$157,IF($S$168=140,PR!$B$158,IF($S$168=141,PR!$B$159,IF($S$168=142,PR!$B$163,IF($S$168=143,PR!$B$164,IF($S$168=144,PR!$B$165,IF($S$168=145,PR!$B$166,IF($S$168=146,PR!$B$167,IF($S$168=147,PR!$B$168,IF($S$168=148,PR!$B$169,IF($S$168=149,PR!$B$170,IF($S$168=150,PR!$B$171,IF($S$168=151,PR!$B$172,IF($S$168=152,PR!$B$173,IF($S$168=153,PR!$B$174,IF($S$168=154,PR!$B$175,IF($S$168=155,PR!$B$176,IF($S$168=156,PR!$B$177,IF($S$168=157,PR!$B$178,IF($S$168=158,PR!$B$179,IF($S$168=159,PR!$B$180,IF($S$168=160,PR!$B$181,IF($S$168=161,PR!$B$182,IF($S$168=162,PR!$B$183,IF($S$168=163,PR!$B$184,IF($S$168=164,PR!$B$185,IF($S$168=165,PR!$B$186,IF($S$168=166,PR!$B$187,IF($S$168=167,PR!$B$188,IF($S$168=168,PR!$B$189,IF($S$168=169,PR!$B$190,IF($S$168=170,PR!$B$191,IF($S$168=171,PR!$B$192,IF($S$168=172,PR!$B$193,IF($S$168=173,PR!$B$194,IF($S$168=174,PR!$B$195,IF($S$168=175,PR!$B$196,IF($S$168=176,PR!$B$197,IF($S$168=177,PR!$B$198,IF($S$168=178,PR!$B$199,IF($S$168=179,PR!$B$200,IF($S$168=180,PR!$B$201,"-"))))))))))))))))))))))))))))))))))))))))))))))))))))))))))))</f>
        <v>METFORMIN HCL 1000MG TAB</v>
      </c>
      <c r="D168" s="541"/>
      <c r="E168" s="541"/>
      <c r="F168" s="541"/>
      <c r="G168" s="541"/>
      <c r="H168" s="541"/>
      <c r="I168" s="541"/>
      <c r="J168" s="541"/>
      <c r="K168" s="541"/>
      <c r="L168" s="541"/>
      <c r="M168" s="541"/>
      <c r="N168" s="541"/>
      <c r="O168" s="541"/>
      <c r="P168" s="542"/>
      <c r="Q168" s="543"/>
      <c r="R168" s="521"/>
      <c r="S168" s="106">
        <v>133</v>
      </c>
      <c r="T168" s="518"/>
      <c r="U168" s="518"/>
      <c r="V168" s="32"/>
      <c r="W168" s="32"/>
      <c r="X168" s="32"/>
      <c r="Y168" s="32"/>
      <c r="Z168" s="32"/>
    </row>
    <row r="169" spans="1:26" ht="35.25" customHeight="1" thickBot="1" x14ac:dyDescent="0.7">
      <c r="A169" s="91"/>
      <c r="B169" s="518"/>
      <c r="C169" s="526" t="s">
        <v>780</v>
      </c>
      <c r="D169" s="798">
        <f>IF($S$168=121,PR!$D$139,IF($S$168=122,PR!$D$140,IF($S$168=123,PR!$D$141,IF($S$168=124,PR!$D$142,IF($S$168=125,PR!$D$143,IF($S$168=126,PR!$D$144,IF($S$168=127,PR!$D$145,IF($S$168=128,PR!$D$146,IF($S$168=129,PR!$D$147,IF($S$168=130,PR!$D$148,IF($S$168=131,PR!$D$149,IF($S$168=132,PR!$D$150,IF($S$168=133,PR!$D$151,IF($S$168=134,PR!$D$152,IF($S$168=135,PR!$D$153,IF($S$168=136,PR!$D$154,IF($S$168=137,PR!$D$155,IF($S$168=138,PR!$D$156,IF($S$168=139,PR!$D$157,IF($S$168=140,PR!$D$158,IF($S$168=141,PR!$D$159,IF($S$168=142,PR!$D$163,IF($S$168=143,PR!$D$164,IF($S$168=144,PR!$D$165,IF($S$168=145,PR!$D$166,IF($S$168=146,PR!$D$167,IF($S$168=147,PR!$D$168,IF($S$168=148,PR!$D$169,IF($S$168=149,PR!$D$170,IF($S$168=150,PR!$D$171,IF($S$168=151,PR!$D$172,IF($S$168=152,PR!$D$173,IF($S$168=153,PR!$D$174,IF($S$168=154,PR!$D$175,IF($S$168=155,PR!$D$176,IF($S$168=156,PR!$D$177,IF($S$168=157,PR!$D$178,IF($S$168=158,PR!$D$179,IF($S$168=159,PR!$D$180,IF($S$168=160,PR!$D$181,IF($S$168=161,PR!$D$182,IF($S$168=162,PR!$D$183,IF($S$168=163,PR!$D$184,IF($S$168=164,PR!$D$185,IF($S$168=165,PR!$D$186,IF($S$168=166,PR!$D$187,IF($S$168=167,PR!$D$188,IF($S$168=168,PR!$D$189,IF($S$168=169,PR!$D$190,IF($S$168=170,PR!$D$191,IF($S$168=171,PR!$D$192,IF($S$168=172,PR!$D$193,IF($S$168=173,PR!$D$194,IF($S$168=174,PR!$D$195,IF($S$168=175,PR!$D$196,IF($S$168=176,PR!$D$197,IF($S$168=177,PR!$D$198,IF($S$168=178,PR!$D$199,IF($S$168=179,PR!$D$200,IF($S$168=180,PR!$D$201,"-"))))))))))))))))))))))))))))))))))))))))))))))))))))))))))))</f>
        <v>100</v>
      </c>
      <c r="E169" s="798"/>
      <c r="F169" s="798"/>
      <c r="G169" s="802" t="s">
        <v>781</v>
      </c>
      <c r="H169" s="802"/>
      <c r="I169" s="802"/>
      <c r="J169" s="802"/>
      <c r="K169" s="798">
        <f>IF($S$168=121,PR!$C$139,IF($S$168=122,PR!$C$140,IF($S$168=123,PR!$C$141,IF($S$168=124,PR!$C$142,IF($S$168=125,PR!$C$143,IF($S$168=126,PR!$C$144,IF($S$168=127,PR!$C$145,IF($S$168=128,PR!$C$146,IF($S$168=129,PR!$C$147,IF($S$168=130,PR!$C$148,IF($S$168=131,PR!$C$149,IF($S$168=132,PR!$C$150,IF($S$168=133,PR!$C$151,IF($S$168=134,PR!$C$152,IF($S$168=135,PR!$C$153,IF($S$168=136,PR!$C$154,IF($S$168=137,PR!$C$155,IF($S$168=138,PR!$C$156,IF($S$168=139,PR!$C$157,IF($S$168=140,PR!$C$158,IF($S$168=141,PR!$C$159,IF($S$168=142,PR!$C$163,IF($S$168=143,PR!$C$164,IF($S$168=144,PR!$C$165,IF($S$168=145,PR!$C$166,IF($S$168=146,PR!$C$167,IF($S$168=147,PR!$C$168,IF($S$168=148,PR!$C$169,IF($S$168=149,PR!$C$170,IF($S$168=150,PR!$C$171,IF($S$168=151,PR!$C$172,IF($S$168=152,PR!$C$173,IF($S$168=153,PR!$C$174,IF($S$168=154,PR!$C$175,IF($S$168=155,PR!$C$176,IF($S$168=156,PR!$C$177,IF($S$168=157,PR!$C$178,IF($S$168=158,PR!$C$179,IF($S$168=159,PR!$C$180,IF($S$168=160,PR!$C$181,IF($S$168=161,PR!$C$182,IF($S$168=162,PR!$C$183,IF($S$168=163,PR!$C$184,IF($S$168=164,PR!$C$185,IF($S$168=165,PR!$C$186,IF($S$168=166,PR!$C$187,IF($S$168=167,PR!$C$188,IF($S$168=168,PR!$C$189,IF($S$168=169,PR!$C$190,IF($S$168=170,PR!$C$191,IF($S$168=171,PR!$C$192,IF($S$168=172,PR!$C$193,IF($S$168=173,PR!$C$194,IF($S$168=174,PR!$C$195,IF($S$168=175,PR!$C$196,IF($S$168=176,PR!$C$197,IF($S$168=177,PR!$C$198,IF($S$168=178,PR!$C$199,IF($S$168=179,PR!$C$200,IF($S$168=180,PR!$C$201,"-"))))))))))))))))))))))))))))))))))))))))))))))))))))))))))))</f>
        <v>2000</v>
      </c>
      <c r="L169" s="798"/>
      <c r="M169" s="798"/>
      <c r="N169" s="518"/>
      <c r="O169" s="518"/>
      <c r="P169" s="518"/>
      <c r="Q169" s="518"/>
      <c r="R169" s="521"/>
      <c r="S169" s="518"/>
      <c r="T169" s="518"/>
      <c r="U169" s="518"/>
      <c r="V169" s="32"/>
      <c r="W169" s="32"/>
      <c r="X169" s="32"/>
      <c r="Y169" s="32"/>
      <c r="Z169" s="32"/>
    </row>
    <row r="170" spans="1:26" ht="19.5" thickTop="1" x14ac:dyDescent="0.25">
      <c r="A170" s="91"/>
      <c r="B170" s="518"/>
      <c r="C170" s="527"/>
      <c r="D170" s="528"/>
      <c r="E170" s="518"/>
      <c r="F170" s="518"/>
      <c r="G170" s="529"/>
      <c r="H170" s="529"/>
      <c r="I170" s="529"/>
      <c r="J170" s="529"/>
      <c r="K170" s="530"/>
      <c r="L170" s="530"/>
      <c r="M170" s="518"/>
      <c r="N170" s="518"/>
      <c r="O170" s="518"/>
      <c r="P170" s="518"/>
      <c r="Q170" s="518"/>
      <c r="R170" s="521"/>
      <c r="S170" s="518"/>
      <c r="T170" s="518"/>
      <c r="U170" s="518"/>
      <c r="V170" s="32"/>
      <c r="W170" s="32"/>
      <c r="X170" s="32"/>
      <c r="Y170" s="32"/>
      <c r="Z170" s="32"/>
    </row>
    <row r="171" spans="1:26" ht="15.75" thickBot="1" x14ac:dyDescent="0.3">
      <c r="A171" s="94" t="s">
        <v>782</v>
      </c>
      <c r="B171" s="531"/>
      <c r="C171" s="531" t="str">
        <f>N!$C$4</f>
        <v>ALPHA</v>
      </c>
      <c r="D171" s="531" t="str">
        <f>N!$C$5</f>
        <v>ASSENE</v>
      </c>
      <c r="E171" s="531" t="str">
        <f>N!$C$6</f>
        <v>BIOFEM</v>
      </c>
      <c r="F171" s="531" t="str">
        <f>N!$C$7</f>
        <v>BIOMED</v>
      </c>
      <c r="G171" s="531" t="str">
        <f>N!$C$8</f>
        <v>CHI</v>
      </c>
      <c r="H171" s="531" t="str">
        <f>N!$C$9</f>
        <v>CLARION</v>
      </c>
      <c r="I171" s="531" t="str">
        <f>N!$C$10</f>
        <v>CODIX</v>
      </c>
      <c r="J171" s="531" t="str">
        <f>N!$C$11</f>
        <v>COSMADE</v>
      </c>
      <c r="K171" s="531" t="str">
        <f>N!$C$12</f>
        <v>SANCON</v>
      </c>
      <c r="L171" s="531" t="str">
        <f>N!$C$13</f>
        <v>DEVON</v>
      </c>
      <c r="M171" s="531" t="str">
        <f>N!$C$14</f>
        <v>DORTEMAG</v>
      </c>
      <c r="N171" s="531" t="str">
        <f>N!$C$15</f>
        <v>DGF</v>
      </c>
      <c r="O171" s="532" t="str">
        <f>N!$C$16</f>
        <v>DYNAMIC</v>
      </c>
      <c r="P171" s="531" t="str">
        <f>N!$C$17</f>
        <v>EMZOR</v>
      </c>
      <c r="Q171" s="531" t="str">
        <f>N!$C$18</f>
        <v>EUMATT</v>
      </c>
      <c r="R171" s="531" t="str">
        <f>N!$C$19</f>
        <v>FIDSON</v>
      </c>
      <c r="S171" s="531" t="str">
        <f>N!$C$20</f>
        <v>FCGLOBAL</v>
      </c>
      <c r="T171" s="518"/>
      <c r="U171" s="518"/>
      <c r="V171" s="32"/>
      <c r="W171" s="32"/>
      <c r="X171" s="32"/>
      <c r="Y171" s="32"/>
    </row>
    <row r="172" spans="1:26" ht="15.75" thickBot="1" x14ac:dyDescent="0.3">
      <c r="A172" s="93"/>
      <c r="B172" s="533"/>
      <c r="C172" s="544">
        <f>IF($S$168=121,PR!$E$139,IF($S$168=122,PR!$E$140,IF($S$168=123,PR!$E$141,IF($S$168=124,PR!$E$142,IF($S$168=125,PR!$E$143,IF($S$168=126,PR!$E$144,IF($S$168=127,PR!$E$145,IF($S$168=128,PR!$E$146,IF($S$168=129,PR!$E$147,IF($S$168=130,PR!$E$148,IF($S$168=131,PR!$E$149,IF($S$168=132,PR!$E$150,IF($S$168=133,PR!$E$151,IF($S$168=134,PR!$E$152,IF($S$168=135,PR!$E$153,IF($S$168=136,PR!$E$154,IF($S$168=137,PR!$E$155,IF($S$168=138,PR!$E$156,IF($S$168=139,PR!$E$157,IF($S$168=140,PR!$E$158,IF($S$168=141,PR!$E$159,IF($S$168=142,PR!$E$163,IF($S$168=143,PR!$E$164,IF($S$168=144,PR!$E$165,IF($S$168=145,PR!$E$166,IF($S$168=146,PR!$E$167,IF($S$168=147,PR!$E$168,IF($S$168=148,PR!$E$169,IF($S$168=149,PR!$E$170,IF($S$168=150,PR!$E$171,IF($S$168=151,PR!$E$172,IF($S$168=152,PR!$E$173,IF($S$168=153,PR!$E$174,IF($S$168=154,PR!$E$175,IF($S$168=155,PR!$E$176,IF($S$168=156,PR!$E$177,IF($S$168=157,PR!$E$178,IF($S$168=158,PR!$E$179,IF($S$168=159,PR!$E$180,IF($S$168=160,PR!$E$181,IF($S$168=161,PR!$E$182,IF($S$168=162,PR!$E$183,IF($S$168=163,PR!$E$184,IF($S$168=164,PR!$E$185,IF($S$168=165,PR!$E$186,IF($S$168=166,PR!$E$187,IF($S$168=167,PR!$E$188,IF($S$168=168,PR!$E$189,IF($S$168=169,PR!$E$190,IF($S$168=170,PR!$E$191,IF($S$168=171,PR!$E$192,IF($S$168=172,PR!$E$193,IF($S$168=173,PR!$E$194,IF($S$168=174,PR!$E$195,IF($S$168=175,PR!$E$196,IF($S$168=176,PR!$E$197,IF($S$168=177,PR!$E$198,IF($S$168=178,PR!$E$199,IF($S$168=179,PR!$E$200,IF($S$168=180,PR!$E$201,"-"))))))))))))))))))))))))))))))))))))))))))))))))))))))))))))</f>
        <v>0</v>
      </c>
      <c r="D172" s="544">
        <f>IF($S$168=121,PR!$F$139,IF($S$168=122,PR!$F$140,IF($S$168=123,PR!$F$141,IF($S$168=124,PR!$F$142,IF($S$168=125,PR!$F$143,IF($S$168=126,PR!$F$144,IF($S$168=127,PR!$F$145,IF($S$168=128,PR!$F$146,IF($S$168=129,PR!$F$147,IF($S$168=130,PR!$F$148,IF($S$168=131,PR!$F$149,IF($S$168=132,PR!$F$150,IF($S$168=133,PR!$F$151,IF($S$168=134,PR!$F$152,IF($S$168=135,PR!$F$153,IF($S$168=136,PR!$F$154,IF($S$168=137,PR!$F$155,IF($S$168=138,PR!$F$156,IF($S$168=139,PR!$F$157,IF($S$168=140,PR!$F$158,IF($S$168=141,PR!$F$159,IF($S$168=142,PR!$F$163,IF($S$168=143,PR!$F$164,IF($S$168=144,PR!$F$165,IF($S$168=145,PR!$F$166,IF($S$168=146,PR!$F$167,IF($S$168=147,PR!$F$168,IF($S$168=148,PR!$F$169,IF($S$168=149,PR!$F$170,IF($S$168=150,PR!$F$171,IF($S$168=151,PR!$F$172,IF($S$168=152,PR!$F$173,IF($S$168=153,PR!$F$174,IF($S$168=154,PR!$F$175,IF($S$168=155,PR!$F$176,IF($S$168=156,PR!$F$177,IF($S$168=157,PR!$F$178,IF($S$168=158,PR!$F$179,IF($S$168=159,PR!$F$180,IF($S$168=160,PR!$F$181,IF($S$168=161,PR!$F$182,IF($S$168=162,PR!$F$183,IF($S$168=163,PR!$F$184,IF($S$168=164,PR!$F$185,IF($S$168=165,PR!$F$186,IF($S$168=166,PR!$F$187,IF($S$168=167,PR!$F$188,IF($S$168=168,PR!$F$189,IF($S$168=169,PR!$F$190,IF($S$168=170,PR!$F$191,IF($S$168=171,PR!$F$192,IF($S$168=172,PR!$F$193,IF($S$168=173,PR!$F$194,IF($S$168=174,PR!$F$195,IF($S$168=175,PR!$F$196,IF($S$168=176,PR!$F$197,IF($S$168=177,PR!$F$198,IF($S$168=178,PR!$F$199,IF($S$168=179,PR!$F$200,IF($S$168=180,PR!$F$201,"-"))))))))))))))))))))))))))))))))))))))))))))))))))))))))))))</f>
        <v>0</v>
      </c>
      <c r="E172" s="544">
        <f>IF($S$168=121,PR!$G$139,IF($S$168=122,PR!$G$140,IF($S$168=123,PR!$G$141,IF($S$168=124,PR!$G$142,IF($S$168=125,PR!$G$143,IF($S$168=126,PR!$G$144,IF($S$168=127,PR!$G$145,IF($S$168=128,PR!$G$146,IF($S$168=129,PR!$G$147,IF($S$168=130,PR!$G$148,IF($S$168=131,PR!$G$149,IF($S$168=132,PR!$G$150,IF($S$168=133,PR!$G$151,IF($S$168=134,PR!$G$152,IF($S$168=135,PR!$G$153,IF($S$168=136,PR!$G$154,IF($S$168=137,PR!$G$155,IF($S$168=138,PR!$G$156,IF($S$168=139,PR!$G$157,IF($S$168=140,PR!$G$158,IF($S$168=141,PR!$G$159,IF($S$168=142,PR!$G$163,IF($S$168=143,PR!$G$164,IF($S$168=144,PR!$G$165,IF($S$168=145,PR!$G$166,IF($S$168=146,PR!$G$167,IF($S$168=147,PR!$G$168,IF($S$168=148,PR!$G$169,IF($S$168=149,PR!$G$170,IF($S$168=150,PR!$G$171,IF($S$168=151,PR!$G$172,IF($S$168=152,PR!$G$173,IF($S$168=153,PR!$G$174,IF($S$168=154,PR!$G$175,IF($S$168=155,PR!$G$176,IF($S$168=156,PR!$G$177,IF($S$168=157,PR!$G$178,IF($S$168=158,PR!$G$179,IF($S$168=159,PR!$G$180,IF($S$168=160,PR!$G$181,IF($S$168=161,PR!$G$182,IF($S$168=162,PR!$G$183,IF($S$168=163,PR!$G$184,IF($S$168=164,PR!$G$185,IF($S$168=165,PR!$G$186,IF($S$168=166,PR!$G$187,IF($S$168=167,PR!$G$188,IF($S$168=168,PR!$G$189,IF($S$168=169,PR!$G$190,IF($S$168=170,PR!$G$191,IF($S$168=171,PR!$G$192,IF($S$168=172,PR!$G$193,IF($S$168=173,PR!$G$194,IF($S$168=174,PR!$G$195,IF($S$168=175,PR!$G$196,IF($S$168=176,PR!$G$197,IF($S$168=177,PR!$G$198,IF($S$168=178,PR!$G$199,IF($S$168=179,PR!$G$200,IF($S$168=180,PR!$G$201,"-"))))))))))))))))))))))))))))))))))))))))))))))))))))))))))))</f>
        <v>0</v>
      </c>
      <c r="F172" s="544">
        <f>IF($S$168=121,PR!$H$139,IF($S$168=122,PR!$H$140,IF($S$168=123,PR!$H$141,IF($S$168=124,PR!$H$142,IF($S$168=125,PR!$H$143,IF($S$168=126,PR!$H$144,IF($S$168=127,PR!$H$145,IF($S$168=128,PR!$H$146,IF($S$168=129,PR!$H$147,IF($S$168=130,PR!$H$148,IF($S$168=131,PR!$H$149,IF($S$168=132,PR!$H$150,IF($S$168=133,PR!$H$151,IF($S$168=134,PR!$H$152,IF($S$168=135,PR!$H$153,IF($S$168=136,PR!$H$154,IF($S$168=137,PR!$H$155,IF($S$168=138,PR!$H$156,IF($S$168=139,PR!$H$157,IF($S$168=140,PR!$H$158,IF($S$168=141,PR!$H$159,IF($S$168=142,PR!$H$163,IF($S$168=143,PR!$H$164,IF($S$168=144,PR!$H$165,IF($S$168=145,PR!$H$166,IF($S$168=146,PR!$H$167,IF($S$168=147,PR!$H$168,IF($S$168=148,PR!$H$169,IF($S$168=149,PR!$H$170,IF($S$168=150,PR!$H$171,IF($S$168=151,PR!$H$172,IF($S$168=152,PR!$H$173,IF($S$168=153,PR!$H$174,IF($S$168=154,PR!$H$175,IF($S$168=155,PR!$H$176,IF($S$168=156,PR!$H$177,IF($S$168=157,PR!$H$178,IF($S$168=158,PR!$H$179,IF($S$168=159,PR!$H$180,IF($S$168=160,PR!$H$181,IF($S$168=161,PR!$H$182,IF($S$168=162,PR!$H$183,IF($S$168=163,PR!$H$184,IF($S$168=164,PR!$H$185,IF($S$168=165,PR!$H$186,IF($S$168=166,PR!$H$187,IF($S$168=167,PR!$H$188,IF($S$168=168,PR!$H$189,IF($S$168=169,PR!$H$190,IF($S$168=170,PR!$H$191,IF($S$168=171,PR!$H$192,IF($S$168=172,PR!$H$193,IF($S$168=173,PR!$H$194,IF($S$168=174,PR!$H$195,IF($S$168=175,PR!$H$196,IF($S$168=176,PR!$H$197,IF($S$168=177,PR!$H$198,IF($S$168=178,PR!$H$199,IF($S$168=179,PR!$H$200,IF($S$168=180,PR!$H$201,"-"))))))))))))))))))))))))))))))))))))))))))))))))))))))))))))</f>
        <v>0</v>
      </c>
      <c r="G172" s="544">
        <f>IF($S$168=121,PR!$I$139,IF($S$168=122,PR!$I$140,IF($S$168=123,PR!$I$141,IF($S$168=124,PR!$I$142,IF($S$168=125,PR!$I$143,IF($S$168=126,PR!$I$144,IF($S$168=127,PR!$I$145,IF($S$168=128,PR!$I$146,IF($S$168=129,PR!$I$147,IF($S$168=130,PR!$I$148,IF($S$168=131,PR!$I$149,IF($S$168=132,PR!$I$150,IF($S$168=133,PR!$I$151,IF($S$168=134,PR!$I$152,IF($S$168=135,PR!$I$153,IF($S$168=136,PR!$I$154,IF($S$168=137,PR!$I$155,IF($S$168=138,PR!$I$156,IF($S$168=139,PR!$I$157,IF($S$168=140,PR!$I$158,IF($S$168=141,PR!$I$159,IF($S$168=142,PR!$I$163,IF($S$168=143,PR!$I$164,IF($S$168=144,PR!$I$165,IF($S$168=145,PR!$I$166,IF($S$168=146,PR!$I$167,IF($S$168=147,PR!$I$168,IF($S$168=148,PR!$I$169,IF($S$168=149,PR!$I$170,IF($S$168=150,PR!$I$171,IF($S$168=151,PR!$I$172,IF($S$168=152,PR!$I$173,IF($S$168=153,PR!$I$174,IF($S$168=154,PR!$I$175,IF($S$168=155,PR!$I$176,IF($S$168=156,PR!$I$177,IF($S$168=157,PR!$I$178,IF($S$168=158,PR!$I$179,IF($S$168=159,PR!$I$180,IF($S$168=160,PR!$I$181,IF($S$168=161,PR!$I$182,IF($S$168=162,PR!$I$183,IF($S$168=163,PR!$I$184,IF($S$168=164,PR!$I$185,IF($S$168=165,PR!$I$186,IF($S$168=166,PR!$I$187,IF($S$168=167,PR!$I$188,IF($S$168=168,PR!$I$189,IF($S$168=169,PR!$I$190,IF($S$168=170,PR!$I$191,IF($S$168=171,PR!$I$192,IF($S$168=172,PR!$I$193,IF($S$168=173,PR!$I$194,IF($S$168=174,PR!$I$195,IF($S$168=175,PR!$I$196,IF($S$168=176,PR!$I$197,IF($S$168=177,PR!$I$198,IF($S$168=178,PR!$I$199,IF($S$168=179,PR!$I$200,IF($S$168=180,PR!$I$201,"-"))))))))))))))))))))))))))))))))))))))))))))))))))))))))))))</f>
        <v>0</v>
      </c>
      <c r="H172" s="544">
        <f>IF($S$168=121,PR!$J$139,IF($S$168=122,PR!$J$140,IF($S$168=123,PR!$J$141,IF($S$168=124,PR!$J$142,IF($S$168=125,PR!$J$143,IF($S$168=126,PR!$J$144,IF($S$168=127,PR!$J$145,IF($S$168=128,PR!$J$146,IF($S$168=129,PR!$J$147,IF($S$168=130,PR!$J$148,IF($S$168=131,PR!$J$149,IF($S$168=132,PR!$J$150,IF($S$168=133,PR!$J$151,IF($S$168=134,PR!$J$152,IF($S$168=135,PR!$J$153,IF($S$168=136,PR!$J$154,IF($S$168=137,PR!$J$155,IF($S$168=138,PR!$J$156,IF($S$168=139,PR!$J$157,IF($S$168=140,PR!$J$158,IF($S$168=141,PR!$J$159,IF($S$168=142,PR!$J$163,IF($S$168=143,PR!$J$164,IF($S$168=144,PR!$J$165,IF($S$168=145,PR!$J$166,IF($S$168=146,PR!$J$167,IF($S$168=147,PR!$J$168,IF($S$168=148,PR!$J$169,IF($S$168=149,PR!$J$170,IF($S$168=150,PR!$J$171,IF($S$168=151,PR!$J$172,IF($S$168=152,PR!$J$173,IF($S$168=153,PR!$J$174,IF($S$168=154,PR!$J$175,IF($S$168=155,PR!$J$176,IF($S$168=156,PR!$J$177,IF($S$168=157,PR!$J$178,IF($S$168=158,PR!$J$179,IF($S$168=159,PR!$J$180,IF($S$168=160,PR!$J$181,IF($S$168=161,PR!$J$182,IF($S$168=162,PR!$J$183,IF($S$168=163,PR!$J$184,IF($S$168=164,PR!$J$185,IF($S$168=165,PR!$J$186,IF($S$168=166,PR!$J$187,IF($S$168=167,PR!$J$188,IF($S$168=168,PR!$J$189,IF($S$168=169,PR!$J$190,IF($S$168=170,PR!$J$191,IF($S$168=171,PR!$J$192,IF($S$168=172,PR!$J$193,IF($S$168=173,PR!$J$194,IF($S$168=174,PR!$J$195,IF($S$168=175,PR!$J$196,IF($S$168=176,PR!$J$197,IF($S$168=177,PR!$J$198,IF($S$168=178,PR!$J$199,IF($S$168=179,PR!$J$200,IF($S$168=180,PR!$J$201,"-"))))))))))))))))))))))))))))))))))))))))))))))))))))))))))))</f>
        <v>0</v>
      </c>
      <c r="I172" s="544">
        <f>IF($S$168=121,PR!$K$139,IF($S$168=122,PR!$K$140,IF($S$168=123,PR!$K$141,IF($S$168=124,PR!$K$142,IF($S$168=125,PR!$K$143,IF($S$168=126,PR!$K$144,IF($S$168=127,PR!$K$145,IF($S$168=128,PR!$K$146,IF($S$168=129,PR!$K$147,IF($S$168=130,PR!$K$148,IF($S$168=131,PR!$K$149,IF($S$168=132,PR!$K$150,IF($S$168=133,PR!$K$151,IF($S$168=134,PR!$K$152,IF($S$168=135,PR!$K$153,IF($S$168=136,PR!$K$154,IF($S$168=137,PR!$K$155,IF($S$168=138,PR!$K$156,IF($S$168=139,PR!$K$157,IF($S$168=140,PR!$K$158,IF($S$168=141,PR!$K$159,IF($S$168=142,PR!$K$163,IF($S$168=143,PR!$K$164,IF($S$168=144,PR!$K$165,IF($S$168=145,PR!$K$166,IF($S$168=146,PR!$K$167,IF($S$168=147,PR!$K$168,IF($S$168=148,PR!$K$169,IF($S$168=149,PR!$K$170,IF($S$168=150,PR!$K$171,IF($S$168=151,PR!$K$172,IF($S$168=152,PR!$K$173,IF($S$168=153,PR!$K$174,IF($S$168=154,PR!$K$175,IF($S$168=155,PR!$K$176,IF($S$168=156,PR!$K$177,IF($S$168=157,PR!$K$178,IF($S$168=158,PR!$K$179,IF($S$168=159,PR!$K$180,IF($S$168=160,PR!$K$181,IF($S$168=161,PR!$K$182,IF($S$168=162,PR!$K$183,IF($S$168=163,PR!$K$184,IF($S$168=164,PR!$K$185,IF($S$168=165,PR!$K$186,IF($S$168=166,PR!$K$187,IF($S$168=167,PR!$K$188,IF($S$168=168,PR!$K$189,IF($S$168=169,PR!$K$190,IF($S$168=170,PR!$K$191,IF($S$168=171,PR!$K$192,IF($S$168=172,PR!$K$193,IF($S$168=173,PR!$K$194,IF($S$168=174,PR!$K$195,IF($S$168=175,PR!$K$196,IF($S$168=176,PR!$K$197,IF($S$168=177,PR!$K$198,IF($S$168=178,PR!$K$199,IF($S$168=179,PR!$K$200,IF($S$168=180,PR!$K$201,"-"))))))))))))))))))))))))))))))))))))))))))))))))))))))))))))</f>
        <v>0</v>
      </c>
      <c r="J172" s="544">
        <f>IF($S$168=121,PR!$L$139,IF($S$168=122,PR!$L$140,IF($S$168=123,PR!$L$141,IF($S$168=124,PR!$L$142,IF($S$168=125,PR!$L$143,IF($S$168=126,PR!$L$144,IF($S$168=127,PR!$L$145,IF($S$168=128,PR!$L$146,IF($S$168=129,PR!$L$147,IF($S$168=130,PR!$L$148,IF($S$168=131,PR!$L$149,IF($S$168=132,PR!$L$150,IF($S$168=133,PR!$L$151,IF($S$168=134,PR!$L$152,IF($S$168=135,PR!$L$153,IF($S$168=136,PR!$L$154,IF($S$168=137,PR!$L$155,IF($S$168=138,PR!$L$156,IF($S$168=139,PR!$L$157,IF($S$168=140,PR!$L$158,IF($S$168=141,PR!$L$159,IF($S$168=142,PR!$L$163,IF($S$168=143,PR!$L$164,IF($S$168=144,PR!$L$165,IF($S$168=145,PR!$L$166,IF($S$168=146,PR!$L$167,IF($S$168=147,PR!$L$168,IF($S$168=148,PR!$L$169,IF($S$168=149,PR!$L$170,IF($S$168=150,PR!$L$171,IF($S$168=151,PR!$L$172,IF($S$168=152,PR!$L$173,IF($S$168=153,PR!$L$174,IF($S$168=154,PR!$L$175,IF($S$168=155,PR!$L$176,IF($S$168=156,PR!$L$177,IF($S$168=157,PR!$L$178,IF($S$168=158,PR!$L$179,IF($S$168=159,PR!$L$180,IF($S$168=160,PR!$L$181,IF($S$168=161,PR!$L$182,IF($S$168=162,PR!$L$183,IF($S$168=163,PR!$L$184,IF($S$168=164,PR!$L$185,IF($S$168=165,PR!$L$186,IF($S$168=166,PR!$L$187,IF($S$168=167,PR!$L$188,IF($S$168=168,PR!$L$189,IF($S$168=169,PR!$L$190,IF($S$168=170,PR!$L$191,IF($S$168=171,PR!$L$192,IF($S$168=172,PR!$L$193,IF($S$168=173,PR!$L$194,IF($S$168=174,PR!$L$195,IF($S$168=175,PR!$L$196,IF($S$168=176,PR!$L$197,IF($S$168=177,PR!$L$198,IF($S$168=178,PR!$L$199,IF($S$168=179,PR!$L$200,IF($S$168=180,PR!$L$201,"-"))))))))))))))))))))))))))))))))))))))))))))))))))))))))))))</f>
        <v>0</v>
      </c>
      <c r="K172" s="544">
        <f>IF($S$168=121,PR!$M$139,IF($S$168=122,PR!$M$140,IF($S$168=123,PR!$M$141,IF($S$168=124,PR!$M$142,IF($S$168=125,PR!$M$143,IF($S$168=126,PR!$M$144,IF($S$168=127,PR!$M$145,IF($S$168=128,PR!$M$146,IF($S$168=129,PR!$M$147,IF($S$168=130,PR!$M$148,IF($S$168=131,PR!$M$149,IF($S$168=132,PR!$M$150,IF($S$168=133,PR!$M$151,IF($S$168=134,PR!$M$152,IF($S$168=135,PR!$M$153,IF($S$168=136,PR!$M$154,IF($S$168=137,PR!$M$155,IF($S$168=138,PR!$M$156,IF($S$168=139,PR!$M$157,IF($S$168=140,PR!$M$158,IF($S$168=141,PR!$M$159,IF($S$168=142,PR!$M$163,IF($S$168=143,PR!$M$164,IF($S$168=144,PR!$M$165,IF($S$168=145,PR!$M$166,IF($S$168=146,PR!$M$167,IF($S$168=147,PR!$M$168,IF($S$168=148,PR!$M$169,IF($S$168=149,PR!$M$170,IF($S$168=150,PR!$M$171,IF($S$168=151,PR!$M$172,IF($S$168=152,PR!$M$173,IF($S$168=153,PR!$M$174,IF($S$168=154,PR!$M$175,IF($S$168=155,PR!$M$176,IF($S$168=156,PR!$M$177,IF($S$168=157,PR!$M$178,IF($S$168=158,PR!$M$179,IF($S$168=159,PR!$M$180,IF($S$168=160,PR!$M$181,IF($S$168=161,PR!$M$182,IF($S$168=162,PR!$M$183,IF($S$168=163,PR!$M$184,IF($S$168=164,PR!$M$185,IF($S$168=165,PR!$M$186,IF($S$168=166,PR!$M$187,IF($S$168=167,PR!$M$188,IF($S$168=168,PR!$M$189,IF($S$168=169,PR!$M$190,IF($S$168=170,PR!$M$191,IF($S$168=171,PR!$M$192,IF($S$168=172,PR!$M$193,IF($S$168=173,PR!$M$194,IF($S$168=174,PR!$M$195,IF($S$168=175,PR!$M$196,IF($S$168=176,PR!$M$197,IF($S$168=177,PR!$M$198,IF($S$168=178,PR!$M$199,IF($S$168=179,PR!$M$200,IF($S$168=180,PR!$M$201,"-"))))))))))))))))))))))))))))))))))))))))))))))))))))))))))))</f>
        <v>0</v>
      </c>
      <c r="L172" s="544">
        <f>IF($S$168=121,PR!$N$139,IF($S$168=122,PR!$N$140,IF($S$168=123,PR!$N$141,IF($S$168=124,PR!$N$142,IF($S$168=125,PR!$N$143,IF($S$168=126,PR!$N$144,IF($S$168=127,PR!$N$145,IF($S$168=128,PR!$N$146,IF($S$168=129,PR!$N$147,IF($S$168=130,PR!$N$148,IF($S$168=131,PR!$N$149,IF($S$168=132,PR!$N$150,IF($S$168=133,PR!$N$151,IF($S$168=134,PR!$N$152,IF($S$168=135,PR!$N$153,IF($S$168=136,PR!$N$154,IF($S$168=137,PR!$N$155,IF($S$168=138,PR!$N$156,IF($S$168=139,PR!$N$157,IF($S$168=140,PR!$N$158,IF($S$168=141,PR!$N$159,IF($S$168=142,PR!$N$163,IF($S$168=143,PR!$N$164,IF($S$168=144,PR!$N$165,IF($S$168=145,PR!$N$166,IF($S$168=146,PR!$N$167,IF($S$168=147,PR!$N$168,IF($S$168=148,PR!$N$169,IF($S$168=149,PR!$N$170,IF($S$168=150,PR!$N$171,IF($S$168=151,PR!$N$172,IF($S$168=152,PR!$N$173,IF($S$168=153,PR!$N$174,IF($S$168=154,PR!$N$175,IF($S$168=155,PR!$N$176,IF($S$168=156,PR!$N$177,IF($S$168=157,PR!$N$178,IF($S$168=158,PR!$N$179,IF($S$168=159,PR!$N$180,IF($S$168=160,PR!$N$181,IF($S$168=161,PR!$N$182,IF($S$168=162,PR!$N$183,IF($S$168=163,PR!$N$184,IF($S$168=164,PR!$N$185,IF($S$168=165,PR!$N$186,IF($S$168=166,PR!$N$187,IF($S$168=167,PR!$N$188,IF($S$168=168,PR!$N$189,IF($S$168=169,PR!$N$190,IF($S$168=170,PR!$N$191,IF($S$168=171,PR!$N$192,IF($S$168=172,PR!$N$193,IF($S$168=173,PR!$N$194,IF($S$168=174,PR!$N$195,IF($S$168=175,PR!$N$196,IF($S$168=176,PR!$N$197,IF($S$168=177,PR!$N$198,IF($S$168=178,PR!$N$199,IF($S$168=179,PR!$N$200,IF($S$168=180,PR!$N$201,"-"))))))))))))))))))))))))))))))))))))))))))))))))))))))))))))</f>
        <v>0</v>
      </c>
      <c r="M172" s="544">
        <f>IF($S$168=121,PR!$O$139,IF($S$168=122,PR!$O$140,IF($S$168=123,PR!$O$141,IF($S$168=124,PR!$O$142,IF($S$168=125,PR!$O$143,IF($S$168=126,PR!$O$144,IF($S$168=127,PR!$O$145,IF($S$168=128,PR!$O$146,IF($S$168=129,PR!$O$147,IF($S$168=130,PR!$O$148,IF($S$168=131,PR!$O$149,IF($S$168=132,PR!$O$150,IF($S$168=133,PR!$O$151,IF($S$168=134,PR!$O$152,IF($S$168=135,PR!$O$153,IF($S$168=136,PR!$O$154,IF($S$168=137,PR!$O$155,IF($S$168=138,PR!$O$156,IF($S$168=139,PR!$O$157,IF($S$168=140,PR!$O$158,IF($S$168=141,PR!$O$159,IF($S$168=142,PR!$O$163,IF($S$168=143,PR!$O$164,IF($S$168=144,PR!$O$165,IF($S$168=145,PR!$O$166,IF($S$168=146,PR!$O$167,IF($S$168=147,PR!$O$168,IF($S$168=148,PR!$O$169,IF($S$168=149,PR!$O$170,IF($S$168=150,PR!$O$171,IF($S$168=151,PR!$O$172,IF($S$168=152,PR!$O$173,IF($S$168=153,PR!$O$174,IF($S$168=154,PR!$O$175,IF($S$168=155,PR!$O$176,IF($S$168=156,PR!$O$177,IF($S$168=157,PR!$O$178,IF($S$168=158,PR!$O$179,IF($S$168=159,PR!$O$180,IF($S$168=160,PR!$O$181,IF($S$168=161,PR!$O$182,IF($S$168=162,PR!$O$183,IF($S$168=163,PR!$O$184,IF($S$168=164,PR!$O$185,IF($S$168=165,PR!$O$186,IF($S$168=166,PR!$O$187,IF($S$168=167,PR!$O$188,IF($S$168=168,PR!$O$189,IF($S$168=169,PR!$O$190,IF($S$168=170,PR!$O$191,IF($S$168=171,PR!$O$192,IF($S$168=172,PR!$O$193,IF($S$168=173,PR!$O$194,IF($S$168=174,PR!$O$195,IF($S$168=175,PR!$O$196,IF($S$168=176,PR!$O$197,IF($S$168=177,PR!$O$198,IF($S$168=178,PR!$O$199,IF($S$168=179,PR!$O$200,IF($S$168=180,PR!$O$201,"-"))))))))))))))))))))))))))))))))))))))))))))))))))))))))))))</f>
        <v>0</v>
      </c>
      <c r="N172" s="544">
        <f>IF($S$168=121,PR!$P$139,IF($S$168=122,PR!$P$140,IF($S$168=123,PR!$P$141,IF($S$168=124,PR!$P$142,IF($S$168=125,PR!$P$143,IF($S$168=126,PR!$P$144,IF($S$168=127,PR!$P$145,IF($S$168=128,PR!$P$146,IF($S$168=129,PR!$P$147,IF($S$168=130,PR!$P$148,IF($S$168=131,PR!$P$149,IF($S$168=132,PR!$P$150,IF($S$168=133,PR!$P$151,IF($S$168=134,PR!$P$152,IF($S$168=135,PR!$P$153,IF($S$168=136,PR!$P$154,IF($S$168=137,PR!$P$155,IF($S$168=138,PR!$P$156,IF($S$168=139,PR!$P$157,IF($S$168=140,PR!$P$158,IF($S$168=141,PR!$P$159,IF($S$168=142,PR!$P$163,IF($S$168=143,PR!$P$164,IF($S$168=144,PR!$P$165,IF($S$168=145,PR!$P$166,IF($S$168=146,PR!$P$167,IF($S$168=147,PR!$P$168,IF($S$168=148,PR!$P$169,IF($S$168=149,PR!$P$170,IF($S$168=150,PR!$P$171,IF($S$168=151,PR!$P$172,IF($S$168=152,PR!$P$173,IF($S$168=153,PR!$P$174,IF($S$168=154,PR!$P$175,IF($S$168=155,PR!$P$176,IF($S$168=156,PR!$P$177,IF($S$168=157,PR!$P$178,IF($S$168=158,PR!$P$179,IF($S$168=159,PR!$P$180,IF($S$168=160,PR!$P$181,IF($S$168=161,PR!$P$182,IF($S$168=162,PR!$P$183,IF($S$168=163,PR!$P$184,IF($S$168=164,PR!$P$185,IF($S$168=165,PR!$P$186,IF($S$168=166,PR!$P$187,IF($S$168=167,PR!$P$188,IF($S$168=168,PR!$P$189,IF($S$168=169,PR!$P$190,IF($S$168=170,PR!$P$191,IF($S$168=171,PR!$P$192,IF($S$168=172,PR!$P$193,IF($S$168=173,PR!$P$194,IF($S$168=174,PR!$P$195,IF($S$168=175,PR!$P$196,IF($S$168=176,PR!$P$197,IF($S$168=177,PR!$P$198,IF($S$168=178,PR!$P$199,IF($S$168=179,PR!$P$200,IF($S$168=180,PR!$P$201,"-"))))))))))))))))))))))))))))))))))))))))))))))))))))))))))))</f>
        <v>0</v>
      </c>
      <c r="O172" s="544">
        <f>IF($S$168=121,PR!$Q$139,IF($S$168=122,PR!$Q$140,IF($S$168=123,PR!$Q$141,IF($S$168=124,PR!$Q$142,IF($S$168=125,PR!$Q$143,IF($S$168=126,PR!$Q$144,IF($S$168=127,PR!$Q$145,IF($S$168=128,PR!$Q$146,IF($S$168=129,PR!$Q$147,IF($S$168=130,PR!$Q$148,IF($S$168=131,PR!$Q$149,IF($S$168=132,PR!$Q$150,IF($S$168=133,PR!$Q$151,IF($S$168=134,PR!$Q$152,IF($S$168=135,PR!$Q$153,IF($S$168=136,PR!$Q$154,IF($S$168=137,PR!$Q$155,IF($S$168=138,PR!$Q$156,IF($S$168=139,PR!$Q$157,IF($S$168=140,PR!$Q$158,IF($S$168=141,PR!$Q$159,IF($S$168=142,PR!$Q$163,IF($S$168=143,PR!$Q$164,IF($S$168=144,PR!$Q$165,IF($S$168=145,PR!$Q$166,IF($S$168=146,PR!$Q$167,IF($S$168=147,PR!$Q$168,IF($S$168=148,PR!$Q$169,IF($S$168=149,PR!$Q$170,IF($S$168=150,PR!$Q$171,IF($S$168=151,PR!$Q$172,IF($S$168=152,PR!$Q$173,IF($S$168=153,PR!$Q$174,IF($S$168=154,PR!$Q$175,IF($S$168=155,PR!$Q$176,IF($S$168=156,PR!$Q$177,IF($S$168=157,PR!$Q$178,IF($S$168=158,PR!$Q$179,IF($S$168=159,PR!$Q$180,IF($S$168=160,PR!$Q$181,IF($S$168=161,PR!$Q$182,IF($S$168=162,PR!$Q$183,IF($S$168=163,PR!$Q$184,IF($S$168=164,PR!$Q$185,IF($S$168=165,PR!$Q$186,IF($S$168=166,PR!$Q$187,IF($S$168=167,PR!$Q$188,IF($S$168=168,PR!$Q$189,IF($S$168=169,PR!$Q$190,IF($S$168=170,PR!$Q$191,IF($S$168=171,PR!$Q$192,IF($S$168=172,PR!$Q$193,IF($S$168=173,PR!$Q$194,IF($S$168=174,PR!$Q$195,IF($S$168=175,PR!$Q$196,IF($S$168=176,PR!$Q$197,IF($S$168=177,PR!$Q$198,IF($S$168=178,PR!$Q$199,IF($S$168=179,PR!$Q$200,IF($S$168=180,PR!$Q$201,"-"))))))))))))))))))))))))))))))))))))))))))))))))))))))))))))</f>
        <v>0</v>
      </c>
      <c r="P172" s="544">
        <f>IF($S$168=121,PR!$R$139,IF($S$168=122,PR!$R$140,IF($S$168=123,PR!$R$141,IF($S$168=124,PR!$R$142,IF($S$168=125,PR!$R$143,IF($S$168=126,PR!$R$144,IF($S$168=127,PR!$R$145,IF($S$168=128,PR!$R$146,IF($S$168=129,PR!$R$147,IF($S$168=130,PR!$R$148,IF($S$168=131,PR!$R$149,IF($S$168=132,PR!$R$150,IF($S$168=133,PR!$R$151,IF($S$168=134,PR!$R$152,IF($S$168=135,PR!$R$153,IF($S$168=136,PR!$R$154,IF($S$168=137,PR!$R$155,IF($S$168=138,PR!$R$156,IF($S$168=139,PR!$R$157,IF($S$168=140,PR!$R$158,IF($S$168=141,PR!$R$159,IF($S$168=142,PR!$R$163,IF($S$168=143,PR!$R$164,IF($S$168=144,PR!$R$165,IF($S$168=145,PR!$R$166,IF($S$168=146,PR!$R$167,IF($S$168=147,PR!$R$168,IF($S$168=148,PR!$R$169,IF($S$168=149,PR!$R$170,IF($S$168=150,PR!$R$171,IF($S$168=151,PR!$R$172,IF($S$168=152,PR!$R$173,IF($S$168=153,PR!$R$174,IF($S$168=154,PR!$R$175,IF($S$168=155,PR!$R$176,IF($S$168=156,PR!$R$177,IF($S$168=157,PR!$R$178,IF($S$168=158,PR!$R$179,IF($S$168=159,PR!$R$180,IF($S$168=160,PR!$R$181,IF($S$168=161,PR!$R$182,IF($S$168=162,PR!$R$183,IF($S$168=163,PR!$R$184,IF($S$168=164,PR!$R$185,IF($S$168=165,PR!$R$186,IF($S$168=166,PR!$R$187,IF($S$168=167,PR!$R$188,IF($S$168=168,PR!$R$189,IF($S$168=169,PR!$R$190,IF($S$168=170,PR!$R$191,IF($S$168=171,PR!$R$192,IF($S$168=172,PR!$R$193,IF($S$168=173,PR!$R$194,IF($S$168=174,PR!$R$195,IF($S$168=175,PR!$R$196,IF($S$168=176,PR!$R$197,IF($S$168=177,PR!$R$198,IF($S$168=178,PR!$R$199,IF($S$168=179,PR!$R$200,IF($S$168=180,PR!$R$201,"-"))))))))))))))))))))))))))))))))))))))))))))))))))))))))))))</f>
        <v>0</v>
      </c>
      <c r="Q172" s="544">
        <f>IF($S$168=121,PR!$S$139,IF($S$168=122,PR!$S$140,IF($S$168=123,PR!$S$141,IF($S$168=124,PR!$S$142,IF($S$168=125,PR!$S$143,IF($S$168=126,PR!$S$144,IF($S$168=127,PR!$S$145,IF($S$168=128,PR!$S$146,IF($S$168=129,PR!$S$147,IF($S$168=130,PR!$S$148,IF($S$168=131,PR!$S$149,IF($S$168=132,PR!$S$150,IF($S$168=133,PR!$S$151,IF($S$168=134,PR!$S$152,IF($S$168=135,PR!$S$153,IF($S$168=136,PR!$S$154,IF($S$168=137,PR!$S$155,IF($S$168=138,PR!$S$156,IF($S$168=139,PR!$S$157,IF($S$168=140,PR!$S$158,IF($S$168=141,PR!$S$159,IF($S$168=142,PR!$S$163,IF($S$168=143,PR!$S$164,IF($S$168=144,PR!$S$165,IF($S$168=145,PR!$S$166,IF($S$168=146,PR!$S$167,IF($S$168=147,PR!$S$168,IF($S$168=148,PR!$S$169,IF($S$168=149,PR!$S$170,IF($S$168=150,PR!$S$171,IF($S$168=151,PR!$S$172,IF($S$168=152,PR!$S$173,IF($S$168=153,PR!$S$174,IF($S$168=154,PR!$S$175,IF($S$168=155,PR!$S$176,IF($S$168=156,PR!$S$177,IF($S$168=157,PR!$S$178,IF($S$168=158,PR!$S$179,IF($S$168=159,PR!$S$180,IF($S$168=160,PR!$S$181,IF($S$168=161,PR!$S$182,IF($S$168=162,PR!$S$183,IF($S$168=163,PR!$S$184,IF($S$168=164,PR!$S$185,IF($S$168=165,PR!$S$186,IF($S$168=166,PR!$S$187,IF($S$168=167,PR!$S$188,IF($S$168=168,PR!$S$189,IF($S$168=169,PR!$S$190,IF($S$168=170,PR!$S$191,IF($S$168=171,PR!$S$192,IF($S$168=172,PR!$S$193,IF($S$168=173,PR!$S$194,IF($S$168=174,PR!$S$195,IF($S$168=175,PR!$S$196,IF($S$168=176,PR!$S$197,IF($S$168=177,PR!$S$198,IF($S$168=178,PR!$S$199,IF($S$168=179,PR!$S$200,IF($S$168=180,PR!$S$201,"-"))))))))))))))))))))))))))))))))))))))))))))))))))))))))))))</f>
        <v>2500</v>
      </c>
      <c r="R172" s="544">
        <f>IF($S$168=121,PR!$T$139,IF($S$168=122,PR!$T$140,IF($S$168=123,PR!$T$141,IF($S$168=124,PR!$T$142,IF($S$168=125,PR!$T$143,IF($S$168=126,PR!$T$144,IF($S$168=127,PR!$T$145,IF($S$168=128,PR!$T$146,IF($S$168=129,PR!$T$147,IF($S$168=130,PR!$T$148,IF($S$168=131,PR!$T$149,IF($S$168=132,PR!$T$150,IF($S$168=133,PR!$T$151,IF($S$168=134,PR!$T$152,IF($S$168=135,PR!$T$153,IF($S$168=136,PR!$T$154,IF($S$168=137,PR!$T$155,IF($S$168=138,PR!$T$156,IF($S$168=139,PR!$T$157,IF($S$168=140,PR!$T$158,IF($S$168=141,PR!$T$159,IF($S$168=142,PR!$T$163,IF($S$168=143,PR!$T$164,IF($S$168=144,PR!$T$165,IF($S$168=145,PR!$T$166,IF($S$168=146,PR!$T$167,IF($S$168=147,PR!$T$168,IF($S$168=148,PR!$T$169,IF($S$168=149,PR!$T$170,IF($S$168=150,PR!$T$171,IF($S$168=151,PR!$T$172,IF($S$168=152,PR!$T$173,IF($S$168=153,PR!$T$174,IF($S$168=154,PR!$T$175,IF($S$168=155,PR!$T$176,IF($S$168=156,PR!$T$177,IF($S$168=157,PR!$T$178,IF($S$168=158,PR!$T$179,IF($S$168=159,PR!$T$180,IF($S$168=160,PR!$T$181,IF($S$168=161,PR!$T$182,IF($S$168=162,PR!$T$183,IF($S$168=163,PR!$T$184,IF($S$168=164,PR!$T$185,IF($S$168=165,PR!$T$186,IF($S$168=166,PR!$T$187,IF($S$168=167,PR!$T$188,IF($S$168=168,PR!$T$189,IF($S$168=169,PR!$T$190,IF($S$168=170,PR!$T$191,IF($S$168=171,PR!$T$192,IF($S$168=172,PR!$T$193,IF($S$168=173,PR!$T$194,IF($S$168=174,PR!$T$195,IF($S$168=175,PR!$T$196,IF($S$168=176,PR!$T$197,IF($S$168=177,PR!$T$198,IF($S$168=178,PR!$T$199,IF($S$168=179,PR!$T$200,IF($S$168=180,PR!$T$201,"-"))))))))))))))))))))))))))))))))))))))))))))))))))))))))))))</f>
        <v>0</v>
      </c>
      <c r="S172" s="544">
        <f>IF($S$168=121,PR!$U$139,IF($S$168=122,PR!$U$140,IF($S$168=123,PR!$U$141,IF($S$168=124,PR!$U$142,IF($S$168=125,PR!$U$143,IF($S$168=126,PR!$U$144,IF($S$168=127,PR!$U$145,IF($S$168=128,PR!$U$146,IF($S$168=129,PR!$U$147,IF($S$168=130,PR!$U$148,IF($S$168=131,PR!$U$149,IF($S$168=132,PR!$U$150,IF($S$168=133,PR!$U$151,IF($S$168=134,PR!$U$152,IF($S$168=135,PR!$U$153,IF($S$168=136,PR!$U$154,IF($S$168=137,PR!$U$155,IF($S$168=138,PR!$U$156,IF($S$168=139,PR!$U$157,IF($S$168=140,PR!$U$158,IF($S$168=141,PR!$U$159,IF($S$168=142,PR!$U$163,IF($S$168=143,PR!$U$164,IF($S$168=144,PR!$U$165,IF($S$168=145,PR!$U$166,IF($S$168=146,PR!$U$167,IF($S$168=147,PR!$U$168,IF($S$168=148,PR!$U$169,IF($S$168=149,PR!$U$170,IF($S$168=150,PR!$U$171,IF($S$168=151,PR!$U$172,IF($S$168=152,PR!$U$173,IF($S$168=153,PR!$U$174,IF($S$168=154,PR!$U$175,IF($S$168=155,PR!$U$176,IF($S$168=156,PR!$U$177,IF($S$168=157,PR!$U$178,IF($S$168=158,PR!$U$179,IF($S$168=159,PR!$U$180,IF($S$168=160,PR!$U$181,IF($S$168=161,PR!$U$182,IF($S$168=162,PR!$U$183,IF($S$168=163,PR!$U$184,IF($S$168=164,PR!$U$185,IF($S$168=165,PR!$U$186,IF($S$168=166,PR!$U$187,IF($S$168=167,PR!$U$188,IF($S$168=168,PR!$U$189,IF($S$168=169,PR!$U$190,IF($S$168=170,PR!$U$191,IF($S$168=171,PR!$U$192,IF($S$168=172,PR!$U$193,IF($S$168=173,PR!$U$194,IF($S$168=174,PR!$U$195,IF($S$168=175,PR!$U$196,IF($S$168=176,PR!$U$197,IF($S$168=177,PR!$U$198,IF($S$168=178,PR!$U$199,IF($S$168=179,PR!$U$200,IF($S$168=180,PR!$U$201,"-"))))))))))))))))))))))))))))))))))))))))))))))))))))))))))))</f>
        <v>0</v>
      </c>
      <c r="T172" s="518"/>
      <c r="U172" s="518"/>
      <c r="V172" s="32"/>
      <c r="W172" s="32"/>
      <c r="X172" s="32"/>
      <c r="Y172" s="32"/>
    </row>
    <row r="173" spans="1:26" x14ac:dyDescent="0.25">
      <c r="A173" s="91"/>
      <c r="B173" s="518"/>
      <c r="C173" s="545"/>
      <c r="D173" s="546"/>
      <c r="E173" s="546"/>
      <c r="F173" s="546"/>
      <c r="G173" s="546"/>
      <c r="H173" s="546"/>
      <c r="I173" s="546"/>
      <c r="J173" s="546"/>
      <c r="K173" s="546"/>
      <c r="L173" s="546"/>
      <c r="M173" s="546"/>
      <c r="N173" s="546"/>
      <c r="O173" s="546"/>
      <c r="P173" s="546"/>
      <c r="Q173" s="546"/>
      <c r="R173" s="547"/>
      <c r="S173" s="547"/>
      <c r="T173" s="518"/>
      <c r="U173" s="518"/>
      <c r="V173" s="32"/>
      <c r="W173" s="32"/>
      <c r="X173" s="32"/>
      <c r="Y173" s="32"/>
      <c r="Z173" s="32"/>
    </row>
    <row r="174" spans="1:26" ht="15.75" thickBot="1" x14ac:dyDescent="0.3">
      <c r="A174" s="91"/>
      <c r="B174" s="518"/>
      <c r="C174" s="548" t="str">
        <f>N!$C$21</f>
        <v>GENEITH</v>
      </c>
      <c r="D174" s="548" t="str">
        <f>N!$C$22</f>
        <v>GINOS</v>
      </c>
      <c r="E174" s="548" t="str">
        <f>N!$C$23</f>
        <v>GSK</v>
      </c>
      <c r="F174" s="548" t="str">
        <f>N!$C$24</f>
        <v>GLOBORG</v>
      </c>
      <c r="G174" s="548" t="str">
        <f>N!$C$25</f>
        <v>GOODNEWS</v>
      </c>
      <c r="H174" s="548" t="str">
        <f>N!$C$26</f>
        <v>GREENLIFE</v>
      </c>
      <c r="I174" s="548" t="str">
        <f>N!$C$27</f>
        <v>HLINE</v>
      </c>
      <c r="J174" s="548" t="str">
        <f>N!$C$28</f>
        <v>ROTECH</v>
      </c>
      <c r="K174" s="548" t="str">
        <f>N!$C$29</f>
        <v>ISN</v>
      </c>
      <c r="L174" s="548" t="str">
        <f>N!$C$30</f>
        <v>JAWA</v>
      </c>
      <c r="M174" s="548" t="str">
        <f>N!$C$31</f>
        <v>LAYO</v>
      </c>
      <c r="N174" s="548" t="str">
        <f>N!$C$32</f>
        <v>LEADWAY</v>
      </c>
      <c r="O174" s="548" t="str">
        <f>N!$C$33</f>
        <v>LHV</v>
      </c>
      <c r="P174" s="548" t="str">
        <f>N!$C$34</f>
        <v>MANOLA</v>
      </c>
      <c r="Q174" s="548" t="str">
        <f>N!$C$35</f>
        <v>MARCSON</v>
      </c>
      <c r="R174" s="548" t="str">
        <f>N!$C$36</f>
        <v>M&amp;B</v>
      </c>
      <c r="S174" s="548" t="str">
        <f>N!$C$37</f>
        <v>MTRUST</v>
      </c>
      <c r="T174" s="518"/>
      <c r="U174" s="518"/>
      <c r="V174" s="32"/>
      <c r="W174" s="32"/>
      <c r="X174" s="32"/>
      <c r="Y174" s="32"/>
      <c r="Z174" s="32"/>
    </row>
    <row r="175" spans="1:26" ht="15.75" thickBot="1" x14ac:dyDescent="0.3">
      <c r="A175" s="91"/>
      <c r="B175" s="518"/>
      <c r="C175" s="544">
        <f>IF($S$168=121,PR!$V$139,IF($S$168=122,PR!$V$140,IF($S$168=123,PR!$V$141,IF($S$168=124,PR!$V$142,IF($S$168=125,PR!$V$143,IF($S$168=126,PR!$V$144,IF($S$168=127,PR!$V$145,IF($S$168=128,PR!$V$146,IF($S$168=129,PR!$V$147,IF($S$168=130,PR!$V$148,IF($S$168=131,PR!$V$149,IF($S$168=132,PR!$V$150,IF($S$168=133,PR!$V$151,IF($S$168=134,PR!$V$152,IF($S$168=135,PR!$V$153,IF($S$168=136,PR!$V$154,IF($S$168=137,PR!$V$155,IF($S$168=138,PR!$V$156,IF($S$168=139,PR!$V$157,IF($S$168=140,PR!$V$158,IF($S$168=141,PR!$V$159,IF($S$168=142,PR!$V$163,IF($S$168=143,PR!$V$164,IF($S$168=144,PR!$V$165,IF($S$168=145,PR!$V$166,IF($S$168=146,PR!$V$167,IF($S$168=147,PR!$V$168,IF($S$168=148,PR!$V$169,IF($S$168=149,PR!$V$170,IF($S$168=150,PR!$V$171,IF($S$168=151,PR!$V$172,IF($S$168=152,PR!$V$173,IF($S$168=153,PR!$V$174,IF($S$168=154,PR!$V$175,IF($S$168=155,PR!$V$176,IF($S$168=156,PR!$V$177,IF($S$168=157,PR!$V$178,IF($S$168=158,PR!$V$179,IF($S$168=159,PR!$V$180,IF($S$168=160,PR!$V$181,IF($S$168=161,PR!$V$182,IF($S$168=162,PR!$V$183,IF($S$168=163,PR!$V$184,IF($S$168=164,PR!$V$185,IF($S$168=165,PR!$V$186,IF($S$168=166,PR!$V$187,IF($S$168=167,PR!$V$188,IF($S$168=168,PR!$V$189,IF($S$168=169,PR!$V$190,IF($S$168=170,PR!$V$191,IF($S$168=171,PR!$V$192,IF($S$168=172,PR!$V$193,IF($S$168=173,PR!$V$194,IF($S$168=174,PR!$V$195,IF($S$168=175,PR!$V$196,IF($S$168=176,PR!$V$197,IF($S$168=177,PR!$V$198,IF($S$168=178,PR!$V$199,IF($S$168=179,PR!$V$200,IF($S$168=180,PR!$V$201,"-"))))))))))))))))))))))))))))))))))))))))))))))))))))))))))))</f>
        <v>0</v>
      </c>
      <c r="D175" s="544">
        <f>IF($S$168=121,PR!$W$139,IF($S$168=122,PR!$W$140,IF($S$168=123,PR!$W$141,IF($S$168=124,PR!$W$142,IF($S$168=125,PR!$W$143,IF($S$168=126,PR!$W$144,IF($S$168=127,PR!$W$145,IF($S$168=128,PR!$W$146,IF($S$168=129,PR!$W$147,IF($S$168=130,PR!$W$148,IF($S$168=131,PR!$W$149,IF($S$168=132,PR!$W$150,IF($S$168=133,PR!$W$151,IF($S$168=134,PR!$W$152,IF($S$168=135,PR!$W$153,IF($S$168=136,PR!$W$154,IF($S$168=137,PR!$W$155,IF($S$168=138,PR!$W$156,IF($S$168=139,PR!$W$157,IF($S$168=140,PR!$W$158,IF($S$168=141,PR!$W$159,IF($S$168=142,PR!$W$163,IF($S$168=143,PR!$W$164,IF($S$168=144,PR!$W$165,IF($S$168=145,PR!$W$166,IF($S$168=146,PR!$W$167,IF($S$168=147,PR!$W$168,IF($S$168=148,PR!$W$169,IF($S$168=149,PR!$W$170,IF($S$168=150,PR!$W$171,IF($S$168=151,PR!$W$172,IF($S$168=152,PR!$W$173,IF($S$168=153,PR!$W$174,IF($S$168=154,PR!$W$175,IF($S$168=155,PR!$W$176,IF($S$168=156,PR!$W$177,IF($S$168=157,PR!$W$178,IF($S$168=158,PR!$W$179,IF($S$168=159,PR!$W$180,IF($S$168=160,PR!$W$181,IF($S$168=161,PR!$W$182,IF($S$168=162,PR!$W$183,IF($S$168=163,PR!$W$184,IF($S$168=164,PR!$W$185,IF($S$168=165,PR!$W$186,IF($S$168=166,PR!$W$187,IF($S$168=167,PR!$W$188,IF($S$168=168,PR!$W$189,IF($S$168=169,PR!$W$190,IF($S$168=170,PR!$W$191,IF($S$168=171,PR!$W$192,IF($S$168=172,PR!$W$193,IF($S$168=173,PR!$W$194,IF($S$168=174,PR!$W$195,IF($S$168=175,PR!$W$196,IF($S$168=176,PR!$W$197,IF($S$168=177,PR!$W$198,IF($S$168=178,PR!$W$199,IF($S$168=179,PR!$W$200,IF($S$168=180,PR!$W$201,"-"))))))))))))))))))))))))))))))))))))))))))))))))))))))))))))</f>
        <v>0</v>
      </c>
      <c r="E175" s="544">
        <f>IF($S$168=121,PR!$X$139,IF($S$168=122,PR!$X$140,IF($S$168=123,PR!$X$141,IF($S$168=124,PR!$X$142,IF($S$168=125,PR!$X$143,IF($S$168=126,PR!$X$144,IF($S$168=127,PR!$X$145,IF($S$168=128,PR!$X$146,IF($S$168=129,PR!$X$147,IF($S$168=130,PR!$X$148,IF($S$168=131,PR!$X$149,IF($S$168=132,PR!$X$150,IF($S$168=133,PR!$X$151,IF($S$168=134,PR!$X$152,IF($S$168=135,PR!$X$153,IF($S$168=136,PR!$X$154,IF($S$168=137,PR!$X$155,IF($S$168=138,PR!$X$156,IF($S$168=139,PR!$X$157,IF($S$168=140,PR!$X$158,IF($S$168=141,PR!$X$159,IF($S$168=142,PR!$X$163,IF($S$168=143,PR!$X$164,IF($S$168=144,PR!$X$165,IF($S$168=145,PR!$X$166,IF($S$168=146,PR!$X$167,IF($S$168=147,PR!$X$168,IF($S$168=148,PR!$X$169,IF($S$168=149,PR!$X$170,IF($S$168=150,PR!$X$171,IF($S$168=151,PR!$X$172,IF($S$168=152,PR!$X$173,IF($S$168=153,PR!$X$174,IF($S$168=154,PR!$X$175,IF($S$168=155,PR!$X$176,IF($S$168=156,PR!$X$177,IF($S$168=157,PR!$X$178,IF($S$168=158,PR!$X$179,IF($S$168=159,PR!$X$180,IF($S$168=160,PR!$X$181,IF($S$168=161,PR!$X$182,IF($S$168=162,PR!$X$183,IF($S$168=163,PR!$X$184,IF($S$168=164,PR!$X$185,IF($S$168=165,PR!$X$186,IF($S$168=166,PR!$X$187,IF($S$168=167,PR!$X$188,IF($S$168=168,PR!$X$189,IF($S$168=169,PR!$X$190,IF($S$168=170,PR!$X$191,IF($S$168=171,PR!$X$192,IF($S$168=172,PR!$X$193,IF($S$168=173,PR!$X$194,IF($S$168=174,PR!$X$195,IF($S$168=175,PR!$X$196,IF($S$168=176,PR!$X$197,IF($S$168=177,PR!$X$198,IF($S$168=178,PR!$X$199,IF($S$168=179,PR!$X$200,IF($S$168=180,PR!$X$201,"-"))))))))))))))))))))))))))))))))))))))))))))))))))))))))))))</f>
        <v>0</v>
      </c>
      <c r="F175" s="544">
        <f>IF($S$168=121,PR!$Y$139,IF($S$168=122,PR!$Y$140,IF($S$168=123,PR!$Y$141,IF($S$168=124,PR!$Y$142,IF($S$168=125,PR!$Y$143,IF($S$168=126,PR!$Y$144,IF($S$168=127,PR!$Y$145,IF($S$168=128,PR!$Y$146,IF($S$168=129,PR!$Y$147,IF($S$168=130,PR!$Y$148,IF($S$168=131,PR!$Y$149,IF($S$168=132,PR!$Y$150,IF($S$168=133,PR!$Y$151,IF($S$168=134,PR!$Y$152,IF($S$168=135,PR!$Y$153,IF($S$168=136,PR!$Y$154,IF($S$168=137,PR!$Y$155,IF($S$168=138,PR!$Y$156,IF($S$168=139,PR!$Y$157,IF($S$168=140,PR!$Y$158,IF($S$168=141,PR!$Y$159,IF($S$168=142,PR!$Y$163,IF($S$168=143,PR!$Y$164,IF($S$168=144,PR!$Y$165,IF($S$168=145,PR!$Y$166,IF($S$168=146,PR!$Y$167,IF($S$168=147,PR!$Y$168,IF($S$168=148,PR!$Y$169,IF($S$168=149,PR!$Y$170,IF($S$168=150,PR!$Y$171,IF($S$168=151,PR!$Y$172,IF($S$168=152,PR!$Y$173,IF($S$168=153,PR!$Y$174,IF($S$168=154,PR!$Y$175,IF($S$168=155,PR!$Y$176,IF($S$168=156,PR!$Y$177,IF($S$168=157,PR!$Y$178,IF($S$168=158,PR!$Y$179,IF($S$168=159,PR!$Y$180,IF($S$168=160,PR!$Y$181,IF($S$168=161,PR!$Y$182,IF($S$168=162,PR!$Y$183,IF($S$168=163,PR!$Y$184,IF($S$168=164,PR!$Y$185,IF($S$168=165,PR!$Y$186,IF($S$168=166,PR!$Y$187,IF($S$168=167,PR!$Y$188,IF($S$168=168,PR!$Y$189,IF($S$168=169,PR!$Y$190,IF($S$168=170,PR!$Y$191,IF($S$168=171,PR!$Y$192,IF($S$168=172,PR!$Y$193,IF($S$168=173,PR!$Y$194,IF($S$168=174,PR!$Y$195,IF($S$168=175,PR!$Y$196,IF($S$168=176,PR!$Y$197,IF($S$168=177,PR!$Y$198,IF($S$168=178,PR!$Y$199,IF($S$168=179,PR!$Y$200,IF($S$168=180,PR!$Y$201,"-"))))))))))))))))))))))))))))))))))))))))))))))))))))))))))))</f>
        <v>0</v>
      </c>
      <c r="G175" s="544">
        <f>IF($S$168=121,PR!$Z$139,IF($S$168=122,PR!$Z$140,IF($S$168=123,PR!$Z$141,IF($S$168=124,PR!$Z$142,IF($S$168=125,PR!$Z$143,IF($S$168=126,PR!$Z$144,IF($S$168=127,PR!$Z$145,IF($S$168=128,PR!$Z$146,IF($S$168=129,PR!$Z$147,IF($S$168=130,PR!$Z$148,IF($S$168=131,PR!$Z$149,IF($S$168=132,PR!$Z$150,IF($S$168=133,PR!$Z$151,IF($S$168=134,PR!$Z$152,IF($S$168=135,PR!$Z$153,IF($S$168=136,PR!$Z$154,IF($S$168=137,PR!$Z$155,IF($S$168=138,PR!$Z$156,IF($S$168=139,PR!$Z$157,IF($S$168=140,PR!$Z$158,IF($S$168=141,PR!$Z$159,IF($S$168=142,PR!$Z$163,IF($S$168=143,PR!$Z$164,IF($S$168=144,PR!$Z$165,IF($S$168=145,PR!$Z$166,IF($S$168=146,PR!$Z$167,IF($S$168=147,PR!$Z$168,IF($S$168=148,PR!$Z$169,IF($S$168=149,PR!$Z$170,IF($S$168=150,PR!$Z$171,IF($S$168=151,PR!$Z$172,IF($S$168=152,PR!$Z$173,IF($S$168=153,PR!$Z$174,IF($S$168=154,PR!$Z$175,IF($S$168=155,PR!$Z$176,IF($S$168=156,PR!$Z$177,IF($S$168=157,PR!$Z$178,IF($S$168=158,PR!$Z$179,IF($S$168=159,PR!$Z$180,IF($S$168=160,PR!$Z$181,IF($S$168=161,PR!$Z$182,IF($S$168=162,PR!$Z$183,IF($S$168=163,PR!$Z$184,IF($S$168=164,PR!$Z$185,IF($S$168=165,PR!$Z$186,IF($S$168=166,PR!$Z$187,IF($S$168=167,PR!$Z$188,IF($S$168=168,PR!$Z$189,IF($S$168=169,PR!$Z$190,IF($S$168=170,PR!$Z$191,IF($S$168=171,PR!$Z$192,IF($S$168=172,PR!$Z$193,IF($S$168=173,PR!$Z$194,IF($S$168=174,PR!$Z$195,IF($S$168=175,PR!$Z$196,IF($S$168=176,PR!$Z$197,IF($S$168=177,PR!$Z$198,IF($S$168=178,PR!$Z$199,IF($S$168=179,PR!$Z$200,IF($S$168=180,PR!$Z$201,"-"))))))))))))))))))))))))))))))))))))))))))))))))))))))))))))</f>
        <v>0</v>
      </c>
      <c r="H175" s="544">
        <f>IF($S$168=121,PR!$AA$139,IF($S$168=122,PR!$AA$140,IF($S$168=123,PR!$AA$141,IF($S$168=124,PR!$AA$142,IF($S$168=125,PR!$AA$143,IF($S$168=126,PR!$AA$144,IF($S$168=127,PR!$AA$145,IF($S$168=128,PR!$AA$146,IF($S$168=129,PR!$AA$147,IF($S$168=130,PR!$AA$148,IF($S$168=131,PR!$AA$149,IF($S$168=132,PR!$AA$150,IF($S$168=133,PR!$AA$151,IF($S$168=134,PR!$AA$152,IF($S$168=135,PR!$AA$153,IF($S$168=136,PR!$AA$154,IF($S$168=137,PR!$AA$155,IF($S$168=138,PR!$AA$156,IF($S$168=139,PR!$AA$157,IF($S$168=140,PR!$AA$158,IF($S$168=141,PR!$AA$159,IF($S$168=142,PR!$AA$163,IF($S$168=143,PR!$AA$164,IF($S$168=144,PR!$AA$165,IF($S$168=145,PR!$AA$166,IF($S$168=146,PR!$AA$167,IF($S$168=147,PR!$AA$168,IF($S$168=148,PR!$AA$169,IF($S$168=149,PR!$AA$170,IF($S$168=150,PR!$AA$171,IF($S$168=151,PR!$AA$172,IF($S$168=152,PR!$AA$173,IF($S$168=153,PR!$AA$174,IF($S$168=154,PR!$AA$175,IF($S$168=155,PR!$AA$176,IF($S$168=156,PR!$AA$177,IF($S$168=157,PR!$AA$178,IF($S$168=158,PR!$AA$179,IF($S$168=159,PR!$AA$180,IF($S$168=160,PR!$AA$181,IF($S$168=161,PR!$AA$182,IF($S$168=162,PR!$AA$183,IF($S$168=163,PR!$AA$184,IF($S$168=164,PR!$AA$185,IF($S$168=165,PR!$AA$186,IF($S$168=166,PR!$AA$187,IF($S$168=167,PR!$AA$188,IF($S$168=168,PR!$AA$189,IF($S$168=169,PR!$AA$190,IF($S$168=170,PR!$AA$191,IF($S$168=171,PR!$AA$192,IF($S$168=172,PR!$AA$193,IF($S$168=173,PR!$AA$194,IF($S$168=174,PR!$AA$195,IF($S$168=175,PR!$AA$196,IF($S$168=176,PR!$AA$197,IF($S$168=177,PR!$AA$198,IF($S$168=178,PR!$AA$199,IF($S$168=179,PR!$AA$200,IF($S$168=180,PR!$AA$201,"-"))))))))))))))))))))))))))))))))))))))))))))))))))))))))))))</f>
        <v>0</v>
      </c>
      <c r="I175" s="544">
        <f>IF($S$168=121,PR!$AB$139,IF($S$168=122,PR!$AB$140,IF($S$168=123,PR!$AB$141,IF($S$168=124,PR!$AB$142,IF($S$168=125,PR!$AB$143,IF($S$168=126,PR!$AB$144,IF($S$168=127,PR!$AB$145,IF($S$168=128,PR!$AB$146,IF($S$168=129,PR!$AB$147,IF($S$168=130,PR!$AB$148,IF($S$168=131,PR!$AB$149,IF($S$168=132,PR!$AB$150,IF($S$168=133,PR!$AB$151,IF($S$168=134,PR!$AB$152,IF($S$168=135,PR!$AB$153,IF($S$168=136,PR!$AB$154,IF($S$168=137,PR!$AB$155,IF($S$168=138,PR!$AB$156,IF($S$168=139,PR!$AB$157,IF($S$168=140,PR!$AB$158,IF($S$168=141,PR!$AB$159,IF($S$168=142,PR!$AB$163,IF($S$168=143,PR!$AB$164,IF($S$168=144,PR!$AB$165,IF($S$168=145,PR!$AB$166,IF($S$168=146,PR!$AB$167,IF($S$168=147,PR!$AB$168,IF($S$168=148,PR!$AB$169,IF($S$168=149,PR!$AB$170,IF($S$168=150,PR!$AB$171,IF($S$168=151,PR!$AB$172,IF($S$168=152,PR!$AB$173,IF($S$168=153,PR!$AB$174,IF($S$168=154,PR!$AB$175,IF($S$168=155,PR!$AB$176,IF($S$168=156,PR!$AB$177,IF($S$168=157,PR!$AB$178,IF($S$168=158,PR!$AB$179,IF($S$168=159,PR!$AB$180,IF($S$168=160,PR!$AB$181,IF($S$168=161,PR!$AB$182,IF($S$168=162,PR!$AB$183,IF($S$168=163,PR!$AB$184,IF($S$168=164,PR!$AB$185,IF($S$168=165,PR!$AB$186,IF($S$168=166,PR!$AB$187,IF($S$168=167,PR!$AB$188,IF($S$168=168,PR!$AB$189,IF($S$168=169,PR!$AB$190,IF($S$168=170,PR!$AB$191,IF($S$168=171,PR!$AB$192,IF($S$168=172,PR!$AB$193,IF($S$168=173,PR!$AB$194,IF($S$168=174,PR!$AB$195,IF($S$168=175,PR!$AB$196,IF($S$168=176,PR!$AB$197,IF($S$168=177,PR!$AB$198,IF($S$168=178,PR!$AB$199,IF($S$168=179,PR!$AB$200,IF($S$168=180,PR!$AB$201,"-"))))))))))))))))))))))))))))))))))))))))))))))))))))))))))))</f>
        <v>0</v>
      </c>
      <c r="J175" s="544">
        <f>IF($S$168=121,PR!$AC$139,IF($S$168=122,PR!$AC$140,IF($S$168=123,PR!$AC$141,IF($S$168=124,PR!$AC$142,IF($S$168=125,PR!$AC$143,IF($S$168=126,PR!$AC$144,IF($S$168=127,PR!$AC$145,IF($S$168=128,PR!$AC$146,IF($S$168=129,PR!$AC$147,IF($S$168=130,PR!$AC$148,IF($S$168=131,PR!$AC$149,IF($S$168=132,PR!$AC$150,IF($S$168=133,PR!$AC$151,IF($S$168=134,PR!$AC$152,IF($S$168=135,PR!$AC$153,IF($S$168=136,PR!$AC$154,IF($S$168=137,PR!$AC$155,IF($S$168=138,PR!$AC$156,IF($S$168=139,PR!$AC$157,IF($S$168=140,PR!$AC$158,IF($S$168=141,PR!$AC$159,IF($S$168=142,PR!$AC$163,IF($S$168=143,PR!$AC$164,IF($S$168=144,PR!$AC$165,IF($S$168=145,PR!$AC$166,IF($S$168=146,PR!$AC$167,IF($S$168=147,PR!$AC$168,IF($S$168=148,PR!$AC$169,IF($S$168=149,PR!$AC$170,IF($S$168=150,PR!$AC$171,IF($S$168=151,PR!$AC$172,IF($S$168=152,PR!$AC$173,IF($S$168=153,PR!$AC$174,IF($S$168=154,PR!$AC$175,IF($S$168=155,PR!$AC$176,IF($S$168=156,PR!$AC$177,IF($S$168=157,PR!$AC$178,IF($S$168=158,PR!$AC$179,IF($S$168=159,PR!$AC$180,IF($S$168=160,PR!$AC$181,IF($S$168=161,PR!$AC$182,IF($S$168=162,PR!$AC$183,IF($S$168=163,PR!$AC$184,IF($S$168=164,PR!$AC$185,IF($S$168=165,PR!$AC$186,IF($S$168=166,PR!$AC$187,IF($S$168=167,PR!$AC$188,IF($S$168=168,PR!$AC$189,IF($S$168=169,PR!$AC$190,IF($S$168=170,PR!$AC$191,IF($S$168=171,PR!$AC$192,IF($S$168=172,PR!$AC$193,IF($S$168=173,PR!$AC$194,IF($S$168=174,PR!$AC$195,IF($S$168=175,PR!$AC$196,IF($S$168=176,PR!$AC$197,IF($S$168=177,PR!$AC$198,IF($S$168=178,PR!$AC$199,IF($S$168=179,PR!$AC$200,IF($S$168=180,PR!$AC$201,"-"))))))))))))))))))))))))))))))))))))))))))))))))))))))))))))</f>
        <v>0</v>
      </c>
      <c r="K175" s="544">
        <f>IF($S$168=121,PR!$AD$139,IF($S$168=122,PR!$AD$140,IF($S$168=123,PR!$AD$141,IF($S$168=124,PR!$AD$142,IF($S$168=125,PR!$AD$143,IF($S$168=126,PR!$AD$144,IF($S$168=127,PR!$AD$145,IF($S$168=128,PR!$AD$146,IF($S$168=129,PR!$AD$147,IF($S$168=130,PR!$AD$148,IF($S$168=131,PR!$AD$149,IF($S$168=132,PR!$AD$150,IF($S$168=133,PR!$AD$151,IF($S$168=134,PR!$AD$152,IF($S$168=135,PR!$AD$153,IF($S$168=136,PR!$AD$154,IF($S$168=137,PR!$AD$155,IF($S$168=138,PR!$AD$156,IF($S$168=139,PR!$AD$157,IF($S$168=140,PR!$AD$158,IF($S$168=141,PR!$AD$159,IF($S$168=142,PR!$AD$163,IF($S$168=143,PR!$AD$164,IF($S$168=144,PR!$AD$165,IF($S$168=145,PR!$AD$166,IF($S$168=146,PR!$AD$167,IF($S$168=147,PR!$AD$168,IF($S$168=148,PR!$AD$169,IF($S$168=149,PR!$AD$170,IF($S$168=150,PR!$AD$171,IF($S$168=151,PR!$AD$172,IF($S$168=152,PR!$AD$173,IF($S$168=153,PR!$AD$174,IF($S$168=154,PR!$AD$175,IF($S$168=155,PR!$AD$176,IF($S$168=156,PR!$AD$177,IF($S$168=157,PR!$AD$178,IF($S$168=158,PR!$AD$179,IF($S$168=159,PR!$AD$180,IF($S$168=160,PR!$AD$181,IF($S$168=161,PR!$AD$182,IF($S$168=162,PR!$AD$183,IF($S$168=163,PR!$AD$184,IF($S$168=164,PR!$AD$185,IF($S$168=165,PR!$AD$186,IF($S$168=166,PR!$AD$187,IF($S$168=167,PR!$AD$188,IF($S$168=168,PR!$AD$189,IF($S$168=169,PR!$AD$190,IF($S$168=170,PR!$AD$191,IF($S$168=171,PR!$AD$192,IF($S$168=172,PR!$AD$193,IF($S$168=173,PR!$AD$194,IF($S$168=174,PR!$AD$195,IF($S$168=175,PR!$AD$196,IF($S$168=176,PR!$AD$197,IF($S$168=177,PR!$AD$198,IF($S$168=178,PR!$AD$199,IF($S$168=179,PR!$AD$200,IF($S$168=180,PR!$AD$201,"-"))))))))))))))))))))))))))))))))))))))))))))))))))))))))))))</f>
        <v>0</v>
      </c>
      <c r="L175" s="544">
        <f>IF($S$168=121,PR!$AE$139,IF($S$168=122,PR!$AE$140,IF($S$168=123,PR!$AE$141,IF($S$168=124,PR!$AE$142,IF($S$168=125,PR!$AE$143,IF($S$168=126,PR!$AE$144,IF($S$168=127,PR!$AE$145,IF($S$168=128,PR!$AE$146,IF($S$168=129,PR!$AE$147,IF($S$168=130,PR!$AE$148,IF($S$168=131,PR!$AE$149,IF($S$168=132,PR!$AE$150,IF($S$168=133,PR!$AE$151,IF($S$168=134,PR!$AE$152,IF($S$168=135,PR!$AE$153,IF($S$168=136,PR!$AE$154,IF($S$168=137,PR!$AE$155,IF($S$168=138,PR!$AE$156,IF($S$168=139,PR!$AE$157,IF($S$168=140,PR!$AE$158,IF($S$168=141,PR!$AE$159,IF($S$168=142,PR!$AE$163,IF($S$168=143,PR!$AE$164,IF($S$168=144,PR!$AE$165,IF($S$168=145,PR!$AE$166,IF($S$168=146,PR!$AE$167,IF($S$168=147,PR!$AE$168,IF($S$168=148,PR!$AE$169,IF($S$168=149,PR!$AE$170,IF($S$168=150,PR!$AE$171,IF($S$168=151,PR!$AE$172,IF($S$168=152,PR!$AE$173,IF($S$168=153,PR!$AE$174,IF($S$168=154,PR!$AE$175,IF($S$168=155,PR!$AE$176,IF($S$168=156,PR!$AE$177,IF($S$168=157,PR!$AE$178,IF($S$168=158,PR!$AE$179,IF($S$168=159,PR!$AE$180,IF($S$168=160,PR!$AE$181,IF($S$168=161,PR!$AE$182,IF($S$168=162,PR!$AE$183,IF($S$168=163,PR!$AE$184,IF($S$168=164,PR!$AE$185,IF($S$168=165,PR!$AE$186,IF($S$168=166,PR!$AE$187,IF($S$168=167,PR!$AE$188,IF($S$168=168,PR!$AE$189,IF($S$168=169,PR!$AE$190,IF($S$168=170,PR!$AE$191,IF($S$168=171,PR!$AE$192,IF($S$168=172,PR!$AE$193,IF($S$168=173,PR!$AE$194,IF($S$168=174,PR!$AE$195,IF($S$168=175,PR!$AE$196,IF($S$168=176,PR!$AE$197,IF($S$168=177,PR!$AE$198,IF($S$168=178,PR!$AE$199,IF($S$168=179,PR!$AE$200,IF($S$168=180,PR!$AE$201,"-"))))))))))))))))))))))))))))))))))))))))))))))))))))))))))))</f>
        <v>0</v>
      </c>
      <c r="M175" s="544">
        <f>IF($S$168=121,PR!$AF$139,IF($S$168=122,PR!$AF$140,IF($S$168=123,PR!$AF$141,IF($S$168=124,PR!$AF$142,IF($S$168=125,PR!$AF$143,IF($S$168=126,PR!$AF$144,IF($S$168=127,PR!$AF$145,IF($S$168=128,PR!$AF$146,IF($S$168=129,PR!$AF$147,IF($S$168=130,PR!$AF$148,IF($S$168=131,PR!$AF$149,IF($S$168=132,PR!$AF$150,IF($S$168=133,PR!$AF$151,IF($S$168=134,PR!$AF$152,IF($S$168=135,PR!$AF$153,IF($S$168=136,PR!$AF$154,IF($S$168=137,PR!$AF$155,IF($S$168=138,PR!$AF$156,IF($S$168=139,PR!$AF$157,IF($S$168=140,PR!$AF$158,IF($S$168=141,PR!$AF$159,IF($S$168=142,PR!$AF$163,IF($S$168=143,PR!$AF$164,IF($S$168=144,PR!$AF$165,IF($S$168=145,PR!$AF$166,IF($S$168=146,PR!$AF$167,IF($S$168=147,PR!$AF$168,IF($S$168=148,PR!$AF$169,IF($S$168=149,PR!$AF$170,IF($S$168=150,PR!$AF$171,IF($S$168=151,PR!$AF$172,IF($S$168=152,PR!$AF$173,IF($S$168=153,PR!$AF$174,IF($S$168=154,PR!$AF$175,IF($S$168=155,PR!$AF$176,IF($S$168=156,PR!$AF$177,IF($S$168=157,PR!$AF$178,IF($S$168=158,PR!$AF$179,IF($S$168=159,PR!$AF$180,IF($S$168=160,PR!$AF$181,IF($S$168=161,PR!$AF$182,IF($S$168=162,PR!$AF$183,IF($S$168=163,PR!$AF$184,IF($S$168=164,PR!$AF$185,IF($S$168=165,PR!$AF$186,IF($S$168=166,PR!$AF$187,IF($S$168=167,PR!$AF$188,IF($S$168=168,PR!$AF$189,IF($S$168=169,PR!$AF$190,IF($S$168=170,PR!$AF$191,IF($S$168=171,PR!$AF$192,IF($S$168=172,PR!$AF$193,IF($S$168=173,PR!$AF$194,IF($S$168=174,PR!$AF$195,IF($S$168=175,PR!$AF$196,IF($S$168=176,PR!$AF$197,IF($S$168=177,PR!$AF$198,IF($S$168=178,PR!$AF$199,IF($S$168=179,PR!$AF$200,IF($S$168=180,PR!$AF$201,"-"))))))))))))))))))))))))))))))))))))))))))))))))))))))))))))</f>
        <v>0</v>
      </c>
      <c r="N175" s="544">
        <f>IF($S$168=121,PR!$AG$139,IF($S$168=122,PR!$AG$140,IF($S$168=123,PR!$AG$141,IF($S$168=124,PR!$AG$142,IF($S$168=125,PR!$AG$143,IF($S$168=126,PR!$AG$144,IF($S$168=127,PR!$AG$145,IF($S$168=128,PR!$AG$146,IF($S$168=129,PR!$AG$147,IF($S$168=130,PR!$AG$148,IF($S$168=131,PR!$AG$149,IF($S$168=132,PR!$AG$150,IF($S$168=133,PR!$AG$151,IF($S$168=134,PR!$AG$152,IF($S$168=135,PR!$AG$153,IF($S$168=136,PR!$AG$154,IF($S$168=137,PR!$AG$155,IF($S$168=138,PR!$AG$156,IF($S$168=139,PR!$AG$157,IF($S$168=140,PR!$AG$158,IF($S$168=141,PR!$AG$159,IF($S$168=142,PR!$AG$163,IF($S$168=143,PR!$AG$164,IF($S$168=144,PR!$AG$165,IF($S$168=145,PR!$AG$166,IF($S$168=146,PR!$AG$167,IF($S$168=147,PR!$AG$168,IF($S$168=148,PR!$AG$169,IF($S$168=149,PR!$AG$170,IF($S$168=150,PR!$AG$171,IF($S$168=151,PR!$AG$172,IF($S$168=152,PR!$AG$173,IF($S$168=153,PR!$AG$174,IF($S$168=154,PR!$AG$175,IF($S$168=155,PR!$AG$176,IF($S$168=156,PR!$AG$177,IF($S$168=157,PR!$AG$178,IF($S$168=158,PR!$AG$179,IF($S$168=159,PR!$AG$180,IF($S$168=160,PR!$AG$181,IF($S$168=161,PR!$AG$182,IF($S$168=162,PR!$AG$183,IF($S$168=163,PR!$AG$184,IF($S$168=164,PR!$AG$185,IF($S$168=165,PR!$AG$186,IF($S$168=166,PR!$AG$187,IF($S$168=167,PR!$AG$188,IF($S$168=168,PR!$AG$189,IF($S$168=169,PR!$AG$190,IF($S$168=170,PR!$AG$191,IF($S$168=171,PR!$AG$192,IF($S$168=172,PR!$AG$193,IF($S$168=173,PR!$AG$194,IF($S$168=174,PR!$AG$195,IF($S$168=175,PR!$AG$196,IF($S$168=176,PR!$AG$197,IF($S$168=177,PR!$AG$198,IF($S$168=178,PR!$AG$199,IF($S$168=179,PR!$AG$200,IF($S$168=180,PR!$AG$201,"-"))))))))))))))))))))))))))))))))))))))))))))))))))))))))))))</f>
        <v>0</v>
      </c>
      <c r="O175" s="544">
        <f>IF($S$168=121,PR!$AH$139,IF($S$168=122,PR!$AH$140,IF($S$168=123,PR!$AH$141,IF($S$168=124,PR!$AH$142,IF($S$168=125,PR!$AH$143,IF($S$168=126,PR!$AH$144,IF($S$168=127,PR!$AH$145,IF($S$168=128,PR!$AH$146,IF($S$168=129,PR!$AH$147,IF($S$168=130,PR!$AH$148,IF($S$168=131,PR!$AH$149,IF($S$168=132,PR!$AH$150,IF($S$168=133,PR!$AH$151,IF($S$168=134,PR!$AH$152,IF($S$168=135,PR!$AH$153,IF($S$168=136,PR!$AH$154,IF($S$168=137,PR!$AH$155,IF($S$168=138,PR!$AH$156,IF($S$168=139,PR!$AH$157,IF($S$168=140,PR!$AH$158,IF($S$168=141,PR!$AH$159,IF($S$168=142,PR!$AH$163,IF($S$168=143,PR!$AH$164,IF($S$168=144,PR!$AH$165,IF($S$168=145,PR!$AH$166,IF($S$168=146,PR!$AH$167,IF($S$168=147,PR!$AH$168,IF($S$168=148,PR!$AH$169,IF($S$168=149,PR!$AH$170,IF($S$168=150,PR!$AH$171,IF($S$168=151,PR!$AH$172,IF($S$168=152,PR!$AH$173,IF($S$168=153,PR!$AH$174,IF($S$168=154,PR!$AH$175,IF($S$168=155,PR!$AH$176,IF($S$168=156,PR!$AH$177,IF($S$168=157,PR!$AH$178,IF($S$168=158,PR!$AH$179,IF($S$168=159,PR!$AH$180,IF($S$168=160,PR!$AH$181,IF($S$168=161,PR!$AH$182,IF($S$168=162,PR!$AH$183,IF($S$168=163,PR!$AH$184,IF($S$168=164,PR!$AH$185,IF($S$168=165,PR!$AH$186,IF($S$168=166,PR!$AH$187,IF($S$168=167,PR!$AH$188,IF($S$168=168,PR!$AH$189,IF($S$168=169,PR!$AH$190,IF($S$168=170,PR!$AH$191,IF($S$168=171,PR!$AH$192,IF($S$168=172,PR!$AH$193,IF($S$168=173,PR!$AH$194,IF($S$168=174,PR!$AH$195,IF($S$168=175,PR!$AH$196,IF($S$168=176,PR!$AH$197,IF($S$168=177,PR!$AH$198,IF($S$168=178,PR!$AH$199,IF($S$168=179,PR!$AH$200,IF($S$168=180,PR!$AH$201,"-"))))))))))))))))))))))))))))))))))))))))))))))))))))))))))))</f>
        <v>0</v>
      </c>
      <c r="P175" s="544">
        <f>IF($S$168=121,PR!$AI$139,IF($S$168=122,PR!$AI$140,IF($S$168=123,PR!$AI$141,IF($S$168=124,PR!$AI$142,IF($S$168=125,PR!$AI$143,IF($S$168=126,PR!$AI$144,IF($S$168=127,PR!$AI$145,IF($S$168=128,PR!$AI$146,IF($S$168=129,PR!$AI$147,IF($S$168=130,PR!$AI$148,IF($S$168=131,PR!$AI$149,IF($S$168=132,PR!$AI$150,IF($S$168=133,PR!$AI$151,IF($S$168=134,PR!$AI$152,IF($S$168=135,PR!$AI$153,IF($S$168=136,PR!$AI$154,IF($S$168=137,PR!$AI$155,IF($S$168=138,PR!$AI$156,IF($S$168=139,PR!$AI$157,IF($S$168=140,PR!$AI$158,IF($S$168=141,PR!$AI$159,IF($S$168=142,PR!$AI$163,IF($S$168=143,PR!$AI$164,IF($S$168=144,PR!$AI$165,IF($S$168=145,PR!$AI$166,IF($S$168=146,PR!$AI$167,IF($S$168=147,PR!$AI$168,IF($S$168=148,PR!$AI$169,IF($S$168=149,PR!$AI$170,IF($S$168=150,PR!$AI$171,IF($S$168=151,PR!$AI$172,IF($S$168=152,PR!$AI$173,IF($S$168=153,PR!$AI$174,IF($S$168=154,PR!$AI$175,IF($S$168=155,PR!$AI$176,IF($S$168=156,PR!$AI$177,IF($S$168=157,PR!$AI$178,IF($S$168=158,PR!$AI$179,IF($S$168=159,PR!$AI$180,IF($S$168=160,PR!$AI$181,IF($S$168=161,PR!$AI$182,IF($S$168=162,PR!$AI$183,IF($S$168=163,PR!$AI$184,IF($S$168=164,PR!$AI$185,IF($S$168=165,PR!$AI$186,IF($S$168=166,PR!$AI$187,IF($S$168=167,PR!$AI$188,IF($S$168=168,PR!$AI$189,IF($S$168=169,PR!$AI$190,IF($S$168=170,PR!$AI$191,IF($S$168=171,PR!$AI$192,IF($S$168=172,PR!$AI$193,IF($S$168=173,PR!$AI$194,IF($S$168=174,PR!$AI$195,IF($S$168=175,PR!$AI$196,IF($S$168=176,PR!$AI$197,IF($S$168=177,PR!$AI$198,IF($S$168=178,PR!$AI$199,IF($S$168=179,PR!$AI$200,IF($S$168=180,PR!$AI$201,"-"))))))))))))))))))))))))))))))))))))))))))))))))))))))))))))</f>
        <v>0</v>
      </c>
      <c r="Q175" s="544">
        <f>IF($S$168=121,PR!$AJ$139,IF($S$168=122,PR!$AJ$140,IF($S$168=123,PR!$AJ$141,IF($S$168=124,PR!$AJ$142,IF($S$168=125,PR!$AJ$143,IF($S$168=126,PR!$AJ$144,IF($S$168=127,PR!$AJ$145,IF($S$168=128,PR!$AJ$146,IF($S$168=129,PR!$AJ$147,IF($S$168=130,PR!$AJ$148,IF($S$168=131,PR!$AJ$149,IF($S$168=132,PR!$AJ$150,IF($S$168=133,PR!$AJ$151,IF($S$168=134,PR!$AJ$152,IF($S$168=135,PR!$AJ$153,IF($S$168=136,PR!$AJ$154,IF($S$168=137,PR!$AJ$155,IF($S$168=138,PR!$AJ$156,IF($S$168=139,PR!$AJ$157,IF($S$168=140,PR!$AJ$158,IF($S$168=141,PR!$AJ$159,IF($S$168=142,PR!$AJ$163,IF($S$168=143,PR!$AJ$164,IF($S$168=144,PR!$AJ$165,IF($S$168=145,PR!$AJ$166,IF($S$168=146,PR!$AJ$167,IF($S$168=147,PR!$AJ$168,IF($S$168=148,PR!$AJ$169,IF($S$168=149,PR!$AJ$170,IF($S$168=150,PR!$AJ$171,IF($S$168=151,PR!$AJ$172,IF($S$168=152,PR!$AJ$173,IF($S$168=153,PR!$AJ$174,IF($S$168=154,PR!$AJ$175,IF($S$168=155,PR!$AJ$176,IF($S$168=156,PR!$AJ$177,IF($S$168=157,PR!$AJ$178,IF($S$168=158,PR!$AJ$179,IF($S$168=159,PR!$AJ$180,IF($S$168=160,PR!$AJ$181,IF($S$168=161,PR!$AJ$182,IF($S$168=162,PR!$AJ$183,IF($S$168=163,PR!$AJ$184,IF($S$168=164,PR!$AJ$185,IF($S$168=165,PR!$AJ$186,IF($S$168=166,PR!$AJ$187,IF($S$168=167,PR!$AJ$188,IF($S$168=168,PR!$AJ$189,IF($S$168=169,PR!$AJ$190,IF($S$168=170,PR!$AJ$191,IF($S$168=171,PR!$AJ$192,IF($S$168=172,PR!$AJ$193,IF($S$168=173,PR!$AJ$194,IF($S$168=174,PR!$AJ$195,IF($S$168=175,PR!$AJ$196,IF($S$168=176,PR!$AJ$197,IF($S$168=177,PR!$AJ$198,IF($S$168=178,PR!$AJ$199,IF($S$168=179,PR!$AJ$200,IF($S$168=180,PR!$AJ$201,"-"))))))))))))))))))))))))))))))))))))))))))))))))))))))))))))</f>
        <v>0</v>
      </c>
      <c r="R175" s="544">
        <f>IF($S$168=121,PR!$AK$139,IF($S$168=122,PR!$AK$140,IF($S$168=123,PR!$AK$141,IF($S$168=124,PR!$AK$142,IF($S$168=125,PR!$AK$143,IF($S$168=126,PR!$AK$144,IF($S$168=127,PR!$AK$145,IF($S$168=128,PR!$AK$146,IF($S$168=129,PR!$AK$147,IF($S$168=130,PR!$AK$148,IF($S$168=131,PR!$AK$149,IF($S$168=132,PR!$AK$150,IF($S$168=133,PR!$AK$151,IF($S$168=134,PR!$AK$152,IF($S$168=135,PR!$AK$153,IF($S$168=136,PR!$AK$154,IF($S$168=137,PR!$AK$155,IF($S$168=138,PR!$AK$156,IF($S$168=139,PR!$AK$157,IF($S$168=140,PR!$AK$158,IF($S$168=141,PR!$AK$159,IF($S$168=142,PR!$AK$163,IF($S$168=143,PR!$AK$164,IF($S$168=144,PR!$AK$165,IF($S$168=145,PR!$AK$166,IF($S$168=146,PR!$AK$167,IF($S$168=147,PR!$AK$168,IF($S$168=148,PR!$AK$169,IF($S$168=149,PR!$AK$170,IF($S$168=150,PR!$AK$171,IF($S$168=151,PR!$AK$172,IF($S$168=152,PR!$AK$173,IF($S$168=153,PR!$AK$174,IF($S$168=154,PR!$AK$175,IF($S$168=155,PR!$AK$176,IF($S$168=156,PR!$AK$177,IF($S$168=157,PR!$AK$178,IF($S$168=158,PR!$AK$179,IF($S$168=159,PR!$AK$180,IF($S$168=160,PR!$AK$181,IF($S$168=161,PR!$AK$182,IF($S$168=162,PR!$AK$183,IF($S$168=163,PR!$AK$184,IF($S$168=164,PR!$AK$185,IF($S$168=165,PR!$AK$186,IF($S$168=166,PR!$AK$187,IF($S$168=167,PR!$AK$188,IF($S$168=168,PR!$AK$189,IF($S$168=169,PR!$AK$190,IF($S$168=170,PR!$AK$191,IF($S$168=171,PR!$AK$192,IF($S$168=172,PR!$AK$193,IF($S$168=173,PR!$AK$194,IF($S$168=174,PR!$AK$195,IF($S$168=175,PR!$AK$196,IF($S$168=176,PR!$AK$197,IF($S$168=177,PR!$AK$198,IF($S$168=178,PR!$AK$199,IF($S$168=179,PR!$AK$200,IF($S$168=180,PR!$AK$201,"-"))))))))))))))))))))))))))))))))))))))))))))))))))))))))))))</f>
        <v>0</v>
      </c>
      <c r="S175" s="544">
        <f>IF($S$168=121,PR!$AM$139,IF($S$168=122,PR!$AM$140,IF($S$168=123,PR!$AM$141,IF($S$168=124,PR!$AM$142,IF($S$168=125,PR!$AM$143,IF($S$168=126,PR!$AM$144,IF($S$168=127,PR!$AM$145,IF($S$168=128,PR!$AM$146,IF($S$168=129,PR!$AM$147,IF($S$168=130,PR!$AM$148,IF($S$168=131,PR!$AM$149,IF($S$168=132,PR!$AM$150,IF($S$168=133,PR!$AM$151,IF($S$168=134,PR!$AM$152,IF($S$168=135,PR!$AM$153,IF($S$168=136,PR!$AM$154,IF($S$168=137,PR!$AM$155,IF($S$168=138,PR!$AM$156,IF($S$168=139,PR!$AM$157,IF($S$168=140,PR!$AM$158,IF($S$168=141,PR!$AM$159,IF($S$168=142,PR!$AM$163,IF($S$168=143,PR!$AM$164,IF($S$168=144,PR!$AM$165,IF($S$168=145,PR!$AM$166,IF($S$168=146,PR!$AM$167,IF($S$168=147,PR!$AM$168,IF($S$168=148,PR!$AM$169,IF($S$168=149,PR!$AM$170,IF($S$168=150,PR!$AM$171,IF($S$168=151,PR!$AM$172,IF($S$168=152,PR!$AM$173,IF($S$168=153,PR!$AM$174,IF($S$168=154,PR!$AM$175,IF($S$168=155,PR!$AM$176,IF($S$168=156,PR!$AM$177,IF($S$168=157,PR!$AM$178,IF($S$168=158,PR!$AM$179,IF($S$168=159,PR!$AM$180,IF($S$168=160,PR!$AM$181,IF($S$168=161,PR!$AM$182,IF($S$168=162,PR!$AM$183,IF($S$168=163,PR!$AM$184,IF($S$168=164,PR!$AM$185,IF($S$168=165,PR!$AM$186,IF($S$168=166,PR!$AM$187,IF($S$168=167,PR!$AM$188,IF($S$168=168,PR!$AM$189,IF($S$168=169,PR!$AM$190,IF($S$168=170,PR!$AM$191,IF($S$168=171,PR!$AM$192,IF($S$168=172,PR!$AM$193,IF($S$168=173,PR!$AM$194,IF($S$168=174,PR!$AM$195,IF($S$168=175,PR!$AM$196,IF($S$168=176,PR!$AM$197,IF($S$168=177,PR!$AM$198,IF($S$168=178,PR!$AM$199,IF($S$168=179,PR!$AM$200,IF($S$168=180,PR!$AM$201,"-"))))))))))))))))))))))))))))))))))))))))))))))))))))))))))))</f>
        <v>0</v>
      </c>
      <c r="T175" s="518"/>
      <c r="U175" s="518"/>
      <c r="V175" s="32"/>
      <c r="W175" s="32"/>
      <c r="X175" s="32"/>
      <c r="Y175" s="32"/>
      <c r="Z175" s="32"/>
    </row>
    <row r="176" spans="1:26" ht="15.75" x14ac:dyDescent="0.25">
      <c r="A176" s="91"/>
      <c r="B176" s="518"/>
      <c r="C176" s="545"/>
      <c r="D176" s="546"/>
      <c r="E176" s="546"/>
      <c r="F176" s="546"/>
      <c r="G176" s="546"/>
      <c r="H176" s="546"/>
      <c r="I176" s="546"/>
      <c r="J176" s="546"/>
      <c r="K176" s="546"/>
      <c r="L176" s="546"/>
      <c r="M176" s="546"/>
      <c r="N176" s="546"/>
      <c r="O176" s="546"/>
      <c r="P176" s="546"/>
      <c r="Q176" s="546"/>
      <c r="R176" s="549"/>
      <c r="S176" s="549"/>
      <c r="T176" s="518"/>
      <c r="U176" s="518"/>
      <c r="V176" s="32"/>
      <c r="W176" s="32"/>
      <c r="X176" s="32"/>
      <c r="Y176" s="32"/>
      <c r="Z176" s="32"/>
    </row>
    <row r="177" spans="1:26" ht="15.75" thickBot="1" x14ac:dyDescent="0.3">
      <c r="A177" s="91"/>
      <c r="B177" s="518"/>
      <c r="C177" s="548" t="str">
        <f>N!$C$38</f>
        <v>MWORLD</v>
      </c>
      <c r="D177" s="548" t="str">
        <f>N!$C$39</f>
        <v>MEGA</v>
      </c>
      <c r="E177" s="548" t="str">
        <f>N!$C$40</f>
        <v>MICRONOVA</v>
      </c>
      <c r="F177" s="548" t="str">
        <f>N!$C$41</f>
        <v>MFLASH</v>
      </c>
      <c r="G177" s="548" t="str">
        <f>N!$C$42</f>
        <v>MORISON</v>
      </c>
      <c r="H177" s="548" t="str">
        <f>N!$C$43</f>
        <v>NEMEL</v>
      </c>
      <c r="I177" s="548" t="str">
        <f>N!$C$44</f>
        <v>NHP</v>
      </c>
      <c r="J177" s="548" t="str">
        <f>N!$C$45</f>
        <v>NHC</v>
      </c>
      <c r="K177" s="548" t="str">
        <f>N!$C$46</f>
        <v>OLEAF</v>
      </c>
      <c r="L177" s="548" t="str">
        <f>N!$C$47</f>
        <v>OCULUS</v>
      </c>
      <c r="M177" s="548" t="str">
        <f>N!$C$48</f>
        <v>PACIFIC</v>
      </c>
      <c r="N177" s="548" t="str">
        <f>N!$C$49</f>
        <v>PHAMATEX</v>
      </c>
      <c r="O177" s="548" t="str">
        <f>N!$C$50</f>
        <v>PETHICS</v>
      </c>
      <c r="P177" s="548" t="str">
        <f>N!$C$51</f>
        <v>PHILIPS</v>
      </c>
      <c r="Q177" s="548" t="str">
        <f>N!$C$52</f>
        <v>RANBAXY</v>
      </c>
      <c r="R177" s="548" t="str">
        <f>N!$C$53</f>
        <v>REALS</v>
      </c>
      <c r="S177" s="548" t="str">
        <f>N!$C$54</f>
        <v>ROYAL</v>
      </c>
      <c r="T177" s="518"/>
      <c r="U177" s="518"/>
      <c r="V177" s="32"/>
      <c r="W177" s="32"/>
      <c r="X177" s="32"/>
      <c r="Y177" s="32"/>
      <c r="Z177" s="32"/>
    </row>
    <row r="178" spans="1:26" ht="15.75" thickBot="1" x14ac:dyDescent="0.3">
      <c r="A178" s="91"/>
      <c r="B178" s="518"/>
      <c r="C178" s="544">
        <f>IF($S$168=121,PR!$AN$139,IF($S$168=122,PR!$AN$140,IF($S$168=123,PR!$AN$141,IF($S$168=124,PR!$AN$142,IF($S$168=125,PR!$AN$143,IF($S$168=126,PR!$AN$144,IF($S$168=127,PR!$AN$145,IF($S$168=128,PR!$AN$146,IF($S$168=129,PR!$AN$147,IF($S$168=130,PR!$AN$148,IF($S$168=131,PR!$AN$149,IF($S$168=132,PR!$AN$150,IF($S$168=133,PR!$AN$151,IF($S$168=134,PR!$AN$152,IF($S$168=135,PR!$AN$153,IF($S$168=136,PR!$AN$154,IF($S$168=137,PR!$AN$155,IF($S$168=138,PR!$AN$156,IF($S$168=139,PR!$AN$157,IF($S$168=140,PR!$AN$158,IF($S$168=141,PR!$AN$159,IF($S$168=142,PR!$AN$163,IF($S$168=143,PR!$AN$164,IF($S$168=144,PR!$AN$165,IF($S$168=145,PR!$AN$166,IF($S$168=146,PR!$AN$167,IF($S$168=147,PR!$AN$168,IF($S$168=148,PR!$AN$169,IF($S$168=149,PR!$AN$170,IF($S$168=150,PR!$AN$171,IF($S$168=151,PR!$AN$172,IF($S$168=152,PR!$AN$173,IF($S$168=153,PR!$AN$174,IF($S$168=154,PR!$AN$175,IF($S$168=155,PR!$AN$176,IF($S$168=156,PR!$AN$177,IF($S$168=157,PR!$AN$178,IF($S$168=158,PR!$AN$179,IF($S$168=159,PR!$AN$180,IF($S$168=160,PR!$AN$181,IF($S$168=161,PR!$AN$182,IF($S$168=162,PR!$AN$183,IF($S$168=163,PR!$AN$184,IF($S$168=164,PR!$AN$185,IF($S$168=165,PR!$AN$186,IF($S$168=166,PR!$AN$187,IF($S$168=167,PR!$AN$188,IF($S$168=168,PR!$AN$189,IF($S$168=169,PR!$AN$190,IF($S$168=170,PR!$AN$191,IF($S$168=171,PR!$AN$192,IF($S$168=172,PR!$AN$193,IF($S$168=173,PR!$AN$194,IF($S$168=174,PR!$AN$195,IF($S$168=175,PR!$AN$196,IF($S$168=176,PR!$AN$197,IF($S$168=177,PR!$AN$198,IF($S$168=178,PR!$AN$199,IF($S$168=179,PR!$AN$200,IF($S$168=180,PR!$AN$201,"-"))))))))))))))))))))))))))))))))))))))))))))))))))))))))))))</f>
        <v>0</v>
      </c>
      <c r="D178" s="544">
        <f>IF($S$168=121,PR!$AN$139,IF($S$168=122,PR!$AN$140,IF($S$168=123,PR!$AN$141,IF($S$168=124,PR!$AN$142,IF($S$168=125,PR!$AN$143,IF($S$168=126,PR!$AN$144,IF($S$168=127,PR!$AN$145,IF($S$168=128,PR!$AN$146,IF($S$168=129,PR!$AN$147,IF($S$168=130,PR!$AN$148,IF($S$168=131,PR!$AN$149,IF($S$168=132,PR!$AN$150,IF($S$168=133,PR!$AN$151,IF($S$168=134,PR!$AN$152,IF($S$168=135,PR!$AN$153,IF($S$168=136,PR!$AN$154,IF($S$168=137,PR!$AN$155,IF($S$168=138,PR!$AN$156,IF($S$168=139,PR!$AN$157,IF($S$168=140,PR!$AN$158,IF($S$168=141,PR!$AN$159,IF($S$168=142,PR!$AN$163,IF($S$168=143,PR!$AN$164,IF($S$168=144,PR!$AN$165,IF($S$168=145,PR!$AN$166,IF($S$168=146,PR!$AN$167,IF($S$168=147,PR!$AN$168,IF($S$168=148,PR!$AN$169,IF($S$168=149,PR!$AN$170,IF($S$168=150,PR!$AN$171,IF($S$168=151,PR!$AN$172,IF($S$168=152,PR!$AN$173,IF($S$168=153,PR!$AN$174,IF($S$168=154,PR!$AN$175,IF($S$168=155,PR!$AN$176,IF($S$168=156,PR!$AN$177,IF($S$168=157,PR!$AN$178,IF($S$168=158,PR!$AN$179,IF($S$168=159,PR!$AN$180,IF($S$168=160,PR!$AN$181,IF($S$168=161,PR!$AN$182,IF($S$168=162,PR!$AN$183,IF($S$168=163,PR!$AN$184,IF($S$168=164,PR!$AN$185,IF($S$168=165,PR!$AN$186,IF($S$168=166,PR!$AN$187,IF($S$168=167,PR!$AN$188,IF($S$168=168,PR!$AN$189,IF($S$168=169,PR!$AN$190,IF($S$168=170,PR!$AN$191,IF($S$168=171,PR!$AN$192,IF($S$168=172,PR!$AN$193,IF($S$168=173,PR!$AN$194,IF($S$168=174,PR!$AN$195,IF($S$168=175,PR!$AN$196,IF($S$168=176,PR!$AN$197,IF($S$168=177,PR!$AN$198,IF($S$168=178,PR!$AN$199,IF($S$168=179,PR!$AN$200,IF($S$168=180,PR!$AN$201,"-"))))))))))))))))))))))))))))))))))))))))))))))))))))))))))))</f>
        <v>0</v>
      </c>
      <c r="E178" s="544">
        <f>IF($S$168=121,PR!$AO$139,IF($S$168=122,PR!$AO$140,IF($S$168=123,PR!$AO$141,IF($S$168=124,PR!$AO$142,IF($S$168=125,PR!$AO$143,IF($S$168=126,PR!$AO$144,IF($S$168=127,PR!$AO$145,IF($S$168=128,PR!$AO$146,IF($S$168=129,PR!$AO$147,IF($S$168=130,PR!$AO$148,IF($S$168=131,PR!$AO$149,IF($S$168=132,PR!$AO$150,IF($S$168=133,PR!$AO$151,IF($S$168=134,PR!$AO$152,IF($S$168=135,PR!$AO$153,IF($S$168=136,PR!$AO$154,IF($S$168=137,PR!$AO$155,IF($S$168=138,PR!$AO$156,IF($S$168=139,PR!$AO$157,IF($S$168=140,PR!$AO$158,IF($S$168=141,PR!$AO$159,IF($S$168=142,PR!$AO$163,IF($S$168=143,PR!$AO$164,IF($S$168=144,PR!$AO$165,IF($S$168=145,PR!$AO$166,IF($S$168=146,PR!$AO$167,IF($S$168=147,PR!$AO$168,IF($S$168=148,PR!$AO$169,IF($S$168=149,PR!$AO$170,IF($S$168=150,PR!$AO$171,IF($S$168=151,PR!$AO$172,IF($S$168=152,PR!$AO$173,IF($S$168=153,PR!$AO$174,IF($S$168=154,PR!$AO$175,IF($S$168=155,PR!$AO$176,IF($S$168=156,PR!$AO$177,IF($S$168=157,PR!$AO$178,IF($S$168=158,PR!$AO$179,IF($S$168=159,PR!$AO$180,IF($S$168=160,PR!$AO$181,IF($S$168=161,PR!$AO$182,IF($S$168=162,PR!$AO$183,IF($S$168=163,PR!$AO$184,IF($S$168=164,PR!$AO$185,IF($S$168=165,PR!$AO$186,IF($S$168=166,PR!$AO$187,IF($S$168=167,PR!$AO$188,IF($S$168=168,PR!$AO$189,IF($S$168=169,PR!$AO$190,IF($S$168=170,PR!$AO$191,IF($S$168=171,PR!$AO$192,IF($S$168=172,PR!$AO$193,IF($S$168=173,PR!$AO$194,IF($S$168=174,PR!$AO$195,IF($S$168=175,PR!$AO$196,IF($S$168=176,PR!$AO$197,IF($S$168=177,PR!$AO$198,IF($S$168=178,PR!$AO$199,IF($S$168=179,PR!$AO$200,IF($S$168=180,PR!$AO$201,"-"))))))))))))))))))))))))))))))))))))))))))))))))))))))))))))</f>
        <v>0</v>
      </c>
      <c r="F178" s="544">
        <f>IF($S$168=121,PR!$AP$139,IF($S$168=122,PR!$AP$140,IF($S$168=123,PR!$AP$141,IF($S$168=124,PR!$AP$142,IF($S$168=125,PR!$AP$143,IF($S$168=126,PR!$AP$144,IF($S$168=127,PR!$AP$145,IF($S$168=128,PR!$AP$146,IF($S$168=129,PR!$AP$147,IF($S$168=130,PR!$AP$148,IF($S$168=131,PR!$AP$149,IF($S$168=132,PR!$AP$150,IF($S$168=133,PR!$AP$151,IF($S$168=134,PR!$AP$152,IF($S$168=135,PR!$AP$153,IF($S$168=136,PR!$AP$154,IF($S$168=137,PR!$AP$155,IF($S$168=138,PR!$AP$156,IF($S$168=139,PR!$AP$157,IF($S$168=140,PR!$AP$158,IF($S$168=141,PR!$AP$159,IF($S$168=142,PR!$AP$163,IF($S$168=143,PR!$AP$164,IF($S$168=144,PR!$AP$165,IF($S$168=145,PR!$AP$166,IF($S$168=146,PR!$AP$167,IF($S$168=147,PR!$AP$168,IF($S$168=148,PR!$AP$169,IF($S$168=149,PR!$AP$170,IF($S$168=150,PR!$AP$171,IF($S$168=151,PR!$AP$172,IF($S$168=152,PR!$AP$173,IF($S$168=153,PR!$AP$174,IF($S$168=154,PR!$AP$175,IF($S$168=155,PR!$AP$176,IF($S$168=156,PR!$AP$177,IF($S$168=157,PR!$AP$178,IF($S$168=158,PR!$AP$179,IF($S$168=159,PR!$AP$180,IF($S$168=160,PR!$AP$181,IF($S$168=161,PR!$AP$182,IF($S$168=162,PR!$AP$183,IF($S$168=163,PR!$AP$184,IF($S$168=164,PR!$AP$185,IF($S$168=165,PR!$AP$186,IF($S$168=166,PR!$AP$187,IF($S$168=167,PR!$AP$188,IF($S$168=168,PR!$AP$189,IF($S$168=169,PR!$AP$190,IF($S$168=170,PR!$AP$191,IF($S$168=171,PR!$AP$192,IF($S$168=172,PR!$AP$193,IF($S$168=173,PR!$AP$194,IF($S$168=174,PR!$AP$195,IF($S$168=175,PR!$AP$196,IF($S$168=176,PR!$AP$197,IF($S$168=177,PR!$AP$198,IF($S$168=178,PR!$AP$199,IF($S$168=179,PR!$AP$200,IF($S$168=180,PR!$AP$201,"-"))))))))))))))))))))))))))))))))))))))))))))))))))))))))))))</f>
        <v>0</v>
      </c>
      <c r="G178" s="544">
        <f>IF($S$168=121,PR!$AQ$139,IF($S$168=122,PR!$AQ$140,IF($S$168=123,PR!$AQ$141,IF($S$168=124,PR!$AQ$142,IF($S$168=125,PR!$AQ$143,IF($S$168=126,PR!$AQ$144,IF($S$168=127,PR!$AQ$145,IF($S$168=128,PR!$AQ$146,IF($S$168=129,PR!$AQ$147,IF($S$168=130,PR!$AQ$148,IF($S$168=131,PR!$AQ$149,IF($S$168=132,PR!$AQ$150,IF($S$168=133,PR!$AQ$151,IF($S$168=134,PR!$AQ$152,IF($S$168=135,PR!$AQ$153,IF($S$168=136,PR!$AQ$154,IF($S$168=137,PR!$AQ$155,IF($S$168=138,PR!$AQ$156,IF($S$168=139,PR!$AQ$157,IF($S$168=140,PR!$AQ$158,IF($S$168=141,PR!$AQ$159,IF($S$168=142,PR!$AQ$163,IF($S$168=143,PR!$AQ$164,IF($S$168=144,PR!$AQ$165,IF($S$168=145,PR!$AQ$166,IF($S$168=146,PR!$AQ$167,IF($S$168=147,PR!$AQ$168,IF($S$168=148,PR!$AQ$169,IF($S$168=149,PR!$AQ$170,IF($S$168=150,PR!$AQ$171,IF($S$168=151,PR!$AQ$172,IF($S$168=152,PR!$AQ$173,IF($S$168=153,PR!$AQ$174,IF($S$168=154,PR!$AQ$175,IF($S$168=155,PR!$AQ$176,IF($S$168=156,PR!$AQ$177,IF($S$168=157,PR!$AQ$178,IF($S$168=158,PR!$AQ$179,IF($S$168=159,PR!$AQ$180,IF($S$168=160,PR!$AQ$181,IF($S$168=161,PR!$AQ$182,IF($S$168=162,PR!$AQ$183,IF($S$168=163,PR!$AQ$184,IF($S$168=164,PR!$AQ$185,IF($S$168=165,PR!$AQ$186,IF($S$168=166,PR!$AQ$187,IF($S$168=167,PR!$AQ$188,IF($S$168=168,PR!$AQ$189,IF($S$168=169,PR!$AQ$190,IF($S$168=170,PR!$AQ$191,IF($S$168=171,PR!$AQ$192,IF($S$168=172,PR!$AQ$193,IF($S$168=173,PR!$AQ$194,IF($S$168=174,PR!$AQ$195,IF($S$168=175,PR!$AQ$196,IF($S$168=176,PR!$AQ$197,IF($S$168=177,PR!$AQ$198,IF($S$168=178,PR!$AQ$199,IF($S$168=179,PR!$AQ$200,IF($S$168=180,PR!$AQ$201,"-"))))))))))))))))))))))))))))))))))))))))))))))))))))))))))))</f>
        <v>0</v>
      </c>
      <c r="H178" s="544">
        <f>IF($S$168=121,PR!$AR$139,IF($S$168=122,PR!$AR$140,IF($S$168=123,PR!$AR$141,IF($S$168=124,PR!$AR$142,IF($S$168=125,PR!$AR$143,IF($S$168=126,PR!$AR$144,IF($S$168=127,PR!$AR$145,IF($S$168=128,PR!$AR$146,IF($S$168=129,PR!$AR$147,IF($S$168=130,PR!$AR$148,IF($S$168=131,PR!$AR$149,IF($S$168=132,PR!$AR$150,IF($S$168=133,PR!$AR$151,IF($S$168=134,PR!$AR$152,IF($S$168=135,PR!$AR$153,IF($S$168=136,PR!$AR$154,IF($S$168=137,PR!$AR$155,IF($S$168=138,PR!$AR$156,IF($S$168=139,PR!$AR$157,IF($S$168=140,PR!$AR$158,IF($S$168=141,PR!$AR$159,IF($S$168=142,PR!$AR$163,IF($S$168=143,PR!$AR$164,IF($S$168=144,PR!$AR$165,IF($S$168=145,PR!$AR$166,IF($S$168=146,PR!$AR$167,IF($S$168=147,PR!$AR$168,IF($S$168=148,PR!$AR$169,IF($S$168=149,PR!$AR$170,IF($S$168=150,PR!$AR$171,IF($S$168=151,PR!$AR$172,IF($S$168=152,PR!$AR$173,IF($S$168=153,PR!$AR$174,IF($S$168=154,PR!$AR$175,IF($S$168=155,PR!$AR$176,IF($S$168=156,PR!$AR$177,IF($S$168=157,PR!$AR$178,IF($S$168=158,PR!$AR$179,IF($S$168=159,PR!$AR$180,IF($S$168=160,PR!$AR$181,IF($S$168=161,PR!$AR$182,IF($S$168=162,PR!$AR$183,IF($S$168=163,PR!$AR$184,IF($S$168=164,PR!$AR$185,IF($S$168=165,PR!$AR$186,IF($S$168=166,PR!$AR$187,IF($S$168=167,PR!$AR$188,IF($S$168=168,PR!$AR$189,IF($S$168=169,PR!$AR$190,IF($S$168=170,PR!$AR$191,IF($S$168=171,PR!$AR$192,IF($S$168=172,PR!$AR$193,IF($S$168=173,PR!$AR$194,IF($S$168=174,PR!$AR$195,IF($S$168=175,PR!$AR$196,IF($S$168=176,PR!$AR$197,IF($S$168=177,PR!$AR$198,IF($S$168=178,PR!$AR$199,IF($S$168=179,PR!$AR$200,IF($S$168=180,PR!$AR$201,"-"))))))))))))))))))))))))))))))))))))))))))))))))))))))))))))</f>
        <v>0</v>
      </c>
      <c r="I178" s="544">
        <f>IF($S$168=121,PR!$AS$139,IF($S$168=122,PR!$AS$140,IF($S$168=123,PR!$AS$141,IF($S$168=124,PR!$AS$142,IF($S$168=125,PR!$AS$143,IF($S$168=126,PR!$AS$144,IF($S$168=127,PR!$AS$145,IF($S$168=128,PR!$AS$146,IF($S$168=129,PR!$AS$147,IF($S$168=130,PR!$AS$148,IF($S$168=131,PR!$AS$149,IF($S$168=132,PR!$AS$150,IF($S$168=133,PR!$AS$151,IF($S$168=134,PR!$AS$152,IF($S$168=135,PR!$AS$153,IF($S$168=136,PR!$AS$154,IF($S$168=137,PR!$AS$155,IF($S$168=138,PR!$AS$156,IF($S$168=139,PR!$AS$157,IF($S$168=140,PR!$AS$158,IF($S$168=141,PR!$AS$159,IF($S$168=142,PR!$AS$163,IF($S$168=143,PR!$AS$164,IF($S$168=144,PR!$AS$165,IF($S$168=145,PR!$AS$166,IF($S$168=146,PR!$AS$167,IF($S$168=147,PR!$AS$168,IF($S$168=148,PR!$AS$169,IF($S$168=149,PR!$AS$170,IF($S$168=150,PR!$AS$171,IF($S$168=151,PR!$AS$172,IF($S$168=152,PR!$AS$173,IF($S$168=153,PR!$AS$174,IF($S$168=154,PR!$AS$175,IF($S$168=155,PR!$AS$176,IF($S$168=156,PR!$AS$177,IF($S$168=157,PR!$AS$178,IF($S$168=158,PR!$AS$179,IF($S$168=159,PR!$AS$180,IF($S$168=160,PR!$AS$181,IF($S$168=161,PR!$AS$182,IF($S$168=162,PR!$AS$183,IF($S$168=163,PR!$AS$184,IF($S$168=164,PR!$AS$185,IF($S$168=165,PR!$AS$186,IF($S$168=166,PR!$AS$187,IF($S$168=167,PR!$AS$188,IF($S$168=168,PR!$AS$189,IF($S$168=169,PR!$AS$190,IF($S$168=170,PR!$AS$191,IF($S$168=171,PR!$AS$192,IF($S$168=172,PR!$AS$193,IF($S$168=173,PR!$AS$194,IF($S$168=174,PR!$AS$195,IF($S$168=175,PR!$AS$196,IF($S$168=176,PR!$AS$197,IF($S$168=177,PR!$AS$198,IF($S$168=178,PR!$AS$199,IF($S$168=179,PR!$AS$200,IF($S$168=180,PR!$AS$201,"-"))))))))))))))))))))))))))))))))))))))))))))))))))))))))))))</f>
        <v>0</v>
      </c>
      <c r="J178" s="544">
        <f>IF($S$168=121,PR!$AT$139,IF($S$168=122,PR!$AT$140,IF($S$168=123,PR!$AT$141,IF($S$168=124,PR!$AT$142,IF($S$168=125,PR!$AT$143,IF($S$168=126,PR!$AT$144,IF($S$168=127,PR!$AT$145,IF($S$168=128,PR!$AT$146,IF($S$168=129,PR!$AT$147,IF($S$168=130,PR!$AT$148,IF($S$168=131,PR!$AT$149,IF($S$168=132,PR!$AT$150,IF($S$168=133,PR!$AT$151,IF($S$168=134,PR!$AT$152,IF($S$168=135,PR!$AT$153,IF($S$168=136,PR!$AT$154,IF($S$168=137,PR!$AT$155,IF($S$168=138,PR!$AT$156,IF($S$168=139,PR!$AT$157,IF($S$168=140,PR!$AT$158,IF($S$168=141,PR!$AT$159,IF($S$168=142,PR!$AT$163,IF($S$168=143,PR!$AT$164,IF($S$168=144,PR!$AT$165,IF($S$168=145,PR!$AT$166,IF($S$168=146,PR!$AT$167,IF($S$168=147,PR!$AT$168,IF($S$168=148,PR!$AT$169,IF($S$168=149,PR!$AT$170,IF($S$168=150,PR!$AT$171,IF($S$168=151,PR!$AT$172,IF($S$168=152,PR!$AT$173,IF($S$168=153,PR!$AT$174,IF($S$168=154,PR!$AT$175,IF($S$168=155,PR!$AT$176,IF($S$168=156,PR!$AT$177,IF($S$168=157,PR!$AT$178,IF($S$168=158,PR!$AT$179,IF($S$168=159,PR!$AT$180,IF($S$168=160,PR!$AT$181,IF($S$168=161,PR!$AT$182,IF($S$168=162,PR!$AT$183,IF($S$168=163,PR!$AT$184,IF($S$168=164,PR!$AT$185,IF($S$168=165,PR!$AT$186,IF($S$168=166,PR!$AT$187,IF($S$168=167,PR!$AT$188,IF($S$168=168,PR!$AT$189,IF($S$168=169,PR!$AT$190,IF($S$168=170,PR!$AT$191,IF($S$168=171,PR!$AT$192,IF($S$168=172,PR!$AT$193,IF($S$168=173,PR!$AT$194,IF($S$168=174,PR!$AT$195,IF($S$168=175,PR!$AT$196,IF($S$168=176,PR!$AT$197,IF($S$168=177,PR!$AT$198,IF($S$168=178,PR!$AT$199,IF($S$168=179,PR!$AT$200,IF($S$168=180,PR!$AT$201,"-"))))))))))))))))))))))))))))))))))))))))))))))))))))))))))))</f>
        <v>0</v>
      </c>
      <c r="K178" s="544">
        <f>IF($S$168=121,PR!$AU$139,IF($S$168=122,PR!$AU$140,IF($S$168=123,PR!$AU$141,IF($S$168=124,PR!$AU$142,IF($S$168=125,PR!$AU$143,IF($S$168=126,PR!$AU$144,IF($S$168=127,PR!$AU$145,IF($S$168=128,PR!$AU$146,IF($S$168=129,PR!$AU$147,IF($S$168=130,PR!$AU$148,IF($S$168=131,PR!$AU$149,IF($S$168=132,PR!$AU$150,IF($S$168=133,PR!$AU$151,IF($S$168=134,PR!$AU$152,IF($S$168=135,PR!$AU$153,IF($S$168=136,PR!$AU$154,IF($S$168=137,PR!$AU$155,IF($S$168=138,PR!$AU$156,IF($S$168=139,PR!$AU$157,IF($S$168=140,PR!$AU$158,IF($S$168=141,PR!$AU$159,IF($S$168=142,PR!$AU$163,IF($S$168=143,PR!$AU$164,IF($S$168=144,PR!$AU$165,IF($S$168=145,PR!$AU$166,IF($S$168=146,PR!$AU$167,IF($S$168=147,PR!$AU$168,IF($S$168=148,PR!$AU$169,IF($S$168=149,PR!$AU$170,IF($S$168=150,PR!$AU$171,IF($S$168=151,PR!$AU$172,IF($S$168=152,PR!$AU$173,IF($S$168=153,PR!$AU$174,IF($S$168=154,PR!$AU$175,IF($S$168=155,PR!$AU$176,IF($S$168=156,PR!$AU$177,IF($S$168=157,PR!$AU$178,IF($S$168=158,PR!$AU$179,IF($S$168=159,PR!$AU$180,IF($S$168=160,PR!$AU$181,IF($S$168=161,PR!$AU$182,IF($S$168=162,PR!$AU$183,IF($S$168=163,PR!$AU$184,IF($S$168=164,PR!$AU$185,IF($S$168=165,PR!$AU$186,IF($S$168=166,PR!$AU$187,IF($S$168=167,PR!$AU$188,IF($S$168=168,PR!$AU$189,IF($S$168=169,PR!$AU$190,IF($S$168=170,PR!$AU$191,IF($S$168=171,PR!$AU$192,IF($S$168=172,PR!$AU$193,IF($S$168=173,PR!$AU$194,IF($S$168=174,PR!$AU$195,IF($S$168=175,PR!$AU$196,IF($S$168=176,PR!$AU$197,IF($S$168=177,PR!$AU$198,IF($S$168=178,PR!$AU$199,IF($S$168=179,PR!$AU$200,IF($S$168=180,PR!$AU$201,"-"))))))))))))))))))))))))))))))))))))))))))))))))))))))))))))</f>
        <v>0</v>
      </c>
      <c r="L178" s="544">
        <f>IF($S$168=121,PR!$AV$139,IF($S$168=122,PR!$AV$140,IF($S$168=123,PR!$AV$141,IF($S$168=124,PR!$AV$142,IF($S$168=125,PR!$AV$143,IF($S$168=126,PR!$AV$144,IF($S$168=127,PR!$AV$145,IF($S$168=128,PR!$AV$146,IF($S$168=129,PR!$AV$147,IF($S$168=130,PR!$AV$148,IF($S$168=131,PR!$AV$149,IF($S$168=132,PR!$AV$150,IF($S$168=133,PR!$AV$151,IF($S$168=134,PR!$AV$152,IF($S$168=135,PR!$AV$153,IF($S$168=136,PR!$AV$154,IF($S$168=137,PR!$AV$155,IF($S$168=138,PR!$AV$156,IF($S$168=139,PR!$AV$157,IF($S$168=140,PR!$AV$158,IF($S$168=141,PR!$AV$159,IF($S$168=142,PR!$AV$163,IF($S$168=143,PR!$AV$164,IF($S$168=144,PR!$AV$165,IF($S$168=145,PR!$AV$166,IF($S$168=146,PR!$AV$167,IF($S$168=147,PR!$AV$168,IF($S$168=148,PR!$AV$169,IF($S$168=149,PR!$AV$170,IF($S$168=150,PR!$AV$171,IF($S$168=151,PR!$AV$172,IF($S$168=152,PR!$AV$173,IF($S$168=153,PR!$AV$174,IF($S$168=154,PR!$AV$175,IF($S$168=155,PR!$AV$176,IF($S$168=156,PR!$AV$177,IF($S$168=157,PR!$AV$178,IF($S$168=158,PR!$AV$179,IF($S$168=159,PR!$AV$180,IF($S$168=160,PR!$AV$181,IF($S$168=161,PR!$AV$182,IF($S$168=162,PR!$AV$183,IF($S$168=163,PR!$AV$184,IF($S$168=164,PR!$AV$185,IF($S$168=165,PR!$AV$186,IF($S$168=166,PR!$AV$187,IF($S$168=167,PR!$AV$188,IF($S$168=168,PR!$AV$189,IF($S$168=169,PR!$AV$190,IF($S$168=170,PR!$AV$191,IF($S$168=171,PR!$AV$192,IF($S$168=172,PR!$AV$193,IF($S$168=173,PR!$AV$194,IF($S$168=174,PR!$AV$195,IF($S$168=175,PR!$AV$196,IF($S$168=176,PR!$AV$197,IF($S$168=177,PR!$AV$198,IF($S$168=178,PR!$AV$199,IF($S$168=179,PR!$AV$200,IF($S$168=180,PR!$AV$201,"-"))))))))))))))))))))))))))))))))))))))))))))))))))))))))))))</f>
        <v>0</v>
      </c>
      <c r="M178" s="544">
        <f>IF($S$168=121,PR!$AW$139,IF($S$168=122,PR!$AW$140,IF($S$168=123,PR!$AW$141,IF($S$168=124,PR!$AW$142,IF($S$168=125,PR!$AW$143,IF($S$168=126,PR!$AW$144,IF($S$168=127,PR!$AW$145,IF($S$168=128,PR!$AW$146,IF($S$168=129,PR!$AW$147,IF($S$168=130,PR!$AW$148,IF($S$168=131,PR!$AW$149,IF($S$168=132,PR!$AW$150,IF($S$168=133,PR!$AW$151,IF($S$168=134,PR!$AW$152,IF($S$168=135,PR!$AW$153,IF($S$168=136,PR!$AW$154,IF($S$168=137,PR!$AW$155,IF($S$168=138,PR!$AW$156,IF($S$168=139,PR!$AW$157,IF($S$168=140,PR!$AW$158,IF($S$168=141,PR!$AW$159,IF($S$168=142,PR!$AW$163,IF($S$168=143,PR!$AW$164,IF($S$168=144,PR!$AW$165,IF($S$168=145,PR!$AW$166,IF($S$168=146,PR!$AW$167,IF($S$168=147,PR!$AW$168,IF($S$168=148,PR!$AW$169,IF($S$168=149,PR!$AW$170,IF($S$168=150,PR!$AW$171,IF($S$168=151,PR!$AW$172,IF($S$168=152,PR!$AW$173,IF($S$168=153,PR!$AW$174,IF($S$168=154,PR!$AW$175,IF($S$168=155,PR!$AW$176,IF($S$168=156,PR!$AW$177,IF($S$168=157,PR!$AW$178,IF($S$168=158,PR!$AW$179,IF($S$168=159,PR!$AW$180,IF($S$168=160,PR!$AW$181,IF($S$168=161,PR!$AW$182,IF($S$168=162,PR!$AW$183,IF($S$168=163,PR!$AW$184,IF($S$168=164,PR!$AW$185,IF($S$168=165,PR!$AW$186,IF($S$168=166,PR!$AW$187,IF($S$168=167,PR!$AW$188,IF($S$168=168,PR!$AW$189,IF($S$168=169,PR!$AW$190,IF($S$168=170,PR!$AW$191,IF($S$168=171,PR!$AW$192,IF($S$168=172,PR!$AW$193,IF($S$168=173,PR!$AW$194,IF($S$168=174,PR!$AW$195,IF($S$168=175,PR!$AW$196,IF($S$168=176,PR!$AW$197,IF($S$168=177,PR!$AW$198,IF($S$168=178,PR!$AW$199,IF($S$168=179,PR!$AW$200,IF($S$168=180,PR!$AW$201,"-"))))))))))))))))))))))))))))))))))))))))))))))))))))))))))))</f>
        <v>0</v>
      </c>
      <c r="N178" s="544">
        <f>IF($S$168=121,PR!$AX$139,IF($S$168=122,PR!$AX$140,IF($S$168=123,PR!$AX$141,IF($S$168=124,PR!$AX$142,IF($S$168=125,PR!$AX$143,IF($S$168=126,PR!$AX$144,IF($S$168=127,PR!$AX$145,IF($S$168=128,PR!$AX$146,IF($S$168=129,PR!$AX$147,IF($S$168=130,PR!$AX$148,IF($S$168=131,PR!$AX$149,IF($S$168=132,PR!$AX$150,IF($S$168=133,PR!$AX$151,IF($S$168=134,PR!$AX$152,IF($S$168=135,PR!$AX$153,IF($S$168=136,PR!$AX$154,IF($S$168=137,PR!$AX$155,IF($S$168=138,PR!$AX$156,IF($S$168=139,PR!$AX$157,IF($S$168=140,PR!$AX$158,IF($S$168=141,PR!$AX$159,IF($S$168=142,PR!$AX$163,IF($S$168=143,PR!$AX$164,IF($S$168=144,PR!$AX$165,IF($S$168=145,PR!$AX$166,IF($S$168=146,PR!$AX$167,IF($S$168=147,PR!$AX$168,IF($S$168=148,PR!$AX$169,IF($S$168=149,PR!$AX$170,IF($S$168=150,PR!$AX$171,IF($S$168=151,PR!$AX$172,IF($S$168=152,PR!$AX$173,IF($S$168=153,PR!$AX$174,IF($S$168=154,PR!$AX$175,IF($S$168=155,PR!$AX$176,IF($S$168=156,PR!$AX$177,IF($S$168=157,PR!$AX$178,IF($S$168=158,PR!$AX$179,IF($S$168=159,PR!$AX$180,IF($S$168=160,PR!$AX$181,IF($S$168=161,PR!$AX$182,IF($S$168=162,PR!$AX$183,IF($S$168=163,PR!$AX$184,IF($S$168=164,PR!$AX$185,IF($S$168=165,PR!$AX$186,IF($S$168=166,PR!$AX$187,IF($S$168=167,PR!$AX$188,IF($S$168=168,PR!$AX$189,IF($S$168=169,PR!$AX$190,IF($S$168=170,PR!$AX$191,IF($S$168=171,PR!$AX$192,IF($S$168=172,PR!$AX$193,IF($S$168=173,PR!$AX$194,IF($S$168=174,PR!$AX$195,IF($S$168=175,PR!$AX$196,IF($S$168=176,PR!$AX$197,IF($S$168=177,PR!$AX$198,IF($S$168=178,PR!$AX$199,IF($S$168=179,PR!$AX$200,IF($S$168=180,PR!$AX$201,"-"))))))))))))))))))))))))))))))))))))))))))))))))))))))))))))</f>
        <v>0</v>
      </c>
      <c r="O178" s="544">
        <f>IF($S$168=121,PR!$AY$139,IF($S$168=122,PR!$AY$140,IF($S$168=123,PR!$AY$141,IF($S$168=124,PR!$AY$142,IF($S$168=125,PR!$AY$143,IF($S$168=126,PR!$AY$144,IF($S$168=127,PR!$AY$145,IF($S$168=128,PR!$AY$146,IF($S$168=129,PR!$AY$147,IF($S$168=130,PR!$AY$148,IF($S$168=131,PR!$AY$149,IF($S$168=132,PR!$AY$150,IF($S$168=133,PR!$AY$151,IF($S$168=134,PR!$AY$152,IF($S$168=135,PR!$AY$153,IF($S$168=136,PR!$AY$154,IF($S$168=137,PR!$AY$155,IF($S$168=138,PR!$AY$156,IF($S$168=139,PR!$AY$157,IF($S$168=140,PR!$AY$158,IF($S$168=141,PR!$AY$159,IF($S$168=142,PR!$AY$163,IF($S$168=143,PR!$AY$164,IF($S$168=144,PR!$AY$165,IF($S$168=145,PR!$AY$166,IF($S$168=146,PR!$AY$167,IF($S$168=147,PR!$AY$168,IF($S$168=148,PR!$AY$169,IF($S$168=149,PR!$AY$170,IF($S$168=150,PR!$AY$171,IF($S$168=151,PR!$AY$172,IF($S$168=152,PR!$AY$173,IF($S$168=153,PR!$AY$174,IF($S$168=154,PR!$AY$175,IF($S$168=155,PR!$AY$176,IF($S$168=156,PR!$AY$177,IF($S$168=157,PR!$AY$178,IF($S$168=158,PR!$AY$179,IF($S$168=159,PR!$AY$180,IF($S$168=160,PR!$AY$181,IF($S$168=161,PR!$AY$182,IF($S$168=162,PR!$AY$183,IF($S$168=163,PR!$AY$184,IF($S$168=164,PR!$AY$185,IF($S$168=165,PR!$AY$186,IF($S$168=166,PR!$AY$187,IF($S$168=167,PR!$AY$188,IF($S$168=168,PR!$AY$189,IF($S$168=169,PR!$AY$190,IF($S$168=170,PR!$AY$191,IF($S$168=171,PR!$AY$192,IF($S$168=172,PR!$AY$193,IF($S$168=173,PR!$AY$194,IF($S$168=174,PR!$AY$195,IF($S$168=175,PR!$AY$196,IF($S$168=176,PR!$AY$197,IF($S$168=177,PR!$AY$198,IF($S$168=178,PR!$AY$199,IF($S$168=179,PR!$AY$200,IF($S$168=180,PR!$AY$201,"-"))))))))))))))))))))))))))))))))))))))))))))))))))))))))))))</f>
        <v>0</v>
      </c>
      <c r="P178" s="544">
        <f>IF($S$168=121,PR!$AZ$139,IF($S$168=122,PR!$AZ$140,IF($S$168=123,PR!$AZ$141,IF($S$168=124,PR!$AZ$142,IF($S$168=125,PR!$AZ$143,IF($S$168=126,PR!$AZ$144,IF($S$168=127,PR!$AZ$145,IF($S$168=128,PR!$AZ$146,IF($S$168=129,PR!$AZ$147,IF($S$168=130,PR!$AZ$148,IF($S$168=131,PR!$AZ$149,IF($S$168=132,PR!$AZ$150,IF($S$168=133,PR!$AZ$151,IF($S$168=134,PR!$AZ$152,IF($S$168=135,PR!$AZ$153,IF($S$168=136,PR!$AZ$154,IF($S$168=137,PR!$AZ$155,IF($S$168=138,PR!$AZ$156,IF($S$168=139,PR!$AZ$157,IF($S$168=140,PR!$AZ$158,IF($S$168=141,PR!$AZ$159,IF($S$168=142,PR!$AZ$163,IF($S$168=143,PR!$AZ$164,IF($S$168=144,PR!$AZ$165,IF($S$168=145,PR!$AZ$166,IF($S$168=146,PR!$AZ$167,IF($S$168=147,PR!$AZ$168,IF($S$168=148,PR!$AZ$169,IF($S$168=149,PR!$AZ$170,IF($S$168=150,PR!$AZ$171,IF($S$168=151,PR!$AZ$172,IF($S$168=152,PR!$AZ$173,IF($S$168=153,PR!$AZ$174,IF($S$168=154,PR!$AZ$175,IF($S$168=155,PR!$AZ$176,IF($S$168=156,PR!$AZ$177,IF($S$168=157,PR!$AZ$178,IF($S$168=158,PR!$AZ$179,IF($S$168=159,PR!$AZ$180,IF($S$168=160,PR!$AZ$181,IF($S$168=161,PR!$AZ$182,IF($S$168=162,PR!$AZ$183,IF($S$168=163,PR!$AZ$184,IF($S$168=164,PR!$AZ$185,IF($S$168=165,PR!$AZ$186,IF($S$168=166,PR!$AZ$187,IF($S$168=167,PR!$AZ$188,IF($S$168=168,PR!$AZ$189,IF($S$168=169,PR!$AZ$190,IF($S$168=170,PR!$AZ$191,IF($S$168=171,PR!$AZ$192,IF($S$168=172,PR!$AZ$193,IF($S$168=173,PR!$AZ$194,IF($S$168=174,PR!$AZ$195,IF($S$168=175,PR!$AZ$196,IF($S$168=176,PR!$AZ$197,IF($S$168=177,PR!$AZ$198,IF($S$168=178,PR!$AZ$199,IF($S$168=179,PR!$AZ$200,IF($S$168=180,PR!$AZ$201,"-"))))))))))))))))))))))))))))))))))))))))))))))))))))))))))))</f>
        <v>0</v>
      </c>
      <c r="Q178" s="544">
        <f>IF($S$168=121,PR!$BA$139,IF($S$168=122,PR!$BA$140,IF($S$168=123,PR!$BA$141,IF($S$168=124,PR!$BA$142,IF($S$168=125,PR!$BA$143,IF($S$168=126,PR!$BA$144,IF($S$168=127,PR!$BA$145,IF($S$168=128,PR!$BA$146,IF($S$168=129,PR!$BA$147,IF($S$168=130,PR!$BA$148,IF($S$168=131,PR!$BA$149,IF($S$168=132,PR!$BA$150,IF($S$168=133,PR!$BA$151,IF($S$168=134,PR!$BA$152,IF($S$168=135,PR!$BA$153,IF($S$168=136,PR!$BA$154,IF($S$168=137,PR!$BA$155,IF($S$168=138,PR!$BA$156,IF($S$168=139,PR!$BA$157,IF($S$168=140,PR!$BA$158,IF($S$168=141,PR!$BA$159,IF($S$168=142,PR!$BA$163,IF($S$168=143,PR!$BA$164,IF($S$168=144,PR!$BA$165,IF($S$168=145,PR!$BA$166,IF($S$168=146,PR!$BA$167,IF($S$168=147,PR!$BA$168,IF($S$168=148,PR!$BA$169,IF($S$168=149,PR!$BA$170,IF($S$168=150,PR!$BA$171,IF($S$168=151,PR!$BA$172,IF($S$168=152,PR!$BA$173,IF($S$168=153,PR!$BA$174,IF($S$168=154,PR!$BA$175,IF($S$168=155,PR!$BA$176,IF($S$168=156,PR!$BA$177,IF($S$168=157,PR!$BA$178,IF($S$168=158,PR!$BA$179,IF($S$168=159,PR!$BA$180,IF($S$168=160,PR!$BA$181,IF($S$168=161,PR!$BA$182,IF($S$168=162,PR!$BA$183,IF($S$168=163,PR!$BA$184,IF($S$168=164,PR!$BA$185,IF($S$168=165,PR!$BA$186,IF($S$168=166,PR!$BA$187,IF($S$168=167,PR!$BA$188,IF($S$168=168,PR!$BA$189,IF($S$168=169,PR!$BA$190,IF($S$168=170,PR!$BA$191,IF($S$168=171,PR!$BA$192,IF($S$168=172,PR!$BA$193,IF($S$168=173,PR!$BA$194,IF($S$168=174,PR!$BA$195,IF($S$168=175,PR!$BA$196,IF($S$168=176,PR!$BA$197,IF($S$168=177,PR!$BA$198,IF($S$168=178,PR!$BA$199,IF($S$168=179,PR!$BA$200,IF($S$168=180,PR!$BA$201,"-"))))))))))))))))))))))))))))))))))))))))))))))))))))))))))))</f>
        <v>0</v>
      </c>
      <c r="R178" s="544">
        <f>IF($S$168=121,PR!$BB$139,IF($S$168=122,PR!$BB$140,IF($S$168=123,PR!$BB$141,IF($S$168=124,PR!$BB$142,IF($S$168=125,PR!$BB$143,IF($S$168=126,PR!$BB$144,IF($S$168=127,PR!$BB$145,IF($S$168=128,PR!$BB$146,IF($S$168=129,PR!$BB$147,IF($S$168=130,PR!$BB$148,IF($S$168=131,PR!$BB$149,IF($S$168=132,PR!$BB$150,IF($S$168=133,PR!$BB$151,IF($S$168=134,PR!$BB$152,IF($S$168=135,PR!$BB$153,IF($S$168=136,PR!$BB$154,IF($S$168=137,PR!$BB$155,IF($S$168=138,PR!$BB$156,IF($S$168=139,PR!$BB$157,IF($S$168=140,PR!$BB$158,IF($S$168=141,PR!$BB$159,IF($S$168=142,PR!$BB$163,IF($S$168=143,PR!$BB$164,IF($S$168=144,PR!$BB$165,IF($S$168=145,PR!$BB$166,IF($S$168=146,PR!$BB$167,IF($S$168=147,PR!$BB$168,IF($S$168=148,PR!$BB$169,IF($S$168=149,PR!$BB$170,IF($S$168=150,PR!$BB$171,IF($S$168=151,PR!$BB$172,IF($S$168=152,PR!$BB$173,IF($S$168=153,PR!$BB$174,IF($S$168=154,PR!$BB$175,IF($S$168=155,PR!$BB$176,IF($S$168=156,PR!$BB$177,IF($S$168=157,PR!$BB$178,IF($S$168=158,PR!$BB$179,IF($S$168=159,PR!$BB$180,IF($S$168=160,PR!$BB$181,IF($S$168=161,PR!$BB$182,IF($S$168=162,PR!$BB$183,IF($S$168=163,PR!$BB$184,IF($S$168=164,PR!$BB$185,IF($S$168=165,PR!$BB$186,IF($S$168=166,PR!$BB$187,IF($S$168=167,PR!$BB$188,IF($S$168=168,PR!$BB$189,IF($S$168=169,PR!$BB$190,IF($S$168=170,PR!$BB$191,IF($S$168=171,PR!$BB$192,IF($S$168=172,PR!$BB$193,IF($S$168=173,PR!$BB$194,IF($S$168=174,PR!$BB$195,IF($S$168=175,PR!$BB$196,IF($S$168=176,PR!$BB$197,IF($S$168=177,PR!$BB$198,IF($S$168=178,PR!$BB$199,IF($S$168=179,PR!$BB$200,IF($S$168=180,PR!$BB$201,"-"))))))))))))))))))))))))))))))))))))))))))))))))))))))))))))</f>
        <v>0</v>
      </c>
      <c r="S178" s="544">
        <f>IF($S$168=121,PR!$BC$139,IF($S$168=122,PR!$BC$140,IF($S$168=123,PR!$BC$141,IF($S$168=124,PR!$BC$142,IF($S$168=125,PR!$BC$143,IF($S$168=126,PR!$BC$144,IF($S$168=127,PR!$BC$145,IF($S$168=128,PR!$BC$146,IF($S$168=129,PR!$BC$147,IF($S$168=130,PR!$BC$148,IF($S$168=131,PR!$BC$149,IF($S$168=132,PR!$BC$150,IF($S$168=133,PR!$BC$151,IF($S$168=134,PR!$BC$152,IF($S$168=135,PR!$BC$153,IF($S$168=136,PR!$BC$154,IF($S$168=137,PR!$BC$155,IF($S$168=138,PR!$BC$156,IF($S$168=139,PR!$BC$157,IF($S$168=140,PR!$BC$158,IF($S$168=141,PR!$BC$159,IF($S$168=142,PR!$BC$163,IF($S$168=143,PR!$BC$164,IF($S$168=144,PR!$BC$165,IF($S$168=145,PR!$BC$166,IF($S$168=146,PR!$BC$167,IF($S$168=147,PR!$BC$168,IF($S$168=148,PR!$BC$169,IF($S$168=149,PR!$BC$170,IF($S$168=150,PR!$BC$171,IF($S$168=151,PR!$BC$172,IF($S$168=152,PR!$BC$173,IF($S$168=153,PR!$BC$174,IF($S$168=154,PR!$BC$175,IF($S$168=155,PR!$BC$176,IF($S$168=156,PR!$BC$177,IF($S$168=157,PR!$BC$178,IF($S$168=158,PR!$BC$179,IF($S$168=159,PR!$BC$180,IF($S$168=160,PR!$BC$181,IF($S$168=161,PR!$BC$182,IF($S$168=162,PR!$BC$183,IF($S$168=163,PR!$BC$184,IF($S$168=164,PR!$BC$185,IF($S$168=165,PR!$BC$186,IF($S$168=166,PR!$BC$187,IF($S$168=167,PR!$BC$188,IF($S$168=168,PR!$BC$189,IF($S$168=169,PR!$BC$190,IF($S$168=170,PR!$BC$191,IF($S$168=171,PR!$BC$192,IF($S$168=172,PR!$BC$193,IF($S$168=173,PR!$BC$194,IF($S$168=174,PR!$BC$195,IF($S$168=175,PR!$BC$196,IF($S$168=176,PR!$BC$197,IF($S$168=177,PR!$BC$198,IF($S$168=178,PR!$BC$199,IF($S$168=179,PR!$BC$200,IF($S$168=180,PR!$BC$201,"-"))))))))))))))))))))))))))))))))))))))))))))))))))))))))))))</f>
        <v>0</v>
      </c>
      <c r="T178" s="518"/>
      <c r="U178" s="518"/>
      <c r="V178" s="32"/>
      <c r="W178" s="32"/>
      <c r="X178" s="32"/>
      <c r="Y178" s="32"/>
      <c r="Z178" s="32"/>
    </row>
    <row r="179" spans="1:26" ht="15.75" x14ac:dyDescent="0.25">
      <c r="A179" s="91"/>
      <c r="B179" s="518"/>
      <c r="C179" s="545"/>
      <c r="D179" s="546"/>
      <c r="E179" s="546"/>
      <c r="F179" s="546"/>
      <c r="G179" s="546"/>
      <c r="H179" s="546"/>
      <c r="I179" s="546"/>
      <c r="J179" s="546"/>
      <c r="K179" s="546"/>
      <c r="L179" s="546"/>
      <c r="M179" s="546"/>
      <c r="N179" s="546"/>
      <c r="O179" s="546"/>
      <c r="P179" s="546"/>
      <c r="Q179" s="546"/>
      <c r="R179" s="549"/>
      <c r="S179" s="549"/>
      <c r="T179" s="518"/>
      <c r="U179" s="518"/>
      <c r="V179" s="32"/>
      <c r="W179" s="32"/>
      <c r="X179" s="32"/>
      <c r="Y179" s="32"/>
      <c r="Z179" s="32"/>
    </row>
    <row r="180" spans="1:26" ht="15.75" thickBot="1" x14ac:dyDescent="0.3">
      <c r="A180" s="91"/>
      <c r="B180" s="518"/>
      <c r="C180" s="548" t="str">
        <f>N!$C$55</f>
        <v>SAM</v>
      </c>
      <c r="D180" s="548" t="str">
        <f>N!$C$56</f>
        <v>SEAGREEN</v>
      </c>
      <c r="E180" s="548" t="str">
        <f>N!$C$57</f>
        <v>SKG</v>
      </c>
      <c r="F180" s="548" t="str">
        <f>N!$C$58</f>
        <v>TAH</v>
      </c>
      <c r="G180" s="548" t="str">
        <f>N!$C$59</f>
        <v>TAYLEK</v>
      </c>
      <c r="H180" s="548" t="str">
        <f>N!$C$60</f>
        <v>TEMITA</v>
      </c>
      <c r="I180" s="548" t="str">
        <f>N!$C$61</f>
        <v>THL</v>
      </c>
      <c r="J180" s="548" t="str">
        <f>N!$C$62</f>
        <v>UBASTIC</v>
      </c>
      <c r="K180" s="548" t="str">
        <f>N!$C$63</f>
        <v>UNION</v>
      </c>
      <c r="L180" s="548" t="str">
        <f>N!$C$64</f>
        <v>UNIQUE</v>
      </c>
      <c r="M180" s="548" t="str">
        <f>N!$C$65</f>
        <v>VIXA</v>
      </c>
      <c r="N180" s="548" t="str">
        <f>N!$C$66</f>
        <v>WWCV</v>
      </c>
      <c r="O180" s="548" t="str">
        <f>N!$C$67</f>
        <v>ZOLON</v>
      </c>
      <c r="P180" s="548" t="e">
        <f>N!#REF!</f>
        <v>#REF!</v>
      </c>
      <c r="Q180" s="548" t="e">
        <f>N!#REF!</f>
        <v>#REF!</v>
      </c>
      <c r="R180" s="548" t="e">
        <f>N!#REF!</f>
        <v>#REF!</v>
      </c>
      <c r="S180" s="546"/>
      <c r="T180" s="518"/>
      <c r="U180" s="518"/>
      <c r="V180" s="32"/>
      <c r="W180" s="32"/>
      <c r="X180" s="32"/>
      <c r="Y180" s="32"/>
      <c r="Z180" s="32"/>
    </row>
    <row r="181" spans="1:26" ht="15.75" thickBot="1" x14ac:dyDescent="0.3">
      <c r="A181" s="91"/>
      <c r="B181" s="518"/>
      <c r="C181" s="544">
        <f>IF($S$168=121,PR!$BD$139,IF($S$168=122,PR!$BD$140,IF($S$168=123,PR!$BD$141,IF($S$168=124,PR!$BD$142,IF($S$168=125,PR!$BD$143,IF($S$168=126,PR!$BD$144,IF($S$168=127,PR!$BD$145,IF($S$168=128,PR!$BD$146,IF($S$168=129,PR!$BD$147,IF($S$168=130,PR!$BD$148,IF($S$168=131,PR!$BD$149,IF($S$168=132,PR!$BD$150,IF($S$168=133,PR!$BD$151,IF($S$168=134,PR!$BD$152,IF($S$168=135,PR!$BD$153,IF($S$168=136,PR!$BD$154,IF($S$168=137,PR!$BD$155,IF($S$168=138,PR!$BD$156,IF($S$168=139,PR!$BD$157,IF($S$168=140,PR!$BD$158,IF($S$168=141,PR!$BD$159,IF($S$168=142,PR!$BD$163,IF($S$168=143,PR!$BD$164,IF($S$168=144,PR!$BD$165,IF($S$168=145,PR!$BD$166,IF($S$168=146,PR!$BD$167,IF($S$168=147,PR!$BD$168,IF($S$168=148,PR!$BD$169,IF($S$168=149,PR!$BD$170,IF($S$168=150,PR!$BD$171,IF($S$168=151,PR!$BD$172,IF($S$168=152,PR!$BD$173,IF($S$168=153,PR!$BD$174,IF($S$168=154,PR!$BD$175,IF($S$168=155,PR!$BD$176,IF($S$168=156,PR!$BD$177,IF($S$168=157,PR!$BD$178,IF($S$168=158,PR!$BD$179,IF($S$168=159,PR!$BD$180,IF($S$168=160,PR!$BD$181,IF($S$168=161,PR!$BD$182,IF($S$168=162,PR!$BD$183,IF($S$168=163,PR!$BD$184,IF($S$168=164,PR!$BD$185,IF($S$168=165,PR!$BD$186,IF($S$168=166,PR!$BD$187,IF($S$168=167,PR!$BD$188,IF($S$168=168,PR!$BD$189,IF($S$168=169,PR!$BD$190,IF($S$168=170,PR!$BD$191,IF($S$168=171,PR!$BD$192,IF($S$168=172,PR!$BD$193,IF($S$168=173,PR!$BD$194,IF($S$168=174,PR!$BD$195,IF($S$168=175,PR!$BD$196,IF($S$168=176,PR!$BD$197,IF($S$168=177,PR!$BD$198,IF($S$168=178,PR!$BD$199,IF($S$168=179,PR!$BD$200,IF($S$168=180,PR!$BD$201,"-"))))))))))))))))))))))))))))))))))))))))))))))))))))))))))))</f>
        <v>0</v>
      </c>
      <c r="D181" s="544">
        <f>IF($S$168=121,PR!$BE$139,IF($S$168=122,PR!$BE$140,IF($S$168=123,PR!$BE$141,IF($S$168=124,PR!$BE$142,IF($S$168=125,PR!$BE$143,IF($S$168=126,PR!$BE$144,IF($S$168=127,PR!$BE$145,IF($S$168=128,PR!$BE$146,IF($S$168=129,PR!$BE$147,IF($S$168=130,PR!$BE$148,IF($S$168=131,PR!$BE$149,IF($S$168=132,PR!$BE$150,IF($S$168=133,PR!$BE$151,IF($S$168=134,PR!$BE$152,IF($S$168=135,PR!$BE$153,IF($S$168=136,PR!$BE$154,IF($S$168=137,PR!$BE$155,IF($S$168=138,PR!$BE$156,IF($S$168=139,PR!$BE$157,IF($S$168=140,PR!$BE$158,IF($S$168=141,PR!$BE$159,IF($S$168=142,PR!$BE$163,IF($S$168=143,PR!$BE$164,IF($S$168=144,PR!$BE$165,IF($S$168=145,PR!$BE$166,IF($S$168=146,PR!$BE$167,IF($S$168=147,PR!$BE$168,IF($S$168=148,PR!$BE$169,IF($S$168=149,PR!$BE$170,IF($S$168=150,PR!$BE$171,IF($S$168=151,PR!$BE$172,IF($S$168=152,PR!$BE$173,IF($S$168=153,PR!$BE$174,IF($S$168=154,PR!$BE$175,IF($S$168=155,PR!$BE$176,IF($S$168=156,PR!$BE$177,IF($S$168=157,PR!$BE$178,IF($S$168=158,PR!$BE$179,IF($S$168=159,PR!$BE$180,IF($S$168=160,PR!$BE$181,IF($S$168=161,PR!$BE$182,IF($S$168=162,PR!$BE$183,IF($S$168=163,PR!$BE$184,IF($S$168=164,PR!$BE$185,IF($S$168=165,PR!$BE$186,IF($S$168=166,PR!$BE$187,IF($S$168=167,PR!$BE$188,IF($S$168=168,PR!$BE$189,IF($S$168=169,PR!$BE$190,IF($S$168=170,PR!$BE$191,IF($S$168=171,PR!$BE$192,IF($S$168=172,PR!$BE$193,IF($S$168=173,PR!$BE$194,IF($S$168=174,PR!$BE$195,IF($S$168=175,PR!$BE$196,IF($S$168=176,PR!$BE$197,IF($S$168=177,PR!$BE$198,IF($S$168=178,PR!$BE$199,IF($S$168=179,PR!$BE$200,IF($S$168=180,PR!$BE$201,"-"))))))))))))))))))))))))))))))))))))))))))))))))))))))))))))</f>
        <v>0</v>
      </c>
      <c r="E181" s="544">
        <f>IF($S$168=121,PR!$BF$139,IF($S$168=122,PR!$BF$140,IF($S$168=123,PR!$BF$141,IF($S$168=124,PR!$BF$142,IF($S$168=125,PR!$BF$143,IF($S$168=126,PR!$BF$144,IF($S$168=127,PR!$BF$145,IF($S$168=128,PR!$BF$146,IF($S$168=129,PR!$BF$147,IF($S$168=130,PR!$BF$148,IF($S$168=131,PR!$BF$149,IF($S$168=132,PR!$BF$150,IF($S$168=133,PR!$BF$151,IF($S$168=134,PR!$BF$152,IF($S$168=135,PR!$BF$153,IF($S$168=136,PR!$BF$154,IF($S$168=137,PR!$BF$155,IF($S$168=138,PR!$BF$156,IF($S$168=139,PR!$BF$157,IF($S$168=140,PR!$BF$158,IF($S$168=141,PR!$BF$159,IF($S$168=142,PR!$BF$163,IF($S$168=143,PR!$BF$164,IF($S$168=144,PR!$BF$165,IF($S$168=145,PR!$BF$166,IF($S$168=146,PR!$BF$167,IF($S$168=147,PR!$BF$168,IF($S$168=148,PR!$BF$169,IF($S$168=149,PR!$BF$170,IF($S$168=150,PR!$BF$171,IF($S$168=151,PR!$BF$172,IF($S$168=152,PR!$BF$173,IF($S$168=153,PR!$BF$174,IF($S$168=154,PR!$BF$175,IF($S$168=155,PR!$BF$176,IF($S$168=156,PR!$BF$177,IF($S$168=157,PR!$BF$178,IF($S$168=158,PR!$BF$179,IF($S$168=159,PR!$BF$180,IF($S$168=160,PR!$BF$181,IF($S$168=161,PR!$BF$182,IF($S$168=162,PR!$BF$183,IF($S$168=163,PR!$BF$184,IF($S$168=164,PR!$BF$185,IF($S$168=165,PR!$BF$186,IF($S$168=166,PR!$BF$187,IF($S$168=167,PR!$BF$188,IF($S$168=168,PR!$BF$189,IF($S$168=169,PR!$BF$190,IF($S$168=170,PR!$BF$191,IF($S$168=171,PR!$BF$192,IF($S$168=172,PR!$BF$193,IF($S$168=173,PR!$BF$194,IF($S$168=174,PR!$BF$195,IF($S$168=175,PR!$BF$196,IF($S$168=176,PR!$BF$197,IF($S$168=177,PR!$BF$198,IF($S$168=178,PR!$BF$199,IF($S$168=179,PR!$BF$200,IF($S$168=180,PR!$BF$201,"-"))))))))))))))))))))))))))))))))))))))))))))))))))))))))))))</f>
        <v>3033.4666666666667</v>
      </c>
      <c r="F181" s="544">
        <f>IF($S$168=121,PR!$BG$139,IF($S$168=122,PR!$BG$140,IF($S$168=123,PR!$BG$141,IF($S$168=124,PR!$BG$142,IF($S$168=125,PR!$BG$143,IF($S$168=126,PR!$BG$144,IF($S$168=127,PR!$BG$145,IF($S$168=128,PR!$BG$146,IF($S$168=129,PR!$BG$147,IF($S$168=130,PR!$BG$148,IF($S$168=131,PR!$BG$149,IF($S$168=132,PR!$BG$150,IF($S$168=133,PR!$BG$151,IF($S$168=134,PR!$BG$152,IF($S$168=135,PR!$BG$153,IF($S$168=136,PR!$BG$154,IF($S$168=137,PR!$BG$155,IF($S$168=138,PR!$BG$156,IF($S$168=139,PR!$BG$157,IF($S$168=140,PR!$BG$158,IF($S$168=141,PR!$BG$159,IF($S$168=142,PR!$BG$163,IF($S$168=143,PR!$BG$164,IF($S$168=144,PR!$BG$165,IF($S$168=145,PR!$BG$166,IF($S$168=146,PR!$BG$167,IF($S$168=147,PR!$BG$168,IF($S$168=148,PR!$BG$169,IF($S$168=149,PR!$BG$170,IF($S$168=150,PR!$BG$171,IF($S$168=151,PR!$BG$172,IF($S$168=152,PR!$BG$173,IF($S$168=153,PR!$BG$174,IF($S$168=154,PR!$BG$175,IF($S$168=155,PR!$BG$176,IF($S$168=156,PR!$BG$177,IF($S$168=157,PR!$BG$178,IF($S$168=158,PR!$BG$179,IF($S$168=159,PR!$BG$180,IF($S$168=160,PR!$BG$181,IF($S$168=161,PR!$BG$182,IF($S$168=162,PR!$BG$183,IF($S$168=163,PR!$BG$184,IF($S$168=164,PR!$BG$185,IF($S$168=165,PR!$BG$186,IF($S$168=166,PR!$BG$187,IF($S$168=167,PR!$BG$188,IF($S$168=168,PR!$BG$189,IF($S$168=169,PR!$BG$190,IF($S$168=170,PR!$BG$191,IF($S$168=171,PR!$BG$192,IF($S$168=172,PR!$BG$193,IF($S$168=173,PR!$BG$194,IF($S$168=174,PR!$BG$195,IF($S$168=175,PR!$BG$196,IF($S$168=176,PR!$BG$197,IF($S$168=177,PR!$BG$198,IF($S$168=178,PR!$BG$199,IF($S$168=179,PR!$BG$200,IF($S$168=180,PR!$BG$201,"-"))))))))))))))))))))))))))))))))))))))))))))))))))))))))))))</f>
        <v>0</v>
      </c>
      <c r="G181" s="544">
        <f>IF($S$168=121,PR!$BH$139,IF($S$168=122,PR!$BH$140,IF($S$168=123,PR!$BH$141,IF($S$168=124,PR!$BH$142,IF($S$168=125,PR!$BH$143,IF($S$168=126,PR!$BH$144,IF($S$168=127,PR!$BH$145,IF($S$168=128,PR!$BH$146,IF($S$168=129,PR!$BH$147,IF($S$168=130,PR!$BH$148,IF($S$168=131,PR!$BH$149,IF($S$168=132,PR!$BH$150,IF($S$168=133,PR!$BH$151,IF($S$168=134,PR!$BH$152,IF($S$168=135,PR!$BH$153,IF($S$168=136,PR!$BH$154,IF($S$168=137,PR!$BH$155,IF($S$168=138,PR!$BH$156,IF($S$168=139,PR!$BH$157,IF($S$168=140,PR!$BH$158,IF($S$168=141,PR!$BH$159,IF($S$168=142,PR!$BH$163,IF($S$168=143,PR!$BH$164,IF($S$168=144,PR!$BH$165,IF($S$168=145,PR!$BH$166,IF($S$168=146,PR!$BH$167,IF($S$168=147,PR!$BH$168,IF($S$168=148,PR!$BH$169,IF($S$168=149,PR!$BH$170,IF($S$168=150,PR!$BH$171,IF($S$168=151,PR!$BH$172,IF($S$168=152,PR!$BH$173,IF($S$168=153,PR!$BH$174,IF($S$168=154,PR!$BH$175,IF($S$168=155,PR!$BH$176,IF($S$168=156,PR!$BH$177,IF($S$168=157,PR!$BH$178,IF($S$168=158,PR!$BH$179,IF($S$168=159,PR!$BH$180,IF($S$168=160,PR!$BH$181,IF($S$168=161,PR!$BH$182,IF($S$168=162,PR!$BH$183,IF($S$168=163,PR!$BH$184,IF($S$168=164,PR!$BH$185,IF($S$168=165,PR!$BH$186,IF($S$168=166,PR!$BH$187,IF($S$168=167,PR!$BH$188,IF($S$168=168,PR!$BH$189,IF($S$168=169,PR!$BH$190,IF($S$168=170,PR!$BH$191,IF($S$168=171,PR!$BH$192,IF($S$168=172,PR!$BH$193,IF($S$168=173,PR!$BH$194,IF($S$168=174,PR!$BH$195,IF($S$168=175,PR!$BH$196,IF($S$168=176,PR!$BH$197,IF($S$168=177,PR!$BH$198,IF($S$168=178,PR!$BH$199,IF($S$168=179,PR!$BH$200,IF($S$168=180,PR!$BH$201,"-"))))))))))))))))))))))))))))))))))))))))))))))))))))))))))))</f>
        <v>2942.2222222222222</v>
      </c>
      <c r="H181" s="544">
        <f>IF($S$168=121,PR!$BI$139,IF($S$168=122,PR!$BI$140,IF($S$168=123,PR!$BI$141,IF($S$168=124,PR!$BI$142,IF($S$168=125,PR!$BI$143,IF($S$168=126,PR!$BI$144,IF($S$168=127,PR!$BI$145,IF($S$168=128,PR!$BI$146,IF($S$168=129,PR!$BI$147,IF($S$168=130,PR!$BI$148,IF($S$168=131,PR!$BI$149,IF($S$168=132,PR!$BI$150,IF($S$168=133,PR!$BI$151,IF($S$168=134,PR!$BI$152,IF($S$168=135,PR!$BI$153,IF($S$168=136,PR!$BI$154,IF($S$168=137,PR!$BI$155,IF($S$168=138,PR!$BI$156,IF($S$168=139,PR!$BI$157,IF($S$168=140,PR!$BI$158,IF($S$168=141,PR!$BI$159,IF($S$168=142,PR!$BI$163,IF($S$168=143,PR!$BI$164,IF($S$168=144,PR!$BI$165,IF($S$168=145,PR!$BI$166,IF($S$168=146,PR!$BI$167,IF($S$168=147,PR!$BI$168,IF($S$168=148,PR!$BI$169,IF($S$168=149,PR!$BI$170,IF($S$168=150,PR!$BI$171,IF($S$168=151,PR!$BI$172,IF($S$168=152,PR!$BI$173,IF($S$168=153,PR!$BI$174,IF($S$168=154,PR!$BI$175,IF($S$168=155,PR!$BI$176,IF($S$168=156,PR!$BI$177,IF($S$168=157,PR!$BI$178,IF($S$168=158,PR!$BI$179,IF($S$168=159,PR!$BI$180,IF($S$168=160,PR!$BI$181,IF($S$168=161,PR!$BI$182,IF($S$168=162,PR!$BI$183,IF($S$168=163,PR!$BI$184,IF($S$168=164,PR!$BI$185,IF($S$168=165,PR!$BI$186,IF($S$168=166,PR!$BI$187,IF($S$168=167,PR!$BI$188,IF($S$168=168,PR!$BI$189,IF($S$168=169,PR!$BI$190,IF($S$168=170,PR!$BI$191,IF($S$168=171,PR!$BI$192,IF($S$168=172,PR!$BI$193,IF($S$168=173,PR!$BI$194,IF($S$168=174,PR!$BI$195,IF($S$168=175,PR!$BI$196,IF($S$168=176,PR!$BI$197,IF($S$168=177,PR!$BI$198,IF($S$168=178,PR!$BI$199,IF($S$168=179,PR!$BI$200,IF($S$168=180,PR!$BI$201,"-"))))))))))))))))))))))))))))))))))))))))))))))))))))))))))))</f>
        <v>0</v>
      </c>
      <c r="I181" s="544">
        <f>IF($S$168=121,PR!$BJ$139,IF($S$168=122,PR!$BJ$140,IF($S$168=123,PR!$BJ$141,IF($S$168=124,PR!$BJ$142,IF($S$168=125,PR!$BJ$143,IF($S$168=126,PR!$BJ$144,IF($S$168=127,PR!$BJ$145,IF($S$168=128,PR!$BJ$146,IF($S$168=129,PR!$BJ$147,IF($S$168=130,PR!$BJ$148,IF($S$168=131,PR!$BJ$149,IF($S$168=132,PR!$BJ$150,IF($S$168=133,PR!$BJ$151,IF($S$168=134,PR!$BJ$152,IF($S$168=135,PR!$BJ$153,IF($S$168=136,PR!$BJ$154,IF($S$168=137,PR!$BJ$155,IF($S$168=138,PR!$BJ$156,IF($S$168=139,PR!$BJ$157,IF($S$168=140,PR!$BJ$158,IF($S$168=141,PR!$BJ$159,IF($S$168=142,PR!$BJ$163,IF($S$168=143,PR!$BJ$164,IF($S$168=144,PR!$BJ$165,IF($S$168=145,PR!$BJ$166,IF($S$168=146,PR!$BJ$167,IF($S$168=147,PR!$BJ$168,IF($S$168=148,PR!$BJ$169,IF($S$168=149,PR!$BJ$170,IF($S$168=150,PR!$BJ$171,IF($S$168=151,PR!$BJ$172,IF($S$168=152,PR!$BJ$173,IF($S$168=153,PR!$BJ$174,IF($S$168=154,PR!$BJ$175,IF($S$168=155,PR!$BJ$176,IF($S$168=156,PR!$BJ$177,IF($S$168=157,PR!$BJ$178,IF($S$168=158,PR!$BJ$179,IF($S$168=159,PR!$BJ$180,IF($S$168=160,PR!$BJ$181,IF($S$168=161,PR!$BJ$182,IF($S$168=162,PR!$BJ$183,IF($S$168=163,PR!$BJ$184,IF($S$168=164,PR!$BJ$185,IF($S$168=165,PR!$BJ$186,IF($S$168=166,PR!$BJ$187,IF($S$168=167,PR!$BJ$188,IF($S$168=168,PR!$BJ$189,IF($S$168=169,PR!$BJ$190,IF($S$168=170,PR!$BJ$191,IF($S$168=171,PR!$BJ$192,IF($S$168=172,PR!$BJ$193,IF($S$168=173,PR!$BJ$194,IF($S$168=174,PR!$BJ$195,IF($S$168=175,PR!$BJ$196,IF($S$168=176,PR!$BJ$197,IF($S$168=177,PR!$BJ$198,IF($S$168=178,PR!$BJ$199,IF($S$168=179,PR!$BJ$200,IF($S$168=180,PR!$BJ$201,"-"))))))))))))))))))))))))))))))))))))))))))))))))))))))))))))</f>
        <v>0</v>
      </c>
      <c r="J181" s="544">
        <f>IF($S$168=121,PR!$BK$139,IF($S$168=122,PR!$BK$140,IF($S$168=123,PR!$BK$141,IF($S$168=124,PR!$BK$142,IF($S$168=125,PR!$BK$143,IF($S$168=126,PR!$BK$144,IF($S$168=127,PR!$BK$145,IF($S$168=128,PR!$BK$146,IF($S$168=129,PR!$BK$147,IF($S$168=130,PR!$BK$148,IF($S$168=131,PR!$BK$149,IF($S$168=132,PR!$BK$150,IF($S$168=133,PR!$BK$151,IF($S$168=134,PR!$BK$152,IF($S$168=135,PR!$BK$153,IF($S$168=136,PR!$BK$154,IF($S$168=137,PR!$BK$155,IF($S$168=138,PR!$BK$156,IF($S$168=139,PR!$BK$157,IF($S$168=140,PR!$BK$158,IF($S$168=141,PR!$BK$159,IF($S$168=142,PR!$BK$163,IF($S$168=143,PR!$BK$164,IF($S$168=144,PR!$BK$165,IF($S$168=145,PR!$BK$166,IF($S$168=146,PR!$BK$167,IF($S$168=147,PR!$BK$168,IF($S$168=148,PR!$BK$169,IF($S$168=149,PR!$BK$170,IF($S$168=150,PR!$BK$171,IF($S$168=151,PR!$BK$172,IF($S$168=152,PR!$BK$173,IF($S$168=153,PR!$BK$174,IF($S$168=154,PR!$BK$175,IF($S$168=155,PR!$BK$176,IF($S$168=156,PR!$BK$177,IF($S$168=157,PR!$BK$178,IF($S$168=158,PR!$BK$179,IF($S$168=159,PR!$BK$180,IF($S$168=160,PR!$BK$181,IF($S$168=161,PR!$BK$182,IF($S$168=162,PR!$BK$183,IF($S$168=163,PR!$BK$184,IF($S$168=164,PR!$BK$185,IF($S$168=165,PR!$BK$186,IF($S$168=166,PR!$BK$187,IF($S$168=167,PR!$BK$188,IF($S$168=168,PR!$BK$189,IF($S$168=169,PR!$BK$190,IF($S$168=170,PR!$BK$191,IF($S$168=171,PR!$BK$192,IF($S$168=172,PR!$BK$193,IF($S$168=173,PR!$BK$194,IF($S$168=174,PR!$BK$195,IF($S$168=175,PR!$BK$196,IF($S$168=176,PR!$BK$197,IF($S$168=177,PR!$BK$198,IF($S$168=178,PR!$BK$199,IF($S$168=179,PR!$BK$200,IF($S$168=180,PR!$BK$201,"-"))))))))))))))))))))))))))))))))))))))))))))))))))))))))))))</f>
        <v>0</v>
      </c>
      <c r="K181" s="544">
        <f>IF($S$168=121,PR!$BL$139,IF($S$168=122,PR!$BL$140,IF($S$168=123,PR!$BL$141,IF($S$168=124,PR!$BL$142,IF($S$168=125,PR!$BL$143,IF($S$168=126,PR!$BL$144,IF($S$168=127,PR!$BL$145,IF($S$168=128,PR!$BL$146,IF($S$168=129,PR!$BL$147,IF($S$168=130,PR!$BL$148,IF($S$168=131,PR!$BL$149,IF($S$168=132,PR!$BL$150,IF($S$168=133,PR!$BL$151,IF($S$168=134,PR!$BL$152,IF($S$168=135,PR!$BL$153,IF($S$168=136,PR!$BL$154,IF($S$168=137,PR!$BL$155,IF($S$168=138,PR!$BL$156,IF($S$168=139,PR!$BL$157,IF($S$168=140,PR!$BL$158,IF($S$168=141,PR!$BL$159,IF($S$168=142,PR!$BL$163,IF($S$168=143,PR!$BL$164,IF($S$168=144,PR!$BL$165,IF($S$168=145,PR!$BL$166,IF($S$168=146,PR!$BL$167,IF($S$168=147,PR!$BL$168,IF($S$168=148,PR!$BL$169,IF($S$168=149,PR!$BL$170,IF($S$168=150,PR!$BL$171,IF($S$168=151,PR!$BL$172,IF($S$168=152,PR!$BL$173,IF($S$168=153,PR!$BL$174,IF($S$168=154,PR!$BL$175,IF($S$168=155,PR!$BL$176,IF($S$168=156,PR!$BL$177,IF($S$168=157,PR!$BL$178,IF($S$168=158,PR!$BL$179,IF($S$168=159,PR!$BL$180,IF($S$168=160,PR!$BL$181,IF($S$168=161,PR!$BL$182,IF($S$168=162,PR!$BL$183,IF($S$168=163,PR!$BL$184,IF($S$168=164,PR!$BL$185,IF($S$168=165,PR!$BL$186,IF($S$168=166,PR!$BL$187,IF($S$168=167,PR!$BL$188,IF($S$168=168,PR!$BL$189,IF($S$168=169,PR!$BL$190,IF($S$168=170,PR!$BL$191,IF($S$168=171,PR!$BL$192,IF($S$168=172,PR!$BL$193,IF($S$168=173,PR!$BL$194,IF($S$168=174,PR!$BL$195,IF($S$168=175,PR!$BL$196,IF($S$168=176,PR!$BL$197,IF($S$168=177,PR!$BL$198,IF($S$168=178,PR!$BL$199,IF($S$168=179,PR!$BL$200,IF($S$168=180,PR!$BL$201,"-"))))))))))))))))))))))))))))))))))))))))))))))))))))))))))))</f>
        <v>0</v>
      </c>
      <c r="L181" s="544">
        <f>IF($S$168=121,PR!$BM$139,IF($S$168=122,PR!$BM$140,IF($S$168=123,PR!$BM$141,IF($S$168=124,PR!$BM$142,IF($S$168=125,PR!$BM$143,IF($S$168=126,PR!$BM$144,IF($S$168=127,PR!$BM$145,IF($S$168=128,PR!$BM$146,IF($S$168=129,PR!$BM$147,IF($S$168=130,PR!$BM$148,IF($S$168=131,PR!$BM$149,IF($S$168=132,PR!$BM$150,IF($S$168=133,PR!$BM$151,IF($S$168=134,PR!$BM$152,IF($S$168=135,PR!$BM$153,IF($S$168=136,PR!$BM$154,IF($S$168=137,PR!$BM$155,IF($S$168=138,PR!$BM$156,IF($S$168=139,PR!$BM$157,IF($S$168=140,PR!$BM$158,IF($S$168=141,PR!$BM$159,IF($S$168=142,PR!$BM$163,IF($S$168=143,PR!$BM$164,IF($S$168=144,PR!$BM$165,IF($S$168=145,PR!$BM$166,IF($S$168=146,PR!$BM$167,IF($S$168=147,PR!$BM$168,IF($S$168=148,PR!$BM$169,IF($S$168=149,PR!$BM$170,IF($S$168=150,PR!$BM$171,IF($S$168=151,PR!$BM$172,IF($S$168=152,PR!$BM$173,IF($S$168=153,PR!$BM$174,IF($S$168=154,PR!$BM$175,IF($S$168=155,PR!$BM$176,IF($S$168=156,PR!$BM$177,IF($S$168=157,PR!$BM$178,IF($S$168=158,PR!$BM$179,IF($S$168=159,PR!$BM$180,IF($S$168=160,PR!$BM$181,IF($S$168=161,PR!$BM$182,IF($S$168=162,PR!$BM$183,IF($S$168=163,PR!$BM$184,IF($S$168=164,PR!$BM$185,IF($S$168=165,PR!$BM$186,IF($S$168=166,PR!$BM$187,IF($S$168=167,PR!$BM$188,IF($S$168=168,PR!$BM$189,IF($S$168=169,PR!$BM$190,IF($S$168=170,PR!$BM$191,IF($S$168=171,PR!$BM$192,IF($S$168=172,PR!$BM$193,IF($S$168=173,PR!$BM$194,IF($S$168=174,PR!$BM$195,IF($S$168=175,PR!$BM$196,IF($S$168=176,PR!$BM$197,IF($S$168=177,PR!$BM$198,IF($S$168=178,PR!$BM$199,IF($S$168=179,PR!$BM$200,IF($S$168=180,PR!$BM$201,"-"))))))))))))))))))))))))))))))))))))))))))))))))))))))))))))</f>
        <v>0</v>
      </c>
      <c r="M181" s="544">
        <f>IF($S$168=121,PR!$BN$139,IF($S$168=122,PR!$BN$140,IF($S$168=123,PR!$BN$141,IF($S$168=124,PR!$BN$142,IF($S$168=125,PR!$BN$143,IF($S$168=126,PR!$BN$144,IF($S$168=127,PR!$BN$145,IF($S$168=128,PR!$BN$146,IF($S$168=129,PR!$BN$147,IF($S$168=130,PR!$BN$148,IF($S$168=131,PR!$BN$149,IF($S$168=132,PR!$BN$150,IF($S$168=133,PR!$BN$151,IF($S$168=134,PR!$BN$152,IF($S$168=135,PR!$BN$153,IF($S$168=136,PR!$BN$154,IF($S$168=137,PR!$BN$155,IF($S$168=138,PR!$BN$156,IF($S$168=139,PR!$BN$157,IF($S$168=140,PR!$BN$158,IF($S$168=141,PR!$BN$159,IF($S$168=142,PR!$BN$163,IF($S$168=143,PR!$BN$164,IF($S$168=144,PR!$BN$165,IF($S$168=145,PR!$BN$166,IF($S$168=146,PR!$BN$167,IF($S$168=147,PR!$BN$168,IF($S$168=148,PR!$BN$169,IF($S$168=149,PR!$BN$170,IF($S$168=150,PR!$BN$171,IF($S$168=151,PR!$BN$172,IF($S$168=152,PR!$BN$173,IF($S$168=153,PR!$BN$174,IF($S$168=154,PR!$BN$175,IF($S$168=155,PR!$BN$176,IF($S$168=156,PR!$BN$177,IF($S$168=157,PR!$BN$178,IF($S$168=158,PR!$BN$179,IF($S$168=159,PR!$BN$180,IF($S$168=160,PR!$BN$181,IF($S$168=161,PR!$BN$182,IF($S$168=162,PR!$BN$183,IF($S$168=163,PR!$BN$184,IF($S$168=164,PR!$BN$185,IF($S$168=165,PR!$BN$186,IF($S$168=166,PR!$BN$187,IF($S$168=167,PR!$BN$188,IF($S$168=168,PR!$BN$189,IF($S$168=169,PR!$BN$190,IF($S$168=170,PR!$BN$191,IF($S$168=171,PR!$BN$192,IF($S$168=172,PR!$BN$193,IF($S$168=173,PR!$BN$194,IF($S$168=174,PR!$BN$195,IF($S$168=175,PR!$BN$196,IF($S$168=176,PR!$BN$197,IF($S$168=177,PR!$BN$198,IF($S$168=178,PR!$BN$199,IF($S$168=179,PR!$BN$200,IF($S$168=180,PR!$BN$201,"-"))))))))))))))))))))))))))))))))))))))))))))))))))))))))))))</f>
        <v>0</v>
      </c>
      <c r="N181" s="544">
        <f>IF($S$168=121,PR!$BO$139,IF($S$168=122,PR!$BO$140,IF($S$168=123,PR!$BO$141,IF($S$168=124,PR!$BO$142,IF($S$168=125,PR!$BO$143,IF($S$168=126,PR!$BO$144,IF($S$168=127,PR!$BO$145,IF($S$168=128,PR!$BO$146,IF($S$168=129,PR!$BO$147,IF($S$168=130,PR!$BO$148,IF($S$168=131,PR!$BO$149,IF($S$168=132,PR!$BO$150,IF($S$168=133,PR!$BO$151,IF($S$168=134,PR!$BO$152,IF($S$168=135,PR!$BO$153,IF($S$168=136,PR!$BO$154,IF($S$168=137,PR!$BO$155,IF($S$168=138,PR!$BO$156,IF($S$168=139,PR!$BO$157,IF($S$168=140,PR!$BO$158,IF($S$168=141,PR!$BO$159,IF($S$168=142,PR!$BO$163,IF($S$168=143,PR!$BO$164,IF($S$168=144,PR!$BO$165,IF($S$168=145,PR!$BO$166,IF($S$168=146,PR!$BO$167,IF($S$168=147,PR!$BO$168,IF($S$168=148,PR!$BO$169,IF($S$168=149,PR!$BO$170,IF($S$168=150,PR!$BO$171,IF($S$168=151,PR!$BO$172,IF($S$168=152,PR!$BO$173,IF($S$168=153,PR!$BO$174,IF($S$168=154,PR!$BO$175,IF($S$168=155,PR!$BO$176,IF($S$168=156,PR!$BO$177,IF($S$168=157,PR!$BO$178,IF($S$168=158,PR!$BO$179,IF($S$168=159,PR!$BO$180,IF($S$168=160,PR!$BO$181,IF($S$168=161,PR!$BO$182,IF($S$168=162,PR!$BO$183,IF($S$168=163,PR!$BO$184,IF($S$168=164,PR!$BO$185,IF($S$168=165,PR!$BO$186,IF($S$168=166,PR!$BO$187,IF($S$168=167,PR!$BO$188,IF($S$168=168,PR!$BO$189,IF($S$168=169,PR!$BO$190,IF($S$168=170,PR!$BO$191,IF($S$168=171,PR!$BO$192,IF($S$168=172,PR!$BO$193,IF($S$168=173,PR!$BO$194,IF($S$168=174,PR!$BO$195,IF($S$168=175,PR!$BO$196,IF($S$168=176,PR!$BO$197,IF($S$168=177,PR!$BO$198,IF($S$168=178,PR!$BO$199,IF($S$168=179,PR!$BO$200,IF($S$168=180,PR!$BO$201,"-"))))))))))))))))))))))))))))))))))))))))))))))))))))))))))))</f>
        <v>0</v>
      </c>
      <c r="O181" s="544">
        <f>IF($S$168=121,PR!$BP$139,IF($S$168=122,PR!$BP$140,IF($S$168=123,PR!$BP$141,IF($S$168=124,PR!$BP$142,IF($S$168=125,PR!$BP$143,IF($S$168=126,PR!$BP$144,IF($S$168=127,PR!$BP$145,IF($S$168=128,PR!$BP$146,IF($S$168=129,PR!$BP$147,IF($S$168=130,PR!$BP$148,IF($S$168=131,PR!$BP$149,IF($S$168=132,PR!$BP$150,IF($S$168=133,PR!$BP$151,IF($S$168=134,PR!$BP$152,IF($S$168=135,PR!$BP$153,IF($S$168=136,PR!$BP$154,IF($S$168=137,PR!$BP$155,IF($S$168=138,PR!$BP$156,IF($S$168=139,PR!$BP$157,IF($S$168=140,PR!$BP$158,IF($S$168=141,PR!$BP$159,IF($S$168=142,PR!$BP$163,IF($S$168=143,PR!$BP$164,IF($S$168=144,PR!$BP$165,IF($S$168=145,PR!$BP$166,IF($S$168=146,PR!$BP$167,IF($S$168=147,PR!$BP$168,IF($S$168=148,PR!$BP$169,IF($S$168=149,PR!$BP$170,IF($S$168=150,PR!$BP$171,IF($S$168=151,PR!$BP$172,IF($S$168=152,PR!$BP$173,IF($S$168=153,PR!$BP$174,IF($S$168=154,PR!$BP$175,IF($S$168=155,PR!$BP$176,IF($S$168=156,PR!$BP$177,IF($S$168=157,PR!$BP$178,IF($S$168=158,PR!$BP$179,IF($S$168=159,PR!$BP$180,IF($S$168=160,PR!$BP$181,IF($S$168=161,PR!$BP$182,IF($S$168=162,PR!$BP$183,IF($S$168=163,PR!$BP$184,IF($S$168=164,PR!$BP$185,IF($S$168=165,PR!$BP$186,IF($S$168=166,PR!$BP$187,IF($S$168=167,PR!$BP$188,IF($S$168=168,PR!$BP$189,IF($S$168=169,PR!$BP$190,IF($S$168=170,PR!$BP$191,IF($S$168=171,PR!$BP$192,IF($S$168=172,PR!$BP$193,IF($S$168=173,PR!$BP$194,IF($S$168=174,PR!$BP$195,IF($S$168=175,PR!$BP$196,IF($S$168=176,PR!$BP$197,IF($S$168=177,PR!$BP$198,IF($S$168=178,PR!$BP$199,IF($S$168=179,PR!$BP$200,IF($S$168=180,PR!$BP$201,"-"))))))))))))))))))))))))))))))))))))))))))))))))))))))))))))</f>
        <v>2300</v>
      </c>
      <c r="P181" s="544">
        <f>IF($S$168=121,PR!$BQ$139,IF($S$168=122,PR!$BQ$140,IF($S$168=123,PR!$BQ$141,IF($S$168=124,PR!$BQ$142,IF($S$168=125,PR!$BQ$143,IF($S$168=126,PR!$BQ$144,IF($S$168=127,PR!$BQ$145,IF($S$168=128,PR!$BQ$146,IF($S$168=129,PR!$BQ$147,IF($S$168=130,PR!$BQ$148,IF($S$168=131,PR!$BQ$149,IF($S$168=132,PR!$BQ$150,IF($S$168=133,PR!$BQ$151,IF($S$168=134,PR!$BQ$152,IF($S$168=135,PR!$BQ$153,IF($S$168=136,PR!$BQ$154,IF($S$168=137,PR!$BQ$155,IF($S$168=138,PR!$BQ$156,IF($S$168=139,PR!$BQ$157,IF($S$168=140,PR!$BQ$158,IF($S$168=141,PR!$BQ$159,IF($S$168=142,PR!$BQ$163,IF($S$168=143,PR!$BQ$164,IF($S$168=144,PR!$BQ$165,IF($S$168=145,PR!$BQ$166,IF($S$168=146,PR!$BQ$167,IF($S$168=147,PR!$BQ$168,IF($S$168=148,PR!$BQ$169,IF($S$168=149,PR!$BQ$170,IF($S$168=150,PR!$BQ$171,IF($S$168=151,PR!$BQ$172,IF($S$168=152,PR!$BQ$173,IF($S$168=153,PR!$BQ$174,IF($S$168=154,PR!$BQ$175,IF($S$168=155,PR!$BQ$176,IF($S$168=156,PR!$BQ$177,IF($S$168=157,PR!$BQ$178,IF($S$168=158,PR!$BQ$179,IF($S$168=159,PR!$BQ$180,IF($S$168=160,PR!$BQ$181,IF($S$168=161,PR!$BQ$182,IF($S$168=162,PR!$BQ$183,IF($S$168=163,PR!$BQ$184,IF($S$168=164,PR!$BQ$185,IF($S$168=165,PR!$BQ$186,IF($S$168=166,PR!$BQ$187,IF($S$168=167,PR!$BQ$188,IF($S$168=168,PR!$BQ$189,IF($S$168=169,PR!$BQ$190,IF($S$168=170,PR!$BQ$191,IF($S$168=171,PR!$BQ$192,IF($S$168=172,PR!$BQ$193,IF($S$168=173,PR!$BQ$194,IF($S$168=174,PR!$BQ$195,IF($S$168=175,PR!$BQ$196,IF($S$168=176,PR!$BQ$197,IF($S$168=177,PR!$BQ$198,IF($S$168=178,PR!$BQ$199,IF($S$168=179,PR!$BQ$200,IF($S$168=180,PR!$BQ$201,"-"))))))))))))))))))))))))))))))))))))))))))))))))))))))))))))</f>
        <v>0</v>
      </c>
      <c r="Q181" s="544">
        <f>IF($S$168=121,PR!$BR$139,IF($S$168=122,PR!$BR$140,IF($S$168=123,PR!$BR$141,IF($S$168=124,PR!$BR$142,IF($S$168=125,PR!$BR$143,IF($S$168=126,PR!$BR$144,IF($S$168=127,PR!$BR$145,IF($S$168=128,PR!$BR$146,IF($S$168=129,PR!$BR$147,IF($S$168=130,PR!$BR$148,IF($S$168=131,PR!$BR$149,IF($S$168=132,PR!$BR$150,IF($S$168=133,PR!$BR$151,IF($S$168=134,PR!$BR$152,IF($S$168=135,PR!$BR$153,IF($S$168=136,PR!$BR$154,IF($S$168=137,PR!$BR$155,IF($S$168=138,PR!$BR$156,IF($S$168=139,PR!$BR$157,IF($S$168=140,PR!$BR$158,IF($S$168=141,PR!$BR$159,IF($S$168=142,PR!$BR$163,IF($S$168=143,PR!$BR$164,IF($S$168=144,PR!$BR$165,IF($S$168=145,PR!$BR$166,IF($S$168=146,PR!$BR$167,IF($S$168=147,PR!$BR$168,IF($S$168=148,PR!$BR$169,IF($S$168=149,PR!$BR$170,IF($S$168=150,PR!$BR$171,IF($S$168=151,PR!$BR$172,IF($S$168=152,PR!$BR$173,IF($S$168=153,PR!$BR$174,IF($S$168=154,PR!$BR$175,IF($S$168=155,PR!$BR$176,IF($S$168=156,PR!$BR$177,IF($S$168=157,PR!$BR$178,IF($S$168=158,PR!$BR$179,IF($S$168=159,PR!$BR$180,IF($S$168=160,PR!$BR$181,IF($S$168=161,PR!$BR$182,IF($S$168=162,PR!$BR$183,IF($S$168=163,PR!$BR$184,IF($S$168=164,PR!$BR$185,IF($S$168=165,PR!$BR$186,IF($S$168=166,PR!$BR$187,IF($S$168=167,PR!$BR$188,IF($S$168=168,PR!$BR$189,IF($S$168=169,PR!$BR$190,IF($S$168=170,PR!$BR$191,IF($S$168=171,PR!$BR$192,IF($S$168=172,PR!$BR$193,IF($S$168=173,PR!$BR$194,IF($S$168=174,PR!$BR$195,IF($S$168=175,PR!$BR$196,IF($S$168=176,PR!$BR$197,IF($S$168=177,PR!$BR$198,IF($S$168=178,PR!$BR$199,IF($S$168=179,PR!$BR$200,IF($S$168=180,PR!$BR$201,"-"))))))))))))))))))))))))))))))))))))))))))))))))))))))))))))</f>
        <v>0</v>
      </c>
      <c r="R181" s="544">
        <f>IF($S$168=121,PR!$BS$139,IF($S$168=122,PR!$BS$140,IF($S$168=123,PR!$BS$141,IF($S$168=124,PR!$BS$142,IF($S$168=125,PR!$BS$143,IF($S$168=126,PR!$BS$144,IF($S$168=127,PR!$BS$145,IF($S$168=128,PR!$BS$146,IF($S$168=129,PR!$BS$147,IF($S$168=130,PR!$BS$148,IF($S$168=131,PR!$BS$149,IF($S$168=132,PR!$BS$150,IF($S$168=133,PR!$BS$151,IF($S$168=134,PR!$BS$152,IF($S$168=135,PR!$BS$153,IF($S$168=136,PR!$BS$154,IF($S$168=137,PR!$BS$155,IF($S$168=138,PR!$BS$156,IF($S$168=139,PR!$BS$157,IF($S$168=140,PR!$BS$158,IF($S$168=141,PR!$BS$159,IF($S$168=142,PR!$BS$163,IF($S$168=143,PR!$BS$164,IF($S$168=144,PR!$BS$165,IF($S$168=145,PR!$BS$166,IF($S$168=146,PR!$BS$167,IF($S$168=147,PR!$BS$168,IF($S$168=148,PR!$BS$169,IF($S$168=149,PR!$BS$170,IF($S$168=150,PR!$BS$171,IF($S$168=151,PR!$BS$172,IF($S$168=152,PR!$BS$173,IF($S$168=153,PR!$BS$174,IF($S$168=154,PR!$BS$175,IF($S$168=155,PR!$BS$176,IF($S$168=156,PR!$BS$177,IF($S$168=157,PR!$BS$178,IF($S$168=158,PR!$BS$179,IF($S$168=159,PR!$BS$180,IF($S$168=160,PR!$BS$181,IF($S$168=161,PR!$BS$182,IF($S$168=162,PR!$BS$183,IF($S$168=163,PR!$BS$184,IF($S$168=164,PR!$BS$185,IF($S$168=165,PR!$BS$186,IF($S$168=166,PR!$BS$187,IF($S$168=167,PR!$BS$188,IF($S$168=168,PR!$BS$189,IF($S$168=169,PR!$BS$190,IF($S$168=170,PR!$BS$191,IF($S$168=171,PR!$BS$192,IF($S$168=172,PR!$BS$193,IF($S$168=173,PR!$BS$194,IF($S$168=174,PR!$BS$195,IF($S$168=175,PR!$BS$196,IF($S$168=176,PR!$BS$197,IF($S$168=177,PR!$BS$198,IF($S$168=178,PR!$BS$199,IF($S$168=179,PR!$BS$200,IF($S$168=180,PR!$BS$201,"-"))))))))))))))))))))))))))))))))))))))))))))))))))))))))))))</f>
        <v>0</v>
      </c>
      <c r="S181" s="546"/>
      <c r="T181" s="518"/>
      <c r="U181" s="518"/>
      <c r="V181" s="32"/>
      <c r="W181" s="32"/>
      <c r="X181" s="32"/>
      <c r="Y181" s="32"/>
      <c r="Z181" s="32"/>
    </row>
    <row r="182" spans="1:26" x14ac:dyDescent="0.25">
      <c r="A182" s="91"/>
      <c r="B182" s="518"/>
      <c r="C182" s="529"/>
      <c r="D182" s="518"/>
      <c r="E182" s="518"/>
      <c r="F182" s="518"/>
      <c r="G182" s="518"/>
      <c r="H182" s="518"/>
      <c r="I182" s="518"/>
      <c r="J182" s="518"/>
      <c r="K182" s="518"/>
      <c r="L182" s="518"/>
      <c r="M182" s="518"/>
      <c r="N182" s="518"/>
      <c r="O182" s="518"/>
      <c r="P182" s="518"/>
      <c r="Q182" s="518"/>
      <c r="R182" s="521"/>
      <c r="S182" s="518"/>
      <c r="T182" s="518"/>
      <c r="U182" s="518"/>
      <c r="V182" s="32"/>
      <c r="W182" s="32"/>
      <c r="X182" s="32"/>
      <c r="Y182" s="32"/>
      <c r="Z182" s="32"/>
    </row>
    <row r="183" spans="1:26" ht="30" x14ac:dyDescent="0.25">
      <c r="A183" s="91"/>
      <c r="B183" s="518"/>
      <c r="C183" s="529"/>
      <c r="D183" s="518"/>
      <c r="E183" s="518"/>
      <c r="F183" s="518"/>
      <c r="G183" s="518"/>
      <c r="H183" s="518"/>
      <c r="I183" s="518"/>
      <c r="J183" s="518"/>
      <c r="K183" s="536" t="s">
        <v>783</v>
      </c>
      <c r="L183" s="537" t="s">
        <v>418</v>
      </c>
      <c r="M183" s="537" t="s">
        <v>419</v>
      </c>
      <c r="N183" s="538" t="s">
        <v>420</v>
      </c>
      <c r="O183" s="518"/>
      <c r="P183" s="518"/>
      <c r="Q183" s="518"/>
      <c r="R183" s="518"/>
      <c r="S183" s="518"/>
      <c r="T183" s="518"/>
      <c r="U183" s="518"/>
      <c r="V183" s="32"/>
      <c r="W183" s="32"/>
      <c r="X183" s="32"/>
      <c r="Y183" s="32"/>
      <c r="Z183" s="32"/>
    </row>
    <row r="184" spans="1:26" x14ac:dyDescent="0.25">
      <c r="A184" s="91"/>
      <c r="B184" s="518"/>
      <c r="C184" s="529"/>
      <c r="D184" s="518"/>
      <c r="E184" s="518"/>
      <c r="F184" s="518"/>
      <c r="G184" s="518"/>
      <c r="H184" s="518"/>
      <c r="I184" s="518"/>
      <c r="J184" s="518"/>
      <c r="K184" s="521" t="s">
        <v>785</v>
      </c>
      <c r="L184" s="518"/>
      <c r="M184" s="518"/>
      <c r="N184" s="518"/>
      <c r="O184" s="518"/>
      <c r="P184" s="518"/>
      <c r="Q184" s="518"/>
      <c r="R184" s="518"/>
      <c r="S184" s="518"/>
      <c r="T184" s="518"/>
      <c r="U184" s="518"/>
      <c r="V184" s="32"/>
      <c r="W184" s="32"/>
      <c r="X184" s="32"/>
      <c r="Y184" s="32"/>
      <c r="Z184" s="32"/>
    </row>
    <row r="185" spans="1:26" x14ac:dyDescent="0.25">
      <c r="A185" s="32"/>
      <c r="B185" s="32"/>
      <c r="C185" s="96"/>
      <c r="D185" s="32"/>
      <c r="E185" s="32"/>
      <c r="F185" s="32"/>
      <c r="G185" s="32"/>
      <c r="H185" s="32"/>
      <c r="I185" s="32"/>
      <c r="J185" s="32"/>
      <c r="K185" s="97">
        <v>121</v>
      </c>
      <c r="L185" s="98" t="s">
        <v>615</v>
      </c>
      <c r="M185" s="99" t="s">
        <v>632</v>
      </c>
      <c r="N185" s="100" t="s">
        <v>821</v>
      </c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x14ac:dyDescent="0.2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97">
        <f>1+K185</f>
        <v>122</v>
      </c>
      <c r="L186" s="98"/>
      <c r="M186" s="99"/>
      <c r="N186" s="100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x14ac:dyDescent="0.2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97">
        <f t="shared" ref="K187:K244" si="3">1+K186</f>
        <v>123</v>
      </c>
      <c r="L187" s="98" t="s">
        <v>1248</v>
      </c>
      <c r="M187" s="99"/>
      <c r="N187" s="100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x14ac:dyDescent="0.2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97">
        <f t="shared" si="3"/>
        <v>124</v>
      </c>
      <c r="L188" s="98"/>
      <c r="M188" s="99"/>
      <c r="N188" s="100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x14ac:dyDescent="0.2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97">
        <f t="shared" si="3"/>
        <v>125</v>
      </c>
      <c r="L189" s="98"/>
      <c r="M189" s="99"/>
      <c r="N189" s="100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x14ac:dyDescent="0.2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97">
        <f t="shared" si="3"/>
        <v>126</v>
      </c>
      <c r="L190" s="98" t="s">
        <v>1231</v>
      </c>
      <c r="M190" s="99"/>
      <c r="N190" s="100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x14ac:dyDescent="0.2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97">
        <f t="shared" si="3"/>
        <v>127</v>
      </c>
      <c r="L191" s="98" t="s">
        <v>631</v>
      </c>
      <c r="M191" s="99" t="s">
        <v>1231</v>
      </c>
      <c r="N191" s="100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x14ac:dyDescent="0.2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97">
        <f t="shared" si="3"/>
        <v>128</v>
      </c>
      <c r="L192" s="98" t="s">
        <v>1231</v>
      </c>
      <c r="M192" s="99"/>
      <c r="N192" s="100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x14ac:dyDescent="0.2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97">
        <f t="shared" si="3"/>
        <v>129</v>
      </c>
      <c r="L193" s="98" t="s">
        <v>1243</v>
      </c>
      <c r="M193" s="99" t="s">
        <v>1231</v>
      </c>
      <c r="N193" s="100" t="s">
        <v>1446</v>
      </c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x14ac:dyDescent="0.2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97">
        <f t="shared" si="3"/>
        <v>130</v>
      </c>
      <c r="L194" s="98" t="s">
        <v>1446</v>
      </c>
      <c r="M194" s="99"/>
      <c r="N194" s="100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x14ac:dyDescent="0.2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97">
        <f t="shared" si="3"/>
        <v>131</v>
      </c>
      <c r="L195" s="98"/>
      <c r="M195" s="99"/>
      <c r="N195" s="100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x14ac:dyDescent="0.2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97">
        <f t="shared" si="3"/>
        <v>132</v>
      </c>
      <c r="L196" s="98"/>
      <c r="M196" s="99"/>
      <c r="N196" s="100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x14ac:dyDescent="0.2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97">
        <f t="shared" si="3"/>
        <v>133</v>
      </c>
      <c r="L197" s="98" t="s">
        <v>615</v>
      </c>
      <c r="M197" s="99" t="s">
        <v>821</v>
      </c>
      <c r="N197" s="100" t="s">
        <v>646</v>
      </c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x14ac:dyDescent="0.2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97">
        <f t="shared" si="3"/>
        <v>134</v>
      </c>
      <c r="L198" s="98" t="s">
        <v>821</v>
      </c>
      <c r="M198" s="99" t="s">
        <v>1235</v>
      </c>
      <c r="N198" s="100" t="s">
        <v>627</v>
      </c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x14ac:dyDescent="0.2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97">
        <f t="shared" si="3"/>
        <v>135</v>
      </c>
      <c r="L199" s="98" t="s">
        <v>1231</v>
      </c>
      <c r="M199" s="99" t="s">
        <v>821</v>
      </c>
      <c r="N199" s="100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x14ac:dyDescent="0.2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97">
        <f t="shared" si="3"/>
        <v>136</v>
      </c>
      <c r="L200" s="98" t="s">
        <v>632</v>
      </c>
      <c r="M200" s="99"/>
      <c r="N200" s="100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x14ac:dyDescent="0.2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97">
        <f t="shared" si="3"/>
        <v>137</v>
      </c>
      <c r="L201" s="98" t="s">
        <v>1231</v>
      </c>
      <c r="M201" s="99"/>
      <c r="N201" s="100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x14ac:dyDescent="0.2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97">
        <f t="shared" si="3"/>
        <v>138</v>
      </c>
      <c r="L202" s="98" t="s">
        <v>631</v>
      </c>
      <c r="M202" s="99" t="s">
        <v>1231</v>
      </c>
      <c r="N202" s="100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x14ac:dyDescent="0.2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97">
        <f t="shared" si="3"/>
        <v>139</v>
      </c>
      <c r="L203" s="98" t="s">
        <v>821</v>
      </c>
      <c r="M203" s="99" t="s">
        <v>1231</v>
      </c>
      <c r="N203" s="100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x14ac:dyDescent="0.2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97">
        <f t="shared" si="3"/>
        <v>140</v>
      </c>
      <c r="L204" s="98" t="s">
        <v>821</v>
      </c>
      <c r="M204" s="99" t="s">
        <v>1231</v>
      </c>
      <c r="N204" s="100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x14ac:dyDescent="0.2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97">
        <f t="shared" si="3"/>
        <v>141</v>
      </c>
      <c r="L205" s="98" t="s">
        <v>821</v>
      </c>
      <c r="M205" s="99" t="s">
        <v>1231</v>
      </c>
      <c r="N205" s="100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x14ac:dyDescent="0.2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97">
        <f t="shared" si="3"/>
        <v>142</v>
      </c>
      <c r="L206" s="98" t="s">
        <v>1243</v>
      </c>
      <c r="M206" s="99" t="s">
        <v>618</v>
      </c>
      <c r="N206" s="100" t="s">
        <v>827</v>
      </c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x14ac:dyDescent="0.2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97">
        <f t="shared" si="3"/>
        <v>143</v>
      </c>
      <c r="L207" s="98" t="s">
        <v>821</v>
      </c>
      <c r="M207" s="99"/>
      <c r="N207" s="100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x14ac:dyDescent="0.2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97">
        <f t="shared" si="3"/>
        <v>144</v>
      </c>
      <c r="L208" s="98" t="s">
        <v>821</v>
      </c>
      <c r="M208" s="99"/>
      <c r="N208" s="100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x14ac:dyDescent="0.2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97">
        <f t="shared" si="3"/>
        <v>145</v>
      </c>
      <c r="L209" s="98" t="s">
        <v>619</v>
      </c>
      <c r="M209" s="99" t="s">
        <v>631</v>
      </c>
      <c r="N209" s="100" t="s">
        <v>821</v>
      </c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x14ac:dyDescent="0.2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97">
        <f t="shared" si="3"/>
        <v>146</v>
      </c>
      <c r="L210" s="98" t="s">
        <v>821</v>
      </c>
      <c r="M210" s="99" t="s">
        <v>1450</v>
      </c>
      <c r="N210" s="100" t="s">
        <v>634</v>
      </c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x14ac:dyDescent="0.2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97">
        <f t="shared" si="3"/>
        <v>147</v>
      </c>
      <c r="L211" s="98" t="s">
        <v>623</v>
      </c>
      <c r="M211" s="99" t="s">
        <v>821</v>
      </c>
      <c r="N211" s="100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x14ac:dyDescent="0.2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97">
        <f t="shared" si="3"/>
        <v>148</v>
      </c>
      <c r="L212" s="98" t="s">
        <v>620</v>
      </c>
      <c r="M212" s="99" t="s">
        <v>1450</v>
      </c>
      <c r="N212" s="100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x14ac:dyDescent="0.2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97">
        <f t="shared" si="3"/>
        <v>149</v>
      </c>
      <c r="L213" s="98" t="s">
        <v>821</v>
      </c>
      <c r="M213" s="99" t="s">
        <v>634</v>
      </c>
      <c r="N213" s="100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x14ac:dyDescent="0.2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97">
        <f t="shared" si="3"/>
        <v>150</v>
      </c>
      <c r="L214" s="98" t="s">
        <v>1243</v>
      </c>
      <c r="M214" s="99" t="s">
        <v>618</v>
      </c>
      <c r="N214" s="100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x14ac:dyDescent="0.2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97">
        <f t="shared" si="3"/>
        <v>151</v>
      </c>
      <c r="L215" s="98" t="s">
        <v>1448</v>
      </c>
      <c r="M215" s="99" t="s">
        <v>620</v>
      </c>
      <c r="N215" s="100" t="s">
        <v>622</v>
      </c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x14ac:dyDescent="0.2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97">
        <f t="shared" si="3"/>
        <v>152</v>
      </c>
      <c r="L216" s="98" t="s">
        <v>821</v>
      </c>
      <c r="M216" s="99" t="s">
        <v>630</v>
      </c>
      <c r="N216" s="100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x14ac:dyDescent="0.2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97">
        <f t="shared" si="3"/>
        <v>153</v>
      </c>
      <c r="L217" s="98"/>
      <c r="M217" s="99"/>
      <c r="N217" s="100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x14ac:dyDescent="0.2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97">
        <f t="shared" si="3"/>
        <v>154</v>
      </c>
      <c r="L218" s="98" t="s">
        <v>620</v>
      </c>
      <c r="M218" s="99" t="s">
        <v>1450</v>
      </c>
      <c r="N218" s="100" t="s">
        <v>1448</v>
      </c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x14ac:dyDescent="0.2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97">
        <f t="shared" si="3"/>
        <v>155</v>
      </c>
      <c r="L219" s="98" t="s">
        <v>821</v>
      </c>
      <c r="M219" s="99"/>
      <c r="N219" s="100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x14ac:dyDescent="0.2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97">
        <f t="shared" si="3"/>
        <v>156</v>
      </c>
      <c r="L220" s="98" t="s">
        <v>1235</v>
      </c>
      <c r="M220" s="99" t="s">
        <v>635</v>
      </c>
      <c r="N220" s="100" t="s">
        <v>630</v>
      </c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x14ac:dyDescent="0.2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97">
        <f t="shared" si="3"/>
        <v>157</v>
      </c>
      <c r="L221" s="98" t="s">
        <v>1231</v>
      </c>
      <c r="M221" s="99" t="s">
        <v>1246</v>
      </c>
      <c r="N221" s="100" t="s">
        <v>821</v>
      </c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x14ac:dyDescent="0.2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97">
        <f t="shared" si="3"/>
        <v>158</v>
      </c>
      <c r="L222" s="98" t="s">
        <v>824</v>
      </c>
      <c r="M222" s="99" t="s">
        <v>635</v>
      </c>
      <c r="N222" s="100" t="s">
        <v>1235</v>
      </c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x14ac:dyDescent="0.2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97">
        <f t="shared" si="3"/>
        <v>159</v>
      </c>
      <c r="L223" s="98" t="s">
        <v>821</v>
      </c>
      <c r="M223" s="99"/>
      <c r="N223" s="100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x14ac:dyDescent="0.2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97">
        <f t="shared" si="3"/>
        <v>160</v>
      </c>
      <c r="L224" s="98"/>
      <c r="M224" s="99"/>
      <c r="N224" s="100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x14ac:dyDescent="0.2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97">
        <f t="shared" si="3"/>
        <v>161</v>
      </c>
      <c r="L225" s="98" t="s">
        <v>614</v>
      </c>
      <c r="M225" s="99" t="s">
        <v>821</v>
      </c>
      <c r="N225" s="100" t="s">
        <v>387</v>
      </c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x14ac:dyDescent="0.2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97">
        <f t="shared" si="3"/>
        <v>162</v>
      </c>
      <c r="L226" s="98" t="s">
        <v>631</v>
      </c>
      <c r="M226" s="99" t="s">
        <v>627</v>
      </c>
      <c r="N226" s="100" t="s">
        <v>821</v>
      </c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x14ac:dyDescent="0.2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97">
        <f t="shared" si="3"/>
        <v>163</v>
      </c>
      <c r="L227" s="98" t="s">
        <v>633</v>
      </c>
      <c r="M227" s="99" t="s">
        <v>821</v>
      </c>
      <c r="N227" s="100" t="s">
        <v>622</v>
      </c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x14ac:dyDescent="0.2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97">
        <f t="shared" si="3"/>
        <v>164</v>
      </c>
      <c r="L228" s="98" t="s">
        <v>618</v>
      </c>
      <c r="M228" s="99" t="s">
        <v>1450</v>
      </c>
      <c r="N228" s="100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x14ac:dyDescent="0.2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97">
        <f t="shared" si="3"/>
        <v>165</v>
      </c>
      <c r="L229" s="98" t="s">
        <v>618</v>
      </c>
      <c r="M229" s="99"/>
      <c r="N229" s="100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x14ac:dyDescent="0.2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97">
        <f t="shared" si="3"/>
        <v>166</v>
      </c>
      <c r="L230" s="98" t="s">
        <v>618</v>
      </c>
      <c r="M230" s="99" t="s">
        <v>1450</v>
      </c>
      <c r="N230" s="100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x14ac:dyDescent="0.2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97">
        <f t="shared" si="3"/>
        <v>167</v>
      </c>
      <c r="L231" s="98" t="s">
        <v>820</v>
      </c>
      <c r="M231" s="99" t="s">
        <v>620</v>
      </c>
      <c r="N231" s="100" t="s">
        <v>635</v>
      </c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x14ac:dyDescent="0.2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97">
        <f t="shared" si="3"/>
        <v>168</v>
      </c>
      <c r="L232" s="98" t="s">
        <v>628</v>
      </c>
      <c r="M232" s="99" t="s">
        <v>823</v>
      </c>
      <c r="N232" s="100" t="s">
        <v>623</v>
      </c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x14ac:dyDescent="0.2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97">
        <f t="shared" si="3"/>
        <v>169</v>
      </c>
      <c r="L233" s="98" t="s">
        <v>821</v>
      </c>
      <c r="M233" s="99"/>
      <c r="N233" s="100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x14ac:dyDescent="0.2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97">
        <f t="shared" si="3"/>
        <v>170</v>
      </c>
      <c r="L234" s="98" t="s">
        <v>632</v>
      </c>
      <c r="M234" s="99" t="s">
        <v>1231</v>
      </c>
      <c r="N234" s="100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x14ac:dyDescent="0.2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97">
        <f t="shared" si="3"/>
        <v>171</v>
      </c>
      <c r="L235" s="98"/>
      <c r="M235" s="99"/>
      <c r="N235" s="100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x14ac:dyDescent="0.2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97">
        <f t="shared" si="3"/>
        <v>172</v>
      </c>
      <c r="L236" s="98"/>
      <c r="M236" s="99"/>
      <c r="N236" s="100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x14ac:dyDescent="0.2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97">
        <f t="shared" si="3"/>
        <v>173</v>
      </c>
      <c r="L237" s="98"/>
      <c r="M237" s="99"/>
      <c r="N237" s="100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x14ac:dyDescent="0.2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97">
        <f t="shared" si="3"/>
        <v>174</v>
      </c>
      <c r="L238" s="98"/>
      <c r="M238" s="99"/>
      <c r="N238" s="100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x14ac:dyDescent="0.2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97">
        <f t="shared" si="3"/>
        <v>175</v>
      </c>
      <c r="L239" s="98"/>
      <c r="M239" s="99"/>
      <c r="N239" s="100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x14ac:dyDescent="0.2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97">
        <f t="shared" si="3"/>
        <v>176</v>
      </c>
      <c r="L240" s="98" t="s">
        <v>821</v>
      </c>
      <c r="M240" s="99"/>
      <c r="N240" s="100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x14ac:dyDescent="0.2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97">
        <f t="shared" si="3"/>
        <v>177</v>
      </c>
      <c r="L241" s="98" t="s">
        <v>823</v>
      </c>
      <c r="M241" s="99" t="s">
        <v>623</v>
      </c>
      <c r="N241" s="100" t="s">
        <v>1450</v>
      </c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x14ac:dyDescent="0.2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97">
        <f t="shared" si="3"/>
        <v>178</v>
      </c>
      <c r="L242" s="98" t="s">
        <v>821</v>
      </c>
      <c r="M242" s="99" t="s">
        <v>829</v>
      </c>
      <c r="N242" s="100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x14ac:dyDescent="0.2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97">
        <f t="shared" si="3"/>
        <v>179</v>
      </c>
      <c r="L243" s="98" t="s">
        <v>635</v>
      </c>
      <c r="M243" s="99"/>
      <c r="N243" s="100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x14ac:dyDescent="0.2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97">
        <f t="shared" si="3"/>
        <v>180</v>
      </c>
      <c r="L244" s="98" t="s">
        <v>635</v>
      </c>
      <c r="M244" s="99"/>
      <c r="N244" s="100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x14ac:dyDescent="0.2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x14ac:dyDescent="0.2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x14ac:dyDescent="0.2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x14ac:dyDescent="0.2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x14ac:dyDescent="0.2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x14ac:dyDescent="0.25">
      <c r="A250" s="32"/>
      <c r="F250" s="428"/>
      <c r="G250" s="427"/>
      <c r="J250" s="428" t="s">
        <v>787</v>
      </c>
      <c r="V250" s="32"/>
      <c r="W250" s="32"/>
      <c r="X250" s="32"/>
      <c r="Y250" s="32"/>
      <c r="Z250" s="32"/>
    </row>
    <row r="251" spans="1:26" ht="36.75" thickBot="1" x14ac:dyDescent="0.6">
      <c r="A251" s="92"/>
      <c r="B251" s="517"/>
      <c r="C251" s="518"/>
      <c r="D251" s="518"/>
      <c r="E251" s="518"/>
      <c r="F251" s="518"/>
      <c r="G251" s="518"/>
      <c r="H251" s="519" t="str">
        <f>IF($S$252&gt;=1055,"LOT 21 LABORATORY REQUIREMENT - OBADA ANNEX",IF($S$252&gt;=1039,"LOT 21 - LABORATORY REQUIREMENT - SHAJE ANNEX",IF($S$252&gt;=981,"LOT 20 - LABORATORY - CHEMICAL PATHOLOGY",IF($S$252&gt;=974,"LOT 19 - MICROBIOLOGY - INFECTION CONTROL",IF($S$252&gt;=957,"LOT 19 - MICROBIOLOGY - SENSITIVITY DISCS",IF($S$252&gt;=902,"LOT 18 - MICROBIOLOGY - REAGENT KITS",IF($S$252&gt;=846,"LOT 17 - HISTOPATHOLOGY",IF($S$252&gt;=760,"LOT 16 - HAEMATOLOGY",IF($S$252&gt;=722,"LOT 15 - THEATRE DEPARTMENT",IF($S$252&gt;=709,"LOT 14 - RADIOLOGY DEPARTMENT",IF($S$252&gt;=702,"LOT 13 - PHARMACY - CONSUMABLES - SUTURES",IF($S$252&gt;=684,"LOT 13 - PHARMACY - CONSUMABLES",IF($S$252&gt;=669,"LOT 13 PHARMACY - DISINFECTANTS",IF($S$252&gt;=651,"LOT 13 - PHARMACY - DERMATOLOGICAL PREPARATIONS",IF($S$252&gt;=570,"LOT 13 - PHARMACY - DRESSINGS/CONSUMABLES",IF($S$252&gt;=539,"LOT 12 - PHARMACY - ONCOLOGY DRUGS",IF($S$252&gt;=494,"LOT 11 - PHARMACY - EYE/EAR MEDICATIONS",IF($S$252&gt;=455,"LOT 10 - PHARMACY - RESPIRATORY TRACT DRUGS",IF($S$252&gt;=424,"LOT 9 - PHARMACY GASTROINTESTINAL DRUGS",IF($S$252&gt;=381,"LOT 8 - PHARMACY -OBSTETRICS/GYNAECOLOGY DRUGS",IF($S$252&gt;=351,"LOT 7 - PHARMACY - HYPNOSEDATIVE DRUGS",IF($S$252&gt;=285,"LOT 6 PHARMACY - BLOOD &amp; NUTRITIONAL DRUGS",IF($S$252&gt;=194,"LOT 5 - PHARMACY - ANTI-INFECTIVE AGENTS",IF($S$252&gt;=142,"LOT 4 - PHARMACY - ANTI-INFLAMMATORY/ANTI-PYRETIC/ANALGESICS",IF($S$252&gt;=118,"LOT 3 - PHARMACY - ORAL HYPOGLYCAEMIC DRUGS",IF($S$252&gt;=34,"LOT 3 - PHARMACY - ANTI-HYPERTENSIVES",IF($S$252&gt;=19,"LOT 2 - PHARMACY - STERILE INTRAVENOUS FLUIDS",IF($S$252&gt;=1,"LOT 1 - PHARMACY - ANTI-MALARIALS","-"))))))))))))))))))))))))))))</f>
        <v>LOT 5 - PHARMACY - ANTI-INFECTIVE AGENTS</v>
      </c>
      <c r="I251" s="520"/>
      <c r="J251" s="518"/>
      <c r="K251" s="518"/>
      <c r="L251" s="518"/>
      <c r="M251" s="518"/>
      <c r="N251" s="518"/>
      <c r="O251" s="518"/>
      <c r="P251" s="518"/>
      <c r="Q251" s="518"/>
      <c r="R251" s="521"/>
      <c r="S251" s="518"/>
      <c r="T251" s="518"/>
      <c r="U251" s="518"/>
      <c r="V251" s="32"/>
      <c r="W251" s="32"/>
      <c r="X251" s="32"/>
      <c r="Y251" s="32"/>
      <c r="Z251" s="32"/>
    </row>
    <row r="252" spans="1:26" ht="39" customHeight="1" thickBot="1" x14ac:dyDescent="0.7">
      <c r="A252" s="95" t="s">
        <v>779</v>
      </c>
      <c r="B252" s="522"/>
      <c r="C252" s="540" t="str">
        <f>IF($S$252=181,PR!$B$202,IF($S$252=182,PR!$B$203,IF($S$252=183,PR!$B$204,IF($S$252=184,PR!$B$205,IF($S$252=185,PR!$B$206,IF($S$252=186,PR!$B$207,IF($S$252=187,PR!$B$208,IF($S$252=188,PR!$B$209,IF($S$252=189,PR!$B$210,IF($S$252=190,PR!$B$211,IF($S$252=191,PR!$B$212,IF($S$252=192,PR!$B$213,IF($S$252=193,PR!$B$214,IF($S$252=194,PR!$B$218,IF($S$252=195,PR!$B$219,IF($S$252=196,PR!$B$220,IF($S$252=197,PR!$B$221,IF($S$252=198,PR!$B$222,IF($S$252=199,PR!$B$223,IF($S$252=200,PR!$B$224,IF($S$252=201,PR!$B$225,IF($S$252=202,PR!$B$226,IF($S$252=203,PR!$B$227,IF($S$252=204,PR!$B$228,IF($S$252=205,PR!$B$229,IF($S$252=206,PR!$B$230,IF($S$252=207,PR!$B$231,IF($S$252=208,PR!$B$232,IF($S$252=209,PR!$B$233,IF($S$252=210,PR!$B$234,IF($S$252=211,PR!$B$235,IF($S$252=212,PR!$B$236,IF($S$252=213,PR!$B$237,IF($S$252=214,PR!$B$238,IF($S$252=215,PR!$B$239,IF($S$252=216,PR!$B$240,IF($S$252=217,PR!$B$241,IF($S$252=218,PR!$B$242,IF($S$252=219,PR!$B$243,IF($S$252=220,PR!$B$244,IF($S$252=221,PR!$B$245,IF($S$252=222,PR!$B$246,IF($S$252=223,PR!$B$247,IF($S$252=224,PR!$B$248,IF($S$252=225,PR!$B$249,IF($S$252=226,PR!$B$250,IF($S$252=227,PR!$B$251,IF($S$252=228,PR!$B$252,IF($S$252=229,PR!$B$253,IF($S$252=230,PR!$B$254,IF($S$252=231,PR!$B$255,IF($S$252=232,PR!$B$256,IF($S$252=233,PR!$B$257,IF($S$252=234,PR!$B$258,IF($S$252=235,PR!$B$259,IF($S$252=236,PR!$B$260,IF($S$252=237,PR!$B$261,IF($S$252=238,PR!$B$262,IF($S$252=239,PR!$B$263,IF($S$252=240,PR!$B$264,"-"))))))))))))))))))))))))))))))))))))))))))))))))))))))))))))</f>
        <v>AMPICILLIN/CLOXACILLIIN 500MG CAP</v>
      </c>
      <c r="D252" s="541"/>
      <c r="E252" s="541"/>
      <c r="F252" s="541"/>
      <c r="G252" s="541"/>
      <c r="H252" s="541"/>
      <c r="I252" s="541"/>
      <c r="J252" s="541"/>
      <c r="K252" s="541"/>
      <c r="L252" s="541"/>
      <c r="M252" s="541"/>
      <c r="N252" s="541"/>
      <c r="O252" s="541"/>
      <c r="P252" s="542"/>
      <c r="Q252" s="543"/>
      <c r="R252" s="521"/>
      <c r="S252" s="106">
        <v>211</v>
      </c>
      <c r="T252" s="518"/>
      <c r="U252" s="518"/>
      <c r="V252" s="32"/>
      <c r="W252" s="32"/>
      <c r="X252" s="32"/>
      <c r="Y252" s="32"/>
      <c r="Z252" s="32"/>
    </row>
    <row r="253" spans="1:26" ht="31.5" customHeight="1" thickBot="1" x14ac:dyDescent="0.7">
      <c r="A253" s="91"/>
      <c r="B253" s="518"/>
      <c r="C253" s="526" t="s">
        <v>780</v>
      </c>
      <c r="D253" s="794">
        <f>IF($S$252=181,PR!$D$202,IF($S$252=182,PR!$D$203,IF($S$252=183,PR!$D$204,IF($S$252=184,PR!$D$205,IF($S$252=185,PR!$D$206,IF($S$252=186,PR!$D$207,IF($S$252=187,PR!$D$208,IF($S$252=188,PR!$D$209,IF($S$252=189,PR!$D$210,IF($S$252=190,PR!$D$211,IF($S$252=191,PR!$D$212,IF($S$252=192,PR!$D$213,IF($S$252=193,PR!$D$214,IF($S$252=194,PR!$D$218,IF($S$252=195,PR!$D$219,IF($S$252=196,PR!$D$220,IF($S$252=197,PR!$D$221,IF($S$252=198,PR!$D$222,IF($S$252=199,PR!$D$223,IF($S$252=200,PR!$D$224,IF($S$252=201,PR!$D$225,IF($S$252=202,PR!$D$226,IF($S$252=203,PR!$D$227,IF($S$252=204,PR!$D$228,IF($S$252=205,PR!$D$229,IF($S$252=206,PR!$D$230,IF($S$252=207,PR!$D$231,IF($S$252=208,PR!$D$232,IF($S$252=209,PR!$D$233,IF($S$252=210,PR!$D$234,IF($S$252=211,PR!$D$235,IF($S$252=212,PR!$D$236,IF($S$252=213,PR!$D$237,IF($S$252=214,PR!$D$238,IF($S$252=215,PR!$D$239,IF($S$252=216,PR!$D$240,IF($S$252=217,PR!$D$241,IF($S$252=218,PR!$D$242,IF($S$252=219,PR!$D$243,IF($S$252=220,PR!$D$244,IF($S$252=221,PR!$D$245,IF($S$252=222,PR!$D$246,IF($S$252=223,PR!$D$247,IF($S$252=224,PR!$D$248,IF($S$252=225,PR!$D$249,IF($S$252=226,PR!$D$250,IF($S$252=227,PR!$D$251,IF($S$252=228,PR!$D$252,IF($S$252=229,PR!$D$253,IF($S$252=230,PR!$D$254,IF($S$252=231,PR!$D$255,IF($S$252=232,PR!$D$256,IF($S$252=233,PR!$D$257,IF($S$252=234,PR!$D$258,IF($S$252=235,PR!$D$259,IF($S$252=236,PR!$D$260,IF($S$252=237,PR!$D$261,IF($S$252=238,PR!$D$262,IF($S$252=239,PR!$D$263,IF($S$252=240,PR!$D$264,"-"))))))))))))))))))))))))))))))))))))))))))))))))))))))))))))</f>
        <v>100</v>
      </c>
      <c r="E253" s="795"/>
      <c r="F253" s="795"/>
      <c r="G253" s="802" t="s">
        <v>781</v>
      </c>
      <c r="H253" s="802"/>
      <c r="I253" s="802"/>
      <c r="J253" s="802"/>
      <c r="K253" s="794">
        <f>IF($S$252=181,PR!$C$202,IF($S$252=182,PR!$C$203,IF($S$252=183,PR!$C$204,IF($S$252=184,PR!$C$205,IF($S$252=185,PR!$C$206,IF($S$252=186,PR!$C$207,IF($S$252=187,PR!$C$208,IF($S$252=188,PR!$C$209,IF($S$252=189,PR!$C$210,IF($S$252=190,PR!$C$211,IF($S$252=191,PR!$C$212,IF($S$252=192,PR!$C$213,IF($S$252=193,PR!$C$214,IF($S$252=194,PR!$C$218,IF($S$252=195,PR!$C$219,IF($S$252=196,PR!$C$220,IF($S$252=197,PR!$C$221,IF($S$252=198,PR!$C$222,IF($S$252=199,PR!$C$223,IF($S$252=200,PR!$C$224,IF($S$252=201,PR!$C$225,IF($S$252=202,PR!$C$226,IF($S$252=203,PR!$C$227,IF($S$252=204,PR!$C$228,IF($S$252=205,PR!$C$229,IF($S$252=206,PR!$C$230,IF($S$252=207,PR!$C$231,IF($S$252=208,PR!$C$232,IF($S$252=209,PR!$C$233,IF($S$252=210,PR!$C$234,IF($S$252=211,PR!$C$235,IF($S$252=212,PR!$C$236,IF($S$252=213,PR!$C$237,IF($S$252=214,PR!$C$238,IF($S$252=215,PR!$C$239,IF($S$252=216,PR!$C$240,IF($S$252=217,PR!$C$241,IF($S$252=218,PR!$C$242,IF($S$252=219,PR!$C$243,IF($S$252=220,PR!$C$244,IF($S$252=221,PR!$C$245,IF($S$252=222,PR!$C$246,IF($S$252=223,PR!$C$247,IF($S$252=224,PR!$C$248,IF($S$252=225,PR!$C$249,IF($S$252=226,PR!$C$250,IF($S$252=227,PR!$C$251,IF($S$252=228,PR!$C$252,IF($S$252=229,PR!$C$253,IF($S$252=230,PR!$C$254,IF($S$252=231,PR!$C$255,IF($S$252=232,PR!$C$256,IF($S$252=233,PR!$C$257,IF($S$252=234,PR!$C$258,IF($S$252=235,PR!$C$259,IF($S$252=236,PR!$C$260,IF($S$252=237,PR!$C$261,IF($S$252=238,PR!$C$262,IF($S$252=239,PR!$C$263,IF($S$252=240,PR!$C$264,"-"))))))))))))))))))))))))))))))))))))))))))))))))))))))))))))</f>
        <v>500</v>
      </c>
      <c r="L253" s="795"/>
      <c r="M253" s="795"/>
      <c r="N253" s="518"/>
      <c r="O253" s="518"/>
      <c r="P253" s="518"/>
      <c r="Q253" s="518"/>
      <c r="R253" s="521"/>
      <c r="S253" s="518"/>
      <c r="T253" s="518"/>
      <c r="U253" s="518"/>
      <c r="V253" s="32"/>
      <c r="W253" s="32"/>
      <c r="X253" s="32"/>
      <c r="Y253" s="32"/>
      <c r="Z253" s="32"/>
    </row>
    <row r="254" spans="1:26" ht="19.5" thickTop="1" x14ac:dyDescent="0.25">
      <c r="A254" s="91"/>
      <c r="B254" s="518"/>
      <c r="C254" s="527"/>
      <c r="D254" s="528"/>
      <c r="E254" s="518"/>
      <c r="F254" s="518"/>
      <c r="G254" s="529"/>
      <c r="H254" s="529"/>
      <c r="I254" s="529"/>
      <c r="J254" s="529"/>
      <c r="K254" s="530"/>
      <c r="L254" s="530"/>
      <c r="M254" s="518"/>
      <c r="N254" s="518"/>
      <c r="O254" s="518"/>
      <c r="P254" s="518"/>
      <c r="Q254" s="518"/>
      <c r="R254" s="521"/>
      <c r="S254" s="518"/>
      <c r="T254" s="518"/>
      <c r="U254" s="518"/>
      <c r="V254" s="32"/>
      <c r="W254" s="32"/>
      <c r="X254" s="32"/>
      <c r="Y254" s="32"/>
      <c r="Z254" s="32"/>
    </row>
    <row r="255" spans="1:26" ht="15.75" thickBot="1" x14ac:dyDescent="0.3">
      <c r="A255" s="94" t="s">
        <v>782</v>
      </c>
      <c r="B255" s="531"/>
      <c r="C255" s="531" t="str">
        <f>N!$C$4</f>
        <v>ALPHA</v>
      </c>
      <c r="D255" s="531" t="str">
        <f>N!$C$5</f>
        <v>ASSENE</v>
      </c>
      <c r="E255" s="531" t="str">
        <f>N!$C$6</f>
        <v>BIOFEM</v>
      </c>
      <c r="F255" s="531" t="str">
        <f>N!$C$7</f>
        <v>BIOMED</v>
      </c>
      <c r="G255" s="531" t="str">
        <f>N!$C$8</f>
        <v>CHI</v>
      </c>
      <c r="H255" s="531" t="str">
        <f>N!$C$9</f>
        <v>CLARION</v>
      </c>
      <c r="I255" s="531" t="str">
        <f>N!$C$10</f>
        <v>CODIX</v>
      </c>
      <c r="J255" s="531" t="str">
        <f>N!$C$11</f>
        <v>COSMADE</v>
      </c>
      <c r="K255" s="531" t="str">
        <f>N!$C$12</f>
        <v>SANCON</v>
      </c>
      <c r="L255" s="531" t="str">
        <f>N!$C$13</f>
        <v>DEVON</v>
      </c>
      <c r="M255" s="531" t="str">
        <f>N!$C$14</f>
        <v>DORTEMAG</v>
      </c>
      <c r="N255" s="531" t="str">
        <f>N!$C$15</f>
        <v>DGF</v>
      </c>
      <c r="O255" s="532" t="str">
        <f>N!$C$16</f>
        <v>DYNAMIC</v>
      </c>
      <c r="P255" s="531" t="str">
        <f>N!$C$17</f>
        <v>EMZOR</v>
      </c>
      <c r="Q255" s="531" t="str">
        <f>N!$C$18</f>
        <v>EUMATT</v>
      </c>
      <c r="R255" s="531" t="str">
        <f>N!$C$19</f>
        <v>FIDSON</v>
      </c>
      <c r="S255" s="531" t="str">
        <f>N!$C$20</f>
        <v>FCGLOBAL</v>
      </c>
      <c r="T255" s="518"/>
      <c r="U255" s="518"/>
      <c r="V255" s="32"/>
      <c r="W255" s="32"/>
      <c r="X255" s="32"/>
      <c r="Y255" s="32"/>
    </row>
    <row r="256" spans="1:26" ht="15.75" thickBot="1" x14ac:dyDescent="0.3">
      <c r="A256" s="93"/>
      <c r="B256" s="533"/>
      <c r="C256" s="550">
        <f>IF($S$252=181,PR!$E$202,IF($S$252=182,PR!$E$203,IF($S$252=183,PR!$E$204,IF($S$252=184,PR!$E$205,IF($S$252=185,PR!$E$206,IF($S$252=186,PR!$E$207,IF($S$252=187,PR!$E$208,IF($S$252=188,PR!$E$209,IF($S$252=189,PR!$E$210,IF($S$252=190,PR!$E$211,IF($S$252=191,PR!$E$212,IF($S$252=192,PR!$E$213,IF($S$252=193,PR!$E$214,IF($S$252=194,PR!$E$218,IF($S$252=195,PR!$E$219,IF($S$252=196,PR!$E$220,IF($S$252=197,PR!$E$221,IF($S$252=198,PR!$E$222,IF($S$252=199,PR!$E$223,IF($S$252=200,PR!$E$224,IF($S$252=201,PR!$E$225,IF($S$252=202,PR!$E$226,IF($S$252=203,PR!$E$227,IF($S$252=204,PR!$E$228,IF($S$252=205,PR!$E$229,IF($S$252=206,PR!$E$230,IF($S$252=207,PR!$E$231,IF($S$252=208,PR!$E$232,IF($S$252=209,PR!$E$233,IF($S$252=210,PR!$E$234,IF($S$252=211,PR!$E$235,IF($S$252=212,PR!$E$236,IF($S$252=213,PR!$E$237,IF($S$252=214,PR!$E$238,IF($S$252=215,PR!$E$239,IF($S$252=216,PR!$E$240,IF($S$252=217,PR!$E$241,IF($S$252=218,PR!$E$242,IF($S$252=219,PR!$E$243,IF($S$252=220,PR!$E$244,IF($S$252=221,PR!$E$245,IF($S$252=222,PR!$E$246,IF($S$252=223,PR!$E$247,IF($S$252=224,PR!$E$248,IF($S$252=225,PR!$E$249,IF($S$252=226,PR!$E$250,IF($S$252=227,PR!$E$251,IF($S$252=228,PR!$E$252,IF($S$252=229,PR!$E$253,IF($S$252=230,PR!$E$254,IF($S$252=231,PR!$E$255,IF($S$252=232,PR!$E$256,IF($S$252=233,PR!$E$257,IF($S$252=234,PR!$E$258,IF($S$252=235,PR!$E$259,IF($S$252=236,PR!$E$260,IF($S$252=237,PR!$E$261,IF($S$252=238,PR!$E$262,IF($S$252=239,PR!$E$263,IF($S$252=240,PR!$E$264,"-"))))))))))))))))))))))))))))))))))))))))))))))))))))))))))))</f>
        <v>0</v>
      </c>
      <c r="D256" s="550">
        <f>IF($S$252=181,PR!$F$202,IF($S$252=182,PR!$F$203,IF($S$252=183,PR!$F$204,IF($S$252=184,PR!$F$205,IF($S$252=185,PR!$F$206,IF($S$252=186,PR!$F$207,IF($S$252=187,PR!$F$208,IF($S$252=188,PR!$F$209,IF($S$252=189,PR!$F$210,IF($S$252=190,PR!$F$211,IF($S$252=191,PR!$F$212,IF($S$252=192,PR!$F$213,IF($S$252=193,PR!$F$214,IF($S$252=194,PR!$F$218,IF($S$252=195,PR!$F$219,IF($S$252=196,PR!$F$220,IF($S$252=197,PR!$F$221,IF($S$252=198,PR!$F$222,IF($S$252=199,PR!$F$223,IF($S$252=200,PR!$F$224,IF($S$252=201,PR!$F$225,IF($S$252=202,PR!$F$226,IF($S$252=203,PR!$F$227,IF($S$252=204,PR!$F$228,IF($S$252=205,PR!$F$229,IF($S$252=206,PR!$F$230,IF($S$252=207,PR!$F$231,IF($S$252=208,PR!$F$232,IF($S$252=209,PR!$F$233,IF($S$252=210,PR!$F$234,IF($S$252=211,PR!$F$235,IF($S$252=212,PR!$F$236,IF($S$252=213,PR!$F$237,IF($S$252=214,PR!$F$238,IF($S$252=215,PR!$F$239,IF($S$252=216,PR!$F$240,IF($S$252=217,PR!$F$241,IF($S$252=218,PR!$F$242,IF($S$252=219,PR!$F$243,IF($S$252=220,PR!$F$244,IF($S$252=221,PR!$F$245,IF($S$252=222,PR!$F$246,IF($S$252=223,PR!$F$247,IF($S$252=224,PR!$F$248,IF($S$252=225,PR!$F$249,IF($S$252=226,PR!$F$250,IF($S$252=227,PR!$F$251,IF($S$252=228,PR!$F$252,IF($S$252=229,PR!$F$253,IF($S$252=230,PR!$F$254,IF($S$252=231,PR!$F$255,IF($S$252=232,PR!$F$256,IF($S$252=233,PR!$F$257,IF($S$252=234,PR!$F$258,IF($S$252=235,PR!$F$259,IF($S$252=236,PR!$F$260,IF($S$252=237,PR!$F$261,IF($S$252=238,PR!$F$262,IF($S$252=239,PR!$F$263,IF($S$252=240,PR!$F$264,"-"))))))))))))))))))))))))))))))))))))))))))))))))))))))))))))</f>
        <v>0</v>
      </c>
      <c r="E256" s="550">
        <f>IF($S$252=181,PR!$G$202,IF($S$252=182,PR!$G$203,IF($S$252=183,PR!$G$204,IF($S$252=184,PR!$G$205,IF($S$252=185,PR!$G$206,IF($S$252=186,PR!$G$207,IF($S$252=187,PR!$G$208,IF($S$252=188,PR!$G$209,IF($S$252=189,PR!$G$210,IF($S$252=190,PR!$G$211,IF($S$252=191,PR!$G$212,IF($S$252=192,PR!$G$213,IF($S$252=193,PR!$G$214,IF($S$252=194,PR!$G$218,IF($S$252=195,PR!$G$219,IF($S$252=196,PR!$G$220,IF($S$252=197,PR!$G$221,IF($S$252=198,PR!$G$222,IF($S$252=199,PR!$G$223,IF($S$252=200,PR!$G$224,IF($S$252=201,PR!$G$225,IF($S$252=202,PR!$G$226,IF($S$252=203,PR!$G$227,IF($S$252=204,PR!$G$228,IF($S$252=205,PR!$G$229,IF($S$252=206,PR!$G$230,IF($S$252=207,PR!$G$231,IF($S$252=208,PR!$G$232,IF($S$252=209,PR!$G$233,IF($S$252=210,PR!$G$234,IF($S$252=211,PR!$G$235,IF($S$252=212,PR!$G$236,IF($S$252=213,PR!$G$237,IF($S$252=214,PR!$G$238,IF($S$252=215,PR!$G$239,IF($S$252=216,PR!$G$240,IF($S$252=217,PR!$G$241,IF($S$252=218,PR!$G$242,IF($S$252=219,PR!$G$243,IF($S$252=220,PR!$G$244,IF($S$252=221,PR!$G$245,IF($S$252=222,PR!$G$246,IF($S$252=223,PR!$G$247,IF($S$252=224,PR!$G$248,IF($S$252=225,PR!$G$249,IF($S$252=226,PR!$G$250,IF($S$252=227,PR!$G$251,IF($S$252=228,PR!$G$252,IF($S$252=229,PR!$G$253,IF($S$252=230,PR!$G$254,IF($S$252=231,PR!$G$255,IF($S$252=232,PR!$G$256,IF($S$252=233,PR!$G$257,IF($S$252=234,PR!$G$258,IF($S$252=235,PR!$G$259,IF($S$252=236,PR!$G$260,IF($S$252=237,PR!$G$261,IF($S$252=238,PR!$G$262,IF($S$252=239,PR!$G$263,IF($S$252=240,PR!$G$264,"-"))))))))))))))))))))))))))))))))))))))))))))))))))))))))))))</f>
        <v>0</v>
      </c>
      <c r="F256" s="550">
        <f>IF($S$252=181,PR!$H$202,IF($S$252=182,PR!$H$203,IF($S$252=183,PR!$H$204,IF($S$252=184,PR!$H$205,IF($S$252=185,PR!$H$206,IF($S$252=186,PR!$H$207,IF($S$252=187,PR!$H$208,IF($S$252=188,PR!$H$209,IF($S$252=189,PR!$H$210,IF($S$252=190,PR!$H$211,IF($S$252=191,PR!$H$212,IF($S$252=192,PR!$H$213,IF($S$252=193,PR!$H$214,IF($S$252=194,PR!$H$218,IF($S$252=195,PR!$H$219,IF($S$252=196,PR!$H$220,IF($S$252=197,PR!$H$221,IF($S$252=198,PR!$H$222,IF($S$252=199,PR!$H$223,IF($S$252=200,PR!$H$224,IF($S$252=201,PR!$H$225,IF($S$252=202,PR!$H$226,IF($S$252=203,PR!$H$227,IF($S$252=204,PR!$H$228,IF($S$252=205,PR!$H$229,IF($S$252=206,PR!$H$230,IF($S$252=207,PR!$H$231,IF($S$252=208,PR!$H$232,IF($S$252=209,PR!$H$233,IF($S$252=210,PR!$H$234,IF($S$252=211,PR!$H$235,IF($S$252=212,PR!$H$236,IF($S$252=213,PR!$H$237,IF($S$252=214,PR!$H$238,IF($S$252=215,PR!$H$239,IF($S$252=216,PR!$H$240,IF($S$252=217,PR!$H$241,IF($S$252=218,PR!$H$242,IF($S$252=219,PR!$H$243,IF($S$252=220,PR!$H$244,IF($S$252=221,PR!$H$245,IF($S$252=222,PR!$H$246,IF($S$252=223,PR!$H$247,IF($S$252=224,PR!$H$248,IF($S$252=225,PR!$H$249,IF($S$252=226,PR!$H$250,IF($S$252=227,PR!$H$251,IF($S$252=228,PR!$H$252,IF($S$252=229,PR!$H$253,IF($S$252=230,PR!$H$254,IF($S$252=231,PR!$H$255,IF($S$252=232,PR!$H$256,IF($S$252=233,PR!$H$257,IF($S$252=234,PR!$H$258,IF($S$252=235,PR!$H$259,IF($S$252=236,PR!$H$260,IF($S$252=237,PR!$H$261,IF($S$252=238,PR!$H$262,IF($S$252=239,PR!$H$263,IF($S$252=240,PR!$H$264,"-"))))))))))))))))))))))))))))))))))))))))))))))))))))))))))))</f>
        <v>0</v>
      </c>
      <c r="G256" s="550">
        <f>IF($S$252=181,PR!$I$202,IF($S$252=182,PR!$I$203,IF($S$252=183,PR!$I$204,IF($S$252=184,PR!$I$205,IF($S$252=185,PR!$I$206,IF($S$252=186,PR!$I$207,IF($S$252=187,PR!$I$208,IF($S$252=188,PR!$I$209,IF($S$252=189,PR!$I$210,IF($S$252=190,PR!$I$211,IF($S$252=191,PR!$I$212,IF($S$252=192,PR!$I$213,IF($S$252=193,PR!$I$214,IF($S$252=194,PR!$I$218,IF($S$252=195,PR!$I$219,IF($S$252=196,PR!$I$220,IF($S$252=197,PR!$I$221,IF($S$252=198,PR!$I$222,IF($S$252=199,PR!$I$223,IF($S$252=200,PR!$I$224,IF($S$252=201,PR!$I$225,IF($S$252=202,PR!$I$226,IF($S$252=203,PR!$I$227,IF($S$252=204,PR!$I$228,IF($S$252=205,PR!$I$229,IF($S$252=206,PR!$I$230,IF($S$252=207,PR!$I$231,IF($S$252=208,PR!$I$232,IF($S$252=209,PR!$I$233,IF($S$252=210,PR!$I$234,IF($S$252=211,PR!$I$235,IF($S$252=212,PR!$I$236,IF($S$252=213,PR!$I$237,IF($S$252=214,PR!$I$238,IF($S$252=215,PR!$I$239,IF($S$252=216,PR!$I$240,IF($S$252=217,PR!$I$241,IF($S$252=218,PR!$I$242,IF($S$252=219,PR!$I$243,IF($S$252=220,PR!$I$244,IF($S$252=221,PR!$I$245,IF($S$252=222,PR!$I$246,IF($S$252=223,PR!$I$247,IF($S$252=224,PR!$I$248,IF($S$252=225,PR!$I$249,IF($S$252=226,PR!$I$250,IF($S$252=227,PR!$I$251,IF($S$252=228,PR!$I$252,IF($S$252=229,PR!$I$253,IF($S$252=230,PR!$I$254,IF($S$252=231,PR!$I$255,IF($S$252=232,PR!$I$256,IF($S$252=233,PR!$I$257,IF($S$252=234,PR!$I$258,IF($S$252=235,PR!$I$259,IF($S$252=236,PR!$I$260,IF($S$252=237,PR!$I$261,IF($S$252=238,PR!$I$262,IF($S$252=239,PR!$I$263,IF($S$252=240,PR!$I$264,"-"))))))))))))))))))))))))))))))))))))))))))))))))))))))))))))</f>
        <v>2500</v>
      </c>
      <c r="H256" s="550">
        <f>IF($S$252=181,PR!$J$202,IF($S$252=182,PR!$J$203,IF($S$252=183,PR!$J$204,IF($S$252=184,PR!$J$205,IF($S$252=185,PR!$J$206,IF($S$252=186,PR!$J$207,IF($S$252=187,PR!$J$208,IF($S$252=188,PR!$J$209,IF($S$252=189,PR!$J$210,IF($S$252=190,PR!$J$211,IF($S$252=191,PR!$J$212,IF($S$252=192,PR!$J$213,IF($S$252=193,PR!$J$214,IF($S$252=194,PR!$J$218,IF($S$252=195,PR!$J$219,IF($S$252=196,PR!$J$220,IF($S$252=197,PR!$J$221,IF($S$252=198,PR!$J$222,IF($S$252=199,PR!$J$223,IF($S$252=200,PR!$J$224,IF($S$252=201,PR!$J$225,IF($S$252=202,PR!$J$226,IF($S$252=203,PR!$J$227,IF($S$252=204,PR!$J$228,IF($S$252=205,PR!$J$229,IF($S$252=206,PR!$J$230,IF($S$252=207,PR!$J$231,IF($S$252=208,PR!$J$232,IF($S$252=209,PR!$J$233,IF($S$252=210,PR!$J$234,IF($S$252=211,PR!$J$235,IF($S$252=212,PR!$J$236,IF($S$252=213,PR!$J$237,IF($S$252=214,PR!$J$238,IF($S$252=215,PR!$J$239,IF($S$252=216,PR!$J$240,IF($S$252=217,PR!$J$241,IF($S$252=218,PR!$J$242,IF($S$252=219,PR!$J$243,IF($S$252=220,PR!$J$244,IF($S$252=221,PR!$J$245,IF($S$252=222,PR!$J$246,IF($S$252=223,PR!$J$247,IF($S$252=224,PR!$J$248,IF($S$252=225,PR!$J$249,IF($S$252=226,PR!$J$250,IF($S$252=227,PR!$J$251,IF($S$252=228,PR!$J$252,IF($S$252=229,PR!$J$253,IF($S$252=230,PR!$J$254,IF($S$252=231,PR!$J$255,IF($S$252=232,PR!$J$256,IF($S$252=233,PR!$J$257,IF($S$252=234,PR!$J$258,IF($S$252=235,PR!$J$259,IF($S$252=236,PR!$J$260,IF($S$252=237,PR!$J$261,IF($S$252=238,PR!$J$262,IF($S$252=239,PR!$J$263,IF($S$252=240,PR!$J$264,"-"))))))))))))))))))))))))))))))))))))))))))))))))))))))))))))</f>
        <v>0</v>
      </c>
      <c r="I256" s="550">
        <f>IF($S$252=181,PR!$K$202,IF($S$252=182,PR!$K$203,IF($S$252=183,PR!$K$204,IF($S$252=184,PR!$K$205,IF($S$252=185,PR!$K$206,IF($S$252=186,PR!$K$207,IF($S$252=187,PR!$K$208,IF($S$252=188,PR!$K$209,IF($S$252=189,PR!$K$210,IF($S$252=190,PR!$K$211,IF($S$252=191,PR!$K$212,IF($S$252=192,PR!$K$213,IF($S$252=193,PR!$K$214,IF($S$252=194,PR!$K$218,IF($S$252=195,PR!$K$219,IF($S$252=196,PR!$K$220,IF($S$252=197,PR!$K$221,IF($S$252=198,PR!$K$222,IF($S$252=199,PR!$K$223,IF($S$252=200,PR!$K$224,IF($S$252=201,PR!$K$225,IF($S$252=202,PR!$K$226,IF($S$252=203,PR!$K$227,IF($S$252=204,PR!$K$228,IF($S$252=205,PR!$K$229,IF($S$252=206,PR!$K$230,IF($S$252=207,PR!$K$231,IF($S$252=208,PR!$K$232,IF($S$252=209,PR!$K$233,IF($S$252=210,PR!$K$234,IF($S$252=211,PR!$K$235,IF($S$252=212,PR!$K$236,IF($S$252=213,PR!$K$237,IF($S$252=214,PR!$K$238,IF($S$252=215,PR!$K$239,IF($S$252=216,PR!$K$240,IF($S$252=217,PR!$K$241,IF($S$252=218,PR!$K$242,IF($S$252=219,PR!$K$243,IF($S$252=220,PR!$K$244,IF($S$252=221,PR!$K$245,IF($S$252=222,PR!$K$246,IF($S$252=223,PR!$K$247,IF($S$252=224,PR!$K$248,IF($S$252=225,PR!$K$249,IF($S$252=226,PR!$K$250,IF($S$252=227,PR!$K$251,IF($S$252=228,PR!$K$252,IF($S$252=229,PR!$K$253,IF($S$252=230,PR!$K$254,IF($S$252=231,PR!$K$255,IF($S$252=232,PR!$K$256,IF($S$252=233,PR!$K$257,IF($S$252=234,PR!$K$258,IF($S$252=235,PR!$K$259,IF($S$252=236,PR!$K$260,IF($S$252=237,PR!$K$261,IF($S$252=238,PR!$K$262,IF($S$252=239,PR!$K$263,IF($S$252=240,PR!$K$264,"-"))))))))))))))))))))))))))))))))))))))))))))))))))))))))))))</f>
        <v>0</v>
      </c>
      <c r="J256" s="550">
        <f>IF($S$252=181,PR!$L$202,IF($S$252=182,PR!$L$203,IF($S$252=183,PR!$L$204,IF($S$252=184,PR!$L$205,IF($S$252=185,PR!$L$206,IF($S$252=186,PR!$L$207,IF($S$252=187,PR!$L$208,IF($S$252=188,PR!$L$209,IF($S$252=189,PR!$L$210,IF($S$252=190,PR!$L$211,IF($S$252=191,PR!$L$212,IF($S$252=192,PR!$L$213,IF($S$252=193,PR!$L$214,IF($S$252=194,PR!$L$218,IF($S$252=195,PR!$L$219,IF($S$252=196,PR!$L$220,IF($S$252=197,PR!$L$221,IF($S$252=198,PR!$L$222,IF($S$252=199,PR!$L$223,IF($S$252=200,PR!$L$224,IF($S$252=201,PR!$L$225,IF($S$252=202,PR!$L$226,IF($S$252=203,PR!$L$227,IF($S$252=204,PR!$L$228,IF($S$252=205,PR!$L$229,IF($S$252=206,PR!$L$230,IF($S$252=207,PR!$L$231,IF($S$252=208,PR!$L$232,IF($S$252=209,PR!$L$233,IF($S$252=210,PR!$L$234,IF($S$252=211,PR!$L$235,IF($S$252=212,PR!$L$236,IF($S$252=213,PR!$L$237,IF($S$252=214,PR!$L$238,IF($S$252=215,PR!$L$239,IF($S$252=216,PR!$L$240,IF($S$252=217,PR!$L$241,IF($S$252=218,PR!$L$242,IF($S$252=219,PR!$L$243,IF($S$252=220,PR!$L$244,IF($S$252=221,PR!$L$245,IF($S$252=222,PR!$L$246,IF($S$252=223,PR!$L$247,IF($S$252=224,PR!$L$248,IF($S$252=225,PR!$L$249,IF($S$252=226,PR!$L$250,IF($S$252=227,PR!$L$251,IF($S$252=228,PR!$L$252,IF($S$252=229,PR!$L$253,IF($S$252=230,PR!$L$254,IF($S$252=231,PR!$L$255,IF($S$252=232,PR!$L$256,IF($S$252=233,PR!$L$257,IF($S$252=234,PR!$L$258,IF($S$252=235,PR!$L$259,IF($S$252=236,PR!$L$260,IF($S$252=237,PR!$L$261,IF($S$252=238,PR!$L$262,IF($S$252=239,PR!$L$263,IF($S$252=240,PR!$L$264,"-"))))))))))))))))))))))))))))))))))))))))))))))))))))))))))))</f>
        <v>0</v>
      </c>
      <c r="K256" s="550">
        <f>IF($S$252=181,PR!$M$202,IF($S$252=182,PR!$M$203,IF($S$252=183,PR!$M$204,IF($S$252=184,PR!$M$205,IF($S$252=185,PR!$M$206,IF($S$252=186,PR!$M$207,IF($S$252=187,PR!$M$208,IF($S$252=188,PR!$M$209,IF($S$252=189,PR!$M$210,IF($S$252=190,PR!$M$211,IF($S$252=191,PR!$M$212,IF($S$252=192,PR!$M$213,IF($S$252=193,PR!$M$214,IF($S$252=194,PR!$M$218,IF($S$252=195,PR!$M$219,IF($S$252=196,PR!$M$220,IF($S$252=197,PR!$M$221,IF($S$252=198,PR!$M$222,IF($S$252=199,PR!$M$223,IF($S$252=200,PR!$M$224,IF($S$252=201,PR!$M$225,IF($S$252=202,PR!$M$226,IF($S$252=203,PR!$M$227,IF($S$252=204,PR!$M$228,IF($S$252=205,PR!$M$229,IF($S$252=206,PR!$M$230,IF($S$252=207,PR!$M$231,IF($S$252=208,PR!$M$232,IF($S$252=209,PR!$M$233,IF($S$252=210,PR!$M$234,IF($S$252=211,PR!$M$235,IF($S$252=212,PR!$M$236,IF($S$252=213,PR!$M$237,IF($S$252=214,PR!$M$238,IF($S$252=215,PR!$M$239,IF($S$252=216,PR!$M$240,IF($S$252=217,PR!$M$241,IF($S$252=218,PR!$M$242,IF($S$252=219,PR!$M$243,IF($S$252=220,PR!$M$244,IF($S$252=221,PR!$M$245,IF($S$252=222,PR!$M$246,IF($S$252=223,PR!$M$247,IF($S$252=224,PR!$M$248,IF($S$252=225,PR!$M$249,IF($S$252=226,PR!$M$250,IF($S$252=227,PR!$M$251,IF($S$252=228,PR!$M$252,IF($S$252=229,PR!$M$253,IF($S$252=230,PR!$M$254,IF($S$252=231,PR!$M$255,IF($S$252=232,PR!$M$256,IF($S$252=233,PR!$M$257,IF($S$252=234,PR!$M$258,IF($S$252=235,PR!$M$259,IF($S$252=236,PR!$M$260,IF($S$252=237,PR!$M$261,IF($S$252=238,PR!$M$262,IF($S$252=239,PR!$M$263,IF($S$252=240,PR!$M$264,"-"))))))))))))))))))))))))))))))))))))))))))))))))))))))))))))</f>
        <v>0</v>
      </c>
      <c r="L256" s="550">
        <f>IF($S$252=181,PR!$N$202,IF($S$252=182,PR!$N$203,IF($S$252=183,PR!$N$204,IF($S$252=184,PR!$N$205,IF($S$252=185,PR!$N$206,IF($S$252=186,PR!$N$207,IF($S$252=187,PR!$N$208,IF($S$252=188,PR!$N$209,IF($S$252=189,PR!$N$210,IF($S$252=190,PR!$N$211,IF($S$252=191,PR!$N$212,IF($S$252=192,PR!$N$213,IF($S$252=193,PR!$N$214,IF($S$252=194,PR!$N$218,IF($S$252=195,PR!$N$219,IF($S$252=196,PR!$N$220,IF($S$252=197,PR!$N$221,IF($S$252=198,PR!$N$222,IF($S$252=199,PR!$N$223,IF($S$252=200,PR!$N$224,IF($S$252=201,PR!$N$225,IF($S$252=202,PR!$N$226,IF($S$252=203,PR!$N$227,IF($S$252=204,PR!$N$228,IF($S$252=205,PR!$N$229,IF($S$252=206,PR!$N$230,IF($S$252=207,PR!$N$231,IF($S$252=208,PR!$N$232,IF($S$252=209,PR!$N$233,IF($S$252=210,PR!$N$234,IF($S$252=211,PR!$N$235,IF($S$252=212,PR!$N$236,IF($S$252=213,PR!$N$237,IF($S$252=214,PR!$N$238,IF($S$252=215,PR!$N$239,IF($S$252=216,PR!$N$240,IF($S$252=217,PR!$N$241,IF($S$252=218,PR!$N$242,IF($S$252=219,PR!$N$243,IF($S$252=220,PR!$N$244,IF($S$252=221,PR!$N$245,IF($S$252=222,PR!$N$246,IF($S$252=223,PR!$N$247,IF($S$252=224,PR!$N$248,IF($S$252=225,PR!$N$249,IF($S$252=226,PR!$N$250,IF($S$252=227,PR!$N$251,IF($S$252=228,PR!$N$252,IF($S$252=229,PR!$N$253,IF($S$252=230,PR!$N$254,IF($S$252=231,PR!$N$255,IF($S$252=232,PR!$N$256,IF($S$252=233,PR!$N$257,IF($S$252=234,PR!$N$258,IF($S$252=235,PR!$N$259,IF($S$252=236,PR!$N$260,IF($S$252=237,PR!$N$261,IF($S$252=238,PR!$N$262,IF($S$252=239,PR!$N$263,IF($S$252=240,PR!$N$264,"-"))))))))))))))))))))))))))))))))))))))))))))))))))))))))))))</f>
        <v>0</v>
      </c>
      <c r="M256" s="550">
        <f>IF($S$252=181,PR!$O$202,IF($S$252=182,PR!$O$203,IF($S$252=183,PR!$O$204,IF($S$252=184,PR!$O$205,IF($S$252=185,PR!$O$206,IF($S$252=186,PR!$O$207,IF($S$252=187,PR!$O$208,IF($S$252=188,PR!$O$209,IF($S$252=189,PR!$O$210,IF($S$252=190,PR!$O$211,IF($S$252=191,PR!$O$212,IF($S$252=192,PR!$O$213,IF($S$252=193,PR!$O$214,IF($S$252=194,PR!$O$218,IF($S$252=195,PR!$O$219,IF($S$252=196,PR!$O$220,IF($S$252=197,PR!$O$221,IF($S$252=198,PR!$O$222,IF($S$252=199,PR!$O$223,IF($S$252=200,PR!$O$224,IF($S$252=201,PR!$O$225,IF($S$252=202,PR!$O$226,IF($S$252=203,PR!$O$227,IF($S$252=204,PR!$O$228,IF($S$252=205,PR!$O$229,IF($S$252=206,PR!$O$230,IF($S$252=207,PR!$O$231,IF($S$252=208,PR!$O$232,IF($S$252=209,PR!$O$233,IF($S$252=210,PR!$O$234,IF($S$252=211,PR!$O$235,IF($S$252=212,PR!$O$236,IF($S$252=213,PR!$O$237,IF($S$252=214,PR!$O$238,IF($S$252=215,PR!$O$239,IF($S$252=216,PR!$O$240,IF($S$252=217,PR!$O$241,IF($S$252=218,PR!$O$242,IF($S$252=219,PR!$O$243,IF($S$252=220,PR!$O$244,IF($S$252=221,PR!$O$245,IF($S$252=222,PR!$O$246,IF($S$252=223,PR!$O$247,IF($S$252=224,PR!$O$248,IF($S$252=225,PR!$O$249,IF($S$252=226,PR!$O$250,IF($S$252=227,PR!$O$251,IF($S$252=228,PR!$O$252,IF($S$252=229,PR!$O$253,IF($S$252=230,PR!$O$254,IF($S$252=231,PR!$O$255,IF($S$252=232,PR!$O$256,IF($S$252=233,PR!$O$257,IF($S$252=234,PR!$O$258,IF($S$252=235,PR!$O$259,IF($S$252=236,PR!$O$260,IF($S$252=237,PR!$O$261,IF($S$252=238,PR!$O$262,IF($S$252=239,PR!$O$263,IF($S$252=240,PR!$O$264,"-"))))))))))))))))))))))))))))))))))))))))))))))))))))))))))))</f>
        <v>0</v>
      </c>
      <c r="N256" s="550">
        <f>IF($S$252=181,PR!$P$202,IF($S$252=182,PR!$P$203,IF($S$252=183,PR!$P$204,IF($S$252=184,PR!$P$205,IF($S$252=185,PR!$P$206,IF($S$252=186,PR!$P$207,IF($S$252=187,PR!$P$208,IF($S$252=188,PR!$P$209,IF($S$252=189,PR!$P$210,IF($S$252=190,PR!$P$211,IF($S$252=191,PR!$P$212,IF($S$252=192,PR!$P$213,IF($S$252=193,PR!$P$214,IF($S$252=194,PR!$P$218,IF($S$252=195,PR!$P$219,IF($S$252=196,PR!$P$220,IF($S$252=197,PR!$P$221,IF($S$252=198,PR!$P$222,IF($S$252=199,PR!$P$223,IF($S$252=200,PR!$P$224,IF($S$252=201,PR!$P$225,IF($S$252=202,PR!$P$226,IF($S$252=203,PR!$P$227,IF($S$252=204,PR!$P$228,IF($S$252=205,PR!$P$229,IF($S$252=206,PR!$P$230,IF($S$252=207,PR!$P$231,IF($S$252=208,PR!$P$232,IF($S$252=209,PR!$P$233,IF($S$252=210,PR!$P$234,IF($S$252=211,PR!$P$235,IF($S$252=212,PR!$P$236,IF($S$252=213,PR!$P$237,IF($S$252=214,PR!$P$238,IF($S$252=215,PR!$P$239,IF($S$252=216,PR!$P$240,IF($S$252=217,PR!$P$241,IF($S$252=218,PR!$P$242,IF($S$252=219,PR!$P$243,IF($S$252=220,PR!$P$244,IF($S$252=221,PR!$P$245,IF($S$252=222,PR!$P$246,IF($S$252=223,PR!$P$247,IF($S$252=224,PR!$P$248,IF($S$252=225,PR!$P$249,IF($S$252=226,PR!$P$250,IF($S$252=227,PR!$P$251,IF($S$252=228,PR!$P$252,IF($S$252=229,PR!$P$253,IF($S$252=230,PR!$P$254,IF($S$252=231,PR!$P$255,IF($S$252=232,PR!$P$256,IF($S$252=233,PR!$P$257,IF($S$252=234,PR!$P$258,IF($S$252=235,PR!$P$259,IF($S$252=236,PR!$P$260,IF($S$252=237,PR!$P$261,IF($S$252=238,PR!$P$262,IF($S$252=239,PR!$P$263,IF($S$252=240,PR!$P$264,"-"))))))))))))))))))))))))))))))))))))))))))))))))))))))))))))</f>
        <v>1900</v>
      </c>
      <c r="O256" s="550">
        <f>IF($S$252=181,PR!$Q$202,IF($S$252=182,PR!$Q$203,IF($S$252=183,PR!$Q$204,IF($S$252=184,PR!$Q$205,IF($S$252=185,PR!$Q$206,IF($S$252=186,PR!$Q$207,IF($S$252=187,PR!$Q$208,IF($S$252=188,PR!$Q$209,IF($S$252=189,PR!$Q$210,IF($S$252=190,PR!$Q$211,IF($S$252=191,PR!$Q$212,IF($S$252=192,PR!$Q$213,IF($S$252=193,PR!$Q$214,IF($S$252=194,PR!$Q$218,IF($S$252=195,PR!$Q$219,IF($S$252=196,PR!$Q$220,IF($S$252=197,PR!$Q$221,IF($S$252=198,PR!$Q$222,IF($S$252=199,PR!$Q$223,IF($S$252=200,PR!$Q$224,IF($S$252=201,PR!$Q$225,IF($S$252=202,PR!$Q$226,IF($S$252=203,PR!$Q$227,IF($S$252=204,PR!$Q$228,IF($S$252=205,PR!$Q$229,IF($S$252=206,PR!$Q$230,IF($S$252=207,PR!$Q$231,IF($S$252=208,PR!$Q$232,IF($S$252=209,PR!$Q$233,IF($S$252=210,PR!$Q$234,IF($S$252=211,PR!$Q$235,IF($S$252=212,PR!$Q$236,IF($S$252=213,PR!$Q$237,IF($S$252=214,PR!$Q$238,IF($S$252=215,PR!$Q$239,IF($S$252=216,PR!$Q$240,IF($S$252=217,PR!$Q$241,IF($S$252=218,PR!$Q$242,IF($S$252=219,PR!$Q$243,IF($S$252=220,PR!$Q$244,IF($S$252=221,PR!$Q$245,IF($S$252=222,PR!$Q$246,IF($S$252=223,PR!$Q$247,IF($S$252=224,PR!$Q$248,IF($S$252=225,PR!$Q$249,IF($S$252=226,PR!$Q$250,IF($S$252=227,PR!$Q$251,IF($S$252=228,PR!$Q$252,IF($S$252=229,PR!$Q$253,IF($S$252=230,PR!$Q$254,IF($S$252=231,PR!$Q$255,IF($S$252=232,PR!$Q$256,IF($S$252=233,PR!$Q$257,IF($S$252=234,PR!$Q$258,IF($S$252=235,PR!$Q$259,IF($S$252=236,PR!$Q$260,IF($S$252=237,PR!$Q$261,IF($S$252=238,PR!$Q$262,IF($S$252=239,PR!$Q$263,IF($S$252=240,PR!$Q$264,"-"))))))))))))))))))))))))))))))))))))))))))))))))))))))))))))</f>
        <v>0</v>
      </c>
      <c r="P256" s="550">
        <f>IF($S$252=181,PR!$R$202,IF($S$252=182,PR!$R$203,IF($S$252=183,PR!$R$204,IF($S$252=184,PR!$R$205,IF($S$252=185,PR!$R$206,IF($S$252=186,PR!$R$207,IF($S$252=187,PR!$R$208,IF($S$252=188,PR!$R$209,IF($S$252=189,PR!$R$210,IF($S$252=190,PR!$R$211,IF($S$252=191,PR!$R$212,IF($S$252=192,PR!$R$213,IF($S$252=193,PR!$R$214,IF($S$252=194,PR!$R$218,IF($S$252=195,PR!$R$219,IF($S$252=196,PR!$R$220,IF($S$252=197,PR!$R$221,IF($S$252=198,PR!$R$222,IF($S$252=199,PR!$R$223,IF($S$252=200,PR!$R$224,IF($S$252=201,PR!$R$225,IF($S$252=202,PR!$R$226,IF($S$252=203,PR!$R$227,IF($S$252=204,PR!$R$228,IF($S$252=205,PR!$R$229,IF($S$252=206,PR!$R$230,IF($S$252=207,PR!$R$231,IF($S$252=208,PR!$R$232,IF($S$252=209,PR!$R$233,IF($S$252=210,PR!$R$234,IF($S$252=211,PR!$R$235,IF($S$252=212,PR!$R$236,IF($S$252=213,PR!$R$237,IF($S$252=214,PR!$R$238,IF($S$252=215,PR!$R$239,IF($S$252=216,PR!$R$240,IF($S$252=217,PR!$R$241,IF($S$252=218,PR!$R$242,IF($S$252=219,PR!$R$243,IF($S$252=220,PR!$R$244,IF($S$252=221,PR!$R$245,IF($S$252=222,PR!$R$246,IF($S$252=223,PR!$R$247,IF($S$252=224,PR!$R$248,IF($S$252=225,PR!$R$249,IF($S$252=226,PR!$R$250,IF($S$252=227,PR!$R$251,IF($S$252=228,PR!$R$252,IF($S$252=229,PR!$R$253,IF($S$252=230,PR!$R$254,IF($S$252=231,PR!$R$255,IF($S$252=232,PR!$R$256,IF($S$252=233,PR!$R$257,IF($S$252=234,PR!$R$258,IF($S$252=235,PR!$R$259,IF($S$252=236,PR!$R$260,IF($S$252=237,PR!$R$261,IF($S$252=238,PR!$R$262,IF($S$252=239,PR!$R$263,IF($S$252=240,PR!$R$264,"-"))))))))))))))))))))))))))))))))))))))))))))))))))))))))))))</f>
        <v>1421.34</v>
      </c>
      <c r="Q256" s="550">
        <f>IF($S$252=181,PR!$S$202,IF($S$252=182,PR!$S$203,IF($S$252=183,PR!$S$204,IF($S$252=184,PR!$S$205,IF($S$252=185,PR!$S$206,IF($S$252=186,PR!$S$207,IF($S$252=187,PR!$S$208,IF($S$252=188,PR!$S$209,IF($S$252=189,PR!$S$210,IF($S$252=190,PR!$S$211,IF($S$252=191,PR!$S$212,IF($S$252=192,PR!$S$213,IF($S$252=193,PR!$S$214,IF($S$252=194,PR!$S$218,IF($S$252=195,PR!$S$219,IF($S$252=196,PR!$S$220,IF($S$252=197,PR!$S$221,IF($S$252=198,PR!$S$222,IF($S$252=199,PR!$S$223,IF($S$252=200,PR!$S$224,IF($S$252=201,PR!$S$225,IF($S$252=202,PR!$S$226,IF($S$252=203,PR!$S$227,IF($S$252=204,PR!$S$228,IF($S$252=205,PR!$S$229,IF($S$252=206,PR!$S$230,IF($S$252=207,PR!$S$231,IF($S$252=208,PR!$S$232,IF($S$252=209,PR!$S$233,IF($S$252=210,PR!$S$234,IF($S$252=211,PR!$S$235,IF($S$252=212,PR!$S$236,IF($S$252=213,PR!$S$237,IF($S$252=214,PR!$S$238,IF($S$252=215,PR!$S$239,IF($S$252=216,PR!$S$240,IF($S$252=217,PR!$S$241,IF($S$252=218,PR!$S$242,IF($S$252=219,PR!$S$243,IF($S$252=220,PR!$S$244,IF($S$252=221,PR!$S$245,IF($S$252=222,PR!$S$246,IF($S$252=223,PR!$S$247,IF($S$252=224,PR!$S$248,IF($S$252=225,PR!$S$249,IF($S$252=226,PR!$S$250,IF($S$252=227,PR!$S$251,IF($S$252=228,PR!$S$252,IF($S$252=229,PR!$S$253,IF($S$252=230,PR!$S$254,IF($S$252=231,PR!$S$255,IF($S$252=232,PR!$S$256,IF($S$252=233,PR!$S$257,IF($S$252=234,PR!$S$258,IF($S$252=235,PR!$S$259,IF($S$252=236,PR!$S$260,IF($S$252=237,PR!$S$261,IF($S$252=238,PR!$S$262,IF($S$252=239,PR!$S$263,IF($S$252=240,PR!$S$264,"-"))))))))))))))))))))))))))))))))))))))))))))))))))))))))))))</f>
        <v>1100</v>
      </c>
      <c r="R256" s="550">
        <f>IF($S$252=181,PR!$T$202,IF($S$252=182,PR!$T$203,IF($S$252=183,PR!$T$204,IF($S$252=184,PR!$T$205,IF($S$252=185,PR!$T$206,IF($S$252=186,PR!$T$207,IF($S$252=187,PR!$T$208,IF($S$252=188,PR!$T$209,IF($S$252=189,PR!$T$210,IF($S$252=190,PR!$T$211,IF($S$252=191,PR!$T$212,IF($S$252=192,PR!$T$213,IF($S$252=193,PR!$T$214,IF($S$252=194,PR!$T$218,IF($S$252=195,PR!$T$219,IF($S$252=196,PR!$T$220,IF($S$252=197,PR!$T$221,IF($S$252=198,PR!$T$222,IF($S$252=199,PR!$T$223,IF($S$252=200,PR!$T$224,IF($S$252=201,PR!$T$225,IF($S$252=202,PR!$T$226,IF($S$252=203,PR!$T$227,IF($S$252=204,PR!$T$228,IF($S$252=205,PR!$T$229,IF($S$252=206,PR!$T$230,IF($S$252=207,PR!$T$231,IF($S$252=208,PR!$T$232,IF($S$252=209,PR!$T$233,IF($S$252=210,PR!$T$234,IF($S$252=211,PR!$T$235,IF($S$252=212,PR!$T$236,IF($S$252=213,PR!$T$237,IF($S$252=214,PR!$T$238,IF($S$252=215,PR!$T$239,IF($S$252=216,PR!$T$240,IF($S$252=217,PR!$T$241,IF($S$252=218,PR!$T$242,IF($S$252=219,PR!$T$243,IF($S$252=220,PR!$T$244,IF($S$252=221,PR!$T$245,IF($S$252=222,PR!$T$246,IF($S$252=223,PR!$T$247,IF($S$252=224,PR!$T$248,IF($S$252=225,PR!$T$249,IF($S$252=226,PR!$T$250,IF($S$252=227,PR!$T$251,IF($S$252=228,PR!$T$252,IF($S$252=229,PR!$T$253,IF($S$252=230,PR!$T$254,IF($S$252=231,PR!$T$255,IF($S$252=232,PR!$T$256,IF($S$252=233,PR!$T$257,IF($S$252=234,PR!$T$258,IF($S$252=235,PR!$T$259,IF($S$252=236,PR!$T$260,IF($S$252=237,PR!$T$261,IF($S$252=238,PR!$T$262,IF($S$252=239,PR!$T$263,IF($S$252=240,PR!$T$264,"-"))))))))))))))))))))))))))))))))))))))))))))))))))))))))))))</f>
        <v>0</v>
      </c>
      <c r="S256" s="550">
        <f>IF($S$252=181,PR!$U$202,IF($S$252=182,PR!$U$203,IF($S$252=183,PR!$U$204,IF($S$252=184,PR!$U$205,IF($S$252=185,PR!$U$206,IF($S$252=186,PR!$U$207,IF($S$252=187,PR!$U$208,IF($S$252=188,PR!$U$209,IF($S$252=189,PR!$U$210,IF($S$252=190,PR!$U$211,IF($S$252=191,PR!$U$212,IF($S$252=192,PR!$U$213,IF($S$252=193,PR!$U$214,IF($S$252=194,PR!$U$218,IF($S$252=195,PR!$U$219,IF($S$252=196,PR!$U$220,IF($S$252=197,PR!$U$221,IF($S$252=198,PR!$U$222,IF($S$252=199,PR!$U$223,IF($S$252=200,PR!$U$224,IF($S$252=201,PR!$U$225,IF($S$252=202,PR!$U$226,IF($S$252=203,PR!$U$227,IF($S$252=204,PR!$U$228,IF($S$252=205,PR!$U$229,IF($S$252=206,PR!$U$230,IF($S$252=207,PR!$U$231,IF($S$252=208,PR!$U$232,IF($S$252=209,PR!$U$233,IF($S$252=210,PR!$U$234,IF($S$252=211,PR!$U$235,IF($S$252=212,PR!$U$236,IF($S$252=213,PR!$U$237,IF($S$252=214,PR!$U$238,IF($S$252=215,PR!$U$239,IF($S$252=216,PR!$U$240,IF($S$252=217,PR!$U$241,IF($S$252=218,PR!$U$242,IF($S$252=219,PR!$U$243,IF($S$252=220,PR!$U$244,IF($S$252=221,PR!$U$245,IF($S$252=222,PR!$U$246,IF($S$252=223,PR!$U$247,IF($S$252=224,PR!$U$248,IF($S$252=225,PR!$U$249,IF($S$252=226,PR!$U$250,IF($S$252=227,PR!$U$251,IF($S$252=228,PR!$U$252,IF($S$252=229,PR!$U$253,IF($S$252=230,PR!$U$254,IF($S$252=231,PR!$U$255,IF($S$252=232,PR!$U$256,IF($S$252=233,PR!$U$257,IF($S$252=234,PR!$U$258,IF($S$252=235,PR!$U$259,IF($S$252=236,PR!$U$260,IF($S$252=237,PR!$U$261,IF($S$252=238,PR!$U$262,IF($S$252=239,PR!$U$263,IF($S$252=240,PR!$U$264,"-"))))))))))))))))))))))))))))))))))))))))))))))))))))))))))))</f>
        <v>0</v>
      </c>
      <c r="T256" s="518"/>
      <c r="U256" s="518"/>
      <c r="V256" s="32"/>
      <c r="W256" s="32"/>
      <c r="X256" s="32"/>
      <c r="Y256" s="32"/>
    </row>
    <row r="257" spans="1:26" x14ac:dyDescent="0.25">
      <c r="A257" s="91"/>
      <c r="B257" s="518"/>
      <c r="C257" s="545"/>
      <c r="D257" s="546"/>
      <c r="E257" s="546"/>
      <c r="F257" s="546"/>
      <c r="G257" s="546"/>
      <c r="H257" s="546"/>
      <c r="I257" s="546"/>
      <c r="J257" s="546"/>
      <c r="K257" s="546"/>
      <c r="L257" s="546"/>
      <c r="M257" s="546"/>
      <c r="N257" s="546"/>
      <c r="O257" s="546"/>
      <c r="P257" s="546"/>
      <c r="Q257" s="546"/>
      <c r="R257" s="547"/>
      <c r="S257" s="547"/>
      <c r="T257" s="518"/>
      <c r="U257" s="518"/>
      <c r="V257" s="32"/>
      <c r="W257" s="32"/>
      <c r="X257" s="32"/>
      <c r="Y257" s="32"/>
      <c r="Z257" s="32"/>
    </row>
    <row r="258" spans="1:26" ht="15.75" thickBot="1" x14ac:dyDescent="0.3">
      <c r="A258" s="91"/>
      <c r="B258" s="518"/>
      <c r="C258" s="548" t="str">
        <f>N!$C$21</f>
        <v>GENEITH</v>
      </c>
      <c r="D258" s="548" t="str">
        <f>N!$C$22</f>
        <v>GINOS</v>
      </c>
      <c r="E258" s="548" t="str">
        <f>N!$C$23</f>
        <v>GSK</v>
      </c>
      <c r="F258" s="548" t="str">
        <f>N!$C$24</f>
        <v>GLOBORG</v>
      </c>
      <c r="G258" s="548" t="str">
        <f>N!$C$25</f>
        <v>GOODNEWS</v>
      </c>
      <c r="H258" s="548" t="str">
        <f>N!$C$26</f>
        <v>GREENLIFE</v>
      </c>
      <c r="I258" s="548" t="str">
        <f>N!$C$27</f>
        <v>HLINE</v>
      </c>
      <c r="J258" s="548" t="str">
        <f>N!$C$28</f>
        <v>ROTECH</v>
      </c>
      <c r="K258" s="548" t="str">
        <f>N!$C$29</f>
        <v>ISN</v>
      </c>
      <c r="L258" s="548" t="str">
        <f>N!$C$30</f>
        <v>JAWA</v>
      </c>
      <c r="M258" s="548" t="str">
        <f>N!$C$31</f>
        <v>LAYO</v>
      </c>
      <c r="N258" s="548" t="str">
        <f>N!$C$32</f>
        <v>LEADWAY</v>
      </c>
      <c r="O258" s="548" t="str">
        <f>N!$C$33</f>
        <v>LHV</v>
      </c>
      <c r="P258" s="548" t="str">
        <f>N!$C$34</f>
        <v>MANOLA</v>
      </c>
      <c r="Q258" s="548" t="str">
        <f>N!$C$35</f>
        <v>MARCSON</v>
      </c>
      <c r="R258" s="548" t="str">
        <f>N!$C$36</f>
        <v>M&amp;B</v>
      </c>
      <c r="S258" s="548" t="str">
        <f>N!$C$37</f>
        <v>MTRUST</v>
      </c>
      <c r="T258" s="518"/>
      <c r="U258" s="518"/>
      <c r="V258" s="32"/>
      <c r="W258" s="32"/>
      <c r="X258" s="32"/>
      <c r="Y258" s="32"/>
      <c r="Z258" s="32"/>
    </row>
    <row r="259" spans="1:26" ht="15.75" thickBot="1" x14ac:dyDescent="0.3">
      <c r="A259" s="91"/>
      <c r="B259" s="518"/>
      <c r="C259" s="550">
        <f>IF($S$252=181,PR!$V$202,IF($S$252=182,PR!$V$203,IF($S$252=183,PR!$V$204,IF($S$252=184,PR!$V$205,IF($S$252=185,PR!$V$206,IF($S$252=186,PR!$V$207,IF($S$252=187,PR!$V$208,IF($S$252=188,PR!$V$209,IF($S$252=189,PR!$V$210,IF($S$252=190,PR!$V$211,IF($S$252=191,PR!$V$212,IF($S$252=192,PR!$V$213,IF($S$252=193,PR!$V$214,IF($S$252=194,PR!$V$218,IF($S$252=195,PR!$V$219,IF($S$252=196,PR!$V$220,IF($S$252=197,PR!$V$221,IF($S$252=198,PR!$V$222,IF($S$252=199,PR!$V$223,IF($S$252=200,PR!$V$224,IF($S$252=201,PR!$V$225,IF($S$252=202,PR!$V$226,IF($S$252=203,PR!$V$227,IF($S$252=204,PR!$V$228,IF($S$252=205,PR!$V$229,IF($S$252=206,PR!$V$230,IF($S$252=207,PR!$V$231,IF($S$252=208,PR!$V$232,IF($S$252=209,PR!$V$233,IF($S$252=210,PR!$V$234,IF($S$252=211,PR!$V$235,IF($S$252=212,PR!$V$236,IF($S$252=213,PR!$V$237,IF($S$252=214,PR!$V$238,IF($S$252=215,PR!$V$239,IF($S$252=216,PR!$V$240,IF($S$252=217,PR!$V$241,IF($S$252=218,PR!$V$242,IF($S$252=219,PR!$V$243,IF($S$252=220,PR!$V$244,IF($S$252=221,PR!$V$245,IF($S$252=222,PR!$V$246,IF($S$252=223,PR!$V$247,IF($S$252=224,PR!$V$248,IF($S$252=225,PR!$V$249,IF($S$252=226,PR!$V$250,IF($S$252=227,PR!$V$251,IF($S$252=228,PR!$V$252,IF($S$252=229,PR!$V$253,IF($S$252=230,PR!$V$254,IF($S$252=231,PR!$V$255,IF($S$252=232,PR!$V$256,IF($S$252=233,PR!$V$257,IF($S$252=234,PR!$V$258,IF($S$252=235,PR!$V$259,IF($S$252=236,PR!$V$260,IF($S$252=237,PR!$V$261,IF($S$252=238,PR!$V$262,IF($S$252=239,PR!$V$263,IF($S$252=240,PR!$V$264,"-"))))))))))))))))))))))))))))))))))))))))))))))))))))))))))))</f>
        <v>0</v>
      </c>
      <c r="D259" s="550">
        <f>IF($S$252=181,PR!$W$202,IF($S$252=182,PR!$W$203,IF($S$252=183,PR!$W$204,IF($S$252=184,PR!$W$205,IF($S$252=185,PR!$W$206,IF($S$252=186,PR!$W$207,IF($S$252=187,PR!$W$208,IF($S$252=188,PR!$W$209,IF($S$252=189,PR!$W$210,IF($S$252=190,PR!$W$211,IF($S$252=191,PR!$W$212,IF($S$252=192,PR!$W$213,IF($S$252=193,PR!$W$214,IF($S$252=194,PR!$W$218,IF($S$252=195,PR!$W$219,IF($S$252=196,PR!$W$220,IF($S$252=197,PR!$W$221,IF($S$252=198,PR!$W$222,IF($S$252=199,PR!$W$223,IF($S$252=200,PR!$W$224,IF($S$252=201,PR!$W$225,IF($S$252=202,PR!$W$226,IF($S$252=203,PR!$W$227,IF($S$252=204,PR!$W$228,IF($S$252=205,PR!$W$229,IF($S$252=206,PR!$W$230,IF($S$252=207,PR!$W$231,IF($S$252=208,PR!$W$232,IF($S$252=209,PR!$W$233,IF($S$252=210,PR!$W$234,IF($S$252=211,PR!$W$235,IF($S$252=212,PR!$W$236,IF($S$252=213,PR!$W$237,IF($S$252=214,PR!$W$238,IF($S$252=215,PR!$W$239,IF($S$252=216,PR!$W$240,IF($S$252=217,PR!$W$241,IF($S$252=218,PR!$W$242,IF($S$252=219,PR!$W$243,IF($S$252=220,PR!$W$244,IF($S$252=221,PR!$W$245,IF($S$252=222,PR!$W$246,IF($S$252=223,PR!$W$247,IF($S$252=224,PR!$W$248,IF($S$252=225,PR!$W$249,IF($S$252=226,PR!$W$250,IF($S$252=227,PR!$W$251,IF($S$252=228,PR!$W$252,IF($S$252=229,PR!$W$253,IF($S$252=230,PR!$W$254,IF($S$252=231,PR!$W$255,IF($S$252=232,PR!$W$256,IF($S$252=233,PR!$W$257,IF($S$252=234,PR!$W$258,IF($S$252=235,PR!$W$259,IF($S$252=236,PR!$W$260,IF($S$252=237,PR!$W$261,IF($S$252=238,PR!$W$262,IF($S$252=239,PR!$W$263,IF($S$252=240,PR!$W$264,"-"))))))))))))))))))))))))))))))))))))))))))))))))))))))))))))</f>
        <v>0</v>
      </c>
      <c r="E259" s="550">
        <f>IF($S$252=181,PR!$X$202,IF($S$252=182,PR!$X$203,IF($S$252=183,PR!$X$204,IF($S$252=184,PR!$X$205,IF($S$252=185,PR!$X$206,IF($S$252=186,PR!$X$207,IF($S$252=187,PR!$X$208,IF($S$252=188,PR!$X$209,IF($S$252=189,PR!$X$210,IF($S$252=190,PR!$X$211,IF($S$252=191,PR!$X$212,IF($S$252=192,PR!$X$213,IF($S$252=193,PR!$X$214,IF($S$252=194,PR!$X$218,IF($S$252=195,PR!$X$219,IF($S$252=196,PR!$X$220,IF($S$252=197,PR!$X$221,IF($S$252=198,PR!$X$222,IF($S$252=199,PR!$X$223,IF($S$252=200,PR!$X$224,IF($S$252=201,PR!$X$225,IF($S$252=202,PR!$X$226,IF($S$252=203,PR!$X$227,IF($S$252=204,PR!$X$228,IF($S$252=205,PR!$X$229,IF($S$252=206,PR!$X$230,IF($S$252=207,PR!$X$231,IF($S$252=208,PR!$X$232,IF($S$252=209,PR!$X$233,IF($S$252=210,PR!$X$234,IF($S$252=211,PR!$X$235,IF($S$252=212,PR!$X$236,IF($S$252=213,PR!$X$237,IF($S$252=214,PR!$X$238,IF($S$252=215,PR!$X$239,IF($S$252=216,PR!$X$240,IF($S$252=217,PR!$X$241,IF($S$252=218,PR!$X$242,IF($S$252=219,PR!$X$243,IF($S$252=220,PR!$X$244,IF($S$252=221,PR!$X$245,IF($S$252=222,PR!$X$246,IF($S$252=223,PR!$X$247,IF($S$252=224,PR!$X$248,IF($S$252=225,PR!$X$249,IF($S$252=226,PR!$X$250,IF($S$252=227,PR!$X$251,IF($S$252=228,PR!$X$252,IF($S$252=229,PR!$X$253,IF($S$252=230,PR!$X$254,IF($S$252=231,PR!$X$255,IF($S$252=232,PR!$X$256,IF($S$252=233,PR!$X$257,IF($S$252=234,PR!$X$258,IF($S$252=235,PR!$X$259,IF($S$252=236,PR!$X$260,IF($S$252=237,PR!$X$261,IF($S$252=238,PR!$X$262,IF($S$252=239,PR!$X$263,IF($S$252=240,PR!$X$264,"-"))))))))))))))))))))))))))))))))))))))))))))))))))))))))))))</f>
        <v>0</v>
      </c>
      <c r="F259" s="550">
        <f>IF($S$252=181,PR!$Y$202,IF($S$252=182,PR!$Y$203,IF($S$252=183,PR!$Y$204,IF($S$252=184,PR!$Y$205,IF($S$252=185,PR!$Y$206,IF($S$252=186,PR!$Y$207,IF($S$252=187,PR!$Y$208,IF($S$252=188,PR!$Y$209,IF($S$252=189,PR!$Y$210,IF($S$252=190,PR!$Y$211,IF($S$252=191,PR!$Y$212,IF($S$252=192,PR!$Y$213,IF($S$252=193,PR!$Y$214,IF($S$252=194,PR!$Y$218,IF($S$252=195,PR!$Y$219,IF($S$252=196,PR!$Y$220,IF($S$252=197,PR!$Y$221,IF($S$252=198,PR!$Y$222,IF($S$252=199,PR!$Y$223,IF($S$252=200,PR!$Y$224,IF($S$252=201,PR!$Y$225,IF($S$252=202,PR!$Y$226,IF($S$252=203,PR!$Y$227,IF($S$252=204,PR!$Y$228,IF($S$252=205,PR!$Y$229,IF($S$252=206,PR!$Y$230,IF($S$252=207,PR!$Y$231,IF($S$252=208,PR!$Y$232,IF($S$252=209,PR!$Y$233,IF($S$252=210,PR!$Y$234,IF($S$252=211,PR!$Y$235,IF($S$252=212,PR!$Y$236,IF($S$252=213,PR!$Y$237,IF($S$252=214,PR!$Y$238,IF($S$252=215,PR!$Y$239,IF($S$252=216,PR!$Y$240,IF($S$252=217,PR!$Y$241,IF($S$252=218,PR!$Y$242,IF($S$252=219,PR!$Y$243,IF($S$252=220,PR!$Y$244,IF($S$252=221,PR!$Y$245,IF($S$252=222,PR!$Y$246,IF($S$252=223,PR!$Y$247,IF($S$252=224,PR!$Y$248,IF($S$252=225,PR!$Y$249,IF($S$252=226,PR!$Y$250,IF($S$252=227,PR!$Y$251,IF($S$252=228,PR!$Y$252,IF($S$252=229,PR!$Y$253,IF($S$252=230,PR!$Y$254,IF($S$252=231,PR!$Y$255,IF($S$252=232,PR!$Y$256,IF($S$252=233,PR!$Y$257,IF($S$252=234,PR!$Y$258,IF($S$252=235,PR!$Y$259,IF($S$252=236,PR!$Y$260,IF($S$252=237,PR!$Y$261,IF($S$252=238,PR!$Y$262,IF($S$252=239,PR!$Y$263,IF($S$252=240,PR!$Y$264,"-"))))))))))))))))))))))))))))))))))))))))))))))))))))))))))))</f>
        <v>0</v>
      </c>
      <c r="G259" s="550">
        <f>IF($S$252=181,PR!$Z$202,IF($S$252=182,PR!$Z$203,IF($S$252=183,PR!$Z$204,IF($S$252=184,PR!$Z$205,IF($S$252=185,PR!$Z$206,IF($S$252=186,PR!$Z$207,IF($S$252=187,PR!$Z$208,IF($S$252=188,PR!$Z$209,IF($S$252=189,PR!$Z$210,IF($S$252=190,PR!$Z$211,IF($S$252=191,PR!$Z$212,IF($S$252=192,PR!$Z$213,IF($S$252=193,PR!$Z$214,IF($S$252=194,PR!$Z$218,IF($S$252=195,PR!$Z$219,IF($S$252=196,PR!$Z$220,IF($S$252=197,PR!$Z$221,IF($S$252=198,PR!$Z$222,IF($S$252=199,PR!$Z$223,IF($S$252=200,PR!$Z$224,IF($S$252=201,PR!$Z$225,IF($S$252=202,PR!$Z$226,IF($S$252=203,PR!$Z$227,IF($S$252=204,PR!$Z$228,IF($S$252=205,PR!$Z$229,IF($S$252=206,PR!$Z$230,IF($S$252=207,PR!$Z$231,IF($S$252=208,PR!$Z$232,IF($S$252=209,PR!$Z$233,IF($S$252=210,PR!$Z$234,IF($S$252=211,PR!$Z$235,IF($S$252=212,PR!$Z$236,IF($S$252=213,PR!$Z$237,IF($S$252=214,PR!$Z$238,IF($S$252=215,PR!$Z$239,IF($S$252=216,PR!$Z$240,IF($S$252=217,PR!$Z$241,IF($S$252=218,PR!$Z$242,IF($S$252=219,PR!$Z$243,IF($S$252=220,PR!$Z$244,IF($S$252=221,PR!$Z$245,IF($S$252=222,PR!$Z$246,IF($S$252=223,PR!$Z$247,IF($S$252=224,PR!$Z$248,IF($S$252=225,PR!$Z$249,IF($S$252=226,PR!$Z$250,IF($S$252=227,PR!$Z$251,IF($S$252=228,PR!$Z$252,IF($S$252=229,PR!$Z$253,IF($S$252=230,PR!$Z$254,IF($S$252=231,PR!$Z$255,IF($S$252=232,PR!$Z$256,IF($S$252=233,PR!$Z$257,IF($S$252=234,PR!$Z$258,IF($S$252=235,PR!$Z$259,IF($S$252=236,PR!$Z$260,IF($S$252=237,PR!$Z$261,IF($S$252=238,PR!$Z$262,IF($S$252=239,PR!$Z$263,IF($S$252=240,PR!$Z$264,"-"))))))))))))))))))))))))))))))))))))))))))))))))))))))))))))</f>
        <v>0</v>
      </c>
      <c r="H259" s="550">
        <f>IF($S$252=181,PR!$AA$202,IF($S$252=182,PR!$AA$203,IF($S$252=183,PR!$AA$204,IF($S$252=184,PR!$AA$205,IF($S$252=185,PR!$AA$206,IF($S$252=186,PR!$AA$207,IF($S$252=187,PR!$AA$208,IF($S$252=188,PR!$AA$209,IF($S$252=189,PR!$AA$210,IF($S$252=190,PR!$AA$211,IF($S$252=191,PR!$AA$212,IF($S$252=192,PR!$AA$213,IF($S$252=193,PR!$AA$214,IF($S$252=194,PR!$AA$218,IF($S$252=195,PR!$AA$219,IF($S$252=196,PR!$AA$220,IF($S$252=197,PR!$AA$221,IF($S$252=198,PR!$AA$222,IF($S$252=199,PR!$AA$223,IF($S$252=200,PR!$AA$224,IF($S$252=201,PR!$AA$225,IF($S$252=202,PR!$AA$226,IF($S$252=203,PR!$AA$227,IF($S$252=204,PR!$AA$228,IF($S$252=205,PR!$AA$229,IF($S$252=206,PR!$AA$230,IF($S$252=207,PR!$AA$231,IF($S$252=208,PR!$AA$232,IF($S$252=209,PR!$AA$233,IF($S$252=210,PR!$AA$234,IF($S$252=211,PR!$AA$235,IF($S$252=212,PR!$AA$236,IF($S$252=213,PR!$AA$237,IF($S$252=214,PR!$AA$238,IF($S$252=215,PR!$AA$239,IF($S$252=216,PR!$AA$240,IF($S$252=217,PR!$AA$241,IF($S$252=218,PR!$AA$242,IF($S$252=219,PR!$AA$243,IF($S$252=220,PR!$AA$244,IF($S$252=221,PR!$AA$245,IF($S$252=222,PR!$AA$246,IF($S$252=223,PR!$AA$247,IF($S$252=224,PR!$AA$248,IF($S$252=225,PR!$AA$249,IF($S$252=226,PR!$AA$250,IF($S$252=227,PR!$AA$251,IF($S$252=228,PR!$AA$252,IF($S$252=229,PR!$AA$253,IF($S$252=230,PR!$AA$254,IF($S$252=231,PR!$AA$255,IF($S$252=232,PR!$AA$256,IF($S$252=233,PR!$AA$257,IF($S$252=234,PR!$AA$258,IF($S$252=235,PR!$AA$259,IF($S$252=236,PR!$AA$260,IF($S$252=237,PR!$AA$261,IF($S$252=238,PR!$AA$262,IF($S$252=239,PR!$AA$263,IF($S$252=240,PR!$AA$264,"-"))))))))))))))))))))))))))))))))))))))))))))))))))))))))))))</f>
        <v>0</v>
      </c>
      <c r="I259" s="550">
        <f>IF($S$252=181,PR!$AB$202,IF($S$252=182,PR!$AB$203,IF($S$252=183,PR!$AB$204,IF($S$252=184,PR!$AB$205,IF($S$252=185,PR!$AB$206,IF($S$252=186,PR!$AB$207,IF($S$252=187,PR!$AB$208,IF($S$252=188,PR!$AB$209,IF($S$252=189,PR!$AB$210,IF($S$252=190,PR!$AB$211,IF($S$252=191,PR!$AB$212,IF($S$252=192,PR!$AB$213,IF($S$252=193,PR!$AB$214,IF($S$252=194,PR!$AB$218,IF($S$252=195,PR!$AB$219,IF($S$252=196,PR!$AB$220,IF($S$252=197,PR!$AB$221,IF($S$252=198,PR!$AB$222,IF($S$252=199,PR!$AB$223,IF($S$252=200,PR!$AB$224,IF($S$252=201,PR!$AB$225,IF($S$252=202,PR!$AB$226,IF($S$252=203,PR!$AB$227,IF($S$252=204,PR!$AB$228,IF($S$252=205,PR!$AB$229,IF($S$252=206,PR!$AB$230,IF($S$252=207,PR!$AB$231,IF($S$252=208,PR!$AB$232,IF($S$252=209,PR!$AB$233,IF($S$252=210,PR!$AB$234,IF($S$252=211,PR!$AB$235,IF($S$252=212,PR!$AB$236,IF($S$252=213,PR!$AB$237,IF($S$252=214,PR!$AB$238,IF($S$252=215,PR!$AB$239,IF($S$252=216,PR!$AB$240,IF($S$252=217,PR!$AB$241,IF($S$252=218,PR!$AB$242,IF($S$252=219,PR!$AB$243,IF($S$252=220,PR!$AB$244,IF($S$252=221,PR!$AB$245,IF($S$252=222,PR!$AB$246,IF($S$252=223,PR!$AB$247,IF($S$252=224,PR!$AB$248,IF($S$252=225,PR!$AB$249,IF($S$252=226,PR!$AB$250,IF($S$252=227,PR!$AB$251,IF($S$252=228,PR!$AB$252,IF($S$252=229,PR!$AB$253,IF($S$252=230,PR!$AB$254,IF($S$252=231,PR!$AB$255,IF($S$252=232,PR!$AB$256,IF($S$252=233,PR!$AB$257,IF($S$252=234,PR!$AB$258,IF($S$252=235,PR!$AB$259,IF($S$252=236,PR!$AB$260,IF($S$252=237,PR!$AB$261,IF($S$252=238,PR!$AB$262,IF($S$252=239,PR!$AB$263,IF($S$252=240,PR!$AB$264,"-"))))))))))))))))))))))))))))))))))))))))))))))))))))))))))))</f>
        <v>0</v>
      </c>
      <c r="J259" s="550">
        <f>IF($S$252=181,PR!$AC$202,IF($S$252=182,PR!$AC$203,IF($S$252=183,PR!$AC$204,IF($S$252=184,PR!$AC$205,IF($S$252=185,PR!$AC$206,IF($S$252=186,PR!$AC$207,IF($S$252=187,PR!$AC$208,IF($S$252=188,PR!$AC$209,IF($S$252=189,PR!$AC$210,IF($S$252=190,PR!$AC$211,IF($S$252=191,PR!$AC$212,IF($S$252=192,PR!$AC$213,IF($S$252=193,PR!$AC$214,IF($S$252=194,PR!$AC$218,IF($S$252=195,PR!$AC$219,IF($S$252=196,PR!$AC$220,IF($S$252=197,PR!$AC$221,IF($S$252=198,PR!$AC$222,IF($S$252=199,PR!$AC$223,IF($S$252=200,PR!$AC$224,IF($S$252=201,PR!$AC$225,IF($S$252=202,PR!$AC$226,IF($S$252=203,PR!$AC$227,IF($S$252=204,PR!$AC$228,IF($S$252=205,PR!$AC$229,IF($S$252=206,PR!$AC$230,IF($S$252=207,PR!$AC$231,IF($S$252=208,PR!$AC$232,IF($S$252=209,PR!$AC$233,IF($S$252=210,PR!$AC$234,IF($S$252=211,PR!$AC$235,IF($S$252=212,PR!$AC$236,IF($S$252=213,PR!$AC$237,IF($S$252=214,PR!$AC$238,IF($S$252=215,PR!$AC$239,IF($S$252=216,PR!$AC$240,IF($S$252=217,PR!$AC$241,IF($S$252=218,PR!$AC$242,IF($S$252=219,PR!$AC$243,IF($S$252=220,PR!$AC$244,IF($S$252=221,PR!$AC$245,IF($S$252=222,PR!$AC$246,IF($S$252=223,PR!$AC$247,IF($S$252=224,PR!$AC$248,IF($S$252=225,PR!$AC$249,IF($S$252=226,PR!$AC$250,IF($S$252=227,PR!$AC$251,IF($S$252=228,PR!$AC$252,IF($S$252=229,PR!$AC$253,IF($S$252=230,PR!$AC$254,IF($S$252=231,PR!$AC$255,IF($S$252=232,PR!$AC$256,IF($S$252=233,PR!$AC$257,IF($S$252=234,PR!$AC$258,IF($S$252=235,PR!$AC$259,IF($S$252=236,PR!$AC$260,IF($S$252=237,PR!$AC$261,IF($S$252=238,PR!$AC$262,IF($S$252=239,PR!$AC$263,IF($S$252=240,PR!$AC$264,"-"))))))))))))))))))))))))))))))))))))))))))))))))))))))))))))</f>
        <v>0</v>
      </c>
      <c r="K259" s="550">
        <f>IF($S$252=181,PR!$AD$202,IF($S$252=182,PR!$AD$203,IF($S$252=183,PR!$AD$204,IF($S$252=184,PR!$AD$205,IF($S$252=185,PR!$AD$206,IF($S$252=186,PR!$AD$207,IF($S$252=187,PR!$AD$208,IF($S$252=188,PR!$AD$209,IF($S$252=189,PR!$AD$210,IF($S$252=190,PR!$AD$211,IF($S$252=191,PR!$AD$212,IF($S$252=192,PR!$AD$213,IF($S$252=193,PR!$AD$214,IF($S$252=194,PR!$AD$218,IF($S$252=195,PR!$AD$219,IF($S$252=196,PR!$AD$220,IF($S$252=197,PR!$AD$221,IF($S$252=198,PR!$AD$222,IF($S$252=199,PR!$AD$223,IF($S$252=200,PR!$AD$224,IF($S$252=201,PR!$AD$225,IF($S$252=202,PR!$AD$226,IF($S$252=203,PR!$AD$227,IF($S$252=204,PR!$AD$228,IF($S$252=205,PR!$AD$229,IF($S$252=206,PR!$AD$230,IF($S$252=207,PR!$AD$231,IF($S$252=208,PR!$AD$232,IF($S$252=209,PR!$AD$233,IF($S$252=210,PR!$AD$234,IF($S$252=211,PR!$AD$235,IF($S$252=212,PR!$AD$236,IF($S$252=213,PR!$AD$237,IF($S$252=214,PR!$AD$238,IF($S$252=215,PR!$AD$239,IF($S$252=216,PR!$AD$240,IF($S$252=217,PR!$AD$241,IF($S$252=218,PR!$AD$242,IF($S$252=219,PR!$AD$243,IF($S$252=220,PR!$AD$244,IF($S$252=221,PR!$AD$245,IF($S$252=222,PR!$AD$246,IF($S$252=223,PR!$AD$247,IF($S$252=224,PR!$AD$248,IF($S$252=225,PR!$AD$249,IF($S$252=226,PR!$AD$250,IF($S$252=227,PR!$AD$251,IF($S$252=228,PR!$AD$252,IF($S$252=229,PR!$AD$253,IF($S$252=230,PR!$AD$254,IF($S$252=231,PR!$AD$255,IF($S$252=232,PR!$AD$256,IF($S$252=233,PR!$AD$257,IF($S$252=234,PR!$AD$258,IF($S$252=235,PR!$AD$259,IF($S$252=236,PR!$AD$260,IF($S$252=237,PR!$AD$261,IF($S$252=238,PR!$AD$262,IF($S$252=239,PR!$AD$263,IF($S$252=240,PR!$AD$264,"-"))))))))))))))))))))))))))))))))))))))))))))))))))))))))))))</f>
        <v>0</v>
      </c>
      <c r="L259" s="550">
        <f>IF($S$252=181,PR!$AE$202,IF($S$252=182,PR!$AE$203,IF($S$252=183,PR!$AE$204,IF($S$252=184,PR!$AE$205,IF($S$252=185,PR!$AE$206,IF($S$252=186,PR!$AE$207,IF($S$252=187,PR!$AE$208,IF($S$252=188,PR!$AE$209,IF($S$252=189,PR!$AE$210,IF($S$252=190,PR!$AE$211,IF($S$252=191,PR!$AE$212,IF($S$252=192,PR!$AE$213,IF($S$252=193,PR!$AE$214,IF($S$252=194,PR!$AE$218,IF($S$252=195,PR!$AE$219,IF($S$252=196,PR!$AE$220,IF($S$252=197,PR!$AE$221,IF($S$252=198,PR!$AE$222,IF($S$252=199,PR!$AE$223,IF($S$252=200,PR!$AE$224,IF($S$252=201,PR!$AE$225,IF($S$252=202,PR!$AE$226,IF($S$252=203,PR!$AE$227,IF($S$252=204,PR!$AE$228,IF($S$252=205,PR!$AE$229,IF($S$252=206,PR!$AE$230,IF($S$252=207,PR!$AE$231,IF($S$252=208,PR!$AE$232,IF($S$252=209,PR!$AE$233,IF($S$252=210,PR!$AE$234,IF($S$252=211,PR!$AE$235,IF($S$252=212,PR!$AE$236,IF($S$252=213,PR!$AE$237,IF($S$252=214,PR!$AE$238,IF($S$252=215,PR!$AE$239,IF($S$252=216,PR!$AE$240,IF($S$252=217,PR!$AE$241,IF($S$252=218,PR!$AE$242,IF($S$252=219,PR!$AE$243,IF($S$252=220,PR!$AE$244,IF($S$252=221,PR!$AE$245,IF($S$252=222,PR!$AE$246,IF($S$252=223,PR!$AE$247,IF($S$252=224,PR!$AE$248,IF($S$252=225,PR!$AE$249,IF($S$252=226,PR!$AE$250,IF($S$252=227,PR!$AE$251,IF($S$252=228,PR!$AE$252,IF($S$252=229,PR!$AE$253,IF($S$252=230,PR!$AE$254,IF($S$252=231,PR!$AE$255,IF($S$252=232,PR!$AE$256,IF($S$252=233,PR!$AE$257,IF($S$252=234,PR!$AE$258,IF($S$252=235,PR!$AE$259,IF($S$252=236,PR!$AE$260,IF($S$252=237,PR!$AE$261,IF($S$252=238,PR!$AE$262,IF($S$252=239,PR!$AE$263,IF($S$252=240,PR!$AE$264,"-"))))))))))))))))))))))))))))))))))))))))))))))))))))))))))))</f>
        <v>0</v>
      </c>
      <c r="M259" s="550">
        <f>IF($S$252=181,PR!$AF$202,IF($S$252=182,PR!$AF$203,IF($S$252=183,PR!$AF$204,IF($S$252=184,PR!$AF$205,IF($S$252=185,PR!$AF$206,IF($S$252=186,PR!$AF$207,IF($S$252=187,PR!$AF$208,IF($S$252=188,PR!$AF$209,IF($S$252=189,PR!$AF$210,IF($S$252=190,PR!$AF$211,IF($S$252=191,PR!$AF$212,IF($S$252=192,PR!$AF$213,IF($S$252=193,PR!$AF$214,IF($S$252=194,PR!$AF$218,IF($S$252=195,PR!$AF$219,IF($S$252=196,PR!$AF$220,IF($S$252=197,PR!$AF$221,IF($S$252=198,PR!$AF$222,IF($S$252=199,PR!$AF$223,IF($S$252=200,PR!$AF$224,IF($S$252=201,PR!$AF$225,IF($S$252=202,PR!$AF$226,IF($S$252=203,PR!$AF$227,IF($S$252=204,PR!$AF$228,IF($S$252=205,PR!$AF$229,IF($S$252=206,PR!$AF$230,IF($S$252=207,PR!$AF$231,IF($S$252=208,PR!$AF$232,IF($S$252=209,PR!$AF$233,IF($S$252=210,PR!$AF$234,IF($S$252=211,PR!$AF$235,IF($S$252=212,PR!$AF$236,IF($S$252=213,PR!$AF$237,IF($S$252=214,PR!$AF$238,IF($S$252=215,PR!$AF$239,IF($S$252=216,PR!$AF$240,IF($S$252=217,PR!$AF$241,IF($S$252=218,PR!$AF$242,IF($S$252=219,PR!$AF$243,IF($S$252=220,PR!$AF$244,IF($S$252=221,PR!$AF$245,IF($S$252=222,PR!$AF$246,IF($S$252=223,PR!$AF$247,IF($S$252=224,PR!$AF$248,IF($S$252=225,PR!$AF$249,IF($S$252=226,PR!$AF$250,IF($S$252=227,PR!$AF$251,IF($S$252=228,PR!$AF$252,IF($S$252=229,PR!$AF$253,IF($S$252=230,PR!$AF$254,IF($S$252=231,PR!$AF$255,IF($S$252=232,PR!$AF$256,IF($S$252=233,PR!$AF$257,IF($S$252=234,PR!$AF$258,IF($S$252=235,PR!$AF$259,IF($S$252=236,PR!$AF$260,IF($S$252=237,PR!$AF$261,IF($S$252=238,PR!$AF$262,IF($S$252=239,PR!$AF$263,IF($S$252=240,PR!$AF$264,"-"))))))))))))))))))))))))))))))))))))))))))))))))))))))))))))</f>
        <v>0</v>
      </c>
      <c r="N259" s="550">
        <f>IF($S$252=181,PR!$AG$202,IF($S$252=182,PR!$AG$203,IF($S$252=183,PR!$AG$204,IF($S$252=184,PR!$AG$205,IF($S$252=185,PR!$AG$206,IF($S$252=186,PR!$AG$207,IF($S$252=187,PR!$AG$208,IF($S$252=188,PR!$AG$209,IF($S$252=189,PR!$AG$210,IF($S$252=190,PR!$AG$211,IF($S$252=191,PR!$AG$212,IF($S$252=192,PR!$AG$213,IF($S$252=193,PR!$AG$214,IF($S$252=194,PR!$AG$218,IF($S$252=195,PR!$AG$219,IF($S$252=196,PR!$AG$220,IF($S$252=197,PR!$AG$221,IF($S$252=198,PR!$AG$222,IF($S$252=199,PR!$AG$223,IF($S$252=200,PR!$AG$224,IF($S$252=201,PR!$AG$225,IF($S$252=202,PR!$AG$226,IF($S$252=203,PR!$AG$227,IF($S$252=204,PR!$AG$228,IF($S$252=205,PR!$AG$229,IF($S$252=206,PR!$AG$230,IF($S$252=207,PR!$AG$231,IF($S$252=208,PR!$AG$232,IF($S$252=209,PR!$AG$233,IF($S$252=210,PR!$AG$234,IF($S$252=211,PR!$AG$235,IF($S$252=212,PR!$AG$236,IF($S$252=213,PR!$AG$237,IF($S$252=214,PR!$AG$238,IF($S$252=215,PR!$AG$239,IF($S$252=216,PR!$AG$240,IF($S$252=217,PR!$AG$241,IF($S$252=218,PR!$AG$242,IF($S$252=219,PR!$AG$243,IF($S$252=220,PR!$AG$244,IF($S$252=221,PR!$AG$245,IF($S$252=222,PR!$AG$246,IF($S$252=223,PR!$AG$247,IF($S$252=224,PR!$AG$248,IF($S$252=225,PR!$AG$249,IF($S$252=226,PR!$AG$250,IF($S$252=227,PR!$AG$251,IF($S$252=228,PR!$AG$252,IF($S$252=229,PR!$AG$253,IF($S$252=230,PR!$AG$254,IF($S$252=231,PR!$AG$255,IF($S$252=232,PR!$AG$256,IF($S$252=233,PR!$AG$257,IF($S$252=234,PR!$AG$258,IF($S$252=235,PR!$AG$259,IF($S$252=236,PR!$AG$260,IF($S$252=237,PR!$AG$261,IF($S$252=238,PR!$AG$262,IF($S$252=239,PR!$AG$263,IF($S$252=240,PR!$AG$264,"-"))))))))))))))))))))))))))))))))))))))))))))))))))))))))))))</f>
        <v>0</v>
      </c>
      <c r="O259" s="550">
        <f>IF($S$252=181,PR!$AH$202,IF($S$252=182,PR!$AH$203,IF($S$252=183,PR!$AH$204,IF($S$252=184,PR!$AH$205,IF($S$252=185,PR!$AH$206,IF($S$252=186,PR!$AH$207,IF($S$252=187,PR!$AH$208,IF($S$252=188,PR!$AH$209,IF($S$252=189,PR!$AH$210,IF($S$252=190,PR!$AH$211,IF($S$252=191,PR!$AH$212,IF($S$252=192,PR!$AH$213,IF($S$252=193,PR!$AH$214,IF($S$252=194,PR!$AH$218,IF($S$252=195,PR!$AH$219,IF($S$252=196,PR!$AH$220,IF($S$252=197,PR!$AH$221,IF($S$252=198,PR!$AH$222,IF($S$252=199,PR!$AH$223,IF($S$252=200,PR!$AH$224,IF($S$252=201,PR!$AH$225,IF($S$252=202,PR!$AH$226,IF($S$252=203,PR!$AH$227,IF($S$252=204,PR!$AH$228,IF($S$252=205,PR!$AH$229,IF($S$252=206,PR!$AH$230,IF($S$252=207,PR!$AH$231,IF($S$252=208,PR!$AH$232,IF($S$252=209,PR!$AH$233,IF($S$252=210,PR!$AH$234,IF($S$252=211,PR!$AH$235,IF($S$252=212,PR!$AH$236,IF($S$252=213,PR!$AH$237,IF($S$252=214,PR!$AH$238,IF($S$252=215,PR!$AH$239,IF($S$252=216,PR!$AH$240,IF($S$252=217,PR!$AH$241,IF($S$252=218,PR!$AH$242,IF($S$252=219,PR!$AH$243,IF($S$252=220,PR!$AH$244,IF($S$252=221,PR!$AH$245,IF($S$252=222,PR!$AH$246,IF($S$252=223,PR!$AH$247,IF($S$252=224,PR!$AH$248,IF($S$252=225,PR!$AH$249,IF($S$252=226,PR!$AH$250,IF($S$252=227,PR!$AH$251,IF($S$252=228,PR!$AH$252,IF($S$252=229,PR!$AH$253,IF($S$252=230,PR!$AH$254,IF($S$252=231,PR!$AH$255,IF($S$252=232,PR!$AH$256,IF($S$252=233,PR!$AH$257,IF($S$252=234,PR!$AH$258,IF($S$252=235,PR!$AH$259,IF($S$252=236,PR!$AH$260,IF($S$252=237,PR!$AH$261,IF($S$252=238,PR!$AH$262,IF($S$252=239,PR!$AH$263,IF($S$252=240,PR!$AH$264,"-"))))))))))))))))))))))))))))))))))))))))))))))))))))))))))))</f>
        <v>0</v>
      </c>
      <c r="P259" s="550">
        <f>IF($S$252=181,PR!$AI$202,IF($S$252=182,PR!$AI$203,IF($S$252=183,PR!$AI$204,IF($S$252=184,PR!$AI$205,IF($S$252=185,PR!$AI$206,IF($S$252=186,PR!$AI$207,IF($S$252=187,PR!$AI$208,IF($S$252=188,PR!$AI$209,IF($S$252=189,PR!$AI$210,IF($S$252=190,PR!$AI$211,IF($S$252=191,PR!$AI$212,IF($S$252=192,PR!$AI$213,IF($S$252=193,PR!$AI$214,IF($S$252=194,PR!$AI$218,IF($S$252=195,PR!$AI$219,IF($S$252=196,PR!$AI$220,IF($S$252=197,PR!$AI$221,IF($S$252=198,PR!$AI$222,IF($S$252=199,PR!$AI$223,IF($S$252=200,PR!$AI$224,IF($S$252=201,PR!$AI$225,IF($S$252=202,PR!$AI$226,IF($S$252=203,PR!$AI$227,IF($S$252=204,PR!$AI$228,IF($S$252=205,PR!$AI$229,IF($S$252=206,PR!$AI$230,IF($S$252=207,PR!$AI$231,IF($S$252=208,PR!$AI$232,IF($S$252=209,PR!$AI$233,IF($S$252=210,PR!$AI$234,IF($S$252=211,PR!$AI$235,IF($S$252=212,PR!$AI$236,IF($S$252=213,PR!$AI$237,IF($S$252=214,PR!$AI$238,IF($S$252=215,PR!$AI$239,IF($S$252=216,PR!$AI$240,IF($S$252=217,PR!$AI$241,IF($S$252=218,PR!$AI$242,IF($S$252=219,PR!$AI$243,IF($S$252=220,PR!$AI$244,IF($S$252=221,PR!$AI$245,IF($S$252=222,PR!$AI$246,IF($S$252=223,PR!$AI$247,IF($S$252=224,PR!$AI$248,IF($S$252=225,PR!$AI$249,IF($S$252=226,PR!$AI$250,IF($S$252=227,PR!$AI$251,IF($S$252=228,PR!$AI$252,IF($S$252=229,PR!$AI$253,IF($S$252=230,PR!$AI$254,IF($S$252=231,PR!$AI$255,IF($S$252=232,PR!$AI$256,IF($S$252=233,PR!$AI$257,IF($S$252=234,PR!$AI$258,IF($S$252=235,PR!$AI$259,IF($S$252=236,PR!$AI$260,IF($S$252=237,PR!$AI$261,IF($S$252=238,PR!$AI$262,IF($S$252=239,PR!$AI$263,IF($S$252=240,PR!$AI$264,"-"))))))))))))))))))))))))))))))))))))))))))))))))))))))))))))</f>
        <v>0</v>
      </c>
      <c r="Q259" s="550">
        <f>IF($S$252=181,PR!$AJ$202,IF($S$252=182,PR!$AJ$203,IF($S$252=183,PR!$AJ$204,IF($S$252=184,PR!$AJ$205,IF($S$252=185,PR!$AJ$206,IF($S$252=186,PR!$AJ$207,IF($S$252=187,PR!$AJ$208,IF($S$252=188,PR!$AJ$209,IF($S$252=189,PR!$AJ$210,IF($S$252=190,PR!$AJ$211,IF($S$252=191,PR!$AJ$212,IF($S$252=192,PR!$AJ$213,IF($S$252=193,PR!$AJ$214,IF($S$252=194,PR!$AJ$218,IF($S$252=195,PR!$AJ$219,IF($S$252=196,PR!$AJ$220,IF($S$252=197,PR!$AJ$221,IF($S$252=198,PR!$AJ$222,IF($S$252=199,PR!$AJ$223,IF($S$252=200,PR!$AJ$224,IF($S$252=201,PR!$AJ$225,IF($S$252=202,PR!$AJ$226,IF($S$252=203,PR!$AJ$227,IF($S$252=204,PR!$AJ$228,IF($S$252=205,PR!$AJ$229,IF($S$252=206,PR!$AJ$230,IF($S$252=207,PR!$AJ$231,IF($S$252=208,PR!$AJ$232,IF($S$252=209,PR!$AJ$233,IF($S$252=210,PR!$AJ$234,IF($S$252=211,PR!$AJ$235,IF($S$252=212,PR!$AJ$236,IF($S$252=213,PR!$AJ$237,IF($S$252=214,PR!$AJ$238,IF($S$252=215,PR!$AJ$239,IF($S$252=216,PR!$AJ$240,IF($S$252=217,PR!$AJ$241,IF($S$252=218,PR!$AJ$242,IF($S$252=219,PR!$AJ$243,IF($S$252=220,PR!$AJ$244,IF($S$252=221,PR!$AJ$245,IF($S$252=222,PR!$AJ$246,IF($S$252=223,PR!$AJ$247,IF($S$252=224,PR!$AJ$248,IF($S$252=225,PR!$AJ$249,IF($S$252=226,PR!$AJ$250,IF($S$252=227,PR!$AJ$251,IF($S$252=228,PR!$AJ$252,IF($S$252=229,PR!$AJ$253,IF($S$252=230,PR!$AJ$254,IF($S$252=231,PR!$AJ$255,IF($S$252=232,PR!$AJ$256,IF($S$252=233,PR!$AJ$257,IF($S$252=234,PR!$AJ$258,IF($S$252=235,PR!$AJ$259,IF($S$252=236,PR!$AJ$260,IF($S$252=237,PR!$AJ$261,IF($S$252=238,PR!$AJ$262,IF($S$252=239,PR!$AJ$263,IF($S$252=240,PR!$AJ$264,"-"))))))))))))))))))))))))))))))))))))))))))))))))))))))))))))</f>
        <v>0</v>
      </c>
      <c r="R259" s="550">
        <f>IF($S$252=181,PR!$AK$202,IF($S$252=182,PR!$AK$203,IF($S$252=183,PR!$AK$204,IF($S$252=184,PR!$AK$205,IF($S$252=185,PR!$AK$206,IF($S$252=186,PR!$AK$207,IF($S$252=187,PR!$AK$208,IF($S$252=188,PR!$AK$209,IF($S$252=189,PR!$AK$210,IF($S$252=190,PR!$AK$211,IF($S$252=191,PR!$AK$212,IF($S$252=192,PR!$AK$213,IF($S$252=193,PR!$AK$214,IF($S$252=194,PR!$AK$218,IF($S$252=195,PR!$AK$219,IF($S$252=196,PR!$AK$220,IF($S$252=197,PR!$AK$221,IF($S$252=198,PR!$AK$222,IF($S$252=199,PR!$AK$223,IF($S$252=200,PR!$AK$224,IF($S$252=201,PR!$AK$225,IF($S$252=202,PR!$AK$226,IF($S$252=203,PR!$AK$227,IF($S$252=204,PR!$AK$228,IF($S$252=205,PR!$AK$229,IF($S$252=206,PR!$AK$230,IF($S$252=207,PR!$AK$231,IF($S$252=208,PR!$AK$232,IF($S$252=209,PR!$AK$233,IF($S$252=210,PR!$AK$234,IF($S$252=211,PR!$AK$235,IF($S$252=212,PR!$AK$236,IF($S$252=213,PR!$AK$237,IF($S$252=214,PR!$AK$238,IF($S$252=215,PR!$AK$239,IF($S$252=216,PR!$AK$240,IF($S$252=217,PR!$AK$241,IF($S$252=218,PR!$AK$242,IF($S$252=219,PR!$AK$243,IF($S$252=220,PR!$AK$244,IF($S$252=221,PR!$AK$245,IF($S$252=222,PR!$AK$246,IF($S$252=223,PR!$AK$247,IF($S$252=224,PR!$AK$248,IF($S$252=225,PR!$AK$249,IF($S$252=226,PR!$AK$250,IF($S$252=227,PR!$AK$251,IF($S$252=228,PR!$AK$252,IF($S$252=229,PR!$AK$253,IF($S$252=230,PR!$AK$254,IF($S$252=231,PR!$AK$255,IF($S$252=232,PR!$AK$256,IF($S$252=233,PR!$AK$257,IF($S$252=234,PR!$AK$258,IF($S$252=235,PR!$AK$259,IF($S$252=236,PR!$AK$260,IF($S$252=237,PR!$AK$261,IF($S$252=238,PR!$AK$262,IF($S$252=239,PR!$AK$263,IF($S$252=240,PR!$AK$264,"-"))))))))))))))))))))))))))))))))))))))))))))))))))))))))))))</f>
        <v>0</v>
      </c>
      <c r="S259" s="550">
        <f>IF($S$252=181,PR!$AM$202,IF($S$252=182,PR!$AM$203,IF($S$252=183,PR!$AM$204,IF($S$252=184,PR!$AM$205,IF($S$252=185,PR!$AM$206,IF($S$252=186,PR!$AM$207,IF($S$252=187,PR!$AM$208,IF($S$252=188,PR!$AM$209,IF($S$252=189,PR!$AM$210,IF($S$252=190,PR!$AM$211,IF($S$252=191,PR!$AM$212,IF($S$252=192,PR!$AM$213,IF($S$252=193,PR!$AM$214,IF($S$252=194,PR!$AM$218,IF($S$252=195,PR!$AM$219,IF($S$252=196,PR!$AM$220,IF($S$252=197,PR!$AM$221,IF($S$252=198,PR!$AM$222,IF($S$252=199,PR!$AM$223,IF($S$252=200,PR!$AM$224,IF($S$252=201,PR!$AM$225,IF($S$252=202,PR!$AM$226,IF($S$252=203,PR!$AM$227,IF($S$252=204,PR!$AM$228,IF($S$252=205,PR!$AM$229,IF($S$252=206,PR!$AM$230,IF($S$252=207,PR!$AM$231,IF($S$252=208,PR!$AM$232,IF($S$252=209,PR!$AM$233,IF($S$252=210,PR!$AM$234,IF($S$252=211,PR!$AM$235,IF($S$252=212,PR!$AM$236,IF($S$252=213,PR!$AM$237,IF($S$252=214,PR!$AM$238,IF($S$252=215,PR!$AM$239,IF($S$252=216,PR!$AM$240,IF($S$252=217,PR!$AM$241,IF($S$252=218,PR!$AM$242,IF($S$252=219,PR!$AM$243,IF($S$252=220,PR!$AM$244,IF($S$252=221,PR!$AM$245,IF($S$252=222,PR!$AM$246,IF($S$252=223,PR!$AM$247,IF($S$252=224,PR!$AM$248,IF($S$252=225,PR!$AM$249,IF($S$252=226,PR!$AM$250,IF($S$252=227,PR!$AM$251,IF($S$252=228,PR!$AM$252,IF($S$252=229,PR!$AM$253,IF($S$252=230,PR!$AM$254,IF($S$252=231,PR!$AM$255,IF($S$252=232,PR!$AM$256,IF($S$252=233,PR!$AM$257,IF($S$252=234,PR!$AM$258,IF($S$252=235,PR!$AM$259,IF($S$252=236,PR!$AM$260,IF($S$252=237,PR!$AM$261,IF($S$252=238,PR!$AM$262,IF($S$252=239,PR!$AM$263,IF($S$252=240,PR!$AM$264,"-"))))))))))))))))))))))))))))))))))))))))))))))))))))))))))))</f>
        <v>0</v>
      </c>
      <c r="T259" s="518"/>
      <c r="U259" s="518"/>
      <c r="V259" s="32"/>
      <c r="W259" s="32"/>
      <c r="X259" s="32"/>
      <c r="Y259" s="32"/>
      <c r="Z259" s="32"/>
    </row>
    <row r="260" spans="1:26" ht="15.75" x14ac:dyDescent="0.25">
      <c r="A260" s="91"/>
      <c r="B260" s="518"/>
      <c r="C260" s="545"/>
      <c r="D260" s="546"/>
      <c r="E260" s="546"/>
      <c r="F260" s="546"/>
      <c r="G260" s="546"/>
      <c r="H260" s="546"/>
      <c r="I260" s="546"/>
      <c r="J260" s="546"/>
      <c r="K260" s="546"/>
      <c r="L260" s="546"/>
      <c r="M260" s="546"/>
      <c r="N260" s="546"/>
      <c r="O260" s="546"/>
      <c r="P260" s="546"/>
      <c r="Q260" s="546"/>
      <c r="R260" s="549"/>
      <c r="S260" s="549"/>
      <c r="T260" s="518"/>
      <c r="U260" s="518"/>
      <c r="V260" s="32"/>
      <c r="W260" s="32"/>
      <c r="X260" s="32"/>
      <c r="Y260" s="32"/>
      <c r="Z260" s="32"/>
    </row>
    <row r="261" spans="1:26" ht="15.75" thickBot="1" x14ac:dyDescent="0.3">
      <c r="A261" s="91"/>
      <c r="B261" s="518"/>
      <c r="C261" s="548" t="str">
        <f>N!$C$38</f>
        <v>MWORLD</v>
      </c>
      <c r="D261" s="548" t="str">
        <f>N!$C$39</f>
        <v>MEGA</v>
      </c>
      <c r="E261" s="548" t="str">
        <f>N!$C$40</f>
        <v>MICRONOVA</v>
      </c>
      <c r="F261" s="548" t="str">
        <f>N!$C$41</f>
        <v>MFLASH</v>
      </c>
      <c r="G261" s="548" t="str">
        <f>N!$C$42</f>
        <v>MORISON</v>
      </c>
      <c r="H261" s="548" t="str">
        <f>N!$C$43</f>
        <v>NEMEL</v>
      </c>
      <c r="I261" s="548" t="str">
        <f>N!$C$44</f>
        <v>NHP</v>
      </c>
      <c r="J261" s="548" t="str">
        <f>N!$C$45</f>
        <v>NHC</v>
      </c>
      <c r="K261" s="548" t="str">
        <f>N!$C$46</f>
        <v>OLEAF</v>
      </c>
      <c r="L261" s="548" t="str">
        <f>N!$C$47</f>
        <v>OCULUS</v>
      </c>
      <c r="M261" s="548" t="str">
        <f>N!$C$48</f>
        <v>PACIFIC</v>
      </c>
      <c r="N261" s="548" t="str">
        <f>N!$C$49</f>
        <v>PHAMATEX</v>
      </c>
      <c r="O261" s="548" t="str">
        <f>N!$C$50</f>
        <v>PETHICS</v>
      </c>
      <c r="P261" s="548" t="str">
        <f>N!$C$51</f>
        <v>PHILIPS</v>
      </c>
      <c r="Q261" s="548" t="str">
        <f>N!$C$52</f>
        <v>RANBAXY</v>
      </c>
      <c r="R261" s="548" t="str">
        <f>N!$C$53</f>
        <v>REALS</v>
      </c>
      <c r="S261" s="548" t="str">
        <f>N!$C$54</f>
        <v>ROYAL</v>
      </c>
      <c r="T261" s="518"/>
      <c r="U261" s="518"/>
      <c r="V261" s="32"/>
      <c r="W261" s="32"/>
      <c r="X261" s="32"/>
      <c r="Y261" s="32"/>
      <c r="Z261" s="32"/>
    </row>
    <row r="262" spans="1:26" ht="15.75" thickBot="1" x14ac:dyDescent="0.3">
      <c r="A262" s="91"/>
      <c r="B262" s="518"/>
      <c r="C262" s="550">
        <f>IF($S$252=181,PR!$AN$202,IF($S$252=182,PR!$AN$203,IF($S$252=183,PR!$AN$204,IF($S$252=184,PR!$AN$205,IF($S$252=185,PR!$AN$206,IF($S$252=186,PR!$AN$207,IF($S$252=187,PR!$AN$208,IF($S$252=188,PR!$AN$209,IF($S$252=189,PR!$AN$210,IF($S$252=190,PR!$AN$211,IF($S$252=191,PR!$AN$212,IF($S$252=192,PR!$AN$213,IF($S$252=193,PR!$AN$214,IF($S$252=194,PR!$AN$218,IF($S$252=195,PR!$AN$219,IF($S$252=196,PR!$AN$220,IF($S$252=197,PR!$AN$221,IF($S$252=198,PR!$AN$222,IF($S$252=199,PR!$AN$223,IF($S$252=200,PR!$AN$224,IF($S$252=201,PR!$AN$225,IF($S$252=202,PR!$AN$226,IF($S$252=203,PR!$AN$227,IF($S$252=204,PR!$AN$228,IF($S$252=205,PR!$AN$229,IF($S$252=206,PR!$AN$230,IF($S$252=207,PR!$AN$231,IF($S$252=208,PR!$AN$232,IF($S$252=209,PR!$AN$233,IF($S$252=210,PR!$AN$234,IF($S$252=211,PR!$AN$235,IF($S$252=212,PR!$AN$236,IF($S$252=213,PR!$AN$237,IF($S$252=214,PR!$AN$238,IF($S$252=215,PR!$AN$239,IF($S$252=216,PR!$AN$240,IF($S$252=217,PR!$AN$241,IF($S$252=218,PR!$AN$242,IF($S$252=219,PR!$AN$243,IF($S$252=220,PR!$AN$244,IF($S$252=221,PR!$AN$245,IF($S$252=222,PR!$AN$246,IF($S$252=223,PR!$AN$247,IF($S$252=224,PR!$AN$248,IF($S$252=225,PR!$AN$249,IF($S$252=226,PR!$AN$250,IF($S$252=227,PR!$AN$251,IF($S$252=228,PR!$AN$252,IF($S$252=229,PR!$AN$253,IF($S$252=230,PR!$AN$254,IF($S$252=231,PR!$AN$255,IF($S$252=232,PR!$AN$256,IF($S$252=233,PR!$AN$257,IF($S$252=234,PR!$AN$258,IF($S$252=235,PR!$AN$259,IF($S$252=236,PR!$AN$260,IF($S$252=237,PR!$AN$261,IF($S$252=238,PR!$AN$262,IF($S$252=239,PR!$AN$263,IF($S$252=240,PR!$AN$264,"-"))))))))))))))))))))))))))))))))))))))))))))))))))))))))))))</f>
        <v>0</v>
      </c>
      <c r="D262" s="550">
        <f>IF($S$252=181,PR!$AN$202,IF($S$252=182,PR!$AN$203,IF($S$252=183,PR!$AN$204,IF($S$252=184,PR!$AN$205,IF($S$252=185,PR!$AN$206,IF($S$252=186,PR!$AN$207,IF($S$252=187,PR!$AN$208,IF($S$252=188,PR!$AN$209,IF($S$252=189,PR!$AN$210,IF($S$252=190,PR!$AN$211,IF($S$252=191,PR!$AN$212,IF($S$252=192,PR!$AN$213,IF($S$252=193,PR!$AN$214,IF($S$252=194,PR!$AN$218,IF($S$252=195,PR!$AN$219,IF($S$252=196,PR!$AN$220,IF($S$252=197,PR!$AN$221,IF($S$252=198,PR!$AN$222,IF($S$252=199,PR!$AN$223,IF($S$252=200,PR!$AN$224,IF($S$252=201,PR!$AN$225,IF($S$252=202,PR!$AN$226,IF($S$252=203,PR!$AN$227,IF($S$252=204,PR!$AN$228,IF($S$252=205,PR!$AN$229,IF($S$252=206,PR!$AN$230,IF($S$252=207,PR!$AN$231,IF($S$252=208,PR!$AN$232,IF($S$252=209,PR!$AN$233,IF($S$252=210,PR!$AN$234,IF($S$252=211,PR!$AN$235,IF($S$252=212,PR!$AN$236,IF($S$252=213,PR!$AN$237,IF($S$252=214,PR!$AN$238,IF($S$252=215,PR!$AN$239,IF($S$252=216,PR!$AN$240,IF($S$252=217,PR!$AN$241,IF($S$252=218,PR!$AN$242,IF($S$252=219,PR!$AN$243,IF($S$252=220,PR!$AN$244,IF($S$252=221,PR!$AN$245,IF($S$252=222,PR!$AN$246,IF($S$252=223,PR!$AN$247,IF($S$252=224,PR!$AN$248,IF($S$252=225,PR!$AN$249,IF($S$252=226,PR!$AN$250,IF($S$252=227,PR!$AN$251,IF($S$252=228,PR!$AN$252,IF($S$252=229,PR!$AN$253,IF($S$252=230,PR!$AN$254,IF($S$252=231,PR!$AN$255,IF($S$252=232,PR!$AN$256,IF($S$252=233,PR!$AN$257,IF($S$252=234,PR!$AN$258,IF($S$252=235,PR!$AN$259,IF($S$252=236,PR!$AN$260,IF($S$252=237,PR!$AN$261,IF($S$252=238,PR!$AN$262,IF($S$252=239,PR!$AN$263,IF($S$252=240,PR!$AN$264,"-"))))))))))))))))))))))))))))))))))))))))))))))))))))))))))))</f>
        <v>0</v>
      </c>
      <c r="E262" s="550">
        <f>IF($S$252=181,PR!$AO$202,IF($S$252=182,PR!$AO$203,IF($S$252=183,PR!$AO$204,IF($S$252=184,PR!$AO$205,IF($S$252=185,PR!$AO$206,IF($S$252=186,PR!$AO$207,IF($S$252=187,PR!$AO$208,IF($S$252=188,PR!$AO$209,IF($S$252=189,PR!$AO$210,IF($S$252=190,PR!$AO$211,IF($S$252=191,PR!$AO$212,IF($S$252=192,PR!$AO$213,IF($S$252=193,PR!$AO$214,IF($S$252=194,PR!$AO$218,IF($S$252=195,PR!$AO$219,IF($S$252=196,PR!$AO$220,IF($S$252=197,PR!$AO$221,IF($S$252=198,PR!$AO$222,IF($S$252=199,PR!$AO$223,IF($S$252=200,PR!$AO$224,IF($S$252=201,PR!$AO$225,IF($S$252=202,PR!$AO$226,IF($S$252=203,PR!$AO$227,IF($S$252=204,PR!$AO$228,IF($S$252=205,PR!$AO$229,IF($S$252=206,PR!$AO$230,IF($S$252=207,PR!$AO$231,IF($S$252=208,PR!$AO$232,IF($S$252=209,PR!$AO$233,IF($S$252=210,PR!$AO$234,IF($S$252=211,PR!$AO$235,IF($S$252=212,PR!$AO$236,IF($S$252=213,PR!$AO$237,IF($S$252=214,PR!$AO$238,IF($S$252=215,PR!$AO$239,IF($S$252=216,PR!$AO$240,IF($S$252=217,PR!$AO$241,IF($S$252=218,PR!$AO$242,IF($S$252=219,PR!$AO$243,IF($S$252=220,PR!$AO$244,IF($S$252=221,PR!$AO$245,IF($S$252=222,PR!$AO$246,IF($S$252=223,PR!$AO$247,IF($S$252=224,PR!$AO$248,IF($S$252=225,PR!$AO$249,IF($S$252=226,PR!$AO$250,IF($S$252=227,PR!$AO$251,IF($S$252=228,PR!$AO$252,IF($S$252=229,PR!$AO$253,IF($S$252=230,PR!$AO$254,IF($S$252=231,PR!$AO$255,IF($S$252=232,PR!$AO$256,IF($S$252=233,PR!$AO$257,IF($S$252=234,PR!$AO$258,IF($S$252=235,PR!$AO$259,IF($S$252=236,PR!$AO$260,IF($S$252=237,PR!$AO$261,IF($S$252=238,PR!$AO$262,IF($S$252=239,PR!$AO$263,IF($S$252=240,PR!$AO$264,"-"))))))))))))))))))))))))))))))))))))))))))))))))))))))))))))</f>
        <v>0</v>
      </c>
      <c r="F262" s="550">
        <f>IF($S$252=181,PR!$AP$202,IF($S$252=182,PR!$AP$203,IF($S$252=183,PR!$AP$204,IF($S$252=184,PR!$AP$205,IF($S$252=185,PR!$AP$206,IF($S$252=186,PR!$AP$207,IF($S$252=187,PR!$AP$208,IF($S$252=188,PR!$AP$209,IF($S$252=189,PR!$AP$210,IF($S$252=190,PR!$AP$211,IF($S$252=191,PR!$AP$212,IF($S$252=192,PR!$AP$213,IF($S$252=193,PR!$AP$214,IF($S$252=194,PR!$AP$218,IF($S$252=195,PR!$AP$219,IF($S$252=196,PR!$AP$220,IF($S$252=197,PR!$AP$221,IF($S$252=198,PR!$AP$222,IF($S$252=199,PR!$AP$223,IF($S$252=200,PR!$AP$224,IF($S$252=201,PR!$AP$225,IF($S$252=202,PR!$AP$226,IF($S$252=203,PR!$AP$227,IF($S$252=204,PR!$AP$228,IF($S$252=205,PR!$AP$229,IF($S$252=206,PR!$AP$230,IF($S$252=207,PR!$AP$231,IF($S$252=208,PR!$AP$232,IF($S$252=209,PR!$AP$233,IF($S$252=210,PR!$AP$234,IF($S$252=211,PR!$AP$235,IF($S$252=212,PR!$AP$236,IF($S$252=213,PR!$AP$237,IF($S$252=214,PR!$AP$238,IF($S$252=215,PR!$AP$239,IF($S$252=216,PR!$AP$240,IF($S$252=217,PR!$AP$241,IF($S$252=218,PR!$AP$242,IF($S$252=219,PR!$AP$243,IF($S$252=220,PR!$AP$244,IF($S$252=221,PR!$AP$245,IF($S$252=222,PR!$AP$246,IF($S$252=223,PR!$AP$247,IF($S$252=224,PR!$AP$248,IF($S$252=225,PR!$AP$249,IF($S$252=226,PR!$AP$250,IF($S$252=227,PR!$AP$251,IF($S$252=228,PR!$AP$252,IF($S$252=229,PR!$AP$253,IF($S$252=230,PR!$AP$254,IF($S$252=231,PR!$AP$255,IF($S$252=232,PR!$AP$256,IF($S$252=233,PR!$AP$257,IF($S$252=234,PR!$AP$258,IF($S$252=235,PR!$AP$259,IF($S$252=236,PR!$AP$260,IF($S$252=237,PR!$AP$261,IF($S$252=238,PR!$AP$262,IF($S$252=239,PR!$AP$263,IF($S$252=240,PR!$AP$264,"-"))))))))))))))))))))))))))))))))))))))))))))))))))))))))))))</f>
        <v>0</v>
      </c>
      <c r="G262" s="550">
        <f>IF($S$252=181,PR!$AQ$202,IF($S$252=182,PR!$AQ$203,IF($S$252=183,PR!$AQ$204,IF($S$252=184,PR!$AQ$205,IF($S$252=185,PR!$AQ$206,IF($S$252=186,PR!$AQ$207,IF($S$252=187,PR!$AQ$208,IF($S$252=188,PR!$AQ$209,IF($S$252=189,PR!$AQ$210,IF($S$252=190,PR!$AQ$211,IF($S$252=191,PR!$AQ$212,IF($S$252=192,PR!$AQ$213,IF($S$252=193,PR!$AQ$214,IF($S$252=194,PR!$AQ$218,IF($S$252=195,PR!$AQ$219,IF($S$252=196,PR!$AQ$220,IF($S$252=197,PR!$AQ$221,IF($S$252=198,PR!$AQ$222,IF($S$252=199,PR!$AQ$223,IF($S$252=200,PR!$AQ$224,IF($S$252=201,PR!$AQ$225,IF($S$252=202,PR!$AQ$226,IF($S$252=203,PR!$AQ$227,IF($S$252=204,PR!$AQ$228,IF($S$252=205,PR!$AQ$229,IF($S$252=206,PR!$AQ$230,IF($S$252=207,PR!$AQ$231,IF($S$252=208,PR!$AQ$232,IF($S$252=209,PR!$AQ$233,IF($S$252=210,PR!$AQ$234,IF($S$252=211,PR!$AQ$235,IF($S$252=212,PR!$AQ$236,IF($S$252=213,PR!$AQ$237,IF($S$252=214,PR!$AQ$238,IF($S$252=215,PR!$AQ$239,IF($S$252=216,PR!$AQ$240,IF($S$252=217,PR!$AQ$241,IF($S$252=218,PR!$AQ$242,IF($S$252=219,PR!$AQ$243,IF($S$252=220,PR!$AQ$244,IF($S$252=221,PR!$AQ$245,IF($S$252=222,PR!$AQ$246,IF($S$252=223,PR!$AQ$247,IF($S$252=224,PR!$AQ$248,IF($S$252=225,PR!$AQ$249,IF($S$252=226,PR!$AQ$250,IF($S$252=227,PR!$AQ$251,IF($S$252=228,PR!$AQ$252,IF($S$252=229,PR!$AQ$253,IF($S$252=230,PR!$AQ$254,IF($S$252=231,PR!$AQ$255,IF($S$252=232,PR!$AQ$256,IF($S$252=233,PR!$AQ$257,IF($S$252=234,PR!$AQ$258,IF($S$252=235,PR!$AQ$259,IF($S$252=236,PR!$AQ$260,IF($S$252=237,PR!$AQ$261,IF($S$252=238,PR!$AQ$262,IF($S$252=239,PR!$AQ$263,IF($S$252=240,PR!$AQ$264,"-"))))))))))))))))))))))))))))))))))))))))))))))))))))))))))))</f>
        <v>0</v>
      </c>
      <c r="H262" s="550">
        <f>IF($S$252=181,PR!$AR$202,IF($S$252=182,PR!$AR$203,IF($S$252=183,PR!$AR$204,IF($S$252=184,PR!$AR$205,IF($S$252=185,PR!$AR$206,IF($S$252=186,PR!$AR$207,IF($S$252=187,PR!$AR$208,IF($S$252=188,PR!$AR$209,IF($S$252=189,PR!$AR$210,IF($S$252=190,PR!$AR$211,IF($S$252=191,PR!$AR$212,IF($S$252=192,PR!$AR$213,IF($S$252=193,PR!$AR$214,IF($S$252=194,PR!$AR$218,IF($S$252=195,PR!$AR$219,IF($S$252=196,PR!$AR$220,IF($S$252=197,PR!$AR$221,IF($S$252=198,PR!$AR$222,IF($S$252=199,PR!$AR$223,IF($S$252=200,PR!$AR$224,IF($S$252=201,PR!$AR$225,IF($S$252=202,PR!$AR$226,IF($S$252=203,PR!$AR$227,IF($S$252=204,PR!$AR$228,IF($S$252=205,PR!$AR$229,IF($S$252=206,PR!$AR$230,IF($S$252=207,PR!$AR$231,IF($S$252=208,PR!$AR$232,IF($S$252=209,PR!$AR$233,IF($S$252=210,PR!$AR$234,IF($S$252=211,PR!$AR$235,IF($S$252=212,PR!$AR$236,IF($S$252=213,PR!$AR$237,IF($S$252=214,PR!$AR$238,IF($S$252=215,PR!$AR$239,IF($S$252=216,PR!$AR$240,IF($S$252=217,PR!$AR$241,IF($S$252=218,PR!$AR$242,IF($S$252=219,PR!$AR$243,IF($S$252=220,PR!$AR$244,IF($S$252=221,PR!$AR$245,IF($S$252=222,PR!$AR$246,IF($S$252=223,PR!$AR$247,IF($S$252=224,PR!$AR$248,IF($S$252=225,PR!$AR$249,IF($S$252=226,PR!$AR$250,IF($S$252=227,PR!$AR$251,IF($S$252=228,PR!$AR$252,IF($S$252=229,PR!$AR$253,IF($S$252=230,PR!$AR$254,IF($S$252=231,PR!$AR$255,IF($S$252=232,PR!$AR$256,IF($S$252=233,PR!$AR$257,IF($S$252=234,PR!$AR$258,IF($S$252=235,PR!$AR$259,IF($S$252=236,PR!$AR$260,IF($S$252=237,PR!$AR$261,IF($S$252=238,PR!$AR$262,IF($S$252=239,PR!$AR$263,IF($S$252=240,PR!$AR$264,"-"))))))))))))))))))))))))))))))))))))))))))))))))))))))))))))</f>
        <v>1120</v>
      </c>
      <c r="I262" s="550">
        <f>IF($S$252=181,PR!$AS$202,IF($S$252=182,PR!$AS$203,IF($S$252=183,PR!$AS$204,IF($S$252=184,PR!$AS$205,IF($S$252=185,PR!$AS$206,IF($S$252=186,PR!$AS$207,IF($S$252=187,PR!$AS$208,IF($S$252=188,PR!$AS$209,IF($S$252=189,PR!$AS$210,IF($S$252=190,PR!$AS$211,IF($S$252=191,PR!$AS$212,IF($S$252=192,PR!$AS$213,IF($S$252=193,PR!$AS$214,IF($S$252=194,PR!$AS$218,IF($S$252=195,PR!$AS$219,IF($S$252=196,PR!$AS$220,IF($S$252=197,PR!$AS$221,IF($S$252=198,PR!$AS$222,IF($S$252=199,PR!$AS$223,IF($S$252=200,PR!$AS$224,IF($S$252=201,PR!$AS$225,IF($S$252=202,PR!$AS$226,IF($S$252=203,PR!$AS$227,IF($S$252=204,PR!$AS$228,IF($S$252=205,PR!$AS$229,IF($S$252=206,PR!$AS$230,IF($S$252=207,PR!$AS$231,IF($S$252=208,PR!$AS$232,IF($S$252=209,PR!$AS$233,IF($S$252=210,PR!$AS$234,IF($S$252=211,PR!$AS$235,IF($S$252=212,PR!$AS$236,IF($S$252=213,PR!$AS$237,IF($S$252=214,PR!$AS$238,IF($S$252=215,PR!$AS$239,IF($S$252=216,PR!$AS$240,IF($S$252=217,PR!$AS$241,IF($S$252=218,PR!$AS$242,IF($S$252=219,PR!$AS$243,IF($S$252=220,PR!$AS$244,IF($S$252=221,PR!$AS$245,IF($S$252=222,PR!$AS$246,IF($S$252=223,PR!$AS$247,IF($S$252=224,PR!$AS$248,IF($S$252=225,PR!$AS$249,IF($S$252=226,PR!$AS$250,IF($S$252=227,PR!$AS$251,IF($S$252=228,PR!$AS$252,IF($S$252=229,PR!$AS$253,IF($S$252=230,PR!$AS$254,IF($S$252=231,PR!$AS$255,IF($S$252=232,PR!$AS$256,IF($S$252=233,PR!$AS$257,IF($S$252=234,PR!$AS$258,IF($S$252=235,PR!$AS$259,IF($S$252=236,PR!$AS$260,IF($S$252=237,PR!$AS$261,IF($S$252=238,PR!$AS$262,IF($S$252=239,PR!$AS$263,IF($S$252=240,PR!$AS$264,"-"))))))))))))))))))))))))))))))))))))))))))))))))))))))))))))</f>
        <v>0</v>
      </c>
      <c r="J262" s="550">
        <f>IF($S$252=181,PR!$AT$202,IF($S$252=182,PR!$AT$203,IF($S$252=183,PR!$AT$204,IF($S$252=184,PR!$AT$205,IF($S$252=185,PR!$AT$206,IF($S$252=186,PR!$AT$207,IF($S$252=187,PR!$AT$208,IF($S$252=188,PR!$AT$209,IF($S$252=189,PR!$AT$210,IF($S$252=190,PR!$AT$211,IF($S$252=191,PR!$AT$212,IF($S$252=192,PR!$AT$213,IF($S$252=193,PR!$AT$214,IF($S$252=194,PR!$AT$218,IF($S$252=195,PR!$AT$219,IF($S$252=196,PR!$AT$220,IF($S$252=197,PR!$AT$221,IF($S$252=198,PR!$AT$222,IF($S$252=199,PR!$AT$223,IF($S$252=200,PR!$AT$224,IF($S$252=201,PR!$AT$225,IF($S$252=202,PR!$AT$226,IF($S$252=203,PR!$AT$227,IF($S$252=204,PR!$AT$228,IF($S$252=205,PR!$AT$229,IF($S$252=206,PR!$AT$230,IF($S$252=207,PR!$AT$231,IF($S$252=208,PR!$AT$232,IF($S$252=209,PR!$AT$233,IF($S$252=210,PR!$AT$234,IF($S$252=211,PR!$AT$235,IF($S$252=212,PR!$AT$236,IF($S$252=213,PR!$AT$237,IF($S$252=214,PR!$AT$238,IF($S$252=215,PR!$AT$239,IF($S$252=216,PR!$AT$240,IF($S$252=217,PR!$AT$241,IF($S$252=218,PR!$AT$242,IF($S$252=219,PR!$AT$243,IF($S$252=220,PR!$AT$244,IF($S$252=221,PR!$AT$245,IF($S$252=222,PR!$AT$246,IF($S$252=223,PR!$AT$247,IF($S$252=224,PR!$AT$248,IF($S$252=225,PR!$AT$249,IF($S$252=226,PR!$AT$250,IF($S$252=227,PR!$AT$251,IF($S$252=228,PR!$AT$252,IF($S$252=229,PR!$AT$253,IF($S$252=230,PR!$AT$254,IF($S$252=231,PR!$AT$255,IF($S$252=232,PR!$AT$256,IF($S$252=233,PR!$AT$257,IF($S$252=234,PR!$AT$258,IF($S$252=235,PR!$AT$259,IF($S$252=236,PR!$AT$260,IF($S$252=237,PR!$AT$261,IF($S$252=238,PR!$AT$262,IF($S$252=239,PR!$AT$263,IF($S$252=240,PR!$AT$264,"-"))))))))))))))))))))))))))))))))))))))))))))))))))))))))))))</f>
        <v>0</v>
      </c>
      <c r="K262" s="550">
        <f>IF($S$252=181,PR!$AU$202,IF($S$252=182,PR!$AU$203,IF($S$252=183,PR!$AU$204,IF($S$252=184,PR!$AU$205,IF($S$252=185,PR!$AU$206,IF($S$252=186,PR!$AU$207,IF($S$252=187,PR!$AU$208,IF($S$252=188,PR!$AU$209,IF($S$252=189,PR!$AU$210,IF($S$252=190,PR!$AU$211,IF($S$252=191,PR!$AU$212,IF($S$252=192,PR!$AU$213,IF($S$252=193,PR!$AU$214,IF($S$252=194,PR!$AU$218,IF($S$252=195,PR!$AU$219,IF($S$252=196,PR!$AU$220,IF($S$252=197,PR!$AU$221,IF($S$252=198,PR!$AU$222,IF($S$252=199,PR!$AU$223,IF($S$252=200,PR!$AU$224,IF($S$252=201,PR!$AU$225,IF($S$252=202,PR!$AU$226,IF($S$252=203,PR!$AU$227,IF($S$252=204,PR!$AU$228,IF($S$252=205,PR!$AU$229,IF($S$252=206,PR!$AU$230,IF($S$252=207,PR!$AU$231,IF($S$252=208,PR!$AU$232,IF($S$252=209,PR!$AU$233,IF($S$252=210,PR!$AU$234,IF($S$252=211,PR!$AU$235,IF($S$252=212,PR!$AU$236,IF($S$252=213,PR!$AU$237,IF($S$252=214,PR!$AU$238,IF($S$252=215,PR!$AU$239,IF($S$252=216,PR!$AU$240,IF($S$252=217,PR!$AU$241,IF($S$252=218,PR!$AU$242,IF($S$252=219,PR!$AU$243,IF($S$252=220,PR!$AU$244,IF($S$252=221,PR!$AU$245,IF($S$252=222,PR!$AU$246,IF($S$252=223,PR!$AU$247,IF($S$252=224,PR!$AU$248,IF($S$252=225,PR!$AU$249,IF($S$252=226,PR!$AU$250,IF($S$252=227,PR!$AU$251,IF($S$252=228,PR!$AU$252,IF($S$252=229,PR!$AU$253,IF($S$252=230,PR!$AU$254,IF($S$252=231,PR!$AU$255,IF($S$252=232,PR!$AU$256,IF($S$252=233,PR!$AU$257,IF($S$252=234,PR!$AU$258,IF($S$252=235,PR!$AU$259,IF($S$252=236,PR!$AU$260,IF($S$252=237,PR!$AU$261,IF($S$252=238,PR!$AU$262,IF($S$252=239,PR!$AU$263,IF($S$252=240,PR!$AU$264,"-"))))))))))))))))))))))))))))))))))))))))))))))))))))))))))))</f>
        <v>0</v>
      </c>
      <c r="L262" s="550">
        <f>IF($S$252=181,PR!$AV$202,IF($S$252=182,PR!$AV$203,IF($S$252=183,PR!$AV$204,IF($S$252=184,PR!$AV$205,IF($S$252=185,PR!$AV$206,IF($S$252=186,PR!$AV$207,IF($S$252=187,PR!$AV$208,IF($S$252=188,PR!$AV$209,IF($S$252=189,PR!$AV$210,IF($S$252=190,PR!$AV$211,IF($S$252=191,PR!$AV$212,IF($S$252=192,PR!$AV$213,IF($S$252=193,PR!$AV$214,IF($S$252=194,PR!$AV$218,IF($S$252=195,PR!$AV$219,IF($S$252=196,PR!$AV$220,IF($S$252=197,PR!$AV$221,IF($S$252=198,PR!$AV$222,IF($S$252=199,PR!$AV$223,IF($S$252=200,PR!$AV$224,IF($S$252=201,PR!$AV$225,IF($S$252=202,PR!$AV$226,IF($S$252=203,PR!$AV$227,IF($S$252=204,PR!$AV$228,IF($S$252=205,PR!$AV$229,IF($S$252=206,PR!$AV$230,IF($S$252=207,PR!$AV$231,IF($S$252=208,PR!$AV$232,IF($S$252=209,PR!$AV$233,IF($S$252=210,PR!$AV$234,IF($S$252=211,PR!$AV$235,IF($S$252=212,PR!$AV$236,IF($S$252=213,PR!$AV$237,IF($S$252=214,PR!$AV$238,IF($S$252=215,PR!$AV$239,IF($S$252=216,PR!$AV$240,IF($S$252=217,PR!$AV$241,IF($S$252=218,PR!$AV$242,IF($S$252=219,PR!$AV$243,IF($S$252=220,PR!$AV$244,IF($S$252=221,PR!$AV$245,IF($S$252=222,PR!$AV$246,IF($S$252=223,PR!$AV$247,IF($S$252=224,PR!$AV$248,IF($S$252=225,PR!$AV$249,IF($S$252=226,PR!$AV$250,IF($S$252=227,PR!$AV$251,IF($S$252=228,PR!$AV$252,IF($S$252=229,PR!$AV$253,IF($S$252=230,PR!$AV$254,IF($S$252=231,PR!$AV$255,IF($S$252=232,PR!$AV$256,IF($S$252=233,PR!$AV$257,IF($S$252=234,PR!$AV$258,IF($S$252=235,PR!$AV$259,IF($S$252=236,PR!$AV$260,IF($S$252=237,PR!$AV$261,IF($S$252=238,PR!$AV$262,IF($S$252=239,PR!$AV$263,IF($S$252=240,PR!$AV$264,"-"))))))))))))))))))))))))))))))))))))))))))))))))))))))))))))</f>
        <v>0</v>
      </c>
      <c r="M262" s="550">
        <f>IF($S$252=181,PR!$AW$202,IF($S$252=182,PR!$AW$203,IF($S$252=183,PR!$AW$204,IF($S$252=184,PR!$AW$205,IF($S$252=185,PR!$AW$206,IF($S$252=186,PR!$AW$207,IF($S$252=187,PR!$AW$208,IF($S$252=188,PR!$AW$209,IF($S$252=189,PR!$AW$210,IF($S$252=190,PR!$AW$211,IF($S$252=191,PR!$AW$212,IF($S$252=192,PR!$AW$213,IF($S$252=193,PR!$AW$214,IF($S$252=194,PR!$AW$218,IF($S$252=195,PR!$AW$219,IF($S$252=196,PR!$AW$220,IF($S$252=197,PR!$AW$221,IF($S$252=198,PR!$AW$222,IF($S$252=199,PR!$AW$223,IF($S$252=200,PR!$AW$224,IF($S$252=201,PR!$AW$225,IF($S$252=202,PR!$AW$226,IF($S$252=203,PR!$AW$227,IF($S$252=204,PR!$AW$228,IF($S$252=205,PR!$AW$229,IF($S$252=206,PR!$AW$230,IF($S$252=207,PR!$AW$231,IF($S$252=208,PR!$AW$232,IF($S$252=209,PR!$AW$233,IF($S$252=210,PR!$AW$234,IF($S$252=211,PR!$AW$235,IF($S$252=212,PR!$AW$236,IF($S$252=213,PR!$AW$237,IF($S$252=214,PR!$AW$238,IF($S$252=215,PR!$AW$239,IF($S$252=216,PR!$AW$240,IF($S$252=217,PR!$AW$241,IF($S$252=218,PR!$AW$242,IF($S$252=219,PR!$AW$243,IF($S$252=220,PR!$AW$244,IF($S$252=221,PR!$AW$245,IF($S$252=222,PR!$AW$246,IF($S$252=223,PR!$AW$247,IF($S$252=224,PR!$AW$248,IF($S$252=225,PR!$AW$249,IF($S$252=226,PR!$AW$250,IF($S$252=227,PR!$AW$251,IF($S$252=228,PR!$AW$252,IF($S$252=229,PR!$AW$253,IF($S$252=230,PR!$AW$254,IF($S$252=231,PR!$AW$255,IF($S$252=232,PR!$AW$256,IF($S$252=233,PR!$AW$257,IF($S$252=234,PR!$AW$258,IF($S$252=235,PR!$AW$259,IF($S$252=236,PR!$AW$260,IF($S$252=237,PR!$AW$261,IF($S$252=238,PR!$AW$262,IF($S$252=239,PR!$AW$263,IF($S$252=240,PR!$AW$264,"-"))))))))))))))))))))))))))))))))))))))))))))))))))))))))))))</f>
        <v>0</v>
      </c>
      <c r="N262" s="550">
        <f>IF($S$252=181,PR!$AX$202,IF($S$252=182,PR!$AX$203,IF($S$252=183,PR!$AX$204,IF($S$252=184,PR!$AX$205,IF($S$252=185,PR!$AX$206,IF($S$252=186,PR!$AX$207,IF($S$252=187,PR!$AX$208,IF($S$252=188,PR!$AX$209,IF($S$252=189,PR!$AX$210,IF($S$252=190,PR!$AX$211,IF($S$252=191,PR!$AX$212,IF($S$252=192,PR!$AX$213,IF($S$252=193,PR!$AX$214,IF($S$252=194,PR!$AX$218,IF($S$252=195,PR!$AX$219,IF($S$252=196,PR!$AX$220,IF($S$252=197,PR!$AX$221,IF($S$252=198,PR!$AX$222,IF($S$252=199,PR!$AX$223,IF($S$252=200,PR!$AX$224,IF($S$252=201,PR!$AX$225,IF($S$252=202,PR!$AX$226,IF($S$252=203,PR!$AX$227,IF($S$252=204,PR!$AX$228,IF($S$252=205,PR!$AX$229,IF($S$252=206,PR!$AX$230,IF($S$252=207,PR!$AX$231,IF($S$252=208,PR!$AX$232,IF($S$252=209,PR!$AX$233,IF($S$252=210,PR!$AX$234,IF($S$252=211,PR!$AX$235,IF($S$252=212,PR!$AX$236,IF($S$252=213,PR!$AX$237,IF($S$252=214,PR!$AX$238,IF($S$252=215,PR!$AX$239,IF($S$252=216,PR!$AX$240,IF($S$252=217,PR!$AX$241,IF($S$252=218,PR!$AX$242,IF($S$252=219,PR!$AX$243,IF($S$252=220,PR!$AX$244,IF($S$252=221,PR!$AX$245,IF($S$252=222,PR!$AX$246,IF($S$252=223,PR!$AX$247,IF($S$252=224,PR!$AX$248,IF($S$252=225,PR!$AX$249,IF($S$252=226,PR!$AX$250,IF($S$252=227,PR!$AX$251,IF($S$252=228,PR!$AX$252,IF($S$252=229,PR!$AX$253,IF($S$252=230,PR!$AX$254,IF($S$252=231,PR!$AX$255,IF($S$252=232,PR!$AX$256,IF($S$252=233,PR!$AX$257,IF($S$252=234,PR!$AX$258,IF($S$252=235,PR!$AX$259,IF($S$252=236,PR!$AX$260,IF($S$252=237,PR!$AX$261,IF($S$252=238,PR!$AX$262,IF($S$252=239,PR!$AX$263,IF($S$252=240,PR!$AX$264,"-"))))))))))))))))))))))))))))))))))))))))))))))))))))))))))))</f>
        <v>0</v>
      </c>
      <c r="O262" s="550">
        <f>IF($S$252=181,PR!$AY$202,IF($S$252=182,PR!$AY$203,IF($S$252=183,PR!$AY$204,IF($S$252=184,PR!$AY$205,IF($S$252=185,PR!$AY$206,IF($S$252=186,PR!$AY$207,IF($S$252=187,PR!$AY$208,IF($S$252=188,PR!$AY$209,IF($S$252=189,PR!$AY$210,IF($S$252=190,PR!$AY$211,IF($S$252=191,PR!$AY$212,IF($S$252=192,PR!$AY$213,IF($S$252=193,PR!$AY$214,IF($S$252=194,PR!$AY$218,IF($S$252=195,PR!$AY$219,IF($S$252=196,PR!$AY$220,IF($S$252=197,PR!$AY$221,IF($S$252=198,PR!$AY$222,IF($S$252=199,PR!$AY$223,IF($S$252=200,PR!$AY$224,IF($S$252=201,PR!$AY$225,IF($S$252=202,PR!$AY$226,IF($S$252=203,PR!$AY$227,IF($S$252=204,PR!$AY$228,IF($S$252=205,PR!$AY$229,IF($S$252=206,PR!$AY$230,IF($S$252=207,PR!$AY$231,IF($S$252=208,PR!$AY$232,IF($S$252=209,PR!$AY$233,IF($S$252=210,PR!$AY$234,IF($S$252=211,PR!$AY$235,IF($S$252=212,PR!$AY$236,IF($S$252=213,PR!$AY$237,IF($S$252=214,PR!$AY$238,IF($S$252=215,PR!$AY$239,IF($S$252=216,PR!$AY$240,IF($S$252=217,PR!$AY$241,IF($S$252=218,PR!$AY$242,IF($S$252=219,PR!$AY$243,IF($S$252=220,PR!$AY$244,IF($S$252=221,PR!$AY$245,IF($S$252=222,PR!$AY$246,IF($S$252=223,PR!$AY$247,IF($S$252=224,PR!$AY$248,IF($S$252=225,PR!$AY$249,IF($S$252=226,PR!$AY$250,IF($S$252=227,PR!$AY$251,IF($S$252=228,PR!$AY$252,IF($S$252=229,PR!$AY$253,IF($S$252=230,PR!$AY$254,IF($S$252=231,PR!$AY$255,IF($S$252=232,PR!$AY$256,IF($S$252=233,PR!$AY$257,IF($S$252=234,PR!$AY$258,IF($S$252=235,PR!$AY$259,IF($S$252=236,PR!$AY$260,IF($S$252=237,PR!$AY$261,IF($S$252=238,PR!$AY$262,IF($S$252=239,PR!$AY$263,IF($S$252=240,PR!$AY$264,"-"))))))))))))))))))))))))))))))))))))))))))))))))))))))))))))</f>
        <v>0</v>
      </c>
      <c r="P262" s="550">
        <f>IF($S$252=181,PR!$AZ$202,IF($S$252=182,PR!$AZ$203,IF($S$252=183,PR!$AZ$204,IF($S$252=184,PR!$AZ$205,IF($S$252=185,PR!$AZ$206,IF($S$252=186,PR!$AZ$207,IF($S$252=187,PR!$AZ$208,IF($S$252=188,PR!$AZ$209,IF($S$252=189,PR!$AZ$210,IF($S$252=190,PR!$AZ$211,IF($S$252=191,PR!$AZ$212,IF($S$252=192,PR!$AZ$213,IF($S$252=193,PR!$AZ$214,IF($S$252=194,PR!$AZ$218,IF($S$252=195,PR!$AZ$219,IF($S$252=196,PR!$AZ$220,IF($S$252=197,PR!$AZ$221,IF($S$252=198,PR!$AZ$222,IF($S$252=199,PR!$AZ$223,IF($S$252=200,PR!$AZ$224,IF($S$252=201,PR!$AZ$225,IF($S$252=202,PR!$AZ$226,IF($S$252=203,PR!$AZ$227,IF($S$252=204,PR!$AZ$228,IF($S$252=205,PR!$AZ$229,IF($S$252=206,PR!$AZ$230,IF($S$252=207,PR!$AZ$231,IF($S$252=208,PR!$AZ$232,IF($S$252=209,PR!$AZ$233,IF($S$252=210,PR!$AZ$234,IF($S$252=211,PR!$AZ$235,IF($S$252=212,PR!$AZ$236,IF($S$252=213,PR!$AZ$237,IF($S$252=214,PR!$AZ$238,IF($S$252=215,PR!$AZ$239,IF($S$252=216,PR!$AZ$240,IF($S$252=217,PR!$AZ$241,IF($S$252=218,PR!$AZ$242,IF($S$252=219,PR!$AZ$243,IF($S$252=220,PR!$AZ$244,IF($S$252=221,PR!$AZ$245,IF($S$252=222,PR!$AZ$246,IF($S$252=223,PR!$AZ$247,IF($S$252=224,PR!$AZ$248,IF($S$252=225,PR!$AZ$249,IF($S$252=226,PR!$AZ$250,IF($S$252=227,PR!$AZ$251,IF($S$252=228,PR!$AZ$252,IF($S$252=229,PR!$AZ$253,IF($S$252=230,PR!$AZ$254,IF($S$252=231,PR!$AZ$255,IF($S$252=232,PR!$AZ$256,IF($S$252=233,PR!$AZ$257,IF($S$252=234,PR!$AZ$258,IF($S$252=235,PR!$AZ$259,IF($S$252=236,PR!$AZ$260,IF($S$252=237,PR!$AZ$261,IF($S$252=238,PR!$AZ$262,IF($S$252=239,PR!$AZ$263,IF($S$252=240,PR!$AZ$264,"-"))))))))))))))))))))))))))))))))))))))))))))))))))))))))))))</f>
        <v>0</v>
      </c>
      <c r="Q262" s="550">
        <f>IF($S$252=181,PR!$BA$202,IF($S$252=182,PR!$BA$203,IF($S$252=183,PR!$BA$204,IF($S$252=184,PR!$BA$205,IF($S$252=185,PR!$BA$206,IF($S$252=186,PR!$BA$207,IF($S$252=187,PR!$BA$208,IF($S$252=188,PR!$BA$209,IF($S$252=189,PR!$BA$210,IF($S$252=190,PR!$BA$211,IF($S$252=191,PR!$BA$212,IF($S$252=192,PR!$BA$213,IF($S$252=193,PR!$BA$214,IF($S$252=194,PR!$BA$218,IF($S$252=195,PR!$BA$219,IF($S$252=196,PR!$BA$220,IF($S$252=197,PR!$BA$221,IF($S$252=198,PR!$BA$222,IF($S$252=199,PR!$BA$223,IF($S$252=200,PR!$BA$224,IF($S$252=201,PR!$BA$225,IF($S$252=202,PR!$BA$226,IF($S$252=203,PR!$BA$227,IF($S$252=204,PR!$BA$228,IF($S$252=205,PR!$BA$229,IF($S$252=206,PR!$BA$230,IF($S$252=207,PR!$BA$231,IF($S$252=208,PR!$BA$232,IF($S$252=209,PR!$BA$233,IF($S$252=210,PR!$BA$234,IF($S$252=211,PR!$BA$235,IF($S$252=212,PR!$BA$236,IF($S$252=213,PR!$BA$237,IF($S$252=214,PR!$BA$238,IF($S$252=215,PR!$BA$239,IF($S$252=216,PR!$BA$240,IF($S$252=217,PR!$BA$241,IF($S$252=218,PR!$BA$242,IF($S$252=219,PR!$BA$243,IF($S$252=220,PR!$BA$244,IF($S$252=221,PR!$BA$245,IF($S$252=222,PR!$BA$246,IF($S$252=223,PR!$BA$247,IF($S$252=224,PR!$BA$248,IF($S$252=225,PR!$BA$249,IF($S$252=226,PR!$BA$250,IF($S$252=227,PR!$BA$251,IF($S$252=228,PR!$BA$252,IF($S$252=229,PR!$BA$253,IF($S$252=230,PR!$BA$254,IF($S$252=231,PR!$BA$255,IF($S$252=232,PR!$BA$256,IF($S$252=233,PR!$BA$257,IF($S$252=234,PR!$BA$258,IF($S$252=235,PR!$BA$259,IF($S$252=236,PR!$BA$260,IF($S$252=237,PR!$BA$261,IF($S$252=238,PR!$BA$262,IF($S$252=239,PR!$BA$263,IF($S$252=240,PR!$BA$264,"-"))))))))))))))))))))))))))))))))))))))))))))))))))))))))))))</f>
        <v>0</v>
      </c>
      <c r="R262" s="550">
        <f>IF($S$252=181,PR!$BB$202,IF($S$252=182,PR!$BB$203,IF($S$252=183,PR!$BB$204,IF($S$252=184,PR!$BB$205,IF($S$252=185,PR!$BB$206,IF($S$252=186,PR!$BB$207,IF($S$252=187,PR!$BB$208,IF($S$252=188,PR!$BB$209,IF($S$252=189,PR!$BB$210,IF($S$252=190,PR!$BB$211,IF($S$252=191,PR!$BB$212,IF($S$252=192,PR!$BB$213,IF($S$252=193,PR!$BB$214,IF($S$252=194,PR!$BB$218,IF($S$252=195,PR!$BB$219,IF($S$252=196,PR!$BB$220,IF($S$252=197,PR!$BB$221,IF($S$252=198,PR!$BB$222,IF($S$252=199,PR!$BB$223,IF($S$252=200,PR!$BB$224,IF($S$252=201,PR!$BB$225,IF($S$252=202,PR!$BB$226,IF($S$252=203,PR!$BB$227,IF($S$252=204,PR!$BB$228,IF($S$252=205,PR!$BB$229,IF($S$252=206,PR!$BB$230,IF($S$252=207,PR!$BB$231,IF($S$252=208,PR!$BB$232,IF($S$252=209,PR!$BB$233,IF($S$252=210,PR!$BB$234,IF($S$252=211,PR!$BB$235,IF($S$252=212,PR!$BB$236,IF($S$252=213,PR!$BB$237,IF($S$252=214,PR!$BB$238,IF($S$252=215,PR!$BB$239,IF($S$252=216,PR!$BB$240,IF($S$252=217,PR!$BB$241,IF($S$252=218,PR!$BB$242,IF($S$252=219,PR!$BB$243,IF($S$252=220,PR!$BB$244,IF($S$252=221,PR!$BB$245,IF($S$252=222,PR!$BB$246,IF($S$252=223,PR!$BB$247,IF($S$252=224,PR!$BB$248,IF($S$252=225,PR!$BB$249,IF($S$252=226,PR!$BB$250,IF($S$252=227,PR!$BB$251,IF($S$252=228,PR!$BB$252,IF($S$252=229,PR!$BB$253,IF($S$252=230,PR!$BB$254,IF($S$252=231,PR!$BB$255,IF($S$252=232,PR!$BB$256,IF($S$252=233,PR!$BB$257,IF($S$252=234,PR!$BB$258,IF($S$252=235,PR!$BB$259,IF($S$252=236,PR!$BB$260,IF($S$252=237,PR!$BB$261,IF($S$252=238,PR!$BB$262,IF($S$252=239,PR!$BB$263,IF($S$252=240,PR!$BB$264,"-"))))))))))))))))))))))))))))))))))))))))))))))))))))))))))))</f>
        <v>0</v>
      </c>
      <c r="S262" s="550">
        <f>IF($S$252=181,PR!$BC$202,IF($S$252=182,PR!$BC$203,IF($S$252=183,PR!$BC$204,IF($S$252=184,PR!$BC$205,IF($S$252=185,PR!$BC$206,IF($S$252=186,PR!$BC$207,IF($S$252=187,PR!$BC$208,IF($S$252=188,PR!$BC$209,IF($S$252=189,PR!$BC$210,IF($S$252=190,PR!$BC$211,IF($S$252=191,PR!$BC$212,IF($S$252=192,PR!$BC$213,IF($S$252=193,PR!$BC$214,IF($S$252=194,PR!$BC$218,IF($S$252=195,PR!$BC$219,IF($S$252=196,PR!$BC$220,IF($S$252=197,PR!$BC$221,IF($S$252=198,PR!$BC$222,IF($S$252=199,PR!$BC$223,IF($S$252=200,PR!$BC$224,IF($S$252=201,PR!$BC$225,IF($S$252=202,PR!$BC$226,IF($S$252=203,PR!$BC$227,IF($S$252=204,PR!$BC$228,IF($S$252=205,PR!$BC$229,IF($S$252=206,PR!$BC$230,IF($S$252=207,PR!$BC$231,IF($S$252=208,PR!$BC$232,IF($S$252=209,PR!$BC$233,IF($S$252=210,PR!$BC$234,IF($S$252=211,PR!$BC$235,IF($S$252=212,PR!$BC$236,IF($S$252=213,PR!$BC$237,IF($S$252=214,PR!$BC$238,IF($S$252=215,PR!$BC$239,IF($S$252=216,PR!$BC$240,IF($S$252=217,PR!$BC$241,IF($S$252=218,PR!$BC$242,IF($S$252=219,PR!$BC$243,IF($S$252=220,PR!$BC$244,IF($S$252=221,PR!$BC$245,IF($S$252=222,PR!$BC$246,IF($S$252=223,PR!$BC$247,IF($S$252=224,PR!$BC$248,IF($S$252=225,PR!$BC$249,IF($S$252=226,PR!$BC$250,IF($S$252=227,PR!$BC$251,IF($S$252=228,PR!$BC$252,IF($S$252=229,PR!$BC$253,IF($S$252=230,PR!$BC$254,IF($S$252=231,PR!$BC$255,IF($S$252=232,PR!$BC$256,IF($S$252=233,PR!$BC$257,IF($S$252=234,PR!$BC$258,IF($S$252=235,PR!$BC$259,IF($S$252=236,PR!$BC$260,IF($S$252=237,PR!$BC$261,IF($S$252=238,PR!$BC$262,IF($S$252=239,PR!$BC$263,IF($S$252=240,PR!$BC$264,"-"))))))))))))))))))))))))))))))))))))))))))))))))))))))))))))</f>
        <v>0</v>
      </c>
      <c r="T262" s="518"/>
      <c r="U262" s="518"/>
      <c r="V262" s="32"/>
      <c r="W262" s="32"/>
      <c r="X262" s="32"/>
      <c r="Y262" s="32"/>
      <c r="Z262" s="32"/>
    </row>
    <row r="263" spans="1:26" ht="15.75" x14ac:dyDescent="0.25">
      <c r="A263" s="91"/>
      <c r="B263" s="518"/>
      <c r="C263" s="545"/>
      <c r="D263" s="546"/>
      <c r="E263" s="546"/>
      <c r="F263" s="546"/>
      <c r="G263" s="546"/>
      <c r="H263" s="546"/>
      <c r="I263" s="546"/>
      <c r="J263" s="546"/>
      <c r="K263" s="546"/>
      <c r="L263" s="546"/>
      <c r="M263" s="546"/>
      <c r="N263" s="546"/>
      <c r="O263" s="546"/>
      <c r="P263" s="546"/>
      <c r="Q263" s="546"/>
      <c r="R263" s="549"/>
      <c r="S263" s="549"/>
      <c r="T263" s="518"/>
      <c r="U263" s="518"/>
      <c r="V263" s="32"/>
      <c r="W263" s="32"/>
      <c r="X263" s="32"/>
      <c r="Y263" s="32"/>
      <c r="Z263" s="32"/>
    </row>
    <row r="264" spans="1:26" ht="15.75" thickBot="1" x14ac:dyDescent="0.3">
      <c r="A264" s="91"/>
      <c r="B264" s="518"/>
      <c r="C264" s="548" t="str">
        <f>N!$C$55</f>
        <v>SAM</v>
      </c>
      <c r="D264" s="548" t="str">
        <f>N!$C$56</f>
        <v>SEAGREEN</v>
      </c>
      <c r="E264" s="548" t="str">
        <f>N!$C$57</f>
        <v>SKG</v>
      </c>
      <c r="F264" s="548" t="str">
        <f>N!$C$58</f>
        <v>TAH</v>
      </c>
      <c r="G264" s="548" t="str">
        <f>N!$C$59</f>
        <v>TAYLEK</v>
      </c>
      <c r="H264" s="548" t="str">
        <f>N!$C$60</f>
        <v>TEMITA</v>
      </c>
      <c r="I264" s="548" t="str">
        <f>N!$C$61</f>
        <v>THL</v>
      </c>
      <c r="J264" s="548" t="str">
        <f>N!$C$62</f>
        <v>UBASTIC</v>
      </c>
      <c r="K264" s="548" t="str">
        <f>N!$C$63</f>
        <v>UNION</v>
      </c>
      <c r="L264" s="548" t="str">
        <f>N!$C$64</f>
        <v>UNIQUE</v>
      </c>
      <c r="M264" s="548" t="str">
        <f>N!$C$65</f>
        <v>VIXA</v>
      </c>
      <c r="N264" s="548" t="str">
        <f>N!$C$66</f>
        <v>WWCV</v>
      </c>
      <c r="O264" s="548" t="str">
        <f>N!$C$67</f>
        <v>ZOLON</v>
      </c>
      <c r="P264" s="548" t="e">
        <f>N!#REF!</f>
        <v>#REF!</v>
      </c>
      <c r="Q264" s="548" t="e">
        <f>N!#REF!</f>
        <v>#REF!</v>
      </c>
      <c r="R264" s="548" t="e">
        <f>N!#REF!</f>
        <v>#REF!</v>
      </c>
      <c r="S264" s="546"/>
      <c r="T264" s="518"/>
      <c r="U264" s="518"/>
      <c r="V264" s="32"/>
      <c r="W264" s="32"/>
      <c r="X264" s="32"/>
      <c r="Y264" s="32"/>
      <c r="Z264" s="32"/>
    </row>
    <row r="265" spans="1:26" ht="15.75" thickBot="1" x14ac:dyDescent="0.3">
      <c r="A265" s="91"/>
      <c r="B265" s="518"/>
      <c r="C265" s="550">
        <f>IF($S$252=181,PR!$BD$202,IF($S$252=182,PR!$BD$203,IF($S$252=183,PR!$BD$204,IF($S$252=184,PR!$BD$205,IF($S$252=185,PR!$BD$206,IF($S$252=186,PR!$BD$207,IF($S$252=187,PR!$BD$208,IF($S$252=188,PR!$BD$209,IF($S$252=189,PR!$BD$210,IF($S$252=190,PR!$BD$211,IF($S$252=191,PR!$BD$212,IF($S$252=192,PR!$BD$213,IF($S$252=193,PR!$BD$214,IF($S$252=194,PR!$BD$218,IF($S$252=195,PR!$BD$219,IF($S$252=196,PR!$BD$220,IF($S$252=197,PR!$BD$221,IF($S$252=198,PR!$BD$222,IF($S$252=199,PR!$BD$223,IF($S$252=200,PR!$BD$224,IF($S$252=201,PR!$BD$225,IF($S$252=202,PR!$BD$226,IF($S$252=203,PR!$BD$227,IF($S$252=204,PR!$BD$228,IF($S$252=205,PR!$BD$229,IF($S$252=206,PR!$BD$230,IF($S$252=207,PR!$BD$231,IF($S$252=208,PR!$BD$232,IF($S$252=209,PR!$BD$233,IF($S$252=210,PR!$BD$234,IF($S$252=211,PR!$BD$235,IF($S$252=212,PR!$BD$236,IF($S$252=213,PR!$BD$237,IF($S$252=214,PR!$BD$238,IF($S$252=215,PR!$BD$239,IF($S$252=216,PR!$BD$240,IF($S$252=217,PR!$BD$241,IF($S$252=218,PR!$BD$242,IF($S$252=219,PR!$BD$243,IF($S$252=220,PR!$BD$244,IF($S$252=221,PR!$BD$245,IF($S$252=222,PR!$BD$246,IF($S$252=223,PR!$BD$247,IF($S$252=224,PR!$BD$248,IF($S$252=225,PR!$BD$249,IF($S$252=226,PR!$BD$250,IF($S$252=227,PR!$BD$251,IF($S$252=228,PR!$BD$252,IF($S$252=229,PR!$BD$253,IF($S$252=230,PR!$BD$254,IF($S$252=231,PR!$BD$255,IF($S$252=232,PR!$BD$256,IF($S$252=233,PR!$BD$257,IF($S$252=234,PR!$BD$258,IF($S$252=235,PR!$BD$259,IF($S$252=236,PR!$BD$260,IF($S$252=237,PR!$BD$261,IF($S$252=238,PR!$BD$262,IF($S$252=239,PR!$BD$263,IF($S$252=240,PR!$BD$264,"-"))))))))))))))))))))))))))))))))))))))))))))))))))))))))))))</f>
        <v>0</v>
      </c>
      <c r="D265" s="550">
        <f>IF($S$252=181,PR!$BE$202,IF($S$252=182,PR!$BE$203,IF($S$252=183,PR!$BE$204,IF($S$252=184,PR!$BE$205,IF($S$252=185,PR!$BE$206,IF($S$252=186,PR!$BE$207,IF($S$252=187,PR!$BE$208,IF($S$252=188,PR!$BE$209,IF($S$252=189,PR!$BE$210,IF($S$252=190,PR!$BE$211,IF($S$252=191,PR!$BE$212,IF($S$252=192,PR!$BE$213,IF($S$252=193,PR!$BE$214,IF($S$252=194,PR!$BE$218,IF($S$252=195,PR!$BE$219,IF($S$252=196,PR!$BE$220,IF($S$252=197,PR!$BE$221,IF($S$252=198,PR!$BE$222,IF($S$252=199,PR!$BE$223,IF($S$252=200,PR!$BE$224,IF($S$252=201,PR!$BE$225,IF($S$252=202,PR!$BE$226,IF($S$252=203,PR!$BE$227,IF($S$252=204,PR!$BE$228,IF($S$252=205,PR!$BE$229,IF($S$252=206,PR!$BE$230,IF($S$252=207,PR!$BE$231,IF($S$252=208,PR!$BE$232,IF($S$252=209,PR!$BE$233,IF($S$252=210,PR!$BE$234,IF($S$252=211,PR!$BE$235,IF($S$252=212,PR!$BE$236,IF($S$252=213,PR!$BE$237,IF($S$252=214,PR!$BE$238,IF($S$252=215,PR!$BE$239,IF($S$252=216,PR!$BE$240,IF($S$252=217,PR!$BE$241,IF($S$252=218,PR!$BE$242,IF($S$252=219,PR!$BE$243,IF($S$252=220,PR!$BE$244,IF($S$252=221,PR!$BE$245,IF($S$252=222,PR!$BE$246,IF($S$252=223,PR!$BE$247,IF($S$252=224,PR!$BE$248,IF($S$252=225,PR!$BE$249,IF($S$252=226,PR!$BE$250,IF($S$252=227,PR!$BE$251,IF($S$252=228,PR!$BE$252,IF($S$252=229,PR!$BE$253,IF($S$252=230,PR!$BE$254,IF($S$252=231,PR!$BE$255,IF($S$252=232,PR!$BE$256,IF($S$252=233,PR!$BE$257,IF($S$252=234,PR!$BE$258,IF($S$252=235,PR!$BE$259,IF($S$252=236,PR!$BE$260,IF($S$252=237,PR!$BE$261,IF($S$252=238,PR!$BE$262,IF($S$252=239,PR!$BE$263,IF($S$252=240,PR!$BE$264,"-"))))))))))))))))))))))))))))))))))))))))))))))))))))))))))))</f>
        <v>0</v>
      </c>
      <c r="E265" s="550">
        <f>IF($S$252=181,PR!$BF$202,IF($S$252=182,PR!$BF$203,IF($S$252=183,PR!$BF$204,IF($S$252=184,PR!$BF$205,IF($S$252=185,PR!$BF$206,IF($S$252=186,PR!$BF$207,IF($S$252=187,PR!$BF$208,IF($S$252=188,PR!$BF$209,IF($S$252=189,PR!$BF$210,IF($S$252=190,PR!$BF$211,IF($S$252=191,PR!$BF$212,IF($S$252=192,PR!$BF$213,IF($S$252=193,PR!$BF$214,IF($S$252=194,PR!$BF$218,IF($S$252=195,PR!$BF$219,IF($S$252=196,PR!$BF$220,IF($S$252=197,PR!$BF$221,IF($S$252=198,PR!$BF$222,IF($S$252=199,PR!$BF$223,IF($S$252=200,PR!$BF$224,IF($S$252=201,PR!$BF$225,IF($S$252=202,PR!$BF$226,IF($S$252=203,PR!$BF$227,IF($S$252=204,PR!$BF$228,IF($S$252=205,PR!$BF$229,IF($S$252=206,PR!$BF$230,IF($S$252=207,PR!$BF$231,IF($S$252=208,PR!$BF$232,IF($S$252=209,PR!$BF$233,IF($S$252=210,PR!$BF$234,IF($S$252=211,PR!$BF$235,IF($S$252=212,PR!$BF$236,IF($S$252=213,PR!$BF$237,IF($S$252=214,PR!$BF$238,IF($S$252=215,PR!$BF$239,IF($S$252=216,PR!$BF$240,IF($S$252=217,PR!$BF$241,IF($S$252=218,PR!$BF$242,IF($S$252=219,PR!$BF$243,IF($S$252=220,PR!$BF$244,IF($S$252=221,PR!$BF$245,IF($S$252=222,PR!$BF$246,IF($S$252=223,PR!$BF$247,IF($S$252=224,PR!$BF$248,IF($S$252=225,PR!$BF$249,IF($S$252=226,PR!$BF$250,IF($S$252=227,PR!$BF$251,IF($S$252=228,PR!$BF$252,IF($S$252=229,PR!$BF$253,IF($S$252=230,PR!$BF$254,IF($S$252=231,PR!$BF$255,IF($S$252=232,PR!$BF$256,IF($S$252=233,PR!$BF$257,IF($S$252=234,PR!$BF$258,IF($S$252=235,PR!$BF$259,IF($S$252=236,PR!$BF$260,IF($S$252=237,PR!$BF$261,IF($S$252=238,PR!$BF$262,IF($S$252=239,PR!$BF$263,IF($S$252=240,PR!$BF$264,"-"))))))))))))))))))))))))))))))))))))))))))))))))))))))))))))</f>
        <v>1104.4000000000001</v>
      </c>
      <c r="F265" s="550">
        <f>IF($S$252=181,PR!$BG$202,IF($S$252=182,PR!$BG$203,IF($S$252=183,PR!$BG$204,IF($S$252=184,PR!$BG$205,IF($S$252=185,PR!$BG$206,IF($S$252=186,PR!$BG$207,IF($S$252=187,PR!$BG$208,IF($S$252=188,PR!$BG$209,IF($S$252=189,PR!$BG$210,IF($S$252=190,PR!$BG$211,IF($S$252=191,PR!$BG$212,IF($S$252=192,PR!$BG$213,IF($S$252=193,PR!$BG$214,IF($S$252=194,PR!$BG$218,IF($S$252=195,PR!$BG$219,IF($S$252=196,PR!$BG$220,IF($S$252=197,PR!$BG$221,IF($S$252=198,PR!$BG$222,IF($S$252=199,PR!$BG$223,IF($S$252=200,PR!$BG$224,IF($S$252=201,PR!$BG$225,IF($S$252=202,PR!$BG$226,IF($S$252=203,PR!$BG$227,IF($S$252=204,PR!$BG$228,IF($S$252=205,PR!$BG$229,IF($S$252=206,PR!$BG$230,IF($S$252=207,PR!$BG$231,IF($S$252=208,PR!$BG$232,IF($S$252=209,PR!$BG$233,IF($S$252=210,PR!$BG$234,IF($S$252=211,PR!$BG$235,IF($S$252=212,PR!$BG$236,IF($S$252=213,PR!$BG$237,IF($S$252=214,PR!$BG$238,IF($S$252=215,PR!$BG$239,IF($S$252=216,PR!$BG$240,IF($S$252=217,PR!$BG$241,IF($S$252=218,PR!$BG$242,IF($S$252=219,PR!$BG$243,IF($S$252=220,PR!$BG$244,IF($S$252=221,PR!$BG$245,IF($S$252=222,PR!$BG$246,IF($S$252=223,PR!$BG$247,IF($S$252=224,PR!$BG$248,IF($S$252=225,PR!$BG$249,IF($S$252=226,PR!$BG$250,IF($S$252=227,PR!$BG$251,IF($S$252=228,PR!$BG$252,IF($S$252=229,PR!$BG$253,IF($S$252=230,PR!$BG$254,IF($S$252=231,PR!$BG$255,IF($S$252=232,PR!$BG$256,IF($S$252=233,PR!$BG$257,IF($S$252=234,PR!$BG$258,IF($S$252=235,PR!$BG$259,IF($S$252=236,PR!$BG$260,IF($S$252=237,PR!$BG$261,IF($S$252=238,PR!$BG$262,IF($S$252=239,PR!$BG$263,IF($S$252=240,PR!$BG$264,"-"))))))))))))))))))))))))))))))))))))))))))))))))))))))))))))</f>
        <v>0</v>
      </c>
      <c r="G265" s="550">
        <f>IF($S$252=181,PR!$BH$202,IF($S$252=182,PR!$BH$203,IF($S$252=183,PR!$BH$204,IF($S$252=184,PR!$BH$205,IF($S$252=185,PR!$BH$206,IF($S$252=186,PR!$BH$207,IF($S$252=187,PR!$BH$208,IF($S$252=188,PR!$BH$209,IF($S$252=189,PR!$BH$210,IF($S$252=190,PR!$BH$211,IF($S$252=191,PR!$BH$212,IF($S$252=192,PR!$BH$213,IF($S$252=193,PR!$BH$214,IF($S$252=194,PR!$BH$218,IF($S$252=195,PR!$BH$219,IF($S$252=196,PR!$BH$220,IF($S$252=197,PR!$BH$221,IF($S$252=198,PR!$BH$222,IF($S$252=199,PR!$BH$223,IF($S$252=200,PR!$BH$224,IF($S$252=201,PR!$BH$225,IF($S$252=202,PR!$BH$226,IF($S$252=203,PR!$BH$227,IF($S$252=204,PR!$BH$228,IF($S$252=205,PR!$BH$229,IF($S$252=206,PR!$BH$230,IF($S$252=207,PR!$BH$231,IF($S$252=208,PR!$BH$232,IF($S$252=209,PR!$BH$233,IF($S$252=210,PR!$BH$234,IF($S$252=211,PR!$BH$235,IF($S$252=212,PR!$BH$236,IF($S$252=213,PR!$BH$237,IF($S$252=214,PR!$BH$238,IF($S$252=215,PR!$BH$239,IF($S$252=216,PR!$BH$240,IF($S$252=217,PR!$BH$241,IF($S$252=218,PR!$BH$242,IF($S$252=219,PR!$BH$243,IF($S$252=220,PR!$BH$244,IF($S$252=221,PR!$BH$245,IF($S$252=222,PR!$BH$246,IF($S$252=223,PR!$BH$247,IF($S$252=224,PR!$BH$248,IF($S$252=225,PR!$BH$249,IF($S$252=226,PR!$BH$250,IF($S$252=227,PR!$BH$251,IF($S$252=228,PR!$BH$252,IF($S$252=229,PR!$BH$253,IF($S$252=230,PR!$BH$254,IF($S$252=231,PR!$BH$255,IF($S$252=232,PR!$BH$256,IF($S$252=233,PR!$BH$257,IF($S$252=234,PR!$BH$258,IF($S$252=235,PR!$BH$259,IF($S$252=236,PR!$BH$260,IF($S$252=237,PR!$BH$261,IF($S$252=238,PR!$BH$262,IF($S$252=239,PR!$BH$263,IF($S$252=240,PR!$BH$264,"-"))))))))))))))))))))))))))))))))))))))))))))))))))))))))))))</f>
        <v>0</v>
      </c>
      <c r="H265" s="550">
        <f>IF($S$252=181,PR!$BI$202,IF($S$252=182,PR!$BI$203,IF($S$252=183,PR!$BI$204,IF($S$252=184,PR!$BI$205,IF($S$252=185,PR!$BI$206,IF($S$252=186,PR!$BI$207,IF($S$252=187,PR!$BI$208,IF($S$252=188,PR!$BI$209,IF($S$252=189,PR!$BI$210,IF($S$252=190,PR!$BI$211,IF($S$252=191,PR!$BI$212,IF($S$252=192,PR!$BI$213,IF($S$252=193,PR!$BI$214,IF($S$252=194,PR!$BI$218,IF($S$252=195,PR!$BI$219,IF($S$252=196,PR!$BI$220,IF($S$252=197,PR!$BI$221,IF($S$252=198,PR!$BI$222,IF($S$252=199,PR!$BI$223,IF($S$252=200,PR!$BI$224,IF($S$252=201,PR!$BI$225,IF($S$252=202,PR!$BI$226,IF($S$252=203,PR!$BI$227,IF($S$252=204,PR!$BI$228,IF($S$252=205,PR!$BI$229,IF($S$252=206,PR!$BI$230,IF($S$252=207,PR!$BI$231,IF($S$252=208,PR!$BI$232,IF($S$252=209,PR!$BI$233,IF($S$252=210,PR!$BI$234,IF($S$252=211,PR!$BI$235,IF($S$252=212,PR!$BI$236,IF($S$252=213,PR!$BI$237,IF($S$252=214,PR!$BI$238,IF($S$252=215,PR!$BI$239,IF($S$252=216,PR!$BI$240,IF($S$252=217,PR!$BI$241,IF($S$252=218,PR!$BI$242,IF($S$252=219,PR!$BI$243,IF($S$252=220,PR!$BI$244,IF($S$252=221,PR!$BI$245,IF($S$252=222,PR!$BI$246,IF($S$252=223,PR!$BI$247,IF($S$252=224,PR!$BI$248,IF($S$252=225,PR!$BI$249,IF($S$252=226,PR!$BI$250,IF($S$252=227,PR!$BI$251,IF($S$252=228,PR!$BI$252,IF($S$252=229,PR!$BI$253,IF($S$252=230,PR!$BI$254,IF($S$252=231,PR!$BI$255,IF($S$252=232,PR!$BI$256,IF($S$252=233,PR!$BI$257,IF($S$252=234,PR!$BI$258,IF($S$252=235,PR!$BI$259,IF($S$252=236,PR!$BI$260,IF($S$252=237,PR!$BI$261,IF($S$252=238,PR!$BI$262,IF($S$252=239,PR!$BI$263,IF($S$252=240,PR!$BI$264,"-"))))))))))))))))))))))))))))))))))))))))))))))))))))))))))))</f>
        <v>0</v>
      </c>
      <c r="I265" s="550">
        <f>IF($S$252=181,PR!$BJ$202,IF($S$252=182,PR!$BJ$203,IF($S$252=183,PR!$BJ$204,IF($S$252=184,PR!$BJ$205,IF($S$252=185,PR!$BJ$206,IF($S$252=186,PR!$BJ$207,IF($S$252=187,PR!$BJ$208,IF($S$252=188,PR!$BJ$209,IF($S$252=189,PR!$BJ$210,IF($S$252=190,PR!$BJ$211,IF($S$252=191,PR!$BJ$212,IF($S$252=192,PR!$BJ$213,IF($S$252=193,PR!$BJ$214,IF($S$252=194,PR!$BJ$218,IF($S$252=195,PR!$BJ$219,IF($S$252=196,PR!$BJ$220,IF($S$252=197,PR!$BJ$221,IF($S$252=198,PR!$BJ$222,IF($S$252=199,PR!$BJ$223,IF($S$252=200,PR!$BJ$224,IF($S$252=201,PR!$BJ$225,IF($S$252=202,PR!$BJ$226,IF($S$252=203,PR!$BJ$227,IF($S$252=204,PR!$BJ$228,IF($S$252=205,PR!$BJ$229,IF($S$252=206,PR!$BJ$230,IF($S$252=207,PR!$BJ$231,IF($S$252=208,PR!$BJ$232,IF($S$252=209,PR!$BJ$233,IF($S$252=210,PR!$BJ$234,IF($S$252=211,PR!$BJ$235,IF($S$252=212,PR!$BJ$236,IF($S$252=213,PR!$BJ$237,IF($S$252=214,PR!$BJ$238,IF($S$252=215,PR!$BJ$239,IF($S$252=216,PR!$BJ$240,IF($S$252=217,PR!$BJ$241,IF($S$252=218,PR!$BJ$242,IF($S$252=219,PR!$BJ$243,IF($S$252=220,PR!$BJ$244,IF($S$252=221,PR!$BJ$245,IF($S$252=222,PR!$BJ$246,IF($S$252=223,PR!$BJ$247,IF($S$252=224,PR!$BJ$248,IF($S$252=225,PR!$BJ$249,IF($S$252=226,PR!$BJ$250,IF($S$252=227,PR!$BJ$251,IF($S$252=228,PR!$BJ$252,IF($S$252=229,PR!$BJ$253,IF($S$252=230,PR!$BJ$254,IF($S$252=231,PR!$BJ$255,IF($S$252=232,PR!$BJ$256,IF($S$252=233,PR!$BJ$257,IF($S$252=234,PR!$BJ$258,IF($S$252=235,PR!$BJ$259,IF($S$252=236,PR!$BJ$260,IF($S$252=237,PR!$BJ$261,IF($S$252=238,PR!$BJ$262,IF($S$252=239,PR!$BJ$263,IF($S$252=240,PR!$BJ$264,"-"))))))))))))))))))))))))))))))))))))))))))))))))))))))))))))</f>
        <v>0</v>
      </c>
      <c r="J265" s="550">
        <f>IF($S$252=181,PR!$BK$202,IF($S$252=182,PR!$BK$203,IF($S$252=183,PR!$BK$204,IF($S$252=184,PR!$BK$205,IF($S$252=185,PR!$BK$206,IF($S$252=186,PR!$BK$207,IF($S$252=187,PR!$BK$208,IF($S$252=188,PR!$BK$209,IF($S$252=189,PR!$BK$210,IF($S$252=190,PR!$BK$211,IF($S$252=191,PR!$BK$212,IF($S$252=192,PR!$BK$213,IF($S$252=193,PR!$BK$214,IF($S$252=194,PR!$BK$218,IF($S$252=195,PR!$BK$219,IF($S$252=196,PR!$BK$220,IF($S$252=197,PR!$BK$221,IF($S$252=198,PR!$BK$222,IF($S$252=199,PR!$BK$223,IF($S$252=200,PR!$BK$224,IF($S$252=201,PR!$BK$225,IF($S$252=202,PR!$BK$226,IF($S$252=203,PR!$BK$227,IF($S$252=204,PR!$BK$228,IF($S$252=205,PR!$BK$229,IF($S$252=206,PR!$BK$230,IF($S$252=207,PR!$BK$231,IF($S$252=208,PR!$BK$232,IF($S$252=209,PR!$BK$233,IF($S$252=210,PR!$BK$234,IF($S$252=211,PR!$BK$235,IF($S$252=212,PR!$BK$236,IF($S$252=213,PR!$BK$237,IF($S$252=214,PR!$BK$238,IF($S$252=215,PR!$BK$239,IF($S$252=216,PR!$BK$240,IF($S$252=217,PR!$BK$241,IF($S$252=218,PR!$BK$242,IF($S$252=219,PR!$BK$243,IF($S$252=220,PR!$BK$244,IF($S$252=221,PR!$BK$245,IF($S$252=222,PR!$BK$246,IF($S$252=223,PR!$BK$247,IF($S$252=224,PR!$BK$248,IF($S$252=225,PR!$BK$249,IF($S$252=226,PR!$BK$250,IF($S$252=227,PR!$BK$251,IF($S$252=228,PR!$BK$252,IF($S$252=229,PR!$BK$253,IF($S$252=230,PR!$BK$254,IF($S$252=231,PR!$BK$255,IF($S$252=232,PR!$BK$256,IF($S$252=233,PR!$BK$257,IF($S$252=234,PR!$BK$258,IF($S$252=235,PR!$BK$259,IF($S$252=236,PR!$BK$260,IF($S$252=237,PR!$BK$261,IF($S$252=238,PR!$BK$262,IF($S$252=239,PR!$BK$263,IF($S$252=240,PR!$BK$264,"-"))))))))))))))))))))))))))))))))))))))))))))))))))))))))))))</f>
        <v>0</v>
      </c>
      <c r="K265" s="550">
        <f>IF($S$252=181,PR!$BL$202,IF($S$252=182,PR!$BL$203,IF($S$252=183,PR!$BL$204,IF($S$252=184,PR!$BL$205,IF($S$252=185,PR!$BL$206,IF($S$252=186,PR!$BL$207,IF($S$252=187,PR!$BL$208,IF($S$252=188,PR!$BL$209,IF($S$252=189,PR!$BL$210,IF($S$252=190,PR!$BL$211,IF($S$252=191,PR!$BL$212,IF($S$252=192,PR!$BL$213,IF($S$252=193,PR!$BL$214,IF($S$252=194,PR!$BL$218,IF($S$252=195,PR!$BL$219,IF($S$252=196,PR!$BL$220,IF($S$252=197,PR!$BL$221,IF($S$252=198,PR!$BL$222,IF($S$252=199,PR!$BL$223,IF($S$252=200,PR!$BL$224,IF($S$252=201,PR!$BL$225,IF($S$252=202,PR!$BL$226,IF($S$252=203,PR!$BL$227,IF($S$252=204,PR!$BL$228,IF($S$252=205,PR!$BL$229,IF($S$252=206,PR!$BL$230,IF($S$252=207,PR!$BL$231,IF($S$252=208,PR!$BL$232,IF($S$252=209,PR!$BL$233,IF($S$252=210,PR!$BL$234,IF($S$252=211,PR!$BL$235,IF($S$252=212,PR!$BL$236,IF($S$252=213,PR!$BL$237,IF($S$252=214,PR!$BL$238,IF($S$252=215,PR!$BL$239,IF($S$252=216,PR!$BL$240,IF($S$252=217,PR!$BL$241,IF($S$252=218,PR!$BL$242,IF($S$252=219,PR!$BL$243,IF($S$252=220,PR!$BL$244,IF($S$252=221,PR!$BL$245,IF($S$252=222,PR!$BL$246,IF($S$252=223,PR!$BL$247,IF($S$252=224,PR!$BL$248,IF($S$252=225,PR!$BL$249,IF($S$252=226,PR!$BL$250,IF($S$252=227,PR!$BL$251,IF($S$252=228,PR!$BL$252,IF($S$252=229,PR!$BL$253,IF($S$252=230,PR!$BL$254,IF($S$252=231,PR!$BL$255,IF($S$252=232,PR!$BL$256,IF($S$252=233,PR!$BL$257,IF($S$252=234,PR!$BL$258,IF($S$252=235,PR!$BL$259,IF($S$252=236,PR!$BL$260,IF($S$252=237,PR!$BL$261,IF($S$252=238,PR!$BL$262,IF($S$252=239,PR!$BL$263,IF($S$252=240,PR!$BL$264,"-"))))))))))))))))))))))))))))))))))))))))))))))))))))))))))))</f>
        <v>0</v>
      </c>
      <c r="L265" s="550">
        <f>IF($S$252=181,PR!$BM$202,IF($S$252=182,PR!$BM$203,IF($S$252=183,PR!$BM$204,IF($S$252=184,PR!$BM$205,IF($S$252=185,PR!$BM$206,IF($S$252=186,PR!$BM$207,IF($S$252=187,PR!$BM$208,IF($S$252=188,PR!$BM$209,IF($S$252=189,PR!$BM$210,IF($S$252=190,PR!$BM$211,IF($S$252=191,PR!$BM$212,IF($S$252=192,PR!$BM$213,IF($S$252=193,PR!$BM$214,IF($S$252=194,PR!$BM$218,IF($S$252=195,PR!$BM$219,IF($S$252=196,PR!$BM$220,IF($S$252=197,PR!$BM$221,IF($S$252=198,PR!$BM$222,IF($S$252=199,PR!$BM$223,IF($S$252=200,PR!$BM$224,IF($S$252=201,PR!$BM$225,IF($S$252=202,PR!$BM$226,IF($S$252=203,PR!$BM$227,IF($S$252=204,PR!$BM$228,IF($S$252=205,PR!$BM$229,IF($S$252=206,PR!$BM$230,IF($S$252=207,PR!$BM$231,IF($S$252=208,PR!$BM$232,IF($S$252=209,PR!$BM$233,IF($S$252=210,PR!$BM$234,IF($S$252=211,PR!$BM$235,IF($S$252=212,PR!$BM$236,IF($S$252=213,PR!$BM$237,IF($S$252=214,PR!$BM$238,IF($S$252=215,PR!$BM$239,IF($S$252=216,PR!$BM$240,IF($S$252=217,PR!$BM$241,IF($S$252=218,PR!$BM$242,IF($S$252=219,PR!$BM$243,IF($S$252=220,PR!$BM$244,IF($S$252=221,PR!$BM$245,IF($S$252=222,PR!$BM$246,IF($S$252=223,PR!$BM$247,IF($S$252=224,PR!$BM$248,IF($S$252=225,PR!$BM$249,IF($S$252=226,PR!$BM$250,IF($S$252=227,PR!$BM$251,IF($S$252=228,PR!$BM$252,IF($S$252=229,PR!$BM$253,IF($S$252=230,PR!$BM$254,IF($S$252=231,PR!$BM$255,IF($S$252=232,PR!$BM$256,IF($S$252=233,PR!$BM$257,IF($S$252=234,PR!$BM$258,IF($S$252=235,PR!$BM$259,IF($S$252=236,PR!$BM$260,IF($S$252=237,PR!$BM$261,IF($S$252=238,PR!$BM$262,IF($S$252=239,PR!$BM$263,IF($S$252=240,PR!$BM$264,"-"))))))))))))))))))))))))))))))))))))))))))))))))))))))))))))</f>
        <v>0</v>
      </c>
      <c r="M265" s="550">
        <f>IF($S$252=181,PR!$BN$202,IF($S$252=182,PR!$BN$203,IF($S$252=183,PR!$BN$204,IF($S$252=184,PR!$BN$205,IF($S$252=185,PR!$BN$206,IF($S$252=186,PR!$BN$207,IF($S$252=187,PR!$BN$208,IF($S$252=188,PR!$BN$209,IF($S$252=189,PR!$BN$210,IF($S$252=190,PR!$BN$211,IF($S$252=191,PR!$BN$212,IF($S$252=192,PR!$BN$213,IF($S$252=193,PR!$BN$214,IF($S$252=194,PR!$BN$218,IF($S$252=195,PR!$BN$219,IF($S$252=196,PR!$BN$220,IF($S$252=197,PR!$BN$221,IF($S$252=198,PR!$BN$222,IF($S$252=199,PR!$BN$223,IF($S$252=200,PR!$BN$224,IF($S$252=201,PR!$BN$225,IF($S$252=202,PR!$BN$226,IF($S$252=203,PR!$BN$227,IF($S$252=204,PR!$BN$228,IF($S$252=205,PR!$BN$229,IF($S$252=206,PR!$BN$230,IF($S$252=207,PR!$BN$231,IF($S$252=208,PR!$BN$232,IF($S$252=209,PR!$BN$233,IF($S$252=210,PR!$BN$234,IF($S$252=211,PR!$BN$235,IF($S$252=212,PR!$BN$236,IF($S$252=213,PR!$BN$237,IF($S$252=214,PR!$BN$238,IF($S$252=215,PR!$BN$239,IF($S$252=216,PR!$BN$240,IF($S$252=217,PR!$BN$241,IF($S$252=218,PR!$BN$242,IF($S$252=219,PR!$BN$243,IF($S$252=220,PR!$BN$244,IF($S$252=221,PR!$BN$245,IF($S$252=222,PR!$BN$246,IF($S$252=223,PR!$BN$247,IF($S$252=224,PR!$BN$248,IF($S$252=225,PR!$BN$249,IF($S$252=226,PR!$BN$250,IF($S$252=227,PR!$BN$251,IF($S$252=228,PR!$BN$252,IF($S$252=229,PR!$BN$253,IF($S$252=230,PR!$BN$254,IF($S$252=231,PR!$BN$255,IF($S$252=232,PR!$BN$256,IF($S$252=233,PR!$BN$257,IF($S$252=234,PR!$BN$258,IF($S$252=235,PR!$BN$259,IF($S$252=236,PR!$BN$260,IF($S$252=237,PR!$BN$261,IF($S$252=238,PR!$BN$262,IF($S$252=239,PR!$BN$263,IF($S$252=240,PR!$BN$264,"-"))))))))))))))))))))))))))))))))))))))))))))))))))))))))))))</f>
        <v>0</v>
      </c>
      <c r="N265" s="550">
        <f>IF($S$252=181,PR!$BO$202,IF($S$252=182,PR!$BO$203,IF($S$252=183,PR!$BO$204,IF($S$252=184,PR!$BO$205,IF($S$252=185,PR!$BO$206,IF($S$252=186,PR!$BO$207,IF($S$252=187,PR!$BO$208,IF($S$252=188,PR!$BO$209,IF($S$252=189,PR!$BO$210,IF($S$252=190,PR!$BO$211,IF($S$252=191,PR!$BO$212,IF($S$252=192,PR!$BO$213,IF($S$252=193,PR!$BO$214,IF($S$252=194,PR!$BO$218,IF($S$252=195,PR!$BO$219,IF($S$252=196,PR!$BO$220,IF($S$252=197,PR!$BO$221,IF($S$252=198,PR!$BO$222,IF($S$252=199,PR!$BO$223,IF($S$252=200,PR!$BO$224,IF($S$252=201,PR!$BO$225,IF($S$252=202,PR!$BO$226,IF($S$252=203,PR!$BO$227,IF($S$252=204,PR!$BO$228,IF($S$252=205,PR!$BO$229,IF($S$252=206,PR!$BO$230,IF($S$252=207,PR!$BO$231,IF($S$252=208,PR!$BO$232,IF($S$252=209,PR!$BO$233,IF($S$252=210,PR!$BO$234,IF($S$252=211,PR!$BO$235,IF($S$252=212,PR!$BO$236,IF($S$252=213,PR!$BO$237,IF($S$252=214,PR!$BO$238,IF($S$252=215,PR!$BO$239,IF($S$252=216,PR!$BO$240,IF($S$252=217,PR!$BO$241,IF($S$252=218,PR!$BO$242,IF($S$252=219,PR!$BO$243,IF($S$252=220,PR!$BO$244,IF($S$252=221,PR!$BO$245,IF($S$252=222,PR!$BO$246,IF($S$252=223,PR!$BO$247,IF($S$252=224,PR!$BO$248,IF($S$252=225,PR!$BO$249,IF($S$252=226,PR!$BO$250,IF($S$252=227,PR!$BO$251,IF($S$252=228,PR!$BO$252,IF($S$252=229,PR!$BO$253,IF($S$252=230,PR!$BO$254,IF($S$252=231,PR!$BO$255,IF($S$252=232,PR!$BO$256,IF($S$252=233,PR!$BO$257,IF($S$252=234,PR!$BO$258,IF($S$252=235,PR!$BO$259,IF($S$252=236,PR!$BO$260,IF($S$252=237,PR!$BO$261,IF($S$252=238,PR!$BO$262,IF($S$252=239,PR!$BO$263,IF($S$252=240,PR!$BO$264,"-"))))))))))))))))))))))))))))))))))))))))))))))))))))))))))))</f>
        <v>0</v>
      </c>
      <c r="O265" s="550">
        <f>IF($S$252=181,PR!$BP$202,IF($S$252=182,PR!$BP$203,IF($S$252=183,PR!$BP$204,IF($S$252=184,PR!$BP$205,IF($S$252=185,PR!$BP$206,IF($S$252=186,PR!$BP$207,IF($S$252=187,PR!$BP$208,IF($S$252=188,PR!$BP$209,IF($S$252=189,PR!$BP$210,IF($S$252=190,PR!$BP$211,IF($S$252=191,PR!$BP$212,IF($S$252=192,PR!$BP$213,IF($S$252=193,PR!$BP$214,IF($S$252=194,PR!$BP$218,IF($S$252=195,PR!$BP$219,IF($S$252=196,PR!$BP$220,IF($S$252=197,PR!$BP$221,IF($S$252=198,PR!$BP$222,IF($S$252=199,PR!$BP$223,IF($S$252=200,PR!$BP$224,IF($S$252=201,PR!$BP$225,IF($S$252=202,PR!$BP$226,IF($S$252=203,PR!$BP$227,IF($S$252=204,PR!$BP$228,IF($S$252=205,PR!$BP$229,IF($S$252=206,PR!$BP$230,IF($S$252=207,PR!$BP$231,IF($S$252=208,PR!$BP$232,IF($S$252=209,PR!$BP$233,IF($S$252=210,PR!$BP$234,IF($S$252=211,PR!$BP$235,IF($S$252=212,PR!$BP$236,IF($S$252=213,PR!$BP$237,IF($S$252=214,PR!$BP$238,IF($S$252=215,PR!$BP$239,IF($S$252=216,PR!$BP$240,IF($S$252=217,PR!$BP$241,IF($S$252=218,PR!$BP$242,IF($S$252=219,PR!$BP$243,IF($S$252=220,PR!$BP$244,IF($S$252=221,PR!$BP$245,IF($S$252=222,PR!$BP$246,IF($S$252=223,PR!$BP$247,IF($S$252=224,PR!$BP$248,IF($S$252=225,PR!$BP$249,IF($S$252=226,PR!$BP$250,IF($S$252=227,PR!$BP$251,IF($S$252=228,PR!$BP$252,IF($S$252=229,PR!$BP$253,IF($S$252=230,PR!$BP$254,IF($S$252=231,PR!$BP$255,IF($S$252=232,PR!$BP$256,IF($S$252=233,PR!$BP$257,IF($S$252=234,PR!$BP$258,IF($S$252=235,PR!$BP$259,IF($S$252=236,PR!$BP$260,IF($S$252=237,PR!$BP$261,IF($S$252=238,PR!$BP$262,IF($S$252=239,PR!$BP$263,IF($S$252=240,PR!$BP$264,"-"))))))))))))))))))))))))))))))))))))))))))))))))))))))))))))</f>
        <v>0</v>
      </c>
      <c r="P265" s="550">
        <f>IF($S$252=181,PR!$BQ$202,IF($S$252=182,PR!$BQ$203,IF($S$252=183,PR!$BQ$204,IF($S$252=184,PR!$BQ$205,IF($S$252=185,PR!$BQ$206,IF($S$252=186,PR!$BQ$207,IF($S$252=187,PR!$BQ$208,IF($S$252=188,PR!$BQ$209,IF($S$252=189,PR!$BQ$210,IF($S$252=190,PR!$BQ$211,IF($S$252=191,PR!$BQ$212,IF($S$252=192,PR!$BQ$213,IF($S$252=193,PR!$BQ$214,IF($S$252=194,PR!$BQ$218,IF($S$252=195,PR!$BQ$219,IF($S$252=196,PR!$BQ$220,IF($S$252=197,PR!$BQ$221,IF($S$252=198,PR!$BQ$222,IF($S$252=199,PR!$BQ$223,IF($S$252=200,PR!$BQ$224,IF($S$252=201,PR!$BQ$225,IF($S$252=202,PR!$BQ$226,IF($S$252=203,PR!$BQ$227,IF($S$252=204,PR!$BQ$228,IF($S$252=205,PR!$BQ$229,IF($S$252=206,PR!$BQ$230,IF($S$252=207,PR!$BQ$231,IF($S$252=208,PR!$BQ$232,IF($S$252=209,PR!$BQ$233,IF($S$252=210,PR!$BQ$234,IF($S$252=211,PR!$BQ$235,IF($S$252=212,PR!$BQ$236,IF($S$252=213,PR!$BQ$237,IF($S$252=214,PR!$BQ$238,IF($S$252=215,PR!$BQ$239,IF($S$252=216,PR!$BQ$240,IF($S$252=217,PR!$BQ$241,IF($S$252=218,PR!$BQ$242,IF($S$252=219,PR!$BQ$243,IF($S$252=220,PR!$BQ$244,IF($S$252=221,PR!$BQ$245,IF($S$252=222,PR!$BQ$246,IF($S$252=223,PR!$BQ$247,IF($S$252=224,PR!$BQ$248,IF($S$252=225,PR!$BQ$249,IF($S$252=226,PR!$BQ$250,IF($S$252=227,PR!$BQ$251,IF($S$252=228,PR!$BQ$252,IF($S$252=229,PR!$BQ$253,IF($S$252=230,PR!$BQ$254,IF($S$252=231,PR!$BQ$255,IF($S$252=232,PR!$BQ$256,IF($S$252=233,PR!$BQ$257,IF($S$252=234,PR!$BQ$258,IF($S$252=235,PR!$BQ$259,IF($S$252=236,PR!$BQ$260,IF($S$252=237,PR!$BQ$261,IF($S$252=238,PR!$BQ$262,IF($S$252=239,PR!$BQ$263,IF($S$252=240,PR!$BQ$264,"-"))))))))))))))))))))))))))))))))))))))))))))))))))))))))))))</f>
        <v>0</v>
      </c>
      <c r="Q265" s="550">
        <f>IF($S$252=181,PR!$BR$202,IF($S$252=182,PR!$BR$203,IF($S$252=183,PR!$BR$204,IF($S$252=184,PR!$BR$205,IF($S$252=185,PR!$BR$206,IF($S$252=186,PR!$BR$207,IF($S$252=187,PR!$BR$208,IF($S$252=188,PR!$BR$209,IF($S$252=189,PR!$BR$210,IF($S$252=190,PR!$BR$211,IF($S$252=191,PR!$BR$212,IF($S$252=192,PR!$BR$213,IF($S$252=193,PR!$BR$214,IF($S$252=194,PR!$BR$218,IF($S$252=195,PR!$BR$219,IF($S$252=196,PR!$BR$220,IF($S$252=197,PR!$BR$221,IF($S$252=198,PR!$BR$222,IF($S$252=199,PR!$BR$223,IF($S$252=200,PR!$BR$224,IF($S$252=201,PR!$BR$225,IF($S$252=202,PR!$BR$226,IF($S$252=203,PR!$BR$227,IF($S$252=204,PR!$BR$228,IF($S$252=205,PR!$BR$229,IF($S$252=206,PR!$BR$230,IF($S$252=207,PR!$BR$231,IF($S$252=208,PR!$BR$232,IF($S$252=209,PR!$BR$233,IF($S$252=210,PR!$BR$234,IF($S$252=211,PR!$BR$235,IF($S$252=212,PR!$BR$236,IF($S$252=213,PR!$BR$237,IF($S$252=214,PR!$BR$238,IF($S$252=215,PR!$BR$239,IF($S$252=216,PR!$BR$240,IF($S$252=217,PR!$BR$241,IF($S$252=218,PR!$BR$242,IF($S$252=219,PR!$BR$243,IF($S$252=220,PR!$BR$244,IF($S$252=221,PR!$BR$245,IF($S$252=222,PR!$BR$246,IF($S$252=223,PR!$BR$247,IF($S$252=224,PR!$BR$248,IF($S$252=225,PR!$BR$249,IF($S$252=226,PR!$BR$250,IF($S$252=227,PR!$BR$251,IF($S$252=228,PR!$BR$252,IF($S$252=229,PR!$BR$253,IF($S$252=230,PR!$BR$254,IF($S$252=231,PR!$BR$255,IF($S$252=232,PR!$BR$256,IF($S$252=233,PR!$BR$257,IF($S$252=234,PR!$BR$258,IF($S$252=235,PR!$BR$259,IF($S$252=236,PR!$BR$260,IF($S$252=237,PR!$BR$261,IF($S$252=238,PR!$BR$262,IF($S$252=239,PR!$BR$263,IF($S$252=240,PR!$BR$264,"-"))))))))))))))))))))))))))))))))))))))))))))))))))))))))))))</f>
        <v>0</v>
      </c>
      <c r="R265" s="550">
        <f>IF($S$252=181,PR!$BS$202,IF($S$252=182,PR!$BS$203,IF($S$252=183,PR!$BS$204,IF($S$252=184,PR!$BS$205,IF($S$252=185,PR!$BS$206,IF($S$252=186,PR!$BS$207,IF($S$252=187,PR!$BS$208,IF($S$252=188,PR!$BS$209,IF($S$252=189,PR!$BS$210,IF($S$252=190,PR!$BS$211,IF($S$252=191,PR!$BS$212,IF($S$252=192,PR!$BS$213,IF($S$252=193,PR!$BS$214,IF($S$252=194,PR!$BS$218,IF($S$252=195,PR!$BS$219,IF($S$252=196,PR!$BS$220,IF($S$252=197,PR!$BS$221,IF($S$252=198,PR!$BS$222,IF($S$252=199,PR!$BS$223,IF($S$252=200,PR!$BS$224,IF($S$252=201,PR!$BS$225,IF($S$252=202,PR!$BS$226,IF($S$252=203,PR!$BS$227,IF($S$252=204,PR!$BS$228,IF($S$252=205,PR!$BS$229,IF($S$252=206,PR!$BS$230,IF($S$252=207,PR!$BS$231,IF($S$252=208,PR!$BS$232,IF($S$252=209,PR!$BS$233,IF($S$252=210,PR!$BS$234,IF($S$252=211,PR!$BS$235,IF($S$252=212,PR!$BS$236,IF($S$252=213,PR!$BS$237,IF($S$252=214,PR!$BS$238,IF($S$252=215,PR!$BS$239,IF($S$252=216,PR!$BS$240,IF($S$252=217,PR!$BS$241,IF($S$252=218,PR!$BS$242,IF($S$252=219,PR!$BS$243,IF($S$252=220,PR!$BS$244,IF($S$252=221,PR!$BS$245,IF($S$252=222,PR!$BS$246,IF($S$252=223,PR!$BS$247,IF($S$252=224,PR!$BS$248,IF($S$252=225,PR!$BS$249,IF($S$252=226,PR!$BS$250,IF($S$252=227,PR!$BS$251,IF($S$252=228,PR!$BS$252,IF($S$252=229,PR!$BS$253,IF($S$252=230,PR!$BS$254,IF($S$252=231,PR!$BS$255,IF($S$252=232,PR!$BS$256,IF($S$252=233,PR!$BS$257,IF($S$252=234,PR!$BS$258,IF($S$252=235,PR!$BS$259,IF($S$252=236,PR!$BS$260,IF($S$252=237,PR!$BS$261,IF($S$252=238,PR!$BS$262,IF($S$252=239,PR!$BS$263,IF($S$252=240,PR!$BS$264,"-"))))))))))))))))))))))))))))))))))))))))))))))))))))))))))))</f>
        <v>0</v>
      </c>
      <c r="S265" s="546"/>
      <c r="T265" s="518"/>
      <c r="U265" s="518"/>
      <c r="V265" s="32"/>
      <c r="W265" s="32"/>
      <c r="X265" s="32"/>
      <c r="Y265" s="32"/>
      <c r="Z265" s="32"/>
    </row>
    <row r="266" spans="1:26" ht="7.5" customHeight="1" x14ac:dyDescent="0.25">
      <c r="A266" s="91"/>
      <c r="B266" s="518"/>
      <c r="C266" s="529"/>
      <c r="D266" s="518"/>
      <c r="E266" s="518"/>
      <c r="F266" s="518"/>
      <c r="G266" s="518"/>
      <c r="H266" s="518"/>
      <c r="I266" s="518"/>
      <c r="J266" s="518"/>
      <c r="K266" s="518"/>
      <c r="L266" s="518"/>
      <c r="M266" s="518"/>
      <c r="N266" s="518"/>
      <c r="O266" s="518"/>
      <c r="P266" s="518"/>
      <c r="Q266" s="518"/>
      <c r="R266" s="521"/>
      <c r="S266" s="518"/>
      <c r="T266" s="518"/>
      <c r="U266" s="518"/>
      <c r="V266" s="32"/>
      <c r="W266" s="32"/>
      <c r="X266" s="32"/>
      <c r="Y266" s="32"/>
      <c r="Z266" s="32"/>
    </row>
    <row r="267" spans="1:26" ht="30" x14ac:dyDescent="0.25">
      <c r="A267" s="91"/>
      <c r="B267" s="518"/>
      <c r="C267" s="529"/>
      <c r="D267" s="518"/>
      <c r="E267" s="518"/>
      <c r="F267" s="518"/>
      <c r="G267" s="518"/>
      <c r="H267" s="518"/>
      <c r="I267" s="518"/>
      <c r="J267" s="518"/>
      <c r="K267" s="536" t="s">
        <v>783</v>
      </c>
      <c r="L267" s="537" t="s">
        <v>418</v>
      </c>
      <c r="M267" s="537" t="s">
        <v>419</v>
      </c>
      <c r="N267" s="538" t="s">
        <v>420</v>
      </c>
      <c r="O267" s="518"/>
      <c r="P267" s="518"/>
      <c r="Q267" s="518"/>
      <c r="R267" s="518"/>
      <c r="S267" s="518"/>
      <c r="T267" s="518"/>
      <c r="U267" s="518"/>
      <c r="V267" s="32"/>
      <c r="W267" s="32"/>
      <c r="X267" s="32"/>
      <c r="Y267" s="32"/>
      <c r="Z267" s="32"/>
    </row>
    <row r="268" spans="1:26" x14ac:dyDescent="0.25">
      <c r="A268" s="91"/>
      <c r="B268" s="518"/>
      <c r="C268" s="529"/>
      <c r="D268" s="518"/>
      <c r="E268" s="518"/>
      <c r="F268" s="518"/>
      <c r="G268" s="518"/>
      <c r="H268" s="518"/>
      <c r="I268" s="518"/>
      <c r="J268" s="518"/>
      <c r="K268" s="521" t="s">
        <v>785</v>
      </c>
      <c r="L268" s="518"/>
      <c r="M268" s="518"/>
      <c r="N268" s="518"/>
      <c r="O268" s="518"/>
      <c r="P268" s="518"/>
      <c r="Q268" s="518"/>
      <c r="R268" s="518"/>
      <c r="S268" s="518"/>
      <c r="T268" s="518"/>
      <c r="U268" s="518"/>
      <c r="V268" s="32"/>
      <c r="W268" s="32"/>
      <c r="X268" s="32"/>
      <c r="Y268" s="32"/>
      <c r="Z268" s="32"/>
    </row>
    <row r="269" spans="1:26" x14ac:dyDescent="0.25">
      <c r="A269" s="32"/>
      <c r="B269" s="32"/>
      <c r="C269" s="96"/>
      <c r="D269" s="32"/>
      <c r="E269" s="32"/>
      <c r="F269" s="32"/>
      <c r="G269" s="32"/>
      <c r="H269" s="32"/>
      <c r="I269" s="32"/>
      <c r="J269" s="32"/>
      <c r="K269" s="97">
        <v>181</v>
      </c>
      <c r="L269" s="98" t="s">
        <v>633</v>
      </c>
      <c r="M269" s="99" t="s">
        <v>824</v>
      </c>
      <c r="N269" s="100" t="s">
        <v>821</v>
      </c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x14ac:dyDescent="0.2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97">
        <f>1+K269</f>
        <v>182</v>
      </c>
      <c r="L270" s="98" t="s">
        <v>621</v>
      </c>
      <c r="M270" s="99" t="s">
        <v>622</v>
      </c>
      <c r="N270" s="100" t="s">
        <v>818</v>
      </c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x14ac:dyDescent="0.2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97">
        <f t="shared" ref="K271:K328" si="4">1+K270</f>
        <v>183</v>
      </c>
      <c r="L271" s="98" t="s">
        <v>627</v>
      </c>
      <c r="M271" s="99" t="s">
        <v>821</v>
      </c>
      <c r="N271" s="100" t="s">
        <v>633</v>
      </c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x14ac:dyDescent="0.2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97">
        <f t="shared" si="4"/>
        <v>184</v>
      </c>
      <c r="L272" s="98" t="s">
        <v>615</v>
      </c>
      <c r="M272" s="99" t="s">
        <v>616</v>
      </c>
      <c r="N272" s="100" t="s">
        <v>635</v>
      </c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x14ac:dyDescent="0.2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97">
        <f t="shared" si="4"/>
        <v>185</v>
      </c>
      <c r="L273" s="98"/>
      <c r="M273" s="99"/>
      <c r="N273" s="100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x14ac:dyDescent="0.2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97">
        <f t="shared" si="4"/>
        <v>186</v>
      </c>
      <c r="L274" s="98"/>
      <c r="M274" s="99"/>
      <c r="N274" s="100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x14ac:dyDescent="0.2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97">
        <f t="shared" si="4"/>
        <v>187</v>
      </c>
      <c r="L275" s="98"/>
      <c r="M275" s="99"/>
      <c r="N275" s="100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x14ac:dyDescent="0.2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97">
        <f t="shared" si="4"/>
        <v>188</v>
      </c>
      <c r="L276" s="98" t="s">
        <v>636</v>
      </c>
      <c r="M276" s="99" t="s">
        <v>618</v>
      </c>
      <c r="N276" s="100" t="s">
        <v>816</v>
      </c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x14ac:dyDescent="0.2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97">
        <f t="shared" si="4"/>
        <v>189</v>
      </c>
      <c r="L277" s="98" t="s">
        <v>634</v>
      </c>
      <c r="M277" s="99"/>
      <c r="N277" s="100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x14ac:dyDescent="0.2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97">
        <f t="shared" si="4"/>
        <v>190</v>
      </c>
      <c r="L278" s="98" t="s">
        <v>627</v>
      </c>
      <c r="M278" s="99"/>
      <c r="N278" s="100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x14ac:dyDescent="0.2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97">
        <f t="shared" si="4"/>
        <v>191</v>
      </c>
      <c r="L279" s="98" t="s">
        <v>1231</v>
      </c>
      <c r="M279" s="99" t="s">
        <v>821</v>
      </c>
      <c r="N279" s="100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x14ac:dyDescent="0.2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97">
        <f t="shared" si="4"/>
        <v>192</v>
      </c>
      <c r="L280" s="98" t="s">
        <v>619</v>
      </c>
      <c r="M280" s="99"/>
      <c r="N280" s="100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x14ac:dyDescent="0.2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97">
        <f t="shared" si="4"/>
        <v>193</v>
      </c>
      <c r="L281" s="98" t="s">
        <v>1246</v>
      </c>
      <c r="M281" s="99"/>
      <c r="N281" s="100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x14ac:dyDescent="0.2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97">
        <f t="shared" si="4"/>
        <v>194</v>
      </c>
      <c r="L282" s="98" t="s">
        <v>821</v>
      </c>
      <c r="M282" s="99"/>
      <c r="N282" s="100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x14ac:dyDescent="0.2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97">
        <f t="shared" si="4"/>
        <v>195</v>
      </c>
      <c r="L283" s="98" t="s">
        <v>821</v>
      </c>
      <c r="M283" s="99"/>
      <c r="N283" s="100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x14ac:dyDescent="0.2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97">
        <f t="shared" si="4"/>
        <v>196</v>
      </c>
      <c r="L284" s="98" t="s">
        <v>821</v>
      </c>
      <c r="M284" s="99"/>
      <c r="N284" s="100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x14ac:dyDescent="0.2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97">
        <f t="shared" si="4"/>
        <v>197</v>
      </c>
      <c r="L285" s="98" t="s">
        <v>821</v>
      </c>
      <c r="M285" s="99" t="s">
        <v>862</v>
      </c>
      <c r="N285" s="100" t="s">
        <v>614</v>
      </c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x14ac:dyDescent="0.2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97">
        <f t="shared" si="4"/>
        <v>198</v>
      </c>
      <c r="L286" s="98" t="s">
        <v>821</v>
      </c>
      <c r="M286" s="99" t="s">
        <v>1448</v>
      </c>
      <c r="N286" s="100" t="s">
        <v>620</v>
      </c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x14ac:dyDescent="0.2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97">
        <f t="shared" si="4"/>
        <v>199</v>
      </c>
      <c r="L287" s="98" t="s">
        <v>821</v>
      </c>
      <c r="M287" s="99" t="s">
        <v>1448</v>
      </c>
      <c r="N287" s="100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x14ac:dyDescent="0.2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97">
        <f t="shared" si="4"/>
        <v>200</v>
      </c>
      <c r="L288" s="98" t="s">
        <v>824</v>
      </c>
      <c r="M288" s="99" t="s">
        <v>620</v>
      </c>
      <c r="N288" s="100" t="s">
        <v>821</v>
      </c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x14ac:dyDescent="0.2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97">
        <f t="shared" si="4"/>
        <v>201</v>
      </c>
      <c r="L289" s="98" t="s">
        <v>824</v>
      </c>
      <c r="M289" s="99" t="s">
        <v>821</v>
      </c>
      <c r="N289" s="100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x14ac:dyDescent="0.2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97">
        <f t="shared" si="4"/>
        <v>202</v>
      </c>
      <c r="L290" s="98" t="s">
        <v>635</v>
      </c>
      <c r="M290" s="99" t="s">
        <v>824</v>
      </c>
      <c r="N290" s="100" t="s">
        <v>619</v>
      </c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x14ac:dyDescent="0.2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97">
        <f t="shared" si="4"/>
        <v>203</v>
      </c>
      <c r="L291" s="98" t="s">
        <v>1446</v>
      </c>
      <c r="M291" s="99" t="s">
        <v>646</v>
      </c>
      <c r="N291" s="100" t="s">
        <v>631</v>
      </c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x14ac:dyDescent="0.2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97">
        <f t="shared" si="4"/>
        <v>204</v>
      </c>
      <c r="L292" s="98" t="s">
        <v>824</v>
      </c>
      <c r="M292" s="99" t="s">
        <v>821</v>
      </c>
      <c r="N292" s="100" t="s">
        <v>1446</v>
      </c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x14ac:dyDescent="0.2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97">
        <f t="shared" si="4"/>
        <v>205</v>
      </c>
      <c r="L293" s="98" t="s">
        <v>824</v>
      </c>
      <c r="M293" s="99" t="s">
        <v>620</v>
      </c>
      <c r="N293" s="100" t="s">
        <v>1448</v>
      </c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x14ac:dyDescent="0.2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97">
        <f t="shared" si="4"/>
        <v>206</v>
      </c>
      <c r="L294" s="98" t="s">
        <v>636</v>
      </c>
      <c r="M294" s="99" t="s">
        <v>619</v>
      </c>
      <c r="N294" s="100" t="s">
        <v>1448</v>
      </c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x14ac:dyDescent="0.2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97">
        <f t="shared" si="4"/>
        <v>207</v>
      </c>
      <c r="L295" s="98" t="s">
        <v>1446</v>
      </c>
      <c r="M295" s="99" t="s">
        <v>824</v>
      </c>
      <c r="N295" s="100" t="s">
        <v>646</v>
      </c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x14ac:dyDescent="0.2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97">
        <f t="shared" si="4"/>
        <v>208</v>
      </c>
      <c r="L296" s="98" t="s">
        <v>1448</v>
      </c>
      <c r="M296" s="99" t="s">
        <v>1450</v>
      </c>
      <c r="N296" s="100" t="s">
        <v>824</v>
      </c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x14ac:dyDescent="0.2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97">
        <f t="shared" si="4"/>
        <v>209</v>
      </c>
      <c r="L297" s="98" t="s">
        <v>821</v>
      </c>
      <c r="M297" s="99"/>
      <c r="N297" s="100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x14ac:dyDescent="0.2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97">
        <f t="shared" si="4"/>
        <v>210</v>
      </c>
      <c r="L298" s="98" t="s">
        <v>821</v>
      </c>
      <c r="M298" s="99"/>
      <c r="N298" s="100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x14ac:dyDescent="0.2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97">
        <f t="shared" si="4"/>
        <v>211</v>
      </c>
      <c r="L299" s="98" t="s">
        <v>821</v>
      </c>
      <c r="M299" s="99" t="s">
        <v>387</v>
      </c>
      <c r="N299" s="100" t="s">
        <v>1448</v>
      </c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x14ac:dyDescent="0.2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97">
        <f t="shared" si="4"/>
        <v>212</v>
      </c>
      <c r="L300" s="98" t="s">
        <v>821</v>
      </c>
      <c r="M300" s="99" t="s">
        <v>614</v>
      </c>
      <c r="N300" s="100" t="s">
        <v>387</v>
      </c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x14ac:dyDescent="0.2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97">
        <f t="shared" si="4"/>
        <v>213</v>
      </c>
      <c r="L301" s="98" t="s">
        <v>821</v>
      </c>
      <c r="M301" s="99" t="s">
        <v>623</v>
      </c>
      <c r="N301" s="100" t="s">
        <v>630</v>
      </c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x14ac:dyDescent="0.2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97">
        <f t="shared" si="4"/>
        <v>214</v>
      </c>
      <c r="L302" s="98" t="s">
        <v>821</v>
      </c>
      <c r="M302" s="99" t="s">
        <v>1246</v>
      </c>
      <c r="N302" s="100" t="s">
        <v>1231</v>
      </c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x14ac:dyDescent="0.2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97">
        <f t="shared" si="4"/>
        <v>215</v>
      </c>
      <c r="L303" s="98"/>
      <c r="M303" s="99"/>
      <c r="N303" s="100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x14ac:dyDescent="0.2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97">
        <f t="shared" si="4"/>
        <v>216</v>
      </c>
      <c r="L304" s="98" t="s">
        <v>618</v>
      </c>
      <c r="M304" s="99" t="s">
        <v>630</v>
      </c>
      <c r="N304" s="100" t="s">
        <v>615</v>
      </c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x14ac:dyDescent="0.2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97">
        <f t="shared" si="4"/>
        <v>217</v>
      </c>
      <c r="L305" s="98" t="s">
        <v>824</v>
      </c>
      <c r="M305" s="99"/>
      <c r="N305" s="100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x14ac:dyDescent="0.2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97">
        <f t="shared" si="4"/>
        <v>218</v>
      </c>
      <c r="L306" s="98"/>
      <c r="M306" s="99"/>
      <c r="N306" s="100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x14ac:dyDescent="0.2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97">
        <f t="shared" si="4"/>
        <v>219</v>
      </c>
      <c r="L307" s="98" t="s">
        <v>823</v>
      </c>
      <c r="M307" s="99"/>
      <c r="N307" s="100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x14ac:dyDescent="0.2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97">
        <f t="shared" si="4"/>
        <v>220</v>
      </c>
      <c r="L308" s="98" t="s">
        <v>635</v>
      </c>
      <c r="M308" s="99" t="s">
        <v>621</v>
      </c>
      <c r="N308" s="100" t="s">
        <v>862</v>
      </c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x14ac:dyDescent="0.2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97">
        <f t="shared" si="4"/>
        <v>221</v>
      </c>
      <c r="L309" s="98" t="s">
        <v>821</v>
      </c>
      <c r="M309" s="99" t="s">
        <v>632</v>
      </c>
      <c r="N309" s="100" t="s">
        <v>823</v>
      </c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x14ac:dyDescent="0.2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97">
        <f t="shared" si="4"/>
        <v>222</v>
      </c>
      <c r="L310" s="98" t="s">
        <v>821</v>
      </c>
      <c r="M310" s="99" t="s">
        <v>1448</v>
      </c>
      <c r="N310" s="100" t="s">
        <v>622</v>
      </c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x14ac:dyDescent="0.2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97">
        <f t="shared" si="4"/>
        <v>223</v>
      </c>
      <c r="L311" s="98" t="s">
        <v>622</v>
      </c>
      <c r="M311" s="99" t="s">
        <v>821</v>
      </c>
      <c r="N311" s="100" t="s">
        <v>614</v>
      </c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x14ac:dyDescent="0.2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97">
        <f t="shared" si="4"/>
        <v>224</v>
      </c>
      <c r="L312" s="98" t="s">
        <v>621</v>
      </c>
      <c r="M312" s="99"/>
      <c r="N312" s="100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x14ac:dyDescent="0.2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97">
        <f t="shared" si="4"/>
        <v>225</v>
      </c>
      <c r="L313" s="98" t="s">
        <v>632</v>
      </c>
      <c r="M313" s="99" t="s">
        <v>862</v>
      </c>
      <c r="N313" s="100" t="s">
        <v>1446</v>
      </c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x14ac:dyDescent="0.2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97">
        <f t="shared" si="4"/>
        <v>226</v>
      </c>
      <c r="L314" s="98" t="s">
        <v>862</v>
      </c>
      <c r="M314" s="99" t="s">
        <v>1446</v>
      </c>
      <c r="N314" s="100" t="s">
        <v>821</v>
      </c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x14ac:dyDescent="0.2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97">
        <f t="shared" si="4"/>
        <v>227</v>
      </c>
      <c r="L315" s="98" t="s">
        <v>821</v>
      </c>
      <c r="M315" s="99" t="s">
        <v>828</v>
      </c>
      <c r="N315" s="100" t="s">
        <v>1231</v>
      </c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x14ac:dyDescent="0.2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97">
        <f t="shared" si="4"/>
        <v>228</v>
      </c>
      <c r="L316" s="98" t="s">
        <v>1450</v>
      </c>
      <c r="M316" s="99" t="s">
        <v>821</v>
      </c>
      <c r="N316" s="100" t="s">
        <v>623</v>
      </c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x14ac:dyDescent="0.2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97">
        <f t="shared" si="4"/>
        <v>229</v>
      </c>
      <c r="L317" s="98" t="s">
        <v>621</v>
      </c>
      <c r="M317" s="99" t="s">
        <v>821</v>
      </c>
      <c r="N317" s="100" t="s">
        <v>1246</v>
      </c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x14ac:dyDescent="0.2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97">
        <f t="shared" si="4"/>
        <v>230</v>
      </c>
      <c r="L318" s="98" t="s">
        <v>821</v>
      </c>
      <c r="M318" s="99" t="s">
        <v>862</v>
      </c>
      <c r="N318" s="100" t="s">
        <v>1243</v>
      </c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x14ac:dyDescent="0.2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97">
        <f t="shared" si="4"/>
        <v>231</v>
      </c>
      <c r="L319" s="98" t="s">
        <v>618</v>
      </c>
      <c r="M319" s="99" t="s">
        <v>821</v>
      </c>
      <c r="N319" s="100" t="s">
        <v>1243</v>
      </c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x14ac:dyDescent="0.2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97">
        <f t="shared" si="4"/>
        <v>232</v>
      </c>
      <c r="L320" s="98" t="s">
        <v>635</v>
      </c>
      <c r="M320" s="99" t="s">
        <v>1446</v>
      </c>
      <c r="N320" s="100" t="s">
        <v>1231</v>
      </c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x14ac:dyDescent="0.2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97">
        <f t="shared" si="4"/>
        <v>233</v>
      </c>
      <c r="L321" s="98" t="s">
        <v>821</v>
      </c>
      <c r="M321" s="99" t="s">
        <v>631</v>
      </c>
      <c r="N321" s="100" t="s">
        <v>837</v>
      </c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x14ac:dyDescent="0.2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97">
        <f t="shared" si="4"/>
        <v>234</v>
      </c>
      <c r="L322" s="98" t="s">
        <v>821</v>
      </c>
      <c r="M322" s="99" t="s">
        <v>837</v>
      </c>
      <c r="N322" s="100" t="s">
        <v>615</v>
      </c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x14ac:dyDescent="0.2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97">
        <f t="shared" si="4"/>
        <v>235</v>
      </c>
      <c r="L323" s="98" t="s">
        <v>862</v>
      </c>
      <c r="M323" s="99" t="s">
        <v>828</v>
      </c>
      <c r="N323" s="100" t="s">
        <v>636</v>
      </c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x14ac:dyDescent="0.2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97">
        <f t="shared" si="4"/>
        <v>236</v>
      </c>
      <c r="L324" s="98" t="s">
        <v>633</v>
      </c>
      <c r="M324" s="99" t="s">
        <v>1448</v>
      </c>
      <c r="N324" s="100" t="s">
        <v>1235</v>
      </c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x14ac:dyDescent="0.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97">
        <f t="shared" si="4"/>
        <v>237</v>
      </c>
      <c r="L325" s="98" t="s">
        <v>1431</v>
      </c>
      <c r="M325" s="99" t="s">
        <v>818</v>
      </c>
      <c r="N325" s="100" t="s">
        <v>621</v>
      </c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x14ac:dyDescent="0.2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97">
        <f t="shared" si="4"/>
        <v>238</v>
      </c>
      <c r="L326" s="98" t="s">
        <v>821</v>
      </c>
      <c r="M326" s="99" t="s">
        <v>632</v>
      </c>
      <c r="N326" s="100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x14ac:dyDescent="0.2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97">
        <f t="shared" si="4"/>
        <v>239</v>
      </c>
      <c r="L327" s="98" t="s">
        <v>1246</v>
      </c>
      <c r="M327" s="99" t="s">
        <v>1231</v>
      </c>
      <c r="N327" s="100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x14ac:dyDescent="0.2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97">
        <f t="shared" si="4"/>
        <v>240</v>
      </c>
      <c r="L328" s="98" t="s">
        <v>631</v>
      </c>
      <c r="M328" s="99" t="s">
        <v>633</v>
      </c>
      <c r="N328" s="100" t="s">
        <v>630</v>
      </c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x14ac:dyDescent="0.2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x14ac:dyDescent="0.2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x14ac:dyDescent="0.2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x14ac:dyDescent="0.2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x14ac:dyDescent="0.25">
      <c r="A333" s="32"/>
      <c r="F333" s="428"/>
      <c r="G333" s="427"/>
      <c r="J333" s="428" t="s">
        <v>788</v>
      </c>
      <c r="V333" s="32"/>
      <c r="W333" s="32"/>
      <c r="X333" s="32"/>
      <c r="Y333" s="32"/>
      <c r="Z333" s="32"/>
    </row>
    <row r="334" spans="1:26" ht="36.75" thickBot="1" x14ac:dyDescent="0.6">
      <c r="A334" s="92"/>
      <c r="B334" s="551"/>
      <c r="C334" s="552"/>
      <c r="D334" s="552"/>
      <c r="E334" s="552"/>
      <c r="F334" s="552"/>
      <c r="G334" s="552"/>
      <c r="H334" s="553" t="str">
        <f>IF($S$335&gt;=1055,"LOT 21 LABORATORY REQUIREMENT - OBADA ANNEX",IF($S$335&gt;=1039,"LOT 21 - LABORATORY REQUIREMENT - SHAJE ANNEX",IF($S$335&gt;=981,"LOT 20 - LABORATORY - CHEMICAL PATHOLOGY",IF($S$335&gt;=974,"LOT 19 - MICROBIOLOGY - INFECTION CONTROL",IF($S$335&gt;=957,"LOT 19 - MICROBIOLOGY - SENSITIVITY DISCS",IF($S$335&gt;=902,"LOT 18 - MICROBIOLOGY - REAGENT KITS",IF($S$335&gt;=846,"LOT 17 - HISTOPATHOLOGY",IF($S$335&gt;=760,"LOT 16 - HAEMATOLOGY",IF($S$335&gt;=722,"LOT 15 - THEATRE DEPARTMENT",IF($S$335&gt;=709,"LOT 14 - RADIOLOGY DEPARTMENT",IF($S$335&gt;=702,"LOT 13 - PHARMACY - CONSUMABLES - SUTURES",IF($S$335&gt;=684,"LOT 13 - PHARMACY - CONSUMABLES",IF($S$335&gt;=669,"LOT 13 PHARMACY - DISINFECTANTS",IF($S$335&gt;=651,"LOT 13 - PHARMACY - DERMATOLOGICAL PREPARATIONS",IF($S$335&gt;=570,"LOT 13 - PHARMACY - DRESSINGS/CONSUMABLES",IF($S$335&gt;=539,"LOT 12 - PHARMACY - ONCOLOGY DRUGS",IF($S$335&gt;=494,"LOT 11 - PHARMACY - EYE/EAR MEDICATIONS",IF($S$335&gt;=455,"LOT 10 - PHARMACY - RESPIRATORY TRACT DRUGS",IF($S$335&gt;=424,"LOT 9 - PHARMACY GASTROINTESTINAL DRUGS",IF($S$335&gt;=381,"LOT 8 - PHARMACY -OBSTETRICS/GYNAECOLOGY DRUGS",IF($S$335&gt;=351,"LOT 7 - PHARMACY - HYPNOSEDATIVE DRUGS",IF($S$335&gt;=285,"LOT 6 PHARMACY - BLOOD &amp; NUTRITIONAL DRUGS",IF($S$335&gt;=194,"LOT 5 - PHARMACY - ANTI-INFECTIVE AGENTS",IF($S$335&gt;=142,"LOT 4 - PHARMACY - ANTI-INFLAMMATORY/ANTI-PYRETIC/ANALGESICS",IF($S$335&gt;=118,"LOT 3 - PHARMACY - ORAL HYPOGLYCAEMIC DRUGS",IF($S$335&gt;=34,"LOT 3 - PHARMACY - ANTI-HYPERTENSIVES",IF($S$335&gt;=19,"LOT 2 - PHARMACY - STERILE INTRAVENOUS FLUIDS",IF($S$335&gt;=1,"LOT 1 - PHARMACY - ANTI-MALARIALS","-"))))))))))))))))))))))))))))</f>
        <v>LOT 5 - PHARMACY - ANTI-INFECTIVE AGENTS</v>
      </c>
      <c r="I334" s="554"/>
      <c r="J334" s="552"/>
      <c r="K334" s="552"/>
      <c r="L334" s="552"/>
      <c r="M334" s="552"/>
      <c r="N334" s="552"/>
      <c r="O334" s="552"/>
      <c r="P334" s="552"/>
      <c r="Q334" s="552"/>
      <c r="R334" s="555"/>
      <c r="S334" s="552"/>
      <c r="T334" s="552"/>
      <c r="U334" s="518"/>
      <c r="V334" s="32"/>
      <c r="W334" s="32"/>
      <c r="X334" s="32"/>
      <c r="Y334" s="32"/>
      <c r="Z334" s="32"/>
    </row>
    <row r="335" spans="1:26" ht="39.75" customHeight="1" thickBot="1" x14ac:dyDescent="0.7">
      <c r="A335" s="95" t="s">
        <v>779</v>
      </c>
      <c r="B335" s="556"/>
      <c r="C335" s="557" t="str">
        <f>IF($S$335=241,PR!$B$265,IF($S$335=242,PR!$B$266,IF($S$335=243,PR!$B$267,IF($S$335=244,PR!$B$268,IF($S$335=245,PR!$B$269,IF($S$335=246,PR!$B$270,IF($S$335=247,PR!$B$271,IF($S$335=248,PR!$B$272,IF($S$335=249,PR!$B$273,IF($S$335=250,PR!$B$274,IF($S$335=251,PR!$B$275,IF($S$335=252,PR!$B$276,IF($S$335=253,PR!$B$277,IF($S$335=254,PR!$B$278,IF($S$335=255,PR!$B$279,IF($S$335=256,PR!$B$280,IF($S$335=257,PR!$B$281,IF($S$335=258,PR!$B$282,IF($S$335=259,PR!$B$283,IF($S$335=260,PR!$B$284,IF($S$335=261,PR!$B$285,IF($S$335=262,PR!$B$286,IF($S$335=263,PR!$B$287,IF($S$335=264,PR!$B$288,IF($S$335=265,PR!$B$289,IF($S$335=266,PR!$B$290,IF($S$335=267,PR!$B$291,IF($S$335=268,PR!$B$292,IF($S$335=269,PR!$B$293,IF($S$335=270,PR!$B$294,IF($S$335=271,PR!$B$295,IF($S$335=272,PR!$B$296,IF($S$335=273,PR!$B$297,IF($S$335=274,PR!$B$298,IF($S$335=275,PR!$B$299,IF($S$335=276,PR!$B$300,IF($S$335=277,PR!$B$301,IF($S$335=278,PR!$B$302,IF($S$335=279,PR!$B$303,IF($S$335=280,PR!$B$304,IF($S$335=281,PR!$B$305,IF($S$335=282,PR!$B$306,IF($S$335=283,PR!$B$307,IF($S$335=284,PR!$B$308,IF($S$335=285,PR!$B$315,IF($S$335=286,PR!$B$316,IF($S$335=287,PR!$B$317,IF($S$335=288,PR!$B$318,IF($S$335=289,PR!$B$319,IF($S$335=290,PR!$B$320,IF($S$335=291,PR!$B$321,IF($S$335=292,PR!$B$322,IF($S$335=293,PR!$B$323,IF($S$335=294,PR!$B$324,IF($S$335=295,PR!$B$325,IF($S$335=296,PR!$B$326,IF($S$335=297,PR!$B$327,IF($S$335=298,PR!$B$328,IF($S$335=299,PR!$B$329,IF($S$335=300,PR!$B$330,"-"))))))))))))))))))))))))))))))))))))))))))))))))))))))))))))</f>
        <v>CLOTRIMAZOLE PESSARY</v>
      </c>
      <c r="D335" s="558"/>
      <c r="E335" s="558"/>
      <c r="F335" s="558"/>
      <c r="G335" s="558"/>
      <c r="H335" s="558"/>
      <c r="I335" s="558"/>
      <c r="J335" s="558"/>
      <c r="K335" s="558"/>
      <c r="L335" s="558"/>
      <c r="M335" s="558"/>
      <c r="N335" s="558"/>
      <c r="O335" s="558"/>
      <c r="P335" s="559"/>
      <c r="Q335" s="560"/>
      <c r="R335" s="555"/>
      <c r="S335" s="561">
        <v>241</v>
      </c>
      <c r="T335" s="552"/>
      <c r="U335" s="518"/>
      <c r="V335" s="32"/>
      <c r="W335" s="32"/>
      <c r="X335" s="32"/>
      <c r="Y335" s="32"/>
      <c r="Z335" s="32"/>
    </row>
    <row r="336" spans="1:26" ht="35.25" customHeight="1" thickBot="1" x14ac:dyDescent="0.7">
      <c r="A336" s="91"/>
      <c r="B336" s="552"/>
      <c r="C336" s="562" t="s">
        <v>780</v>
      </c>
      <c r="D336" s="783">
        <f>IF($S$335=241,PR!$D$265,IF($S$335=242,PR!$D$266,IF($S$335=243,PR!$D$267,IF($S$335=244,PR!$D$268,IF($S$335=245,PR!$D$269,IF($S$335=246,PR!$D$270,IF($S$335=247,PR!$D$271,IF($S$335=248,PR!$D$272,IF($S$335=249,PR!$D$273,IF($S$335=250,PR!$D$274,IF($S$335=251,PR!$D$275,IF($S$335=252,PR!$D$276,IF($S$335=253,PR!$D$277,IF($S$335=254,PR!$D$278,IF($S$335=255,PR!$D$279,IF($S$335=256,PR!$D$280,IF($S$335=257,PR!$D$281,IF($S$335=258,PR!$D$282,IF($S$335=259,PR!$D$283,IF($S$335=260,PR!$D$284,IF($S$335=261,PR!$D$285,IF($S$335=262,PR!$D$286,IF($S$335=263,PR!$D$287,IF($S$335=264,PR!$D$288,IF($S$335=265,PR!$D$289,IF($S$335=266,PR!$D$290,IF($S$335=267,PR!$D$291,IF($S$335=268,PR!$D$292,IF($S$335=269,PR!$D$293,IF($S$335=270,PR!$D$294,IF($S$335=271,PR!$D$295,IF($S$335=272,PR!$D$296,IF($S$335=273,PR!$D$297,IF($S$335=274,PR!$D$298,IF($S$335=275,PR!$D$299,IF($S$335=276,PR!$D$300,IF($S$335=277,PR!$D$301,IF($S$335=278,PR!$D$302,IF($S$335=279,PR!$D$303,IF($S$335=280,PR!$D$304,IF($S$335=281,PR!$D$305,IF($S$335=282,PR!$D$306,IF($S$335=283,PR!$D$307,IF($S$335=284,PR!$D$308,IF($S$335=285,PR!$D$315,IF($S$335=286,PR!$D$316,IF($S$335=287,PR!$D$317,IF($S$335=288,PR!$D$318,IF($S$335=289,PR!$D$319,IF($S$335=290,PR!$D$320,IF($S$335=291,PR!$D$321,IF($S$335=292,PR!$D$322,IF($S$335=293,PR!$D$323,IF($S$335=294,PR!$D$324,IF($S$335=295,PR!$D$325,IF($S$335=296,PR!$D$326,IF($S$335=297,PR!$D$327,IF($S$335=298,PR!$D$328,IF($S$335=299,PR!$D$329,IF($S$335=300,PR!$D$330,"-"))))))))))))))))))))))))))))))))))))))))))))))))))))))))))))</f>
        <v>6</v>
      </c>
      <c r="E336" s="784"/>
      <c r="F336" s="784"/>
      <c r="G336" s="796" t="s">
        <v>781</v>
      </c>
      <c r="H336" s="796"/>
      <c r="I336" s="796"/>
      <c r="J336" s="796"/>
      <c r="K336" s="783">
        <f>IF($S$335=241,PR!$C$265,IF($S$335=242,PR!$C$266,IF($S$335=243,PR!$C$267,IF($S$335=244,PR!$C$268,IF($S$335=245,PR!$C$269,IF($S$335=246,PR!$C$270,IF($S$335=247,PR!$C$271,IF($S$335=248,PR!$C$272,IF($S$335=249,PR!$C$273,IF($S$335=250,PR!$C$274,IF($S$335=251,PR!$C$275,IF($S$335=252,PR!$C$276,IF($S$335=253,PR!$C$277,IF($S$335=254,PR!$C$278,IF($S$335=255,PR!$C$279,IF($S$335=256,PR!$C$280,IF($S$335=257,PR!$C$281,IF($S$335=258,PR!$C$282,IF($S$335=259,PR!$C$283,IF($S$335=260,PR!$C$284,IF($S$335=261,PR!$C$285,IF($S$335=262,PR!$C$286,IF($S$335=263,PR!$C$287,IF($S$335=264,PR!$C$288,IF($S$335=265,PR!$C$289,IF($S$335=266,PR!$C$290,IF($S$335=267,PR!$C$291,IF($S$335=268,PR!$C$292,IF($S$335=269,PR!$C$293,IF($S$335=270,PR!$C$294,IF($S$335=271,PR!$C$295,IF($S$335=272,PR!$C$296,IF($S$335=273,PR!$C$297,IF($S$335=274,PR!$C$298,IF($S$335=275,PR!$C$299,IF($S$335=276,PR!$C$300,IF($S$335=277,PR!$C$301,IF($S$335=278,PR!$C$302,IF($S$335=279,PR!$C$303,IF($S$335=280,PR!$C$304,IF($S$335=281,PR!$C$305,IF($S$335=282,PR!$C$306,IF($S$335=283,PR!$C$307,IF($S$335=284,PR!$C$308,IF($S$335=285,PR!$C$315,IF($S$335=286,PR!$C$316,IF($S$335=287,PR!$C$317,IF($S$335=288,PR!$C$318,IF($S$335=289,PR!$C$319,IF($S$335=290,PR!$C$320,IF($S$335=291,PR!$C$321,IF($S$335=292,PR!$C$322,IF($S$335=293,PR!$C$323,IF($S$335=294,PR!$C$324,IF($S$335=295,PR!$C$325,IF($S$335=296,PR!$C$326,IF($S$335=297,PR!$C$327,IF($S$335=298,PR!$C$328,IF($S$335=299,PR!$C$329,IF($S$335=300,PR!$C$330,"-"))))))))))))))))))))))))))))))))))))))))))))))))))))))))))))</f>
        <v>200</v>
      </c>
      <c r="L336" s="784"/>
      <c r="M336" s="784"/>
      <c r="N336" s="784"/>
      <c r="O336" s="552"/>
      <c r="P336" s="552"/>
      <c r="Q336" s="552"/>
      <c r="R336" s="555"/>
      <c r="S336" s="552"/>
      <c r="T336" s="552"/>
      <c r="U336" s="518"/>
      <c r="V336" s="32"/>
      <c r="W336" s="32"/>
      <c r="X336" s="32"/>
      <c r="Y336" s="32"/>
      <c r="Z336" s="32"/>
    </row>
    <row r="337" spans="1:26" ht="12" customHeight="1" thickTop="1" x14ac:dyDescent="0.25">
      <c r="A337" s="91"/>
      <c r="B337" s="552"/>
      <c r="C337" s="563"/>
      <c r="D337" s="564"/>
      <c r="E337" s="552"/>
      <c r="F337" s="552"/>
      <c r="G337" s="565"/>
      <c r="H337" s="565"/>
      <c r="I337" s="565"/>
      <c r="J337" s="565"/>
      <c r="K337" s="566"/>
      <c r="L337" s="566"/>
      <c r="M337" s="552"/>
      <c r="N337" s="552"/>
      <c r="O337" s="552"/>
      <c r="P337" s="552"/>
      <c r="Q337" s="552"/>
      <c r="R337" s="555"/>
      <c r="S337" s="552"/>
      <c r="T337" s="552"/>
      <c r="U337" s="518"/>
      <c r="V337" s="32"/>
      <c r="W337" s="32"/>
      <c r="X337" s="32"/>
      <c r="Y337" s="32"/>
      <c r="Z337" s="32"/>
    </row>
    <row r="338" spans="1:26" ht="15.75" thickBot="1" x14ac:dyDescent="0.3">
      <c r="A338" s="94" t="s">
        <v>782</v>
      </c>
      <c r="B338" s="567"/>
      <c r="C338" s="567" t="str">
        <f>N!$C$4</f>
        <v>ALPHA</v>
      </c>
      <c r="D338" s="567" t="str">
        <f>N!$C$5</f>
        <v>ASSENE</v>
      </c>
      <c r="E338" s="567" t="str">
        <f>N!$C$6</f>
        <v>BIOFEM</v>
      </c>
      <c r="F338" s="567" t="str">
        <f>N!$C$7</f>
        <v>BIOMED</v>
      </c>
      <c r="G338" s="567" t="str">
        <f>N!$C$8</f>
        <v>CHI</v>
      </c>
      <c r="H338" s="567" t="str">
        <f>N!$C$9</f>
        <v>CLARION</v>
      </c>
      <c r="I338" s="567" t="str">
        <f>N!$C$10</f>
        <v>CODIX</v>
      </c>
      <c r="J338" s="567" t="str">
        <f>N!$C$11</f>
        <v>COSMADE</v>
      </c>
      <c r="K338" s="567" t="str">
        <f>N!$C$12</f>
        <v>SANCON</v>
      </c>
      <c r="L338" s="567" t="str">
        <f>N!$C$13</f>
        <v>DEVON</v>
      </c>
      <c r="M338" s="567" t="str">
        <f>N!$C$14</f>
        <v>DORTEMAG</v>
      </c>
      <c r="N338" s="567" t="str">
        <f>N!$C$15</f>
        <v>DGF</v>
      </c>
      <c r="O338" s="568" t="str">
        <f>N!$C$16</f>
        <v>DYNAMIC</v>
      </c>
      <c r="P338" s="567" t="str">
        <f>N!$C$17</f>
        <v>EMZOR</v>
      </c>
      <c r="Q338" s="567" t="str">
        <f>N!$C$18</f>
        <v>EUMATT</v>
      </c>
      <c r="R338" s="567" t="str">
        <f>N!$C$19</f>
        <v>FIDSON</v>
      </c>
      <c r="S338" s="567" t="str">
        <f>N!$C$20</f>
        <v>FCGLOBAL</v>
      </c>
      <c r="T338" s="552"/>
      <c r="U338" s="518"/>
      <c r="V338" s="32"/>
      <c r="W338" s="32"/>
      <c r="X338" s="32"/>
      <c r="Y338" s="32"/>
    </row>
    <row r="339" spans="1:26" ht="15.75" thickBot="1" x14ac:dyDescent="0.3">
      <c r="A339" s="93"/>
      <c r="B339" s="569"/>
      <c r="C339" s="570">
        <f>IF($S$335=241,PR!$E$265,IF($S$335=242,PR!$E$266,IF($S$335=243,PR!$E$267,IF($S$335=244,PR!$E$268,IF($S$335=245,PR!$E$269,IF($S$335=246,PR!$E$270,IF($S$335=247,PR!$E$271,IF($S$335=248,PR!$E$272,IF($S$335=249,PR!$E$273,IF($S$335=250,PR!$E$274,IF($S$335=251,PR!$E$275,IF($S$335=252,PR!$E$276,IF($S$335=253,PR!$E$277,IF($S$335=254,PR!$E$278,IF($S$335=255,PR!$E$279,IF($S$335=256,PR!$E$280,IF($S$335=257,PR!$E$281,IF($S$335=258,PR!$E$282,IF($S$335=259,PR!$E$283,IF($S$335=260,PR!$E$284,IF($S$335=261,PR!$E$285,IF($S$335=262,PR!$E$286,IF($S$335=263,PR!$E$287,IF($S$335=264,PR!$E$288,IF($S$335=265,PR!$E$289,IF($S$335=266,PR!$E$290,IF($S$335=267,PR!$E$291,IF($S$335=268,PR!$E$292,IF($S$335=269,PR!$E$293,IF($S$335=270,PR!$E$294,IF($S$335=271,PR!$E$295,IF($S$335=272,PR!$E$296,IF($S$335=273,PR!$E$297,IF($S$335=274,PR!$E$298,IF($S$335=275,PR!$E$299,IF($S$335=276,PR!$E$300,IF($S$335=277,PR!$E$301,IF($S$335=278,PR!$E$302,IF($S$335=279,PR!$E$303,IF($S$335=280,PR!$E$304,IF($S$335=281,PR!$E$305,IF($S$335=282,PR!$E$306,IF($S$335=283,PR!$E$307,IF($S$335=284,PR!$E$308,IF($S$335=285,PR!$E$315,IF($S$335=286,PR!$E$316,IF($S$335=287,PR!$E$317,IF($S$335=288,PR!$E$318,IF($S$335=289,PR!$E$319,IF($S$335=290,PR!$E$320,IF($S$335=291,PR!$E$321,IF($S$335=292,PR!$E$322,IF($S$335=293,PR!$E$323,IF($S$335=294,PR!$E$324,IF($S$335=295,PR!$E$325,IF($S$335=296,PR!$E$326,IF($S$335=297,PR!$E$327,IF($S$335=298,PR!$E$328,IF($S$335=299,PR!$E$329,IF($S$335=300,PR!$E$330,"-"))))))))))))))))))))))))))))))))))))))))))))))))))))))))))))</f>
        <v>0</v>
      </c>
      <c r="D339" s="570">
        <f>IF($S$335=241,PR!$F$265,IF($S$335=242,PR!$F$266,IF($S$335=243,PR!$F$267,IF($S$335=244,PR!$F$268,IF($S$335=245,PR!$F$269,IF($S$335=246,PR!$F$270,IF($S$335=247,PR!$F$271,IF($S$335=248,PR!$F$272,IF($S$335=249,PR!$F$273,IF($S$335=250,PR!$F$274,IF($S$335=251,PR!$F$275,IF($S$335=252,PR!$F$276,IF($S$335=253,PR!$F$277,IF($S$335=254,PR!$F$278,IF($S$335=255,PR!$F$279,IF($S$335=256,PR!$F$280,IF($S$335=257,PR!$F$281,IF($S$335=258,PR!$F$282,IF($S$335=259,PR!$F$283,IF($S$335=260,PR!$F$284,IF($S$335=261,PR!$F$285,IF($S$335=262,PR!$F$286,IF($S$335=263,PR!$F$287,IF($S$335=264,PR!$F$288,IF($S$335=265,PR!$F$289,IF($S$335=266,PR!$F$290,IF($S$335=267,PR!$F$291,IF($S$335=268,PR!$F$292,IF($S$335=269,PR!$F$293,IF($S$335=270,PR!$F$294,IF($S$335=271,PR!$F$295,IF($S$335=272,PR!$F$296,IF($S$335=273,PR!$F$297,IF($S$335=274,PR!$F$298,IF($S$335=275,PR!$F$299,IF($S$335=276,PR!$F$300,IF($S$335=277,PR!$F$301,IF($S$335=278,PR!$F$302,IF($S$335=279,PR!$F$303,IF($S$335=280,PR!$F$304,IF($S$335=281,PR!$F$305,IF($S$335=282,PR!$F$306,IF($S$335=283,PR!$F$307,IF($S$335=284,PR!$F$308,IF($S$335=285,PR!$F$315,IF($S$335=286,PR!$F$316,IF($S$335=287,PR!$F$317,IF($S$335=288,PR!$F$318,IF($S$335=289,PR!$F$319,IF($S$335=290,PR!$F$320,IF($S$335=291,PR!$F$321,IF($S$335=292,PR!$F$322,IF($S$335=293,PR!$F$323,IF($S$335=294,PR!$F$324,IF($S$335=295,PR!$F$325,IF($S$335=296,PR!$F$326,IF($S$335=297,PR!$F$327,IF($S$335=298,PR!$F$328,IF($S$335=299,PR!$F$329,IF($S$335=300,PR!$F$330,"-"))))))))))))))))))))))))))))))))))))))))))))))))))))))))))))</f>
        <v>0</v>
      </c>
      <c r="E339" s="570">
        <f>IF($S$335=241,PR!$G$265,IF($S$335=242,PR!$G$266,IF($S$335=243,PR!$G$267,IF($S$335=244,PR!$G$268,IF($S$335=245,PR!$G$269,IF($S$335=246,PR!$G$270,IF($S$335=247,PR!$G$271,IF($S$335=248,PR!$G$272,IF($S$335=249,PR!$G$273,IF($S$335=250,PR!$G$274,IF($S$335=251,PR!$G$275,IF($S$335=252,PR!$G$276,IF($S$335=253,PR!$G$277,IF($S$335=254,PR!$G$278,IF($S$335=255,PR!$G$279,IF($S$335=256,PR!$G$280,IF($S$335=257,PR!$G$281,IF($S$335=258,PR!$G$282,IF($S$335=259,PR!$G$283,IF($S$335=260,PR!$G$284,IF($S$335=261,PR!$G$285,IF($S$335=262,PR!$G$286,IF($S$335=263,PR!$G$287,IF($S$335=264,PR!$G$288,IF($S$335=265,PR!$G$289,IF($S$335=266,PR!$G$290,IF($S$335=267,PR!$G$291,IF($S$335=268,PR!$G$292,IF($S$335=269,PR!$G$293,IF($S$335=270,PR!$G$294,IF($S$335=271,PR!$G$295,IF($S$335=272,PR!$G$296,IF($S$335=273,PR!$G$297,IF($S$335=274,PR!$G$298,IF($S$335=275,PR!$G$299,IF($S$335=276,PR!$G$300,IF($S$335=277,PR!$G$301,IF($S$335=278,PR!$G$302,IF($S$335=279,PR!$G$303,IF($S$335=280,PR!$G$304,IF($S$335=281,PR!$G$305,IF($S$335=282,PR!$G$306,IF($S$335=283,PR!$G$307,IF($S$335=284,PR!$G$308,IF($S$335=285,PR!$G$315,IF($S$335=286,PR!$G$316,IF($S$335=287,PR!$G$317,IF($S$335=288,PR!$G$318,IF($S$335=289,PR!$G$319,IF($S$335=290,PR!$G$320,IF($S$335=291,PR!$G$321,IF($S$335=292,PR!$G$322,IF($S$335=293,PR!$G$323,IF($S$335=294,PR!$G$324,IF($S$335=295,PR!$G$325,IF($S$335=296,PR!$G$326,IF($S$335=297,PR!$G$327,IF($S$335=298,PR!$G$328,IF($S$335=299,PR!$G$329,IF($S$335=300,PR!$G$330,"-"))))))))))))))))))))))))))))))))))))))))))))))))))))))))))))</f>
        <v>0</v>
      </c>
      <c r="F339" s="570">
        <f>IF($S$335=241,PR!$H$265,IF($S$335=242,PR!$H$266,IF($S$335=243,PR!$H$267,IF($S$335=244,PR!$H$268,IF($S$335=245,PR!$H$269,IF($S$335=246,PR!$H$270,IF($S$335=247,PR!$H$271,IF($S$335=248,PR!$H$272,IF($S$335=249,PR!$H$273,IF($S$335=250,PR!$H$274,IF($S$335=251,PR!$H$275,IF($S$335=252,PR!$H$276,IF($S$335=253,PR!$H$277,IF($S$335=254,PR!$H$278,IF($S$335=255,PR!$H$279,IF($S$335=256,PR!$H$280,IF($S$335=257,PR!$H$281,IF($S$335=258,PR!$H$282,IF($S$335=259,PR!$H$283,IF($S$335=260,PR!$H$284,IF($S$335=261,PR!$H$285,IF($S$335=262,PR!$H$286,IF($S$335=263,PR!$H$287,IF($S$335=264,PR!$H$288,IF($S$335=265,PR!$H$289,IF($S$335=266,PR!$H$290,IF($S$335=267,PR!$H$291,IF($S$335=268,PR!$H$292,IF($S$335=269,PR!$H$293,IF($S$335=270,PR!$H$294,IF($S$335=271,PR!$H$295,IF($S$335=272,PR!$H$296,IF($S$335=273,PR!$H$297,IF($S$335=274,PR!$H$298,IF($S$335=275,PR!$H$299,IF($S$335=276,PR!$H$300,IF($S$335=277,PR!$H$301,IF($S$335=278,PR!$H$302,IF($S$335=279,PR!$H$303,IF($S$335=280,PR!$H$304,IF($S$335=281,PR!$H$305,IF($S$335=282,PR!$H$306,IF($S$335=283,PR!$H$307,IF($S$335=284,PR!$H$308,IF($S$335=285,PR!$H$315,IF($S$335=286,PR!$H$316,IF($S$335=287,PR!$H$317,IF($S$335=288,PR!$H$318,IF($S$335=289,PR!$H$319,IF($S$335=290,PR!$H$320,IF($S$335=291,PR!$H$321,IF($S$335=292,PR!$H$322,IF($S$335=293,PR!$H$323,IF($S$335=294,PR!$H$324,IF($S$335=295,PR!$H$325,IF($S$335=296,PR!$H$326,IF($S$335=297,PR!$H$327,IF($S$335=298,PR!$H$328,IF($S$335=299,PR!$H$329,IF($S$335=300,PR!$H$330,"-"))))))))))))))))))))))))))))))))))))))))))))))))))))))))))))</f>
        <v>0</v>
      </c>
      <c r="G339" s="570">
        <f>IF($S$335=241,PR!$I$265,IF($S$335=242,PR!$I$266,IF($S$335=243,PR!$I$267,IF($S$335=244,PR!$I$268,IF($S$335=245,PR!$I$269,IF($S$335=246,PR!$I$270,IF($S$335=247,PR!$I$271,IF($S$335=248,PR!$I$272,IF($S$335=249,PR!$I$273,IF($S$335=250,PR!$I$274,IF($S$335=251,PR!$I$275,IF($S$335=252,PR!$I$276,IF($S$335=253,PR!$I$277,IF($S$335=254,PR!$I$278,IF($S$335=255,PR!$I$279,IF($S$335=256,PR!$I$280,IF($S$335=257,PR!$I$281,IF($S$335=258,PR!$I$282,IF($S$335=259,PR!$I$283,IF($S$335=260,PR!$I$284,IF($S$335=261,PR!$I$285,IF($S$335=262,PR!$I$286,IF($S$335=263,PR!$I$287,IF($S$335=264,PR!$I$288,IF($S$335=265,PR!$I$289,IF($S$335=266,PR!$I$290,IF($S$335=267,PR!$I$291,IF($S$335=268,PR!$I$292,IF($S$335=269,PR!$I$293,IF($S$335=270,PR!$I$294,IF($S$335=271,PR!$I$295,IF($S$335=272,PR!$I$296,IF($S$335=273,PR!$I$297,IF($S$335=274,PR!$I$298,IF($S$335=275,PR!$I$299,IF($S$335=276,PR!$I$300,IF($S$335=277,PR!$I$301,IF($S$335=278,PR!$I$302,IF($S$335=279,PR!$I$303,IF($S$335=280,PR!$I$304,IF($S$335=281,PR!$I$305,IF($S$335=282,PR!$I$306,IF($S$335=283,PR!$I$307,IF($S$335=284,PR!$I$308,IF($S$335=285,PR!$I$315,IF($S$335=286,PR!$I$316,IF($S$335=287,PR!$I$317,IF($S$335=288,PR!$I$318,IF($S$335=289,PR!$I$319,IF($S$335=290,PR!$I$320,IF($S$335=291,PR!$I$321,IF($S$335=292,PR!$I$322,IF($S$335=293,PR!$I$323,IF($S$335=294,PR!$I$324,IF($S$335=295,PR!$I$325,IF($S$335=296,PR!$I$326,IF($S$335=297,PR!$I$327,IF($S$335=298,PR!$I$328,IF($S$335=299,PR!$I$329,IF($S$335=300,PR!$I$330,"-"))))))))))))))))))))))))))))))))))))))))))))))))))))))))))))</f>
        <v>0</v>
      </c>
      <c r="H339" s="570">
        <f>IF($S$335=241,PR!$J$265,IF($S$335=242,PR!$J$266,IF($S$335=243,PR!$J$267,IF($S$335=244,PR!$J$268,IF($S$335=245,PR!$J$269,IF($S$335=246,PR!$J$270,IF($S$335=247,PR!$J$271,IF($S$335=248,PR!$J$272,IF($S$335=249,PR!$J$273,IF($S$335=250,PR!$J$274,IF($S$335=251,PR!$J$275,IF($S$335=252,PR!$J$276,IF($S$335=253,PR!$J$277,IF($S$335=254,PR!$J$278,IF($S$335=255,PR!$J$279,IF($S$335=256,PR!$J$280,IF($S$335=257,PR!$J$281,IF($S$335=258,PR!$J$282,IF($S$335=259,PR!$J$283,IF($S$335=260,PR!$J$284,IF($S$335=261,PR!$J$285,IF($S$335=262,PR!$J$286,IF($S$335=263,PR!$J$287,IF($S$335=264,PR!$J$288,IF($S$335=265,PR!$J$289,IF($S$335=266,PR!$J$290,IF($S$335=267,PR!$J$291,IF($S$335=268,PR!$J$292,IF($S$335=269,PR!$J$293,IF($S$335=270,PR!$J$294,IF($S$335=271,PR!$J$295,IF($S$335=272,PR!$J$296,IF($S$335=273,PR!$J$297,IF($S$335=274,PR!$J$298,IF($S$335=275,PR!$J$299,IF($S$335=276,PR!$J$300,IF($S$335=277,PR!$J$301,IF($S$335=278,PR!$J$302,IF($S$335=279,PR!$J$303,IF($S$335=280,PR!$J$304,IF($S$335=281,PR!$J$305,IF($S$335=282,PR!$J$306,IF($S$335=283,PR!$J$307,IF($S$335=284,PR!$J$308,IF($S$335=285,PR!$J$315,IF($S$335=286,PR!$J$316,IF($S$335=287,PR!$J$317,IF($S$335=288,PR!$J$318,IF($S$335=289,PR!$J$319,IF($S$335=290,PR!$J$320,IF($S$335=291,PR!$J$321,IF($S$335=292,PR!$J$322,IF($S$335=293,PR!$J$323,IF($S$335=294,PR!$J$324,IF($S$335=295,PR!$J$325,IF($S$335=296,PR!$J$326,IF($S$335=297,PR!$J$327,IF($S$335=298,PR!$J$328,IF($S$335=299,PR!$J$329,IF($S$335=300,PR!$J$330,"-"))))))))))))))))))))))))))))))))))))))))))))))))))))))))))))</f>
        <v>0</v>
      </c>
      <c r="I339" s="570">
        <f>IF($S$335=241,PR!$K$265,IF($S$335=242,PR!$K$266,IF($S$335=243,PR!$K$267,IF($S$335=244,PR!$K$268,IF($S$335=245,PR!$K$269,IF($S$335=246,PR!$K$270,IF($S$335=247,PR!$K$271,IF($S$335=248,PR!$K$272,IF($S$335=249,PR!$K$273,IF($S$335=250,PR!$K$274,IF($S$335=251,PR!$K$275,IF($S$335=252,PR!$K$276,IF($S$335=253,PR!$K$277,IF($S$335=254,PR!$K$278,IF($S$335=255,PR!$K$279,IF($S$335=256,PR!$K$280,IF($S$335=257,PR!$K$281,IF($S$335=258,PR!$K$282,IF($S$335=259,PR!$K$283,IF($S$335=260,PR!$K$284,IF($S$335=261,PR!$K$285,IF($S$335=262,PR!$K$286,IF($S$335=263,PR!$K$287,IF($S$335=264,PR!$K$288,IF($S$335=265,PR!$K$289,IF($S$335=266,PR!$K$290,IF($S$335=267,PR!$K$291,IF($S$335=268,PR!$K$292,IF($S$335=269,PR!$K$293,IF($S$335=270,PR!$K$294,IF($S$335=271,PR!$K$295,IF($S$335=272,PR!$K$296,IF($S$335=273,PR!$K$297,IF($S$335=274,PR!$K$298,IF($S$335=275,PR!$K$299,IF($S$335=276,PR!$K$300,IF($S$335=277,PR!$K$301,IF($S$335=278,PR!$K$302,IF($S$335=279,PR!$K$303,IF($S$335=280,PR!$K$304,IF($S$335=281,PR!$K$305,IF($S$335=282,PR!$K$306,IF($S$335=283,PR!$K$307,IF($S$335=284,PR!$K$308,IF($S$335=285,PR!$K$315,IF($S$335=286,PR!$K$316,IF($S$335=287,PR!$K$317,IF($S$335=288,PR!$K$318,IF($S$335=289,PR!$K$319,IF($S$335=290,PR!$K$320,IF($S$335=291,PR!$K$321,IF($S$335=292,PR!$K$322,IF($S$335=293,PR!$K$323,IF($S$335=294,PR!$K$324,IF($S$335=295,PR!$K$325,IF($S$335=296,PR!$K$326,IF($S$335=297,PR!$K$327,IF($S$335=298,PR!$K$328,IF($S$335=299,PR!$K$329,IF($S$335=300,PR!$K$330,"-"))))))))))))))))))))))))))))))))))))))))))))))))))))))))))))</f>
        <v>0</v>
      </c>
      <c r="J339" s="570">
        <f>IF($S$335=241,PR!$L$265,IF($S$335=242,PR!$L$266,IF($S$335=243,PR!$L$267,IF($S$335=244,PR!$L$268,IF($S$335=245,PR!$L$269,IF($S$335=246,PR!$L$270,IF($S$335=247,PR!$L$271,IF($S$335=248,PR!$L$272,IF($S$335=249,PR!$L$273,IF($S$335=250,PR!$L$274,IF($S$335=251,PR!$L$275,IF($S$335=252,PR!$L$276,IF($S$335=253,PR!$L$277,IF($S$335=254,PR!$L$278,IF($S$335=255,PR!$L$279,IF($S$335=256,PR!$L$280,IF($S$335=257,PR!$L$281,IF($S$335=258,PR!$L$282,IF($S$335=259,PR!$L$283,IF($S$335=260,PR!$L$284,IF($S$335=261,PR!$L$285,IF($S$335=262,PR!$L$286,IF($S$335=263,PR!$L$287,IF($S$335=264,PR!$L$288,IF($S$335=265,PR!$L$289,IF($S$335=266,PR!$L$290,IF($S$335=267,PR!$L$291,IF($S$335=268,PR!$L$292,IF($S$335=269,PR!$L$293,IF($S$335=270,PR!$L$294,IF($S$335=271,PR!$L$295,IF($S$335=272,PR!$L$296,IF($S$335=273,PR!$L$297,IF($S$335=274,PR!$L$298,IF($S$335=275,PR!$L$299,IF($S$335=276,PR!$L$300,IF($S$335=277,PR!$L$301,IF($S$335=278,PR!$L$302,IF($S$335=279,PR!$L$303,IF($S$335=280,PR!$L$304,IF($S$335=281,PR!$L$305,IF($S$335=282,PR!$L$306,IF($S$335=283,PR!$L$307,IF($S$335=284,PR!$L$308,IF($S$335=285,PR!$L$315,IF($S$335=286,PR!$L$316,IF($S$335=287,PR!$L$317,IF($S$335=288,PR!$L$318,IF($S$335=289,PR!$L$319,IF($S$335=290,PR!$L$320,IF($S$335=291,PR!$L$321,IF($S$335=292,PR!$L$322,IF($S$335=293,PR!$L$323,IF($S$335=294,PR!$L$324,IF($S$335=295,PR!$L$325,IF($S$335=296,PR!$L$326,IF($S$335=297,PR!$L$327,IF($S$335=298,PR!$L$328,IF($S$335=299,PR!$L$329,IF($S$335=300,PR!$L$330,"-"))))))))))))))))))))))))))))))))))))))))))))))))))))))))))))</f>
        <v>0</v>
      </c>
      <c r="K339" s="570">
        <f>IF($S$335=241,PR!$M$265,IF($S$335=242,PR!$M$266,IF($S$335=243,PR!$M$267,IF($S$335=244,PR!$M$268,IF($S$335=245,PR!$M$269,IF($S$335=246,PR!$M$270,IF($S$335=247,PR!$M$271,IF($S$335=248,PR!$M$272,IF($S$335=249,PR!$M$273,IF($S$335=250,PR!$M$274,IF($S$335=251,PR!$M$275,IF($S$335=252,PR!$M$276,IF($S$335=253,PR!$M$277,IF($S$335=254,PR!$M$278,IF($S$335=255,PR!$M$279,IF($S$335=256,PR!$M$280,IF($S$335=257,PR!$M$281,IF($S$335=258,PR!$M$282,IF($S$335=259,PR!$M$283,IF($S$335=260,PR!$M$284,IF($S$335=261,PR!$M$285,IF($S$335=262,PR!$M$286,IF($S$335=263,PR!$M$287,IF($S$335=264,PR!$M$288,IF($S$335=265,PR!$M$289,IF($S$335=266,PR!$M$290,IF($S$335=267,PR!$M$291,IF($S$335=268,PR!$M$292,IF($S$335=269,PR!$M$293,IF($S$335=270,PR!$M$294,IF($S$335=271,PR!$M$295,IF($S$335=272,PR!$M$296,IF($S$335=273,PR!$M$297,IF($S$335=274,PR!$M$298,IF($S$335=275,PR!$M$299,IF($S$335=276,PR!$M$300,IF($S$335=277,PR!$M$301,IF($S$335=278,PR!$M$302,IF($S$335=279,PR!$M$303,IF($S$335=280,PR!$M$304,IF($S$335=281,PR!$M$305,IF($S$335=282,PR!$M$306,IF($S$335=283,PR!$M$307,IF($S$335=284,PR!$M$308,IF($S$335=285,PR!$M$315,IF($S$335=286,PR!$M$316,IF($S$335=287,PR!$M$317,IF($S$335=288,PR!$M$318,IF($S$335=289,PR!$M$319,IF($S$335=290,PR!$M$320,IF($S$335=291,PR!$M$321,IF($S$335=292,PR!$M$322,IF($S$335=293,PR!$M$323,IF($S$335=294,PR!$M$324,IF($S$335=295,PR!$M$325,IF($S$335=296,PR!$M$326,IF($S$335=297,PR!$M$327,IF($S$335=298,PR!$M$328,IF($S$335=299,PR!$M$329,IF($S$335=300,PR!$M$330,"-"))))))))))))))))))))))))))))))))))))))))))))))))))))))))))))</f>
        <v>0</v>
      </c>
      <c r="L339" s="570">
        <f>IF($S$335=241,PR!$N$265,IF($S$335=242,PR!$N$266,IF($S$335=243,PR!$N$267,IF($S$335=244,PR!$N$268,IF($S$335=245,PR!$N$269,IF($S$335=246,PR!$N$270,IF($S$335=247,PR!$N$271,IF($S$335=248,PR!$N$272,IF($S$335=249,PR!$N$273,IF($S$335=250,PR!$N$274,IF($S$335=251,PR!$N$275,IF($S$335=252,PR!$N$276,IF($S$335=253,PR!$N$277,IF($S$335=254,PR!$N$278,IF($S$335=255,PR!$N$279,IF($S$335=256,PR!$N$280,IF($S$335=257,PR!$N$281,IF($S$335=258,PR!$N$282,IF($S$335=259,PR!$N$283,IF($S$335=260,PR!$N$284,IF($S$335=261,PR!$N$285,IF($S$335=262,PR!$N$286,IF($S$335=263,PR!$N$287,IF($S$335=264,PR!$N$288,IF($S$335=265,PR!$N$289,IF($S$335=266,PR!$N$290,IF($S$335=267,PR!$N$291,IF($S$335=268,PR!$N$292,IF($S$335=269,PR!$N$293,IF($S$335=270,PR!$N$294,IF($S$335=271,PR!$N$295,IF($S$335=272,PR!$N$296,IF($S$335=273,PR!$N$297,IF($S$335=274,PR!$N$298,IF($S$335=275,PR!$N$299,IF($S$335=276,PR!$N$300,IF($S$335=277,PR!$N$301,IF($S$335=278,PR!$N$302,IF($S$335=279,PR!$N$303,IF($S$335=280,PR!$N$304,IF($S$335=281,PR!$N$305,IF($S$335=282,PR!$N$306,IF($S$335=283,PR!$N$307,IF($S$335=284,PR!$N$308,IF($S$335=285,PR!$N$315,IF($S$335=286,PR!$N$316,IF($S$335=287,PR!$N$317,IF($S$335=288,PR!$N$318,IF($S$335=289,PR!$N$319,IF($S$335=290,PR!$N$320,IF($S$335=291,PR!$N$321,IF($S$335=292,PR!$N$322,IF($S$335=293,PR!$N$323,IF($S$335=294,PR!$N$324,IF($S$335=295,PR!$N$325,IF($S$335=296,PR!$N$326,IF($S$335=297,PR!$N$327,IF($S$335=298,PR!$N$328,IF($S$335=299,PR!$N$329,IF($S$335=300,PR!$N$330,"-"))))))))))))))))))))))))))))))))))))))))))))))))))))))))))))</f>
        <v>0</v>
      </c>
      <c r="M339" s="570">
        <f>IF($S$335=241,PR!$O$265,IF($S$335=242,PR!$O$266,IF($S$335=243,PR!$O$267,IF($S$335=244,PR!$O$268,IF($S$335=245,PR!$O$269,IF($S$335=246,PR!$O$270,IF($S$335=247,PR!$O$271,IF($S$335=248,PR!$O$272,IF($S$335=249,PR!$O$273,IF($S$335=250,PR!$O$274,IF($S$335=251,PR!$O$275,IF($S$335=252,PR!$O$276,IF($S$335=253,PR!$O$277,IF($S$335=254,PR!$O$278,IF($S$335=255,PR!$O$279,IF($S$335=256,PR!$O$280,IF($S$335=257,PR!$O$281,IF($S$335=258,PR!$O$282,IF($S$335=259,PR!$O$283,IF($S$335=260,PR!$O$284,IF($S$335=261,PR!$O$285,IF($S$335=262,PR!$O$286,IF($S$335=263,PR!$O$287,IF($S$335=264,PR!$O$288,IF($S$335=265,PR!$O$289,IF($S$335=266,PR!$O$290,IF($S$335=267,PR!$O$291,IF($S$335=268,PR!$O$292,IF($S$335=269,PR!$O$293,IF($S$335=270,PR!$O$294,IF($S$335=271,PR!$O$295,IF($S$335=272,PR!$O$296,IF($S$335=273,PR!$O$297,IF($S$335=274,PR!$O$298,IF($S$335=275,PR!$O$299,IF($S$335=276,PR!$O$300,IF($S$335=277,PR!$O$301,IF($S$335=278,PR!$O$302,IF($S$335=279,PR!$O$303,IF($S$335=280,PR!$O$304,IF($S$335=281,PR!$O$305,IF($S$335=282,PR!$O$306,IF($S$335=283,PR!$O$307,IF($S$335=284,PR!$O$308,IF($S$335=285,PR!$O$315,IF($S$335=286,PR!$O$316,IF($S$335=287,PR!$O$317,IF($S$335=288,PR!$O$318,IF($S$335=289,PR!$O$319,IF($S$335=290,PR!$O$320,IF($S$335=291,PR!$O$321,IF($S$335=292,PR!$O$322,IF($S$335=293,PR!$O$323,IF($S$335=294,PR!$O$324,IF($S$335=295,PR!$O$325,IF($S$335=296,PR!$O$326,IF($S$335=297,PR!$O$327,IF($S$335=298,PR!$O$328,IF($S$335=299,PR!$O$329,IF($S$335=300,PR!$O$330,"-"))))))))))))))))))))))))))))))))))))))))))))))))))))))))))))</f>
        <v>0</v>
      </c>
      <c r="N339" s="570">
        <f>IF($S$335=241,PR!$P$265,IF($S$335=242,PR!$P$266,IF($S$335=243,PR!$P$267,IF($S$335=244,PR!$P$268,IF($S$335=245,PR!$P$269,IF($S$335=246,PR!$P$270,IF($S$335=247,PR!$P$271,IF($S$335=248,PR!$P$272,IF($S$335=249,PR!$P$273,IF($S$335=250,PR!$P$274,IF($S$335=251,PR!$P$275,IF($S$335=252,PR!$P$276,IF($S$335=253,PR!$P$277,IF($S$335=254,PR!$P$278,IF($S$335=255,PR!$P$279,IF($S$335=256,PR!$P$280,IF($S$335=257,PR!$P$281,IF($S$335=258,PR!$P$282,IF($S$335=259,PR!$P$283,IF($S$335=260,PR!$P$284,IF($S$335=261,PR!$P$285,IF($S$335=262,PR!$P$286,IF($S$335=263,PR!$P$287,IF($S$335=264,PR!$P$288,IF($S$335=265,PR!$P$289,IF($S$335=266,PR!$P$290,IF($S$335=267,PR!$P$291,IF($S$335=268,PR!$P$292,IF($S$335=269,PR!$P$293,IF($S$335=270,PR!$P$294,IF($S$335=271,PR!$P$295,IF($S$335=272,PR!$P$296,IF($S$335=273,PR!$P$297,IF($S$335=274,PR!$P$298,IF($S$335=275,PR!$P$299,IF($S$335=276,PR!$P$300,IF($S$335=277,PR!$P$301,IF($S$335=278,PR!$P$302,IF($S$335=279,PR!$P$303,IF($S$335=280,PR!$P$304,IF($S$335=281,PR!$P$305,IF($S$335=282,PR!$P$306,IF($S$335=283,PR!$P$307,IF($S$335=284,PR!$P$308,IF($S$335=285,PR!$P$315,IF($S$335=286,PR!$P$316,IF($S$335=287,PR!$P$317,IF($S$335=288,PR!$P$318,IF($S$335=289,PR!$P$319,IF($S$335=290,PR!$P$320,IF($S$335=291,PR!$P$321,IF($S$335=292,PR!$P$322,IF($S$335=293,PR!$P$323,IF($S$335=294,PR!$P$324,IF($S$335=295,PR!$P$325,IF($S$335=296,PR!$P$326,IF($S$335=297,PR!$P$327,IF($S$335=298,PR!$P$328,IF($S$335=299,PR!$P$329,IF($S$335=300,PR!$P$330,"-"))))))))))))))))))))))))))))))))))))))))))))))))))))))))))))</f>
        <v>720</v>
      </c>
      <c r="O339" s="570">
        <f>IF($S$335=241,PR!$Q$265,IF($S$335=242,PR!$Q$266,IF($S$335=243,PR!$Q$267,IF($S$335=244,PR!$Q$268,IF($S$335=245,PR!$Q$269,IF($S$335=246,PR!$Q$270,IF($S$335=247,PR!$Q$271,IF($S$335=248,PR!$Q$272,IF($S$335=249,PR!$Q$273,IF($S$335=250,PR!$Q$274,IF($S$335=251,PR!$Q$275,IF($S$335=252,PR!$Q$276,IF($S$335=253,PR!$Q$277,IF($S$335=254,PR!$Q$278,IF($S$335=255,PR!$Q$279,IF($S$335=256,PR!$Q$280,IF($S$335=257,PR!$Q$281,IF($S$335=258,PR!$Q$282,IF($S$335=259,PR!$Q$283,IF($S$335=260,PR!$Q$284,IF($S$335=261,PR!$Q$285,IF($S$335=262,PR!$Q$286,IF($S$335=263,PR!$Q$287,IF($S$335=264,PR!$Q$288,IF($S$335=265,PR!$Q$289,IF($S$335=266,PR!$Q$290,IF($S$335=267,PR!$Q$291,IF($S$335=268,PR!$Q$292,IF($S$335=269,PR!$Q$293,IF($S$335=270,PR!$Q$294,IF($S$335=271,PR!$Q$295,IF($S$335=272,PR!$Q$296,IF($S$335=273,PR!$Q$297,IF($S$335=274,PR!$Q$298,IF($S$335=275,PR!$Q$299,IF($S$335=276,PR!$Q$300,IF($S$335=277,PR!$Q$301,IF($S$335=278,PR!$Q$302,IF($S$335=279,PR!$Q$303,IF($S$335=280,PR!$Q$304,IF($S$335=281,PR!$Q$305,IF($S$335=282,PR!$Q$306,IF($S$335=283,PR!$Q$307,IF($S$335=284,PR!$Q$308,IF($S$335=285,PR!$Q$315,IF($S$335=286,PR!$Q$316,IF($S$335=287,PR!$Q$317,IF($S$335=288,PR!$Q$318,IF($S$335=289,PR!$Q$319,IF($S$335=290,PR!$Q$320,IF($S$335=291,PR!$Q$321,IF($S$335=292,PR!$Q$322,IF($S$335=293,PR!$Q$323,IF($S$335=294,PR!$Q$324,IF($S$335=295,PR!$Q$325,IF($S$335=296,PR!$Q$326,IF($S$335=297,PR!$Q$327,IF($S$335=298,PR!$Q$328,IF($S$335=299,PR!$Q$329,IF($S$335=300,PR!$Q$330,"-"))))))))))))))))))))))))))))))))))))))))))))))))))))))))))))</f>
        <v>0</v>
      </c>
      <c r="P339" s="570">
        <f>IF($S$335=241,PR!$R$265,IF($S$335=242,PR!$R$266,IF($S$335=243,PR!$R$267,IF($S$335=244,PR!$R$268,IF($S$335=245,PR!$R$269,IF($S$335=246,PR!$R$270,IF($S$335=247,PR!$R$271,IF($S$335=248,PR!$R$272,IF($S$335=249,PR!$R$273,IF($S$335=250,PR!$R$274,IF($S$335=251,PR!$R$275,IF($S$335=252,PR!$R$276,IF($S$335=253,PR!$R$277,IF($S$335=254,PR!$R$278,IF($S$335=255,PR!$R$279,IF($S$335=256,PR!$R$280,IF($S$335=257,PR!$R$281,IF($S$335=258,PR!$R$282,IF($S$335=259,PR!$R$283,IF($S$335=260,PR!$R$284,IF($S$335=261,PR!$R$285,IF($S$335=262,PR!$R$286,IF($S$335=263,PR!$R$287,IF($S$335=264,PR!$R$288,IF($S$335=265,PR!$R$289,IF($S$335=266,PR!$R$290,IF($S$335=267,PR!$R$291,IF($S$335=268,PR!$R$292,IF($S$335=269,PR!$R$293,IF($S$335=270,PR!$R$294,IF($S$335=271,PR!$R$295,IF($S$335=272,PR!$R$296,IF($S$335=273,PR!$R$297,IF($S$335=274,PR!$R$298,IF($S$335=275,PR!$R$299,IF($S$335=276,PR!$R$300,IF($S$335=277,PR!$R$301,IF($S$335=278,PR!$R$302,IF($S$335=279,PR!$R$303,IF($S$335=280,PR!$R$304,IF($S$335=281,PR!$R$305,IF($S$335=282,PR!$R$306,IF($S$335=283,PR!$R$307,IF($S$335=284,PR!$R$308,IF($S$335=285,PR!$R$315,IF($S$335=286,PR!$R$316,IF($S$335=287,PR!$R$317,IF($S$335=288,PR!$R$318,IF($S$335=289,PR!$R$319,IF($S$335=290,PR!$R$320,IF($S$335=291,PR!$R$321,IF($S$335=292,PR!$R$322,IF($S$335=293,PR!$R$323,IF($S$335=294,PR!$R$324,IF($S$335=295,PR!$R$325,IF($S$335=296,PR!$R$326,IF($S$335=297,PR!$R$327,IF($S$335=298,PR!$R$328,IF($S$335=299,PR!$R$329,IF($S$335=300,PR!$R$330,"-"))))))))))))))))))))))))))))))))))))))))))))))))))))))))))))</f>
        <v>258.70949999999999</v>
      </c>
      <c r="Q339" s="570">
        <f>IF($S$335=241,PR!$S$265,IF($S$335=242,PR!$S$266,IF($S$335=243,PR!$S$267,IF($S$335=244,PR!$S$268,IF($S$335=245,PR!$S$269,IF($S$335=246,PR!$S$270,IF($S$335=247,PR!$S$271,IF($S$335=248,PR!$S$272,IF($S$335=249,PR!$S$273,IF($S$335=250,PR!$S$274,IF($S$335=251,PR!$S$275,IF($S$335=252,PR!$S$276,IF($S$335=253,PR!$S$277,IF($S$335=254,PR!$S$278,IF($S$335=255,PR!$S$279,IF($S$335=256,PR!$S$280,IF($S$335=257,PR!$S$281,IF($S$335=258,PR!$S$282,IF($S$335=259,PR!$S$283,IF($S$335=260,PR!$S$284,IF($S$335=261,PR!$S$285,IF($S$335=262,PR!$S$286,IF($S$335=263,PR!$S$287,IF($S$335=264,PR!$S$288,IF($S$335=265,PR!$S$289,IF($S$335=266,PR!$S$290,IF($S$335=267,PR!$S$291,IF($S$335=268,PR!$S$292,IF($S$335=269,PR!$S$293,IF($S$335=270,PR!$S$294,IF($S$335=271,PR!$S$295,IF($S$335=272,PR!$S$296,IF($S$335=273,PR!$S$297,IF($S$335=274,PR!$S$298,IF($S$335=275,PR!$S$299,IF($S$335=276,PR!$S$300,IF($S$335=277,PR!$S$301,IF($S$335=278,PR!$S$302,IF($S$335=279,PR!$S$303,IF($S$335=280,PR!$S$304,IF($S$335=281,PR!$S$305,IF($S$335=282,PR!$S$306,IF($S$335=283,PR!$S$307,IF($S$335=284,PR!$S$308,IF($S$335=285,PR!$S$315,IF($S$335=286,PR!$S$316,IF($S$335=287,PR!$S$317,IF($S$335=288,PR!$S$318,IF($S$335=289,PR!$S$319,IF($S$335=290,PR!$S$320,IF($S$335=291,PR!$S$321,IF($S$335=292,PR!$S$322,IF($S$335=293,PR!$S$323,IF($S$335=294,PR!$S$324,IF($S$335=295,PR!$S$325,IF($S$335=296,PR!$S$326,IF($S$335=297,PR!$S$327,IF($S$335=298,PR!$S$328,IF($S$335=299,PR!$S$329,IF($S$335=300,PR!$S$330,"-"))))))))))))))))))))))))))))))))))))))))))))))))))))))))))))</f>
        <v>0</v>
      </c>
      <c r="R339" s="570">
        <f>IF($S$335=241,PR!$T$265,IF($S$335=242,PR!$T$266,IF($S$335=243,PR!$T$267,IF($S$335=244,PR!$T$268,IF($S$335=245,PR!$T$269,IF($S$335=246,PR!$T$270,IF($S$335=247,PR!$T$271,IF($S$335=248,PR!$T$272,IF($S$335=249,PR!$T$273,IF($S$335=250,PR!$T$274,IF($S$335=251,PR!$T$275,IF($S$335=252,PR!$T$276,IF($S$335=253,PR!$T$277,IF($S$335=254,PR!$T$278,IF($S$335=255,PR!$T$279,IF($S$335=256,PR!$T$280,IF($S$335=257,PR!$T$281,IF($S$335=258,PR!$T$282,IF($S$335=259,PR!$T$283,IF($S$335=260,PR!$T$284,IF($S$335=261,PR!$T$285,IF($S$335=262,PR!$T$286,IF($S$335=263,PR!$T$287,IF($S$335=264,PR!$T$288,IF($S$335=265,PR!$T$289,IF($S$335=266,PR!$T$290,IF($S$335=267,PR!$T$291,IF($S$335=268,PR!$T$292,IF($S$335=269,PR!$T$293,IF($S$335=270,PR!$T$294,IF($S$335=271,PR!$T$295,IF($S$335=272,PR!$T$296,IF($S$335=273,PR!$T$297,IF($S$335=274,PR!$T$298,IF($S$335=275,PR!$T$299,IF($S$335=276,PR!$T$300,IF($S$335=277,PR!$T$301,IF($S$335=278,PR!$T$302,IF($S$335=279,PR!$T$303,IF($S$335=280,PR!$T$304,IF($S$335=281,PR!$T$305,IF($S$335=282,PR!$T$306,IF($S$335=283,PR!$T$307,IF($S$335=284,PR!$T$308,IF($S$335=285,PR!$T$315,IF($S$335=286,PR!$T$316,IF($S$335=287,PR!$T$317,IF($S$335=288,PR!$T$318,IF($S$335=289,PR!$T$319,IF($S$335=290,PR!$T$320,IF($S$335=291,PR!$T$321,IF($S$335=292,PR!$T$322,IF($S$335=293,PR!$T$323,IF($S$335=294,PR!$T$324,IF($S$335=295,PR!$T$325,IF($S$335=296,PR!$T$326,IF($S$335=297,PR!$T$327,IF($S$335=298,PR!$T$328,IF($S$335=299,PR!$T$329,IF($S$335=300,PR!$T$330,"-"))))))))))))))))))))))))))))))))))))))))))))))))))))))))))))</f>
        <v>0</v>
      </c>
      <c r="S339" s="570">
        <f>IF($S$335=241,PR!$U$265,IF($S$335=242,PR!$U$266,IF($S$335=243,PR!$U$267,IF($S$335=244,PR!$U$268,IF($S$335=245,PR!$U$269,IF($S$335=246,PR!$U$270,IF($S$335=247,PR!$U$271,IF($S$335=248,PR!$U$272,IF($S$335=249,PR!$U$273,IF($S$335=250,PR!$U$274,IF($S$335=251,PR!$U$275,IF($S$335=252,PR!$U$276,IF($S$335=253,PR!$U$277,IF($S$335=254,PR!$U$278,IF($S$335=255,PR!$U$279,IF($S$335=256,PR!$U$280,IF($S$335=257,PR!$U$281,IF($S$335=258,PR!$U$282,IF($S$335=259,PR!$U$283,IF($S$335=260,PR!$U$284,IF($S$335=261,PR!$U$285,IF($S$335=262,PR!$U$286,IF($S$335=263,PR!$U$287,IF($S$335=264,PR!$U$288,IF($S$335=265,PR!$U$289,IF($S$335=266,PR!$U$290,IF($S$335=267,PR!$U$291,IF($S$335=268,PR!$U$292,IF($S$335=269,PR!$U$293,IF($S$335=270,PR!$U$294,IF($S$335=271,PR!$U$295,IF($S$335=272,PR!$U$296,IF($S$335=273,PR!$U$297,IF($S$335=274,PR!$U$298,IF($S$335=275,PR!$U$299,IF($S$335=276,PR!$U$300,IF($S$335=277,PR!$U$301,IF($S$335=278,PR!$U$302,IF($S$335=279,PR!$U$303,IF($S$335=280,PR!$U$304,IF($S$335=281,PR!$U$305,IF($S$335=282,PR!$U$306,IF($S$335=283,PR!$U$307,IF($S$335=284,PR!$U$308,IF($S$335=285,PR!$U$315,IF($S$335=286,PR!$U$316,IF($S$335=287,PR!$U$317,IF($S$335=288,PR!$U$318,IF($S$335=289,PR!$U$319,IF($S$335=290,PR!$U$320,IF($S$335=291,PR!$U$321,IF($S$335=292,PR!$U$322,IF($S$335=293,PR!$U$323,IF($S$335=294,PR!$U$324,IF($S$335=295,PR!$U$325,IF($S$335=296,PR!$U$326,IF($S$335=297,PR!$U$327,IF($S$335=298,PR!$U$328,IF($S$335=299,PR!$U$329,IF($S$335=300,PR!$U$330,"-"))))))))))))))))))))))))))))))))))))))))))))))))))))))))))))</f>
        <v>0</v>
      </c>
      <c r="T339" s="552"/>
      <c r="U339" s="518"/>
      <c r="V339" s="32"/>
      <c r="W339" s="32"/>
      <c r="X339" s="32"/>
      <c r="Y339" s="32"/>
    </row>
    <row r="340" spans="1:26" x14ac:dyDescent="0.25">
      <c r="A340" s="91"/>
      <c r="B340" s="552"/>
      <c r="C340" s="571"/>
      <c r="D340" s="572"/>
      <c r="E340" s="572"/>
      <c r="F340" s="572"/>
      <c r="G340" s="572"/>
      <c r="H340" s="572"/>
      <c r="I340" s="572"/>
      <c r="J340" s="572"/>
      <c r="K340" s="572"/>
      <c r="L340" s="572"/>
      <c r="M340" s="572"/>
      <c r="N340" s="572"/>
      <c r="O340" s="572"/>
      <c r="P340" s="572"/>
      <c r="Q340" s="572"/>
      <c r="R340" s="573"/>
      <c r="S340" s="573"/>
      <c r="T340" s="552"/>
      <c r="U340" s="518"/>
      <c r="V340" s="32"/>
      <c r="W340" s="32"/>
      <c r="X340" s="32"/>
      <c r="Y340" s="32"/>
      <c r="Z340" s="32"/>
    </row>
    <row r="341" spans="1:26" ht="15.75" thickBot="1" x14ac:dyDescent="0.3">
      <c r="A341" s="91"/>
      <c r="B341" s="552"/>
      <c r="C341" s="574" t="str">
        <f>N!$C$21</f>
        <v>GENEITH</v>
      </c>
      <c r="D341" s="574" t="str">
        <f>N!$C$22</f>
        <v>GINOS</v>
      </c>
      <c r="E341" s="574" t="str">
        <f>N!$C$23</f>
        <v>GSK</v>
      </c>
      <c r="F341" s="574" t="str">
        <f>N!$C$24</f>
        <v>GLOBORG</v>
      </c>
      <c r="G341" s="574" t="str">
        <f>N!$C$25</f>
        <v>GOODNEWS</v>
      </c>
      <c r="H341" s="574" t="str">
        <f>N!$C$26</f>
        <v>GREENLIFE</v>
      </c>
      <c r="I341" s="574" t="str">
        <f>N!$C$27</f>
        <v>HLINE</v>
      </c>
      <c r="J341" s="574" t="str">
        <f>N!$C$28</f>
        <v>ROTECH</v>
      </c>
      <c r="K341" s="574" t="str">
        <f>N!$C$29</f>
        <v>ISN</v>
      </c>
      <c r="L341" s="574" t="str">
        <f>N!$C$30</f>
        <v>JAWA</v>
      </c>
      <c r="M341" s="574" t="str">
        <f>N!$C$31</f>
        <v>LAYO</v>
      </c>
      <c r="N341" s="574" t="str">
        <f>N!$C$32</f>
        <v>LEADWAY</v>
      </c>
      <c r="O341" s="574" t="str">
        <f>N!$C$33</f>
        <v>LHV</v>
      </c>
      <c r="P341" s="574" t="str">
        <f>N!$C$34</f>
        <v>MANOLA</v>
      </c>
      <c r="Q341" s="574" t="str">
        <f>N!$C$35</f>
        <v>MARCSON</v>
      </c>
      <c r="R341" s="574" t="str">
        <f>N!$C$36</f>
        <v>M&amp;B</v>
      </c>
      <c r="S341" s="574" t="str">
        <f>N!$C$37</f>
        <v>MTRUST</v>
      </c>
      <c r="T341" s="552"/>
      <c r="U341" s="518"/>
      <c r="V341" s="32"/>
      <c r="W341" s="32"/>
      <c r="X341" s="32"/>
      <c r="Y341" s="32"/>
      <c r="Z341" s="32"/>
    </row>
    <row r="342" spans="1:26" ht="15.75" thickBot="1" x14ac:dyDescent="0.3">
      <c r="A342" s="91"/>
      <c r="B342" s="552"/>
      <c r="C342" s="570">
        <f>IF($S$335=241,PR!$V$265,IF($S$335=242,PR!$V$266,IF($S$335=243,PR!$V$267,IF($S$335=244,PR!$V$268,IF($S$335=245,PR!$V$269,IF($S$335=246,PR!$V$270,IF($S$335=247,PR!$V$271,IF($S$335=248,PR!$V$272,IF($S$335=249,PR!$V$273,IF($S$335=250,PR!$V$274,IF($S$335=251,PR!$V$275,IF($S$335=252,PR!$V$276,IF($S$335=253,PR!$V$277,IF($S$335=254,PR!$V$278,IF($S$335=255,PR!$V$279,IF($S$335=256,PR!$V$280,IF($S$335=257,PR!$V$281,IF($S$335=258,PR!$V$282,IF($S$335=259,PR!$V$283,IF($S$335=260,PR!$V$284,IF($S$335=261,PR!$V$285,IF($S$335=262,PR!$V$286,IF($S$335=263,PR!$V$287,IF($S$335=264,PR!$V$288,IF($S$335=265,PR!$V$289,IF($S$335=266,PR!$V$290,IF($S$335=267,PR!$V$291,IF($S$335=268,PR!$V$292,IF($S$335=269,PR!$V$293,IF($S$335=270,PR!$V$294,IF($S$335=271,PR!$V$295,IF($S$335=272,PR!$V$296,IF($S$335=273,PR!$V$297,IF($S$335=274,PR!$V$298,IF($S$335=275,PR!$V$299,IF($S$335=276,PR!$V$300,IF($S$335=277,PR!$V$301,IF($S$335=278,PR!$V$302,IF($S$335=279,PR!$V$303,IF($S$335=280,PR!$V$304,IF($S$335=281,PR!$V$305,IF($S$335=282,PR!$V$306,IF($S$335=283,PR!$V$307,IF($S$335=284,PR!$V$308,IF($S$335=285,PR!$V$315,IF($S$335=286,PR!$V$316,IF($S$335=287,PR!$V$317,IF($S$335=288,PR!$V$318,IF($S$335=289,PR!$V$319,IF($S$335=290,PR!$V$320,IF($S$335=291,PR!$V$321,IF($S$335=292,PR!$V$322,IF($S$335=293,PR!$V$323,IF($S$335=294,PR!$V$324,IF($S$335=295,PR!$V$325,IF($S$335=296,PR!$V$326,IF($S$335=297,PR!$V$327,IF($S$335=298,PR!$V$328,IF($S$335=299,PR!$V$329,IF($S$335=300,PR!$V$330,"-"))))))))))))))))))))))))))))))))))))))))))))))))))))))))))))</f>
        <v>0</v>
      </c>
      <c r="D342" s="570">
        <f>IF($S$335=241,PR!$W$265,IF($S$335=242,PR!$W$266,IF($S$335=243,PR!$W$267,IF($S$335=244,PR!$W$268,IF($S$335=245,PR!$W$269,IF($S$335=246,PR!$W$270,IF($S$335=247,PR!$W$271,IF($S$335=248,PR!$W$272,IF($S$335=249,PR!$W$273,IF($S$335=250,PR!$W$274,IF($S$335=251,PR!$W$275,IF($S$335=252,PR!$W$276,IF($S$335=253,PR!$W$277,IF($S$335=254,PR!$W$278,IF($S$335=255,PR!$W$279,IF($S$335=256,PR!$W$280,IF($S$335=257,PR!$W$281,IF($S$335=258,PR!$W$282,IF($S$335=259,PR!$W$283,IF($S$335=260,PR!$W$284,IF($S$335=261,PR!$W$285,IF($S$335=262,PR!$W$286,IF($S$335=263,PR!$W$287,IF($S$335=264,PR!$W$288,IF($S$335=265,PR!$W$289,IF($S$335=266,PR!$W$290,IF($S$335=267,PR!$W$291,IF($S$335=268,PR!$W$292,IF($S$335=269,PR!$W$293,IF($S$335=270,PR!$W$294,IF($S$335=271,PR!$W$295,IF($S$335=272,PR!$W$296,IF($S$335=273,PR!$W$297,IF($S$335=274,PR!$W$298,IF($S$335=275,PR!$W$299,IF($S$335=276,PR!$W$300,IF($S$335=277,PR!$W$301,IF($S$335=278,PR!$W$302,IF($S$335=279,PR!$W$303,IF($S$335=280,PR!$W$304,IF($S$335=281,PR!$W$305,IF($S$335=282,PR!$W$306,IF($S$335=283,PR!$W$307,IF($S$335=284,PR!$W$308,IF($S$335=285,PR!$W$315,IF($S$335=286,PR!$W$316,IF($S$335=287,PR!$W$317,IF($S$335=288,PR!$W$318,IF($S$335=289,PR!$W$319,IF($S$335=290,PR!$W$320,IF($S$335=291,PR!$W$321,IF($S$335=292,PR!$W$322,IF($S$335=293,PR!$W$323,IF($S$335=294,PR!$W$324,IF($S$335=295,PR!$W$325,IF($S$335=296,PR!$W$326,IF($S$335=297,PR!$W$327,IF($S$335=298,PR!$W$328,IF($S$335=299,PR!$W$329,IF($S$335=300,PR!$W$330,"-"))))))))))))))))))))))))))))))))))))))))))))))))))))))))))))</f>
        <v>0</v>
      </c>
      <c r="E342" s="570">
        <f>IF($S$335=241,PR!$X$265,IF($S$335=242,PR!$X$266,IF($S$335=243,PR!$X$267,IF($S$335=244,PR!$X$268,IF($S$335=245,PR!$X$269,IF($S$335=246,PR!$X$270,IF($S$335=247,PR!$X$271,IF($S$335=248,PR!$X$272,IF($S$335=249,PR!$X$273,IF($S$335=250,PR!$X$274,IF($S$335=251,PR!$X$275,IF($S$335=252,PR!$X$276,IF($S$335=253,PR!$X$277,IF($S$335=254,PR!$X$278,IF($S$335=255,PR!$X$279,IF($S$335=256,PR!$X$280,IF($S$335=257,PR!$X$281,IF($S$335=258,PR!$X$282,IF($S$335=259,PR!$X$283,IF($S$335=260,PR!$X$284,IF($S$335=261,PR!$X$285,IF($S$335=262,PR!$X$286,IF($S$335=263,PR!$X$287,IF($S$335=264,PR!$X$288,IF($S$335=265,PR!$X$289,IF($S$335=266,PR!$X$290,IF($S$335=267,PR!$X$291,IF($S$335=268,PR!$X$292,IF($S$335=269,PR!$X$293,IF($S$335=270,PR!$X$294,IF($S$335=271,PR!$X$295,IF($S$335=272,PR!$X$296,IF($S$335=273,PR!$X$297,IF($S$335=274,PR!$X$298,IF($S$335=275,PR!$X$299,IF($S$335=276,PR!$X$300,IF($S$335=277,PR!$X$301,IF($S$335=278,PR!$X$302,IF($S$335=279,PR!$X$303,IF($S$335=280,PR!$X$304,IF($S$335=281,PR!$X$305,IF($S$335=282,PR!$X$306,IF($S$335=283,PR!$X$307,IF($S$335=284,PR!$X$308,IF($S$335=285,PR!$X$315,IF($S$335=286,PR!$X$316,IF($S$335=287,PR!$X$317,IF($S$335=288,PR!$X$318,IF($S$335=289,PR!$X$319,IF($S$335=290,PR!$X$320,IF($S$335=291,PR!$X$321,IF($S$335=292,PR!$X$322,IF($S$335=293,PR!$X$323,IF($S$335=294,PR!$X$324,IF($S$335=295,PR!$X$325,IF($S$335=296,PR!$X$326,IF($S$335=297,PR!$X$327,IF($S$335=298,PR!$X$328,IF($S$335=299,PR!$X$329,IF($S$335=300,PR!$X$330,"-"))))))))))))))))))))))))))))))))))))))))))))))))))))))))))))</f>
        <v>0</v>
      </c>
      <c r="F342" s="570">
        <f>IF($S$335=241,PR!$Y$265,IF($S$335=242,PR!$Y$266,IF($S$335=243,PR!$Y$267,IF($S$335=244,PR!$Y$268,IF($S$335=245,PR!$Y$269,IF($S$335=246,PR!$Y$270,IF($S$335=247,PR!$Y$271,IF($S$335=248,PR!$Y$272,IF($S$335=249,PR!$Y$273,IF($S$335=250,PR!$Y$274,IF($S$335=251,PR!$Y$275,IF($S$335=252,PR!$Y$276,IF($S$335=253,PR!$Y$277,IF($S$335=254,PR!$Y$278,IF($S$335=255,PR!$Y$279,IF($S$335=256,PR!$Y$280,IF($S$335=257,PR!$Y$281,IF($S$335=258,PR!$Y$282,IF($S$335=259,PR!$Y$283,IF($S$335=260,PR!$Y$284,IF($S$335=261,PR!$Y$285,IF($S$335=262,PR!$Y$286,IF($S$335=263,PR!$Y$287,IF($S$335=264,PR!$Y$288,IF($S$335=265,PR!$Y$289,IF($S$335=266,PR!$Y$290,IF($S$335=267,PR!$Y$291,IF($S$335=268,PR!$Y$292,IF($S$335=269,PR!$Y$293,IF($S$335=270,PR!$Y$294,IF($S$335=271,PR!$Y$295,IF($S$335=272,PR!$Y$296,IF($S$335=273,PR!$Y$297,IF($S$335=274,PR!$Y$298,IF($S$335=275,PR!$Y$299,IF($S$335=276,PR!$Y$300,IF($S$335=277,PR!$Y$301,IF($S$335=278,PR!$Y$302,IF($S$335=279,PR!$Y$303,IF($S$335=280,PR!$Y$304,IF($S$335=281,PR!$Y$305,IF($S$335=282,PR!$Y$306,IF($S$335=283,PR!$Y$307,IF($S$335=284,PR!$Y$308,IF($S$335=285,PR!$Y$315,IF($S$335=286,PR!$Y$316,IF($S$335=287,PR!$Y$317,IF($S$335=288,PR!$Y$318,IF($S$335=289,PR!$Y$319,IF($S$335=290,PR!$Y$320,IF($S$335=291,PR!$Y$321,IF($S$335=292,PR!$Y$322,IF($S$335=293,PR!$Y$323,IF($S$335=294,PR!$Y$324,IF($S$335=295,PR!$Y$325,IF($S$335=296,PR!$Y$326,IF($S$335=297,PR!$Y$327,IF($S$335=298,PR!$Y$328,IF($S$335=299,PR!$Y$329,IF($S$335=300,PR!$Y$330,"-"))))))))))))))))))))))))))))))))))))))))))))))))))))))))))))</f>
        <v>0</v>
      </c>
      <c r="G342" s="570">
        <f>IF($S$335=241,PR!$Z$265,IF($S$335=242,PR!$Z$266,IF($S$335=243,PR!$Z$267,IF($S$335=244,PR!$Z$268,IF($S$335=245,PR!$Z$269,IF($S$335=246,PR!$Z$270,IF($S$335=247,PR!$Z$271,IF($S$335=248,PR!$Z$272,IF($S$335=249,PR!$Z$273,IF($S$335=250,PR!$Z$274,IF($S$335=251,PR!$Z$275,IF($S$335=252,PR!$Z$276,IF($S$335=253,PR!$Z$277,IF($S$335=254,PR!$Z$278,IF($S$335=255,PR!$Z$279,IF($S$335=256,PR!$Z$280,IF($S$335=257,PR!$Z$281,IF($S$335=258,PR!$Z$282,IF($S$335=259,PR!$Z$283,IF($S$335=260,PR!$Z$284,IF($S$335=261,PR!$Z$285,IF($S$335=262,PR!$Z$286,IF($S$335=263,PR!$Z$287,IF($S$335=264,PR!$Z$288,IF($S$335=265,PR!$Z$289,IF($S$335=266,PR!$Z$290,IF($S$335=267,PR!$Z$291,IF($S$335=268,PR!$Z$292,IF($S$335=269,PR!$Z$293,IF($S$335=270,PR!$Z$294,IF($S$335=271,PR!$Z$295,IF($S$335=272,PR!$Z$296,IF($S$335=273,PR!$Z$297,IF($S$335=274,PR!$Z$298,IF($S$335=275,PR!$Z$299,IF($S$335=276,PR!$Z$300,IF($S$335=277,PR!$Z$301,IF($S$335=278,PR!$Z$302,IF($S$335=279,PR!$Z$303,IF($S$335=280,PR!$Z$304,IF($S$335=281,PR!$Z$305,IF($S$335=282,PR!$Z$306,IF($S$335=283,PR!$Z$307,IF($S$335=284,PR!$Z$308,IF($S$335=285,PR!$Z$315,IF($S$335=286,PR!$Z$316,IF($S$335=287,PR!$Z$317,IF($S$335=288,PR!$Z$318,IF($S$335=289,PR!$Z$319,IF($S$335=290,PR!$Z$320,IF($S$335=291,PR!$Z$321,IF($S$335=292,PR!$Z$322,IF($S$335=293,PR!$Z$323,IF($S$335=294,PR!$Z$324,IF($S$335=295,PR!$Z$325,IF($S$335=296,PR!$Z$326,IF($S$335=297,PR!$Z$327,IF($S$335=298,PR!$Z$328,IF($S$335=299,PR!$Z$329,IF($S$335=300,PR!$Z$330,"-"))))))))))))))))))))))))))))))))))))))))))))))))))))))))))))</f>
        <v>0</v>
      </c>
      <c r="H342" s="570">
        <f>IF($S$335=241,PR!$AA$265,IF($S$335=242,PR!$AA$266,IF($S$335=243,PR!$AA$267,IF($S$335=244,PR!$AA$268,IF($S$335=245,PR!$AA$269,IF($S$335=246,PR!$AA$270,IF($S$335=247,PR!$AA$271,IF($S$335=248,PR!$AA$272,IF($S$335=249,PR!$AA$273,IF($S$335=250,PR!$AA$274,IF($S$335=251,PR!$AA$275,IF($S$335=252,PR!$AA$276,IF($S$335=253,PR!$AA$277,IF($S$335=254,PR!$AA$278,IF($S$335=255,PR!$AA$279,IF($S$335=256,PR!$AA$280,IF($S$335=257,PR!$AA$281,IF($S$335=258,PR!$AA$282,IF($S$335=259,PR!$AA$283,IF($S$335=260,PR!$AA$284,IF($S$335=261,PR!$AA$285,IF($S$335=262,PR!$AA$286,IF($S$335=263,PR!$AA$287,IF($S$335=264,PR!$AA$288,IF($S$335=265,PR!$AA$289,IF($S$335=266,PR!$AA$290,IF($S$335=267,PR!$AA$291,IF($S$335=268,PR!$AA$292,IF($S$335=269,PR!$AA$293,IF($S$335=270,PR!$AA$294,IF($S$335=271,PR!$AA$295,IF($S$335=272,PR!$AA$296,IF($S$335=273,PR!$AA$297,IF($S$335=274,PR!$AA$298,IF($S$335=275,PR!$AA$299,IF($S$335=276,PR!$AA$300,IF($S$335=277,PR!$AA$301,IF($S$335=278,PR!$AA$302,IF($S$335=279,PR!$AA$303,IF($S$335=280,PR!$AA$304,IF($S$335=281,PR!$AA$305,IF($S$335=282,PR!$AA$306,IF($S$335=283,PR!$AA$307,IF($S$335=284,PR!$AA$308,IF($S$335=285,PR!$AA$315,IF($S$335=286,PR!$AA$316,IF($S$335=287,PR!$AA$317,IF($S$335=288,PR!$AA$318,IF($S$335=289,PR!$AA$319,IF($S$335=290,PR!$AA$320,IF($S$335=291,PR!$AA$321,IF($S$335=292,PR!$AA$322,IF($S$335=293,PR!$AA$323,IF($S$335=294,PR!$AA$324,IF($S$335=295,PR!$AA$325,IF($S$335=296,PR!$AA$326,IF($S$335=297,PR!$AA$327,IF($S$335=298,PR!$AA$328,IF($S$335=299,PR!$AA$329,IF($S$335=300,PR!$AA$330,"-"))))))))))))))))))))))))))))))))))))))))))))))))))))))))))))</f>
        <v>0</v>
      </c>
      <c r="I342" s="570">
        <f>IF($S$335=241,PR!$AB$265,IF($S$335=242,PR!$AB$266,IF($S$335=243,PR!$AB$267,IF($S$335=244,PR!$AB$268,IF($S$335=245,PR!$AB$269,IF($S$335=246,PR!$AB$270,IF($S$335=247,PR!$AB$271,IF($S$335=248,PR!$AB$272,IF($S$335=249,PR!$AB$273,IF($S$335=250,PR!$AB$274,IF($S$335=251,PR!$AB$275,IF($S$335=252,PR!$AB$276,IF($S$335=253,PR!$AB$277,IF($S$335=254,PR!$AB$278,IF($S$335=255,PR!$AB$279,IF($S$335=256,PR!$AB$280,IF($S$335=257,PR!$AB$281,IF($S$335=258,PR!$AB$282,IF($S$335=259,PR!$AB$283,IF($S$335=260,PR!$AB$284,IF($S$335=261,PR!$AB$285,IF($S$335=262,PR!$AB$286,IF($S$335=263,PR!$AB$287,IF($S$335=264,PR!$AB$288,IF($S$335=265,PR!$AB$289,IF($S$335=266,PR!$AB$290,IF($S$335=267,PR!$AB$291,IF($S$335=268,PR!$AB$292,IF($S$335=269,PR!$AB$293,IF($S$335=270,PR!$AB$294,IF($S$335=271,PR!$AB$295,IF($S$335=272,PR!$AB$296,IF($S$335=273,PR!$AB$297,IF($S$335=274,PR!$AB$298,IF($S$335=275,PR!$AB$299,IF($S$335=276,PR!$AB$300,IF($S$335=277,PR!$AB$301,IF($S$335=278,PR!$AB$302,IF($S$335=279,PR!$AB$303,IF($S$335=280,PR!$AB$304,IF($S$335=281,PR!$AB$305,IF($S$335=282,PR!$AB$306,IF($S$335=283,PR!$AB$307,IF($S$335=284,PR!$AB$308,IF($S$335=285,PR!$AB$315,IF($S$335=286,PR!$AB$316,IF($S$335=287,PR!$AB$317,IF($S$335=288,PR!$AB$318,IF($S$335=289,PR!$AB$319,IF($S$335=290,PR!$AB$320,IF($S$335=291,PR!$AB$321,IF($S$335=292,PR!$AB$322,IF($S$335=293,PR!$AB$323,IF($S$335=294,PR!$AB$324,IF($S$335=295,PR!$AB$325,IF($S$335=296,PR!$AB$326,IF($S$335=297,PR!$AB$327,IF($S$335=298,PR!$AB$328,IF($S$335=299,PR!$AB$329,IF($S$335=300,PR!$AB$330,"-"))))))))))))))))))))))))))))))))))))))))))))))))))))))))))))</f>
        <v>600</v>
      </c>
      <c r="J342" s="570">
        <f>IF($S$335=241,PR!$AC$265,IF($S$335=242,PR!$AC$266,IF($S$335=243,PR!$AC$267,IF($S$335=244,PR!$AC$268,IF($S$335=245,PR!$AC$269,IF($S$335=246,PR!$AC$270,IF($S$335=247,PR!$AC$271,IF($S$335=248,PR!$AC$272,IF($S$335=249,PR!$AC$273,IF($S$335=250,PR!$AC$274,IF($S$335=251,PR!$AC$275,IF($S$335=252,PR!$AC$276,IF($S$335=253,PR!$AC$277,IF($S$335=254,PR!$AC$278,IF($S$335=255,PR!$AC$279,IF($S$335=256,PR!$AC$280,IF($S$335=257,PR!$AC$281,IF($S$335=258,PR!$AC$282,IF($S$335=259,PR!$AC$283,IF($S$335=260,PR!$AC$284,IF($S$335=261,PR!$AC$285,IF($S$335=262,PR!$AC$286,IF($S$335=263,PR!$AC$287,IF($S$335=264,PR!$AC$288,IF($S$335=265,PR!$AC$289,IF($S$335=266,PR!$AC$290,IF($S$335=267,PR!$AC$291,IF($S$335=268,PR!$AC$292,IF($S$335=269,PR!$AC$293,IF($S$335=270,PR!$AC$294,IF($S$335=271,PR!$AC$295,IF($S$335=272,PR!$AC$296,IF($S$335=273,PR!$AC$297,IF($S$335=274,PR!$AC$298,IF($S$335=275,PR!$AC$299,IF($S$335=276,PR!$AC$300,IF($S$335=277,PR!$AC$301,IF($S$335=278,PR!$AC$302,IF($S$335=279,PR!$AC$303,IF($S$335=280,PR!$AC$304,IF($S$335=281,PR!$AC$305,IF($S$335=282,PR!$AC$306,IF($S$335=283,PR!$AC$307,IF($S$335=284,PR!$AC$308,IF($S$335=285,PR!$AC$315,IF($S$335=286,PR!$AC$316,IF($S$335=287,PR!$AC$317,IF($S$335=288,PR!$AC$318,IF($S$335=289,PR!$AC$319,IF($S$335=290,PR!$AC$320,IF($S$335=291,PR!$AC$321,IF($S$335=292,PR!$AC$322,IF($S$335=293,PR!$AC$323,IF($S$335=294,PR!$AC$324,IF($S$335=295,PR!$AC$325,IF($S$335=296,PR!$AC$326,IF($S$335=297,PR!$AC$327,IF($S$335=298,PR!$AC$328,IF($S$335=299,PR!$AC$329,IF($S$335=300,PR!$AC$330,"-"))))))))))))))))))))))))))))))))))))))))))))))))))))))))))))</f>
        <v>0</v>
      </c>
      <c r="K342" s="570">
        <f>IF($S$335=241,PR!$AD$265,IF($S$335=242,PR!$AD$266,IF($S$335=243,PR!$AD$267,IF($S$335=244,PR!$AD$268,IF($S$335=245,PR!$AD$269,IF($S$335=246,PR!$AD$270,IF($S$335=247,PR!$AD$271,IF($S$335=248,PR!$AD$272,IF($S$335=249,PR!$AD$273,IF($S$335=250,PR!$AD$274,IF($S$335=251,PR!$AD$275,IF($S$335=252,PR!$AD$276,IF($S$335=253,PR!$AD$277,IF($S$335=254,PR!$AD$278,IF($S$335=255,PR!$AD$279,IF($S$335=256,PR!$AD$280,IF($S$335=257,PR!$AD$281,IF($S$335=258,PR!$AD$282,IF($S$335=259,PR!$AD$283,IF($S$335=260,PR!$AD$284,IF($S$335=261,PR!$AD$285,IF($S$335=262,PR!$AD$286,IF($S$335=263,PR!$AD$287,IF($S$335=264,PR!$AD$288,IF($S$335=265,PR!$AD$289,IF($S$335=266,PR!$AD$290,IF($S$335=267,PR!$AD$291,IF($S$335=268,PR!$AD$292,IF($S$335=269,PR!$AD$293,IF($S$335=270,PR!$AD$294,IF($S$335=271,PR!$AD$295,IF($S$335=272,PR!$AD$296,IF($S$335=273,PR!$AD$297,IF($S$335=274,PR!$AD$298,IF($S$335=275,PR!$AD$299,IF($S$335=276,PR!$AD$300,IF($S$335=277,PR!$AD$301,IF($S$335=278,PR!$AD$302,IF($S$335=279,PR!$AD$303,IF($S$335=280,PR!$AD$304,IF($S$335=281,PR!$AD$305,IF($S$335=282,PR!$AD$306,IF($S$335=283,PR!$AD$307,IF($S$335=284,PR!$AD$308,IF($S$335=285,PR!$AD$315,IF($S$335=286,PR!$AD$316,IF($S$335=287,PR!$AD$317,IF($S$335=288,PR!$AD$318,IF($S$335=289,PR!$AD$319,IF($S$335=290,PR!$AD$320,IF($S$335=291,PR!$AD$321,IF($S$335=292,PR!$AD$322,IF($S$335=293,PR!$AD$323,IF($S$335=294,PR!$AD$324,IF($S$335=295,PR!$AD$325,IF($S$335=296,PR!$AD$326,IF($S$335=297,PR!$AD$327,IF($S$335=298,PR!$AD$328,IF($S$335=299,PR!$AD$329,IF($S$335=300,PR!$AD$330,"-"))))))))))))))))))))))))))))))))))))))))))))))))))))))))))))</f>
        <v>0</v>
      </c>
      <c r="L342" s="570">
        <f>IF($S$335=241,PR!$AE$265,IF($S$335=242,PR!$AE$266,IF($S$335=243,PR!$AE$267,IF($S$335=244,PR!$AE$268,IF($S$335=245,PR!$AE$269,IF($S$335=246,PR!$AE$270,IF($S$335=247,PR!$AE$271,IF($S$335=248,PR!$AE$272,IF($S$335=249,PR!$AE$273,IF($S$335=250,PR!$AE$274,IF($S$335=251,PR!$AE$275,IF($S$335=252,PR!$AE$276,IF($S$335=253,PR!$AE$277,IF($S$335=254,PR!$AE$278,IF($S$335=255,PR!$AE$279,IF($S$335=256,PR!$AE$280,IF($S$335=257,PR!$AE$281,IF($S$335=258,PR!$AE$282,IF($S$335=259,PR!$AE$283,IF($S$335=260,PR!$AE$284,IF($S$335=261,PR!$AE$285,IF($S$335=262,PR!$AE$286,IF($S$335=263,PR!$AE$287,IF($S$335=264,PR!$AE$288,IF($S$335=265,PR!$AE$289,IF($S$335=266,PR!$AE$290,IF($S$335=267,PR!$AE$291,IF($S$335=268,PR!$AE$292,IF($S$335=269,PR!$AE$293,IF($S$335=270,PR!$AE$294,IF($S$335=271,PR!$AE$295,IF($S$335=272,PR!$AE$296,IF($S$335=273,PR!$AE$297,IF($S$335=274,PR!$AE$298,IF($S$335=275,PR!$AE$299,IF($S$335=276,PR!$AE$300,IF($S$335=277,PR!$AE$301,IF($S$335=278,PR!$AE$302,IF($S$335=279,PR!$AE$303,IF($S$335=280,PR!$AE$304,IF($S$335=281,PR!$AE$305,IF($S$335=282,PR!$AE$306,IF($S$335=283,PR!$AE$307,IF($S$335=284,PR!$AE$308,IF($S$335=285,PR!$AE$315,IF($S$335=286,PR!$AE$316,IF($S$335=287,PR!$AE$317,IF($S$335=288,PR!$AE$318,IF($S$335=289,PR!$AE$319,IF($S$335=290,PR!$AE$320,IF($S$335=291,PR!$AE$321,IF($S$335=292,PR!$AE$322,IF($S$335=293,PR!$AE$323,IF($S$335=294,PR!$AE$324,IF($S$335=295,PR!$AE$325,IF($S$335=296,PR!$AE$326,IF($S$335=297,PR!$AE$327,IF($S$335=298,PR!$AE$328,IF($S$335=299,PR!$AE$329,IF($S$335=300,PR!$AE$330,"-"))))))))))))))))))))))))))))))))))))))))))))))))))))))))))))</f>
        <v>0</v>
      </c>
      <c r="M342" s="570">
        <f>IF($S$335=241,PR!$AF$265,IF($S$335=242,PR!$AF$266,IF($S$335=243,PR!$AF$267,IF($S$335=244,PR!$AF$268,IF($S$335=245,PR!$AF$269,IF($S$335=246,PR!$AF$270,IF($S$335=247,PR!$AF$271,IF($S$335=248,PR!$AF$272,IF($S$335=249,PR!$AF$273,IF($S$335=250,PR!$AF$274,IF($S$335=251,PR!$AF$275,IF($S$335=252,PR!$AF$276,IF($S$335=253,PR!$AF$277,IF($S$335=254,PR!$AF$278,IF($S$335=255,PR!$AF$279,IF($S$335=256,PR!$AF$280,IF($S$335=257,PR!$AF$281,IF($S$335=258,PR!$AF$282,IF($S$335=259,PR!$AF$283,IF($S$335=260,PR!$AF$284,IF($S$335=261,PR!$AF$285,IF($S$335=262,PR!$AF$286,IF($S$335=263,PR!$AF$287,IF($S$335=264,PR!$AF$288,IF($S$335=265,PR!$AF$289,IF($S$335=266,PR!$AF$290,IF($S$335=267,PR!$AF$291,IF($S$335=268,PR!$AF$292,IF($S$335=269,PR!$AF$293,IF($S$335=270,PR!$AF$294,IF($S$335=271,PR!$AF$295,IF($S$335=272,PR!$AF$296,IF($S$335=273,PR!$AF$297,IF($S$335=274,PR!$AF$298,IF($S$335=275,PR!$AF$299,IF($S$335=276,PR!$AF$300,IF($S$335=277,PR!$AF$301,IF($S$335=278,PR!$AF$302,IF($S$335=279,PR!$AF$303,IF($S$335=280,PR!$AF$304,IF($S$335=281,PR!$AF$305,IF($S$335=282,PR!$AF$306,IF($S$335=283,PR!$AF$307,IF($S$335=284,PR!$AF$308,IF($S$335=285,PR!$AF$315,IF($S$335=286,PR!$AF$316,IF($S$335=287,PR!$AF$317,IF($S$335=288,PR!$AF$318,IF($S$335=289,PR!$AF$319,IF($S$335=290,PR!$AF$320,IF($S$335=291,PR!$AF$321,IF($S$335=292,PR!$AF$322,IF($S$335=293,PR!$AF$323,IF($S$335=294,PR!$AF$324,IF($S$335=295,PR!$AF$325,IF($S$335=296,PR!$AF$326,IF($S$335=297,PR!$AF$327,IF($S$335=298,PR!$AF$328,IF($S$335=299,PR!$AF$329,IF($S$335=300,PR!$AF$330,"-"))))))))))))))))))))))))))))))))))))))))))))))))))))))))))))</f>
        <v>0</v>
      </c>
      <c r="N342" s="570">
        <f>IF($S$335=241,PR!$AG$265,IF($S$335=242,PR!$AG$266,IF($S$335=243,PR!$AG$267,IF($S$335=244,PR!$AG$268,IF($S$335=245,PR!$AG$269,IF($S$335=246,PR!$AG$270,IF($S$335=247,PR!$AG$271,IF($S$335=248,PR!$AG$272,IF($S$335=249,PR!$AG$273,IF($S$335=250,PR!$AG$274,IF($S$335=251,PR!$AG$275,IF($S$335=252,PR!$AG$276,IF($S$335=253,PR!$AG$277,IF($S$335=254,PR!$AG$278,IF($S$335=255,PR!$AG$279,IF($S$335=256,PR!$AG$280,IF($S$335=257,PR!$AG$281,IF($S$335=258,PR!$AG$282,IF($S$335=259,PR!$AG$283,IF($S$335=260,PR!$AG$284,IF($S$335=261,PR!$AG$285,IF($S$335=262,PR!$AG$286,IF($S$335=263,PR!$AG$287,IF($S$335=264,PR!$AG$288,IF($S$335=265,PR!$AG$289,IF($S$335=266,PR!$AG$290,IF($S$335=267,PR!$AG$291,IF($S$335=268,PR!$AG$292,IF($S$335=269,PR!$AG$293,IF($S$335=270,PR!$AG$294,IF($S$335=271,PR!$AG$295,IF($S$335=272,PR!$AG$296,IF($S$335=273,PR!$AG$297,IF($S$335=274,PR!$AG$298,IF($S$335=275,PR!$AG$299,IF($S$335=276,PR!$AG$300,IF($S$335=277,PR!$AG$301,IF($S$335=278,PR!$AG$302,IF($S$335=279,PR!$AG$303,IF($S$335=280,PR!$AG$304,IF($S$335=281,PR!$AG$305,IF($S$335=282,PR!$AG$306,IF($S$335=283,PR!$AG$307,IF($S$335=284,PR!$AG$308,IF($S$335=285,PR!$AG$315,IF($S$335=286,PR!$AG$316,IF($S$335=287,PR!$AG$317,IF($S$335=288,PR!$AG$318,IF($S$335=289,PR!$AG$319,IF($S$335=290,PR!$AG$320,IF($S$335=291,PR!$AG$321,IF($S$335=292,PR!$AG$322,IF($S$335=293,PR!$AG$323,IF($S$335=294,PR!$AG$324,IF($S$335=295,PR!$AG$325,IF($S$335=296,PR!$AG$326,IF($S$335=297,PR!$AG$327,IF($S$335=298,PR!$AG$328,IF($S$335=299,PR!$AG$329,IF($S$335=300,PR!$AG$330,"-"))))))))))))))))))))))))))))))))))))))))))))))))))))))))))))</f>
        <v>0</v>
      </c>
      <c r="O342" s="570">
        <f>IF($S$335=241,PR!$AH$265,IF($S$335=242,PR!$AH$266,IF($S$335=243,PR!$AH$267,IF($S$335=244,PR!$AH$268,IF($S$335=245,PR!$AH$269,IF($S$335=246,PR!$AH$270,IF($S$335=247,PR!$AH$271,IF($S$335=248,PR!$AH$272,IF($S$335=249,PR!$AH$273,IF($S$335=250,PR!$AH$274,IF($S$335=251,PR!$AH$275,IF($S$335=252,PR!$AH$276,IF($S$335=253,PR!$AH$277,IF($S$335=254,PR!$AH$278,IF($S$335=255,PR!$AH$279,IF($S$335=256,PR!$AH$280,IF($S$335=257,PR!$AH$281,IF($S$335=258,PR!$AH$282,IF($S$335=259,PR!$AH$283,IF($S$335=260,PR!$AH$284,IF($S$335=261,PR!$AH$285,IF($S$335=262,PR!$AH$286,IF($S$335=263,PR!$AH$287,IF($S$335=264,PR!$AH$288,IF($S$335=265,PR!$AH$289,IF($S$335=266,PR!$AH$290,IF($S$335=267,PR!$AH$291,IF($S$335=268,PR!$AH$292,IF($S$335=269,PR!$AH$293,IF($S$335=270,PR!$AH$294,IF($S$335=271,PR!$AH$295,IF($S$335=272,PR!$AH$296,IF($S$335=273,PR!$AH$297,IF($S$335=274,PR!$AH$298,IF($S$335=275,PR!$AH$299,IF($S$335=276,PR!$AH$300,IF($S$335=277,PR!$AH$301,IF($S$335=278,PR!$AH$302,IF($S$335=279,PR!$AH$303,IF($S$335=280,PR!$AH$304,IF($S$335=281,PR!$AH$305,IF($S$335=282,PR!$AH$306,IF($S$335=283,PR!$AH$307,IF($S$335=284,PR!$AH$308,IF($S$335=285,PR!$AH$315,IF($S$335=286,PR!$AH$316,IF($S$335=287,PR!$AH$317,IF($S$335=288,PR!$AH$318,IF($S$335=289,PR!$AH$319,IF($S$335=290,PR!$AH$320,IF($S$335=291,PR!$AH$321,IF($S$335=292,PR!$AH$322,IF($S$335=293,PR!$AH$323,IF($S$335=294,PR!$AH$324,IF($S$335=295,PR!$AH$325,IF($S$335=296,PR!$AH$326,IF($S$335=297,PR!$AH$327,IF($S$335=298,PR!$AH$328,IF($S$335=299,PR!$AH$329,IF($S$335=300,PR!$AH$330,"-"))))))))))))))))))))))))))))))))))))))))))))))))))))))))))))</f>
        <v>0</v>
      </c>
      <c r="P342" s="570">
        <f>IF($S$335=241,PR!$AI$265,IF($S$335=242,PR!$AI$266,IF($S$335=243,PR!$AI$267,IF($S$335=244,PR!$AI$268,IF($S$335=245,PR!$AI$269,IF($S$335=246,PR!$AI$270,IF($S$335=247,PR!$AI$271,IF($S$335=248,PR!$AI$272,IF($S$335=249,PR!$AI$273,IF($S$335=250,PR!$AI$274,IF($S$335=251,PR!$AI$275,IF($S$335=252,PR!$AI$276,IF($S$335=253,PR!$AI$277,IF($S$335=254,PR!$AI$278,IF($S$335=255,PR!$AI$279,IF($S$335=256,PR!$AI$280,IF($S$335=257,PR!$AI$281,IF($S$335=258,PR!$AI$282,IF($S$335=259,PR!$AI$283,IF($S$335=260,PR!$AI$284,IF($S$335=261,PR!$AI$285,IF($S$335=262,PR!$AI$286,IF($S$335=263,PR!$AI$287,IF($S$335=264,PR!$AI$288,IF($S$335=265,PR!$AI$289,IF($S$335=266,PR!$AI$290,IF($S$335=267,PR!$AI$291,IF($S$335=268,PR!$AI$292,IF($S$335=269,PR!$AI$293,IF($S$335=270,PR!$AI$294,IF($S$335=271,PR!$AI$295,IF($S$335=272,PR!$AI$296,IF($S$335=273,PR!$AI$297,IF($S$335=274,PR!$AI$298,IF($S$335=275,PR!$AI$299,IF($S$335=276,PR!$AI$300,IF($S$335=277,PR!$AI$301,IF($S$335=278,PR!$AI$302,IF($S$335=279,PR!$AI$303,IF($S$335=280,PR!$AI$304,IF($S$335=281,PR!$AI$305,IF($S$335=282,PR!$AI$306,IF($S$335=283,PR!$AI$307,IF($S$335=284,PR!$AI$308,IF($S$335=285,PR!$AI$315,IF($S$335=286,PR!$AI$316,IF($S$335=287,PR!$AI$317,IF($S$335=288,PR!$AI$318,IF($S$335=289,PR!$AI$319,IF($S$335=290,PR!$AI$320,IF($S$335=291,PR!$AI$321,IF($S$335=292,PR!$AI$322,IF($S$335=293,PR!$AI$323,IF($S$335=294,PR!$AI$324,IF($S$335=295,PR!$AI$325,IF($S$335=296,PR!$AI$326,IF($S$335=297,PR!$AI$327,IF($S$335=298,PR!$AI$328,IF($S$335=299,PR!$AI$329,IF($S$335=300,PR!$AI$330,"-"))))))))))))))))))))))))))))))))))))))))))))))))))))))))))))</f>
        <v>0</v>
      </c>
      <c r="Q342" s="570">
        <f>IF($S$335=241,PR!$AJ$265,IF($S$335=242,PR!$AJ$266,IF($S$335=243,PR!$AJ$267,IF($S$335=244,PR!$AJ$268,IF($S$335=245,PR!$AJ$269,IF($S$335=246,PR!$AJ$270,IF($S$335=247,PR!$AJ$271,IF($S$335=248,PR!$AJ$272,IF($S$335=249,PR!$AJ$273,IF($S$335=250,PR!$AJ$274,IF($S$335=251,PR!$AJ$275,IF($S$335=252,PR!$AJ$276,IF($S$335=253,PR!$AJ$277,IF($S$335=254,PR!$AJ$278,IF($S$335=255,PR!$AJ$279,IF($S$335=256,PR!$AJ$280,IF($S$335=257,PR!$AJ$281,IF($S$335=258,PR!$AJ$282,IF($S$335=259,PR!$AJ$283,IF($S$335=260,PR!$AJ$284,IF($S$335=261,PR!$AJ$285,IF($S$335=262,PR!$AJ$286,IF($S$335=263,PR!$AJ$287,IF($S$335=264,PR!$AJ$288,IF($S$335=265,PR!$AJ$289,IF($S$335=266,PR!$AJ$290,IF($S$335=267,PR!$AJ$291,IF($S$335=268,PR!$AJ$292,IF($S$335=269,PR!$AJ$293,IF($S$335=270,PR!$AJ$294,IF($S$335=271,PR!$AJ$295,IF($S$335=272,PR!$AJ$296,IF($S$335=273,PR!$AJ$297,IF($S$335=274,PR!$AJ$298,IF($S$335=275,PR!$AJ$299,IF($S$335=276,PR!$AJ$300,IF($S$335=277,PR!$AJ$301,IF($S$335=278,PR!$AJ$302,IF($S$335=279,PR!$AJ$303,IF($S$335=280,PR!$AJ$304,IF($S$335=281,PR!$AJ$305,IF($S$335=282,PR!$AJ$306,IF($S$335=283,PR!$AJ$307,IF($S$335=284,PR!$AJ$308,IF($S$335=285,PR!$AJ$315,IF($S$335=286,PR!$AJ$316,IF($S$335=287,PR!$AJ$317,IF($S$335=288,PR!$AJ$318,IF($S$335=289,PR!$AJ$319,IF($S$335=290,PR!$AJ$320,IF($S$335=291,PR!$AJ$321,IF($S$335=292,PR!$AJ$322,IF($S$335=293,PR!$AJ$323,IF($S$335=294,PR!$AJ$324,IF($S$335=295,PR!$AJ$325,IF($S$335=296,PR!$AJ$326,IF($S$335=297,PR!$AJ$327,IF($S$335=298,PR!$AJ$328,IF($S$335=299,PR!$AJ$329,IF($S$335=300,PR!$AJ$330,"-"))))))))))))))))))))))))))))))))))))))))))))))))))))))))))))</f>
        <v>0</v>
      </c>
      <c r="R342" s="570">
        <f>IF($S$335=241,PR!$AK$265,IF($S$335=242,PR!$AK$266,IF($S$335=243,PR!$AK$267,IF($S$335=244,PR!$AK$268,IF($S$335=245,PR!$AK$269,IF($S$335=246,PR!$AK$270,IF($S$335=247,PR!$AK$271,IF($S$335=248,PR!$AK$272,IF($S$335=249,PR!$AK$273,IF($S$335=250,PR!$AK$274,IF($S$335=251,PR!$AK$275,IF($S$335=252,PR!$AK$276,IF($S$335=253,PR!$AK$277,IF($S$335=254,PR!$AK$278,IF($S$335=255,PR!$AK$279,IF($S$335=256,PR!$AK$280,IF($S$335=257,PR!$AK$281,IF($S$335=258,PR!$AK$282,IF($S$335=259,PR!$AK$283,IF($S$335=260,PR!$AK$284,IF($S$335=261,PR!$AK$285,IF($S$335=262,PR!$AK$286,IF($S$335=263,PR!$AK$287,IF($S$335=264,PR!$AK$288,IF($S$335=265,PR!$AK$289,IF($S$335=266,PR!$AK$290,IF($S$335=267,PR!$AK$291,IF($S$335=268,PR!$AK$292,IF($S$335=269,PR!$AK$293,IF($S$335=270,PR!$AK$294,IF($S$335=271,PR!$AK$295,IF($S$335=272,PR!$AK$296,IF($S$335=273,PR!$AK$297,IF($S$335=274,PR!$AK$298,IF($S$335=275,PR!$AK$299,IF($S$335=276,PR!$AK$300,IF($S$335=277,PR!$AK$301,IF($S$335=278,PR!$AK$302,IF($S$335=279,PR!$AK$303,IF($S$335=280,PR!$AK$304,IF($S$335=281,PR!$AK$305,IF($S$335=282,PR!$AK$306,IF($S$335=283,PR!$AK$307,IF($S$335=284,PR!$AK$308,IF($S$335=285,PR!$AK$315,IF($S$335=286,PR!$AK$316,IF($S$335=287,PR!$AK$317,IF($S$335=288,PR!$AK$318,IF($S$335=289,PR!$AK$319,IF($S$335=290,PR!$AK$320,IF($S$335=291,PR!$AK$321,IF($S$335=292,PR!$AK$322,IF($S$335=293,PR!$AK$323,IF($S$335=294,PR!$AK$324,IF($S$335=295,PR!$AK$325,IF($S$335=296,PR!$AK$326,IF($S$335=297,PR!$AK$327,IF($S$335=298,PR!$AK$328,IF($S$335=299,PR!$AK$329,IF($S$335=300,PR!$AK$330,"-"))))))))))))))))))))))))))))))))))))))))))))))))))))))))))))</f>
        <v>0</v>
      </c>
      <c r="S342" s="570">
        <f>IF($S$335=241,PR!$AM$265,IF($S$335=242,PR!$AM$266,IF($S$335=243,PR!$AM$267,IF($S$335=244,PR!$AM$268,IF($S$335=245,PR!$AM$269,IF($S$335=246,PR!$AM$270,IF($S$335=247,PR!$AM$271,IF($S$335=248,PR!$AM$272,IF($S$335=249,PR!$AM$273,IF($S$335=250,PR!$AM$274,IF($S$335=251,PR!$AM$275,IF($S$335=252,PR!$AM$276,IF($S$335=253,PR!$AM$277,IF($S$335=254,PR!$AM$278,IF($S$335=255,PR!$AM$279,IF($S$335=256,PR!$AM$280,IF($S$335=257,PR!$AM$281,IF($S$335=258,PR!$AM$282,IF($S$335=259,PR!$AM$283,IF($S$335=260,PR!$AM$284,IF($S$335=261,PR!$AM$285,IF($S$335=262,PR!$AM$286,IF($S$335=263,PR!$AM$287,IF($S$335=264,PR!$AM$288,IF($S$335=265,PR!$AM$289,IF($S$335=266,PR!$AM$290,IF($S$335=267,PR!$AM$291,IF($S$335=268,PR!$AM$292,IF($S$335=269,PR!$AM$293,IF($S$335=270,PR!$AM$294,IF($S$335=271,PR!$AM$295,IF($S$335=272,PR!$AM$296,IF($S$335=273,PR!$AM$297,IF($S$335=274,PR!$AM$298,IF($S$335=275,PR!$AM$299,IF($S$335=276,PR!$AM$300,IF($S$335=277,PR!$AM$301,IF($S$335=278,PR!$AM$302,IF($S$335=279,PR!$AM$303,IF($S$335=280,PR!$AM$304,IF($S$335=281,PR!$AM$305,IF($S$335=282,PR!$AM$306,IF($S$335=283,PR!$AM$307,IF($S$335=284,PR!$AM$308,IF($S$335=285,PR!$AM$315,IF($S$335=286,PR!$AM$316,IF($S$335=287,PR!$AM$317,IF($S$335=288,PR!$AM$318,IF($S$335=289,PR!$AM$319,IF($S$335=290,PR!$AM$320,IF($S$335=291,PR!$AM$321,IF($S$335=292,PR!$AM$322,IF($S$335=293,PR!$AM$323,IF($S$335=294,PR!$AM$324,IF($S$335=295,PR!$AM$325,IF($S$335=296,PR!$AM$326,IF($S$335=297,PR!$AM$327,IF($S$335=298,PR!$AM$328,IF($S$335=299,PR!$AM$329,IF($S$335=300,PR!$AM$330,"-"))))))))))))))))))))))))))))))))))))))))))))))))))))))))))))</f>
        <v>0</v>
      </c>
      <c r="T342" s="552"/>
      <c r="U342" s="518"/>
      <c r="V342" s="32"/>
      <c r="W342" s="32"/>
      <c r="X342" s="32"/>
      <c r="Y342" s="32"/>
      <c r="Z342" s="32"/>
    </row>
    <row r="343" spans="1:26" ht="15.75" x14ac:dyDescent="0.25">
      <c r="A343" s="91"/>
      <c r="B343" s="552"/>
      <c r="C343" s="571"/>
      <c r="D343" s="572"/>
      <c r="E343" s="572"/>
      <c r="F343" s="572"/>
      <c r="G343" s="572"/>
      <c r="H343" s="572"/>
      <c r="I343" s="572"/>
      <c r="J343" s="572"/>
      <c r="K343" s="572"/>
      <c r="L343" s="572"/>
      <c r="M343" s="572"/>
      <c r="N343" s="572"/>
      <c r="O343" s="572"/>
      <c r="P343" s="572"/>
      <c r="Q343" s="572"/>
      <c r="R343" s="575"/>
      <c r="S343" s="575"/>
      <c r="T343" s="552"/>
      <c r="U343" s="518"/>
      <c r="V343" s="32"/>
      <c r="W343" s="32"/>
      <c r="X343" s="32"/>
      <c r="Y343" s="32"/>
      <c r="Z343" s="32"/>
    </row>
    <row r="344" spans="1:26" ht="15.75" thickBot="1" x14ac:dyDescent="0.3">
      <c r="A344" s="91"/>
      <c r="B344" s="552"/>
      <c r="C344" s="574" t="str">
        <f>N!$C$38</f>
        <v>MWORLD</v>
      </c>
      <c r="D344" s="574" t="str">
        <f>N!$C$39</f>
        <v>MEGA</v>
      </c>
      <c r="E344" s="574" t="str">
        <f>N!$C$40</f>
        <v>MICRONOVA</v>
      </c>
      <c r="F344" s="574" t="str">
        <f>N!$C$41</f>
        <v>MFLASH</v>
      </c>
      <c r="G344" s="574" t="str">
        <f>N!$C$42</f>
        <v>MORISON</v>
      </c>
      <c r="H344" s="574" t="str">
        <f>N!$C$43</f>
        <v>NEMEL</v>
      </c>
      <c r="I344" s="574" t="str">
        <f>N!$C$44</f>
        <v>NHP</v>
      </c>
      <c r="J344" s="574" t="str">
        <f>N!$C$45</f>
        <v>NHC</v>
      </c>
      <c r="K344" s="574" t="str">
        <f>N!$C$46</f>
        <v>OLEAF</v>
      </c>
      <c r="L344" s="574" t="str">
        <f>N!$C$47</f>
        <v>OCULUS</v>
      </c>
      <c r="M344" s="574" t="str">
        <f>N!$C$48</f>
        <v>PACIFIC</v>
      </c>
      <c r="N344" s="574" t="str">
        <f>N!$C$49</f>
        <v>PHAMATEX</v>
      </c>
      <c r="O344" s="574" t="str">
        <f>N!$C$50</f>
        <v>PETHICS</v>
      </c>
      <c r="P344" s="574" t="str">
        <f>N!$C$51</f>
        <v>PHILIPS</v>
      </c>
      <c r="Q344" s="574" t="str">
        <f>N!$C$52</f>
        <v>RANBAXY</v>
      </c>
      <c r="R344" s="574" t="str">
        <f>N!$C$53</f>
        <v>REALS</v>
      </c>
      <c r="S344" s="574" t="str">
        <f>N!$C$54</f>
        <v>ROYAL</v>
      </c>
      <c r="T344" s="552"/>
      <c r="U344" s="518"/>
      <c r="V344" s="32"/>
      <c r="W344" s="32"/>
      <c r="X344" s="32"/>
      <c r="Y344" s="32"/>
      <c r="Z344" s="32"/>
    </row>
    <row r="345" spans="1:26" ht="15.75" thickBot="1" x14ac:dyDescent="0.3">
      <c r="A345" s="91"/>
      <c r="B345" s="552"/>
      <c r="C345" s="570">
        <f>IF($S$335=241,PR!$AN$265,IF($S$335=242,PR!$AN$266,IF($S$335=243,PR!$AN$267,IF($S$335=244,PR!$AN$268,IF($S$335=245,PR!$AN$269,IF($S$335=246,PR!$AN$270,IF($S$335=247,PR!$AN$271,IF($S$335=248,PR!$AN$272,IF($S$335=249,PR!$AN$273,IF($S$335=250,PR!$AN$274,IF($S$335=251,PR!$AN$275,IF($S$335=252,PR!$AN$276,IF($S$335=253,PR!$AN$277,IF($S$335=254,PR!$AN$278,IF($S$335=255,PR!$AN$279,IF($S$335=256,PR!$AN$280,IF($S$335=257,PR!$AN$281,IF($S$335=258,PR!$AN$282,IF($S$335=259,PR!$AN$283,IF($S$335=260,PR!$AN$284,IF($S$335=261,PR!$AN$285,IF($S$335=262,PR!$AN$286,IF($S$335=263,PR!$AN$287,IF($S$335=264,PR!$AN$288,IF($S$335=265,PR!$AN$289,IF($S$335=266,PR!$AN$290,IF($S$335=267,PR!$AN$291,IF($S$335=268,PR!$AN$292,IF($S$335=269,PR!$AN$293,IF($S$335=270,PR!$AN$294,IF($S$335=271,PR!$AN$295,IF($S$335=272,PR!$AN$296,IF($S$335=273,PR!$AN$297,IF($S$335=274,PR!$AN$298,IF($S$335=275,PR!$AN$299,IF($S$335=276,PR!$AN$300,IF($S$335=277,PR!$AN$301,IF($S$335=278,PR!$AN$302,IF($S$335=279,PR!$AN$303,IF($S$335=280,PR!$AN$304,IF($S$335=281,PR!$AN$305,IF($S$335=282,PR!$AN$306,IF($S$335=283,PR!$AN$307,IF($S$335=284,PR!$AN$308,IF($S$335=285,PR!$AN$315,IF($S$335=286,PR!$AN$316,IF($S$335=287,PR!$AN$317,IF($S$335=288,PR!$AN$318,IF($S$335=289,PR!$AN$319,IF($S$335=290,PR!$AN$320,IF($S$335=291,PR!$AN$321,IF($S$335=292,PR!$AN$322,IF($S$335=293,PR!$AN$323,IF($S$335=294,PR!$AN$324,IF($S$335=295,PR!$AN$325,IF($S$335=296,PR!$AN$326,IF($S$335=297,PR!$AN$327,IF($S$335=298,PR!$AN$328,IF($S$335=299,PR!$AN$329,IF($S$335=300,PR!$AN$330,"-"))))))))))))))))))))))))))))))))))))))))))))))))))))))))))))</f>
        <v>0</v>
      </c>
      <c r="D345" s="570">
        <f>IF($S$335=241,PR!$AN$265,IF($S$335=242,PR!$AN$266,IF($S$335=243,PR!$AN$267,IF($S$335=244,PR!$AN$268,IF($S$335=245,PR!$AN$269,IF($S$335=246,PR!$AN$270,IF($S$335=247,PR!$AN$271,IF($S$335=248,PR!$AN$272,IF($S$335=249,PR!$AN$273,IF($S$335=250,PR!$AN$274,IF($S$335=251,PR!$AN$275,IF($S$335=252,PR!$AN$276,IF($S$335=253,PR!$AN$277,IF($S$335=254,PR!$AN$278,IF($S$335=255,PR!$AN$279,IF($S$335=256,PR!$AN$280,IF($S$335=257,PR!$AN$281,IF($S$335=258,PR!$AN$282,IF($S$335=259,PR!$AN$283,IF($S$335=260,PR!$AN$284,IF($S$335=261,PR!$AN$285,IF($S$335=262,PR!$AN$286,IF($S$335=263,PR!$AN$287,IF($S$335=264,PR!$AN$288,IF($S$335=265,PR!$AN$289,IF($S$335=266,PR!$AN$290,IF($S$335=267,PR!$AN$291,IF($S$335=268,PR!$AN$292,IF($S$335=269,PR!$AN$293,IF($S$335=270,PR!$AN$294,IF($S$335=271,PR!$AN$295,IF($S$335=272,PR!$AN$296,IF($S$335=273,PR!$AN$297,IF($S$335=274,PR!$AN$298,IF($S$335=275,PR!$AN$299,IF($S$335=276,PR!$AN$300,IF($S$335=277,PR!$AN$301,IF($S$335=278,PR!$AN$302,IF($S$335=279,PR!$AN$303,IF($S$335=280,PR!$AN$304,IF($S$335=281,PR!$AN$305,IF($S$335=282,PR!$AN$306,IF($S$335=283,PR!$AN$307,IF($S$335=284,PR!$AN$308,IF($S$335=285,PR!$AN$315,IF($S$335=286,PR!$AN$316,IF($S$335=287,PR!$AN$317,IF($S$335=288,PR!$AN$318,IF($S$335=289,PR!$AN$319,IF($S$335=290,PR!$AN$320,IF($S$335=291,PR!$AN$321,IF($S$335=292,PR!$AN$322,IF($S$335=293,PR!$AN$323,IF($S$335=294,PR!$AN$324,IF($S$335=295,PR!$AN$325,IF($S$335=296,PR!$AN$326,IF($S$335=297,PR!$AN$327,IF($S$335=298,PR!$AN$328,IF($S$335=299,PR!$AN$329,IF($S$335=300,PR!$AN$330,"-"))))))))))))))))))))))))))))))))))))))))))))))))))))))))))))</f>
        <v>0</v>
      </c>
      <c r="E345" s="570">
        <f>IF($S$335=241,PR!$AO$265,IF($S$335=242,PR!$AO$266,IF($S$335=243,PR!$AO$267,IF($S$335=244,PR!$AO$268,IF($S$335=245,PR!$AO$269,IF($S$335=246,PR!$AO$270,IF($S$335=247,PR!$AO$271,IF($S$335=248,PR!$AO$272,IF($S$335=249,PR!$AO$273,IF($S$335=250,PR!$AO$274,IF($S$335=251,PR!$AO$275,IF($S$335=252,PR!$AO$276,IF($S$335=253,PR!$AO$277,IF($S$335=254,PR!$AO$278,IF($S$335=255,PR!$AO$279,IF($S$335=256,PR!$AO$280,IF($S$335=257,PR!$AO$281,IF($S$335=258,PR!$AO$282,IF($S$335=259,PR!$AO$283,IF($S$335=260,PR!$AO$284,IF($S$335=261,PR!$AO$285,IF($S$335=262,PR!$AO$286,IF($S$335=263,PR!$AO$287,IF($S$335=264,PR!$AO$288,IF($S$335=265,PR!$AO$289,IF($S$335=266,PR!$AO$290,IF($S$335=267,PR!$AO$291,IF($S$335=268,PR!$AO$292,IF($S$335=269,PR!$AO$293,IF($S$335=270,PR!$AO$294,IF($S$335=271,PR!$AO$295,IF($S$335=272,PR!$AO$296,IF($S$335=273,PR!$AO$297,IF($S$335=274,PR!$AO$298,IF($S$335=275,PR!$AO$299,IF($S$335=276,PR!$AO$300,IF($S$335=277,PR!$AO$301,IF($S$335=278,PR!$AO$302,IF($S$335=279,PR!$AO$303,IF($S$335=280,PR!$AO$304,IF($S$335=281,PR!$AO$305,IF($S$335=282,PR!$AO$306,IF($S$335=283,PR!$AO$307,IF($S$335=284,PR!$AO$308,IF($S$335=285,PR!$AO$315,IF($S$335=286,PR!$AO$316,IF($S$335=287,PR!$AO$317,IF($S$335=288,PR!$AO$318,IF($S$335=289,PR!$AO$319,IF($S$335=290,PR!$AO$320,IF($S$335=291,PR!$AO$321,IF($S$335=292,PR!$AO$322,IF($S$335=293,PR!$AO$323,IF($S$335=294,PR!$AO$324,IF($S$335=295,PR!$AO$325,IF($S$335=296,PR!$AO$326,IF($S$335=297,PR!$AO$327,IF($S$335=298,PR!$AO$328,IF($S$335=299,PR!$AO$329,IF($S$335=300,PR!$AO$330,"-"))))))))))))))))))))))))))))))))))))))))))))))))))))))))))))</f>
        <v>0</v>
      </c>
      <c r="F345" s="570">
        <f>IF($S$335=241,PR!$AP$265,IF($S$335=242,PR!$AP$266,IF($S$335=243,PR!$AP$267,IF($S$335=244,PR!$AP$268,IF($S$335=245,PR!$AP$269,IF($S$335=246,PR!$AP$270,IF($S$335=247,PR!$AP$271,IF($S$335=248,PR!$AP$272,IF($S$335=249,PR!$AP$273,IF($S$335=250,PR!$AP$274,IF($S$335=251,PR!$AP$275,IF($S$335=252,PR!$AP$276,IF($S$335=253,PR!$AP$277,IF($S$335=254,PR!$AP$278,IF($S$335=255,PR!$AP$279,IF($S$335=256,PR!$AP$280,IF($S$335=257,PR!$AP$281,IF($S$335=258,PR!$AP$282,IF($S$335=259,PR!$AP$283,IF($S$335=260,PR!$AP$284,IF($S$335=261,PR!$AP$285,IF($S$335=262,PR!$AP$286,IF($S$335=263,PR!$AP$287,IF($S$335=264,PR!$AP$288,IF($S$335=265,PR!$AP$289,IF($S$335=266,PR!$AP$290,IF($S$335=267,PR!$AP$291,IF($S$335=268,PR!$AP$292,IF($S$335=269,PR!$AP$293,IF($S$335=270,PR!$AP$294,IF($S$335=271,PR!$AP$295,IF($S$335=272,PR!$AP$296,IF($S$335=273,PR!$AP$297,IF($S$335=274,PR!$AP$298,IF($S$335=275,PR!$AP$299,IF($S$335=276,PR!$AP$300,IF($S$335=277,PR!$AP$301,IF($S$335=278,PR!$AP$302,IF($S$335=279,PR!$AP$303,IF($S$335=280,PR!$AP$304,IF($S$335=281,PR!$AP$305,IF($S$335=282,PR!$AP$306,IF($S$335=283,PR!$AP$307,IF($S$335=284,PR!$AP$308,IF($S$335=285,PR!$AP$315,IF($S$335=286,PR!$AP$316,IF($S$335=287,PR!$AP$317,IF($S$335=288,PR!$AP$318,IF($S$335=289,PR!$AP$319,IF($S$335=290,PR!$AP$320,IF($S$335=291,PR!$AP$321,IF($S$335=292,PR!$AP$322,IF($S$335=293,PR!$AP$323,IF($S$335=294,PR!$AP$324,IF($S$335=295,PR!$AP$325,IF($S$335=296,PR!$AP$326,IF($S$335=297,PR!$AP$327,IF($S$335=298,PR!$AP$328,IF($S$335=299,PR!$AP$329,IF($S$335=300,PR!$AP$330,"-"))))))))))))))))))))))))))))))))))))))))))))))))))))))))))))</f>
        <v>0</v>
      </c>
      <c r="G345" s="570">
        <f>IF($S$335=241,PR!$AQ$265,IF($S$335=242,PR!$AQ$266,IF($S$335=243,PR!$AQ$267,IF($S$335=244,PR!$AQ$268,IF($S$335=245,PR!$AQ$269,IF($S$335=246,PR!$AQ$270,IF($S$335=247,PR!$AQ$271,IF($S$335=248,PR!$AQ$272,IF($S$335=249,PR!$AQ$273,IF($S$335=250,PR!$AQ$274,IF($S$335=251,PR!$AQ$275,IF($S$335=252,PR!$AQ$276,IF($S$335=253,PR!$AQ$277,IF($S$335=254,PR!$AQ$278,IF($S$335=255,PR!$AQ$279,IF($S$335=256,PR!$AQ$280,IF($S$335=257,PR!$AQ$281,IF($S$335=258,PR!$AQ$282,IF($S$335=259,PR!$AQ$283,IF($S$335=260,PR!$AQ$284,IF($S$335=261,PR!$AQ$285,IF($S$335=262,PR!$AQ$286,IF($S$335=263,PR!$AQ$287,IF($S$335=264,PR!$AQ$288,IF($S$335=265,PR!$AQ$289,IF($S$335=266,PR!$AQ$290,IF($S$335=267,PR!$AQ$291,IF($S$335=268,PR!$AQ$292,IF($S$335=269,PR!$AQ$293,IF($S$335=270,PR!$AQ$294,IF($S$335=271,PR!$AQ$295,IF($S$335=272,PR!$AQ$296,IF($S$335=273,PR!$AQ$297,IF($S$335=274,PR!$AQ$298,IF($S$335=275,PR!$AQ$299,IF($S$335=276,PR!$AQ$300,IF($S$335=277,PR!$AQ$301,IF($S$335=278,PR!$AQ$302,IF($S$335=279,PR!$AQ$303,IF($S$335=280,PR!$AQ$304,IF($S$335=281,PR!$AQ$305,IF($S$335=282,PR!$AQ$306,IF($S$335=283,PR!$AQ$307,IF($S$335=284,PR!$AQ$308,IF($S$335=285,PR!$AQ$315,IF($S$335=286,PR!$AQ$316,IF($S$335=287,PR!$AQ$317,IF($S$335=288,PR!$AQ$318,IF($S$335=289,PR!$AQ$319,IF($S$335=290,PR!$AQ$320,IF($S$335=291,PR!$AQ$321,IF($S$335=292,PR!$AQ$322,IF($S$335=293,PR!$AQ$323,IF($S$335=294,PR!$AQ$324,IF($S$335=295,PR!$AQ$325,IF($S$335=296,PR!$AQ$326,IF($S$335=297,PR!$AQ$327,IF($S$335=298,PR!$AQ$328,IF($S$335=299,PR!$AQ$329,IF($S$335=300,PR!$AQ$330,"-"))))))))))))))))))))))))))))))))))))))))))))))))))))))))))))</f>
        <v>0</v>
      </c>
      <c r="H345" s="570">
        <f>IF($S$335=241,PR!$AR$265,IF($S$335=242,PR!$AR$266,IF($S$335=243,PR!$AR$267,IF($S$335=244,PR!$AR$268,IF($S$335=245,PR!$AR$269,IF($S$335=246,PR!$AR$270,IF($S$335=247,PR!$AR$271,IF($S$335=248,PR!$AR$272,IF($S$335=249,PR!$AR$273,IF($S$335=250,PR!$AR$274,IF($S$335=251,PR!$AR$275,IF($S$335=252,PR!$AR$276,IF($S$335=253,PR!$AR$277,IF($S$335=254,PR!$AR$278,IF($S$335=255,PR!$AR$279,IF($S$335=256,PR!$AR$280,IF($S$335=257,PR!$AR$281,IF($S$335=258,PR!$AR$282,IF($S$335=259,PR!$AR$283,IF($S$335=260,PR!$AR$284,IF($S$335=261,PR!$AR$285,IF($S$335=262,PR!$AR$286,IF($S$335=263,PR!$AR$287,IF($S$335=264,PR!$AR$288,IF($S$335=265,PR!$AR$289,IF($S$335=266,PR!$AR$290,IF($S$335=267,PR!$AR$291,IF($S$335=268,PR!$AR$292,IF($S$335=269,PR!$AR$293,IF($S$335=270,PR!$AR$294,IF($S$335=271,PR!$AR$295,IF($S$335=272,PR!$AR$296,IF($S$335=273,PR!$AR$297,IF($S$335=274,PR!$AR$298,IF($S$335=275,PR!$AR$299,IF($S$335=276,PR!$AR$300,IF($S$335=277,PR!$AR$301,IF($S$335=278,PR!$AR$302,IF($S$335=279,PR!$AR$303,IF($S$335=280,PR!$AR$304,IF($S$335=281,PR!$AR$305,IF($S$335=282,PR!$AR$306,IF($S$335=283,PR!$AR$307,IF($S$335=284,PR!$AR$308,IF($S$335=285,PR!$AR$315,IF($S$335=286,PR!$AR$316,IF($S$335=287,PR!$AR$317,IF($S$335=288,PR!$AR$318,IF($S$335=289,PR!$AR$319,IF($S$335=290,PR!$AR$320,IF($S$335=291,PR!$AR$321,IF($S$335=292,PR!$AR$322,IF($S$335=293,PR!$AR$323,IF($S$335=294,PR!$AR$324,IF($S$335=295,PR!$AR$325,IF($S$335=296,PR!$AR$326,IF($S$335=297,PR!$AR$327,IF($S$335=298,PR!$AR$328,IF($S$335=299,PR!$AR$329,IF($S$335=300,PR!$AR$330,"-"))))))))))))))))))))))))))))))))))))))))))))))))))))))))))))</f>
        <v>0</v>
      </c>
      <c r="I345" s="570">
        <f>IF($S$335=241,PR!$AS$265,IF($S$335=242,PR!$AS$266,IF($S$335=243,PR!$AS$267,IF($S$335=244,PR!$AS$268,IF($S$335=245,PR!$AS$269,IF($S$335=246,PR!$AS$270,IF($S$335=247,PR!$AS$271,IF($S$335=248,PR!$AS$272,IF($S$335=249,PR!$AS$273,IF($S$335=250,PR!$AS$274,IF($S$335=251,PR!$AS$275,IF($S$335=252,PR!$AS$276,IF($S$335=253,PR!$AS$277,IF($S$335=254,PR!$AS$278,IF($S$335=255,PR!$AS$279,IF($S$335=256,PR!$AS$280,IF($S$335=257,PR!$AS$281,IF($S$335=258,PR!$AS$282,IF($S$335=259,PR!$AS$283,IF($S$335=260,PR!$AS$284,IF($S$335=261,PR!$AS$285,IF($S$335=262,PR!$AS$286,IF($S$335=263,PR!$AS$287,IF($S$335=264,PR!$AS$288,IF($S$335=265,PR!$AS$289,IF($S$335=266,PR!$AS$290,IF($S$335=267,PR!$AS$291,IF($S$335=268,PR!$AS$292,IF($S$335=269,PR!$AS$293,IF($S$335=270,PR!$AS$294,IF($S$335=271,PR!$AS$295,IF($S$335=272,PR!$AS$296,IF($S$335=273,PR!$AS$297,IF($S$335=274,PR!$AS$298,IF($S$335=275,PR!$AS$299,IF($S$335=276,PR!$AS$300,IF($S$335=277,PR!$AS$301,IF($S$335=278,PR!$AS$302,IF($S$335=279,PR!$AS$303,IF($S$335=280,PR!$AS$304,IF($S$335=281,PR!$AS$305,IF($S$335=282,PR!$AS$306,IF($S$335=283,PR!$AS$307,IF($S$335=284,PR!$AS$308,IF($S$335=285,PR!$AS$315,IF($S$335=286,PR!$AS$316,IF($S$335=287,PR!$AS$317,IF($S$335=288,PR!$AS$318,IF($S$335=289,PR!$AS$319,IF($S$335=290,PR!$AS$320,IF($S$335=291,PR!$AS$321,IF($S$335=292,PR!$AS$322,IF($S$335=293,PR!$AS$323,IF($S$335=294,PR!$AS$324,IF($S$335=295,PR!$AS$325,IF($S$335=296,PR!$AS$326,IF($S$335=297,PR!$AS$327,IF($S$335=298,PR!$AS$328,IF($S$335=299,PR!$AS$329,IF($S$335=300,PR!$AS$330,"-"))))))))))))))))))))))))))))))))))))))))))))))))))))))))))))</f>
        <v>0</v>
      </c>
      <c r="J345" s="570">
        <f>IF($S$335=241,PR!$AT$265,IF($S$335=242,PR!$AT$266,IF($S$335=243,PR!$AT$267,IF($S$335=244,PR!$AT$268,IF($S$335=245,PR!$AT$269,IF($S$335=246,PR!$AT$270,IF($S$335=247,PR!$AT$271,IF($S$335=248,PR!$AT$272,IF($S$335=249,PR!$AT$273,IF($S$335=250,PR!$AT$274,IF($S$335=251,PR!$AT$275,IF($S$335=252,PR!$AT$276,IF($S$335=253,PR!$AT$277,IF($S$335=254,PR!$AT$278,IF($S$335=255,PR!$AT$279,IF($S$335=256,PR!$AT$280,IF($S$335=257,PR!$AT$281,IF($S$335=258,PR!$AT$282,IF($S$335=259,PR!$AT$283,IF($S$335=260,PR!$AT$284,IF($S$335=261,PR!$AT$285,IF($S$335=262,PR!$AT$286,IF($S$335=263,PR!$AT$287,IF($S$335=264,PR!$AT$288,IF($S$335=265,PR!$AT$289,IF($S$335=266,PR!$AT$290,IF($S$335=267,PR!$AT$291,IF($S$335=268,PR!$AT$292,IF($S$335=269,PR!$AT$293,IF($S$335=270,PR!$AT$294,IF($S$335=271,PR!$AT$295,IF($S$335=272,PR!$AT$296,IF($S$335=273,PR!$AT$297,IF($S$335=274,PR!$AT$298,IF($S$335=275,PR!$AT$299,IF($S$335=276,PR!$AT$300,IF($S$335=277,PR!$AT$301,IF($S$335=278,PR!$AT$302,IF($S$335=279,PR!$AT$303,IF($S$335=280,PR!$AT$304,IF($S$335=281,PR!$AT$305,IF($S$335=282,PR!$AT$306,IF($S$335=283,PR!$AT$307,IF($S$335=284,PR!$AT$308,IF($S$335=285,PR!$AT$315,IF($S$335=286,PR!$AT$316,IF($S$335=287,PR!$AT$317,IF($S$335=288,PR!$AT$318,IF($S$335=289,PR!$AT$319,IF($S$335=290,PR!$AT$320,IF($S$335=291,PR!$AT$321,IF($S$335=292,PR!$AT$322,IF($S$335=293,PR!$AT$323,IF($S$335=294,PR!$AT$324,IF($S$335=295,PR!$AT$325,IF($S$335=296,PR!$AT$326,IF($S$335=297,PR!$AT$327,IF($S$335=298,PR!$AT$328,IF($S$335=299,PR!$AT$329,IF($S$335=300,PR!$AT$330,"-"))))))))))))))))))))))))))))))))))))))))))))))))))))))))))))</f>
        <v>0</v>
      </c>
      <c r="K345" s="570">
        <f>IF($S$335=241,PR!$AU$265,IF($S$335=242,PR!$AU$266,IF($S$335=243,PR!$AU$267,IF($S$335=244,PR!$AU$268,IF($S$335=245,PR!$AU$269,IF($S$335=246,PR!$AU$270,IF($S$335=247,PR!$AU$271,IF($S$335=248,PR!$AU$272,IF($S$335=249,PR!$AU$273,IF($S$335=250,PR!$AU$274,IF($S$335=251,PR!$AU$275,IF($S$335=252,PR!$AU$276,IF($S$335=253,PR!$AU$277,IF($S$335=254,PR!$AU$278,IF($S$335=255,PR!$AU$279,IF($S$335=256,PR!$AU$280,IF($S$335=257,PR!$AU$281,IF($S$335=258,PR!$AU$282,IF($S$335=259,PR!$AU$283,IF($S$335=260,PR!$AU$284,IF($S$335=261,PR!$AU$285,IF($S$335=262,PR!$AU$286,IF($S$335=263,PR!$AU$287,IF($S$335=264,PR!$AU$288,IF($S$335=265,PR!$AU$289,IF($S$335=266,PR!$AU$290,IF($S$335=267,PR!$AU$291,IF($S$335=268,PR!$AU$292,IF($S$335=269,PR!$AU$293,IF($S$335=270,PR!$AU$294,IF($S$335=271,PR!$AU$295,IF($S$335=272,PR!$AU$296,IF($S$335=273,PR!$AU$297,IF($S$335=274,PR!$AU$298,IF($S$335=275,PR!$AU$299,IF($S$335=276,PR!$AU$300,IF($S$335=277,PR!$AU$301,IF($S$335=278,PR!$AU$302,IF($S$335=279,PR!$AU$303,IF($S$335=280,PR!$AU$304,IF($S$335=281,PR!$AU$305,IF($S$335=282,PR!$AU$306,IF($S$335=283,PR!$AU$307,IF($S$335=284,PR!$AU$308,IF($S$335=285,PR!$AU$315,IF($S$335=286,PR!$AU$316,IF($S$335=287,PR!$AU$317,IF($S$335=288,PR!$AU$318,IF($S$335=289,PR!$AU$319,IF($S$335=290,PR!$AU$320,IF($S$335=291,PR!$AU$321,IF($S$335=292,PR!$AU$322,IF($S$335=293,PR!$AU$323,IF($S$335=294,PR!$AU$324,IF($S$335=295,PR!$AU$325,IF($S$335=296,PR!$AU$326,IF($S$335=297,PR!$AU$327,IF($S$335=298,PR!$AU$328,IF($S$335=299,PR!$AU$329,IF($S$335=300,PR!$AU$330,"-"))))))))))))))))))))))))))))))))))))))))))))))))))))))))))))</f>
        <v>0</v>
      </c>
      <c r="L345" s="570">
        <f>IF($S$335=241,PR!$AV$265,IF($S$335=242,PR!$AV$266,IF($S$335=243,PR!$AV$267,IF($S$335=244,PR!$AV$268,IF($S$335=245,PR!$AV$269,IF($S$335=246,PR!$AV$270,IF($S$335=247,PR!$AV$271,IF($S$335=248,PR!$AV$272,IF($S$335=249,PR!$AV$273,IF($S$335=250,PR!$AV$274,IF($S$335=251,PR!$AV$275,IF($S$335=252,PR!$AV$276,IF($S$335=253,PR!$AV$277,IF($S$335=254,PR!$AV$278,IF($S$335=255,PR!$AV$279,IF($S$335=256,PR!$AV$280,IF($S$335=257,PR!$AV$281,IF($S$335=258,PR!$AV$282,IF($S$335=259,PR!$AV$283,IF($S$335=260,PR!$AV$284,IF($S$335=261,PR!$AV$285,IF($S$335=262,PR!$AV$286,IF($S$335=263,PR!$AV$287,IF($S$335=264,PR!$AV$288,IF($S$335=265,PR!$AV$289,IF($S$335=266,PR!$AV$290,IF($S$335=267,PR!$AV$291,IF($S$335=268,PR!$AV$292,IF($S$335=269,PR!$AV$293,IF($S$335=270,PR!$AV$294,IF($S$335=271,PR!$AV$295,IF($S$335=272,PR!$AV$296,IF($S$335=273,PR!$AV$297,IF($S$335=274,PR!$AV$298,IF($S$335=275,PR!$AV$299,IF($S$335=276,PR!$AV$300,IF($S$335=277,PR!$AV$301,IF($S$335=278,PR!$AV$302,IF($S$335=279,PR!$AV$303,IF($S$335=280,PR!$AV$304,IF($S$335=281,PR!$AV$305,IF($S$335=282,PR!$AV$306,IF($S$335=283,PR!$AV$307,IF($S$335=284,PR!$AV$308,IF($S$335=285,PR!$AV$315,IF($S$335=286,PR!$AV$316,IF($S$335=287,PR!$AV$317,IF($S$335=288,PR!$AV$318,IF($S$335=289,PR!$AV$319,IF($S$335=290,PR!$AV$320,IF($S$335=291,PR!$AV$321,IF($S$335=292,PR!$AV$322,IF($S$335=293,PR!$AV$323,IF($S$335=294,PR!$AV$324,IF($S$335=295,PR!$AV$325,IF($S$335=296,PR!$AV$326,IF($S$335=297,PR!$AV$327,IF($S$335=298,PR!$AV$328,IF($S$335=299,PR!$AV$329,IF($S$335=300,PR!$AV$330,"-"))))))))))))))))))))))))))))))))))))))))))))))))))))))))))))</f>
        <v>0</v>
      </c>
      <c r="M345" s="570">
        <f>IF($S$335=241,PR!$AW$265,IF($S$335=242,PR!$AW$266,IF($S$335=243,PR!$AW$267,IF($S$335=244,PR!$AW$268,IF($S$335=245,PR!$AW$269,IF($S$335=246,PR!$AW$270,IF($S$335=247,PR!$AW$271,IF($S$335=248,PR!$AW$272,IF($S$335=249,PR!$AW$273,IF($S$335=250,PR!$AW$274,IF($S$335=251,PR!$AW$275,IF($S$335=252,PR!$AW$276,IF($S$335=253,PR!$AW$277,IF($S$335=254,PR!$AW$278,IF($S$335=255,PR!$AW$279,IF($S$335=256,PR!$AW$280,IF($S$335=257,PR!$AW$281,IF($S$335=258,PR!$AW$282,IF($S$335=259,PR!$AW$283,IF($S$335=260,PR!$AW$284,IF($S$335=261,PR!$AW$285,IF($S$335=262,PR!$AW$286,IF($S$335=263,PR!$AW$287,IF($S$335=264,PR!$AW$288,IF($S$335=265,PR!$AW$289,IF($S$335=266,PR!$AW$290,IF($S$335=267,PR!$AW$291,IF($S$335=268,PR!$AW$292,IF($S$335=269,PR!$AW$293,IF($S$335=270,PR!$AW$294,IF($S$335=271,PR!$AW$295,IF($S$335=272,PR!$AW$296,IF($S$335=273,PR!$AW$297,IF($S$335=274,PR!$AW$298,IF($S$335=275,PR!$AW$299,IF($S$335=276,PR!$AW$300,IF($S$335=277,PR!$AW$301,IF($S$335=278,PR!$AW$302,IF($S$335=279,PR!$AW$303,IF($S$335=280,PR!$AW$304,IF($S$335=281,PR!$AW$305,IF($S$335=282,PR!$AW$306,IF($S$335=283,PR!$AW$307,IF($S$335=284,PR!$AW$308,IF($S$335=285,PR!$AW$315,IF($S$335=286,PR!$AW$316,IF($S$335=287,PR!$AW$317,IF($S$335=288,PR!$AW$318,IF($S$335=289,PR!$AW$319,IF($S$335=290,PR!$AW$320,IF($S$335=291,PR!$AW$321,IF($S$335=292,PR!$AW$322,IF($S$335=293,PR!$AW$323,IF($S$335=294,PR!$AW$324,IF($S$335=295,PR!$AW$325,IF($S$335=296,PR!$AW$326,IF($S$335=297,PR!$AW$327,IF($S$335=298,PR!$AW$328,IF($S$335=299,PR!$AW$329,IF($S$335=300,PR!$AW$330,"-"))))))))))))))))))))))))))))))))))))))))))))))))))))))))))))</f>
        <v>0</v>
      </c>
      <c r="N345" s="570">
        <f>IF($S$335=241,PR!$AX$265,IF($S$335=242,PR!$AX$266,IF($S$335=243,PR!$AX$267,IF($S$335=244,PR!$AX$268,IF($S$335=245,PR!$AX$269,IF($S$335=246,PR!$AX$270,IF($S$335=247,PR!$AX$271,IF($S$335=248,PR!$AX$272,IF($S$335=249,PR!$AX$273,IF($S$335=250,PR!$AX$274,IF($S$335=251,PR!$AX$275,IF($S$335=252,PR!$AX$276,IF($S$335=253,PR!$AX$277,IF($S$335=254,PR!$AX$278,IF($S$335=255,PR!$AX$279,IF($S$335=256,PR!$AX$280,IF($S$335=257,PR!$AX$281,IF($S$335=258,PR!$AX$282,IF($S$335=259,PR!$AX$283,IF($S$335=260,PR!$AX$284,IF($S$335=261,PR!$AX$285,IF($S$335=262,PR!$AX$286,IF($S$335=263,PR!$AX$287,IF($S$335=264,PR!$AX$288,IF($S$335=265,PR!$AX$289,IF($S$335=266,PR!$AX$290,IF($S$335=267,PR!$AX$291,IF($S$335=268,PR!$AX$292,IF($S$335=269,PR!$AX$293,IF($S$335=270,PR!$AX$294,IF($S$335=271,PR!$AX$295,IF($S$335=272,PR!$AX$296,IF($S$335=273,PR!$AX$297,IF($S$335=274,PR!$AX$298,IF($S$335=275,PR!$AX$299,IF($S$335=276,PR!$AX$300,IF($S$335=277,PR!$AX$301,IF($S$335=278,PR!$AX$302,IF($S$335=279,PR!$AX$303,IF($S$335=280,PR!$AX$304,IF($S$335=281,PR!$AX$305,IF($S$335=282,PR!$AX$306,IF($S$335=283,PR!$AX$307,IF($S$335=284,PR!$AX$308,IF($S$335=285,PR!$AX$315,IF($S$335=286,PR!$AX$316,IF($S$335=287,PR!$AX$317,IF($S$335=288,PR!$AX$318,IF($S$335=289,PR!$AX$319,IF($S$335=290,PR!$AX$320,IF($S$335=291,PR!$AX$321,IF($S$335=292,PR!$AX$322,IF($S$335=293,PR!$AX$323,IF($S$335=294,PR!$AX$324,IF($S$335=295,PR!$AX$325,IF($S$335=296,PR!$AX$326,IF($S$335=297,PR!$AX$327,IF($S$335=298,PR!$AX$328,IF($S$335=299,PR!$AX$329,IF($S$335=300,PR!$AX$330,"-"))))))))))))))))))))))))))))))))))))))))))))))))))))))))))))</f>
        <v>0</v>
      </c>
      <c r="O345" s="570">
        <f>IF($S$335=241,PR!$AY$265,IF($S$335=242,PR!$AY$266,IF($S$335=243,PR!$AY$267,IF($S$335=244,PR!$AY$268,IF($S$335=245,PR!$AY$269,IF($S$335=246,PR!$AY$270,IF($S$335=247,PR!$AY$271,IF($S$335=248,PR!$AY$272,IF($S$335=249,PR!$AY$273,IF($S$335=250,PR!$AY$274,IF($S$335=251,PR!$AY$275,IF($S$335=252,PR!$AY$276,IF($S$335=253,PR!$AY$277,IF($S$335=254,PR!$AY$278,IF($S$335=255,PR!$AY$279,IF($S$335=256,PR!$AY$280,IF($S$335=257,PR!$AY$281,IF($S$335=258,PR!$AY$282,IF($S$335=259,PR!$AY$283,IF($S$335=260,PR!$AY$284,IF($S$335=261,PR!$AY$285,IF($S$335=262,PR!$AY$286,IF($S$335=263,PR!$AY$287,IF($S$335=264,PR!$AY$288,IF($S$335=265,PR!$AY$289,IF($S$335=266,PR!$AY$290,IF($S$335=267,PR!$AY$291,IF($S$335=268,PR!$AY$292,IF($S$335=269,PR!$AY$293,IF($S$335=270,PR!$AY$294,IF($S$335=271,PR!$AY$295,IF($S$335=272,PR!$AY$296,IF($S$335=273,PR!$AY$297,IF($S$335=274,PR!$AY$298,IF($S$335=275,PR!$AY$299,IF($S$335=276,PR!$AY$300,IF($S$335=277,PR!$AY$301,IF($S$335=278,PR!$AY$302,IF($S$335=279,PR!$AY$303,IF($S$335=280,PR!$AY$304,IF($S$335=281,PR!$AY$305,IF($S$335=282,PR!$AY$306,IF($S$335=283,PR!$AY$307,IF($S$335=284,PR!$AY$308,IF($S$335=285,PR!$AY$315,IF($S$335=286,PR!$AY$316,IF($S$335=287,PR!$AY$317,IF($S$335=288,PR!$AY$318,IF($S$335=289,PR!$AY$319,IF($S$335=290,PR!$AY$320,IF($S$335=291,PR!$AY$321,IF($S$335=292,PR!$AY$322,IF($S$335=293,PR!$AY$323,IF($S$335=294,PR!$AY$324,IF($S$335=295,PR!$AY$325,IF($S$335=296,PR!$AY$326,IF($S$335=297,PR!$AY$327,IF($S$335=298,PR!$AY$328,IF($S$335=299,PR!$AY$329,IF($S$335=300,PR!$AY$330,"-"))))))))))))))))))))))))))))))))))))))))))))))))))))))))))))</f>
        <v>0</v>
      </c>
      <c r="P345" s="570">
        <f>IF($S$335=241,PR!$AZ$265,IF($S$335=242,PR!$AZ$266,IF($S$335=243,PR!$AZ$267,IF($S$335=244,PR!$AZ$268,IF($S$335=245,PR!$AZ$269,IF($S$335=246,PR!$AZ$270,IF($S$335=247,PR!$AZ$271,IF($S$335=248,PR!$AZ$272,IF($S$335=249,PR!$AZ$273,IF($S$335=250,PR!$AZ$274,IF($S$335=251,PR!$AZ$275,IF($S$335=252,PR!$AZ$276,IF($S$335=253,PR!$AZ$277,IF($S$335=254,PR!$AZ$278,IF($S$335=255,PR!$AZ$279,IF($S$335=256,PR!$AZ$280,IF($S$335=257,PR!$AZ$281,IF($S$335=258,PR!$AZ$282,IF($S$335=259,PR!$AZ$283,IF($S$335=260,PR!$AZ$284,IF($S$335=261,PR!$AZ$285,IF($S$335=262,PR!$AZ$286,IF($S$335=263,PR!$AZ$287,IF($S$335=264,PR!$AZ$288,IF($S$335=265,PR!$AZ$289,IF($S$335=266,PR!$AZ$290,IF($S$335=267,PR!$AZ$291,IF($S$335=268,PR!$AZ$292,IF($S$335=269,PR!$AZ$293,IF($S$335=270,PR!$AZ$294,IF($S$335=271,PR!$AZ$295,IF($S$335=272,PR!$AZ$296,IF($S$335=273,PR!$AZ$297,IF($S$335=274,PR!$AZ$298,IF($S$335=275,PR!$AZ$299,IF($S$335=276,PR!$AZ$300,IF($S$335=277,PR!$AZ$301,IF($S$335=278,PR!$AZ$302,IF($S$335=279,PR!$AZ$303,IF($S$335=280,PR!$AZ$304,IF($S$335=281,PR!$AZ$305,IF($S$335=282,PR!$AZ$306,IF($S$335=283,PR!$AZ$307,IF($S$335=284,PR!$AZ$308,IF($S$335=285,PR!$AZ$315,IF($S$335=286,PR!$AZ$316,IF($S$335=287,PR!$AZ$317,IF($S$335=288,PR!$AZ$318,IF($S$335=289,PR!$AZ$319,IF($S$335=290,PR!$AZ$320,IF($S$335=291,PR!$AZ$321,IF($S$335=292,PR!$AZ$322,IF($S$335=293,PR!$AZ$323,IF($S$335=294,PR!$AZ$324,IF($S$335=295,PR!$AZ$325,IF($S$335=296,PR!$AZ$326,IF($S$335=297,PR!$AZ$327,IF($S$335=298,PR!$AZ$328,IF($S$335=299,PR!$AZ$329,IF($S$335=300,PR!$AZ$330,"-"))))))))))))))))))))))))))))))))))))))))))))))))))))))))))))</f>
        <v>0</v>
      </c>
      <c r="Q345" s="570">
        <f>IF($S$335=241,PR!$BA$265,IF($S$335=242,PR!$BA$266,IF($S$335=243,PR!$BA$267,IF($S$335=244,PR!$BA$268,IF($S$335=245,PR!$BA$269,IF($S$335=246,PR!$BA$270,IF($S$335=247,PR!$BA$271,IF($S$335=248,PR!$BA$272,IF($S$335=249,PR!$BA$273,IF($S$335=250,PR!$BA$274,IF($S$335=251,PR!$BA$275,IF($S$335=252,PR!$BA$276,IF($S$335=253,PR!$BA$277,IF($S$335=254,PR!$BA$278,IF($S$335=255,PR!$BA$279,IF($S$335=256,PR!$BA$280,IF($S$335=257,PR!$BA$281,IF($S$335=258,PR!$BA$282,IF($S$335=259,PR!$BA$283,IF($S$335=260,PR!$BA$284,IF($S$335=261,PR!$BA$285,IF($S$335=262,PR!$BA$286,IF($S$335=263,PR!$BA$287,IF($S$335=264,PR!$BA$288,IF($S$335=265,PR!$BA$289,IF($S$335=266,PR!$BA$290,IF($S$335=267,PR!$BA$291,IF($S$335=268,PR!$BA$292,IF($S$335=269,PR!$BA$293,IF($S$335=270,PR!$BA$294,IF($S$335=271,PR!$BA$295,IF($S$335=272,PR!$BA$296,IF($S$335=273,PR!$BA$297,IF($S$335=274,PR!$BA$298,IF($S$335=275,PR!$BA$299,IF($S$335=276,PR!$BA$300,IF($S$335=277,PR!$BA$301,IF($S$335=278,PR!$BA$302,IF($S$335=279,PR!$BA$303,IF($S$335=280,PR!$BA$304,IF($S$335=281,PR!$BA$305,IF($S$335=282,PR!$BA$306,IF($S$335=283,PR!$BA$307,IF($S$335=284,PR!$BA$308,IF($S$335=285,PR!$BA$315,IF($S$335=286,PR!$BA$316,IF($S$335=287,PR!$BA$317,IF($S$335=288,PR!$BA$318,IF($S$335=289,PR!$BA$319,IF($S$335=290,PR!$BA$320,IF($S$335=291,PR!$BA$321,IF($S$335=292,PR!$BA$322,IF($S$335=293,PR!$BA$323,IF($S$335=294,PR!$BA$324,IF($S$335=295,PR!$BA$325,IF($S$335=296,PR!$BA$326,IF($S$335=297,PR!$BA$327,IF($S$335=298,PR!$BA$328,IF($S$335=299,PR!$BA$329,IF($S$335=300,PR!$BA$330,"-"))))))))))))))))))))))))))))))))))))))))))))))))))))))))))))</f>
        <v>0</v>
      </c>
      <c r="R345" s="570">
        <f>IF($S$335=241,PR!$BB$265,IF($S$335=242,PR!$BB$266,IF($S$335=243,PR!$BB$267,IF($S$335=244,PR!$BB$268,IF($S$335=245,PR!$BB$269,IF($S$335=246,PR!$BB$270,IF($S$335=247,PR!$BB$271,IF($S$335=248,PR!$BB$272,IF($S$335=249,PR!$BB$273,IF($S$335=250,PR!$BB$274,IF($S$335=251,PR!$BB$275,IF($S$335=252,PR!$BB$276,IF($S$335=253,PR!$BB$277,IF($S$335=254,PR!$BB$278,IF($S$335=255,PR!$BB$279,IF($S$335=256,PR!$BB$280,IF($S$335=257,PR!$BB$281,IF($S$335=258,PR!$BB$282,IF($S$335=259,PR!$BB$283,IF($S$335=260,PR!$BB$284,IF($S$335=261,PR!$BB$285,IF($S$335=262,PR!$BB$286,IF($S$335=263,PR!$BB$287,IF($S$335=264,PR!$BB$288,IF($S$335=265,PR!$BB$289,IF($S$335=266,PR!$BB$290,IF($S$335=267,PR!$BB$291,IF($S$335=268,PR!$BB$292,IF($S$335=269,PR!$BB$293,IF($S$335=270,PR!$BB$294,IF($S$335=271,PR!$BB$295,IF($S$335=272,PR!$BB$296,IF($S$335=273,PR!$BB$297,IF($S$335=274,PR!$BB$298,IF($S$335=275,PR!$BB$299,IF($S$335=276,PR!$BB$300,IF($S$335=277,PR!$BB$301,IF($S$335=278,PR!$BB$302,IF($S$335=279,PR!$BB$303,IF($S$335=280,PR!$BB$304,IF($S$335=281,PR!$BB$305,IF($S$335=282,PR!$BB$306,IF($S$335=283,PR!$BB$307,IF($S$335=284,PR!$BB$308,IF($S$335=285,PR!$BB$315,IF($S$335=286,PR!$BB$316,IF($S$335=287,PR!$BB$317,IF($S$335=288,PR!$BB$318,IF($S$335=289,PR!$BB$319,IF($S$335=290,PR!$BB$320,IF($S$335=291,PR!$BB$321,IF($S$335=292,PR!$BB$322,IF($S$335=293,PR!$BB$323,IF($S$335=294,PR!$BB$324,IF($S$335=295,PR!$BB$325,IF($S$335=296,PR!$BB$326,IF($S$335=297,PR!$BB$327,IF($S$335=298,PR!$BB$328,IF($S$335=299,PR!$BB$329,IF($S$335=300,PR!$BB$330,"-"))))))))))))))))))))))))))))))))))))))))))))))))))))))))))))</f>
        <v>0</v>
      </c>
      <c r="S345" s="570">
        <f>IF($S$335=241,PR!$BC$265,IF($S$335=242,PR!$BC$266,IF($S$335=243,PR!$BC$267,IF($S$335=244,PR!$BC$268,IF($S$335=245,PR!$BC$269,IF($S$335=246,PR!$BC$270,IF($S$335=247,PR!$BC$271,IF($S$335=248,PR!$BC$272,IF($S$335=249,PR!$BC$273,IF($S$335=250,PR!$BC$274,IF($S$335=251,PR!$BC$275,IF($S$335=252,PR!$BC$276,IF($S$335=253,PR!$BC$277,IF($S$335=254,PR!$BC$278,IF($S$335=255,PR!$BC$279,IF($S$335=256,PR!$BC$280,IF($S$335=257,PR!$BC$281,IF($S$335=258,PR!$BC$282,IF($S$335=259,PR!$BC$283,IF($S$335=260,PR!$BC$284,IF($S$335=261,PR!$BC$285,IF($S$335=262,PR!$BC$286,IF($S$335=263,PR!$BC$287,IF($S$335=264,PR!$BC$288,IF($S$335=265,PR!$BC$289,IF($S$335=266,PR!$BC$290,IF($S$335=267,PR!$BC$291,IF($S$335=268,PR!$BC$292,IF($S$335=269,PR!$BC$293,IF($S$335=270,PR!$BC$294,IF($S$335=271,PR!$BC$295,IF($S$335=272,PR!$BC$296,IF($S$335=273,PR!$BC$297,IF($S$335=274,PR!$BC$298,IF($S$335=275,PR!$BC$299,IF($S$335=276,PR!$BC$300,IF($S$335=277,PR!$BC$301,IF($S$335=278,PR!$BC$302,IF($S$335=279,PR!$BC$303,IF($S$335=280,PR!$BC$304,IF($S$335=281,PR!$BC$305,IF($S$335=282,PR!$BC$306,IF($S$335=283,PR!$BC$307,IF($S$335=284,PR!$BC$308,IF($S$335=285,PR!$BC$315,IF($S$335=286,PR!$BC$316,IF($S$335=287,PR!$BC$317,IF($S$335=288,PR!$BC$318,IF($S$335=289,PR!$BC$319,IF($S$335=290,PR!$BC$320,IF($S$335=291,PR!$BC$321,IF($S$335=292,PR!$BC$322,IF($S$335=293,PR!$BC$323,IF($S$335=294,PR!$BC$324,IF($S$335=295,PR!$BC$325,IF($S$335=296,PR!$BC$326,IF($S$335=297,PR!$BC$327,IF($S$335=298,PR!$BC$328,IF($S$335=299,PR!$BC$329,IF($S$335=300,PR!$BC$330,"-"))))))))))))))))))))))))))))))))))))))))))))))))))))))))))))</f>
        <v>0</v>
      </c>
      <c r="T345" s="552"/>
      <c r="U345" s="518"/>
      <c r="V345" s="32"/>
      <c r="W345" s="32"/>
      <c r="X345" s="32"/>
      <c r="Y345" s="32"/>
      <c r="Z345" s="32"/>
    </row>
    <row r="346" spans="1:26" ht="15.75" x14ac:dyDescent="0.25">
      <c r="A346" s="91"/>
      <c r="B346" s="552"/>
      <c r="C346" s="571"/>
      <c r="D346" s="572"/>
      <c r="E346" s="572"/>
      <c r="F346" s="572"/>
      <c r="G346" s="572"/>
      <c r="H346" s="572"/>
      <c r="I346" s="572"/>
      <c r="J346" s="572"/>
      <c r="K346" s="572"/>
      <c r="L346" s="572"/>
      <c r="M346" s="572"/>
      <c r="N346" s="572"/>
      <c r="O346" s="572"/>
      <c r="P346" s="572"/>
      <c r="Q346" s="572"/>
      <c r="R346" s="575"/>
      <c r="S346" s="575"/>
      <c r="T346" s="552"/>
      <c r="U346" s="518"/>
      <c r="V346" s="32"/>
      <c r="W346" s="32"/>
      <c r="X346" s="32"/>
      <c r="Y346" s="32"/>
      <c r="Z346" s="32"/>
    </row>
    <row r="347" spans="1:26" ht="15.75" thickBot="1" x14ac:dyDescent="0.3">
      <c r="A347" s="91"/>
      <c r="B347" s="552"/>
      <c r="C347" s="574" t="str">
        <f>N!$C$55</f>
        <v>SAM</v>
      </c>
      <c r="D347" s="574" t="str">
        <f>N!$C$56</f>
        <v>SEAGREEN</v>
      </c>
      <c r="E347" s="574" t="str">
        <f>N!$C$57</f>
        <v>SKG</v>
      </c>
      <c r="F347" s="574" t="str">
        <f>N!$C$58</f>
        <v>TAH</v>
      </c>
      <c r="G347" s="574" t="str">
        <f>N!$C$59</f>
        <v>TAYLEK</v>
      </c>
      <c r="H347" s="574" t="str">
        <f>N!$C$60</f>
        <v>TEMITA</v>
      </c>
      <c r="I347" s="574" t="str">
        <f>N!$C$61</f>
        <v>THL</v>
      </c>
      <c r="J347" s="574" t="str">
        <f>N!$C$62</f>
        <v>UBASTIC</v>
      </c>
      <c r="K347" s="574" t="str">
        <f>N!$C$63</f>
        <v>UNION</v>
      </c>
      <c r="L347" s="574" t="str">
        <f>N!$C$64</f>
        <v>UNIQUE</v>
      </c>
      <c r="M347" s="574" t="str">
        <f>N!$C$65</f>
        <v>VIXA</v>
      </c>
      <c r="N347" s="574" t="str">
        <f>N!$C$66</f>
        <v>WWCV</v>
      </c>
      <c r="O347" s="574" t="str">
        <f>N!$C$67</f>
        <v>ZOLON</v>
      </c>
      <c r="P347" s="574" t="e">
        <f>N!#REF!</f>
        <v>#REF!</v>
      </c>
      <c r="Q347" s="574" t="e">
        <f>N!#REF!</f>
        <v>#REF!</v>
      </c>
      <c r="R347" s="574" t="e">
        <f>N!#REF!</f>
        <v>#REF!</v>
      </c>
      <c r="S347" s="572"/>
      <c r="T347" s="552"/>
      <c r="U347" s="518"/>
      <c r="V347" s="32"/>
      <c r="W347" s="32"/>
      <c r="X347" s="32"/>
      <c r="Y347" s="32"/>
      <c r="Z347" s="32"/>
    </row>
    <row r="348" spans="1:26" ht="15.75" thickBot="1" x14ac:dyDescent="0.3">
      <c r="A348" s="91"/>
      <c r="B348" s="552"/>
      <c r="C348" s="570">
        <f>IF($S$335=241,PR!$BD$265,IF($S$335=242,PR!$BD$266,IF($S$335=243,PR!$BD$267,IF($S$335=244,PR!$BD$268,IF($S$335=245,PR!$BD$269,IF($S$335=246,PR!$BD$270,IF($S$335=247,PR!$BD$271,IF($S$335=248,PR!$BD$272,IF($S$335=249,PR!$BD$273,IF($S$335=250,PR!$BD$274,IF($S$335=251,PR!$BD$275,IF($S$335=252,PR!$BD$276,IF($S$335=253,PR!$BD$277,IF($S$335=254,PR!$BD$278,IF($S$335=255,PR!$BD$279,IF($S$335=256,PR!$BD$280,IF($S$335=257,PR!$BD$281,IF($S$335=258,PR!$BD$282,IF($S$335=259,PR!$BD$283,IF($S$335=260,PR!$BD$284,IF($S$335=261,PR!$BD$285,IF($S$335=262,PR!$BD$286,IF($S$335=263,PR!$BD$287,IF($S$335=264,PR!$BD$288,IF($S$335=265,PR!$BD$289,IF($S$335=266,PR!$BD$290,IF($S$335=267,PR!$BD$291,IF($S$335=268,PR!$BD$292,IF($S$335=269,PR!$BD$293,IF($S$335=270,PR!$BD$294,IF($S$335=271,PR!$BD$295,IF($S$335=272,PR!$BD$296,IF($S$335=273,PR!$BD$297,IF($S$335=274,PR!$BD$298,IF($S$335=275,PR!$BD$299,IF($S$335=276,PR!$BD$300,IF($S$335=277,PR!$BD$301,IF($S$335=278,PR!$BD$302,IF($S$335=279,PR!$BD$303,IF($S$335=280,PR!$BD$304,IF($S$335=281,PR!$BD$305,IF($S$335=282,PR!$BD$306,IF($S$335=283,PR!$BD$307,IF($S$335=284,PR!$BD$308,IF($S$335=285,PR!$BD$315,IF($S$335=286,PR!$BD$316,IF($S$335=287,PR!$BD$317,IF($S$335=288,PR!$BD$318,IF($S$335=289,PR!$BD$319,IF($S$335=290,PR!$BD$320,IF($S$335=291,PR!$BD$321,IF($S$335=292,PR!$BD$322,IF($S$335=293,PR!$BD$323,IF($S$335=294,PR!$BD$324,IF($S$335=295,PR!$BD$325,IF($S$335=296,PR!$BD$326,IF($S$335=297,PR!$BD$327,IF($S$335=298,PR!$BD$328,IF($S$335=299,PR!$BD$329,IF($S$335=300,PR!$BD$330,"-"))))))))))))))))))))))))))))))))))))))))))))))))))))))))))))</f>
        <v>0</v>
      </c>
      <c r="D348" s="570">
        <f>IF($S$335=241,PR!$BE$265,IF($S$335=242,PR!$BE$266,IF($S$335=243,PR!$BE$267,IF($S$335=244,PR!$BE$268,IF($S$335=245,PR!$BE$269,IF($S$335=246,PR!$BE$270,IF($S$335=247,PR!$BE$271,IF($S$335=248,PR!$BE$272,IF($S$335=249,PR!$BE$273,IF($S$335=250,PR!$BE$274,IF($S$335=251,PR!$BE$275,IF($S$335=252,PR!$BE$276,IF($S$335=253,PR!$BE$277,IF($S$335=254,PR!$BE$278,IF($S$335=255,PR!$BE$279,IF($S$335=256,PR!$BE$280,IF($S$335=257,PR!$BE$281,IF($S$335=258,PR!$BE$282,IF($S$335=259,PR!$BE$283,IF($S$335=260,PR!$BE$284,IF($S$335=261,PR!$BE$285,IF($S$335=262,PR!$BE$286,IF($S$335=263,PR!$BE$287,IF($S$335=264,PR!$BE$288,IF($S$335=265,PR!$BE$289,IF($S$335=266,PR!$BE$290,IF($S$335=267,PR!$BE$291,IF($S$335=268,PR!$BE$292,IF($S$335=269,PR!$BE$293,IF($S$335=270,PR!$BE$294,IF($S$335=271,PR!$BE$295,IF($S$335=272,PR!$BE$296,IF($S$335=273,PR!$BE$297,IF($S$335=274,PR!$BE$298,IF($S$335=275,PR!$BE$299,IF($S$335=276,PR!$BE$300,IF($S$335=277,PR!$BE$301,IF($S$335=278,PR!$BE$302,IF($S$335=279,PR!$BE$303,IF($S$335=280,PR!$BE$304,IF($S$335=281,PR!$BE$305,IF($S$335=282,PR!$BE$306,IF($S$335=283,PR!$BE$307,IF($S$335=284,PR!$BE$308,IF($S$335=285,PR!$BE$315,IF($S$335=286,PR!$BE$316,IF($S$335=287,PR!$BE$317,IF($S$335=288,PR!$BE$318,IF($S$335=289,PR!$BE$319,IF($S$335=290,PR!$BE$320,IF($S$335=291,PR!$BE$321,IF($S$335=292,PR!$BE$322,IF($S$335=293,PR!$BE$323,IF($S$335=294,PR!$BE$324,IF($S$335=295,PR!$BE$325,IF($S$335=296,PR!$BE$326,IF($S$335=297,PR!$BE$327,IF($S$335=298,PR!$BE$328,IF($S$335=299,PR!$BE$329,IF($S$335=300,PR!$BE$330,"-"))))))))))))))))))))))))))))))))))))))))))))))))))))))))))))</f>
        <v>900</v>
      </c>
      <c r="E348" s="570">
        <f>IF($S$335=241,PR!$BF$265,IF($S$335=242,PR!$BF$266,IF($S$335=243,PR!$BF$267,IF($S$335=244,PR!$BF$268,IF($S$335=245,PR!$BF$269,IF($S$335=246,PR!$BF$270,IF($S$335=247,PR!$BF$271,IF($S$335=248,PR!$BF$272,IF($S$335=249,PR!$BF$273,IF($S$335=250,PR!$BF$274,IF($S$335=251,PR!$BF$275,IF($S$335=252,PR!$BF$276,IF($S$335=253,PR!$BF$277,IF($S$335=254,PR!$BF$278,IF($S$335=255,PR!$BF$279,IF($S$335=256,PR!$BF$280,IF($S$335=257,PR!$BF$281,IF($S$335=258,PR!$BF$282,IF($S$335=259,PR!$BF$283,IF($S$335=260,PR!$BF$284,IF($S$335=261,PR!$BF$285,IF($S$335=262,PR!$BF$286,IF($S$335=263,PR!$BF$287,IF($S$335=264,PR!$BF$288,IF($S$335=265,PR!$BF$289,IF($S$335=266,PR!$BF$290,IF($S$335=267,PR!$BF$291,IF($S$335=268,PR!$BF$292,IF($S$335=269,PR!$BF$293,IF($S$335=270,PR!$BF$294,IF($S$335=271,PR!$BF$295,IF($S$335=272,PR!$BF$296,IF($S$335=273,PR!$BF$297,IF($S$335=274,PR!$BF$298,IF($S$335=275,PR!$BF$299,IF($S$335=276,PR!$BF$300,IF($S$335=277,PR!$BF$301,IF($S$335=278,PR!$BF$302,IF($S$335=279,PR!$BF$303,IF($S$335=280,PR!$BF$304,IF($S$335=281,PR!$BF$305,IF($S$335=282,PR!$BF$306,IF($S$335=283,PR!$BF$307,IF($S$335=284,PR!$BF$308,IF($S$335=285,PR!$BF$315,IF($S$335=286,PR!$BF$316,IF($S$335=287,PR!$BF$317,IF($S$335=288,PR!$BF$318,IF($S$335=289,PR!$BF$319,IF($S$335=290,PR!$BF$320,IF($S$335=291,PR!$BF$321,IF($S$335=292,PR!$BF$322,IF($S$335=293,PR!$BF$323,IF($S$335=294,PR!$BF$324,IF($S$335=295,PR!$BF$325,IF($S$335=296,PR!$BF$326,IF($S$335=297,PR!$BF$327,IF($S$335=298,PR!$BF$328,IF($S$335=299,PR!$BF$329,IF($S$335=300,PR!$BF$330,"-"))))))))))))))))))))))))))))))))))))))))))))))))))))))))))))</f>
        <v>0</v>
      </c>
      <c r="F348" s="570">
        <f>IF($S$335=241,PR!$BG$265,IF($S$335=242,PR!$BG$266,IF($S$335=243,PR!$BG$267,IF($S$335=244,PR!$BG$268,IF($S$335=245,PR!$BG$269,IF($S$335=246,PR!$BG$270,IF($S$335=247,PR!$BG$271,IF($S$335=248,PR!$BG$272,IF($S$335=249,PR!$BG$273,IF($S$335=250,PR!$BG$274,IF($S$335=251,PR!$BG$275,IF($S$335=252,PR!$BG$276,IF($S$335=253,PR!$BG$277,IF($S$335=254,PR!$BG$278,IF($S$335=255,PR!$BG$279,IF($S$335=256,PR!$BG$280,IF($S$335=257,PR!$BG$281,IF($S$335=258,PR!$BG$282,IF($S$335=259,PR!$BG$283,IF($S$335=260,PR!$BG$284,IF($S$335=261,PR!$BG$285,IF($S$335=262,PR!$BG$286,IF($S$335=263,PR!$BG$287,IF($S$335=264,PR!$BG$288,IF($S$335=265,PR!$BG$289,IF($S$335=266,PR!$BG$290,IF($S$335=267,PR!$BG$291,IF($S$335=268,PR!$BG$292,IF($S$335=269,PR!$BG$293,IF($S$335=270,PR!$BG$294,IF($S$335=271,PR!$BG$295,IF($S$335=272,PR!$BG$296,IF($S$335=273,PR!$BG$297,IF($S$335=274,PR!$BG$298,IF($S$335=275,PR!$BG$299,IF($S$335=276,PR!$BG$300,IF($S$335=277,PR!$BG$301,IF($S$335=278,PR!$BG$302,IF($S$335=279,PR!$BG$303,IF($S$335=280,PR!$BG$304,IF($S$335=281,PR!$BG$305,IF($S$335=282,PR!$BG$306,IF($S$335=283,PR!$BG$307,IF($S$335=284,PR!$BG$308,IF($S$335=285,PR!$BG$315,IF($S$335=286,PR!$BG$316,IF($S$335=287,PR!$BG$317,IF($S$335=288,PR!$BG$318,IF($S$335=289,PR!$BG$319,IF($S$335=290,PR!$BG$320,IF($S$335=291,PR!$BG$321,IF($S$335=292,PR!$BG$322,IF($S$335=293,PR!$BG$323,IF($S$335=294,PR!$BG$324,IF($S$335=295,PR!$BG$325,IF($S$335=296,PR!$BG$326,IF($S$335=297,PR!$BG$327,IF($S$335=298,PR!$BG$328,IF($S$335=299,PR!$BG$329,IF($S$335=300,PR!$BG$330,"-"))))))))))))))))))))))))))))))))))))))))))))))))))))))))))))</f>
        <v>0</v>
      </c>
      <c r="G348" s="570">
        <f>IF($S$335=241,PR!$BH$265,IF($S$335=242,PR!$BH$266,IF($S$335=243,PR!$BH$267,IF($S$335=244,PR!$BH$268,IF($S$335=245,PR!$BH$269,IF($S$335=246,PR!$BH$270,IF($S$335=247,PR!$BH$271,IF($S$335=248,PR!$BH$272,IF($S$335=249,PR!$BH$273,IF($S$335=250,PR!$BH$274,IF($S$335=251,PR!$BH$275,IF($S$335=252,PR!$BH$276,IF($S$335=253,PR!$BH$277,IF($S$335=254,PR!$BH$278,IF($S$335=255,PR!$BH$279,IF($S$335=256,PR!$BH$280,IF($S$335=257,PR!$BH$281,IF($S$335=258,PR!$BH$282,IF($S$335=259,PR!$BH$283,IF($S$335=260,PR!$BH$284,IF($S$335=261,PR!$BH$285,IF($S$335=262,PR!$BH$286,IF($S$335=263,PR!$BH$287,IF($S$335=264,PR!$BH$288,IF($S$335=265,PR!$BH$289,IF($S$335=266,PR!$BH$290,IF($S$335=267,PR!$BH$291,IF($S$335=268,PR!$BH$292,IF($S$335=269,PR!$BH$293,IF($S$335=270,PR!$BH$294,IF($S$335=271,PR!$BH$295,IF($S$335=272,PR!$BH$296,IF($S$335=273,PR!$BH$297,IF($S$335=274,PR!$BH$298,IF($S$335=275,PR!$BH$299,IF($S$335=276,PR!$BH$300,IF($S$335=277,PR!$BH$301,IF($S$335=278,PR!$BH$302,IF($S$335=279,PR!$BH$303,IF($S$335=280,PR!$BH$304,IF($S$335=281,PR!$BH$305,IF($S$335=282,PR!$BH$306,IF($S$335=283,PR!$BH$307,IF($S$335=284,PR!$BH$308,IF($S$335=285,PR!$BH$315,IF($S$335=286,PR!$BH$316,IF($S$335=287,PR!$BH$317,IF($S$335=288,PR!$BH$318,IF($S$335=289,PR!$BH$319,IF($S$335=290,PR!$BH$320,IF($S$335=291,PR!$BH$321,IF($S$335=292,PR!$BH$322,IF($S$335=293,PR!$BH$323,IF($S$335=294,PR!$BH$324,IF($S$335=295,PR!$BH$325,IF($S$335=296,PR!$BH$326,IF($S$335=297,PR!$BH$327,IF($S$335=298,PR!$BH$328,IF($S$335=299,PR!$BH$329,IF($S$335=300,PR!$BH$330,"-"))))))))))))))))))))))))))))))))))))))))))))))))))))))))))))</f>
        <v>0</v>
      </c>
      <c r="H348" s="570">
        <f>IF($S$335=241,PR!$BI$265,IF($S$335=242,PR!$BI$266,IF($S$335=243,PR!$BI$267,IF($S$335=244,PR!$BI$268,IF($S$335=245,PR!$BI$269,IF($S$335=246,PR!$BI$270,IF($S$335=247,PR!$BI$271,IF($S$335=248,PR!$BI$272,IF($S$335=249,PR!$BI$273,IF($S$335=250,PR!$BI$274,IF($S$335=251,PR!$BI$275,IF($S$335=252,PR!$BI$276,IF($S$335=253,PR!$BI$277,IF($S$335=254,PR!$BI$278,IF($S$335=255,PR!$BI$279,IF($S$335=256,PR!$BI$280,IF($S$335=257,PR!$BI$281,IF($S$335=258,PR!$BI$282,IF($S$335=259,PR!$BI$283,IF($S$335=260,PR!$BI$284,IF($S$335=261,PR!$BI$285,IF($S$335=262,PR!$BI$286,IF($S$335=263,PR!$BI$287,IF($S$335=264,PR!$BI$288,IF($S$335=265,PR!$BI$289,IF($S$335=266,PR!$BI$290,IF($S$335=267,PR!$BI$291,IF($S$335=268,PR!$BI$292,IF($S$335=269,PR!$BI$293,IF($S$335=270,PR!$BI$294,IF($S$335=271,PR!$BI$295,IF($S$335=272,PR!$BI$296,IF($S$335=273,PR!$BI$297,IF($S$335=274,PR!$BI$298,IF($S$335=275,PR!$BI$299,IF($S$335=276,PR!$BI$300,IF($S$335=277,PR!$BI$301,IF($S$335=278,PR!$BI$302,IF($S$335=279,PR!$BI$303,IF($S$335=280,PR!$BI$304,IF($S$335=281,PR!$BI$305,IF($S$335=282,PR!$BI$306,IF($S$335=283,PR!$BI$307,IF($S$335=284,PR!$BI$308,IF($S$335=285,PR!$BI$315,IF($S$335=286,PR!$BI$316,IF($S$335=287,PR!$BI$317,IF($S$335=288,PR!$BI$318,IF($S$335=289,PR!$BI$319,IF($S$335=290,PR!$BI$320,IF($S$335=291,PR!$BI$321,IF($S$335=292,PR!$BI$322,IF($S$335=293,PR!$BI$323,IF($S$335=294,PR!$BI$324,IF($S$335=295,PR!$BI$325,IF($S$335=296,PR!$BI$326,IF($S$335=297,PR!$BI$327,IF($S$335=298,PR!$BI$328,IF($S$335=299,PR!$BI$329,IF($S$335=300,PR!$BI$330,"-"))))))))))))))))))))))))))))))))))))))))))))))))))))))))))))</f>
        <v>0</v>
      </c>
      <c r="I348" s="570">
        <f>IF($S$335=241,PR!$BJ$265,IF($S$335=242,PR!$BJ$266,IF($S$335=243,PR!$BJ$267,IF($S$335=244,PR!$BJ$268,IF($S$335=245,PR!$BJ$269,IF($S$335=246,PR!$BJ$270,IF($S$335=247,PR!$BJ$271,IF($S$335=248,PR!$BJ$272,IF($S$335=249,PR!$BJ$273,IF($S$335=250,PR!$BJ$274,IF($S$335=251,PR!$BJ$275,IF($S$335=252,PR!$BJ$276,IF($S$335=253,PR!$BJ$277,IF($S$335=254,PR!$BJ$278,IF($S$335=255,PR!$BJ$279,IF($S$335=256,PR!$BJ$280,IF($S$335=257,PR!$BJ$281,IF($S$335=258,PR!$BJ$282,IF($S$335=259,PR!$BJ$283,IF($S$335=260,PR!$BJ$284,IF($S$335=261,PR!$BJ$285,IF($S$335=262,PR!$BJ$286,IF($S$335=263,PR!$BJ$287,IF($S$335=264,PR!$BJ$288,IF($S$335=265,PR!$BJ$289,IF($S$335=266,PR!$BJ$290,IF($S$335=267,PR!$BJ$291,IF($S$335=268,PR!$BJ$292,IF($S$335=269,PR!$BJ$293,IF($S$335=270,PR!$BJ$294,IF($S$335=271,PR!$BJ$295,IF($S$335=272,PR!$BJ$296,IF($S$335=273,PR!$BJ$297,IF($S$335=274,PR!$BJ$298,IF($S$335=275,PR!$BJ$299,IF($S$335=276,PR!$BJ$300,IF($S$335=277,PR!$BJ$301,IF($S$335=278,PR!$BJ$302,IF($S$335=279,PR!$BJ$303,IF($S$335=280,PR!$BJ$304,IF($S$335=281,PR!$BJ$305,IF($S$335=282,PR!$BJ$306,IF($S$335=283,PR!$BJ$307,IF($S$335=284,PR!$BJ$308,IF($S$335=285,PR!$BJ$315,IF($S$335=286,PR!$BJ$316,IF($S$335=287,PR!$BJ$317,IF($S$335=288,PR!$BJ$318,IF($S$335=289,PR!$BJ$319,IF($S$335=290,PR!$BJ$320,IF($S$335=291,PR!$BJ$321,IF($S$335=292,PR!$BJ$322,IF($S$335=293,PR!$BJ$323,IF($S$335=294,PR!$BJ$324,IF($S$335=295,PR!$BJ$325,IF($S$335=296,PR!$BJ$326,IF($S$335=297,PR!$BJ$327,IF($S$335=298,PR!$BJ$328,IF($S$335=299,PR!$BJ$329,IF($S$335=300,PR!$BJ$330,"-"))))))))))))))))))))))))))))))))))))))))))))))))))))))))))))</f>
        <v>0</v>
      </c>
      <c r="J348" s="570">
        <f>IF($S$335=241,PR!$BK$265,IF($S$335=242,PR!$BK$266,IF($S$335=243,PR!$BK$267,IF($S$335=244,PR!$BK$268,IF($S$335=245,PR!$BK$269,IF($S$335=246,PR!$BK$270,IF($S$335=247,PR!$BK$271,IF($S$335=248,PR!$BK$272,IF($S$335=249,PR!$BK$273,IF($S$335=250,PR!$BK$274,IF($S$335=251,PR!$BK$275,IF($S$335=252,PR!$BK$276,IF($S$335=253,PR!$BK$277,IF($S$335=254,PR!$BK$278,IF($S$335=255,PR!$BK$279,IF($S$335=256,PR!$BK$280,IF($S$335=257,PR!$BK$281,IF($S$335=258,PR!$BK$282,IF($S$335=259,PR!$BK$283,IF($S$335=260,PR!$BK$284,IF($S$335=261,PR!$BK$285,IF($S$335=262,PR!$BK$286,IF($S$335=263,PR!$BK$287,IF($S$335=264,PR!$BK$288,IF($S$335=265,PR!$BK$289,IF($S$335=266,PR!$BK$290,IF($S$335=267,PR!$BK$291,IF($S$335=268,PR!$BK$292,IF($S$335=269,PR!$BK$293,IF($S$335=270,PR!$BK$294,IF($S$335=271,PR!$BK$295,IF($S$335=272,PR!$BK$296,IF($S$335=273,PR!$BK$297,IF($S$335=274,PR!$BK$298,IF($S$335=275,PR!$BK$299,IF($S$335=276,PR!$BK$300,IF($S$335=277,PR!$BK$301,IF($S$335=278,PR!$BK$302,IF($S$335=279,PR!$BK$303,IF($S$335=280,PR!$BK$304,IF($S$335=281,PR!$BK$305,IF($S$335=282,PR!$BK$306,IF($S$335=283,PR!$BK$307,IF($S$335=284,PR!$BK$308,IF($S$335=285,PR!$BK$315,IF($S$335=286,PR!$BK$316,IF($S$335=287,PR!$BK$317,IF($S$335=288,PR!$BK$318,IF($S$335=289,PR!$BK$319,IF($S$335=290,PR!$BK$320,IF($S$335=291,PR!$BK$321,IF($S$335=292,PR!$BK$322,IF($S$335=293,PR!$BK$323,IF($S$335=294,PR!$BK$324,IF($S$335=295,PR!$BK$325,IF($S$335=296,PR!$BK$326,IF($S$335=297,PR!$BK$327,IF($S$335=298,PR!$BK$328,IF($S$335=299,PR!$BK$329,IF($S$335=300,PR!$BK$330,"-"))))))))))))))))))))))))))))))))))))))))))))))))))))))))))))</f>
        <v>0</v>
      </c>
      <c r="K348" s="570">
        <f>IF($S$335=241,PR!$BL$265,IF($S$335=242,PR!$BL$266,IF($S$335=243,PR!$BL$267,IF($S$335=244,PR!$BL$268,IF($S$335=245,PR!$BL$269,IF($S$335=246,PR!$BL$270,IF($S$335=247,PR!$BL$271,IF($S$335=248,PR!$BL$272,IF($S$335=249,PR!$BL$273,IF($S$335=250,PR!$BL$274,IF($S$335=251,PR!$BL$275,IF($S$335=252,PR!$BL$276,IF($S$335=253,PR!$BL$277,IF($S$335=254,PR!$BL$278,IF($S$335=255,PR!$BL$279,IF($S$335=256,PR!$BL$280,IF($S$335=257,PR!$BL$281,IF($S$335=258,PR!$BL$282,IF($S$335=259,PR!$BL$283,IF($S$335=260,PR!$BL$284,IF($S$335=261,PR!$BL$285,IF($S$335=262,PR!$BL$286,IF($S$335=263,PR!$BL$287,IF($S$335=264,PR!$BL$288,IF($S$335=265,PR!$BL$289,IF($S$335=266,PR!$BL$290,IF($S$335=267,PR!$BL$291,IF($S$335=268,PR!$BL$292,IF($S$335=269,PR!$BL$293,IF($S$335=270,PR!$BL$294,IF($S$335=271,PR!$BL$295,IF($S$335=272,PR!$BL$296,IF($S$335=273,PR!$BL$297,IF($S$335=274,PR!$BL$298,IF($S$335=275,PR!$BL$299,IF($S$335=276,PR!$BL$300,IF($S$335=277,PR!$BL$301,IF($S$335=278,PR!$BL$302,IF($S$335=279,PR!$BL$303,IF($S$335=280,PR!$BL$304,IF($S$335=281,PR!$BL$305,IF($S$335=282,PR!$BL$306,IF($S$335=283,PR!$BL$307,IF($S$335=284,PR!$BL$308,IF($S$335=285,PR!$BL$315,IF($S$335=286,PR!$BL$316,IF($S$335=287,PR!$BL$317,IF($S$335=288,PR!$BL$318,IF($S$335=289,PR!$BL$319,IF($S$335=290,PR!$BL$320,IF($S$335=291,PR!$BL$321,IF($S$335=292,PR!$BL$322,IF($S$335=293,PR!$BL$323,IF($S$335=294,PR!$BL$324,IF($S$335=295,PR!$BL$325,IF($S$335=296,PR!$BL$326,IF($S$335=297,PR!$BL$327,IF($S$335=298,PR!$BL$328,IF($S$335=299,PR!$BL$329,IF($S$335=300,PR!$BL$330,"-"))))))))))))))))))))))))))))))))))))))))))))))))))))))))))))</f>
        <v>0</v>
      </c>
      <c r="L348" s="570">
        <f>IF($S$335=241,PR!$BM$265,IF($S$335=242,PR!$BM$266,IF($S$335=243,PR!$BM$267,IF($S$335=244,PR!$BM$268,IF($S$335=245,PR!$BM$269,IF($S$335=246,PR!$BM$270,IF($S$335=247,PR!$BM$271,IF($S$335=248,PR!$BM$272,IF($S$335=249,PR!$BM$273,IF($S$335=250,PR!$BM$274,IF($S$335=251,PR!$BM$275,IF($S$335=252,PR!$BM$276,IF($S$335=253,PR!$BM$277,IF($S$335=254,PR!$BM$278,IF($S$335=255,PR!$BM$279,IF($S$335=256,PR!$BM$280,IF($S$335=257,PR!$BM$281,IF($S$335=258,PR!$BM$282,IF($S$335=259,PR!$BM$283,IF($S$335=260,PR!$BM$284,IF($S$335=261,PR!$BM$285,IF($S$335=262,PR!$BM$286,IF($S$335=263,PR!$BM$287,IF($S$335=264,PR!$BM$288,IF($S$335=265,PR!$BM$289,IF($S$335=266,PR!$BM$290,IF($S$335=267,PR!$BM$291,IF($S$335=268,PR!$BM$292,IF($S$335=269,PR!$BM$293,IF($S$335=270,PR!$BM$294,IF($S$335=271,PR!$BM$295,IF($S$335=272,PR!$BM$296,IF($S$335=273,PR!$BM$297,IF($S$335=274,PR!$BM$298,IF($S$335=275,PR!$BM$299,IF($S$335=276,PR!$BM$300,IF($S$335=277,PR!$BM$301,IF($S$335=278,PR!$BM$302,IF($S$335=279,PR!$BM$303,IF($S$335=280,PR!$BM$304,IF($S$335=281,PR!$BM$305,IF($S$335=282,PR!$BM$306,IF($S$335=283,PR!$BM$307,IF($S$335=284,PR!$BM$308,IF($S$335=285,PR!$BM$315,IF($S$335=286,PR!$BM$316,IF($S$335=287,PR!$BM$317,IF($S$335=288,PR!$BM$318,IF($S$335=289,PR!$BM$319,IF($S$335=290,PR!$BM$320,IF($S$335=291,PR!$BM$321,IF($S$335=292,PR!$BM$322,IF($S$335=293,PR!$BM$323,IF($S$335=294,PR!$BM$324,IF($S$335=295,PR!$BM$325,IF($S$335=296,PR!$BM$326,IF($S$335=297,PR!$BM$327,IF($S$335=298,PR!$BM$328,IF($S$335=299,PR!$BM$329,IF($S$335=300,PR!$BM$330,"-"))))))))))))))))))))))))))))))))))))))))))))))))))))))))))))</f>
        <v>0</v>
      </c>
      <c r="M348" s="570">
        <f>IF($S$335=241,PR!$BN$265,IF($S$335=242,PR!$BN$266,IF($S$335=243,PR!$BN$267,IF($S$335=244,PR!$BN$268,IF($S$335=245,PR!$BN$269,IF($S$335=246,PR!$BN$270,IF($S$335=247,PR!$BN$271,IF($S$335=248,PR!$BN$272,IF($S$335=249,PR!$BN$273,IF($S$335=250,PR!$BN$274,IF($S$335=251,PR!$BN$275,IF($S$335=252,PR!$BN$276,IF($S$335=253,PR!$BN$277,IF($S$335=254,PR!$BN$278,IF($S$335=255,PR!$BN$279,IF($S$335=256,PR!$BN$280,IF($S$335=257,PR!$BN$281,IF($S$335=258,PR!$BN$282,IF($S$335=259,PR!$BN$283,IF($S$335=260,PR!$BN$284,IF($S$335=261,PR!$BN$285,IF($S$335=262,PR!$BN$286,IF($S$335=263,PR!$BN$287,IF($S$335=264,PR!$BN$288,IF($S$335=265,PR!$BN$289,IF($S$335=266,PR!$BN$290,IF($S$335=267,PR!$BN$291,IF($S$335=268,PR!$BN$292,IF($S$335=269,PR!$BN$293,IF($S$335=270,PR!$BN$294,IF($S$335=271,PR!$BN$295,IF($S$335=272,PR!$BN$296,IF($S$335=273,PR!$BN$297,IF($S$335=274,PR!$BN$298,IF($S$335=275,PR!$BN$299,IF($S$335=276,PR!$BN$300,IF($S$335=277,PR!$BN$301,IF($S$335=278,PR!$BN$302,IF($S$335=279,PR!$BN$303,IF($S$335=280,PR!$BN$304,IF($S$335=281,PR!$BN$305,IF($S$335=282,PR!$BN$306,IF($S$335=283,PR!$BN$307,IF($S$335=284,PR!$BN$308,IF($S$335=285,PR!$BN$315,IF($S$335=286,PR!$BN$316,IF($S$335=287,PR!$BN$317,IF($S$335=288,PR!$BN$318,IF($S$335=289,PR!$BN$319,IF($S$335=290,PR!$BN$320,IF($S$335=291,PR!$BN$321,IF($S$335=292,PR!$BN$322,IF($S$335=293,PR!$BN$323,IF($S$335=294,PR!$BN$324,IF($S$335=295,PR!$BN$325,IF($S$335=296,PR!$BN$326,IF($S$335=297,PR!$BN$327,IF($S$335=298,PR!$BN$328,IF($S$335=299,PR!$BN$329,IF($S$335=300,PR!$BN$330,"-"))))))))))))))))))))))))))))))))))))))))))))))))))))))))))))</f>
        <v>0</v>
      </c>
      <c r="N348" s="570">
        <f>IF($S$335=241,PR!$BO$265,IF($S$335=242,PR!$BO$266,IF($S$335=243,PR!$BO$267,IF($S$335=244,PR!$BO$268,IF($S$335=245,PR!$BO$269,IF($S$335=246,PR!$BO$270,IF($S$335=247,PR!$BO$271,IF($S$335=248,PR!$BO$272,IF($S$335=249,PR!$BO$273,IF($S$335=250,PR!$BO$274,IF($S$335=251,PR!$BO$275,IF($S$335=252,PR!$BO$276,IF($S$335=253,PR!$BO$277,IF($S$335=254,PR!$BO$278,IF($S$335=255,PR!$BO$279,IF($S$335=256,PR!$BO$280,IF($S$335=257,PR!$BO$281,IF($S$335=258,PR!$BO$282,IF($S$335=259,PR!$BO$283,IF($S$335=260,PR!$BO$284,IF($S$335=261,PR!$BO$285,IF($S$335=262,PR!$BO$286,IF($S$335=263,PR!$BO$287,IF($S$335=264,PR!$BO$288,IF($S$335=265,PR!$BO$289,IF($S$335=266,PR!$BO$290,IF($S$335=267,PR!$BO$291,IF($S$335=268,PR!$BO$292,IF($S$335=269,PR!$BO$293,IF($S$335=270,PR!$BO$294,IF($S$335=271,PR!$BO$295,IF($S$335=272,PR!$BO$296,IF($S$335=273,PR!$BO$297,IF($S$335=274,PR!$BO$298,IF($S$335=275,PR!$BO$299,IF($S$335=276,PR!$BO$300,IF($S$335=277,PR!$BO$301,IF($S$335=278,PR!$BO$302,IF($S$335=279,PR!$BO$303,IF($S$335=280,PR!$BO$304,IF($S$335=281,PR!$BO$305,IF($S$335=282,PR!$BO$306,IF($S$335=283,PR!$BO$307,IF($S$335=284,PR!$BO$308,IF($S$335=285,PR!$BO$315,IF($S$335=286,PR!$BO$316,IF($S$335=287,PR!$BO$317,IF($S$335=288,PR!$BO$318,IF($S$335=289,PR!$BO$319,IF($S$335=290,PR!$BO$320,IF($S$335=291,PR!$BO$321,IF($S$335=292,PR!$BO$322,IF($S$335=293,PR!$BO$323,IF($S$335=294,PR!$BO$324,IF($S$335=295,PR!$BO$325,IF($S$335=296,PR!$BO$326,IF($S$335=297,PR!$BO$327,IF($S$335=298,PR!$BO$328,IF($S$335=299,PR!$BO$329,IF($S$335=300,PR!$BO$330,"-"))))))))))))))))))))))))))))))))))))))))))))))))))))))))))))</f>
        <v>0</v>
      </c>
      <c r="O348" s="570">
        <f>IF($S$335=241,PR!$BP$265,IF($S$335=242,PR!$BP$266,IF($S$335=243,PR!$BP$267,IF($S$335=244,PR!$BP$268,IF($S$335=245,PR!$BP$269,IF($S$335=246,PR!$BP$270,IF($S$335=247,PR!$BP$271,IF($S$335=248,PR!$BP$272,IF($S$335=249,PR!$BP$273,IF($S$335=250,PR!$BP$274,IF($S$335=251,PR!$BP$275,IF($S$335=252,PR!$BP$276,IF($S$335=253,PR!$BP$277,IF($S$335=254,PR!$BP$278,IF($S$335=255,PR!$BP$279,IF($S$335=256,PR!$BP$280,IF($S$335=257,PR!$BP$281,IF($S$335=258,PR!$BP$282,IF($S$335=259,PR!$BP$283,IF($S$335=260,PR!$BP$284,IF($S$335=261,PR!$BP$285,IF($S$335=262,PR!$BP$286,IF($S$335=263,PR!$BP$287,IF($S$335=264,PR!$BP$288,IF($S$335=265,PR!$BP$289,IF($S$335=266,PR!$BP$290,IF($S$335=267,PR!$BP$291,IF($S$335=268,PR!$BP$292,IF($S$335=269,PR!$BP$293,IF($S$335=270,PR!$BP$294,IF($S$335=271,PR!$BP$295,IF($S$335=272,PR!$BP$296,IF($S$335=273,PR!$BP$297,IF($S$335=274,PR!$BP$298,IF($S$335=275,PR!$BP$299,IF($S$335=276,PR!$BP$300,IF($S$335=277,PR!$BP$301,IF($S$335=278,PR!$BP$302,IF($S$335=279,PR!$BP$303,IF($S$335=280,PR!$BP$304,IF($S$335=281,PR!$BP$305,IF($S$335=282,PR!$BP$306,IF($S$335=283,PR!$BP$307,IF($S$335=284,PR!$BP$308,IF($S$335=285,PR!$BP$315,IF($S$335=286,PR!$BP$316,IF($S$335=287,PR!$BP$317,IF($S$335=288,PR!$BP$318,IF($S$335=289,PR!$BP$319,IF($S$335=290,PR!$BP$320,IF($S$335=291,PR!$BP$321,IF($S$335=292,PR!$BP$322,IF($S$335=293,PR!$BP$323,IF($S$335=294,PR!$BP$324,IF($S$335=295,PR!$BP$325,IF($S$335=296,PR!$BP$326,IF($S$335=297,PR!$BP$327,IF($S$335=298,PR!$BP$328,IF($S$335=299,PR!$BP$329,IF($S$335=300,PR!$BP$330,"-"))))))))))))))))))))))))))))))))))))))))))))))))))))))))))))</f>
        <v>200</v>
      </c>
      <c r="P348" s="570">
        <f>IF($S$335=241,PR!$BQ$265,IF($S$335=242,PR!$BQ$266,IF($S$335=243,PR!$BQ$267,IF($S$335=244,PR!$BQ$268,IF($S$335=245,PR!$BQ$269,IF($S$335=246,PR!$BQ$270,IF($S$335=247,PR!$BQ$271,IF($S$335=248,PR!$BQ$272,IF($S$335=249,PR!$BQ$273,IF($S$335=250,PR!$BQ$274,IF($S$335=251,PR!$BQ$275,IF($S$335=252,PR!$BQ$276,IF($S$335=253,PR!$BQ$277,IF($S$335=254,PR!$BQ$278,IF($S$335=255,PR!$BQ$279,IF($S$335=256,PR!$BQ$280,IF($S$335=257,PR!$BQ$281,IF($S$335=258,PR!$BQ$282,IF($S$335=259,PR!$BQ$283,IF($S$335=260,PR!$BQ$284,IF($S$335=261,PR!$BQ$285,IF($S$335=262,PR!$BQ$286,IF($S$335=263,PR!$BQ$287,IF($S$335=264,PR!$BQ$288,IF($S$335=265,PR!$BQ$289,IF($S$335=266,PR!$BQ$290,IF($S$335=267,PR!$BQ$291,IF($S$335=268,PR!$BQ$292,IF($S$335=269,PR!$BQ$293,IF($S$335=270,PR!$BQ$294,IF($S$335=271,PR!$BQ$295,IF($S$335=272,PR!$BQ$296,IF($S$335=273,PR!$BQ$297,IF($S$335=274,PR!$BQ$298,IF($S$335=275,PR!$BQ$299,IF($S$335=276,PR!$BQ$300,IF($S$335=277,PR!$BQ$301,IF($S$335=278,PR!$BQ$302,IF($S$335=279,PR!$BQ$303,IF($S$335=280,PR!$BQ$304,IF($S$335=281,PR!$BQ$305,IF($S$335=282,PR!$BQ$306,IF($S$335=283,PR!$BQ$307,IF($S$335=284,PR!$BQ$308,IF($S$335=285,PR!$BQ$315,IF($S$335=286,PR!$BQ$316,IF($S$335=287,PR!$BQ$317,IF($S$335=288,PR!$BQ$318,IF($S$335=289,PR!$BQ$319,IF($S$335=290,PR!$BQ$320,IF($S$335=291,PR!$BQ$321,IF($S$335=292,PR!$BQ$322,IF($S$335=293,PR!$BQ$323,IF($S$335=294,PR!$BQ$324,IF($S$335=295,PR!$BQ$325,IF($S$335=296,PR!$BQ$326,IF($S$335=297,PR!$BQ$327,IF($S$335=298,PR!$BQ$328,IF($S$335=299,PR!$BQ$329,IF($S$335=300,PR!$BQ$330,"-"))))))))))))))))))))))))))))))))))))))))))))))))))))))))))))</f>
        <v>0</v>
      </c>
      <c r="Q348" s="570">
        <f>IF($S$335=241,PR!$BR$265,IF($S$335=242,PR!$BR$266,IF($S$335=243,PR!$BR$267,IF($S$335=244,PR!$BR$268,IF($S$335=245,PR!$BR$269,IF($S$335=246,PR!$BR$270,IF($S$335=247,PR!$BR$271,IF($S$335=248,PR!$BR$272,IF($S$335=249,PR!$BR$273,IF($S$335=250,PR!$BR$274,IF($S$335=251,PR!$BR$275,IF($S$335=252,PR!$BR$276,IF($S$335=253,PR!$BR$277,IF($S$335=254,PR!$BR$278,IF($S$335=255,PR!$BR$279,IF($S$335=256,PR!$BR$280,IF($S$335=257,PR!$BR$281,IF($S$335=258,PR!$BR$282,IF($S$335=259,PR!$BR$283,IF($S$335=260,PR!$BR$284,IF($S$335=261,PR!$BR$285,IF($S$335=262,PR!$BR$286,IF($S$335=263,PR!$BR$287,IF($S$335=264,PR!$BR$288,IF($S$335=265,PR!$BR$289,IF($S$335=266,PR!$BR$290,IF($S$335=267,PR!$BR$291,IF($S$335=268,PR!$BR$292,IF($S$335=269,PR!$BR$293,IF($S$335=270,PR!$BR$294,IF($S$335=271,PR!$BR$295,IF($S$335=272,PR!$BR$296,IF($S$335=273,PR!$BR$297,IF($S$335=274,PR!$BR$298,IF($S$335=275,PR!$BR$299,IF($S$335=276,PR!$BR$300,IF($S$335=277,PR!$BR$301,IF($S$335=278,PR!$BR$302,IF($S$335=279,PR!$BR$303,IF($S$335=280,PR!$BR$304,IF($S$335=281,PR!$BR$305,IF($S$335=282,PR!$BR$306,IF($S$335=283,PR!$BR$307,IF($S$335=284,PR!$BR$308,IF($S$335=285,PR!$BR$315,IF($S$335=286,PR!$BR$316,IF($S$335=287,PR!$BR$317,IF($S$335=288,PR!$BR$318,IF($S$335=289,PR!$BR$319,IF($S$335=290,PR!$BR$320,IF($S$335=291,PR!$BR$321,IF($S$335=292,PR!$BR$322,IF($S$335=293,PR!$BR$323,IF($S$335=294,PR!$BR$324,IF($S$335=295,PR!$BR$325,IF($S$335=296,PR!$BR$326,IF($S$335=297,PR!$BR$327,IF($S$335=298,PR!$BR$328,IF($S$335=299,PR!$BR$329,IF($S$335=300,PR!$BR$330,"-"))))))))))))))))))))))))))))))))))))))))))))))))))))))))))))</f>
        <v>0</v>
      </c>
      <c r="R348" s="570">
        <f>IF($S$335=241,PR!$BS$265,IF($S$335=242,PR!$BS$266,IF($S$335=243,PR!$BS$267,IF($S$335=244,PR!$BS$268,IF($S$335=245,PR!$BS$269,IF($S$335=246,PR!$BS$270,IF($S$335=247,PR!$BS$271,IF($S$335=248,PR!$BS$272,IF($S$335=249,PR!$BS$273,IF($S$335=250,PR!$BS$274,IF($S$335=251,PR!$BS$275,IF($S$335=252,PR!$BS$276,IF($S$335=253,PR!$BS$277,IF($S$335=254,PR!$BS$278,IF($S$335=255,PR!$BS$279,IF($S$335=256,PR!$BS$280,IF($S$335=257,PR!$BS$281,IF($S$335=258,PR!$BS$282,IF($S$335=259,PR!$BS$283,IF($S$335=260,PR!$BS$284,IF($S$335=261,PR!$BS$285,IF($S$335=262,PR!$BS$286,IF($S$335=263,PR!$BS$287,IF($S$335=264,PR!$BS$288,IF($S$335=265,PR!$BS$289,IF($S$335=266,PR!$BS$290,IF($S$335=267,PR!$BS$291,IF($S$335=268,PR!$BS$292,IF($S$335=269,PR!$BS$293,IF($S$335=270,PR!$BS$294,IF($S$335=271,PR!$BS$295,IF($S$335=272,PR!$BS$296,IF($S$335=273,PR!$BS$297,IF($S$335=274,PR!$BS$298,IF($S$335=275,PR!$BS$299,IF($S$335=276,PR!$BS$300,IF($S$335=277,PR!$BS$301,IF($S$335=278,PR!$BS$302,IF($S$335=279,PR!$BS$303,IF($S$335=280,PR!$BS$304,IF($S$335=281,PR!$BS$305,IF($S$335=282,PR!$BS$306,IF($S$335=283,PR!$BS$307,IF($S$335=284,PR!$BS$308,IF($S$335=285,PR!$BS$315,IF($S$335=286,PR!$BS$316,IF($S$335=287,PR!$BS$317,IF($S$335=288,PR!$BS$318,IF($S$335=289,PR!$BS$319,IF($S$335=290,PR!$BS$320,IF($S$335=291,PR!$BS$321,IF($S$335=292,PR!$BS$322,IF($S$335=293,PR!$BS$323,IF($S$335=294,PR!$BS$324,IF($S$335=295,PR!$BS$325,IF($S$335=296,PR!$BS$326,IF($S$335=297,PR!$BS$327,IF($S$335=298,PR!$BS$328,IF($S$335=299,PR!$BS$329,IF($S$335=300,PR!$BS$330,"-"))))))))))))))))))))))))))))))))))))))))))))))))))))))))))))</f>
        <v>0</v>
      </c>
      <c r="S348" s="572"/>
      <c r="T348" s="552"/>
      <c r="U348" s="518"/>
      <c r="V348" s="32"/>
      <c r="W348" s="32"/>
      <c r="X348" s="32"/>
      <c r="Y348" s="32"/>
      <c r="Z348" s="32"/>
    </row>
    <row r="349" spans="1:26" x14ac:dyDescent="0.25">
      <c r="A349" s="91"/>
      <c r="B349" s="552"/>
      <c r="C349" s="565"/>
      <c r="D349" s="552"/>
      <c r="E349" s="552"/>
      <c r="F349" s="552"/>
      <c r="G349" s="552"/>
      <c r="H349" s="552"/>
      <c r="I349" s="552"/>
      <c r="J349" s="552"/>
      <c r="K349" s="552"/>
      <c r="L349" s="552"/>
      <c r="M349" s="552"/>
      <c r="N349" s="552"/>
      <c r="O349" s="552"/>
      <c r="P349" s="552"/>
      <c r="Q349" s="552"/>
      <c r="R349" s="555"/>
      <c r="S349" s="552"/>
      <c r="T349" s="552"/>
      <c r="U349" s="518"/>
      <c r="V349" s="32"/>
      <c r="W349" s="32"/>
      <c r="X349" s="32"/>
      <c r="Y349" s="32"/>
      <c r="Z349" s="32"/>
    </row>
    <row r="350" spans="1:26" ht="30" x14ac:dyDescent="0.25">
      <c r="A350" s="91"/>
      <c r="B350" s="552"/>
      <c r="C350" s="565"/>
      <c r="D350" s="552"/>
      <c r="E350" s="552"/>
      <c r="F350" s="552"/>
      <c r="G350" s="552"/>
      <c r="H350" s="552"/>
      <c r="I350" s="552"/>
      <c r="J350" s="552"/>
      <c r="K350" s="576" t="s">
        <v>783</v>
      </c>
      <c r="L350" s="577" t="s">
        <v>418</v>
      </c>
      <c r="M350" s="577" t="s">
        <v>419</v>
      </c>
      <c r="N350" s="578" t="s">
        <v>420</v>
      </c>
      <c r="O350" s="552"/>
      <c r="P350" s="552"/>
      <c r="Q350" s="552"/>
      <c r="R350" s="552"/>
      <c r="S350" s="552"/>
      <c r="T350" s="552"/>
      <c r="U350" s="518"/>
      <c r="V350" s="32"/>
      <c r="W350" s="32"/>
      <c r="X350" s="32"/>
      <c r="Y350" s="32"/>
      <c r="Z350" s="32"/>
    </row>
    <row r="351" spans="1:26" x14ac:dyDescent="0.25">
      <c r="A351" s="91"/>
      <c r="B351" s="552"/>
      <c r="C351" s="565"/>
      <c r="D351" s="552"/>
      <c r="E351" s="552"/>
      <c r="F351" s="552"/>
      <c r="G351" s="552"/>
      <c r="H351" s="552"/>
      <c r="I351" s="552"/>
      <c r="J351" s="552"/>
      <c r="K351" s="555" t="s">
        <v>785</v>
      </c>
      <c r="L351" s="552"/>
      <c r="M351" s="552"/>
      <c r="N351" s="552"/>
      <c r="O351" s="552"/>
      <c r="P351" s="552"/>
      <c r="Q351" s="552"/>
      <c r="R351" s="552"/>
      <c r="S351" s="552"/>
      <c r="T351" s="552"/>
      <c r="U351" s="518"/>
      <c r="V351" s="32"/>
      <c r="W351" s="32"/>
      <c r="X351" s="32"/>
      <c r="Y351" s="32"/>
      <c r="Z351" s="32"/>
    </row>
    <row r="352" spans="1:26" x14ac:dyDescent="0.25">
      <c r="A352" s="32"/>
      <c r="B352" s="32"/>
      <c r="C352" s="96"/>
      <c r="D352" s="32"/>
      <c r="E352" s="32"/>
      <c r="F352" s="32"/>
      <c r="G352" s="32"/>
      <c r="H352" s="32"/>
      <c r="I352" s="32"/>
      <c r="J352" s="32"/>
      <c r="K352" s="97">
        <v>241</v>
      </c>
      <c r="L352" s="98" t="s">
        <v>615</v>
      </c>
      <c r="M352" s="99" t="s">
        <v>614</v>
      </c>
      <c r="N352" s="100" t="s">
        <v>1243</v>
      </c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x14ac:dyDescent="0.2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97">
        <f>1+K352</f>
        <v>242</v>
      </c>
      <c r="L353" s="98" t="s">
        <v>633</v>
      </c>
      <c r="M353" s="99" t="s">
        <v>627</v>
      </c>
      <c r="N353" s="100" t="s">
        <v>821</v>
      </c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x14ac:dyDescent="0.2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97">
        <f t="shared" ref="K354:K411" si="5">1+K353</f>
        <v>243</v>
      </c>
      <c r="L354" s="98" t="s">
        <v>627</v>
      </c>
      <c r="M354" s="99" t="s">
        <v>821</v>
      </c>
      <c r="N354" s="100" t="s">
        <v>387</v>
      </c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x14ac:dyDescent="0.2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97">
        <f t="shared" si="5"/>
        <v>244</v>
      </c>
      <c r="L355" s="98" t="s">
        <v>616</v>
      </c>
      <c r="M355" s="99" t="s">
        <v>633</v>
      </c>
      <c r="N355" s="100" t="s">
        <v>821</v>
      </c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x14ac:dyDescent="0.2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97">
        <f t="shared" si="5"/>
        <v>245</v>
      </c>
      <c r="L356" s="98"/>
      <c r="M356" s="99"/>
      <c r="N356" s="100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x14ac:dyDescent="0.2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97">
        <f t="shared" si="5"/>
        <v>246</v>
      </c>
      <c r="L357" s="98" t="s">
        <v>821</v>
      </c>
      <c r="M357" s="99"/>
      <c r="N357" s="100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x14ac:dyDescent="0.2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97">
        <f t="shared" si="5"/>
        <v>247</v>
      </c>
      <c r="L358" s="98" t="s">
        <v>821</v>
      </c>
      <c r="M358" s="99" t="s">
        <v>614</v>
      </c>
      <c r="N358" s="100" t="s">
        <v>619</v>
      </c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x14ac:dyDescent="0.2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97">
        <f t="shared" si="5"/>
        <v>248</v>
      </c>
      <c r="L359" s="98" t="s">
        <v>821</v>
      </c>
      <c r="M359" s="99"/>
      <c r="N359" s="100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x14ac:dyDescent="0.2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97">
        <f t="shared" si="5"/>
        <v>249</v>
      </c>
      <c r="L360" s="98" t="s">
        <v>821</v>
      </c>
      <c r="M360" s="99" t="s">
        <v>627</v>
      </c>
      <c r="N360" s="100" t="s">
        <v>619</v>
      </c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x14ac:dyDescent="0.2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97">
        <f t="shared" si="5"/>
        <v>250</v>
      </c>
      <c r="L361" s="98" t="s">
        <v>821</v>
      </c>
      <c r="M361" s="99"/>
      <c r="N361" s="100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x14ac:dyDescent="0.2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97">
        <f t="shared" si="5"/>
        <v>251</v>
      </c>
      <c r="L362" s="98" t="s">
        <v>821</v>
      </c>
      <c r="M362" s="99" t="s">
        <v>627</v>
      </c>
      <c r="N362" s="100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x14ac:dyDescent="0.2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97">
        <f t="shared" si="5"/>
        <v>252</v>
      </c>
      <c r="L363" s="98" t="s">
        <v>821</v>
      </c>
      <c r="M363" s="99" t="s">
        <v>829</v>
      </c>
      <c r="N363" s="100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x14ac:dyDescent="0.2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97">
        <f t="shared" si="5"/>
        <v>253</v>
      </c>
      <c r="L364" s="98"/>
      <c r="M364" s="99"/>
      <c r="N364" s="100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x14ac:dyDescent="0.2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97">
        <f t="shared" si="5"/>
        <v>254</v>
      </c>
      <c r="L365" s="98" t="s">
        <v>829</v>
      </c>
      <c r="M365" s="99"/>
      <c r="N365" s="100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x14ac:dyDescent="0.2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97">
        <f t="shared" si="5"/>
        <v>255</v>
      </c>
      <c r="L366" s="98" t="s">
        <v>646</v>
      </c>
      <c r="M366" s="99"/>
      <c r="N366" s="100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x14ac:dyDescent="0.2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97">
        <f t="shared" si="5"/>
        <v>256</v>
      </c>
      <c r="L367" s="98" t="s">
        <v>821</v>
      </c>
      <c r="M367" s="99"/>
      <c r="N367" s="100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x14ac:dyDescent="0.2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97">
        <f t="shared" si="5"/>
        <v>257</v>
      </c>
      <c r="L368" s="98" t="s">
        <v>1243</v>
      </c>
      <c r="M368" s="99" t="s">
        <v>634</v>
      </c>
      <c r="N368" s="100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x14ac:dyDescent="0.2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97">
        <f t="shared" si="5"/>
        <v>258</v>
      </c>
      <c r="L369" s="98" t="s">
        <v>627</v>
      </c>
      <c r="M369" s="99" t="s">
        <v>622</v>
      </c>
      <c r="N369" s="100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x14ac:dyDescent="0.2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97">
        <f t="shared" si="5"/>
        <v>259</v>
      </c>
      <c r="L370" s="98" t="s">
        <v>1246</v>
      </c>
      <c r="M370" s="99"/>
      <c r="N370" s="100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x14ac:dyDescent="0.2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97">
        <f t="shared" si="5"/>
        <v>260</v>
      </c>
      <c r="L371" s="98" t="s">
        <v>829</v>
      </c>
      <c r="M371" s="99" t="s">
        <v>620</v>
      </c>
      <c r="N371" s="100" t="s">
        <v>1246</v>
      </c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x14ac:dyDescent="0.2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97">
        <f t="shared" si="5"/>
        <v>261</v>
      </c>
      <c r="L372" s="98" t="s">
        <v>821</v>
      </c>
      <c r="M372" s="99" t="s">
        <v>1448</v>
      </c>
      <c r="N372" s="100" t="s">
        <v>829</v>
      </c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x14ac:dyDescent="0.2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97">
        <f t="shared" si="5"/>
        <v>262</v>
      </c>
      <c r="L373" s="98" t="s">
        <v>818</v>
      </c>
      <c r="M373" s="99" t="s">
        <v>633</v>
      </c>
      <c r="N373" s="100" t="s">
        <v>632</v>
      </c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x14ac:dyDescent="0.2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97">
        <f t="shared" si="5"/>
        <v>263</v>
      </c>
      <c r="L374" s="98" t="s">
        <v>630</v>
      </c>
      <c r="M374" s="99" t="s">
        <v>636</v>
      </c>
      <c r="N374" s="100" t="s">
        <v>631</v>
      </c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x14ac:dyDescent="0.2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97">
        <f t="shared" si="5"/>
        <v>264</v>
      </c>
      <c r="L375" s="98" t="s">
        <v>821</v>
      </c>
      <c r="M375" s="99" t="s">
        <v>627</v>
      </c>
      <c r="N375" s="100" t="s">
        <v>631</v>
      </c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x14ac:dyDescent="0.2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97">
        <f t="shared" si="5"/>
        <v>265</v>
      </c>
      <c r="L376" s="98" t="s">
        <v>627</v>
      </c>
      <c r="M376" s="99" t="s">
        <v>631</v>
      </c>
      <c r="N376" s="100" t="s">
        <v>821</v>
      </c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x14ac:dyDescent="0.2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97">
        <f t="shared" si="5"/>
        <v>266</v>
      </c>
      <c r="L377" s="98" t="s">
        <v>818</v>
      </c>
      <c r="M377" s="99" t="s">
        <v>631</v>
      </c>
      <c r="N377" s="100" t="s">
        <v>633</v>
      </c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x14ac:dyDescent="0.2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97">
        <f t="shared" si="5"/>
        <v>267</v>
      </c>
      <c r="L378" s="98" t="s">
        <v>821</v>
      </c>
      <c r="M378" s="99" t="s">
        <v>633</v>
      </c>
      <c r="N378" s="100" t="s">
        <v>1233</v>
      </c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x14ac:dyDescent="0.2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97">
        <f t="shared" si="5"/>
        <v>268</v>
      </c>
      <c r="L379" s="98"/>
      <c r="M379" s="99"/>
      <c r="N379" s="100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x14ac:dyDescent="0.2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97">
        <f t="shared" si="5"/>
        <v>269</v>
      </c>
      <c r="L380" s="98" t="s">
        <v>632</v>
      </c>
      <c r="M380" s="99" t="s">
        <v>821</v>
      </c>
      <c r="N380" s="100" t="s">
        <v>618</v>
      </c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x14ac:dyDescent="0.2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97">
        <f t="shared" si="5"/>
        <v>270</v>
      </c>
      <c r="L381" s="98" t="s">
        <v>821</v>
      </c>
      <c r="M381" s="99"/>
      <c r="N381" s="100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x14ac:dyDescent="0.2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97">
        <f t="shared" si="5"/>
        <v>271</v>
      </c>
      <c r="L382" s="98" t="s">
        <v>821</v>
      </c>
      <c r="M382" s="99"/>
      <c r="N382" s="100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x14ac:dyDescent="0.2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97">
        <f t="shared" si="5"/>
        <v>272</v>
      </c>
      <c r="L383" s="98" t="s">
        <v>634</v>
      </c>
      <c r="M383" s="99"/>
      <c r="N383" s="100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x14ac:dyDescent="0.2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97">
        <f t="shared" si="5"/>
        <v>273</v>
      </c>
      <c r="L384" s="98"/>
      <c r="M384" s="99"/>
      <c r="N384" s="100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x14ac:dyDescent="0.2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97">
        <f t="shared" si="5"/>
        <v>274</v>
      </c>
      <c r="L385" s="98" t="s">
        <v>621</v>
      </c>
      <c r="M385" s="99" t="s">
        <v>821</v>
      </c>
      <c r="N385" s="100" t="s">
        <v>1450</v>
      </c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x14ac:dyDescent="0.2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97">
        <f t="shared" si="5"/>
        <v>275</v>
      </c>
      <c r="L386" s="98"/>
      <c r="M386" s="99"/>
      <c r="N386" s="100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x14ac:dyDescent="0.2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97">
        <f t="shared" si="5"/>
        <v>276</v>
      </c>
      <c r="L387" s="98" t="s">
        <v>821</v>
      </c>
      <c r="M387" s="99"/>
      <c r="N387" s="100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x14ac:dyDescent="0.2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97">
        <f t="shared" si="5"/>
        <v>277</v>
      </c>
      <c r="L388" s="98"/>
      <c r="M388" s="99"/>
      <c r="N388" s="100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x14ac:dyDescent="0.2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97">
        <f t="shared" si="5"/>
        <v>278</v>
      </c>
      <c r="L389" s="98" t="s">
        <v>821</v>
      </c>
      <c r="M389" s="99"/>
      <c r="N389" s="100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x14ac:dyDescent="0.2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97">
        <f t="shared" si="5"/>
        <v>279</v>
      </c>
      <c r="L390" s="98"/>
      <c r="M390" s="99"/>
      <c r="N390" s="100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x14ac:dyDescent="0.2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97">
        <f t="shared" si="5"/>
        <v>280</v>
      </c>
      <c r="L391" s="98" t="s">
        <v>635</v>
      </c>
      <c r="M391" s="99" t="s">
        <v>616</v>
      </c>
      <c r="N391" s="100" t="s">
        <v>618</v>
      </c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x14ac:dyDescent="0.2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97">
        <f t="shared" si="5"/>
        <v>281</v>
      </c>
      <c r="L392" s="98"/>
      <c r="M392" s="99"/>
      <c r="N392" s="100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x14ac:dyDescent="0.2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97">
        <f t="shared" si="5"/>
        <v>282</v>
      </c>
      <c r="L393" s="98" t="s">
        <v>630</v>
      </c>
      <c r="M393" s="99" t="s">
        <v>621</v>
      </c>
      <c r="N393" s="100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x14ac:dyDescent="0.2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97">
        <f t="shared" si="5"/>
        <v>283</v>
      </c>
      <c r="L394" s="98"/>
      <c r="M394" s="99"/>
      <c r="N394" s="100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x14ac:dyDescent="0.2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97">
        <f t="shared" si="5"/>
        <v>284</v>
      </c>
      <c r="L395" s="98" t="s">
        <v>821</v>
      </c>
      <c r="M395" s="99"/>
      <c r="N395" s="100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x14ac:dyDescent="0.2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97">
        <f t="shared" si="5"/>
        <v>285</v>
      </c>
      <c r="L396" s="98"/>
      <c r="M396" s="99"/>
      <c r="N396" s="100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x14ac:dyDescent="0.2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97">
        <f t="shared" si="5"/>
        <v>286</v>
      </c>
      <c r="L397" s="98" t="s">
        <v>821</v>
      </c>
      <c r="M397" s="99" t="s">
        <v>1233</v>
      </c>
      <c r="N397" s="100" t="s">
        <v>631</v>
      </c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x14ac:dyDescent="0.2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97">
        <f t="shared" si="5"/>
        <v>287</v>
      </c>
      <c r="L398" s="98" t="s">
        <v>614</v>
      </c>
      <c r="M398" s="99" t="s">
        <v>2070</v>
      </c>
      <c r="N398" s="100" t="s">
        <v>631</v>
      </c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x14ac:dyDescent="0.2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97">
        <f t="shared" si="5"/>
        <v>288</v>
      </c>
      <c r="L399" s="98" t="s">
        <v>631</v>
      </c>
      <c r="M399" s="99"/>
      <c r="N399" s="100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x14ac:dyDescent="0.2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97">
        <f t="shared" si="5"/>
        <v>289</v>
      </c>
      <c r="L400" s="98" t="s">
        <v>631</v>
      </c>
      <c r="M400" s="99"/>
      <c r="N400" s="100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x14ac:dyDescent="0.2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97">
        <f t="shared" si="5"/>
        <v>290</v>
      </c>
      <c r="L401" s="98" t="s">
        <v>821</v>
      </c>
      <c r="M401" s="99"/>
      <c r="N401" s="100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x14ac:dyDescent="0.2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97">
        <f t="shared" si="5"/>
        <v>291</v>
      </c>
      <c r="L402" s="98" t="s">
        <v>821</v>
      </c>
      <c r="M402" s="99" t="s">
        <v>623</v>
      </c>
      <c r="N402" s="100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x14ac:dyDescent="0.2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97">
        <f t="shared" si="5"/>
        <v>292</v>
      </c>
      <c r="L403" s="98" t="s">
        <v>816</v>
      </c>
      <c r="M403" s="99"/>
      <c r="N403" s="100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x14ac:dyDescent="0.2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97">
        <f t="shared" si="5"/>
        <v>293</v>
      </c>
      <c r="L404" s="98" t="s">
        <v>635</v>
      </c>
      <c r="M404" s="99" t="s">
        <v>821</v>
      </c>
      <c r="N404" s="100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x14ac:dyDescent="0.2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97">
        <f t="shared" si="5"/>
        <v>294</v>
      </c>
      <c r="L405" s="98" t="s">
        <v>816</v>
      </c>
      <c r="M405" s="99"/>
      <c r="N405" s="100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x14ac:dyDescent="0.2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97">
        <f t="shared" si="5"/>
        <v>295</v>
      </c>
      <c r="L406" s="98" t="s">
        <v>1241</v>
      </c>
      <c r="M406" s="99"/>
      <c r="N406" s="100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x14ac:dyDescent="0.2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97">
        <f t="shared" si="5"/>
        <v>296</v>
      </c>
      <c r="L407" s="98" t="s">
        <v>635</v>
      </c>
      <c r="M407" s="99"/>
      <c r="N407" s="100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x14ac:dyDescent="0.2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97">
        <f t="shared" si="5"/>
        <v>297</v>
      </c>
      <c r="L408" s="98" t="s">
        <v>628</v>
      </c>
      <c r="M408" s="99"/>
      <c r="N408" s="100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x14ac:dyDescent="0.2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97">
        <f t="shared" si="5"/>
        <v>298</v>
      </c>
      <c r="L409" s="98"/>
      <c r="M409" s="99"/>
      <c r="N409" s="100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x14ac:dyDescent="0.2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97">
        <f t="shared" si="5"/>
        <v>299</v>
      </c>
      <c r="L410" s="98" t="s">
        <v>821</v>
      </c>
      <c r="M410" s="99" t="s">
        <v>1231</v>
      </c>
      <c r="N410" s="100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x14ac:dyDescent="0.2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97">
        <f t="shared" si="5"/>
        <v>300</v>
      </c>
      <c r="L411" s="98" t="s">
        <v>634</v>
      </c>
      <c r="M411" s="99" t="s">
        <v>631</v>
      </c>
      <c r="N411" s="100" t="s">
        <v>1446</v>
      </c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x14ac:dyDescent="0.2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x14ac:dyDescent="0.2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x14ac:dyDescent="0.2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x14ac:dyDescent="0.2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x14ac:dyDescent="0.2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x14ac:dyDescent="0.2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x14ac:dyDescent="0.25">
      <c r="A418" s="32"/>
      <c r="F418" s="428"/>
      <c r="G418" s="427"/>
      <c r="J418" s="428" t="s">
        <v>806</v>
      </c>
      <c r="V418" s="32"/>
      <c r="W418" s="32"/>
      <c r="X418" s="32"/>
      <c r="Y418" s="32"/>
      <c r="Z418" s="32"/>
    </row>
    <row r="419" spans="1:26" ht="36.75" thickBot="1" x14ac:dyDescent="0.6">
      <c r="A419" s="92"/>
      <c r="B419" s="551"/>
      <c r="C419" s="552"/>
      <c r="D419" s="552"/>
      <c r="E419" s="552"/>
      <c r="F419" s="552"/>
      <c r="G419" s="552"/>
      <c r="H419" s="553" t="str">
        <f>IF($S$420&gt;=1055,"LOT 21 LABORATORY REQUIREMENT - OBADA ANNEX",IF($S$420&gt;=1039,"LOT 21 - LABORATORY REQUIREMENT - SHAJE ANNEX",IF($S$420&gt;=981,"LOT 20 - LABORATORY - CHEMICAL PATHOLOGY",IF($S$420&gt;=974,"LOT 19 - MICROBIOLOGY - INFECTION CONTROL",IF($S$420&gt;=957,"LOT 19 - MICROBIOLOGY - SENSITIVITY DISCS",IF($S$420&gt;=902,"LOT 18 - MICROBIOLOGY - REAGENT KITS",IF($S$420&gt;=846,"LOT 17 - HISTOPATHOLOGY",IF($S$420&gt;=760,"LOT 16 - HAEMATOLOGY",IF($S$420&gt;=722,"LOT 15 - THEATRE DEPARTMENT",IF($S$420&gt;=709,"LOT 14 - RADIOLOGY DEPARTMENT",IF($S$420&gt;=702,"LOT 13 - PHARMACY - CONSUMABLES - SUTURES",IF($S$420&gt;=684,"LOT 13 - PHARMACY - CONSUMABLES",IF($S$420&gt;=669,"LOT 13 PHARMACY - DISINFECTANTS",IF($S$420&gt;=651,"LOT 13 - PHARMACY - DERMATOLOGICAL PREPARATIONS",IF($S$420&gt;=570,"LOT 13 - PHARMACY - DRESSINGS/CONSUMABLES",IF($S$420&gt;=539,"LOT 12 - PHARMACY - ONCOLOGY DRUGS",IF($S$420&gt;=494,"LOT 11 - PHARMACY - EYE/EAR MEDICATIONS",IF($S$420&gt;=455,"LOT 10 - PHARMACY - RESPIRATORY TRACT DRUGS",IF($S$420&gt;=424,"LOT 9 - PHARMACY GASTROINTESTINAL DRUGS",IF($S$420&gt;=381,"LOT 8 - PHARMACY -OBSTETRICS/GYNAECOLOGY DRUGS",IF($S$420&gt;=351,"LOT 7 - PHARMACY - HYPNOSEDATIVE DRUGS",IF($S$420&gt;=285,"LOT 6 PHARMACY - BLOOD &amp; NUTRITIONAL DRUGS",IF($S$420&gt;=194,"LOT 5 - PHARMACY - ANTI-INFECTIVE AGENTS",IF($S$420&gt;=142,"LOT 4 - PHARMACY - ANTI-INFLAMMATORY/ANTI-PYRETIC/ANALGESICS",IF($S$420&gt;=118,"LOT 3 - PHARMACY - ORAL HYPOGLYCAEMIC DRUGS",IF($S$420&gt;=34,"LOT 3 - PHARMACY - ANTI-HYPERTENSIVES",IF($S$420&gt;=19,"LOT 2 - PHARMACY - STERILE INTRAVENOUS FLUIDS",IF($S$420&gt;=1,"LOT 1 - PHARMACY - ANTI-MALARIALS","-"))))))))))))))))))))))))))))</f>
        <v>LOT 7 - PHARMACY - HYPNOSEDATIVE DRUGS</v>
      </c>
      <c r="I419" s="554"/>
      <c r="J419" s="552"/>
      <c r="K419" s="552"/>
      <c r="L419" s="552"/>
      <c r="M419" s="552"/>
      <c r="N419" s="552"/>
      <c r="O419" s="552"/>
      <c r="P419" s="552"/>
      <c r="Q419" s="552"/>
      <c r="R419" s="555"/>
      <c r="S419" s="552"/>
      <c r="T419" s="552"/>
      <c r="U419" s="518"/>
      <c r="V419" s="32"/>
      <c r="W419" s="32"/>
      <c r="X419" s="32"/>
      <c r="Y419" s="32"/>
      <c r="Z419" s="32"/>
    </row>
    <row r="420" spans="1:26" ht="39" customHeight="1" thickBot="1" x14ac:dyDescent="0.7">
      <c r="A420" s="95" t="s">
        <v>779</v>
      </c>
      <c r="B420" s="556"/>
      <c r="C420" s="557" t="str">
        <f>IF($S$420=301,PR!$B$331,IF($S$420=302,PR!$B$332,IF($S$420=303,PR!$B$333,IF($S$420=304,PR!$B$334,IF($S$420=305,PR!$B$335,IF($S$420=306,PR!$B$336,IF($S$420=307,PR!$B$337,IF($S$420=308,PR!$B$338,IF($S$420=309,PR!$B$339,IF($S$420=310,PR!$B$340,IF($S$420=311,PR!$B$341,IF($S$420=312,PR!$B$342,IF($S$420=313,PR!$B$343,IF($S$420=314,PR!$B$344,IF($S$420=315,PR!$B$345,IF($S$420=316,PR!$B$346,IF($S$420=317,PR!$B$347,IF($S$420=318,PR!$B$348,IF($S$420=319,PR!$B$349,IF($S$420=320,PR!$B$350,IF($S$420=321,PR!$B$351,IF($S$420=322,PR!$B$352,IF($S$420=323,PR!$B$353,IF($S$420=324,PR!$B$354,IF($S$420=325,PR!$B$355,IF($S$420=326,PR!$B$356,IF($S$420=327,PR!$B$357,IF($S$420=328,PR!$B$358,IF($S$420=329,PR!$B$359,IF($S$420=330,PR!$B$360,IF($S$420=331,PR!$B$361,IF($S$420=332,PR!$B$362,IF($S$420=333,PR!$B$363,IF($S$420=334,PR!$B$364,IF($S$420=335,PR!$B$365,IF($S$420=336,PR!$B$366,IF($S$420=337,PR!$B$367,IF($S$420=338,PR!$B$368,IF($S$420=339,PR!$B$369,IF($S$420=340,PR!$B$370,IF($S$420=341,PR!$B$371,IF($S$420=342,PR!$B$372,IF($S$420=343,PR!$B$373,IF($S$420=344,PR!$B$374,IF($S$420=345,PR!$B$375,IF($S$420=346,PR!$B$376,IF($S$420=347,PR!$B$377,IF($S$420=348,PR!$B$378,IF($S$420=349,PR!$B$379,IF($S$420=350,PR!$B$380,IF($S$420=351,PR!$B$385,IF($S$420=352,PR!$B$386,IF($S$420=353,PR!$B$387,IF($S$420=354,PR!$B$388,IF($S$420=355,PR!$B$389,IF($S$420=356,PR!$B$390,IF($S$420=357,PR!$B$391,IF($S$420=358,PR!$B$392,IF($S$420=359,PR!$B$393,IF($S$420=360,PR!$B$394,"-"))))))))))))))))))))))))))))))))))))))))))))))))))))))))))))</f>
        <v>CHLORPROMAZINE 50MG INJ</v>
      </c>
      <c r="D420" s="558"/>
      <c r="E420" s="558"/>
      <c r="F420" s="558"/>
      <c r="G420" s="558"/>
      <c r="H420" s="558"/>
      <c r="I420" s="558"/>
      <c r="J420" s="558"/>
      <c r="K420" s="558"/>
      <c r="L420" s="558"/>
      <c r="M420" s="558"/>
      <c r="N420" s="558"/>
      <c r="O420" s="558"/>
      <c r="P420" s="559"/>
      <c r="Q420" s="560"/>
      <c r="R420" s="555"/>
      <c r="S420" s="561">
        <v>359</v>
      </c>
      <c r="T420" s="552"/>
      <c r="U420" s="518"/>
      <c r="V420" s="32"/>
      <c r="W420" s="32"/>
      <c r="X420" s="32"/>
      <c r="Y420" s="32"/>
      <c r="Z420" s="32"/>
    </row>
    <row r="421" spans="1:26" ht="32.25" customHeight="1" thickBot="1" x14ac:dyDescent="0.7">
      <c r="A421" s="91"/>
      <c r="B421" s="552"/>
      <c r="C421" s="562" t="s">
        <v>780</v>
      </c>
      <c r="D421" s="783">
        <f>IF($S$420=301,PR!$D$331,IF($S$420=302,PR!$D$332,IF($S$420=303,PR!$D$333,IF($S$420=304,PR!$D$334,IF($S$420=305,PR!$D$335,IF($S$420=306,PR!$D$336,IF($S$420=307,PR!$D$337,IF($S$420=308,PR!$D$338,IF($S$420=309,PR!$D$339,IF($S$420=310,PR!$D$340,IF($S$420=311,PR!$D$341,IF($S$420=312,PR!$D$342,IF($S$420=313,PR!$D$343,IF($S$420=314,PR!$D$344,IF($S$420=315,PR!$D$345,IF($S$420=316,PR!$D$346,IF($S$420=317,PR!$D$347,IF($S$420=318,PR!$D$348,IF($S$420=319,PR!$D$349,IF($S$420=320,PR!$D$350,IF($S$420=321,PR!$D$351,IF($S$420=322,PR!$D$352,IF($S$420=323,PR!$D$353,IF($S$420=324,PR!$D$354,IF($S$420=325,PR!$D$355,IF($S$420=326,PR!$D$356,IF($S$420=327,PR!$D$357,IF($S$420=328,PR!$D$358,IF($S$420=329,PR!$D$359,IF($S$420=330,PR!$D$360,IF($S$420=331,PR!$D$361,IF($S$420=332,PR!$D$362,IF($S$420=333,PR!$D$363,IF($S$420=334,PR!$D$364,IF($S$420=335,PR!$D$365,IF($S$420=336,PR!$D$366,IF($S$420=337,PR!$D$367,IF($S$420=338,PR!$D$368,IF($S$420=339,PR!$D$369,IF($S$420=340,PR!$D$370,IF($S$420=341,PR!$D$371,IF($S$420=342,PR!$D$372,IF($S$420=343,PR!$D$373,IF($S$420=344,PR!$D$374,IF($S$420=345,PR!$D$375,IF($S$420=346,PR!$D$376,IF($S$420=347,PR!$D$377,IF($S$420=348,PR!$D$378,IF($S$420=349,PR!$D$379,IF($S$420=350,PR!$D$380,IF($S$420=351,PR!$D$385,IF($S$420=352,PR!$D$386,IF($S$420=353,PR!$D$387,IF($S$420=354,PR!$D$388,IF($S$420=355,PR!$D$389,IF($S$420=356,PR!$D$390,IF($S$420=357,PR!$D$391,IF($S$420=358,PR!$D$392,IF($S$420=359,PR!$D$393,IF($S$420=360,PR!$D$394,"-"))))))))))))))))))))))))))))))))))))))))))))))))))))))))))))</f>
        <v>100</v>
      </c>
      <c r="E421" s="784"/>
      <c r="F421" s="784"/>
      <c r="G421" s="796" t="s">
        <v>781</v>
      </c>
      <c r="H421" s="796"/>
      <c r="I421" s="796"/>
      <c r="J421" s="796"/>
      <c r="K421" s="783">
        <f>IF($S$420=301,PR!$C$331,IF($S$420=302,PR!$C$332,IF($S$420=303,PR!$C$333,IF($S$420=304,PR!$C$334,IF($S$420=305,PR!$C$335,IF($S$420=306,PR!$C$336,IF($S$420=307,PR!$C$337,IF($S$420=308,PR!$C$338,IF($S$420=309,PR!$C$339,IF($S$420=310,PR!$C$340,IF($S$420=311,PR!$C$341,IF($S$420=312,PR!$C$342,IF($S$420=313,PR!$C$343,IF($S$420=314,PR!$C$344,IF($S$420=315,PR!$C$345,IF($S$420=316,PR!$C$346,IF($S$420=317,PR!$C$347,IF($S$420=318,PR!$C$348,IF($S$420=319,PR!$C$349,IF($S$420=320,PR!$C$350,IF($S$420=321,PR!$C$351,IF($S$420=322,PR!$C$352,IF($S$420=323,PR!$C$353,IF($S$420=324,PR!$C$354,IF($S$420=325,PR!$C$355,IF($S$420=326,PR!$C$356,IF($S$420=327,PR!$C$357,IF($S$420=328,PR!$C$358,IF($S$420=329,PR!$C$359,IF($S$420=330,PR!$C$360,IF($S$420=331,PR!$C$361,IF($S$420=332,PR!$C$362,IF($S$420=333,PR!$C$363,IF($S$420=334,PR!$C$364,IF($S$420=335,PR!$C$365,IF($S$420=336,PR!$C$366,IF($S$420=337,PR!$C$367,IF($S$420=338,PR!$C$368,IF($S$420=339,PR!$C$369,IF($S$420=340,PR!$C$370,IF($S$420=341,PR!$C$371,IF($S$420=342,PR!$C$372,IF($S$420=343,PR!$C$373,IF($S$420=344,PR!$C$374,IF($S$420=345,PR!$C$375,IF($S$420=346,PR!$C$376,IF($S$420=347,PR!$C$377,IF($S$420=348,PR!$C$378,IF($S$420=349,PR!$C$379,IF($S$420=350,PR!$C$380,IF($S$420=351,PR!$C$385,IF($S$420=352,PR!$C$386,IF($S$420=353,PR!$C$387,IF($S$420=354,PR!$C$388,IF($S$420=355,PR!$C$389,IF($S$420=356,PR!$C$390,IF($S$420=357,PR!$C$391,IF($S$420=358,PR!$C$392,IF($S$420=359,PR!$C$393,IF($S$420=360,PR!$C$394,"-"))))))))))))))))))))))))))))))))))))))))))))))))))))))))))))</f>
        <v>10</v>
      </c>
      <c r="L421" s="784"/>
      <c r="M421" s="784"/>
      <c r="N421" s="784"/>
      <c r="O421" s="552"/>
      <c r="P421" s="552"/>
      <c r="Q421" s="552"/>
      <c r="R421" s="555"/>
      <c r="S421" s="552"/>
      <c r="T421" s="552"/>
      <c r="U421" s="518"/>
      <c r="V421" s="32"/>
      <c r="W421" s="32"/>
      <c r="X421" s="32"/>
      <c r="Y421" s="32"/>
      <c r="Z421" s="32"/>
    </row>
    <row r="422" spans="1:26" ht="9.75" customHeight="1" thickTop="1" x14ac:dyDescent="0.25">
      <c r="A422" s="91"/>
      <c r="B422" s="552"/>
      <c r="C422" s="563"/>
      <c r="D422" s="564"/>
      <c r="E422" s="552"/>
      <c r="F422" s="552"/>
      <c r="G422" s="565"/>
      <c r="H422" s="565"/>
      <c r="I422" s="565"/>
      <c r="J422" s="565"/>
      <c r="K422" s="566"/>
      <c r="L422" s="566"/>
      <c r="M422" s="552"/>
      <c r="N422" s="552"/>
      <c r="O422" s="552"/>
      <c r="P422" s="552"/>
      <c r="Q422" s="552"/>
      <c r="R422" s="555"/>
      <c r="S422" s="552"/>
      <c r="T422" s="552"/>
      <c r="U422" s="518"/>
      <c r="V422" s="32"/>
      <c r="W422" s="32"/>
      <c r="X422" s="32"/>
      <c r="Y422" s="32"/>
      <c r="Z422" s="32"/>
    </row>
    <row r="423" spans="1:26" ht="15.75" thickBot="1" x14ac:dyDescent="0.3">
      <c r="A423" s="94" t="s">
        <v>782</v>
      </c>
      <c r="B423" s="567"/>
      <c r="C423" s="567" t="str">
        <f>N!$C$4</f>
        <v>ALPHA</v>
      </c>
      <c r="D423" s="567" t="str">
        <f>N!$C$5</f>
        <v>ASSENE</v>
      </c>
      <c r="E423" s="567" t="str">
        <f>N!$C$6</f>
        <v>BIOFEM</v>
      </c>
      <c r="F423" s="567" t="str">
        <f>N!$C$7</f>
        <v>BIOMED</v>
      </c>
      <c r="G423" s="567" t="str">
        <f>N!$C$8</f>
        <v>CHI</v>
      </c>
      <c r="H423" s="567" t="str">
        <f>N!$C$9</f>
        <v>CLARION</v>
      </c>
      <c r="I423" s="567" t="str">
        <f>N!$C$10</f>
        <v>CODIX</v>
      </c>
      <c r="J423" s="567" t="str">
        <f>N!$C$11</f>
        <v>COSMADE</v>
      </c>
      <c r="K423" s="567" t="str">
        <f>N!$C$12</f>
        <v>SANCON</v>
      </c>
      <c r="L423" s="567" t="str">
        <f>N!$C$13</f>
        <v>DEVON</v>
      </c>
      <c r="M423" s="567" t="str">
        <f>N!$C$14</f>
        <v>DORTEMAG</v>
      </c>
      <c r="N423" s="567" t="str">
        <f>N!$C$15</f>
        <v>DGF</v>
      </c>
      <c r="O423" s="568" t="str">
        <f>N!$C$16</f>
        <v>DYNAMIC</v>
      </c>
      <c r="P423" s="567" t="str">
        <f>N!$C$17</f>
        <v>EMZOR</v>
      </c>
      <c r="Q423" s="567" t="str">
        <f>N!$C$18</f>
        <v>EUMATT</v>
      </c>
      <c r="R423" s="567" t="str">
        <f>N!$C$19</f>
        <v>FIDSON</v>
      </c>
      <c r="S423" s="567" t="str">
        <f>N!$C$20</f>
        <v>FCGLOBAL</v>
      </c>
      <c r="T423" s="552"/>
      <c r="U423" s="518"/>
      <c r="V423" s="32"/>
      <c r="W423" s="32"/>
      <c r="X423" s="32"/>
      <c r="Y423" s="32"/>
    </row>
    <row r="424" spans="1:26" ht="15.75" thickBot="1" x14ac:dyDescent="0.3">
      <c r="A424" s="93"/>
      <c r="B424" s="569"/>
      <c r="C424" s="570">
        <f>IF($S$420=301,PR!$E$331,IF($S$420=302,PR!$E$332,IF($S$420=303,PR!$E$333,IF($S$420=304,PR!$E$334,IF($S$420=305,PR!$E$335,IF($S$420=306,PR!$E$336,IF($S$420=307,PR!$E$337,IF($S$420=308,PR!$E$338,IF($S$420=309,PR!$E$339,IF($S$420=310,PR!$E$340,IF($S$420=311,PR!$E$341,IF($S$420=312,PR!$E$342,IF($S$420=313,PR!$E$343,IF($S$420=314,PR!$E$344,IF($S$420=315,PR!$E$345,IF($S$420=316,PR!$E$346,IF($S$420=317,PR!$E$347,IF($S$420=318,PR!$E$348,IF($S$420=319,PR!$E$349,IF($S$420=320,PR!$E$350,IF($S$420=321,PR!$E$351,IF($S$420=322,PR!$E$352,IF($S$420=323,PR!$E$353,IF($S$420=324,PR!$E$354,IF($S$420=325,PR!$E$355,IF($S$420=326,PR!$E$356,IF($S$420=327,PR!$E$357,IF($S$420=328,PR!$E$358,IF($S$420=329,PR!$E$359,IF($S$420=330,PR!$E$360,IF($S$420=331,PR!$E$361,IF($S$420=332,PR!$E$362,IF($S$420=333,PR!$E$363,IF($S$420=334,PR!$E$364,IF($S$420=335,PR!$E$365,IF($S$420=336,PR!$E$366,IF($S$420=337,PR!$E$367,IF($S$420=338,PR!$E$368,IF($S$420=339,PR!$E$369,IF($S$420=340,PR!$E$370,IF($S$420=341,PR!$E$371,IF($S$420=342,PR!$E$372,IF($S$420=343,PR!$E$373,IF($S$420=344,PR!$E$374,IF($S$420=345,PR!$E$375,IF($S$420=346,PR!$E$376,IF($S$420=347,PR!$E$377,IF($S$420=348,PR!$E$378,IF($S$420=349,PR!$E$379,IF($S$420=350,PR!$E$380,IF($S$420=351,PR!$E$385,IF($S$420=352,PR!$E$386,IF($S$420=353,PR!$E$387,IF($S$420=354,PR!$E$388,IF($S$420=355,PR!$E$389,IF($S$420=356,PR!$E$390,IF($S$420=357,PR!$E$391,IF($S$420=358,PR!$E$392,IF($S$420=359,PR!$E$393,IF($S$420=360,PR!$E$394,"-"))))))))))))))))))))))))))))))))))))))))))))))))))))))))))))</f>
        <v>0</v>
      </c>
      <c r="D424" s="570">
        <f>IF($S$420=301,PR!$F$331,IF($S$420=302,PR!$F$332,IF($S$420=303,PR!$F$333,IF($S$420=304,PR!$F$334,IF($S$420=305,PR!$F$335,IF($S$420=306,PR!$F$336,IF($S$420=307,PR!$F$337,IF($S$420=308,PR!$F$338,IF($S$420=309,PR!$F$339,IF($S$420=310,PR!$F$340,IF($S$420=311,PR!$F$341,IF($S$420=312,PR!$F$342,IF($S$420=313,PR!$F$343,IF($S$420=314,PR!$F$344,IF($S$420=315,PR!$F$345,IF($S$420=316,PR!$F$346,IF($S$420=317,PR!$F$347,IF($S$420=318,PR!$F$348,IF($S$420=319,PR!$F$349,IF($S$420=320,PR!$F$350,IF($S$420=321,PR!$F$351,IF($S$420=322,PR!$F$352,IF($S$420=323,PR!$F$353,IF($S$420=324,PR!$F$354,IF($S$420=325,PR!$F$355,IF($S$420=326,PR!$F$356,IF($S$420=327,PR!$F$357,IF($S$420=328,PR!$F$358,IF($S$420=329,PR!$F$359,IF($S$420=330,PR!$F$360,IF($S$420=331,PR!$F$361,IF($S$420=332,PR!$F$362,IF($S$420=333,PR!$F$363,IF($S$420=334,PR!$F$364,IF($S$420=335,PR!$F$365,IF($S$420=336,PR!$F$366,IF($S$420=337,PR!$F$367,IF($S$420=338,PR!$F$368,IF($S$420=339,PR!$F$369,IF($S$420=340,PR!$F$370,IF($S$420=341,PR!$F$371,IF($S$420=342,PR!$F$372,IF($S$420=343,PR!$F$373,IF($S$420=344,PR!$F$374,IF($S$420=345,PR!$F$375,IF($S$420=346,PR!$F$376,IF($S$420=347,PR!$F$377,IF($S$420=348,PR!$F$378,IF($S$420=349,PR!$F$379,IF($S$420=350,PR!$F$380,IF($S$420=351,PR!$F$385,IF($S$420=352,PR!$F$386,IF($S$420=353,PR!$F$387,IF($S$420=354,PR!$F$388,IF($S$420=355,PR!$F$389,IF($S$420=356,PR!$F$390,IF($S$420=357,PR!$F$391,IF($S$420=358,PR!$F$392,IF($S$420=359,PR!$F$393,IF($S$420=360,PR!$F$394,"-"))))))))))))))))))))))))))))))))))))))))))))))))))))))))))))</f>
        <v>0</v>
      </c>
      <c r="E424" s="570">
        <f>IF($S$420=301,PR!$G$331,IF($S$420=302,PR!$G$332,IF($S$420=303,PR!$G$333,IF($S$420=304,PR!$G$334,IF($S$420=305,PR!$G$335,IF($S$420=306,PR!$G$336,IF($S$420=307,PR!$G$337,IF($S$420=308,PR!$G$338,IF($S$420=309,PR!$G$339,IF($S$420=310,PR!$G$340,IF($S$420=311,PR!$G$341,IF($S$420=312,PR!$G$342,IF($S$420=313,PR!$G$343,IF($S$420=314,PR!$G$344,IF($S$420=315,PR!$G$345,IF($S$420=316,PR!$G$346,IF($S$420=317,PR!$G$347,IF($S$420=318,PR!$G$348,IF($S$420=319,PR!$G$349,IF($S$420=320,PR!$G$350,IF($S$420=321,PR!$G$351,IF($S$420=322,PR!$G$352,IF($S$420=323,PR!$G$353,IF($S$420=324,PR!$G$354,IF($S$420=325,PR!$G$355,IF($S$420=326,PR!$G$356,IF($S$420=327,PR!$G$357,IF($S$420=328,PR!$G$358,IF($S$420=329,PR!$G$359,IF($S$420=330,PR!$G$360,IF($S$420=331,PR!$G$361,IF($S$420=332,PR!$G$362,IF($S$420=333,PR!$G$363,IF($S$420=334,PR!$G$364,IF($S$420=335,PR!$G$365,IF($S$420=336,PR!$G$366,IF($S$420=337,PR!$G$367,IF($S$420=338,PR!$G$368,IF($S$420=339,PR!$G$369,IF($S$420=340,PR!$G$370,IF($S$420=341,PR!$G$371,IF($S$420=342,PR!$G$372,IF($S$420=343,PR!$G$373,IF($S$420=344,PR!$G$374,IF($S$420=345,PR!$G$375,IF($S$420=346,PR!$G$376,IF($S$420=347,PR!$G$377,IF($S$420=348,PR!$G$378,IF($S$420=349,PR!$G$379,IF($S$420=350,PR!$G$380,IF($S$420=351,PR!$G$385,IF($S$420=352,PR!$G$386,IF($S$420=353,PR!$G$387,IF($S$420=354,PR!$G$388,IF($S$420=355,PR!$G$389,IF($S$420=356,PR!$G$390,IF($S$420=357,PR!$G$391,IF($S$420=358,PR!$G$392,IF($S$420=359,PR!$G$393,IF($S$420=360,PR!$G$394,"-"))))))))))))))))))))))))))))))))))))))))))))))))))))))))))))</f>
        <v>0</v>
      </c>
      <c r="F424" s="570">
        <f>IF($S$420=301,PR!$H$331,IF($S$420=302,PR!$H$332,IF($S$420=303,PR!$H$333,IF($S$420=304,PR!$H$334,IF($S$420=305,PR!$H$335,IF($S$420=306,PR!$H$336,IF($S$420=307,PR!$H$337,IF($S$420=308,PR!$H$338,IF($S$420=309,PR!$H$339,IF($S$420=310,PR!$H$340,IF($S$420=311,PR!$H$341,IF($S$420=312,PR!$H$342,IF($S$420=313,PR!$H$343,IF($S$420=314,PR!$H$344,IF($S$420=315,PR!$H$345,IF($S$420=316,PR!$H$346,IF($S$420=317,PR!$H$347,IF($S$420=318,PR!$H$348,IF($S$420=319,PR!$H$349,IF($S$420=320,PR!$H$350,IF($S$420=321,PR!$H$351,IF($S$420=322,PR!$H$352,IF($S$420=323,PR!$H$353,IF($S$420=324,PR!$H$354,IF($S$420=325,PR!$H$355,IF($S$420=326,PR!$H$356,IF($S$420=327,PR!$H$357,IF($S$420=328,PR!$H$358,IF($S$420=329,PR!$H$359,IF($S$420=330,PR!$H$360,IF($S$420=331,PR!$H$361,IF($S$420=332,PR!$H$362,IF($S$420=333,PR!$H$363,IF($S$420=334,PR!$H$364,IF($S$420=335,PR!$H$365,IF($S$420=336,PR!$H$366,IF($S$420=337,PR!$H$367,IF($S$420=338,PR!$H$368,IF($S$420=339,PR!$H$369,IF($S$420=340,PR!$H$370,IF($S$420=341,PR!$H$371,IF($S$420=342,PR!$H$372,IF($S$420=343,PR!$H$373,IF($S$420=344,PR!$H$374,IF($S$420=345,PR!$H$375,IF($S$420=346,PR!$H$376,IF($S$420=347,PR!$H$377,IF($S$420=348,PR!$H$378,IF($S$420=349,PR!$H$379,IF($S$420=350,PR!$H$380,IF($S$420=351,PR!$H$385,IF($S$420=352,PR!$H$386,IF($S$420=353,PR!$H$387,IF($S$420=354,PR!$H$388,IF($S$420=355,PR!$H$389,IF($S$420=356,PR!$H$390,IF($S$420=357,PR!$H$391,IF($S$420=358,PR!$H$392,IF($S$420=359,PR!$H$393,IF($S$420=360,PR!$H$394,"-"))))))))))))))))))))))))))))))))))))))))))))))))))))))))))))</f>
        <v>0</v>
      </c>
      <c r="G424" s="570">
        <f>IF($S$420=301,PR!$I$331,IF($S$420=302,PR!$I$332,IF($S$420=303,PR!$I$333,IF($S$420=304,PR!$I$334,IF($S$420=305,PR!$I$335,IF($S$420=306,PR!$I$336,IF($S$420=307,PR!$I$337,IF($S$420=308,PR!$I$338,IF($S$420=309,PR!$I$339,IF($S$420=310,PR!$I$340,IF($S$420=311,PR!$I$341,IF($S$420=312,PR!$I$342,IF($S$420=313,PR!$I$343,IF($S$420=314,PR!$I$344,IF($S$420=315,PR!$I$345,IF($S$420=316,PR!$I$346,IF($S$420=317,PR!$I$347,IF($S$420=318,PR!$I$348,IF($S$420=319,PR!$I$349,IF($S$420=320,PR!$I$350,IF($S$420=321,PR!$I$351,IF($S$420=322,PR!$I$352,IF($S$420=323,PR!$I$353,IF($S$420=324,PR!$I$354,IF($S$420=325,PR!$I$355,IF($S$420=326,PR!$I$356,IF($S$420=327,PR!$I$357,IF($S$420=328,PR!$I$358,IF($S$420=329,PR!$I$359,IF($S$420=330,PR!$I$360,IF($S$420=331,PR!$I$361,IF($S$420=332,PR!$I$362,IF($S$420=333,PR!$I$363,IF($S$420=334,PR!$I$364,IF($S$420=335,PR!$I$365,IF($S$420=336,PR!$I$366,IF($S$420=337,PR!$I$367,IF($S$420=338,PR!$I$368,IF($S$420=339,PR!$I$369,IF($S$420=340,PR!$I$370,IF($S$420=341,PR!$I$371,IF($S$420=342,PR!$I$372,IF($S$420=343,PR!$I$373,IF($S$420=344,PR!$I$374,IF($S$420=345,PR!$I$375,IF($S$420=346,PR!$I$376,IF($S$420=347,PR!$I$377,IF($S$420=348,PR!$I$378,IF($S$420=349,PR!$I$379,IF($S$420=350,PR!$I$380,IF($S$420=351,PR!$I$385,IF($S$420=352,PR!$I$386,IF($S$420=353,PR!$I$387,IF($S$420=354,PR!$I$388,IF($S$420=355,PR!$I$389,IF($S$420=356,PR!$I$390,IF($S$420=357,PR!$I$391,IF($S$420=358,PR!$I$392,IF($S$420=359,PR!$I$393,IF($S$420=360,PR!$I$394,"-"))))))))))))))))))))))))))))))))))))))))))))))))))))))))))))</f>
        <v>0</v>
      </c>
      <c r="H424" s="570">
        <f>IF($S$420=301,PR!$J$331,IF($S$420=302,PR!$J$332,IF($S$420=303,PR!$J$333,IF($S$420=304,PR!$J$334,IF($S$420=305,PR!$J$335,IF($S$420=306,PR!$J$336,IF($S$420=307,PR!$J$337,IF($S$420=308,PR!$J$338,IF($S$420=309,PR!$J$339,IF($S$420=310,PR!$J$340,IF($S$420=311,PR!$J$341,IF($S$420=312,PR!$J$342,IF($S$420=313,PR!$J$343,IF($S$420=314,PR!$J$344,IF($S$420=315,PR!$J$345,IF($S$420=316,PR!$J$346,IF($S$420=317,PR!$J$347,IF($S$420=318,PR!$J$348,IF($S$420=319,PR!$J$349,IF($S$420=320,PR!$J$350,IF($S$420=321,PR!$J$351,IF($S$420=322,PR!$J$352,IF($S$420=323,PR!$J$353,IF($S$420=324,PR!$J$354,IF($S$420=325,PR!$J$355,IF($S$420=326,PR!$J$356,IF($S$420=327,PR!$J$357,IF($S$420=328,PR!$J$358,IF($S$420=329,PR!$J$359,IF($S$420=330,PR!$J$360,IF($S$420=331,PR!$J$361,IF($S$420=332,PR!$J$362,IF($S$420=333,PR!$J$363,IF($S$420=334,PR!$J$364,IF($S$420=335,PR!$J$365,IF($S$420=336,PR!$J$366,IF($S$420=337,PR!$J$367,IF($S$420=338,PR!$J$368,IF($S$420=339,PR!$J$369,IF($S$420=340,PR!$J$370,IF($S$420=341,PR!$J$371,IF($S$420=342,PR!$J$372,IF($S$420=343,PR!$J$373,IF($S$420=344,PR!$J$374,IF($S$420=345,PR!$J$375,IF($S$420=346,PR!$J$376,IF($S$420=347,PR!$J$377,IF($S$420=348,PR!$J$378,IF($S$420=349,PR!$J$379,IF($S$420=350,PR!$J$380,IF($S$420=351,PR!$J$385,IF($S$420=352,PR!$J$386,IF($S$420=353,PR!$J$387,IF($S$420=354,PR!$J$388,IF($S$420=355,PR!$J$389,IF($S$420=356,PR!$J$390,IF($S$420=357,PR!$J$391,IF($S$420=358,PR!$J$392,IF($S$420=359,PR!$J$393,IF($S$420=360,PR!$J$394,"-"))))))))))))))))))))))))))))))))))))))))))))))))))))))))))))</f>
        <v>0</v>
      </c>
      <c r="I424" s="570">
        <f>IF($S$420=301,PR!$K$331,IF($S$420=302,PR!$K$332,IF($S$420=303,PR!$K$333,IF($S$420=304,PR!$K$334,IF($S$420=305,PR!$K$335,IF($S$420=306,PR!$K$336,IF($S$420=307,PR!$K$337,IF($S$420=308,PR!$K$338,IF($S$420=309,PR!$K$339,IF($S$420=310,PR!$K$340,IF($S$420=311,PR!$K$341,IF($S$420=312,PR!$K$342,IF($S$420=313,PR!$K$343,IF($S$420=314,PR!$K$344,IF($S$420=315,PR!$K$345,IF($S$420=316,PR!$K$346,IF($S$420=317,PR!$K$347,IF($S$420=318,PR!$K$348,IF($S$420=319,PR!$K$349,IF($S$420=320,PR!$K$350,IF($S$420=321,PR!$K$351,IF($S$420=322,PR!$K$352,IF($S$420=323,PR!$K$353,IF($S$420=324,PR!$K$354,IF($S$420=325,PR!$K$355,IF($S$420=326,PR!$K$356,IF($S$420=327,PR!$K$357,IF($S$420=328,PR!$K$358,IF($S$420=329,PR!$K$359,IF($S$420=330,PR!$K$360,IF($S$420=331,PR!$K$361,IF($S$420=332,PR!$K$362,IF($S$420=333,PR!$K$363,IF($S$420=334,PR!$K$364,IF($S$420=335,PR!$K$365,IF($S$420=336,PR!$K$366,IF($S$420=337,PR!$K$367,IF($S$420=338,PR!$K$368,IF($S$420=339,PR!$K$369,IF($S$420=340,PR!$K$370,IF($S$420=341,PR!$K$371,IF($S$420=342,PR!$K$372,IF($S$420=343,PR!$K$373,IF($S$420=344,PR!$K$374,IF($S$420=345,PR!$K$375,IF($S$420=346,PR!$K$376,IF($S$420=347,PR!$K$377,IF($S$420=348,PR!$K$378,IF($S$420=349,PR!$K$379,IF($S$420=350,PR!$K$380,IF($S$420=351,PR!$K$385,IF($S$420=352,PR!$K$386,IF($S$420=353,PR!$K$387,IF($S$420=354,PR!$K$388,IF($S$420=355,PR!$K$389,IF($S$420=356,PR!$K$390,IF($S$420=357,PR!$K$391,IF($S$420=358,PR!$K$392,IF($S$420=359,PR!$K$393,IF($S$420=360,PR!$K$394,"-"))))))))))))))))))))))))))))))))))))))))))))))))))))))))))))</f>
        <v>0</v>
      </c>
      <c r="J424" s="570">
        <f>IF($S$420=301,PR!$L$331,IF($S$420=302,PR!$L$332,IF($S$420=303,PR!$L$333,IF($S$420=304,PR!$L$334,IF($S$420=305,PR!$L$335,IF($S$420=306,PR!$L$336,IF($S$420=307,PR!$L$337,IF($S$420=308,PR!$L$338,IF($S$420=309,PR!$L$339,IF($S$420=310,PR!$L$340,IF($S$420=311,PR!$L$341,IF($S$420=312,PR!$L$342,IF($S$420=313,PR!$L$343,IF($S$420=314,PR!$L$344,IF($S$420=315,PR!$L$345,IF($S$420=316,PR!$L$346,IF($S$420=317,PR!$L$347,IF($S$420=318,PR!$L$348,IF($S$420=319,PR!$L$349,IF($S$420=320,PR!$L$350,IF($S$420=321,PR!$L$351,IF($S$420=322,PR!$L$352,IF($S$420=323,PR!$L$353,IF($S$420=324,PR!$L$354,IF($S$420=325,PR!$L$355,IF($S$420=326,PR!$L$356,IF($S$420=327,PR!$L$357,IF($S$420=328,PR!$L$358,IF($S$420=329,PR!$L$359,IF($S$420=330,PR!$L$360,IF($S$420=331,PR!$L$361,IF($S$420=332,PR!$L$362,IF($S$420=333,PR!$L$363,IF($S$420=334,PR!$L$364,IF($S$420=335,PR!$L$365,IF($S$420=336,PR!$L$366,IF($S$420=337,PR!$L$367,IF($S$420=338,PR!$L$368,IF($S$420=339,PR!$L$369,IF($S$420=340,PR!$L$370,IF($S$420=341,PR!$L$371,IF($S$420=342,PR!$L$372,IF($S$420=343,PR!$L$373,IF($S$420=344,PR!$L$374,IF($S$420=345,PR!$L$375,IF($S$420=346,PR!$L$376,IF($S$420=347,PR!$L$377,IF($S$420=348,PR!$L$378,IF($S$420=349,PR!$L$379,IF($S$420=350,PR!$L$380,IF($S$420=351,PR!$L$385,IF($S$420=352,PR!$L$386,IF($S$420=353,PR!$L$387,IF($S$420=354,PR!$L$388,IF($S$420=355,PR!$L$389,IF($S$420=356,PR!$L$390,IF($S$420=357,PR!$L$391,IF($S$420=358,PR!$L$392,IF($S$420=359,PR!$L$393,IF($S$420=360,PR!$L$394,"-"))))))))))))))))))))))))))))))))))))))))))))))))))))))))))))</f>
        <v>0</v>
      </c>
      <c r="K424" s="570">
        <f>IF($S$420=301,PR!$M$331,IF($S$420=302,PR!$M$332,IF($S$420=303,PR!$M$333,IF($S$420=304,PR!$M$334,IF($S$420=305,PR!$M$335,IF($S$420=306,PR!$M$336,IF($S$420=307,PR!$M$337,IF($S$420=308,PR!$M$338,IF($S$420=309,PR!$M$339,IF($S$420=310,PR!$M$340,IF($S$420=311,PR!$M$341,IF($S$420=312,PR!$M$342,IF($S$420=313,PR!$M$343,IF($S$420=314,PR!$M$344,IF($S$420=315,PR!$M$345,IF($S$420=316,PR!$M$346,IF($S$420=317,PR!$M$347,IF($S$420=318,PR!$M$348,IF($S$420=319,PR!$M$349,IF($S$420=320,PR!$M$350,IF($S$420=321,PR!$M$351,IF($S$420=322,PR!$M$352,IF($S$420=323,PR!$M$353,IF($S$420=324,PR!$M$354,IF($S$420=325,PR!$M$355,IF($S$420=326,PR!$M$356,IF($S$420=327,PR!$M$357,IF($S$420=328,PR!$M$358,IF($S$420=329,PR!$M$359,IF($S$420=330,PR!$M$360,IF($S$420=331,PR!$M$361,IF($S$420=332,PR!$M$362,IF($S$420=333,PR!$M$363,IF($S$420=334,PR!$M$364,IF($S$420=335,PR!$M$365,IF($S$420=336,PR!$M$366,IF($S$420=337,PR!$M$367,IF($S$420=338,PR!$M$368,IF($S$420=339,PR!$M$369,IF($S$420=340,PR!$M$370,IF($S$420=341,PR!$M$371,IF($S$420=342,PR!$M$372,IF($S$420=343,PR!$M$373,IF($S$420=344,PR!$M$374,IF($S$420=345,PR!$M$375,IF($S$420=346,PR!$M$376,IF($S$420=347,PR!$M$377,IF($S$420=348,PR!$M$378,IF($S$420=349,PR!$M$379,IF($S$420=350,PR!$M$380,IF($S$420=351,PR!$M$385,IF($S$420=352,PR!$M$386,IF($S$420=353,PR!$M$387,IF($S$420=354,PR!$M$388,IF($S$420=355,PR!$M$389,IF($S$420=356,PR!$M$390,IF($S$420=357,PR!$M$391,IF($S$420=358,PR!$M$392,IF($S$420=359,PR!$M$393,IF($S$420=360,PR!$M$394,"-"))))))))))))))))))))))))))))))))))))))))))))))))))))))))))))</f>
        <v>0</v>
      </c>
      <c r="L424" s="570">
        <f>IF($S$420=301,PR!$N$331,IF($S$420=302,PR!$N$332,IF($S$420=303,PR!$N$333,IF($S$420=304,PR!$N$334,IF($S$420=305,PR!$N$335,IF($S$420=306,PR!$N$336,IF($S$420=307,PR!$N$337,IF($S$420=308,PR!$N$338,IF($S$420=309,PR!$N$339,IF($S$420=310,PR!$N$340,IF($S$420=311,PR!$N$341,IF($S$420=312,PR!$N$342,IF($S$420=313,PR!$N$343,IF($S$420=314,PR!$N$344,IF($S$420=315,PR!$N$345,IF($S$420=316,PR!$N$346,IF($S$420=317,PR!$N$347,IF($S$420=318,PR!$N$348,IF($S$420=319,PR!$N$349,IF($S$420=320,PR!$N$350,IF($S$420=321,PR!$N$351,IF($S$420=322,PR!$N$352,IF($S$420=323,PR!$N$353,IF($S$420=324,PR!$N$354,IF($S$420=325,PR!$N$355,IF($S$420=326,PR!$N$356,IF($S$420=327,PR!$N$357,IF($S$420=328,PR!$N$358,IF($S$420=329,PR!$N$359,IF($S$420=330,PR!$N$360,IF($S$420=331,PR!$N$361,IF($S$420=332,PR!$N$362,IF($S$420=333,PR!$N$363,IF($S$420=334,PR!$N$364,IF($S$420=335,PR!$N$365,IF($S$420=336,PR!$N$366,IF($S$420=337,PR!$N$367,IF($S$420=338,PR!$N$368,IF($S$420=339,PR!$N$369,IF($S$420=340,PR!$N$370,IF($S$420=341,PR!$N$371,IF($S$420=342,PR!$N$372,IF($S$420=343,PR!$N$373,IF($S$420=344,PR!$N$374,IF($S$420=345,PR!$N$375,IF($S$420=346,PR!$N$376,IF($S$420=347,PR!$N$377,IF($S$420=348,PR!$N$378,IF($S$420=349,PR!$N$379,IF($S$420=350,PR!$N$380,IF($S$420=351,PR!$N$385,IF($S$420=352,PR!$N$386,IF($S$420=353,PR!$N$387,IF($S$420=354,PR!$N$388,IF($S$420=355,PR!$N$389,IF($S$420=356,PR!$N$390,IF($S$420=357,PR!$N$391,IF($S$420=358,PR!$N$392,IF($S$420=359,PR!$N$393,IF($S$420=360,PR!$N$394,"-"))))))))))))))))))))))))))))))))))))))))))))))))))))))))))))</f>
        <v>0</v>
      </c>
      <c r="M424" s="570">
        <f>IF($S$420=301,PR!$O$331,IF($S$420=302,PR!$O$332,IF($S$420=303,PR!$O$333,IF($S$420=304,PR!$O$334,IF($S$420=305,PR!$O$335,IF($S$420=306,PR!$O$336,IF($S$420=307,PR!$O$337,IF($S$420=308,PR!$O$338,IF($S$420=309,PR!$O$339,IF($S$420=310,PR!$O$340,IF($S$420=311,PR!$O$341,IF($S$420=312,PR!$O$342,IF($S$420=313,PR!$O$343,IF($S$420=314,PR!$O$344,IF($S$420=315,PR!$O$345,IF($S$420=316,PR!$O$346,IF($S$420=317,PR!$O$347,IF($S$420=318,PR!$O$348,IF($S$420=319,PR!$O$349,IF($S$420=320,PR!$O$350,IF($S$420=321,PR!$O$351,IF($S$420=322,PR!$O$352,IF($S$420=323,PR!$O$353,IF($S$420=324,PR!$O$354,IF($S$420=325,PR!$O$355,IF($S$420=326,PR!$O$356,IF($S$420=327,PR!$O$357,IF($S$420=328,PR!$O$358,IF($S$420=329,PR!$O$359,IF($S$420=330,PR!$O$360,IF($S$420=331,PR!$O$361,IF($S$420=332,PR!$O$362,IF($S$420=333,PR!$O$363,IF($S$420=334,PR!$O$364,IF($S$420=335,PR!$O$365,IF($S$420=336,PR!$O$366,IF($S$420=337,PR!$O$367,IF($S$420=338,PR!$O$368,IF($S$420=339,PR!$O$369,IF($S$420=340,PR!$O$370,IF($S$420=341,PR!$O$371,IF($S$420=342,PR!$O$372,IF($S$420=343,PR!$O$373,IF($S$420=344,PR!$O$374,IF($S$420=345,PR!$O$375,IF($S$420=346,PR!$O$376,IF($S$420=347,PR!$O$377,IF($S$420=348,PR!$O$378,IF($S$420=349,PR!$O$379,IF($S$420=350,PR!$O$380,IF($S$420=351,PR!$O$385,IF($S$420=352,PR!$O$386,IF($S$420=353,PR!$O$387,IF($S$420=354,PR!$O$388,IF($S$420=355,PR!$O$389,IF($S$420=356,PR!$O$390,IF($S$420=357,PR!$O$391,IF($S$420=358,PR!$O$392,IF($S$420=359,PR!$O$393,IF($S$420=360,PR!$O$394,"-"))))))))))))))))))))))))))))))))))))))))))))))))))))))))))))</f>
        <v>0</v>
      </c>
      <c r="N424" s="570">
        <f>IF($S$420=301,PR!$P$331,IF($S$420=302,PR!$P$332,IF($S$420=303,PR!$P$333,IF($S$420=304,PR!$P$334,IF($S$420=305,PR!$P$335,IF($S$420=306,PR!$P$336,IF($S$420=307,PR!$P$337,IF($S$420=308,PR!$P$338,IF($S$420=309,PR!$P$339,IF($S$420=310,PR!$P$340,IF($S$420=311,PR!$P$341,IF($S$420=312,PR!$P$342,IF($S$420=313,PR!$P$343,IF($S$420=314,PR!$P$344,IF($S$420=315,PR!$P$345,IF($S$420=316,PR!$P$346,IF($S$420=317,PR!$P$347,IF($S$420=318,PR!$P$348,IF($S$420=319,PR!$P$349,IF($S$420=320,PR!$P$350,IF($S$420=321,PR!$P$351,IF($S$420=322,PR!$P$352,IF($S$420=323,PR!$P$353,IF($S$420=324,PR!$P$354,IF($S$420=325,PR!$P$355,IF($S$420=326,PR!$P$356,IF($S$420=327,PR!$P$357,IF($S$420=328,PR!$P$358,IF($S$420=329,PR!$P$359,IF($S$420=330,PR!$P$360,IF($S$420=331,PR!$P$361,IF($S$420=332,PR!$P$362,IF($S$420=333,PR!$P$363,IF($S$420=334,PR!$P$364,IF($S$420=335,PR!$P$365,IF($S$420=336,PR!$P$366,IF($S$420=337,PR!$P$367,IF($S$420=338,PR!$P$368,IF($S$420=339,PR!$P$369,IF($S$420=340,PR!$P$370,IF($S$420=341,PR!$P$371,IF($S$420=342,PR!$P$372,IF($S$420=343,PR!$P$373,IF($S$420=344,PR!$P$374,IF($S$420=345,PR!$P$375,IF($S$420=346,PR!$P$376,IF($S$420=347,PR!$P$377,IF($S$420=348,PR!$P$378,IF($S$420=349,PR!$P$379,IF($S$420=350,PR!$P$380,IF($S$420=351,PR!$P$385,IF($S$420=352,PR!$P$386,IF($S$420=353,PR!$P$387,IF($S$420=354,PR!$P$388,IF($S$420=355,PR!$P$389,IF($S$420=356,PR!$P$390,IF($S$420=357,PR!$P$391,IF($S$420=358,PR!$P$392,IF($S$420=359,PR!$P$393,IF($S$420=360,PR!$P$394,"-"))))))))))))))))))))))))))))))))))))))))))))))))))))))))))))</f>
        <v>0</v>
      </c>
      <c r="O424" s="570">
        <f>IF($S$420=301,PR!$Q$331,IF($S$420=302,PR!$Q$332,IF($S$420=303,PR!$Q$333,IF($S$420=304,PR!$Q$334,IF($S$420=305,PR!$Q$335,IF($S$420=306,PR!$Q$336,IF($S$420=307,PR!$Q$337,IF($S$420=308,PR!$Q$338,IF($S$420=309,PR!$Q$339,IF($S$420=310,PR!$Q$340,IF($S$420=311,PR!$Q$341,IF($S$420=312,PR!$Q$342,IF($S$420=313,PR!$Q$343,IF($S$420=314,PR!$Q$344,IF($S$420=315,PR!$Q$345,IF($S$420=316,PR!$Q$346,IF($S$420=317,PR!$Q$347,IF($S$420=318,PR!$Q$348,IF($S$420=319,PR!$Q$349,IF($S$420=320,PR!$Q$350,IF($S$420=321,PR!$Q$351,IF($S$420=322,PR!$Q$352,IF($S$420=323,PR!$Q$353,IF($S$420=324,PR!$Q$354,IF($S$420=325,PR!$Q$355,IF($S$420=326,PR!$Q$356,IF($S$420=327,PR!$Q$357,IF($S$420=328,PR!$Q$358,IF($S$420=329,PR!$Q$359,IF($S$420=330,PR!$Q$360,IF($S$420=331,PR!$Q$361,IF($S$420=332,PR!$Q$362,IF($S$420=333,PR!$Q$363,IF($S$420=334,PR!$Q$364,IF($S$420=335,PR!$Q$365,IF($S$420=336,PR!$Q$366,IF($S$420=337,PR!$Q$367,IF($S$420=338,PR!$Q$368,IF($S$420=339,PR!$Q$369,IF($S$420=340,PR!$Q$370,IF($S$420=341,PR!$Q$371,IF($S$420=342,PR!$Q$372,IF($S$420=343,PR!$Q$373,IF($S$420=344,PR!$Q$374,IF($S$420=345,PR!$Q$375,IF($S$420=346,PR!$Q$376,IF($S$420=347,PR!$Q$377,IF($S$420=348,PR!$Q$378,IF($S$420=349,PR!$Q$379,IF($S$420=350,PR!$Q$380,IF($S$420=351,PR!$Q$385,IF($S$420=352,PR!$Q$386,IF($S$420=353,PR!$Q$387,IF($S$420=354,PR!$Q$388,IF($S$420=355,PR!$Q$389,IF($S$420=356,PR!$Q$390,IF($S$420=357,PR!$Q$391,IF($S$420=358,PR!$Q$392,IF($S$420=359,PR!$Q$393,IF($S$420=360,PR!$Q$394,"-"))))))))))))))))))))))))))))))))))))))))))))))))))))))))))))</f>
        <v>0</v>
      </c>
      <c r="P424" s="570">
        <f>IF($S$420=301,PR!$R$331,IF($S$420=302,PR!$R$332,IF($S$420=303,PR!$R$333,IF($S$420=304,PR!$R$334,IF($S$420=305,PR!$R$335,IF($S$420=306,PR!$R$336,IF($S$420=307,PR!$R$337,IF($S$420=308,PR!$R$338,IF($S$420=309,PR!$R$339,IF($S$420=310,PR!$R$340,IF($S$420=311,PR!$R$341,IF($S$420=312,PR!$R$342,IF($S$420=313,PR!$R$343,IF($S$420=314,PR!$R$344,IF($S$420=315,PR!$R$345,IF($S$420=316,PR!$R$346,IF($S$420=317,PR!$R$347,IF($S$420=318,PR!$R$348,IF($S$420=319,PR!$R$349,IF($S$420=320,PR!$R$350,IF($S$420=321,PR!$R$351,IF($S$420=322,PR!$R$352,IF($S$420=323,PR!$R$353,IF($S$420=324,PR!$R$354,IF($S$420=325,PR!$R$355,IF($S$420=326,PR!$R$356,IF($S$420=327,PR!$R$357,IF($S$420=328,PR!$R$358,IF($S$420=329,PR!$R$359,IF($S$420=330,PR!$R$360,IF($S$420=331,PR!$R$361,IF($S$420=332,PR!$R$362,IF($S$420=333,PR!$R$363,IF($S$420=334,PR!$R$364,IF($S$420=335,PR!$R$365,IF($S$420=336,PR!$R$366,IF($S$420=337,PR!$R$367,IF($S$420=338,PR!$R$368,IF($S$420=339,PR!$R$369,IF($S$420=340,PR!$R$370,IF($S$420=341,PR!$R$371,IF($S$420=342,PR!$R$372,IF($S$420=343,PR!$R$373,IF($S$420=344,PR!$R$374,IF($S$420=345,PR!$R$375,IF($S$420=346,PR!$R$376,IF($S$420=347,PR!$R$377,IF($S$420=348,PR!$R$378,IF($S$420=349,PR!$R$379,IF($S$420=350,PR!$R$380,IF($S$420=351,PR!$R$385,IF($S$420=352,PR!$R$386,IF($S$420=353,PR!$R$387,IF($S$420=354,PR!$R$388,IF($S$420=355,PR!$R$389,IF($S$420=356,PR!$R$390,IF($S$420=357,PR!$R$391,IF($S$420=358,PR!$R$392,IF($S$420=359,PR!$R$393,IF($S$420=360,PR!$R$394,"-"))))))))))))))))))))))))))))))))))))))))))))))))))))))))))))</f>
        <v>0</v>
      </c>
      <c r="Q424" s="570">
        <f>IF($S$420=301,PR!$S$331,IF($S$420=302,PR!$S$332,IF($S$420=303,PR!$S$333,IF($S$420=304,PR!$S$334,IF($S$420=305,PR!$S$335,IF($S$420=306,PR!$S$336,IF($S$420=307,PR!$S$337,IF($S$420=308,PR!$S$338,IF($S$420=309,PR!$S$339,IF($S$420=310,PR!$S$340,IF($S$420=311,PR!$S$341,IF($S$420=312,PR!$S$342,IF($S$420=313,PR!$S$343,IF($S$420=314,PR!$S$344,IF($S$420=315,PR!$S$345,IF($S$420=316,PR!$S$346,IF($S$420=317,PR!$S$347,IF($S$420=318,PR!$S$348,IF($S$420=319,PR!$S$349,IF($S$420=320,PR!$S$350,IF($S$420=321,PR!$S$351,IF($S$420=322,PR!$S$352,IF($S$420=323,PR!$S$353,IF($S$420=324,PR!$S$354,IF($S$420=325,PR!$S$355,IF($S$420=326,PR!$S$356,IF($S$420=327,PR!$S$357,IF($S$420=328,PR!$S$358,IF($S$420=329,PR!$S$359,IF($S$420=330,PR!$S$360,IF($S$420=331,PR!$S$361,IF($S$420=332,PR!$S$362,IF($S$420=333,PR!$S$363,IF($S$420=334,PR!$S$364,IF($S$420=335,PR!$S$365,IF($S$420=336,PR!$S$366,IF($S$420=337,PR!$S$367,IF($S$420=338,PR!$S$368,IF($S$420=339,PR!$S$369,IF($S$420=340,PR!$S$370,IF($S$420=341,PR!$S$371,IF($S$420=342,PR!$S$372,IF($S$420=343,PR!$S$373,IF($S$420=344,PR!$S$374,IF($S$420=345,PR!$S$375,IF($S$420=346,PR!$S$376,IF($S$420=347,PR!$S$377,IF($S$420=348,PR!$S$378,IF($S$420=349,PR!$S$379,IF($S$420=350,PR!$S$380,IF($S$420=351,PR!$S$385,IF($S$420=352,PR!$S$386,IF($S$420=353,PR!$S$387,IF($S$420=354,PR!$S$388,IF($S$420=355,PR!$S$389,IF($S$420=356,PR!$S$390,IF($S$420=357,PR!$S$391,IF($S$420=358,PR!$S$392,IF($S$420=359,PR!$S$393,IF($S$420=360,PR!$S$394,"-"))))))))))))))))))))))))))))))))))))))))))))))))))))))))))))</f>
        <v>0</v>
      </c>
      <c r="R424" s="570">
        <f>IF($S$420=301,PR!$T$331,IF($S$420=302,PR!$T$332,IF($S$420=303,PR!$T$333,IF($S$420=304,PR!$T$334,IF($S$420=305,PR!$T$335,IF($S$420=306,PR!$T$336,IF($S$420=307,PR!$T$337,IF($S$420=308,PR!$T$338,IF($S$420=309,PR!$T$339,IF($S$420=310,PR!$T$340,IF($S$420=311,PR!$T$341,IF($S$420=312,PR!$T$342,IF($S$420=313,PR!$T$343,IF($S$420=314,PR!$T$344,IF($S$420=315,PR!$T$345,IF($S$420=316,PR!$T$346,IF($S$420=317,PR!$T$347,IF($S$420=318,PR!$T$348,IF($S$420=319,PR!$T$349,IF($S$420=320,PR!$T$350,IF($S$420=321,PR!$T$351,IF($S$420=322,PR!$T$352,IF($S$420=323,PR!$T$353,IF($S$420=324,PR!$T$354,IF($S$420=325,PR!$T$355,IF($S$420=326,PR!$T$356,IF($S$420=327,PR!$T$357,IF($S$420=328,PR!$T$358,IF($S$420=329,PR!$T$359,IF($S$420=330,PR!$T$360,IF($S$420=331,PR!$T$361,IF($S$420=332,PR!$T$362,IF($S$420=333,PR!$T$363,IF($S$420=334,PR!$T$364,IF($S$420=335,PR!$T$365,IF($S$420=336,PR!$T$366,IF($S$420=337,PR!$T$367,IF($S$420=338,PR!$T$368,IF($S$420=339,PR!$T$369,IF($S$420=340,PR!$T$370,IF($S$420=341,PR!$T$371,IF($S$420=342,PR!$T$372,IF($S$420=343,PR!$T$373,IF($S$420=344,PR!$T$374,IF($S$420=345,PR!$T$375,IF($S$420=346,PR!$T$376,IF($S$420=347,PR!$T$377,IF($S$420=348,PR!$T$378,IF($S$420=349,PR!$T$379,IF($S$420=350,PR!$T$380,IF($S$420=351,PR!$T$385,IF($S$420=352,PR!$T$386,IF($S$420=353,PR!$T$387,IF($S$420=354,PR!$T$388,IF($S$420=355,PR!$T$389,IF($S$420=356,PR!$T$390,IF($S$420=357,PR!$T$391,IF($S$420=358,PR!$T$392,IF($S$420=359,PR!$T$393,IF($S$420=360,PR!$T$394,"-"))))))))))))))))))))))))))))))))))))))))))))))))))))))))))))</f>
        <v>0</v>
      </c>
      <c r="S424" s="570">
        <f>IF($S$420=301,PR!$U$331,IF($S$420=302,PR!$U$332,IF($S$420=303,PR!$U$333,IF($S$420=304,PR!$U$334,IF($S$420=305,PR!$U$335,IF($S$420=306,PR!$U$336,IF($S$420=307,PR!$U$337,IF($S$420=308,PR!$U$338,IF($S$420=309,PR!$U$339,IF($S$420=310,PR!$U$340,IF($S$420=311,PR!$U$341,IF($S$420=312,PR!$U$342,IF($S$420=313,PR!$U$343,IF($S$420=314,PR!$U$344,IF($S$420=315,PR!$U$345,IF($S$420=316,PR!$U$346,IF($S$420=317,PR!$U$347,IF($S$420=318,PR!$U$348,IF($S$420=319,PR!$U$349,IF($S$420=320,PR!$U$350,IF($S$420=321,PR!$U$351,IF($S$420=322,PR!$U$352,IF($S$420=323,PR!$U$353,IF($S$420=324,PR!$U$354,IF($S$420=325,PR!$U$355,IF($S$420=326,PR!$U$356,IF($S$420=327,PR!$U$357,IF($S$420=328,PR!$U$358,IF($S$420=329,PR!$U$359,IF($S$420=330,PR!$U$360,IF($S$420=331,PR!$U$361,IF($S$420=332,PR!$U$362,IF($S$420=333,PR!$U$363,IF($S$420=334,PR!$U$364,IF($S$420=335,PR!$U$365,IF($S$420=336,PR!$U$366,IF($S$420=337,PR!$U$367,IF($S$420=338,PR!$U$368,IF($S$420=339,PR!$U$369,IF($S$420=340,PR!$U$370,IF($S$420=341,PR!$U$371,IF($S$420=342,PR!$U$372,IF($S$420=343,PR!$U$373,IF($S$420=344,PR!$U$374,IF($S$420=345,PR!$U$375,IF($S$420=346,PR!$U$376,IF($S$420=347,PR!$U$377,IF($S$420=348,PR!$U$378,IF($S$420=349,PR!$U$379,IF($S$420=350,PR!$U$380,IF($S$420=351,PR!$U$385,IF($S$420=352,PR!$U$386,IF($S$420=353,PR!$U$387,IF($S$420=354,PR!$U$388,IF($S$420=355,PR!$U$389,IF($S$420=356,PR!$U$390,IF($S$420=357,PR!$U$391,IF($S$420=358,PR!$U$392,IF($S$420=359,PR!$U$393,IF($S$420=360,PR!$U$394,"-"))))))))))))))))))))))))))))))))))))))))))))))))))))))))))))</f>
        <v>0</v>
      </c>
      <c r="T424" s="552"/>
      <c r="U424" s="518"/>
      <c r="V424" s="32"/>
      <c r="W424" s="32"/>
      <c r="X424" s="32"/>
      <c r="Y424" s="32"/>
    </row>
    <row r="425" spans="1:26" x14ac:dyDescent="0.25">
      <c r="A425" s="91"/>
      <c r="B425" s="552"/>
      <c r="C425" s="571"/>
      <c r="D425" s="572"/>
      <c r="E425" s="572"/>
      <c r="F425" s="572"/>
      <c r="G425" s="572"/>
      <c r="H425" s="572"/>
      <c r="I425" s="572"/>
      <c r="J425" s="572"/>
      <c r="K425" s="572"/>
      <c r="L425" s="572"/>
      <c r="M425" s="572"/>
      <c r="N425" s="572"/>
      <c r="O425" s="572"/>
      <c r="P425" s="572"/>
      <c r="Q425" s="572"/>
      <c r="R425" s="573"/>
      <c r="S425" s="573"/>
      <c r="T425" s="552"/>
      <c r="U425" s="518"/>
      <c r="V425" s="32"/>
      <c r="W425" s="32"/>
      <c r="X425" s="32"/>
      <c r="Y425" s="32"/>
      <c r="Z425" s="32"/>
    </row>
    <row r="426" spans="1:26" ht="15.75" thickBot="1" x14ac:dyDescent="0.3">
      <c r="A426" s="91"/>
      <c r="B426" s="552"/>
      <c r="C426" s="574" t="str">
        <f>N!$C$21</f>
        <v>GENEITH</v>
      </c>
      <c r="D426" s="574" t="str">
        <f>N!$C$22</f>
        <v>GINOS</v>
      </c>
      <c r="E426" s="574" t="str">
        <f>N!$C$23</f>
        <v>GSK</v>
      </c>
      <c r="F426" s="574" t="str">
        <f>N!$C$24</f>
        <v>GLOBORG</v>
      </c>
      <c r="G426" s="574" t="str">
        <f>N!$C$25</f>
        <v>GOODNEWS</v>
      </c>
      <c r="H426" s="574" t="str">
        <f>N!$C$26</f>
        <v>GREENLIFE</v>
      </c>
      <c r="I426" s="574" t="str">
        <f>N!$C$27</f>
        <v>HLINE</v>
      </c>
      <c r="J426" s="574" t="str">
        <f>N!$C$28</f>
        <v>ROTECH</v>
      </c>
      <c r="K426" s="574" t="str">
        <f>N!$C$29</f>
        <v>ISN</v>
      </c>
      <c r="L426" s="574" t="str">
        <f>N!$C$30</f>
        <v>JAWA</v>
      </c>
      <c r="M426" s="574" t="str">
        <f>N!$C$31</f>
        <v>LAYO</v>
      </c>
      <c r="N426" s="574" t="str">
        <f>N!$C$32</f>
        <v>LEADWAY</v>
      </c>
      <c r="O426" s="574" t="str">
        <f>N!$C$33</f>
        <v>LHV</v>
      </c>
      <c r="P426" s="574" t="str">
        <f>N!$C$34</f>
        <v>MANOLA</v>
      </c>
      <c r="Q426" s="574" t="str">
        <f>N!$C$35</f>
        <v>MARCSON</v>
      </c>
      <c r="R426" s="574" t="str">
        <f>N!$C$36</f>
        <v>M&amp;B</v>
      </c>
      <c r="S426" s="574" t="str">
        <f>N!$C$37</f>
        <v>MTRUST</v>
      </c>
      <c r="T426" s="552"/>
      <c r="U426" s="518"/>
      <c r="V426" s="32"/>
      <c r="W426" s="32"/>
      <c r="X426" s="32"/>
      <c r="Y426" s="32"/>
      <c r="Z426" s="32"/>
    </row>
    <row r="427" spans="1:26" ht="15.75" thickBot="1" x14ac:dyDescent="0.3">
      <c r="A427" s="91"/>
      <c r="B427" s="552"/>
      <c r="C427" s="570">
        <f>IF($S$420=301,PR!$V$331,IF($S$420=302,PR!$V$332,IF($S$420=303,PR!$V$333,IF($S$420=304,PR!$V$334,IF($S$420=305,PR!$V$335,IF($S$420=306,PR!$V$336,IF($S$420=307,PR!$V$337,IF($S$420=308,PR!$V$338,IF($S$420=309,PR!$V$339,IF($S$420=310,PR!$V$340,IF($S$420=311,PR!$V$341,IF($S$420=312,PR!$V$342,IF($S$420=313,PR!$V$343,IF($S$420=314,PR!$V$344,IF($S$420=315,PR!$V$345,IF($S$420=316,PR!$V$346,IF($S$420=317,PR!$V$347,IF($S$420=318,PR!$V$348,IF($S$420=319,PR!$V$349,IF($S$420=320,PR!$V$350,IF($S$420=321,PR!$V$351,IF($S$420=322,PR!$V$352,IF($S$420=323,PR!$V$353,IF($S$420=324,PR!$V$354,IF($S$420=325,PR!$V$355,IF($S$420=326,PR!$V$356,IF($S$420=327,PR!$V$357,IF($S$420=328,PR!$V$358,IF($S$420=329,PR!$V$359,IF($S$420=330,PR!$V$360,IF($S$420=331,PR!$V$361,IF($S$420=332,PR!$V$362,IF($S$420=333,PR!$V$363,IF($S$420=334,PR!$V$364,IF($S$420=335,PR!$V$365,IF($S$420=336,PR!$V$366,IF($S$420=337,PR!$V$367,IF($S$420=338,PR!$V$368,IF($S$420=339,PR!$V$369,IF($S$420=340,PR!$V$370,IF($S$420=341,PR!$V$371,IF($S$420=342,PR!$V$372,IF($S$420=343,PR!$V$373,IF($S$420=344,PR!$V$374,IF($S$420=345,PR!$V$375,IF($S$420=346,PR!$V$376,IF($S$420=347,PR!$V$377,IF($S$420=348,PR!$V$378,IF($S$420=349,PR!$V$379,IF($S$420=350,PR!$V$380,IF($S$420=351,PR!$V$385,IF($S$420=352,PR!$V$386,IF($S$420=353,PR!$V$387,IF($S$420=354,PR!$V$388,IF($S$420=355,PR!$V$389,IF($S$420=356,PR!$V$390,IF($S$420=357,PR!$V$391,IF($S$420=358,PR!$V$392,IF($S$420=359,PR!$V$393,IF($S$420=360,PR!$V$394,"-"))))))))))))))))))))))))))))))))))))))))))))))))))))))))))))</f>
        <v>0</v>
      </c>
      <c r="D427" s="570">
        <f>IF($S$420=301,PR!$W$331,IF($S$420=302,PR!$W$332,IF($S$420=303,PR!$W$333,IF($S$420=304,PR!$W$334,IF($S$420=305,PR!$W$335,IF($S$420=306,PR!$W$336,IF($S$420=307,PR!$W$337,IF($S$420=308,PR!$W$338,IF($S$420=309,PR!$W$339,IF($S$420=310,PR!$W$340,IF($S$420=311,PR!$W$341,IF($S$420=312,PR!$W$342,IF($S$420=313,PR!$W$343,IF($S$420=314,PR!$W$344,IF($S$420=315,PR!$W$345,IF($S$420=316,PR!$W$346,IF($S$420=317,PR!$W$347,IF($S$420=318,PR!$W$348,IF($S$420=319,PR!$W$349,IF($S$420=320,PR!$W$350,IF($S$420=321,PR!$W$351,IF($S$420=322,PR!$W$352,IF($S$420=323,PR!$W$353,IF($S$420=324,PR!$W$354,IF($S$420=325,PR!$W$355,IF($S$420=326,PR!$W$356,IF($S$420=327,PR!$W$357,IF($S$420=328,PR!$W$358,IF($S$420=329,PR!$W$359,IF($S$420=330,PR!$W$360,IF($S$420=331,PR!$W$361,IF($S$420=332,PR!$W$362,IF($S$420=333,PR!$W$363,IF($S$420=334,PR!$W$364,IF($S$420=335,PR!$W$365,IF($S$420=336,PR!$W$366,IF($S$420=337,PR!$W$367,IF($S$420=338,PR!$W$368,IF($S$420=339,PR!$W$369,IF($S$420=340,PR!$W$370,IF($S$420=341,PR!$W$371,IF($S$420=342,PR!$W$372,IF($S$420=343,PR!$W$373,IF($S$420=344,PR!$W$374,IF($S$420=345,PR!$W$375,IF($S$420=346,PR!$W$376,IF($S$420=347,PR!$W$377,IF($S$420=348,PR!$W$378,IF($S$420=349,PR!$W$379,IF($S$420=350,PR!$W$380,IF($S$420=351,PR!$W$385,IF($S$420=352,PR!$W$386,IF($S$420=353,PR!$W$387,IF($S$420=354,PR!$W$388,IF($S$420=355,PR!$W$389,IF($S$420=356,PR!$W$390,IF($S$420=357,PR!$W$391,IF($S$420=358,PR!$W$392,IF($S$420=359,PR!$W$393,IF($S$420=360,PR!$W$394,"-"))))))))))))))))))))))))))))))))))))))))))))))))))))))))))))</f>
        <v>0</v>
      </c>
      <c r="E427" s="570">
        <f>IF($S$420=301,PR!$X$331,IF($S$420=302,PR!$X$332,IF($S$420=303,PR!$X$333,IF($S$420=304,PR!$X$334,IF($S$420=305,PR!$X$335,IF($S$420=306,PR!$X$336,IF($S$420=307,PR!$X$337,IF($S$420=308,PR!$X$338,IF($S$420=309,PR!$X$339,IF($S$420=310,PR!$X$340,IF($S$420=311,PR!$X$341,IF($S$420=312,PR!$X$342,IF($S$420=313,PR!$X$343,IF($S$420=314,PR!$X$344,IF($S$420=315,PR!$X$345,IF($S$420=316,PR!$X$346,IF($S$420=317,PR!$X$347,IF($S$420=318,PR!$X$348,IF($S$420=319,PR!$X$349,IF($S$420=320,PR!$X$350,IF($S$420=321,PR!$X$351,IF($S$420=322,PR!$X$352,IF($S$420=323,PR!$X$353,IF($S$420=324,PR!$X$354,IF($S$420=325,PR!$X$355,IF($S$420=326,PR!$X$356,IF($S$420=327,PR!$X$357,IF($S$420=328,PR!$X$358,IF($S$420=329,PR!$X$359,IF($S$420=330,PR!$X$360,IF($S$420=331,PR!$X$361,IF($S$420=332,PR!$X$362,IF($S$420=333,PR!$X$363,IF($S$420=334,PR!$X$364,IF($S$420=335,PR!$X$365,IF($S$420=336,PR!$X$366,IF($S$420=337,PR!$X$367,IF($S$420=338,PR!$X$368,IF($S$420=339,PR!$X$369,IF($S$420=340,PR!$X$370,IF($S$420=341,PR!$X$371,IF($S$420=342,PR!$X$372,IF($S$420=343,PR!$X$373,IF($S$420=344,PR!$X$374,IF($S$420=345,PR!$X$375,IF($S$420=346,PR!$X$376,IF($S$420=347,PR!$X$377,IF($S$420=348,PR!$X$378,IF($S$420=349,PR!$X$379,IF($S$420=350,PR!$X$380,IF($S$420=351,PR!$X$385,IF($S$420=352,PR!$X$386,IF($S$420=353,PR!$X$387,IF($S$420=354,PR!$X$388,IF($S$420=355,PR!$X$389,IF($S$420=356,PR!$X$390,IF($S$420=357,PR!$X$391,IF($S$420=358,PR!$X$392,IF($S$420=359,PR!$X$393,IF($S$420=360,PR!$X$394,"-"))))))))))))))))))))))))))))))))))))))))))))))))))))))))))))</f>
        <v>0</v>
      </c>
      <c r="F427" s="570">
        <f>IF($S$420=301,PR!$Y$331,IF($S$420=302,PR!$Y$332,IF($S$420=303,PR!$Y$333,IF($S$420=304,PR!$Y$334,IF($S$420=305,PR!$Y$335,IF($S$420=306,PR!$Y$336,IF($S$420=307,PR!$Y$337,IF($S$420=308,PR!$Y$338,IF($S$420=309,PR!$Y$339,IF($S$420=310,PR!$Y$340,IF($S$420=311,PR!$Y$341,IF($S$420=312,PR!$Y$342,IF($S$420=313,PR!$Y$343,IF($S$420=314,PR!$Y$344,IF($S$420=315,PR!$Y$345,IF($S$420=316,PR!$Y$346,IF($S$420=317,PR!$Y$347,IF($S$420=318,PR!$Y$348,IF($S$420=319,PR!$Y$349,IF($S$420=320,PR!$Y$350,IF($S$420=321,PR!$Y$351,IF($S$420=322,PR!$Y$352,IF($S$420=323,PR!$Y$353,IF($S$420=324,PR!$Y$354,IF($S$420=325,PR!$Y$355,IF($S$420=326,PR!$Y$356,IF($S$420=327,PR!$Y$357,IF($S$420=328,PR!$Y$358,IF($S$420=329,PR!$Y$359,IF($S$420=330,PR!$Y$360,IF($S$420=331,PR!$Y$361,IF($S$420=332,PR!$Y$362,IF($S$420=333,PR!$Y$363,IF($S$420=334,PR!$Y$364,IF($S$420=335,PR!$Y$365,IF($S$420=336,PR!$Y$366,IF($S$420=337,PR!$Y$367,IF($S$420=338,PR!$Y$368,IF($S$420=339,PR!$Y$369,IF($S$420=340,PR!$Y$370,IF($S$420=341,PR!$Y$371,IF($S$420=342,PR!$Y$372,IF($S$420=343,PR!$Y$373,IF($S$420=344,PR!$Y$374,IF($S$420=345,PR!$Y$375,IF($S$420=346,PR!$Y$376,IF($S$420=347,PR!$Y$377,IF($S$420=348,PR!$Y$378,IF($S$420=349,PR!$Y$379,IF($S$420=350,PR!$Y$380,IF($S$420=351,PR!$Y$385,IF($S$420=352,PR!$Y$386,IF($S$420=353,PR!$Y$387,IF($S$420=354,PR!$Y$388,IF($S$420=355,PR!$Y$389,IF($S$420=356,PR!$Y$390,IF($S$420=357,PR!$Y$391,IF($S$420=358,PR!$Y$392,IF($S$420=359,PR!$Y$393,IF($S$420=360,PR!$Y$394,"-"))))))))))))))))))))))))))))))))))))))))))))))))))))))))))))</f>
        <v>0</v>
      </c>
      <c r="G427" s="570">
        <f>IF($S$420=301,PR!$Z$331,IF($S$420=302,PR!$Z$332,IF($S$420=303,PR!$Z$333,IF($S$420=304,PR!$Z$334,IF($S$420=305,PR!$Z$335,IF($S$420=306,PR!$Z$336,IF($S$420=307,PR!$Z$337,IF($S$420=308,PR!$Z$338,IF($S$420=309,PR!$Z$339,IF($S$420=310,PR!$Z$340,IF($S$420=311,PR!$Z$341,IF($S$420=312,PR!$Z$342,IF($S$420=313,PR!$Z$343,IF($S$420=314,PR!$Z$344,IF($S$420=315,PR!$Z$345,IF($S$420=316,PR!$Z$346,IF($S$420=317,PR!$Z$347,IF($S$420=318,PR!$Z$348,IF($S$420=319,PR!$Z$349,IF($S$420=320,PR!$Z$350,IF($S$420=321,PR!$Z$351,IF($S$420=322,PR!$Z$352,IF($S$420=323,PR!$Z$353,IF($S$420=324,PR!$Z$354,IF($S$420=325,PR!$Z$355,IF($S$420=326,PR!$Z$356,IF($S$420=327,PR!$Z$357,IF($S$420=328,PR!$Z$358,IF($S$420=329,PR!$Z$359,IF($S$420=330,PR!$Z$360,IF($S$420=331,PR!$Z$361,IF($S$420=332,PR!$Z$362,IF($S$420=333,PR!$Z$363,IF($S$420=334,PR!$Z$364,IF($S$420=335,PR!$Z$365,IF($S$420=336,PR!$Z$366,IF($S$420=337,PR!$Z$367,IF($S$420=338,PR!$Z$368,IF($S$420=339,PR!$Z$369,IF($S$420=340,PR!$Z$370,IF($S$420=341,PR!$Z$371,IF($S$420=342,PR!$Z$372,IF($S$420=343,PR!$Z$373,IF($S$420=344,PR!$Z$374,IF($S$420=345,PR!$Z$375,IF($S$420=346,PR!$Z$376,IF($S$420=347,PR!$Z$377,IF($S$420=348,PR!$Z$378,IF($S$420=349,PR!$Z$379,IF($S$420=350,PR!$Z$380,IF($S$420=351,PR!$Z$385,IF($S$420=352,PR!$Z$386,IF($S$420=353,PR!$Z$387,IF($S$420=354,PR!$Z$388,IF($S$420=355,PR!$Z$389,IF($S$420=356,PR!$Z$390,IF($S$420=357,PR!$Z$391,IF($S$420=358,PR!$Z$392,IF($S$420=359,PR!$Z$393,IF($S$420=360,PR!$Z$394,"-"))))))))))))))))))))))))))))))))))))))))))))))))))))))))))))</f>
        <v>0</v>
      </c>
      <c r="H427" s="570">
        <f>IF($S$420=301,PR!$AA$331,IF($S$420=302,PR!$AA$332,IF($S$420=303,PR!$AA$333,IF($S$420=304,PR!$AA$334,IF($S$420=305,PR!$AA$335,IF($S$420=306,PR!$AA$336,IF($S$420=307,PR!$AA$337,IF($S$420=308,PR!$AA$338,IF($S$420=309,PR!$AA$339,IF($S$420=310,PR!$AA$340,IF($S$420=311,PR!$AA$341,IF($S$420=312,PR!$AA$342,IF($S$420=313,PR!$AA$343,IF($S$420=314,PR!$AA$344,IF($S$420=315,PR!$AA$345,IF($S$420=316,PR!$AA$346,IF($S$420=317,PR!$AA$347,IF($S$420=318,PR!$AA$348,IF($S$420=319,PR!$AA$349,IF($S$420=320,PR!$AA$350,IF($S$420=321,PR!$AA$351,IF($S$420=322,PR!$AA$352,IF($S$420=323,PR!$AA$353,IF($S$420=324,PR!$AA$354,IF($S$420=325,PR!$AA$355,IF($S$420=326,PR!$AA$356,IF($S$420=327,PR!$AA$357,IF($S$420=328,PR!$AA$358,IF($S$420=329,PR!$AA$359,IF($S$420=330,PR!$AA$360,IF($S$420=331,PR!$AA$361,IF($S$420=332,PR!$AA$362,IF($S$420=333,PR!$AA$363,IF($S$420=334,PR!$AA$364,IF($S$420=335,PR!$AA$365,IF($S$420=336,PR!$AA$366,IF($S$420=337,PR!$AA$367,IF($S$420=338,PR!$AA$368,IF($S$420=339,PR!$AA$369,IF($S$420=340,PR!$AA$370,IF($S$420=341,PR!$AA$371,IF($S$420=342,PR!$AA$372,IF($S$420=343,PR!$AA$373,IF($S$420=344,PR!$AA$374,IF($S$420=345,PR!$AA$375,IF($S$420=346,PR!$AA$376,IF($S$420=347,PR!$AA$377,IF($S$420=348,PR!$AA$378,IF($S$420=349,PR!$AA$379,IF($S$420=350,PR!$AA$380,IF($S$420=351,PR!$AA$385,IF($S$420=352,PR!$AA$386,IF($S$420=353,PR!$AA$387,IF($S$420=354,PR!$AA$388,IF($S$420=355,PR!$AA$389,IF($S$420=356,PR!$AA$390,IF($S$420=357,PR!$AA$391,IF($S$420=358,PR!$AA$392,IF($S$420=359,PR!$AA$393,IF($S$420=360,PR!$AA$394,"-"))))))))))))))))))))))))))))))))))))))))))))))))))))))))))))</f>
        <v>0</v>
      </c>
      <c r="I427" s="570">
        <f>IF($S$420=301,PR!$AB$331,IF($S$420=302,PR!$AB$332,IF($S$420=303,PR!$AB$333,IF($S$420=304,PR!$AB$334,IF($S$420=305,PR!$AB$335,IF($S$420=306,PR!$AB$336,IF($S$420=307,PR!$AB$337,IF($S$420=308,PR!$AB$338,IF($S$420=309,PR!$AB$339,IF($S$420=310,PR!$AB$340,IF($S$420=311,PR!$AB$341,IF($S$420=312,PR!$AB$342,IF($S$420=313,PR!$AB$343,IF($S$420=314,PR!$AB$344,IF($S$420=315,PR!$AB$345,IF($S$420=316,PR!$AB$346,IF($S$420=317,PR!$AB$347,IF($S$420=318,PR!$AB$348,IF($S$420=319,PR!$AB$349,IF($S$420=320,PR!$AB$350,IF($S$420=321,PR!$AB$351,IF($S$420=322,PR!$AB$352,IF($S$420=323,PR!$AB$353,IF($S$420=324,PR!$AB$354,IF($S$420=325,PR!$AB$355,IF($S$420=326,PR!$AB$356,IF($S$420=327,PR!$AB$357,IF($S$420=328,PR!$AB$358,IF($S$420=329,PR!$AB$359,IF($S$420=330,PR!$AB$360,IF($S$420=331,PR!$AB$361,IF($S$420=332,PR!$AB$362,IF($S$420=333,PR!$AB$363,IF($S$420=334,PR!$AB$364,IF($S$420=335,PR!$AB$365,IF($S$420=336,PR!$AB$366,IF($S$420=337,PR!$AB$367,IF($S$420=338,PR!$AB$368,IF($S$420=339,PR!$AB$369,IF($S$420=340,PR!$AB$370,IF($S$420=341,PR!$AB$371,IF($S$420=342,PR!$AB$372,IF($S$420=343,PR!$AB$373,IF($S$420=344,PR!$AB$374,IF($S$420=345,PR!$AB$375,IF($S$420=346,PR!$AB$376,IF($S$420=347,PR!$AB$377,IF($S$420=348,PR!$AB$378,IF($S$420=349,PR!$AB$379,IF($S$420=350,PR!$AB$380,IF($S$420=351,PR!$AB$385,IF($S$420=352,PR!$AB$386,IF($S$420=353,PR!$AB$387,IF($S$420=354,PR!$AB$388,IF($S$420=355,PR!$AB$389,IF($S$420=356,PR!$AB$390,IF($S$420=357,PR!$AB$391,IF($S$420=358,PR!$AB$392,IF($S$420=359,PR!$AB$393,IF($S$420=360,PR!$AB$394,"-"))))))))))))))))))))))))))))))))))))))))))))))))))))))))))))</f>
        <v>0</v>
      </c>
      <c r="J427" s="570">
        <f>IF($S$420=301,PR!$AC$331,IF($S$420=302,PR!$AC$332,IF($S$420=303,PR!$AC$333,IF($S$420=304,PR!$AC$334,IF($S$420=305,PR!$AC$335,IF($S$420=306,PR!$AC$336,IF($S$420=307,PR!$AC$337,IF($S$420=308,PR!$AC$338,IF($S$420=309,PR!$AC$339,IF($S$420=310,PR!$AC$340,IF($S$420=311,PR!$AC$341,IF($S$420=312,PR!$AC$342,IF($S$420=313,PR!$AC$343,IF($S$420=314,PR!$AC$344,IF($S$420=315,PR!$AC$345,IF($S$420=316,PR!$AC$346,IF($S$420=317,PR!$AC$347,IF($S$420=318,PR!$AC$348,IF($S$420=319,PR!$AC$349,IF($S$420=320,PR!$AC$350,IF($S$420=321,PR!$AC$351,IF($S$420=322,PR!$AC$352,IF($S$420=323,PR!$AC$353,IF($S$420=324,PR!$AC$354,IF($S$420=325,PR!$AC$355,IF($S$420=326,PR!$AC$356,IF($S$420=327,PR!$AC$357,IF($S$420=328,PR!$AC$358,IF($S$420=329,PR!$AC$359,IF($S$420=330,PR!$AC$360,IF($S$420=331,PR!$AC$361,IF($S$420=332,PR!$AC$362,IF($S$420=333,PR!$AC$363,IF($S$420=334,PR!$AC$364,IF($S$420=335,PR!$AC$365,IF($S$420=336,PR!$AC$366,IF($S$420=337,PR!$AC$367,IF($S$420=338,PR!$AC$368,IF($S$420=339,PR!$AC$369,IF($S$420=340,PR!$AC$370,IF($S$420=341,PR!$AC$371,IF($S$420=342,PR!$AC$372,IF($S$420=343,PR!$AC$373,IF($S$420=344,PR!$AC$374,IF($S$420=345,PR!$AC$375,IF($S$420=346,PR!$AC$376,IF($S$420=347,PR!$AC$377,IF($S$420=348,PR!$AC$378,IF($S$420=349,PR!$AC$379,IF($S$420=350,PR!$AC$380,IF($S$420=351,PR!$AC$385,IF($S$420=352,PR!$AC$386,IF($S$420=353,PR!$AC$387,IF($S$420=354,PR!$AC$388,IF($S$420=355,PR!$AC$389,IF($S$420=356,PR!$AC$390,IF($S$420=357,PR!$AC$391,IF($S$420=358,PR!$AC$392,IF($S$420=359,PR!$AC$393,IF($S$420=360,PR!$AC$394,"-"))))))))))))))))))))))))))))))))))))))))))))))))))))))))))))</f>
        <v>0</v>
      </c>
      <c r="K427" s="570">
        <f>IF($S$420=301,PR!$AD$331,IF($S$420=302,PR!$AD$332,IF($S$420=303,PR!$AD$333,IF($S$420=304,PR!$AD$334,IF($S$420=305,PR!$AD$335,IF($S$420=306,PR!$AD$336,IF($S$420=307,PR!$AD$337,IF($S$420=308,PR!$AD$338,IF($S$420=309,PR!$AD$339,IF($S$420=310,PR!$AD$340,IF($S$420=311,PR!$AD$341,IF($S$420=312,PR!$AD$342,IF($S$420=313,PR!$AD$343,IF($S$420=314,PR!$AD$344,IF($S$420=315,PR!$AD$345,IF($S$420=316,PR!$AD$346,IF($S$420=317,PR!$AD$347,IF($S$420=318,PR!$AD$348,IF($S$420=319,PR!$AD$349,IF($S$420=320,PR!$AD$350,IF($S$420=321,PR!$AD$351,IF($S$420=322,PR!$AD$352,IF($S$420=323,PR!$AD$353,IF($S$420=324,PR!$AD$354,IF($S$420=325,PR!$AD$355,IF($S$420=326,PR!$AD$356,IF($S$420=327,PR!$AD$357,IF($S$420=328,PR!$AD$358,IF($S$420=329,PR!$AD$359,IF($S$420=330,PR!$AD$360,IF($S$420=331,PR!$AD$361,IF($S$420=332,PR!$AD$362,IF($S$420=333,PR!$AD$363,IF($S$420=334,PR!$AD$364,IF($S$420=335,PR!$AD$365,IF($S$420=336,PR!$AD$366,IF($S$420=337,PR!$AD$367,IF($S$420=338,PR!$AD$368,IF($S$420=339,PR!$AD$369,IF($S$420=340,PR!$AD$370,IF($S$420=341,PR!$AD$371,IF($S$420=342,PR!$AD$372,IF($S$420=343,PR!$AD$373,IF($S$420=344,PR!$AD$374,IF($S$420=345,PR!$AD$375,IF($S$420=346,PR!$AD$376,IF($S$420=347,PR!$AD$377,IF($S$420=348,PR!$AD$378,IF($S$420=349,PR!$AD$379,IF($S$420=350,PR!$AD$380,IF($S$420=351,PR!$AD$385,IF($S$420=352,PR!$AD$386,IF($S$420=353,PR!$AD$387,IF($S$420=354,PR!$AD$388,IF($S$420=355,PR!$AD$389,IF($S$420=356,PR!$AD$390,IF($S$420=357,PR!$AD$391,IF($S$420=358,PR!$AD$392,IF($S$420=359,PR!$AD$393,IF($S$420=360,PR!$AD$394,"-"))))))))))))))))))))))))))))))))))))))))))))))))))))))))))))</f>
        <v>0</v>
      </c>
      <c r="L427" s="570">
        <f>IF($S$420=301,PR!$AE$331,IF($S$420=302,PR!$AE$332,IF($S$420=303,PR!$AE$333,IF($S$420=304,PR!$AE$334,IF($S$420=305,PR!$AE$335,IF($S$420=306,PR!$AE$336,IF($S$420=307,PR!$AE$337,IF($S$420=308,PR!$AE$338,IF($S$420=309,PR!$AE$339,IF($S$420=310,PR!$AE$340,IF($S$420=311,PR!$AE$341,IF($S$420=312,PR!$AE$342,IF($S$420=313,PR!$AE$343,IF($S$420=314,PR!$AE$344,IF($S$420=315,PR!$AE$345,IF($S$420=316,PR!$AE$346,IF($S$420=317,PR!$AE$347,IF($S$420=318,PR!$AE$348,IF($S$420=319,PR!$AE$349,IF($S$420=320,PR!$AE$350,IF($S$420=321,PR!$AE$351,IF($S$420=322,PR!$AE$352,IF($S$420=323,PR!$AE$353,IF($S$420=324,PR!$AE$354,IF($S$420=325,PR!$AE$355,IF($S$420=326,PR!$AE$356,IF($S$420=327,PR!$AE$357,IF($S$420=328,PR!$AE$358,IF($S$420=329,PR!$AE$359,IF($S$420=330,PR!$AE$360,IF($S$420=331,PR!$AE$361,IF($S$420=332,PR!$AE$362,IF($S$420=333,PR!$AE$363,IF($S$420=334,PR!$AE$364,IF($S$420=335,PR!$AE$365,IF($S$420=336,PR!$AE$366,IF($S$420=337,PR!$AE$367,IF($S$420=338,PR!$AE$368,IF($S$420=339,PR!$AE$369,IF($S$420=340,PR!$AE$370,IF($S$420=341,PR!$AE$371,IF($S$420=342,PR!$AE$372,IF($S$420=343,PR!$AE$373,IF($S$420=344,PR!$AE$374,IF($S$420=345,PR!$AE$375,IF($S$420=346,PR!$AE$376,IF($S$420=347,PR!$AE$377,IF($S$420=348,PR!$AE$378,IF($S$420=349,PR!$AE$379,IF($S$420=350,PR!$AE$380,IF($S$420=351,PR!$AE$385,IF($S$420=352,PR!$AE$386,IF($S$420=353,PR!$AE$387,IF($S$420=354,PR!$AE$388,IF($S$420=355,PR!$AE$389,IF($S$420=356,PR!$AE$390,IF($S$420=357,PR!$AE$391,IF($S$420=358,PR!$AE$392,IF($S$420=359,PR!$AE$393,IF($S$420=360,PR!$AE$394,"-"))))))))))))))))))))))))))))))))))))))))))))))))))))))))))))</f>
        <v>0</v>
      </c>
      <c r="M427" s="570">
        <f>IF($S$420=301,PR!$AF$331,IF($S$420=302,PR!$AF$332,IF($S$420=303,PR!$AF$333,IF($S$420=304,PR!$AF$334,IF($S$420=305,PR!$AF$335,IF($S$420=306,PR!$AF$336,IF($S$420=307,PR!$AF$337,IF($S$420=308,PR!$AF$338,IF($S$420=309,PR!$AF$339,IF($S$420=310,PR!$AF$340,IF($S$420=311,PR!$AF$341,IF($S$420=312,PR!$AF$342,IF($S$420=313,PR!$AF$343,IF($S$420=314,PR!$AF$344,IF($S$420=315,PR!$AF$345,IF($S$420=316,PR!$AF$346,IF($S$420=317,PR!$AF$347,IF($S$420=318,PR!$AF$348,IF($S$420=319,PR!$AF$349,IF($S$420=320,PR!$AF$350,IF($S$420=321,PR!$AF$351,IF($S$420=322,PR!$AF$352,IF($S$420=323,PR!$AF$353,IF($S$420=324,PR!$AF$354,IF($S$420=325,PR!$AF$355,IF($S$420=326,PR!$AF$356,IF($S$420=327,PR!$AF$357,IF($S$420=328,PR!$AF$358,IF($S$420=329,PR!$AF$359,IF($S$420=330,PR!$AF$360,IF($S$420=331,PR!$AF$361,IF($S$420=332,PR!$AF$362,IF($S$420=333,PR!$AF$363,IF($S$420=334,PR!$AF$364,IF($S$420=335,PR!$AF$365,IF($S$420=336,PR!$AF$366,IF($S$420=337,PR!$AF$367,IF($S$420=338,PR!$AF$368,IF($S$420=339,PR!$AF$369,IF($S$420=340,PR!$AF$370,IF($S$420=341,PR!$AF$371,IF($S$420=342,PR!$AF$372,IF($S$420=343,PR!$AF$373,IF($S$420=344,PR!$AF$374,IF($S$420=345,PR!$AF$375,IF($S$420=346,PR!$AF$376,IF($S$420=347,PR!$AF$377,IF($S$420=348,PR!$AF$378,IF($S$420=349,PR!$AF$379,IF($S$420=350,PR!$AF$380,IF($S$420=351,PR!$AF$385,IF($S$420=352,PR!$AF$386,IF($S$420=353,PR!$AF$387,IF($S$420=354,PR!$AF$388,IF($S$420=355,PR!$AF$389,IF($S$420=356,PR!$AF$390,IF($S$420=357,PR!$AF$391,IF($S$420=358,PR!$AF$392,IF($S$420=359,PR!$AF$393,IF($S$420=360,PR!$AF$394,"-"))))))))))))))))))))))))))))))))))))))))))))))))))))))))))))</f>
        <v>0</v>
      </c>
      <c r="N427" s="570">
        <f>IF($S$420=301,PR!$AG$331,IF($S$420=302,PR!$AG$332,IF($S$420=303,PR!$AG$333,IF($S$420=304,PR!$AG$334,IF($S$420=305,PR!$AG$335,IF($S$420=306,PR!$AG$336,IF($S$420=307,PR!$AG$337,IF($S$420=308,PR!$AG$338,IF($S$420=309,PR!$AG$339,IF($S$420=310,PR!$AG$340,IF($S$420=311,PR!$AG$341,IF($S$420=312,PR!$AG$342,IF($S$420=313,PR!$AG$343,IF($S$420=314,PR!$AG$344,IF($S$420=315,PR!$AG$345,IF($S$420=316,PR!$AG$346,IF($S$420=317,PR!$AG$347,IF($S$420=318,PR!$AG$348,IF($S$420=319,PR!$AG$349,IF($S$420=320,PR!$AG$350,IF($S$420=321,PR!$AG$351,IF($S$420=322,PR!$AG$352,IF($S$420=323,PR!$AG$353,IF($S$420=324,PR!$AG$354,IF($S$420=325,PR!$AG$355,IF($S$420=326,PR!$AG$356,IF($S$420=327,PR!$AG$357,IF($S$420=328,PR!$AG$358,IF($S$420=329,PR!$AG$359,IF($S$420=330,PR!$AG$360,IF($S$420=331,PR!$AG$361,IF($S$420=332,PR!$AG$362,IF($S$420=333,PR!$AG$363,IF($S$420=334,PR!$AG$364,IF($S$420=335,PR!$AG$365,IF($S$420=336,PR!$AG$366,IF($S$420=337,PR!$AG$367,IF($S$420=338,PR!$AG$368,IF($S$420=339,PR!$AG$369,IF($S$420=340,PR!$AG$370,IF($S$420=341,PR!$AG$371,IF($S$420=342,PR!$AG$372,IF($S$420=343,PR!$AG$373,IF($S$420=344,PR!$AG$374,IF($S$420=345,PR!$AG$375,IF($S$420=346,PR!$AG$376,IF($S$420=347,PR!$AG$377,IF($S$420=348,PR!$AG$378,IF($S$420=349,PR!$AG$379,IF($S$420=350,PR!$AG$380,IF($S$420=351,PR!$AG$385,IF($S$420=352,PR!$AG$386,IF($S$420=353,PR!$AG$387,IF($S$420=354,PR!$AG$388,IF($S$420=355,PR!$AG$389,IF($S$420=356,PR!$AG$390,IF($S$420=357,PR!$AG$391,IF($S$420=358,PR!$AG$392,IF($S$420=359,PR!$AG$393,IF($S$420=360,PR!$AG$394,"-"))))))))))))))))))))))))))))))))))))))))))))))))))))))))))))</f>
        <v>0</v>
      </c>
      <c r="O427" s="570">
        <f>IF($S$420=301,PR!$AH$331,IF($S$420=302,PR!$AH$332,IF($S$420=303,PR!$AH$333,IF($S$420=304,PR!$AH$334,IF($S$420=305,PR!$AH$335,IF($S$420=306,PR!$AH$336,IF($S$420=307,PR!$AH$337,IF($S$420=308,PR!$AH$338,IF($S$420=309,PR!$AH$339,IF($S$420=310,PR!$AH$340,IF($S$420=311,PR!$AH$341,IF($S$420=312,PR!$AH$342,IF($S$420=313,PR!$AH$343,IF($S$420=314,PR!$AH$344,IF($S$420=315,PR!$AH$345,IF($S$420=316,PR!$AH$346,IF($S$420=317,PR!$AH$347,IF($S$420=318,PR!$AH$348,IF($S$420=319,PR!$AH$349,IF($S$420=320,PR!$AH$350,IF($S$420=321,PR!$AH$351,IF($S$420=322,PR!$AH$352,IF($S$420=323,PR!$AH$353,IF($S$420=324,PR!$AH$354,IF($S$420=325,PR!$AH$355,IF($S$420=326,PR!$AH$356,IF($S$420=327,PR!$AH$357,IF($S$420=328,PR!$AH$358,IF($S$420=329,PR!$AH$359,IF($S$420=330,PR!$AH$360,IF($S$420=331,PR!$AH$361,IF($S$420=332,PR!$AH$362,IF($S$420=333,PR!$AH$363,IF($S$420=334,PR!$AH$364,IF($S$420=335,PR!$AH$365,IF($S$420=336,PR!$AH$366,IF($S$420=337,PR!$AH$367,IF($S$420=338,PR!$AH$368,IF($S$420=339,PR!$AH$369,IF($S$420=340,PR!$AH$370,IF($S$420=341,PR!$AH$371,IF($S$420=342,PR!$AH$372,IF($S$420=343,PR!$AH$373,IF($S$420=344,PR!$AH$374,IF($S$420=345,PR!$AH$375,IF($S$420=346,PR!$AH$376,IF($S$420=347,PR!$AH$377,IF($S$420=348,PR!$AH$378,IF($S$420=349,PR!$AH$379,IF($S$420=350,PR!$AH$380,IF($S$420=351,PR!$AH$385,IF($S$420=352,PR!$AH$386,IF($S$420=353,PR!$AH$387,IF($S$420=354,PR!$AH$388,IF($S$420=355,PR!$AH$389,IF($S$420=356,PR!$AH$390,IF($S$420=357,PR!$AH$391,IF($S$420=358,PR!$AH$392,IF($S$420=359,PR!$AH$393,IF($S$420=360,PR!$AH$394,"-"))))))))))))))))))))))))))))))))))))))))))))))))))))))))))))</f>
        <v>0</v>
      </c>
      <c r="P427" s="570">
        <f>IF($S$420=301,PR!$AI$331,IF($S$420=302,PR!$AI$332,IF($S$420=303,PR!$AI$333,IF($S$420=304,PR!$AI$334,IF($S$420=305,PR!$AI$335,IF($S$420=306,PR!$AI$336,IF($S$420=307,PR!$AI$337,IF($S$420=308,PR!$AI$338,IF($S$420=309,PR!$AI$339,IF($S$420=310,PR!$AI$340,IF($S$420=311,PR!$AI$341,IF($S$420=312,PR!$AI$342,IF($S$420=313,PR!$AI$343,IF($S$420=314,PR!$AI$344,IF($S$420=315,PR!$AI$345,IF($S$420=316,PR!$AI$346,IF($S$420=317,PR!$AI$347,IF($S$420=318,PR!$AI$348,IF($S$420=319,PR!$AI$349,IF($S$420=320,PR!$AI$350,IF($S$420=321,PR!$AI$351,IF($S$420=322,PR!$AI$352,IF($S$420=323,PR!$AI$353,IF($S$420=324,PR!$AI$354,IF($S$420=325,PR!$AI$355,IF($S$420=326,PR!$AI$356,IF($S$420=327,PR!$AI$357,IF($S$420=328,PR!$AI$358,IF($S$420=329,PR!$AI$359,IF($S$420=330,PR!$AI$360,IF($S$420=331,PR!$AI$361,IF($S$420=332,PR!$AI$362,IF($S$420=333,PR!$AI$363,IF($S$420=334,PR!$AI$364,IF($S$420=335,PR!$AI$365,IF($S$420=336,PR!$AI$366,IF($S$420=337,PR!$AI$367,IF($S$420=338,PR!$AI$368,IF($S$420=339,PR!$AI$369,IF($S$420=340,PR!$AI$370,IF($S$420=341,PR!$AI$371,IF($S$420=342,PR!$AI$372,IF($S$420=343,PR!$AI$373,IF($S$420=344,PR!$AI$374,IF($S$420=345,PR!$AI$375,IF($S$420=346,PR!$AI$376,IF($S$420=347,PR!$AI$377,IF($S$420=348,PR!$AI$378,IF($S$420=349,PR!$AI$379,IF($S$420=350,PR!$AI$380,IF($S$420=351,PR!$AI$385,IF($S$420=352,PR!$AI$386,IF($S$420=353,PR!$AI$387,IF($S$420=354,PR!$AI$388,IF($S$420=355,PR!$AI$389,IF($S$420=356,PR!$AI$390,IF($S$420=357,PR!$AI$391,IF($S$420=358,PR!$AI$392,IF($S$420=359,PR!$AI$393,IF($S$420=360,PR!$AI$394,"-"))))))))))))))))))))))))))))))))))))))))))))))))))))))))))))</f>
        <v>0</v>
      </c>
      <c r="Q427" s="570">
        <f>IF($S$420=301,PR!$AJ$331,IF($S$420=302,PR!$AJ$332,IF($S$420=303,PR!$AJ$333,IF($S$420=304,PR!$AJ$334,IF($S$420=305,PR!$AJ$335,IF($S$420=306,PR!$AJ$336,IF($S$420=307,PR!$AJ$337,IF($S$420=308,PR!$AJ$338,IF($S$420=309,PR!$AJ$339,IF($S$420=310,PR!$AJ$340,IF($S$420=311,PR!$AJ$341,IF($S$420=312,PR!$AJ$342,IF($S$420=313,PR!$AJ$343,IF($S$420=314,PR!$AJ$344,IF($S$420=315,PR!$AJ$345,IF($S$420=316,PR!$AJ$346,IF($S$420=317,PR!$AJ$347,IF($S$420=318,PR!$AJ$348,IF($S$420=319,PR!$AJ$349,IF($S$420=320,PR!$AJ$350,IF($S$420=321,PR!$AJ$351,IF($S$420=322,PR!$AJ$352,IF($S$420=323,PR!$AJ$353,IF($S$420=324,PR!$AJ$354,IF($S$420=325,PR!$AJ$355,IF($S$420=326,PR!$AJ$356,IF($S$420=327,PR!$AJ$357,IF($S$420=328,PR!$AJ$358,IF($S$420=329,PR!$AJ$359,IF($S$420=330,PR!$AJ$360,IF($S$420=331,PR!$AJ$361,IF($S$420=332,PR!$AJ$362,IF($S$420=333,PR!$AJ$363,IF($S$420=334,PR!$AJ$364,IF($S$420=335,PR!$AJ$365,IF($S$420=336,PR!$AJ$366,IF($S$420=337,PR!$AJ$367,IF($S$420=338,PR!$AJ$368,IF($S$420=339,PR!$AJ$369,IF($S$420=340,PR!$AJ$370,IF($S$420=341,PR!$AJ$371,IF($S$420=342,PR!$AJ$372,IF($S$420=343,PR!$AJ$373,IF($S$420=344,PR!$AJ$374,IF($S$420=345,PR!$AJ$375,IF($S$420=346,PR!$AJ$376,IF($S$420=347,PR!$AJ$377,IF($S$420=348,PR!$AJ$378,IF($S$420=349,PR!$AJ$379,IF($S$420=350,PR!$AJ$380,IF($S$420=351,PR!$AJ$385,IF($S$420=352,PR!$AJ$386,IF($S$420=353,PR!$AJ$387,IF($S$420=354,PR!$AJ$388,IF($S$420=355,PR!$AJ$389,IF($S$420=356,PR!$AJ$390,IF($S$420=357,PR!$AJ$391,IF($S$420=358,PR!$AJ$392,IF($S$420=359,PR!$AJ$393,IF($S$420=360,PR!$AJ$394,"-"))))))))))))))))))))))))))))))))))))))))))))))))))))))))))))</f>
        <v>0</v>
      </c>
      <c r="R427" s="570">
        <f>IF($S$420=301,PR!$AK$331,IF($S$420=302,PR!$AK$332,IF($S$420=303,PR!$AK$333,IF($S$420=304,PR!$AK$334,IF($S$420=305,PR!$AK$335,IF($S$420=306,PR!$AK$336,IF($S$420=307,PR!$AK$337,IF($S$420=308,PR!$AK$338,IF($S$420=309,PR!$AK$339,IF($S$420=310,PR!$AK$340,IF($S$420=311,PR!$AK$341,IF($S$420=312,PR!$AK$342,IF($S$420=313,PR!$AK$343,IF($S$420=314,PR!$AK$344,IF($S$420=315,PR!$AK$345,IF($S$420=316,PR!$AK$346,IF($S$420=317,PR!$AK$347,IF($S$420=318,PR!$AK$348,IF($S$420=319,PR!$AK$349,IF($S$420=320,PR!$AK$350,IF($S$420=321,PR!$AK$351,IF($S$420=322,PR!$AK$352,IF($S$420=323,PR!$AK$353,IF($S$420=324,PR!$AK$354,IF($S$420=325,PR!$AK$355,IF($S$420=326,PR!$AK$356,IF($S$420=327,PR!$AK$357,IF($S$420=328,PR!$AK$358,IF($S$420=329,PR!$AK$359,IF($S$420=330,PR!$AK$360,IF($S$420=331,PR!$AK$361,IF($S$420=332,PR!$AK$362,IF($S$420=333,PR!$AK$363,IF($S$420=334,PR!$AK$364,IF($S$420=335,PR!$AK$365,IF($S$420=336,PR!$AK$366,IF($S$420=337,PR!$AK$367,IF($S$420=338,PR!$AK$368,IF($S$420=339,PR!$AK$369,IF($S$420=340,PR!$AK$370,IF($S$420=341,PR!$AK$371,IF($S$420=342,PR!$AK$372,IF($S$420=343,PR!$AK$373,IF($S$420=344,PR!$AK$374,IF($S$420=345,PR!$AK$375,IF($S$420=346,PR!$AK$376,IF($S$420=347,PR!$AK$377,IF($S$420=348,PR!$AK$378,IF($S$420=349,PR!$AK$379,IF($S$420=350,PR!$AK$380,IF($S$420=351,PR!$AK$385,IF($S$420=352,PR!$AK$386,IF($S$420=353,PR!$AK$387,IF($S$420=354,PR!$AK$388,IF($S$420=355,PR!$AK$389,IF($S$420=356,PR!$AK$390,IF($S$420=357,PR!$AK$391,IF($S$420=358,PR!$AK$392,IF($S$420=359,PR!$AK$393,IF($S$420=360,PR!$AK$394,"-"))))))))))))))))))))))))))))))))))))))))))))))))))))))))))))</f>
        <v>0</v>
      </c>
      <c r="S427" s="570">
        <f>IF($S$420=301,PR!$AM$331,IF($S$420=302,PR!$AM$332,IF($S$420=303,PR!$AM$333,IF($S$420=304,PR!$AM$334,IF($S$420=305,PR!$AM$335,IF($S$420=306,PR!$AM$336,IF($S$420=307,PR!$AM$337,IF($S$420=308,PR!$AM$338,IF($S$420=309,PR!$AM$339,IF($S$420=310,PR!$AM$340,IF($S$420=311,PR!$AM$341,IF($S$420=312,PR!$AM$342,IF($S$420=313,PR!$AM$343,IF($S$420=314,PR!$AM$344,IF($S$420=315,PR!$AM$345,IF($S$420=316,PR!$AM$346,IF($S$420=317,PR!$AM$347,IF($S$420=318,PR!$AM$348,IF($S$420=319,PR!$AM$349,IF($S$420=320,PR!$AM$350,IF($S$420=321,PR!$AM$351,IF($S$420=322,PR!$AM$352,IF($S$420=323,PR!$AM$353,IF($S$420=324,PR!$AM$354,IF($S$420=325,PR!$AM$355,IF($S$420=326,PR!$AM$356,IF($S$420=327,PR!$AM$357,IF($S$420=328,PR!$AM$358,IF($S$420=329,PR!$AM$359,IF($S$420=330,PR!$AM$360,IF($S$420=331,PR!$AM$361,IF($S$420=332,PR!$AM$362,IF($S$420=333,PR!$AM$363,IF($S$420=334,PR!$AM$364,IF($S$420=335,PR!$AM$365,IF($S$420=336,PR!$AM$366,IF($S$420=337,PR!$AM$367,IF($S$420=338,PR!$AM$368,IF($S$420=339,PR!$AM$369,IF($S$420=340,PR!$AM$370,IF($S$420=341,PR!$AM$371,IF($S$420=342,PR!$AM$372,IF($S$420=343,PR!$AM$373,IF($S$420=344,PR!$AM$374,IF($S$420=345,PR!$AM$375,IF($S$420=346,PR!$AM$376,IF($S$420=347,PR!$AM$377,IF($S$420=348,PR!$AM$378,IF($S$420=349,PR!$AM$379,IF($S$420=350,PR!$AM$380,IF($S$420=351,PR!$AM$385,IF($S$420=352,PR!$AM$386,IF($S$420=353,PR!$AM$387,IF($S$420=354,PR!$AM$388,IF($S$420=355,PR!$AM$389,IF($S$420=356,PR!$AM$390,IF($S$420=357,PR!$AM$391,IF($S$420=358,PR!$AM$392,IF($S$420=359,PR!$AM$393,IF($S$420=360,PR!$AM$394,"-"))))))))))))))))))))))))))))))))))))))))))))))))))))))))))))</f>
        <v>0</v>
      </c>
      <c r="T427" s="552"/>
      <c r="U427" s="518"/>
      <c r="V427" s="32"/>
      <c r="W427" s="32"/>
      <c r="X427" s="32"/>
      <c r="Y427" s="32"/>
      <c r="Z427" s="32"/>
    </row>
    <row r="428" spans="1:26" ht="15.75" x14ac:dyDescent="0.25">
      <c r="A428" s="91"/>
      <c r="B428" s="552"/>
      <c r="C428" s="571"/>
      <c r="D428" s="572"/>
      <c r="E428" s="572"/>
      <c r="F428" s="572"/>
      <c r="G428" s="572"/>
      <c r="H428" s="572"/>
      <c r="I428" s="572"/>
      <c r="J428" s="572"/>
      <c r="K428" s="572"/>
      <c r="L428" s="572"/>
      <c r="M428" s="572"/>
      <c r="N428" s="572"/>
      <c r="O428" s="572"/>
      <c r="P428" s="572"/>
      <c r="Q428" s="572"/>
      <c r="R428" s="575"/>
      <c r="S428" s="575"/>
      <c r="T428" s="552"/>
      <c r="U428" s="518"/>
      <c r="V428" s="32"/>
      <c r="W428" s="32"/>
      <c r="X428" s="32"/>
      <c r="Y428" s="32"/>
      <c r="Z428" s="32"/>
    </row>
    <row r="429" spans="1:26" ht="15.75" thickBot="1" x14ac:dyDescent="0.3">
      <c r="A429" s="91"/>
      <c r="B429" s="552"/>
      <c r="C429" s="574" t="str">
        <f>N!$C$38</f>
        <v>MWORLD</v>
      </c>
      <c r="D429" s="574" t="str">
        <f>N!$C$39</f>
        <v>MEGA</v>
      </c>
      <c r="E429" s="574" t="str">
        <f>N!$C$40</f>
        <v>MICRONOVA</v>
      </c>
      <c r="F429" s="574" t="str">
        <f>N!$C$41</f>
        <v>MFLASH</v>
      </c>
      <c r="G429" s="574" t="str">
        <f>N!$C$42</f>
        <v>MORISON</v>
      </c>
      <c r="H429" s="574" t="str">
        <f>N!$C$43</f>
        <v>NEMEL</v>
      </c>
      <c r="I429" s="574" t="str">
        <f>N!$C$44</f>
        <v>NHP</v>
      </c>
      <c r="J429" s="574" t="str">
        <f>N!$C$45</f>
        <v>NHC</v>
      </c>
      <c r="K429" s="574" t="str">
        <f>N!$C$46</f>
        <v>OLEAF</v>
      </c>
      <c r="L429" s="574" t="str">
        <f>N!$C$47</f>
        <v>OCULUS</v>
      </c>
      <c r="M429" s="574" t="str">
        <f>N!$C$48</f>
        <v>PACIFIC</v>
      </c>
      <c r="N429" s="574" t="str">
        <f>N!$C$49</f>
        <v>PHAMATEX</v>
      </c>
      <c r="O429" s="574" t="str">
        <f>N!$C$50</f>
        <v>PETHICS</v>
      </c>
      <c r="P429" s="574" t="str">
        <f>N!$C$51</f>
        <v>PHILIPS</v>
      </c>
      <c r="Q429" s="574" t="str">
        <f>N!$C$52</f>
        <v>RANBAXY</v>
      </c>
      <c r="R429" s="574" t="str">
        <f>N!$C$53</f>
        <v>REALS</v>
      </c>
      <c r="S429" s="574" t="str">
        <f>N!$C$54</f>
        <v>ROYAL</v>
      </c>
      <c r="T429" s="552"/>
      <c r="U429" s="518"/>
      <c r="V429" s="32"/>
      <c r="W429" s="32"/>
      <c r="X429" s="32"/>
      <c r="Y429" s="32"/>
      <c r="Z429" s="32"/>
    </row>
    <row r="430" spans="1:26" ht="15.75" thickBot="1" x14ac:dyDescent="0.3">
      <c r="A430" s="91"/>
      <c r="B430" s="552"/>
      <c r="C430" s="570">
        <f>IF($S$420=301,PR!$AN$331,IF($S$420=302,PR!$AN$332,IF($S$420=303,PR!$AN$333,IF($S$420=304,PR!$AN$334,IF($S$420=305,PR!$AN$335,IF($S$420=306,PR!$AN$336,IF($S$420=307,PR!$AN$337,IF($S$420=308,PR!$AN$338,IF($S$420=309,PR!$AN$339,IF($S$420=310,PR!$AN$340,IF($S$420=311,PR!$AN$341,IF($S$420=312,PR!$AN$342,IF($S$420=313,PR!$AN$343,IF($S$420=314,PR!$AN$344,IF($S$420=315,PR!$AN$345,IF($S$420=316,PR!$AN$346,IF($S$420=317,PR!$AN$347,IF($S$420=318,PR!$AN$348,IF($S$420=319,PR!$AN$349,IF($S$420=320,PR!$AN$350,IF($S$420=321,PR!$AN$351,IF($S$420=322,PR!$AN$352,IF($S$420=323,PR!$AN$353,IF($S$420=324,PR!$AN$354,IF($S$420=325,PR!$AN$355,IF($S$420=326,PR!$AN$356,IF($S$420=327,PR!$AN$357,IF($S$420=328,PR!$AN$358,IF($S$420=329,PR!$AN$359,IF($S$420=330,PR!$AN$360,IF($S$420=331,PR!$AN$361,IF($S$420=332,PR!$AN$362,IF($S$420=333,PR!$AN$363,IF($S$420=334,PR!$AN$364,IF($S$420=335,PR!$AN$365,IF($S$420=336,PR!$AN$366,IF($S$420=337,PR!$AN$367,IF($S$420=338,PR!$AN$368,IF($S$420=339,PR!$AN$369,IF($S$420=340,PR!$AN$370,IF($S$420=341,PR!$AN$371,IF($S$420=342,PR!$AN$372,IF($S$420=343,PR!$AN$373,IF($S$420=344,PR!$AN$374,IF($S$420=345,PR!$AN$375,IF($S$420=346,PR!$AN$376,IF($S$420=347,PR!$AN$377,IF($S$420=348,PR!$AN$378,IF($S$420=349,PR!$AN$379,IF($S$420=350,PR!$AN$380,IF($S$420=351,PR!$AN$385,IF($S$420=352,PR!$AN$386,IF($S$420=353,PR!$AN$387,IF($S$420=354,PR!$AN$388,IF($S$420=355,PR!$AN$389,IF($S$420=356,PR!$AN$390,IF($S$420=357,PR!$AN$391,IF($S$420=358,PR!$AN$392,IF($S$420=359,PR!$AN$393,IF($S$420=360,PR!$AN$394,"-"))))))))))))))))))))))))))))))))))))))))))))))))))))))))))))</f>
        <v>0</v>
      </c>
      <c r="D430" s="570">
        <f>IF($S$420=301,PR!$AN$331,IF($S$420=302,PR!$AN$332,IF($S$420=303,PR!$AN$333,IF($S$420=304,PR!$AN$334,IF($S$420=305,PR!$AN$335,IF($S$420=306,PR!$AN$336,IF($S$420=307,PR!$AN$337,IF($S$420=308,PR!$AN$338,IF($S$420=309,PR!$AN$339,IF($S$420=310,PR!$AN$340,IF($S$420=311,PR!$AN$341,IF($S$420=312,PR!$AN$342,IF($S$420=313,PR!$AN$343,IF($S$420=314,PR!$AN$344,IF($S$420=315,PR!$AN$345,IF($S$420=316,PR!$AN$346,IF($S$420=317,PR!$AN$347,IF($S$420=318,PR!$AN$348,IF($S$420=319,PR!$AN$349,IF($S$420=320,PR!$AN$350,IF($S$420=321,PR!$AN$351,IF($S$420=322,PR!$AN$352,IF($S$420=323,PR!$AN$353,IF($S$420=324,PR!$AN$354,IF($S$420=325,PR!$AN$355,IF($S$420=326,PR!$AN$356,IF($S$420=327,PR!$AN$357,IF($S$420=328,PR!$AN$358,IF($S$420=329,PR!$AN$359,IF($S$420=330,PR!$AN$360,IF($S$420=331,PR!$AN$361,IF($S$420=332,PR!$AN$362,IF($S$420=333,PR!$AN$363,IF($S$420=334,PR!$AN$364,IF($S$420=335,PR!$AN$365,IF($S$420=336,PR!$AN$366,IF($S$420=337,PR!$AN$367,IF($S$420=338,PR!$AN$368,IF($S$420=339,PR!$AN$369,IF($S$420=340,PR!$AN$370,IF($S$420=341,PR!$AN$371,IF($S$420=342,PR!$AN$372,IF($S$420=343,PR!$AN$373,IF($S$420=344,PR!$AN$374,IF($S$420=345,PR!$AN$375,IF($S$420=346,PR!$AN$376,IF($S$420=347,PR!$AN$377,IF($S$420=348,PR!$AN$378,IF($S$420=349,PR!$AN$379,IF($S$420=350,PR!$AN$380,IF($S$420=351,PR!$AN$385,IF($S$420=352,PR!$AN$386,IF($S$420=353,PR!$AN$387,IF($S$420=354,PR!$AN$388,IF($S$420=355,PR!$AN$389,IF($S$420=356,PR!$AN$390,IF($S$420=357,PR!$AN$391,IF($S$420=358,PR!$AN$392,IF($S$420=359,PR!$AN$393,IF($S$420=360,PR!$AN$394,"-"))))))))))))))))))))))))))))))))))))))))))))))))))))))))))))</f>
        <v>0</v>
      </c>
      <c r="E430" s="570">
        <f>IF($S$420=301,PR!$AO$331,IF($S$420=302,PR!$AO$332,IF($S$420=303,PR!$AO$333,IF($S$420=304,PR!$AO$334,IF($S$420=305,PR!$AO$335,IF($S$420=306,PR!$AO$336,IF($S$420=307,PR!$AO$337,IF($S$420=308,PR!$AO$338,IF($S$420=309,PR!$AO$339,IF($S$420=310,PR!$AO$340,IF($S$420=311,PR!$AO$341,IF($S$420=312,PR!$AO$342,IF($S$420=313,PR!$AO$343,IF($S$420=314,PR!$AO$344,IF($S$420=315,PR!$AO$345,IF($S$420=316,PR!$AO$346,IF($S$420=317,PR!$AO$347,IF($S$420=318,PR!$AO$348,IF($S$420=319,PR!$AO$349,IF($S$420=320,PR!$AO$350,IF($S$420=321,PR!$AO$351,IF($S$420=322,PR!$AO$352,IF($S$420=323,PR!$AO$353,IF($S$420=324,PR!$AO$354,IF($S$420=325,PR!$AO$355,IF($S$420=326,PR!$AO$356,IF($S$420=327,PR!$AO$357,IF($S$420=328,PR!$AO$358,IF($S$420=329,PR!$AO$359,IF($S$420=330,PR!$AO$360,IF($S$420=331,PR!$AO$361,IF($S$420=332,PR!$AO$362,IF($S$420=333,PR!$AO$363,IF($S$420=334,PR!$AO$364,IF($S$420=335,PR!$AO$365,IF($S$420=336,PR!$AO$366,IF($S$420=337,PR!$AO$367,IF($S$420=338,PR!$AO$368,IF($S$420=339,PR!$AO$369,IF($S$420=340,PR!$AO$370,IF($S$420=341,PR!$AO$371,IF($S$420=342,PR!$AO$372,IF($S$420=343,PR!$AO$373,IF($S$420=344,PR!$AO$374,IF($S$420=345,PR!$AO$375,IF($S$420=346,PR!$AO$376,IF($S$420=347,PR!$AO$377,IF($S$420=348,PR!$AO$378,IF($S$420=349,PR!$AO$379,IF($S$420=350,PR!$AO$380,IF($S$420=351,PR!$AO$385,IF($S$420=352,PR!$AO$386,IF($S$420=353,PR!$AO$387,IF($S$420=354,PR!$AO$388,IF($S$420=355,PR!$AO$389,IF($S$420=356,PR!$AO$390,IF($S$420=357,PR!$AO$391,IF($S$420=358,PR!$AO$392,IF($S$420=359,PR!$AO$393,IF($S$420=360,PR!$AO$394,"-"))))))))))))))))))))))))))))))))))))))))))))))))))))))))))))</f>
        <v>0</v>
      </c>
      <c r="F430" s="570">
        <f>IF($S$420=301,PR!$AP$331,IF($S$420=302,PR!$AP$332,IF($S$420=303,PR!$AP$333,IF($S$420=304,PR!$AP$334,IF($S$420=305,PR!$AP$335,IF($S$420=306,PR!$AP$336,IF($S$420=307,PR!$AP$337,IF($S$420=308,PR!$AP$338,IF($S$420=309,PR!$AP$339,IF($S$420=310,PR!$AP$340,IF($S$420=311,PR!$AP$341,IF($S$420=312,PR!$AP$342,IF($S$420=313,PR!$AP$343,IF($S$420=314,PR!$AP$344,IF($S$420=315,PR!$AP$345,IF($S$420=316,PR!$AP$346,IF($S$420=317,PR!$AP$347,IF($S$420=318,PR!$AP$348,IF($S$420=319,PR!$AP$349,IF($S$420=320,PR!$AP$350,IF($S$420=321,PR!$AP$351,IF($S$420=322,PR!$AP$352,IF($S$420=323,PR!$AP$353,IF($S$420=324,PR!$AP$354,IF($S$420=325,PR!$AP$355,IF($S$420=326,PR!$AP$356,IF($S$420=327,PR!$AP$357,IF($S$420=328,PR!$AP$358,IF($S$420=329,PR!$AP$359,IF($S$420=330,PR!$AP$360,IF($S$420=331,PR!$AP$361,IF($S$420=332,PR!$AP$362,IF($S$420=333,PR!$AP$363,IF($S$420=334,PR!$AP$364,IF($S$420=335,PR!$AP$365,IF($S$420=336,PR!$AP$366,IF($S$420=337,PR!$AP$367,IF($S$420=338,PR!$AP$368,IF($S$420=339,PR!$AP$369,IF($S$420=340,PR!$AP$370,IF($S$420=341,PR!$AP$371,IF($S$420=342,PR!$AP$372,IF($S$420=343,PR!$AP$373,IF($S$420=344,PR!$AP$374,IF($S$420=345,PR!$AP$375,IF($S$420=346,PR!$AP$376,IF($S$420=347,PR!$AP$377,IF($S$420=348,PR!$AP$378,IF($S$420=349,PR!$AP$379,IF($S$420=350,PR!$AP$380,IF($S$420=351,PR!$AP$385,IF($S$420=352,PR!$AP$386,IF($S$420=353,PR!$AP$387,IF($S$420=354,PR!$AP$388,IF($S$420=355,PR!$AP$389,IF($S$420=356,PR!$AP$390,IF($S$420=357,PR!$AP$391,IF($S$420=358,PR!$AP$392,IF($S$420=359,PR!$AP$393,IF($S$420=360,PR!$AP$394,"-"))))))))))))))))))))))))))))))))))))))))))))))))))))))))))))</f>
        <v>0</v>
      </c>
      <c r="G430" s="570">
        <f>IF($S$420=301,PR!$AQ$331,IF($S$420=302,PR!$AQ$332,IF($S$420=303,PR!$AQ$333,IF($S$420=304,PR!$AQ$334,IF($S$420=305,PR!$AQ$335,IF($S$420=306,PR!$AQ$336,IF($S$420=307,PR!$AQ$337,IF($S$420=308,PR!$AQ$338,IF($S$420=309,PR!$AQ$339,IF($S$420=310,PR!$AQ$340,IF($S$420=311,PR!$AQ$341,IF($S$420=312,PR!$AQ$342,IF($S$420=313,PR!$AQ$343,IF($S$420=314,PR!$AQ$344,IF($S$420=315,PR!$AQ$345,IF($S$420=316,PR!$AQ$346,IF($S$420=317,PR!$AQ$347,IF($S$420=318,PR!$AQ$348,IF($S$420=319,PR!$AQ$349,IF($S$420=320,PR!$AQ$350,IF($S$420=321,PR!$AQ$351,IF($S$420=322,PR!$AQ$352,IF($S$420=323,PR!$AQ$353,IF($S$420=324,PR!$AQ$354,IF($S$420=325,PR!$AQ$355,IF($S$420=326,PR!$AQ$356,IF($S$420=327,PR!$AQ$357,IF($S$420=328,PR!$AQ$358,IF($S$420=329,PR!$AQ$359,IF($S$420=330,PR!$AQ$360,IF($S$420=331,PR!$AQ$361,IF($S$420=332,PR!$AQ$362,IF($S$420=333,PR!$AQ$363,IF($S$420=334,PR!$AQ$364,IF($S$420=335,PR!$AQ$365,IF($S$420=336,PR!$AQ$366,IF($S$420=337,PR!$AQ$367,IF($S$420=338,PR!$AQ$368,IF($S$420=339,PR!$AQ$369,IF($S$420=340,PR!$AQ$370,IF($S$420=341,PR!$AQ$371,IF($S$420=342,PR!$AQ$372,IF($S$420=343,PR!$AQ$373,IF($S$420=344,PR!$AQ$374,IF($S$420=345,PR!$AQ$375,IF($S$420=346,PR!$AQ$376,IF($S$420=347,PR!$AQ$377,IF($S$420=348,PR!$AQ$378,IF($S$420=349,PR!$AQ$379,IF($S$420=350,PR!$AQ$380,IF($S$420=351,PR!$AQ$385,IF($S$420=352,PR!$AQ$386,IF($S$420=353,PR!$AQ$387,IF($S$420=354,PR!$AQ$388,IF($S$420=355,PR!$AQ$389,IF($S$420=356,PR!$AQ$390,IF($S$420=357,PR!$AQ$391,IF($S$420=358,PR!$AQ$392,IF($S$420=359,PR!$AQ$393,IF($S$420=360,PR!$AQ$394,"-"))))))))))))))))))))))))))))))))))))))))))))))))))))))))))))</f>
        <v>0</v>
      </c>
      <c r="H430" s="570">
        <f>IF($S$420=301,PR!$AR$331,IF($S$420=302,PR!$AR$332,IF($S$420=303,PR!$AR$333,IF($S$420=304,PR!$AR$334,IF($S$420=305,PR!$AR$335,IF($S$420=306,PR!$AR$336,IF($S$420=307,PR!$AR$337,IF($S$420=308,PR!$AR$338,IF($S$420=309,PR!$AR$339,IF($S$420=310,PR!$AR$340,IF($S$420=311,PR!$AR$341,IF($S$420=312,PR!$AR$342,IF($S$420=313,PR!$AR$343,IF($S$420=314,PR!$AR$344,IF($S$420=315,PR!$AR$345,IF($S$420=316,PR!$AR$346,IF($S$420=317,PR!$AR$347,IF($S$420=318,PR!$AR$348,IF($S$420=319,PR!$AR$349,IF($S$420=320,PR!$AR$350,IF($S$420=321,PR!$AR$351,IF($S$420=322,PR!$AR$352,IF($S$420=323,PR!$AR$353,IF($S$420=324,PR!$AR$354,IF($S$420=325,PR!$AR$355,IF($S$420=326,PR!$AR$356,IF($S$420=327,PR!$AR$357,IF($S$420=328,PR!$AR$358,IF($S$420=329,PR!$AR$359,IF($S$420=330,PR!$AR$360,IF($S$420=331,PR!$AR$361,IF($S$420=332,PR!$AR$362,IF($S$420=333,PR!$AR$363,IF($S$420=334,PR!$AR$364,IF($S$420=335,PR!$AR$365,IF($S$420=336,PR!$AR$366,IF($S$420=337,PR!$AR$367,IF($S$420=338,PR!$AR$368,IF($S$420=339,PR!$AR$369,IF($S$420=340,PR!$AR$370,IF($S$420=341,PR!$AR$371,IF($S$420=342,PR!$AR$372,IF($S$420=343,PR!$AR$373,IF($S$420=344,PR!$AR$374,IF($S$420=345,PR!$AR$375,IF($S$420=346,PR!$AR$376,IF($S$420=347,PR!$AR$377,IF($S$420=348,PR!$AR$378,IF($S$420=349,PR!$AR$379,IF($S$420=350,PR!$AR$380,IF($S$420=351,PR!$AR$385,IF($S$420=352,PR!$AR$386,IF($S$420=353,PR!$AR$387,IF($S$420=354,PR!$AR$388,IF($S$420=355,PR!$AR$389,IF($S$420=356,PR!$AR$390,IF($S$420=357,PR!$AR$391,IF($S$420=358,PR!$AR$392,IF($S$420=359,PR!$AR$393,IF($S$420=360,PR!$AR$394,"-"))))))))))))))))))))))))))))))))))))))))))))))))))))))))))))</f>
        <v>0</v>
      </c>
      <c r="I430" s="570">
        <f>IF($S$420=301,PR!$AS$331,IF($S$420=302,PR!$AS$332,IF($S$420=303,PR!$AS$333,IF($S$420=304,PR!$AS$334,IF($S$420=305,PR!$AS$335,IF($S$420=306,PR!$AS$336,IF($S$420=307,PR!$AS$337,IF($S$420=308,PR!$AS$338,IF($S$420=309,PR!$AS$339,IF($S$420=310,PR!$AS$340,IF($S$420=311,PR!$AS$341,IF($S$420=312,PR!$AS$342,IF($S$420=313,PR!$AS$343,IF($S$420=314,PR!$AS$344,IF($S$420=315,PR!$AS$345,IF($S$420=316,PR!$AS$346,IF($S$420=317,PR!$AS$347,IF($S$420=318,PR!$AS$348,IF($S$420=319,PR!$AS$349,IF($S$420=320,PR!$AS$350,IF($S$420=321,PR!$AS$351,IF($S$420=322,PR!$AS$352,IF($S$420=323,PR!$AS$353,IF($S$420=324,PR!$AS$354,IF($S$420=325,PR!$AS$355,IF($S$420=326,PR!$AS$356,IF($S$420=327,PR!$AS$357,IF($S$420=328,PR!$AS$358,IF($S$420=329,PR!$AS$359,IF($S$420=330,PR!$AS$360,IF($S$420=331,PR!$AS$361,IF($S$420=332,PR!$AS$362,IF($S$420=333,PR!$AS$363,IF($S$420=334,PR!$AS$364,IF($S$420=335,PR!$AS$365,IF($S$420=336,PR!$AS$366,IF($S$420=337,PR!$AS$367,IF($S$420=338,PR!$AS$368,IF($S$420=339,PR!$AS$369,IF($S$420=340,PR!$AS$370,IF($S$420=341,PR!$AS$371,IF($S$420=342,PR!$AS$372,IF($S$420=343,PR!$AS$373,IF($S$420=344,PR!$AS$374,IF($S$420=345,PR!$AS$375,IF($S$420=346,PR!$AS$376,IF($S$420=347,PR!$AS$377,IF($S$420=348,PR!$AS$378,IF($S$420=349,PR!$AS$379,IF($S$420=350,PR!$AS$380,IF($S$420=351,PR!$AS$385,IF($S$420=352,PR!$AS$386,IF($S$420=353,PR!$AS$387,IF($S$420=354,PR!$AS$388,IF($S$420=355,PR!$AS$389,IF($S$420=356,PR!$AS$390,IF($S$420=357,PR!$AS$391,IF($S$420=358,PR!$AS$392,IF($S$420=359,PR!$AS$393,IF($S$420=360,PR!$AS$394,"-"))))))))))))))))))))))))))))))))))))))))))))))))))))))))))))</f>
        <v>0</v>
      </c>
      <c r="J430" s="570">
        <f>IF($S$420=301,PR!$AT$331,IF($S$420=302,PR!$AT$332,IF($S$420=303,PR!$AT$333,IF($S$420=304,PR!$AT$334,IF($S$420=305,PR!$AT$335,IF($S$420=306,PR!$AT$336,IF($S$420=307,PR!$AT$337,IF($S$420=308,PR!$AT$338,IF($S$420=309,PR!$AT$339,IF($S$420=310,PR!$AT$340,IF($S$420=311,PR!$AT$341,IF($S$420=312,PR!$AT$342,IF($S$420=313,PR!$AT$343,IF($S$420=314,PR!$AT$344,IF($S$420=315,PR!$AT$345,IF($S$420=316,PR!$AT$346,IF($S$420=317,PR!$AT$347,IF($S$420=318,PR!$AT$348,IF($S$420=319,PR!$AT$349,IF($S$420=320,PR!$AT$350,IF($S$420=321,PR!$AT$351,IF($S$420=322,PR!$AT$352,IF($S$420=323,PR!$AT$353,IF($S$420=324,PR!$AT$354,IF($S$420=325,PR!$AT$355,IF($S$420=326,PR!$AT$356,IF($S$420=327,PR!$AT$357,IF($S$420=328,PR!$AT$358,IF($S$420=329,PR!$AT$359,IF($S$420=330,PR!$AT$360,IF($S$420=331,PR!$AT$361,IF($S$420=332,PR!$AT$362,IF($S$420=333,PR!$AT$363,IF($S$420=334,PR!$AT$364,IF($S$420=335,PR!$AT$365,IF($S$420=336,PR!$AT$366,IF($S$420=337,PR!$AT$367,IF($S$420=338,PR!$AT$368,IF($S$420=339,PR!$AT$369,IF($S$420=340,PR!$AT$370,IF($S$420=341,PR!$AT$371,IF($S$420=342,PR!$AT$372,IF($S$420=343,PR!$AT$373,IF($S$420=344,PR!$AT$374,IF($S$420=345,PR!$AT$375,IF($S$420=346,PR!$AT$376,IF($S$420=347,PR!$AT$377,IF($S$420=348,PR!$AT$378,IF($S$420=349,PR!$AT$379,IF($S$420=350,PR!$AT$380,IF($S$420=351,PR!$AT$385,IF($S$420=352,PR!$AT$386,IF($S$420=353,PR!$AT$387,IF($S$420=354,PR!$AT$388,IF($S$420=355,PR!$AT$389,IF($S$420=356,PR!$AT$390,IF($S$420=357,PR!$AT$391,IF($S$420=358,PR!$AT$392,IF($S$420=359,PR!$AT$393,IF($S$420=360,PR!$AT$394,"-"))))))))))))))))))))))))))))))))))))))))))))))))))))))))))))</f>
        <v>0</v>
      </c>
      <c r="K430" s="570">
        <f>IF($S$420=301,PR!$AU$331,IF($S$420=302,PR!$AU$332,IF($S$420=303,PR!$AU$333,IF($S$420=304,PR!$AU$334,IF($S$420=305,PR!$AU$335,IF($S$420=306,PR!$AU$336,IF($S$420=307,PR!$AU$337,IF($S$420=308,PR!$AU$338,IF($S$420=309,PR!$AU$339,IF($S$420=310,PR!$AU$340,IF($S$420=311,PR!$AU$341,IF($S$420=312,PR!$AU$342,IF($S$420=313,PR!$AU$343,IF($S$420=314,PR!$AU$344,IF($S$420=315,PR!$AU$345,IF($S$420=316,PR!$AU$346,IF($S$420=317,PR!$AU$347,IF($S$420=318,PR!$AU$348,IF($S$420=319,PR!$AU$349,IF($S$420=320,PR!$AU$350,IF($S$420=321,PR!$AU$351,IF($S$420=322,PR!$AU$352,IF($S$420=323,PR!$AU$353,IF($S$420=324,PR!$AU$354,IF($S$420=325,PR!$AU$355,IF($S$420=326,PR!$AU$356,IF($S$420=327,PR!$AU$357,IF($S$420=328,PR!$AU$358,IF($S$420=329,PR!$AU$359,IF($S$420=330,PR!$AU$360,IF($S$420=331,PR!$AU$361,IF($S$420=332,PR!$AU$362,IF($S$420=333,PR!$AU$363,IF($S$420=334,PR!$AU$364,IF($S$420=335,PR!$AU$365,IF($S$420=336,PR!$AU$366,IF($S$420=337,PR!$AU$367,IF($S$420=338,PR!$AU$368,IF($S$420=339,PR!$AU$369,IF($S$420=340,PR!$AU$370,IF($S$420=341,PR!$AU$371,IF($S$420=342,PR!$AU$372,IF($S$420=343,PR!$AU$373,IF($S$420=344,PR!$AU$374,IF($S$420=345,PR!$AU$375,IF($S$420=346,PR!$AU$376,IF($S$420=347,PR!$AU$377,IF($S$420=348,PR!$AU$378,IF($S$420=349,PR!$AU$379,IF($S$420=350,PR!$AU$380,IF($S$420=351,PR!$AU$385,IF($S$420=352,PR!$AU$386,IF($S$420=353,PR!$AU$387,IF($S$420=354,PR!$AU$388,IF($S$420=355,PR!$AU$389,IF($S$420=356,PR!$AU$390,IF($S$420=357,PR!$AU$391,IF($S$420=358,PR!$AU$392,IF($S$420=359,PR!$AU$393,IF($S$420=360,PR!$AU$394,"-"))))))))))))))))))))))))))))))))))))))))))))))))))))))))))))</f>
        <v>0</v>
      </c>
      <c r="L430" s="570">
        <f>IF($S$420=301,PR!$AV$331,IF($S$420=302,PR!$AV$332,IF($S$420=303,PR!$AV$333,IF($S$420=304,PR!$AV$334,IF($S$420=305,PR!$AV$335,IF($S$420=306,PR!$AV$336,IF($S$420=307,PR!$AV$337,IF($S$420=308,PR!$AV$338,IF($S$420=309,PR!$AV$339,IF($S$420=310,PR!$AV$340,IF($S$420=311,PR!$AV$341,IF($S$420=312,PR!$AV$342,IF($S$420=313,PR!$AV$343,IF($S$420=314,PR!$AV$344,IF($S$420=315,PR!$AV$345,IF($S$420=316,PR!$AV$346,IF($S$420=317,PR!$AV$347,IF($S$420=318,PR!$AV$348,IF($S$420=319,PR!$AV$349,IF($S$420=320,PR!$AV$350,IF($S$420=321,PR!$AV$351,IF($S$420=322,PR!$AV$352,IF($S$420=323,PR!$AV$353,IF($S$420=324,PR!$AV$354,IF($S$420=325,PR!$AV$355,IF($S$420=326,PR!$AV$356,IF($S$420=327,PR!$AV$357,IF($S$420=328,PR!$AV$358,IF($S$420=329,PR!$AV$359,IF($S$420=330,PR!$AV$360,IF($S$420=331,PR!$AV$361,IF($S$420=332,PR!$AV$362,IF($S$420=333,PR!$AV$363,IF($S$420=334,PR!$AV$364,IF($S$420=335,PR!$AV$365,IF($S$420=336,PR!$AV$366,IF($S$420=337,PR!$AV$367,IF($S$420=338,PR!$AV$368,IF($S$420=339,PR!$AV$369,IF($S$420=340,PR!$AV$370,IF($S$420=341,PR!$AV$371,IF($S$420=342,PR!$AV$372,IF($S$420=343,PR!$AV$373,IF($S$420=344,PR!$AV$374,IF($S$420=345,PR!$AV$375,IF($S$420=346,PR!$AV$376,IF($S$420=347,PR!$AV$377,IF($S$420=348,PR!$AV$378,IF($S$420=349,PR!$AV$379,IF($S$420=350,PR!$AV$380,IF($S$420=351,PR!$AV$385,IF($S$420=352,PR!$AV$386,IF($S$420=353,PR!$AV$387,IF($S$420=354,PR!$AV$388,IF($S$420=355,PR!$AV$389,IF($S$420=356,PR!$AV$390,IF($S$420=357,PR!$AV$391,IF($S$420=358,PR!$AV$392,IF($S$420=359,PR!$AV$393,IF($S$420=360,PR!$AV$394,"-"))))))))))))))))))))))))))))))))))))))))))))))))))))))))))))</f>
        <v>0</v>
      </c>
      <c r="M430" s="570">
        <f>IF($S$420=301,PR!$AW$331,IF($S$420=302,PR!$AW$332,IF($S$420=303,PR!$AW$333,IF($S$420=304,PR!$AW$334,IF($S$420=305,PR!$AW$335,IF($S$420=306,PR!$AW$336,IF($S$420=307,PR!$AW$337,IF($S$420=308,PR!$AW$338,IF($S$420=309,PR!$AW$339,IF($S$420=310,PR!$AW$340,IF($S$420=311,PR!$AW$341,IF($S$420=312,PR!$AW$342,IF($S$420=313,PR!$AW$343,IF($S$420=314,PR!$AW$344,IF($S$420=315,PR!$AW$345,IF($S$420=316,PR!$AW$346,IF($S$420=317,PR!$AW$347,IF($S$420=318,PR!$AW$348,IF($S$420=319,PR!$AW$349,IF($S$420=320,PR!$AW$350,IF($S$420=321,PR!$AW$351,IF($S$420=322,PR!$AW$352,IF($S$420=323,PR!$AW$353,IF($S$420=324,PR!$AW$354,IF($S$420=325,PR!$AW$355,IF($S$420=326,PR!$AW$356,IF($S$420=327,PR!$AW$357,IF($S$420=328,PR!$AW$358,IF($S$420=329,PR!$AW$359,IF($S$420=330,PR!$AW$360,IF($S$420=331,PR!$AW$361,IF($S$420=332,PR!$AW$362,IF($S$420=333,PR!$AW$363,IF($S$420=334,PR!$AW$364,IF($S$420=335,PR!$AW$365,IF($S$420=336,PR!$AW$366,IF($S$420=337,PR!$AW$367,IF($S$420=338,PR!$AW$368,IF($S$420=339,PR!$AW$369,IF($S$420=340,PR!$AW$370,IF($S$420=341,PR!$AW$371,IF($S$420=342,PR!$AW$372,IF($S$420=343,PR!$AW$373,IF($S$420=344,PR!$AW$374,IF($S$420=345,PR!$AW$375,IF($S$420=346,PR!$AW$376,IF($S$420=347,PR!$AW$377,IF($S$420=348,PR!$AW$378,IF($S$420=349,PR!$AW$379,IF($S$420=350,PR!$AW$380,IF($S$420=351,PR!$AW$385,IF($S$420=352,PR!$AW$386,IF($S$420=353,PR!$AW$387,IF($S$420=354,PR!$AW$388,IF($S$420=355,PR!$AW$389,IF($S$420=356,PR!$AW$390,IF($S$420=357,PR!$AW$391,IF($S$420=358,PR!$AW$392,IF($S$420=359,PR!$AW$393,IF($S$420=360,PR!$AW$394,"-"))))))))))))))))))))))))))))))))))))))))))))))))))))))))))))</f>
        <v>0</v>
      </c>
      <c r="N430" s="570">
        <f>IF($S$420=301,PR!$AX$331,IF($S$420=302,PR!$AX$332,IF($S$420=303,PR!$AX$333,IF($S$420=304,PR!$AX$334,IF($S$420=305,PR!$AX$335,IF($S$420=306,PR!$AX$336,IF($S$420=307,PR!$AX$337,IF($S$420=308,PR!$AX$338,IF($S$420=309,PR!$AX$339,IF($S$420=310,PR!$AX$340,IF($S$420=311,PR!$AX$341,IF($S$420=312,PR!$AX$342,IF($S$420=313,PR!$AX$343,IF($S$420=314,PR!$AX$344,IF($S$420=315,PR!$AX$345,IF($S$420=316,PR!$AX$346,IF($S$420=317,PR!$AX$347,IF($S$420=318,PR!$AX$348,IF($S$420=319,PR!$AX$349,IF($S$420=320,PR!$AX$350,IF($S$420=321,PR!$AX$351,IF($S$420=322,PR!$AX$352,IF($S$420=323,PR!$AX$353,IF($S$420=324,PR!$AX$354,IF($S$420=325,PR!$AX$355,IF($S$420=326,PR!$AX$356,IF($S$420=327,PR!$AX$357,IF($S$420=328,PR!$AX$358,IF($S$420=329,PR!$AX$359,IF($S$420=330,PR!$AX$360,IF($S$420=331,PR!$AX$361,IF($S$420=332,PR!$AX$362,IF($S$420=333,PR!$AX$363,IF($S$420=334,PR!$AX$364,IF($S$420=335,PR!$AX$365,IF($S$420=336,PR!$AX$366,IF($S$420=337,PR!$AX$367,IF($S$420=338,PR!$AX$368,IF($S$420=339,PR!$AX$369,IF($S$420=340,PR!$AX$370,IF($S$420=341,PR!$AX$371,IF($S$420=342,PR!$AX$372,IF($S$420=343,PR!$AX$373,IF($S$420=344,PR!$AX$374,IF($S$420=345,PR!$AX$375,IF($S$420=346,PR!$AX$376,IF($S$420=347,PR!$AX$377,IF($S$420=348,PR!$AX$378,IF($S$420=349,PR!$AX$379,IF($S$420=350,PR!$AX$380,IF($S$420=351,PR!$AX$385,IF($S$420=352,PR!$AX$386,IF($S$420=353,PR!$AX$387,IF($S$420=354,PR!$AX$388,IF($S$420=355,PR!$AX$389,IF($S$420=356,PR!$AX$390,IF($S$420=357,PR!$AX$391,IF($S$420=358,PR!$AX$392,IF($S$420=359,PR!$AX$393,IF($S$420=360,PR!$AX$394,"-"))))))))))))))))))))))))))))))))))))))))))))))))))))))))))))</f>
        <v>0</v>
      </c>
      <c r="O430" s="570">
        <f>IF($S$420=301,PR!$AY$331,IF($S$420=302,PR!$AY$332,IF($S$420=303,PR!$AY$333,IF($S$420=304,PR!$AY$334,IF($S$420=305,PR!$AY$335,IF($S$420=306,PR!$AY$336,IF($S$420=307,PR!$AY$337,IF($S$420=308,PR!$AY$338,IF($S$420=309,PR!$AY$339,IF($S$420=310,PR!$AY$340,IF($S$420=311,PR!$AY$341,IF($S$420=312,PR!$AY$342,IF($S$420=313,PR!$AY$343,IF($S$420=314,PR!$AY$344,IF($S$420=315,PR!$AY$345,IF($S$420=316,PR!$AY$346,IF($S$420=317,PR!$AY$347,IF($S$420=318,PR!$AY$348,IF($S$420=319,PR!$AY$349,IF($S$420=320,PR!$AY$350,IF($S$420=321,PR!$AY$351,IF($S$420=322,PR!$AY$352,IF($S$420=323,PR!$AY$353,IF($S$420=324,PR!$AY$354,IF($S$420=325,PR!$AY$355,IF($S$420=326,PR!$AY$356,IF($S$420=327,PR!$AY$357,IF($S$420=328,PR!$AY$358,IF($S$420=329,PR!$AY$359,IF($S$420=330,PR!$AY$360,IF($S$420=331,PR!$AY$361,IF($S$420=332,PR!$AY$362,IF($S$420=333,PR!$AY$363,IF($S$420=334,PR!$AY$364,IF($S$420=335,PR!$AY$365,IF($S$420=336,PR!$AY$366,IF($S$420=337,PR!$AY$367,IF($S$420=338,PR!$AY$368,IF($S$420=339,PR!$AY$369,IF($S$420=340,PR!$AY$370,IF($S$420=341,PR!$AY$371,IF($S$420=342,PR!$AY$372,IF($S$420=343,PR!$AY$373,IF($S$420=344,PR!$AY$374,IF($S$420=345,PR!$AY$375,IF($S$420=346,PR!$AY$376,IF($S$420=347,PR!$AY$377,IF($S$420=348,PR!$AY$378,IF($S$420=349,PR!$AY$379,IF($S$420=350,PR!$AY$380,IF($S$420=351,PR!$AY$385,IF($S$420=352,PR!$AY$386,IF($S$420=353,PR!$AY$387,IF($S$420=354,PR!$AY$388,IF($S$420=355,PR!$AY$389,IF($S$420=356,PR!$AY$390,IF($S$420=357,PR!$AY$391,IF($S$420=358,PR!$AY$392,IF($S$420=359,PR!$AY$393,IF($S$420=360,PR!$AY$394,"-"))))))))))))))))))))))))))))))))))))))))))))))))))))))))))))</f>
        <v>0</v>
      </c>
      <c r="P430" s="570">
        <f>IF($S$420=301,PR!$AZ$331,IF($S$420=302,PR!$AZ$332,IF($S$420=303,PR!$AZ$333,IF($S$420=304,PR!$AZ$334,IF($S$420=305,PR!$AZ$335,IF($S$420=306,PR!$AZ$336,IF($S$420=307,PR!$AZ$337,IF($S$420=308,PR!$AZ$338,IF($S$420=309,PR!$AZ$339,IF($S$420=310,PR!$AZ$340,IF($S$420=311,PR!$AZ$341,IF($S$420=312,PR!$AZ$342,IF($S$420=313,PR!$AZ$343,IF($S$420=314,PR!$AZ$344,IF($S$420=315,PR!$AZ$345,IF($S$420=316,PR!$AZ$346,IF($S$420=317,PR!$AZ$347,IF($S$420=318,PR!$AZ$348,IF($S$420=319,PR!$AZ$349,IF($S$420=320,PR!$AZ$350,IF($S$420=321,PR!$AZ$351,IF($S$420=322,PR!$AZ$352,IF($S$420=323,PR!$AZ$353,IF($S$420=324,PR!$AZ$354,IF($S$420=325,PR!$AZ$355,IF($S$420=326,PR!$AZ$356,IF($S$420=327,PR!$AZ$357,IF($S$420=328,PR!$AZ$358,IF($S$420=329,PR!$AZ$359,IF($S$420=330,PR!$AZ$360,IF($S$420=331,PR!$AZ$361,IF($S$420=332,PR!$AZ$362,IF($S$420=333,PR!$AZ$363,IF($S$420=334,PR!$AZ$364,IF($S$420=335,PR!$AZ$365,IF($S$420=336,PR!$AZ$366,IF($S$420=337,PR!$AZ$367,IF($S$420=338,PR!$AZ$368,IF($S$420=339,PR!$AZ$369,IF($S$420=340,PR!$AZ$370,IF($S$420=341,PR!$AZ$371,IF($S$420=342,PR!$AZ$372,IF($S$420=343,PR!$AZ$373,IF($S$420=344,PR!$AZ$374,IF($S$420=345,PR!$AZ$375,IF($S$420=346,PR!$AZ$376,IF($S$420=347,PR!$AZ$377,IF($S$420=348,PR!$AZ$378,IF($S$420=349,PR!$AZ$379,IF($S$420=350,PR!$AZ$380,IF($S$420=351,PR!$AZ$385,IF($S$420=352,PR!$AZ$386,IF($S$420=353,PR!$AZ$387,IF($S$420=354,PR!$AZ$388,IF($S$420=355,PR!$AZ$389,IF($S$420=356,PR!$AZ$390,IF($S$420=357,PR!$AZ$391,IF($S$420=358,PR!$AZ$392,IF($S$420=359,PR!$AZ$393,IF($S$420=360,PR!$AZ$394,"-"))))))))))))))))))))))))))))))))))))))))))))))))))))))))))))</f>
        <v>0</v>
      </c>
      <c r="Q430" s="570">
        <f>IF($S$420=301,PR!$BA$331,IF($S$420=302,PR!$BA$332,IF($S$420=303,PR!$BA$333,IF($S$420=304,PR!$BA$334,IF($S$420=305,PR!$BA$335,IF($S$420=306,PR!$BA$336,IF($S$420=307,PR!$BA$337,IF($S$420=308,PR!$BA$338,IF($S$420=309,PR!$BA$339,IF($S$420=310,PR!$BA$340,IF($S$420=311,PR!$BA$341,IF($S$420=312,PR!$BA$342,IF($S$420=313,PR!$BA$343,IF($S$420=314,PR!$BA$344,IF($S$420=315,PR!$BA$345,IF($S$420=316,PR!$BA$346,IF($S$420=317,PR!$BA$347,IF($S$420=318,PR!$BA$348,IF($S$420=319,PR!$BA$349,IF($S$420=320,PR!$BA$350,IF($S$420=321,PR!$BA$351,IF($S$420=322,PR!$BA$352,IF($S$420=323,PR!$BA$353,IF($S$420=324,PR!$BA$354,IF($S$420=325,PR!$BA$355,IF($S$420=326,PR!$BA$356,IF($S$420=327,PR!$BA$357,IF($S$420=328,PR!$BA$358,IF($S$420=329,PR!$BA$359,IF($S$420=330,PR!$BA$360,IF($S$420=331,PR!$BA$361,IF($S$420=332,PR!$BA$362,IF($S$420=333,PR!$BA$363,IF($S$420=334,PR!$BA$364,IF($S$420=335,PR!$BA$365,IF($S$420=336,PR!$BA$366,IF($S$420=337,PR!$BA$367,IF($S$420=338,PR!$BA$368,IF($S$420=339,PR!$BA$369,IF($S$420=340,PR!$BA$370,IF($S$420=341,PR!$BA$371,IF($S$420=342,PR!$BA$372,IF($S$420=343,PR!$BA$373,IF($S$420=344,PR!$BA$374,IF($S$420=345,PR!$BA$375,IF($S$420=346,PR!$BA$376,IF($S$420=347,PR!$BA$377,IF($S$420=348,PR!$BA$378,IF($S$420=349,PR!$BA$379,IF($S$420=350,PR!$BA$380,IF($S$420=351,PR!$BA$385,IF($S$420=352,PR!$BA$386,IF($S$420=353,PR!$BA$387,IF($S$420=354,PR!$BA$388,IF($S$420=355,PR!$BA$389,IF($S$420=356,PR!$BA$390,IF($S$420=357,PR!$BA$391,IF($S$420=358,PR!$BA$392,IF($S$420=359,PR!$BA$393,IF($S$420=360,PR!$BA$394,"-"))))))))))))))))))))))))))))))))))))))))))))))))))))))))))))</f>
        <v>0</v>
      </c>
      <c r="R430" s="570">
        <f>IF($S$420=301,PR!$BB$331,IF($S$420=302,PR!$BB$332,IF($S$420=303,PR!$BB$333,IF($S$420=304,PR!$BB$334,IF($S$420=305,PR!$BB$335,IF($S$420=306,PR!$BB$336,IF($S$420=307,PR!$BB$337,IF($S$420=308,PR!$BB$338,IF($S$420=309,PR!$BB$339,IF($S$420=310,PR!$BB$340,IF($S$420=311,PR!$BB$341,IF($S$420=312,PR!$BB$342,IF($S$420=313,PR!$BB$343,IF($S$420=314,PR!$BB$344,IF($S$420=315,PR!$BB$345,IF($S$420=316,PR!$BB$346,IF($S$420=317,PR!$BB$347,IF($S$420=318,PR!$BB$348,IF($S$420=319,PR!$BB$349,IF($S$420=320,PR!$BB$350,IF($S$420=321,PR!$BB$351,IF($S$420=322,PR!$BB$352,IF($S$420=323,PR!$BB$353,IF($S$420=324,PR!$BB$354,IF($S$420=325,PR!$BB$355,IF($S$420=326,PR!$BB$356,IF($S$420=327,PR!$BB$357,IF($S$420=328,PR!$BB$358,IF($S$420=329,PR!$BB$359,IF($S$420=330,PR!$BB$360,IF($S$420=331,PR!$BB$361,IF($S$420=332,PR!$BB$362,IF($S$420=333,PR!$BB$363,IF($S$420=334,PR!$BB$364,IF($S$420=335,PR!$BB$365,IF($S$420=336,PR!$BB$366,IF($S$420=337,PR!$BB$367,IF($S$420=338,PR!$BB$368,IF($S$420=339,PR!$BB$369,IF($S$420=340,PR!$BB$370,IF($S$420=341,PR!$BB$371,IF($S$420=342,PR!$BB$372,IF($S$420=343,PR!$BB$373,IF($S$420=344,PR!$BB$374,IF($S$420=345,PR!$BB$375,IF($S$420=346,PR!$BB$376,IF($S$420=347,PR!$BB$377,IF($S$420=348,PR!$BB$378,IF($S$420=349,PR!$BB$379,IF($S$420=350,PR!$BB$380,IF($S$420=351,PR!$BB$385,IF($S$420=352,PR!$BB$386,IF($S$420=353,PR!$BB$387,IF($S$420=354,PR!$BB$388,IF($S$420=355,PR!$BB$389,IF($S$420=356,PR!$BB$390,IF($S$420=357,PR!$BB$391,IF($S$420=358,PR!$BB$392,IF($S$420=359,PR!$BB$393,IF($S$420=360,PR!$BB$394,"-"))))))))))))))))))))))))))))))))))))))))))))))))))))))))))))</f>
        <v>0</v>
      </c>
      <c r="S430" s="570">
        <f>IF($S$420=301,PR!$BC$331,IF($S$420=302,PR!$BC$332,IF($S$420=303,PR!$BC$333,IF($S$420=304,PR!$BC$334,IF($S$420=305,PR!$BC$335,IF($S$420=306,PR!$BC$336,IF($S$420=307,PR!$BC$337,IF($S$420=308,PR!$BC$338,IF($S$420=309,PR!$BC$339,IF($S$420=310,PR!$BC$340,IF($S$420=311,PR!$BC$341,IF($S$420=312,PR!$BC$342,IF($S$420=313,PR!$BC$343,IF($S$420=314,PR!$BC$344,IF($S$420=315,PR!$BC$345,IF($S$420=316,PR!$BC$346,IF($S$420=317,PR!$BC$347,IF($S$420=318,PR!$BC$348,IF($S$420=319,PR!$BC$349,IF($S$420=320,PR!$BC$350,IF($S$420=321,PR!$BC$351,IF($S$420=322,PR!$BC$352,IF($S$420=323,PR!$BC$353,IF($S$420=324,PR!$BC$354,IF($S$420=325,PR!$BC$355,IF($S$420=326,PR!$BC$356,IF($S$420=327,PR!$BC$357,IF($S$420=328,PR!$BC$358,IF($S$420=329,PR!$BC$359,IF($S$420=330,PR!$BC$360,IF($S$420=331,PR!$BC$361,IF($S$420=332,PR!$BC$362,IF($S$420=333,PR!$BC$363,IF($S$420=334,PR!$BC$364,IF($S$420=335,PR!$BC$365,IF($S$420=336,PR!$BC$366,IF($S$420=337,PR!$BC$367,IF($S$420=338,PR!$BC$368,IF($S$420=339,PR!$BC$369,IF($S$420=340,PR!$BC$370,IF($S$420=341,PR!$BC$371,IF($S$420=342,PR!$BC$372,IF($S$420=343,PR!$BC$373,IF($S$420=344,PR!$BC$374,IF($S$420=345,PR!$BC$375,IF($S$420=346,PR!$BC$376,IF($S$420=347,PR!$BC$377,IF($S$420=348,PR!$BC$378,IF($S$420=349,PR!$BC$379,IF($S$420=350,PR!$BC$380,IF($S$420=351,PR!$BC$385,IF($S$420=352,PR!$BC$386,IF($S$420=353,PR!$BC$387,IF($S$420=354,PR!$BC$388,IF($S$420=355,PR!$BC$389,IF($S$420=356,PR!$BC$390,IF($S$420=357,PR!$BC$391,IF($S$420=358,PR!$BC$392,IF($S$420=359,PR!$BC$393,IF($S$420=360,PR!$BC$394,"-"))))))))))))))))))))))))))))))))))))))))))))))))))))))))))))</f>
        <v>0</v>
      </c>
      <c r="T430" s="552"/>
      <c r="U430" s="518"/>
      <c r="V430" s="32"/>
      <c r="W430" s="32"/>
      <c r="X430" s="32"/>
      <c r="Y430" s="32"/>
      <c r="Z430" s="32"/>
    </row>
    <row r="431" spans="1:26" ht="15.75" x14ac:dyDescent="0.25">
      <c r="A431" s="91"/>
      <c r="B431" s="552"/>
      <c r="C431" s="571"/>
      <c r="D431" s="572"/>
      <c r="E431" s="572"/>
      <c r="F431" s="572"/>
      <c r="G431" s="572"/>
      <c r="H431" s="572"/>
      <c r="I431" s="572"/>
      <c r="J431" s="572"/>
      <c r="K431" s="572"/>
      <c r="L431" s="572"/>
      <c r="M431" s="572"/>
      <c r="N431" s="572"/>
      <c r="O431" s="572"/>
      <c r="P431" s="572"/>
      <c r="Q431" s="572"/>
      <c r="R431" s="575"/>
      <c r="S431" s="575"/>
      <c r="T431" s="552"/>
      <c r="U431" s="518"/>
      <c r="V431" s="32"/>
      <c r="W431" s="32"/>
      <c r="X431" s="32"/>
      <c r="Y431" s="32"/>
      <c r="Z431" s="32"/>
    </row>
    <row r="432" spans="1:26" ht="15.75" thickBot="1" x14ac:dyDescent="0.3">
      <c r="A432" s="91"/>
      <c r="B432" s="552"/>
      <c r="C432" s="574" t="str">
        <f>N!$C$55</f>
        <v>SAM</v>
      </c>
      <c r="D432" s="574" t="str">
        <f>N!$C$56</f>
        <v>SEAGREEN</v>
      </c>
      <c r="E432" s="574" t="str">
        <f>N!$C$57</f>
        <v>SKG</v>
      </c>
      <c r="F432" s="574" t="str">
        <f>N!$C$58</f>
        <v>TAH</v>
      </c>
      <c r="G432" s="574" t="str">
        <f>N!$C$59</f>
        <v>TAYLEK</v>
      </c>
      <c r="H432" s="574" t="str">
        <f>N!$C$60</f>
        <v>TEMITA</v>
      </c>
      <c r="I432" s="574" t="str">
        <f>N!$C$61</f>
        <v>THL</v>
      </c>
      <c r="J432" s="574" t="str">
        <f>N!$C$62</f>
        <v>UBASTIC</v>
      </c>
      <c r="K432" s="574" t="str">
        <f>N!$C$63</f>
        <v>UNION</v>
      </c>
      <c r="L432" s="574" t="str">
        <f>N!$C$64</f>
        <v>UNIQUE</v>
      </c>
      <c r="M432" s="574" t="str">
        <f>N!$C$65</f>
        <v>VIXA</v>
      </c>
      <c r="N432" s="574" t="str">
        <f>N!$C$66</f>
        <v>WWCV</v>
      </c>
      <c r="O432" s="574" t="str">
        <f>N!$C$67</f>
        <v>ZOLON</v>
      </c>
      <c r="P432" s="574" t="e">
        <f>N!#REF!</f>
        <v>#REF!</v>
      </c>
      <c r="Q432" s="574" t="e">
        <f>N!#REF!</f>
        <v>#REF!</v>
      </c>
      <c r="R432" s="574" t="e">
        <f>N!#REF!</f>
        <v>#REF!</v>
      </c>
      <c r="S432" s="572"/>
      <c r="T432" s="552"/>
      <c r="U432" s="518"/>
      <c r="V432" s="32"/>
      <c r="W432" s="32"/>
      <c r="X432" s="32"/>
      <c r="Y432" s="32"/>
      <c r="Z432" s="32"/>
    </row>
    <row r="433" spans="1:26" ht="15.75" thickBot="1" x14ac:dyDescent="0.3">
      <c r="A433" s="91"/>
      <c r="B433" s="552"/>
      <c r="C433" s="570">
        <f>IF($S$420=301,PR!$BD$331,IF($S$420=302,PR!$BD$332,IF($S$420=303,PR!$BD$333,IF($S$420=304,PR!$BD$334,IF($S$420=305,PR!$BD$335,IF($S$420=306,PR!$BD$336,IF($S$420=307,PR!$BD$337,IF($S$420=308,PR!$BD$338,IF($S$420=309,PR!$BD$339,IF($S$420=310,PR!$BD$340,IF($S$420=311,PR!$BD$341,IF($S$420=312,PR!$BD$342,IF($S$420=313,PR!$BD$343,IF($S$420=314,PR!$BD$344,IF($S$420=315,PR!$BD$345,IF($S$420=316,PR!$BD$346,IF($S$420=317,PR!$BD$347,IF($S$420=318,PR!$BD$348,IF($S$420=319,PR!$BD$349,IF($S$420=320,PR!$BD$350,IF($S$420=321,PR!$BD$351,IF($S$420=322,PR!$BD$352,IF($S$420=323,PR!$BD$353,IF($S$420=324,PR!$BD$354,IF($S$420=325,PR!$BD$355,IF($S$420=326,PR!$BD$356,IF($S$420=327,PR!$BD$357,IF($S$420=328,PR!$BD$358,IF($S$420=329,PR!$BD$359,IF($S$420=330,PR!$BD$360,IF($S$420=331,PR!$BD$361,IF($S$420=332,PR!$BD$362,IF($S$420=333,PR!$BD$363,IF($S$420=334,PR!$BD$364,IF($S$420=335,PR!$BD$365,IF($S$420=336,PR!$BD$366,IF($S$420=337,PR!$BD$367,IF($S$420=338,PR!$BD$368,IF($S$420=339,PR!$BD$369,IF($S$420=340,PR!$BD$370,IF($S$420=341,PR!$BD$371,IF($S$420=342,PR!$BD$372,IF($S$420=343,PR!$BD$373,IF($S$420=344,PR!$BD$374,IF($S$420=345,PR!$BD$375,IF($S$420=346,PR!$BD$376,IF($S$420=347,PR!$BD$377,IF($S$420=348,PR!$BD$378,IF($S$420=349,PR!$BD$379,IF($S$420=350,PR!$BD$380,IF($S$420=351,PR!$BD$385,IF($S$420=352,PR!$BD$386,IF($S$420=353,PR!$BD$387,IF($S$420=354,PR!$BD$388,IF($S$420=355,PR!$BD$389,IF($S$420=356,PR!$BD$390,IF($S$420=357,PR!$BD$391,IF($S$420=358,PR!$BD$392,IF($S$420=359,PR!$BD$393,IF($S$420=360,PR!$BD$394,"-"))))))))))))))))))))))))))))))))))))))))))))))))))))))))))))</f>
        <v>0</v>
      </c>
      <c r="D433" s="570">
        <f>IF($S$420=301,PR!$BE$331,IF($S$420=302,PR!$BE$332,IF($S$420=303,PR!$BE$333,IF($S$420=304,PR!$BE$334,IF($S$420=305,PR!$BE$335,IF($S$420=306,PR!$BE$336,IF($S$420=307,PR!$BE$337,IF($S$420=308,PR!$BE$338,IF($S$420=309,PR!$BE$339,IF($S$420=310,PR!$BE$340,IF($S$420=311,PR!$BE$341,IF($S$420=312,PR!$BE$342,IF($S$420=313,PR!$BE$343,IF($S$420=314,PR!$BE$344,IF($S$420=315,PR!$BE$345,IF($S$420=316,PR!$BE$346,IF($S$420=317,PR!$BE$347,IF($S$420=318,PR!$BE$348,IF($S$420=319,PR!$BE$349,IF($S$420=320,PR!$BE$350,IF($S$420=321,PR!$BE$351,IF($S$420=322,PR!$BE$352,IF($S$420=323,PR!$BE$353,IF($S$420=324,PR!$BE$354,IF($S$420=325,PR!$BE$355,IF($S$420=326,PR!$BE$356,IF($S$420=327,PR!$BE$357,IF($S$420=328,PR!$BE$358,IF($S$420=329,PR!$BE$359,IF($S$420=330,PR!$BE$360,IF($S$420=331,PR!$BE$361,IF($S$420=332,PR!$BE$362,IF($S$420=333,PR!$BE$363,IF($S$420=334,PR!$BE$364,IF($S$420=335,PR!$BE$365,IF($S$420=336,PR!$BE$366,IF($S$420=337,PR!$BE$367,IF($S$420=338,PR!$BE$368,IF($S$420=339,PR!$BE$369,IF($S$420=340,PR!$BE$370,IF($S$420=341,PR!$BE$371,IF($S$420=342,PR!$BE$372,IF($S$420=343,PR!$BE$373,IF($S$420=344,PR!$BE$374,IF($S$420=345,PR!$BE$375,IF($S$420=346,PR!$BE$376,IF($S$420=347,PR!$BE$377,IF($S$420=348,PR!$BE$378,IF($S$420=349,PR!$BE$379,IF($S$420=350,PR!$BE$380,IF($S$420=351,PR!$BE$385,IF($S$420=352,PR!$BE$386,IF($S$420=353,PR!$BE$387,IF($S$420=354,PR!$BE$388,IF($S$420=355,PR!$BE$389,IF($S$420=356,PR!$BE$390,IF($S$420=357,PR!$BE$391,IF($S$420=358,PR!$BE$392,IF($S$420=359,PR!$BE$393,IF($S$420=360,PR!$BE$394,"-"))))))))))))))))))))))))))))))))))))))))))))))))))))))))))))</f>
        <v>0</v>
      </c>
      <c r="E433" s="570">
        <f>IF($S$420=301,PR!$BF$331,IF($S$420=302,PR!$BF$332,IF($S$420=303,PR!$BF$333,IF($S$420=304,PR!$BF$334,IF($S$420=305,PR!$BF$335,IF($S$420=306,PR!$BF$336,IF($S$420=307,PR!$BF$337,IF($S$420=308,PR!$BF$338,IF($S$420=309,PR!$BF$339,IF($S$420=310,PR!$BF$340,IF($S$420=311,PR!$BF$341,IF($S$420=312,PR!$BF$342,IF($S$420=313,PR!$BF$343,IF($S$420=314,PR!$BF$344,IF($S$420=315,PR!$BF$345,IF($S$420=316,PR!$BF$346,IF($S$420=317,PR!$BF$347,IF($S$420=318,PR!$BF$348,IF($S$420=319,PR!$BF$349,IF($S$420=320,PR!$BF$350,IF($S$420=321,PR!$BF$351,IF($S$420=322,PR!$BF$352,IF($S$420=323,PR!$BF$353,IF($S$420=324,PR!$BF$354,IF($S$420=325,PR!$BF$355,IF($S$420=326,PR!$BF$356,IF($S$420=327,PR!$BF$357,IF($S$420=328,PR!$BF$358,IF($S$420=329,PR!$BF$359,IF($S$420=330,PR!$BF$360,IF($S$420=331,PR!$BF$361,IF($S$420=332,PR!$BF$362,IF($S$420=333,PR!$BF$363,IF($S$420=334,PR!$BF$364,IF($S$420=335,PR!$BF$365,IF($S$420=336,PR!$BF$366,IF($S$420=337,PR!$BF$367,IF($S$420=338,PR!$BF$368,IF($S$420=339,PR!$BF$369,IF($S$420=340,PR!$BF$370,IF($S$420=341,PR!$BF$371,IF($S$420=342,PR!$BF$372,IF($S$420=343,PR!$BF$373,IF($S$420=344,PR!$BF$374,IF($S$420=345,PR!$BF$375,IF($S$420=346,PR!$BF$376,IF($S$420=347,PR!$BF$377,IF($S$420=348,PR!$BF$378,IF($S$420=349,PR!$BF$379,IF($S$420=350,PR!$BF$380,IF($S$420=351,PR!$BF$385,IF($S$420=352,PR!$BF$386,IF($S$420=353,PR!$BF$387,IF($S$420=354,PR!$BF$388,IF($S$420=355,PR!$BF$389,IF($S$420=356,PR!$BF$390,IF($S$420=357,PR!$BF$391,IF($S$420=358,PR!$BF$392,IF($S$420=359,PR!$BF$393,IF($S$420=360,PR!$BF$394,"-"))))))))))))))))))))))))))))))))))))))))))))))))))))))))))))</f>
        <v>0</v>
      </c>
      <c r="F433" s="570">
        <f>IF($S$420=301,PR!$BG$331,IF($S$420=302,PR!$BG$332,IF($S$420=303,PR!$BG$333,IF($S$420=304,PR!$BG$334,IF($S$420=305,PR!$BG$335,IF($S$420=306,PR!$BG$336,IF($S$420=307,PR!$BG$337,IF($S$420=308,PR!$BG$338,IF($S$420=309,PR!$BG$339,IF($S$420=310,PR!$BG$340,IF($S$420=311,PR!$BG$341,IF($S$420=312,PR!$BG$342,IF($S$420=313,PR!$BG$343,IF($S$420=314,PR!$BG$344,IF($S$420=315,PR!$BG$345,IF($S$420=316,PR!$BG$346,IF($S$420=317,PR!$BG$347,IF($S$420=318,PR!$BG$348,IF($S$420=319,PR!$BG$349,IF($S$420=320,PR!$BG$350,IF($S$420=321,PR!$BG$351,IF($S$420=322,PR!$BG$352,IF($S$420=323,PR!$BG$353,IF($S$420=324,PR!$BG$354,IF($S$420=325,PR!$BG$355,IF($S$420=326,PR!$BG$356,IF($S$420=327,PR!$BG$357,IF($S$420=328,PR!$BG$358,IF($S$420=329,PR!$BG$359,IF($S$420=330,PR!$BG$360,IF($S$420=331,PR!$BG$361,IF($S$420=332,PR!$BG$362,IF($S$420=333,PR!$BG$363,IF($S$420=334,PR!$BG$364,IF($S$420=335,PR!$BG$365,IF($S$420=336,PR!$BG$366,IF($S$420=337,PR!$BG$367,IF($S$420=338,PR!$BG$368,IF($S$420=339,PR!$BG$369,IF($S$420=340,PR!$BG$370,IF($S$420=341,PR!$BG$371,IF($S$420=342,PR!$BG$372,IF($S$420=343,PR!$BG$373,IF($S$420=344,PR!$BG$374,IF($S$420=345,PR!$BG$375,IF($S$420=346,PR!$BG$376,IF($S$420=347,PR!$BG$377,IF($S$420=348,PR!$BG$378,IF($S$420=349,PR!$BG$379,IF($S$420=350,PR!$BG$380,IF($S$420=351,PR!$BG$385,IF($S$420=352,PR!$BG$386,IF($S$420=353,PR!$BG$387,IF($S$420=354,PR!$BG$388,IF($S$420=355,PR!$BG$389,IF($S$420=356,PR!$BG$390,IF($S$420=357,PR!$BG$391,IF($S$420=358,PR!$BG$392,IF($S$420=359,PR!$BG$393,IF($S$420=360,PR!$BG$394,"-"))))))))))))))))))))))))))))))))))))))))))))))))))))))))))))</f>
        <v>0</v>
      </c>
      <c r="G433" s="570">
        <f>IF($S$420=301,PR!$BH$331,IF($S$420=302,PR!$BH$332,IF($S$420=303,PR!$BH$333,IF($S$420=304,PR!$BH$334,IF($S$420=305,PR!$BH$335,IF($S$420=306,PR!$BH$336,IF($S$420=307,PR!$BH$337,IF($S$420=308,PR!$BH$338,IF($S$420=309,PR!$BH$339,IF($S$420=310,PR!$BH$340,IF($S$420=311,PR!$BH$341,IF($S$420=312,PR!$BH$342,IF($S$420=313,PR!$BH$343,IF($S$420=314,PR!$BH$344,IF($S$420=315,PR!$BH$345,IF($S$420=316,PR!$BH$346,IF($S$420=317,PR!$BH$347,IF($S$420=318,PR!$BH$348,IF($S$420=319,PR!$BH$349,IF($S$420=320,PR!$BH$350,IF($S$420=321,PR!$BH$351,IF($S$420=322,PR!$BH$352,IF($S$420=323,PR!$BH$353,IF($S$420=324,PR!$BH$354,IF($S$420=325,PR!$BH$355,IF($S$420=326,PR!$BH$356,IF($S$420=327,PR!$BH$357,IF($S$420=328,PR!$BH$358,IF($S$420=329,PR!$BH$359,IF($S$420=330,PR!$BH$360,IF($S$420=331,PR!$BH$361,IF($S$420=332,PR!$BH$362,IF($S$420=333,PR!$BH$363,IF($S$420=334,PR!$BH$364,IF($S$420=335,PR!$BH$365,IF($S$420=336,PR!$BH$366,IF($S$420=337,PR!$BH$367,IF($S$420=338,PR!$BH$368,IF($S$420=339,PR!$BH$369,IF($S$420=340,PR!$BH$370,IF($S$420=341,PR!$BH$371,IF($S$420=342,PR!$BH$372,IF($S$420=343,PR!$BH$373,IF($S$420=344,PR!$BH$374,IF($S$420=345,PR!$BH$375,IF($S$420=346,PR!$BH$376,IF($S$420=347,PR!$BH$377,IF($S$420=348,PR!$BH$378,IF($S$420=349,PR!$BH$379,IF($S$420=350,PR!$BH$380,IF($S$420=351,PR!$BH$385,IF($S$420=352,PR!$BH$386,IF($S$420=353,PR!$BH$387,IF($S$420=354,PR!$BH$388,IF($S$420=355,PR!$BH$389,IF($S$420=356,PR!$BH$390,IF($S$420=357,PR!$BH$391,IF($S$420=358,PR!$BH$392,IF($S$420=359,PR!$BH$393,IF($S$420=360,PR!$BH$394,"-"))))))))))))))))))))))))))))))))))))))))))))))))))))))))))))</f>
        <v>0</v>
      </c>
      <c r="H433" s="570">
        <f>IF($S$420=301,PR!$BI$331,IF($S$420=302,PR!$BI$332,IF($S$420=303,PR!$BI$333,IF($S$420=304,PR!$BI$334,IF($S$420=305,PR!$BI$335,IF($S$420=306,PR!$BI$336,IF($S$420=307,PR!$BI$337,IF($S$420=308,PR!$BI$338,IF($S$420=309,PR!$BI$339,IF($S$420=310,PR!$BI$340,IF($S$420=311,PR!$BI$341,IF($S$420=312,PR!$BI$342,IF($S$420=313,PR!$BI$343,IF($S$420=314,PR!$BI$344,IF($S$420=315,PR!$BI$345,IF($S$420=316,PR!$BI$346,IF($S$420=317,PR!$BI$347,IF($S$420=318,PR!$BI$348,IF($S$420=319,PR!$BI$349,IF($S$420=320,PR!$BI$350,IF($S$420=321,PR!$BI$351,IF($S$420=322,PR!$BI$352,IF($S$420=323,PR!$BI$353,IF($S$420=324,PR!$BI$354,IF($S$420=325,PR!$BI$355,IF($S$420=326,PR!$BI$356,IF($S$420=327,PR!$BI$357,IF($S$420=328,PR!$BI$358,IF($S$420=329,PR!$BI$359,IF($S$420=330,PR!$BI$360,IF($S$420=331,PR!$BI$361,IF($S$420=332,PR!$BI$362,IF($S$420=333,PR!$BI$363,IF($S$420=334,PR!$BI$364,IF($S$420=335,PR!$BI$365,IF($S$420=336,PR!$BI$366,IF($S$420=337,PR!$BI$367,IF($S$420=338,PR!$BI$368,IF($S$420=339,PR!$BI$369,IF($S$420=340,PR!$BI$370,IF($S$420=341,PR!$BI$371,IF($S$420=342,PR!$BI$372,IF($S$420=343,PR!$BI$373,IF($S$420=344,PR!$BI$374,IF($S$420=345,PR!$BI$375,IF($S$420=346,PR!$BI$376,IF($S$420=347,PR!$BI$377,IF($S$420=348,PR!$BI$378,IF($S$420=349,PR!$BI$379,IF($S$420=350,PR!$BI$380,IF($S$420=351,PR!$BI$385,IF($S$420=352,PR!$BI$386,IF($S$420=353,PR!$BI$387,IF($S$420=354,PR!$BI$388,IF($S$420=355,PR!$BI$389,IF($S$420=356,PR!$BI$390,IF($S$420=357,PR!$BI$391,IF($S$420=358,PR!$BI$392,IF($S$420=359,PR!$BI$393,IF($S$420=360,PR!$BI$394,"-"))))))))))))))))))))))))))))))))))))))))))))))))))))))))))))</f>
        <v>0</v>
      </c>
      <c r="I433" s="570">
        <f>IF($S$420=301,PR!$BJ$331,IF($S$420=302,PR!$BJ$332,IF($S$420=303,PR!$BJ$333,IF($S$420=304,PR!$BJ$334,IF($S$420=305,PR!$BJ$335,IF($S$420=306,PR!$BJ$336,IF($S$420=307,PR!$BJ$337,IF($S$420=308,PR!$BJ$338,IF($S$420=309,PR!$BJ$339,IF($S$420=310,PR!$BJ$340,IF($S$420=311,PR!$BJ$341,IF($S$420=312,PR!$BJ$342,IF($S$420=313,PR!$BJ$343,IF($S$420=314,PR!$BJ$344,IF($S$420=315,PR!$BJ$345,IF($S$420=316,PR!$BJ$346,IF($S$420=317,PR!$BJ$347,IF($S$420=318,PR!$BJ$348,IF($S$420=319,PR!$BJ$349,IF($S$420=320,PR!$BJ$350,IF($S$420=321,PR!$BJ$351,IF($S$420=322,PR!$BJ$352,IF($S$420=323,PR!$BJ$353,IF($S$420=324,PR!$BJ$354,IF($S$420=325,PR!$BJ$355,IF($S$420=326,PR!$BJ$356,IF($S$420=327,PR!$BJ$357,IF($S$420=328,PR!$BJ$358,IF($S$420=329,PR!$BJ$359,IF($S$420=330,PR!$BJ$360,IF($S$420=331,PR!$BJ$361,IF($S$420=332,PR!$BJ$362,IF($S$420=333,PR!$BJ$363,IF($S$420=334,PR!$BJ$364,IF($S$420=335,PR!$BJ$365,IF($S$420=336,PR!$BJ$366,IF($S$420=337,PR!$BJ$367,IF($S$420=338,PR!$BJ$368,IF($S$420=339,PR!$BJ$369,IF($S$420=340,PR!$BJ$370,IF($S$420=341,PR!$BJ$371,IF($S$420=342,PR!$BJ$372,IF($S$420=343,PR!$BJ$373,IF($S$420=344,PR!$BJ$374,IF($S$420=345,PR!$BJ$375,IF($S$420=346,PR!$BJ$376,IF($S$420=347,PR!$BJ$377,IF($S$420=348,PR!$BJ$378,IF($S$420=349,PR!$BJ$379,IF($S$420=350,PR!$BJ$380,IF($S$420=351,PR!$BJ$385,IF($S$420=352,PR!$BJ$386,IF($S$420=353,PR!$BJ$387,IF($S$420=354,PR!$BJ$388,IF($S$420=355,PR!$BJ$389,IF($S$420=356,PR!$BJ$390,IF($S$420=357,PR!$BJ$391,IF($S$420=358,PR!$BJ$392,IF($S$420=359,PR!$BJ$393,IF($S$420=360,PR!$BJ$394,"-"))))))))))))))))))))))))))))))))))))))))))))))))))))))))))))</f>
        <v>0</v>
      </c>
      <c r="J433" s="570">
        <f>IF($S$420=301,PR!$BK$331,IF($S$420=302,PR!$BK$332,IF($S$420=303,PR!$BK$333,IF($S$420=304,PR!$BK$334,IF($S$420=305,PR!$BK$335,IF($S$420=306,PR!$BK$336,IF($S$420=307,PR!$BK$337,IF($S$420=308,PR!$BK$338,IF($S$420=309,PR!$BK$339,IF($S$420=310,PR!$BK$340,IF($S$420=311,PR!$BK$341,IF($S$420=312,PR!$BK$342,IF($S$420=313,PR!$BK$343,IF($S$420=314,PR!$BK$344,IF($S$420=315,PR!$BK$345,IF($S$420=316,PR!$BK$346,IF($S$420=317,PR!$BK$347,IF($S$420=318,PR!$BK$348,IF($S$420=319,PR!$BK$349,IF($S$420=320,PR!$BK$350,IF($S$420=321,PR!$BK$351,IF($S$420=322,PR!$BK$352,IF($S$420=323,PR!$BK$353,IF($S$420=324,PR!$BK$354,IF($S$420=325,PR!$BK$355,IF($S$420=326,PR!$BK$356,IF($S$420=327,PR!$BK$357,IF($S$420=328,PR!$BK$358,IF($S$420=329,PR!$BK$359,IF($S$420=330,PR!$BK$360,IF($S$420=331,PR!$BK$361,IF($S$420=332,PR!$BK$362,IF($S$420=333,PR!$BK$363,IF($S$420=334,PR!$BK$364,IF($S$420=335,PR!$BK$365,IF($S$420=336,PR!$BK$366,IF($S$420=337,PR!$BK$367,IF($S$420=338,PR!$BK$368,IF($S$420=339,PR!$BK$369,IF($S$420=340,PR!$BK$370,IF($S$420=341,PR!$BK$371,IF($S$420=342,PR!$BK$372,IF($S$420=343,PR!$BK$373,IF($S$420=344,PR!$BK$374,IF($S$420=345,PR!$BK$375,IF($S$420=346,PR!$BK$376,IF($S$420=347,PR!$BK$377,IF($S$420=348,PR!$BK$378,IF($S$420=349,PR!$BK$379,IF($S$420=350,PR!$BK$380,IF($S$420=351,PR!$BK$385,IF($S$420=352,PR!$BK$386,IF($S$420=353,PR!$BK$387,IF($S$420=354,PR!$BK$388,IF($S$420=355,PR!$BK$389,IF($S$420=356,PR!$BK$390,IF($S$420=357,PR!$BK$391,IF($S$420=358,PR!$BK$392,IF($S$420=359,PR!$BK$393,IF($S$420=360,PR!$BK$394,"-"))))))))))))))))))))))))))))))))))))))))))))))))))))))))))))</f>
        <v>0</v>
      </c>
      <c r="K433" s="570">
        <f>IF($S$420=301,PR!$BL$331,IF($S$420=302,PR!$BL$332,IF($S$420=303,PR!$BL$333,IF($S$420=304,PR!$BL$334,IF($S$420=305,PR!$BL$335,IF($S$420=306,PR!$BL$336,IF($S$420=307,PR!$BL$337,IF($S$420=308,PR!$BL$338,IF($S$420=309,PR!$BL$339,IF($S$420=310,PR!$BL$340,IF($S$420=311,PR!$BL$341,IF($S$420=312,PR!$BL$342,IF($S$420=313,PR!$BL$343,IF($S$420=314,PR!$BL$344,IF($S$420=315,PR!$BL$345,IF($S$420=316,PR!$BL$346,IF($S$420=317,PR!$BL$347,IF($S$420=318,PR!$BL$348,IF($S$420=319,PR!$BL$349,IF($S$420=320,PR!$BL$350,IF($S$420=321,PR!$BL$351,IF($S$420=322,PR!$BL$352,IF($S$420=323,PR!$BL$353,IF($S$420=324,PR!$BL$354,IF($S$420=325,PR!$BL$355,IF($S$420=326,PR!$BL$356,IF($S$420=327,PR!$BL$357,IF($S$420=328,PR!$BL$358,IF($S$420=329,PR!$BL$359,IF($S$420=330,PR!$BL$360,IF($S$420=331,PR!$BL$361,IF($S$420=332,PR!$BL$362,IF($S$420=333,PR!$BL$363,IF($S$420=334,PR!$BL$364,IF($S$420=335,PR!$BL$365,IF($S$420=336,PR!$BL$366,IF($S$420=337,PR!$BL$367,IF($S$420=338,PR!$BL$368,IF($S$420=339,PR!$BL$369,IF($S$420=340,PR!$BL$370,IF($S$420=341,PR!$BL$371,IF($S$420=342,PR!$BL$372,IF($S$420=343,PR!$BL$373,IF($S$420=344,PR!$BL$374,IF($S$420=345,PR!$BL$375,IF($S$420=346,PR!$BL$376,IF($S$420=347,PR!$BL$377,IF($S$420=348,PR!$BL$378,IF($S$420=349,PR!$BL$379,IF($S$420=350,PR!$BL$380,IF($S$420=351,PR!$BL$385,IF($S$420=352,PR!$BL$386,IF($S$420=353,PR!$BL$387,IF($S$420=354,PR!$BL$388,IF($S$420=355,PR!$BL$389,IF($S$420=356,PR!$BL$390,IF($S$420=357,PR!$BL$391,IF($S$420=358,PR!$BL$392,IF($S$420=359,PR!$BL$393,IF($S$420=360,PR!$BL$394,"-"))))))))))))))))))))))))))))))))))))))))))))))))))))))))))))</f>
        <v>0</v>
      </c>
      <c r="L433" s="570">
        <f>IF($S$420=301,PR!$BM$331,IF($S$420=302,PR!$BM$332,IF($S$420=303,PR!$BM$333,IF($S$420=304,PR!$BM$334,IF($S$420=305,PR!$BM$335,IF($S$420=306,PR!$BM$336,IF($S$420=307,PR!$BM$337,IF($S$420=308,PR!$BM$338,IF($S$420=309,PR!$BM$339,IF($S$420=310,PR!$BM$340,IF($S$420=311,PR!$BM$341,IF($S$420=312,PR!$BM$342,IF($S$420=313,PR!$BM$343,IF($S$420=314,PR!$BM$344,IF($S$420=315,PR!$BM$345,IF($S$420=316,PR!$BM$346,IF($S$420=317,PR!$BM$347,IF($S$420=318,PR!$BM$348,IF($S$420=319,PR!$BM$349,IF($S$420=320,PR!$BM$350,IF($S$420=321,PR!$BM$351,IF($S$420=322,PR!$BM$352,IF($S$420=323,PR!$BM$353,IF($S$420=324,PR!$BM$354,IF($S$420=325,PR!$BM$355,IF($S$420=326,PR!$BM$356,IF($S$420=327,PR!$BM$357,IF($S$420=328,PR!$BM$358,IF($S$420=329,PR!$BM$359,IF($S$420=330,PR!$BM$360,IF($S$420=331,PR!$BM$361,IF($S$420=332,PR!$BM$362,IF($S$420=333,PR!$BM$363,IF($S$420=334,PR!$BM$364,IF($S$420=335,PR!$BM$365,IF($S$420=336,PR!$BM$366,IF($S$420=337,PR!$BM$367,IF($S$420=338,PR!$BM$368,IF($S$420=339,PR!$BM$369,IF($S$420=340,PR!$BM$370,IF($S$420=341,PR!$BM$371,IF($S$420=342,PR!$BM$372,IF($S$420=343,PR!$BM$373,IF($S$420=344,PR!$BM$374,IF($S$420=345,PR!$BM$375,IF($S$420=346,PR!$BM$376,IF($S$420=347,PR!$BM$377,IF($S$420=348,PR!$BM$378,IF($S$420=349,PR!$BM$379,IF($S$420=350,PR!$BM$380,IF($S$420=351,PR!$BM$385,IF($S$420=352,PR!$BM$386,IF($S$420=353,PR!$BM$387,IF($S$420=354,PR!$BM$388,IF($S$420=355,PR!$BM$389,IF($S$420=356,PR!$BM$390,IF($S$420=357,PR!$BM$391,IF($S$420=358,PR!$BM$392,IF($S$420=359,PR!$BM$393,IF($S$420=360,PR!$BM$394,"-"))))))))))))))))))))))))))))))))))))))))))))))))))))))))))))</f>
        <v>0</v>
      </c>
      <c r="M433" s="570">
        <f>IF($S$420=301,PR!$BN$331,IF($S$420=302,PR!$BN$332,IF($S$420=303,PR!$BN$333,IF($S$420=304,PR!$BN$334,IF($S$420=305,PR!$BN$335,IF($S$420=306,PR!$BN$336,IF($S$420=307,PR!$BN$337,IF($S$420=308,PR!$BN$338,IF($S$420=309,PR!$BN$339,IF($S$420=310,PR!$BN$340,IF($S$420=311,PR!$BN$341,IF($S$420=312,PR!$BN$342,IF($S$420=313,PR!$BN$343,IF($S$420=314,PR!$BN$344,IF($S$420=315,PR!$BN$345,IF($S$420=316,PR!$BN$346,IF($S$420=317,PR!$BN$347,IF($S$420=318,PR!$BN$348,IF($S$420=319,PR!$BN$349,IF($S$420=320,PR!$BN$350,IF($S$420=321,PR!$BN$351,IF($S$420=322,PR!$BN$352,IF($S$420=323,PR!$BN$353,IF($S$420=324,PR!$BN$354,IF($S$420=325,PR!$BN$355,IF($S$420=326,PR!$BN$356,IF($S$420=327,PR!$BN$357,IF($S$420=328,PR!$BN$358,IF($S$420=329,PR!$BN$359,IF($S$420=330,PR!$BN$360,IF($S$420=331,PR!$BN$361,IF($S$420=332,PR!$BN$362,IF($S$420=333,PR!$BN$363,IF($S$420=334,PR!$BN$364,IF($S$420=335,PR!$BN$365,IF($S$420=336,PR!$BN$366,IF($S$420=337,PR!$BN$367,IF($S$420=338,PR!$BN$368,IF($S$420=339,PR!$BN$369,IF($S$420=340,PR!$BN$370,IF($S$420=341,PR!$BN$371,IF($S$420=342,PR!$BN$372,IF($S$420=343,PR!$BN$373,IF($S$420=344,PR!$BN$374,IF($S$420=345,PR!$BN$375,IF($S$420=346,PR!$BN$376,IF($S$420=347,PR!$BN$377,IF($S$420=348,PR!$BN$378,IF($S$420=349,PR!$BN$379,IF($S$420=350,PR!$BN$380,IF($S$420=351,PR!$BN$385,IF($S$420=352,PR!$BN$386,IF($S$420=353,PR!$BN$387,IF($S$420=354,PR!$BN$388,IF($S$420=355,PR!$BN$389,IF($S$420=356,PR!$BN$390,IF($S$420=357,PR!$BN$391,IF($S$420=358,PR!$BN$392,IF($S$420=359,PR!$BN$393,IF($S$420=360,PR!$BN$394,"-"))))))))))))))))))))))))))))))))))))))))))))))))))))))))))))</f>
        <v>0</v>
      </c>
      <c r="N433" s="570">
        <f>IF($S$420=301,PR!$BO$331,IF($S$420=302,PR!$BO$332,IF($S$420=303,PR!$BO$333,IF($S$420=304,PR!$BO$334,IF($S$420=305,PR!$BO$335,IF($S$420=306,PR!$BO$336,IF($S$420=307,PR!$BO$337,IF($S$420=308,PR!$BO$338,IF($S$420=309,PR!$BO$339,IF($S$420=310,PR!$BO$340,IF($S$420=311,PR!$BO$341,IF($S$420=312,PR!$BO$342,IF($S$420=313,PR!$BO$343,IF($S$420=314,PR!$BO$344,IF($S$420=315,PR!$BO$345,IF($S$420=316,PR!$BO$346,IF($S$420=317,PR!$BO$347,IF($S$420=318,PR!$BO$348,IF($S$420=319,PR!$BO$349,IF($S$420=320,PR!$BO$350,IF($S$420=321,PR!$BO$351,IF($S$420=322,PR!$BO$352,IF($S$420=323,PR!$BO$353,IF($S$420=324,PR!$BO$354,IF($S$420=325,PR!$BO$355,IF($S$420=326,PR!$BO$356,IF($S$420=327,PR!$BO$357,IF($S$420=328,PR!$BO$358,IF($S$420=329,PR!$BO$359,IF($S$420=330,PR!$BO$360,IF($S$420=331,PR!$BO$361,IF($S$420=332,PR!$BO$362,IF($S$420=333,PR!$BO$363,IF($S$420=334,PR!$BO$364,IF($S$420=335,PR!$BO$365,IF($S$420=336,PR!$BO$366,IF($S$420=337,PR!$BO$367,IF($S$420=338,PR!$BO$368,IF($S$420=339,PR!$BO$369,IF($S$420=340,PR!$BO$370,IF($S$420=341,PR!$BO$371,IF($S$420=342,PR!$BO$372,IF($S$420=343,PR!$BO$373,IF($S$420=344,PR!$BO$374,IF($S$420=345,PR!$BO$375,IF($S$420=346,PR!$BO$376,IF($S$420=347,PR!$BO$377,IF($S$420=348,PR!$BO$378,IF($S$420=349,PR!$BO$379,IF($S$420=350,PR!$BO$380,IF($S$420=351,PR!$BO$385,IF($S$420=352,PR!$BO$386,IF($S$420=353,PR!$BO$387,IF($S$420=354,PR!$BO$388,IF($S$420=355,PR!$BO$389,IF($S$420=356,PR!$BO$390,IF($S$420=357,PR!$BO$391,IF($S$420=358,PR!$BO$392,IF($S$420=359,PR!$BO$393,IF($S$420=360,PR!$BO$394,"-"))))))))))))))))))))))))))))))))))))))))))))))))))))))))))))</f>
        <v>0</v>
      </c>
      <c r="O433" s="570">
        <f>IF($S$420=301,PR!$BP$331,IF($S$420=302,PR!$BP$332,IF($S$420=303,PR!$BP$333,IF($S$420=304,PR!$BP$334,IF($S$420=305,PR!$BP$335,IF($S$420=306,PR!$BP$336,IF($S$420=307,PR!$BP$337,IF($S$420=308,PR!$BP$338,IF($S$420=309,PR!$BP$339,IF($S$420=310,PR!$BP$340,IF($S$420=311,PR!$BP$341,IF($S$420=312,PR!$BP$342,IF($S$420=313,PR!$BP$343,IF($S$420=314,PR!$BP$344,IF($S$420=315,PR!$BP$345,IF($S$420=316,PR!$BP$346,IF($S$420=317,PR!$BP$347,IF($S$420=318,PR!$BP$348,IF($S$420=319,PR!$BP$349,IF($S$420=320,PR!$BP$350,IF($S$420=321,PR!$BP$351,IF($S$420=322,PR!$BP$352,IF($S$420=323,PR!$BP$353,IF($S$420=324,PR!$BP$354,IF($S$420=325,PR!$BP$355,IF($S$420=326,PR!$BP$356,IF($S$420=327,PR!$BP$357,IF($S$420=328,PR!$BP$358,IF($S$420=329,PR!$BP$359,IF($S$420=330,PR!$BP$360,IF($S$420=331,PR!$BP$361,IF($S$420=332,PR!$BP$362,IF($S$420=333,PR!$BP$363,IF($S$420=334,PR!$BP$364,IF($S$420=335,PR!$BP$365,IF($S$420=336,PR!$BP$366,IF($S$420=337,PR!$BP$367,IF($S$420=338,PR!$BP$368,IF($S$420=339,PR!$BP$369,IF($S$420=340,PR!$BP$370,IF($S$420=341,PR!$BP$371,IF($S$420=342,PR!$BP$372,IF($S$420=343,PR!$BP$373,IF($S$420=344,PR!$BP$374,IF($S$420=345,PR!$BP$375,IF($S$420=346,PR!$BP$376,IF($S$420=347,PR!$BP$377,IF($S$420=348,PR!$BP$378,IF($S$420=349,PR!$BP$379,IF($S$420=350,PR!$BP$380,IF($S$420=351,PR!$BP$385,IF($S$420=352,PR!$BP$386,IF($S$420=353,PR!$BP$387,IF($S$420=354,PR!$BP$388,IF($S$420=355,PR!$BP$389,IF($S$420=356,PR!$BP$390,IF($S$420=357,PR!$BP$391,IF($S$420=358,PR!$BP$392,IF($S$420=359,PR!$BP$393,IF($S$420=360,PR!$BP$394,"-"))))))))))))))))))))))))))))))))))))))))))))))))))))))))))))</f>
        <v>0</v>
      </c>
      <c r="P433" s="570">
        <f>IF($S$420=301,PR!$BQ$331,IF($S$420=302,PR!$BQ$332,IF($S$420=303,PR!$BQ$333,IF($S$420=304,PR!$BQ$334,IF($S$420=305,PR!$BQ$335,IF($S$420=306,PR!$BQ$336,IF($S$420=307,PR!$BQ$337,IF($S$420=308,PR!$BQ$338,IF($S$420=309,PR!$BQ$339,IF($S$420=310,PR!$BQ$340,IF($S$420=311,PR!$BQ$341,IF($S$420=312,PR!$BQ$342,IF($S$420=313,PR!$BQ$343,IF($S$420=314,PR!$BQ$344,IF($S$420=315,PR!$BQ$345,IF($S$420=316,PR!$BQ$346,IF($S$420=317,PR!$BQ$347,IF($S$420=318,PR!$BQ$348,IF($S$420=319,PR!$BQ$349,IF($S$420=320,PR!$BQ$350,IF($S$420=321,PR!$BQ$351,IF($S$420=322,PR!$BQ$352,IF($S$420=323,PR!$BQ$353,IF($S$420=324,PR!$BQ$354,IF($S$420=325,PR!$BQ$355,IF($S$420=326,PR!$BQ$356,IF($S$420=327,PR!$BQ$357,IF($S$420=328,PR!$BQ$358,IF($S$420=329,PR!$BQ$359,IF($S$420=330,PR!$BQ$360,IF($S$420=331,PR!$BQ$361,IF($S$420=332,PR!$BQ$362,IF($S$420=333,PR!$BQ$363,IF($S$420=334,PR!$BQ$364,IF($S$420=335,PR!$BQ$365,IF($S$420=336,PR!$BQ$366,IF($S$420=337,PR!$BQ$367,IF($S$420=338,PR!$BQ$368,IF($S$420=339,PR!$BQ$369,IF($S$420=340,PR!$BQ$370,IF($S$420=341,PR!$BQ$371,IF($S$420=342,PR!$BQ$372,IF($S$420=343,PR!$BQ$373,IF($S$420=344,PR!$BQ$374,IF($S$420=345,PR!$BQ$375,IF($S$420=346,PR!$BQ$376,IF($S$420=347,PR!$BQ$377,IF($S$420=348,PR!$BQ$378,IF($S$420=349,PR!$BQ$379,IF($S$420=350,PR!$BQ$380,IF($S$420=351,PR!$BQ$385,IF($S$420=352,PR!$BQ$386,IF($S$420=353,PR!$BQ$387,IF($S$420=354,PR!$BQ$388,IF($S$420=355,PR!$BQ$389,IF($S$420=356,PR!$BQ$390,IF($S$420=357,PR!$BQ$391,IF($S$420=358,PR!$BQ$392,IF($S$420=359,PR!$BQ$393,IF($S$420=360,PR!$BQ$394,"-"))))))))))))))))))))))))))))))))))))))))))))))))))))))))))))</f>
        <v>0</v>
      </c>
      <c r="Q433" s="570">
        <f>IF($S$420=301,PR!$BR$331,IF($S$420=302,PR!$BR$332,IF($S$420=303,PR!$BR$333,IF($S$420=304,PR!$BR$334,IF($S$420=305,PR!$BR$335,IF($S$420=306,PR!$BR$336,IF($S$420=307,PR!$BR$337,IF($S$420=308,PR!$BR$338,IF($S$420=309,PR!$BR$339,IF($S$420=310,PR!$BR$340,IF($S$420=311,PR!$BR$341,IF($S$420=312,PR!$BR$342,IF($S$420=313,PR!$BR$343,IF($S$420=314,PR!$BR$344,IF($S$420=315,PR!$BR$345,IF($S$420=316,PR!$BR$346,IF($S$420=317,PR!$BR$347,IF($S$420=318,PR!$BR$348,IF($S$420=319,PR!$BR$349,IF($S$420=320,PR!$BR$350,IF($S$420=321,PR!$BR$351,IF($S$420=322,PR!$BR$352,IF($S$420=323,PR!$BR$353,IF($S$420=324,PR!$BR$354,IF($S$420=325,PR!$BR$355,IF($S$420=326,PR!$BR$356,IF($S$420=327,PR!$BR$357,IF($S$420=328,PR!$BR$358,IF($S$420=329,PR!$BR$359,IF($S$420=330,PR!$BR$360,IF($S$420=331,PR!$BR$361,IF($S$420=332,PR!$BR$362,IF($S$420=333,PR!$BR$363,IF($S$420=334,PR!$BR$364,IF($S$420=335,PR!$BR$365,IF($S$420=336,PR!$BR$366,IF($S$420=337,PR!$BR$367,IF($S$420=338,PR!$BR$368,IF($S$420=339,PR!$BR$369,IF($S$420=340,PR!$BR$370,IF($S$420=341,PR!$BR$371,IF($S$420=342,PR!$BR$372,IF($S$420=343,PR!$BR$373,IF($S$420=344,PR!$BR$374,IF($S$420=345,PR!$BR$375,IF($S$420=346,PR!$BR$376,IF($S$420=347,PR!$BR$377,IF($S$420=348,PR!$BR$378,IF($S$420=349,PR!$BR$379,IF($S$420=350,PR!$BR$380,IF($S$420=351,PR!$BR$385,IF($S$420=352,PR!$BR$386,IF($S$420=353,PR!$BR$387,IF($S$420=354,PR!$BR$388,IF($S$420=355,PR!$BR$389,IF($S$420=356,PR!$BR$390,IF($S$420=357,PR!$BR$391,IF($S$420=358,PR!$BR$392,IF($S$420=359,PR!$BR$393,IF($S$420=360,PR!$BR$394,"-"))))))))))))))))))))))))))))))))))))))))))))))))))))))))))))</f>
        <v>0</v>
      </c>
      <c r="R433" s="570">
        <f>IF($S$420=301,PR!$BS$331,IF($S$420=302,PR!$BS$332,IF($S$420=303,PR!$BS$333,IF($S$420=304,PR!$BS$334,IF($S$420=305,PR!$BS$335,IF($S$420=306,PR!$BS$336,IF($S$420=307,PR!$BS$337,IF($S$420=308,PR!$BS$338,IF($S$420=309,PR!$BS$339,IF($S$420=310,PR!$BS$340,IF($S$420=311,PR!$BS$341,IF($S$420=312,PR!$BS$342,IF($S$420=313,PR!$BS$343,IF($S$420=314,PR!$BS$344,IF($S$420=315,PR!$BS$345,IF($S$420=316,PR!$BS$346,IF($S$420=317,PR!$BS$347,IF($S$420=318,PR!$BS$348,IF($S$420=319,PR!$BS$349,IF($S$420=320,PR!$BS$350,IF($S$420=321,PR!$BS$351,IF($S$420=322,PR!$BS$352,IF($S$420=323,PR!$BS$353,IF($S$420=324,PR!$BS$354,IF($S$420=325,PR!$BS$355,IF($S$420=326,PR!$BS$356,IF($S$420=327,PR!$BS$357,IF($S$420=328,PR!$BS$358,IF($S$420=329,PR!$BS$359,IF($S$420=330,PR!$BS$360,IF($S$420=331,PR!$BS$361,IF($S$420=332,PR!$BS$362,IF($S$420=333,PR!$BS$363,IF($S$420=334,PR!$BS$364,IF($S$420=335,PR!$BS$365,IF($S$420=336,PR!$BS$366,IF($S$420=337,PR!$BS$367,IF($S$420=338,PR!$BS$368,IF($S$420=339,PR!$BS$369,IF($S$420=340,PR!$BS$370,IF($S$420=341,PR!$BS$371,IF($S$420=342,PR!$BS$372,IF($S$420=343,PR!$BS$373,IF($S$420=344,PR!$BS$374,IF($S$420=345,PR!$BS$375,IF($S$420=346,PR!$BS$376,IF($S$420=347,PR!$BS$377,IF($S$420=348,PR!$BS$378,IF($S$420=349,PR!$BS$379,IF($S$420=350,PR!$BS$380,IF($S$420=351,PR!$BS$385,IF($S$420=352,PR!$BS$386,IF($S$420=353,PR!$BS$387,IF($S$420=354,PR!$BS$388,IF($S$420=355,PR!$BS$389,IF($S$420=356,PR!$BS$390,IF($S$420=357,PR!$BS$391,IF($S$420=358,PR!$BS$392,IF($S$420=359,PR!$BS$393,IF($S$420=360,PR!$BS$394,"-"))))))))))))))))))))))))))))))))))))))))))))))))))))))))))))</f>
        <v>0</v>
      </c>
      <c r="S433" s="572"/>
      <c r="T433" s="552"/>
      <c r="U433" s="518"/>
      <c r="V433" s="32"/>
      <c r="W433" s="32"/>
      <c r="X433" s="32"/>
      <c r="Y433" s="32"/>
      <c r="Z433" s="32"/>
    </row>
    <row r="434" spans="1:26" x14ac:dyDescent="0.25">
      <c r="A434" s="91"/>
      <c r="B434" s="552"/>
      <c r="C434" s="565"/>
      <c r="D434" s="552"/>
      <c r="E434" s="552"/>
      <c r="F434" s="552"/>
      <c r="G434" s="552"/>
      <c r="H434" s="552"/>
      <c r="I434" s="552"/>
      <c r="J434" s="552"/>
      <c r="K434" s="552"/>
      <c r="L434" s="552"/>
      <c r="M434" s="552"/>
      <c r="N434" s="552"/>
      <c r="O434" s="552"/>
      <c r="P434" s="552"/>
      <c r="Q434" s="552"/>
      <c r="R434" s="555"/>
      <c r="S434" s="552"/>
      <c r="T434" s="552"/>
      <c r="U434" s="518"/>
      <c r="V434" s="32"/>
      <c r="W434" s="32"/>
      <c r="X434" s="32"/>
      <c r="Y434" s="32"/>
      <c r="Z434" s="32"/>
    </row>
    <row r="435" spans="1:26" ht="30" x14ac:dyDescent="0.25">
      <c r="A435" s="91"/>
      <c r="B435" s="552"/>
      <c r="C435" s="565"/>
      <c r="D435" s="552"/>
      <c r="E435" s="552"/>
      <c r="F435" s="552"/>
      <c r="G435" s="552"/>
      <c r="H435" s="552"/>
      <c r="I435" s="552"/>
      <c r="J435" s="552"/>
      <c r="K435" s="576" t="s">
        <v>783</v>
      </c>
      <c r="L435" s="577" t="s">
        <v>418</v>
      </c>
      <c r="M435" s="577" t="s">
        <v>419</v>
      </c>
      <c r="N435" s="578" t="s">
        <v>420</v>
      </c>
      <c r="O435" s="552"/>
      <c r="P435" s="552"/>
      <c r="Q435" s="552"/>
      <c r="R435" s="552"/>
      <c r="S435" s="552"/>
      <c r="T435" s="552"/>
      <c r="U435" s="518"/>
      <c r="V435" s="32"/>
      <c r="W435" s="32"/>
      <c r="X435" s="32"/>
      <c r="Y435" s="32"/>
      <c r="Z435" s="32"/>
    </row>
    <row r="436" spans="1:26" x14ac:dyDescent="0.25">
      <c r="A436" s="91"/>
      <c r="B436" s="552"/>
      <c r="C436" s="565"/>
      <c r="D436" s="552"/>
      <c r="E436" s="552"/>
      <c r="F436" s="552"/>
      <c r="G436" s="552"/>
      <c r="H436" s="552"/>
      <c r="I436" s="552"/>
      <c r="J436" s="552"/>
      <c r="K436" s="555" t="s">
        <v>785</v>
      </c>
      <c r="L436" s="552"/>
      <c r="M436" s="552"/>
      <c r="N436" s="552"/>
      <c r="O436" s="552"/>
      <c r="P436" s="552"/>
      <c r="Q436" s="552"/>
      <c r="R436" s="552"/>
      <c r="S436" s="552"/>
      <c r="T436" s="552"/>
      <c r="U436" s="518"/>
      <c r="V436" s="32"/>
      <c r="W436" s="32"/>
      <c r="X436" s="32"/>
      <c r="Y436" s="32"/>
      <c r="Z436" s="32"/>
    </row>
    <row r="437" spans="1:26" x14ac:dyDescent="0.25">
      <c r="A437" s="32"/>
      <c r="B437" s="32"/>
      <c r="C437" s="96"/>
      <c r="D437" s="32"/>
      <c r="E437" s="32"/>
      <c r="F437" s="32"/>
      <c r="G437" s="32"/>
      <c r="H437" s="32"/>
      <c r="I437" s="32"/>
      <c r="J437" s="32"/>
      <c r="K437" s="97">
        <v>301</v>
      </c>
      <c r="L437" s="98"/>
      <c r="M437" s="99"/>
      <c r="N437" s="100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x14ac:dyDescent="0.2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97">
        <f>1+K437</f>
        <v>302</v>
      </c>
      <c r="L438" s="98"/>
      <c r="M438" s="99"/>
      <c r="N438" s="100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x14ac:dyDescent="0.2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97">
        <f t="shared" ref="K439:K496" si="6">1+K438</f>
        <v>303</v>
      </c>
      <c r="L439" s="98" t="s">
        <v>614</v>
      </c>
      <c r="M439" s="99"/>
      <c r="N439" s="100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x14ac:dyDescent="0.2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97">
        <f t="shared" si="6"/>
        <v>304</v>
      </c>
      <c r="L440" s="98" t="s">
        <v>827</v>
      </c>
      <c r="M440" s="99" t="s">
        <v>821</v>
      </c>
      <c r="N440" s="100" t="s">
        <v>1243</v>
      </c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x14ac:dyDescent="0.2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97">
        <f t="shared" si="6"/>
        <v>305</v>
      </c>
      <c r="L441" s="98" t="s">
        <v>821</v>
      </c>
      <c r="M441" s="99" t="s">
        <v>1235</v>
      </c>
      <c r="N441" s="100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x14ac:dyDescent="0.2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97">
        <f t="shared" si="6"/>
        <v>306</v>
      </c>
      <c r="L442" s="98" t="s">
        <v>622</v>
      </c>
      <c r="M442" s="99" t="s">
        <v>827</v>
      </c>
      <c r="N442" s="100" t="s">
        <v>816</v>
      </c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x14ac:dyDescent="0.2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97">
        <f t="shared" si="6"/>
        <v>307</v>
      </c>
      <c r="L443" s="98" t="s">
        <v>821</v>
      </c>
      <c r="M443" s="99"/>
      <c r="N443" s="100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x14ac:dyDescent="0.2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97">
        <f t="shared" si="6"/>
        <v>308</v>
      </c>
      <c r="L444" s="98" t="s">
        <v>821</v>
      </c>
      <c r="M444" s="99" t="s">
        <v>614</v>
      </c>
      <c r="N444" s="100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x14ac:dyDescent="0.2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97">
        <f t="shared" si="6"/>
        <v>309</v>
      </c>
      <c r="L445" s="98" t="s">
        <v>821</v>
      </c>
      <c r="M445" s="99" t="s">
        <v>634</v>
      </c>
      <c r="N445" s="100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x14ac:dyDescent="0.2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97">
        <f t="shared" si="6"/>
        <v>310</v>
      </c>
      <c r="L446" s="98" t="s">
        <v>816</v>
      </c>
      <c r="M446" s="99"/>
      <c r="N446" s="100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x14ac:dyDescent="0.2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97">
        <f t="shared" si="6"/>
        <v>311</v>
      </c>
      <c r="L447" s="98" t="s">
        <v>632</v>
      </c>
      <c r="M447" s="99" t="s">
        <v>1235</v>
      </c>
      <c r="N447" s="100" t="s">
        <v>1243</v>
      </c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x14ac:dyDescent="0.2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97">
        <f t="shared" si="6"/>
        <v>312</v>
      </c>
      <c r="L448" s="98" t="s">
        <v>633</v>
      </c>
      <c r="M448" s="99" t="s">
        <v>387</v>
      </c>
      <c r="N448" s="100" t="s">
        <v>1235</v>
      </c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x14ac:dyDescent="0.2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97">
        <f t="shared" si="6"/>
        <v>313</v>
      </c>
      <c r="L449" s="98" t="s">
        <v>1246</v>
      </c>
      <c r="M449" s="99"/>
      <c r="N449" s="100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x14ac:dyDescent="0.25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97">
        <f t="shared" si="6"/>
        <v>314</v>
      </c>
      <c r="L450" s="98" t="s">
        <v>614</v>
      </c>
      <c r="M450" s="99" t="s">
        <v>1235</v>
      </c>
      <c r="N450" s="100" t="s">
        <v>821</v>
      </c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x14ac:dyDescent="0.25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97">
        <f t="shared" si="6"/>
        <v>315</v>
      </c>
      <c r="L451" s="98" t="s">
        <v>821</v>
      </c>
      <c r="M451" s="99" t="s">
        <v>633</v>
      </c>
      <c r="N451" s="100" t="s">
        <v>631</v>
      </c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x14ac:dyDescent="0.25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97">
        <f t="shared" si="6"/>
        <v>316</v>
      </c>
      <c r="L452" s="98" t="s">
        <v>821</v>
      </c>
      <c r="M452" s="99" t="s">
        <v>614</v>
      </c>
      <c r="N452" s="100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x14ac:dyDescent="0.25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97">
        <f t="shared" si="6"/>
        <v>317</v>
      </c>
      <c r="L453" s="98"/>
      <c r="M453" s="99"/>
      <c r="N453" s="100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x14ac:dyDescent="0.25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97">
        <f t="shared" si="6"/>
        <v>318</v>
      </c>
      <c r="L454" s="98"/>
      <c r="M454" s="99"/>
      <c r="N454" s="100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x14ac:dyDescent="0.2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97">
        <f t="shared" si="6"/>
        <v>319</v>
      </c>
      <c r="L455" s="98" t="s">
        <v>614</v>
      </c>
      <c r="M455" s="99" t="s">
        <v>1231</v>
      </c>
      <c r="N455" s="100" t="s">
        <v>821</v>
      </c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x14ac:dyDescent="0.25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97">
        <f t="shared" si="6"/>
        <v>320</v>
      </c>
      <c r="L456" s="98" t="s">
        <v>635</v>
      </c>
      <c r="M456" s="99" t="s">
        <v>614</v>
      </c>
      <c r="N456" s="100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x14ac:dyDescent="0.25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97">
        <f t="shared" si="6"/>
        <v>321</v>
      </c>
      <c r="L457" s="98" t="s">
        <v>816</v>
      </c>
      <c r="M457" s="99"/>
      <c r="N457" s="100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x14ac:dyDescent="0.25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97">
        <f t="shared" si="6"/>
        <v>322</v>
      </c>
      <c r="L458" s="98" t="s">
        <v>827</v>
      </c>
      <c r="M458" s="99"/>
      <c r="N458" s="100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x14ac:dyDescent="0.25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97">
        <f t="shared" si="6"/>
        <v>323</v>
      </c>
      <c r="L459" s="98" t="s">
        <v>821</v>
      </c>
      <c r="M459" s="99" t="s">
        <v>634</v>
      </c>
      <c r="N459" s="100" t="s">
        <v>623</v>
      </c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x14ac:dyDescent="0.25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97">
        <f t="shared" si="6"/>
        <v>324</v>
      </c>
      <c r="L460" s="98"/>
      <c r="M460" s="99"/>
      <c r="N460" s="100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x14ac:dyDescent="0.25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97">
        <f t="shared" si="6"/>
        <v>325</v>
      </c>
      <c r="L461" s="98" t="s">
        <v>821</v>
      </c>
      <c r="M461" s="99"/>
      <c r="N461" s="100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x14ac:dyDescent="0.25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97">
        <f t="shared" si="6"/>
        <v>326</v>
      </c>
      <c r="L462" s="98" t="s">
        <v>821</v>
      </c>
      <c r="M462" s="99"/>
      <c r="N462" s="100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x14ac:dyDescent="0.25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97">
        <f t="shared" si="6"/>
        <v>327</v>
      </c>
      <c r="L463" s="98" t="s">
        <v>632</v>
      </c>
      <c r="M463" s="99"/>
      <c r="N463" s="100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x14ac:dyDescent="0.25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97">
        <f t="shared" si="6"/>
        <v>328</v>
      </c>
      <c r="L464" s="98" t="s">
        <v>632</v>
      </c>
      <c r="M464" s="99"/>
      <c r="N464" s="100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x14ac:dyDescent="0.2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97">
        <f t="shared" si="6"/>
        <v>329</v>
      </c>
      <c r="L465" s="98" t="s">
        <v>821</v>
      </c>
      <c r="M465" s="99" t="s">
        <v>634</v>
      </c>
      <c r="N465" s="100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x14ac:dyDescent="0.25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97">
        <f t="shared" si="6"/>
        <v>330</v>
      </c>
      <c r="L466" s="98"/>
      <c r="M466" s="99"/>
      <c r="N466" s="100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x14ac:dyDescent="0.25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97">
        <f t="shared" si="6"/>
        <v>331</v>
      </c>
      <c r="L467" s="98" t="s">
        <v>1243</v>
      </c>
      <c r="M467" s="99" t="s">
        <v>821</v>
      </c>
      <c r="N467" s="100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x14ac:dyDescent="0.25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97">
        <f t="shared" si="6"/>
        <v>332</v>
      </c>
      <c r="L468" s="98" t="s">
        <v>821</v>
      </c>
      <c r="M468" s="99"/>
      <c r="N468" s="100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x14ac:dyDescent="0.25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97">
        <f t="shared" si="6"/>
        <v>333</v>
      </c>
      <c r="L469" s="98"/>
      <c r="M469" s="99"/>
      <c r="N469" s="100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x14ac:dyDescent="0.25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97">
        <f t="shared" si="6"/>
        <v>334</v>
      </c>
      <c r="L470" s="98" t="s">
        <v>816</v>
      </c>
      <c r="M470" s="99"/>
      <c r="N470" s="100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x14ac:dyDescent="0.25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97">
        <f t="shared" si="6"/>
        <v>335</v>
      </c>
      <c r="L471" s="98" t="s">
        <v>627</v>
      </c>
      <c r="M471" s="99"/>
      <c r="N471" s="100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x14ac:dyDescent="0.25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97">
        <f t="shared" si="6"/>
        <v>336</v>
      </c>
      <c r="L472" s="98"/>
      <c r="M472" s="99"/>
      <c r="N472" s="100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x14ac:dyDescent="0.25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97">
        <f t="shared" si="6"/>
        <v>337</v>
      </c>
      <c r="L473" s="98" t="s">
        <v>622</v>
      </c>
      <c r="M473" s="99" t="s">
        <v>821</v>
      </c>
      <c r="N473" s="100" t="s">
        <v>387</v>
      </c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x14ac:dyDescent="0.25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97">
        <f t="shared" si="6"/>
        <v>338</v>
      </c>
      <c r="L474" s="98" t="s">
        <v>630</v>
      </c>
      <c r="M474" s="99" t="s">
        <v>623</v>
      </c>
      <c r="N474" s="100" t="s">
        <v>821</v>
      </c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x14ac:dyDescent="0.2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97">
        <f t="shared" si="6"/>
        <v>339</v>
      </c>
      <c r="L475" s="98" t="s">
        <v>821</v>
      </c>
      <c r="M475" s="99" t="s">
        <v>633</v>
      </c>
      <c r="N475" s="100" t="s">
        <v>631</v>
      </c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x14ac:dyDescent="0.25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97">
        <f t="shared" si="6"/>
        <v>340</v>
      </c>
      <c r="L476" s="98" t="s">
        <v>821</v>
      </c>
      <c r="M476" s="99" t="s">
        <v>1246</v>
      </c>
      <c r="N476" s="100" t="s">
        <v>622</v>
      </c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x14ac:dyDescent="0.25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97">
        <f t="shared" si="6"/>
        <v>341</v>
      </c>
      <c r="L477" s="98" t="s">
        <v>821</v>
      </c>
      <c r="M477" s="99" t="s">
        <v>1246</v>
      </c>
      <c r="N477" s="100" t="s">
        <v>614</v>
      </c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x14ac:dyDescent="0.25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97">
        <f t="shared" si="6"/>
        <v>342</v>
      </c>
      <c r="L478" s="98"/>
      <c r="M478" s="99"/>
      <c r="N478" s="100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x14ac:dyDescent="0.25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97">
        <f t="shared" si="6"/>
        <v>343</v>
      </c>
      <c r="L479" s="98" t="s">
        <v>821</v>
      </c>
      <c r="M479" s="99"/>
      <c r="N479" s="100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x14ac:dyDescent="0.25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97">
        <f t="shared" si="6"/>
        <v>344</v>
      </c>
      <c r="L480" s="98" t="s">
        <v>627</v>
      </c>
      <c r="M480" s="99" t="s">
        <v>821</v>
      </c>
      <c r="N480" s="100" t="s">
        <v>631</v>
      </c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x14ac:dyDescent="0.25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97">
        <f t="shared" si="6"/>
        <v>345</v>
      </c>
      <c r="L481" s="98"/>
      <c r="M481" s="99"/>
      <c r="N481" s="100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x14ac:dyDescent="0.25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97">
        <f t="shared" si="6"/>
        <v>346</v>
      </c>
      <c r="L482" s="98" t="s">
        <v>614</v>
      </c>
      <c r="M482" s="99" t="s">
        <v>1446</v>
      </c>
      <c r="N482" s="100" t="s">
        <v>816</v>
      </c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x14ac:dyDescent="0.25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97">
        <f t="shared" si="6"/>
        <v>347</v>
      </c>
      <c r="L483" s="98" t="s">
        <v>824</v>
      </c>
      <c r="M483" s="99" t="s">
        <v>614</v>
      </c>
      <c r="N483" s="100" t="s">
        <v>821</v>
      </c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x14ac:dyDescent="0.25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97">
        <f t="shared" si="6"/>
        <v>348</v>
      </c>
      <c r="L484" s="98" t="s">
        <v>821</v>
      </c>
      <c r="M484" s="99" t="s">
        <v>623</v>
      </c>
      <c r="N484" s="100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x14ac:dyDescent="0.2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97">
        <f t="shared" si="6"/>
        <v>349</v>
      </c>
      <c r="L485" s="98" t="s">
        <v>821</v>
      </c>
      <c r="M485" s="99"/>
      <c r="N485" s="100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x14ac:dyDescent="0.25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97">
        <f t="shared" si="6"/>
        <v>350</v>
      </c>
      <c r="L486" s="98" t="s">
        <v>821</v>
      </c>
      <c r="M486" s="99"/>
      <c r="N486" s="100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x14ac:dyDescent="0.25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97">
        <f t="shared" si="6"/>
        <v>351</v>
      </c>
      <c r="L487" s="98" t="s">
        <v>615</v>
      </c>
      <c r="M487" s="99" t="s">
        <v>623</v>
      </c>
      <c r="N487" s="100" t="s">
        <v>821</v>
      </c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x14ac:dyDescent="0.25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97">
        <f t="shared" si="6"/>
        <v>352</v>
      </c>
      <c r="L488" s="98" t="s">
        <v>821</v>
      </c>
      <c r="M488" s="99" t="s">
        <v>623</v>
      </c>
      <c r="N488" s="100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x14ac:dyDescent="0.25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97">
        <f t="shared" si="6"/>
        <v>353</v>
      </c>
      <c r="L489" s="98" t="s">
        <v>616</v>
      </c>
      <c r="M489" s="99" t="s">
        <v>631</v>
      </c>
      <c r="N489" s="100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x14ac:dyDescent="0.25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97">
        <f t="shared" si="6"/>
        <v>354</v>
      </c>
      <c r="L490" s="98" t="s">
        <v>616</v>
      </c>
      <c r="M490" s="99" t="s">
        <v>631</v>
      </c>
      <c r="N490" s="100" t="s">
        <v>821</v>
      </c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x14ac:dyDescent="0.25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97">
        <f t="shared" si="6"/>
        <v>355</v>
      </c>
      <c r="L491" s="98" t="s">
        <v>620</v>
      </c>
      <c r="M491" s="99"/>
      <c r="N491" s="100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x14ac:dyDescent="0.25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97">
        <f t="shared" si="6"/>
        <v>356</v>
      </c>
      <c r="L492" s="98" t="s">
        <v>821</v>
      </c>
      <c r="M492" s="99"/>
      <c r="N492" s="100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x14ac:dyDescent="0.25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97">
        <f t="shared" si="6"/>
        <v>357</v>
      </c>
      <c r="L493" s="98" t="s">
        <v>821</v>
      </c>
      <c r="M493" s="99" t="s">
        <v>1231</v>
      </c>
      <c r="N493" s="100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x14ac:dyDescent="0.25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97">
        <f t="shared" si="6"/>
        <v>358</v>
      </c>
      <c r="L494" s="98" t="s">
        <v>821</v>
      </c>
      <c r="M494" s="99"/>
      <c r="N494" s="100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x14ac:dyDescent="0.2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97">
        <f t="shared" si="6"/>
        <v>359</v>
      </c>
      <c r="L495" s="98"/>
      <c r="M495" s="99"/>
      <c r="N495" s="100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x14ac:dyDescent="0.25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97">
        <f t="shared" si="6"/>
        <v>360</v>
      </c>
      <c r="L496" s="98" t="s">
        <v>821</v>
      </c>
      <c r="M496" s="99"/>
      <c r="N496" s="100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x14ac:dyDescent="0.25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x14ac:dyDescent="0.25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x14ac:dyDescent="0.25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x14ac:dyDescent="0.25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x14ac:dyDescent="0.25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x14ac:dyDescent="0.25">
      <c r="A502" s="32"/>
      <c r="F502" s="428"/>
      <c r="G502" s="427"/>
      <c r="J502" s="428" t="s">
        <v>807</v>
      </c>
      <c r="V502" s="32"/>
      <c r="W502" s="32"/>
      <c r="X502" s="32"/>
      <c r="Y502" s="32"/>
      <c r="Z502" s="32"/>
    </row>
    <row r="503" spans="1:26" ht="36.75" thickBot="1" x14ac:dyDescent="0.6">
      <c r="A503" s="92"/>
      <c r="B503" s="579"/>
      <c r="C503" s="580"/>
      <c r="D503" s="580"/>
      <c r="E503" s="580"/>
      <c r="F503" s="580"/>
      <c r="G503" s="580"/>
      <c r="H503" s="581" t="str">
        <f>IF($S$504&gt;=1055,"LOT 21 LABORATORY REQUIREMENT - OBADA ANNEX",IF($S$504&gt;=1039,"LOT 21 - LABORATORY REQUIREMENT - SHAJE ANNEX",IF($S$504&gt;=981,"LOT 20 - LABORATORY - CHEMICAL PATHOLOGY",IF($S$504&gt;=974,"LOT 19 - MICROBIOLOGY - INFECTION CONTROL",IF($S$504&gt;=957,"LOT 19 - MICROBIOLOGY - SENSITIVITY DISCS",IF($S$504&gt;=902,"LOT 18 - MICROBIOLOGY - REAGENT KITS",IF($S$504&gt;=846,"LOT 17 - HISTOPATHOLOGY",IF($S$504&gt;=760,"LOT 16 - HAEMATOLOGY",IF($S$504&gt;=722,"LOT 15 - THEATRE DEPARTMENT",IF($S$504&gt;=709,"LOT 14 - RADIOLOGY DEPARTMENT",IF($S$504&gt;=702,"LOT 13 - PHARMACY - CONSUMABLES - SUTURES",IF($S$504&gt;=684,"LOT 13 - PHARMACY - CONSUMABLES",IF($S$504&gt;=669,"LOT 13 PHARMACY - DISINFECTANTS",IF($S$504&gt;=651,"LOT 13 - PHARMACY - DERMATOLOGICAL PREPARATIONS",IF($S$504&gt;=570,"LOT 13 - PHARMACY - DRESSINGS/CONSUMABLES",IF($S$504&gt;=539,"LOT 12 - PHARMACY - ONCOLOGY DRUGS",IF($S$504&gt;=494,"LOT 11 - PHARMACY - EYE/EAR MEDICATIONS",IF($S$504&gt;=455,"LOT 10 - PHARMACY - RESPIRATORY TRACT DRUGS",IF($S$504&gt;=424,"LOT 9 - PHARMACY GASTROINTESTINAL DRUGS",IF($S$504&gt;=381,"LOT 8 - PHARMACY -OBSTETRICS/GYNAECOLOGY DRUGS",IF($S$504&gt;=351,"LOT 7 - PHARMACY - HYPNOSEDATIVE DRUGS",IF($S$504&gt;=285,"LOT 6 PHARMACY - BLOOD &amp; NUTRITIONAL DRUGS",IF($S$504&gt;=194,"LOT 5 - PHARMACY - ANTI-INFECTIVE AGENTS",IF($S$504&gt;=142,"LOT 4 - PHARMACY - ANTI-INFLAMMATORY/ANTI-PYRETIC/ANALGESICS",IF($S$504&gt;=118,"LOT 3 - PHARMACY - ORAL HYPOGLYCAEMIC DRUGS",IF($S$504&gt;=34,"LOT 3 - PHARMACY - ANTI-HYPERTENSIVES",IF($S$504&gt;=19,"LOT 2 - PHARMACY - STERILE INTRAVENOUS FLUIDS",IF($S$504&gt;=1,"LOT 1 - PHARMACY - ANTI-MALARIALS","-"))))))))))))))))))))))))))))</f>
        <v>LOT 7 - PHARMACY - HYPNOSEDATIVE DRUGS</v>
      </c>
      <c r="I503" s="582"/>
      <c r="J503" s="580"/>
      <c r="K503" s="580"/>
      <c r="L503" s="580"/>
      <c r="M503" s="580"/>
      <c r="N503" s="580"/>
      <c r="O503" s="580"/>
      <c r="P503" s="580"/>
      <c r="Q503" s="580"/>
      <c r="R503" s="583"/>
      <c r="S503" s="580"/>
      <c r="T503" s="580"/>
      <c r="U503" s="580"/>
      <c r="V503" s="32"/>
      <c r="W503" s="32"/>
      <c r="X503" s="32"/>
      <c r="Y503" s="32"/>
      <c r="Z503" s="32"/>
    </row>
    <row r="504" spans="1:26" ht="35.25" customHeight="1" thickBot="1" x14ac:dyDescent="0.7">
      <c r="A504" s="95" t="s">
        <v>779</v>
      </c>
      <c r="B504" s="584"/>
      <c r="C504" s="585" t="str">
        <f>IF($S$504=361,PR!$B$395,IF($S$504=362,PR!$B$396,IF($S$504=363,PR!$B$397,IF($S$504=364,PR!$B$398,IF($S$504=365,PR!$B$399,IF($S$504=366,PR!$B$400,IF($S$504=367,PR!$B$401,IF($S$504=368,PR!$B$402,IF($S$504=369,PR!$B$403,IF($S$504=370,PR!$B$404,IF($S$504=371,PR!$B$405,IF($S$504=372,PR!$B$406,IF($S$504=373,PR!$B$407,IF($S$504=374,PR!$B$408,IF($S$504=375,PR!$B$409,IF($S$504=376,PR!$B$410,IF($S$504=377,PR!$B$411,IF($S$504=378,PR!$B$412,IF($S$504=379,PR!$B$413,IF($S$504=380,PR!$B$414,IF($S$504=381,PR!$B$419,IF($S$504=382,PR!$B$420,IF($S$504=383,PR!$B$421,IF($S$504=384,PR!$B$422,IF($S$504=385,PR!$B$423,IF($S$504=386,PR!$B$424,IF($S$504=387,PR!$B$425,IF($S$504=388,PR!$B$426,IF($S$504=389,PR!$B$427,IF($S$504=390,PR!$B$428,IF($S$504=391,PR!$B$429,IF($S$504=392,PR!$B$430,IF($S$504=393,PR!$B$431,IF($S$504=394,PR!$B$432,IF($S$504=395,PR!$B$433,IF($S$504=396,PR!$B$437,IF($S$504=397,PR!$B$438,IF($S$504=398,PR!$B$439,IF($S$504=399,PR!$B$440,IF($S$504=400,PR!$B$441,IF($S$504=401,PR!$B$442,IF($S$504=402,PR!$B$443,IF($S$504=403,PR!$B$444,IF($S$504=404,PR!$B$445,IF($S$504=405,PR!$B$446,IF($S$504=406,PR!$B$447,IF($S$504=407,PR!$B$448,IF($S$504=408,PR!$B$449,IF($S$504=409,PR!$B$450,IF($S$504=410,PR!$B$451,IF($S$504=411,PR!$B$452,IF($S$504=412,PR!$B$453,IF($S$504=413,PR!$B$454,IF($S$504=414,PR!$B$455,IF($S$504=415,PR!$B$456,IF($S$504=416,PR!$B$459,IF($S$504=417,PR!$B$460,IF($S$504=418,PR!$B$461,IF($S$504=419,PR!$B$462,IF($S$504=420,PR!$B$463,"-"))))))))))))))))))))))))))))))))))))))))))))))))))))))))))))</f>
        <v>NITRAZEPAM 5MG</v>
      </c>
      <c r="D504" s="586"/>
      <c r="E504" s="586"/>
      <c r="F504" s="586"/>
      <c r="G504" s="586"/>
      <c r="H504" s="586"/>
      <c r="I504" s="586"/>
      <c r="J504" s="586"/>
      <c r="K504" s="586"/>
      <c r="L504" s="586"/>
      <c r="M504" s="586"/>
      <c r="N504" s="586"/>
      <c r="O504" s="586"/>
      <c r="P504" s="587"/>
      <c r="Q504" s="588"/>
      <c r="R504" s="583"/>
      <c r="S504" s="589">
        <v>369</v>
      </c>
      <c r="T504" s="580"/>
      <c r="U504" s="580"/>
      <c r="V504" s="32"/>
      <c r="W504" s="32"/>
      <c r="X504" s="32"/>
      <c r="Y504" s="32"/>
      <c r="Z504" s="32"/>
    </row>
    <row r="505" spans="1:26" ht="35.25" customHeight="1" thickBot="1" x14ac:dyDescent="0.7">
      <c r="A505" s="91"/>
      <c r="B505" s="580"/>
      <c r="C505" s="590" t="s">
        <v>780</v>
      </c>
      <c r="D505" s="791">
        <f>IF($S$504=361,PR!$D$395,IF($S$504=362,PR!$D$396,IF($S$504=363,PR!$D$397,IF($S$504=364,PR!$D$398,IF($S$504=365,PR!$D$399,IF($S$504=366,PR!$D$400,IF($S$504=367,PR!$D$401,IF($S$504=368,PR!$D$402,IF($S$504=369,PR!$D$403,IF($S$504=370,PR!$D$404,IF($S$504=371,PR!$D$405,IF($S$504=372,PR!$D$406,IF($S$504=373,PR!$D$407,IF($S$504=374,PR!$D$408,IF($S$504=375,PR!$D$409,IF($S$504=376,PR!$D$410,IF($S$504=377,PR!$D$411,IF($S$504=378,PR!$D$412,IF($S$504=379,PR!$D$413,IF($S$504=380,PR!$D$414,IF($S$504=381,PR!$D$419,IF($S$504=382,PR!$D$420,IF($S$504=383,PR!$D$421,IF($S$504=384,PR!$D$422,IF($S$504=385,PR!$D$423,IF($S$504=386,PR!$D$424,IF($S$504=387,PR!$D$425,IF($S$504=388,PR!$D$426,IF($S$504=389,PR!$D$427,IF($S$504=390,PR!$D$428,IF($S$504=391,PR!$D$429,IF($S$504=392,PR!$D$430,IF($S$504=393,PR!$D$431,IF($S$504=394,PR!$D$432,IF($S$504=395,PR!$D$433,IF($S$504=396,PR!$D$437,IF($S$504=397,PR!$D$438,IF($S$504=398,PR!$D$439,IF($S$504=399,PR!$D$440,IF($S$504=400,PR!$D$441,IF($S$504=401,PR!$D$442,IF($S$504=402,PR!$D$443,IF($S$504=403,PR!$D$444,IF($S$504=404,PR!$D$445,IF($S$504=405,PR!$D$446,IF($S$504=406,PR!$D$447,IF($S$504=407,PR!$D$448,IF($S$504=408,PR!$D$449,IF($S$504=409,PR!$D$450,IF($S$504=410,PR!$D$451,IF($S$504=411,PR!$D$452,IF($S$504=412,PR!$D$453,IF($S$504=413,PR!$D$454,IF($S$504=414,PR!$D$455,IF($S$504=415,PR!$D$456,IF($S$504=416,PR!$D$459,IF($S$504=417,PR!$D$460,IF($S$504=418,PR!$D$461,IF($S$504=419,PR!$D$462,IF($S$504=420,PR!$D$463,"-"))))))))))))))))))))))))))))))))))))))))))))))))))))))))))))</f>
        <v>500</v>
      </c>
      <c r="E505" s="792"/>
      <c r="F505" s="793"/>
      <c r="G505" s="797" t="s">
        <v>781</v>
      </c>
      <c r="H505" s="797"/>
      <c r="I505" s="797"/>
      <c r="J505" s="797"/>
      <c r="K505" s="791">
        <f>IF($S$504=361,PR!$C$395,IF($S$504=362,PR!$C$396,IF($S$504=363,PR!$C$397,IF($S$504=364,PR!$C$398,IF($S$504=365,PR!$C$399,IF($S$504=366,PR!$C$400,IF($S$504=367,PR!$C$401,IF($S$504=368,PR!$C$402,IF($S$504=369,PR!$C$403,IF($S$504=370,PR!$C$404,IF($S$504=371,PR!$C$405,IF($S$504=372,PR!$C$406,IF($S$504=373,PR!$C$407,IF($S$504=374,PR!$C$408,IF($S$504=375,PR!$C$409,IF($S$504=376,PR!$C$410,IF($S$504=377,PR!$C$411,IF($S$504=378,PR!$C$412,IF($S$504=379,PR!$C$413,IF($S$504=380,PR!$C$414,IF($S$504=381,PR!$C$419,IF($S$504=382,PR!$C$420,IF($S$504=383,PR!$C$421,IF($S$504=384,PR!$C$422,IF($S$504=385,PR!$C$423,IF($S$504=386,PR!$C$424,IF($S$504=387,PR!$C$425,IF($S$504=388,PR!$C$426,IF($S$504=389,PR!$C$427,IF($S$504=390,PR!$C$428,IF($S$504=391,PR!$C$429,IF($S$504=392,PR!$C$430,IF($S$504=393,PR!$C$431,IF($S$504=394,PR!$C$432,IF($S$504=395,PR!$C$433,IF($S$504=396,PR!$C$437,IF($S$504=397,PR!$C$438,IF($S$504=398,PR!$C$439,IF($S$504=399,PR!$C$440,IF($S$504=400,PR!$C$441,IF($S$504=401,PR!$C$442,IF($S$504=402,PR!$C$443,IF($S$504=403,PR!$C$444,IF($S$504=404,PR!$C$445,IF($S$504=405,PR!$C$446,IF($S$504=406,PR!$C$447,IF($S$504=407,PR!$C$448,IF($S$504=408,PR!$C$449,IF($S$504=409,PR!$C$450,IF($S$504=410,PR!$C$451,IF($S$504=411,PR!$C$452,IF($S$504=412,PR!$C$453,IF($S$504=413,PR!$C$454,IF($S$504=414,PR!$C$455,IF($S$504=415,PR!$C$456,IF($S$504=416,PR!$C$459,IF($S$504=417,PR!$C$460,IF($S$504=418,PR!$C$461,IF($S$504=419,PR!$C$462,IF($S$504=420,PR!$C$463,"-"))))))))))))))))))))))))))))))))))))))))))))))))))))))))))))</f>
        <v>8</v>
      </c>
      <c r="L505" s="792"/>
      <c r="M505" s="792"/>
      <c r="N505" s="793"/>
      <c r="O505" s="580"/>
      <c r="P505" s="580"/>
      <c r="Q505" s="580"/>
      <c r="R505" s="583"/>
      <c r="S505" s="580"/>
      <c r="T505" s="580"/>
      <c r="U505" s="580"/>
      <c r="V505" s="32"/>
      <c r="W505" s="32"/>
      <c r="X505" s="32"/>
      <c r="Y505" s="32"/>
      <c r="Z505" s="32"/>
    </row>
    <row r="506" spans="1:26" ht="19.5" thickTop="1" x14ac:dyDescent="0.25">
      <c r="A506" s="91"/>
      <c r="B506" s="580"/>
      <c r="C506" s="591"/>
      <c r="D506" s="592"/>
      <c r="E506" s="580"/>
      <c r="F506" s="580"/>
      <c r="G506" s="593"/>
      <c r="H506" s="593"/>
      <c r="I506" s="593"/>
      <c r="J506" s="593"/>
      <c r="K506" s="594"/>
      <c r="L506" s="594"/>
      <c r="M506" s="580"/>
      <c r="N506" s="580"/>
      <c r="O506" s="580"/>
      <c r="P506" s="580"/>
      <c r="Q506" s="580"/>
      <c r="R506" s="583"/>
      <c r="S506" s="580"/>
      <c r="T506" s="580"/>
      <c r="U506" s="580"/>
      <c r="V506" s="32"/>
      <c r="W506" s="32"/>
      <c r="X506" s="32"/>
      <c r="Y506" s="32"/>
      <c r="Z506" s="32"/>
    </row>
    <row r="507" spans="1:26" ht="15.75" thickBot="1" x14ac:dyDescent="0.3">
      <c r="A507" s="94" t="s">
        <v>782</v>
      </c>
      <c r="B507" s="595"/>
      <c r="C507" s="600" t="str">
        <f>N!$C$4</f>
        <v>ALPHA</v>
      </c>
      <c r="D507" s="600" t="str">
        <f>N!$C$5</f>
        <v>ASSENE</v>
      </c>
      <c r="E507" s="600" t="str">
        <f>N!$C$6</f>
        <v>BIOFEM</v>
      </c>
      <c r="F507" s="600" t="str">
        <f>N!$C$7</f>
        <v>BIOMED</v>
      </c>
      <c r="G507" s="600" t="str">
        <f>N!$C$8</f>
        <v>CHI</v>
      </c>
      <c r="H507" s="600" t="str">
        <f>N!$C$9</f>
        <v>CLARION</v>
      </c>
      <c r="I507" s="600" t="str">
        <f>N!$C$10</f>
        <v>CODIX</v>
      </c>
      <c r="J507" s="600" t="str">
        <f>N!$C$11</f>
        <v>COSMADE</v>
      </c>
      <c r="K507" s="600" t="str">
        <f>N!$C$12</f>
        <v>SANCON</v>
      </c>
      <c r="L507" s="600" t="str">
        <f>N!$C$13</f>
        <v>DEVON</v>
      </c>
      <c r="M507" s="600" t="str">
        <f>N!$C$14</f>
        <v>DORTEMAG</v>
      </c>
      <c r="N507" s="600" t="str">
        <f>N!$C$15</f>
        <v>DGF</v>
      </c>
      <c r="O507" s="601" t="str">
        <f>N!$C$16</f>
        <v>DYNAMIC</v>
      </c>
      <c r="P507" s="600" t="str">
        <f>N!$C$17</f>
        <v>EMZOR</v>
      </c>
      <c r="Q507" s="600" t="str">
        <f>N!$C$18</f>
        <v>EUMATT</v>
      </c>
      <c r="R507" s="600" t="str">
        <f>N!$C$19</f>
        <v>FIDSON</v>
      </c>
      <c r="S507" s="600" t="str">
        <f>N!$C$20</f>
        <v>FCGLOBAL</v>
      </c>
      <c r="T507" s="580"/>
      <c r="U507" s="580"/>
      <c r="V507" s="32"/>
      <c r="W507" s="32"/>
      <c r="X507" s="32"/>
      <c r="Y507" s="32"/>
    </row>
    <row r="508" spans="1:26" ht="15.75" thickBot="1" x14ac:dyDescent="0.3">
      <c r="A508" s="93"/>
      <c r="B508" s="596"/>
      <c r="C508" s="602">
        <f>IF($S$504=361,PR!$E$395,IF($S$504=362,PR!$E$396,IF($S$504=363,PR!$E$397,IF($S$504=364,PR!$E$398,IF($S$504=365,PR!$E$399,IF($S$504=366,PR!$E$400,IF($S$504=367,PR!$E$401,IF($S$504=368,PR!$E$402,IF($S$504=369,PR!$E$403,IF($S$504=370,PR!$E$404,IF($S$504=371,PR!$E$405,IF($S$504=372,PR!$E$406,IF($S$504=373,PR!$E$407,IF($S$504=374,PR!$E$408,IF($S$504=375,PR!$E$409,IF($S$504=376,PR!$E$410,IF($S$504=377,PR!$E$411,IF($S$504=378,PR!$E$412,IF($S$504=379,PR!$E$413,IF($S$504=380,PR!$E$414,IF($S$504=381,PR!$E$419,IF($S$504=382,PR!$E$420,IF($S$504=383,PR!$E$421,IF($S$504=384,PR!$E$422,IF($S$504=385,PR!$E$423,IF($S$504=386,PR!$E$424,IF($S$504=387,PR!$E$425,IF($S$504=388,PR!$E$426,IF($S$504=389,PR!$E$427,IF($S$504=390,PR!$E$428,IF($S$504=391,PR!$E$429,IF($S$504=392,PR!$E$430,IF($S$504=393,PR!$E$431,IF($S$504=394,PR!$E$432,IF($S$504=395,PR!$E$433,IF($S$504=396,PR!$E$437,IF($S$504=397,PR!$E$438,IF($S$504=398,PR!$E$439,IF($S$504=399,PR!$E$440,IF($S$504=400,PR!$E$441,IF($S$504=401,PR!$E$442,IF($S$504=402,PR!$E$443,IF($S$504=403,PR!$E$444,IF($S$504=404,PR!$E$445,IF($S$504=405,PR!$E$446,IF($S$504=406,PR!$E$447,IF($S$504=407,PR!$E$448,IF($S$504=408,PR!$E$449,IF($S$504=409,PR!$E$450,IF($S$504=410,PR!$E$451,IF($S$504=411,PR!$E$452,IF($S$504=412,PR!$E$453,IF($S$504=413,PR!$E$454,IF($S$504=414,PR!$E$455,IF($S$504=415,PR!$E$456,IF($S$504=416,PR!$E$459,IF($S$504=417,PR!$E$460,IF($S$504=418,PR!$E$461,IF($S$504=419,PR!$E$462,IF($S$504=420,PR!$E$463,"-"))))))))))))))))))))))))))))))))))))))))))))))))))))))))))))</f>
        <v>0</v>
      </c>
      <c r="D508" s="602">
        <f>IF($S$504=361,PR!$F$395,IF($S$504=362,PR!$F$396,IF($S$504=363,PR!$F$397,IF($S$504=364,PR!$F$398,IF($S$504=365,PR!$F$399,IF($S$504=366,PR!$F$400,IF($S$504=367,PR!$F$401,IF($S$504=368,PR!$F$402,IF($S$504=369,PR!$F$403,IF($S$504=370,PR!$F$404,IF($S$504=371,PR!$F$405,IF($S$504=372,PR!$F$406,IF($S$504=373,PR!$F$407,IF($S$504=374,PR!$F$408,IF($S$504=375,PR!$F$409,IF($S$504=376,PR!$F$410,IF($S$504=377,PR!$F$411,IF($S$504=378,PR!$F$412,IF($S$504=379,PR!$F$413,IF($S$504=380,PR!$F$414,IF($S$504=381,PR!$F$419,IF($S$504=382,PR!$F$420,IF($S$504=383,PR!$F$421,IF($S$504=384,PR!$F$422,IF($S$504=385,PR!$F$423,IF($S$504=386,PR!$F$424,IF($S$504=387,PR!$F$425,IF($S$504=388,PR!$F$426,IF($S$504=389,PR!$F$427,IF($S$504=390,PR!$F$428,IF($S$504=391,PR!$F$429,IF($S$504=392,PR!$F$430,IF($S$504=393,PR!$F$431,IF($S$504=394,PR!$F$432,IF($S$504=395,PR!$F$433,IF($S$504=396,PR!$F$437,IF($S$504=397,PR!$F$438,IF($S$504=398,PR!$F$439,IF($S$504=399,PR!$F$440,IF($S$504=400,PR!$F$441,IF($S$504=401,PR!$F$442,IF($S$504=402,PR!$F$443,IF($S$504=403,PR!$F$444,IF($S$504=404,PR!$F$445,IF($S$504=405,PR!$F$446,IF($S$504=406,PR!$F$447,IF($S$504=407,PR!$F$448,IF($S$504=408,PR!$F$449,IF($S$504=409,PR!$F$450,IF($S$504=410,PR!$F$451,IF($S$504=411,PR!$F$452,IF($S$504=412,PR!$F$453,IF($S$504=413,PR!$F$454,IF($S$504=414,PR!$F$455,IF($S$504=415,PR!$F$456,IF($S$504=416,PR!$F$459,IF($S$504=417,PR!$F$460,IF($S$504=418,PR!$F$461,IF($S$504=419,PR!$F$462,IF($S$504=420,PR!$F$463,"-"))))))))))))))))))))))))))))))))))))))))))))))))))))))))))))</f>
        <v>0</v>
      </c>
      <c r="E508" s="602">
        <f>IF($S$504=361,PR!$G$395,IF($S$504=362,PR!$G$396,IF($S$504=363,PR!$G$397,IF($S$504=364,PR!$G$398,IF($S$504=365,PR!$G$399,IF($S$504=366,PR!$G$400,IF($S$504=367,PR!$G$401,IF($S$504=368,PR!$G$402,IF($S$504=369,PR!$G$403,IF($S$504=370,PR!$G$404,IF($S$504=371,PR!$G$405,IF($S$504=372,PR!$G$406,IF($S$504=373,PR!$G$407,IF($S$504=374,PR!$G$408,IF($S$504=375,PR!$G$409,IF($S$504=376,PR!$G$410,IF($S$504=377,PR!$G$411,IF($S$504=378,PR!$G$412,IF($S$504=379,PR!$G$413,IF($S$504=380,PR!$G$414,IF($S$504=381,PR!$G$419,IF($S$504=382,PR!$G$420,IF($S$504=383,PR!$G$421,IF($S$504=384,PR!$G$422,IF($S$504=385,PR!$G$423,IF($S$504=386,PR!$G$424,IF($S$504=387,PR!$G$425,IF($S$504=388,PR!$G$426,IF($S$504=389,PR!$G$427,IF($S$504=390,PR!$G$428,IF($S$504=391,PR!$G$429,IF($S$504=392,PR!$G$430,IF($S$504=393,PR!$G$431,IF($S$504=394,PR!$G$432,IF($S$504=395,PR!$G$433,IF($S$504=396,PR!$G$437,IF($S$504=397,PR!$G$438,IF($S$504=398,PR!$G$439,IF($S$504=399,PR!$G$440,IF($S$504=400,PR!$G$441,IF($S$504=401,PR!$G$442,IF($S$504=402,PR!$G$443,IF($S$504=403,PR!$G$444,IF($S$504=404,PR!$G$445,IF($S$504=405,PR!$G$446,IF($S$504=406,PR!$G$447,IF($S$504=407,PR!$G$448,IF($S$504=408,PR!$G$449,IF($S$504=409,PR!$G$450,IF($S$504=410,PR!$G$451,IF($S$504=411,PR!$G$452,IF($S$504=412,PR!$G$453,IF($S$504=413,PR!$G$454,IF($S$504=414,PR!$G$455,IF($S$504=415,PR!$G$456,IF($S$504=416,PR!$G$459,IF($S$504=417,PR!$G$460,IF($S$504=418,PR!$G$461,IF($S$504=419,PR!$G$462,IF($S$504=420,PR!$G$463,"-"))))))))))))))))))))))))))))))))))))))))))))))))))))))))))))</f>
        <v>0</v>
      </c>
      <c r="F508" s="602">
        <f>IF($S$504=361,PR!$H$395,IF($S$504=362,PR!$H$396,IF($S$504=363,PR!$H$397,IF($S$504=364,PR!$H$398,IF($S$504=365,PR!$H$399,IF($S$504=366,PR!$H$400,IF($S$504=367,PR!$H$401,IF($S$504=368,PR!$H$402,IF($S$504=369,PR!$H$403,IF($S$504=370,PR!$H$404,IF($S$504=371,PR!$H$405,IF($S$504=372,PR!$H$406,IF($S$504=373,PR!$H$407,IF($S$504=374,PR!$H$408,IF($S$504=375,PR!$H$409,IF($S$504=376,PR!$H$410,IF($S$504=377,PR!$H$411,IF($S$504=378,PR!$H$412,IF($S$504=379,PR!$H$413,IF($S$504=380,PR!$H$414,IF($S$504=381,PR!$H$419,IF($S$504=382,PR!$H$420,IF($S$504=383,PR!$H$421,IF($S$504=384,PR!$H$422,IF($S$504=385,PR!$H$423,IF($S$504=386,PR!$H$424,IF($S$504=387,PR!$H$425,IF($S$504=388,PR!$H$426,IF($S$504=389,PR!$H$427,IF($S$504=390,PR!$H$428,IF($S$504=391,PR!$H$429,IF($S$504=392,PR!$H$430,IF($S$504=393,PR!$H$431,IF($S$504=394,PR!$H$432,IF($S$504=395,PR!$H$433,IF($S$504=396,PR!$H$437,IF($S$504=397,PR!$H$438,IF($S$504=398,PR!$H$439,IF($S$504=399,PR!$H$440,IF($S$504=400,PR!$H$441,IF($S$504=401,PR!$H$442,IF($S$504=402,PR!$H$443,IF($S$504=403,PR!$H$444,IF($S$504=404,PR!$H$445,IF($S$504=405,PR!$H$446,IF($S$504=406,PR!$H$447,IF($S$504=407,PR!$H$448,IF($S$504=408,PR!$H$449,IF($S$504=409,PR!$H$450,IF($S$504=410,PR!$H$451,IF($S$504=411,PR!$H$452,IF($S$504=412,PR!$H$453,IF($S$504=413,PR!$H$454,IF($S$504=414,PR!$H$455,IF($S$504=415,PR!$H$456,IF($S$504=416,PR!$H$459,IF($S$504=417,PR!$H$460,IF($S$504=418,PR!$H$461,IF($S$504=419,PR!$H$462,IF($S$504=420,PR!$H$463,"-"))))))))))))))))))))))))))))))))))))))))))))))))))))))))))))</f>
        <v>0</v>
      </c>
      <c r="G508" s="602">
        <f>IF($S$504=361,PR!$I$395,IF($S$504=362,PR!$I$396,IF($S$504=363,PR!$I$397,IF($S$504=364,PR!$I$398,IF($S$504=365,PR!$I$399,IF($S$504=366,PR!$I$400,IF($S$504=367,PR!$I$401,IF($S$504=368,PR!$I$402,IF($S$504=369,PR!$I$403,IF($S$504=370,PR!$I$404,IF($S$504=371,PR!$I$405,IF($S$504=372,PR!$I$406,IF($S$504=373,PR!$I$407,IF($S$504=374,PR!$I$408,IF($S$504=375,PR!$I$409,IF($S$504=376,PR!$I$410,IF($S$504=377,PR!$I$411,IF($S$504=378,PR!$I$412,IF($S$504=379,PR!$I$413,IF($S$504=380,PR!$I$414,IF($S$504=381,PR!$I$419,IF($S$504=382,PR!$I$420,IF($S$504=383,PR!$I$421,IF($S$504=384,PR!$I$422,IF($S$504=385,PR!$I$423,IF($S$504=386,PR!$I$424,IF($S$504=387,PR!$I$425,IF($S$504=388,PR!$I$426,IF($S$504=389,PR!$I$427,IF($S$504=390,PR!$I$428,IF($S$504=391,PR!$I$429,IF($S$504=392,PR!$I$430,IF($S$504=393,PR!$I$431,IF($S$504=394,PR!$I$432,IF($S$504=395,PR!$I$433,IF($S$504=396,PR!$I$437,IF($S$504=397,PR!$I$438,IF($S$504=398,PR!$I$439,IF($S$504=399,PR!$I$440,IF($S$504=400,PR!$I$441,IF($S$504=401,PR!$I$442,IF($S$504=402,PR!$I$443,IF($S$504=403,PR!$I$444,IF($S$504=404,PR!$I$445,IF($S$504=405,PR!$I$446,IF($S$504=406,PR!$I$447,IF($S$504=407,PR!$I$448,IF($S$504=408,PR!$I$449,IF($S$504=409,PR!$I$450,IF($S$504=410,PR!$I$451,IF($S$504=411,PR!$I$452,IF($S$504=412,PR!$I$453,IF($S$504=413,PR!$I$454,IF($S$504=414,PR!$I$455,IF($S$504=415,PR!$I$456,IF($S$504=416,PR!$I$459,IF($S$504=417,PR!$I$460,IF($S$504=418,PR!$I$461,IF($S$504=419,PR!$I$462,IF($S$504=420,PR!$I$463,"-"))))))))))))))))))))))))))))))))))))))))))))))))))))))))))))</f>
        <v>0</v>
      </c>
      <c r="H508" s="602">
        <f>IF($S$504=361,PR!$J$395,IF($S$504=362,PR!$J$396,IF($S$504=363,PR!$J$397,IF($S$504=364,PR!$J$398,IF($S$504=365,PR!$J$399,IF($S$504=366,PR!$J$400,IF($S$504=367,PR!$J$401,IF($S$504=368,PR!$J$402,IF($S$504=369,PR!$J$403,IF($S$504=370,PR!$J$404,IF($S$504=371,PR!$J$405,IF($S$504=372,PR!$J$406,IF($S$504=373,PR!$J$407,IF($S$504=374,PR!$J$408,IF($S$504=375,PR!$J$409,IF($S$504=376,PR!$J$410,IF($S$504=377,PR!$J$411,IF($S$504=378,PR!$J$412,IF($S$504=379,PR!$J$413,IF($S$504=380,PR!$J$414,IF($S$504=381,PR!$J$419,IF($S$504=382,PR!$J$420,IF($S$504=383,PR!$J$421,IF($S$504=384,PR!$J$422,IF($S$504=385,PR!$J$423,IF($S$504=386,PR!$J$424,IF($S$504=387,PR!$J$425,IF($S$504=388,PR!$J$426,IF($S$504=389,PR!$J$427,IF($S$504=390,PR!$J$428,IF($S$504=391,PR!$J$429,IF($S$504=392,PR!$J$430,IF($S$504=393,PR!$J$431,IF($S$504=394,PR!$J$432,IF($S$504=395,PR!$J$433,IF($S$504=396,PR!$J$437,IF($S$504=397,PR!$J$438,IF($S$504=398,PR!$J$439,IF($S$504=399,PR!$J$440,IF($S$504=400,PR!$J$441,IF($S$504=401,PR!$J$442,IF($S$504=402,PR!$J$443,IF($S$504=403,PR!$J$444,IF($S$504=404,PR!$J$445,IF($S$504=405,PR!$J$446,IF($S$504=406,PR!$J$447,IF($S$504=407,PR!$J$448,IF($S$504=408,PR!$J$449,IF($S$504=409,PR!$J$450,IF($S$504=410,PR!$J$451,IF($S$504=411,PR!$J$452,IF($S$504=412,PR!$J$453,IF($S$504=413,PR!$J$454,IF($S$504=414,PR!$J$455,IF($S$504=415,PR!$J$456,IF($S$504=416,PR!$J$459,IF($S$504=417,PR!$J$460,IF($S$504=418,PR!$J$461,IF($S$504=419,PR!$J$462,IF($S$504=420,PR!$J$463,"-"))))))))))))))))))))))))))))))))))))))))))))))))))))))))))))</f>
        <v>0</v>
      </c>
      <c r="I508" s="602">
        <f>IF($S$504=361,PR!$K$395,IF($S$504=362,PR!$K$396,IF($S$504=363,PR!$K$397,IF($S$504=364,PR!$K$398,IF($S$504=365,PR!$K$399,IF($S$504=366,PR!$K$400,IF($S$504=367,PR!$K$401,IF($S$504=368,PR!$K$402,IF($S$504=369,PR!$K$403,IF($S$504=370,PR!$K$404,IF($S$504=371,PR!$K$405,IF($S$504=372,PR!$K$406,IF($S$504=373,PR!$K$407,IF($S$504=374,PR!$K$408,IF($S$504=375,PR!$K$409,IF($S$504=376,PR!$K$410,IF($S$504=377,PR!$K$411,IF($S$504=378,PR!$K$412,IF($S$504=379,PR!$K$413,IF($S$504=380,PR!$K$414,IF($S$504=381,PR!$K$419,IF($S$504=382,PR!$K$420,IF($S$504=383,PR!$K$421,IF($S$504=384,PR!$K$422,IF($S$504=385,PR!$K$423,IF($S$504=386,PR!$K$424,IF($S$504=387,PR!$K$425,IF($S$504=388,PR!$K$426,IF($S$504=389,PR!$K$427,IF($S$504=390,PR!$K$428,IF($S$504=391,PR!$K$429,IF($S$504=392,PR!$K$430,IF($S$504=393,PR!$K$431,IF($S$504=394,PR!$K$432,IF($S$504=395,PR!$K$433,IF($S$504=396,PR!$K$437,IF($S$504=397,PR!$K$438,IF($S$504=398,PR!$K$439,IF($S$504=399,PR!$K$440,IF($S$504=400,PR!$K$441,IF($S$504=401,PR!$K$442,IF($S$504=402,PR!$K$443,IF($S$504=403,PR!$K$444,IF($S$504=404,PR!$K$445,IF($S$504=405,PR!$K$446,IF($S$504=406,PR!$K$447,IF($S$504=407,PR!$K$448,IF($S$504=408,PR!$K$449,IF($S$504=409,PR!$K$450,IF($S$504=410,PR!$K$451,IF($S$504=411,PR!$K$452,IF($S$504=412,PR!$K$453,IF($S$504=413,PR!$K$454,IF($S$504=414,PR!$K$455,IF($S$504=415,PR!$K$456,IF($S$504=416,PR!$K$459,IF($S$504=417,PR!$K$460,IF($S$504=418,PR!$K$461,IF($S$504=419,PR!$K$462,IF($S$504=420,PR!$K$463,"-"))))))))))))))))))))))))))))))))))))))))))))))))))))))))))))</f>
        <v>0</v>
      </c>
      <c r="J508" s="602">
        <f>IF($S$504=361,PR!$L$395,IF($S$504=362,PR!$L$396,IF($S$504=363,PR!$L$397,IF($S$504=364,PR!$L$398,IF($S$504=365,PR!$L$399,IF($S$504=366,PR!$L$400,IF($S$504=367,PR!$L$401,IF($S$504=368,PR!$L$402,IF($S$504=369,PR!$L$403,IF($S$504=370,PR!$L$404,IF($S$504=371,PR!$L$405,IF($S$504=372,PR!$L$406,IF($S$504=373,PR!$L$407,IF($S$504=374,PR!$L$408,IF($S$504=375,PR!$L$409,IF($S$504=376,PR!$L$410,IF($S$504=377,PR!$L$411,IF($S$504=378,PR!$L$412,IF($S$504=379,PR!$L$413,IF($S$504=380,PR!$L$414,IF($S$504=381,PR!$L$419,IF($S$504=382,PR!$L$420,IF($S$504=383,PR!$L$421,IF($S$504=384,PR!$L$422,IF($S$504=385,PR!$L$423,IF($S$504=386,PR!$L$424,IF($S$504=387,PR!$L$425,IF($S$504=388,PR!$L$426,IF($S$504=389,PR!$L$427,IF($S$504=390,PR!$L$428,IF($S$504=391,PR!$L$429,IF($S$504=392,PR!$L$430,IF($S$504=393,PR!$L$431,IF($S$504=394,PR!$L$432,IF($S$504=395,PR!$L$433,IF($S$504=396,PR!$L$437,IF($S$504=397,PR!$L$438,IF($S$504=398,PR!$L$439,IF($S$504=399,PR!$L$440,IF($S$504=400,PR!$L$441,IF($S$504=401,PR!$L$442,IF($S$504=402,PR!$L$443,IF($S$504=403,PR!$L$444,IF($S$504=404,PR!$L$445,IF($S$504=405,PR!$L$446,IF($S$504=406,PR!$L$447,IF($S$504=407,PR!$L$448,IF($S$504=408,PR!$L$449,IF($S$504=409,PR!$L$450,IF($S$504=410,PR!$L$451,IF($S$504=411,PR!$L$452,IF($S$504=412,PR!$L$453,IF($S$504=413,PR!$L$454,IF($S$504=414,PR!$L$455,IF($S$504=415,PR!$L$456,IF($S$504=416,PR!$L$459,IF($S$504=417,PR!$L$460,IF($S$504=418,PR!$L$461,IF($S$504=419,PR!$L$462,IF($S$504=420,PR!$L$463,"-"))))))))))))))))))))))))))))))))))))))))))))))))))))))))))))</f>
        <v>0</v>
      </c>
      <c r="K508" s="602">
        <f>IF($S$504=361,PR!$M$395,IF($S$504=362,PR!$M$396,IF($S$504=363,PR!$M$397,IF($S$504=364,PR!$M$398,IF($S$504=365,PR!$M$399,IF($S$504=366,PR!$M$400,IF($S$504=367,PR!$M$401,IF($S$504=368,PR!$M$402,IF($S$504=369,PR!$M$403,IF($S$504=370,PR!$M$404,IF($S$504=371,PR!$M$405,IF($S$504=372,PR!$M$406,IF($S$504=373,PR!$M$407,IF($S$504=374,PR!$M$408,IF($S$504=375,PR!$M$409,IF($S$504=376,PR!$M$410,IF($S$504=377,PR!$M$411,IF($S$504=378,PR!$M$412,IF($S$504=379,PR!$M$413,IF($S$504=380,PR!$M$414,IF($S$504=381,PR!$M$419,IF($S$504=382,PR!$M$420,IF($S$504=383,PR!$M$421,IF($S$504=384,PR!$M$422,IF($S$504=385,PR!$M$423,IF($S$504=386,PR!$M$424,IF($S$504=387,PR!$M$425,IF($S$504=388,PR!$M$426,IF($S$504=389,PR!$M$427,IF($S$504=390,PR!$M$428,IF($S$504=391,PR!$M$429,IF($S$504=392,PR!$M$430,IF($S$504=393,PR!$M$431,IF($S$504=394,PR!$M$432,IF($S$504=395,PR!$M$433,IF($S$504=396,PR!$M$437,IF($S$504=397,PR!$M$438,IF($S$504=398,PR!$M$439,IF($S$504=399,PR!$M$440,IF($S$504=400,PR!$M$441,IF($S$504=401,PR!$M$442,IF($S$504=402,PR!$M$443,IF($S$504=403,PR!$M$444,IF($S$504=404,PR!$M$445,IF($S$504=405,PR!$M$446,IF($S$504=406,PR!$M$447,IF($S$504=407,PR!$M$448,IF($S$504=408,PR!$M$449,IF($S$504=409,PR!$M$450,IF($S$504=410,PR!$M$451,IF($S$504=411,PR!$M$452,IF($S$504=412,PR!$M$453,IF($S$504=413,PR!$M$454,IF($S$504=414,PR!$M$455,IF($S$504=415,PR!$M$456,IF($S$504=416,PR!$M$459,IF($S$504=417,PR!$M$460,IF($S$504=418,PR!$M$461,IF($S$504=419,PR!$M$462,IF($S$504=420,PR!$M$463,"-"))))))))))))))))))))))))))))))))))))))))))))))))))))))))))))</f>
        <v>0</v>
      </c>
      <c r="L508" s="602">
        <f>IF($S$504=361,PR!$N$395,IF($S$504=362,PR!$N$396,IF($S$504=363,PR!$N$397,IF($S$504=364,PR!$N$398,IF($S$504=365,PR!$N$399,IF($S$504=366,PR!$N$400,IF($S$504=367,PR!$N$401,IF($S$504=368,PR!$N$402,IF($S$504=369,PR!$N$403,IF($S$504=370,PR!$N$404,IF($S$504=371,PR!$N$405,IF($S$504=372,PR!$N$406,IF($S$504=373,PR!$N$407,IF($S$504=374,PR!$N$408,IF($S$504=375,PR!$N$409,IF($S$504=376,PR!$N$410,IF($S$504=377,PR!$N$411,IF($S$504=378,PR!$N$412,IF($S$504=379,PR!$N$413,IF($S$504=380,PR!$N$414,IF($S$504=381,PR!$N$419,IF($S$504=382,PR!$N$420,IF($S$504=383,PR!$N$421,IF($S$504=384,PR!$N$422,IF($S$504=385,PR!$N$423,IF($S$504=386,PR!$N$424,IF($S$504=387,PR!$N$425,IF($S$504=388,PR!$N$426,IF($S$504=389,PR!$N$427,IF($S$504=390,PR!$N$428,IF($S$504=391,PR!$N$429,IF($S$504=392,PR!$N$430,IF($S$504=393,PR!$N$431,IF($S$504=394,PR!$N$432,IF($S$504=395,PR!$N$433,IF($S$504=396,PR!$N$437,IF($S$504=397,PR!$N$438,IF($S$504=398,PR!$N$439,IF($S$504=399,PR!$N$440,IF($S$504=400,PR!$N$441,IF($S$504=401,PR!$N$442,IF($S$504=402,PR!$N$443,IF($S$504=403,PR!$N$444,IF($S$504=404,PR!$N$445,IF($S$504=405,PR!$N$446,IF($S$504=406,PR!$N$447,IF($S$504=407,PR!$N$448,IF($S$504=408,PR!$N$449,IF($S$504=409,PR!$N$450,IF($S$504=410,PR!$N$451,IF($S$504=411,PR!$N$452,IF($S$504=412,PR!$N$453,IF($S$504=413,PR!$N$454,IF($S$504=414,PR!$N$455,IF($S$504=415,PR!$N$456,IF($S$504=416,PR!$N$459,IF($S$504=417,PR!$N$460,IF($S$504=418,PR!$N$461,IF($S$504=419,PR!$N$462,IF($S$504=420,PR!$N$463,"-"))))))))))))))))))))))))))))))))))))))))))))))))))))))))))))</f>
        <v>0</v>
      </c>
      <c r="M508" s="602">
        <f>IF($S$504=361,PR!$O$395,IF($S$504=362,PR!$O$396,IF($S$504=363,PR!$O$397,IF($S$504=364,PR!$O$398,IF($S$504=365,PR!$O$399,IF($S$504=366,PR!$O$400,IF($S$504=367,PR!$O$401,IF($S$504=368,PR!$O$402,IF($S$504=369,PR!$O$403,IF($S$504=370,PR!$O$404,IF($S$504=371,PR!$O$405,IF($S$504=372,PR!$O$406,IF($S$504=373,PR!$O$407,IF($S$504=374,PR!$O$408,IF($S$504=375,PR!$O$409,IF($S$504=376,PR!$O$410,IF($S$504=377,PR!$O$411,IF($S$504=378,PR!$O$412,IF($S$504=379,PR!$O$413,IF($S$504=380,PR!$O$414,IF($S$504=381,PR!$O$419,IF($S$504=382,PR!$O$420,IF($S$504=383,PR!$O$421,IF($S$504=384,PR!$O$422,IF($S$504=385,PR!$O$423,IF($S$504=386,PR!$O$424,IF($S$504=387,PR!$O$425,IF($S$504=388,PR!$O$426,IF($S$504=389,PR!$O$427,IF($S$504=390,PR!$O$428,IF($S$504=391,PR!$O$429,IF($S$504=392,PR!$O$430,IF($S$504=393,PR!$O$431,IF($S$504=394,PR!$O$432,IF($S$504=395,PR!$O$433,IF($S$504=396,PR!$O$437,IF($S$504=397,PR!$O$438,IF($S$504=398,PR!$O$439,IF($S$504=399,PR!$O$440,IF($S$504=400,PR!$O$441,IF($S$504=401,PR!$O$442,IF($S$504=402,PR!$O$443,IF($S$504=403,PR!$O$444,IF($S$504=404,PR!$O$445,IF($S$504=405,PR!$O$446,IF($S$504=406,PR!$O$447,IF($S$504=407,PR!$O$448,IF($S$504=408,PR!$O$449,IF($S$504=409,PR!$O$450,IF($S$504=410,PR!$O$451,IF($S$504=411,PR!$O$452,IF($S$504=412,PR!$O$453,IF($S$504=413,PR!$O$454,IF($S$504=414,PR!$O$455,IF($S$504=415,PR!$O$456,IF($S$504=416,PR!$O$459,IF($S$504=417,PR!$O$460,IF($S$504=418,PR!$O$461,IF($S$504=419,PR!$O$462,IF($S$504=420,PR!$O$463,"-"))))))))))))))))))))))))))))))))))))))))))))))))))))))))))))</f>
        <v>0</v>
      </c>
      <c r="N508" s="602">
        <f>IF($S$504=361,PR!$P$395,IF($S$504=362,PR!$P$396,IF($S$504=363,PR!$P$397,IF($S$504=364,PR!$P$398,IF($S$504=365,PR!$P$399,IF($S$504=366,PR!$P$400,IF($S$504=367,PR!$P$401,IF($S$504=368,PR!$P$402,IF($S$504=369,PR!$P$403,IF($S$504=370,PR!$P$404,IF($S$504=371,PR!$P$405,IF($S$504=372,PR!$P$406,IF($S$504=373,PR!$P$407,IF($S$504=374,PR!$P$408,IF($S$504=375,PR!$P$409,IF($S$504=376,PR!$P$410,IF($S$504=377,PR!$P$411,IF($S$504=378,PR!$P$412,IF($S$504=379,PR!$P$413,IF($S$504=380,PR!$P$414,IF($S$504=381,PR!$P$419,IF($S$504=382,PR!$P$420,IF($S$504=383,PR!$P$421,IF($S$504=384,PR!$P$422,IF($S$504=385,PR!$P$423,IF($S$504=386,PR!$P$424,IF($S$504=387,PR!$P$425,IF($S$504=388,PR!$P$426,IF($S$504=389,PR!$P$427,IF($S$504=390,PR!$P$428,IF($S$504=391,PR!$P$429,IF($S$504=392,PR!$P$430,IF($S$504=393,PR!$P$431,IF($S$504=394,PR!$P$432,IF($S$504=395,PR!$P$433,IF($S$504=396,PR!$P$437,IF($S$504=397,PR!$P$438,IF($S$504=398,PR!$P$439,IF($S$504=399,PR!$P$440,IF($S$504=400,PR!$P$441,IF($S$504=401,PR!$P$442,IF($S$504=402,PR!$P$443,IF($S$504=403,PR!$P$444,IF($S$504=404,PR!$P$445,IF($S$504=405,PR!$P$446,IF($S$504=406,PR!$P$447,IF($S$504=407,PR!$P$448,IF($S$504=408,PR!$P$449,IF($S$504=409,PR!$P$450,IF($S$504=410,PR!$P$451,IF($S$504=411,PR!$P$452,IF($S$504=412,PR!$P$453,IF($S$504=413,PR!$P$454,IF($S$504=414,PR!$P$455,IF($S$504=415,PR!$P$456,IF($S$504=416,PR!$P$459,IF($S$504=417,PR!$P$460,IF($S$504=418,PR!$P$461,IF($S$504=419,PR!$P$462,IF($S$504=420,PR!$P$463,"-"))))))))))))))))))))))))))))))))))))))))))))))))))))))))))))</f>
        <v>0</v>
      </c>
      <c r="O508" s="602">
        <f>IF($S$504=361,PR!$Q$395,IF($S$504=362,PR!$Q$396,IF($S$504=363,PR!$Q$397,IF($S$504=364,PR!$Q$398,IF($S$504=365,PR!$Q$399,IF($S$504=366,PR!$Q$400,IF($S$504=367,PR!$Q$401,IF($S$504=368,PR!$Q$402,IF($S$504=369,PR!$Q$403,IF($S$504=370,PR!$Q$404,IF($S$504=371,PR!$Q$405,IF($S$504=372,PR!$Q$406,IF($S$504=373,PR!$Q$407,IF($S$504=374,PR!$Q$408,IF($S$504=375,PR!$Q$409,IF($S$504=376,PR!$Q$410,IF($S$504=377,PR!$Q$411,IF($S$504=378,PR!$Q$412,IF($S$504=379,PR!$Q$413,IF($S$504=380,PR!$Q$414,IF($S$504=381,PR!$Q$419,IF($S$504=382,PR!$Q$420,IF($S$504=383,PR!$Q$421,IF($S$504=384,PR!$Q$422,IF($S$504=385,PR!$Q$423,IF($S$504=386,PR!$Q$424,IF($S$504=387,PR!$Q$425,IF($S$504=388,PR!$Q$426,IF($S$504=389,PR!$Q$427,IF($S$504=390,PR!$Q$428,IF($S$504=391,PR!$Q$429,IF($S$504=392,PR!$Q$430,IF($S$504=393,PR!$Q$431,IF($S$504=394,PR!$Q$432,IF($S$504=395,PR!$Q$433,IF($S$504=396,PR!$Q$437,IF($S$504=397,PR!$Q$438,IF($S$504=398,PR!$Q$439,IF($S$504=399,PR!$Q$440,IF($S$504=400,PR!$Q$441,IF($S$504=401,PR!$Q$442,IF($S$504=402,PR!$Q$443,IF($S$504=403,PR!$Q$444,IF($S$504=404,PR!$Q$445,IF($S$504=405,PR!$Q$446,IF($S$504=406,PR!$Q$447,IF($S$504=407,PR!$Q$448,IF($S$504=408,PR!$Q$449,IF($S$504=409,PR!$Q$450,IF($S$504=410,PR!$Q$451,IF($S$504=411,PR!$Q$452,IF($S$504=412,PR!$Q$453,IF($S$504=413,PR!$Q$454,IF($S$504=414,PR!$Q$455,IF($S$504=415,PR!$Q$456,IF($S$504=416,PR!$Q$459,IF($S$504=417,PR!$Q$460,IF($S$504=418,PR!$Q$461,IF($S$504=419,PR!$Q$462,IF($S$504=420,PR!$Q$463,"-"))))))))))))))))))))))))))))))))))))))))))))))))))))))))))))</f>
        <v>0</v>
      </c>
      <c r="P508" s="602">
        <f>IF($S$504=361,PR!$R$395,IF($S$504=362,PR!$R$396,IF($S$504=363,PR!$R$397,IF($S$504=364,PR!$R$398,IF($S$504=365,PR!$R$399,IF($S$504=366,PR!$R$400,IF($S$504=367,PR!$R$401,IF($S$504=368,PR!$R$402,IF($S$504=369,PR!$R$403,IF($S$504=370,PR!$R$404,IF($S$504=371,PR!$R$405,IF($S$504=372,PR!$R$406,IF($S$504=373,PR!$R$407,IF($S$504=374,PR!$R$408,IF($S$504=375,PR!$R$409,IF($S$504=376,PR!$R$410,IF($S$504=377,PR!$R$411,IF($S$504=378,PR!$R$412,IF($S$504=379,PR!$R$413,IF($S$504=380,PR!$R$414,IF($S$504=381,PR!$R$419,IF($S$504=382,PR!$R$420,IF($S$504=383,PR!$R$421,IF($S$504=384,PR!$R$422,IF($S$504=385,PR!$R$423,IF($S$504=386,PR!$R$424,IF($S$504=387,PR!$R$425,IF($S$504=388,PR!$R$426,IF($S$504=389,PR!$R$427,IF($S$504=390,PR!$R$428,IF($S$504=391,PR!$R$429,IF($S$504=392,PR!$R$430,IF($S$504=393,PR!$R$431,IF($S$504=394,PR!$R$432,IF($S$504=395,PR!$R$433,IF($S$504=396,PR!$R$437,IF($S$504=397,PR!$R$438,IF($S$504=398,PR!$R$439,IF($S$504=399,PR!$R$440,IF($S$504=400,PR!$R$441,IF($S$504=401,PR!$R$442,IF($S$504=402,PR!$R$443,IF($S$504=403,PR!$R$444,IF($S$504=404,PR!$R$445,IF($S$504=405,PR!$R$446,IF($S$504=406,PR!$R$447,IF($S$504=407,PR!$R$448,IF($S$504=408,PR!$R$449,IF($S$504=409,PR!$R$450,IF($S$504=410,PR!$R$451,IF($S$504=411,PR!$R$452,IF($S$504=412,PR!$R$453,IF($S$504=413,PR!$R$454,IF($S$504=414,PR!$R$455,IF($S$504=415,PR!$R$456,IF($S$504=416,PR!$R$459,IF($S$504=417,PR!$R$460,IF($S$504=418,PR!$R$461,IF($S$504=419,PR!$R$462,IF($S$504=420,PR!$R$463,"-"))))))))))))))))))))))))))))))))))))))))))))))))))))))))))))</f>
        <v>0</v>
      </c>
      <c r="Q508" s="602">
        <f>IF($S$504=361,PR!$S$395,IF($S$504=362,PR!$S$396,IF($S$504=363,PR!$S$397,IF($S$504=364,PR!$S$398,IF($S$504=365,PR!$S$399,IF($S$504=366,PR!$S$400,IF($S$504=367,PR!$S$401,IF($S$504=368,PR!$S$402,IF($S$504=369,PR!$S$403,IF($S$504=370,PR!$S$404,IF($S$504=371,PR!$S$405,IF($S$504=372,PR!$S$406,IF($S$504=373,PR!$S$407,IF($S$504=374,PR!$S$408,IF($S$504=375,PR!$S$409,IF($S$504=376,PR!$S$410,IF($S$504=377,PR!$S$411,IF($S$504=378,PR!$S$412,IF($S$504=379,PR!$S$413,IF($S$504=380,PR!$S$414,IF($S$504=381,PR!$S$419,IF($S$504=382,PR!$S$420,IF($S$504=383,PR!$S$421,IF($S$504=384,PR!$S$422,IF($S$504=385,PR!$S$423,IF($S$504=386,PR!$S$424,IF($S$504=387,PR!$S$425,IF($S$504=388,PR!$S$426,IF($S$504=389,PR!$S$427,IF($S$504=390,PR!$S$428,IF($S$504=391,PR!$S$429,IF($S$504=392,PR!$S$430,IF($S$504=393,PR!$S$431,IF($S$504=394,PR!$S$432,IF($S$504=395,PR!$S$433,IF($S$504=396,PR!$S$437,IF($S$504=397,PR!$S$438,IF($S$504=398,PR!$S$439,IF($S$504=399,PR!$S$440,IF($S$504=400,PR!$S$441,IF($S$504=401,PR!$S$442,IF($S$504=402,PR!$S$443,IF($S$504=403,PR!$S$444,IF($S$504=404,PR!$S$445,IF($S$504=405,PR!$S$446,IF($S$504=406,PR!$S$447,IF($S$504=407,PR!$S$448,IF($S$504=408,PR!$S$449,IF($S$504=409,PR!$S$450,IF($S$504=410,PR!$S$451,IF($S$504=411,PR!$S$452,IF($S$504=412,PR!$S$453,IF($S$504=413,PR!$S$454,IF($S$504=414,PR!$S$455,IF($S$504=415,PR!$S$456,IF($S$504=416,PR!$S$459,IF($S$504=417,PR!$S$460,IF($S$504=418,PR!$S$461,IF($S$504=419,PR!$S$462,IF($S$504=420,PR!$S$463,"-"))))))))))))))))))))))))))))))))))))))))))))))))))))))))))))</f>
        <v>9800</v>
      </c>
      <c r="R508" s="602">
        <f>IF($S$504=361,PR!$T$395,IF($S$504=362,PR!$T$396,IF($S$504=363,PR!$T$397,IF($S$504=364,PR!$T$398,IF($S$504=365,PR!$T$399,IF($S$504=366,PR!$T$400,IF($S$504=367,PR!$T$401,IF($S$504=368,PR!$T$402,IF($S$504=369,PR!$T$403,IF($S$504=370,PR!$T$404,IF($S$504=371,PR!$T$405,IF($S$504=372,PR!$T$406,IF($S$504=373,PR!$T$407,IF($S$504=374,PR!$T$408,IF($S$504=375,PR!$T$409,IF($S$504=376,PR!$T$410,IF($S$504=377,PR!$T$411,IF($S$504=378,PR!$T$412,IF($S$504=379,PR!$T$413,IF($S$504=380,PR!$T$414,IF($S$504=381,PR!$T$419,IF($S$504=382,PR!$T$420,IF($S$504=383,PR!$T$421,IF($S$504=384,PR!$T$422,IF($S$504=385,PR!$T$423,IF($S$504=386,PR!$T$424,IF($S$504=387,PR!$T$425,IF($S$504=388,PR!$T$426,IF($S$504=389,PR!$T$427,IF($S$504=390,PR!$T$428,IF($S$504=391,PR!$T$429,IF($S$504=392,PR!$T$430,IF($S$504=393,PR!$T$431,IF($S$504=394,PR!$T$432,IF($S$504=395,PR!$T$433,IF($S$504=396,PR!$T$437,IF($S$504=397,PR!$T$438,IF($S$504=398,PR!$T$439,IF($S$504=399,PR!$T$440,IF($S$504=400,PR!$T$441,IF($S$504=401,PR!$T$442,IF($S$504=402,PR!$T$443,IF($S$504=403,PR!$T$444,IF($S$504=404,PR!$T$445,IF($S$504=405,PR!$T$446,IF($S$504=406,PR!$T$447,IF($S$504=407,PR!$T$448,IF($S$504=408,PR!$T$449,IF($S$504=409,PR!$T$450,IF($S$504=410,PR!$T$451,IF($S$504=411,PR!$T$452,IF($S$504=412,PR!$T$453,IF($S$504=413,PR!$T$454,IF($S$504=414,PR!$T$455,IF($S$504=415,PR!$T$456,IF($S$504=416,PR!$T$459,IF($S$504=417,PR!$T$460,IF($S$504=418,PR!$T$461,IF($S$504=419,PR!$T$462,IF($S$504=420,PR!$T$463,"-"))))))))))))))))))))))))))))))))))))))))))))))))))))))))))))</f>
        <v>700</v>
      </c>
      <c r="S508" s="602">
        <f>IF($S$504=361,PR!$U$395,IF($S$504=362,PR!$U$396,IF($S$504=363,PR!$U$397,IF($S$504=364,PR!$U$398,IF($S$504=365,PR!$U$399,IF($S$504=366,PR!$U$400,IF($S$504=367,PR!$U$401,IF($S$504=368,PR!$U$402,IF($S$504=369,PR!$U$403,IF($S$504=370,PR!$U$404,IF($S$504=371,PR!$U$405,IF($S$504=372,PR!$U$406,IF($S$504=373,PR!$U$407,IF($S$504=374,PR!$U$408,IF($S$504=375,PR!$U$409,IF($S$504=376,PR!$U$410,IF($S$504=377,PR!$U$411,IF($S$504=378,PR!$U$412,IF($S$504=379,PR!$U$413,IF($S$504=380,PR!$U$414,IF($S$504=381,PR!$U$419,IF($S$504=382,PR!$U$420,IF($S$504=383,PR!$U$421,IF($S$504=384,PR!$U$422,IF($S$504=385,PR!$U$423,IF($S$504=386,PR!$U$424,IF($S$504=387,PR!$U$425,IF($S$504=388,PR!$U$426,IF($S$504=389,PR!$U$427,IF($S$504=390,PR!$U$428,IF($S$504=391,PR!$U$429,IF($S$504=392,PR!$U$430,IF($S$504=393,PR!$U$431,IF($S$504=394,PR!$U$432,IF($S$504=395,PR!$U$433,IF($S$504=396,PR!$U$437,IF($S$504=397,PR!$U$438,IF($S$504=398,PR!$U$439,IF($S$504=399,PR!$U$440,IF($S$504=400,PR!$U$441,IF($S$504=401,PR!$U$442,IF($S$504=402,PR!$U$443,IF($S$504=403,PR!$U$444,IF($S$504=404,PR!$U$445,IF($S$504=405,PR!$U$446,IF($S$504=406,PR!$U$447,IF($S$504=407,PR!$U$448,IF($S$504=408,PR!$U$449,IF($S$504=409,PR!$U$450,IF($S$504=410,PR!$U$451,IF($S$504=411,PR!$U$452,IF($S$504=412,PR!$U$453,IF($S$504=413,PR!$U$454,IF($S$504=414,PR!$U$455,IF($S$504=415,PR!$U$456,IF($S$504=416,PR!$U$459,IF($S$504=417,PR!$U$460,IF($S$504=418,PR!$U$461,IF($S$504=419,PR!$U$462,IF($S$504=420,PR!$U$463,"-"))))))))))))))))))))))))))))))))))))))))))))))))))))))))))))</f>
        <v>0</v>
      </c>
      <c r="T508" s="580"/>
      <c r="U508" s="580"/>
      <c r="V508" s="32"/>
      <c r="W508" s="32"/>
      <c r="X508" s="32"/>
      <c r="Y508" s="32"/>
    </row>
    <row r="509" spans="1:26" x14ac:dyDescent="0.25">
      <c r="A509" s="91"/>
      <c r="B509" s="580"/>
      <c r="C509" s="603"/>
      <c r="D509" s="604"/>
      <c r="E509" s="604"/>
      <c r="F509" s="604"/>
      <c r="G509" s="604"/>
      <c r="H509" s="604"/>
      <c r="I509" s="604"/>
      <c r="J509" s="604"/>
      <c r="K509" s="604"/>
      <c r="L509" s="604"/>
      <c r="M509" s="604"/>
      <c r="N509" s="604"/>
      <c r="O509" s="604"/>
      <c r="P509" s="604"/>
      <c r="Q509" s="604"/>
      <c r="R509" s="605"/>
      <c r="S509" s="605"/>
      <c r="T509" s="580"/>
      <c r="U509" s="580"/>
      <c r="V509" s="32"/>
      <c r="W509" s="32"/>
      <c r="X509" s="32"/>
      <c r="Y509" s="32"/>
      <c r="Z509" s="32"/>
    </row>
    <row r="510" spans="1:26" ht="15.75" thickBot="1" x14ac:dyDescent="0.3">
      <c r="A510" s="91"/>
      <c r="B510" s="580"/>
      <c r="C510" s="600" t="str">
        <f>N!$C$21</f>
        <v>GENEITH</v>
      </c>
      <c r="D510" s="600" t="str">
        <f>N!$C$22</f>
        <v>GINOS</v>
      </c>
      <c r="E510" s="600" t="str">
        <f>N!$C$23</f>
        <v>GSK</v>
      </c>
      <c r="F510" s="600" t="str">
        <f>N!$C$24</f>
        <v>GLOBORG</v>
      </c>
      <c r="G510" s="600" t="str">
        <f>N!$C$25</f>
        <v>GOODNEWS</v>
      </c>
      <c r="H510" s="600" t="str">
        <f>N!$C$26</f>
        <v>GREENLIFE</v>
      </c>
      <c r="I510" s="600" t="str">
        <f>N!$C$27</f>
        <v>HLINE</v>
      </c>
      <c r="J510" s="600" t="str">
        <f>N!$C$28</f>
        <v>ROTECH</v>
      </c>
      <c r="K510" s="600" t="str">
        <f>N!$C$29</f>
        <v>ISN</v>
      </c>
      <c r="L510" s="600" t="str">
        <f>N!$C$30</f>
        <v>JAWA</v>
      </c>
      <c r="M510" s="600" t="str">
        <f>N!$C$31</f>
        <v>LAYO</v>
      </c>
      <c r="N510" s="600" t="str">
        <f>N!$C$32</f>
        <v>LEADWAY</v>
      </c>
      <c r="O510" s="600" t="str">
        <f>N!$C$33</f>
        <v>LHV</v>
      </c>
      <c r="P510" s="600" t="str">
        <f>N!$C$34</f>
        <v>MANOLA</v>
      </c>
      <c r="Q510" s="600" t="str">
        <f>N!$C$35</f>
        <v>MARCSON</v>
      </c>
      <c r="R510" s="600" t="str">
        <f>N!$C$36</f>
        <v>M&amp;B</v>
      </c>
      <c r="S510" s="600" t="str">
        <f>N!$C$37</f>
        <v>MTRUST</v>
      </c>
      <c r="T510" s="580"/>
      <c r="U510" s="580"/>
      <c r="V510" s="32"/>
      <c r="W510" s="32"/>
      <c r="X510" s="32"/>
      <c r="Y510" s="32"/>
      <c r="Z510" s="32"/>
    </row>
    <row r="511" spans="1:26" ht="15.75" thickBot="1" x14ac:dyDescent="0.3">
      <c r="A511" s="91"/>
      <c r="B511" s="580"/>
      <c r="C511" s="602">
        <f>IF($S$504=361,PR!$V$395,IF($S$504=362,PR!$V$396,IF($S$504=363,PR!$V$397,IF($S$504=364,PR!$V$398,IF($S$504=365,PR!$V$399,IF($S$504=366,PR!$V$400,IF($S$504=367,PR!$V$401,IF($S$504=368,PR!$V$402,IF($S$504=369,PR!$V$403,IF($S$504=370,PR!$V$404,IF($S$504=371,PR!$V$405,IF($S$504=372,PR!$V$406,IF($S$504=373,PR!$V$407,IF($S$504=374,PR!$V$408,IF($S$504=375,PR!$V$409,IF($S$504=376,PR!$V$410,IF($S$504=377,PR!$V$411,IF($S$504=378,PR!$V$412,IF($S$504=379,PR!$V$413,IF($S$504=380,PR!$V$414,IF($S$504=381,PR!$V$419,IF($S$504=382,PR!$V$420,IF($S$504=383,PR!$V$421,IF($S$504=384,PR!$V$422,IF($S$504=385,PR!$V$423,IF($S$504=386,PR!$V$424,IF($S$504=387,PR!$V$425,IF($S$504=388,PR!$V$426,IF($S$504=389,PR!$V$427,IF($S$504=390,PR!$V$428,IF($S$504=391,PR!$V$429,IF($S$504=392,PR!$V$430,IF($S$504=393,PR!$V$431,IF($S$504=394,PR!$V$432,IF($S$504=395,PR!$V$433,IF($S$504=396,PR!$V$437,IF($S$504=397,PR!$V$438,IF($S$504=398,PR!$V$439,IF($S$504=399,PR!$V$440,IF($S$504=400,PR!$V$441,IF($S$504=401,PR!$V$442,IF($S$504=402,PR!$V$443,IF($S$504=403,PR!$V$444,IF($S$504=404,PR!$V$445,IF($S$504=405,PR!$V$446,IF($S$504=406,PR!$V$447,IF($S$504=407,PR!$V$448,IF($S$504=408,PR!$V$449,IF($S$504=409,PR!$V$450,IF($S$504=410,PR!$V$451,IF($S$504=411,PR!$V$452,IF($S$504=412,PR!$V$453,IF($S$504=413,PR!$V$454,IF($S$504=414,PR!$V$455,IF($S$504=415,PR!$V$456,IF($S$504=416,PR!$V$459,IF($S$504=417,PR!$V$460,IF($S$504=418,PR!$V$461,IF($S$504=419,PR!$V$462,IF($S$504=420,PR!$V$463,"-"))))))))))))))))))))))))))))))))))))))))))))))))))))))))))))</f>
        <v>0</v>
      </c>
      <c r="D511" s="602">
        <f>IF($S$504=361,PR!$W$395,IF($S$504=362,PR!$W$396,IF($S$504=363,PR!$W$397,IF($S$504=364,PR!$W$398,IF($S$504=365,PR!$W$399,IF($S$504=366,PR!$W$400,IF($S$504=367,PR!$W$401,IF($S$504=368,PR!$W$402,IF($S$504=369,PR!$W$403,IF($S$504=370,PR!$W$404,IF($S$504=371,PR!$W$405,IF($S$504=372,PR!$W$406,IF($S$504=373,PR!$W$407,IF($S$504=374,PR!$W$408,IF($S$504=375,PR!$W$409,IF($S$504=376,PR!$W$410,IF($S$504=377,PR!$W$411,IF($S$504=378,PR!$W$412,IF($S$504=379,PR!$W$413,IF($S$504=380,PR!$W$414,IF($S$504=381,PR!$W$419,IF($S$504=382,PR!$W$420,IF($S$504=383,PR!$W$421,IF($S$504=384,PR!$W$422,IF($S$504=385,PR!$W$423,IF($S$504=386,PR!$W$424,IF($S$504=387,PR!$W$425,IF($S$504=388,PR!$W$426,IF($S$504=389,PR!$W$427,IF($S$504=390,PR!$W$428,IF($S$504=391,PR!$W$429,IF($S$504=392,PR!$W$430,IF($S$504=393,PR!$W$431,IF($S$504=394,PR!$W$432,IF($S$504=395,PR!$W$433,IF($S$504=396,PR!$W$437,IF($S$504=397,PR!$W$438,IF($S$504=398,PR!$W$439,IF($S$504=399,PR!$W$440,IF($S$504=400,PR!$W$441,IF($S$504=401,PR!$W$442,IF($S$504=402,PR!$W$443,IF($S$504=403,PR!$W$444,IF($S$504=404,PR!$W$445,IF($S$504=405,PR!$W$446,IF($S$504=406,PR!$W$447,IF($S$504=407,PR!$W$448,IF($S$504=408,PR!$W$449,IF($S$504=409,PR!$W$450,IF($S$504=410,PR!$W$451,IF($S$504=411,PR!$W$452,IF($S$504=412,PR!$W$453,IF($S$504=413,PR!$W$454,IF($S$504=414,PR!$W$455,IF($S$504=415,PR!$W$456,IF($S$504=416,PR!$W$459,IF($S$504=417,PR!$W$460,IF($S$504=418,PR!$W$461,IF($S$504=419,PR!$W$462,IF($S$504=420,PR!$W$463,"-"))))))))))))))))))))))))))))))))))))))))))))))))))))))))))))</f>
        <v>0</v>
      </c>
      <c r="E511" s="602">
        <f>IF($S$504=361,PR!$X$395,IF($S$504=362,PR!$X$396,IF($S$504=363,PR!$X$397,IF($S$504=364,PR!$X$398,IF($S$504=365,PR!$X$399,IF($S$504=366,PR!$X$400,IF($S$504=367,PR!$X$401,IF($S$504=368,PR!$X$402,IF($S$504=369,PR!$X$403,IF($S$504=370,PR!$X$404,IF($S$504=371,PR!$X$405,IF($S$504=372,PR!$X$406,IF($S$504=373,PR!$X$407,IF($S$504=374,PR!$X$408,IF($S$504=375,PR!$X$409,IF($S$504=376,PR!$X$410,IF($S$504=377,PR!$X$411,IF($S$504=378,PR!$X$412,IF($S$504=379,PR!$X$413,IF($S$504=380,PR!$X$414,IF($S$504=381,PR!$X$419,IF($S$504=382,PR!$X$420,IF($S$504=383,PR!$X$421,IF($S$504=384,PR!$X$422,IF($S$504=385,PR!$X$423,IF($S$504=386,PR!$X$424,IF($S$504=387,PR!$X$425,IF($S$504=388,PR!$X$426,IF($S$504=389,PR!$X$427,IF($S$504=390,PR!$X$428,IF($S$504=391,PR!$X$429,IF($S$504=392,PR!$X$430,IF($S$504=393,PR!$X$431,IF($S$504=394,PR!$X$432,IF($S$504=395,PR!$X$433,IF($S$504=396,PR!$X$437,IF($S$504=397,PR!$X$438,IF($S$504=398,PR!$X$439,IF($S$504=399,PR!$X$440,IF($S$504=400,PR!$X$441,IF($S$504=401,PR!$X$442,IF($S$504=402,PR!$X$443,IF($S$504=403,PR!$X$444,IF($S$504=404,PR!$X$445,IF($S$504=405,PR!$X$446,IF($S$504=406,PR!$X$447,IF($S$504=407,PR!$X$448,IF($S$504=408,PR!$X$449,IF($S$504=409,PR!$X$450,IF($S$504=410,PR!$X$451,IF($S$504=411,PR!$X$452,IF($S$504=412,PR!$X$453,IF($S$504=413,PR!$X$454,IF($S$504=414,PR!$X$455,IF($S$504=415,PR!$X$456,IF($S$504=416,PR!$X$459,IF($S$504=417,PR!$X$460,IF($S$504=418,PR!$X$461,IF($S$504=419,PR!$X$462,IF($S$504=420,PR!$X$463,"-"))))))))))))))))))))))))))))))))))))))))))))))))))))))))))))</f>
        <v>0</v>
      </c>
      <c r="F511" s="602">
        <f>IF($S$504=361,PR!$Y$395,IF($S$504=362,PR!$Y$396,IF($S$504=363,PR!$Y$397,IF($S$504=364,PR!$Y$398,IF($S$504=365,PR!$Y$399,IF($S$504=366,PR!$Y$400,IF($S$504=367,PR!$Y$401,IF($S$504=368,PR!$Y$402,IF($S$504=369,PR!$Y$403,IF($S$504=370,PR!$Y$404,IF($S$504=371,PR!$Y$405,IF($S$504=372,PR!$Y$406,IF($S$504=373,PR!$Y$407,IF($S$504=374,PR!$Y$408,IF($S$504=375,PR!$Y$409,IF($S$504=376,PR!$Y$410,IF($S$504=377,PR!$Y$411,IF($S$504=378,PR!$Y$412,IF($S$504=379,PR!$Y$413,IF($S$504=380,PR!$Y$414,IF($S$504=381,PR!$Y$419,IF($S$504=382,PR!$Y$420,IF($S$504=383,PR!$Y$421,IF($S$504=384,PR!$Y$422,IF($S$504=385,PR!$Y$423,IF($S$504=386,PR!$Y$424,IF($S$504=387,PR!$Y$425,IF($S$504=388,PR!$Y$426,IF($S$504=389,PR!$Y$427,IF($S$504=390,PR!$Y$428,IF($S$504=391,PR!$Y$429,IF($S$504=392,PR!$Y$430,IF($S$504=393,PR!$Y$431,IF($S$504=394,PR!$Y$432,IF($S$504=395,PR!$Y$433,IF($S$504=396,PR!$Y$437,IF($S$504=397,PR!$Y$438,IF($S$504=398,PR!$Y$439,IF($S$504=399,PR!$Y$440,IF($S$504=400,PR!$Y$441,IF($S$504=401,PR!$Y$442,IF($S$504=402,PR!$Y$443,IF($S$504=403,PR!$Y$444,IF($S$504=404,PR!$Y$445,IF($S$504=405,PR!$Y$446,IF($S$504=406,PR!$Y$447,IF($S$504=407,PR!$Y$448,IF($S$504=408,PR!$Y$449,IF($S$504=409,PR!$Y$450,IF($S$504=410,PR!$Y$451,IF($S$504=411,PR!$Y$452,IF($S$504=412,PR!$Y$453,IF($S$504=413,PR!$Y$454,IF($S$504=414,PR!$Y$455,IF($S$504=415,PR!$Y$456,IF($S$504=416,PR!$Y$459,IF($S$504=417,PR!$Y$460,IF($S$504=418,PR!$Y$461,IF($S$504=419,PR!$Y$462,IF($S$504=420,PR!$Y$463,"-"))))))))))))))))))))))))))))))))))))))))))))))))))))))))))))</f>
        <v>0</v>
      </c>
      <c r="G511" s="602">
        <f>IF($S$504=361,PR!$Z$395,IF($S$504=362,PR!$Z$396,IF($S$504=363,PR!$Z$397,IF($S$504=364,PR!$Z$398,IF($S$504=365,PR!$Z$399,IF($S$504=366,PR!$Z$400,IF($S$504=367,PR!$Z$401,IF($S$504=368,PR!$Z$402,IF($S$504=369,PR!$Z$403,IF($S$504=370,PR!$Z$404,IF($S$504=371,PR!$Z$405,IF($S$504=372,PR!$Z$406,IF($S$504=373,PR!$Z$407,IF($S$504=374,PR!$Z$408,IF($S$504=375,PR!$Z$409,IF($S$504=376,PR!$Z$410,IF($S$504=377,PR!$Z$411,IF($S$504=378,PR!$Z$412,IF($S$504=379,PR!$Z$413,IF($S$504=380,PR!$Z$414,IF($S$504=381,PR!$Z$419,IF($S$504=382,PR!$Z$420,IF($S$504=383,PR!$Z$421,IF($S$504=384,PR!$Z$422,IF($S$504=385,PR!$Z$423,IF($S$504=386,PR!$Z$424,IF($S$504=387,PR!$Z$425,IF($S$504=388,PR!$Z$426,IF($S$504=389,PR!$Z$427,IF($S$504=390,PR!$Z$428,IF($S$504=391,PR!$Z$429,IF($S$504=392,PR!$Z$430,IF($S$504=393,PR!$Z$431,IF($S$504=394,PR!$Z$432,IF($S$504=395,PR!$Z$433,IF($S$504=396,PR!$Z$437,IF($S$504=397,PR!$Z$438,IF($S$504=398,PR!$Z$439,IF($S$504=399,PR!$Z$440,IF($S$504=400,PR!$Z$441,IF($S$504=401,PR!$Z$442,IF($S$504=402,PR!$Z$443,IF($S$504=403,PR!$Z$444,IF($S$504=404,PR!$Z$445,IF($S$504=405,PR!$Z$446,IF($S$504=406,PR!$Z$447,IF($S$504=407,PR!$Z$448,IF($S$504=408,PR!$Z$449,IF($S$504=409,PR!$Z$450,IF($S$504=410,PR!$Z$451,IF($S$504=411,PR!$Z$452,IF($S$504=412,PR!$Z$453,IF($S$504=413,PR!$Z$454,IF($S$504=414,PR!$Z$455,IF($S$504=415,PR!$Z$456,IF($S$504=416,PR!$Z$459,IF($S$504=417,PR!$Z$460,IF($S$504=418,PR!$Z$461,IF($S$504=419,PR!$Z$462,IF($S$504=420,PR!$Z$463,"-"))))))))))))))))))))))))))))))))))))))))))))))))))))))))))))</f>
        <v>0</v>
      </c>
      <c r="H511" s="602">
        <f>IF($S$504=361,PR!$AA$395,IF($S$504=362,PR!$AA$396,IF($S$504=363,PR!$AA$397,IF($S$504=364,PR!$AA$398,IF($S$504=365,PR!$AA$399,IF($S$504=366,PR!$AA$400,IF($S$504=367,PR!$AA$401,IF($S$504=368,PR!$AA$402,IF($S$504=369,PR!$AA$403,IF($S$504=370,PR!$AA$404,IF($S$504=371,PR!$AA$405,IF($S$504=372,PR!$AA$406,IF($S$504=373,PR!$AA$407,IF($S$504=374,PR!$AA$408,IF($S$504=375,PR!$AA$409,IF($S$504=376,PR!$AA$410,IF($S$504=377,PR!$AA$411,IF($S$504=378,PR!$AA$412,IF($S$504=379,PR!$AA$413,IF($S$504=380,PR!$AA$414,IF($S$504=381,PR!$AA$419,IF($S$504=382,PR!$AA$420,IF($S$504=383,PR!$AA$421,IF($S$504=384,PR!$AA$422,IF($S$504=385,PR!$AA$423,IF($S$504=386,PR!$AA$424,IF($S$504=387,PR!$AA$425,IF($S$504=388,PR!$AA$426,IF($S$504=389,PR!$AA$427,IF($S$504=390,PR!$AA$428,IF($S$504=391,PR!$AA$429,IF($S$504=392,PR!$AA$430,IF($S$504=393,PR!$AA$431,IF($S$504=394,PR!$AA$432,IF($S$504=395,PR!$AA$433,IF($S$504=396,PR!$AA$437,IF($S$504=397,PR!$AA$438,IF($S$504=398,PR!$AA$439,IF($S$504=399,PR!$AA$440,IF($S$504=400,PR!$AA$441,IF($S$504=401,PR!$AA$442,IF($S$504=402,PR!$AA$443,IF($S$504=403,PR!$AA$444,IF($S$504=404,PR!$AA$445,IF($S$504=405,PR!$AA$446,IF($S$504=406,PR!$AA$447,IF($S$504=407,PR!$AA$448,IF($S$504=408,PR!$AA$449,IF($S$504=409,PR!$AA$450,IF($S$504=410,PR!$AA$451,IF($S$504=411,PR!$AA$452,IF($S$504=412,PR!$AA$453,IF($S$504=413,PR!$AA$454,IF($S$504=414,PR!$AA$455,IF($S$504=415,PR!$AA$456,IF($S$504=416,PR!$AA$459,IF($S$504=417,PR!$AA$460,IF($S$504=418,PR!$AA$461,IF($S$504=419,PR!$AA$462,IF($S$504=420,PR!$AA$463,"-"))))))))))))))))))))))))))))))))))))))))))))))))))))))))))))</f>
        <v>0</v>
      </c>
      <c r="I511" s="602">
        <f>IF($S$504=361,PR!$AB$395,IF($S$504=362,PR!$AB$396,IF($S$504=363,PR!$AB$397,IF($S$504=364,PR!$AB$398,IF($S$504=365,PR!$AB$399,IF($S$504=366,PR!$AB$400,IF($S$504=367,PR!$AB$401,IF($S$504=368,PR!$AB$402,IF($S$504=369,PR!$AB$403,IF($S$504=370,PR!$AB$404,IF($S$504=371,PR!$AB$405,IF($S$504=372,PR!$AB$406,IF($S$504=373,PR!$AB$407,IF($S$504=374,PR!$AB$408,IF($S$504=375,PR!$AB$409,IF($S$504=376,PR!$AB$410,IF($S$504=377,PR!$AB$411,IF($S$504=378,PR!$AB$412,IF($S$504=379,PR!$AB$413,IF($S$504=380,PR!$AB$414,IF($S$504=381,PR!$AB$419,IF($S$504=382,PR!$AB$420,IF($S$504=383,PR!$AB$421,IF($S$504=384,PR!$AB$422,IF($S$504=385,PR!$AB$423,IF($S$504=386,PR!$AB$424,IF($S$504=387,PR!$AB$425,IF($S$504=388,PR!$AB$426,IF($S$504=389,PR!$AB$427,IF($S$504=390,PR!$AB$428,IF($S$504=391,PR!$AB$429,IF($S$504=392,PR!$AB$430,IF($S$504=393,PR!$AB$431,IF($S$504=394,PR!$AB$432,IF($S$504=395,PR!$AB$433,IF($S$504=396,PR!$AB$437,IF($S$504=397,PR!$AB$438,IF($S$504=398,PR!$AB$439,IF($S$504=399,PR!$AB$440,IF($S$504=400,PR!$AB$441,IF($S$504=401,PR!$AB$442,IF($S$504=402,PR!$AB$443,IF($S$504=403,PR!$AB$444,IF($S$504=404,PR!$AB$445,IF($S$504=405,PR!$AB$446,IF($S$504=406,PR!$AB$447,IF($S$504=407,PR!$AB$448,IF($S$504=408,PR!$AB$449,IF($S$504=409,PR!$AB$450,IF($S$504=410,PR!$AB$451,IF($S$504=411,PR!$AB$452,IF($S$504=412,PR!$AB$453,IF($S$504=413,PR!$AB$454,IF($S$504=414,PR!$AB$455,IF($S$504=415,PR!$AB$456,IF($S$504=416,PR!$AB$459,IF($S$504=417,PR!$AB$460,IF($S$504=418,PR!$AB$461,IF($S$504=419,PR!$AB$462,IF($S$504=420,PR!$AB$463,"-"))))))))))))))))))))))))))))))))))))))))))))))))))))))))))))</f>
        <v>0</v>
      </c>
      <c r="J511" s="602">
        <f>IF($S$504=361,PR!$AC$395,IF($S$504=362,PR!$AC$396,IF($S$504=363,PR!$AC$397,IF($S$504=364,PR!$AC$398,IF($S$504=365,PR!$AC$399,IF($S$504=366,PR!$AC$400,IF($S$504=367,PR!$AC$401,IF($S$504=368,PR!$AC$402,IF($S$504=369,PR!$AC$403,IF($S$504=370,PR!$AC$404,IF($S$504=371,PR!$AC$405,IF($S$504=372,PR!$AC$406,IF($S$504=373,PR!$AC$407,IF($S$504=374,PR!$AC$408,IF($S$504=375,PR!$AC$409,IF($S$504=376,PR!$AC$410,IF($S$504=377,PR!$AC$411,IF($S$504=378,PR!$AC$412,IF($S$504=379,PR!$AC$413,IF($S$504=380,PR!$AC$414,IF($S$504=381,PR!$AC$419,IF($S$504=382,PR!$AC$420,IF($S$504=383,PR!$AC$421,IF($S$504=384,PR!$AC$422,IF($S$504=385,PR!$AC$423,IF($S$504=386,PR!$AC$424,IF($S$504=387,PR!$AC$425,IF($S$504=388,PR!$AC$426,IF($S$504=389,PR!$AC$427,IF($S$504=390,PR!$AC$428,IF($S$504=391,PR!$AC$429,IF($S$504=392,PR!$AC$430,IF($S$504=393,PR!$AC$431,IF($S$504=394,PR!$AC$432,IF($S$504=395,PR!$AC$433,IF($S$504=396,PR!$AC$437,IF($S$504=397,PR!$AC$438,IF($S$504=398,PR!$AC$439,IF($S$504=399,PR!$AC$440,IF($S$504=400,PR!$AC$441,IF($S$504=401,PR!$AC$442,IF($S$504=402,PR!$AC$443,IF($S$504=403,PR!$AC$444,IF($S$504=404,PR!$AC$445,IF($S$504=405,PR!$AC$446,IF($S$504=406,PR!$AC$447,IF($S$504=407,PR!$AC$448,IF($S$504=408,PR!$AC$449,IF($S$504=409,PR!$AC$450,IF($S$504=410,PR!$AC$451,IF($S$504=411,PR!$AC$452,IF($S$504=412,PR!$AC$453,IF($S$504=413,PR!$AC$454,IF($S$504=414,PR!$AC$455,IF($S$504=415,PR!$AC$456,IF($S$504=416,PR!$AC$459,IF($S$504=417,PR!$AC$460,IF($S$504=418,PR!$AC$461,IF($S$504=419,PR!$AC$462,IF($S$504=420,PR!$AC$463,"-"))))))))))))))))))))))))))))))))))))))))))))))))))))))))))))</f>
        <v>0</v>
      </c>
      <c r="K511" s="602">
        <f>IF($S$504=361,PR!$AD$395,IF($S$504=362,PR!$AD$396,IF($S$504=363,PR!$AD$397,IF($S$504=364,PR!$AD$398,IF($S$504=365,PR!$AD$399,IF($S$504=366,PR!$AD$400,IF($S$504=367,PR!$AD$401,IF($S$504=368,PR!$AD$402,IF($S$504=369,PR!$AD$403,IF($S$504=370,PR!$AD$404,IF($S$504=371,PR!$AD$405,IF($S$504=372,PR!$AD$406,IF($S$504=373,PR!$AD$407,IF($S$504=374,PR!$AD$408,IF($S$504=375,PR!$AD$409,IF($S$504=376,PR!$AD$410,IF($S$504=377,PR!$AD$411,IF($S$504=378,PR!$AD$412,IF($S$504=379,PR!$AD$413,IF($S$504=380,PR!$AD$414,IF($S$504=381,PR!$AD$419,IF($S$504=382,PR!$AD$420,IF($S$504=383,PR!$AD$421,IF($S$504=384,PR!$AD$422,IF($S$504=385,PR!$AD$423,IF($S$504=386,PR!$AD$424,IF($S$504=387,PR!$AD$425,IF($S$504=388,PR!$AD$426,IF($S$504=389,PR!$AD$427,IF($S$504=390,PR!$AD$428,IF($S$504=391,PR!$AD$429,IF($S$504=392,PR!$AD$430,IF($S$504=393,PR!$AD$431,IF($S$504=394,PR!$AD$432,IF($S$504=395,PR!$AD$433,IF($S$504=396,PR!$AD$437,IF($S$504=397,PR!$AD$438,IF($S$504=398,PR!$AD$439,IF($S$504=399,PR!$AD$440,IF($S$504=400,PR!$AD$441,IF($S$504=401,PR!$AD$442,IF($S$504=402,PR!$AD$443,IF($S$504=403,PR!$AD$444,IF($S$504=404,PR!$AD$445,IF($S$504=405,PR!$AD$446,IF($S$504=406,PR!$AD$447,IF($S$504=407,PR!$AD$448,IF($S$504=408,PR!$AD$449,IF($S$504=409,PR!$AD$450,IF($S$504=410,PR!$AD$451,IF($S$504=411,PR!$AD$452,IF($S$504=412,PR!$AD$453,IF($S$504=413,PR!$AD$454,IF($S$504=414,PR!$AD$455,IF($S$504=415,PR!$AD$456,IF($S$504=416,PR!$AD$459,IF($S$504=417,PR!$AD$460,IF($S$504=418,PR!$AD$461,IF($S$504=419,PR!$AD$462,IF($S$504=420,PR!$AD$463,"-"))))))))))))))))))))))))))))))))))))))))))))))))))))))))))))</f>
        <v>0</v>
      </c>
      <c r="L511" s="602">
        <f>IF($S$504=361,PR!$AE$395,IF($S$504=362,PR!$AE$396,IF($S$504=363,PR!$AE$397,IF($S$504=364,PR!$AE$398,IF($S$504=365,PR!$AE$399,IF($S$504=366,PR!$AE$400,IF($S$504=367,PR!$AE$401,IF($S$504=368,PR!$AE$402,IF($S$504=369,PR!$AE$403,IF($S$504=370,PR!$AE$404,IF($S$504=371,PR!$AE$405,IF($S$504=372,PR!$AE$406,IF($S$504=373,PR!$AE$407,IF($S$504=374,PR!$AE$408,IF($S$504=375,PR!$AE$409,IF($S$504=376,PR!$AE$410,IF($S$504=377,PR!$AE$411,IF($S$504=378,PR!$AE$412,IF($S$504=379,PR!$AE$413,IF($S$504=380,PR!$AE$414,IF($S$504=381,PR!$AE$419,IF($S$504=382,PR!$AE$420,IF($S$504=383,PR!$AE$421,IF($S$504=384,PR!$AE$422,IF($S$504=385,PR!$AE$423,IF($S$504=386,PR!$AE$424,IF($S$504=387,PR!$AE$425,IF($S$504=388,PR!$AE$426,IF($S$504=389,PR!$AE$427,IF($S$504=390,PR!$AE$428,IF($S$504=391,PR!$AE$429,IF($S$504=392,PR!$AE$430,IF($S$504=393,PR!$AE$431,IF($S$504=394,PR!$AE$432,IF($S$504=395,PR!$AE$433,IF($S$504=396,PR!$AE$437,IF($S$504=397,PR!$AE$438,IF($S$504=398,PR!$AE$439,IF($S$504=399,PR!$AE$440,IF($S$504=400,PR!$AE$441,IF($S$504=401,PR!$AE$442,IF($S$504=402,PR!$AE$443,IF($S$504=403,PR!$AE$444,IF($S$504=404,PR!$AE$445,IF($S$504=405,PR!$AE$446,IF($S$504=406,PR!$AE$447,IF($S$504=407,PR!$AE$448,IF($S$504=408,PR!$AE$449,IF($S$504=409,PR!$AE$450,IF($S$504=410,PR!$AE$451,IF($S$504=411,PR!$AE$452,IF($S$504=412,PR!$AE$453,IF($S$504=413,PR!$AE$454,IF($S$504=414,PR!$AE$455,IF($S$504=415,PR!$AE$456,IF($S$504=416,PR!$AE$459,IF($S$504=417,PR!$AE$460,IF($S$504=418,PR!$AE$461,IF($S$504=419,PR!$AE$462,IF($S$504=420,PR!$AE$463,"-"))))))))))))))))))))))))))))))))))))))))))))))))))))))))))))</f>
        <v>0</v>
      </c>
      <c r="M511" s="602">
        <f>IF($S$504=361,PR!$AF$395,IF($S$504=362,PR!$AF$396,IF($S$504=363,PR!$AF$397,IF($S$504=364,PR!$AF$398,IF($S$504=365,PR!$AF$399,IF($S$504=366,PR!$AF$400,IF($S$504=367,PR!$AF$401,IF($S$504=368,PR!$AF$402,IF($S$504=369,PR!$AF$403,IF($S$504=370,PR!$AF$404,IF($S$504=371,PR!$AF$405,IF($S$504=372,PR!$AF$406,IF($S$504=373,PR!$AF$407,IF($S$504=374,PR!$AF$408,IF($S$504=375,PR!$AF$409,IF($S$504=376,PR!$AF$410,IF($S$504=377,PR!$AF$411,IF($S$504=378,PR!$AF$412,IF($S$504=379,PR!$AF$413,IF($S$504=380,PR!$AF$414,IF($S$504=381,PR!$AF$419,IF($S$504=382,PR!$AF$420,IF($S$504=383,PR!$AF$421,IF($S$504=384,PR!$AF$422,IF($S$504=385,PR!$AF$423,IF($S$504=386,PR!$AF$424,IF($S$504=387,PR!$AF$425,IF($S$504=388,PR!$AF$426,IF($S$504=389,PR!$AF$427,IF($S$504=390,PR!$AF$428,IF($S$504=391,PR!$AF$429,IF($S$504=392,PR!$AF$430,IF($S$504=393,PR!$AF$431,IF($S$504=394,PR!$AF$432,IF($S$504=395,PR!$AF$433,IF($S$504=396,PR!$AF$437,IF($S$504=397,PR!$AF$438,IF($S$504=398,PR!$AF$439,IF($S$504=399,PR!$AF$440,IF($S$504=400,PR!$AF$441,IF($S$504=401,PR!$AF$442,IF($S$504=402,PR!$AF$443,IF($S$504=403,PR!$AF$444,IF($S$504=404,PR!$AF$445,IF($S$504=405,PR!$AF$446,IF($S$504=406,PR!$AF$447,IF($S$504=407,PR!$AF$448,IF($S$504=408,PR!$AF$449,IF($S$504=409,PR!$AF$450,IF($S$504=410,PR!$AF$451,IF($S$504=411,PR!$AF$452,IF($S$504=412,PR!$AF$453,IF($S$504=413,PR!$AF$454,IF($S$504=414,PR!$AF$455,IF($S$504=415,PR!$AF$456,IF($S$504=416,PR!$AF$459,IF($S$504=417,PR!$AF$460,IF($S$504=418,PR!$AF$461,IF($S$504=419,PR!$AF$462,IF($S$504=420,PR!$AF$463,"-"))))))))))))))))))))))))))))))))))))))))))))))))))))))))))))</f>
        <v>0</v>
      </c>
      <c r="N511" s="602">
        <f>IF($S$504=361,PR!$AG$395,IF($S$504=362,PR!$AG$396,IF($S$504=363,PR!$AG$397,IF($S$504=364,PR!$AG$398,IF($S$504=365,PR!$AG$399,IF($S$504=366,PR!$AG$400,IF($S$504=367,PR!$AG$401,IF($S$504=368,PR!$AG$402,IF($S$504=369,PR!$AG$403,IF($S$504=370,PR!$AG$404,IF($S$504=371,PR!$AG$405,IF($S$504=372,PR!$AG$406,IF($S$504=373,PR!$AG$407,IF($S$504=374,PR!$AG$408,IF($S$504=375,PR!$AG$409,IF($S$504=376,PR!$AG$410,IF($S$504=377,PR!$AG$411,IF($S$504=378,PR!$AG$412,IF($S$504=379,PR!$AG$413,IF($S$504=380,PR!$AG$414,IF($S$504=381,PR!$AG$419,IF($S$504=382,PR!$AG$420,IF($S$504=383,PR!$AG$421,IF($S$504=384,PR!$AG$422,IF($S$504=385,PR!$AG$423,IF($S$504=386,PR!$AG$424,IF($S$504=387,PR!$AG$425,IF($S$504=388,PR!$AG$426,IF($S$504=389,PR!$AG$427,IF($S$504=390,PR!$AG$428,IF($S$504=391,PR!$AG$429,IF($S$504=392,PR!$AG$430,IF($S$504=393,PR!$AG$431,IF($S$504=394,PR!$AG$432,IF($S$504=395,PR!$AG$433,IF($S$504=396,PR!$AG$437,IF($S$504=397,PR!$AG$438,IF($S$504=398,PR!$AG$439,IF($S$504=399,PR!$AG$440,IF($S$504=400,PR!$AG$441,IF($S$504=401,PR!$AG$442,IF($S$504=402,PR!$AG$443,IF($S$504=403,PR!$AG$444,IF($S$504=404,PR!$AG$445,IF($S$504=405,PR!$AG$446,IF($S$504=406,PR!$AG$447,IF($S$504=407,PR!$AG$448,IF($S$504=408,PR!$AG$449,IF($S$504=409,PR!$AG$450,IF($S$504=410,PR!$AG$451,IF($S$504=411,PR!$AG$452,IF($S$504=412,PR!$AG$453,IF($S$504=413,PR!$AG$454,IF($S$504=414,PR!$AG$455,IF($S$504=415,PR!$AG$456,IF($S$504=416,PR!$AG$459,IF($S$504=417,PR!$AG$460,IF($S$504=418,PR!$AG$461,IF($S$504=419,PR!$AG$462,IF($S$504=420,PR!$AG$463,"-"))))))))))))))))))))))))))))))))))))))))))))))))))))))))))))</f>
        <v>0</v>
      </c>
      <c r="O511" s="602">
        <f>IF($S$504=361,PR!$AH$395,IF($S$504=362,PR!$AH$396,IF($S$504=363,PR!$AH$397,IF($S$504=364,PR!$AH$398,IF($S$504=365,PR!$AH$399,IF($S$504=366,PR!$AH$400,IF($S$504=367,PR!$AH$401,IF($S$504=368,PR!$AH$402,IF($S$504=369,PR!$AH$403,IF($S$504=370,PR!$AH$404,IF($S$504=371,PR!$AH$405,IF($S$504=372,PR!$AH$406,IF($S$504=373,PR!$AH$407,IF($S$504=374,PR!$AH$408,IF($S$504=375,PR!$AH$409,IF($S$504=376,PR!$AH$410,IF($S$504=377,PR!$AH$411,IF($S$504=378,PR!$AH$412,IF($S$504=379,PR!$AH$413,IF($S$504=380,PR!$AH$414,IF($S$504=381,PR!$AH$419,IF($S$504=382,PR!$AH$420,IF($S$504=383,PR!$AH$421,IF($S$504=384,PR!$AH$422,IF($S$504=385,PR!$AH$423,IF($S$504=386,PR!$AH$424,IF($S$504=387,PR!$AH$425,IF($S$504=388,PR!$AH$426,IF($S$504=389,PR!$AH$427,IF($S$504=390,PR!$AH$428,IF($S$504=391,PR!$AH$429,IF($S$504=392,PR!$AH$430,IF($S$504=393,PR!$AH$431,IF($S$504=394,PR!$AH$432,IF($S$504=395,PR!$AH$433,IF($S$504=396,PR!$AH$437,IF($S$504=397,PR!$AH$438,IF($S$504=398,PR!$AH$439,IF($S$504=399,PR!$AH$440,IF($S$504=400,PR!$AH$441,IF($S$504=401,PR!$AH$442,IF($S$504=402,PR!$AH$443,IF($S$504=403,PR!$AH$444,IF($S$504=404,PR!$AH$445,IF($S$504=405,PR!$AH$446,IF($S$504=406,PR!$AH$447,IF($S$504=407,PR!$AH$448,IF($S$504=408,PR!$AH$449,IF($S$504=409,PR!$AH$450,IF($S$504=410,PR!$AH$451,IF($S$504=411,PR!$AH$452,IF($S$504=412,PR!$AH$453,IF($S$504=413,PR!$AH$454,IF($S$504=414,PR!$AH$455,IF($S$504=415,PR!$AH$456,IF($S$504=416,PR!$AH$459,IF($S$504=417,PR!$AH$460,IF($S$504=418,PR!$AH$461,IF($S$504=419,PR!$AH$462,IF($S$504=420,PR!$AH$463,"-"))))))))))))))))))))))))))))))))))))))))))))))))))))))))))))</f>
        <v>0</v>
      </c>
      <c r="P511" s="602">
        <f>IF($S$504=361,PR!$AI$395,IF($S$504=362,PR!$AI$396,IF($S$504=363,PR!$AI$397,IF($S$504=364,PR!$AI$398,IF($S$504=365,PR!$AI$399,IF($S$504=366,PR!$AI$400,IF($S$504=367,PR!$AI$401,IF($S$504=368,PR!$AI$402,IF($S$504=369,PR!$AI$403,IF($S$504=370,PR!$AI$404,IF($S$504=371,PR!$AI$405,IF($S$504=372,PR!$AI$406,IF($S$504=373,PR!$AI$407,IF($S$504=374,PR!$AI$408,IF($S$504=375,PR!$AI$409,IF($S$504=376,PR!$AI$410,IF($S$504=377,PR!$AI$411,IF($S$504=378,PR!$AI$412,IF($S$504=379,PR!$AI$413,IF($S$504=380,PR!$AI$414,IF($S$504=381,PR!$AI$419,IF($S$504=382,PR!$AI$420,IF($S$504=383,PR!$AI$421,IF($S$504=384,PR!$AI$422,IF($S$504=385,PR!$AI$423,IF($S$504=386,PR!$AI$424,IF($S$504=387,PR!$AI$425,IF($S$504=388,PR!$AI$426,IF($S$504=389,PR!$AI$427,IF($S$504=390,PR!$AI$428,IF($S$504=391,PR!$AI$429,IF($S$504=392,PR!$AI$430,IF($S$504=393,PR!$AI$431,IF($S$504=394,PR!$AI$432,IF($S$504=395,PR!$AI$433,IF($S$504=396,PR!$AI$437,IF($S$504=397,PR!$AI$438,IF($S$504=398,PR!$AI$439,IF($S$504=399,PR!$AI$440,IF($S$504=400,PR!$AI$441,IF($S$504=401,PR!$AI$442,IF($S$504=402,PR!$AI$443,IF($S$504=403,PR!$AI$444,IF($S$504=404,PR!$AI$445,IF($S$504=405,PR!$AI$446,IF($S$504=406,PR!$AI$447,IF($S$504=407,PR!$AI$448,IF($S$504=408,PR!$AI$449,IF($S$504=409,PR!$AI$450,IF($S$504=410,PR!$AI$451,IF($S$504=411,PR!$AI$452,IF($S$504=412,PR!$AI$453,IF($S$504=413,PR!$AI$454,IF($S$504=414,PR!$AI$455,IF($S$504=415,PR!$AI$456,IF($S$504=416,PR!$AI$459,IF($S$504=417,PR!$AI$460,IF($S$504=418,PR!$AI$461,IF($S$504=419,PR!$AI$462,IF($S$504=420,PR!$AI$463,"-"))))))))))))))))))))))))))))))))))))))))))))))))))))))))))))</f>
        <v>0</v>
      </c>
      <c r="Q511" s="602">
        <f>IF($S$504=361,PR!$AJ$395,IF($S$504=362,PR!$AJ$396,IF($S$504=363,PR!$AJ$397,IF($S$504=364,PR!$AJ$398,IF($S$504=365,PR!$AJ$399,IF($S$504=366,PR!$AJ$400,IF($S$504=367,PR!$AJ$401,IF($S$504=368,PR!$AJ$402,IF($S$504=369,PR!$AJ$403,IF($S$504=370,PR!$AJ$404,IF($S$504=371,PR!$AJ$405,IF($S$504=372,PR!$AJ$406,IF($S$504=373,PR!$AJ$407,IF($S$504=374,PR!$AJ$408,IF($S$504=375,PR!$AJ$409,IF($S$504=376,PR!$AJ$410,IF($S$504=377,PR!$AJ$411,IF($S$504=378,PR!$AJ$412,IF($S$504=379,PR!$AJ$413,IF($S$504=380,PR!$AJ$414,IF($S$504=381,PR!$AJ$419,IF($S$504=382,PR!$AJ$420,IF($S$504=383,PR!$AJ$421,IF($S$504=384,PR!$AJ$422,IF($S$504=385,PR!$AJ$423,IF($S$504=386,PR!$AJ$424,IF($S$504=387,PR!$AJ$425,IF($S$504=388,PR!$AJ$426,IF($S$504=389,PR!$AJ$427,IF($S$504=390,PR!$AJ$428,IF($S$504=391,PR!$AJ$429,IF($S$504=392,PR!$AJ$430,IF($S$504=393,PR!$AJ$431,IF($S$504=394,PR!$AJ$432,IF($S$504=395,PR!$AJ$433,IF($S$504=396,PR!$AJ$437,IF($S$504=397,PR!$AJ$438,IF($S$504=398,PR!$AJ$439,IF($S$504=399,PR!$AJ$440,IF($S$504=400,PR!$AJ$441,IF($S$504=401,PR!$AJ$442,IF($S$504=402,PR!$AJ$443,IF($S$504=403,PR!$AJ$444,IF($S$504=404,PR!$AJ$445,IF($S$504=405,PR!$AJ$446,IF($S$504=406,PR!$AJ$447,IF($S$504=407,PR!$AJ$448,IF($S$504=408,PR!$AJ$449,IF($S$504=409,PR!$AJ$450,IF($S$504=410,PR!$AJ$451,IF($S$504=411,PR!$AJ$452,IF($S$504=412,PR!$AJ$453,IF($S$504=413,PR!$AJ$454,IF($S$504=414,PR!$AJ$455,IF($S$504=415,PR!$AJ$456,IF($S$504=416,PR!$AJ$459,IF($S$504=417,PR!$AJ$460,IF($S$504=418,PR!$AJ$461,IF($S$504=419,PR!$AJ$462,IF($S$504=420,PR!$AJ$463,"-"))))))))))))))))))))))))))))))))))))))))))))))))))))))))))))</f>
        <v>0</v>
      </c>
      <c r="R511" s="602">
        <f>IF($S$504=361,PR!$AK$395,IF($S$504=362,PR!$AK$396,IF($S$504=363,PR!$AK$397,IF($S$504=364,PR!$AK$398,IF($S$504=365,PR!$AK$399,IF($S$504=366,PR!$AK$400,IF($S$504=367,PR!$AK$401,IF($S$504=368,PR!$AK$402,IF($S$504=369,PR!$AK$403,IF($S$504=370,PR!$AK$404,IF($S$504=371,PR!$AK$405,IF($S$504=372,PR!$AK$406,IF($S$504=373,PR!$AK$407,IF($S$504=374,PR!$AK$408,IF($S$504=375,PR!$AK$409,IF($S$504=376,PR!$AK$410,IF($S$504=377,PR!$AK$411,IF($S$504=378,PR!$AK$412,IF($S$504=379,PR!$AK$413,IF($S$504=380,PR!$AK$414,IF($S$504=381,PR!$AK$419,IF($S$504=382,PR!$AK$420,IF($S$504=383,PR!$AK$421,IF($S$504=384,PR!$AK$422,IF($S$504=385,PR!$AK$423,IF($S$504=386,PR!$AK$424,IF($S$504=387,PR!$AK$425,IF($S$504=388,PR!$AK$426,IF($S$504=389,PR!$AK$427,IF($S$504=390,PR!$AK$428,IF($S$504=391,PR!$AK$429,IF($S$504=392,PR!$AK$430,IF($S$504=393,PR!$AK$431,IF($S$504=394,PR!$AK$432,IF($S$504=395,PR!$AK$433,IF($S$504=396,PR!$AK$437,IF($S$504=397,PR!$AK$438,IF($S$504=398,PR!$AK$439,IF($S$504=399,PR!$AK$440,IF($S$504=400,PR!$AK$441,IF($S$504=401,PR!$AK$442,IF($S$504=402,PR!$AK$443,IF($S$504=403,PR!$AK$444,IF($S$504=404,PR!$AK$445,IF($S$504=405,PR!$AK$446,IF($S$504=406,PR!$AK$447,IF($S$504=407,PR!$AK$448,IF($S$504=408,PR!$AK$449,IF($S$504=409,PR!$AK$450,IF($S$504=410,PR!$AK$451,IF($S$504=411,PR!$AK$452,IF($S$504=412,PR!$AK$453,IF($S$504=413,PR!$AK$454,IF($S$504=414,PR!$AK$455,IF($S$504=415,PR!$AK$456,IF($S$504=416,PR!$AK$459,IF($S$504=417,PR!$AK$460,IF($S$504=418,PR!$AK$461,IF($S$504=419,PR!$AK$462,IF($S$504=420,PR!$AK$463,"-"))))))))))))))))))))))))))))))))))))))))))))))))))))))))))))</f>
        <v>0</v>
      </c>
      <c r="S511" s="602">
        <f>IF($S$504=361,PR!$AM$395,IF($S$504=362,PR!$AM$396,IF($S$504=363,PR!$AM$397,IF($S$504=364,PR!$AM$398,IF($S$504=365,PR!$AM$399,IF($S$504=366,PR!$AM$400,IF($S$504=367,PR!$AM$401,IF($S$504=368,PR!$AM$402,IF($S$504=369,PR!$AM$403,IF($S$504=370,PR!$AM$404,IF($S$504=371,PR!$AM$405,IF($S$504=372,PR!$AM$406,IF($S$504=373,PR!$AM$407,IF($S$504=374,PR!$AM$408,IF($S$504=375,PR!$AM$409,IF($S$504=376,PR!$AM$410,IF($S$504=377,PR!$AM$411,IF($S$504=378,PR!$AM$412,IF($S$504=379,PR!$AM$413,IF($S$504=380,PR!$AM$414,IF($S$504=381,PR!$AM$419,IF($S$504=382,PR!$AM$420,IF($S$504=383,PR!$AM$421,IF($S$504=384,PR!$AM$422,IF($S$504=385,PR!$AM$423,IF($S$504=386,PR!$AM$424,IF($S$504=387,PR!$AM$425,IF($S$504=388,PR!$AM$426,IF($S$504=389,PR!$AM$427,IF($S$504=390,PR!$AM$428,IF($S$504=391,PR!$AM$429,IF($S$504=392,PR!$AM$430,IF($S$504=393,PR!$AM$431,IF($S$504=394,PR!$AM$432,IF($S$504=395,PR!$AM$433,IF($S$504=396,PR!$AM$437,IF($S$504=397,PR!$AM$438,IF($S$504=398,PR!$AM$439,IF($S$504=399,PR!$AM$440,IF($S$504=400,PR!$AM$441,IF($S$504=401,PR!$AM$442,IF($S$504=402,PR!$AM$443,IF($S$504=403,PR!$AM$444,IF($S$504=404,PR!$AM$445,IF($S$504=405,PR!$AM$446,IF($S$504=406,PR!$AM$447,IF($S$504=407,PR!$AM$448,IF($S$504=408,PR!$AM$449,IF($S$504=409,PR!$AM$450,IF($S$504=410,PR!$AM$451,IF($S$504=411,PR!$AM$452,IF($S$504=412,PR!$AM$453,IF($S$504=413,PR!$AM$454,IF($S$504=414,PR!$AM$455,IF($S$504=415,PR!$AM$456,IF($S$504=416,PR!$AM$459,IF($S$504=417,PR!$AM$460,IF($S$504=418,PR!$AM$461,IF($S$504=419,PR!$AM$462,IF($S$504=420,PR!$AM$463,"-"))))))))))))))))))))))))))))))))))))))))))))))))))))))))))))</f>
        <v>0</v>
      </c>
      <c r="T511" s="580"/>
      <c r="U511" s="580"/>
      <c r="V511" s="32"/>
      <c r="W511" s="32"/>
      <c r="X511" s="32"/>
      <c r="Y511" s="32"/>
      <c r="Z511" s="32"/>
    </row>
    <row r="512" spans="1:26" ht="15.75" x14ac:dyDescent="0.25">
      <c r="A512" s="91"/>
      <c r="B512" s="580"/>
      <c r="C512" s="603"/>
      <c r="D512" s="604"/>
      <c r="E512" s="604"/>
      <c r="F512" s="604"/>
      <c r="G512" s="604"/>
      <c r="H512" s="604"/>
      <c r="I512" s="604"/>
      <c r="J512" s="604"/>
      <c r="K512" s="604"/>
      <c r="L512" s="604"/>
      <c r="M512" s="604"/>
      <c r="N512" s="604"/>
      <c r="O512" s="604"/>
      <c r="P512" s="604"/>
      <c r="Q512" s="604"/>
      <c r="R512" s="606"/>
      <c r="S512" s="606"/>
      <c r="T512" s="580"/>
      <c r="U512" s="580"/>
      <c r="V512" s="32"/>
      <c r="W512" s="32"/>
      <c r="X512" s="32"/>
      <c r="Y512" s="32"/>
      <c r="Z512" s="32"/>
    </row>
    <row r="513" spans="1:26" ht="15.75" thickBot="1" x14ac:dyDescent="0.3">
      <c r="A513" s="91"/>
      <c r="B513" s="580"/>
      <c r="C513" s="600" t="str">
        <f>N!$C$38</f>
        <v>MWORLD</v>
      </c>
      <c r="D513" s="600" t="str">
        <f>N!$C$39</f>
        <v>MEGA</v>
      </c>
      <c r="E513" s="600" t="str">
        <f>N!$C$40</f>
        <v>MICRONOVA</v>
      </c>
      <c r="F513" s="600" t="str">
        <f>N!$C$41</f>
        <v>MFLASH</v>
      </c>
      <c r="G513" s="600" t="str">
        <f>N!$C$42</f>
        <v>MORISON</v>
      </c>
      <c r="H513" s="600" t="str">
        <f>N!$C$43</f>
        <v>NEMEL</v>
      </c>
      <c r="I513" s="600" t="str">
        <f>N!$C$44</f>
        <v>NHP</v>
      </c>
      <c r="J513" s="600" t="str">
        <f>N!$C$45</f>
        <v>NHC</v>
      </c>
      <c r="K513" s="600" t="str">
        <f>N!$C$46</f>
        <v>OLEAF</v>
      </c>
      <c r="L513" s="600" t="str">
        <f>N!$C$47</f>
        <v>OCULUS</v>
      </c>
      <c r="M513" s="600" t="str">
        <f>N!$C$48</f>
        <v>PACIFIC</v>
      </c>
      <c r="N513" s="600" t="str">
        <f>N!$C$49</f>
        <v>PHAMATEX</v>
      </c>
      <c r="O513" s="600" t="str">
        <f>N!$C$50</f>
        <v>PETHICS</v>
      </c>
      <c r="P513" s="600" t="str">
        <f>N!$C$51</f>
        <v>PHILIPS</v>
      </c>
      <c r="Q513" s="600" t="str">
        <f>N!$C$52</f>
        <v>RANBAXY</v>
      </c>
      <c r="R513" s="600" t="str">
        <f>N!$C$53</f>
        <v>REALS</v>
      </c>
      <c r="S513" s="600" t="str">
        <f>N!$C$54</f>
        <v>ROYAL</v>
      </c>
      <c r="T513" s="580"/>
      <c r="U513" s="580"/>
      <c r="V513" s="32"/>
      <c r="W513" s="32"/>
      <c r="X513" s="32"/>
      <c r="Y513" s="32"/>
      <c r="Z513" s="32"/>
    </row>
    <row r="514" spans="1:26" ht="15.75" thickBot="1" x14ac:dyDescent="0.3">
      <c r="A514" s="91"/>
      <c r="B514" s="580"/>
      <c r="C514" s="602">
        <f>IF($S$504=361,PR!$AN$395,IF($S$504=362,PR!$AN$396,IF($S$504=363,PR!$AN$397,IF($S$504=364,PR!$AN$398,IF($S$504=365,PR!$AN$399,IF($S$504=366,PR!$AN$400,IF($S$504=367,PR!$AN$401,IF($S$504=368,PR!$AN$402,IF($S$504=369,PR!$AN$403,IF($S$504=370,PR!$AN$404,IF($S$504=371,PR!$AN$405,IF($S$504=372,PR!$AN$406,IF($S$504=373,PR!$AN$407,IF($S$504=374,PR!$AN$408,IF($S$504=375,PR!$AN$409,IF($S$504=376,PR!$AN$410,IF($S$504=377,PR!$AN$411,IF($S$504=378,PR!$AN$412,IF($S$504=379,PR!$AN$413,IF($S$504=380,PR!$AN$414,IF($S$504=381,PR!$AN$419,IF($S$504=382,PR!$AN$420,IF($S$504=383,PR!$AN$421,IF($S$504=384,PR!$AN$422,IF($S$504=385,PR!$AN$423,IF($S$504=386,PR!$AN$424,IF($S$504=387,PR!$AN$425,IF($S$504=388,PR!$AN$426,IF($S$504=389,PR!$AN$427,IF($S$504=390,PR!$AN$428,IF($S$504=391,PR!$AN$429,IF($S$504=392,PR!$AN$430,IF($S$504=393,PR!$AN$431,IF($S$504=394,PR!$AN$432,IF($S$504=395,PR!$AN$433,IF($S$504=396,PR!$AN$437,IF($S$504=397,PR!$AN$438,IF($S$504=398,PR!$AN$439,IF($S$504=399,PR!$AN$440,IF($S$504=400,PR!$AN$441,IF($S$504=401,PR!$AN$442,IF($S$504=402,PR!$AN$443,IF($S$504=403,PR!$AN$444,IF($S$504=404,PR!$AN$445,IF($S$504=405,PR!$AN$446,IF($S$504=406,PR!$AN$447,IF($S$504=407,PR!$AN$448,IF($S$504=408,PR!$AN$449,IF($S$504=409,PR!$AN$450,IF($S$504=410,PR!$AN$451,IF($S$504=411,PR!$AN$452,IF($S$504=412,PR!$AN$453,IF($S$504=413,PR!$AN$454,IF($S$504=414,PR!$AN$455,IF($S$504=415,PR!$AN$456,IF($S$504=416,PR!$AN$459,IF($S$504=417,PR!$AN$460,IF($S$504=418,PR!$AN$461,IF($S$504=419,PR!$AN$462,IF($S$504=420,PR!$AN$463,"-"))))))))))))))))))))))))))))))))))))))))))))))))))))))))))))</f>
        <v>0</v>
      </c>
      <c r="D514" s="602">
        <f>IF($S$504=361,PR!$AN$395,IF($S$504=362,PR!$AN$396,IF($S$504=363,PR!$AN$397,IF($S$504=364,PR!$AN$398,IF($S$504=365,PR!$AN$399,IF($S$504=366,PR!$AN$400,IF($S$504=367,PR!$AN$401,IF($S$504=368,PR!$AN$402,IF($S$504=369,PR!$AN$403,IF($S$504=370,PR!$AN$404,IF($S$504=371,PR!$AN$405,IF($S$504=372,PR!$AN$406,IF($S$504=373,PR!$AN$407,IF($S$504=374,PR!$AN$408,IF($S$504=375,PR!$AN$409,IF($S$504=376,PR!$AN$410,IF($S$504=377,PR!$AN$411,IF($S$504=378,PR!$AN$412,IF($S$504=379,PR!$AN$413,IF($S$504=380,PR!$AN$414,IF($S$504=381,PR!$AN$419,IF($S$504=382,PR!$AN$420,IF($S$504=383,PR!$AN$421,IF($S$504=384,PR!$AN$422,IF($S$504=385,PR!$AN$423,IF($S$504=386,PR!$AN$424,IF($S$504=387,PR!$AN$425,IF($S$504=388,PR!$AN$426,IF($S$504=389,PR!$AN$427,IF($S$504=390,PR!$AN$428,IF($S$504=391,PR!$AN$429,IF($S$504=392,PR!$AN$430,IF($S$504=393,PR!$AN$431,IF($S$504=394,PR!$AN$432,IF($S$504=395,PR!$AN$433,IF($S$504=396,PR!$AN$437,IF($S$504=397,PR!$AN$438,IF($S$504=398,PR!$AN$439,IF($S$504=399,PR!$AN$440,IF($S$504=400,PR!$AN$441,IF($S$504=401,PR!$AN$442,IF($S$504=402,PR!$AN$443,IF($S$504=403,PR!$AN$444,IF($S$504=404,PR!$AN$445,IF($S$504=405,PR!$AN$446,IF($S$504=406,PR!$AN$447,IF($S$504=407,PR!$AN$448,IF($S$504=408,PR!$AN$449,IF($S$504=409,PR!$AN$450,IF($S$504=410,PR!$AN$451,IF($S$504=411,PR!$AN$452,IF($S$504=412,PR!$AN$453,IF($S$504=413,PR!$AN$454,IF($S$504=414,PR!$AN$455,IF($S$504=415,PR!$AN$456,IF($S$504=416,PR!$AN$459,IF($S$504=417,PR!$AN$460,IF($S$504=418,PR!$AN$461,IF($S$504=419,PR!$AN$462,IF($S$504=420,PR!$AN$463,"-"))))))))))))))))))))))))))))))))))))))))))))))))))))))))))))</f>
        <v>0</v>
      </c>
      <c r="E514" s="602">
        <f>IF($S$504=361,PR!$AO$395,IF($S$504=362,PR!$AO$396,IF($S$504=363,PR!$AO$397,IF($S$504=364,PR!$AO$398,IF($S$504=365,PR!$AO$399,IF($S$504=366,PR!$AO$400,IF($S$504=367,PR!$AO$401,IF($S$504=368,PR!$AO$402,IF($S$504=369,PR!$AO$403,IF($S$504=370,PR!$AO$404,IF($S$504=371,PR!$AO$405,IF($S$504=372,PR!$AO$406,IF($S$504=373,PR!$AO$407,IF($S$504=374,PR!$AO$408,IF($S$504=375,PR!$AO$409,IF($S$504=376,PR!$AO$410,IF($S$504=377,PR!$AO$411,IF($S$504=378,PR!$AO$412,IF($S$504=379,PR!$AO$413,IF($S$504=380,PR!$AO$414,IF($S$504=381,PR!$AO$419,IF($S$504=382,PR!$AO$420,IF($S$504=383,PR!$AO$421,IF($S$504=384,PR!$AO$422,IF($S$504=385,PR!$AO$423,IF($S$504=386,PR!$AO$424,IF($S$504=387,PR!$AO$425,IF($S$504=388,PR!$AO$426,IF($S$504=389,PR!$AO$427,IF($S$504=390,PR!$AO$428,IF($S$504=391,PR!$AO$429,IF($S$504=392,PR!$AO$430,IF($S$504=393,PR!$AO$431,IF($S$504=394,PR!$AO$432,IF($S$504=395,PR!$AO$433,IF($S$504=396,PR!$AO$437,IF($S$504=397,PR!$AO$438,IF($S$504=398,PR!$AO$439,IF($S$504=399,PR!$AO$440,IF($S$504=400,PR!$AO$441,IF($S$504=401,PR!$AO$442,IF($S$504=402,PR!$AO$443,IF($S$504=403,PR!$AO$444,IF($S$504=404,PR!$AO$445,IF($S$504=405,PR!$AO$446,IF($S$504=406,PR!$AO$447,IF($S$504=407,PR!$AO$448,IF($S$504=408,PR!$AO$449,IF($S$504=409,PR!$AO$450,IF($S$504=410,PR!$AO$451,IF($S$504=411,PR!$AO$452,IF($S$504=412,PR!$AO$453,IF($S$504=413,PR!$AO$454,IF($S$504=414,PR!$AO$455,IF($S$504=415,PR!$AO$456,IF($S$504=416,PR!$AO$459,IF($S$504=417,PR!$AO$460,IF($S$504=418,PR!$AO$461,IF($S$504=419,PR!$AO$462,IF($S$504=420,PR!$AO$463,"-"))))))))))))))))))))))))))))))))))))))))))))))))))))))))))))</f>
        <v>0</v>
      </c>
      <c r="F514" s="602">
        <f>IF($S$504=361,PR!$AP$395,IF($S$504=362,PR!$AP$396,IF($S$504=363,PR!$AP$397,IF($S$504=364,PR!$AP$398,IF($S$504=365,PR!$AP$399,IF($S$504=366,PR!$AP$400,IF($S$504=367,PR!$AP$401,IF($S$504=368,PR!$AP$402,IF($S$504=369,PR!$AP$403,IF($S$504=370,PR!$AP$404,IF($S$504=371,PR!$AP$405,IF($S$504=372,PR!$AP$406,IF($S$504=373,PR!$AP$407,IF($S$504=374,PR!$AP$408,IF($S$504=375,PR!$AP$409,IF($S$504=376,PR!$AP$410,IF($S$504=377,PR!$AP$411,IF($S$504=378,PR!$AP$412,IF($S$504=379,PR!$AP$413,IF($S$504=380,PR!$AP$414,IF($S$504=381,PR!$AP$419,IF($S$504=382,PR!$AP$420,IF($S$504=383,PR!$AP$421,IF($S$504=384,PR!$AP$422,IF($S$504=385,PR!$AP$423,IF($S$504=386,PR!$AP$424,IF($S$504=387,PR!$AP$425,IF($S$504=388,PR!$AP$426,IF($S$504=389,PR!$AP$427,IF($S$504=390,PR!$AP$428,IF($S$504=391,PR!$AP$429,IF($S$504=392,PR!$AP$430,IF($S$504=393,PR!$AP$431,IF($S$504=394,PR!$AP$432,IF($S$504=395,PR!$AP$433,IF($S$504=396,PR!$AP$437,IF($S$504=397,PR!$AP$438,IF($S$504=398,PR!$AP$439,IF($S$504=399,PR!$AP$440,IF($S$504=400,PR!$AP$441,IF($S$504=401,PR!$AP$442,IF($S$504=402,PR!$AP$443,IF($S$504=403,PR!$AP$444,IF($S$504=404,PR!$AP$445,IF($S$504=405,PR!$AP$446,IF($S$504=406,PR!$AP$447,IF($S$504=407,PR!$AP$448,IF($S$504=408,PR!$AP$449,IF($S$504=409,PR!$AP$450,IF($S$504=410,PR!$AP$451,IF($S$504=411,PR!$AP$452,IF($S$504=412,PR!$AP$453,IF($S$504=413,PR!$AP$454,IF($S$504=414,PR!$AP$455,IF($S$504=415,PR!$AP$456,IF($S$504=416,PR!$AP$459,IF($S$504=417,PR!$AP$460,IF($S$504=418,PR!$AP$461,IF($S$504=419,PR!$AP$462,IF($S$504=420,PR!$AP$463,"-"))))))))))))))))))))))))))))))))))))))))))))))))))))))))))))</f>
        <v>0</v>
      </c>
      <c r="G514" s="602">
        <f>IF($S$504=361,PR!$AQ$395,IF($S$504=362,PR!$AQ$396,IF($S$504=363,PR!$AQ$397,IF($S$504=364,PR!$AQ$398,IF($S$504=365,PR!$AQ$399,IF($S$504=366,PR!$AQ$400,IF($S$504=367,PR!$AQ$401,IF($S$504=368,PR!$AQ$402,IF($S$504=369,PR!$AQ$403,IF($S$504=370,PR!$AQ$404,IF($S$504=371,PR!$AQ$405,IF($S$504=372,PR!$AQ$406,IF($S$504=373,PR!$AQ$407,IF($S$504=374,PR!$AQ$408,IF($S$504=375,PR!$AQ$409,IF($S$504=376,PR!$AQ$410,IF($S$504=377,PR!$AQ$411,IF($S$504=378,PR!$AQ$412,IF($S$504=379,PR!$AQ$413,IF($S$504=380,PR!$AQ$414,IF($S$504=381,PR!$AQ$419,IF($S$504=382,PR!$AQ$420,IF($S$504=383,PR!$AQ$421,IF($S$504=384,PR!$AQ$422,IF($S$504=385,PR!$AQ$423,IF($S$504=386,PR!$AQ$424,IF($S$504=387,PR!$AQ$425,IF($S$504=388,PR!$AQ$426,IF($S$504=389,PR!$AQ$427,IF($S$504=390,PR!$AQ$428,IF($S$504=391,PR!$AQ$429,IF($S$504=392,PR!$AQ$430,IF($S$504=393,PR!$AQ$431,IF($S$504=394,PR!$AQ$432,IF($S$504=395,PR!$AQ$433,IF($S$504=396,PR!$AQ$437,IF($S$504=397,PR!$AQ$438,IF($S$504=398,PR!$AQ$439,IF($S$504=399,PR!$AQ$440,IF($S$504=400,PR!$AQ$441,IF($S$504=401,PR!$AQ$442,IF($S$504=402,PR!$AQ$443,IF($S$504=403,PR!$AQ$444,IF($S$504=404,PR!$AQ$445,IF($S$504=405,PR!$AQ$446,IF($S$504=406,PR!$AQ$447,IF($S$504=407,PR!$AQ$448,IF($S$504=408,PR!$AQ$449,IF($S$504=409,PR!$AQ$450,IF($S$504=410,PR!$AQ$451,IF($S$504=411,PR!$AQ$452,IF($S$504=412,PR!$AQ$453,IF($S$504=413,PR!$AQ$454,IF($S$504=414,PR!$AQ$455,IF($S$504=415,PR!$AQ$456,IF($S$504=416,PR!$AQ$459,IF($S$504=417,PR!$AQ$460,IF($S$504=418,PR!$AQ$461,IF($S$504=419,PR!$AQ$462,IF($S$504=420,PR!$AQ$463,"-"))))))))))))))))))))))))))))))))))))))))))))))))))))))))))))</f>
        <v>0</v>
      </c>
      <c r="H514" s="602">
        <f>IF($S$504=361,PR!$AR$395,IF($S$504=362,PR!$AR$396,IF($S$504=363,PR!$AR$397,IF($S$504=364,PR!$AR$398,IF($S$504=365,PR!$AR$399,IF($S$504=366,PR!$AR$400,IF($S$504=367,PR!$AR$401,IF($S$504=368,PR!$AR$402,IF($S$504=369,PR!$AR$403,IF($S$504=370,PR!$AR$404,IF($S$504=371,PR!$AR$405,IF($S$504=372,PR!$AR$406,IF($S$504=373,PR!$AR$407,IF($S$504=374,PR!$AR$408,IF($S$504=375,PR!$AR$409,IF($S$504=376,PR!$AR$410,IF($S$504=377,PR!$AR$411,IF($S$504=378,PR!$AR$412,IF($S$504=379,PR!$AR$413,IF($S$504=380,PR!$AR$414,IF($S$504=381,PR!$AR$419,IF($S$504=382,PR!$AR$420,IF($S$504=383,PR!$AR$421,IF($S$504=384,PR!$AR$422,IF($S$504=385,PR!$AR$423,IF($S$504=386,PR!$AR$424,IF($S$504=387,PR!$AR$425,IF($S$504=388,PR!$AR$426,IF($S$504=389,PR!$AR$427,IF($S$504=390,PR!$AR$428,IF($S$504=391,PR!$AR$429,IF($S$504=392,PR!$AR$430,IF($S$504=393,PR!$AR$431,IF($S$504=394,PR!$AR$432,IF($S$504=395,PR!$AR$433,IF($S$504=396,PR!$AR$437,IF($S$504=397,PR!$AR$438,IF($S$504=398,PR!$AR$439,IF($S$504=399,PR!$AR$440,IF($S$504=400,PR!$AR$441,IF($S$504=401,PR!$AR$442,IF($S$504=402,PR!$AR$443,IF($S$504=403,PR!$AR$444,IF($S$504=404,PR!$AR$445,IF($S$504=405,PR!$AR$446,IF($S$504=406,PR!$AR$447,IF($S$504=407,PR!$AR$448,IF($S$504=408,PR!$AR$449,IF($S$504=409,PR!$AR$450,IF($S$504=410,PR!$AR$451,IF($S$504=411,PR!$AR$452,IF($S$504=412,PR!$AR$453,IF($S$504=413,PR!$AR$454,IF($S$504=414,PR!$AR$455,IF($S$504=415,PR!$AR$456,IF($S$504=416,PR!$AR$459,IF($S$504=417,PR!$AR$460,IF($S$504=418,PR!$AR$461,IF($S$504=419,PR!$AR$462,IF($S$504=420,PR!$AR$463,"-"))))))))))))))))))))))))))))))))))))))))))))))))))))))))))))</f>
        <v>0</v>
      </c>
      <c r="I514" s="602">
        <f>IF($S$504=361,PR!$AS$395,IF($S$504=362,PR!$AS$396,IF($S$504=363,PR!$AS$397,IF($S$504=364,PR!$AS$398,IF($S$504=365,PR!$AS$399,IF($S$504=366,PR!$AS$400,IF($S$504=367,PR!$AS$401,IF($S$504=368,PR!$AS$402,IF($S$504=369,PR!$AS$403,IF($S$504=370,PR!$AS$404,IF($S$504=371,PR!$AS$405,IF($S$504=372,PR!$AS$406,IF($S$504=373,PR!$AS$407,IF($S$504=374,PR!$AS$408,IF($S$504=375,PR!$AS$409,IF($S$504=376,PR!$AS$410,IF($S$504=377,PR!$AS$411,IF($S$504=378,PR!$AS$412,IF($S$504=379,PR!$AS$413,IF($S$504=380,PR!$AS$414,IF($S$504=381,PR!$AS$419,IF($S$504=382,PR!$AS$420,IF($S$504=383,PR!$AS$421,IF($S$504=384,PR!$AS$422,IF($S$504=385,PR!$AS$423,IF($S$504=386,PR!$AS$424,IF($S$504=387,PR!$AS$425,IF($S$504=388,PR!$AS$426,IF($S$504=389,PR!$AS$427,IF($S$504=390,PR!$AS$428,IF($S$504=391,PR!$AS$429,IF($S$504=392,PR!$AS$430,IF($S$504=393,PR!$AS$431,IF($S$504=394,PR!$AS$432,IF($S$504=395,PR!$AS$433,IF($S$504=396,PR!$AS$437,IF($S$504=397,PR!$AS$438,IF($S$504=398,PR!$AS$439,IF($S$504=399,PR!$AS$440,IF($S$504=400,PR!$AS$441,IF($S$504=401,PR!$AS$442,IF($S$504=402,PR!$AS$443,IF($S$504=403,PR!$AS$444,IF($S$504=404,PR!$AS$445,IF($S$504=405,PR!$AS$446,IF($S$504=406,PR!$AS$447,IF($S$504=407,PR!$AS$448,IF($S$504=408,PR!$AS$449,IF($S$504=409,PR!$AS$450,IF($S$504=410,PR!$AS$451,IF($S$504=411,PR!$AS$452,IF($S$504=412,PR!$AS$453,IF($S$504=413,PR!$AS$454,IF($S$504=414,PR!$AS$455,IF($S$504=415,PR!$AS$456,IF($S$504=416,PR!$AS$459,IF($S$504=417,PR!$AS$460,IF($S$504=418,PR!$AS$461,IF($S$504=419,PR!$AS$462,IF($S$504=420,PR!$AS$463,"-"))))))))))))))))))))))))))))))))))))))))))))))))))))))))))))</f>
        <v>0</v>
      </c>
      <c r="J514" s="602">
        <f>IF($S$504=361,PR!$AT$395,IF($S$504=362,PR!$AT$396,IF($S$504=363,PR!$AT$397,IF($S$504=364,PR!$AT$398,IF($S$504=365,PR!$AT$399,IF($S$504=366,PR!$AT$400,IF($S$504=367,PR!$AT$401,IF($S$504=368,PR!$AT$402,IF($S$504=369,PR!$AT$403,IF($S$504=370,PR!$AT$404,IF($S$504=371,PR!$AT$405,IF($S$504=372,PR!$AT$406,IF($S$504=373,PR!$AT$407,IF($S$504=374,PR!$AT$408,IF($S$504=375,PR!$AT$409,IF($S$504=376,PR!$AT$410,IF($S$504=377,PR!$AT$411,IF($S$504=378,PR!$AT$412,IF($S$504=379,PR!$AT$413,IF($S$504=380,PR!$AT$414,IF($S$504=381,PR!$AT$419,IF($S$504=382,PR!$AT$420,IF($S$504=383,PR!$AT$421,IF($S$504=384,PR!$AT$422,IF($S$504=385,PR!$AT$423,IF($S$504=386,PR!$AT$424,IF($S$504=387,PR!$AT$425,IF($S$504=388,PR!$AT$426,IF($S$504=389,PR!$AT$427,IF($S$504=390,PR!$AT$428,IF($S$504=391,PR!$AT$429,IF($S$504=392,PR!$AT$430,IF($S$504=393,PR!$AT$431,IF($S$504=394,PR!$AT$432,IF($S$504=395,PR!$AT$433,IF($S$504=396,PR!$AT$437,IF($S$504=397,PR!$AT$438,IF($S$504=398,PR!$AT$439,IF($S$504=399,PR!$AT$440,IF($S$504=400,PR!$AT$441,IF($S$504=401,PR!$AT$442,IF($S$504=402,PR!$AT$443,IF($S$504=403,PR!$AT$444,IF($S$504=404,PR!$AT$445,IF($S$504=405,PR!$AT$446,IF($S$504=406,PR!$AT$447,IF($S$504=407,PR!$AT$448,IF($S$504=408,PR!$AT$449,IF($S$504=409,PR!$AT$450,IF($S$504=410,PR!$AT$451,IF($S$504=411,PR!$AT$452,IF($S$504=412,PR!$AT$453,IF($S$504=413,PR!$AT$454,IF($S$504=414,PR!$AT$455,IF($S$504=415,PR!$AT$456,IF($S$504=416,PR!$AT$459,IF($S$504=417,PR!$AT$460,IF($S$504=418,PR!$AT$461,IF($S$504=419,PR!$AT$462,IF($S$504=420,PR!$AT$463,"-"))))))))))))))))))))))))))))))))))))))))))))))))))))))))))))</f>
        <v>0</v>
      </c>
      <c r="K514" s="602">
        <f>IF($S$504=361,PR!$AU$395,IF($S$504=362,PR!$AU$396,IF($S$504=363,PR!$AU$397,IF($S$504=364,PR!$AU$398,IF($S$504=365,PR!$AU$399,IF($S$504=366,PR!$AU$400,IF($S$504=367,PR!$AU$401,IF($S$504=368,PR!$AU$402,IF($S$504=369,PR!$AU$403,IF($S$504=370,PR!$AU$404,IF($S$504=371,PR!$AU$405,IF($S$504=372,PR!$AU$406,IF($S$504=373,PR!$AU$407,IF($S$504=374,PR!$AU$408,IF($S$504=375,PR!$AU$409,IF($S$504=376,PR!$AU$410,IF($S$504=377,PR!$AU$411,IF($S$504=378,PR!$AU$412,IF($S$504=379,PR!$AU$413,IF($S$504=380,PR!$AU$414,IF($S$504=381,PR!$AU$419,IF($S$504=382,PR!$AU$420,IF($S$504=383,PR!$AU$421,IF($S$504=384,PR!$AU$422,IF($S$504=385,PR!$AU$423,IF($S$504=386,PR!$AU$424,IF($S$504=387,PR!$AU$425,IF($S$504=388,PR!$AU$426,IF($S$504=389,PR!$AU$427,IF($S$504=390,PR!$AU$428,IF($S$504=391,PR!$AU$429,IF($S$504=392,PR!$AU$430,IF($S$504=393,PR!$AU$431,IF($S$504=394,PR!$AU$432,IF($S$504=395,PR!$AU$433,IF($S$504=396,PR!$AU$437,IF($S$504=397,PR!$AU$438,IF($S$504=398,PR!$AU$439,IF($S$504=399,PR!$AU$440,IF($S$504=400,PR!$AU$441,IF($S$504=401,PR!$AU$442,IF($S$504=402,PR!$AU$443,IF($S$504=403,PR!$AU$444,IF($S$504=404,PR!$AU$445,IF($S$504=405,PR!$AU$446,IF($S$504=406,PR!$AU$447,IF($S$504=407,PR!$AU$448,IF($S$504=408,PR!$AU$449,IF($S$504=409,PR!$AU$450,IF($S$504=410,PR!$AU$451,IF($S$504=411,PR!$AU$452,IF($S$504=412,PR!$AU$453,IF($S$504=413,PR!$AU$454,IF($S$504=414,PR!$AU$455,IF($S$504=415,PR!$AU$456,IF($S$504=416,PR!$AU$459,IF($S$504=417,PR!$AU$460,IF($S$504=418,PR!$AU$461,IF($S$504=419,PR!$AU$462,IF($S$504=420,PR!$AU$463,"-"))))))))))))))))))))))))))))))))))))))))))))))))))))))))))))</f>
        <v>0</v>
      </c>
      <c r="L514" s="602">
        <f>IF($S$504=361,PR!$AV$395,IF($S$504=362,PR!$AV$396,IF($S$504=363,PR!$AV$397,IF($S$504=364,PR!$AV$398,IF($S$504=365,PR!$AV$399,IF($S$504=366,PR!$AV$400,IF($S$504=367,PR!$AV$401,IF($S$504=368,PR!$AV$402,IF($S$504=369,PR!$AV$403,IF($S$504=370,PR!$AV$404,IF($S$504=371,PR!$AV$405,IF($S$504=372,PR!$AV$406,IF($S$504=373,PR!$AV$407,IF($S$504=374,PR!$AV$408,IF($S$504=375,PR!$AV$409,IF($S$504=376,PR!$AV$410,IF($S$504=377,PR!$AV$411,IF($S$504=378,PR!$AV$412,IF($S$504=379,PR!$AV$413,IF($S$504=380,PR!$AV$414,IF($S$504=381,PR!$AV$419,IF($S$504=382,PR!$AV$420,IF($S$504=383,PR!$AV$421,IF($S$504=384,PR!$AV$422,IF($S$504=385,PR!$AV$423,IF($S$504=386,PR!$AV$424,IF($S$504=387,PR!$AV$425,IF($S$504=388,PR!$AV$426,IF($S$504=389,PR!$AV$427,IF($S$504=390,PR!$AV$428,IF($S$504=391,PR!$AV$429,IF($S$504=392,PR!$AV$430,IF($S$504=393,PR!$AV$431,IF($S$504=394,PR!$AV$432,IF($S$504=395,PR!$AV$433,IF($S$504=396,PR!$AV$437,IF($S$504=397,PR!$AV$438,IF($S$504=398,PR!$AV$439,IF($S$504=399,PR!$AV$440,IF($S$504=400,PR!$AV$441,IF($S$504=401,PR!$AV$442,IF($S$504=402,PR!$AV$443,IF($S$504=403,PR!$AV$444,IF($S$504=404,PR!$AV$445,IF($S$504=405,PR!$AV$446,IF($S$504=406,PR!$AV$447,IF($S$504=407,PR!$AV$448,IF($S$504=408,PR!$AV$449,IF($S$504=409,PR!$AV$450,IF($S$504=410,PR!$AV$451,IF($S$504=411,PR!$AV$452,IF($S$504=412,PR!$AV$453,IF($S$504=413,PR!$AV$454,IF($S$504=414,PR!$AV$455,IF($S$504=415,PR!$AV$456,IF($S$504=416,PR!$AV$459,IF($S$504=417,PR!$AV$460,IF($S$504=418,PR!$AV$461,IF($S$504=419,PR!$AV$462,IF($S$504=420,PR!$AV$463,"-"))))))))))))))))))))))))))))))))))))))))))))))))))))))))))))</f>
        <v>0</v>
      </c>
      <c r="M514" s="602">
        <f>IF($S$504=361,PR!$AW$395,IF($S$504=362,PR!$AW$396,IF($S$504=363,PR!$AW$397,IF($S$504=364,PR!$AW$398,IF($S$504=365,PR!$AW$399,IF($S$504=366,PR!$AW$400,IF($S$504=367,PR!$AW$401,IF($S$504=368,PR!$AW$402,IF($S$504=369,PR!$AW$403,IF($S$504=370,PR!$AW$404,IF($S$504=371,PR!$AW$405,IF($S$504=372,PR!$AW$406,IF($S$504=373,PR!$AW$407,IF($S$504=374,PR!$AW$408,IF($S$504=375,PR!$AW$409,IF($S$504=376,PR!$AW$410,IF($S$504=377,PR!$AW$411,IF($S$504=378,PR!$AW$412,IF($S$504=379,PR!$AW$413,IF($S$504=380,PR!$AW$414,IF($S$504=381,PR!$AW$419,IF($S$504=382,PR!$AW$420,IF($S$504=383,PR!$AW$421,IF($S$504=384,PR!$AW$422,IF($S$504=385,PR!$AW$423,IF($S$504=386,PR!$AW$424,IF($S$504=387,PR!$AW$425,IF($S$504=388,PR!$AW$426,IF($S$504=389,PR!$AW$427,IF($S$504=390,PR!$AW$428,IF($S$504=391,PR!$AW$429,IF($S$504=392,PR!$AW$430,IF($S$504=393,PR!$AW$431,IF($S$504=394,PR!$AW$432,IF($S$504=395,PR!$AW$433,IF($S$504=396,PR!$AW$437,IF($S$504=397,PR!$AW$438,IF($S$504=398,PR!$AW$439,IF($S$504=399,PR!$AW$440,IF($S$504=400,PR!$AW$441,IF($S$504=401,PR!$AW$442,IF($S$504=402,PR!$AW$443,IF($S$504=403,PR!$AW$444,IF($S$504=404,PR!$AW$445,IF($S$504=405,PR!$AW$446,IF($S$504=406,PR!$AW$447,IF($S$504=407,PR!$AW$448,IF($S$504=408,PR!$AW$449,IF($S$504=409,PR!$AW$450,IF($S$504=410,PR!$AW$451,IF($S$504=411,PR!$AW$452,IF($S$504=412,PR!$AW$453,IF($S$504=413,PR!$AW$454,IF($S$504=414,PR!$AW$455,IF($S$504=415,PR!$AW$456,IF($S$504=416,PR!$AW$459,IF($S$504=417,PR!$AW$460,IF($S$504=418,PR!$AW$461,IF($S$504=419,PR!$AW$462,IF($S$504=420,PR!$AW$463,"-"))))))))))))))))))))))))))))))))))))))))))))))))))))))))))))</f>
        <v>0</v>
      </c>
      <c r="N514" s="602">
        <f>IF($S$504=361,PR!$AX$395,IF($S$504=362,PR!$AX$396,IF($S$504=363,PR!$AX$397,IF($S$504=364,PR!$AX$398,IF($S$504=365,PR!$AX$399,IF($S$504=366,PR!$AX$400,IF($S$504=367,PR!$AX$401,IF($S$504=368,PR!$AX$402,IF($S$504=369,PR!$AX$403,IF($S$504=370,PR!$AX$404,IF($S$504=371,PR!$AX$405,IF($S$504=372,PR!$AX$406,IF($S$504=373,PR!$AX$407,IF($S$504=374,PR!$AX$408,IF($S$504=375,PR!$AX$409,IF($S$504=376,PR!$AX$410,IF($S$504=377,PR!$AX$411,IF($S$504=378,PR!$AX$412,IF($S$504=379,PR!$AX$413,IF($S$504=380,PR!$AX$414,IF($S$504=381,PR!$AX$419,IF($S$504=382,PR!$AX$420,IF($S$504=383,PR!$AX$421,IF($S$504=384,PR!$AX$422,IF($S$504=385,PR!$AX$423,IF($S$504=386,PR!$AX$424,IF($S$504=387,PR!$AX$425,IF($S$504=388,PR!$AX$426,IF($S$504=389,PR!$AX$427,IF($S$504=390,PR!$AX$428,IF($S$504=391,PR!$AX$429,IF($S$504=392,PR!$AX$430,IF($S$504=393,PR!$AX$431,IF($S$504=394,PR!$AX$432,IF($S$504=395,PR!$AX$433,IF($S$504=396,PR!$AX$437,IF($S$504=397,PR!$AX$438,IF($S$504=398,PR!$AX$439,IF($S$504=399,PR!$AX$440,IF($S$504=400,PR!$AX$441,IF($S$504=401,PR!$AX$442,IF($S$504=402,PR!$AX$443,IF($S$504=403,PR!$AX$444,IF($S$504=404,PR!$AX$445,IF($S$504=405,PR!$AX$446,IF($S$504=406,PR!$AX$447,IF($S$504=407,PR!$AX$448,IF($S$504=408,PR!$AX$449,IF($S$504=409,PR!$AX$450,IF($S$504=410,PR!$AX$451,IF($S$504=411,PR!$AX$452,IF($S$504=412,PR!$AX$453,IF($S$504=413,PR!$AX$454,IF($S$504=414,PR!$AX$455,IF($S$504=415,PR!$AX$456,IF($S$504=416,PR!$AX$459,IF($S$504=417,PR!$AX$460,IF($S$504=418,PR!$AX$461,IF($S$504=419,PR!$AX$462,IF($S$504=420,PR!$AX$463,"-"))))))))))))))))))))))))))))))))))))))))))))))))))))))))))))</f>
        <v>0</v>
      </c>
      <c r="O514" s="602">
        <f>IF($S$504=361,PR!$AY$395,IF($S$504=362,PR!$AY$396,IF($S$504=363,PR!$AY$397,IF($S$504=364,PR!$AY$398,IF($S$504=365,PR!$AY$399,IF($S$504=366,PR!$AY$400,IF($S$504=367,PR!$AY$401,IF($S$504=368,PR!$AY$402,IF($S$504=369,PR!$AY$403,IF($S$504=370,PR!$AY$404,IF($S$504=371,PR!$AY$405,IF($S$504=372,PR!$AY$406,IF($S$504=373,PR!$AY$407,IF($S$504=374,PR!$AY$408,IF($S$504=375,PR!$AY$409,IF($S$504=376,PR!$AY$410,IF($S$504=377,PR!$AY$411,IF($S$504=378,PR!$AY$412,IF($S$504=379,PR!$AY$413,IF($S$504=380,PR!$AY$414,IF($S$504=381,PR!$AY$419,IF($S$504=382,PR!$AY$420,IF($S$504=383,PR!$AY$421,IF($S$504=384,PR!$AY$422,IF($S$504=385,PR!$AY$423,IF($S$504=386,PR!$AY$424,IF($S$504=387,PR!$AY$425,IF($S$504=388,PR!$AY$426,IF($S$504=389,PR!$AY$427,IF($S$504=390,PR!$AY$428,IF($S$504=391,PR!$AY$429,IF($S$504=392,PR!$AY$430,IF($S$504=393,PR!$AY$431,IF($S$504=394,PR!$AY$432,IF($S$504=395,PR!$AY$433,IF($S$504=396,PR!$AY$437,IF($S$504=397,PR!$AY$438,IF($S$504=398,PR!$AY$439,IF($S$504=399,PR!$AY$440,IF($S$504=400,PR!$AY$441,IF($S$504=401,PR!$AY$442,IF($S$504=402,PR!$AY$443,IF($S$504=403,PR!$AY$444,IF($S$504=404,PR!$AY$445,IF($S$504=405,PR!$AY$446,IF($S$504=406,PR!$AY$447,IF($S$504=407,PR!$AY$448,IF($S$504=408,PR!$AY$449,IF($S$504=409,PR!$AY$450,IF($S$504=410,PR!$AY$451,IF($S$504=411,PR!$AY$452,IF($S$504=412,PR!$AY$453,IF($S$504=413,PR!$AY$454,IF($S$504=414,PR!$AY$455,IF($S$504=415,PR!$AY$456,IF($S$504=416,PR!$AY$459,IF($S$504=417,PR!$AY$460,IF($S$504=418,PR!$AY$461,IF($S$504=419,PR!$AY$462,IF($S$504=420,PR!$AY$463,"-"))))))))))))))))))))))))))))))))))))))))))))))))))))))))))))</f>
        <v>0</v>
      </c>
      <c r="P514" s="602">
        <f>IF($S$504=361,PR!$AZ$395,IF($S$504=362,PR!$AZ$396,IF($S$504=363,PR!$AZ$397,IF($S$504=364,PR!$AZ$398,IF($S$504=365,PR!$AZ$399,IF($S$504=366,PR!$AZ$400,IF($S$504=367,PR!$AZ$401,IF($S$504=368,PR!$AZ$402,IF($S$504=369,PR!$AZ$403,IF($S$504=370,PR!$AZ$404,IF($S$504=371,PR!$AZ$405,IF($S$504=372,PR!$AZ$406,IF($S$504=373,PR!$AZ$407,IF($S$504=374,PR!$AZ$408,IF($S$504=375,PR!$AZ$409,IF($S$504=376,PR!$AZ$410,IF($S$504=377,PR!$AZ$411,IF($S$504=378,PR!$AZ$412,IF($S$504=379,PR!$AZ$413,IF($S$504=380,PR!$AZ$414,IF($S$504=381,PR!$AZ$419,IF($S$504=382,PR!$AZ$420,IF($S$504=383,PR!$AZ$421,IF($S$504=384,PR!$AZ$422,IF($S$504=385,PR!$AZ$423,IF($S$504=386,PR!$AZ$424,IF($S$504=387,PR!$AZ$425,IF($S$504=388,PR!$AZ$426,IF($S$504=389,PR!$AZ$427,IF($S$504=390,PR!$AZ$428,IF($S$504=391,PR!$AZ$429,IF($S$504=392,PR!$AZ$430,IF($S$504=393,PR!$AZ$431,IF($S$504=394,PR!$AZ$432,IF($S$504=395,PR!$AZ$433,IF($S$504=396,PR!$AZ$437,IF($S$504=397,PR!$AZ$438,IF($S$504=398,PR!$AZ$439,IF($S$504=399,PR!$AZ$440,IF($S$504=400,PR!$AZ$441,IF($S$504=401,PR!$AZ$442,IF($S$504=402,PR!$AZ$443,IF($S$504=403,PR!$AZ$444,IF($S$504=404,PR!$AZ$445,IF($S$504=405,PR!$AZ$446,IF($S$504=406,PR!$AZ$447,IF($S$504=407,PR!$AZ$448,IF($S$504=408,PR!$AZ$449,IF($S$504=409,PR!$AZ$450,IF($S$504=410,PR!$AZ$451,IF($S$504=411,PR!$AZ$452,IF($S$504=412,PR!$AZ$453,IF($S$504=413,PR!$AZ$454,IF($S$504=414,PR!$AZ$455,IF($S$504=415,PR!$AZ$456,IF($S$504=416,PR!$AZ$459,IF($S$504=417,PR!$AZ$460,IF($S$504=418,PR!$AZ$461,IF($S$504=419,PR!$AZ$462,IF($S$504=420,PR!$AZ$463,"-"))))))))))))))))))))))))))))))))))))))))))))))))))))))))))))</f>
        <v>0</v>
      </c>
      <c r="Q514" s="602">
        <f>IF($S$504=361,PR!$BA$395,IF($S$504=362,PR!$BA$396,IF($S$504=363,PR!$BA$397,IF($S$504=364,PR!$BA$398,IF($S$504=365,PR!$BA$399,IF($S$504=366,PR!$BA$400,IF($S$504=367,PR!$BA$401,IF($S$504=368,PR!$BA$402,IF($S$504=369,PR!$BA$403,IF($S$504=370,PR!$BA$404,IF($S$504=371,PR!$BA$405,IF($S$504=372,PR!$BA$406,IF($S$504=373,PR!$BA$407,IF($S$504=374,PR!$BA$408,IF($S$504=375,PR!$BA$409,IF($S$504=376,PR!$BA$410,IF($S$504=377,PR!$BA$411,IF($S$504=378,PR!$BA$412,IF($S$504=379,PR!$BA$413,IF($S$504=380,PR!$BA$414,IF($S$504=381,PR!$BA$419,IF($S$504=382,PR!$BA$420,IF($S$504=383,PR!$BA$421,IF($S$504=384,PR!$BA$422,IF($S$504=385,PR!$BA$423,IF($S$504=386,PR!$BA$424,IF($S$504=387,PR!$BA$425,IF($S$504=388,PR!$BA$426,IF($S$504=389,PR!$BA$427,IF($S$504=390,PR!$BA$428,IF($S$504=391,PR!$BA$429,IF($S$504=392,PR!$BA$430,IF($S$504=393,PR!$BA$431,IF($S$504=394,PR!$BA$432,IF($S$504=395,PR!$BA$433,IF($S$504=396,PR!$BA$437,IF($S$504=397,PR!$BA$438,IF($S$504=398,PR!$BA$439,IF($S$504=399,PR!$BA$440,IF($S$504=400,PR!$BA$441,IF($S$504=401,PR!$BA$442,IF($S$504=402,PR!$BA$443,IF($S$504=403,PR!$BA$444,IF($S$504=404,PR!$BA$445,IF($S$504=405,PR!$BA$446,IF($S$504=406,PR!$BA$447,IF($S$504=407,PR!$BA$448,IF($S$504=408,PR!$BA$449,IF($S$504=409,PR!$BA$450,IF($S$504=410,PR!$BA$451,IF($S$504=411,PR!$BA$452,IF($S$504=412,PR!$BA$453,IF($S$504=413,PR!$BA$454,IF($S$504=414,PR!$BA$455,IF($S$504=415,PR!$BA$456,IF($S$504=416,PR!$BA$459,IF($S$504=417,PR!$BA$460,IF($S$504=418,PR!$BA$461,IF($S$504=419,PR!$BA$462,IF($S$504=420,PR!$BA$463,"-"))))))))))))))))))))))))))))))))))))))))))))))))))))))))))))</f>
        <v>0</v>
      </c>
      <c r="R514" s="602">
        <f>IF($S$504=361,PR!$BB$395,IF($S$504=362,PR!$BB$396,IF($S$504=363,PR!$BB$397,IF($S$504=364,PR!$BB$398,IF($S$504=365,PR!$BB$399,IF($S$504=366,PR!$BB$400,IF($S$504=367,PR!$BB$401,IF($S$504=368,PR!$BB$402,IF($S$504=369,PR!$BB$403,IF($S$504=370,PR!$BB$404,IF($S$504=371,PR!$BB$405,IF($S$504=372,PR!$BB$406,IF($S$504=373,PR!$BB$407,IF($S$504=374,PR!$BB$408,IF($S$504=375,PR!$BB$409,IF($S$504=376,PR!$BB$410,IF($S$504=377,PR!$BB$411,IF($S$504=378,PR!$BB$412,IF($S$504=379,PR!$BB$413,IF($S$504=380,PR!$BB$414,IF($S$504=381,PR!$BB$419,IF($S$504=382,PR!$BB$420,IF($S$504=383,PR!$BB$421,IF($S$504=384,PR!$BB$422,IF($S$504=385,PR!$BB$423,IF($S$504=386,PR!$BB$424,IF($S$504=387,PR!$BB$425,IF($S$504=388,PR!$BB$426,IF($S$504=389,PR!$BB$427,IF($S$504=390,PR!$BB$428,IF($S$504=391,PR!$BB$429,IF($S$504=392,PR!$BB$430,IF($S$504=393,PR!$BB$431,IF($S$504=394,PR!$BB$432,IF($S$504=395,PR!$BB$433,IF($S$504=396,PR!$BB$437,IF($S$504=397,PR!$BB$438,IF($S$504=398,PR!$BB$439,IF($S$504=399,PR!$BB$440,IF($S$504=400,PR!$BB$441,IF($S$504=401,PR!$BB$442,IF($S$504=402,PR!$BB$443,IF($S$504=403,PR!$BB$444,IF($S$504=404,PR!$BB$445,IF($S$504=405,PR!$BB$446,IF($S$504=406,PR!$BB$447,IF($S$504=407,PR!$BB$448,IF($S$504=408,PR!$BB$449,IF($S$504=409,PR!$BB$450,IF($S$504=410,PR!$BB$451,IF($S$504=411,PR!$BB$452,IF($S$504=412,PR!$BB$453,IF($S$504=413,PR!$BB$454,IF($S$504=414,PR!$BB$455,IF($S$504=415,PR!$BB$456,IF($S$504=416,PR!$BB$459,IF($S$504=417,PR!$BB$460,IF($S$504=418,PR!$BB$461,IF($S$504=419,PR!$BB$462,IF($S$504=420,PR!$BB$463,"-"))))))))))))))))))))))))))))))))))))))))))))))))))))))))))))</f>
        <v>0</v>
      </c>
      <c r="S514" s="602">
        <f>IF($S$504=361,PR!$BC$395,IF($S$504=362,PR!$BC$396,IF($S$504=363,PR!$BC$397,IF($S$504=364,PR!$BC$398,IF($S$504=365,PR!$BC$399,IF($S$504=366,PR!$BC$400,IF($S$504=367,PR!$BC$401,IF($S$504=368,PR!$BC$402,IF($S$504=369,PR!$BC$403,IF($S$504=370,PR!$BC$404,IF($S$504=371,PR!$BC$405,IF($S$504=372,PR!$BC$406,IF($S$504=373,PR!$BC$407,IF($S$504=374,PR!$BC$408,IF($S$504=375,PR!$BC$409,IF($S$504=376,PR!$BC$410,IF($S$504=377,PR!$BC$411,IF($S$504=378,PR!$BC$412,IF($S$504=379,PR!$BC$413,IF($S$504=380,PR!$BC$414,IF($S$504=381,PR!$BC$419,IF($S$504=382,PR!$BC$420,IF($S$504=383,PR!$BC$421,IF($S$504=384,PR!$BC$422,IF($S$504=385,PR!$BC$423,IF($S$504=386,PR!$BC$424,IF($S$504=387,PR!$BC$425,IF($S$504=388,PR!$BC$426,IF($S$504=389,PR!$BC$427,IF($S$504=390,PR!$BC$428,IF($S$504=391,PR!$BC$429,IF($S$504=392,PR!$BC$430,IF($S$504=393,PR!$BC$431,IF($S$504=394,PR!$BC$432,IF($S$504=395,PR!$BC$433,IF($S$504=396,PR!$BC$437,IF($S$504=397,PR!$BC$438,IF($S$504=398,PR!$BC$439,IF($S$504=399,PR!$BC$440,IF($S$504=400,PR!$BC$441,IF($S$504=401,PR!$BC$442,IF($S$504=402,PR!$BC$443,IF($S$504=403,PR!$BC$444,IF($S$504=404,PR!$BC$445,IF($S$504=405,PR!$BC$446,IF($S$504=406,PR!$BC$447,IF($S$504=407,PR!$BC$448,IF($S$504=408,PR!$BC$449,IF($S$504=409,PR!$BC$450,IF($S$504=410,PR!$BC$451,IF($S$504=411,PR!$BC$452,IF($S$504=412,PR!$BC$453,IF($S$504=413,PR!$BC$454,IF($S$504=414,PR!$BC$455,IF($S$504=415,PR!$BC$456,IF($S$504=416,PR!$BC$459,IF($S$504=417,PR!$BC$460,IF($S$504=418,PR!$BC$461,IF($S$504=419,PR!$BC$462,IF($S$504=420,PR!$BC$463,"-"))))))))))))))))))))))))))))))))))))))))))))))))))))))))))))</f>
        <v>0</v>
      </c>
      <c r="T514" s="580"/>
      <c r="U514" s="580"/>
      <c r="V514" s="32"/>
      <c r="W514" s="32"/>
      <c r="X514" s="32"/>
      <c r="Y514" s="32"/>
      <c r="Z514" s="32"/>
    </row>
    <row r="515" spans="1:26" ht="15.75" x14ac:dyDescent="0.25">
      <c r="A515" s="91"/>
      <c r="B515" s="580"/>
      <c r="C515" s="603"/>
      <c r="D515" s="604"/>
      <c r="E515" s="604"/>
      <c r="F515" s="604"/>
      <c r="G515" s="604"/>
      <c r="H515" s="604"/>
      <c r="I515" s="604"/>
      <c r="J515" s="604"/>
      <c r="K515" s="604"/>
      <c r="L515" s="604"/>
      <c r="M515" s="604"/>
      <c r="N515" s="604"/>
      <c r="O515" s="604"/>
      <c r="P515" s="604"/>
      <c r="Q515" s="604"/>
      <c r="R515" s="606"/>
      <c r="S515" s="606"/>
      <c r="T515" s="580"/>
      <c r="U515" s="580"/>
      <c r="V515" s="32"/>
      <c r="W515" s="32"/>
      <c r="X515" s="32"/>
      <c r="Y515" s="32"/>
      <c r="Z515" s="32"/>
    </row>
    <row r="516" spans="1:26" ht="15.75" thickBot="1" x14ac:dyDescent="0.3">
      <c r="A516" s="91"/>
      <c r="B516" s="580"/>
      <c r="C516" s="600" t="str">
        <f>N!$C$55</f>
        <v>SAM</v>
      </c>
      <c r="D516" s="600" t="str">
        <f>N!$C$56</f>
        <v>SEAGREEN</v>
      </c>
      <c r="E516" s="600" t="str">
        <f>N!$C$57</f>
        <v>SKG</v>
      </c>
      <c r="F516" s="600" t="str">
        <f>N!$C$58</f>
        <v>TAH</v>
      </c>
      <c r="G516" s="600" t="str">
        <f>N!$C$59</f>
        <v>TAYLEK</v>
      </c>
      <c r="H516" s="600" t="str">
        <f>N!$C$60</f>
        <v>TEMITA</v>
      </c>
      <c r="I516" s="600" t="str">
        <f>N!$C$61</f>
        <v>THL</v>
      </c>
      <c r="J516" s="600" t="str">
        <f>N!$C$62</f>
        <v>UBASTIC</v>
      </c>
      <c r="K516" s="600" t="str">
        <f>N!$C$63</f>
        <v>UNION</v>
      </c>
      <c r="L516" s="600" t="str">
        <f>N!$C$64</f>
        <v>UNIQUE</v>
      </c>
      <c r="M516" s="600" t="str">
        <f>N!$C$65</f>
        <v>VIXA</v>
      </c>
      <c r="N516" s="600" t="str">
        <f>N!$C$66</f>
        <v>WWCV</v>
      </c>
      <c r="O516" s="600" t="str">
        <f>N!$C$67</f>
        <v>ZOLON</v>
      </c>
      <c r="P516" s="600" t="e">
        <f>N!#REF!</f>
        <v>#REF!</v>
      </c>
      <c r="Q516" s="600" t="e">
        <f>N!#REF!</f>
        <v>#REF!</v>
      </c>
      <c r="R516" s="600" t="e">
        <f>N!#REF!</f>
        <v>#REF!</v>
      </c>
      <c r="S516" s="604"/>
      <c r="T516" s="580"/>
      <c r="U516" s="580"/>
      <c r="V516" s="32"/>
      <c r="W516" s="32"/>
      <c r="X516" s="32"/>
      <c r="Y516" s="32"/>
      <c r="Z516" s="32"/>
    </row>
    <row r="517" spans="1:26" ht="15.75" thickBot="1" x14ac:dyDescent="0.3">
      <c r="A517" s="91"/>
      <c r="B517" s="580"/>
      <c r="C517" s="602">
        <f>IF($S$504=361,PR!$BD$395,IF($S$504=362,PR!$BD$396,IF($S$504=363,PR!$BD$397,IF($S$504=364,PR!$BD$398,IF($S$504=365,PR!$BD$399,IF($S$504=366,PR!$BD$400,IF($S$504=367,PR!$BD$401,IF($S$504=368,PR!$BD$402,IF($S$504=369,PR!$BD$403,IF($S$504=370,PR!$BD$404,IF($S$504=371,PR!$BD$405,IF($S$504=372,PR!$BD$406,IF($S$504=373,PR!$BD$407,IF($S$504=374,PR!$BD$408,IF($S$504=375,PR!$BD$409,IF($S$504=376,PR!$BD$410,IF($S$504=377,PR!$BD$411,IF($S$504=378,PR!$BD$412,IF($S$504=379,PR!$BD$413,IF($S$504=380,PR!$BD$414,IF($S$504=381,PR!$BD$419,IF($S$504=382,PR!$BD$420,IF($S$504=383,PR!$BD$421,IF($S$504=384,PR!$BD$422,IF($S$504=385,PR!$BD$423,IF($S$504=386,PR!$BD$424,IF($S$504=387,PR!$BD$425,IF($S$504=388,PR!$BD$426,IF($S$504=389,PR!$BD$427,IF($S$504=390,PR!$BD$428,IF($S$504=391,PR!$BD$429,IF($S$504=392,PR!$BD$430,IF($S$504=393,PR!$BD$431,IF($S$504=394,PR!$BD$432,IF($S$504=395,PR!$BD$433,IF($S$504=396,PR!$BD$437,IF($S$504=397,PR!$BD$438,IF($S$504=398,PR!$BD$439,IF($S$504=399,PR!$BD$440,IF($S$504=400,PR!$BD$441,IF($S$504=401,PR!$BD$442,IF($S$504=402,PR!$BD$443,IF($S$504=403,PR!$BD$444,IF($S$504=404,PR!$BD$445,IF($S$504=405,PR!$BD$446,IF($S$504=406,PR!$BD$447,IF($S$504=407,PR!$BD$448,IF($S$504=408,PR!$BD$449,IF($S$504=409,PR!$BD$450,IF($S$504=410,PR!$BD$451,IF($S$504=411,PR!$BD$452,IF($S$504=412,PR!$BD$453,IF($S$504=413,PR!$BD$454,IF($S$504=414,PR!$BD$455,IF($S$504=415,PR!$BD$456,IF($S$504=416,PR!$BD$459,IF($S$504=417,PR!$BD$460,IF($S$504=418,PR!$BD$461,IF($S$504=419,PR!$BD$462,IF($S$504=420,PR!$BD$463,"-"))))))))))))))))))))))))))))))))))))))))))))))))))))))))))))</f>
        <v>0</v>
      </c>
      <c r="D517" s="602">
        <f>IF($S$504=361,PR!$BE$395,IF($S$504=362,PR!$BE$396,IF($S$504=363,PR!$BE$397,IF($S$504=364,PR!$BE$398,IF($S$504=365,PR!$BE$399,IF($S$504=366,PR!$BE$400,IF($S$504=367,PR!$BE$401,IF($S$504=368,PR!$BE$402,IF($S$504=369,PR!$BE$403,IF($S$504=370,PR!$BE$404,IF($S$504=371,PR!$BE$405,IF($S$504=372,PR!$BE$406,IF($S$504=373,PR!$BE$407,IF($S$504=374,PR!$BE$408,IF($S$504=375,PR!$BE$409,IF($S$504=376,PR!$BE$410,IF($S$504=377,PR!$BE$411,IF($S$504=378,PR!$BE$412,IF($S$504=379,PR!$BE$413,IF($S$504=380,PR!$BE$414,IF($S$504=381,PR!$BE$419,IF($S$504=382,PR!$BE$420,IF($S$504=383,PR!$BE$421,IF($S$504=384,PR!$BE$422,IF($S$504=385,PR!$BE$423,IF($S$504=386,PR!$BE$424,IF($S$504=387,PR!$BE$425,IF($S$504=388,PR!$BE$426,IF($S$504=389,PR!$BE$427,IF($S$504=390,PR!$BE$428,IF($S$504=391,PR!$BE$429,IF($S$504=392,PR!$BE$430,IF($S$504=393,PR!$BE$431,IF($S$504=394,PR!$BE$432,IF($S$504=395,PR!$BE$433,IF($S$504=396,PR!$BE$437,IF($S$504=397,PR!$BE$438,IF($S$504=398,PR!$BE$439,IF($S$504=399,PR!$BE$440,IF($S$504=400,PR!$BE$441,IF($S$504=401,PR!$BE$442,IF($S$504=402,PR!$BE$443,IF($S$504=403,PR!$BE$444,IF($S$504=404,PR!$BE$445,IF($S$504=405,PR!$BE$446,IF($S$504=406,PR!$BE$447,IF($S$504=407,PR!$BE$448,IF($S$504=408,PR!$BE$449,IF($S$504=409,PR!$BE$450,IF($S$504=410,PR!$BE$451,IF($S$504=411,PR!$BE$452,IF($S$504=412,PR!$BE$453,IF($S$504=413,PR!$BE$454,IF($S$504=414,PR!$BE$455,IF($S$504=415,PR!$BE$456,IF($S$504=416,PR!$BE$459,IF($S$504=417,PR!$BE$460,IF($S$504=418,PR!$BE$461,IF($S$504=419,PR!$BE$462,IF($S$504=420,PR!$BE$463,"-"))))))))))))))))))))))))))))))))))))))))))))))))))))))))))))</f>
        <v>0</v>
      </c>
      <c r="E517" s="602">
        <f>IF($S$504=361,PR!$BF$395,IF($S$504=362,PR!$BF$396,IF($S$504=363,PR!$BF$397,IF($S$504=364,PR!$BF$398,IF($S$504=365,PR!$BF$399,IF($S$504=366,PR!$BF$400,IF($S$504=367,PR!$BF$401,IF($S$504=368,PR!$BF$402,IF($S$504=369,PR!$BF$403,IF($S$504=370,PR!$BF$404,IF($S$504=371,PR!$BF$405,IF($S$504=372,PR!$BF$406,IF($S$504=373,PR!$BF$407,IF($S$504=374,PR!$BF$408,IF($S$504=375,PR!$BF$409,IF($S$504=376,PR!$BF$410,IF($S$504=377,PR!$BF$411,IF($S$504=378,PR!$BF$412,IF($S$504=379,PR!$BF$413,IF($S$504=380,PR!$BF$414,IF($S$504=381,PR!$BF$419,IF($S$504=382,PR!$BF$420,IF($S$504=383,PR!$BF$421,IF($S$504=384,PR!$BF$422,IF($S$504=385,PR!$BF$423,IF($S$504=386,PR!$BF$424,IF($S$504=387,PR!$BF$425,IF($S$504=388,PR!$BF$426,IF($S$504=389,PR!$BF$427,IF($S$504=390,PR!$BF$428,IF($S$504=391,PR!$BF$429,IF($S$504=392,PR!$BF$430,IF($S$504=393,PR!$BF$431,IF($S$504=394,PR!$BF$432,IF($S$504=395,PR!$BF$433,IF($S$504=396,PR!$BF$437,IF($S$504=397,PR!$BF$438,IF($S$504=398,PR!$BF$439,IF($S$504=399,PR!$BF$440,IF($S$504=400,PR!$BF$441,IF($S$504=401,PR!$BF$442,IF($S$504=402,PR!$BF$443,IF($S$504=403,PR!$BF$444,IF($S$504=404,PR!$BF$445,IF($S$504=405,PR!$BF$446,IF($S$504=406,PR!$BF$447,IF($S$504=407,PR!$BF$448,IF($S$504=408,PR!$BF$449,IF($S$504=409,PR!$BF$450,IF($S$504=410,PR!$BF$451,IF($S$504=411,PR!$BF$452,IF($S$504=412,PR!$BF$453,IF($S$504=413,PR!$BF$454,IF($S$504=414,PR!$BF$455,IF($S$504=415,PR!$BF$456,IF($S$504=416,PR!$BF$459,IF($S$504=417,PR!$BF$460,IF($S$504=418,PR!$BF$461,IF($S$504=419,PR!$BF$462,IF($S$504=420,PR!$BF$463,"-"))))))))))))))))))))))))))))))))))))))))))))))))))))))))))))</f>
        <v>0</v>
      </c>
      <c r="F517" s="602">
        <f>IF($S$504=361,PR!$BG$395,IF($S$504=362,PR!$BG$396,IF($S$504=363,PR!$BG$397,IF($S$504=364,PR!$BG$398,IF($S$504=365,PR!$BG$399,IF($S$504=366,PR!$BG$400,IF($S$504=367,PR!$BG$401,IF($S$504=368,PR!$BG$402,IF($S$504=369,PR!$BG$403,IF($S$504=370,PR!$BG$404,IF($S$504=371,PR!$BG$405,IF($S$504=372,PR!$BG$406,IF($S$504=373,PR!$BG$407,IF($S$504=374,PR!$BG$408,IF($S$504=375,PR!$BG$409,IF($S$504=376,PR!$BG$410,IF($S$504=377,PR!$BG$411,IF($S$504=378,PR!$BG$412,IF($S$504=379,PR!$BG$413,IF($S$504=380,PR!$BG$414,IF($S$504=381,PR!$BG$419,IF($S$504=382,PR!$BG$420,IF($S$504=383,PR!$BG$421,IF($S$504=384,PR!$BG$422,IF($S$504=385,PR!$BG$423,IF($S$504=386,PR!$BG$424,IF($S$504=387,PR!$BG$425,IF($S$504=388,PR!$BG$426,IF($S$504=389,PR!$BG$427,IF($S$504=390,PR!$BG$428,IF($S$504=391,PR!$BG$429,IF($S$504=392,PR!$BG$430,IF($S$504=393,PR!$BG$431,IF($S$504=394,PR!$BG$432,IF($S$504=395,PR!$BG$433,IF($S$504=396,PR!$BG$437,IF($S$504=397,PR!$BG$438,IF($S$504=398,PR!$BG$439,IF($S$504=399,PR!$BG$440,IF($S$504=400,PR!$BG$441,IF($S$504=401,PR!$BG$442,IF($S$504=402,PR!$BG$443,IF($S$504=403,PR!$BG$444,IF($S$504=404,PR!$BG$445,IF($S$504=405,PR!$BG$446,IF($S$504=406,PR!$BG$447,IF($S$504=407,PR!$BG$448,IF($S$504=408,PR!$BG$449,IF($S$504=409,PR!$BG$450,IF($S$504=410,PR!$BG$451,IF($S$504=411,PR!$BG$452,IF($S$504=412,PR!$BG$453,IF($S$504=413,PR!$BG$454,IF($S$504=414,PR!$BG$455,IF($S$504=415,PR!$BG$456,IF($S$504=416,PR!$BG$459,IF($S$504=417,PR!$BG$460,IF($S$504=418,PR!$BG$461,IF($S$504=419,PR!$BG$462,IF($S$504=420,PR!$BG$463,"-"))))))))))))))))))))))))))))))))))))))))))))))))))))))))))))</f>
        <v>0</v>
      </c>
      <c r="G517" s="602">
        <f>IF($S$504=361,PR!$BH$395,IF($S$504=362,PR!$BH$396,IF($S$504=363,PR!$BH$397,IF($S$504=364,PR!$BH$398,IF($S$504=365,PR!$BH$399,IF($S$504=366,PR!$BH$400,IF($S$504=367,PR!$BH$401,IF($S$504=368,PR!$BH$402,IF($S$504=369,PR!$BH$403,IF($S$504=370,PR!$BH$404,IF($S$504=371,PR!$BH$405,IF($S$504=372,PR!$BH$406,IF($S$504=373,PR!$BH$407,IF($S$504=374,PR!$BH$408,IF($S$504=375,PR!$BH$409,IF($S$504=376,PR!$BH$410,IF($S$504=377,PR!$BH$411,IF($S$504=378,PR!$BH$412,IF($S$504=379,PR!$BH$413,IF($S$504=380,PR!$BH$414,IF($S$504=381,PR!$BH$419,IF($S$504=382,PR!$BH$420,IF($S$504=383,PR!$BH$421,IF($S$504=384,PR!$BH$422,IF($S$504=385,PR!$BH$423,IF($S$504=386,PR!$BH$424,IF($S$504=387,PR!$BH$425,IF($S$504=388,PR!$BH$426,IF($S$504=389,PR!$BH$427,IF($S$504=390,PR!$BH$428,IF($S$504=391,PR!$BH$429,IF($S$504=392,PR!$BH$430,IF($S$504=393,PR!$BH$431,IF($S$504=394,PR!$BH$432,IF($S$504=395,PR!$BH$433,IF($S$504=396,PR!$BH$437,IF($S$504=397,PR!$BH$438,IF($S$504=398,PR!$BH$439,IF($S$504=399,PR!$BH$440,IF($S$504=400,PR!$BH$441,IF($S$504=401,PR!$BH$442,IF($S$504=402,PR!$BH$443,IF($S$504=403,PR!$BH$444,IF($S$504=404,PR!$BH$445,IF($S$504=405,PR!$BH$446,IF($S$504=406,PR!$BH$447,IF($S$504=407,PR!$BH$448,IF($S$504=408,PR!$BH$449,IF($S$504=409,PR!$BH$450,IF($S$504=410,PR!$BH$451,IF($S$504=411,PR!$BH$452,IF($S$504=412,PR!$BH$453,IF($S$504=413,PR!$BH$454,IF($S$504=414,PR!$BH$455,IF($S$504=415,PR!$BH$456,IF($S$504=416,PR!$BH$459,IF($S$504=417,PR!$BH$460,IF($S$504=418,PR!$BH$461,IF($S$504=419,PR!$BH$462,IF($S$504=420,PR!$BH$463,"-"))))))))))))))))))))))))))))))))))))))))))))))))))))))))))))</f>
        <v>0</v>
      </c>
      <c r="H517" s="602">
        <f>IF($S$504=361,PR!$BI$395,IF($S$504=362,PR!$BI$396,IF($S$504=363,PR!$BI$397,IF($S$504=364,PR!$BI$398,IF($S$504=365,PR!$BI$399,IF($S$504=366,PR!$BI$400,IF($S$504=367,PR!$BI$401,IF($S$504=368,PR!$BI$402,IF($S$504=369,PR!$BI$403,IF($S$504=370,PR!$BI$404,IF($S$504=371,PR!$BI$405,IF($S$504=372,PR!$BI$406,IF($S$504=373,PR!$BI$407,IF($S$504=374,PR!$BI$408,IF($S$504=375,PR!$BI$409,IF($S$504=376,PR!$BI$410,IF($S$504=377,PR!$BI$411,IF($S$504=378,PR!$BI$412,IF($S$504=379,PR!$BI$413,IF($S$504=380,PR!$BI$414,IF($S$504=381,PR!$BI$419,IF($S$504=382,PR!$BI$420,IF($S$504=383,PR!$BI$421,IF($S$504=384,PR!$BI$422,IF($S$504=385,PR!$BI$423,IF($S$504=386,PR!$BI$424,IF($S$504=387,PR!$BI$425,IF($S$504=388,PR!$BI$426,IF($S$504=389,PR!$BI$427,IF($S$504=390,PR!$BI$428,IF($S$504=391,PR!$BI$429,IF($S$504=392,PR!$BI$430,IF($S$504=393,PR!$BI$431,IF($S$504=394,PR!$BI$432,IF($S$504=395,PR!$BI$433,IF($S$504=396,PR!$BI$437,IF($S$504=397,PR!$BI$438,IF($S$504=398,PR!$BI$439,IF($S$504=399,PR!$BI$440,IF($S$504=400,PR!$BI$441,IF($S$504=401,PR!$BI$442,IF($S$504=402,PR!$BI$443,IF($S$504=403,PR!$BI$444,IF($S$504=404,PR!$BI$445,IF($S$504=405,PR!$BI$446,IF($S$504=406,PR!$BI$447,IF($S$504=407,PR!$BI$448,IF($S$504=408,PR!$BI$449,IF($S$504=409,PR!$BI$450,IF($S$504=410,PR!$BI$451,IF($S$504=411,PR!$BI$452,IF($S$504=412,PR!$BI$453,IF($S$504=413,PR!$BI$454,IF($S$504=414,PR!$BI$455,IF($S$504=415,PR!$BI$456,IF($S$504=416,PR!$BI$459,IF($S$504=417,PR!$BI$460,IF($S$504=418,PR!$BI$461,IF($S$504=419,PR!$BI$462,IF($S$504=420,PR!$BI$463,"-"))))))))))))))))))))))))))))))))))))))))))))))))))))))))))))</f>
        <v>0</v>
      </c>
      <c r="I517" s="602">
        <f>IF($S$504=361,PR!$BJ$395,IF($S$504=362,PR!$BJ$396,IF($S$504=363,PR!$BJ$397,IF($S$504=364,PR!$BJ$398,IF($S$504=365,PR!$BJ$399,IF($S$504=366,PR!$BJ$400,IF($S$504=367,PR!$BJ$401,IF($S$504=368,PR!$BJ$402,IF($S$504=369,PR!$BJ$403,IF($S$504=370,PR!$BJ$404,IF($S$504=371,PR!$BJ$405,IF($S$504=372,PR!$BJ$406,IF($S$504=373,PR!$BJ$407,IF($S$504=374,PR!$BJ$408,IF($S$504=375,PR!$BJ$409,IF($S$504=376,PR!$BJ$410,IF($S$504=377,PR!$BJ$411,IF($S$504=378,PR!$BJ$412,IF($S$504=379,PR!$BJ$413,IF($S$504=380,PR!$BJ$414,IF($S$504=381,PR!$BJ$419,IF($S$504=382,PR!$BJ$420,IF($S$504=383,PR!$BJ$421,IF($S$504=384,PR!$BJ$422,IF($S$504=385,PR!$BJ$423,IF($S$504=386,PR!$BJ$424,IF($S$504=387,PR!$BJ$425,IF($S$504=388,PR!$BJ$426,IF($S$504=389,PR!$BJ$427,IF($S$504=390,PR!$BJ$428,IF($S$504=391,PR!$BJ$429,IF($S$504=392,PR!$BJ$430,IF($S$504=393,PR!$BJ$431,IF($S$504=394,PR!$BJ$432,IF($S$504=395,PR!$BJ$433,IF($S$504=396,PR!$BJ$437,IF($S$504=397,PR!$BJ$438,IF($S$504=398,PR!$BJ$439,IF($S$504=399,PR!$BJ$440,IF($S$504=400,PR!$BJ$441,IF($S$504=401,PR!$BJ$442,IF($S$504=402,PR!$BJ$443,IF($S$504=403,PR!$BJ$444,IF($S$504=404,PR!$BJ$445,IF($S$504=405,PR!$BJ$446,IF($S$504=406,PR!$BJ$447,IF($S$504=407,PR!$BJ$448,IF($S$504=408,PR!$BJ$449,IF($S$504=409,PR!$BJ$450,IF($S$504=410,PR!$BJ$451,IF($S$504=411,PR!$BJ$452,IF($S$504=412,PR!$BJ$453,IF($S$504=413,PR!$BJ$454,IF($S$504=414,PR!$BJ$455,IF($S$504=415,PR!$BJ$456,IF($S$504=416,PR!$BJ$459,IF($S$504=417,PR!$BJ$460,IF($S$504=418,PR!$BJ$461,IF($S$504=419,PR!$BJ$462,IF($S$504=420,PR!$BJ$463,"-"))))))))))))))))))))))))))))))))))))))))))))))))))))))))))))</f>
        <v>0</v>
      </c>
      <c r="J517" s="602">
        <f>IF($S$504=361,PR!$BK$395,IF($S$504=362,PR!$BK$396,IF($S$504=363,PR!$BK$397,IF($S$504=364,PR!$BK$398,IF($S$504=365,PR!$BK$399,IF($S$504=366,PR!$BK$400,IF($S$504=367,PR!$BK$401,IF($S$504=368,PR!$BK$402,IF($S$504=369,PR!$BK$403,IF($S$504=370,PR!$BK$404,IF($S$504=371,PR!$BK$405,IF($S$504=372,PR!$BK$406,IF($S$504=373,PR!$BK$407,IF($S$504=374,PR!$BK$408,IF($S$504=375,PR!$BK$409,IF($S$504=376,PR!$BK$410,IF($S$504=377,PR!$BK$411,IF($S$504=378,PR!$BK$412,IF($S$504=379,PR!$BK$413,IF($S$504=380,PR!$BK$414,IF($S$504=381,PR!$BK$419,IF($S$504=382,PR!$BK$420,IF($S$504=383,PR!$BK$421,IF($S$504=384,PR!$BK$422,IF($S$504=385,PR!$BK$423,IF($S$504=386,PR!$BK$424,IF($S$504=387,PR!$BK$425,IF($S$504=388,PR!$BK$426,IF($S$504=389,PR!$BK$427,IF($S$504=390,PR!$BK$428,IF($S$504=391,PR!$BK$429,IF($S$504=392,PR!$BK$430,IF($S$504=393,PR!$BK$431,IF($S$504=394,PR!$BK$432,IF($S$504=395,PR!$BK$433,IF($S$504=396,PR!$BK$437,IF($S$504=397,PR!$BK$438,IF($S$504=398,PR!$BK$439,IF($S$504=399,PR!$BK$440,IF($S$504=400,PR!$BK$441,IF($S$504=401,PR!$BK$442,IF($S$504=402,PR!$BK$443,IF($S$504=403,PR!$BK$444,IF($S$504=404,PR!$BK$445,IF($S$504=405,PR!$BK$446,IF($S$504=406,PR!$BK$447,IF($S$504=407,PR!$BK$448,IF($S$504=408,PR!$BK$449,IF($S$504=409,PR!$BK$450,IF($S$504=410,PR!$BK$451,IF($S$504=411,PR!$BK$452,IF($S$504=412,PR!$BK$453,IF($S$504=413,PR!$BK$454,IF($S$504=414,PR!$BK$455,IF($S$504=415,PR!$BK$456,IF($S$504=416,PR!$BK$459,IF($S$504=417,PR!$BK$460,IF($S$504=418,PR!$BK$461,IF($S$504=419,PR!$BK$462,IF($S$504=420,PR!$BK$463,"-"))))))))))))))))))))))))))))))))))))))))))))))))))))))))))))</f>
        <v>0</v>
      </c>
      <c r="K517" s="602">
        <f>IF($S$504=361,PR!$BL$395,IF($S$504=362,PR!$BL$396,IF($S$504=363,PR!$BL$397,IF($S$504=364,PR!$BL$398,IF($S$504=365,PR!$BL$399,IF($S$504=366,PR!$BL$400,IF($S$504=367,PR!$BL$401,IF($S$504=368,PR!$BL$402,IF($S$504=369,PR!$BL$403,IF($S$504=370,PR!$BL$404,IF($S$504=371,PR!$BL$405,IF($S$504=372,PR!$BL$406,IF($S$504=373,PR!$BL$407,IF($S$504=374,PR!$BL$408,IF($S$504=375,PR!$BL$409,IF($S$504=376,PR!$BL$410,IF($S$504=377,PR!$BL$411,IF($S$504=378,PR!$BL$412,IF($S$504=379,PR!$BL$413,IF($S$504=380,PR!$BL$414,IF($S$504=381,PR!$BL$419,IF($S$504=382,PR!$BL$420,IF($S$504=383,PR!$BL$421,IF($S$504=384,PR!$BL$422,IF($S$504=385,PR!$BL$423,IF($S$504=386,PR!$BL$424,IF($S$504=387,PR!$BL$425,IF($S$504=388,PR!$BL$426,IF($S$504=389,PR!$BL$427,IF($S$504=390,PR!$BL$428,IF($S$504=391,PR!$BL$429,IF($S$504=392,PR!$BL$430,IF($S$504=393,PR!$BL$431,IF($S$504=394,PR!$BL$432,IF($S$504=395,PR!$BL$433,IF($S$504=396,PR!$BL$437,IF($S$504=397,PR!$BL$438,IF($S$504=398,PR!$BL$439,IF($S$504=399,PR!$BL$440,IF($S$504=400,PR!$BL$441,IF($S$504=401,PR!$BL$442,IF($S$504=402,PR!$BL$443,IF($S$504=403,PR!$BL$444,IF($S$504=404,PR!$BL$445,IF($S$504=405,PR!$BL$446,IF($S$504=406,PR!$BL$447,IF($S$504=407,PR!$BL$448,IF($S$504=408,PR!$BL$449,IF($S$504=409,PR!$BL$450,IF($S$504=410,PR!$BL$451,IF($S$504=411,PR!$BL$452,IF($S$504=412,PR!$BL$453,IF($S$504=413,PR!$BL$454,IF($S$504=414,PR!$BL$455,IF($S$504=415,PR!$BL$456,IF($S$504=416,PR!$BL$459,IF($S$504=417,PR!$BL$460,IF($S$504=418,PR!$BL$461,IF($S$504=419,PR!$BL$462,IF($S$504=420,PR!$BL$463,"-"))))))))))))))))))))))))))))))))))))))))))))))))))))))))))))</f>
        <v>0</v>
      </c>
      <c r="L517" s="602">
        <f>IF($S$504=361,PR!$BM$395,IF($S$504=362,PR!$BM$396,IF($S$504=363,PR!$BM$397,IF($S$504=364,PR!$BM$398,IF($S$504=365,PR!$BM$399,IF($S$504=366,PR!$BM$400,IF($S$504=367,PR!$BM$401,IF($S$504=368,PR!$BM$402,IF($S$504=369,PR!$BM$403,IF($S$504=370,PR!$BM$404,IF($S$504=371,PR!$BM$405,IF($S$504=372,PR!$BM$406,IF($S$504=373,PR!$BM$407,IF($S$504=374,PR!$BM$408,IF($S$504=375,PR!$BM$409,IF($S$504=376,PR!$BM$410,IF($S$504=377,PR!$BM$411,IF($S$504=378,PR!$BM$412,IF($S$504=379,PR!$BM$413,IF($S$504=380,PR!$BM$414,IF($S$504=381,PR!$BM$419,IF($S$504=382,PR!$BM$420,IF($S$504=383,PR!$BM$421,IF($S$504=384,PR!$BM$422,IF($S$504=385,PR!$BM$423,IF($S$504=386,PR!$BM$424,IF($S$504=387,PR!$BM$425,IF($S$504=388,PR!$BM$426,IF($S$504=389,PR!$BM$427,IF($S$504=390,PR!$BM$428,IF($S$504=391,PR!$BM$429,IF($S$504=392,PR!$BM$430,IF($S$504=393,PR!$BM$431,IF($S$504=394,PR!$BM$432,IF($S$504=395,PR!$BM$433,IF($S$504=396,PR!$BM$437,IF($S$504=397,PR!$BM$438,IF($S$504=398,PR!$BM$439,IF($S$504=399,PR!$BM$440,IF($S$504=400,PR!$BM$441,IF($S$504=401,PR!$BM$442,IF($S$504=402,PR!$BM$443,IF($S$504=403,PR!$BM$444,IF($S$504=404,PR!$BM$445,IF($S$504=405,PR!$BM$446,IF($S$504=406,PR!$BM$447,IF($S$504=407,PR!$BM$448,IF($S$504=408,PR!$BM$449,IF($S$504=409,PR!$BM$450,IF($S$504=410,PR!$BM$451,IF($S$504=411,PR!$BM$452,IF($S$504=412,PR!$BM$453,IF($S$504=413,PR!$BM$454,IF($S$504=414,PR!$BM$455,IF($S$504=415,PR!$BM$456,IF($S$504=416,PR!$BM$459,IF($S$504=417,PR!$BM$460,IF($S$504=418,PR!$BM$461,IF($S$504=419,PR!$BM$462,IF($S$504=420,PR!$BM$463,"-"))))))))))))))))))))))))))))))))))))))))))))))))))))))))))))</f>
        <v>0</v>
      </c>
      <c r="M517" s="602">
        <f>IF($S$504=361,PR!$BN$395,IF($S$504=362,PR!$BN$396,IF($S$504=363,PR!$BN$397,IF($S$504=364,PR!$BN$398,IF($S$504=365,PR!$BN$399,IF($S$504=366,PR!$BN$400,IF($S$504=367,PR!$BN$401,IF($S$504=368,PR!$BN$402,IF($S$504=369,PR!$BN$403,IF($S$504=370,PR!$BN$404,IF($S$504=371,PR!$BN$405,IF($S$504=372,PR!$BN$406,IF($S$504=373,PR!$BN$407,IF($S$504=374,PR!$BN$408,IF($S$504=375,PR!$BN$409,IF($S$504=376,PR!$BN$410,IF($S$504=377,PR!$BN$411,IF($S$504=378,PR!$BN$412,IF($S$504=379,PR!$BN$413,IF($S$504=380,PR!$BN$414,IF($S$504=381,PR!$BN$419,IF($S$504=382,PR!$BN$420,IF($S$504=383,PR!$BN$421,IF($S$504=384,PR!$BN$422,IF($S$504=385,PR!$BN$423,IF($S$504=386,PR!$BN$424,IF($S$504=387,PR!$BN$425,IF($S$504=388,PR!$BN$426,IF($S$504=389,PR!$BN$427,IF($S$504=390,PR!$BN$428,IF($S$504=391,PR!$BN$429,IF($S$504=392,PR!$BN$430,IF($S$504=393,PR!$BN$431,IF($S$504=394,PR!$BN$432,IF($S$504=395,PR!$BN$433,IF($S$504=396,PR!$BN$437,IF($S$504=397,PR!$BN$438,IF($S$504=398,PR!$BN$439,IF($S$504=399,PR!$BN$440,IF($S$504=400,PR!$BN$441,IF($S$504=401,PR!$BN$442,IF($S$504=402,PR!$BN$443,IF($S$504=403,PR!$BN$444,IF($S$504=404,PR!$BN$445,IF($S$504=405,PR!$BN$446,IF($S$504=406,PR!$BN$447,IF($S$504=407,PR!$BN$448,IF($S$504=408,PR!$BN$449,IF($S$504=409,PR!$BN$450,IF($S$504=410,PR!$BN$451,IF($S$504=411,PR!$BN$452,IF($S$504=412,PR!$BN$453,IF($S$504=413,PR!$BN$454,IF($S$504=414,PR!$BN$455,IF($S$504=415,PR!$BN$456,IF($S$504=416,PR!$BN$459,IF($S$504=417,PR!$BN$460,IF($S$504=418,PR!$BN$461,IF($S$504=419,PR!$BN$462,IF($S$504=420,PR!$BN$463,"-"))))))))))))))))))))))))))))))))))))))))))))))))))))))))))))</f>
        <v>0</v>
      </c>
      <c r="N517" s="602">
        <f>IF($S$504=361,PR!$BO$395,IF($S$504=362,PR!$BO$396,IF($S$504=363,PR!$BO$397,IF($S$504=364,PR!$BO$398,IF($S$504=365,PR!$BO$399,IF($S$504=366,PR!$BO$400,IF($S$504=367,PR!$BO$401,IF($S$504=368,PR!$BO$402,IF($S$504=369,PR!$BO$403,IF($S$504=370,PR!$BO$404,IF($S$504=371,PR!$BO$405,IF($S$504=372,PR!$BO$406,IF($S$504=373,PR!$BO$407,IF($S$504=374,PR!$BO$408,IF($S$504=375,PR!$BO$409,IF($S$504=376,PR!$BO$410,IF($S$504=377,PR!$BO$411,IF($S$504=378,PR!$BO$412,IF($S$504=379,PR!$BO$413,IF($S$504=380,PR!$BO$414,IF($S$504=381,PR!$BO$419,IF($S$504=382,PR!$BO$420,IF($S$504=383,PR!$BO$421,IF($S$504=384,PR!$BO$422,IF($S$504=385,PR!$BO$423,IF($S$504=386,PR!$BO$424,IF($S$504=387,PR!$BO$425,IF($S$504=388,PR!$BO$426,IF($S$504=389,PR!$BO$427,IF($S$504=390,PR!$BO$428,IF($S$504=391,PR!$BO$429,IF($S$504=392,PR!$BO$430,IF($S$504=393,PR!$BO$431,IF($S$504=394,PR!$BO$432,IF($S$504=395,PR!$BO$433,IF($S$504=396,PR!$BO$437,IF($S$504=397,PR!$BO$438,IF($S$504=398,PR!$BO$439,IF($S$504=399,PR!$BO$440,IF($S$504=400,PR!$BO$441,IF($S$504=401,PR!$BO$442,IF($S$504=402,PR!$BO$443,IF($S$504=403,PR!$BO$444,IF($S$504=404,PR!$BO$445,IF($S$504=405,PR!$BO$446,IF($S$504=406,PR!$BO$447,IF($S$504=407,PR!$BO$448,IF($S$504=408,PR!$BO$449,IF($S$504=409,PR!$BO$450,IF($S$504=410,PR!$BO$451,IF($S$504=411,PR!$BO$452,IF($S$504=412,PR!$BO$453,IF($S$504=413,PR!$BO$454,IF($S$504=414,PR!$BO$455,IF($S$504=415,PR!$BO$456,IF($S$504=416,PR!$BO$459,IF($S$504=417,PR!$BO$460,IF($S$504=418,PR!$BO$461,IF($S$504=419,PR!$BO$462,IF($S$504=420,PR!$BO$463,"-"))))))))))))))))))))))))))))))))))))))))))))))))))))))))))))</f>
        <v>0</v>
      </c>
      <c r="O517" s="602">
        <f>IF($S$504=361,PR!$BP$395,IF($S$504=362,PR!$BP$396,IF($S$504=363,PR!$BP$397,IF($S$504=364,PR!$BP$398,IF($S$504=365,PR!$BP$399,IF($S$504=366,PR!$BP$400,IF($S$504=367,PR!$BP$401,IF($S$504=368,PR!$BP$402,IF($S$504=369,PR!$BP$403,IF($S$504=370,PR!$BP$404,IF($S$504=371,PR!$BP$405,IF($S$504=372,PR!$BP$406,IF($S$504=373,PR!$BP$407,IF($S$504=374,PR!$BP$408,IF($S$504=375,PR!$BP$409,IF($S$504=376,PR!$BP$410,IF($S$504=377,PR!$BP$411,IF($S$504=378,PR!$BP$412,IF($S$504=379,PR!$BP$413,IF($S$504=380,PR!$BP$414,IF($S$504=381,PR!$BP$419,IF($S$504=382,PR!$BP$420,IF($S$504=383,PR!$BP$421,IF($S$504=384,PR!$BP$422,IF($S$504=385,PR!$BP$423,IF($S$504=386,PR!$BP$424,IF($S$504=387,PR!$BP$425,IF($S$504=388,PR!$BP$426,IF($S$504=389,PR!$BP$427,IF($S$504=390,PR!$BP$428,IF($S$504=391,PR!$BP$429,IF($S$504=392,PR!$BP$430,IF($S$504=393,PR!$BP$431,IF($S$504=394,PR!$BP$432,IF($S$504=395,PR!$BP$433,IF($S$504=396,PR!$BP$437,IF($S$504=397,PR!$BP$438,IF($S$504=398,PR!$BP$439,IF($S$504=399,PR!$BP$440,IF($S$504=400,PR!$BP$441,IF($S$504=401,PR!$BP$442,IF($S$504=402,PR!$BP$443,IF($S$504=403,PR!$BP$444,IF($S$504=404,PR!$BP$445,IF($S$504=405,PR!$BP$446,IF($S$504=406,PR!$BP$447,IF($S$504=407,PR!$BP$448,IF($S$504=408,PR!$BP$449,IF($S$504=409,PR!$BP$450,IF($S$504=410,PR!$BP$451,IF($S$504=411,PR!$BP$452,IF($S$504=412,PR!$BP$453,IF($S$504=413,PR!$BP$454,IF($S$504=414,PR!$BP$455,IF($S$504=415,PR!$BP$456,IF($S$504=416,PR!$BP$459,IF($S$504=417,PR!$BP$460,IF($S$504=418,PR!$BP$461,IF($S$504=419,PR!$BP$462,IF($S$504=420,PR!$BP$463,"-"))))))))))))))))))))))))))))))))))))))))))))))))))))))))))))</f>
        <v>0</v>
      </c>
      <c r="P517" s="602">
        <f>IF($S$504=361,PR!$BQ$395,IF($S$504=362,PR!$BQ$396,IF($S$504=363,PR!$BQ$397,IF($S$504=364,PR!$BQ$398,IF($S$504=365,PR!$BQ$399,IF($S$504=366,PR!$BQ$400,IF($S$504=367,PR!$BQ$401,IF($S$504=368,PR!$BQ$402,IF($S$504=369,PR!$BQ$403,IF($S$504=370,PR!$BQ$404,IF($S$504=371,PR!$BQ$405,IF($S$504=372,PR!$BQ$406,IF($S$504=373,PR!$BQ$407,IF($S$504=374,PR!$BQ$408,IF($S$504=375,PR!$BQ$409,IF($S$504=376,PR!$BQ$410,IF($S$504=377,PR!$BQ$411,IF($S$504=378,PR!$BQ$412,IF($S$504=379,PR!$BQ$413,IF($S$504=380,PR!$BQ$414,IF($S$504=381,PR!$BQ$419,IF($S$504=382,PR!$BQ$420,IF($S$504=383,PR!$BQ$421,IF($S$504=384,PR!$BQ$422,IF($S$504=385,PR!$BQ$423,IF($S$504=386,PR!$BQ$424,IF($S$504=387,PR!$BQ$425,IF($S$504=388,PR!$BQ$426,IF($S$504=389,PR!$BQ$427,IF($S$504=390,PR!$BQ$428,IF($S$504=391,PR!$BQ$429,IF($S$504=392,PR!$BQ$430,IF($S$504=393,PR!$BQ$431,IF($S$504=394,PR!$BQ$432,IF($S$504=395,PR!$BQ$433,IF($S$504=396,PR!$BQ$437,IF($S$504=397,PR!$BQ$438,IF($S$504=398,PR!$BQ$439,IF($S$504=399,PR!$BQ$440,IF($S$504=400,PR!$BQ$441,IF($S$504=401,PR!$BQ$442,IF($S$504=402,PR!$BQ$443,IF($S$504=403,PR!$BQ$444,IF($S$504=404,PR!$BQ$445,IF($S$504=405,PR!$BQ$446,IF($S$504=406,PR!$BQ$447,IF($S$504=407,PR!$BQ$448,IF($S$504=408,PR!$BQ$449,IF($S$504=409,PR!$BQ$450,IF($S$504=410,PR!$BQ$451,IF($S$504=411,PR!$BQ$452,IF($S$504=412,PR!$BQ$453,IF($S$504=413,PR!$BQ$454,IF($S$504=414,PR!$BQ$455,IF($S$504=415,PR!$BQ$456,IF($S$504=416,PR!$BQ$459,IF($S$504=417,PR!$BQ$460,IF($S$504=418,PR!$BQ$461,IF($S$504=419,PR!$BQ$462,IF($S$504=420,PR!$BQ$463,"-"))))))))))))))))))))))))))))))))))))))))))))))))))))))))))))</f>
        <v>0</v>
      </c>
      <c r="Q517" s="602">
        <f>IF($S$504=361,PR!$BR$395,IF($S$504=362,PR!$BR$396,IF($S$504=363,PR!$BR$397,IF($S$504=364,PR!$BR$398,IF($S$504=365,PR!$BR$399,IF($S$504=366,PR!$BR$400,IF($S$504=367,PR!$BR$401,IF($S$504=368,PR!$BR$402,IF($S$504=369,PR!$BR$403,IF($S$504=370,PR!$BR$404,IF($S$504=371,PR!$BR$405,IF($S$504=372,PR!$BR$406,IF($S$504=373,PR!$BR$407,IF($S$504=374,PR!$BR$408,IF($S$504=375,PR!$BR$409,IF($S$504=376,PR!$BR$410,IF($S$504=377,PR!$BR$411,IF($S$504=378,PR!$BR$412,IF($S$504=379,PR!$BR$413,IF($S$504=380,PR!$BR$414,IF($S$504=381,PR!$BR$419,IF($S$504=382,PR!$BR$420,IF($S$504=383,PR!$BR$421,IF($S$504=384,PR!$BR$422,IF($S$504=385,PR!$BR$423,IF($S$504=386,PR!$BR$424,IF($S$504=387,PR!$BR$425,IF($S$504=388,PR!$BR$426,IF($S$504=389,PR!$BR$427,IF($S$504=390,PR!$BR$428,IF($S$504=391,PR!$BR$429,IF($S$504=392,PR!$BR$430,IF($S$504=393,PR!$BR$431,IF($S$504=394,PR!$BR$432,IF($S$504=395,PR!$BR$433,IF($S$504=396,PR!$BR$437,IF($S$504=397,PR!$BR$438,IF($S$504=398,PR!$BR$439,IF($S$504=399,PR!$BR$440,IF($S$504=400,PR!$BR$441,IF($S$504=401,PR!$BR$442,IF($S$504=402,PR!$BR$443,IF($S$504=403,PR!$BR$444,IF($S$504=404,PR!$BR$445,IF($S$504=405,PR!$BR$446,IF($S$504=406,PR!$BR$447,IF($S$504=407,PR!$BR$448,IF($S$504=408,PR!$BR$449,IF($S$504=409,PR!$BR$450,IF($S$504=410,PR!$BR$451,IF($S$504=411,PR!$BR$452,IF($S$504=412,PR!$BR$453,IF($S$504=413,PR!$BR$454,IF($S$504=414,PR!$BR$455,IF($S$504=415,PR!$BR$456,IF($S$504=416,PR!$BR$459,IF($S$504=417,PR!$BR$460,IF($S$504=418,PR!$BR$461,IF($S$504=419,PR!$BR$462,IF($S$504=420,PR!$BR$463,"-"))))))))))))))))))))))))))))))))))))))))))))))))))))))))))))</f>
        <v>0</v>
      </c>
      <c r="R517" s="602">
        <f>IF($S$504=361,PR!$BS$395,IF($S$504=362,PR!$BS$396,IF($S$504=363,PR!$BS$397,IF($S$504=364,PR!$BS$398,IF($S$504=365,PR!$BS$399,IF($S$504=366,PR!$BS$400,IF($S$504=367,PR!$BS$401,IF($S$504=368,PR!$BS$402,IF($S$504=369,PR!$BS$403,IF($S$504=370,PR!$BS$404,IF($S$504=371,PR!$BS$405,IF($S$504=372,PR!$BS$406,IF($S$504=373,PR!$BS$407,IF($S$504=374,PR!$BS$408,IF($S$504=375,PR!$BS$409,IF($S$504=376,PR!$BS$410,IF($S$504=377,PR!$BS$411,IF($S$504=378,PR!$BS$412,IF($S$504=379,PR!$BS$413,IF($S$504=380,PR!$BS$414,IF($S$504=381,PR!$BS$419,IF($S$504=382,PR!$BS$420,IF($S$504=383,PR!$BS$421,IF($S$504=384,PR!$BS$422,IF($S$504=385,PR!$BS$423,IF($S$504=386,PR!$BS$424,IF($S$504=387,PR!$BS$425,IF($S$504=388,PR!$BS$426,IF($S$504=389,PR!$BS$427,IF($S$504=390,PR!$BS$428,IF($S$504=391,PR!$BS$429,IF($S$504=392,PR!$BS$430,IF($S$504=393,PR!$BS$431,IF($S$504=394,PR!$BS$432,IF($S$504=395,PR!$BS$433,IF($S$504=396,PR!$BS$437,IF($S$504=397,PR!$BS$438,IF($S$504=398,PR!$BS$439,IF($S$504=399,PR!$BS$440,IF($S$504=400,PR!$BS$441,IF($S$504=401,PR!$BS$442,IF($S$504=402,PR!$BS$443,IF($S$504=403,PR!$BS$444,IF($S$504=404,PR!$BS$445,IF($S$504=405,PR!$BS$446,IF($S$504=406,PR!$BS$447,IF($S$504=407,PR!$BS$448,IF($S$504=408,PR!$BS$449,IF($S$504=409,PR!$BS$450,IF($S$504=410,PR!$BS$451,IF($S$504=411,PR!$BS$452,IF($S$504=412,PR!$BS$453,IF($S$504=413,PR!$BS$454,IF($S$504=414,PR!$BS$455,IF($S$504=415,PR!$BS$456,IF($S$504=416,PR!$BS$459,IF($S$504=417,PR!$BS$460,IF($S$504=418,PR!$BS$461,IF($S$504=419,PR!$BS$462,IF($S$504=420,PR!$BS$463,"-"))))))))))))))))))))))))))))))))))))))))))))))))))))))))))))</f>
        <v>0</v>
      </c>
      <c r="S517" s="604"/>
      <c r="T517" s="580"/>
      <c r="U517" s="580"/>
      <c r="V517" s="32"/>
      <c r="W517" s="32"/>
      <c r="X517" s="32"/>
      <c r="Y517" s="32"/>
      <c r="Z517" s="32"/>
    </row>
    <row r="518" spans="1:26" ht="6.75" customHeight="1" x14ac:dyDescent="0.25">
      <c r="A518" s="91"/>
      <c r="B518" s="580"/>
      <c r="C518" s="593"/>
      <c r="D518" s="580"/>
      <c r="E518" s="580"/>
      <c r="F518" s="580"/>
      <c r="G518" s="580"/>
      <c r="H518" s="580"/>
      <c r="I518" s="580"/>
      <c r="J518" s="580"/>
      <c r="K518" s="580"/>
      <c r="L518" s="580"/>
      <c r="M518" s="580"/>
      <c r="N518" s="580"/>
      <c r="O518" s="580"/>
      <c r="P518" s="580"/>
      <c r="Q518" s="580"/>
      <c r="R518" s="583"/>
      <c r="S518" s="580"/>
      <c r="T518" s="580"/>
      <c r="U518" s="580"/>
      <c r="V518" s="32"/>
      <c r="W518" s="32"/>
      <c r="X518" s="32"/>
      <c r="Y518" s="32"/>
      <c r="Z518" s="32"/>
    </row>
    <row r="519" spans="1:26" ht="30" x14ac:dyDescent="0.25">
      <c r="A519" s="91"/>
      <c r="B519" s="580"/>
      <c r="C519" s="593"/>
      <c r="D519" s="580"/>
      <c r="E519" s="580"/>
      <c r="F519" s="580"/>
      <c r="G519" s="580"/>
      <c r="H519" s="580"/>
      <c r="I519" s="580"/>
      <c r="J519" s="580"/>
      <c r="K519" s="597" t="s">
        <v>783</v>
      </c>
      <c r="L519" s="598" t="s">
        <v>418</v>
      </c>
      <c r="M519" s="598" t="s">
        <v>419</v>
      </c>
      <c r="N519" s="599" t="s">
        <v>420</v>
      </c>
      <c r="O519" s="580"/>
      <c r="P519" s="580"/>
      <c r="Q519" s="580"/>
      <c r="R519" s="580"/>
      <c r="S519" s="580"/>
      <c r="T519" s="580"/>
      <c r="U519" s="580"/>
      <c r="V519" s="32"/>
      <c r="W519" s="32"/>
      <c r="X519" s="32"/>
      <c r="Y519" s="32"/>
      <c r="Z519" s="32"/>
    </row>
    <row r="520" spans="1:26" x14ac:dyDescent="0.25">
      <c r="A520" s="91"/>
      <c r="B520" s="580"/>
      <c r="C520" s="593"/>
      <c r="D520" s="580"/>
      <c r="E520" s="580"/>
      <c r="F520" s="580"/>
      <c r="G520" s="580"/>
      <c r="H520" s="580"/>
      <c r="I520" s="580"/>
      <c r="J520" s="580"/>
      <c r="K520" s="583" t="s">
        <v>785</v>
      </c>
      <c r="L520" s="580"/>
      <c r="M520" s="580"/>
      <c r="N520" s="580"/>
      <c r="O520" s="580"/>
      <c r="P520" s="580"/>
      <c r="Q520" s="580"/>
      <c r="R520" s="580"/>
      <c r="S520" s="580"/>
      <c r="T520" s="580"/>
      <c r="U520" s="580"/>
      <c r="V520" s="32"/>
      <c r="W520" s="32"/>
      <c r="X520" s="32"/>
      <c r="Y520" s="32"/>
      <c r="Z520" s="32"/>
    </row>
    <row r="521" spans="1:26" x14ac:dyDescent="0.25">
      <c r="A521" s="32"/>
      <c r="B521" s="32"/>
      <c r="C521" s="96"/>
      <c r="D521" s="32"/>
      <c r="E521" s="32"/>
      <c r="F521" s="32"/>
      <c r="G521" s="32"/>
      <c r="H521" s="32"/>
      <c r="I521" s="32"/>
      <c r="J521" s="32"/>
      <c r="K521" s="97">
        <v>361</v>
      </c>
      <c r="L521" s="98" t="s">
        <v>1231</v>
      </c>
      <c r="M521" s="99"/>
      <c r="N521" s="100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x14ac:dyDescent="0.25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97">
        <f>1+K521</f>
        <v>362</v>
      </c>
      <c r="L522" s="98" t="s">
        <v>821</v>
      </c>
      <c r="M522" s="99"/>
      <c r="N522" s="100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x14ac:dyDescent="0.25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97">
        <f t="shared" ref="K523:K580" si="7">1+K522</f>
        <v>363</v>
      </c>
      <c r="L523" s="98"/>
      <c r="M523" s="99"/>
      <c r="N523" s="100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x14ac:dyDescent="0.25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97">
        <f t="shared" si="7"/>
        <v>364</v>
      </c>
      <c r="L524" s="98" t="s">
        <v>821</v>
      </c>
      <c r="M524" s="99"/>
      <c r="N524" s="100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x14ac:dyDescent="0.2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97">
        <f t="shared" si="7"/>
        <v>365</v>
      </c>
      <c r="L525" s="98" t="s">
        <v>821</v>
      </c>
      <c r="M525" s="99"/>
      <c r="N525" s="100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x14ac:dyDescent="0.25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97">
        <f t="shared" si="7"/>
        <v>366</v>
      </c>
      <c r="L526" s="98" t="s">
        <v>632</v>
      </c>
      <c r="M526" s="99" t="s">
        <v>628</v>
      </c>
      <c r="N526" s="100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x14ac:dyDescent="0.25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97">
        <f t="shared" si="7"/>
        <v>367</v>
      </c>
      <c r="L527" s="98" t="s">
        <v>821</v>
      </c>
      <c r="M527" s="99"/>
      <c r="N527" s="100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x14ac:dyDescent="0.25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97">
        <f t="shared" si="7"/>
        <v>368</v>
      </c>
      <c r="L528" s="98" t="s">
        <v>821</v>
      </c>
      <c r="M528" s="99"/>
      <c r="N528" s="100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x14ac:dyDescent="0.25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97">
        <f t="shared" si="7"/>
        <v>369</v>
      </c>
      <c r="L529" s="98" t="s">
        <v>631</v>
      </c>
      <c r="M529" s="99" t="s">
        <v>821</v>
      </c>
      <c r="N529" s="100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x14ac:dyDescent="0.25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97">
        <f t="shared" si="7"/>
        <v>370</v>
      </c>
      <c r="L530" s="98" t="s">
        <v>821</v>
      </c>
      <c r="M530" s="99"/>
      <c r="N530" s="100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x14ac:dyDescent="0.25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97">
        <f t="shared" si="7"/>
        <v>371</v>
      </c>
      <c r="L531" s="98" t="s">
        <v>821</v>
      </c>
      <c r="M531" s="99"/>
      <c r="N531" s="100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x14ac:dyDescent="0.25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97">
        <f t="shared" si="7"/>
        <v>372</v>
      </c>
      <c r="L532" s="98" t="s">
        <v>821</v>
      </c>
      <c r="M532" s="99"/>
      <c r="N532" s="100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x14ac:dyDescent="0.25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97">
        <f t="shared" si="7"/>
        <v>373</v>
      </c>
      <c r="L533" s="98"/>
      <c r="M533" s="99"/>
      <c r="N533" s="100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x14ac:dyDescent="0.25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97">
        <f t="shared" si="7"/>
        <v>374</v>
      </c>
      <c r="L534" s="98" t="s">
        <v>821</v>
      </c>
      <c r="M534" s="99"/>
      <c r="N534" s="100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x14ac:dyDescent="0.2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97">
        <f t="shared" si="7"/>
        <v>375</v>
      </c>
      <c r="L535" s="98" t="s">
        <v>821</v>
      </c>
      <c r="M535" s="99"/>
      <c r="N535" s="100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x14ac:dyDescent="0.25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97">
        <f t="shared" si="7"/>
        <v>376</v>
      </c>
      <c r="L536" s="98" t="s">
        <v>821</v>
      </c>
      <c r="M536" s="99"/>
      <c r="N536" s="100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x14ac:dyDescent="0.25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97">
        <f t="shared" si="7"/>
        <v>377</v>
      </c>
      <c r="L537" s="98" t="s">
        <v>821</v>
      </c>
      <c r="M537" s="99"/>
      <c r="N537" s="100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x14ac:dyDescent="0.25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97">
        <f t="shared" si="7"/>
        <v>378</v>
      </c>
      <c r="L538" s="98" t="s">
        <v>821</v>
      </c>
      <c r="M538" s="99"/>
      <c r="N538" s="100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x14ac:dyDescent="0.25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97">
        <f t="shared" si="7"/>
        <v>379</v>
      </c>
      <c r="L539" s="98"/>
      <c r="M539" s="99"/>
      <c r="N539" s="100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x14ac:dyDescent="0.25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97">
        <f t="shared" si="7"/>
        <v>380</v>
      </c>
      <c r="L540" s="98" t="s">
        <v>821</v>
      </c>
      <c r="M540" s="99"/>
      <c r="N540" s="100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x14ac:dyDescent="0.25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97">
        <f t="shared" si="7"/>
        <v>381</v>
      </c>
      <c r="L541" s="98" t="s">
        <v>821</v>
      </c>
      <c r="M541" s="99" t="s">
        <v>631</v>
      </c>
      <c r="N541" s="100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x14ac:dyDescent="0.25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97">
        <f t="shared" si="7"/>
        <v>382</v>
      </c>
      <c r="L542" s="98" t="s">
        <v>1231</v>
      </c>
      <c r="M542" s="99" t="s">
        <v>646</v>
      </c>
      <c r="N542" s="100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x14ac:dyDescent="0.25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97">
        <f t="shared" si="7"/>
        <v>383</v>
      </c>
      <c r="L543" s="98" t="s">
        <v>821</v>
      </c>
      <c r="M543" s="99"/>
      <c r="N543" s="100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x14ac:dyDescent="0.25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97">
        <f t="shared" si="7"/>
        <v>384</v>
      </c>
      <c r="L544" s="98" t="s">
        <v>827</v>
      </c>
      <c r="M544" s="99"/>
      <c r="N544" s="100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x14ac:dyDescent="0.2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97">
        <f t="shared" si="7"/>
        <v>385</v>
      </c>
      <c r="L545" s="98" t="s">
        <v>821</v>
      </c>
      <c r="M545" s="99" t="s">
        <v>634</v>
      </c>
      <c r="N545" s="100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x14ac:dyDescent="0.25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97">
        <f t="shared" si="7"/>
        <v>386</v>
      </c>
      <c r="L546" s="98" t="s">
        <v>821</v>
      </c>
      <c r="M546" s="99" t="s">
        <v>827</v>
      </c>
      <c r="N546" s="100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x14ac:dyDescent="0.25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97">
        <f t="shared" si="7"/>
        <v>387</v>
      </c>
      <c r="L547" s="98" t="s">
        <v>634</v>
      </c>
      <c r="M547" s="99"/>
      <c r="N547" s="100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x14ac:dyDescent="0.25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97">
        <f t="shared" si="7"/>
        <v>388</v>
      </c>
      <c r="L548" s="98" t="s">
        <v>631</v>
      </c>
      <c r="M548" s="99"/>
      <c r="N548" s="100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x14ac:dyDescent="0.25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97">
        <f t="shared" si="7"/>
        <v>389</v>
      </c>
      <c r="L549" s="98" t="s">
        <v>615</v>
      </c>
      <c r="M549" s="99" t="s">
        <v>821</v>
      </c>
      <c r="N549" s="100" t="s">
        <v>634</v>
      </c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x14ac:dyDescent="0.25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97">
        <f t="shared" si="7"/>
        <v>390</v>
      </c>
      <c r="L550" s="98" t="s">
        <v>1246</v>
      </c>
      <c r="M550" s="99" t="s">
        <v>821</v>
      </c>
      <c r="N550" s="100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x14ac:dyDescent="0.25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97">
        <f t="shared" si="7"/>
        <v>391</v>
      </c>
      <c r="L551" s="98"/>
      <c r="M551" s="99"/>
      <c r="N551" s="100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x14ac:dyDescent="0.25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97">
        <f t="shared" si="7"/>
        <v>392</v>
      </c>
      <c r="L552" s="98"/>
      <c r="M552" s="99"/>
      <c r="N552" s="100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x14ac:dyDescent="0.25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97">
        <f t="shared" si="7"/>
        <v>393</v>
      </c>
      <c r="L553" s="98" t="s">
        <v>634</v>
      </c>
      <c r="M553" s="99"/>
      <c r="N553" s="100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x14ac:dyDescent="0.25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97">
        <f t="shared" si="7"/>
        <v>394</v>
      </c>
      <c r="L554" s="98" t="s">
        <v>619</v>
      </c>
      <c r="M554" s="99" t="s">
        <v>821</v>
      </c>
      <c r="N554" s="100" t="s">
        <v>1446</v>
      </c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x14ac:dyDescent="0.2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97">
        <f t="shared" si="7"/>
        <v>395</v>
      </c>
      <c r="L555" s="98" t="s">
        <v>631</v>
      </c>
      <c r="M555" s="99"/>
      <c r="N555" s="100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x14ac:dyDescent="0.25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97">
        <f t="shared" si="7"/>
        <v>396</v>
      </c>
      <c r="L556" s="98" t="s">
        <v>634</v>
      </c>
      <c r="M556" s="99"/>
      <c r="N556" s="100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x14ac:dyDescent="0.25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97">
        <f t="shared" si="7"/>
        <v>397</v>
      </c>
      <c r="L557" s="98" t="s">
        <v>634</v>
      </c>
      <c r="M557" s="99"/>
      <c r="N557" s="100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x14ac:dyDescent="0.25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97">
        <f t="shared" si="7"/>
        <v>398</v>
      </c>
      <c r="L558" s="98"/>
      <c r="M558" s="99"/>
      <c r="N558" s="100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x14ac:dyDescent="0.25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97">
        <f t="shared" si="7"/>
        <v>399</v>
      </c>
      <c r="L559" s="98" t="s">
        <v>821</v>
      </c>
      <c r="M559" s="99"/>
      <c r="N559" s="100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x14ac:dyDescent="0.25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97">
        <f t="shared" si="7"/>
        <v>400</v>
      </c>
      <c r="L560" s="98"/>
      <c r="M560" s="99"/>
      <c r="N560" s="100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x14ac:dyDescent="0.25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97">
        <f t="shared" si="7"/>
        <v>401</v>
      </c>
      <c r="L561" s="98" t="s">
        <v>634</v>
      </c>
      <c r="M561" s="99"/>
      <c r="N561" s="100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x14ac:dyDescent="0.25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97">
        <f t="shared" si="7"/>
        <v>402</v>
      </c>
      <c r="L562" s="98" t="s">
        <v>634</v>
      </c>
      <c r="M562" s="99" t="s">
        <v>2071</v>
      </c>
      <c r="N562" s="100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x14ac:dyDescent="0.25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97">
        <f t="shared" si="7"/>
        <v>403</v>
      </c>
      <c r="L563" s="98" t="s">
        <v>621</v>
      </c>
      <c r="M563" s="99" t="s">
        <v>634</v>
      </c>
      <c r="N563" s="100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x14ac:dyDescent="0.25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97">
        <f t="shared" si="7"/>
        <v>404</v>
      </c>
      <c r="L564" s="98" t="s">
        <v>821</v>
      </c>
      <c r="M564" s="99" t="s">
        <v>2072</v>
      </c>
      <c r="N564" s="100" t="s">
        <v>634</v>
      </c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x14ac:dyDescent="0.2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97">
        <f t="shared" si="7"/>
        <v>405</v>
      </c>
      <c r="L565" s="98" t="s">
        <v>821</v>
      </c>
      <c r="M565" s="99" t="s">
        <v>630</v>
      </c>
      <c r="N565" s="100" t="s">
        <v>634</v>
      </c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x14ac:dyDescent="0.25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97">
        <f t="shared" si="7"/>
        <v>406</v>
      </c>
      <c r="L566" s="98" t="s">
        <v>634</v>
      </c>
      <c r="M566" s="99"/>
      <c r="N566" s="100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x14ac:dyDescent="0.25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97">
        <f t="shared" si="7"/>
        <v>407</v>
      </c>
      <c r="L567" s="98" t="s">
        <v>821</v>
      </c>
      <c r="M567" s="99" t="s">
        <v>634</v>
      </c>
      <c r="N567" s="100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x14ac:dyDescent="0.25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97">
        <f t="shared" si="7"/>
        <v>408</v>
      </c>
      <c r="L568" s="98" t="s">
        <v>821</v>
      </c>
      <c r="M568" s="99" t="s">
        <v>634</v>
      </c>
      <c r="N568" s="100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x14ac:dyDescent="0.25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97">
        <f t="shared" si="7"/>
        <v>409</v>
      </c>
      <c r="L569" s="98" t="s">
        <v>821</v>
      </c>
      <c r="M569" s="99" t="s">
        <v>634</v>
      </c>
      <c r="N569" s="100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x14ac:dyDescent="0.25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97">
        <f t="shared" si="7"/>
        <v>410</v>
      </c>
      <c r="L570" s="98" t="s">
        <v>621</v>
      </c>
      <c r="M570" s="99" t="s">
        <v>630</v>
      </c>
      <c r="N570" s="100" t="s">
        <v>634</v>
      </c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x14ac:dyDescent="0.25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97">
        <f t="shared" si="7"/>
        <v>411</v>
      </c>
      <c r="L571" s="98" t="s">
        <v>634</v>
      </c>
      <c r="M571" s="99" t="s">
        <v>618</v>
      </c>
      <c r="N571" s="100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x14ac:dyDescent="0.25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97">
        <f t="shared" si="7"/>
        <v>412</v>
      </c>
      <c r="L572" s="98" t="s">
        <v>821</v>
      </c>
      <c r="M572" s="99"/>
      <c r="N572" s="100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x14ac:dyDescent="0.25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97">
        <f t="shared" si="7"/>
        <v>413</v>
      </c>
      <c r="L573" s="98" t="s">
        <v>634</v>
      </c>
      <c r="M573" s="99" t="s">
        <v>821</v>
      </c>
      <c r="N573" s="100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x14ac:dyDescent="0.25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97">
        <f t="shared" si="7"/>
        <v>414</v>
      </c>
      <c r="L574" s="98" t="s">
        <v>630</v>
      </c>
      <c r="M574" s="99" t="s">
        <v>634</v>
      </c>
      <c r="N574" s="100" t="s">
        <v>821</v>
      </c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x14ac:dyDescent="0.2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97">
        <f t="shared" si="7"/>
        <v>415</v>
      </c>
      <c r="L575" s="98"/>
      <c r="M575" s="99"/>
      <c r="N575" s="100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x14ac:dyDescent="0.25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97">
        <f t="shared" si="7"/>
        <v>416</v>
      </c>
      <c r="L576" s="98" t="s">
        <v>628</v>
      </c>
      <c r="M576" s="99" t="s">
        <v>634</v>
      </c>
      <c r="N576" s="100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x14ac:dyDescent="0.25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97">
        <f t="shared" si="7"/>
        <v>417</v>
      </c>
      <c r="L577" s="98" t="s">
        <v>618</v>
      </c>
      <c r="M577" s="99"/>
      <c r="N577" s="100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x14ac:dyDescent="0.25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97">
        <f t="shared" si="7"/>
        <v>418</v>
      </c>
      <c r="L578" s="98"/>
      <c r="M578" s="99"/>
      <c r="N578" s="100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x14ac:dyDescent="0.25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97">
        <f t="shared" si="7"/>
        <v>419</v>
      </c>
      <c r="L579" s="98" t="s">
        <v>821</v>
      </c>
      <c r="M579" s="99"/>
      <c r="N579" s="100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x14ac:dyDescent="0.25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97">
        <f t="shared" si="7"/>
        <v>420</v>
      </c>
      <c r="L580" s="98" t="s">
        <v>615</v>
      </c>
      <c r="M580" s="99" t="s">
        <v>618</v>
      </c>
      <c r="N580" s="100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x14ac:dyDescent="0.25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x14ac:dyDescent="0.25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x14ac:dyDescent="0.25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x14ac:dyDescent="0.25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x14ac:dyDescent="0.2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x14ac:dyDescent="0.25">
      <c r="A586" s="32"/>
      <c r="B586" s="580"/>
      <c r="C586" s="580"/>
      <c r="D586" s="580"/>
      <c r="E586" s="580"/>
      <c r="F586" s="607"/>
      <c r="G586" s="608"/>
      <c r="H586" s="580"/>
      <c r="I586" s="580"/>
      <c r="J586" s="607" t="s">
        <v>2040</v>
      </c>
      <c r="K586" s="580"/>
      <c r="L586" s="580"/>
      <c r="M586" s="580"/>
      <c r="N586" s="580"/>
      <c r="O586" s="580"/>
      <c r="P586" s="580"/>
      <c r="Q586" s="580"/>
      <c r="R586" s="583"/>
      <c r="S586" s="580"/>
      <c r="T586" s="580"/>
      <c r="U586" s="580"/>
      <c r="V586" s="32"/>
      <c r="W586" s="32"/>
      <c r="X586" s="32"/>
      <c r="Y586" s="32"/>
      <c r="Z586" s="32"/>
    </row>
    <row r="587" spans="1:26" ht="36.75" thickBot="1" x14ac:dyDescent="0.6">
      <c r="A587" s="92"/>
      <c r="B587" s="579"/>
      <c r="C587" s="580"/>
      <c r="D587" s="580"/>
      <c r="E587" s="580"/>
      <c r="F587" s="580"/>
      <c r="G587" s="580"/>
      <c r="H587" s="581" t="str">
        <f>IF($S$588&gt;=1055,"LOT 21 LABORATORY REQUIREMENT - OBADA ANNEX",IF($S$588&gt;=1039,"LOT 21 - LABORATORY REQUIREMENT - SHAJE ANNEX",IF($S$588&gt;=981,"LOT 20 - LABORATORY - CHEMICAL PATHOLOGY",IF($S$588&gt;=974,"LOT 19 - MICROBIOLOGY - INFECTION CONTROL",IF($S$588&gt;=957,"LOT 19 - MICROBIOLOGY - SENSITIVITY DISCS",IF($S$588&gt;=902,"LOT 18 - MICROBIOLOGY - REAGENT KITS",IF($S$588&gt;=846,"LOT 17 - HISTOPATHOLOGY",IF($S$588&gt;=760,"LOT 16 - HAEMATOLOGY",IF($S$588&gt;=722,"LOT 15 - THEATRE DEPARTMENT",IF($S$588&gt;=709,"LOT 14 - RADIOLOGY DEPARTMENT",IF($S$588&gt;=702,"LOT 13 - PHARMACY - CONSUMABLES - SUTURES",IF($S$588&gt;=684,"LOT 13 - PHARMACY - CONSUMABLES",IF($S$588&gt;=669,"LOT 13 PHARMACY - DISINFECTANTS",IF($S$588&gt;=651,"LOT 13 - PHARMACY - DERMATOLOGICAL PREPARATIONS",IF($S$588&gt;=570,"LOT 13 - PHARMACY - DRESSINGS/CONSUMABLES",IF($S$588&gt;=539,"LOT 12 - PHARMACY - ONCOLOGY DRUGS",IF($S$588&gt;=494,"LOT 11 - PHARMACY - EYE/EAR MEDICATIONS",IF($S$588&gt;=455,"LOT 10 - PHARMACY - RESPIRATORY TRACT DRUGS",IF($S$588&gt;=424,"LOT 9 - PHARMACY GASTROINTESTINAL DRUGS",IF($S$588&gt;=381,"LOT 8 - PHARMACY -OBSTETRICS/GYNAECOLOGY DRUGS",IF($S$588&gt;=351,"LOT 7 - PHARMACY - HYPNOSEDATIVE DRUGS",IF($S$588&gt;=285,"LOT 6 PHARMACY - BLOOD &amp; NUTRITIONAL DRUGS",IF($S$588&gt;=194,"LOT 5 - I589PHARMACY - ANTI-INFECTIVE AGENTS",IF($S$588&gt;=142,"LOT 4 - PHARMACY - ANTI-INFLAMMATORY/ANTI-PYRETIC/ANALGESICS",IF($S$588&gt;=118,"LOT 3 - PHARMACY - ORAL HYPOGLYCAEMIC DRUGS",IF($S$588&gt;=34,"LOT 3 - PHARMACY - ANTI-HYPERTENSIVES",IF($S$588&gt;=19,"LOT 2 - PHARMACY - STERILE INTRAVENOUS FLUIDS",IF($S$588&gt;=1,"LOT 1 - PHARMACY - ANTI-MALARIALS","-"))))))))))))))))))))))))))))</f>
        <v>LOT 10 - PHARMACY - RESPIRATORY TRACT DRUGS</v>
      </c>
      <c r="I587" s="582"/>
      <c r="J587" s="580"/>
      <c r="K587" s="580"/>
      <c r="L587" s="580"/>
      <c r="M587" s="580"/>
      <c r="N587" s="580"/>
      <c r="O587" s="580"/>
      <c r="P587" s="580"/>
      <c r="Q587" s="580"/>
      <c r="R587" s="583"/>
      <c r="S587" s="580"/>
      <c r="T587" s="580"/>
      <c r="U587" s="580"/>
      <c r="V587" s="32"/>
      <c r="W587" s="32"/>
      <c r="X587" s="32"/>
      <c r="Y587" s="32"/>
      <c r="Z587" s="32"/>
    </row>
    <row r="588" spans="1:26" ht="47.25" customHeight="1" thickBot="1" x14ac:dyDescent="0.7">
      <c r="A588" s="95" t="s">
        <v>779</v>
      </c>
      <c r="B588" s="584"/>
      <c r="C588" s="585" t="str">
        <f>IF($S$588=421,PR!$B$464,IF($S$588=422,PR!$B$465,IF($S$588=423,PR!$B$466,IF($S$588=424,PR!$B$470,IF($S$588=425,PR!$B$471,IF($S$588=426,PR!$B$472,IF($S$588=427,PR!$B$473,IF($S$588=428,PR!$B$474,IF($S$588=429,PR!$B$475,IF($S$588=430,PR!$B$476,IF($S$588=431,PR!$B$477,IF($S$588=432,PR!$B$478,IF($S$588=433,PR!$B$479,IF($S$588=434,PR!$B$480,IF($S$588=435,PR!$B$481,IF($S$588=436,PR!$B$482,IF($S$588=437,PR!$B$483,IF($S$588=438,PR!$B$484,IF($S$588=439,PR!$B$485,IF($S$588=440,PR!$B$486,IF($S$588=441,PR!$B$487,IF($S$588=442,PR!$B$488,IF($S$588=443,PR!$B$489,IF($S$588=444,PR!$B$490,IF($S$588=445,PR!$B$491,IF($S$588=446,PR!$B$492,IF($S$588=447,PR!$B$493,IF($S$588=448,PR!$B$494,IF($S$588=449,PR!$B$495,IF($S$588=450,PR!$B$496,IF($S$588=451,PR!$B$497,IF($S$588=452,PR!$B$498,IF($S$588=453,PR!$B$499,IF($S$588=454,PR!$B$500,IF($S$588=455,PR!$B$505,IF($S$588=456,PR!$B$506,IF($S$588=457,PR!$B$507,IF($S$588=458,PR!$B$508,IF($S$588=459,PR!$B$509,IF($S$588=460,PR!$B$510,IF($S$588=461,PR!$B$511,IF($S$588=462,PR!$B$512,IF($S$588=463,PR!$B$513,IF($S$588=464,PR!$B$514,IF($S$588=465,PR!$B$515,IF($S$588=466,PR!$B$516,IF($S$588=467,PR!$B$517,IF($S$588=468,PR!$B$518,IF($S$588=469,PR!$B$521,IF($S$588=470,PR!$B$522,IF($S$588=471,PR!$B$523,IF($S$588=472,PR!$B$524,IF($S$588=473,PR!$B$525,IF($S$588=474,PR!$B$526,IF($S$588=475,PR!$B$527,IF($S$588=476,PR!$B$528,IF($S$588=477,PR!$B$529,IF($S$588=478,PR!$B$530,IF($S$588=479,PR!$B$531,IF($S$588=480,PR!$B$532,"-"))))))))))))))))))))))))))))))))))))))))))))))))))))))))))))</f>
        <v>FEXOFENADINE 120MG</v>
      </c>
      <c r="D588" s="586"/>
      <c r="E588" s="586"/>
      <c r="F588" s="586"/>
      <c r="G588" s="586"/>
      <c r="H588" s="586"/>
      <c r="I588" s="586"/>
      <c r="J588" s="586"/>
      <c r="K588" s="586"/>
      <c r="L588" s="586"/>
      <c r="M588" s="586"/>
      <c r="N588" s="586"/>
      <c r="O588" s="586"/>
      <c r="P588" s="587"/>
      <c r="Q588" s="588"/>
      <c r="R588" s="583"/>
      <c r="S588" s="589">
        <v>480</v>
      </c>
      <c r="T588" s="580"/>
      <c r="U588" s="580"/>
      <c r="V588" s="32"/>
      <c r="W588" s="32"/>
      <c r="X588" s="32"/>
      <c r="Y588" s="32"/>
      <c r="Z588" s="32"/>
    </row>
    <row r="589" spans="1:26" ht="33" customHeight="1" thickBot="1" x14ac:dyDescent="0.7">
      <c r="A589" s="91"/>
      <c r="B589" s="580"/>
      <c r="C589" s="590" t="s">
        <v>780</v>
      </c>
      <c r="D589" s="791">
        <f>IF($S$588=421,PR!$D$464,IF($S$588=422,PR!$D$465,IF($S$588=423,PR!$D$466,IF($S$588=424,PR!$D$470,IF($S$588=425,PR!$D$471,IF($S$588=426,PR!$D$472,IF($S$588=427,PR!$D$473,IF($S$588=428,PR!$D$474,IF($S$588=429,PR!$D$475,IF($S$588=430,PR!$D$476,IF($S$588=431,PR!$D$477,IF($S$588=432,PR!$D$478,IF($S$588=433,PR!$D$479,IF($S$588=434,PR!$D$480,IF($S$588=435,PR!$D$481,IF($S$588=436,PR!$D$482,IF($S$588=437,PR!$D$483,IF($S$588=438,PR!$D$484,IF($S$588=439,PR!$D$485,IF($S$588=440,PR!$D$486,IF($S$588=441,PR!$D$487,IF($S$588=442,PR!$D$488,IF($S$588=443,PR!$D$489,IF($S$588=444,PR!$D$490,IF($S$588=445,PR!$D$491,IF($S$588=446,PR!$D$492,IF($S$588=447,PR!$D$493,IF($S$588=448,PR!$D$494,IF($S$588=449,PR!$D$495,IF($S$588=450,PR!$D$496,IF($S$588=451,PR!$D$497,IF($S$588=452,PR!$D$498,IF($S$588=453,PR!$D$499,IF($S$588=454,PR!$D$500,IF($S$588=455,PR!$D$505,IF($S$588=456,PR!$D$506,IF($S$588=457,PR!$D$507,IF($S$588=458,PR!$D$508,IF($S$588=459,PR!$D$509,IF($S$588=460,PR!$D$510,IF($S$588=461,PR!$D$511,IF($S$588=462,PR!$D$512,IF($S$588=463,PR!$D$513,IF($S$588=464,PR!$D$514,IF($S$588=465,PR!$D$515,IF($S$588=466,PR!$D$516,IF($S$588=467,PR!$D$517,IF($S$588=468,PR!$D$518,IF($S$588=469,PR!$D$521,IF($S$588=470,PR!$D$522,IF($S$588=471,PR!$D$523,IF($S$588=472,PR!$D$524,IF($S$588=473,PR!$D$525,IF($S$588=474,PR!$D$526,IF($S$588=475,PR!$D$527,IF($S$588=476,PR!$D$528,IF($S$588=477,PR!$D$529,IF($S$588=478,PR!$D$530,IF($S$588=479,PR!$D$531,IF($S$588=480,PR!$D$532,"-"))))))))))))))))))))))))))))))))))))))))))))))))))))))))))))</f>
        <v>10</v>
      </c>
      <c r="E589" s="792"/>
      <c r="F589" s="793"/>
      <c r="G589" s="797" t="s">
        <v>781</v>
      </c>
      <c r="H589" s="797"/>
      <c r="I589" s="797"/>
      <c r="J589" s="797"/>
      <c r="K589" s="791">
        <f>IF($S$588=421,PR!$C$464,IF($S$588=422,PR!$C$465,IF($S$588=423,PR!$C$466,IF($S$588=424,PR!$C$470,IF($S$588=425,PR!$C$471,IF($S$588=426,PR!$C$472,IF($S$588=427,PR!$C$473,IF($S$588=428,PR!$C$474,IF($S$588=429,PR!$C$475,IF($S$588=430,PR!$C$476,IF($S$588=431,PR!$C$477,IF($S$588=432,PR!$C$478,IF($S$588=433,PR!$C$479,IF($S$588=434,PR!$C$480,IF($S$588=435,PR!$C$481,IF($S$588=436,PR!$C$482,IF($S$588=437,PR!$C$483,IF($S$588=438,PR!$C$484,IF($S$588=439,PR!$C$485,IF($S$588=440,PR!$C$486,IF($S$588=441,PR!$C$487,IF($S$588=442,PR!$C$488,IF($S$588=443,PR!$C$489,IF($S$588=444,PR!$C$490,IF($S$588=445,PR!$C$491,IF($S$588=446,PR!$C$492,IF($S$588=447,PR!$C$493,IF($S$588=448,PR!$C$494,IF($S$588=449,PR!$C$495,IF($S$588=450,PR!$C$496,IF($S$588=451,PR!$C$497,IF($S$588=452,PR!$C$498,IF($S$588=453,PR!$C$499,IF($S$588=454,PR!$C$500,IF($S$588=455,PR!$C$505,IF($S$588=456,PR!$C$506,IF($S$588=457,PR!$C$507,IF($S$588=458,PR!$C$508,IF($S$588=459,PR!$C$509,IF($S$588=460,PR!$C$510,IF($S$588=461,PR!$C$511,IF($S$588=462,PR!$C$512,IF($S$588=463,PR!$C$513,IF($S$588=464,PR!$C$514,IF($S$588=465,PR!$C$515,IF($S$588=466,PR!$C$516,IF($S$588=467,PR!$C$517,IF($S$588=468,PR!$C$518,IF($S$588=469,PR!$C$521,IF($S$588=470,PR!$C$522,IF($S$588=471,PR!$C$523,IF($S$588=472,PR!$C$524,IF($S$588=473,PR!$C$525,IF($S$588=474,PR!$C$526,IF($S$588=475,PR!$C$527,IF($S$588=476,PR!$C$528,IF($S$588=477,PR!$C$529,IF($S$588=478,PR!$C$530,IF($S$588=479,PR!$C$531,IF($S$588=480,PR!$C$532,"-"))))))))))))))))))))))))))))))))))))))))))))))))))))))))))))</f>
        <v>80</v>
      </c>
      <c r="L589" s="792"/>
      <c r="M589" s="792"/>
      <c r="N589" s="793"/>
      <c r="O589" s="580"/>
      <c r="P589" s="580"/>
      <c r="Q589" s="580"/>
      <c r="R589" s="583"/>
      <c r="S589" s="580"/>
      <c r="T589" s="580"/>
      <c r="U589" s="580"/>
      <c r="V589" s="32"/>
      <c r="W589" s="32"/>
      <c r="X589" s="32"/>
      <c r="Y589" s="32"/>
      <c r="Z589" s="32"/>
    </row>
    <row r="590" spans="1:26" ht="19.5" thickTop="1" x14ac:dyDescent="0.25">
      <c r="A590" s="91"/>
      <c r="B590" s="580"/>
      <c r="C590" s="591"/>
      <c r="D590" s="592"/>
      <c r="E590" s="580"/>
      <c r="F590" s="580"/>
      <c r="G590" s="593"/>
      <c r="H590" s="593"/>
      <c r="I590" s="593"/>
      <c r="J590" s="593"/>
      <c r="K590" s="594"/>
      <c r="L590" s="594"/>
      <c r="M590" s="580"/>
      <c r="N590" s="580"/>
      <c r="O590" s="580"/>
      <c r="P590" s="580"/>
      <c r="Q590" s="580"/>
      <c r="R590" s="583"/>
      <c r="S590" s="580"/>
      <c r="T590" s="580"/>
      <c r="U590" s="580"/>
      <c r="V590" s="32"/>
      <c r="W590" s="32"/>
      <c r="X590" s="32"/>
      <c r="Y590" s="32"/>
      <c r="Z590" s="32"/>
    </row>
    <row r="591" spans="1:26" ht="15.75" thickBot="1" x14ac:dyDescent="0.3">
      <c r="A591" s="94" t="s">
        <v>782</v>
      </c>
      <c r="B591" s="595"/>
      <c r="C591" s="600" t="str">
        <f>N!$C$4</f>
        <v>ALPHA</v>
      </c>
      <c r="D591" s="600" t="str">
        <f>N!$C$5</f>
        <v>ASSENE</v>
      </c>
      <c r="E591" s="600" t="str">
        <f>N!$C$6</f>
        <v>BIOFEM</v>
      </c>
      <c r="F591" s="600" t="str">
        <f>N!$C$7</f>
        <v>BIOMED</v>
      </c>
      <c r="G591" s="600" t="str">
        <f>N!$C$8</f>
        <v>CHI</v>
      </c>
      <c r="H591" s="600" t="str">
        <f>N!$C$9</f>
        <v>CLARION</v>
      </c>
      <c r="I591" s="600" t="str">
        <f>N!$C$10</f>
        <v>CODIX</v>
      </c>
      <c r="J591" s="600" t="str">
        <f>N!$C$11</f>
        <v>COSMADE</v>
      </c>
      <c r="K591" s="600" t="str">
        <f>N!$C$12</f>
        <v>SANCON</v>
      </c>
      <c r="L591" s="600" t="str">
        <f>N!$C$13</f>
        <v>DEVON</v>
      </c>
      <c r="M591" s="600" t="str">
        <f>N!$C$14</f>
        <v>DORTEMAG</v>
      </c>
      <c r="N591" s="600" t="str">
        <f>N!$C$15</f>
        <v>DGF</v>
      </c>
      <c r="O591" s="601" t="str">
        <f>N!$C$16</f>
        <v>DYNAMIC</v>
      </c>
      <c r="P591" s="600" t="str">
        <f>N!$C$17</f>
        <v>EMZOR</v>
      </c>
      <c r="Q591" s="600" t="str">
        <f>N!$C$18</f>
        <v>EUMATT</v>
      </c>
      <c r="R591" s="600" t="str">
        <f>N!$C$19</f>
        <v>FIDSON</v>
      </c>
      <c r="S591" s="600" t="str">
        <f>N!$C$20</f>
        <v>FCGLOBAL</v>
      </c>
      <c r="T591" s="580"/>
      <c r="U591" s="580"/>
      <c r="V591" s="32"/>
      <c r="W591" s="32"/>
      <c r="X591" s="32"/>
      <c r="Y591" s="32"/>
    </row>
    <row r="592" spans="1:26" ht="15.75" thickBot="1" x14ac:dyDescent="0.3">
      <c r="A592" s="93"/>
      <c r="B592" s="596"/>
      <c r="C592" s="602">
        <f>IF($S$588=421,PR!$E$464,IF($S$588=422,PR!$E$465,IF($S$588=423,PR!$E$466,IF($S$588=424,PR!$E$470,IF($S$588=425,PR!$E$471,IF($S$588=426,PR!$E$472,IF($S$588=427,PR!$E$473,IF($S$588=428,PR!$E$474,IF($S$588=429,PR!$E$475,IF($S$588=430,PR!$E$476,IF($S$588=431,PR!$E$477,IF($S$588=432,PR!$E$478,IF($S$588=433,PR!$E$479,IF($S$588=434,PR!$E$480,IF($S$588=435,PR!$E$481,IF($S$588=436,PR!$E$482,IF($S$588=437,PR!$E$483,IF($S$588=438,PR!$E$484,IF($S$588=439,PR!$E$485,IF($S$588=440,PR!$E$486,IF($S$588=441,PR!$E$487,IF($S$588=442,PR!$E$488,IF($S$588=443,PR!$E$489,IF($S$588=444,PR!$E$490,IF($S$588=445,PR!$E$491,IF($S$588=446,PR!$E$492,IF($S$588=447,PR!$E$493,IF($S$588=448,PR!$E$494,IF($S$588=449,PR!$E$495,IF($S$588=450,PR!$E$496,IF($S$588=451,PR!$E$497,IF($S$588=452,PR!$E$498,IF($S$588=453,PR!$E$499,IF($S$588=454,PR!$E$500,IF($S$588=455,PR!$E$505,IF($S$588=456,PR!$E$506,IF($S$588=457,PR!$E$507,IF($S$588=458,PR!$E$508,IF($S$588=459,PR!$E$509,IF($S$588=460,PR!$E$510,IF($S$588=461,PR!$E$511,IF($S$588=462,PR!$E$512,IF($S$588=463,PR!$E$513,IF($S$588=464,PR!$E$514,IF($S$588=465,PR!$E$515,IF($S$588=466,PR!$E$516,IF($S$588=467,PR!$E$517,IF($S$588=468,PR!$E$518,IF($S$588=469,PR!$E$521,IF($S$588=470,PR!$E$522,IF($S$588=471,PR!$E$523,IF($S$588=472,PR!$E$524,IF($S$588=473,PR!$E$525,IF($S$588=474,PR!$E$526,IF($S$588=475,PR!$E$527,IF($S$588=476,PR!$E$528,IF($S$588=477,PR!$E$529,IF($S$588=478,PR!$E$530,IF($S$588=479,PR!$E$531,IF($S$588=480,PR!$E$532,"-"))))))))))))))))))))))))))))))))))))))))))))))))))))))))))))</f>
        <v>0</v>
      </c>
      <c r="D592" s="602">
        <f>IF($S$588=421,PR!$F$464,IF($S$588=422,PR!$F$465,IF($S$588=423,PR!$F$466,IF($S$588=424,PR!$F$470,IF($S$588=425,PR!$F$471,IF($S$588=426,PR!$F$472,IF($S$588=427,PR!$F$473,IF($S$588=428,PR!$F$474,IF($S$588=429,PR!$F$475,IF($S$588=430,PR!$F$476,IF($S$588=431,PR!$F$477,IF($S$588=432,PR!$F$478,IF($S$588=433,PR!$F$479,IF($S$588=434,PR!$F$480,IF($S$588=435,PR!$F$481,IF($S$588=436,PR!$F$482,IF($S$588=437,PR!$F$483,IF($S$588=438,PR!$F$484,IF($S$588=439,PR!$F$485,IF($S$588=440,PR!$F$486,IF($S$588=441,PR!$F$487,IF($S$588=442,PR!$F$488,IF($S$588=443,PR!$F$489,IF($S$588=444,PR!$F$490,IF($S$588=445,PR!$F$491,IF($S$588=446,PR!$F$492,IF($S$588=447,PR!$F$493,IF($S$588=448,PR!$F$494,IF($S$588=449,PR!$F$495,IF($S$588=450,PR!$F$496,IF($S$588=451,PR!$F$497,IF($S$588=452,PR!$F$498,IF($S$588=453,PR!$F$499,IF($S$588=454,PR!$F$500,IF($S$588=455,PR!$F$505,IF($S$588=456,PR!$F$506,IF($S$588=457,PR!$F$507,IF($S$588=458,PR!$F$508,IF($S$588=459,PR!$F$509,IF($S$588=460,PR!$F$510,IF($S$588=461,PR!$F$511,IF($S$588=462,PR!$F$512,IF($S$588=463,PR!$F$513,IF($S$588=464,PR!$F$514,IF($S$588=465,PR!$F$515,IF($S$588=466,PR!$F$516,IF($S$588=467,PR!$F$517,IF($S$588=468,PR!$F$518,IF($S$588=469,PR!$F$521,IF($S$588=470,PR!$F$522,IF($S$588=471,PR!$F$523,IF($S$588=472,PR!$F$524,IF($S$588=473,PR!$F$525,IF($S$588=474,PR!$F$526,IF($S$588=475,PR!$F$527,IF($S$588=476,PR!$F$528,IF($S$588=477,PR!$F$529,IF($S$588=478,PR!$F$530,IF($S$588=479,PR!$F$531,IF($S$588=480,PR!$F$532,"-"))))))))))))))))))))))))))))))))))))))))))))))))))))))))))))</f>
        <v>0</v>
      </c>
      <c r="E592" s="602">
        <f>IF($S$588=421,PR!$G$464,IF($S$588=422,PR!$G$465,IF($S$588=423,PR!$G$466,IF($S$588=424,PR!$G$470,IF($S$588=425,PR!$G$471,IF($S$588=426,PR!$G$472,IF($S$588=427,PR!$G$473,IF($S$588=428,PR!$G$474,IF($S$588=429,PR!$G$475,IF($S$588=430,PR!$G$476,IF($S$588=431,PR!$G$477,IF($S$588=432,PR!$G$478,IF($S$588=433,PR!$G$479,IF($S$588=434,PR!$G$480,IF($S$588=435,PR!$G$481,IF($S$588=436,PR!$G$482,IF($S$588=437,PR!$G$483,IF($S$588=438,PR!$G$484,IF($S$588=439,PR!$G$485,IF($S$588=440,PR!$G$486,IF($S$588=441,PR!$G$487,IF($S$588=442,PR!$G$488,IF($S$588=443,PR!$G$489,IF($S$588=444,PR!$G$490,IF($S$588=445,PR!$G$491,IF($S$588=446,PR!$G$492,IF($S$588=447,PR!$G$493,IF($S$588=448,PR!$G$494,IF($S$588=449,PR!$G$495,IF($S$588=450,PR!$G$496,IF($S$588=451,PR!$G$497,IF($S$588=452,PR!$G$498,IF($S$588=453,PR!$G$499,IF($S$588=454,PR!$G$500,IF($S$588=455,PR!$G$505,IF($S$588=456,PR!$G$506,IF($S$588=457,PR!$G$507,IF($S$588=458,PR!$G$508,IF($S$588=459,PR!$G$509,IF($S$588=460,PR!$G$510,IF($S$588=461,PR!$G$511,IF($S$588=462,PR!$G$512,IF($S$588=463,PR!$G$513,IF($S$588=464,PR!$G$514,IF($S$588=465,PR!$G$515,IF($S$588=466,PR!$G$516,IF($S$588=467,PR!$G$517,IF($S$588=468,PR!$G$518,IF($S$588=469,PR!$G$521,IF($S$588=470,PR!$G$522,IF($S$588=471,PR!$G$523,IF($S$588=472,PR!$G$524,IF($S$588=473,PR!$G$525,IF($S$588=474,PR!$G$526,IF($S$588=475,PR!$G$527,IF($S$588=476,PR!$G$528,IF($S$588=477,PR!$G$529,IF($S$588=478,PR!$G$530,IF($S$588=479,PR!$G$531,IF($S$588=480,PR!$G$532,"-"))))))))))))))))))))))))))))))))))))))))))))))))))))))))))))</f>
        <v>0</v>
      </c>
      <c r="F592" s="602">
        <f>IF($S$588=421,PR!$H$464,IF($S$588=422,PR!$H$465,IF($S$588=423,PR!$H$466,IF($S$588=424,PR!$H$470,IF($S$588=425,PR!$H$471,IF($S$588=426,PR!$H$472,IF($S$588=427,PR!$H$473,IF($S$588=428,PR!$H$474,IF($S$588=429,PR!$H$475,IF($S$588=430,PR!$H$476,IF($S$588=431,PR!$H$477,IF($S$588=432,PR!$H$478,IF($S$588=433,PR!$H$479,IF($S$588=434,PR!$H$480,IF($S$588=435,PR!$H$481,IF($S$588=436,PR!$H$482,IF($S$588=437,PR!$H$483,IF($S$588=438,PR!$H$484,IF($S$588=439,PR!$H$485,IF($S$588=440,PR!$H$486,IF($S$588=441,PR!$H$487,IF($S$588=442,PR!$H$488,IF($S$588=443,PR!$H$489,IF($S$588=444,PR!$H$490,IF($S$588=445,PR!$H$491,IF($S$588=446,PR!$H$492,IF($S$588=447,PR!$H$493,IF($S$588=448,PR!$H$494,IF($S$588=449,PR!$H$495,IF($S$588=450,PR!$H$496,IF($S$588=451,PR!$H$497,IF($S$588=452,PR!$H$498,IF($S$588=453,PR!$H$499,IF($S$588=454,PR!$H$500,IF($S$588=455,PR!$H$505,IF($S$588=456,PR!$H$506,IF($S$588=457,PR!$H$507,IF($S$588=458,PR!$H$508,IF($S$588=459,PR!$H$509,IF($S$588=460,PR!$H$510,IF($S$588=461,PR!$H$511,IF($S$588=462,PR!$H$512,IF($S$588=463,PR!$H$513,IF($S$588=464,PR!$H$514,IF($S$588=465,PR!$H$515,IF($S$588=466,PR!$H$516,IF($S$588=467,PR!$H$517,IF($S$588=468,PR!$H$518,IF($S$588=469,PR!$H$521,IF($S$588=470,PR!$H$522,IF($S$588=471,PR!$H$523,IF($S$588=472,PR!$H$524,IF($S$588=473,PR!$H$525,IF($S$588=474,PR!$H$526,IF($S$588=475,PR!$H$527,IF($S$588=476,PR!$H$528,IF($S$588=477,PR!$H$529,IF($S$588=478,PR!$H$530,IF($S$588=479,PR!$H$531,IF($S$588=480,PR!$H$532,"-"))))))))))))))))))))))))))))))))))))))))))))))))))))))))))))</f>
        <v>0</v>
      </c>
      <c r="G592" s="602">
        <f>IF($S$588=421,PR!$I$464,IF($S$588=422,PR!$I$465,IF($S$588=423,PR!$I$466,IF($S$588=424,PR!$I$470,IF($S$588=425,PR!$I$471,IF($S$588=426,PR!$I$472,IF($S$588=427,PR!$I$473,IF($S$588=428,PR!$I$474,IF($S$588=429,PR!$I$475,IF($S$588=430,PR!$I$476,IF($S$588=431,PR!$I$477,IF($S$588=432,PR!$I$478,IF($S$588=433,PR!$I$479,IF($S$588=434,PR!$I$480,IF($S$588=435,PR!$I$481,IF($S$588=436,PR!$I$482,IF($S$588=437,PR!$I$483,IF($S$588=438,PR!$I$484,IF($S$588=439,PR!$I$485,IF($S$588=440,PR!$I$486,IF($S$588=441,PR!$I$487,IF($S$588=442,PR!$I$488,IF($S$588=443,PR!$I$489,IF($S$588=444,PR!$I$490,IF($S$588=445,PR!$I$491,IF($S$588=446,PR!$I$492,IF($S$588=447,PR!$I$493,IF($S$588=448,PR!$I$494,IF($S$588=449,PR!$I$495,IF($S$588=450,PR!$I$496,IF($S$588=451,PR!$I$497,IF($S$588=452,PR!$I$498,IF($S$588=453,PR!$I$499,IF($S$588=454,PR!$I$500,IF($S$588=455,PR!$I$505,IF($S$588=456,PR!$I$506,IF($S$588=457,PR!$I$507,IF($S$588=458,PR!$I$508,IF($S$588=459,PR!$I$509,IF($S$588=460,PR!$I$510,IF($S$588=461,PR!$I$511,IF($S$588=462,PR!$I$512,IF($S$588=463,PR!$I$513,IF($S$588=464,PR!$I$514,IF($S$588=465,PR!$I$515,IF($S$588=466,PR!$I$516,IF($S$588=467,PR!$I$517,IF($S$588=468,PR!$I$518,IF($S$588=469,PR!$I$521,IF($S$588=470,PR!$I$522,IF($S$588=471,PR!$I$523,IF($S$588=472,PR!$I$524,IF($S$588=473,PR!$I$525,IF($S$588=474,PR!$I$526,IF($S$588=475,PR!$I$527,IF($S$588=476,PR!$I$528,IF($S$588=477,PR!$I$529,IF($S$588=478,PR!$I$530,IF($S$588=479,PR!$I$531,IF($S$588=480,PR!$I$532,"-"))))))))))))))))))))))))))))))))))))))))))))))))))))))))))))</f>
        <v>0</v>
      </c>
      <c r="H592" s="602">
        <f>IF($S$588=421,PR!$J$464,IF($S$588=422,PR!$J$465,IF($S$588=423,PR!$J$466,IF($S$588=424,PR!$J$470,IF($S$588=425,PR!$J$471,IF($S$588=426,PR!$J$472,IF($S$588=427,PR!$J$473,IF($S$588=428,PR!$J$474,IF($S$588=429,PR!$J$475,IF($S$588=430,PR!$J$476,IF($S$588=431,PR!$J$477,IF($S$588=432,PR!$J$478,IF($S$588=433,PR!$J$479,IF($S$588=434,PR!$J$480,IF($S$588=435,PR!$J$481,IF($S$588=436,PR!$J$482,IF($S$588=437,PR!$J$483,IF($S$588=438,PR!$J$484,IF($S$588=439,PR!$J$485,IF($S$588=440,PR!$J$486,IF($S$588=441,PR!$J$487,IF($S$588=442,PR!$J$488,IF($S$588=443,PR!$J$489,IF($S$588=444,PR!$J$490,IF($S$588=445,PR!$J$491,IF($S$588=446,PR!$J$492,IF($S$588=447,PR!$J$493,IF($S$588=448,PR!$J$494,IF($S$588=449,PR!$J$495,IF($S$588=450,PR!$J$496,IF($S$588=451,PR!$J$497,IF($S$588=452,PR!$J$498,IF($S$588=453,PR!$J$499,IF($S$588=454,PR!$J$500,IF($S$588=455,PR!$J$505,IF($S$588=456,PR!$J$506,IF($S$588=457,PR!$J$507,IF($S$588=458,PR!$J$508,IF($S$588=459,PR!$J$509,IF($S$588=460,PR!$J$510,IF($S$588=461,PR!$J$511,IF($S$588=462,PR!$J$512,IF($S$588=463,PR!$J$513,IF($S$588=464,PR!$J$514,IF($S$588=465,PR!$J$515,IF($S$588=466,PR!$J$516,IF($S$588=467,PR!$J$517,IF($S$588=468,PR!$J$518,IF($S$588=469,PR!$J$521,IF($S$588=470,PR!$J$522,IF($S$588=471,PR!$J$523,IF($S$588=472,PR!$J$524,IF($S$588=473,PR!$J$525,IF($S$588=474,PR!$J$526,IF($S$588=475,PR!$J$527,IF($S$588=476,PR!$J$528,IF($S$588=477,PR!$J$529,IF($S$588=478,PR!$J$530,IF($S$588=479,PR!$J$531,IF($S$588=480,PR!$J$532,"-"))))))))))))))))))))))))))))))))))))))))))))))))))))))))))))</f>
        <v>0</v>
      </c>
      <c r="I592" s="602">
        <f>IF($S$588=421,PR!$K$464,IF($S$588=422,PR!$K$465,IF($S$588=423,PR!$K$466,IF($S$588=424,PR!$K$470,IF($S$588=425,PR!$K$471,IF($S$588=426,PR!$K$472,IF($S$588=427,PR!$K$473,IF($S$588=428,PR!$K$474,IF($S$588=429,PR!$K$475,IF($S$588=430,PR!$K$476,IF($S$588=431,PR!$K$477,IF($S$588=432,PR!$K$478,IF($S$588=433,PR!$K$479,IF($S$588=434,PR!$K$480,IF($S$588=435,PR!$K$481,IF($S$588=436,PR!$K$482,IF($S$588=437,PR!$K$483,IF($S$588=438,PR!$K$484,IF($S$588=439,PR!$K$485,IF($S$588=440,PR!$K$486,IF($S$588=441,PR!$K$487,IF($S$588=442,PR!$K$488,IF($S$588=443,PR!$K$489,IF($S$588=444,PR!$K$490,IF($S$588=445,PR!$K$491,IF($S$588=446,PR!$K$492,IF($S$588=447,PR!$K$493,IF($S$588=448,PR!$K$494,IF($S$588=449,PR!$K$495,IF($S$588=450,PR!$K$496,IF($S$588=451,PR!$K$497,IF($S$588=452,PR!$K$498,IF($S$588=453,PR!$K$499,IF($S$588=454,PR!$K$500,IF($S$588=455,PR!$K$505,IF($S$588=456,PR!$K$506,IF($S$588=457,PR!$K$507,IF($S$588=458,PR!$K$508,IF($S$588=459,PR!$K$509,IF($S$588=460,PR!$K$510,IF($S$588=461,PR!$K$511,IF($S$588=462,PR!$K$512,IF($S$588=463,PR!$K$513,IF($S$588=464,PR!$K$514,IF($S$588=465,PR!$K$515,IF($S$588=466,PR!$K$516,IF($S$588=467,PR!$K$517,IF($S$588=468,PR!$K$518,IF($S$588=469,PR!$K$521,IF($S$588=470,PR!$K$522,IF($S$588=471,PR!$K$523,IF($S$588=472,PR!$K$524,IF($S$588=473,PR!$K$525,IF($S$588=474,PR!$K$526,IF($S$588=475,PR!$K$527,IF($S$588=476,PR!$K$528,IF($S$588=477,PR!$K$529,IF($S$588=478,PR!$K$530,IF($S$588=479,PR!$K$531,IF($S$588=480,PR!$K$532,"-"))))))))))))))))))))))))))))))))))))))))))))))))))))))))))))</f>
        <v>0</v>
      </c>
      <c r="J592" s="602">
        <f>IF($S$588=421,PR!$L$464,IF($S$588=422,PR!$L$465,IF($S$588=423,PR!$L$466,IF($S$588=424,PR!$L$470,IF($S$588=425,PR!$L$471,IF($S$588=426,PR!$L$472,IF($S$588=427,PR!$L$473,IF($S$588=428,PR!$L$474,IF($S$588=429,PR!$L$475,IF($S$588=430,PR!$L$476,IF($S$588=431,PR!$L$477,IF($S$588=432,PR!$L$478,IF($S$588=433,PR!$L$479,IF($S$588=434,PR!$L$480,IF($S$588=435,PR!$L$481,IF($S$588=436,PR!$L$482,IF($S$588=437,PR!$L$483,IF($S$588=438,PR!$L$484,IF($S$588=439,PR!$L$485,IF($S$588=440,PR!$L$486,IF($S$588=441,PR!$L$487,IF($S$588=442,PR!$L$488,IF($S$588=443,PR!$L$489,IF($S$588=444,PR!$L$490,IF($S$588=445,PR!$L$491,IF($S$588=446,PR!$L$492,IF($S$588=447,PR!$L$493,IF($S$588=448,PR!$L$494,IF($S$588=449,PR!$L$495,IF($S$588=450,PR!$L$496,IF($S$588=451,PR!$L$497,IF($S$588=452,PR!$L$498,IF($S$588=453,PR!$L$499,IF($S$588=454,PR!$L$500,IF($S$588=455,PR!$L$505,IF($S$588=456,PR!$L$506,IF($S$588=457,PR!$L$507,IF($S$588=458,PR!$L$508,IF($S$588=459,PR!$L$509,IF($S$588=460,PR!$L$510,IF($S$588=461,PR!$L$511,IF($S$588=462,PR!$L$512,IF($S$588=463,PR!$L$513,IF($S$588=464,PR!$L$514,IF($S$588=465,PR!$L$515,IF($S$588=466,PR!$L$516,IF($S$588=467,PR!$L$517,IF($S$588=468,PR!$L$518,IF($S$588=469,PR!$L$521,IF($S$588=470,PR!$L$522,IF($S$588=471,PR!$L$523,IF($S$588=472,PR!$L$524,IF($S$588=473,PR!$L$525,IF($S$588=474,PR!$L$526,IF($S$588=475,PR!$L$527,IF($S$588=476,PR!$L$528,IF($S$588=477,PR!$L$529,IF($S$588=478,PR!$L$530,IF($S$588=479,PR!$L$531,IF($S$588=480,PR!$L$532,"-"))))))))))))))))))))))))))))))))))))))))))))))))))))))))))))</f>
        <v>0</v>
      </c>
      <c r="K592" s="602">
        <f>IF($S$588=421,PR!$M$464,IF($S$588=422,PR!$M$465,IF($S$588=423,PR!$M$466,IF($S$588=424,PR!$M$470,IF($S$588=425,PR!$M$471,IF($S$588=426,PR!$M$472,IF($S$588=427,PR!$M$473,IF($S$588=428,PR!$M$474,IF($S$588=429,PR!$M$475,IF($S$588=430,PR!$M$476,IF($S$588=431,PR!$M$477,IF($S$588=432,PR!$M$478,IF($S$588=433,PR!$M$479,IF($S$588=434,PR!$M$480,IF($S$588=435,PR!$M$481,IF($S$588=436,PR!$M$482,IF($S$588=437,PR!$M$483,IF($S$588=438,PR!$M$484,IF($S$588=439,PR!$M$485,IF($S$588=440,PR!$M$486,IF($S$588=441,PR!$M$487,IF($S$588=442,PR!$M$488,IF($S$588=443,PR!$M$489,IF($S$588=444,PR!$M$490,IF($S$588=445,PR!$M$491,IF($S$588=446,PR!$M$492,IF($S$588=447,PR!$M$493,IF($S$588=448,PR!$M$494,IF($S$588=449,PR!$M$495,IF($S$588=450,PR!$M$496,IF($S$588=451,PR!$M$497,IF($S$588=452,PR!$M$498,IF($S$588=453,PR!$M$499,IF($S$588=454,PR!$M$500,IF($S$588=455,PR!$M$505,IF($S$588=456,PR!$M$506,IF($S$588=457,PR!$M$507,IF($S$588=458,PR!$M$508,IF($S$588=459,PR!$M$509,IF($S$588=460,PR!$M$510,IF($S$588=461,PR!$M$511,IF($S$588=462,PR!$M$512,IF($S$588=463,PR!$M$513,IF($S$588=464,PR!$M$514,IF($S$588=465,PR!$M$515,IF($S$588=466,PR!$M$516,IF($S$588=467,PR!$M$517,IF($S$588=468,PR!$M$518,IF($S$588=469,PR!$M$521,IF($S$588=470,PR!$M$522,IF($S$588=471,PR!$M$523,IF($S$588=472,PR!$M$524,IF($S$588=473,PR!$M$525,IF($S$588=474,PR!$M$526,IF($S$588=475,PR!$M$527,IF($S$588=476,PR!$M$528,IF($S$588=477,PR!$M$529,IF($S$588=478,PR!$M$530,IF($S$588=479,PR!$M$531,IF($S$588=480,PR!$M$532,"-"))))))))))))))))))))))))))))))))))))))))))))))))))))))))))))</f>
        <v>0</v>
      </c>
      <c r="L592" s="602">
        <f>IF($S$588=421,PR!$N$464,IF($S$588=422,PR!$N$465,IF($S$588=423,PR!$N$466,IF($S$588=424,PR!$N$470,IF($S$588=425,PR!$N$471,IF($S$588=426,PR!$N$472,IF($S$588=427,PR!$N$473,IF($S$588=428,PR!$N$474,IF($S$588=429,PR!$N$475,IF($S$588=430,PR!$N$476,IF($S$588=431,PR!$N$477,IF($S$588=432,PR!$N$478,IF($S$588=433,PR!$N$479,IF($S$588=434,PR!$N$480,IF($S$588=435,PR!$N$481,IF($S$588=436,PR!$N$482,IF($S$588=437,PR!$N$483,IF($S$588=438,PR!$N$484,IF($S$588=439,PR!$N$485,IF($S$588=440,PR!$N$486,IF($S$588=441,PR!$N$487,IF($S$588=442,PR!$N$488,IF($S$588=443,PR!$N$489,IF($S$588=444,PR!$N$490,IF($S$588=445,PR!$N$491,IF($S$588=446,PR!$N$492,IF($S$588=447,PR!$N$493,IF($S$588=448,PR!$N$494,IF($S$588=449,PR!$N$495,IF($S$588=450,PR!$N$496,IF($S$588=451,PR!$N$497,IF($S$588=452,PR!$N$498,IF($S$588=453,PR!$N$499,IF($S$588=454,PR!$N$500,IF($S$588=455,PR!$N$505,IF($S$588=456,PR!$N$506,IF($S$588=457,PR!$N$507,IF($S$588=458,PR!$N$508,IF($S$588=459,PR!$N$509,IF($S$588=460,PR!$N$510,IF($S$588=461,PR!$N$511,IF($S$588=462,PR!$N$512,IF($S$588=463,PR!$N$513,IF($S$588=464,PR!$N$514,IF($S$588=465,PR!$N$515,IF($S$588=466,PR!$N$516,IF($S$588=467,PR!$N$517,IF($S$588=468,PR!$N$518,IF($S$588=469,PR!$N$521,IF($S$588=470,PR!$N$522,IF($S$588=471,PR!$N$523,IF($S$588=472,PR!$N$524,IF($S$588=473,PR!$N$525,IF($S$588=474,PR!$N$526,IF($S$588=475,PR!$N$527,IF($S$588=476,PR!$N$528,IF($S$588=477,PR!$N$529,IF($S$588=478,PR!$N$530,IF($S$588=479,PR!$N$531,IF($S$588=480,PR!$N$532,"-"))))))))))))))))))))))))))))))))))))))))))))))))))))))))))))</f>
        <v>0</v>
      </c>
      <c r="M592" s="602">
        <f>IF($S$588=421,PR!$O$464,IF($S$588=422,PR!$O$465,IF($S$588=423,PR!$O$466,IF($S$588=424,PR!$O$470,IF($S$588=425,PR!$O$471,IF($S$588=426,PR!$O$472,IF($S$588=427,PR!$O$473,IF($S$588=428,PR!$O$474,IF($S$588=429,PR!$O$475,IF($S$588=430,PR!$O$476,IF($S$588=431,PR!$O$477,IF($S$588=432,PR!$O$478,IF($S$588=433,PR!$O$479,IF($S$588=434,PR!$O$480,IF($S$588=435,PR!$O$481,IF($S$588=436,PR!$O$482,IF($S$588=437,PR!$O$483,IF($S$588=438,PR!$O$484,IF($S$588=439,PR!$O$485,IF($S$588=440,PR!$O$486,IF($S$588=441,PR!$O$487,IF($S$588=442,PR!$O$488,IF($S$588=443,PR!$O$489,IF($S$588=444,PR!$O$490,IF($S$588=445,PR!$O$491,IF($S$588=446,PR!$O$492,IF($S$588=447,PR!$O$493,IF($S$588=448,PR!$O$494,IF($S$588=449,PR!$O$495,IF($S$588=450,PR!$O$496,IF($S$588=451,PR!$O$497,IF($S$588=452,PR!$O$498,IF($S$588=453,PR!$O$499,IF($S$588=454,PR!$O$500,IF($S$588=455,PR!$O$505,IF($S$588=456,PR!$O$506,IF($S$588=457,PR!$O$507,IF($S$588=458,PR!$O$508,IF($S$588=459,PR!$O$509,IF($S$588=460,PR!$O$510,IF($S$588=461,PR!$O$511,IF($S$588=462,PR!$O$512,IF($S$588=463,PR!$O$513,IF($S$588=464,PR!$O$514,IF($S$588=465,PR!$O$515,IF($S$588=466,PR!$O$516,IF($S$588=467,PR!$O$517,IF($S$588=468,PR!$O$518,IF($S$588=469,PR!$O$521,IF($S$588=470,PR!$O$522,IF($S$588=471,PR!$O$523,IF($S$588=472,PR!$O$524,IF($S$588=473,PR!$O$525,IF($S$588=474,PR!$O$526,IF($S$588=475,PR!$O$527,IF($S$588=476,PR!$O$528,IF($S$588=477,PR!$O$529,IF($S$588=478,PR!$O$530,IF($S$588=479,PR!$O$531,IF($S$588=480,PR!$O$532,"-"))))))))))))))))))))))))))))))))))))))))))))))))))))))))))))</f>
        <v>0</v>
      </c>
      <c r="N592" s="602">
        <f>IF($S$588=421,PR!$P$464,IF($S$588=422,PR!$P$465,IF($S$588=423,PR!$P$466,IF($S$588=424,PR!$P$470,IF($S$588=425,PR!$P$471,IF($S$588=426,PR!$P$472,IF($S$588=427,PR!$P$473,IF($S$588=428,PR!$P$474,IF($S$588=429,PR!$P$475,IF($S$588=430,PR!$P$476,IF($S$588=431,PR!$P$477,IF($S$588=432,PR!$P$478,IF($S$588=433,PR!$P$479,IF($S$588=434,PR!$P$480,IF($S$588=435,PR!$P$481,IF($S$588=436,PR!$P$482,IF($S$588=437,PR!$P$483,IF($S$588=438,PR!$P$484,IF($S$588=439,PR!$P$485,IF($S$588=440,PR!$P$486,IF($S$588=441,PR!$P$487,IF($S$588=442,PR!$P$488,IF($S$588=443,PR!$P$489,IF($S$588=444,PR!$P$490,IF($S$588=445,PR!$P$491,IF($S$588=446,PR!$P$492,IF($S$588=447,PR!$P$493,IF($S$588=448,PR!$P$494,IF($S$588=449,PR!$P$495,IF($S$588=450,PR!$P$496,IF($S$588=451,PR!$P$497,IF($S$588=452,PR!$P$498,IF($S$588=453,PR!$P$499,IF($S$588=454,PR!$P$500,IF($S$588=455,PR!$P$505,IF($S$588=456,PR!$P$506,IF($S$588=457,PR!$P$507,IF($S$588=458,PR!$P$508,IF($S$588=459,PR!$P$509,IF($S$588=460,PR!$P$510,IF($S$588=461,PR!$P$511,IF($S$588=462,PR!$P$512,IF($S$588=463,PR!$P$513,IF($S$588=464,PR!$P$514,IF($S$588=465,PR!$P$515,IF($S$588=466,PR!$P$516,IF($S$588=467,PR!$P$517,IF($S$588=468,PR!$P$518,IF($S$588=469,PR!$P$521,IF($S$588=470,PR!$P$522,IF($S$588=471,PR!$P$523,IF($S$588=472,PR!$P$524,IF($S$588=473,PR!$P$525,IF($S$588=474,PR!$P$526,IF($S$588=475,PR!$P$527,IF($S$588=476,PR!$P$528,IF($S$588=477,PR!$P$529,IF($S$588=478,PR!$P$530,IF($S$588=479,PR!$P$531,IF($S$588=480,PR!$P$532,"-"))))))))))))))))))))))))))))))))))))))))))))))))))))))))))))</f>
        <v>0</v>
      </c>
      <c r="O592" s="602">
        <f>IF($S$588=421,PR!$Q$464,IF($S$588=422,PR!$Q$465,IF($S$588=423,PR!$Q$466,IF($S$588=424,PR!$Q$470,IF($S$588=425,PR!$Q$471,IF($S$588=426,PR!$Q$472,IF($S$588=427,PR!$Q$473,IF($S$588=428,PR!$Q$474,IF($S$588=429,PR!$Q$475,IF($S$588=430,PR!$Q$476,IF($S$588=431,PR!$Q$477,IF($S$588=432,PR!$Q$478,IF($S$588=433,PR!$Q$479,IF($S$588=434,PR!$Q$480,IF($S$588=435,PR!$Q$481,IF($S$588=436,PR!$Q$482,IF($S$588=437,PR!$Q$483,IF($S$588=438,PR!$Q$484,IF($S$588=439,PR!$Q$485,IF($S$588=440,PR!$Q$486,IF($S$588=441,PR!$Q$487,IF($S$588=442,PR!$Q$488,IF($S$588=443,PR!$Q$489,IF($S$588=444,PR!$Q$490,IF($S$588=445,PR!$Q$491,IF($S$588=446,PR!$Q$492,IF($S$588=447,PR!$Q$493,IF($S$588=448,PR!$Q$494,IF($S$588=449,PR!$Q$495,IF($S$588=450,PR!$Q$496,IF($S$588=451,PR!$Q$497,IF($S$588=452,PR!$Q$498,IF($S$588=453,PR!$Q$499,IF($S$588=454,PR!$Q$500,IF($S$588=455,PR!$Q$505,IF($S$588=456,PR!$Q$506,IF($S$588=457,PR!$Q$507,IF($S$588=458,PR!$Q$508,IF($S$588=459,PR!$Q$509,IF($S$588=460,PR!$Q$510,IF($S$588=461,PR!$Q$511,IF($S$588=462,PR!$Q$512,IF($S$588=463,PR!$Q$513,IF($S$588=464,PR!$Q$514,IF($S$588=465,PR!$Q$515,IF($S$588=466,PR!$Q$516,IF($S$588=467,PR!$Q$517,IF($S$588=468,PR!$Q$518,IF($S$588=469,PR!$Q$521,IF($S$588=470,PR!$Q$522,IF($S$588=471,PR!$Q$523,IF($S$588=472,PR!$Q$524,IF($S$588=473,PR!$Q$525,IF($S$588=474,PR!$Q$526,IF($S$588=475,PR!$Q$527,IF($S$588=476,PR!$Q$528,IF($S$588=477,PR!$Q$529,IF($S$588=478,PR!$Q$530,IF($S$588=479,PR!$Q$531,IF($S$588=480,PR!$Q$532,"-"))))))))))))))))))))))))))))))))))))))))))))))))))))))))))))</f>
        <v>0</v>
      </c>
      <c r="P592" s="602">
        <f>IF($S$588=421,PR!$R$464,IF($S$588=422,PR!$R$465,IF($S$588=423,PR!$R$466,IF($S$588=424,PR!$R$470,IF($S$588=425,PR!$R$471,IF($S$588=426,PR!$R$472,IF($S$588=427,PR!$R$473,IF($S$588=428,PR!$R$474,IF($S$588=429,PR!$R$475,IF($S$588=430,PR!$R$476,IF($S$588=431,PR!$R$477,IF($S$588=432,PR!$R$478,IF($S$588=433,PR!$R$479,IF($S$588=434,PR!$R$480,IF($S$588=435,PR!$R$481,IF($S$588=436,PR!$R$482,IF($S$588=437,PR!$R$483,IF($S$588=438,PR!$R$484,IF($S$588=439,PR!$R$485,IF($S$588=440,PR!$R$486,IF($S$588=441,PR!$R$487,IF($S$588=442,PR!$R$488,IF($S$588=443,PR!$R$489,IF($S$588=444,PR!$R$490,IF($S$588=445,PR!$R$491,IF($S$588=446,PR!$R$492,IF($S$588=447,PR!$R$493,IF($S$588=448,PR!$R$494,IF($S$588=449,PR!$R$495,IF($S$588=450,PR!$R$496,IF($S$588=451,PR!$R$497,IF($S$588=452,PR!$R$498,IF($S$588=453,PR!$R$499,IF($S$588=454,PR!$R$500,IF($S$588=455,PR!$R$505,IF($S$588=456,PR!$R$506,IF($S$588=457,PR!$R$507,IF($S$588=458,PR!$R$508,IF($S$588=459,PR!$R$509,IF($S$588=460,PR!$R$510,IF($S$588=461,PR!$R$511,IF($S$588=462,PR!$R$512,IF($S$588=463,PR!$R$513,IF($S$588=464,PR!$R$514,IF($S$588=465,PR!$R$515,IF($S$588=466,PR!$R$516,IF($S$588=467,PR!$R$517,IF($S$588=468,PR!$R$518,IF($S$588=469,PR!$R$521,IF($S$588=470,PR!$R$522,IF($S$588=471,PR!$R$523,IF($S$588=472,PR!$R$524,IF($S$588=473,PR!$R$525,IF($S$588=474,PR!$R$526,IF($S$588=475,PR!$R$527,IF($S$588=476,PR!$R$528,IF($S$588=477,PR!$R$529,IF($S$588=478,PR!$R$530,IF($S$588=479,PR!$R$531,IF($S$588=480,PR!$R$532,"-"))))))))))))))))))))))))))))))))))))))))))))))))))))))))))))</f>
        <v>0</v>
      </c>
      <c r="Q592" s="602">
        <f>IF($S$588=421,PR!$S$464,IF($S$588=422,PR!$S$465,IF($S$588=423,PR!$S$466,IF($S$588=424,PR!$S$470,IF($S$588=425,PR!$S$471,IF($S$588=426,PR!$S$472,IF($S$588=427,PR!$S$473,IF($S$588=428,PR!$S$474,IF($S$588=429,PR!$S$475,IF($S$588=430,PR!$S$476,IF($S$588=431,PR!$S$477,IF($S$588=432,PR!$S$478,IF($S$588=433,PR!$S$479,IF($S$588=434,PR!$S$480,IF($S$588=435,PR!$S$481,IF($S$588=436,PR!$S$482,IF($S$588=437,PR!$S$483,IF($S$588=438,PR!$S$484,IF($S$588=439,PR!$S$485,IF($S$588=440,PR!$S$486,IF($S$588=441,PR!$S$487,IF($S$588=442,PR!$S$488,IF($S$588=443,PR!$S$489,IF($S$588=444,PR!$S$490,IF($S$588=445,PR!$S$491,IF($S$588=446,PR!$S$492,IF($S$588=447,PR!$S$493,IF($S$588=448,PR!$S$494,IF($S$588=449,PR!$S$495,IF($S$588=450,PR!$S$496,IF($S$588=451,PR!$S$497,IF($S$588=452,PR!$S$498,IF($S$588=453,PR!$S$499,IF($S$588=454,PR!$S$500,IF($S$588=455,PR!$S$505,IF($S$588=456,PR!$S$506,IF($S$588=457,PR!$S$507,IF($S$588=458,PR!$S$508,IF($S$588=459,PR!$S$509,IF($S$588=460,PR!$S$510,IF($S$588=461,PR!$S$511,IF($S$588=462,PR!$S$512,IF($S$588=463,PR!$S$513,IF($S$588=464,PR!$S$514,IF($S$588=465,PR!$S$515,IF($S$588=466,PR!$S$516,IF($S$588=467,PR!$S$517,IF($S$588=468,PR!$S$518,IF($S$588=469,PR!$S$521,IF($S$588=470,PR!$S$522,IF($S$588=471,PR!$S$523,IF($S$588=472,PR!$S$524,IF($S$588=473,PR!$S$525,IF($S$588=474,PR!$S$526,IF($S$588=475,PR!$S$527,IF($S$588=476,PR!$S$528,IF($S$588=477,PR!$S$529,IF($S$588=478,PR!$S$530,IF($S$588=479,PR!$S$531,IF($S$588=480,PR!$S$532,"-"))))))))))))))))))))))))))))))))))))))))))))))))))))))))))))</f>
        <v>1000</v>
      </c>
      <c r="R592" s="602">
        <f>IF($S$588=421,PR!$T$464,IF($S$588=422,PR!$T$465,IF($S$588=423,PR!$T$466,IF($S$588=424,PR!$T$470,IF($S$588=425,PR!$T$471,IF($S$588=426,PR!$T$472,IF($S$588=427,PR!$T$473,IF($S$588=428,PR!$T$474,IF($S$588=429,PR!$T$475,IF($S$588=430,PR!$T$476,IF($S$588=431,PR!$T$477,IF($S$588=432,PR!$T$478,IF($S$588=433,PR!$T$479,IF($S$588=434,PR!$T$480,IF($S$588=435,PR!$T$481,IF($S$588=436,PR!$T$482,IF($S$588=437,PR!$T$483,IF($S$588=438,PR!$T$484,IF($S$588=439,PR!$T$485,IF($S$588=440,PR!$T$486,IF($S$588=441,PR!$T$487,IF($S$588=442,PR!$T$488,IF($S$588=443,PR!$T$489,IF($S$588=444,PR!$T$490,IF($S$588=445,PR!$T$491,IF($S$588=446,PR!$T$492,IF($S$588=447,PR!$T$493,IF($S$588=448,PR!$T$494,IF($S$588=449,PR!$T$495,IF($S$588=450,PR!$T$496,IF($S$588=451,PR!$T$497,IF($S$588=452,PR!$T$498,IF($S$588=453,PR!$T$499,IF($S$588=454,PR!$T$500,IF($S$588=455,PR!$T$505,IF($S$588=456,PR!$T$506,IF($S$588=457,PR!$T$507,IF($S$588=458,PR!$T$508,IF($S$588=459,PR!$T$509,IF($S$588=460,PR!$T$510,IF($S$588=461,PR!$T$511,IF($S$588=462,PR!$T$512,IF($S$588=463,PR!$T$513,IF($S$588=464,PR!$T$514,IF($S$588=465,PR!$T$515,IF($S$588=466,PR!$T$516,IF($S$588=467,PR!$T$517,IF($S$588=468,PR!$T$518,IF($S$588=469,PR!$T$521,IF($S$588=470,PR!$T$522,IF($S$588=471,PR!$T$523,IF($S$588=472,PR!$T$524,IF($S$588=473,PR!$T$525,IF($S$588=474,PR!$T$526,IF($S$588=475,PR!$T$527,IF($S$588=476,PR!$T$528,IF($S$588=477,PR!$T$529,IF($S$588=478,PR!$T$530,IF($S$588=479,PR!$T$531,IF($S$588=480,PR!$T$532,"-"))))))))))))))))))))))))))))))))))))))))))))))))))))))))))))</f>
        <v>0</v>
      </c>
      <c r="S592" s="602">
        <f>IF($S$588=421,PR!$U$464,IF($S$588=422,PR!$U$465,IF($S$588=423,PR!$U$466,IF($S$588=424,PR!$U$470,IF($S$588=425,PR!$U$471,IF($S$588=426,PR!$U$472,IF($S$588=427,PR!$U$473,IF($S$588=428,PR!$U$474,IF($S$588=429,PR!$U$475,IF($S$588=430,PR!$U$476,IF($S$588=431,PR!$U$477,IF($S$588=432,PR!$U$478,IF($S$588=433,PR!$U$479,IF($S$588=434,PR!$U$480,IF($S$588=435,PR!$U$481,IF($S$588=436,PR!$U$482,IF($S$588=437,PR!$U$483,IF($S$588=438,PR!$U$484,IF($S$588=439,PR!$U$485,IF($S$588=440,PR!$U$486,IF($S$588=441,PR!$U$487,IF($S$588=442,PR!$U$488,IF($S$588=443,PR!$U$489,IF($S$588=444,PR!$U$490,IF($S$588=445,PR!$U$491,IF($S$588=446,PR!$U$492,IF($S$588=447,PR!$U$493,IF($S$588=448,PR!$U$494,IF($S$588=449,PR!$U$495,IF($S$588=450,PR!$U$496,IF($S$588=451,PR!$U$497,IF($S$588=452,PR!$U$498,IF($S$588=453,PR!$U$499,IF($S$588=454,PR!$U$500,IF($S$588=455,PR!$U$505,IF($S$588=456,PR!$U$506,IF($S$588=457,PR!$U$507,IF($S$588=458,PR!$U$508,IF($S$588=459,PR!$U$509,IF($S$588=460,PR!$U$510,IF($S$588=461,PR!$U$511,IF($S$588=462,PR!$U$512,IF($S$588=463,PR!$U$513,IF($S$588=464,PR!$U$514,IF($S$588=465,PR!$U$515,IF($S$588=466,PR!$U$516,IF($S$588=467,PR!$U$517,IF($S$588=468,PR!$U$518,IF($S$588=469,PR!$U$521,IF($S$588=470,PR!$U$522,IF($S$588=471,PR!$U$523,IF($S$588=472,PR!$U$524,IF($S$588=473,PR!$U$525,IF($S$588=474,PR!$U$526,IF($S$588=475,PR!$U$527,IF($S$588=476,PR!$U$528,IF($S$588=477,PR!$U$529,IF($S$588=478,PR!$U$530,IF($S$588=479,PR!$U$531,IF($S$588=480,PR!$U$532,"-"))))))))))))))))))))))))))))))))))))))))))))))))))))))))))))</f>
        <v>0</v>
      </c>
      <c r="T592" s="580"/>
      <c r="U592" s="580"/>
      <c r="V592" s="32"/>
      <c r="W592" s="32"/>
      <c r="X592" s="32"/>
      <c r="Y592" s="32"/>
    </row>
    <row r="593" spans="1:26" ht="10.5" customHeight="1" x14ac:dyDescent="0.25">
      <c r="A593" s="91"/>
      <c r="B593" s="580"/>
      <c r="C593" s="603"/>
      <c r="D593" s="604"/>
      <c r="E593" s="604"/>
      <c r="F593" s="604"/>
      <c r="G593" s="604"/>
      <c r="H593" s="604"/>
      <c r="I593" s="604"/>
      <c r="J593" s="604"/>
      <c r="K593" s="604"/>
      <c r="L593" s="604"/>
      <c r="M593" s="604"/>
      <c r="N593" s="604"/>
      <c r="O593" s="604"/>
      <c r="P593" s="604"/>
      <c r="Q593" s="604"/>
      <c r="R593" s="605"/>
      <c r="S593" s="605"/>
      <c r="T593" s="580"/>
      <c r="U593" s="580"/>
      <c r="V593" s="32"/>
      <c r="W593" s="32"/>
      <c r="X593" s="32"/>
      <c r="Y593" s="32"/>
      <c r="Z593" s="32"/>
    </row>
    <row r="594" spans="1:26" ht="15.75" thickBot="1" x14ac:dyDescent="0.3">
      <c r="A594" s="91"/>
      <c r="B594" s="580"/>
      <c r="C594" s="600" t="str">
        <f>N!$C$21</f>
        <v>GENEITH</v>
      </c>
      <c r="D594" s="600" t="str">
        <f>N!$C$22</f>
        <v>GINOS</v>
      </c>
      <c r="E594" s="600" t="str">
        <f>N!$C$23</f>
        <v>GSK</v>
      </c>
      <c r="F594" s="600" t="str">
        <f>N!$C$24</f>
        <v>GLOBORG</v>
      </c>
      <c r="G594" s="600" t="str">
        <f>N!$C$25</f>
        <v>GOODNEWS</v>
      </c>
      <c r="H594" s="600" t="str">
        <f>N!$C$26</f>
        <v>GREENLIFE</v>
      </c>
      <c r="I594" s="600" t="str">
        <f>N!$C$27</f>
        <v>HLINE</v>
      </c>
      <c r="J594" s="600" t="str">
        <f>N!$C$28</f>
        <v>ROTECH</v>
      </c>
      <c r="K594" s="600" t="str">
        <f>N!$C$29</f>
        <v>ISN</v>
      </c>
      <c r="L594" s="600" t="str">
        <f>N!$C$30</f>
        <v>JAWA</v>
      </c>
      <c r="M594" s="600" t="str">
        <f>N!$C$31</f>
        <v>LAYO</v>
      </c>
      <c r="N594" s="600" t="str">
        <f>N!$C$32</f>
        <v>LEADWAY</v>
      </c>
      <c r="O594" s="600" t="str">
        <f>N!$C$33</f>
        <v>LHV</v>
      </c>
      <c r="P594" s="600" t="str">
        <f>N!$C$34</f>
        <v>MANOLA</v>
      </c>
      <c r="Q594" s="600" t="str">
        <f>N!$C$35</f>
        <v>MARCSON</v>
      </c>
      <c r="R594" s="600" t="str">
        <f>N!$C$36</f>
        <v>M&amp;B</v>
      </c>
      <c r="S594" s="600" t="str">
        <f>N!$C$37</f>
        <v>MTRUST</v>
      </c>
      <c r="T594" s="580"/>
      <c r="U594" s="580"/>
      <c r="V594" s="32"/>
      <c r="W594" s="32"/>
      <c r="X594" s="32"/>
      <c r="Y594" s="32"/>
      <c r="Z594" s="32"/>
    </row>
    <row r="595" spans="1:26" ht="15.75" thickBot="1" x14ac:dyDescent="0.3">
      <c r="A595" s="91"/>
      <c r="B595" s="580"/>
      <c r="C595" s="602">
        <f>IF($S$588=421,PR!$V$464,IF($S$588=422,PR!$V$465,IF($S$588=423,PR!$V$466,IF($S$588=424,PR!$V$470,IF($S$588=425,PR!$V$471,IF($S$588=426,PR!$V$472,IF($S$588=427,PR!$V$473,IF($S$588=428,PR!$V$474,IF($S$588=429,PR!$V$475,IF($S$588=430,PR!$V$476,IF($S$588=431,PR!$V$477,IF($S$588=432,PR!$V$478,IF($S$588=433,PR!$V$479,IF($S$588=434,PR!$V$480,IF($S$588=435,PR!$V$481,IF($S$588=436,PR!$V$482,IF($S$588=437,PR!$V$483,IF($S$588=438,PR!$V$484,IF($S$588=439,PR!$V$485,IF($S$588=440,PR!$V$486,IF($S$588=441,PR!$V$487,IF($S$588=442,PR!$V$488,IF($S$588=443,PR!$V$489,IF($S$588=444,PR!$V$490,IF($S$588=445,PR!$V$491,IF($S$588=446,PR!$V$492,IF($S$588=447,PR!$V$493,IF($S$588=448,PR!$V$494,IF($S$588=449,PR!$V$495,IF($S$588=450,PR!$V$496,IF($S$588=451,PR!$V$497,IF($S$588=452,PR!$V$498,IF($S$588=453,PR!$V$499,IF($S$588=454,PR!$V$500,IF($S$588=455,PR!$V$505,IF($S$588=456,PR!$V$506,IF($S$588=457,PR!$V$507,IF($S$588=458,PR!$V$508,IF($S$588=459,PR!$V$509,IF($S$588=460,PR!$V$510,IF($S$588=461,PR!$V$511,IF($S$588=462,PR!$V$512,IF($S$588=463,PR!$V$513,IF($S$588=464,PR!$V$514,IF($S$588=465,PR!$V$515,IF($S$588=466,PR!$V$516,IF($S$588=467,PR!$V$517,IF($S$588=468,PR!$V$518,IF($S$588=469,PR!$V$521,IF($S$588=470,PR!$V$522,IF($S$588=471,PR!$V$523,IF($S$588=472,PR!$V$524,IF($S$588=473,PR!$V$525,IF($S$588=474,PR!$V$526,IF($S$588=475,PR!$V$527,IF($S$588=476,PR!$V$528,IF($S$588=477,PR!$V$529,IF($S$588=478,PR!$V$530,IF($S$588=479,PR!$V$531,IF($S$588=480,PR!$V$532,"-"))))))))))))))))))))))))))))))))))))))))))))))))))))))))))))</f>
        <v>0</v>
      </c>
      <c r="D595" s="602">
        <f>IF($S$588=421,PR!$W$464,IF($S$588=422,PR!$W$465,IF($S$588=423,PR!$W$466,IF($S$588=424,PR!$W$470,IF($S$588=425,PR!$W$471,IF($S$588=426,PR!$W$472,IF($S$588=427,PR!$W$473,IF($S$588=428,PR!$W$474,IF($S$588=429,PR!$W$475,IF($S$588=430,PR!$W$476,IF($S$588=431,PR!$W$477,IF($S$588=432,PR!$W$478,IF($S$588=433,PR!$W$479,IF($S$588=434,PR!$W$480,IF($S$588=435,PR!$W$481,IF($S$588=436,PR!$W$482,IF($S$588=437,PR!$W$483,IF($S$588=438,PR!$W$484,IF($S$588=439,PR!$W$485,IF($S$588=440,PR!$W$486,IF($S$588=441,PR!$W$487,IF($S$588=442,PR!$W$488,IF($S$588=443,PR!$W$489,IF($S$588=444,PR!$W$490,IF($S$588=445,PR!$W$491,IF($S$588=446,PR!$W$492,IF($S$588=447,PR!$W$493,IF($S$588=448,PR!$W$494,IF($S$588=449,PR!$W$495,IF($S$588=450,PR!$W$496,IF($S$588=451,PR!$W$497,IF($S$588=452,PR!$W$498,IF($S$588=453,PR!$W$499,IF($S$588=454,PR!$W$500,IF($S$588=455,PR!$W$505,IF($S$588=456,PR!$W$506,IF($S$588=457,PR!$W$507,IF($S$588=458,PR!$W$508,IF($S$588=459,PR!$W$509,IF($S$588=460,PR!$W$510,IF($S$588=461,PR!$W$511,IF($S$588=462,PR!$W$512,IF($S$588=463,PR!$W$513,IF($S$588=464,PR!$W$514,IF($S$588=465,PR!$W$515,IF($S$588=466,PR!$W$516,IF($S$588=467,PR!$W$517,IF($S$588=468,PR!$W$518,IF($S$588=469,PR!$W$521,IF($S$588=470,PR!$W$522,IF($S$588=471,PR!$W$523,IF($S$588=472,PR!$W$524,IF($S$588=473,PR!$W$525,IF($S$588=474,PR!$W$526,IF($S$588=475,PR!$W$527,IF($S$588=476,PR!$W$528,IF($S$588=477,PR!$W$529,IF($S$588=478,PR!$W$530,IF($S$588=479,PR!$W$531,IF($S$588=480,PR!$W$532,"-"))))))))))))))))))))))))))))))))))))))))))))))))))))))))))))</f>
        <v>0</v>
      </c>
      <c r="E595" s="602">
        <f>IF($S$588=421,PR!$X$464,IF($S$588=422,PR!$X$465,IF($S$588=423,PR!$X$466,IF($S$588=424,PR!$X$470,IF($S$588=425,PR!$X$471,IF($S$588=426,PR!$X$472,IF($S$588=427,PR!$X$473,IF($S$588=428,PR!$X$474,IF($S$588=429,PR!$X$475,IF($S$588=430,PR!$X$476,IF($S$588=431,PR!$X$477,IF($S$588=432,PR!$X$478,IF($S$588=433,PR!$X$479,IF($S$588=434,PR!$X$480,IF($S$588=435,PR!$X$481,IF($S$588=436,PR!$X$482,IF($S$588=437,PR!$X$483,IF($S$588=438,PR!$X$484,IF($S$588=439,PR!$X$485,IF($S$588=440,PR!$X$486,IF($S$588=441,PR!$X$487,IF($S$588=442,PR!$X$488,IF($S$588=443,PR!$X$489,IF($S$588=444,PR!$X$490,IF($S$588=445,PR!$X$491,IF($S$588=446,PR!$X$492,IF($S$588=447,PR!$X$493,IF($S$588=448,PR!$X$494,IF($S$588=449,PR!$X$495,IF($S$588=450,PR!$X$496,IF($S$588=451,PR!$X$497,IF($S$588=452,PR!$X$498,IF($S$588=453,PR!$X$499,IF($S$588=454,PR!$X$500,IF($S$588=455,PR!$X$505,IF($S$588=456,PR!$X$506,IF($S$588=457,PR!$X$507,IF($S$588=458,PR!$X$508,IF($S$588=459,PR!$X$509,IF($S$588=460,PR!$X$510,IF($S$588=461,PR!$X$511,IF($S$588=462,PR!$X$512,IF($S$588=463,PR!$X$513,IF($S$588=464,PR!$X$514,IF($S$588=465,PR!$X$515,IF($S$588=466,PR!$X$516,IF($S$588=467,PR!$X$517,IF($S$588=468,PR!$X$518,IF($S$588=469,PR!$X$521,IF($S$588=470,PR!$X$522,IF($S$588=471,PR!$X$523,IF($S$588=472,PR!$X$524,IF($S$588=473,PR!$X$525,IF($S$588=474,PR!$X$526,IF($S$588=475,PR!$X$527,IF($S$588=476,PR!$X$528,IF($S$588=477,PR!$X$529,IF($S$588=478,PR!$X$530,IF($S$588=479,PR!$X$531,IF($S$588=480,PR!$X$532,"-"))))))))))))))))))))))))))))))))))))))))))))))))))))))))))))</f>
        <v>0</v>
      </c>
      <c r="F595" s="602">
        <f>IF($S$588=421,PR!$Y$464,IF($S$588=422,PR!$Y$465,IF($S$588=423,PR!$Y$466,IF($S$588=424,PR!$Y$470,IF($S$588=425,PR!$Y$471,IF($S$588=426,PR!$Y$472,IF($S$588=427,PR!$Y$473,IF($S$588=428,PR!$Y$474,IF($S$588=429,PR!$Y$475,IF($S$588=430,PR!$Y$476,IF($S$588=431,PR!$Y$477,IF($S$588=432,PR!$Y$478,IF($S$588=433,PR!$Y$479,IF($S$588=434,PR!$Y$480,IF($S$588=435,PR!$Y$481,IF($S$588=436,PR!$Y$482,IF($S$588=437,PR!$Y$483,IF($S$588=438,PR!$Y$484,IF($S$588=439,PR!$Y$485,IF($S$588=440,PR!$Y$486,IF($S$588=441,PR!$Y$487,IF($S$588=442,PR!$Y$488,IF($S$588=443,PR!$Y$489,IF($S$588=444,PR!$Y$490,IF($S$588=445,PR!$Y$491,IF($S$588=446,PR!$Y$492,IF($S$588=447,PR!$Y$493,IF($S$588=448,PR!$Y$494,IF($S$588=449,PR!$Y$495,IF($S$588=450,PR!$Y$496,IF($S$588=451,PR!$Y$497,IF($S$588=452,PR!$Y$498,IF($S$588=453,PR!$Y$499,IF($S$588=454,PR!$Y$500,IF($S$588=455,PR!$Y$505,IF($S$588=456,PR!$Y$506,IF($S$588=457,PR!$Y$507,IF($S$588=458,PR!$Y$508,IF($S$588=459,PR!$Y$509,IF($S$588=460,PR!$Y$510,IF($S$588=461,PR!$Y$511,IF($S$588=462,PR!$Y$512,IF($S$588=463,PR!$Y$513,IF($S$588=464,PR!$Y$514,IF($S$588=465,PR!$Y$515,IF($S$588=466,PR!$Y$516,IF($S$588=467,PR!$Y$517,IF($S$588=468,PR!$Y$518,IF($S$588=469,PR!$Y$521,IF($S$588=470,PR!$Y$522,IF($S$588=471,PR!$Y$523,IF($S$588=472,PR!$Y$524,IF($S$588=473,PR!$Y$525,IF($S$588=474,PR!$Y$526,IF($S$588=475,PR!$Y$527,IF($S$588=476,PR!$Y$528,IF($S$588=477,PR!$Y$529,IF($S$588=478,PR!$Y$530,IF($S$588=479,PR!$Y$531,IF($S$588=480,PR!$Y$532,"-"))))))))))))))))))))))))))))))))))))))))))))))))))))))))))))</f>
        <v>0</v>
      </c>
      <c r="G595" s="602">
        <f>IF($S$588=421,PR!$Z$464,IF($S$588=422,PR!$Z$465,IF($S$588=423,PR!$Z$466,IF($S$588=424,PR!$Z$470,IF($S$588=425,PR!$Z$471,IF($S$588=426,PR!$Z$472,IF($S$588=427,PR!$Z$473,IF($S$588=428,PR!$Z$474,IF($S$588=429,PR!$Z$475,IF($S$588=430,PR!$Z$476,IF($S$588=431,PR!$Z$477,IF($S$588=432,PR!$Z$478,IF($S$588=433,PR!$Z$479,IF($S$588=434,PR!$Z$480,IF($S$588=435,PR!$Z$481,IF($S$588=436,PR!$Z$482,IF($S$588=437,PR!$Z$483,IF($S$588=438,PR!$Z$484,IF($S$588=439,PR!$Z$485,IF($S$588=440,PR!$Z$486,IF($S$588=441,PR!$Z$487,IF($S$588=442,PR!$Z$488,IF($S$588=443,PR!$Z$489,IF($S$588=444,PR!$Z$490,IF($S$588=445,PR!$Z$491,IF($S$588=446,PR!$Z$492,IF($S$588=447,PR!$Z$493,IF($S$588=448,PR!$Z$494,IF($S$588=449,PR!$Z$495,IF($S$588=450,PR!$Z$496,IF($S$588=451,PR!$Z$497,IF($S$588=452,PR!$Z$498,IF($S$588=453,PR!$Z$499,IF($S$588=454,PR!$Z$500,IF($S$588=455,PR!$Z$505,IF($S$588=456,PR!$Z$506,IF($S$588=457,PR!$Z$507,IF($S$588=458,PR!$Z$508,IF($S$588=459,PR!$Z$509,IF($S$588=460,PR!$Z$510,IF($S$588=461,PR!$Z$511,IF($S$588=462,PR!$Z$512,IF($S$588=463,PR!$Z$513,IF($S$588=464,PR!$Z$514,IF($S$588=465,PR!$Z$515,IF($S$588=466,PR!$Z$516,IF($S$588=467,PR!$Z$517,IF($S$588=468,PR!$Z$518,IF($S$588=469,PR!$Z$521,IF($S$588=470,PR!$Z$522,IF($S$588=471,PR!$Z$523,IF($S$588=472,PR!$Z$524,IF($S$588=473,PR!$Z$525,IF($S$588=474,PR!$Z$526,IF($S$588=475,PR!$Z$527,IF($S$588=476,PR!$Z$528,IF($S$588=477,PR!$Z$529,IF($S$588=478,PR!$Z$530,IF($S$588=479,PR!$Z$531,IF($S$588=480,PR!$Z$532,"-"))))))))))))))))))))))))))))))))))))))))))))))))))))))))))))</f>
        <v>0</v>
      </c>
      <c r="H595" s="602">
        <f>IF($S$588=421,PR!$AA$464,IF($S$588=422,PR!$AA$465,IF($S$588=423,PR!$AA$466,IF($S$588=424,PR!$AA$470,IF($S$588=425,PR!$AA$471,IF($S$588=426,PR!$AA$472,IF($S$588=427,PR!$AA$473,IF($S$588=428,PR!$AA$474,IF($S$588=429,PR!$AA$475,IF($S$588=430,PR!$AA$476,IF($S$588=431,PR!$AA$477,IF($S$588=432,PR!$AA$478,IF($S$588=433,PR!$AA$479,IF($S$588=434,PR!$AA$480,IF($S$588=435,PR!$AA$481,IF($S$588=436,PR!$AA$482,IF($S$588=437,PR!$AA$483,IF($S$588=438,PR!$AA$484,IF($S$588=439,PR!$AA$485,IF($S$588=440,PR!$AA$486,IF($S$588=441,PR!$AA$487,IF($S$588=442,PR!$AA$488,IF($S$588=443,PR!$AA$489,IF($S$588=444,PR!$AA$490,IF($S$588=445,PR!$AA$491,IF($S$588=446,PR!$AA$492,IF($S$588=447,PR!$AA$493,IF($S$588=448,PR!$AA$494,IF($S$588=449,PR!$AA$495,IF($S$588=450,PR!$AA$496,IF($S$588=451,PR!$AA$497,IF($S$588=452,PR!$AA$498,IF($S$588=453,PR!$AA$499,IF($S$588=454,PR!$AA$500,IF($S$588=455,PR!$AA$505,IF($S$588=456,PR!$AA$506,IF($S$588=457,PR!$AA$507,IF($S$588=458,PR!$AA$508,IF($S$588=459,PR!$AA$509,IF($S$588=460,PR!$AA$510,IF($S$588=461,PR!$AA$511,IF($S$588=462,PR!$AA$512,IF($S$588=463,PR!$AA$513,IF($S$588=464,PR!$AA$514,IF($S$588=465,PR!$AA$515,IF($S$588=466,PR!$AA$516,IF($S$588=467,PR!$AA$517,IF($S$588=468,PR!$AA$518,IF($S$588=469,PR!$AA$521,IF($S$588=470,PR!$AA$522,IF($S$588=471,PR!$AA$523,IF($S$588=472,PR!$AA$524,IF($S$588=473,PR!$AA$525,IF($S$588=474,PR!$AA$526,IF($S$588=475,PR!$AA$527,IF($S$588=476,PR!$AA$528,IF($S$588=477,PR!$AA$529,IF($S$588=478,PR!$AA$530,IF($S$588=479,PR!$AA$531,IF($S$588=480,PR!$AA$532,"-"))))))))))))))))))))))))))))))))))))))))))))))))))))))))))))</f>
        <v>0</v>
      </c>
      <c r="I595" s="602">
        <f>IF($S$588=421,PR!$AB$464,IF($S$588=422,PR!$AB$465,IF($S$588=423,PR!$AB$466,IF($S$588=424,PR!$AB$470,IF($S$588=425,PR!$AB$471,IF($S$588=426,PR!$AB$472,IF($S$588=427,PR!$AB$473,IF($S$588=428,PR!$AB$474,IF($S$588=429,PR!$AB$475,IF($S$588=430,PR!$AB$476,IF($S$588=431,PR!$AB$477,IF($S$588=432,PR!$AB$478,IF($S$588=433,PR!$AB$479,IF($S$588=434,PR!$AB$480,IF($S$588=435,PR!$AB$481,IF($S$588=436,PR!$AB$482,IF($S$588=437,PR!$AB$483,IF($S$588=438,PR!$AB$484,IF($S$588=439,PR!$AB$485,IF($S$588=440,PR!$AB$486,IF($S$588=441,PR!$AB$487,IF($S$588=442,PR!$AB$488,IF($S$588=443,PR!$AB$489,IF($S$588=444,PR!$AB$490,IF($S$588=445,PR!$AB$491,IF($S$588=446,PR!$AB$492,IF($S$588=447,PR!$AB$493,IF($S$588=448,PR!$AB$494,IF($S$588=449,PR!$AB$495,IF($S$588=450,PR!$AB$496,IF($S$588=451,PR!$AB$497,IF($S$588=452,PR!$AB$498,IF($S$588=453,PR!$AB$499,IF($S$588=454,PR!$AB$500,IF($S$588=455,PR!$AB$505,IF($S$588=456,PR!$AB$506,IF($S$588=457,PR!$AB$507,IF($S$588=458,PR!$AB$508,IF($S$588=459,PR!$AB$509,IF($S$588=460,PR!$AB$510,IF($S$588=461,PR!$AB$511,IF($S$588=462,PR!$AB$512,IF($S$588=463,PR!$AB$513,IF($S$588=464,PR!$AB$514,IF($S$588=465,PR!$AB$515,IF($S$588=466,PR!$AB$516,IF($S$588=467,PR!$AB$517,IF($S$588=468,PR!$AB$518,IF($S$588=469,PR!$AB$521,IF($S$588=470,PR!$AB$522,IF($S$588=471,PR!$AB$523,IF($S$588=472,PR!$AB$524,IF($S$588=473,PR!$AB$525,IF($S$588=474,PR!$AB$526,IF($S$588=475,PR!$AB$527,IF($S$588=476,PR!$AB$528,IF($S$588=477,PR!$AB$529,IF($S$588=478,PR!$AB$530,IF($S$588=479,PR!$AB$531,IF($S$588=480,PR!$AB$532,"-"))))))))))))))))))))))))))))))))))))))))))))))))))))))))))))</f>
        <v>0</v>
      </c>
      <c r="J595" s="602">
        <f>IF($S$588=421,PR!$AC$464,IF($S$588=422,PR!$AC$465,IF($S$588=423,PR!$AC$466,IF($S$588=424,PR!$AC$470,IF($S$588=425,PR!$AC$471,IF($S$588=426,PR!$AC$472,IF($S$588=427,PR!$AC$473,IF($S$588=428,PR!$AC$474,IF($S$588=429,PR!$AC$475,IF($S$588=430,PR!$AC$476,IF($S$588=431,PR!$AC$477,IF($S$588=432,PR!$AC$478,IF($S$588=433,PR!$AC$479,IF($S$588=434,PR!$AC$480,IF($S$588=435,PR!$AC$481,IF($S$588=436,PR!$AC$482,IF($S$588=437,PR!$AC$483,IF($S$588=438,PR!$AC$484,IF($S$588=439,PR!$AC$485,IF($S$588=440,PR!$AC$486,IF($S$588=441,PR!$AC$487,IF($S$588=442,PR!$AC$488,IF($S$588=443,PR!$AC$489,IF($S$588=444,PR!$AC$490,IF($S$588=445,PR!$AC$491,IF($S$588=446,PR!$AC$492,IF($S$588=447,PR!$AC$493,IF($S$588=448,PR!$AC$494,IF($S$588=449,PR!$AC$495,IF($S$588=450,PR!$AC$496,IF($S$588=451,PR!$AC$497,IF($S$588=452,PR!$AC$498,IF($S$588=453,PR!$AC$499,IF($S$588=454,PR!$AC$500,IF($S$588=455,PR!$AC$505,IF($S$588=456,PR!$AC$506,IF($S$588=457,PR!$AC$507,IF($S$588=458,PR!$AC$508,IF($S$588=459,PR!$AC$509,IF($S$588=460,PR!$AC$510,IF($S$588=461,PR!$AC$511,IF($S$588=462,PR!$AC$512,IF($S$588=463,PR!$AC$513,IF($S$588=464,PR!$AC$514,IF($S$588=465,PR!$AC$515,IF($S$588=466,PR!$AC$516,IF($S$588=467,PR!$AC$517,IF($S$588=468,PR!$AC$518,IF($S$588=469,PR!$AC$521,IF($S$588=470,PR!$AC$522,IF($S$588=471,PR!$AC$523,IF($S$588=472,PR!$AC$524,IF($S$588=473,PR!$AC$525,IF($S$588=474,PR!$AC$526,IF($S$588=475,PR!$AC$527,IF($S$588=476,PR!$AC$528,IF($S$588=477,PR!$AC$529,IF($S$588=478,PR!$AC$530,IF($S$588=479,PR!$AC$531,IF($S$588=480,PR!$AC$532,"-"))))))))))))))))))))))))))))))))))))))))))))))))))))))))))))</f>
        <v>0</v>
      </c>
      <c r="K595" s="602">
        <f>IF($S$588=421,PR!$AD$464,IF($S$588=422,PR!$AD$465,IF($S$588=423,PR!$AD$466,IF($S$588=424,PR!$AD$470,IF($S$588=425,PR!$AD$471,IF($S$588=426,PR!$AD$472,IF($S$588=427,PR!$AD$473,IF($S$588=428,PR!$AD$474,IF($S$588=429,PR!$AD$475,IF($S$588=430,PR!$AD$476,IF($S$588=431,PR!$AD$477,IF($S$588=432,PR!$AD$478,IF($S$588=433,PR!$AD$479,IF($S$588=434,PR!$AD$480,IF($S$588=435,PR!$AD$481,IF($S$588=436,PR!$AD$482,IF($S$588=437,PR!$AD$483,IF($S$588=438,PR!$AD$484,IF($S$588=439,PR!$AD$485,IF($S$588=440,PR!$AD$486,IF($S$588=441,PR!$AD$487,IF($S$588=442,PR!$AD$488,IF($S$588=443,PR!$AD$489,IF($S$588=444,PR!$AD$490,IF($S$588=445,PR!$AD$491,IF($S$588=446,PR!$AD$492,IF($S$588=447,PR!$AD$493,IF($S$588=448,PR!$AD$494,IF($S$588=449,PR!$AD$495,IF($S$588=450,PR!$AD$496,IF($S$588=451,PR!$AD$497,IF($S$588=452,PR!$AD$498,IF($S$588=453,PR!$AD$499,IF($S$588=454,PR!$AD$500,IF($S$588=455,PR!$AD$505,IF($S$588=456,PR!$AD$506,IF($S$588=457,PR!$AD$507,IF($S$588=458,PR!$AD$508,IF($S$588=459,PR!$AD$509,IF($S$588=460,PR!$AD$510,IF($S$588=461,PR!$AD$511,IF($S$588=462,PR!$AD$512,IF($S$588=463,PR!$AD$513,IF($S$588=464,PR!$AD$514,IF($S$588=465,PR!$AD$515,IF($S$588=466,PR!$AD$516,IF($S$588=467,PR!$AD$517,IF($S$588=468,PR!$AD$518,IF($S$588=469,PR!$AD$521,IF($S$588=470,PR!$AD$522,IF($S$588=471,PR!$AD$523,IF($S$588=472,PR!$AD$524,IF($S$588=473,PR!$AD$525,IF($S$588=474,PR!$AD$526,IF($S$588=475,PR!$AD$527,IF($S$588=476,PR!$AD$528,IF($S$588=477,PR!$AD$529,IF($S$588=478,PR!$AD$530,IF($S$588=479,PR!$AD$531,IF($S$588=480,PR!$AD$532,"-"))))))))))))))))))))))))))))))))))))))))))))))))))))))))))))</f>
        <v>0</v>
      </c>
      <c r="L595" s="602">
        <f>IF($S$588=421,PR!$AE$464,IF($S$588=422,PR!$AE$465,IF($S$588=423,PR!$AE$466,IF($S$588=424,PR!$AE$470,IF($S$588=425,PR!$AE$471,IF($S$588=426,PR!$AE$472,IF($S$588=427,PR!$AE$473,IF($S$588=428,PR!$AE$474,IF($S$588=429,PR!$AE$475,IF($S$588=430,PR!$AE$476,IF($S$588=431,PR!$AE$477,IF($S$588=432,PR!$AE$478,IF($S$588=433,PR!$AE$479,IF($S$588=434,PR!$AE$480,IF($S$588=435,PR!$AE$481,IF($S$588=436,PR!$AE$482,IF($S$588=437,PR!$AE$483,IF($S$588=438,PR!$AE$484,IF($S$588=439,PR!$AE$485,IF($S$588=440,PR!$AE$486,IF($S$588=441,PR!$AE$487,IF($S$588=442,PR!$AE$488,IF($S$588=443,PR!$AE$489,IF($S$588=444,PR!$AE$490,IF($S$588=445,PR!$AE$491,IF($S$588=446,PR!$AE$492,IF($S$588=447,PR!$AE$493,IF($S$588=448,PR!$AE$494,IF($S$588=449,PR!$AE$495,IF($S$588=450,PR!$AE$496,IF($S$588=451,PR!$AE$497,IF($S$588=452,PR!$AE$498,IF($S$588=453,PR!$AE$499,IF($S$588=454,PR!$AE$500,IF($S$588=455,PR!$AE$505,IF($S$588=456,PR!$AE$506,IF($S$588=457,PR!$AE$507,IF($S$588=458,PR!$AE$508,IF($S$588=459,PR!$AE$509,IF($S$588=460,PR!$AE$510,IF($S$588=461,PR!$AE$511,IF($S$588=462,PR!$AE$512,IF($S$588=463,PR!$AE$513,IF($S$588=464,PR!$AE$514,IF($S$588=465,PR!$AE$515,IF($S$588=466,PR!$AE$516,IF($S$588=467,PR!$AE$517,IF($S$588=468,PR!$AE$518,IF($S$588=469,PR!$AE$521,IF($S$588=470,PR!$AE$522,IF($S$588=471,PR!$AE$523,IF($S$588=472,PR!$AE$524,IF($S$588=473,PR!$AE$525,IF($S$588=474,PR!$AE$526,IF($S$588=475,PR!$AE$527,IF($S$588=476,PR!$AE$528,IF($S$588=477,PR!$AE$529,IF($S$588=478,PR!$AE$530,IF($S$588=479,PR!$AE$531,IF($S$588=480,PR!$AE$532,"-"))))))))))))))))))))))))))))))))))))))))))))))))))))))))))))</f>
        <v>0</v>
      </c>
      <c r="M595" s="602">
        <f>IF($S$588=421,PR!$AF$464,IF($S$588=422,PR!$AF$465,IF($S$588=423,PR!$AF$466,IF($S$588=424,PR!$AF$470,IF($S$588=425,PR!$AF$471,IF($S$588=426,PR!$AF$472,IF($S$588=427,PR!$AF$473,IF($S$588=428,PR!$AF$474,IF($S$588=429,PR!$AF$475,IF($S$588=430,PR!$AF$476,IF($S$588=431,PR!$AF$477,IF($S$588=432,PR!$AF$478,IF($S$588=433,PR!$AF$479,IF($S$588=434,PR!$AF$480,IF($S$588=435,PR!$AF$481,IF($S$588=436,PR!$AF$482,IF($S$588=437,PR!$AF$483,IF($S$588=438,PR!$AF$484,IF($S$588=439,PR!$AF$485,IF($S$588=440,PR!$AF$486,IF($S$588=441,PR!$AF$487,IF($S$588=442,PR!$AF$488,IF($S$588=443,PR!$AF$489,IF($S$588=444,PR!$AF$490,IF($S$588=445,PR!$AF$491,IF($S$588=446,PR!$AF$492,IF($S$588=447,PR!$AF$493,IF($S$588=448,PR!$AF$494,IF($S$588=449,PR!$AF$495,IF($S$588=450,PR!$AF$496,IF($S$588=451,PR!$AF$497,IF($S$588=452,PR!$AF$498,IF($S$588=453,PR!$AF$499,IF($S$588=454,PR!$AF$500,IF($S$588=455,PR!$AF$505,IF($S$588=456,PR!$AF$506,IF($S$588=457,PR!$AF$507,IF($S$588=458,PR!$AF$508,IF($S$588=459,PR!$AF$509,IF($S$588=460,PR!$AF$510,IF($S$588=461,PR!$AF$511,IF($S$588=462,PR!$AF$512,IF($S$588=463,PR!$AF$513,IF($S$588=464,PR!$AF$514,IF($S$588=465,PR!$AF$515,IF($S$588=466,PR!$AF$516,IF($S$588=467,PR!$AF$517,IF($S$588=468,PR!$AF$518,IF($S$588=469,PR!$AF$521,IF($S$588=470,PR!$AF$522,IF($S$588=471,PR!$AF$523,IF($S$588=472,PR!$AF$524,IF($S$588=473,PR!$AF$525,IF($S$588=474,PR!$AF$526,IF($S$588=475,PR!$AF$527,IF($S$588=476,PR!$AF$528,IF($S$588=477,PR!$AF$529,IF($S$588=478,PR!$AF$530,IF($S$588=479,PR!$AF$531,IF($S$588=480,PR!$AF$532,"-"))))))))))))))))))))))))))))))))))))))))))))))))))))))))))))</f>
        <v>0</v>
      </c>
      <c r="N595" s="602">
        <f>IF($S$588=421,PR!$AG$464,IF($S$588=422,PR!$AG$465,IF($S$588=423,PR!$AG$466,IF($S$588=424,PR!$AG$470,IF($S$588=425,PR!$AG$471,IF($S$588=426,PR!$AG$472,IF($S$588=427,PR!$AG$473,IF($S$588=428,PR!$AG$474,IF($S$588=429,PR!$AG$475,IF($S$588=430,PR!$AG$476,IF($S$588=431,PR!$AG$477,IF($S$588=432,PR!$AG$478,IF($S$588=433,PR!$AG$479,IF($S$588=434,PR!$AG$480,IF($S$588=435,PR!$AG$481,IF($S$588=436,PR!$AG$482,IF($S$588=437,PR!$AG$483,IF($S$588=438,PR!$AG$484,IF($S$588=439,PR!$AG$485,IF($S$588=440,PR!$AG$486,IF($S$588=441,PR!$AG$487,IF($S$588=442,PR!$AG$488,IF($S$588=443,PR!$AG$489,IF($S$588=444,PR!$AG$490,IF($S$588=445,PR!$AG$491,IF($S$588=446,PR!$AG$492,IF($S$588=447,PR!$AG$493,IF($S$588=448,PR!$AG$494,IF($S$588=449,PR!$AG$495,IF($S$588=450,PR!$AG$496,IF($S$588=451,PR!$AG$497,IF($S$588=452,PR!$AG$498,IF($S$588=453,PR!$AG$499,IF($S$588=454,PR!$AG$500,IF($S$588=455,PR!$AG$505,IF($S$588=456,PR!$AG$506,IF($S$588=457,PR!$AG$507,IF($S$588=458,PR!$AG$508,IF($S$588=459,PR!$AG$509,IF($S$588=460,PR!$AG$510,IF($S$588=461,PR!$AG$511,IF($S$588=462,PR!$AG$512,IF($S$588=463,PR!$AG$513,IF($S$588=464,PR!$AG$514,IF($S$588=465,PR!$AG$515,IF($S$588=466,PR!$AG$516,IF($S$588=467,PR!$AG$517,IF($S$588=468,PR!$AG$518,IF($S$588=469,PR!$AG$521,IF($S$588=470,PR!$AG$522,IF($S$588=471,PR!$AG$523,IF($S$588=472,PR!$AG$524,IF($S$588=473,PR!$AG$525,IF($S$588=474,PR!$AG$526,IF($S$588=475,PR!$AG$527,IF($S$588=476,PR!$AG$528,IF($S$588=477,PR!$AG$529,IF($S$588=478,PR!$AG$530,IF($S$588=479,PR!$AG$531,IF($S$588=480,PR!$AG$532,"-"))))))))))))))))))))))))))))))))))))))))))))))))))))))))))))</f>
        <v>0</v>
      </c>
      <c r="O595" s="602">
        <f>IF($S$588=421,PR!$AH$464,IF($S$588=422,PR!$AH$465,IF($S$588=423,PR!$AH$466,IF($S$588=424,PR!$AH$470,IF($S$588=425,PR!$AH$471,IF($S$588=426,PR!$AH$472,IF($S$588=427,PR!$AH$473,IF($S$588=428,PR!$AH$474,IF($S$588=429,PR!$AH$475,IF($S$588=430,PR!$AH$476,IF($S$588=431,PR!$AH$477,IF($S$588=432,PR!$AH$478,IF($S$588=433,PR!$AH$479,IF($S$588=434,PR!$AH$480,IF($S$588=435,PR!$AH$481,IF($S$588=436,PR!$AH$482,IF($S$588=437,PR!$AH$483,IF($S$588=438,PR!$AH$484,IF($S$588=439,PR!$AH$485,IF($S$588=440,PR!$AH$486,IF($S$588=441,PR!$AH$487,IF($S$588=442,PR!$AH$488,IF($S$588=443,PR!$AH$489,IF($S$588=444,PR!$AH$490,IF($S$588=445,PR!$AH$491,IF($S$588=446,PR!$AH$492,IF($S$588=447,PR!$AH$493,IF($S$588=448,PR!$AH$494,IF($S$588=449,PR!$AH$495,IF($S$588=450,PR!$AH$496,IF($S$588=451,PR!$AH$497,IF($S$588=452,PR!$AH$498,IF($S$588=453,PR!$AH$499,IF($S$588=454,PR!$AH$500,IF($S$588=455,PR!$AH$505,IF($S$588=456,PR!$AH$506,IF($S$588=457,PR!$AH$507,IF($S$588=458,PR!$AH$508,IF($S$588=459,PR!$AH$509,IF($S$588=460,PR!$AH$510,IF($S$588=461,PR!$AH$511,IF($S$588=462,PR!$AH$512,IF($S$588=463,PR!$AH$513,IF($S$588=464,PR!$AH$514,IF($S$588=465,PR!$AH$515,IF($S$588=466,PR!$AH$516,IF($S$588=467,PR!$AH$517,IF($S$588=468,PR!$AH$518,IF($S$588=469,PR!$AH$521,IF($S$588=470,PR!$AH$522,IF($S$588=471,PR!$AH$523,IF($S$588=472,PR!$AH$524,IF($S$588=473,PR!$AH$525,IF($S$588=474,PR!$AH$526,IF($S$588=475,PR!$AH$527,IF($S$588=476,PR!$AH$528,IF($S$588=477,PR!$AH$529,IF($S$588=478,PR!$AH$530,IF($S$588=479,PR!$AH$531,IF($S$588=480,PR!$AH$532,"-"))))))))))))))))))))))))))))))))))))))))))))))))))))))))))))</f>
        <v>0</v>
      </c>
      <c r="P595" s="602">
        <f>IF($S$588=421,PR!$AI$464,IF($S$588=422,PR!$AI$465,IF($S$588=423,PR!$AI$466,IF($S$588=424,PR!$AI$470,IF($S$588=425,PR!$AI$471,IF($S$588=426,PR!$AI$472,IF($S$588=427,PR!$AI$473,IF($S$588=428,PR!$AI$474,IF($S$588=429,PR!$AI$475,IF($S$588=430,PR!$AI$476,IF($S$588=431,PR!$AI$477,IF($S$588=432,PR!$AI$478,IF($S$588=433,PR!$AI$479,IF($S$588=434,PR!$AI$480,IF($S$588=435,PR!$AI$481,IF($S$588=436,PR!$AI$482,IF($S$588=437,PR!$AI$483,IF($S$588=438,PR!$AI$484,IF($S$588=439,PR!$AI$485,IF($S$588=440,PR!$AI$486,IF($S$588=441,PR!$AI$487,IF($S$588=442,PR!$AI$488,IF($S$588=443,PR!$AI$489,IF($S$588=444,PR!$AI$490,IF($S$588=445,PR!$AI$491,IF($S$588=446,PR!$AI$492,IF($S$588=447,PR!$AI$493,IF($S$588=448,PR!$AI$494,IF($S$588=449,PR!$AI$495,IF($S$588=450,PR!$AI$496,IF($S$588=451,PR!$AI$497,IF($S$588=452,PR!$AI$498,IF($S$588=453,PR!$AI$499,IF($S$588=454,PR!$AI$500,IF($S$588=455,PR!$AI$505,IF($S$588=456,PR!$AI$506,IF($S$588=457,PR!$AI$507,IF($S$588=458,PR!$AI$508,IF($S$588=459,PR!$AI$509,IF($S$588=460,PR!$AI$510,IF($S$588=461,PR!$AI$511,IF($S$588=462,PR!$AI$512,IF($S$588=463,PR!$AI$513,IF($S$588=464,PR!$AI$514,IF($S$588=465,PR!$AI$515,IF($S$588=466,PR!$AI$516,IF($S$588=467,PR!$AI$517,IF($S$588=468,PR!$AI$518,IF($S$588=469,PR!$AI$521,IF($S$588=470,PR!$AI$522,IF($S$588=471,PR!$AI$523,IF($S$588=472,PR!$AI$524,IF($S$588=473,PR!$AI$525,IF($S$588=474,PR!$AI$526,IF($S$588=475,PR!$AI$527,IF($S$588=476,PR!$AI$528,IF($S$588=477,PR!$AI$529,IF($S$588=478,PR!$AI$530,IF($S$588=479,PR!$AI$531,IF($S$588=480,PR!$AI$532,"-"))))))))))))))))))))))))))))))))))))))))))))))))))))))))))))</f>
        <v>0</v>
      </c>
      <c r="Q595" s="602">
        <f>IF($S$588=421,PR!$AJ$464,IF($S$588=422,PR!$AJ$465,IF($S$588=423,PR!$AJ$466,IF($S$588=424,PR!$AJ$470,IF($S$588=425,PR!$AJ$471,IF($S$588=426,PR!$AJ$472,IF($S$588=427,PR!$AJ$473,IF($S$588=428,PR!$AJ$474,IF($S$588=429,PR!$AJ$475,IF($S$588=430,PR!$AJ$476,IF($S$588=431,PR!$AJ$477,IF($S$588=432,PR!$AJ$478,IF($S$588=433,PR!$AJ$479,IF($S$588=434,PR!$AJ$480,IF($S$588=435,PR!$AJ$481,IF($S$588=436,PR!$AJ$482,IF($S$588=437,PR!$AJ$483,IF($S$588=438,PR!$AJ$484,IF($S$588=439,PR!$AJ$485,IF($S$588=440,PR!$AJ$486,IF($S$588=441,PR!$AJ$487,IF($S$588=442,PR!$AJ$488,IF($S$588=443,PR!$AJ$489,IF($S$588=444,PR!$AJ$490,IF($S$588=445,PR!$AJ$491,IF($S$588=446,PR!$AJ$492,IF($S$588=447,PR!$AJ$493,IF($S$588=448,PR!$AJ$494,IF($S$588=449,PR!$AJ$495,IF($S$588=450,PR!$AJ$496,IF($S$588=451,PR!$AJ$497,IF($S$588=452,PR!$AJ$498,IF($S$588=453,PR!$AJ$499,IF($S$588=454,PR!$AJ$500,IF($S$588=455,PR!$AJ$505,IF($S$588=456,PR!$AJ$506,IF($S$588=457,PR!$AJ$507,IF($S$588=458,PR!$AJ$508,IF($S$588=459,PR!$AJ$509,IF($S$588=460,PR!$AJ$510,IF($S$588=461,PR!$AJ$511,IF($S$588=462,PR!$AJ$512,IF($S$588=463,PR!$AJ$513,IF($S$588=464,PR!$AJ$514,IF($S$588=465,PR!$AJ$515,IF($S$588=466,PR!$AJ$516,IF($S$588=467,PR!$AJ$517,IF($S$588=468,PR!$AJ$518,IF($S$588=469,PR!$AJ$521,IF($S$588=470,PR!$AJ$522,IF($S$588=471,PR!$AJ$523,IF($S$588=472,PR!$AJ$524,IF($S$588=473,PR!$AJ$525,IF($S$588=474,PR!$AJ$526,IF($S$588=475,PR!$AJ$527,IF($S$588=476,PR!$AJ$528,IF($S$588=477,PR!$AJ$529,IF($S$588=478,PR!$AJ$530,IF($S$588=479,PR!$AJ$531,IF($S$588=480,PR!$AJ$532,"-"))))))))))))))))))))))))))))))))))))))))))))))))))))))))))))</f>
        <v>0</v>
      </c>
      <c r="R595" s="602">
        <f>IF($S$588=421,PR!$AK$464,IF($S$588=422,PR!$AK$465,IF($S$588=423,PR!$AK$466,IF($S$588=424,PR!$AK$470,IF($S$588=425,PR!$AK$471,IF($S$588=426,PR!$AK$472,IF($S$588=427,PR!$AK$473,IF($S$588=428,PR!$AK$474,IF($S$588=429,PR!$AK$475,IF($S$588=430,PR!$AK$476,IF($S$588=431,PR!$AK$477,IF($S$588=432,PR!$AK$478,IF($S$588=433,PR!$AK$479,IF($S$588=434,PR!$AK$480,IF($S$588=435,PR!$AK$481,IF($S$588=436,PR!$AK$482,IF($S$588=437,PR!$AK$483,IF($S$588=438,PR!$AK$484,IF($S$588=439,PR!$AK$485,IF($S$588=440,PR!$AK$486,IF($S$588=441,PR!$AK$487,IF($S$588=442,PR!$AK$488,IF($S$588=443,PR!$AK$489,IF($S$588=444,PR!$AK$490,IF($S$588=445,PR!$AK$491,IF($S$588=446,PR!$AK$492,IF($S$588=447,PR!$AK$493,IF($S$588=448,PR!$AK$494,IF($S$588=449,PR!$AK$495,IF($S$588=450,PR!$AK$496,IF($S$588=451,PR!$AK$497,IF($S$588=452,PR!$AK$498,IF($S$588=453,PR!$AK$499,IF($S$588=454,PR!$AK$500,IF($S$588=455,PR!$AK$505,IF($S$588=456,PR!$AK$506,IF($S$588=457,PR!$AK$507,IF($S$588=458,PR!$AK$508,IF($S$588=459,PR!$AK$509,IF($S$588=460,PR!$AK$510,IF($S$588=461,PR!$AK$511,IF($S$588=462,PR!$AK$512,IF($S$588=463,PR!$AK$513,IF($S$588=464,PR!$AK$514,IF($S$588=465,PR!$AK$515,IF($S$588=466,PR!$AK$516,IF($S$588=467,PR!$AK$517,IF($S$588=468,PR!$AK$518,IF($S$588=469,PR!$AK$521,IF($S$588=470,PR!$AK$522,IF($S$588=471,PR!$AK$523,IF($S$588=472,PR!$AK$524,IF($S$588=473,PR!$AK$525,IF($S$588=474,PR!$AK$526,IF($S$588=475,PR!$AK$527,IF($S$588=476,PR!$AK$528,IF($S$588=477,PR!$AK$529,IF($S$588=478,PR!$AK$530,IF($S$588=479,PR!$AK$531,IF($S$588=480,PR!$AK$532,"-"))))))))))))))))))))))))))))))))))))))))))))))))))))))))))))</f>
        <v>0</v>
      </c>
      <c r="S595" s="602">
        <f>IF($S$588=421,PR!$AM$464,IF($S$588=422,PR!$AM$465,IF($S$588=423,PR!$AM$466,IF($S$588=424,PR!$AM$470,IF($S$588=425,PR!$AM$471,IF($S$588=426,PR!$AM$472,IF($S$588=427,PR!$AM$473,IF($S$588=428,PR!$AM$474,IF($S$588=429,PR!$AM$475,IF($S$588=430,PR!$AM$476,IF($S$588=431,PR!$AM$477,IF($S$588=432,PR!$AM$478,IF($S$588=433,PR!$AM$479,IF($S$588=434,PR!$AM$480,IF($S$588=435,PR!$AM$481,IF($S$588=436,PR!$AM$482,IF($S$588=437,PR!$AM$483,IF($S$588=438,PR!$AM$484,IF($S$588=439,PR!$AM$485,IF($S$588=440,PR!$AM$486,IF($S$588=441,PR!$AM$487,IF($S$588=442,PR!$AM$488,IF($S$588=443,PR!$AM$489,IF($S$588=444,PR!$AM$490,IF($S$588=445,PR!$AM$491,IF($S$588=446,PR!$AM$492,IF($S$588=447,PR!$AM$493,IF($S$588=448,PR!$AM$494,IF($S$588=449,PR!$AM$495,IF($S$588=450,PR!$AM$496,IF($S$588=451,PR!$AM$497,IF($S$588=452,PR!$AM$498,IF($S$588=453,PR!$AM$499,IF($S$588=454,PR!$AM$500,IF($S$588=455,PR!$AM$505,IF($S$588=456,PR!$AM$506,IF($S$588=457,PR!$AM$507,IF($S$588=458,PR!$AM$508,IF($S$588=459,PR!$AM$509,IF($S$588=460,PR!$AM$510,IF($S$588=461,PR!$AM$511,IF($S$588=462,PR!$AM$512,IF($S$588=463,PR!$AM$513,IF($S$588=464,PR!$AM$514,IF($S$588=465,PR!$AM$515,IF($S$588=466,PR!$AM$516,IF($S$588=467,PR!$AM$517,IF($S$588=468,PR!$AM$518,IF($S$588=469,PR!$AM$521,IF($S$588=470,PR!$AM$522,IF($S$588=471,PR!$AM$523,IF($S$588=472,PR!$AM$524,IF($S$588=473,PR!$AM$525,IF($S$588=474,PR!$AM$526,IF($S$588=475,PR!$AM$527,IF($S$588=476,PR!$AM$528,IF($S$588=477,PR!$AM$529,IF($S$588=478,PR!$AM$530,IF($S$588=479,PR!$AM$531,IF($S$588=480,PR!$AM$532,"-"))))))))))))))))))))))))))))))))))))))))))))))))))))))))))))</f>
        <v>0</v>
      </c>
      <c r="T595" s="580"/>
      <c r="U595" s="580"/>
      <c r="V595" s="32"/>
      <c r="W595" s="32"/>
      <c r="X595" s="32"/>
      <c r="Y595" s="32"/>
      <c r="Z595" s="32"/>
    </row>
    <row r="596" spans="1:26" ht="9" customHeight="1" x14ac:dyDescent="0.25">
      <c r="A596" s="91"/>
      <c r="B596" s="580"/>
      <c r="C596" s="603"/>
      <c r="D596" s="604"/>
      <c r="E596" s="604"/>
      <c r="F596" s="604"/>
      <c r="G596" s="604"/>
      <c r="H596" s="604"/>
      <c r="I596" s="604"/>
      <c r="J596" s="604"/>
      <c r="K596" s="604"/>
      <c r="L596" s="604"/>
      <c r="M596" s="604"/>
      <c r="N596" s="604"/>
      <c r="O596" s="604"/>
      <c r="P596" s="604"/>
      <c r="Q596" s="604"/>
      <c r="R596" s="606"/>
      <c r="S596" s="606"/>
      <c r="T596" s="580"/>
      <c r="U596" s="580"/>
      <c r="V596" s="32"/>
      <c r="W596" s="32"/>
      <c r="X596" s="32"/>
      <c r="Y596" s="32"/>
      <c r="Z596" s="32"/>
    </row>
    <row r="597" spans="1:26" ht="15.75" thickBot="1" x14ac:dyDescent="0.3">
      <c r="A597" s="91"/>
      <c r="B597" s="580"/>
      <c r="C597" s="600" t="str">
        <f>N!$C$38</f>
        <v>MWORLD</v>
      </c>
      <c r="D597" s="600" t="str">
        <f>N!$C$39</f>
        <v>MEGA</v>
      </c>
      <c r="E597" s="600" t="str">
        <f>N!$C$40</f>
        <v>MICRONOVA</v>
      </c>
      <c r="F597" s="600" t="str">
        <f>N!$C$41</f>
        <v>MFLASH</v>
      </c>
      <c r="G597" s="600" t="str">
        <f>N!$C$42</f>
        <v>MORISON</v>
      </c>
      <c r="H597" s="600" t="str">
        <f>N!$C$43</f>
        <v>NEMEL</v>
      </c>
      <c r="I597" s="600" t="str">
        <f>N!$C$44</f>
        <v>NHP</v>
      </c>
      <c r="J597" s="600" t="str">
        <f>N!$C$45</f>
        <v>NHC</v>
      </c>
      <c r="K597" s="600" t="str">
        <f>N!$C$46</f>
        <v>OLEAF</v>
      </c>
      <c r="L597" s="600" t="str">
        <f>N!$C$47</f>
        <v>OCULUS</v>
      </c>
      <c r="M597" s="600" t="str">
        <f>N!$C$48</f>
        <v>PACIFIC</v>
      </c>
      <c r="N597" s="600" t="str">
        <f>N!$C$49</f>
        <v>PHAMATEX</v>
      </c>
      <c r="O597" s="600" t="str">
        <f>N!$C$50</f>
        <v>PETHICS</v>
      </c>
      <c r="P597" s="600" t="str">
        <f>N!$C$51</f>
        <v>PHILIPS</v>
      </c>
      <c r="Q597" s="600" t="str">
        <f>N!$C$52</f>
        <v>RANBAXY</v>
      </c>
      <c r="R597" s="600" t="str">
        <f>N!$C$53</f>
        <v>REALS</v>
      </c>
      <c r="S597" s="600" t="str">
        <f>N!$C$54</f>
        <v>ROYAL</v>
      </c>
      <c r="T597" s="580"/>
      <c r="U597" s="580"/>
      <c r="V597" s="32"/>
      <c r="W597" s="32"/>
      <c r="X597" s="32"/>
      <c r="Y597" s="32"/>
      <c r="Z597" s="32"/>
    </row>
    <row r="598" spans="1:26" ht="15.75" thickBot="1" x14ac:dyDescent="0.3">
      <c r="A598" s="91"/>
      <c r="B598" s="580"/>
      <c r="C598" s="602">
        <f>IF($S$588=421,PR!$AM$464,IF($S$588=422,PR!$AM$465,IF($S$588=423,PR!$AM$466,IF($S$588=424,PR!$AM$470,IF($S$588=425,PR!$AM$471,IF($S$588=426,PR!$AM$472,IF($S$588=427,PR!$AM$473,IF($S$588=428,PR!$AM$474,IF($S$588=429,PR!$AM$475,IF($S$588=430,PR!$AM$476,IF($S$588=431,PR!$AM$477,IF($S$588=432,PR!$AM$478,IF($S$588=433,PR!$AM$479,IF($S$588=434,PR!$AM$480,IF($S$588=435,PR!$AM$481,IF($S$588=436,PR!$AM$482,IF($S$588=437,PR!$AM$483,IF($S$588=438,PR!$AM$484,IF($S$588=439,PR!$AM$485,IF($S$588=440,PR!$AM$486,IF($S$588=441,PR!$AM$487,IF($S$588=442,PR!$AM$488,IF($S$588=443,PR!$AM$489,IF($S$588=444,PR!$AM$490,IF($S$588=445,PR!$AM$491,IF($S$588=446,PR!$AM$492,IF($S$588=447,PR!$AM$493,IF($S$588=448,PR!$AM$494,IF($S$588=449,PR!$AM$495,IF($S$588=450,PR!$AM$496,IF($S$588=451,PR!$AM$497,IF($S$588=452,PR!$AM$498,IF($S$588=453,PR!$AM$499,IF($S$588=454,PR!$AM$500,IF($S$588=455,PR!$AM$505,IF($S$588=456,PR!$AM$506,IF($S$588=457,PR!$AM$507,IF($S$588=458,PR!$AM$508,IF($S$588=459,PR!$AM$509,IF($S$588=460,PR!$AM$510,IF($S$588=461,PR!$AM$511,IF($S$588=462,PR!$AM$512,IF($S$588=463,PR!$AM$513,IF($S$588=464,PR!$AM$514,IF($S$588=465,PR!$AM$515,IF($S$588=466,PR!$AM$516,IF($S$588=467,PR!$AM$517,IF($S$588=468,PR!$AM$518,IF($S$588=469,PR!$AM$521,IF($S$588=470,PR!$AM$522,IF($S$588=471,PR!$AM$523,IF($S$588=472,PR!$AM$524,IF($S$588=473,PR!$AM$525,IF($S$588=474,PR!$AM$526,IF($S$588=475,PR!$AM$527,IF($S$588=476,PR!$AM$528,IF($S$588=477,PR!$AM$529,IF($S$588=478,PR!$AM$530,IF($S$588=479,PR!$AM$531,IF($S$588=480,PR!$AM$532,"-"))))))))))))))))))))))))))))))))))))))))))))))))))))))))))))</f>
        <v>0</v>
      </c>
      <c r="D598" s="602">
        <f>IF($S$588=421,PR!$AN$464,IF($S$588=422,PR!$AN$465,IF($S$588=423,PR!$AN$466,IF($S$588=424,PR!$AN$470,IF($S$588=425,PR!$AN$471,IF($S$588=426,PR!$AN$472,IF($S$588=427,PR!$AN$473,IF($S$588=428,PR!$AN$474,IF($S$588=429,PR!$AN$475,IF($S$588=430,PR!$AN$476,IF($S$588=431,PR!$AN$477,IF($S$588=432,PR!$AN$478,IF($S$588=433,PR!$AN$479,IF($S$588=434,PR!$AN$480,IF($S$588=435,PR!$AN$481,IF($S$588=436,PR!$AN$482,IF($S$588=437,PR!$AN$483,IF($S$588=438,PR!$AN$484,IF($S$588=439,PR!$AN$485,IF($S$588=440,PR!$AN$486,IF($S$588=441,PR!$AN$487,IF($S$588=442,PR!$AN$488,IF($S$588=443,PR!$AN$489,IF($S$588=444,PR!$AN$490,IF($S$588=445,PR!$AN$491,IF($S$588=446,PR!$AN$492,IF($S$588=447,PR!$AN$493,IF($S$588=448,PR!$AN$494,IF($S$588=449,PR!$AN$495,IF($S$588=450,PR!$AN$496,IF($S$588=451,PR!$AN$497,IF($S$588=452,PR!$AN$498,IF($S$588=453,PR!$AN$499,IF($S$588=454,PR!$AN$500,IF($S$588=455,PR!$AN$505,IF($S$588=456,PR!$AN$506,IF($S$588=457,PR!$AN$507,IF($S$588=458,PR!$AN$508,IF($S$588=459,PR!$AN$509,IF($S$588=460,PR!$AN$510,IF($S$588=461,PR!$AN$511,IF($S$588=462,PR!$AN$512,IF($S$588=463,PR!$AN$513,IF($S$588=464,PR!$AN$514,IF($S$588=465,PR!$AN$515,IF($S$588=466,PR!$AN$516,IF($S$588=467,PR!$AN$517,IF($S$588=468,PR!$AN$518,IF($S$588=469,PR!$AN$521,IF($S$588=470,PR!$AN$522,IF($S$588=471,PR!$AN$523,IF($S$588=472,PR!$AN$524,IF($S$588=473,PR!$AN$525,IF($S$588=474,PR!$AN$526,IF($S$588=475,PR!$AN$527,IF($S$588=476,PR!$AN$528,IF($S$588=477,PR!$AN$529,IF($S$588=478,PR!$AN$530,IF($S$588=479,PR!$AN$531,IF($S$588=480,PR!$AN$532,"-"))))))))))))))))))))))))))))))))))))))))))))))))))))))))))))</f>
        <v>0</v>
      </c>
      <c r="E598" s="602">
        <f>IF($S$588=421,PR!$AO$464,IF($S$588=422,PR!$AO$465,IF($S$588=423,PR!$AO$466,IF($S$588=424,PR!$AO$470,IF($S$588=425,PR!$AO$471,IF($S$588=426,PR!$AO$472,IF($S$588=427,PR!$AO$473,IF($S$588=428,PR!$AO$474,IF($S$588=429,PR!$AO$475,IF($S$588=430,PR!$AO$476,IF($S$588=431,PR!$AO$477,IF($S$588=432,PR!$AO$478,IF($S$588=433,PR!$AO$479,IF($S$588=434,PR!$AO$480,IF($S$588=435,PR!$AO$481,IF($S$588=436,PR!$AO$482,IF($S$588=437,PR!$AO$483,IF($S$588=438,PR!$AO$484,IF($S$588=439,PR!$AO$485,IF($S$588=440,PR!$AO$486,IF($S$588=441,PR!$AO$487,IF($S$588=442,PR!$AO$488,IF($S$588=443,PR!$AO$489,IF($S$588=444,PR!$AO$490,IF($S$588=445,PR!$AO$491,IF($S$588=446,PR!$AO$492,IF($S$588=447,PR!$AO$493,IF($S$588=448,PR!$AO$494,IF($S$588=449,PR!$AO$495,IF($S$588=450,PR!$AO$496,IF($S$588=451,PR!$AO$497,IF($S$588=452,PR!$AO$498,IF($S$588=453,PR!$AO$499,IF($S$588=454,PR!$AO$500,IF($S$588=455,PR!$AO$505,IF($S$588=456,PR!$AO$506,IF($S$588=457,PR!$AO$507,IF($S$588=458,PR!$AO$508,IF($S$588=459,PR!$AO$509,IF($S$588=460,PR!$AO$510,IF($S$588=461,PR!$AO$511,IF($S$588=462,PR!$AO$512,IF($S$588=463,PR!$AO$513,IF($S$588=464,PR!$AO$514,IF($S$588=465,PR!$AO$515,IF($S$588=466,PR!$AO$516,IF($S$588=467,PR!$AO$517,IF($S$588=468,PR!$AO$518,IF($S$588=469,PR!$AO$521,IF($S$588=470,PR!$AO$522,IF($S$588=471,PR!$AO$523,IF($S$588=472,PR!$AO$524,IF($S$588=473,PR!$AO$525,IF($S$588=474,PR!$AO$526,IF($S$588=475,PR!$AO$527,IF($S$588=476,PR!$AO$528,IF($S$588=477,PR!$AO$529,IF($S$588=478,PR!$AO$530,IF($S$588=479,PR!$AO$531,IF($S$588=480,PR!$AO$532,"-"))))))))))))))))))))))))))))))))))))))))))))))))))))))))))))</f>
        <v>650</v>
      </c>
      <c r="F598" s="602">
        <f>IF($S$588=421,PR!$AP$464,IF($S$588=422,PR!$AP$465,IF($S$588=423,PR!$AP$466,IF($S$588=424,PR!$AP$470,IF($S$588=425,PR!$AP$471,IF($S$588=426,PR!$AP$472,IF($S$588=427,PR!$AP$473,IF($S$588=428,PR!$AP$474,IF($S$588=429,PR!$AP$475,IF($S$588=430,PR!$AP$476,IF($S$588=431,PR!$AP$477,IF($S$588=432,PR!$AP$478,IF($S$588=433,PR!$AP$479,IF($S$588=434,PR!$AP$480,IF($S$588=435,PR!$AP$481,IF($S$588=436,PR!$AP$482,IF($S$588=437,PR!$AP$483,IF($S$588=438,PR!$AP$484,IF($S$588=439,PR!$AP$485,IF($S$588=440,PR!$AP$486,IF($S$588=441,PR!$AP$487,IF($S$588=442,PR!$AP$488,IF($S$588=443,PR!$AP$489,IF($S$588=444,PR!$AP$490,IF($S$588=445,PR!$AP$491,IF($S$588=446,PR!$AP$492,IF($S$588=447,PR!$AP$493,IF($S$588=448,PR!$AP$494,IF($S$588=449,PR!$AP$495,IF($S$588=450,PR!$AP$496,IF($S$588=451,PR!$AP$497,IF($S$588=452,PR!$AP$498,IF($S$588=453,PR!$AP$499,IF($S$588=454,PR!$AP$500,IF($S$588=455,PR!$AP$505,IF($S$588=456,PR!$AP$506,IF($S$588=457,PR!$AP$507,IF($S$588=458,PR!$AP$508,IF($S$588=459,PR!$AP$509,IF($S$588=460,PR!$AP$510,IF($S$588=461,PR!$AP$511,IF($S$588=462,PR!$AP$512,IF($S$588=463,PR!$AP$513,IF($S$588=464,PR!$AP$514,IF($S$588=465,PR!$AP$515,IF($S$588=466,PR!$AP$516,IF($S$588=467,PR!$AP$517,IF($S$588=468,PR!$AP$518,IF($S$588=469,PR!$AP$521,IF($S$588=470,PR!$AP$522,IF($S$588=471,PR!$AP$523,IF($S$588=472,PR!$AP$524,IF($S$588=473,PR!$AP$525,IF($S$588=474,PR!$AP$526,IF($S$588=475,PR!$AP$527,IF($S$588=476,PR!$AP$528,IF($S$588=477,PR!$AP$529,IF($S$588=478,PR!$AP$530,IF($S$588=479,PR!$AP$531,IF($S$588=480,PR!$AP$532,"-"))))))))))))))))))))))))))))))))))))))))))))))))))))))))))))</f>
        <v>0</v>
      </c>
      <c r="G598" s="602">
        <f>IF($S$588=421,PR!$AQ$464,IF($S$588=422,PR!$AQ$465,IF($S$588=423,PR!$AQ$466,IF($S$588=424,PR!$AQ$470,IF($S$588=425,PR!$AQ$471,IF($S$588=426,PR!$AQ$472,IF($S$588=427,PR!$AQ$473,IF($S$588=428,PR!$AQ$474,IF($S$588=429,PR!$AQ$475,IF($S$588=430,PR!$AQ$476,IF($S$588=431,PR!$AQ$477,IF($S$588=432,PR!$AQ$478,IF($S$588=433,PR!$AQ$479,IF($S$588=434,PR!$AQ$480,IF($S$588=435,PR!$AQ$481,IF($S$588=436,PR!$AQ$482,IF($S$588=437,PR!$AQ$483,IF($S$588=438,PR!$AQ$484,IF($S$588=439,PR!$AQ$485,IF($S$588=440,PR!$AQ$486,IF($S$588=441,PR!$AQ$487,IF($S$588=442,PR!$AQ$488,IF($S$588=443,PR!$AQ$489,IF($S$588=444,PR!$AQ$490,IF($S$588=445,PR!$AQ$491,IF($S$588=446,PR!$AQ$492,IF($S$588=447,PR!$AQ$493,IF($S$588=448,PR!$AQ$494,IF($S$588=449,PR!$AQ$495,IF($S$588=450,PR!$AQ$496,IF($S$588=451,PR!$AQ$497,IF($S$588=452,PR!$AQ$498,IF($S$588=453,PR!$AQ$499,IF($S$588=454,PR!$AQ$500,IF($S$588=455,PR!$AQ$505,IF($S$588=456,PR!$AQ$506,IF($S$588=457,PR!$AQ$507,IF($S$588=458,PR!$AQ$508,IF($S$588=459,PR!$AQ$509,IF($S$588=460,PR!$AQ$510,IF($S$588=461,PR!$AQ$511,IF($S$588=462,PR!$AQ$512,IF($S$588=463,PR!$AQ$513,IF($S$588=464,PR!$AQ$514,IF($S$588=465,PR!$AQ$515,IF($S$588=466,PR!$AQ$516,IF($S$588=467,PR!$AQ$517,IF($S$588=468,PR!$AQ$518,IF($S$588=469,PR!$AQ$521,IF($S$588=470,PR!$AQ$522,IF($S$588=471,PR!$AQ$523,IF($S$588=472,PR!$AQ$524,IF($S$588=473,PR!$AQ$525,IF($S$588=474,PR!$AQ$526,IF($S$588=475,PR!$AQ$527,IF($S$588=476,PR!$AQ$528,IF($S$588=477,PR!$AQ$529,IF($S$588=478,PR!$AQ$530,IF($S$588=479,PR!$AQ$531,IF($S$588=480,PR!$AQ$532,"-"))))))))))))))))))))))))))))))))))))))))))))))))))))))))))))</f>
        <v>0</v>
      </c>
      <c r="H598" s="602">
        <f>IF($S$588=421,PR!$AR$464,IF($S$588=422,PR!$AR$465,IF($S$588=423,PR!$AR$466,IF($S$588=424,PR!$AR$470,IF($S$588=425,PR!$AR$471,IF($S$588=426,PR!$AR$472,IF($S$588=427,PR!$AR$473,IF($S$588=428,PR!$AR$474,IF($S$588=429,PR!$AR$475,IF($S$588=430,PR!$AR$476,IF($S$588=431,PR!$AR$477,IF($S$588=432,PR!$AR$478,IF($S$588=433,PR!$AR$479,IF($S$588=434,PR!$AR$480,IF($S$588=435,PR!$AR$481,IF($S$588=436,PR!$AR$482,IF($S$588=437,PR!$AR$483,IF($S$588=438,PR!$AR$484,IF($S$588=439,PR!$AR$485,IF($S$588=440,PR!$AR$486,IF($S$588=441,PR!$AR$487,IF($S$588=442,PR!$AR$488,IF($S$588=443,PR!$AR$489,IF($S$588=444,PR!$AR$490,IF($S$588=445,PR!$AR$491,IF($S$588=446,PR!$AR$492,IF($S$588=447,PR!$AR$493,IF($S$588=448,PR!$AR$494,IF($S$588=449,PR!$AR$495,IF($S$588=450,PR!$AR$496,IF($S$588=451,PR!$AR$497,IF($S$588=452,PR!$AR$498,IF($S$588=453,PR!$AR$499,IF($S$588=454,PR!$AR$500,IF($S$588=455,PR!$AR$505,IF($S$588=456,PR!$AR$506,IF($S$588=457,PR!$AR$507,IF($S$588=458,PR!$AR$508,IF($S$588=459,PR!$AR$509,IF($S$588=460,PR!$AR$510,IF($S$588=461,PR!$AR$511,IF($S$588=462,PR!$AR$512,IF($S$588=463,PR!$AR$513,IF($S$588=464,PR!$AR$514,IF($S$588=465,PR!$AR$515,IF($S$588=466,PR!$AR$516,IF($S$588=467,PR!$AR$517,IF($S$588=468,PR!$AR$518,IF($S$588=469,PR!$AR$521,IF($S$588=470,PR!$AR$522,IF($S$588=471,PR!$AR$523,IF($S$588=472,PR!$AR$524,IF($S$588=473,PR!$AR$525,IF($S$588=474,PR!$AR$526,IF($S$588=475,PR!$AR$527,IF($S$588=476,PR!$AR$528,IF($S$588=477,PR!$AR$529,IF($S$588=478,PR!$AR$530,IF($S$588=479,PR!$AR$531,IF($S$588=480,PR!$AR$532,"-"))))))))))))))))))))))))))))))))))))))))))))))))))))))))))))</f>
        <v>0</v>
      </c>
      <c r="I598" s="602">
        <f>IF($S$588=421,PR!$AS$464,IF($S$588=422,PR!$AS$465,IF($S$588=423,PR!$AS$466,IF($S$588=424,PR!$AS$470,IF($S$588=425,PR!$AS$471,IF($S$588=426,PR!$AS$472,IF($S$588=427,PR!$AS$473,IF($S$588=428,PR!$AS$474,IF($S$588=429,PR!$AS$475,IF($S$588=430,PR!$AS$476,IF($S$588=431,PR!$AS$477,IF($S$588=432,PR!$AS$478,IF($S$588=433,PR!$AS$479,IF($S$588=434,PR!$AS$480,IF($S$588=435,PR!$AS$481,IF($S$588=436,PR!$AS$482,IF($S$588=437,PR!$AS$483,IF($S$588=438,PR!$AS$484,IF($S$588=439,PR!$AS$485,IF($S$588=440,PR!$AS$486,IF($S$588=441,PR!$AS$487,IF($S$588=442,PR!$AS$488,IF($S$588=443,PR!$AS$489,IF($S$588=444,PR!$AS$490,IF($S$588=445,PR!$AS$491,IF($S$588=446,PR!$AS$492,IF($S$588=447,PR!$AS$493,IF($S$588=448,PR!$AS$494,IF($S$588=449,PR!$AS$495,IF($S$588=450,PR!$AS$496,IF($S$588=451,PR!$AS$497,IF($S$588=452,PR!$AS$498,IF($S$588=453,PR!$AS$499,IF($S$588=454,PR!$AS$500,IF($S$588=455,PR!$AS$505,IF($S$588=456,PR!$AS$506,IF($S$588=457,PR!$AS$507,IF($S$588=458,PR!$AS$508,IF($S$588=459,PR!$AS$509,IF($S$588=460,PR!$AS$510,IF($S$588=461,PR!$AS$511,IF($S$588=462,PR!$AS$512,IF($S$588=463,PR!$AS$513,IF($S$588=464,PR!$AS$514,IF($S$588=465,PR!$AS$515,IF($S$588=466,PR!$AS$516,IF($S$588=467,PR!$AS$517,IF($S$588=468,PR!$AS$518,IF($S$588=469,PR!$AS$521,IF($S$588=470,PR!$AS$522,IF($S$588=471,PR!$AS$523,IF($S$588=472,PR!$AS$524,IF($S$588=473,PR!$AS$525,IF($S$588=474,PR!$AS$526,IF($S$588=475,PR!$AS$527,IF($S$588=476,PR!$AS$528,IF($S$588=477,PR!$AS$529,IF($S$588=478,PR!$AS$530,IF($S$588=479,PR!$AS$531,IF($S$588=480,PR!$AS$532,"-"))))))))))))))))))))))))))))))))))))))))))))))))))))))))))))</f>
        <v>0</v>
      </c>
      <c r="J598" s="602">
        <f>IF($S$588=421,PR!$AT$464,IF($S$588=422,PR!$AT$465,IF($S$588=423,PR!$AT$466,IF($S$588=424,PR!$AT$470,IF($S$588=425,PR!$AT$471,IF($S$588=426,PR!$AT$472,IF($S$588=427,PR!$AT$473,IF($S$588=428,PR!$AT$474,IF($S$588=429,PR!$AT$475,IF($S$588=430,PR!$AT$476,IF($S$588=431,PR!$AT$477,IF($S$588=432,PR!$AT$478,IF($S$588=433,PR!$AT$479,IF($S$588=434,PR!$AT$480,IF($S$588=435,PR!$AT$481,IF($S$588=436,PR!$AT$482,IF($S$588=437,PR!$AT$483,IF($S$588=438,PR!$AT$484,IF($S$588=439,PR!$AT$485,IF($S$588=440,PR!$AT$486,IF($S$588=441,PR!$AT$487,IF($S$588=442,PR!$AT$488,IF($S$588=443,PR!$AT$489,IF($S$588=444,PR!$AT$490,IF($S$588=445,PR!$AT$491,IF($S$588=446,PR!$AT$492,IF($S$588=447,PR!$AT$493,IF($S$588=448,PR!$AT$494,IF($S$588=449,PR!$AT$495,IF($S$588=450,PR!$AT$496,IF($S$588=451,PR!$AT$497,IF($S$588=452,PR!$AT$498,IF($S$588=453,PR!$AT$499,IF($S$588=454,PR!$AT$500,IF($S$588=455,PR!$AT$505,IF($S$588=456,PR!$AT$506,IF($S$588=457,PR!$AT$507,IF($S$588=458,PR!$AT$508,IF($S$588=459,PR!$AT$509,IF($S$588=460,PR!$AT$510,IF($S$588=461,PR!$AT$511,IF($S$588=462,PR!$AT$512,IF($S$588=463,PR!$AT$513,IF($S$588=464,PR!$AT$514,IF($S$588=465,PR!$AT$515,IF($S$588=466,PR!$AT$516,IF($S$588=467,PR!$AT$517,IF($S$588=468,PR!$AT$518,IF($S$588=469,PR!$AT$521,IF($S$588=470,PR!$AT$522,IF($S$588=471,PR!$AT$523,IF($S$588=472,PR!$AT$524,IF($S$588=473,PR!$AT$525,IF($S$588=474,PR!$AT$526,IF($S$588=475,PR!$AT$527,IF($S$588=476,PR!$AT$528,IF($S$588=477,PR!$AT$529,IF($S$588=478,PR!$AT$530,IF($S$588=479,PR!$AT$531,IF($S$588=480,PR!$AT$532,"-"))))))))))))))))))))))))))))))))))))))))))))))))))))))))))))</f>
        <v>0</v>
      </c>
      <c r="K598" s="602">
        <f>IF($S$588=421,PR!$AU$464,IF($S$588=422,PR!$AU$465,IF($S$588=423,PR!$AU$466,IF($S$588=424,PR!$AU$470,IF($S$588=425,PR!$AU$471,IF($S$588=426,PR!$AU$472,IF($S$588=427,PR!$AU$473,IF($S$588=428,PR!$AU$474,IF($S$588=429,PR!$AU$475,IF($S$588=430,PR!$AU$476,IF($S$588=431,PR!$AU$477,IF($S$588=432,PR!$AU$478,IF($S$588=433,PR!$AU$479,IF($S$588=434,PR!$AU$480,IF($S$588=435,PR!$AU$481,IF($S$588=436,PR!$AU$482,IF($S$588=437,PR!$AU$483,IF($S$588=438,PR!$AU$484,IF($S$588=439,PR!$AU$485,IF($S$588=440,PR!$AU$486,IF($S$588=441,PR!$AU$487,IF($S$588=442,PR!$AU$488,IF($S$588=443,PR!$AU$489,IF($S$588=444,PR!$AU$490,IF($S$588=445,PR!$AU$491,IF($S$588=446,PR!$AU$492,IF($S$588=447,PR!$AU$493,IF($S$588=448,PR!$AU$494,IF($S$588=449,PR!$AU$495,IF($S$588=450,PR!$AU$496,IF($S$588=451,PR!$AU$497,IF($S$588=452,PR!$AU$498,IF($S$588=453,PR!$AU$499,IF($S$588=454,PR!$AU$500,IF($S$588=455,PR!$AU$505,IF($S$588=456,PR!$AU$506,IF($S$588=457,PR!$AU$507,IF($S$588=458,PR!$AU$508,IF($S$588=459,PR!$AU$509,IF($S$588=460,PR!$AU$510,IF($S$588=461,PR!$AU$511,IF($S$588=462,PR!$AU$512,IF($S$588=463,PR!$AU$513,IF($S$588=464,PR!$AU$514,IF($S$588=465,PR!$AU$515,IF($S$588=466,PR!$AU$516,IF($S$588=467,PR!$AU$517,IF($S$588=468,PR!$AU$518,IF($S$588=469,PR!$AU$521,IF($S$588=470,PR!$AU$522,IF($S$588=471,PR!$AU$523,IF($S$588=472,PR!$AU$524,IF($S$588=473,PR!$AU$525,IF($S$588=474,PR!$AU$526,IF($S$588=475,PR!$AU$527,IF($S$588=476,PR!$AU$528,IF($S$588=477,PR!$AU$529,IF($S$588=478,PR!$AU$530,IF($S$588=479,PR!$AU$531,IF($S$588=480,PR!$AU$532,"-"))))))))))))))))))))))))))))))))))))))))))))))))))))))))))))</f>
        <v>0</v>
      </c>
      <c r="L598" s="602">
        <f>IF($S$588=421,PR!$AV$464,IF($S$588=422,PR!$AV$465,IF($S$588=423,PR!$AV$466,IF($S$588=424,PR!$AV$470,IF($S$588=425,PR!$AV$471,IF($S$588=426,PR!$AV$472,IF($S$588=427,PR!$AV$473,IF($S$588=428,PR!$AV$474,IF($S$588=429,PR!$AV$475,IF($S$588=430,PR!$AV$476,IF($S$588=431,PR!$AV$477,IF($S$588=432,PR!$AV$478,IF($S$588=433,PR!$AV$479,IF($S$588=434,PR!$AV$480,IF($S$588=435,PR!$AV$481,IF($S$588=436,PR!$AV$482,IF($S$588=437,PR!$AV$483,IF($S$588=438,PR!$AV$484,IF($S$588=439,PR!$AV$485,IF($S$588=440,PR!$AV$486,IF($S$588=441,PR!$AV$487,IF($S$588=442,PR!$AV$488,IF($S$588=443,PR!$AV$489,IF($S$588=444,PR!$AV$490,IF($S$588=445,PR!$AV$491,IF($S$588=446,PR!$AV$492,IF($S$588=447,PR!$AV$493,IF($S$588=448,PR!$AV$494,IF($S$588=449,PR!$AV$495,IF($S$588=450,PR!$AV$496,IF($S$588=451,PR!$AV$497,IF($S$588=452,PR!$AV$498,IF($S$588=453,PR!$AV$499,IF($S$588=454,PR!$AV$500,IF($S$588=455,PR!$AV$505,IF($S$588=456,PR!$AV$506,IF($S$588=457,PR!$AV$507,IF($S$588=458,PR!$AV$508,IF($S$588=459,PR!$AV$509,IF($S$588=460,PR!$AV$510,IF($S$588=461,PR!$AV$511,IF($S$588=462,PR!$AV$512,IF($S$588=463,PR!$AV$513,IF($S$588=464,PR!$AV$514,IF($S$588=465,PR!$AV$515,IF($S$588=466,PR!$AV$516,IF($S$588=467,PR!$AV$517,IF($S$588=468,PR!$AV$518,IF($S$588=469,PR!$AV$521,IF($S$588=470,PR!$AV$522,IF($S$588=471,PR!$AV$523,IF($S$588=472,PR!$AV$524,IF($S$588=473,PR!$AV$525,IF($S$588=474,PR!$AV$526,IF($S$588=475,PR!$AV$527,IF($S$588=476,PR!$AV$528,IF($S$588=477,PR!$AV$529,IF($S$588=478,PR!$AV$530,IF($S$588=479,PR!$AV$531,IF($S$588=480,PR!$AV$532,"-"))))))))))))))))))))))))))))))))))))))))))))))))))))))))))))</f>
        <v>0</v>
      </c>
      <c r="M598" s="602">
        <f>IF($S$588=421,PR!$AW$464,IF($S$588=422,PR!$AW$465,IF($S$588=423,PR!$AW$466,IF($S$588=424,PR!$AW$470,IF($S$588=425,PR!$AW$471,IF($S$588=426,PR!$AW$472,IF($S$588=427,PR!$AW$473,IF($S$588=428,PR!$AW$474,IF($S$588=429,PR!$AW$475,IF($S$588=430,PR!$AW$476,IF($S$588=431,PR!$AW$477,IF($S$588=432,PR!$AW$478,IF($S$588=433,PR!$AW$479,IF($S$588=434,PR!$AW$480,IF($S$588=435,PR!$AW$481,IF($S$588=436,PR!$AW$482,IF($S$588=437,PR!$AW$483,IF($S$588=438,PR!$AW$484,IF($S$588=439,PR!$AW$485,IF($S$588=440,PR!$AW$486,IF($S$588=441,PR!$AW$487,IF($S$588=442,PR!$AW$488,IF($S$588=443,PR!$AW$489,IF($S$588=444,PR!$AW$490,IF($S$588=445,PR!$AW$491,IF($S$588=446,PR!$AW$492,IF($S$588=447,PR!$AW$493,IF($S$588=448,PR!$AW$494,IF($S$588=449,PR!$AW$495,IF($S$588=450,PR!$AW$496,IF($S$588=451,PR!$AW$497,IF($S$588=452,PR!$AW$498,IF($S$588=453,PR!$AW$499,IF($S$588=454,PR!$AW$500,IF($S$588=455,PR!$AW$505,IF($S$588=456,PR!$AW$506,IF($S$588=457,PR!$AW$507,IF($S$588=458,PR!$AW$508,IF($S$588=459,PR!$AW$509,IF($S$588=460,PR!$AW$510,IF($S$588=461,PR!$AW$511,IF($S$588=462,PR!$AW$512,IF($S$588=463,PR!$AW$513,IF($S$588=464,PR!$AW$514,IF($S$588=465,PR!$AW$515,IF($S$588=466,PR!$AW$516,IF($S$588=467,PR!$AW$517,IF($S$588=468,PR!$AW$518,IF($S$588=469,PR!$AW$521,IF($S$588=470,PR!$AW$522,IF($S$588=471,PR!$AW$523,IF($S$588=472,PR!$AW$524,IF($S$588=473,PR!$AW$525,IF($S$588=474,PR!$AW$526,IF($S$588=475,PR!$AW$527,IF($S$588=476,PR!$AW$528,IF($S$588=477,PR!$AW$529,IF($S$588=478,PR!$AW$530,IF($S$588=479,PR!$AW$531,IF($S$588=480,PR!$AW$532,"-"))))))))))))))))))))))))))))))))))))))))))))))))))))))))))))</f>
        <v>0</v>
      </c>
      <c r="N598" s="602">
        <f>IF($S$588=421,PR!$AX$464,IF($S$588=422,PR!$AX$465,IF($S$588=423,PR!$AX$466,IF($S$588=424,PR!$AX$470,IF($S$588=425,PR!$AX$471,IF($S$588=426,PR!$AX$472,IF($S$588=427,PR!$AX$473,IF($S$588=428,PR!$AX$474,IF($S$588=429,PR!$AX$475,IF($S$588=430,PR!$AX$476,IF($S$588=431,PR!$AX$477,IF($S$588=432,PR!$AX$478,IF($S$588=433,PR!$AX$479,IF($S$588=434,PR!$AX$480,IF($S$588=435,PR!$AX$481,IF($S$588=436,PR!$AX$482,IF($S$588=437,PR!$AX$483,IF($S$588=438,PR!$AX$484,IF($S$588=439,PR!$AX$485,IF($S$588=440,PR!$AX$486,IF($S$588=441,PR!$AX$487,IF($S$588=442,PR!$AX$488,IF($S$588=443,PR!$AX$489,IF($S$588=444,PR!$AX$490,IF($S$588=445,PR!$AX$491,IF($S$588=446,PR!$AX$492,IF($S$588=447,PR!$AX$493,IF($S$588=448,PR!$AX$494,IF($S$588=449,PR!$AX$495,IF($S$588=450,PR!$AX$496,IF($S$588=451,PR!$AX$497,IF($S$588=452,PR!$AX$498,IF($S$588=453,PR!$AX$499,IF($S$588=454,PR!$AX$500,IF($S$588=455,PR!$AX$505,IF($S$588=456,PR!$AX$506,IF($S$588=457,PR!$AX$507,IF($S$588=458,PR!$AX$508,IF($S$588=459,PR!$AX$509,IF($S$588=460,PR!$AX$510,IF($S$588=461,PR!$AX$511,IF($S$588=462,PR!$AX$512,IF($S$588=463,PR!$AX$513,IF($S$588=464,PR!$AX$514,IF($S$588=465,PR!$AX$515,IF($S$588=466,PR!$AX$516,IF($S$588=467,PR!$AX$517,IF($S$588=468,PR!$AX$518,IF($S$588=469,PR!$AX$521,IF($S$588=470,PR!$AX$522,IF($S$588=471,PR!$AX$523,IF($S$588=472,PR!$AX$524,IF($S$588=473,PR!$AX$525,IF($S$588=474,PR!$AX$526,IF($S$588=475,PR!$AX$527,IF($S$588=476,PR!$AX$528,IF($S$588=477,PR!$AX$529,IF($S$588=478,PR!$AX$530,IF($S$588=479,PR!$AX$531,IF($S$588=480,PR!$AX$532,"-"))))))))))))))))))))))))))))))))))))))))))))))))))))))))))))</f>
        <v>0</v>
      </c>
      <c r="O598" s="602">
        <f>IF($S$588=421,PR!$AY$464,IF($S$588=422,PR!$AY$465,IF($S$588=423,PR!$AY$466,IF($S$588=424,PR!$AY$470,IF($S$588=425,PR!$AY$471,IF($S$588=426,PR!$AY$472,IF($S$588=427,PR!$AY$473,IF($S$588=428,PR!$AY$474,IF($S$588=429,PR!$AY$475,IF($S$588=430,PR!$AY$476,IF($S$588=431,PR!$AY$477,IF($S$588=432,PR!$AY$478,IF($S$588=433,PR!$AY$479,IF($S$588=434,PR!$AY$480,IF($S$588=435,PR!$AY$481,IF($S$588=436,PR!$AY$482,IF($S$588=437,PR!$AY$483,IF($S$588=438,PR!$AY$484,IF($S$588=439,PR!$AY$485,IF($S$588=440,PR!$AY$486,IF($S$588=441,PR!$AY$487,IF($S$588=442,PR!$AY$488,IF($S$588=443,PR!$AY$489,IF($S$588=444,PR!$AY$490,IF($S$588=445,PR!$AY$491,IF($S$588=446,PR!$AY$492,IF($S$588=447,PR!$AY$493,IF($S$588=448,PR!$AY$494,IF($S$588=449,PR!$AY$495,IF($S$588=450,PR!$AY$496,IF($S$588=451,PR!$AY$497,IF($S$588=452,PR!$AY$498,IF($S$588=453,PR!$AY$499,IF($S$588=454,PR!$AY$500,IF($S$588=455,PR!$AY$505,IF($S$588=456,PR!$AY$506,IF($S$588=457,PR!$AY$507,IF($S$588=458,PR!$AY$508,IF($S$588=459,PR!$AY$509,IF($S$588=460,PR!$AY$510,IF($S$588=461,PR!$AY$511,IF($S$588=462,PR!$AY$512,IF($S$588=463,PR!$AY$513,IF($S$588=464,PR!$AY$514,IF($S$588=465,PR!$AY$515,IF($S$588=466,PR!$AY$516,IF($S$588=467,PR!$AY$517,IF($S$588=468,PR!$AY$518,IF($S$588=469,PR!$AY$521,IF($S$588=470,PR!$AY$522,IF($S$588=471,PR!$AY$523,IF($S$588=472,PR!$AY$524,IF($S$588=473,PR!$AY$525,IF($S$588=474,PR!$AY$526,IF($S$588=475,PR!$AY$527,IF($S$588=476,PR!$AY$528,IF($S$588=477,PR!$AY$529,IF($S$588=478,PR!$AY$530,IF($S$588=479,PR!$AY$531,IF($S$588=480,PR!$AY$532,"-"))))))))))))))))))))))))))))))))))))))))))))))))))))))))))))</f>
        <v>0</v>
      </c>
      <c r="P598" s="602">
        <f>IF($S$588=421,PR!$AZ$464,IF($S$588=422,PR!$AZ$465,IF($S$588=423,PR!$AZ$466,IF($S$588=424,PR!$AZ$470,IF($S$588=425,PR!$AZ$471,IF($S$588=426,PR!$AZ$472,IF($S$588=427,PR!$AZ$473,IF($S$588=428,PR!$AZ$474,IF($S$588=429,PR!$AZ$475,IF($S$588=430,PR!$AZ$476,IF($S$588=431,PR!$AZ$477,IF($S$588=432,PR!$AZ$478,IF($S$588=433,PR!$AZ$479,IF($S$588=434,PR!$AZ$480,IF($S$588=435,PR!$AZ$481,IF($S$588=436,PR!$AZ$482,IF($S$588=437,PR!$AZ$483,IF($S$588=438,PR!$AZ$484,IF($S$588=439,PR!$AZ$485,IF($S$588=440,PR!$AZ$486,IF($S$588=441,PR!$AZ$487,IF($S$588=442,PR!$AZ$488,IF($S$588=443,PR!$AZ$489,IF($S$588=444,PR!$AZ$490,IF($S$588=445,PR!$AZ$491,IF($S$588=446,PR!$AZ$492,IF($S$588=447,PR!$AZ$493,IF($S$588=448,PR!$AZ$494,IF($S$588=449,PR!$AZ$495,IF($S$588=450,PR!$AZ$496,IF($S$588=451,PR!$AZ$497,IF($S$588=452,PR!$AZ$498,IF($S$588=453,PR!$AZ$499,IF($S$588=454,PR!$AZ$500,IF($S$588=455,PR!$AZ$505,IF($S$588=456,PR!$AZ$506,IF($S$588=457,PR!$AZ$507,IF($S$588=458,PR!$AZ$508,IF($S$588=459,PR!$AZ$509,IF($S$588=460,PR!$AZ$510,IF($S$588=461,PR!$AZ$511,IF($S$588=462,PR!$AZ$512,IF($S$588=463,PR!$AZ$513,IF($S$588=464,PR!$AZ$514,IF($S$588=465,PR!$AZ$515,IF($S$588=466,PR!$AZ$516,IF($S$588=467,PR!$AZ$517,IF($S$588=468,PR!$AZ$518,IF($S$588=469,PR!$AZ$521,IF($S$588=470,PR!$AZ$522,IF($S$588=471,PR!$AZ$523,IF($S$588=472,PR!$AZ$524,IF($S$588=473,PR!$AZ$525,IF($S$588=474,PR!$AZ$526,IF($S$588=475,PR!$AZ$527,IF($S$588=476,PR!$AZ$528,IF($S$588=477,PR!$AZ$529,IF($S$588=478,PR!$AZ$530,IF($S$588=479,PR!$AZ$531,IF($S$588=480,PR!$AZ$532,"-"))))))))))))))))))))))))))))))))))))))))))))))))))))))))))))</f>
        <v>0</v>
      </c>
      <c r="Q598" s="602">
        <f>IF($S$588=421,PR!$BA$464,IF($S$588=422,PR!$BA$465,IF($S$588=423,PR!$BA$466,IF($S$588=424,PR!$BA$470,IF($S$588=425,PR!$BA$471,IF($S$588=426,PR!$BA$472,IF($S$588=427,PR!$BA$473,IF($S$588=428,PR!$BA$474,IF($S$588=429,PR!$BA$475,IF($S$588=430,PR!$BA$476,IF($S$588=431,PR!$BA$477,IF($S$588=432,PR!$BA$478,IF($S$588=433,PR!$BA$479,IF($S$588=434,PR!$BA$480,IF($S$588=435,PR!$BA$481,IF($S$588=436,PR!$BA$482,IF($S$588=437,PR!$BA$483,IF($S$588=438,PR!$BA$484,IF($S$588=439,PR!$BA$485,IF($S$588=440,PR!$BA$486,IF($S$588=441,PR!$BA$487,IF($S$588=442,PR!$BA$488,IF($S$588=443,PR!$BA$489,IF($S$588=444,PR!$BA$490,IF($S$588=445,PR!$BA$491,IF($S$588=446,PR!$BA$492,IF($S$588=447,PR!$BA$493,IF($S$588=448,PR!$BA$494,IF($S$588=449,PR!$BA$495,IF($S$588=450,PR!$BA$496,IF($S$588=451,PR!$BA$497,IF($S$588=452,PR!$BA$498,IF($S$588=453,PR!$BA$499,IF($S$588=454,PR!$BA$500,IF($S$588=455,PR!$BA$505,IF($S$588=456,PR!$BA$506,IF($S$588=457,PR!$BA$507,IF($S$588=458,PR!$BA$508,IF($S$588=459,PR!$BA$509,IF($S$588=460,PR!$BA$510,IF($S$588=461,PR!$BA$511,IF($S$588=462,PR!$BA$512,IF($S$588=463,PR!$BA$513,IF($S$588=464,PR!$BA$514,IF($S$588=465,PR!$BA$515,IF($S$588=466,PR!$BA$516,IF($S$588=467,PR!$BA$517,IF($S$588=468,PR!$BA$518,IF($S$588=469,PR!$BA$521,IF($S$588=470,PR!$BA$522,IF($S$588=471,PR!$BA$523,IF($S$588=472,PR!$BA$524,IF($S$588=473,PR!$BA$525,IF($S$588=474,PR!$BA$526,IF($S$588=475,PR!$BA$527,IF($S$588=476,PR!$BA$528,IF($S$588=477,PR!$BA$529,IF($S$588=478,PR!$BA$530,IF($S$588=479,PR!$BA$531,IF($S$588=480,PR!$BA$532,"-"))))))))))))))))))))))))))))))))))))))))))))))))))))))))))))</f>
        <v>0</v>
      </c>
      <c r="R598" s="602">
        <f>IF($S$588=421,PR!$BB$464,IF($S$588=422,PR!$BB$465,IF($S$588=423,PR!$BB$466,IF($S$588=424,PR!$BB$470,IF($S$588=425,PR!$BB$471,IF($S$588=426,PR!$BB$472,IF($S$588=427,PR!$BB$473,IF($S$588=428,PR!$BB$474,IF($S$588=429,PR!$BB$475,IF($S$588=430,PR!$BB$476,IF($S$588=431,PR!$BB$477,IF($S$588=432,PR!$BB$478,IF($S$588=433,PR!$BB$479,IF($S$588=434,PR!$BB$480,IF($S$588=435,PR!$BB$481,IF($S$588=436,PR!$BB$482,IF($S$588=437,PR!$BB$483,IF($S$588=438,PR!$BB$484,IF($S$588=439,PR!$BB$485,IF($S$588=440,PR!$BB$486,IF($S$588=441,PR!$BB$487,IF($S$588=442,PR!$BB$488,IF($S$588=443,PR!$BB$489,IF($S$588=444,PR!$BB$490,IF($S$588=445,PR!$BB$491,IF($S$588=446,PR!$BB$492,IF($S$588=447,PR!$BB$493,IF($S$588=448,PR!$BB$494,IF($S$588=449,PR!$BB$495,IF($S$588=450,PR!$BB$496,IF($S$588=451,PR!$BB$497,IF($S$588=452,PR!$BB$498,IF($S$588=453,PR!$BB$499,IF($S$588=454,PR!$BB$500,IF($S$588=455,PR!$BB$505,IF($S$588=456,PR!$BB$506,IF($S$588=457,PR!$BB$507,IF($S$588=458,PR!$BB$508,IF($S$588=459,PR!$BB$509,IF($S$588=460,PR!$BB$510,IF($S$588=461,PR!$BB$511,IF($S$588=462,PR!$BB$512,IF($S$588=463,PR!$BB$513,IF($S$588=464,PR!$BB$514,IF($S$588=465,PR!$BB$515,IF($S$588=466,PR!$BB$516,IF($S$588=467,PR!$BB$517,IF($S$588=468,PR!$BB$518,IF($S$588=469,PR!$BB$521,IF($S$588=470,PR!$BB$522,IF($S$588=471,PR!$BB$523,IF($S$588=472,PR!$BB$524,IF($S$588=473,PR!$BB$525,IF($S$588=474,PR!$BB$526,IF($S$588=475,PR!$BB$527,IF($S$588=476,PR!$BB$528,IF($S$588=477,PR!$BB$529,IF($S$588=478,PR!$BB$530,IF($S$588=479,PR!$BB$531,IF($S$588=480,PR!$BB$532,"-"))))))))))))))))))))))))))))))))))))))))))))))))))))))))))))</f>
        <v>0</v>
      </c>
      <c r="S598" s="602">
        <f>IF($S$588=421,PR!$BC$464,IF($S$588=422,PR!$BC$465,IF($S$588=423,PR!$BC$466,IF($S$588=424,PR!$BC$470,IF($S$588=425,PR!$BC$471,IF($S$588=426,PR!$BC$472,IF($S$588=427,PR!$BC$473,IF($S$588=428,PR!$BC$474,IF($S$588=429,PR!$BC$475,IF($S$588=430,PR!$BC$476,IF($S$588=431,PR!$BC$477,IF($S$588=432,PR!$BC$478,IF($S$588=433,PR!$BC$479,IF($S$588=434,PR!$BC$480,IF($S$588=435,PR!$BC$481,IF($S$588=436,PR!$BC$482,IF($S$588=437,PR!$BC$483,IF($S$588=438,PR!$BC$484,IF($S$588=439,PR!$BC$485,IF($S$588=440,PR!$BC$486,IF($S$588=441,PR!$BC$487,IF($S$588=442,PR!$BC$488,IF($S$588=443,PR!$BC$489,IF($S$588=444,PR!$BC$490,IF($S$588=445,PR!$BC$491,IF($S$588=446,PR!$BC$492,IF($S$588=447,PR!$BC$493,IF($S$588=448,PR!$BC$494,IF($S$588=449,PR!$BC$495,IF($S$588=450,PR!$BC$496,IF($S$588=451,PR!$BC$497,IF($S$588=452,PR!$BC$498,IF($S$588=453,PR!$BC$499,IF($S$588=454,PR!$BC$500,IF($S$588=455,PR!$BC$505,IF($S$588=456,PR!$BC$506,IF($S$588=457,PR!$BC$507,IF($S$588=458,PR!$BC$508,IF($S$588=459,PR!$BC$509,IF($S$588=460,PR!$BC$510,IF($S$588=461,PR!$BC$511,IF($S$588=462,PR!$BC$512,IF($S$588=463,PR!$BC$513,IF($S$588=464,PR!$BC$514,IF($S$588=465,PR!$BC$515,IF($S$588=466,PR!$BC$516,IF($S$588=467,PR!$BC$517,IF($S$588=468,PR!$BC$518,IF($S$588=469,PR!$BC$521,IF($S$588=470,PR!$BC$522,IF($S$588=471,PR!$BC$523,IF($S$588=472,PR!$BC$524,IF($S$588=473,PR!$BC$525,IF($S$588=474,PR!$BC$526,IF($S$588=475,PR!$BC$527,IF($S$588=476,PR!$BC$528,IF($S$588=477,PR!$BC$529,IF($S$588=478,PR!$BC$530,IF($S$588=479,PR!$BC$531,IF($S$588=480,PR!$BC$532,"-"))))))))))))))))))))))))))))))))))))))))))))))))))))))))))))</f>
        <v>0</v>
      </c>
      <c r="T598" s="580"/>
      <c r="U598" s="580"/>
      <c r="V598" s="32"/>
      <c r="W598" s="32"/>
      <c r="X598" s="32"/>
      <c r="Y598" s="32"/>
      <c r="Z598" s="32"/>
    </row>
    <row r="599" spans="1:26" ht="15.75" x14ac:dyDescent="0.25">
      <c r="A599" s="91"/>
      <c r="B599" s="580"/>
      <c r="C599" s="603"/>
      <c r="D599" s="604"/>
      <c r="E599" s="604"/>
      <c r="F599" s="604"/>
      <c r="G599" s="604"/>
      <c r="H599" s="604"/>
      <c r="I599" s="604"/>
      <c r="J599" s="604"/>
      <c r="K599" s="604"/>
      <c r="L599" s="604"/>
      <c r="M599" s="604"/>
      <c r="N599" s="604"/>
      <c r="O599" s="604"/>
      <c r="P599" s="604"/>
      <c r="Q599" s="604"/>
      <c r="R599" s="606"/>
      <c r="S599" s="606"/>
      <c r="T599" s="580"/>
      <c r="U599" s="580"/>
      <c r="V599" s="32"/>
      <c r="W599" s="32"/>
      <c r="X599" s="32"/>
      <c r="Y599" s="32"/>
      <c r="Z599" s="32"/>
    </row>
    <row r="600" spans="1:26" ht="15.75" thickBot="1" x14ac:dyDescent="0.3">
      <c r="A600" s="91"/>
      <c r="B600" s="580"/>
      <c r="C600" s="600" t="str">
        <f>N!$C$55</f>
        <v>SAM</v>
      </c>
      <c r="D600" s="600" t="str">
        <f>N!$C$56</f>
        <v>SEAGREEN</v>
      </c>
      <c r="E600" s="600" t="str">
        <f>N!$C$57</f>
        <v>SKG</v>
      </c>
      <c r="F600" s="600" t="str">
        <f>N!$C$58</f>
        <v>TAH</v>
      </c>
      <c r="G600" s="600" t="str">
        <f>N!$C$59</f>
        <v>TAYLEK</v>
      </c>
      <c r="H600" s="600" t="str">
        <f>N!$C$60</f>
        <v>TEMITA</v>
      </c>
      <c r="I600" s="600" t="str">
        <f>N!$C$61</f>
        <v>THL</v>
      </c>
      <c r="J600" s="600" t="str">
        <f>N!$C$62</f>
        <v>UBASTIC</v>
      </c>
      <c r="K600" s="600" t="str">
        <f>N!$C$63</f>
        <v>UNION</v>
      </c>
      <c r="L600" s="600" t="str">
        <f>N!$C$64</f>
        <v>UNIQUE</v>
      </c>
      <c r="M600" s="600" t="str">
        <f>N!$C$65</f>
        <v>VIXA</v>
      </c>
      <c r="N600" s="600" t="str">
        <f>N!$C$66</f>
        <v>WWCV</v>
      </c>
      <c r="O600" s="600" t="str">
        <f>N!$C$67</f>
        <v>ZOLON</v>
      </c>
      <c r="P600" s="600" t="e">
        <f>N!#REF!</f>
        <v>#REF!</v>
      </c>
      <c r="Q600" s="600" t="e">
        <f>N!#REF!</f>
        <v>#REF!</v>
      </c>
      <c r="R600" s="600" t="e">
        <f>N!#REF!</f>
        <v>#REF!</v>
      </c>
      <c r="S600" s="604"/>
      <c r="T600" s="580"/>
      <c r="U600" s="580"/>
      <c r="V600" s="32"/>
      <c r="W600" s="32"/>
      <c r="X600" s="32"/>
      <c r="Y600" s="32"/>
      <c r="Z600" s="32"/>
    </row>
    <row r="601" spans="1:26" ht="15.75" thickBot="1" x14ac:dyDescent="0.3">
      <c r="A601" s="91"/>
      <c r="B601" s="580"/>
      <c r="C601" s="602">
        <f>IF($S$588=421,PR!$BD$464,IF($S$588=422,PR!$BD$465,IF($S$588=423,PR!$BD$466,IF($S$588=424,PR!$BD$470,IF($S$588=425,PR!$BD$471,IF($S$588=426,PR!$BD$472,IF($S$588=427,PR!$BD$473,IF($S$588=428,PR!$BD$474,IF($S$588=429,PR!$BD$475,IF($S$588=430,PR!$BD$476,IF($S$588=431,PR!$BD$477,IF($S$588=432,PR!$BD$478,IF($S$588=433,PR!$BD$479,IF($S$588=434,PR!$BD$480,IF($S$588=435,PR!$BD$481,IF($S$588=436,PR!$BD$482,IF($S$588=437,PR!$BD$483,IF($S$588=438,PR!$BD$484,IF($S$588=439,PR!$BD$485,IF($S$588=440,PR!$BD$486,IF($S$588=441,PR!$BD$487,IF($S$588=442,PR!$BD$488,IF($S$588=443,PR!$BD$489,IF($S$588=444,PR!$BD$490,IF($S$588=445,PR!$BD$491,IF($S$588=446,PR!$BD$492,IF($S$588=447,PR!$BD$493,IF($S$588=448,PR!$BD$494,IF($S$588=449,PR!$BD$495,IF($S$588=450,PR!$BD$496,IF($S$588=451,PR!$BD$497,IF($S$588=452,PR!$BD$498,IF($S$588=453,PR!$BD$499,IF($S$588=454,PR!$BD$500,IF($S$588=455,PR!$BD$505,IF($S$588=456,PR!$BD$506,IF($S$588=457,PR!$BD$507,IF($S$588=458,PR!$BD$508,IF($S$588=459,PR!$BD$509,IF($S$588=460,PR!$BD$510,IF($S$588=461,PR!$BD$511,IF($S$588=462,PR!$BD$512,IF($S$588=463,PR!$BD$513,IF($S$588=464,PR!$BD$514,IF($S$588=465,PR!$BD$515,IF($S$588=466,PR!$BD$516,IF($S$588=467,PR!$BD$517,IF($S$588=468,PR!$BD$518,IF($S$588=469,PR!$BD$521,IF($S$588=470,PR!$BD$522,IF($S$588=471,PR!$BD$523,IF($S$588=472,PR!$BD$524,IF($S$588=473,PR!$BD$525,IF($S$588=474,PR!$BD$526,IF($S$588=475,PR!$BD$527,IF($S$588=476,PR!$BD$528,IF($S$588=477,PR!$BD$529,IF($S$588=478,PR!$BD$530,IF($S$588=479,PR!$BD$531,IF($S$588=480,PR!$BD$532,"-"))))))))))))))))))))))))))))))))))))))))))))))))))))))))))))</f>
        <v>0</v>
      </c>
      <c r="D601" s="602">
        <f>IF($S$588=421,PR!$BE$464,IF($S$588=422,PR!$BE$465,IF($S$588=423,PR!$BE$466,IF($S$588=424,PR!$BE$470,IF($S$588=425,PR!$BE$471,IF($S$588=426,PR!$BE$472,IF($S$588=427,PR!$BE$473,IF($S$588=428,PR!$BE$474,IF($S$588=429,PR!$BE$475,IF($S$588=430,PR!$BE$476,IF($S$588=431,PR!$BE$477,IF($S$588=432,PR!$BE$478,IF($S$588=433,PR!$BE$479,IF($S$588=434,PR!$BE$480,IF($S$588=435,PR!$BE$481,IF($S$588=436,PR!$BE$482,IF($S$588=437,PR!$BE$483,IF($S$588=438,PR!$BE$484,IF($S$588=439,PR!$BE$485,IF($S$588=440,PR!$BE$486,IF($S$588=441,PR!$BE$487,IF($S$588=442,PR!$BE$488,IF($S$588=443,PR!$BE$489,IF($S$588=444,PR!$BE$490,IF($S$588=445,PR!$BE$491,IF($S$588=446,PR!$BE$492,IF($S$588=447,PR!$BE$493,IF($S$588=448,PR!$BE$494,IF($S$588=449,PR!$BE$495,IF($S$588=450,PR!$BE$496,IF($S$588=451,PR!$BE$497,IF($S$588=452,PR!$BE$498,IF($S$588=453,PR!$BE$499,IF($S$588=454,PR!$BE$500,IF($S$588=455,PR!$BE$505,IF($S$588=456,PR!$BE$506,IF($S$588=457,PR!$BE$507,IF($S$588=458,PR!$BE$508,IF($S$588=459,PR!$BE$509,IF($S$588=460,PR!$BE$510,IF($S$588=461,PR!$BE$511,IF($S$588=462,PR!$BE$512,IF($S$588=463,PR!$BE$513,IF($S$588=464,PR!$BE$514,IF($S$588=465,PR!$BE$515,IF($S$588=466,PR!$BE$516,IF($S$588=467,PR!$BE$517,IF($S$588=468,PR!$BE$518,IF($S$588=469,PR!$BE$521,IF($S$588=470,PR!$BE$522,IF($S$588=471,PR!$BE$523,IF($S$588=472,PR!$BE$524,IF($S$588=473,PR!$BE$525,IF($S$588=474,PR!$BE$526,IF($S$588=475,PR!$BE$527,IF($S$588=476,PR!$BE$528,IF($S$588=477,PR!$BE$529,IF($S$588=478,PR!$BE$530,IF($S$588=479,PR!$BE$531,IF($S$588=480,PR!$BE$532,"-"))))))))))))))))))))))))))))))))))))))))))))))))))))))))))))</f>
        <v>0</v>
      </c>
      <c r="E601" s="602">
        <f>IF($S$588=421,PR!$BF$464,IF($S$588=422,PR!$BF$465,IF($S$588=423,PR!$BF$466,IF($S$588=424,PR!$BF$470,IF($S$588=425,PR!$BF$471,IF($S$588=426,PR!$BF$472,IF($S$588=427,PR!$BF$473,IF($S$588=428,PR!$BF$474,IF($S$588=429,PR!$BF$475,IF($S$588=430,PR!$BF$476,IF($S$588=431,PR!$BF$477,IF($S$588=432,PR!$BF$478,IF($S$588=433,PR!$BF$479,IF($S$588=434,PR!$BF$480,IF($S$588=435,PR!$BF$481,IF($S$588=436,PR!$BF$482,IF($S$588=437,PR!$BF$483,IF($S$588=438,PR!$BF$484,IF($S$588=439,PR!$BF$485,IF($S$588=440,PR!$BF$486,IF($S$588=441,PR!$BF$487,IF($S$588=442,PR!$BF$488,IF($S$588=443,PR!$BF$489,IF($S$588=444,PR!$BF$490,IF($S$588=445,PR!$BF$491,IF($S$588=446,PR!$BF$492,IF($S$588=447,PR!$BF$493,IF($S$588=448,PR!$BF$494,IF($S$588=449,PR!$BF$495,IF($S$588=450,PR!$BF$496,IF($S$588=451,PR!$BF$497,IF($S$588=452,PR!$BF$498,IF($S$588=453,PR!$BF$499,IF($S$588=454,PR!$BF$500,IF($S$588=455,PR!$BF$505,IF($S$588=456,PR!$BF$506,IF($S$588=457,PR!$BF$507,IF($S$588=458,PR!$BF$508,IF($S$588=459,PR!$BF$509,IF($S$588=460,PR!$BF$510,IF($S$588=461,PR!$BF$511,IF($S$588=462,PR!$BF$512,IF($S$588=463,PR!$BF$513,IF($S$588=464,PR!$BF$514,IF($S$588=465,PR!$BF$515,IF($S$588=466,PR!$BF$516,IF($S$588=467,PR!$BF$517,IF($S$588=468,PR!$BF$518,IF($S$588=469,PR!$BF$521,IF($S$588=470,PR!$BF$522,IF($S$588=471,PR!$BF$523,IF($S$588=472,PR!$BF$524,IF($S$588=473,PR!$BF$525,IF($S$588=474,PR!$BF$526,IF($S$588=475,PR!$BF$527,IF($S$588=476,PR!$BF$528,IF($S$588=477,PR!$BF$529,IF($S$588=478,PR!$BF$530,IF($S$588=479,PR!$BF$531,IF($S$588=480,PR!$BF$532,"-"))))))))))))))))))))))))))))))))))))))))))))))))))))))))))))</f>
        <v>0</v>
      </c>
      <c r="F601" s="602">
        <f>IF($S$588=421,PR!$BG$464,IF($S$588=422,PR!$BG$465,IF($S$588=423,PR!$BG$466,IF($S$588=424,PR!$BG$470,IF($S$588=425,PR!$BG$471,IF($S$588=426,PR!$BG$472,IF($S$588=427,PR!$BG$473,IF($S$588=428,PR!$BG$474,IF($S$588=429,PR!$BG$475,IF($S$588=430,PR!$BG$476,IF($S$588=431,PR!$BG$477,IF($S$588=432,PR!$BG$478,IF($S$588=433,PR!$BG$479,IF($S$588=434,PR!$BG$480,IF($S$588=435,PR!$BG$481,IF($S$588=436,PR!$BG$482,IF($S$588=437,PR!$BG$483,IF($S$588=438,PR!$BG$484,IF($S$588=439,PR!$BG$485,IF($S$588=440,PR!$BG$486,IF($S$588=441,PR!$BG$487,IF($S$588=442,PR!$BG$488,IF($S$588=443,PR!$BG$489,IF($S$588=444,PR!$BG$490,IF($S$588=445,PR!$BG$491,IF($S$588=446,PR!$BG$492,IF($S$588=447,PR!$BG$493,IF($S$588=448,PR!$BG$494,IF($S$588=449,PR!$BG$495,IF($S$588=450,PR!$BG$496,IF($S$588=451,PR!$BG$497,IF($S$588=452,PR!$BG$498,IF($S$588=453,PR!$BG$499,IF($S$588=454,PR!$BG$500,IF($S$588=455,PR!$BG$505,IF($S$588=456,PR!$BG$506,IF($S$588=457,PR!$BG$507,IF($S$588=458,PR!$BG$508,IF($S$588=459,PR!$BG$509,IF($S$588=460,PR!$BG$510,IF($S$588=461,PR!$BG$511,IF($S$588=462,PR!$BG$512,IF($S$588=463,PR!$BG$513,IF($S$588=464,PR!$BG$514,IF($S$588=465,PR!$BG$515,IF($S$588=466,PR!$BG$516,IF($S$588=467,PR!$BG$517,IF($S$588=468,PR!$BG$518,IF($S$588=469,PR!$BG$521,IF($S$588=470,PR!$BG$522,IF($S$588=471,PR!$BG$523,IF($S$588=472,PR!$BG$524,IF($S$588=473,PR!$BG$525,IF($S$588=474,PR!$BG$526,IF($S$588=475,PR!$BG$527,IF($S$588=476,PR!$BG$528,IF($S$588=477,PR!$BG$529,IF($S$588=478,PR!$BG$530,IF($S$588=479,PR!$BG$531,IF($S$588=480,PR!$BG$532,"-"))))))))))))))))))))))))))))))))))))))))))))))))))))))))))))</f>
        <v>0</v>
      </c>
      <c r="G601" s="602">
        <f>IF($S$588=421,PR!$BH$464,IF($S$588=422,PR!$BH$465,IF($S$588=423,PR!$BH$466,IF($S$588=424,PR!$BH$470,IF($S$588=425,PR!$BH$471,IF($S$588=426,PR!$BH$472,IF($S$588=427,PR!$BH$473,IF($S$588=428,PR!$BH$474,IF($S$588=429,PR!$BH$475,IF($S$588=430,PR!$BH$476,IF($S$588=431,PR!$BH$477,IF($S$588=432,PR!$BH$478,IF($S$588=433,PR!$BH$479,IF($S$588=434,PR!$BH$480,IF($S$588=435,PR!$BH$481,IF($S$588=436,PR!$BH$482,IF($S$588=437,PR!$BH$483,IF($S$588=438,PR!$BH$484,IF($S$588=439,PR!$BH$485,IF($S$588=440,PR!$BH$486,IF($S$588=441,PR!$BH$487,IF($S$588=442,PR!$BH$488,IF($S$588=443,PR!$BH$489,IF($S$588=444,PR!$BH$490,IF($S$588=445,PR!$BH$491,IF($S$588=446,PR!$BH$492,IF($S$588=447,PR!$BH$493,IF($S$588=448,PR!$BH$494,IF($S$588=449,PR!$BH$495,IF($S$588=450,PR!$BH$496,IF($S$588=451,PR!$BH$497,IF($S$588=452,PR!$BH$498,IF($S$588=453,PR!$BH$499,IF($S$588=454,PR!$BH$500,IF($S$588=455,PR!$BH$505,IF($S$588=456,PR!$BH$506,IF($S$588=457,PR!$BH$507,IF($S$588=458,PR!$BH$508,IF($S$588=459,PR!$BH$509,IF($S$588=460,PR!$BH$510,IF($S$588=461,PR!$BH$511,IF($S$588=462,PR!$BH$512,IF($S$588=463,PR!$BH$513,IF($S$588=464,PR!$BH$514,IF($S$588=465,PR!$BH$515,IF($S$588=466,PR!$BH$516,IF($S$588=467,PR!$BH$517,IF($S$588=468,PR!$BH$518,IF($S$588=469,PR!$BH$521,IF($S$588=470,PR!$BH$522,IF($S$588=471,PR!$BH$523,IF($S$588=472,PR!$BH$524,IF($S$588=473,PR!$BH$525,IF($S$588=474,PR!$BH$526,IF($S$588=475,PR!$BH$527,IF($S$588=476,PR!$BH$528,IF($S$588=477,PR!$BH$529,IF($S$588=478,PR!$BH$530,IF($S$588=479,PR!$BH$531,IF($S$588=480,PR!$BH$532,"-"))))))))))))))))))))))))))))))))))))))))))))))))))))))))))))</f>
        <v>0</v>
      </c>
      <c r="H601" s="602">
        <f>IF($S$588=421,PR!$BI$464,IF($S$588=422,PR!$BI$465,IF($S$588=423,PR!$BI$466,IF($S$588=424,PR!$BI$470,IF($S$588=425,PR!$BI$471,IF($S$588=426,PR!$BI$472,IF($S$588=427,PR!$BI$473,IF($S$588=428,PR!$BI$474,IF($S$588=429,PR!$BI$475,IF($S$588=430,PR!$BI$476,IF($S$588=431,PR!$BI$477,IF($S$588=432,PR!$BI$478,IF($S$588=433,PR!$BI$479,IF($S$588=434,PR!$BI$480,IF($S$588=435,PR!$BI$481,IF($S$588=436,PR!$BI$482,IF($S$588=437,PR!$BI$483,IF($S$588=438,PR!$BI$484,IF($S$588=439,PR!$BI$485,IF($S$588=440,PR!$BI$486,IF($S$588=441,PR!$BI$487,IF($S$588=442,PR!$BI$488,IF($S$588=443,PR!$BI$489,IF($S$588=444,PR!$BI$490,IF($S$588=445,PR!$BI$491,IF($S$588=446,PR!$BI$492,IF($S$588=447,PR!$BI$493,IF($S$588=448,PR!$BI$494,IF($S$588=449,PR!$BI$495,IF($S$588=450,PR!$BI$496,IF($S$588=451,PR!$BI$497,IF($S$588=452,PR!$BI$498,IF($S$588=453,PR!$BI$499,IF($S$588=454,PR!$BI$500,IF($S$588=455,PR!$BI$505,IF($S$588=456,PR!$BI$506,IF($S$588=457,PR!$BI$507,IF($S$588=458,PR!$BI$508,IF($S$588=459,PR!$BI$509,IF($S$588=460,PR!$BI$510,IF($S$588=461,PR!$BI$511,IF($S$588=462,PR!$BI$512,IF($S$588=463,PR!$BI$513,IF($S$588=464,PR!$BI$514,IF($S$588=465,PR!$BI$515,IF($S$588=466,PR!$BI$516,IF($S$588=467,PR!$BI$517,IF($S$588=468,PR!$BI$518,IF($S$588=469,PR!$BI$521,IF($S$588=470,PR!$BI$522,IF($S$588=471,PR!$BI$523,IF($S$588=472,PR!$BI$524,IF($S$588=473,PR!$BI$525,IF($S$588=474,PR!$BI$526,IF($S$588=475,PR!$BI$527,IF($S$588=476,PR!$BI$528,IF($S$588=477,PR!$BI$529,IF($S$588=478,PR!$BI$530,IF($S$588=479,PR!$BI$531,IF($S$588=480,PR!$BI$532,"-"))))))))))))))))))))))))))))))))))))))))))))))))))))))))))))</f>
        <v>0</v>
      </c>
      <c r="I601" s="602">
        <f>IF($S$588=421,PR!$BJ$464,IF($S$588=422,PR!$BJ$465,IF($S$588=423,PR!$BJ$466,IF($S$588=424,PR!$BJ$470,IF($S$588=425,PR!$BJ$471,IF($S$588=426,PR!$BJ$472,IF($S$588=427,PR!$BJ$473,IF($S$588=428,PR!$BJ$474,IF($S$588=429,PR!$BJ$475,IF($S$588=430,PR!$BJ$476,IF($S$588=431,PR!$BJ$477,IF($S$588=432,PR!$BJ$478,IF($S$588=433,PR!$BJ$479,IF($S$588=434,PR!$BJ$480,IF($S$588=435,PR!$BJ$481,IF($S$588=436,PR!$BJ$482,IF($S$588=437,PR!$BJ$483,IF($S$588=438,PR!$BJ$484,IF($S$588=439,PR!$BJ$485,IF($S$588=440,PR!$BJ$486,IF($S$588=441,PR!$BJ$487,IF($S$588=442,PR!$BJ$488,IF($S$588=443,PR!$BJ$489,IF($S$588=444,PR!$BJ$490,IF($S$588=445,PR!$BJ$491,IF($S$588=446,PR!$BJ$492,IF($S$588=447,PR!$BJ$493,IF($S$588=448,PR!$BJ$494,IF($S$588=449,PR!$BJ$495,IF($S$588=450,PR!$BJ$496,IF($S$588=451,PR!$BJ$497,IF($S$588=452,PR!$BJ$498,IF($S$588=453,PR!$BJ$499,IF($S$588=454,PR!$BJ$500,IF($S$588=455,PR!$BJ$505,IF($S$588=456,PR!$BJ$506,IF($S$588=457,PR!$BJ$507,IF($S$588=458,PR!$BJ$508,IF($S$588=459,PR!$BJ$509,IF($S$588=460,PR!$BJ$510,IF($S$588=461,PR!$BJ$511,IF($S$588=462,PR!$BJ$512,IF($S$588=463,PR!$BJ$513,IF($S$588=464,PR!$BJ$514,IF($S$588=465,PR!$BJ$515,IF($S$588=466,PR!$BJ$516,IF($S$588=467,PR!$BJ$517,IF($S$588=468,PR!$BJ$518,IF($S$588=469,PR!$BJ$521,IF($S$588=470,PR!$BJ$522,IF($S$588=471,PR!$BJ$523,IF($S$588=472,PR!$BJ$524,IF($S$588=473,PR!$BJ$525,IF($S$588=474,PR!$BJ$526,IF($S$588=475,PR!$BJ$527,IF($S$588=476,PR!$BJ$528,IF($S$588=477,PR!$BJ$529,IF($S$588=478,PR!$BJ$530,IF($S$588=479,PR!$BJ$531,IF($S$588=480,PR!$BJ$532,"-"))))))))))))))))))))))))))))))))))))))))))))))))))))))))))))</f>
        <v>0</v>
      </c>
      <c r="J601" s="602">
        <f>IF($S$588=421,PR!$BK$464,IF($S$588=422,PR!$BK$465,IF($S$588=423,PR!$BK$466,IF($S$588=424,PR!$BK$470,IF($S$588=425,PR!$BK$471,IF($S$588=426,PR!$BK$472,IF($S$588=427,PR!$BK$473,IF($S$588=428,PR!$BK$474,IF($S$588=429,PR!$BK$475,IF($S$588=430,PR!$BK$476,IF($S$588=431,PR!$BK$477,IF($S$588=432,PR!$BK$478,IF($S$588=433,PR!$BK$479,IF($S$588=434,PR!$BK$480,IF($S$588=435,PR!$BK$481,IF($S$588=436,PR!$BK$482,IF($S$588=437,PR!$BK$483,IF($S$588=438,PR!$BK$484,IF($S$588=439,PR!$BK$485,IF($S$588=440,PR!$BK$486,IF($S$588=441,PR!$BK$487,IF($S$588=442,PR!$BK$488,IF($S$588=443,PR!$BK$489,IF($S$588=444,PR!$BK$490,IF($S$588=445,PR!$BK$491,IF($S$588=446,PR!$BK$492,IF($S$588=447,PR!$BK$493,IF($S$588=448,PR!$BK$494,IF($S$588=449,PR!$BK$495,IF($S$588=450,PR!$BK$496,IF($S$588=451,PR!$BK$497,IF($S$588=452,PR!$BK$498,IF($S$588=453,PR!$BK$499,IF($S$588=454,PR!$BK$500,IF($S$588=455,PR!$BK$505,IF($S$588=456,PR!$BK$506,IF($S$588=457,PR!$BK$507,IF($S$588=458,PR!$BK$508,IF($S$588=459,PR!$BK$509,IF($S$588=460,PR!$BK$510,IF($S$588=461,PR!$BK$511,IF($S$588=462,PR!$BK$512,IF($S$588=463,PR!$BK$513,IF($S$588=464,PR!$BK$514,IF($S$588=465,PR!$BK$515,IF($S$588=466,PR!$BK$516,IF($S$588=467,PR!$BK$517,IF($S$588=468,PR!$BK$518,IF($S$588=469,PR!$BK$521,IF($S$588=470,PR!$BK$522,IF($S$588=471,PR!$BK$523,IF($S$588=472,PR!$BK$524,IF($S$588=473,PR!$BK$525,IF($S$588=474,PR!$BK$526,IF($S$588=475,PR!$BK$527,IF($S$588=476,PR!$BK$528,IF($S$588=477,PR!$BK$529,IF($S$588=478,PR!$BK$530,IF($S$588=479,PR!$BK$531,IF($S$588=480,PR!$BK$532,"-"))))))))))))))))))))))))))))))))))))))))))))))))))))))))))))</f>
        <v>0</v>
      </c>
      <c r="K601" s="602">
        <f>IF($S$588=421,PR!$BL$464,IF($S$588=422,PR!$BL$465,IF($S$588=423,PR!$BL$466,IF($S$588=424,PR!$BL$470,IF($S$588=425,PR!$BL$471,IF($S$588=426,PR!$BL$472,IF($S$588=427,PR!$BL$473,IF($S$588=428,PR!$BL$474,IF($S$588=429,PR!$BL$475,IF($S$588=430,PR!$BL$476,IF($S$588=431,PR!$BL$477,IF($S$588=432,PR!$BL$478,IF($S$588=433,PR!$BL$479,IF($S$588=434,PR!$BL$480,IF($S$588=435,PR!$BL$481,IF($S$588=436,PR!$BL$482,IF($S$588=437,PR!$BL$483,IF($S$588=438,PR!$BL$484,IF($S$588=439,PR!$BL$485,IF($S$588=440,PR!$BL$486,IF($S$588=441,PR!$BL$487,IF($S$588=442,PR!$BL$488,IF($S$588=443,PR!$BL$489,IF($S$588=444,PR!$BL$490,IF($S$588=445,PR!$BL$491,IF($S$588=446,PR!$BL$492,IF($S$588=447,PR!$BL$493,IF($S$588=448,PR!$BL$494,IF($S$588=449,PR!$BL$495,IF($S$588=450,PR!$BL$496,IF($S$588=451,PR!$BL$497,IF($S$588=452,PR!$BL$498,IF($S$588=453,PR!$BL$499,IF($S$588=454,PR!$BL$500,IF($S$588=455,PR!$BL$505,IF($S$588=456,PR!$BL$506,IF($S$588=457,PR!$BL$507,IF($S$588=458,PR!$BL$508,IF($S$588=459,PR!$BL$509,IF($S$588=460,PR!$BL$510,IF($S$588=461,PR!$BL$511,IF($S$588=462,PR!$BL$512,IF($S$588=463,PR!$BL$513,IF($S$588=464,PR!$BL$514,IF($S$588=465,PR!$BL$515,IF($S$588=466,PR!$BL$516,IF($S$588=467,PR!$BL$517,IF($S$588=468,PR!$BL$518,IF($S$588=469,PR!$BL$521,IF($S$588=470,PR!$BL$522,IF($S$588=471,PR!$BL$523,IF($S$588=472,PR!$BL$524,IF($S$588=473,PR!$BL$525,IF($S$588=474,PR!$BL$526,IF($S$588=475,PR!$BL$527,IF($S$588=476,PR!$BL$528,IF($S$588=477,PR!$BL$529,IF($S$588=478,PR!$BL$530,IF($S$588=479,PR!$BL$531,IF($S$588=480,PR!$BL$532,"-"))))))))))))))))))))))))))))))))))))))))))))))))))))))))))))</f>
        <v>0</v>
      </c>
      <c r="L601" s="602">
        <f>IF($S$588=421,PR!$BM$464,IF($S$588=422,PR!$BM$465,IF($S$588=423,PR!$BM$466,IF($S$588=424,PR!$BM$470,IF($S$588=425,PR!$BM$471,IF($S$588=426,PR!$BM$472,IF($S$588=427,PR!$BM$473,IF($S$588=428,PR!$BM$474,IF($S$588=429,PR!$BM$475,IF($S$588=430,PR!$BM$476,IF($S$588=431,PR!$BM$477,IF($S$588=432,PR!$BM$478,IF($S$588=433,PR!$BM$479,IF($S$588=434,PR!$BM$480,IF($S$588=435,PR!$BM$481,IF($S$588=436,PR!$BM$482,IF($S$588=437,PR!$BM$483,IF($S$588=438,PR!$BM$484,IF($S$588=439,PR!$BM$485,IF($S$588=440,PR!$BM$486,IF($S$588=441,PR!$BM$487,IF($S$588=442,PR!$BM$488,IF($S$588=443,PR!$BM$489,IF($S$588=444,PR!$BM$490,IF($S$588=445,PR!$BM$491,IF($S$588=446,PR!$BM$492,IF($S$588=447,PR!$BM$493,IF($S$588=448,PR!$BM$494,IF($S$588=449,PR!$BM$495,IF($S$588=450,PR!$BM$496,IF($S$588=451,PR!$BM$497,IF($S$588=452,PR!$BM$498,IF($S$588=453,PR!$BM$499,IF($S$588=454,PR!$BM$500,IF($S$588=455,PR!$BM$505,IF($S$588=456,PR!$BM$506,IF($S$588=457,PR!$BM$507,IF($S$588=458,PR!$BM$508,IF($S$588=459,PR!$BM$509,IF($S$588=460,PR!$BM$510,IF($S$588=461,PR!$BM$511,IF($S$588=462,PR!$BM$512,IF($S$588=463,PR!$BM$513,IF($S$588=464,PR!$BM$514,IF($S$588=465,PR!$BM$515,IF($S$588=466,PR!$BM$516,IF($S$588=467,PR!$BM$517,IF($S$588=468,PR!$BM$518,IF($S$588=469,PR!$BM$521,IF($S$588=470,PR!$BM$522,IF($S$588=471,PR!$BM$523,IF($S$588=472,PR!$BM$524,IF($S$588=473,PR!$BM$525,IF($S$588=474,PR!$BM$526,IF($S$588=475,PR!$BM$527,IF($S$588=476,PR!$BM$528,IF($S$588=477,PR!$BM$529,IF($S$588=478,PR!$BM$530,IF($S$588=479,PR!$BM$531,IF($S$588=480,PR!$BM$532,"-"))))))))))))))))))))))))))))))))))))))))))))))))))))))))))))</f>
        <v>0</v>
      </c>
      <c r="M601" s="602">
        <f>IF($S$588=421,PR!$BN$464,IF($S$588=422,PR!$BN$465,IF($S$588=423,PR!$BN$466,IF($S$588=424,PR!$BN$470,IF($S$588=425,PR!$BN$471,IF($S$588=426,PR!$BN$472,IF($S$588=427,PR!$BN$473,IF($S$588=428,PR!$BN$474,IF($S$588=429,PR!$BN$475,IF($S$588=430,PR!$BN$476,IF($S$588=431,PR!$BN$477,IF($S$588=432,PR!$BN$478,IF($S$588=433,PR!$BN$479,IF($S$588=434,PR!$BN$480,IF($S$588=435,PR!$BN$481,IF($S$588=436,PR!$BN$482,IF($S$588=437,PR!$BN$483,IF($S$588=438,PR!$BN$484,IF($S$588=439,PR!$BN$485,IF($S$588=440,PR!$BN$486,IF($S$588=441,PR!$BN$487,IF($S$588=442,PR!$BN$488,IF($S$588=443,PR!$BN$489,IF($S$588=444,PR!$BN$490,IF($S$588=445,PR!$BN$491,IF($S$588=446,PR!$BN$492,IF($S$588=447,PR!$BN$493,IF($S$588=448,PR!$BN$494,IF($S$588=449,PR!$BN$495,IF($S$588=450,PR!$BN$496,IF($S$588=451,PR!$BN$497,IF($S$588=452,PR!$BN$498,IF($S$588=453,PR!$BN$499,IF($S$588=454,PR!$BN$500,IF($S$588=455,PR!$BN$505,IF($S$588=456,PR!$BN$506,IF($S$588=457,PR!$BN$507,IF($S$588=458,PR!$BN$508,IF($S$588=459,PR!$BN$509,IF($S$588=460,PR!$BN$510,IF($S$588=461,PR!$BN$511,IF($S$588=462,PR!$BN$512,IF($S$588=463,PR!$BN$513,IF($S$588=464,PR!$BN$514,IF($S$588=465,PR!$BN$515,IF($S$588=466,PR!$BN$516,IF($S$588=467,PR!$BN$517,IF($S$588=468,PR!$BN$518,IF($S$588=469,PR!$BN$521,IF($S$588=470,PR!$BN$522,IF($S$588=471,PR!$BN$523,IF($S$588=472,PR!$BN$524,IF($S$588=473,PR!$BN$525,IF($S$588=474,PR!$BN$526,IF($S$588=475,PR!$BN$527,IF($S$588=476,PR!$BN$528,IF($S$588=477,PR!$BN$529,IF($S$588=478,PR!$BN$530,IF($S$588=479,PR!$BN$531,IF($S$588=480,PR!$BN$532,"-"))))))))))))))))))))))))))))))))))))))))))))))))))))))))))))</f>
        <v>0</v>
      </c>
      <c r="N601" s="602">
        <f>IF($S$588=421,PR!$BO$464,IF($S$588=422,PR!$BO$465,IF($S$588=423,PR!$BO$466,IF($S$588=424,PR!$BO$470,IF($S$588=425,PR!$BO$471,IF($S$588=426,PR!$BO$472,IF($S$588=427,PR!$BO$473,IF($S$588=428,PR!$BO$474,IF($S$588=429,PR!$BO$475,IF($S$588=430,PR!$BO$476,IF($S$588=431,PR!$BO$477,IF($S$588=432,PR!$BO$478,IF($S$588=433,PR!$BO$479,IF($S$588=434,PR!$BO$480,IF($S$588=435,PR!$BO$481,IF($S$588=436,PR!$BO$482,IF($S$588=437,PR!$BO$483,IF($S$588=438,PR!$BO$484,IF($S$588=439,PR!$BO$485,IF($S$588=440,PR!$BO$486,IF($S$588=441,PR!$BO$487,IF($S$588=442,PR!$BO$488,IF($S$588=443,PR!$BO$489,IF($S$588=444,PR!$BO$490,IF($S$588=445,PR!$BO$491,IF($S$588=446,PR!$BO$492,IF($S$588=447,PR!$BO$493,IF($S$588=448,PR!$BO$494,IF($S$588=449,PR!$BO$495,IF($S$588=450,PR!$BO$496,IF($S$588=451,PR!$BO$497,IF($S$588=452,PR!$BO$498,IF($S$588=453,PR!$BO$499,IF($S$588=454,PR!$BO$500,IF($S$588=455,PR!$BO$505,IF($S$588=456,PR!$BO$506,IF($S$588=457,PR!$BO$507,IF($S$588=458,PR!$BO$508,IF($S$588=459,PR!$BO$509,IF($S$588=460,PR!$BO$510,IF($S$588=461,PR!$BO$511,IF($S$588=462,PR!$BO$512,IF($S$588=463,PR!$BO$513,IF($S$588=464,PR!$BO$514,IF($S$588=465,PR!$BO$515,IF($S$588=466,PR!$BO$516,IF($S$588=467,PR!$BO$517,IF($S$588=468,PR!$BO$518,IF($S$588=469,PR!$BO$521,IF($S$588=470,PR!$BO$522,IF($S$588=471,PR!$BO$523,IF($S$588=472,PR!$BO$524,IF($S$588=473,PR!$BO$525,IF($S$588=474,PR!$BO$526,IF($S$588=475,PR!$BO$527,IF($S$588=476,PR!$BO$528,IF($S$588=477,PR!$BO$529,IF($S$588=478,PR!$BO$530,IF($S$588=479,PR!$BO$531,IF($S$588=480,PR!$BO$532,"-"))))))))))))))))))))))))))))))))))))))))))))))))))))))))))))</f>
        <v>1212.4000000000001</v>
      </c>
      <c r="O601" s="602">
        <f>IF($S$588=421,PR!$BP$464,IF($S$588=422,PR!$BP$465,IF($S$588=423,PR!$BP$466,IF($S$588=424,PR!$BP$470,IF($S$588=425,PR!$BP$471,IF($S$588=426,PR!$BP$472,IF($S$588=427,PR!$BP$473,IF($S$588=428,PR!$BP$474,IF($S$588=429,PR!$BP$475,IF($S$588=430,PR!$BP$476,IF($S$588=431,PR!$BP$477,IF($S$588=432,PR!$BP$478,IF($S$588=433,PR!$BP$479,IF($S$588=434,PR!$BP$480,IF($S$588=435,PR!$BP$481,IF($S$588=436,PR!$BP$482,IF($S$588=437,PR!$BP$483,IF($S$588=438,PR!$BP$484,IF($S$588=439,PR!$BP$485,IF($S$588=440,PR!$BP$486,IF($S$588=441,PR!$BP$487,IF($S$588=442,PR!$BP$488,IF($S$588=443,PR!$BP$489,IF($S$588=444,PR!$BP$490,IF($S$588=445,PR!$BP$491,IF($S$588=446,PR!$BP$492,IF($S$588=447,PR!$BP$493,IF($S$588=448,PR!$BP$494,IF($S$588=449,PR!$BP$495,IF($S$588=450,PR!$BP$496,IF($S$588=451,PR!$BP$497,IF($S$588=452,PR!$BP$498,IF($S$588=453,PR!$BP$499,IF($S$588=454,PR!$BP$500,IF($S$588=455,PR!$BP$505,IF($S$588=456,PR!$BP$506,IF($S$588=457,PR!$BP$507,IF($S$588=458,PR!$BP$508,IF($S$588=459,PR!$BP$509,IF($S$588=460,PR!$BP$510,IF($S$588=461,PR!$BP$511,IF($S$588=462,PR!$BP$512,IF($S$588=463,PR!$BP$513,IF($S$588=464,PR!$BP$514,IF($S$588=465,PR!$BP$515,IF($S$588=466,PR!$BP$516,IF($S$588=467,PR!$BP$517,IF($S$588=468,PR!$BP$518,IF($S$588=469,PR!$BP$521,IF($S$588=470,PR!$BP$522,IF($S$588=471,PR!$BP$523,IF($S$588=472,PR!$BP$524,IF($S$588=473,PR!$BP$525,IF($S$588=474,PR!$BP$526,IF($S$588=475,PR!$BP$527,IF($S$588=476,PR!$BP$528,IF($S$588=477,PR!$BP$529,IF($S$588=478,PR!$BP$530,IF($S$588=479,PR!$BP$531,IF($S$588=480,PR!$BP$532,"-"))))))))))))))))))))))))))))))))))))))))))))))))))))))))))))</f>
        <v>0</v>
      </c>
      <c r="P601" s="602">
        <f>IF($S$588=421,PR!$BQ$464,IF($S$588=422,PR!$BQ$465,IF($S$588=423,PR!$BQ$466,IF($S$588=424,PR!$BQ$470,IF($S$588=425,PR!$BQ$471,IF($S$588=426,PR!$BQ$472,IF($S$588=427,PR!$BQ$473,IF($S$588=428,PR!$BQ$474,IF($S$588=429,PR!$BQ$475,IF($S$588=430,PR!$BQ$476,IF($S$588=431,PR!$BQ$477,IF($S$588=432,PR!$BQ$478,IF($S$588=433,PR!$BQ$479,IF($S$588=434,PR!$BQ$480,IF($S$588=435,PR!$BQ$481,IF($S$588=436,PR!$BQ$482,IF($S$588=437,PR!$BQ$483,IF($S$588=438,PR!$BQ$484,IF($S$588=439,PR!$BQ$485,IF($S$588=440,PR!$BQ$486,IF($S$588=441,PR!$BQ$487,IF($S$588=442,PR!$BQ$488,IF($S$588=443,PR!$BQ$489,IF($S$588=444,PR!$BQ$490,IF($S$588=445,PR!$BQ$491,IF($S$588=446,PR!$BQ$492,IF($S$588=447,PR!$BQ$493,IF($S$588=448,PR!$BQ$494,IF($S$588=449,PR!$BQ$495,IF($S$588=450,PR!$BQ$496,IF($S$588=451,PR!$BQ$497,IF($S$588=452,PR!$BQ$498,IF($S$588=453,PR!$BQ$499,IF($S$588=454,PR!$BQ$500,IF($S$588=455,PR!$BQ$505,IF($S$588=456,PR!$BQ$506,IF($S$588=457,PR!$BQ$507,IF($S$588=458,PR!$BQ$508,IF($S$588=459,PR!$BQ$509,IF($S$588=460,PR!$BQ$510,IF($S$588=461,PR!$BQ$511,IF($S$588=462,PR!$BQ$512,IF($S$588=463,PR!$BQ$513,IF($S$588=464,PR!$BQ$514,IF($S$588=465,PR!$BQ$515,IF($S$588=466,PR!$BQ$516,IF($S$588=467,PR!$BQ$517,IF($S$588=468,PR!$BQ$518,IF($S$588=469,PR!$BQ$521,IF($S$588=470,PR!$BQ$522,IF($S$588=471,PR!$BQ$523,IF($S$588=472,PR!$BQ$524,IF($S$588=473,PR!$BQ$525,IF($S$588=474,PR!$BQ$526,IF($S$588=475,PR!$BQ$527,IF($S$588=476,PR!$BQ$528,IF($S$588=477,PR!$BQ$529,IF($S$588=478,PR!$BQ$530,IF($S$588=479,PR!$BQ$531,IF($S$588=480,PR!$BQ$532,"-"))))))))))))))))))))))))))))))))))))))))))))))))))))))))))))</f>
        <v>0</v>
      </c>
      <c r="Q601" s="602">
        <f>IF($S$588=421,PR!$BR$464,IF($S$588=422,PR!$BR$465,IF($S$588=423,PR!$BR$466,IF($S$588=424,PR!$BR$470,IF($S$588=425,PR!$BR$471,IF($S$588=426,PR!$BR$472,IF($S$588=427,PR!$BR$473,IF($S$588=428,PR!$BR$474,IF($S$588=429,PR!$BR$475,IF($S$588=430,PR!$BR$476,IF($S$588=431,PR!$BR$477,IF($S$588=432,PR!$BR$478,IF($S$588=433,PR!$BR$479,IF($S$588=434,PR!$BR$480,IF($S$588=435,PR!$BR$481,IF($S$588=436,PR!$BR$482,IF($S$588=437,PR!$BR$483,IF($S$588=438,PR!$BR$484,IF($S$588=439,PR!$BR$485,IF($S$588=440,PR!$BR$486,IF($S$588=441,PR!$BR$487,IF($S$588=442,PR!$BR$488,IF($S$588=443,PR!$BR$489,IF($S$588=444,PR!$BR$490,IF($S$588=445,PR!$BR$491,IF($S$588=446,PR!$BR$492,IF($S$588=447,PR!$BR$493,IF($S$588=448,PR!$BR$494,IF($S$588=449,PR!$BR$495,IF($S$588=450,PR!$BR$496,IF($S$588=451,PR!$BR$497,IF($S$588=452,PR!$BR$498,IF($S$588=453,PR!$BR$499,IF($S$588=454,PR!$BR$500,IF($S$588=455,PR!$BR$505,IF($S$588=456,PR!$BR$506,IF($S$588=457,PR!$BR$507,IF($S$588=458,PR!$BR$508,IF($S$588=459,PR!$BR$509,IF($S$588=460,PR!$BR$510,IF($S$588=461,PR!$BR$511,IF($S$588=462,PR!$BR$512,IF($S$588=463,PR!$BR$513,IF($S$588=464,PR!$BR$514,IF($S$588=465,PR!$BR$515,IF($S$588=466,PR!$BR$516,IF($S$588=467,PR!$BR$517,IF($S$588=468,PR!$BR$518,IF($S$588=469,PR!$BR$521,IF($S$588=470,PR!$BR$522,IF($S$588=471,PR!$BR$523,IF($S$588=472,PR!$BR$524,IF($S$588=473,PR!$BR$525,IF($S$588=474,PR!$BR$526,IF($S$588=475,PR!$BR$527,IF($S$588=476,PR!$BR$528,IF($S$588=477,PR!$BR$529,IF($S$588=478,PR!$BR$530,IF($S$588=479,PR!$BR$531,IF($S$588=480,PR!$BR$532,"-"))))))))))))))))))))))))))))))))))))))))))))))))))))))))))))</f>
        <v>0</v>
      </c>
      <c r="R601" s="602">
        <f>IF($S$588=421,PR!$BS$464,IF($S$588=422,PR!$BS$465,IF($S$588=423,PR!$BS$466,IF($S$588=424,PR!$BS$470,IF($S$588=425,PR!$BS$471,IF($S$588=426,PR!$BS$472,IF($S$588=427,PR!$BS$473,IF($S$588=428,PR!$BS$474,IF($S$588=429,PR!$BS$475,IF($S$588=430,PR!$BS$476,IF($S$588=431,PR!$BS$477,IF($S$588=432,PR!$BS$478,IF($S$588=433,PR!$BS$479,IF($S$588=434,PR!$BS$480,IF($S$588=435,PR!$BS$481,IF($S$588=436,PR!$BS$482,IF($S$588=437,PR!$BS$483,IF($S$588=438,PR!$BS$484,IF($S$588=439,PR!$BS$485,IF($S$588=440,PR!$BS$486,IF($S$588=441,PR!$BS$487,IF($S$588=442,PR!$BS$488,IF($S$588=443,PR!$BS$489,IF($S$588=444,PR!$BS$490,IF($S$588=445,PR!$BS$491,IF($S$588=446,PR!$BS$492,IF($S$588=447,PR!$BS$493,IF($S$588=448,PR!$BS$494,IF($S$588=449,PR!$BS$495,IF($S$588=450,PR!$BS$496,IF($S$588=451,PR!$BS$497,IF($S$588=452,PR!$BS$498,IF($S$588=453,PR!$BS$499,IF($S$588=454,PR!$BS$500,IF($S$588=455,PR!$BS$505,IF($S$588=456,PR!$BS$506,IF($S$588=457,PR!$BS$507,IF($S$588=458,PR!$BS$508,IF($S$588=459,PR!$BS$509,IF($S$588=460,PR!$BS$510,IF($S$588=461,PR!$BS$511,IF($S$588=462,PR!$BS$512,IF($S$588=463,PR!$BS$513,IF($S$588=464,PR!$BS$514,IF($S$588=465,PR!$BS$515,IF($S$588=466,PR!$BS$516,IF($S$588=467,PR!$BS$517,IF($S$588=468,PR!$BS$518,IF($S$588=469,PR!$BS$521,IF($S$588=470,PR!$BS$522,IF($S$588=471,PR!$BS$523,IF($S$588=472,PR!$BS$524,IF($S$588=473,PR!$BS$525,IF($S$588=474,PR!$BS$526,IF($S$588=475,PR!$BS$527,IF($S$588=476,PR!$BS$528,IF($S$588=477,PR!$BS$529,IF($S$588=478,PR!$BS$530,IF($S$588=479,PR!$BS$531,IF($S$588=480,PR!$BS$532,"-"))))))))))))))))))))))))))))))))))))))))))))))))))))))))))))</f>
        <v>0</v>
      </c>
      <c r="S601" s="604"/>
      <c r="T601" s="580"/>
      <c r="U601" s="580"/>
      <c r="V601" s="32"/>
      <c r="W601" s="32"/>
      <c r="X601" s="32"/>
      <c r="Y601" s="32"/>
      <c r="Z601" s="32"/>
    </row>
    <row r="602" spans="1:26" ht="6.75" customHeight="1" x14ac:dyDescent="0.25">
      <c r="A602" s="91"/>
      <c r="B602" s="580"/>
      <c r="C602" s="593"/>
      <c r="D602" s="580"/>
      <c r="E602" s="580"/>
      <c r="F602" s="580"/>
      <c r="G602" s="580"/>
      <c r="H602" s="580"/>
      <c r="I602" s="580"/>
      <c r="J602" s="580"/>
      <c r="K602" s="580"/>
      <c r="L602" s="580"/>
      <c r="M602" s="580"/>
      <c r="N602" s="580"/>
      <c r="O602" s="580"/>
      <c r="P602" s="580"/>
      <c r="Q602" s="580"/>
      <c r="R602" s="583"/>
      <c r="S602" s="580"/>
      <c r="T602" s="580"/>
      <c r="U602" s="580"/>
      <c r="V602" s="32"/>
      <c r="W602" s="32"/>
      <c r="X602" s="32"/>
      <c r="Y602" s="32"/>
      <c r="Z602" s="32"/>
    </row>
    <row r="603" spans="1:26" ht="30" x14ac:dyDescent="0.25">
      <c r="A603" s="91"/>
      <c r="B603" s="580"/>
      <c r="C603" s="593"/>
      <c r="D603" s="580"/>
      <c r="E603" s="580"/>
      <c r="F603" s="580"/>
      <c r="G603" s="580"/>
      <c r="H603" s="580"/>
      <c r="I603" s="580"/>
      <c r="J603" s="580"/>
      <c r="K603" s="597" t="s">
        <v>783</v>
      </c>
      <c r="L603" s="598" t="s">
        <v>418</v>
      </c>
      <c r="M603" s="598" t="s">
        <v>419</v>
      </c>
      <c r="N603" s="599" t="s">
        <v>420</v>
      </c>
      <c r="O603" s="580"/>
      <c r="P603" s="580"/>
      <c r="Q603" s="580"/>
      <c r="R603" s="580"/>
      <c r="S603" s="580"/>
      <c r="T603" s="580"/>
      <c r="U603" s="580"/>
      <c r="V603" s="32"/>
      <c r="W603" s="32"/>
      <c r="X603" s="32"/>
      <c r="Y603" s="32"/>
      <c r="Z603" s="32"/>
    </row>
    <row r="604" spans="1:26" x14ac:dyDescent="0.25">
      <c r="A604" s="91"/>
      <c r="B604" s="580"/>
      <c r="C604" s="593"/>
      <c r="D604" s="580"/>
      <c r="E604" s="580"/>
      <c r="F604" s="580"/>
      <c r="G604" s="580"/>
      <c r="H604" s="580"/>
      <c r="I604" s="580"/>
      <c r="J604" s="580"/>
      <c r="K604" s="583" t="s">
        <v>785</v>
      </c>
      <c r="L604" s="580"/>
      <c r="M604" s="580"/>
      <c r="N604" s="580"/>
      <c r="O604" s="580"/>
      <c r="P604" s="580"/>
      <c r="Q604" s="580"/>
      <c r="R604" s="580"/>
      <c r="S604" s="580"/>
      <c r="T604" s="580"/>
      <c r="U604" s="580"/>
      <c r="V604" s="32"/>
      <c r="W604" s="32"/>
      <c r="X604" s="32"/>
      <c r="Y604" s="32"/>
      <c r="Z604" s="32"/>
    </row>
    <row r="605" spans="1:26" x14ac:dyDescent="0.25">
      <c r="A605" s="32"/>
      <c r="B605" s="32"/>
      <c r="C605" s="96"/>
      <c r="D605" s="32"/>
      <c r="E605" s="32"/>
      <c r="F605" s="32"/>
      <c r="G605" s="32"/>
      <c r="H605" s="32"/>
      <c r="I605" s="32"/>
      <c r="J605" s="32"/>
      <c r="K605" s="97">
        <v>421</v>
      </c>
      <c r="L605" s="98" t="s">
        <v>821</v>
      </c>
      <c r="M605" s="99" t="s">
        <v>618</v>
      </c>
      <c r="N605" s="100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x14ac:dyDescent="0.25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97">
        <f>1+K605</f>
        <v>422</v>
      </c>
      <c r="L606" s="98"/>
      <c r="M606" s="99"/>
      <c r="N606" s="100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x14ac:dyDescent="0.25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97">
        <f t="shared" ref="K607:K664" si="8">1+K606</f>
        <v>423</v>
      </c>
      <c r="L607" s="98" t="s">
        <v>821</v>
      </c>
      <c r="M607" s="99" t="s">
        <v>615</v>
      </c>
      <c r="N607" s="100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x14ac:dyDescent="0.25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97">
        <f t="shared" si="8"/>
        <v>424</v>
      </c>
      <c r="L608" s="98" t="s">
        <v>821</v>
      </c>
      <c r="M608" s="99"/>
      <c r="N608" s="100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x14ac:dyDescent="0.25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97">
        <f t="shared" si="8"/>
        <v>425</v>
      </c>
      <c r="L609" s="98"/>
      <c r="M609" s="99"/>
      <c r="N609" s="100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x14ac:dyDescent="0.25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97">
        <f t="shared" si="8"/>
        <v>426</v>
      </c>
      <c r="L610" s="98" t="s">
        <v>622</v>
      </c>
      <c r="M610" s="99" t="s">
        <v>821</v>
      </c>
      <c r="N610" s="100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x14ac:dyDescent="0.25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97">
        <f t="shared" si="8"/>
        <v>427</v>
      </c>
      <c r="L611" s="98" t="s">
        <v>1235</v>
      </c>
      <c r="M611" s="99" t="s">
        <v>1446</v>
      </c>
      <c r="N611" s="100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x14ac:dyDescent="0.25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97">
        <f t="shared" si="8"/>
        <v>428</v>
      </c>
      <c r="L612" s="98" t="s">
        <v>1235</v>
      </c>
      <c r="M612" s="99"/>
      <c r="N612" s="100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x14ac:dyDescent="0.25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97">
        <f t="shared" si="8"/>
        <v>429</v>
      </c>
      <c r="L613" s="98" t="s">
        <v>621</v>
      </c>
      <c r="M613" s="99" t="s">
        <v>1448</v>
      </c>
      <c r="N613" s="100" t="s">
        <v>821</v>
      </c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x14ac:dyDescent="0.25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97">
        <f t="shared" si="8"/>
        <v>430</v>
      </c>
      <c r="L614" s="98" t="s">
        <v>621</v>
      </c>
      <c r="M614" s="99" t="s">
        <v>1243</v>
      </c>
      <c r="N614" s="100" t="s">
        <v>632</v>
      </c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x14ac:dyDescent="0.2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97">
        <f t="shared" si="8"/>
        <v>431</v>
      </c>
      <c r="L615" s="98" t="s">
        <v>632</v>
      </c>
      <c r="M615" s="99"/>
      <c r="N615" s="100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x14ac:dyDescent="0.25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97">
        <f t="shared" si="8"/>
        <v>432</v>
      </c>
      <c r="L616" s="98" t="s">
        <v>630</v>
      </c>
      <c r="M616" s="99" t="s">
        <v>2072</v>
      </c>
      <c r="N616" s="100" t="s">
        <v>821</v>
      </c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x14ac:dyDescent="0.25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97">
        <f t="shared" si="8"/>
        <v>433</v>
      </c>
      <c r="L617" s="98" t="s">
        <v>821</v>
      </c>
      <c r="M617" s="99" t="s">
        <v>387</v>
      </c>
      <c r="N617" s="100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x14ac:dyDescent="0.25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97">
        <f t="shared" si="8"/>
        <v>434</v>
      </c>
      <c r="L618" s="98" t="s">
        <v>821</v>
      </c>
      <c r="M618" s="99" t="s">
        <v>1450</v>
      </c>
      <c r="N618" s="100" t="s">
        <v>620</v>
      </c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x14ac:dyDescent="0.25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97">
        <f t="shared" si="8"/>
        <v>435</v>
      </c>
      <c r="L619" s="98" t="s">
        <v>821</v>
      </c>
      <c r="M619" s="99" t="s">
        <v>1235</v>
      </c>
      <c r="N619" s="100" t="s">
        <v>614</v>
      </c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x14ac:dyDescent="0.25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97">
        <f t="shared" si="8"/>
        <v>436</v>
      </c>
      <c r="L620" s="98" t="s">
        <v>821</v>
      </c>
      <c r="M620" s="99"/>
      <c r="N620" s="100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x14ac:dyDescent="0.25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97">
        <f t="shared" si="8"/>
        <v>437</v>
      </c>
      <c r="L621" s="98" t="s">
        <v>620</v>
      </c>
      <c r="M621" s="99"/>
      <c r="N621" s="100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x14ac:dyDescent="0.25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97">
        <f t="shared" si="8"/>
        <v>438</v>
      </c>
      <c r="L622" s="98" t="s">
        <v>821</v>
      </c>
      <c r="M622" s="99"/>
      <c r="N622" s="100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x14ac:dyDescent="0.25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97">
        <f t="shared" si="8"/>
        <v>439</v>
      </c>
      <c r="L623" s="98" t="s">
        <v>1231</v>
      </c>
      <c r="M623" s="99" t="s">
        <v>821</v>
      </c>
      <c r="N623" s="100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x14ac:dyDescent="0.25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97">
        <f t="shared" si="8"/>
        <v>440</v>
      </c>
      <c r="L624" s="98" t="s">
        <v>821</v>
      </c>
      <c r="M624" s="99" t="s">
        <v>1448</v>
      </c>
      <c r="N624" s="100" t="s">
        <v>818</v>
      </c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x14ac:dyDescent="0.2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97">
        <f t="shared" si="8"/>
        <v>441</v>
      </c>
      <c r="L625" s="98" t="s">
        <v>632</v>
      </c>
      <c r="M625" s="99"/>
      <c r="N625" s="100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x14ac:dyDescent="0.25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97">
        <f t="shared" si="8"/>
        <v>442</v>
      </c>
      <c r="L626" s="98" t="s">
        <v>821</v>
      </c>
      <c r="M626" s="99" t="s">
        <v>631</v>
      </c>
      <c r="N626" s="100" t="s">
        <v>620</v>
      </c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x14ac:dyDescent="0.25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97">
        <f t="shared" si="8"/>
        <v>443</v>
      </c>
      <c r="L627" s="98" t="s">
        <v>615</v>
      </c>
      <c r="M627" s="99" t="s">
        <v>635</v>
      </c>
      <c r="N627" s="100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x14ac:dyDescent="0.25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97">
        <f t="shared" si="8"/>
        <v>444</v>
      </c>
      <c r="L628" s="98" t="s">
        <v>821</v>
      </c>
      <c r="M628" s="99" t="s">
        <v>820</v>
      </c>
      <c r="N628" s="100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x14ac:dyDescent="0.25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97">
        <f t="shared" si="8"/>
        <v>445</v>
      </c>
      <c r="L629" s="98" t="s">
        <v>820</v>
      </c>
      <c r="M629" s="99"/>
      <c r="N629" s="100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x14ac:dyDescent="0.25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97">
        <f t="shared" si="8"/>
        <v>446</v>
      </c>
      <c r="L630" s="98" t="s">
        <v>630</v>
      </c>
      <c r="M630" s="99" t="s">
        <v>1235</v>
      </c>
      <c r="N630" s="100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x14ac:dyDescent="0.25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97">
        <f t="shared" si="8"/>
        <v>447</v>
      </c>
      <c r="L631" s="98"/>
      <c r="M631" s="99"/>
      <c r="N631" s="100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x14ac:dyDescent="0.25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97">
        <f t="shared" si="8"/>
        <v>448</v>
      </c>
      <c r="L632" s="98" t="s">
        <v>622</v>
      </c>
      <c r="M632" s="99" t="s">
        <v>821</v>
      </c>
      <c r="N632" s="100" t="s">
        <v>632</v>
      </c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x14ac:dyDescent="0.25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97">
        <f t="shared" si="8"/>
        <v>449</v>
      </c>
      <c r="L633" s="98" t="s">
        <v>621</v>
      </c>
      <c r="M633" s="99" t="s">
        <v>816</v>
      </c>
      <c r="N633" s="100" t="s">
        <v>821</v>
      </c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x14ac:dyDescent="0.25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97">
        <f t="shared" si="8"/>
        <v>450</v>
      </c>
      <c r="L634" s="98"/>
      <c r="M634" s="99"/>
      <c r="N634" s="100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x14ac:dyDescent="0.2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97">
        <f t="shared" si="8"/>
        <v>451</v>
      </c>
      <c r="L635" s="98"/>
      <c r="M635" s="99"/>
      <c r="N635" s="100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x14ac:dyDescent="0.25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97">
        <f t="shared" si="8"/>
        <v>452</v>
      </c>
      <c r="L636" s="98" t="s">
        <v>816</v>
      </c>
      <c r="M636" s="99" t="s">
        <v>618</v>
      </c>
      <c r="N636" s="100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x14ac:dyDescent="0.25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97">
        <f t="shared" si="8"/>
        <v>453</v>
      </c>
      <c r="L637" s="98" t="s">
        <v>618</v>
      </c>
      <c r="M637" s="99"/>
      <c r="N637" s="100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x14ac:dyDescent="0.25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97">
        <f t="shared" si="8"/>
        <v>454</v>
      </c>
      <c r="L638" s="98" t="s">
        <v>614</v>
      </c>
      <c r="M638" s="99"/>
      <c r="N638" s="100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x14ac:dyDescent="0.25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97">
        <f t="shared" si="8"/>
        <v>455</v>
      </c>
      <c r="L639" s="98" t="s">
        <v>821</v>
      </c>
      <c r="M639" s="99" t="s">
        <v>634</v>
      </c>
      <c r="N639" s="100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x14ac:dyDescent="0.25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97">
        <f t="shared" si="8"/>
        <v>456</v>
      </c>
      <c r="L640" s="98" t="s">
        <v>821</v>
      </c>
      <c r="M640" s="99"/>
      <c r="N640" s="100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x14ac:dyDescent="0.25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97">
        <f t="shared" si="8"/>
        <v>457</v>
      </c>
      <c r="L641" s="98"/>
      <c r="M641" s="99"/>
      <c r="N641" s="100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x14ac:dyDescent="0.25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97">
        <f t="shared" si="8"/>
        <v>458</v>
      </c>
      <c r="L642" s="98" t="s">
        <v>837</v>
      </c>
      <c r="M642" s="99" t="s">
        <v>1231</v>
      </c>
      <c r="N642" s="100" t="s">
        <v>821</v>
      </c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x14ac:dyDescent="0.25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97">
        <f t="shared" si="8"/>
        <v>459</v>
      </c>
      <c r="L643" s="98" t="s">
        <v>837</v>
      </c>
      <c r="M643" s="99" t="s">
        <v>821</v>
      </c>
      <c r="N643" s="100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x14ac:dyDescent="0.25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97">
        <f t="shared" si="8"/>
        <v>460</v>
      </c>
      <c r="L644" s="98" t="s">
        <v>1231</v>
      </c>
      <c r="M644" s="99" t="s">
        <v>837</v>
      </c>
      <c r="N644" s="100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x14ac:dyDescent="0.2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97">
        <f t="shared" si="8"/>
        <v>461</v>
      </c>
      <c r="L645" s="98" t="s">
        <v>837</v>
      </c>
      <c r="M645" s="99" t="s">
        <v>1231</v>
      </c>
      <c r="N645" s="100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x14ac:dyDescent="0.25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97">
        <f t="shared" si="8"/>
        <v>462</v>
      </c>
      <c r="L646" s="98" t="s">
        <v>837</v>
      </c>
      <c r="M646" s="99" t="s">
        <v>1231</v>
      </c>
      <c r="N646" s="100" t="s">
        <v>821</v>
      </c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x14ac:dyDescent="0.25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97">
        <f t="shared" si="8"/>
        <v>463</v>
      </c>
      <c r="L647" s="98" t="s">
        <v>821</v>
      </c>
      <c r="M647" s="99"/>
      <c r="N647" s="100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x14ac:dyDescent="0.25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97">
        <f t="shared" si="8"/>
        <v>464</v>
      </c>
      <c r="L648" s="98" t="s">
        <v>821</v>
      </c>
      <c r="M648" s="99"/>
      <c r="N648" s="100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x14ac:dyDescent="0.25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97">
        <f t="shared" si="8"/>
        <v>465</v>
      </c>
      <c r="L649" s="98" t="s">
        <v>821</v>
      </c>
      <c r="M649" s="99" t="s">
        <v>837</v>
      </c>
      <c r="N649" s="100" t="s">
        <v>1231</v>
      </c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x14ac:dyDescent="0.25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97">
        <f t="shared" si="8"/>
        <v>466</v>
      </c>
      <c r="L650" s="98" t="s">
        <v>821</v>
      </c>
      <c r="M650" s="99" t="s">
        <v>634</v>
      </c>
      <c r="N650" s="100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x14ac:dyDescent="0.25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97">
        <f t="shared" si="8"/>
        <v>467</v>
      </c>
      <c r="L651" s="98" t="s">
        <v>821</v>
      </c>
      <c r="M651" s="99" t="s">
        <v>634</v>
      </c>
      <c r="N651" s="100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x14ac:dyDescent="0.25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97">
        <f t="shared" si="8"/>
        <v>468</v>
      </c>
      <c r="L652" s="98" t="s">
        <v>631</v>
      </c>
      <c r="M652" s="99" t="s">
        <v>630</v>
      </c>
      <c r="N652" s="100" t="s">
        <v>1235</v>
      </c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x14ac:dyDescent="0.25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97">
        <f t="shared" si="8"/>
        <v>469</v>
      </c>
      <c r="L653" s="98" t="s">
        <v>821</v>
      </c>
      <c r="M653" s="99" t="s">
        <v>634</v>
      </c>
      <c r="N653" s="100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x14ac:dyDescent="0.25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97">
        <f t="shared" si="8"/>
        <v>470</v>
      </c>
      <c r="L654" s="98" t="s">
        <v>631</v>
      </c>
      <c r="M654" s="99" t="s">
        <v>821</v>
      </c>
      <c r="N654" s="100" t="s">
        <v>627</v>
      </c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x14ac:dyDescent="0.2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97">
        <f t="shared" si="8"/>
        <v>471</v>
      </c>
      <c r="L655" s="98" t="s">
        <v>821</v>
      </c>
      <c r="M655" s="99" t="s">
        <v>630</v>
      </c>
      <c r="N655" s="100" t="s">
        <v>618</v>
      </c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x14ac:dyDescent="0.25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97">
        <f t="shared" si="8"/>
        <v>472</v>
      </c>
      <c r="L656" s="98" t="s">
        <v>614</v>
      </c>
      <c r="M656" s="99" t="s">
        <v>622</v>
      </c>
      <c r="N656" s="100" t="s">
        <v>821</v>
      </c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x14ac:dyDescent="0.25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97">
        <f t="shared" si="8"/>
        <v>473</v>
      </c>
      <c r="L657" s="98" t="s">
        <v>616</v>
      </c>
      <c r="M657" s="99" t="s">
        <v>633</v>
      </c>
      <c r="N657" s="100" t="s">
        <v>627</v>
      </c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x14ac:dyDescent="0.25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97">
        <f t="shared" si="8"/>
        <v>474</v>
      </c>
      <c r="L658" s="98" t="s">
        <v>821</v>
      </c>
      <c r="M658" s="99"/>
      <c r="N658" s="100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x14ac:dyDescent="0.25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97">
        <f t="shared" si="8"/>
        <v>475</v>
      </c>
      <c r="L659" s="98" t="s">
        <v>1231</v>
      </c>
      <c r="M659" s="99"/>
      <c r="N659" s="100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x14ac:dyDescent="0.25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97">
        <f t="shared" si="8"/>
        <v>476</v>
      </c>
      <c r="L660" s="98"/>
      <c r="M660" s="99"/>
      <c r="N660" s="100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x14ac:dyDescent="0.25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97">
        <f t="shared" si="8"/>
        <v>477</v>
      </c>
      <c r="L661" s="98" t="s">
        <v>821</v>
      </c>
      <c r="M661" s="99" t="s">
        <v>633</v>
      </c>
      <c r="N661" s="100" t="s">
        <v>614</v>
      </c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x14ac:dyDescent="0.25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97">
        <f t="shared" si="8"/>
        <v>478</v>
      </c>
      <c r="L662" s="98" t="s">
        <v>821</v>
      </c>
      <c r="M662" s="99" t="s">
        <v>633</v>
      </c>
      <c r="N662" s="100" t="s">
        <v>614</v>
      </c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x14ac:dyDescent="0.25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97">
        <f t="shared" si="8"/>
        <v>479</v>
      </c>
      <c r="L663" s="98" t="s">
        <v>821</v>
      </c>
      <c r="M663" s="99" t="s">
        <v>630</v>
      </c>
      <c r="N663" s="100" t="s">
        <v>635</v>
      </c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x14ac:dyDescent="0.25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97">
        <f t="shared" si="8"/>
        <v>480</v>
      </c>
      <c r="L664" s="98" t="s">
        <v>632</v>
      </c>
      <c r="M664" s="99" t="s">
        <v>821</v>
      </c>
      <c r="N664" s="100" t="s">
        <v>1231</v>
      </c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x14ac:dyDescent="0.2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x14ac:dyDescent="0.25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x14ac:dyDescent="0.25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x14ac:dyDescent="0.25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x14ac:dyDescent="0.25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x14ac:dyDescent="0.25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x14ac:dyDescent="0.25">
      <c r="A671" s="32"/>
      <c r="B671" s="580"/>
      <c r="C671" s="580"/>
      <c r="D671" s="580"/>
      <c r="E671" s="580"/>
      <c r="F671" s="607"/>
      <c r="G671" s="608"/>
      <c r="H671" s="580"/>
      <c r="I671" s="580"/>
      <c r="J671" s="607" t="s">
        <v>808</v>
      </c>
      <c r="K671" s="580"/>
      <c r="L671" s="580"/>
      <c r="M671" s="580"/>
      <c r="N671" s="580"/>
      <c r="O671" s="580"/>
      <c r="P671" s="580"/>
      <c r="Q671" s="580"/>
      <c r="R671" s="583"/>
      <c r="S671" s="580"/>
      <c r="T671" s="580"/>
      <c r="U671" s="580"/>
      <c r="V671" s="32"/>
      <c r="W671" s="32"/>
      <c r="X671" s="32"/>
      <c r="Y671" s="32"/>
      <c r="Z671" s="32"/>
    </row>
    <row r="672" spans="1:26" ht="36.75" thickBot="1" x14ac:dyDescent="0.6">
      <c r="A672" s="92"/>
      <c r="B672" s="579"/>
      <c r="C672" s="580"/>
      <c r="D672" s="580"/>
      <c r="E672" s="580"/>
      <c r="F672" s="580"/>
      <c r="G672" s="580"/>
      <c r="H672" s="581" t="str">
        <f>IF($S$673&gt;=1055,"LOT 21 LABORATORY REQUIREMENT - OBADA ANNEX",IF($S$673&gt;=1039,"LOT 21 - LABORATORY REQUIREMENT - SHAJE ANNEX",IF($S$673&gt;=981,"LOT 20 - LABORATORY - CHEMICAL PATHOLOGY",IF($S$673&gt;=974,"LOT 19 - MICROBIOLOGY - INFECTION CONTROL",IF($S$673&gt;=957,"LOT 19 - MICROBIOLOGY - SENSITIVITY DISCS",IF($S$673&gt;=902,"LOT 18 - MICROBIOLOGY - REAGENT KITS",IF($S$673&gt;=846,"LOT 17 - HISTOPATHOLOGY",IF($S$673&gt;=760,"LOT 16 - HAEMATOLOGY",IF($S$673&gt;=722,"LOT 15 - THEATRE DEPARTMENT",IF($S$673&gt;=709,"LOT 14 - RADIOLOGY DEPARTMENT",IF($S$673&gt;=702,"LOT 13 - PHARMACY - CONSUMABLES - SUTURES",IF($S$673&gt;=684,"LOT 13 - PHARMACY - CONSUMABLES",IF($S$673&gt;=669,"LOT 13 PHARMACY - DISINFECTANTS",IF($S$673&gt;=651,"LOT 13 - PHARMACY - DERMATOLOGICAL PREPARATIONS",IF($S$673&gt;=570,"LOT 13 - PHARMACY - DRESSINGS/CONSUMABLES",IF($S$673&gt;=539,"LOT 12 - PHARMACY - ONCOLOGY DRUGS",IF($S$673&gt;=494,"LOT 11 - PHARMACY - EYE/EAR MEDICATIONS",IF($S$673&gt;=455,"LOT 10 - PHARMACY - RESPIRATORY TRACT DRUGS",IF($S$673&gt;=424,"LOT 9 - PHARMACY GASTROINTESTINAL DRUGS",IF($S$673&gt;=381,"LOT 8 - PHARMACY -OBSTETRICS/GYNAECOLOGY DRUGS",IF($S$673&gt;=351,"LOT 7 - PHARMACY - HYPNOSEDATIVE DRUGS",IF($S$673&gt;=285,"LOT 6 PHARMACY - BLOOD &amp; NUTRITIONAL DRUGS",IF($S$673&gt;=194,"LOT 5 - I589PHARMACY - ANTI-INFECTIVE AGENTS",IF($S$673&gt;=142,"LOT 4 - PHARMACY - ANTI-INFLAMMATORY/ANTI-PYRETIC/ANALGESICS",IF($S$673&gt;=118,"LOT 3 - PHARMACY - ORAL HYPOGLYCAEMIC DRUGS",IF($S$673&gt;=34,"LOT 3 - PHARMACY - ANTI-HYPERTENSIVES",IF($S$673&gt;=19,"LOT 2 - PHARMACY - STERILE INTRAVENOUS FLUIDS",IF($S$673&gt;=1,"LOT 1 - PHARMACY - ANTI-MALARIALS","-"))))))))))))))))))))))))))))</f>
        <v>LOT 10 - PHARMACY - RESPIRATORY TRACT DRUGS</v>
      </c>
      <c r="I672" s="582"/>
      <c r="J672" s="580"/>
      <c r="K672" s="580"/>
      <c r="L672" s="580"/>
      <c r="M672" s="580"/>
      <c r="N672" s="580"/>
      <c r="O672" s="580"/>
      <c r="P672" s="580"/>
      <c r="Q672" s="580"/>
      <c r="R672" s="583"/>
      <c r="S672" s="580"/>
      <c r="T672" s="580"/>
      <c r="U672" s="580"/>
      <c r="V672" s="32"/>
      <c r="W672" s="32"/>
      <c r="X672" s="32"/>
      <c r="Y672" s="32"/>
      <c r="Z672" s="32"/>
    </row>
    <row r="673" spans="1:26" ht="39" customHeight="1" thickBot="1" x14ac:dyDescent="0.7">
      <c r="A673" s="95" t="s">
        <v>779</v>
      </c>
      <c r="B673" s="609"/>
      <c r="C673" s="610" t="str">
        <f>IF($S$673=481,PR!$B$533,IF($S$673=482,PR!$B$534,IF($S$673=483,PR!$B$535,IF($S$673=484,PR!$B$536,IF($S$673=485,PR!$B$537,IF($S$673=486,PR!$B$538,IF($S$673=487,PR!$B$539,IF($S$673=488,PR!$B$540,IF($S$673=489,PR!$B$541,IF($S$673=490,PR!$B$542,IF($S$673=491,PR!$B$543,IF($S$673=492,PR!$B$544,IF($S$673=493,PR!$B$545,IF($S$673=494,PR!$B$549,IF($S$673=495,PR!$B$550,IF($S$673=496,PR!$B$551,IF($S$673=497,PR!$B$552,IF($S$673=498,PR!$B$553,IF($S$673=499,PR!$B$554,IF($S$673=500,PR!$B$555,IF($S$673=501,PR!$B$556,IF($S$673=502,PR!$B$557,IF($S$673=503,PR!$B$558,IF($S$673=504,PR!$B$559,IF($S$673=505,PR!$B$560,IF($S$673=506,PR!$B$561,IF($S$673=507,PR!$B$562,IF($S$673=508,PR!$B$563,IF($S$673=509,PR!$B$564,IF($S$673=510,PR!$B$565,IF($S$673=511,PR!$B$566,IF($S$673=512,PR!$B$567,IF($S$673=513,PR!$B$568,IF($S$673=514,PR!$B$569,IF($S$673=515,PR!$B$570,IF($S$673=516,PR!$B$571,IF($S$673=517,PR!$B$572,IF($S$673=518,PR!$B$573,IF($S$673=519,PR!$B$574,IF($S$673=520,PR!$B$575,IF($S$673=521,PR!$B$576,IF($S$673=522,PR!$B$577,IF($S$673=523,PR!$B$578,IF($S$673=524,PR!$B$579,IF($S$673=525,PR!$B$580,IF($S$673=526,PR!$B$581,IF($S$673=527,PR!$B$582,IF($S$673=528,PR!$B$583,IF($S$673=529,PR!$B$584,IF($S$673=530,PR!$B$585,IF($S$673=531,PR!$B$586,IF($S$673=532,PR!$B$587,IF($S$673=533,PR!$B$588,IF($S$673=534,PR!$B$589,IF($S$673=535,PR!$B$590,IF($S$673=536,PR!$B$591,IF($S$673=537,PR!$B$592,IF($S$673=538,PR!$B$593,IF($S$673=539,PR!$B$597,IF($S$673=540,PR!$B$598,"-"))))))))))))))))))))))))))))))))))))))))))))))))))))))))))))</f>
        <v>HYDROCORTISONE 100MG INJ</v>
      </c>
      <c r="D673" s="611"/>
      <c r="E673" s="611"/>
      <c r="F673" s="611"/>
      <c r="G673" s="611"/>
      <c r="H673" s="611"/>
      <c r="I673" s="611"/>
      <c r="J673" s="611"/>
      <c r="K673" s="611"/>
      <c r="L673" s="611"/>
      <c r="M673" s="611"/>
      <c r="N673" s="611"/>
      <c r="O673" s="622"/>
      <c r="P673" s="623"/>
      <c r="Q673" s="612"/>
      <c r="R673" s="605"/>
      <c r="S673" s="621">
        <v>483</v>
      </c>
      <c r="T673" s="604"/>
      <c r="U673" s="580"/>
      <c r="V673" s="32"/>
      <c r="W673" s="32"/>
      <c r="X673" s="32"/>
      <c r="Y673" s="32"/>
      <c r="Z673" s="32"/>
    </row>
    <row r="674" spans="1:26" ht="30.75" customHeight="1" thickBot="1" x14ac:dyDescent="0.3">
      <c r="A674" s="91"/>
      <c r="B674" s="604"/>
      <c r="C674" s="613" t="s">
        <v>780</v>
      </c>
      <c r="D674" s="803" t="str">
        <f>IF($S$673=481,PR!$D$533,IF($S$673=482,PR!$D$534,IF($S$673=483,PR!$D$535,IF($S$673=484,PR!$D$536,IF($S$673=485,PR!$D$537,IF($S$673=486,PR!$D$538,IF($S$673=487,PR!$D$539,IF($S$673=488,PR!$D$540,IF($S$673=489,PR!$D$541,IF($S$673=490,PR!$D$542,IF($S$673=491,PR!$D$543,IF($S$673=492,PR!$D$544,IF($S$673=493,PR!$D$545,IF($S$673=494,PR!$D$549,IF($S$673=495,PR!$D$550,IF($S$673=496,PR!$D$551,IF($S$673=497,PR!$D$552,IF($S$673=498,PR!$D$553,IF($S$673=499,PR!$D$554,IF($S$673=500,PR!$D$555,IF($S$673=501,PR!$D$556,IF($S$673=502,PR!$D$557,IF($S$673=503,PR!$D$558,IF($S$673=504,PR!$D$559,IF($S$673=505,PR!$D$560,IF($S$673=506,PR!$D$561,IF($S$673=507,PR!$D$562,IF($S$673=508,PR!$D$563,IF($S$673=509,PR!$D$564,IF($S$673=510,PR!$D$565,IF($S$673=511,PR!$D$566,IF($S$673=512,PR!$D$567,IF($S$673=513,PR!$D$568,IF($S$673=514,PR!$D$569,IF($S$673=515,PR!$D$570,IF($S$673=516,PR!$D$571,IF($S$673=517,PR!$D$572,IF($S$673=518,PR!$D$573,IF($S$673=519,PR!$D$574,IF($S$673=520,PR!$D$575,IF($S$673=521,PR!$D$576,IF($S$673=522,PR!$D$577,IF($S$673=523,PR!$D$578,IF($S$673=524,PR!$D$579,IF($S$673=525,PR!$D$580,IF($S$673=526,PR!$D$581,IF($S$673=527,PR!$D$582,IF($S$673=528,PR!$D$583,IF($S$673=529,PR!$D$584,IF($S$673=530,PR!$D$585,IF($S$673=531,PR!$D$586,IF($S$673=532,PR!$D$587,IF($S$673=533,PR!$D$588,IF($S$673=534,PR!$D$589,IF($S$673=535,PR!$D$590,IF($S$673=536,PR!$D$591,IF($S$673=537,PR!$D$592,IF($S$673=538,PR!$D$593,IF($S$673=539,PR!$D$597,IF($S$673=540,PR!$D$598,"-"))))))))))))))))))))))))))))))))))))))))))))))))))))))))))))</f>
        <v>VIAL</v>
      </c>
      <c r="E674" s="804"/>
      <c r="F674" s="805"/>
      <c r="G674" s="809" t="s">
        <v>781</v>
      </c>
      <c r="H674" s="809"/>
      <c r="I674" s="809"/>
      <c r="J674" s="809"/>
      <c r="K674" s="803">
        <f>IF($S$673=481,PR!$C$533,IF($S$673=482,PR!$C$534,IF($S$673=483,PR!$C$535,IF($S$673=484,PR!$C$536,IF($S$673=485,PR!$C$537,IF($S$673=486,PR!$C$538,IF($S$673=487,PR!$C$539,IF($S$673=488,PR!$C$540,IF($S$673=489,PR!$C$541,IF($S$673=490,PR!$C$542,IF($S$673=491,PR!$C$543,IF($S$673=492,PR!$C$544,IF($S$673=493,PR!$C$545,IF($S$673=494,PR!$C$549,IF($S$673=495,PR!$C$550,IF($S$673=496,PR!$C$551,IF($S$673=497,PR!$C$552,IF($S$673=498,PR!$C$553,IF($S$673=499,PR!$C$554,IF($S$673=500,PR!$C$555,IF($S$673=501,PR!$C$556,IF($S$673=502,PR!$C$557,IF($S$673=503,PR!$C$558,IF($S$673=504,PR!$C$559,IF($S$673=505,PR!$C$560,IF($S$673=506,PR!$C$561,IF($S$673=507,PR!$C$562,IF($S$673=508,PR!$C$563,IF($S$673=509,PR!$C$564,IF($S$673=510,PR!$C$565,IF($S$673=511,PR!$C$566,IF($S$673=512,PR!$C$567,IF($S$673=513,PR!$C$568,IF($S$673=514,PR!$C$569,IF($S$673=515,PR!$C$570,IF($S$673=516,PR!$C$571,IF($S$673=517,PR!$C$572,IF($S$673=518,PR!$C$573,IF($S$673=519,PR!$C$574,IF($S$673=520,PR!$C$575,IF($S$673=521,PR!$C$576,IF($S$673=522,PR!$C$577,IF($S$673=523,PR!$C$578,IF($S$673=524,PR!$C$579,IF($S$673=525,PR!$C$580,IF($S$673=526,PR!$C$581,IF($S$673=527,PR!$C$582,IF($S$673=528,PR!$C$583,IF($S$673=529,PR!$C$584,IF($S$673=530,PR!$C$585,IF($S$673=531,PR!$C$586,IF($S$673=532,PR!$C$587,IF($S$673=533,PR!$C$588,IF($S$673=534,PR!$C$589,IF($S$673=535,PR!$C$590,IF($S$673=536,PR!$C$591,IF($S$673=537,PR!$C$592,IF($S$673=538,PR!$C$593,IF($S$673=539,PR!$C$597,IF($S$673=540,PR!$C$598,"-"))))))))))))))))))))))))))))))))))))))))))))))))))))))))))))</f>
        <v>6000</v>
      </c>
      <c r="L674" s="804"/>
      <c r="M674" s="804"/>
      <c r="N674" s="805"/>
      <c r="O674" s="604"/>
      <c r="P674" s="604"/>
      <c r="Q674" s="604"/>
      <c r="R674" s="605"/>
      <c r="S674" s="604"/>
      <c r="T674" s="604"/>
      <c r="U674" s="580"/>
      <c r="V674" s="32"/>
      <c r="W674" s="32"/>
      <c r="X674" s="32"/>
      <c r="Y674" s="32"/>
      <c r="Z674" s="32"/>
    </row>
    <row r="675" spans="1:26" ht="19.5" thickTop="1" x14ac:dyDescent="0.25">
      <c r="A675" s="91"/>
      <c r="B675" s="604"/>
      <c r="C675" s="614"/>
      <c r="D675" s="615"/>
      <c r="E675" s="604"/>
      <c r="F675" s="604"/>
      <c r="G675" s="603"/>
      <c r="H675" s="603"/>
      <c r="I675" s="603"/>
      <c r="J675" s="603"/>
      <c r="K675" s="616"/>
      <c r="L675" s="616"/>
      <c r="M675" s="604"/>
      <c r="N675" s="604"/>
      <c r="O675" s="604"/>
      <c r="P675" s="604"/>
      <c r="Q675" s="604"/>
      <c r="R675" s="605"/>
      <c r="S675" s="604"/>
      <c r="T675" s="604"/>
      <c r="U675" s="580"/>
      <c r="V675" s="32"/>
      <c r="W675" s="32"/>
      <c r="X675" s="32"/>
      <c r="Y675" s="32"/>
      <c r="Z675" s="32"/>
    </row>
    <row r="676" spans="1:26" ht="15.75" thickBot="1" x14ac:dyDescent="0.3">
      <c r="A676" s="94" t="s">
        <v>782</v>
      </c>
      <c r="B676" s="600"/>
      <c r="C676" s="600" t="str">
        <f>N!$C$4</f>
        <v>ALPHA</v>
      </c>
      <c r="D676" s="600" t="str">
        <f>N!$C$5</f>
        <v>ASSENE</v>
      </c>
      <c r="E676" s="600" t="str">
        <f>N!$C$6</f>
        <v>BIOFEM</v>
      </c>
      <c r="F676" s="600" t="str">
        <f>N!$C$7</f>
        <v>BIOMED</v>
      </c>
      <c r="G676" s="600" t="str">
        <f>N!$C$8</f>
        <v>CHI</v>
      </c>
      <c r="H676" s="600" t="str">
        <f>N!$C$9</f>
        <v>CLARION</v>
      </c>
      <c r="I676" s="600" t="str">
        <f>N!$C$10</f>
        <v>CODIX</v>
      </c>
      <c r="J676" s="600" t="str">
        <f>N!$C$11</f>
        <v>COSMADE</v>
      </c>
      <c r="K676" s="600" t="str">
        <f>N!$C$12</f>
        <v>SANCON</v>
      </c>
      <c r="L676" s="600" t="str">
        <f>N!$C$13</f>
        <v>DEVON</v>
      </c>
      <c r="M676" s="600" t="str">
        <f>N!$C$14</f>
        <v>DORTEMAG</v>
      </c>
      <c r="N676" s="600" t="str">
        <f>N!$C$15</f>
        <v>DGF</v>
      </c>
      <c r="O676" s="601" t="str">
        <f>N!$C$16</f>
        <v>DYNAMIC</v>
      </c>
      <c r="P676" s="600" t="str">
        <f>N!$C$17</f>
        <v>EMZOR</v>
      </c>
      <c r="Q676" s="600" t="str">
        <f>N!$C$18</f>
        <v>EUMATT</v>
      </c>
      <c r="R676" s="600" t="str">
        <f>N!$C$19</f>
        <v>FIDSON</v>
      </c>
      <c r="S676" s="600" t="str">
        <f>N!$C$20</f>
        <v>FCGLOBAL</v>
      </c>
      <c r="T676" s="604"/>
      <c r="U676" s="580"/>
      <c r="V676" s="32"/>
      <c r="W676" s="32"/>
      <c r="X676" s="32"/>
      <c r="Y676" s="32"/>
    </row>
    <row r="677" spans="1:26" ht="18" customHeight="1" thickBot="1" x14ac:dyDescent="0.3">
      <c r="A677" s="93"/>
      <c r="B677" s="617"/>
      <c r="C677" s="602">
        <f>IF($S$673=481,PR!$E$533,IF($S$673=482,PR!$E$534,IF($S$673=483,PR!$E$535,IF($S$673=484,PR!$E$536,IF($S$673=485,PR!$E$537,IF($S$673=486,PR!$E$538,IF($S$673=487,PR!$E$539,IF($S$673=488,PR!$E$540,IF($S$673=489,PR!$E$541,IF($S$673=490,PR!$E$542,IF($S$673=491,PR!$E$543,IF($S$673=492,PR!$E$544,IF($S$673=493,PR!$E$545,IF($S$673=494,PR!$E$549,IF($S$673=495,PR!$E$550,IF($S$673=496,PR!$E$551,IF($S$673=497,PR!$E$552,IF($S$673=498,PR!$E$553,IF($S$673=499,PR!$E$554,IF($S$673=500,PR!$E$555,IF($S$673=501,PR!$E$556,IF($S$673=502,PR!$E$557,IF($S$673=503,PR!$E$558,IF($S$673=504,PR!$E$559,IF($S$673=505,PR!$E$560,IF($S$673=506,PR!$E$561,IF($S$673=507,PR!$E$562,IF($S$673=508,PR!$E$563,IF($S$673=509,PR!$E$564,IF($S$673=510,PR!$E$565,IF($S$673=511,PR!$E$566,IF($S$673=512,PR!$E$567,IF($S$673=513,PR!$E$568,IF($S$673=514,PR!$E$569,IF($S$673=515,PR!$E$570,IF($S$673=516,PR!$E$571,IF($S$673=517,PR!$E$572,IF($S$673=518,PR!$E$573,IF($S$673=519,PR!$E$574,IF($S$673=520,PR!$E$575,IF($S$673=521,PR!$E$576,IF($S$673=522,PR!$E$577,IF($S$673=523,PR!$E$578,IF($S$673=524,PR!$E$579,IF($S$673=525,PR!$E$580,IF($S$673=526,PR!$E$581,IF($S$673=527,PR!$E$582,IF($S$673=528,PR!$E$583,IF($S$673=529,PR!$E$584,IF($S$673=530,PR!$E$585,IF($S$673=531,PR!$E$586,IF($S$673=532,PR!$E$587,IF($S$673=533,PR!$E$588,IF($S$673=534,PR!$E$589,IF($S$673=535,PR!$E$590,IF($S$673=536,PR!$E$591,IF($S$673=537,PR!$E$592,IF($S$673=538,PR!$E$593,IF($S$673=539,PR!$E$597,IF($S$673=540,PR!$E$598,"-"))))))))))))))))))))))))))))))))))))))))))))))))))))))))))))</f>
        <v>350</v>
      </c>
      <c r="D677" s="602">
        <f>IF($S$673=481,PR!$F$533,IF($S$673=482,PR!$F$534,IF($S$673=483,PR!$F$535,IF($S$673=484,PR!$F$536,IF($S$673=485,PR!$F$537,IF($S$673=486,PR!$F$538,IF($S$673=487,PR!$F$539,IF($S$673=488,PR!$F$540,IF($S$673=489,PR!$F$541,IF($S$673=490,PR!$F$542,IF($S$673=491,PR!$F$543,IF($S$673=492,PR!$F$544,IF($S$673=493,PR!$F$545,IF($S$673=494,PR!$F$549,IF($S$673=495,PR!$F$550,IF($S$673=496,PR!$F$551,IF($S$673=497,PR!$F$552,IF($S$673=498,PR!$F$553,IF($S$673=499,PR!$F$554,IF($S$673=500,PR!$F$555,IF($S$673=501,PR!$F$556,IF($S$673=502,PR!$F$557,IF($S$673=503,PR!$F$558,IF($S$673=504,PR!$F$559,IF($S$673=505,PR!$F$560,IF($S$673=506,PR!$F$561,IF($S$673=507,PR!$F$562,IF($S$673=508,PR!$F$563,IF($S$673=509,PR!$F$564,IF($S$673=510,PR!$F$565,IF($S$673=511,PR!$F$566,IF($S$673=512,PR!$F$567,IF($S$673=513,PR!$F$568,IF($S$673=514,PR!$F$569,IF($S$673=515,PR!$F$570,IF($S$673=516,PR!$F$571,IF($S$673=517,PR!$F$572,IF($S$673=518,PR!$F$573,IF($S$673=519,PR!$F$574,IF($S$673=520,PR!$F$575,IF($S$673=521,PR!$F$576,IF($S$673=522,PR!$F$577,IF($S$673=523,PR!$F$578,IF($S$673=524,PR!$F$579,IF($S$673=525,PR!$F$580,IF($S$673=526,PR!$F$581,IF($S$673=527,PR!$F$582,IF($S$673=528,PR!$F$583,IF($S$673=529,PR!$F$584,IF($S$673=530,PR!$F$585,IF($S$673=531,PR!$F$586,IF($S$673=532,PR!$F$587,IF($S$673=533,PR!$F$588,IF($S$673=534,PR!$F$589,IF($S$673=535,PR!$F$590,IF($S$673=536,PR!$F$591,IF($S$673=537,PR!$F$592,IF($S$673=538,PR!$F$593,IF($S$673=539,PR!$F$597,IF($S$673=540,PR!$F$598,"-"))))))))))))))))))))))))))))))))))))))))))))))))))))))))))))</f>
        <v>0</v>
      </c>
      <c r="E677" s="602">
        <f>IF($S$673=481,PR!$G$533,IF($S$673=482,PR!$G$534,IF($S$673=483,PR!$G$535,IF($S$673=484,PR!$G$536,IF($S$673=485,PR!$G$537,IF($S$673=486,PR!$G$538,IF($S$673=487,PR!$G$539,IF($S$673=488,PR!$G$540,IF($S$673=489,PR!$G$541,IF($S$673=490,PR!$G$542,IF($S$673=491,PR!$G$543,IF($S$673=492,PR!$G$544,IF($S$673=493,PR!$G$545,IF($S$673=494,PR!$G$549,IF($S$673=495,PR!$G$550,IF($S$673=496,PR!$G$551,IF($S$673=497,PR!$G$552,IF($S$673=498,PR!$G$553,IF($S$673=499,PR!$G$554,IF($S$673=500,PR!$G$555,IF($S$673=501,PR!$G$556,IF($S$673=502,PR!$G$557,IF($S$673=503,PR!$G$558,IF($S$673=504,PR!$G$559,IF($S$673=505,PR!$G$560,IF($S$673=506,PR!$G$561,IF($S$673=507,PR!$G$562,IF($S$673=508,PR!$G$563,IF($S$673=509,PR!$G$564,IF($S$673=510,PR!$G$565,IF($S$673=511,PR!$G$566,IF($S$673=512,PR!$G$567,IF($S$673=513,PR!$G$568,IF($S$673=514,PR!$G$569,IF($S$673=515,PR!$G$570,IF($S$673=516,PR!$G$571,IF($S$673=517,PR!$G$572,IF($S$673=518,PR!$G$573,IF($S$673=519,PR!$G$574,IF($S$673=520,PR!$G$575,IF($S$673=521,PR!$G$576,IF($S$673=522,PR!$G$577,IF($S$673=523,PR!$G$578,IF($S$673=524,PR!$G$579,IF($S$673=525,PR!$G$580,IF($S$673=526,PR!$G$581,IF($S$673=527,PR!$G$582,IF($S$673=528,PR!$G$583,IF($S$673=529,PR!$G$584,IF($S$673=530,PR!$G$585,IF($S$673=531,PR!$G$586,IF($S$673=532,PR!$G$587,IF($S$673=533,PR!$G$588,IF($S$673=534,PR!$G$589,IF($S$673=535,PR!$G$590,IF($S$673=536,PR!$G$591,IF($S$673=537,PR!$G$592,IF($S$673=538,PR!$G$593,IF($S$673=539,PR!$G$597,IF($S$673=540,PR!$G$598,"-"))))))))))))))))))))))))))))))))))))))))))))))))))))))))))))</f>
        <v>0</v>
      </c>
      <c r="F677" s="602">
        <f>IF($S$673=481,PR!$H$533,IF($S$673=482,PR!$H$534,IF($S$673=483,PR!$H$535,IF($S$673=484,PR!$H$536,IF($S$673=485,PR!$H$537,IF($S$673=486,PR!$H$538,IF($S$673=487,PR!$H$539,IF($S$673=488,PR!$H$540,IF($S$673=489,PR!$H$541,IF($S$673=490,PR!$H$542,IF($S$673=491,PR!$H$543,IF($S$673=492,PR!$H$544,IF($S$673=493,PR!$H$545,IF($S$673=494,PR!$H$549,IF($S$673=495,PR!$H$550,IF($S$673=496,PR!$H$551,IF($S$673=497,PR!$H$552,IF($S$673=498,PR!$H$553,IF($S$673=499,PR!$H$554,IF($S$673=500,PR!$H$555,IF($S$673=501,PR!$H$556,IF($S$673=502,PR!$H$557,IF($S$673=503,PR!$H$558,IF($S$673=504,PR!$H$559,IF($S$673=505,PR!$H$560,IF($S$673=506,PR!$H$561,IF($S$673=507,PR!$H$562,IF($S$673=508,PR!$H$563,IF($S$673=509,PR!$H$564,IF($S$673=510,PR!$H$565,IF($S$673=511,PR!$H$566,IF($S$673=512,PR!$H$567,IF($S$673=513,PR!$H$568,IF($S$673=514,PR!$H$569,IF($S$673=515,PR!$H$570,IF($S$673=516,PR!$H$571,IF($S$673=517,PR!$H$572,IF($S$673=518,PR!$H$573,IF($S$673=519,PR!$H$574,IF($S$673=520,PR!$H$575,IF($S$673=521,PR!$H$576,IF($S$673=522,PR!$H$577,IF($S$673=523,PR!$H$578,IF($S$673=524,PR!$H$579,IF($S$673=525,PR!$H$580,IF($S$673=526,PR!$H$581,IF($S$673=527,PR!$H$582,IF($S$673=528,PR!$H$583,IF($S$673=529,PR!$H$584,IF($S$673=530,PR!$H$585,IF($S$673=531,PR!$H$586,IF($S$673=532,PR!$H$587,IF($S$673=533,PR!$H$588,IF($S$673=534,PR!$H$589,IF($S$673=535,PR!$H$590,IF($S$673=536,PR!$H$591,IF($S$673=537,PR!$H$592,IF($S$673=538,PR!$H$593,IF($S$673=539,PR!$H$597,IF($S$673=540,PR!$H$598,"-"))))))))))))))))))))))))))))))))))))))))))))))))))))))))))))</f>
        <v>0</v>
      </c>
      <c r="G677" s="602">
        <f>IF($S$673=481,PR!$I$533,IF($S$673=482,PR!$I$534,IF($S$673=483,PR!$I$535,IF($S$673=484,PR!$I$536,IF($S$673=485,PR!$I$537,IF($S$673=486,PR!$I$538,IF($S$673=487,PR!$I$539,IF($S$673=488,PR!$I$540,IF($S$673=489,PR!$I$541,IF($S$673=490,PR!$I$542,IF($S$673=491,PR!$I$543,IF($S$673=492,PR!$I$544,IF($S$673=493,PR!$I$545,IF($S$673=494,PR!$I$549,IF($S$673=495,PR!$I$550,IF($S$673=496,PR!$I$551,IF($S$673=497,PR!$I$552,IF($S$673=498,PR!$I$553,IF($S$673=499,PR!$I$554,IF($S$673=500,PR!$I$555,IF($S$673=501,PR!$I$556,IF($S$673=502,PR!$I$557,IF($S$673=503,PR!$I$558,IF($S$673=504,PR!$I$559,IF($S$673=505,PR!$I$560,IF($S$673=506,PR!$I$561,IF($S$673=507,PR!$I$562,IF($S$673=508,PR!$I$563,IF($S$673=509,PR!$I$564,IF($S$673=510,PR!$I$565,IF($S$673=511,PR!$I$566,IF($S$673=512,PR!$I$567,IF($S$673=513,PR!$I$568,IF($S$673=514,PR!$I$569,IF($S$673=515,PR!$I$570,IF($S$673=516,PR!$I$571,IF($S$673=517,PR!$I$572,IF($S$673=518,PR!$I$573,IF($S$673=519,PR!$I$574,IF($S$673=520,PR!$I$575,IF($S$673=521,PR!$I$576,IF($S$673=522,PR!$I$577,IF($S$673=523,PR!$I$578,IF($S$673=524,PR!$I$579,IF($S$673=525,PR!$I$580,IF($S$673=526,PR!$I$581,IF($S$673=527,PR!$I$582,IF($S$673=528,PR!$I$583,IF($S$673=529,PR!$I$584,IF($S$673=530,PR!$I$585,IF($S$673=531,PR!$I$586,IF($S$673=532,PR!$I$587,IF($S$673=533,PR!$I$588,IF($S$673=534,PR!$I$589,IF($S$673=535,PR!$I$590,IF($S$673=536,PR!$I$591,IF($S$673=537,PR!$I$592,IF($S$673=538,PR!$I$593,IF($S$673=539,PR!$I$597,IF($S$673=540,PR!$I$598,"-"))))))))))))))))))))))))))))))))))))))))))))))))))))))))))))</f>
        <v>0</v>
      </c>
      <c r="H677" s="602">
        <f>IF($S$673=481,PR!$J$533,IF($S$673=482,PR!$J$534,IF($S$673=483,PR!$J$535,IF($S$673=484,PR!$J$536,IF($S$673=485,PR!$J$537,IF($S$673=486,PR!$J$538,IF($S$673=487,PR!$J$539,IF($S$673=488,PR!$J$540,IF($S$673=489,PR!$J$541,IF($S$673=490,PR!$J$542,IF($S$673=491,PR!$J$543,IF($S$673=492,PR!$J$544,IF($S$673=493,PR!$J$545,IF($S$673=494,PR!$J$549,IF($S$673=495,PR!$J$550,IF($S$673=496,PR!$J$551,IF($S$673=497,PR!$J$552,IF($S$673=498,PR!$J$553,IF($S$673=499,PR!$J$554,IF($S$673=500,PR!$J$555,IF($S$673=501,PR!$J$556,IF($S$673=502,PR!$J$557,IF($S$673=503,PR!$J$558,IF($S$673=504,PR!$J$559,IF($S$673=505,PR!$J$560,IF($S$673=506,PR!$J$561,IF($S$673=507,PR!$J$562,IF($S$673=508,PR!$J$563,IF($S$673=509,PR!$J$564,IF($S$673=510,PR!$J$565,IF($S$673=511,PR!$J$566,IF($S$673=512,PR!$J$567,IF($S$673=513,PR!$J$568,IF($S$673=514,PR!$J$569,IF($S$673=515,PR!$J$570,IF($S$673=516,PR!$J$571,IF($S$673=517,PR!$J$572,IF($S$673=518,PR!$J$573,IF($S$673=519,PR!$J$574,IF($S$673=520,PR!$J$575,IF($S$673=521,PR!$J$576,IF($S$673=522,PR!$J$577,IF($S$673=523,PR!$J$578,IF($S$673=524,PR!$J$579,IF($S$673=525,PR!$J$580,IF($S$673=526,PR!$J$581,IF($S$673=527,PR!$J$582,IF($S$673=528,PR!$J$583,IF($S$673=529,PR!$J$584,IF($S$673=530,PR!$J$585,IF($S$673=531,PR!$J$586,IF($S$673=532,PR!$J$587,IF($S$673=533,PR!$J$588,IF($S$673=534,PR!$J$589,IF($S$673=535,PR!$J$590,IF($S$673=536,PR!$J$591,IF($S$673=537,PR!$J$592,IF($S$673=538,PR!$J$593,IF($S$673=539,PR!$J$597,IF($S$673=540,PR!$J$598,"-"))))))))))))))))))))))))))))))))))))))))))))))))))))))))))))</f>
        <v>0</v>
      </c>
      <c r="I677" s="602">
        <f>IF($S$673=481,PR!$K$533,IF($S$673=482,PR!$K$534,IF($S$673=483,PR!$K$535,IF($S$673=484,PR!$K$536,IF($S$673=485,PR!$K$537,IF($S$673=486,PR!$K$538,IF($S$673=487,PR!$K$539,IF($S$673=488,PR!$K$540,IF($S$673=489,PR!$K$541,IF($S$673=490,PR!$K$542,IF($S$673=491,PR!$K$543,IF($S$673=492,PR!$K$544,IF($S$673=493,PR!$K$545,IF($S$673=494,PR!$K$549,IF($S$673=495,PR!$K$550,IF($S$673=496,PR!$K$551,IF($S$673=497,PR!$K$552,IF($S$673=498,PR!$K$553,IF($S$673=499,PR!$K$554,IF($S$673=500,PR!$K$555,IF($S$673=501,PR!$K$556,IF($S$673=502,PR!$K$557,IF($S$673=503,PR!$K$558,IF($S$673=504,PR!$K$559,IF($S$673=505,PR!$K$560,IF($S$673=506,PR!$K$561,IF($S$673=507,PR!$K$562,IF($S$673=508,PR!$K$563,IF($S$673=509,PR!$K$564,IF($S$673=510,PR!$K$565,IF($S$673=511,PR!$K$566,IF($S$673=512,PR!$K$567,IF($S$673=513,PR!$K$568,IF($S$673=514,PR!$K$569,IF($S$673=515,PR!$K$570,IF($S$673=516,PR!$K$571,IF($S$673=517,PR!$K$572,IF($S$673=518,PR!$K$573,IF($S$673=519,PR!$K$574,IF($S$673=520,PR!$K$575,IF($S$673=521,PR!$K$576,IF($S$673=522,PR!$K$577,IF($S$673=523,PR!$K$578,IF($S$673=524,PR!$K$579,IF($S$673=525,PR!$K$580,IF($S$673=526,PR!$K$581,IF($S$673=527,PR!$K$582,IF($S$673=528,PR!$K$583,IF($S$673=529,PR!$K$584,IF($S$673=530,PR!$K$585,IF($S$673=531,PR!$K$586,IF($S$673=532,PR!$K$587,IF($S$673=533,PR!$K$588,IF($S$673=534,PR!$K$589,IF($S$673=535,PR!$K$590,IF($S$673=536,PR!$K$591,IF($S$673=537,PR!$K$592,IF($S$673=538,PR!$K$593,IF($S$673=539,PR!$K$597,IF($S$673=540,PR!$K$598,"-"))))))))))))))))))))))))))))))))))))))))))))))))))))))))))))</f>
        <v>0</v>
      </c>
      <c r="J677" s="602">
        <f>IF($S$673=481,PR!$L$533,IF($S$673=482,PR!$L$534,IF($S$673=483,PR!$L$535,IF($S$673=484,PR!$L$536,IF($S$673=485,PR!$L$537,IF($S$673=486,PR!$L$538,IF($S$673=487,PR!$L$539,IF($S$673=488,PR!$L$540,IF($S$673=489,PR!$L$541,IF($S$673=490,PR!$L$542,IF($S$673=491,PR!$L$543,IF($S$673=492,PR!$L$544,IF($S$673=493,PR!$L$545,IF($S$673=494,PR!$L$549,IF($S$673=495,PR!$L$550,IF($S$673=496,PR!$L$551,IF($S$673=497,PR!$L$552,IF($S$673=498,PR!$L$553,IF($S$673=499,PR!$L$554,IF($S$673=500,PR!$L$555,IF($S$673=501,PR!$L$556,IF($S$673=502,PR!$L$557,IF($S$673=503,PR!$L$558,IF($S$673=504,PR!$L$559,IF($S$673=505,PR!$L$560,IF($S$673=506,PR!$L$561,IF($S$673=507,PR!$L$562,IF($S$673=508,PR!$L$563,IF($S$673=509,PR!$L$564,IF($S$673=510,PR!$L$565,IF($S$673=511,PR!$L$566,IF($S$673=512,PR!$L$567,IF($S$673=513,PR!$L$568,IF($S$673=514,PR!$L$569,IF($S$673=515,PR!$L$570,IF($S$673=516,PR!$L$571,IF($S$673=517,PR!$L$572,IF($S$673=518,PR!$L$573,IF($S$673=519,PR!$L$574,IF($S$673=520,PR!$L$575,IF($S$673=521,PR!$L$576,IF($S$673=522,PR!$L$577,IF($S$673=523,PR!$L$578,IF($S$673=524,PR!$L$579,IF($S$673=525,PR!$L$580,IF($S$673=526,PR!$L$581,IF($S$673=527,PR!$L$582,IF($S$673=528,PR!$L$583,IF($S$673=529,PR!$L$584,IF($S$673=530,PR!$L$585,IF($S$673=531,PR!$L$586,IF($S$673=532,PR!$L$587,IF($S$673=533,PR!$L$588,IF($S$673=534,PR!$L$589,IF($S$673=535,PR!$L$590,IF($S$673=536,PR!$L$591,IF($S$673=537,PR!$L$592,IF($S$673=538,PR!$L$593,IF($S$673=539,PR!$L$597,IF($S$673=540,PR!$L$598,"-"))))))))))))))))))))))))))))))))))))))))))))))))))))))))))))</f>
        <v>0</v>
      </c>
      <c r="K677" s="602">
        <f>IF($S$673=481,PR!$M$533,IF($S$673=482,PR!$M$534,IF($S$673=483,PR!$M$535,IF($S$673=484,PR!$M$536,IF($S$673=485,PR!$M$537,IF($S$673=486,PR!$M$538,IF($S$673=487,PR!$M$539,IF($S$673=488,PR!$M$540,IF($S$673=489,PR!$M$541,IF($S$673=490,PR!$M$542,IF($S$673=491,PR!$M$543,IF($S$673=492,PR!$M$544,IF($S$673=493,PR!$M$545,IF($S$673=494,PR!$M$549,IF($S$673=495,PR!$M$550,IF($S$673=496,PR!$M$551,IF($S$673=497,PR!$M$552,IF($S$673=498,PR!$M$553,IF($S$673=499,PR!$M$554,IF($S$673=500,PR!$M$555,IF($S$673=501,PR!$M$556,IF($S$673=502,PR!$M$557,IF($S$673=503,PR!$M$558,IF($S$673=504,PR!$M$559,IF($S$673=505,PR!$M$560,IF($S$673=506,PR!$M$561,IF($S$673=507,PR!$M$562,IF($S$673=508,PR!$M$563,IF($S$673=509,PR!$M$564,IF($S$673=510,PR!$M$565,IF($S$673=511,PR!$M$566,IF($S$673=512,PR!$M$567,IF($S$673=513,PR!$M$568,IF($S$673=514,PR!$M$569,IF($S$673=515,PR!$M$570,IF($S$673=516,PR!$M$571,IF($S$673=517,PR!$M$572,IF($S$673=518,PR!$M$573,IF($S$673=519,PR!$M$574,IF($S$673=520,PR!$M$575,IF($S$673=521,PR!$M$576,IF($S$673=522,PR!$M$577,IF($S$673=523,PR!$M$578,IF($S$673=524,PR!$M$579,IF($S$673=525,PR!$M$580,IF($S$673=526,PR!$M$581,IF($S$673=527,PR!$M$582,IF($S$673=528,PR!$M$583,IF($S$673=529,PR!$M$584,IF($S$673=530,PR!$M$585,IF($S$673=531,PR!$M$586,IF($S$673=532,PR!$M$587,IF($S$673=533,PR!$M$588,IF($S$673=534,PR!$M$589,IF($S$673=535,PR!$M$590,IF($S$673=536,PR!$M$591,IF($S$673=537,PR!$M$592,IF($S$673=538,PR!$M$593,IF($S$673=539,PR!$M$597,IF($S$673=540,PR!$M$598,"-"))))))))))))))))))))))))))))))))))))))))))))))))))))))))))))</f>
        <v>0</v>
      </c>
      <c r="L677" s="602">
        <f>IF($S$673=481,PR!$N$533,IF($S$673=482,PR!$N$534,IF($S$673=483,PR!$N$535,IF($S$673=484,PR!$N$536,IF($S$673=485,PR!$N$537,IF($S$673=486,PR!$N$538,IF($S$673=487,PR!$N$539,IF($S$673=488,PR!$N$540,IF($S$673=489,PR!$N$541,IF($S$673=490,PR!$N$542,IF($S$673=491,PR!$N$543,IF($S$673=492,PR!$N$544,IF($S$673=493,PR!$N$545,IF($S$673=494,PR!$N$549,IF($S$673=495,PR!$N$550,IF($S$673=496,PR!$N$551,IF($S$673=497,PR!$N$552,IF($S$673=498,PR!$N$553,IF($S$673=499,PR!$N$554,IF($S$673=500,PR!$N$555,IF($S$673=501,PR!$N$556,IF($S$673=502,PR!$N$557,IF($S$673=503,PR!$N$558,IF($S$673=504,PR!$N$559,IF($S$673=505,PR!$N$560,IF($S$673=506,PR!$N$561,IF($S$673=507,PR!$N$562,IF($S$673=508,PR!$N$563,IF($S$673=509,PR!$N$564,IF($S$673=510,PR!$N$565,IF($S$673=511,PR!$N$566,IF($S$673=512,PR!$N$567,IF($S$673=513,PR!$N$568,IF($S$673=514,PR!$N$569,IF($S$673=515,PR!$N$570,IF($S$673=516,PR!$N$571,IF($S$673=517,PR!$N$572,IF($S$673=518,PR!$N$573,IF($S$673=519,PR!$N$574,IF($S$673=520,PR!$N$575,IF($S$673=521,PR!$N$576,IF($S$673=522,PR!$N$577,IF($S$673=523,PR!$N$578,IF($S$673=524,PR!$N$579,IF($S$673=525,PR!$N$580,IF($S$673=526,PR!$N$581,IF($S$673=527,PR!$N$582,IF($S$673=528,PR!$N$583,IF($S$673=529,PR!$N$584,IF($S$673=530,PR!$N$585,IF($S$673=531,PR!$N$586,IF($S$673=532,PR!$N$587,IF($S$673=533,PR!$N$588,IF($S$673=534,PR!$N$589,IF($S$673=535,PR!$N$590,IF($S$673=536,PR!$N$591,IF($S$673=537,PR!$N$592,IF($S$673=538,PR!$N$593,IF($S$673=539,PR!$N$597,IF($S$673=540,PR!$N$598,"-"))))))))))))))))))))))))))))))))))))))))))))))))))))))))))))</f>
        <v>0</v>
      </c>
      <c r="M677" s="602">
        <f>IF($S$673=481,PR!$O$533,IF($S$673=482,PR!$O$534,IF($S$673=483,PR!$O$535,IF($S$673=484,PR!$O$536,IF($S$673=485,PR!$O$537,IF($S$673=486,PR!$O$538,IF($S$673=487,PR!$O$539,IF($S$673=488,PR!$O$540,IF($S$673=489,PR!$O$541,IF($S$673=490,PR!$O$542,IF($S$673=491,PR!$O$543,IF($S$673=492,PR!$O$544,IF($S$673=493,PR!$O$545,IF($S$673=494,PR!$O$549,IF($S$673=495,PR!$O$550,IF($S$673=496,PR!$O$551,IF($S$673=497,PR!$O$552,IF($S$673=498,PR!$O$553,IF($S$673=499,PR!$O$554,IF($S$673=500,PR!$O$555,IF($S$673=501,PR!$O$556,IF($S$673=502,PR!$O$557,IF($S$673=503,PR!$O$558,IF($S$673=504,PR!$O$559,IF($S$673=505,PR!$O$560,IF($S$673=506,PR!$O$561,IF($S$673=507,PR!$O$562,IF($S$673=508,PR!$O$563,IF($S$673=509,PR!$O$564,IF($S$673=510,PR!$O$565,IF($S$673=511,PR!$O$566,IF($S$673=512,PR!$O$567,IF($S$673=513,PR!$O$568,IF($S$673=514,PR!$O$569,IF($S$673=515,PR!$O$570,IF($S$673=516,PR!$O$571,IF($S$673=517,PR!$O$572,IF($S$673=518,PR!$O$573,IF($S$673=519,PR!$O$574,IF($S$673=520,PR!$O$575,IF($S$673=521,PR!$O$576,IF($S$673=522,PR!$O$577,IF($S$673=523,PR!$O$578,IF($S$673=524,PR!$O$579,IF($S$673=525,PR!$O$580,IF($S$673=526,PR!$O$581,IF($S$673=527,PR!$O$582,IF($S$673=528,PR!$O$583,IF($S$673=529,PR!$O$584,IF($S$673=530,PR!$O$585,IF($S$673=531,PR!$O$586,IF($S$673=532,PR!$O$587,IF($S$673=533,PR!$O$588,IF($S$673=534,PR!$O$589,IF($S$673=535,PR!$O$590,IF($S$673=536,PR!$O$591,IF($S$673=537,PR!$O$592,IF($S$673=538,PR!$O$593,IF($S$673=539,PR!$O$597,IF($S$673=540,PR!$O$598,"-"))))))))))))))))))))))))))))))))))))))))))))))))))))))))))))</f>
        <v>0</v>
      </c>
      <c r="N677" s="602">
        <f>IF($S$673=481,PR!$P$533,IF($S$673=482,PR!$P$534,IF($S$673=483,PR!$P$535,IF($S$673=484,PR!$P$536,IF($S$673=485,PR!$P$537,IF($S$673=486,PR!$P$538,IF($S$673=487,PR!$P$539,IF($S$673=488,PR!$P$540,IF($S$673=489,PR!$P$541,IF($S$673=490,PR!$P$542,IF($S$673=491,PR!$P$543,IF($S$673=492,PR!$P$544,IF($S$673=493,PR!$P$545,IF($S$673=494,PR!$P$549,IF($S$673=495,PR!$P$550,IF($S$673=496,PR!$P$551,IF($S$673=497,PR!$P$552,IF($S$673=498,PR!$P$553,IF($S$673=499,PR!$P$554,IF($S$673=500,PR!$P$555,IF($S$673=501,PR!$P$556,IF($S$673=502,PR!$P$557,IF($S$673=503,PR!$P$558,IF($S$673=504,PR!$P$559,IF($S$673=505,PR!$P$560,IF($S$673=506,PR!$P$561,IF($S$673=507,PR!$P$562,IF($S$673=508,PR!$P$563,IF($S$673=509,PR!$P$564,IF($S$673=510,PR!$P$565,IF($S$673=511,PR!$P$566,IF($S$673=512,PR!$P$567,IF($S$673=513,PR!$P$568,IF($S$673=514,PR!$P$569,IF($S$673=515,PR!$P$570,IF($S$673=516,PR!$P$571,IF($S$673=517,PR!$P$572,IF($S$673=518,PR!$P$573,IF($S$673=519,PR!$P$574,IF($S$673=520,PR!$P$575,IF($S$673=521,PR!$P$576,IF($S$673=522,PR!$P$577,IF($S$673=523,PR!$P$578,IF($S$673=524,PR!$P$579,IF($S$673=525,PR!$P$580,IF($S$673=526,PR!$P$581,IF($S$673=527,PR!$P$582,IF($S$673=528,PR!$P$583,IF($S$673=529,PR!$P$584,IF($S$673=530,PR!$P$585,IF($S$673=531,PR!$P$586,IF($S$673=532,PR!$P$587,IF($S$673=533,PR!$P$588,IF($S$673=534,PR!$P$589,IF($S$673=535,PR!$P$590,IF($S$673=536,PR!$P$591,IF($S$673=537,PR!$P$592,IF($S$673=538,PR!$P$593,IF($S$673=539,PR!$P$597,IF($S$673=540,PR!$P$598,"-"))))))))))))))))))))))))))))))))))))))))))))))))))))))))))))</f>
        <v>0</v>
      </c>
      <c r="O677" s="602">
        <f>IF($S$673=481,PR!$Q$533,IF($S$673=482,PR!$Q$534,IF($S$673=483,PR!$Q$535,IF($S$673=484,PR!$Q$536,IF($S$673=485,PR!$Q$537,IF($S$673=486,PR!$Q$538,IF($S$673=487,PR!$Q$539,IF($S$673=488,PR!$Q$540,IF($S$673=489,PR!$Q$541,IF($S$673=490,PR!$Q$542,IF($S$673=491,PR!$Q$543,IF($S$673=492,PR!$Q$544,IF($S$673=493,PR!$Q$545,IF($S$673=494,PR!$Q$549,IF($S$673=495,PR!$Q$550,IF($S$673=496,PR!$Q$551,IF($S$673=497,PR!$Q$552,IF($S$673=498,PR!$Q$553,IF($S$673=499,PR!$Q$554,IF($S$673=500,PR!$Q$555,IF($S$673=501,PR!$Q$556,IF($S$673=502,PR!$Q$557,IF($S$673=503,PR!$Q$558,IF($S$673=504,PR!$Q$559,IF($S$673=505,PR!$Q$560,IF($S$673=506,PR!$Q$561,IF($S$673=507,PR!$Q$562,IF($S$673=508,PR!$Q$563,IF($S$673=509,PR!$Q$564,IF($S$673=510,PR!$Q$565,IF($S$673=511,PR!$Q$566,IF($S$673=512,PR!$Q$567,IF($S$673=513,PR!$Q$568,IF($S$673=514,PR!$Q$569,IF($S$673=515,PR!$Q$570,IF($S$673=516,PR!$Q$571,IF($S$673=517,PR!$Q$572,IF($S$673=518,PR!$Q$573,IF($S$673=519,PR!$Q$574,IF($S$673=520,PR!$Q$575,IF($S$673=521,PR!$Q$576,IF($S$673=522,PR!$Q$577,IF($S$673=523,PR!$Q$578,IF($S$673=524,PR!$Q$579,IF($S$673=525,PR!$Q$580,IF($S$673=526,PR!$Q$581,IF($S$673=527,PR!$Q$582,IF($S$673=528,PR!$Q$583,IF($S$673=529,PR!$Q$584,IF($S$673=530,PR!$Q$585,IF($S$673=531,PR!$Q$586,IF($S$673=532,PR!$Q$587,IF($S$673=533,PR!$Q$588,IF($S$673=534,PR!$Q$589,IF($S$673=535,PR!$Q$590,IF($S$673=536,PR!$Q$591,IF($S$673=537,PR!$Q$592,IF($S$673=538,PR!$Q$593,IF($S$673=539,PR!$Q$597,IF($S$673=540,PR!$Q$598,"-"))))))))))))))))))))))))))))))))))))))))))))))))))))))))))))</f>
        <v>0</v>
      </c>
      <c r="P677" s="602">
        <f>IF($S$673=481,PR!$R$533,IF($S$673=482,PR!$R$534,IF($S$673=483,PR!$R$535,IF($S$673=484,PR!$R$536,IF($S$673=485,PR!$R$537,IF($S$673=486,PR!$R$538,IF($S$673=487,PR!$R$539,IF($S$673=488,PR!$R$540,IF($S$673=489,PR!$R$541,IF($S$673=490,PR!$R$542,IF($S$673=491,PR!$R$543,IF($S$673=492,PR!$R$544,IF($S$673=493,PR!$R$545,IF($S$673=494,PR!$R$549,IF($S$673=495,PR!$R$550,IF($S$673=496,PR!$R$551,IF($S$673=497,PR!$R$552,IF($S$673=498,PR!$R$553,IF($S$673=499,PR!$R$554,IF($S$673=500,PR!$R$555,IF($S$673=501,PR!$R$556,IF($S$673=502,PR!$R$557,IF($S$673=503,PR!$R$558,IF($S$673=504,PR!$R$559,IF($S$673=505,PR!$R$560,IF($S$673=506,PR!$R$561,IF($S$673=507,PR!$R$562,IF($S$673=508,PR!$R$563,IF($S$673=509,PR!$R$564,IF($S$673=510,PR!$R$565,IF($S$673=511,PR!$R$566,IF($S$673=512,PR!$R$567,IF($S$673=513,PR!$R$568,IF($S$673=514,PR!$R$569,IF($S$673=515,PR!$R$570,IF($S$673=516,PR!$R$571,IF($S$673=517,PR!$R$572,IF($S$673=518,PR!$R$573,IF($S$673=519,PR!$R$574,IF($S$673=520,PR!$R$575,IF($S$673=521,PR!$R$576,IF($S$673=522,PR!$R$577,IF($S$673=523,PR!$R$578,IF($S$673=524,PR!$R$579,IF($S$673=525,PR!$R$580,IF($S$673=526,PR!$R$581,IF($S$673=527,PR!$R$582,IF($S$673=528,PR!$R$583,IF($S$673=529,PR!$R$584,IF($S$673=530,PR!$R$585,IF($S$673=531,PR!$R$586,IF($S$673=532,PR!$R$587,IF($S$673=533,PR!$R$588,IF($S$673=534,PR!$R$589,IF($S$673=535,PR!$R$590,IF($S$673=536,PR!$R$591,IF($S$673=537,PR!$R$592,IF($S$673=538,PR!$R$593,IF($S$673=539,PR!$R$597,IF($S$673=540,PR!$R$598,"-"))))))))))))))))))))))))))))))))))))))))))))))))))))))))))))</f>
        <v>0</v>
      </c>
      <c r="Q677" s="602">
        <f>IF($S$673=481,PR!$S$533,IF($S$673=482,PR!$S$534,IF($S$673=483,PR!$S$535,IF($S$673=484,PR!$S$536,IF($S$673=485,PR!$S$537,IF($S$673=486,PR!$S$538,IF($S$673=487,PR!$S$539,IF($S$673=488,PR!$S$540,IF($S$673=489,PR!$S$541,IF($S$673=490,PR!$S$542,IF($S$673=491,PR!$S$543,IF($S$673=492,PR!$S$544,IF($S$673=493,PR!$S$545,IF($S$673=494,PR!$S$549,IF($S$673=495,PR!$S$550,IF($S$673=496,PR!$S$551,IF($S$673=497,PR!$S$552,IF($S$673=498,PR!$S$553,IF($S$673=499,PR!$S$554,IF($S$673=500,PR!$S$555,IF($S$673=501,PR!$S$556,IF($S$673=502,PR!$S$557,IF($S$673=503,PR!$S$558,IF($S$673=504,PR!$S$559,IF($S$673=505,PR!$S$560,IF($S$673=506,PR!$S$561,IF($S$673=507,PR!$S$562,IF($S$673=508,PR!$S$563,IF($S$673=509,PR!$S$564,IF($S$673=510,PR!$S$565,IF($S$673=511,PR!$S$566,IF($S$673=512,PR!$S$567,IF($S$673=513,PR!$S$568,IF($S$673=514,PR!$S$569,IF($S$673=515,PR!$S$570,IF($S$673=516,PR!$S$571,IF($S$673=517,PR!$S$572,IF($S$673=518,PR!$S$573,IF($S$673=519,PR!$S$574,IF($S$673=520,PR!$S$575,IF($S$673=521,PR!$S$576,IF($S$673=522,PR!$S$577,IF($S$673=523,PR!$S$578,IF($S$673=524,PR!$S$579,IF($S$673=525,PR!$S$580,IF($S$673=526,PR!$S$581,IF($S$673=527,PR!$S$582,IF($S$673=528,PR!$S$583,IF($S$673=529,PR!$S$584,IF($S$673=530,PR!$S$585,IF($S$673=531,PR!$S$586,IF($S$673=532,PR!$S$587,IF($S$673=533,PR!$S$588,IF($S$673=534,PR!$S$589,IF($S$673=535,PR!$S$590,IF($S$673=536,PR!$S$591,IF($S$673=537,PR!$S$592,IF($S$673=538,PR!$S$593,IF($S$673=539,PR!$S$597,IF($S$673=540,PR!$S$598,"-"))))))))))))))))))))))))))))))))))))))))))))))))))))))))))))</f>
        <v>150</v>
      </c>
      <c r="R677" s="602">
        <f>IF($S$673=481,PR!$T$533,IF($S$673=482,PR!$T$534,IF($S$673=483,PR!$T$535,IF($S$673=484,PR!$T$536,IF($S$673=485,PR!$T$537,IF($S$673=486,PR!$T$538,IF($S$673=487,PR!$T$539,IF($S$673=488,PR!$T$540,IF($S$673=489,PR!$T$541,IF($S$673=490,PR!$T$542,IF($S$673=491,PR!$T$543,IF($S$673=492,PR!$T$544,IF($S$673=493,PR!$T$545,IF($S$673=494,PR!$T$549,IF($S$673=495,PR!$T$550,IF($S$673=496,PR!$T$551,IF($S$673=497,PR!$T$552,IF($S$673=498,PR!$T$553,IF($S$673=499,PR!$T$554,IF($S$673=500,PR!$T$555,IF($S$673=501,PR!$T$556,IF($S$673=502,PR!$T$557,IF($S$673=503,PR!$T$558,IF($S$673=504,PR!$T$559,IF($S$673=505,PR!$T$560,IF($S$673=506,PR!$T$561,IF($S$673=507,PR!$T$562,IF($S$673=508,PR!$T$563,IF($S$673=509,PR!$T$564,IF($S$673=510,PR!$T$565,IF($S$673=511,PR!$T$566,IF($S$673=512,PR!$T$567,IF($S$673=513,PR!$T$568,IF($S$673=514,PR!$T$569,IF($S$673=515,PR!$T$570,IF($S$673=516,PR!$T$571,IF($S$673=517,PR!$T$572,IF($S$673=518,PR!$T$573,IF($S$673=519,PR!$T$574,IF($S$673=520,PR!$T$575,IF($S$673=521,PR!$T$576,IF($S$673=522,PR!$T$577,IF($S$673=523,PR!$T$578,IF($S$673=524,PR!$T$579,IF($S$673=525,PR!$T$580,IF($S$673=526,PR!$T$581,IF($S$673=527,PR!$T$582,IF($S$673=528,PR!$T$583,IF($S$673=529,PR!$T$584,IF($S$673=530,PR!$T$585,IF($S$673=531,PR!$T$586,IF($S$673=532,PR!$T$587,IF($S$673=533,PR!$T$588,IF($S$673=534,PR!$T$589,IF($S$673=535,PR!$T$590,IF($S$673=536,PR!$T$591,IF($S$673=537,PR!$T$592,IF($S$673=538,PR!$T$593,IF($S$673=539,PR!$T$597,IF($S$673=540,PR!$T$598,"-"))))))))))))))))))))))))))))))))))))))))))))))))))))))))))))</f>
        <v>0</v>
      </c>
      <c r="S677" s="602">
        <f>IF($S$673=481,PR!$U$533,IF($S$673=482,PR!$U$534,IF($S$673=483,PR!$U$535,IF($S$673=484,PR!$U$536,IF($S$673=485,PR!$U$537,IF($S$673=486,PR!$U$538,IF($S$673=487,PR!$U$539,IF($S$673=488,PR!$U$540,IF($S$673=489,PR!$U$541,IF($S$673=490,PR!$U$542,IF($S$673=491,PR!$U$543,IF($S$673=492,PR!$U$544,IF($S$673=493,PR!$U$545,IF($S$673=494,PR!$U$549,IF($S$673=495,PR!$U$550,IF($S$673=496,PR!$U$551,IF($S$673=497,PR!$U$552,IF($S$673=498,PR!$U$553,IF($S$673=499,PR!$U$554,IF($S$673=500,PR!$U$555,IF($S$673=501,PR!$U$556,IF($S$673=502,PR!$U$557,IF($S$673=503,PR!$U$558,IF($S$673=504,PR!$U$559,IF($S$673=505,PR!$U$560,IF($S$673=506,PR!$U$561,IF($S$673=507,PR!$U$562,IF($S$673=508,PR!$U$563,IF($S$673=509,PR!$U$564,IF($S$673=510,PR!$U$565,IF($S$673=511,PR!$U$566,IF($S$673=512,PR!$U$567,IF($S$673=513,PR!$U$568,IF($S$673=514,PR!$U$569,IF($S$673=515,PR!$U$570,IF($S$673=516,PR!$U$571,IF($S$673=517,PR!$U$572,IF($S$673=518,PR!$U$573,IF($S$673=519,PR!$U$574,IF($S$673=520,PR!$U$575,IF($S$673=521,PR!$U$576,IF($S$673=522,PR!$U$577,IF($S$673=523,PR!$U$578,IF($S$673=524,PR!$U$579,IF($S$673=525,PR!$U$580,IF($S$673=526,PR!$U$581,IF($S$673=527,PR!$U$582,IF($S$673=528,PR!$U$583,IF($S$673=529,PR!$U$584,IF($S$673=530,PR!$U$585,IF($S$673=531,PR!$U$586,IF($S$673=532,PR!$U$587,IF($S$673=533,PR!$U$588,IF($S$673=534,PR!$U$589,IF($S$673=535,PR!$U$590,IF($S$673=536,PR!$U$591,IF($S$673=537,PR!$U$592,IF($S$673=538,PR!$U$593,IF($S$673=539,PR!$U$597,IF($S$673=540,PR!$U$598,"-"))))))))))))))))))))))))))))))))))))))))))))))))))))))))))))</f>
        <v>0</v>
      </c>
      <c r="T677" s="604"/>
      <c r="U677" s="580"/>
      <c r="V677" s="32"/>
      <c r="W677" s="32"/>
      <c r="X677" s="32"/>
      <c r="Y677" s="32"/>
    </row>
    <row r="678" spans="1:26" ht="9" customHeight="1" x14ac:dyDescent="0.25">
      <c r="A678" s="91"/>
      <c r="B678" s="604"/>
      <c r="C678" s="603"/>
      <c r="D678" s="604"/>
      <c r="E678" s="604"/>
      <c r="F678" s="604"/>
      <c r="G678" s="604"/>
      <c r="H678" s="604"/>
      <c r="I678" s="604"/>
      <c r="J678" s="604"/>
      <c r="K678" s="604"/>
      <c r="L678" s="604"/>
      <c r="M678" s="604"/>
      <c r="N678" s="604"/>
      <c r="O678" s="604"/>
      <c r="P678" s="604"/>
      <c r="Q678" s="604"/>
      <c r="R678" s="605"/>
      <c r="S678" s="605"/>
      <c r="T678" s="604"/>
      <c r="U678" s="580"/>
      <c r="V678" s="32"/>
      <c r="W678" s="32"/>
      <c r="X678" s="32"/>
      <c r="Y678" s="32"/>
      <c r="Z678" s="32"/>
    </row>
    <row r="679" spans="1:26" ht="15.75" thickBot="1" x14ac:dyDescent="0.3">
      <c r="A679" s="91"/>
      <c r="B679" s="604"/>
      <c r="C679" s="600" t="str">
        <f>N!$C$21</f>
        <v>GENEITH</v>
      </c>
      <c r="D679" s="600" t="str">
        <f>N!$C$22</f>
        <v>GINOS</v>
      </c>
      <c r="E679" s="600" t="str">
        <f>N!$C$23</f>
        <v>GSK</v>
      </c>
      <c r="F679" s="600" t="str">
        <f>N!$C$24</f>
        <v>GLOBORG</v>
      </c>
      <c r="G679" s="600" t="str">
        <f>N!$C$25</f>
        <v>GOODNEWS</v>
      </c>
      <c r="H679" s="600" t="str">
        <f>N!$C$26</f>
        <v>GREENLIFE</v>
      </c>
      <c r="I679" s="600" t="str">
        <f>N!$C$27</f>
        <v>HLINE</v>
      </c>
      <c r="J679" s="600" t="str">
        <f>N!$C$28</f>
        <v>ROTECH</v>
      </c>
      <c r="K679" s="600" t="str">
        <f>N!$C$29</f>
        <v>ISN</v>
      </c>
      <c r="L679" s="600" t="str">
        <f>N!$C$30</f>
        <v>JAWA</v>
      </c>
      <c r="M679" s="600" t="str">
        <f>N!$C$31</f>
        <v>LAYO</v>
      </c>
      <c r="N679" s="600" t="str">
        <f>N!$C$32</f>
        <v>LEADWAY</v>
      </c>
      <c r="O679" s="600" t="str">
        <f>N!$C$33</f>
        <v>LHV</v>
      </c>
      <c r="P679" s="600" t="str">
        <f>N!$C$34</f>
        <v>MANOLA</v>
      </c>
      <c r="Q679" s="600" t="str">
        <f>N!$C$35</f>
        <v>MARCSON</v>
      </c>
      <c r="R679" s="600" t="str">
        <f>N!$C$36</f>
        <v>M&amp;B</v>
      </c>
      <c r="S679" s="600" t="str">
        <f>N!$C$37</f>
        <v>MTRUST</v>
      </c>
      <c r="T679" s="604"/>
      <c r="U679" s="580"/>
      <c r="V679" s="32"/>
      <c r="W679" s="32"/>
      <c r="X679" s="32"/>
      <c r="Y679" s="32"/>
      <c r="Z679" s="32"/>
    </row>
    <row r="680" spans="1:26" ht="15.75" thickBot="1" x14ac:dyDescent="0.3">
      <c r="A680" s="91"/>
      <c r="B680" s="604"/>
      <c r="C680" s="602">
        <f>IF($S$673=481,PR!$V$533,IF($S$673=482,PR!$V$534,IF($S$673=483,PR!$V$535,IF($S$673=484,PR!$V$536,IF($S$673=485,PR!$V$537,IF($S$673=486,PR!$V$538,IF($S$673=487,PR!$V$539,IF($S$673=488,PR!$V$540,IF($S$673=489,PR!$V$541,IF($S$673=490,PR!$V$542,IF($S$673=491,PR!$V$543,IF($S$673=492,PR!$V$544,IF($S$673=493,PR!$V$545,IF($S$673=494,PR!$V$549,IF($S$673=495,PR!$V$550,IF($S$673=496,PR!$V$551,IF($S$673=497,PR!$V$552,IF($S$673=498,PR!$V$553,IF($S$673=499,PR!$V$554,IF($S$673=500,PR!$V$555,IF($S$673=501,PR!$V$556,IF($S$673=502,PR!$V$557,IF($S$673=503,PR!$V$558,IF($S$673=504,PR!$V$559,IF($S$673=505,PR!$V$560,IF($S$673=506,PR!$V$561,IF($S$673=507,PR!$V$562,IF($S$673=508,PR!$V$563,IF($S$673=509,PR!$V$564,IF($S$673=510,PR!$V$565,IF($S$673=511,PR!$V$566,IF($S$673=512,PR!$V$567,IF($S$673=513,PR!$V$568,IF($S$673=514,PR!$V$569,IF($S$673=515,PR!$V$570,IF($S$673=516,PR!$V$571,IF($S$673=517,PR!$V$572,IF($S$673=518,PR!$V$573,IF($S$673=519,PR!$V$574,IF($S$673=520,PR!$V$575,IF($S$673=521,PR!$V$576,IF($S$673=522,PR!$V$577,IF($S$673=523,PR!$V$578,IF($S$673=524,PR!$V$579,IF($S$673=525,PR!$V$580,IF($S$673=526,PR!$V$581,IF($S$673=527,PR!$V$582,IF($S$673=528,PR!$V$583,IF($S$673=529,PR!$V$584,IF($S$673=530,PR!$V$585,IF($S$673=531,PR!$V$586,IF($S$673=532,PR!$V$587,IF($S$673=533,PR!$V$588,IF($S$673=534,PR!$V$589,IF($S$673=535,PR!$V$590,IF($S$673=536,PR!$V$591,IF($S$673=537,PR!$V$592,IF($S$673=538,PR!$V$593,IF($S$673=539,PR!$V$597,IF($S$673=540,PR!$V$598,"-"))))))))))))))))))))))))))))))))))))))))))))))))))))))))))))</f>
        <v>0</v>
      </c>
      <c r="D680" s="602">
        <f>IF($S$673=481,PR!$W$533,IF($S$673=482,PR!$W$534,IF($S$673=483,PR!$W$535,IF($S$673=484,PR!$W$536,IF($S$673=485,PR!$W$537,IF($S$673=486,PR!$W$538,IF($S$673=487,PR!$W$539,IF($S$673=488,PR!$W$540,IF($S$673=489,PR!$W$541,IF($S$673=490,PR!$W$542,IF($S$673=491,PR!$W$543,IF($S$673=492,PR!$W$544,IF($S$673=493,PR!$W$545,IF($S$673=494,PR!$W$549,IF($S$673=495,PR!$W$550,IF($S$673=496,PR!$W$551,IF($S$673=497,PR!$W$552,IF($S$673=498,PR!$W$553,IF($S$673=499,PR!$W$554,IF($S$673=500,PR!$W$555,IF($S$673=501,PR!$W$556,IF($S$673=502,PR!$W$557,IF($S$673=503,PR!$W$558,IF($S$673=504,PR!$W$559,IF($S$673=505,PR!$W$560,IF($S$673=506,PR!$W$561,IF($S$673=507,PR!$W$562,IF($S$673=508,PR!$W$563,IF($S$673=509,PR!$W$564,IF($S$673=510,PR!$W$565,IF($S$673=511,PR!$W$566,IF($S$673=512,PR!$W$567,IF($S$673=513,PR!$W$568,IF($S$673=514,PR!$W$569,IF($S$673=515,PR!$W$570,IF($S$673=516,PR!$W$571,IF($S$673=517,PR!$W$572,IF($S$673=518,PR!$W$573,IF($S$673=519,PR!$W$574,IF($S$673=520,PR!$W$575,IF($S$673=521,PR!$W$576,IF($S$673=522,PR!$W$577,IF($S$673=523,PR!$W$578,IF($S$673=524,PR!$W$579,IF($S$673=525,PR!$W$580,IF($S$673=526,PR!$W$581,IF($S$673=527,PR!$W$582,IF($S$673=528,PR!$W$583,IF($S$673=529,PR!$W$584,IF($S$673=530,PR!$W$585,IF($S$673=531,PR!$W$586,IF($S$673=532,PR!$W$587,IF($S$673=533,PR!$W$588,IF($S$673=534,PR!$W$589,IF($S$673=535,PR!$W$590,IF($S$673=536,PR!$W$591,IF($S$673=537,PR!$W$592,IF($S$673=538,PR!$W$593,IF($S$673=539,PR!$W$597,IF($S$673=540,PR!$W$598,"-"))))))))))))))))))))))))))))))))))))))))))))))))))))))))))))</f>
        <v>0</v>
      </c>
      <c r="E680" s="602">
        <f>IF($S$673=481,PR!$X$533,IF($S$673=482,PR!$X$534,IF($S$673=483,PR!$X$535,IF($S$673=484,PR!$X$536,IF($S$673=485,PR!$X$537,IF($S$673=486,PR!$X$538,IF($S$673=487,PR!$X$539,IF($S$673=488,PR!$X$540,IF($S$673=489,PR!$X$541,IF($S$673=490,PR!$X$542,IF($S$673=491,PR!$X$543,IF($S$673=492,PR!$X$544,IF($S$673=493,PR!$X$545,IF($S$673=494,PR!$X$549,IF($S$673=495,PR!$X$550,IF($S$673=496,PR!$X$551,IF($S$673=497,PR!$X$552,IF($S$673=498,PR!$X$553,IF($S$673=499,PR!$X$554,IF($S$673=500,PR!$X$555,IF($S$673=501,PR!$X$556,IF($S$673=502,PR!$X$557,IF($S$673=503,PR!$X$558,IF($S$673=504,PR!$X$559,IF($S$673=505,PR!$X$560,IF($S$673=506,PR!$X$561,IF($S$673=507,PR!$X$562,IF($S$673=508,PR!$X$563,IF($S$673=509,PR!$X$564,IF($S$673=510,PR!$X$565,IF($S$673=511,PR!$X$566,IF($S$673=512,PR!$X$567,IF($S$673=513,PR!$X$568,IF($S$673=514,PR!$X$569,IF($S$673=515,PR!$X$570,IF($S$673=516,PR!$X$571,IF($S$673=517,PR!$X$572,IF($S$673=518,PR!$X$573,IF($S$673=519,PR!$X$574,IF($S$673=520,PR!$X$575,IF($S$673=521,PR!$X$576,IF($S$673=522,PR!$X$577,IF($S$673=523,PR!$X$578,IF($S$673=524,PR!$X$579,IF($S$673=525,PR!$X$580,IF($S$673=526,PR!$X$581,IF($S$673=527,PR!$X$582,IF($S$673=528,PR!$X$583,IF($S$673=529,PR!$X$584,IF($S$673=530,PR!$X$585,IF($S$673=531,PR!$X$586,IF($S$673=532,PR!$X$587,IF($S$673=533,PR!$X$588,IF($S$673=534,PR!$X$589,IF($S$673=535,PR!$X$590,IF($S$673=536,PR!$X$591,IF($S$673=537,PR!$X$592,IF($S$673=538,PR!$X$593,IF($S$673=539,PR!$X$597,IF($S$673=540,PR!$X$598,"-"))))))))))))))))))))))))))))))))))))))))))))))))))))))))))))</f>
        <v>0</v>
      </c>
      <c r="F680" s="602">
        <f>IF($S$673=481,PR!$Y$533,IF($S$673=482,PR!$Y$534,IF($S$673=483,PR!$Y$535,IF($S$673=484,PR!$Y$536,IF($S$673=485,PR!$Y$537,IF($S$673=486,PR!$Y$538,IF($S$673=487,PR!$Y$539,IF($S$673=488,PR!$Y$540,IF($S$673=489,PR!$Y$541,IF($S$673=490,PR!$Y$542,IF($S$673=491,PR!$Y$543,IF($S$673=492,PR!$Y$544,IF($S$673=493,PR!$Y$545,IF($S$673=494,PR!$Y$549,IF($S$673=495,PR!$Y$550,IF($S$673=496,PR!$Y$551,IF($S$673=497,PR!$Y$552,IF($S$673=498,PR!$Y$553,IF($S$673=499,PR!$Y$554,IF($S$673=500,PR!$Y$555,IF($S$673=501,PR!$Y$556,IF($S$673=502,PR!$Y$557,IF($S$673=503,PR!$Y$558,IF($S$673=504,PR!$Y$559,IF($S$673=505,PR!$Y$560,IF($S$673=506,PR!$Y$561,IF($S$673=507,PR!$Y$562,IF($S$673=508,PR!$Y$563,IF($S$673=509,PR!$Y$564,IF($S$673=510,PR!$Y$565,IF($S$673=511,PR!$Y$566,IF($S$673=512,PR!$Y$567,IF($S$673=513,PR!$Y$568,IF($S$673=514,PR!$Y$569,IF($S$673=515,PR!$Y$570,IF($S$673=516,PR!$Y$571,IF($S$673=517,PR!$Y$572,IF($S$673=518,PR!$Y$573,IF($S$673=519,PR!$Y$574,IF($S$673=520,PR!$Y$575,IF($S$673=521,PR!$Y$576,IF($S$673=522,PR!$Y$577,IF($S$673=523,PR!$Y$578,IF($S$673=524,PR!$Y$579,IF($S$673=525,PR!$Y$580,IF($S$673=526,PR!$Y$581,IF($S$673=527,PR!$Y$582,IF($S$673=528,PR!$Y$583,IF($S$673=529,PR!$Y$584,IF($S$673=530,PR!$Y$585,IF($S$673=531,PR!$Y$586,IF($S$673=532,PR!$Y$587,IF($S$673=533,PR!$Y$588,IF($S$673=534,PR!$Y$589,IF($S$673=535,PR!$Y$590,IF($S$673=536,PR!$Y$591,IF($S$673=537,PR!$Y$592,IF($S$673=538,PR!$Y$593,IF($S$673=539,PR!$Y$597,IF($S$673=540,PR!$Y$598,"-"))))))))))))))))))))))))))))))))))))))))))))))))))))))))))))</f>
        <v>0</v>
      </c>
      <c r="G680" s="602">
        <f>IF($S$673=481,PR!$Z$533,IF($S$673=482,PR!$Z$534,IF($S$673=483,PR!$Z$535,IF($S$673=484,PR!$Z$536,IF($S$673=485,PR!$Z$537,IF($S$673=486,PR!$Z$538,IF($S$673=487,PR!$Z$539,IF($S$673=488,PR!$Z$540,IF($S$673=489,PR!$Z$541,IF($S$673=490,PR!$Z$542,IF($S$673=491,PR!$Z$543,IF($S$673=492,PR!$Z$544,IF($S$673=493,PR!$Z$545,IF($S$673=494,PR!$Z$549,IF($S$673=495,PR!$Z$550,IF($S$673=496,PR!$Z$551,IF($S$673=497,PR!$Z$552,IF($S$673=498,PR!$Z$553,IF($S$673=499,PR!$Z$554,IF($S$673=500,PR!$Z$555,IF($S$673=501,PR!$Z$556,IF($S$673=502,PR!$Z$557,IF($S$673=503,PR!$Z$558,IF($S$673=504,PR!$Z$559,IF($S$673=505,PR!$Z$560,IF($S$673=506,PR!$Z$561,IF($S$673=507,PR!$Z$562,IF($S$673=508,PR!$Z$563,IF($S$673=509,PR!$Z$564,IF($S$673=510,PR!$Z$565,IF($S$673=511,PR!$Z$566,IF($S$673=512,PR!$Z$567,IF($S$673=513,PR!$Z$568,IF($S$673=514,PR!$Z$569,IF($S$673=515,PR!$Z$570,IF($S$673=516,PR!$Z$571,IF($S$673=517,PR!$Z$572,IF($S$673=518,PR!$Z$573,IF($S$673=519,PR!$Z$574,IF($S$673=520,PR!$Z$575,IF($S$673=521,PR!$Z$576,IF($S$673=522,PR!$Z$577,IF($S$673=523,PR!$Z$578,IF($S$673=524,PR!$Z$579,IF($S$673=525,PR!$Z$580,IF($S$673=526,PR!$Z$581,IF($S$673=527,PR!$Z$582,IF($S$673=528,PR!$Z$583,IF($S$673=529,PR!$Z$584,IF($S$673=530,PR!$Z$585,IF($S$673=531,PR!$Z$586,IF($S$673=532,PR!$Z$587,IF($S$673=533,PR!$Z$588,IF($S$673=534,PR!$Z$589,IF($S$673=535,PR!$Z$590,IF($S$673=536,PR!$Z$591,IF($S$673=537,PR!$Z$592,IF($S$673=538,PR!$Z$593,IF($S$673=539,PR!$Z$597,IF($S$673=540,PR!$Z$598,"-"))))))))))))))))))))))))))))))))))))))))))))))))))))))))))))</f>
        <v>0</v>
      </c>
      <c r="H680" s="602">
        <f>IF($S$673=481,PR!$AA$533,IF($S$673=482,PR!$AA$534,IF($S$673=483,PR!$AA$535,IF($S$673=484,PR!$AA$536,IF($S$673=485,PR!$AA$537,IF($S$673=486,PR!$AA$538,IF($S$673=487,PR!$AA$539,IF($S$673=488,PR!$AA$540,IF($S$673=489,PR!$AA$541,IF($S$673=490,PR!$AA$542,IF($S$673=491,PR!$AA$543,IF($S$673=492,PR!$AA$544,IF($S$673=493,PR!$AA$545,IF($S$673=494,PR!$AA$549,IF($S$673=495,PR!$AA$550,IF($S$673=496,PR!$AA$551,IF($S$673=497,PR!$AA$552,IF($S$673=498,PR!$AA$553,IF($S$673=499,PR!$AA$554,IF($S$673=500,PR!$AA$555,IF($S$673=501,PR!$AA$556,IF($S$673=502,PR!$AA$557,IF($S$673=503,PR!$AA$558,IF($S$673=504,PR!$AA$559,IF($S$673=505,PR!$AA$560,IF($S$673=506,PR!$AA$561,IF($S$673=507,PR!$AA$562,IF($S$673=508,PR!$AA$563,IF($S$673=509,PR!$AA$564,IF($S$673=510,PR!$AA$565,IF($S$673=511,PR!$AA$566,IF($S$673=512,PR!$AA$567,IF($S$673=513,PR!$AA$568,IF($S$673=514,PR!$AA$569,IF($S$673=515,PR!$AA$570,IF($S$673=516,PR!$AA$571,IF($S$673=517,PR!$AA$572,IF($S$673=518,PR!$AA$573,IF($S$673=519,PR!$AA$574,IF($S$673=520,PR!$AA$575,IF($S$673=521,PR!$AA$576,IF($S$673=522,PR!$AA$577,IF($S$673=523,PR!$AA$578,IF($S$673=524,PR!$AA$579,IF($S$673=525,PR!$AA$580,IF($S$673=526,PR!$AA$581,IF($S$673=527,PR!$AA$582,IF($S$673=528,PR!$AA$583,IF($S$673=529,PR!$AA$584,IF($S$673=530,PR!$AA$585,IF($S$673=531,PR!$AA$586,IF($S$673=532,PR!$AA$587,IF($S$673=533,PR!$AA$588,IF($S$673=534,PR!$AA$589,IF($S$673=535,PR!$AA$590,IF($S$673=536,PR!$AA$591,IF($S$673=537,PR!$AA$592,IF($S$673=538,PR!$AA$593,IF($S$673=539,PR!$AA$597,IF($S$673=540,PR!$AA$598,"-"))))))))))))))))))))))))))))))))))))))))))))))))))))))))))))</f>
        <v>0</v>
      </c>
      <c r="I680" s="602">
        <f>IF($S$673=481,PR!$AB$533,IF($S$673=482,PR!$AB$534,IF($S$673=483,PR!$AB$535,IF($S$673=484,PR!$AB$536,IF($S$673=485,PR!$AB$537,IF($S$673=486,PR!$AB$538,IF($S$673=487,PR!$AB$539,IF($S$673=488,PR!$AB$540,IF($S$673=489,PR!$AB$541,IF($S$673=490,PR!$AB$542,IF($S$673=491,PR!$AB$543,IF($S$673=492,PR!$AB$544,IF($S$673=493,PR!$AB$545,IF($S$673=494,PR!$AB$549,IF($S$673=495,PR!$AB$550,IF($S$673=496,PR!$AB$551,IF($S$673=497,PR!$AB$552,IF($S$673=498,PR!$AB$553,IF($S$673=499,PR!$AB$554,IF($S$673=500,PR!$AB$555,IF($S$673=501,PR!$AB$556,IF($S$673=502,PR!$AB$557,IF($S$673=503,PR!$AB$558,IF($S$673=504,PR!$AB$559,IF($S$673=505,PR!$AB$560,IF($S$673=506,PR!$AB$561,IF($S$673=507,PR!$AB$562,IF($S$673=508,PR!$AB$563,IF($S$673=509,PR!$AB$564,IF($S$673=510,PR!$AB$565,IF($S$673=511,PR!$AB$566,IF($S$673=512,PR!$AB$567,IF($S$673=513,PR!$AB$568,IF($S$673=514,PR!$AB$569,IF($S$673=515,PR!$AB$570,IF($S$673=516,PR!$AB$571,IF($S$673=517,PR!$AB$572,IF($S$673=518,PR!$AB$573,IF($S$673=519,PR!$AB$574,IF($S$673=520,PR!$AB$575,IF($S$673=521,PR!$AB$576,IF($S$673=522,PR!$AB$577,IF($S$673=523,PR!$AB$578,IF($S$673=524,PR!$AB$579,IF($S$673=525,PR!$AB$580,IF($S$673=526,PR!$AB$581,IF($S$673=527,PR!$AB$582,IF($S$673=528,PR!$AB$583,IF($S$673=529,PR!$AB$584,IF($S$673=530,PR!$AB$585,IF($S$673=531,PR!$AB$586,IF($S$673=532,PR!$AB$587,IF($S$673=533,PR!$AB$588,IF($S$673=534,PR!$AB$589,IF($S$673=535,PR!$AB$590,IF($S$673=536,PR!$AB$591,IF($S$673=537,PR!$AB$592,IF($S$673=538,PR!$AB$593,IF($S$673=539,PR!$AB$597,IF($S$673=540,PR!$AB$598,"-"))))))))))))))))))))))))))))))))))))))))))))))))))))))))))))</f>
        <v>0</v>
      </c>
      <c r="J680" s="602">
        <f>IF($S$673=481,PR!$AC$533,IF($S$673=482,PR!$AC$534,IF($S$673=483,PR!$AC$535,IF($S$673=484,PR!$AC$536,IF($S$673=485,PR!$AC$537,IF($S$673=486,PR!$AC$538,IF($S$673=487,PR!$AC$539,IF($S$673=488,PR!$AC$540,IF($S$673=489,PR!$AC$541,IF($S$673=490,PR!$AC$542,IF($S$673=491,PR!$AC$543,IF($S$673=492,PR!$AC$544,IF($S$673=493,PR!$AC$545,IF($S$673=494,PR!$AC$549,IF($S$673=495,PR!$AC$550,IF($S$673=496,PR!$AC$551,IF($S$673=497,PR!$AC$552,IF($S$673=498,PR!$AC$553,IF($S$673=499,PR!$AC$554,IF($S$673=500,PR!$AC$555,IF($S$673=501,PR!$AC$556,IF($S$673=502,PR!$AC$557,IF($S$673=503,PR!$AC$558,IF($S$673=504,PR!$AC$559,IF($S$673=505,PR!$AC$560,IF($S$673=506,PR!$AC$561,IF($S$673=507,PR!$AC$562,IF($S$673=508,PR!$AC$563,IF($S$673=509,PR!$AC$564,IF($S$673=510,PR!$AC$565,IF($S$673=511,PR!$AC$566,IF($S$673=512,PR!$AC$567,IF($S$673=513,PR!$AC$568,IF($S$673=514,PR!$AC$569,IF($S$673=515,PR!$AC$570,IF($S$673=516,PR!$AC$571,IF($S$673=517,PR!$AC$572,IF($S$673=518,PR!$AC$573,IF($S$673=519,PR!$AC$574,IF($S$673=520,PR!$AC$575,IF($S$673=521,PR!$AC$576,IF($S$673=522,PR!$AC$577,IF($S$673=523,PR!$AC$578,IF($S$673=524,PR!$AC$579,IF($S$673=525,PR!$AC$580,IF($S$673=526,PR!$AC$581,IF($S$673=527,PR!$AC$582,IF($S$673=528,PR!$AC$583,IF($S$673=529,PR!$AC$584,IF($S$673=530,PR!$AC$585,IF($S$673=531,PR!$AC$586,IF($S$673=532,PR!$AC$587,IF($S$673=533,PR!$AC$588,IF($S$673=534,PR!$AC$589,IF($S$673=535,PR!$AC$590,IF($S$673=536,PR!$AC$591,IF($S$673=537,PR!$AC$592,IF($S$673=538,PR!$AC$593,IF($S$673=539,PR!$AC$597,IF($S$673=540,PR!$AC$598,"-"))))))))))))))))))))))))))))))))))))))))))))))))))))))))))))</f>
        <v>0</v>
      </c>
      <c r="K680" s="602">
        <f>IF($S$673=481,PR!$AD$533,IF($S$673=482,PR!$AD$534,IF($S$673=483,PR!$AD$535,IF($S$673=484,PR!$AD$536,IF($S$673=485,PR!$AD$537,IF($S$673=486,PR!$AD$538,IF($S$673=487,PR!$AD$539,IF($S$673=488,PR!$AD$540,IF($S$673=489,PR!$AD$541,IF($S$673=490,PR!$AD$542,IF($S$673=491,PR!$AD$543,IF($S$673=492,PR!$AD$544,IF($S$673=493,PR!$AD$545,IF($S$673=494,PR!$AD$549,IF($S$673=495,PR!$AD$550,IF($S$673=496,PR!$AD$551,IF($S$673=497,PR!$AD$552,IF($S$673=498,PR!$AD$553,IF($S$673=499,PR!$AD$554,IF($S$673=500,PR!$AD$555,IF($S$673=501,PR!$AD$556,IF($S$673=502,PR!$AD$557,IF($S$673=503,PR!$AD$558,IF($S$673=504,PR!$AD$559,IF($S$673=505,PR!$AD$560,IF($S$673=506,PR!$AD$561,IF($S$673=507,PR!$AD$562,IF($S$673=508,PR!$AD$563,IF($S$673=509,PR!$AD$564,IF($S$673=510,PR!$AD$565,IF($S$673=511,PR!$AD$566,IF($S$673=512,PR!$AD$567,IF($S$673=513,PR!$AD$568,IF($S$673=514,PR!$AD$569,IF($S$673=515,PR!$AD$570,IF($S$673=516,PR!$AD$571,IF($S$673=517,PR!$AD$572,IF($S$673=518,PR!$AD$573,IF($S$673=519,PR!$AD$574,IF($S$673=520,PR!$AD$575,IF($S$673=521,PR!$AD$576,IF($S$673=522,PR!$AD$577,IF($S$673=523,PR!$AD$578,IF($S$673=524,PR!$AD$579,IF($S$673=525,PR!$AD$580,IF($S$673=526,PR!$AD$581,IF($S$673=527,PR!$AD$582,IF($S$673=528,PR!$AD$583,IF($S$673=529,PR!$AD$584,IF($S$673=530,PR!$AD$585,IF($S$673=531,PR!$AD$586,IF($S$673=532,PR!$AD$587,IF($S$673=533,PR!$AD$588,IF($S$673=534,PR!$AD$589,IF($S$673=535,PR!$AD$590,IF($S$673=536,PR!$AD$591,IF($S$673=537,PR!$AD$592,IF($S$673=538,PR!$AD$593,IF($S$673=539,PR!$AD$597,IF($S$673=540,PR!$AD$598,"-"))))))))))))))))))))))))))))))))))))))))))))))))))))))))))))</f>
        <v>0</v>
      </c>
      <c r="L680" s="602">
        <f>IF($S$673=481,PR!$AE$533,IF($S$673=482,PR!$AE$534,IF($S$673=483,PR!$AE$535,IF($S$673=484,PR!$AE$536,IF($S$673=485,PR!$AE$537,IF($S$673=486,PR!$AE$538,IF($S$673=487,PR!$AE$539,IF($S$673=488,PR!$AE$540,IF($S$673=489,PR!$AE$541,IF($S$673=490,PR!$AE$542,IF($S$673=491,PR!$AE$543,IF($S$673=492,PR!$AE$544,IF($S$673=493,PR!$AE$545,IF($S$673=494,PR!$AE$549,IF($S$673=495,PR!$AE$550,IF($S$673=496,PR!$AE$551,IF($S$673=497,PR!$AE$552,IF($S$673=498,PR!$AE$553,IF($S$673=499,PR!$AE$554,IF($S$673=500,PR!$AE$555,IF($S$673=501,PR!$AE$556,IF($S$673=502,PR!$AE$557,IF($S$673=503,PR!$AE$558,IF($S$673=504,PR!$AE$559,IF($S$673=505,PR!$AE$560,IF($S$673=506,PR!$AE$561,IF($S$673=507,PR!$AE$562,IF($S$673=508,PR!$AE$563,IF($S$673=509,PR!$AE$564,IF($S$673=510,PR!$AE$565,IF($S$673=511,PR!$AE$566,IF($S$673=512,PR!$AE$567,IF($S$673=513,PR!$AE$568,IF($S$673=514,PR!$AE$569,IF($S$673=515,PR!$AE$570,IF($S$673=516,PR!$AE$571,IF($S$673=517,PR!$AE$572,IF($S$673=518,PR!$AE$573,IF($S$673=519,PR!$AE$574,IF($S$673=520,PR!$AE$575,IF($S$673=521,PR!$AE$576,IF($S$673=522,PR!$AE$577,IF($S$673=523,PR!$AE$578,IF($S$673=524,PR!$AE$579,IF($S$673=525,PR!$AE$580,IF($S$673=526,PR!$AE$581,IF($S$673=527,PR!$AE$582,IF($S$673=528,PR!$AE$583,IF($S$673=529,PR!$AE$584,IF($S$673=530,PR!$AE$585,IF($S$673=531,PR!$AE$586,IF($S$673=532,PR!$AE$587,IF($S$673=533,PR!$AE$588,IF($S$673=534,PR!$AE$589,IF($S$673=535,PR!$AE$590,IF($S$673=536,PR!$AE$591,IF($S$673=537,PR!$AE$592,IF($S$673=538,PR!$AE$593,IF($S$673=539,PR!$AE$597,IF($S$673=540,PR!$AE$598,"-"))))))))))))))))))))))))))))))))))))))))))))))))))))))))))))</f>
        <v>0</v>
      </c>
      <c r="M680" s="602">
        <f>IF($S$673=481,PR!$AF$533,IF($S$673=482,PR!$AF$534,IF($S$673=483,PR!$AF$535,IF($S$673=484,PR!$AF$536,IF($S$673=485,PR!$AF$537,IF($S$673=486,PR!$AF$538,IF($S$673=487,PR!$AF$539,IF($S$673=488,PR!$AF$540,IF($S$673=489,PR!$AF$541,IF($S$673=490,PR!$AF$542,IF($S$673=491,PR!$AF$543,IF($S$673=492,PR!$AF$544,IF($S$673=493,PR!$AF$545,IF($S$673=494,PR!$AF$549,IF($S$673=495,PR!$AF$550,IF($S$673=496,PR!$AF$551,IF($S$673=497,PR!$AF$552,IF($S$673=498,PR!$AF$553,IF($S$673=499,PR!$AF$554,IF($S$673=500,PR!$AF$555,IF($S$673=501,PR!$AF$556,IF($S$673=502,PR!$AF$557,IF($S$673=503,PR!$AF$558,IF($S$673=504,PR!$AF$559,IF($S$673=505,PR!$AF$560,IF($S$673=506,PR!$AF$561,IF($S$673=507,PR!$AF$562,IF($S$673=508,PR!$AF$563,IF($S$673=509,PR!$AF$564,IF($S$673=510,PR!$AF$565,IF($S$673=511,PR!$AF$566,IF($S$673=512,PR!$AF$567,IF($S$673=513,PR!$AF$568,IF($S$673=514,PR!$AF$569,IF($S$673=515,PR!$AF$570,IF($S$673=516,PR!$AF$571,IF($S$673=517,PR!$AF$572,IF($S$673=518,PR!$AF$573,IF($S$673=519,PR!$AF$574,IF($S$673=520,PR!$AF$575,IF($S$673=521,PR!$AF$576,IF($S$673=522,PR!$AF$577,IF($S$673=523,PR!$AF$578,IF($S$673=524,PR!$AF$579,IF($S$673=525,PR!$AF$580,IF($S$673=526,PR!$AF$581,IF($S$673=527,PR!$AF$582,IF($S$673=528,PR!$AF$583,IF($S$673=529,PR!$AF$584,IF($S$673=530,PR!$AF$585,IF($S$673=531,PR!$AF$586,IF($S$673=532,PR!$AF$587,IF($S$673=533,PR!$AF$588,IF($S$673=534,PR!$AF$589,IF($S$673=535,PR!$AF$590,IF($S$673=536,PR!$AF$591,IF($S$673=537,PR!$AF$592,IF($S$673=538,PR!$AF$593,IF($S$673=539,PR!$AF$597,IF($S$673=540,PR!$AF$598,"-"))))))))))))))))))))))))))))))))))))))))))))))))))))))))))))</f>
        <v>0</v>
      </c>
      <c r="N680" s="602">
        <f>IF($S$673=481,PR!$AG$533,IF($S$673=482,PR!$AG$534,IF($S$673=483,PR!$AG$535,IF($S$673=484,PR!$AG$536,IF($S$673=485,PR!$AG$537,IF($S$673=486,PR!$AG$538,IF($S$673=487,PR!$AG$539,IF($S$673=488,PR!$AG$540,IF($S$673=489,PR!$AG$541,IF($S$673=490,PR!$AG$542,IF($S$673=491,PR!$AG$543,IF($S$673=492,PR!$AG$544,IF($S$673=493,PR!$AG$545,IF($S$673=494,PR!$AG$549,IF($S$673=495,PR!$AG$550,IF($S$673=496,PR!$AG$551,IF($S$673=497,PR!$AG$552,IF($S$673=498,PR!$AG$553,IF($S$673=499,PR!$AG$554,IF($S$673=500,PR!$AG$555,IF($S$673=501,PR!$AG$556,IF($S$673=502,PR!$AG$557,IF($S$673=503,PR!$AG$558,IF($S$673=504,PR!$AG$559,IF($S$673=505,PR!$AG$560,IF($S$673=506,PR!$AG$561,IF($S$673=507,PR!$AG$562,IF($S$673=508,PR!$AG$563,IF($S$673=509,PR!$AG$564,IF($S$673=510,PR!$AG$565,IF($S$673=511,PR!$AG$566,IF($S$673=512,PR!$AG$567,IF($S$673=513,PR!$AG$568,IF($S$673=514,PR!$AG$569,IF($S$673=515,PR!$AG$570,IF($S$673=516,PR!$AG$571,IF($S$673=517,PR!$AG$572,IF($S$673=518,PR!$AG$573,IF($S$673=519,PR!$AG$574,IF($S$673=520,PR!$AG$575,IF($S$673=521,PR!$AG$576,IF($S$673=522,PR!$AG$577,IF($S$673=523,PR!$AG$578,IF($S$673=524,PR!$AG$579,IF($S$673=525,PR!$AG$580,IF($S$673=526,PR!$AG$581,IF($S$673=527,PR!$AG$582,IF($S$673=528,PR!$AG$583,IF($S$673=529,PR!$AG$584,IF($S$673=530,PR!$AG$585,IF($S$673=531,PR!$AG$586,IF($S$673=532,PR!$AG$587,IF($S$673=533,PR!$AG$588,IF($S$673=534,PR!$AG$589,IF($S$673=535,PR!$AG$590,IF($S$673=536,PR!$AG$591,IF($S$673=537,PR!$AG$592,IF($S$673=538,PR!$AG$593,IF($S$673=539,PR!$AG$597,IF($S$673=540,PR!$AG$598,"-"))))))))))))))))))))))))))))))))))))))))))))))))))))))))))))</f>
        <v>160</v>
      </c>
      <c r="O680" s="602">
        <f>IF($S$673=481,PR!$AH$533,IF($S$673=482,PR!$AH$534,IF($S$673=483,PR!$AH$535,IF($S$673=484,PR!$AH$536,IF($S$673=485,PR!$AH$537,IF($S$673=486,PR!$AH$538,IF($S$673=487,PR!$AH$539,IF($S$673=488,PR!$AH$540,IF($S$673=489,PR!$AH$541,IF($S$673=490,PR!$AH$542,IF($S$673=491,PR!$AH$543,IF($S$673=492,PR!$AH$544,IF($S$673=493,PR!$AH$545,IF($S$673=494,PR!$AH$549,IF($S$673=495,PR!$AH$550,IF($S$673=496,PR!$AH$551,IF($S$673=497,PR!$AH$552,IF($S$673=498,PR!$AH$553,IF($S$673=499,PR!$AH$554,IF($S$673=500,PR!$AH$555,IF($S$673=501,PR!$AH$556,IF($S$673=502,PR!$AH$557,IF($S$673=503,PR!$AH$558,IF($S$673=504,PR!$AH$559,IF($S$673=505,PR!$AH$560,IF($S$673=506,PR!$AH$561,IF($S$673=507,PR!$AH$562,IF($S$673=508,PR!$AH$563,IF($S$673=509,PR!$AH$564,IF($S$673=510,PR!$AH$565,IF($S$673=511,PR!$AH$566,IF($S$673=512,PR!$AH$567,IF($S$673=513,PR!$AH$568,IF($S$673=514,PR!$AH$569,IF($S$673=515,PR!$AH$570,IF($S$673=516,PR!$AH$571,IF($S$673=517,PR!$AH$572,IF($S$673=518,PR!$AH$573,IF($S$673=519,PR!$AH$574,IF($S$673=520,PR!$AH$575,IF($S$673=521,PR!$AH$576,IF($S$673=522,PR!$AH$577,IF($S$673=523,PR!$AH$578,IF($S$673=524,PR!$AH$579,IF($S$673=525,PR!$AH$580,IF($S$673=526,PR!$AH$581,IF($S$673=527,PR!$AH$582,IF($S$673=528,PR!$AH$583,IF($S$673=529,PR!$AH$584,IF($S$673=530,PR!$AH$585,IF($S$673=531,PR!$AH$586,IF($S$673=532,PR!$AH$587,IF($S$673=533,PR!$AH$588,IF($S$673=534,PR!$AH$589,IF($S$673=535,PR!$AH$590,IF($S$673=536,PR!$AH$591,IF($S$673=537,PR!$AH$592,IF($S$673=538,PR!$AH$593,IF($S$673=539,PR!$AH$597,IF($S$673=540,PR!$AH$598,"-"))))))))))))))))))))))))))))))))))))))))))))))))))))))))))))</f>
        <v>0</v>
      </c>
      <c r="P680" s="602">
        <f>IF($S$673=481,PR!$AI$533,IF($S$673=482,PR!$AI$534,IF($S$673=483,PR!$AI$535,IF($S$673=484,PR!$AI$536,IF($S$673=485,PR!$AI$537,IF($S$673=486,PR!$AI$538,IF($S$673=487,PR!$AI$539,IF($S$673=488,PR!$AI$540,IF($S$673=489,PR!$AI$541,IF($S$673=490,PR!$AI$542,IF($S$673=491,PR!$AI$543,IF($S$673=492,PR!$AI$544,IF($S$673=493,PR!$AI$545,IF($S$673=494,PR!$AI$549,IF($S$673=495,PR!$AI$550,IF($S$673=496,PR!$AI$551,IF($S$673=497,PR!$AI$552,IF($S$673=498,PR!$AI$553,IF($S$673=499,PR!$AI$554,IF($S$673=500,PR!$AI$555,IF($S$673=501,PR!$AI$556,IF($S$673=502,PR!$AI$557,IF($S$673=503,PR!$AI$558,IF($S$673=504,PR!$AI$559,IF($S$673=505,PR!$AI$560,IF($S$673=506,PR!$AI$561,IF($S$673=507,PR!$AI$562,IF($S$673=508,PR!$AI$563,IF($S$673=509,PR!$AI$564,IF($S$673=510,PR!$AI$565,IF($S$673=511,PR!$AI$566,IF($S$673=512,PR!$AI$567,IF($S$673=513,PR!$AI$568,IF($S$673=514,PR!$AI$569,IF($S$673=515,PR!$AI$570,IF($S$673=516,PR!$AI$571,IF($S$673=517,PR!$AI$572,IF($S$673=518,PR!$AI$573,IF($S$673=519,PR!$AI$574,IF($S$673=520,PR!$AI$575,IF($S$673=521,PR!$AI$576,IF($S$673=522,PR!$AI$577,IF($S$673=523,PR!$AI$578,IF($S$673=524,PR!$AI$579,IF($S$673=525,PR!$AI$580,IF($S$673=526,PR!$AI$581,IF($S$673=527,PR!$AI$582,IF($S$673=528,PR!$AI$583,IF($S$673=529,PR!$AI$584,IF($S$673=530,PR!$AI$585,IF($S$673=531,PR!$AI$586,IF($S$673=532,PR!$AI$587,IF($S$673=533,PR!$AI$588,IF($S$673=534,PR!$AI$589,IF($S$673=535,PR!$AI$590,IF($S$673=536,PR!$AI$591,IF($S$673=537,PR!$AI$592,IF($S$673=538,PR!$AI$593,IF($S$673=539,PR!$AI$597,IF($S$673=540,PR!$AI$598,"-"))))))))))))))))))))))))))))))))))))))))))))))))))))))))))))</f>
        <v>0</v>
      </c>
      <c r="Q680" s="602">
        <f>IF($S$673=481,PR!$AJ$533,IF($S$673=482,PR!$AJ$534,IF($S$673=483,PR!$AJ$535,IF($S$673=484,PR!$AJ$536,IF($S$673=485,PR!$AJ$537,IF($S$673=486,PR!$AJ$538,IF($S$673=487,PR!$AJ$539,IF($S$673=488,PR!$AJ$540,IF($S$673=489,PR!$AJ$541,IF($S$673=490,PR!$AJ$542,IF($S$673=491,PR!$AJ$543,IF($S$673=492,PR!$AJ$544,IF($S$673=493,PR!$AJ$545,IF($S$673=494,PR!$AJ$549,IF($S$673=495,PR!$AJ$550,IF($S$673=496,PR!$AJ$551,IF($S$673=497,PR!$AJ$552,IF($S$673=498,PR!$AJ$553,IF($S$673=499,PR!$AJ$554,IF($S$673=500,PR!$AJ$555,IF($S$673=501,PR!$AJ$556,IF($S$673=502,PR!$AJ$557,IF($S$673=503,PR!$AJ$558,IF($S$673=504,PR!$AJ$559,IF($S$673=505,PR!$AJ$560,IF($S$673=506,PR!$AJ$561,IF($S$673=507,PR!$AJ$562,IF($S$673=508,PR!$AJ$563,IF($S$673=509,PR!$AJ$564,IF($S$673=510,PR!$AJ$565,IF($S$673=511,PR!$AJ$566,IF($S$673=512,PR!$AJ$567,IF($S$673=513,PR!$AJ$568,IF($S$673=514,PR!$AJ$569,IF($S$673=515,PR!$AJ$570,IF($S$673=516,PR!$AJ$571,IF($S$673=517,PR!$AJ$572,IF($S$673=518,PR!$AJ$573,IF($S$673=519,PR!$AJ$574,IF($S$673=520,PR!$AJ$575,IF($S$673=521,PR!$AJ$576,IF($S$673=522,PR!$AJ$577,IF($S$673=523,PR!$AJ$578,IF($S$673=524,PR!$AJ$579,IF($S$673=525,PR!$AJ$580,IF($S$673=526,PR!$AJ$581,IF($S$673=527,PR!$AJ$582,IF($S$673=528,PR!$AJ$583,IF($S$673=529,PR!$AJ$584,IF($S$673=530,PR!$AJ$585,IF($S$673=531,PR!$AJ$586,IF($S$673=532,PR!$AJ$587,IF($S$673=533,PR!$AJ$588,IF($S$673=534,PR!$AJ$589,IF($S$673=535,PR!$AJ$590,IF($S$673=536,PR!$AJ$591,IF($S$673=537,PR!$AJ$592,IF($S$673=538,PR!$AJ$593,IF($S$673=539,PR!$AJ$597,IF($S$673=540,PR!$AJ$598,"-"))))))))))))))))))))))))))))))))))))))))))))))))))))))))))))</f>
        <v>0</v>
      </c>
      <c r="R680" s="602">
        <f>IF($S$673=481,PR!$AK$533,IF($S$673=482,PR!$AK$534,IF($S$673=483,PR!$AK$535,IF($S$673=484,PR!$AK$536,IF($S$673=485,PR!$AK$537,IF($S$673=486,PR!$AK$538,IF($S$673=487,PR!$AK$539,IF($S$673=488,PR!$AK$540,IF($S$673=489,PR!$AK$541,IF($S$673=490,PR!$AK$542,IF($S$673=491,PR!$AK$543,IF($S$673=492,PR!$AK$544,IF($S$673=493,PR!$AK$545,IF($S$673=494,PR!$AK$549,IF($S$673=495,PR!$AK$550,IF($S$673=496,PR!$AK$551,IF($S$673=497,PR!$AK$552,IF($S$673=498,PR!$AK$553,IF($S$673=499,PR!$AK$554,IF($S$673=500,PR!$AK$555,IF($S$673=501,PR!$AK$556,IF($S$673=502,PR!$AK$557,IF($S$673=503,PR!$AK$558,IF($S$673=504,PR!$AK$559,IF($S$673=505,PR!$AK$560,IF($S$673=506,PR!$AK$561,IF($S$673=507,PR!$AK$562,IF($S$673=508,PR!$AK$563,IF($S$673=509,PR!$AK$564,IF($S$673=510,PR!$AK$565,IF($S$673=511,PR!$AK$566,IF($S$673=512,PR!$AK$567,IF($S$673=513,PR!$AK$568,IF($S$673=514,PR!$AK$569,IF($S$673=515,PR!$AK$570,IF($S$673=516,PR!$AK$571,IF($S$673=517,PR!$AK$572,IF($S$673=518,PR!$AK$573,IF($S$673=519,PR!$AK$574,IF($S$673=520,PR!$AK$575,IF($S$673=521,PR!$AK$576,IF($S$673=522,PR!$AK$577,IF($S$673=523,PR!$AK$578,IF($S$673=524,PR!$AK$579,IF($S$673=525,PR!$AK$580,IF($S$673=526,PR!$AK$581,IF($S$673=527,PR!$AK$582,IF($S$673=528,PR!$AK$583,IF($S$673=529,PR!$AK$584,IF($S$673=530,PR!$AK$585,IF($S$673=531,PR!$AK$586,IF($S$673=532,PR!$AK$587,IF($S$673=533,PR!$AK$588,IF($S$673=534,PR!$AK$589,IF($S$673=535,PR!$AK$590,IF($S$673=536,PR!$AK$591,IF($S$673=537,PR!$AK$592,IF($S$673=538,PR!$AK$593,IF($S$673=539,PR!$AK$597,IF($S$673=540,PR!$AK$598,"-"))))))))))))))))))))))))))))))))))))))))))))))))))))))))))))</f>
        <v>0</v>
      </c>
      <c r="S680" s="602">
        <f>IF($S$673=481,PR!$AM$533,IF($S$673=482,PR!$AM$534,IF($S$673=483,PR!$AM$535,IF($S$673=484,PR!$AM$536,IF($S$673=485,PR!$AM$537,IF($S$673=486,PR!$AM$538,IF($S$673=487,PR!$AM$539,IF($S$673=488,PR!$AM$540,IF($S$673=489,PR!$AM$541,IF($S$673=490,PR!$AM$542,IF($S$673=491,PR!$AM$543,IF($S$673=492,PR!$AM$544,IF($S$673=493,PR!$AM$545,IF($S$673=494,PR!$AM$549,IF($S$673=495,PR!$AM$550,IF($S$673=496,PR!$AM$551,IF($S$673=497,PR!$AM$552,IF($S$673=498,PR!$AM$553,IF($S$673=499,PR!$AM$554,IF($S$673=500,PR!$AM$555,IF($S$673=501,PR!$AM$556,IF($S$673=502,PR!$AM$557,IF($S$673=503,PR!$AM$558,IF($S$673=504,PR!$AM$559,IF($S$673=505,PR!$AM$560,IF($S$673=506,PR!$AM$561,IF($S$673=507,PR!$AM$562,IF($S$673=508,PR!$AM$563,IF($S$673=509,PR!$AM$564,IF($S$673=510,PR!$AM$565,IF($S$673=511,PR!$AM$566,IF($S$673=512,PR!$AM$567,IF($S$673=513,PR!$AM$568,IF($S$673=514,PR!$AM$569,IF($S$673=515,PR!$AM$570,IF($S$673=516,PR!$AM$571,IF($S$673=517,PR!$AM$572,IF($S$673=518,PR!$AM$573,IF($S$673=519,PR!$AM$574,IF($S$673=520,PR!$AM$575,IF($S$673=521,PR!$AM$576,IF($S$673=522,PR!$AM$577,IF($S$673=523,PR!$AM$578,IF($S$673=524,PR!$AM$579,IF($S$673=525,PR!$AM$580,IF($S$673=526,PR!$AM$581,IF($S$673=527,PR!$AM$582,IF($S$673=528,PR!$AM$583,IF($S$673=529,PR!$AM$584,IF($S$673=530,PR!$AM$585,IF($S$673=531,PR!$AM$586,IF($S$673=532,PR!$AM$587,IF($S$673=533,PR!$AM$588,IF($S$673=534,PR!$AM$589,IF($S$673=535,PR!$AM$590,IF($S$673=536,PR!$AM$591,IF($S$673=537,PR!$AM$592,IF($S$673=538,PR!$AM$593,IF($S$673=539,PR!$AM$597,IF($S$673=540,PR!$AM$598,"-"))))))))))))))))))))))))))))))))))))))))))))))))))))))))))))</f>
        <v>0</v>
      </c>
      <c r="T680" s="604"/>
      <c r="U680" s="580"/>
      <c r="V680" s="32"/>
      <c r="W680" s="32"/>
      <c r="X680" s="32"/>
      <c r="Y680" s="32"/>
      <c r="Z680" s="32"/>
    </row>
    <row r="681" spans="1:26" ht="6.75" customHeight="1" x14ac:dyDescent="0.25">
      <c r="A681" s="91"/>
      <c r="B681" s="604"/>
      <c r="C681" s="603"/>
      <c r="D681" s="604"/>
      <c r="E681" s="604"/>
      <c r="F681" s="604"/>
      <c r="G681" s="604"/>
      <c r="H681" s="604"/>
      <c r="I681" s="604"/>
      <c r="J681" s="604"/>
      <c r="K681" s="604"/>
      <c r="L681" s="604"/>
      <c r="M681" s="604"/>
      <c r="N681" s="604"/>
      <c r="O681" s="604"/>
      <c r="P681" s="604"/>
      <c r="Q681" s="604"/>
      <c r="R681" s="606"/>
      <c r="S681" s="606"/>
      <c r="T681" s="604"/>
      <c r="U681" s="580"/>
      <c r="V681" s="32"/>
      <c r="W681" s="32"/>
      <c r="X681" s="32"/>
      <c r="Y681" s="32"/>
      <c r="Z681" s="32"/>
    </row>
    <row r="682" spans="1:26" ht="15.75" thickBot="1" x14ac:dyDescent="0.3">
      <c r="A682" s="91"/>
      <c r="B682" s="604"/>
      <c r="C682" s="600" t="str">
        <f>N!$C$38</f>
        <v>MWORLD</v>
      </c>
      <c r="D682" s="600" t="str">
        <f>N!$C$39</f>
        <v>MEGA</v>
      </c>
      <c r="E682" s="600" t="str">
        <f>N!$C$40</f>
        <v>MICRONOVA</v>
      </c>
      <c r="F682" s="600" t="str">
        <f>N!$C$41</f>
        <v>MFLASH</v>
      </c>
      <c r="G682" s="600" t="str">
        <f>N!$C$42</f>
        <v>MORISON</v>
      </c>
      <c r="H682" s="600" t="str">
        <f>N!$C$43</f>
        <v>NEMEL</v>
      </c>
      <c r="I682" s="600" t="str">
        <f>N!$C$44</f>
        <v>NHP</v>
      </c>
      <c r="J682" s="600" t="str">
        <f>N!$C$45</f>
        <v>NHC</v>
      </c>
      <c r="K682" s="600" t="str">
        <f>N!$C$46</f>
        <v>OLEAF</v>
      </c>
      <c r="L682" s="600" t="str">
        <f>N!$C$47</f>
        <v>OCULUS</v>
      </c>
      <c r="M682" s="600" t="str">
        <f>N!$C$48</f>
        <v>PACIFIC</v>
      </c>
      <c r="N682" s="600" t="str">
        <f>N!$C$49</f>
        <v>PHAMATEX</v>
      </c>
      <c r="O682" s="600" t="str">
        <f>N!$C$50</f>
        <v>PETHICS</v>
      </c>
      <c r="P682" s="600" t="str">
        <f>N!$C$51</f>
        <v>PHILIPS</v>
      </c>
      <c r="Q682" s="600" t="str">
        <f>N!$C$52</f>
        <v>RANBAXY</v>
      </c>
      <c r="R682" s="600" t="str">
        <f>N!$C$53</f>
        <v>REALS</v>
      </c>
      <c r="S682" s="600" t="str">
        <f>N!$C$54</f>
        <v>ROYAL</v>
      </c>
      <c r="T682" s="604"/>
      <c r="U682" s="580"/>
      <c r="V682" s="32"/>
      <c r="W682" s="32"/>
      <c r="X682" s="32"/>
      <c r="Y682" s="32"/>
      <c r="Z682" s="32"/>
    </row>
    <row r="683" spans="1:26" ht="15.75" thickBot="1" x14ac:dyDescent="0.3">
      <c r="A683" s="91"/>
      <c r="B683" s="604"/>
      <c r="C683" s="602">
        <f>IF($S$673=481,PR!$AM$533,IF($S$673=482,PR!$AM$534,IF($S$673=483,PR!$AM$535,IF($S$673=484,PR!$AM$536,IF($S$673=485,PR!$AM$537,IF($S$673=486,PR!$AM$538,IF($S$673=487,PR!$AM$539,IF($S$673=488,PR!$AM$540,IF($S$673=489,PR!$AM$541,IF($S$673=490,PR!$AM$542,IF($S$673=491,PR!$AM$543,IF($S$673=492,PR!$AM$544,IF($S$673=493,PR!$AM$545,IF($S$673=494,PR!$AM$549,IF($S$673=495,PR!$AM$550,IF($S$673=496,PR!$AM$551,IF($S$673=497,PR!$AM$552,IF($S$673=498,PR!$AM$553,IF($S$673=499,PR!$AM$554,IF($S$673=500,PR!$AM$555,IF($S$673=501,PR!$AM$556,IF($S$673=502,PR!$AM$557,IF($S$673=503,PR!$AM$558,IF($S$673=504,PR!$AM$559,IF($S$673=505,PR!$AM$560,IF($S$673=506,PR!$AM$561,IF($S$673=507,PR!$AM$562,IF($S$673=508,PR!$AM$563,IF($S$673=509,PR!$AM$564,IF($S$673=510,PR!$AM$565,IF($S$673=511,PR!$AM$566,IF($S$673=512,PR!$AM$567,IF($S$673=513,PR!$AM$568,IF($S$673=514,PR!$AM$569,IF($S$673=515,PR!$AM$570,IF($S$673=516,PR!$AM$571,IF($S$673=517,PR!$AM$572,IF($S$673=518,PR!$AM$573,IF($S$673=519,PR!$AM$574,IF($S$673=520,PR!$AM$575,IF($S$673=521,PR!$AM$576,IF($S$673=522,PR!$AM$577,IF($S$673=523,PR!$AM$578,IF($S$673=524,PR!$AM$579,IF($S$673=525,PR!$AM$580,IF($S$673=526,PR!$AM$581,IF($S$673=527,PR!$AM$582,IF($S$673=528,PR!$AM$583,IF($S$673=529,PR!$AM$584,IF($S$673=530,PR!$AM$585,IF($S$673=531,PR!$AM$586,IF($S$673=532,PR!$AM$587,IF($S$673=533,PR!$AM$588,IF($S$673=534,PR!$AM$589,IF($S$673=535,PR!$AM$590,IF($S$673=536,PR!$AM$591,IF($S$673=537,PR!$AM$592,IF($S$673=538,PR!$AM$593,IF($S$673=539,PR!$AM$597,IF($S$673=540,PR!$AM$598,"-"))))))))))))))))))))))))))))))))))))))))))))))))))))))))))))</f>
        <v>0</v>
      </c>
      <c r="D683" s="602">
        <f>IF($S$673=481,PR!$AN$533,IF($S$673=482,PR!$AN$534,IF($S$673=483,PR!$AN$535,IF($S$673=484,PR!$AN$536,IF($S$673=485,PR!$AN$537,IF($S$673=486,PR!$AN$538,IF($S$673=487,PR!$AN$539,IF($S$673=488,PR!$AN$540,IF($S$673=489,PR!$AN$541,IF($S$673=490,PR!$AN$542,IF($S$673=491,PR!$AN$543,IF($S$673=492,PR!$AN$544,IF($S$673=493,PR!$AN$545,IF($S$673=494,PR!$AN$549,IF($S$673=495,PR!$AN$550,IF($S$673=496,PR!$AN$551,IF($S$673=497,PR!$AN$552,IF($S$673=498,PR!$AN$553,IF($S$673=499,PR!$AN$554,IF($S$673=500,PR!$AN$555,IF($S$673=501,PR!$AN$556,IF($S$673=502,PR!$AN$557,IF($S$673=503,PR!$AN$558,IF($S$673=504,PR!$AN$559,IF($S$673=505,PR!$AN$560,IF($S$673=506,PR!$AN$561,IF($S$673=507,PR!$AN$562,IF($S$673=508,PR!$AN$563,IF($S$673=509,PR!$AN$564,IF($S$673=510,PR!$AN$565,IF($S$673=511,PR!$AN$566,IF($S$673=512,PR!$AN$567,IF($S$673=513,PR!$AN$568,IF($S$673=514,PR!$AN$569,IF($S$673=515,PR!$AN$570,IF($S$673=516,PR!$AN$571,IF($S$673=517,PR!$AN$572,IF($S$673=518,PR!$AN$573,IF($S$673=519,PR!$AN$574,IF($S$673=520,PR!$AN$575,IF($S$673=521,PR!$AN$576,IF($S$673=522,PR!$AN$577,IF($S$673=523,PR!$AN$578,IF($S$673=524,PR!$AN$579,IF($S$673=525,PR!$AN$580,IF($S$673=526,PR!$AN$581,IF($S$673=527,PR!$AN$582,IF($S$673=528,PR!$AN$583,IF($S$673=529,PR!$AN$584,IF($S$673=530,PR!$AN$585,IF($S$673=531,PR!$AN$586,IF($S$673=532,PR!$AN$587,IF($S$673=533,PR!$AN$588,IF($S$673=534,PR!$AN$589,IF($S$673=535,PR!$AN$590,IF($S$673=536,PR!$AN$591,IF($S$673=537,PR!$AN$592,IF($S$673=538,PR!$AN$593,IF($S$673=539,PR!$AN$597,IF($S$673=540,PR!$AN$598,"-"))))))))))))))))))))))))))))))))))))))))))))))))))))))))))))</f>
        <v>0</v>
      </c>
      <c r="E683" s="602">
        <f>IF($S$673=481,PR!$AO$533,IF($S$673=482,PR!$AO$534,IF($S$673=483,PR!$AO$535,IF($S$673=484,PR!$AO$536,IF($S$673=485,PR!$AO$537,IF($S$673=486,PR!$AO$538,IF($S$673=487,PR!$AO$539,IF($S$673=488,PR!$AO$540,IF($S$673=489,PR!$AO$541,IF($S$673=490,PR!$AO$542,IF($S$673=491,PR!$AO$543,IF($S$673=492,PR!$AO$544,IF($S$673=493,PR!$AO$545,IF($S$673=494,PR!$AO$549,IF($S$673=495,PR!$AO$550,IF($S$673=496,PR!$AO$551,IF($S$673=497,PR!$AO$552,IF($S$673=498,PR!$AO$553,IF($S$673=499,PR!$AO$554,IF($S$673=500,PR!$AO$555,IF($S$673=501,PR!$AO$556,IF($S$673=502,PR!$AO$557,IF($S$673=503,PR!$AO$558,IF($S$673=504,PR!$AO$559,IF($S$673=505,PR!$AO$560,IF($S$673=506,PR!$AO$561,IF($S$673=507,PR!$AO$562,IF($S$673=508,PR!$AO$563,IF($S$673=509,PR!$AO$564,IF($S$673=510,PR!$AO$565,IF($S$673=511,PR!$AO$566,IF($S$673=512,PR!$AO$567,IF($S$673=513,PR!$AO$568,IF($S$673=514,PR!$AO$569,IF($S$673=515,PR!$AO$570,IF($S$673=516,PR!$AO$571,IF($S$673=517,PR!$AO$572,IF($S$673=518,PR!$AO$573,IF($S$673=519,PR!$AO$574,IF($S$673=520,PR!$AO$575,IF($S$673=521,PR!$AO$576,IF($S$673=522,PR!$AO$577,IF($S$673=523,PR!$AO$578,IF($S$673=524,PR!$AO$579,IF($S$673=525,PR!$AO$580,IF($S$673=526,PR!$AO$581,IF($S$673=527,PR!$AO$582,IF($S$673=528,PR!$AO$583,IF($S$673=529,PR!$AO$584,IF($S$673=530,PR!$AO$585,IF($S$673=531,PR!$AO$586,IF($S$673=532,PR!$AO$587,IF($S$673=533,PR!$AO$588,IF($S$673=534,PR!$AO$589,IF($S$673=535,PR!$AO$590,IF($S$673=536,PR!$AO$591,IF($S$673=537,PR!$AO$592,IF($S$673=538,PR!$AO$593,IF($S$673=539,PR!$AO$597,IF($S$673=540,PR!$AO$598,"-"))))))))))))))))))))))))))))))))))))))))))))))))))))))))))))</f>
        <v>0</v>
      </c>
      <c r="F683" s="602">
        <f>IF($S$673=481,PR!$AP$533,IF($S$673=482,PR!$AP$534,IF($S$673=483,PR!$AP$535,IF($S$673=484,PR!$AP$536,IF($S$673=485,PR!$AP$537,IF($S$673=486,PR!$AP$538,IF($S$673=487,PR!$AP$539,IF($S$673=488,PR!$AP$540,IF($S$673=489,PR!$AP$541,IF($S$673=490,PR!$AP$542,IF($S$673=491,PR!$AP$543,IF($S$673=492,PR!$AP$544,IF($S$673=493,PR!$AP$545,IF($S$673=494,PR!$AP$549,IF($S$673=495,PR!$AP$550,IF($S$673=496,PR!$AP$551,IF($S$673=497,PR!$AP$552,IF($S$673=498,PR!$AP$553,IF($S$673=499,PR!$AP$554,IF($S$673=500,PR!$AP$555,IF($S$673=501,PR!$AP$556,IF($S$673=502,PR!$AP$557,IF($S$673=503,PR!$AP$558,IF($S$673=504,PR!$AP$559,IF($S$673=505,PR!$AP$560,IF($S$673=506,PR!$AP$561,IF($S$673=507,PR!$AP$562,IF($S$673=508,PR!$AP$563,IF($S$673=509,PR!$AP$564,IF($S$673=510,PR!$AP$565,IF($S$673=511,PR!$AP$566,IF($S$673=512,PR!$AP$567,IF($S$673=513,PR!$AP$568,IF($S$673=514,PR!$AP$569,IF($S$673=515,PR!$AP$570,IF($S$673=516,PR!$AP$571,IF($S$673=517,PR!$AP$572,IF($S$673=518,PR!$AP$573,IF($S$673=519,PR!$AP$574,IF($S$673=520,PR!$AP$575,IF($S$673=521,PR!$AP$576,IF($S$673=522,PR!$AP$577,IF($S$673=523,PR!$AP$578,IF($S$673=524,PR!$AP$579,IF($S$673=525,PR!$AP$580,IF($S$673=526,PR!$AP$581,IF($S$673=527,PR!$AP$582,IF($S$673=528,PR!$AP$583,IF($S$673=529,PR!$AP$584,IF($S$673=530,PR!$AP$585,IF($S$673=531,PR!$AP$586,IF($S$673=532,PR!$AP$587,IF($S$673=533,PR!$AP$588,IF($S$673=534,PR!$AP$589,IF($S$673=535,PR!$AP$590,IF($S$673=536,PR!$AP$591,IF($S$673=537,PR!$AP$592,IF($S$673=538,PR!$AP$593,IF($S$673=539,PR!$AP$597,IF($S$673=540,PR!$AP$598,"-"))))))))))))))))))))))))))))))))))))))))))))))))))))))))))))</f>
        <v>0</v>
      </c>
      <c r="G683" s="602">
        <f>IF($S$673=481,PR!$AQ$533,IF($S$673=482,PR!$AQ$534,IF($S$673=483,PR!$AQ$535,IF($S$673=484,PR!$AQ$536,IF($S$673=485,PR!$AQ$537,IF($S$673=486,PR!$AQ$538,IF($S$673=487,PR!$AQ$539,IF($S$673=488,PR!$AQ$540,IF($S$673=489,PR!$AQ$541,IF($S$673=490,PR!$AQ$542,IF($S$673=491,PR!$AQ$543,IF($S$673=492,PR!$AQ$544,IF($S$673=493,PR!$AQ$545,IF($S$673=494,PR!$AQ$549,IF($S$673=495,PR!$AQ$550,IF($S$673=496,PR!$AQ$551,IF($S$673=497,PR!$AQ$552,IF($S$673=498,PR!$AQ$553,IF($S$673=499,PR!$AQ$554,IF($S$673=500,PR!$AQ$555,IF($S$673=501,PR!$AQ$556,IF($S$673=502,PR!$AQ$557,IF($S$673=503,PR!$AQ$558,IF($S$673=504,PR!$AQ$559,IF($S$673=505,PR!$AQ$560,IF($S$673=506,PR!$AQ$561,IF($S$673=507,PR!$AQ$562,IF($S$673=508,PR!$AQ$563,IF($S$673=509,PR!$AQ$564,IF($S$673=510,PR!$AQ$565,IF($S$673=511,PR!$AQ$566,IF($S$673=512,PR!$AQ$567,IF($S$673=513,PR!$AQ$568,IF($S$673=514,PR!$AQ$569,IF($S$673=515,PR!$AQ$570,IF($S$673=516,PR!$AQ$571,IF($S$673=517,PR!$AQ$572,IF($S$673=518,PR!$AQ$573,IF($S$673=519,PR!$AQ$574,IF($S$673=520,PR!$AQ$575,IF($S$673=521,PR!$AQ$576,IF($S$673=522,PR!$AQ$577,IF($S$673=523,PR!$AQ$578,IF($S$673=524,PR!$AQ$579,IF($S$673=525,PR!$AQ$580,IF($S$673=526,PR!$AQ$581,IF($S$673=527,PR!$AQ$582,IF($S$673=528,PR!$AQ$583,IF($S$673=529,PR!$AQ$584,IF($S$673=530,PR!$AQ$585,IF($S$673=531,PR!$AQ$586,IF($S$673=532,PR!$AQ$587,IF($S$673=533,PR!$AQ$588,IF($S$673=534,PR!$AQ$589,IF($S$673=535,PR!$AQ$590,IF($S$673=536,PR!$AQ$591,IF($S$673=537,PR!$AQ$592,IF($S$673=538,PR!$AQ$593,IF($S$673=539,PR!$AQ$597,IF($S$673=540,PR!$AQ$598,"-"))))))))))))))))))))))))))))))))))))))))))))))))))))))))))))</f>
        <v>0</v>
      </c>
      <c r="H683" s="602">
        <f>IF($S$673=481,PR!$AR$533,IF($S$673=482,PR!$AR$534,IF($S$673=483,PR!$AR$535,IF($S$673=484,PR!$AR$536,IF($S$673=485,PR!$AR$537,IF($S$673=486,PR!$AR$538,IF($S$673=487,PR!$AR$539,IF($S$673=488,PR!$AR$540,IF($S$673=489,PR!$AR$541,IF($S$673=490,PR!$AR$542,IF($S$673=491,PR!$AR$543,IF($S$673=492,PR!$AR$544,IF($S$673=493,PR!$AR$545,IF($S$673=494,PR!$AR$549,IF($S$673=495,PR!$AR$550,IF($S$673=496,PR!$AR$551,IF($S$673=497,PR!$AR$552,IF($S$673=498,PR!$AR$553,IF($S$673=499,PR!$AR$554,IF($S$673=500,PR!$AR$555,IF($S$673=501,PR!$AR$556,IF($S$673=502,PR!$AR$557,IF($S$673=503,PR!$AR$558,IF($S$673=504,PR!$AR$559,IF($S$673=505,PR!$AR$560,IF($S$673=506,PR!$AR$561,IF($S$673=507,PR!$AR$562,IF($S$673=508,PR!$AR$563,IF($S$673=509,PR!$AR$564,IF($S$673=510,PR!$AR$565,IF($S$673=511,PR!$AR$566,IF($S$673=512,PR!$AR$567,IF($S$673=513,PR!$AR$568,IF($S$673=514,PR!$AR$569,IF($S$673=515,PR!$AR$570,IF($S$673=516,PR!$AR$571,IF($S$673=517,PR!$AR$572,IF($S$673=518,PR!$AR$573,IF($S$673=519,PR!$AR$574,IF($S$673=520,PR!$AR$575,IF($S$673=521,PR!$AR$576,IF($S$673=522,PR!$AR$577,IF($S$673=523,PR!$AR$578,IF($S$673=524,PR!$AR$579,IF($S$673=525,PR!$AR$580,IF($S$673=526,PR!$AR$581,IF($S$673=527,PR!$AR$582,IF($S$673=528,PR!$AR$583,IF($S$673=529,PR!$AR$584,IF($S$673=530,PR!$AR$585,IF($S$673=531,PR!$AR$586,IF($S$673=532,PR!$AR$587,IF($S$673=533,PR!$AR$588,IF($S$673=534,PR!$AR$589,IF($S$673=535,PR!$AR$590,IF($S$673=536,PR!$AR$591,IF($S$673=537,PR!$AR$592,IF($S$673=538,PR!$AR$593,IF($S$673=539,PR!$AR$597,IF($S$673=540,PR!$AR$598,"-"))))))))))))))))))))))))))))))))))))))))))))))))))))))))))))</f>
        <v>0</v>
      </c>
      <c r="I683" s="602">
        <f>IF($S$673=481,PR!$AS$533,IF($S$673=482,PR!$AS$534,IF($S$673=483,PR!$AS$535,IF($S$673=484,PR!$AS$536,IF($S$673=485,PR!$AS$537,IF($S$673=486,PR!$AS$538,IF($S$673=487,PR!$AS$539,IF($S$673=488,PR!$AS$540,IF($S$673=489,PR!$AS$541,IF($S$673=490,PR!$AS$542,IF($S$673=491,PR!$AS$543,IF($S$673=492,PR!$AS$544,IF($S$673=493,PR!$AS$545,IF($S$673=494,PR!$AS$549,IF($S$673=495,PR!$AS$550,IF($S$673=496,PR!$AS$551,IF($S$673=497,PR!$AS$552,IF($S$673=498,PR!$AS$553,IF($S$673=499,PR!$AS$554,IF($S$673=500,PR!$AS$555,IF($S$673=501,PR!$AS$556,IF($S$673=502,PR!$AS$557,IF($S$673=503,PR!$AS$558,IF($S$673=504,PR!$AS$559,IF($S$673=505,PR!$AS$560,IF($S$673=506,PR!$AS$561,IF($S$673=507,PR!$AS$562,IF($S$673=508,PR!$AS$563,IF($S$673=509,PR!$AS$564,IF($S$673=510,PR!$AS$565,IF($S$673=511,PR!$AS$566,IF($S$673=512,PR!$AS$567,IF($S$673=513,PR!$AS$568,IF($S$673=514,PR!$AS$569,IF($S$673=515,PR!$AS$570,IF($S$673=516,PR!$AS$571,IF($S$673=517,PR!$AS$572,IF($S$673=518,PR!$AS$573,IF($S$673=519,PR!$AS$574,IF($S$673=520,PR!$AS$575,IF($S$673=521,PR!$AS$576,IF($S$673=522,PR!$AS$577,IF($S$673=523,PR!$AS$578,IF($S$673=524,PR!$AS$579,IF($S$673=525,PR!$AS$580,IF($S$673=526,PR!$AS$581,IF($S$673=527,PR!$AS$582,IF($S$673=528,PR!$AS$583,IF($S$673=529,PR!$AS$584,IF($S$673=530,PR!$AS$585,IF($S$673=531,PR!$AS$586,IF($S$673=532,PR!$AS$587,IF($S$673=533,PR!$AS$588,IF($S$673=534,PR!$AS$589,IF($S$673=535,PR!$AS$590,IF($S$673=536,PR!$AS$591,IF($S$673=537,PR!$AS$592,IF($S$673=538,PR!$AS$593,IF($S$673=539,PR!$AS$597,IF($S$673=540,PR!$AS$598,"-"))))))))))))))))))))))))))))))))))))))))))))))))))))))))))))</f>
        <v>0</v>
      </c>
      <c r="J683" s="602">
        <f>IF($S$673=481,PR!$AT$533,IF($S$673=482,PR!$AT$534,IF($S$673=483,PR!$AT$535,IF($S$673=484,PR!$AT$536,IF($S$673=485,PR!$AT$537,IF($S$673=486,PR!$AT$538,IF($S$673=487,PR!$AT$539,IF($S$673=488,PR!$AT$540,IF($S$673=489,PR!$AT$541,IF($S$673=490,PR!$AT$542,IF($S$673=491,PR!$AT$543,IF($S$673=492,PR!$AT$544,IF($S$673=493,PR!$AT$545,IF($S$673=494,PR!$AT$549,IF($S$673=495,PR!$AT$550,IF($S$673=496,PR!$AT$551,IF($S$673=497,PR!$AT$552,IF($S$673=498,PR!$AT$553,IF($S$673=499,PR!$AT$554,IF($S$673=500,PR!$AT$555,IF($S$673=501,PR!$AT$556,IF($S$673=502,PR!$AT$557,IF($S$673=503,PR!$AT$558,IF($S$673=504,PR!$AT$559,IF($S$673=505,PR!$AT$560,IF($S$673=506,PR!$AT$561,IF($S$673=507,PR!$AT$562,IF($S$673=508,PR!$AT$563,IF($S$673=509,PR!$AT$564,IF($S$673=510,PR!$AT$565,IF($S$673=511,PR!$AT$566,IF($S$673=512,PR!$AT$567,IF($S$673=513,PR!$AT$568,IF($S$673=514,PR!$AT$569,IF($S$673=515,PR!$AT$570,IF($S$673=516,PR!$AT$571,IF($S$673=517,PR!$AT$572,IF($S$673=518,PR!$AT$573,IF($S$673=519,PR!$AT$574,IF($S$673=520,PR!$AT$575,IF($S$673=521,PR!$AT$576,IF($S$673=522,PR!$AT$577,IF($S$673=523,PR!$AT$578,IF($S$673=524,PR!$AT$579,IF($S$673=525,PR!$AT$580,IF($S$673=526,PR!$AT$581,IF($S$673=527,PR!$AT$582,IF($S$673=528,PR!$AT$583,IF($S$673=529,PR!$AT$584,IF($S$673=530,PR!$AT$585,IF($S$673=531,PR!$AT$586,IF($S$673=532,PR!$AT$587,IF($S$673=533,PR!$AT$588,IF($S$673=534,PR!$AT$589,IF($S$673=535,PR!$AT$590,IF($S$673=536,PR!$AT$591,IF($S$673=537,PR!$AT$592,IF($S$673=538,PR!$AT$593,IF($S$673=539,PR!$AT$597,IF($S$673=540,PR!$AT$598,"-"))))))))))))))))))))))))))))))))))))))))))))))))))))))))))))</f>
        <v>0</v>
      </c>
      <c r="K683" s="602">
        <f>IF($S$673=481,PR!$AU$533,IF($S$673=482,PR!$AU$534,IF($S$673=483,PR!$AU$535,IF($S$673=484,PR!$AU$536,IF($S$673=485,PR!$AU$537,IF($S$673=486,PR!$AU$538,IF($S$673=487,PR!$AU$539,IF($S$673=488,PR!$AU$540,IF($S$673=489,PR!$AU$541,IF($S$673=490,PR!$AU$542,IF($S$673=491,PR!$AU$543,IF($S$673=492,PR!$AU$544,IF($S$673=493,PR!$AU$545,IF($S$673=494,PR!$AU$549,IF($S$673=495,PR!$AU$550,IF($S$673=496,PR!$AU$551,IF($S$673=497,PR!$AU$552,IF($S$673=498,PR!$AU$553,IF($S$673=499,PR!$AU$554,IF($S$673=500,PR!$AU$555,IF($S$673=501,PR!$AU$556,IF($S$673=502,PR!$AU$557,IF($S$673=503,PR!$AU$558,IF($S$673=504,PR!$AU$559,IF($S$673=505,PR!$AU$560,IF($S$673=506,PR!$AU$561,IF($S$673=507,PR!$AU$562,IF($S$673=508,PR!$AU$563,IF($S$673=509,PR!$AU$564,IF($S$673=510,PR!$AU$565,IF($S$673=511,PR!$AU$566,IF($S$673=512,PR!$AU$567,IF($S$673=513,PR!$AU$568,IF($S$673=514,PR!$AU$569,IF($S$673=515,PR!$AU$570,IF($S$673=516,PR!$AU$571,IF($S$673=517,PR!$AU$572,IF($S$673=518,PR!$AU$573,IF($S$673=519,PR!$AU$574,IF($S$673=520,PR!$AU$575,IF($S$673=521,PR!$AU$576,IF($S$673=522,PR!$AU$577,IF($S$673=523,PR!$AU$578,IF($S$673=524,PR!$AU$579,IF($S$673=525,PR!$AU$580,IF($S$673=526,PR!$AU$581,IF($S$673=527,PR!$AU$582,IF($S$673=528,PR!$AU$583,IF($S$673=529,PR!$AU$584,IF($S$673=530,PR!$AU$585,IF($S$673=531,PR!$AU$586,IF($S$673=532,PR!$AU$587,IF($S$673=533,PR!$AU$588,IF($S$673=534,PR!$AU$589,IF($S$673=535,PR!$AU$590,IF($S$673=536,PR!$AU$591,IF($S$673=537,PR!$AU$592,IF($S$673=538,PR!$AU$593,IF($S$673=539,PR!$AU$597,IF($S$673=540,PR!$AU$598,"-"))))))))))))))))))))))))))))))))))))))))))))))))))))))))))))</f>
        <v>0</v>
      </c>
      <c r="L683" s="602">
        <f>IF($S$673=481,PR!$AV$533,IF($S$673=482,PR!$AV$534,IF($S$673=483,PR!$AV$535,IF($S$673=484,PR!$AV$536,IF($S$673=485,PR!$AV$537,IF($S$673=486,PR!$AV$538,IF($S$673=487,PR!$AV$539,IF($S$673=488,PR!$AV$540,IF($S$673=489,PR!$AV$541,IF($S$673=490,PR!$AV$542,IF($S$673=491,PR!$AV$543,IF($S$673=492,PR!$AV$544,IF($S$673=493,PR!$AV$545,IF($S$673=494,PR!$AV$549,IF($S$673=495,PR!$AV$550,IF($S$673=496,PR!$AV$551,IF($S$673=497,PR!$AV$552,IF($S$673=498,PR!$AV$553,IF($S$673=499,PR!$AV$554,IF($S$673=500,PR!$AV$555,IF($S$673=501,PR!$AV$556,IF($S$673=502,PR!$AV$557,IF($S$673=503,PR!$AV$558,IF($S$673=504,PR!$AV$559,IF($S$673=505,PR!$AV$560,IF($S$673=506,PR!$AV$561,IF($S$673=507,PR!$AV$562,IF($S$673=508,PR!$AV$563,IF($S$673=509,PR!$AV$564,IF($S$673=510,PR!$AV$565,IF($S$673=511,PR!$AV$566,IF($S$673=512,PR!$AV$567,IF($S$673=513,PR!$AV$568,IF($S$673=514,PR!$AV$569,IF($S$673=515,PR!$AV$570,IF($S$673=516,PR!$AV$571,IF($S$673=517,PR!$AV$572,IF($S$673=518,PR!$AV$573,IF($S$673=519,PR!$AV$574,IF($S$673=520,PR!$AV$575,IF($S$673=521,PR!$AV$576,IF($S$673=522,PR!$AV$577,IF($S$673=523,PR!$AV$578,IF($S$673=524,PR!$AV$579,IF($S$673=525,PR!$AV$580,IF($S$673=526,PR!$AV$581,IF($S$673=527,PR!$AV$582,IF($S$673=528,PR!$AV$583,IF($S$673=529,PR!$AV$584,IF($S$673=530,PR!$AV$585,IF($S$673=531,PR!$AV$586,IF($S$673=532,PR!$AV$587,IF($S$673=533,PR!$AV$588,IF($S$673=534,PR!$AV$589,IF($S$673=535,PR!$AV$590,IF($S$673=536,PR!$AV$591,IF($S$673=537,PR!$AV$592,IF($S$673=538,PR!$AV$593,IF($S$673=539,PR!$AV$597,IF($S$673=540,PR!$AV$598,"-"))))))))))))))))))))))))))))))))))))))))))))))))))))))))))))</f>
        <v>0</v>
      </c>
      <c r="M683" s="602">
        <f>IF($S$673=481,PR!$AW$533,IF($S$673=482,PR!$AW$534,IF($S$673=483,PR!$AW$535,IF($S$673=484,PR!$AW$536,IF($S$673=485,PR!$AW$537,IF($S$673=486,PR!$AW$538,IF($S$673=487,PR!$AW$539,IF($S$673=488,PR!$AW$540,IF($S$673=489,PR!$AW$541,IF($S$673=490,PR!$AW$542,IF($S$673=491,PR!$AW$543,IF($S$673=492,PR!$AW$544,IF($S$673=493,PR!$AW$545,IF($S$673=494,PR!$AW$549,IF($S$673=495,PR!$AW$550,IF($S$673=496,PR!$AW$551,IF($S$673=497,PR!$AW$552,IF($S$673=498,PR!$AW$553,IF($S$673=499,PR!$AW$554,IF($S$673=500,PR!$AW$555,IF($S$673=501,PR!$AW$556,IF($S$673=502,PR!$AW$557,IF($S$673=503,PR!$AW$558,IF($S$673=504,PR!$AW$559,IF($S$673=505,PR!$AW$560,IF($S$673=506,PR!$AW$561,IF($S$673=507,PR!$AW$562,IF($S$673=508,PR!$AW$563,IF($S$673=509,PR!$AW$564,IF($S$673=510,PR!$AW$565,IF($S$673=511,PR!$AW$566,IF($S$673=512,PR!$AW$567,IF($S$673=513,PR!$AW$568,IF($S$673=514,PR!$AW$569,IF($S$673=515,PR!$AW$570,IF($S$673=516,PR!$AW$571,IF($S$673=517,PR!$AW$572,IF($S$673=518,PR!$AW$573,IF($S$673=519,PR!$AW$574,IF($S$673=520,PR!$AW$575,IF($S$673=521,PR!$AW$576,IF($S$673=522,PR!$AW$577,IF($S$673=523,PR!$AW$578,IF($S$673=524,PR!$AW$579,IF($S$673=525,PR!$AW$580,IF($S$673=526,PR!$AW$581,IF($S$673=527,PR!$AW$582,IF($S$673=528,PR!$AW$583,IF($S$673=529,PR!$AW$584,IF($S$673=530,PR!$AW$585,IF($S$673=531,PR!$AW$586,IF($S$673=532,PR!$AW$587,IF($S$673=533,PR!$AW$588,IF($S$673=534,PR!$AW$589,IF($S$673=535,PR!$AW$590,IF($S$673=536,PR!$AW$591,IF($S$673=537,PR!$AW$592,IF($S$673=538,PR!$AW$593,IF($S$673=539,PR!$AW$597,IF($S$673=540,PR!$AW$598,"-"))))))))))))))))))))))))))))))))))))))))))))))))))))))))))))</f>
        <v>0</v>
      </c>
      <c r="N683" s="602">
        <f>IF($S$673=481,PR!$AX$533,IF($S$673=482,PR!$AX$534,IF($S$673=483,PR!$AX$535,IF($S$673=484,PR!$AX$536,IF($S$673=485,PR!$AX$537,IF($S$673=486,PR!$AX$538,IF($S$673=487,PR!$AX$539,IF($S$673=488,PR!$AX$540,IF($S$673=489,PR!$AX$541,IF($S$673=490,PR!$AX$542,IF($S$673=491,PR!$AX$543,IF($S$673=492,PR!$AX$544,IF($S$673=493,PR!$AX$545,IF($S$673=494,PR!$AX$549,IF($S$673=495,PR!$AX$550,IF($S$673=496,PR!$AX$551,IF($S$673=497,PR!$AX$552,IF($S$673=498,PR!$AX$553,IF($S$673=499,PR!$AX$554,IF($S$673=500,PR!$AX$555,IF($S$673=501,PR!$AX$556,IF($S$673=502,PR!$AX$557,IF($S$673=503,PR!$AX$558,IF($S$673=504,PR!$AX$559,IF($S$673=505,PR!$AX$560,IF($S$673=506,PR!$AX$561,IF($S$673=507,PR!$AX$562,IF($S$673=508,PR!$AX$563,IF($S$673=509,PR!$AX$564,IF($S$673=510,PR!$AX$565,IF($S$673=511,PR!$AX$566,IF($S$673=512,PR!$AX$567,IF($S$673=513,PR!$AX$568,IF($S$673=514,PR!$AX$569,IF($S$673=515,PR!$AX$570,IF($S$673=516,PR!$AX$571,IF($S$673=517,PR!$AX$572,IF($S$673=518,PR!$AX$573,IF($S$673=519,PR!$AX$574,IF($S$673=520,PR!$AX$575,IF($S$673=521,PR!$AX$576,IF($S$673=522,PR!$AX$577,IF($S$673=523,PR!$AX$578,IF($S$673=524,PR!$AX$579,IF($S$673=525,PR!$AX$580,IF($S$673=526,PR!$AX$581,IF($S$673=527,PR!$AX$582,IF($S$673=528,PR!$AX$583,IF($S$673=529,PR!$AX$584,IF($S$673=530,PR!$AX$585,IF($S$673=531,PR!$AX$586,IF($S$673=532,PR!$AX$587,IF($S$673=533,PR!$AX$588,IF($S$673=534,PR!$AX$589,IF($S$673=535,PR!$AX$590,IF($S$673=536,PR!$AX$591,IF($S$673=537,PR!$AX$592,IF($S$673=538,PR!$AX$593,IF($S$673=539,PR!$AX$597,IF($S$673=540,PR!$AX$598,"-"))))))))))))))))))))))))))))))))))))))))))))))))))))))))))))</f>
        <v>0</v>
      </c>
      <c r="O683" s="602">
        <f>IF($S$673=481,PR!$AY$533,IF($S$673=482,PR!$AY$534,IF($S$673=483,PR!$AY$535,IF($S$673=484,PR!$AY$536,IF($S$673=485,PR!$AY$537,IF($S$673=486,PR!$AY$538,IF($S$673=487,PR!$AY$539,IF($S$673=488,PR!$AY$540,IF($S$673=489,PR!$AY$541,IF($S$673=490,PR!$AY$542,IF($S$673=491,PR!$AY$543,IF($S$673=492,PR!$AY$544,IF($S$673=493,PR!$AY$545,IF($S$673=494,PR!$AY$549,IF($S$673=495,PR!$AY$550,IF($S$673=496,PR!$AY$551,IF($S$673=497,PR!$AY$552,IF($S$673=498,PR!$AY$553,IF($S$673=499,PR!$AY$554,IF($S$673=500,PR!$AY$555,IF($S$673=501,PR!$AY$556,IF($S$673=502,PR!$AY$557,IF($S$673=503,PR!$AY$558,IF($S$673=504,PR!$AY$559,IF($S$673=505,PR!$AY$560,IF($S$673=506,PR!$AY$561,IF($S$673=507,PR!$AY$562,IF($S$673=508,PR!$AY$563,IF($S$673=509,PR!$AY$564,IF($S$673=510,PR!$AY$565,IF($S$673=511,PR!$AY$566,IF($S$673=512,PR!$AY$567,IF($S$673=513,PR!$AY$568,IF($S$673=514,PR!$AY$569,IF($S$673=515,PR!$AY$570,IF($S$673=516,PR!$AY$571,IF($S$673=517,PR!$AY$572,IF($S$673=518,PR!$AY$573,IF($S$673=519,PR!$AY$574,IF($S$673=520,PR!$AY$575,IF($S$673=521,PR!$AY$576,IF($S$673=522,PR!$AY$577,IF($S$673=523,PR!$AY$578,IF($S$673=524,PR!$AY$579,IF($S$673=525,PR!$AY$580,IF($S$673=526,PR!$AY$581,IF($S$673=527,PR!$AY$582,IF($S$673=528,PR!$AY$583,IF($S$673=529,PR!$AY$584,IF($S$673=530,PR!$AY$585,IF($S$673=531,PR!$AY$586,IF($S$673=532,PR!$AY$587,IF($S$673=533,PR!$AY$588,IF($S$673=534,PR!$AY$589,IF($S$673=535,PR!$AY$590,IF($S$673=536,PR!$AY$591,IF($S$673=537,PR!$AY$592,IF($S$673=538,PR!$AY$593,IF($S$673=539,PR!$AY$597,IF($S$673=540,PR!$AY$598,"-"))))))))))))))))))))))))))))))))))))))))))))))))))))))))))))</f>
        <v>0</v>
      </c>
      <c r="P683" s="602">
        <f>IF($S$673=481,PR!$AZ$533,IF($S$673=482,PR!$AZ$534,IF($S$673=483,PR!$AZ$535,IF($S$673=484,PR!$AZ$536,IF($S$673=485,PR!$AZ$537,IF($S$673=486,PR!$AZ$538,IF($S$673=487,PR!$AZ$539,IF($S$673=488,PR!$AZ$540,IF($S$673=489,PR!$AZ$541,IF($S$673=490,PR!$AZ$542,IF($S$673=491,PR!$AZ$543,IF($S$673=492,PR!$AZ$544,IF($S$673=493,PR!$AZ$545,IF($S$673=494,PR!$AZ$549,IF($S$673=495,PR!$AZ$550,IF($S$673=496,PR!$AZ$551,IF($S$673=497,PR!$AZ$552,IF($S$673=498,PR!$AZ$553,IF($S$673=499,PR!$AZ$554,IF($S$673=500,PR!$AZ$555,IF($S$673=501,PR!$AZ$556,IF($S$673=502,PR!$AZ$557,IF($S$673=503,PR!$AZ$558,IF($S$673=504,PR!$AZ$559,IF($S$673=505,PR!$AZ$560,IF($S$673=506,PR!$AZ$561,IF($S$673=507,PR!$AZ$562,IF($S$673=508,PR!$AZ$563,IF($S$673=509,PR!$AZ$564,IF($S$673=510,PR!$AZ$565,IF($S$673=511,PR!$AZ$566,IF($S$673=512,PR!$AZ$567,IF($S$673=513,PR!$AZ$568,IF($S$673=514,PR!$AZ$569,IF($S$673=515,PR!$AZ$570,IF($S$673=516,PR!$AZ$571,IF($S$673=517,PR!$AZ$572,IF($S$673=518,PR!$AZ$573,IF($S$673=519,PR!$AZ$574,IF($S$673=520,PR!$AZ$575,IF($S$673=521,PR!$AZ$576,IF($S$673=522,PR!$AZ$577,IF($S$673=523,PR!$AZ$578,IF($S$673=524,PR!$AZ$579,IF($S$673=525,PR!$AZ$580,IF($S$673=526,PR!$AZ$581,IF($S$673=527,PR!$AZ$582,IF($S$673=528,PR!$AZ$583,IF($S$673=529,PR!$AZ$584,IF($S$673=530,PR!$AZ$585,IF($S$673=531,PR!$AZ$586,IF($S$673=532,PR!$AZ$587,IF($S$673=533,PR!$AZ$588,IF($S$673=534,PR!$AZ$589,IF($S$673=535,PR!$AZ$590,IF($S$673=536,PR!$AZ$591,IF($S$673=537,PR!$AZ$592,IF($S$673=538,PR!$AZ$593,IF($S$673=539,PR!$AZ$597,IF($S$673=540,PR!$AZ$598,"-"))))))))))))))))))))))))))))))))))))))))))))))))))))))))))))</f>
        <v>0</v>
      </c>
      <c r="Q683" s="602">
        <f>IF($S$673=481,PR!$BA$533,IF($S$673=482,PR!$BA$534,IF($S$673=483,PR!$BA$535,IF($S$673=484,PR!$BA$536,IF($S$673=485,PR!$BA$537,IF($S$673=486,PR!$BA$538,IF($S$673=487,PR!$BA$539,IF($S$673=488,PR!$BA$540,IF($S$673=489,PR!$BA$541,IF($S$673=490,PR!$BA$542,IF($S$673=491,PR!$BA$543,IF($S$673=492,PR!$BA$544,IF($S$673=493,PR!$BA$545,IF($S$673=494,PR!$BA$549,IF($S$673=495,PR!$BA$550,IF($S$673=496,PR!$BA$551,IF($S$673=497,PR!$BA$552,IF($S$673=498,PR!$BA$553,IF($S$673=499,PR!$BA$554,IF($S$673=500,PR!$BA$555,IF($S$673=501,PR!$BA$556,IF($S$673=502,PR!$BA$557,IF($S$673=503,PR!$BA$558,IF($S$673=504,PR!$BA$559,IF($S$673=505,PR!$BA$560,IF($S$673=506,PR!$BA$561,IF($S$673=507,PR!$BA$562,IF($S$673=508,PR!$BA$563,IF($S$673=509,PR!$BA$564,IF($S$673=510,PR!$BA$565,IF($S$673=511,PR!$BA$566,IF($S$673=512,PR!$BA$567,IF($S$673=513,PR!$BA$568,IF($S$673=514,PR!$BA$569,IF($S$673=515,PR!$BA$570,IF($S$673=516,PR!$BA$571,IF($S$673=517,PR!$BA$572,IF($S$673=518,PR!$BA$573,IF($S$673=519,PR!$BA$574,IF($S$673=520,PR!$BA$575,IF($S$673=521,PR!$BA$576,IF($S$673=522,PR!$BA$577,IF($S$673=523,PR!$BA$578,IF($S$673=524,PR!$BA$579,IF($S$673=525,PR!$BA$580,IF($S$673=526,PR!$BA$581,IF($S$673=527,PR!$BA$582,IF($S$673=528,PR!$BA$583,IF($S$673=529,PR!$BA$584,IF($S$673=530,PR!$BA$585,IF($S$673=531,PR!$BA$586,IF($S$673=532,PR!$BA$587,IF($S$673=533,PR!$BA$588,IF($S$673=534,PR!$BA$589,IF($S$673=535,PR!$BA$590,IF($S$673=536,PR!$BA$591,IF($S$673=537,PR!$BA$592,IF($S$673=538,PR!$BA$593,IF($S$673=539,PR!$BA$597,IF($S$673=540,PR!$BA$598,"-"))))))))))))))))))))))))))))))))))))))))))))))))))))))))))))</f>
        <v>0</v>
      </c>
      <c r="R683" s="602">
        <f>IF($S$673=481,PR!$BB$533,IF($S$673=482,PR!$BB$534,IF($S$673=483,PR!$BB$535,IF($S$673=484,PR!$BB$536,IF($S$673=485,PR!$BB$537,IF($S$673=486,PR!$BB$538,IF($S$673=487,PR!$BB$539,IF($S$673=488,PR!$BB$540,IF($S$673=489,PR!$BB$541,IF($S$673=490,PR!$BB$542,IF($S$673=491,PR!$BB$543,IF($S$673=492,PR!$BB$544,IF($S$673=493,PR!$BB$545,IF($S$673=494,PR!$BB$549,IF($S$673=495,PR!$BB$550,IF($S$673=496,PR!$BB$551,IF($S$673=497,PR!$BB$552,IF($S$673=498,PR!$BB$553,IF($S$673=499,PR!$BB$554,IF($S$673=500,PR!$BB$555,IF($S$673=501,PR!$BB$556,IF($S$673=502,PR!$BB$557,IF($S$673=503,PR!$BB$558,IF($S$673=504,PR!$BB$559,IF($S$673=505,PR!$BB$560,IF($S$673=506,PR!$BB$561,IF($S$673=507,PR!$BB$562,IF($S$673=508,PR!$BB$563,IF($S$673=509,PR!$BB$564,IF($S$673=510,PR!$BB$565,IF($S$673=511,PR!$BB$566,IF($S$673=512,PR!$BB$567,IF($S$673=513,PR!$BB$568,IF($S$673=514,PR!$BB$569,IF($S$673=515,PR!$BB$570,IF($S$673=516,PR!$BB$571,IF($S$673=517,PR!$BB$572,IF($S$673=518,PR!$BB$573,IF($S$673=519,PR!$BB$574,IF($S$673=520,PR!$BB$575,IF($S$673=521,PR!$BB$576,IF($S$673=522,PR!$BB$577,IF($S$673=523,PR!$BB$578,IF($S$673=524,PR!$BB$579,IF($S$673=525,PR!$BB$580,IF($S$673=526,PR!$BB$581,IF($S$673=527,PR!$BB$582,IF($S$673=528,PR!$BB$583,IF($S$673=529,PR!$BB$584,IF($S$673=530,PR!$BB$585,IF($S$673=531,PR!$BB$586,IF($S$673=532,PR!$BB$587,IF($S$673=533,PR!$BB$588,IF($S$673=534,PR!$BB$589,IF($S$673=535,PR!$BB$590,IF($S$673=536,PR!$BB$591,IF($S$673=537,PR!$BB$592,IF($S$673=538,PR!$BB$593,IF($S$673=539,PR!$BB$597,IF($S$673=540,PR!$BB$598,"-"))))))))))))))))))))))))))))))))))))))))))))))))))))))))))))</f>
        <v>0</v>
      </c>
      <c r="S683" s="602">
        <f>IF($S$673=481,PR!$BC$533,IF($S$673=482,PR!$BC$534,IF($S$673=483,PR!$BC$535,IF($S$673=484,PR!$BC$536,IF($S$673=485,PR!$BC$537,IF($S$673=486,PR!$BC$538,IF($S$673=487,PR!$BC$539,IF($S$673=488,PR!$BC$540,IF($S$673=489,PR!$BC$541,IF($S$673=490,PR!$BC$542,IF($S$673=491,PR!$BC$543,IF($S$673=492,PR!$BC$544,IF($S$673=493,PR!$BC$545,IF($S$673=494,PR!$BC$549,IF($S$673=495,PR!$BC$550,IF($S$673=496,PR!$BC$551,IF($S$673=497,PR!$BC$552,IF($S$673=498,PR!$BC$553,IF($S$673=499,PR!$BC$554,IF($S$673=500,PR!$BC$555,IF($S$673=501,PR!$BC$556,IF($S$673=502,PR!$BC$557,IF($S$673=503,PR!$BC$558,IF($S$673=504,PR!$BC$559,IF($S$673=505,PR!$BC$560,IF($S$673=506,PR!$BC$561,IF($S$673=507,PR!$BC$562,IF($S$673=508,PR!$BC$563,IF($S$673=509,PR!$BC$564,IF($S$673=510,PR!$BC$565,IF($S$673=511,PR!$BC$566,IF($S$673=512,PR!$BC$567,IF($S$673=513,PR!$BC$568,IF($S$673=514,PR!$BC$569,IF($S$673=515,PR!$BC$570,IF($S$673=516,PR!$BC$571,IF($S$673=517,PR!$BC$572,IF($S$673=518,PR!$BC$573,IF($S$673=519,PR!$BC$574,IF($S$673=520,PR!$BC$575,IF($S$673=521,PR!$BC$576,IF($S$673=522,PR!$BC$577,IF($S$673=523,PR!$BC$578,IF($S$673=524,PR!$BC$579,IF($S$673=525,PR!$BC$580,IF($S$673=526,PR!$BC$581,IF($S$673=527,PR!$BC$582,IF($S$673=528,PR!$BC$583,IF($S$673=529,PR!$BC$584,IF($S$673=530,PR!$BC$585,IF($S$673=531,PR!$BC$586,IF($S$673=532,PR!$BC$587,IF($S$673=533,PR!$BC$588,IF($S$673=534,PR!$BC$589,IF($S$673=535,PR!$BC$590,IF($S$673=536,PR!$BC$591,IF($S$673=537,PR!$BC$592,IF($S$673=538,PR!$BC$593,IF($S$673=539,PR!$BC$597,IF($S$673=540,PR!$BC$598,"-"))))))))))))))))))))))))))))))))))))))))))))))))))))))))))))</f>
        <v>0</v>
      </c>
      <c r="T683" s="604"/>
      <c r="U683" s="580"/>
      <c r="V683" s="32"/>
      <c r="W683" s="32"/>
      <c r="X683" s="32"/>
      <c r="Y683" s="32"/>
      <c r="Z683" s="32"/>
    </row>
    <row r="684" spans="1:26" ht="7.5" customHeight="1" x14ac:dyDescent="0.25">
      <c r="A684" s="91"/>
      <c r="B684" s="604"/>
      <c r="C684" s="603"/>
      <c r="D684" s="604"/>
      <c r="E684" s="604"/>
      <c r="F684" s="604"/>
      <c r="G684" s="604"/>
      <c r="H684" s="604"/>
      <c r="I684" s="604"/>
      <c r="J684" s="604"/>
      <c r="K684" s="604"/>
      <c r="L684" s="604"/>
      <c r="M684" s="604"/>
      <c r="N684" s="604"/>
      <c r="O684" s="604"/>
      <c r="P684" s="604"/>
      <c r="Q684" s="604"/>
      <c r="R684" s="606"/>
      <c r="S684" s="606"/>
      <c r="T684" s="604"/>
      <c r="U684" s="580"/>
      <c r="V684" s="32"/>
      <c r="W684" s="32"/>
      <c r="X684" s="32"/>
      <c r="Y684" s="32"/>
      <c r="Z684" s="32"/>
    </row>
    <row r="685" spans="1:26" ht="15.75" thickBot="1" x14ac:dyDescent="0.3">
      <c r="A685" s="91"/>
      <c r="B685" s="604"/>
      <c r="C685" s="600" t="str">
        <f>N!$C$55</f>
        <v>SAM</v>
      </c>
      <c r="D685" s="600" t="str">
        <f>N!$C$56</f>
        <v>SEAGREEN</v>
      </c>
      <c r="E685" s="600" t="str">
        <f>N!$C$57</f>
        <v>SKG</v>
      </c>
      <c r="F685" s="600" t="str">
        <f>N!$C$58</f>
        <v>TAH</v>
      </c>
      <c r="G685" s="600" t="str">
        <f>N!$C$59</f>
        <v>TAYLEK</v>
      </c>
      <c r="H685" s="600" t="str">
        <f>N!$C$60</f>
        <v>TEMITA</v>
      </c>
      <c r="I685" s="600" t="str">
        <f>N!$C$61</f>
        <v>THL</v>
      </c>
      <c r="J685" s="600" t="str">
        <f>N!$C$62</f>
        <v>UBASTIC</v>
      </c>
      <c r="K685" s="600" t="str">
        <f>N!$C$63</f>
        <v>UNION</v>
      </c>
      <c r="L685" s="600" t="str">
        <f>N!$C$64</f>
        <v>UNIQUE</v>
      </c>
      <c r="M685" s="600" t="str">
        <f>N!$C$65</f>
        <v>VIXA</v>
      </c>
      <c r="N685" s="600" t="str">
        <f>N!$C$66</f>
        <v>WWCV</v>
      </c>
      <c r="O685" s="600" t="str">
        <f>N!$C$67</f>
        <v>ZOLON</v>
      </c>
      <c r="P685" s="600" t="e">
        <f>N!#REF!</f>
        <v>#REF!</v>
      </c>
      <c r="Q685" s="600" t="e">
        <f>N!#REF!</f>
        <v>#REF!</v>
      </c>
      <c r="R685" s="600" t="e">
        <f>N!#REF!</f>
        <v>#REF!</v>
      </c>
      <c r="S685" s="604"/>
      <c r="T685" s="604"/>
      <c r="U685" s="580"/>
      <c r="V685" s="32"/>
      <c r="W685" s="32"/>
      <c r="X685" s="32"/>
      <c r="Y685" s="32"/>
      <c r="Z685" s="32"/>
    </row>
    <row r="686" spans="1:26" ht="15.75" thickBot="1" x14ac:dyDescent="0.3">
      <c r="A686" s="91"/>
      <c r="B686" s="604"/>
      <c r="C686" s="602">
        <f>IF($S$673=481,PR!$BD$533,IF($S$673=482,PR!$BD$534,IF($S$673=483,PR!$BD$535,IF($S$673=484,PR!$BD$536,IF($S$673=485,PR!$BD$537,IF($S$673=486,PR!$BD$538,IF($S$673=487,PR!$BD$539,IF($S$673=488,PR!$BD$540,IF($S$673=489,PR!$BD$541,IF($S$673=490,PR!$BD$542,IF($S$673=491,PR!$BD$543,IF($S$673=492,PR!$BD$544,IF($S$673=493,PR!$BD$545,IF($S$673=494,PR!$BD$549,IF($S$673=495,PR!$BD$550,IF($S$673=496,PR!$BD$551,IF($S$673=497,PR!$BD$552,IF($S$673=498,PR!$BD$553,IF($S$673=499,PR!$BD$554,IF($S$673=500,PR!$BD$555,IF($S$673=501,PR!$BD$556,IF($S$673=502,PR!$BD$557,IF($S$673=503,PR!$BD$558,IF($S$673=504,PR!$BD$559,IF($S$673=505,PR!$BD$560,IF($S$673=506,PR!$BD$561,IF($S$673=507,PR!$BD$562,IF($S$673=508,PR!$BD$563,IF($S$673=509,PR!$BD$564,IF($S$673=510,PR!$BD$565,IF($S$673=511,PR!$BD$566,IF($S$673=512,PR!$BD$567,IF($S$673=513,PR!$BD$568,IF($S$673=514,PR!$BD$569,IF($S$673=515,PR!$BD$570,IF($S$673=516,PR!$BD$571,IF($S$673=517,PR!$BD$572,IF($S$673=518,PR!$BD$573,IF($S$673=519,PR!$BD$574,IF($S$673=520,PR!$BD$575,IF($S$673=521,PR!$BD$576,IF($S$673=522,PR!$BD$577,IF($S$673=523,PR!$BD$578,IF($S$673=524,PR!$BD$579,IF($S$673=525,PR!$BD$580,IF($S$673=526,PR!$BD$581,IF($S$673=527,PR!$BD$582,IF($S$673=528,PR!$BD$583,IF($S$673=529,PR!$BD$584,IF($S$673=530,PR!$BD$585,IF($S$673=531,PR!$BD$586,IF($S$673=532,PR!$BD$587,IF($S$673=533,PR!$BD$588,IF($S$673=534,PR!$BD$589,IF($S$673=535,PR!$BD$590,IF($S$673=536,PR!$BD$591,IF($S$673=537,PR!$BD$592,IF($S$673=538,PR!$BD$593,IF($S$673=539,PR!$BD$597,IF($S$673=540,PR!$BD$598,"-"))))))))))))))))))))))))))))))))))))))))))))))))))))))))))))</f>
        <v>0</v>
      </c>
      <c r="D686" s="602">
        <f>IF($S$673=481,PR!$BE$533,IF($S$673=482,PR!$BE$534,IF($S$673=483,PR!$BE$535,IF($S$673=484,PR!$BE$536,IF($S$673=485,PR!$BE$537,IF($S$673=486,PR!$BE$538,IF($S$673=487,PR!$BE$539,IF($S$673=488,PR!$BE$540,IF($S$673=489,PR!$BE$541,IF($S$673=490,PR!$BE$542,IF($S$673=491,PR!$BE$543,IF($S$673=492,PR!$BE$544,IF($S$673=493,PR!$BE$545,IF($S$673=494,PR!$BE$549,IF($S$673=495,PR!$BE$550,IF($S$673=496,PR!$BE$551,IF($S$673=497,PR!$BE$552,IF($S$673=498,PR!$BE$553,IF($S$673=499,PR!$BE$554,IF($S$673=500,PR!$BE$555,IF($S$673=501,PR!$BE$556,IF($S$673=502,PR!$BE$557,IF($S$673=503,PR!$BE$558,IF($S$673=504,PR!$BE$559,IF($S$673=505,PR!$BE$560,IF($S$673=506,PR!$BE$561,IF($S$673=507,PR!$BE$562,IF($S$673=508,PR!$BE$563,IF($S$673=509,PR!$BE$564,IF($S$673=510,PR!$BE$565,IF($S$673=511,PR!$BE$566,IF($S$673=512,PR!$BE$567,IF($S$673=513,PR!$BE$568,IF($S$673=514,PR!$BE$569,IF($S$673=515,PR!$BE$570,IF($S$673=516,PR!$BE$571,IF($S$673=517,PR!$BE$572,IF($S$673=518,PR!$BE$573,IF($S$673=519,PR!$BE$574,IF($S$673=520,PR!$BE$575,IF($S$673=521,PR!$BE$576,IF($S$673=522,PR!$BE$577,IF($S$673=523,PR!$BE$578,IF($S$673=524,PR!$BE$579,IF($S$673=525,PR!$BE$580,IF($S$673=526,PR!$BE$581,IF($S$673=527,PR!$BE$582,IF($S$673=528,PR!$BE$583,IF($S$673=529,PR!$BE$584,IF($S$673=530,PR!$BE$585,IF($S$673=531,PR!$BE$586,IF($S$673=532,PR!$BE$587,IF($S$673=533,PR!$BE$588,IF($S$673=534,PR!$BE$589,IF($S$673=535,PR!$BE$590,IF($S$673=536,PR!$BE$591,IF($S$673=537,PR!$BE$592,IF($S$673=538,PR!$BE$593,IF($S$673=539,PR!$BE$597,IF($S$673=540,PR!$BE$598,"-"))))))))))))))))))))))))))))))))))))))))))))))))))))))))))))</f>
        <v>0</v>
      </c>
      <c r="E686" s="602">
        <f>IF($S$673=481,PR!$BF$533,IF($S$673=482,PR!$BF$534,IF($S$673=483,PR!$BF$535,IF($S$673=484,PR!$BF$536,IF($S$673=485,PR!$BF$537,IF($S$673=486,PR!$BF$538,IF($S$673=487,PR!$BF$539,IF($S$673=488,PR!$BF$540,IF($S$673=489,PR!$BF$541,IF($S$673=490,PR!$BF$542,IF($S$673=491,PR!$BF$543,IF($S$673=492,PR!$BF$544,IF($S$673=493,PR!$BF$545,IF($S$673=494,PR!$BF$549,IF($S$673=495,PR!$BF$550,IF($S$673=496,PR!$BF$551,IF($S$673=497,PR!$BF$552,IF($S$673=498,PR!$BF$553,IF($S$673=499,PR!$BF$554,IF($S$673=500,PR!$BF$555,IF($S$673=501,PR!$BF$556,IF($S$673=502,PR!$BF$557,IF($S$673=503,PR!$BF$558,IF($S$673=504,PR!$BF$559,IF($S$673=505,PR!$BF$560,IF($S$673=506,PR!$BF$561,IF($S$673=507,PR!$BF$562,IF($S$673=508,PR!$BF$563,IF($S$673=509,PR!$BF$564,IF($S$673=510,PR!$BF$565,IF($S$673=511,PR!$BF$566,IF($S$673=512,PR!$BF$567,IF($S$673=513,PR!$BF$568,IF($S$673=514,PR!$BF$569,IF($S$673=515,PR!$BF$570,IF($S$673=516,PR!$BF$571,IF($S$673=517,PR!$BF$572,IF($S$673=518,PR!$BF$573,IF($S$673=519,PR!$BF$574,IF($S$673=520,PR!$BF$575,IF($S$673=521,PR!$BF$576,IF($S$673=522,PR!$BF$577,IF($S$673=523,PR!$BF$578,IF($S$673=524,PR!$BF$579,IF($S$673=525,PR!$BF$580,IF($S$673=526,PR!$BF$581,IF($S$673=527,PR!$BF$582,IF($S$673=528,PR!$BF$583,IF($S$673=529,PR!$BF$584,IF($S$673=530,PR!$BF$585,IF($S$673=531,PR!$BF$586,IF($S$673=532,PR!$BF$587,IF($S$673=533,PR!$BF$588,IF($S$673=534,PR!$BF$589,IF($S$673=535,PR!$BF$590,IF($S$673=536,PR!$BF$591,IF($S$673=537,PR!$BF$592,IF($S$673=538,PR!$BF$593,IF($S$673=539,PR!$BF$597,IF($S$673=540,PR!$BF$598,"-"))))))))))))))))))))))))))))))))))))))))))))))))))))))))))))</f>
        <v>0</v>
      </c>
      <c r="F686" s="602">
        <f>IF($S$673=481,PR!$BG$533,IF($S$673=482,PR!$BG$534,IF($S$673=483,PR!$BG$535,IF($S$673=484,PR!$BG$536,IF($S$673=485,PR!$BG$537,IF($S$673=486,PR!$BG$538,IF($S$673=487,PR!$BG$539,IF($S$673=488,PR!$BG$540,IF($S$673=489,PR!$BG$541,IF($S$673=490,PR!$BG$542,IF($S$673=491,PR!$BG$543,IF($S$673=492,PR!$BG$544,IF($S$673=493,PR!$BG$545,IF($S$673=494,PR!$BG$549,IF($S$673=495,PR!$BG$550,IF($S$673=496,PR!$BG$551,IF($S$673=497,PR!$BG$552,IF($S$673=498,PR!$BG$553,IF($S$673=499,PR!$BG$554,IF($S$673=500,PR!$BG$555,IF($S$673=501,PR!$BG$556,IF($S$673=502,PR!$BG$557,IF($S$673=503,PR!$BG$558,IF($S$673=504,PR!$BG$559,IF($S$673=505,PR!$BG$560,IF($S$673=506,PR!$BG$561,IF($S$673=507,PR!$BG$562,IF($S$673=508,PR!$BG$563,IF($S$673=509,PR!$BG$564,IF($S$673=510,PR!$BG$565,IF($S$673=511,PR!$BG$566,IF($S$673=512,PR!$BG$567,IF($S$673=513,PR!$BG$568,IF($S$673=514,PR!$BG$569,IF($S$673=515,PR!$BG$570,IF($S$673=516,PR!$BG$571,IF($S$673=517,PR!$BG$572,IF($S$673=518,PR!$BG$573,IF($S$673=519,PR!$BG$574,IF($S$673=520,PR!$BG$575,IF($S$673=521,PR!$BG$576,IF($S$673=522,PR!$BG$577,IF($S$673=523,PR!$BG$578,IF($S$673=524,PR!$BG$579,IF($S$673=525,PR!$BG$580,IF($S$673=526,PR!$BG$581,IF($S$673=527,PR!$BG$582,IF($S$673=528,PR!$BG$583,IF($S$673=529,PR!$BG$584,IF($S$673=530,PR!$BG$585,IF($S$673=531,PR!$BG$586,IF($S$673=532,PR!$BG$587,IF($S$673=533,PR!$BG$588,IF($S$673=534,PR!$BG$589,IF($S$673=535,PR!$BG$590,IF($S$673=536,PR!$BG$591,IF($S$673=537,PR!$BG$592,IF($S$673=538,PR!$BG$593,IF($S$673=539,PR!$BG$597,IF($S$673=540,PR!$BG$598,"-"))))))))))))))))))))))))))))))))))))))))))))))))))))))))))))</f>
        <v>0</v>
      </c>
      <c r="G686" s="602">
        <f>IF($S$673=481,PR!$BH$533,IF($S$673=482,PR!$BH$534,IF($S$673=483,PR!$BH$535,IF($S$673=484,PR!$BH$536,IF($S$673=485,PR!$BH$537,IF($S$673=486,PR!$BH$538,IF($S$673=487,PR!$BH$539,IF($S$673=488,PR!$BH$540,IF($S$673=489,PR!$BH$541,IF($S$673=490,PR!$BH$542,IF($S$673=491,PR!$BH$543,IF($S$673=492,PR!$BH$544,IF($S$673=493,PR!$BH$545,IF($S$673=494,PR!$BH$549,IF($S$673=495,PR!$BH$550,IF($S$673=496,PR!$BH$551,IF($S$673=497,PR!$BH$552,IF($S$673=498,PR!$BH$553,IF($S$673=499,PR!$BH$554,IF($S$673=500,PR!$BH$555,IF($S$673=501,PR!$BH$556,IF($S$673=502,PR!$BH$557,IF($S$673=503,PR!$BH$558,IF($S$673=504,PR!$BH$559,IF($S$673=505,PR!$BH$560,IF($S$673=506,PR!$BH$561,IF($S$673=507,PR!$BH$562,IF($S$673=508,PR!$BH$563,IF($S$673=509,PR!$BH$564,IF($S$673=510,PR!$BH$565,IF($S$673=511,PR!$BH$566,IF($S$673=512,PR!$BH$567,IF($S$673=513,PR!$BH$568,IF($S$673=514,PR!$BH$569,IF($S$673=515,PR!$BH$570,IF($S$673=516,PR!$BH$571,IF($S$673=517,PR!$BH$572,IF($S$673=518,PR!$BH$573,IF($S$673=519,PR!$BH$574,IF($S$673=520,PR!$BH$575,IF($S$673=521,PR!$BH$576,IF($S$673=522,PR!$BH$577,IF($S$673=523,PR!$BH$578,IF($S$673=524,PR!$BH$579,IF($S$673=525,PR!$BH$580,IF($S$673=526,PR!$BH$581,IF($S$673=527,PR!$BH$582,IF($S$673=528,PR!$BH$583,IF($S$673=529,PR!$BH$584,IF($S$673=530,PR!$BH$585,IF($S$673=531,PR!$BH$586,IF($S$673=532,PR!$BH$587,IF($S$673=533,PR!$BH$588,IF($S$673=534,PR!$BH$589,IF($S$673=535,PR!$BH$590,IF($S$673=536,PR!$BH$591,IF($S$673=537,PR!$BH$592,IF($S$673=538,PR!$BH$593,IF($S$673=539,PR!$BH$597,IF($S$673=540,PR!$BH$598,"-"))))))))))))))))))))))))))))))))))))))))))))))))))))))))))))</f>
        <v>0</v>
      </c>
      <c r="H686" s="602">
        <f>IF($S$673=481,PR!$BI$533,IF($S$673=482,PR!$BI$534,IF($S$673=483,PR!$BI$535,IF($S$673=484,PR!$BI$536,IF($S$673=485,PR!$BI$537,IF($S$673=486,PR!$BI$538,IF($S$673=487,PR!$BI$539,IF($S$673=488,PR!$BI$540,IF($S$673=489,PR!$BI$541,IF($S$673=490,PR!$BI$542,IF($S$673=491,PR!$BI$543,IF($S$673=492,PR!$BI$544,IF($S$673=493,PR!$BI$545,IF($S$673=494,PR!$BI$549,IF($S$673=495,PR!$BI$550,IF($S$673=496,PR!$BI$551,IF($S$673=497,PR!$BI$552,IF($S$673=498,PR!$BI$553,IF($S$673=499,PR!$BI$554,IF($S$673=500,PR!$BI$555,IF($S$673=501,PR!$BI$556,IF($S$673=502,PR!$BI$557,IF($S$673=503,PR!$BI$558,IF($S$673=504,PR!$BI$559,IF($S$673=505,PR!$BI$560,IF($S$673=506,PR!$BI$561,IF($S$673=507,PR!$BI$562,IF($S$673=508,PR!$BI$563,IF($S$673=509,PR!$BI$564,IF($S$673=510,PR!$BI$565,IF($S$673=511,PR!$BI$566,IF($S$673=512,PR!$BI$567,IF($S$673=513,PR!$BI$568,IF($S$673=514,PR!$BI$569,IF($S$673=515,PR!$BI$570,IF($S$673=516,PR!$BI$571,IF($S$673=517,PR!$BI$572,IF($S$673=518,PR!$BI$573,IF($S$673=519,PR!$BI$574,IF($S$673=520,PR!$BI$575,IF($S$673=521,PR!$BI$576,IF($S$673=522,PR!$BI$577,IF($S$673=523,PR!$BI$578,IF($S$673=524,PR!$BI$579,IF($S$673=525,PR!$BI$580,IF($S$673=526,PR!$BI$581,IF($S$673=527,PR!$BI$582,IF($S$673=528,PR!$BI$583,IF($S$673=529,PR!$BI$584,IF($S$673=530,PR!$BI$585,IF($S$673=531,PR!$BI$586,IF($S$673=532,PR!$BI$587,IF($S$673=533,PR!$BI$588,IF($S$673=534,PR!$BI$589,IF($S$673=535,PR!$BI$590,IF($S$673=536,PR!$BI$591,IF($S$673=537,PR!$BI$592,IF($S$673=538,PR!$BI$593,IF($S$673=539,PR!$BI$597,IF($S$673=540,PR!$BI$598,"-"))))))))))))))))))))))))))))))))))))))))))))))))))))))))))))</f>
        <v>0</v>
      </c>
      <c r="I686" s="602">
        <f>IF($S$673=481,PR!$BJ$533,IF($S$673=482,PR!$BJ$534,IF($S$673=483,PR!$BJ$535,IF($S$673=484,PR!$BJ$536,IF($S$673=485,PR!$BJ$537,IF($S$673=486,PR!$BJ$538,IF($S$673=487,PR!$BJ$539,IF($S$673=488,PR!$BJ$540,IF($S$673=489,PR!$BJ$541,IF($S$673=490,PR!$BJ$542,IF($S$673=491,PR!$BJ$543,IF($S$673=492,PR!$BJ$544,IF($S$673=493,PR!$BJ$545,IF($S$673=494,PR!$BJ$549,IF($S$673=495,PR!$BJ$550,IF($S$673=496,PR!$BJ$551,IF($S$673=497,PR!$BJ$552,IF($S$673=498,PR!$BJ$553,IF($S$673=499,PR!$BJ$554,IF($S$673=500,PR!$BJ$555,IF($S$673=501,PR!$BJ$556,IF($S$673=502,PR!$BJ$557,IF($S$673=503,PR!$BJ$558,IF($S$673=504,PR!$BJ$559,IF($S$673=505,PR!$BJ$560,IF($S$673=506,PR!$BJ$561,IF($S$673=507,PR!$BJ$562,IF($S$673=508,PR!$BJ$563,IF($S$673=509,PR!$BJ$564,IF($S$673=510,PR!$BJ$565,IF($S$673=511,PR!$BJ$566,IF($S$673=512,PR!$BJ$567,IF($S$673=513,PR!$BJ$568,IF($S$673=514,PR!$BJ$569,IF($S$673=515,PR!$BJ$570,IF($S$673=516,PR!$BJ$571,IF($S$673=517,PR!$BJ$572,IF($S$673=518,PR!$BJ$573,IF($S$673=519,PR!$BJ$574,IF($S$673=520,PR!$BJ$575,IF($S$673=521,PR!$BJ$576,IF($S$673=522,PR!$BJ$577,IF($S$673=523,PR!$BJ$578,IF($S$673=524,PR!$BJ$579,IF($S$673=525,PR!$BJ$580,IF($S$673=526,PR!$BJ$581,IF($S$673=527,PR!$BJ$582,IF($S$673=528,PR!$BJ$583,IF($S$673=529,PR!$BJ$584,IF($S$673=530,PR!$BJ$585,IF($S$673=531,PR!$BJ$586,IF($S$673=532,PR!$BJ$587,IF($S$673=533,PR!$BJ$588,IF($S$673=534,PR!$BJ$589,IF($S$673=535,PR!$BJ$590,IF($S$673=536,PR!$BJ$591,IF($S$673=537,PR!$BJ$592,IF($S$673=538,PR!$BJ$593,IF($S$673=539,PR!$BJ$597,IF($S$673=540,PR!$BJ$598,"-"))))))))))))))))))))))))))))))))))))))))))))))))))))))))))))</f>
        <v>0</v>
      </c>
      <c r="J686" s="602">
        <f>IF($S$673=481,PR!$BK$533,IF($S$673=482,PR!$BK$534,IF($S$673=483,PR!$BK$535,IF($S$673=484,PR!$BK$536,IF($S$673=485,PR!$BK$537,IF($S$673=486,PR!$BK$538,IF($S$673=487,PR!$BK$539,IF($S$673=488,PR!$BK$540,IF($S$673=489,PR!$BK$541,IF($S$673=490,PR!$BK$542,IF($S$673=491,PR!$BK$543,IF($S$673=492,PR!$BK$544,IF($S$673=493,PR!$BK$545,IF($S$673=494,PR!$BK$549,IF($S$673=495,PR!$BK$550,IF($S$673=496,PR!$BK$551,IF($S$673=497,PR!$BK$552,IF($S$673=498,PR!$BK$553,IF($S$673=499,PR!$BK$554,IF($S$673=500,PR!$BK$555,IF($S$673=501,PR!$BK$556,IF($S$673=502,PR!$BK$557,IF($S$673=503,PR!$BK$558,IF($S$673=504,PR!$BK$559,IF($S$673=505,PR!$BK$560,IF($S$673=506,PR!$BK$561,IF($S$673=507,PR!$BK$562,IF($S$673=508,PR!$BK$563,IF($S$673=509,PR!$BK$564,IF($S$673=510,PR!$BK$565,IF($S$673=511,PR!$BK$566,IF($S$673=512,PR!$BK$567,IF($S$673=513,PR!$BK$568,IF($S$673=514,PR!$BK$569,IF($S$673=515,PR!$BK$570,IF($S$673=516,PR!$BK$571,IF($S$673=517,PR!$BK$572,IF($S$673=518,PR!$BK$573,IF($S$673=519,PR!$BK$574,IF($S$673=520,PR!$BK$575,IF($S$673=521,PR!$BK$576,IF($S$673=522,PR!$BK$577,IF($S$673=523,PR!$BK$578,IF($S$673=524,PR!$BK$579,IF($S$673=525,PR!$BK$580,IF($S$673=526,PR!$BK$581,IF($S$673=527,PR!$BK$582,IF($S$673=528,PR!$BK$583,IF($S$673=529,PR!$BK$584,IF($S$673=530,PR!$BK$585,IF($S$673=531,PR!$BK$586,IF($S$673=532,PR!$BK$587,IF($S$673=533,PR!$BK$588,IF($S$673=534,PR!$BK$589,IF($S$673=535,PR!$BK$590,IF($S$673=536,PR!$BK$591,IF($S$673=537,PR!$BK$592,IF($S$673=538,PR!$BK$593,IF($S$673=539,PR!$BK$597,IF($S$673=540,PR!$BK$598,"-"))))))))))))))))))))))))))))))))))))))))))))))))))))))))))))</f>
        <v>0</v>
      </c>
      <c r="K686" s="602">
        <f>IF($S$673=481,PR!$BL$533,IF($S$673=482,PR!$BL$534,IF($S$673=483,PR!$BL$535,IF($S$673=484,PR!$BL$536,IF($S$673=485,PR!$BL$537,IF($S$673=486,PR!$BL$538,IF($S$673=487,PR!$BL$539,IF($S$673=488,PR!$BL$540,IF($S$673=489,PR!$BL$541,IF($S$673=490,PR!$BL$542,IF($S$673=491,PR!$BL$543,IF($S$673=492,PR!$BL$544,IF($S$673=493,PR!$BL$545,IF($S$673=494,PR!$BL$549,IF($S$673=495,PR!$BL$550,IF($S$673=496,PR!$BL$551,IF($S$673=497,PR!$BL$552,IF($S$673=498,PR!$BL$553,IF($S$673=499,PR!$BL$554,IF($S$673=500,PR!$BL$555,IF($S$673=501,PR!$BL$556,IF($S$673=502,PR!$BL$557,IF($S$673=503,PR!$BL$558,IF($S$673=504,PR!$BL$559,IF($S$673=505,PR!$BL$560,IF($S$673=506,PR!$BL$561,IF($S$673=507,PR!$BL$562,IF($S$673=508,PR!$BL$563,IF($S$673=509,PR!$BL$564,IF($S$673=510,PR!$BL$565,IF($S$673=511,PR!$BL$566,IF($S$673=512,PR!$BL$567,IF($S$673=513,PR!$BL$568,IF($S$673=514,PR!$BL$569,IF($S$673=515,PR!$BL$570,IF($S$673=516,PR!$BL$571,IF($S$673=517,PR!$BL$572,IF($S$673=518,PR!$BL$573,IF($S$673=519,PR!$BL$574,IF($S$673=520,PR!$BL$575,IF($S$673=521,PR!$BL$576,IF($S$673=522,PR!$BL$577,IF($S$673=523,PR!$BL$578,IF($S$673=524,PR!$BL$579,IF($S$673=525,PR!$BL$580,IF($S$673=526,PR!$BL$581,IF($S$673=527,PR!$BL$582,IF($S$673=528,PR!$BL$583,IF($S$673=529,PR!$BL$584,IF($S$673=530,PR!$BL$585,IF($S$673=531,PR!$BL$586,IF($S$673=532,PR!$BL$587,IF($S$673=533,PR!$BL$588,IF($S$673=534,PR!$BL$589,IF($S$673=535,PR!$BL$590,IF($S$673=536,PR!$BL$591,IF($S$673=537,PR!$BL$592,IF($S$673=538,PR!$BL$593,IF($S$673=539,PR!$BL$597,IF($S$673=540,PR!$BL$598,"-"))))))))))))))))))))))))))))))))))))))))))))))))))))))))))))</f>
        <v>0</v>
      </c>
      <c r="L686" s="602">
        <f>IF($S$673=481,PR!$BM$533,IF($S$673=482,PR!$BM$534,IF($S$673=483,PR!$BM$535,IF($S$673=484,PR!$BM$536,IF($S$673=485,PR!$BM$537,IF($S$673=486,PR!$BM$538,IF($S$673=487,PR!$BM$539,IF($S$673=488,PR!$BM$540,IF($S$673=489,PR!$BM$541,IF($S$673=490,PR!$BM$542,IF($S$673=491,PR!$BM$543,IF($S$673=492,PR!$BM$544,IF($S$673=493,PR!$BM$545,IF($S$673=494,PR!$BM$549,IF($S$673=495,PR!$BM$550,IF($S$673=496,PR!$BM$551,IF($S$673=497,PR!$BM$552,IF($S$673=498,PR!$BM$553,IF($S$673=499,PR!$BM$554,IF($S$673=500,PR!$BM$555,IF($S$673=501,PR!$BM$556,IF($S$673=502,PR!$BM$557,IF($S$673=503,PR!$BM$558,IF($S$673=504,PR!$BM$559,IF($S$673=505,PR!$BM$560,IF($S$673=506,PR!$BM$561,IF($S$673=507,PR!$BM$562,IF($S$673=508,PR!$BM$563,IF($S$673=509,PR!$BM$564,IF($S$673=510,PR!$BM$565,IF($S$673=511,PR!$BM$566,IF($S$673=512,PR!$BM$567,IF($S$673=513,PR!$BM$568,IF($S$673=514,PR!$BM$569,IF($S$673=515,PR!$BM$570,IF($S$673=516,PR!$BM$571,IF($S$673=517,PR!$BM$572,IF($S$673=518,PR!$BM$573,IF($S$673=519,PR!$BM$574,IF($S$673=520,PR!$BM$575,IF($S$673=521,PR!$BM$576,IF($S$673=522,PR!$BM$577,IF($S$673=523,PR!$BM$578,IF($S$673=524,PR!$BM$579,IF($S$673=525,PR!$BM$580,IF($S$673=526,PR!$BM$581,IF($S$673=527,PR!$BM$582,IF($S$673=528,PR!$BM$583,IF($S$673=529,PR!$BM$584,IF($S$673=530,PR!$BM$585,IF($S$673=531,PR!$BM$586,IF($S$673=532,PR!$BM$587,IF($S$673=533,PR!$BM$588,IF($S$673=534,PR!$BM$589,IF($S$673=535,PR!$BM$590,IF($S$673=536,PR!$BM$591,IF($S$673=537,PR!$BM$592,IF($S$673=538,PR!$BM$593,IF($S$673=539,PR!$BM$597,IF($S$673=540,PR!$BM$598,"-"))))))))))))))))))))))))))))))))))))))))))))))))))))))))))))</f>
        <v>0</v>
      </c>
      <c r="M686" s="602">
        <f>IF($S$673=481,PR!$BN$533,IF($S$673=482,PR!$BN$534,IF($S$673=483,PR!$BN$535,IF($S$673=484,PR!$BN$536,IF($S$673=485,PR!$BN$537,IF($S$673=486,PR!$BN$538,IF($S$673=487,PR!$BN$539,IF($S$673=488,PR!$BN$540,IF($S$673=489,PR!$BN$541,IF($S$673=490,PR!$BN$542,IF($S$673=491,PR!$BN$543,IF($S$673=492,PR!$BN$544,IF($S$673=493,PR!$BN$545,IF($S$673=494,PR!$BN$549,IF($S$673=495,PR!$BN$550,IF($S$673=496,PR!$BN$551,IF($S$673=497,PR!$BN$552,IF($S$673=498,PR!$BN$553,IF($S$673=499,PR!$BN$554,IF($S$673=500,PR!$BN$555,IF($S$673=501,PR!$BN$556,IF($S$673=502,PR!$BN$557,IF($S$673=503,PR!$BN$558,IF($S$673=504,PR!$BN$559,IF($S$673=505,PR!$BN$560,IF($S$673=506,PR!$BN$561,IF($S$673=507,PR!$BN$562,IF($S$673=508,PR!$BN$563,IF($S$673=509,PR!$BN$564,IF($S$673=510,PR!$BN$565,IF($S$673=511,PR!$BN$566,IF($S$673=512,PR!$BN$567,IF($S$673=513,PR!$BN$568,IF($S$673=514,PR!$BN$569,IF($S$673=515,PR!$BN$570,IF($S$673=516,PR!$BN$571,IF($S$673=517,PR!$BN$572,IF($S$673=518,PR!$BN$573,IF($S$673=519,PR!$BN$574,IF($S$673=520,PR!$BN$575,IF($S$673=521,PR!$BN$576,IF($S$673=522,PR!$BN$577,IF($S$673=523,PR!$BN$578,IF($S$673=524,PR!$BN$579,IF($S$673=525,PR!$BN$580,IF($S$673=526,PR!$BN$581,IF($S$673=527,PR!$BN$582,IF($S$673=528,PR!$BN$583,IF($S$673=529,PR!$BN$584,IF($S$673=530,PR!$BN$585,IF($S$673=531,PR!$BN$586,IF($S$673=532,PR!$BN$587,IF($S$673=533,PR!$BN$588,IF($S$673=534,PR!$BN$589,IF($S$673=535,PR!$BN$590,IF($S$673=536,PR!$BN$591,IF($S$673=537,PR!$BN$592,IF($S$673=538,PR!$BN$593,IF($S$673=539,PR!$BN$597,IF($S$673=540,PR!$BN$598,"-"))))))))))))))))))))))))))))))))))))))))))))))))))))))))))))</f>
        <v>0</v>
      </c>
      <c r="N686" s="602">
        <f>IF($S$673=481,PR!$BO$533,IF($S$673=482,PR!$BO$534,IF($S$673=483,PR!$BO$535,IF($S$673=484,PR!$BO$536,IF($S$673=485,PR!$BO$537,IF($S$673=486,PR!$BO$538,IF($S$673=487,PR!$BO$539,IF($S$673=488,PR!$BO$540,IF($S$673=489,PR!$BO$541,IF($S$673=490,PR!$BO$542,IF($S$673=491,PR!$BO$543,IF($S$673=492,PR!$BO$544,IF($S$673=493,PR!$BO$545,IF($S$673=494,PR!$BO$549,IF($S$673=495,PR!$BO$550,IF($S$673=496,PR!$BO$551,IF($S$673=497,PR!$BO$552,IF($S$673=498,PR!$BO$553,IF($S$673=499,PR!$BO$554,IF($S$673=500,PR!$BO$555,IF($S$673=501,PR!$BO$556,IF($S$673=502,PR!$BO$557,IF($S$673=503,PR!$BO$558,IF($S$673=504,PR!$BO$559,IF($S$673=505,PR!$BO$560,IF($S$673=506,PR!$BO$561,IF($S$673=507,PR!$BO$562,IF($S$673=508,PR!$BO$563,IF($S$673=509,PR!$BO$564,IF($S$673=510,PR!$BO$565,IF($S$673=511,PR!$BO$566,IF($S$673=512,PR!$BO$567,IF($S$673=513,PR!$BO$568,IF($S$673=514,PR!$BO$569,IF($S$673=515,PR!$BO$570,IF($S$673=516,PR!$BO$571,IF($S$673=517,PR!$BO$572,IF($S$673=518,PR!$BO$573,IF($S$673=519,PR!$BO$574,IF($S$673=520,PR!$BO$575,IF($S$673=521,PR!$BO$576,IF($S$673=522,PR!$BO$577,IF($S$673=523,PR!$BO$578,IF($S$673=524,PR!$BO$579,IF($S$673=525,PR!$BO$580,IF($S$673=526,PR!$BO$581,IF($S$673=527,PR!$BO$582,IF($S$673=528,PR!$BO$583,IF($S$673=529,PR!$BO$584,IF($S$673=530,PR!$BO$585,IF($S$673=531,PR!$BO$586,IF($S$673=532,PR!$BO$587,IF($S$673=533,PR!$BO$588,IF($S$673=534,PR!$BO$589,IF($S$673=535,PR!$BO$590,IF($S$673=536,PR!$BO$591,IF($S$673=537,PR!$BO$592,IF($S$673=538,PR!$BO$593,IF($S$673=539,PR!$BO$597,IF($S$673=540,PR!$BO$598,"-"))))))))))))))))))))))))))))))))))))))))))))))))))))))))))))</f>
        <v>0</v>
      </c>
      <c r="O686" s="602">
        <f>IF($S$673=481,PR!$BP$533,IF($S$673=482,PR!$BP$534,IF($S$673=483,PR!$BP$535,IF($S$673=484,PR!$BP$536,IF($S$673=485,PR!$BP$537,IF($S$673=486,PR!$BP$538,IF($S$673=487,PR!$BP$539,IF($S$673=488,PR!$BP$540,IF($S$673=489,PR!$BP$541,IF($S$673=490,PR!$BP$542,IF($S$673=491,PR!$BP$543,IF($S$673=492,PR!$BP$544,IF($S$673=493,PR!$BP$545,IF($S$673=494,PR!$BP$549,IF($S$673=495,PR!$BP$550,IF($S$673=496,PR!$BP$551,IF($S$673=497,PR!$BP$552,IF($S$673=498,PR!$BP$553,IF($S$673=499,PR!$BP$554,IF($S$673=500,PR!$BP$555,IF($S$673=501,PR!$BP$556,IF($S$673=502,PR!$BP$557,IF($S$673=503,PR!$BP$558,IF($S$673=504,PR!$BP$559,IF($S$673=505,PR!$BP$560,IF($S$673=506,PR!$BP$561,IF($S$673=507,PR!$BP$562,IF($S$673=508,PR!$BP$563,IF($S$673=509,PR!$BP$564,IF($S$673=510,PR!$BP$565,IF($S$673=511,PR!$BP$566,IF($S$673=512,PR!$BP$567,IF($S$673=513,PR!$BP$568,IF($S$673=514,PR!$BP$569,IF($S$673=515,PR!$BP$570,IF($S$673=516,PR!$BP$571,IF($S$673=517,PR!$BP$572,IF($S$673=518,PR!$BP$573,IF($S$673=519,PR!$BP$574,IF($S$673=520,PR!$BP$575,IF($S$673=521,PR!$BP$576,IF($S$673=522,PR!$BP$577,IF($S$673=523,PR!$BP$578,IF($S$673=524,PR!$BP$579,IF($S$673=525,PR!$BP$580,IF($S$673=526,PR!$BP$581,IF($S$673=527,PR!$BP$582,IF($S$673=528,PR!$BP$583,IF($S$673=529,PR!$BP$584,IF($S$673=530,PR!$BP$585,IF($S$673=531,PR!$BP$586,IF($S$673=532,PR!$BP$587,IF($S$673=533,PR!$BP$588,IF($S$673=534,PR!$BP$589,IF($S$673=535,PR!$BP$590,IF($S$673=536,PR!$BP$591,IF($S$673=537,PR!$BP$592,IF($S$673=538,PR!$BP$593,IF($S$673=539,PR!$BP$597,IF($S$673=540,PR!$BP$598,"-"))))))))))))))))))))))))))))))))))))))))))))))))))))))))))))</f>
        <v>0</v>
      </c>
      <c r="P686" s="602">
        <f>IF($S$673=481,PR!$BQ$533,IF($S$673=482,PR!$BQ$534,IF($S$673=483,PR!$BQ$535,IF($S$673=484,PR!$BQ$536,IF($S$673=485,PR!$BQ$537,IF($S$673=486,PR!$BQ$538,IF($S$673=487,PR!$BQ$539,IF($S$673=488,PR!$BQ$540,IF($S$673=489,PR!$BQ$541,IF($S$673=490,PR!$BQ$542,IF($S$673=491,PR!$BQ$543,IF($S$673=492,PR!$BQ$544,IF($S$673=493,PR!$BQ$545,IF($S$673=494,PR!$BQ$549,IF($S$673=495,PR!$BQ$550,IF($S$673=496,PR!$BQ$551,IF($S$673=497,PR!$BQ$552,IF($S$673=498,PR!$BQ$553,IF($S$673=499,PR!$BQ$554,IF($S$673=500,PR!$BQ$555,IF($S$673=501,PR!$BQ$556,IF($S$673=502,PR!$BQ$557,IF($S$673=503,PR!$BQ$558,IF($S$673=504,PR!$BQ$559,IF($S$673=505,PR!$BQ$560,IF($S$673=506,PR!$BQ$561,IF($S$673=507,PR!$BQ$562,IF($S$673=508,PR!$BQ$563,IF($S$673=509,PR!$BQ$564,IF($S$673=510,PR!$BQ$565,IF($S$673=511,PR!$BQ$566,IF($S$673=512,PR!$BQ$567,IF($S$673=513,PR!$BQ$568,IF($S$673=514,PR!$BQ$569,IF($S$673=515,PR!$BQ$570,IF($S$673=516,PR!$BQ$571,IF($S$673=517,PR!$BQ$572,IF($S$673=518,PR!$BQ$573,IF($S$673=519,PR!$BQ$574,IF($S$673=520,PR!$BQ$575,IF($S$673=521,PR!$BQ$576,IF($S$673=522,PR!$BQ$577,IF($S$673=523,PR!$BQ$578,IF($S$673=524,PR!$BQ$579,IF($S$673=525,PR!$BQ$580,IF($S$673=526,PR!$BQ$581,IF($S$673=527,PR!$BQ$582,IF($S$673=528,PR!$BQ$583,IF($S$673=529,PR!$BQ$584,IF($S$673=530,PR!$BQ$585,IF($S$673=531,PR!$BQ$586,IF($S$673=532,PR!$BQ$587,IF($S$673=533,PR!$BQ$588,IF($S$673=534,PR!$BQ$589,IF($S$673=535,PR!$BQ$590,IF($S$673=536,PR!$BQ$591,IF($S$673=537,PR!$BQ$592,IF($S$673=538,PR!$BQ$593,IF($S$673=539,PR!$BQ$597,IF($S$673=540,PR!$BQ$598,"-"))))))))))))))))))))))))))))))))))))))))))))))))))))))))))))</f>
        <v>0</v>
      </c>
      <c r="Q686" s="602">
        <f>IF($S$673=481,PR!$BR$533,IF($S$673=482,PR!$BR$534,IF($S$673=483,PR!$BR$535,IF($S$673=484,PR!$BR$536,IF($S$673=485,PR!$BR$537,IF($S$673=486,PR!$BR$538,IF($S$673=487,PR!$BR$539,IF($S$673=488,PR!$BR$540,IF($S$673=489,PR!$BR$541,IF($S$673=490,PR!$BR$542,IF($S$673=491,PR!$BR$543,IF($S$673=492,PR!$BR$544,IF($S$673=493,PR!$BR$545,IF($S$673=494,PR!$BR$549,IF($S$673=495,PR!$BR$550,IF($S$673=496,PR!$BR$551,IF($S$673=497,PR!$BR$552,IF($S$673=498,PR!$BR$553,IF($S$673=499,PR!$BR$554,IF($S$673=500,PR!$BR$555,IF($S$673=501,PR!$BR$556,IF($S$673=502,PR!$BR$557,IF($S$673=503,PR!$BR$558,IF($S$673=504,PR!$BR$559,IF($S$673=505,PR!$BR$560,IF($S$673=506,PR!$BR$561,IF($S$673=507,PR!$BR$562,IF($S$673=508,PR!$BR$563,IF($S$673=509,PR!$BR$564,IF($S$673=510,PR!$BR$565,IF($S$673=511,PR!$BR$566,IF($S$673=512,PR!$BR$567,IF($S$673=513,PR!$BR$568,IF($S$673=514,PR!$BR$569,IF($S$673=515,PR!$BR$570,IF($S$673=516,PR!$BR$571,IF($S$673=517,PR!$BR$572,IF($S$673=518,PR!$BR$573,IF($S$673=519,PR!$BR$574,IF($S$673=520,PR!$BR$575,IF($S$673=521,PR!$BR$576,IF($S$673=522,PR!$BR$577,IF($S$673=523,PR!$BR$578,IF($S$673=524,PR!$BR$579,IF($S$673=525,PR!$BR$580,IF($S$673=526,PR!$BR$581,IF($S$673=527,PR!$BR$582,IF($S$673=528,PR!$BR$583,IF($S$673=529,PR!$BR$584,IF($S$673=530,PR!$BR$585,IF($S$673=531,PR!$BR$586,IF($S$673=532,PR!$BR$587,IF($S$673=533,PR!$BR$588,IF($S$673=534,PR!$BR$589,IF($S$673=535,PR!$BR$590,IF($S$673=536,PR!$BR$591,IF($S$673=537,PR!$BR$592,IF($S$673=538,PR!$BR$593,IF($S$673=539,PR!$BR$597,IF($S$673=540,PR!$BR$598,"-"))))))))))))))))))))))))))))))))))))))))))))))))))))))))))))</f>
        <v>0</v>
      </c>
      <c r="R686" s="602">
        <f>IF($S$673=481,PR!$BS$533,IF($S$673=482,PR!$BS$534,IF($S$673=483,PR!$BS$535,IF($S$673=484,PR!$BS$536,IF($S$673=485,PR!$BS$537,IF($S$673=486,PR!$BS$538,IF($S$673=487,PR!$BS$539,IF($S$673=488,PR!$BS$540,IF($S$673=489,PR!$BS$541,IF($S$673=490,PR!$BS$542,IF($S$673=491,PR!$BS$543,IF($S$673=492,PR!$BS$544,IF($S$673=493,PR!$BS$545,IF($S$673=494,PR!$BS$549,IF($S$673=495,PR!$BS$550,IF($S$673=496,PR!$BS$551,IF($S$673=497,PR!$BS$552,IF($S$673=498,PR!$BS$553,IF($S$673=499,PR!$BS$554,IF($S$673=500,PR!$BS$555,IF($S$673=501,PR!$BS$556,IF($S$673=502,PR!$BS$557,IF($S$673=503,PR!$BS$558,IF($S$673=504,PR!$BS$559,IF($S$673=505,PR!$BS$560,IF($S$673=506,PR!$BS$561,IF($S$673=507,PR!$BS$562,IF($S$673=508,PR!$BS$563,IF($S$673=509,PR!$BS$564,IF($S$673=510,PR!$BS$565,IF($S$673=511,PR!$BS$566,IF($S$673=512,PR!$BS$567,IF($S$673=513,PR!$BS$568,IF($S$673=514,PR!$BS$569,IF($S$673=515,PR!$BS$570,IF($S$673=516,PR!$BS$571,IF($S$673=517,PR!$BS$572,IF($S$673=518,PR!$BS$573,IF($S$673=519,PR!$BS$574,IF($S$673=520,PR!$BS$575,IF($S$673=521,PR!$BS$576,IF($S$673=522,PR!$BS$577,IF($S$673=523,PR!$BS$578,IF($S$673=524,PR!$BS$579,IF($S$673=525,PR!$BS$580,IF($S$673=526,PR!$BS$581,IF($S$673=527,PR!$BS$582,IF($S$673=528,PR!$BS$583,IF($S$673=529,PR!$BS$584,IF($S$673=530,PR!$BS$585,IF($S$673=531,PR!$BS$586,IF($S$673=532,PR!$BS$587,IF($S$673=533,PR!$BS$588,IF($S$673=534,PR!$BS$589,IF($S$673=535,PR!$BS$590,IF($S$673=536,PR!$BS$591,IF($S$673=537,PR!$BS$592,IF($S$673=538,PR!$BS$593,IF($S$673=539,PR!$BS$597,IF($S$673=540,PR!$BS$598,"-"))))))))))))))))))))))))))))))))))))))))))))))))))))))))))))</f>
        <v>0</v>
      </c>
      <c r="S686" s="604"/>
      <c r="T686" s="604"/>
      <c r="U686" s="580"/>
      <c r="V686" s="32"/>
      <c r="W686" s="32"/>
      <c r="X686" s="32"/>
      <c r="Y686" s="32"/>
      <c r="Z686" s="32"/>
    </row>
    <row r="687" spans="1:26" ht="6" customHeight="1" x14ac:dyDescent="0.25">
      <c r="A687" s="91"/>
      <c r="B687" s="604"/>
      <c r="C687" s="603"/>
      <c r="D687" s="604"/>
      <c r="E687" s="604"/>
      <c r="F687" s="604"/>
      <c r="G687" s="604"/>
      <c r="H687" s="604"/>
      <c r="I687" s="604"/>
      <c r="J687" s="604"/>
      <c r="K687" s="604"/>
      <c r="L687" s="604"/>
      <c r="M687" s="604"/>
      <c r="N687" s="604"/>
      <c r="O687" s="604"/>
      <c r="P687" s="604"/>
      <c r="Q687" s="604"/>
      <c r="R687" s="605"/>
      <c r="S687" s="604"/>
      <c r="T687" s="604"/>
      <c r="U687" s="580"/>
      <c r="V687" s="32"/>
      <c r="W687" s="32"/>
      <c r="X687" s="32"/>
      <c r="Y687" s="32"/>
      <c r="Z687" s="32"/>
    </row>
    <row r="688" spans="1:26" ht="30" x14ac:dyDescent="0.25">
      <c r="A688" s="91"/>
      <c r="B688" s="604"/>
      <c r="C688" s="603"/>
      <c r="D688" s="604"/>
      <c r="E688" s="604"/>
      <c r="F688" s="604"/>
      <c r="G688" s="604"/>
      <c r="H688" s="604"/>
      <c r="I688" s="604"/>
      <c r="J688" s="604"/>
      <c r="K688" s="618" t="s">
        <v>783</v>
      </c>
      <c r="L688" s="619" t="s">
        <v>418</v>
      </c>
      <c r="M688" s="619" t="s">
        <v>419</v>
      </c>
      <c r="N688" s="620" t="s">
        <v>420</v>
      </c>
      <c r="O688" s="604"/>
      <c r="P688" s="604"/>
      <c r="Q688" s="604"/>
      <c r="R688" s="604"/>
      <c r="S688" s="604"/>
      <c r="T688" s="604"/>
      <c r="U688" s="580"/>
      <c r="V688" s="32"/>
      <c r="W688" s="32"/>
      <c r="X688" s="32"/>
      <c r="Y688" s="32"/>
      <c r="Z688" s="32"/>
    </row>
    <row r="689" spans="1:26" x14ac:dyDescent="0.25">
      <c r="A689" s="91"/>
      <c r="B689" s="580"/>
      <c r="C689" s="593"/>
      <c r="D689" s="580"/>
      <c r="E689" s="580"/>
      <c r="F689" s="580"/>
      <c r="G689" s="580"/>
      <c r="H689" s="580"/>
      <c r="I689" s="580"/>
      <c r="J689" s="580"/>
      <c r="K689" s="583" t="s">
        <v>785</v>
      </c>
      <c r="L689" s="580"/>
      <c r="M689" s="580"/>
      <c r="N689" s="580"/>
      <c r="O689" s="580"/>
      <c r="P689" s="580"/>
      <c r="Q689" s="580"/>
      <c r="R689" s="580"/>
      <c r="S689" s="580"/>
      <c r="T689" s="580"/>
      <c r="U689" s="580"/>
      <c r="V689" s="32"/>
      <c r="W689" s="32"/>
      <c r="X689" s="32"/>
      <c r="Y689" s="32"/>
      <c r="Z689" s="32"/>
    </row>
    <row r="690" spans="1:26" x14ac:dyDescent="0.25">
      <c r="A690" s="32"/>
      <c r="B690" s="32"/>
      <c r="C690" s="96"/>
      <c r="D690" s="32"/>
      <c r="E690" s="32"/>
      <c r="F690" s="32"/>
      <c r="G690" s="32"/>
      <c r="H690" s="32"/>
      <c r="I690" s="32"/>
      <c r="J690" s="32"/>
      <c r="K690" s="97">
        <v>481</v>
      </c>
      <c r="L690" s="98" t="s">
        <v>632</v>
      </c>
      <c r="M690" s="99" t="s">
        <v>821</v>
      </c>
      <c r="N690" s="100" t="s">
        <v>1231</v>
      </c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x14ac:dyDescent="0.25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97">
        <f>1+K690</f>
        <v>482</v>
      </c>
      <c r="L691" s="98"/>
      <c r="M691" s="99"/>
      <c r="N691" s="100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x14ac:dyDescent="0.25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97">
        <f t="shared" ref="K692:K749" si="9">1+K691</f>
        <v>483</v>
      </c>
      <c r="L692" s="98" t="s">
        <v>821</v>
      </c>
      <c r="M692" s="99" t="s">
        <v>623</v>
      </c>
      <c r="N692" s="100" t="s">
        <v>634</v>
      </c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x14ac:dyDescent="0.25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97">
        <f t="shared" si="9"/>
        <v>484</v>
      </c>
      <c r="L693" s="98"/>
      <c r="M693" s="99"/>
      <c r="N693" s="100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x14ac:dyDescent="0.25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97">
        <f t="shared" si="9"/>
        <v>485</v>
      </c>
      <c r="L694" s="98" t="s">
        <v>837</v>
      </c>
      <c r="M694" s="99" t="s">
        <v>627</v>
      </c>
      <c r="N694" s="100" t="s">
        <v>821</v>
      </c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x14ac:dyDescent="0.2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97">
        <f t="shared" si="9"/>
        <v>486</v>
      </c>
      <c r="L695" s="98" t="s">
        <v>821</v>
      </c>
      <c r="M695" s="99" t="s">
        <v>620</v>
      </c>
      <c r="N695" s="100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x14ac:dyDescent="0.25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97">
        <f t="shared" si="9"/>
        <v>487</v>
      </c>
      <c r="L696" s="98" t="s">
        <v>821</v>
      </c>
      <c r="M696" s="99"/>
      <c r="N696" s="100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x14ac:dyDescent="0.25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97">
        <f t="shared" si="9"/>
        <v>488</v>
      </c>
      <c r="L697" s="98" t="s">
        <v>632</v>
      </c>
      <c r="M697" s="99" t="s">
        <v>1231</v>
      </c>
      <c r="N697" s="100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x14ac:dyDescent="0.25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97">
        <f t="shared" si="9"/>
        <v>489</v>
      </c>
      <c r="L698" s="98" t="s">
        <v>821</v>
      </c>
      <c r="M698" s="99" t="s">
        <v>622</v>
      </c>
      <c r="N698" s="100" t="s">
        <v>630</v>
      </c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x14ac:dyDescent="0.25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97">
        <f t="shared" si="9"/>
        <v>490</v>
      </c>
      <c r="L699" s="98" t="s">
        <v>821</v>
      </c>
      <c r="M699" s="99"/>
      <c r="N699" s="100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x14ac:dyDescent="0.25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97">
        <f t="shared" si="9"/>
        <v>491</v>
      </c>
      <c r="L700" s="98" t="s">
        <v>633</v>
      </c>
      <c r="M700" s="99" t="s">
        <v>821</v>
      </c>
      <c r="N700" s="100" t="s">
        <v>616</v>
      </c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x14ac:dyDescent="0.25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97">
        <f t="shared" si="9"/>
        <v>492</v>
      </c>
      <c r="L701" s="98" t="s">
        <v>387</v>
      </c>
      <c r="M701" s="99"/>
      <c r="N701" s="100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x14ac:dyDescent="0.25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97">
        <f t="shared" si="9"/>
        <v>493</v>
      </c>
      <c r="L702" s="98" t="s">
        <v>387</v>
      </c>
      <c r="M702" s="99"/>
      <c r="N702" s="100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x14ac:dyDescent="0.25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97">
        <f t="shared" si="9"/>
        <v>494</v>
      </c>
      <c r="L703" s="98" t="s">
        <v>821</v>
      </c>
      <c r="M703" s="99" t="s">
        <v>623</v>
      </c>
      <c r="N703" s="100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x14ac:dyDescent="0.25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97">
        <f t="shared" si="9"/>
        <v>495</v>
      </c>
      <c r="L704" s="98" t="s">
        <v>821</v>
      </c>
      <c r="M704" s="99"/>
      <c r="N704" s="100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x14ac:dyDescent="0.2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97">
        <f t="shared" si="9"/>
        <v>496</v>
      </c>
      <c r="L705" s="98" t="s">
        <v>829</v>
      </c>
      <c r="M705" s="99" t="s">
        <v>821</v>
      </c>
      <c r="N705" s="100" t="s">
        <v>623</v>
      </c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x14ac:dyDescent="0.25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97">
        <f t="shared" si="9"/>
        <v>497</v>
      </c>
      <c r="L706" s="98" t="s">
        <v>821</v>
      </c>
      <c r="M706" s="99"/>
      <c r="N706" s="100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x14ac:dyDescent="0.25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97">
        <f t="shared" si="9"/>
        <v>498</v>
      </c>
      <c r="L707" s="98" t="s">
        <v>828</v>
      </c>
      <c r="M707" s="99" t="s">
        <v>821</v>
      </c>
      <c r="N707" s="100" t="s">
        <v>1231</v>
      </c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x14ac:dyDescent="0.25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97">
        <f t="shared" si="9"/>
        <v>499</v>
      </c>
      <c r="L708" s="98" t="s">
        <v>821</v>
      </c>
      <c r="M708" s="99" t="s">
        <v>829</v>
      </c>
      <c r="N708" s="100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x14ac:dyDescent="0.25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97">
        <f t="shared" si="9"/>
        <v>500</v>
      </c>
      <c r="L709" s="98" t="s">
        <v>821</v>
      </c>
      <c r="M709" s="99"/>
      <c r="N709" s="100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x14ac:dyDescent="0.25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97">
        <f t="shared" si="9"/>
        <v>501</v>
      </c>
      <c r="L710" s="98"/>
      <c r="M710" s="99"/>
      <c r="N710" s="100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x14ac:dyDescent="0.25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97">
        <f t="shared" si="9"/>
        <v>502</v>
      </c>
      <c r="L711" s="98" t="s">
        <v>821</v>
      </c>
      <c r="M711" s="99" t="s">
        <v>829</v>
      </c>
      <c r="N711" s="100" t="s">
        <v>1446</v>
      </c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x14ac:dyDescent="0.25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97">
        <f t="shared" si="9"/>
        <v>503</v>
      </c>
      <c r="L712" s="98" t="s">
        <v>821</v>
      </c>
      <c r="M712" s="99" t="s">
        <v>828</v>
      </c>
      <c r="N712" s="100" t="s">
        <v>1450</v>
      </c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x14ac:dyDescent="0.25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97">
        <f t="shared" si="9"/>
        <v>504</v>
      </c>
      <c r="L713" s="98" t="s">
        <v>631</v>
      </c>
      <c r="M713" s="99" t="s">
        <v>824</v>
      </c>
      <c r="N713" s="100" t="s">
        <v>828</v>
      </c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x14ac:dyDescent="0.25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97">
        <f t="shared" si="9"/>
        <v>505</v>
      </c>
      <c r="L714" s="98" t="s">
        <v>821</v>
      </c>
      <c r="M714" s="99" t="s">
        <v>829</v>
      </c>
      <c r="N714" s="100" t="s">
        <v>623</v>
      </c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x14ac:dyDescent="0.2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97">
        <f t="shared" si="9"/>
        <v>506</v>
      </c>
      <c r="L715" s="98" t="s">
        <v>821</v>
      </c>
      <c r="M715" s="99" t="s">
        <v>828</v>
      </c>
      <c r="N715" s="100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x14ac:dyDescent="0.25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97">
        <f t="shared" si="9"/>
        <v>507</v>
      </c>
      <c r="L716" s="98" t="s">
        <v>829</v>
      </c>
      <c r="M716" s="99" t="s">
        <v>821</v>
      </c>
      <c r="N716" s="100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x14ac:dyDescent="0.25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97">
        <f t="shared" si="9"/>
        <v>508</v>
      </c>
      <c r="L717" s="98" t="s">
        <v>828</v>
      </c>
      <c r="M717" s="99" t="s">
        <v>821</v>
      </c>
      <c r="N717" s="100" t="s">
        <v>829</v>
      </c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x14ac:dyDescent="0.25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97">
        <f t="shared" si="9"/>
        <v>509</v>
      </c>
      <c r="L718" s="98" t="s">
        <v>829</v>
      </c>
      <c r="M718" s="99" t="s">
        <v>821</v>
      </c>
      <c r="N718" s="100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x14ac:dyDescent="0.25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97">
        <f t="shared" si="9"/>
        <v>510</v>
      </c>
      <c r="L719" s="98" t="s">
        <v>816</v>
      </c>
      <c r="M719" s="99" t="s">
        <v>634</v>
      </c>
      <c r="N719" s="100" t="s">
        <v>821</v>
      </c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x14ac:dyDescent="0.25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97">
        <f t="shared" si="9"/>
        <v>511</v>
      </c>
      <c r="L720" s="98" t="s">
        <v>829</v>
      </c>
      <c r="M720" s="99" t="s">
        <v>821</v>
      </c>
      <c r="N720" s="100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x14ac:dyDescent="0.25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97">
        <f t="shared" si="9"/>
        <v>512</v>
      </c>
      <c r="L721" s="98" t="s">
        <v>632</v>
      </c>
      <c r="M721" s="99" t="s">
        <v>828</v>
      </c>
      <c r="N721" s="100" t="s">
        <v>821</v>
      </c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x14ac:dyDescent="0.25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97">
        <f t="shared" si="9"/>
        <v>513</v>
      </c>
      <c r="L722" s="98" t="s">
        <v>824</v>
      </c>
      <c r="M722" s="99" t="s">
        <v>631</v>
      </c>
      <c r="N722" s="100" t="s">
        <v>828</v>
      </c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x14ac:dyDescent="0.25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97">
        <f t="shared" si="9"/>
        <v>514</v>
      </c>
      <c r="L723" s="98" t="s">
        <v>828</v>
      </c>
      <c r="M723" s="99" t="s">
        <v>821</v>
      </c>
      <c r="N723" s="100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x14ac:dyDescent="0.25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97">
        <f t="shared" si="9"/>
        <v>515</v>
      </c>
      <c r="L724" s="98" t="s">
        <v>632</v>
      </c>
      <c r="M724" s="99" t="s">
        <v>821</v>
      </c>
      <c r="N724" s="100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x14ac:dyDescent="0.2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97">
        <f t="shared" si="9"/>
        <v>516</v>
      </c>
      <c r="L725" s="98" t="s">
        <v>615</v>
      </c>
      <c r="M725" s="99" t="s">
        <v>829</v>
      </c>
      <c r="N725" s="100" t="s">
        <v>634</v>
      </c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x14ac:dyDescent="0.25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97">
        <f t="shared" si="9"/>
        <v>517</v>
      </c>
      <c r="L726" s="98" t="s">
        <v>634</v>
      </c>
      <c r="M726" s="99" t="s">
        <v>1231</v>
      </c>
      <c r="N726" s="100" t="s">
        <v>1246</v>
      </c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x14ac:dyDescent="0.25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97">
        <f t="shared" si="9"/>
        <v>518</v>
      </c>
      <c r="L727" s="98" t="s">
        <v>632</v>
      </c>
      <c r="M727" s="99" t="s">
        <v>821</v>
      </c>
      <c r="N727" s="100" t="s">
        <v>1231</v>
      </c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x14ac:dyDescent="0.25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97">
        <f t="shared" si="9"/>
        <v>519</v>
      </c>
      <c r="L728" s="98" t="s">
        <v>821</v>
      </c>
      <c r="M728" s="99"/>
      <c r="N728" s="100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x14ac:dyDescent="0.25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97">
        <f t="shared" si="9"/>
        <v>520</v>
      </c>
      <c r="L729" s="98" t="s">
        <v>821</v>
      </c>
      <c r="M729" s="99"/>
      <c r="N729" s="100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x14ac:dyDescent="0.25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97">
        <f t="shared" si="9"/>
        <v>521</v>
      </c>
      <c r="L730" s="98" t="s">
        <v>632</v>
      </c>
      <c r="M730" s="99" t="s">
        <v>821</v>
      </c>
      <c r="N730" s="100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x14ac:dyDescent="0.25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97">
        <f t="shared" si="9"/>
        <v>522</v>
      </c>
      <c r="L731" s="98" t="s">
        <v>821</v>
      </c>
      <c r="M731" s="99"/>
      <c r="N731" s="100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x14ac:dyDescent="0.25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97">
        <f t="shared" si="9"/>
        <v>523</v>
      </c>
      <c r="L732" s="98" t="s">
        <v>821</v>
      </c>
      <c r="M732" s="99"/>
      <c r="N732" s="100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x14ac:dyDescent="0.25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97">
        <f t="shared" si="9"/>
        <v>524</v>
      </c>
      <c r="L733" s="98" t="s">
        <v>821</v>
      </c>
      <c r="M733" s="99"/>
      <c r="N733" s="100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x14ac:dyDescent="0.25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97">
        <f t="shared" si="9"/>
        <v>525</v>
      </c>
      <c r="L734" s="98" t="s">
        <v>821</v>
      </c>
      <c r="M734" s="99"/>
      <c r="N734" s="100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x14ac:dyDescent="0.2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97">
        <f t="shared" si="9"/>
        <v>526</v>
      </c>
      <c r="L735" s="98" t="s">
        <v>829</v>
      </c>
      <c r="M735" s="99" t="s">
        <v>821</v>
      </c>
      <c r="N735" s="100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x14ac:dyDescent="0.25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97">
        <f t="shared" si="9"/>
        <v>527</v>
      </c>
      <c r="L736" s="98" t="s">
        <v>821</v>
      </c>
      <c r="M736" s="99"/>
      <c r="N736" s="100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x14ac:dyDescent="0.25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97">
        <f t="shared" si="9"/>
        <v>528</v>
      </c>
      <c r="L737" s="98" t="s">
        <v>821</v>
      </c>
      <c r="M737" s="99"/>
      <c r="N737" s="100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x14ac:dyDescent="0.25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97">
        <f t="shared" si="9"/>
        <v>529</v>
      </c>
      <c r="L738" s="98" t="s">
        <v>631</v>
      </c>
      <c r="M738" s="99" t="s">
        <v>821</v>
      </c>
      <c r="N738" s="100" t="s">
        <v>828</v>
      </c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x14ac:dyDescent="0.25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97">
        <f t="shared" si="9"/>
        <v>530</v>
      </c>
      <c r="L739" s="98" t="s">
        <v>632</v>
      </c>
      <c r="M739" s="99" t="s">
        <v>821</v>
      </c>
      <c r="N739" s="100" t="s">
        <v>634</v>
      </c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x14ac:dyDescent="0.25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97">
        <f t="shared" si="9"/>
        <v>531</v>
      </c>
      <c r="L740" s="98" t="s">
        <v>821</v>
      </c>
      <c r="M740" s="99"/>
      <c r="N740" s="100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x14ac:dyDescent="0.25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97">
        <f t="shared" si="9"/>
        <v>532</v>
      </c>
      <c r="L741" s="98" t="s">
        <v>632</v>
      </c>
      <c r="M741" s="99" t="s">
        <v>821</v>
      </c>
      <c r="N741" s="100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x14ac:dyDescent="0.25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97">
        <f t="shared" si="9"/>
        <v>533</v>
      </c>
      <c r="L742" s="98" t="s">
        <v>821</v>
      </c>
      <c r="M742" s="99" t="s">
        <v>1231</v>
      </c>
      <c r="N742" s="100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x14ac:dyDescent="0.25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97">
        <f t="shared" si="9"/>
        <v>534</v>
      </c>
      <c r="L743" s="98" t="s">
        <v>821</v>
      </c>
      <c r="M743" s="99" t="s">
        <v>1231</v>
      </c>
      <c r="N743" s="100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x14ac:dyDescent="0.25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97">
        <f t="shared" si="9"/>
        <v>535</v>
      </c>
      <c r="L744" s="98" t="s">
        <v>829</v>
      </c>
      <c r="M744" s="99" t="s">
        <v>821</v>
      </c>
      <c r="N744" s="100" t="s">
        <v>828</v>
      </c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x14ac:dyDescent="0.25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97">
        <f t="shared" si="9"/>
        <v>536</v>
      </c>
      <c r="L745" s="98" t="s">
        <v>821</v>
      </c>
      <c r="M745" s="99"/>
      <c r="N745" s="100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x14ac:dyDescent="0.25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97">
        <f t="shared" si="9"/>
        <v>537</v>
      </c>
      <c r="L746" s="98" t="s">
        <v>821</v>
      </c>
      <c r="M746" s="99"/>
      <c r="N746" s="100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x14ac:dyDescent="0.25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97">
        <f t="shared" si="9"/>
        <v>538</v>
      </c>
      <c r="L747" s="98" t="s">
        <v>821</v>
      </c>
      <c r="M747" s="99" t="s">
        <v>632</v>
      </c>
      <c r="N747" s="100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x14ac:dyDescent="0.25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97">
        <f t="shared" si="9"/>
        <v>539</v>
      </c>
      <c r="L748" s="98" t="s">
        <v>820</v>
      </c>
      <c r="M748" s="99"/>
      <c r="N748" s="100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x14ac:dyDescent="0.25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97">
        <f t="shared" si="9"/>
        <v>540</v>
      </c>
      <c r="L749" s="98"/>
      <c r="M749" s="99"/>
      <c r="N749" s="100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x14ac:dyDescent="0.25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x14ac:dyDescent="0.25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x14ac:dyDescent="0.25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x14ac:dyDescent="0.25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x14ac:dyDescent="0.25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x14ac:dyDescent="0.25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x14ac:dyDescent="0.25">
      <c r="A756" s="32"/>
      <c r="F756" s="428"/>
      <c r="G756" s="427"/>
      <c r="J756" s="428" t="s">
        <v>2041</v>
      </c>
      <c r="V756" s="32"/>
      <c r="W756" s="32"/>
      <c r="X756" s="32"/>
      <c r="Y756" s="32"/>
      <c r="Z756" s="32"/>
    </row>
    <row r="757" spans="1:26" ht="31.5" customHeight="1" thickBot="1" x14ac:dyDescent="0.6">
      <c r="A757" s="92"/>
      <c r="B757" s="624"/>
      <c r="C757" s="604"/>
      <c r="D757" s="604"/>
      <c r="E757" s="604"/>
      <c r="F757" s="604"/>
      <c r="G757" s="604"/>
      <c r="H757" s="625" t="str">
        <f>IF($S$758&gt;=1055,"LOT 21 LABORATORY REQUIREMENT - OBADA ANNEX",IF($S$758&gt;=1039,"LOT 21 - LABORATORY REQUIREMENT - SHAJE ANNEX",IF($S$758&gt;=981,"LOT 20 - LABORATORY - CHEMICAL PATHOLOGY",IF($S$758&gt;=974,"LOT 19 - MICROBIOLOGY - INFECTION CONTROL",IF($S$758&gt;=957,"LOT 19 - MICROBIOLOGY - SENSITIVITY DISCS",IF($S$758&gt;=902,"LOT 18 - MICROBIOLOGY - REAGENT KITS",IF($S$758&gt;=846,"LOT 17 - HISTOPATHOLOGY",IF($S$758&gt;=760,"LOT 16 - HAEMATOLOGY",IF($S$758&gt;=722,"LOT 15 - THEATRE DEPARTMENT",IF($S$758&gt;=709,"LOT 14 - RADIOLOGY DEPARTMENT",IF($S$758&gt;=702,"LOT 13 - PHARMACY - CONSUMABLES - SUTURES",IF($S$758&gt;=684,"LOT 13 - PHARMACY - CONSUMABLES",IF($S$758&gt;=669,"LOT 13 PHARMACY - DISINFECTANTS",IF($S$758&gt;=651,"LOT 13 - PHARMACY - DERMATOLOGICAL PREPARATIONS",IF($S$758&gt;=570,"LOT 13 - PHARMACY - DRESSINGS/CONSUMABLES",IF($S$758&gt;=539,"LOT 12 - PHARMACY - ONCOLOGY DRUGS",IF($S$758&gt;=494,"LOT 11 - PHARMACY - EYE/EAR MEDICATIONS",IF($S$758&gt;=455,"LOT 10 - PHARMACY - RESPIRATORY TRACT DRUGS",IF($S$758&gt;=424,"LOT 9 - PHARMACY GASTROINTESTINAL DRUGS",IF($S$758&gt;=381,"LOT 8 - PHARMACY -OBSTETRICS/GYNAECOLOGY DRUGS",IF($S$758&gt;=351,"LOT 7 - PHARMACY - HYPNOSEDATIVE DRUGS",IF($S$758&gt;=285,"LOT 6 PHARMACY - BLOOD &amp; NUTRITIONAL DRUGS",IF($S$758&gt;=194,"LOT 5 - I589PHARMACY - ANTI-INFECTIVE AGENTS",IF($S$758&gt;=142,"LOT 4 - PHARMACY - ANTI-INFLAMMATORY/ANTI-PYRETIC/ANALGESICS",IF($S$758&gt;=118,"LOT 3 - PHARMACY - ORAL HYPOGLYCAEMIC DRUGS",IF($S$758&gt;=34,"LOT 3 - PHARMACY - ANTI-HYPERTENSIVES",IF($S$758&gt;=19,"LOT 2 - PHARMACY - STERILE INTRAVENOUS FLUIDS",IF($S$758&gt;=1,"LOT 1 - PHARMACY - ANTI-MALARIALS","-"))))))))))))))))))))))))))))</f>
        <v>LOT 13 - PHARMACY - DRESSINGS/CONSUMABLES</v>
      </c>
      <c r="I757" s="626"/>
      <c r="J757" s="604"/>
      <c r="K757" s="604"/>
      <c r="L757" s="604"/>
      <c r="M757" s="604"/>
      <c r="N757" s="604"/>
      <c r="O757" s="604"/>
      <c r="P757" s="604"/>
      <c r="Q757" s="604"/>
      <c r="R757" s="605"/>
      <c r="S757" s="604"/>
      <c r="T757" s="91"/>
      <c r="U757" s="91"/>
      <c r="V757" s="32"/>
      <c r="W757" s="32"/>
      <c r="X757" s="32"/>
      <c r="Y757" s="32"/>
      <c r="Z757" s="32"/>
    </row>
    <row r="758" spans="1:26" ht="41.25" customHeight="1" thickBot="1" x14ac:dyDescent="0.7">
      <c r="A758" s="95" t="s">
        <v>779</v>
      </c>
      <c r="B758" s="609"/>
      <c r="C758" s="610" t="str">
        <f>IF($S$758=541,PR!$B$599,IF($S$758=542,PR!$B$600,IF($S$758=543,PR!$B$601,IF($S$758=544,PR!$B$602,IF($S$758=545,PR!$B$603,IF($S$758=546,PR!$B$604,IF($S$758=547,PR!$B$605,IF($S$758=548,PR!$B$606,IF($S$758=549,PR!$B$607,IF($S$758=550,PR!$B$608,IF($S$758=551,PR!$B$609,IF($S$758=552,PR!$B$610,IF($S$758=553,PR!$B$611,IF($S$758=554,PR!$B$612,IF($S$758=555,PR!$B$613,IF($S$758=556,PR!$B$614,IF($S$758=557,PR!$B$615,IF($S$758=558,PR!$B$616,IF($S$758=559,PR!$B$617,IF($S$758=560,PR!$B$618,IF($S$758=561,PR!$B$619,IF($S$758=562,PR!$B$620,IF($S$758=563,PR!$B$621,IF($S$758=564,PR!$B$622,IF($S$758=565,PR!$B$623,IF($S$758=566,PR!$B$624,IF($S$758=567,PR!$B$625,IF($S$758=568,PR!$B$626,IF($S$758=569,PR!$B$627,IF($S$758=570,PR!$B$632,IF($S$758=571,PR!$B$633,IF($S$758=572,PR!$B$634,IF($S$758=573,PR!$B$635,IF($S$758=574,PR!$B$636,IF($S$758=575,PR!$B$637,IF($S$758=576,PR!$B$638,IF($S$758=577,PR!$B$639,IF($S$758=578,PR!$B$640,IF($S$758=579,PR!$B$641,IF($S$758=580,PR!$B$642,IF($S$758=581,PR!$B$643,IF($S$758=582,PR!$B$644,IF($S$758=583,PR!$B$645,IF($S$758=584,PR!$B$646,IF($S$758=585,PR!$B$647,IF($S$758=586,PR!$B$648,IF($S$758=587,PR!$B$649,IF($S$758=588,PR!$B$650,IF($S$758=589,PR!$B$651,IF($S$758=590,PR!$B$652,IF($S$758=591,PR!$B$653,IF($S$758=592,PR!$B$654,IF($S$758=593,PR!$B$655,IF($S$758=594,PR!$B$656,IF($S$758=595,PR!$B$657,IF($S$758=596,PR!$B$658,IF($S$758=597,PR!$B$659,IF($S$758=598,PR!$B$660,IF($S$758=599,PR!$B$661,IF($S$758=600,PR!$B$662,"-"))))))))))))))))))))))))))))))))))))))))))))))))))))))))))))</f>
        <v>FOLLEY CATHETER SIZE 22"</v>
      </c>
      <c r="D758" s="628"/>
      <c r="E758" s="628"/>
      <c r="F758" s="628"/>
      <c r="G758" s="611"/>
      <c r="H758" s="611"/>
      <c r="I758" s="611"/>
      <c r="J758" s="611"/>
      <c r="K758" s="628"/>
      <c r="L758" s="628"/>
      <c r="M758" s="628"/>
      <c r="N758" s="628"/>
      <c r="O758" s="611"/>
      <c r="P758" s="627"/>
      <c r="Q758" s="612"/>
      <c r="R758" s="605"/>
      <c r="S758" s="621">
        <v>600</v>
      </c>
      <c r="T758" s="91"/>
      <c r="U758" s="91"/>
      <c r="V758" s="32"/>
      <c r="W758" s="32"/>
      <c r="X758" s="32"/>
      <c r="Y758" s="32"/>
      <c r="Z758" s="32"/>
    </row>
    <row r="759" spans="1:26" ht="30" customHeight="1" thickBot="1" x14ac:dyDescent="0.3">
      <c r="A759" s="91"/>
      <c r="B759" s="604"/>
      <c r="C759" s="613" t="s">
        <v>780</v>
      </c>
      <c r="D759" s="806">
        <f>IF($S$758=541,PR!$D$599,IF($S$758=542,PR!$D$600,IF($S$758=543,PR!$D$601,IF($S$758=544,PR!$D$602,IF($S$758=545,PR!$D$603,IF($S$758=546,PR!$D$604,IF($S$758=547,PR!$D$605,IF($S$758=548,PR!$D$606,IF($S$758=549,PR!$D$607,IF($S$758=550,PR!$D$608,IF($S$758=551,PR!$D$609,IF($S$758=552,PR!$D$610,IF($S$758=553,PR!$D$611,IF($S$758=554,PR!$D$612,IF($S$758=555,PR!$D$613,IF($S$758=556,PR!$D$614,IF($S$758=557,PR!$D$615,IF($S$758=558,PR!$D$616,IF($S$758=559,PR!$D$617,IF($S$758=560,PR!$D$618,IF($S$758=561,PR!$D$619,IF($S$758=562,PR!$D$620,IF($S$758=563,PR!$D$621,IF($S$758=564,PR!$D$622,IF($S$758=565,PR!$D$623,IF($S$758=566,PR!$D$624,IF($S$758=567,PR!$D$625,IF($S$758=568,PR!$D$626,IF($S$758=569,PR!$D$627,IF($S$758=570,PR!$D$632,IF($S$758=571,PR!$D$633,IF($S$758=572,PR!$D$634,IF($S$758=573,PR!$D$635,IF($S$758=574,PR!$D$636,IF($S$758=575,PR!$D$637,IF($S$758=576,PR!$D$638,IF($S$758=577,PR!$D$639,IF($S$758=578,PR!$D$640,IF($S$758=579,PR!$D$641,IF($S$758=580,PR!$D$642,IF($S$758=581,PR!$D$643,IF($S$758=582,PR!$D$644,IF($S$758=583,PR!$D$645,IF($S$758=584,PR!$D$646,IF($S$758=585,PR!$D$647,IF($S$758=586,PR!$D$648,IF($S$758=587,PR!$D$649,IF($S$758=588,PR!$D$650,IF($S$758=589,PR!$D$651,IF($S$758=590,PR!$D$652,IF($S$758=591,PR!$D$653,IF($S$758=592,PR!$D$654,IF($S$758=593,PR!$D$655,IF($S$758=594,PR!$D$656,IF($S$758=595,PR!$D$657,IF($S$758=596,PR!$D$658,IF($S$758=597,PR!$D$659,IF($S$758=598,PR!$D$660,IF($S$758=599,PR!$D$661,IF($S$758=600,PR!$D$662,"-"))))))))))))))))))))))))))))))))))))))))))))))))))))))))))))</f>
        <v>10</v>
      </c>
      <c r="E759" s="807"/>
      <c r="F759" s="808"/>
      <c r="G759" s="809" t="s">
        <v>781</v>
      </c>
      <c r="H759" s="809"/>
      <c r="I759" s="809"/>
      <c r="J759" s="809"/>
      <c r="K759" s="806">
        <f>IF($S$758=541,PR!$C$599,IF($S$758=542,PR!$C$600,IF($S$758=543,PR!$C$601,IF($S$758=544,PR!$C$602,IF($S$758=545,PR!$C$603,IF($S$758=546,PR!$C$604,IF($S$758=547,PR!$C$605,IF($S$758=548,PR!$C$606,IF($S$758=549,PR!$C$607,IF($S$758=550,PR!$C$608,IF($S$758=551,PR!$C$609,IF($S$758=552,PR!$C$610,IF($S$758=553,PR!$C$611,IF($S$758=554,PR!$C$612,IF($S$758=555,PR!$C$613,IF($S$758=556,PR!$C$614,IF($S$758=557,PR!$C$615,IF($S$758=558,PR!$C$616,IF($S$758=559,PR!$C$617,IF($S$758=560,PR!$C$618,IF($S$758=561,PR!$C$619,IF($S$758=562,PR!$C$620,IF($S$758=563,PR!$C$621,IF($S$758=564,PR!$C$622,IF($S$758=565,PR!$C$623,IF($S$758=566,PR!$C$624,IF($S$758=567,PR!$C$625,IF($S$758=568,PR!$C$626,IF($S$758=569,PR!$C$627,IF($S$758=570,PR!$C$632,IF($S$758=571,PR!$C$633,IF($S$758=572,PR!$C$634,IF($S$758=573,PR!$C$635,IF($S$758=574,PR!$C$636,IF($S$758=575,PR!$C$637,IF($S$758=576,PR!$C$638,IF($S$758=577,PR!$C$639,IF($S$758=578,PR!$C$640,IF($S$758=579,PR!$C$641,IF($S$758=580,PR!$C$642,IF($S$758=581,PR!$C$643,IF($S$758=582,PR!$C$644,IF($S$758=583,PR!$C$645,IF($S$758=584,PR!$C$646,IF($S$758=585,PR!$C$647,IF($S$758=586,PR!$C$648,IF($S$758=587,PR!$C$649,IF($S$758=588,PR!$C$650,IF($S$758=589,PR!$C$651,IF($S$758=590,PR!$C$652,IF($S$758=591,PR!$C$653,IF($S$758=592,PR!$C$654,IF($S$758=593,PR!$C$655,IF($S$758=594,PR!$C$656,IF($S$758=595,PR!$C$657,IF($S$758=596,PR!$C$658,IF($S$758=597,PR!$C$659,IF($S$758=598,PR!$C$660,IF($S$758=599,PR!$C$661,IF($S$758=600,PR!$C$662,"-"))))))))))))))))))))))))))))))))))))))))))))))))))))))))))))</f>
        <v>22</v>
      </c>
      <c r="L759" s="807"/>
      <c r="M759" s="807"/>
      <c r="N759" s="808"/>
      <c r="O759" s="604"/>
      <c r="P759" s="604"/>
      <c r="Q759" s="604"/>
      <c r="R759" s="605"/>
      <c r="S759" s="604"/>
      <c r="T759" s="91"/>
      <c r="U759" s="91"/>
      <c r="V759" s="32"/>
      <c r="W759" s="32"/>
      <c r="X759" s="32"/>
      <c r="Y759" s="32"/>
      <c r="Z759" s="32"/>
    </row>
    <row r="760" spans="1:26" ht="11.25" customHeight="1" thickTop="1" x14ac:dyDescent="0.25">
      <c r="A760" s="91"/>
      <c r="B760" s="604"/>
      <c r="C760" s="614"/>
      <c r="D760" s="615"/>
      <c r="E760" s="604"/>
      <c r="F760" s="604"/>
      <c r="G760" s="603"/>
      <c r="H760" s="603"/>
      <c r="I760" s="603"/>
      <c r="J760" s="603"/>
      <c r="K760" s="616"/>
      <c r="L760" s="616"/>
      <c r="M760" s="604"/>
      <c r="N760" s="604"/>
      <c r="O760" s="604"/>
      <c r="P760" s="604"/>
      <c r="Q760" s="604"/>
      <c r="R760" s="605"/>
      <c r="S760" s="604"/>
      <c r="T760" s="91"/>
      <c r="U760" s="91"/>
      <c r="V760" s="32"/>
      <c r="W760" s="32"/>
      <c r="X760" s="32"/>
      <c r="Y760" s="32"/>
      <c r="Z760" s="32"/>
    </row>
    <row r="761" spans="1:26" ht="15.75" thickBot="1" x14ac:dyDescent="0.3">
      <c r="A761" s="94" t="s">
        <v>782</v>
      </c>
      <c r="B761" s="600"/>
      <c r="C761" s="600" t="str">
        <f>N!$C$4</f>
        <v>ALPHA</v>
      </c>
      <c r="D761" s="600" t="str">
        <f>N!$C$5</f>
        <v>ASSENE</v>
      </c>
      <c r="E761" s="600" t="str">
        <f>N!$C$6</f>
        <v>BIOFEM</v>
      </c>
      <c r="F761" s="600" t="str">
        <f>N!$C$7</f>
        <v>BIOMED</v>
      </c>
      <c r="G761" s="600" t="str">
        <f>N!$C$8</f>
        <v>CHI</v>
      </c>
      <c r="H761" s="600" t="str">
        <f>N!$C$9</f>
        <v>CLARION</v>
      </c>
      <c r="I761" s="600" t="str">
        <f>N!$C$10</f>
        <v>CODIX</v>
      </c>
      <c r="J761" s="600" t="str">
        <f>N!$C$11</f>
        <v>COSMADE</v>
      </c>
      <c r="K761" s="600" t="str">
        <f>N!$C$12</f>
        <v>SANCON</v>
      </c>
      <c r="L761" s="600" t="str">
        <f>N!$C$13</f>
        <v>DEVON</v>
      </c>
      <c r="M761" s="600" t="str">
        <f>N!$C$14</f>
        <v>DORTEMAG</v>
      </c>
      <c r="N761" s="600" t="str">
        <f>N!$C$15</f>
        <v>DGF</v>
      </c>
      <c r="O761" s="601" t="str">
        <f>N!$C$16</f>
        <v>DYNAMIC</v>
      </c>
      <c r="P761" s="600" t="str">
        <f>N!$C$17</f>
        <v>EMZOR</v>
      </c>
      <c r="Q761" s="600" t="str">
        <f>N!$C$18</f>
        <v>EUMATT</v>
      </c>
      <c r="R761" s="600" t="str">
        <f>N!$C$19</f>
        <v>FIDSON</v>
      </c>
      <c r="S761" s="600" t="str">
        <f>N!$C$20</f>
        <v>FCGLOBAL</v>
      </c>
      <c r="T761" s="91"/>
      <c r="U761" s="91"/>
      <c r="V761" s="32"/>
      <c r="W761" s="32"/>
      <c r="X761" s="32"/>
      <c r="Y761" s="32"/>
    </row>
    <row r="762" spans="1:26" ht="15.75" thickBot="1" x14ac:dyDescent="0.3">
      <c r="A762" s="93"/>
      <c r="B762" s="617"/>
      <c r="C762" s="602">
        <f>IF($S$758=541,PR!$E$599,IF($S$758=542,PR!$E$600,IF($S$758=543,PR!$E$601,IF($S$758=544,PR!$E$602,IF($S$758=545,PR!$E$603,IF($S$758=546,PR!$E$604,IF($S$758=547,PR!$E$605,IF($S$758=548,PR!$E$606,IF($S$758=549,PR!$E$607,IF($S$758=550,PR!$E$608,IF($S$758=551,PR!$E$609,IF($S$758=552,PR!$E$610,IF($S$758=553,PR!$E$611,IF($S$758=554,PR!$E$612,IF($S$758=555,PR!$E$613,IF($S$758=556,PR!$E$614,IF($S$758=557,PR!$E$615,IF($S$758=558,PR!$E$616,IF($S$758=559,PR!$E$617,IF($S$758=560,PR!$E$618,IF($S$758=561,PR!$E$619,IF($S$758=562,PR!$E$620,IF($S$758=563,PR!$E$621,IF($S$758=564,PR!$E$622,IF($S$758=565,PR!$E$623,IF($S$758=566,PR!$E$624,IF($S$758=567,PR!$E$625,IF($S$758=568,PR!$E$626,IF($S$758=569,PR!$E$627,IF($S$758=570,PR!$E$632,IF($S$758=571,PR!$E$633,IF($S$758=572,PR!$E$634,IF($S$758=573,PR!$E$635,IF($S$758=574,PR!$E$636,IF($S$758=575,PR!$E$637,IF($S$758=576,PR!$E$638,IF($S$758=577,PR!$E$639,IF($S$758=578,PR!$E$640,IF($S$758=579,PR!$E$641,IF($S$758=580,PR!$E$642,IF($S$758=581,PR!$E$643,IF($S$758=582,PR!$E$644,IF($S$758=583,PR!$E$645,IF($S$758=584,PR!$E$646,IF($S$758=585,PR!$E$647,IF($S$758=586,PR!$E$648,IF($S$758=587,PR!$E$649,IF($S$758=588,PR!$E$650,IF($S$758=589,PR!$E$651,IF($S$758=590,PR!$E$652,IF($S$758=591,PR!$E$653,IF($S$758=592,PR!$E$654,IF($S$758=593,PR!$E$655,IF($S$758=594,PR!$E$656,IF($S$758=595,PR!$E$657,IF($S$758=596,PR!$E$658,IF($S$758=597,PR!$E$659,IF($S$758=598,PR!$E$660,IF($S$758=599,PR!$E$661,IF($S$758=600,PR!$E$662,"-"))))))))))))))))))))))))))))))))))))))))))))))))))))))))))))</f>
        <v>0</v>
      </c>
      <c r="D762" s="602">
        <f>IF($S$758=541,PR!$F$599,IF($S$758=542,PR!$F$600,IF($S$758=543,PR!$F$601,IF($S$758=544,PR!$F$602,IF($S$758=545,PR!$F$603,IF($S$758=546,PR!$F$604,IF($S$758=547,PR!$F$605,IF($S$758=548,PR!$F$606,IF($S$758=549,PR!$F$607,IF($S$758=550,PR!$F$608,IF($S$758=551,PR!$F$609,IF($S$758=552,PR!$F$610,IF($S$758=553,PR!$F$611,IF($S$758=554,PR!$F$612,IF($S$758=555,PR!$F$613,IF($S$758=556,PR!$F$614,IF($S$758=557,PR!$F$615,IF($S$758=558,PR!$F$616,IF($S$758=559,PR!$F$617,IF($S$758=560,PR!$F$618,IF($S$758=561,PR!$F$619,IF($S$758=562,PR!$F$620,IF($S$758=563,PR!$F$621,IF($S$758=564,PR!$F$622,IF($S$758=565,PR!$F$623,IF($S$758=566,PR!$F$624,IF($S$758=567,PR!$F$625,IF($S$758=568,PR!$F$626,IF($S$758=569,PR!$F$627,IF($S$758=570,PR!$F$632,IF($S$758=571,PR!$F$633,IF($S$758=572,PR!$F$634,IF($S$758=573,PR!$F$635,IF($S$758=574,PR!$F$636,IF($S$758=575,PR!$F$637,IF($S$758=576,PR!$F$638,IF($S$758=577,PR!$F$639,IF($S$758=578,PR!$F$640,IF($S$758=579,PR!$F$641,IF($S$758=580,PR!$F$642,IF($S$758=581,PR!$F$643,IF($S$758=582,PR!$F$644,IF($S$758=583,PR!$F$645,IF($S$758=584,PR!$F$646,IF($S$758=585,PR!$F$647,IF($S$758=586,PR!$F$648,IF($S$758=587,PR!$F$649,IF($S$758=588,PR!$F$650,IF($S$758=589,PR!$F$651,IF($S$758=590,PR!$F$652,IF($S$758=591,PR!$F$653,IF($S$758=592,PR!$F$654,IF($S$758=593,PR!$F$655,IF($S$758=594,PR!$F$656,IF($S$758=595,PR!$F$657,IF($S$758=596,PR!$F$658,IF($S$758=597,PR!$F$659,IF($S$758=598,PR!$F$660,IF($S$758=599,PR!$F$661,IF($S$758=600,PR!$F$662,"-"))))))))))))))))))))))))))))))))))))))))))))))))))))))))))))</f>
        <v>0</v>
      </c>
      <c r="E762" s="602">
        <f>IF($S$758=541,PR!$G$599,IF($S$758=542,PR!$G$600,IF($S$758=543,PR!$G$601,IF($S$758=544,PR!$G$602,IF($S$758=545,PR!$G$603,IF($S$758=546,PR!$G$604,IF($S$758=547,PR!$G$605,IF($S$758=548,PR!$G$606,IF($S$758=549,PR!$G$607,IF($S$758=550,PR!$G$608,IF($S$758=551,PR!$G$609,IF($S$758=552,PR!$G$610,IF($S$758=553,PR!$G$611,IF($S$758=554,PR!$G$612,IF($S$758=555,PR!$G$613,IF($S$758=556,PR!$G$614,IF($S$758=557,PR!$G$615,IF($S$758=558,PR!$G$616,IF($S$758=559,PR!$G$617,IF($S$758=560,PR!$G$618,IF($S$758=561,PR!$G$619,IF($S$758=562,PR!$G$620,IF($S$758=563,PR!$G$621,IF($S$758=564,PR!$G$622,IF($S$758=565,PR!$G$623,IF($S$758=566,PR!$G$624,IF($S$758=567,PR!$G$625,IF($S$758=568,PR!$G$626,IF($S$758=569,PR!$G$627,IF($S$758=570,PR!$G$632,IF($S$758=571,PR!$G$633,IF($S$758=572,PR!$G$634,IF($S$758=573,PR!$G$635,IF($S$758=574,PR!$G$636,IF($S$758=575,PR!$G$637,IF($S$758=576,PR!$G$638,IF($S$758=577,PR!$G$639,IF($S$758=578,PR!$G$640,IF($S$758=579,PR!$G$641,IF($S$758=580,PR!$G$642,IF($S$758=581,PR!$G$643,IF($S$758=582,PR!$G$644,IF($S$758=583,PR!$G$645,IF($S$758=584,PR!$G$646,IF($S$758=585,PR!$G$647,IF($S$758=586,PR!$G$648,IF($S$758=587,PR!$G$649,IF($S$758=588,PR!$G$650,IF($S$758=589,PR!$G$651,IF($S$758=590,PR!$G$652,IF($S$758=591,PR!$G$653,IF($S$758=592,PR!$G$654,IF($S$758=593,PR!$G$655,IF($S$758=594,PR!$G$656,IF($S$758=595,PR!$G$657,IF($S$758=596,PR!$G$658,IF($S$758=597,PR!$G$659,IF($S$758=598,PR!$G$660,IF($S$758=599,PR!$G$661,IF($S$758=600,PR!$G$662,"-"))))))))))))))))))))))))))))))))))))))))))))))))))))))))))))</f>
        <v>0</v>
      </c>
      <c r="F762" s="602">
        <f>IF($S$758=541,PR!$H$599,IF($S$758=542,PR!$H$600,IF($S$758=543,PR!$H$601,IF($S$758=544,PR!$H$602,IF($S$758=545,PR!$H$603,IF($S$758=546,PR!$H$604,IF($S$758=547,PR!$H$605,IF($S$758=548,PR!$H$606,IF($S$758=549,PR!$H$607,IF($S$758=550,PR!$H$608,IF($S$758=551,PR!$H$609,IF($S$758=552,PR!$H$610,IF($S$758=553,PR!$H$611,IF($S$758=554,PR!$H$612,IF($S$758=555,PR!$H$613,IF($S$758=556,PR!$H$614,IF($S$758=557,PR!$H$615,IF($S$758=558,PR!$H$616,IF($S$758=559,PR!$H$617,IF($S$758=560,PR!$H$618,IF($S$758=561,PR!$H$619,IF($S$758=562,PR!$H$620,IF($S$758=563,PR!$H$621,IF($S$758=564,PR!$H$622,IF($S$758=565,PR!$H$623,IF($S$758=566,PR!$H$624,IF($S$758=567,PR!$H$625,IF($S$758=568,PR!$H$626,IF($S$758=569,PR!$H$627,IF($S$758=570,PR!$H$632,IF($S$758=571,PR!$H$633,IF($S$758=572,PR!$H$634,IF($S$758=573,PR!$H$635,IF($S$758=574,PR!$H$636,IF($S$758=575,PR!$H$637,IF($S$758=576,PR!$H$638,IF($S$758=577,PR!$H$639,IF($S$758=578,PR!$H$640,IF($S$758=579,PR!$H$641,IF($S$758=580,PR!$H$642,IF($S$758=581,PR!$H$643,IF($S$758=582,PR!$H$644,IF($S$758=583,PR!$H$645,IF($S$758=584,PR!$H$646,IF($S$758=585,PR!$H$647,IF($S$758=586,PR!$H$648,IF($S$758=587,PR!$H$649,IF($S$758=588,PR!$H$650,IF($S$758=589,PR!$H$651,IF($S$758=590,PR!$H$652,IF($S$758=591,PR!$H$653,IF($S$758=592,PR!$H$654,IF($S$758=593,PR!$H$655,IF($S$758=594,PR!$H$656,IF($S$758=595,PR!$H$657,IF($S$758=596,PR!$H$658,IF($S$758=597,PR!$H$659,IF($S$758=598,PR!$H$660,IF($S$758=599,PR!$H$661,IF($S$758=600,PR!$H$662,"-"))))))))))))))))))))))))))))))))))))))))))))))))))))))))))))</f>
        <v>0</v>
      </c>
      <c r="G762" s="602">
        <f>IF($S$758=541,PR!$I$599,IF($S$758=542,PR!$I$600,IF($S$758=543,PR!$I$601,IF($S$758=544,PR!$I$602,IF($S$758=545,PR!$I$603,IF($S$758=546,PR!$I$604,IF($S$758=547,PR!$I$605,IF($S$758=548,PR!$I$606,IF($S$758=549,PR!$I$607,IF($S$758=550,PR!$I$608,IF($S$758=551,PR!$I$609,IF($S$758=552,PR!$I$610,IF($S$758=553,PR!$I$611,IF($S$758=554,PR!$I$612,IF($S$758=555,PR!$I$613,IF($S$758=556,PR!$I$614,IF($S$758=557,PR!$I$615,IF($S$758=558,PR!$I$616,IF($S$758=559,PR!$I$617,IF($S$758=560,PR!$I$618,IF($S$758=561,PR!$I$619,IF($S$758=562,PR!$I$620,IF($S$758=563,PR!$I$621,IF($S$758=564,PR!$I$622,IF($S$758=565,PR!$I$623,IF($S$758=566,PR!$I$624,IF($S$758=567,PR!$I$625,IF($S$758=568,PR!$I$626,IF($S$758=569,PR!$I$627,IF($S$758=570,PR!$I$632,IF($S$758=571,PR!$I$633,IF($S$758=572,PR!$I$634,IF($S$758=573,PR!$I$635,IF($S$758=574,PR!$I$636,IF($S$758=575,PR!$I$637,IF($S$758=576,PR!$I$638,IF($S$758=577,PR!$I$639,IF($S$758=578,PR!$I$640,IF($S$758=579,PR!$I$641,IF($S$758=580,PR!$I$642,IF($S$758=581,PR!$I$643,IF($S$758=582,PR!$I$644,IF($S$758=583,PR!$I$645,IF($S$758=584,PR!$I$646,IF($S$758=585,PR!$I$647,IF($S$758=586,PR!$I$648,IF($S$758=587,PR!$I$649,IF($S$758=588,PR!$I$650,IF($S$758=589,PR!$I$651,IF($S$758=590,PR!$I$652,IF($S$758=591,PR!$I$653,IF($S$758=592,PR!$I$654,IF($S$758=593,PR!$I$655,IF($S$758=594,PR!$I$656,IF($S$758=595,PR!$I$657,IF($S$758=596,PR!$I$658,IF($S$758=597,PR!$I$659,IF($S$758=598,PR!$I$660,IF($S$758=599,PR!$I$661,IF($S$758=600,PR!$I$662,"-"))))))))))))))))))))))))))))))))))))))))))))))))))))))))))))</f>
        <v>0</v>
      </c>
      <c r="H762" s="602">
        <f>IF($S$758=541,PR!$J$599,IF($S$758=542,PR!$J$600,IF($S$758=543,PR!$J$601,IF($S$758=544,PR!$J$602,IF($S$758=545,PR!$J$603,IF($S$758=546,PR!$J$604,IF($S$758=547,PR!$J$605,IF($S$758=548,PR!$J$606,IF($S$758=549,PR!$J$607,IF($S$758=550,PR!$J$608,IF($S$758=551,PR!$J$609,IF($S$758=552,PR!$J$610,IF($S$758=553,PR!$J$611,IF($S$758=554,PR!$J$612,IF($S$758=555,PR!$J$613,IF($S$758=556,PR!$J$614,IF($S$758=557,PR!$J$615,IF($S$758=558,PR!$J$616,IF($S$758=559,PR!$J$617,IF($S$758=560,PR!$J$618,IF($S$758=561,PR!$J$619,IF($S$758=562,PR!$J$620,IF($S$758=563,PR!$J$621,IF($S$758=564,PR!$J$622,IF($S$758=565,PR!$J$623,IF($S$758=566,PR!$J$624,IF($S$758=567,PR!$J$625,IF($S$758=568,PR!$J$626,IF($S$758=569,PR!$J$627,IF($S$758=570,PR!$J$632,IF($S$758=571,PR!$J$633,IF($S$758=572,PR!$J$634,IF($S$758=573,PR!$J$635,IF($S$758=574,PR!$J$636,IF($S$758=575,PR!$J$637,IF($S$758=576,PR!$J$638,IF($S$758=577,PR!$J$639,IF($S$758=578,PR!$J$640,IF($S$758=579,PR!$J$641,IF($S$758=580,PR!$J$642,IF($S$758=581,PR!$J$643,IF($S$758=582,PR!$J$644,IF($S$758=583,PR!$J$645,IF($S$758=584,PR!$J$646,IF($S$758=585,PR!$J$647,IF($S$758=586,PR!$J$648,IF($S$758=587,PR!$J$649,IF($S$758=588,PR!$J$650,IF($S$758=589,PR!$J$651,IF($S$758=590,PR!$J$652,IF($S$758=591,PR!$J$653,IF($S$758=592,PR!$J$654,IF($S$758=593,PR!$J$655,IF($S$758=594,PR!$J$656,IF($S$758=595,PR!$J$657,IF($S$758=596,PR!$J$658,IF($S$758=597,PR!$J$659,IF($S$758=598,PR!$J$660,IF($S$758=599,PR!$J$661,IF($S$758=600,PR!$J$662,"-"))))))))))))))))))))))))))))))))))))))))))))))))))))))))))))</f>
        <v>0</v>
      </c>
      <c r="I762" s="602">
        <f>IF($S$758=541,PR!$K$599,IF($S$758=542,PR!$K$600,IF($S$758=543,PR!$K$601,IF($S$758=544,PR!$K$602,IF($S$758=545,PR!$K$603,IF($S$758=546,PR!$K$604,IF($S$758=547,PR!$K$605,IF($S$758=548,PR!$K$606,IF($S$758=549,PR!$K$607,IF($S$758=550,PR!$K$608,IF($S$758=551,PR!$K$609,IF($S$758=552,PR!$K$610,IF($S$758=553,PR!$K$611,IF($S$758=554,PR!$K$612,IF($S$758=555,PR!$K$613,IF($S$758=556,PR!$K$614,IF($S$758=557,PR!$K$615,IF($S$758=558,PR!$K$616,IF($S$758=559,PR!$K$617,IF($S$758=560,PR!$K$618,IF($S$758=561,PR!$K$619,IF($S$758=562,PR!$K$620,IF($S$758=563,PR!$K$621,IF($S$758=564,PR!$K$622,IF($S$758=565,PR!$K$623,IF($S$758=566,PR!$K$624,IF($S$758=567,PR!$K$625,IF($S$758=568,PR!$K$626,IF($S$758=569,PR!$K$627,IF($S$758=570,PR!$K$632,IF($S$758=571,PR!$K$633,IF($S$758=572,PR!$K$634,IF($S$758=573,PR!$K$635,IF($S$758=574,PR!$K$636,IF($S$758=575,PR!$K$637,IF($S$758=576,PR!$K$638,IF($S$758=577,PR!$K$639,IF($S$758=578,PR!$K$640,IF($S$758=579,PR!$K$641,IF($S$758=580,PR!$K$642,IF($S$758=581,PR!$K$643,IF($S$758=582,PR!$K$644,IF($S$758=583,PR!$K$645,IF($S$758=584,PR!$K$646,IF($S$758=585,PR!$K$647,IF($S$758=586,PR!$K$648,IF($S$758=587,PR!$K$649,IF($S$758=588,PR!$K$650,IF($S$758=589,PR!$K$651,IF($S$758=590,PR!$K$652,IF($S$758=591,PR!$K$653,IF($S$758=592,PR!$K$654,IF($S$758=593,PR!$K$655,IF($S$758=594,PR!$K$656,IF($S$758=595,PR!$K$657,IF($S$758=596,PR!$K$658,IF($S$758=597,PR!$K$659,IF($S$758=598,PR!$K$660,IF($S$758=599,PR!$K$661,IF($S$758=600,PR!$K$662,"-"))))))))))))))))))))))))))))))))))))))))))))))))))))))))))))</f>
        <v>0</v>
      </c>
      <c r="J762" s="602">
        <f>IF($S$758=541,PR!$L$599,IF($S$758=542,PR!$L$600,IF($S$758=543,PR!$L$601,IF($S$758=544,PR!$L$602,IF($S$758=545,PR!$L$603,IF($S$758=546,PR!$L$604,IF($S$758=547,PR!$L$605,IF($S$758=548,PR!$L$606,IF($S$758=549,PR!$L$607,IF($S$758=550,PR!$L$608,IF($S$758=551,PR!$L$609,IF($S$758=552,PR!$L$610,IF($S$758=553,PR!$L$611,IF($S$758=554,PR!$L$612,IF($S$758=555,PR!$L$613,IF($S$758=556,PR!$L$614,IF($S$758=557,PR!$L$615,IF($S$758=558,PR!$L$616,IF($S$758=559,PR!$L$617,IF($S$758=560,PR!$L$618,IF($S$758=561,PR!$L$619,IF($S$758=562,PR!$L$620,IF($S$758=563,PR!$L$621,IF($S$758=564,PR!$L$622,IF($S$758=565,PR!$L$623,IF($S$758=566,PR!$L$624,IF($S$758=567,PR!$L$625,IF($S$758=568,PR!$L$626,IF($S$758=569,PR!$L$627,IF($S$758=570,PR!$L$632,IF($S$758=571,PR!$L$633,IF($S$758=572,PR!$L$634,IF($S$758=573,PR!$L$635,IF($S$758=574,PR!$L$636,IF($S$758=575,PR!$L$637,IF($S$758=576,PR!$L$638,IF($S$758=577,PR!$L$639,IF($S$758=578,PR!$L$640,IF($S$758=579,PR!$L$641,IF($S$758=580,PR!$L$642,IF($S$758=581,PR!$L$643,IF($S$758=582,PR!$L$644,IF($S$758=583,PR!$L$645,IF($S$758=584,PR!$L$646,IF($S$758=585,PR!$L$647,IF($S$758=586,PR!$L$648,IF($S$758=587,PR!$L$649,IF($S$758=588,PR!$L$650,IF($S$758=589,PR!$L$651,IF($S$758=590,PR!$L$652,IF($S$758=591,PR!$L$653,IF($S$758=592,PR!$L$654,IF($S$758=593,PR!$L$655,IF($S$758=594,PR!$L$656,IF($S$758=595,PR!$L$657,IF($S$758=596,PR!$L$658,IF($S$758=597,PR!$L$659,IF($S$758=598,PR!$L$660,IF($S$758=599,PR!$L$661,IF($S$758=600,PR!$L$662,"-"))))))))))))))))))))))))))))))))))))))))))))))))))))))))))))</f>
        <v>1800</v>
      </c>
      <c r="K762" s="602">
        <f>IF($S$758=541,PR!$M$599,IF($S$758=542,PR!$M$600,IF($S$758=543,PR!$M$601,IF($S$758=544,PR!$M$602,IF($S$758=545,PR!$M$603,IF($S$758=546,PR!$M$604,IF($S$758=547,PR!$M$605,IF($S$758=548,PR!$M$606,IF($S$758=549,PR!$M$607,IF($S$758=550,PR!$M$608,IF($S$758=551,PR!$M$609,IF($S$758=552,PR!$M$610,IF($S$758=553,PR!$M$611,IF($S$758=554,PR!$M$612,IF($S$758=555,PR!$M$613,IF($S$758=556,PR!$M$614,IF($S$758=557,PR!$M$615,IF($S$758=558,PR!$M$616,IF($S$758=559,PR!$M$617,IF($S$758=560,PR!$M$618,IF($S$758=561,PR!$M$619,IF($S$758=562,PR!$M$620,IF($S$758=563,PR!$M$621,IF($S$758=564,PR!$M$622,IF($S$758=565,PR!$M$623,IF($S$758=566,PR!$M$624,IF($S$758=567,PR!$M$625,IF($S$758=568,PR!$M$626,IF($S$758=569,PR!$M$627,IF($S$758=570,PR!$M$632,IF($S$758=571,PR!$M$633,IF($S$758=572,PR!$M$634,IF($S$758=573,PR!$M$635,IF($S$758=574,PR!$M$636,IF($S$758=575,PR!$M$637,IF($S$758=576,PR!$M$638,IF($S$758=577,PR!$M$639,IF($S$758=578,PR!$M$640,IF($S$758=579,PR!$M$641,IF($S$758=580,PR!$M$642,IF($S$758=581,PR!$M$643,IF($S$758=582,PR!$M$644,IF($S$758=583,PR!$M$645,IF($S$758=584,PR!$M$646,IF($S$758=585,PR!$M$647,IF($S$758=586,PR!$M$648,IF($S$758=587,PR!$M$649,IF($S$758=588,PR!$M$650,IF($S$758=589,PR!$M$651,IF($S$758=590,PR!$M$652,IF($S$758=591,PR!$M$653,IF($S$758=592,PR!$M$654,IF($S$758=593,PR!$M$655,IF($S$758=594,PR!$M$656,IF($S$758=595,PR!$M$657,IF($S$758=596,PR!$M$658,IF($S$758=597,PR!$M$659,IF($S$758=598,PR!$M$660,IF($S$758=599,PR!$M$661,IF($S$758=600,PR!$M$662,"-"))))))))))))))))))))))))))))))))))))))))))))))))))))))))))))</f>
        <v>19000</v>
      </c>
      <c r="L762" s="602">
        <f>IF($S$758=541,PR!$N$599,IF($S$758=542,PR!$N$600,IF($S$758=543,PR!$N$601,IF($S$758=544,PR!$N$602,IF($S$758=545,PR!$N$603,IF($S$758=546,PR!$N$604,IF($S$758=547,PR!$N$605,IF($S$758=548,PR!$N$606,IF($S$758=549,PR!$N$607,IF($S$758=550,PR!$N$608,IF($S$758=551,PR!$N$609,IF($S$758=552,PR!$N$610,IF($S$758=553,PR!$N$611,IF($S$758=554,PR!$N$612,IF($S$758=555,PR!$N$613,IF($S$758=556,PR!$N$614,IF($S$758=557,PR!$N$615,IF($S$758=558,PR!$N$616,IF($S$758=559,PR!$N$617,IF($S$758=560,PR!$N$618,IF($S$758=561,PR!$N$619,IF($S$758=562,PR!$N$620,IF($S$758=563,PR!$N$621,IF($S$758=564,PR!$N$622,IF($S$758=565,PR!$N$623,IF($S$758=566,PR!$N$624,IF($S$758=567,PR!$N$625,IF($S$758=568,PR!$N$626,IF($S$758=569,PR!$N$627,IF($S$758=570,PR!$N$632,IF($S$758=571,PR!$N$633,IF($S$758=572,PR!$N$634,IF($S$758=573,PR!$N$635,IF($S$758=574,PR!$N$636,IF($S$758=575,PR!$N$637,IF($S$758=576,PR!$N$638,IF($S$758=577,PR!$N$639,IF($S$758=578,PR!$N$640,IF($S$758=579,PR!$N$641,IF($S$758=580,PR!$N$642,IF($S$758=581,PR!$N$643,IF($S$758=582,PR!$N$644,IF($S$758=583,PR!$N$645,IF($S$758=584,PR!$N$646,IF($S$758=585,PR!$N$647,IF($S$758=586,PR!$N$648,IF($S$758=587,PR!$N$649,IF($S$758=588,PR!$N$650,IF($S$758=589,PR!$N$651,IF($S$758=590,PR!$N$652,IF($S$758=591,PR!$N$653,IF($S$758=592,PR!$N$654,IF($S$758=593,PR!$N$655,IF($S$758=594,PR!$N$656,IF($S$758=595,PR!$N$657,IF($S$758=596,PR!$N$658,IF($S$758=597,PR!$N$659,IF($S$758=598,PR!$N$660,IF($S$758=599,PR!$N$661,IF($S$758=600,PR!$N$662,"-"))))))))))))))))))))))))))))))))))))))))))))))))))))))))))))</f>
        <v>0</v>
      </c>
      <c r="M762" s="602">
        <f>IF($S$758=541,PR!$O$599,IF($S$758=542,PR!$O$600,IF($S$758=543,PR!$O$601,IF($S$758=544,PR!$O$602,IF($S$758=545,PR!$O$603,IF($S$758=546,PR!$O$604,IF($S$758=547,PR!$O$605,IF($S$758=548,PR!$O$606,IF($S$758=549,PR!$O$607,IF($S$758=550,PR!$O$608,IF($S$758=551,PR!$O$609,IF($S$758=552,PR!$O$610,IF($S$758=553,PR!$O$611,IF($S$758=554,PR!$O$612,IF($S$758=555,PR!$O$613,IF($S$758=556,PR!$O$614,IF($S$758=557,PR!$O$615,IF($S$758=558,PR!$O$616,IF($S$758=559,PR!$O$617,IF($S$758=560,PR!$O$618,IF($S$758=561,PR!$O$619,IF($S$758=562,PR!$O$620,IF($S$758=563,PR!$O$621,IF($S$758=564,PR!$O$622,IF($S$758=565,PR!$O$623,IF($S$758=566,PR!$O$624,IF($S$758=567,PR!$O$625,IF($S$758=568,PR!$O$626,IF($S$758=569,PR!$O$627,IF($S$758=570,PR!$O$632,IF($S$758=571,PR!$O$633,IF($S$758=572,PR!$O$634,IF($S$758=573,PR!$O$635,IF($S$758=574,PR!$O$636,IF($S$758=575,PR!$O$637,IF($S$758=576,PR!$O$638,IF($S$758=577,PR!$O$639,IF($S$758=578,PR!$O$640,IF($S$758=579,PR!$O$641,IF($S$758=580,PR!$O$642,IF($S$758=581,PR!$O$643,IF($S$758=582,PR!$O$644,IF($S$758=583,PR!$O$645,IF($S$758=584,PR!$O$646,IF($S$758=585,PR!$O$647,IF($S$758=586,PR!$O$648,IF($S$758=587,PR!$O$649,IF($S$758=588,PR!$O$650,IF($S$758=589,PR!$O$651,IF($S$758=590,PR!$O$652,IF($S$758=591,PR!$O$653,IF($S$758=592,PR!$O$654,IF($S$758=593,PR!$O$655,IF($S$758=594,PR!$O$656,IF($S$758=595,PR!$O$657,IF($S$758=596,PR!$O$658,IF($S$758=597,PR!$O$659,IF($S$758=598,PR!$O$660,IF($S$758=599,PR!$O$661,IF($S$758=600,PR!$O$662,"-"))))))))))))))))))))))))))))))))))))))))))))))))))))))))))))</f>
        <v>0</v>
      </c>
      <c r="N762" s="602">
        <f>IF($S$758=541,PR!$P$599,IF($S$758=542,PR!$P$600,IF($S$758=543,PR!$P$601,IF($S$758=544,PR!$P$602,IF($S$758=545,PR!$P$603,IF($S$758=546,PR!$P$604,IF($S$758=547,PR!$P$605,IF($S$758=548,PR!$P$606,IF($S$758=549,PR!$P$607,IF($S$758=550,PR!$P$608,IF($S$758=551,PR!$P$609,IF($S$758=552,PR!$P$610,IF($S$758=553,PR!$P$611,IF($S$758=554,PR!$P$612,IF($S$758=555,PR!$P$613,IF($S$758=556,PR!$P$614,IF($S$758=557,PR!$P$615,IF($S$758=558,PR!$P$616,IF($S$758=559,PR!$P$617,IF($S$758=560,PR!$P$618,IF($S$758=561,PR!$P$619,IF($S$758=562,PR!$P$620,IF($S$758=563,PR!$P$621,IF($S$758=564,PR!$P$622,IF($S$758=565,PR!$P$623,IF($S$758=566,PR!$P$624,IF($S$758=567,PR!$P$625,IF($S$758=568,PR!$P$626,IF($S$758=569,PR!$P$627,IF($S$758=570,PR!$P$632,IF($S$758=571,PR!$P$633,IF($S$758=572,PR!$P$634,IF($S$758=573,PR!$P$635,IF($S$758=574,PR!$P$636,IF($S$758=575,PR!$P$637,IF($S$758=576,PR!$P$638,IF($S$758=577,PR!$P$639,IF($S$758=578,PR!$P$640,IF($S$758=579,PR!$P$641,IF($S$758=580,PR!$P$642,IF($S$758=581,PR!$P$643,IF($S$758=582,PR!$P$644,IF($S$758=583,PR!$P$645,IF($S$758=584,PR!$P$646,IF($S$758=585,PR!$P$647,IF($S$758=586,PR!$P$648,IF($S$758=587,PR!$P$649,IF($S$758=588,PR!$P$650,IF($S$758=589,PR!$P$651,IF($S$758=590,PR!$P$652,IF($S$758=591,PR!$P$653,IF($S$758=592,PR!$P$654,IF($S$758=593,PR!$P$655,IF($S$758=594,PR!$P$656,IF($S$758=595,PR!$P$657,IF($S$758=596,PR!$P$658,IF($S$758=597,PR!$P$659,IF($S$758=598,PR!$P$660,IF($S$758=599,PR!$P$661,IF($S$758=600,PR!$P$662,"-"))))))))))))))))))))))))))))))))))))))))))))))))))))))))))))</f>
        <v>0</v>
      </c>
      <c r="O762" s="602">
        <f>IF($S$758=541,PR!$Q$599,IF($S$758=542,PR!$Q$600,IF($S$758=543,PR!$Q$601,IF($S$758=544,PR!$Q$602,IF($S$758=545,PR!$Q$603,IF($S$758=546,PR!$Q$604,IF($S$758=547,PR!$Q$605,IF($S$758=548,PR!$Q$606,IF($S$758=549,PR!$Q$607,IF($S$758=550,PR!$Q$608,IF($S$758=551,PR!$Q$609,IF($S$758=552,PR!$Q$610,IF($S$758=553,PR!$Q$611,IF($S$758=554,PR!$Q$612,IF($S$758=555,PR!$Q$613,IF($S$758=556,PR!$Q$614,IF($S$758=557,PR!$Q$615,IF($S$758=558,PR!$Q$616,IF($S$758=559,PR!$Q$617,IF($S$758=560,PR!$Q$618,IF($S$758=561,PR!$Q$619,IF($S$758=562,PR!$Q$620,IF($S$758=563,PR!$Q$621,IF($S$758=564,PR!$Q$622,IF($S$758=565,PR!$Q$623,IF($S$758=566,PR!$Q$624,IF($S$758=567,PR!$Q$625,IF($S$758=568,PR!$Q$626,IF($S$758=569,PR!$Q$627,IF($S$758=570,PR!$Q$632,IF($S$758=571,PR!$Q$633,IF($S$758=572,PR!$Q$634,IF($S$758=573,PR!$Q$635,IF($S$758=574,PR!$Q$636,IF($S$758=575,PR!$Q$637,IF($S$758=576,PR!$Q$638,IF($S$758=577,PR!$Q$639,IF($S$758=578,PR!$Q$640,IF($S$758=579,PR!$Q$641,IF($S$758=580,PR!$Q$642,IF($S$758=581,PR!$Q$643,IF($S$758=582,PR!$Q$644,IF($S$758=583,PR!$Q$645,IF($S$758=584,PR!$Q$646,IF($S$758=585,PR!$Q$647,IF($S$758=586,PR!$Q$648,IF($S$758=587,PR!$Q$649,IF($S$758=588,PR!$Q$650,IF($S$758=589,PR!$Q$651,IF($S$758=590,PR!$Q$652,IF($S$758=591,PR!$Q$653,IF($S$758=592,PR!$Q$654,IF($S$758=593,PR!$Q$655,IF($S$758=594,PR!$Q$656,IF($S$758=595,PR!$Q$657,IF($S$758=596,PR!$Q$658,IF($S$758=597,PR!$Q$659,IF($S$758=598,PR!$Q$660,IF($S$758=599,PR!$Q$661,IF($S$758=600,PR!$Q$662,"-"))))))))))))))))))))))))))))))))))))))))))))))))))))))))))))</f>
        <v>0</v>
      </c>
      <c r="P762" s="602">
        <f>IF($S$758=541,PR!$R$599,IF($S$758=542,PR!$R$600,IF($S$758=543,PR!$R$601,IF($S$758=544,PR!$R$602,IF($S$758=545,PR!$R$603,IF($S$758=546,PR!$R$604,IF($S$758=547,PR!$R$605,IF($S$758=548,PR!$R$606,IF($S$758=549,PR!$R$607,IF($S$758=550,PR!$R$608,IF($S$758=551,PR!$R$609,IF($S$758=552,PR!$R$610,IF($S$758=553,PR!$R$611,IF($S$758=554,PR!$R$612,IF($S$758=555,PR!$R$613,IF($S$758=556,PR!$R$614,IF($S$758=557,PR!$R$615,IF($S$758=558,PR!$R$616,IF($S$758=559,PR!$R$617,IF($S$758=560,PR!$R$618,IF($S$758=561,PR!$R$619,IF($S$758=562,PR!$R$620,IF($S$758=563,PR!$R$621,IF($S$758=564,PR!$R$622,IF($S$758=565,PR!$R$623,IF($S$758=566,PR!$R$624,IF($S$758=567,PR!$R$625,IF($S$758=568,PR!$R$626,IF($S$758=569,PR!$R$627,IF($S$758=570,PR!$R$632,IF($S$758=571,PR!$R$633,IF($S$758=572,PR!$R$634,IF($S$758=573,PR!$R$635,IF($S$758=574,PR!$R$636,IF($S$758=575,PR!$R$637,IF($S$758=576,PR!$R$638,IF($S$758=577,PR!$R$639,IF($S$758=578,PR!$R$640,IF($S$758=579,PR!$R$641,IF($S$758=580,PR!$R$642,IF($S$758=581,PR!$R$643,IF($S$758=582,PR!$R$644,IF($S$758=583,PR!$R$645,IF($S$758=584,PR!$R$646,IF($S$758=585,PR!$R$647,IF($S$758=586,PR!$R$648,IF($S$758=587,PR!$R$649,IF($S$758=588,PR!$R$650,IF($S$758=589,PR!$R$651,IF($S$758=590,PR!$R$652,IF($S$758=591,PR!$R$653,IF($S$758=592,PR!$R$654,IF($S$758=593,PR!$R$655,IF($S$758=594,PR!$R$656,IF($S$758=595,PR!$R$657,IF($S$758=596,PR!$R$658,IF($S$758=597,PR!$R$659,IF($S$758=598,PR!$R$660,IF($S$758=599,PR!$R$661,IF($S$758=600,PR!$R$662,"-"))))))))))))))))))))))))))))))))))))))))))))))))))))))))))))</f>
        <v>0</v>
      </c>
      <c r="Q762" s="602">
        <f>IF($S$758=541,PR!$S$599,IF($S$758=542,PR!$S$600,IF($S$758=543,PR!$S$601,IF($S$758=544,PR!$S$602,IF($S$758=545,PR!$S$603,IF($S$758=546,PR!$S$604,IF($S$758=547,PR!$S$605,IF($S$758=548,PR!$S$606,IF($S$758=549,PR!$S$607,IF($S$758=550,PR!$S$608,IF($S$758=551,PR!$S$609,IF($S$758=552,PR!$S$610,IF($S$758=553,PR!$S$611,IF($S$758=554,PR!$S$612,IF($S$758=555,PR!$S$613,IF($S$758=556,PR!$S$614,IF($S$758=557,PR!$S$615,IF($S$758=558,PR!$S$616,IF($S$758=559,PR!$S$617,IF($S$758=560,PR!$S$618,IF($S$758=561,PR!$S$619,IF($S$758=562,PR!$S$620,IF($S$758=563,PR!$S$621,IF($S$758=564,PR!$S$622,IF($S$758=565,PR!$S$623,IF($S$758=566,PR!$S$624,IF($S$758=567,PR!$S$625,IF($S$758=568,PR!$S$626,IF($S$758=569,PR!$S$627,IF($S$758=570,PR!$S$632,IF($S$758=571,PR!$S$633,IF($S$758=572,PR!$S$634,IF($S$758=573,PR!$S$635,IF($S$758=574,PR!$S$636,IF($S$758=575,PR!$S$637,IF($S$758=576,PR!$S$638,IF($S$758=577,PR!$S$639,IF($S$758=578,PR!$S$640,IF($S$758=579,PR!$S$641,IF($S$758=580,PR!$S$642,IF($S$758=581,PR!$S$643,IF($S$758=582,PR!$S$644,IF($S$758=583,PR!$S$645,IF($S$758=584,PR!$S$646,IF($S$758=585,PR!$S$647,IF($S$758=586,PR!$S$648,IF($S$758=587,PR!$S$649,IF($S$758=588,PR!$S$650,IF($S$758=589,PR!$S$651,IF($S$758=590,PR!$S$652,IF($S$758=591,PR!$S$653,IF($S$758=592,PR!$S$654,IF($S$758=593,PR!$S$655,IF($S$758=594,PR!$S$656,IF($S$758=595,PR!$S$657,IF($S$758=596,PR!$S$658,IF($S$758=597,PR!$S$659,IF($S$758=598,PR!$S$660,IF($S$758=599,PR!$S$661,IF($S$758=600,PR!$S$662,"-"))))))))))))))))))))))))))))))))))))))))))))))))))))))))))))</f>
        <v>1900</v>
      </c>
      <c r="R762" s="602">
        <f>IF($S$758=541,PR!$T$599,IF($S$758=542,PR!$T$600,IF($S$758=543,PR!$T$601,IF($S$758=544,PR!$T$602,IF($S$758=545,PR!$T$603,IF($S$758=546,PR!$T$604,IF($S$758=547,PR!$T$605,IF($S$758=548,PR!$T$606,IF($S$758=549,PR!$T$607,IF($S$758=550,PR!$T$608,IF($S$758=551,PR!$T$609,IF($S$758=552,PR!$T$610,IF($S$758=553,PR!$T$611,IF($S$758=554,PR!$T$612,IF($S$758=555,PR!$T$613,IF($S$758=556,PR!$T$614,IF($S$758=557,PR!$T$615,IF($S$758=558,PR!$T$616,IF($S$758=559,PR!$T$617,IF($S$758=560,PR!$T$618,IF($S$758=561,PR!$T$619,IF($S$758=562,PR!$T$620,IF($S$758=563,PR!$T$621,IF($S$758=564,PR!$T$622,IF($S$758=565,PR!$T$623,IF($S$758=566,PR!$T$624,IF($S$758=567,PR!$T$625,IF($S$758=568,PR!$T$626,IF($S$758=569,PR!$T$627,IF($S$758=570,PR!$T$632,IF($S$758=571,PR!$T$633,IF($S$758=572,PR!$T$634,IF($S$758=573,PR!$T$635,IF($S$758=574,PR!$T$636,IF($S$758=575,PR!$T$637,IF($S$758=576,PR!$T$638,IF($S$758=577,PR!$T$639,IF($S$758=578,PR!$T$640,IF($S$758=579,PR!$T$641,IF($S$758=580,PR!$T$642,IF($S$758=581,PR!$T$643,IF($S$758=582,PR!$T$644,IF($S$758=583,PR!$T$645,IF($S$758=584,PR!$T$646,IF($S$758=585,PR!$T$647,IF($S$758=586,PR!$T$648,IF($S$758=587,PR!$T$649,IF($S$758=588,PR!$T$650,IF($S$758=589,PR!$T$651,IF($S$758=590,PR!$T$652,IF($S$758=591,PR!$T$653,IF($S$758=592,PR!$T$654,IF($S$758=593,PR!$T$655,IF($S$758=594,PR!$T$656,IF($S$758=595,PR!$T$657,IF($S$758=596,PR!$T$658,IF($S$758=597,PR!$T$659,IF($S$758=598,PR!$T$660,IF($S$758=599,PR!$T$661,IF($S$758=600,PR!$T$662,"-"))))))))))))))))))))))))))))))))))))))))))))))))))))))))))))</f>
        <v>0</v>
      </c>
      <c r="S762" s="602">
        <f>IF($S$758=541,PR!$U$599,IF($S$758=542,PR!$U$600,IF($S$758=543,PR!$U$601,IF($S$758=544,PR!$U$602,IF($S$758=545,PR!$U$603,IF($S$758=546,PR!$U$604,IF($S$758=547,PR!$U$605,IF($S$758=548,PR!$U$606,IF($S$758=549,PR!$U$607,IF($S$758=550,PR!$U$608,IF($S$758=551,PR!$U$609,IF($S$758=552,PR!$U$610,IF($S$758=553,PR!$U$611,IF($S$758=554,PR!$U$612,IF($S$758=555,PR!$U$613,IF($S$758=556,PR!$U$614,IF($S$758=557,PR!$U$615,IF($S$758=558,PR!$U$616,IF($S$758=559,PR!$U$617,IF($S$758=560,PR!$U$618,IF($S$758=561,PR!$U$619,IF($S$758=562,PR!$U$620,IF($S$758=563,PR!$U$621,IF($S$758=564,PR!$U$622,IF($S$758=565,PR!$U$623,IF($S$758=566,PR!$U$624,IF($S$758=567,PR!$U$625,IF($S$758=568,PR!$U$626,IF($S$758=569,PR!$U$627,IF($S$758=570,PR!$U$632,IF($S$758=571,PR!$U$633,IF($S$758=572,PR!$U$634,IF($S$758=573,PR!$U$635,IF($S$758=574,PR!$U$636,IF($S$758=575,PR!$U$637,IF($S$758=576,PR!$U$638,IF($S$758=577,PR!$U$639,IF($S$758=578,PR!$U$640,IF($S$758=579,PR!$U$641,IF($S$758=580,PR!$U$642,IF($S$758=581,PR!$U$643,IF($S$758=582,PR!$U$644,IF($S$758=583,PR!$U$645,IF($S$758=584,PR!$U$646,IF($S$758=585,PR!$U$647,IF($S$758=586,PR!$U$648,IF($S$758=587,PR!$U$649,IF($S$758=588,PR!$U$650,IF($S$758=589,PR!$U$651,IF($S$758=590,PR!$U$652,IF($S$758=591,PR!$U$653,IF($S$758=592,PR!$U$654,IF($S$758=593,PR!$U$655,IF($S$758=594,PR!$U$656,IF($S$758=595,PR!$U$657,IF($S$758=596,PR!$U$658,IF($S$758=597,PR!$U$659,IF($S$758=598,PR!$U$660,IF($S$758=599,PR!$U$661,IF($S$758=600,PR!$U$662,"-"))))))))))))))))))))))))))))))))))))))))))))))))))))))))))))</f>
        <v>0</v>
      </c>
      <c r="T762" s="91"/>
      <c r="U762" s="91"/>
      <c r="V762" s="32"/>
      <c r="W762" s="32"/>
      <c r="X762" s="32"/>
      <c r="Y762" s="32"/>
    </row>
    <row r="763" spans="1:26" ht="9.75" customHeight="1" x14ac:dyDescent="0.25">
      <c r="A763" s="91"/>
      <c r="B763" s="604"/>
      <c r="C763" s="603"/>
      <c r="D763" s="604"/>
      <c r="E763" s="604"/>
      <c r="F763" s="604"/>
      <c r="G763" s="604"/>
      <c r="H763" s="604"/>
      <c r="I763" s="604"/>
      <c r="J763" s="604"/>
      <c r="K763" s="604"/>
      <c r="L763" s="604"/>
      <c r="M763" s="604"/>
      <c r="N763" s="604"/>
      <c r="O763" s="604"/>
      <c r="P763" s="604"/>
      <c r="Q763" s="604"/>
      <c r="R763" s="605"/>
      <c r="S763" s="605"/>
      <c r="T763" s="91"/>
      <c r="U763" s="91"/>
      <c r="V763" s="32"/>
      <c r="W763" s="32"/>
      <c r="X763" s="32"/>
      <c r="Y763" s="32"/>
      <c r="Z763" s="32"/>
    </row>
    <row r="764" spans="1:26" ht="15.75" thickBot="1" x14ac:dyDescent="0.3">
      <c r="A764" s="91"/>
      <c r="B764" s="604"/>
      <c r="C764" s="600" t="str">
        <f>N!$C$21</f>
        <v>GENEITH</v>
      </c>
      <c r="D764" s="600" t="str">
        <f>N!$C$22</f>
        <v>GINOS</v>
      </c>
      <c r="E764" s="600" t="str">
        <f>N!$C$23</f>
        <v>GSK</v>
      </c>
      <c r="F764" s="600" t="str">
        <f>N!$C$24</f>
        <v>GLOBORG</v>
      </c>
      <c r="G764" s="600" t="str">
        <f>N!$C$25</f>
        <v>GOODNEWS</v>
      </c>
      <c r="H764" s="600" t="str">
        <f>N!$C$26</f>
        <v>GREENLIFE</v>
      </c>
      <c r="I764" s="600" t="str">
        <f>N!$C$27</f>
        <v>HLINE</v>
      </c>
      <c r="J764" s="600" t="str">
        <f>N!$C$28</f>
        <v>ROTECH</v>
      </c>
      <c r="K764" s="600" t="str">
        <f>N!$C$29</f>
        <v>ISN</v>
      </c>
      <c r="L764" s="600" t="str">
        <f>N!$C$30</f>
        <v>JAWA</v>
      </c>
      <c r="M764" s="600" t="str">
        <f>N!$C$31</f>
        <v>LAYO</v>
      </c>
      <c r="N764" s="600" t="str">
        <f>N!$C$32</f>
        <v>LEADWAY</v>
      </c>
      <c r="O764" s="600" t="str">
        <f>N!$C$33</f>
        <v>LHV</v>
      </c>
      <c r="P764" s="600" t="str">
        <f>N!$C$34</f>
        <v>MANOLA</v>
      </c>
      <c r="Q764" s="600" t="str">
        <f>N!$C$35</f>
        <v>MARCSON</v>
      </c>
      <c r="R764" s="600" t="str">
        <f>N!$C$36</f>
        <v>M&amp;B</v>
      </c>
      <c r="S764" s="600" t="str">
        <f>N!$C$37</f>
        <v>MTRUST</v>
      </c>
      <c r="T764" s="91"/>
      <c r="U764" s="91"/>
      <c r="V764" s="32"/>
      <c r="W764" s="32"/>
      <c r="X764" s="32"/>
      <c r="Y764" s="32"/>
      <c r="Z764" s="32"/>
    </row>
    <row r="765" spans="1:26" ht="15.75" thickBot="1" x14ac:dyDescent="0.3">
      <c r="A765" s="91"/>
      <c r="B765" s="604"/>
      <c r="C765" s="602">
        <f>IF($S$758=541,PR!$V$599,IF($S$758=542,PR!$V$600,IF($S$758=543,PR!$V$601,IF($S$758=544,PR!$V$602,IF($S$758=545,PR!$V$603,IF($S$758=546,PR!$V$604,IF($S$758=547,PR!$V$605,IF($S$758=548,PR!$V$606,IF($S$758=549,PR!$V$607,IF($S$758=550,PR!$V$608,IF($S$758=551,PR!$V$609,IF($S$758=552,PR!$V$610,IF($S$758=553,PR!$V$611,IF($S$758=554,PR!$V$612,IF($S$758=555,PR!$V$613,IF($S$758=556,PR!$V$614,IF($S$758=557,PR!$V$615,IF($S$758=558,PR!$V$616,IF($S$758=559,PR!$V$617,IF($S$758=560,PR!$V$618,IF($S$758=561,PR!$V$619,IF($S$758=562,PR!$V$620,IF($S$758=563,PR!$V$621,IF($S$758=564,PR!$V$622,IF($S$758=565,PR!$V$623,IF($S$758=566,PR!$V$624,IF($S$758=567,PR!$V$625,IF($S$758=568,PR!$V$626,IF($S$758=569,PR!$V$627,IF($S$758=570,PR!$V$632,IF($S$758=571,PR!$V$633,IF($S$758=572,PR!$V$634,IF($S$758=573,PR!$V$635,IF($S$758=574,PR!$V$636,IF($S$758=575,PR!$V$637,IF($S$758=576,PR!$V$638,IF($S$758=577,PR!$V$639,IF($S$758=578,PR!$V$640,IF($S$758=579,PR!$V$641,IF($S$758=580,PR!$V$642,IF($S$758=581,PR!$V$643,IF($S$758=582,PR!$V$644,IF($S$758=583,PR!$V$645,IF($S$758=584,PR!$V$646,IF($S$758=585,PR!$V$647,IF($S$758=586,PR!$V$648,IF($S$758=587,PR!$V$649,IF($S$758=588,PR!$V$650,IF($S$758=589,PR!$V$651,IF($S$758=590,PR!$V$652,IF($S$758=591,PR!$V$653,IF($S$758=592,PR!$V$654,IF($S$758=593,PR!$V$655,IF($S$758=594,PR!$V$656,IF($S$758=595,PR!$V$657,IF($S$758=596,PR!$V$658,IF($S$758=597,PR!$V$659,IF($S$758=598,PR!$V$660,IF($S$758=599,PR!$V$661,IF($S$758=600,PR!$V$662,"-"))))))))))))))))))))))))))))))))))))))))))))))))))))))))))))</f>
        <v>0</v>
      </c>
      <c r="D765" s="602">
        <f>IF($S$758=541,PR!$W$599,IF($S$758=542,PR!$W$600,IF($S$758=543,PR!$W$601,IF($S$758=544,PR!$W$602,IF($S$758=545,PR!$W$603,IF($S$758=546,PR!$W$604,IF($S$758=547,PR!$W$605,IF($S$758=548,PR!$W$606,IF($S$758=549,PR!$W$607,IF($S$758=550,PR!$W$608,IF($S$758=551,PR!$W$609,IF($S$758=552,PR!$W$610,IF($S$758=553,PR!$W$611,IF($S$758=554,PR!$W$612,IF($S$758=555,PR!$W$613,IF($S$758=556,PR!$W$614,IF($S$758=557,PR!$W$615,IF($S$758=558,PR!$W$616,IF($S$758=559,PR!$W$617,IF($S$758=560,PR!$W$618,IF($S$758=561,PR!$W$619,IF($S$758=562,PR!$W$620,IF($S$758=563,PR!$W$621,IF($S$758=564,PR!$W$622,IF($S$758=565,PR!$W$623,IF($S$758=566,PR!$W$624,IF($S$758=567,PR!$W$625,IF($S$758=568,PR!$W$626,IF($S$758=569,PR!$W$627,IF($S$758=570,PR!$W$632,IF($S$758=571,PR!$W$633,IF($S$758=572,PR!$W$634,IF($S$758=573,PR!$W$635,IF($S$758=574,PR!$W$636,IF($S$758=575,PR!$W$637,IF($S$758=576,PR!$W$638,IF($S$758=577,PR!$W$639,IF($S$758=578,PR!$W$640,IF($S$758=579,PR!$W$641,IF($S$758=580,PR!$W$642,IF($S$758=581,PR!$W$643,IF($S$758=582,PR!$W$644,IF($S$758=583,PR!$W$645,IF($S$758=584,PR!$W$646,IF($S$758=585,PR!$W$647,IF($S$758=586,PR!$W$648,IF($S$758=587,PR!$W$649,IF($S$758=588,PR!$W$650,IF($S$758=589,PR!$W$651,IF($S$758=590,PR!$W$652,IF($S$758=591,PR!$W$653,IF($S$758=592,PR!$W$654,IF($S$758=593,PR!$W$655,IF($S$758=594,PR!$W$656,IF($S$758=595,PR!$W$657,IF($S$758=596,PR!$W$658,IF($S$758=597,PR!$W$659,IF($S$758=598,PR!$W$660,IF($S$758=599,PR!$W$661,IF($S$758=600,PR!$W$662,"-"))))))))))))))))))))))))))))))))))))))))))))))))))))))))))))</f>
        <v>0</v>
      </c>
      <c r="E765" s="602">
        <f>IF($S$758=541,PR!$X$599,IF($S$758=542,PR!$X$600,IF($S$758=543,PR!$X$601,IF($S$758=544,PR!$X$602,IF($S$758=545,PR!$X$603,IF($S$758=546,PR!$X$604,IF($S$758=547,PR!$X$605,IF($S$758=548,PR!$X$606,IF($S$758=549,PR!$X$607,IF($S$758=550,PR!$X$608,IF($S$758=551,PR!$X$609,IF($S$758=552,PR!$X$610,IF($S$758=553,PR!$X$611,IF($S$758=554,PR!$X$612,IF($S$758=555,PR!$X$613,IF($S$758=556,PR!$X$614,IF($S$758=557,PR!$X$615,IF($S$758=558,PR!$X$616,IF($S$758=559,PR!$X$617,IF($S$758=560,PR!$X$618,IF($S$758=561,PR!$X$619,IF($S$758=562,PR!$X$620,IF($S$758=563,PR!$X$621,IF($S$758=564,PR!$X$622,IF($S$758=565,PR!$X$623,IF($S$758=566,PR!$X$624,IF($S$758=567,PR!$X$625,IF($S$758=568,PR!$X$626,IF($S$758=569,PR!$X$627,IF($S$758=570,PR!$X$632,IF($S$758=571,PR!$X$633,IF($S$758=572,PR!$X$634,IF($S$758=573,PR!$X$635,IF($S$758=574,PR!$X$636,IF($S$758=575,PR!$X$637,IF($S$758=576,PR!$X$638,IF($S$758=577,PR!$X$639,IF($S$758=578,PR!$X$640,IF($S$758=579,PR!$X$641,IF($S$758=580,PR!$X$642,IF($S$758=581,PR!$X$643,IF($S$758=582,PR!$X$644,IF($S$758=583,PR!$X$645,IF($S$758=584,PR!$X$646,IF($S$758=585,PR!$X$647,IF($S$758=586,PR!$X$648,IF($S$758=587,PR!$X$649,IF($S$758=588,PR!$X$650,IF($S$758=589,PR!$X$651,IF($S$758=590,PR!$X$652,IF($S$758=591,PR!$X$653,IF($S$758=592,PR!$X$654,IF($S$758=593,PR!$X$655,IF($S$758=594,PR!$X$656,IF($S$758=595,PR!$X$657,IF($S$758=596,PR!$X$658,IF($S$758=597,PR!$X$659,IF($S$758=598,PR!$X$660,IF($S$758=599,PR!$X$661,IF($S$758=600,PR!$X$662,"-"))))))))))))))))))))))))))))))))))))))))))))))))))))))))))))</f>
        <v>0</v>
      </c>
      <c r="F765" s="602">
        <f>IF($S$758=541,PR!$Y$599,IF($S$758=542,PR!$Y$600,IF($S$758=543,PR!$Y$601,IF($S$758=544,PR!$Y$602,IF($S$758=545,PR!$Y$603,IF($S$758=546,PR!$Y$604,IF($S$758=547,PR!$Y$605,IF($S$758=548,PR!$Y$606,IF($S$758=549,PR!$Y$607,IF($S$758=550,PR!$Y$608,IF($S$758=551,PR!$Y$609,IF($S$758=552,PR!$Y$610,IF($S$758=553,PR!$Y$611,IF($S$758=554,PR!$Y$612,IF($S$758=555,PR!$Y$613,IF($S$758=556,PR!$Y$614,IF($S$758=557,PR!$Y$615,IF($S$758=558,PR!$Y$616,IF($S$758=559,PR!$Y$617,IF($S$758=560,PR!$Y$618,IF($S$758=561,PR!$Y$619,IF($S$758=562,PR!$Y$620,IF($S$758=563,PR!$Y$621,IF($S$758=564,PR!$Y$622,IF($S$758=565,PR!$Y$623,IF($S$758=566,PR!$Y$624,IF($S$758=567,PR!$Y$625,IF($S$758=568,PR!$Y$626,IF($S$758=569,PR!$Y$627,IF($S$758=570,PR!$Y$632,IF($S$758=571,PR!$Y$633,IF($S$758=572,PR!$Y$634,IF($S$758=573,PR!$Y$635,IF($S$758=574,PR!$Y$636,IF($S$758=575,PR!$Y$637,IF($S$758=576,PR!$Y$638,IF($S$758=577,PR!$Y$639,IF($S$758=578,PR!$Y$640,IF($S$758=579,PR!$Y$641,IF($S$758=580,PR!$Y$642,IF($S$758=581,PR!$Y$643,IF($S$758=582,PR!$Y$644,IF($S$758=583,PR!$Y$645,IF($S$758=584,PR!$Y$646,IF($S$758=585,PR!$Y$647,IF($S$758=586,PR!$Y$648,IF($S$758=587,PR!$Y$649,IF($S$758=588,PR!$Y$650,IF($S$758=589,PR!$Y$651,IF($S$758=590,PR!$Y$652,IF($S$758=591,PR!$Y$653,IF($S$758=592,PR!$Y$654,IF($S$758=593,PR!$Y$655,IF($S$758=594,PR!$Y$656,IF($S$758=595,PR!$Y$657,IF($S$758=596,PR!$Y$658,IF($S$758=597,PR!$Y$659,IF($S$758=598,PR!$Y$660,IF($S$758=599,PR!$Y$661,IF($S$758=600,PR!$Y$662,"-"))))))))))))))))))))))))))))))))))))))))))))))))))))))))))))</f>
        <v>0</v>
      </c>
      <c r="G765" s="602">
        <f>IF($S$758=541,PR!$Z$599,IF($S$758=542,PR!$Z$600,IF($S$758=543,PR!$Z$601,IF($S$758=544,PR!$Z$602,IF($S$758=545,PR!$Z$603,IF($S$758=546,PR!$Z$604,IF($S$758=547,PR!$Z$605,IF($S$758=548,PR!$Z$606,IF($S$758=549,PR!$Z$607,IF($S$758=550,PR!$Z$608,IF($S$758=551,PR!$Z$609,IF($S$758=552,PR!$Z$610,IF($S$758=553,PR!$Z$611,IF($S$758=554,PR!$Z$612,IF($S$758=555,PR!$Z$613,IF($S$758=556,PR!$Z$614,IF($S$758=557,PR!$Z$615,IF($S$758=558,PR!$Z$616,IF($S$758=559,PR!$Z$617,IF($S$758=560,PR!$Z$618,IF($S$758=561,PR!$Z$619,IF($S$758=562,PR!$Z$620,IF($S$758=563,PR!$Z$621,IF($S$758=564,PR!$Z$622,IF($S$758=565,PR!$Z$623,IF($S$758=566,PR!$Z$624,IF($S$758=567,PR!$Z$625,IF($S$758=568,PR!$Z$626,IF($S$758=569,PR!$Z$627,IF($S$758=570,PR!$Z$632,IF($S$758=571,PR!$Z$633,IF($S$758=572,PR!$Z$634,IF($S$758=573,PR!$Z$635,IF($S$758=574,PR!$Z$636,IF($S$758=575,PR!$Z$637,IF($S$758=576,PR!$Z$638,IF($S$758=577,PR!$Z$639,IF($S$758=578,PR!$Z$640,IF($S$758=579,PR!$Z$641,IF($S$758=580,PR!$Z$642,IF($S$758=581,PR!$Z$643,IF($S$758=582,PR!$Z$644,IF($S$758=583,PR!$Z$645,IF($S$758=584,PR!$Z$646,IF($S$758=585,PR!$Z$647,IF($S$758=586,PR!$Z$648,IF($S$758=587,PR!$Z$649,IF($S$758=588,PR!$Z$650,IF($S$758=589,PR!$Z$651,IF($S$758=590,PR!$Z$652,IF($S$758=591,PR!$Z$653,IF($S$758=592,PR!$Z$654,IF($S$758=593,PR!$Z$655,IF($S$758=594,PR!$Z$656,IF($S$758=595,PR!$Z$657,IF($S$758=596,PR!$Z$658,IF($S$758=597,PR!$Z$659,IF($S$758=598,PR!$Z$660,IF($S$758=599,PR!$Z$661,IF($S$758=600,PR!$Z$662,"-"))))))))))))))))))))))))))))))))))))))))))))))))))))))))))))</f>
        <v>0</v>
      </c>
      <c r="H765" s="602">
        <f>IF($S$758=541,PR!$AA$599,IF($S$758=542,PR!$AA$600,IF($S$758=543,PR!$AA$601,IF($S$758=544,PR!$AA$602,IF($S$758=545,PR!$AA$603,IF($S$758=546,PR!$AA$604,IF($S$758=547,PR!$AA$605,IF($S$758=548,PR!$AA$606,IF($S$758=549,PR!$AA$607,IF($S$758=550,PR!$AA$608,IF($S$758=551,PR!$AA$609,IF($S$758=552,PR!$AA$610,IF($S$758=553,PR!$AA$611,IF($S$758=554,PR!$AA$612,IF($S$758=555,PR!$AA$613,IF($S$758=556,PR!$AA$614,IF($S$758=557,PR!$AA$615,IF($S$758=558,PR!$AA$616,IF($S$758=559,PR!$AA$617,IF($S$758=560,PR!$AA$618,IF($S$758=561,PR!$AA$619,IF($S$758=562,PR!$AA$620,IF($S$758=563,PR!$AA$621,IF($S$758=564,PR!$AA$622,IF($S$758=565,PR!$AA$623,IF($S$758=566,PR!$AA$624,IF($S$758=567,PR!$AA$625,IF($S$758=568,PR!$AA$626,IF($S$758=569,PR!$AA$627,IF($S$758=570,PR!$AA$632,IF($S$758=571,PR!$AA$633,IF($S$758=572,PR!$AA$634,IF($S$758=573,PR!$AA$635,IF($S$758=574,PR!$AA$636,IF($S$758=575,PR!$AA$637,IF($S$758=576,PR!$AA$638,IF($S$758=577,PR!$AA$639,IF($S$758=578,PR!$AA$640,IF($S$758=579,PR!$AA$641,IF($S$758=580,PR!$AA$642,IF($S$758=581,PR!$AA$643,IF($S$758=582,PR!$AA$644,IF($S$758=583,PR!$AA$645,IF($S$758=584,PR!$AA$646,IF($S$758=585,PR!$AA$647,IF($S$758=586,PR!$AA$648,IF($S$758=587,PR!$AA$649,IF($S$758=588,PR!$AA$650,IF($S$758=589,PR!$AA$651,IF($S$758=590,PR!$AA$652,IF($S$758=591,PR!$AA$653,IF($S$758=592,PR!$AA$654,IF($S$758=593,PR!$AA$655,IF($S$758=594,PR!$AA$656,IF($S$758=595,PR!$AA$657,IF($S$758=596,PR!$AA$658,IF($S$758=597,PR!$AA$659,IF($S$758=598,PR!$AA$660,IF($S$758=599,PR!$AA$661,IF($S$758=600,PR!$AA$662,"-"))))))))))))))))))))))))))))))))))))))))))))))))))))))))))))</f>
        <v>0</v>
      </c>
      <c r="I765" s="602">
        <f>IF($S$758=541,PR!$AB$599,IF($S$758=542,PR!$AB$600,IF($S$758=543,PR!$AB$601,IF($S$758=544,PR!$AB$602,IF($S$758=545,PR!$AB$603,IF($S$758=546,PR!$AB$604,IF($S$758=547,PR!$AB$605,IF($S$758=548,PR!$AB$606,IF($S$758=549,PR!$AB$607,IF($S$758=550,PR!$AB$608,IF($S$758=551,PR!$AB$609,IF($S$758=552,PR!$AB$610,IF($S$758=553,PR!$AB$611,IF($S$758=554,PR!$AB$612,IF($S$758=555,PR!$AB$613,IF($S$758=556,PR!$AB$614,IF($S$758=557,PR!$AB$615,IF($S$758=558,PR!$AB$616,IF($S$758=559,PR!$AB$617,IF($S$758=560,PR!$AB$618,IF($S$758=561,PR!$AB$619,IF($S$758=562,PR!$AB$620,IF($S$758=563,PR!$AB$621,IF($S$758=564,PR!$AB$622,IF($S$758=565,PR!$AB$623,IF($S$758=566,PR!$AB$624,IF($S$758=567,PR!$AB$625,IF($S$758=568,PR!$AB$626,IF($S$758=569,PR!$AB$627,IF($S$758=570,PR!$AB$632,IF($S$758=571,PR!$AB$633,IF($S$758=572,PR!$AB$634,IF($S$758=573,PR!$AB$635,IF($S$758=574,PR!$AB$636,IF($S$758=575,PR!$AB$637,IF($S$758=576,PR!$AB$638,IF($S$758=577,PR!$AB$639,IF($S$758=578,PR!$AB$640,IF($S$758=579,PR!$AB$641,IF($S$758=580,PR!$AB$642,IF($S$758=581,PR!$AB$643,IF($S$758=582,PR!$AB$644,IF($S$758=583,PR!$AB$645,IF($S$758=584,PR!$AB$646,IF($S$758=585,PR!$AB$647,IF($S$758=586,PR!$AB$648,IF($S$758=587,PR!$AB$649,IF($S$758=588,PR!$AB$650,IF($S$758=589,PR!$AB$651,IF($S$758=590,PR!$AB$652,IF($S$758=591,PR!$AB$653,IF($S$758=592,PR!$AB$654,IF($S$758=593,PR!$AB$655,IF($S$758=594,PR!$AB$656,IF($S$758=595,PR!$AB$657,IF($S$758=596,PR!$AB$658,IF($S$758=597,PR!$AB$659,IF($S$758=598,PR!$AB$660,IF($S$758=599,PR!$AB$661,IF($S$758=600,PR!$AB$662,"-"))))))))))))))))))))))))))))))))))))))))))))))))))))))))))))</f>
        <v>0</v>
      </c>
      <c r="J765" s="602">
        <f>IF($S$758=541,PR!$AC$599,IF($S$758=542,PR!$AC$600,IF($S$758=543,PR!$AC$601,IF($S$758=544,PR!$AC$602,IF($S$758=545,PR!$AC$603,IF($S$758=546,PR!$AC$604,IF($S$758=547,PR!$AC$605,IF($S$758=548,PR!$AC$606,IF($S$758=549,PR!$AC$607,IF($S$758=550,PR!$AC$608,IF($S$758=551,PR!$AC$609,IF($S$758=552,PR!$AC$610,IF($S$758=553,PR!$AC$611,IF($S$758=554,PR!$AC$612,IF($S$758=555,PR!$AC$613,IF($S$758=556,PR!$AC$614,IF($S$758=557,PR!$AC$615,IF($S$758=558,PR!$AC$616,IF($S$758=559,PR!$AC$617,IF($S$758=560,PR!$AC$618,IF($S$758=561,PR!$AC$619,IF($S$758=562,PR!$AC$620,IF($S$758=563,PR!$AC$621,IF($S$758=564,PR!$AC$622,IF($S$758=565,PR!$AC$623,IF($S$758=566,PR!$AC$624,IF($S$758=567,PR!$AC$625,IF($S$758=568,PR!$AC$626,IF($S$758=569,PR!$AC$627,IF($S$758=570,PR!$AC$632,IF($S$758=571,PR!$AC$633,IF($S$758=572,PR!$AC$634,IF($S$758=573,PR!$AC$635,IF($S$758=574,PR!$AC$636,IF($S$758=575,PR!$AC$637,IF($S$758=576,PR!$AC$638,IF($S$758=577,PR!$AC$639,IF($S$758=578,PR!$AC$640,IF($S$758=579,PR!$AC$641,IF($S$758=580,PR!$AC$642,IF($S$758=581,PR!$AC$643,IF($S$758=582,PR!$AC$644,IF($S$758=583,PR!$AC$645,IF($S$758=584,PR!$AC$646,IF($S$758=585,PR!$AC$647,IF($S$758=586,PR!$AC$648,IF($S$758=587,PR!$AC$649,IF($S$758=588,PR!$AC$650,IF($S$758=589,PR!$AC$651,IF($S$758=590,PR!$AC$652,IF($S$758=591,PR!$AC$653,IF($S$758=592,PR!$AC$654,IF($S$758=593,PR!$AC$655,IF($S$758=594,PR!$AC$656,IF($S$758=595,PR!$AC$657,IF($S$758=596,PR!$AC$658,IF($S$758=597,PR!$AC$659,IF($S$758=598,PR!$AC$660,IF($S$758=599,PR!$AC$661,IF($S$758=600,PR!$AC$662,"-"))))))))))))))))))))))))))))))))))))))))))))))))))))))))))))</f>
        <v>0</v>
      </c>
      <c r="K765" s="602">
        <f>IF($S$758=541,PR!$AD$599,IF($S$758=542,PR!$AD$600,IF($S$758=543,PR!$AD$601,IF($S$758=544,PR!$AD$602,IF($S$758=545,PR!$AD$603,IF($S$758=546,PR!$AD$604,IF($S$758=547,PR!$AD$605,IF($S$758=548,PR!$AD$606,IF($S$758=549,PR!$AD$607,IF($S$758=550,PR!$AD$608,IF($S$758=551,PR!$AD$609,IF($S$758=552,PR!$AD$610,IF($S$758=553,PR!$AD$611,IF($S$758=554,PR!$AD$612,IF($S$758=555,PR!$AD$613,IF($S$758=556,PR!$AD$614,IF($S$758=557,PR!$AD$615,IF($S$758=558,PR!$AD$616,IF($S$758=559,PR!$AD$617,IF($S$758=560,PR!$AD$618,IF($S$758=561,PR!$AD$619,IF($S$758=562,PR!$AD$620,IF($S$758=563,PR!$AD$621,IF($S$758=564,PR!$AD$622,IF($S$758=565,PR!$AD$623,IF($S$758=566,PR!$AD$624,IF($S$758=567,PR!$AD$625,IF($S$758=568,PR!$AD$626,IF($S$758=569,PR!$AD$627,IF($S$758=570,PR!$AD$632,IF($S$758=571,PR!$AD$633,IF($S$758=572,PR!$AD$634,IF($S$758=573,PR!$AD$635,IF($S$758=574,PR!$AD$636,IF($S$758=575,PR!$AD$637,IF($S$758=576,PR!$AD$638,IF($S$758=577,PR!$AD$639,IF($S$758=578,PR!$AD$640,IF($S$758=579,PR!$AD$641,IF($S$758=580,PR!$AD$642,IF($S$758=581,PR!$AD$643,IF($S$758=582,PR!$AD$644,IF($S$758=583,PR!$AD$645,IF($S$758=584,PR!$AD$646,IF($S$758=585,PR!$AD$647,IF($S$758=586,PR!$AD$648,IF($S$758=587,PR!$AD$649,IF($S$758=588,PR!$AD$650,IF($S$758=589,PR!$AD$651,IF($S$758=590,PR!$AD$652,IF($S$758=591,PR!$AD$653,IF($S$758=592,PR!$AD$654,IF($S$758=593,PR!$AD$655,IF($S$758=594,PR!$AD$656,IF($S$758=595,PR!$AD$657,IF($S$758=596,PR!$AD$658,IF($S$758=597,PR!$AD$659,IF($S$758=598,PR!$AD$660,IF($S$758=599,PR!$AD$661,IF($S$758=600,PR!$AD$662,"-"))))))))))))))))))))))))))))))))))))))))))))))))))))))))))))</f>
        <v>0</v>
      </c>
      <c r="L765" s="602">
        <f>IF($S$758=541,PR!$AE$599,IF($S$758=542,PR!$AE$600,IF($S$758=543,PR!$AE$601,IF($S$758=544,PR!$AE$602,IF($S$758=545,PR!$AE$603,IF($S$758=546,PR!$AE$604,IF($S$758=547,PR!$AE$605,IF($S$758=548,PR!$AE$606,IF($S$758=549,PR!$AE$607,IF($S$758=550,PR!$AE$608,IF($S$758=551,PR!$AE$609,IF($S$758=552,PR!$AE$610,IF($S$758=553,PR!$AE$611,IF($S$758=554,PR!$AE$612,IF($S$758=555,PR!$AE$613,IF($S$758=556,PR!$AE$614,IF($S$758=557,PR!$AE$615,IF($S$758=558,PR!$AE$616,IF($S$758=559,PR!$AE$617,IF($S$758=560,PR!$AE$618,IF($S$758=561,PR!$AE$619,IF($S$758=562,PR!$AE$620,IF($S$758=563,PR!$AE$621,IF($S$758=564,PR!$AE$622,IF($S$758=565,PR!$AE$623,IF($S$758=566,PR!$AE$624,IF($S$758=567,PR!$AE$625,IF($S$758=568,PR!$AE$626,IF($S$758=569,PR!$AE$627,IF($S$758=570,PR!$AE$632,IF($S$758=571,PR!$AE$633,IF($S$758=572,PR!$AE$634,IF($S$758=573,PR!$AE$635,IF($S$758=574,PR!$AE$636,IF($S$758=575,PR!$AE$637,IF($S$758=576,PR!$AE$638,IF($S$758=577,PR!$AE$639,IF($S$758=578,PR!$AE$640,IF($S$758=579,PR!$AE$641,IF($S$758=580,PR!$AE$642,IF($S$758=581,PR!$AE$643,IF($S$758=582,PR!$AE$644,IF($S$758=583,PR!$AE$645,IF($S$758=584,PR!$AE$646,IF($S$758=585,PR!$AE$647,IF($S$758=586,PR!$AE$648,IF($S$758=587,PR!$AE$649,IF($S$758=588,PR!$AE$650,IF($S$758=589,PR!$AE$651,IF($S$758=590,PR!$AE$652,IF($S$758=591,PR!$AE$653,IF($S$758=592,PR!$AE$654,IF($S$758=593,PR!$AE$655,IF($S$758=594,PR!$AE$656,IF($S$758=595,PR!$AE$657,IF($S$758=596,PR!$AE$658,IF($S$758=597,PR!$AE$659,IF($S$758=598,PR!$AE$660,IF($S$758=599,PR!$AE$661,IF($S$758=600,PR!$AE$662,"-"))))))))))))))))))))))))))))))))))))))))))))))))))))))))))))</f>
        <v>0</v>
      </c>
      <c r="M765" s="602">
        <f>IF($S$758=541,PR!$AF$599,IF($S$758=542,PR!$AF$600,IF($S$758=543,PR!$AF$601,IF($S$758=544,PR!$AF$602,IF($S$758=545,PR!$AF$603,IF($S$758=546,PR!$AF$604,IF($S$758=547,PR!$AF$605,IF($S$758=548,PR!$AF$606,IF($S$758=549,PR!$AF$607,IF($S$758=550,PR!$AF$608,IF($S$758=551,PR!$AF$609,IF($S$758=552,PR!$AF$610,IF($S$758=553,PR!$AF$611,IF($S$758=554,PR!$AF$612,IF($S$758=555,PR!$AF$613,IF($S$758=556,PR!$AF$614,IF($S$758=557,PR!$AF$615,IF($S$758=558,PR!$AF$616,IF($S$758=559,PR!$AF$617,IF($S$758=560,PR!$AF$618,IF($S$758=561,PR!$AF$619,IF($S$758=562,PR!$AF$620,IF($S$758=563,PR!$AF$621,IF($S$758=564,PR!$AF$622,IF($S$758=565,PR!$AF$623,IF($S$758=566,PR!$AF$624,IF($S$758=567,PR!$AF$625,IF($S$758=568,PR!$AF$626,IF($S$758=569,PR!$AF$627,IF($S$758=570,PR!$AF$632,IF($S$758=571,PR!$AF$633,IF($S$758=572,PR!$AF$634,IF($S$758=573,PR!$AF$635,IF($S$758=574,PR!$AF$636,IF($S$758=575,PR!$AF$637,IF($S$758=576,PR!$AF$638,IF($S$758=577,PR!$AF$639,IF($S$758=578,PR!$AF$640,IF($S$758=579,PR!$AF$641,IF($S$758=580,PR!$AF$642,IF($S$758=581,PR!$AF$643,IF($S$758=582,PR!$AF$644,IF($S$758=583,PR!$AF$645,IF($S$758=584,PR!$AF$646,IF($S$758=585,PR!$AF$647,IF($S$758=586,PR!$AF$648,IF($S$758=587,PR!$AF$649,IF($S$758=588,PR!$AF$650,IF($S$758=589,PR!$AF$651,IF($S$758=590,PR!$AF$652,IF($S$758=591,PR!$AF$653,IF($S$758=592,PR!$AF$654,IF($S$758=593,PR!$AF$655,IF($S$758=594,PR!$AF$656,IF($S$758=595,PR!$AF$657,IF($S$758=596,PR!$AF$658,IF($S$758=597,PR!$AF$659,IF($S$758=598,PR!$AF$660,IF($S$758=599,PR!$AF$661,IF($S$758=600,PR!$AF$662,"-"))))))))))))))))))))))))))))))))))))))))))))))))))))))))))))</f>
        <v>0</v>
      </c>
      <c r="N765" s="602">
        <f>IF($S$758=541,PR!$AG$599,IF($S$758=542,PR!$AG$600,IF($S$758=543,PR!$AG$601,IF($S$758=544,PR!$AG$602,IF($S$758=545,PR!$AG$603,IF($S$758=546,PR!$AG$604,IF($S$758=547,PR!$AG$605,IF($S$758=548,PR!$AG$606,IF($S$758=549,PR!$AG$607,IF($S$758=550,PR!$AG$608,IF($S$758=551,PR!$AG$609,IF($S$758=552,PR!$AG$610,IF($S$758=553,PR!$AG$611,IF($S$758=554,PR!$AG$612,IF($S$758=555,PR!$AG$613,IF($S$758=556,PR!$AG$614,IF($S$758=557,PR!$AG$615,IF($S$758=558,PR!$AG$616,IF($S$758=559,PR!$AG$617,IF($S$758=560,PR!$AG$618,IF($S$758=561,PR!$AG$619,IF($S$758=562,PR!$AG$620,IF($S$758=563,PR!$AG$621,IF($S$758=564,PR!$AG$622,IF($S$758=565,PR!$AG$623,IF($S$758=566,PR!$AG$624,IF($S$758=567,PR!$AG$625,IF($S$758=568,PR!$AG$626,IF($S$758=569,PR!$AG$627,IF($S$758=570,PR!$AG$632,IF($S$758=571,PR!$AG$633,IF($S$758=572,PR!$AG$634,IF($S$758=573,PR!$AG$635,IF($S$758=574,PR!$AG$636,IF($S$758=575,PR!$AG$637,IF($S$758=576,PR!$AG$638,IF($S$758=577,PR!$AG$639,IF($S$758=578,PR!$AG$640,IF($S$758=579,PR!$AG$641,IF($S$758=580,PR!$AG$642,IF($S$758=581,PR!$AG$643,IF($S$758=582,PR!$AG$644,IF($S$758=583,PR!$AG$645,IF($S$758=584,PR!$AG$646,IF($S$758=585,PR!$AG$647,IF($S$758=586,PR!$AG$648,IF($S$758=587,PR!$AG$649,IF($S$758=588,PR!$AG$650,IF($S$758=589,PR!$AG$651,IF($S$758=590,PR!$AG$652,IF($S$758=591,PR!$AG$653,IF($S$758=592,PR!$AG$654,IF($S$758=593,PR!$AG$655,IF($S$758=594,PR!$AG$656,IF($S$758=595,PR!$AG$657,IF($S$758=596,PR!$AG$658,IF($S$758=597,PR!$AG$659,IF($S$758=598,PR!$AG$660,IF($S$758=599,PR!$AG$661,IF($S$758=600,PR!$AG$662,"-"))))))))))))))))))))))))))))))))))))))))))))))))))))))))))))</f>
        <v>0</v>
      </c>
      <c r="O765" s="602">
        <f>IF($S$758=541,PR!$AH$599,IF($S$758=542,PR!$AH$600,IF($S$758=543,PR!$AH$601,IF($S$758=544,PR!$AH$602,IF($S$758=545,PR!$AH$603,IF($S$758=546,PR!$AH$604,IF($S$758=547,PR!$AH$605,IF($S$758=548,PR!$AH$606,IF($S$758=549,PR!$AH$607,IF($S$758=550,PR!$AH$608,IF($S$758=551,PR!$AH$609,IF($S$758=552,PR!$AH$610,IF($S$758=553,PR!$AH$611,IF($S$758=554,PR!$AH$612,IF($S$758=555,PR!$AH$613,IF($S$758=556,PR!$AH$614,IF($S$758=557,PR!$AH$615,IF($S$758=558,PR!$AH$616,IF($S$758=559,PR!$AH$617,IF($S$758=560,PR!$AH$618,IF($S$758=561,PR!$AH$619,IF($S$758=562,PR!$AH$620,IF($S$758=563,PR!$AH$621,IF($S$758=564,PR!$AH$622,IF($S$758=565,PR!$AH$623,IF($S$758=566,PR!$AH$624,IF($S$758=567,PR!$AH$625,IF($S$758=568,PR!$AH$626,IF($S$758=569,PR!$AH$627,IF($S$758=570,PR!$AH$632,IF($S$758=571,PR!$AH$633,IF($S$758=572,PR!$AH$634,IF($S$758=573,PR!$AH$635,IF($S$758=574,PR!$AH$636,IF($S$758=575,PR!$AH$637,IF($S$758=576,PR!$AH$638,IF($S$758=577,PR!$AH$639,IF($S$758=578,PR!$AH$640,IF($S$758=579,PR!$AH$641,IF($S$758=580,PR!$AH$642,IF($S$758=581,PR!$AH$643,IF($S$758=582,PR!$AH$644,IF($S$758=583,PR!$AH$645,IF($S$758=584,PR!$AH$646,IF($S$758=585,PR!$AH$647,IF($S$758=586,PR!$AH$648,IF($S$758=587,PR!$AH$649,IF($S$758=588,PR!$AH$650,IF($S$758=589,PR!$AH$651,IF($S$758=590,PR!$AH$652,IF($S$758=591,PR!$AH$653,IF($S$758=592,PR!$AH$654,IF($S$758=593,PR!$AH$655,IF($S$758=594,PR!$AH$656,IF($S$758=595,PR!$AH$657,IF($S$758=596,PR!$AH$658,IF($S$758=597,PR!$AH$659,IF($S$758=598,PR!$AH$660,IF($S$758=599,PR!$AH$661,IF($S$758=600,PR!$AH$662,"-"))))))))))))))))))))))))))))))))))))))))))))))))))))))))))))</f>
        <v>0</v>
      </c>
      <c r="P765" s="602">
        <f>IF($S$758=541,PR!$AI$599,IF($S$758=542,PR!$AI$600,IF($S$758=543,PR!$AI$601,IF($S$758=544,PR!$AI$602,IF($S$758=545,PR!$AI$603,IF($S$758=546,PR!$AI$604,IF($S$758=547,PR!$AI$605,IF($S$758=548,PR!$AI$606,IF($S$758=549,PR!$AI$607,IF($S$758=550,PR!$AI$608,IF($S$758=551,PR!$AI$609,IF($S$758=552,PR!$AI$610,IF($S$758=553,PR!$AI$611,IF($S$758=554,PR!$AI$612,IF($S$758=555,PR!$AI$613,IF($S$758=556,PR!$AI$614,IF($S$758=557,PR!$AI$615,IF($S$758=558,PR!$AI$616,IF($S$758=559,PR!$AI$617,IF($S$758=560,PR!$AI$618,IF($S$758=561,PR!$AI$619,IF($S$758=562,PR!$AI$620,IF($S$758=563,PR!$AI$621,IF($S$758=564,PR!$AI$622,IF($S$758=565,PR!$AI$623,IF($S$758=566,PR!$AI$624,IF($S$758=567,PR!$AI$625,IF($S$758=568,PR!$AI$626,IF($S$758=569,PR!$AI$627,IF($S$758=570,PR!$AI$632,IF($S$758=571,PR!$AI$633,IF($S$758=572,PR!$AI$634,IF($S$758=573,PR!$AI$635,IF($S$758=574,PR!$AI$636,IF($S$758=575,PR!$AI$637,IF($S$758=576,PR!$AI$638,IF($S$758=577,PR!$AI$639,IF($S$758=578,PR!$AI$640,IF($S$758=579,PR!$AI$641,IF($S$758=580,PR!$AI$642,IF($S$758=581,PR!$AI$643,IF($S$758=582,PR!$AI$644,IF($S$758=583,PR!$AI$645,IF($S$758=584,PR!$AI$646,IF($S$758=585,PR!$AI$647,IF($S$758=586,PR!$AI$648,IF($S$758=587,PR!$AI$649,IF($S$758=588,PR!$AI$650,IF($S$758=589,PR!$AI$651,IF($S$758=590,PR!$AI$652,IF($S$758=591,PR!$AI$653,IF($S$758=592,PR!$AI$654,IF($S$758=593,PR!$AI$655,IF($S$758=594,PR!$AI$656,IF($S$758=595,PR!$AI$657,IF($S$758=596,PR!$AI$658,IF($S$758=597,PR!$AI$659,IF($S$758=598,PR!$AI$660,IF($S$758=599,PR!$AI$661,IF($S$758=600,PR!$AI$662,"-"))))))))))))))))))))))))))))))))))))))))))))))))))))))))))))</f>
        <v>0</v>
      </c>
      <c r="Q765" s="602">
        <f>IF($S$758=541,PR!$AJ$599,IF($S$758=542,PR!$AJ$600,IF($S$758=543,PR!$AJ$601,IF($S$758=544,PR!$AJ$602,IF($S$758=545,PR!$AJ$603,IF($S$758=546,PR!$AJ$604,IF($S$758=547,PR!$AJ$605,IF($S$758=548,PR!$AJ$606,IF($S$758=549,PR!$AJ$607,IF($S$758=550,PR!$AJ$608,IF($S$758=551,PR!$AJ$609,IF($S$758=552,PR!$AJ$610,IF($S$758=553,PR!$AJ$611,IF($S$758=554,PR!$AJ$612,IF($S$758=555,PR!$AJ$613,IF($S$758=556,PR!$AJ$614,IF($S$758=557,PR!$AJ$615,IF($S$758=558,PR!$AJ$616,IF($S$758=559,PR!$AJ$617,IF($S$758=560,PR!$AJ$618,IF($S$758=561,PR!$AJ$619,IF($S$758=562,PR!$AJ$620,IF($S$758=563,PR!$AJ$621,IF($S$758=564,PR!$AJ$622,IF($S$758=565,PR!$AJ$623,IF($S$758=566,PR!$AJ$624,IF($S$758=567,PR!$AJ$625,IF($S$758=568,PR!$AJ$626,IF($S$758=569,PR!$AJ$627,IF($S$758=570,PR!$AJ$632,IF($S$758=571,PR!$AJ$633,IF($S$758=572,PR!$AJ$634,IF($S$758=573,PR!$AJ$635,IF($S$758=574,PR!$AJ$636,IF($S$758=575,PR!$AJ$637,IF($S$758=576,PR!$AJ$638,IF($S$758=577,PR!$AJ$639,IF($S$758=578,PR!$AJ$640,IF($S$758=579,PR!$AJ$641,IF($S$758=580,PR!$AJ$642,IF($S$758=581,PR!$AJ$643,IF($S$758=582,PR!$AJ$644,IF($S$758=583,PR!$AJ$645,IF($S$758=584,PR!$AJ$646,IF($S$758=585,PR!$AJ$647,IF($S$758=586,PR!$AJ$648,IF($S$758=587,PR!$AJ$649,IF($S$758=588,PR!$AJ$650,IF($S$758=589,PR!$AJ$651,IF($S$758=590,PR!$AJ$652,IF($S$758=591,PR!$AJ$653,IF($S$758=592,PR!$AJ$654,IF($S$758=593,PR!$AJ$655,IF($S$758=594,PR!$AJ$656,IF($S$758=595,PR!$AJ$657,IF($S$758=596,PR!$AJ$658,IF($S$758=597,PR!$AJ$659,IF($S$758=598,PR!$AJ$660,IF($S$758=599,PR!$AJ$661,IF($S$758=600,PR!$AJ$662,"-"))))))))))))))))))))))))))))))))))))))))))))))))))))))))))))</f>
        <v>0</v>
      </c>
      <c r="R765" s="602">
        <f>IF($S$758=541,PR!$AK$599,IF($S$758=542,PR!$AK$600,IF($S$758=543,PR!$AK$601,IF($S$758=544,PR!$AK$602,IF($S$758=545,PR!$AK$603,IF($S$758=546,PR!$AK$604,IF($S$758=547,PR!$AK$605,IF($S$758=548,PR!$AK$606,IF($S$758=549,PR!$AK$607,IF($S$758=550,PR!$AK$608,IF($S$758=551,PR!$AK$609,IF($S$758=552,PR!$AK$610,IF($S$758=553,PR!$AK$611,IF($S$758=554,PR!$AK$612,IF($S$758=555,PR!$AK$613,IF($S$758=556,PR!$AK$614,IF($S$758=557,PR!$AK$615,IF($S$758=558,PR!$AK$616,IF($S$758=559,PR!$AK$617,IF($S$758=560,PR!$AK$618,IF($S$758=561,PR!$AK$619,IF($S$758=562,PR!$AK$620,IF($S$758=563,PR!$AK$621,IF($S$758=564,PR!$AK$622,IF($S$758=565,PR!$AK$623,IF($S$758=566,PR!$AK$624,IF($S$758=567,PR!$AK$625,IF($S$758=568,PR!$AK$626,IF($S$758=569,PR!$AK$627,IF($S$758=570,PR!$AK$632,IF($S$758=571,PR!$AK$633,IF($S$758=572,PR!$AK$634,IF($S$758=573,PR!$AK$635,IF($S$758=574,PR!$AK$636,IF($S$758=575,PR!$AK$637,IF($S$758=576,PR!$AK$638,IF($S$758=577,PR!$AK$639,IF($S$758=578,PR!$AK$640,IF($S$758=579,PR!$AK$641,IF($S$758=580,PR!$AK$642,IF($S$758=581,PR!$AK$643,IF($S$758=582,PR!$AK$644,IF($S$758=583,PR!$AK$645,IF($S$758=584,PR!$AK$646,IF($S$758=585,PR!$AK$647,IF($S$758=586,PR!$AK$648,IF($S$758=587,PR!$AK$649,IF($S$758=588,PR!$AK$650,IF($S$758=589,PR!$AK$651,IF($S$758=590,PR!$AK$652,IF($S$758=591,PR!$AK$653,IF($S$758=592,PR!$AK$654,IF($S$758=593,PR!$AK$655,IF($S$758=594,PR!$AK$656,IF($S$758=595,PR!$AK$657,IF($S$758=596,PR!$AK$658,IF($S$758=597,PR!$AK$659,IF($S$758=598,PR!$AK$660,IF($S$758=599,PR!$AK$661,IF($S$758=600,PR!$AK$662,"-"))))))))))))))))))))))))))))))))))))))))))))))))))))))))))))</f>
        <v>0</v>
      </c>
      <c r="S765" s="602">
        <f>IF($S$758=541,PR!$AM$599,IF($S$758=542,PR!$AM$600,IF($S$758=543,PR!$AM$601,IF($S$758=544,PR!$AM$602,IF($S$758=545,PR!$AM$603,IF($S$758=546,PR!$AM$604,IF($S$758=547,PR!$AM$605,IF($S$758=548,PR!$AM$606,IF($S$758=549,PR!$AM$607,IF($S$758=550,PR!$AM$608,IF($S$758=551,PR!$AM$609,IF($S$758=552,PR!$AM$610,IF($S$758=553,PR!$AM$611,IF($S$758=554,PR!$AM$612,IF($S$758=555,PR!$AM$613,IF($S$758=556,PR!$AM$614,IF($S$758=557,PR!$AM$615,IF($S$758=558,PR!$AM$616,IF($S$758=559,PR!$AM$617,IF($S$758=560,PR!$AM$618,IF($S$758=561,PR!$AM$619,IF($S$758=562,PR!$AM$620,IF($S$758=563,PR!$AM$621,IF($S$758=564,PR!$AM$622,IF($S$758=565,PR!$AM$623,IF($S$758=566,PR!$AM$624,IF($S$758=567,PR!$AM$625,IF($S$758=568,PR!$AM$626,IF($S$758=569,PR!$AM$627,IF($S$758=570,PR!$AM$632,IF($S$758=571,PR!$AM$633,IF($S$758=572,PR!$AM$634,IF($S$758=573,PR!$AM$635,IF($S$758=574,PR!$AM$636,IF($S$758=575,PR!$AM$637,IF($S$758=576,PR!$AM$638,IF($S$758=577,PR!$AM$639,IF($S$758=578,PR!$AM$640,IF($S$758=579,PR!$AM$641,IF($S$758=580,PR!$AM$642,IF($S$758=581,PR!$AM$643,IF($S$758=582,PR!$AM$644,IF($S$758=583,PR!$AM$645,IF($S$758=584,PR!$AM$646,IF($S$758=585,PR!$AM$647,IF($S$758=586,PR!$AM$648,IF($S$758=587,PR!$AM$649,IF($S$758=588,PR!$AM$650,IF($S$758=589,PR!$AM$651,IF($S$758=590,PR!$AM$652,IF($S$758=591,PR!$AM$653,IF($S$758=592,PR!$AM$654,IF($S$758=593,PR!$AM$655,IF($S$758=594,PR!$AM$656,IF($S$758=595,PR!$AM$657,IF($S$758=596,PR!$AM$658,IF($S$758=597,PR!$AM$659,IF($S$758=598,PR!$AM$660,IF($S$758=599,PR!$AM$661,IF($S$758=600,PR!$AM$662,"-"))))))))))))))))))))))))))))))))))))))))))))))))))))))))))))</f>
        <v>0</v>
      </c>
      <c r="T765" s="91"/>
      <c r="U765" s="91"/>
      <c r="V765" s="32"/>
      <c r="W765" s="32"/>
      <c r="X765" s="32"/>
      <c r="Y765" s="32"/>
      <c r="Z765" s="32"/>
    </row>
    <row r="766" spans="1:26" ht="9.75" customHeight="1" x14ac:dyDescent="0.25">
      <c r="A766" s="91"/>
      <c r="B766" s="604"/>
      <c r="C766" s="603"/>
      <c r="D766" s="604"/>
      <c r="E766" s="604"/>
      <c r="F766" s="604"/>
      <c r="G766" s="604"/>
      <c r="H766" s="604"/>
      <c r="I766" s="604"/>
      <c r="J766" s="604"/>
      <c r="K766" s="604"/>
      <c r="L766" s="604"/>
      <c r="M766" s="604"/>
      <c r="N766" s="604"/>
      <c r="O766" s="604"/>
      <c r="P766" s="604"/>
      <c r="Q766" s="604"/>
      <c r="R766" s="606"/>
      <c r="S766" s="606"/>
      <c r="T766" s="91"/>
      <c r="U766" s="91"/>
      <c r="V766" s="32"/>
      <c r="W766" s="32"/>
      <c r="X766" s="32"/>
      <c r="Y766" s="32"/>
      <c r="Z766" s="32"/>
    </row>
    <row r="767" spans="1:26" ht="15.75" thickBot="1" x14ac:dyDescent="0.3">
      <c r="A767" s="91"/>
      <c r="B767" s="604"/>
      <c r="C767" s="600" t="str">
        <f>N!$C$38</f>
        <v>MWORLD</v>
      </c>
      <c r="D767" s="600" t="str">
        <f>N!$C$39</f>
        <v>MEGA</v>
      </c>
      <c r="E767" s="600" t="str">
        <f>N!$C$40</f>
        <v>MICRONOVA</v>
      </c>
      <c r="F767" s="600" t="str">
        <f>N!$C$41</f>
        <v>MFLASH</v>
      </c>
      <c r="G767" s="600" t="str">
        <f>N!$C$42</f>
        <v>MORISON</v>
      </c>
      <c r="H767" s="600" t="str">
        <f>N!$C$43</f>
        <v>NEMEL</v>
      </c>
      <c r="I767" s="600" t="str">
        <f>N!$C$44</f>
        <v>NHP</v>
      </c>
      <c r="J767" s="600" t="str">
        <f>N!$C$45</f>
        <v>NHC</v>
      </c>
      <c r="K767" s="600" t="str">
        <f>N!$C$46</f>
        <v>OLEAF</v>
      </c>
      <c r="L767" s="600" t="str">
        <f>N!$C$47</f>
        <v>OCULUS</v>
      </c>
      <c r="M767" s="600" t="str">
        <f>N!$C$48</f>
        <v>PACIFIC</v>
      </c>
      <c r="N767" s="600" t="str">
        <f>N!$C$49</f>
        <v>PHAMATEX</v>
      </c>
      <c r="O767" s="600" t="str">
        <f>N!$C$50</f>
        <v>PETHICS</v>
      </c>
      <c r="P767" s="600" t="str">
        <f>N!$C$51</f>
        <v>PHILIPS</v>
      </c>
      <c r="Q767" s="600" t="str">
        <f>N!$C$52</f>
        <v>RANBAXY</v>
      </c>
      <c r="R767" s="600" t="str">
        <f>N!$C$53</f>
        <v>REALS</v>
      </c>
      <c r="S767" s="600" t="str">
        <f>N!$C$54</f>
        <v>ROYAL</v>
      </c>
      <c r="T767" s="91"/>
      <c r="U767" s="91"/>
      <c r="V767" s="32"/>
      <c r="W767" s="32"/>
      <c r="X767" s="32"/>
      <c r="Y767" s="32"/>
      <c r="Z767" s="32"/>
    </row>
    <row r="768" spans="1:26" ht="15.75" thickBot="1" x14ac:dyDescent="0.3">
      <c r="A768" s="91"/>
      <c r="B768" s="604"/>
      <c r="C768" s="602">
        <f>IF($S$758=541,PR!$AM$599,IF($S$758=542,PR!$AM$600,IF($S$758=543,PR!$AM$601,IF($S$758=544,PR!$AM$602,IF($S$758=545,PR!$AM$603,IF($S$758=546,PR!$AM$604,IF($S$758=547,PR!$AM$605,IF($S$758=548,PR!$AM$606,IF($S$758=549,PR!$AM$607,IF($S$758=550,PR!$AM$608,IF($S$758=551,PR!$AM$609,IF($S$758=552,PR!$AM$610,IF($S$758=553,PR!$AM$611,IF($S$758=554,PR!$AM$612,IF($S$758=555,PR!$AM$613,IF($S$758=556,PR!$AM$614,IF($S$758=557,PR!$AM$615,IF($S$758=558,PR!$AM$616,IF($S$758=559,PR!$AM$617,IF($S$758=560,PR!$AM$618,IF($S$758=561,PR!$AM$619,IF($S$758=562,PR!$AM$620,IF($S$758=563,PR!$AM$621,IF($S$758=564,PR!$AM$622,IF($S$758=565,PR!$AM$623,IF($S$758=566,PR!$AM$624,IF($S$758=567,PR!$AM$625,IF($S$758=568,PR!$AM$626,IF($S$758=569,PR!$AM$627,IF($S$758=570,PR!$AM$632,IF($S$758=571,PR!$AM$633,IF($S$758=572,PR!$AM$634,IF($S$758=573,PR!$AM$635,IF($S$758=574,PR!$AM$636,IF($S$758=575,PR!$AM$637,IF($S$758=576,PR!$AM$638,IF($S$758=577,PR!$AM$639,IF($S$758=578,PR!$AM$640,IF($S$758=579,PR!$AM$641,IF($S$758=580,PR!$AM$642,IF($S$758=581,PR!$AM$643,IF($S$758=582,PR!$AM$644,IF($S$758=583,PR!$AM$645,IF($S$758=584,PR!$AM$646,IF($S$758=585,PR!$AM$647,IF($S$758=586,PR!$AM$648,IF($S$758=587,PR!$AM$649,IF($S$758=588,PR!$AM$650,IF($S$758=589,PR!$AM$651,IF($S$758=590,PR!$AM$652,IF($S$758=591,PR!$AM$653,IF($S$758=592,PR!$AM$654,IF($S$758=593,PR!$AM$655,IF($S$758=594,PR!$AM$656,IF($S$758=595,PR!$AM$657,IF($S$758=596,PR!$AM$658,IF($S$758=597,PR!$AM$659,IF($S$758=598,PR!$AM$660,IF($S$758=599,PR!$AM$661,IF($S$758=600,PR!$AM$662,"-"))))))))))))))))))))))))))))))))))))))))))))))))))))))))))))</f>
        <v>0</v>
      </c>
      <c r="D768" s="602">
        <f>IF($S$758=541,PR!$AN$599,IF($S$758=542,PR!$AN$600,IF($S$758=543,PR!$AN$601,IF($S$758=544,PR!$AN$602,IF($S$758=545,PR!$AN$603,IF($S$758=546,PR!$AN$604,IF($S$758=547,PR!$AN$605,IF($S$758=548,PR!$AN$606,IF($S$758=549,PR!$AN$607,IF($S$758=550,PR!$AN$608,IF($S$758=551,PR!$AN$609,IF($S$758=552,PR!$AN$610,IF($S$758=553,PR!$AN$611,IF($S$758=554,PR!$AN$612,IF($S$758=555,PR!$AN$613,IF($S$758=556,PR!$AN$614,IF($S$758=557,PR!$AN$615,IF($S$758=558,PR!$AN$616,IF($S$758=559,PR!$AN$617,IF($S$758=560,PR!$AN$618,IF($S$758=561,PR!$AN$619,IF($S$758=562,PR!$AN$620,IF($S$758=563,PR!$AN$621,IF($S$758=564,PR!$AN$622,IF($S$758=565,PR!$AN$623,IF($S$758=566,PR!$AN$624,IF($S$758=567,PR!$AN$625,IF($S$758=568,PR!$AN$626,IF($S$758=569,PR!$AN$627,IF($S$758=570,PR!$AN$632,IF($S$758=571,PR!$AN$633,IF($S$758=572,PR!$AN$634,IF($S$758=573,PR!$AN$635,IF($S$758=574,PR!$AN$636,IF($S$758=575,PR!$AN$637,IF($S$758=576,PR!$AN$638,IF($S$758=577,PR!$AN$639,IF($S$758=578,PR!$AN$640,IF($S$758=579,PR!$AN$641,IF($S$758=580,PR!$AN$642,IF($S$758=581,PR!$AN$643,IF($S$758=582,PR!$AN$644,IF($S$758=583,PR!$AN$645,IF($S$758=584,PR!$AN$646,IF($S$758=585,PR!$AN$647,IF($S$758=586,PR!$AN$648,IF($S$758=587,PR!$AN$649,IF($S$758=588,PR!$AN$650,IF($S$758=589,PR!$AN$651,IF($S$758=590,PR!$AN$652,IF($S$758=591,PR!$AN$653,IF($S$758=592,PR!$AN$654,IF($S$758=593,PR!$AN$655,IF($S$758=594,PR!$AN$656,IF($S$758=595,PR!$AN$657,IF($S$758=596,PR!$AN$658,IF($S$758=597,PR!$AN$659,IF($S$758=598,PR!$AN$660,IF($S$758=599,PR!$AN$661,IF($S$758=600,PR!$AN$662,"-"))))))))))))))))))))))))))))))))))))))))))))))))))))))))))))</f>
        <v>0</v>
      </c>
      <c r="E768" s="602">
        <f>IF($S$758=541,PR!$AO$599,IF($S$758=542,PR!$AO$600,IF($S$758=543,PR!$AO$601,IF($S$758=544,PR!$AO$602,IF($S$758=545,PR!$AO$603,IF($S$758=546,PR!$AO$604,IF($S$758=547,PR!$AO$605,IF($S$758=548,PR!$AO$606,IF($S$758=549,PR!$AO$607,IF($S$758=550,PR!$AO$608,IF($S$758=551,PR!$AO$609,IF($S$758=552,PR!$AO$610,IF($S$758=553,PR!$AO$611,IF($S$758=554,PR!$AO$612,IF($S$758=555,PR!$AO$613,IF($S$758=556,PR!$AO$614,IF($S$758=557,PR!$AO$615,IF($S$758=558,PR!$AO$616,IF($S$758=559,PR!$AO$617,IF($S$758=560,PR!$AO$618,IF($S$758=561,PR!$AO$619,IF($S$758=562,PR!$AO$620,IF($S$758=563,PR!$AO$621,IF($S$758=564,PR!$AO$622,IF($S$758=565,PR!$AO$623,IF($S$758=566,PR!$AO$624,IF($S$758=567,PR!$AO$625,IF($S$758=568,PR!$AO$626,IF($S$758=569,PR!$AO$627,IF($S$758=570,PR!$AO$632,IF($S$758=571,PR!$AO$633,IF($S$758=572,PR!$AO$634,IF($S$758=573,PR!$AO$635,IF($S$758=574,PR!$AO$636,IF($S$758=575,PR!$AO$637,IF($S$758=576,PR!$AO$638,IF($S$758=577,PR!$AO$639,IF($S$758=578,PR!$AO$640,IF($S$758=579,PR!$AO$641,IF($S$758=580,PR!$AO$642,IF($S$758=581,PR!$AO$643,IF($S$758=582,PR!$AO$644,IF($S$758=583,PR!$AO$645,IF($S$758=584,PR!$AO$646,IF($S$758=585,PR!$AO$647,IF($S$758=586,PR!$AO$648,IF($S$758=587,PR!$AO$649,IF($S$758=588,PR!$AO$650,IF($S$758=589,PR!$AO$651,IF($S$758=590,PR!$AO$652,IF($S$758=591,PR!$AO$653,IF($S$758=592,PR!$AO$654,IF($S$758=593,PR!$AO$655,IF($S$758=594,PR!$AO$656,IF($S$758=595,PR!$AO$657,IF($S$758=596,PR!$AO$658,IF($S$758=597,PR!$AO$659,IF($S$758=598,PR!$AO$660,IF($S$758=599,PR!$AO$661,IF($S$758=600,PR!$AO$662,"-"))))))))))))))))))))))))))))))))))))))))))))))))))))))))))))</f>
        <v>0</v>
      </c>
      <c r="F768" s="602">
        <f>IF($S$758=541,PR!$AP$599,IF($S$758=542,PR!$AP$600,IF($S$758=543,PR!$AP$601,IF($S$758=544,PR!$AP$602,IF($S$758=545,PR!$AP$603,IF($S$758=546,PR!$AP$604,IF($S$758=547,PR!$AP$605,IF($S$758=548,PR!$AP$606,IF($S$758=549,PR!$AP$607,IF($S$758=550,PR!$AP$608,IF($S$758=551,PR!$AP$609,IF($S$758=552,PR!$AP$610,IF($S$758=553,PR!$AP$611,IF($S$758=554,PR!$AP$612,IF($S$758=555,PR!$AP$613,IF($S$758=556,PR!$AP$614,IF($S$758=557,PR!$AP$615,IF($S$758=558,PR!$AP$616,IF($S$758=559,PR!$AP$617,IF($S$758=560,PR!$AP$618,IF($S$758=561,PR!$AP$619,IF($S$758=562,PR!$AP$620,IF($S$758=563,PR!$AP$621,IF($S$758=564,PR!$AP$622,IF($S$758=565,PR!$AP$623,IF($S$758=566,PR!$AP$624,IF($S$758=567,PR!$AP$625,IF($S$758=568,PR!$AP$626,IF($S$758=569,PR!$AP$627,IF($S$758=570,PR!$AP$632,IF($S$758=571,PR!$AP$633,IF($S$758=572,PR!$AP$634,IF($S$758=573,PR!$AP$635,IF($S$758=574,PR!$AP$636,IF($S$758=575,PR!$AP$637,IF($S$758=576,PR!$AP$638,IF($S$758=577,PR!$AP$639,IF($S$758=578,PR!$AP$640,IF($S$758=579,PR!$AP$641,IF($S$758=580,PR!$AP$642,IF($S$758=581,PR!$AP$643,IF($S$758=582,PR!$AP$644,IF($S$758=583,PR!$AP$645,IF($S$758=584,PR!$AP$646,IF($S$758=585,PR!$AP$647,IF($S$758=586,PR!$AP$648,IF($S$758=587,PR!$AP$649,IF($S$758=588,PR!$AP$650,IF($S$758=589,PR!$AP$651,IF($S$758=590,PR!$AP$652,IF($S$758=591,PR!$AP$653,IF($S$758=592,PR!$AP$654,IF($S$758=593,PR!$AP$655,IF($S$758=594,PR!$AP$656,IF($S$758=595,PR!$AP$657,IF($S$758=596,PR!$AP$658,IF($S$758=597,PR!$AP$659,IF($S$758=598,PR!$AP$660,IF($S$758=599,PR!$AP$661,IF($S$758=600,PR!$AP$662,"-"))))))))))))))))))))))))))))))))))))))))))))))))))))))))))))</f>
        <v>0</v>
      </c>
      <c r="G768" s="602">
        <f>IF($S$758=541,PR!$AQ$599,IF($S$758=542,PR!$AQ$600,IF($S$758=543,PR!$AQ$601,IF($S$758=544,PR!$AQ$602,IF($S$758=545,PR!$AQ$603,IF($S$758=546,PR!$AQ$604,IF($S$758=547,PR!$AQ$605,IF($S$758=548,PR!$AQ$606,IF($S$758=549,PR!$AQ$607,IF($S$758=550,PR!$AQ$608,IF($S$758=551,PR!$AQ$609,IF($S$758=552,PR!$AQ$610,IF($S$758=553,PR!$AQ$611,IF($S$758=554,PR!$AQ$612,IF($S$758=555,PR!$AQ$613,IF($S$758=556,PR!$AQ$614,IF($S$758=557,PR!$AQ$615,IF($S$758=558,PR!$AQ$616,IF($S$758=559,PR!$AQ$617,IF($S$758=560,PR!$AQ$618,IF($S$758=561,PR!$AQ$619,IF($S$758=562,PR!$AQ$620,IF($S$758=563,PR!$AQ$621,IF($S$758=564,PR!$AQ$622,IF($S$758=565,PR!$AQ$623,IF($S$758=566,PR!$AQ$624,IF($S$758=567,PR!$AQ$625,IF($S$758=568,PR!$AQ$626,IF($S$758=569,PR!$AQ$627,IF($S$758=570,PR!$AQ$632,IF($S$758=571,PR!$AQ$633,IF($S$758=572,PR!$AQ$634,IF($S$758=573,PR!$AQ$635,IF($S$758=574,PR!$AQ$636,IF($S$758=575,PR!$AQ$637,IF($S$758=576,PR!$AQ$638,IF($S$758=577,PR!$AQ$639,IF($S$758=578,PR!$AQ$640,IF($S$758=579,PR!$AQ$641,IF($S$758=580,PR!$AQ$642,IF($S$758=581,PR!$AQ$643,IF($S$758=582,PR!$AQ$644,IF($S$758=583,PR!$AQ$645,IF($S$758=584,PR!$AQ$646,IF($S$758=585,PR!$AQ$647,IF($S$758=586,PR!$AQ$648,IF($S$758=587,PR!$AQ$649,IF($S$758=588,PR!$AQ$650,IF($S$758=589,PR!$AQ$651,IF($S$758=590,PR!$AQ$652,IF($S$758=591,PR!$AQ$653,IF($S$758=592,PR!$AQ$654,IF($S$758=593,PR!$AQ$655,IF($S$758=594,PR!$AQ$656,IF($S$758=595,PR!$AQ$657,IF($S$758=596,PR!$AQ$658,IF($S$758=597,PR!$AQ$659,IF($S$758=598,PR!$AQ$660,IF($S$758=599,PR!$AQ$661,IF($S$758=600,PR!$AQ$662,"-"))))))))))))))))))))))))))))))))))))))))))))))))))))))))))))</f>
        <v>0</v>
      </c>
      <c r="H768" s="602">
        <f>IF($S$758=541,PR!$AR$599,IF($S$758=542,PR!$AR$600,IF($S$758=543,PR!$AR$601,IF($S$758=544,PR!$AR$602,IF($S$758=545,PR!$AR$603,IF($S$758=546,PR!$AR$604,IF($S$758=547,PR!$AR$605,IF($S$758=548,PR!$AR$606,IF($S$758=549,PR!$AR$607,IF($S$758=550,PR!$AR$608,IF($S$758=551,PR!$AR$609,IF($S$758=552,PR!$AR$610,IF($S$758=553,PR!$AR$611,IF($S$758=554,PR!$AR$612,IF($S$758=555,PR!$AR$613,IF($S$758=556,PR!$AR$614,IF($S$758=557,PR!$AR$615,IF($S$758=558,PR!$AR$616,IF($S$758=559,PR!$AR$617,IF($S$758=560,PR!$AR$618,IF($S$758=561,PR!$AR$619,IF($S$758=562,PR!$AR$620,IF($S$758=563,PR!$AR$621,IF($S$758=564,PR!$AR$622,IF($S$758=565,PR!$AR$623,IF($S$758=566,PR!$AR$624,IF($S$758=567,PR!$AR$625,IF($S$758=568,PR!$AR$626,IF($S$758=569,PR!$AR$627,IF($S$758=570,PR!$AR$632,IF($S$758=571,PR!$AR$633,IF($S$758=572,PR!$AR$634,IF($S$758=573,PR!$AR$635,IF($S$758=574,PR!$AR$636,IF($S$758=575,PR!$AR$637,IF($S$758=576,PR!$AR$638,IF($S$758=577,PR!$AR$639,IF($S$758=578,PR!$AR$640,IF($S$758=579,PR!$AR$641,IF($S$758=580,PR!$AR$642,IF($S$758=581,PR!$AR$643,IF($S$758=582,PR!$AR$644,IF($S$758=583,PR!$AR$645,IF($S$758=584,PR!$AR$646,IF($S$758=585,PR!$AR$647,IF($S$758=586,PR!$AR$648,IF($S$758=587,PR!$AR$649,IF($S$758=588,PR!$AR$650,IF($S$758=589,PR!$AR$651,IF($S$758=590,PR!$AR$652,IF($S$758=591,PR!$AR$653,IF($S$758=592,PR!$AR$654,IF($S$758=593,PR!$AR$655,IF($S$758=594,PR!$AR$656,IF($S$758=595,PR!$AR$657,IF($S$758=596,PR!$AR$658,IF($S$758=597,PR!$AR$659,IF($S$758=598,PR!$AR$660,IF($S$758=599,PR!$AR$661,IF($S$758=600,PR!$AR$662,"-"))))))))))))))))))))))))))))))))))))))))))))))))))))))))))))</f>
        <v>0</v>
      </c>
      <c r="I768" s="602">
        <f>IF($S$758=541,PR!$AS$599,IF($S$758=542,PR!$AS$600,IF($S$758=543,PR!$AS$601,IF($S$758=544,PR!$AS$602,IF($S$758=545,PR!$AS$603,IF($S$758=546,PR!$AS$604,IF($S$758=547,PR!$AS$605,IF($S$758=548,PR!$AS$606,IF($S$758=549,PR!$AS$607,IF($S$758=550,PR!$AS$608,IF($S$758=551,PR!$AS$609,IF($S$758=552,PR!$AS$610,IF($S$758=553,PR!$AS$611,IF($S$758=554,PR!$AS$612,IF($S$758=555,PR!$AS$613,IF($S$758=556,PR!$AS$614,IF($S$758=557,PR!$AS$615,IF($S$758=558,PR!$AS$616,IF($S$758=559,PR!$AS$617,IF($S$758=560,PR!$AS$618,IF($S$758=561,PR!$AS$619,IF($S$758=562,PR!$AS$620,IF($S$758=563,PR!$AS$621,IF($S$758=564,PR!$AS$622,IF($S$758=565,PR!$AS$623,IF($S$758=566,PR!$AS$624,IF($S$758=567,PR!$AS$625,IF($S$758=568,PR!$AS$626,IF($S$758=569,PR!$AS$627,IF($S$758=570,PR!$AS$632,IF($S$758=571,PR!$AS$633,IF($S$758=572,PR!$AS$634,IF($S$758=573,PR!$AS$635,IF($S$758=574,PR!$AS$636,IF($S$758=575,PR!$AS$637,IF($S$758=576,PR!$AS$638,IF($S$758=577,PR!$AS$639,IF($S$758=578,PR!$AS$640,IF($S$758=579,PR!$AS$641,IF($S$758=580,PR!$AS$642,IF($S$758=581,PR!$AS$643,IF($S$758=582,PR!$AS$644,IF($S$758=583,PR!$AS$645,IF($S$758=584,PR!$AS$646,IF($S$758=585,PR!$AS$647,IF($S$758=586,PR!$AS$648,IF($S$758=587,PR!$AS$649,IF($S$758=588,PR!$AS$650,IF($S$758=589,PR!$AS$651,IF($S$758=590,PR!$AS$652,IF($S$758=591,PR!$AS$653,IF($S$758=592,PR!$AS$654,IF($S$758=593,PR!$AS$655,IF($S$758=594,PR!$AS$656,IF($S$758=595,PR!$AS$657,IF($S$758=596,PR!$AS$658,IF($S$758=597,PR!$AS$659,IF($S$758=598,PR!$AS$660,IF($S$758=599,PR!$AS$661,IF($S$758=600,PR!$AS$662,"-"))))))))))))))))))))))))))))))))))))))))))))))))))))))))))))</f>
        <v>0</v>
      </c>
      <c r="J768" s="602">
        <f>IF($S$758=541,PR!$AT$599,IF($S$758=542,PR!$AT$600,IF($S$758=543,PR!$AT$601,IF($S$758=544,PR!$AT$602,IF($S$758=545,PR!$AT$603,IF($S$758=546,PR!$AT$604,IF($S$758=547,PR!$AT$605,IF($S$758=548,PR!$AT$606,IF($S$758=549,PR!$AT$607,IF($S$758=550,PR!$AT$608,IF($S$758=551,PR!$AT$609,IF($S$758=552,PR!$AT$610,IF($S$758=553,PR!$AT$611,IF($S$758=554,PR!$AT$612,IF($S$758=555,PR!$AT$613,IF($S$758=556,PR!$AT$614,IF($S$758=557,PR!$AT$615,IF($S$758=558,PR!$AT$616,IF($S$758=559,PR!$AT$617,IF($S$758=560,PR!$AT$618,IF($S$758=561,PR!$AT$619,IF($S$758=562,PR!$AT$620,IF($S$758=563,PR!$AT$621,IF($S$758=564,PR!$AT$622,IF($S$758=565,PR!$AT$623,IF($S$758=566,PR!$AT$624,IF($S$758=567,PR!$AT$625,IF($S$758=568,PR!$AT$626,IF($S$758=569,PR!$AT$627,IF($S$758=570,PR!$AT$632,IF($S$758=571,PR!$AT$633,IF($S$758=572,PR!$AT$634,IF($S$758=573,PR!$AT$635,IF($S$758=574,PR!$AT$636,IF($S$758=575,PR!$AT$637,IF($S$758=576,PR!$AT$638,IF($S$758=577,PR!$AT$639,IF($S$758=578,PR!$AT$640,IF($S$758=579,PR!$AT$641,IF($S$758=580,PR!$AT$642,IF($S$758=581,PR!$AT$643,IF($S$758=582,PR!$AT$644,IF($S$758=583,PR!$AT$645,IF($S$758=584,PR!$AT$646,IF($S$758=585,PR!$AT$647,IF($S$758=586,PR!$AT$648,IF($S$758=587,PR!$AT$649,IF($S$758=588,PR!$AT$650,IF($S$758=589,PR!$AT$651,IF($S$758=590,PR!$AT$652,IF($S$758=591,PR!$AT$653,IF($S$758=592,PR!$AT$654,IF($S$758=593,PR!$AT$655,IF($S$758=594,PR!$AT$656,IF($S$758=595,PR!$AT$657,IF($S$758=596,PR!$AT$658,IF($S$758=597,PR!$AT$659,IF($S$758=598,PR!$AT$660,IF($S$758=599,PR!$AT$661,IF($S$758=600,PR!$AT$662,"-"))))))))))))))))))))))))))))))))))))))))))))))))))))))))))))</f>
        <v>0</v>
      </c>
      <c r="K768" s="602">
        <f>IF($S$758=541,PR!$AU$599,IF($S$758=542,PR!$AU$600,IF($S$758=543,PR!$AU$601,IF($S$758=544,PR!$AU$602,IF($S$758=545,PR!$AU$603,IF($S$758=546,PR!$AU$604,IF($S$758=547,PR!$AU$605,IF($S$758=548,PR!$AU$606,IF($S$758=549,PR!$AU$607,IF($S$758=550,PR!$AU$608,IF($S$758=551,PR!$AU$609,IF($S$758=552,PR!$AU$610,IF($S$758=553,PR!$AU$611,IF($S$758=554,PR!$AU$612,IF($S$758=555,PR!$AU$613,IF($S$758=556,PR!$AU$614,IF($S$758=557,PR!$AU$615,IF($S$758=558,PR!$AU$616,IF($S$758=559,PR!$AU$617,IF($S$758=560,PR!$AU$618,IF($S$758=561,PR!$AU$619,IF($S$758=562,PR!$AU$620,IF($S$758=563,PR!$AU$621,IF($S$758=564,PR!$AU$622,IF($S$758=565,PR!$AU$623,IF($S$758=566,PR!$AU$624,IF($S$758=567,PR!$AU$625,IF($S$758=568,PR!$AU$626,IF($S$758=569,PR!$AU$627,IF($S$758=570,PR!$AU$632,IF($S$758=571,PR!$AU$633,IF($S$758=572,PR!$AU$634,IF($S$758=573,PR!$AU$635,IF($S$758=574,PR!$AU$636,IF($S$758=575,PR!$AU$637,IF($S$758=576,PR!$AU$638,IF($S$758=577,PR!$AU$639,IF($S$758=578,PR!$AU$640,IF($S$758=579,PR!$AU$641,IF($S$758=580,PR!$AU$642,IF($S$758=581,PR!$AU$643,IF($S$758=582,PR!$AU$644,IF($S$758=583,PR!$AU$645,IF($S$758=584,PR!$AU$646,IF($S$758=585,PR!$AU$647,IF($S$758=586,PR!$AU$648,IF($S$758=587,PR!$AU$649,IF($S$758=588,PR!$AU$650,IF($S$758=589,PR!$AU$651,IF($S$758=590,PR!$AU$652,IF($S$758=591,PR!$AU$653,IF($S$758=592,PR!$AU$654,IF($S$758=593,PR!$AU$655,IF($S$758=594,PR!$AU$656,IF($S$758=595,PR!$AU$657,IF($S$758=596,PR!$AU$658,IF($S$758=597,PR!$AU$659,IF($S$758=598,PR!$AU$660,IF($S$758=599,PR!$AU$661,IF($S$758=600,PR!$AU$662,"-"))))))))))))))))))))))))))))))))))))))))))))))))))))))))))))</f>
        <v>0</v>
      </c>
      <c r="L768" s="602">
        <f>IF($S$758=541,PR!$AV$599,IF($S$758=542,PR!$AV$600,IF($S$758=543,PR!$AV$601,IF($S$758=544,PR!$AV$602,IF($S$758=545,PR!$AV$603,IF($S$758=546,PR!$AV$604,IF($S$758=547,PR!$AV$605,IF($S$758=548,PR!$AV$606,IF($S$758=549,PR!$AV$607,IF($S$758=550,PR!$AV$608,IF($S$758=551,PR!$AV$609,IF($S$758=552,PR!$AV$610,IF($S$758=553,PR!$AV$611,IF($S$758=554,PR!$AV$612,IF($S$758=555,PR!$AV$613,IF($S$758=556,PR!$AV$614,IF($S$758=557,PR!$AV$615,IF($S$758=558,PR!$AV$616,IF($S$758=559,PR!$AV$617,IF($S$758=560,PR!$AV$618,IF($S$758=561,PR!$AV$619,IF($S$758=562,PR!$AV$620,IF($S$758=563,PR!$AV$621,IF($S$758=564,PR!$AV$622,IF($S$758=565,PR!$AV$623,IF($S$758=566,PR!$AV$624,IF($S$758=567,PR!$AV$625,IF($S$758=568,PR!$AV$626,IF($S$758=569,PR!$AV$627,IF($S$758=570,PR!$AV$632,IF($S$758=571,PR!$AV$633,IF($S$758=572,PR!$AV$634,IF($S$758=573,PR!$AV$635,IF($S$758=574,PR!$AV$636,IF($S$758=575,PR!$AV$637,IF($S$758=576,PR!$AV$638,IF($S$758=577,PR!$AV$639,IF($S$758=578,PR!$AV$640,IF($S$758=579,PR!$AV$641,IF($S$758=580,PR!$AV$642,IF($S$758=581,PR!$AV$643,IF($S$758=582,PR!$AV$644,IF($S$758=583,PR!$AV$645,IF($S$758=584,PR!$AV$646,IF($S$758=585,PR!$AV$647,IF($S$758=586,PR!$AV$648,IF($S$758=587,PR!$AV$649,IF($S$758=588,PR!$AV$650,IF($S$758=589,PR!$AV$651,IF($S$758=590,PR!$AV$652,IF($S$758=591,PR!$AV$653,IF($S$758=592,PR!$AV$654,IF($S$758=593,PR!$AV$655,IF($S$758=594,PR!$AV$656,IF($S$758=595,PR!$AV$657,IF($S$758=596,PR!$AV$658,IF($S$758=597,PR!$AV$659,IF($S$758=598,PR!$AV$660,IF($S$758=599,PR!$AV$661,IF($S$758=600,PR!$AV$662,"-"))))))))))))))))))))))))))))))))))))))))))))))))))))))))))))</f>
        <v>0</v>
      </c>
      <c r="M768" s="602">
        <f>IF($S$758=541,PR!$AW$599,IF($S$758=542,PR!$AW$600,IF($S$758=543,PR!$AW$601,IF($S$758=544,PR!$AW$602,IF($S$758=545,PR!$AW$603,IF($S$758=546,PR!$AW$604,IF($S$758=547,PR!$AW$605,IF($S$758=548,PR!$AW$606,IF($S$758=549,PR!$AW$607,IF($S$758=550,PR!$AW$608,IF($S$758=551,PR!$AW$609,IF($S$758=552,PR!$AW$610,IF($S$758=553,PR!$AW$611,IF($S$758=554,PR!$AW$612,IF($S$758=555,PR!$AW$613,IF($S$758=556,PR!$AW$614,IF($S$758=557,PR!$AW$615,IF($S$758=558,PR!$AW$616,IF($S$758=559,PR!$AW$617,IF($S$758=560,PR!$AW$618,IF($S$758=561,PR!$AW$619,IF($S$758=562,PR!$AW$620,IF($S$758=563,PR!$AW$621,IF($S$758=564,PR!$AW$622,IF($S$758=565,PR!$AW$623,IF($S$758=566,PR!$AW$624,IF($S$758=567,PR!$AW$625,IF($S$758=568,PR!$AW$626,IF($S$758=569,PR!$AW$627,IF($S$758=570,PR!$AW$632,IF($S$758=571,PR!$AW$633,IF($S$758=572,PR!$AW$634,IF($S$758=573,PR!$AW$635,IF($S$758=574,PR!$AW$636,IF($S$758=575,PR!$AW$637,IF($S$758=576,PR!$AW$638,IF($S$758=577,PR!$AW$639,IF($S$758=578,PR!$AW$640,IF($S$758=579,PR!$AW$641,IF($S$758=580,PR!$AW$642,IF($S$758=581,PR!$AW$643,IF($S$758=582,PR!$AW$644,IF($S$758=583,PR!$AW$645,IF($S$758=584,PR!$AW$646,IF($S$758=585,PR!$AW$647,IF($S$758=586,PR!$AW$648,IF($S$758=587,PR!$AW$649,IF($S$758=588,PR!$AW$650,IF($S$758=589,PR!$AW$651,IF($S$758=590,PR!$AW$652,IF($S$758=591,PR!$AW$653,IF($S$758=592,PR!$AW$654,IF($S$758=593,PR!$AW$655,IF($S$758=594,PR!$AW$656,IF($S$758=595,PR!$AW$657,IF($S$758=596,PR!$AW$658,IF($S$758=597,PR!$AW$659,IF($S$758=598,PR!$AW$660,IF($S$758=599,PR!$AW$661,IF($S$758=600,PR!$AW$662,"-"))))))))))))))))))))))))))))))))))))))))))))))))))))))))))))</f>
        <v>0</v>
      </c>
      <c r="N768" s="602">
        <f>IF($S$758=541,PR!$AX$599,IF($S$758=542,PR!$AX$600,IF($S$758=543,PR!$AX$601,IF($S$758=544,PR!$AX$602,IF($S$758=545,PR!$AX$603,IF($S$758=546,PR!$AX$604,IF($S$758=547,PR!$AX$605,IF($S$758=548,PR!$AX$606,IF($S$758=549,PR!$AX$607,IF($S$758=550,PR!$AX$608,IF($S$758=551,PR!$AX$609,IF($S$758=552,PR!$AX$610,IF($S$758=553,PR!$AX$611,IF($S$758=554,PR!$AX$612,IF($S$758=555,PR!$AX$613,IF($S$758=556,PR!$AX$614,IF($S$758=557,PR!$AX$615,IF($S$758=558,PR!$AX$616,IF($S$758=559,PR!$AX$617,IF($S$758=560,PR!$AX$618,IF($S$758=561,PR!$AX$619,IF($S$758=562,PR!$AX$620,IF($S$758=563,PR!$AX$621,IF($S$758=564,PR!$AX$622,IF($S$758=565,PR!$AX$623,IF($S$758=566,PR!$AX$624,IF($S$758=567,PR!$AX$625,IF($S$758=568,PR!$AX$626,IF($S$758=569,PR!$AX$627,IF($S$758=570,PR!$AX$632,IF($S$758=571,PR!$AX$633,IF($S$758=572,PR!$AX$634,IF($S$758=573,PR!$AX$635,IF($S$758=574,PR!$AX$636,IF($S$758=575,PR!$AX$637,IF($S$758=576,PR!$AX$638,IF($S$758=577,PR!$AX$639,IF($S$758=578,PR!$AX$640,IF($S$758=579,PR!$AX$641,IF($S$758=580,PR!$AX$642,IF($S$758=581,PR!$AX$643,IF($S$758=582,PR!$AX$644,IF($S$758=583,PR!$AX$645,IF($S$758=584,PR!$AX$646,IF($S$758=585,PR!$AX$647,IF($S$758=586,PR!$AX$648,IF($S$758=587,PR!$AX$649,IF($S$758=588,PR!$AX$650,IF($S$758=589,PR!$AX$651,IF($S$758=590,PR!$AX$652,IF($S$758=591,PR!$AX$653,IF($S$758=592,PR!$AX$654,IF($S$758=593,PR!$AX$655,IF($S$758=594,PR!$AX$656,IF($S$758=595,PR!$AX$657,IF($S$758=596,PR!$AX$658,IF($S$758=597,PR!$AX$659,IF($S$758=598,PR!$AX$660,IF($S$758=599,PR!$AX$661,IF($S$758=600,PR!$AX$662,"-"))))))))))))))))))))))))))))))))))))))))))))))))))))))))))))</f>
        <v>0</v>
      </c>
      <c r="O768" s="602">
        <f>IF($S$758=541,PR!$AY$599,IF($S$758=542,PR!$AY$600,IF($S$758=543,PR!$AY$601,IF($S$758=544,PR!$AY$602,IF($S$758=545,PR!$AY$603,IF($S$758=546,PR!$AY$604,IF($S$758=547,PR!$AY$605,IF($S$758=548,PR!$AY$606,IF($S$758=549,PR!$AY$607,IF($S$758=550,PR!$AY$608,IF($S$758=551,PR!$AY$609,IF($S$758=552,PR!$AY$610,IF($S$758=553,PR!$AY$611,IF($S$758=554,PR!$AY$612,IF($S$758=555,PR!$AY$613,IF($S$758=556,PR!$AY$614,IF($S$758=557,PR!$AY$615,IF($S$758=558,PR!$AY$616,IF($S$758=559,PR!$AY$617,IF($S$758=560,PR!$AY$618,IF($S$758=561,PR!$AY$619,IF($S$758=562,PR!$AY$620,IF($S$758=563,PR!$AY$621,IF($S$758=564,PR!$AY$622,IF($S$758=565,PR!$AY$623,IF($S$758=566,PR!$AY$624,IF($S$758=567,PR!$AY$625,IF($S$758=568,PR!$AY$626,IF($S$758=569,PR!$AY$627,IF($S$758=570,PR!$AY$632,IF($S$758=571,PR!$AY$633,IF($S$758=572,PR!$AY$634,IF($S$758=573,PR!$AY$635,IF($S$758=574,PR!$AY$636,IF($S$758=575,PR!$AY$637,IF($S$758=576,PR!$AY$638,IF($S$758=577,PR!$AY$639,IF($S$758=578,PR!$AY$640,IF($S$758=579,PR!$AY$641,IF($S$758=580,PR!$AY$642,IF($S$758=581,PR!$AY$643,IF($S$758=582,PR!$AY$644,IF($S$758=583,PR!$AY$645,IF($S$758=584,PR!$AY$646,IF($S$758=585,PR!$AY$647,IF($S$758=586,PR!$AY$648,IF($S$758=587,PR!$AY$649,IF($S$758=588,PR!$AY$650,IF($S$758=589,PR!$AY$651,IF($S$758=590,PR!$AY$652,IF($S$758=591,PR!$AY$653,IF($S$758=592,PR!$AY$654,IF($S$758=593,PR!$AY$655,IF($S$758=594,PR!$AY$656,IF($S$758=595,PR!$AY$657,IF($S$758=596,PR!$AY$658,IF($S$758=597,PR!$AY$659,IF($S$758=598,PR!$AY$660,IF($S$758=599,PR!$AY$661,IF($S$758=600,PR!$AY$662,"-"))))))))))))))))))))))))))))))))))))))))))))))))))))))))))))</f>
        <v>0</v>
      </c>
      <c r="P768" s="602">
        <f>IF($S$758=541,PR!$AZ$599,IF($S$758=542,PR!$AZ$600,IF($S$758=543,PR!$AZ$601,IF($S$758=544,PR!$AZ$602,IF($S$758=545,PR!$AZ$603,IF($S$758=546,PR!$AZ$604,IF($S$758=547,PR!$AZ$605,IF($S$758=548,PR!$AZ$606,IF($S$758=549,PR!$AZ$607,IF($S$758=550,PR!$AZ$608,IF($S$758=551,PR!$AZ$609,IF($S$758=552,PR!$AZ$610,IF($S$758=553,PR!$AZ$611,IF($S$758=554,PR!$AZ$612,IF($S$758=555,PR!$AZ$613,IF($S$758=556,PR!$AZ$614,IF($S$758=557,PR!$AZ$615,IF($S$758=558,PR!$AZ$616,IF($S$758=559,PR!$AZ$617,IF($S$758=560,PR!$AZ$618,IF($S$758=561,PR!$AZ$619,IF($S$758=562,PR!$AZ$620,IF($S$758=563,PR!$AZ$621,IF($S$758=564,PR!$AZ$622,IF($S$758=565,PR!$AZ$623,IF($S$758=566,PR!$AZ$624,IF($S$758=567,PR!$AZ$625,IF($S$758=568,PR!$AZ$626,IF($S$758=569,PR!$AZ$627,IF($S$758=570,PR!$AZ$632,IF($S$758=571,PR!$AZ$633,IF($S$758=572,PR!$AZ$634,IF($S$758=573,PR!$AZ$635,IF($S$758=574,PR!$AZ$636,IF($S$758=575,PR!$AZ$637,IF($S$758=576,PR!$AZ$638,IF($S$758=577,PR!$AZ$639,IF($S$758=578,PR!$AZ$640,IF($S$758=579,PR!$AZ$641,IF($S$758=580,PR!$AZ$642,IF($S$758=581,PR!$AZ$643,IF($S$758=582,PR!$AZ$644,IF($S$758=583,PR!$AZ$645,IF($S$758=584,PR!$AZ$646,IF($S$758=585,PR!$AZ$647,IF($S$758=586,PR!$AZ$648,IF($S$758=587,PR!$AZ$649,IF($S$758=588,PR!$AZ$650,IF($S$758=589,PR!$AZ$651,IF($S$758=590,PR!$AZ$652,IF($S$758=591,PR!$AZ$653,IF($S$758=592,PR!$AZ$654,IF($S$758=593,PR!$AZ$655,IF($S$758=594,PR!$AZ$656,IF($S$758=595,PR!$AZ$657,IF($S$758=596,PR!$AZ$658,IF($S$758=597,PR!$AZ$659,IF($S$758=598,PR!$AZ$660,IF($S$758=599,PR!$AZ$661,IF($S$758=600,PR!$AZ$662,"-"))))))))))))))))))))))))))))))))))))))))))))))))))))))))))))</f>
        <v>0</v>
      </c>
      <c r="Q768" s="602">
        <f>IF($S$758=541,PR!$BA$599,IF($S$758=542,PR!$BA$600,IF($S$758=543,PR!$BA$601,IF($S$758=544,PR!$BA$602,IF($S$758=545,PR!$BA$603,IF($S$758=546,PR!$BA$604,IF($S$758=547,PR!$BA$605,IF($S$758=548,PR!$BA$606,IF($S$758=549,PR!$BA$607,IF($S$758=550,PR!$BA$608,IF($S$758=551,PR!$BA$609,IF($S$758=552,PR!$BA$610,IF($S$758=553,PR!$BA$611,IF($S$758=554,PR!$BA$612,IF($S$758=555,PR!$BA$613,IF($S$758=556,PR!$BA$614,IF($S$758=557,PR!$BA$615,IF($S$758=558,PR!$BA$616,IF($S$758=559,PR!$BA$617,IF($S$758=560,PR!$BA$618,IF($S$758=561,PR!$BA$619,IF($S$758=562,PR!$BA$620,IF($S$758=563,PR!$BA$621,IF($S$758=564,PR!$BA$622,IF($S$758=565,PR!$BA$623,IF($S$758=566,PR!$BA$624,IF($S$758=567,PR!$BA$625,IF($S$758=568,PR!$BA$626,IF($S$758=569,PR!$BA$627,IF($S$758=570,PR!$BA$632,IF($S$758=571,PR!$BA$633,IF($S$758=572,PR!$BA$634,IF($S$758=573,PR!$BA$635,IF($S$758=574,PR!$BA$636,IF($S$758=575,PR!$BA$637,IF($S$758=576,PR!$BA$638,IF($S$758=577,PR!$BA$639,IF($S$758=578,PR!$BA$640,IF($S$758=579,PR!$BA$641,IF($S$758=580,PR!$BA$642,IF($S$758=581,PR!$BA$643,IF($S$758=582,PR!$BA$644,IF($S$758=583,PR!$BA$645,IF($S$758=584,PR!$BA$646,IF($S$758=585,PR!$BA$647,IF($S$758=586,PR!$BA$648,IF($S$758=587,PR!$BA$649,IF($S$758=588,PR!$BA$650,IF($S$758=589,PR!$BA$651,IF($S$758=590,PR!$BA$652,IF($S$758=591,PR!$BA$653,IF($S$758=592,PR!$BA$654,IF($S$758=593,PR!$BA$655,IF($S$758=594,PR!$BA$656,IF($S$758=595,PR!$BA$657,IF($S$758=596,PR!$BA$658,IF($S$758=597,PR!$BA$659,IF($S$758=598,PR!$BA$660,IF($S$758=599,PR!$BA$661,IF($S$758=600,PR!$BA$662,"-"))))))))))))))))))))))))))))))))))))))))))))))))))))))))))))</f>
        <v>0</v>
      </c>
      <c r="R768" s="602">
        <f>IF($S$758=541,PR!$BB$599,IF($S$758=542,PR!$BB$600,IF($S$758=543,PR!$BB$601,IF($S$758=544,PR!$BB$602,IF($S$758=545,PR!$BB$603,IF($S$758=546,PR!$BB$604,IF($S$758=547,PR!$BB$605,IF($S$758=548,PR!$BB$606,IF($S$758=549,PR!$BB$607,IF($S$758=550,PR!$BB$608,IF($S$758=551,PR!$BB$609,IF($S$758=552,PR!$BB$610,IF($S$758=553,PR!$BB$611,IF($S$758=554,PR!$BB$612,IF($S$758=555,PR!$BB$613,IF($S$758=556,PR!$BB$614,IF($S$758=557,PR!$BB$615,IF($S$758=558,PR!$BB$616,IF($S$758=559,PR!$BB$617,IF($S$758=560,PR!$BB$618,IF($S$758=561,PR!$BB$619,IF($S$758=562,PR!$BB$620,IF($S$758=563,PR!$BB$621,IF($S$758=564,PR!$BB$622,IF($S$758=565,PR!$BB$623,IF($S$758=566,PR!$BB$624,IF($S$758=567,PR!$BB$625,IF($S$758=568,PR!$BB$626,IF($S$758=569,PR!$BB$627,IF($S$758=570,PR!$BB$632,IF($S$758=571,PR!$BB$633,IF($S$758=572,PR!$BB$634,IF($S$758=573,PR!$BB$635,IF($S$758=574,PR!$BB$636,IF($S$758=575,PR!$BB$637,IF($S$758=576,PR!$BB$638,IF($S$758=577,PR!$BB$639,IF($S$758=578,PR!$BB$640,IF($S$758=579,PR!$BB$641,IF($S$758=580,PR!$BB$642,IF($S$758=581,PR!$BB$643,IF($S$758=582,PR!$BB$644,IF($S$758=583,PR!$BB$645,IF($S$758=584,PR!$BB$646,IF($S$758=585,PR!$BB$647,IF($S$758=586,PR!$BB$648,IF($S$758=587,PR!$BB$649,IF($S$758=588,PR!$BB$650,IF($S$758=589,PR!$BB$651,IF($S$758=590,PR!$BB$652,IF($S$758=591,PR!$BB$653,IF($S$758=592,PR!$BB$654,IF($S$758=593,PR!$BB$655,IF($S$758=594,PR!$BB$656,IF($S$758=595,PR!$BB$657,IF($S$758=596,PR!$BB$658,IF($S$758=597,PR!$BB$659,IF($S$758=598,PR!$BB$660,IF($S$758=599,PR!$BB$661,IF($S$758=600,PR!$BB$662,"-"))))))))))))))))))))))))))))))))))))))))))))))))))))))))))))</f>
        <v>0</v>
      </c>
      <c r="S768" s="602">
        <f>IF($S$758=541,PR!$BC$599,IF($S$758=542,PR!$BC$600,IF($S$758=543,PR!$BC$601,IF($S$758=544,PR!$BC$602,IF($S$758=545,PR!$BC$603,IF($S$758=546,PR!$BC$604,IF($S$758=547,PR!$BC$605,IF($S$758=548,PR!$BC$606,IF($S$758=549,PR!$BC$607,IF($S$758=550,PR!$BC$608,IF($S$758=551,PR!$BC$609,IF($S$758=552,PR!$BC$610,IF($S$758=553,PR!$BC$611,IF($S$758=554,PR!$BC$612,IF($S$758=555,PR!$BC$613,IF($S$758=556,PR!$BC$614,IF($S$758=557,PR!$BC$615,IF($S$758=558,PR!$BC$616,IF($S$758=559,PR!$BC$617,IF($S$758=560,PR!$BC$618,IF($S$758=561,PR!$BC$619,IF($S$758=562,PR!$BC$620,IF($S$758=563,PR!$BC$621,IF($S$758=564,PR!$BC$622,IF($S$758=565,PR!$BC$623,IF($S$758=566,PR!$BC$624,IF($S$758=567,PR!$BC$625,IF($S$758=568,PR!$BC$626,IF($S$758=569,PR!$BC$627,IF($S$758=570,PR!$BC$632,IF($S$758=571,PR!$BC$633,IF($S$758=572,PR!$BC$634,IF($S$758=573,PR!$BC$635,IF($S$758=574,PR!$BC$636,IF($S$758=575,PR!$BC$637,IF($S$758=576,PR!$BC$638,IF($S$758=577,PR!$BC$639,IF($S$758=578,PR!$BC$640,IF($S$758=579,PR!$BC$641,IF($S$758=580,PR!$BC$642,IF($S$758=581,PR!$BC$643,IF($S$758=582,PR!$BC$644,IF($S$758=583,PR!$BC$645,IF($S$758=584,PR!$BC$646,IF($S$758=585,PR!$BC$647,IF($S$758=586,PR!$BC$648,IF($S$758=587,PR!$BC$649,IF($S$758=588,PR!$BC$650,IF($S$758=589,PR!$BC$651,IF($S$758=590,PR!$BC$652,IF($S$758=591,PR!$BC$653,IF($S$758=592,PR!$BC$654,IF($S$758=593,PR!$BC$655,IF($S$758=594,PR!$BC$656,IF($S$758=595,PR!$BC$657,IF($S$758=596,PR!$BC$658,IF($S$758=597,PR!$BC$659,IF($S$758=598,PR!$BC$660,IF($S$758=599,PR!$BC$661,IF($S$758=600,PR!$BC$662,"-"))))))))))))))))))))))))))))))))))))))))))))))))))))))))))))</f>
        <v>0</v>
      </c>
      <c r="T768" s="91"/>
      <c r="U768" s="91"/>
      <c r="V768" s="32"/>
      <c r="W768" s="32"/>
      <c r="X768" s="32"/>
      <c r="Y768" s="32"/>
      <c r="Z768" s="32"/>
    </row>
    <row r="769" spans="1:26" ht="8.25" customHeight="1" x14ac:dyDescent="0.25">
      <c r="A769" s="91"/>
      <c r="B769" s="604"/>
      <c r="C769" s="603"/>
      <c r="D769" s="604"/>
      <c r="E769" s="604"/>
      <c r="F769" s="604"/>
      <c r="G769" s="604"/>
      <c r="H769" s="604"/>
      <c r="I769" s="604"/>
      <c r="J769" s="604"/>
      <c r="K769" s="604"/>
      <c r="L769" s="604"/>
      <c r="M769" s="604"/>
      <c r="N769" s="604"/>
      <c r="O769" s="604"/>
      <c r="P769" s="604"/>
      <c r="Q769" s="604"/>
      <c r="R769" s="606"/>
      <c r="S769" s="606"/>
      <c r="T769" s="91"/>
      <c r="U769" s="91"/>
      <c r="V769" s="32"/>
      <c r="W769" s="32"/>
      <c r="X769" s="32"/>
      <c r="Y769" s="32"/>
      <c r="Z769" s="32"/>
    </row>
    <row r="770" spans="1:26" ht="15.75" thickBot="1" x14ac:dyDescent="0.3">
      <c r="A770" s="91"/>
      <c r="B770" s="604"/>
      <c r="C770" s="600" t="str">
        <f>N!$C$55</f>
        <v>SAM</v>
      </c>
      <c r="D770" s="600" t="str">
        <f>N!$C$56</f>
        <v>SEAGREEN</v>
      </c>
      <c r="E770" s="600" t="str">
        <f>N!$C$57</f>
        <v>SKG</v>
      </c>
      <c r="F770" s="600" t="str">
        <f>N!$C$58</f>
        <v>TAH</v>
      </c>
      <c r="G770" s="600" t="str">
        <f>N!$C$59</f>
        <v>TAYLEK</v>
      </c>
      <c r="H770" s="600" t="str">
        <f>N!$C$60</f>
        <v>TEMITA</v>
      </c>
      <c r="I770" s="600" t="str">
        <f>N!$C$61</f>
        <v>THL</v>
      </c>
      <c r="J770" s="600" t="str">
        <f>N!$C$62</f>
        <v>UBASTIC</v>
      </c>
      <c r="K770" s="600" t="str">
        <f>N!$C$63</f>
        <v>UNION</v>
      </c>
      <c r="L770" s="600" t="str">
        <f>N!$C$64</f>
        <v>UNIQUE</v>
      </c>
      <c r="M770" s="600" t="str">
        <f>N!$C$65</f>
        <v>VIXA</v>
      </c>
      <c r="N770" s="600" t="str">
        <f>N!$C$66</f>
        <v>WWCV</v>
      </c>
      <c r="O770" s="600" t="str">
        <f>N!$C$67</f>
        <v>ZOLON</v>
      </c>
      <c r="P770" s="600" t="e">
        <f>N!#REF!</f>
        <v>#REF!</v>
      </c>
      <c r="Q770" s="600" t="e">
        <f>N!#REF!</f>
        <v>#REF!</v>
      </c>
      <c r="R770" s="600" t="e">
        <f>N!#REF!</f>
        <v>#REF!</v>
      </c>
      <c r="S770" s="604"/>
      <c r="T770" s="91"/>
      <c r="U770" s="91"/>
      <c r="V770" s="32"/>
      <c r="W770" s="32"/>
      <c r="X770" s="32"/>
      <c r="Y770" s="32"/>
      <c r="Z770" s="32"/>
    </row>
    <row r="771" spans="1:26" ht="15.75" thickBot="1" x14ac:dyDescent="0.3">
      <c r="A771" s="91"/>
      <c r="B771" s="604"/>
      <c r="C771" s="602">
        <f>IF($S$758=541,PR!$BD$599,IF($S$758=542,PR!$BD$600,IF($S$758=543,PR!$BD$601,IF($S$758=544,PR!$BD$602,IF($S$758=545,PR!$BD$603,IF($S$758=546,PR!$BD$604,IF($S$758=547,PR!$BD$605,IF($S$758=548,PR!$BD$606,IF($S$758=549,PR!$BD$607,IF($S$758=550,PR!$BD$608,IF($S$758=551,PR!$BD$609,IF($S$758=552,PR!$BD$610,IF($S$758=553,PR!$BD$611,IF($S$758=554,PR!$BD$612,IF($S$758=555,PR!$BD$613,IF($S$758=556,PR!$BD$614,IF($S$758=557,PR!$BD$615,IF($S$758=558,PR!$BD$616,IF($S$758=559,PR!$BD$617,IF($S$758=560,PR!$BD$618,IF($S$758=561,PR!$BD$619,IF($S$758=562,PR!$BD$620,IF($S$758=563,PR!$BD$621,IF($S$758=564,PR!$BD$622,IF($S$758=565,PR!$BD$623,IF($S$758=566,PR!$BD$624,IF($S$758=567,PR!$BD$625,IF($S$758=568,PR!$BD$626,IF($S$758=569,PR!$BD$627,IF($S$758=570,PR!$BD$632,IF($S$758=571,PR!$BD$633,IF($S$758=572,PR!$BD$634,IF($S$758=573,PR!$BD$635,IF($S$758=574,PR!$BD$636,IF($S$758=575,PR!$BD$637,IF($S$758=576,PR!$BD$638,IF($S$758=577,PR!$BD$639,IF($S$758=578,PR!$BD$640,IF($S$758=579,PR!$BD$641,IF($S$758=580,PR!$BD$642,IF($S$758=581,PR!$BD$643,IF($S$758=582,PR!$BD$644,IF($S$758=583,PR!$BD$645,IF($S$758=584,PR!$BD$646,IF($S$758=585,PR!$BD$647,IF($S$758=586,PR!$BD$648,IF($S$758=587,PR!$BD$649,IF($S$758=588,PR!$BD$650,IF($S$758=589,PR!$BD$651,IF($S$758=590,PR!$BD$652,IF($S$758=591,PR!$BD$653,IF($S$758=592,PR!$BD$654,IF($S$758=593,PR!$BD$655,IF($S$758=594,PR!$BD$656,IF($S$758=595,PR!$BD$657,IF($S$758=596,PR!$BD$658,IF($S$758=597,PR!$BD$659,IF($S$758=598,PR!$BD$660,IF($S$758=599,PR!$BD$661,IF($S$758=600,PR!$BD$662,"-"))))))))))))))))))))))))))))))))))))))))))))))))))))))))))))</f>
        <v>0</v>
      </c>
      <c r="D771" s="602">
        <f>IF($S$758=541,PR!$BE$599,IF($S$758=542,PR!$BE$600,IF($S$758=543,PR!$BE$601,IF($S$758=544,PR!$BE$602,IF($S$758=545,PR!$BE$603,IF($S$758=546,PR!$BE$604,IF($S$758=547,PR!$BE$605,IF($S$758=548,PR!$BE$606,IF($S$758=549,PR!$BE$607,IF($S$758=550,PR!$BE$608,IF($S$758=551,PR!$BE$609,IF($S$758=552,PR!$BE$610,IF($S$758=553,PR!$BE$611,IF($S$758=554,PR!$BE$612,IF($S$758=555,PR!$BE$613,IF($S$758=556,PR!$BE$614,IF($S$758=557,PR!$BE$615,IF($S$758=558,PR!$BE$616,IF($S$758=559,PR!$BE$617,IF($S$758=560,PR!$BE$618,IF($S$758=561,PR!$BE$619,IF($S$758=562,PR!$BE$620,IF($S$758=563,PR!$BE$621,IF($S$758=564,PR!$BE$622,IF($S$758=565,PR!$BE$623,IF($S$758=566,PR!$BE$624,IF($S$758=567,PR!$BE$625,IF($S$758=568,PR!$BE$626,IF($S$758=569,PR!$BE$627,IF($S$758=570,PR!$BE$632,IF($S$758=571,PR!$BE$633,IF($S$758=572,PR!$BE$634,IF($S$758=573,PR!$BE$635,IF($S$758=574,PR!$BE$636,IF($S$758=575,PR!$BE$637,IF($S$758=576,PR!$BE$638,IF($S$758=577,PR!$BE$639,IF($S$758=578,PR!$BE$640,IF($S$758=579,PR!$BE$641,IF($S$758=580,PR!$BE$642,IF($S$758=581,PR!$BE$643,IF($S$758=582,PR!$BE$644,IF($S$758=583,PR!$BE$645,IF($S$758=584,PR!$BE$646,IF($S$758=585,PR!$BE$647,IF($S$758=586,PR!$BE$648,IF($S$758=587,PR!$BE$649,IF($S$758=588,PR!$BE$650,IF($S$758=589,PR!$BE$651,IF($S$758=590,PR!$BE$652,IF($S$758=591,PR!$BE$653,IF($S$758=592,PR!$BE$654,IF($S$758=593,PR!$BE$655,IF($S$758=594,PR!$BE$656,IF($S$758=595,PR!$BE$657,IF($S$758=596,PR!$BE$658,IF($S$758=597,PR!$BE$659,IF($S$758=598,PR!$BE$660,IF($S$758=599,PR!$BE$661,IF($S$758=600,PR!$BE$662,"-"))))))))))))))))))))))))))))))))))))))))))))))))))))))))))))</f>
        <v>0</v>
      </c>
      <c r="E771" s="602">
        <f>IF($S$758=541,PR!$BF$599,IF($S$758=542,PR!$BF$600,IF($S$758=543,PR!$BF$601,IF($S$758=544,PR!$BF$602,IF($S$758=545,PR!$BF$603,IF($S$758=546,PR!$BF$604,IF($S$758=547,PR!$BF$605,IF($S$758=548,PR!$BF$606,IF($S$758=549,PR!$BF$607,IF($S$758=550,PR!$BF$608,IF($S$758=551,PR!$BF$609,IF($S$758=552,PR!$BF$610,IF($S$758=553,PR!$BF$611,IF($S$758=554,PR!$BF$612,IF($S$758=555,PR!$BF$613,IF($S$758=556,PR!$BF$614,IF($S$758=557,PR!$BF$615,IF($S$758=558,PR!$BF$616,IF($S$758=559,PR!$BF$617,IF($S$758=560,PR!$BF$618,IF($S$758=561,PR!$BF$619,IF($S$758=562,PR!$BF$620,IF($S$758=563,PR!$BF$621,IF($S$758=564,PR!$BF$622,IF($S$758=565,PR!$BF$623,IF($S$758=566,PR!$BF$624,IF($S$758=567,PR!$BF$625,IF($S$758=568,PR!$BF$626,IF($S$758=569,PR!$BF$627,IF($S$758=570,PR!$BF$632,IF($S$758=571,PR!$BF$633,IF($S$758=572,PR!$BF$634,IF($S$758=573,PR!$BF$635,IF($S$758=574,PR!$BF$636,IF($S$758=575,PR!$BF$637,IF($S$758=576,PR!$BF$638,IF($S$758=577,PR!$BF$639,IF($S$758=578,PR!$BF$640,IF($S$758=579,PR!$BF$641,IF($S$758=580,PR!$BF$642,IF($S$758=581,PR!$BF$643,IF($S$758=582,PR!$BF$644,IF($S$758=583,PR!$BF$645,IF($S$758=584,PR!$BF$646,IF($S$758=585,PR!$BF$647,IF($S$758=586,PR!$BF$648,IF($S$758=587,PR!$BF$649,IF($S$758=588,PR!$BF$650,IF($S$758=589,PR!$BF$651,IF($S$758=590,PR!$BF$652,IF($S$758=591,PR!$BF$653,IF($S$758=592,PR!$BF$654,IF($S$758=593,PR!$BF$655,IF($S$758=594,PR!$BF$656,IF($S$758=595,PR!$BF$657,IF($S$758=596,PR!$BF$658,IF($S$758=597,PR!$BF$659,IF($S$758=598,PR!$BF$660,IF($S$758=599,PR!$BF$661,IF($S$758=600,PR!$BF$662,"-"))))))))))))))))))))))))))))))))))))))))))))))))))))))))))))</f>
        <v>0</v>
      </c>
      <c r="F771" s="602">
        <f>IF($S$758=541,PR!$BG$599,IF($S$758=542,PR!$BG$600,IF($S$758=543,PR!$BG$601,IF($S$758=544,PR!$BG$602,IF($S$758=545,PR!$BG$603,IF($S$758=546,PR!$BG$604,IF($S$758=547,PR!$BG$605,IF($S$758=548,PR!$BG$606,IF($S$758=549,PR!$BG$607,IF($S$758=550,PR!$BG$608,IF($S$758=551,PR!$BG$609,IF($S$758=552,PR!$BG$610,IF($S$758=553,PR!$BG$611,IF($S$758=554,PR!$BG$612,IF($S$758=555,PR!$BG$613,IF($S$758=556,PR!$BG$614,IF($S$758=557,PR!$BG$615,IF($S$758=558,PR!$BG$616,IF($S$758=559,PR!$BG$617,IF($S$758=560,PR!$BG$618,IF($S$758=561,PR!$BG$619,IF($S$758=562,PR!$BG$620,IF($S$758=563,PR!$BG$621,IF($S$758=564,PR!$BG$622,IF($S$758=565,PR!$BG$623,IF($S$758=566,PR!$BG$624,IF($S$758=567,PR!$BG$625,IF($S$758=568,PR!$BG$626,IF($S$758=569,PR!$BG$627,IF($S$758=570,PR!$BG$632,IF($S$758=571,PR!$BG$633,IF($S$758=572,PR!$BG$634,IF($S$758=573,PR!$BG$635,IF($S$758=574,PR!$BG$636,IF($S$758=575,PR!$BG$637,IF($S$758=576,PR!$BG$638,IF($S$758=577,PR!$BG$639,IF($S$758=578,PR!$BG$640,IF($S$758=579,PR!$BG$641,IF($S$758=580,PR!$BG$642,IF($S$758=581,PR!$BG$643,IF($S$758=582,PR!$BG$644,IF($S$758=583,PR!$BG$645,IF($S$758=584,PR!$BG$646,IF($S$758=585,PR!$BG$647,IF($S$758=586,PR!$BG$648,IF($S$758=587,PR!$BG$649,IF($S$758=588,PR!$BG$650,IF($S$758=589,PR!$BG$651,IF($S$758=590,PR!$BG$652,IF($S$758=591,PR!$BG$653,IF($S$758=592,PR!$BG$654,IF($S$758=593,PR!$BG$655,IF($S$758=594,PR!$BG$656,IF($S$758=595,PR!$BG$657,IF($S$758=596,PR!$BG$658,IF($S$758=597,PR!$BG$659,IF($S$758=598,PR!$BG$660,IF($S$758=599,PR!$BG$661,IF($S$758=600,PR!$BG$662,"-"))))))))))))))))))))))))))))))))))))))))))))))))))))))))))))</f>
        <v>0</v>
      </c>
      <c r="G771" s="602">
        <f>IF($S$758=541,PR!$BH$599,IF($S$758=542,PR!$BH$600,IF($S$758=543,PR!$BH$601,IF($S$758=544,PR!$BH$602,IF($S$758=545,PR!$BH$603,IF($S$758=546,PR!$BH$604,IF($S$758=547,PR!$BH$605,IF($S$758=548,PR!$BH$606,IF($S$758=549,PR!$BH$607,IF($S$758=550,PR!$BH$608,IF($S$758=551,PR!$BH$609,IF($S$758=552,PR!$BH$610,IF($S$758=553,PR!$BH$611,IF($S$758=554,PR!$BH$612,IF($S$758=555,PR!$BH$613,IF($S$758=556,PR!$BH$614,IF($S$758=557,PR!$BH$615,IF($S$758=558,PR!$BH$616,IF($S$758=559,PR!$BH$617,IF($S$758=560,PR!$BH$618,IF($S$758=561,PR!$BH$619,IF($S$758=562,PR!$BH$620,IF($S$758=563,PR!$BH$621,IF($S$758=564,PR!$BH$622,IF($S$758=565,PR!$BH$623,IF($S$758=566,PR!$BH$624,IF($S$758=567,PR!$BH$625,IF($S$758=568,PR!$BH$626,IF($S$758=569,PR!$BH$627,IF($S$758=570,PR!$BH$632,IF($S$758=571,PR!$BH$633,IF($S$758=572,PR!$BH$634,IF($S$758=573,PR!$BH$635,IF($S$758=574,PR!$BH$636,IF($S$758=575,PR!$BH$637,IF($S$758=576,PR!$BH$638,IF($S$758=577,PR!$BH$639,IF($S$758=578,PR!$BH$640,IF($S$758=579,PR!$BH$641,IF($S$758=580,PR!$BH$642,IF($S$758=581,PR!$BH$643,IF($S$758=582,PR!$BH$644,IF($S$758=583,PR!$BH$645,IF($S$758=584,PR!$BH$646,IF($S$758=585,PR!$BH$647,IF($S$758=586,PR!$BH$648,IF($S$758=587,PR!$BH$649,IF($S$758=588,PR!$BH$650,IF($S$758=589,PR!$BH$651,IF($S$758=590,PR!$BH$652,IF($S$758=591,PR!$BH$653,IF($S$758=592,PR!$BH$654,IF($S$758=593,PR!$BH$655,IF($S$758=594,PR!$BH$656,IF($S$758=595,PR!$BH$657,IF($S$758=596,PR!$BH$658,IF($S$758=597,PR!$BH$659,IF($S$758=598,PR!$BH$660,IF($S$758=599,PR!$BH$661,IF($S$758=600,PR!$BH$662,"-"))))))))))))))))))))))))))))))))))))))))))))))))))))))))))))</f>
        <v>0</v>
      </c>
      <c r="H771" s="602">
        <f>IF($S$758=541,PR!$BI$599,IF($S$758=542,PR!$BI$600,IF($S$758=543,PR!$BI$601,IF($S$758=544,PR!$BI$602,IF($S$758=545,PR!$BI$603,IF($S$758=546,PR!$BI$604,IF($S$758=547,PR!$BI$605,IF($S$758=548,PR!$BI$606,IF($S$758=549,PR!$BI$607,IF($S$758=550,PR!$BI$608,IF($S$758=551,PR!$BI$609,IF($S$758=552,PR!$BI$610,IF($S$758=553,PR!$BI$611,IF($S$758=554,PR!$BI$612,IF($S$758=555,PR!$BI$613,IF($S$758=556,PR!$BI$614,IF($S$758=557,PR!$BI$615,IF($S$758=558,PR!$BI$616,IF($S$758=559,PR!$BI$617,IF($S$758=560,PR!$BI$618,IF($S$758=561,PR!$BI$619,IF($S$758=562,PR!$BI$620,IF($S$758=563,PR!$BI$621,IF($S$758=564,PR!$BI$622,IF($S$758=565,PR!$BI$623,IF($S$758=566,PR!$BI$624,IF($S$758=567,PR!$BI$625,IF($S$758=568,PR!$BI$626,IF($S$758=569,PR!$BI$627,IF($S$758=570,PR!$BI$632,IF($S$758=571,PR!$BI$633,IF($S$758=572,PR!$BI$634,IF($S$758=573,PR!$BI$635,IF($S$758=574,PR!$BI$636,IF($S$758=575,PR!$BI$637,IF($S$758=576,PR!$BI$638,IF($S$758=577,PR!$BI$639,IF($S$758=578,PR!$BI$640,IF($S$758=579,PR!$BI$641,IF($S$758=580,PR!$BI$642,IF($S$758=581,PR!$BI$643,IF($S$758=582,PR!$BI$644,IF($S$758=583,PR!$BI$645,IF($S$758=584,PR!$BI$646,IF($S$758=585,PR!$BI$647,IF($S$758=586,PR!$BI$648,IF($S$758=587,PR!$BI$649,IF($S$758=588,PR!$BI$650,IF($S$758=589,PR!$BI$651,IF($S$758=590,PR!$BI$652,IF($S$758=591,PR!$BI$653,IF($S$758=592,PR!$BI$654,IF($S$758=593,PR!$BI$655,IF($S$758=594,PR!$BI$656,IF($S$758=595,PR!$BI$657,IF($S$758=596,PR!$BI$658,IF($S$758=597,PR!$BI$659,IF($S$758=598,PR!$BI$660,IF($S$758=599,PR!$BI$661,IF($S$758=600,PR!$BI$662,"-"))))))))))))))))))))))))))))))))))))))))))))))))))))))))))))</f>
        <v>0</v>
      </c>
      <c r="I771" s="602">
        <f>IF($S$758=541,PR!$BJ$599,IF($S$758=542,PR!$BJ$600,IF($S$758=543,PR!$BJ$601,IF($S$758=544,PR!$BJ$602,IF($S$758=545,PR!$BJ$603,IF($S$758=546,PR!$BJ$604,IF($S$758=547,PR!$BJ$605,IF($S$758=548,PR!$BJ$606,IF($S$758=549,PR!$BJ$607,IF($S$758=550,PR!$BJ$608,IF($S$758=551,PR!$BJ$609,IF($S$758=552,PR!$BJ$610,IF($S$758=553,PR!$BJ$611,IF($S$758=554,PR!$BJ$612,IF($S$758=555,PR!$BJ$613,IF($S$758=556,PR!$BJ$614,IF($S$758=557,PR!$BJ$615,IF($S$758=558,PR!$BJ$616,IF($S$758=559,PR!$BJ$617,IF($S$758=560,PR!$BJ$618,IF($S$758=561,PR!$BJ$619,IF($S$758=562,PR!$BJ$620,IF($S$758=563,PR!$BJ$621,IF($S$758=564,PR!$BJ$622,IF($S$758=565,PR!$BJ$623,IF($S$758=566,PR!$BJ$624,IF($S$758=567,PR!$BJ$625,IF($S$758=568,PR!$BJ$626,IF($S$758=569,PR!$BJ$627,IF($S$758=570,PR!$BJ$632,IF($S$758=571,PR!$BJ$633,IF($S$758=572,PR!$BJ$634,IF($S$758=573,PR!$BJ$635,IF($S$758=574,PR!$BJ$636,IF($S$758=575,PR!$BJ$637,IF($S$758=576,PR!$BJ$638,IF($S$758=577,PR!$BJ$639,IF($S$758=578,PR!$BJ$640,IF($S$758=579,PR!$BJ$641,IF($S$758=580,PR!$BJ$642,IF($S$758=581,PR!$BJ$643,IF($S$758=582,PR!$BJ$644,IF($S$758=583,PR!$BJ$645,IF($S$758=584,PR!$BJ$646,IF($S$758=585,PR!$BJ$647,IF($S$758=586,PR!$BJ$648,IF($S$758=587,PR!$BJ$649,IF($S$758=588,PR!$BJ$650,IF($S$758=589,PR!$BJ$651,IF($S$758=590,PR!$BJ$652,IF($S$758=591,PR!$BJ$653,IF($S$758=592,PR!$BJ$654,IF($S$758=593,PR!$BJ$655,IF($S$758=594,PR!$BJ$656,IF($S$758=595,PR!$BJ$657,IF($S$758=596,PR!$BJ$658,IF($S$758=597,PR!$BJ$659,IF($S$758=598,PR!$BJ$660,IF($S$758=599,PR!$BJ$661,IF($S$758=600,PR!$BJ$662,"-"))))))))))))))))))))))))))))))))))))))))))))))))))))))))))))</f>
        <v>0</v>
      </c>
      <c r="J771" s="602">
        <f>IF($S$758=541,PR!$BK$599,IF($S$758=542,PR!$BK$600,IF($S$758=543,PR!$BK$601,IF($S$758=544,PR!$BK$602,IF($S$758=545,PR!$BK$603,IF($S$758=546,PR!$BK$604,IF($S$758=547,PR!$BK$605,IF($S$758=548,PR!$BK$606,IF($S$758=549,PR!$BK$607,IF($S$758=550,PR!$BK$608,IF($S$758=551,PR!$BK$609,IF($S$758=552,PR!$BK$610,IF($S$758=553,PR!$BK$611,IF($S$758=554,PR!$BK$612,IF($S$758=555,PR!$BK$613,IF($S$758=556,PR!$BK$614,IF($S$758=557,PR!$BK$615,IF($S$758=558,PR!$BK$616,IF($S$758=559,PR!$BK$617,IF($S$758=560,PR!$BK$618,IF($S$758=561,PR!$BK$619,IF($S$758=562,PR!$BK$620,IF($S$758=563,PR!$BK$621,IF($S$758=564,PR!$BK$622,IF($S$758=565,PR!$BK$623,IF($S$758=566,PR!$BK$624,IF($S$758=567,PR!$BK$625,IF($S$758=568,PR!$BK$626,IF($S$758=569,PR!$BK$627,IF($S$758=570,PR!$BK$632,IF($S$758=571,PR!$BK$633,IF($S$758=572,PR!$BK$634,IF($S$758=573,PR!$BK$635,IF($S$758=574,PR!$BK$636,IF($S$758=575,PR!$BK$637,IF($S$758=576,PR!$BK$638,IF($S$758=577,PR!$BK$639,IF($S$758=578,PR!$BK$640,IF($S$758=579,PR!$BK$641,IF($S$758=580,PR!$BK$642,IF($S$758=581,PR!$BK$643,IF($S$758=582,PR!$BK$644,IF($S$758=583,PR!$BK$645,IF($S$758=584,PR!$BK$646,IF($S$758=585,PR!$BK$647,IF($S$758=586,PR!$BK$648,IF($S$758=587,PR!$BK$649,IF($S$758=588,PR!$BK$650,IF($S$758=589,PR!$BK$651,IF($S$758=590,PR!$BK$652,IF($S$758=591,PR!$BK$653,IF($S$758=592,PR!$BK$654,IF($S$758=593,PR!$BK$655,IF($S$758=594,PR!$BK$656,IF($S$758=595,PR!$BK$657,IF($S$758=596,PR!$BK$658,IF($S$758=597,PR!$BK$659,IF($S$758=598,PR!$BK$660,IF($S$758=599,PR!$BK$661,IF($S$758=600,PR!$BK$662,"-"))))))))))))))))))))))))))))))))))))))))))))))))))))))))))))</f>
        <v>0</v>
      </c>
      <c r="K771" s="602">
        <f>IF($S$758=541,PR!$BL$599,IF($S$758=542,PR!$BL$600,IF($S$758=543,PR!$BL$601,IF($S$758=544,PR!$BL$602,IF($S$758=545,PR!$BL$603,IF($S$758=546,PR!$BL$604,IF($S$758=547,PR!$BL$605,IF($S$758=548,PR!$BL$606,IF($S$758=549,PR!$BL$607,IF($S$758=550,PR!$BL$608,IF($S$758=551,PR!$BL$609,IF($S$758=552,PR!$BL$610,IF($S$758=553,PR!$BL$611,IF($S$758=554,PR!$BL$612,IF($S$758=555,PR!$BL$613,IF($S$758=556,PR!$BL$614,IF($S$758=557,PR!$BL$615,IF($S$758=558,PR!$BL$616,IF($S$758=559,PR!$BL$617,IF($S$758=560,PR!$BL$618,IF($S$758=561,PR!$BL$619,IF($S$758=562,PR!$BL$620,IF($S$758=563,PR!$BL$621,IF($S$758=564,PR!$BL$622,IF($S$758=565,PR!$BL$623,IF($S$758=566,PR!$BL$624,IF($S$758=567,PR!$BL$625,IF($S$758=568,PR!$BL$626,IF($S$758=569,PR!$BL$627,IF($S$758=570,PR!$BL$632,IF($S$758=571,PR!$BL$633,IF($S$758=572,PR!$BL$634,IF($S$758=573,PR!$BL$635,IF($S$758=574,PR!$BL$636,IF($S$758=575,PR!$BL$637,IF($S$758=576,PR!$BL$638,IF($S$758=577,PR!$BL$639,IF($S$758=578,PR!$BL$640,IF($S$758=579,PR!$BL$641,IF($S$758=580,PR!$BL$642,IF($S$758=581,PR!$BL$643,IF($S$758=582,PR!$BL$644,IF($S$758=583,PR!$BL$645,IF($S$758=584,PR!$BL$646,IF($S$758=585,PR!$BL$647,IF($S$758=586,PR!$BL$648,IF($S$758=587,PR!$BL$649,IF($S$758=588,PR!$BL$650,IF($S$758=589,PR!$BL$651,IF($S$758=590,PR!$BL$652,IF($S$758=591,PR!$BL$653,IF($S$758=592,PR!$BL$654,IF($S$758=593,PR!$BL$655,IF($S$758=594,PR!$BL$656,IF($S$758=595,PR!$BL$657,IF($S$758=596,PR!$BL$658,IF($S$758=597,PR!$BL$659,IF($S$758=598,PR!$BL$660,IF($S$758=599,PR!$BL$661,IF($S$758=600,PR!$BL$662,"-"))))))))))))))))))))))))))))))))))))))))))))))))))))))))))))</f>
        <v>0</v>
      </c>
      <c r="L771" s="602">
        <f>IF($S$758=541,PR!$BM$599,IF($S$758=542,PR!$BM$600,IF($S$758=543,PR!$BM$601,IF($S$758=544,PR!$BM$602,IF($S$758=545,PR!$BM$603,IF($S$758=546,PR!$BM$604,IF($S$758=547,PR!$BM$605,IF($S$758=548,PR!$BM$606,IF($S$758=549,PR!$BM$607,IF($S$758=550,PR!$BM$608,IF($S$758=551,PR!$BM$609,IF($S$758=552,PR!$BM$610,IF($S$758=553,PR!$BM$611,IF($S$758=554,PR!$BM$612,IF($S$758=555,PR!$BM$613,IF($S$758=556,PR!$BM$614,IF($S$758=557,PR!$BM$615,IF($S$758=558,PR!$BM$616,IF($S$758=559,PR!$BM$617,IF($S$758=560,PR!$BM$618,IF($S$758=561,PR!$BM$619,IF($S$758=562,PR!$BM$620,IF($S$758=563,PR!$BM$621,IF($S$758=564,PR!$BM$622,IF($S$758=565,PR!$BM$623,IF($S$758=566,PR!$BM$624,IF($S$758=567,PR!$BM$625,IF($S$758=568,PR!$BM$626,IF($S$758=569,PR!$BM$627,IF($S$758=570,PR!$BM$632,IF($S$758=571,PR!$BM$633,IF($S$758=572,PR!$BM$634,IF($S$758=573,PR!$BM$635,IF($S$758=574,PR!$BM$636,IF($S$758=575,PR!$BM$637,IF($S$758=576,PR!$BM$638,IF($S$758=577,PR!$BM$639,IF($S$758=578,PR!$BM$640,IF($S$758=579,PR!$BM$641,IF($S$758=580,PR!$BM$642,IF($S$758=581,PR!$BM$643,IF($S$758=582,PR!$BM$644,IF($S$758=583,PR!$BM$645,IF($S$758=584,PR!$BM$646,IF($S$758=585,PR!$BM$647,IF($S$758=586,PR!$BM$648,IF($S$758=587,PR!$BM$649,IF($S$758=588,PR!$BM$650,IF($S$758=589,PR!$BM$651,IF($S$758=590,PR!$BM$652,IF($S$758=591,PR!$BM$653,IF($S$758=592,PR!$BM$654,IF($S$758=593,PR!$BM$655,IF($S$758=594,PR!$BM$656,IF($S$758=595,PR!$BM$657,IF($S$758=596,PR!$BM$658,IF($S$758=597,PR!$BM$659,IF($S$758=598,PR!$BM$660,IF($S$758=599,PR!$BM$661,IF($S$758=600,PR!$BM$662,"-"))))))))))))))))))))))))))))))))))))))))))))))))))))))))))))</f>
        <v>0</v>
      </c>
      <c r="M771" s="602">
        <f>IF($S$758=541,PR!$BN$599,IF($S$758=542,PR!$BN$600,IF($S$758=543,PR!$BN$601,IF($S$758=544,PR!$BN$602,IF($S$758=545,PR!$BN$603,IF($S$758=546,PR!$BN$604,IF($S$758=547,PR!$BN$605,IF($S$758=548,PR!$BN$606,IF($S$758=549,PR!$BN$607,IF($S$758=550,PR!$BN$608,IF($S$758=551,PR!$BN$609,IF($S$758=552,PR!$BN$610,IF($S$758=553,PR!$BN$611,IF($S$758=554,PR!$BN$612,IF($S$758=555,PR!$BN$613,IF($S$758=556,PR!$BN$614,IF($S$758=557,PR!$BN$615,IF($S$758=558,PR!$BN$616,IF($S$758=559,PR!$BN$617,IF($S$758=560,PR!$BN$618,IF($S$758=561,PR!$BN$619,IF($S$758=562,PR!$BN$620,IF($S$758=563,PR!$BN$621,IF($S$758=564,PR!$BN$622,IF($S$758=565,PR!$BN$623,IF($S$758=566,PR!$BN$624,IF($S$758=567,PR!$BN$625,IF($S$758=568,PR!$BN$626,IF($S$758=569,PR!$BN$627,IF($S$758=570,PR!$BN$632,IF($S$758=571,PR!$BN$633,IF($S$758=572,PR!$BN$634,IF($S$758=573,PR!$BN$635,IF($S$758=574,PR!$BN$636,IF($S$758=575,PR!$BN$637,IF($S$758=576,PR!$BN$638,IF($S$758=577,PR!$BN$639,IF($S$758=578,PR!$BN$640,IF($S$758=579,PR!$BN$641,IF($S$758=580,PR!$BN$642,IF($S$758=581,PR!$BN$643,IF($S$758=582,PR!$BN$644,IF($S$758=583,PR!$BN$645,IF($S$758=584,PR!$BN$646,IF($S$758=585,PR!$BN$647,IF($S$758=586,PR!$BN$648,IF($S$758=587,PR!$BN$649,IF($S$758=588,PR!$BN$650,IF($S$758=589,PR!$BN$651,IF($S$758=590,PR!$BN$652,IF($S$758=591,PR!$BN$653,IF($S$758=592,PR!$BN$654,IF($S$758=593,PR!$BN$655,IF($S$758=594,PR!$BN$656,IF($S$758=595,PR!$BN$657,IF($S$758=596,PR!$BN$658,IF($S$758=597,PR!$BN$659,IF($S$758=598,PR!$BN$660,IF($S$758=599,PR!$BN$661,IF($S$758=600,PR!$BN$662,"-"))))))))))))))))))))))))))))))))))))))))))))))))))))))))))))</f>
        <v>0</v>
      </c>
      <c r="N771" s="602">
        <f>IF($S$758=541,PR!$BO$599,IF($S$758=542,PR!$BO$600,IF($S$758=543,PR!$BO$601,IF($S$758=544,PR!$BO$602,IF($S$758=545,PR!$BO$603,IF($S$758=546,PR!$BO$604,IF($S$758=547,PR!$BO$605,IF($S$758=548,PR!$BO$606,IF($S$758=549,PR!$BO$607,IF($S$758=550,PR!$BO$608,IF($S$758=551,PR!$BO$609,IF($S$758=552,PR!$BO$610,IF($S$758=553,PR!$BO$611,IF($S$758=554,PR!$BO$612,IF($S$758=555,PR!$BO$613,IF($S$758=556,PR!$BO$614,IF($S$758=557,PR!$BO$615,IF($S$758=558,PR!$BO$616,IF($S$758=559,PR!$BO$617,IF($S$758=560,PR!$BO$618,IF($S$758=561,PR!$BO$619,IF($S$758=562,PR!$BO$620,IF($S$758=563,PR!$BO$621,IF($S$758=564,PR!$BO$622,IF($S$758=565,PR!$BO$623,IF($S$758=566,PR!$BO$624,IF($S$758=567,PR!$BO$625,IF($S$758=568,PR!$BO$626,IF($S$758=569,PR!$BO$627,IF($S$758=570,PR!$BO$632,IF($S$758=571,PR!$BO$633,IF($S$758=572,PR!$BO$634,IF($S$758=573,PR!$BO$635,IF($S$758=574,PR!$BO$636,IF($S$758=575,PR!$BO$637,IF($S$758=576,PR!$BO$638,IF($S$758=577,PR!$BO$639,IF($S$758=578,PR!$BO$640,IF($S$758=579,PR!$BO$641,IF($S$758=580,PR!$BO$642,IF($S$758=581,PR!$BO$643,IF($S$758=582,PR!$BO$644,IF($S$758=583,PR!$BO$645,IF($S$758=584,PR!$BO$646,IF($S$758=585,PR!$BO$647,IF($S$758=586,PR!$BO$648,IF($S$758=587,PR!$BO$649,IF($S$758=588,PR!$BO$650,IF($S$758=589,PR!$BO$651,IF($S$758=590,PR!$BO$652,IF($S$758=591,PR!$BO$653,IF($S$758=592,PR!$BO$654,IF($S$758=593,PR!$BO$655,IF($S$758=594,PR!$BO$656,IF($S$758=595,PR!$BO$657,IF($S$758=596,PR!$BO$658,IF($S$758=597,PR!$BO$659,IF($S$758=598,PR!$BO$660,IF($S$758=599,PR!$BO$661,IF($S$758=600,PR!$BO$662,"-"))))))))))))))))))))))))))))))))))))))))))))))))))))))))))))</f>
        <v>0</v>
      </c>
      <c r="O771" s="602">
        <f>IF($S$758=541,PR!$BP$599,IF($S$758=542,PR!$BP$600,IF($S$758=543,PR!$BP$601,IF($S$758=544,PR!$BP$602,IF($S$758=545,PR!$BP$603,IF($S$758=546,PR!$BP$604,IF($S$758=547,PR!$BP$605,IF($S$758=548,PR!$BP$606,IF($S$758=549,PR!$BP$607,IF($S$758=550,PR!$BP$608,IF($S$758=551,PR!$BP$609,IF($S$758=552,PR!$BP$610,IF($S$758=553,PR!$BP$611,IF($S$758=554,PR!$BP$612,IF($S$758=555,PR!$BP$613,IF($S$758=556,PR!$BP$614,IF($S$758=557,PR!$BP$615,IF($S$758=558,PR!$BP$616,IF($S$758=559,PR!$BP$617,IF($S$758=560,PR!$BP$618,IF($S$758=561,PR!$BP$619,IF($S$758=562,PR!$BP$620,IF($S$758=563,PR!$BP$621,IF($S$758=564,PR!$BP$622,IF($S$758=565,PR!$BP$623,IF($S$758=566,PR!$BP$624,IF($S$758=567,PR!$BP$625,IF($S$758=568,PR!$BP$626,IF($S$758=569,PR!$BP$627,IF($S$758=570,PR!$BP$632,IF($S$758=571,PR!$BP$633,IF($S$758=572,PR!$BP$634,IF($S$758=573,PR!$BP$635,IF($S$758=574,PR!$BP$636,IF($S$758=575,PR!$BP$637,IF($S$758=576,PR!$BP$638,IF($S$758=577,PR!$BP$639,IF($S$758=578,PR!$BP$640,IF($S$758=579,PR!$BP$641,IF($S$758=580,PR!$BP$642,IF($S$758=581,PR!$BP$643,IF($S$758=582,PR!$BP$644,IF($S$758=583,PR!$BP$645,IF($S$758=584,PR!$BP$646,IF($S$758=585,PR!$BP$647,IF($S$758=586,PR!$BP$648,IF($S$758=587,PR!$BP$649,IF($S$758=588,PR!$BP$650,IF($S$758=589,PR!$BP$651,IF($S$758=590,PR!$BP$652,IF($S$758=591,PR!$BP$653,IF($S$758=592,PR!$BP$654,IF($S$758=593,PR!$BP$655,IF($S$758=594,PR!$BP$656,IF($S$758=595,PR!$BP$657,IF($S$758=596,PR!$BP$658,IF($S$758=597,PR!$BP$659,IF($S$758=598,PR!$BP$660,IF($S$758=599,PR!$BP$661,IF($S$758=600,PR!$BP$662,"-"))))))))))))))))))))))))))))))))))))))))))))))))))))))))))))</f>
        <v>0</v>
      </c>
      <c r="P771" s="602">
        <f>IF($S$758=541,PR!$BQ$599,IF($S$758=542,PR!$BQ$600,IF($S$758=543,PR!$BQ$601,IF($S$758=544,PR!$BQ$602,IF($S$758=545,PR!$BQ$603,IF($S$758=546,PR!$BQ$604,IF($S$758=547,PR!$BQ$605,IF($S$758=548,PR!$BQ$606,IF($S$758=549,PR!$BQ$607,IF($S$758=550,PR!$BQ$608,IF($S$758=551,PR!$BQ$609,IF($S$758=552,PR!$BQ$610,IF($S$758=553,PR!$BQ$611,IF($S$758=554,PR!$BQ$612,IF($S$758=555,PR!$BQ$613,IF($S$758=556,PR!$BQ$614,IF($S$758=557,PR!$BQ$615,IF($S$758=558,PR!$BQ$616,IF($S$758=559,PR!$BQ$617,IF($S$758=560,PR!$BQ$618,IF($S$758=561,PR!$BQ$619,IF($S$758=562,PR!$BQ$620,IF($S$758=563,PR!$BQ$621,IF($S$758=564,PR!$BQ$622,IF($S$758=565,PR!$BQ$623,IF($S$758=566,PR!$BQ$624,IF($S$758=567,PR!$BQ$625,IF($S$758=568,PR!$BQ$626,IF($S$758=569,PR!$BQ$627,IF($S$758=570,PR!$BQ$632,IF($S$758=571,PR!$BQ$633,IF($S$758=572,PR!$BQ$634,IF($S$758=573,PR!$BQ$635,IF($S$758=574,PR!$BQ$636,IF($S$758=575,PR!$BQ$637,IF($S$758=576,PR!$BQ$638,IF($S$758=577,PR!$BQ$639,IF($S$758=578,PR!$BQ$640,IF($S$758=579,PR!$BQ$641,IF($S$758=580,PR!$BQ$642,IF($S$758=581,PR!$BQ$643,IF($S$758=582,PR!$BQ$644,IF($S$758=583,PR!$BQ$645,IF($S$758=584,PR!$BQ$646,IF($S$758=585,PR!$BQ$647,IF($S$758=586,PR!$BQ$648,IF($S$758=587,PR!$BQ$649,IF($S$758=588,PR!$BQ$650,IF($S$758=589,PR!$BQ$651,IF($S$758=590,PR!$BQ$652,IF($S$758=591,PR!$BQ$653,IF($S$758=592,PR!$BQ$654,IF($S$758=593,PR!$BQ$655,IF($S$758=594,PR!$BQ$656,IF($S$758=595,PR!$BQ$657,IF($S$758=596,PR!$BQ$658,IF($S$758=597,PR!$BQ$659,IF($S$758=598,PR!$BQ$660,IF($S$758=599,PR!$BQ$661,IF($S$758=600,PR!$BQ$662,"-"))))))))))))))))))))))))))))))))))))))))))))))))))))))))))))</f>
        <v>0</v>
      </c>
      <c r="Q771" s="602">
        <f>IF($S$758=541,PR!$BR$599,IF($S$758=542,PR!$BR$600,IF($S$758=543,PR!$BR$601,IF($S$758=544,PR!$BR$602,IF($S$758=545,PR!$BR$603,IF($S$758=546,PR!$BR$604,IF($S$758=547,PR!$BR$605,IF($S$758=548,PR!$BR$606,IF($S$758=549,PR!$BR$607,IF($S$758=550,PR!$BR$608,IF($S$758=551,PR!$BR$609,IF($S$758=552,PR!$BR$610,IF($S$758=553,PR!$BR$611,IF($S$758=554,PR!$BR$612,IF($S$758=555,PR!$BR$613,IF($S$758=556,PR!$BR$614,IF($S$758=557,PR!$BR$615,IF($S$758=558,PR!$BR$616,IF($S$758=559,PR!$BR$617,IF($S$758=560,PR!$BR$618,IF($S$758=561,PR!$BR$619,IF($S$758=562,PR!$BR$620,IF($S$758=563,PR!$BR$621,IF($S$758=564,PR!$BR$622,IF($S$758=565,PR!$BR$623,IF($S$758=566,PR!$BR$624,IF($S$758=567,PR!$BR$625,IF($S$758=568,PR!$BR$626,IF($S$758=569,PR!$BR$627,IF($S$758=570,PR!$BR$632,IF($S$758=571,PR!$BR$633,IF($S$758=572,PR!$BR$634,IF($S$758=573,PR!$BR$635,IF($S$758=574,PR!$BR$636,IF($S$758=575,PR!$BR$637,IF($S$758=576,PR!$BR$638,IF($S$758=577,PR!$BR$639,IF($S$758=578,PR!$BR$640,IF($S$758=579,PR!$BR$641,IF($S$758=580,PR!$BR$642,IF($S$758=581,PR!$BR$643,IF($S$758=582,PR!$BR$644,IF($S$758=583,PR!$BR$645,IF($S$758=584,PR!$BR$646,IF($S$758=585,PR!$BR$647,IF($S$758=586,PR!$BR$648,IF($S$758=587,PR!$BR$649,IF($S$758=588,PR!$BR$650,IF($S$758=589,PR!$BR$651,IF($S$758=590,PR!$BR$652,IF($S$758=591,PR!$BR$653,IF($S$758=592,PR!$BR$654,IF($S$758=593,PR!$BR$655,IF($S$758=594,PR!$BR$656,IF($S$758=595,PR!$BR$657,IF($S$758=596,PR!$BR$658,IF($S$758=597,PR!$BR$659,IF($S$758=598,PR!$BR$660,IF($S$758=599,PR!$BR$661,IF($S$758=600,PR!$BR$662,"-"))))))))))))))))))))))))))))))))))))))))))))))))))))))))))))</f>
        <v>0</v>
      </c>
      <c r="R771" s="602">
        <f>IF($S$758=541,PR!$BS$599,IF($S$758=542,PR!$BS$600,IF($S$758=543,PR!$BS$601,IF($S$758=544,PR!$BS$602,IF($S$758=545,PR!$BS$603,IF($S$758=546,PR!$BS$604,IF($S$758=547,PR!$BS$605,IF($S$758=548,PR!$BS$606,IF($S$758=549,PR!$BS$607,IF($S$758=550,PR!$BS$608,IF($S$758=551,PR!$BS$609,IF($S$758=552,PR!$BS$610,IF($S$758=553,PR!$BS$611,IF($S$758=554,PR!$BS$612,IF($S$758=555,PR!$BS$613,IF($S$758=556,PR!$BS$614,IF($S$758=557,PR!$BS$615,IF($S$758=558,PR!$BS$616,IF($S$758=559,PR!$BS$617,IF($S$758=560,PR!$BS$618,IF($S$758=561,PR!$BS$619,IF($S$758=562,PR!$BS$620,IF($S$758=563,PR!$BS$621,IF($S$758=564,PR!$BS$622,IF($S$758=565,PR!$BS$623,IF($S$758=566,PR!$BS$624,IF($S$758=567,PR!$BS$625,IF($S$758=568,PR!$BS$626,IF($S$758=569,PR!$BS$627,IF($S$758=570,PR!$BS$632,IF($S$758=571,PR!$BS$633,IF($S$758=572,PR!$BS$634,IF($S$758=573,PR!$BS$635,IF($S$758=574,PR!$BS$636,IF($S$758=575,PR!$BS$637,IF($S$758=576,PR!$BS$638,IF($S$758=577,PR!$BS$639,IF($S$758=578,PR!$BS$640,IF($S$758=579,PR!$BS$641,IF($S$758=580,PR!$BS$642,IF($S$758=581,PR!$BS$643,IF($S$758=582,PR!$BS$644,IF($S$758=583,PR!$BS$645,IF($S$758=584,PR!$BS$646,IF($S$758=585,PR!$BS$647,IF($S$758=586,PR!$BS$648,IF($S$758=587,PR!$BS$649,IF($S$758=588,PR!$BS$650,IF($S$758=589,PR!$BS$651,IF($S$758=590,PR!$BS$652,IF($S$758=591,PR!$BS$653,IF($S$758=592,PR!$BS$654,IF($S$758=593,PR!$BS$655,IF($S$758=594,PR!$BS$656,IF($S$758=595,PR!$BS$657,IF($S$758=596,PR!$BS$658,IF($S$758=597,PR!$BS$659,IF($S$758=598,PR!$BS$660,IF($S$758=599,PR!$BS$661,IF($S$758=600,PR!$BS$662,"-"))))))))))))))))))))))))))))))))))))))))))))))))))))))))))))</f>
        <v>0</v>
      </c>
      <c r="S771" s="604"/>
      <c r="T771" s="91"/>
      <c r="U771" s="91"/>
      <c r="V771" s="32"/>
      <c r="W771" s="32"/>
      <c r="X771" s="32"/>
      <c r="Y771" s="32"/>
      <c r="Z771" s="32"/>
    </row>
    <row r="772" spans="1:26" ht="9" customHeight="1" x14ac:dyDescent="0.25">
      <c r="A772" s="91"/>
      <c r="B772" s="604"/>
      <c r="C772" s="603"/>
      <c r="D772" s="604"/>
      <c r="E772" s="604"/>
      <c r="F772" s="604"/>
      <c r="G772" s="604"/>
      <c r="H772" s="604"/>
      <c r="I772" s="604"/>
      <c r="J772" s="604"/>
      <c r="K772" s="604"/>
      <c r="L772" s="604"/>
      <c r="M772" s="604"/>
      <c r="N772" s="604"/>
      <c r="O772" s="604"/>
      <c r="P772" s="604"/>
      <c r="Q772" s="604"/>
      <c r="R772" s="605"/>
      <c r="S772" s="604"/>
      <c r="T772" s="91"/>
      <c r="U772" s="91"/>
      <c r="V772" s="32"/>
      <c r="W772" s="32"/>
      <c r="X772" s="32"/>
      <c r="Y772" s="32"/>
      <c r="Z772" s="32"/>
    </row>
    <row r="773" spans="1:26" ht="30" x14ac:dyDescent="0.25">
      <c r="A773" s="91"/>
      <c r="B773" s="604"/>
      <c r="C773" s="603"/>
      <c r="D773" s="604"/>
      <c r="E773" s="604"/>
      <c r="F773" s="604"/>
      <c r="G773" s="604"/>
      <c r="H773" s="604"/>
      <c r="I773" s="604"/>
      <c r="J773" s="604"/>
      <c r="K773" s="618" t="s">
        <v>783</v>
      </c>
      <c r="L773" s="619" t="s">
        <v>418</v>
      </c>
      <c r="M773" s="619" t="s">
        <v>419</v>
      </c>
      <c r="N773" s="620" t="s">
        <v>420</v>
      </c>
      <c r="O773" s="604"/>
      <c r="P773" s="604"/>
      <c r="Q773" s="604"/>
      <c r="R773" s="604"/>
      <c r="S773" s="604"/>
      <c r="T773" s="91"/>
      <c r="U773" s="91"/>
      <c r="V773" s="32"/>
      <c r="W773" s="32"/>
      <c r="X773" s="32"/>
      <c r="Y773" s="32"/>
      <c r="Z773" s="32"/>
    </row>
    <row r="774" spans="1:26" x14ac:dyDescent="0.25">
      <c r="A774" s="91"/>
      <c r="B774" s="604"/>
      <c r="C774" s="603"/>
      <c r="D774" s="604"/>
      <c r="E774" s="604"/>
      <c r="F774" s="604"/>
      <c r="G774" s="604"/>
      <c r="H774" s="604"/>
      <c r="I774" s="604"/>
      <c r="J774" s="604"/>
      <c r="K774" s="605" t="s">
        <v>785</v>
      </c>
      <c r="L774" s="604"/>
      <c r="M774" s="604"/>
      <c r="N774" s="604"/>
      <c r="O774" s="604"/>
      <c r="P774" s="604"/>
      <c r="Q774" s="604"/>
      <c r="R774" s="604"/>
      <c r="S774" s="604"/>
      <c r="T774" s="91"/>
      <c r="U774" s="91"/>
      <c r="V774" s="32"/>
      <c r="W774" s="32"/>
      <c r="X774" s="32"/>
      <c r="Y774" s="32"/>
      <c r="Z774" s="32"/>
    </row>
    <row r="775" spans="1:26" x14ac:dyDescent="0.25">
      <c r="A775" s="32"/>
      <c r="B775" s="32"/>
      <c r="C775" s="96"/>
      <c r="D775" s="32"/>
      <c r="E775" s="32"/>
      <c r="F775" s="32"/>
      <c r="G775" s="32"/>
      <c r="H775" s="32"/>
      <c r="I775" s="32"/>
      <c r="J775" s="32"/>
      <c r="K775" s="97">
        <v>541</v>
      </c>
      <c r="L775" s="98" t="s">
        <v>820</v>
      </c>
      <c r="M775" s="99"/>
      <c r="N775" s="100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x14ac:dyDescent="0.25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97">
        <f>1+K775</f>
        <v>542</v>
      </c>
      <c r="L776" s="98" t="s">
        <v>820</v>
      </c>
      <c r="M776" s="99"/>
      <c r="N776" s="100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x14ac:dyDescent="0.25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97">
        <f t="shared" ref="K777:K834" si="10">1+K776</f>
        <v>543</v>
      </c>
      <c r="L777" s="98" t="s">
        <v>820</v>
      </c>
      <c r="M777" s="99"/>
      <c r="N777" s="100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x14ac:dyDescent="0.25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97">
        <f t="shared" si="10"/>
        <v>544</v>
      </c>
      <c r="L778" s="98"/>
      <c r="M778" s="99"/>
      <c r="N778" s="100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x14ac:dyDescent="0.25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97">
        <f t="shared" si="10"/>
        <v>545</v>
      </c>
      <c r="L779" s="98" t="s">
        <v>820</v>
      </c>
      <c r="M779" s="99"/>
      <c r="N779" s="100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x14ac:dyDescent="0.25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97">
        <f t="shared" si="10"/>
        <v>546</v>
      </c>
      <c r="L780" s="98" t="s">
        <v>820</v>
      </c>
      <c r="M780" s="99"/>
      <c r="N780" s="100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x14ac:dyDescent="0.25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97">
        <f t="shared" si="10"/>
        <v>547</v>
      </c>
      <c r="L781" s="98"/>
      <c r="M781" s="99"/>
      <c r="N781" s="100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x14ac:dyDescent="0.25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97">
        <f t="shared" si="10"/>
        <v>548</v>
      </c>
      <c r="L782" s="98" t="s">
        <v>1231</v>
      </c>
      <c r="M782" s="99"/>
      <c r="N782" s="100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x14ac:dyDescent="0.25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97">
        <f t="shared" si="10"/>
        <v>549</v>
      </c>
      <c r="L783" s="98" t="s">
        <v>820</v>
      </c>
      <c r="M783" s="99"/>
      <c r="N783" s="100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x14ac:dyDescent="0.25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97">
        <f t="shared" si="10"/>
        <v>550</v>
      </c>
      <c r="L784" s="98" t="s">
        <v>1231</v>
      </c>
      <c r="M784" s="99"/>
      <c r="N784" s="100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x14ac:dyDescent="0.25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97">
        <f t="shared" si="10"/>
        <v>551</v>
      </c>
      <c r="L785" s="98" t="s">
        <v>820</v>
      </c>
      <c r="M785" s="99" t="s">
        <v>1446</v>
      </c>
      <c r="N785" s="100" t="s">
        <v>1231</v>
      </c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x14ac:dyDescent="0.25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97">
        <f t="shared" si="10"/>
        <v>552</v>
      </c>
      <c r="L786" s="98" t="s">
        <v>820</v>
      </c>
      <c r="M786" s="99"/>
      <c r="N786" s="100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x14ac:dyDescent="0.25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97">
        <f t="shared" si="10"/>
        <v>553</v>
      </c>
      <c r="L787" s="98" t="s">
        <v>820</v>
      </c>
      <c r="M787" s="99"/>
      <c r="N787" s="100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x14ac:dyDescent="0.25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97">
        <f t="shared" si="10"/>
        <v>554</v>
      </c>
      <c r="L788" s="98" t="s">
        <v>1231</v>
      </c>
      <c r="M788" s="99"/>
      <c r="N788" s="100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x14ac:dyDescent="0.25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97">
        <f t="shared" si="10"/>
        <v>555</v>
      </c>
      <c r="L789" s="98" t="s">
        <v>820</v>
      </c>
      <c r="M789" s="99"/>
      <c r="N789" s="100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x14ac:dyDescent="0.25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97">
        <f t="shared" si="10"/>
        <v>556</v>
      </c>
      <c r="L790" s="98" t="s">
        <v>820</v>
      </c>
      <c r="M790" s="99"/>
      <c r="N790" s="100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x14ac:dyDescent="0.25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97">
        <f t="shared" si="10"/>
        <v>557</v>
      </c>
      <c r="L791" s="98"/>
      <c r="M791" s="99"/>
      <c r="N791" s="100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x14ac:dyDescent="0.25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97">
        <f t="shared" si="10"/>
        <v>558</v>
      </c>
      <c r="L792" s="98"/>
      <c r="M792" s="99"/>
      <c r="N792" s="100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x14ac:dyDescent="0.25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97">
        <f t="shared" si="10"/>
        <v>559</v>
      </c>
      <c r="L793" s="98" t="s">
        <v>820</v>
      </c>
      <c r="M793" s="99"/>
      <c r="N793" s="100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x14ac:dyDescent="0.25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97">
        <f t="shared" si="10"/>
        <v>560</v>
      </c>
      <c r="L794" s="98"/>
      <c r="M794" s="99"/>
      <c r="N794" s="100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x14ac:dyDescent="0.25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97">
        <f t="shared" si="10"/>
        <v>561</v>
      </c>
      <c r="L795" s="98" t="s">
        <v>820</v>
      </c>
      <c r="M795" s="99"/>
      <c r="N795" s="100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x14ac:dyDescent="0.25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97">
        <f t="shared" si="10"/>
        <v>562</v>
      </c>
      <c r="L796" s="98" t="s">
        <v>820</v>
      </c>
      <c r="M796" s="99"/>
      <c r="N796" s="100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x14ac:dyDescent="0.25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97">
        <f t="shared" si="10"/>
        <v>563</v>
      </c>
      <c r="L797" s="98" t="s">
        <v>820</v>
      </c>
      <c r="M797" s="99"/>
      <c r="N797" s="100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x14ac:dyDescent="0.25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97">
        <f t="shared" si="10"/>
        <v>564</v>
      </c>
      <c r="L798" s="98"/>
      <c r="M798" s="99"/>
      <c r="N798" s="100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x14ac:dyDescent="0.25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97">
        <f t="shared" si="10"/>
        <v>565</v>
      </c>
      <c r="L799" s="98" t="s">
        <v>820</v>
      </c>
      <c r="M799" s="99"/>
      <c r="N799" s="100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x14ac:dyDescent="0.25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97">
        <f t="shared" si="10"/>
        <v>566</v>
      </c>
      <c r="L800" s="98" t="s">
        <v>1243</v>
      </c>
      <c r="M800" s="99"/>
      <c r="N800" s="100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x14ac:dyDescent="0.25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97">
        <f t="shared" si="10"/>
        <v>567</v>
      </c>
      <c r="L801" s="98"/>
      <c r="M801" s="99"/>
      <c r="N801" s="100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x14ac:dyDescent="0.25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97">
        <f t="shared" si="10"/>
        <v>568</v>
      </c>
      <c r="L802" s="98"/>
      <c r="M802" s="99"/>
      <c r="N802" s="100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x14ac:dyDescent="0.25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97">
        <f t="shared" si="10"/>
        <v>569</v>
      </c>
      <c r="L803" s="98" t="s">
        <v>820</v>
      </c>
      <c r="M803" s="99"/>
      <c r="N803" s="100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x14ac:dyDescent="0.25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97">
        <f t="shared" si="10"/>
        <v>570</v>
      </c>
      <c r="L804" s="98" t="s">
        <v>821</v>
      </c>
      <c r="M804" s="99" t="s">
        <v>825</v>
      </c>
      <c r="N804" s="100" t="s">
        <v>1452</v>
      </c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x14ac:dyDescent="0.25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97">
        <f t="shared" si="10"/>
        <v>571</v>
      </c>
      <c r="L805" s="98" t="s">
        <v>821</v>
      </c>
      <c r="M805" s="99" t="s">
        <v>1452</v>
      </c>
      <c r="N805" s="100" t="s">
        <v>621</v>
      </c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x14ac:dyDescent="0.25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97">
        <f t="shared" si="10"/>
        <v>572</v>
      </c>
      <c r="L806" s="98" t="s">
        <v>825</v>
      </c>
      <c r="M806" s="99" t="s">
        <v>817</v>
      </c>
      <c r="N806" s="100" t="s">
        <v>821</v>
      </c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x14ac:dyDescent="0.25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97">
        <f t="shared" si="10"/>
        <v>573</v>
      </c>
      <c r="L807" s="98" t="s">
        <v>825</v>
      </c>
      <c r="M807" s="99" t="s">
        <v>817</v>
      </c>
      <c r="N807" s="100" t="s">
        <v>821</v>
      </c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x14ac:dyDescent="0.25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97">
        <f t="shared" si="10"/>
        <v>574</v>
      </c>
      <c r="L808" s="98" t="s">
        <v>821</v>
      </c>
      <c r="M808" s="99" t="s">
        <v>825</v>
      </c>
      <c r="N808" s="100" t="s">
        <v>1452</v>
      </c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x14ac:dyDescent="0.25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97">
        <f t="shared" si="10"/>
        <v>575</v>
      </c>
      <c r="L809" s="98" t="s">
        <v>821</v>
      </c>
      <c r="M809" s="99" t="s">
        <v>1452</v>
      </c>
      <c r="N809" s="100" t="s">
        <v>623</v>
      </c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x14ac:dyDescent="0.25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97">
        <f t="shared" si="10"/>
        <v>576</v>
      </c>
      <c r="L810" s="98" t="s">
        <v>1452</v>
      </c>
      <c r="M810" s="99" t="s">
        <v>821</v>
      </c>
      <c r="N810" s="100" t="s">
        <v>623</v>
      </c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x14ac:dyDescent="0.25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97">
        <f t="shared" si="10"/>
        <v>577</v>
      </c>
      <c r="L811" s="98" t="s">
        <v>825</v>
      </c>
      <c r="M811" s="99" t="s">
        <v>821</v>
      </c>
      <c r="N811" s="100" t="s">
        <v>817</v>
      </c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x14ac:dyDescent="0.25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97">
        <f t="shared" si="10"/>
        <v>578</v>
      </c>
      <c r="L812" s="98" t="s">
        <v>821</v>
      </c>
      <c r="M812" s="99" t="s">
        <v>817</v>
      </c>
      <c r="N812" s="100" t="s">
        <v>825</v>
      </c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x14ac:dyDescent="0.25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97">
        <f t="shared" si="10"/>
        <v>579</v>
      </c>
      <c r="L813" s="98" t="s">
        <v>821</v>
      </c>
      <c r="M813" s="99" t="s">
        <v>817</v>
      </c>
      <c r="N813" s="100" t="s">
        <v>1452</v>
      </c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x14ac:dyDescent="0.25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97">
        <f t="shared" si="10"/>
        <v>580</v>
      </c>
      <c r="L814" s="98" t="s">
        <v>621</v>
      </c>
      <c r="M814" s="99" t="s">
        <v>821</v>
      </c>
      <c r="N814" s="100" t="s">
        <v>817</v>
      </c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x14ac:dyDescent="0.25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97">
        <f t="shared" si="10"/>
        <v>581</v>
      </c>
      <c r="L815" s="98" t="s">
        <v>621</v>
      </c>
      <c r="M815" s="99" t="s">
        <v>821</v>
      </c>
      <c r="N815" s="100" t="s">
        <v>817</v>
      </c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x14ac:dyDescent="0.25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97">
        <f t="shared" si="10"/>
        <v>582</v>
      </c>
      <c r="L816" s="98" t="s">
        <v>621</v>
      </c>
      <c r="M816" s="99" t="s">
        <v>821</v>
      </c>
      <c r="N816" s="100" t="s">
        <v>817</v>
      </c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x14ac:dyDescent="0.25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97">
        <f t="shared" si="10"/>
        <v>583</v>
      </c>
      <c r="L817" s="98" t="s">
        <v>821</v>
      </c>
      <c r="M817" s="99" t="s">
        <v>621</v>
      </c>
      <c r="N817" s="100" t="s">
        <v>817</v>
      </c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x14ac:dyDescent="0.25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97">
        <f t="shared" si="10"/>
        <v>584</v>
      </c>
      <c r="L818" s="98" t="s">
        <v>821</v>
      </c>
      <c r="M818" s="99" t="s">
        <v>825</v>
      </c>
      <c r="N818" s="100" t="s">
        <v>1452</v>
      </c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x14ac:dyDescent="0.25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97">
        <f t="shared" si="10"/>
        <v>585</v>
      </c>
      <c r="L819" s="98" t="s">
        <v>825</v>
      </c>
      <c r="M819" s="99" t="s">
        <v>821</v>
      </c>
      <c r="N819" s="100" t="s">
        <v>1452</v>
      </c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x14ac:dyDescent="0.25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97">
        <f t="shared" si="10"/>
        <v>586</v>
      </c>
      <c r="L820" s="98" t="s">
        <v>825</v>
      </c>
      <c r="M820" s="99" t="s">
        <v>817</v>
      </c>
      <c r="N820" s="100" t="s">
        <v>821</v>
      </c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x14ac:dyDescent="0.25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97">
        <f t="shared" si="10"/>
        <v>587</v>
      </c>
      <c r="L821" s="98" t="s">
        <v>817</v>
      </c>
      <c r="M821" s="99" t="s">
        <v>1452</v>
      </c>
      <c r="N821" s="100" t="s">
        <v>821</v>
      </c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x14ac:dyDescent="0.25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97">
        <f t="shared" si="10"/>
        <v>588</v>
      </c>
      <c r="L822" s="98" t="s">
        <v>817</v>
      </c>
      <c r="M822" s="99" t="s">
        <v>821</v>
      </c>
      <c r="N822" s="100" t="s">
        <v>825</v>
      </c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x14ac:dyDescent="0.25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97">
        <f t="shared" si="10"/>
        <v>589</v>
      </c>
      <c r="L823" s="98" t="s">
        <v>634</v>
      </c>
      <c r="M823" s="99" t="s">
        <v>821</v>
      </c>
      <c r="N823" s="100" t="s">
        <v>1452</v>
      </c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x14ac:dyDescent="0.25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97">
        <f t="shared" si="10"/>
        <v>590</v>
      </c>
      <c r="L824" s="98" t="s">
        <v>825</v>
      </c>
      <c r="M824" s="99" t="s">
        <v>1452</v>
      </c>
      <c r="N824" s="100" t="s">
        <v>821</v>
      </c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x14ac:dyDescent="0.25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97">
        <f t="shared" si="10"/>
        <v>591</v>
      </c>
      <c r="L825" s="98" t="s">
        <v>825</v>
      </c>
      <c r="M825" s="99" t="s">
        <v>817</v>
      </c>
      <c r="N825" s="100" t="s">
        <v>821</v>
      </c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x14ac:dyDescent="0.25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97">
        <f t="shared" si="10"/>
        <v>592</v>
      </c>
      <c r="L826" s="98" t="s">
        <v>825</v>
      </c>
      <c r="M826" s="99" t="s">
        <v>817</v>
      </c>
      <c r="N826" s="100" t="s">
        <v>1452</v>
      </c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x14ac:dyDescent="0.25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97">
        <f t="shared" si="10"/>
        <v>593</v>
      </c>
      <c r="L827" s="98" t="s">
        <v>821</v>
      </c>
      <c r="M827" s="99" t="s">
        <v>817</v>
      </c>
      <c r="N827" s="100" t="s">
        <v>1452</v>
      </c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x14ac:dyDescent="0.25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97">
        <f t="shared" si="10"/>
        <v>594</v>
      </c>
      <c r="L828" s="98" t="s">
        <v>1452</v>
      </c>
      <c r="M828" s="99" t="s">
        <v>821</v>
      </c>
      <c r="N828" s="100" t="s">
        <v>817</v>
      </c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x14ac:dyDescent="0.25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97">
        <f t="shared" si="10"/>
        <v>595</v>
      </c>
      <c r="L829" s="98" t="s">
        <v>1452</v>
      </c>
      <c r="M829" s="99" t="s">
        <v>821</v>
      </c>
      <c r="N829" s="100" t="s">
        <v>817</v>
      </c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x14ac:dyDescent="0.25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97">
        <f t="shared" si="10"/>
        <v>596</v>
      </c>
      <c r="L830" s="98" t="s">
        <v>1452</v>
      </c>
      <c r="M830" s="99" t="s">
        <v>821</v>
      </c>
      <c r="N830" s="100" t="s">
        <v>817</v>
      </c>
      <c r="O830" s="32"/>
      <c r="P830" s="32"/>
      <c r="Q830" s="32"/>
      <c r="R830" s="32"/>
      <c r="S830" s="32"/>
      <c r="T830" s="32"/>
      <c r="U830" s="32"/>
      <c r="V830" s="32"/>
      <c r="W830" s="32"/>
      <c r="X830" s="32"/>
    </row>
    <row r="831" spans="1:26" x14ac:dyDescent="0.25">
      <c r="B831" s="32"/>
      <c r="C831" s="32"/>
      <c r="D831" s="32"/>
      <c r="E831" s="32"/>
      <c r="F831" s="32"/>
      <c r="G831" s="32"/>
      <c r="H831" s="32"/>
      <c r="I831" s="32"/>
      <c r="J831" s="32"/>
      <c r="K831" s="97">
        <f t="shared" si="10"/>
        <v>597</v>
      </c>
      <c r="L831" s="98" t="s">
        <v>821</v>
      </c>
      <c r="M831" s="99" t="s">
        <v>1452</v>
      </c>
      <c r="N831" s="100" t="s">
        <v>817</v>
      </c>
      <c r="O831" s="32"/>
      <c r="P831" s="32"/>
      <c r="Q831" s="32"/>
      <c r="R831" s="32"/>
      <c r="S831" s="32"/>
      <c r="T831" s="32"/>
      <c r="U831" s="32"/>
      <c r="V831" s="32"/>
      <c r="W831" s="32"/>
      <c r="X831" s="32"/>
    </row>
    <row r="832" spans="1:26" x14ac:dyDescent="0.25">
      <c r="B832" s="32"/>
      <c r="C832" s="32"/>
      <c r="D832" s="32"/>
      <c r="E832" s="32"/>
      <c r="F832" s="32"/>
      <c r="G832" s="32"/>
      <c r="H832" s="32"/>
      <c r="I832" s="32"/>
      <c r="J832" s="32"/>
      <c r="K832" s="97">
        <f t="shared" si="10"/>
        <v>598</v>
      </c>
      <c r="L832" s="98" t="s">
        <v>821</v>
      </c>
      <c r="M832" s="99" t="s">
        <v>1452</v>
      </c>
      <c r="N832" s="100" t="s">
        <v>817</v>
      </c>
      <c r="O832" s="32"/>
      <c r="P832" s="32"/>
      <c r="Q832" s="32"/>
      <c r="R832" s="32"/>
      <c r="S832" s="32"/>
      <c r="T832" s="32"/>
      <c r="U832" s="32"/>
      <c r="V832" s="32"/>
      <c r="W832" s="32"/>
      <c r="X832" s="32"/>
    </row>
    <row r="833" spans="2:24" x14ac:dyDescent="0.25">
      <c r="B833" s="32"/>
      <c r="C833" s="32"/>
      <c r="D833" s="32"/>
      <c r="E833" s="32"/>
      <c r="F833" s="32"/>
      <c r="G833" s="32"/>
      <c r="H833" s="32"/>
      <c r="I833" s="32"/>
      <c r="J833" s="32"/>
      <c r="K833" s="97">
        <f t="shared" si="10"/>
        <v>599</v>
      </c>
      <c r="L833" s="98" t="s">
        <v>1452</v>
      </c>
      <c r="M833" s="99" t="s">
        <v>821</v>
      </c>
      <c r="N833" s="100" t="s">
        <v>817</v>
      </c>
      <c r="O833" s="32"/>
      <c r="P833" s="32"/>
      <c r="Q833" s="32"/>
      <c r="R833" s="32"/>
      <c r="S833" s="32"/>
      <c r="T833" s="32"/>
      <c r="U833" s="32"/>
      <c r="V833" s="32"/>
      <c r="W833" s="32"/>
      <c r="X833" s="32"/>
    </row>
    <row r="834" spans="2:24" x14ac:dyDescent="0.25">
      <c r="B834" s="32"/>
      <c r="C834" s="32"/>
      <c r="D834" s="32"/>
      <c r="E834" s="32"/>
      <c r="F834" s="32"/>
      <c r="G834" s="32"/>
      <c r="H834" s="32"/>
      <c r="I834" s="32"/>
      <c r="J834" s="32"/>
      <c r="K834" s="97">
        <f t="shared" si="10"/>
        <v>600</v>
      </c>
      <c r="L834" s="98" t="s">
        <v>1452</v>
      </c>
      <c r="M834" s="99" t="s">
        <v>821</v>
      </c>
      <c r="N834" s="100" t="s">
        <v>817</v>
      </c>
      <c r="O834" s="32"/>
      <c r="P834" s="32"/>
      <c r="Q834" s="32"/>
      <c r="R834" s="32"/>
      <c r="S834" s="32"/>
      <c r="T834" s="32"/>
      <c r="U834" s="32"/>
      <c r="V834" s="32"/>
      <c r="W834" s="32"/>
      <c r="X834" s="32"/>
    </row>
    <row r="835" spans="2:24" x14ac:dyDescent="0.25"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</row>
    <row r="836" spans="2:24" x14ac:dyDescent="0.25"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</row>
    <row r="837" spans="2:24" x14ac:dyDescent="0.25"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</row>
    <row r="838" spans="2:24" x14ac:dyDescent="0.25"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</row>
    <row r="839" spans="2:24" x14ac:dyDescent="0.25"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</row>
    <row r="840" spans="2:24" x14ac:dyDescent="0.25"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</row>
    <row r="841" spans="2:24" x14ac:dyDescent="0.25">
      <c r="F841" s="428"/>
      <c r="G841" s="427"/>
      <c r="J841" s="428" t="s">
        <v>2042</v>
      </c>
      <c r="V841" s="32"/>
      <c r="W841" s="32"/>
      <c r="X841" s="32"/>
    </row>
    <row r="842" spans="2:24" ht="36.75" thickBot="1" x14ac:dyDescent="0.6">
      <c r="B842" s="579"/>
      <c r="C842" s="580"/>
      <c r="D842" s="580"/>
      <c r="E842" s="580"/>
      <c r="F842" s="580"/>
      <c r="G842" s="580"/>
      <c r="H842" s="581" t="str">
        <f>IF($S$843&gt;=1055,"LOT 21 LABORATORY REQUIREMENT - OBADA ANNEX",IF($S$843&gt;=1039,"LOT 21 - LABORATORY REQUIREMENT - SHAJE ANNEX",IF($S$843&gt;=981,"LOT 20 - LABORATORY - CHEMICAL PATHOLOGY",IF($S$843&gt;=974,"LOT 19 - MICROBIOLOGY - INFECTION CONTROL",IF($S$843&gt;=957,"LOT 19 - MICROBIOLOGY - SENSITIVITY DISCS",IF($S$843&gt;=902,"LOT 18 - MICROBIOLOGY - REAGENT KITS",IF($S$843&gt;=846,"LOT 17 - HISTOPATHOLOGY",IF($S$843&gt;=760,"LOT 16 - HAEMATOLOGY",IF($S$843&gt;=722,"LOT 15 - THEATRE DEPARTMENT",IF($S$843&gt;=709,"LOT 14 - RADIOLOGY DEPARTMENT",IF($S$843&gt;=702,"LOT 13 - PHARMACY - CONSUMABLES - SUTURES",IF($S$843&gt;=684,"LOT 13 - PHARMACY - CONSUMABLES",IF($S$843&gt;=669,"LOT 13 PHARMACY - DISINFECTANTS",IF($S$843&gt;=651,"LOT 13 - PHARMACY - DERMATOLOGICAL PREPARATIONS",IF($S$843&gt;=570,"LOT 13 - PHARMACY - DRESSINGS/CONSUMABLES",IF($S$843&gt;=539,"LOT 12 - PHARMACY - ONCOLOGY DRUGS",IF($S$843&gt;=494,"LOT 11 - PHARMACY - EYE/EAR MEDICATIONS",IF($S$843&gt;=455,"LOT 10 - PHARMACY - RESPIRATORY TRACT DRUGS",IF($S$843&gt;=424,"LOT 9 - PHARMACY GASTROINTESTINAL DRUGS",IF($S$843&gt;=381,"LOT 8 - PHARMACY -OBSTETRICS/GYNAECOLOGY DRUGS",IF($S$843&gt;=351,"LOT 7 - PHARMACY - HYPNOSEDATIVE DRUGS",IF($S$843&gt;=285,"LOT 6 PHARMACY - BLOOD &amp; NUTRITIONAL DRUGS",IF($S$843&gt;=194,"LOT 5 - I589PHARMACY - ANTI-INFECTIVE AGENTS",IF($S$843&gt;=142,"LOT 4 - PHARMACY - ANTI-INFLAMMATORY/ANTI-PYRETIC/ANALGESICS",IF($S$843&gt;=118,"LOT 3 - PHARMACY - ORAL HYPOGLYCAEMIC DRUGS",IF($S$843&gt;=34,"LOT 3 - PHARMACY - ANTI-HYPERTENSIVES",IF($S$843&gt;=19,"LOT 2 - PHARMACY - STERILE INTRAVENOUS FLUIDS",IF($S$843&gt;=1,"LOT 1 - PHARMACY - ANTI-MALARIALS","-"))))))))))))))))))))))))))))</f>
        <v>LOT 13 - PHARMACY - DRESSINGS/CONSUMABLES</v>
      </c>
      <c r="I842" s="582"/>
      <c r="J842" s="580"/>
      <c r="K842" s="580"/>
      <c r="L842" s="580"/>
      <c r="M842" s="580"/>
      <c r="N842" s="580"/>
      <c r="O842" s="580"/>
      <c r="P842" s="580"/>
      <c r="Q842" s="580"/>
      <c r="R842" s="583"/>
      <c r="S842" s="580"/>
      <c r="T842" s="580"/>
      <c r="U842" s="580"/>
      <c r="V842" s="32"/>
      <c r="W842" s="32"/>
      <c r="X842" s="32"/>
    </row>
    <row r="843" spans="2:24" ht="35.25" customHeight="1" thickBot="1" x14ac:dyDescent="0.7">
      <c r="B843" s="584"/>
      <c r="C843" s="585" t="str">
        <f>IF($S$843=601,PR!$B$663,IF($S$843=602,PR!$B$664,IF($S$843=603,PR!$B$665,IF($S$843=604,PR!$B$666,IF($S$843=605,PR!$B$667,IF($S$843=606,PR!$B$668,IF($S$843=607,PR!$B$669,IF($S$843=608,PR!$B$670,IF($S$843=609,PR!$B$671,IF($S$843=610,PR!$B$672,IF($S$843=611,PR!$B$673,IF($S$843=612,PR!$B$674,IF($S$843=613,PR!$B$675,IF($S$843=614,PR!$B$676,IF($S$843=615,PR!$B$677,IF($S$843=616,PR!$B$678,IF($S$843=617,PR!$B$679,IF($S$843=618,PR!$B$680,IF($S$843=619,PR!$B$681,IF($S$843=620,PR!$B$682,IF($S$843=621,PR!$B$683,IF($S$843=622,PR!$B$684,IF($S$843=623,PR!$B$685,IF($S$843=624,PR!$B$686,IF($S$843=625,PR!$B$687,IF($S$843=626,PR!$B$688,IF($S$843=627,PR!$B$689,IF($S$843=628,PR!$B$690,IF($S$843=629,PR!$B$691,IF($S$843=630,PR!$B$692,IF($S$843=631,PR!$B$693,IF($S$843=632,PR!$B$694,IF($S$843=633,PR!$B$695,IF($S$843=634,PR!$B$696,IF($S$843=635,PR!$B$697,IF($S$843=636,PR!$B$698,IF($S$843=637,PR!$B$699,IF($S$843=638,PR!$B$700,IF($S$843=639,PR!$B$701,IF($S$843=640,PR!$B$702,IF($S$843=641,PR!$B$703,IF($S$843=642,PR!$B$704,IF($S$843=643,PR!$B$705,IF($S$843=644,PR!$B$706,IF($S$843=645,PR!$B$707,IF($S$843=646,PR!$B$708,IF($S$843=647,PR!$B$709,IF($S$843=648,PR!$B$710,IF($S$843=649,PR!$B$711,IF($S$843=650,PR!$B$712,IF($S$843=651,PR!$B$716,IF($S$843=652,PR!$B$717,IF($S$843=653,PR!$B$718,IF($S$843=654,PR!$B$719,IF($S$843=655,PR!$B$720,IF($S$843=656,PR!$B$721,IF($S$843=657,PR!$B$722,IF($S$843=658,PR!$B$723,IF($S$843=659,PR!$B$724,IF($S$843=660,PR!$B$725,"-"))))))))))))))))))))))))))))))))))))))))))))))))))))))))))))</f>
        <v>SKIN STAPLER</v>
      </c>
      <c r="D843" s="586"/>
      <c r="E843" s="586"/>
      <c r="F843" s="586"/>
      <c r="G843" s="586"/>
      <c r="H843" s="586"/>
      <c r="I843" s="586"/>
      <c r="J843" s="586"/>
      <c r="K843" s="586"/>
      <c r="L843" s="586"/>
      <c r="M843" s="586"/>
      <c r="N843" s="586"/>
      <c r="O843" s="586"/>
      <c r="P843" s="587"/>
      <c r="Q843" s="588"/>
      <c r="R843" s="583"/>
      <c r="S843" s="589">
        <v>634</v>
      </c>
      <c r="T843" s="580"/>
      <c r="U843" s="580"/>
      <c r="V843" s="32"/>
      <c r="W843" s="32"/>
      <c r="X843" s="32"/>
    </row>
    <row r="844" spans="2:24" ht="33" customHeight="1" thickBot="1" x14ac:dyDescent="0.7">
      <c r="B844" s="580"/>
      <c r="C844" s="590" t="s">
        <v>780</v>
      </c>
      <c r="D844" s="791" t="str">
        <f>IF($S$843=601,PR!$D$663,IF($S$843=602,PR!$D$664,IF($S$843=603,PR!$D$665,IF($S$843=604,PR!$D$666,IF($S$843=605,PR!$D$667,IF($S$843=606,PR!$D$668,IF($S$843=607,PR!$D$669,IF($S$843=608,PR!$D$670,IF($S$843=609,PR!$D$671,IF($S$843=610,PR!$D$672,IF($S$843=611,PR!$D$673,IF($S$843=612,PR!$D$674,IF($S$843=613,PR!$D$675,IF($S$843=614,PR!$D$676,IF($S$843=615,PR!$D$677,IF($S$843=616,PR!$D$678,IF($S$843=617,PR!$D$679,IF($S$843=618,PR!$D$680,IF($S$843=619,PR!$D$681,IF($S$843=620,PR!$D$682,IF($S$843=621,PR!$D$683,IF($S$843=622,PR!$D$684,IF($S$843=623,PR!$D$685,IF($S$843=624,PR!$D$686,IF($S$843=625,PR!$D$687,IF($S$843=626,PR!$D$688,IF($S$843=627,PR!$D$689,IF($S$843=628,PR!$D$690,IF($S$843=629,PR!$D$691,IF($S$843=630,PR!$D$692,IF($S$843=631,PR!$D$693,IF($S$843=632,PR!$D$694,IF($S$843=633,PR!$D$695,IF($S$843=634,PR!$D$696,IF($S$843=635,PR!$D$697,IF($S$843=636,PR!$D$698,IF($S$843=637,PR!$D$699,IF($S$843=638,PR!$D$700,IF($S$843=639,PR!$D$701,IF($S$843=640,PR!$D$702,IF($S$843=641,PR!$D$703,IF($S$843=642,PR!$D$704,IF($S$843=643,PR!$D$705,IF($S$843=644,PR!$D$706,IF($S$843=645,PR!$D$707,IF($S$843=646,PR!$D$708,IF($S$843=647,PR!$D$709,IF($S$843=648,PR!$D$710,IF($S$843=649,PR!$D$711,IF($S$843=650,PR!$D$712,IF($S$843=651,PR!$D$716,IF($S$843=652,PR!$D$717,IF($S$843=653,PR!$D$718,IF($S$843=654,PR!$D$719,IF($S$843=655,PR!$D$720,IF($S$843=656,PR!$D$721,IF($S$843=657,PR!$D$722,IF($S$843=658,PR!$D$723,IF($S$843=659,PR!$D$724,IF($S$843=660,PR!$D$725,"-"))))))))))))))))))))))))))))))))))))))))))))))))))))))))))))</f>
        <v>PCS</v>
      </c>
      <c r="E844" s="792"/>
      <c r="F844" s="793"/>
      <c r="G844" s="797" t="s">
        <v>781</v>
      </c>
      <c r="H844" s="797"/>
      <c r="I844" s="797"/>
      <c r="J844" s="797"/>
      <c r="K844" s="791">
        <f>IF($S$843=601,PR!$C$663,IF($S$843=602,PR!$C$664,IF($S$843=603,PR!$C$665,IF($S$843=604,PR!$C$666,IF($S$843=605,PR!$C$667,IF($S$843=606,PR!$C$668,IF($S$843=607,PR!$C$669,IF($S$843=608,PR!$C$670,IF($S$843=609,PR!$C$671,IF($S$843=610,PR!$C$672,IF($S$843=611,PR!$C$673,IF($S$843=612,PR!$C$674,IF($S$843=613,PR!$C$675,IF($S$843=614,PR!$C$676,IF($S$843=615,PR!$C$677,IF($S$843=616,PR!$C$678,IF($S$843=617,PR!$C$679,IF($S$843=618,PR!$C$680,IF($S$843=619,PR!$C$681,IF($S$843=620,PR!$C$682,IF($S$843=621,PR!$C$683,IF($S$843=622,PR!$C$684,IF($S$843=623,PR!$C$685,IF($S$843=624,PR!$C$686,IF($S$843=625,PR!$C$687,IF($S$843=626,PR!$C$688,IF($S$843=627,PR!$C$689,IF($S$843=628,PR!$C$690,IF($S$843=629,PR!$C$691,IF($S$843=630,PR!$C$692,IF($S$843=631,PR!$C$693,IF($S$843=632,PR!$C$694,IF($S$843=633,PR!$C$695,IF($S$843=634,PR!$C$696,IF($S$843=635,PR!$C$697,IF($S$843=636,PR!$C$698,IF($S$843=637,PR!$C$699,IF($S$843=638,PR!$C$700,IF($S$843=639,PR!$C$701,IF($S$843=640,PR!$C$702,IF($S$843=641,PR!$C$703,IF($S$843=642,PR!$C$704,IF($S$843=643,PR!$C$705,IF($S$843=644,PR!$C$706,IF($S$843=645,PR!$C$707,IF($S$843=646,PR!$C$708,IF($S$843=647,PR!$C$709,IF($S$843=648,PR!$C$710,IF($S$843=649,PR!$C$711,IF($S$843=650,PR!$C$712,IF($S$843=651,PR!$C$716,IF($S$843=652,PR!$C$717,IF($S$843=653,PR!$C$718,IF($S$843=654,PR!$C$719,IF($S$843=655,PR!$C$720,IF($S$843=656,PR!$C$721,IF($S$843=657,PR!$C$722,IF($S$843=658,PR!$C$723,IF($S$843=659,PR!$C$724,IF($S$843=660,PR!$C$725,"-"))))))))))))))))))))))))))))))))))))))))))))))))))))))))))))</f>
        <v>144</v>
      </c>
      <c r="L844" s="792"/>
      <c r="M844" s="792"/>
      <c r="N844" s="793"/>
      <c r="O844" s="580"/>
      <c r="P844" s="580"/>
      <c r="Q844" s="580"/>
      <c r="R844" s="583"/>
      <c r="S844" s="580"/>
      <c r="T844" s="580"/>
      <c r="U844" s="580"/>
      <c r="V844" s="32"/>
      <c r="W844" s="32"/>
      <c r="X844" s="32"/>
    </row>
    <row r="845" spans="2:24" ht="12" customHeight="1" thickTop="1" x14ac:dyDescent="0.25">
      <c r="B845" s="580"/>
      <c r="C845" s="591"/>
      <c r="D845" s="592"/>
      <c r="E845" s="580"/>
      <c r="F845" s="580"/>
      <c r="G845" s="593"/>
      <c r="H845" s="593"/>
      <c r="I845" s="593"/>
      <c r="J845" s="593"/>
      <c r="K845" s="594"/>
      <c r="L845" s="594"/>
      <c r="M845" s="580"/>
      <c r="N845" s="580"/>
      <c r="O845" s="580"/>
      <c r="P845" s="580"/>
      <c r="Q845" s="580"/>
      <c r="R845" s="583"/>
      <c r="S845" s="580"/>
      <c r="T845" s="580"/>
      <c r="U845" s="580"/>
      <c r="V845" s="32"/>
      <c r="W845" s="32"/>
      <c r="X845" s="32"/>
    </row>
    <row r="846" spans="2:24" ht="15.75" thickBot="1" x14ac:dyDescent="0.3">
      <c r="B846" s="595"/>
      <c r="C846" s="600" t="str">
        <f>N!$C$4</f>
        <v>ALPHA</v>
      </c>
      <c r="D846" s="600" t="str">
        <f>N!$C$5</f>
        <v>ASSENE</v>
      </c>
      <c r="E846" s="600" t="str">
        <f>N!$C$6</f>
        <v>BIOFEM</v>
      </c>
      <c r="F846" s="600" t="str">
        <f>N!$C$7</f>
        <v>BIOMED</v>
      </c>
      <c r="G846" s="600" t="str">
        <f>N!$C$8</f>
        <v>CHI</v>
      </c>
      <c r="H846" s="600" t="str">
        <f>N!$C$9</f>
        <v>CLARION</v>
      </c>
      <c r="I846" s="600" t="str">
        <f>N!$C$10</f>
        <v>CODIX</v>
      </c>
      <c r="J846" s="600" t="str">
        <f>N!$C$11</f>
        <v>COSMADE</v>
      </c>
      <c r="K846" s="600" t="str">
        <f>N!$C$12</f>
        <v>SANCON</v>
      </c>
      <c r="L846" s="600" t="str">
        <f>N!$C$13</f>
        <v>DEVON</v>
      </c>
      <c r="M846" s="600" t="str">
        <f>N!$C$14</f>
        <v>DORTEMAG</v>
      </c>
      <c r="N846" s="600" t="str">
        <f>N!$C$15</f>
        <v>DGF</v>
      </c>
      <c r="O846" s="601" t="str">
        <f>N!$C$16</f>
        <v>DYNAMIC</v>
      </c>
      <c r="P846" s="600" t="str">
        <f>N!$C$17</f>
        <v>EMZOR</v>
      </c>
      <c r="Q846" s="600" t="str">
        <f>N!$C$18</f>
        <v>EUMATT</v>
      </c>
      <c r="R846" s="600" t="str">
        <f>N!$C$19</f>
        <v>FIDSON</v>
      </c>
      <c r="S846" s="600" t="str">
        <f>N!$C$20</f>
        <v>FCGLOBAL</v>
      </c>
      <c r="T846" s="580"/>
      <c r="U846" s="580"/>
      <c r="V846" s="32"/>
      <c r="W846" s="32"/>
      <c r="X846" s="32"/>
    </row>
    <row r="847" spans="2:24" ht="15.75" thickBot="1" x14ac:dyDescent="0.3">
      <c r="B847" s="596"/>
      <c r="C847" s="602">
        <f>IF($S$843=601,PR!$E$663,IF($S$843=602,PR!$E$664,IF($S$843=603,PR!$E$665,IF($S$843=604,PR!$E$666,IF($S$843=605,PR!$E$667,IF($S$843=606,PR!$E$668,IF($S$843=607,PR!$E$669,IF($S$843=608,PR!$E$670,IF($S$843=609,PR!$E$671,IF($S$843=610,PR!$E$672,IF($S$843=611,PR!$E$673,IF($S$843=612,PR!$E$674,IF($S$843=613,PR!$E$675,IF($S$843=614,PR!$E$676,IF($S$843=615,PR!$E$677,IF($S$843=616,PR!$E$678,IF($S$843=617,PR!$E$679,IF($S$843=618,PR!$E$680,IF($S$843=619,PR!$E$681,IF($S$843=620,PR!$E$682,IF($S$843=621,PR!$E$683,IF($S$843=622,PR!$E$684,IF($S$843=623,PR!$E$685,IF($S$843=624,PR!$E$686,IF($S$843=625,PR!$E$687,IF($S$843=626,PR!$E$688,IF($S$843=627,PR!$E$689,IF($S$843=628,PR!$E$690,IF($S$843=629,PR!$E$691,IF($S$843=630,PR!$E$692,IF($S$843=631,PR!$E$693,IF($S$843=632,PR!$E$694,IF($S$843=633,PR!$E$695,IF($S$843=634,PR!$E$696,IF($S$843=635,PR!$E$697,IF($S$843=636,PR!$E$698,IF($S$843=637,PR!$E$699,IF($S$843=638,PR!$E$700,IF($S$843=639,PR!$E$701,IF($S$843=640,PR!$E$702,IF($S$843=641,PR!$E$703,IF($S$843=642,PR!$E$704,IF($S$843=643,PR!$E$705,IF($S$843=644,PR!$E$706,IF($S$843=645,PR!$E$707,IF($S$843=646,PR!$E$708,IF($S$843=647,PR!$E$709,IF($S$843=648,PR!$E$710,IF($S$843=649,PR!$E$711,IF($S$843=650,PR!$E$712,IF($S$843=651,PR!$E$716,IF($S$843=652,PR!$E$717,IF($S$843=653,PR!$E$718,IF($S$843=654,PR!$E$719,IF($S$843=655,PR!$E$720,IF($S$843=656,PR!$E$721,IF($S$843=657,PR!$E$722,IF($S$843=658,PR!$E$723,IF($S$843=659,PR!$E$724,IF($S$843=660,PR!$E$725,"-"))))))))))))))))))))))))))))))))))))))))))))))))))))))))))))</f>
        <v>0</v>
      </c>
      <c r="D847" s="602">
        <f>IF($S$843=601,PR!$F$663,IF($S$843=602,PR!$F$664,IF($S$843=603,PR!$F$665,IF($S$843=604,PR!$F$666,IF($S$843=605,PR!$F$667,IF($S$843=606,PR!$F$668,IF($S$843=607,PR!$F$669,IF($S$843=608,PR!$F$670,IF($S$843=609,PR!$F$671,IF($S$843=610,PR!$F$672,IF($S$843=611,PR!$F$673,IF($S$843=612,PR!$F$674,IF($S$843=613,PR!$F$675,IF($S$843=614,PR!$F$676,IF($S$843=615,PR!$F$677,IF($S$843=616,PR!$F$678,IF($S$843=617,PR!$F$679,IF($S$843=618,PR!$F$680,IF($S$843=619,PR!$F$681,IF($S$843=620,PR!$F$682,IF($S$843=621,PR!$F$683,IF($S$843=622,PR!$F$684,IF($S$843=623,PR!$F$685,IF($S$843=624,PR!$F$686,IF($S$843=625,PR!$F$687,IF($S$843=626,PR!$F$688,IF($S$843=627,PR!$F$689,IF($S$843=628,PR!$F$690,IF($S$843=629,PR!$F$691,IF($S$843=630,PR!$F$692,IF($S$843=631,PR!$F$693,IF($S$843=632,PR!$F$694,IF($S$843=633,PR!$F$695,IF($S$843=634,PR!$F$696,IF($S$843=635,PR!$F$697,IF($S$843=636,PR!$F$698,IF($S$843=637,PR!$F$699,IF($S$843=638,PR!$F$700,IF($S$843=639,PR!$F$701,IF($S$843=640,PR!$F$702,IF($S$843=641,PR!$F$703,IF($S$843=642,PR!$F$704,IF($S$843=643,PR!$F$705,IF($S$843=644,PR!$F$706,IF($S$843=645,PR!$F$707,IF($S$843=646,PR!$F$708,IF($S$843=647,PR!$F$709,IF($S$843=648,PR!$F$710,IF($S$843=649,PR!$F$711,IF($S$843=650,PR!$F$712,IF($S$843=651,PR!$F$716,IF($S$843=652,PR!$F$717,IF($S$843=653,PR!$F$718,IF($S$843=654,PR!$F$719,IF($S$843=655,PR!$F$720,IF($S$843=656,PR!$F$721,IF($S$843=657,PR!$F$722,IF($S$843=658,PR!$F$723,IF($S$843=659,PR!$F$724,IF($S$843=660,PR!$F$725,"-"))))))))))))))))))))))))))))))))))))))))))))))))))))))))))))</f>
        <v>0</v>
      </c>
      <c r="E847" s="602">
        <f>IF($S$843=601,PR!$G$663,IF($S$843=602,PR!$G$664,IF($S$843=603,PR!$G$665,IF($S$843=604,PR!$G$666,IF($S$843=605,PR!$G$667,IF($S$843=606,PR!$G$668,IF($S$843=607,PR!$G$669,IF($S$843=608,PR!$G$670,IF($S$843=609,PR!$G$671,IF($S$843=610,PR!$G$672,IF($S$843=611,PR!$G$673,IF($S$843=612,PR!$G$674,IF($S$843=613,PR!$G$675,IF($S$843=614,PR!$G$676,IF($S$843=615,PR!$G$677,IF($S$843=616,PR!$G$678,IF($S$843=617,PR!$G$679,IF($S$843=618,PR!$G$680,IF($S$843=619,PR!$G$681,IF($S$843=620,PR!$G$682,IF($S$843=621,PR!$G$683,IF($S$843=622,PR!$G$684,IF($S$843=623,PR!$G$685,IF($S$843=624,PR!$G$686,IF($S$843=625,PR!$G$687,IF($S$843=626,PR!$G$688,IF($S$843=627,PR!$G$689,IF($S$843=628,PR!$G$690,IF($S$843=629,PR!$G$691,IF($S$843=630,PR!$G$692,IF($S$843=631,PR!$G$693,IF($S$843=632,PR!$G$694,IF($S$843=633,PR!$G$695,IF($S$843=634,PR!$G$696,IF($S$843=635,PR!$G$697,IF($S$843=636,PR!$G$698,IF($S$843=637,PR!$G$699,IF($S$843=638,PR!$G$700,IF($S$843=639,PR!$G$701,IF($S$843=640,PR!$G$702,IF($S$843=641,PR!$G$703,IF($S$843=642,PR!$G$704,IF($S$843=643,PR!$G$705,IF($S$843=644,PR!$G$706,IF($S$843=645,PR!$G$707,IF($S$843=646,PR!$G$708,IF($S$843=647,PR!$G$709,IF($S$843=648,PR!$G$710,IF($S$843=649,PR!$G$711,IF($S$843=650,PR!$G$712,IF($S$843=651,PR!$G$716,IF($S$843=652,PR!$G$717,IF($S$843=653,PR!$G$718,IF($S$843=654,PR!$G$719,IF($S$843=655,PR!$G$720,IF($S$843=656,PR!$G$721,IF($S$843=657,PR!$G$722,IF($S$843=658,PR!$G$723,IF($S$843=659,PR!$G$724,IF($S$843=660,PR!$G$725,"-"))))))))))))))))))))))))))))))))))))))))))))))))))))))))))))</f>
        <v>0</v>
      </c>
      <c r="F847" s="602">
        <f>IF($S$843=601,PR!$H$663,IF($S$843=602,PR!$H$664,IF($S$843=603,PR!$H$665,IF($S$843=604,PR!$H$666,IF($S$843=605,PR!$H$667,IF($S$843=606,PR!$H$668,IF($S$843=607,PR!$H$669,IF($S$843=608,PR!$H$670,IF($S$843=609,PR!$H$671,IF($S$843=610,PR!$H$672,IF($S$843=611,PR!$H$673,IF($S$843=612,PR!$H$674,IF($S$843=613,PR!$H$675,IF($S$843=614,PR!$H$676,IF($S$843=615,PR!$H$677,IF($S$843=616,PR!$H$678,IF($S$843=617,PR!$H$679,IF($S$843=618,PR!$H$680,IF($S$843=619,PR!$H$681,IF($S$843=620,PR!$H$682,IF($S$843=621,PR!$H$683,IF($S$843=622,PR!$H$684,IF($S$843=623,PR!$H$685,IF($S$843=624,PR!$H$686,IF($S$843=625,PR!$H$687,IF($S$843=626,PR!$H$688,IF($S$843=627,PR!$H$689,IF($S$843=628,PR!$H$690,IF($S$843=629,PR!$H$691,IF($S$843=630,PR!$H$692,IF($S$843=631,PR!$H$693,IF($S$843=632,PR!$H$694,IF($S$843=633,PR!$H$695,IF($S$843=634,PR!$H$696,IF($S$843=635,PR!$H$697,IF($S$843=636,PR!$H$698,IF($S$843=637,PR!$H$699,IF($S$843=638,PR!$H$700,IF($S$843=639,PR!$H$701,IF($S$843=640,PR!$H$702,IF($S$843=641,PR!$H$703,IF($S$843=642,PR!$H$704,IF($S$843=643,PR!$H$705,IF($S$843=644,PR!$H$706,IF($S$843=645,PR!$H$707,IF($S$843=646,PR!$H$708,IF($S$843=647,PR!$H$709,IF($S$843=648,PR!$H$710,IF($S$843=649,PR!$H$711,IF($S$843=650,PR!$H$712,IF($S$843=651,PR!$H$716,IF($S$843=652,PR!$H$717,IF($S$843=653,PR!$H$718,IF($S$843=654,PR!$H$719,IF($S$843=655,PR!$H$720,IF($S$843=656,PR!$H$721,IF($S$843=657,PR!$H$722,IF($S$843=658,PR!$H$723,IF($S$843=659,PR!$H$724,IF($S$843=660,PR!$H$725,"-"))))))))))))))))))))))))))))))))))))))))))))))))))))))))))))</f>
        <v>0</v>
      </c>
      <c r="G847" s="602">
        <f>IF($S$843=601,PR!$I$663,IF($S$843=602,PR!$I$664,IF($S$843=603,PR!$I$665,IF($S$843=604,PR!$I$666,IF($S$843=605,PR!$I$667,IF($S$843=606,PR!$I$668,IF($S$843=607,PR!$I$669,IF($S$843=608,PR!$I$670,IF($S$843=609,PR!$I$671,IF($S$843=610,PR!$I$672,IF($S$843=611,PR!$I$673,IF($S$843=612,PR!$I$674,IF($S$843=613,PR!$I$675,IF($S$843=614,PR!$I$676,IF($S$843=615,PR!$I$677,IF($S$843=616,PR!$I$678,IF($S$843=617,PR!$I$679,IF($S$843=618,PR!$I$680,IF($S$843=619,PR!$I$681,IF($S$843=620,PR!$I$682,IF($S$843=621,PR!$I$683,IF($S$843=622,PR!$I$684,IF($S$843=623,PR!$I$685,IF($S$843=624,PR!$I$686,IF($S$843=625,PR!$I$687,IF($S$843=626,PR!$I$688,IF($S$843=627,PR!$I$689,IF($S$843=628,PR!$I$690,IF($S$843=629,PR!$I$691,IF($S$843=630,PR!$I$692,IF($S$843=631,PR!$I$693,IF($S$843=632,PR!$I$694,IF($S$843=633,PR!$I$695,IF($S$843=634,PR!$I$696,IF($S$843=635,PR!$I$697,IF($S$843=636,PR!$I$698,IF($S$843=637,PR!$I$699,IF($S$843=638,PR!$I$700,IF($S$843=639,PR!$I$701,IF($S$843=640,PR!$I$702,IF($S$843=641,PR!$I$703,IF($S$843=642,PR!$I$704,IF($S$843=643,PR!$I$705,IF($S$843=644,PR!$I$706,IF($S$843=645,PR!$I$707,IF($S$843=646,PR!$I$708,IF($S$843=647,PR!$I$709,IF($S$843=648,PR!$I$710,IF($S$843=649,PR!$I$711,IF($S$843=650,PR!$I$712,IF($S$843=651,PR!$I$716,IF($S$843=652,PR!$I$717,IF($S$843=653,PR!$I$718,IF($S$843=654,PR!$I$719,IF($S$843=655,PR!$I$720,IF($S$843=656,PR!$I$721,IF($S$843=657,PR!$I$722,IF($S$843=658,PR!$I$723,IF($S$843=659,PR!$I$724,IF($S$843=660,PR!$I$725,"-"))))))))))))))))))))))))))))))))))))))))))))))))))))))))))))</f>
        <v>0</v>
      </c>
      <c r="H847" s="602">
        <f>IF($S$843=601,PR!$J$663,IF($S$843=602,PR!$J$664,IF($S$843=603,PR!$J$665,IF($S$843=604,PR!$J$666,IF($S$843=605,PR!$J$667,IF($S$843=606,PR!$J$668,IF($S$843=607,PR!$J$669,IF($S$843=608,PR!$J$670,IF($S$843=609,PR!$J$671,IF($S$843=610,PR!$J$672,IF($S$843=611,PR!$J$673,IF($S$843=612,PR!$J$674,IF($S$843=613,PR!$J$675,IF($S$843=614,PR!$J$676,IF($S$843=615,PR!$J$677,IF($S$843=616,PR!$J$678,IF($S$843=617,PR!$J$679,IF($S$843=618,PR!$J$680,IF($S$843=619,PR!$J$681,IF($S$843=620,PR!$J$682,IF($S$843=621,PR!$J$683,IF($S$843=622,PR!$J$684,IF($S$843=623,PR!$J$685,IF($S$843=624,PR!$J$686,IF($S$843=625,PR!$J$687,IF($S$843=626,PR!$J$688,IF($S$843=627,PR!$J$689,IF($S$843=628,PR!$J$690,IF($S$843=629,PR!$J$691,IF($S$843=630,PR!$J$692,IF($S$843=631,PR!$J$693,IF($S$843=632,PR!$J$694,IF($S$843=633,PR!$J$695,IF($S$843=634,PR!$J$696,IF($S$843=635,PR!$J$697,IF($S$843=636,PR!$J$698,IF($S$843=637,PR!$J$699,IF($S$843=638,PR!$J$700,IF($S$843=639,PR!$J$701,IF($S$843=640,PR!$J$702,IF($S$843=641,PR!$J$703,IF($S$843=642,PR!$J$704,IF($S$843=643,PR!$J$705,IF($S$843=644,PR!$J$706,IF($S$843=645,PR!$J$707,IF($S$843=646,PR!$J$708,IF($S$843=647,PR!$J$709,IF($S$843=648,PR!$J$710,IF($S$843=649,PR!$J$711,IF($S$843=650,PR!$J$712,IF($S$843=651,PR!$J$716,IF($S$843=652,PR!$J$717,IF($S$843=653,PR!$J$718,IF($S$843=654,PR!$J$719,IF($S$843=655,PR!$J$720,IF($S$843=656,PR!$J$721,IF($S$843=657,PR!$J$722,IF($S$843=658,PR!$J$723,IF($S$843=659,PR!$J$724,IF($S$843=660,PR!$J$725,"-"))))))))))))))))))))))))))))))))))))))))))))))))))))))))))))</f>
        <v>0</v>
      </c>
      <c r="I847" s="602">
        <f>IF($S$843=601,PR!$K$663,IF($S$843=602,PR!$K$664,IF($S$843=603,PR!$K$665,IF($S$843=604,PR!$K$666,IF($S$843=605,PR!$K$667,IF($S$843=606,PR!$K$668,IF($S$843=607,PR!$K$669,IF($S$843=608,PR!$K$670,IF($S$843=609,PR!$K$671,IF($S$843=610,PR!$K$672,IF($S$843=611,PR!$K$673,IF($S$843=612,PR!$K$674,IF($S$843=613,PR!$K$675,IF($S$843=614,PR!$K$676,IF($S$843=615,PR!$K$677,IF($S$843=616,PR!$K$678,IF($S$843=617,PR!$K$679,IF($S$843=618,PR!$K$680,IF($S$843=619,PR!$K$681,IF($S$843=620,PR!$K$682,IF($S$843=621,PR!$K$683,IF($S$843=622,PR!$K$684,IF($S$843=623,PR!$K$685,IF($S$843=624,PR!$K$686,IF($S$843=625,PR!$K$687,IF($S$843=626,PR!$K$688,IF($S$843=627,PR!$K$689,IF($S$843=628,PR!$K$690,IF($S$843=629,PR!$K$691,IF($S$843=630,PR!$K$692,IF($S$843=631,PR!$K$693,IF($S$843=632,PR!$K$694,IF($S$843=633,PR!$K$695,IF($S$843=634,PR!$K$696,IF($S$843=635,PR!$K$697,IF($S$843=636,PR!$K$698,IF($S$843=637,PR!$K$699,IF($S$843=638,PR!$K$700,IF($S$843=639,PR!$K$701,IF($S$843=640,PR!$K$702,IF($S$843=641,PR!$K$703,IF($S$843=642,PR!$K$704,IF($S$843=643,PR!$K$705,IF($S$843=644,PR!$K$706,IF($S$843=645,PR!$K$707,IF($S$843=646,PR!$K$708,IF($S$843=647,PR!$K$709,IF($S$843=648,PR!$K$710,IF($S$843=649,PR!$K$711,IF($S$843=650,PR!$K$712,IF($S$843=651,PR!$K$716,IF($S$843=652,PR!$K$717,IF($S$843=653,PR!$K$718,IF($S$843=654,PR!$K$719,IF($S$843=655,PR!$K$720,IF($S$843=656,PR!$K$721,IF($S$843=657,PR!$K$722,IF($S$843=658,PR!$K$723,IF($S$843=659,PR!$K$724,IF($S$843=660,PR!$K$725,"-"))))))))))))))))))))))))))))))))))))))))))))))))))))))))))))</f>
        <v>0</v>
      </c>
      <c r="J847" s="602">
        <f>IF($S$843=601,PR!$L$663,IF($S$843=602,PR!$L$664,IF($S$843=603,PR!$L$665,IF($S$843=604,PR!$L$666,IF($S$843=605,PR!$L$667,IF($S$843=606,PR!$L$668,IF($S$843=607,PR!$L$669,IF($S$843=608,PR!$L$670,IF($S$843=609,PR!$L$671,IF($S$843=610,PR!$L$672,IF($S$843=611,PR!$L$673,IF($S$843=612,PR!$L$674,IF($S$843=613,PR!$L$675,IF($S$843=614,PR!$L$676,IF($S$843=615,PR!$L$677,IF($S$843=616,PR!$L$678,IF($S$843=617,PR!$L$679,IF($S$843=618,PR!$L$680,IF($S$843=619,PR!$L$681,IF($S$843=620,PR!$L$682,IF($S$843=621,PR!$L$683,IF($S$843=622,PR!$L$684,IF($S$843=623,PR!$L$685,IF($S$843=624,PR!$L$686,IF($S$843=625,PR!$L$687,IF($S$843=626,PR!$L$688,IF($S$843=627,PR!$L$689,IF($S$843=628,PR!$L$690,IF($S$843=629,PR!$L$691,IF($S$843=630,PR!$L$692,IF($S$843=631,PR!$L$693,IF($S$843=632,PR!$L$694,IF($S$843=633,PR!$L$695,IF($S$843=634,PR!$L$696,IF($S$843=635,PR!$L$697,IF($S$843=636,PR!$L$698,IF($S$843=637,PR!$L$699,IF($S$843=638,PR!$L$700,IF($S$843=639,PR!$L$701,IF($S$843=640,PR!$L$702,IF($S$843=641,PR!$L$703,IF($S$843=642,PR!$L$704,IF($S$843=643,PR!$L$705,IF($S$843=644,PR!$L$706,IF($S$843=645,PR!$L$707,IF($S$843=646,PR!$L$708,IF($S$843=647,PR!$L$709,IF($S$843=648,PR!$L$710,IF($S$843=649,PR!$L$711,IF($S$843=650,PR!$L$712,IF($S$843=651,PR!$L$716,IF($S$843=652,PR!$L$717,IF($S$843=653,PR!$L$718,IF($S$843=654,PR!$L$719,IF($S$843=655,PR!$L$720,IF($S$843=656,PR!$L$721,IF($S$843=657,PR!$L$722,IF($S$843=658,PR!$L$723,IF($S$843=659,PR!$L$724,IF($S$843=660,PR!$L$725,"-"))))))))))))))))))))))))))))))))))))))))))))))))))))))))))))</f>
        <v>2000</v>
      </c>
      <c r="K847" s="602">
        <f>IF($S$843=601,PR!$M$663,IF($S$843=602,PR!$M$664,IF($S$843=603,PR!$M$665,IF($S$843=604,PR!$M$666,IF($S$843=605,PR!$M$667,IF($S$843=606,PR!$M$668,IF($S$843=607,PR!$M$669,IF($S$843=608,PR!$M$670,IF($S$843=609,PR!$M$671,IF($S$843=610,PR!$M$672,IF($S$843=611,PR!$M$673,IF($S$843=612,PR!$M$674,IF($S$843=613,PR!$M$675,IF($S$843=614,PR!$M$676,IF($S$843=615,PR!$M$677,IF($S$843=616,PR!$M$678,IF($S$843=617,PR!$M$679,IF($S$843=618,PR!$M$680,IF($S$843=619,PR!$M$681,IF($S$843=620,PR!$M$682,IF($S$843=621,PR!$M$683,IF($S$843=622,PR!$M$684,IF($S$843=623,PR!$M$685,IF($S$843=624,PR!$M$686,IF($S$843=625,PR!$M$687,IF($S$843=626,PR!$M$688,IF($S$843=627,PR!$M$689,IF($S$843=628,PR!$M$690,IF($S$843=629,PR!$M$691,IF($S$843=630,PR!$M$692,IF($S$843=631,PR!$M$693,IF($S$843=632,PR!$M$694,IF($S$843=633,PR!$M$695,IF($S$843=634,PR!$M$696,IF($S$843=635,PR!$M$697,IF($S$843=636,PR!$M$698,IF($S$843=637,PR!$M$699,IF($S$843=638,PR!$M$700,IF($S$843=639,PR!$M$701,IF($S$843=640,PR!$M$702,IF($S$843=641,PR!$M$703,IF($S$843=642,PR!$M$704,IF($S$843=643,PR!$M$705,IF($S$843=644,PR!$M$706,IF($S$843=645,PR!$M$707,IF($S$843=646,PR!$M$708,IF($S$843=647,PR!$M$709,IF($S$843=648,PR!$M$710,IF($S$843=649,PR!$M$711,IF($S$843=650,PR!$M$712,IF($S$843=651,PR!$M$716,IF($S$843=652,PR!$M$717,IF($S$843=653,PR!$M$718,IF($S$843=654,PR!$M$719,IF($S$843=655,PR!$M$720,IF($S$843=656,PR!$M$721,IF($S$843=657,PR!$M$722,IF($S$843=658,PR!$M$723,IF($S$843=659,PR!$M$724,IF($S$843=660,PR!$M$725,"-"))))))))))))))))))))))))))))))))))))))))))))))))))))))))))))</f>
        <v>1900</v>
      </c>
      <c r="L847" s="602">
        <f>IF($S$843=601,PR!$N$663,IF($S$843=602,PR!$N$664,IF($S$843=603,PR!$N$665,IF($S$843=604,PR!$N$666,IF($S$843=605,PR!$N$667,IF($S$843=606,PR!$N$668,IF($S$843=607,PR!$N$669,IF($S$843=608,PR!$N$670,IF($S$843=609,PR!$N$671,IF($S$843=610,PR!$N$672,IF($S$843=611,PR!$N$673,IF($S$843=612,PR!$N$674,IF($S$843=613,PR!$N$675,IF($S$843=614,PR!$N$676,IF($S$843=615,PR!$N$677,IF($S$843=616,PR!$N$678,IF($S$843=617,PR!$N$679,IF($S$843=618,PR!$N$680,IF($S$843=619,PR!$N$681,IF($S$843=620,PR!$N$682,IF($S$843=621,PR!$N$683,IF($S$843=622,PR!$N$684,IF($S$843=623,PR!$N$685,IF($S$843=624,PR!$N$686,IF($S$843=625,PR!$N$687,IF($S$843=626,PR!$N$688,IF($S$843=627,PR!$N$689,IF($S$843=628,PR!$N$690,IF($S$843=629,PR!$N$691,IF($S$843=630,PR!$N$692,IF($S$843=631,PR!$N$693,IF($S$843=632,PR!$N$694,IF($S$843=633,PR!$N$695,IF($S$843=634,PR!$N$696,IF($S$843=635,PR!$N$697,IF($S$843=636,PR!$N$698,IF($S$843=637,PR!$N$699,IF($S$843=638,PR!$N$700,IF($S$843=639,PR!$N$701,IF($S$843=640,PR!$N$702,IF($S$843=641,PR!$N$703,IF($S$843=642,PR!$N$704,IF($S$843=643,PR!$N$705,IF($S$843=644,PR!$N$706,IF($S$843=645,PR!$N$707,IF($S$843=646,PR!$N$708,IF($S$843=647,PR!$N$709,IF($S$843=648,PR!$N$710,IF($S$843=649,PR!$N$711,IF($S$843=650,PR!$N$712,IF($S$843=651,PR!$N$716,IF($S$843=652,PR!$N$717,IF($S$843=653,PR!$N$718,IF($S$843=654,PR!$N$719,IF($S$843=655,PR!$N$720,IF($S$843=656,PR!$N$721,IF($S$843=657,PR!$N$722,IF($S$843=658,PR!$N$723,IF($S$843=659,PR!$N$724,IF($S$843=660,PR!$N$725,"-"))))))))))))))))))))))))))))))))))))))))))))))))))))))))))))</f>
        <v>0</v>
      </c>
      <c r="M847" s="602">
        <f>IF($S$843=601,PR!$O$663,IF($S$843=602,PR!$O$664,IF($S$843=603,PR!$O$665,IF($S$843=604,PR!$O$666,IF($S$843=605,PR!$O$667,IF($S$843=606,PR!$O$668,IF($S$843=607,PR!$O$669,IF($S$843=608,PR!$O$670,IF($S$843=609,PR!$O$671,IF($S$843=610,PR!$O$672,IF($S$843=611,PR!$O$673,IF($S$843=612,PR!$O$674,IF($S$843=613,PR!$O$675,IF($S$843=614,PR!$O$676,IF($S$843=615,PR!$O$677,IF($S$843=616,PR!$O$678,IF($S$843=617,PR!$O$679,IF($S$843=618,PR!$O$680,IF($S$843=619,PR!$O$681,IF($S$843=620,PR!$O$682,IF($S$843=621,PR!$O$683,IF($S$843=622,PR!$O$684,IF($S$843=623,PR!$O$685,IF($S$843=624,PR!$O$686,IF($S$843=625,PR!$O$687,IF($S$843=626,PR!$O$688,IF($S$843=627,PR!$O$689,IF($S$843=628,PR!$O$690,IF($S$843=629,PR!$O$691,IF($S$843=630,PR!$O$692,IF($S$843=631,PR!$O$693,IF($S$843=632,PR!$O$694,IF($S$843=633,PR!$O$695,IF($S$843=634,PR!$O$696,IF($S$843=635,PR!$O$697,IF($S$843=636,PR!$O$698,IF($S$843=637,PR!$O$699,IF($S$843=638,PR!$O$700,IF($S$843=639,PR!$O$701,IF($S$843=640,PR!$O$702,IF($S$843=641,PR!$O$703,IF($S$843=642,PR!$O$704,IF($S$843=643,PR!$O$705,IF($S$843=644,PR!$O$706,IF($S$843=645,PR!$O$707,IF($S$843=646,PR!$O$708,IF($S$843=647,PR!$O$709,IF($S$843=648,PR!$O$710,IF($S$843=649,PR!$O$711,IF($S$843=650,PR!$O$712,IF($S$843=651,PR!$O$716,IF($S$843=652,PR!$O$717,IF($S$843=653,PR!$O$718,IF($S$843=654,PR!$O$719,IF($S$843=655,PR!$O$720,IF($S$843=656,PR!$O$721,IF($S$843=657,PR!$O$722,IF($S$843=658,PR!$O$723,IF($S$843=659,PR!$O$724,IF($S$843=660,PR!$O$725,"-"))))))))))))))))))))))))))))))))))))))))))))))))))))))))))))</f>
        <v>0</v>
      </c>
      <c r="N847" s="602">
        <f>IF($S$843=601,PR!$P$663,IF($S$843=602,PR!$P$664,IF($S$843=603,PR!$P$665,IF($S$843=604,PR!$P$666,IF($S$843=605,PR!$P$667,IF($S$843=606,PR!$P$668,IF($S$843=607,PR!$P$669,IF($S$843=608,PR!$P$670,IF($S$843=609,PR!$P$671,IF($S$843=610,PR!$P$672,IF($S$843=611,PR!$P$673,IF($S$843=612,PR!$P$674,IF($S$843=613,PR!$P$675,IF($S$843=614,PR!$P$676,IF($S$843=615,PR!$P$677,IF($S$843=616,PR!$P$678,IF($S$843=617,PR!$P$679,IF($S$843=618,PR!$P$680,IF($S$843=619,PR!$P$681,IF($S$843=620,PR!$P$682,IF($S$843=621,PR!$P$683,IF($S$843=622,PR!$P$684,IF($S$843=623,PR!$P$685,IF($S$843=624,PR!$P$686,IF($S$843=625,PR!$P$687,IF($S$843=626,PR!$P$688,IF($S$843=627,PR!$P$689,IF($S$843=628,PR!$P$690,IF($S$843=629,PR!$P$691,IF($S$843=630,PR!$P$692,IF($S$843=631,PR!$P$693,IF($S$843=632,PR!$P$694,IF($S$843=633,PR!$P$695,IF($S$843=634,PR!$P$696,IF($S$843=635,PR!$P$697,IF($S$843=636,PR!$P$698,IF($S$843=637,PR!$P$699,IF($S$843=638,PR!$P$700,IF($S$843=639,PR!$P$701,IF($S$843=640,PR!$P$702,IF($S$843=641,PR!$P$703,IF($S$843=642,PR!$P$704,IF($S$843=643,PR!$P$705,IF($S$843=644,PR!$P$706,IF($S$843=645,PR!$P$707,IF($S$843=646,PR!$P$708,IF($S$843=647,PR!$P$709,IF($S$843=648,PR!$P$710,IF($S$843=649,PR!$P$711,IF($S$843=650,PR!$P$712,IF($S$843=651,PR!$P$716,IF($S$843=652,PR!$P$717,IF($S$843=653,PR!$P$718,IF($S$843=654,PR!$P$719,IF($S$843=655,PR!$P$720,IF($S$843=656,PR!$P$721,IF($S$843=657,PR!$P$722,IF($S$843=658,PR!$P$723,IF($S$843=659,PR!$P$724,IF($S$843=660,PR!$P$725,"-"))))))))))))))))))))))))))))))))))))))))))))))))))))))))))))</f>
        <v>0</v>
      </c>
      <c r="O847" s="602">
        <f>IF($S$843=601,PR!$Q$663,IF($S$843=602,PR!$Q$664,IF($S$843=603,PR!$Q$665,IF($S$843=604,PR!$Q$666,IF($S$843=605,PR!$Q$667,IF($S$843=606,PR!$Q$668,IF($S$843=607,PR!$Q$669,IF($S$843=608,PR!$Q$670,IF($S$843=609,PR!$Q$671,IF($S$843=610,PR!$Q$672,IF($S$843=611,PR!$Q$673,IF($S$843=612,PR!$Q$674,IF($S$843=613,PR!$Q$675,IF($S$843=614,PR!$Q$676,IF($S$843=615,PR!$Q$677,IF($S$843=616,PR!$Q$678,IF($S$843=617,PR!$Q$679,IF($S$843=618,PR!$Q$680,IF($S$843=619,PR!$Q$681,IF($S$843=620,PR!$Q$682,IF($S$843=621,PR!$Q$683,IF($S$843=622,PR!$Q$684,IF($S$843=623,PR!$Q$685,IF($S$843=624,PR!$Q$686,IF($S$843=625,PR!$Q$687,IF($S$843=626,PR!$Q$688,IF($S$843=627,PR!$Q$689,IF($S$843=628,PR!$Q$690,IF($S$843=629,PR!$Q$691,IF($S$843=630,PR!$Q$692,IF($S$843=631,PR!$Q$693,IF($S$843=632,PR!$Q$694,IF($S$843=633,PR!$Q$695,IF($S$843=634,PR!$Q$696,IF($S$843=635,PR!$Q$697,IF($S$843=636,PR!$Q$698,IF($S$843=637,PR!$Q$699,IF($S$843=638,PR!$Q$700,IF($S$843=639,PR!$Q$701,IF($S$843=640,PR!$Q$702,IF($S$843=641,PR!$Q$703,IF($S$843=642,PR!$Q$704,IF($S$843=643,PR!$Q$705,IF($S$843=644,PR!$Q$706,IF($S$843=645,PR!$Q$707,IF($S$843=646,PR!$Q$708,IF($S$843=647,PR!$Q$709,IF($S$843=648,PR!$Q$710,IF($S$843=649,PR!$Q$711,IF($S$843=650,PR!$Q$712,IF($S$843=651,PR!$Q$716,IF($S$843=652,PR!$Q$717,IF($S$843=653,PR!$Q$718,IF($S$843=654,PR!$Q$719,IF($S$843=655,PR!$Q$720,IF($S$843=656,PR!$Q$721,IF($S$843=657,PR!$Q$722,IF($S$843=658,PR!$Q$723,IF($S$843=659,PR!$Q$724,IF($S$843=660,PR!$Q$725,"-"))))))))))))))))))))))))))))))))))))))))))))))))))))))))))))</f>
        <v>0</v>
      </c>
      <c r="P847" s="602">
        <f>IF($S$843=601,PR!$R$663,IF($S$843=602,PR!$R$664,IF($S$843=603,PR!$R$665,IF($S$843=604,PR!$R$666,IF($S$843=605,PR!$R$667,IF($S$843=606,PR!$R$668,IF($S$843=607,PR!$R$669,IF($S$843=608,PR!$R$670,IF($S$843=609,PR!$R$671,IF($S$843=610,PR!$R$672,IF($S$843=611,PR!$R$673,IF($S$843=612,PR!$R$674,IF($S$843=613,PR!$R$675,IF($S$843=614,PR!$R$676,IF($S$843=615,PR!$R$677,IF($S$843=616,PR!$R$678,IF($S$843=617,PR!$R$679,IF($S$843=618,PR!$R$680,IF($S$843=619,PR!$R$681,IF($S$843=620,PR!$R$682,IF($S$843=621,PR!$R$683,IF($S$843=622,PR!$R$684,IF($S$843=623,PR!$R$685,IF($S$843=624,PR!$R$686,IF($S$843=625,PR!$R$687,IF($S$843=626,PR!$R$688,IF($S$843=627,PR!$R$689,IF($S$843=628,PR!$R$690,IF($S$843=629,PR!$R$691,IF($S$843=630,PR!$R$692,IF($S$843=631,PR!$R$693,IF($S$843=632,PR!$R$694,IF($S$843=633,PR!$R$695,IF($S$843=634,PR!$R$696,IF($S$843=635,PR!$R$697,IF($S$843=636,PR!$R$698,IF($S$843=637,PR!$R$699,IF($S$843=638,PR!$R$700,IF($S$843=639,PR!$R$701,IF($S$843=640,PR!$R$702,IF($S$843=641,PR!$R$703,IF($S$843=642,PR!$R$704,IF($S$843=643,PR!$R$705,IF($S$843=644,PR!$R$706,IF($S$843=645,PR!$R$707,IF($S$843=646,PR!$R$708,IF($S$843=647,PR!$R$709,IF($S$843=648,PR!$R$710,IF($S$843=649,PR!$R$711,IF($S$843=650,PR!$R$712,IF($S$843=651,PR!$R$716,IF($S$843=652,PR!$R$717,IF($S$843=653,PR!$R$718,IF($S$843=654,PR!$R$719,IF($S$843=655,PR!$R$720,IF($S$843=656,PR!$R$721,IF($S$843=657,PR!$R$722,IF($S$843=658,PR!$R$723,IF($S$843=659,PR!$R$724,IF($S$843=660,PR!$R$725,"-"))))))))))))))))))))))))))))))))))))))))))))))))))))))))))))</f>
        <v>0</v>
      </c>
      <c r="Q847" s="602">
        <f>IF($S$843=601,PR!$S$663,IF($S$843=602,PR!$S$664,IF($S$843=603,PR!$S$665,IF($S$843=604,PR!$S$666,IF($S$843=605,PR!$S$667,IF($S$843=606,PR!$S$668,IF($S$843=607,PR!$S$669,IF($S$843=608,PR!$S$670,IF($S$843=609,PR!$S$671,IF($S$843=610,PR!$S$672,IF($S$843=611,PR!$S$673,IF($S$843=612,PR!$S$674,IF($S$843=613,PR!$S$675,IF($S$843=614,PR!$S$676,IF($S$843=615,PR!$S$677,IF($S$843=616,PR!$S$678,IF($S$843=617,PR!$S$679,IF($S$843=618,PR!$S$680,IF($S$843=619,PR!$S$681,IF($S$843=620,PR!$S$682,IF($S$843=621,PR!$S$683,IF($S$843=622,PR!$S$684,IF($S$843=623,PR!$S$685,IF($S$843=624,PR!$S$686,IF($S$843=625,PR!$S$687,IF($S$843=626,PR!$S$688,IF($S$843=627,PR!$S$689,IF($S$843=628,PR!$S$690,IF($S$843=629,PR!$S$691,IF($S$843=630,PR!$S$692,IF($S$843=631,PR!$S$693,IF($S$843=632,PR!$S$694,IF($S$843=633,PR!$S$695,IF($S$843=634,PR!$S$696,IF($S$843=635,PR!$S$697,IF($S$843=636,PR!$S$698,IF($S$843=637,PR!$S$699,IF($S$843=638,PR!$S$700,IF($S$843=639,PR!$S$701,IF($S$843=640,PR!$S$702,IF($S$843=641,PR!$S$703,IF($S$843=642,PR!$S$704,IF($S$843=643,PR!$S$705,IF($S$843=644,PR!$S$706,IF($S$843=645,PR!$S$707,IF($S$843=646,PR!$S$708,IF($S$843=647,PR!$S$709,IF($S$843=648,PR!$S$710,IF($S$843=649,PR!$S$711,IF($S$843=650,PR!$S$712,IF($S$843=651,PR!$S$716,IF($S$843=652,PR!$S$717,IF($S$843=653,PR!$S$718,IF($S$843=654,PR!$S$719,IF($S$843=655,PR!$S$720,IF($S$843=656,PR!$S$721,IF($S$843=657,PR!$S$722,IF($S$843=658,PR!$S$723,IF($S$843=659,PR!$S$724,IF($S$843=660,PR!$S$725,"-"))))))))))))))))))))))))))))))))))))))))))))))))))))))))))))</f>
        <v>1500</v>
      </c>
      <c r="R847" s="602">
        <f>IF($S$843=601,PR!$T$663,IF($S$843=602,PR!$T$664,IF($S$843=603,PR!$T$665,IF($S$843=604,PR!$T$666,IF($S$843=605,PR!$T$667,IF($S$843=606,PR!$T$668,IF($S$843=607,PR!$T$669,IF($S$843=608,PR!$T$670,IF($S$843=609,PR!$T$671,IF($S$843=610,PR!$T$672,IF($S$843=611,PR!$T$673,IF($S$843=612,PR!$T$674,IF($S$843=613,PR!$T$675,IF($S$843=614,PR!$T$676,IF($S$843=615,PR!$T$677,IF($S$843=616,PR!$T$678,IF($S$843=617,PR!$T$679,IF($S$843=618,PR!$T$680,IF($S$843=619,PR!$T$681,IF($S$843=620,PR!$T$682,IF($S$843=621,PR!$T$683,IF($S$843=622,PR!$T$684,IF($S$843=623,PR!$T$685,IF($S$843=624,PR!$T$686,IF($S$843=625,PR!$T$687,IF($S$843=626,PR!$T$688,IF($S$843=627,PR!$T$689,IF($S$843=628,PR!$T$690,IF($S$843=629,PR!$T$691,IF($S$843=630,PR!$T$692,IF($S$843=631,PR!$T$693,IF($S$843=632,PR!$T$694,IF($S$843=633,PR!$T$695,IF($S$843=634,PR!$T$696,IF($S$843=635,PR!$T$697,IF($S$843=636,PR!$T$698,IF($S$843=637,PR!$T$699,IF($S$843=638,PR!$T$700,IF($S$843=639,PR!$T$701,IF($S$843=640,PR!$T$702,IF($S$843=641,PR!$T$703,IF($S$843=642,PR!$T$704,IF($S$843=643,PR!$T$705,IF($S$843=644,PR!$T$706,IF($S$843=645,PR!$T$707,IF($S$843=646,PR!$T$708,IF($S$843=647,PR!$T$709,IF($S$843=648,PR!$T$710,IF($S$843=649,PR!$T$711,IF($S$843=650,PR!$T$712,IF($S$843=651,PR!$T$716,IF($S$843=652,PR!$T$717,IF($S$843=653,PR!$T$718,IF($S$843=654,PR!$T$719,IF($S$843=655,PR!$T$720,IF($S$843=656,PR!$T$721,IF($S$843=657,PR!$T$722,IF($S$843=658,PR!$T$723,IF($S$843=659,PR!$T$724,IF($S$843=660,PR!$T$725,"-"))))))))))))))))))))))))))))))))))))))))))))))))))))))))))))</f>
        <v>0</v>
      </c>
      <c r="S847" s="602">
        <f>IF($S$843=601,PR!$U$663,IF($S$843=602,PR!$U$664,IF($S$843=603,PR!$U$665,IF($S$843=604,PR!$U$666,IF($S$843=605,PR!$U$667,IF($S$843=606,PR!$U$668,IF($S$843=607,PR!$U$669,IF($S$843=608,PR!$U$670,IF($S$843=609,PR!$U$671,IF($S$843=610,PR!$U$672,IF($S$843=611,PR!$U$673,IF($S$843=612,PR!$U$674,IF($S$843=613,PR!$U$675,IF($S$843=614,PR!$U$676,IF($S$843=615,PR!$U$677,IF($S$843=616,PR!$U$678,IF($S$843=617,PR!$U$679,IF($S$843=618,PR!$U$680,IF($S$843=619,PR!$U$681,IF($S$843=620,PR!$U$682,IF($S$843=621,PR!$U$683,IF($S$843=622,PR!$U$684,IF($S$843=623,PR!$U$685,IF($S$843=624,PR!$U$686,IF($S$843=625,PR!$U$687,IF($S$843=626,PR!$U$688,IF($S$843=627,PR!$U$689,IF($S$843=628,PR!$U$690,IF($S$843=629,PR!$U$691,IF($S$843=630,PR!$U$692,IF($S$843=631,PR!$U$693,IF($S$843=632,PR!$U$694,IF($S$843=633,PR!$U$695,IF($S$843=634,PR!$U$696,IF($S$843=635,PR!$U$697,IF($S$843=636,PR!$U$698,IF($S$843=637,PR!$U$699,IF($S$843=638,PR!$U$700,IF($S$843=639,PR!$U$701,IF($S$843=640,PR!$U$702,IF($S$843=641,PR!$U$703,IF($S$843=642,PR!$U$704,IF($S$843=643,PR!$U$705,IF($S$843=644,PR!$U$706,IF($S$843=645,PR!$U$707,IF($S$843=646,PR!$U$708,IF($S$843=647,PR!$U$709,IF($S$843=648,PR!$U$710,IF($S$843=649,PR!$U$711,IF($S$843=650,PR!$U$712,IF($S$843=651,PR!$U$716,IF($S$843=652,PR!$U$717,IF($S$843=653,PR!$U$718,IF($S$843=654,PR!$U$719,IF($S$843=655,PR!$U$720,IF($S$843=656,PR!$U$721,IF($S$843=657,PR!$U$722,IF($S$843=658,PR!$U$723,IF($S$843=659,PR!$U$724,IF($S$843=660,PR!$U$725,"-"))))))))))))))))))))))))))))))))))))))))))))))))))))))))))))</f>
        <v>1850</v>
      </c>
      <c r="T847" s="580"/>
      <c r="U847" s="580"/>
      <c r="V847" s="32"/>
      <c r="W847" s="32"/>
      <c r="X847" s="32"/>
    </row>
    <row r="848" spans="2:24" ht="9" customHeight="1" x14ac:dyDescent="0.25">
      <c r="B848" s="580"/>
      <c r="C848" s="603"/>
      <c r="D848" s="604"/>
      <c r="E848" s="604"/>
      <c r="F848" s="604"/>
      <c r="G848" s="604"/>
      <c r="H848" s="604"/>
      <c r="I848" s="604"/>
      <c r="J848" s="604"/>
      <c r="K848" s="604"/>
      <c r="L848" s="604"/>
      <c r="M848" s="604"/>
      <c r="N848" s="604"/>
      <c r="O848" s="604"/>
      <c r="P848" s="604"/>
      <c r="Q848" s="604"/>
      <c r="R848" s="605"/>
      <c r="S848" s="605"/>
      <c r="T848" s="580"/>
      <c r="U848" s="580"/>
      <c r="V848" s="32"/>
      <c r="W848" s="32"/>
      <c r="X848" s="32"/>
    </row>
    <row r="849" spans="2:24" ht="15.75" thickBot="1" x14ac:dyDescent="0.3">
      <c r="B849" s="580"/>
      <c r="C849" s="600" t="str">
        <f>N!$C$21</f>
        <v>GENEITH</v>
      </c>
      <c r="D849" s="600" t="str">
        <f>N!$C$22</f>
        <v>GINOS</v>
      </c>
      <c r="E849" s="600" t="str">
        <f>N!$C$23</f>
        <v>GSK</v>
      </c>
      <c r="F849" s="600" t="str">
        <f>N!$C$24</f>
        <v>GLOBORG</v>
      </c>
      <c r="G849" s="600" t="str">
        <f>N!$C$25</f>
        <v>GOODNEWS</v>
      </c>
      <c r="H849" s="600" t="str">
        <f>N!$C$26</f>
        <v>GREENLIFE</v>
      </c>
      <c r="I849" s="600" t="str">
        <f>N!$C$27</f>
        <v>HLINE</v>
      </c>
      <c r="J849" s="600" t="str">
        <f>N!$C$28</f>
        <v>ROTECH</v>
      </c>
      <c r="K849" s="600" t="str">
        <f>N!$C$29</f>
        <v>ISN</v>
      </c>
      <c r="L849" s="600" t="str">
        <f>N!$C$30</f>
        <v>JAWA</v>
      </c>
      <c r="M849" s="600" t="str">
        <f>N!$C$31</f>
        <v>LAYO</v>
      </c>
      <c r="N849" s="600" t="str">
        <f>N!$C$32</f>
        <v>LEADWAY</v>
      </c>
      <c r="O849" s="600" t="str">
        <f>N!$C$33</f>
        <v>LHV</v>
      </c>
      <c r="P849" s="600" t="str">
        <f>N!$C$34</f>
        <v>MANOLA</v>
      </c>
      <c r="Q849" s="600" t="str">
        <f>N!$C$35</f>
        <v>MARCSON</v>
      </c>
      <c r="R849" s="600" t="str">
        <f>N!$C$36</f>
        <v>M&amp;B</v>
      </c>
      <c r="S849" s="600" t="str">
        <f>N!$C$37</f>
        <v>MTRUST</v>
      </c>
      <c r="T849" s="580"/>
      <c r="U849" s="580"/>
      <c r="V849" s="32"/>
      <c r="W849" s="32"/>
      <c r="X849" s="32"/>
    </row>
    <row r="850" spans="2:24" ht="16.5" customHeight="1" thickBot="1" x14ac:dyDescent="0.3">
      <c r="B850" s="580"/>
      <c r="C850" s="602">
        <f>IF($S$843=601,PR!$V$663,IF($S$843=602,PR!$V$664,IF($S$843=603,PR!$V$665,IF($S$843=604,PR!$V$666,IF($S$843=605,PR!$V$667,IF($S$843=606,PR!$V$668,IF($S$843=607,PR!$V$669,IF($S$843=608,PR!$V$670,IF($S$843=609,PR!$V$671,IF($S$843=610,PR!$V$672,IF($S$843=611,PR!$V$673,IF($S$843=612,PR!$V$674,IF($S$843=613,PR!$V$675,IF($S$843=614,PR!$V$676,IF($S$843=615,PR!$V$677,IF($S$843=616,PR!$V$678,IF($S$843=617,PR!$V$679,IF($S$843=618,PR!$V$680,IF($S$843=619,PR!$V$681,IF($S$843=620,PR!$V$682,IF($S$843=621,PR!$V$683,IF($S$843=622,PR!$V$684,IF($S$843=623,PR!$V$685,IF($S$843=624,PR!$V$686,IF($S$843=625,PR!$V$687,IF($S$843=626,PR!$V$688,IF($S$843=627,PR!$V$689,IF($S$843=628,PR!$V$690,IF($S$843=629,PR!$V$691,IF($S$843=630,PR!$V$692,IF($S$843=631,PR!$V$693,IF($S$843=632,PR!$V$694,IF($S$843=633,PR!$V$695,IF($S$843=634,PR!$V$696,IF($S$843=635,PR!$V$697,IF($S$843=636,PR!$V$698,IF($S$843=637,PR!$V$699,IF($S$843=638,PR!$V$700,IF($S$843=639,PR!$V$701,IF($S$843=640,PR!$V$702,IF($S$843=641,PR!$V$703,IF($S$843=642,PR!$V$704,IF($S$843=643,PR!$V$705,IF($S$843=644,PR!$V$706,IF($S$843=645,PR!$V$707,IF($S$843=646,PR!$V$708,IF($S$843=647,PR!$V$709,IF($S$843=648,PR!$V$710,IF($S$843=649,PR!$V$711,IF($S$843=650,PR!$V$712,IF($S$843=651,PR!$V$716,IF($S$843=652,PR!$V$717,IF($S$843=653,PR!$V$718,IF($S$843=654,PR!$V$719,IF($S$843=655,PR!$V$720,IF($S$843=656,PR!$V$721,IF($S$843=657,PR!$V$722,IF($S$843=658,PR!$V$723,IF($S$843=659,PR!$V$724,IF($S$843=660,PR!$V$725,"-"))))))))))))))))))))))))))))))))))))))))))))))))))))))))))))</f>
        <v>0</v>
      </c>
      <c r="D850" s="602">
        <f>IF($S$843=601,PR!$W$663,IF($S$843=602,PR!$W$664,IF($S$843=603,PR!$W$665,IF($S$843=604,PR!$W$666,IF($S$843=605,PR!$W$667,IF($S$843=606,PR!$W$668,IF($S$843=607,PR!$W$669,IF($S$843=608,PR!$W$670,IF($S$843=609,PR!$W$671,IF($S$843=610,PR!$W$672,IF($S$843=611,PR!$W$673,IF($S$843=612,PR!$W$674,IF($S$843=613,PR!$W$675,IF($S$843=614,PR!$W$676,IF($S$843=615,PR!$W$677,IF($S$843=616,PR!$W$678,IF($S$843=617,PR!$W$679,IF($S$843=618,PR!$W$680,IF($S$843=619,PR!$W$681,IF($S$843=620,PR!$W$682,IF($S$843=621,PR!$W$683,IF($S$843=622,PR!$W$684,IF($S$843=623,PR!$W$685,IF($S$843=624,PR!$W$686,IF($S$843=625,PR!$W$687,IF($S$843=626,PR!$W$688,IF($S$843=627,PR!$W$689,IF($S$843=628,PR!$W$690,IF($S$843=629,PR!$W$691,IF($S$843=630,PR!$W$692,IF($S$843=631,PR!$W$693,IF($S$843=632,PR!$W$694,IF($S$843=633,PR!$W$695,IF($S$843=634,PR!$W$696,IF($S$843=635,PR!$W$697,IF($S$843=636,PR!$W$698,IF($S$843=637,PR!$W$699,IF($S$843=638,PR!$W$700,IF($S$843=639,PR!$W$701,IF($S$843=640,PR!$W$702,IF($S$843=641,PR!$W$703,IF($S$843=642,PR!$W$704,IF($S$843=643,PR!$W$705,IF($S$843=644,PR!$W$706,IF($S$843=645,PR!$W$707,IF($S$843=646,PR!$W$708,IF($S$843=647,PR!$W$709,IF($S$843=648,PR!$W$710,IF($S$843=649,PR!$W$711,IF($S$843=650,PR!$W$712,IF($S$843=651,PR!$W$716,IF($S$843=652,PR!$W$717,IF($S$843=653,PR!$W$718,IF($S$843=654,PR!$W$719,IF($S$843=655,PR!$W$720,IF($S$843=656,PR!$W$721,IF($S$843=657,PR!$W$722,IF($S$843=658,PR!$W$723,IF($S$843=659,PR!$W$724,IF($S$843=660,PR!$W$725,"-"))))))))))))))))))))))))))))))))))))))))))))))))))))))))))))</f>
        <v>1000</v>
      </c>
      <c r="E850" s="602">
        <f>IF($S$843=601,PR!$X$663,IF($S$843=602,PR!$X$664,IF($S$843=603,PR!$X$665,IF($S$843=604,PR!$X$666,IF($S$843=605,PR!$X$667,IF($S$843=606,PR!$X$668,IF($S$843=607,PR!$X$669,IF($S$843=608,PR!$X$670,IF($S$843=609,PR!$X$671,IF($S$843=610,PR!$X$672,IF($S$843=611,PR!$X$673,IF($S$843=612,PR!$X$674,IF($S$843=613,PR!$X$675,IF($S$843=614,PR!$X$676,IF($S$843=615,PR!$X$677,IF($S$843=616,PR!$X$678,IF($S$843=617,PR!$X$679,IF($S$843=618,PR!$X$680,IF($S$843=619,PR!$X$681,IF($S$843=620,PR!$X$682,IF($S$843=621,PR!$X$683,IF($S$843=622,PR!$X$684,IF($S$843=623,PR!$X$685,IF($S$843=624,PR!$X$686,IF($S$843=625,PR!$X$687,IF($S$843=626,PR!$X$688,IF($S$843=627,PR!$X$689,IF($S$843=628,PR!$X$690,IF($S$843=629,PR!$X$691,IF($S$843=630,PR!$X$692,IF($S$843=631,PR!$X$693,IF($S$843=632,PR!$X$694,IF($S$843=633,PR!$X$695,IF($S$843=634,PR!$X$696,IF($S$843=635,PR!$X$697,IF($S$843=636,PR!$X$698,IF($S$843=637,PR!$X$699,IF($S$843=638,PR!$X$700,IF($S$843=639,PR!$X$701,IF($S$843=640,PR!$X$702,IF($S$843=641,PR!$X$703,IF($S$843=642,PR!$X$704,IF($S$843=643,PR!$X$705,IF($S$843=644,PR!$X$706,IF($S$843=645,PR!$X$707,IF($S$843=646,PR!$X$708,IF($S$843=647,PR!$X$709,IF($S$843=648,PR!$X$710,IF($S$843=649,PR!$X$711,IF($S$843=650,PR!$X$712,IF($S$843=651,PR!$X$716,IF($S$843=652,PR!$X$717,IF($S$843=653,PR!$X$718,IF($S$843=654,PR!$X$719,IF($S$843=655,PR!$X$720,IF($S$843=656,PR!$X$721,IF($S$843=657,PR!$X$722,IF($S$843=658,PR!$X$723,IF($S$843=659,PR!$X$724,IF($S$843=660,PR!$X$725,"-"))))))))))))))))))))))))))))))))))))))))))))))))))))))))))))</f>
        <v>0</v>
      </c>
      <c r="F850" s="602">
        <f>IF($S$843=601,PR!$Y$663,IF($S$843=602,PR!$Y$664,IF($S$843=603,PR!$Y$665,IF($S$843=604,PR!$Y$666,IF($S$843=605,PR!$Y$667,IF($S$843=606,PR!$Y$668,IF($S$843=607,PR!$Y$669,IF($S$843=608,PR!$Y$670,IF($S$843=609,PR!$Y$671,IF($S$843=610,PR!$Y$672,IF($S$843=611,PR!$Y$673,IF($S$843=612,PR!$Y$674,IF($S$843=613,PR!$Y$675,IF($S$843=614,PR!$Y$676,IF($S$843=615,PR!$Y$677,IF($S$843=616,PR!$Y$678,IF($S$843=617,PR!$Y$679,IF($S$843=618,PR!$Y$680,IF($S$843=619,PR!$Y$681,IF($S$843=620,PR!$Y$682,IF($S$843=621,PR!$Y$683,IF($S$843=622,PR!$Y$684,IF($S$843=623,PR!$Y$685,IF($S$843=624,PR!$Y$686,IF($S$843=625,PR!$Y$687,IF($S$843=626,PR!$Y$688,IF($S$843=627,PR!$Y$689,IF($S$843=628,PR!$Y$690,IF($S$843=629,PR!$Y$691,IF($S$843=630,PR!$Y$692,IF($S$843=631,PR!$Y$693,IF($S$843=632,PR!$Y$694,IF($S$843=633,PR!$Y$695,IF($S$843=634,PR!$Y$696,IF($S$843=635,PR!$Y$697,IF($S$843=636,PR!$Y$698,IF($S$843=637,PR!$Y$699,IF($S$843=638,PR!$Y$700,IF($S$843=639,PR!$Y$701,IF($S$843=640,PR!$Y$702,IF($S$843=641,PR!$Y$703,IF($S$843=642,PR!$Y$704,IF($S$843=643,PR!$Y$705,IF($S$843=644,PR!$Y$706,IF($S$843=645,PR!$Y$707,IF($S$843=646,PR!$Y$708,IF($S$843=647,PR!$Y$709,IF($S$843=648,PR!$Y$710,IF($S$843=649,PR!$Y$711,IF($S$843=650,PR!$Y$712,IF($S$843=651,PR!$Y$716,IF($S$843=652,PR!$Y$717,IF($S$843=653,PR!$Y$718,IF($S$843=654,PR!$Y$719,IF($S$843=655,PR!$Y$720,IF($S$843=656,PR!$Y$721,IF($S$843=657,PR!$Y$722,IF($S$843=658,PR!$Y$723,IF($S$843=659,PR!$Y$724,IF($S$843=660,PR!$Y$725,"-"))))))))))))))))))))))))))))))))))))))))))))))))))))))))))))</f>
        <v>0</v>
      </c>
      <c r="G850" s="602">
        <f>IF($S$843=601,PR!$Z$663,IF($S$843=602,PR!$Z$664,IF($S$843=603,PR!$Z$665,IF($S$843=604,PR!$Z$666,IF($S$843=605,PR!$Z$667,IF($S$843=606,PR!$Z$668,IF($S$843=607,PR!$Z$669,IF($S$843=608,PR!$Z$670,IF($S$843=609,PR!$Z$671,IF($S$843=610,PR!$Z$672,IF($S$843=611,PR!$Z$673,IF($S$843=612,PR!$Z$674,IF($S$843=613,PR!$Z$675,IF($S$843=614,PR!$Z$676,IF($S$843=615,PR!$Z$677,IF($S$843=616,PR!$Z$678,IF($S$843=617,PR!$Z$679,IF($S$843=618,PR!$Z$680,IF($S$843=619,PR!$Z$681,IF($S$843=620,PR!$Z$682,IF($S$843=621,PR!$Z$683,IF($S$843=622,PR!$Z$684,IF($S$843=623,PR!$Z$685,IF($S$843=624,PR!$Z$686,IF($S$843=625,PR!$Z$687,IF($S$843=626,PR!$Z$688,IF($S$843=627,PR!$Z$689,IF($S$843=628,PR!$Z$690,IF($S$843=629,PR!$Z$691,IF($S$843=630,PR!$Z$692,IF($S$843=631,PR!$Z$693,IF($S$843=632,PR!$Z$694,IF($S$843=633,PR!$Z$695,IF($S$843=634,PR!$Z$696,IF($S$843=635,PR!$Z$697,IF($S$843=636,PR!$Z$698,IF($S$843=637,PR!$Z$699,IF($S$843=638,PR!$Z$700,IF($S$843=639,PR!$Z$701,IF($S$843=640,PR!$Z$702,IF($S$843=641,PR!$Z$703,IF($S$843=642,PR!$Z$704,IF($S$843=643,PR!$Z$705,IF($S$843=644,PR!$Z$706,IF($S$843=645,PR!$Z$707,IF($S$843=646,PR!$Z$708,IF($S$843=647,PR!$Z$709,IF($S$843=648,PR!$Z$710,IF($S$843=649,PR!$Z$711,IF($S$843=650,PR!$Z$712,IF($S$843=651,PR!$Z$716,IF($S$843=652,PR!$Z$717,IF($S$843=653,PR!$Z$718,IF($S$843=654,PR!$Z$719,IF($S$843=655,PR!$Z$720,IF($S$843=656,PR!$Z$721,IF($S$843=657,PR!$Z$722,IF($S$843=658,PR!$Z$723,IF($S$843=659,PR!$Z$724,IF($S$843=660,PR!$Z$725,"-"))))))))))))))))))))))))))))))))))))))))))))))))))))))))))))</f>
        <v>0</v>
      </c>
      <c r="H850" s="602">
        <f>IF($S$843=601,PR!$AA$663,IF($S$843=602,PR!$AA$664,IF($S$843=603,PR!$AA$665,IF($S$843=604,PR!$AA$666,IF($S$843=605,PR!$AA$667,IF($S$843=606,PR!$AA$668,IF($S$843=607,PR!$AA$669,IF($S$843=608,PR!$AA$670,IF($S$843=609,PR!$AA$671,IF($S$843=610,PR!$AA$672,IF($S$843=611,PR!$AA$673,IF($S$843=612,PR!$AA$674,IF($S$843=613,PR!$AA$675,IF($S$843=614,PR!$AA$676,IF($S$843=615,PR!$AA$677,IF($S$843=616,PR!$AA$678,IF($S$843=617,PR!$AA$679,IF($S$843=618,PR!$AA$680,IF($S$843=619,PR!$AA$681,IF($S$843=620,PR!$AA$682,IF($S$843=621,PR!$AA$683,IF($S$843=622,PR!$AA$684,IF($S$843=623,PR!$AA$685,IF($S$843=624,PR!$AA$686,IF($S$843=625,PR!$AA$687,IF($S$843=626,PR!$AA$688,IF($S$843=627,PR!$AA$689,IF($S$843=628,PR!$AA$690,IF($S$843=629,PR!$AA$691,IF($S$843=630,PR!$AA$692,IF($S$843=631,PR!$AA$693,IF($S$843=632,PR!$AA$694,IF($S$843=633,PR!$AA$695,IF($S$843=634,PR!$AA$696,IF($S$843=635,PR!$AA$697,IF($S$843=636,PR!$AA$698,IF($S$843=637,PR!$AA$699,IF($S$843=638,PR!$AA$700,IF($S$843=639,PR!$AA$701,IF($S$843=640,PR!$AA$702,IF($S$843=641,PR!$AA$703,IF($S$843=642,PR!$AA$704,IF($S$843=643,PR!$AA$705,IF($S$843=644,PR!$AA$706,IF($S$843=645,PR!$AA$707,IF($S$843=646,PR!$AA$708,IF($S$843=647,PR!$AA$709,IF($S$843=648,PR!$AA$710,IF($S$843=649,PR!$AA$711,IF($S$843=650,PR!$AA$712,IF($S$843=651,PR!$AA$716,IF($S$843=652,PR!$AA$717,IF($S$843=653,PR!$AA$718,IF($S$843=654,PR!$AA$719,IF($S$843=655,PR!$AA$720,IF($S$843=656,PR!$AA$721,IF($S$843=657,PR!$AA$722,IF($S$843=658,PR!$AA$723,IF($S$843=659,PR!$AA$724,IF($S$843=660,PR!$AA$725,"-"))))))))))))))))))))))))))))))))))))))))))))))))))))))))))))</f>
        <v>0</v>
      </c>
      <c r="I850" s="602">
        <f>IF($S$843=601,PR!$AB$663,IF($S$843=602,PR!$AB$664,IF($S$843=603,PR!$AB$665,IF($S$843=604,PR!$AB$666,IF($S$843=605,PR!$AB$667,IF($S$843=606,PR!$AB$668,IF($S$843=607,PR!$AB$669,IF($S$843=608,PR!$AB$670,IF($S$843=609,PR!$AB$671,IF($S$843=610,PR!$AB$672,IF($S$843=611,PR!$AB$673,IF($S$843=612,PR!$AB$674,IF($S$843=613,PR!$AB$675,IF($S$843=614,PR!$AB$676,IF($S$843=615,PR!$AB$677,IF($S$843=616,PR!$AB$678,IF($S$843=617,PR!$AB$679,IF($S$843=618,PR!$AB$680,IF($S$843=619,PR!$AB$681,IF($S$843=620,PR!$AB$682,IF($S$843=621,PR!$AB$683,IF($S$843=622,PR!$AB$684,IF($S$843=623,PR!$AB$685,IF($S$843=624,PR!$AB$686,IF($S$843=625,PR!$AB$687,IF($S$843=626,PR!$AB$688,IF($S$843=627,PR!$AB$689,IF($S$843=628,PR!$AB$690,IF($S$843=629,PR!$AB$691,IF($S$843=630,PR!$AB$692,IF($S$843=631,PR!$AB$693,IF($S$843=632,PR!$AB$694,IF($S$843=633,PR!$AB$695,IF($S$843=634,PR!$AB$696,IF($S$843=635,PR!$AB$697,IF($S$843=636,PR!$AB$698,IF($S$843=637,PR!$AB$699,IF($S$843=638,PR!$AB$700,IF($S$843=639,PR!$AB$701,IF($S$843=640,PR!$AB$702,IF($S$843=641,PR!$AB$703,IF($S$843=642,PR!$AB$704,IF($S$843=643,PR!$AB$705,IF($S$843=644,PR!$AB$706,IF($S$843=645,PR!$AB$707,IF($S$843=646,PR!$AB$708,IF($S$843=647,PR!$AB$709,IF($S$843=648,PR!$AB$710,IF($S$843=649,PR!$AB$711,IF($S$843=650,PR!$AB$712,IF($S$843=651,PR!$AB$716,IF($S$843=652,PR!$AB$717,IF($S$843=653,PR!$AB$718,IF($S$843=654,PR!$AB$719,IF($S$843=655,PR!$AB$720,IF($S$843=656,PR!$AB$721,IF($S$843=657,PR!$AB$722,IF($S$843=658,PR!$AB$723,IF($S$843=659,PR!$AB$724,IF($S$843=660,PR!$AB$725,"-"))))))))))))))))))))))))))))))))))))))))))))))))))))))))))))</f>
        <v>0</v>
      </c>
      <c r="J850" s="602">
        <f>IF($S$843=601,PR!$AC$663,IF($S$843=602,PR!$AC$664,IF($S$843=603,PR!$AC$665,IF($S$843=604,PR!$AC$666,IF($S$843=605,PR!$AC$667,IF($S$843=606,PR!$AC$668,IF($S$843=607,PR!$AC$669,IF($S$843=608,PR!$AC$670,IF($S$843=609,PR!$AC$671,IF($S$843=610,PR!$AC$672,IF($S$843=611,PR!$AC$673,IF($S$843=612,PR!$AC$674,IF($S$843=613,PR!$AC$675,IF($S$843=614,PR!$AC$676,IF($S$843=615,PR!$AC$677,IF($S$843=616,PR!$AC$678,IF($S$843=617,PR!$AC$679,IF($S$843=618,PR!$AC$680,IF($S$843=619,PR!$AC$681,IF($S$843=620,PR!$AC$682,IF($S$843=621,PR!$AC$683,IF($S$843=622,PR!$AC$684,IF($S$843=623,PR!$AC$685,IF($S$843=624,PR!$AC$686,IF($S$843=625,PR!$AC$687,IF($S$843=626,PR!$AC$688,IF($S$843=627,PR!$AC$689,IF($S$843=628,PR!$AC$690,IF($S$843=629,PR!$AC$691,IF($S$843=630,PR!$AC$692,IF($S$843=631,PR!$AC$693,IF($S$843=632,PR!$AC$694,IF($S$843=633,PR!$AC$695,IF($S$843=634,PR!$AC$696,IF($S$843=635,PR!$AC$697,IF($S$843=636,PR!$AC$698,IF($S$843=637,PR!$AC$699,IF($S$843=638,PR!$AC$700,IF($S$843=639,PR!$AC$701,IF($S$843=640,PR!$AC$702,IF($S$843=641,PR!$AC$703,IF($S$843=642,PR!$AC$704,IF($S$843=643,PR!$AC$705,IF($S$843=644,PR!$AC$706,IF($S$843=645,PR!$AC$707,IF($S$843=646,PR!$AC$708,IF($S$843=647,PR!$AC$709,IF($S$843=648,PR!$AC$710,IF($S$843=649,PR!$AC$711,IF($S$843=650,PR!$AC$712,IF($S$843=651,PR!$AC$716,IF($S$843=652,PR!$AC$717,IF($S$843=653,PR!$AC$718,IF($S$843=654,PR!$AC$719,IF($S$843=655,PR!$AC$720,IF($S$843=656,PR!$AC$721,IF($S$843=657,PR!$AC$722,IF($S$843=658,PR!$AC$723,IF($S$843=659,PR!$AC$724,IF($S$843=660,PR!$AC$725,"-"))))))))))))))))))))))))))))))))))))))))))))))))))))))))))))</f>
        <v>1650</v>
      </c>
      <c r="K850" s="602">
        <f>IF($S$843=601,PR!$AD$663,IF($S$843=602,PR!$AD$664,IF($S$843=603,PR!$AD$665,IF($S$843=604,PR!$AD$666,IF($S$843=605,PR!$AD$667,IF($S$843=606,PR!$AD$668,IF($S$843=607,PR!$AD$669,IF($S$843=608,PR!$AD$670,IF($S$843=609,PR!$AD$671,IF($S$843=610,PR!$AD$672,IF($S$843=611,PR!$AD$673,IF($S$843=612,PR!$AD$674,IF($S$843=613,PR!$AD$675,IF($S$843=614,PR!$AD$676,IF($S$843=615,PR!$AD$677,IF($S$843=616,PR!$AD$678,IF($S$843=617,PR!$AD$679,IF($S$843=618,PR!$AD$680,IF($S$843=619,PR!$AD$681,IF($S$843=620,PR!$AD$682,IF($S$843=621,PR!$AD$683,IF($S$843=622,PR!$AD$684,IF($S$843=623,PR!$AD$685,IF($S$843=624,PR!$AD$686,IF($S$843=625,PR!$AD$687,IF($S$843=626,PR!$AD$688,IF($S$843=627,PR!$AD$689,IF($S$843=628,PR!$AD$690,IF($S$843=629,PR!$AD$691,IF($S$843=630,PR!$AD$692,IF($S$843=631,PR!$AD$693,IF($S$843=632,PR!$AD$694,IF($S$843=633,PR!$AD$695,IF($S$843=634,PR!$AD$696,IF($S$843=635,PR!$AD$697,IF($S$843=636,PR!$AD$698,IF($S$843=637,PR!$AD$699,IF($S$843=638,PR!$AD$700,IF($S$843=639,PR!$AD$701,IF($S$843=640,PR!$AD$702,IF($S$843=641,PR!$AD$703,IF($S$843=642,PR!$AD$704,IF($S$843=643,PR!$AD$705,IF($S$843=644,PR!$AD$706,IF($S$843=645,PR!$AD$707,IF($S$843=646,PR!$AD$708,IF($S$843=647,PR!$AD$709,IF($S$843=648,PR!$AD$710,IF($S$843=649,PR!$AD$711,IF($S$843=650,PR!$AD$712,IF($S$843=651,PR!$AD$716,IF($S$843=652,PR!$AD$717,IF($S$843=653,PR!$AD$718,IF($S$843=654,PR!$AD$719,IF($S$843=655,PR!$AD$720,IF($S$843=656,PR!$AD$721,IF($S$843=657,PR!$AD$722,IF($S$843=658,PR!$AD$723,IF($S$843=659,PR!$AD$724,IF($S$843=660,PR!$AD$725,"-"))))))))))))))))))))))))))))))))))))))))))))))))))))))))))))</f>
        <v>0</v>
      </c>
      <c r="L850" s="602">
        <f>IF($S$843=601,PR!$AE$663,IF($S$843=602,PR!$AE$664,IF($S$843=603,PR!$AE$665,IF($S$843=604,PR!$AE$666,IF($S$843=605,PR!$AE$667,IF($S$843=606,PR!$AE$668,IF($S$843=607,PR!$AE$669,IF($S$843=608,PR!$AE$670,IF($S$843=609,PR!$AE$671,IF($S$843=610,PR!$AE$672,IF($S$843=611,PR!$AE$673,IF($S$843=612,PR!$AE$674,IF($S$843=613,PR!$AE$675,IF($S$843=614,PR!$AE$676,IF($S$843=615,PR!$AE$677,IF($S$843=616,PR!$AE$678,IF($S$843=617,PR!$AE$679,IF($S$843=618,PR!$AE$680,IF($S$843=619,PR!$AE$681,IF($S$843=620,PR!$AE$682,IF($S$843=621,PR!$AE$683,IF($S$843=622,PR!$AE$684,IF($S$843=623,PR!$AE$685,IF($S$843=624,PR!$AE$686,IF($S$843=625,PR!$AE$687,IF($S$843=626,PR!$AE$688,IF($S$843=627,PR!$AE$689,IF($S$843=628,PR!$AE$690,IF($S$843=629,PR!$AE$691,IF($S$843=630,PR!$AE$692,IF($S$843=631,PR!$AE$693,IF($S$843=632,PR!$AE$694,IF($S$843=633,PR!$AE$695,IF($S$843=634,PR!$AE$696,IF($S$843=635,PR!$AE$697,IF($S$843=636,PR!$AE$698,IF($S$843=637,PR!$AE$699,IF($S$843=638,PR!$AE$700,IF($S$843=639,PR!$AE$701,IF($S$843=640,PR!$AE$702,IF($S$843=641,PR!$AE$703,IF($S$843=642,PR!$AE$704,IF($S$843=643,PR!$AE$705,IF($S$843=644,PR!$AE$706,IF($S$843=645,PR!$AE$707,IF($S$843=646,PR!$AE$708,IF($S$843=647,PR!$AE$709,IF($S$843=648,PR!$AE$710,IF($S$843=649,PR!$AE$711,IF($S$843=650,PR!$AE$712,IF($S$843=651,PR!$AE$716,IF($S$843=652,PR!$AE$717,IF($S$843=653,PR!$AE$718,IF($S$843=654,PR!$AE$719,IF($S$843=655,PR!$AE$720,IF($S$843=656,PR!$AE$721,IF($S$843=657,PR!$AE$722,IF($S$843=658,PR!$AE$723,IF($S$843=659,PR!$AE$724,IF($S$843=660,PR!$AE$725,"-"))))))))))))))))))))))))))))))))))))))))))))))))))))))))))))</f>
        <v>0</v>
      </c>
      <c r="M850" s="602">
        <f>IF($S$843=601,PR!$AF$663,IF($S$843=602,PR!$AF$664,IF($S$843=603,PR!$AF$665,IF($S$843=604,PR!$AF$666,IF($S$843=605,PR!$AF$667,IF($S$843=606,PR!$AF$668,IF($S$843=607,PR!$AF$669,IF($S$843=608,PR!$AF$670,IF($S$843=609,PR!$AF$671,IF($S$843=610,PR!$AF$672,IF($S$843=611,PR!$AF$673,IF($S$843=612,PR!$AF$674,IF($S$843=613,PR!$AF$675,IF($S$843=614,PR!$AF$676,IF($S$843=615,PR!$AF$677,IF($S$843=616,PR!$AF$678,IF($S$843=617,PR!$AF$679,IF($S$843=618,PR!$AF$680,IF($S$843=619,PR!$AF$681,IF($S$843=620,PR!$AF$682,IF($S$843=621,PR!$AF$683,IF($S$843=622,PR!$AF$684,IF($S$843=623,PR!$AF$685,IF($S$843=624,PR!$AF$686,IF($S$843=625,PR!$AF$687,IF($S$843=626,PR!$AF$688,IF($S$843=627,PR!$AF$689,IF($S$843=628,PR!$AF$690,IF($S$843=629,PR!$AF$691,IF($S$843=630,PR!$AF$692,IF($S$843=631,PR!$AF$693,IF($S$843=632,PR!$AF$694,IF($S$843=633,PR!$AF$695,IF($S$843=634,PR!$AF$696,IF($S$843=635,PR!$AF$697,IF($S$843=636,PR!$AF$698,IF($S$843=637,PR!$AF$699,IF($S$843=638,PR!$AF$700,IF($S$843=639,PR!$AF$701,IF($S$843=640,PR!$AF$702,IF($S$843=641,PR!$AF$703,IF($S$843=642,PR!$AF$704,IF($S$843=643,PR!$AF$705,IF($S$843=644,PR!$AF$706,IF($S$843=645,PR!$AF$707,IF($S$843=646,PR!$AF$708,IF($S$843=647,PR!$AF$709,IF($S$843=648,PR!$AF$710,IF($S$843=649,PR!$AF$711,IF($S$843=650,PR!$AF$712,IF($S$843=651,PR!$AF$716,IF($S$843=652,PR!$AF$717,IF($S$843=653,PR!$AF$718,IF($S$843=654,PR!$AF$719,IF($S$843=655,PR!$AF$720,IF($S$843=656,PR!$AF$721,IF($S$843=657,PR!$AF$722,IF($S$843=658,PR!$AF$723,IF($S$843=659,PR!$AF$724,IF($S$843=660,PR!$AF$725,"-"))))))))))))))))))))))))))))))))))))))))))))))))))))))))))))</f>
        <v>0</v>
      </c>
      <c r="N850" s="602">
        <f>IF($S$843=601,PR!$AG$663,IF($S$843=602,PR!$AG$664,IF($S$843=603,PR!$AG$665,IF($S$843=604,PR!$AG$666,IF($S$843=605,PR!$AG$667,IF($S$843=606,PR!$AG$668,IF($S$843=607,PR!$AG$669,IF($S$843=608,PR!$AG$670,IF($S$843=609,PR!$AG$671,IF($S$843=610,PR!$AG$672,IF($S$843=611,PR!$AG$673,IF($S$843=612,PR!$AG$674,IF($S$843=613,PR!$AG$675,IF($S$843=614,PR!$AG$676,IF($S$843=615,PR!$AG$677,IF($S$843=616,PR!$AG$678,IF($S$843=617,PR!$AG$679,IF($S$843=618,PR!$AG$680,IF($S$843=619,PR!$AG$681,IF($S$843=620,PR!$AG$682,IF($S$843=621,PR!$AG$683,IF($S$843=622,PR!$AG$684,IF($S$843=623,PR!$AG$685,IF($S$843=624,PR!$AG$686,IF($S$843=625,PR!$AG$687,IF($S$843=626,PR!$AG$688,IF($S$843=627,PR!$AG$689,IF($S$843=628,PR!$AG$690,IF($S$843=629,PR!$AG$691,IF($S$843=630,PR!$AG$692,IF($S$843=631,PR!$AG$693,IF($S$843=632,PR!$AG$694,IF($S$843=633,PR!$AG$695,IF($S$843=634,PR!$AG$696,IF($S$843=635,PR!$AG$697,IF($S$843=636,PR!$AG$698,IF($S$843=637,PR!$AG$699,IF($S$843=638,PR!$AG$700,IF($S$843=639,PR!$AG$701,IF($S$843=640,PR!$AG$702,IF($S$843=641,PR!$AG$703,IF($S$843=642,PR!$AG$704,IF($S$843=643,PR!$AG$705,IF($S$843=644,PR!$AG$706,IF($S$843=645,PR!$AG$707,IF($S$843=646,PR!$AG$708,IF($S$843=647,PR!$AG$709,IF($S$843=648,PR!$AG$710,IF($S$843=649,PR!$AG$711,IF($S$843=650,PR!$AG$712,IF($S$843=651,PR!$AG$716,IF($S$843=652,PR!$AG$717,IF($S$843=653,PR!$AG$718,IF($S$843=654,PR!$AG$719,IF($S$843=655,PR!$AG$720,IF($S$843=656,PR!$AG$721,IF($S$843=657,PR!$AG$722,IF($S$843=658,PR!$AG$723,IF($S$843=659,PR!$AG$724,IF($S$843=660,PR!$AG$725,"-"))))))))))))))))))))))))))))))))))))))))))))))))))))))))))))</f>
        <v>0</v>
      </c>
      <c r="O850" s="602">
        <f>IF($S$843=601,PR!$AH$663,IF($S$843=602,PR!$AH$664,IF($S$843=603,PR!$AH$665,IF($S$843=604,PR!$AH$666,IF($S$843=605,PR!$AH$667,IF($S$843=606,PR!$AH$668,IF($S$843=607,PR!$AH$669,IF($S$843=608,PR!$AH$670,IF($S$843=609,PR!$AH$671,IF($S$843=610,PR!$AH$672,IF($S$843=611,PR!$AH$673,IF($S$843=612,PR!$AH$674,IF($S$843=613,PR!$AH$675,IF($S$843=614,PR!$AH$676,IF($S$843=615,PR!$AH$677,IF($S$843=616,PR!$AH$678,IF($S$843=617,PR!$AH$679,IF($S$843=618,PR!$AH$680,IF($S$843=619,PR!$AH$681,IF($S$843=620,PR!$AH$682,IF($S$843=621,PR!$AH$683,IF($S$843=622,PR!$AH$684,IF($S$843=623,PR!$AH$685,IF($S$843=624,PR!$AH$686,IF($S$843=625,PR!$AH$687,IF($S$843=626,PR!$AH$688,IF($S$843=627,PR!$AH$689,IF($S$843=628,PR!$AH$690,IF($S$843=629,PR!$AH$691,IF($S$843=630,PR!$AH$692,IF($S$843=631,PR!$AH$693,IF($S$843=632,PR!$AH$694,IF($S$843=633,PR!$AH$695,IF($S$843=634,PR!$AH$696,IF($S$843=635,PR!$AH$697,IF($S$843=636,PR!$AH$698,IF($S$843=637,PR!$AH$699,IF($S$843=638,PR!$AH$700,IF($S$843=639,PR!$AH$701,IF($S$843=640,PR!$AH$702,IF($S$843=641,PR!$AH$703,IF($S$843=642,PR!$AH$704,IF($S$843=643,PR!$AH$705,IF($S$843=644,PR!$AH$706,IF($S$843=645,PR!$AH$707,IF($S$843=646,PR!$AH$708,IF($S$843=647,PR!$AH$709,IF($S$843=648,PR!$AH$710,IF($S$843=649,PR!$AH$711,IF($S$843=650,PR!$AH$712,IF($S$843=651,PR!$AH$716,IF($S$843=652,PR!$AH$717,IF($S$843=653,PR!$AH$718,IF($S$843=654,PR!$AH$719,IF($S$843=655,PR!$AH$720,IF($S$843=656,PR!$AH$721,IF($S$843=657,PR!$AH$722,IF($S$843=658,PR!$AH$723,IF($S$843=659,PR!$AH$724,IF($S$843=660,PR!$AH$725,"-"))))))))))))))))))))))))))))))))))))))))))))))))))))))))))))</f>
        <v>0</v>
      </c>
      <c r="P850" s="602">
        <f>IF($S$843=601,PR!$AI$663,IF($S$843=602,PR!$AI$664,IF($S$843=603,PR!$AI$665,IF($S$843=604,PR!$AI$666,IF($S$843=605,PR!$AI$667,IF($S$843=606,PR!$AI$668,IF($S$843=607,PR!$AI$669,IF($S$843=608,PR!$AI$670,IF($S$843=609,PR!$AI$671,IF($S$843=610,PR!$AI$672,IF($S$843=611,PR!$AI$673,IF($S$843=612,PR!$AI$674,IF($S$843=613,PR!$AI$675,IF($S$843=614,PR!$AI$676,IF($S$843=615,PR!$AI$677,IF($S$843=616,PR!$AI$678,IF($S$843=617,PR!$AI$679,IF($S$843=618,PR!$AI$680,IF($S$843=619,PR!$AI$681,IF($S$843=620,PR!$AI$682,IF($S$843=621,PR!$AI$683,IF($S$843=622,PR!$AI$684,IF($S$843=623,PR!$AI$685,IF($S$843=624,PR!$AI$686,IF($S$843=625,PR!$AI$687,IF($S$843=626,PR!$AI$688,IF($S$843=627,PR!$AI$689,IF($S$843=628,PR!$AI$690,IF($S$843=629,PR!$AI$691,IF($S$843=630,PR!$AI$692,IF($S$843=631,PR!$AI$693,IF($S$843=632,PR!$AI$694,IF($S$843=633,PR!$AI$695,IF($S$843=634,PR!$AI$696,IF($S$843=635,PR!$AI$697,IF($S$843=636,PR!$AI$698,IF($S$843=637,PR!$AI$699,IF($S$843=638,PR!$AI$700,IF($S$843=639,PR!$AI$701,IF($S$843=640,PR!$AI$702,IF($S$843=641,PR!$AI$703,IF($S$843=642,PR!$AI$704,IF($S$843=643,PR!$AI$705,IF($S$843=644,PR!$AI$706,IF($S$843=645,PR!$AI$707,IF($S$843=646,PR!$AI$708,IF($S$843=647,PR!$AI$709,IF($S$843=648,PR!$AI$710,IF($S$843=649,PR!$AI$711,IF($S$843=650,PR!$AI$712,IF($S$843=651,PR!$AI$716,IF($S$843=652,PR!$AI$717,IF($S$843=653,PR!$AI$718,IF($S$843=654,PR!$AI$719,IF($S$843=655,PR!$AI$720,IF($S$843=656,PR!$AI$721,IF($S$843=657,PR!$AI$722,IF($S$843=658,PR!$AI$723,IF($S$843=659,PR!$AI$724,IF($S$843=660,PR!$AI$725,"-"))))))))))))))))))))))))))))))))))))))))))))))))))))))))))))</f>
        <v>0</v>
      </c>
      <c r="Q850" s="602">
        <f>IF($S$843=601,PR!$AJ$663,IF($S$843=602,PR!$AJ$664,IF($S$843=603,PR!$AJ$665,IF($S$843=604,PR!$AJ$666,IF($S$843=605,PR!$AJ$667,IF($S$843=606,PR!$AJ$668,IF($S$843=607,PR!$AJ$669,IF($S$843=608,PR!$AJ$670,IF($S$843=609,PR!$AJ$671,IF($S$843=610,PR!$AJ$672,IF($S$843=611,PR!$AJ$673,IF($S$843=612,PR!$AJ$674,IF($S$843=613,PR!$AJ$675,IF($S$843=614,PR!$AJ$676,IF($S$843=615,PR!$AJ$677,IF($S$843=616,PR!$AJ$678,IF($S$843=617,PR!$AJ$679,IF($S$843=618,PR!$AJ$680,IF($S$843=619,PR!$AJ$681,IF($S$843=620,PR!$AJ$682,IF($S$843=621,PR!$AJ$683,IF($S$843=622,PR!$AJ$684,IF($S$843=623,PR!$AJ$685,IF($S$843=624,PR!$AJ$686,IF($S$843=625,PR!$AJ$687,IF($S$843=626,PR!$AJ$688,IF($S$843=627,PR!$AJ$689,IF($S$843=628,PR!$AJ$690,IF($S$843=629,PR!$AJ$691,IF($S$843=630,PR!$AJ$692,IF($S$843=631,PR!$AJ$693,IF($S$843=632,PR!$AJ$694,IF($S$843=633,PR!$AJ$695,IF($S$843=634,PR!$AJ$696,IF($S$843=635,PR!$AJ$697,IF($S$843=636,PR!$AJ$698,IF($S$843=637,PR!$AJ$699,IF($S$843=638,PR!$AJ$700,IF($S$843=639,PR!$AJ$701,IF($S$843=640,PR!$AJ$702,IF($S$843=641,PR!$AJ$703,IF($S$843=642,PR!$AJ$704,IF($S$843=643,PR!$AJ$705,IF($S$843=644,PR!$AJ$706,IF($S$843=645,PR!$AJ$707,IF($S$843=646,PR!$AJ$708,IF($S$843=647,PR!$AJ$709,IF($S$843=648,PR!$AJ$710,IF($S$843=649,PR!$AJ$711,IF($S$843=650,PR!$AJ$712,IF($S$843=651,PR!$AJ$716,IF($S$843=652,PR!$AJ$717,IF($S$843=653,PR!$AJ$718,IF($S$843=654,PR!$AJ$719,IF($S$843=655,PR!$AJ$720,IF($S$843=656,PR!$AJ$721,IF($S$843=657,PR!$AJ$722,IF($S$843=658,PR!$AJ$723,IF($S$843=659,PR!$AJ$724,IF($S$843=660,PR!$AJ$725,"-"))))))))))))))))))))))))))))))))))))))))))))))))))))))))))))</f>
        <v>0</v>
      </c>
      <c r="R850" s="602">
        <f>IF($S$843=601,PR!$AK$663,IF($S$843=602,PR!$AK$664,IF($S$843=603,PR!$AK$665,IF($S$843=604,PR!$AK$666,IF($S$843=605,PR!$AK$667,IF($S$843=606,PR!$AK$668,IF($S$843=607,PR!$AK$669,IF($S$843=608,PR!$AK$670,IF($S$843=609,PR!$AK$671,IF($S$843=610,PR!$AK$672,IF($S$843=611,PR!$AK$673,IF($S$843=612,PR!$AK$674,IF($S$843=613,PR!$AK$675,IF($S$843=614,PR!$AK$676,IF($S$843=615,PR!$AK$677,IF($S$843=616,PR!$AK$678,IF($S$843=617,PR!$AK$679,IF($S$843=618,PR!$AK$680,IF($S$843=619,PR!$AK$681,IF($S$843=620,PR!$AK$682,IF($S$843=621,PR!$AK$683,IF($S$843=622,PR!$AK$684,IF($S$843=623,PR!$AK$685,IF($S$843=624,PR!$AK$686,IF($S$843=625,PR!$AK$687,IF($S$843=626,PR!$AK$688,IF($S$843=627,PR!$AK$689,IF($S$843=628,PR!$AK$690,IF($S$843=629,PR!$AK$691,IF($S$843=630,PR!$AK$692,IF($S$843=631,PR!$AK$693,IF($S$843=632,PR!$AK$694,IF($S$843=633,PR!$AK$695,IF($S$843=634,PR!$AK$696,IF($S$843=635,PR!$AK$697,IF($S$843=636,PR!$AK$698,IF($S$843=637,PR!$AK$699,IF($S$843=638,PR!$AK$700,IF($S$843=639,PR!$AK$701,IF($S$843=640,PR!$AK$702,IF($S$843=641,PR!$AK$703,IF($S$843=642,PR!$AK$704,IF($S$843=643,PR!$AK$705,IF($S$843=644,PR!$AK$706,IF($S$843=645,PR!$AK$707,IF($S$843=646,PR!$AK$708,IF($S$843=647,PR!$AK$709,IF($S$843=648,PR!$AK$710,IF($S$843=649,PR!$AK$711,IF($S$843=650,PR!$AK$712,IF($S$843=651,PR!$AK$716,IF($S$843=652,PR!$AK$717,IF($S$843=653,PR!$AK$718,IF($S$843=654,PR!$AK$719,IF($S$843=655,PR!$AK$720,IF($S$843=656,PR!$AK$721,IF($S$843=657,PR!$AK$722,IF($S$843=658,PR!$AK$723,IF($S$843=659,PR!$AK$724,IF($S$843=660,PR!$AK$725,"-"))))))))))))))))))))))))))))))))))))))))))))))))))))))))))))</f>
        <v>0</v>
      </c>
      <c r="S850" s="602">
        <f>IF($S$843=601,PR!$AM$663,IF($S$843=602,PR!$AM$664,IF($S$843=603,PR!$AM$665,IF($S$843=604,PR!$AM$666,IF($S$843=605,PR!$AM$667,IF($S$843=606,PR!$AM$668,IF($S$843=607,PR!$AM$669,IF($S$843=608,PR!$AM$670,IF($S$843=609,PR!$AM$671,IF($S$843=610,PR!$AM$672,IF($S$843=611,PR!$AM$673,IF($S$843=612,PR!$AM$674,IF($S$843=613,PR!$AM$675,IF($S$843=614,PR!$AM$676,IF($S$843=615,PR!$AM$677,IF($S$843=616,PR!$AM$678,IF($S$843=617,PR!$AM$679,IF($S$843=618,PR!$AM$680,IF($S$843=619,PR!$AM$681,IF($S$843=620,PR!$AM$682,IF($S$843=621,PR!$AM$683,IF($S$843=622,PR!$AM$684,IF($S$843=623,PR!$AM$685,IF($S$843=624,PR!$AM$686,IF($S$843=625,PR!$AM$687,IF($S$843=626,PR!$AM$688,IF($S$843=627,PR!$AM$689,IF($S$843=628,PR!$AM$690,IF($S$843=629,PR!$AM$691,IF($S$843=630,PR!$AM$692,IF($S$843=631,PR!$AM$693,IF($S$843=632,PR!$AM$694,IF($S$843=633,PR!$AM$695,IF($S$843=634,PR!$AM$696,IF($S$843=635,PR!$AM$697,IF($S$843=636,PR!$AM$698,IF($S$843=637,PR!$AM$699,IF($S$843=638,PR!$AM$700,IF($S$843=639,PR!$AM$701,IF($S$843=640,PR!$AM$702,IF($S$843=641,PR!$AM$703,IF($S$843=642,PR!$AM$704,IF($S$843=643,PR!$AM$705,IF($S$843=644,PR!$AM$706,IF($S$843=645,PR!$AM$707,IF($S$843=646,PR!$AM$708,IF($S$843=647,PR!$AM$709,IF($S$843=648,PR!$AM$710,IF($S$843=649,PR!$AM$711,IF($S$843=650,PR!$AM$712,IF($S$843=651,PR!$AM$716,IF($S$843=652,PR!$AM$717,IF($S$843=653,PR!$AM$718,IF($S$843=654,PR!$AM$719,IF($S$843=655,PR!$AM$720,IF($S$843=656,PR!$AM$721,IF($S$843=657,PR!$AM$722,IF($S$843=658,PR!$AM$723,IF($S$843=659,PR!$AM$724,IF($S$843=660,PR!$AM$725,"-"))))))))))))))))))))))))))))))))))))))))))))))))))))))))))))</f>
        <v>0</v>
      </c>
      <c r="T850" s="580"/>
      <c r="U850" s="580"/>
      <c r="V850" s="32"/>
      <c r="W850" s="32"/>
      <c r="X850" s="32"/>
    </row>
    <row r="851" spans="2:24" ht="8.25" customHeight="1" x14ac:dyDescent="0.25">
      <c r="B851" s="580"/>
      <c r="C851" s="603"/>
      <c r="D851" s="604"/>
      <c r="E851" s="604"/>
      <c r="F851" s="604"/>
      <c r="G851" s="604"/>
      <c r="H851" s="604"/>
      <c r="I851" s="604"/>
      <c r="J851" s="604"/>
      <c r="K851" s="604"/>
      <c r="L851" s="604"/>
      <c r="M851" s="604"/>
      <c r="N851" s="604"/>
      <c r="O851" s="604"/>
      <c r="P851" s="604"/>
      <c r="Q851" s="604"/>
      <c r="R851" s="606"/>
      <c r="S851" s="606"/>
      <c r="T851" s="580"/>
      <c r="U851" s="580"/>
      <c r="V851" s="32"/>
      <c r="W851" s="32"/>
      <c r="X851" s="32"/>
    </row>
    <row r="852" spans="2:24" ht="15.75" thickBot="1" x14ac:dyDescent="0.3">
      <c r="B852" s="580"/>
      <c r="C852" s="600" t="str">
        <f>N!$C$38</f>
        <v>MWORLD</v>
      </c>
      <c r="D852" s="600" t="str">
        <f>N!$C$39</f>
        <v>MEGA</v>
      </c>
      <c r="E852" s="600" t="str">
        <f>N!$C$40</f>
        <v>MICRONOVA</v>
      </c>
      <c r="F852" s="600" t="str">
        <f>N!$C$41</f>
        <v>MFLASH</v>
      </c>
      <c r="G852" s="600" t="str">
        <f>N!$C$42</f>
        <v>MORISON</v>
      </c>
      <c r="H852" s="600" t="str">
        <f>N!$C$43</f>
        <v>NEMEL</v>
      </c>
      <c r="I852" s="600" t="str">
        <f>N!$C$44</f>
        <v>NHP</v>
      </c>
      <c r="J852" s="600" t="str">
        <f>N!$C$45</f>
        <v>NHC</v>
      </c>
      <c r="K852" s="600" t="str">
        <f>N!$C$46</f>
        <v>OLEAF</v>
      </c>
      <c r="L852" s="600" t="str">
        <f>N!$C$47</f>
        <v>OCULUS</v>
      </c>
      <c r="M852" s="600" t="str">
        <f>N!$C$48</f>
        <v>PACIFIC</v>
      </c>
      <c r="N852" s="600" t="str">
        <f>N!$C$49</f>
        <v>PHAMATEX</v>
      </c>
      <c r="O852" s="600" t="str">
        <f>N!$C$50</f>
        <v>PETHICS</v>
      </c>
      <c r="P852" s="600" t="str">
        <f>N!$C$51</f>
        <v>PHILIPS</v>
      </c>
      <c r="Q852" s="600" t="str">
        <f>N!$C$52</f>
        <v>RANBAXY</v>
      </c>
      <c r="R852" s="600" t="str">
        <f>N!$C$53</f>
        <v>REALS</v>
      </c>
      <c r="S852" s="600" t="str">
        <f>N!$C$54</f>
        <v>ROYAL</v>
      </c>
      <c r="T852" s="580"/>
      <c r="U852" s="580"/>
      <c r="V852" s="32"/>
      <c r="W852" s="32"/>
      <c r="X852" s="32"/>
    </row>
    <row r="853" spans="2:24" ht="15.75" thickBot="1" x14ac:dyDescent="0.3">
      <c r="B853" s="580"/>
      <c r="C853" s="602">
        <f>IF($S$843=601,PR!$AM$663,IF($S$843=602,PR!$AM$664,IF($S$843=603,PR!$AM$665,IF($S$843=604,PR!$AM$666,IF($S$843=605,PR!$AM$667,IF($S$843=606,PR!$AM$668,IF($S$843=607,PR!$AM$669,IF($S$843=608,PR!$AM$670,IF($S$843=609,PR!$AM$671,IF($S$843=610,PR!$AM$672,IF($S$843=611,PR!$AM$673,IF($S$843=612,PR!$AM$674,IF($S$843=613,PR!$AM$675,IF($S$843=614,PR!$AM$676,IF($S$843=615,PR!$AM$677,IF($S$843=616,PR!$AM$678,IF($S$843=617,PR!$AM$679,IF($S$843=618,PR!$AM$680,IF($S$843=619,PR!$AM$681,IF($S$843=620,PR!$AM$682,IF($S$843=621,PR!$AM$683,IF($S$843=622,PR!$AM$684,IF($S$843=623,PR!$AM$685,IF($S$843=624,PR!$AM$686,IF($S$843=625,PR!$AM$687,IF($S$843=626,PR!$AM$688,IF($S$843=627,PR!$AM$689,IF($S$843=628,PR!$AM$690,IF($S$843=629,PR!$AM$691,IF($S$843=630,PR!$AM$692,IF($S$843=631,PR!$AM$693,IF($S$843=632,PR!$AM$694,IF($S$843=633,PR!$AM$695,IF($S$843=634,PR!$AM$696,IF($S$843=635,PR!$AM$697,IF($S$843=636,PR!$AM$698,IF($S$843=637,PR!$AM$699,IF($S$843=638,PR!$AM$700,IF($S$843=639,PR!$AM$701,IF($S$843=640,PR!$AM$702,IF($S$843=641,PR!$AM$703,IF($S$843=642,PR!$AM$704,IF($S$843=643,PR!$AM$705,IF($S$843=644,PR!$AM$706,IF($S$843=645,PR!$AM$707,IF($S$843=646,PR!$AM$708,IF($S$843=647,PR!$AM$709,IF($S$843=648,PR!$AM$710,IF($S$843=649,PR!$AM$711,IF($S$843=650,PR!$AM$712,IF($S$843=651,PR!$AM$716,IF($S$843=652,PR!$AM$717,IF($S$843=653,PR!$AM$718,IF($S$843=654,PR!$AM$719,IF($S$843=655,PR!$AM$720,IF($S$843=656,PR!$AM$721,IF($S$843=657,PR!$AM$722,IF($S$843=658,PR!$AM$723,IF($S$843=659,PR!$AM$724,IF($S$843=660,PR!$AM$725,"-"))))))))))))))))))))))))))))))))))))))))))))))))))))))))))))</f>
        <v>0</v>
      </c>
      <c r="D853" s="602">
        <f>IF($S$843=601,PR!$AN$663,IF($S$843=602,PR!$AN$664,IF($S$843=603,PR!$AN$665,IF($S$843=604,PR!$AN$666,IF($S$843=605,PR!$AN$667,IF($S$843=606,PR!$AN$668,IF($S$843=607,PR!$AN$669,IF($S$843=608,PR!$AN$670,IF($S$843=609,PR!$AN$671,IF($S$843=610,PR!$AN$672,IF($S$843=611,PR!$AN$673,IF($S$843=612,PR!$AN$674,IF($S$843=613,PR!$AN$675,IF($S$843=614,PR!$AN$676,IF($S$843=615,PR!$AN$677,IF($S$843=616,PR!$AN$678,IF($S$843=617,PR!$AN$679,IF($S$843=618,PR!$AN$680,IF($S$843=619,PR!$AN$681,IF($S$843=620,PR!$AN$682,IF($S$843=621,PR!$AN$683,IF($S$843=622,PR!$AN$684,IF($S$843=623,PR!$AN$685,IF($S$843=624,PR!$AN$686,IF($S$843=625,PR!$AN$687,IF($S$843=626,PR!$AN$688,IF($S$843=627,PR!$AN$689,IF($S$843=628,PR!$AN$690,IF($S$843=629,PR!$AN$691,IF($S$843=630,PR!$AN$692,IF($S$843=631,PR!$AN$693,IF($S$843=632,PR!$AN$694,IF($S$843=633,PR!$AN$695,IF($S$843=634,PR!$AN$696,IF($S$843=635,PR!$AN$697,IF($S$843=636,PR!$AN$698,IF($S$843=637,PR!$AN$699,IF($S$843=638,PR!$AN$700,IF($S$843=639,PR!$AN$701,IF($S$843=640,PR!$AN$702,IF($S$843=641,PR!$AN$703,IF($S$843=642,PR!$AN$704,IF($S$843=643,PR!$AN$705,IF($S$843=644,PR!$AN$706,IF($S$843=645,PR!$AN$707,IF($S$843=646,PR!$AN$708,IF($S$843=647,PR!$AN$709,IF($S$843=648,PR!$AN$710,IF($S$843=649,PR!$AN$711,IF($S$843=650,PR!$AN$712,IF($S$843=651,PR!$AN$716,IF($S$843=652,PR!$AN$717,IF($S$843=653,PR!$AN$718,IF($S$843=654,PR!$AN$719,IF($S$843=655,PR!$AN$720,IF($S$843=656,PR!$AN$721,IF($S$843=657,PR!$AN$722,IF($S$843=658,PR!$AN$723,IF($S$843=659,PR!$AN$724,IF($S$843=660,PR!$AN$725,"-"))))))))))))))))))))))))))))))))))))))))))))))))))))))))))))</f>
        <v>0</v>
      </c>
      <c r="E853" s="602">
        <f>IF($S$843=601,PR!$AO$663,IF($S$843=602,PR!$AO$664,IF($S$843=603,PR!$AO$665,IF($S$843=604,PR!$AO$666,IF($S$843=605,PR!$AO$667,IF($S$843=606,PR!$AO$668,IF($S$843=607,PR!$AO$669,IF($S$843=608,PR!$AO$670,IF($S$843=609,PR!$AO$671,IF($S$843=610,PR!$AO$672,IF($S$843=611,PR!$AO$673,IF($S$843=612,PR!$AO$674,IF($S$843=613,PR!$AO$675,IF($S$843=614,PR!$AO$676,IF($S$843=615,PR!$AO$677,IF($S$843=616,PR!$AO$678,IF($S$843=617,PR!$AO$679,IF($S$843=618,PR!$AO$680,IF($S$843=619,PR!$AO$681,IF($S$843=620,PR!$AO$682,IF($S$843=621,PR!$AO$683,IF($S$843=622,PR!$AO$684,IF($S$843=623,PR!$AO$685,IF($S$843=624,PR!$AO$686,IF($S$843=625,PR!$AO$687,IF($S$843=626,PR!$AO$688,IF($S$843=627,PR!$AO$689,IF($S$843=628,PR!$AO$690,IF($S$843=629,PR!$AO$691,IF($S$843=630,PR!$AO$692,IF($S$843=631,PR!$AO$693,IF($S$843=632,PR!$AO$694,IF($S$843=633,PR!$AO$695,IF($S$843=634,PR!$AO$696,IF($S$843=635,PR!$AO$697,IF($S$843=636,PR!$AO$698,IF($S$843=637,PR!$AO$699,IF($S$843=638,PR!$AO$700,IF($S$843=639,PR!$AO$701,IF($S$843=640,PR!$AO$702,IF($S$843=641,PR!$AO$703,IF($S$843=642,PR!$AO$704,IF($S$843=643,PR!$AO$705,IF($S$843=644,PR!$AO$706,IF($S$843=645,PR!$AO$707,IF($S$843=646,PR!$AO$708,IF($S$843=647,PR!$AO$709,IF($S$843=648,PR!$AO$710,IF($S$843=649,PR!$AO$711,IF($S$843=650,PR!$AO$712,IF($S$843=651,PR!$AO$716,IF($S$843=652,PR!$AO$717,IF($S$843=653,PR!$AO$718,IF($S$843=654,PR!$AO$719,IF($S$843=655,PR!$AO$720,IF($S$843=656,PR!$AO$721,IF($S$843=657,PR!$AO$722,IF($S$843=658,PR!$AO$723,IF($S$843=659,PR!$AO$724,IF($S$843=660,PR!$AO$725,"-"))))))))))))))))))))))))))))))))))))))))))))))))))))))))))))</f>
        <v>0</v>
      </c>
      <c r="F853" s="602">
        <f>IF($S$843=601,PR!$AP$663,IF($S$843=602,PR!$AP$664,IF($S$843=603,PR!$AP$665,IF($S$843=604,PR!$AP$666,IF($S$843=605,PR!$AP$667,IF($S$843=606,PR!$AP$668,IF($S$843=607,PR!$AP$669,IF($S$843=608,PR!$AP$670,IF($S$843=609,PR!$AP$671,IF($S$843=610,PR!$AP$672,IF($S$843=611,PR!$AP$673,IF($S$843=612,PR!$AP$674,IF($S$843=613,PR!$AP$675,IF($S$843=614,PR!$AP$676,IF($S$843=615,PR!$AP$677,IF($S$843=616,PR!$AP$678,IF($S$843=617,PR!$AP$679,IF($S$843=618,PR!$AP$680,IF($S$843=619,PR!$AP$681,IF($S$843=620,PR!$AP$682,IF($S$843=621,PR!$AP$683,IF($S$843=622,PR!$AP$684,IF($S$843=623,PR!$AP$685,IF($S$843=624,PR!$AP$686,IF($S$843=625,PR!$AP$687,IF($S$843=626,PR!$AP$688,IF($S$843=627,PR!$AP$689,IF($S$843=628,PR!$AP$690,IF($S$843=629,PR!$AP$691,IF($S$843=630,PR!$AP$692,IF($S$843=631,PR!$AP$693,IF($S$843=632,PR!$AP$694,IF($S$843=633,PR!$AP$695,IF($S$843=634,PR!$AP$696,IF($S$843=635,PR!$AP$697,IF($S$843=636,PR!$AP$698,IF($S$843=637,PR!$AP$699,IF($S$843=638,PR!$AP$700,IF($S$843=639,PR!$AP$701,IF($S$843=640,PR!$AP$702,IF($S$843=641,PR!$AP$703,IF($S$843=642,PR!$AP$704,IF($S$843=643,PR!$AP$705,IF($S$843=644,PR!$AP$706,IF($S$843=645,PR!$AP$707,IF($S$843=646,PR!$AP$708,IF($S$843=647,PR!$AP$709,IF($S$843=648,PR!$AP$710,IF($S$843=649,PR!$AP$711,IF($S$843=650,PR!$AP$712,IF($S$843=651,PR!$AP$716,IF($S$843=652,PR!$AP$717,IF($S$843=653,PR!$AP$718,IF($S$843=654,PR!$AP$719,IF($S$843=655,PR!$AP$720,IF($S$843=656,PR!$AP$721,IF($S$843=657,PR!$AP$722,IF($S$843=658,PR!$AP$723,IF($S$843=659,PR!$AP$724,IF($S$843=660,PR!$AP$725,"-"))))))))))))))))))))))))))))))))))))))))))))))))))))))))))))</f>
        <v>0</v>
      </c>
      <c r="G853" s="602">
        <f>IF($S$843=601,PR!$AQ$663,IF($S$843=602,PR!$AQ$664,IF($S$843=603,PR!$AQ$665,IF($S$843=604,PR!$AQ$666,IF($S$843=605,PR!$AQ$667,IF($S$843=606,PR!$AQ$668,IF($S$843=607,PR!$AQ$669,IF($S$843=608,PR!$AQ$670,IF($S$843=609,PR!$AQ$671,IF($S$843=610,PR!$AQ$672,IF($S$843=611,PR!$AQ$673,IF($S$843=612,PR!$AQ$674,IF($S$843=613,PR!$AQ$675,IF($S$843=614,PR!$AQ$676,IF($S$843=615,PR!$AQ$677,IF($S$843=616,PR!$AQ$678,IF($S$843=617,PR!$AQ$679,IF($S$843=618,PR!$AQ$680,IF($S$843=619,PR!$AQ$681,IF($S$843=620,PR!$AQ$682,IF($S$843=621,PR!$AQ$683,IF($S$843=622,PR!$AQ$684,IF($S$843=623,PR!$AQ$685,IF($S$843=624,PR!$AQ$686,IF($S$843=625,PR!$AQ$687,IF($S$843=626,PR!$AQ$688,IF($S$843=627,PR!$AQ$689,IF($S$843=628,PR!$AQ$690,IF($S$843=629,PR!$AQ$691,IF($S$843=630,PR!$AQ$692,IF($S$843=631,PR!$AQ$693,IF($S$843=632,PR!$AQ$694,IF($S$843=633,PR!$AQ$695,IF($S$843=634,PR!$AQ$696,IF($S$843=635,PR!$AQ$697,IF($S$843=636,PR!$AQ$698,IF($S$843=637,PR!$AQ$699,IF($S$843=638,PR!$AQ$700,IF($S$843=639,PR!$AQ$701,IF($S$843=640,PR!$AQ$702,IF($S$843=641,PR!$AQ$703,IF($S$843=642,PR!$AQ$704,IF($S$843=643,PR!$AQ$705,IF($S$843=644,PR!$AQ$706,IF($S$843=645,PR!$AQ$707,IF($S$843=646,PR!$AQ$708,IF($S$843=647,PR!$AQ$709,IF($S$843=648,PR!$AQ$710,IF($S$843=649,PR!$AQ$711,IF($S$843=650,PR!$AQ$712,IF($S$843=651,PR!$AQ$716,IF($S$843=652,PR!$AQ$717,IF($S$843=653,PR!$AQ$718,IF($S$843=654,PR!$AQ$719,IF($S$843=655,PR!$AQ$720,IF($S$843=656,PR!$AQ$721,IF($S$843=657,PR!$AQ$722,IF($S$843=658,PR!$AQ$723,IF($S$843=659,PR!$AQ$724,IF($S$843=660,PR!$AQ$725,"-"))))))))))))))))))))))))))))))))))))))))))))))))))))))))))))</f>
        <v>0</v>
      </c>
      <c r="H853" s="602">
        <f>IF($S$843=601,PR!$AR$663,IF($S$843=602,PR!$AR$664,IF($S$843=603,PR!$AR$665,IF($S$843=604,PR!$AR$666,IF($S$843=605,PR!$AR$667,IF($S$843=606,PR!$AR$668,IF($S$843=607,PR!$AR$669,IF($S$843=608,PR!$AR$670,IF($S$843=609,PR!$AR$671,IF($S$843=610,PR!$AR$672,IF($S$843=611,PR!$AR$673,IF($S$843=612,PR!$AR$674,IF($S$843=613,PR!$AR$675,IF($S$843=614,PR!$AR$676,IF($S$843=615,PR!$AR$677,IF($S$843=616,PR!$AR$678,IF($S$843=617,PR!$AR$679,IF($S$843=618,PR!$AR$680,IF($S$843=619,PR!$AR$681,IF($S$843=620,PR!$AR$682,IF($S$843=621,PR!$AR$683,IF($S$843=622,PR!$AR$684,IF($S$843=623,PR!$AR$685,IF($S$843=624,PR!$AR$686,IF($S$843=625,PR!$AR$687,IF($S$843=626,PR!$AR$688,IF($S$843=627,PR!$AR$689,IF($S$843=628,PR!$AR$690,IF($S$843=629,PR!$AR$691,IF($S$843=630,PR!$AR$692,IF($S$843=631,PR!$AR$693,IF($S$843=632,PR!$AR$694,IF($S$843=633,PR!$AR$695,IF($S$843=634,PR!$AR$696,IF($S$843=635,PR!$AR$697,IF($S$843=636,PR!$AR$698,IF($S$843=637,PR!$AR$699,IF($S$843=638,PR!$AR$700,IF($S$843=639,PR!$AR$701,IF($S$843=640,PR!$AR$702,IF($S$843=641,PR!$AR$703,IF($S$843=642,PR!$AR$704,IF($S$843=643,PR!$AR$705,IF($S$843=644,PR!$AR$706,IF($S$843=645,PR!$AR$707,IF($S$843=646,PR!$AR$708,IF($S$843=647,PR!$AR$709,IF($S$843=648,PR!$AR$710,IF($S$843=649,PR!$AR$711,IF($S$843=650,PR!$AR$712,IF($S$843=651,PR!$AR$716,IF($S$843=652,PR!$AR$717,IF($S$843=653,PR!$AR$718,IF($S$843=654,PR!$AR$719,IF($S$843=655,PR!$AR$720,IF($S$843=656,PR!$AR$721,IF($S$843=657,PR!$AR$722,IF($S$843=658,PR!$AR$723,IF($S$843=659,PR!$AR$724,IF($S$843=660,PR!$AR$725,"-"))))))))))))))))))))))))))))))))))))))))))))))))))))))))))))</f>
        <v>0</v>
      </c>
      <c r="I853" s="602">
        <f>IF($S$843=601,PR!$AS$663,IF($S$843=602,PR!$AS$664,IF($S$843=603,PR!$AS$665,IF($S$843=604,PR!$AS$666,IF($S$843=605,PR!$AS$667,IF($S$843=606,PR!$AS$668,IF($S$843=607,PR!$AS$669,IF($S$843=608,PR!$AS$670,IF($S$843=609,PR!$AS$671,IF($S$843=610,PR!$AS$672,IF($S$843=611,PR!$AS$673,IF($S$843=612,PR!$AS$674,IF($S$843=613,PR!$AS$675,IF($S$843=614,PR!$AS$676,IF($S$843=615,PR!$AS$677,IF($S$843=616,PR!$AS$678,IF($S$843=617,PR!$AS$679,IF($S$843=618,PR!$AS$680,IF($S$843=619,PR!$AS$681,IF($S$843=620,PR!$AS$682,IF($S$843=621,PR!$AS$683,IF($S$843=622,PR!$AS$684,IF($S$843=623,PR!$AS$685,IF($S$843=624,PR!$AS$686,IF($S$843=625,PR!$AS$687,IF($S$843=626,PR!$AS$688,IF($S$843=627,PR!$AS$689,IF($S$843=628,PR!$AS$690,IF($S$843=629,PR!$AS$691,IF($S$843=630,PR!$AS$692,IF($S$843=631,PR!$AS$693,IF($S$843=632,PR!$AS$694,IF($S$843=633,PR!$AS$695,IF($S$843=634,PR!$AS$696,IF($S$843=635,PR!$AS$697,IF($S$843=636,PR!$AS$698,IF($S$843=637,PR!$AS$699,IF($S$843=638,PR!$AS$700,IF($S$843=639,PR!$AS$701,IF($S$843=640,PR!$AS$702,IF($S$843=641,PR!$AS$703,IF($S$843=642,PR!$AS$704,IF($S$843=643,PR!$AS$705,IF($S$843=644,PR!$AS$706,IF($S$843=645,PR!$AS$707,IF($S$843=646,PR!$AS$708,IF($S$843=647,PR!$AS$709,IF($S$843=648,PR!$AS$710,IF($S$843=649,PR!$AS$711,IF($S$843=650,PR!$AS$712,IF($S$843=651,PR!$AS$716,IF($S$843=652,PR!$AS$717,IF($S$843=653,PR!$AS$718,IF($S$843=654,PR!$AS$719,IF($S$843=655,PR!$AS$720,IF($S$843=656,PR!$AS$721,IF($S$843=657,PR!$AS$722,IF($S$843=658,PR!$AS$723,IF($S$843=659,PR!$AS$724,IF($S$843=660,PR!$AS$725,"-"))))))))))))))))))))))))))))))))))))))))))))))))))))))))))))</f>
        <v>0</v>
      </c>
      <c r="J853" s="602">
        <f>IF($S$843=601,PR!$AT$663,IF($S$843=602,PR!$AT$664,IF($S$843=603,PR!$AT$665,IF($S$843=604,PR!$AT$666,IF($S$843=605,PR!$AT$667,IF($S$843=606,PR!$AT$668,IF($S$843=607,PR!$AT$669,IF($S$843=608,PR!$AT$670,IF($S$843=609,PR!$AT$671,IF($S$843=610,PR!$AT$672,IF($S$843=611,PR!$AT$673,IF($S$843=612,PR!$AT$674,IF($S$843=613,PR!$AT$675,IF($S$843=614,PR!$AT$676,IF($S$843=615,PR!$AT$677,IF($S$843=616,PR!$AT$678,IF($S$843=617,PR!$AT$679,IF($S$843=618,PR!$AT$680,IF($S$843=619,PR!$AT$681,IF($S$843=620,PR!$AT$682,IF($S$843=621,PR!$AT$683,IF($S$843=622,PR!$AT$684,IF($S$843=623,PR!$AT$685,IF($S$843=624,PR!$AT$686,IF($S$843=625,PR!$AT$687,IF($S$843=626,PR!$AT$688,IF($S$843=627,PR!$AT$689,IF($S$843=628,PR!$AT$690,IF($S$843=629,PR!$AT$691,IF($S$843=630,PR!$AT$692,IF($S$843=631,PR!$AT$693,IF($S$843=632,PR!$AT$694,IF($S$843=633,PR!$AT$695,IF($S$843=634,PR!$AT$696,IF($S$843=635,PR!$AT$697,IF($S$843=636,PR!$AT$698,IF($S$843=637,PR!$AT$699,IF($S$843=638,PR!$AT$700,IF($S$843=639,PR!$AT$701,IF($S$843=640,PR!$AT$702,IF($S$843=641,PR!$AT$703,IF($S$843=642,PR!$AT$704,IF($S$843=643,PR!$AT$705,IF($S$843=644,PR!$AT$706,IF($S$843=645,PR!$AT$707,IF($S$843=646,PR!$AT$708,IF($S$843=647,PR!$AT$709,IF($S$843=648,PR!$AT$710,IF($S$843=649,PR!$AT$711,IF($S$843=650,PR!$AT$712,IF($S$843=651,PR!$AT$716,IF($S$843=652,PR!$AT$717,IF($S$843=653,PR!$AT$718,IF($S$843=654,PR!$AT$719,IF($S$843=655,PR!$AT$720,IF($S$843=656,PR!$AT$721,IF($S$843=657,PR!$AT$722,IF($S$843=658,PR!$AT$723,IF($S$843=659,PR!$AT$724,IF($S$843=660,PR!$AT$725,"-"))))))))))))))))))))))))))))))))))))))))))))))))))))))))))))</f>
        <v>0</v>
      </c>
      <c r="K853" s="602">
        <f>IF($S$843=601,PR!$AU$663,IF($S$843=602,PR!$AU$664,IF($S$843=603,PR!$AU$665,IF($S$843=604,PR!$AU$666,IF($S$843=605,PR!$AU$667,IF($S$843=606,PR!$AU$668,IF($S$843=607,PR!$AU$669,IF($S$843=608,PR!$AU$670,IF($S$843=609,PR!$AU$671,IF($S$843=610,PR!$AU$672,IF($S$843=611,PR!$AU$673,IF($S$843=612,PR!$AU$674,IF($S$843=613,PR!$AU$675,IF($S$843=614,PR!$AU$676,IF($S$843=615,PR!$AU$677,IF($S$843=616,PR!$AU$678,IF($S$843=617,PR!$AU$679,IF($S$843=618,PR!$AU$680,IF($S$843=619,PR!$AU$681,IF($S$843=620,PR!$AU$682,IF($S$843=621,PR!$AU$683,IF($S$843=622,PR!$AU$684,IF($S$843=623,PR!$AU$685,IF($S$843=624,PR!$AU$686,IF($S$843=625,PR!$AU$687,IF($S$843=626,PR!$AU$688,IF($S$843=627,PR!$AU$689,IF($S$843=628,PR!$AU$690,IF($S$843=629,PR!$AU$691,IF($S$843=630,PR!$AU$692,IF($S$843=631,PR!$AU$693,IF($S$843=632,PR!$AU$694,IF($S$843=633,PR!$AU$695,IF($S$843=634,PR!$AU$696,IF($S$843=635,PR!$AU$697,IF($S$843=636,PR!$AU$698,IF($S$843=637,PR!$AU$699,IF($S$843=638,PR!$AU$700,IF($S$843=639,PR!$AU$701,IF($S$843=640,PR!$AU$702,IF($S$843=641,PR!$AU$703,IF($S$843=642,PR!$AU$704,IF($S$843=643,PR!$AU$705,IF($S$843=644,PR!$AU$706,IF($S$843=645,PR!$AU$707,IF($S$843=646,PR!$AU$708,IF($S$843=647,PR!$AU$709,IF($S$843=648,PR!$AU$710,IF($S$843=649,PR!$AU$711,IF($S$843=650,PR!$AU$712,IF($S$843=651,PR!$AU$716,IF($S$843=652,PR!$AU$717,IF($S$843=653,PR!$AU$718,IF($S$843=654,PR!$AU$719,IF($S$843=655,PR!$AU$720,IF($S$843=656,PR!$AU$721,IF($S$843=657,PR!$AU$722,IF($S$843=658,PR!$AU$723,IF($S$843=659,PR!$AU$724,IF($S$843=660,PR!$AU$725,"-"))))))))))))))))))))))))))))))))))))))))))))))))))))))))))))</f>
        <v>0</v>
      </c>
      <c r="L853" s="602">
        <f>IF($S$843=601,PR!$AV$663,IF($S$843=602,PR!$AV$664,IF($S$843=603,PR!$AV$665,IF($S$843=604,PR!$AV$666,IF($S$843=605,PR!$AV$667,IF($S$843=606,PR!$AV$668,IF($S$843=607,PR!$AV$669,IF($S$843=608,PR!$AV$670,IF($S$843=609,PR!$AV$671,IF($S$843=610,PR!$AV$672,IF($S$843=611,PR!$AV$673,IF($S$843=612,PR!$AV$674,IF($S$843=613,PR!$AV$675,IF($S$843=614,PR!$AV$676,IF($S$843=615,PR!$AV$677,IF($S$843=616,PR!$AV$678,IF($S$843=617,PR!$AV$679,IF($S$843=618,PR!$AV$680,IF($S$843=619,PR!$AV$681,IF($S$843=620,PR!$AV$682,IF($S$843=621,PR!$AV$683,IF($S$843=622,PR!$AV$684,IF($S$843=623,PR!$AV$685,IF($S$843=624,PR!$AV$686,IF($S$843=625,PR!$AV$687,IF($S$843=626,PR!$AV$688,IF($S$843=627,PR!$AV$689,IF($S$843=628,PR!$AV$690,IF($S$843=629,PR!$AV$691,IF($S$843=630,PR!$AV$692,IF($S$843=631,PR!$AV$693,IF($S$843=632,PR!$AV$694,IF($S$843=633,PR!$AV$695,IF($S$843=634,PR!$AV$696,IF($S$843=635,PR!$AV$697,IF($S$843=636,PR!$AV$698,IF($S$843=637,PR!$AV$699,IF($S$843=638,PR!$AV$700,IF($S$843=639,PR!$AV$701,IF($S$843=640,PR!$AV$702,IF($S$843=641,PR!$AV$703,IF($S$843=642,PR!$AV$704,IF($S$843=643,PR!$AV$705,IF($S$843=644,PR!$AV$706,IF($S$843=645,PR!$AV$707,IF($S$843=646,PR!$AV$708,IF($S$843=647,PR!$AV$709,IF($S$843=648,PR!$AV$710,IF($S$843=649,PR!$AV$711,IF($S$843=650,PR!$AV$712,IF($S$843=651,PR!$AV$716,IF($S$843=652,PR!$AV$717,IF($S$843=653,PR!$AV$718,IF($S$843=654,PR!$AV$719,IF($S$843=655,PR!$AV$720,IF($S$843=656,PR!$AV$721,IF($S$843=657,PR!$AV$722,IF($S$843=658,PR!$AV$723,IF($S$843=659,PR!$AV$724,IF($S$843=660,PR!$AV$725,"-"))))))))))))))))))))))))))))))))))))))))))))))))))))))))))))</f>
        <v>0</v>
      </c>
      <c r="M853" s="602">
        <f>IF($S$843=601,PR!$AW$663,IF($S$843=602,PR!$AW$664,IF($S$843=603,PR!$AW$665,IF($S$843=604,PR!$AW$666,IF($S$843=605,PR!$AW$667,IF($S$843=606,PR!$AW$668,IF($S$843=607,PR!$AW$669,IF($S$843=608,PR!$AW$670,IF($S$843=609,PR!$AW$671,IF($S$843=610,PR!$AW$672,IF($S$843=611,PR!$AW$673,IF($S$843=612,PR!$AW$674,IF($S$843=613,PR!$AW$675,IF($S$843=614,PR!$AW$676,IF($S$843=615,PR!$AW$677,IF($S$843=616,PR!$AW$678,IF($S$843=617,PR!$AW$679,IF($S$843=618,PR!$AW$680,IF($S$843=619,PR!$AW$681,IF($S$843=620,PR!$AW$682,IF($S$843=621,PR!$AW$683,IF($S$843=622,PR!$AW$684,IF($S$843=623,PR!$AW$685,IF($S$843=624,PR!$AW$686,IF($S$843=625,PR!$AW$687,IF($S$843=626,PR!$AW$688,IF($S$843=627,PR!$AW$689,IF($S$843=628,PR!$AW$690,IF($S$843=629,PR!$AW$691,IF($S$843=630,PR!$AW$692,IF($S$843=631,PR!$AW$693,IF($S$843=632,PR!$AW$694,IF($S$843=633,PR!$AW$695,IF($S$843=634,PR!$AW$696,IF($S$843=635,PR!$AW$697,IF($S$843=636,PR!$AW$698,IF($S$843=637,PR!$AW$699,IF($S$843=638,PR!$AW$700,IF($S$843=639,PR!$AW$701,IF($S$843=640,PR!$AW$702,IF($S$843=641,PR!$AW$703,IF($S$843=642,PR!$AW$704,IF($S$843=643,PR!$AW$705,IF($S$843=644,PR!$AW$706,IF($S$843=645,PR!$AW$707,IF($S$843=646,PR!$AW$708,IF($S$843=647,PR!$AW$709,IF($S$843=648,PR!$AW$710,IF($S$843=649,PR!$AW$711,IF($S$843=650,PR!$AW$712,IF($S$843=651,PR!$AW$716,IF($S$843=652,PR!$AW$717,IF($S$843=653,PR!$AW$718,IF($S$843=654,PR!$AW$719,IF($S$843=655,PR!$AW$720,IF($S$843=656,PR!$AW$721,IF($S$843=657,PR!$AW$722,IF($S$843=658,PR!$AW$723,IF($S$843=659,PR!$AW$724,IF($S$843=660,PR!$AW$725,"-"))))))))))))))))))))))))))))))))))))))))))))))))))))))))))))</f>
        <v>0</v>
      </c>
      <c r="N853" s="602">
        <f>IF($S$843=601,PR!$AX$663,IF($S$843=602,PR!$AX$664,IF($S$843=603,PR!$AX$665,IF($S$843=604,PR!$AX$666,IF($S$843=605,PR!$AX$667,IF($S$843=606,PR!$AX$668,IF($S$843=607,PR!$AX$669,IF($S$843=608,PR!$AX$670,IF($S$843=609,PR!$AX$671,IF($S$843=610,PR!$AX$672,IF($S$843=611,PR!$AX$673,IF($S$843=612,PR!$AX$674,IF($S$843=613,PR!$AX$675,IF($S$843=614,PR!$AX$676,IF($S$843=615,PR!$AX$677,IF($S$843=616,PR!$AX$678,IF($S$843=617,PR!$AX$679,IF($S$843=618,PR!$AX$680,IF($S$843=619,PR!$AX$681,IF($S$843=620,PR!$AX$682,IF($S$843=621,PR!$AX$683,IF($S$843=622,PR!$AX$684,IF($S$843=623,PR!$AX$685,IF($S$843=624,PR!$AX$686,IF($S$843=625,PR!$AX$687,IF($S$843=626,PR!$AX$688,IF($S$843=627,PR!$AX$689,IF($S$843=628,PR!$AX$690,IF($S$843=629,PR!$AX$691,IF($S$843=630,PR!$AX$692,IF($S$843=631,PR!$AX$693,IF($S$843=632,PR!$AX$694,IF($S$843=633,PR!$AX$695,IF($S$843=634,PR!$AX$696,IF($S$843=635,PR!$AX$697,IF($S$843=636,PR!$AX$698,IF($S$843=637,PR!$AX$699,IF($S$843=638,PR!$AX$700,IF($S$843=639,PR!$AX$701,IF($S$843=640,PR!$AX$702,IF($S$843=641,PR!$AX$703,IF($S$843=642,PR!$AX$704,IF($S$843=643,PR!$AX$705,IF($S$843=644,PR!$AX$706,IF($S$843=645,PR!$AX$707,IF($S$843=646,PR!$AX$708,IF($S$843=647,PR!$AX$709,IF($S$843=648,PR!$AX$710,IF($S$843=649,PR!$AX$711,IF($S$843=650,PR!$AX$712,IF($S$843=651,PR!$AX$716,IF($S$843=652,PR!$AX$717,IF($S$843=653,PR!$AX$718,IF($S$843=654,PR!$AX$719,IF($S$843=655,PR!$AX$720,IF($S$843=656,PR!$AX$721,IF($S$843=657,PR!$AX$722,IF($S$843=658,PR!$AX$723,IF($S$843=659,PR!$AX$724,IF($S$843=660,PR!$AX$725,"-"))))))))))))))))))))))))))))))))))))))))))))))))))))))))))))</f>
        <v>0</v>
      </c>
      <c r="O853" s="602">
        <f>IF($S$843=601,PR!$AY$663,IF($S$843=602,PR!$AY$664,IF($S$843=603,PR!$AY$665,IF($S$843=604,PR!$AY$666,IF($S$843=605,PR!$AY$667,IF($S$843=606,PR!$AY$668,IF($S$843=607,PR!$AY$669,IF($S$843=608,PR!$AY$670,IF($S$843=609,PR!$AY$671,IF($S$843=610,PR!$AY$672,IF($S$843=611,PR!$AY$673,IF($S$843=612,PR!$AY$674,IF($S$843=613,PR!$AY$675,IF($S$843=614,PR!$AY$676,IF($S$843=615,PR!$AY$677,IF($S$843=616,PR!$AY$678,IF($S$843=617,PR!$AY$679,IF($S$843=618,PR!$AY$680,IF($S$843=619,PR!$AY$681,IF($S$843=620,PR!$AY$682,IF($S$843=621,PR!$AY$683,IF($S$843=622,PR!$AY$684,IF($S$843=623,PR!$AY$685,IF($S$843=624,PR!$AY$686,IF($S$843=625,PR!$AY$687,IF($S$843=626,PR!$AY$688,IF($S$843=627,PR!$AY$689,IF($S$843=628,PR!$AY$690,IF($S$843=629,PR!$AY$691,IF($S$843=630,PR!$AY$692,IF($S$843=631,PR!$AY$693,IF($S$843=632,PR!$AY$694,IF($S$843=633,PR!$AY$695,IF($S$843=634,PR!$AY$696,IF($S$843=635,PR!$AY$697,IF($S$843=636,PR!$AY$698,IF($S$843=637,PR!$AY$699,IF($S$843=638,PR!$AY$700,IF($S$843=639,PR!$AY$701,IF($S$843=640,PR!$AY$702,IF($S$843=641,PR!$AY$703,IF($S$843=642,PR!$AY$704,IF($S$843=643,PR!$AY$705,IF($S$843=644,PR!$AY$706,IF($S$843=645,PR!$AY$707,IF($S$843=646,PR!$AY$708,IF($S$843=647,PR!$AY$709,IF($S$843=648,PR!$AY$710,IF($S$843=649,PR!$AY$711,IF($S$843=650,PR!$AY$712,IF($S$843=651,PR!$AY$716,IF($S$843=652,PR!$AY$717,IF($S$843=653,PR!$AY$718,IF($S$843=654,PR!$AY$719,IF($S$843=655,PR!$AY$720,IF($S$843=656,PR!$AY$721,IF($S$843=657,PR!$AY$722,IF($S$843=658,PR!$AY$723,IF($S$843=659,PR!$AY$724,IF($S$843=660,PR!$AY$725,"-"))))))))))))))))))))))))))))))))))))))))))))))))))))))))))))</f>
        <v>0</v>
      </c>
      <c r="P853" s="602">
        <f>IF($S$843=601,PR!$AZ$663,IF($S$843=602,PR!$AZ$664,IF($S$843=603,PR!$AZ$665,IF($S$843=604,PR!$AZ$666,IF($S$843=605,PR!$AZ$667,IF($S$843=606,PR!$AZ$668,IF($S$843=607,PR!$AZ$669,IF($S$843=608,PR!$AZ$670,IF($S$843=609,PR!$AZ$671,IF($S$843=610,PR!$AZ$672,IF($S$843=611,PR!$AZ$673,IF($S$843=612,PR!$AZ$674,IF($S$843=613,PR!$AZ$675,IF($S$843=614,PR!$AZ$676,IF($S$843=615,PR!$AZ$677,IF($S$843=616,PR!$AZ$678,IF($S$843=617,PR!$AZ$679,IF($S$843=618,PR!$AZ$680,IF($S$843=619,PR!$AZ$681,IF($S$843=620,PR!$AZ$682,IF($S$843=621,PR!$AZ$683,IF($S$843=622,PR!$AZ$684,IF($S$843=623,PR!$AZ$685,IF($S$843=624,PR!$AZ$686,IF($S$843=625,PR!$AZ$687,IF($S$843=626,PR!$AZ$688,IF($S$843=627,PR!$AZ$689,IF($S$843=628,PR!$AZ$690,IF($S$843=629,PR!$AZ$691,IF($S$843=630,PR!$AZ$692,IF($S$843=631,PR!$AZ$693,IF($S$843=632,PR!$AZ$694,IF($S$843=633,PR!$AZ$695,IF($S$843=634,PR!$AZ$696,IF($S$843=635,PR!$AZ$697,IF($S$843=636,PR!$AZ$698,IF($S$843=637,PR!$AZ$699,IF($S$843=638,PR!$AZ$700,IF($S$843=639,PR!$AZ$701,IF($S$843=640,PR!$AZ$702,IF($S$843=641,PR!$AZ$703,IF($S$843=642,PR!$AZ$704,IF($S$843=643,PR!$AZ$705,IF($S$843=644,PR!$AZ$706,IF($S$843=645,PR!$AZ$707,IF($S$843=646,PR!$AZ$708,IF($S$843=647,PR!$AZ$709,IF($S$843=648,PR!$AZ$710,IF($S$843=649,PR!$AZ$711,IF($S$843=650,PR!$AZ$712,IF($S$843=651,PR!$AZ$716,IF($S$843=652,PR!$AZ$717,IF($S$843=653,PR!$AZ$718,IF($S$843=654,PR!$AZ$719,IF($S$843=655,PR!$AZ$720,IF($S$843=656,PR!$AZ$721,IF($S$843=657,PR!$AZ$722,IF($S$843=658,PR!$AZ$723,IF($S$843=659,PR!$AZ$724,IF($S$843=660,PR!$AZ$725,"-"))))))))))))))))))))))))))))))))))))))))))))))))))))))))))))</f>
        <v>0</v>
      </c>
      <c r="Q853" s="602">
        <f>IF($S$843=601,PR!$BA$663,IF($S$843=602,PR!$BA$664,IF($S$843=603,PR!$BA$665,IF($S$843=604,PR!$BA$666,IF($S$843=605,PR!$BA$667,IF($S$843=606,PR!$BA$668,IF($S$843=607,PR!$BA$669,IF($S$843=608,PR!$BA$670,IF($S$843=609,PR!$BA$671,IF($S$843=610,PR!$BA$672,IF($S$843=611,PR!$BA$673,IF($S$843=612,PR!$BA$674,IF($S$843=613,PR!$BA$675,IF($S$843=614,PR!$BA$676,IF($S$843=615,PR!$BA$677,IF($S$843=616,PR!$BA$678,IF($S$843=617,PR!$BA$679,IF($S$843=618,PR!$BA$680,IF($S$843=619,PR!$BA$681,IF($S$843=620,PR!$BA$682,IF($S$843=621,PR!$BA$683,IF($S$843=622,PR!$BA$684,IF($S$843=623,PR!$BA$685,IF($S$843=624,PR!$BA$686,IF($S$843=625,PR!$BA$687,IF($S$843=626,PR!$BA$688,IF($S$843=627,PR!$BA$689,IF($S$843=628,PR!$BA$690,IF($S$843=629,PR!$BA$691,IF($S$843=630,PR!$BA$692,IF($S$843=631,PR!$BA$693,IF($S$843=632,PR!$BA$694,IF($S$843=633,PR!$BA$695,IF($S$843=634,PR!$BA$696,IF($S$843=635,PR!$BA$697,IF($S$843=636,PR!$BA$698,IF($S$843=637,PR!$BA$699,IF($S$843=638,PR!$BA$700,IF($S$843=639,PR!$BA$701,IF($S$843=640,PR!$BA$702,IF($S$843=641,PR!$BA$703,IF($S$843=642,PR!$BA$704,IF($S$843=643,PR!$BA$705,IF($S$843=644,PR!$BA$706,IF($S$843=645,PR!$BA$707,IF($S$843=646,PR!$BA$708,IF($S$843=647,PR!$BA$709,IF($S$843=648,PR!$BA$710,IF($S$843=649,PR!$BA$711,IF($S$843=650,PR!$BA$712,IF($S$843=651,PR!$BA$716,IF($S$843=652,PR!$BA$717,IF($S$843=653,PR!$BA$718,IF($S$843=654,PR!$BA$719,IF($S$843=655,PR!$BA$720,IF($S$843=656,PR!$BA$721,IF($S$843=657,PR!$BA$722,IF($S$843=658,PR!$BA$723,IF($S$843=659,PR!$BA$724,IF($S$843=660,PR!$BA$725,"-"))))))))))))))))))))))))))))))))))))))))))))))))))))))))))))</f>
        <v>0</v>
      </c>
      <c r="R853" s="602">
        <f>IF($S$843=601,PR!$BB$663,IF($S$843=602,PR!$BB$664,IF($S$843=603,PR!$BB$665,IF($S$843=604,PR!$BB$666,IF($S$843=605,PR!$BB$667,IF($S$843=606,PR!$BB$668,IF($S$843=607,PR!$BB$669,IF($S$843=608,PR!$BB$670,IF($S$843=609,PR!$BB$671,IF($S$843=610,PR!$BB$672,IF($S$843=611,PR!$BB$673,IF($S$843=612,PR!$BB$674,IF($S$843=613,PR!$BB$675,IF($S$843=614,PR!$BB$676,IF($S$843=615,PR!$BB$677,IF($S$843=616,PR!$BB$678,IF($S$843=617,PR!$BB$679,IF($S$843=618,PR!$BB$680,IF($S$843=619,PR!$BB$681,IF($S$843=620,PR!$BB$682,IF($S$843=621,PR!$BB$683,IF($S$843=622,PR!$BB$684,IF($S$843=623,PR!$BB$685,IF($S$843=624,PR!$BB$686,IF($S$843=625,PR!$BB$687,IF($S$843=626,PR!$BB$688,IF($S$843=627,PR!$BB$689,IF($S$843=628,PR!$BB$690,IF($S$843=629,PR!$BB$691,IF($S$843=630,PR!$BB$692,IF($S$843=631,PR!$BB$693,IF($S$843=632,PR!$BB$694,IF($S$843=633,PR!$BB$695,IF($S$843=634,PR!$BB$696,IF($S$843=635,PR!$BB$697,IF($S$843=636,PR!$BB$698,IF($S$843=637,PR!$BB$699,IF($S$843=638,PR!$BB$700,IF($S$843=639,PR!$BB$701,IF($S$843=640,PR!$BB$702,IF($S$843=641,PR!$BB$703,IF($S$843=642,PR!$BB$704,IF($S$843=643,PR!$BB$705,IF($S$843=644,PR!$BB$706,IF($S$843=645,PR!$BB$707,IF($S$843=646,PR!$BB$708,IF($S$843=647,PR!$BB$709,IF($S$843=648,PR!$BB$710,IF($S$843=649,PR!$BB$711,IF($S$843=650,PR!$BB$712,IF($S$843=651,PR!$BB$716,IF($S$843=652,PR!$BB$717,IF($S$843=653,PR!$BB$718,IF($S$843=654,PR!$BB$719,IF($S$843=655,PR!$BB$720,IF($S$843=656,PR!$BB$721,IF($S$843=657,PR!$BB$722,IF($S$843=658,PR!$BB$723,IF($S$843=659,PR!$BB$724,IF($S$843=660,PR!$BB$725,"-"))))))))))))))))))))))))))))))))))))))))))))))))))))))))))))</f>
        <v>0</v>
      </c>
      <c r="S853" s="602">
        <f>IF($S$843=601,PR!$BC$663,IF($S$843=602,PR!$BC$664,IF($S$843=603,PR!$BC$665,IF($S$843=604,PR!$BC$666,IF($S$843=605,PR!$BC$667,IF($S$843=606,PR!$BC$668,IF($S$843=607,PR!$BC$669,IF($S$843=608,PR!$BC$670,IF($S$843=609,PR!$BC$671,IF($S$843=610,PR!$BC$672,IF($S$843=611,PR!$BC$673,IF($S$843=612,PR!$BC$674,IF($S$843=613,PR!$BC$675,IF($S$843=614,PR!$BC$676,IF($S$843=615,PR!$BC$677,IF($S$843=616,PR!$BC$678,IF($S$843=617,PR!$BC$679,IF($S$843=618,PR!$BC$680,IF($S$843=619,PR!$BC$681,IF($S$843=620,PR!$BC$682,IF($S$843=621,PR!$BC$683,IF($S$843=622,PR!$BC$684,IF($S$843=623,PR!$BC$685,IF($S$843=624,PR!$BC$686,IF($S$843=625,PR!$BC$687,IF($S$843=626,PR!$BC$688,IF($S$843=627,PR!$BC$689,IF($S$843=628,PR!$BC$690,IF($S$843=629,PR!$BC$691,IF($S$843=630,PR!$BC$692,IF($S$843=631,PR!$BC$693,IF($S$843=632,PR!$BC$694,IF($S$843=633,PR!$BC$695,IF($S$843=634,PR!$BC$696,IF($S$843=635,PR!$BC$697,IF($S$843=636,PR!$BC$698,IF($S$843=637,PR!$BC$699,IF($S$843=638,PR!$BC$700,IF($S$843=639,PR!$BC$701,IF($S$843=640,PR!$BC$702,IF($S$843=641,PR!$BC$703,IF($S$843=642,PR!$BC$704,IF($S$843=643,PR!$BC$705,IF($S$843=644,PR!$BC$706,IF($S$843=645,PR!$BC$707,IF($S$843=646,PR!$BC$708,IF($S$843=647,PR!$BC$709,IF($S$843=648,PR!$BC$710,IF($S$843=649,PR!$BC$711,IF($S$843=650,PR!$BC$712,IF($S$843=651,PR!$BC$716,IF($S$843=652,PR!$BC$717,IF($S$843=653,PR!$BC$718,IF($S$843=654,PR!$BC$719,IF($S$843=655,PR!$BC$720,IF($S$843=656,PR!$BC$721,IF($S$843=657,PR!$BC$722,IF($S$843=658,PR!$BC$723,IF($S$843=659,PR!$BC$724,IF($S$843=660,PR!$BC$725,"-"))))))))))))))))))))))))))))))))))))))))))))))))))))))))))))</f>
        <v>0</v>
      </c>
      <c r="T853" s="580"/>
      <c r="U853" s="580"/>
      <c r="V853" s="32"/>
      <c r="W853" s="32"/>
      <c r="X853" s="32"/>
    </row>
    <row r="854" spans="2:24" ht="8.25" customHeight="1" x14ac:dyDescent="0.25">
      <c r="B854" s="580"/>
      <c r="C854" s="603"/>
      <c r="D854" s="604"/>
      <c r="E854" s="604"/>
      <c r="F854" s="604"/>
      <c r="G854" s="604"/>
      <c r="H854" s="604"/>
      <c r="I854" s="604"/>
      <c r="J854" s="604"/>
      <c r="K854" s="604"/>
      <c r="L854" s="604"/>
      <c r="M854" s="604"/>
      <c r="N854" s="604"/>
      <c r="O854" s="604"/>
      <c r="P854" s="604"/>
      <c r="Q854" s="604"/>
      <c r="R854" s="606"/>
      <c r="S854" s="606"/>
      <c r="T854" s="580"/>
      <c r="U854" s="580"/>
      <c r="V854" s="32"/>
      <c r="W854" s="32"/>
      <c r="X854" s="32"/>
    </row>
    <row r="855" spans="2:24" ht="15.75" thickBot="1" x14ac:dyDescent="0.3">
      <c r="B855" s="580"/>
      <c r="C855" s="600" t="str">
        <f>N!$C$55</f>
        <v>SAM</v>
      </c>
      <c r="D855" s="600" t="str">
        <f>N!$C$56</f>
        <v>SEAGREEN</v>
      </c>
      <c r="E855" s="600" t="str">
        <f>N!$C$57</f>
        <v>SKG</v>
      </c>
      <c r="F855" s="600" t="str">
        <f>N!$C$58</f>
        <v>TAH</v>
      </c>
      <c r="G855" s="600" t="str">
        <f>N!$C$59</f>
        <v>TAYLEK</v>
      </c>
      <c r="H855" s="600" t="str">
        <f>N!$C$60</f>
        <v>TEMITA</v>
      </c>
      <c r="I855" s="600" t="str">
        <f>N!$C$61</f>
        <v>THL</v>
      </c>
      <c r="J855" s="600" t="str">
        <f>N!$C$62</f>
        <v>UBASTIC</v>
      </c>
      <c r="K855" s="600" t="str">
        <f>N!$C$63</f>
        <v>UNION</v>
      </c>
      <c r="L855" s="600" t="str">
        <f>N!$C$64</f>
        <v>UNIQUE</v>
      </c>
      <c r="M855" s="600" t="str">
        <f>N!$C$65</f>
        <v>VIXA</v>
      </c>
      <c r="N855" s="600" t="str">
        <f>N!$C$66</f>
        <v>WWCV</v>
      </c>
      <c r="O855" s="600" t="str">
        <f>N!$C$67</f>
        <v>ZOLON</v>
      </c>
      <c r="P855" s="600" t="e">
        <f>N!#REF!</f>
        <v>#REF!</v>
      </c>
      <c r="Q855" s="600" t="e">
        <f>N!#REF!</f>
        <v>#REF!</v>
      </c>
      <c r="R855" s="600" t="e">
        <f>N!#REF!</f>
        <v>#REF!</v>
      </c>
      <c r="S855" s="604"/>
      <c r="T855" s="580"/>
      <c r="U855" s="580"/>
      <c r="V855" s="32"/>
      <c r="W855" s="32"/>
      <c r="X855" s="32"/>
    </row>
    <row r="856" spans="2:24" ht="15.75" thickBot="1" x14ac:dyDescent="0.3">
      <c r="B856" s="580"/>
      <c r="C856" s="602">
        <f>IF($S$843=601,PR!$BD$663,IF($S$843=602,PR!$BD$664,IF($S$843=603,PR!$BD$665,IF($S$843=604,PR!$BD$666,IF($S$843=605,PR!$BD$667,IF($S$843=606,PR!$BD$668,IF($S$843=607,PR!$BD$669,IF($S$843=608,PR!$BD$670,IF($S$843=609,PR!$BD$671,IF($S$843=610,PR!$BD$672,IF($S$843=611,PR!$BD$673,IF($S$843=612,PR!$BD$674,IF($S$843=613,PR!$BD$675,IF($S$843=614,PR!$BD$676,IF($S$843=615,PR!$BD$677,IF($S$843=616,PR!$BD$678,IF($S$843=617,PR!$BD$679,IF($S$843=618,PR!$BD$680,IF($S$843=619,PR!$BD$681,IF($S$843=620,PR!$BD$682,IF($S$843=621,PR!$BD$683,IF($S$843=622,PR!$BD$684,IF($S$843=623,PR!$BD$685,IF($S$843=624,PR!$BD$686,IF($S$843=625,PR!$BD$687,IF($S$843=626,PR!$BD$688,IF($S$843=627,PR!$BD$689,IF($S$843=628,PR!$BD$690,IF($S$843=629,PR!$BD$691,IF($S$843=630,PR!$BD$692,IF($S$843=631,PR!$BD$693,IF($S$843=632,PR!$BD$694,IF($S$843=633,PR!$BD$695,IF($S$843=634,PR!$BD$696,IF($S$843=635,PR!$BD$697,IF($S$843=636,PR!$BD$698,IF($S$843=637,PR!$BD$699,IF($S$843=638,PR!$BD$700,IF($S$843=639,PR!$BD$701,IF($S$843=640,PR!$BD$702,IF($S$843=641,PR!$BD$703,IF($S$843=642,PR!$BD$704,IF($S$843=643,PR!$BD$705,IF($S$843=644,PR!$BD$706,IF($S$843=645,PR!$BD$707,IF($S$843=646,PR!$BD$708,IF($S$843=647,PR!$BD$709,IF($S$843=648,PR!$BD$710,IF($S$843=649,PR!$BD$711,IF($S$843=650,PR!$BD$712,IF($S$843=651,PR!$BD$716,IF($S$843=652,PR!$BD$717,IF($S$843=653,PR!$BD$718,IF($S$843=654,PR!$BD$719,IF($S$843=655,PR!$BD$720,IF($S$843=656,PR!$BD$721,IF($S$843=657,PR!$BD$722,IF($S$843=658,PR!$BD$723,IF($S$843=659,PR!$BD$724,IF($S$843=660,PR!$BD$725,"-"))))))))))))))))))))))))))))))))))))))))))))))))))))))))))))</f>
        <v>0</v>
      </c>
      <c r="D856" s="602">
        <f>IF($S$843=601,PR!$BE$663,IF($S$843=602,PR!$BE$664,IF($S$843=603,PR!$BE$665,IF($S$843=604,PR!$BE$666,IF($S$843=605,PR!$BE$667,IF($S$843=606,PR!$BE$668,IF($S$843=607,PR!$BE$669,IF($S$843=608,PR!$BE$670,IF($S$843=609,PR!$BE$671,IF($S$843=610,PR!$BE$672,IF($S$843=611,PR!$BE$673,IF($S$843=612,PR!$BE$674,IF($S$843=613,PR!$BE$675,IF($S$843=614,PR!$BE$676,IF($S$843=615,PR!$BE$677,IF($S$843=616,PR!$BE$678,IF($S$843=617,PR!$BE$679,IF($S$843=618,PR!$BE$680,IF($S$843=619,PR!$BE$681,IF($S$843=620,PR!$BE$682,IF($S$843=621,PR!$BE$683,IF($S$843=622,PR!$BE$684,IF($S$843=623,PR!$BE$685,IF($S$843=624,PR!$BE$686,IF($S$843=625,PR!$BE$687,IF($S$843=626,PR!$BE$688,IF($S$843=627,PR!$BE$689,IF($S$843=628,PR!$BE$690,IF($S$843=629,PR!$BE$691,IF($S$843=630,PR!$BE$692,IF($S$843=631,PR!$BE$693,IF($S$843=632,PR!$BE$694,IF($S$843=633,PR!$BE$695,IF($S$843=634,PR!$BE$696,IF($S$843=635,PR!$BE$697,IF($S$843=636,PR!$BE$698,IF($S$843=637,PR!$BE$699,IF($S$843=638,PR!$BE$700,IF($S$843=639,PR!$BE$701,IF($S$843=640,PR!$BE$702,IF($S$843=641,PR!$BE$703,IF($S$843=642,PR!$BE$704,IF($S$843=643,PR!$BE$705,IF($S$843=644,PR!$BE$706,IF($S$843=645,PR!$BE$707,IF($S$843=646,PR!$BE$708,IF($S$843=647,PR!$BE$709,IF($S$843=648,PR!$BE$710,IF($S$843=649,PR!$BE$711,IF($S$843=650,PR!$BE$712,IF($S$843=651,PR!$BE$716,IF($S$843=652,PR!$BE$717,IF($S$843=653,PR!$BE$718,IF($S$843=654,PR!$BE$719,IF($S$843=655,PR!$BE$720,IF($S$843=656,PR!$BE$721,IF($S$843=657,PR!$BE$722,IF($S$843=658,PR!$BE$723,IF($S$843=659,PR!$BE$724,IF($S$843=660,PR!$BE$725,"-"))))))))))))))))))))))))))))))))))))))))))))))))))))))))))))</f>
        <v>0</v>
      </c>
      <c r="E856" s="602">
        <f>IF($S$843=601,PR!$BF$663,IF($S$843=602,PR!$BF$664,IF($S$843=603,PR!$BF$665,IF($S$843=604,PR!$BF$666,IF($S$843=605,PR!$BF$667,IF($S$843=606,PR!$BF$668,IF($S$843=607,PR!$BF$669,IF($S$843=608,PR!$BF$670,IF($S$843=609,PR!$BF$671,IF($S$843=610,PR!$BF$672,IF($S$843=611,PR!$BF$673,IF($S$843=612,PR!$BF$674,IF($S$843=613,PR!$BF$675,IF($S$843=614,PR!$BF$676,IF($S$843=615,PR!$BF$677,IF($S$843=616,PR!$BF$678,IF($S$843=617,PR!$BF$679,IF($S$843=618,PR!$BF$680,IF($S$843=619,PR!$BF$681,IF($S$843=620,PR!$BF$682,IF($S$843=621,PR!$BF$683,IF($S$843=622,PR!$BF$684,IF($S$843=623,PR!$BF$685,IF($S$843=624,PR!$BF$686,IF($S$843=625,PR!$BF$687,IF($S$843=626,PR!$BF$688,IF($S$843=627,PR!$BF$689,IF($S$843=628,PR!$BF$690,IF($S$843=629,PR!$BF$691,IF($S$843=630,PR!$BF$692,IF($S$843=631,PR!$BF$693,IF($S$843=632,PR!$BF$694,IF($S$843=633,PR!$BF$695,IF($S$843=634,PR!$BF$696,IF($S$843=635,PR!$BF$697,IF($S$843=636,PR!$BF$698,IF($S$843=637,PR!$BF$699,IF($S$843=638,PR!$BF$700,IF($S$843=639,PR!$BF$701,IF($S$843=640,PR!$BF$702,IF($S$843=641,PR!$BF$703,IF($S$843=642,PR!$BF$704,IF($S$843=643,PR!$BF$705,IF($S$843=644,PR!$BF$706,IF($S$843=645,PR!$BF$707,IF($S$843=646,PR!$BF$708,IF($S$843=647,PR!$BF$709,IF($S$843=648,PR!$BF$710,IF($S$843=649,PR!$BF$711,IF($S$843=650,PR!$BF$712,IF($S$843=651,PR!$BF$716,IF($S$843=652,PR!$BF$717,IF($S$843=653,PR!$BF$718,IF($S$843=654,PR!$BF$719,IF($S$843=655,PR!$BF$720,IF($S$843=656,PR!$BF$721,IF($S$843=657,PR!$BF$722,IF($S$843=658,PR!$BF$723,IF($S$843=659,PR!$BF$724,IF($S$843=660,PR!$BF$725,"-"))))))))))))))))))))))))))))))))))))))))))))))))))))))))))))</f>
        <v>0</v>
      </c>
      <c r="F856" s="602">
        <f>IF($S$843=601,PR!$BG$663,IF($S$843=602,PR!$BG$664,IF($S$843=603,PR!$BG$665,IF($S$843=604,PR!$BG$666,IF($S$843=605,PR!$BG$667,IF($S$843=606,PR!$BG$668,IF($S$843=607,PR!$BG$669,IF($S$843=608,PR!$BG$670,IF($S$843=609,PR!$BG$671,IF($S$843=610,PR!$BG$672,IF($S$843=611,PR!$BG$673,IF($S$843=612,PR!$BG$674,IF($S$843=613,PR!$BG$675,IF($S$843=614,PR!$BG$676,IF($S$843=615,PR!$BG$677,IF($S$843=616,PR!$BG$678,IF($S$843=617,PR!$BG$679,IF($S$843=618,PR!$BG$680,IF($S$843=619,PR!$BG$681,IF($S$843=620,PR!$BG$682,IF($S$843=621,PR!$BG$683,IF($S$843=622,PR!$BG$684,IF($S$843=623,PR!$BG$685,IF($S$843=624,PR!$BG$686,IF($S$843=625,PR!$BG$687,IF($S$843=626,PR!$BG$688,IF($S$843=627,PR!$BG$689,IF($S$843=628,PR!$BG$690,IF($S$843=629,PR!$BG$691,IF($S$843=630,PR!$BG$692,IF($S$843=631,PR!$BG$693,IF($S$843=632,PR!$BG$694,IF($S$843=633,PR!$BG$695,IF($S$843=634,PR!$BG$696,IF($S$843=635,PR!$BG$697,IF($S$843=636,PR!$BG$698,IF($S$843=637,PR!$BG$699,IF($S$843=638,PR!$BG$700,IF($S$843=639,PR!$BG$701,IF($S$843=640,PR!$BG$702,IF($S$843=641,PR!$BG$703,IF($S$843=642,PR!$BG$704,IF($S$843=643,PR!$BG$705,IF($S$843=644,PR!$BG$706,IF($S$843=645,PR!$BG$707,IF($S$843=646,PR!$BG$708,IF($S$843=647,PR!$BG$709,IF($S$843=648,PR!$BG$710,IF($S$843=649,PR!$BG$711,IF($S$843=650,PR!$BG$712,IF($S$843=651,PR!$BG$716,IF($S$843=652,PR!$BG$717,IF($S$843=653,PR!$BG$718,IF($S$843=654,PR!$BG$719,IF($S$843=655,PR!$BG$720,IF($S$843=656,PR!$BG$721,IF($S$843=657,PR!$BG$722,IF($S$843=658,PR!$BG$723,IF($S$843=659,PR!$BG$724,IF($S$843=660,PR!$BG$725,"-"))))))))))))))))))))))))))))))))))))))))))))))))))))))))))))</f>
        <v>0</v>
      </c>
      <c r="G856" s="602">
        <f>IF($S$843=601,PR!$BH$663,IF($S$843=602,PR!$BH$664,IF($S$843=603,PR!$BH$665,IF($S$843=604,PR!$BH$666,IF($S$843=605,PR!$BH$667,IF($S$843=606,PR!$BH$668,IF($S$843=607,PR!$BH$669,IF($S$843=608,PR!$BH$670,IF($S$843=609,PR!$BH$671,IF($S$843=610,PR!$BH$672,IF($S$843=611,PR!$BH$673,IF($S$843=612,PR!$BH$674,IF($S$843=613,PR!$BH$675,IF($S$843=614,PR!$BH$676,IF($S$843=615,PR!$BH$677,IF($S$843=616,PR!$BH$678,IF($S$843=617,PR!$BH$679,IF($S$843=618,PR!$BH$680,IF($S$843=619,PR!$BH$681,IF($S$843=620,PR!$BH$682,IF($S$843=621,PR!$BH$683,IF($S$843=622,PR!$BH$684,IF($S$843=623,PR!$BH$685,IF($S$843=624,PR!$BH$686,IF($S$843=625,PR!$BH$687,IF($S$843=626,PR!$BH$688,IF($S$843=627,PR!$BH$689,IF($S$843=628,PR!$BH$690,IF($S$843=629,PR!$BH$691,IF($S$843=630,PR!$BH$692,IF($S$843=631,PR!$BH$693,IF($S$843=632,PR!$BH$694,IF($S$843=633,PR!$BH$695,IF($S$843=634,PR!$BH$696,IF($S$843=635,PR!$BH$697,IF($S$843=636,PR!$BH$698,IF($S$843=637,PR!$BH$699,IF($S$843=638,PR!$BH$700,IF($S$843=639,PR!$BH$701,IF($S$843=640,PR!$BH$702,IF($S$843=641,PR!$BH$703,IF($S$843=642,PR!$BH$704,IF($S$843=643,PR!$BH$705,IF($S$843=644,PR!$BH$706,IF($S$843=645,PR!$BH$707,IF($S$843=646,PR!$BH$708,IF($S$843=647,PR!$BH$709,IF($S$843=648,PR!$BH$710,IF($S$843=649,PR!$BH$711,IF($S$843=650,PR!$BH$712,IF($S$843=651,PR!$BH$716,IF($S$843=652,PR!$BH$717,IF($S$843=653,PR!$BH$718,IF($S$843=654,PR!$BH$719,IF($S$843=655,PR!$BH$720,IF($S$843=656,PR!$BH$721,IF($S$843=657,PR!$BH$722,IF($S$843=658,PR!$BH$723,IF($S$843=659,PR!$BH$724,IF($S$843=660,PR!$BH$725,"-"))))))))))))))))))))))))))))))))))))))))))))))))))))))))))))</f>
        <v>0</v>
      </c>
      <c r="H856" s="602">
        <f>IF($S$843=601,PR!$BI$663,IF($S$843=602,PR!$BI$664,IF($S$843=603,PR!$BI$665,IF($S$843=604,PR!$BI$666,IF($S$843=605,PR!$BI$667,IF($S$843=606,PR!$BI$668,IF($S$843=607,PR!$BI$669,IF($S$843=608,PR!$BI$670,IF($S$843=609,PR!$BI$671,IF($S$843=610,PR!$BI$672,IF($S$843=611,PR!$BI$673,IF($S$843=612,PR!$BI$674,IF($S$843=613,PR!$BI$675,IF($S$843=614,PR!$BI$676,IF($S$843=615,PR!$BI$677,IF($S$843=616,PR!$BI$678,IF($S$843=617,PR!$BI$679,IF($S$843=618,PR!$BI$680,IF($S$843=619,PR!$BI$681,IF($S$843=620,PR!$BI$682,IF($S$843=621,PR!$BI$683,IF($S$843=622,PR!$BI$684,IF($S$843=623,PR!$BI$685,IF($S$843=624,PR!$BI$686,IF($S$843=625,PR!$BI$687,IF($S$843=626,PR!$BI$688,IF($S$843=627,PR!$BI$689,IF($S$843=628,PR!$BI$690,IF($S$843=629,PR!$BI$691,IF($S$843=630,PR!$BI$692,IF($S$843=631,PR!$BI$693,IF($S$843=632,PR!$BI$694,IF($S$843=633,PR!$BI$695,IF($S$843=634,PR!$BI$696,IF($S$843=635,PR!$BI$697,IF($S$843=636,PR!$BI$698,IF($S$843=637,PR!$BI$699,IF($S$843=638,PR!$BI$700,IF($S$843=639,PR!$BI$701,IF($S$843=640,PR!$BI$702,IF($S$843=641,PR!$BI$703,IF($S$843=642,PR!$BI$704,IF($S$843=643,PR!$BI$705,IF($S$843=644,PR!$BI$706,IF($S$843=645,PR!$BI$707,IF($S$843=646,PR!$BI$708,IF($S$843=647,PR!$BI$709,IF($S$843=648,PR!$BI$710,IF($S$843=649,PR!$BI$711,IF($S$843=650,PR!$BI$712,IF($S$843=651,PR!$BI$716,IF($S$843=652,PR!$BI$717,IF($S$843=653,PR!$BI$718,IF($S$843=654,PR!$BI$719,IF($S$843=655,PR!$BI$720,IF($S$843=656,PR!$BI$721,IF($S$843=657,PR!$BI$722,IF($S$843=658,PR!$BI$723,IF($S$843=659,PR!$BI$724,IF($S$843=660,PR!$BI$725,"-"))))))))))))))))))))))))))))))))))))))))))))))))))))))))))))</f>
        <v>0</v>
      </c>
      <c r="I856" s="602">
        <f>IF($S$843=601,PR!$BJ$663,IF($S$843=602,PR!$BJ$664,IF($S$843=603,PR!$BJ$665,IF($S$843=604,PR!$BJ$666,IF($S$843=605,PR!$BJ$667,IF($S$843=606,PR!$BJ$668,IF($S$843=607,PR!$BJ$669,IF($S$843=608,PR!$BJ$670,IF($S$843=609,PR!$BJ$671,IF($S$843=610,PR!$BJ$672,IF($S$843=611,PR!$BJ$673,IF($S$843=612,PR!$BJ$674,IF($S$843=613,PR!$BJ$675,IF($S$843=614,PR!$BJ$676,IF($S$843=615,PR!$BJ$677,IF($S$843=616,PR!$BJ$678,IF($S$843=617,PR!$BJ$679,IF($S$843=618,PR!$BJ$680,IF($S$843=619,PR!$BJ$681,IF($S$843=620,PR!$BJ$682,IF($S$843=621,PR!$BJ$683,IF($S$843=622,PR!$BJ$684,IF($S$843=623,PR!$BJ$685,IF($S$843=624,PR!$BJ$686,IF($S$843=625,PR!$BJ$687,IF($S$843=626,PR!$BJ$688,IF($S$843=627,PR!$BJ$689,IF($S$843=628,PR!$BJ$690,IF($S$843=629,PR!$BJ$691,IF($S$843=630,PR!$BJ$692,IF($S$843=631,PR!$BJ$693,IF($S$843=632,PR!$BJ$694,IF($S$843=633,PR!$BJ$695,IF($S$843=634,PR!$BJ$696,IF($S$843=635,PR!$BJ$697,IF($S$843=636,PR!$BJ$698,IF($S$843=637,PR!$BJ$699,IF($S$843=638,PR!$BJ$700,IF($S$843=639,PR!$BJ$701,IF($S$843=640,PR!$BJ$702,IF($S$843=641,PR!$BJ$703,IF($S$843=642,PR!$BJ$704,IF($S$843=643,PR!$BJ$705,IF($S$843=644,PR!$BJ$706,IF($S$843=645,PR!$BJ$707,IF($S$843=646,PR!$BJ$708,IF($S$843=647,PR!$BJ$709,IF($S$843=648,PR!$BJ$710,IF($S$843=649,PR!$BJ$711,IF($S$843=650,PR!$BJ$712,IF($S$843=651,PR!$BJ$716,IF($S$843=652,PR!$BJ$717,IF($S$843=653,PR!$BJ$718,IF($S$843=654,PR!$BJ$719,IF($S$843=655,PR!$BJ$720,IF($S$843=656,PR!$BJ$721,IF($S$843=657,PR!$BJ$722,IF($S$843=658,PR!$BJ$723,IF($S$843=659,PR!$BJ$724,IF($S$843=660,PR!$BJ$725,"-"))))))))))))))))))))))))))))))))))))))))))))))))))))))))))))</f>
        <v>0</v>
      </c>
      <c r="J856" s="602">
        <f>IF($S$843=601,PR!$BK$663,IF($S$843=602,PR!$BK$664,IF($S$843=603,PR!$BK$665,IF($S$843=604,PR!$BK$666,IF($S$843=605,PR!$BK$667,IF($S$843=606,PR!$BK$668,IF($S$843=607,PR!$BK$669,IF($S$843=608,PR!$BK$670,IF($S$843=609,PR!$BK$671,IF($S$843=610,PR!$BK$672,IF($S$843=611,PR!$BK$673,IF($S$843=612,PR!$BK$674,IF($S$843=613,PR!$BK$675,IF($S$843=614,PR!$BK$676,IF($S$843=615,PR!$BK$677,IF($S$843=616,PR!$BK$678,IF($S$843=617,PR!$BK$679,IF($S$843=618,PR!$BK$680,IF($S$843=619,PR!$BK$681,IF($S$843=620,PR!$BK$682,IF($S$843=621,PR!$BK$683,IF($S$843=622,PR!$BK$684,IF($S$843=623,PR!$BK$685,IF($S$843=624,PR!$BK$686,IF($S$843=625,PR!$BK$687,IF($S$843=626,PR!$BK$688,IF($S$843=627,PR!$BK$689,IF($S$843=628,PR!$BK$690,IF($S$843=629,PR!$BK$691,IF($S$843=630,PR!$BK$692,IF($S$843=631,PR!$BK$693,IF($S$843=632,PR!$BK$694,IF($S$843=633,PR!$BK$695,IF($S$843=634,PR!$BK$696,IF($S$843=635,PR!$BK$697,IF($S$843=636,PR!$BK$698,IF($S$843=637,PR!$BK$699,IF($S$843=638,PR!$BK$700,IF($S$843=639,PR!$BK$701,IF($S$843=640,PR!$BK$702,IF($S$843=641,PR!$BK$703,IF($S$843=642,PR!$BK$704,IF($S$843=643,PR!$BK$705,IF($S$843=644,PR!$BK$706,IF($S$843=645,PR!$BK$707,IF($S$843=646,PR!$BK$708,IF($S$843=647,PR!$BK$709,IF($S$843=648,PR!$BK$710,IF($S$843=649,PR!$BK$711,IF($S$843=650,PR!$BK$712,IF($S$843=651,PR!$BK$716,IF($S$843=652,PR!$BK$717,IF($S$843=653,PR!$BK$718,IF($S$843=654,PR!$BK$719,IF($S$843=655,PR!$BK$720,IF($S$843=656,PR!$BK$721,IF($S$843=657,PR!$BK$722,IF($S$843=658,PR!$BK$723,IF($S$843=659,PR!$BK$724,IF($S$843=660,PR!$BK$725,"-"))))))))))))))))))))))))))))))))))))))))))))))))))))))))))))</f>
        <v>0</v>
      </c>
      <c r="K856" s="602">
        <f>IF($S$843=601,PR!$BL$663,IF($S$843=602,PR!$BL$664,IF($S$843=603,PR!$BL$665,IF($S$843=604,PR!$BL$666,IF($S$843=605,PR!$BL$667,IF($S$843=606,PR!$BL$668,IF($S$843=607,PR!$BL$669,IF($S$843=608,PR!$BL$670,IF($S$843=609,PR!$BL$671,IF($S$843=610,PR!$BL$672,IF($S$843=611,PR!$BL$673,IF($S$843=612,PR!$BL$674,IF($S$843=613,PR!$BL$675,IF($S$843=614,PR!$BL$676,IF($S$843=615,PR!$BL$677,IF($S$843=616,PR!$BL$678,IF($S$843=617,PR!$BL$679,IF($S$843=618,PR!$BL$680,IF($S$843=619,PR!$BL$681,IF($S$843=620,PR!$BL$682,IF($S$843=621,PR!$BL$683,IF($S$843=622,PR!$BL$684,IF($S$843=623,PR!$BL$685,IF($S$843=624,PR!$BL$686,IF($S$843=625,PR!$BL$687,IF($S$843=626,PR!$BL$688,IF($S$843=627,PR!$BL$689,IF($S$843=628,PR!$BL$690,IF($S$843=629,PR!$BL$691,IF($S$843=630,PR!$BL$692,IF($S$843=631,PR!$BL$693,IF($S$843=632,PR!$BL$694,IF($S$843=633,PR!$BL$695,IF($S$843=634,PR!$BL$696,IF($S$843=635,PR!$BL$697,IF($S$843=636,PR!$BL$698,IF($S$843=637,PR!$BL$699,IF($S$843=638,PR!$BL$700,IF($S$843=639,PR!$BL$701,IF($S$843=640,PR!$BL$702,IF($S$843=641,PR!$BL$703,IF($S$843=642,PR!$BL$704,IF($S$843=643,PR!$BL$705,IF($S$843=644,PR!$BL$706,IF($S$843=645,PR!$BL$707,IF($S$843=646,PR!$BL$708,IF($S$843=647,PR!$BL$709,IF($S$843=648,PR!$BL$710,IF($S$843=649,PR!$BL$711,IF($S$843=650,PR!$BL$712,IF($S$843=651,PR!$BL$716,IF($S$843=652,PR!$BL$717,IF($S$843=653,PR!$BL$718,IF($S$843=654,PR!$BL$719,IF($S$843=655,PR!$BL$720,IF($S$843=656,PR!$BL$721,IF($S$843=657,PR!$BL$722,IF($S$843=658,PR!$BL$723,IF($S$843=659,PR!$BL$724,IF($S$843=660,PR!$BL$725,"-"))))))))))))))))))))))))))))))))))))))))))))))))))))))))))))</f>
        <v>0</v>
      </c>
      <c r="L856" s="602">
        <f>IF($S$843=601,PR!$BM$663,IF($S$843=602,PR!$BM$664,IF($S$843=603,PR!$BM$665,IF($S$843=604,PR!$BM$666,IF($S$843=605,PR!$BM$667,IF($S$843=606,PR!$BM$668,IF($S$843=607,PR!$BM$669,IF($S$843=608,PR!$BM$670,IF($S$843=609,PR!$BM$671,IF($S$843=610,PR!$BM$672,IF($S$843=611,PR!$BM$673,IF($S$843=612,PR!$BM$674,IF($S$843=613,PR!$BM$675,IF($S$843=614,PR!$BM$676,IF($S$843=615,PR!$BM$677,IF($S$843=616,PR!$BM$678,IF($S$843=617,PR!$BM$679,IF($S$843=618,PR!$BM$680,IF($S$843=619,PR!$BM$681,IF($S$843=620,PR!$BM$682,IF($S$843=621,PR!$BM$683,IF($S$843=622,PR!$BM$684,IF($S$843=623,PR!$BM$685,IF($S$843=624,PR!$BM$686,IF($S$843=625,PR!$BM$687,IF($S$843=626,PR!$BM$688,IF($S$843=627,PR!$BM$689,IF($S$843=628,PR!$BM$690,IF($S$843=629,PR!$BM$691,IF($S$843=630,PR!$BM$692,IF($S$843=631,PR!$BM$693,IF($S$843=632,PR!$BM$694,IF($S$843=633,PR!$BM$695,IF($S$843=634,PR!$BM$696,IF($S$843=635,PR!$BM$697,IF($S$843=636,PR!$BM$698,IF($S$843=637,PR!$BM$699,IF($S$843=638,PR!$BM$700,IF($S$843=639,PR!$BM$701,IF($S$843=640,PR!$BM$702,IF($S$843=641,PR!$BM$703,IF($S$843=642,PR!$BM$704,IF($S$843=643,PR!$BM$705,IF($S$843=644,PR!$BM$706,IF($S$843=645,PR!$BM$707,IF($S$843=646,PR!$BM$708,IF($S$843=647,PR!$BM$709,IF($S$843=648,PR!$BM$710,IF($S$843=649,PR!$BM$711,IF($S$843=650,PR!$BM$712,IF($S$843=651,PR!$BM$716,IF($S$843=652,PR!$BM$717,IF($S$843=653,PR!$BM$718,IF($S$843=654,PR!$BM$719,IF($S$843=655,PR!$BM$720,IF($S$843=656,PR!$BM$721,IF($S$843=657,PR!$BM$722,IF($S$843=658,PR!$BM$723,IF($S$843=659,PR!$BM$724,IF($S$843=660,PR!$BM$725,"-"))))))))))))))))))))))))))))))))))))))))))))))))))))))))))))</f>
        <v>0</v>
      </c>
      <c r="M856" s="602">
        <f>IF($S$843=601,PR!$BN$663,IF($S$843=602,PR!$BN$664,IF($S$843=603,PR!$BN$665,IF($S$843=604,PR!$BN$666,IF($S$843=605,PR!$BN$667,IF($S$843=606,PR!$BN$668,IF($S$843=607,PR!$BN$669,IF($S$843=608,PR!$BN$670,IF($S$843=609,PR!$BN$671,IF($S$843=610,PR!$BN$672,IF($S$843=611,PR!$BN$673,IF($S$843=612,PR!$BN$674,IF($S$843=613,PR!$BN$675,IF($S$843=614,PR!$BN$676,IF($S$843=615,PR!$BN$677,IF($S$843=616,PR!$BN$678,IF($S$843=617,PR!$BN$679,IF($S$843=618,PR!$BN$680,IF($S$843=619,PR!$BN$681,IF($S$843=620,PR!$BN$682,IF($S$843=621,PR!$BN$683,IF($S$843=622,PR!$BN$684,IF($S$843=623,PR!$BN$685,IF($S$843=624,PR!$BN$686,IF($S$843=625,PR!$BN$687,IF($S$843=626,PR!$BN$688,IF($S$843=627,PR!$BN$689,IF($S$843=628,PR!$BN$690,IF($S$843=629,PR!$BN$691,IF($S$843=630,PR!$BN$692,IF($S$843=631,PR!$BN$693,IF($S$843=632,PR!$BN$694,IF($S$843=633,PR!$BN$695,IF($S$843=634,PR!$BN$696,IF($S$843=635,PR!$BN$697,IF($S$843=636,PR!$BN$698,IF($S$843=637,PR!$BN$699,IF($S$843=638,PR!$BN$700,IF($S$843=639,PR!$BN$701,IF($S$843=640,PR!$BN$702,IF($S$843=641,PR!$BN$703,IF($S$843=642,PR!$BN$704,IF($S$843=643,PR!$BN$705,IF($S$843=644,PR!$BN$706,IF($S$843=645,PR!$BN$707,IF($S$843=646,PR!$BN$708,IF($S$843=647,PR!$BN$709,IF($S$843=648,PR!$BN$710,IF($S$843=649,PR!$BN$711,IF($S$843=650,PR!$BN$712,IF($S$843=651,PR!$BN$716,IF($S$843=652,PR!$BN$717,IF($S$843=653,PR!$BN$718,IF($S$843=654,PR!$BN$719,IF($S$843=655,PR!$BN$720,IF($S$843=656,PR!$BN$721,IF($S$843=657,PR!$BN$722,IF($S$843=658,PR!$BN$723,IF($S$843=659,PR!$BN$724,IF($S$843=660,PR!$BN$725,"-"))))))))))))))))))))))))))))))))))))))))))))))))))))))))))))</f>
        <v>0</v>
      </c>
      <c r="N856" s="602">
        <f>IF($S$843=601,PR!$BO$663,IF($S$843=602,PR!$BO$664,IF($S$843=603,PR!$BO$665,IF($S$843=604,PR!$BO$666,IF($S$843=605,PR!$BO$667,IF($S$843=606,PR!$BO$668,IF($S$843=607,PR!$BO$669,IF($S$843=608,PR!$BO$670,IF($S$843=609,PR!$BO$671,IF($S$843=610,PR!$BO$672,IF($S$843=611,PR!$BO$673,IF($S$843=612,PR!$BO$674,IF($S$843=613,PR!$BO$675,IF($S$843=614,PR!$BO$676,IF($S$843=615,PR!$BO$677,IF($S$843=616,PR!$BO$678,IF($S$843=617,PR!$BO$679,IF($S$843=618,PR!$BO$680,IF($S$843=619,PR!$BO$681,IF($S$843=620,PR!$BO$682,IF($S$843=621,PR!$BO$683,IF($S$843=622,PR!$BO$684,IF($S$843=623,PR!$BO$685,IF($S$843=624,PR!$BO$686,IF($S$843=625,PR!$BO$687,IF($S$843=626,PR!$BO$688,IF($S$843=627,PR!$BO$689,IF($S$843=628,PR!$BO$690,IF($S$843=629,PR!$BO$691,IF($S$843=630,PR!$BO$692,IF($S$843=631,PR!$BO$693,IF($S$843=632,PR!$BO$694,IF($S$843=633,PR!$BO$695,IF($S$843=634,PR!$BO$696,IF($S$843=635,PR!$BO$697,IF($S$843=636,PR!$BO$698,IF($S$843=637,PR!$BO$699,IF($S$843=638,PR!$BO$700,IF($S$843=639,PR!$BO$701,IF($S$843=640,PR!$BO$702,IF($S$843=641,PR!$BO$703,IF($S$843=642,PR!$BO$704,IF($S$843=643,PR!$BO$705,IF($S$843=644,PR!$BO$706,IF($S$843=645,PR!$BO$707,IF($S$843=646,PR!$BO$708,IF($S$843=647,PR!$BO$709,IF($S$843=648,PR!$BO$710,IF($S$843=649,PR!$BO$711,IF($S$843=650,PR!$BO$712,IF($S$843=651,PR!$BO$716,IF($S$843=652,PR!$BO$717,IF($S$843=653,PR!$BO$718,IF($S$843=654,PR!$BO$719,IF($S$843=655,PR!$BO$720,IF($S$843=656,PR!$BO$721,IF($S$843=657,PR!$BO$722,IF($S$843=658,PR!$BO$723,IF($S$843=659,PR!$BO$724,IF($S$843=660,PR!$BO$725,"-"))))))))))))))))))))))))))))))))))))))))))))))))))))))))))))</f>
        <v>0</v>
      </c>
      <c r="O856" s="602">
        <f>IF($S$843=601,PR!$BP$663,IF($S$843=602,PR!$BP$664,IF($S$843=603,PR!$BP$665,IF($S$843=604,PR!$BP$666,IF($S$843=605,PR!$BP$667,IF($S$843=606,PR!$BP$668,IF($S$843=607,PR!$BP$669,IF($S$843=608,PR!$BP$670,IF($S$843=609,PR!$BP$671,IF($S$843=610,PR!$BP$672,IF($S$843=611,PR!$BP$673,IF($S$843=612,PR!$BP$674,IF($S$843=613,PR!$BP$675,IF($S$843=614,PR!$BP$676,IF($S$843=615,PR!$BP$677,IF($S$843=616,PR!$BP$678,IF($S$843=617,PR!$BP$679,IF($S$843=618,PR!$BP$680,IF($S$843=619,PR!$BP$681,IF($S$843=620,PR!$BP$682,IF($S$843=621,PR!$BP$683,IF($S$843=622,PR!$BP$684,IF($S$843=623,PR!$BP$685,IF($S$843=624,PR!$BP$686,IF($S$843=625,PR!$BP$687,IF($S$843=626,PR!$BP$688,IF($S$843=627,PR!$BP$689,IF($S$843=628,PR!$BP$690,IF($S$843=629,PR!$BP$691,IF($S$843=630,PR!$BP$692,IF($S$843=631,PR!$BP$693,IF($S$843=632,PR!$BP$694,IF($S$843=633,PR!$BP$695,IF($S$843=634,PR!$BP$696,IF($S$843=635,PR!$BP$697,IF($S$843=636,PR!$BP$698,IF($S$843=637,PR!$BP$699,IF($S$843=638,PR!$BP$700,IF($S$843=639,PR!$BP$701,IF($S$843=640,PR!$BP$702,IF($S$843=641,PR!$BP$703,IF($S$843=642,PR!$BP$704,IF($S$843=643,PR!$BP$705,IF($S$843=644,PR!$BP$706,IF($S$843=645,PR!$BP$707,IF($S$843=646,PR!$BP$708,IF($S$843=647,PR!$BP$709,IF($S$843=648,PR!$BP$710,IF($S$843=649,PR!$BP$711,IF($S$843=650,PR!$BP$712,IF($S$843=651,PR!$BP$716,IF($S$843=652,PR!$BP$717,IF($S$843=653,PR!$BP$718,IF($S$843=654,PR!$BP$719,IF($S$843=655,PR!$BP$720,IF($S$843=656,PR!$BP$721,IF($S$843=657,PR!$BP$722,IF($S$843=658,PR!$BP$723,IF($S$843=659,PR!$BP$724,IF($S$843=660,PR!$BP$725,"-"))))))))))))))))))))))))))))))))))))))))))))))))))))))))))))</f>
        <v>0</v>
      </c>
      <c r="P856" s="602">
        <f>IF($S$843=601,PR!$BQ$663,IF($S$843=602,PR!$BQ$664,IF($S$843=603,PR!$BQ$665,IF($S$843=604,PR!$BQ$666,IF($S$843=605,PR!$BQ$667,IF($S$843=606,PR!$BQ$668,IF($S$843=607,PR!$BQ$669,IF($S$843=608,PR!$BQ$670,IF($S$843=609,PR!$BQ$671,IF($S$843=610,PR!$BQ$672,IF($S$843=611,PR!$BQ$673,IF($S$843=612,PR!$BQ$674,IF($S$843=613,PR!$BQ$675,IF($S$843=614,PR!$BQ$676,IF($S$843=615,PR!$BQ$677,IF($S$843=616,PR!$BQ$678,IF($S$843=617,PR!$BQ$679,IF($S$843=618,PR!$BQ$680,IF($S$843=619,PR!$BQ$681,IF($S$843=620,PR!$BQ$682,IF($S$843=621,PR!$BQ$683,IF($S$843=622,PR!$BQ$684,IF($S$843=623,PR!$BQ$685,IF($S$843=624,PR!$BQ$686,IF($S$843=625,PR!$BQ$687,IF($S$843=626,PR!$BQ$688,IF($S$843=627,PR!$BQ$689,IF($S$843=628,PR!$BQ$690,IF($S$843=629,PR!$BQ$691,IF($S$843=630,PR!$BQ$692,IF($S$843=631,PR!$BQ$693,IF($S$843=632,PR!$BQ$694,IF($S$843=633,PR!$BQ$695,IF($S$843=634,PR!$BQ$696,IF($S$843=635,PR!$BQ$697,IF($S$843=636,PR!$BQ$698,IF($S$843=637,PR!$BQ$699,IF($S$843=638,PR!$BQ$700,IF($S$843=639,PR!$BQ$701,IF($S$843=640,PR!$BQ$702,IF($S$843=641,PR!$BQ$703,IF($S$843=642,PR!$BQ$704,IF($S$843=643,PR!$BQ$705,IF($S$843=644,PR!$BQ$706,IF($S$843=645,PR!$BQ$707,IF($S$843=646,PR!$BQ$708,IF($S$843=647,PR!$BQ$709,IF($S$843=648,PR!$BQ$710,IF($S$843=649,PR!$BQ$711,IF($S$843=650,PR!$BQ$712,IF($S$843=651,PR!$BQ$716,IF($S$843=652,PR!$BQ$717,IF($S$843=653,PR!$BQ$718,IF($S$843=654,PR!$BQ$719,IF($S$843=655,PR!$BQ$720,IF($S$843=656,PR!$BQ$721,IF($S$843=657,PR!$BQ$722,IF($S$843=658,PR!$BQ$723,IF($S$843=659,PR!$BQ$724,IF($S$843=660,PR!$BQ$725,"-"))))))))))))))))))))))))))))))))))))))))))))))))))))))))))))</f>
        <v>0</v>
      </c>
      <c r="Q856" s="602">
        <f>IF($S$843=601,PR!$BR$663,IF($S$843=602,PR!$BR$664,IF($S$843=603,PR!$BR$665,IF($S$843=604,PR!$BR$666,IF($S$843=605,PR!$BR$667,IF($S$843=606,PR!$BR$668,IF($S$843=607,PR!$BR$669,IF($S$843=608,PR!$BR$670,IF($S$843=609,PR!$BR$671,IF($S$843=610,PR!$BR$672,IF($S$843=611,PR!$BR$673,IF($S$843=612,PR!$BR$674,IF($S$843=613,PR!$BR$675,IF($S$843=614,PR!$BR$676,IF($S$843=615,PR!$BR$677,IF($S$843=616,PR!$BR$678,IF($S$843=617,PR!$BR$679,IF($S$843=618,PR!$BR$680,IF($S$843=619,PR!$BR$681,IF($S$843=620,PR!$BR$682,IF($S$843=621,PR!$BR$683,IF($S$843=622,PR!$BR$684,IF($S$843=623,PR!$BR$685,IF($S$843=624,PR!$BR$686,IF($S$843=625,PR!$BR$687,IF($S$843=626,PR!$BR$688,IF($S$843=627,PR!$BR$689,IF($S$843=628,PR!$BR$690,IF($S$843=629,PR!$BR$691,IF($S$843=630,PR!$BR$692,IF($S$843=631,PR!$BR$693,IF($S$843=632,PR!$BR$694,IF($S$843=633,PR!$BR$695,IF($S$843=634,PR!$BR$696,IF($S$843=635,PR!$BR$697,IF($S$843=636,PR!$BR$698,IF($S$843=637,PR!$BR$699,IF($S$843=638,PR!$BR$700,IF($S$843=639,PR!$BR$701,IF($S$843=640,PR!$BR$702,IF($S$843=641,PR!$BR$703,IF($S$843=642,PR!$BR$704,IF($S$843=643,PR!$BR$705,IF($S$843=644,PR!$BR$706,IF($S$843=645,PR!$BR$707,IF($S$843=646,PR!$BR$708,IF($S$843=647,PR!$BR$709,IF($S$843=648,PR!$BR$710,IF($S$843=649,PR!$BR$711,IF($S$843=650,PR!$BR$712,IF($S$843=651,PR!$BR$716,IF($S$843=652,PR!$BR$717,IF($S$843=653,PR!$BR$718,IF($S$843=654,PR!$BR$719,IF($S$843=655,PR!$BR$720,IF($S$843=656,PR!$BR$721,IF($S$843=657,PR!$BR$722,IF($S$843=658,PR!$BR$723,IF($S$843=659,PR!$BR$724,IF($S$843=660,PR!$BR$725,"-"))))))))))))))))))))))))))))))))))))))))))))))))))))))))))))</f>
        <v>0</v>
      </c>
      <c r="R856" s="602">
        <f>IF($S$843=601,PR!$BS$663,IF($S$843=602,PR!$BS$664,IF($S$843=603,PR!$BS$665,IF($S$843=604,PR!$BS$666,IF($S$843=605,PR!$BS$667,IF($S$843=606,PR!$BS$668,IF($S$843=607,PR!$BS$669,IF($S$843=608,PR!$BS$670,IF($S$843=609,PR!$BS$671,IF($S$843=610,PR!$BS$672,IF($S$843=611,PR!$BS$673,IF($S$843=612,PR!$BS$674,IF($S$843=613,PR!$BS$675,IF($S$843=614,PR!$BS$676,IF($S$843=615,PR!$BS$677,IF($S$843=616,PR!$BS$678,IF($S$843=617,PR!$BS$679,IF($S$843=618,PR!$BS$680,IF($S$843=619,PR!$BS$681,IF($S$843=620,PR!$BS$682,IF($S$843=621,PR!$BS$683,IF($S$843=622,PR!$BS$684,IF($S$843=623,PR!$BS$685,IF($S$843=624,PR!$BS$686,IF($S$843=625,PR!$BS$687,IF($S$843=626,PR!$BS$688,IF($S$843=627,PR!$BS$689,IF($S$843=628,PR!$BS$690,IF($S$843=629,PR!$BS$691,IF($S$843=630,PR!$BS$692,IF($S$843=631,PR!$BS$693,IF($S$843=632,PR!$BS$694,IF($S$843=633,PR!$BS$695,IF($S$843=634,PR!$BS$696,IF($S$843=635,PR!$BS$697,IF($S$843=636,PR!$BS$698,IF($S$843=637,PR!$BS$699,IF($S$843=638,PR!$BS$700,IF($S$843=639,PR!$BS$701,IF($S$843=640,PR!$BS$702,IF($S$843=641,PR!$BS$703,IF($S$843=642,PR!$BS$704,IF($S$843=643,PR!$BS$705,IF($S$843=644,PR!$BS$706,IF($S$843=645,PR!$BS$707,IF($S$843=646,PR!$BS$708,IF($S$843=647,PR!$BS$709,IF($S$843=648,PR!$BS$710,IF($S$843=649,PR!$BS$711,IF($S$843=650,PR!$BS$712,IF($S$843=651,PR!$BS$716,IF($S$843=652,PR!$BS$717,IF($S$843=653,PR!$BS$718,IF($S$843=654,PR!$BS$719,IF($S$843=655,PR!$BS$720,IF($S$843=656,PR!$BS$721,IF($S$843=657,PR!$BS$722,IF($S$843=658,PR!$BS$723,IF($S$843=659,PR!$BS$724,IF($S$843=660,PR!$BS$725,"-"))))))))))))))))))))))))))))))))))))))))))))))))))))))))))))</f>
        <v>0</v>
      </c>
      <c r="S856" s="604"/>
      <c r="T856" s="580"/>
      <c r="U856" s="580"/>
      <c r="V856" s="32"/>
      <c r="W856" s="32"/>
      <c r="X856" s="32"/>
    </row>
    <row r="857" spans="2:24" x14ac:dyDescent="0.25">
      <c r="B857" s="580"/>
      <c r="C857" s="593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3"/>
      <c r="S857" s="580"/>
      <c r="T857" s="580"/>
      <c r="U857" s="580"/>
      <c r="V857" s="32"/>
      <c r="W857" s="32"/>
      <c r="X857" s="32"/>
    </row>
    <row r="858" spans="2:24" ht="30" x14ac:dyDescent="0.25">
      <c r="B858" s="580"/>
      <c r="C858" s="593"/>
      <c r="D858" s="580"/>
      <c r="E858" s="580"/>
      <c r="F858" s="580"/>
      <c r="G858" s="580"/>
      <c r="H858" s="580"/>
      <c r="I858" s="580"/>
      <c r="J858" s="580"/>
      <c r="K858" s="597" t="s">
        <v>783</v>
      </c>
      <c r="L858" s="598" t="s">
        <v>418</v>
      </c>
      <c r="M858" s="598" t="s">
        <v>419</v>
      </c>
      <c r="N858" s="599" t="s">
        <v>420</v>
      </c>
      <c r="O858" s="580"/>
      <c r="P858" s="580"/>
      <c r="Q858" s="580"/>
      <c r="R858" s="580"/>
      <c r="S858" s="580"/>
      <c r="T858" s="580"/>
      <c r="U858" s="580"/>
      <c r="V858" s="32"/>
      <c r="W858" s="32"/>
      <c r="X858" s="32"/>
    </row>
    <row r="859" spans="2:24" x14ac:dyDescent="0.25">
      <c r="B859" s="580"/>
      <c r="C859" s="593"/>
      <c r="D859" s="580"/>
      <c r="E859" s="580"/>
      <c r="F859" s="580"/>
      <c r="G859" s="580"/>
      <c r="H859" s="580"/>
      <c r="I859" s="580"/>
      <c r="J859" s="580"/>
      <c r="K859" s="583" t="s">
        <v>785</v>
      </c>
      <c r="L859" s="580"/>
      <c r="M859" s="580"/>
      <c r="N859" s="580"/>
      <c r="O859" s="580"/>
      <c r="P859" s="580"/>
      <c r="Q859" s="580"/>
      <c r="R859" s="580"/>
      <c r="S859" s="580"/>
      <c r="T859" s="580"/>
      <c r="U859" s="580"/>
      <c r="V859" s="32"/>
      <c r="W859" s="32"/>
      <c r="X859" s="32"/>
    </row>
    <row r="860" spans="2:24" x14ac:dyDescent="0.25">
      <c r="B860" s="32"/>
      <c r="C860" s="96"/>
      <c r="D860" s="32"/>
      <c r="E860" s="32"/>
      <c r="F860" s="32"/>
      <c r="G860" s="32"/>
      <c r="H860" s="32"/>
      <c r="I860" s="32"/>
      <c r="J860" s="32"/>
      <c r="K860" s="97">
        <v>601</v>
      </c>
      <c r="L860" s="98" t="s">
        <v>1452</v>
      </c>
      <c r="M860" s="99" t="s">
        <v>821</v>
      </c>
      <c r="N860" s="100" t="s">
        <v>817</v>
      </c>
      <c r="O860" s="32"/>
      <c r="P860" s="32"/>
      <c r="Q860" s="32"/>
      <c r="R860" s="32"/>
      <c r="S860" s="32"/>
      <c r="T860" s="32"/>
      <c r="U860" s="32"/>
      <c r="V860" s="32"/>
      <c r="W860" s="32"/>
      <c r="X860" s="32"/>
    </row>
    <row r="861" spans="2:24" x14ac:dyDescent="0.25">
      <c r="B861" s="32"/>
      <c r="C861" s="32"/>
      <c r="D861" s="32"/>
      <c r="E861" s="32"/>
      <c r="F861" s="32"/>
      <c r="G861" s="32"/>
      <c r="H861" s="32"/>
      <c r="I861" s="32"/>
      <c r="J861" s="32"/>
      <c r="K861" s="97">
        <f>1+K860</f>
        <v>602</v>
      </c>
      <c r="L861" s="98" t="s">
        <v>1452</v>
      </c>
      <c r="M861" s="99" t="s">
        <v>821</v>
      </c>
      <c r="N861" s="100" t="s">
        <v>817</v>
      </c>
      <c r="O861" s="32"/>
      <c r="P861" s="32"/>
      <c r="Q861" s="32"/>
      <c r="R861" s="32"/>
      <c r="S861" s="32"/>
      <c r="T861" s="32"/>
      <c r="U861" s="32"/>
      <c r="V861" s="32"/>
      <c r="W861" s="32"/>
      <c r="X861" s="32"/>
    </row>
    <row r="862" spans="2:24" x14ac:dyDescent="0.25">
      <c r="B862" s="32"/>
      <c r="C862" s="32"/>
      <c r="D862" s="32"/>
      <c r="E862" s="32"/>
      <c r="F862" s="32"/>
      <c r="G862" s="32"/>
      <c r="H862" s="32"/>
      <c r="I862" s="32"/>
      <c r="J862" s="32"/>
      <c r="K862" s="97">
        <f t="shared" ref="K862:K919" si="11">1+K861</f>
        <v>603</v>
      </c>
      <c r="L862" s="98" t="s">
        <v>1452</v>
      </c>
      <c r="M862" s="99" t="s">
        <v>821</v>
      </c>
      <c r="N862" s="100" t="s">
        <v>817</v>
      </c>
      <c r="O862" s="32"/>
      <c r="P862" s="32"/>
      <c r="Q862" s="32"/>
      <c r="R862" s="32"/>
      <c r="S862" s="32"/>
      <c r="T862" s="32"/>
      <c r="U862" s="32"/>
      <c r="V862" s="32"/>
      <c r="W862" s="32"/>
      <c r="X862" s="32"/>
    </row>
    <row r="863" spans="2:24" x14ac:dyDescent="0.25">
      <c r="B863" s="32"/>
      <c r="C863" s="32"/>
      <c r="D863" s="32"/>
      <c r="E863" s="32"/>
      <c r="F863" s="32"/>
      <c r="G863" s="32"/>
      <c r="H863" s="32"/>
      <c r="I863" s="32"/>
      <c r="J863" s="32"/>
      <c r="K863" s="97">
        <f t="shared" si="11"/>
        <v>604</v>
      </c>
      <c r="L863" s="98" t="s">
        <v>821</v>
      </c>
      <c r="M863" s="99" t="s">
        <v>1454</v>
      </c>
      <c r="N863" s="100" t="s">
        <v>817</v>
      </c>
      <c r="O863" s="32"/>
      <c r="P863" s="32"/>
      <c r="Q863" s="32"/>
      <c r="R863" s="32"/>
      <c r="S863" s="32"/>
      <c r="T863" s="32"/>
      <c r="U863" s="32"/>
      <c r="V863" s="32"/>
      <c r="W863" s="32"/>
      <c r="X863" s="32"/>
    </row>
    <row r="864" spans="2:24" x14ac:dyDescent="0.25">
      <c r="B864" s="32"/>
      <c r="C864" s="32"/>
      <c r="D864" s="32"/>
      <c r="E864" s="32"/>
      <c r="F864" s="32"/>
      <c r="G864" s="32"/>
      <c r="H864" s="32"/>
      <c r="I864" s="32"/>
      <c r="J864" s="32"/>
      <c r="K864" s="97">
        <f t="shared" si="11"/>
        <v>605</v>
      </c>
      <c r="L864" s="98" t="s">
        <v>821</v>
      </c>
      <c r="M864" s="99" t="s">
        <v>825</v>
      </c>
      <c r="N864" s="100" t="s">
        <v>1452</v>
      </c>
      <c r="O864" s="32"/>
      <c r="P864" s="32"/>
      <c r="Q864" s="32"/>
      <c r="R864" s="32"/>
      <c r="S864" s="32"/>
      <c r="T864" s="32"/>
      <c r="U864" s="32"/>
      <c r="V864" s="32"/>
      <c r="W864" s="32"/>
      <c r="X864" s="32"/>
    </row>
    <row r="865" spans="2:24" x14ac:dyDescent="0.25">
      <c r="B865" s="32"/>
      <c r="C865" s="32"/>
      <c r="D865" s="32"/>
      <c r="E865" s="32"/>
      <c r="F865" s="32"/>
      <c r="G865" s="32"/>
      <c r="H865" s="32"/>
      <c r="I865" s="32"/>
      <c r="J865" s="32"/>
      <c r="K865" s="97">
        <f t="shared" si="11"/>
        <v>606</v>
      </c>
      <c r="L865" s="98" t="s">
        <v>1452</v>
      </c>
      <c r="M865" s="99" t="s">
        <v>621</v>
      </c>
      <c r="N865" s="100" t="s">
        <v>817</v>
      </c>
      <c r="O865" s="32"/>
      <c r="P865" s="32"/>
      <c r="Q865" s="32"/>
      <c r="R865" s="32"/>
      <c r="S865" s="32"/>
      <c r="T865" s="32"/>
      <c r="U865" s="32"/>
      <c r="V865" s="32"/>
      <c r="W865" s="32"/>
      <c r="X865" s="32"/>
    </row>
    <row r="866" spans="2:24" x14ac:dyDescent="0.25">
      <c r="B866" s="32"/>
      <c r="C866" s="32"/>
      <c r="D866" s="32"/>
      <c r="E866" s="32"/>
      <c r="F866" s="32"/>
      <c r="G866" s="32"/>
      <c r="H866" s="32"/>
      <c r="I866" s="32"/>
      <c r="J866" s="32"/>
      <c r="K866" s="97">
        <f t="shared" si="11"/>
        <v>607</v>
      </c>
      <c r="L866" s="98" t="s">
        <v>821</v>
      </c>
      <c r="M866" s="99" t="s">
        <v>1454</v>
      </c>
      <c r="N866" s="100"/>
      <c r="O866" s="32"/>
      <c r="P866" s="32"/>
      <c r="Q866" s="32"/>
      <c r="R866" s="32"/>
      <c r="S866" s="32"/>
      <c r="T866" s="32"/>
      <c r="U866" s="32"/>
      <c r="V866" s="32"/>
      <c r="W866" s="32"/>
      <c r="X866" s="32"/>
    </row>
    <row r="867" spans="2:24" x14ac:dyDescent="0.25">
      <c r="B867" s="32"/>
      <c r="C867" s="32"/>
      <c r="D867" s="32"/>
      <c r="E867" s="32"/>
      <c r="F867" s="32"/>
      <c r="G867" s="32"/>
      <c r="H867" s="32"/>
      <c r="I867" s="32"/>
      <c r="J867" s="32"/>
      <c r="K867" s="97">
        <f t="shared" si="11"/>
        <v>608</v>
      </c>
      <c r="L867" s="98" t="s">
        <v>825</v>
      </c>
      <c r="M867" s="99" t="s">
        <v>821</v>
      </c>
      <c r="N867" s="100" t="s">
        <v>1452</v>
      </c>
      <c r="O867" s="32"/>
      <c r="P867" s="32"/>
      <c r="Q867" s="32"/>
      <c r="R867" s="32"/>
      <c r="S867" s="32"/>
      <c r="T867" s="32"/>
      <c r="U867" s="32"/>
      <c r="V867" s="32"/>
      <c r="W867" s="32"/>
      <c r="X867" s="32"/>
    </row>
    <row r="868" spans="2:24" x14ac:dyDescent="0.25">
      <c r="B868" s="32"/>
      <c r="C868" s="32"/>
      <c r="D868" s="32"/>
      <c r="E868" s="32"/>
      <c r="F868" s="32"/>
      <c r="G868" s="32"/>
      <c r="H868" s="32"/>
      <c r="I868" s="32"/>
      <c r="J868" s="32"/>
      <c r="K868" s="97">
        <f t="shared" si="11"/>
        <v>609</v>
      </c>
      <c r="L868" s="98" t="s">
        <v>817</v>
      </c>
      <c r="M868" s="99" t="s">
        <v>821</v>
      </c>
      <c r="N868" s="100" t="s">
        <v>1452</v>
      </c>
      <c r="O868" s="32"/>
      <c r="P868" s="32"/>
      <c r="Q868" s="32"/>
      <c r="R868" s="32"/>
      <c r="S868" s="32"/>
      <c r="T868" s="32"/>
      <c r="U868" s="32"/>
      <c r="V868" s="32"/>
      <c r="W868" s="32"/>
      <c r="X868" s="32"/>
    </row>
    <row r="869" spans="2:24" x14ac:dyDescent="0.25">
      <c r="B869" s="32"/>
      <c r="C869" s="32"/>
      <c r="D869" s="32"/>
      <c r="E869" s="32"/>
      <c r="F869" s="32"/>
      <c r="G869" s="32"/>
      <c r="H869" s="32"/>
      <c r="I869" s="32"/>
      <c r="J869" s="32"/>
      <c r="K869" s="97">
        <f t="shared" si="11"/>
        <v>610</v>
      </c>
      <c r="L869" s="98" t="s">
        <v>817</v>
      </c>
      <c r="M869" s="99" t="s">
        <v>821</v>
      </c>
      <c r="N869" s="100" t="s">
        <v>1452</v>
      </c>
      <c r="O869" s="32"/>
      <c r="P869" s="32"/>
      <c r="Q869" s="32"/>
      <c r="R869" s="32"/>
      <c r="S869" s="32"/>
      <c r="T869" s="32"/>
      <c r="U869" s="32"/>
      <c r="V869" s="32"/>
      <c r="W869" s="32"/>
      <c r="X869" s="32"/>
    </row>
    <row r="870" spans="2:24" x14ac:dyDescent="0.25">
      <c r="B870" s="32"/>
      <c r="C870" s="32"/>
      <c r="D870" s="32"/>
      <c r="E870" s="32"/>
      <c r="F870" s="32"/>
      <c r="G870" s="32"/>
      <c r="H870" s="32"/>
      <c r="I870" s="32"/>
      <c r="J870" s="32"/>
      <c r="K870" s="97">
        <f t="shared" si="11"/>
        <v>611</v>
      </c>
      <c r="L870" s="98" t="s">
        <v>817</v>
      </c>
      <c r="M870" s="99" t="s">
        <v>821</v>
      </c>
      <c r="N870" s="100" t="s">
        <v>1452</v>
      </c>
      <c r="O870" s="32"/>
      <c r="P870" s="32"/>
      <c r="Q870" s="32"/>
      <c r="R870" s="32"/>
      <c r="S870" s="32"/>
      <c r="T870" s="32"/>
      <c r="U870" s="32"/>
      <c r="V870" s="32"/>
      <c r="W870" s="32"/>
      <c r="X870" s="32"/>
    </row>
    <row r="871" spans="2:24" x14ac:dyDescent="0.25">
      <c r="B871" s="32"/>
      <c r="C871" s="32"/>
      <c r="D871" s="32"/>
      <c r="E871" s="32"/>
      <c r="F871" s="32"/>
      <c r="G871" s="32"/>
      <c r="H871" s="32"/>
      <c r="I871" s="32"/>
      <c r="J871" s="32"/>
      <c r="K871" s="97">
        <f t="shared" si="11"/>
        <v>612</v>
      </c>
      <c r="L871" s="98" t="s">
        <v>817</v>
      </c>
      <c r="M871" s="99" t="s">
        <v>825</v>
      </c>
      <c r="N871" s="100" t="s">
        <v>821</v>
      </c>
      <c r="O871" s="32"/>
      <c r="P871" s="32"/>
      <c r="Q871" s="32"/>
      <c r="R871" s="32"/>
      <c r="S871" s="32"/>
      <c r="T871" s="32"/>
      <c r="U871" s="32"/>
      <c r="V871" s="32"/>
      <c r="W871" s="32"/>
      <c r="X871" s="32"/>
    </row>
    <row r="872" spans="2:24" x14ac:dyDescent="0.25">
      <c r="B872" s="32"/>
      <c r="C872" s="32"/>
      <c r="D872" s="32"/>
      <c r="E872" s="32"/>
      <c r="F872" s="32"/>
      <c r="G872" s="32"/>
      <c r="H872" s="32"/>
      <c r="I872" s="32"/>
      <c r="J872" s="32"/>
      <c r="K872" s="97">
        <f t="shared" si="11"/>
        <v>613</v>
      </c>
      <c r="L872" s="98" t="s">
        <v>817</v>
      </c>
      <c r="M872" s="99" t="s">
        <v>821</v>
      </c>
      <c r="N872" s="100" t="s">
        <v>1452</v>
      </c>
      <c r="O872" s="32"/>
      <c r="P872" s="32"/>
      <c r="Q872" s="32"/>
      <c r="R872" s="32"/>
      <c r="S872" s="32"/>
      <c r="T872" s="32"/>
      <c r="U872" s="32"/>
      <c r="V872" s="32"/>
      <c r="W872" s="32"/>
      <c r="X872" s="32"/>
    </row>
    <row r="873" spans="2:24" x14ac:dyDescent="0.25">
      <c r="B873" s="32"/>
      <c r="C873" s="32"/>
      <c r="D873" s="32"/>
      <c r="E873" s="32"/>
      <c r="F873" s="32"/>
      <c r="G873" s="32"/>
      <c r="H873" s="32"/>
      <c r="I873" s="32"/>
      <c r="J873" s="32"/>
      <c r="K873" s="97">
        <f t="shared" si="11"/>
        <v>614</v>
      </c>
      <c r="L873" s="98" t="s">
        <v>821</v>
      </c>
      <c r="M873" s="99" t="s">
        <v>817</v>
      </c>
      <c r="N873" s="100" t="s">
        <v>1452</v>
      </c>
      <c r="O873" s="32"/>
      <c r="P873" s="32"/>
      <c r="Q873" s="32"/>
      <c r="R873" s="32"/>
      <c r="S873" s="32"/>
      <c r="T873" s="32"/>
      <c r="U873" s="32"/>
      <c r="V873" s="32"/>
      <c r="W873" s="32"/>
      <c r="X873" s="32"/>
    </row>
    <row r="874" spans="2:24" x14ac:dyDescent="0.25">
      <c r="B874" s="32"/>
      <c r="C874" s="32"/>
      <c r="D874" s="32"/>
      <c r="E874" s="32"/>
      <c r="F874" s="32"/>
      <c r="G874" s="32"/>
      <c r="H874" s="32"/>
      <c r="I874" s="32"/>
      <c r="J874" s="32"/>
      <c r="K874" s="97">
        <f t="shared" si="11"/>
        <v>615</v>
      </c>
      <c r="L874" s="98" t="s">
        <v>817</v>
      </c>
      <c r="M874" s="99" t="s">
        <v>821</v>
      </c>
      <c r="N874" s="100" t="s">
        <v>1452</v>
      </c>
      <c r="O874" s="32"/>
      <c r="P874" s="32"/>
      <c r="Q874" s="32"/>
      <c r="R874" s="32"/>
      <c r="S874" s="32"/>
      <c r="T874" s="32"/>
      <c r="U874" s="32"/>
      <c r="V874" s="32"/>
      <c r="W874" s="32"/>
      <c r="X874" s="32"/>
    </row>
    <row r="875" spans="2:24" x14ac:dyDescent="0.25">
      <c r="B875" s="32"/>
      <c r="C875" s="32"/>
      <c r="D875" s="32"/>
      <c r="E875" s="32"/>
      <c r="F875" s="32"/>
      <c r="G875" s="32"/>
      <c r="H875" s="32"/>
      <c r="I875" s="32"/>
      <c r="J875" s="32"/>
      <c r="K875" s="97">
        <f t="shared" si="11"/>
        <v>616</v>
      </c>
      <c r="L875" s="98" t="s">
        <v>817</v>
      </c>
      <c r="M875" s="99" t="s">
        <v>821</v>
      </c>
      <c r="N875" s="100" t="s">
        <v>1452</v>
      </c>
      <c r="O875" s="32"/>
      <c r="P875" s="32"/>
      <c r="Q875" s="32"/>
      <c r="R875" s="32"/>
      <c r="S875" s="32"/>
      <c r="T875" s="32"/>
      <c r="U875" s="32"/>
      <c r="V875" s="32"/>
      <c r="W875" s="32"/>
      <c r="X875" s="32"/>
    </row>
    <row r="876" spans="2:24" x14ac:dyDescent="0.25">
      <c r="B876" s="32"/>
      <c r="C876" s="32"/>
      <c r="D876" s="32"/>
      <c r="E876" s="32"/>
      <c r="F876" s="32"/>
      <c r="G876" s="32"/>
      <c r="H876" s="32"/>
      <c r="I876" s="32"/>
      <c r="J876" s="32"/>
      <c r="K876" s="97">
        <f t="shared" si="11"/>
        <v>617</v>
      </c>
      <c r="L876" s="98" t="s">
        <v>817</v>
      </c>
      <c r="M876" s="99" t="s">
        <v>821</v>
      </c>
      <c r="N876" s="100" t="s">
        <v>1452</v>
      </c>
      <c r="O876" s="32"/>
      <c r="P876" s="32"/>
      <c r="Q876" s="32"/>
      <c r="R876" s="32"/>
      <c r="S876" s="32"/>
      <c r="T876" s="32"/>
      <c r="U876" s="32"/>
      <c r="V876" s="32"/>
      <c r="W876" s="32"/>
      <c r="X876" s="32"/>
    </row>
    <row r="877" spans="2:24" x14ac:dyDescent="0.25">
      <c r="B877" s="32"/>
      <c r="C877" s="32"/>
      <c r="D877" s="32"/>
      <c r="E877" s="32"/>
      <c r="F877" s="32"/>
      <c r="G877" s="32"/>
      <c r="H877" s="32"/>
      <c r="I877" s="32"/>
      <c r="J877" s="32"/>
      <c r="K877" s="97">
        <f t="shared" si="11"/>
        <v>618</v>
      </c>
      <c r="L877" s="98" t="s">
        <v>817</v>
      </c>
      <c r="M877" s="99" t="s">
        <v>821</v>
      </c>
      <c r="N877" s="100" t="s">
        <v>1452</v>
      </c>
      <c r="O877" s="32"/>
      <c r="P877" s="32"/>
      <c r="Q877" s="32"/>
      <c r="R877" s="32"/>
      <c r="S877" s="32"/>
      <c r="T877" s="32"/>
      <c r="U877" s="32"/>
      <c r="V877" s="32"/>
      <c r="W877" s="32"/>
      <c r="X877" s="32"/>
    </row>
    <row r="878" spans="2:24" x14ac:dyDescent="0.25">
      <c r="B878" s="32"/>
      <c r="C878" s="32"/>
      <c r="D878" s="32"/>
      <c r="E878" s="32"/>
      <c r="F878" s="32"/>
      <c r="G878" s="32"/>
      <c r="H878" s="32"/>
      <c r="I878" s="32"/>
      <c r="J878" s="32"/>
      <c r="K878" s="97">
        <f t="shared" si="11"/>
        <v>619</v>
      </c>
      <c r="L878" s="98"/>
      <c r="M878" s="99"/>
      <c r="N878" s="100"/>
      <c r="O878" s="32"/>
      <c r="P878" s="32"/>
      <c r="Q878" s="32"/>
      <c r="R878" s="32"/>
      <c r="S878" s="32"/>
      <c r="T878" s="32"/>
      <c r="U878" s="32"/>
      <c r="V878" s="32"/>
      <c r="W878" s="32"/>
      <c r="X878" s="32"/>
    </row>
    <row r="879" spans="2:24" x14ac:dyDescent="0.25">
      <c r="B879" s="32"/>
      <c r="C879" s="32"/>
      <c r="D879" s="32"/>
      <c r="E879" s="32"/>
      <c r="F879" s="32"/>
      <c r="G879" s="32"/>
      <c r="H879" s="32"/>
      <c r="I879" s="32"/>
      <c r="J879" s="32"/>
      <c r="K879" s="97">
        <f t="shared" si="11"/>
        <v>620</v>
      </c>
      <c r="L879" s="98" t="s">
        <v>825</v>
      </c>
      <c r="M879" s="99" t="s">
        <v>1452</v>
      </c>
      <c r="N879" s="100" t="s">
        <v>817</v>
      </c>
      <c r="O879" s="32"/>
      <c r="P879" s="32"/>
      <c r="Q879" s="32"/>
      <c r="R879" s="32"/>
      <c r="S879" s="32"/>
      <c r="T879" s="32"/>
      <c r="U879" s="32"/>
      <c r="V879" s="32"/>
      <c r="W879" s="32"/>
      <c r="X879" s="32"/>
    </row>
    <row r="880" spans="2:24" x14ac:dyDescent="0.25">
      <c r="B880" s="32"/>
      <c r="C880" s="32"/>
      <c r="D880" s="32"/>
      <c r="E880" s="32"/>
      <c r="F880" s="32"/>
      <c r="G880" s="32"/>
      <c r="H880" s="32"/>
      <c r="I880" s="32"/>
      <c r="J880" s="32"/>
      <c r="K880" s="97">
        <f t="shared" si="11"/>
        <v>621</v>
      </c>
      <c r="L880" s="98" t="s">
        <v>821</v>
      </c>
      <c r="M880" s="99" t="s">
        <v>1452</v>
      </c>
      <c r="N880" s="100" t="s">
        <v>817</v>
      </c>
      <c r="O880" s="32"/>
      <c r="P880" s="32"/>
      <c r="Q880" s="32"/>
      <c r="R880" s="32"/>
      <c r="S880" s="32"/>
      <c r="T880" s="32"/>
      <c r="U880" s="32"/>
      <c r="V880" s="32"/>
      <c r="W880" s="32"/>
      <c r="X880" s="32"/>
    </row>
    <row r="881" spans="2:24" x14ac:dyDescent="0.25">
      <c r="B881" s="32"/>
      <c r="C881" s="32"/>
      <c r="D881" s="32"/>
      <c r="E881" s="32"/>
      <c r="F881" s="32"/>
      <c r="G881" s="32"/>
      <c r="H881" s="32"/>
      <c r="I881" s="32"/>
      <c r="J881" s="32"/>
      <c r="K881" s="97">
        <f t="shared" si="11"/>
        <v>622</v>
      </c>
      <c r="L881" s="98" t="s">
        <v>815</v>
      </c>
      <c r="M881" s="99" t="s">
        <v>1454</v>
      </c>
      <c r="N881" s="100" t="s">
        <v>1452</v>
      </c>
      <c r="O881" s="32"/>
      <c r="P881" s="32"/>
      <c r="Q881" s="32"/>
      <c r="R881" s="32"/>
      <c r="S881" s="32"/>
      <c r="T881" s="32"/>
      <c r="U881" s="32"/>
      <c r="V881" s="32"/>
      <c r="W881" s="32"/>
      <c r="X881" s="32"/>
    </row>
    <row r="882" spans="2:24" x14ac:dyDescent="0.25">
      <c r="B882" s="32"/>
      <c r="C882" s="32"/>
      <c r="D882" s="32"/>
      <c r="E882" s="32"/>
      <c r="F882" s="32"/>
      <c r="G882" s="32"/>
      <c r="H882" s="32"/>
      <c r="I882" s="32"/>
      <c r="J882" s="32"/>
      <c r="K882" s="97">
        <f t="shared" si="11"/>
        <v>623</v>
      </c>
      <c r="L882" s="98" t="s">
        <v>815</v>
      </c>
      <c r="M882" s="99" t="s">
        <v>1454</v>
      </c>
      <c r="N882" s="100" t="s">
        <v>1452</v>
      </c>
      <c r="O882" s="32"/>
      <c r="P882" s="32"/>
      <c r="Q882" s="32"/>
      <c r="R882" s="32"/>
      <c r="S882" s="32"/>
      <c r="T882" s="32"/>
      <c r="U882" s="32"/>
      <c r="V882" s="32"/>
      <c r="W882" s="32"/>
      <c r="X882" s="32"/>
    </row>
    <row r="883" spans="2:24" x14ac:dyDescent="0.25">
      <c r="B883" s="32"/>
      <c r="C883" s="32"/>
      <c r="D883" s="32"/>
      <c r="E883" s="32"/>
      <c r="F883" s="32"/>
      <c r="G883" s="32"/>
      <c r="H883" s="32"/>
      <c r="I883" s="32"/>
      <c r="J883" s="32"/>
      <c r="K883" s="97">
        <f t="shared" si="11"/>
        <v>624</v>
      </c>
      <c r="L883" s="98" t="s">
        <v>1454</v>
      </c>
      <c r="M883" s="99" t="s">
        <v>815</v>
      </c>
      <c r="N883" s="100" t="s">
        <v>1452</v>
      </c>
      <c r="O883" s="32"/>
      <c r="P883" s="32"/>
      <c r="Q883" s="32"/>
      <c r="R883" s="32"/>
      <c r="S883" s="32"/>
      <c r="T883" s="32"/>
      <c r="U883" s="32"/>
      <c r="V883" s="32"/>
      <c r="W883" s="32"/>
      <c r="X883" s="32"/>
    </row>
    <row r="884" spans="2:24" x14ac:dyDescent="0.25">
      <c r="B884" s="32"/>
      <c r="C884" s="32"/>
      <c r="D884" s="32"/>
      <c r="E884" s="32"/>
      <c r="F884" s="32"/>
      <c r="G884" s="32"/>
      <c r="H884" s="32"/>
      <c r="I884" s="32"/>
      <c r="J884" s="32"/>
      <c r="K884" s="97">
        <f t="shared" si="11"/>
        <v>625</v>
      </c>
      <c r="L884" s="98" t="s">
        <v>817</v>
      </c>
      <c r="M884" s="99" t="s">
        <v>815</v>
      </c>
      <c r="N884" s="100" t="s">
        <v>1452</v>
      </c>
      <c r="O884" s="32"/>
      <c r="P884" s="32"/>
      <c r="Q884" s="32"/>
      <c r="R884" s="32"/>
      <c r="S884" s="32"/>
      <c r="T884" s="32"/>
      <c r="U884" s="32"/>
      <c r="V884" s="32"/>
      <c r="W884" s="32"/>
      <c r="X884" s="32"/>
    </row>
    <row r="885" spans="2:24" x14ac:dyDescent="0.25">
      <c r="B885" s="32"/>
      <c r="C885" s="32"/>
      <c r="D885" s="32"/>
      <c r="E885" s="32"/>
      <c r="F885" s="32"/>
      <c r="G885" s="32"/>
      <c r="H885" s="32"/>
      <c r="I885" s="32"/>
      <c r="J885" s="32"/>
      <c r="K885" s="97">
        <f t="shared" si="11"/>
        <v>626</v>
      </c>
      <c r="L885" s="98" t="s">
        <v>1452</v>
      </c>
      <c r="M885" s="99" t="s">
        <v>821</v>
      </c>
      <c r="N885" s="100" t="s">
        <v>817</v>
      </c>
      <c r="O885" s="32"/>
      <c r="P885" s="32"/>
      <c r="Q885" s="32"/>
      <c r="R885" s="32"/>
      <c r="S885" s="32"/>
      <c r="T885" s="32"/>
      <c r="U885" s="32"/>
      <c r="V885" s="32"/>
      <c r="W885" s="32"/>
      <c r="X885" s="32"/>
    </row>
    <row r="886" spans="2:24" x14ac:dyDescent="0.25">
      <c r="B886" s="32"/>
      <c r="C886" s="32"/>
      <c r="D886" s="32"/>
      <c r="E886" s="32"/>
      <c r="F886" s="32"/>
      <c r="G886" s="32"/>
      <c r="H886" s="32"/>
      <c r="I886" s="32"/>
      <c r="J886" s="32"/>
      <c r="K886" s="97">
        <f t="shared" si="11"/>
        <v>627</v>
      </c>
      <c r="L886" s="98" t="s">
        <v>815</v>
      </c>
      <c r="M886" s="99" t="s">
        <v>821</v>
      </c>
      <c r="N886" s="100" t="s">
        <v>1452</v>
      </c>
      <c r="O886" s="32"/>
      <c r="P886" s="32"/>
      <c r="Q886" s="32"/>
      <c r="R886" s="32"/>
      <c r="S886" s="32"/>
      <c r="T886" s="32"/>
      <c r="U886" s="32"/>
      <c r="V886" s="32"/>
      <c r="W886" s="32"/>
      <c r="X886" s="32"/>
    </row>
    <row r="887" spans="2:24" x14ac:dyDescent="0.25">
      <c r="B887" s="32"/>
      <c r="C887" s="32"/>
      <c r="D887" s="32"/>
      <c r="E887" s="32"/>
      <c r="F887" s="32"/>
      <c r="G887" s="32"/>
      <c r="H887" s="32"/>
      <c r="I887" s="32"/>
      <c r="J887" s="32"/>
      <c r="K887" s="97">
        <f t="shared" si="11"/>
        <v>628</v>
      </c>
      <c r="L887" s="98" t="s">
        <v>1452</v>
      </c>
      <c r="M887" s="99" t="s">
        <v>821</v>
      </c>
      <c r="N887" s="100" t="s">
        <v>817</v>
      </c>
      <c r="O887" s="32"/>
      <c r="P887" s="32"/>
      <c r="Q887" s="32"/>
      <c r="R887" s="32"/>
      <c r="S887" s="32"/>
      <c r="T887" s="32"/>
      <c r="U887" s="32"/>
      <c r="V887" s="32"/>
      <c r="W887" s="32"/>
      <c r="X887" s="32"/>
    </row>
    <row r="888" spans="2:24" x14ac:dyDescent="0.25">
      <c r="B888" s="32"/>
      <c r="C888" s="32"/>
      <c r="D888" s="32"/>
      <c r="E888" s="32"/>
      <c r="F888" s="32"/>
      <c r="G888" s="32"/>
      <c r="H888" s="32"/>
      <c r="I888" s="32"/>
      <c r="J888" s="32"/>
      <c r="K888" s="97">
        <f t="shared" si="11"/>
        <v>629</v>
      </c>
      <c r="L888" s="98" t="s">
        <v>817</v>
      </c>
      <c r="M888" s="99" t="s">
        <v>815</v>
      </c>
      <c r="N888" s="100" t="s">
        <v>1452</v>
      </c>
      <c r="O888" s="32"/>
      <c r="P888" s="32"/>
      <c r="Q888" s="32"/>
      <c r="R888" s="32"/>
      <c r="S888" s="32"/>
      <c r="T888" s="32"/>
      <c r="U888" s="32"/>
      <c r="V888" s="32"/>
      <c r="W888" s="32"/>
      <c r="X888" s="32"/>
    </row>
    <row r="889" spans="2:24" x14ac:dyDescent="0.25">
      <c r="B889" s="32"/>
      <c r="C889" s="32"/>
      <c r="D889" s="32"/>
      <c r="E889" s="32"/>
      <c r="F889" s="32"/>
      <c r="G889" s="32"/>
      <c r="H889" s="32"/>
      <c r="I889" s="32"/>
      <c r="J889" s="32"/>
      <c r="K889" s="97">
        <f t="shared" si="11"/>
        <v>630</v>
      </c>
      <c r="L889" s="98" t="s">
        <v>1452</v>
      </c>
      <c r="M889" s="99" t="s">
        <v>817</v>
      </c>
      <c r="N889" s="100" t="s">
        <v>815</v>
      </c>
      <c r="O889" s="32"/>
      <c r="P889" s="32"/>
      <c r="Q889" s="32"/>
      <c r="R889" s="32"/>
      <c r="S889" s="32"/>
      <c r="T889" s="32"/>
      <c r="U889" s="32"/>
      <c r="V889" s="32"/>
      <c r="W889" s="32"/>
      <c r="X889" s="32"/>
    </row>
    <row r="890" spans="2:24" x14ac:dyDescent="0.25">
      <c r="B890" s="32"/>
      <c r="C890" s="32"/>
      <c r="D890" s="32"/>
      <c r="E890" s="32"/>
      <c r="F890" s="32"/>
      <c r="G890" s="32"/>
      <c r="H890" s="32"/>
      <c r="I890" s="32"/>
      <c r="J890" s="32"/>
      <c r="K890" s="97">
        <f t="shared" si="11"/>
        <v>631</v>
      </c>
      <c r="L890" s="98" t="s">
        <v>817</v>
      </c>
      <c r="M890" s="99" t="s">
        <v>815</v>
      </c>
      <c r="N890" s="100" t="s">
        <v>821</v>
      </c>
      <c r="O890" s="32"/>
      <c r="P890" s="32"/>
      <c r="Q890" s="32"/>
      <c r="R890" s="32"/>
      <c r="S890" s="32"/>
      <c r="T890" s="32"/>
      <c r="U890" s="32"/>
      <c r="V890" s="32"/>
      <c r="W890" s="32"/>
      <c r="X890" s="32"/>
    </row>
    <row r="891" spans="2:24" x14ac:dyDescent="0.25">
      <c r="B891" s="32"/>
      <c r="C891" s="32"/>
      <c r="D891" s="32"/>
      <c r="E891" s="32"/>
      <c r="F891" s="32"/>
      <c r="G891" s="32"/>
      <c r="H891" s="32"/>
      <c r="I891" s="32"/>
      <c r="J891" s="32"/>
      <c r="K891" s="97">
        <f t="shared" si="11"/>
        <v>632</v>
      </c>
      <c r="L891" s="98" t="s">
        <v>821</v>
      </c>
      <c r="M891" s="99" t="s">
        <v>817</v>
      </c>
      <c r="N891" s="100" t="s">
        <v>815</v>
      </c>
      <c r="O891" s="32"/>
      <c r="P891" s="32"/>
      <c r="Q891" s="32"/>
      <c r="R891" s="32"/>
      <c r="S891" s="32"/>
      <c r="T891" s="32"/>
      <c r="U891" s="32"/>
      <c r="V891" s="32"/>
      <c r="W891" s="32"/>
      <c r="X891" s="32"/>
    </row>
    <row r="892" spans="2:24" x14ac:dyDescent="0.25">
      <c r="B892" s="32"/>
      <c r="C892" s="32"/>
      <c r="D892" s="32"/>
      <c r="E892" s="32"/>
      <c r="F892" s="32"/>
      <c r="G892" s="32"/>
      <c r="H892" s="32"/>
      <c r="I892" s="32"/>
      <c r="J892" s="32"/>
      <c r="K892" s="97">
        <f t="shared" si="11"/>
        <v>633</v>
      </c>
      <c r="L892" s="98" t="s">
        <v>817</v>
      </c>
      <c r="M892" s="99" t="s">
        <v>821</v>
      </c>
      <c r="N892" s="100" t="s">
        <v>825</v>
      </c>
      <c r="O892" s="32"/>
      <c r="P892" s="32"/>
      <c r="Q892" s="32"/>
      <c r="R892" s="32"/>
      <c r="S892" s="32"/>
      <c r="T892" s="32"/>
      <c r="U892" s="32"/>
      <c r="V892" s="32"/>
      <c r="W892" s="32"/>
      <c r="X892" s="32"/>
    </row>
    <row r="893" spans="2:24" x14ac:dyDescent="0.25">
      <c r="B893" s="32"/>
      <c r="C893" s="32"/>
      <c r="D893" s="32"/>
      <c r="E893" s="32"/>
      <c r="F893" s="32"/>
      <c r="G893" s="32"/>
      <c r="H893" s="32"/>
      <c r="I893" s="32"/>
      <c r="J893" s="32"/>
      <c r="K893" s="97">
        <f t="shared" si="11"/>
        <v>634</v>
      </c>
      <c r="L893" s="98" t="s">
        <v>1454</v>
      </c>
      <c r="M893" s="99" t="s">
        <v>821</v>
      </c>
      <c r="N893" s="100" t="s">
        <v>825</v>
      </c>
      <c r="O893" s="32"/>
      <c r="P893" s="32"/>
      <c r="Q893" s="32"/>
      <c r="R893" s="32"/>
      <c r="S893" s="32"/>
      <c r="T893" s="32"/>
      <c r="U893" s="32"/>
      <c r="V893" s="32"/>
      <c r="W893" s="32"/>
      <c r="X893" s="32"/>
    </row>
    <row r="894" spans="2:24" x14ac:dyDescent="0.25">
      <c r="B894" s="32"/>
      <c r="C894" s="32"/>
      <c r="D894" s="32"/>
      <c r="E894" s="32"/>
      <c r="F894" s="32"/>
      <c r="G894" s="32"/>
      <c r="H894" s="32"/>
      <c r="I894" s="32"/>
      <c r="J894" s="32"/>
      <c r="K894" s="97">
        <f t="shared" si="11"/>
        <v>635</v>
      </c>
      <c r="L894" s="98" t="s">
        <v>817</v>
      </c>
      <c r="M894" s="99" t="s">
        <v>1452</v>
      </c>
      <c r="N894" s="100"/>
      <c r="O894" s="32"/>
      <c r="P894" s="32"/>
      <c r="Q894" s="32"/>
      <c r="R894" s="32"/>
      <c r="S894" s="32"/>
      <c r="T894" s="32"/>
      <c r="U894" s="32"/>
      <c r="V894" s="32"/>
      <c r="W894" s="32"/>
      <c r="X894" s="32"/>
    </row>
    <row r="895" spans="2:24" x14ac:dyDescent="0.25">
      <c r="B895" s="32"/>
      <c r="C895" s="32"/>
      <c r="D895" s="32"/>
      <c r="E895" s="32"/>
      <c r="F895" s="32"/>
      <c r="G895" s="32"/>
      <c r="H895" s="32"/>
      <c r="I895" s="32"/>
      <c r="J895" s="32"/>
      <c r="K895" s="97">
        <f t="shared" si="11"/>
        <v>636</v>
      </c>
      <c r="L895" s="98" t="s">
        <v>817</v>
      </c>
      <c r="M895" s="99" t="s">
        <v>1452</v>
      </c>
      <c r="N895" s="100"/>
      <c r="O895" s="32"/>
      <c r="P895" s="32"/>
      <c r="Q895" s="32"/>
      <c r="R895" s="32"/>
      <c r="S895" s="32"/>
      <c r="T895" s="32"/>
      <c r="U895" s="32"/>
      <c r="V895" s="32"/>
      <c r="W895" s="32"/>
      <c r="X895" s="32"/>
    </row>
    <row r="896" spans="2:24" x14ac:dyDescent="0.25">
      <c r="B896" s="32"/>
      <c r="C896" s="32"/>
      <c r="D896" s="32"/>
      <c r="E896" s="32"/>
      <c r="F896" s="32"/>
      <c r="G896" s="32"/>
      <c r="H896" s="32"/>
      <c r="I896" s="32"/>
      <c r="J896" s="32"/>
      <c r="K896" s="97">
        <f t="shared" si="11"/>
        <v>637</v>
      </c>
      <c r="L896" s="98" t="s">
        <v>825</v>
      </c>
      <c r="M896" s="99" t="s">
        <v>821</v>
      </c>
      <c r="N896" s="100" t="s">
        <v>1452</v>
      </c>
      <c r="O896" s="32"/>
      <c r="P896" s="32"/>
      <c r="Q896" s="32"/>
      <c r="R896" s="32"/>
      <c r="S896" s="32"/>
      <c r="T896" s="32"/>
      <c r="U896" s="32"/>
      <c r="V896" s="32"/>
      <c r="W896" s="32"/>
      <c r="X896" s="32"/>
    </row>
    <row r="897" spans="2:24" x14ac:dyDescent="0.25">
      <c r="B897" s="32"/>
      <c r="C897" s="32"/>
      <c r="D897" s="32"/>
      <c r="E897" s="32"/>
      <c r="F897" s="32"/>
      <c r="G897" s="32"/>
      <c r="H897" s="32"/>
      <c r="I897" s="32"/>
      <c r="J897" s="32"/>
      <c r="K897" s="97">
        <f t="shared" si="11"/>
        <v>638</v>
      </c>
      <c r="L897" s="98" t="s">
        <v>817</v>
      </c>
      <c r="M897" s="99" t="s">
        <v>825</v>
      </c>
      <c r="N897" s="100" t="s">
        <v>1452</v>
      </c>
      <c r="O897" s="32"/>
      <c r="P897" s="32"/>
      <c r="Q897" s="32"/>
      <c r="R897" s="32"/>
      <c r="S897" s="32"/>
      <c r="T897" s="32"/>
      <c r="U897" s="32"/>
      <c r="V897" s="32"/>
      <c r="W897" s="32"/>
      <c r="X897" s="32"/>
    </row>
    <row r="898" spans="2:24" x14ac:dyDescent="0.25">
      <c r="B898" s="32"/>
      <c r="C898" s="32"/>
      <c r="D898" s="32"/>
      <c r="E898" s="32"/>
      <c r="F898" s="32"/>
      <c r="G898" s="32"/>
      <c r="H898" s="32"/>
      <c r="I898" s="32"/>
      <c r="J898" s="32"/>
      <c r="K898" s="97">
        <f t="shared" si="11"/>
        <v>639</v>
      </c>
      <c r="L898" s="98" t="s">
        <v>1452</v>
      </c>
      <c r="M898" s="99" t="s">
        <v>825</v>
      </c>
      <c r="N898" s="100" t="s">
        <v>821</v>
      </c>
      <c r="O898" s="32"/>
      <c r="P898" s="32"/>
      <c r="Q898" s="32"/>
      <c r="R898" s="32"/>
      <c r="S898" s="32"/>
      <c r="T898" s="32"/>
      <c r="U898" s="32"/>
      <c r="V898" s="32"/>
      <c r="W898" s="32"/>
      <c r="X898" s="32"/>
    </row>
    <row r="899" spans="2:24" x14ac:dyDescent="0.25">
      <c r="B899" s="32"/>
      <c r="C899" s="32"/>
      <c r="D899" s="32"/>
      <c r="E899" s="32"/>
      <c r="F899" s="32"/>
      <c r="G899" s="32"/>
      <c r="H899" s="32"/>
      <c r="I899" s="32"/>
      <c r="J899" s="32"/>
      <c r="K899" s="97">
        <f t="shared" si="11"/>
        <v>640</v>
      </c>
      <c r="L899" s="98" t="s">
        <v>817</v>
      </c>
      <c r="M899" s="99" t="s">
        <v>821</v>
      </c>
      <c r="N899" s="100" t="s">
        <v>1452</v>
      </c>
      <c r="O899" s="32"/>
      <c r="P899" s="32"/>
      <c r="Q899" s="32"/>
      <c r="R899" s="32"/>
      <c r="S899" s="32"/>
      <c r="T899" s="32"/>
      <c r="U899" s="32"/>
      <c r="V899" s="32"/>
      <c r="W899" s="32"/>
      <c r="X899" s="32"/>
    </row>
    <row r="900" spans="2:24" x14ac:dyDescent="0.25">
      <c r="B900" s="32"/>
      <c r="C900" s="32"/>
      <c r="D900" s="32"/>
      <c r="E900" s="32"/>
      <c r="F900" s="32"/>
      <c r="G900" s="32"/>
      <c r="H900" s="32"/>
      <c r="I900" s="32"/>
      <c r="J900" s="32"/>
      <c r="K900" s="97">
        <f t="shared" si="11"/>
        <v>641</v>
      </c>
      <c r="L900" s="98" t="s">
        <v>821</v>
      </c>
      <c r="M900" s="99" t="s">
        <v>817</v>
      </c>
      <c r="N900" s="100" t="s">
        <v>1452</v>
      </c>
      <c r="O900" s="32"/>
      <c r="P900" s="32"/>
      <c r="Q900" s="32"/>
      <c r="R900" s="32"/>
      <c r="S900" s="32"/>
      <c r="T900" s="32"/>
      <c r="U900" s="32"/>
      <c r="V900" s="32"/>
      <c r="W900" s="32"/>
      <c r="X900" s="32"/>
    </row>
    <row r="901" spans="2:24" x14ac:dyDescent="0.25">
      <c r="B901" s="32"/>
      <c r="C901" s="32"/>
      <c r="D901" s="32"/>
      <c r="E901" s="32"/>
      <c r="F901" s="32"/>
      <c r="G901" s="32"/>
      <c r="H901" s="32"/>
      <c r="I901" s="32"/>
      <c r="J901" s="32"/>
      <c r="K901" s="97">
        <f t="shared" si="11"/>
        <v>642</v>
      </c>
      <c r="L901" s="98" t="s">
        <v>817</v>
      </c>
      <c r="M901" s="99" t="s">
        <v>821</v>
      </c>
      <c r="N901" s="100" t="s">
        <v>1452</v>
      </c>
      <c r="O901" s="32"/>
      <c r="P901" s="32"/>
      <c r="Q901" s="32"/>
      <c r="R901" s="32"/>
      <c r="S901" s="32"/>
      <c r="T901" s="32"/>
      <c r="U901" s="32"/>
      <c r="V901" s="32"/>
      <c r="W901" s="32"/>
      <c r="X901" s="32"/>
    </row>
    <row r="902" spans="2:24" x14ac:dyDescent="0.25">
      <c r="B902" s="32"/>
      <c r="C902" s="32"/>
      <c r="D902" s="32"/>
      <c r="E902" s="32"/>
      <c r="F902" s="32"/>
      <c r="G902" s="32"/>
      <c r="H902" s="32"/>
      <c r="I902" s="32"/>
      <c r="J902" s="32"/>
      <c r="K902" s="97">
        <f t="shared" si="11"/>
        <v>643</v>
      </c>
      <c r="L902" s="98" t="s">
        <v>821</v>
      </c>
      <c r="M902" s="99" t="s">
        <v>817</v>
      </c>
      <c r="N902" s="100" t="s">
        <v>1452</v>
      </c>
      <c r="O902" s="32"/>
      <c r="P902" s="32"/>
      <c r="Q902" s="32"/>
      <c r="R902" s="32"/>
      <c r="S902" s="32"/>
      <c r="T902" s="32"/>
      <c r="U902" s="32"/>
      <c r="V902" s="32"/>
      <c r="W902" s="32"/>
      <c r="X902" s="32"/>
    </row>
    <row r="903" spans="2:24" x14ac:dyDescent="0.25">
      <c r="B903" s="32"/>
      <c r="C903" s="32"/>
      <c r="D903" s="32"/>
      <c r="E903" s="32"/>
      <c r="F903" s="32"/>
      <c r="G903" s="32"/>
      <c r="H903" s="32"/>
      <c r="I903" s="32"/>
      <c r="J903" s="32"/>
      <c r="K903" s="97">
        <f t="shared" si="11"/>
        <v>644</v>
      </c>
      <c r="L903" s="98" t="s">
        <v>817</v>
      </c>
      <c r="M903" s="99" t="s">
        <v>821</v>
      </c>
      <c r="N903" s="100" t="s">
        <v>1452</v>
      </c>
      <c r="O903" s="32"/>
      <c r="P903" s="32"/>
      <c r="Q903" s="32"/>
      <c r="R903" s="32"/>
      <c r="S903" s="32"/>
      <c r="T903" s="32"/>
      <c r="U903" s="32"/>
      <c r="V903" s="32"/>
      <c r="W903" s="32"/>
      <c r="X903" s="32"/>
    </row>
    <row r="904" spans="2:24" x14ac:dyDescent="0.25">
      <c r="B904" s="32"/>
      <c r="C904" s="32"/>
      <c r="D904" s="32"/>
      <c r="E904" s="32"/>
      <c r="F904" s="32"/>
      <c r="G904" s="32"/>
      <c r="H904" s="32"/>
      <c r="I904" s="32"/>
      <c r="J904" s="32"/>
      <c r="K904" s="97">
        <f t="shared" si="11"/>
        <v>645</v>
      </c>
      <c r="L904" s="98" t="s">
        <v>821</v>
      </c>
      <c r="M904" s="99" t="s">
        <v>817</v>
      </c>
      <c r="N904" s="100" t="s">
        <v>1452</v>
      </c>
      <c r="O904" s="32"/>
      <c r="P904" s="32"/>
      <c r="Q904" s="32"/>
      <c r="R904" s="32"/>
      <c r="S904" s="32"/>
      <c r="T904" s="32"/>
      <c r="U904" s="32"/>
      <c r="V904" s="32"/>
      <c r="W904" s="32"/>
      <c r="X904" s="32"/>
    </row>
    <row r="905" spans="2:24" x14ac:dyDescent="0.25">
      <c r="B905" s="32"/>
      <c r="C905" s="32"/>
      <c r="D905" s="32"/>
      <c r="E905" s="32"/>
      <c r="F905" s="32"/>
      <c r="G905" s="32"/>
      <c r="H905" s="32"/>
      <c r="I905" s="32"/>
      <c r="J905" s="32"/>
      <c r="K905" s="97">
        <f t="shared" si="11"/>
        <v>646</v>
      </c>
      <c r="L905" s="98" t="s">
        <v>817</v>
      </c>
      <c r="M905" s="99" t="s">
        <v>821</v>
      </c>
      <c r="N905" s="100" t="s">
        <v>1452</v>
      </c>
      <c r="O905" s="32"/>
      <c r="P905" s="32"/>
      <c r="Q905" s="32"/>
      <c r="R905" s="32"/>
      <c r="S905" s="32"/>
      <c r="T905" s="32"/>
      <c r="U905" s="32"/>
      <c r="V905" s="32"/>
      <c r="W905" s="32"/>
      <c r="X905" s="32"/>
    </row>
    <row r="906" spans="2:24" x14ac:dyDescent="0.25">
      <c r="B906" s="32"/>
      <c r="C906" s="32"/>
      <c r="D906" s="32"/>
      <c r="E906" s="32"/>
      <c r="F906" s="32"/>
      <c r="G906" s="32"/>
      <c r="H906" s="32"/>
      <c r="I906" s="32"/>
      <c r="J906" s="32"/>
      <c r="K906" s="97">
        <f t="shared" si="11"/>
        <v>647</v>
      </c>
      <c r="L906" s="98" t="s">
        <v>817</v>
      </c>
      <c r="M906" s="99" t="s">
        <v>821</v>
      </c>
      <c r="N906" s="100" t="s">
        <v>621</v>
      </c>
      <c r="O906" s="32"/>
      <c r="P906" s="32"/>
      <c r="Q906" s="32"/>
      <c r="R906" s="32"/>
      <c r="S906" s="32"/>
      <c r="T906" s="32"/>
      <c r="U906" s="32"/>
      <c r="V906" s="32"/>
      <c r="W906" s="32"/>
      <c r="X906" s="32"/>
    </row>
    <row r="907" spans="2:24" x14ac:dyDescent="0.25">
      <c r="B907" s="32"/>
      <c r="C907" s="32"/>
      <c r="D907" s="32"/>
      <c r="E907" s="32"/>
      <c r="F907" s="32"/>
      <c r="G907" s="32"/>
      <c r="H907" s="32"/>
      <c r="I907" s="32"/>
      <c r="J907" s="32"/>
      <c r="K907" s="97">
        <f t="shared" si="11"/>
        <v>648</v>
      </c>
      <c r="L907" s="98" t="s">
        <v>817</v>
      </c>
      <c r="M907" s="99" t="s">
        <v>821</v>
      </c>
      <c r="N907" s="100" t="s">
        <v>1452</v>
      </c>
      <c r="O907" s="32"/>
      <c r="P907" s="32"/>
      <c r="Q907" s="32"/>
      <c r="R907" s="32"/>
      <c r="S907" s="32"/>
      <c r="T907" s="32"/>
      <c r="U907" s="32"/>
      <c r="V907" s="32"/>
      <c r="W907" s="32"/>
      <c r="X907" s="32"/>
    </row>
    <row r="908" spans="2:24" x14ac:dyDescent="0.25">
      <c r="B908" s="32"/>
      <c r="C908" s="32"/>
      <c r="D908" s="32"/>
      <c r="E908" s="32"/>
      <c r="F908" s="32"/>
      <c r="G908" s="32"/>
      <c r="H908" s="32"/>
      <c r="I908" s="32"/>
      <c r="J908" s="32"/>
      <c r="K908" s="97">
        <f t="shared" si="11"/>
        <v>649</v>
      </c>
      <c r="L908" s="98" t="s">
        <v>825</v>
      </c>
      <c r="M908" s="99" t="s">
        <v>817</v>
      </c>
      <c r="N908" s="100" t="s">
        <v>821</v>
      </c>
      <c r="O908" s="32"/>
      <c r="P908" s="32"/>
      <c r="Q908" s="32"/>
      <c r="R908" s="32"/>
      <c r="S908" s="32"/>
      <c r="T908" s="32"/>
      <c r="U908" s="32"/>
      <c r="V908" s="32"/>
      <c r="W908" s="32"/>
      <c r="X908" s="32"/>
    </row>
    <row r="909" spans="2:24" x14ac:dyDescent="0.25">
      <c r="B909" s="32"/>
      <c r="C909" s="32"/>
      <c r="D909" s="32"/>
      <c r="E909" s="32"/>
      <c r="F909" s="32"/>
      <c r="G909" s="32"/>
      <c r="H909" s="32"/>
      <c r="I909" s="32"/>
      <c r="J909" s="32"/>
      <c r="K909" s="97">
        <f t="shared" si="11"/>
        <v>650</v>
      </c>
      <c r="L909" s="98" t="s">
        <v>821</v>
      </c>
      <c r="M909" s="99" t="s">
        <v>815</v>
      </c>
      <c r="N909" s="100"/>
      <c r="O909" s="32"/>
      <c r="P909" s="32"/>
      <c r="Q909" s="32"/>
      <c r="R909" s="32"/>
      <c r="S909" s="32"/>
      <c r="T909" s="32"/>
      <c r="U909" s="32"/>
      <c r="V909" s="32"/>
      <c r="W909" s="32"/>
      <c r="X909" s="32"/>
    </row>
    <row r="910" spans="2:24" x14ac:dyDescent="0.25">
      <c r="B910" s="32"/>
      <c r="C910" s="32"/>
      <c r="D910" s="32"/>
      <c r="E910" s="32"/>
      <c r="F910" s="32"/>
      <c r="G910" s="32"/>
      <c r="H910" s="32"/>
      <c r="I910" s="32"/>
      <c r="J910" s="32"/>
      <c r="K910" s="97">
        <f t="shared" si="11"/>
        <v>651</v>
      </c>
      <c r="L910" s="98" t="s">
        <v>821</v>
      </c>
      <c r="M910" s="99" t="s">
        <v>1243</v>
      </c>
      <c r="N910" s="100"/>
      <c r="O910" s="32"/>
      <c r="P910" s="32"/>
      <c r="Q910" s="32"/>
      <c r="R910" s="32"/>
      <c r="S910" s="32"/>
      <c r="T910" s="32"/>
      <c r="U910" s="32"/>
      <c r="V910" s="32"/>
      <c r="W910" s="32"/>
      <c r="X910" s="32"/>
    </row>
    <row r="911" spans="2:24" x14ac:dyDescent="0.25">
      <c r="B911" s="32"/>
      <c r="C911" s="32"/>
      <c r="D911" s="32"/>
      <c r="E911" s="32"/>
      <c r="F911" s="32"/>
      <c r="G911" s="32"/>
      <c r="H911" s="32"/>
      <c r="I911" s="32"/>
      <c r="J911" s="32"/>
      <c r="K911" s="97">
        <f t="shared" si="11"/>
        <v>652</v>
      </c>
      <c r="L911" s="98" t="s">
        <v>821</v>
      </c>
      <c r="M911" s="99"/>
      <c r="N911" s="100"/>
      <c r="O911" s="32"/>
      <c r="P911" s="32"/>
      <c r="Q911" s="32"/>
      <c r="R911" s="32"/>
      <c r="S911" s="32"/>
      <c r="T911" s="32"/>
      <c r="U911" s="32"/>
      <c r="V911" s="32"/>
      <c r="W911" s="32"/>
      <c r="X911" s="32"/>
    </row>
    <row r="912" spans="2:24" x14ac:dyDescent="0.25">
      <c r="B912" s="32"/>
      <c r="C912" s="32"/>
      <c r="D912" s="32"/>
      <c r="E912" s="32"/>
      <c r="F912" s="32"/>
      <c r="G912" s="32"/>
      <c r="H912" s="32"/>
      <c r="I912" s="32"/>
      <c r="J912" s="32"/>
      <c r="K912" s="97">
        <f t="shared" si="11"/>
        <v>653</v>
      </c>
      <c r="L912" s="98" t="s">
        <v>821</v>
      </c>
      <c r="M912" s="99"/>
      <c r="N912" s="100"/>
      <c r="O912" s="32"/>
      <c r="P912" s="32"/>
      <c r="Q912" s="32"/>
      <c r="R912" s="32"/>
      <c r="S912" s="32"/>
      <c r="T912" s="32"/>
      <c r="U912" s="32"/>
      <c r="V912" s="32"/>
      <c r="W912" s="32"/>
      <c r="X912" s="32"/>
    </row>
    <row r="913" spans="2:24" x14ac:dyDescent="0.25">
      <c r="B913" s="32"/>
      <c r="C913" s="32"/>
      <c r="D913" s="32"/>
      <c r="E913" s="32"/>
      <c r="F913" s="32"/>
      <c r="G913" s="32"/>
      <c r="H913" s="32"/>
      <c r="I913" s="32"/>
      <c r="J913" s="32"/>
      <c r="K913" s="97">
        <f t="shared" si="11"/>
        <v>654</v>
      </c>
      <c r="L913" s="98" t="s">
        <v>1450</v>
      </c>
      <c r="M913" s="99"/>
      <c r="N913" s="100"/>
      <c r="O913" s="32"/>
      <c r="P913" s="32"/>
      <c r="Q913" s="32"/>
      <c r="R913" s="32"/>
      <c r="S913" s="32"/>
      <c r="T913" s="32"/>
      <c r="U913" s="32"/>
      <c r="V913" s="32"/>
      <c r="W913" s="32"/>
      <c r="X913" s="32"/>
    </row>
    <row r="914" spans="2:24" x14ac:dyDescent="0.25">
      <c r="B914" s="32"/>
      <c r="C914" s="32"/>
      <c r="D914" s="32"/>
      <c r="E914" s="32"/>
      <c r="F914" s="32"/>
      <c r="G914" s="32"/>
      <c r="H914" s="32"/>
      <c r="I914" s="32"/>
      <c r="J914" s="32"/>
      <c r="K914" s="97">
        <f t="shared" si="11"/>
        <v>655</v>
      </c>
      <c r="L914" s="98"/>
      <c r="M914" s="99"/>
      <c r="N914" s="100"/>
      <c r="O914" s="32"/>
      <c r="P914" s="32"/>
      <c r="Q914" s="32"/>
      <c r="R914" s="32"/>
      <c r="S914" s="32"/>
      <c r="T914" s="32"/>
      <c r="U914" s="32"/>
      <c r="V914" s="32"/>
      <c r="W914" s="32"/>
      <c r="X914" s="32"/>
    </row>
    <row r="915" spans="2:24" x14ac:dyDescent="0.25">
      <c r="B915" s="32"/>
      <c r="C915" s="32"/>
      <c r="D915" s="32"/>
      <c r="E915" s="32"/>
      <c r="F915" s="32"/>
      <c r="G915" s="32"/>
      <c r="H915" s="32"/>
      <c r="I915" s="32"/>
      <c r="J915" s="32"/>
      <c r="K915" s="97">
        <f t="shared" si="11"/>
        <v>656</v>
      </c>
      <c r="L915" s="98" t="s">
        <v>821</v>
      </c>
      <c r="M915" s="99"/>
      <c r="N915" s="100"/>
      <c r="O915" s="32"/>
      <c r="P915" s="32"/>
      <c r="Q915" s="32"/>
      <c r="R915" s="32"/>
      <c r="S915" s="32"/>
      <c r="T915" s="32"/>
      <c r="U915" s="32"/>
      <c r="V915" s="32"/>
      <c r="W915" s="32"/>
      <c r="X915" s="32"/>
    </row>
    <row r="916" spans="2:24" x14ac:dyDescent="0.25">
      <c r="B916" s="32"/>
      <c r="C916" s="32"/>
      <c r="D916" s="32"/>
      <c r="E916" s="32"/>
      <c r="F916" s="32"/>
      <c r="G916" s="32"/>
      <c r="H916" s="32"/>
      <c r="I916" s="32"/>
      <c r="J916" s="32"/>
      <c r="K916" s="97">
        <f t="shared" si="11"/>
        <v>657</v>
      </c>
      <c r="L916" s="98"/>
      <c r="M916" s="99"/>
      <c r="N916" s="100"/>
      <c r="O916" s="32"/>
      <c r="P916" s="32"/>
      <c r="Q916" s="32"/>
      <c r="R916" s="32"/>
      <c r="S916" s="32"/>
      <c r="T916" s="32"/>
      <c r="U916" s="32"/>
      <c r="V916" s="32"/>
      <c r="W916" s="32"/>
      <c r="X916" s="32"/>
    </row>
    <row r="917" spans="2:24" x14ac:dyDescent="0.25">
      <c r="B917" s="32"/>
      <c r="C917" s="32"/>
      <c r="D917" s="32"/>
      <c r="E917" s="32"/>
      <c r="F917" s="32"/>
      <c r="G917" s="32"/>
      <c r="H917" s="32"/>
      <c r="I917" s="32"/>
      <c r="J917" s="32"/>
      <c r="K917" s="97">
        <f t="shared" si="11"/>
        <v>658</v>
      </c>
      <c r="L917" s="98" t="s">
        <v>635</v>
      </c>
      <c r="M917" s="99"/>
      <c r="N917" s="100"/>
      <c r="O917" s="32"/>
      <c r="P917" s="32"/>
      <c r="Q917" s="32"/>
      <c r="R917" s="32"/>
      <c r="S917" s="32"/>
      <c r="T917" s="32"/>
      <c r="U917" s="32"/>
      <c r="V917" s="32"/>
      <c r="W917" s="32"/>
      <c r="X917" s="32"/>
    </row>
    <row r="918" spans="2:24" x14ac:dyDescent="0.25">
      <c r="B918" s="32"/>
      <c r="C918" s="32"/>
      <c r="D918" s="32"/>
      <c r="E918" s="32"/>
      <c r="F918" s="32"/>
      <c r="G918" s="32"/>
      <c r="H918" s="32"/>
      <c r="I918" s="32"/>
      <c r="J918" s="32"/>
      <c r="K918" s="97">
        <f t="shared" si="11"/>
        <v>659</v>
      </c>
      <c r="L918" s="98" t="s">
        <v>821</v>
      </c>
      <c r="M918" s="99"/>
      <c r="N918" s="100"/>
      <c r="O918" s="32"/>
      <c r="P918" s="32"/>
      <c r="Q918" s="32"/>
      <c r="R918" s="32"/>
      <c r="S918" s="32"/>
      <c r="T918" s="32"/>
      <c r="U918" s="32"/>
      <c r="V918" s="32"/>
      <c r="W918" s="32"/>
      <c r="X918" s="32"/>
    </row>
    <row r="919" spans="2:24" x14ac:dyDescent="0.25">
      <c r="B919" s="32"/>
      <c r="C919" s="32"/>
      <c r="D919" s="32"/>
      <c r="E919" s="32"/>
      <c r="F919" s="32"/>
      <c r="G919" s="32"/>
      <c r="H919" s="32"/>
      <c r="I919" s="32"/>
      <c r="J919" s="32"/>
      <c r="K919" s="97">
        <f t="shared" si="11"/>
        <v>660</v>
      </c>
      <c r="L919" s="98"/>
      <c r="M919" s="99"/>
      <c r="N919" s="100"/>
      <c r="O919" s="32"/>
      <c r="P919" s="32"/>
      <c r="Q919" s="32"/>
      <c r="R919" s="32"/>
      <c r="S919" s="32"/>
      <c r="T919" s="32"/>
      <c r="U919" s="32"/>
      <c r="V919" s="32"/>
      <c r="W919" s="32"/>
      <c r="X919" s="32"/>
    </row>
    <row r="920" spans="2:24" x14ac:dyDescent="0.25"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</row>
    <row r="921" spans="2:24" x14ac:dyDescent="0.25"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</row>
    <row r="922" spans="2:24" x14ac:dyDescent="0.25"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</row>
    <row r="923" spans="2:24" x14ac:dyDescent="0.25"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</row>
    <row r="924" spans="2:24" x14ac:dyDescent="0.25"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</row>
    <row r="925" spans="2:24" x14ac:dyDescent="0.25"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</row>
    <row r="926" spans="2:24" x14ac:dyDescent="0.25">
      <c r="F926" s="428"/>
      <c r="G926" s="427"/>
      <c r="J926" s="428" t="s">
        <v>2043</v>
      </c>
      <c r="V926" s="32"/>
      <c r="W926" s="32"/>
      <c r="X926" s="32"/>
    </row>
    <row r="927" spans="2:24" ht="36.75" thickBot="1" x14ac:dyDescent="0.6">
      <c r="B927" s="579"/>
      <c r="C927" s="580"/>
      <c r="D927" s="580"/>
      <c r="E927" s="580"/>
      <c r="F927" s="580"/>
      <c r="G927" s="580"/>
      <c r="H927" s="581" t="str">
        <f>IF($S$928&gt;=1055,"LOT 21 LABORATORY REQUIREMENT - OBADA ANNEX",IF($S$928&gt;=1039,"LOT 21 - LABORATORY REQUIREMENT - SHAJE ANNEX",IF($S$928&gt;=981,"LOT 20 - LABORATORY - CHEMICAL PATHOLOGY",IF($S$928&gt;=974,"LOT 19 - MICROBIOLOGY - INFECTION CONTROL",IF($S$928&gt;=957,"LOT 19 - MICROBIOLOGY - SENSITIVITY DISCS",IF($S$928&gt;=902,"LOT 18 - MICROBIOLOGY - REAGENT KITS",IF($S$928&gt;=846,"LOT 17 - HISTOPATHOLOGY",IF($S$928&gt;=760,"LOT 16 - HAEMATOLOGY",IF($S$928&gt;=722,"LOT 15 - THEATRE DEPARTMENT",IF($S$928&gt;=709,"LOT 14 - RADIOLOGY DEPARTMENT",IF($S$928&gt;=702,"LOT 13 - PHARMACY - CONSUMABLES - SUTURES",IF($S$928&gt;=684,"LOT 13 - PHARMACY - CONSUMABLES",IF($S$928&gt;=669,"LOT 13 PHARMACY - DISINFECTANTS",IF($S$928&gt;=651,"LOT 13 - PHARMACY - DERMATOLOGICAL PREPARATIONS",IF($S$928&gt;=570,"LOT 13 - PHARMACY - DRESSINGS/CONSUMABLES",IF($S$928&gt;=539,"LOT 12 - PHARMACY - ONCOLOGY DRUGS",IF($S$928&gt;=494,"LOT 11 - PHARMACY - EYE/EAR MEDICATIONS",IF($S$928&gt;=455,"LOT 10 - PHARMACY - RESPIRATORY TRACT DRUGS",IF($S$928&gt;=424,"LOT 9 - PHARMACY GASTROINTESTINAL DRUGS",IF($S$928&gt;=381,"LOT 8 - PHARMACY -OBSTETRICS/GYNAECOLOGY DRUGS",IF($S$928&gt;=351,"LOT 7 - PHARMACY - HYPNOSEDATIVE DRUGS",IF($S$928&gt;=285,"LOT 6 PHARMACY - BLOOD &amp; NUTRITIONAL DRUGS",IF($S$928&gt;=194,"LOT 5 - I589PHARMACY - ANTI-INFECTIVE AGENTS",IF($S$928&gt;=142,"LOT 4 - PHARMACY - ANTI-INFLAMMATORY/ANTI-PYRETIC/ANALGESICS",IF($S$928&gt;=118,"LOT 3 - PHARMACY - ORAL HYPOGLYCAEMIC DRUGS",IF($S$928&gt;=34,"LOT 3 - PHARMACY - ANTI-HYPERTENSIVES",IF($S$928&gt;=19,"LOT 2 - PHARMACY - STERILE INTRAVENOUS FLUIDS",IF($S$928&gt;=1,"LOT 1 - PHARMACY - ANTI-MALARIALS","-"))))))))))))))))))))))))))))</f>
        <v>LOT 14 - RADIOLOGY DEPARTMENT</v>
      </c>
      <c r="I927" s="582"/>
      <c r="J927" s="580"/>
      <c r="K927" s="580"/>
      <c r="L927" s="580"/>
      <c r="M927" s="580"/>
      <c r="N927" s="580"/>
      <c r="O927" s="580"/>
      <c r="P927" s="580"/>
      <c r="Q927" s="580"/>
      <c r="R927" s="583"/>
      <c r="S927" s="580"/>
      <c r="T927" s="580"/>
      <c r="U927" s="580"/>
      <c r="V927" s="32"/>
      <c r="W927" s="32"/>
      <c r="X927" s="32"/>
    </row>
    <row r="928" spans="2:24" ht="32.25" customHeight="1" thickBot="1" x14ac:dyDescent="0.7">
      <c r="B928" s="584"/>
      <c r="C928" s="585" t="str">
        <f>IF($S$928=661,PR!$B$726,IF($S$928=662,PR!$B$727,IF($S$928=663,PR!$B$728,IF($S$928=664,PR!$B$729,IF($S$928=665,PR!$B$730,IF($S$928=666,PR!$B$731,IF($S$928=667,PR!$B$732,IF($S$928=668,PR!$B$733,IF($S$928=669,PR!$B$737,IF($S$928=670,PR!$B$738,IF($S$928=671,PR!$B$739,IF($S$928=672,PR!$B$740,IF($S$928=673,PR!$B$741,IF($S$928=674,PR!$B$742,IF($S$928=675,PR!$B$743,IF($S$928=676,PR!$B$744,IF($S$928=677,PR!$B$745,IF($S$928=678,PR!$B$746,IF($S$928=679,PR!$B$747,IF($S$928=680,PR!$B$748,IF($S$928=681,PR!$B$749,IF($S$928=682,PR!$B$750,IF($S$928=683,PR!$B$751,IF($S$928=684,PR!$B$754,IF($S$928=685,PR!$B$755,IF($S$928=686,PR!$B$756,IF($S$928=687,PR!$B$757,IF($S$928=688,PR!$B$758,IF($S$928=689,PR!$B$759,IF($S$928=690,PR!$B$760,IF($S$928=691,PR!$B$761,IF($S$928=692,PR!$B$762,IF($S$928=693,PR!$B$763,IF($S$928=694,PR!$B$764,IF($S$928=695,PR!$B$765,IF($S$928=696,PR!$B$766,IF($S$928=697,PR!$B$767,IF($S$928=698,PR!$B$768,IF($S$928=699,PR!$B$769,IF($S$928=700,PR!$B$770,IF($S$928=701,PR!$B$771,IF($S$928=702,PR!$B$774,IF($S$928=703,PR!$B$775,IF($S$928=704,PR!$B$776,IF($S$928=705,PR!$B$777,IF($S$928=706,PR!$B$778,IF($S$928=707,PR!$B$779,IF($S$928=708,PR!$B$780,IF($S$928=709,PR!$B$786,IF($S$928=710,PR!$B$787,IF($S$928=711,PR!$B$788,IF($S$928=712,PR!$B$789,IF($S$928=713,PR!$B$790,IF($S$928=714,PR!$B$791,IF($S$928=715,PR!$B$792,IF($S$928=716,PR!$B$793,IF($S$928=717,PR!$B$794,IF($S$928=718,PR!$B$795,IF($S$928=719,PR!$B$796,IF($S$928=720,PR!$B$797,"-"))))))))))))))))))))))))))))))))))))))))))))))))))))))))))))</f>
        <v>ENVELOPES LARGE (18" X 15")</v>
      </c>
      <c r="D928" s="586"/>
      <c r="E928" s="586"/>
      <c r="F928" s="586"/>
      <c r="G928" s="586"/>
      <c r="H928" s="586"/>
      <c r="I928" s="586"/>
      <c r="J928" s="586"/>
      <c r="K928" s="586"/>
      <c r="L928" s="586"/>
      <c r="M928" s="586"/>
      <c r="N928" s="586"/>
      <c r="O928" s="586"/>
      <c r="P928" s="587"/>
      <c r="Q928" s="588"/>
      <c r="R928" s="583"/>
      <c r="S928" s="589">
        <v>720</v>
      </c>
      <c r="T928" s="580"/>
      <c r="U928" s="580"/>
      <c r="V928" s="32"/>
      <c r="W928" s="32"/>
      <c r="X928" s="32"/>
    </row>
    <row r="929" spans="2:24" ht="32.25" customHeight="1" thickBot="1" x14ac:dyDescent="0.7">
      <c r="B929" s="580"/>
      <c r="C929" s="590" t="s">
        <v>780</v>
      </c>
      <c r="D929" s="791" t="str">
        <f>IF($S$928=661,PR!$D$726,IF($S$928=662,PR!$D$727,IF($S$928=663,PR!$D$728,IF($S$928=664,PR!$D$729,IF($S$928=665,PR!$D$730,IF($S$928=666,PR!$D$731,IF($S$928=667,PR!$D$732,IF($S$928=668,PR!$D$733,IF($S$928=669,PR!$D$737,IF($S$928=670,PR!$D$738,IF($S$928=671,PR!$D$739,IF($S$928=672,PR!$D$740,IF($S$928=673,PR!$D$741,IF($S$928=674,PR!$D$742,IF($S$928=675,PR!$D$743,IF($S$928=676,PR!$D$744,IF($S$928=677,PR!$D$745,IF($S$928=678,PR!$D$746,IF($S$928=679,PR!$D$747,IF($S$928=680,PR!$D$748,IF($S$928=681,PR!$D$749,IF($S$928=682,PR!$D$750,IF($S$928=683,PR!$D$751,IF($S$928=684,PR!$D$754,IF($S$928=685,PR!$D$755,IF($S$928=686,PR!$D$756,IF($S$928=687,PR!$D$757,IF($S$928=688,PR!$D$758,IF($S$928=689,PR!$D$759,IF($S$928=690,PR!$D$760,IF($S$928=691,PR!$D$761,IF($S$928=692,PR!$D$762,IF($S$928=693,PR!$D$763,IF($S$928=694,PR!$D$764,IF($S$928=695,PR!$D$765,IF($S$928=696,PR!$D$766,IF($S$928=697,PR!$D$767,IF($S$928=698,PR!$D$768,IF($S$928=699,PR!$D$769,IF($S$928=700,PR!$D$770,IF($S$928=701,PR!$D$771,IF($S$928=702,PR!$D$774,IF($S$928=703,PR!$D$775,IF($S$928=704,PR!$D$776,IF($S$928=705,PR!$D$777,IF($S$928=706,PR!$D$778,IF($S$928=707,PR!$D$779,IF($S$928=708,PR!$D$780,IF($S$928=709,PR!$D$786,IF($S$928=710,PR!$D$787,IF($S$928=711,PR!$D$788,IF($S$928=712,PR!$D$789,IF($S$928=713,PR!$D$790,IF($S$928=714,PR!$D$791,IF($S$928=715,PR!$D$792,IF($S$928=716,PR!$D$793,IF($S$928=717,PR!$D$794,IF($S$928=718,PR!$D$795,IF($S$928=719,PR!$D$796,IF($S$928=720,PR!$D$797,"-"))))))))))))))))))))))))))))))))))))))))))))))))))))))))))))</f>
        <v>PCS</v>
      </c>
      <c r="E929" s="792"/>
      <c r="F929" s="793"/>
      <c r="G929" s="797" t="s">
        <v>781</v>
      </c>
      <c r="H929" s="797"/>
      <c r="I929" s="797"/>
      <c r="J929" s="797"/>
      <c r="K929" s="791">
        <f>IF($S$928=661,PR!$C$726,IF($S$928=662,PR!$C$727,IF($S$928=663,PR!$C$728,IF($S$928=664,PR!$C$729,IF($S$928=665,PR!$C$730,IF($S$928=666,PR!$C$731,IF($S$928=667,PR!$C$732,IF($S$928=668,PR!$C$733,IF($S$928=669,PR!$C$737,IF($S$928=670,PR!$C$738,IF($S$928=671,PR!$C$739,IF($S$928=672,PR!$C$740,IF($S$928=673,PR!$C$741,IF($S$928=674,PR!$C$742,IF($S$928=675,PR!$C$743,IF($S$928=676,PR!$C$744,IF($S$928=677,PR!$C$745,IF($S$928=678,PR!$C$746,IF($S$928=679,PR!$C$747,IF($S$928=680,PR!$C$748,IF($S$928=681,PR!$C$749,IF($S$928=682,PR!$C$750,IF($S$928=683,PR!$C$751,IF($S$928=684,PR!$C$754,IF($S$928=685,PR!$C$755,IF($S$928=686,PR!$C$756,IF($S$928=687,PR!$C$757,IF($S$928=688,PR!$C$758,IF($S$928=689,PR!$C$759,IF($S$928=690,PR!$C$760,IF($S$928=691,PR!$C$761,IF($S$928=692,PR!$C$762,IF($S$928=693,PR!$C$763,IF($S$928=694,PR!$C$764,IF($S$928=695,PR!$C$765,IF($S$928=696,PR!$C$766,IF($S$928=697,PR!$C$767,IF($S$928=698,PR!$C$768,IF($S$928=699,PR!$C$769,IF($S$928=700,PR!$C$770,IF($S$928=701,PR!$C$771,IF($S$928=702,PR!$C$774,IF($S$928=703,PR!$C$775,IF($S$928=704,PR!$C$776,IF($S$928=705,PR!$C$777,IF($S$928=706,PR!$C$778,IF($S$928=707,PR!$C$779,IF($S$928=708,PR!$C$780,IF($S$928=709,PR!$C$786,IF($S$928=710,PR!$C$787,IF($S$928=711,PR!$C$788,IF($S$928=712,PR!$C$789,IF($S$928=713,PR!$C$790,IF($S$928=714,PR!$C$791,IF($S$928=715,PR!$C$792,IF($S$928=716,PR!$C$793,IF($S$928=717,PR!$C$794,IF($S$928=718,PR!$C$795,IF($S$928=719,PR!$C$796,IF($S$928=720,PR!$C$797,"-"))))))))))))))))))))))))))))))))))))))))))))))))))))))))))))</f>
        <v>5000</v>
      </c>
      <c r="L929" s="792"/>
      <c r="M929" s="792"/>
      <c r="N929" s="793"/>
      <c r="O929" s="580"/>
      <c r="P929" s="580"/>
      <c r="Q929" s="580"/>
      <c r="R929" s="583"/>
      <c r="S929" s="580"/>
      <c r="T929" s="580"/>
      <c r="U929" s="580"/>
      <c r="V929" s="32"/>
      <c r="W929" s="32"/>
      <c r="X929" s="32"/>
    </row>
    <row r="930" spans="2:24" ht="12.75" customHeight="1" thickTop="1" x14ac:dyDescent="0.25">
      <c r="B930" s="580"/>
      <c r="C930" s="591"/>
      <c r="D930" s="592"/>
      <c r="E930" s="580"/>
      <c r="F930" s="580"/>
      <c r="G930" s="593"/>
      <c r="H930" s="593"/>
      <c r="I930" s="593"/>
      <c r="J930" s="593"/>
      <c r="K930" s="594"/>
      <c r="L930" s="594"/>
      <c r="M930" s="580"/>
      <c r="N930" s="580"/>
      <c r="O930" s="580"/>
      <c r="P930" s="580"/>
      <c r="Q930" s="580"/>
      <c r="R930" s="583"/>
      <c r="S930" s="580"/>
      <c r="T930" s="580"/>
      <c r="U930" s="580"/>
      <c r="V930" s="32"/>
      <c r="W930" s="32"/>
      <c r="X930" s="32"/>
    </row>
    <row r="931" spans="2:24" ht="15.75" thickBot="1" x14ac:dyDescent="0.3">
      <c r="B931" s="595"/>
      <c r="C931" s="600" t="str">
        <f>N!$C$4</f>
        <v>ALPHA</v>
      </c>
      <c r="D931" s="600" t="str">
        <f>N!$C$5</f>
        <v>ASSENE</v>
      </c>
      <c r="E931" s="600" t="str">
        <f>N!$C$6</f>
        <v>BIOFEM</v>
      </c>
      <c r="F931" s="600" t="str">
        <f>N!$C$7</f>
        <v>BIOMED</v>
      </c>
      <c r="G931" s="600" t="str">
        <f>N!$C$8</f>
        <v>CHI</v>
      </c>
      <c r="H931" s="600" t="str">
        <f>N!$C$9</f>
        <v>CLARION</v>
      </c>
      <c r="I931" s="600" t="str">
        <f>N!$C$10</f>
        <v>CODIX</v>
      </c>
      <c r="J931" s="600" t="str">
        <f>N!$C$11</f>
        <v>COSMADE</v>
      </c>
      <c r="K931" s="600" t="str">
        <f>N!$C$12</f>
        <v>SANCON</v>
      </c>
      <c r="L931" s="600" t="str">
        <f>N!$C$13</f>
        <v>DEVON</v>
      </c>
      <c r="M931" s="600" t="str">
        <f>N!$C$14</f>
        <v>DORTEMAG</v>
      </c>
      <c r="N931" s="600" t="str">
        <f>N!$C$15</f>
        <v>DGF</v>
      </c>
      <c r="O931" s="601" t="str">
        <f>N!$C$16</f>
        <v>DYNAMIC</v>
      </c>
      <c r="P931" s="600" t="str">
        <f>N!$C$17</f>
        <v>EMZOR</v>
      </c>
      <c r="Q931" s="600" t="str">
        <f>N!$C$18</f>
        <v>EUMATT</v>
      </c>
      <c r="R931" s="600" t="str">
        <f>N!$C$19</f>
        <v>FIDSON</v>
      </c>
      <c r="S931" s="600" t="str">
        <f>N!$C$20</f>
        <v>FCGLOBAL</v>
      </c>
      <c r="T931" s="580"/>
      <c r="U931" s="580"/>
      <c r="V931" s="32"/>
      <c r="W931" s="32"/>
      <c r="X931" s="32"/>
    </row>
    <row r="932" spans="2:24" ht="15.75" thickBot="1" x14ac:dyDescent="0.3">
      <c r="B932" s="596"/>
      <c r="C932" s="602">
        <f>IF($S$928=661,PR!$E$726,IF($S$928=662,PR!$E$727,IF($S$928=663,PR!$E$728,IF($S$928=664,PR!$E$729,IF($S$928=665,PR!$E$730,IF($S$928=666,PR!$E$731,IF($S$928=667,PR!$E$732,IF($S$928=668,PR!$E$733,IF($S$928=669,PR!$E$737,IF($S$928=670,PR!$E$738,IF($S$928=671,PR!$E$739,IF($S$928=672,PR!$E$740,IF($S$928=673,PR!$E$741,IF($S$928=674,PR!$E$742,IF($S$928=675,PR!$E$743,IF($S$928=676,PR!$E$744,IF($S$928=677,PR!$E$745,IF($S$928=678,PR!$E$746,IF($S$928=679,PR!$E$747,IF($S$928=680,PR!$E$748,IF($S$928=681,PR!$E$749,IF($S$928=682,PR!$E$750,IF($S$928=683,PR!$E$751,IF($S$928=684,PR!$E$754,IF($S$928=685,PR!$E$755,IF($S$928=686,PR!$E$756,IF($S$928=687,PR!$E$757,IF($S$928=688,PR!$E$758,IF($S$928=689,PR!$E$759,IF($S$928=690,PR!$E$760,IF($S$928=691,PR!$E$761,IF($S$928=692,PR!$E$762,IF($S$928=693,PR!$E$763,IF($S$928=694,PR!$E$764,IF($S$928=695,PR!$E$765,IF($S$928=696,PR!$E$766,IF($S$928=697,PR!$E$767,IF($S$928=698,PR!$E$768,IF($S$928=699,PR!$E$769,IF($S$928=700,PR!$E$770,IF($S$928=701,PR!$E$771,IF($S$928=702,PR!$E$774,IF($S$928=703,PR!$E$775,IF($S$928=704,PR!$E$776,IF($S$928=705,PR!$E$777,IF($S$928=706,PR!$E$778,IF($S$928=707,PR!$E$779,IF($S$928=708,PR!$E$780,IF($S$928=709,PR!$E$786,IF($S$928=710,PR!$E$787,IF($S$928=711,PR!$E$788,IF($S$928=712,PR!$E$789,IF($S$928=713,PR!$E$790,IF($S$928=714,PR!$E$791,IF($S$928=715,PR!$E$792,IF($S$928=716,PR!$E$793,IF($S$928=717,PR!$E$794,IF($S$928=718,PR!$E$795,IF($S$928=719,PR!$E$796,IF($S$928=720,PR!$E$797,"-"))))))))))))))))))))))))))))))))))))))))))))))))))))))))))))</f>
        <v>0</v>
      </c>
      <c r="D932" s="602">
        <f>IF($S$928=661,PR!$F$726,IF($S$928=662,PR!$F$727,IF($S$928=663,PR!$F$728,IF($S$928=664,PR!$F$729,IF($S$928=665,PR!$F$730,IF($S$928=666,PR!$F$731,IF($S$928=667,PR!$F$732,IF($S$928=668,PR!$F$733,IF($S$928=669,PR!$F$737,IF($S$928=670,PR!$F$738,IF($S$928=671,PR!$F$739,IF($S$928=672,PR!$F$740,IF($S$928=673,PR!$F$741,IF($S$928=674,PR!$F$742,IF($S$928=675,PR!$F$743,IF($S$928=676,PR!$F$744,IF($S$928=677,PR!$F$745,IF($S$928=678,PR!$F$746,IF($S$928=679,PR!$F$747,IF($S$928=680,PR!$F$748,IF($S$928=681,PR!$F$749,IF($S$928=682,PR!$F$750,IF($S$928=683,PR!$F$751,IF($S$928=684,PR!$F$754,IF($S$928=685,PR!$F$755,IF($S$928=686,PR!$F$756,IF($S$928=687,PR!$F$757,IF($S$928=688,PR!$F$758,IF($S$928=689,PR!$F$759,IF($S$928=690,PR!$F$760,IF($S$928=691,PR!$F$761,IF($S$928=692,PR!$F$762,IF($S$928=693,PR!$F$763,IF($S$928=694,PR!$F$764,IF($S$928=695,PR!$F$765,IF($S$928=696,PR!$F$766,IF($S$928=697,PR!$F$767,IF($S$928=698,PR!$F$768,IF($S$928=699,PR!$F$769,IF($S$928=700,PR!$F$770,IF($S$928=701,PR!$F$771,IF($S$928=702,PR!$F$774,IF($S$928=703,PR!$F$775,IF($S$928=704,PR!$F$776,IF($S$928=705,PR!$F$777,IF($S$928=706,PR!$F$778,IF($S$928=707,PR!$F$779,IF($S$928=708,PR!$F$780,IF($S$928=709,PR!$F$786,IF($S$928=710,PR!$F$787,IF($S$928=711,PR!$F$788,IF($S$928=712,PR!$F$789,IF($S$928=713,PR!$F$790,IF($S$928=714,PR!$F$791,IF($S$928=715,PR!$F$792,IF($S$928=716,PR!$F$793,IF($S$928=717,PR!$F$794,IF($S$928=718,PR!$F$795,IF($S$928=719,PR!$F$796,IF($S$928=720,PR!$F$797,"-"))))))))))))))))))))))))))))))))))))))))))))))))))))))))))))</f>
        <v>0</v>
      </c>
      <c r="E932" s="602">
        <f>IF($S$928=661,PR!$G$726,IF($S$928=662,PR!$G$727,IF($S$928=663,PR!$G$728,IF($S$928=664,PR!$G$729,IF($S$928=665,PR!$G$730,IF($S$928=666,PR!$G$731,IF($S$928=667,PR!$G$732,IF($S$928=668,PR!$G$733,IF($S$928=669,PR!$G$737,IF($S$928=670,PR!$G$738,IF($S$928=671,PR!$G$739,IF($S$928=672,PR!$G$740,IF($S$928=673,PR!$G$741,IF($S$928=674,PR!$G$742,IF($S$928=675,PR!$G$743,IF($S$928=676,PR!$G$744,IF($S$928=677,PR!$G$745,IF($S$928=678,PR!$G$746,IF($S$928=679,PR!$G$747,IF($S$928=680,PR!$G$748,IF($S$928=681,PR!$G$749,IF($S$928=682,PR!$G$750,IF($S$928=683,PR!$G$751,IF($S$928=684,PR!$G$754,IF($S$928=685,PR!$G$755,IF($S$928=686,PR!$G$756,IF($S$928=687,PR!$G$757,IF($S$928=688,PR!$G$758,IF($S$928=689,PR!$G$759,IF($S$928=690,PR!$G$760,IF($S$928=691,PR!$G$761,IF($S$928=692,PR!$G$762,IF($S$928=693,PR!$G$763,IF($S$928=694,PR!$G$764,IF($S$928=695,PR!$G$765,IF($S$928=696,PR!$G$766,IF($S$928=697,PR!$G$767,IF($S$928=698,PR!$G$768,IF($S$928=699,PR!$G$769,IF($S$928=700,PR!$G$770,IF($S$928=701,PR!$G$771,IF($S$928=702,PR!$G$774,IF($S$928=703,PR!$G$775,IF($S$928=704,PR!$G$776,IF($S$928=705,PR!$G$777,IF($S$928=706,PR!$G$778,IF($S$928=707,PR!$G$779,IF($S$928=708,PR!$G$780,IF($S$928=709,PR!$G$786,IF($S$928=710,PR!$G$787,IF($S$928=711,PR!$G$788,IF($S$928=712,PR!$G$789,IF($S$928=713,PR!$G$790,IF($S$928=714,PR!$G$791,IF($S$928=715,PR!$G$792,IF($S$928=716,PR!$G$793,IF($S$928=717,PR!$G$794,IF($S$928=718,PR!$G$795,IF($S$928=719,PR!$G$796,IF($S$928=720,PR!$G$797,"-"))))))))))))))))))))))))))))))))))))))))))))))))))))))))))))</f>
        <v>0</v>
      </c>
      <c r="F932" s="602">
        <f>IF($S$928=661,PR!$H$726,IF($S$928=662,PR!$H$727,IF($S$928=663,PR!$H$728,IF($S$928=664,PR!$H$729,IF($S$928=665,PR!$H$730,IF($S$928=666,PR!$H$731,IF($S$928=667,PR!$H$732,IF($S$928=668,PR!$H$733,IF($S$928=669,PR!$H$737,IF($S$928=670,PR!$H$738,IF($S$928=671,PR!$H$739,IF($S$928=672,PR!$H$740,IF($S$928=673,PR!$H$741,IF($S$928=674,PR!$H$742,IF($S$928=675,PR!$H$743,IF($S$928=676,PR!$H$744,IF($S$928=677,PR!$H$745,IF($S$928=678,PR!$H$746,IF($S$928=679,PR!$H$747,IF($S$928=680,PR!$H$748,IF($S$928=681,PR!$H$749,IF($S$928=682,PR!$H$750,IF($S$928=683,PR!$H$751,IF($S$928=684,PR!$H$754,IF($S$928=685,PR!$H$755,IF($S$928=686,PR!$H$756,IF($S$928=687,PR!$H$757,IF($S$928=688,PR!$H$758,IF($S$928=689,PR!$H$759,IF($S$928=690,PR!$H$760,IF($S$928=691,PR!$H$761,IF($S$928=692,PR!$H$762,IF($S$928=693,PR!$H$763,IF($S$928=694,PR!$H$764,IF($S$928=695,PR!$H$765,IF($S$928=696,PR!$H$766,IF($S$928=697,PR!$H$767,IF($S$928=698,PR!$H$768,IF($S$928=699,PR!$H$769,IF($S$928=700,PR!$H$770,IF($S$928=701,PR!$H$771,IF($S$928=702,PR!$H$774,IF($S$928=703,PR!$H$775,IF($S$928=704,PR!$H$776,IF($S$928=705,PR!$H$777,IF($S$928=706,PR!$H$778,IF($S$928=707,PR!$H$779,IF($S$928=708,PR!$H$780,IF($S$928=709,PR!$H$786,IF($S$928=710,PR!$H$787,IF($S$928=711,PR!$H$788,IF($S$928=712,PR!$H$789,IF($S$928=713,PR!$H$790,IF($S$928=714,PR!$H$791,IF($S$928=715,PR!$H$792,IF($S$928=716,PR!$H$793,IF($S$928=717,PR!$H$794,IF($S$928=718,PR!$H$795,IF($S$928=719,PR!$H$796,IF($S$928=720,PR!$H$797,"-"))))))))))))))))))))))))))))))))))))))))))))))))))))))))))))</f>
        <v>0</v>
      </c>
      <c r="G932" s="602">
        <f>IF($S$928=661,PR!$I$726,IF($S$928=662,PR!$I$727,IF($S$928=663,PR!$I$728,IF($S$928=664,PR!$I$729,IF($S$928=665,PR!$I$730,IF($S$928=666,PR!$I$731,IF($S$928=667,PR!$I$732,IF($S$928=668,PR!$I$733,IF($S$928=669,PR!$I$737,IF($S$928=670,PR!$I$738,IF($S$928=671,PR!$I$739,IF($S$928=672,PR!$I$740,IF($S$928=673,PR!$I$741,IF($S$928=674,PR!$I$742,IF($S$928=675,PR!$I$743,IF($S$928=676,PR!$I$744,IF($S$928=677,PR!$I$745,IF($S$928=678,PR!$I$746,IF($S$928=679,PR!$I$747,IF($S$928=680,PR!$I$748,IF($S$928=681,PR!$I$749,IF($S$928=682,PR!$I$750,IF($S$928=683,PR!$I$751,IF($S$928=684,PR!$I$754,IF($S$928=685,PR!$I$755,IF($S$928=686,PR!$I$756,IF($S$928=687,PR!$I$757,IF($S$928=688,PR!$I$758,IF($S$928=689,PR!$I$759,IF($S$928=690,PR!$I$760,IF($S$928=691,PR!$I$761,IF($S$928=692,PR!$I$762,IF($S$928=693,PR!$I$763,IF($S$928=694,PR!$I$764,IF($S$928=695,PR!$I$765,IF($S$928=696,PR!$I$766,IF($S$928=697,PR!$I$767,IF($S$928=698,PR!$I$768,IF($S$928=699,PR!$I$769,IF($S$928=700,PR!$I$770,IF($S$928=701,PR!$I$771,IF($S$928=702,PR!$I$774,IF($S$928=703,PR!$I$775,IF($S$928=704,PR!$I$776,IF($S$928=705,PR!$I$777,IF($S$928=706,PR!$I$778,IF($S$928=707,PR!$I$779,IF($S$928=708,PR!$I$780,IF($S$928=709,PR!$I$786,IF($S$928=710,PR!$I$787,IF($S$928=711,PR!$I$788,IF($S$928=712,PR!$I$789,IF($S$928=713,PR!$I$790,IF($S$928=714,PR!$I$791,IF($S$928=715,PR!$I$792,IF($S$928=716,PR!$I$793,IF($S$928=717,PR!$I$794,IF($S$928=718,PR!$I$795,IF($S$928=719,PR!$I$796,IF($S$928=720,PR!$I$797,"-"))))))))))))))))))))))))))))))))))))))))))))))))))))))))))))</f>
        <v>0</v>
      </c>
      <c r="H932" s="602">
        <f>IF($S$928=661,PR!$J$726,IF($S$928=662,PR!$J$727,IF($S$928=663,PR!$J$728,IF($S$928=664,PR!$J$729,IF($S$928=665,PR!$J$730,IF($S$928=666,PR!$J$731,IF($S$928=667,PR!$J$732,IF($S$928=668,PR!$J$733,IF($S$928=669,PR!$J$737,IF($S$928=670,PR!$J$738,IF($S$928=671,PR!$J$739,IF($S$928=672,PR!$J$740,IF($S$928=673,PR!$J$741,IF($S$928=674,PR!$J$742,IF($S$928=675,PR!$J$743,IF($S$928=676,PR!$J$744,IF($S$928=677,PR!$J$745,IF($S$928=678,PR!$J$746,IF($S$928=679,PR!$J$747,IF($S$928=680,PR!$J$748,IF($S$928=681,PR!$J$749,IF($S$928=682,PR!$J$750,IF($S$928=683,PR!$J$751,IF($S$928=684,PR!$J$754,IF($S$928=685,PR!$J$755,IF($S$928=686,PR!$J$756,IF($S$928=687,PR!$J$757,IF($S$928=688,PR!$J$758,IF($S$928=689,PR!$J$759,IF($S$928=690,PR!$J$760,IF($S$928=691,PR!$J$761,IF($S$928=692,PR!$J$762,IF($S$928=693,PR!$J$763,IF($S$928=694,PR!$J$764,IF($S$928=695,PR!$J$765,IF($S$928=696,PR!$J$766,IF($S$928=697,PR!$J$767,IF($S$928=698,PR!$J$768,IF($S$928=699,PR!$J$769,IF($S$928=700,PR!$J$770,IF($S$928=701,PR!$J$771,IF($S$928=702,PR!$J$774,IF($S$928=703,PR!$J$775,IF($S$928=704,PR!$J$776,IF($S$928=705,PR!$J$777,IF($S$928=706,PR!$J$778,IF($S$928=707,PR!$J$779,IF($S$928=708,PR!$J$780,IF($S$928=709,PR!$J$786,IF($S$928=710,PR!$J$787,IF($S$928=711,PR!$J$788,IF($S$928=712,PR!$J$789,IF($S$928=713,PR!$J$790,IF($S$928=714,PR!$J$791,IF($S$928=715,PR!$J$792,IF($S$928=716,PR!$J$793,IF($S$928=717,PR!$J$794,IF($S$928=718,PR!$J$795,IF($S$928=719,PR!$J$796,IF($S$928=720,PR!$J$797,"-"))))))))))))))))))))))))))))))))))))))))))))))))))))))))))))</f>
        <v>0</v>
      </c>
      <c r="I932" s="602">
        <f>IF($S$928=661,PR!$K$726,IF($S$928=662,PR!$K$727,IF($S$928=663,PR!$K$728,IF($S$928=664,PR!$K$729,IF($S$928=665,PR!$K$730,IF($S$928=666,PR!$K$731,IF($S$928=667,PR!$K$732,IF($S$928=668,PR!$K$733,IF($S$928=669,PR!$K$737,IF($S$928=670,PR!$K$738,IF($S$928=671,PR!$K$739,IF($S$928=672,PR!$K$740,IF($S$928=673,PR!$K$741,IF($S$928=674,PR!$K$742,IF($S$928=675,PR!$K$743,IF($S$928=676,PR!$K$744,IF($S$928=677,PR!$K$745,IF($S$928=678,PR!$K$746,IF($S$928=679,PR!$K$747,IF($S$928=680,PR!$K$748,IF($S$928=681,PR!$K$749,IF($S$928=682,PR!$K$750,IF($S$928=683,PR!$K$751,IF($S$928=684,PR!$K$754,IF($S$928=685,PR!$K$755,IF($S$928=686,PR!$K$756,IF($S$928=687,PR!$K$757,IF($S$928=688,PR!$K$758,IF($S$928=689,PR!$K$759,IF($S$928=690,PR!$K$760,IF($S$928=691,PR!$K$761,IF($S$928=692,PR!$K$762,IF($S$928=693,PR!$K$763,IF($S$928=694,PR!$K$764,IF($S$928=695,PR!$K$765,IF($S$928=696,PR!$K$766,IF($S$928=697,PR!$K$767,IF($S$928=698,PR!$K$768,IF($S$928=699,PR!$K$769,IF($S$928=700,PR!$K$770,IF($S$928=701,PR!$K$771,IF($S$928=702,PR!$K$774,IF($S$928=703,PR!$K$775,IF($S$928=704,PR!$K$776,IF($S$928=705,PR!$K$777,IF($S$928=706,PR!$K$778,IF($S$928=707,PR!$K$779,IF($S$928=708,PR!$K$780,IF($S$928=709,PR!$K$786,IF($S$928=710,PR!$K$787,IF($S$928=711,PR!$K$788,IF($S$928=712,PR!$K$789,IF($S$928=713,PR!$K$790,IF($S$928=714,PR!$K$791,IF($S$928=715,PR!$K$792,IF($S$928=716,PR!$K$793,IF($S$928=717,PR!$K$794,IF($S$928=718,PR!$K$795,IF($S$928=719,PR!$K$796,IF($S$928=720,PR!$K$797,"-"))))))))))))))))))))))))))))))))))))))))))))))))))))))))))))</f>
        <v>0</v>
      </c>
      <c r="J932" s="602">
        <f>IF($S$928=661,PR!$L$726,IF($S$928=662,PR!$L$727,IF($S$928=663,PR!$L$728,IF($S$928=664,PR!$L$729,IF($S$928=665,PR!$L$730,IF($S$928=666,PR!$L$731,IF($S$928=667,PR!$L$732,IF($S$928=668,PR!$L$733,IF($S$928=669,PR!$L$737,IF($S$928=670,PR!$L$738,IF($S$928=671,PR!$L$739,IF($S$928=672,PR!$L$740,IF($S$928=673,PR!$L$741,IF($S$928=674,PR!$L$742,IF($S$928=675,PR!$L$743,IF($S$928=676,PR!$L$744,IF($S$928=677,PR!$L$745,IF($S$928=678,PR!$L$746,IF($S$928=679,PR!$L$747,IF($S$928=680,PR!$L$748,IF($S$928=681,PR!$L$749,IF($S$928=682,PR!$L$750,IF($S$928=683,PR!$L$751,IF($S$928=684,PR!$L$754,IF($S$928=685,PR!$L$755,IF($S$928=686,PR!$L$756,IF($S$928=687,PR!$L$757,IF($S$928=688,PR!$L$758,IF($S$928=689,PR!$L$759,IF($S$928=690,PR!$L$760,IF($S$928=691,PR!$L$761,IF($S$928=692,PR!$L$762,IF($S$928=693,PR!$L$763,IF($S$928=694,PR!$L$764,IF($S$928=695,PR!$L$765,IF($S$928=696,PR!$L$766,IF($S$928=697,PR!$L$767,IF($S$928=698,PR!$L$768,IF($S$928=699,PR!$L$769,IF($S$928=700,PR!$L$770,IF($S$928=701,PR!$L$771,IF($S$928=702,PR!$L$774,IF($S$928=703,PR!$L$775,IF($S$928=704,PR!$L$776,IF($S$928=705,PR!$L$777,IF($S$928=706,PR!$L$778,IF($S$928=707,PR!$L$779,IF($S$928=708,PR!$L$780,IF($S$928=709,PR!$L$786,IF($S$928=710,PR!$L$787,IF($S$928=711,PR!$L$788,IF($S$928=712,PR!$L$789,IF($S$928=713,PR!$L$790,IF($S$928=714,PR!$L$791,IF($S$928=715,PR!$L$792,IF($S$928=716,PR!$L$793,IF($S$928=717,PR!$L$794,IF($S$928=718,PR!$L$795,IF($S$928=719,PR!$L$796,IF($S$928=720,PR!$L$797,"-"))))))))))))))))))))))))))))))))))))))))))))))))))))))))))))</f>
        <v>0</v>
      </c>
      <c r="K932" s="602">
        <f>IF($S$928=661,PR!$M$726,IF($S$928=662,PR!$M$727,IF($S$928=663,PR!$M$728,IF($S$928=664,PR!$M$729,IF($S$928=665,PR!$M$730,IF($S$928=666,PR!$M$731,IF($S$928=667,PR!$M$732,IF($S$928=668,PR!$M$733,IF($S$928=669,PR!$M$737,IF($S$928=670,PR!$M$738,IF($S$928=671,PR!$M$739,IF($S$928=672,PR!$M$740,IF($S$928=673,PR!$M$741,IF($S$928=674,PR!$M$742,IF($S$928=675,PR!$M$743,IF($S$928=676,PR!$M$744,IF($S$928=677,PR!$M$745,IF($S$928=678,PR!$M$746,IF($S$928=679,PR!$M$747,IF($S$928=680,PR!$M$748,IF($S$928=681,PR!$M$749,IF($S$928=682,PR!$M$750,IF($S$928=683,PR!$M$751,IF($S$928=684,PR!$M$754,IF($S$928=685,PR!$M$755,IF($S$928=686,PR!$M$756,IF($S$928=687,PR!$M$757,IF($S$928=688,PR!$M$758,IF($S$928=689,PR!$M$759,IF($S$928=690,PR!$M$760,IF($S$928=691,PR!$M$761,IF($S$928=692,PR!$M$762,IF($S$928=693,PR!$M$763,IF($S$928=694,PR!$M$764,IF($S$928=695,PR!$M$765,IF($S$928=696,PR!$M$766,IF($S$928=697,PR!$M$767,IF($S$928=698,PR!$M$768,IF($S$928=699,PR!$M$769,IF($S$928=700,PR!$M$770,IF($S$928=701,PR!$M$771,IF($S$928=702,PR!$M$774,IF($S$928=703,PR!$M$775,IF($S$928=704,PR!$M$776,IF($S$928=705,PR!$M$777,IF($S$928=706,PR!$M$778,IF($S$928=707,PR!$M$779,IF($S$928=708,PR!$M$780,IF($S$928=709,PR!$M$786,IF($S$928=710,PR!$M$787,IF($S$928=711,PR!$M$788,IF($S$928=712,PR!$M$789,IF($S$928=713,PR!$M$790,IF($S$928=714,PR!$M$791,IF($S$928=715,PR!$M$792,IF($S$928=716,PR!$M$793,IF($S$928=717,PR!$M$794,IF($S$928=718,PR!$M$795,IF($S$928=719,PR!$M$796,IF($S$928=720,PR!$M$797,"-"))))))))))))))))))))))))))))))))))))))))))))))))))))))))))))</f>
        <v>0</v>
      </c>
      <c r="L932" s="602">
        <f>IF($S$928=661,PR!$N$726,IF($S$928=662,PR!$N$727,IF($S$928=663,PR!$N$728,IF($S$928=664,PR!$N$729,IF($S$928=665,PR!$N$730,IF($S$928=666,PR!$N$731,IF($S$928=667,PR!$N$732,IF($S$928=668,PR!$N$733,IF($S$928=669,PR!$N$737,IF($S$928=670,PR!$N$738,IF($S$928=671,PR!$N$739,IF($S$928=672,PR!$N$740,IF($S$928=673,PR!$N$741,IF($S$928=674,PR!$N$742,IF($S$928=675,PR!$N$743,IF($S$928=676,PR!$N$744,IF($S$928=677,PR!$N$745,IF($S$928=678,PR!$N$746,IF($S$928=679,PR!$N$747,IF($S$928=680,PR!$N$748,IF($S$928=681,PR!$N$749,IF($S$928=682,PR!$N$750,IF($S$928=683,PR!$N$751,IF($S$928=684,PR!$N$754,IF($S$928=685,PR!$N$755,IF($S$928=686,PR!$N$756,IF($S$928=687,PR!$N$757,IF($S$928=688,PR!$N$758,IF($S$928=689,PR!$N$759,IF($S$928=690,PR!$N$760,IF($S$928=691,PR!$N$761,IF($S$928=692,PR!$N$762,IF($S$928=693,PR!$N$763,IF($S$928=694,PR!$N$764,IF($S$928=695,PR!$N$765,IF($S$928=696,PR!$N$766,IF($S$928=697,PR!$N$767,IF($S$928=698,PR!$N$768,IF($S$928=699,PR!$N$769,IF($S$928=700,PR!$N$770,IF($S$928=701,PR!$N$771,IF($S$928=702,PR!$N$774,IF($S$928=703,PR!$N$775,IF($S$928=704,PR!$N$776,IF($S$928=705,PR!$N$777,IF($S$928=706,PR!$N$778,IF($S$928=707,PR!$N$779,IF($S$928=708,PR!$N$780,IF($S$928=709,PR!$N$786,IF($S$928=710,PR!$N$787,IF($S$928=711,PR!$N$788,IF($S$928=712,PR!$N$789,IF($S$928=713,PR!$N$790,IF($S$928=714,PR!$N$791,IF($S$928=715,PR!$N$792,IF($S$928=716,PR!$N$793,IF($S$928=717,PR!$N$794,IF($S$928=718,PR!$N$795,IF($S$928=719,PR!$N$796,IF($S$928=720,PR!$N$797,"-"))))))))))))))))))))))))))))))))))))))))))))))))))))))))))))</f>
        <v>0</v>
      </c>
      <c r="M932" s="602">
        <f>IF($S$928=661,PR!$O$726,IF($S$928=662,PR!$O$727,IF($S$928=663,PR!$O$728,IF($S$928=664,PR!$O$729,IF($S$928=665,PR!$O$730,IF($S$928=666,PR!$O$731,IF($S$928=667,PR!$O$732,IF($S$928=668,PR!$O$733,IF($S$928=669,PR!$O$737,IF($S$928=670,PR!$O$738,IF($S$928=671,PR!$O$739,IF($S$928=672,PR!$O$740,IF($S$928=673,PR!$O$741,IF($S$928=674,PR!$O$742,IF($S$928=675,PR!$O$743,IF($S$928=676,PR!$O$744,IF($S$928=677,PR!$O$745,IF($S$928=678,PR!$O$746,IF($S$928=679,PR!$O$747,IF($S$928=680,PR!$O$748,IF($S$928=681,PR!$O$749,IF($S$928=682,PR!$O$750,IF($S$928=683,PR!$O$751,IF($S$928=684,PR!$O$754,IF($S$928=685,PR!$O$755,IF($S$928=686,PR!$O$756,IF($S$928=687,PR!$O$757,IF($S$928=688,PR!$O$758,IF($S$928=689,PR!$O$759,IF($S$928=690,PR!$O$760,IF($S$928=691,PR!$O$761,IF($S$928=692,PR!$O$762,IF($S$928=693,PR!$O$763,IF($S$928=694,PR!$O$764,IF($S$928=695,PR!$O$765,IF($S$928=696,PR!$O$766,IF($S$928=697,PR!$O$767,IF($S$928=698,PR!$O$768,IF($S$928=699,PR!$O$769,IF($S$928=700,PR!$O$770,IF($S$928=701,PR!$O$771,IF($S$928=702,PR!$O$774,IF($S$928=703,PR!$O$775,IF($S$928=704,PR!$O$776,IF($S$928=705,PR!$O$777,IF($S$928=706,PR!$O$778,IF($S$928=707,PR!$O$779,IF($S$928=708,PR!$O$780,IF($S$928=709,PR!$O$786,IF($S$928=710,PR!$O$787,IF($S$928=711,PR!$O$788,IF($S$928=712,PR!$O$789,IF($S$928=713,PR!$O$790,IF($S$928=714,PR!$O$791,IF($S$928=715,PR!$O$792,IF($S$928=716,PR!$O$793,IF($S$928=717,PR!$O$794,IF($S$928=718,PR!$O$795,IF($S$928=719,PR!$O$796,IF($S$928=720,PR!$O$797,"-"))))))))))))))))))))))))))))))))))))))))))))))))))))))))))))</f>
        <v>0</v>
      </c>
      <c r="N932" s="602">
        <f>IF($S$928=661,PR!$P$726,IF($S$928=662,PR!$P$727,IF($S$928=663,PR!$P$728,IF($S$928=664,PR!$P$729,IF($S$928=665,PR!$P$730,IF($S$928=666,PR!$P$731,IF($S$928=667,PR!$P$732,IF($S$928=668,PR!$P$733,IF($S$928=669,PR!$P$737,IF($S$928=670,PR!$P$738,IF($S$928=671,PR!$P$739,IF($S$928=672,PR!$P$740,IF($S$928=673,PR!$P$741,IF($S$928=674,PR!$P$742,IF($S$928=675,PR!$P$743,IF($S$928=676,PR!$P$744,IF($S$928=677,PR!$P$745,IF($S$928=678,PR!$P$746,IF($S$928=679,PR!$P$747,IF($S$928=680,PR!$P$748,IF($S$928=681,PR!$P$749,IF($S$928=682,PR!$P$750,IF($S$928=683,PR!$P$751,IF($S$928=684,PR!$P$754,IF($S$928=685,PR!$P$755,IF($S$928=686,PR!$P$756,IF($S$928=687,PR!$P$757,IF($S$928=688,PR!$P$758,IF($S$928=689,PR!$P$759,IF($S$928=690,PR!$P$760,IF($S$928=691,PR!$P$761,IF($S$928=692,PR!$P$762,IF($S$928=693,PR!$P$763,IF($S$928=694,PR!$P$764,IF($S$928=695,PR!$P$765,IF($S$928=696,PR!$P$766,IF($S$928=697,PR!$P$767,IF($S$928=698,PR!$P$768,IF($S$928=699,PR!$P$769,IF($S$928=700,PR!$P$770,IF($S$928=701,PR!$P$771,IF($S$928=702,PR!$P$774,IF($S$928=703,PR!$P$775,IF($S$928=704,PR!$P$776,IF($S$928=705,PR!$P$777,IF($S$928=706,PR!$P$778,IF($S$928=707,PR!$P$779,IF($S$928=708,PR!$P$780,IF($S$928=709,PR!$P$786,IF($S$928=710,PR!$P$787,IF($S$928=711,PR!$P$788,IF($S$928=712,PR!$P$789,IF($S$928=713,PR!$P$790,IF($S$928=714,PR!$P$791,IF($S$928=715,PR!$P$792,IF($S$928=716,PR!$P$793,IF($S$928=717,PR!$P$794,IF($S$928=718,PR!$P$795,IF($S$928=719,PR!$P$796,IF($S$928=720,PR!$P$797,"-"))))))))))))))))))))))))))))))))))))))))))))))))))))))))))))</f>
        <v>0</v>
      </c>
      <c r="O932" s="602">
        <f>IF($S$928=661,PR!$Q$726,IF($S$928=662,PR!$Q$727,IF($S$928=663,PR!$Q$728,IF($S$928=664,PR!$Q$729,IF($S$928=665,PR!$Q$730,IF($S$928=666,PR!$Q$731,IF($S$928=667,PR!$Q$732,IF($S$928=668,PR!$Q$733,IF($S$928=669,PR!$Q$737,IF($S$928=670,PR!$Q$738,IF($S$928=671,PR!$Q$739,IF($S$928=672,PR!$Q$740,IF($S$928=673,PR!$Q$741,IF($S$928=674,PR!$Q$742,IF($S$928=675,PR!$Q$743,IF($S$928=676,PR!$Q$744,IF($S$928=677,PR!$Q$745,IF($S$928=678,PR!$Q$746,IF($S$928=679,PR!$Q$747,IF($S$928=680,PR!$Q$748,IF($S$928=681,PR!$Q$749,IF($S$928=682,PR!$Q$750,IF($S$928=683,PR!$Q$751,IF($S$928=684,PR!$Q$754,IF($S$928=685,PR!$Q$755,IF($S$928=686,PR!$Q$756,IF($S$928=687,PR!$Q$757,IF($S$928=688,PR!$Q$758,IF($S$928=689,PR!$Q$759,IF($S$928=690,PR!$Q$760,IF($S$928=691,PR!$Q$761,IF($S$928=692,PR!$Q$762,IF($S$928=693,PR!$Q$763,IF($S$928=694,PR!$Q$764,IF($S$928=695,PR!$Q$765,IF($S$928=696,PR!$Q$766,IF($S$928=697,PR!$Q$767,IF($S$928=698,PR!$Q$768,IF($S$928=699,PR!$Q$769,IF($S$928=700,PR!$Q$770,IF($S$928=701,PR!$Q$771,IF($S$928=702,PR!$Q$774,IF($S$928=703,PR!$Q$775,IF($S$928=704,PR!$Q$776,IF($S$928=705,PR!$Q$777,IF($S$928=706,PR!$Q$778,IF($S$928=707,PR!$Q$779,IF($S$928=708,PR!$Q$780,IF($S$928=709,PR!$Q$786,IF($S$928=710,PR!$Q$787,IF($S$928=711,PR!$Q$788,IF($S$928=712,PR!$Q$789,IF($S$928=713,PR!$Q$790,IF($S$928=714,PR!$Q$791,IF($S$928=715,PR!$Q$792,IF($S$928=716,PR!$Q$793,IF($S$928=717,PR!$Q$794,IF($S$928=718,PR!$Q$795,IF($S$928=719,PR!$Q$796,IF($S$928=720,PR!$Q$797,"-"))))))))))))))))))))))))))))))))))))))))))))))))))))))))))))</f>
        <v>113</v>
      </c>
      <c r="P932" s="602">
        <f>IF($S$928=661,PR!$R$726,IF($S$928=662,PR!$R$727,IF($S$928=663,PR!$R$728,IF($S$928=664,PR!$R$729,IF($S$928=665,PR!$R$730,IF($S$928=666,PR!$R$731,IF($S$928=667,PR!$R$732,IF($S$928=668,PR!$R$733,IF($S$928=669,PR!$R$737,IF($S$928=670,PR!$R$738,IF($S$928=671,PR!$R$739,IF($S$928=672,PR!$R$740,IF($S$928=673,PR!$R$741,IF($S$928=674,PR!$R$742,IF($S$928=675,PR!$R$743,IF($S$928=676,PR!$R$744,IF($S$928=677,PR!$R$745,IF($S$928=678,PR!$R$746,IF($S$928=679,PR!$R$747,IF($S$928=680,PR!$R$748,IF($S$928=681,PR!$R$749,IF($S$928=682,PR!$R$750,IF($S$928=683,PR!$R$751,IF($S$928=684,PR!$R$754,IF($S$928=685,PR!$R$755,IF($S$928=686,PR!$R$756,IF($S$928=687,PR!$R$757,IF($S$928=688,PR!$R$758,IF($S$928=689,PR!$R$759,IF($S$928=690,PR!$R$760,IF($S$928=691,PR!$R$761,IF($S$928=692,PR!$R$762,IF($S$928=693,PR!$R$763,IF($S$928=694,PR!$R$764,IF($S$928=695,PR!$R$765,IF($S$928=696,PR!$R$766,IF($S$928=697,PR!$R$767,IF($S$928=698,PR!$R$768,IF($S$928=699,PR!$R$769,IF($S$928=700,PR!$R$770,IF($S$928=701,PR!$R$771,IF($S$928=702,PR!$R$774,IF($S$928=703,PR!$R$775,IF($S$928=704,PR!$R$776,IF($S$928=705,PR!$R$777,IF($S$928=706,PR!$R$778,IF($S$928=707,PR!$R$779,IF($S$928=708,PR!$R$780,IF($S$928=709,PR!$R$786,IF($S$928=710,PR!$R$787,IF($S$928=711,PR!$R$788,IF($S$928=712,PR!$R$789,IF($S$928=713,PR!$R$790,IF($S$928=714,PR!$R$791,IF($S$928=715,PR!$R$792,IF($S$928=716,PR!$R$793,IF($S$928=717,PR!$R$794,IF($S$928=718,PR!$R$795,IF($S$928=719,PR!$R$796,IF($S$928=720,PR!$R$797,"-"))))))))))))))))))))))))))))))))))))))))))))))))))))))))))))</f>
        <v>0</v>
      </c>
      <c r="Q932" s="602">
        <f>IF($S$928=661,PR!$S$726,IF($S$928=662,PR!$S$727,IF($S$928=663,PR!$S$728,IF($S$928=664,PR!$S$729,IF($S$928=665,PR!$S$730,IF($S$928=666,PR!$S$731,IF($S$928=667,PR!$S$732,IF($S$928=668,PR!$S$733,IF($S$928=669,PR!$S$737,IF($S$928=670,PR!$S$738,IF($S$928=671,PR!$S$739,IF($S$928=672,PR!$S$740,IF($S$928=673,PR!$S$741,IF($S$928=674,PR!$S$742,IF($S$928=675,PR!$S$743,IF($S$928=676,PR!$S$744,IF($S$928=677,PR!$S$745,IF($S$928=678,PR!$S$746,IF($S$928=679,PR!$S$747,IF($S$928=680,PR!$S$748,IF($S$928=681,PR!$S$749,IF($S$928=682,PR!$S$750,IF($S$928=683,PR!$S$751,IF($S$928=684,PR!$S$754,IF($S$928=685,PR!$S$755,IF($S$928=686,PR!$S$756,IF($S$928=687,PR!$S$757,IF($S$928=688,PR!$S$758,IF($S$928=689,PR!$S$759,IF($S$928=690,PR!$S$760,IF($S$928=691,PR!$S$761,IF($S$928=692,PR!$S$762,IF($S$928=693,PR!$S$763,IF($S$928=694,PR!$S$764,IF($S$928=695,PR!$S$765,IF($S$928=696,PR!$S$766,IF($S$928=697,PR!$S$767,IF($S$928=698,PR!$S$768,IF($S$928=699,PR!$S$769,IF($S$928=700,PR!$S$770,IF($S$928=701,PR!$S$771,IF($S$928=702,PR!$S$774,IF($S$928=703,PR!$S$775,IF($S$928=704,PR!$S$776,IF($S$928=705,PR!$S$777,IF($S$928=706,PR!$S$778,IF($S$928=707,PR!$S$779,IF($S$928=708,PR!$S$780,IF($S$928=709,PR!$S$786,IF($S$928=710,PR!$S$787,IF($S$928=711,PR!$S$788,IF($S$928=712,PR!$S$789,IF($S$928=713,PR!$S$790,IF($S$928=714,PR!$S$791,IF($S$928=715,PR!$S$792,IF($S$928=716,PR!$S$793,IF($S$928=717,PR!$S$794,IF($S$928=718,PR!$S$795,IF($S$928=719,PR!$S$796,IF($S$928=720,PR!$S$797,"-"))))))))))))))))))))))))))))))))))))))))))))))))))))))))))))</f>
        <v>0</v>
      </c>
      <c r="R932" s="602">
        <f>IF($S$928=661,PR!$T$726,IF($S$928=662,PR!$T$727,IF($S$928=663,PR!$T$728,IF($S$928=664,PR!$T$729,IF($S$928=665,PR!$T$730,IF($S$928=666,PR!$T$731,IF($S$928=667,PR!$T$732,IF($S$928=668,PR!$T$733,IF($S$928=669,PR!$T$737,IF($S$928=670,PR!$T$738,IF($S$928=671,PR!$T$739,IF($S$928=672,PR!$T$740,IF($S$928=673,PR!$T$741,IF($S$928=674,PR!$T$742,IF($S$928=675,PR!$T$743,IF($S$928=676,PR!$T$744,IF($S$928=677,PR!$T$745,IF($S$928=678,PR!$T$746,IF($S$928=679,PR!$T$747,IF($S$928=680,PR!$T$748,IF($S$928=681,PR!$T$749,IF($S$928=682,PR!$T$750,IF($S$928=683,PR!$T$751,IF($S$928=684,PR!$T$754,IF($S$928=685,PR!$T$755,IF($S$928=686,PR!$T$756,IF($S$928=687,PR!$T$757,IF($S$928=688,PR!$T$758,IF($S$928=689,PR!$T$759,IF($S$928=690,PR!$T$760,IF($S$928=691,PR!$T$761,IF($S$928=692,PR!$T$762,IF($S$928=693,PR!$T$763,IF($S$928=694,PR!$T$764,IF($S$928=695,PR!$T$765,IF($S$928=696,PR!$T$766,IF($S$928=697,PR!$T$767,IF($S$928=698,PR!$T$768,IF($S$928=699,PR!$T$769,IF($S$928=700,PR!$T$770,IF($S$928=701,PR!$T$771,IF($S$928=702,PR!$T$774,IF($S$928=703,PR!$T$775,IF($S$928=704,PR!$T$776,IF($S$928=705,PR!$T$777,IF($S$928=706,PR!$T$778,IF($S$928=707,PR!$T$779,IF($S$928=708,PR!$T$780,IF($S$928=709,PR!$T$786,IF($S$928=710,PR!$T$787,IF($S$928=711,PR!$T$788,IF($S$928=712,PR!$T$789,IF($S$928=713,PR!$T$790,IF($S$928=714,PR!$T$791,IF($S$928=715,PR!$T$792,IF($S$928=716,PR!$T$793,IF($S$928=717,PR!$T$794,IF($S$928=718,PR!$T$795,IF($S$928=719,PR!$T$796,IF($S$928=720,PR!$T$797,"-"))))))))))))))))))))))))))))))))))))))))))))))))))))))))))))</f>
        <v>0</v>
      </c>
      <c r="S932" s="602">
        <f>IF($S$928=661,PR!$U$726,IF($S$928=662,PR!$U$727,IF($S$928=663,PR!$U$728,IF($S$928=664,PR!$U$729,IF($S$928=665,PR!$U$730,IF($S$928=666,PR!$U$731,IF($S$928=667,PR!$U$732,IF($S$928=668,PR!$U$733,IF($S$928=669,PR!$U$737,IF($S$928=670,PR!$U$738,IF($S$928=671,PR!$U$739,IF($S$928=672,PR!$U$740,IF($S$928=673,PR!$U$741,IF($S$928=674,PR!$U$742,IF($S$928=675,PR!$U$743,IF($S$928=676,PR!$U$744,IF($S$928=677,PR!$U$745,IF($S$928=678,PR!$U$746,IF($S$928=679,PR!$U$747,IF($S$928=680,PR!$U$748,IF($S$928=681,PR!$U$749,IF($S$928=682,PR!$U$750,IF($S$928=683,PR!$U$751,IF($S$928=684,PR!$U$754,IF($S$928=685,PR!$U$755,IF($S$928=686,PR!$U$756,IF($S$928=687,PR!$U$757,IF($S$928=688,PR!$U$758,IF($S$928=689,PR!$U$759,IF($S$928=690,PR!$U$760,IF($S$928=691,PR!$U$761,IF($S$928=692,PR!$U$762,IF($S$928=693,PR!$U$763,IF($S$928=694,PR!$U$764,IF($S$928=695,PR!$U$765,IF($S$928=696,PR!$U$766,IF($S$928=697,PR!$U$767,IF($S$928=698,PR!$U$768,IF($S$928=699,PR!$U$769,IF($S$928=700,PR!$U$770,IF($S$928=701,PR!$U$771,IF($S$928=702,PR!$U$774,IF($S$928=703,PR!$U$775,IF($S$928=704,PR!$U$776,IF($S$928=705,PR!$U$777,IF($S$928=706,PR!$U$778,IF($S$928=707,PR!$U$779,IF($S$928=708,PR!$U$780,IF($S$928=709,PR!$U$786,IF($S$928=710,PR!$U$787,IF($S$928=711,PR!$U$788,IF($S$928=712,PR!$U$789,IF($S$928=713,PR!$U$790,IF($S$928=714,PR!$U$791,IF($S$928=715,PR!$U$792,IF($S$928=716,PR!$U$793,IF($S$928=717,PR!$U$794,IF($S$928=718,PR!$U$795,IF($S$928=719,PR!$U$796,IF($S$928=720,PR!$U$797,"-"))))))))))))))))))))))))))))))))))))))))))))))))))))))))))))</f>
        <v>0</v>
      </c>
      <c r="T932" s="580"/>
      <c r="U932" s="580"/>
      <c r="V932" s="32"/>
      <c r="W932" s="32"/>
      <c r="X932" s="32"/>
    </row>
    <row r="933" spans="2:24" ht="10.5" customHeight="1" x14ac:dyDescent="0.25">
      <c r="B933" s="580"/>
      <c r="C933" s="603"/>
      <c r="D933" s="604"/>
      <c r="E933" s="604"/>
      <c r="F933" s="604"/>
      <c r="G933" s="604"/>
      <c r="H933" s="604"/>
      <c r="I933" s="604"/>
      <c r="J933" s="604"/>
      <c r="K933" s="604"/>
      <c r="L933" s="604"/>
      <c r="M933" s="604"/>
      <c r="N933" s="604"/>
      <c r="O933" s="604"/>
      <c r="P933" s="604"/>
      <c r="Q933" s="604"/>
      <c r="R933" s="605"/>
      <c r="S933" s="605"/>
      <c r="T933" s="580"/>
      <c r="U933" s="580"/>
      <c r="V933" s="32"/>
      <c r="W933" s="32"/>
      <c r="X933" s="32"/>
    </row>
    <row r="934" spans="2:24" ht="15.75" thickBot="1" x14ac:dyDescent="0.3">
      <c r="B934" s="580"/>
      <c r="C934" s="600" t="str">
        <f>N!$C$21</f>
        <v>GENEITH</v>
      </c>
      <c r="D934" s="600" t="str">
        <f>N!$C$22</f>
        <v>GINOS</v>
      </c>
      <c r="E934" s="600" t="str">
        <f>N!$C$23</f>
        <v>GSK</v>
      </c>
      <c r="F934" s="600" t="str">
        <f>N!$C$24</f>
        <v>GLOBORG</v>
      </c>
      <c r="G934" s="600" t="str">
        <f>N!$C$25</f>
        <v>GOODNEWS</v>
      </c>
      <c r="H934" s="600" t="str">
        <f>N!$C$26</f>
        <v>GREENLIFE</v>
      </c>
      <c r="I934" s="600" t="str">
        <f>N!$C$27</f>
        <v>HLINE</v>
      </c>
      <c r="J934" s="600" t="str">
        <f>N!$C$28</f>
        <v>ROTECH</v>
      </c>
      <c r="K934" s="600" t="str">
        <f>N!$C$29</f>
        <v>ISN</v>
      </c>
      <c r="L934" s="600" t="str">
        <f>N!$C$30</f>
        <v>JAWA</v>
      </c>
      <c r="M934" s="600" t="str">
        <f>N!$C$31</f>
        <v>LAYO</v>
      </c>
      <c r="N934" s="600" t="str">
        <f>N!$C$32</f>
        <v>LEADWAY</v>
      </c>
      <c r="O934" s="600" t="str">
        <f>N!$C$33</f>
        <v>LHV</v>
      </c>
      <c r="P934" s="600" t="str">
        <f>N!$C$34</f>
        <v>MANOLA</v>
      </c>
      <c r="Q934" s="600" t="str">
        <f>N!$C$35</f>
        <v>MARCSON</v>
      </c>
      <c r="R934" s="600" t="str">
        <f>N!$C$36</f>
        <v>M&amp;B</v>
      </c>
      <c r="S934" s="600" t="str">
        <f>N!$C$37</f>
        <v>MTRUST</v>
      </c>
      <c r="T934" s="580"/>
      <c r="U934" s="580"/>
      <c r="V934" s="32"/>
      <c r="W934" s="32"/>
      <c r="X934" s="32"/>
    </row>
    <row r="935" spans="2:24" ht="15.75" thickBot="1" x14ac:dyDescent="0.3">
      <c r="B935" s="580"/>
      <c r="C935" s="602">
        <f>IF($S$928=661,PR!$V$726,IF($S$928=662,PR!$V$727,IF($S$928=663,PR!$V$728,IF($S$928=664,PR!$V$729,IF($S$928=665,PR!$V$730,IF($S$928=666,PR!$V$731,IF($S$928=667,PR!$V$732,IF($S$928=668,PR!$V$733,IF($S$928=669,PR!$V$737,IF($S$928=670,PR!$V$738,IF($S$928=671,PR!$V$739,IF($S$928=672,PR!$V$740,IF($S$928=673,PR!$V$741,IF($S$928=674,PR!$V$742,IF($S$928=675,PR!$V$743,IF($S$928=676,PR!$V$744,IF($S$928=677,PR!$V$745,IF($S$928=678,PR!$V$746,IF($S$928=679,PR!$V$747,IF($S$928=680,PR!$V$748,IF($S$928=681,PR!$V$749,IF($S$928=682,PR!$V$750,IF($S$928=683,PR!$V$751,IF($S$928=684,PR!$V$754,IF($S$928=685,PR!$V$755,IF($S$928=686,PR!$V$756,IF($S$928=687,PR!$V$757,IF($S$928=688,PR!$V$758,IF($S$928=689,PR!$V$759,IF($S$928=690,PR!$V$760,IF($S$928=691,PR!$V$761,IF($S$928=692,PR!$V$762,IF($S$928=693,PR!$V$763,IF($S$928=694,PR!$V$764,IF($S$928=695,PR!$V$765,IF($S$928=696,PR!$V$766,IF($S$928=697,PR!$V$767,IF($S$928=698,PR!$V$768,IF($S$928=699,PR!$V$769,IF($S$928=700,PR!$V$770,IF($S$928=701,PR!$V$771,IF($S$928=702,PR!$V$774,IF($S$928=703,PR!$V$775,IF($S$928=704,PR!$V$776,IF($S$928=705,PR!$V$777,IF($S$928=706,PR!$V$778,IF($S$928=707,PR!$V$779,IF($S$928=708,PR!$V$780,IF($S$928=709,PR!$V$786,IF($S$928=710,PR!$V$787,IF($S$928=711,PR!$V$788,IF($S$928=712,PR!$V$789,IF($S$928=713,PR!$V$790,IF($S$928=714,PR!$V$791,IF($S$928=715,PR!$V$792,IF($S$928=716,PR!$V$793,IF($S$928=717,PR!$V$794,IF($S$928=718,PR!$V$795,IF($S$928=719,PR!$V$796,IF($S$928=720,PR!$V$797,"-"))))))))))))))))))))))))))))))))))))))))))))))))))))))))))))</f>
        <v>0</v>
      </c>
      <c r="D935" s="602">
        <f>IF($S$928=661,PR!$W$726,IF($S$928=662,PR!$W$727,IF($S$928=663,PR!$W$728,IF($S$928=664,PR!$W$729,IF($S$928=665,PR!$W$730,IF($S$928=666,PR!$W$731,IF($S$928=667,PR!$W$732,IF($S$928=668,PR!$W$733,IF($S$928=669,PR!$W$737,IF($S$928=670,PR!$W$738,IF($S$928=671,PR!$W$739,IF($S$928=672,PR!$W$740,IF($S$928=673,PR!$W$741,IF($S$928=674,PR!$W$742,IF($S$928=675,PR!$W$743,IF($S$928=676,PR!$W$744,IF($S$928=677,PR!$W$745,IF($S$928=678,PR!$W$746,IF($S$928=679,PR!$W$747,IF($S$928=680,PR!$W$748,IF($S$928=681,PR!$W$749,IF($S$928=682,PR!$W$750,IF($S$928=683,PR!$W$751,IF($S$928=684,PR!$W$754,IF($S$928=685,PR!$W$755,IF($S$928=686,PR!$W$756,IF($S$928=687,PR!$W$757,IF($S$928=688,PR!$W$758,IF($S$928=689,PR!$W$759,IF($S$928=690,PR!$W$760,IF($S$928=691,PR!$W$761,IF($S$928=692,PR!$W$762,IF($S$928=693,PR!$W$763,IF($S$928=694,PR!$W$764,IF($S$928=695,PR!$W$765,IF($S$928=696,PR!$W$766,IF($S$928=697,PR!$W$767,IF($S$928=698,PR!$W$768,IF($S$928=699,PR!$W$769,IF($S$928=700,PR!$W$770,IF($S$928=701,PR!$W$771,IF($S$928=702,PR!$W$774,IF($S$928=703,PR!$W$775,IF($S$928=704,PR!$W$776,IF($S$928=705,PR!$W$777,IF($S$928=706,PR!$W$778,IF($S$928=707,PR!$W$779,IF($S$928=708,PR!$W$780,IF($S$928=709,PR!$W$786,IF($S$928=710,PR!$W$787,IF($S$928=711,PR!$W$788,IF($S$928=712,PR!$W$789,IF($S$928=713,PR!$W$790,IF($S$928=714,PR!$W$791,IF($S$928=715,PR!$W$792,IF($S$928=716,PR!$W$793,IF($S$928=717,PR!$W$794,IF($S$928=718,PR!$W$795,IF($S$928=719,PR!$W$796,IF($S$928=720,PR!$W$797,"-"))))))))))))))))))))))))))))))))))))))))))))))))))))))))))))</f>
        <v>0</v>
      </c>
      <c r="E935" s="602">
        <f>IF($S$928=661,PR!$X$726,IF($S$928=662,PR!$X$727,IF($S$928=663,PR!$X$728,IF($S$928=664,PR!$X$729,IF($S$928=665,PR!$X$730,IF($S$928=666,PR!$X$731,IF($S$928=667,PR!$X$732,IF($S$928=668,PR!$X$733,IF($S$928=669,PR!$X$737,IF($S$928=670,PR!$X$738,IF($S$928=671,PR!$X$739,IF($S$928=672,PR!$X$740,IF($S$928=673,PR!$X$741,IF($S$928=674,PR!$X$742,IF($S$928=675,PR!$X$743,IF($S$928=676,PR!$X$744,IF($S$928=677,PR!$X$745,IF($S$928=678,PR!$X$746,IF($S$928=679,PR!$X$747,IF($S$928=680,PR!$X$748,IF($S$928=681,PR!$X$749,IF($S$928=682,PR!$X$750,IF($S$928=683,PR!$X$751,IF($S$928=684,PR!$X$754,IF($S$928=685,PR!$X$755,IF($S$928=686,PR!$X$756,IF($S$928=687,PR!$X$757,IF($S$928=688,PR!$X$758,IF($S$928=689,PR!$X$759,IF($S$928=690,PR!$X$760,IF($S$928=691,PR!$X$761,IF($S$928=692,PR!$X$762,IF($S$928=693,PR!$X$763,IF($S$928=694,PR!$X$764,IF($S$928=695,PR!$X$765,IF($S$928=696,PR!$X$766,IF($S$928=697,PR!$X$767,IF($S$928=698,PR!$X$768,IF($S$928=699,PR!$X$769,IF($S$928=700,PR!$X$770,IF($S$928=701,PR!$X$771,IF($S$928=702,PR!$X$774,IF($S$928=703,PR!$X$775,IF($S$928=704,PR!$X$776,IF($S$928=705,PR!$X$777,IF($S$928=706,PR!$X$778,IF($S$928=707,PR!$X$779,IF($S$928=708,PR!$X$780,IF($S$928=709,PR!$X$786,IF($S$928=710,PR!$X$787,IF($S$928=711,PR!$X$788,IF($S$928=712,PR!$X$789,IF($S$928=713,PR!$X$790,IF($S$928=714,PR!$X$791,IF($S$928=715,PR!$X$792,IF($S$928=716,PR!$X$793,IF($S$928=717,PR!$X$794,IF($S$928=718,PR!$X$795,IF($S$928=719,PR!$X$796,IF($S$928=720,PR!$X$797,"-"))))))))))))))))))))))))))))))))))))))))))))))))))))))))))))</f>
        <v>0</v>
      </c>
      <c r="F935" s="602">
        <f>IF($S$928=661,PR!$Y$726,IF($S$928=662,PR!$Y$727,IF($S$928=663,PR!$Y$728,IF($S$928=664,PR!$Y$729,IF($S$928=665,PR!$Y$730,IF($S$928=666,PR!$Y$731,IF($S$928=667,PR!$Y$732,IF($S$928=668,PR!$Y$733,IF($S$928=669,PR!$Y$737,IF($S$928=670,PR!$Y$738,IF($S$928=671,PR!$Y$739,IF($S$928=672,PR!$Y$740,IF($S$928=673,PR!$Y$741,IF($S$928=674,PR!$Y$742,IF($S$928=675,PR!$Y$743,IF($S$928=676,PR!$Y$744,IF($S$928=677,PR!$Y$745,IF($S$928=678,PR!$Y$746,IF($S$928=679,PR!$Y$747,IF($S$928=680,PR!$Y$748,IF($S$928=681,PR!$Y$749,IF($S$928=682,PR!$Y$750,IF($S$928=683,PR!$Y$751,IF($S$928=684,PR!$Y$754,IF($S$928=685,PR!$Y$755,IF($S$928=686,PR!$Y$756,IF($S$928=687,PR!$Y$757,IF($S$928=688,PR!$Y$758,IF($S$928=689,PR!$Y$759,IF($S$928=690,PR!$Y$760,IF($S$928=691,PR!$Y$761,IF($S$928=692,PR!$Y$762,IF($S$928=693,PR!$Y$763,IF($S$928=694,PR!$Y$764,IF($S$928=695,PR!$Y$765,IF($S$928=696,PR!$Y$766,IF($S$928=697,PR!$Y$767,IF($S$928=698,PR!$Y$768,IF($S$928=699,PR!$Y$769,IF($S$928=700,PR!$Y$770,IF($S$928=701,PR!$Y$771,IF($S$928=702,PR!$Y$774,IF($S$928=703,PR!$Y$775,IF($S$928=704,PR!$Y$776,IF($S$928=705,PR!$Y$777,IF($S$928=706,PR!$Y$778,IF($S$928=707,PR!$Y$779,IF($S$928=708,PR!$Y$780,IF($S$928=709,PR!$Y$786,IF($S$928=710,PR!$Y$787,IF($S$928=711,PR!$Y$788,IF($S$928=712,PR!$Y$789,IF($S$928=713,PR!$Y$790,IF($S$928=714,PR!$Y$791,IF($S$928=715,PR!$Y$792,IF($S$928=716,PR!$Y$793,IF($S$928=717,PR!$Y$794,IF($S$928=718,PR!$Y$795,IF($S$928=719,PR!$Y$796,IF($S$928=720,PR!$Y$797,"-"))))))))))))))))))))))))))))))))))))))))))))))))))))))))))))</f>
        <v>0</v>
      </c>
      <c r="G935" s="602">
        <f>IF($S$928=661,PR!$Z$726,IF($S$928=662,PR!$Z$727,IF($S$928=663,PR!$Z$728,IF($S$928=664,PR!$Z$729,IF($S$928=665,PR!$Z$730,IF($S$928=666,PR!$Z$731,IF($S$928=667,PR!$Z$732,IF($S$928=668,PR!$Z$733,IF($S$928=669,PR!$Z$737,IF($S$928=670,PR!$Z$738,IF($S$928=671,PR!$Z$739,IF($S$928=672,PR!$Z$740,IF($S$928=673,PR!$Z$741,IF($S$928=674,PR!$Z$742,IF($S$928=675,PR!$Z$743,IF($S$928=676,PR!$Z$744,IF($S$928=677,PR!$Z$745,IF($S$928=678,PR!$Z$746,IF($S$928=679,PR!$Z$747,IF($S$928=680,PR!$Z$748,IF($S$928=681,PR!$Z$749,IF($S$928=682,PR!$Z$750,IF($S$928=683,PR!$Z$751,IF($S$928=684,PR!$Z$754,IF($S$928=685,PR!$Z$755,IF($S$928=686,PR!$Z$756,IF($S$928=687,PR!$Z$757,IF($S$928=688,PR!$Z$758,IF($S$928=689,PR!$Z$759,IF($S$928=690,PR!$Z$760,IF($S$928=691,PR!$Z$761,IF($S$928=692,PR!$Z$762,IF($S$928=693,PR!$Z$763,IF($S$928=694,PR!$Z$764,IF($S$928=695,PR!$Z$765,IF($S$928=696,PR!$Z$766,IF($S$928=697,PR!$Z$767,IF($S$928=698,PR!$Z$768,IF($S$928=699,PR!$Z$769,IF($S$928=700,PR!$Z$770,IF($S$928=701,PR!$Z$771,IF($S$928=702,PR!$Z$774,IF($S$928=703,PR!$Z$775,IF($S$928=704,PR!$Z$776,IF($S$928=705,PR!$Z$777,IF($S$928=706,PR!$Z$778,IF($S$928=707,PR!$Z$779,IF($S$928=708,PR!$Z$780,IF($S$928=709,PR!$Z$786,IF($S$928=710,PR!$Z$787,IF($S$928=711,PR!$Z$788,IF($S$928=712,PR!$Z$789,IF($S$928=713,PR!$Z$790,IF($S$928=714,PR!$Z$791,IF($S$928=715,PR!$Z$792,IF($S$928=716,PR!$Z$793,IF($S$928=717,PR!$Z$794,IF($S$928=718,PR!$Z$795,IF($S$928=719,PR!$Z$796,IF($S$928=720,PR!$Z$797,"-"))))))))))))))))))))))))))))))))))))))))))))))))))))))))))))</f>
        <v>0</v>
      </c>
      <c r="H935" s="602">
        <f>IF($S$928=661,PR!$AA$726,IF($S$928=662,PR!$AA$727,IF($S$928=663,PR!$AA$728,IF($S$928=664,PR!$AA$729,IF($S$928=665,PR!$AA$730,IF($S$928=666,PR!$AA$731,IF($S$928=667,PR!$AA$732,IF($S$928=668,PR!$AA$733,IF($S$928=669,PR!$AA$737,IF($S$928=670,PR!$AA$738,IF($S$928=671,PR!$AA$739,IF($S$928=672,PR!$AA$740,IF($S$928=673,PR!$AA$741,IF($S$928=674,PR!$AA$742,IF($S$928=675,PR!$AA$743,IF($S$928=676,PR!$AA$744,IF($S$928=677,PR!$AA$745,IF($S$928=678,PR!$AA$746,IF($S$928=679,PR!$AA$747,IF($S$928=680,PR!$AA$748,IF($S$928=681,PR!$AA$749,IF($S$928=682,PR!$AA$750,IF($S$928=683,PR!$AA$751,IF($S$928=684,PR!$AA$754,IF($S$928=685,PR!$AA$755,IF($S$928=686,PR!$AA$756,IF($S$928=687,PR!$AA$757,IF($S$928=688,PR!$AA$758,IF($S$928=689,PR!$AA$759,IF($S$928=690,PR!$AA$760,IF($S$928=691,PR!$AA$761,IF($S$928=692,PR!$AA$762,IF($S$928=693,PR!$AA$763,IF($S$928=694,PR!$AA$764,IF($S$928=695,PR!$AA$765,IF($S$928=696,PR!$AA$766,IF($S$928=697,PR!$AA$767,IF($S$928=698,PR!$AA$768,IF($S$928=699,PR!$AA$769,IF($S$928=700,PR!$AA$770,IF($S$928=701,PR!$AA$771,IF($S$928=702,PR!$AA$774,IF($S$928=703,PR!$AA$775,IF($S$928=704,PR!$AA$776,IF($S$928=705,PR!$AA$777,IF($S$928=706,PR!$AA$778,IF($S$928=707,PR!$AA$779,IF($S$928=708,PR!$AA$780,IF($S$928=709,PR!$AA$786,IF($S$928=710,PR!$AA$787,IF($S$928=711,PR!$AA$788,IF($S$928=712,PR!$AA$789,IF($S$928=713,PR!$AA$790,IF($S$928=714,PR!$AA$791,IF($S$928=715,PR!$AA$792,IF($S$928=716,PR!$AA$793,IF($S$928=717,PR!$AA$794,IF($S$928=718,PR!$AA$795,IF($S$928=719,PR!$AA$796,IF($S$928=720,PR!$AA$797,"-"))))))))))))))))))))))))))))))))))))))))))))))))))))))))))))</f>
        <v>0</v>
      </c>
      <c r="I935" s="602">
        <f>IF($S$928=661,PR!$AB$726,IF($S$928=662,PR!$AB$727,IF($S$928=663,PR!$AB$728,IF($S$928=664,PR!$AB$729,IF($S$928=665,PR!$AB$730,IF($S$928=666,PR!$AB$731,IF($S$928=667,PR!$AB$732,IF($S$928=668,PR!$AB$733,IF($S$928=669,PR!$AB$737,IF($S$928=670,PR!$AB$738,IF($S$928=671,PR!$AB$739,IF($S$928=672,PR!$AB$740,IF($S$928=673,PR!$AB$741,IF($S$928=674,PR!$AB$742,IF($S$928=675,PR!$AB$743,IF($S$928=676,PR!$AB$744,IF($S$928=677,PR!$AB$745,IF($S$928=678,PR!$AB$746,IF($S$928=679,PR!$AB$747,IF($S$928=680,PR!$AB$748,IF($S$928=681,PR!$AB$749,IF($S$928=682,PR!$AB$750,IF($S$928=683,PR!$AB$751,IF($S$928=684,PR!$AB$754,IF($S$928=685,PR!$AB$755,IF($S$928=686,PR!$AB$756,IF($S$928=687,PR!$AB$757,IF($S$928=688,PR!$AB$758,IF($S$928=689,PR!$AB$759,IF($S$928=690,PR!$AB$760,IF($S$928=691,PR!$AB$761,IF($S$928=692,PR!$AB$762,IF($S$928=693,PR!$AB$763,IF($S$928=694,PR!$AB$764,IF($S$928=695,PR!$AB$765,IF($S$928=696,PR!$AB$766,IF($S$928=697,PR!$AB$767,IF($S$928=698,PR!$AB$768,IF($S$928=699,PR!$AB$769,IF($S$928=700,PR!$AB$770,IF($S$928=701,PR!$AB$771,IF($S$928=702,PR!$AB$774,IF($S$928=703,PR!$AB$775,IF($S$928=704,PR!$AB$776,IF($S$928=705,PR!$AB$777,IF($S$928=706,PR!$AB$778,IF($S$928=707,PR!$AB$779,IF($S$928=708,PR!$AB$780,IF($S$928=709,PR!$AB$786,IF($S$928=710,PR!$AB$787,IF($S$928=711,PR!$AB$788,IF($S$928=712,PR!$AB$789,IF($S$928=713,PR!$AB$790,IF($S$928=714,PR!$AB$791,IF($S$928=715,PR!$AB$792,IF($S$928=716,PR!$AB$793,IF($S$928=717,PR!$AB$794,IF($S$928=718,PR!$AB$795,IF($S$928=719,PR!$AB$796,IF($S$928=720,PR!$AB$797,"-"))))))))))))))))))))))))))))))))))))))))))))))))))))))))))))</f>
        <v>0</v>
      </c>
      <c r="J935" s="602">
        <f>IF($S$928=661,PR!$AC$726,IF($S$928=662,PR!$AC$727,IF($S$928=663,PR!$AC$728,IF($S$928=664,PR!$AC$729,IF($S$928=665,PR!$AC$730,IF($S$928=666,PR!$AC$731,IF($S$928=667,PR!$AC$732,IF($S$928=668,PR!$AC$733,IF($S$928=669,PR!$AC$737,IF($S$928=670,PR!$AC$738,IF($S$928=671,PR!$AC$739,IF($S$928=672,PR!$AC$740,IF($S$928=673,PR!$AC$741,IF($S$928=674,PR!$AC$742,IF($S$928=675,PR!$AC$743,IF($S$928=676,PR!$AC$744,IF($S$928=677,PR!$AC$745,IF($S$928=678,PR!$AC$746,IF($S$928=679,PR!$AC$747,IF($S$928=680,PR!$AC$748,IF($S$928=681,PR!$AC$749,IF($S$928=682,PR!$AC$750,IF($S$928=683,PR!$AC$751,IF($S$928=684,PR!$AC$754,IF($S$928=685,PR!$AC$755,IF($S$928=686,PR!$AC$756,IF($S$928=687,PR!$AC$757,IF($S$928=688,PR!$AC$758,IF($S$928=689,PR!$AC$759,IF($S$928=690,PR!$AC$760,IF($S$928=691,PR!$AC$761,IF($S$928=692,PR!$AC$762,IF($S$928=693,PR!$AC$763,IF($S$928=694,PR!$AC$764,IF($S$928=695,PR!$AC$765,IF($S$928=696,PR!$AC$766,IF($S$928=697,PR!$AC$767,IF($S$928=698,PR!$AC$768,IF($S$928=699,PR!$AC$769,IF($S$928=700,PR!$AC$770,IF($S$928=701,PR!$AC$771,IF($S$928=702,PR!$AC$774,IF($S$928=703,PR!$AC$775,IF($S$928=704,PR!$AC$776,IF($S$928=705,PR!$AC$777,IF($S$928=706,PR!$AC$778,IF($S$928=707,PR!$AC$779,IF($S$928=708,PR!$AC$780,IF($S$928=709,PR!$AC$786,IF($S$928=710,PR!$AC$787,IF($S$928=711,PR!$AC$788,IF($S$928=712,PR!$AC$789,IF($S$928=713,PR!$AC$790,IF($S$928=714,PR!$AC$791,IF($S$928=715,PR!$AC$792,IF($S$928=716,PR!$AC$793,IF($S$928=717,PR!$AC$794,IF($S$928=718,PR!$AC$795,IF($S$928=719,PR!$AC$796,IF($S$928=720,PR!$AC$797,"-"))))))))))))))))))))))))))))))))))))))))))))))))))))))))))))</f>
        <v>946</v>
      </c>
      <c r="K935" s="602">
        <f>IF($S$928=661,PR!$AD$726,IF($S$928=662,PR!$AD$727,IF($S$928=663,PR!$AD$728,IF($S$928=664,PR!$AD$729,IF($S$928=665,PR!$AD$730,IF($S$928=666,PR!$AD$731,IF($S$928=667,PR!$AD$732,IF($S$928=668,PR!$AD$733,IF($S$928=669,PR!$AD$737,IF($S$928=670,PR!$AD$738,IF($S$928=671,PR!$AD$739,IF($S$928=672,PR!$AD$740,IF($S$928=673,PR!$AD$741,IF($S$928=674,PR!$AD$742,IF($S$928=675,PR!$AD$743,IF($S$928=676,PR!$AD$744,IF($S$928=677,PR!$AD$745,IF($S$928=678,PR!$AD$746,IF($S$928=679,PR!$AD$747,IF($S$928=680,PR!$AD$748,IF($S$928=681,PR!$AD$749,IF($S$928=682,PR!$AD$750,IF($S$928=683,PR!$AD$751,IF($S$928=684,PR!$AD$754,IF($S$928=685,PR!$AD$755,IF($S$928=686,PR!$AD$756,IF($S$928=687,PR!$AD$757,IF($S$928=688,PR!$AD$758,IF($S$928=689,PR!$AD$759,IF($S$928=690,PR!$AD$760,IF($S$928=691,PR!$AD$761,IF($S$928=692,PR!$AD$762,IF($S$928=693,PR!$AD$763,IF($S$928=694,PR!$AD$764,IF($S$928=695,PR!$AD$765,IF($S$928=696,PR!$AD$766,IF($S$928=697,PR!$AD$767,IF($S$928=698,PR!$AD$768,IF($S$928=699,PR!$AD$769,IF($S$928=700,PR!$AD$770,IF($S$928=701,PR!$AD$771,IF($S$928=702,PR!$AD$774,IF($S$928=703,PR!$AD$775,IF($S$928=704,PR!$AD$776,IF($S$928=705,PR!$AD$777,IF($S$928=706,PR!$AD$778,IF($S$928=707,PR!$AD$779,IF($S$928=708,PR!$AD$780,IF($S$928=709,PR!$AD$786,IF($S$928=710,PR!$AD$787,IF($S$928=711,PR!$AD$788,IF($S$928=712,PR!$AD$789,IF($S$928=713,PR!$AD$790,IF($S$928=714,PR!$AD$791,IF($S$928=715,PR!$AD$792,IF($S$928=716,PR!$AD$793,IF($S$928=717,PR!$AD$794,IF($S$928=718,PR!$AD$795,IF($S$928=719,PR!$AD$796,IF($S$928=720,PR!$AD$797,"-"))))))))))))))))))))))))))))))))))))))))))))))))))))))))))))</f>
        <v>0</v>
      </c>
      <c r="L935" s="602">
        <f>IF($S$928=661,PR!$AE$726,IF($S$928=662,PR!$AE$727,IF($S$928=663,PR!$AE$728,IF($S$928=664,PR!$AE$729,IF($S$928=665,PR!$AE$730,IF($S$928=666,PR!$AE$731,IF($S$928=667,PR!$AE$732,IF($S$928=668,PR!$AE$733,IF($S$928=669,PR!$AE$737,IF($S$928=670,PR!$AE$738,IF($S$928=671,PR!$AE$739,IF($S$928=672,PR!$AE$740,IF($S$928=673,PR!$AE$741,IF($S$928=674,PR!$AE$742,IF($S$928=675,PR!$AE$743,IF($S$928=676,PR!$AE$744,IF($S$928=677,PR!$AE$745,IF($S$928=678,PR!$AE$746,IF($S$928=679,PR!$AE$747,IF($S$928=680,PR!$AE$748,IF($S$928=681,PR!$AE$749,IF($S$928=682,PR!$AE$750,IF($S$928=683,PR!$AE$751,IF($S$928=684,PR!$AE$754,IF($S$928=685,PR!$AE$755,IF($S$928=686,PR!$AE$756,IF($S$928=687,PR!$AE$757,IF($S$928=688,PR!$AE$758,IF($S$928=689,PR!$AE$759,IF($S$928=690,PR!$AE$760,IF($S$928=691,PR!$AE$761,IF($S$928=692,PR!$AE$762,IF($S$928=693,PR!$AE$763,IF($S$928=694,PR!$AE$764,IF($S$928=695,PR!$AE$765,IF($S$928=696,PR!$AE$766,IF($S$928=697,PR!$AE$767,IF($S$928=698,PR!$AE$768,IF($S$928=699,PR!$AE$769,IF($S$928=700,PR!$AE$770,IF($S$928=701,PR!$AE$771,IF($S$928=702,PR!$AE$774,IF($S$928=703,PR!$AE$775,IF($S$928=704,PR!$AE$776,IF($S$928=705,PR!$AE$777,IF($S$928=706,PR!$AE$778,IF($S$928=707,PR!$AE$779,IF($S$928=708,PR!$AE$780,IF($S$928=709,PR!$AE$786,IF($S$928=710,PR!$AE$787,IF($S$928=711,PR!$AE$788,IF($S$928=712,PR!$AE$789,IF($S$928=713,PR!$AE$790,IF($S$928=714,PR!$AE$791,IF($S$928=715,PR!$AE$792,IF($S$928=716,PR!$AE$793,IF($S$928=717,PR!$AE$794,IF($S$928=718,PR!$AE$795,IF($S$928=719,PR!$AE$796,IF($S$928=720,PR!$AE$797,"-"))))))))))))))))))))))))))))))))))))))))))))))))))))))))))))</f>
        <v>0</v>
      </c>
      <c r="M935" s="602">
        <f>IF($S$928=661,PR!$AF$726,IF($S$928=662,PR!$AF$727,IF($S$928=663,PR!$AF$728,IF($S$928=664,PR!$AF$729,IF($S$928=665,PR!$AF$730,IF($S$928=666,PR!$AF$731,IF($S$928=667,PR!$AF$732,IF($S$928=668,PR!$AF$733,IF($S$928=669,PR!$AF$737,IF($S$928=670,PR!$AF$738,IF($S$928=671,PR!$AF$739,IF($S$928=672,PR!$AF$740,IF($S$928=673,PR!$AF$741,IF($S$928=674,PR!$AF$742,IF($S$928=675,PR!$AF$743,IF($S$928=676,PR!$AF$744,IF($S$928=677,PR!$AF$745,IF($S$928=678,PR!$AF$746,IF($S$928=679,PR!$AF$747,IF($S$928=680,PR!$AF$748,IF($S$928=681,PR!$AF$749,IF($S$928=682,PR!$AF$750,IF($S$928=683,PR!$AF$751,IF($S$928=684,PR!$AF$754,IF($S$928=685,PR!$AF$755,IF($S$928=686,PR!$AF$756,IF($S$928=687,PR!$AF$757,IF($S$928=688,PR!$AF$758,IF($S$928=689,PR!$AF$759,IF($S$928=690,PR!$AF$760,IF($S$928=691,PR!$AF$761,IF($S$928=692,PR!$AF$762,IF($S$928=693,PR!$AF$763,IF($S$928=694,PR!$AF$764,IF($S$928=695,PR!$AF$765,IF($S$928=696,PR!$AF$766,IF($S$928=697,PR!$AF$767,IF($S$928=698,PR!$AF$768,IF($S$928=699,PR!$AF$769,IF($S$928=700,PR!$AF$770,IF($S$928=701,PR!$AF$771,IF($S$928=702,PR!$AF$774,IF($S$928=703,PR!$AF$775,IF($S$928=704,PR!$AF$776,IF($S$928=705,PR!$AF$777,IF($S$928=706,PR!$AF$778,IF($S$928=707,PR!$AF$779,IF($S$928=708,PR!$AF$780,IF($S$928=709,PR!$AF$786,IF($S$928=710,PR!$AF$787,IF($S$928=711,PR!$AF$788,IF($S$928=712,PR!$AF$789,IF($S$928=713,PR!$AF$790,IF($S$928=714,PR!$AF$791,IF($S$928=715,PR!$AF$792,IF($S$928=716,PR!$AF$793,IF($S$928=717,PR!$AF$794,IF($S$928=718,PR!$AF$795,IF($S$928=719,PR!$AF$796,IF($S$928=720,PR!$AF$797,"-"))))))))))))))))))))))))))))))))))))))))))))))))))))))))))))</f>
        <v>0</v>
      </c>
      <c r="N935" s="602">
        <f>IF($S$928=661,PR!$AG$726,IF($S$928=662,PR!$AG$727,IF($S$928=663,PR!$AG$728,IF($S$928=664,PR!$AG$729,IF($S$928=665,PR!$AG$730,IF($S$928=666,PR!$AG$731,IF($S$928=667,PR!$AG$732,IF($S$928=668,PR!$AG$733,IF($S$928=669,PR!$AG$737,IF($S$928=670,PR!$AG$738,IF($S$928=671,PR!$AG$739,IF($S$928=672,PR!$AG$740,IF($S$928=673,PR!$AG$741,IF($S$928=674,PR!$AG$742,IF($S$928=675,PR!$AG$743,IF($S$928=676,PR!$AG$744,IF($S$928=677,PR!$AG$745,IF($S$928=678,PR!$AG$746,IF($S$928=679,PR!$AG$747,IF($S$928=680,PR!$AG$748,IF($S$928=681,PR!$AG$749,IF($S$928=682,PR!$AG$750,IF($S$928=683,PR!$AG$751,IF($S$928=684,PR!$AG$754,IF($S$928=685,PR!$AG$755,IF($S$928=686,PR!$AG$756,IF($S$928=687,PR!$AG$757,IF($S$928=688,PR!$AG$758,IF($S$928=689,PR!$AG$759,IF($S$928=690,PR!$AG$760,IF($S$928=691,PR!$AG$761,IF($S$928=692,PR!$AG$762,IF($S$928=693,PR!$AG$763,IF($S$928=694,PR!$AG$764,IF($S$928=695,PR!$AG$765,IF($S$928=696,PR!$AG$766,IF($S$928=697,PR!$AG$767,IF($S$928=698,PR!$AG$768,IF($S$928=699,PR!$AG$769,IF($S$928=700,PR!$AG$770,IF($S$928=701,PR!$AG$771,IF($S$928=702,PR!$AG$774,IF($S$928=703,PR!$AG$775,IF($S$928=704,PR!$AG$776,IF($S$928=705,PR!$AG$777,IF($S$928=706,PR!$AG$778,IF($S$928=707,PR!$AG$779,IF($S$928=708,PR!$AG$780,IF($S$928=709,PR!$AG$786,IF($S$928=710,PR!$AG$787,IF($S$928=711,PR!$AG$788,IF($S$928=712,PR!$AG$789,IF($S$928=713,PR!$AG$790,IF($S$928=714,PR!$AG$791,IF($S$928=715,PR!$AG$792,IF($S$928=716,PR!$AG$793,IF($S$928=717,PR!$AG$794,IF($S$928=718,PR!$AG$795,IF($S$928=719,PR!$AG$796,IF($S$928=720,PR!$AG$797,"-"))))))))))))))))))))))))))))))))))))))))))))))))))))))))))))</f>
        <v>0</v>
      </c>
      <c r="O935" s="602">
        <f>IF($S$928=661,PR!$AH$726,IF($S$928=662,PR!$AH$727,IF($S$928=663,PR!$AH$728,IF($S$928=664,PR!$AH$729,IF($S$928=665,PR!$AH$730,IF($S$928=666,PR!$AH$731,IF($S$928=667,PR!$AH$732,IF($S$928=668,PR!$AH$733,IF($S$928=669,PR!$AH$737,IF($S$928=670,PR!$AH$738,IF($S$928=671,PR!$AH$739,IF($S$928=672,PR!$AH$740,IF($S$928=673,PR!$AH$741,IF($S$928=674,PR!$AH$742,IF($S$928=675,PR!$AH$743,IF($S$928=676,PR!$AH$744,IF($S$928=677,PR!$AH$745,IF($S$928=678,PR!$AH$746,IF($S$928=679,PR!$AH$747,IF($S$928=680,PR!$AH$748,IF($S$928=681,PR!$AH$749,IF($S$928=682,PR!$AH$750,IF($S$928=683,PR!$AH$751,IF($S$928=684,PR!$AH$754,IF($S$928=685,PR!$AH$755,IF($S$928=686,PR!$AH$756,IF($S$928=687,PR!$AH$757,IF($S$928=688,PR!$AH$758,IF($S$928=689,PR!$AH$759,IF($S$928=690,PR!$AH$760,IF($S$928=691,PR!$AH$761,IF($S$928=692,PR!$AH$762,IF($S$928=693,PR!$AH$763,IF($S$928=694,PR!$AH$764,IF($S$928=695,PR!$AH$765,IF($S$928=696,PR!$AH$766,IF($S$928=697,PR!$AH$767,IF($S$928=698,PR!$AH$768,IF($S$928=699,PR!$AH$769,IF($S$928=700,PR!$AH$770,IF($S$928=701,PR!$AH$771,IF($S$928=702,PR!$AH$774,IF($S$928=703,PR!$AH$775,IF($S$928=704,PR!$AH$776,IF($S$928=705,PR!$AH$777,IF($S$928=706,PR!$AH$778,IF($S$928=707,PR!$AH$779,IF($S$928=708,PR!$AH$780,IF($S$928=709,PR!$AH$786,IF($S$928=710,PR!$AH$787,IF($S$928=711,PR!$AH$788,IF($S$928=712,PR!$AH$789,IF($S$928=713,PR!$AH$790,IF($S$928=714,PR!$AH$791,IF($S$928=715,PR!$AH$792,IF($S$928=716,PR!$AH$793,IF($S$928=717,PR!$AH$794,IF($S$928=718,PR!$AH$795,IF($S$928=719,PR!$AH$796,IF($S$928=720,PR!$AH$797,"-"))))))))))))))))))))))))))))))))))))))))))))))))))))))))))))</f>
        <v>0</v>
      </c>
      <c r="P935" s="602">
        <f>IF($S$928=661,PR!$AI$726,IF($S$928=662,PR!$AI$727,IF($S$928=663,PR!$AI$728,IF($S$928=664,PR!$AI$729,IF($S$928=665,PR!$AI$730,IF($S$928=666,PR!$AI$731,IF($S$928=667,PR!$AI$732,IF($S$928=668,PR!$AI$733,IF($S$928=669,PR!$AI$737,IF($S$928=670,PR!$AI$738,IF($S$928=671,PR!$AI$739,IF($S$928=672,PR!$AI$740,IF($S$928=673,PR!$AI$741,IF($S$928=674,PR!$AI$742,IF($S$928=675,PR!$AI$743,IF($S$928=676,PR!$AI$744,IF($S$928=677,PR!$AI$745,IF($S$928=678,PR!$AI$746,IF($S$928=679,PR!$AI$747,IF($S$928=680,PR!$AI$748,IF($S$928=681,PR!$AI$749,IF($S$928=682,PR!$AI$750,IF($S$928=683,PR!$AI$751,IF($S$928=684,PR!$AI$754,IF($S$928=685,PR!$AI$755,IF($S$928=686,PR!$AI$756,IF($S$928=687,PR!$AI$757,IF($S$928=688,PR!$AI$758,IF($S$928=689,PR!$AI$759,IF($S$928=690,PR!$AI$760,IF($S$928=691,PR!$AI$761,IF($S$928=692,PR!$AI$762,IF($S$928=693,PR!$AI$763,IF($S$928=694,PR!$AI$764,IF($S$928=695,PR!$AI$765,IF($S$928=696,PR!$AI$766,IF($S$928=697,PR!$AI$767,IF($S$928=698,PR!$AI$768,IF($S$928=699,PR!$AI$769,IF($S$928=700,PR!$AI$770,IF($S$928=701,PR!$AI$771,IF($S$928=702,PR!$AI$774,IF($S$928=703,PR!$AI$775,IF($S$928=704,PR!$AI$776,IF($S$928=705,PR!$AI$777,IF($S$928=706,PR!$AI$778,IF($S$928=707,PR!$AI$779,IF($S$928=708,PR!$AI$780,IF($S$928=709,PR!$AI$786,IF($S$928=710,PR!$AI$787,IF($S$928=711,PR!$AI$788,IF($S$928=712,PR!$AI$789,IF($S$928=713,PR!$AI$790,IF($S$928=714,PR!$AI$791,IF($S$928=715,PR!$AI$792,IF($S$928=716,PR!$AI$793,IF($S$928=717,PR!$AI$794,IF($S$928=718,PR!$AI$795,IF($S$928=719,PR!$AI$796,IF($S$928=720,PR!$AI$797,"-"))))))))))))))))))))))))))))))))))))))))))))))))))))))))))))</f>
        <v>0</v>
      </c>
      <c r="Q935" s="602">
        <f>IF($S$928=661,PR!$AJ$726,IF($S$928=662,PR!$AJ$727,IF($S$928=663,PR!$AJ$728,IF($S$928=664,PR!$AJ$729,IF($S$928=665,PR!$AJ$730,IF($S$928=666,PR!$AJ$731,IF($S$928=667,PR!$AJ$732,IF($S$928=668,PR!$AJ$733,IF($S$928=669,PR!$AJ$737,IF($S$928=670,PR!$AJ$738,IF($S$928=671,PR!$AJ$739,IF($S$928=672,PR!$AJ$740,IF($S$928=673,PR!$AJ$741,IF($S$928=674,PR!$AJ$742,IF($S$928=675,PR!$AJ$743,IF($S$928=676,PR!$AJ$744,IF($S$928=677,PR!$AJ$745,IF($S$928=678,PR!$AJ$746,IF($S$928=679,PR!$AJ$747,IF($S$928=680,PR!$AJ$748,IF($S$928=681,PR!$AJ$749,IF($S$928=682,PR!$AJ$750,IF($S$928=683,PR!$AJ$751,IF($S$928=684,PR!$AJ$754,IF($S$928=685,PR!$AJ$755,IF($S$928=686,PR!$AJ$756,IF($S$928=687,PR!$AJ$757,IF($S$928=688,PR!$AJ$758,IF($S$928=689,PR!$AJ$759,IF($S$928=690,PR!$AJ$760,IF($S$928=691,PR!$AJ$761,IF($S$928=692,PR!$AJ$762,IF($S$928=693,PR!$AJ$763,IF($S$928=694,PR!$AJ$764,IF($S$928=695,PR!$AJ$765,IF($S$928=696,PR!$AJ$766,IF($S$928=697,PR!$AJ$767,IF($S$928=698,PR!$AJ$768,IF($S$928=699,PR!$AJ$769,IF($S$928=700,PR!$AJ$770,IF($S$928=701,PR!$AJ$771,IF($S$928=702,PR!$AJ$774,IF($S$928=703,PR!$AJ$775,IF($S$928=704,PR!$AJ$776,IF($S$928=705,PR!$AJ$777,IF($S$928=706,PR!$AJ$778,IF($S$928=707,PR!$AJ$779,IF($S$928=708,PR!$AJ$780,IF($S$928=709,PR!$AJ$786,IF($S$928=710,PR!$AJ$787,IF($S$928=711,PR!$AJ$788,IF($S$928=712,PR!$AJ$789,IF($S$928=713,PR!$AJ$790,IF($S$928=714,PR!$AJ$791,IF($S$928=715,PR!$AJ$792,IF($S$928=716,PR!$AJ$793,IF($S$928=717,PR!$AJ$794,IF($S$928=718,PR!$AJ$795,IF($S$928=719,PR!$AJ$796,IF($S$928=720,PR!$AJ$797,"-"))))))))))))))))))))))))))))))))))))))))))))))))))))))))))))</f>
        <v>0</v>
      </c>
      <c r="R935" s="602">
        <f>IF($S$928=661,PR!$AK$726,IF($S$928=662,PR!$AK$727,IF($S$928=663,PR!$AK$728,IF($S$928=664,PR!$AK$729,IF($S$928=665,PR!$AK$730,IF($S$928=666,PR!$AK$731,IF($S$928=667,PR!$AK$732,IF($S$928=668,PR!$AK$733,IF($S$928=669,PR!$AK$737,IF($S$928=670,PR!$AK$738,IF($S$928=671,PR!$AK$739,IF($S$928=672,PR!$AK$740,IF($S$928=673,PR!$AK$741,IF($S$928=674,PR!$AK$742,IF($S$928=675,PR!$AK$743,IF($S$928=676,PR!$AK$744,IF($S$928=677,PR!$AK$745,IF($S$928=678,PR!$AK$746,IF($S$928=679,PR!$AK$747,IF($S$928=680,PR!$AK$748,IF($S$928=681,PR!$AK$749,IF($S$928=682,PR!$AK$750,IF($S$928=683,PR!$AK$751,IF($S$928=684,PR!$AK$754,IF($S$928=685,PR!$AK$755,IF($S$928=686,PR!$AK$756,IF($S$928=687,PR!$AK$757,IF($S$928=688,PR!$AK$758,IF($S$928=689,PR!$AK$759,IF($S$928=690,PR!$AK$760,IF($S$928=691,PR!$AK$761,IF($S$928=692,PR!$AK$762,IF($S$928=693,PR!$AK$763,IF($S$928=694,PR!$AK$764,IF($S$928=695,PR!$AK$765,IF($S$928=696,PR!$AK$766,IF($S$928=697,PR!$AK$767,IF($S$928=698,PR!$AK$768,IF($S$928=699,PR!$AK$769,IF($S$928=700,PR!$AK$770,IF($S$928=701,PR!$AK$771,IF($S$928=702,PR!$AK$774,IF($S$928=703,PR!$AK$775,IF($S$928=704,PR!$AK$776,IF($S$928=705,PR!$AK$777,IF($S$928=706,PR!$AK$778,IF($S$928=707,PR!$AK$779,IF($S$928=708,PR!$AK$780,IF($S$928=709,PR!$AK$786,IF($S$928=710,PR!$AK$787,IF($S$928=711,PR!$AK$788,IF($S$928=712,PR!$AK$789,IF($S$928=713,PR!$AK$790,IF($S$928=714,PR!$AK$791,IF($S$928=715,PR!$AK$792,IF($S$928=716,PR!$AK$793,IF($S$928=717,PR!$AK$794,IF($S$928=718,PR!$AK$795,IF($S$928=719,PR!$AK$796,IF($S$928=720,PR!$AK$797,"-"))))))))))))))))))))))))))))))))))))))))))))))))))))))))))))</f>
        <v>0</v>
      </c>
      <c r="S935" s="602">
        <f>IF($S$928=661,PR!$AM$726,IF($S$928=662,PR!$AM$727,IF($S$928=663,PR!$AM$728,IF($S$928=664,PR!$AM$729,IF($S$928=665,PR!$AM$730,IF($S$928=666,PR!$AM$731,IF($S$928=667,PR!$AM$732,IF($S$928=668,PR!$AM$733,IF($S$928=669,PR!$AM$737,IF($S$928=670,PR!$AM$738,IF($S$928=671,PR!$AM$739,IF($S$928=672,PR!$AM$740,IF($S$928=673,PR!$AM$741,IF($S$928=674,PR!$AM$742,IF($S$928=675,PR!$AM$743,IF($S$928=676,PR!$AM$744,IF($S$928=677,PR!$AM$745,IF($S$928=678,PR!$AM$746,IF($S$928=679,PR!$AM$747,IF($S$928=680,PR!$AM$748,IF($S$928=681,PR!$AM$749,IF($S$928=682,PR!$AM$750,IF($S$928=683,PR!$AM$751,IF($S$928=684,PR!$AM$754,IF($S$928=685,PR!$AM$755,IF($S$928=686,PR!$AM$756,IF($S$928=687,PR!$AM$757,IF($S$928=688,PR!$AM$758,IF($S$928=689,PR!$AM$759,IF($S$928=690,PR!$AM$760,IF($S$928=691,PR!$AM$761,IF($S$928=692,PR!$AM$762,IF($S$928=693,PR!$AM$763,IF($S$928=694,PR!$AM$764,IF($S$928=695,PR!$AM$765,IF($S$928=696,PR!$AM$766,IF($S$928=697,PR!$AM$767,IF($S$928=698,PR!$AM$768,IF($S$928=699,PR!$AM$769,IF($S$928=700,PR!$AM$770,IF($S$928=701,PR!$AM$771,IF($S$928=702,PR!$AM$774,IF($S$928=703,PR!$AM$775,IF($S$928=704,PR!$AM$776,IF($S$928=705,PR!$AM$777,IF($S$928=706,PR!$AM$778,IF($S$928=707,PR!$AM$779,IF($S$928=708,PR!$AM$780,IF($S$928=709,PR!$AM$786,IF($S$928=710,PR!$AM$787,IF($S$928=711,PR!$AM$788,IF($S$928=712,PR!$AM$789,IF($S$928=713,PR!$AM$790,IF($S$928=714,PR!$AM$791,IF($S$928=715,PR!$AM$792,IF($S$928=716,PR!$AM$793,IF($S$928=717,PR!$AM$794,IF($S$928=718,PR!$AM$795,IF($S$928=719,PR!$AM$796,IF($S$928=720,PR!$AM$797,"-"))))))))))))))))))))))))))))))))))))))))))))))))))))))))))))</f>
        <v>0</v>
      </c>
      <c r="T935" s="580"/>
      <c r="U935" s="580"/>
      <c r="V935" s="32"/>
      <c r="W935" s="32"/>
      <c r="X935" s="32"/>
    </row>
    <row r="936" spans="2:24" ht="11.25" customHeight="1" x14ac:dyDescent="0.25">
      <c r="B936" s="580"/>
      <c r="C936" s="603"/>
      <c r="D936" s="604"/>
      <c r="E936" s="604"/>
      <c r="F936" s="604"/>
      <c r="G936" s="604"/>
      <c r="H936" s="604"/>
      <c r="I936" s="604"/>
      <c r="J936" s="604"/>
      <c r="K936" s="604"/>
      <c r="L936" s="604"/>
      <c r="M936" s="604"/>
      <c r="N936" s="604"/>
      <c r="O936" s="604"/>
      <c r="P936" s="604"/>
      <c r="Q936" s="604"/>
      <c r="R936" s="606"/>
      <c r="S936" s="606"/>
      <c r="T936" s="580"/>
      <c r="U936" s="580"/>
      <c r="V936" s="32"/>
      <c r="W936" s="32"/>
      <c r="X936" s="32"/>
    </row>
    <row r="937" spans="2:24" ht="15.75" thickBot="1" x14ac:dyDescent="0.3">
      <c r="B937" s="580"/>
      <c r="C937" s="600" t="str">
        <f>N!$C$38</f>
        <v>MWORLD</v>
      </c>
      <c r="D937" s="600" t="str">
        <f>N!$C$39</f>
        <v>MEGA</v>
      </c>
      <c r="E937" s="600" t="str">
        <f>N!$C$40</f>
        <v>MICRONOVA</v>
      </c>
      <c r="F937" s="600" t="str">
        <f>N!$C$41</f>
        <v>MFLASH</v>
      </c>
      <c r="G937" s="600" t="str">
        <f>N!$C$42</f>
        <v>MORISON</v>
      </c>
      <c r="H937" s="600" t="str">
        <f>N!$C$43</f>
        <v>NEMEL</v>
      </c>
      <c r="I937" s="600" t="str">
        <f>N!$C$44</f>
        <v>NHP</v>
      </c>
      <c r="J937" s="600" t="str">
        <f>N!$C$45</f>
        <v>NHC</v>
      </c>
      <c r="K937" s="600" t="str">
        <f>N!$C$46</f>
        <v>OLEAF</v>
      </c>
      <c r="L937" s="600" t="str">
        <f>N!$C$47</f>
        <v>OCULUS</v>
      </c>
      <c r="M937" s="600" t="str">
        <f>N!$C$48</f>
        <v>PACIFIC</v>
      </c>
      <c r="N937" s="600" t="str">
        <f>N!$C$49</f>
        <v>PHAMATEX</v>
      </c>
      <c r="O937" s="600" t="str">
        <f>N!$C$50</f>
        <v>PETHICS</v>
      </c>
      <c r="P937" s="600" t="str">
        <f>N!$C$51</f>
        <v>PHILIPS</v>
      </c>
      <c r="Q937" s="600" t="str">
        <f>N!$C$52</f>
        <v>RANBAXY</v>
      </c>
      <c r="R937" s="600" t="str">
        <f>N!$C$53</f>
        <v>REALS</v>
      </c>
      <c r="S937" s="600" t="str">
        <f>N!$C$54</f>
        <v>ROYAL</v>
      </c>
      <c r="T937" s="580"/>
      <c r="U937" s="580"/>
      <c r="V937" s="32"/>
      <c r="W937" s="32"/>
      <c r="X937" s="32"/>
    </row>
    <row r="938" spans="2:24" ht="15.75" thickBot="1" x14ac:dyDescent="0.3">
      <c r="B938" s="580"/>
      <c r="C938" s="602">
        <f>IF($S$928=661,PR!$AM$726,IF($S$928=662,PR!$AM$727,IF($S$928=663,PR!$AM$728,IF($S$928=664,PR!$AM$729,IF($S$928=665,PR!$AM$730,IF($S$928=666,PR!$AM$731,IF($S$928=667,PR!$AM$732,IF($S$928=668,PR!$AM$733,IF($S$928=669,PR!$AM$737,IF($S$928=670,PR!$AM$738,IF($S$928=671,PR!$AM$739,IF($S$928=672,PR!$AM$740,IF($S$928=673,PR!$AM$741,IF($S$928=674,PR!$AM$742,IF($S$928=675,PR!$AM$743,IF($S$928=676,PR!$AM$744,IF($S$928=677,PR!$AM$745,IF($S$928=678,PR!$AM$746,IF($S$928=679,PR!$AM$747,IF($S$928=680,PR!$AM$748,IF($S$928=681,PR!$AM$749,IF($S$928=682,PR!$AM$750,IF($S$928=683,PR!$AM$751,IF($S$928=684,PR!$AM$754,IF($S$928=685,PR!$AM$755,IF($S$928=686,PR!$AM$756,IF($S$928=687,PR!$AM$757,IF($S$928=688,PR!$AM$758,IF($S$928=689,PR!$AM$759,IF($S$928=690,PR!$AM$760,IF($S$928=691,PR!$AM$761,IF($S$928=692,PR!$AM$762,IF($S$928=693,PR!$AM$763,IF($S$928=694,PR!$AM$764,IF($S$928=695,PR!$AM$765,IF($S$928=696,PR!$AM$766,IF($S$928=697,PR!$AM$767,IF($S$928=698,PR!$AM$768,IF($S$928=699,PR!$AM$769,IF($S$928=700,PR!$AM$770,IF($S$928=701,PR!$AM$771,IF($S$928=702,PR!$AM$774,IF($S$928=703,PR!$AM$775,IF($S$928=704,PR!$AM$776,IF($S$928=705,PR!$AM$777,IF($S$928=706,PR!$AM$778,IF($S$928=707,PR!$AM$779,IF($S$928=708,PR!$AM$780,IF($S$928=709,PR!$AM$786,IF($S$928=710,PR!$AM$787,IF($S$928=711,PR!$AM$788,IF($S$928=712,PR!$AM$789,IF($S$928=713,PR!$AM$790,IF($S$928=714,PR!$AM$791,IF($S$928=715,PR!$AM$792,IF($S$928=716,PR!$AM$793,IF($S$928=717,PR!$AM$794,IF($S$928=718,PR!$AM$795,IF($S$928=719,PR!$AM$796,IF($S$928=720,PR!$AM$797,"-"))))))))))))))))))))))))))))))))))))))))))))))))))))))))))))</f>
        <v>0</v>
      </c>
      <c r="D938" s="602">
        <f>IF($S$928=661,PR!$AN$726,IF($S$928=662,PR!$AN$727,IF($S$928=663,PR!$AN$728,IF($S$928=664,PR!$AN$729,IF($S$928=665,PR!$AN$730,IF($S$928=666,PR!$AN$731,IF($S$928=667,PR!$AN$732,IF($S$928=668,PR!$AN$733,IF($S$928=669,PR!$AN$737,IF($S$928=670,PR!$AN$738,IF($S$928=671,PR!$AN$739,IF($S$928=672,PR!$AN$740,IF($S$928=673,PR!$AN$741,IF($S$928=674,PR!$AN$742,IF($S$928=675,PR!$AN$743,IF($S$928=676,PR!$AN$744,IF($S$928=677,PR!$AN$745,IF($S$928=678,PR!$AN$746,IF($S$928=679,PR!$AN$747,IF($S$928=680,PR!$AN$748,IF($S$928=681,PR!$AN$749,IF($S$928=682,PR!$AN$750,IF($S$928=683,PR!$AN$751,IF($S$928=684,PR!$AN$754,IF($S$928=685,PR!$AN$755,IF($S$928=686,PR!$AN$756,IF($S$928=687,PR!$AN$757,IF($S$928=688,PR!$AN$758,IF($S$928=689,PR!$AN$759,IF($S$928=690,PR!$AN$760,IF($S$928=691,PR!$AN$761,IF($S$928=692,PR!$AN$762,IF($S$928=693,PR!$AN$763,IF($S$928=694,PR!$AN$764,IF($S$928=695,PR!$AN$765,IF($S$928=696,PR!$AN$766,IF($S$928=697,PR!$AN$767,IF($S$928=698,PR!$AN$768,IF($S$928=699,PR!$AN$769,IF($S$928=700,PR!$AN$770,IF($S$928=701,PR!$AN$771,IF($S$928=702,PR!$AN$774,IF($S$928=703,PR!$AN$775,IF($S$928=704,PR!$AN$776,IF($S$928=705,PR!$AN$777,IF($S$928=706,PR!$AN$778,IF($S$928=707,PR!$AN$779,IF($S$928=708,PR!$AN$780,IF($S$928=709,PR!$AN$786,IF($S$928=710,PR!$AN$787,IF($S$928=711,PR!$AN$788,IF($S$928=712,PR!$AN$789,IF($S$928=713,PR!$AN$790,IF($S$928=714,PR!$AN$791,IF($S$928=715,PR!$AN$792,IF($S$928=716,PR!$AN$793,IF($S$928=717,PR!$AN$794,IF($S$928=718,PR!$AN$795,IF($S$928=719,PR!$AN$796,IF($S$928=720,PR!$AN$797,"-"))))))))))))))))))))))))))))))))))))))))))))))))))))))))))))</f>
        <v>0</v>
      </c>
      <c r="E938" s="602">
        <f>IF($S$928=661,PR!$AO$726,IF($S$928=662,PR!$AO$727,IF($S$928=663,PR!$AO$728,IF($S$928=664,PR!$AO$729,IF($S$928=665,PR!$AO$730,IF($S$928=666,PR!$AO$731,IF($S$928=667,PR!$AO$732,IF($S$928=668,PR!$AO$733,IF($S$928=669,PR!$AO$737,IF($S$928=670,PR!$AO$738,IF($S$928=671,PR!$AO$739,IF($S$928=672,PR!$AO$740,IF($S$928=673,PR!$AO$741,IF($S$928=674,PR!$AO$742,IF($S$928=675,PR!$AO$743,IF($S$928=676,PR!$AO$744,IF($S$928=677,PR!$AO$745,IF($S$928=678,PR!$AO$746,IF($S$928=679,PR!$AO$747,IF($S$928=680,PR!$AO$748,IF($S$928=681,PR!$AO$749,IF($S$928=682,PR!$AO$750,IF($S$928=683,PR!$AO$751,IF($S$928=684,PR!$AO$754,IF($S$928=685,PR!$AO$755,IF($S$928=686,PR!$AO$756,IF($S$928=687,PR!$AO$757,IF($S$928=688,PR!$AO$758,IF($S$928=689,PR!$AO$759,IF($S$928=690,PR!$AO$760,IF($S$928=691,PR!$AO$761,IF($S$928=692,PR!$AO$762,IF($S$928=693,PR!$AO$763,IF($S$928=694,PR!$AO$764,IF($S$928=695,PR!$AO$765,IF($S$928=696,PR!$AO$766,IF($S$928=697,PR!$AO$767,IF($S$928=698,PR!$AO$768,IF($S$928=699,PR!$AO$769,IF($S$928=700,PR!$AO$770,IF($S$928=701,PR!$AO$771,IF($S$928=702,PR!$AO$774,IF($S$928=703,PR!$AO$775,IF($S$928=704,PR!$AO$776,IF($S$928=705,PR!$AO$777,IF($S$928=706,PR!$AO$778,IF($S$928=707,PR!$AO$779,IF($S$928=708,PR!$AO$780,IF($S$928=709,PR!$AO$786,IF($S$928=710,PR!$AO$787,IF($S$928=711,PR!$AO$788,IF($S$928=712,PR!$AO$789,IF($S$928=713,PR!$AO$790,IF($S$928=714,PR!$AO$791,IF($S$928=715,PR!$AO$792,IF($S$928=716,PR!$AO$793,IF($S$928=717,PR!$AO$794,IF($S$928=718,PR!$AO$795,IF($S$928=719,PR!$AO$796,IF($S$928=720,PR!$AO$797,"-"))))))))))))))))))))))))))))))))))))))))))))))))))))))))))))</f>
        <v>0</v>
      </c>
      <c r="F938" s="602">
        <f>IF($S$928=661,PR!$AP$726,IF($S$928=662,PR!$AP$727,IF($S$928=663,PR!$AP$728,IF($S$928=664,PR!$AP$729,IF($S$928=665,PR!$AP$730,IF($S$928=666,PR!$AP$731,IF($S$928=667,PR!$AP$732,IF($S$928=668,PR!$AP$733,IF($S$928=669,PR!$AP$737,IF($S$928=670,PR!$AP$738,IF($S$928=671,PR!$AP$739,IF($S$928=672,PR!$AP$740,IF($S$928=673,PR!$AP$741,IF($S$928=674,PR!$AP$742,IF($S$928=675,PR!$AP$743,IF($S$928=676,PR!$AP$744,IF($S$928=677,PR!$AP$745,IF($S$928=678,PR!$AP$746,IF($S$928=679,PR!$AP$747,IF($S$928=680,PR!$AP$748,IF($S$928=681,PR!$AP$749,IF($S$928=682,PR!$AP$750,IF($S$928=683,PR!$AP$751,IF($S$928=684,PR!$AP$754,IF($S$928=685,PR!$AP$755,IF($S$928=686,PR!$AP$756,IF($S$928=687,PR!$AP$757,IF($S$928=688,PR!$AP$758,IF($S$928=689,PR!$AP$759,IF($S$928=690,PR!$AP$760,IF($S$928=691,PR!$AP$761,IF($S$928=692,PR!$AP$762,IF($S$928=693,PR!$AP$763,IF($S$928=694,PR!$AP$764,IF($S$928=695,PR!$AP$765,IF($S$928=696,PR!$AP$766,IF($S$928=697,PR!$AP$767,IF($S$928=698,PR!$AP$768,IF($S$928=699,PR!$AP$769,IF($S$928=700,PR!$AP$770,IF($S$928=701,PR!$AP$771,IF($S$928=702,PR!$AP$774,IF($S$928=703,PR!$AP$775,IF($S$928=704,PR!$AP$776,IF($S$928=705,PR!$AP$777,IF($S$928=706,PR!$AP$778,IF($S$928=707,PR!$AP$779,IF($S$928=708,PR!$AP$780,IF($S$928=709,PR!$AP$786,IF($S$928=710,PR!$AP$787,IF($S$928=711,PR!$AP$788,IF($S$928=712,PR!$AP$789,IF($S$928=713,PR!$AP$790,IF($S$928=714,PR!$AP$791,IF($S$928=715,PR!$AP$792,IF($S$928=716,PR!$AP$793,IF($S$928=717,PR!$AP$794,IF($S$928=718,PR!$AP$795,IF($S$928=719,PR!$AP$796,IF($S$928=720,PR!$AP$797,"-"))))))))))))))))))))))))))))))))))))))))))))))))))))))))))))</f>
        <v>0</v>
      </c>
      <c r="G938" s="602">
        <f>IF($S$928=661,PR!$AQ$726,IF($S$928=662,PR!$AQ$727,IF($S$928=663,PR!$AQ$728,IF($S$928=664,PR!$AQ$729,IF($S$928=665,PR!$AQ$730,IF($S$928=666,PR!$AQ$731,IF($S$928=667,PR!$AQ$732,IF($S$928=668,PR!$AQ$733,IF($S$928=669,PR!$AQ$737,IF($S$928=670,PR!$AQ$738,IF($S$928=671,PR!$AQ$739,IF($S$928=672,PR!$AQ$740,IF($S$928=673,PR!$AQ$741,IF($S$928=674,PR!$AQ$742,IF($S$928=675,PR!$AQ$743,IF($S$928=676,PR!$AQ$744,IF($S$928=677,PR!$AQ$745,IF($S$928=678,PR!$AQ$746,IF($S$928=679,PR!$AQ$747,IF($S$928=680,PR!$AQ$748,IF($S$928=681,PR!$AQ$749,IF($S$928=682,PR!$AQ$750,IF($S$928=683,PR!$AQ$751,IF($S$928=684,PR!$AQ$754,IF($S$928=685,PR!$AQ$755,IF($S$928=686,PR!$AQ$756,IF($S$928=687,PR!$AQ$757,IF($S$928=688,PR!$AQ$758,IF($S$928=689,PR!$AQ$759,IF($S$928=690,PR!$AQ$760,IF($S$928=691,PR!$AQ$761,IF($S$928=692,PR!$AQ$762,IF($S$928=693,PR!$AQ$763,IF($S$928=694,PR!$AQ$764,IF($S$928=695,PR!$AQ$765,IF($S$928=696,PR!$AQ$766,IF($S$928=697,PR!$AQ$767,IF($S$928=698,PR!$AQ$768,IF($S$928=699,PR!$AQ$769,IF($S$928=700,PR!$AQ$770,IF($S$928=701,PR!$AQ$771,IF($S$928=702,PR!$AQ$774,IF($S$928=703,PR!$AQ$775,IF($S$928=704,PR!$AQ$776,IF($S$928=705,PR!$AQ$777,IF($S$928=706,PR!$AQ$778,IF($S$928=707,PR!$AQ$779,IF($S$928=708,PR!$AQ$780,IF($S$928=709,PR!$AQ$786,IF($S$928=710,PR!$AQ$787,IF($S$928=711,PR!$AQ$788,IF($S$928=712,PR!$AQ$789,IF($S$928=713,PR!$AQ$790,IF($S$928=714,PR!$AQ$791,IF($S$928=715,PR!$AQ$792,IF($S$928=716,PR!$AQ$793,IF($S$928=717,PR!$AQ$794,IF($S$928=718,PR!$AQ$795,IF($S$928=719,PR!$AQ$796,IF($S$928=720,PR!$AQ$797,"-"))))))))))))))))))))))))))))))))))))))))))))))))))))))))))))</f>
        <v>0</v>
      </c>
      <c r="H938" s="602">
        <f>IF($S$928=661,PR!$AR$726,IF($S$928=662,PR!$AR$727,IF($S$928=663,PR!$AR$728,IF($S$928=664,PR!$AR$729,IF($S$928=665,PR!$AR$730,IF($S$928=666,PR!$AR$731,IF($S$928=667,PR!$AR$732,IF($S$928=668,PR!$AR$733,IF($S$928=669,PR!$AR$737,IF($S$928=670,PR!$AR$738,IF($S$928=671,PR!$AR$739,IF($S$928=672,PR!$AR$740,IF($S$928=673,PR!$AR$741,IF($S$928=674,PR!$AR$742,IF($S$928=675,PR!$AR$743,IF($S$928=676,PR!$AR$744,IF($S$928=677,PR!$AR$745,IF($S$928=678,PR!$AR$746,IF($S$928=679,PR!$AR$747,IF($S$928=680,PR!$AR$748,IF($S$928=681,PR!$AR$749,IF($S$928=682,PR!$AR$750,IF($S$928=683,PR!$AR$751,IF($S$928=684,PR!$AR$754,IF($S$928=685,PR!$AR$755,IF($S$928=686,PR!$AR$756,IF($S$928=687,PR!$AR$757,IF($S$928=688,PR!$AR$758,IF($S$928=689,PR!$AR$759,IF($S$928=690,PR!$AR$760,IF($S$928=691,PR!$AR$761,IF($S$928=692,PR!$AR$762,IF($S$928=693,PR!$AR$763,IF($S$928=694,PR!$AR$764,IF($S$928=695,PR!$AR$765,IF($S$928=696,PR!$AR$766,IF($S$928=697,PR!$AR$767,IF($S$928=698,PR!$AR$768,IF($S$928=699,PR!$AR$769,IF($S$928=700,PR!$AR$770,IF($S$928=701,PR!$AR$771,IF($S$928=702,PR!$AR$774,IF($S$928=703,PR!$AR$775,IF($S$928=704,PR!$AR$776,IF($S$928=705,PR!$AR$777,IF($S$928=706,PR!$AR$778,IF($S$928=707,PR!$AR$779,IF($S$928=708,PR!$AR$780,IF($S$928=709,PR!$AR$786,IF($S$928=710,PR!$AR$787,IF($S$928=711,PR!$AR$788,IF($S$928=712,PR!$AR$789,IF($S$928=713,PR!$AR$790,IF($S$928=714,PR!$AR$791,IF($S$928=715,PR!$AR$792,IF($S$928=716,PR!$AR$793,IF($S$928=717,PR!$AR$794,IF($S$928=718,PR!$AR$795,IF($S$928=719,PR!$AR$796,IF($S$928=720,PR!$AR$797,"-"))))))))))))))))))))))))))))))))))))))))))))))))))))))))))))</f>
        <v>0</v>
      </c>
      <c r="I938" s="602">
        <f>IF($S$928=661,PR!$AS$726,IF($S$928=662,PR!$AS$727,IF($S$928=663,PR!$AS$728,IF($S$928=664,PR!$AS$729,IF($S$928=665,PR!$AS$730,IF($S$928=666,PR!$AS$731,IF($S$928=667,PR!$AS$732,IF($S$928=668,PR!$AS$733,IF($S$928=669,PR!$AS$737,IF($S$928=670,PR!$AS$738,IF($S$928=671,PR!$AS$739,IF($S$928=672,PR!$AS$740,IF($S$928=673,PR!$AS$741,IF($S$928=674,PR!$AS$742,IF($S$928=675,PR!$AS$743,IF($S$928=676,PR!$AS$744,IF($S$928=677,PR!$AS$745,IF($S$928=678,PR!$AS$746,IF($S$928=679,PR!$AS$747,IF($S$928=680,PR!$AS$748,IF($S$928=681,PR!$AS$749,IF($S$928=682,PR!$AS$750,IF($S$928=683,PR!$AS$751,IF($S$928=684,PR!$AS$754,IF($S$928=685,PR!$AS$755,IF($S$928=686,PR!$AS$756,IF($S$928=687,PR!$AS$757,IF($S$928=688,PR!$AS$758,IF($S$928=689,PR!$AS$759,IF($S$928=690,PR!$AS$760,IF($S$928=691,PR!$AS$761,IF($S$928=692,PR!$AS$762,IF($S$928=693,PR!$AS$763,IF($S$928=694,PR!$AS$764,IF($S$928=695,PR!$AS$765,IF($S$928=696,PR!$AS$766,IF($S$928=697,PR!$AS$767,IF($S$928=698,PR!$AS$768,IF($S$928=699,PR!$AS$769,IF($S$928=700,PR!$AS$770,IF($S$928=701,PR!$AS$771,IF($S$928=702,PR!$AS$774,IF($S$928=703,PR!$AS$775,IF($S$928=704,PR!$AS$776,IF($S$928=705,PR!$AS$777,IF($S$928=706,PR!$AS$778,IF($S$928=707,PR!$AS$779,IF($S$928=708,PR!$AS$780,IF($S$928=709,PR!$AS$786,IF($S$928=710,PR!$AS$787,IF($S$928=711,PR!$AS$788,IF($S$928=712,PR!$AS$789,IF($S$928=713,PR!$AS$790,IF($S$928=714,PR!$AS$791,IF($S$928=715,PR!$AS$792,IF($S$928=716,PR!$AS$793,IF($S$928=717,PR!$AS$794,IF($S$928=718,PR!$AS$795,IF($S$928=719,PR!$AS$796,IF($S$928=720,PR!$AS$797,"-"))))))))))))))))))))))))))))))))))))))))))))))))))))))))))))</f>
        <v>0</v>
      </c>
      <c r="J938" s="602">
        <f>IF($S$928=661,PR!$AT$726,IF($S$928=662,PR!$AT$727,IF($S$928=663,PR!$AT$728,IF($S$928=664,PR!$AT$729,IF($S$928=665,PR!$AT$730,IF($S$928=666,PR!$AT$731,IF($S$928=667,PR!$AT$732,IF($S$928=668,PR!$AT$733,IF($S$928=669,PR!$AT$737,IF($S$928=670,PR!$AT$738,IF($S$928=671,PR!$AT$739,IF($S$928=672,PR!$AT$740,IF($S$928=673,PR!$AT$741,IF($S$928=674,PR!$AT$742,IF($S$928=675,PR!$AT$743,IF($S$928=676,PR!$AT$744,IF($S$928=677,PR!$AT$745,IF($S$928=678,PR!$AT$746,IF($S$928=679,PR!$AT$747,IF($S$928=680,PR!$AT$748,IF($S$928=681,PR!$AT$749,IF($S$928=682,PR!$AT$750,IF($S$928=683,PR!$AT$751,IF($S$928=684,PR!$AT$754,IF($S$928=685,PR!$AT$755,IF($S$928=686,PR!$AT$756,IF($S$928=687,PR!$AT$757,IF($S$928=688,PR!$AT$758,IF($S$928=689,PR!$AT$759,IF($S$928=690,PR!$AT$760,IF($S$928=691,PR!$AT$761,IF($S$928=692,PR!$AT$762,IF($S$928=693,PR!$AT$763,IF($S$928=694,PR!$AT$764,IF($S$928=695,PR!$AT$765,IF($S$928=696,PR!$AT$766,IF($S$928=697,PR!$AT$767,IF($S$928=698,PR!$AT$768,IF($S$928=699,PR!$AT$769,IF($S$928=700,PR!$AT$770,IF($S$928=701,PR!$AT$771,IF($S$928=702,PR!$AT$774,IF($S$928=703,PR!$AT$775,IF($S$928=704,PR!$AT$776,IF($S$928=705,PR!$AT$777,IF($S$928=706,PR!$AT$778,IF($S$928=707,PR!$AT$779,IF($S$928=708,PR!$AT$780,IF($S$928=709,PR!$AT$786,IF($S$928=710,PR!$AT$787,IF($S$928=711,PR!$AT$788,IF($S$928=712,PR!$AT$789,IF($S$928=713,PR!$AT$790,IF($S$928=714,PR!$AT$791,IF($S$928=715,PR!$AT$792,IF($S$928=716,PR!$AT$793,IF($S$928=717,PR!$AT$794,IF($S$928=718,PR!$AT$795,IF($S$928=719,PR!$AT$796,IF($S$928=720,PR!$AT$797,"-"))))))))))))))))))))))))))))))))))))))))))))))))))))))))))))</f>
        <v>0</v>
      </c>
      <c r="K938" s="602">
        <f>IF($S$928=661,PR!$AU$726,IF($S$928=662,PR!$AU$727,IF($S$928=663,PR!$AU$728,IF($S$928=664,PR!$AU$729,IF($S$928=665,PR!$AU$730,IF($S$928=666,PR!$AU$731,IF($S$928=667,PR!$AU$732,IF($S$928=668,PR!$AU$733,IF($S$928=669,PR!$AU$737,IF($S$928=670,PR!$AU$738,IF($S$928=671,PR!$AU$739,IF($S$928=672,PR!$AU$740,IF($S$928=673,PR!$AU$741,IF($S$928=674,PR!$AU$742,IF($S$928=675,PR!$AU$743,IF($S$928=676,PR!$AU$744,IF($S$928=677,PR!$AU$745,IF($S$928=678,PR!$AU$746,IF($S$928=679,PR!$AU$747,IF($S$928=680,PR!$AU$748,IF($S$928=681,PR!$AU$749,IF($S$928=682,PR!$AU$750,IF($S$928=683,PR!$AU$751,IF($S$928=684,PR!$AU$754,IF($S$928=685,PR!$AU$755,IF($S$928=686,PR!$AU$756,IF($S$928=687,PR!$AU$757,IF($S$928=688,PR!$AU$758,IF($S$928=689,PR!$AU$759,IF($S$928=690,PR!$AU$760,IF($S$928=691,PR!$AU$761,IF($S$928=692,PR!$AU$762,IF($S$928=693,PR!$AU$763,IF($S$928=694,PR!$AU$764,IF($S$928=695,PR!$AU$765,IF($S$928=696,PR!$AU$766,IF($S$928=697,PR!$AU$767,IF($S$928=698,PR!$AU$768,IF($S$928=699,PR!$AU$769,IF($S$928=700,PR!$AU$770,IF($S$928=701,PR!$AU$771,IF($S$928=702,PR!$AU$774,IF($S$928=703,PR!$AU$775,IF($S$928=704,PR!$AU$776,IF($S$928=705,PR!$AU$777,IF($S$928=706,PR!$AU$778,IF($S$928=707,PR!$AU$779,IF($S$928=708,PR!$AU$780,IF($S$928=709,PR!$AU$786,IF($S$928=710,PR!$AU$787,IF($S$928=711,PR!$AU$788,IF($S$928=712,PR!$AU$789,IF($S$928=713,PR!$AU$790,IF($S$928=714,PR!$AU$791,IF($S$928=715,PR!$AU$792,IF($S$928=716,PR!$AU$793,IF($S$928=717,PR!$AU$794,IF($S$928=718,PR!$AU$795,IF($S$928=719,PR!$AU$796,IF($S$928=720,PR!$AU$797,"-"))))))))))))))))))))))))))))))))))))))))))))))))))))))))))))</f>
        <v>0</v>
      </c>
      <c r="L938" s="602">
        <f>IF($S$928=661,PR!$AV$726,IF($S$928=662,PR!$AV$727,IF($S$928=663,PR!$AV$728,IF($S$928=664,PR!$AV$729,IF($S$928=665,PR!$AV$730,IF($S$928=666,PR!$AV$731,IF($S$928=667,PR!$AV$732,IF($S$928=668,PR!$AV$733,IF($S$928=669,PR!$AV$737,IF($S$928=670,PR!$AV$738,IF($S$928=671,PR!$AV$739,IF($S$928=672,PR!$AV$740,IF($S$928=673,PR!$AV$741,IF($S$928=674,PR!$AV$742,IF($S$928=675,PR!$AV$743,IF($S$928=676,PR!$AV$744,IF($S$928=677,PR!$AV$745,IF($S$928=678,PR!$AV$746,IF($S$928=679,PR!$AV$747,IF($S$928=680,PR!$AV$748,IF($S$928=681,PR!$AV$749,IF($S$928=682,PR!$AV$750,IF($S$928=683,PR!$AV$751,IF($S$928=684,PR!$AV$754,IF($S$928=685,PR!$AV$755,IF($S$928=686,PR!$AV$756,IF($S$928=687,PR!$AV$757,IF($S$928=688,PR!$AV$758,IF($S$928=689,PR!$AV$759,IF($S$928=690,PR!$AV$760,IF($S$928=691,PR!$AV$761,IF($S$928=692,PR!$AV$762,IF($S$928=693,PR!$AV$763,IF($S$928=694,PR!$AV$764,IF($S$928=695,PR!$AV$765,IF($S$928=696,PR!$AV$766,IF($S$928=697,PR!$AV$767,IF($S$928=698,PR!$AV$768,IF($S$928=699,PR!$AV$769,IF($S$928=700,PR!$AV$770,IF($S$928=701,PR!$AV$771,IF($S$928=702,PR!$AV$774,IF($S$928=703,PR!$AV$775,IF($S$928=704,PR!$AV$776,IF($S$928=705,PR!$AV$777,IF($S$928=706,PR!$AV$778,IF($S$928=707,PR!$AV$779,IF($S$928=708,PR!$AV$780,IF($S$928=709,PR!$AV$786,IF($S$928=710,PR!$AV$787,IF($S$928=711,PR!$AV$788,IF($S$928=712,PR!$AV$789,IF($S$928=713,PR!$AV$790,IF($S$928=714,PR!$AV$791,IF($S$928=715,PR!$AV$792,IF($S$928=716,PR!$AV$793,IF($S$928=717,PR!$AV$794,IF($S$928=718,PR!$AV$795,IF($S$928=719,PR!$AV$796,IF($S$928=720,PR!$AV$797,"-"))))))))))))))))))))))))))))))))))))))))))))))))))))))))))))</f>
        <v>0</v>
      </c>
      <c r="M938" s="602">
        <f>IF($S$928=661,PR!$AW$726,IF($S$928=662,PR!$AW$727,IF($S$928=663,PR!$AW$728,IF($S$928=664,PR!$AW$729,IF($S$928=665,PR!$AW$730,IF($S$928=666,PR!$AW$731,IF($S$928=667,PR!$AW$732,IF($S$928=668,PR!$AW$733,IF($S$928=669,PR!$AW$737,IF($S$928=670,PR!$AW$738,IF($S$928=671,PR!$AW$739,IF($S$928=672,PR!$AW$740,IF($S$928=673,PR!$AW$741,IF($S$928=674,PR!$AW$742,IF($S$928=675,PR!$AW$743,IF($S$928=676,PR!$AW$744,IF($S$928=677,PR!$AW$745,IF($S$928=678,PR!$AW$746,IF($S$928=679,PR!$AW$747,IF($S$928=680,PR!$AW$748,IF($S$928=681,PR!$AW$749,IF($S$928=682,PR!$AW$750,IF($S$928=683,PR!$AW$751,IF($S$928=684,PR!$AW$754,IF($S$928=685,PR!$AW$755,IF($S$928=686,PR!$AW$756,IF($S$928=687,PR!$AW$757,IF($S$928=688,PR!$AW$758,IF($S$928=689,PR!$AW$759,IF($S$928=690,PR!$AW$760,IF($S$928=691,PR!$AW$761,IF($S$928=692,PR!$AW$762,IF($S$928=693,PR!$AW$763,IF($S$928=694,PR!$AW$764,IF($S$928=695,PR!$AW$765,IF($S$928=696,PR!$AW$766,IF($S$928=697,PR!$AW$767,IF($S$928=698,PR!$AW$768,IF($S$928=699,PR!$AW$769,IF($S$928=700,PR!$AW$770,IF($S$928=701,PR!$AW$771,IF($S$928=702,PR!$AW$774,IF($S$928=703,PR!$AW$775,IF($S$928=704,PR!$AW$776,IF($S$928=705,PR!$AW$777,IF($S$928=706,PR!$AW$778,IF($S$928=707,PR!$AW$779,IF($S$928=708,PR!$AW$780,IF($S$928=709,PR!$AW$786,IF($S$928=710,PR!$AW$787,IF($S$928=711,PR!$AW$788,IF($S$928=712,PR!$AW$789,IF($S$928=713,PR!$AW$790,IF($S$928=714,PR!$AW$791,IF($S$928=715,PR!$AW$792,IF($S$928=716,PR!$AW$793,IF($S$928=717,PR!$AW$794,IF($S$928=718,PR!$AW$795,IF($S$928=719,PR!$AW$796,IF($S$928=720,PR!$AW$797,"-"))))))))))))))))))))))))))))))))))))))))))))))))))))))))))))</f>
        <v>0</v>
      </c>
      <c r="N938" s="602">
        <f>IF($S$928=661,PR!$AX$726,IF($S$928=662,PR!$AX$727,IF($S$928=663,PR!$AX$728,IF($S$928=664,PR!$AX$729,IF($S$928=665,PR!$AX$730,IF($S$928=666,PR!$AX$731,IF($S$928=667,PR!$AX$732,IF($S$928=668,PR!$AX$733,IF($S$928=669,PR!$AX$737,IF($S$928=670,PR!$AX$738,IF($S$928=671,PR!$AX$739,IF($S$928=672,PR!$AX$740,IF($S$928=673,PR!$AX$741,IF($S$928=674,PR!$AX$742,IF($S$928=675,PR!$AX$743,IF($S$928=676,PR!$AX$744,IF($S$928=677,PR!$AX$745,IF($S$928=678,PR!$AX$746,IF($S$928=679,PR!$AX$747,IF($S$928=680,PR!$AX$748,IF($S$928=681,PR!$AX$749,IF($S$928=682,PR!$AX$750,IF($S$928=683,PR!$AX$751,IF($S$928=684,PR!$AX$754,IF($S$928=685,PR!$AX$755,IF($S$928=686,PR!$AX$756,IF($S$928=687,PR!$AX$757,IF($S$928=688,PR!$AX$758,IF($S$928=689,PR!$AX$759,IF($S$928=690,PR!$AX$760,IF($S$928=691,PR!$AX$761,IF($S$928=692,PR!$AX$762,IF($S$928=693,PR!$AX$763,IF($S$928=694,PR!$AX$764,IF($S$928=695,PR!$AX$765,IF($S$928=696,PR!$AX$766,IF($S$928=697,PR!$AX$767,IF($S$928=698,PR!$AX$768,IF($S$928=699,PR!$AX$769,IF($S$928=700,PR!$AX$770,IF($S$928=701,PR!$AX$771,IF($S$928=702,PR!$AX$774,IF($S$928=703,PR!$AX$775,IF($S$928=704,PR!$AX$776,IF($S$928=705,PR!$AX$777,IF($S$928=706,PR!$AX$778,IF($S$928=707,PR!$AX$779,IF($S$928=708,PR!$AX$780,IF($S$928=709,PR!$AX$786,IF($S$928=710,PR!$AX$787,IF($S$928=711,PR!$AX$788,IF($S$928=712,PR!$AX$789,IF($S$928=713,PR!$AX$790,IF($S$928=714,PR!$AX$791,IF($S$928=715,PR!$AX$792,IF($S$928=716,PR!$AX$793,IF($S$928=717,PR!$AX$794,IF($S$928=718,PR!$AX$795,IF($S$928=719,PR!$AX$796,IF($S$928=720,PR!$AX$797,"-"))))))))))))))))))))))))))))))))))))))))))))))))))))))))))))</f>
        <v>0</v>
      </c>
      <c r="O938" s="602">
        <f>IF($S$928=661,PR!$AY$726,IF($S$928=662,PR!$AY$727,IF($S$928=663,PR!$AY$728,IF($S$928=664,PR!$AY$729,IF($S$928=665,PR!$AY$730,IF($S$928=666,PR!$AY$731,IF($S$928=667,PR!$AY$732,IF($S$928=668,PR!$AY$733,IF($S$928=669,PR!$AY$737,IF($S$928=670,PR!$AY$738,IF($S$928=671,PR!$AY$739,IF($S$928=672,PR!$AY$740,IF($S$928=673,PR!$AY$741,IF($S$928=674,PR!$AY$742,IF($S$928=675,PR!$AY$743,IF($S$928=676,PR!$AY$744,IF($S$928=677,PR!$AY$745,IF($S$928=678,PR!$AY$746,IF($S$928=679,PR!$AY$747,IF($S$928=680,PR!$AY$748,IF($S$928=681,PR!$AY$749,IF($S$928=682,PR!$AY$750,IF($S$928=683,PR!$AY$751,IF($S$928=684,PR!$AY$754,IF($S$928=685,PR!$AY$755,IF($S$928=686,PR!$AY$756,IF($S$928=687,PR!$AY$757,IF($S$928=688,PR!$AY$758,IF($S$928=689,PR!$AY$759,IF($S$928=690,PR!$AY$760,IF($S$928=691,PR!$AY$761,IF($S$928=692,PR!$AY$762,IF($S$928=693,PR!$AY$763,IF($S$928=694,PR!$AY$764,IF($S$928=695,PR!$AY$765,IF($S$928=696,PR!$AY$766,IF($S$928=697,PR!$AY$767,IF($S$928=698,PR!$AY$768,IF($S$928=699,PR!$AY$769,IF($S$928=700,PR!$AY$770,IF($S$928=701,PR!$AY$771,IF($S$928=702,PR!$AY$774,IF($S$928=703,PR!$AY$775,IF($S$928=704,PR!$AY$776,IF($S$928=705,PR!$AY$777,IF($S$928=706,PR!$AY$778,IF($S$928=707,PR!$AY$779,IF($S$928=708,PR!$AY$780,IF($S$928=709,PR!$AY$786,IF($S$928=710,PR!$AY$787,IF($S$928=711,PR!$AY$788,IF($S$928=712,PR!$AY$789,IF($S$928=713,PR!$AY$790,IF($S$928=714,PR!$AY$791,IF($S$928=715,PR!$AY$792,IF($S$928=716,PR!$AY$793,IF($S$928=717,PR!$AY$794,IF($S$928=718,PR!$AY$795,IF($S$928=719,PR!$AY$796,IF($S$928=720,PR!$AY$797,"-"))))))))))))))))))))))))))))))))))))))))))))))))))))))))))))</f>
        <v>0</v>
      </c>
      <c r="P938" s="602">
        <f>IF($S$928=661,PR!$AZ$726,IF($S$928=662,PR!$AZ$727,IF($S$928=663,PR!$AZ$728,IF($S$928=664,PR!$AZ$729,IF($S$928=665,PR!$AZ$730,IF($S$928=666,PR!$AZ$731,IF($S$928=667,PR!$AZ$732,IF($S$928=668,PR!$AZ$733,IF($S$928=669,PR!$AZ$737,IF($S$928=670,PR!$AZ$738,IF($S$928=671,PR!$AZ$739,IF($S$928=672,PR!$AZ$740,IF($S$928=673,PR!$AZ$741,IF($S$928=674,PR!$AZ$742,IF($S$928=675,PR!$AZ$743,IF($S$928=676,PR!$AZ$744,IF($S$928=677,PR!$AZ$745,IF($S$928=678,PR!$AZ$746,IF($S$928=679,PR!$AZ$747,IF($S$928=680,PR!$AZ$748,IF($S$928=681,PR!$AZ$749,IF($S$928=682,PR!$AZ$750,IF($S$928=683,PR!$AZ$751,IF($S$928=684,PR!$AZ$754,IF($S$928=685,PR!$AZ$755,IF($S$928=686,PR!$AZ$756,IF($S$928=687,PR!$AZ$757,IF($S$928=688,PR!$AZ$758,IF($S$928=689,PR!$AZ$759,IF($S$928=690,PR!$AZ$760,IF($S$928=691,PR!$AZ$761,IF($S$928=692,PR!$AZ$762,IF($S$928=693,PR!$AZ$763,IF($S$928=694,PR!$AZ$764,IF($S$928=695,PR!$AZ$765,IF($S$928=696,PR!$AZ$766,IF($S$928=697,PR!$AZ$767,IF($S$928=698,PR!$AZ$768,IF($S$928=699,PR!$AZ$769,IF($S$928=700,PR!$AZ$770,IF($S$928=701,PR!$AZ$771,IF($S$928=702,PR!$AZ$774,IF($S$928=703,PR!$AZ$775,IF($S$928=704,PR!$AZ$776,IF($S$928=705,PR!$AZ$777,IF($S$928=706,PR!$AZ$778,IF($S$928=707,PR!$AZ$779,IF($S$928=708,PR!$AZ$780,IF($S$928=709,PR!$AZ$786,IF($S$928=710,PR!$AZ$787,IF($S$928=711,PR!$AZ$788,IF($S$928=712,PR!$AZ$789,IF($S$928=713,PR!$AZ$790,IF($S$928=714,PR!$AZ$791,IF($S$928=715,PR!$AZ$792,IF($S$928=716,PR!$AZ$793,IF($S$928=717,PR!$AZ$794,IF($S$928=718,PR!$AZ$795,IF($S$928=719,PR!$AZ$796,IF($S$928=720,PR!$AZ$797,"-"))))))))))))))))))))))))))))))))))))))))))))))))))))))))))))</f>
        <v>0</v>
      </c>
      <c r="Q938" s="602">
        <f>IF($S$928=661,PR!$BA$726,IF($S$928=662,PR!$BA$727,IF($S$928=663,PR!$BA$728,IF($S$928=664,PR!$BA$729,IF($S$928=665,PR!$BA$730,IF($S$928=666,PR!$BA$731,IF($S$928=667,PR!$BA$732,IF($S$928=668,PR!$BA$733,IF($S$928=669,PR!$BA$737,IF($S$928=670,PR!$BA$738,IF($S$928=671,PR!$BA$739,IF($S$928=672,PR!$BA$740,IF($S$928=673,PR!$BA$741,IF($S$928=674,PR!$BA$742,IF($S$928=675,PR!$BA$743,IF($S$928=676,PR!$BA$744,IF($S$928=677,PR!$BA$745,IF($S$928=678,PR!$BA$746,IF($S$928=679,PR!$BA$747,IF($S$928=680,PR!$BA$748,IF($S$928=681,PR!$BA$749,IF($S$928=682,PR!$BA$750,IF($S$928=683,PR!$BA$751,IF($S$928=684,PR!$BA$754,IF($S$928=685,PR!$BA$755,IF($S$928=686,PR!$BA$756,IF($S$928=687,PR!$BA$757,IF($S$928=688,PR!$BA$758,IF($S$928=689,PR!$BA$759,IF($S$928=690,PR!$BA$760,IF($S$928=691,PR!$BA$761,IF($S$928=692,PR!$BA$762,IF($S$928=693,PR!$BA$763,IF($S$928=694,PR!$BA$764,IF($S$928=695,PR!$BA$765,IF($S$928=696,PR!$BA$766,IF($S$928=697,PR!$BA$767,IF($S$928=698,PR!$BA$768,IF($S$928=699,PR!$BA$769,IF($S$928=700,PR!$BA$770,IF($S$928=701,PR!$BA$771,IF($S$928=702,PR!$BA$774,IF($S$928=703,PR!$BA$775,IF($S$928=704,PR!$BA$776,IF($S$928=705,PR!$BA$777,IF($S$928=706,PR!$BA$778,IF($S$928=707,PR!$BA$779,IF($S$928=708,PR!$BA$780,IF($S$928=709,PR!$BA$786,IF($S$928=710,PR!$BA$787,IF($S$928=711,PR!$BA$788,IF($S$928=712,PR!$BA$789,IF($S$928=713,PR!$BA$790,IF($S$928=714,PR!$BA$791,IF($S$928=715,PR!$BA$792,IF($S$928=716,PR!$BA$793,IF($S$928=717,PR!$BA$794,IF($S$928=718,PR!$BA$795,IF($S$928=719,PR!$BA$796,IF($S$928=720,PR!$BA$797,"-"))))))))))))))))))))))))))))))))))))))))))))))))))))))))))))</f>
        <v>0</v>
      </c>
      <c r="R938" s="602">
        <f>IF($S$928=661,PR!$BB$726,IF($S$928=662,PR!$BB$727,IF($S$928=663,PR!$BB$728,IF($S$928=664,PR!$BB$729,IF($S$928=665,PR!$BB$730,IF($S$928=666,PR!$BB$731,IF($S$928=667,PR!$BB$732,IF($S$928=668,PR!$BB$733,IF($S$928=669,PR!$BB$737,IF($S$928=670,PR!$BB$738,IF($S$928=671,PR!$BB$739,IF($S$928=672,PR!$BB$740,IF($S$928=673,PR!$BB$741,IF($S$928=674,PR!$BB$742,IF($S$928=675,PR!$BB$743,IF($S$928=676,PR!$BB$744,IF($S$928=677,PR!$BB$745,IF($S$928=678,PR!$BB$746,IF($S$928=679,PR!$BB$747,IF($S$928=680,PR!$BB$748,IF($S$928=681,PR!$BB$749,IF($S$928=682,PR!$BB$750,IF($S$928=683,PR!$BB$751,IF($S$928=684,PR!$BB$754,IF($S$928=685,PR!$BB$755,IF($S$928=686,PR!$BB$756,IF($S$928=687,PR!$BB$757,IF($S$928=688,PR!$BB$758,IF($S$928=689,PR!$BB$759,IF($S$928=690,PR!$BB$760,IF($S$928=691,PR!$BB$761,IF($S$928=692,PR!$BB$762,IF($S$928=693,PR!$BB$763,IF($S$928=694,PR!$BB$764,IF($S$928=695,PR!$BB$765,IF($S$928=696,PR!$BB$766,IF($S$928=697,PR!$BB$767,IF($S$928=698,PR!$BB$768,IF($S$928=699,PR!$BB$769,IF($S$928=700,PR!$BB$770,IF($S$928=701,PR!$BB$771,IF($S$928=702,PR!$BB$774,IF($S$928=703,PR!$BB$775,IF($S$928=704,PR!$BB$776,IF($S$928=705,PR!$BB$777,IF($S$928=706,PR!$BB$778,IF($S$928=707,PR!$BB$779,IF($S$928=708,PR!$BB$780,IF($S$928=709,PR!$BB$786,IF($S$928=710,PR!$BB$787,IF($S$928=711,PR!$BB$788,IF($S$928=712,PR!$BB$789,IF($S$928=713,PR!$BB$790,IF($S$928=714,PR!$BB$791,IF($S$928=715,PR!$BB$792,IF($S$928=716,PR!$BB$793,IF($S$928=717,PR!$BB$794,IF($S$928=718,PR!$BB$795,IF($S$928=719,PR!$BB$796,IF($S$928=720,PR!$BB$797,"-"))))))))))))))))))))))))))))))))))))))))))))))))))))))))))))</f>
        <v>0</v>
      </c>
      <c r="S938" s="602">
        <f>IF($S$928=661,PR!$BC$726,IF($S$928=662,PR!$BC$727,IF($S$928=663,PR!$BC$728,IF($S$928=664,PR!$BC$729,IF($S$928=665,PR!$BC$730,IF($S$928=666,PR!$BC$731,IF($S$928=667,PR!$BC$732,IF($S$928=668,PR!$BC$733,IF($S$928=669,PR!$BC$737,IF($S$928=670,PR!$BC$738,IF($S$928=671,PR!$BC$739,IF($S$928=672,PR!$BC$740,IF($S$928=673,PR!$BC$741,IF($S$928=674,PR!$BC$742,IF($S$928=675,PR!$BC$743,IF($S$928=676,PR!$BC$744,IF($S$928=677,PR!$BC$745,IF($S$928=678,PR!$BC$746,IF($S$928=679,PR!$BC$747,IF($S$928=680,PR!$BC$748,IF($S$928=681,PR!$BC$749,IF($S$928=682,PR!$BC$750,IF($S$928=683,PR!$BC$751,IF($S$928=684,PR!$BC$754,IF($S$928=685,PR!$BC$755,IF($S$928=686,PR!$BC$756,IF($S$928=687,PR!$BC$757,IF($S$928=688,PR!$BC$758,IF($S$928=689,PR!$BC$759,IF($S$928=690,PR!$BC$760,IF($S$928=691,PR!$BC$761,IF($S$928=692,PR!$BC$762,IF($S$928=693,PR!$BC$763,IF($S$928=694,PR!$BC$764,IF($S$928=695,PR!$BC$765,IF($S$928=696,PR!$BC$766,IF($S$928=697,PR!$BC$767,IF($S$928=698,PR!$BC$768,IF($S$928=699,PR!$BC$769,IF($S$928=700,PR!$BC$770,IF($S$928=701,PR!$BC$771,IF($S$928=702,PR!$BC$774,IF($S$928=703,PR!$BC$775,IF($S$928=704,PR!$BC$776,IF($S$928=705,PR!$BC$777,IF($S$928=706,PR!$BC$778,IF($S$928=707,PR!$BC$779,IF($S$928=708,PR!$BC$780,IF($S$928=709,PR!$BC$786,IF($S$928=710,PR!$BC$787,IF($S$928=711,PR!$BC$788,IF($S$928=712,PR!$BC$789,IF($S$928=713,PR!$BC$790,IF($S$928=714,PR!$BC$791,IF($S$928=715,PR!$BC$792,IF($S$928=716,PR!$BC$793,IF($S$928=717,PR!$BC$794,IF($S$928=718,PR!$BC$795,IF($S$928=719,PR!$BC$796,IF($S$928=720,PR!$BC$797,"-"))))))))))))))))))))))))))))))))))))))))))))))))))))))))))))</f>
        <v>0</v>
      </c>
      <c r="T938" s="580"/>
      <c r="U938" s="580"/>
      <c r="V938" s="32"/>
      <c r="W938" s="32"/>
      <c r="X938" s="32"/>
    </row>
    <row r="939" spans="2:24" ht="8.25" customHeight="1" x14ac:dyDescent="0.25">
      <c r="B939" s="580"/>
      <c r="C939" s="603"/>
      <c r="D939" s="604"/>
      <c r="E939" s="604"/>
      <c r="F939" s="604"/>
      <c r="G939" s="604"/>
      <c r="H939" s="604"/>
      <c r="I939" s="604"/>
      <c r="J939" s="604"/>
      <c r="K939" s="604"/>
      <c r="L939" s="604"/>
      <c r="M939" s="604"/>
      <c r="N939" s="604"/>
      <c r="O939" s="604"/>
      <c r="P939" s="604"/>
      <c r="Q939" s="604"/>
      <c r="R939" s="606"/>
      <c r="S939" s="606"/>
      <c r="T939" s="580"/>
      <c r="U939" s="580"/>
      <c r="V939" s="32"/>
      <c r="W939" s="32"/>
      <c r="X939" s="32"/>
    </row>
    <row r="940" spans="2:24" ht="15.75" thickBot="1" x14ac:dyDescent="0.3">
      <c r="B940" s="580"/>
      <c r="C940" s="600" t="str">
        <f>N!$C$55</f>
        <v>SAM</v>
      </c>
      <c r="D940" s="600" t="str">
        <f>N!$C$56</f>
        <v>SEAGREEN</v>
      </c>
      <c r="E940" s="600" t="str">
        <f>N!$C$57</f>
        <v>SKG</v>
      </c>
      <c r="F940" s="600" t="str">
        <f>N!$C$58</f>
        <v>TAH</v>
      </c>
      <c r="G940" s="600" t="str">
        <f>N!$C$59</f>
        <v>TAYLEK</v>
      </c>
      <c r="H940" s="600" t="str">
        <f>N!$C$60</f>
        <v>TEMITA</v>
      </c>
      <c r="I940" s="600" t="str">
        <f>N!$C$61</f>
        <v>THL</v>
      </c>
      <c r="J940" s="600" t="str">
        <f>N!$C$62</f>
        <v>UBASTIC</v>
      </c>
      <c r="K940" s="600" t="str">
        <f>N!$C$63</f>
        <v>UNION</v>
      </c>
      <c r="L940" s="600" t="str">
        <f>N!$C$64</f>
        <v>UNIQUE</v>
      </c>
      <c r="M940" s="600" t="str">
        <f>N!$C$65</f>
        <v>VIXA</v>
      </c>
      <c r="N940" s="600" t="str">
        <f>N!$C$66</f>
        <v>WWCV</v>
      </c>
      <c r="O940" s="600" t="str">
        <f>N!$C$67</f>
        <v>ZOLON</v>
      </c>
      <c r="P940" s="600" t="e">
        <f>N!#REF!</f>
        <v>#REF!</v>
      </c>
      <c r="Q940" s="600" t="e">
        <f>N!#REF!</f>
        <v>#REF!</v>
      </c>
      <c r="R940" s="600" t="e">
        <f>N!#REF!</f>
        <v>#REF!</v>
      </c>
      <c r="S940" s="604"/>
      <c r="T940" s="580"/>
      <c r="U940" s="580"/>
      <c r="V940" s="32"/>
      <c r="W940" s="32"/>
      <c r="X940" s="32"/>
    </row>
    <row r="941" spans="2:24" ht="15.75" thickBot="1" x14ac:dyDescent="0.3">
      <c r="B941" s="580"/>
      <c r="C941" s="602">
        <f>IF($S$928=661,PR!$BD$726,IF($S$928=662,PR!$BD$727,IF($S$928=663,PR!$BD$728,IF($S$928=664,PR!$BD$729,IF($S$928=665,PR!$BD$730,IF($S$928=666,PR!$BD$731,IF($S$928=667,PR!$BD$732,IF($S$928=668,PR!$BD$733,IF($S$928=669,PR!$BD$737,IF($S$928=670,PR!$BD$738,IF($S$928=671,PR!$BD$739,IF($S$928=672,PR!$BD$740,IF($S$928=673,PR!$BD$741,IF($S$928=674,PR!$BD$742,IF($S$928=675,PR!$BD$743,IF($S$928=676,PR!$BD$744,IF($S$928=677,PR!$BD$745,IF($S$928=678,PR!$BD$746,IF($S$928=679,PR!$BD$747,IF($S$928=680,PR!$BD$748,IF($S$928=681,PR!$BD$749,IF($S$928=682,PR!$BD$750,IF($S$928=683,PR!$BD$751,IF($S$928=684,PR!$BD$754,IF($S$928=685,PR!$BD$755,IF($S$928=686,PR!$BD$756,IF($S$928=687,PR!$BD$757,IF($S$928=688,PR!$BD$758,IF($S$928=689,PR!$BD$759,IF($S$928=690,PR!$BD$760,IF($S$928=691,PR!$BD$761,IF($S$928=692,PR!$BD$762,IF($S$928=693,PR!$BD$763,IF($S$928=694,PR!$BD$764,IF($S$928=695,PR!$BD$765,IF($S$928=696,PR!$BD$766,IF($S$928=697,PR!$BD$767,IF($S$928=698,PR!$BD$768,IF($S$928=699,PR!$BD$769,IF($S$928=700,PR!$BD$770,IF($S$928=701,PR!$BD$771,IF($S$928=702,PR!$BD$774,IF($S$928=703,PR!$BD$775,IF($S$928=704,PR!$BD$776,IF($S$928=705,PR!$BD$777,IF($S$928=706,PR!$BD$778,IF($S$928=707,PR!$BD$779,IF($S$928=708,PR!$BD$780,IF($S$928=709,PR!$BD$786,IF($S$928=710,PR!$BD$787,IF($S$928=711,PR!$BD$788,IF($S$928=712,PR!$BD$789,IF($S$928=713,PR!$BD$790,IF($S$928=714,PR!$BD$791,IF($S$928=715,PR!$BD$792,IF($S$928=716,PR!$BD$793,IF($S$928=717,PR!$BD$794,IF($S$928=718,PR!$BD$795,IF($S$928=719,PR!$BD$796,IF($S$928=720,PR!$BD$797,"-"))))))))))))))))))))))))))))))))))))))))))))))))))))))))))))</f>
        <v>0</v>
      </c>
      <c r="D941" s="602">
        <f>IF($S$928=661,PR!$BE$726,IF($S$928=662,PR!$BE$727,IF($S$928=663,PR!$BE$728,IF($S$928=664,PR!$BE$729,IF($S$928=665,PR!$BE$730,IF($S$928=666,PR!$BE$731,IF($S$928=667,PR!$BE$732,IF($S$928=668,PR!$BE$733,IF($S$928=669,PR!$BE$737,IF($S$928=670,PR!$BE$738,IF($S$928=671,PR!$BE$739,IF($S$928=672,PR!$BE$740,IF($S$928=673,PR!$BE$741,IF($S$928=674,PR!$BE$742,IF($S$928=675,PR!$BE$743,IF($S$928=676,PR!$BE$744,IF($S$928=677,PR!$BE$745,IF($S$928=678,PR!$BE$746,IF($S$928=679,PR!$BE$747,IF($S$928=680,PR!$BE$748,IF($S$928=681,PR!$BE$749,IF($S$928=682,PR!$BE$750,IF($S$928=683,PR!$BE$751,IF($S$928=684,PR!$BE$754,IF($S$928=685,PR!$BE$755,IF($S$928=686,PR!$BE$756,IF($S$928=687,PR!$BE$757,IF($S$928=688,PR!$BE$758,IF($S$928=689,PR!$BE$759,IF($S$928=690,PR!$BE$760,IF($S$928=691,PR!$BE$761,IF($S$928=692,PR!$BE$762,IF($S$928=693,PR!$BE$763,IF($S$928=694,PR!$BE$764,IF($S$928=695,PR!$BE$765,IF($S$928=696,PR!$BE$766,IF($S$928=697,PR!$BE$767,IF($S$928=698,PR!$BE$768,IF($S$928=699,PR!$BE$769,IF($S$928=700,PR!$BE$770,IF($S$928=701,PR!$BE$771,IF($S$928=702,PR!$BE$774,IF($S$928=703,PR!$BE$775,IF($S$928=704,PR!$BE$776,IF($S$928=705,PR!$BE$777,IF($S$928=706,PR!$BE$778,IF($S$928=707,PR!$BE$779,IF($S$928=708,PR!$BE$780,IF($S$928=709,PR!$BE$786,IF($S$928=710,PR!$BE$787,IF($S$928=711,PR!$BE$788,IF($S$928=712,PR!$BE$789,IF($S$928=713,PR!$BE$790,IF($S$928=714,PR!$BE$791,IF($S$928=715,PR!$BE$792,IF($S$928=716,PR!$BE$793,IF($S$928=717,PR!$BE$794,IF($S$928=718,PR!$BE$795,IF($S$928=719,PR!$BE$796,IF($S$928=720,PR!$BE$797,"-"))))))))))))))))))))))))))))))))))))))))))))))))))))))))))))</f>
        <v>0</v>
      </c>
      <c r="E941" s="602">
        <f>IF($S$928=661,PR!$BF$726,IF($S$928=662,PR!$BF$727,IF($S$928=663,PR!$BF$728,IF($S$928=664,PR!$BF$729,IF($S$928=665,PR!$BF$730,IF($S$928=666,PR!$BF$731,IF($S$928=667,PR!$BF$732,IF($S$928=668,PR!$BF$733,IF($S$928=669,PR!$BF$737,IF($S$928=670,PR!$BF$738,IF($S$928=671,PR!$BF$739,IF($S$928=672,PR!$BF$740,IF($S$928=673,PR!$BF$741,IF($S$928=674,PR!$BF$742,IF($S$928=675,PR!$BF$743,IF($S$928=676,PR!$BF$744,IF($S$928=677,PR!$BF$745,IF($S$928=678,PR!$BF$746,IF($S$928=679,PR!$BF$747,IF($S$928=680,PR!$BF$748,IF($S$928=681,PR!$BF$749,IF($S$928=682,PR!$BF$750,IF($S$928=683,PR!$BF$751,IF($S$928=684,PR!$BF$754,IF($S$928=685,PR!$BF$755,IF($S$928=686,PR!$BF$756,IF($S$928=687,PR!$BF$757,IF($S$928=688,PR!$BF$758,IF($S$928=689,PR!$BF$759,IF($S$928=690,PR!$BF$760,IF($S$928=691,PR!$BF$761,IF($S$928=692,PR!$BF$762,IF($S$928=693,PR!$BF$763,IF($S$928=694,PR!$BF$764,IF($S$928=695,PR!$BF$765,IF($S$928=696,PR!$BF$766,IF($S$928=697,PR!$BF$767,IF($S$928=698,PR!$BF$768,IF($S$928=699,PR!$BF$769,IF($S$928=700,PR!$BF$770,IF($S$928=701,PR!$BF$771,IF($S$928=702,PR!$BF$774,IF($S$928=703,PR!$BF$775,IF($S$928=704,PR!$BF$776,IF($S$928=705,PR!$BF$777,IF($S$928=706,PR!$BF$778,IF($S$928=707,PR!$BF$779,IF($S$928=708,PR!$BF$780,IF($S$928=709,PR!$BF$786,IF($S$928=710,PR!$BF$787,IF($S$928=711,PR!$BF$788,IF($S$928=712,PR!$BF$789,IF($S$928=713,PR!$BF$790,IF($S$928=714,PR!$BF$791,IF($S$928=715,PR!$BF$792,IF($S$928=716,PR!$BF$793,IF($S$928=717,PR!$BF$794,IF($S$928=718,PR!$BF$795,IF($S$928=719,PR!$BF$796,IF($S$928=720,PR!$BF$797,"-"))))))))))))))))))))))))))))))))))))))))))))))))))))))))))))</f>
        <v>0</v>
      </c>
      <c r="F941" s="602">
        <f>IF($S$928=661,PR!$BG$726,IF($S$928=662,PR!$BG$727,IF($S$928=663,PR!$BG$728,IF($S$928=664,PR!$BG$729,IF($S$928=665,PR!$BG$730,IF($S$928=666,PR!$BG$731,IF($S$928=667,PR!$BG$732,IF($S$928=668,PR!$BG$733,IF($S$928=669,PR!$BG$737,IF($S$928=670,PR!$BG$738,IF($S$928=671,PR!$BG$739,IF($S$928=672,PR!$BG$740,IF($S$928=673,PR!$BG$741,IF($S$928=674,PR!$BG$742,IF($S$928=675,PR!$BG$743,IF($S$928=676,PR!$BG$744,IF($S$928=677,PR!$BG$745,IF($S$928=678,PR!$BG$746,IF($S$928=679,PR!$BG$747,IF($S$928=680,PR!$BG$748,IF($S$928=681,PR!$BG$749,IF($S$928=682,PR!$BG$750,IF($S$928=683,PR!$BG$751,IF($S$928=684,PR!$BG$754,IF($S$928=685,PR!$BG$755,IF($S$928=686,PR!$BG$756,IF($S$928=687,PR!$BG$757,IF($S$928=688,PR!$BG$758,IF($S$928=689,PR!$BG$759,IF($S$928=690,PR!$BG$760,IF($S$928=691,PR!$BG$761,IF($S$928=692,PR!$BG$762,IF($S$928=693,PR!$BG$763,IF($S$928=694,PR!$BG$764,IF($S$928=695,PR!$BG$765,IF($S$928=696,PR!$BG$766,IF($S$928=697,PR!$BG$767,IF($S$928=698,PR!$BG$768,IF($S$928=699,PR!$BG$769,IF($S$928=700,PR!$BG$770,IF($S$928=701,PR!$BG$771,IF($S$928=702,PR!$BG$774,IF($S$928=703,PR!$BG$775,IF($S$928=704,PR!$BG$776,IF($S$928=705,PR!$BG$777,IF($S$928=706,PR!$BG$778,IF($S$928=707,PR!$BG$779,IF($S$928=708,PR!$BG$780,IF($S$928=709,PR!$BG$786,IF($S$928=710,PR!$BG$787,IF($S$928=711,PR!$BG$788,IF($S$928=712,PR!$BG$789,IF($S$928=713,PR!$BG$790,IF($S$928=714,PR!$BG$791,IF($S$928=715,PR!$BG$792,IF($S$928=716,PR!$BG$793,IF($S$928=717,PR!$BG$794,IF($S$928=718,PR!$BG$795,IF($S$928=719,PR!$BG$796,IF($S$928=720,PR!$BG$797,"-"))))))))))))))))))))))))))))))))))))))))))))))))))))))))))))</f>
        <v>0</v>
      </c>
      <c r="G941" s="602">
        <f>IF($S$928=661,PR!$BH$726,IF($S$928=662,PR!$BH$727,IF($S$928=663,PR!$BH$728,IF($S$928=664,PR!$BH$729,IF($S$928=665,PR!$BH$730,IF($S$928=666,PR!$BH$731,IF($S$928=667,PR!$BH$732,IF($S$928=668,PR!$BH$733,IF($S$928=669,PR!$BH$737,IF($S$928=670,PR!$BH$738,IF($S$928=671,PR!$BH$739,IF($S$928=672,PR!$BH$740,IF($S$928=673,PR!$BH$741,IF($S$928=674,PR!$BH$742,IF($S$928=675,PR!$BH$743,IF($S$928=676,PR!$BH$744,IF($S$928=677,PR!$BH$745,IF($S$928=678,PR!$BH$746,IF($S$928=679,PR!$BH$747,IF($S$928=680,PR!$BH$748,IF($S$928=681,PR!$BH$749,IF($S$928=682,PR!$BH$750,IF($S$928=683,PR!$BH$751,IF($S$928=684,PR!$BH$754,IF($S$928=685,PR!$BH$755,IF($S$928=686,PR!$BH$756,IF($S$928=687,PR!$BH$757,IF($S$928=688,PR!$BH$758,IF($S$928=689,PR!$BH$759,IF($S$928=690,PR!$BH$760,IF($S$928=691,PR!$BH$761,IF($S$928=692,PR!$BH$762,IF($S$928=693,PR!$BH$763,IF($S$928=694,PR!$BH$764,IF($S$928=695,PR!$BH$765,IF($S$928=696,PR!$BH$766,IF($S$928=697,PR!$BH$767,IF($S$928=698,PR!$BH$768,IF($S$928=699,PR!$BH$769,IF($S$928=700,PR!$BH$770,IF($S$928=701,PR!$BH$771,IF($S$928=702,PR!$BH$774,IF($S$928=703,PR!$BH$775,IF($S$928=704,PR!$BH$776,IF($S$928=705,PR!$BH$777,IF($S$928=706,PR!$BH$778,IF($S$928=707,PR!$BH$779,IF($S$928=708,PR!$BH$780,IF($S$928=709,PR!$BH$786,IF($S$928=710,PR!$BH$787,IF($S$928=711,PR!$BH$788,IF($S$928=712,PR!$BH$789,IF($S$928=713,PR!$BH$790,IF($S$928=714,PR!$BH$791,IF($S$928=715,PR!$BH$792,IF($S$928=716,PR!$BH$793,IF($S$928=717,PR!$BH$794,IF($S$928=718,PR!$BH$795,IF($S$928=719,PR!$BH$796,IF($S$928=720,PR!$BH$797,"-"))))))))))))))))))))))))))))))))))))))))))))))))))))))))))))</f>
        <v>0</v>
      </c>
      <c r="H941" s="602">
        <f>IF($S$928=661,PR!$BI$726,IF($S$928=662,PR!$BI$727,IF($S$928=663,PR!$BI$728,IF($S$928=664,PR!$BI$729,IF($S$928=665,PR!$BI$730,IF($S$928=666,PR!$BI$731,IF($S$928=667,PR!$BI$732,IF($S$928=668,PR!$BI$733,IF($S$928=669,PR!$BI$737,IF($S$928=670,PR!$BI$738,IF($S$928=671,PR!$BI$739,IF($S$928=672,PR!$BI$740,IF($S$928=673,PR!$BI$741,IF($S$928=674,PR!$BI$742,IF($S$928=675,PR!$BI$743,IF($S$928=676,PR!$BI$744,IF($S$928=677,PR!$BI$745,IF($S$928=678,PR!$BI$746,IF($S$928=679,PR!$BI$747,IF($S$928=680,PR!$BI$748,IF($S$928=681,PR!$BI$749,IF($S$928=682,PR!$BI$750,IF($S$928=683,PR!$BI$751,IF($S$928=684,PR!$BI$754,IF($S$928=685,PR!$BI$755,IF($S$928=686,PR!$BI$756,IF($S$928=687,PR!$BI$757,IF($S$928=688,PR!$BI$758,IF($S$928=689,PR!$BI$759,IF($S$928=690,PR!$BI$760,IF($S$928=691,PR!$BI$761,IF($S$928=692,PR!$BI$762,IF($S$928=693,PR!$BI$763,IF($S$928=694,PR!$BI$764,IF($S$928=695,PR!$BI$765,IF($S$928=696,PR!$BI$766,IF($S$928=697,PR!$BI$767,IF($S$928=698,PR!$BI$768,IF($S$928=699,PR!$BI$769,IF($S$928=700,PR!$BI$770,IF($S$928=701,PR!$BI$771,IF($S$928=702,PR!$BI$774,IF($S$928=703,PR!$BI$775,IF($S$928=704,PR!$BI$776,IF($S$928=705,PR!$BI$777,IF($S$928=706,PR!$BI$778,IF($S$928=707,PR!$BI$779,IF($S$928=708,PR!$BI$780,IF($S$928=709,PR!$BI$786,IF($S$928=710,PR!$BI$787,IF($S$928=711,PR!$BI$788,IF($S$928=712,PR!$BI$789,IF($S$928=713,PR!$BI$790,IF($S$928=714,PR!$BI$791,IF($S$928=715,PR!$BI$792,IF($S$928=716,PR!$BI$793,IF($S$928=717,PR!$BI$794,IF($S$928=718,PR!$BI$795,IF($S$928=719,PR!$BI$796,IF($S$928=720,PR!$BI$797,"-"))))))))))))))))))))))))))))))))))))))))))))))))))))))))))))</f>
        <v>0</v>
      </c>
      <c r="I941" s="602">
        <f>IF($S$928=661,PR!$BJ$726,IF($S$928=662,PR!$BJ$727,IF($S$928=663,PR!$BJ$728,IF($S$928=664,PR!$BJ$729,IF($S$928=665,PR!$BJ$730,IF($S$928=666,PR!$BJ$731,IF($S$928=667,PR!$BJ$732,IF($S$928=668,PR!$BJ$733,IF($S$928=669,PR!$BJ$737,IF($S$928=670,PR!$BJ$738,IF($S$928=671,PR!$BJ$739,IF($S$928=672,PR!$BJ$740,IF($S$928=673,PR!$BJ$741,IF($S$928=674,PR!$BJ$742,IF($S$928=675,PR!$BJ$743,IF($S$928=676,PR!$BJ$744,IF($S$928=677,PR!$BJ$745,IF($S$928=678,PR!$BJ$746,IF($S$928=679,PR!$BJ$747,IF($S$928=680,PR!$BJ$748,IF($S$928=681,PR!$BJ$749,IF($S$928=682,PR!$BJ$750,IF($S$928=683,PR!$BJ$751,IF($S$928=684,PR!$BJ$754,IF($S$928=685,PR!$BJ$755,IF($S$928=686,PR!$BJ$756,IF($S$928=687,PR!$BJ$757,IF($S$928=688,PR!$BJ$758,IF($S$928=689,PR!$BJ$759,IF($S$928=690,PR!$BJ$760,IF($S$928=691,PR!$BJ$761,IF($S$928=692,PR!$BJ$762,IF($S$928=693,PR!$BJ$763,IF($S$928=694,PR!$BJ$764,IF($S$928=695,PR!$BJ$765,IF($S$928=696,PR!$BJ$766,IF($S$928=697,PR!$BJ$767,IF($S$928=698,PR!$BJ$768,IF($S$928=699,PR!$BJ$769,IF($S$928=700,PR!$BJ$770,IF($S$928=701,PR!$BJ$771,IF($S$928=702,PR!$BJ$774,IF($S$928=703,PR!$BJ$775,IF($S$928=704,PR!$BJ$776,IF($S$928=705,PR!$BJ$777,IF($S$928=706,PR!$BJ$778,IF($S$928=707,PR!$BJ$779,IF($S$928=708,PR!$BJ$780,IF($S$928=709,PR!$BJ$786,IF($S$928=710,PR!$BJ$787,IF($S$928=711,PR!$BJ$788,IF($S$928=712,PR!$BJ$789,IF($S$928=713,PR!$BJ$790,IF($S$928=714,PR!$BJ$791,IF($S$928=715,PR!$BJ$792,IF($S$928=716,PR!$BJ$793,IF($S$928=717,PR!$BJ$794,IF($S$928=718,PR!$BJ$795,IF($S$928=719,PR!$BJ$796,IF($S$928=720,PR!$BJ$797,"-"))))))))))))))))))))))))))))))))))))))))))))))))))))))))))))</f>
        <v>0</v>
      </c>
      <c r="J941" s="602">
        <f>IF($S$928=661,PR!$BK$726,IF($S$928=662,PR!$BK$727,IF($S$928=663,PR!$BK$728,IF($S$928=664,PR!$BK$729,IF($S$928=665,PR!$BK$730,IF($S$928=666,PR!$BK$731,IF($S$928=667,PR!$BK$732,IF($S$928=668,PR!$BK$733,IF($S$928=669,PR!$BK$737,IF($S$928=670,PR!$BK$738,IF($S$928=671,PR!$BK$739,IF($S$928=672,PR!$BK$740,IF($S$928=673,PR!$BK$741,IF($S$928=674,PR!$BK$742,IF($S$928=675,PR!$BK$743,IF($S$928=676,PR!$BK$744,IF($S$928=677,PR!$BK$745,IF($S$928=678,PR!$BK$746,IF($S$928=679,PR!$BK$747,IF($S$928=680,PR!$BK$748,IF($S$928=681,PR!$BK$749,IF($S$928=682,PR!$BK$750,IF($S$928=683,PR!$BK$751,IF($S$928=684,PR!$BK$754,IF($S$928=685,PR!$BK$755,IF($S$928=686,PR!$BK$756,IF($S$928=687,PR!$BK$757,IF($S$928=688,PR!$BK$758,IF($S$928=689,PR!$BK$759,IF($S$928=690,PR!$BK$760,IF($S$928=691,PR!$BK$761,IF($S$928=692,PR!$BK$762,IF($S$928=693,PR!$BK$763,IF($S$928=694,PR!$BK$764,IF($S$928=695,PR!$BK$765,IF($S$928=696,PR!$BK$766,IF($S$928=697,PR!$BK$767,IF($S$928=698,PR!$BK$768,IF($S$928=699,PR!$BK$769,IF($S$928=700,PR!$BK$770,IF($S$928=701,PR!$BK$771,IF($S$928=702,PR!$BK$774,IF($S$928=703,PR!$BK$775,IF($S$928=704,PR!$BK$776,IF($S$928=705,PR!$BK$777,IF($S$928=706,PR!$BK$778,IF($S$928=707,PR!$BK$779,IF($S$928=708,PR!$BK$780,IF($S$928=709,PR!$BK$786,IF($S$928=710,PR!$BK$787,IF($S$928=711,PR!$BK$788,IF($S$928=712,PR!$BK$789,IF($S$928=713,PR!$BK$790,IF($S$928=714,PR!$BK$791,IF($S$928=715,PR!$BK$792,IF($S$928=716,PR!$BK$793,IF($S$928=717,PR!$BK$794,IF($S$928=718,PR!$BK$795,IF($S$928=719,PR!$BK$796,IF($S$928=720,PR!$BK$797,"-"))))))))))))))))))))))))))))))))))))))))))))))))))))))))))))</f>
        <v>0</v>
      </c>
      <c r="K941" s="602">
        <f>IF($S$928=661,PR!$BL$726,IF($S$928=662,PR!$BL$727,IF($S$928=663,PR!$BL$728,IF($S$928=664,PR!$BL$729,IF($S$928=665,PR!$BL$730,IF($S$928=666,PR!$BL$731,IF($S$928=667,PR!$BL$732,IF($S$928=668,PR!$BL$733,IF($S$928=669,PR!$BL$737,IF($S$928=670,PR!$BL$738,IF($S$928=671,PR!$BL$739,IF($S$928=672,PR!$BL$740,IF($S$928=673,PR!$BL$741,IF($S$928=674,PR!$BL$742,IF($S$928=675,PR!$BL$743,IF($S$928=676,PR!$BL$744,IF($S$928=677,PR!$BL$745,IF($S$928=678,PR!$BL$746,IF($S$928=679,PR!$BL$747,IF($S$928=680,PR!$BL$748,IF($S$928=681,PR!$BL$749,IF($S$928=682,PR!$BL$750,IF($S$928=683,PR!$BL$751,IF($S$928=684,PR!$BL$754,IF($S$928=685,PR!$BL$755,IF($S$928=686,PR!$BL$756,IF($S$928=687,PR!$BL$757,IF($S$928=688,PR!$BL$758,IF($S$928=689,PR!$BL$759,IF($S$928=690,PR!$BL$760,IF($S$928=691,PR!$BL$761,IF($S$928=692,PR!$BL$762,IF($S$928=693,PR!$BL$763,IF($S$928=694,PR!$BL$764,IF($S$928=695,PR!$BL$765,IF($S$928=696,PR!$BL$766,IF($S$928=697,PR!$BL$767,IF($S$928=698,PR!$BL$768,IF($S$928=699,PR!$BL$769,IF($S$928=700,PR!$BL$770,IF($S$928=701,PR!$BL$771,IF($S$928=702,PR!$BL$774,IF($S$928=703,PR!$BL$775,IF($S$928=704,PR!$BL$776,IF($S$928=705,PR!$BL$777,IF($S$928=706,PR!$BL$778,IF($S$928=707,PR!$BL$779,IF($S$928=708,PR!$BL$780,IF($S$928=709,PR!$BL$786,IF($S$928=710,PR!$BL$787,IF($S$928=711,PR!$BL$788,IF($S$928=712,PR!$BL$789,IF($S$928=713,PR!$BL$790,IF($S$928=714,PR!$BL$791,IF($S$928=715,PR!$BL$792,IF($S$928=716,PR!$BL$793,IF($S$928=717,PR!$BL$794,IF($S$928=718,PR!$BL$795,IF($S$928=719,PR!$BL$796,IF($S$928=720,PR!$BL$797,"-"))))))))))))))))))))))))))))))))))))))))))))))))))))))))))))</f>
        <v>0</v>
      </c>
      <c r="L941" s="602">
        <f>IF($S$928=661,PR!$BM$726,IF($S$928=662,PR!$BM$727,IF($S$928=663,PR!$BM$728,IF($S$928=664,PR!$BM$729,IF($S$928=665,PR!$BM$730,IF($S$928=666,PR!$BM$731,IF($S$928=667,PR!$BM$732,IF($S$928=668,PR!$BM$733,IF($S$928=669,PR!$BM$737,IF($S$928=670,PR!$BM$738,IF($S$928=671,PR!$BM$739,IF($S$928=672,PR!$BM$740,IF($S$928=673,PR!$BM$741,IF($S$928=674,PR!$BM$742,IF($S$928=675,PR!$BM$743,IF($S$928=676,PR!$BM$744,IF($S$928=677,PR!$BM$745,IF($S$928=678,PR!$BM$746,IF($S$928=679,PR!$BM$747,IF($S$928=680,PR!$BM$748,IF($S$928=681,PR!$BM$749,IF($S$928=682,PR!$BM$750,IF($S$928=683,PR!$BM$751,IF($S$928=684,PR!$BM$754,IF($S$928=685,PR!$BM$755,IF($S$928=686,PR!$BM$756,IF($S$928=687,PR!$BM$757,IF($S$928=688,PR!$BM$758,IF($S$928=689,PR!$BM$759,IF($S$928=690,PR!$BM$760,IF($S$928=691,PR!$BM$761,IF($S$928=692,PR!$BM$762,IF($S$928=693,PR!$BM$763,IF($S$928=694,PR!$BM$764,IF($S$928=695,PR!$BM$765,IF($S$928=696,PR!$BM$766,IF($S$928=697,PR!$BM$767,IF($S$928=698,PR!$BM$768,IF($S$928=699,PR!$BM$769,IF($S$928=700,PR!$BM$770,IF($S$928=701,PR!$BM$771,IF($S$928=702,PR!$BM$774,IF($S$928=703,PR!$BM$775,IF($S$928=704,PR!$BM$776,IF($S$928=705,PR!$BM$777,IF($S$928=706,PR!$BM$778,IF($S$928=707,PR!$BM$779,IF($S$928=708,PR!$BM$780,IF($S$928=709,PR!$BM$786,IF($S$928=710,PR!$BM$787,IF($S$928=711,PR!$BM$788,IF($S$928=712,PR!$BM$789,IF($S$928=713,PR!$BM$790,IF($S$928=714,PR!$BM$791,IF($S$928=715,PR!$BM$792,IF($S$928=716,PR!$BM$793,IF($S$928=717,PR!$BM$794,IF($S$928=718,PR!$BM$795,IF($S$928=719,PR!$BM$796,IF($S$928=720,PR!$BM$797,"-"))))))))))))))))))))))))))))))))))))))))))))))))))))))))))))</f>
        <v>0</v>
      </c>
      <c r="M941" s="602">
        <f>IF($S$928=661,PR!$BN$726,IF($S$928=662,PR!$BN$727,IF($S$928=663,PR!$BN$728,IF($S$928=664,PR!$BN$729,IF($S$928=665,PR!$BN$730,IF($S$928=666,PR!$BN$731,IF($S$928=667,PR!$BN$732,IF($S$928=668,PR!$BN$733,IF($S$928=669,PR!$BN$737,IF($S$928=670,PR!$BN$738,IF($S$928=671,PR!$BN$739,IF($S$928=672,PR!$BN$740,IF($S$928=673,PR!$BN$741,IF($S$928=674,PR!$BN$742,IF($S$928=675,PR!$BN$743,IF($S$928=676,PR!$BN$744,IF($S$928=677,PR!$BN$745,IF($S$928=678,PR!$BN$746,IF($S$928=679,PR!$BN$747,IF($S$928=680,PR!$BN$748,IF($S$928=681,PR!$BN$749,IF($S$928=682,PR!$BN$750,IF($S$928=683,PR!$BN$751,IF($S$928=684,PR!$BN$754,IF($S$928=685,PR!$BN$755,IF($S$928=686,PR!$BN$756,IF($S$928=687,PR!$BN$757,IF($S$928=688,PR!$BN$758,IF($S$928=689,PR!$BN$759,IF($S$928=690,PR!$BN$760,IF($S$928=691,PR!$BN$761,IF($S$928=692,PR!$BN$762,IF($S$928=693,PR!$BN$763,IF($S$928=694,PR!$BN$764,IF($S$928=695,PR!$BN$765,IF($S$928=696,PR!$BN$766,IF($S$928=697,PR!$BN$767,IF($S$928=698,PR!$BN$768,IF($S$928=699,PR!$BN$769,IF($S$928=700,PR!$BN$770,IF($S$928=701,PR!$BN$771,IF($S$928=702,PR!$BN$774,IF($S$928=703,PR!$BN$775,IF($S$928=704,PR!$BN$776,IF($S$928=705,PR!$BN$777,IF($S$928=706,PR!$BN$778,IF($S$928=707,PR!$BN$779,IF($S$928=708,PR!$BN$780,IF($S$928=709,PR!$BN$786,IF($S$928=710,PR!$BN$787,IF($S$928=711,PR!$BN$788,IF($S$928=712,PR!$BN$789,IF($S$928=713,PR!$BN$790,IF($S$928=714,PR!$BN$791,IF($S$928=715,PR!$BN$792,IF($S$928=716,PR!$BN$793,IF($S$928=717,PR!$BN$794,IF($S$928=718,PR!$BN$795,IF($S$928=719,PR!$BN$796,IF($S$928=720,PR!$BN$797,"-"))))))))))))))))))))))))))))))))))))))))))))))))))))))))))))</f>
        <v>0</v>
      </c>
      <c r="N941" s="602">
        <f>IF($S$928=661,PR!$BO$726,IF($S$928=662,PR!$BO$727,IF($S$928=663,PR!$BO$728,IF($S$928=664,PR!$BO$729,IF($S$928=665,PR!$BO$730,IF($S$928=666,PR!$BO$731,IF($S$928=667,PR!$BO$732,IF($S$928=668,PR!$BO$733,IF($S$928=669,PR!$BO$737,IF($S$928=670,PR!$BO$738,IF($S$928=671,PR!$BO$739,IF($S$928=672,PR!$BO$740,IF($S$928=673,PR!$BO$741,IF($S$928=674,PR!$BO$742,IF($S$928=675,PR!$BO$743,IF($S$928=676,PR!$BO$744,IF($S$928=677,PR!$BO$745,IF($S$928=678,PR!$BO$746,IF($S$928=679,PR!$BO$747,IF($S$928=680,PR!$BO$748,IF($S$928=681,PR!$BO$749,IF($S$928=682,PR!$BO$750,IF($S$928=683,PR!$BO$751,IF($S$928=684,PR!$BO$754,IF($S$928=685,PR!$BO$755,IF($S$928=686,PR!$BO$756,IF($S$928=687,PR!$BO$757,IF($S$928=688,PR!$BO$758,IF($S$928=689,PR!$BO$759,IF($S$928=690,PR!$BO$760,IF($S$928=691,PR!$BO$761,IF($S$928=692,PR!$BO$762,IF($S$928=693,PR!$BO$763,IF($S$928=694,PR!$BO$764,IF($S$928=695,PR!$BO$765,IF($S$928=696,PR!$BO$766,IF($S$928=697,PR!$BO$767,IF($S$928=698,PR!$BO$768,IF($S$928=699,PR!$BO$769,IF($S$928=700,PR!$BO$770,IF($S$928=701,PR!$BO$771,IF($S$928=702,PR!$BO$774,IF($S$928=703,PR!$BO$775,IF($S$928=704,PR!$BO$776,IF($S$928=705,PR!$BO$777,IF($S$928=706,PR!$BO$778,IF($S$928=707,PR!$BO$779,IF($S$928=708,PR!$BO$780,IF($S$928=709,PR!$BO$786,IF($S$928=710,PR!$BO$787,IF($S$928=711,PR!$BO$788,IF($S$928=712,PR!$BO$789,IF($S$928=713,PR!$BO$790,IF($S$928=714,PR!$BO$791,IF($S$928=715,PR!$BO$792,IF($S$928=716,PR!$BO$793,IF($S$928=717,PR!$BO$794,IF($S$928=718,PR!$BO$795,IF($S$928=719,PR!$BO$796,IF($S$928=720,PR!$BO$797,"-"))))))))))))))))))))))))))))))))))))))))))))))))))))))))))))</f>
        <v>0</v>
      </c>
      <c r="O941" s="602">
        <f>IF($S$928=661,PR!$BP$726,IF($S$928=662,PR!$BP$727,IF($S$928=663,PR!$BP$728,IF($S$928=664,PR!$BP$729,IF($S$928=665,PR!$BP$730,IF($S$928=666,PR!$BP$731,IF($S$928=667,PR!$BP$732,IF($S$928=668,PR!$BP$733,IF($S$928=669,PR!$BP$737,IF($S$928=670,PR!$BP$738,IF($S$928=671,PR!$BP$739,IF($S$928=672,PR!$BP$740,IF($S$928=673,PR!$BP$741,IF($S$928=674,PR!$BP$742,IF($S$928=675,PR!$BP$743,IF($S$928=676,PR!$BP$744,IF($S$928=677,PR!$BP$745,IF($S$928=678,PR!$BP$746,IF($S$928=679,PR!$BP$747,IF($S$928=680,PR!$BP$748,IF($S$928=681,PR!$BP$749,IF($S$928=682,PR!$BP$750,IF($S$928=683,PR!$BP$751,IF($S$928=684,PR!$BP$754,IF($S$928=685,PR!$BP$755,IF($S$928=686,PR!$BP$756,IF($S$928=687,PR!$BP$757,IF($S$928=688,PR!$BP$758,IF($S$928=689,PR!$BP$759,IF($S$928=690,PR!$BP$760,IF($S$928=691,PR!$BP$761,IF($S$928=692,PR!$BP$762,IF($S$928=693,PR!$BP$763,IF($S$928=694,PR!$BP$764,IF($S$928=695,PR!$BP$765,IF($S$928=696,PR!$BP$766,IF($S$928=697,PR!$BP$767,IF($S$928=698,PR!$BP$768,IF($S$928=699,PR!$BP$769,IF($S$928=700,PR!$BP$770,IF($S$928=701,PR!$BP$771,IF($S$928=702,PR!$BP$774,IF($S$928=703,PR!$BP$775,IF($S$928=704,PR!$BP$776,IF($S$928=705,PR!$BP$777,IF($S$928=706,PR!$BP$778,IF($S$928=707,PR!$BP$779,IF($S$928=708,PR!$BP$780,IF($S$928=709,PR!$BP$786,IF($S$928=710,PR!$BP$787,IF($S$928=711,PR!$BP$788,IF($S$928=712,PR!$BP$789,IF($S$928=713,PR!$BP$790,IF($S$928=714,PR!$BP$791,IF($S$928=715,PR!$BP$792,IF($S$928=716,PR!$BP$793,IF($S$928=717,PR!$BP$794,IF($S$928=718,PR!$BP$795,IF($S$928=719,PR!$BP$796,IF($S$928=720,PR!$BP$797,"-"))))))))))))))))))))))))))))))))))))))))))))))))))))))))))))</f>
        <v>0</v>
      </c>
      <c r="P941" s="602">
        <f>IF($S$928=661,PR!$BQ$726,IF($S$928=662,PR!$BQ$727,IF($S$928=663,PR!$BQ$728,IF($S$928=664,PR!$BQ$729,IF($S$928=665,PR!$BQ$730,IF($S$928=666,PR!$BQ$731,IF($S$928=667,PR!$BQ$732,IF($S$928=668,PR!$BQ$733,IF($S$928=669,PR!$BQ$737,IF($S$928=670,PR!$BQ$738,IF($S$928=671,PR!$BQ$739,IF($S$928=672,PR!$BQ$740,IF($S$928=673,PR!$BQ$741,IF($S$928=674,PR!$BQ$742,IF($S$928=675,PR!$BQ$743,IF($S$928=676,PR!$BQ$744,IF($S$928=677,PR!$BQ$745,IF($S$928=678,PR!$BQ$746,IF($S$928=679,PR!$BQ$747,IF($S$928=680,PR!$BQ$748,IF($S$928=681,PR!$BQ$749,IF($S$928=682,PR!$BQ$750,IF($S$928=683,PR!$BQ$751,IF($S$928=684,PR!$BQ$754,IF($S$928=685,PR!$BQ$755,IF($S$928=686,PR!$BQ$756,IF($S$928=687,PR!$BQ$757,IF($S$928=688,PR!$BQ$758,IF($S$928=689,PR!$BQ$759,IF($S$928=690,PR!$BQ$760,IF($S$928=691,PR!$BQ$761,IF($S$928=692,PR!$BQ$762,IF($S$928=693,PR!$BQ$763,IF($S$928=694,PR!$BQ$764,IF($S$928=695,PR!$BQ$765,IF($S$928=696,PR!$BQ$766,IF($S$928=697,PR!$BQ$767,IF($S$928=698,PR!$BQ$768,IF($S$928=699,PR!$BQ$769,IF($S$928=700,PR!$BQ$770,IF($S$928=701,PR!$BQ$771,IF($S$928=702,PR!$BQ$774,IF($S$928=703,PR!$BQ$775,IF($S$928=704,PR!$BQ$776,IF($S$928=705,PR!$BQ$777,IF($S$928=706,PR!$BQ$778,IF($S$928=707,PR!$BQ$779,IF($S$928=708,PR!$BQ$780,IF($S$928=709,PR!$BQ$786,IF($S$928=710,PR!$BQ$787,IF($S$928=711,PR!$BQ$788,IF($S$928=712,PR!$BQ$789,IF($S$928=713,PR!$BQ$790,IF($S$928=714,PR!$BQ$791,IF($S$928=715,PR!$BQ$792,IF($S$928=716,PR!$BQ$793,IF($S$928=717,PR!$BQ$794,IF($S$928=718,PR!$BQ$795,IF($S$928=719,PR!$BQ$796,IF($S$928=720,PR!$BQ$797,"-"))))))))))))))))))))))))))))))))))))))))))))))))))))))))))))</f>
        <v>0</v>
      </c>
      <c r="Q941" s="602">
        <f>IF($S$928=661,PR!$BR$726,IF($S$928=662,PR!$BR$727,IF($S$928=663,PR!$BR$728,IF($S$928=664,PR!$BR$729,IF($S$928=665,PR!$BR$730,IF($S$928=666,PR!$BR$731,IF($S$928=667,PR!$BR$732,IF($S$928=668,PR!$BR$733,IF($S$928=669,PR!$BR$737,IF($S$928=670,PR!$BR$738,IF($S$928=671,PR!$BR$739,IF($S$928=672,PR!$BR$740,IF($S$928=673,PR!$BR$741,IF($S$928=674,PR!$BR$742,IF($S$928=675,PR!$BR$743,IF($S$928=676,PR!$BR$744,IF($S$928=677,PR!$BR$745,IF($S$928=678,PR!$BR$746,IF($S$928=679,PR!$BR$747,IF($S$928=680,PR!$BR$748,IF($S$928=681,PR!$BR$749,IF($S$928=682,PR!$BR$750,IF($S$928=683,PR!$BR$751,IF($S$928=684,PR!$BR$754,IF($S$928=685,PR!$BR$755,IF($S$928=686,PR!$BR$756,IF($S$928=687,PR!$BR$757,IF($S$928=688,PR!$BR$758,IF($S$928=689,PR!$BR$759,IF($S$928=690,PR!$BR$760,IF($S$928=691,PR!$BR$761,IF($S$928=692,PR!$BR$762,IF($S$928=693,PR!$BR$763,IF($S$928=694,PR!$BR$764,IF($S$928=695,PR!$BR$765,IF($S$928=696,PR!$BR$766,IF($S$928=697,PR!$BR$767,IF($S$928=698,PR!$BR$768,IF($S$928=699,PR!$BR$769,IF($S$928=700,PR!$BR$770,IF($S$928=701,PR!$BR$771,IF($S$928=702,PR!$BR$774,IF($S$928=703,PR!$BR$775,IF($S$928=704,PR!$BR$776,IF($S$928=705,PR!$BR$777,IF($S$928=706,PR!$BR$778,IF($S$928=707,PR!$BR$779,IF($S$928=708,PR!$BR$780,IF($S$928=709,PR!$BR$786,IF($S$928=710,PR!$BR$787,IF($S$928=711,PR!$BR$788,IF($S$928=712,PR!$BR$789,IF($S$928=713,PR!$BR$790,IF($S$928=714,PR!$BR$791,IF($S$928=715,PR!$BR$792,IF($S$928=716,PR!$BR$793,IF($S$928=717,PR!$BR$794,IF($S$928=718,PR!$BR$795,IF($S$928=719,PR!$BR$796,IF($S$928=720,PR!$BR$797,"-"))))))))))))))))))))))))))))))))))))))))))))))))))))))))))))</f>
        <v>0</v>
      </c>
      <c r="R941" s="602">
        <f>IF($S$928=661,PR!$BS$726,IF($S$928=662,PR!$BS$727,IF($S$928=663,PR!$BS$728,IF($S$928=664,PR!$BS$729,IF($S$928=665,PR!$BS$730,IF($S$928=666,PR!$BS$731,IF($S$928=667,PR!$BS$732,IF($S$928=668,PR!$BS$733,IF($S$928=669,PR!$BS$737,IF($S$928=670,PR!$BS$738,IF($S$928=671,PR!$BS$739,IF($S$928=672,PR!$BS$740,IF($S$928=673,PR!$BS$741,IF($S$928=674,PR!$BS$742,IF($S$928=675,PR!$BS$743,IF($S$928=676,PR!$BS$744,IF($S$928=677,PR!$BS$745,IF($S$928=678,PR!$BS$746,IF($S$928=679,PR!$BS$747,IF($S$928=680,PR!$BS$748,IF($S$928=681,PR!$BS$749,IF($S$928=682,PR!$BS$750,IF($S$928=683,PR!$BS$751,IF($S$928=684,PR!$BS$754,IF($S$928=685,PR!$BS$755,IF($S$928=686,PR!$BS$756,IF($S$928=687,PR!$BS$757,IF($S$928=688,PR!$BS$758,IF($S$928=689,PR!$BS$759,IF($S$928=690,PR!$BS$760,IF($S$928=691,PR!$BS$761,IF($S$928=692,PR!$BS$762,IF($S$928=693,PR!$BS$763,IF($S$928=694,PR!$BS$764,IF($S$928=695,PR!$BS$765,IF($S$928=696,PR!$BS$766,IF($S$928=697,PR!$BS$767,IF($S$928=698,PR!$BS$768,IF($S$928=699,PR!$BS$769,IF($S$928=700,PR!$BS$770,IF($S$928=701,PR!$BS$771,IF($S$928=702,PR!$BS$774,IF($S$928=703,PR!$BS$775,IF($S$928=704,PR!$BS$776,IF($S$928=705,PR!$BS$777,IF($S$928=706,PR!$BS$778,IF($S$928=707,PR!$BS$779,IF($S$928=708,PR!$BS$780,IF($S$928=709,PR!$BS$786,IF($S$928=710,PR!$BS$787,IF($S$928=711,PR!$BS$788,IF($S$928=712,PR!$BS$789,IF($S$928=713,PR!$BS$790,IF($S$928=714,PR!$BS$791,IF($S$928=715,PR!$BS$792,IF($S$928=716,PR!$BS$793,IF($S$928=717,PR!$BS$794,IF($S$928=718,PR!$BS$795,IF($S$928=719,PR!$BS$796,IF($S$928=720,PR!$BS$797,"-"))))))))))))))))))))))))))))))))))))))))))))))))))))))))))))</f>
        <v>0</v>
      </c>
      <c r="S941" s="604"/>
      <c r="T941" s="580"/>
      <c r="U941" s="580"/>
      <c r="V941" s="32"/>
      <c r="W941" s="32"/>
      <c r="X941" s="32"/>
    </row>
    <row r="942" spans="2:24" ht="7.5" customHeight="1" x14ac:dyDescent="0.25">
      <c r="B942" s="580"/>
      <c r="C942" s="593"/>
      <c r="D942" s="580"/>
      <c r="E942" s="580"/>
      <c r="F942" s="580"/>
      <c r="G942" s="580"/>
      <c r="H942" s="580"/>
      <c r="I942" s="580"/>
      <c r="J942" s="580"/>
      <c r="K942" s="580"/>
      <c r="L942" s="580"/>
      <c r="M942" s="580"/>
      <c r="N942" s="580"/>
      <c r="O942" s="580"/>
      <c r="P942" s="580"/>
      <c r="Q942" s="580"/>
      <c r="R942" s="583"/>
      <c r="S942" s="580"/>
      <c r="T942" s="580"/>
      <c r="U942" s="580"/>
      <c r="V942" s="32"/>
      <c r="W942" s="32"/>
      <c r="X942" s="32"/>
    </row>
    <row r="943" spans="2:24" ht="30" x14ac:dyDescent="0.25">
      <c r="B943" s="580"/>
      <c r="C943" s="593"/>
      <c r="D943" s="580"/>
      <c r="E943" s="580"/>
      <c r="F943" s="580"/>
      <c r="G943" s="580"/>
      <c r="H943" s="580"/>
      <c r="I943" s="580"/>
      <c r="J943" s="580"/>
      <c r="K943" s="597" t="s">
        <v>783</v>
      </c>
      <c r="L943" s="598" t="s">
        <v>418</v>
      </c>
      <c r="M943" s="598" t="s">
        <v>419</v>
      </c>
      <c r="N943" s="599" t="s">
        <v>420</v>
      </c>
      <c r="O943" s="580"/>
      <c r="P943" s="580"/>
      <c r="Q943" s="580"/>
      <c r="R943" s="580"/>
      <c r="S943" s="580"/>
      <c r="T943" s="580"/>
      <c r="U943" s="580"/>
      <c r="V943" s="32"/>
      <c r="W943" s="32"/>
      <c r="X943" s="32"/>
    </row>
    <row r="944" spans="2:24" x14ac:dyDescent="0.25">
      <c r="B944" s="580"/>
      <c r="C944" s="593"/>
      <c r="D944" s="580"/>
      <c r="E944" s="580"/>
      <c r="F944" s="580"/>
      <c r="G944" s="580"/>
      <c r="H944" s="580"/>
      <c r="I944" s="580"/>
      <c r="J944" s="580"/>
      <c r="K944" s="583" t="s">
        <v>785</v>
      </c>
      <c r="L944" s="580"/>
      <c r="M944" s="580"/>
      <c r="N944" s="580"/>
      <c r="O944" s="580"/>
      <c r="P944" s="580"/>
      <c r="Q944" s="580"/>
      <c r="R944" s="580"/>
      <c r="S944" s="580"/>
      <c r="T944" s="580"/>
      <c r="U944" s="580"/>
      <c r="V944" s="32"/>
      <c r="W944" s="32"/>
      <c r="X944" s="32"/>
    </row>
    <row r="945" spans="2:24" x14ac:dyDescent="0.25">
      <c r="B945" s="32"/>
      <c r="C945" s="96"/>
      <c r="D945" s="32"/>
      <c r="E945" s="32"/>
      <c r="F945" s="32"/>
      <c r="G945" s="32"/>
      <c r="H945" s="32"/>
      <c r="I945" s="32"/>
      <c r="J945" s="32"/>
      <c r="K945" s="97">
        <v>661</v>
      </c>
      <c r="L945" s="98" t="s">
        <v>1243</v>
      </c>
      <c r="M945" s="99" t="s">
        <v>821</v>
      </c>
      <c r="N945" s="100"/>
      <c r="O945" s="32"/>
      <c r="P945" s="32"/>
      <c r="Q945" s="32"/>
      <c r="R945" s="32"/>
      <c r="S945" s="32"/>
      <c r="T945" s="32"/>
      <c r="U945" s="32"/>
      <c r="V945" s="32"/>
      <c r="W945" s="32"/>
      <c r="X945" s="32"/>
    </row>
    <row r="946" spans="2:24" x14ac:dyDescent="0.25">
      <c r="B946" s="32"/>
      <c r="C946" s="32"/>
      <c r="D946" s="32"/>
      <c r="E946" s="32"/>
      <c r="F946" s="32"/>
      <c r="G946" s="32"/>
      <c r="H946" s="32"/>
      <c r="I946" s="32"/>
      <c r="J946" s="32"/>
      <c r="K946" s="97">
        <f>1+K945</f>
        <v>662</v>
      </c>
      <c r="L946" s="98" t="s">
        <v>821</v>
      </c>
      <c r="M946" s="99"/>
      <c r="N946" s="100"/>
      <c r="O946" s="32"/>
      <c r="P946" s="32"/>
      <c r="Q946" s="32"/>
      <c r="R946" s="32"/>
      <c r="S946" s="32"/>
      <c r="T946" s="32"/>
      <c r="U946" s="32"/>
      <c r="V946" s="32"/>
      <c r="W946" s="32"/>
      <c r="X946" s="32"/>
    </row>
    <row r="947" spans="2:24" x14ac:dyDescent="0.25">
      <c r="B947" s="32"/>
      <c r="C947" s="32"/>
      <c r="D947" s="32"/>
      <c r="E947" s="32"/>
      <c r="F947" s="32"/>
      <c r="G947" s="32"/>
      <c r="H947" s="32"/>
      <c r="I947" s="32"/>
      <c r="J947" s="32"/>
      <c r="K947" s="97">
        <f t="shared" ref="K947:K1004" si="12">1+K946</f>
        <v>663</v>
      </c>
      <c r="L947" s="98" t="s">
        <v>630</v>
      </c>
      <c r="M947" s="99"/>
      <c r="N947" s="100"/>
      <c r="O947" s="32"/>
      <c r="P947" s="32"/>
      <c r="Q947" s="32"/>
      <c r="R947" s="32"/>
      <c r="S947" s="32"/>
      <c r="T947" s="32"/>
      <c r="U947" s="32"/>
      <c r="V947" s="32"/>
      <c r="W947" s="32"/>
      <c r="X947" s="32"/>
    </row>
    <row r="948" spans="2:24" x14ac:dyDescent="0.25">
      <c r="B948" s="32"/>
      <c r="C948" s="32"/>
      <c r="D948" s="32"/>
      <c r="E948" s="32"/>
      <c r="F948" s="32"/>
      <c r="G948" s="32"/>
      <c r="H948" s="32"/>
      <c r="I948" s="32"/>
      <c r="J948" s="32"/>
      <c r="K948" s="97">
        <f t="shared" si="12"/>
        <v>664</v>
      </c>
      <c r="L948" s="98" t="s">
        <v>821</v>
      </c>
      <c r="M948" s="99"/>
      <c r="N948" s="100"/>
      <c r="O948" s="32"/>
      <c r="P948" s="32"/>
      <c r="Q948" s="32"/>
      <c r="R948" s="32"/>
      <c r="S948" s="32"/>
      <c r="T948" s="32"/>
      <c r="U948" s="32"/>
      <c r="V948" s="32"/>
      <c r="W948" s="32"/>
      <c r="X948" s="32"/>
    </row>
    <row r="949" spans="2:24" x14ac:dyDescent="0.25">
      <c r="B949" s="32"/>
      <c r="C949" s="32"/>
      <c r="D949" s="32"/>
      <c r="E949" s="32"/>
      <c r="F949" s="32"/>
      <c r="G949" s="32"/>
      <c r="H949" s="32"/>
      <c r="I949" s="32"/>
      <c r="J949" s="32"/>
      <c r="K949" s="97">
        <f t="shared" si="12"/>
        <v>665</v>
      </c>
      <c r="L949" s="98"/>
      <c r="M949" s="99"/>
      <c r="N949" s="100"/>
      <c r="O949" s="32"/>
      <c r="P949" s="32"/>
      <c r="Q949" s="32"/>
      <c r="R949" s="32"/>
      <c r="S949" s="32"/>
      <c r="T949" s="32"/>
      <c r="U949" s="32"/>
      <c r="V949" s="32"/>
      <c r="W949" s="32"/>
      <c r="X949" s="32"/>
    </row>
    <row r="950" spans="2:24" x14ac:dyDescent="0.25">
      <c r="B950" s="32"/>
      <c r="C950" s="32"/>
      <c r="D950" s="32"/>
      <c r="E950" s="32"/>
      <c r="F950" s="32"/>
      <c r="G950" s="32"/>
      <c r="H950" s="32"/>
      <c r="I950" s="32"/>
      <c r="J950" s="32"/>
      <c r="K950" s="97">
        <f t="shared" si="12"/>
        <v>666</v>
      </c>
      <c r="L950" s="98"/>
      <c r="M950" s="99"/>
      <c r="N950" s="100"/>
      <c r="O950" s="32"/>
      <c r="P950" s="32"/>
      <c r="Q950" s="32"/>
      <c r="R950" s="32"/>
      <c r="S950" s="32"/>
      <c r="T950" s="32"/>
      <c r="U950" s="32"/>
      <c r="V950" s="32"/>
      <c r="W950" s="32"/>
      <c r="X950" s="32"/>
    </row>
    <row r="951" spans="2:24" x14ac:dyDescent="0.25">
      <c r="B951" s="32"/>
      <c r="C951" s="32"/>
      <c r="D951" s="32"/>
      <c r="E951" s="32"/>
      <c r="F951" s="32"/>
      <c r="G951" s="32"/>
      <c r="H951" s="32"/>
      <c r="I951" s="32"/>
      <c r="J951" s="32"/>
      <c r="K951" s="97">
        <f t="shared" si="12"/>
        <v>667</v>
      </c>
      <c r="L951" s="98" t="s">
        <v>821</v>
      </c>
      <c r="M951" s="99"/>
      <c r="N951" s="100"/>
      <c r="O951" s="32"/>
      <c r="P951" s="32"/>
      <c r="Q951" s="32"/>
      <c r="R951" s="32"/>
      <c r="S951" s="32"/>
      <c r="T951" s="32"/>
      <c r="U951" s="32"/>
      <c r="V951" s="32"/>
      <c r="W951" s="32"/>
      <c r="X951" s="32"/>
    </row>
    <row r="952" spans="2:24" x14ac:dyDescent="0.25">
      <c r="B952" s="32"/>
      <c r="C952" s="32"/>
      <c r="D952" s="32"/>
      <c r="E952" s="32"/>
      <c r="F952" s="32"/>
      <c r="G952" s="32"/>
      <c r="H952" s="32"/>
      <c r="I952" s="32"/>
      <c r="J952" s="32"/>
      <c r="K952" s="97">
        <f t="shared" si="12"/>
        <v>668</v>
      </c>
      <c r="L952" s="98"/>
      <c r="M952" s="99"/>
      <c r="N952" s="100"/>
      <c r="O952" s="32"/>
      <c r="P952" s="32"/>
      <c r="Q952" s="32"/>
      <c r="R952" s="32"/>
      <c r="S952" s="32"/>
      <c r="T952" s="32"/>
      <c r="U952" s="32"/>
      <c r="V952" s="32"/>
      <c r="W952" s="32"/>
      <c r="X952" s="32"/>
    </row>
    <row r="953" spans="2:24" x14ac:dyDescent="0.25">
      <c r="B953" s="32"/>
      <c r="C953" s="32"/>
      <c r="D953" s="32"/>
      <c r="E953" s="32"/>
      <c r="F953" s="32"/>
      <c r="G953" s="32"/>
      <c r="H953" s="32"/>
      <c r="I953" s="32"/>
      <c r="J953" s="32"/>
      <c r="K953" s="97">
        <f t="shared" si="12"/>
        <v>669</v>
      </c>
      <c r="L953" s="98"/>
      <c r="M953" s="99"/>
      <c r="N953" s="100"/>
      <c r="O953" s="32"/>
      <c r="P953" s="32"/>
      <c r="Q953" s="32"/>
      <c r="R953" s="32"/>
      <c r="S953" s="32"/>
      <c r="T953" s="32"/>
      <c r="U953" s="32"/>
      <c r="V953" s="32"/>
      <c r="W953" s="32"/>
      <c r="X953" s="32"/>
    </row>
    <row r="954" spans="2:24" x14ac:dyDescent="0.25">
      <c r="B954" s="32"/>
      <c r="C954" s="32"/>
      <c r="D954" s="32"/>
      <c r="E954" s="32"/>
      <c r="F954" s="32"/>
      <c r="G954" s="32"/>
      <c r="H954" s="32"/>
      <c r="I954" s="32"/>
      <c r="J954" s="32"/>
      <c r="K954" s="97">
        <f t="shared" si="12"/>
        <v>670</v>
      </c>
      <c r="L954" s="98" t="s">
        <v>625</v>
      </c>
      <c r="M954" s="99"/>
      <c r="N954" s="100"/>
      <c r="O954" s="32"/>
      <c r="P954" s="32"/>
      <c r="Q954" s="32"/>
      <c r="R954" s="32"/>
      <c r="S954" s="32"/>
      <c r="T954" s="32"/>
      <c r="U954" s="32"/>
      <c r="V954" s="32"/>
      <c r="W954" s="32"/>
      <c r="X954" s="32"/>
    </row>
    <row r="955" spans="2:24" x14ac:dyDescent="0.25">
      <c r="B955" s="32"/>
      <c r="C955" s="32"/>
      <c r="D955" s="32"/>
      <c r="E955" s="32"/>
      <c r="F955" s="32"/>
      <c r="G955" s="32"/>
      <c r="H955" s="32"/>
      <c r="I955" s="32"/>
      <c r="J955" s="32"/>
      <c r="K955" s="97">
        <f t="shared" si="12"/>
        <v>671</v>
      </c>
      <c r="L955" s="98" t="s">
        <v>831</v>
      </c>
      <c r="M955" s="99" t="s">
        <v>625</v>
      </c>
      <c r="N955" s="100"/>
      <c r="O955" s="32"/>
      <c r="P955" s="32"/>
      <c r="Q955" s="32"/>
      <c r="R955" s="32"/>
      <c r="S955" s="32"/>
      <c r="T955" s="32"/>
      <c r="U955" s="32"/>
      <c r="V955" s="32"/>
      <c r="W955" s="32"/>
      <c r="X955" s="32"/>
    </row>
    <row r="956" spans="2:24" x14ac:dyDescent="0.25">
      <c r="B956" s="32"/>
      <c r="C956" s="32"/>
      <c r="D956" s="32"/>
      <c r="E956" s="32"/>
      <c r="F956" s="32"/>
      <c r="G956" s="32"/>
      <c r="H956" s="32"/>
      <c r="I956" s="32"/>
      <c r="J956" s="32"/>
      <c r="K956" s="97">
        <f t="shared" si="12"/>
        <v>672</v>
      </c>
      <c r="L956" s="98" t="s">
        <v>625</v>
      </c>
      <c r="M956" s="99" t="s">
        <v>831</v>
      </c>
      <c r="N956" s="100"/>
      <c r="O956" s="32"/>
      <c r="P956" s="32"/>
      <c r="Q956" s="32"/>
      <c r="R956" s="32"/>
      <c r="S956" s="32"/>
      <c r="T956" s="32"/>
      <c r="U956" s="32"/>
      <c r="V956" s="32"/>
      <c r="W956" s="32"/>
      <c r="X956" s="32"/>
    </row>
    <row r="957" spans="2:24" x14ac:dyDescent="0.25">
      <c r="B957" s="32"/>
      <c r="C957" s="32"/>
      <c r="D957" s="32"/>
      <c r="E957" s="32"/>
      <c r="F957" s="32"/>
      <c r="G957" s="32"/>
      <c r="H957" s="32"/>
      <c r="I957" s="32"/>
      <c r="J957" s="32"/>
      <c r="K957" s="97">
        <f t="shared" si="12"/>
        <v>673</v>
      </c>
      <c r="L957" s="98" t="s">
        <v>625</v>
      </c>
      <c r="M957" s="99" t="s">
        <v>831</v>
      </c>
      <c r="N957" s="100"/>
      <c r="O957" s="32"/>
      <c r="P957" s="32"/>
      <c r="Q957" s="32"/>
      <c r="R957" s="32"/>
      <c r="S957" s="32"/>
      <c r="T957" s="32"/>
      <c r="U957" s="32"/>
      <c r="V957" s="32"/>
      <c r="W957" s="32"/>
      <c r="X957" s="32"/>
    </row>
    <row r="958" spans="2:24" x14ac:dyDescent="0.25">
      <c r="B958" s="32"/>
      <c r="C958" s="32"/>
      <c r="D958" s="32"/>
      <c r="E958" s="32"/>
      <c r="F958" s="32"/>
      <c r="G958" s="32"/>
      <c r="H958" s="32"/>
      <c r="I958" s="32"/>
      <c r="J958" s="32"/>
      <c r="K958" s="97">
        <f t="shared" si="12"/>
        <v>674</v>
      </c>
      <c r="L958" s="98" t="s">
        <v>831</v>
      </c>
      <c r="M958" s="99"/>
      <c r="N958" s="100"/>
      <c r="O958" s="32"/>
      <c r="P958" s="32"/>
      <c r="Q958" s="32"/>
      <c r="R958" s="32"/>
      <c r="S958" s="32"/>
      <c r="T958" s="32"/>
      <c r="U958" s="32"/>
      <c r="V958" s="32"/>
      <c r="W958" s="32"/>
      <c r="X958" s="32"/>
    </row>
    <row r="959" spans="2:24" x14ac:dyDescent="0.25">
      <c r="B959" s="32"/>
      <c r="C959" s="32"/>
      <c r="D959" s="32"/>
      <c r="E959" s="32"/>
      <c r="F959" s="32"/>
      <c r="G959" s="32"/>
      <c r="H959" s="32"/>
      <c r="I959" s="32"/>
      <c r="J959" s="32"/>
      <c r="K959" s="97">
        <f t="shared" si="12"/>
        <v>675</v>
      </c>
      <c r="L959" s="98" t="s">
        <v>387</v>
      </c>
      <c r="M959" s="99"/>
      <c r="N959" s="100"/>
      <c r="O959" s="32"/>
      <c r="P959" s="32"/>
      <c r="Q959" s="32"/>
      <c r="R959" s="32"/>
      <c r="S959" s="32"/>
      <c r="T959" s="32"/>
      <c r="U959" s="32"/>
      <c r="V959" s="32"/>
      <c r="W959" s="32"/>
      <c r="X959" s="32"/>
    </row>
    <row r="960" spans="2:24" x14ac:dyDescent="0.25">
      <c r="B960" s="32"/>
      <c r="C960" s="32"/>
      <c r="D960" s="32"/>
      <c r="E960" s="32"/>
      <c r="F960" s="32"/>
      <c r="G960" s="32"/>
      <c r="H960" s="32"/>
      <c r="I960" s="32"/>
      <c r="J960" s="32"/>
      <c r="K960" s="97">
        <f t="shared" si="12"/>
        <v>676</v>
      </c>
      <c r="L960" s="98" t="s">
        <v>1431</v>
      </c>
      <c r="M960" s="99"/>
      <c r="N960" s="100"/>
      <c r="O960" s="32"/>
      <c r="P960" s="32"/>
      <c r="Q960" s="32"/>
      <c r="R960" s="32"/>
      <c r="S960" s="32"/>
      <c r="T960" s="32"/>
      <c r="U960" s="32"/>
      <c r="V960" s="32"/>
      <c r="W960" s="32"/>
      <c r="X960" s="32"/>
    </row>
    <row r="961" spans="2:24" x14ac:dyDescent="0.25">
      <c r="B961" s="32"/>
      <c r="C961" s="32"/>
      <c r="D961" s="32"/>
      <c r="E961" s="32"/>
      <c r="F961" s="32"/>
      <c r="G961" s="32"/>
      <c r="H961" s="32"/>
      <c r="I961" s="32"/>
      <c r="J961" s="32"/>
      <c r="K961" s="97">
        <f t="shared" si="12"/>
        <v>677</v>
      </c>
      <c r="L961" s="98" t="s">
        <v>831</v>
      </c>
      <c r="M961" s="99"/>
      <c r="N961" s="100"/>
      <c r="O961" s="32"/>
      <c r="P961" s="32"/>
      <c r="Q961" s="32"/>
      <c r="R961" s="32"/>
      <c r="S961" s="32"/>
      <c r="T961" s="32"/>
      <c r="U961" s="32"/>
      <c r="V961" s="32"/>
      <c r="W961" s="32"/>
      <c r="X961" s="32"/>
    </row>
    <row r="962" spans="2:24" x14ac:dyDescent="0.25">
      <c r="B962" s="32"/>
      <c r="C962" s="32"/>
      <c r="D962" s="32"/>
      <c r="E962" s="32"/>
      <c r="F962" s="32"/>
      <c r="G962" s="32"/>
      <c r="H962" s="32"/>
      <c r="I962" s="32"/>
      <c r="J962" s="32"/>
      <c r="K962" s="97">
        <f t="shared" si="12"/>
        <v>678</v>
      </c>
      <c r="L962" s="98" t="s">
        <v>1452</v>
      </c>
      <c r="M962" s="99" t="s">
        <v>625</v>
      </c>
      <c r="N962" s="100" t="s">
        <v>831</v>
      </c>
      <c r="O962" s="32"/>
      <c r="P962" s="32"/>
      <c r="Q962" s="32"/>
      <c r="R962" s="32"/>
      <c r="S962" s="32"/>
      <c r="T962" s="32"/>
      <c r="U962" s="32"/>
      <c r="V962" s="32"/>
      <c r="W962" s="32"/>
      <c r="X962" s="32"/>
    </row>
    <row r="963" spans="2:24" x14ac:dyDescent="0.25">
      <c r="B963" s="32"/>
      <c r="C963" s="32"/>
      <c r="D963" s="32"/>
      <c r="E963" s="32"/>
      <c r="F963" s="32"/>
      <c r="G963" s="32"/>
      <c r="H963" s="32"/>
      <c r="I963" s="32"/>
      <c r="J963" s="32"/>
      <c r="K963" s="97">
        <f t="shared" si="12"/>
        <v>679</v>
      </c>
      <c r="L963" s="98" t="s">
        <v>1452</v>
      </c>
      <c r="M963" s="99" t="s">
        <v>625</v>
      </c>
      <c r="N963" s="100" t="s">
        <v>831</v>
      </c>
      <c r="O963" s="32"/>
      <c r="P963" s="32"/>
      <c r="Q963" s="32"/>
      <c r="R963" s="32"/>
      <c r="S963" s="32"/>
      <c r="T963" s="32"/>
      <c r="U963" s="32"/>
      <c r="V963" s="32"/>
      <c r="W963" s="32"/>
      <c r="X963" s="32"/>
    </row>
    <row r="964" spans="2:24" x14ac:dyDescent="0.25">
      <c r="B964" s="32"/>
      <c r="C964" s="32"/>
      <c r="D964" s="32"/>
      <c r="E964" s="32"/>
      <c r="F964" s="32"/>
      <c r="G964" s="32"/>
      <c r="H964" s="32"/>
      <c r="I964" s="32"/>
      <c r="J964" s="32"/>
      <c r="K964" s="97">
        <f t="shared" si="12"/>
        <v>680</v>
      </c>
      <c r="L964" s="98" t="s">
        <v>831</v>
      </c>
      <c r="M964" s="99"/>
      <c r="N964" s="100"/>
      <c r="O964" s="32"/>
      <c r="P964" s="32"/>
      <c r="Q964" s="32"/>
      <c r="R964" s="32"/>
      <c r="S964" s="32"/>
      <c r="T964" s="32"/>
      <c r="U964" s="32"/>
      <c r="V964" s="32"/>
      <c r="W964" s="32"/>
      <c r="X964" s="32"/>
    </row>
    <row r="965" spans="2:24" x14ac:dyDescent="0.25">
      <c r="B965" s="32"/>
      <c r="C965" s="32"/>
      <c r="D965" s="32"/>
      <c r="E965" s="32"/>
      <c r="F965" s="32"/>
      <c r="G965" s="32"/>
      <c r="H965" s="32"/>
      <c r="I965" s="32"/>
      <c r="J965" s="32"/>
      <c r="K965" s="97">
        <f t="shared" si="12"/>
        <v>681</v>
      </c>
      <c r="L965" s="98" t="s">
        <v>630</v>
      </c>
      <c r="M965" s="99" t="s">
        <v>1452</v>
      </c>
      <c r="N965" s="100"/>
      <c r="O965" s="32"/>
      <c r="P965" s="32"/>
      <c r="Q965" s="32"/>
      <c r="R965" s="32"/>
      <c r="S965" s="32"/>
      <c r="T965" s="32"/>
      <c r="U965" s="32"/>
      <c r="V965" s="32"/>
      <c r="W965" s="32"/>
      <c r="X965" s="32"/>
    </row>
    <row r="966" spans="2:24" x14ac:dyDescent="0.25">
      <c r="B966" s="32"/>
      <c r="C966" s="32"/>
      <c r="D966" s="32"/>
      <c r="E966" s="32"/>
      <c r="F966" s="32"/>
      <c r="G966" s="32"/>
      <c r="H966" s="32"/>
      <c r="I966" s="32"/>
      <c r="J966" s="32"/>
      <c r="K966" s="97">
        <f t="shared" si="12"/>
        <v>682</v>
      </c>
      <c r="L966" s="98" t="s">
        <v>630</v>
      </c>
      <c r="M966" s="99" t="s">
        <v>1452</v>
      </c>
      <c r="N966" s="100"/>
      <c r="O966" s="32"/>
      <c r="P966" s="32"/>
      <c r="Q966" s="32"/>
      <c r="R966" s="32"/>
      <c r="S966" s="32"/>
      <c r="T966" s="32"/>
      <c r="U966" s="32"/>
      <c r="V966" s="32"/>
      <c r="W966" s="32"/>
      <c r="X966" s="32"/>
    </row>
    <row r="967" spans="2:24" x14ac:dyDescent="0.25">
      <c r="B967" s="32"/>
      <c r="C967" s="32"/>
      <c r="D967" s="32"/>
      <c r="E967" s="32"/>
      <c r="F967" s="32"/>
      <c r="G967" s="32"/>
      <c r="H967" s="32"/>
      <c r="I967" s="32"/>
      <c r="J967" s="32"/>
      <c r="K967" s="97">
        <f t="shared" si="12"/>
        <v>683</v>
      </c>
      <c r="L967" s="98" t="s">
        <v>625</v>
      </c>
      <c r="M967" s="99"/>
      <c r="N967" s="100"/>
      <c r="O967" s="32"/>
      <c r="P967" s="32"/>
      <c r="Q967" s="32"/>
      <c r="R967" s="32"/>
      <c r="S967" s="32"/>
      <c r="T967" s="32"/>
      <c r="U967" s="32"/>
      <c r="V967" s="32"/>
      <c r="W967" s="32"/>
      <c r="X967" s="32"/>
    </row>
    <row r="968" spans="2:24" x14ac:dyDescent="0.25">
      <c r="B968" s="32"/>
      <c r="C968" s="32"/>
      <c r="D968" s="32"/>
      <c r="E968" s="32"/>
      <c r="F968" s="32"/>
      <c r="G968" s="32"/>
      <c r="H968" s="32"/>
      <c r="I968" s="32"/>
      <c r="J968" s="32"/>
      <c r="K968" s="97">
        <f t="shared" si="12"/>
        <v>684</v>
      </c>
      <c r="L968" s="98" t="s">
        <v>821</v>
      </c>
      <c r="M968" s="99"/>
      <c r="N968" s="100"/>
      <c r="O968" s="32"/>
      <c r="P968" s="32"/>
      <c r="Q968" s="32"/>
      <c r="R968" s="32"/>
      <c r="S968" s="32"/>
      <c r="T968" s="32"/>
      <c r="U968" s="32"/>
      <c r="V968" s="32"/>
      <c r="W968" s="32"/>
      <c r="X968" s="32"/>
    </row>
    <row r="969" spans="2:24" x14ac:dyDescent="0.25">
      <c r="B969" s="32"/>
      <c r="C969" s="32"/>
      <c r="D969" s="32"/>
      <c r="E969" s="32"/>
      <c r="F969" s="32"/>
      <c r="G969" s="32"/>
      <c r="H969" s="32"/>
      <c r="I969" s="32"/>
      <c r="J969" s="32"/>
      <c r="K969" s="97">
        <f t="shared" si="12"/>
        <v>685</v>
      </c>
      <c r="L969" s="98" t="s">
        <v>821</v>
      </c>
      <c r="M969" s="99" t="s">
        <v>387</v>
      </c>
      <c r="N969" s="100"/>
      <c r="O969" s="32"/>
      <c r="P969" s="32"/>
      <c r="Q969" s="32"/>
      <c r="R969" s="32"/>
      <c r="S969" s="32"/>
      <c r="T969" s="32"/>
      <c r="U969" s="32"/>
      <c r="V969" s="32"/>
      <c r="W969" s="32"/>
      <c r="X969" s="32"/>
    </row>
    <row r="970" spans="2:24" x14ac:dyDescent="0.25">
      <c r="B970" s="32"/>
      <c r="C970" s="32"/>
      <c r="D970" s="32"/>
      <c r="E970" s="32"/>
      <c r="F970" s="32"/>
      <c r="G970" s="32"/>
      <c r="H970" s="32"/>
      <c r="I970" s="32"/>
      <c r="J970" s="32"/>
      <c r="K970" s="97">
        <f t="shared" si="12"/>
        <v>686</v>
      </c>
      <c r="L970" s="98" t="s">
        <v>821</v>
      </c>
      <c r="M970" s="99" t="s">
        <v>634</v>
      </c>
      <c r="N970" s="100"/>
      <c r="O970" s="32"/>
      <c r="P970" s="32"/>
      <c r="Q970" s="32"/>
      <c r="R970" s="32"/>
      <c r="S970" s="32"/>
      <c r="T970" s="32"/>
      <c r="U970" s="32"/>
      <c r="V970" s="32"/>
      <c r="W970" s="32"/>
      <c r="X970" s="32"/>
    </row>
    <row r="971" spans="2:24" x14ac:dyDescent="0.25">
      <c r="B971" s="32"/>
      <c r="C971" s="32"/>
      <c r="D971" s="32"/>
      <c r="E971" s="32"/>
      <c r="F971" s="32"/>
      <c r="G971" s="32"/>
      <c r="H971" s="32"/>
      <c r="I971" s="32"/>
      <c r="J971" s="32"/>
      <c r="K971" s="97">
        <f t="shared" si="12"/>
        <v>687</v>
      </c>
      <c r="L971" s="98"/>
      <c r="M971" s="99"/>
      <c r="N971" s="100"/>
      <c r="O971" s="32"/>
      <c r="P971" s="32"/>
      <c r="Q971" s="32"/>
      <c r="R971" s="32"/>
      <c r="S971" s="32"/>
      <c r="T971" s="32"/>
      <c r="U971" s="32"/>
      <c r="V971" s="32"/>
      <c r="W971" s="32"/>
      <c r="X971" s="32"/>
    </row>
    <row r="972" spans="2:24" x14ac:dyDescent="0.25">
      <c r="B972" s="32"/>
      <c r="C972" s="32"/>
      <c r="D972" s="32"/>
      <c r="E972" s="32"/>
      <c r="F972" s="32"/>
      <c r="G972" s="32"/>
      <c r="H972" s="32"/>
      <c r="I972" s="32"/>
      <c r="J972" s="32"/>
      <c r="K972" s="97">
        <f t="shared" si="12"/>
        <v>688</v>
      </c>
      <c r="L972" s="98" t="s">
        <v>614</v>
      </c>
      <c r="M972" s="99" t="s">
        <v>630</v>
      </c>
      <c r="N972" s="100" t="s">
        <v>829</v>
      </c>
      <c r="O972" s="32"/>
      <c r="P972" s="32"/>
      <c r="Q972" s="32"/>
      <c r="R972" s="32"/>
      <c r="S972" s="32"/>
      <c r="T972" s="32"/>
      <c r="U972" s="32"/>
      <c r="V972" s="32"/>
      <c r="W972" s="32"/>
      <c r="X972" s="32"/>
    </row>
    <row r="973" spans="2:24" x14ac:dyDescent="0.25">
      <c r="B973" s="32"/>
      <c r="C973" s="32"/>
      <c r="D973" s="32"/>
      <c r="E973" s="32"/>
      <c r="F973" s="32"/>
      <c r="G973" s="32"/>
      <c r="H973" s="32"/>
      <c r="I973" s="32"/>
      <c r="J973" s="32"/>
      <c r="K973" s="97">
        <f t="shared" si="12"/>
        <v>689</v>
      </c>
      <c r="L973" s="98"/>
      <c r="M973" s="99"/>
      <c r="N973" s="100"/>
      <c r="O973" s="32"/>
      <c r="P973" s="32"/>
      <c r="Q973" s="32"/>
      <c r="R973" s="32"/>
      <c r="S973" s="32"/>
      <c r="T973" s="32"/>
      <c r="U973" s="32"/>
      <c r="V973" s="32"/>
      <c r="W973" s="32"/>
      <c r="X973" s="32"/>
    </row>
    <row r="974" spans="2:24" x14ac:dyDescent="0.25">
      <c r="B974" s="32"/>
      <c r="C974" s="32"/>
      <c r="D974" s="32"/>
      <c r="E974" s="32"/>
      <c r="F974" s="32"/>
      <c r="G974" s="32"/>
      <c r="H974" s="32"/>
      <c r="I974" s="32"/>
      <c r="J974" s="32"/>
      <c r="K974" s="97">
        <f t="shared" si="12"/>
        <v>690</v>
      </c>
      <c r="L974" s="98" t="s">
        <v>821</v>
      </c>
      <c r="M974" s="99"/>
      <c r="N974" s="100"/>
      <c r="O974" s="32"/>
      <c r="P974" s="32"/>
      <c r="Q974" s="32"/>
      <c r="R974" s="32"/>
      <c r="S974" s="32"/>
      <c r="T974" s="32"/>
      <c r="U974" s="32"/>
      <c r="V974" s="32"/>
      <c r="W974" s="32"/>
      <c r="X974" s="32"/>
    </row>
    <row r="975" spans="2:24" x14ac:dyDescent="0.25">
      <c r="B975" s="32"/>
      <c r="C975" s="32"/>
      <c r="D975" s="32"/>
      <c r="E975" s="32"/>
      <c r="F975" s="32"/>
      <c r="G975" s="32"/>
      <c r="H975" s="32"/>
      <c r="I975" s="32"/>
      <c r="J975" s="32"/>
      <c r="K975" s="97">
        <f t="shared" si="12"/>
        <v>691</v>
      </c>
      <c r="L975" s="98" t="s">
        <v>837</v>
      </c>
      <c r="M975" s="99" t="s">
        <v>821</v>
      </c>
      <c r="N975" s="100"/>
      <c r="O975" s="32"/>
      <c r="P975" s="32"/>
      <c r="Q975" s="32"/>
      <c r="R975" s="32"/>
      <c r="S975" s="32"/>
      <c r="T975" s="32"/>
      <c r="U975" s="32"/>
      <c r="V975" s="32"/>
      <c r="W975" s="32"/>
      <c r="X975" s="32"/>
    </row>
    <row r="976" spans="2:24" x14ac:dyDescent="0.25">
      <c r="B976" s="32"/>
      <c r="C976" s="32"/>
      <c r="D976" s="32"/>
      <c r="E976" s="32"/>
      <c r="F976" s="32"/>
      <c r="G976" s="32"/>
      <c r="H976" s="32"/>
      <c r="I976" s="32"/>
      <c r="J976" s="32"/>
      <c r="K976" s="97">
        <f t="shared" si="12"/>
        <v>692</v>
      </c>
      <c r="L976" s="98" t="s">
        <v>821</v>
      </c>
      <c r="M976" s="99"/>
      <c r="N976" s="100"/>
      <c r="O976" s="32"/>
      <c r="P976" s="32"/>
      <c r="Q976" s="32"/>
      <c r="R976" s="32"/>
      <c r="S976" s="32"/>
      <c r="T976" s="32"/>
      <c r="U976" s="32"/>
      <c r="V976" s="32"/>
      <c r="W976" s="32"/>
      <c r="X976" s="32"/>
    </row>
    <row r="977" spans="2:24" x14ac:dyDescent="0.25">
      <c r="B977" s="32"/>
      <c r="C977" s="32"/>
      <c r="D977" s="32"/>
      <c r="E977" s="32"/>
      <c r="F977" s="32"/>
      <c r="G977" s="32"/>
      <c r="H977" s="32"/>
      <c r="I977" s="32"/>
      <c r="J977" s="32"/>
      <c r="K977" s="97">
        <f t="shared" si="12"/>
        <v>693</v>
      </c>
      <c r="L977" s="98" t="s">
        <v>829</v>
      </c>
      <c r="M977" s="99" t="s">
        <v>821</v>
      </c>
      <c r="N977" s="100"/>
      <c r="O977" s="32"/>
      <c r="P977" s="32"/>
      <c r="Q977" s="32"/>
      <c r="R977" s="32"/>
      <c r="S977" s="32"/>
      <c r="T977" s="32"/>
      <c r="U977" s="32"/>
      <c r="V977" s="32"/>
      <c r="W977" s="32"/>
      <c r="X977" s="32"/>
    </row>
    <row r="978" spans="2:24" x14ac:dyDescent="0.25">
      <c r="B978" s="32"/>
      <c r="C978" s="32"/>
      <c r="D978" s="32"/>
      <c r="E978" s="32"/>
      <c r="F978" s="32"/>
      <c r="G978" s="32"/>
      <c r="H978" s="32"/>
      <c r="I978" s="32"/>
      <c r="J978" s="32"/>
      <c r="K978" s="97">
        <f t="shared" si="12"/>
        <v>694</v>
      </c>
      <c r="L978" s="98"/>
      <c r="M978" s="99"/>
      <c r="N978" s="100"/>
      <c r="O978" s="32"/>
      <c r="P978" s="32"/>
      <c r="Q978" s="32"/>
      <c r="R978" s="32"/>
      <c r="S978" s="32"/>
      <c r="T978" s="32"/>
      <c r="U978" s="32"/>
      <c r="V978" s="32"/>
      <c r="W978" s="32"/>
      <c r="X978" s="32"/>
    </row>
    <row r="979" spans="2:24" x14ac:dyDescent="0.25">
      <c r="B979" s="32"/>
      <c r="C979" s="32"/>
      <c r="D979" s="32"/>
      <c r="E979" s="32"/>
      <c r="F979" s="32"/>
      <c r="G979" s="32"/>
      <c r="H979" s="32"/>
      <c r="I979" s="32"/>
      <c r="J979" s="32"/>
      <c r="K979" s="97">
        <f t="shared" si="12"/>
        <v>695</v>
      </c>
      <c r="L979" s="98" t="s">
        <v>630</v>
      </c>
      <c r="M979" s="99" t="s">
        <v>821</v>
      </c>
      <c r="N979" s="100"/>
      <c r="O979" s="32"/>
      <c r="P979" s="32"/>
      <c r="Q979" s="32"/>
      <c r="R979" s="32"/>
      <c r="S979" s="32"/>
      <c r="T979" s="32"/>
      <c r="U979" s="32"/>
      <c r="V979" s="32"/>
      <c r="W979" s="32"/>
      <c r="X979" s="32"/>
    </row>
    <row r="980" spans="2:24" x14ac:dyDescent="0.25">
      <c r="B980" s="32"/>
      <c r="C980" s="32"/>
      <c r="D980" s="32"/>
      <c r="E980" s="32"/>
      <c r="F980" s="32"/>
      <c r="G980" s="32"/>
      <c r="H980" s="32"/>
      <c r="I980" s="32"/>
      <c r="J980" s="32"/>
      <c r="K980" s="97">
        <f t="shared" si="12"/>
        <v>696</v>
      </c>
      <c r="L980" s="98"/>
      <c r="M980" s="99"/>
      <c r="N980" s="100"/>
      <c r="O980" s="32"/>
      <c r="P980" s="32"/>
      <c r="Q980" s="32"/>
      <c r="R980" s="32"/>
      <c r="S980" s="32"/>
      <c r="T980" s="32"/>
      <c r="U980" s="32"/>
      <c r="V980" s="32"/>
      <c r="W980" s="32"/>
      <c r="X980" s="32"/>
    </row>
    <row r="981" spans="2:24" x14ac:dyDescent="0.25">
      <c r="B981" s="32"/>
      <c r="C981" s="32"/>
      <c r="D981" s="32"/>
      <c r="E981" s="32"/>
      <c r="F981" s="32"/>
      <c r="G981" s="32"/>
      <c r="H981" s="32"/>
      <c r="I981" s="32"/>
      <c r="J981" s="32"/>
      <c r="K981" s="97">
        <f t="shared" si="12"/>
        <v>697</v>
      </c>
      <c r="L981" s="98"/>
      <c r="M981" s="99"/>
      <c r="N981" s="100"/>
      <c r="O981" s="32"/>
      <c r="P981" s="32"/>
      <c r="Q981" s="32"/>
      <c r="R981" s="32"/>
      <c r="S981" s="32"/>
      <c r="T981" s="32"/>
      <c r="U981" s="32"/>
      <c r="V981" s="32"/>
      <c r="W981" s="32"/>
      <c r="X981" s="32"/>
    </row>
    <row r="982" spans="2:24" x14ac:dyDescent="0.25">
      <c r="B982" s="32"/>
      <c r="C982" s="32"/>
      <c r="D982" s="32"/>
      <c r="E982" s="32"/>
      <c r="F982" s="32"/>
      <c r="G982" s="32"/>
      <c r="H982" s="32"/>
      <c r="I982" s="32"/>
      <c r="J982" s="32"/>
      <c r="K982" s="97">
        <f t="shared" si="12"/>
        <v>698</v>
      </c>
      <c r="L982" s="98"/>
      <c r="M982" s="99"/>
      <c r="N982" s="100"/>
      <c r="O982" s="32"/>
      <c r="P982" s="32"/>
      <c r="Q982" s="32"/>
      <c r="R982" s="32"/>
      <c r="S982" s="32"/>
      <c r="T982" s="32"/>
      <c r="U982" s="32"/>
      <c r="V982" s="32"/>
      <c r="W982" s="32"/>
      <c r="X982" s="32"/>
    </row>
    <row r="983" spans="2:24" x14ac:dyDescent="0.25">
      <c r="B983" s="32"/>
      <c r="C983" s="32"/>
      <c r="D983" s="32"/>
      <c r="E983" s="32"/>
      <c r="F983" s="32"/>
      <c r="G983" s="32"/>
      <c r="H983" s="32"/>
      <c r="I983" s="32"/>
      <c r="J983" s="32"/>
      <c r="K983" s="97">
        <f t="shared" si="12"/>
        <v>699</v>
      </c>
      <c r="L983" s="98" t="s">
        <v>820</v>
      </c>
      <c r="M983" s="99"/>
      <c r="N983" s="100"/>
      <c r="O983" s="32"/>
      <c r="P983" s="32"/>
      <c r="Q983" s="32"/>
      <c r="R983" s="32"/>
      <c r="S983" s="32"/>
      <c r="T983" s="32"/>
      <c r="U983" s="32"/>
      <c r="V983" s="32"/>
      <c r="W983" s="32"/>
      <c r="X983" s="32"/>
    </row>
    <row r="984" spans="2:24" x14ac:dyDescent="0.25">
      <c r="B984" s="32"/>
      <c r="C984" s="32"/>
      <c r="D984" s="32"/>
      <c r="E984" s="32"/>
      <c r="F984" s="32"/>
      <c r="G984" s="32"/>
      <c r="H984" s="32"/>
      <c r="I984" s="32"/>
      <c r="J984" s="32"/>
      <c r="K984" s="97">
        <f t="shared" si="12"/>
        <v>700</v>
      </c>
      <c r="L984" s="98" t="s">
        <v>821</v>
      </c>
      <c r="M984" s="99" t="s">
        <v>636</v>
      </c>
      <c r="N984" s="100"/>
      <c r="O984" s="32"/>
      <c r="P984" s="32"/>
      <c r="Q984" s="32"/>
      <c r="R984" s="32"/>
      <c r="S984" s="32"/>
      <c r="T984" s="32"/>
      <c r="U984" s="32"/>
      <c r="V984" s="32"/>
      <c r="W984" s="32"/>
      <c r="X984" s="32"/>
    </row>
    <row r="985" spans="2:24" x14ac:dyDescent="0.25">
      <c r="B985" s="32"/>
      <c r="C985" s="32"/>
      <c r="D985" s="32"/>
      <c r="E985" s="32"/>
      <c r="F985" s="32"/>
      <c r="G985" s="32"/>
      <c r="H985" s="32"/>
      <c r="I985" s="32"/>
      <c r="J985" s="32"/>
      <c r="K985" s="97">
        <f t="shared" si="12"/>
        <v>701</v>
      </c>
      <c r="L985" s="98" t="s">
        <v>636</v>
      </c>
      <c r="M985" s="99"/>
      <c r="N985" s="100"/>
      <c r="O985" s="32"/>
      <c r="P985" s="32"/>
      <c r="Q985" s="32"/>
      <c r="R985" s="32"/>
      <c r="S985" s="32"/>
      <c r="T985" s="32"/>
      <c r="U985" s="32"/>
      <c r="V985" s="32"/>
      <c r="W985" s="32"/>
      <c r="X985" s="32"/>
    </row>
    <row r="986" spans="2:24" x14ac:dyDescent="0.25">
      <c r="B986" s="32"/>
      <c r="C986" s="32"/>
      <c r="D986" s="32"/>
      <c r="E986" s="32"/>
      <c r="F986" s="32"/>
      <c r="G986" s="32"/>
      <c r="H986" s="32"/>
      <c r="I986" s="32"/>
      <c r="J986" s="32"/>
      <c r="K986" s="97">
        <f t="shared" si="12"/>
        <v>702</v>
      </c>
      <c r="L986" s="98" t="s">
        <v>821</v>
      </c>
      <c r="M986" s="99" t="s">
        <v>817</v>
      </c>
      <c r="N986" s="100" t="s">
        <v>1454</v>
      </c>
      <c r="O986" s="32"/>
      <c r="P986" s="32"/>
      <c r="Q986" s="32"/>
      <c r="R986" s="32"/>
      <c r="S986" s="32"/>
      <c r="T986" s="32"/>
      <c r="U986" s="32"/>
      <c r="V986" s="32"/>
      <c r="W986" s="32"/>
      <c r="X986" s="32"/>
    </row>
    <row r="987" spans="2:24" x14ac:dyDescent="0.25">
      <c r="B987" s="32"/>
      <c r="C987" s="32"/>
      <c r="D987" s="32"/>
      <c r="E987" s="32"/>
      <c r="F987" s="32"/>
      <c r="G987" s="32"/>
      <c r="H987" s="32"/>
      <c r="I987" s="32"/>
      <c r="J987" s="32"/>
      <c r="K987" s="97">
        <f t="shared" si="12"/>
        <v>703</v>
      </c>
      <c r="L987" s="98" t="s">
        <v>821</v>
      </c>
      <c r="M987" s="99" t="s">
        <v>817</v>
      </c>
      <c r="N987" s="100" t="s">
        <v>1454</v>
      </c>
      <c r="O987" s="32"/>
      <c r="P987" s="32"/>
      <c r="Q987" s="32"/>
      <c r="R987" s="32"/>
      <c r="S987" s="32"/>
      <c r="T987" s="32"/>
      <c r="U987" s="32"/>
      <c r="V987" s="32"/>
      <c r="W987" s="32"/>
      <c r="X987" s="32"/>
    </row>
    <row r="988" spans="2:24" x14ac:dyDescent="0.25">
      <c r="B988" s="32"/>
      <c r="C988" s="32"/>
      <c r="D988" s="32"/>
      <c r="E988" s="32"/>
      <c r="F988" s="32"/>
      <c r="G988" s="32"/>
      <c r="H988" s="32"/>
      <c r="I988" s="32"/>
      <c r="J988" s="32"/>
      <c r="K988" s="97">
        <f t="shared" si="12"/>
        <v>704</v>
      </c>
      <c r="L988" s="98" t="s">
        <v>821</v>
      </c>
      <c r="M988" s="99" t="s">
        <v>817</v>
      </c>
      <c r="N988" s="100" t="s">
        <v>1454</v>
      </c>
      <c r="O988" s="32"/>
      <c r="P988" s="32"/>
      <c r="Q988" s="32"/>
      <c r="R988" s="32"/>
      <c r="S988" s="32"/>
      <c r="T988" s="32"/>
      <c r="U988" s="32"/>
      <c r="V988" s="32"/>
      <c r="W988" s="32"/>
      <c r="X988" s="32"/>
    </row>
    <row r="989" spans="2:24" x14ac:dyDescent="0.25">
      <c r="B989" s="32"/>
      <c r="C989" s="32"/>
      <c r="D989" s="32"/>
      <c r="E989" s="32"/>
      <c r="F989" s="32"/>
      <c r="G989" s="32"/>
      <c r="H989" s="32"/>
      <c r="I989" s="32"/>
      <c r="J989" s="32"/>
      <c r="K989" s="97">
        <f t="shared" si="12"/>
        <v>705</v>
      </c>
      <c r="L989" s="98" t="s">
        <v>821</v>
      </c>
      <c r="M989" s="99" t="s">
        <v>817</v>
      </c>
      <c r="N989" s="100" t="s">
        <v>1452</v>
      </c>
      <c r="O989" s="32"/>
      <c r="P989" s="32"/>
      <c r="Q989" s="32"/>
      <c r="R989" s="32"/>
      <c r="S989" s="32"/>
      <c r="T989" s="32"/>
      <c r="U989" s="32"/>
      <c r="V989" s="32"/>
      <c r="W989" s="32"/>
      <c r="X989" s="32"/>
    </row>
    <row r="990" spans="2:24" x14ac:dyDescent="0.25">
      <c r="B990" s="32"/>
      <c r="C990" s="32"/>
      <c r="D990" s="32"/>
      <c r="E990" s="32"/>
      <c r="F990" s="32"/>
      <c r="G990" s="32"/>
      <c r="H990" s="32"/>
      <c r="I990" s="32"/>
      <c r="J990" s="32"/>
      <c r="K990" s="97">
        <f t="shared" si="12"/>
        <v>706</v>
      </c>
      <c r="L990" s="98" t="s">
        <v>817</v>
      </c>
      <c r="M990" s="99" t="s">
        <v>821</v>
      </c>
      <c r="N990" s="100" t="s">
        <v>1454</v>
      </c>
      <c r="O990" s="32"/>
      <c r="P990" s="32"/>
      <c r="Q990" s="32"/>
      <c r="R990" s="32"/>
      <c r="S990" s="32"/>
      <c r="T990" s="32"/>
      <c r="U990" s="32"/>
      <c r="V990" s="32"/>
      <c r="W990" s="32"/>
      <c r="X990" s="32"/>
    </row>
    <row r="991" spans="2:24" x14ac:dyDescent="0.25">
      <c r="B991" s="32"/>
      <c r="C991" s="32"/>
      <c r="D991" s="32"/>
      <c r="E991" s="32"/>
      <c r="F991" s="32"/>
      <c r="G991" s="32"/>
      <c r="H991" s="32"/>
      <c r="I991" s="32"/>
      <c r="J991" s="32"/>
      <c r="K991" s="97">
        <f t="shared" si="12"/>
        <v>707</v>
      </c>
      <c r="L991" s="98" t="s">
        <v>1454</v>
      </c>
      <c r="M991" s="99" t="s">
        <v>821</v>
      </c>
      <c r="N991" s="100" t="s">
        <v>1452</v>
      </c>
      <c r="O991" s="32"/>
      <c r="P991" s="32"/>
      <c r="Q991" s="32"/>
      <c r="R991" s="32"/>
      <c r="S991" s="32"/>
      <c r="T991" s="32"/>
      <c r="U991" s="32"/>
      <c r="V991" s="32"/>
      <c r="W991" s="32"/>
      <c r="X991" s="32"/>
    </row>
    <row r="992" spans="2:24" x14ac:dyDescent="0.25">
      <c r="B992" s="32"/>
      <c r="C992" s="32"/>
      <c r="D992" s="32"/>
      <c r="E992" s="32"/>
      <c r="F992" s="32"/>
      <c r="G992" s="32"/>
      <c r="H992" s="32"/>
      <c r="I992" s="32"/>
      <c r="J992" s="32"/>
      <c r="K992" s="97">
        <f t="shared" si="12"/>
        <v>708</v>
      </c>
      <c r="L992" s="98" t="s">
        <v>821</v>
      </c>
      <c r="M992" s="99" t="s">
        <v>1454</v>
      </c>
      <c r="N992" s="100" t="s">
        <v>1452</v>
      </c>
      <c r="O992" s="32"/>
      <c r="P992" s="32"/>
      <c r="Q992" s="32"/>
      <c r="R992" s="32"/>
      <c r="S992" s="32"/>
      <c r="T992" s="32"/>
      <c r="U992" s="32"/>
      <c r="V992" s="32"/>
      <c r="W992" s="32"/>
      <c r="X992" s="32"/>
    </row>
    <row r="993" spans="2:24" x14ac:dyDescent="0.25">
      <c r="B993" s="32"/>
      <c r="C993" s="32"/>
      <c r="D993" s="32"/>
      <c r="E993" s="32"/>
      <c r="F993" s="32"/>
      <c r="G993" s="32"/>
      <c r="H993" s="32"/>
      <c r="I993" s="32"/>
      <c r="J993" s="32"/>
      <c r="K993" s="97">
        <f t="shared" si="12"/>
        <v>709</v>
      </c>
      <c r="L993" s="98" t="s">
        <v>1452</v>
      </c>
      <c r="M993" s="99" t="s">
        <v>825</v>
      </c>
      <c r="N993" s="100" t="s">
        <v>626</v>
      </c>
      <c r="O993" s="32"/>
      <c r="P993" s="32"/>
      <c r="Q993" s="32"/>
      <c r="R993" s="32"/>
      <c r="S993" s="32"/>
      <c r="T993" s="32"/>
      <c r="U993" s="32"/>
      <c r="V993" s="32"/>
      <c r="W993" s="32"/>
      <c r="X993" s="32"/>
    </row>
    <row r="994" spans="2:24" x14ac:dyDescent="0.25">
      <c r="B994" s="32"/>
      <c r="C994" s="32"/>
      <c r="D994" s="32"/>
      <c r="E994" s="32"/>
      <c r="F994" s="32"/>
      <c r="G994" s="32"/>
      <c r="H994" s="32"/>
      <c r="I994" s="32"/>
      <c r="J994" s="32"/>
      <c r="K994" s="97">
        <f t="shared" si="12"/>
        <v>710</v>
      </c>
      <c r="L994" s="98" t="s">
        <v>825</v>
      </c>
      <c r="M994" s="99" t="s">
        <v>1452</v>
      </c>
      <c r="N994" s="100" t="s">
        <v>626</v>
      </c>
      <c r="O994" s="32"/>
      <c r="P994" s="32"/>
      <c r="Q994" s="32"/>
      <c r="R994" s="32"/>
      <c r="S994" s="32"/>
      <c r="T994" s="32"/>
      <c r="U994" s="32"/>
      <c r="V994" s="32"/>
      <c r="W994" s="32"/>
      <c r="X994" s="32"/>
    </row>
    <row r="995" spans="2:24" x14ac:dyDescent="0.25">
      <c r="B995" s="32"/>
      <c r="C995" s="32"/>
      <c r="D995" s="32"/>
      <c r="E995" s="32"/>
      <c r="F995" s="32"/>
      <c r="G995" s="32"/>
      <c r="H995" s="32"/>
      <c r="I995" s="32"/>
      <c r="J995" s="32"/>
      <c r="K995" s="97">
        <f t="shared" si="12"/>
        <v>711</v>
      </c>
      <c r="L995" s="98" t="s">
        <v>1452</v>
      </c>
      <c r="M995" s="99" t="s">
        <v>626</v>
      </c>
      <c r="N995" s="100"/>
      <c r="O995" s="32"/>
      <c r="P995" s="32"/>
      <c r="Q995" s="32"/>
      <c r="R995" s="32"/>
      <c r="S995" s="32"/>
      <c r="T995" s="32"/>
      <c r="U995" s="32"/>
      <c r="V995" s="32"/>
      <c r="W995" s="32"/>
      <c r="X995" s="32"/>
    </row>
    <row r="996" spans="2:24" x14ac:dyDescent="0.25">
      <c r="B996" s="32"/>
      <c r="C996" s="32"/>
      <c r="D996" s="32"/>
      <c r="E996" s="32"/>
      <c r="F996" s="32"/>
      <c r="G996" s="32"/>
      <c r="H996" s="32"/>
      <c r="I996" s="32"/>
      <c r="J996" s="32"/>
      <c r="K996" s="97">
        <f t="shared" si="12"/>
        <v>712</v>
      </c>
      <c r="L996" s="98" t="s">
        <v>626</v>
      </c>
      <c r="M996" s="99"/>
      <c r="N996" s="100"/>
      <c r="O996" s="32"/>
      <c r="P996" s="32"/>
      <c r="Q996" s="32"/>
      <c r="R996" s="32"/>
      <c r="S996" s="32"/>
      <c r="T996" s="32"/>
      <c r="U996" s="32"/>
      <c r="V996" s="32"/>
      <c r="W996" s="32"/>
      <c r="X996" s="32"/>
    </row>
    <row r="997" spans="2:24" x14ac:dyDescent="0.25">
      <c r="B997" s="32"/>
      <c r="C997" s="32"/>
      <c r="D997" s="32"/>
      <c r="E997" s="32"/>
      <c r="F997" s="32"/>
      <c r="G997" s="32"/>
      <c r="H997" s="32"/>
      <c r="I997" s="32"/>
      <c r="J997" s="32"/>
      <c r="K997" s="97">
        <f t="shared" si="12"/>
        <v>713</v>
      </c>
      <c r="L997" s="98" t="s">
        <v>825</v>
      </c>
      <c r="M997" s="99" t="s">
        <v>1452</v>
      </c>
      <c r="N997" s="100" t="s">
        <v>1470</v>
      </c>
      <c r="O997" s="32"/>
      <c r="P997" s="32"/>
      <c r="Q997" s="32"/>
      <c r="R997" s="32"/>
      <c r="S997" s="32"/>
      <c r="T997" s="32"/>
      <c r="U997" s="32"/>
      <c r="V997" s="32"/>
      <c r="W997" s="32"/>
      <c r="X997" s="32"/>
    </row>
    <row r="998" spans="2:24" x14ac:dyDescent="0.25">
      <c r="B998" s="32"/>
      <c r="C998" s="32"/>
      <c r="D998" s="32"/>
      <c r="E998" s="32"/>
      <c r="F998" s="32"/>
      <c r="G998" s="32"/>
      <c r="H998" s="32"/>
      <c r="I998" s="32"/>
      <c r="J998" s="32"/>
      <c r="K998" s="97">
        <f t="shared" si="12"/>
        <v>714</v>
      </c>
      <c r="L998" s="98" t="s">
        <v>626</v>
      </c>
      <c r="M998" s="99"/>
      <c r="N998" s="100"/>
      <c r="O998" s="32"/>
      <c r="P998" s="32"/>
      <c r="Q998" s="32"/>
      <c r="R998" s="32"/>
      <c r="S998" s="32"/>
      <c r="T998" s="32"/>
      <c r="U998" s="32"/>
      <c r="V998" s="32"/>
      <c r="W998" s="32"/>
      <c r="X998" s="32"/>
    </row>
    <row r="999" spans="2:24" x14ac:dyDescent="0.25">
      <c r="B999" s="32"/>
      <c r="C999" s="32"/>
      <c r="D999" s="32"/>
      <c r="E999" s="32"/>
      <c r="F999" s="32"/>
      <c r="G999" s="32"/>
      <c r="H999" s="32"/>
      <c r="I999" s="32"/>
      <c r="J999" s="32"/>
      <c r="K999" s="97">
        <f t="shared" si="12"/>
        <v>715</v>
      </c>
      <c r="L999" s="98" t="s">
        <v>626</v>
      </c>
      <c r="M999" s="99" t="s">
        <v>1452</v>
      </c>
      <c r="N999" s="100"/>
      <c r="O999" s="32"/>
      <c r="P999" s="32"/>
      <c r="Q999" s="32"/>
      <c r="R999" s="32"/>
      <c r="S999" s="32"/>
      <c r="T999" s="32"/>
      <c r="U999" s="32"/>
      <c r="V999" s="32"/>
      <c r="W999" s="32"/>
      <c r="X999" s="32"/>
    </row>
    <row r="1000" spans="2:24" x14ac:dyDescent="0.25">
      <c r="B1000" s="32"/>
      <c r="C1000" s="32"/>
      <c r="D1000" s="32"/>
      <c r="E1000" s="32"/>
      <c r="F1000" s="32"/>
      <c r="G1000" s="32"/>
      <c r="H1000" s="32"/>
      <c r="I1000" s="32"/>
      <c r="J1000" s="32"/>
      <c r="K1000" s="97">
        <f t="shared" si="12"/>
        <v>716</v>
      </c>
      <c r="L1000" s="98" t="s">
        <v>825</v>
      </c>
      <c r="M1000" s="99" t="s">
        <v>1452</v>
      </c>
      <c r="N1000" s="100" t="s">
        <v>626</v>
      </c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</row>
    <row r="1001" spans="2:24" x14ac:dyDescent="0.25">
      <c r="B1001" s="32"/>
      <c r="C1001" s="32"/>
      <c r="D1001" s="32"/>
      <c r="E1001" s="32"/>
      <c r="F1001" s="32"/>
      <c r="G1001" s="32"/>
      <c r="H1001" s="32"/>
      <c r="I1001" s="32"/>
      <c r="J1001" s="32"/>
      <c r="K1001" s="97">
        <f t="shared" si="12"/>
        <v>717</v>
      </c>
      <c r="L1001" s="98" t="s">
        <v>1452</v>
      </c>
      <c r="M1001" s="99" t="s">
        <v>626</v>
      </c>
      <c r="N1001" s="100" t="s">
        <v>825</v>
      </c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</row>
    <row r="1002" spans="2:24" x14ac:dyDescent="0.25">
      <c r="B1002" s="32"/>
      <c r="C1002" s="32"/>
      <c r="D1002" s="32"/>
      <c r="E1002" s="32"/>
      <c r="F1002" s="32"/>
      <c r="G1002" s="32"/>
      <c r="H1002" s="32"/>
      <c r="I1002" s="32"/>
      <c r="J1002" s="32"/>
      <c r="K1002" s="97">
        <f t="shared" si="12"/>
        <v>718</v>
      </c>
      <c r="L1002" s="98" t="s">
        <v>825</v>
      </c>
      <c r="M1002" s="99" t="s">
        <v>626</v>
      </c>
      <c r="N1002" s="100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</row>
    <row r="1003" spans="2:24" x14ac:dyDescent="0.25">
      <c r="B1003" s="32"/>
      <c r="C1003" s="32"/>
      <c r="D1003" s="32"/>
      <c r="E1003" s="32"/>
      <c r="F1003" s="32"/>
      <c r="G1003" s="32"/>
      <c r="H1003" s="32"/>
      <c r="I1003" s="32"/>
      <c r="J1003" s="32"/>
      <c r="K1003" s="97">
        <f t="shared" si="12"/>
        <v>719</v>
      </c>
      <c r="L1003" s="98" t="s">
        <v>626</v>
      </c>
      <c r="M1003" s="99"/>
      <c r="N1003" s="100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</row>
    <row r="1004" spans="2:24" x14ac:dyDescent="0.25">
      <c r="B1004" s="32"/>
      <c r="C1004" s="32"/>
      <c r="D1004" s="32"/>
      <c r="E1004" s="32"/>
      <c r="F1004" s="32"/>
      <c r="G1004" s="32"/>
      <c r="H1004" s="32"/>
      <c r="I1004" s="32"/>
      <c r="J1004" s="32"/>
      <c r="K1004" s="97">
        <f t="shared" si="12"/>
        <v>720</v>
      </c>
      <c r="L1004" s="98" t="s">
        <v>626</v>
      </c>
      <c r="M1004" s="99" t="s">
        <v>825</v>
      </c>
      <c r="N1004" s="100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</row>
    <row r="1005" spans="2:24" x14ac:dyDescent="0.25">
      <c r="B1005" s="32"/>
      <c r="C1005" s="32"/>
      <c r="D1005" s="32"/>
      <c r="E1005" s="32"/>
      <c r="F1005" s="32"/>
      <c r="G1005" s="32"/>
      <c r="H1005" s="32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</row>
    <row r="1006" spans="2:24" x14ac:dyDescent="0.25">
      <c r="B1006" s="32"/>
      <c r="C1006" s="32"/>
      <c r="D1006" s="32"/>
      <c r="E1006" s="32"/>
      <c r="F1006" s="32"/>
      <c r="G1006" s="32"/>
      <c r="H1006" s="32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</row>
    <row r="1007" spans="2:24" x14ac:dyDescent="0.25">
      <c r="B1007" s="32"/>
      <c r="C1007" s="32"/>
      <c r="D1007" s="32"/>
      <c r="E1007" s="32"/>
      <c r="F1007" s="32"/>
      <c r="G1007" s="32"/>
      <c r="H1007" s="32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</row>
    <row r="1008" spans="2:24" x14ac:dyDescent="0.25">
      <c r="B1008" s="32"/>
      <c r="C1008" s="32"/>
      <c r="D1008" s="32"/>
      <c r="E1008" s="32"/>
      <c r="F1008" s="32"/>
      <c r="G1008" s="32"/>
      <c r="H1008" s="32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</row>
    <row r="1009" spans="2:24" x14ac:dyDescent="0.25">
      <c r="B1009" s="32"/>
      <c r="C1009" s="32"/>
      <c r="D1009" s="32"/>
      <c r="E1009" s="32"/>
      <c r="F1009" s="32"/>
      <c r="G1009" s="32"/>
      <c r="H1009" s="32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</row>
    <row r="1010" spans="2:24" x14ac:dyDescent="0.25">
      <c r="B1010" s="32"/>
      <c r="C1010" s="32"/>
      <c r="D1010" s="32"/>
      <c r="E1010" s="32"/>
      <c r="F1010" s="32"/>
      <c r="G1010" s="32"/>
      <c r="H1010" s="32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</row>
    <row r="1011" spans="2:24" x14ac:dyDescent="0.25">
      <c r="F1011" s="428"/>
      <c r="G1011" s="427"/>
      <c r="J1011" s="428" t="s">
        <v>2044</v>
      </c>
      <c r="V1011" s="32"/>
      <c r="W1011" s="32"/>
      <c r="X1011" s="32"/>
    </row>
    <row r="1012" spans="2:24" ht="36.75" thickBot="1" x14ac:dyDescent="0.6">
      <c r="B1012" s="579"/>
      <c r="C1012" s="580"/>
      <c r="D1012" s="580"/>
      <c r="E1012" s="580"/>
      <c r="F1012" s="580"/>
      <c r="G1012" s="580"/>
      <c r="H1012" s="581" t="str">
        <f>IF($S$1013&gt;=1055,"LOT 21 LABORATORY REQUIREMENT - OBADA ANNEX",IF($S$1013&gt;=1039,"LOT 21 - LABORATORY REQUIREMENT - SHAJE ANNEX",IF($S$1013&gt;=981,"LOT 20 - LABORATORY - CHEMICAL PATHOLOGY",IF($S$1013&gt;=974,"LOT 19 - MICROBIOLOGY - INFECTION CONTROL",IF($S$1013&gt;=957,"LOT 19 - MICROBIOLOGY - SENSITIVITY DISCS",IF($S$1013&gt;=902,"LOT 18 - MICROBIOLOGY - REAGENT KITS",IF($S$1013&gt;=846,"LOT 17 - HISTOPATHOLOGY",IF($S$1013&gt;=760,"LOT 16 - HAEMATOLOGY",IF($S$1013&gt;=722,"LOT 15 - THEATRE DEPARTMENT",IF($S$1013&gt;=709,"LOT 14 - RADIOLOGY DEPARTMENT",IF($S$1013&gt;=702,"LOT 13 - PHARMACY - CONSUMABLES - SUTURES",IF($S$1013&gt;=684,"LOT 13 - PHARMACY - CONSUMABLES",IF($S$1013&gt;=669,"LOT 13 PHARMACY - DISINFECTANTS",IF($S$1013&gt;=651,"LOT 13 - PHARMACY - DERMATOLOGICAL PREPARATIONS",IF($S$1013&gt;=570,"LOT 13 - PHARMACY - DRESSINGS/CONSUMABLES",IF($S$1013&gt;=539,"LOT 12 - PHARMACY - ONCOLOGY DRUGS",IF($S$1013&gt;=494,"LOT 11 - PHARMACY - EYE/EAR MEDICATIONS",IF($S$1013&gt;=455,"LOT 10 - PHARMACY - RESPIRATORY TRACT DRUGS",IF($S$1013&gt;=424,"LOT 9 - PHARMACY GASTROINTESTINAL DRUGS",IF($S$1013&gt;=381,"LOT 8 - PHARMACY -OBSTETRICS/GYNAECOLOGY DRUGS",IF($S$1013&gt;=351,"LOT 7 - PHARMACY - HYPNOSEDATIVE DRUGS",IF($S$1013&gt;=285,"LOT 6 PHARMACY - BLOOD &amp; NUTRITIONAL DRUGS",IF($S$1013&gt;=194,"LOT 5 - I589PHARMACY - ANTI-INFECTIVE AGENTS",IF($S$1013&gt;=142,"LOT 4 - PHARMACY - ANTI-INFLAMMATORY/ANTI-PYRETIC/ANALGESICS",IF($S$1013&gt;=118,"LOT 3 - PHARMACY - ORAL HYPOGLYCAEMIC DRUGS",IF($S$1013&gt;=34,"LOT 3 - PHARMACY - ANTI-HYPERTENSIVES",IF($S$1013&gt;=19,"LOT 2 - PHARMACY - STERILE INTRAVENOUS FLUIDS",IF($S$1013&gt;=1,"LOT 1 - PHARMACY - ANTI-MALARIALS","-"))))))))))))))))))))))))))))</f>
        <v>LOT 15 - THEATRE DEPARTMENT</v>
      </c>
      <c r="I1012" s="582"/>
      <c r="J1012" s="580"/>
      <c r="K1012" s="580"/>
      <c r="L1012" s="580"/>
      <c r="M1012" s="580"/>
      <c r="N1012" s="580"/>
      <c r="O1012" s="580"/>
      <c r="P1012" s="580"/>
      <c r="Q1012" s="580"/>
      <c r="R1012" s="583"/>
      <c r="S1012" s="580"/>
      <c r="T1012" s="580"/>
      <c r="U1012" s="580"/>
      <c r="V1012" s="32"/>
      <c r="W1012" s="32"/>
      <c r="X1012" s="32"/>
    </row>
    <row r="1013" spans="2:24" ht="42.75" thickBot="1" x14ac:dyDescent="0.7">
      <c r="B1013" s="584"/>
      <c r="C1013" s="585" t="str">
        <f>IF($S$1013=721,PR!$B$798,IF($S$1013=722,PR!$B$806,IF($S$1013=723,PR!$B$807,IF($S$1013=724,PR!$B$808,IF($S$1013=725,PR!$B$809,IF($S$1013=726,PR!$B$810,IF($S$1013=727,PR!$B$811,IF($S$1013=728,PR!$B$812,IF($S$1013=729,PR!$B$813,IF($S$1013=730,PR!$B$814,IF($S$1013=731,PR!$B$815,IF($S$1013=732,PR!$B$816,IF($S$1013=733,PR!$B$817,IF($S$1013=734,PR!$B$818,IF($S$1013=735,PR!$B$819,IF($S$1013=736,PR!$B$820,IF($S$1013=737,PR!$B$821,IF($S$1013=738,PR!$B$822,IF($S$1013=739,PR!$B$823,IF($S$1013=740,PR!$B$824,IF($S$1013=741,PR!$B$825,IF($S$1013=742,PR!$B$826,IF($S$1013=743,PR!$B$827,IF($S$1013=744,PR!$B$828,IF($S$1013=745,PR!$B$829,IF($S$1013=746,PR!$B$830,IF($S$1013=747,PR!$B$831,IF($S$1013=748,PR!$B$832,IF($S$1013=749,PR!$B$833,IF($S$1013=750,PR!$B$834,IF($S$1013=751,PR!$B$835,IF($S$1013=752,PR!$B$836,IF($S$1013=753,PR!$B$837,IF($S$1013=754,PR!$B$838,IF($S$1013=755,PR!$B$839,IF($S$1013=756,PR!$B$840,IF($S$1013=757,PR!$B$841,IF($S$1013=758,PR!$B$842,IF($S$1013=759,PR!$B$843,IF($S$1013=760,PR!$B$850,IF($S$1013=761,PR!$B$851,IF($S$1013=762,PR!$B$852,IF($S$1013=763,PR!$B$853,IF($S$1013=764,PR!$B$854,IF($S$1013=765,PR!$B$855,IF($S$1013=766,PR!$B$856,IF($S$1013=767,PR!$B$857,IF($S$1013=768,PR!$B$858,IF($S$1013=769,PR!$B$859,IF($S$1013=770,PR!$B$860,IF($S$1013=771,PR!$B$861,IF($S$1013=772,PR!$B$862,IF($S$1013=773,PR!$B$863,IF($S$1013=774,PR!$B$864,IF($S$1013=775,PR!$B$865,IF($S$1013=776,PR!$B$866,IF($S$1013=777,PR!$B$867,IF($S$1013=778,PR!$B$868,IF($S$1013=779,PR!$B$869,IF($S$1013=780,PR!$B$870,"-"))))))))))))))))))))))))))))))))))))))))))))))))))))))))))))</f>
        <v>NYLON 9/0 ROUND  BODY 1/2 CIRCLE (AURO LAB.)</v>
      </c>
      <c r="D1013" s="586"/>
      <c r="E1013" s="586"/>
      <c r="F1013" s="586"/>
      <c r="G1013" s="586"/>
      <c r="H1013" s="586"/>
      <c r="I1013" s="586"/>
      <c r="J1013" s="586"/>
      <c r="K1013" s="586"/>
      <c r="L1013" s="586"/>
      <c r="M1013" s="586"/>
      <c r="N1013" s="586"/>
      <c r="O1013" s="586"/>
      <c r="P1013" s="587"/>
      <c r="Q1013" s="588"/>
      <c r="R1013" s="583"/>
      <c r="S1013" s="634">
        <v>731</v>
      </c>
      <c r="T1013" s="580"/>
      <c r="U1013" s="580"/>
      <c r="V1013" s="32"/>
      <c r="W1013" s="32"/>
      <c r="X1013" s="32"/>
    </row>
    <row r="1014" spans="2:24" ht="42.75" thickBot="1" x14ac:dyDescent="0.7">
      <c r="B1014" s="580"/>
      <c r="C1014" s="590" t="s">
        <v>780</v>
      </c>
      <c r="D1014" s="791">
        <f>IF($S$1013=721,PR!$D$798,IF($S$1013=722,PR!$D$806,IF($S$1013=723,PR!$D$807,IF($S$1013=724,PR!$D$808,IF($S$1013=725,PR!$D$809,IF($S$1013=726,PR!$D$810,IF($S$1013=727,PR!$D$811,IF($S$1013=728,PR!$D$812,IF($S$1013=729,PR!$D$813,IF($S$1013=730,PR!$D$814,IF($S$1013=731,PR!$D$815,IF($S$1013=732,PR!$D$816,IF($S$1013=733,PR!$D$817,IF($S$1013=734,PR!$D$818,IF($S$1013=735,PR!$D$819,IF($S$1013=736,PR!$D$820,IF($S$1013=737,PR!$D$821,IF($S$1013=738,PR!$D$822,IF($S$1013=739,PR!$D$823,IF($S$1013=740,PR!$D$824,IF($S$1013=741,PR!$D$825,IF($S$1013=742,PR!$D$826,IF($S$1013=743,PR!$D$827,IF($S$1013=744,PR!$D$828,IF($S$1013=745,PR!$D$829,IF($S$1013=746,PR!$D$830,IF($S$1013=747,PR!$D$831,IF($S$1013=748,PR!$D$832,IF($S$1013=749,PR!$D$833,IF($S$1013=750,PR!$D$834,IF($S$1013=751,PR!$D$835,IF($S$1013=752,PR!$D$836,IF($S$1013=753,PR!$D$837,IF($S$1013=754,PR!$D$838,IF($S$1013=755,PR!$D$839,IF($S$1013=756,PR!$D$840,IF($S$1013=757,PR!$D$841,IF($S$1013=758,PR!$D$842,IF($S$1013=759,PR!$D$843,IF($S$1013=760,PR!$D$850,IF($S$1013=761,PR!$D$851,IF($S$1013=762,PR!$D$852,IF($S$1013=763,PR!$D$853,IF($S$1013=764,PR!$D$854,IF($S$1013=765,PR!$D$855,IF($S$1013=766,PR!$D$856,IF($S$1013=767,PR!$D$857,IF($S$1013=768,PR!$D$858,IF($S$1013=769,PR!$D$859,IF($S$1013=770,PR!$D$860,IF($S$1013=771,PR!$D$861,IF($S$1013=772,PR!$D$862,IF($S$1013=773,PR!$D$863,IF($S$1013=774,PR!$D$864,IF($S$1013=775,PR!$D$865,IF($S$1013=776,PR!$D$866,IF($S$1013=777,PR!$D$867,IF($S$1013=778,PR!$D$868,IF($S$1013=779,PR!$D$869,IF($S$1013=780,PR!$D$870,"-"))))))))))))))))))))))))))))))))))))))))))))))))))))))))))))</f>
        <v>12</v>
      </c>
      <c r="E1014" s="792"/>
      <c r="F1014" s="792"/>
      <c r="G1014" s="793"/>
      <c r="H1014" s="786" t="s">
        <v>781</v>
      </c>
      <c r="I1014" s="786"/>
      <c r="J1014" s="787"/>
      <c r="K1014" s="585">
        <f>IF($S$1013=721,PR!$C$798,IF($S$1013=722,PR!$C$806,IF($S$1013=723,PR!$C$807,IF($S$1013=724,PR!$C$808,IF($S$1013=725,PR!$C$809,IF($S$1013=726,PR!$C$810,IF($S$1013=727,PR!$C$811,IF($S$1013=728,PR!$C$812,IF($S$1013=729,PR!$C$813,IF($S$1013=730,PR!$C$814,IF($S$1013=731,PR!$C$815,IF($S$1013=732,PR!$C$816,IF($S$1013=733,PR!$C$817,IF($S$1013=734,PR!$C$818,IF($S$1013=735,PR!$C$819,IF($S$1013=736,PR!$C$820,IF($S$1013=737,PR!$C$821,IF($S$1013=738,PR!$C$822,IF($S$1013=739,PR!$C$823,IF($S$1013=740,PR!$C$824,IF($S$1013=741,PR!$C$825,IF($S$1013=742,PR!$C$826,IF($S$1013=743,PR!$C$827,IF($S$1013=744,PR!$C$828,IF($S$1013=745,PR!$C$829,IF($S$1013=746,PR!$C$830,IF($S$1013=747,PR!$C$831,IF($S$1013=748,PR!$C$832,IF($S$1013=749,PR!$C$833,IF($S$1013=750,PR!$C$834,IF($S$1013=751,PR!$C$835,IF($S$1013=752,PR!$C$836,IF($S$1013=753,PR!$C$837,IF($S$1013=754,PR!$C$838,IF($S$1013=755,PR!$C$839,IF($S$1013=756,PR!$C$840,IF($S$1013=757,PR!$C$841,IF($S$1013=758,PR!$C$842,IF($S$1013=759,PR!$C$843,IF($S$1013=760,PR!$C$850,IF($S$1013=761,PR!$C$851,IF($S$1013=762,PR!$C$852,IF($S$1013=763,PR!$C$853,IF($S$1013=764,PR!$C$854,IF($S$1013=765,PR!$C$855,IF($S$1013=766,PR!$C$856,IF($S$1013=767,PR!$C$857,IF($S$1013=768,PR!$C$858,IF($S$1013=769,PR!$C$859,IF($S$1013=770,PR!$C$860,IF($S$1013=771,PR!$C$861,IF($S$1013=772,PR!$C$862,IF($S$1013=773,PR!$C$863,IF($S$1013=774,PR!$C$864,IF($S$1013=775,PR!$C$865,IF($S$1013=776,PR!$C$866,IF($S$1013=777,PR!$C$867,IF($S$1013=778,PR!$C$868,IF($S$1013=779,PR!$C$869,IF($S$1013=780,PR!$C$870,"-"))))))))))))))))))))))))))))))))))))))))))))))))))))))))))))</f>
        <v>18</v>
      </c>
      <c r="L1014" s="586"/>
      <c r="M1014" s="586"/>
      <c r="N1014" s="587"/>
      <c r="O1014" s="580"/>
      <c r="P1014" s="580"/>
      <c r="Q1014" s="580"/>
      <c r="R1014" s="583"/>
      <c r="S1014" s="580"/>
      <c r="T1014" s="580"/>
      <c r="U1014" s="580"/>
      <c r="V1014" s="32"/>
      <c r="W1014" s="32"/>
      <c r="X1014" s="32"/>
    </row>
    <row r="1015" spans="2:24" ht="7.5" customHeight="1" thickTop="1" x14ac:dyDescent="0.25">
      <c r="B1015" s="580"/>
      <c r="C1015" s="591"/>
      <c r="D1015" s="592"/>
      <c r="E1015" s="580"/>
      <c r="F1015" s="580"/>
      <c r="G1015" s="593"/>
      <c r="H1015" s="593"/>
      <c r="I1015" s="593"/>
      <c r="J1015" s="593"/>
      <c r="K1015" s="594"/>
      <c r="L1015" s="594"/>
      <c r="M1015" s="580"/>
      <c r="N1015" s="580"/>
      <c r="O1015" s="580"/>
      <c r="P1015" s="580"/>
      <c r="Q1015" s="580"/>
      <c r="R1015" s="583"/>
      <c r="S1015" s="580"/>
      <c r="T1015" s="580"/>
      <c r="U1015" s="580"/>
      <c r="V1015" s="32"/>
      <c r="W1015" s="32"/>
      <c r="X1015" s="32"/>
    </row>
    <row r="1016" spans="2:24" ht="15.75" thickBot="1" x14ac:dyDescent="0.3">
      <c r="B1016" s="595"/>
      <c r="C1016" s="600" t="str">
        <f>N!$C$4</f>
        <v>ALPHA</v>
      </c>
      <c r="D1016" s="600" t="str">
        <f>N!$C$5</f>
        <v>ASSENE</v>
      </c>
      <c r="E1016" s="600" t="str">
        <f>N!$C$6</f>
        <v>BIOFEM</v>
      </c>
      <c r="F1016" s="600" t="str">
        <f>N!$C$7</f>
        <v>BIOMED</v>
      </c>
      <c r="G1016" s="600" t="str">
        <f>N!$C$8</f>
        <v>CHI</v>
      </c>
      <c r="H1016" s="600" t="str">
        <f>N!$C$9</f>
        <v>CLARION</v>
      </c>
      <c r="I1016" s="600" t="str">
        <f>N!$C$10</f>
        <v>CODIX</v>
      </c>
      <c r="J1016" s="600" t="str">
        <f>N!$C$11</f>
        <v>COSMADE</v>
      </c>
      <c r="K1016" s="600" t="str">
        <f>N!$C$12</f>
        <v>SANCON</v>
      </c>
      <c r="L1016" s="600" t="str">
        <f>N!$C$13</f>
        <v>DEVON</v>
      </c>
      <c r="M1016" s="600" t="str">
        <f>N!$C$14</f>
        <v>DORTEMAG</v>
      </c>
      <c r="N1016" s="600" t="str">
        <f>N!$C$15</f>
        <v>DGF</v>
      </c>
      <c r="O1016" s="601" t="str">
        <f>N!$C$16</f>
        <v>DYNAMIC</v>
      </c>
      <c r="P1016" s="600" t="str">
        <f>N!$C$17</f>
        <v>EMZOR</v>
      </c>
      <c r="Q1016" s="600" t="str">
        <f>N!$C$18</f>
        <v>EUMATT</v>
      </c>
      <c r="R1016" s="600" t="str">
        <f>N!$C$19</f>
        <v>FIDSON</v>
      </c>
      <c r="S1016" s="600" t="str">
        <f>N!$C$20</f>
        <v>FCGLOBAL</v>
      </c>
      <c r="T1016" s="580"/>
      <c r="U1016" s="580"/>
      <c r="V1016" s="32"/>
      <c r="W1016" s="32"/>
      <c r="X1016" s="32"/>
    </row>
    <row r="1017" spans="2:24" ht="15.75" thickBot="1" x14ac:dyDescent="0.3">
      <c r="B1017" s="596"/>
      <c r="C1017" s="602">
        <f>IF($S$1013=721,PR!$E$798,IF($S$1013=722,PR!$E$806,IF($S$1013=723,PR!$E$807,IF($S$1013=724,PR!$E$808,IF($S$1013=725,PR!$E$809,IF($S$1013=726,PR!$E$810,IF($S$1013=727,PR!$E$811,IF($S$1013=728,PR!$E$812,IF($S$1013=729,PR!$E$813,IF($S$1013=730,PR!$E$814,IF($S$1013=731,PR!$E$815,IF($S$1013=732,PR!$E$816,IF($S$1013=733,PR!$E$817,IF($S$1013=734,PR!$E$818,IF($S$1013=735,PR!$E$819,IF($S$1013=736,PR!$E$820,IF($S$1013=737,PR!$E$821,IF($S$1013=738,PR!$E$822,IF($S$1013=739,PR!$E$823,IF($S$1013=740,PR!$E$824,IF($S$1013=741,PR!$E$825,IF($S$1013=742,PR!$E$826,IF($S$1013=743,PR!$E$827,IF($S$1013=744,PR!$E$828,IF($S$1013=745,PR!$E$829,IF($S$1013=746,PR!$E$830,IF($S$1013=747,PR!$E$831,IF($S$1013=748,PR!$E$832,IF($S$1013=749,PR!$E$833,IF($S$1013=750,PR!$E$834,IF($S$1013=751,PR!$E$835,IF($S$1013=752,PR!$E$836,IF($S$1013=753,PR!$E$837,IF($S$1013=754,PR!$E$838,IF($S$1013=755,PR!$E$839,IF($S$1013=756,PR!$E$840,IF($S$1013=757,PR!$E$841,IF($S$1013=758,PR!$E$842,IF($S$1013=759,PR!$E$843,IF($S$1013=760,PR!$E$850,IF($S$1013=761,PR!$E$851,IF($S$1013=762,PR!$E$852,IF($S$1013=763,PR!$E$853,IF($S$1013=764,PR!$E$854,IF($S$1013=765,PR!$E$855,IF($S$1013=766,PR!$E$856,IF($S$1013=767,PR!$E$857,IF($S$1013=768,PR!$E$858,IF($S$1013=769,PR!$E$859,IF($S$1013=770,PR!$E$860,IF($S$1013=771,PR!$E$861,IF($S$1013=772,PR!$E$862,IF($S$1013=773,PR!$E$863,IF($S$1013=774,PR!$E$864,IF($S$1013=775,PR!$E$865,IF($S$1013=776,PR!$E$866,IF($S$1013=777,PR!$E$867,IF($S$1013=778,PR!$E$868,IF($S$1013=779,PR!$E$869,IF($S$1013=780,PR!$E$870,"-"))))))))))))))))))))))))))))))))))))))))))))))))))))))))))))</f>
        <v>0</v>
      </c>
      <c r="D1017" s="602">
        <f>IF($S$1013=721,PR!$F$798,IF($S$1013=722,PR!$F$806,IF($S$1013=723,PR!$F$807,IF($S$1013=724,PR!$F$808,IF($S$1013=725,PR!$F$809,IF($S$1013=726,PR!$F$810,IF($S$1013=727,PR!$F$811,IF($S$1013=728,PR!$F$812,IF($S$1013=729,PR!$F$813,IF($S$1013=730,PR!$F$814,IF($S$1013=731,PR!$F$815,IF($S$1013=732,PR!$F$816,IF($S$1013=733,PR!$F$817,IF($S$1013=734,PR!$F$818,IF($S$1013=735,PR!$F$819,IF($S$1013=736,PR!$F$820,IF($S$1013=737,PR!$F$821,IF($S$1013=738,PR!$F$822,IF($S$1013=739,PR!$F$823,IF($S$1013=740,PR!$F$824,IF($S$1013=741,PR!$F$825,IF($S$1013=742,PR!$F$826,IF($S$1013=743,PR!$F$827,IF($S$1013=744,PR!$F$828,IF($S$1013=745,PR!$F$829,IF($S$1013=746,PR!$F$830,IF($S$1013=747,PR!$F$831,IF($S$1013=748,PR!$F$832,IF($S$1013=749,PR!$F$833,IF($S$1013=750,PR!$F$834,IF($S$1013=751,PR!$F$835,IF($S$1013=752,PR!$F$836,IF($S$1013=753,PR!$F$837,IF($S$1013=754,PR!$F$838,IF($S$1013=755,PR!$F$839,IF($S$1013=756,PR!$F$840,IF($S$1013=757,PR!$F$841,IF($S$1013=758,PR!$F$842,IF($S$1013=759,PR!$F$843,IF($S$1013=760,PR!$F$850,IF($S$1013=761,PR!$F$851,IF($S$1013=762,PR!$F$852,IF($S$1013=763,PR!$F$853,IF($S$1013=764,PR!$F$854,IF($S$1013=765,PR!$F$855,IF($S$1013=766,PR!$F$856,IF($S$1013=767,PR!$F$857,IF($S$1013=768,PR!$F$858,IF($S$1013=769,PR!$F$859,IF($S$1013=770,PR!$F$860,IF($S$1013=771,PR!$F$861,IF($S$1013=772,PR!$F$862,IF($S$1013=773,PR!$F$863,IF($S$1013=774,PR!$F$864,IF($S$1013=775,PR!$F$865,IF($S$1013=776,PR!$F$866,IF($S$1013=777,PR!$F$867,IF($S$1013=778,PR!$F$868,IF($S$1013=779,PR!$F$869,IF($S$1013=780,PR!$F$870,"-"))))))))))))))))))))))))))))))))))))))))))))))))))))))))))))</f>
        <v>0</v>
      </c>
      <c r="E1017" s="602">
        <f>IF($S$1013=721,PR!$G$798,IF($S$1013=722,PR!$G$806,IF($S$1013=723,PR!$G$807,IF($S$1013=724,PR!$G$808,IF($S$1013=725,PR!$G$809,IF($S$1013=726,PR!$G$810,IF($S$1013=727,PR!$G$811,IF($S$1013=728,PR!$G$812,IF($S$1013=729,PR!$G$813,IF($S$1013=730,PR!$G$814,IF($S$1013=731,PR!$G$815,IF($S$1013=732,PR!$G$816,IF($S$1013=733,PR!$G$817,IF($S$1013=734,PR!$G$818,IF($S$1013=735,PR!$G$819,IF($S$1013=736,PR!$G$820,IF($S$1013=737,PR!$G$821,IF($S$1013=738,PR!$G$822,IF($S$1013=739,PR!$G$823,IF($S$1013=740,PR!$G$824,IF($S$1013=741,PR!$G$825,IF($S$1013=742,PR!$G$826,IF($S$1013=743,PR!$G$827,IF($S$1013=744,PR!$G$828,IF($S$1013=745,PR!$G$829,IF($S$1013=746,PR!$G$830,IF($S$1013=747,PR!$G$831,IF($S$1013=748,PR!$G$832,IF($S$1013=749,PR!$G$833,IF($S$1013=750,PR!$G$834,IF($S$1013=751,PR!$G$835,IF($S$1013=752,PR!$G$836,IF($S$1013=753,PR!$G$837,IF($S$1013=754,PR!$G$838,IF($S$1013=755,PR!$G$839,IF($S$1013=756,PR!$G$840,IF($S$1013=757,PR!$G$841,IF($S$1013=758,PR!$G$842,IF($S$1013=759,PR!$G$843,IF($S$1013=760,PR!$G$850,IF($S$1013=761,PR!$G$851,IF($S$1013=762,PR!$G$852,IF($S$1013=763,PR!$G$853,IF($S$1013=764,PR!$G$854,IF($S$1013=765,PR!$G$855,IF($S$1013=766,PR!$G$856,IF($S$1013=767,PR!$G$857,IF($S$1013=768,PR!$G$858,IF($S$1013=769,PR!$G$859,IF($S$1013=770,PR!$G$860,IF($S$1013=771,PR!$G$861,IF($S$1013=772,PR!$G$862,IF($S$1013=773,PR!$G$863,IF($S$1013=774,PR!$G$864,IF($S$1013=775,PR!$G$865,IF($S$1013=776,PR!$G$866,IF($S$1013=777,PR!$G$867,IF($S$1013=778,PR!$G$868,IF($S$1013=779,PR!$G$869,IF($S$1013=780,PR!$G$870,"-"))))))))))))))))))))))))))))))))))))))))))))))))))))))))))))</f>
        <v>0</v>
      </c>
      <c r="F1017" s="602">
        <f>IF($S$1013=721,PR!$H$798,IF($S$1013=722,PR!$H$806,IF($S$1013=723,PR!$H$807,IF($S$1013=724,PR!$H$808,IF($S$1013=725,PR!$H$809,IF($S$1013=726,PR!$H$810,IF($S$1013=727,PR!$H$811,IF($S$1013=728,PR!$H$812,IF($S$1013=729,PR!$H$813,IF($S$1013=730,PR!$H$814,IF($S$1013=731,PR!$H$815,IF($S$1013=732,PR!$H$816,IF($S$1013=733,PR!$H$817,IF($S$1013=734,PR!$H$818,IF($S$1013=735,PR!$H$819,IF($S$1013=736,PR!$H$820,IF($S$1013=737,PR!$H$821,IF($S$1013=738,PR!$H$822,IF($S$1013=739,PR!$H$823,IF($S$1013=740,PR!$H$824,IF($S$1013=741,PR!$H$825,IF($S$1013=742,PR!$H$826,IF($S$1013=743,PR!$H$827,IF($S$1013=744,PR!$H$828,IF($S$1013=745,PR!$H$829,IF($S$1013=746,PR!$H$830,IF($S$1013=747,PR!$H$831,IF($S$1013=748,PR!$H$832,IF($S$1013=749,PR!$H$833,IF($S$1013=750,PR!$H$834,IF($S$1013=751,PR!$H$835,IF($S$1013=752,PR!$H$836,IF($S$1013=753,PR!$H$837,IF($S$1013=754,PR!$H$838,IF($S$1013=755,PR!$H$839,IF($S$1013=756,PR!$H$840,IF($S$1013=757,PR!$H$841,IF($S$1013=758,PR!$H$842,IF($S$1013=759,PR!$H$843,IF($S$1013=760,PR!$H$850,IF($S$1013=761,PR!$H$851,IF($S$1013=762,PR!$H$852,IF($S$1013=763,PR!$H$853,IF($S$1013=764,PR!$H$854,IF($S$1013=765,PR!$H$855,IF($S$1013=766,PR!$H$856,IF($S$1013=767,PR!$H$857,IF($S$1013=768,PR!$H$858,IF($S$1013=769,PR!$H$859,IF($S$1013=770,PR!$H$860,IF($S$1013=771,PR!$H$861,IF($S$1013=772,PR!$H$862,IF($S$1013=773,PR!$H$863,IF($S$1013=774,PR!$H$864,IF($S$1013=775,PR!$H$865,IF($S$1013=776,PR!$H$866,IF($S$1013=777,PR!$H$867,IF($S$1013=778,PR!$H$868,IF($S$1013=779,PR!$H$869,IF($S$1013=780,PR!$H$870,"-"))))))))))))))))))))))))))))))))))))))))))))))))))))))))))))</f>
        <v>0</v>
      </c>
      <c r="G1017" s="602">
        <f>IF($S$1013=721,PR!$I$798,IF($S$1013=722,PR!$I$806,IF($S$1013=723,PR!$I$807,IF($S$1013=724,PR!$I$808,IF($S$1013=725,PR!$I$809,IF($S$1013=726,PR!$I$810,IF($S$1013=727,PR!$I$811,IF($S$1013=728,PR!$I$812,IF($S$1013=729,PR!$I$813,IF($S$1013=730,PR!$I$814,IF($S$1013=731,PR!$I$815,IF($S$1013=732,PR!$I$816,IF($S$1013=733,PR!$I$817,IF($S$1013=734,PR!$I$818,IF($S$1013=735,PR!$I$819,IF($S$1013=736,PR!$I$820,IF($S$1013=737,PR!$I$821,IF($S$1013=738,PR!$I$822,IF($S$1013=739,PR!$I$823,IF($S$1013=740,PR!$I$824,IF($S$1013=741,PR!$I$825,IF($S$1013=742,PR!$I$826,IF($S$1013=743,PR!$I$827,IF($S$1013=744,PR!$I$828,IF($S$1013=745,PR!$I$829,IF($S$1013=746,PR!$I$830,IF($S$1013=747,PR!$I$831,IF($S$1013=748,PR!$I$832,IF($S$1013=749,PR!$I$833,IF($S$1013=750,PR!$I$834,IF($S$1013=751,PR!$I$835,IF($S$1013=752,PR!$I$836,IF($S$1013=753,PR!$I$837,IF($S$1013=754,PR!$I$838,IF($S$1013=755,PR!$I$839,IF($S$1013=756,PR!$I$840,IF($S$1013=757,PR!$I$841,IF($S$1013=758,PR!$I$842,IF($S$1013=759,PR!$I$843,IF($S$1013=760,PR!$I$850,IF($S$1013=761,PR!$I$851,IF($S$1013=762,PR!$I$852,IF($S$1013=763,PR!$I$853,IF($S$1013=764,PR!$I$854,IF($S$1013=765,PR!$I$855,IF($S$1013=766,PR!$I$856,IF($S$1013=767,PR!$I$857,IF($S$1013=768,PR!$I$858,IF($S$1013=769,PR!$I$859,IF($S$1013=770,PR!$I$860,IF($S$1013=771,PR!$I$861,IF($S$1013=772,PR!$I$862,IF($S$1013=773,PR!$I$863,IF($S$1013=774,PR!$I$864,IF($S$1013=775,PR!$I$865,IF($S$1013=776,PR!$I$866,IF($S$1013=777,PR!$I$867,IF($S$1013=778,PR!$I$868,IF($S$1013=779,PR!$I$869,IF($S$1013=780,PR!$I$870,"-"))))))))))))))))))))))))))))))))))))))))))))))))))))))))))))</f>
        <v>0</v>
      </c>
      <c r="H1017" s="602">
        <f>IF($S$1013=721,PR!$J$798,IF($S$1013=722,PR!$J$806,IF($S$1013=723,PR!$J$807,IF($S$1013=724,PR!$J$808,IF($S$1013=725,PR!$J$809,IF($S$1013=726,PR!$J$810,IF($S$1013=727,PR!$J$811,IF($S$1013=728,PR!$J$812,IF($S$1013=729,PR!$J$813,IF($S$1013=730,PR!$J$814,IF($S$1013=731,PR!$J$815,IF($S$1013=732,PR!$J$816,IF($S$1013=733,PR!$J$817,IF($S$1013=734,PR!$J$818,IF($S$1013=735,PR!$J$819,IF($S$1013=736,PR!$J$820,IF($S$1013=737,PR!$J$821,IF($S$1013=738,PR!$J$822,IF($S$1013=739,PR!$J$823,IF($S$1013=740,PR!$J$824,IF($S$1013=741,PR!$J$825,IF($S$1013=742,PR!$J$826,IF($S$1013=743,PR!$J$827,IF($S$1013=744,PR!$J$828,IF($S$1013=745,PR!$J$829,IF($S$1013=746,PR!$J$830,IF($S$1013=747,PR!$J$831,IF($S$1013=748,PR!$J$832,IF($S$1013=749,PR!$J$833,IF($S$1013=750,PR!$J$834,IF($S$1013=751,PR!$J$835,IF($S$1013=752,PR!$J$836,IF($S$1013=753,PR!$J$837,IF($S$1013=754,PR!$J$838,IF($S$1013=755,PR!$J$839,IF($S$1013=756,PR!$J$840,IF($S$1013=757,PR!$J$841,IF($S$1013=758,PR!$J$842,IF($S$1013=759,PR!$J$843,IF($S$1013=760,PR!$J$850,IF($S$1013=761,PR!$J$851,IF($S$1013=762,PR!$J$852,IF($S$1013=763,PR!$J$853,IF($S$1013=764,PR!$J$854,IF($S$1013=765,PR!$J$855,IF($S$1013=766,PR!$J$856,IF($S$1013=767,PR!$J$857,IF($S$1013=768,PR!$J$858,IF($S$1013=769,PR!$J$859,IF($S$1013=770,PR!$J$860,IF($S$1013=771,PR!$J$861,IF($S$1013=772,PR!$J$862,IF($S$1013=773,PR!$J$863,IF($S$1013=774,PR!$J$864,IF($S$1013=775,PR!$J$865,IF($S$1013=776,PR!$J$866,IF($S$1013=777,PR!$J$867,IF($S$1013=778,PR!$J$868,IF($S$1013=779,PR!$J$869,IF($S$1013=780,PR!$J$870,"-"))))))))))))))))))))))))))))))))))))))))))))))))))))))))))))</f>
        <v>0</v>
      </c>
      <c r="I1017" s="602">
        <f>IF($S$1013=721,PR!$K$798,IF($S$1013=722,PR!$K$806,IF($S$1013=723,PR!$K$807,IF($S$1013=724,PR!$K$808,IF($S$1013=725,PR!$K$809,IF($S$1013=726,PR!$K$810,IF($S$1013=727,PR!$K$811,IF($S$1013=728,PR!$K$812,IF($S$1013=729,PR!$K$813,IF($S$1013=730,PR!$K$814,IF($S$1013=731,PR!$K$815,IF($S$1013=732,PR!$K$816,IF($S$1013=733,PR!$K$817,IF($S$1013=734,PR!$K$818,IF($S$1013=735,PR!$K$819,IF($S$1013=736,PR!$K$820,IF($S$1013=737,PR!$K$821,IF($S$1013=738,PR!$K$822,IF($S$1013=739,PR!$K$823,IF($S$1013=740,PR!$K$824,IF($S$1013=741,PR!$K$825,IF($S$1013=742,PR!$K$826,IF($S$1013=743,PR!$K$827,IF($S$1013=744,PR!$K$828,IF($S$1013=745,PR!$K$829,IF($S$1013=746,PR!$K$830,IF($S$1013=747,PR!$K$831,IF($S$1013=748,PR!$K$832,IF($S$1013=749,PR!$K$833,IF($S$1013=750,PR!$K$834,IF($S$1013=751,PR!$K$835,IF($S$1013=752,PR!$K$836,IF($S$1013=753,PR!$K$837,IF($S$1013=754,PR!$K$838,IF($S$1013=755,PR!$K$839,IF($S$1013=756,PR!$K$840,IF($S$1013=757,PR!$K$841,IF($S$1013=758,PR!$K$842,IF($S$1013=759,PR!$K$843,IF($S$1013=760,PR!$K$850,IF($S$1013=761,PR!$K$851,IF($S$1013=762,PR!$K$852,IF($S$1013=763,PR!$K$853,IF($S$1013=764,PR!$K$854,IF($S$1013=765,PR!$K$855,IF($S$1013=766,PR!$K$856,IF($S$1013=767,PR!$K$857,IF($S$1013=768,PR!$K$858,IF($S$1013=769,PR!$K$859,IF($S$1013=770,PR!$K$860,IF($S$1013=771,PR!$K$861,IF($S$1013=772,PR!$K$862,IF($S$1013=773,PR!$K$863,IF($S$1013=774,PR!$K$864,IF($S$1013=775,PR!$K$865,IF($S$1013=776,PR!$K$866,IF($S$1013=777,PR!$K$867,IF($S$1013=778,PR!$K$868,IF($S$1013=779,PR!$K$869,IF($S$1013=780,PR!$K$870,"-"))))))))))))))))))))))))))))))))))))))))))))))))))))))))))))</f>
        <v>0</v>
      </c>
      <c r="J1017" s="602">
        <f>IF($S$1013=721,PR!$L$798,IF($S$1013=722,PR!$L$806,IF($S$1013=723,PR!$L$807,IF($S$1013=724,PR!$L$808,IF($S$1013=725,PR!$L$809,IF($S$1013=726,PR!$L$810,IF($S$1013=727,PR!$L$811,IF($S$1013=728,PR!$L$812,IF($S$1013=729,PR!$L$813,IF($S$1013=730,PR!$L$814,IF($S$1013=731,PR!$L$815,IF($S$1013=732,PR!$L$816,IF($S$1013=733,PR!$L$817,IF($S$1013=734,PR!$L$818,IF($S$1013=735,PR!$L$819,IF($S$1013=736,PR!$L$820,IF($S$1013=737,PR!$L$821,IF($S$1013=738,PR!$L$822,IF($S$1013=739,PR!$L$823,IF($S$1013=740,PR!$L$824,IF($S$1013=741,PR!$L$825,IF($S$1013=742,PR!$L$826,IF($S$1013=743,PR!$L$827,IF($S$1013=744,PR!$L$828,IF($S$1013=745,PR!$L$829,IF($S$1013=746,PR!$L$830,IF($S$1013=747,PR!$L$831,IF($S$1013=748,PR!$L$832,IF($S$1013=749,PR!$L$833,IF($S$1013=750,PR!$L$834,IF($S$1013=751,PR!$L$835,IF($S$1013=752,PR!$L$836,IF($S$1013=753,PR!$L$837,IF($S$1013=754,PR!$L$838,IF($S$1013=755,PR!$L$839,IF($S$1013=756,PR!$L$840,IF($S$1013=757,PR!$L$841,IF($S$1013=758,PR!$L$842,IF($S$1013=759,PR!$L$843,IF($S$1013=760,PR!$L$850,IF($S$1013=761,PR!$L$851,IF($S$1013=762,PR!$L$852,IF($S$1013=763,PR!$L$853,IF($S$1013=764,PR!$L$854,IF($S$1013=765,PR!$L$855,IF($S$1013=766,PR!$L$856,IF($S$1013=767,PR!$L$857,IF($S$1013=768,PR!$L$858,IF($S$1013=769,PR!$L$859,IF($S$1013=770,PR!$L$860,IF($S$1013=771,PR!$L$861,IF($S$1013=772,PR!$L$862,IF($S$1013=773,PR!$L$863,IF($S$1013=774,PR!$L$864,IF($S$1013=775,PR!$L$865,IF($S$1013=776,PR!$L$866,IF($S$1013=777,PR!$L$867,IF($S$1013=778,PR!$L$868,IF($S$1013=779,PR!$L$869,IF($S$1013=780,PR!$L$870,"-"))))))))))))))))))))))))))))))))))))))))))))))))))))))))))))</f>
        <v>0</v>
      </c>
      <c r="K1017" s="602">
        <f>IF($S$1013=721,PR!$M$798,IF($S$1013=722,PR!$M$806,IF($S$1013=723,PR!$M$807,IF($S$1013=724,PR!$M$808,IF($S$1013=725,PR!$M$809,IF($S$1013=726,PR!$M$810,IF($S$1013=727,PR!$M$811,IF($S$1013=728,PR!$M$812,IF($S$1013=729,PR!$M$813,IF($S$1013=730,PR!$M$814,IF($S$1013=731,PR!$M$815,IF($S$1013=732,PR!$M$816,IF($S$1013=733,PR!$M$817,IF($S$1013=734,PR!$M$818,IF($S$1013=735,PR!$M$819,IF($S$1013=736,PR!$M$820,IF($S$1013=737,PR!$M$821,IF($S$1013=738,PR!$M$822,IF($S$1013=739,PR!$M$823,IF($S$1013=740,PR!$M$824,IF($S$1013=741,PR!$M$825,IF($S$1013=742,PR!$M$826,IF($S$1013=743,PR!$M$827,IF($S$1013=744,PR!$M$828,IF($S$1013=745,PR!$M$829,IF($S$1013=746,PR!$M$830,IF($S$1013=747,PR!$M$831,IF($S$1013=748,PR!$M$832,IF($S$1013=749,PR!$M$833,IF($S$1013=750,PR!$M$834,IF($S$1013=751,PR!$M$835,IF($S$1013=752,PR!$M$836,IF($S$1013=753,PR!$M$837,IF($S$1013=754,PR!$M$838,IF($S$1013=755,PR!$M$839,IF($S$1013=756,PR!$M$840,IF($S$1013=757,PR!$M$841,IF($S$1013=758,PR!$M$842,IF($S$1013=759,PR!$M$843,IF($S$1013=760,PR!$M$850,IF($S$1013=761,PR!$M$851,IF($S$1013=762,PR!$M$852,IF($S$1013=763,PR!$M$853,IF($S$1013=764,PR!$M$854,IF($S$1013=765,PR!$M$855,IF($S$1013=766,PR!$M$856,IF($S$1013=767,PR!$M$857,IF($S$1013=768,PR!$M$858,IF($S$1013=769,PR!$M$859,IF($S$1013=770,PR!$M$860,IF($S$1013=771,PR!$M$861,IF($S$1013=772,PR!$M$862,IF($S$1013=773,PR!$M$863,IF($S$1013=774,PR!$M$864,IF($S$1013=775,PR!$M$865,IF($S$1013=776,PR!$M$866,IF($S$1013=777,PR!$M$867,IF($S$1013=778,PR!$M$868,IF($S$1013=779,PR!$M$869,IF($S$1013=780,PR!$M$870,"-"))))))))))))))))))))))))))))))))))))))))))))))))))))))))))))</f>
        <v>0</v>
      </c>
      <c r="L1017" s="602">
        <f>IF($S$1013=721,PR!$N$798,IF($S$1013=722,PR!$N$806,IF($S$1013=723,PR!$N$807,IF($S$1013=724,PR!$N$808,IF($S$1013=725,PR!$N$809,IF($S$1013=726,PR!$N$810,IF($S$1013=727,PR!$N$811,IF($S$1013=728,PR!$N$812,IF($S$1013=729,PR!$N$813,IF($S$1013=730,PR!$N$814,IF($S$1013=731,PR!$N$815,IF($S$1013=732,PR!$N$816,IF($S$1013=733,PR!$N$817,IF($S$1013=734,PR!$N$818,IF($S$1013=735,PR!$N$819,IF($S$1013=736,PR!$N$820,IF($S$1013=737,PR!$N$821,IF($S$1013=738,PR!$N$822,IF($S$1013=739,PR!$N$823,IF($S$1013=740,PR!$N$824,IF($S$1013=741,PR!$N$825,IF($S$1013=742,PR!$N$826,IF($S$1013=743,PR!$N$827,IF($S$1013=744,PR!$N$828,IF($S$1013=745,PR!$N$829,IF($S$1013=746,PR!$N$830,IF($S$1013=747,PR!$N$831,IF($S$1013=748,PR!$N$832,IF($S$1013=749,PR!$N$833,IF($S$1013=750,PR!$N$834,IF($S$1013=751,PR!$N$835,IF($S$1013=752,PR!$N$836,IF($S$1013=753,PR!$N$837,IF($S$1013=754,PR!$N$838,IF($S$1013=755,PR!$N$839,IF($S$1013=756,PR!$N$840,IF($S$1013=757,PR!$N$841,IF($S$1013=758,PR!$N$842,IF($S$1013=759,PR!$N$843,IF($S$1013=760,PR!$N$850,IF($S$1013=761,PR!$N$851,IF($S$1013=762,PR!$N$852,IF($S$1013=763,PR!$N$853,IF($S$1013=764,PR!$N$854,IF($S$1013=765,PR!$N$855,IF($S$1013=766,PR!$N$856,IF($S$1013=767,PR!$N$857,IF($S$1013=768,PR!$N$858,IF($S$1013=769,PR!$N$859,IF($S$1013=770,PR!$N$860,IF($S$1013=771,PR!$N$861,IF($S$1013=772,PR!$N$862,IF($S$1013=773,PR!$N$863,IF($S$1013=774,PR!$N$864,IF($S$1013=775,PR!$N$865,IF($S$1013=776,PR!$N$866,IF($S$1013=777,PR!$N$867,IF($S$1013=778,PR!$N$868,IF($S$1013=779,PR!$N$869,IF($S$1013=780,PR!$N$870,"-"))))))))))))))))))))))))))))))))))))))))))))))))))))))))))))</f>
        <v>0</v>
      </c>
      <c r="M1017" s="602">
        <f>IF($S$1013=721,PR!$O$798,IF($S$1013=722,PR!$O$806,IF($S$1013=723,PR!$O$807,IF($S$1013=724,PR!$O$808,IF($S$1013=725,PR!$O$809,IF($S$1013=726,PR!$O$810,IF($S$1013=727,PR!$O$811,IF($S$1013=728,PR!$O$812,IF($S$1013=729,PR!$O$813,IF($S$1013=730,PR!$O$814,IF($S$1013=731,PR!$O$815,IF($S$1013=732,PR!$O$816,IF($S$1013=733,PR!$O$817,IF($S$1013=734,PR!$O$818,IF($S$1013=735,PR!$O$819,IF($S$1013=736,PR!$O$820,IF($S$1013=737,PR!$O$821,IF($S$1013=738,PR!$O$822,IF($S$1013=739,PR!$O$823,IF($S$1013=740,PR!$O$824,IF($S$1013=741,PR!$O$825,IF($S$1013=742,PR!$O$826,IF($S$1013=743,PR!$O$827,IF($S$1013=744,PR!$O$828,IF($S$1013=745,PR!$O$829,IF($S$1013=746,PR!$O$830,IF($S$1013=747,PR!$O$831,IF($S$1013=748,PR!$O$832,IF($S$1013=749,PR!$O$833,IF($S$1013=750,PR!$O$834,IF($S$1013=751,PR!$O$835,IF($S$1013=752,PR!$O$836,IF($S$1013=753,PR!$O$837,IF($S$1013=754,PR!$O$838,IF($S$1013=755,PR!$O$839,IF($S$1013=756,PR!$O$840,IF($S$1013=757,PR!$O$841,IF($S$1013=758,PR!$O$842,IF($S$1013=759,PR!$O$843,IF($S$1013=760,PR!$O$850,IF($S$1013=761,PR!$O$851,IF($S$1013=762,PR!$O$852,IF($S$1013=763,PR!$O$853,IF($S$1013=764,PR!$O$854,IF($S$1013=765,PR!$O$855,IF($S$1013=766,PR!$O$856,IF($S$1013=767,PR!$O$857,IF($S$1013=768,PR!$O$858,IF($S$1013=769,PR!$O$859,IF($S$1013=770,PR!$O$860,IF($S$1013=771,PR!$O$861,IF($S$1013=772,PR!$O$862,IF($S$1013=773,PR!$O$863,IF($S$1013=774,PR!$O$864,IF($S$1013=775,PR!$O$865,IF($S$1013=776,PR!$O$866,IF($S$1013=777,PR!$O$867,IF($S$1013=778,PR!$O$868,IF($S$1013=779,PR!$O$869,IF($S$1013=780,PR!$O$870,"-"))))))))))))))))))))))))))))))))))))))))))))))))))))))))))))</f>
        <v>0</v>
      </c>
      <c r="N1017" s="602">
        <f>IF($S$1013=721,PR!$P$798,IF($S$1013=722,PR!$P$806,IF($S$1013=723,PR!$P$807,IF($S$1013=724,PR!$P$808,IF($S$1013=725,PR!$P$809,IF($S$1013=726,PR!$P$810,IF($S$1013=727,PR!$P$811,IF($S$1013=728,PR!$P$812,IF($S$1013=729,PR!$P$813,IF($S$1013=730,PR!$P$814,IF($S$1013=731,PR!$P$815,IF($S$1013=732,PR!$P$816,IF($S$1013=733,PR!$P$817,IF($S$1013=734,PR!$P$818,IF($S$1013=735,PR!$P$819,IF($S$1013=736,PR!$P$820,IF($S$1013=737,PR!$P$821,IF($S$1013=738,PR!$P$822,IF($S$1013=739,PR!$P$823,IF($S$1013=740,PR!$P$824,IF($S$1013=741,PR!$P$825,IF($S$1013=742,PR!$P$826,IF($S$1013=743,PR!$P$827,IF($S$1013=744,PR!$P$828,IF($S$1013=745,PR!$P$829,IF($S$1013=746,PR!$P$830,IF($S$1013=747,PR!$P$831,IF($S$1013=748,PR!$P$832,IF($S$1013=749,PR!$P$833,IF($S$1013=750,PR!$P$834,IF($S$1013=751,PR!$P$835,IF($S$1013=752,PR!$P$836,IF($S$1013=753,PR!$P$837,IF($S$1013=754,PR!$P$838,IF($S$1013=755,PR!$P$839,IF($S$1013=756,PR!$P$840,IF($S$1013=757,PR!$P$841,IF($S$1013=758,PR!$P$842,IF($S$1013=759,PR!$P$843,IF($S$1013=760,PR!$P$850,IF($S$1013=761,PR!$P$851,IF($S$1013=762,PR!$P$852,IF($S$1013=763,PR!$P$853,IF($S$1013=764,PR!$P$854,IF($S$1013=765,PR!$P$855,IF($S$1013=766,PR!$P$856,IF($S$1013=767,PR!$P$857,IF($S$1013=768,PR!$P$858,IF($S$1013=769,PR!$P$859,IF($S$1013=770,PR!$P$860,IF($S$1013=771,PR!$P$861,IF($S$1013=772,PR!$P$862,IF($S$1013=773,PR!$P$863,IF($S$1013=774,PR!$P$864,IF($S$1013=775,PR!$P$865,IF($S$1013=776,PR!$P$866,IF($S$1013=777,PR!$P$867,IF($S$1013=778,PR!$P$868,IF($S$1013=779,PR!$P$869,IF($S$1013=780,PR!$P$870,"-"))))))))))))))))))))))))))))))))))))))))))))))))))))))))))))</f>
        <v>0</v>
      </c>
      <c r="O1017" s="602">
        <f>IF($S$1013=721,PR!$Q$798,IF($S$1013=722,PR!$Q$806,IF($S$1013=723,PR!$Q$807,IF($S$1013=724,PR!$Q$808,IF($S$1013=725,PR!$Q$809,IF($S$1013=726,PR!$Q$810,IF($S$1013=727,PR!$Q$811,IF($S$1013=728,PR!$Q$812,IF($S$1013=729,PR!$Q$813,IF($S$1013=730,PR!$Q$814,IF($S$1013=731,PR!$Q$815,IF($S$1013=732,PR!$Q$816,IF($S$1013=733,PR!$Q$817,IF($S$1013=734,PR!$Q$818,IF($S$1013=735,PR!$Q$819,IF($S$1013=736,PR!$Q$820,IF($S$1013=737,PR!$Q$821,IF($S$1013=738,PR!$Q$822,IF($S$1013=739,PR!$Q$823,IF($S$1013=740,PR!$Q$824,IF($S$1013=741,PR!$Q$825,IF($S$1013=742,PR!$Q$826,IF($S$1013=743,PR!$Q$827,IF($S$1013=744,PR!$Q$828,IF($S$1013=745,PR!$Q$829,IF($S$1013=746,PR!$Q$830,IF($S$1013=747,PR!$Q$831,IF($S$1013=748,PR!$Q$832,IF($S$1013=749,PR!$Q$833,IF($S$1013=750,PR!$Q$834,IF($S$1013=751,PR!$Q$835,IF($S$1013=752,PR!$Q$836,IF($S$1013=753,PR!$Q$837,IF($S$1013=754,PR!$Q$838,IF($S$1013=755,PR!$Q$839,IF($S$1013=756,PR!$Q$840,IF($S$1013=757,PR!$Q$841,IF($S$1013=758,PR!$Q$842,IF($S$1013=759,PR!$Q$843,IF($S$1013=760,PR!$Q$850,IF($S$1013=761,PR!$Q$851,IF($S$1013=762,PR!$Q$852,IF($S$1013=763,PR!$Q$853,IF($S$1013=764,PR!$Q$854,IF($S$1013=765,PR!$Q$855,IF($S$1013=766,PR!$Q$856,IF($S$1013=767,PR!$Q$857,IF($S$1013=768,PR!$Q$858,IF($S$1013=769,PR!$Q$859,IF($S$1013=770,PR!$Q$860,IF($S$1013=771,PR!$Q$861,IF($S$1013=772,PR!$Q$862,IF($S$1013=773,PR!$Q$863,IF($S$1013=774,PR!$Q$864,IF($S$1013=775,PR!$Q$865,IF($S$1013=776,PR!$Q$866,IF($S$1013=777,PR!$Q$867,IF($S$1013=778,PR!$Q$868,IF($S$1013=779,PR!$Q$869,IF($S$1013=780,PR!$Q$870,"-"))))))))))))))))))))))))))))))))))))))))))))))))))))))))))))</f>
        <v>25000</v>
      </c>
      <c r="P1017" s="602">
        <f>IF($S$1013=721,PR!$R$798,IF($S$1013=722,PR!$R$806,IF($S$1013=723,PR!$R$807,IF($S$1013=724,PR!$R$808,IF($S$1013=725,PR!$R$809,IF($S$1013=726,PR!$R$810,IF($S$1013=727,PR!$R$811,IF($S$1013=728,PR!$R$812,IF($S$1013=729,PR!$R$813,IF($S$1013=730,PR!$R$814,IF($S$1013=731,PR!$R$815,IF($S$1013=732,PR!$R$816,IF($S$1013=733,PR!$R$817,IF($S$1013=734,PR!$R$818,IF($S$1013=735,PR!$R$819,IF($S$1013=736,PR!$R$820,IF($S$1013=737,PR!$R$821,IF($S$1013=738,PR!$R$822,IF($S$1013=739,PR!$R$823,IF($S$1013=740,PR!$R$824,IF($S$1013=741,PR!$R$825,IF($S$1013=742,PR!$R$826,IF($S$1013=743,PR!$R$827,IF($S$1013=744,PR!$R$828,IF($S$1013=745,PR!$R$829,IF($S$1013=746,PR!$R$830,IF($S$1013=747,PR!$R$831,IF($S$1013=748,PR!$R$832,IF($S$1013=749,PR!$R$833,IF($S$1013=750,PR!$R$834,IF($S$1013=751,PR!$R$835,IF($S$1013=752,PR!$R$836,IF($S$1013=753,PR!$R$837,IF($S$1013=754,PR!$R$838,IF($S$1013=755,PR!$R$839,IF($S$1013=756,PR!$R$840,IF($S$1013=757,PR!$R$841,IF($S$1013=758,PR!$R$842,IF($S$1013=759,PR!$R$843,IF($S$1013=760,PR!$R$850,IF($S$1013=761,PR!$R$851,IF($S$1013=762,PR!$R$852,IF($S$1013=763,PR!$R$853,IF($S$1013=764,PR!$R$854,IF($S$1013=765,PR!$R$855,IF($S$1013=766,PR!$R$856,IF($S$1013=767,PR!$R$857,IF($S$1013=768,PR!$R$858,IF($S$1013=769,PR!$R$859,IF($S$1013=770,PR!$R$860,IF($S$1013=771,PR!$R$861,IF($S$1013=772,PR!$R$862,IF($S$1013=773,PR!$R$863,IF($S$1013=774,PR!$R$864,IF($S$1013=775,PR!$R$865,IF($S$1013=776,PR!$R$866,IF($S$1013=777,PR!$R$867,IF($S$1013=778,PR!$R$868,IF($S$1013=779,PR!$R$869,IF($S$1013=780,PR!$R$870,"-"))))))))))))))))))))))))))))))))))))))))))))))))))))))))))))</f>
        <v>0</v>
      </c>
      <c r="Q1017" s="602">
        <f>IF($S$1013=721,PR!$S$798,IF($S$1013=722,PR!$S$806,IF($S$1013=723,PR!$S$807,IF($S$1013=724,PR!$S$808,IF($S$1013=725,PR!$S$809,IF($S$1013=726,PR!$S$810,IF($S$1013=727,PR!$S$811,IF($S$1013=728,PR!$S$812,IF($S$1013=729,PR!$S$813,IF($S$1013=730,PR!$S$814,IF($S$1013=731,PR!$S$815,IF($S$1013=732,PR!$S$816,IF($S$1013=733,PR!$S$817,IF($S$1013=734,PR!$S$818,IF($S$1013=735,PR!$S$819,IF($S$1013=736,PR!$S$820,IF($S$1013=737,PR!$S$821,IF($S$1013=738,PR!$S$822,IF($S$1013=739,PR!$S$823,IF($S$1013=740,PR!$S$824,IF($S$1013=741,PR!$S$825,IF($S$1013=742,PR!$S$826,IF($S$1013=743,PR!$S$827,IF($S$1013=744,PR!$S$828,IF($S$1013=745,PR!$S$829,IF($S$1013=746,PR!$S$830,IF($S$1013=747,PR!$S$831,IF($S$1013=748,PR!$S$832,IF($S$1013=749,PR!$S$833,IF($S$1013=750,PR!$S$834,IF($S$1013=751,PR!$S$835,IF($S$1013=752,PR!$S$836,IF($S$1013=753,PR!$S$837,IF($S$1013=754,PR!$S$838,IF($S$1013=755,PR!$S$839,IF($S$1013=756,PR!$S$840,IF($S$1013=757,PR!$S$841,IF($S$1013=758,PR!$S$842,IF($S$1013=759,PR!$S$843,IF($S$1013=760,PR!$S$850,IF($S$1013=761,PR!$S$851,IF($S$1013=762,PR!$S$852,IF($S$1013=763,PR!$S$853,IF($S$1013=764,PR!$S$854,IF($S$1013=765,PR!$S$855,IF($S$1013=766,PR!$S$856,IF($S$1013=767,PR!$S$857,IF($S$1013=768,PR!$S$858,IF($S$1013=769,PR!$S$859,IF($S$1013=770,PR!$S$860,IF($S$1013=771,PR!$S$861,IF($S$1013=772,PR!$S$862,IF($S$1013=773,PR!$S$863,IF($S$1013=774,PR!$S$864,IF($S$1013=775,PR!$S$865,IF($S$1013=776,PR!$S$866,IF($S$1013=777,PR!$S$867,IF($S$1013=778,PR!$S$868,IF($S$1013=779,PR!$S$869,IF($S$1013=780,PR!$S$870,"-"))))))))))))))))))))))))))))))))))))))))))))))))))))))))))))</f>
        <v>0</v>
      </c>
      <c r="R1017" s="602">
        <f>IF($S$1013=721,PR!$T$798,IF($S$1013=722,PR!$T$806,IF($S$1013=723,PR!$T$807,IF($S$1013=724,PR!$T$808,IF($S$1013=725,PR!$T$809,IF($S$1013=726,PR!$T$810,IF($S$1013=727,PR!$T$811,IF($S$1013=728,PR!$T$812,IF($S$1013=729,PR!$T$813,IF($S$1013=730,PR!$T$814,IF($S$1013=731,PR!$T$815,IF($S$1013=732,PR!$T$816,IF($S$1013=733,PR!$T$817,IF($S$1013=734,PR!$T$818,IF($S$1013=735,PR!$T$819,IF($S$1013=736,PR!$T$820,IF($S$1013=737,PR!$T$821,IF($S$1013=738,PR!$T$822,IF($S$1013=739,PR!$T$823,IF($S$1013=740,PR!$T$824,IF($S$1013=741,PR!$T$825,IF($S$1013=742,PR!$T$826,IF($S$1013=743,PR!$T$827,IF($S$1013=744,PR!$T$828,IF($S$1013=745,PR!$T$829,IF($S$1013=746,PR!$T$830,IF($S$1013=747,PR!$T$831,IF($S$1013=748,PR!$T$832,IF($S$1013=749,PR!$T$833,IF($S$1013=750,PR!$T$834,IF($S$1013=751,PR!$T$835,IF($S$1013=752,PR!$T$836,IF($S$1013=753,PR!$T$837,IF($S$1013=754,PR!$T$838,IF($S$1013=755,PR!$T$839,IF($S$1013=756,PR!$T$840,IF($S$1013=757,PR!$T$841,IF($S$1013=758,PR!$T$842,IF($S$1013=759,PR!$T$843,IF($S$1013=760,PR!$T$850,IF($S$1013=761,PR!$T$851,IF($S$1013=762,PR!$T$852,IF($S$1013=763,PR!$T$853,IF($S$1013=764,PR!$T$854,IF($S$1013=765,PR!$T$855,IF($S$1013=766,PR!$T$856,IF($S$1013=767,PR!$T$857,IF($S$1013=768,PR!$T$858,IF($S$1013=769,PR!$T$859,IF($S$1013=770,PR!$T$860,IF($S$1013=771,PR!$T$861,IF($S$1013=772,PR!$T$862,IF($S$1013=773,PR!$T$863,IF($S$1013=774,PR!$T$864,IF($S$1013=775,PR!$T$865,IF($S$1013=776,PR!$T$866,IF($S$1013=777,PR!$T$867,IF($S$1013=778,PR!$T$868,IF($S$1013=779,PR!$T$869,IF($S$1013=780,PR!$T$870,"-"))))))))))))))))))))))))))))))))))))))))))))))))))))))))))))</f>
        <v>0</v>
      </c>
      <c r="S1017" s="602">
        <f>IF($S$1013=721,PR!$U$798,IF($S$1013=722,PR!$U$806,IF($S$1013=723,PR!$U$807,IF($S$1013=724,PR!$U$808,IF($S$1013=725,PR!$U$809,IF($S$1013=726,PR!$U$810,IF($S$1013=727,PR!$U$811,IF($S$1013=728,PR!$U$812,IF($S$1013=729,PR!$U$813,IF($S$1013=730,PR!$U$814,IF($S$1013=731,PR!$U$815,IF($S$1013=732,PR!$U$816,IF($S$1013=733,PR!$U$817,IF($S$1013=734,PR!$U$818,IF($S$1013=735,PR!$U$819,IF($S$1013=736,PR!$U$820,IF($S$1013=737,PR!$U$821,IF($S$1013=738,PR!$U$822,IF($S$1013=739,PR!$U$823,IF($S$1013=740,PR!$U$824,IF($S$1013=741,PR!$U$825,IF($S$1013=742,PR!$U$826,IF($S$1013=743,PR!$U$827,IF($S$1013=744,PR!$U$828,IF($S$1013=745,PR!$U$829,IF($S$1013=746,PR!$U$830,IF($S$1013=747,PR!$U$831,IF($S$1013=748,PR!$U$832,IF($S$1013=749,PR!$U$833,IF($S$1013=750,PR!$U$834,IF($S$1013=751,PR!$U$835,IF($S$1013=752,PR!$U$836,IF($S$1013=753,PR!$U$837,IF($S$1013=754,PR!$U$838,IF($S$1013=755,PR!$U$839,IF($S$1013=756,PR!$U$840,IF($S$1013=757,PR!$U$841,IF($S$1013=758,PR!$U$842,IF($S$1013=759,PR!$U$843,IF($S$1013=760,PR!$U$850,IF($S$1013=761,PR!$U$851,IF($S$1013=762,PR!$U$852,IF($S$1013=763,PR!$U$853,IF($S$1013=764,PR!$U$854,IF($S$1013=765,PR!$U$855,IF($S$1013=766,PR!$U$856,IF($S$1013=767,PR!$U$857,IF($S$1013=768,PR!$U$858,IF($S$1013=769,PR!$U$859,IF($S$1013=770,PR!$U$860,IF($S$1013=771,PR!$U$861,IF($S$1013=772,PR!$U$862,IF($S$1013=773,PR!$U$863,IF($S$1013=774,PR!$U$864,IF($S$1013=775,PR!$U$865,IF($S$1013=776,PR!$U$866,IF($S$1013=777,PR!$U$867,IF($S$1013=778,PR!$U$868,IF($S$1013=779,PR!$U$869,IF($S$1013=780,PR!$U$870,"-"))))))))))))))))))))))))))))))))))))))))))))))))))))))))))))</f>
        <v>0</v>
      </c>
      <c r="T1017" s="580"/>
      <c r="U1017" s="580"/>
      <c r="V1017" s="32"/>
      <c r="W1017" s="32"/>
      <c r="X1017" s="32"/>
    </row>
    <row r="1018" spans="2:24" x14ac:dyDescent="0.25">
      <c r="B1018" s="580"/>
      <c r="C1018" s="603"/>
      <c r="D1018" s="604"/>
      <c r="E1018" s="604"/>
      <c r="F1018" s="604"/>
      <c r="G1018" s="604"/>
      <c r="H1018" s="604"/>
      <c r="I1018" s="604"/>
      <c r="J1018" s="604"/>
      <c r="K1018" s="604"/>
      <c r="L1018" s="604"/>
      <c r="M1018" s="604"/>
      <c r="N1018" s="604"/>
      <c r="O1018" s="604"/>
      <c r="P1018" s="604"/>
      <c r="Q1018" s="604"/>
      <c r="R1018" s="605"/>
      <c r="S1018" s="605"/>
      <c r="T1018" s="580"/>
      <c r="U1018" s="580"/>
      <c r="V1018" s="32"/>
      <c r="W1018" s="32"/>
      <c r="X1018" s="32"/>
    </row>
    <row r="1019" spans="2:24" ht="15.75" thickBot="1" x14ac:dyDescent="0.3">
      <c r="B1019" s="580"/>
      <c r="C1019" s="600" t="str">
        <f>N!$C$21</f>
        <v>GENEITH</v>
      </c>
      <c r="D1019" s="600" t="str">
        <f>N!$C$22</f>
        <v>GINOS</v>
      </c>
      <c r="E1019" s="600" t="str">
        <f>N!$C$23</f>
        <v>GSK</v>
      </c>
      <c r="F1019" s="600" t="str">
        <f>N!$C$24</f>
        <v>GLOBORG</v>
      </c>
      <c r="G1019" s="600" t="str">
        <f>N!$C$25</f>
        <v>GOODNEWS</v>
      </c>
      <c r="H1019" s="600" t="str">
        <f>N!$C$26</f>
        <v>GREENLIFE</v>
      </c>
      <c r="I1019" s="600" t="str">
        <f>N!$C$27</f>
        <v>HLINE</v>
      </c>
      <c r="J1019" s="600" t="str">
        <f>N!$C$28</f>
        <v>ROTECH</v>
      </c>
      <c r="K1019" s="600" t="str">
        <f>N!$C$29</f>
        <v>ISN</v>
      </c>
      <c r="L1019" s="600" t="str">
        <f>N!$C$30</f>
        <v>JAWA</v>
      </c>
      <c r="M1019" s="600" t="str">
        <f>N!$C$31</f>
        <v>LAYO</v>
      </c>
      <c r="N1019" s="600" t="str">
        <f>N!$C$32</f>
        <v>LEADWAY</v>
      </c>
      <c r="O1019" s="600" t="str">
        <f>N!$C$33</f>
        <v>LHV</v>
      </c>
      <c r="P1019" s="600" t="str">
        <f>N!$C$34</f>
        <v>MANOLA</v>
      </c>
      <c r="Q1019" s="600" t="str">
        <f>N!$C$35</f>
        <v>MARCSON</v>
      </c>
      <c r="R1019" s="600" t="str">
        <f>N!$C$36</f>
        <v>M&amp;B</v>
      </c>
      <c r="S1019" s="600" t="str">
        <f>N!$C$37</f>
        <v>MTRUST</v>
      </c>
      <c r="T1019" s="580"/>
      <c r="U1019" s="580"/>
      <c r="V1019" s="32"/>
      <c r="W1019" s="32"/>
      <c r="X1019" s="32"/>
    </row>
    <row r="1020" spans="2:24" ht="15.75" thickBot="1" x14ac:dyDescent="0.3">
      <c r="B1020" s="580"/>
      <c r="C1020" s="602">
        <f>IF($S$1013=721,PR!$V$798,IF($S$1013=722,PR!$V$806,IF($S$1013=723,PR!$V$807,IF($S$1013=724,PR!$V$808,IF($S$1013=725,PR!$V$809,IF($S$1013=726,PR!$V$810,IF($S$1013=727,PR!$V$811,IF($S$1013=728,PR!$V$812,IF($S$1013=729,PR!$V$813,IF($S$1013=730,PR!$V$814,IF($S$1013=731,PR!$V$815,IF($S$1013=732,PR!$V$816,IF($S$1013=733,PR!$V$817,IF($S$1013=734,PR!$V$818,IF($S$1013=735,PR!$V$819,IF($S$1013=736,PR!$V$820,IF($S$1013=737,PR!$V$821,IF($S$1013=738,PR!$V$822,IF($S$1013=739,PR!$V$823,IF($S$1013=740,PR!$V$824,IF($S$1013=741,PR!$V$825,IF($S$1013=742,PR!$V$826,IF($S$1013=743,PR!$V$827,IF($S$1013=744,PR!$V$828,IF($S$1013=745,PR!$V$829,IF($S$1013=746,PR!$V$830,IF($S$1013=747,PR!$V$831,IF($S$1013=748,PR!$V$832,IF($S$1013=749,PR!$V$833,IF($S$1013=750,PR!$V$834,IF($S$1013=751,PR!$V$835,IF($S$1013=752,PR!$V$836,IF($S$1013=753,PR!$V$837,IF($S$1013=754,PR!$V$838,IF($S$1013=755,PR!$V$839,IF($S$1013=756,PR!$V$840,IF($S$1013=757,PR!$V$841,IF($S$1013=758,PR!$V$842,IF($S$1013=759,PR!$V$843,IF($S$1013=760,PR!$V$850,IF($S$1013=761,PR!$V$851,IF($S$1013=762,PR!$V$852,IF($S$1013=763,PR!$V$853,IF($S$1013=764,PR!$V$854,IF($S$1013=765,PR!$V$855,IF($S$1013=766,PR!$V$856,IF($S$1013=767,PR!$V$857,IF($S$1013=768,PR!$V$858,IF($S$1013=769,PR!$V$859,IF($S$1013=770,PR!$V$860,IF($S$1013=771,PR!$V$861,IF($S$1013=772,PR!$V$862,IF($S$1013=773,PR!$V$863,IF($S$1013=774,PR!$V$864,IF($S$1013=775,PR!$V$865,IF($S$1013=776,PR!$V$866,IF($S$1013=777,PR!$V$867,IF($S$1013=778,PR!$V$868,IF($S$1013=779,PR!$V$869,IF($S$1013=780,PR!$V$870,"-"))))))))))))))))))))))))))))))))))))))))))))))))))))))))))))</f>
        <v>0</v>
      </c>
      <c r="D1020" s="602">
        <f>IF($S$1013=721,PR!$W$798,IF($S$1013=722,PR!$W$806,IF($S$1013=723,PR!$W$807,IF($S$1013=724,PR!$W$808,IF($S$1013=725,PR!$W$809,IF($S$1013=726,PR!$W$810,IF($S$1013=727,PR!$W$811,IF($S$1013=728,PR!$W$812,IF($S$1013=729,PR!$W$813,IF($S$1013=730,PR!$W$814,IF($S$1013=731,PR!$W$815,IF($S$1013=732,PR!$W$816,IF($S$1013=733,PR!$W$817,IF($S$1013=734,PR!$W$818,IF($S$1013=735,PR!$W$819,IF($S$1013=736,PR!$W$820,IF($S$1013=737,PR!$W$821,IF($S$1013=738,PR!$W$822,IF($S$1013=739,PR!$W$823,IF($S$1013=740,PR!$W$824,IF($S$1013=741,PR!$W$825,IF($S$1013=742,PR!$W$826,IF($S$1013=743,PR!$W$827,IF($S$1013=744,PR!$W$828,IF($S$1013=745,PR!$W$829,IF($S$1013=746,PR!$W$830,IF($S$1013=747,PR!$W$831,IF($S$1013=748,PR!$W$832,IF($S$1013=749,PR!$W$833,IF($S$1013=750,PR!$W$834,IF($S$1013=751,PR!$W$835,IF($S$1013=752,PR!$W$836,IF($S$1013=753,PR!$W$837,IF($S$1013=754,PR!$W$838,IF($S$1013=755,PR!$W$839,IF($S$1013=756,PR!$W$840,IF($S$1013=757,PR!$W$841,IF($S$1013=758,PR!$W$842,IF($S$1013=759,PR!$W$843,IF($S$1013=760,PR!$W$850,IF($S$1013=761,PR!$W$851,IF($S$1013=762,PR!$W$852,IF($S$1013=763,PR!$W$853,IF($S$1013=764,PR!$W$854,IF($S$1013=765,PR!$W$855,IF($S$1013=766,PR!$W$856,IF($S$1013=767,PR!$W$857,IF($S$1013=768,PR!$W$858,IF($S$1013=769,PR!$W$859,IF($S$1013=770,PR!$W$860,IF($S$1013=771,PR!$W$861,IF($S$1013=772,PR!$W$862,IF($S$1013=773,PR!$W$863,IF($S$1013=774,PR!$W$864,IF($S$1013=775,PR!$W$865,IF($S$1013=776,PR!$W$866,IF($S$1013=777,PR!$W$867,IF($S$1013=778,PR!$W$868,IF($S$1013=779,PR!$W$869,IF($S$1013=780,PR!$W$870,"-"))))))))))))))))))))))))))))))))))))))))))))))))))))))))))))</f>
        <v>22000</v>
      </c>
      <c r="E1020" s="602">
        <f>IF($S$1013=721,PR!$X$798,IF($S$1013=722,PR!$X$806,IF($S$1013=723,PR!$X$807,IF($S$1013=724,PR!$X$808,IF($S$1013=725,PR!$X$809,IF($S$1013=726,PR!$X$810,IF($S$1013=727,PR!$X$811,IF($S$1013=728,PR!$X$812,IF($S$1013=729,PR!$X$813,IF($S$1013=730,PR!$X$814,IF($S$1013=731,PR!$X$815,IF($S$1013=732,PR!$X$816,IF($S$1013=733,PR!$X$817,IF($S$1013=734,PR!$X$818,IF($S$1013=735,PR!$X$819,IF($S$1013=736,PR!$X$820,IF($S$1013=737,PR!$X$821,IF($S$1013=738,PR!$X$822,IF($S$1013=739,PR!$X$823,IF($S$1013=740,PR!$X$824,IF($S$1013=741,PR!$X$825,IF($S$1013=742,PR!$X$826,IF($S$1013=743,PR!$X$827,IF($S$1013=744,PR!$X$828,IF($S$1013=745,PR!$X$829,IF($S$1013=746,PR!$X$830,IF($S$1013=747,PR!$X$831,IF($S$1013=748,PR!$X$832,IF($S$1013=749,PR!$X$833,IF($S$1013=750,PR!$X$834,IF($S$1013=751,PR!$X$835,IF($S$1013=752,PR!$X$836,IF($S$1013=753,PR!$X$837,IF($S$1013=754,PR!$X$838,IF($S$1013=755,PR!$X$839,IF($S$1013=756,PR!$X$840,IF($S$1013=757,PR!$X$841,IF($S$1013=758,PR!$X$842,IF($S$1013=759,PR!$X$843,IF($S$1013=760,PR!$X$850,IF($S$1013=761,PR!$X$851,IF($S$1013=762,PR!$X$852,IF($S$1013=763,PR!$X$853,IF($S$1013=764,PR!$X$854,IF($S$1013=765,PR!$X$855,IF($S$1013=766,PR!$X$856,IF($S$1013=767,PR!$X$857,IF($S$1013=768,PR!$X$858,IF($S$1013=769,PR!$X$859,IF($S$1013=770,PR!$X$860,IF($S$1013=771,PR!$X$861,IF($S$1013=772,PR!$X$862,IF($S$1013=773,PR!$X$863,IF($S$1013=774,PR!$X$864,IF($S$1013=775,PR!$X$865,IF($S$1013=776,PR!$X$866,IF($S$1013=777,PR!$X$867,IF($S$1013=778,PR!$X$868,IF($S$1013=779,PR!$X$869,IF($S$1013=780,PR!$X$870,"-"))))))))))))))))))))))))))))))))))))))))))))))))))))))))))))</f>
        <v>0</v>
      </c>
      <c r="F1020" s="602">
        <f>IF($S$1013=721,PR!$Y$798,IF($S$1013=722,PR!$Y$806,IF($S$1013=723,PR!$Y$807,IF($S$1013=724,PR!$Y$808,IF($S$1013=725,PR!$Y$809,IF($S$1013=726,PR!$Y$810,IF($S$1013=727,PR!$Y$811,IF($S$1013=728,PR!$Y$812,IF($S$1013=729,PR!$Y$813,IF($S$1013=730,PR!$Y$814,IF($S$1013=731,PR!$Y$815,IF($S$1013=732,PR!$Y$816,IF($S$1013=733,PR!$Y$817,IF($S$1013=734,PR!$Y$818,IF($S$1013=735,PR!$Y$819,IF($S$1013=736,PR!$Y$820,IF($S$1013=737,PR!$Y$821,IF($S$1013=738,PR!$Y$822,IF($S$1013=739,PR!$Y$823,IF($S$1013=740,PR!$Y$824,IF($S$1013=741,PR!$Y$825,IF($S$1013=742,PR!$Y$826,IF($S$1013=743,PR!$Y$827,IF($S$1013=744,PR!$Y$828,IF($S$1013=745,PR!$Y$829,IF($S$1013=746,PR!$Y$830,IF($S$1013=747,PR!$Y$831,IF($S$1013=748,PR!$Y$832,IF($S$1013=749,PR!$Y$833,IF($S$1013=750,PR!$Y$834,IF($S$1013=751,PR!$Y$835,IF($S$1013=752,PR!$Y$836,IF($S$1013=753,PR!$Y$837,IF($S$1013=754,PR!$Y$838,IF($S$1013=755,PR!$Y$839,IF($S$1013=756,PR!$Y$840,IF($S$1013=757,PR!$Y$841,IF($S$1013=758,PR!$Y$842,IF($S$1013=759,PR!$Y$843,IF($S$1013=760,PR!$Y$850,IF($S$1013=761,PR!$Y$851,IF($S$1013=762,PR!$Y$852,IF($S$1013=763,PR!$Y$853,IF($S$1013=764,PR!$Y$854,IF($S$1013=765,PR!$Y$855,IF($S$1013=766,PR!$Y$856,IF($S$1013=767,PR!$Y$857,IF($S$1013=768,PR!$Y$858,IF($S$1013=769,PR!$Y$859,IF($S$1013=770,PR!$Y$860,IF($S$1013=771,PR!$Y$861,IF($S$1013=772,PR!$Y$862,IF($S$1013=773,PR!$Y$863,IF($S$1013=774,PR!$Y$864,IF($S$1013=775,PR!$Y$865,IF($S$1013=776,PR!$Y$866,IF($S$1013=777,PR!$Y$867,IF($S$1013=778,PR!$Y$868,IF($S$1013=779,PR!$Y$869,IF($S$1013=780,PR!$Y$870,"-"))))))))))))))))))))))))))))))))))))))))))))))))))))))))))))</f>
        <v>0</v>
      </c>
      <c r="G1020" s="602">
        <f>IF($S$1013=721,PR!$Z$798,IF($S$1013=722,PR!$Z$806,IF($S$1013=723,PR!$Z$807,IF($S$1013=724,PR!$Z$808,IF($S$1013=725,PR!$Z$809,IF($S$1013=726,PR!$Z$810,IF($S$1013=727,PR!$Z$811,IF($S$1013=728,PR!$Z$812,IF($S$1013=729,PR!$Z$813,IF($S$1013=730,PR!$Z$814,IF($S$1013=731,PR!$Z$815,IF($S$1013=732,PR!$Z$816,IF($S$1013=733,PR!$Z$817,IF($S$1013=734,PR!$Z$818,IF($S$1013=735,PR!$Z$819,IF($S$1013=736,PR!$Z$820,IF($S$1013=737,PR!$Z$821,IF($S$1013=738,PR!$Z$822,IF($S$1013=739,PR!$Z$823,IF($S$1013=740,PR!$Z$824,IF($S$1013=741,PR!$Z$825,IF($S$1013=742,PR!$Z$826,IF($S$1013=743,PR!$Z$827,IF($S$1013=744,PR!$Z$828,IF($S$1013=745,PR!$Z$829,IF($S$1013=746,PR!$Z$830,IF($S$1013=747,PR!$Z$831,IF($S$1013=748,PR!$Z$832,IF($S$1013=749,PR!$Z$833,IF($S$1013=750,PR!$Z$834,IF($S$1013=751,PR!$Z$835,IF($S$1013=752,PR!$Z$836,IF($S$1013=753,PR!$Z$837,IF($S$1013=754,PR!$Z$838,IF($S$1013=755,PR!$Z$839,IF($S$1013=756,PR!$Z$840,IF($S$1013=757,PR!$Z$841,IF($S$1013=758,PR!$Z$842,IF($S$1013=759,PR!$Z$843,IF($S$1013=760,PR!$Z$850,IF($S$1013=761,PR!$Z$851,IF($S$1013=762,PR!$Z$852,IF($S$1013=763,PR!$Z$853,IF($S$1013=764,PR!$Z$854,IF($S$1013=765,PR!$Z$855,IF($S$1013=766,PR!$Z$856,IF($S$1013=767,PR!$Z$857,IF($S$1013=768,PR!$Z$858,IF($S$1013=769,PR!$Z$859,IF($S$1013=770,PR!$Z$860,IF($S$1013=771,PR!$Z$861,IF($S$1013=772,PR!$Z$862,IF($S$1013=773,PR!$Z$863,IF($S$1013=774,PR!$Z$864,IF($S$1013=775,PR!$Z$865,IF($S$1013=776,PR!$Z$866,IF($S$1013=777,PR!$Z$867,IF($S$1013=778,PR!$Z$868,IF($S$1013=779,PR!$Z$869,IF($S$1013=780,PR!$Z$870,"-"))))))))))))))))))))))))))))))))))))))))))))))))))))))))))))</f>
        <v>0</v>
      </c>
      <c r="H1020" s="602">
        <f>IF($S$1013=721,PR!$AA$798,IF($S$1013=722,PR!$AA$806,IF($S$1013=723,PR!$AA$807,IF($S$1013=724,PR!$AA$808,IF($S$1013=725,PR!$AA$809,IF($S$1013=726,PR!$AA$810,IF($S$1013=727,PR!$AA$811,IF($S$1013=728,PR!$AA$812,IF($S$1013=729,PR!$AA$813,IF($S$1013=730,PR!$AA$814,IF($S$1013=731,PR!$AA$815,IF($S$1013=732,PR!$AA$816,IF($S$1013=733,PR!$AA$817,IF($S$1013=734,PR!$AA$818,IF($S$1013=735,PR!$AA$819,IF($S$1013=736,PR!$AA$820,IF($S$1013=737,PR!$AA$821,IF($S$1013=738,PR!$AA$822,IF($S$1013=739,PR!$AA$823,IF($S$1013=740,PR!$AA$824,IF($S$1013=741,PR!$AA$825,IF($S$1013=742,PR!$AA$826,IF($S$1013=743,PR!$AA$827,IF($S$1013=744,PR!$AA$828,IF($S$1013=745,PR!$AA$829,IF($S$1013=746,PR!$AA$830,IF($S$1013=747,PR!$AA$831,IF($S$1013=748,PR!$AA$832,IF($S$1013=749,PR!$AA$833,IF($S$1013=750,PR!$AA$834,IF($S$1013=751,PR!$AA$835,IF($S$1013=752,PR!$AA$836,IF($S$1013=753,PR!$AA$837,IF($S$1013=754,PR!$AA$838,IF($S$1013=755,PR!$AA$839,IF($S$1013=756,PR!$AA$840,IF($S$1013=757,PR!$AA$841,IF($S$1013=758,PR!$AA$842,IF($S$1013=759,PR!$AA$843,IF($S$1013=760,PR!$AA$850,IF($S$1013=761,PR!$AA$851,IF($S$1013=762,PR!$AA$852,IF($S$1013=763,PR!$AA$853,IF($S$1013=764,PR!$AA$854,IF($S$1013=765,PR!$AA$855,IF($S$1013=766,PR!$AA$856,IF($S$1013=767,PR!$AA$857,IF($S$1013=768,PR!$AA$858,IF($S$1013=769,PR!$AA$859,IF($S$1013=770,PR!$AA$860,IF($S$1013=771,PR!$AA$861,IF($S$1013=772,PR!$AA$862,IF($S$1013=773,PR!$AA$863,IF($S$1013=774,PR!$AA$864,IF($S$1013=775,PR!$AA$865,IF($S$1013=776,PR!$AA$866,IF($S$1013=777,PR!$AA$867,IF($S$1013=778,PR!$AA$868,IF($S$1013=779,PR!$AA$869,IF($S$1013=780,PR!$AA$870,"-"))))))))))))))))))))))))))))))))))))))))))))))))))))))))))))</f>
        <v>0</v>
      </c>
      <c r="I1020" s="602">
        <f>IF($S$1013=721,PR!$AB$798,IF($S$1013=722,PR!$AB$806,IF($S$1013=723,PR!$AB$807,IF($S$1013=724,PR!$AB$808,IF($S$1013=725,PR!$AB$809,IF($S$1013=726,PR!$AB$810,IF($S$1013=727,PR!$AB$811,IF($S$1013=728,PR!$AB$812,IF($S$1013=729,PR!$AB$813,IF($S$1013=730,PR!$AB$814,IF($S$1013=731,PR!$AB$815,IF($S$1013=732,PR!$AB$816,IF($S$1013=733,PR!$AB$817,IF($S$1013=734,PR!$AB$818,IF($S$1013=735,PR!$AB$819,IF($S$1013=736,PR!$AB$820,IF($S$1013=737,PR!$AB$821,IF($S$1013=738,PR!$AB$822,IF($S$1013=739,PR!$AB$823,IF($S$1013=740,PR!$AB$824,IF($S$1013=741,PR!$AB$825,IF($S$1013=742,PR!$AB$826,IF($S$1013=743,PR!$AB$827,IF($S$1013=744,PR!$AB$828,IF($S$1013=745,PR!$AB$829,IF($S$1013=746,PR!$AB$830,IF($S$1013=747,PR!$AB$831,IF($S$1013=748,PR!$AB$832,IF($S$1013=749,PR!$AB$833,IF($S$1013=750,PR!$AB$834,IF($S$1013=751,PR!$AB$835,IF($S$1013=752,PR!$AB$836,IF($S$1013=753,PR!$AB$837,IF($S$1013=754,PR!$AB$838,IF($S$1013=755,PR!$AB$839,IF($S$1013=756,PR!$AB$840,IF($S$1013=757,PR!$AB$841,IF($S$1013=758,PR!$AB$842,IF($S$1013=759,PR!$AB$843,IF($S$1013=760,PR!$AB$850,IF($S$1013=761,PR!$AB$851,IF($S$1013=762,PR!$AB$852,IF($S$1013=763,PR!$AB$853,IF($S$1013=764,PR!$AB$854,IF($S$1013=765,PR!$AB$855,IF($S$1013=766,PR!$AB$856,IF($S$1013=767,PR!$AB$857,IF($S$1013=768,PR!$AB$858,IF($S$1013=769,PR!$AB$859,IF($S$1013=770,PR!$AB$860,IF($S$1013=771,PR!$AB$861,IF($S$1013=772,PR!$AB$862,IF($S$1013=773,PR!$AB$863,IF($S$1013=774,PR!$AB$864,IF($S$1013=775,PR!$AB$865,IF($S$1013=776,PR!$AB$866,IF($S$1013=777,PR!$AB$867,IF($S$1013=778,PR!$AB$868,IF($S$1013=779,PR!$AB$869,IF($S$1013=780,PR!$AB$870,"-"))))))))))))))))))))))))))))))))))))))))))))))))))))))))))))</f>
        <v>0</v>
      </c>
      <c r="J1020" s="602">
        <f>IF($S$1013=721,PR!$AC$798,IF($S$1013=722,PR!$AC$806,IF($S$1013=723,PR!$AC$807,IF($S$1013=724,PR!$AC$808,IF($S$1013=725,PR!$AC$809,IF($S$1013=726,PR!$AC$810,IF($S$1013=727,PR!$AC$811,IF($S$1013=728,PR!$AC$812,IF($S$1013=729,PR!$AC$813,IF($S$1013=730,PR!$AC$814,IF($S$1013=731,PR!$AC$815,IF($S$1013=732,PR!$AC$816,IF($S$1013=733,PR!$AC$817,IF($S$1013=734,PR!$AC$818,IF($S$1013=735,PR!$AC$819,IF($S$1013=736,PR!$AC$820,IF($S$1013=737,PR!$AC$821,IF($S$1013=738,PR!$AC$822,IF($S$1013=739,PR!$AC$823,IF($S$1013=740,PR!$AC$824,IF($S$1013=741,PR!$AC$825,IF($S$1013=742,PR!$AC$826,IF($S$1013=743,PR!$AC$827,IF($S$1013=744,PR!$AC$828,IF($S$1013=745,PR!$AC$829,IF($S$1013=746,PR!$AC$830,IF($S$1013=747,PR!$AC$831,IF($S$1013=748,PR!$AC$832,IF($S$1013=749,PR!$AC$833,IF($S$1013=750,PR!$AC$834,IF($S$1013=751,PR!$AC$835,IF($S$1013=752,PR!$AC$836,IF($S$1013=753,PR!$AC$837,IF($S$1013=754,PR!$AC$838,IF($S$1013=755,PR!$AC$839,IF($S$1013=756,PR!$AC$840,IF($S$1013=757,PR!$AC$841,IF($S$1013=758,PR!$AC$842,IF($S$1013=759,PR!$AC$843,IF($S$1013=760,PR!$AC$850,IF($S$1013=761,PR!$AC$851,IF($S$1013=762,PR!$AC$852,IF($S$1013=763,PR!$AC$853,IF($S$1013=764,PR!$AC$854,IF($S$1013=765,PR!$AC$855,IF($S$1013=766,PR!$AC$856,IF($S$1013=767,PR!$AC$857,IF($S$1013=768,PR!$AC$858,IF($S$1013=769,PR!$AC$859,IF($S$1013=770,PR!$AC$860,IF($S$1013=771,PR!$AC$861,IF($S$1013=772,PR!$AC$862,IF($S$1013=773,PR!$AC$863,IF($S$1013=774,PR!$AC$864,IF($S$1013=775,PR!$AC$865,IF($S$1013=776,PR!$AC$866,IF($S$1013=777,PR!$AC$867,IF($S$1013=778,PR!$AC$868,IF($S$1013=779,PR!$AC$869,IF($S$1013=780,PR!$AC$870,"-"))))))))))))))))))))))))))))))))))))))))))))))))))))))))))))</f>
        <v>0</v>
      </c>
      <c r="K1020" s="602">
        <f>IF($S$1013=721,PR!$AD$798,IF($S$1013=722,PR!$AD$806,IF($S$1013=723,PR!$AD$807,IF($S$1013=724,PR!$AD$808,IF($S$1013=725,PR!$AD$809,IF($S$1013=726,PR!$AD$810,IF($S$1013=727,PR!$AD$811,IF($S$1013=728,PR!$AD$812,IF($S$1013=729,PR!$AD$813,IF($S$1013=730,PR!$AD$814,IF($S$1013=731,PR!$AD$815,IF($S$1013=732,PR!$AD$816,IF($S$1013=733,PR!$AD$817,IF($S$1013=734,PR!$AD$818,IF($S$1013=735,PR!$AD$819,IF($S$1013=736,PR!$AD$820,IF($S$1013=737,PR!$AD$821,IF($S$1013=738,PR!$AD$822,IF($S$1013=739,PR!$AD$823,IF($S$1013=740,PR!$AD$824,IF($S$1013=741,PR!$AD$825,IF($S$1013=742,PR!$AD$826,IF($S$1013=743,PR!$AD$827,IF($S$1013=744,PR!$AD$828,IF($S$1013=745,PR!$AD$829,IF($S$1013=746,PR!$AD$830,IF($S$1013=747,PR!$AD$831,IF($S$1013=748,PR!$AD$832,IF($S$1013=749,PR!$AD$833,IF($S$1013=750,PR!$AD$834,IF($S$1013=751,PR!$AD$835,IF($S$1013=752,PR!$AD$836,IF($S$1013=753,PR!$AD$837,IF($S$1013=754,PR!$AD$838,IF($S$1013=755,PR!$AD$839,IF($S$1013=756,PR!$AD$840,IF($S$1013=757,PR!$AD$841,IF($S$1013=758,PR!$AD$842,IF($S$1013=759,PR!$AD$843,IF($S$1013=760,PR!$AD$850,IF($S$1013=761,PR!$AD$851,IF($S$1013=762,PR!$AD$852,IF($S$1013=763,PR!$AD$853,IF($S$1013=764,PR!$AD$854,IF($S$1013=765,PR!$AD$855,IF($S$1013=766,PR!$AD$856,IF($S$1013=767,PR!$AD$857,IF($S$1013=768,PR!$AD$858,IF($S$1013=769,PR!$AD$859,IF($S$1013=770,PR!$AD$860,IF($S$1013=771,PR!$AD$861,IF($S$1013=772,PR!$AD$862,IF($S$1013=773,PR!$AD$863,IF($S$1013=774,PR!$AD$864,IF($S$1013=775,PR!$AD$865,IF($S$1013=776,PR!$AD$866,IF($S$1013=777,PR!$AD$867,IF($S$1013=778,PR!$AD$868,IF($S$1013=779,PR!$AD$869,IF($S$1013=780,PR!$AD$870,"-"))))))))))))))))))))))))))))))))))))))))))))))))))))))))))))</f>
        <v>0</v>
      </c>
      <c r="L1020" s="602">
        <f>IF($S$1013=721,PR!$AE$798,IF($S$1013=722,PR!$AE$806,IF($S$1013=723,PR!$AE$807,IF($S$1013=724,PR!$AE$808,IF($S$1013=725,PR!$AE$809,IF($S$1013=726,PR!$AE$810,IF($S$1013=727,PR!$AE$811,IF($S$1013=728,PR!$AE$812,IF($S$1013=729,PR!$AE$813,IF($S$1013=730,PR!$AE$814,IF($S$1013=731,PR!$AE$815,IF($S$1013=732,PR!$AE$816,IF($S$1013=733,PR!$AE$817,IF($S$1013=734,PR!$AE$818,IF($S$1013=735,PR!$AE$819,IF($S$1013=736,PR!$AE$820,IF($S$1013=737,PR!$AE$821,IF($S$1013=738,PR!$AE$822,IF($S$1013=739,PR!$AE$823,IF($S$1013=740,PR!$AE$824,IF($S$1013=741,PR!$AE$825,IF($S$1013=742,PR!$AE$826,IF($S$1013=743,PR!$AE$827,IF($S$1013=744,PR!$AE$828,IF($S$1013=745,PR!$AE$829,IF($S$1013=746,PR!$AE$830,IF($S$1013=747,PR!$AE$831,IF($S$1013=748,PR!$AE$832,IF($S$1013=749,PR!$AE$833,IF($S$1013=750,PR!$AE$834,IF($S$1013=751,PR!$AE$835,IF($S$1013=752,PR!$AE$836,IF($S$1013=753,PR!$AE$837,IF($S$1013=754,PR!$AE$838,IF($S$1013=755,PR!$AE$839,IF($S$1013=756,PR!$AE$840,IF($S$1013=757,PR!$AE$841,IF($S$1013=758,PR!$AE$842,IF($S$1013=759,PR!$AE$843,IF($S$1013=760,PR!$AE$850,IF($S$1013=761,PR!$AE$851,IF($S$1013=762,PR!$AE$852,IF($S$1013=763,PR!$AE$853,IF($S$1013=764,PR!$AE$854,IF($S$1013=765,PR!$AE$855,IF($S$1013=766,PR!$AE$856,IF($S$1013=767,PR!$AE$857,IF($S$1013=768,PR!$AE$858,IF($S$1013=769,PR!$AE$859,IF($S$1013=770,PR!$AE$860,IF($S$1013=771,PR!$AE$861,IF($S$1013=772,PR!$AE$862,IF($S$1013=773,PR!$AE$863,IF($S$1013=774,PR!$AE$864,IF($S$1013=775,PR!$AE$865,IF($S$1013=776,PR!$AE$866,IF($S$1013=777,PR!$AE$867,IF($S$1013=778,PR!$AE$868,IF($S$1013=779,PR!$AE$869,IF($S$1013=780,PR!$AE$870,"-"))))))))))))))))))))))))))))))))))))))))))))))))))))))))))))</f>
        <v>0</v>
      </c>
      <c r="M1020" s="602">
        <f>IF($S$1013=721,PR!$AF$798,IF($S$1013=722,PR!$AF$806,IF($S$1013=723,PR!$AF$807,IF($S$1013=724,PR!$AF$808,IF($S$1013=725,PR!$AF$809,IF($S$1013=726,PR!$AF$810,IF($S$1013=727,PR!$AF$811,IF($S$1013=728,PR!$AF$812,IF($S$1013=729,PR!$AF$813,IF($S$1013=730,PR!$AF$814,IF($S$1013=731,PR!$AF$815,IF($S$1013=732,PR!$AF$816,IF($S$1013=733,PR!$AF$817,IF($S$1013=734,PR!$AF$818,IF($S$1013=735,PR!$AF$819,IF($S$1013=736,PR!$AF$820,IF($S$1013=737,PR!$AF$821,IF($S$1013=738,PR!$AF$822,IF($S$1013=739,PR!$AF$823,IF($S$1013=740,PR!$AF$824,IF($S$1013=741,PR!$AF$825,IF($S$1013=742,PR!$AF$826,IF($S$1013=743,PR!$AF$827,IF($S$1013=744,PR!$AF$828,IF($S$1013=745,PR!$AF$829,IF($S$1013=746,PR!$AF$830,IF($S$1013=747,PR!$AF$831,IF($S$1013=748,PR!$AF$832,IF($S$1013=749,PR!$AF$833,IF($S$1013=750,PR!$AF$834,IF($S$1013=751,PR!$AF$835,IF($S$1013=752,PR!$AF$836,IF($S$1013=753,PR!$AF$837,IF($S$1013=754,PR!$AF$838,IF($S$1013=755,PR!$AF$839,IF($S$1013=756,PR!$AF$840,IF($S$1013=757,PR!$AF$841,IF($S$1013=758,PR!$AF$842,IF($S$1013=759,PR!$AF$843,IF($S$1013=760,PR!$AF$850,IF($S$1013=761,PR!$AF$851,IF($S$1013=762,PR!$AF$852,IF($S$1013=763,PR!$AF$853,IF($S$1013=764,PR!$AF$854,IF($S$1013=765,PR!$AF$855,IF($S$1013=766,PR!$AF$856,IF($S$1013=767,PR!$AF$857,IF($S$1013=768,PR!$AF$858,IF($S$1013=769,PR!$AF$859,IF($S$1013=770,PR!$AF$860,IF($S$1013=771,PR!$AF$861,IF($S$1013=772,PR!$AF$862,IF($S$1013=773,PR!$AF$863,IF($S$1013=774,PR!$AF$864,IF($S$1013=775,PR!$AF$865,IF($S$1013=776,PR!$AF$866,IF($S$1013=777,PR!$AF$867,IF($S$1013=778,PR!$AF$868,IF($S$1013=779,PR!$AF$869,IF($S$1013=780,PR!$AF$870,"-"))))))))))))))))))))))))))))))))))))))))))))))))))))))))))))</f>
        <v>0</v>
      </c>
      <c r="N1020" s="602">
        <f>IF($S$1013=721,PR!$AG$798,IF($S$1013=722,PR!$AG$806,IF($S$1013=723,PR!$AG$807,IF($S$1013=724,PR!$AG$808,IF($S$1013=725,PR!$AG$809,IF($S$1013=726,PR!$AG$810,IF($S$1013=727,PR!$AG$811,IF($S$1013=728,PR!$AG$812,IF($S$1013=729,PR!$AG$813,IF($S$1013=730,PR!$AG$814,IF($S$1013=731,PR!$AG$815,IF($S$1013=732,PR!$AG$816,IF($S$1013=733,PR!$AG$817,IF($S$1013=734,PR!$AG$818,IF($S$1013=735,PR!$AG$819,IF($S$1013=736,PR!$AG$820,IF($S$1013=737,PR!$AG$821,IF($S$1013=738,PR!$AG$822,IF($S$1013=739,PR!$AG$823,IF($S$1013=740,PR!$AG$824,IF($S$1013=741,PR!$AG$825,IF($S$1013=742,PR!$AG$826,IF($S$1013=743,PR!$AG$827,IF($S$1013=744,PR!$AG$828,IF($S$1013=745,PR!$AG$829,IF($S$1013=746,PR!$AG$830,IF($S$1013=747,PR!$AG$831,IF($S$1013=748,PR!$AG$832,IF($S$1013=749,PR!$AG$833,IF($S$1013=750,PR!$AG$834,IF($S$1013=751,PR!$AG$835,IF($S$1013=752,PR!$AG$836,IF($S$1013=753,PR!$AG$837,IF($S$1013=754,PR!$AG$838,IF($S$1013=755,PR!$AG$839,IF($S$1013=756,PR!$AG$840,IF($S$1013=757,PR!$AG$841,IF($S$1013=758,PR!$AG$842,IF($S$1013=759,PR!$AG$843,IF($S$1013=760,PR!$AG$850,IF($S$1013=761,PR!$AG$851,IF($S$1013=762,PR!$AG$852,IF($S$1013=763,PR!$AG$853,IF($S$1013=764,PR!$AG$854,IF($S$1013=765,PR!$AG$855,IF($S$1013=766,PR!$AG$856,IF($S$1013=767,PR!$AG$857,IF($S$1013=768,PR!$AG$858,IF($S$1013=769,PR!$AG$859,IF($S$1013=770,PR!$AG$860,IF($S$1013=771,PR!$AG$861,IF($S$1013=772,PR!$AG$862,IF($S$1013=773,PR!$AG$863,IF($S$1013=774,PR!$AG$864,IF($S$1013=775,PR!$AG$865,IF($S$1013=776,PR!$AG$866,IF($S$1013=777,PR!$AG$867,IF($S$1013=778,PR!$AG$868,IF($S$1013=779,PR!$AG$869,IF($S$1013=780,PR!$AG$870,"-"))))))))))))))))))))))))))))))))))))))))))))))))))))))))))))</f>
        <v>0</v>
      </c>
      <c r="O1020" s="602">
        <f>IF($S$1013=721,PR!$AH$798,IF($S$1013=722,PR!$AH$806,IF($S$1013=723,PR!$AH$807,IF($S$1013=724,PR!$AH$808,IF($S$1013=725,PR!$AH$809,IF($S$1013=726,PR!$AH$810,IF($S$1013=727,PR!$AH$811,IF($S$1013=728,PR!$AH$812,IF($S$1013=729,PR!$AH$813,IF($S$1013=730,PR!$AH$814,IF($S$1013=731,PR!$AH$815,IF($S$1013=732,PR!$AH$816,IF($S$1013=733,PR!$AH$817,IF($S$1013=734,PR!$AH$818,IF($S$1013=735,PR!$AH$819,IF($S$1013=736,PR!$AH$820,IF($S$1013=737,PR!$AH$821,IF($S$1013=738,PR!$AH$822,IF($S$1013=739,PR!$AH$823,IF($S$1013=740,PR!$AH$824,IF($S$1013=741,PR!$AH$825,IF($S$1013=742,PR!$AH$826,IF($S$1013=743,PR!$AH$827,IF($S$1013=744,PR!$AH$828,IF($S$1013=745,PR!$AH$829,IF($S$1013=746,PR!$AH$830,IF($S$1013=747,PR!$AH$831,IF($S$1013=748,PR!$AH$832,IF($S$1013=749,PR!$AH$833,IF($S$1013=750,PR!$AH$834,IF($S$1013=751,PR!$AH$835,IF($S$1013=752,PR!$AH$836,IF($S$1013=753,PR!$AH$837,IF($S$1013=754,PR!$AH$838,IF($S$1013=755,PR!$AH$839,IF($S$1013=756,PR!$AH$840,IF($S$1013=757,PR!$AH$841,IF($S$1013=758,PR!$AH$842,IF($S$1013=759,PR!$AH$843,IF($S$1013=760,PR!$AH$850,IF($S$1013=761,PR!$AH$851,IF($S$1013=762,PR!$AH$852,IF($S$1013=763,PR!$AH$853,IF($S$1013=764,PR!$AH$854,IF($S$1013=765,PR!$AH$855,IF($S$1013=766,PR!$AH$856,IF($S$1013=767,PR!$AH$857,IF($S$1013=768,PR!$AH$858,IF($S$1013=769,PR!$AH$859,IF($S$1013=770,PR!$AH$860,IF($S$1013=771,PR!$AH$861,IF($S$1013=772,PR!$AH$862,IF($S$1013=773,PR!$AH$863,IF($S$1013=774,PR!$AH$864,IF($S$1013=775,PR!$AH$865,IF($S$1013=776,PR!$AH$866,IF($S$1013=777,PR!$AH$867,IF($S$1013=778,PR!$AH$868,IF($S$1013=779,PR!$AH$869,IF($S$1013=780,PR!$AH$870,"-"))))))))))))))))))))))))))))))))))))))))))))))))))))))))))))</f>
        <v>0</v>
      </c>
      <c r="P1020" s="602">
        <f>IF($S$1013=721,PR!$AI$798,IF($S$1013=722,PR!$AI$806,IF($S$1013=723,PR!$AI$807,IF($S$1013=724,PR!$AI$808,IF($S$1013=725,PR!$AI$809,IF($S$1013=726,PR!$AI$810,IF($S$1013=727,PR!$AI$811,IF($S$1013=728,PR!$AI$812,IF($S$1013=729,PR!$AI$813,IF($S$1013=730,PR!$AI$814,IF($S$1013=731,PR!$AI$815,IF($S$1013=732,PR!$AI$816,IF($S$1013=733,PR!$AI$817,IF($S$1013=734,PR!$AI$818,IF($S$1013=735,PR!$AI$819,IF($S$1013=736,PR!$AI$820,IF($S$1013=737,PR!$AI$821,IF($S$1013=738,PR!$AI$822,IF($S$1013=739,PR!$AI$823,IF($S$1013=740,PR!$AI$824,IF($S$1013=741,PR!$AI$825,IF($S$1013=742,PR!$AI$826,IF($S$1013=743,PR!$AI$827,IF($S$1013=744,PR!$AI$828,IF($S$1013=745,PR!$AI$829,IF($S$1013=746,PR!$AI$830,IF($S$1013=747,PR!$AI$831,IF($S$1013=748,PR!$AI$832,IF($S$1013=749,PR!$AI$833,IF($S$1013=750,PR!$AI$834,IF($S$1013=751,PR!$AI$835,IF($S$1013=752,PR!$AI$836,IF($S$1013=753,PR!$AI$837,IF($S$1013=754,PR!$AI$838,IF($S$1013=755,PR!$AI$839,IF($S$1013=756,PR!$AI$840,IF($S$1013=757,PR!$AI$841,IF($S$1013=758,PR!$AI$842,IF($S$1013=759,PR!$AI$843,IF($S$1013=760,PR!$AI$850,IF($S$1013=761,PR!$AI$851,IF($S$1013=762,PR!$AI$852,IF($S$1013=763,PR!$AI$853,IF($S$1013=764,PR!$AI$854,IF($S$1013=765,PR!$AI$855,IF($S$1013=766,PR!$AI$856,IF($S$1013=767,PR!$AI$857,IF($S$1013=768,PR!$AI$858,IF($S$1013=769,PR!$AI$859,IF($S$1013=770,PR!$AI$860,IF($S$1013=771,PR!$AI$861,IF($S$1013=772,PR!$AI$862,IF($S$1013=773,PR!$AI$863,IF($S$1013=774,PR!$AI$864,IF($S$1013=775,PR!$AI$865,IF($S$1013=776,PR!$AI$866,IF($S$1013=777,PR!$AI$867,IF($S$1013=778,PR!$AI$868,IF($S$1013=779,PR!$AI$869,IF($S$1013=780,PR!$AI$870,"-"))))))))))))))))))))))))))))))))))))))))))))))))))))))))))))</f>
        <v>0</v>
      </c>
      <c r="Q1020" s="602">
        <f>IF($S$1013=721,PR!$AJ$798,IF($S$1013=722,PR!$AJ$806,IF($S$1013=723,PR!$AJ$807,IF($S$1013=724,PR!$AJ$808,IF($S$1013=725,PR!$AJ$809,IF($S$1013=726,PR!$AJ$810,IF($S$1013=727,PR!$AJ$811,IF($S$1013=728,PR!$AJ$812,IF($S$1013=729,PR!$AJ$813,IF($S$1013=730,PR!$AJ$814,IF($S$1013=731,PR!$AJ$815,IF($S$1013=732,PR!$AJ$816,IF($S$1013=733,PR!$AJ$817,IF($S$1013=734,PR!$AJ$818,IF($S$1013=735,PR!$AJ$819,IF($S$1013=736,PR!$AJ$820,IF($S$1013=737,PR!$AJ$821,IF($S$1013=738,PR!$AJ$822,IF($S$1013=739,PR!$AJ$823,IF($S$1013=740,PR!$AJ$824,IF($S$1013=741,PR!$AJ$825,IF($S$1013=742,PR!$AJ$826,IF($S$1013=743,PR!$AJ$827,IF($S$1013=744,PR!$AJ$828,IF($S$1013=745,PR!$AJ$829,IF($S$1013=746,PR!$AJ$830,IF($S$1013=747,PR!$AJ$831,IF($S$1013=748,PR!$AJ$832,IF($S$1013=749,PR!$AJ$833,IF($S$1013=750,PR!$AJ$834,IF($S$1013=751,PR!$AJ$835,IF($S$1013=752,PR!$AJ$836,IF($S$1013=753,PR!$AJ$837,IF($S$1013=754,PR!$AJ$838,IF($S$1013=755,PR!$AJ$839,IF($S$1013=756,PR!$AJ$840,IF($S$1013=757,PR!$AJ$841,IF($S$1013=758,PR!$AJ$842,IF($S$1013=759,PR!$AJ$843,IF($S$1013=760,PR!$AJ$850,IF($S$1013=761,PR!$AJ$851,IF($S$1013=762,PR!$AJ$852,IF($S$1013=763,PR!$AJ$853,IF($S$1013=764,PR!$AJ$854,IF($S$1013=765,PR!$AJ$855,IF($S$1013=766,PR!$AJ$856,IF($S$1013=767,PR!$AJ$857,IF($S$1013=768,PR!$AJ$858,IF($S$1013=769,PR!$AJ$859,IF($S$1013=770,PR!$AJ$860,IF($S$1013=771,PR!$AJ$861,IF($S$1013=772,PR!$AJ$862,IF($S$1013=773,PR!$AJ$863,IF($S$1013=774,PR!$AJ$864,IF($S$1013=775,PR!$AJ$865,IF($S$1013=776,PR!$AJ$866,IF($S$1013=777,PR!$AJ$867,IF($S$1013=778,PR!$AJ$868,IF($S$1013=779,PR!$AJ$869,IF($S$1013=780,PR!$AJ$870,"-"))))))))))))))))))))))))))))))))))))))))))))))))))))))))))))</f>
        <v>0</v>
      </c>
      <c r="R1020" s="602">
        <f>IF($S$1013=721,PR!$AK$798,IF($S$1013=722,PR!$AK$806,IF($S$1013=723,PR!$AK$807,IF($S$1013=724,PR!$AK$808,IF($S$1013=725,PR!$AK$809,IF($S$1013=726,PR!$AK$810,IF($S$1013=727,PR!$AK$811,IF($S$1013=728,PR!$AK$812,IF($S$1013=729,PR!$AK$813,IF($S$1013=730,PR!$AK$814,IF($S$1013=731,PR!$AK$815,IF($S$1013=732,PR!$AK$816,IF($S$1013=733,PR!$AK$817,IF($S$1013=734,PR!$AK$818,IF($S$1013=735,PR!$AK$819,IF($S$1013=736,PR!$AK$820,IF($S$1013=737,PR!$AK$821,IF($S$1013=738,PR!$AK$822,IF($S$1013=739,PR!$AK$823,IF($S$1013=740,PR!$AK$824,IF($S$1013=741,PR!$AK$825,IF($S$1013=742,PR!$AK$826,IF($S$1013=743,PR!$AK$827,IF($S$1013=744,PR!$AK$828,IF($S$1013=745,PR!$AK$829,IF($S$1013=746,PR!$AK$830,IF($S$1013=747,PR!$AK$831,IF($S$1013=748,PR!$AK$832,IF($S$1013=749,PR!$AK$833,IF($S$1013=750,PR!$AK$834,IF($S$1013=751,PR!$AK$835,IF($S$1013=752,PR!$AK$836,IF($S$1013=753,PR!$AK$837,IF($S$1013=754,PR!$AK$838,IF($S$1013=755,PR!$AK$839,IF($S$1013=756,PR!$AK$840,IF($S$1013=757,PR!$AK$841,IF($S$1013=758,PR!$AK$842,IF($S$1013=759,PR!$AK$843,IF($S$1013=760,PR!$AK$850,IF($S$1013=761,PR!$AK$851,IF($S$1013=762,PR!$AK$852,IF($S$1013=763,PR!$AK$853,IF($S$1013=764,PR!$AK$854,IF($S$1013=765,PR!$AK$855,IF($S$1013=766,PR!$AK$856,IF($S$1013=767,PR!$AK$857,IF($S$1013=768,PR!$AK$858,IF($S$1013=769,PR!$AK$859,IF($S$1013=770,PR!$AK$860,IF($S$1013=771,PR!$AK$861,IF($S$1013=772,PR!$AK$862,IF($S$1013=773,PR!$AK$863,IF($S$1013=774,PR!$AK$864,IF($S$1013=775,PR!$AK$865,IF($S$1013=776,PR!$AK$866,IF($S$1013=777,PR!$AK$867,IF($S$1013=778,PR!$AK$868,IF($S$1013=779,PR!$AK$869,IF($S$1013=780,PR!$AK$870,"-"))))))))))))))))))))))))))))))))))))))))))))))))))))))))))))</f>
        <v>0</v>
      </c>
      <c r="S1020" s="602">
        <f>IF($S$1013=721,PR!$AL$798,IF($S$1013=722,PR!$AL$806,IF($S$1013=723,PR!$AL$807,IF($S$1013=724,PR!$AL$808,IF($S$1013=725,PR!$AL$809,IF($S$1013=726,PR!$AL$810,IF($S$1013=727,PR!$AL$811,IF($S$1013=728,PR!$AL$812,IF($S$1013=729,PR!$AL$813,IF($S$1013=730,PR!$AL$814,IF($S$1013=731,PR!$AL$815,IF($S$1013=732,PR!$AL$816,IF($S$1013=733,PR!$AL$817,IF($S$1013=734,PR!$AL$818,IF($S$1013=735,PR!$AL$819,IF($S$1013=736,PR!$AL$820,IF($S$1013=737,PR!$AL$821,IF($S$1013=738,PR!$AL$822,IF($S$1013=739,PR!$AL$823,IF($S$1013=740,PR!$AL$824,IF($S$1013=741,PR!$AL$825,IF($S$1013=742,PR!$AL$826,IF($S$1013=743,PR!$AL$827,IF($S$1013=744,PR!$AL$828,IF($S$1013=745,PR!$AL$829,IF($S$1013=746,PR!$AL$830,IF($S$1013=747,PR!$AL$831,IF($S$1013=748,PR!$AL$832,IF($S$1013=749,PR!$AL$833,IF($S$1013=750,PR!$AL$834,IF($S$1013=751,PR!$AL$835,IF($S$1013=752,PR!$AL$836,IF($S$1013=753,PR!$AL$837,IF($S$1013=754,PR!$AL$838,IF($S$1013=755,PR!$AL$839,IF($S$1013=756,PR!$AL$840,IF($S$1013=757,PR!$AL$841,IF($S$1013=758,PR!$AL$842,IF($S$1013=759,PR!$AL$843,IF($S$1013=760,PR!$AL$850,IF($S$1013=761,PR!$AL$851,IF($S$1013=762,PR!$AL$852,IF($S$1013=763,PR!$AL$853,IF($S$1013=764,PR!$AL$854,IF($S$1013=765,PR!$AL$855,IF($S$1013=766,PR!$AL$856,IF($S$1013=767,PR!$AL$857,IF($S$1013=768,PR!$AL$858,IF($S$1013=769,PR!$AL$859,IF($S$1013=770,PR!$AL$860,IF($S$1013=771,PR!$AL$861,IF($S$1013=772,PR!$AL$862,IF($S$1013=773,PR!$AL$863,IF($S$1013=774,PR!$AL$864,IF($S$1013=775,PR!$AL$865,IF($S$1013=776,PR!$AL$866,IF($S$1013=777,PR!$AL$867,IF($S$1013=778,PR!$AL$868,IF($S$1013=779,PR!$AL$869,IF($S$1013=780,PR!$AL$870,"-"))))))))))))))))))))))))))))))))))))))))))))))))))))))))))))</f>
        <v>0</v>
      </c>
      <c r="T1020" s="580"/>
      <c r="U1020" s="580"/>
      <c r="V1020" s="32"/>
      <c r="W1020" s="32"/>
      <c r="X1020" s="32"/>
    </row>
    <row r="1021" spans="2:24" ht="15.75" x14ac:dyDescent="0.25">
      <c r="B1021" s="580"/>
      <c r="C1021" s="603"/>
      <c r="D1021" s="604"/>
      <c r="E1021" s="604"/>
      <c r="F1021" s="604"/>
      <c r="G1021" s="604"/>
      <c r="H1021" s="604"/>
      <c r="I1021" s="604"/>
      <c r="J1021" s="604"/>
      <c r="K1021" s="604"/>
      <c r="L1021" s="604"/>
      <c r="M1021" s="604"/>
      <c r="N1021" s="604"/>
      <c r="O1021" s="604"/>
      <c r="P1021" s="604"/>
      <c r="Q1021" s="604"/>
      <c r="R1021" s="606"/>
      <c r="S1021" s="606"/>
      <c r="T1021" s="580"/>
      <c r="U1021" s="580"/>
      <c r="V1021" s="32"/>
      <c r="W1021" s="32"/>
      <c r="X1021" s="32"/>
    </row>
    <row r="1022" spans="2:24" ht="15.75" thickBot="1" x14ac:dyDescent="0.3">
      <c r="B1022" s="580"/>
      <c r="C1022" s="600" t="str">
        <f>N!$C$38</f>
        <v>MWORLD</v>
      </c>
      <c r="D1022" s="600" t="str">
        <f>N!$C$39</f>
        <v>MEGA</v>
      </c>
      <c r="E1022" s="600" t="str">
        <f>N!$C$40</f>
        <v>MICRONOVA</v>
      </c>
      <c r="F1022" s="600" t="str">
        <f>N!$C$41</f>
        <v>MFLASH</v>
      </c>
      <c r="G1022" s="600" t="str">
        <f>N!$C$42</f>
        <v>MORISON</v>
      </c>
      <c r="H1022" s="600" t="str">
        <f>N!$C$43</f>
        <v>NEMEL</v>
      </c>
      <c r="I1022" s="600" t="str">
        <f>N!$C$44</f>
        <v>NHP</v>
      </c>
      <c r="J1022" s="600" t="str">
        <f>N!$C$45</f>
        <v>NHC</v>
      </c>
      <c r="K1022" s="600" t="str">
        <f>N!$C$46</f>
        <v>OLEAF</v>
      </c>
      <c r="L1022" s="600" t="str">
        <f>N!$C$47</f>
        <v>OCULUS</v>
      </c>
      <c r="M1022" s="600" t="str">
        <f>N!$C$48</f>
        <v>PACIFIC</v>
      </c>
      <c r="N1022" s="600" t="str">
        <f>N!$C$49</f>
        <v>PHAMATEX</v>
      </c>
      <c r="O1022" s="600" t="str">
        <f>N!$C$50</f>
        <v>PETHICS</v>
      </c>
      <c r="P1022" s="600" t="str">
        <f>N!$C$51</f>
        <v>PHILIPS</v>
      </c>
      <c r="Q1022" s="600" t="str">
        <f>N!$C$52</f>
        <v>RANBAXY</v>
      </c>
      <c r="R1022" s="600" t="str">
        <f>N!$C$53</f>
        <v>REALS</v>
      </c>
      <c r="S1022" s="600" t="str">
        <f>N!$C$54</f>
        <v>ROYAL</v>
      </c>
      <c r="T1022" s="580"/>
      <c r="U1022" s="580"/>
      <c r="V1022" s="32"/>
      <c r="W1022" s="32"/>
      <c r="X1022" s="32"/>
    </row>
    <row r="1023" spans="2:24" ht="15.75" thickBot="1" x14ac:dyDescent="0.3">
      <c r="B1023" s="580"/>
      <c r="C1023" s="602">
        <f>IF($S$1013=721,PR!$AM$798,IF($S$1013=722,PR!$AM$806,IF($S$1013=723,PR!$AM$807,IF($S$1013=724,PR!$AM$808,IF($S$1013=725,PR!$AM$809,IF($S$1013=726,PR!$AM$810,IF($S$1013=727,PR!$AM$811,IF($S$1013=728,PR!$AM$812,IF($S$1013=729,PR!$AM$813,IF($S$1013=730,PR!$AM$814,IF($S$1013=731,PR!$AM$815,IF($S$1013=732,PR!$AM$816,IF($S$1013=733,PR!$AM$817,IF($S$1013=734,PR!$AM$818,IF($S$1013=735,PR!$AM$819,IF($S$1013=736,PR!$AM$820,IF($S$1013=737,PR!$AM$821,IF($S$1013=738,PR!$AM$822,IF($S$1013=739,PR!$AM$823,IF($S$1013=740,PR!$AM$824,IF($S$1013=741,PR!$AM$825,IF($S$1013=742,PR!$AM$826,IF($S$1013=743,PR!$AM$827,IF($S$1013=744,PR!$AM$828,IF($S$1013=745,PR!$AM$829,IF($S$1013=746,PR!$AM$830,IF($S$1013=747,PR!$AM$831,IF($S$1013=748,PR!$AM$832,IF($S$1013=749,PR!$AM$833,IF($S$1013=750,PR!$AM$834,IF($S$1013=751,PR!$AM$835,IF($S$1013=752,PR!$AM$836,IF($S$1013=753,PR!$AM$837,IF($S$1013=754,PR!$AM$838,IF($S$1013=755,PR!$AM$839,IF($S$1013=756,PR!$AM$840,IF($S$1013=757,PR!$AM$841,IF($S$1013=758,PR!$AM$842,IF($S$1013=759,PR!$AM$843,IF($S$1013=760,PR!$AM$850,IF($S$1013=761,PR!$AM$851,IF($S$1013=762,PR!$AM$852,IF($S$1013=763,PR!$AM$853,IF($S$1013=764,PR!$AM$854,IF($S$1013=765,PR!$AM$855,IF($S$1013=766,PR!$AM$856,IF($S$1013=767,PR!$AM$857,IF($S$1013=768,PR!$AM$858,IF($S$1013=769,PR!$AM$859,IF($S$1013=770,PR!$AM$860,IF($S$1013=771,PR!$AM$861,IF($S$1013=772,PR!$AM$862,IF($S$1013=773,PR!$AM$863,IF($S$1013=774,PR!$AM$864,IF($S$1013=775,PR!$AM$865,IF($S$1013=776,PR!$AM$866,IF($S$1013=777,PR!$AM$867,IF($S$1013=778,PR!$AM$868,IF($S$1013=779,PR!$AM$869,IF($S$1013=780,PR!$AM$870,"-"))))))))))))))))))))))))))))))))))))))))))))))))))))))))))))</f>
        <v>0</v>
      </c>
      <c r="D1023" s="602">
        <f>IF($S$1013=721,PR!$AN$798,IF($S$1013=722,PR!$AN$806,IF($S$1013=723,PR!$AN$807,IF($S$1013=724,PR!$AN$808,IF($S$1013=725,PR!$AN$809,IF($S$1013=726,PR!$AN$810,IF($S$1013=727,PR!$AN$811,IF($S$1013=728,PR!$AN$812,IF($S$1013=729,PR!$AN$813,IF($S$1013=730,PR!$AN$814,IF($S$1013=731,PR!$AN$815,IF($S$1013=732,PR!$AN$816,IF($S$1013=733,PR!$AN$817,IF($S$1013=734,PR!$AN$818,IF($S$1013=735,PR!$AN$819,IF($S$1013=736,PR!$AN$820,IF($S$1013=737,PR!$AN$821,IF($S$1013=738,PR!$AN$822,IF($S$1013=739,PR!$AN$823,IF($S$1013=740,PR!$AN$824,IF($S$1013=741,PR!$AN$825,IF($S$1013=742,PR!$AN$826,IF($S$1013=743,PR!$AN$827,IF($S$1013=744,PR!$AN$828,IF($S$1013=745,PR!$AN$829,IF($S$1013=746,PR!$AN$830,IF($S$1013=747,PR!$AN$831,IF($S$1013=748,PR!$AN$832,IF($S$1013=749,PR!$AN$833,IF($S$1013=750,PR!$AN$834,IF($S$1013=751,PR!$AN$835,IF($S$1013=752,PR!$AN$836,IF($S$1013=753,PR!$AN$837,IF($S$1013=754,PR!$AN$838,IF($S$1013=755,PR!$AN$839,IF($S$1013=756,PR!$AN$840,IF($S$1013=757,PR!$AN$841,IF($S$1013=758,PR!$AN$842,IF($S$1013=759,PR!$AN$843,IF($S$1013=760,PR!$AN$850,IF($S$1013=761,PR!$AN$851,IF($S$1013=762,PR!$AN$852,IF($S$1013=763,PR!$AN$853,IF($S$1013=764,PR!$AN$854,IF($S$1013=765,PR!$AN$855,IF($S$1013=766,PR!$AN$856,IF($S$1013=767,PR!$AN$857,IF($S$1013=768,PR!$AN$858,IF($S$1013=769,PR!$AN$859,IF($S$1013=770,PR!$AN$860,IF($S$1013=771,PR!$AN$861,IF($S$1013=772,PR!$AN$862,IF($S$1013=773,PR!$AN$863,IF($S$1013=774,PR!$AN$864,IF($S$1013=775,PR!$AN$865,IF($S$1013=776,PR!$AN$866,IF($S$1013=777,PR!$AN$867,IF($S$1013=778,PR!$AN$868,IF($S$1013=779,PR!$AN$869,IF($S$1013=780,PR!$AN$870,"-"))))))))))))))))))))))))))))))))))))))))))))))))))))))))))))</f>
        <v>0</v>
      </c>
      <c r="E1023" s="602">
        <f>IF($S$1013=721,PR!$AO$798,IF($S$1013=722,PR!$AO$806,IF($S$1013=723,PR!$AO$807,IF($S$1013=724,PR!$AO$808,IF($S$1013=725,PR!$AO$809,IF($S$1013=726,PR!$AO$810,IF($S$1013=727,PR!$AO$811,IF($S$1013=728,PR!$AO$812,IF($S$1013=729,PR!$AO$813,IF($S$1013=730,PR!$AO$814,IF($S$1013=731,PR!$AO$815,IF($S$1013=732,PR!$AO$816,IF($S$1013=733,PR!$AO$817,IF($S$1013=734,PR!$AO$818,IF($S$1013=735,PR!$AO$819,IF($S$1013=736,PR!$AO$820,IF($S$1013=737,PR!$AO$821,IF($S$1013=738,PR!$AO$822,IF($S$1013=739,PR!$AO$823,IF($S$1013=740,PR!$AO$824,IF($S$1013=741,PR!$AO$825,IF($S$1013=742,PR!$AO$826,IF($S$1013=743,PR!$AO$827,IF($S$1013=744,PR!$AO$828,IF($S$1013=745,PR!$AO$829,IF($S$1013=746,PR!$AO$830,IF($S$1013=747,PR!$AO$831,IF($S$1013=748,PR!$AO$832,IF($S$1013=749,PR!$AO$833,IF($S$1013=750,PR!$AO$834,IF($S$1013=751,PR!$AO$835,IF($S$1013=752,PR!$AO$836,IF($S$1013=753,PR!$AO$837,IF($S$1013=754,PR!$AO$838,IF($S$1013=755,PR!$AO$839,IF($S$1013=756,PR!$AO$840,IF($S$1013=757,PR!$AO$841,IF($S$1013=758,PR!$AO$842,IF($S$1013=759,PR!$AO$843,IF($S$1013=760,PR!$AO$850,IF($S$1013=761,PR!$AO$851,IF($S$1013=762,PR!$AO$852,IF($S$1013=763,PR!$AO$853,IF($S$1013=764,PR!$AO$854,IF($S$1013=765,PR!$AO$855,IF($S$1013=766,PR!$AO$856,IF($S$1013=767,PR!$AO$857,IF($S$1013=768,PR!$AO$858,IF($S$1013=769,PR!$AO$859,IF($S$1013=770,PR!$AO$860,IF($S$1013=771,PR!$AO$861,IF($S$1013=772,PR!$AO$862,IF($S$1013=773,PR!$AO$863,IF($S$1013=774,PR!$AO$864,IF($S$1013=775,PR!$AO$865,IF($S$1013=776,PR!$AO$866,IF($S$1013=777,PR!$AO$867,IF($S$1013=778,PR!$AO$868,IF($S$1013=779,PR!$AO$869,IF($S$1013=780,PR!$AO$870,"-"))))))))))))))))))))))))))))))))))))))))))))))))))))))))))))</f>
        <v>0</v>
      </c>
      <c r="F1023" s="602">
        <f>IF($S$1013=721,PR!$AP$798,IF($S$1013=722,PR!$AP$806,IF($S$1013=723,PR!$AP$807,IF($S$1013=724,PR!$AP$808,IF($S$1013=725,PR!$AP$809,IF($S$1013=726,PR!$AP$810,IF($S$1013=727,PR!$AP$811,IF($S$1013=728,PR!$AP$812,IF($S$1013=729,PR!$AP$813,IF($S$1013=730,PR!$AP$814,IF($S$1013=731,PR!$AP$815,IF($S$1013=732,PR!$AP$816,IF($S$1013=733,PR!$AP$817,IF($S$1013=734,PR!$AP$818,IF($S$1013=735,PR!$AP$819,IF($S$1013=736,PR!$AP$820,IF($S$1013=737,PR!$AP$821,IF($S$1013=738,PR!$AP$822,IF($S$1013=739,PR!$AP$823,IF($S$1013=740,PR!$AP$824,IF($S$1013=741,PR!$AP$825,IF($S$1013=742,PR!$AP$826,IF($S$1013=743,PR!$AP$827,IF($S$1013=744,PR!$AP$828,IF($S$1013=745,PR!$AP$829,IF($S$1013=746,PR!$AP$830,IF($S$1013=747,PR!$AP$831,IF($S$1013=748,PR!$AP$832,IF($S$1013=749,PR!$AP$833,IF($S$1013=750,PR!$AP$834,IF($S$1013=751,PR!$AP$835,IF($S$1013=752,PR!$AP$836,IF($S$1013=753,PR!$AP$837,IF($S$1013=754,PR!$AP$838,IF($S$1013=755,PR!$AP$839,IF($S$1013=756,PR!$AP$840,IF($S$1013=757,PR!$AP$841,IF($S$1013=758,PR!$AP$842,IF($S$1013=759,PR!$AP$843,IF($S$1013=760,PR!$AP$850,IF($S$1013=761,PR!$AP$851,IF($S$1013=762,PR!$AP$852,IF($S$1013=763,PR!$AP$853,IF($S$1013=764,PR!$AP$854,IF($S$1013=765,PR!$AP$855,IF($S$1013=766,PR!$AP$856,IF($S$1013=767,PR!$AP$857,IF($S$1013=768,PR!$AP$858,IF($S$1013=769,PR!$AP$859,IF($S$1013=770,PR!$AP$860,IF($S$1013=771,PR!$AP$861,IF($S$1013=772,PR!$AP$862,IF($S$1013=773,PR!$AP$863,IF($S$1013=774,PR!$AP$864,IF($S$1013=775,PR!$AP$865,IF($S$1013=776,PR!$AP$866,IF($S$1013=777,PR!$AP$867,IF($S$1013=778,PR!$AP$868,IF($S$1013=779,PR!$AP$869,IF($S$1013=780,PR!$AP$870,"-"))))))))))))))))))))))))))))))))))))))))))))))))))))))))))))</f>
        <v>0</v>
      </c>
      <c r="G1023" s="602">
        <f>IF($S$1013=721,PR!$AQ$798,IF($S$1013=722,PR!$AQ$806,IF($S$1013=723,PR!$AQ$807,IF($S$1013=724,PR!$AQ$808,IF($S$1013=725,PR!$AQ$809,IF($S$1013=726,PR!$AQ$810,IF($S$1013=727,PR!$AQ$811,IF($S$1013=728,PR!$AQ$812,IF($S$1013=729,PR!$AQ$813,IF($S$1013=730,PR!$AQ$814,IF($S$1013=731,PR!$AQ$815,IF($S$1013=732,PR!$AQ$816,IF($S$1013=733,PR!$AQ$817,IF($S$1013=734,PR!$AQ$818,IF($S$1013=735,PR!$AQ$819,IF($S$1013=736,PR!$AQ$820,IF($S$1013=737,PR!$AQ$821,IF($S$1013=738,PR!$AQ$822,IF($S$1013=739,PR!$AQ$823,IF($S$1013=740,PR!$AQ$824,IF($S$1013=741,PR!$AQ$825,IF($S$1013=742,PR!$AQ$826,IF($S$1013=743,PR!$AQ$827,IF($S$1013=744,PR!$AQ$828,IF($S$1013=745,PR!$AQ$829,IF($S$1013=746,PR!$AQ$830,IF($S$1013=747,PR!$AQ$831,IF($S$1013=748,PR!$AQ$832,IF($S$1013=749,PR!$AQ$833,IF($S$1013=750,PR!$AQ$834,IF($S$1013=751,PR!$AQ$835,IF($S$1013=752,PR!$AQ$836,IF($S$1013=753,PR!$AQ$837,IF($S$1013=754,PR!$AQ$838,IF($S$1013=755,PR!$AQ$839,IF($S$1013=756,PR!$AQ$840,IF($S$1013=757,PR!$AQ$841,IF($S$1013=758,PR!$AQ$842,IF($S$1013=759,PR!$AQ$843,IF($S$1013=760,PR!$AQ$850,IF($S$1013=761,PR!$AQ$851,IF($S$1013=762,PR!$AQ$852,IF($S$1013=763,PR!$AQ$853,IF($S$1013=764,PR!$AQ$854,IF($S$1013=765,PR!$AQ$855,IF($S$1013=766,PR!$AQ$856,IF($S$1013=767,PR!$AQ$857,IF($S$1013=768,PR!$AQ$858,IF($S$1013=769,PR!$AQ$859,IF($S$1013=770,PR!$AQ$860,IF($S$1013=771,PR!$AQ$861,IF($S$1013=772,PR!$AQ$862,IF($S$1013=773,PR!$AQ$863,IF($S$1013=774,PR!$AQ$864,IF($S$1013=775,PR!$AQ$865,IF($S$1013=776,PR!$AQ$866,IF($S$1013=777,PR!$AQ$867,IF($S$1013=778,PR!$AQ$868,IF($S$1013=779,PR!$AQ$869,IF($S$1013=780,PR!$AQ$870,"-"))))))))))))))))))))))))))))))))))))))))))))))))))))))))))))</f>
        <v>0</v>
      </c>
      <c r="H1023" s="602">
        <f>IF($S$1013=721,PR!$AR$798,IF($S$1013=722,PR!$AR$806,IF($S$1013=723,PR!$AR$807,IF($S$1013=724,PR!$AR$808,IF($S$1013=725,PR!$AR$809,IF($S$1013=726,PR!$AR$810,IF($S$1013=727,PR!$AR$811,IF($S$1013=728,PR!$AR$812,IF($S$1013=729,PR!$AR$813,IF($S$1013=730,PR!$AR$814,IF($S$1013=731,PR!$AR$815,IF($S$1013=732,PR!$AR$816,IF($S$1013=733,PR!$AR$817,IF($S$1013=734,PR!$AR$818,IF($S$1013=735,PR!$AR$819,IF($S$1013=736,PR!$AR$820,IF($S$1013=737,PR!$AR$821,IF($S$1013=738,PR!$AR$822,IF($S$1013=739,PR!$AR$823,IF($S$1013=740,PR!$AR$824,IF($S$1013=741,PR!$AR$825,IF($S$1013=742,PR!$AR$826,IF($S$1013=743,PR!$AR$827,IF($S$1013=744,PR!$AR$828,IF($S$1013=745,PR!$AR$829,IF($S$1013=746,PR!$AR$830,IF($S$1013=747,PR!$AR$831,IF($S$1013=748,PR!$AR$832,IF($S$1013=749,PR!$AR$833,IF($S$1013=750,PR!$AR$834,IF($S$1013=751,PR!$AR$835,IF($S$1013=752,PR!$AR$836,IF($S$1013=753,PR!$AR$837,IF($S$1013=754,PR!$AR$838,IF($S$1013=755,PR!$AR$839,IF($S$1013=756,PR!$AR$840,IF($S$1013=757,PR!$AR$841,IF($S$1013=758,PR!$AR$842,IF($S$1013=759,PR!$AR$843,IF($S$1013=760,PR!$AR$850,IF($S$1013=761,PR!$AR$851,IF($S$1013=762,PR!$AR$852,IF($S$1013=763,PR!$AR$853,IF($S$1013=764,PR!$AR$854,IF($S$1013=765,PR!$AR$855,IF($S$1013=766,PR!$AR$856,IF($S$1013=767,PR!$AR$857,IF($S$1013=768,PR!$AR$858,IF($S$1013=769,PR!$AR$859,IF($S$1013=770,PR!$AR$860,IF($S$1013=771,PR!$AR$861,IF($S$1013=772,PR!$AR$862,IF($S$1013=773,PR!$AR$863,IF($S$1013=774,PR!$AR$864,IF($S$1013=775,PR!$AR$865,IF($S$1013=776,PR!$AR$866,IF($S$1013=777,PR!$AR$867,IF($S$1013=778,PR!$AR$868,IF($S$1013=779,PR!$AR$869,IF($S$1013=780,PR!$AR$870,"-"))))))))))))))))))))))))))))))))))))))))))))))))))))))))))))</f>
        <v>0</v>
      </c>
      <c r="I1023" s="602">
        <f>IF($S$1013=721,PR!$AS$798,IF($S$1013=722,PR!$AS$806,IF($S$1013=723,PR!$AS$807,IF($S$1013=724,PR!$AS$808,IF($S$1013=725,PR!$AS$809,IF($S$1013=726,PR!$AS$810,IF($S$1013=727,PR!$AS$811,IF($S$1013=728,PR!$AS$812,IF($S$1013=729,PR!$AS$813,IF($S$1013=730,PR!$AS$814,IF($S$1013=731,PR!$AS$815,IF($S$1013=732,PR!$AS$816,IF($S$1013=733,PR!$AS$817,IF($S$1013=734,PR!$AS$818,IF($S$1013=735,PR!$AS$819,IF($S$1013=736,PR!$AS$820,IF($S$1013=737,PR!$AS$821,IF($S$1013=738,PR!$AS$822,IF($S$1013=739,PR!$AS$823,IF($S$1013=740,PR!$AS$824,IF($S$1013=741,PR!$AS$825,IF($S$1013=742,PR!$AS$826,IF($S$1013=743,PR!$AS$827,IF($S$1013=744,PR!$AS$828,IF($S$1013=745,PR!$AS$829,IF($S$1013=746,PR!$AS$830,IF($S$1013=747,PR!$AS$831,IF($S$1013=748,PR!$AS$832,IF($S$1013=749,PR!$AS$833,IF($S$1013=750,PR!$AS$834,IF($S$1013=751,PR!$AS$835,IF($S$1013=752,PR!$AS$836,IF($S$1013=753,PR!$AS$837,IF($S$1013=754,PR!$AS$838,IF($S$1013=755,PR!$AS$839,IF($S$1013=756,PR!$AS$840,IF($S$1013=757,PR!$AS$841,IF($S$1013=758,PR!$AS$842,IF($S$1013=759,PR!$AS$843,IF($S$1013=760,PR!$AS$850,IF($S$1013=761,PR!$AS$851,IF($S$1013=762,PR!$AS$852,IF($S$1013=763,PR!$AS$853,IF($S$1013=764,PR!$AS$854,IF($S$1013=765,PR!$AS$855,IF($S$1013=766,PR!$AS$856,IF($S$1013=767,PR!$AS$857,IF($S$1013=768,PR!$AS$858,IF($S$1013=769,PR!$AS$859,IF($S$1013=770,PR!$AS$860,IF($S$1013=771,PR!$AS$861,IF($S$1013=772,PR!$AS$862,IF($S$1013=773,PR!$AS$863,IF($S$1013=774,PR!$AS$864,IF($S$1013=775,PR!$AS$865,IF($S$1013=776,PR!$AS$866,IF($S$1013=777,PR!$AS$867,IF($S$1013=778,PR!$AS$868,IF($S$1013=779,PR!$AS$869,IF($S$1013=780,PR!$AS$870,"-"))))))))))))))))))))))))))))))))))))))))))))))))))))))))))))</f>
        <v>0</v>
      </c>
      <c r="J1023" s="602">
        <f>IF($S$1013=721,PR!$AT$798,IF($S$1013=722,PR!$AT$806,IF($S$1013=723,PR!$AT$807,IF($S$1013=724,PR!$AT$808,IF($S$1013=725,PR!$AT$809,IF($S$1013=726,PR!$AT$810,IF($S$1013=727,PR!$AT$811,IF($S$1013=728,PR!$AT$812,IF($S$1013=729,PR!$AT$813,IF($S$1013=730,PR!$AT$814,IF($S$1013=731,PR!$AT$815,IF($S$1013=732,PR!$AT$816,IF($S$1013=733,PR!$AT$817,IF($S$1013=734,PR!$AT$818,IF($S$1013=735,PR!$AT$819,IF($S$1013=736,PR!$AT$820,IF($S$1013=737,PR!$AT$821,IF($S$1013=738,PR!$AT$822,IF($S$1013=739,PR!$AT$823,IF($S$1013=740,PR!$AT$824,IF($S$1013=741,PR!$AT$825,IF($S$1013=742,PR!$AT$826,IF($S$1013=743,PR!$AT$827,IF($S$1013=744,PR!$AT$828,IF($S$1013=745,PR!$AT$829,IF($S$1013=746,PR!$AT$830,IF($S$1013=747,PR!$AT$831,IF($S$1013=748,PR!$AT$832,IF($S$1013=749,PR!$AT$833,IF($S$1013=750,PR!$AT$834,IF($S$1013=751,PR!$AT$835,IF($S$1013=752,PR!$AT$836,IF($S$1013=753,PR!$AT$837,IF($S$1013=754,PR!$AT$838,IF($S$1013=755,PR!$AT$839,IF($S$1013=756,PR!$AT$840,IF($S$1013=757,PR!$AT$841,IF($S$1013=758,PR!$AT$842,IF($S$1013=759,PR!$AT$843,IF($S$1013=760,PR!$AT$850,IF($S$1013=761,PR!$AT$851,IF($S$1013=762,PR!$AT$852,IF($S$1013=763,PR!$AT$853,IF($S$1013=764,PR!$AT$854,IF($S$1013=765,PR!$AT$855,IF($S$1013=766,PR!$AT$856,IF($S$1013=767,PR!$AT$857,IF($S$1013=768,PR!$AT$858,IF($S$1013=769,PR!$AT$859,IF($S$1013=770,PR!$AT$860,IF($S$1013=771,PR!$AT$861,IF($S$1013=772,PR!$AT$862,IF($S$1013=773,PR!$AT$863,IF($S$1013=774,PR!$AT$864,IF($S$1013=775,PR!$AT$865,IF($S$1013=776,PR!$AT$866,IF($S$1013=777,PR!$AT$867,IF($S$1013=778,PR!$AT$868,IF($S$1013=779,PR!$AT$869,IF($S$1013=780,PR!$AT$870,"-"))))))))))))))))))))))))))))))))))))))))))))))))))))))))))))</f>
        <v>0</v>
      </c>
      <c r="K1023" s="602">
        <f>IF($S$1013=721,PR!$AU$798,IF($S$1013=722,PR!$AU$806,IF($S$1013=723,PR!$AU$807,IF($S$1013=724,PR!$AU$808,IF($S$1013=725,PR!$AU$809,IF($S$1013=726,PR!$AU$810,IF($S$1013=727,PR!$AU$811,IF($S$1013=728,PR!$AU$812,IF($S$1013=729,PR!$AU$813,IF($S$1013=730,PR!$AU$814,IF($S$1013=731,PR!$AU$815,IF($S$1013=732,PR!$AU$816,IF($S$1013=733,PR!$AU$817,IF($S$1013=734,PR!$AU$818,IF($S$1013=735,PR!$AU$819,IF($S$1013=736,PR!$AU$820,IF($S$1013=737,PR!$AU$821,IF($S$1013=738,PR!$AU$822,IF($S$1013=739,PR!$AU$823,IF($S$1013=740,PR!$AU$824,IF($S$1013=741,PR!$AU$825,IF($S$1013=742,PR!$AU$826,IF($S$1013=743,PR!$AU$827,IF($S$1013=744,PR!$AU$828,IF($S$1013=745,PR!$AU$829,IF($S$1013=746,PR!$AU$830,IF($S$1013=747,PR!$AU$831,IF($S$1013=748,PR!$AU$832,IF($S$1013=749,PR!$AU$833,IF($S$1013=750,PR!$AU$834,IF($S$1013=751,PR!$AU$835,IF($S$1013=752,PR!$AU$836,IF($S$1013=753,PR!$AU$837,IF($S$1013=754,PR!$AU$838,IF($S$1013=755,PR!$AU$839,IF($S$1013=756,PR!$AU$840,IF($S$1013=757,PR!$AU$841,IF($S$1013=758,PR!$AU$842,IF($S$1013=759,PR!$AU$843,IF($S$1013=760,PR!$AU$850,IF($S$1013=761,PR!$AU$851,IF($S$1013=762,PR!$AU$852,IF($S$1013=763,PR!$AU$853,IF($S$1013=764,PR!$AU$854,IF($S$1013=765,PR!$AU$855,IF($S$1013=766,PR!$AU$856,IF($S$1013=767,PR!$AU$857,IF($S$1013=768,PR!$AU$858,IF($S$1013=769,PR!$AU$859,IF($S$1013=770,PR!$AU$860,IF($S$1013=771,PR!$AU$861,IF($S$1013=772,PR!$AU$862,IF($S$1013=773,PR!$AU$863,IF($S$1013=774,PR!$AU$864,IF($S$1013=775,PR!$AU$865,IF($S$1013=776,PR!$AU$866,IF($S$1013=777,PR!$AU$867,IF($S$1013=778,PR!$AU$868,IF($S$1013=779,PR!$AU$869,IF($S$1013=780,PR!$AU$870,"-"))))))))))))))))))))))))))))))))))))))))))))))))))))))))))))</f>
        <v>0</v>
      </c>
      <c r="L1023" s="602">
        <f>IF($S$1013=721,PR!$AV$798,IF($S$1013=722,PR!$AV$806,IF($S$1013=723,PR!$AV$807,IF($S$1013=724,PR!$AV$808,IF($S$1013=725,PR!$AV$809,IF($S$1013=726,PR!$AV$810,IF($S$1013=727,PR!$AV$811,IF($S$1013=728,PR!$AV$812,IF($S$1013=729,PR!$AV$813,IF($S$1013=730,PR!$AV$814,IF($S$1013=731,PR!$AV$815,IF($S$1013=732,PR!$AV$816,IF($S$1013=733,PR!$AV$817,IF($S$1013=734,PR!$AV$818,IF($S$1013=735,PR!$AV$819,IF($S$1013=736,PR!$AV$820,IF($S$1013=737,PR!$AV$821,IF($S$1013=738,PR!$AV$822,IF($S$1013=739,PR!$AV$823,IF($S$1013=740,PR!$AV$824,IF($S$1013=741,PR!$AV$825,IF($S$1013=742,PR!$AV$826,IF($S$1013=743,PR!$AV$827,IF($S$1013=744,PR!$AV$828,IF($S$1013=745,PR!$AV$829,IF($S$1013=746,PR!$AV$830,IF($S$1013=747,PR!$AV$831,IF($S$1013=748,PR!$AV$832,IF($S$1013=749,PR!$AV$833,IF($S$1013=750,PR!$AV$834,IF($S$1013=751,PR!$AV$835,IF($S$1013=752,PR!$AV$836,IF($S$1013=753,PR!$AV$837,IF($S$1013=754,PR!$AV$838,IF($S$1013=755,PR!$AV$839,IF($S$1013=756,PR!$AV$840,IF($S$1013=757,PR!$AV$841,IF($S$1013=758,PR!$AV$842,IF($S$1013=759,PR!$AV$843,IF($S$1013=760,PR!$AV$850,IF($S$1013=761,PR!$AV$851,IF($S$1013=762,PR!$AV$852,IF($S$1013=763,PR!$AV$853,IF($S$1013=764,PR!$AV$854,IF($S$1013=765,PR!$AV$855,IF($S$1013=766,PR!$AV$856,IF($S$1013=767,PR!$AV$857,IF($S$1013=768,PR!$AV$858,IF($S$1013=769,PR!$AV$859,IF($S$1013=770,PR!$AV$860,IF($S$1013=771,PR!$AV$861,IF($S$1013=772,PR!$AV$862,IF($S$1013=773,PR!$AV$863,IF($S$1013=774,PR!$AV$864,IF($S$1013=775,PR!$AV$865,IF($S$1013=776,PR!$AV$866,IF($S$1013=777,PR!$AV$867,IF($S$1013=778,PR!$AV$868,IF($S$1013=779,PR!$AV$869,IF($S$1013=780,PR!$AV$870,"-"))))))))))))))))))))))))))))))))))))))))))))))))))))))))))))</f>
        <v>0</v>
      </c>
      <c r="M1023" s="602">
        <f>IF($S$1013=721,PR!$AW$798,IF($S$1013=722,PR!$AW$806,IF($S$1013=723,PR!$AW$807,IF($S$1013=724,PR!$AW$808,IF($S$1013=725,PR!$AW$809,IF($S$1013=726,PR!$AW$810,IF($S$1013=727,PR!$AW$811,IF($S$1013=728,PR!$AW$812,IF($S$1013=729,PR!$AW$813,IF($S$1013=730,PR!$AW$814,IF($S$1013=731,PR!$AW$815,IF($S$1013=732,PR!$AW$816,IF($S$1013=733,PR!$AW$817,IF($S$1013=734,PR!$AW$818,IF($S$1013=735,PR!$AW$819,IF($S$1013=736,PR!$AW$820,IF($S$1013=737,PR!$AW$821,IF($S$1013=738,PR!$AW$822,IF($S$1013=739,PR!$AW$823,IF($S$1013=740,PR!$AW$824,IF($S$1013=741,PR!$AW$825,IF($S$1013=742,PR!$AW$826,IF($S$1013=743,PR!$AW$827,IF($S$1013=744,PR!$AW$828,IF($S$1013=745,PR!$AW$829,IF($S$1013=746,PR!$AW$830,IF($S$1013=747,PR!$AW$831,IF($S$1013=748,PR!$AW$832,IF($S$1013=749,PR!$AW$833,IF($S$1013=750,PR!$AW$834,IF($S$1013=751,PR!$AW$835,IF($S$1013=752,PR!$AW$836,IF($S$1013=753,PR!$AW$837,IF($S$1013=754,PR!$AW$838,IF($S$1013=755,PR!$AW$839,IF($S$1013=756,PR!$AW$840,IF($S$1013=757,PR!$AW$841,IF($S$1013=758,PR!$AW$842,IF($S$1013=759,PR!$AW$843,IF($S$1013=760,PR!$AW$850,IF($S$1013=761,PR!$AW$851,IF($S$1013=762,PR!$AW$852,IF($S$1013=763,PR!$AW$853,IF($S$1013=764,PR!$AW$854,IF($S$1013=765,PR!$AW$855,IF($S$1013=766,PR!$AW$856,IF($S$1013=767,PR!$AW$857,IF($S$1013=768,PR!$AW$858,IF($S$1013=769,PR!$AW$859,IF($S$1013=770,PR!$AW$860,IF($S$1013=771,PR!$AW$861,IF($S$1013=772,PR!$AW$862,IF($S$1013=773,PR!$AW$863,IF($S$1013=774,PR!$AW$864,IF($S$1013=775,PR!$AW$865,IF($S$1013=776,PR!$AW$866,IF($S$1013=777,PR!$AW$867,IF($S$1013=778,PR!$AW$868,IF($S$1013=779,PR!$AW$869,IF($S$1013=780,PR!$AW$870,"-"))))))))))))))))))))))))))))))))))))))))))))))))))))))))))))</f>
        <v>64654.05</v>
      </c>
      <c r="N1023" s="602">
        <f>IF($S$1013=721,PR!$AX$798,IF($S$1013=722,PR!$AX$806,IF($S$1013=723,PR!$AX$807,IF($S$1013=724,PR!$AX$808,IF($S$1013=725,PR!$AX$809,IF($S$1013=726,PR!$AX$810,IF($S$1013=727,PR!$AX$811,IF($S$1013=728,PR!$AX$812,IF($S$1013=729,PR!$AX$813,IF($S$1013=730,PR!$AX$814,IF($S$1013=731,PR!$AX$815,IF($S$1013=732,PR!$AX$816,IF($S$1013=733,PR!$AX$817,IF($S$1013=734,PR!$AX$818,IF($S$1013=735,PR!$AX$819,IF($S$1013=736,PR!$AX$820,IF($S$1013=737,PR!$AX$821,IF($S$1013=738,PR!$AX$822,IF($S$1013=739,PR!$AX$823,IF($S$1013=740,PR!$AX$824,IF($S$1013=741,PR!$AX$825,IF($S$1013=742,PR!$AX$826,IF($S$1013=743,PR!$AX$827,IF($S$1013=744,PR!$AX$828,IF($S$1013=745,PR!$AX$829,IF($S$1013=746,PR!$AX$830,IF($S$1013=747,PR!$AX$831,IF($S$1013=748,PR!$AX$832,IF($S$1013=749,PR!$AX$833,IF($S$1013=750,PR!$AX$834,IF($S$1013=751,PR!$AX$835,IF($S$1013=752,PR!$AX$836,IF($S$1013=753,PR!$AX$837,IF($S$1013=754,PR!$AX$838,IF($S$1013=755,PR!$AX$839,IF($S$1013=756,PR!$AX$840,IF($S$1013=757,PR!$AX$841,IF($S$1013=758,PR!$AX$842,IF($S$1013=759,PR!$AX$843,IF($S$1013=760,PR!$AX$850,IF($S$1013=761,PR!$AX$851,IF($S$1013=762,PR!$AX$852,IF($S$1013=763,PR!$AX$853,IF($S$1013=764,PR!$AX$854,IF($S$1013=765,PR!$AX$855,IF($S$1013=766,PR!$AX$856,IF($S$1013=767,PR!$AX$857,IF($S$1013=768,PR!$AX$858,IF($S$1013=769,PR!$AX$859,IF($S$1013=770,PR!$AX$860,IF($S$1013=771,PR!$AX$861,IF($S$1013=772,PR!$AX$862,IF($S$1013=773,PR!$AX$863,IF($S$1013=774,PR!$AX$864,IF($S$1013=775,PR!$AX$865,IF($S$1013=776,PR!$AX$866,IF($S$1013=777,PR!$AX$867,IF($S$1013=778,PR!$AX$868,IF($S$1013=779,PR!$AX$869,IF($S$1013=780,PR!$AX$870,"-"))))))))))))))))))))))))))))))))))))))))))))))))))))))))))))</f>
        <v>0</v>
      </c>
      <c r="O1023" s="602">
        <f>IF($S$1013=721,PR!$AY$798,IF($S$1013=722,PR!$AY$806,IF($S$1013=723,PR!$AY$807,IF($S$1013=724,PR!$AY$808,IF($S$1013=725,PR!$AY$809,IF($S$1013=726,PR!$AY$810,IF($S$1013=727,PR!$AY$811,IF($S$1013=728,PR!$AY$812,IF($S$1013=729,PR!$AY$813,IF($S$1013=730,PR!$AY$814,IF($S$1013=731,PR!$AY$815,IF($S$1013=732,PR!$AY$816,IF($S$1013=733,PR!$AY$817,IF($S$1013=734,PR!$AY$818,IF($S$1013=735,PR!$AY$819,IF($S$1013=736,PR!$AY$820,IF($S$1013=737,PR!$AY$821,IF($S$1013=738,PR!$AY$822,IF($S$1013=739,PR!$AY$823,IF($S$1013=740,PR!$AY$824,IF($S$1013=741,PR!$AY$825,IF($S$1013=742,PR!$AY$826,IF($S$1013=743,PR!$AY$827,IF($S$1013=744,PR!$AY$828,IF($S$1013=745,PR!$AY$829,IF($S$1013=746,PR!$AY$830,IF($S$1013=747,PR!$AY$831,IF($S$1013=748,PR!$AY$832,IF($S$1013=749,PR!$AY$833,IF($S$1013=750,PR!$AY$834,IF($S$1013=751,PR!$AY$835,IF($S$1013=752,PR!$AY$836,IF($S$1013=753,PR!$AY$837,IF($S$1013=754,PR!$AY$838,IF($S$1013=755,PR!$AY$839,IF($S$1013=756,PR!$AY$840,IF($S$1013=757,PR!$AY$841,IF($S$1013=758,PR!$AY$842,IF($S$1013=759,PR!$AY$843,IF($S$1013=760,PR!$AY$850,IF($S$1013=761,PR!$AY$851,IF($S$1013=762,PR!$AY$852,IF($S$1013=763,PR!$AY$853,IF($S$1013=764,PR!$AY$854,IF($S$1013=765,PR!$AY$855,IF($S$1013=766,PR!$AY$856,IF($S$1013=767,PR!$AY$857,IF($S$1013=768,PR!$AY$858,IF($S$1013=769,PR!$AY$859,IF($S$1013=770,PR!$AY$860,IF($S$1013=771,PR!$AY$861,IF($S$1013=772,PR!$AY$862,IF($S$1013=773,PR!$AY$863,IF($S$1013=774,PR!$AY$864,IF($S$1013=775,PR!$AY$865,IF($S$1013=776,PR!$AY$866,IF($S$1013=777,PR!$AY$867,IF($S$1013=778,PR!$AY$868,IF($S$1013=779,PR!$AY$869,IF($S$1013=780,PR!$AY$870,"-"))))))))))))))))))))))))))))))))))))))))))))))))))))))))))))</f>
        <v>0</v>
      </c>
      <c r="P1023" s="602">
        <f>IF($S$1013=721,PR!$AZ$798,IF($S$1013=722,PR!$AZ$806,IF($S$1013=723,PR!$AZ$807,IF($S$1013=724,PR!$AZ$808,IF($S$1013=725,PR!$AZ$809,IF($S$1013=726,PR!$AZ$810,IF($S$1013=727,PR!$AZ$811,IF($S$1013=728,PR!$AZ$812,IF($S$1013=729,PR!$AZ$813,IF($S$1013=730,PR!$AZ$814,IF($S$1013=731,PR!$AZ$815,IF($S$1013=732,PR!$AZ$816,IF($S$1013=733,PR!$AZ$817,IF($S$1013=734,PR!$AZ$818,IF($S$1013=735,PR!$AZ$819,IF($S$1013=736,PR!$AZ$820,IF($S$1013=737,PR!$AZ$821,IF($S$1013=738,PR!$AZ$822,IF($S$1013=739,PR!$AZ$823,IF($S$1013=740,PR!$AZ$824,IF($S$1013=741,PR!$AZ$825,IF($S$1013=742,PR!$AZ$826,IF($S$1013=743,PR!$AZ$827,IF($S$1013=744,PR!$AZ$828,IF($S$1013=745,PR!$AZ$829,IF($S$1013=746,PR!$AZ$830,IF($S$1013=747,PR!$AZ$831,IF($S$1013=748,PR!$AZ$832,IF($S$1013=749,PR!$AZ$833,IF($S$1013=750,PR!$AZ$834,IF($S$1013=751,PR!$AZ$835,IF($S$1013=752,PR!$AZ$836,IF($S$1013=753,PR!$AZ$837,IF($S$1013=754,PR!$AZ$838,IF($S$1013=755,PR!$AZ$839,IF($S$1013=756,PR!$AZ$840,IF($S$1013=757,PR!$AZ$841,IF($S$1013=758,PR!$AZ$842,IF($S$1013=759,PR!$AZ$843,IF($S$1013=760,PR!$AZ$850,IF($S$1013=761,PR!$AZ$851,IF($S$1013=762,PR!$AZ$852,IF($S$1013=763,PR!$AZ$853,IF($S$1013=764,PR!$AZ$854,IF($S$1013=765,PR!$AZ$855,IF($S$1013=766,PR!$AZ$856,IF($S$1013=767,PR!$AZ$857,IF($S$1013=768,PR!$AZ$858,IF($S$1013=769,PR!$AZ$859,IF($S$1013=770,PR!$AZ$860,IF($S$1013=771,PR!$AZ$861,IF($S$1013=772,PR!$AZ$862,IF($S$1013=773,PR!$AZ$863,IF($S$1013=774,PR!$AZ$864,IF($S$1013=775,PR!$AZ$865,IF($S$1013=776,PR!$AZ$866,IF($S$1013=777,PR!$AZ$867,IF($S$1013=778,PR!$AZ$868,IF($S$1013=779,PR!$AZ$869,IF($S$1013=780,PR!$AZ$870,"-"))))))))))))))))))))))))))))))))))))))))))))))))))))))))))))</f>
        <v>0</v>
      </c>
      <c r="Q1023" s="602">
        <f>IF($S$1013=721,PR!$BA$798,IF($S$1013=722,PR!$BA$806,IF($S$1013=723,PR!$BA$807,IF($S$1013=724,PR!$BA$808,IF($S$1013=725,PR!$BA$809,IF($S$1013=726,PR!$BA$810,IF($S$1013=727,PR!$BA$811,IF($S$1013=728,PR!$BA$812,IF($S$1013=729,PR!$BA$813,IF($S$1013=730,PR!$BA$814,IF($S$1013=731,PR!$BA$815,IF($S$1013=732,PR!$BA$816,IF($S$1013=733,PR!$BA$817,IF($S$1013=734,PR!$BA$818,IF($S$1013=735,PR!$BA$819,IF($S$1013=736,PR!$BA$820,IF($S$1013=737,PR!$BA$821,IF($S$1013=738,PR!$BA$822,IF($S$1013=739,PR!$BA$823,IF($S$1013=740,PR!$BA$824,IF($S$1013=741,PR!$BA$825,IF($S$1013=742,PR!$BA$826,IF($S$1013=743,PR!$BA$827,IF($S$1013=744,PR!$BA$828,IF($S$1013=745,PR!$BA$829,IF($S$1013=746,PR!$BA$830,IF($S$1013=747,PR!$BA$831,IF($S$1013=748,PR!$BA$832,IF($S$1013=749,PR!$BA$833,IF($S$1013=750,PR!$BA$834,IF($S$1013=751,PR!$BA$835,IF($S$1013=752,PR!$BA$836,IF($S$1013=753,PR!$BA$837,IF($S$1013=754,PR!$BA$838,IF($S$1013=755,PR!$BA$839,IF($S$1013=756,PR!$BA$840,IF($S$1013=757,PR!$BA$841,IF($S$1013=758,PR!$BA$842,IF($S$1013=759,PR!$BA$843,IF($S$1013=760,PR!$BA$850,IF($S$1013=761,PR!$BA$851,IF($S$1013=762,PR!$BA$852,IF($S$1013=763,PR!$BA$853,IF($S$1013=764,PR!$BA$854,IF($S$1013=765,PR!$BA$855,IF($S$1013=766,PR!$BA$856,IF($S$1013=767,PR!$BA$857,IF($S$1013=768,PR!$BA$858,IF($S$1013=769,PR!$BA$859,IF($S$1013=770,PR!$BA$860,IF($S$1013=771,PR!$BA$861,IF($S$1013=772,PR!$BA$862,IF($S$1013=773,PR!$BA$863,IF($S$1013=774,PR!$BA$864,IF($S$1013=775,PR!$BA$865,IF($S$1013=776,PR!$BA$866,IF($S$1013=777,PR!$BA$867,IF($S$1013=778,PR!$BA$868,IF($S$1013=779,PR!$BA$869,IF($S$1013=780,PR!$BA$870,"-"))))))))))))))))))))))))))))))))))))))))))))))))))))))))))))</f>
        <v>0</v>
      </c>
      <c r="R1023" s="602">
        <f>IF($S$1013=721,PR!$BB$798,IF($S$1013=722,PR!$BB$806,IF($S$1013=723,PR!$BB$807,IF($S$1013=724,PR!$BB$808,IF($S$1013=725,PR!$BB$809,IF($S$1013=726,PR!$BB$810,IF($S$1013=727,PR!$BB$811,IF($S$1013=728,PR!$BB$812,IF($S$1013=729,PR!$BB$813,IF($S$1013=730,PR!$BB$814,IF($S$1013=731,PR!$BB$815,IF($S$1013=732,PR!$BB$816,IF($S$1013=733,PR!$BB$817,IF($S$1013=734,PR!$BB$818,IF($S$1013=735,PR!$BB$819,IF($S$1013=736,PR!$BB$820,IF($S$1013=737,PR!$BB$821,IF($S$1013=738,PR!$BB$822,IF($S$1013=739,PR!$BB$823,IF($S$1013=740,PR!$BB$824,IF($S$1013=741,PR!$BB$825,IF($S$1013=742,PR!$BB$826,IF($S$1013=743,PR!$BB$827,IF($S$1013=744,PR!$BB$828,IF($S$1013=745,PR!$BB$829,IF($S$1013=746,PR!$BB$830,IF($S$1013=747,PR!$BB$831,IF($S$1013=748,PR!$BB$832,IF($S$1013=749,PR!$BB$833,IF($S$1013=750,PR!$BB$834,IF($S$1013=751,PR!$BB$835,IF($S$1013=752,PR!$BB$836,IF($S$1013=753,PR!$BB$837,IF($S$1013=754,PR!$BB$838,IF($S$1013=755,PR!$BB$839,IF($S$1013=756,PR!$BB$840,IF($S$1013=757,PR!$BB$841,IF($S$1013=758,PR!$BB$842,IF($S$1013=759,PR!$BB$843,IF($S$1013=760,PR!$BB$850,IF($S$1013=761,PR!$BB$851,IF($S$1013=762,PR!$BB$852,IF($S$1013=763,PR!$BB$853,IF($S$1013=764,PR!$BB$854,IF($S$1013=765,PR!$BB$855,IF($S$1013=766,PR!$BB$856,IF($S$1013=767,PR!$BB$857,IF($S$1013=768,PR!$BB$858,IF($S$1013=769,PR!$BB$859,IF($S$1013=770,PR!$BB$860,IF($S$1013=771,PR!$BB$861,IF($S$1013=772,PR!$BB$862,IF($S$1013=773,PR!$BB$863,IF($S$1013=774,PR!$BB$864,IF($S$1013=775,PR!$BB$865,IF($S$1013=776,PR!$BB$866,IF($S$1013=777,PR!$BB$867,IF($S$1013=778,PR!$BB$868,IF($S$1013=779,PR!$BB$869,IF($S$1013=780,PR!$BB$870,"-"))))))))))))))))))))))))))))))))))))))))))))))))))))))))))))</f>
        <v>0</v>
      </c>
      <c r="S1023" s="602">
        <f>IF($S$1013=721,PR!$BC$798,IF($S$1013=722,PR!$BC$806,IF($S$1013=723,PR!$BC$807,IF($S$1013=724,PR!$BC$808,IF($S$1013=725,PR!$BC$809,IF($S$1013=726,PR!$BC$810,IF($S$1013=727,PR!$BC$811,IF($S$1013=728,PR!$BC$812,IF($S$1013=729,PR!$BC$813,IF($S$1013=730,PR!$BC$814,IF($S$1013=731,PR!$BC$815,IF($S$1013=732,PR!$BC$816,IF($S$1013=733,PR!$BC$817,IF($S$1013=734,PR!$BC$818,IF($S$1013=735,PR!$BC$819,IF($S$1013=736,PR!$BC$820,IF($S$1013=737,PR!$BC$821,IF($S$1013=738,PR!$BC$822,IF($S$1013=739,PR!$BC$823,IF($S$1013=740,PR!$BC$824,IF($S$1013=741,PR!$BC$825,IF($S$1013=742,PR!$BC$826,IF($S$1013=743,PR!$BC$827,IF($S$1013=744,PR!$BC$828,IF($S$1013=745,PR!$BC$829,IF($S$1013=746,PR!$BC$830,IF($S$1013=747,PR!$BC$831,IF($S$1013=748,PR!$BC$832,IF($S$1013=749,PR!$BC$833,IF($S$1013=750,PR!$BC$834,IF($S$1013=751,PR!$BC$835,IF($S$1013=752,PR!$BC$836,IF($S$1013=753,PR!$BC$837,IF($S$1013=754,PR!$BC$838,IF($S$1013=755,PR!$BC$839,IF($S$1013=756,PR!$BC$840,IF($S$1013=757,PR!$BC$841,IF($S$1013=758,PR!$BC$842,IF($S$1013=759,PR!$BC$843,IF($S$1013=760,PR!$BC$850,IF($S$1013=761,PR!$BC$851,IF($S$1013=762,PR!$BC$852,IF($S$1013=763,PR!$BC$853,IF($S$1013=764,PR!$BC$854,IF($S$1013=765,PR!$BC$855,IF($S$1013=766,PR!$BC$856,IF($S$1013=767,PR!$BC$857,IF($S$1013=768,PR!$BC$858,IF($S$1013=769,PR!$BC$859,IF($S$1013=770,PR!$BC$860,IF($S$1013=771,PR!$BC$861,IF($S$1013=772,PR!$BC$862,IF($S$1013=773,PR!$BC$863,IF($S$1013=774,PR!$BC$864,IF($S$1013=775,PR!$BC$865,IF($S$1013=776,PR!$BC$866,IF($S$1013=777,PR!$BC$867,IF($S$1013=778,PR!$BC$868,IF($S$1013=779,PR!$BC$869,IF($S$1013=780,PR!$BC$870,"-"))))))))))))))))))))))))))))))))))))))))))))))))))))))))))))</f>
        <v>0</v>
      </c>
      <c r="T1023" s="580"/>
      <c r="U1023" s="580"/>
      <c r="V1023" s="32"/>
      <c r="W1023" s="32"/>
      <c r="X1023" s="32"/>
    </row>
    <row r="1024" spans="2:24" ht="8.25" customHeight="1" x14ac:dyDescent="0.25">
      <c r="B1024" s="580"/>
      <c r="C1024" s="603"/>
      <c r="D1024" s="604"/>
      <c r="E1024" s="604"/>
      <c r="F1024" s="604"/>
      <c r="G1024" s="604"/>
      <c r="H1024" s="604"/>
      <c r="I1024" s="604"/>
      <c r="J1024" s="604"/>
      <c r="K1024" s="604"/>
      <c r="L1024" s="604"/>
      <c r="M1024" s="604"/>
      <c r="N1024" s="604"/>
      <c r="O1024" s="604"/>
      <c r="P1024" s="604"/>
      <c r="Q1024" s="604"/>
      <c r="R1024" s="606"/>
      <c r="S1024" s="606"/>
      <c r="T1024" s="580"/>
      <c r="U1024" s="580"/>
      <c r="V1024" s="32"/>
      <c r="W1024" s="32"/>
      <c r="X1024" s="32"/>
    </row>
    <row r="1025" spans="2:24" ht="15.75" thickBot="1" x14ac:dyDescent="0.3">
      <c r="B1025" s="580"/>
      <c r="C1025" s="600" t="str">
        <f>N!$C$55</f>
        <v>SAM</v>
      </c>
      <c r="D1025" s="600" t="str">
        <f>N!$C$56</f>
        <v>SEAGREEN</v>
      </c>
      <c r="E1025" s="600" t="str">
        <f>N!$C$57</f>
        <v>SKG</v>
      </c>
      <c r="F1025" s="600" t="str">
        <f>N!$C$58</f>
        <v>TAH</v>
      </c>
      <c r="G1025" s="600" t="str">
        <f>N!$C$59</f>
        <v>TAYLEK</v>
      </c>
      <c r="H1025" s="600" t="str">
        <f>N!$C$60</f>
        <v>TEMITA</v>
      </c>
      <c r="I1025" s="600" t="str">
        <f>N!$C$61</f>
        <v>THL</v>
      </c>
      <c r="J1025" s="600" t="str">
        <f>N!$C$62</f>
        <v>UBASTIC</v>
      </c>
      <c r="K1025" s="600" t="str">
        <f>N!$C$63</f>
        <v>UNION</v>
      </c>
      <c r="L1025" s="600" t="str">
        <f>N!$C$64</f>
        <v>UNIQUE</v>
      </c>
      <c r="M1025" s="600" t="str">
        <f>N!$C$65</f>
        <v>VIXA</v>
      </c>
      <c r="N1025" s="600" t="str">
        <f>N!$C$66</f>
        <v>WWCV</v>
      </c>
      <c r="O1025" s="600" t="str">
        <f>N!$C$67</f>
        <v>ZOLON</v>
      </c>
      <c r="P1025" s="600" t="e">
        <f>N!#REF!</f>
        <v>#REF!</v>
      </c>
      <c r="Q1025" s="600" t="e">
        <f>N!#REF!</f>
        <v>#REF!</v>
      </c>
      <c r="R1025" s="600" t="e">
        <f>N!#REF!</f>
        <v>#REF!</v>
      </c>
      <c r="S1025" s="604"/>
      <c r="T1025" s="580"/>
      <c r="U1025" s="580"/>
      <c r="V1025" s="32"/>
      <c r="W1025" s="32"/>
      <c r="X1025" s="32"/>
    </row>
    <row r="1026" spans="2:24" ht="15.75" thickBot="1" x14ac:dyDescent="0.3">
      <c r="B1026" s="580"/>
      <c r="C1026" s="602">
        <f>IF($S$1013=721,PR!$BD$798,IF($S$1013=722,PR!$BD$806,IF($S$1013=723,PR!$BD$807,IF($S$1013=724,PR!$BD$808,IF($S$1013=725,PR!$BD$809,IF($S$1013=726,PR!$BD$810,IF($S$1013=727,PR!$BD$811,IF($S$1013=728,PR!$BD$812,IF($S$1013=729,PR!$BD$813,IF($S$1013=730,PR!$BD$814,IF($S$1013=731,PR!$BD$815,IF($S$1013=732,PR!$BD$816,IF($S$1013=733,PR!$BD$817,IF($S$1013=734,PR!$BD$818,IF($S$1013=735,PR!$BD$819,IF($S$1013=736,PR!$BD$820,IF($S$1013=737,PR!$BD$821,IF($S$1013=738,PR!$BD$822,IF($S$1013=739,PR!$BD$823,IF($S$1013=740,PR!$BD$824,IF($S$1013=741,PR!$BD$825,IF($S$1013=742,PR!$BD$826,IF($S$1013=743,PR!$BD$827,IF($S$1013=744,PR!$BD$828,IF($S$1013=745,PR!$BD$829,IF($S$1013=746,PR!$BD$830,IF($S$1013=747,PR!$BD$831,IF($S$1013=748,PR!$BD$832,IF($S$1013=749,PR!$BD$833,IF($S$1013=750,PR!$BD$834,IF($S$1013=751,PR!$BD$835,IF($S$1013=752,PR!$BD$836,IF($S$1013=753,PR!$BD$837,IF($S$1013=754,PR!$BD$838,IF($S$1013=755,PR!$BD$839,IF($S$1013=756,PR!$BD$840,IF($S$1013=757,PR!$BD$841,IF($S$1013=758,PR!$BD$842,IF($S$1013=759,PR!$BD$843,IF($S$1013=760,PR!$BD$850,IF($S$1013=761,PR!$BD$851,IF($S$1013=762,PR!$BD$852,IF($S$1013=763,PR!$BD$853,IF($S$1013=764,PR!$BD$854,IF($S$1013=765,PR!$BD$855,IF($S$1013=766,PR!$BD$856,IF($S$1013=767,PR!$BD$857,IF($S$1013=768,PR!$BD$858,IF($S$1013=769,PR!$BD$859,IF($S$1013=770,PR!$BD$860,IF($S$1013=771,PR!$BD$861,IF($S$1013=772,PR!$BD$862,IF($S$1013=773,PR!$BD$863,IF($S$1013=774,PR!$BD$864,IF($S$1013=775,PR!$BD$865,IF($S$1013=776,PR!$BD$866,IF($S$1013=777,PR!$BD$867,IF($S$1013=778,PR!$BD$868,IF($S$1013=779,PR!$BD$869,IF($S$1013=780,PR!$BD$870,"-"))))))))))))))))))))))))))))))))))))))))))))))))))))))))))))</f>
        <v>0</v>
      </c>
      <c r="D1026" s="602">
        <f>IF($S$1013=721,PR!$BE$798,IF($S$1013=722,PR!$BE$806,IF($S$1013=723,PR!$BE$807,IF($S$1013=724,PR!$BE$808,IF($S$1013=725,PR!$BE$809,IF($S$1013=726,PR!$BE$810,IF($S$1013=727,PR!$BE$811,IF($S$1013=728,PR!$BE$812,IF($S$1013=729,PR!$BE$813,IF($S$1013=730,PR!$BE$814,IF($S$1013=731,PR!$BE$815,IF($S$1013=732,PR!$BE$816,IF($S$1013=733,PR!$BE$817,IF($S$1013=734,PR!$BE$818,IF($S$1013=735,PR!$BE$819,IF($S$1013=736,PR!$BE$820,IF($S$1013=737,PR!$BE$821,IF($S$1013=738,PR!$BE$822,IF($S$1013=739,PR!$BE$823,IF($S$1013=740,PR!$BE$824,IF($S$1013=741,PR!$BE$825,IF($S$1013=742,PR!$BE$826,IF($S$1013=743,PR!$BE$827,IF($S$1013=744,PR!$BE$828,IF($S$1013=745,PR!$BE$829,IF($S$1013=746,PR!$BE$830,IF($S$1013=747,PR!$BE$831,IF($S$1013=748,PR!$BE$832,IF($S$1013=749,PR!$BE$833,IF($S$1013=750,PR!$BE$834,IF($S$1013=751,PR!$BE$835,IF($S$1013=752,PR!$BE$836,IF($S$1013=753,PR!$BE$837,IF($S$1013=754,PR!$BE$838,IF($S$1013=755,PR!$BE$839,IF($S$1013=756,PR!$BE$840,IF($S$1013=757,PR!$BE$841,IF($S$1013=758,PR!$BE$842,IF($S$1013=759,PR!$BE$843,IF($S$1013=760,PR!$BE$850,IF($S$1013=761,PR!$BE$851,IF($S$1013=762,PR!$BE$852,IF($S$1013=763,PR!$BE$853,IF($S$1013=764,PR!$BE$854,IF($S$1013=765,PR!$BE$855,IF($S$1013=766,PR!$BE$856,IF($S$1013=767,PR!$BE$857,IF($S$1013=768,PR!$BE$858,IF($S$1013=769,PR!$BE$859,IF($S$1013=770,PR!$BE$860,IF($S$1013=771,PR!$BE$861,IF($S$1013=772,PR!$BE$862,IF($S$1013=773,PR!$BE$863,IF($S$1013=774,PR!$BE$864,IF($S$1013=775,PR!$BE$865,IF($S$1013=776,PR!$BE$866,IF($S$1013=777,PR!$BE$867,IF($S$1013=778,PR!$BE$868,IF($S$1013=779,PR!$BE$869,IF($S$1013=780,PR!$BE$870,"-"))))))))))))))))))))))))))))))))))))))))))))))))))))))))))))</f>
        <v>0</v>
      </c>
      <c r="E1026" s="602">
        <f>IF($S$1013=721,PR!$BF$798,IF($S$1013=722,PR!$BF$806,IF($S$1013=723,PR!$BF$807,IF($S$1013=724,PR!$BF$808,IF($S$1013=725,PR!$BF$809,IF($S$1013=726,PR!$BF$810,IF($S$1013=727,PR!$BF$811,IF($S$1013=728,PR!$BF$812,IF($S$1013=729,PR!$BF$813,IF($S$1013=730,PR!$BF$814,IF($S$1013=731,PR!$BF$815,IF($S$1013=732,PR!$BF$816,IF($S$1013=733,PR!$BF$817,IF($S$1013=734,PR!$BF$818,IF($S$1013=735,PR!$BF$819,IF($S$1013=736,PR!$BF$820,IF($S$1013=737,PR!$BF$821,IF($S$1013=738,PR!$BF$822,IF($S$1013=739,PR!$BF$823,IF($S$1013=740,PR!$BF$824,IF($S$1013=741,PR!$BF$825,IF($S$1013=742,PR!$BF$826,IF($S$1013=743,PR!$BF$827,IF($S$1013=744,PR!$BF$828,IF($S$1013=745,PR!$BF$829,IF($S$1013=746,PR!$BF$830,IF($S$1013=747,PR!$BF$831,IF($S$1013=748,PR!$BF$832,IF($S$1013=749,PR!$BF$833,IF($S$1013=750,PR!$BF$834,IF($S$1013=751,PR!$BF$835,IF($S$1013=752,PR!$BF$836,IF($S$1013=753,PR!$BF$837,IF($S$1013=754,PR!$BF$838,IF($S$1013=755,PR!$BF$839,IF($S$1013=756,PR!$BF$840,IF($S$1013=757,PR!$BF$841,IF($S$1013=758,PR!$BF$842,IF($S$1013=759,PR!$BF$843,IF($S$1013=760,PR!$BF$850,IF($S$1013=761,PR!$BF$851,IF($S$1013=762,PR!$BF$852,IF($S$1013=763,PR!$BF$853,IF($S$1013=764,PR!$BF$854,IF($S$1013=765,PR!$BF$855,IF($S$1013=766,PR!$BF$856,IF($S$1013=767,PR!$BF$857,IF($S$1013=768,PR!$BF$858,IF($S$1013=769,PR!$BF$859,IF($S$1013=770,PR!$BF$860,IF($S$1013=771,PR!$BF$861,IF($S$1013=772,PR!$BF$862,IF($S$1013=773,PR!$BF$863,IF($S$1013=774,PR!$BF$864,IF($S$1013=775,PR!$BF$865,IF($S$1013=776,PR!$BF$866,IF($S$1013=777,PR!$BF$867,IF($S$1013=778,PR!$BF$868,IF($S$1013=779,PR!$BF$869,IF($S$1013=780,PR!$BF$870,"-"))))))))))))))))))))))))))))))))))))))))))))))))))))))))))))</f>
        <v>0</v>
      </c>
      <c r="F1026" s="602">
        <f>IF($S$1013=721,PR!$BG$798,IF($S$1013=722,PR!$BG$806,IF($S$1013=723,PR!$BG$807,IF($S$1013=724,PR!$BG$808,IF($S$1013=725,PR!$BG$809,IF($S$1013=726,PR!$BG$810,IF($S$1013=727,PR!$BG$811,IF($S$1013=728,PR!$BG$812,IF($S$1013=729,PR!$BG$813,IF($S$1013=730,PR!$BG$814,IF($S$1013=731,PR!$BG$815,IF($S$1013=732,PR!$BG$816,IF($S$1013=733,PR!$BG$817,IF($S$1013=734,PR!$BG$818,IF($S$1013=735,PR!$BG$819,IF($S$1013=736,PR!$BG$820,IF($S$1013=737,PR!$BG$821,IF($S$1013=738,PR!$BG$822,IF($S$1013=739,PR!$BG$823,IF($S$1013=740,PR!$BG$824,IF($S$1013=741,PR!$BG$825,IF($S$1013=742,PR!$BG$826,IF($S$1013=743,PR!$BG$827,IF($S$1013=744,PR!$BG$828,IF($S$1013=745,PR!$BG$829,IF($S$1013=746,PR!$BG$830,IF($S$1013=747,PR!$BG$831,IF($S$1013=748,PR!$BG$832,IF($S$1013=749,PR!$BG$833,IF($S$1013=750,PR!$BG$834,IF($S$1013=751,PR!$BG$835,IF($S$1013=752,PR!$BG$836,IF($S$1013=753,PR!$BG$837,IF($S$1013=754,PR!$BG$838,IF($S$1013=755,PR!$BG$839,IF($S$1013=756,PR!$BG$840,IF($S$1013=757,PR!$BG$841,IF($S$1013=758,PR!$BG$842,IF($S$1013=759,PR!$BG$843,IF($S$1013=760,PR!$BG$850,IF($S$1013=761,PR!$BG$851,IF($S$1013=762,PR!$BG$852,IF($S$1013=763,PR!$BG$853,IF($S$1013=764,PR!$BG$854,IF($S$1013=765,PR!$BG$855,IF($S$1013=766,PR!$BG$856,IF($S$1013=767,PR!$BG$857,IF($S$1013=768,PR!$BG$858,IF($S$1013=769,PR!$BG$859,IF($S$1013=770,PR!$BG$860,IF($S$1013=771,PR!$BG$861,IF($S$1013=772,PR!$BG$862,IF($S$1013=773,PR!$BG$863,IF($S$1013=774,PR!$BG$864,IF($S$1013=775,PR!$BG$865,IF($S$1013=776,PR!$BG$866,IF($S$1013=777,PR!$BG$867,IF($S$1013=778,PR!$BG$868,IF($S$1013=779,PR!$BG$869,IF($S$1013=780,PR!$BG$870,"-"))))))))))))))))))))))))))))))))))))))))))))))))))))))))))))</f>
        <v>0</v>
      </c>
      <c r="G1026" s="602">
        <f>IF($S$1013=721,PR!$BH$798,IF($S$1013=722,PR!$BH$806,IF($S$1013=723,PR!$BH$807,IF($S$1013=724,PR!$BH$808,IF($S$1013=725,PR!$BH$809,IF($S$1013=726,PR!$BH$810,IF($S$1013=727,PR!$BH$811,IF($S$1013=728,PR!$BH$812,IF($S$1013=729,PR!$BH$813,IF($S$1013=730,PR!$BH$814,IF($S$1013=731,PR!$BH$815,IF($S$1013=732,PR!$BH$816,IF($S$1013=733,PR!$BH$817,IF($S$1013=734,PR!$BH$818,IF($S$1013=735,PR!$BH$819,IF($S$1013=736,PR!$BH$820,IF($S$1013=737,PR!$BH$821,IF($S$1013=738,PR!$BH$822,IF($S$1013=739,PR!$BH$823,IF($S$1013=740,PR!$BH$824,IF($S$1013=741,PR!$BH$825,IF($S$1013=742,PR!$BH$826,IF($S$1013=743,PR!$BH$827,IF($S$1013=744,PR!$BH$828,IF($S$1013=745,PR!$BH$829,IF($S$1013=746,PR!$BH$830,IF($S$1013=747,PR!$BH$831,IF($S$1013=748,PR!$BH$832,IF($S$1013=749,PR!$BH$833,IF($S$1013=750,PR!$BH$834,IF($S$1013=751,PR!$BH$835,IF($S$1013=752,PR!$BH$836,IF($S$1013=753,PR!$BH$837,IF($S$1013=754,PR!$BH$838,IF($S$1013=755,PR!$BH$839,IF($S$1013=756,PR!$BH$840,IF($S$1013=757,PR!$BH$841,IF($S$1013=758,PR!$BH$842,IF($S$1013=759,PR!$BH$843,IF($S$1013=760,PR!$BH$850,IF($S$1013=761,PR!$BH$851,IF($S$1013=762,PR!$BH$852,IF($S$1013=763,PR!$BH$853,IF($S$1013=764,PR!$BH$854,IF($S$1013=765,PR!$BH$855,IF($S$1013=766,PR!$BH$856,IF($S$1013=767,PR!$BH$857,IF($S$1013=768,PR!$BH$858,IF($S$1013=769,PR!$BH$859,IF($S$1013=770,PR!$BH$860,IF($S$1013=771,PR!$BH$861,IF($S$1013=772,PR!$BH$862,IF($S$1013=773,PR!$BH$863,IF($S$1013=774,PR!$BH$864,IF($S$1013=775,PR!$BH$865,IF($S$1013=776,PR!$BH$866,IF($S$1013=777,PR!$BH$867,IF($S$1013=778,PR!$BH$868,IF($S$1013=779,PR!$BH$869,IF($S$1013=780,PR!$BH$870,"-"))))))))))))))))))))))))))))))))))))))))))))))))))))))))))))</f>
        <v>0</v>
      </c>
      <c r="H1026" s="602">
        <f>IF($S$1013=721,PR!$BI$798,IF($S$1013=722,PR!$BI$806,IF($S$1013=723,PR!$BI$807,IF($S$1013=724,PR!$BI$808,IF($S$1013=725,PR!$BI$809,IF($S$1013=726,PR!$BI$810,IF($S$1013=727,PR!$BI$811,IF($S$1013=728,PR!$BI$812,IF($S$1013=729,PR!$BI$813,IF($S$1013=730,PR!$BI$814,IF($S$1013=731,PR!$BI$815,IF($S$1013=732,PR!$BI$816,IF($S$1013=733,PR!$BI$817,IF($S$1013=734,PR!$BI$818,IF($S$1013=735,PR!$BI$819,IF($S$1013=736,PR!$BI$820,IF($S$1013=737,PR!$BI$821,IF($S$1013=738,PR!$BI$822,IF($S$1013=739,PR!$BI$823,IF($S$1013=740,PR!$BI$824,IF($S$1013=741,PR!$BI$825,IF($S$1013=742,PR!$BI$826,IF($S$1013=743,PR!$BI$827,IF($S$1013=744,PR!$BI$828,IF($S$1013=745,PR!$BI$829,IF($S$1013=746,PR!$BI$830,IF($S$1013=747,PR!$BI$831,IF($S$1013=748,PR!$BI$832,IF($S$1013=749,PR!$BI$833,IF($S$1013=750,PR!$BI$834,IF($S$1013=751,PR!$BI$835,IF($S$1013=752,PR!$BI$836,IF($S$1013=753,PR!$BI$837,IF($S$1013=754,PR!$BI$838,IF($S$1013=755,PR!$BI$839,IF($S$1013=756,PR!$BI$840,IF($S$1013=757,PR!$BI$841,IF($S$1013=758,PR!$BI$842,IF($S$1013=759,PR!$BI$843,IF($S$1013=760,PR!$BI$850,IF($S$1013=761,PR!$BI$851,IF($S$1013=762,PR!$BI$852,IF($S$1013=763,PR!$BI$853,IF($S$1013=764,PR!$BI$854,IF($S$1013=765,PR!$BI$855,IF($S$1013=766,PR!$BI$856,IF($S$1013=767,PR!$BI$857,IF($S$1013=768,PR!$BI$858,IF($S$1013=769,PR!$BI$859,IF($S$1013=770,PR!$BI$860,IF($S$1013=771,PR!$BI$861,IF($S$1013=772,PR!$BI$862,IF($S$1013=773,PR!$BI$863,IF($S$1013=774,PR!$BI$864,IF($S$1013=775,PR!$BI$865,IF($S$1013=776,PR!$BI$866,IF($S$1013=777,PR!$BI$867,IF($S$1013=778,PR!$BI$868,IF($S$1013=779,PR!$BI$869,IF($S$1013=780,PR!$BI$870,"-"))))))))))))))))))))))))))))))))))))))))))))))))))))))))))))</f>
        <v>0</v>
      </c>
      <c r="I1026" s="602">
        <f>IF($S$1013=721,PR!$BJ$798,IF($S$1013=722,PR!$BJ$806,IF($S$1013=723,PR!$BJ$807,IF($S$1013=724,PR!$BJ$808,IF($S$1013=725,PR!$BJ$809,IF($S$1013=726,PR!$BJ$810,IF($S$1013=727,PR!$BJ$811,IF($S$1013=728,PR!$BJ$812,IF($S$1013=729,PR!$BJ$813,IF($S$1013=730,PR!$BJ$814,IF($S$1013=731,PR!$BJ$815,IF($S$1013=732,PR!$BJ$816,IF($S$1013=733,PR!$BJ$817,IF($S$1013=734,PR!$BJ$818,IF($S$1013=735,PR!$BJ$819,IF($S$1013=736,PR!$BJ$820,IF($S$1013=737,PR!$BJ$821,IF($S$1013=738,PR!$BJ$822,IF($S$1013=739,PR!$BJ$823,IF($S$1013=740,PR!$BJ$824,IF($S$1013=741,PR!$BJ$825,IF($S$1013=742,PR!$BJ$826,IF($S$1013=743,PR!$BJ$827,IF($S$1013=744,PR!$BJ$828,IF($S$1013=745,PR!$BJ$829,IF($S$1013=746,PR!$BJ$830,IF($S$1013=747,PR!$BJ$831,IF($S$1013=748,PR!$BJ$832,IF($S$1013=749,PR!$BJ$833,IF($S$1013=750,PR!$BJ$834,IF($S$1013=751,PR!$BJ$835,IF($S$1013=752,PR!$BJ$836,IF($S$1013=753,PR!$BJ$837,IF($S$1013=754,PR!$BJ$838,IF($S$1013=755,PR!$BJ$839,IF($S$1013=756,PR!$BJ$840,IF($S$1013=757,PR!$BJ$841,IF($S$1013=758,PR!$BJ$842,IF($S$1013=759,PR!$BJ$843,IF($S$1013=760,PR!$BJ$850,IF($S$1013=761,PR!$BJ$851,IF($S$1013=762,PR!$BJ$852,IF($S$1013=763,PR!$BJ$853,IF($S$1013=764,PR!$BJ$854,IF($S$1013=765,PR!$BJ$855,IF($S$1013=766,PR!$BJ$856,IF($S$1013=767,PR!$BJ$857,IF($S$1013=768,PR!$BJ$858,IF($S$1013=769,PR!$BJ$859,IF($S$1013=770,PR!$BJ$860,IF($S$1013=771,PR!$BJ$861,IF($S$1013=772,PR!$BJ$862,IF($S$1013=773,PR!$BJ$863,IF($S$1013=774,PR!$BJ$864,IF($S$1013=775,PR!$BJ$865,IF($S$1013=776,PR!$BJ$866,IF($S$1013=777,PR!$BJ$867,IF($S$1013=778,PR!$BJ$868,IF($S$1013=779,PR!$BJ$869,IF($S$1013=780,PR!$BJ$870,"-"))))))))))))))))))))))))))))))))))))))))))))))))))))))))))))</f>
        <v>0</v>
      </c>
      <c r="J1026" s="602">
        <f>IF($S$1013=721,PR!$BK$798,IF($S$1013=722,PR!$BK$806,IF($S$1013=723,PR!$BK$807,IF($S$1013=724,PR!$BK$808,IF($S$1013=725,PR!$BK$809,IF($S$1013=726,PR!$BK$810,IF($S$1013=727,PR!$BK$811,IF($S$1013=728,PR!$BK$812,IF($S$1013=729,PR!$BK$813,IF($S$1013=730,PR!$BK$814,IF($S$1013=731,PR!$BK$815,IF($S$1013=732,PR!$BK$816,IF($S$1013=733,PR!$BK$817,IF($S$1013=734,PR!$BK$818,IF($S$1013=735,PR!$BK$819,IF($S$1013=736,PR!$BK$820,IF($S$1013=737,PR!$BK$821,IF($S$1013=738,PR!$BK$822,IF($S$1013=739,PR!$BK$823,IF($S$1013=740,PR!$BK$824,IF($S$1013=741,PR!$BK$825,IF($S$1013=742,PR!$BK$826,IF($S$1013=743,PR!$BK$827,IF($S$1013=744,PR!$BK$828,IF($S$1013=745,PR!$BK$829,IF($S$1013=746,PR!$BK$830,IF($S$1013=747,PR!$BK$831,IF($S$1013=748,PR!$BK$832,IF($S$1013=749,PR!$BK$833,IF($S$1013=750,PR!$BK$834,IF($S$1013=751,PR!$BK$835,IF($S$1013=752,PR!$BK$836,IF($S$1013=753,PR!$BK$837,IF($S$1013=754,PR!$BK$838,IF($S$1013=755,PR!$BK$839,IF($S$1013=756,PR!$BK$840,IF($S$1013=757,PR!$BK$841,IF($S$1013=758,PR!$BK$842,IF($S$1013=759,PR!$BK$843,IF($S$1013=760,PR!$BK$850,IF($S$1013=761,PR!$BK$851,IF($S$1013=762,PR!$BK$852,IF($S$1013=763,PR!$BK$853,IF($S$1013=764,PR!$BK$854,IF($S$1013=765,PR!$BK$855,IF($S$1013=766,PR!$BK$856,IF($S$1013=767,PR!$BK$857,IF($S$1013=768,PR!$BK$858,IF($S$1013=769,PR!$BK$859,IF($S$1013=770,PR!$BK$860,IF($S$1013=771,PR!$BK$861,IF($S$1013=772,PR!$BK$862,IF($S$1013=773,PR!$BK$863,IF($S$1013=774,PR!$BK$864,IF($S$1013=775,PR!$BK$865,IF($S$1013=776,PR!$BK$866,IF($S$1013=777,PR!$BK$867,IF($S$1013=778,PR!$BK$868,IF($S$1013=779,PR!$BK$869,IF($S$1013=780,PR!$BK$870,"-"))))))))))))))))))))))))))))))))))))))))))))))))))))))))))))</f>
        <v>20000</v>
      </c>
      <c r="K1026" s="602">
        <f>IF($S$1013=721,PR!$BL$798,IF($S$1013=722,PR!$BL$806,IF($S$1013=723,PR!$BL$807,IF($S$1013=724,PR!$BL$808,IF($S$1013=725,PR!$BL$809,IF($S$1013=726,PR!$BL$810,IF($S$1013=727,PR!$BL$811,IF($S$1013=728,PR!$BL$812,IF($S$1013=729,PR!$BL$813,IF($S$1013=730,PR!$BL$814,IF($S$1013=731,PR!$BL$815,IF($S$1013=732,PR!$BL$816,IF($S$1013=733,PR!$BL$817,IF($S$1013=734,PR!$BL$818,IF($S$1013=735,PR!$BL$819,IF($S$1013=736,PR!$BL$820,IF($S$1013=737,PR!$BL$821,IF($S$1013=738,PR!$BL$822,IF($S$1013=739,PR!$BL$823,IF($S$1013=740,PR!$BL$824,IF($S$1013=741,PR!$BL$825,IF($S$1013=742,PR!$BL$826,IF($S$1013=743,PR!$BL$827,IF($S$1013=744,PR!$BL$828,IF($S$1013=745,PR!$BL$829,IF($S$1013=746,PR!$BL$830,IF($S$1013=747,PR!$BL$831,IF($S$1013=748,PR!$BL$832,IF($S$1013=749,PR!$BL$833,IF($S$1013=750,PR!$BL$834,IF($S$1013=751,PR!$BL$835,IF($S$1013=752,PR!$BL$836,IF($S$1013=753,PR!$BL$837,IF($S$1013=754,PR!$BL$838,IF($S$1013=755,PR!$BL$839,IF($S$1013=756,PR!$BL$840,IF($S$1013=757,PR!$BL$841,IF($S$1013=758,PR!$BL$842,IF($S$1013=759,PR!$BL$843,IF($S$1013=760,PR!$BL$850,IF($S$1013=761,PR!$BL$851,IF($S$1013=762,PR!$BL$852,IF($S$1013=763,PR!$BL$853,IF($S$1013=764,PR!$BL$854,IF($S$1013=765,PR!$BL$855,IF($S$1013=766,PR!$BL$856,IF($S$1013=767,PR!$BL$857,IF($S$1013=768,PR!$BL$858,IF($S$1013=769,PR!$BL$859,IF($S$1013=770,PR!$BL$860,IF($S$1013=771,PR!$BL$861,IF($S$1013=772,PR!$BL$862,IF($S$1013=773,PR!$BL$863,IF($S$1013=774,PR!$BL$864,IF($S$1013=775,PR!$BL$865,IF($S$1013=776,PR!$BL$866,IF($S$1013=777,PR!$BL$867,IF($S$1013=778,PR!$BL$868,IF($S$1013=779,PR!$BL$869,IF($S$1013=780,PR!$BL$870,"-"))))))))))))))))))))))))))))))))))))))))))))))))))))))))))))</f>
        <v>0</v>
      </c>
      <c r="L1026" s="602">
        <f>IF($S$1013=721,PR!$BM$798,IF($S$1013=722,PR!$BM$806,IF($S$1013=723,PR!$BM$807,IF($S$1013=724,PR!$BM$808,IF($S$1013=725,PR!$BM$809,IF($S$1013=726,PR!$BM$810,IF($S$1013=727,PR!$BM$811,IF($S$1013=728,PR!$BM$812,IF($S$1013=729,PR!$BM$813,IF($S$1013=730,PR!$BM$814,IF($S$1013=731,PR!$BM$815,IF($S$1013=732,PR!$BM$816,IF($S$1013=733,PR!$BM$817,IF($S$1013=734,PR!$BM$818,IF($S$1013=735,PR!$BM$819,IF($S$1013=736,PR!$BM$820,IF($S$1013=737,PR!$BM$821,IF($S$1013=738,PR!$BM$822,IF($S$1013=739,PR!$BM$823,IF($S$1013=740,PR!$BM$824,IF($S$1013=741,PR!$BM$825,IF($S$1013=742,PR!$BM$826,IF($S$1013=743,PR!$BM$827,IF($S$1013=744,PR!$BM$828,IF($S$1013=745,PR!$BM$829,IF($S$1013=746,PR!$BM$830,IF($S$1013=747,PR!$BM$831,IF($S$1013=748,PR!$BM$832,IF($S$1013=749,PR!$BM$833,IF($S$1013=750,PR!$BM$834,IF($S$1013=751,PR!$BM$835,IF($S$1013=752,PR!$BM$836,IF($S$1013=753,PR!$BM$837,IF($S$1013=754,PR!$BM$838,IF($S$1013=755,PR!$BM$839,IF($S$1013=756,PR!$BM$840,IF($S$1013=757,PR!$BM$841,IF($S$1013=758,PR!$BM$842,IF($S$1013=759,PR!$BM$843,IF($S$1013=760,PR!$BM$850,IF($S$1013=761,PR!$BM$851,IF($S$1013=762,PR!$BM$852,IF($S$1013=763,PR!$BM$853,IF($S$1013=764,PR!$BM$854,IF($S$1013=765,PR!$BM$855,IF($S$1013=766,PR!$BM$856,IF($S$1013=767,PR!$BM$857,IF($S$1013=768,PR!$BM$858,IF($S$1013=769,PR!$BM$859,IF($S$1013=770,PR!$BM$860,IF($S$1013=771,PR!$BM$861,IF($S$1013=772,PR!$BM$862,IF($S$1013=773,PR!$BM$863,IF($S$1013=774,PR!$BM$864,IF($S$1013=775,PR!$BM$865,IF($S$1013=776,PR!$BM$866,IF($S$1013=777,PR!$BM$867,IF($S$1013=778,PR!$BM$868,IF($S$1013=779,PR!$BM$869,IF($S$1013=780,PR!$BM$870,"-"))))))))))))))))))))))))))))))))))))))))))))))))))))))))))))</f>
        <v>0</v>
      </c>
      <c r="M1026" s="602">
        <f>IF($S$1013=721,PR!$BN$798,IF($S$1013=722,PR!$BN$806,IF($S$1013=723,PR!$BN$807,IF($S$1013=724,PR!$BN$808,IF($S$1013=725,PR!$BN$809,IF($S$1013=726,PR!$BN$810,IF($S$1013=727,PR!$BN$811,IF($S$1013=728,PR!$BN$812,IF($S$1013=729,PR!$BN$813,IF($S$1013=730,PR!$BN$814,IF($S$1013=731,PR!$BN$815,IF($S$1013=732,PR!$BN$816,IF($S$1013=733,PR!$BN$817,IF($S$1013=734,PR!$BN$818,IF($S$1013=735,PR!$BN$819,IF($S$1013=736,PR!$BN$820,IF($S$1013=737,PR!$BN$821,IF($S$1013=738,PR!$BN$822,IF($S$1013=739,PR!$BN$823,IF($S$1013=740,PR!$BN$824,IF($S$1013=741,PR!$BN$825,IF($S$1013=742,PR!$BN$826,IF($S$1013=743,PR!$BN$827,IF($S$1013=744,PR!$BN$828,IF($S$1013=745,PR!$BN$829,IF($S$1013=746,PR!$BN$830,IF($S$1013=747,PR!$BN$831,IF($S$1013=748,PR!$BN$832,IF($S$1013=749,PR!$BN$833,IF($S$1013=750,PR!$BN$834,IF($S$1013=751,PR!$BN$835,IF($S$1013=752,PR!$BN$836,IF($S$1013=753,PR!$BN$837,IF($S$1013=754,PR!$BN$838,IF($S$1013=755,PR!$BN$839,IF($S$1013=756,PR!$BN$840,IF($S$1013=757,PR!$BN$841,IF($S$1013=758,PR!$BN$842,IF($S$1013=759,PR!$BN$843,IF($S$1013=760,PR!$BN$850,IF($S$1013=761,PR!$BN$851,IF($S$1013=762,PR!$BN$852,IF($S$1013=763,PR!$BN$853,IF($S$1013=764,PR!$BN$854,IF($S$1013=765,PR!$BN$855,IF($S$1013=766,PR!$BN$856,IF($S$1013=767,PR!$BN$857,IF($S$1013=768,PR!$BN$858,IF($S$1013=769,PR!$BN$859,IF($S$1013=770,PR!$BN$860,IF($S$1013=771,PR!$BN$861,IF($S$1013=772,PR!$BN$862,IF($S$1013=773,PR!$BN$863,IF($S$1013=774,PR!$BN$864,IF($S$1013=775,PR!$BN$865,IF($S$1013=776,PR!$BN$866,IF($S$1013=777,PR!$BN$867,IF($S$1013=778,PR!$BN$868,IF($S$1013=779,PR!$BN$869,IF($S$1013=780,PR!$BN$870,"-"))))))))))))))))))))))))))))))))))))))))))))))))))))))))))))</f>
        <v>0</v>
      </c>
      <c r="N1026" s="602">
        <f>IF($S$1013=721,PR!$BO$798,IF($S$1013=722,PR!$BO$806,IF($S$1013=723,PR!$BO$807,IF($S$1013=724,PR!$BO$808,IF($S$1013=725,PR!$BO$809,IF($S$1013=726,PR!$BO$810,IF($S$1013=727,PR!$BO$811,IF($S$1013=728,PR!$BO$812,IF($S$1013=729,PR!$BO$813,IF($S$1013=730,PR!$BO$814,IF($S$1013=731,PR!$BO$815,IF($S$1013=732,PR!$BO$816,IF($S$1013=733,PR!$BO$817,IF($S$1013=734,PR!$BO$818,IF($S$1013=735,PR!$BO$819,IF($S$1013=736,PR!$BO$820,IF($S$1013=737,PR!$BO$821,IF($S$1013=738,PR!$BO$822,IF($S$1013=739,PR!$BO$823,IF($S$1013=740,PR!$BO$824,IF($S$1013=741,PR!$BO$825,IF($S$1013=742,PR!$BO$826,IF($S$1013=743,PR!$BO$827,IF($S$1013=744,PR!$BO$828,IF($S$1013=745,PR!$BO$829,IF($S$1013=746,PR!$BO$830,IF($S$1013=747,PR!$BO$831,IF($S$1013=748,PR!$BO$832,IF($S$1013=749,PR!$BO$833,IF($S$1013=750,PR!$BO$834,IF($S$1013=751,PR!$BO$835,IF($S$1013=752,PR!$BO$836,IF($S$1013=753,PR!$BO$837,IF($S$1013=754,PR!$BO$838,IF($S$1013=755,PR!$BO$839,IF($S$1013=756,PR!$BO$840,IF($S$1013=757,PR!$BO$841,IF($S$1013=758,PR!$BO$842,IF($S$1013=759,PR!$BO$843,IF($S$1013=760,PR!$BO$850,IF($S$1013=761,PR!$BO$851,IF($S$1013=762,PR!$BO$852,IF($S$1013=763,PR!$BO$853,IF($S$1013=764,PR!$BO$854,IF($S$1013=765,PR!$BO$855,IF($S$1013=766,PR!$BO$856,IF($S$1013=767,PR!$BO$857,IF($S$1013=768,PR!$BO$858,IF($S$1013=769,PR!$BO$859,IF($S$1013=770,PR!$BO$860,IF($S$1013=771,PR!$BO$861,IF($S$1013=772,PR!$BO$862,IF($S$1013=773,PR!$BO$863,IF($S$1013=774,PR!$BO$864,IF($S$1013=775,PR!$BO$865,IF($S$1013=776,PR!$BO$866,IF($S$1013=777,PR!$BO$867,IF($S$1013=778,PR!$BO$868,IF($S$1013=779,PR!$BO$869,IF($S$1013=780,PR!$BO$870,"-"))))))))))))))))))))))))))))))))))))))))))))))))))))))))))))</f>
        <v>0</v>
      </c>
      <c r="O1026" s="602">
        <f>IF($S$1013=721,PR!$BP$798,IF($S$1013=722,PR!$BP$806,IF($S$1013=723,PR!$BP$807,IF($S$1013=724,PR!$BP$808,IF($S$1013=725,PR!$BP$809,IF($S$1013=726,PR!$BP$810,IF($S$1013=727,PR!$BP$811,IF($S$1013=728,PR!$BP$812,IF($S$1013=729,PR!$BP$813,IF($S$1013=730,PR!$BP$814,IF($S$1013=731,PR!$BP$815,IF($S$1013=732,PR!$BP$816,IF($S$1013=733,PR!$BP$817,IF($S$1013=734,PR!$BP$818,IF($S$1013=735,PR!$BP$819,IF($S$1013=736,PR!$BP$820,IF($S$1013=737,PR!$BP$821,IF($S$1013=738,PR!$BP$822,IF($S$1013=739,PR!$BP$823,IF($S$1013=740,PR!$BP$824,IF($S$1013=741,PR!$BP$825,IF($S$1013=742,PR!$BP$826,IF($S$1013=743,PR!$BP$827,IF($S$1013=744,PR!$BP$828,IF($S$1013=745,PR!$BP$829,IF($S$1013=746,PR!$BP$830,IF($S$1013=747,PR!$BP$831,IF($S$1013=748,PR!$BP$832,IF($S$1013=749,PR!$BP$833,IF($S$1013=750,PR!$BP$834,IF($S$1013=751,PR!$BP$835,IF($S$1013=752,PR!$BP$836,IF($S$1013=753,PR!$BP$837,IF($S$1013=754,PR!$BP$838,IF($S$1013=755,PR!$BP$839,IF($S$1013=756,PR!$BP$840,IF($S$1013=757,PR!$BP$841,IF($S$1013=758,PR!$BP$842,IF($S$1013=759,PR!$BP$843,IF($S$1013=760,PR!$BP$850,IF($S$1013=761,PR!$BP$851,IF($S$1013=762,PR!$BP$852,IF($S$1013=763,PR!$BP$853,IF($S$1013=764,PR!$BP$854,IF($S$1013=765,PR!$BP$855,IF($S$1013=766,PR!$BP$856,IF($S$1013=767,PR!$BP$857,IF($S$1013=768,PR!$BP$858,IF($S$1013=769,PR!$BP$859,IF($S$1013=770,PR!$BP$860,IF($S$1013=771,PR!$BP$861,IF($S$1013=772,PR!$BP$862,IF($S$1013=773,PR!$BP$863,IF($S$1013=774,PR!$BP$864,IF($S$1013=775,PR!$BP$865,IF($S$1013=776,PR!$BP$866,IF($S$1013=777,PR!$BP$867,IF($S$1013=778,PR!$BP$868,IF($S$1013=779,PR!$BP$869,IF($S$1013=780,PR!$BP$870,"-"))))))))))))))))))))))))))))))))))))))))))))))))))))))))))))</f>
        <v>0</v>
      </c>
      <c r="P1026" s="602">
        <f>IF($S$1013=721,PR!$BQ$798,IF($S$1013=722,PR!$BQ$806,IF($S$1013=723,PR!$BQ$807,IF($S$1013=724,PR!$BQ$808,IF($S$1013=725,PR!$BQ$809,IF($S$1013=726,PR!$BQ$810,IF($S$1013=727,PR!$BQ$811,IF($S$1013=728,PR!$BQ$812,IF($S$1013=729,PR!$BQ$813,IF($S$1013=730,PR!$BQ$814,IF($S$1013=731,PR!$BQ$815,IF($S$1013=732,PR!$BQ$816,IF($S$1013=733,PR!$BQ$817,IF($S$1013=734,PR!$BQ$818,IF($S$1013=735,PR!$BQ$819,IF($S$1013=736,PR!$BQ$820,IF($S$1013=737,PR!$BQ$821,IF($S$1013=738,PR!$BQ$822,IF($S$1013=739,PR!$BQ$823,IF($S$1013=740,PR!$BQ$824,IF($S$1013=741,PR!$BQ$825,IF($S$1013=742,PR!$BQ$826,IF($S$1013=743,PR!$BQ$827,IF($S$1013=744,PR!$BQ$828,IF($S$1013=745,PR!$BQ$829,IF($S$1013=746,PR!$BQ$830,IF($S$1013=747,PR!$BQ$831,IF($S$1013=748,PR!$BQ$832,IF($S$1013=749,PR!$BQ$833,IF($S$1013=750,PR!$BQ$834,IF($S$1013=751,PR!$BQ$835,IF($S$1013=752,PR!$BQ$836,IF($S$1013=753,PR!$BQ$837,IF($S$1013=754,PR!$BQ$838,IF($S$1013=755,PR!$BQ$839,IF($S$1013=756,PR!$BQ$840,IF($S$1013=757,PR!$BQ$841,IF($S$1013=758,PR!$BQ$842,IF($S$1013=759,PR!$BQ$843,IF($S$1013=760,PR!$BQ$850,IF($S$1013=761,PR!$BQ$851,IF($S$1013=762,PR!$BQ$852,IF($S$1013=763,PR!$BQ$853,IF($S$1013=764,PR!$BQ$854,IF($S$1013=765,PR!$BQ$855,IF($S$1013=766,PR!$BQ$856,IF($S$1013=767,PR!$BQ$857,IF($S$1013=768,PR!$BQ$858,IF($S$1013=769,PR!$BQ$859,IF($S$1013=770,PR!$BQ$860,IF($S$1013=771,PR!$BQ$861,IF($S$1013=772,PR!$BQ$862,IF($S$1013=773,PR!$BQ$863,IF($S$1013=774,PR!$BQ$864,IF($S$1013=775,PR!$BQ$865,IF($S$1013=776,PR!$BQ$866,IF($S$1013=777,PR!$BQ$867,IF($S$1013=778,PR!$BQ$868,IF($S$1013=779,PR!$BQ$869,IF($S$1013=780,PR!$BQ$870,"-"))))))))))))))))))))))))))))))))))))))))))))))))))))))))))))</f>
        <v>0</v>
      </c>
      <c r="Q1026" s="602">
        <f>IF($S$1013=721,PR!$BR$798,IF($S$1013=722,PR!$BR$806,IF($S$1013=723,PR!$BR$807,IF($S$1013=724,PR!$BR$808,IF($S$1013=725,PR!$BR$809,IF($S$1013=726,PR!$BR$810,IF($S$1013=727,PR!$BR$811,IF($S$1013=728,PR!$BR$812,IF($S$1013=729,PR!$BR$813,IF($S$1013=730,PR!$BR$814,IF($S$1013=731,PR!$BR$815,IF($S$1013=732,PR!$BR$816,IF($S$1013=733,PR!$BR$817,IF($S$1013=734,PR!$BR$818,IF($S$1013=735,PR!$BR$819,IF($S$1013=736,PR!$BR$820,IF($S$1013=737,PR!$BR$821,IF($S$1013=738,PR!$BR$822,IF($S$1013=739,PR!$BR$823,IF($S$1013=740,PR!$BR$824,IF($S$1013=741,PR!$BR$825,IF($S$1013=742,PR!$BR$826,IF($S$1013=743,PR!$BR$827,IF($S$1013=744,PR!$BR$828,IF($S$1013=745,PR!$BR$829,IF($S$1013=746,PR!$BR$830,IF($S$1013=747,PR!$BR$831,IF($S$1013=748,PR!$BR$832,IF($S$1013=749,PR!$BR$833,IF($S$1013=750,PR!$BR$834,IF($S$1013=751,PR!$BR$835,IF($S$1013=752,PR!$BR$836,IF($S$1013=753,PR!$BR$837,IF($S$1013=754,PR!$BR$838,IF($S$1013=755,PR!$BR$839,IF($S$1013=756,PR!$BR$840,IF($S$1013=757,PR!$BR$841,IF($S$1013=758,PR!$BR$842,IF($S$1013=759,PR!$BR$843,IF($S$1013=760,PR!$BR$850,IF($S$1013=761,PR!$BR$851,IF($S$1013=762,PR!$BR$852,IF($S$1013=763,PR!$BR$853,IF($S$1013=764,PR!$BR$854,IF($S$1013=765,PR!$BR$855,IF($S$1013=766,PR!$BR$856,IF($S$1013=767,PR!$BR$857,IF($S$1013=768,PR!$BR$858,IF($S$1013=769,PR!$BR$859,IF($S$1013=770,PR!$BR$860,IF($S$1013=771,PR!$BR$861,IF($S$1013=772,PR!$BR$862,IF($S$1013=773,PR!$BR$863,IF($S$1013=774,PR!$BR$864,IF($S$1013=775,PR!$BR$865,IF($S$1013=776,PR!$BR$866,IF($S$1013=777,PR!$BR$867,IF($S$1013=778,PR!$BR$868,IF($S$1013=779,PR!$BR$869,IF($S$1013=780,PR!$BR$870,"-"))))))))))))))))))))))))))))))))))))))))))))))))))))))))))))</f>
        <v>0</v>
      </c>
      <c r="R1026" s="602">
        <f>IF($S$1013=721,PR!$BS$798,IF($S$1013=722,PR!$BS$806,IF($S$1013=723,PR!$BS$807,IF($S$1013=724,PR!$BS$808,IF($S$1013=725,PR!$BS$809,IF($S$1013=726,PR!$BS$810,IF($S$1013=727,PR!$BS$811,IF($S$1013=728,PR!$BS$812,IF($S$1013=729,PR!$BS$813,IF($S$1013=730,PR!$BS$814,IF($S$1013=731,PR!$BS$815,IF($S$1013=732,PR!$BS$816,IF($S$1013=733,PR!$BS$817,IF($S$1013=734,PR!$BS$818,IF($S$1013=735,PR!$BS$819,IF($S$1013=736,PR!$BS$820,IF($S$1013=737,PR!$BS$821,IF($S$1013=738,PR!$BS$822,IF($S$1013=739,PR!$BS$823,IF($S$1013=740,PR!$BS$824,IF($S$1013=741,PR!$BS$825,IF($S$1013=742,PR!$BS$826,IF($S$1013=743,PR!$BS$827,IF($S$1013=744,PR!$BS$828,IF($S$1013=745,PR!$BS$829,IF($S$1013=746,PR!$BS$830,IF($S$1013=747,PR!$BS$831,IF($S$1013=748,PR!$BS$832,IF($S$1013=749,PR!$BS$833,IF($S$1013=750,PR!$BS$834,IF($S$1013=751,PR!$BS$835,IF($S$1013=752,PR!$BS$836,IF($S$1013=753,PR!$BS$837,IF($S$1013=754,PR!$BS$838,IF($S$1013=755,PR!$BS$839,IF($S$1013=756,PR!$BS$840,IF($S$1013=757,PR!$BS$841,IF($S$1013=758,PR!$BS$842,IF($S$1013=759,PR!$BS$843,IF($S$1013=760,PR!$BS$850,IF($S$1013=761,PR!$BS$851,IF($S$1013=762,PR!$BS$852,IF($S$1013=763,PR!$BS$853,IF($S$1013=764,PR!$BS$854,IF($S$1013=765,PR!$BS$855,IF($S$1013=766,PR!$BS$856,IF($S$1013=767,PR!$BS$857,IF($S$1013=768,PR!$BS$858,IF($S$1013=769,PR!$BS$859,IF($S$1013=770,PR!$BS$860,IF($S$1013=771,PR!$BS$861,IF($S$1013=772,PR!$BS$862,IF($S$1013=773,PR!$BS$863,IF($S$1013=774,PR!$BS$864,IF($S$1013=775,PR!$BS$865,IF($S$1013=776,PR!$BS$866,IF($S$1013=777,PR!$BS$867,IF($S$1013=778,PR!$BS$868,IF($S$1013=779,PR!$BS$869,IF($S$1013=780,PR!$BS$870,"-"))))))))))))))))))))))))))))))))))))))))))))))))))))))))))))</f>
        <v>0</v>
      </c>
      <c r="S1026" s="604"/>
      <c r="T1026" s="580"/>
      <c r="U1026" s="580"/>
      <c r="V1026" s="32"/>
      <c r="W1026" s="32"/>
      <c r="X1026" s="32"/>
    </row>
    <row r="1027" spans="2:24" ht="5.25" customHeight="1" x14ac:dyDescent="0.25">
      <c r="B1027" s="580"/>
      <c r="C1027" s="593"/>
      <c r="D1027" s="580"/>
      <c r="E1027" s="580"/>
      <c r="F1027" s="580"/>
      <c r="G1027" s="580"/>
      <c r="H1027" s="580"/>
      <c r="I1027" s="580"/>
      <c r="J1027" s="580"/>
      <c r="K1027" s="580"/>
      <c r="L1027" s="580"/>
      <c r="M1027" s="580"/>
      <c r="N1027" s="580"/>
      <c r="O1027" s="580"/>
      <c r="P1027" s="580"/>
      <c r="Q1027" s="580"/>
      <c r="R1027" s="583"/>
      <c r="S1027" s="580"/>
      <c r="T1027" s="580"/>
      <c r="U1027" s="580"/>
      <c r="V1027" s="32"/>
      <c r="W1027" s="32"/>
      <c r="X1027" s="32"/>
    </row>
    <row r="1028" spans="2:24" ht="30" x14ac:dyDescent="0.25">
      <c r="B1028" s="580"/>
      <c r="C1028" s="593"/>
      <c r="D1028" s="580"/>
      <c r="E1028" s="580"/>
      <c r="F1028" s="580"/>
      <c r="G1028" s="580"/>
      <c r="H1028" s="580"/>
      <c r="I1028" s="580"/>
      <c r="J1028" s="580"/>
      <c r="K1028" s="597" t="s">
        <v>783</v>
      </c>
      <c r="L1028" s="598" t="s">
        <v>418</v>
      </c>
      <c r="M1028" s="598" t="s">
        <v>419</v>
      </c>
      <c r="N1028" s="599" t="s">
        <v>420</v>
      </c>
      <c r="O1028" s="580"/>
      <c r="P1028" s="580"/>
      <c r="Q1028" s="580"/>
      <c r="R1028" s="580"/>
      <c r="S1028" s="580"/>
      <c r="T1028" s="580"/>
      <c r="U1028" s="580"/>
      <c r="V1028" s="32"/>
      <c r="W1028" s="32"/>
      <c r="X1028" s="32"/>
    </row>
    <row r="1029" spans="2:24" x14ac:dyDescent="0.25">
      <c r="B1029" s="580"/>
      <c r="C1029" s="593"/>
      <c r="D1029" s="580"/>
      <c r="E1029" s="580"/>
      <c r="F1029" s="580"/>
      <c r="G1029" s="580"/>
      <c r="H1029" s="580"/>
      <c r="I1029" s="580"/>
      <c r="J1029" s="580"/>
      <c r="K1029" s="583" t="s">
        <v>785</v>
      </c>
      <c r="L1029" s="580"/>
      <c r="M1029" s="580"/>
      <c r="N1029" s="580"/>
      <c r="O1029" s="580"/>
      <c r="P1029" s="580"/>
      <c r="Q1029" s="580"/>
      <c r="R1029" s="580"/>
      <c r="S1029" s="580"/>
      <c r="T1029" s="580"/>
      <c r="U1029" s="580"/>
      <c r="V1029" s="32"/>
      <c r="W1029" s="32"/>
      <c r="X1029" s="32"/>
    </row>
    <row r="1030" spans="2:24" x14ac:dyDescent="0.25">
      <c r="B1030" s="32"/>
      <c r="C1030" s="96"/>
      <c r="D1030" s="32"/>
      <c r="E1030" s="32"/>
      <c r="F1030" s="32"/>
      <c r="G1030" s="32"/>
      <c r="H1030" s="32"/>
      <c r="I1030" s="32"/>
      <c r="J1030" s="32"/>
      <c r="K1030" s="97">
        <v>721</v>
      </c>
      <c r="L1030" s="98" t="s">
        <v>1472</v>
      </c>
      <c r="M1030" s="99" t="s">
        <v>626</v>
      </c>
      <c r="N1030" s="100" t="s">
        <v>825</v>
      </c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</row>
    <row r="1031" spans="2:24" x14ac:dyDescent="0.25">
      <c r="B1031" s="32"/>
      <c r="C1031" s="32"/>
      <c r="D1031" s="32"/>
      <c r="E1031" s="32"/>
      <c r="F1031" s="32"/>
      <c r="G1031" s="32"/>
      <c r="H1031" s="32"/>
      <c r="I1031" s="32"/>
      <c r="J1031" s="32"/>
      <c r="K1031" s="97">
        <f>1+K1030</f>
        <v>722</v>
      </c>
      <c r="L1031" s="98" t="s">
        <v>1454</v>
      </c>
      <c r="M1031" s="99" t="s">
        <v>626</v>
      </c>
      <c r="N1031" s="100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</row>
    <row r="1032" spans="2:24" x14ac:dyDescent="0.25">
      <c r="B1032" s="32"/>
      <c r="C1032" s="32"/>
      <c r="D1032" s="32"/>
      <c r="E1032" s="32"/>
      <c r="F1032" s="32"/>
      <c r="G1032" s="32"/>
      <c r="H1032" s="32"/>
      <c r="I1032" s="32"/>
      <c r="J1032" s="32"/>
      <c r="K1032" s="97">
        <f t="shared" ref="K1032:K1089" si="13">1+K1031</f>
        <v>723</v>
      </c>
      <c r="L1032" s="98" t="s">
        <v>1454</v>
      </c>
      <c r="M1032" s="99" t="s">
        <v>1457</v>
      </c>
      <c r="N1032" s="100" t="s">
        <v>626</v>
      </c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</row>
    <row r="1033" spans="2:24" x14ac:dyDescent="0.25">
      <c r="B1033" s="32"/>
      <c r="C1033" s="32"/>
      <c r="D1033" s="32"/>
      <c r="E1033" s="32"/>
      <c r="F1033" s="32"/>
      <c r="G1033" s="32"/>
      <c r="H1033" s="32"/>
      <c r="I1033" s="32"/>
      <c r="J1033" s="32"/>
      <c r="K1033" s="97">
        <f t="shared" si="13"/>
        <v>724</v>
      </c>
      <c r="L1033" s="98" t="s">
        <v>1454</v>
      </c>
      <c r="M1033" s="99" t="s">
        <v>626</v>
      </c>
      <c r="N1033" s="100" t="s">
        <v>1457</v>
      </c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</row>
    <row r="1034" spans="2:24" x14ac:dyDescent="0.25">
      <c r="B1034" s="32"/>
      <c r="C1034" s="32"/>
      <c r="D1034" s="32"/>
      <c r="E1034" s="32"/>
      <c r="F1034" s="32"/>
      <c r="G1034" s="32"/>
      <c r="H1034" s="32"/>
      <c r="I1034" s="32"/>
      <c r="J1034" s="32"/>
      <c r="K1034" s="97">
        <f t="shared" si="13"/>
        <v>725</v>
      </c>
      <c r="L1034" s="98" t="s">
        <v>1454</v>
      </c>
      <c r="M1034" s="99" t="s">
        <v>1457</v>
      </c>
      <c r="N1034" s="100" t="s">
        <v>626</v>
      </c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</row>
    <row r="1035" spans="2:24" x14ac:dyDescent="0.25">
      <c r="B1035" s="32"/>
      <c r="C1035" s="32"/>
      <c r="D1035" s="32"/>
      <c r="E1035" s="32"/>
      <c r="F1035" s="32"/>
      <c r="G1035" s="32"/>
      <c r="H1035" s="32"/>
      <c r="I1035" s="32"/>
      <c r="J1035" s="32"/>
      <c r="K1035" s="97">
        <f t="shared" si="13"/>
        <v>726</v>
      </c>
      <c r="L1035" s="98" t="s">
        <v>1454</v>
      </c>
      <c r="M1035" s="99" t="s">
        <v>626</v>
      </c>
      <c r="N1035" s="100" t="s">
        <v>1457</v>
      </c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</row>
    <row r="1036" spans="2:24" x14ac:dyDescent="0.25">
      <c r="B1036" s="32"/>
      <c r="C1036" s="32"/>
      <c r="D1036" s="32"/>
      <c r="E1036" s="32"/>
      <c r="F1036" s="32"/>
      <c r="G1036" s="32"/>
      <c r="H1036" s="32"/>
      <c r="I1036" s="32"/>
      <c r="J1036" s="32"/>
      <c r="K1036" s="97">
        <f t="shared" si="13"/>
        <v>727</v>
      </c>
      <c r="L1036" s="98" t="s">
        <v>1454</v>
      </c>
      <c r="M1036" s="99" t="s">
        <v>626</v>
      </c>
      <c r="N1036" s="100" t="s">
        <v>1457</v>
      </c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</row>
    <row r="1037" spans="2:24" x14ac:dyDescent="0.25">
      <c r="B1037" s="32"/>
      <c r="C1037" s="32"/>
      <c r="D1037" s="32"/>
      <c r="E1037" s="32"/>
      <c r="F1037" s="32"/>
      <c r="G1037" s="32"/>
      <c r="H1037" s="32"/>
      <c r="I1037" s="32"/>
      <c r="J1037" s="32"/>
      <c r="K1037" s="97">
        <f t="shared" si="13"/>
        <v>728</v>
      </c>
      <c r="L1037" s="98" t="s">
        <v>1459</v>
      </c>
      <c r="M1037" s="99" t="s">
        <v>1454</v>
      </c>
      <c r="N1037" s="100" t="s">
        <v>626</v>
      </c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</row>
    <row r="1038" spans="2:24" x14ac:dyDescent="0.25">
      <c r="B1038" s="32"/>
      <c r="C1038" s="32"/>
      <c r="D1038" s="32"/>
      <c r="E1038" s="32"/>
      <c r="F1038" s="32"/>
      <c r="G1038" s="32"/>
      <c r="H1038" s="32"/>
      <c r="I1038" s="32"/>
      <c r="J1038" s="32"/>
      <c r="K1038" s="97">
        <f t="shared" si="13"/>
        <v>729</v>
      </c>
      <c r="L1038" s="98" t="s">
        <v>1459</v>
      </c>
      <c r="M1038" s="99" t="s">
        <v>1454</v>
      </c>
      <c r="N1038" s="100" t="s">
        <v>626</v>
      </c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</row>
    <row r="1039" spans="2:24" x14ac:dyDescent="0.25">
      <c r="B1039" s="32"/>
      <c r="C1039" s="32"/>
      <c r="D1039" s="32"/>
      <c r="E1039" s="32"/>
      <c r="F1039" s="32"/>
      <c r="G1039" s="32"/>
      <c r="H1039" s="32"/>
      <c r="I1039" s="32"/>
      <c r="J1039" s="32"/>
      <c r="K1039" s="97">
        <f t="shared" si="13"/>
        <v>730</v>
      </c>
      <c r="L1039" s="98" t="s">
        <v>1454</v>
      </c>
      <c r="M1039" s="99" t="s">
        <v>1459</v>
      </c>
      <c r="N1039" s="100" t="s">
        <v>626</v>
      </c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</row>
    <row r="1040" spans="2:24" x14ac:dyDescent="0.25">
      <c r="B1040" s="32"/>
      <c r="C1040" s="32"/>
      <c r="D1040" s="32"/>
      <c r="E1040" s="32"/>
      <c r="F1040" s="32"/>
      <c r="G1040" s="32"/>
      <c r="H1040" s="32"/>
      <c r="I1040" s="32"/>
      <c r="J1040" s="32"/>
      <c r="K1040" s="97">
        <f t="shared" si="13"/>
        <v>731</v>
      </c>
      <c r="L1040" s="98" t="s">
        <v>1459</v>
      </c>
      <c r="M1040" s="99" t="s">
        <v>1454</v>
      </c>
      <c r="N1040" s="100" t="s">
        <v>626</v>
      </c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</row>
    <row r="1041" spans="2:24" x14ac:dyDescent="0.25">
      <c r="B1041" s="32"/>
      <c r="C1041" s="32"/>
      <c r="D1041" s="32"/>
      <c r="E1041" s="32"/>
      <c r="F1041" s="32"/>
      <c r="G1041" s="32"/>
      <c r="H1041" s="32"/>
      <c r="I1041" s="32"/>
      <c r="J1041" s="32"/>
      <c r="K1041" s="97">
        <f t="shared" si="13"/>
        <v>732</v>
      </c>
      <c r="L1041" s="98" t="s">
        <v>1454</v>
      </c>
      <c r="M1041" s="99" t="s">
        <v>626</v>
      </c>
      <c r="N1041" s="100" t="s">
        <v>1457</v>
      </c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</row>
    <row r="1042" spans="2:24" x14ac:dyDescent="0.25">
      <c r="B1042" s="32"/>
      <c r="C1042" s="32"/>
      <c r="D1042" s="32"/>
      <c r="E1042" s="32"/>
      <c r="F1042" s="32"/>
      <c r="G1042" s="32"/>
      <c r="H1042" s="32"/>
      <c r="I1042" s="32"/>
      <c r="J1042" s="32"/>
      <c r="K1042" s="97">
        <f t="shared" si="13"/>
        <v>733</v>
      </c>
      <c r="L1042" s="98" t="s">
        <v>1454</v>
      </c>
      <c r="M1042" s="99" t="s">
        <v>1459</v>
      </c>
      <c r="N1042" s="100" t="s">
        <v>1457</v>
      </c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</row>
    <row r="1043" spans="2:24" x14ac:dyDescent="0.25">
      <c r="B1043" s="32"/>
      <c r="C1043" s="32"/>
      <c r="D1043" s="32"/>
      <c r="E1043" s="32"/>
      <c r="F1043" s="32"/>
      <c r="G1043" s="32"/>
      <c r="H1043" s="32"/>
      <c r="I1043" s="32"/>
      <c r="J1043" s="32"/>
      <c r="K1043" s="97">
        <f t="shared" si="13"/>
        <v>734</v>
      </c>
      <c r="L1043" s="98" t="s">
        <v>1454</v>
      </c>
      <c r="M1043" s="99" t="s">
        <v>1459</v>
      </c>
      <c r="N1043" s="100" t="s">
        <v>626</v>
      </c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</row>
    <row r="1044" spans="2:24" x14ac:dyDescent="0.25">
      <c r="B1044" s="32"/>
      <c r="C1044" s="32"/>
      <c r="D1044" s="32"/>
      <c r="E1044" s="32"/>
      <c r="F1044" s="32"/>
      <c r="G1044" s="32"/>
      <c r="H1044" s="32"/>
      <c r="I1044" s="32"/>
      <c r="J1044" s="32"/>
      <c r="K1044" s="97">
        <f t="shared" si="13"/>
        <v>735</v>
      </c>
      <c r="L1044" s="98" t="s">
        <v>1454</v>
      </c>
      <c r="M1044" s="99" t="s">
        <v>1457</v>
      </c>
      <c r="N1044" s="100" t="s">
        <v>1459</v>
      </c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</row>
    <row r="1045" spans="2:24" x14ac:dyDescent="0.25">
      <c r="B1045" s="32"/>
      <c r="C1045" s="32"/>
      <c r="D1045" s="32"/>
      <c r="E1045" s="32"/>
      <c r="F1045" s="32"/>
      <c r="G1045" s="32"/>
      <c r="H1045" s="32"/>
      <c r="I1045" s="32"/>
      <c r="J1045" s="32"/>
      <c r="K1045" s="97">
        <f t="shared" si="13"/>
        <v>736</v>
      </c>
      <c r="L1045" s="98" t="s">
        <v>1454</v>
      </c>
      <c r="M1045" s="99" t="s">
        <v>1459</v>
      </c>
      <c r="N1045" s="100" t="s">
        <v>1457</v>
      </c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</row>
    <row r="1046" spans="2:24" x14ac:dyDescent="0.25">
      <c r="B1046" s="32"/>
      <c r="C1046" s="32"/>
      <c r="D1046" s="32"/>
      <c r="E1046" s="32"/>
      <c r="F1046" s="32"/>
      <c r="G1046" s="32"/>
      <c r="H1046" s="32"/>
      <c r="I1046" s="32"/>
      <c r="J1046" s="32"/>
      <c r="K1046" s="97">
        <f t="shared" si="13"/>
        <v>737</v>
      </c>
      <c r="L1046" s="98" t="s">
        <v>1454</v>
      </c>
      <c r="M1046" s="99" t="s">
        <v>1459</v>
      </c>
      <c r="N1046" s="100" t="s">
        <v>1457</v>
      </c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</row>
    <row r="1047" spans="2:24" x14ac:dyDescent="0.25">
      <c r="B1047" s="32"/>
      <c r="C1047" s="32"/>
      <c r="D1047" s="32"/>
      <c r="E1047" s="32"/>
      <c r="F1047" s="32"/>
      <c r="G1047" s="32"/>
      <c r="H1047" s="32"/>
      <c r="I1047" s="32"/>
      <c r="J1047" s="32"/>
      <c r="K1047" s="97">
        <f t="shared" si="13"/>
        <v>738</v>
      </c>
      <c r="L1047" s="98" t="s">
        <v>1454</v>
      </c>
      <c r="M1047" s="99" t="s">
        <v>1457</v>
      </c>
      <c r="N1047" s="100" t="s">
        <v>1459</v>
      </c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</row>
    <row r="1048" spans="2:24" x14ac:dyDescent="0.25">
      <c r="B1048" s="32"/>
      <c r="C1048" s="32"/>
      <c r="D1048" s="32"/>
      <c r="E1048" s="32"/>
      <c r="F1048" s="32"/>
      <c r="G1048" s="32"/>
      <c r="H1048" s="32"/>
      <c r="I1048" s="32"/>
      <c r="J1048" s="32"/>
      <c r="K1048" s="97">
        <f t="shared" si="13"/>
        <v>739</v>
      </c>
      <c r="L1048" s="98" t="s">
        <v>1454</v>
      </c>
      <c r="M1048" s="99" t="s">
        <v>1459</v>
      </c>
      <c r="N1048" s="100" t="s">
        <v>1457</v>
      </c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</row>
    <row r="1049" spans="2:24" x14ac:dyDescent="0.25">
      <c r="B1049" s="32"/>
      <c r="C1049" s="32"/>
      <c r="D1049" s="32"/>
      <c r="E1049" s="32"/>
      <c r="F1049" s="32"/>
      <c r="G1049" s="32"/>
      <c r="H1049" s="32"/>
      <c r="I1049" s="32"/>
      <c r="J1049" s="32"/>
      <c r="K1049" s="97">
        <f t="shared" si="13"/>
        <v>740</v>
      </c>
      <c r="L1049" s="98" t="s">
        <v>1454</v>
      </c>
      <c r="M1049" s="99" t="s">
        <v>1459</v>
      </c>
      <c r="N1049" s="100" t="s">
        <v>1457</v>
      </c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</row>
    <row r="1050" spans="2:24" x14ac:dyDescent="0.25">
      <c r="B1050" s="32"/>
      <c r="C1050" s="32"/>
      <c r="D1050" s="32"/>
      <c r="E1050" s="32"/>
      <c r="F1050" s="32"/>
      <c r="G1050" s="32"/>
      <c r="H1050" s="32"/>
      <c r="I1050" s="32"/>
      <c r="J1050" s="32"/>
      <c r="K1050" s="97">
        <f t="shared" si="13"/>
        <v>741</v>
      </c>
      <c r="L1050" s="98" t="s">
        <v>1454</v>
      </c>
      <c r="M1050" s="99" t="s">
        <v>1459</v>
      </c>
      <c r="N1050" s="100" t="s">
        <v>1457</v>
      </c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</row>
    <row r="1051" spans="2:24" x14ac:dyDescent="0.25">
      <c r="B1051" s="32"/>
      <c r="C1051" s="32"/>
      <c r="D1051" s="32"/>
      <c r="E1051" s="32"/>
      <c r="F1051" s="32"/>
      <c r="G1051" s="32"/>
      <c r="H1051" s="32"/>
      <c r="I1051" s="32"/>
      <c r="J1051" s="32"/>
      <c r="K1051" s="97">
        <f t="shared" si="13"/>
        <v>742</v>
      </c>
      <c r="L1051" s="98" t="s">
        <v>1454</v>
      </c>
      <c r="M1051" s="99" t="s">
        <v>1459</v>
      </c>
      <c r="N1051" s="100" t="s">
        <v>1457</v>
      </c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</row>
    <row r="1052" spans="2:24" x14ac:dyDescent="0.25">
      <c r="B1052" s="32"/>
      <c r="C1052" s="32"/>
      <c r="D1052" s="32"/>
      <c r="E1052" s="32"/>
      <c r="F1052" s="32"/>
      <c r="G1052" s="32"/>
      <c r="H1052" s="32"/>
      <c r="I1052" s="32"/>
      <c r="J1052" s="32"/>
      <c r="K1052" s="97">
        <f t="shared" si="13"/>
        <v>743</v>
      </c>
      <c r="L1052" s="98" t="s">
        <v>626</v>
      </c>
      <c r="M1052" s="99" t="s">
        <v>1454</v>
      </c>
      <c r="N1052" s="100" t="s">
        <v>1459</v>
      </c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</row>
    <row r="1053" spans="2:24" x14ac:dyDescent="0.25">
      <c r="B1053" s="32"/>
      <c r="C1053" s="32"/>
      <c r="D1053" s="32"/>
      <c r="E1053" s="32"/>
      <c r="F1053" s="32"/>
      <c r="G1053" s="32"/>
      <c r="H1053" s="32"/>
      <c r="I1053" s="32"/>
      <c r="J1053" s="32"/>
      <c r="K1053" s="97">
        <f t="shared" si="13"/>
        <v>744</v>
      </c>
      <c r="L1053" s="98" t="s">
        <v>626</v>
      </c>
      <c r="M1053" s="99" t="s">
        <v>825</v>
      </c>
      <c r="N1053" s="100" t="s">
        <v>817</v>
      </c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</row>
    <row r="1054" spans="2:24" x14ac:dyDescent="0.25">
      <c r="B1054" s="32"/>
      <c r="C1054" s="32"/>
      <c r="D1054" s="32"/>
      <c r="E1054" s="32"/>
      <c r="F1054" s="32"/>
      <c r="G1054" s="32"/>
      <c r="H1054" s="32"/>
      <c r="I1054" s="32"/>
      <c r="J1054" s="32"/>
      <c r="K1054" s="97">
        <f t="shared" si="13"/>
        <v>745</v>
      </c>
      <c r="L1054" s="98" t="s">
        <v>825</v>
      </c>
      <c r="M1054" s="99" t="s">
        <v>817</v>
      </c>
      <c r="N1054" s="100" t="s">
        <v>626</v>
      </c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</row>
    <row r="1055" spans="2:24" x14ac:dyDescent="0.25">
      <c r="B1055" s="32"/>
      <c r="C1055" s="32"/>
      <c r="D1055" s="32"/>
      <c r="E1055" s="32"/>
      <c r="F1055" s="32"/>
      <c r="G1055" s="32"/>
      <c r="H1055" s="32"/>
      <c r="I1055" s="32"/>
      <c r="J1055" s="32"/>
      <c r="K1055" s="97">
        <f t="shared" si="13"/>
        <v>746</v>
      </c>
      <c r="L1055" s="98" t="s">
        <v>626</v>
      </c>
      <c r="M1055" s="99" t="s">
        <v>817</v>
      </c>
      <c r="N1055" s="100" t="s">
        <v>1452</v>
      </c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</row>
    <row r="1056" spans="2:24" x14ac:dyDescent="0.25">
      <c r="B1056" s="32"/>
      <c r="C1056" s="32"/>
      <c r="D1056" s="32"/>
      <c r="E1056" s="32"/>
      <c r="F1056" s="32"/>
      <c r="G1056" s="32"/>
      <c r="H1056" s="32"/>
      <c r="I1056" s="32"/>
      <c r="J1056" s="32"/>
      <c r="K1056" s="97">
        <f t="shared" si="13"/>
        <v>747</v>
      </c>
      <c r="L1056" s="98" t="s">
        <v>825</v>
      </c>
      <c r="M1056" s="99" t="s">
        <v>817</v>
      </c>
      <c r="N1056" s="100" t="s">
        <v>1459</v>
      </c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</row>
    <row r="1057" spans="2:24" x14ac:dyDescent="0.25">
      <c r="B1057" s="32"/>
      <c r="C1057" s="32"/>
      <c r="D1057" s="32"/>
      <c r="E1057" s="32"/>
      <c r="F1057" s="32"/>
      <c r="G1057" s="32"/>
      <c r="H1057" s="32"/>
      <c r="I1057" s="32"/>
      <c r="J1057" s="32"/>
      <c r="K1057" s="97">
        <f t="shared" si="13"/>
        <v>748</v>
      </c>
      <c r="L1057" s="98" t="s">
        <v>1459</v>
      </c>
      <c r="M1057" s="99" t="s">
        <v>825</v>
      </c>
      <c r="N1057" s="100" t="s">
        <v>1452</v>
      </c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</row>
    <row r="1058" spans="2:24" x14ac:dyDescent="0.25">
      <c r="B1058" s="32"/>
      <c r="C1058" s="32"/>
      <c r="D1058" s="32"/>
      <c r="E1058" s="32"/>
      <c r="F1058" s="32"/>
      <c r="G1058" s="32"/>
      <c r="H1058" s="32"/>
      <c r="I1058" s="32"/>
      <c r="J1058" s="32"/>
      <c r="K1058" s="97">
        <f t="shared" si="13"/>
        <v>749</v>
      </c>
      <c r="L1058" s="98" t="s">
        <v>825</v>
      </c>
      <c r="M1058" s="99" t="s">
        <v>817</v>
      </c>
      <c r="N1058" s="100" t="s">
        <v>1459</v>
      </c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</row>
    <row r="1059" spans="2:24" x14ac:dyDescent="0.25">
      <c r="B1059" s="32"/>
      <c r="C1059" s="32"/>
      <c r="D1059" s="32"/>
      <c r="E1059" s="32"/>
      <c r="F1059" s="32"/>
      <c r="G1059" s="32"/>
      <c r="H1059" s="32"/>
      <c r="I1059" s="32"/>
      <c r="J1059" s="32"/>
      <c r="K1059" s="97">
        <f t="shared" si="13"/>
        <v>750</v>
      </c>
      <c r="L1059" s="98" t="s">
        <v>817</v>
      </c>
      <c r="M1059" s="99" t="s">
        <v>626</v>
      </c>
      <c r="N1059" s="100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</row>
    <row r="1060" spans="2:24" x14ac:dyDescent="0.25">
      <c r="B1060" s="32"/>
      <c r="C1060" s="32"/>
      <c r="D1060" s="32"/>
      <c r="E1060" s="32"/>
      <c r="F1060" s="32"/>
      <c r="G1060" s="32"/>
      <c r="H1060" s="32"/>
      <c r="I1060" s="32"/>
      <c r="J1060" s="32"/>
      <c r="K1060" s="97">
        <f t="shared" si="13"/>
        <v>751</v>
      </c>
      <c r="L1060" s="98" t="s">
        <v>825</v>
      </c>
      <c r="M1060" s="99" t="s">
        <v>817</v>
      </c>
      <c r="N1060" s="100" t="s">
        <v>626</v>
      </c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</row>
    <row r="1061" spans="2:24" x14ac:dyDescent="0.25">
      <c r="B1061" s="32"/>
      <c r="C1061" s="32"/>
      <c r="D1061" s="32"/>
      <c r="E1061" s="32"/>
      <c r="F1061" s="32"/>
      <c r="G1061" s="32"/>
      <c r="H1061" s="32"/>
      <c r="I1061" s="32"/>
      <c r="J1061" s="32"/>
      <c r="K1061" s="97">
        <f t="shared" si="13"/>
        <v>752</v>
      </c>
      <c r="L1061" s="98" t="s">
        <v>1452</v>
      </c>
      <c r="M1061" s="99" t="s">
        <v>825</v>
      </c>
      <c r="N1061" s="100" t="s">
        <v>626</v>
      </c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</row>
    <row r="1062" spans="2:24" x14ac:dyDescent="0.25">
      <c r="B1062" s="32"/>
      <c r="C1062" s="32"/>
      <c r="D1062" s="32"/>
      <c r="E1062" s="32"/>
      <c r="F1062" s="32"/>
      <c r="G1062" s="32"/>
      <c r="H1062" s="32"/>
      <c r="I1062" s="32"/>
      <c r="J1062" s="32"/>
      <c r="K1062" s="97">
        <f t="shared" si="13"/>
        <v>753</v>
      </c>
      <c r="L1062" s="98" t="s">
        <v>626</v>
      </c>
      <c r="M1062" s="99" t="s">
        <v>817</v>
      </c>
      <c r="N1062" s="100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</row>
    <row r="1063" spans="2:24" x14ac:dyDescent="0.25">
      <c r="B1063" s="32"/>
      <c r="C1063" s="32"/>
      <c r="D1063" s="32"/>
      <c r="E1063" s="32"/>
      <c r="F1063" s="32"/>
      <c r="G1063" s="32"/>
      <c r="H1063" s="32"/>
      <c r="I1063" s="32"/>
      <c r="J1063" s="32"/>
      <c r="K1063" s="97">
        <f t="shared" si="13"/>
        <v>754</v>
      </c>
      <c r="L1063" s="98" t="s">
        <v>825</v>
      </c>
      <c r="M1063" s="99" t="s">
        <v>1452</v>
      </c>
      <c r="N1063" s="100" t="s">
        <v>817</v>
      </c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</row>
    <row r="1064" spans="2:24" x14ac:dyDescent="0.25">
      <c r="B1064" s="32"/>
      <c r="C1064" s="32"/>
      <c r="D1064" s="32"/>
      <c r="E1064" s="32"/>
      <c r="F1064" s="32"/>
      <c r="G1064" s="32"/>
      <c r="H1064" s="32"/>
      <c r="I1064" s="32"/>
      <c r="J1064" s="32"/>
      <c r="K1064" s="97">
        <f t="shared" si="13"/>
        <v>755</v>
      </c>
      <c r="L1064" s="98" t="s">
        <v>817</v>
      </c>
      <c r="M1064" s="99" t="s">
        <v>1454</v>
      </c>
      <c r="N1064" s="100" t="s">
        <v>825</v>
      </c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</row>
    <row r="1065" spans="2:24" x14ac:dyDescent="0.25">
      <c r="B1065" s="32"/>
      <c r="C1065" s="32"/>
      <c r="D1065" s="32"/>
      <c r="E1065" s="32"/>
      <c r="F1065" s="32"/>
      <c r="G1065" s="32"/>
      <c r="H1065" s="32"/>
      <c r="I1065" s="32"/>
      <c r="J1065" s="32"/>
      <c r="K1065" s="97">
        <f t="shared" si="13"/>
        <v>756</v>
      </c>
      <c r="L1065" s="98" t="s">
        <v>825</v>
      </c>
      <c r="M1065" s="99" t="s">
        <v>817</v>
      </c>
      <c r="N1065" s="100" t="s">
        <v>1452</v>
      </c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</row>
    <row r="1066" spans="2:24" x14ac:dyDescent="0.25">
      <c r="B1066" s="32"/>
      <c r="C1066" s="32"/>
      <c r="D1066" s="32"/>
      <c r="E1066" s="32"/>
      <c r="F1066" s="32"/>
      <c r="G1066" s="32"/>
      <c r="H1066" s="32"/>
      <c r="I1066" s="32"/>
      <c r="J1066" s="32"/>
      <c r="K1066" s="97">
        <f t="shared" si="13"/>
        <v>757</v>
      </c>
      <c r="L1066" s="98" t="s">
        <v>1459</v>
      </c>
      <c r="M1066" s="99" t="s">
        <v>626</v>
      </c>
      <c r="N1066" s="100" t="s">
        <v>1452</v>
      </c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</row>
    <row r="1067" spans="2:24" x14ac:dyDescent="0.25">
      <c r="B1067" s="32"/>
      <c r="C1067" s="32"/>
      <c r="D1067" s="32"/>
      <c r="E1067" s="32"/>
      <c r="F1067" s="32"/>
      <c r="G1067" s="32"/>
      <c r="H1067" s="32"/>
      <c r="I1067" s="32"/>
      <c r="J1067" s="32"/>
      <c r="K1067" s="97">
        <f t="shared" si="13"/>
        <v>758</v>
      </c>
      <c r="L1067" s="98" t="s">
        <v>1459</v>
      </c>
      <c r="M1067" s="99" t="s">
        <v>626</v>
      </c>
      <c r="N1067" s="100" t="s">
        <v>1452</v>
      </c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</row>
    <row r="1068" spans="2:24" x14ac:dyDescent="0.25">
      <c r="B1068" s="32"/>
      <c r="C1068" s="32"/>
      <c r="D1068" s="32"/>
      <c r="E1068" s="32"/>
      <c r="F1068" s="32"/>
      <c r="G1068" s="32"/>
      <c r="H1068" s="32"/>
      <c r="I1068" s="32"/>
      <c r="J1068" s="32"/>
      <c r="K1068" s="97">
        <f t="shared" si="13"/>
        <v>759</v>
      </c>
      <c r="L1068" s="98" t="s">
        <v>817</v>
      </c>
      <c r="M1068" s="99" t="s">
        <v>825</v>
      </c>
      <c r="N1068" s="100" t="s">
        <v>1452</v>
      </c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</row>
    <row r="1069" spans="2:24" x14ac:dyDescent="0.25">
      <c r="B1069" s="32"/>
      <c r="C1069" s="32"/>
      <c r="D1069" s="32"/>
      <c r="E1069" s="32"/>
      <c r="F1069" s="32"/>
      <c r="G1069" s="32"/>
      <c r="H1069" s="32"/>
      <c r="I1069" s="32"/>
      <c r="J1069" s="32"/>
      <c r="K1069" s="97">
        <f t="shared" si="13"/>
        <v>760</v>
      </c>
      <c r="L1069" s="98" t="s">
        <v>626</v>
      </c>
      <c r="M1069" s="99" t="s">
        <v>1461</v>
      </c>
      <c r="N1069" s="100" t="s">
        <v>1452</v>
      </c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</row>
    <row r="1070" spans="2:24" x14ac:dyDescent="0.25">
      <c r="B1070" s="32"/>
      <c r="C1070" s="32"/>
      <c r="D1070" s="32"/>
      <c r="E1070" s="32"/>
      <c r="F1070" s="32"/>
      <c r="G1070" s="32"/>
      <c r="H1070" s="32"/>
      <c r="I1070" s="32"/>
      <c r="J1070" s="32"/>
      <c r="K1070" s="97">
        <f t="shared" si="13"/>
        <v>761</v>
      </c>
      <c r="L1070" s="98" t="s">
        <v>1463</v>
      </c>
      <c r="M1070" s="99" t="s">
        <v>626</v>
      </c>
      <c r="N1070" s="100" t="s">
        <v>1452</v>
      </c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</row>
    <row r="1071" spans="2:24" x14ac:dyDescent="0.25">
      <c r="B1071" s="32"/>
      <c r="C1071" s="32"/>
      <c r="D1071" s="32"/>
      <c r="E1071" s="32"/>
      <c r="F1071" s="32"/>
      <c r="G1071" s="32"/>
      <c r="H1071" s="32"/>
      <c r="I1071" s="32"/>
      <c r="J1071" s="32"/>
      <c r="K1071" s="97">
        <f t="shared" si="13"/>
        <v>762</v>
      </c>
      <c r="L1071" s="98" t="s">
        <v>1463</v>
      </c>
      <c r="M1071" s="99" t="s">
        <v>626</v>
      </c>
      <c r="N1071" s="100" t="s">
        <v>1452</v>
      </c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</row>
    <row r="1072" spans="2:24" x14ac:dyDescent="0.25">
      <c r="B1072" s="32"/>
      <c r="C1072" s="32"/>
      <c r="D1072" s="32"/>
      <c r="E1072" s="32"/>
      <c r="F1072" s="32"/>
      <c r="G1072" s="32"/>
      <c r="H1072" s="32"/>
      <c r="I1072" s="32"/>
      <c r="J1072" s="32"/>
      <c r="K1072" s="97">
        <f t="shared" si="13"/>
        <v>763</v>
      </c>
      <c r="L1072" s="98" t="s">
        <v>1463</v>
      </c>
      <c r="M1072" s="99" t="s">
        <v>626</v>
      </c>
      <c r="N1072" s="100" t="s">
        <v>1452</v>
      </c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</row>
    <row r="1073" spans="2:24" x14ac:dyDescent="0.25">
      <c r="B1073" s="32"/>
      <c r="C1073" s="32"/>
      <c r="D1073" s="32"/>
      <c r="E1073" s="32"/>
      <c r="F1073" s="32"/>
      <c r="G1073" s="32"/>
      <c r="H1073" s="32"/>
      <c r="I1073" s="32"/>
      <c r="J1073" s="32"/>
      <c r="K1073" s="97">
        <f t="shared" si="13"/>
        <v>764</v>
      </c>
      <c r="L1073" s="98" t="s">
        <v>1463</v>
      </c>
      <c r="M1073" s="99" t="s">
        <v>817</v>
      </c>
      <c r="N1073" s="100" t="s">
        <v>1461</v>
      </c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</row>
    <row r="1074" spans="2:24" x14ac:dyDescent="0.25">
      <c r="B1074" s="32"/>
      <c r="C1074" s="32"/>
      <c r="D1074" s="32"/>
      <c r="E1074" s="32"/>
      <c r="F1074" s="32"/>
      <c r="G1074" s="32"/>
      <c r="H1074" s="32"/>
      <c r="I1074" s="32"/>
      <c r="J1074" s="32"/>
      <c r="K1074" s="97">
        <f t="shared" si="13"/>
        <v>765</v>
      </c>
      <c r="L1074" s="98" t="s">
        <v>817</v>
      </c>
      <c r="M1074" s="99" t="s">
        <v>1463</v>
      </c>
      <c r="N1074" s="100" t="s">
        <v>1452</v>
      </c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</row>
    <row r="1075" spans="2:24" x14ac:dyDescent="0.25">
      <c r="B1075" s="32"/>
      <c r="C1075" s="32"/>
      <c r="D1075" s="32"/>
      <c r="E1075" s="32"/>
      <c r="F1075" s="32"/>
      <c r="G1075" s="32"/>
      <c r="H1075" s="32"/>
      <c r="I1075" s="32"/>
      <c r="J1075" s="32"/>
      <c r="K1075" s="97">
        <f t="shared" si="13"/>
        <v>766</v>
      </c>
      <c r="L1075" s="98" t="s">
        <v>817</v>
      </c>
      <c r="M1075" s="99" t="s">
        <v>626</v>
      </c>
      <c r="N1075" s="100" t="s">
        <v>1461</v>
      </c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</row>
    <row r="1076" spans="2:24" x14ac:dyDescent="0.25">
      <c r="B1076" s="32"/>
      <c r="C1076" s="32"/>
      <c r="D1076" s="32"/>
      <c r="E1076" s="32"/>
      <c r="F1076" s="32"/>
      <c r="G1076" s="32"/>
      <c r="H1076" s="32"/>
      <c r="I1076" s="32"/>
      <c r="J1076" s="32"/>
      <c r="K1076" s="97">
        <f t="shared" si="13"/>
        <v>767</v>
      </c>
      <c r="L1076" s="98" t="s">
        <v>1459</v>
      </c>
      <c r="M1076" s="99" t="s">
        <v>626</v>
      </c>
      <c r="N1076" s="100" t="s">
        <v>817</v>
      </c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</row>
    <row r="1077" spans="2:24" x14ac:dyDescent="0.25">
      <c r="B1077" s="32"/>
      <c r="C1077" s="32"/>
      <c r="D1077" s="32"/>
      <c r="E1077" s="32"/>
      <c r="F1077" s="32"/>
      <c r="G1077" s="32"/>
      <c r="H1077" s="32"/>
      <c r="I1077" s="32"/>
      <c r="J1077" s="32"/>
      <c r="K1077" s="97">
        <f t="shared" si="13"/>
        <v>768</v>
      </c>
      <c r="L1077" s="98" t="s">
        <v>1461</v>
      </c>
      <c r="M1077" s="99" t="s">
        <v>1452</v>
      </c>
      <c r="N1077" s="100" t="s">
        <v>1459</v>
      </c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</row>
    <row r="1078" spans="2:24" x14ac:dyDescent="0.25">
      <c r="B1078" s="32"/>
      <c r="C1078" s="32"/>
      <c r="D1078" s="32"/>
      <c r="E1078" s="32"/>
      <c r="F1078" s="32"/>
      <c r="G1078" s="32"/>
      <c r="H1078" s="32"/>
      <c r="I1078" s="32"/>
      <c r="J1078" s="32"/>
      <c r="K1078" s="97">
        <f t="shared" si="13"/>
        <v>769</v>
      </c>
      <c r="L1078" s="98" t="s">
        <v>1461</v>
      </c>
      <c r="M1078" s="99" t="s">
        <v>817</v>
      </c>
      <c r="N1078" s="100" t="s">
        <v>1452</v>
      </c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</row>
    <row r="1079" spans="2:24" x14ac:dyDescent="0.25">
      <c r="B1079" s="32"/>
      <c r="C1079" s="32"/>
      <c r="D1079" s="32"/>
      <c r="E1079" s="32"/>
      <c r="F1079" s="32"/>
      <c r="G1079" s="32"/>
      <c r="H1079" s="32"/>
      <c r="I1079" s="32"/>
      <c r="J1079" s="32"/>
      <c r="K1079" s="97">
        <f t="shared" si="13"/>
        <v>770</v>
      </c>
      <c r="L1079" s="98" t="s">
        <v>817</v>
      </c>
      <c r="M1079" s="99" t="s">
        <v>1452</v>
      </c>
      <c r="N1079" s="100" t="s">
        <v>1463</v>
      </c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</row>
    <row r="1080" spans="2:24" x14ac:dyDescent="0.25">
      <c r="B1080" s="32"/>
      <c r="C1080" s="32"/>
      <c r="D1080" s="32"/>
      <c r="E1080" s="32"/>
      <c r="F1080" s="32"/>
      <c r="G1080" s="32"/>
      <c r="H1080" s="32"/>
      <c r="I1080" s="32"/>
      <c r="J1080" s="32"/>
      <c r="K1080" s="97">
        <f t="shared" si="13"/>
        <v>771</v>
      </c>
      <c r="L1080" s="98" t="s">
        <v>1463</v>
      </c>
      <c r="M1080" s="99" t="s">
        <v>817</v>
      </c>
      <c r="N1080" s="100" t="s">
        <v>1452</v>
      </c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</row>
    <row r="1081" spans="2:24" x14ac:dyDescent="0.25">
      <c r="B1081" s="32"/>
      <c r="C1081" s="32"/>
      <c r="D1081" s="32"/>
      <c r="E1081" s="32"/>
      <c r="F1081" s="32"/>
      <c r="G1081" s="32"/>
      <c r="H1081" s="32"/>
      <c r="I1081" s="32"/>
      <c r="J1081" s="32"/>
      <c r="K1081" s="97">
        <f t="shared" si="13"/>
        <v>772</v>
      </c>
      <c r="L1081" s="98" t="s">
        <v>626</v>
      </c>
      <c r="M1081" s="99" t="s">
        <v>817</v>
      </c>
      <c r="N1081" s="100" t="s">
        <v>1461</v>
      </c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</row>
    <row r="1082" spans="2:24" x14ac:dyDescent="0.25">
      <c r="B1082" s="32"/>
      <c r="C1082" s="32"/>
      <c r="D1082" s="32"/>
      <c r="E1082" s="32"/>
      <c r="F1082" s="32"/>
      <c r="G1082" s="32"/>
      <c r="H1082" s="32"/>
      <c r="I1082" s="32"/>
      <c r="J1082" s="32"/>
      <c r="K1082" s="97">
        <f t="shared" si="13"/>
        <v>773</v>
      </c>
      <c r="L1082" s="98" t="s">
        <v>626</v>
      </c>
      <c r="M1082" s="99" t="s">
        <v>817</v>
      </c>
      <c r="N1082" s="100" t="s">
        <v>1452</v>
      </c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</row>
    <row r="1083" spans="2:24" x14ac:dyDescent="0.25">
      <c r="B1083" s="32"/>
      <c r="C1083" s="32"/>
      <c r="D1083" s="32"/>
      <c r="E1083" s="32"/>
      <c r="F1083" s="32"/>
      <c r="G1083" s="32"/>
      <c r="H1083" s="32"/>
      <c r="I1083" s="32"/>
      <c r="J1083" s="32"/>
      <c r="K1083" s="97">
        <f t="shared" si="13"/>
        <v>774</v>
      </c>
      <c r="L1083" s="98" t="s">
        <v>1459</v>
      </c>
      <c r="M1083" s="99" t="s">
        <v>1452</v>
      </c>
      <c r="N1083" s="100" t="s">
        <v>1463</v>
      </c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</row>
    <row r="1084" spans="2:24" x14ac:dyDescent="0.25">
      <c r="B1084" s="32"/>
      <c r="C1084" s="32"/>
      <c r="D1084" s="32"/>
      <c r="E1084" s="32"/>
      <c r="F1084" s="32"/>
      <c r="G1084" s="32"/>
      <c r="H1084" s="32"/>
      <c r="I1084" s="32"/>
      <c r="J1084" s="32"/>
      <c r="K1084" s="97">
        <f t="shared" si="13"/>
        <v>775</v>
      </c>
      <c r="L1084" s="98" t="s">
        <v>1459</v>
      </c>
      <c r="M1084" s="99" t="s">
        <v>1452</v>
      </c>
      <c r="N1084" s="100" t="s">
        <v>1463</v>
      </c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</row>
    <row r="1085" spans="2:24" x14ac:dyDescent="0.25">
      <c r="B1085" s="32"/>
      <c r="C1085" s="32"/>
      <c r="D1085" s="32"/>
      <c r="E1085" s="32"/>
      <c r="F1085" s="32"/>
      <c r="G1085" s="32"/>
      <c r="H1085" s="32"/>
      <c r="I1085" s="32"/>
      <c r="J1085" s="32"/>
      <c r="K1085" s="97">
        <f t="shared" si="13"/>
        <v>776</v>
      </c>
      <c r="L1085" s="98" t="s">
        <v>1452</v>
      </c>
      <c r="M1085" s="99" t="s">
        <v>1463</v>
      </c>
      <c r="N1085" s="100" t="s">
        <v>1459</v>
      </c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</row>
    <row r="1086" spans="2:24" x14ac:dyDescent="0.25">
      <c r="B1086" s="32"/>
      <c r="C1086" s="32"/>
      <c r="D1086" s="32"/>
      <c r="E1086" s="32"/>
      <c r="F1086" s="32"/>
      <c r="G1086" s="32"/>
      <c r="H1086" s="32"/>
      <c r="I1086" s="32"/>
      <c r="J1086" s="32"/>
      <c r="K1086" s="97">
        <f t="shared" si="13"/>
        <v>777</v>
      </c>
      <c r="L1086" s="98" t="s">
        <v>1452</v>
      </c>
      <c r="M1086" s="99" t="s">
        <v>1459</v>
      </c>
      <c r="N1086" s="100" t="s">
        <v>1463</v>
      </c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</row>
    <row r="1087" spans="2:24" x14ac:dyDescent="0.25">
      <c r="B1087" s="32"/>
      <c r="C1087" s="32"/>
      <c r="D1087" s="32"/>
      <c r="E1087" s="32"/>
      <c r="F1087" s="32"/>
      <c r="G1087" s="32"/>
      <c r="H1087" s="32"/>
      <c r="I1087" s="32"/>
      <c r="J1087" s="32"/>
      <c r="K1087" s="97">
        <f t="shared" si="13"/>
        <v>778</v>
      </c>
      <c r="L1087" s="98" t="s">
        <v>1459</v>
      </c>
      <c r="M1087" s="99" t="s">
        <v>1452</v>
      </c>
      <c r="N1087" s="100" t="s">
        <v>817</v>
      </c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</row>
    <row r="1088" spans="2:24" x14ac:dyDescent="0.25">
      <c r="B1088" s="32"/>
      <c r="C1088" s="32"/>
      <c r="D1088" s="32"/>
      <c r="E1088" s="32"/>
      <c r="F1088" s="32"/>
      <c r="G1088" s="32"/>
      <c r="H1088" s="32"/>
      <c r="I1088" s="32"/>
      <c r="J1088" s="32"/>
      <c r="K1088" s="97">
        <f t="shared" si="13"/>
        <v>779</v>
      </c>
      <c r="L1088" s="98" t="s">
        <v>1459</v>
      </c>
      <c r="M1088" s="99" t="s">
        <v>1452</v>
      </c>
      <c r="N1088" s="100" t="s">
        <v>1463</v>
      </c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</row>
    <row r="1089" spans="2:24" x14ac:dyDescent="0.25">
      <c r="B1089" s="32"/>
      <c r="C1089" s="32"/>
      <c r="D1089" s="32"/>
      <c r="E1089" s="32"/>
      <c r="F1089" s="32"/>
      <c r="G1089" s="32"/>
      <c r="H1089" s="32"/>
      <c r="I1089" s="32"/>
      <c r="J1089" s="32"/>
      <c r="K1089" s="97">
        <f t="shared" si="13"/>
        <v>780</v>
      </c>
      <c r="L1089" s="98" t="s">
        <v>817</v>
      </c>
      <c r="M1089" s="99" t="s">
        <v>1463</v>
      </c>
      <c r="N1089" s="100" t="s">
        <v>626</v>
      </c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</row>
    <row r="1090" spans="2:24" x14ac:dyDescent="0.25">
      <c r="B1090" s="32"/>
      <c r="C1090" s="32"/>
      <c r="D1090" s="32"/>
      <c r="E1090" s="32"/>
      <c r="F1090" s="32"/>
      <c r="G1090" s="32"/>
      <c r="H1090" s="32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</row>
    <row r="1091" spans="2:24" x14ac:dyDescent="0.25">
      <c r="B1091" s="32"/>
      <c r="C1091" s="32"/>
      <c r="D1091" s="32"/>
      <c r="E1091" s="32"/>
      <c r="F1091" s="32"/>
      <c r="G1091" s="32"/>
      <c r="H1091" s="32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</row>
    <row r="1092" spans="2:24" x14ac:dyDescent="0.25">
      <c r="B1092" s="32"/>
      <c r="C1092" s="32"/>
      <c r="D1092" s="32"/>
      <c r="E1092" s="32"/>
      <c r="F1092" s="32"/>
      <c r="G1092" s="32"/>
      <c r="H1092" s="32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</row>
    <row r="1093" spans="2:24" x14ac:dyDescent="0.25">
      <c r="B1093" s="32"/>
      <c r="C1093" s="32"/>
      <c r="D1093" s="32"/>
      <c r="E1093" s="32"/>
      <c r="F1093" s="32"/>
      <c r="G1093" s="32"/>
      <c r="H1093" s="32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</row>
    <row r="1094" spans="2:24" x14ac:dyDescent="0.25">
      <c r="B1094" s="32"/>
      <c r="C1094" s="32"/>
      <c r="D1094" s="32"/>
      <c r="E1094" s="32"/>
      <c r="F1094" s="32"/>
      <c r="G1094" s="32"/>
      <c r="H1094" s="32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</row>
    <row r="1095" spans="2:24" x14ac:dyDescent="0.25">
      <c r="B1095" s="32"/>
      <c r="C1095" s="32"/>
      <c r="D1095" s="32"/>
      <c r="E1095" s="32"/>
      <c r="F1095" s="32"/>
      <c r="G1095" s="32"/>
      <c r="H1095" s="32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</row>
    <row r="1096" spans="2:24" x14ac:dyDescent="0.25">
      <c r="F1096" s="428"/>
      <c r="G1096" s="427"/>
      <c r="J1096" s="428" t="s">
        <v>2045</v>
      </c>
      <c r="V1096" s="32"/>
      <c r="W1096" s="32"/>
      <c r="X1096" s="32"/>
    </row>
    <row r="1097" spans="2:24" ht="30.75" customHeight="1" thickBot="1" x14ac:dyDescent="0.6">
      <c r="B1097" s="579"/>
      <c r="C1097" s="580"/>
      <c r="D1097" s="580"/>
      <c r="E1097" s="580"/>
      <c r="F1097" s="580"/>
      <c r="G1097" s="580"/>
      <c r="H1097" s="581" t="str">
        <f>IF($S$1098&gt;=1055,"LOT 21 LABORATORY REQUIREMENT - OBADA ANNEX",IF($S$1098&gt;=1039,"LOT 21 - LABORATORY REQUIREMENT - SHAJE ANNEX",IF($S$1098&gt;=981,"LOT 20 - LABORATORY - CHEMICAL PATHOLOGY",IF($S$1098&gt;=974,"LOT 19 - MICROBIOLOGY - INFECTION CONTROL",IF($S$1098&gt;=957,"LOT 19 - MICROBIOLOGY - SENSITIVITY DISCS",IF($S$1098&gt;=902,"LOT 18 - MICROBIOLOGY - REAGENT KITS",IF($S$1098&gt;=846,"LOT 17 - HISTOPATHOLOGY",IF($S$1098&gt;=760,"LOT 16 - HAEMATOLOGY",IF($S$1098&gt;=722,"LOT 15 - THEATRE DEPARTMENT",IF($S$1098&gt;=709,"LOT 14 - RADIOLOGY DEPARTMENT",IF($S$1098&gt;=702,"LOT 13 - PHARMACY - CONSUMABLES - SUTURES",IF($S$1098&gt;=684,"LOT 13 - PHARMACY - CONSUMABLES",IF($S$1098&gt;=669,"LOT 13 PHARMACY - DISINFECTANTS",IF($S$1098&gt;=651,"LOT 13 - PHARMACY - DERMATOLOGICAL PREPARATIONS",IF($S$1098&gt;=570,"LOT 13 - PHARMACY - DRESSINGS/CONSUMABLES",IF($S$1098&gt;=539,"LOT 12 - PHARMACY - ONCOLOGY DRUGS",IF($S$1098&gt;=494,"LOT 11 - PHARMACY - EYE/EAR MEDICATIONS",IF($S$1098&gt;=455,"LOT 10 - PHARMACY - RESPIRATORY TRACT DRUGS",IF($S$1098&gt;=424,"LOT 9 - PHARMACY GASTROINTESTINAL DRUGS",IF($S$1098&gt;=381,"LOT 8 - PHARMACY -OBSTETRICS/GYNAECOLOGY DRUGS",IF($S$1098&gt;=351,"LOT 7 - PHARMACY - HYPNOSEDATIVE DRUGS",IF($S$1098&gt;=285,"LOT 6 PHARMACY - BLOOD &amp; NUTRITIONAL DRUGS",IF($S$1098&gt;=194,"LOT 5 - I589PHARMACY - ANTI-INFECTIVE AGENTS",IF($S$1098&gt;=142,"LOT 4 - PHARMACY - ANTI-INFLAMMATORY/ANTI-PYRETIC/ANALGESICS",IF($S$1098&gt;=118,"LOT 3 - PHARMACY - ORAL HYPOGLYCAEMIC DRUGS",IF($S$1098&gt;=34,"LOT 3 - PHARMACY - ANTI-HYPERTENSIVES",IF($S$1098&gt;=19,"LOT 2 - PHARMACY - STERILE INTRAVENOUS FLUIDS",IF($S$1098&gt;=1,"LOT 1 - PHARMACY - ANTI-MALARIALS","-"))))))))))))))))))))))))))))</f>
        <v>LOT 16 - HAEMATOLOGY</v>
      </c>
      <c r="I1097" s="582"/>
      <c r="J1097" s="580"/>
      <c r="K1097" s="580"/>
      <c r="L1097" s="580"/>
      <c r="M1097" s="580"/>
      <c r="N1097" s="580"/>
      <c r="O1097" s="580"/>
      <c r="P1097" s="580"/>
      <c r="Q1097" s="580"/>
      <c r="R1097" s="583"/>
      <c r="S1097" s="580"/>
      <c r="T1097" s="580"/>
      <c r="U1097" s="580"/>
      <c r="V1097" s="32"/>
      <c r="W1097" s="32"/>
      <c r="X1097" s="32"/>
    </row>
    <row r="1098" spans="2:24" ht="30.75" customHeight="1" thickBot="1" x14ac:dyDescent="0.7">
      <c r="B1098" s="584"/>
      <c r="C1098" s="585" t="str">
        <f>IF($S$1098=781,PR!$B$871,IF($S$1098=782,PR!$B$872,IF($S$1098=783,PR!$B$873,IF($S$1098=784,PR!$B$874,IF($S$1098=785,PR!$B$875,IF($S$1098=786,PR!$B$876,IF($S$1098=787,PR!$B$877,IF($S$1098=788,PR!$B$878,IF($S$1098=789,PR!$B$879,IF($S$1098=790,PR!$B$880,IF($S$1098=791,PR!$B$881,IF($S$1098=792,PR!$B$882,IF($S$1098=793,PR!$B$883,IF($S$1098=794,PR!$B$884,IF($S$1098=795,PR!$B$885,IF($S$1098=796,PR!$B$886,IF($S$1098=797,PR!$B$887,IF($S$1098=798,PR!$B$888,IF($S$1098=799,PR!$B$889,IF($S$1098=800,PR!$B$890,IF($S$1098=801,PR!$B$891,IF($S$1098=802,PR!$B$892,IF($S$1098=803,PR!$B$893,IF($S$1098=804,PR!$B$894,IF($S$1098=805,PR!$B$895,IF($S$1098=806,PR!$B$896,IF($S$1098=807,PR!$B$897,IF($S$1098=808,PR!$B$898,IF($S$1098=809,PR!$B$899,IF($S$1098=810,PR!$B$900,IF($S$1098=811,PR!$B$901,IF($S$1098=812,PR!$B$902,IF($S$1098=813,PR!$B$903,IF($S$1098=814,PR!$B$904,IF($S$1098=815,PR!$B$905,IF($S$1098=816,PR!$B$906,IF($S$1098=817,PR!$B$907,IF($S$1098=818,PR!$B$908,IF($S$1098=819,PR!$B$909,IF($S$1098=820,PR!$B$910,IF($S$1098=821,PR!$B$911,IF($S$1098=822,PR!$B$912,IF($S$1098=823,PR!$B$913,IF($S$1098=824,PR!$B$914,IF($S$1098=825,PR!$B$915,IF($S$1098=826,PR!$B$916,IF($S$1098=827,PR!$B$917,IF($S$1098=828,PR!$B$918,IF($S$1098=829,PR!$B$919,IF($S$1098=830,PR!$B$920,IF($S$1098=831,PR!$B$921,IF($S$1098=832,PR!$B$922,IF($S$1098=833,PR!$B$923,IF($S$1098=834,PR!$B$924,IF($S$1098=835,PR!$B$925,IF($S$1098=836,PR!$B$926,IF($S$1098=837,PR!$B$927,IF($S$1098=838,PR!$B$928,IF($S$1098=839,PR!$B$929,IF($S$1098=840,PR!$B$930,"-"))))))))))))))))))))))))))))))))))))))))))))))))))))))))))))</f>
        <v>ELISA HEPATITIS C SCREENING KIT</v>
      </c>
      <c r="D1098" s="586"/>
      <c r="E1098" s="586"/>
      <c r="F1098" s="586"/>
      <c r="G1098" s="586"/>
      <c r="H1098" s="586"/>
      <c r="I1098" s="586"/>
      <c r="J1098" s="586"/>
      <c r="K1098" s="586"/>
      <c r="L1098" s="586"/>
      <c r="M1098" s="586"/>
      <c r="N1098" s="586"/>
      <c r="O1098" s="586"/>
      <c r="P1098" s="587"/>
      <c r="Q1098" s="588"/>
      <c r="R1098" s="583"/>
      <c r="S1098" s="589">
        <v>797</v>
      </c>
      <c r="T1098" s="580"/>
      <c r="U1098" s="580"/>
      <c r="V1098" s="32"/>
      <c r="W1098" s="32"/>
      <c r="X1098" s="32"/>
    </row>
    <row r="1099" spans="2:24" ht="36" customHeight="1" thickBot="1" x14ac:dyDescent="0.7">
      <c r="B1099" s="580"/>
      <c r="C1099" s="590" t="s">
        <v>780</v>
      </c>
      <c r="D1099" s="585" t="str">
        <f>IF($S$1098=781,PR!$D$871,IF($S$1098=782,PR!$D$872,IF($S$1098=783,PR!$D$873,IF($S$1098=784,PR!$D$874,IF($S$1098=785,PR!$D$875,IF($S$1098=786,PR!$D$876,IF($S$1098=787,PR!$D$877,IF($S$1098=788,PR!$D$878,IF($S$1098=789,PR!$D$879,IF($S$1098=790,PR!$D$880,IF($S$1098=791,PR!$D$881,IF($S$1098=792,PR!$D$882,IF($S$1098=793,PR!$D$883,IF($S$1098=794,PR!$D$884,IF($S$1098=795,PR!$D$885,IF($S$1098=796,PR!$D$886,IF($S$1098=797,PR!$D$887,IF($S$1098=798,PR!$D$888,IF($S$1098=799,PR!$D$889,IF($S$1098=800,PR!$D$890,IF($S$1098=801,PR!$D$891,IF($S$1098=802,PR!$D$892,IF($S$1098=803,PR!$D$893,IF($S$1098=804,PR!$D$894,IF($S$1098=805,PR!$D$895,IF($S$1098=806,PR!$D$896,IF($S$1098=807,PR!$D$897,IF($S$1098=808,PR!$D$898,IF($S$1098=809,PR!$D$899,IF($S$1098=810,PR!$D$900,IF($S$1098=811,PR!$D$901,IF($S$1098=812,PR!$D$902,IF($S$1098=813,PR!$D$903,IF($S$1098=814,PR!$D$904,IF($S$1098=815,PR!$D$905,IF($S$1098=816,PR!$D$906,IF($S$1098=817,PR!$D$907,IF($S$1098=818,PR!$D$908,IF($S$1098=819,PR!$D$909,IF($S$1098=820,PR!$D$910,IF($S$1098=821,PR!$D$911,IF($S$1098=822,PR!$D$912,IF($S$1098=823,PR!$D$913,IF($S$1098=824,PR!$D$914,IF($S$1098=825,PR!$D$915,IF($S$1098=826,PR!$D$916,IF($S$1098=827,PR!$D$917,IF($S$1098=828,PR!$D$918,IF($S$1098=829,PR!$D$919,IF($S$1098=830,PR!$D$920,IF($S$1098=831,PR!$D$921,IF($S$1098=832,PR!$D$922,IF($S$1098=833,PR!$D$923,IF($S$1098=834,PR!$D$924,IF($S$1098=835,PR!$D$925,IF($S$1098=836,PR!$D$926,IF($S$1098=837,PR!$D$927,IF($S$1098=838,PR!$D$928,IF($S$1098=839,PR!$D$929,IF($S$1098=840,PR!$D$930,"-"))))))))))))))))))))))))))))))))))))))))))))))))))))))))))))</f>
        <v>1 pack of 96</v>
      </c>
      <c r="E1099" s="586"/>
      <c r="F1099" s="586"/>
      <c r="G1099" s="587"/>
      <c r="H1099" s="785" t="s">
        <v>781</v>
      </c>
      <c r="I1099" s="786"/>
      <c r="J1099" s="787"/>
      <c r="K1099" s="585">
        <f>IF($S$1098=781,PR!$C$871,IF($S$1098=782,PR!$C$872,IF($S$1098=783,PR!$C$873,IF($S$1098=784,PR!$C$874,IF($S$1098=785,PR!$C$875,IF($S$1098=786,PR!$C$876,IF($S$1098=787,PR!$C$877,IF($S$1098=788,PR!$C$878,IF($S$1098=789,PR!$C$879,IF($S$1098=790,PR!$C$880,IF($S$1098=791,PR!$C$881,IF($S$1098=792,PR!$C$882,IF($S$1098=793,PR!$C$883,IF($S$1098=794,PR!$C$884,IF($S$1098=795,PR!$C$885,IF($S$1098=796,PR!$C$886,IF($S$1098=797,PR!$C$887,IF($S$1098=798,PR!$C$888,IF($S$1098=799,PR!$C$889,IF($S$1098=800,PR!$C$890,IF($S$1098=801,PR!$C$891,IF($S$1098=802,PR!$C$892,IF($S$1098=803,PR!$C$893,IF($S$1098=804,PR!$C$894,IF($S$1098=805,PR!$C$895,IF($S$1098=806,PR!$C$896,IF($S$1098=807,PR!$C$897,IF($S$1098=808,PR!$C$898,IF($S$1098=809,PR!$C$899,IF($S$1098=810,PR!$C$900,IF($S$1098=811,PR!$C$901,IF($S$1098=812,PR!$C$902,IF($S$1098=813,PR!$C$903,IF($S$1098=814,PR!$C$904,IF($S$1098=815,PR!$C$905,IF($S$1098=816,PR!$C$906,IF($S$1098=817,PR!$C$907,IF($S$1098=818,PR!$C$908,IF($S$1098=819,PR!$C$909,IF($S$1098=820,PR!$C$910,IF($S$1098=821,PR!$C$911,IF($S$1098=822,PR!$C$912,IF($S$1098=823,PR!$C$913,IF($S$1098=824,PR!$C$914,IF($S$1098=825,PR!$C$915,IF($S$1098=826,PR!$C$916,IF($S$1098=827,PR!$C$917,IF($S$1098=828,PR!$C$918,IF($S$1098=829,PR!$C$919,IF($S$1098=830,PR!$C$920,IF($S$1098=831,PR!$C$921,IF($S$1098=832,PR!$C$922,IF($S$1098=833,PR!$C$923,IF($S$1098=834,PR!$C$924,IF($S$1098=835,PR!$C$925,IF($S$1098=836,PR!$C$926,IF($S$1098=837,PR!$C$927,IF($S$1098=838,PR!$C$928,IF($S$1098=839,PR!$C$929,IF($S$1098=840,PR!$C$930,"-"))))))))))))))))))))))))))))))))))))))))))))))))))))))))))))</f>
        <v>48</v>
      </c>
      <c r="L1099" s="586"/>
      <c r="M1099" s="586"/>
      <c r="N1099" s="587"/>
      <c r="O1099" s="580"/>
      <c r="P1099" s="580"/>
      <c r="Q1099" s="580"/>
      <c r="R1099" s="583"/>
      <c r="S1099" s="580"/>
      <c r="T1099" s="580"/>
      <c r="U1099" s="580"/>
      <c r="V1099" s="32"/>
      <c r="W1099" s="32"/>
      <c r="X1099" s="32"/>
    </row>
    <row r="1100" spans="2:24" ht="13.5" customHeight="1" thickTop="1" x14ac:dyDescent="0.25">
      <c r="B1100" s="580"/>
      <c r="C1100" s="591"/>
      <c r="D1100" s="592"/>
      <c r="E1100" s="580"/>
      <c r="F1100" s="580"/>
      <c r="G1100" s="593"/>
      <c r="H1100" s="593"/>
      <c r="I1100" s="593"/>
      <c r="J1100" s="593"/>
      <c r="K1100" s="594"/>
      <c r="L1100" s="594"/>
      <c r="M1100" s="580"/>
      <c r="N1100" s="580"/>
      <c r="O1100" s="580"/>
      <c r="P1100" s="580"/>
      <c r="Q1100" s="580"/>
      <c r="R1100" s="583"/>
      <c r="S1100" s="580"/>
      <c r="T1100" s="580"/>
      <c r="U1100" s="580"/>
      <c r="V1100" s="32"/>
      <c r="W1100" s="32"/>
      <c r="X1100" s="32"/>
    </row>
    <row r="1101" spans="2:24" ht="15.75" thickBot="1" x14ac:dyDescent="0.3">
      <c r="B1101" s="595"/>
      <c r="C1101" s="600" t="str">
        <f>N!$C$4</f>
        <v>ALPHA</v>
      </c>
      <c r="D1101" s="600" t="str">
        <f>N!$C$5</f>
        <v>ASSENE</v>
      </c>
      <c r="E1101" s="600" t="str">
        <f>N!$C$6</f>
        <v>BIOFEM</v>
      </c>
      <c r="F1101" s="600" t="str">
        <f>N!$C$7</f>
        <v>BIOMED</v>
      </c>
      <c r="G1101" s="600" t="str">
        <f>N!$C$8</f>
        <v>CHI</v>
      </c>
      <c r="H1101" s="600" t="str">
        <f>N!$C$9</f>
        <v>CLARION</v>
      </c>
      <c r="I1101" s="600" t="str">
        <f>N!$C$10</f>
        <v>CODIX</v>
      </c>
      <c r="J1101" s="600" t="str">
        <f>N!$C$11</f>
        <v>COSMADE</v>
      </c>
      <c r="K1101" s="600" t="str">
        <f>N!$C$12</f>
        <v>SANCON</v>
      </c>
      <c r="L1101" s="600" t="str">
        <f>N!$C$13</f>
        <v>DEVON</v>
      </c>
      <c r="M1101" s="600" t="str">
        <f>N!$C$14</f>
        <v>DORTEMAG</v>
      </c>
      <c r="N1101" s="600" t="str">
        <f>N!$C$15</f>
        <v>DGF</v>
      </c>
      <c r="O1101" s="601" t="str">
        <f>N!$C$16</f>
        <v>DYNAMIC</v>
      </c>
      <c r="P1101" s="600" t="str">
        <f>N!$C$17</f>
        <v>EMZOR</v>
      </c>
      <c r="Q1101" s="600" t="str">
        <f>N!$C$18</f>
        <v>EUMATT</v>
      </c>
      <c r="R1101" s="600" t="str">
        <f>N!$C$19</f>
        <v>FIDSON</v>
      </c>
      <c r="S1101" s="600" t="str">
        <f>N!$C$20</f>
        <v>FCGLOBAL</v>
      </c>
      <c r="T1101" s="580"/>
      <c r="U1101" s="580"/>
      <c r="V1101" s="32"/>
      <c r="W1101" s="32"/>
      <c r="X1101" s="32"/>
    </row>
    <row r="1102" spans="2:24" ht="15.75" thickBot="1" x14ac:dyDescent="0.3">
      <c r="B1102" s="596"/>
      <c r="C1102" s="602">
        <f>IF($S$1098=781,PR!$E$871,IF($S$1098=782,PR!$E$872,IF($S$1098=783,PR!$E$873,IF($S$1098=784,PR!$E$874,IF($S$1098=785,PR!$E$875,IF($S$1098=786,PR!$E$876,IF($S$1098=787,PR!$E$877,IF($S$1098=788,PR!$E$878,IF($S$1098=789,PR!$E$879,IF($S$1098=790,PR!$E$880,IF($S$1098=791,PR!$E$881,IF($S$1098=792,PR!$E$882,IF($S$1098=793,PR!$E$883,IF($S$1098=794,PR!$E$884,IF($S$1098=795,PR!$E$885,IF($S$1098=796,PR!$E$886,IF($S$1098=797,PR!$E$887,IF($S$1098=798,PR!$E$888,IF($S$1098=799,PR!$E$889,IF($S$1098=800,PR!$E$890,IF($S$1098=801,PR!$E$891,IF($S$1098=802,PR!$E$892,IF($S$1098=803,PR!$E$893,IF($S$1098=804,PR!$E$894,IF($S$1098=805,PR!$E$895,IF($S$1098=806,PR!$E$896,IF($S$1098=807,PR!$E$897,IF($S$1098=808,PR!$E$898,IF($S$1098=809,PR!$E$899,IF($S$1098=810,PR!$E$900,IF($S$1098=811,PR!$E$901,IF($S$1098=812,PR!$E$902,IF($S$1098=813,PR!$E$903,IF($S$1098=814,PR!$E$904,IF($S$1098=815,PR!$E$905,IF($S$1098=816,PR!$E$906,IF($S$1098=817,PR!$E$907,IF($S$1098=818,PR!$E$908,IF($S$1098=819,PR!$E$909,IF($S$1098=820,PR!$E$910,IF($S$1098=821,PR!$E$911,IF($S$1098=822,PR!$E$912,IF($S$1098=823,PR!$E$913,IF($S$1098=824,PR!$E$914,IF($S$1098=825,PR!$E$915,IF($S$1098=826,PR!$E$916,IF($S$1098=827,PR!$E$917,IF($S$1098=828,PR!$E$918,IF($S$1098=829,PR!$E$919,IF($S$1098=830,PR!$E$920,IF($S$1098=831,PR!$E$921,IF($S$1098=832,PR!$E$922,IF($S$1098=833,PR!$E$923,IF($S$1098=834,PR!$E$924,IF($S$1098=835,PR!$E$925,IF($S$1098=836,PR!$E$926,IF($S$1098=837,PR!$E$927,IF($S$1098=838,PR!$E$928,IF($S$1098=839,PR!$E$929,IF($S$1098=840,PR!$E$930,"-"))))))))))))))))))))))))))))))))))))))))))))))))))))))))))))</f>
        <v>0</v>
      </c>
      <c r="D1102" s="602">
        <f>IF($S$1098=781,PR!$F$871,IF($S$1098=782,PR!$F$872,IF($S$1098=783,PR!$F$873,IF($S$1098=784,PR!$F$874,IF($S$1098=785,PR!$F$875,IF($S$1098=786,PR!$F$876,IF($S$1098=787,PR!$F$877,IF($S$1098=788,PR!$F$878,IF($S$1098=789,PR!$F$879,IF($S$1098=790,PR!$F$880,IF($S$1098=791,PR!$F$881,IF($S$1098=792,PR!$F$882,IF($S$1098=793,PR!$F$883,IF($S$1098=794,PR!$F$884,IF($S$1098=795,PR!$F$885,IF($S$1098=796,PR!$F$886,IF($S$1098=797,PR!$F$887,IF($S$1098=798,PR!$F$888,IF($S$1098=799,PR!$F$889,IF($S$1098=800,PR!$F$890,IF($S$1098=801,PR!$F$891,IF($S$1098=802,PR!$F$892,IF($S$1098=803,PR!$F$893,IF($S$1098=804,PR!$F$894,IF($S$1098=805,PR!$F$895,IF($S$1098=806,PR!$F$896,IF($S$1098=807,PR!$F$897,IF($S$1098=808,PR!$F$898,IF($S$1098=809,PR!$F$899,IF($S$1098=810,PR!$F$900,IF($S$1098=811,PR!$F$901,IF($S$1098=812,PR!$F$902,IF($S$1098=813,PR!$F$903,IF($S$1098=814,PR!$F$904,IF($S$1098=815,PR!$F$905,IF($S$1098=816,PR!$F$906,IF($S$1098=817,PR!$F$907,IF($S$1098=818,PR!$F$908,IF($S$1098=819,PR!$F$909,IF($S$1098=820,PR!$F$910,IF($S$1098=821,PR!$F$911,IF($S$1098=822,PR!$F$912,IF($S$1098=823,PR!$F$913,IF($S$1098=824,PR!$F$914,IF($S$1098=825,PR!$F$915,IF($S$1098=826,PR!$F$916,IF($S$1098=827,PR!$F$917,IF($S$1098=828,PR!$F$918,IF($S$1098=829,PR!$F$919,IF($S$1098=830,PR!$F$920,IF($S$1098=831,PR!$F$921,IF($S$1098=832,PR!$F$922,IF($S$1098=833,PR!$F$923,IF($S$1098=834,PR!$F$924,IF($S$1098=835,PR!$F$925,IF($S$1098=836,PR!$F$926,IF($S$1098=837,PR!$F$927,IF($S$1098=838,PR!$F$928,IF($S$1098=839,PR!$F$929,IF($S$1098=840,PR!$F$930,"-"))))))))))))))))))))))))))))))))))))))))))))))))))))))))))))</f>
        <v>0</v>
      </c>
      <c r="E1102" s="602">
        <f>IF($S$1098=781,PR!$G$871,IF($S$1098=782,PR!$G$872,IF($S$1098=783,PR!$G$873,IF($S$1098=784,PR!$G$874,IF($S$1098=785,PR!$G$875,IF($S$1098=786,PR!$G$876,IF($S$1098=787,PR!$G$877,IF($S$1098=788,PR!$G$878,IF($S$1098=789,PR!$G$879,IF($S$1098=790,PR!$G$880,IF($S$1098=791,PR!$G$881,IF($S$1098=792,PR!$G$882,IF($S$1098=793,PR!$G$883,IF($S$1098=794,PR!$G$884,IF($S$1098=795,PR!$G$885,IF($S$1098=796,PR!$G$886,IF($S$1098=797,PR!$G$887,IF($S$1098=798,PR!$G$888,IF($S$1098=799,PR!$G$889,IF($S$1098=800,PR!$G$890,IF($S$1098=801,PR!$G$891,IF($S$1098=802,PR!$G$892,IF($S$1098=803,PR!$G$893,IF($S$1098=804,PR!$G$894,IF($S$1098=805,PR!$G$895,IF($S$1098=806,PR!$G$896,IF($S$1098=807,PR!$G$897,IF($S$1098=808,PR!$G$898,IF($S$1098=809,PR!$G$899,IF($S$1098=810,PR!$G$900,IF($S$1098=811,PR!$G$901,IF($S$1098=812,PR!$G$902,IF($S$1098=813,PR!$G$903,IF($S$1098=814,PR!$G$904,IF($S$1098=815,PR!$G$905,IF($S$1098=816,PR!$G$906,IF($S$1098=817,PR!$G$907,IF($S$1098=818,PR!$G$908,IF($S$1098=819,PR!$G$909,IF($S$1098=820,PR!$G$910,IF($S$1098=821,PR!$G$911,IF($S$1098=822,PR!$G$912,IF($S$1098=823,PR!$G$913,IF($S$1098=824,PR!$G$914,IF($S$1098=825,PR!$G$915,IF($S$1098=826,PR!$G$916,IF($S$1098=827,PR!$G$917,IF($S$1098=828,PR!$G$918,IF($S$1098=829,PR!$G$919,IF($S$1098=830,PR!$G$920,IF($S$1098=831,PR!$G$921,IF($S$1098=832,PR!$G$922,IF($S$1098=833,PR!$G$923,IF($S$1098=834,PR!$G$924,IF($S$1098=835,PR!$G$925,IF($S$1098=836,PR!$G$926,IF($S$1098=837,PR!$G$927,IF($S$1098=838,PR!$G$928,IF($S$1098=839,PR!$G$929,IF($S$1098=840,PR!$G$930,"-"))))))))))))))))))))))))))))))))))))))))))))))))))))))))))))</f>
        <v>0</v>
      </c>
      <c r="F1102" s="602">
        <f>IF($S$1098=781,PR!$H$871,IF($S$1098=782,PR!$H$872,IF($S$1098=783,PR!$H$873,IF($S$1098=784,PR!$H$874,IF($S$1098=785,PR!$H$875,IF($S$1098=786,PR!$H$876,IF($S$1098=787,PR!$H$877,IF($S$1098=788,PR!$H$878,IF($S$1098=789,PR!$H$879,IF($S$1098=790,PR!$H$880,IF($S$1098=791,PR!$H$881,IF($S$1098=792,PR!$H$882,IF($S$1098=793,PR!$H$883,IF($S$1098=794,PR!$H$884,IF($S$1098=795,PR!$H$885,IF($S$1098=796,PR!$H$886,IF($S$1098=797,PR!$H$887,IF($S$1098=798,PR!$H$888,IF($S$1098=799,PR!$H$889,IF($S$1098=800,PR!$H$890,IF($S$1098=801,PR!$H$891,IF($S$1098=802,PR!$H$892,IF($S$1098=803,PR!$H$893,IF($S$1098=804,PR!$H$894,IF($S$1098=805,PR!$H$895,IF($S$1098=806,PR!$H$896,IF($S$1098=807,PR!$H$897,IF($S$1098=808,PR!$H$898,IF($S$1098=809,PR!$H$899,IF($S$1098=810,PR!$H$900,IF($S$1098=811,PR!$H$901,IF($S$1098=812,PR!$H$902,IF($S$1098=813,PR!$H$903,IF($S$1098=814,PR!$H$904,IF($S$1098=815,PR!$H$905,IF($S$1098=816,PR!$H$906,IF($S$1098=817,PR!$H$907,IF($S$1098=818,PR!$H$908,IF($S$1098=819,PR!$H$909,IF($S$1098=820,PR!$H$910,IF($S$1098=821,PR!$H$911,IF($S$1098=822,PR!$H$912,IF($S$1098=823,PR!$H$913,IF($S$1098=824,PR!$H$914,IF($S$1098=825,PR!$H$915,IF($S$1098=826,PR!$H$916,IF($S$1098=827,PR!$H$917,IF($S$1098=828,PR!$H$918,IF($S$1098=829,PR!$H$919,IF($S$1098=830,PR!$H$920,IF($S$1098=831,PR!$H$921,IF($S$1098=832,PR!$H$922,IF($S$1098=833,PR!$H$923,IF($S$1098=834,PR!$H$924,IF($S$1098=835,PR!$H$925,IF($S$1098=836,PR!$H$926,IF($S$1098=837,PR!$H$927,IF($S$1098=838,PR!$H$928,IF($S$1098=839,PR!$H$929,IF($S$1098=840,PR!$H$930,"-"))))))))))))))))))))))))))))))))))))))))))))))))))))))))))))</f>
        <v>0</v>
      </c>
      <c r="G1102" s="602">
        <f>IF($S$1098=781,PR!$I$871,IF($S$1098=782,PR!$I$872,IF($S$1098=783,PR!$I$873,IF($S$1098=784,PR!$I$874,IF($S$1098=785,PR!$I$875,IF($S$1098=786,PR!$I$876,IF($S$1098=787,PR!$I$877,IF($S$1098=788,PR!$I$878,IF($S$1098=789,PR!$I$879,IF($S$1098=790,PR!$I$880,IF($S$1098=791,PR!$I$881,IF($S$1098=792,PR!$I$882,IF($S$1098=793,PR!$I$883,IF($S$1098=794,PR!$I$884,IF($S$1098=795,PR!$I$885,IF($S$1098=796,PR!$I$886,IF($S$1098=797,PR!$I$887,IF($S$1098=798,PR!$I$888,IF($S$1098=799,PR!$I$889,IF($S$1098=800,PR!$I$890,IF($S$1098=801,PR!$I$891,IF($S$1098=802,PR!$I$892,IF($S$1098=803,PR!$I$893,IF($S$1098=804,PR!$I$894,IF($S$1098=805,PR!$I$895,IF($S$1098=806,PR!$I$896,IF($S$1098=807,PR!$I$897,IF($S$1098=808,PR!$I$898,IF($S$1098=809,PR!$I$899,IF($S$1098=810,PR!$I$900,IF($S$1098=811,PR!$I$901,IF($S$1098=812,PR!$I$902,IF($S$1098=813,PR!$I$903,IF($S$1098=814,PR!$I$904,IF($S$1098=815,PR!$I$905,IF($S$1098=816,PR!$I$906,IF($S$1098=817,PR!$I$907,IF($S$1098=818,PR!$I$908,IF($S$1098=819,PR!$I$909,IF($S$1098=820,PR!$I$910,IF($S$1098=821,PR!$I$911,IF($S$1098=822,PR!$I$912,IF($S$1098=823,PR!$I$913,IF($S$1098=824,PR!$I$914,IF($S$1098=825,PR!$I$915,IF($S$1098=826,PR!$I$916,IF($S$1098=827,PR!$I$917,IF($S$1098=828,PR!$I$918,IF($S$1098=829,PR!$I$919,IF($S$1098=830,PR!$I$920,IF($S$1098=831,PR!$I$921,IF($S$1098=832,PR!$I$922,IF($S$1098=833,PR!$I$923,IF($S$1098=834,PR!$I$924,IF($S$1098=835,PR!$I$925,IF($S$1098=836,PR!$I$926,IF($S$1098=837,PR!$I$927,IF($S$1098=838,PR!$I$928,IF($S$1098=839,PR!$I$929,IF($S$1098=840,PR!$I$930,"-"))))))))))))))))))))))))))))))))))))))))))))))))))))))))))))</f>
        <v>0</v>
      </c>
      <c r="H1102" s="602">
        <f>IF($S$1098=781,PR!$J$871,IF($S$1098=782,PR!$J$872,IF($S$1098=783,PR!$J$873,IF($S$1098=784,PR!$J$874,IF($S$1098=785,PR!$J$875,IF($S$1098=786,PR!$J$876,IF($S$1098=787,PR!$J$877,IF($S$1098=788,PR!$J$878,IF($S$1098=789,PR!$J$879,IF($S$1098=790,PR!$J$880,IF($S$1098=791,PR!$J$881,IF($S$1098=792,PR!$J$882,IF($S$1098=793,PR!$J$883,IF($S$1098=794,PR!$J$884,IF($S$1098=795,PR!$J$885,IF($S$1098=796,PR!$J$886,IF($S$1098=797,PR!$J$887,IF($S$1098=798,PR!$J$888,IF($S$1098=799,PR!$J$889,IF($S$1098=800,PR!$J$890,IF($S$1098=801,PR!$J$891,IF($S$1098=802,PR!$J$892,IF($S$1098=803,PR!$J$893,IF($S$1098=804,PR!$J$894,IF($S$1098=805,PR!$J$895,IF($S$1098=806,PR!$J$896,IF($S$1098=807,PR!$J$897,IF($S$1098=808,PR!$J$898,IF($S$1098=809,PR!$J$899,IF($S$1098=810,PR!$J$900,IF($S$1098=811,PR!$J$901,IF($S$1098=812,PR!$J$902,IF($S$1098=813,PR!$J$903,IF($S$1098=814,PR!$J$904,IF($S$1098=815,PR!$J$905,IF($S$1098=816,PR!$J$906,IF($S$1098=817,PR!$J$907,IF($S$1098=818,PR!$J$908,IF($S$1098=819,PR!$J$909,IF($S$1098=820,PR!$J$910,IF($S$1098=821,PR!$J$911,IF($S$1098=822,PR!$J$912,IF($S$1098=823,PR!$J$913,IF($S$1098=824,PR!$J$914,IF($S$1098=825,PR!$J$915,IF($S$1098=826,PR!$J$916,IF($S$1098=827,PR!$J$917,IF($S$1098=828,PR!$J$918,IF($S$1098=829,PR!$J$919,IF($S$1098=830,PR!$J$920,IF($S$1098=831,PR!$J$921,IF($S$1098=832,PR!$J$922,IF($S$1098=833,PR!$J$923,IF($S$1098=834,PR!$J$924,IF($S$1098=835,PR!$J$925,IF($S$1098=836,PR!$J$926,IF($S$1098=837,PR!$J$927,IF($S$1098=838,PR!$J$928,IF($S$1098=839,PR!$J$929,IF($S$1098=840,PR!$J$930,"-"))))))))))))))))))))))))))))))))))))))))))))))))))))))))))))</f>
        <v>0</v>
      </c>
      <c r="I1102" s="602">
        <f>IF($S$1098=781,PR!$K$871,IF($S$1098=782,PR!$K$872,IF($S$1098=783,PR!$K$873,IF($S$1098=784,PR!$K$874,IF($S$1098=785,PR!$K$875,IF($S$1098=786,PR!$K$876,IF($S$1098=787,PR!$K$877,IF($S$1098=788,PR!$K$878,IF($S$1098=789,PR!$K$879,IF($S$1098=790,PR!$K$880,IF($S$1098=791,PR!$K$881,IF($S$1098=792,PR!$K$882,IF($S$1098=793,PR!$K$883,IF($S$1098=794,PR!$K$884,IF($S$1098=795,PR!$K$885,IF($S$1098=796,PR!$K$886,IF($S$1098=797,PR!$K$887,IF($S$1098=798,PR!$K$888,IF($S$1098=799,PR!$K$889,IF($S$1098=800,PR!$K$890,IF($S$1098=801,PR!$K$891,IF($S$1098=802,PR!$K$892,IF($S$1098=803,PR!$K$893,IF($S$1098=804,PR!$K$894,IF($S$1098=805,PR!$K$895,IF($S$1098=806,PR!$K$896,IF($S$1098=807,PR!$K$897,IF($S$1098=808,PR!$K$898,IF($S$1098=809,PR!$K$899,IF($S$1098=810,PR!$K$900,IF($S$1098=811,PR!$K$901,IF($S$1098=812,PR!$K$902,IF($S$1098=813,PR!$K$903,IF($S$1098=814,PR!$K$904,IF($S$1098=815,PR!$K$905,IF($S$1098=816,PR!$K$906,IF($S$1098=817,PR!$K$907,IF($S$1098=818,PR!$K$908,IF($S$1098=819,PR!$K$909,IF($S$1098=820,PR!$K$910,IF($S$1098=821,PR!$K$911,IF($S$1098=822,PR!$K$912,IF($S$1098=823,PR!$K$913,IF($S$1098=824,PR!$K$914,IF($S$1098=825,PR!$K$915,IF($S$1098=826,PR!$K$916,IF($S$1098=827,PR!$K$917,IF($S$1098=828,PR!$K$918,IF($S$1098=829,PR!$K$919,IF($S$1098=830,PR!$K$920,IF($S$1098=831,PR!$K$921,IF($S$1098=832,PR!$K$922,IF($S$1098=833,PR!$K$923,IF($S$1098=834,PR!$K$924,IF($S$1098=835,PR!$K$925,IF($S$1098=836,PR!$K$926,IF($S$1098=837,PR!$K$927,IF($S$1098=838,PR!$K$928,IF($S$1098=839,PR!$K$929,IF($S$1098=840,PR!$K$930,"-"))))))))))))))))))))))))))))))))))))))))))))))))))))))))))))</f>
        <v>0</v>
      </c>
      <c r="J1102" s="602">
        <f>IF($S$1098=781,PR!$L$871,IF($S$1098=782,PR!$L$872,IF($S$1098=783,PR!$L$873,IF($S$1098=784,PR!$L$874,IF($S$1098=785,PR!$L$875,IF($S$1098=786,PR!$L$876,IF($S$1098=787,PR!$L$877,IF($S$1098=788,PR!$L$878,IF($S$1098=789,PR!$L$879,IF($S$1098=790,PR!$L$880,IF($S$1098=791,PR!$L$881,IF($S$1098=792,PR!$L$882,IF($S$1098=793,PR!$L$883,IF($S$1098=794,PR!$L$884,IF($S$1098=795,PR!$L$885,IF($S$1098=796,PR!$L$886,IF($S$1098=797,PR!$L$887,IF($S$1098=798,PR!$L$888,IF($S$1098=799,PR!$L$889,IF($S$1098=800,PR!$L$890,IF($S$1098=801,PR!$L$891,IF($S$1098=802,PR!$L$892,IF($S$1098=803,PR!$L$893,IF($S$1098=804,PR!$L$894,IF($S$1098=805,PR!$L$895,IF($S$1098=806,PR!$L$896,IF($S$1098=807,PR!$L$897,IF($S$1098=808,PR!$L$898,IF($S$1098=809,PR!$L$899,IF($S$1098=810,PR!$L$900,IF($S$1098=811,PR!$L$901,IF($S$1098=812,PR!$L$902,IF($S$1098=813,PR!$L$903,IF($S$1098=814,PR!$L$904,IF($S$1098=815,PR!$L$905,IF($S$1098=816,PR!$L$906,IF($S$1098=817,PR!$L$907,IF($S$1098=818,PR!$L$908,IF($S$1098=819,PR!$L$909,IF($S$1098=820,PR!$L$910,IF($S$1098=821,PR!$L$911,IF($S$1098=822,PR!$L$912,IF($S$1098=823,PR!$L$913,IF($S$1098=824,PR!$L$914,IF($S$1098=825,PR!$L$915,IF($S$1098=826,PR!$L$916,IF($S$1098=827,PR!$L$917,IF($S$1098=828,PR!$L$918,IF($S$1098=829,PR!$L$919,IF($S$1098=830,PR!$L$920,IF($S$1098=831,PR!$L$921,IF($S$1098=832,PR!$L$922,IF($S$1098=833,PR!$L$923,IF($S$1098=834,PR!$L$924,IF($S$1098=835,PR!$L$925,IF($S$1098=836,PR!$L$926,IF($S$1098=837,PR!$L$927,IF($S$1098=838,PR!$L$928,IF($S$1098=839,PR!$L$929,IF($S$1098=840,PR!$L$930,"-"))))))))))))))))))))))))))))))))))))))))))))))))))))))))))))</f>
        <v>45000</v>
      </c>
      <c r="K1102" s="602">
        <f>IF($S$1098=781,PR!$M$871,IF($S$1098=782,PR!$M$872,IF($S$1098=783,PR!$M$873,IF($S$1098=784,PR!$M$874,IF($S$1098=785,PR!$M$875,IF($S$1098=786,PR!$M$876,IF($S$1098=787,PR!$M$877,IF($S$1098=788,PR!$M$878,IF($S$1098=789,PR!$M$879,IF($S$1098=790,PR!$M$880,IF($S$1098=791,PR!$M$881,IF($S$1098=792,PR!$M$882,IF($S$1098=793,PR!$M$883,IF($S$1098=794,PR!$M$884,IF($S$1098=795,PR!$M$885,IF($S$1098=796,PR!$M$886,IF($S$1098=797,PR!$M$887,IF($S$1098=798,PR!$M$888,IF($S$1098=799,PR!$M$889,IF($S$1098=800,PR!$M$890,IF($S$1098=801,PR!$M$891,IF($S$1098=802,PR!$M$892,IF($S$1098=803,PR!$M$893,IF($S$1098=804,PR!$M$894,IF($S$1098=805,PR!$M$895,IF($S$1098=806,PR!$M$896,IF($S$1098=807,PR!$M$897,IF($S$1098=808,PR!$M$898,IF($S$1098=809,PR!$M$899,IF($S$1098=810,PR!$M$900,IF($S$1098=811,PR!$M$901,IF($S$1098=812,PR!$M$902,IF($S$1098=813,PR!$M$903,IF($S$1098=814,PR!$M$904,IF($S$1098=815,PR!$M$905,IF($S$1098=816,PR!$M$906,IF($S$1098=817,PR!$M$907,IF($S$1098=818,PR!$M$908,IF($S$1098=819,PR!$M$909,IF($S$1098=820,PR!$M$910,IF($S$1098=821,PR!$M$911,IF($S$1098=822,PR!$M$912,IF($S$1098=823,PR!$M$913,IF($S$1098=824,PR!$M$914,IF($S$1098=825,PR!$M$915,IF($S$1098=826,PR!$M$916,IF($S$1098=827,PR!$M$917,IF($S$1098=828,PR!$M$918,IF($S$1098=829,PR!$M$919,IF($S$1098=830,PR!$M$920,IF($S$1098=831,PR!$M$921,IF($S$1098=832,PR!$M$922,IF($S$1098=833,PR!$M$923,IF($S$1098=834,PR!$M$924,IF($S$1098=835,PR!$M$925,IF($S$1098=836,PR!$M$926,IF($S$1098=837,PR!$M$927,IF($S$1098=838,PR!$M$928,IF($S$1098=839,PR!$M$929,IF($S$1098=840,PR!$M$930,"-"))))))))))))))))))))))))))))))))))))))))))))))))))))))))))))</f>
        <v>0</v>
      </c>
      <c r="L1102" s="602">
        <f>IF($S$1098=781,PR!$N$871,IF($S$1098=782,PR!$N$872,IF($S$1098=783,PR!$N$873,IF($S$1098=784,PR!$N$874,IF($S$1098=785,PR!$N$875,IF($S$1098=786,PR!$N$876,IF($S$1098=787,PR!$N$877,IF($S$1098=788,PR!$N$878,IF($S$1098=789,PR!$N$879,IF($S$1098=790,PR!$N$880,IF($S$1098=791,PR!$N$881,IF($S$1098=792,PR!$N$882,IF($S$1098=793,PR!$N$883,IF($S$1098=794,PR!$N$884,IF($S$1098=795,PR!$N$885,IF($S$1098=796,PR!$N$886,IF($S$1098=797,PR!$N$887,IF($S$1098=798,PR!$N$888,IF($S$1098=799,PR!$N$889,IF($S$1098=800,PR!$N$890,IF($S$1098=801,PR!$N$891,IF($S$1098=802,PR!$N$892,IF($S$1098=803,PR!$N$893,IF($S$1098=804,PR!$N$894,IF($S$1098=805,PR!$N$895,IF($S$1098=806,PR!$N$896,IF($S$1098=807,PR!$N$897,IF($S$1098=808,PR!$N$898,IF($S$1098=809,PR!$N$899,IF($S$1098=810,PR!$N$900,IF($S$1098=811,PR!$N$901,IF($S$1098=812,PR!$N$902,IF($S$1098=813,PR!$N$903,IF($S$1098=814,PR!$N$904,IF($S$1098=815,PR!$N$905,IF($S$1098=816,PR!$N$906,IF($S$1098=817,PR!$N$907,IF($S$1098=818,PR!$N$908,IF($S$1098=819,PR!$N$909,IF($S$1098=820,PR!$N$910,IF($S$1098=821,PR!$N$911,IF($S$1098=822,PR!$N$912,IF($S$1098=823,PR!$N$913,IF($S$1098=824,PR!$N$914,IF($S$1098=825,PR!$N$915,IF($S$1098=826,PR!$N$916,IF($S$1098=827,PR!$N$917,IF($S$1098=828,PR!$N$918,IF($S$1098=829,PR!$N$919,IF($S$1098=830,PR!$N$920,IF($S$1098=831,PR!$N$921,IF($S$1098=832,PR!$N$922,IF($S$1098=833,PR!$N$923,IF($S$1098=834,PR!$N$924,IF($S$1098=835,PR!$N$925,IF($S$1098=836,PR!$N$926,IF($S$1098=837,PR!$N$927,IF($S$1098=838,PR!$N$928,IF($S$1098=839,PR!$N$929,IF($S$1098=840,PR!$N$930,"-"))))))))))))))))))))))))))))))))))))))))))))))))))))))))))))</f>
        <v>0</v>
      </c>
      <c r="M1102" s="602">
        <f>IF($S$1098=781,PR!$O$871,IF($S$1098=782,PR!$O$872,IF($S$1098=783,PR!$O$873,IF($S$1098=784,PR!$O$874,IF($S$1098=785,PR!$O$875,IF($S$1098=786,PR!$O$876,IF($S$1098=787,PR!$O$877,IF($S$1098=788,PR!$O$878,IF($S$1098=789,PR!$O$879,IF($S$1098=790,PR!$O$880,IF($S$1098=791,PR!$O$881,IF($S$1098=792,PR!$O$882,IF($S$1098=793,PR!$O$883,IF($S$1098=794,PR!$O$884,IF($S$1098=795,PR!$O$885,IF($S$1098=796,PR!$O$886,IF($S$1098=797,PR!$O$887,IF($S$1098=798,PR!$O$888,IF($S$1098=799,PR!$O$889,IF($S$1098=800,PR!$O$890,IF($S$1098=801,PR!$O$891,IF($S$1098=802,PR!$O$892,IF($S$1098=803,PR!$O$893,IF($S$1098=804,PR!$O$894,IF($S$1098=805,PR!$O$895,IF($S$1098=806,PR!$O$896,IF($S$1098=807,PR!$O$897,IF($S$1098=808,PR!$O$898,IF($S$1098=809,PR!$O$899,IF($S$1098=810,PR!$O$900,IF($S$1098=811,PR!$O$901,IF($S$1098=812,PR!$O$902,IF($S$1098=813,PR!$O$903,IF($S$1098=814,PR!$O$904,IF($S$1098=815,PR!$O$905,IF($S$1098=816,PR!$O$906,IF($S$1098=817,PR!$O$907,IF($S$1098=818,PR!$O$908,IF($S$1098=819,PR!$O$909,IF($S$1098=820,PR!$O$910,IF($S$1098=821,PR!$O$911,IF($S$1098=822,PR!$O$912,IF($S$1098=823,PR!$O$913,IF($S$1098=824,PR!$O$914,IF($S$1098=825,PR!$O$915,IF($S$1098=826,PR!$O$916,IF($S$1098=827,PR!$O$917,IF($S$1098=828,PR!$O$918,IF($S$1098=829,PR!$O$919,IF($S$1098=830,PR!$O$920,IF($S$1098=831,PR!$O$921,IF($S$1098=832,PR!$O$922,IF($S$1098=833,PR!$O$923,IF($S$1098=834,PR!$O$924,IF($S$1098=835,PR!$O$925,IF($S$1098=836,PR!$O$926,IF($S$1098=837,PR!$O$927,IF($S$1098=838,PR!$O$928,IF($S$1098=839,PR!$O$929,IF($S$1098=840,PR!$O$930,"-"))))))))))))))))))))))))))))))))))))))))))))))))))))))))))))</f>
        <v>0</v>
      </c>
      <c r="N1102" s="602">
        <f>IF($S$1098=781,PR!$P$871,IF($S$1098=782,PR!$P$872,IF($S$1098=783,PR!$P$873,IF($S$1098=784,PR!$P$874,IF($S$1098=785,PR!$P$875,IF($S$1098=786,PR!$P$876,IF($S$1098=787,PR!$P$877,IF($S$1098=788,PR!$P$878,IF($S$1098=789,PR!$P$879,IF($S$1098=790,PR!$P$880,IF($S$1098=791,PR!$P$881,IF($S$1098=792,PR!$P$882,IF($S$1098=793,PR!$P$883,IF($S$1098=794,PR!$P$884,IF($S$1098=795,PR!$P$885,IF($S$1098=796,PR!$P$886,IF($S$1098=797,PR!$P$887,IF($S$1098=798,PR!$P$888,IF($S$1098=799,PR!$P$889,IF($S$1098=800,PR!$P$890,IF($S$1098=801,PR!$P$891,IF($S$1098=802,PR!$P$892,IF($S$1098=803,PR!$P$893,IF($S$1098=804,PR!$P$894,IF($S$1098=805,PR!$P$895,IF($S$1098=806,PR!$P$896,IF($S$1098=807,PR!$P$897,IF($S$1098=808,PR!$P$898,IF($S$1098=809,PR!$P$899,IF($S$1098=810,PR!$P$900,IF($S$1098=811,PR!$P$901,IF($S$1098=812,PR!$P$902,IF($S$1098=813,PR!$P$903,IF($S$1098=814,PR!$P$904,IF($S$1098=815,PR!$P$905,IF($S$1098=816,PR!$P$906,IF($S$1098=817,PR!$P$907,IF($S$1098=818,PR!$P$908,IF($S$1098=819,PR!$P$909,IF($S$1098=820,PR!$P$910,IF($S$1098=821,PR!$P$911,IF($S$1098=822,PR!$P$912,IF($S$1098=823,PR!$P$913,IF($S$1098=824,PR!$P$914,IF($S$1098=825,PR!$P$915,IF($S$1098=826,PR!$P$916,IF($S$1098=827,PR!$P$917,IF($S$1098=828,PR!$P$918,IF($S$1098=829,PR!$P$919,IF($S$1098=830,PR!$P$920,IF($S$1098=831,PR!$P$921,IF($S$1098=832,PR!$P$922,IF($S$1098=833,PR!$P$923,IF($S$1098=834,PR!$P$924,IF($S$1098=835,PR!$P$925,IF($S$1098=836,PR!$P$926,IF($S$1098=837,PR!$P$927,IF($S$1098=838,PR!$P$928,IF($S$1098=839,PR!$P$929,IF($S$1098=840,PR!$P$930,"-"))))))))))))))))))))))))))))))))))))))))))))))))))))))))))))</f>
        <v>0</v>
      </c>
      <c r="O1102" s="602">
        <f>IF($S$1098=781,PR!$Q$871,IF($S$1098=782,PR!$Q$872,IF($S$1098=783,PR!$Q$873,IF($S$1098=784,PR!$Q$874,IF($S$1098=785,PR!$Q$875,IF($S$1098=786,PR!$Q$876,IF($S$1098=787,PR!$Q$877,IF($S$1098=788,PR!$Q$878,IF($S$1098=789,PR!$Q$879,IF($S$1098=790,PR!$Q$880,IF($S$1098=791,PR!$Q$881,IF($S$1098=792,PR!$Q$882,IF($S$1098=793,PR!$Q$883,IF($S$1098=794,PR!$Q$884,IF($S$1098=795,PR!$Q$885,IF($S$1098=796,PR!$Q$886,IF($S$1098=797,PR!$Q$887,IF($S$1098=798,PR!$Q$888,IF($S$1098=799,PR!$Q$889,IF($S$1098=800,PR!$Q$890,IF($S$1098=801,PR!$Q$891,IF($S$1098=802,PR!$Q$892,IF($S$1098=803,PR!$Q$893,IF($S$1098=804,PR!$Q$894,IF($S$1098=805,PR!$Q$895,IF($S$1098=806,PR!$Q$896,IF($S$1098=807,PR!$Q$897,IF($S$1098=808,PR!$Q$898,IF($S$1098=809,PR!$Q$899,IF($S$1098=810,PR!$Q$900,IF($S$1098=811,PR!$Q$901,IF($S$1098=812,PR!$Q$902,IF($S$1098=813,PR!$Q$903,IF($S$1098=814,PR!$Q$904,IF($S$1098=815,PR!$Q$905,IF($S$1098=816,PR!$Q$906,IF($S$1098=817,PR!$Q$907,IF($S$1098=818,PR!$Q$908,IF($S$1098=819,PR!$Q$909,IF($S$1098=820,PR!$Q$910,IF($S$1098=821,PR!$Q$911,IF($S$1098=822,PR!$Q$912,IF($S$1098=823,PR!$Q$913,IF($S$1098=824,PR!$Q$914,IF($S$1098=825,PR!$Q$915,IF($S$1098=826,PR!$Q$916,IF($S$1098=827,PR!$Q$917,IF($S$1098=828,PR!$Q$918,IF($S$1098=829,PR!$Q$919,IF($S$1098=830,PR!$Q$920,IF($S$1098=831,PR!$Q$921,IF($S$1098=832,PR!$Q$922,IF($S$1098=833,PR!$Q$923,IF($S$1098=834,PR!$Q$924,IF($S$1098=835,PR!$Q$925,IF($S$1098=836,PR!$Q$926,IF($S$1098=837,PR!$Q$927,IF($S$1098=838,PR!$Q$928,IF($S$1098=839,PR!$Q$929,IF($S$1098=840,PR!$Q$930,"-"))))))))))))))))))))))))))))))))))))))))))))))))))))))))))))</f>
        <v>48125</v>
      </c>
      <c r="P1102" s="602">
        <f>IF($S$1098=781,PR!$R$871,IF($S$1098=782,PR!$R$872,IF($S$1098=783,PR!$R$873,IF($S$1098=784,PR!$R$874,IF($S$1098=785,PR!$R$875,IF($S$1098=786,PR!$R$876,IF($S$1098=787,PR!$R$877,IF($S$1098=788,PR!$R$878,IF($S$1098=789,PR!$R$879,IF($S$1098=790,PR!$R$880,IF($S$1098=791,PR!$R$881,IF($S$1098=792,PR!$R$882,IF($S$1098=793,PR!$R$883,IF($S$1098=794,PR!$R$884,IF($S$1098=795,PR!$R$885,IF($S$1098=796,PR!$R$886,IF($S$1098=797,PR!$R$887,IF($S$1098=798,PR!$R$888,IF($S$1098=799,PR!$R$889,IF($S$1098=800,PR!$R$890,IF($S$1098=801,PR!$R$891,IF($S$1098=802,PR!$R$892,IF($S$1098=803,PR!$R$893,IF($S$1098=804,PR!$R$894,IF($S$1098=805,PR!$R$895,IF($S$1098=806,PR!$R$896,IF($S$1098=807,PR!$R$897,IF($S$1098=808,PR!$R$898,IF($S$1098=809,PR!$R$899,IF($S$1098=810,PR!$R$900,IF($S$1098=811,PR!$R$901,IF($S$1098=812,PR!$R$902,IF($S$1098=813,PR!$R$903,IF($S$1098=814,PR!$R$904,IF($S$1098=815,PR!$R$905,IF($S$1098=816,PR!$R$906,IF($S$1098=817,PR!$R$907,IF($S$1098=818,PR!$R$908,IF($S$1098=819,PR!$R$909,IF($S$1098=820,PR!$R$910,IF($S$1098=821,PR!$R$911,IF($S$1098=822,PR!$R$912,IF($S$1098=823,PR!$R$913,IF($S$1098=824,PR!$R$914,IF($S$1098=825,PR!$R$915,IF($S$1098=826,PR!$R$916,IF($S$1098=827,PR!$R$917,IF($S$1098=828,PR!$R$918,IF($S$1098=829,PR!$R$919,IF($S$1098=830,PR!$R$920,IF($S$1098=831,PR!$R$921,IF($S$1098=832,PR!$R$922,IF($S$1098=833,PR!$R$923,IF($S$1098=834,PR!$R$924,IF($S$1098=835,PR!$R$925,IF($S$1098=836,PR!$R$926,IF($S$1098=837,PR!$R$927,IF($S$1098=838,PR!$R$928,IF($S$1098=839,PR!$R$929,IF($S$1098=840,PR!$R$930,"-"))))))))))))))))))))))))))))))))))))))))))))))))))))))))))))</f>
        <v>0</v>
      </c>
      <c r="Q1102" s="602">
        <f>IF($S$1098=781,PR!$S$871,IF($S$1098=782,PR!$S$872,IF($S$1098=783,PR!$S$873,IF($S$1098=784,PR!$S$874,IF($S$1098=785,PR!$S$875,IF($S$1098=786,PR!$S$876,IF($S$1098=787,PR!$S$877,IF($S$1098=788,PR!$S$878,IF($S$1098=789,PR!$S$879,IF($S$1098=790,PR!$S$880,IF($S$1098=791,PR!$S$881,IF($S$1098=792,PR!$S$882,IF($S$1098=793,PR!$S$883,IF($S$1098=794,PR!$S$884,IF($S$1098=795,PR!$S$885,IF($S$1098=796,PR!$S$886,IF($S$1098=797,PR!$S$887,IF($S$1098=798,PR!$S$888,IF($S$1098=799,PR!$S$889,IF($S$1098=800,PR!$S$890,IF($S$1098=801,PR!$S$891,IF($S$1098=802,PR!$S$892,IF($S$1098=803,PR!$S$893,IF($S$1098=804,PR!$S$894,IF($S$1098=805,PR!$S$895,IF($S$1098=806,PR!$S$896,IF($S$1098=807,PR!$S$897,IF($S$1098=808,PR!$S$898,IF($S$1098=809,PR!$S$899,IF($S$1098=810,PR!$S$900,IF($S$1098=811,PR!$S$901,IF($S$1098=812,PR!$S$902,IF($S$1098=813,PR!$S$903,IF($S$1098=814,PR!$S$904,IF($S$1098=815,PR!$S$905,IF($S$1098=816,PR!$S$906,IF($S$1098=817,PR!$S$907,IF($S$1098=818,PR!$S$908,IF($S$1098=819,PR!$S$909,IF($S$1098=820,PR!$S$910,IF($S$1098=821,PR!$S$911,IF($S$1098=822,PR!$S$912,IF($S$1098=823,PR!$S$913,IF($S$1098=824,PR!$S$914,IF($S$1098=825,PR!$S$915,IF($S$1098=826,PR!$S$916,IF($S$1098=827,PR!$S$917,IF($S$1098=828,PR!$S$918,IF($S$1098=829,PR!$S$919,IF($S$1098=830,PR!$S$920,IF($S$1098=831,PR!$S$921,IF($S$1098=832,PR!$S$922,IF($S$1098=833,PR!$S$923,IF($S$1098=834,PR!$S$924,IF($S$1098=835,PR!$S$925,IF($S$1098=836,PR!$S$926,IF($S$1098=837,PR!$S$927,IF($S$1098=838,PR!$S$928,IF($S$1098=839,PR!$S$929,IF($S$1098=840,PR!$S$930,"-"))))))))))))))))))))))))))))))))))))))))))))))))))))))))))))</f>
        <v>0</v>
      </c>
      <c r="R1102" s="602">
        <f>IF($S$1098=781,PR!$T$871,IF($S$1098=782,PR!$T$872,IF($S$1098=783,PR!$T$873,IF($S$1098=784,PR!$T$874,IF($S$1098=785,PR!$T$875,IF($S$1098=786,PR!$T$876,IF($S$1098=787,PR!$T$877,IF($S$1098=788,PR!$T$878,IF($S$1098=789,PR!$T$879,IF($S$1098=790,PR!$T$880,IF($S$1098=791,PR!$T$881,IF($S$1098=792,PR!$T$882,IF($S$1098=793,PR!$T$883,IF($S$1098=794,PR!$T$884,IF($S$1098=795,PR!$T$885,IF($S$1098=796,PR!$T$886,IF($S$1098=797,PR!$T$887,IF($S$1098=798,PR!$T$888,IF($S$1098=799,PR!$T$889,IF($S$1098=800,PR!$T$890,IF($S$1098=801,PR!$T$891,IF($S$1098=802,PR!$T$892,IF($S$1098=803,PR!$T$893,IF($S$1098=804,PR!$T$894,IF($S$1098=805,PR!$T$895,IF($S$1098=806,PR!$T$896,IF($S$1098=807,PR!$T$897,IF($S$1098=808,PR!$T$898,IF($S$1098=809,PR!$T$899,IF($S$1098=810,PR!$T$900,IF($S$1098=811,PR!$T$901,IF($S$1098=812,PR!$T$902,IF($S$1098=813,PR!$T$903,IF($S$1098=814,PR!$T$904,IF($S$1098=815,PR!$T$905,IF($S$1098=816,PR!$T$906,IF($S$1098=817,PR!$T$907,IF($S$1098=818,PR!$T$908,IF($S$1098=819,PR!$T$909,IF($S$1098=820,PR!$T$910,IF($S$1098=821,PR!$T$911,IF($S$1098=822,PR!$T$912,IF($S$1098=823,PR!$T$913,IF($S$1098=824,PR!$T$914,IF($S$1098=825,PR!$T$915,IF($S$1098=826,PR!$T$916,IF($S$1098=827,PR!$T$917,IF($S$1098=828,PR!$T$918,IF($S$1098=829,PR!$T$919,IF($S$1098=830,PR!$T$920,IF($S$1098=831,PR!$T$921,IF($S$1098=832,PR!$T$922,IF($S$1098=833,PR!$T$923,IF($S$1098=834,PR!$T$924,IF($S$1098=835,PR!$T$925,IF($S$1098=836,PR!$T$926,IF($S$1098=837,PR!$T$927,IF($S$1098=838,PR!$T$928,IF($S$1098=839,PR!$T$929,IF($S$1098=840,PR!$T$930,"-"))))))))))))))))))))))))))))))))))))))))))))))))))))))))))))</f>
        <v>0</v>
      </c>
      <c r="S1102" s="602">
        <f>IF($S$1098=781,PR!$U$871,IF($S$1098=782,PR!$U$872,IF($S$1098=783,PR!$U$873,IF($S$1098=784,PR!$U$874,IF($S$1098=785,PR!$U$875,IF($S$1098=786,PR!$U$876,IF($S$1098=787,PR!$U$877,IF($S$1098=788,PR!$U$878,IF($S$1098=789,PR!$U$879,IF($S$1098=790,PR!$U$880,IF($S$1098=791,PR!$U$881,IF($S$1098=792,PR!$U$882,IF($S$1098=793,PR!$U$883,IF($S$1098=794,PR!$U$884,IF($S$1098=795,PR!$U$885,IF($S$1098=796,PR!$U$886,IF($S$1098=797,PR!$U$887,IF($S$1098=798,PR!$U$888,IF($S$1098=799,PR!$U$889,IF($S$1098=800,PR!$U$890,IF($S$1098=801,PR!$U$891,IF($S$1098=802,PR!$U$892,IF($S$1098=803,PR!$U$893,IF($S$1098=804,PR!$U$894,IF($S$1098=805,PR!$U$895,IF($S$1098=806,PR!$U$896,IF($S$1098=807,PR!$U$897,IF($S$1098=808,PR!$U$898,IF($S$1098=809,PR!$U$899,IF($S$1098=810,PR!$U$900,IF($S$1098=811,PR!$U$901,IF($S$1098=812,PR!$U$902,IF($S$1098=813,PR!$U$903,IF($S$1098=814,PR!$U$904,IF($S$1098=815,PR!$U$905,IF($S$1098=816,PR!$U$906,IF($S$1098=817,PR!$U$907,IF($S$1098=818,PR!$U$908,IF($S$1098=819,PR!$U$909,IF($S$1098=820,PR!$U$910,IF($S$1098=821,PR!$U$911,IF($S$1098=822,PR!$U$912,IF($S$1098=823,PR!$U$913,IF($S$1098=824,PR!$U$914,IF($S$1098=825,PR!$U$915,IF($S$1098=826,PR!$U$916,IF($S$1098=827,PR!$U$917,IF($S$1098=828,PR!$U$918,IF($S$1098=829,PR!$U$919,IF($S$1098=830,PR!$U$920,IF($S$1098=831,PR!$U$921,IF($S$1098=832,PR!$U$922,IF($S$1098=833,PR!$U$923,IF($S$1098=834,PR!$U$924,IF($S$1098=835,PR!$U$925,IF($S$1098=836,PR!$U$926,IF($S$1098=837,PR!$U$927,IF($S$1098=838,PR!$U$928,IF($S$1098=839,PR!$U$929,IF($S$1098=840,PR!$U$930,"-"))))))))))))))))))))))))))))))))))))))))))))))))))))))))))))</f>
        <v>0</v>
      </c>
      <c r="T1102" s="580"/>
      <c r="U1102" s="580"/>
      <c r="V1102" s="32"/>
      <c r="W1102" s="32"/>
      <c r="X1102" s="32"/>
    </row>
    <row r="1103" spans="2:24" ht="9" customHeight="1" x14ac:dyDescent="0.25">
      <c r="B1103" s="580"/>
      <c r="C1103" s="603"/>
      <c r="D1103" s="604"/>
      <c r="E1103" s="604"/>
      <c r="F1103" s="604"/>
      <c r="G1103" s="604"/>
      <c r="H1103" s="604"/>
      <c r="I1103" s="604"/>
      <c r="J1103" s="604"/>
      <c r="K1103" s="604"/>
      <c r="L1103" s="604"/>
      <c r="M1103" s="604"/>
      <c r="N1103" s="604"/>
      <c r="O1103" s="604"/>
      <c r="P1103" s="604"/>
      <c r="Q1103" s="604"/>
      <c r="R1103" s="605"/>
      <c r="S1103" s="605"/>
      <c r="T1103" s="580"/>
      <c r="U1103" s="580"/>
      <c r="V1103" s="32"/>
      <c r="W1103" s="32"/>
      <c r="X1103" s="32"/>
    </row>
    <row r="1104" spans="2:24" ht="15.75" thickBot="1" x14ac:dyDescent="0.3">
      <c r="B1104" s="580"/>
      <c r="C1104" s="600" t="str">
        <f>N!$C$21</f>
        <v>GENEITH</v>
      </c>
      <c r="D1104" s="600" t="str">
        <f>N!$C$22</f>
        <v>GINOS</v>
      </c>
      <c r="E1104" s="600" t="str">
        <f>N!$C$23</f>
        <v>GSK</v>
      </c>
      <c r="F1104" s="600" t="str">
        <f>N!$C$24</f>
        <v>GLOBORG</v>
      </c>
      <c r="G1104" s="600" t="str">
        <f>N!$C$25</f>
        <v>GOODNEWS</v>
      </c>
      <c r="H1104" s="600" t="str">
        <f>N!$C$26</f>
        <v>GREENLIFE</v>
      </c>
      <c r="I1104" s="600" t="str">
        <f>N!$C$27</f>
        <v>HLINE</v>
      </c>
      <c r="J1104" s="600" t="str">
        <f>N!$C$28</f>
        <v>ROTECH</v>
      </c>
      <c r="K1104" s="600" t="str">
        <f>N!$C$29</f>
        <v>ISN</v>
      </c>
      <c r="L1104" s="600" t="str">
        <f>N!$C$30</f>
        <v>JAWA</v>
      </c>
      <c r="M1104" s="600" t="str">
        <f>N!$C$31</f>
        <v>LAYO</v>
      </c>
      <c r="N1104" s="600" t="str">
        <f>N!$C$32</f>
        <v>LEADWAY</v>
      </c>
      <c r="O1104" s="600" t="str">
        <f>N!$C$33</f>
        <v>LHV</v>
      </c>
      <c r="P1104" s="600" t="str">
        <f>N!$C$34</f>
        <v>MANOLA</v>
      </c>
      <c r="Q1104" s="600" t="str">
        <f>N!$C$35</f>
        <v>MARCSON</v>
      </c>
      <c r="R1104" s="600" t="str">
        <f>N!$C$36</f>
        <v>M&amp;B</v>
      </c>
      <c r="S1104" s="600" t="str">
        <f>N!$C$37</f>
        <v>MTRUST</v>
      </c>
      <c r="T1104" s="580"/>
      <c r="U1104" s="580"/>
      <c r="V1104" s="32"/>
      <c r="W1104" s="32"/>
      <c r="X1104" s="32"/>
    </row>
    <row r="1105" spans="2:24" ht="15.75" thickBot="1" x14ac:dyDescent="0.3">
      <c r="B1105" s="580"/>
      <c r="C1105" s="602">
        <f>IF($S$1098=781,PR!$V$871,IF($S$1098=782,PR!$V$872,IF($S$1098=783,PR!$V$873,IF($S$1098=784,PR!$V$874,IF($S$1098=785,PR!$V$875,IF($S$1098=786,PR!$V$876,IF($S$1098=787,PR!$V$877,IF($S$1098=788,PR!$V$878,IF($S$1098=789,PR!$V$879,IF($S$1098=790,PR!$V$880,IF($S$1098=791,PR!$V$881,IF($S$1098=792,PR!$V$882,IF($S$1098=793,PR!$V$883,IF($S$1098=794,PR!$V$884,IF($S$1098=795,PR!$V$885,IF($S$1098=796,PR!$V$886,IF($S$1098=797,PR!$V$887,IF($S$1098=798,PR!$V$888,IF($S$1098=799,PR!$V$889,IF($S$1098=800,PR!$V$890,IF($S$1098=801,PR!$V$891,IF($S$1098=802,PR!$V$892,IF($S$1098=803,PR!$V$893,IF($S$1098=804,PR!$V$894,IF($S$1098=805,PR!$V$895,IF($S$1098=806,PR!$V$896,IF($S$1098=807,PR!$V$897,IF($S$1098=808,PR!$V$898,IF($S$1098=809,PR!$V$899,IF($S$1098=810,PR!$V$900,IF($S$1098=811,PR!$V$901,IF($S$1098=812,PR!$V$902,IF($S$1098=813,PR!$V$903,IF($S$1098=814,PR!$V$904,IF($S$1098=815,PR!$V$905,IF($S$1098=816,PR!$V$906,IF($S$1098=817,PR!$V$907,IF($S$1098=818,PR!$V$908,IF($S$1098=819,PR!$V$909,IF($S$1098=820,PR!$V$910,IF($S$1098=821,PR!$V$911,IF($S$1098=822,PR!$V$912,IF($S$1098=823,PR!$V$913,IF($S$1098=824,PR!$V$914,IF($S$1098=825,PR!$V$915,IF($S$1098=826,PR!$V$916,IF($S$1098=827,PR!$V$917,IF($S$1098=828,PR!$V$918,IF($S$1098=829,PR!$V$919,IF($S$1098=830,PR!$V$920,IF($S$1098=831,PR!$V$921,IF($S$1098=832,PR!$V$922,IF($S$1098=833,PR!$V$923,IF($S$1098=834,PR!$V$924,IF($S$1098=835,PR!$V$925,IF($S$1098=836,PR!$V$926,IF($S$1098=837,PR!$V$927,IF($S$1098=838,PR!$V$928,IF($S$1098=839,PR!$V$929,IF($S$1098=840,PR!$V$930,"-"))))))))))))))))))))))))))))))))))))))))))))))))))))))))))))</f>
        <v>0</v>
      </c>
      <c r="D1105" s="602">
        <f>IF($S$1098=781,PR!$W$871,IF($S$1098=782,PR!$W$872,IF($S$1098=783,PR!$W$873,IF($S$1098=784,PR!$W$874,IF($S$1098=785,PR!$W$875,IF($S$1098=786,PR!$W$876,IF($S$1098=787,PR!$W$877,IF($S$1098=788,PR!$W$878,IF($S$1098=789,PR!$W$879,IF($S$1098=790,PR!$W$880,IF($S$1098=791,PR!$W$881,IF($S$1098=792,PR!$W$882,IF($S$1098=793,PR!$W$883,IF($S$1098=794,PR!$W$884,IF($S$1098=795,PR!$W$885,IF($S$1098=796,PR!$W$886,IF($S$1098=797,PR!$W$887,IF($S$1098=798,PR!$W$888,IF($S$1098=799,PR!$W$889,IF($S$1098=800,PR!$W$890,IF($S$1098=801,PR!$W$891,IF($S$1098=802,PR!$W$892,IF($S$1098=803,PR!$W$893,IF($S$1098=804,PR!$W$894,IF($S$1098=805,PR!$W$895,IF($S$1098=806,PR!$W$896,IF($S$1098=807,PR!$W$897,IF($S$1098=808,PR!$W$898,IF($S$1098=809,PR!$W$899,IF($S$1098=810,PR!$W$900,IF($S$1098=811,PR!$W$901,IF($S$1098=812,PR!$W$902,IF($S$1098=813,PR!$W$903,IF($S$1098=814,PR!$W$904,IF($S$1098=815,PR!$W$905,IF($S$1098=816,PR!$W$906,IF($S$1098=817,PR!$W$907,IF($S$1098=818,PR!$W$908,IF($S$1098=819,PR!$W$909,IF($S$1098=820,PR!$W$910,IF($S$1098=821,PR!$W$911,IF($S$1098=822,PR!$W$912,IF($S$1098=823,PR!$W$913,IF($S$1098=824,PR!$W$914,IF($S$1098=825,PR!$W$915,IF($S$1098=826,PR!$W$916,IF($S$1098=827,PR!$W$917,IF($S$1098=828,PR!$W$918,IF($S$1098=829,PR!$W$919,IF($S$1098=830,PR!$W$920,IF($S$1098=831,PR!$W$921,IF($S$1098=832,PR!$W$922,IF($S$1098=833,PR!$W$923,IF($S$1098=834,PR!$W$924,IF($S$1098=835,PR!$W$925,IF($S$1098=836,PR!$W$926,IF($S$1098=837,PR!$W$927,IF($S$1098=838,PR!$W$928,IF($S$1098=839,PR!$W$929,IF($S$1098=840,PR!$W$930,"-"))))))))))))))))))))))))))))))))))))))))))))))))))))))))))))</f>
        <v>0</v>
      </c>
      <c r="E1105" s="602">
        <f>IF($S$1098=781,PR!$X$871,IF($S$1098=782,PR!$X$872,IF($S$1098=783,PR!$X$873,IF($S$1098=784,PR!$X$874,IF($S$1098=785,PR!$X$875,IF($S$1098=786,PR!$X$876,IF($S$1098=787,PR!$X$877,IF($S$1098=788,PR!$X$878,IF($S$1098=789,PR!$X$879,IF($S$1098=790,PR!$X$880,IF($S$1098=791,PR!$X$881,IF($S$1098=792,PR!$X$882,IF($S$1098=793,PR!$X$883,IF($S$1098=794,PR!$X$884,IF($S$1098=795,PR!$X$885,IF($S$1098=796,PR!$X$886,IF($S$1098=797,PR!$X$887,IF($S$1098=798,PR!$X$888,IF($S$1098=799,PR!$X$889,IF($S$1098=800,PR!$X$890,IF($S$1098=801,PR!$X$891,IF($S$1098=802,PR!$X$892,IF($S$1098=803,PR!$X$893,IF($S$1098=804,PR!$X$894,IF($S$1098=805,PR!$X$895,IF($S$1098=806,PR!$X$896,IF($S$1098=807,PR!$X$897,IF($S$1098=808,PR!$X$898,IF($S$1098=809,PR!$X$899,IF($S$1098=810,PR!$X$900,IF($S$1098=811,PR!$X$901,IF($S$1098=812,PR!$X$902,IF($S$1098=813,PR!$X$903,IF($S$1098=814,PR!$X$904,IF($S$1098=815,PR!$X$905,IF($S$1098=816,PR!$X$906,IF($S$1098=817,PR!$X$907,IF($S$1098=818,PR!$X$908,IF($S$1098=819,PR!$X$909,IF($S$1098=820,PR!$X$910,IF($S$1098=821,PR!$X$911,IF($S$1098=822,PR!$X$912,IF($S$1098=823,PR!$X$913,IF($S$1098=824,PR!$X$914,IF($S$1098=825,PR!$X$915,IF($S$1098=826,PR!$X$916,IF($S$1098=827,PR!$X$917,IF($S$1098=828,PR!$X$918,IF($S$1098=829,PR!$X$919,IF($S$1098=830,PR!$X$920,IF($S$1098=831,PR!$X$921,IF($S$1098=832,PR!$X$922,IF($S$1098=833,PR!$X$923,IF($S$1098=834,PR!$X$924,IF($S$1098=835,PR!$X$925,IF($S$1098=836,PR!$X$926,IF($S$1098=837,PR!$X$927,IF($S$1098=838,PR!$X$928,IF($S$1098=839,PR!$X$929,IF($S$1098=840,PR!$X$930,"-"))))))))))))))))))))))))))))))))))))))))))))))))))))))))))))</f>
        <v>0</v>
      </c>
      <c r="F1105" s="602">
        <f>IF($S$1098=781,PR!$Y$871,IF($S$1098=782,PR!$Y$872,IF($S$1098=783,PR!$Y$873,IF($S$1098=784,PR!$Y$874,IF($S$1098=785,PR!$Y$875,IF($S$1098=786,PR!$Y$876,IF($S$1098=787,PR!$Y$877,IF($S$1098=788,PR!$Y$878,IF($S$1098=789,PR!$Y$879,IF($S$1098=790,PR!$Y$880,IF($S$1098=791,PR!$Y$881,IF($S$1098=792,PR!$Y$882,IF($S$1098=793,PR!$Y$883,IF($S$1098=794,PR!$Y$884,IF($S$1098=795,PR!$Y$885,IF($S$1098=796,PR!$Y$886,IF($S$1098=797,PR!$Y$887,IF($S$1098=798,PR!$Y$888,IF($S$1098=799,PR!$Y$889,IF($S$1098=800,PR!$Y$890,IF($S$1098=801,PR!$Y$891,IF($S$1098=802,PR!$Y$892,IF($S$1098=803,PR!$Y$893,IF($S$1098=804,PR!$Y$894,IF($S$1098=805,PR!$Y$895,IF($S$1098=806,PR!$Y$896,IF($S$1098=807,PR!$Y$897,IF($S$1098=808,PR!$Y$898,IF($S$1098=809,PR!$Y$899,IF($S$1098=810,PR!$Y$900,IF($S$1098=811,PR!$Y$901,IF($S$1098=812,PR!$Y$902,IF($S$1098=813,PR!$Y$903,IF($S$1098=814,PR!$Y$904,IF($S$1098=815,PR!$Y$905,IF($S$1098=816,PR!$Y$906,IF($S$1098=817,PR!$Y$907,IF($S$1098=818,PR!$Y$908,IF($S$1098=819,PR!$Y$909,IF($S$1098=820,PR!$Y$910,IF($S$1098=821,PR!$Y$911,IF($S$1098=822,PR!$Y$912,IF($S$1098=823,PR!$Y$913,IF($S$1098=824,PR!$Y$914,IF($S$1098=825,PR!$Y$915,IF($S$1098=826,PR!$Y$916,IF($S$1098=827,PR!$Y$917,IF($S$1098=828,PR!$Y$918,IF($S$1098=829,PR!$Y$919,IF($S$1098=830,PR!$Y$920,IF($S$1098=831,PR!$Y$921,IF($S$1098=832,PR!$Y$922,IF($S$1098=833,PR!$Y$923,IF($S$1098=834,PR!$Y$924,IF($S$1098=835,PR!$Y$925,IF($S$1098=836,PR!$Y$926,IF($S$1098=837,PR!$Y$927,IF($S$1098=838,PR!$Y$928,IF($S$1098=839,PR!$Y$929,IF($S$1098=840,PR!$Y$930,"-"))))))))))))))))))))))))))))))))))))))))))))))))))))))))))))</f>
        <v>0</v>
      </c>
      <c r="G1105" s="602">
        <f>IF($S$1098=781,PR!$Z$871,IF($S$1098=782,PR!$Z$872,IF($S$1098=783,PR!$Z$873,IF($S$1098=784,PR!$Z$874,IF($S$1098=785,PR!$Z$875,IF($S$1098=786,PR!$Z$876,IF($S$1098=787,PR!$Z$877,IF($S$1098=788,PR!$Z$878,IF($S$1098=789,PR!$Z$879,IF($S$1098=790,PR!$Z$880,IF($S$1098=791,PR!$Z$881,IF($S$1098=792,PR!$Z$882,IF($S$1098=793,PR!$Z$883,IF($S$1098=794,PR!$Z$884,IF($S$1098=795,PR!$Z$885,IF($S$1098=796,PR!$Z$886,IF($S$1098=797,PR!$Z$887,IF($S$1098=798,PR!$Z$888,IF($S$1098=799,PR!$Z$889,IF($S$1098=800,PR!$Z$890,IF($S$1098=801,PR!$Z$891,IF($S$1098=802,PR!$Z$892,IF($S$1098=803,PR!$Z$893,IF($S$1098=804,PR!$Z$894,IF($S$1098=805,PR!$Z$895,IF($S$1098=806,PR!$Z$896,IF($S$1098=807,PR!$Z$897,IF($S$1098=808,PR!$Z$898,IF($S$1098=809,PR!$Z$899,IF($S$1098=810,PR!$Z$900,IF($S$1098=811,PR!$Z$901,IF($S$1098=812,PR!$Z$902,IF($S$1098=813,PR!$Z$903,IF($S$1098=814,PR!$Z$904,IF($S$1098=815,PR!$Z$905,IF($S$1098=816,PR!$Z$906,IF($S$1098=817,PR!$Z$907,IF($S$1098=818,PR!$Z$908,IF($S$1098=819,PR!$Z$909,IF($S$1098=820,PR!$Z$910,IF($S$1098=821,PR!$Z$911,IF($S$1098=822,PR!$Z$912,IF($S$1098=823,PR!$Z$913,IF($S$1098=824,PR!$Z$914,IF($S$1098=825,PR!$Z$915,IF($S$1098=826,PR!$Z$916,IF($S$1098=827,PR!$Z$917,IF($S$1098=828,PR!$Z$918,IF($S$1098=829,PR!$Z$919,IF($S$1098=830,PR!$Z$920,IF($S$1098=831,PR!$Z$921,IF($S$1098=832,PR!$Z$922,IF($S$1098=833,PR!$Z$923,IF($S$1098=834,PR!$Z$924,IF($S$1098=835,PR!$Z$925,IF($S$1098=836,PR!$Z$926,IF($S$1098=837,PR!$Z$927,IF($S$1098=838,PR!$Z$928,IF($S$1098=839,PR!$Z$929,IF($S$1098=840,PR!$Z$930,"-"))))))))))))))))))))))))))))))))))))))))))))))))))))))))))))</f>
        <v>0</v>
      </c>
      <c r="H1105" s="602">
        <f>IF($S$1098=781,PR!$AA$871,IF($S$1098=782,PR!$AA$872,IF($S$1098=783,PR!$AA$873,IF($S$1098=784,PR!$AA$874,IF($S$1098=785,PR!$AA$875,IF($S$1098=786,PR!$AA$876,IF($S$1098=787,PR!$AA$877,IF($S$1098=788,PR!$AA$878,IF($S$1098=789,PR!$AA$879,IF($S$1098=790,PR!$AA$880,IF($S$1098=791,PR!$AA$881,IF($S$1098=792,PR!$AA$882,IF($S$1098=793,PR!$AA$883,IF($S$1098=794,PR!$AA$884,IF($S$1098=795,PR!$AA$885,IF($S$1098=796,PR!$AA$886,IF($S$1098=797,PR!$AA$887,IF($S$1098=798,PR!$AA$888,IF($S$1098=799,PR!$AA$889,IF($S$1098=800,PR!$AA$890,IF($S$1098=801,PR!$AA$891,IF($S$1098=802,PR!$AA$892,IF($S$1098=803,PR!$AA$893,IF($S$1098=804,PR!$AA$894,IF($S$1098=805,PR!$AA$895,IF($S$1098=806,PR!$AA$896,IF($S$1098=807,PR!$AA$897,IF($S$1098=808,PR!$AA$898,IF($S$1098=809,PR!$AA$899,IF($S$1098=810,PR!$AA$900,IF($S$1098=811,PR!$AA$901,IF($S$1098=812,PR!$AA$902,IF($S$1098=813,PR!$AA$903,IF($S$1098=814,PR!$AA$904,IF($S$1098=815,PR!$AA$905,IF($S$1098=816,PR!$AA$906,IF($S$1098=817,PR!$AA$907,IF($S$1098=818,PR!$AA$908,IF($S$1098=819,PR!$AA$909,IF($S$1098=820,PR!$AA$910,IF($S$1098=821,PR!$AA$911,IF($S$1098=822,PR!$AA$912,IF($S$1098=823,PR!$AA$913,IF($S$1098=824,PR!$AA$914,IF($S$1098=825,PR!$AA$915,IF($S$1098=826,PR!$AA$916,IF($S$1098=827,PR!$AA$917,IF($S$1098=828,PR!$AA$918,IF($S$1098=829,PR!$AA$919,IF($S$1098=830,PR!$AA$920,IF($S$1098=831,PR!$AA$921,IF($S$1098=832,PR!$AA$922,IF($S$1098=833,PR!$AA$923,IF($S$1098=834,PR!$AA$924,IF($S$1098=835,PR!$AA$925,IF($S$1098=836,PR!$AA$926,IF($S$1098=837,PR!$AA$927,IF($S$1098=838,PR!$AA$928,IF($S$1098=839,PR!$AA$929,IF($S$1098=840,PR!$AA$930,"-"))))))))))))))))))))))))))))))))))))))))))))))))))))))))))))</f>
        <v>0</v>
      </c>
      <c r="I1105" s="602">
        <f>IF($S$1098=781,PR!$AB$871,IF($S$1098=782,PR!$AB$872,IF($S$1098=783,PR!$AB$873,IF($S$1098=784,PR!$AB$874,IF($S$1098=785,PR!$AB$875,IF($S$1098=786,PR!$AB$876,IF($S$1098=787,PR!$AB$877,IF($S$1098=788,PR!$AB$878,IF($S$1098=789,PR!$AB$879,IF($S$1098=790,PR!$AB$880,IF($S$1098=791,PR!$AB$881,IF($S$1098=792,PR!$AB$882,IF($S$1098=793,PR!$AB$883,IF($S$1098=794,PR!$AB$884,IF($S$1098=795,PR!$AB$885,IF($S$1098=796,PR!$AB$886,IF($S$1098=797,PR!$AB$887,IF($S$1098=798,PR!$AB$888,IF($S$1098=799,PR!$AB$889,IF($S$1098=800,PR!$AB$890,IF($S$1098=801,PR!$AB$891,IF($S$1098=802,PR!$AB$892,IF($S$1098=803,PR!$AB$893,IF($S$1098=804,PR!$AB$894,IF($S$1098=805,PR!$AB$895,IF($S$1098=806,PR!$AB$896,IF($S$1098=807,PR!$AB$897,IF($S$1098=808,PR!$AB$898,IF($S$1098=809,PR!$AB$899,IF($S$1098=810,PR!$AB$900,IF($S$1098=811,PR!$AB$901,IF($S$1098=812,PR!$AB$902,IF($S$1098=813,PR!$AB$903,IF($S$1098=814,PR!$AB$904,IF($S$1098=815,PR!$AB$905,IF($S$1098=816,PR!$AB$906,IF($S$1098=817,PR!$AB$907,IF($S$1098=818,PR!$AB$908,IF($S$1098=819,PR!$AB$909,IF($S$1098=820,PR!$AB$910,IF($S$1098=821,PR!$AB$911,IF($S$1098=822,PR!$AB$912,IF($S$1098=823,PR!$AB$913,IF($S$1098=824,PR!$AB$914,IF($S$1098=825,PR!$AB$915,IF($S$1098=826,PR!$AB$916,IF($S$1098=827,PR!$AB$917,IF($S$1098=828,PR!$AB$918,IF($S$1098=829,PR!$AB$919,IF($S$1098=830,PR!$AB$920,IF($S$1098=831,PR!$AB$921,IF($S$1098=832,PR!$AB$922,IF($S$1098=833,PR!$AB$923,IF($S$1098=834,PR!$AB$924,IF($S$1098=835,PR!$AB$925,IF($S$1098=836,PR!$AB$926,IF($S$1098=837,PR!$AB$927,IF($S$1098=838,PR!$AB$928,IF($S$1098=839,PR!$AB$929,IF($S$1098=840,PR!$AB$930,"-"))))))))))))))))))))))))))))))))))))))))))))))))))))))))))))</f>
        <v>0</v>
      </c>
      <c r="J1105" s="602">
        <f>IF($S$1098=781,PR!$AC$871,IF($S$1098=782,PR!$AC$872,IF($S$1098=783,PR!$AC$873,IF($S$1098=784,PR!$AC$874,IF($S$1098=785,PR!$AC$875,IF($S$1098=786,PR!$AC$876,IF($S$1098=787,PR!$AC$877,IF($S$1098=788,PR!$AC$878,IF($S$1098=789,PR!$AC$879,IF($S$1098=790,PR!$AC$880,IF($S$1098=791,PR!$AC$881,IF($S$1098=792,PR!$AC$882,IF($S$1098=793,PR!$AC$883,IF($S$1098=794,PR!$AC$884,IF($S$1098=795,PR!$AC$885,IF($S$1098=796,PR!$AC$886,IF($S$1098=797,PR!$AC$887,IF($S$1098=798,PR!$AC$888,IF($S$1098=799,PR!$AC$889,IF($S$1098=800,PR!$AC$890,IF($S$1098=801,PR!$AC$891,IF($S$1098=802,PR!$AC$892,IF($S$1098=803,PR!$AC$893,IF($S$1098=804,PR!$AC$894,IF($S$1098=805,PR!$AC$895,IF($S$1098=806,PR!$AC$896,IF($S$1098=807,PR!$AC$897,IF($S$1098=808,PR!$AC$898,IF($S$1098=809,PR!$AC$899,IF($S$1098=810,PR!$AC$900,IF($S$1098=811,PR!$AC$901,IF($S$1098=812,PR!$AC$902,IF($S$1098=813,PR!$AC$903,IF($S$1098=814,PR!$AC$904,IF($S$1098=815,PR!$AC$905,IF($S$1098=816,PR!$AC$906,IF($S$1098=817,PR!$AC$907,IF($S$1098=818,PR!$AC$908,IF($S$1098=819,PR!$AC$909,IF($S$1098=820,PR!$AC$910,IF($S$1098=821,PR!$AC$911,IF($S$1098=822,PR!$AC$912,IF($S$1098=823,PR!$AC$913,IF($S$1098=824,PR!$AC$914,IF($S$1098=825,PR!$AC$915,IF($S$1098=826,PR!$AC$916,IF($S$1098=827,PR!$AC$917,IF($S$1098=828,PR!$AC$918,IF($S$1098=829,PR!$AC$919,IF($S$1098=830,PR!$AC$920,IF($S$1098=831,PR!$AC$921,IF($S$1098=832,PR!$AC$922,IF($S$1098=833,PR!$AC$923,IF($S$1098=834,PR!$AC$924,IF($S$1098=835,PR!$AC$925,IF($S$1098=836,PR!$AC$926,IF($S$1098=837,PR!$AC$927,IF($S$1098=838,PR!$AC$928,IF($S$1098=839,PR!$AC$929,IF($S$1098=840,PR!$AC$930,"-"))))))))))))))))))))))))))))))))))))))))))))))))))))))))))))</f>
        <v>0</v>
      </c>
      <c r="K1105" s="602">
        <f>IF($S$1098=781,PR!$AD$871,IF($S$1098=782,PR!$AD$872,IF($S$1098=783,PR!$AD$873,IF($S$1098=784,PR!$AD$874,IF($S$1098=785,PR!$AD$875,IF($S$1098=786,PR!$AD$876,IF($S$1098=787,PR!$AD$877,IF($S$1098=788,PR!$AD$878,IF($S$1098=789,PR!$AD$879,IF($S$1098=790,PR!$AD$880,IF($S$1098=791,PR!$AD$881,IF($S$1098=792,PR!$AD$882,IF($S$1098=793,PR!$AD$883,IF($S$1098=794,PR!$AD$884,IF($S$1098=795,PR!$AD$885,IF($S$1098=796,PR!$AD$886,IF($S$1098=797,PR!$AD$887,IF($S$1098=798,PR!$AD$888,IF($S$1098=799,PR!$AD$889,IF($S$1098=800,PR!$AD$890,IF($S$1098=801,PR!$AD$891,IF($S$1098=802,PR!$AD$892,IF($S$1098=803,PR!$AD$893,IF($S$1098=804,PR!$AD$894,IF($S$1098=805,PR!$AD$895,IF($S$1098=806,PR!$AD$896,IF($S$1098=807,PR!$AD$897,IF($S$1098=808,PR!$AD$898,IF($S$1098=809,PR!$AD$899,IF($S$1098=810,PR!$AD$900,IF($S$1098=811,PR!$AD$901,IF($S$1098=812,PR!$AD$902,IF($S$1098=813,PR!$AD$903,IF($S$1098=814,PR!$AD$904,IF($S$1098=815,PR!$AD$905,IF($S$1098=816,PR!$AD$906,IF($S$1098=817,PR!$AD$907,IF($S$1098=818,PR!$AD$908,IF($S$1098=819,PR!$AD$909,IF($S$1098=820,PR!$AD$910,IF($S$1098=821,PR!$AD$911,IF($S$1098=822,PR!$AD$912,IF($S$1098=823,PR!$AD$913,IF($S$1098=824,PR!$AD$914,IF($S$1098=825,PR!$AD$915,IF($S$1098=826,PR!$AD$916,IF($S$1098=827,PR!$AD$917,IF($S$1098=828,PR!$AD$918,IF($S$1098=829,PR!$AD$919,IF($S$1098=830,PR!$AD$920,IF($S$1098=831,PR!$AD$921,IF($S$1098=832,PR!$AD$922,IF($S$1098=833,PR!$AD$923,IF($S$1098=834,PR!$AD$924,IF($S$1098=835,PR!$AD$925,IF($S$1098=836,PR!$AD$926,IF($S$1098=837,PR!$AD$927,IF($S$1098=838,PR!$AD$928,IF($S$1098=839,PR!$AD$929,IF($S$1098=840,PR!$AD$930,"-"))))))))))))))))))))))))))))))))))))))))))))))))))))))))))))</f>
        <v>0</v>
      </c>
      <c r="L1105" s="602">
        <f>IF($S$1098=781,PR!$AE$871,IF($S$1098=782,PR!$AE$872,IF($S$1098=783,PR!$AE$873,IF($S$1098=784,PR!$AE$874,IF($S$1098=785,PR!$AE$875,IF($S$1098=786,PR!$AE$876,IF($S$1098=787,PR!$AE$877,IF($S$1098=788,PR!$AE$878,IF($S$1098=789,PR!$AE$879,IF($S$1098=790,PR!$AE$880,IF($S$1098=791,PR!$AE$881,IF($S$1098=792,PR!$AE$882,IF($S$1098=793,PR!$AE$883,IF($S$1098=794,PR!$AE$884,IF($S$1098=795,PR!$AE$885,IF($S$1098=796,PR!$AE$886,IF($S$1098=797,PR!$AE$887,IF($S$1098=798,PR!$AE$888,IF($S$1098=799,PR!$AE$889,IF($S$1098=800,PR!$AE$890,IF($S$1098=801,PR!$AE$891,IF($S$1098=802,PR!$AE$892,IF($S$1098=803,PR!$AE$893,IF($S$1098=804,PR!$AE$894,IF($S$1098=805,PR!$AE$895,IF($S$1098=806,PR!$AE$896,IF($S$1098=807,PR!$AE$897,IF($S$1098=808,PR!$AE$898,IF($S$1098=809,PR!$AE$899,IF($S$1098=810,PR!$AE$900,IF($S$1098=811,PR!$AE$901,IF($S$1098=812,PR!$AE$902,IF($S$1098=813,PR!$AE$903,IF($S$1098=814,PR!$AE$904,IF($S$1098=815,PR!$AE$905,IF($S$1098=816,PR!$AE$906,IF($S$1098=817,PR!$AE$907,IF($S$1098=818,PR!$AE$908,IF($S$1098=819,PR!$AE$909,IF($S$1098=820,PR!$AE$910,IF($S$1098=821,PR!$AE$911,IF($S$1098=822,PR!$AE$912,IF($S$1098=823,PR!$AE$913,IF($S$1098=824,PR!$AE$914,IF($S$1098=825,PR!$AE$915,IF($S$1098=826,PR!$AE$916,IF($S$1098=827,PR!$AE$917,IF($S$1098=828,PR!$AE$918,IF($S$1098=829,PR!$AE$919,IF($S$1098=830,PR!$AE$920,IF($S$1098=831,PR!$AE$921,IF($S$1098=832,PR!$AE$922,IF($S$1098=833,PR!$AE$923,IF($S$1098=834,PR!$AE$924,IF($S$1098=835,PR!$AE$925,IF($S$1098=836,PR!$AE$926,IF($S$1098=837,PR!$AE$927,IF($S$1098=838,PR!$AE$928,IF($S$1098=839,PR!$AE$929,IF($S$1098=840,PR!$AE$930,"-"))))))))))))))))))))))))))))))))))))))))))))))))))))))))))))</f>
        <v>0</v>
      </c>
      <c r="M1105" s="602">
        <f>IF($S$1098=781,PR!$AF$871,IF($S$1098=782,PR!$AF$872,IF($S$1098=783,PR!$AF$873,IF($S$1098=784,PR!$AF$874,IF($S$1098=785,PR!$AF$875,IF($S$1098=786,PR!$AF$876,IF($S$1098=787,PR!$AF$877,IF($S$1098=788,PR!$AF$878,IF($S$1098=789,PR!$AF$879,IF($S$1098=790,PR!$AF$880,IF($S$1098=791,PR!$AF$881,IF($S$1098=792,PR!$AF$882,IF($S$1098=793,PR!$AF$883,IF($S$1098=794,PR!$AF$884,IF($S$1098=795,PR!$AF$885,IF($S$1098=796,PR!$AF$886,IF($S$1098=797,PR!$AF$887,IF($S$1098=798,PR!$AF$888,IF($S$1098=799,PR!$AF$889,IF($S$1098=800,PR!$AF$890,IF($S$1098=801,PR!$AF$891,IF($S$1098=802,PR!$AF$892,IF($S$1098=803,PR!$AF$893,IF($S$1098=804,PR!$AF$894,IF($S$1098=805,PR!$AF$895,IF($S$1098=806,PR!$AF$896,IF($S$1098=807,PR!$AF$897,IF($S$1098=808,PR!$AF$898,IF($S$1098=809,PR!$AF$899,IF($S$1098=810,PR!$AF$900,IF($S$1098=811,PR!$AF$901,IF($S$1098=812,PR!$AF$902,IF($S$1098=813,PR!$AF$903,IF($S$1098=814,PR!$AF$904,IF($S$1098=815,PR!$AF$905,IF($S$1098=816,PR!$AF$906,IF($S$1098=817,PR!$AF$907,IF($S$1098=818,PR!$AF$908,IF($S$1098=819,PR!$AF$909,IF($S$1098=820,PR!$AF$910,IF($S$1098=821,PR!$AF$911,IF($S$1098=822,PR!$AF$912,IF($S$1098=823,PR!$AF$913,IF($S$1098=824,PR!$AF$914,IF($S$1098=825,PR!$AF$915,IF($S$1098=826,PR!$AF$916,IF($S$1098=827,PR!$AF$917,IF($S$1098=828,PR!$AF$918,IF($S$1098=829,PR!$AF$919,IF($S$1098=830,PR!$AF$920,IF($S$1098=831,PR!$AF$921,IF($S$1098=832,PR!$AF$922,IF($S$1098=833,PR!$AF$923,IF($S$1098=834,PR!$AF$924,IF($S$1098=835,PR!$AF$925,IF($S$1098=836,PR!$AF$926,IF($S$1098=837,PR!$AF$927,IF($S$1098=838,PR!$AF$928,IF($S$1098=839,PR!$AF$929,IF($S$1098=840,PR!$AF$930,"-"))))))))))))))))))))))))))))))))))))))))))))))))))))))))))))</f>
        <v>52000</v>
      </c>
      <c r="N1105" s="602">
        <f>IF($S$1098=781,PR!$AG$871,IF($S$1098=782,PR!$AG$872,IF($S$1098=783,PR!$AG$873,IF($S$1098=784,PR!$AG$874,IF($S$1098=785,PR!$AG$875,IF($S$1098=786,PR!$AG$876,IF($S$1098=787,PR!$AG$877,IF($S$1098=788,PR!$AG$878,IF($S$1098=789,PR!$AG$879,IF($S$1098=790,PR!$AG$880,IF($S$1098=791,PR!$AG$881,IF($S$1098=792,PR!$AG$882,IF($S$1098=793,PR!$AG$883,IF($S$1098=794,PR!$AG$884,IF($S$1098=795,PR!$AG$885,IF($S$1098=796,PR!$AG$886,IF($S$1098=797,PR!$AG$887,IF($S$1098=798,PR!$AG$888,IF($S$1098=799,PR!$AG$889,IF($S$1098=800,PR!$AG$890,IF($S$1098=801,PR!$AG$891,IF($S$1098=802,PR!$AG$892,IF($S$1098=803,PR!$AG$893,IF($S$1098=804,PR!$AG$894,IF($S$1098=805,PR!$AG$895,IF($S$1098=806,PR!$AG$896,IF($S$1098=807,PR!$AG$897,IF($S$1098=808,PR!$AG$898,IF($S$1098=809,PR!$AG$899,IF($S$1098=810,PR!$AG$900,IF($S$1098=811,PR!$AG$901,IF($S$1098=812,PR!$AG$902,IF($S$1098=813,PR!$AG$903,IF($S$1098=814,PR!$AG$904,IF($S$1098=815,PR!$AG$905,IF($S$1098=816,PR!$AG$906,IF($S$1098=817,PR!$AG$907,IF($S$1098=818,PR!$AG$908,IF($S$1098=819,PR!$AG$909,IF($S$1098=820,PR!$AG$910,IF($S$1098=821,PR!$AG$911,IF($S$1098=822,PR!$AG$912,IF($S$1098=823,PR!$AG$913,IF($S$1098=824,PR!$AG$914,IF($S$1098=825,PR!$AG$915,IF($S$1098=826,PR!$AG$916,IF($S$1098=827,PR!$AG$917,IF($S$1098=828,PR!$AG$918,IF($S$1098=829,PR!$AG$919,IF($S$1098=830,PR!$AG$920,IF($S$1098=831,PR!$AG$921,IF($S$1098=832,PR!$AG$922,IF($S$1098=833,PR!$AG$923,IF($S$1098=834,PR!$AG$924,IF($S$1098=835,PR!$AG$925,IF($S$1098=836,PR!$AG$926,IF($S$1098=837,PR!$AG$927,IF($S$1098=838,PR!$AG$928,IF($S$1098=839,PR!$AG$929,IF($S$1098=840,PR!$AG$930,"-"))))))))))))))))))))))))))))))))))))))))))))))))))))))))))))</f>
        <v>0</v>
      </c>
      <c r="O1105" s="602">
        <f>IF($S$1098=781,PR!$AH$871,IF($S$1098=782,PR!$AH$872,IF($S$1098=783,PR!$AH$873,IF($S$1098=784,PR!$AH$874,IF($S$1098=785,PR!$AH$875,IF($S$1098=786,PR!$AH$876,IF($S$1098=787,PR!$AH$877,IF($S$1098=788,PR!$AH$878,IF($S$1098=789,PR!$AH$879,IF($S$1098=790,PR!$AH$880,IF($S$1098=791,PR!$AH$881,IF($S$1098=792,PR!$AH$882,IF($S$1098=793,PR!$AH$883,IF($S$1098=794,PR!$AH$884,IF($S$1098=795,PR!$AH$885,IF($S$1098=796,PR!$AH$886,IF($S$1098=797,PR!$AH$887,IF($S$1098=798,PR!$AH$888,IF($S$1098=799,PR!$AH$889,IF($S$1098=800,PR!$AH$890,IF($S$1098=801,PR!$AH$891,IF($S$1098=802,PR!$AH$892,IF($S$1098=803,PR!$AH$893,IF($S$1098=804,PR!$AH$894,IF($S$1098=805,PR!$AH$895,IF($S$1098=806,PR!$AH$896,IF($S$1098=807,PR!$AH$897,IF($S$1098=808,PR!$AH$898,IF($S$1098=809,PR!$AH$899,IF($S$1098=810,PR!$AH$900,IF($S$1098=811,PR!$AH$901,IF($S$1098=812,PR!$AH$902,IF($S$1098=813,PR!$AH$903,IF($S$1098=814,PR!$AH$904,IF($S$1098=815,PR!$AH$905,IF($S$1098=816,PR!$AH$906,IF($S$1098=817,PR!$AH$907,IF($S$1098=818,PR!$AH$908,IF($S$1098=819,PR!$AH$909,IF($S$1098=820,PR!$AH$910,IF($S$1098=821,PR!$AH$911,IF($S$1098=822,PR!$AH$912,IF($S$1098=823,PR!$AH$913,IF($S$1098=824,PR!$AH$914,IF($S$1098=825,PR!$AH$915,IF($S$1098=826,PR!$AH$916,IF($S$1098=827,PR!$AH$917,IF($S$1098=828,PR!$AH$918,IF($S$1098=829,PR!$AH$919,IF($S$1098=830,PR!$AH$920,IF($S$1098=831,PR!$AH$921,IF($S$1098=832,PR!$AH$922,IF($S$1098=833,PR!$AH$923,IF($S$1098=834,PR!$AH$924,IF($S$1098=835,PR!$AH$925,IF($S$1098=836,PR!$AH$926,IF($S$1098=837,PR!$AH$927,IF($S$1098=838,PR!$AH$928,IF($S$1098=839,PR!$AH$929,IF($S$1098=840,PR!$AH$930,"-"))))))))))))))))))))))))))))))))))))))))))))))))))))))))))))</f>
        <v>0</v>
      </c>
      <c r="P1105" s="602">
        <f>IF($S$1098=781,PR!$AI$871,IF($S$1098=782,PR!$AI$872,IF($S$1098=783,PR!$AI$873,IF($S$1098=784,PR!$AI$874,IF($S$1098=785,PR!$AI$875,IF($S$1098=786,PR!$AI$876,IF($S$1098=787,PR!$AI$877,IF($S$1098=788,PR!$AI$878,IF($S$1098=789,PR!$AI$879,IF($S$1098=790,PR!$AI$880,IF($S$1098=791,PR!$AI$881,IF($S$1098=792,PR!$AI$882,IF($S$1098=793,PR!$AI$883,IF($S$1098=794,PR!$AI$884,IF($S$1098=795,PR!$AI$885,IF($S$1098=796,PR!$AI$886,IF($S$1098=797,PR!$AI$887,IF($S$1098=798,PR!$AI$888,IF($S$1098=799,PR!$AI$889,IF($S$1098=800,PR!$AI$890,IF($S$1098=801,PR!$AI$891,IF($S$1098=802,PR!$AI$892,IF($S$1098=803,PR!$AI$893,IF($S$1098=804,PR!$AI$894,IF($S$1098=805,PR!$AI$895,IF($S$1098=806,PR!$AI$896,IF($S$1098=807,PR!$AI$897,IF($S$1098=808,PR!$AI$898,IF($S$1098=809,PR!$AI$899,IF($S$1098=810,PR!$AI$900,IF($S$1098=811,PR!$AI$901,IF($S$1098=812,PR!$AI$902,IF($S$1098=813,PR!$AI$903,IF($S$1098=814,PR!$AI$904,IF($S$1098=815,PR!$AI$905,IF($S$1098=816,PR!$AI$906,IF($S$1098=817,PR!$AI$907,IF($S$1098=818,PR!$AI$908,IF($S$1098=819,PR!$AI$909,IF($S$1098=820,PR!$AI$910,IF($S$1098=821,PR!$AI$911,IF($S$1098=822,PR!$AI$912,IF($S$1098=823,PR!$AI$913,IF($S$1098=824,PR!$AI$914,IF($S$1098=825,PR!$AI$915,IF($S$1098=826,PR!$AI$916,IF($S$1098=827,PR!$AI$917,IF($S$1098=828,PR!$AI$918,IF($S$1098=829,PR!$AI$919,IF($S$1098=830,PR!$AI$920,IF($S$1098=831,PR!$AI$921,IF($S$1098=832,PR!$AI$922,IF($S$1098=833,PR!$AI$923,IF($S$1098=834,PR!$AI$924,IF($S$1098=835,PR!$AI$925,IF($S$1098=836,PR!$AI$926,IF($S$1098=837,PR!$AI$927,IF($S$1098=838,PR!$AI$928,IF($S$1098=839,PR!$AI$929,IF($S$1098=840,PR!$AI$930,"-"))))))))))))))))))))))))))))))))))))))))))))))))))))))))))))</f>
        <v>0</v>
      </c>
      <c r="Q1105" s="602">
        <f>IF($S$1098=781,PR!$AJ$871,IF($S$1098=782,PR!$AJ$872,IF($S$1098=783,PR!$AJ$873,IF($S$1098=784,PR!$AJ$874,IF($S$1098=785,PR!$AJ$875,IF($S$1098=786,PR!$AJ$876,IF($S$1098=787,PR!$AJ$877,IF($S$1098=788,PR!$AJ$878,IF($S$1098=789,PR!$AJ$879,IF($S$1098=790,PR!$AJ$880,IF($S$1098=791,PR!$AJ$881,IF($S$1098=792,PR!$AJ$882,IF($S$1098=793,PR!$AJ$883,IF($S$1098=794,PR!$AJ$884,IF($S$1098=795,PR!$AJ$885,IF($S$1098=796,PR!$AJ$886,IF($S$1098=797,PR!$AJ$887,IF($S$1098=798,PR!$AJ$888,IF($S$1098=799,PR!$AJ$889,IF($S$1098=800,PR!$AJ$890,IF($S$1098=801,PR!$AJ$891,IF($S$1098=802,PR!$AJ$892,IF($S$1098=803,PR!$AJ$893,IF($S$1098=804,PR!$AJ$894,IF($S$1098=805,PR!$AJ$895,IF($S$1098=806,PR!$AJ$896,IF($S$1098=807,PR!$AJ$897,IF($S$1098=808,PR!$AJ$898,IF($S$1098=809,PR!$AJ$899,IF($S$1098=810,PR!$AJ$900,IF($S$1098=811,PR!$AJ$901,IF($S$1098=812,PR!$AJ$902,IF($S$1098=813,PR!$AJ$903,IF($S$1098=814,PR!$AJ$904,IF($S$1098=815,PR!$AJ$905,IF($S$1098=816,PR!$AJ$906,IF($S$1098=817,PR!$AJ$907,IF($S$1098=818,PR!$AJ$908,IF($S$1098=819,PR!$AJ$909,IF($S$1098=820,PR!$AJ$910,IF($S$1098=821,PR!$AJ$911,IF($S$1098=822,PR!$AJ$912,IF($S$1098=823,PR!$AJ$913,IF($S$1098=824,PR!$AJ$914,IF($S$1098=825,PR!$AJ$915,IF($S$1098=826,PR!$AJ$916,IF($S$1098=827,PR!$AJ$917,IF($S$1098=828,PR!$AJ$918,IF($S$1098=829,PR!$AJ$919,IF($S$1098=830,PR!$AJ$920,IF($S$1098=831,PR!$AJ$921,IF($S$1098=832,PR!$AJ$922,IF($S$1098=833,PR!$AJ$923,IF($S$1098=834,PR!$AJ$924,IF($S$1098=835,PR!$AJ$925,IF($S$1098=836,PR!$AJ$926,IF($S$1098=837,PR!$AJ$927,IF($S$1098=838,PR!$AJ$928,IF($S$1098=839,PR!$AJ$929,IF($S$1098=840,PR!$AJ$930,"-"))))))))))))))))))))))))))))))))))))))))))))))))))))))))))))</f>
        <v>0</v>
      </c>
      <c r="R1105" s="602">
        <f>IF($S$1098=781,PR!$AK$871,IF($S$1098=782,PR!$AK$872,IF($S$1098=783,PR!$AK$873,IF($S$1098=784,PR!$AK$874,IF($S$1098=785,PR!$AK$875,IF($S$1098=786,PR!$AK$876,IF($S$1098=787,PR!$AK$877,IF($S$1098=788,PR!$AK$878,IF($S$1098=789,PR!$AK$879,IF($S$1098=790,PR!$AK$880,IF($S$1098=791,PR!$AK$881,IF($S$1098=792,PR!$AK$882,IF($S$1098=793,PR!$AK$883,IF($S$1098=794,PR!$AK$884,IF($S$1098=795,PR!$AK$885,IF($S$1098=796,PR!$AK$886,IF($S$1098=797,PR!$AK$887,IF($S$1098=798,PR!$AK$888,IF($S$1098=799,PR!$AK$889,IF($S$1098=800,PR!$AK$890,IF($S$1098=801,PR!$AK$891,IF($S$1098=802,PR!$AK$892,IF($S$1098=803,PR!$AK$893,IF($S$1098=804,PR!$AK$894,IF($S$1098=805,PR!$AK$895,IF($S$1098=806,PR!$AK$896,IF($S$1098=807,PR!$AK$897,IF($S$1098=808,PR!$AK$898,IF($S$1098=809,PR!$AK$899,IF($S$1098=810,PR!$AK$900,IF($S$1098=811,PR!$AK$901,IF($S$1098=812,PR!$AK$902,IF($S$1098=813,PR!$AK$903,IF($S$1098=814,PR!$AK$904,IF($S$1098=815,PR!$AK$905,IF($S$1098=816,PR!$AK$906,IF($S$1098=817,PR!$AK$907,IF($S$1098=818,PR!$AK$908,IF($S$1098=819,PR!$AK$909,IF($S$1098=820,PR!$AK$910,IF($S$1098=821,PR!$AK$911,IF($S$1098=822,PR!$AK$912,IF($S$1098=823,PR!$AK$913,IF($S$1098=824,PR!$AK$914,IF($S$1098=825,PR!$AK$915,IF($S$1098=826,PR!$AK$916,IF($S$1098=827,PR!$AK$917,IF($S$1098=828,PR!$AK$918,IF($S$1098=829,PR!$AK$919,IF($S$1098=830,PR!$AK$920,IF($S$1098=831,PR!$AK$921,IF($S$1098=832,PR!$AK$922,IF($S$1098=833,PR!$AK$923,IF($S$1098=834,PR!$AK$924,IF($S$1098=835,PR!$AK$925,IF($S$1098=836,PR!$AK$926,IF($S$1098=837,PR!$AK$927,IF($S$1098=838,PR!$AK$928,IF($S$1098=839,PR!$AK$929,IF($S$1098=840,PR!$AK$930,"-"))))))))))))))))))))))))))))))))))))))))))))))))))))))))))))</f>
        <v>0</v>
      </c>
      <c r="S1105" s="602">
        <f>IF($S$1098=781,PR!$AL$871,IF($S$1098=782,PR!$AL$872,IF($S$1098=783,PR!$AL$873,IF($S$1098=784,PR!$AL$874,IF($S$1098=785,PR!$AL$875,IF($S$1098=786,PR!$AL$876,IF($S$1098=787,PR!$AL$877,IF($S$1098=788,PR!$AL$878,IF($S$1098=789,PR!$AL$879,IF($S$1098=790,PR!$AL$880,IF($S$1098=791,PR!$AL$881,IF($S$1098=792,PR!$AL$882,IF($S$1098=793,PR!$AL$883,IF($S$1098=794,PR!$AL$884,IF($S$1098=795,PR!$AL$885,IF($S$1098=796,PR!$AL$886,IF($S$1098=797,PR!$AL$887,IF($S$1098=798,PR!$AL$888,IF($S$1098=799,PR!$AL$889,IF($S$1098=800,PR!$AL$890,IF($S$1098=801,PR!$AL$891,IF($S$1098=802,PR!$AL$892,IF($S$1098=803,PR!$AL$893,IF($S$1098=804,PR!$AL$894,IF($S$1098=805,PR!$AL$895,IF($S$1098=806,PR!$AL$896,IF($S$1098=807,PR!$AL$897,IF($S$1098=808,PR!$AL$898,IF($S$1098=809,PR!$AL$899,IF($S$1098=810,PR!$AL$900,IF($S$1098=811,PR!$AL$901,IF($S$1098=812,PR!$AL$902,IF($S$1098=813,PR!$AL$903,IF($S$1098=814,PR!$AL$904,IF($S$1098=815,PR!$AL$905,IF($S$1098=816,PR!$AL$906,IF($S$1098=817,PR!$AL$907,IF($S$1098=818,PR!$AL$908,IF($S$1098=819,PR!$AL$909,IF($S$1098=820,PR!$AL$910,IF($S$1098=821,PR!$AL$911,IF($S$1098=822,PR!$AL$912,IF($S$1098=823,PR!$AL$913,IF($S$1098=824,PR!$AL$914,IF($S$1098=825,PR!$AL$915,IF($S$1098=826,PR!$AL$916,IF($S$1098=827,PR!$AL$917,IF($S$1098=828,PR!$AL$918,IF($S$1098=829,PR!$AL$919,IF($S$1098=830,PR!$AL$920,IF($S$1098=831,PR!$AL$921,IF($S$1098=832,PR!$AL$922,IF($S$1098=833,PR!$AL$923,IF($S$1098=834,PR!$AL$924,IF($S$1098=835,PR!$AL$925,IF($S$1098=836,PR!$AL$926,IF($S$1098=837,PR!$AL$927,IF($S$1098=838,PR!$AL$928,IF($S$1098=839,PR!$AL$929,IF($S$1098=840,PR!$AL$930,"-"))))))))))))))))))))))))))))))))))))))))))))))))))))))))))))</f>
        <v>0</v>
      </c>
      <c r="T1105" s="580"/>
      <c r="U1105" s="580"/>
      <c r="V1105" s="32"/>
      <c r="W1105" s="32"/>
      <c r="X1105" s="32"/>
    </row>
    <row r="1106" spans="2:24" ht="11.25" customHeight="1" x14ac:dyDescent="0.25">
      <c r="B1106" s="580"/>
      <c r="C1106" s="603"/>
      <c r="D1106" s="604"/>
      <c r="E1106" s="604"/>
      <c r="F1106" s="604"/>
      <c r="G1106" s="604"/>
      <c r="H1106" s="604"/>
      <c r="I1106" s="604"/>
      <c r="J1106" s="604"/>
      <c r="K1106" s="604"/>
      <c r="L1106" s="604"/>
      <c r="M1106" s="604"/>
      <c r="N1106" s="604"/>
      <c r="O1106" s="604"/>
      <c r="P1106" s="604"/>
      <c r="Q1106" s="604"/>
      <c r="R1106" s="606"/>
      <c r="S1106" s="606"/>
      <c r="T1106" s="580"/>
      <c r="U1106" s="580"/>
      <c r="V1106" s="32"/>
      <c r="W1106" s="32"/>
      <c r="X1106" s="32"/>
    </row>
    <row r="1107" spans="2:24" ht="15.75" thickBot="1" x14ac:dyDescent="0.3">
      <c r="B1107" s="580"/>
      <c r="C1107" s="600" t="str">
        <f>N!$C$38</f>
        <v>MWORLD</v>
      </c>
      <c r="D1107" s="600" t="str">
        <f>N!$C$39</f>
        <v>MEGA</v>
      </c>
      <c r="E1107" s="600" t="str">
        <f>N!$C$40</f>
        <v>MICRONOVA</v>
      </c>
      <c r="F1107" s="600" t="str">
        <f>N!$C$41</f>
        <v>MFLASH</v>
      </c>
      <c r="G1107" s="600" t="str">
        <f>N!$C$42</f>
        <v>MORISON</v>
      </c>
      <c r="H1107" s="600" t="str">
        <f>N!$C$43</f>
        <v>NEMEL</v>
      </c>
      <c r="I1107" s="600" t="str">
        <f>N!$C$44</f>
        <v>NHP</v>
      </c>
      <c r="J1107" s="600" t="str">
        <f>N!$C$45</f>
        <v>NHC</v>
      </c>
      <c r="K1107" s="600" t="str">
        <f>N!$C$46</f>
        <v>OLEAF</v>
      </c>
      <c r="L1107" s="600" t="str">
        <f>N!$C$47</f>
        <v>OCULUS</v>
      </c>
      <c r="M1107" s="600" t="str">
        <f>N!$C$48</f>
        <v>PACIFIC</v>
      </c>
      <c r="N1107" s="600" t="str">
        <f>N!$C$49</f>
        <v>PHAMATEX</v>
      </c>
      <c r="O1107" s="600" t="str">
        <f>N!$C$50</f>
        <v>PETHICS</v>
      </c>
      <c r="P1107" s="600" t="str">
        <f>N!$C$51</f>
        <v>PHILIPS</v>
      </c>
      <c r="Q1107" s="600" t="str">
        <f>N!$C$52</f>
        <v>RANBAXY</v>
      </c>
      <c r="R1107" s="600" t="str">
        <f>N!$C$53</f>
        <v>REALS</v>
      </c>
      <c r="S1107" s="600" t="str">
        <f>N!$C$54</f>
        <v>ROYAL</v>
      </c>
      <c r="T1107" s="580"/>
      <c r="U1107" s="580"/>
      <c r="V1107" s="32"/>
      <c r="W1107" s="32"/>
      <c r="X1107" s="32"/>
    </row>
    <row r="1108" spans="2:24" ht="15.75" thickBot="1" x14ac:dyDescent="0.3">
      <c r="B1108" s="580"/>
      <c r="C1108" s="602">
        <f>IF($S$1098=781,PR!$AM$871,IF($S$1098=782,PR!$AM$872,IF($S$1098=783,PR!$AM$873,IF($S$1098=784,PR!$AM$874,IF($S$1098=785,PR!$AM$875,IF($S$1098=786,PR!$AM$876,IF($S$1098=787,PR!$AM$877,IF($S$1098=788,PR!$AM$878,IF($S$1098=789,PR!$AM$879,IF($S$1098=790,PR!$AM$880,IF($S$1098=791,PR!$AM$881,IF($S$1098=792,PR!$AM$882,IF($S$1098=793,PR!$AM$883,IF($S$1098=794,PR!$AM$884,IF($S$1098=795,PR!$AM$885,IF($S$1098=796,PR!$AM$886,IF($S$1098=797,PR!$AM$887,IF($S$1098=798,PR!$AM$888,IF($S$1098=799,PR!$AM$889,IF($S$1098=800,PR!$AM$890,IF($S$1098=801,PR!$AM$891,IF($S$1098=802,PR!$AM$892,IF($S$1098=803,PR!$AM$893,IF($S$1098=804,PR!$AM$894,IF($S$1098=805,PR!$AM$895,IF($S$1098=806,PR!$AM$896,IF($S$1098=807,PR!$AM$897,IF($S$1098=808,PR!$AM$898,IF($S$1098=809,PR!$AM$899,IF($S$1098=810,PR!$AM$900,IF($S$1098=811,PR!$AM$901,IF($S$1098=812,PR!$AM$902,IF($S$1098=813,PR!$AM$903,IF($S$1098=814,PR!$AM$904,IF($S$1098=815,PR!$AM$905,IF($S$1098=816,PR!$AM$906,IF($S$1098=817,PR!$AM$907,IF($S$1098=818,PR!$AM$908,IF($S$1098=819,PR!$AM$909,IF($S$1098=820,PR!$AM$910,IF($S$1098=821,PR!$AM$911,IF($S$1098=822,PR!$AM$912,IF($S$1098=823,PR!$AM$913,IF($S$1098=824,PR!$AM$914,IF($S$1098=825,PR!$AM$915,IF($S$1098=826,PR!$AM$916,IF($S$1098=827,PR!$AM$917,IF($S$1098=828,PR!$AM$918,IF($S$1098=829,PR!$AM$919,IF($S$1098=830,PR!$AM$920,IF($S$1098=831,PR!$AM$921,IF($S$1098=832,PR!$AM$922,IF($S$1098=833,PR!$AM$923,IF($S$1098=834,PR!$AM$924,IF($S$1098=835,PR!$AM$925,IF($S$1098=836,PR!$AM$926,IF($S$1098=837,PR!$AM$927,IF($S$1098=838,PR!$AM$928,IF($S$1098=839,PR!$AM$929,IF($S$1098=840,PR!$AM$930,"-"))))))))))))))))))))))))))))))))))))))))))))))))))))))))))))</f>
        <v>0</v>
      </c>
      <c r="D1108" s="602">
        <f>IF($S$1098=781,PR!$AN$871,IF($S$1098=782,PR!$AN$872,IF($S$1098=783,PR!$AN$873,IF($S$1098=784,PR!$AN$874,IF($S$1098=785,PR!$AN$875,IF($S$1098=786,PR!$AN$876,IF($S$1098=787,PR!$AN$877,IF($S$1098=788,PR!$AN$878,IF($S$1098=789,PR!$AN$879,IF($S$1098=790,PR!$AN$880,IF($S$1098=791,PR!$AN$881,IF($S$1098=792,PR!$AN$882,IF($S$1098=793,PR!$AN$883,IF($S$1098=794,PR!$AN$884,IF($S$1098=795,PR!$AN$885,IF($S$1098=796,PR!$AN$886,IF($S$1098=797,PR!$AN$887,IF($S$1098=798,PR!$AN$888,IF($S$1098=799,PR!$AN$889,IF($S$1098=800,PR!$AN$890,IF($S$1098=801,PR!$AN$891,IF($S$1098=802,PR!$AN$892,IF($S$1098=803,PR!$AN$893,IF($S$1098=804,PR!$AN$894,IF($S$1098=805,PR!$AN$895,IF($S$1098=806,PR!$AN$896,IF($S$1098=807,PR!$AN$897,IF($S$1098=808,PR!$AN$898,IF($S$1098=809,PR!$AN$899,IF($S$1098=810,PR!$AN$900,IF($S$1098=811,PR!$AN$901,IF($S$1098=812,PR!$AN$902,IF($S$1098=813,PR!$AN$903,IF($S$1098=814,PR!$AN$904,IF($S$1098=815,PR!$AN$905,IF($S$1098=816,PR!$AN$906,IF($S$1098=817,PR!$AN$907,IF($S$1098=818,PR!$AN$908,IF($S$1098=819,PR!$AN$909,IF($S$1098=820,PR!$AN$910,IF($S$1098=821,PR!$AN$911,IF($S$1098=822,PR!$AN$912,IF($S$1098=823,PR!$AN$913,IF($S$1098=824,PR!$AN$914,IF($S$1098=825,PR!$AN$915,IF($S$1098=826,PR!$AN$916,IF($S$1098=827,PR!$AN$917,IF($S$1098=828,PR!$AN$918,IF($S$1098=829,PR!$AN$919,IF($S$1098=830,PR!$AN$920,IF($S$1098=831,PR!$AN$921,IF($S$1098=832,PR!$AN$922,IF($S$1098=833,PR!$AN$923,IF($S$1098=834,PR!$AN$924,IF($S$1098=835,PR!$AN$925,IF($S$1098=836,PR!$AN$926,IF($S$1098=837,PR!$AN$927,IF($S$1098=838,PR!$AN$928,IF($S$1098=839,PR!$AN$929,IF($S$1098=840,PR!$AN$930,"-"))))))))))))))))))))))))))))))))))))))))))))))))))))))))))))</f>
        <v>0</v>
      </c>
      <c r="E1108" s="602">
        <f>IF($S$1098=781,PR!$AO$871,IF($S$1098=782,PR!$AO$872,IF($S$1098=783,PR!$AO$873,IF($S$1098=784,PR!$AO$874,IF($S$1098=785,PR!$AO$875,IF($S$1098=786,PR!$AO$876,IF($S$1098=787,PR!$AO$877,IF($S$1098=788,PR!$AO$878,IF($S$1098=789,PR!$AO$879,IF($S$1098=790,PR!$AO$880,IF($S$1098=791,PR!$AO$881,IF($S$1098=792,PR!$AO$882,IF($S$1098=793,PR!$AO$883,IF($S$1098=794,PR!$AO$884,IF($S$1098=795,PR!$AO$885,IF($S$1098=796,PR!$AO$886,IF($S$1098=797,PR!$AO$887,IF($S$1098=798,PR!$AO$888,IF($S$1098=799,PR!$AO$889,IF($S$1098=800,PR!$AO$890,IF($S$1098=801,PR!$AO$891,IF($S$1098=802,PR!$AO$892,IF($S$1098=803,PR!$AO$893,IF($S$1098=804,PR!$AO$894,IF($S$1098=805,PR!$AO$895,IF($S$1098=806,PR!$AO$896,IF($S$1098=807,PR!$AO$897,IF($S$1098=808,PR!$AO$898,IF($S$1098=809,PR!$AO$899,IF($S$1098=810,PR!$AO$900,IF($S$1098=811,PR!$AO$901,IF($S$1098=812,PR!$AO$902,IF($S$1098=813,PR!$AO$903,IF($S$1098=814,PR!$AO$904,IF($S$1098=815,PR!$AO$905,IF($S$1098=816,PR!$AO$906,IF($S$1098=817,PR!$AO$907,IF($S$1098=818,PR!$AO$908,IF($S$1098=819,PR!$AO$909,IF($S$1098=820,PR!$AO$910,IF($S$1098=821,PR!$AO$911,IF($S$1098=822,PR!$AO$912,IF($S$1098=823,PR!$AO$913,IF($S$1098=824,PR!$AO$914,IF($S$1098=825,PR!$AO$915,IF($S$1098=826,PR!$AO$916,IF($S$1098=827,PR!$AO$917,IF($S$1098=828,PR!$AO$918,IF($S$1098=829,PR!$AO$919,IF($S$1098=830,PR!$AO$920,IF($S$1098=831,PR!$AO$921,IF($S$1098=832,PR!$AO$922,IF($S$1098=833,PR!$AO$923,IF($S$1098=834,PR!$AO$924,IF($S$1098=835,PR!$AO$925,IF($S$1098=836,PR!$AO$926,IF($S$1098=837,PR!$AO$927,IF($S$1098=838,PR!$AO$928,IF($S$1098=839,PR!$AO$929,IF($S$1098=840,PR!$AO$930,"-"))))))))))))))))))))))))))))))))))))))))))))))))))))))))))))</f>
        <v>0</v>
      </c>
      <c r="F1108" s="602">
        <f>IF($S$1098=781,PR!$AP$871,IF($S$1098=782,PR!$AP$872,IF($S$1098=783,PR!$AP$873,IF($S$1098=784,PR!$AP$874,IF($S$1098=785,PR!$AP$875,IF($S$1098=786,PR!$AP$876,IF($S$1098=787,PR!$AP$877,IF($S$1098=788,PR!$AP$878,IF($S$1098=789,PR!$AP$879,IF($S$1098=790,PR!$AP$880,IF($S$1098=791,PR!$AP$881,IF($S$1098=792,PR!$AP$882,IF($S$1098=793,PR!$AP$883,IF($S$1098=794,PR!$AP$884,IF($S$1098=795,PR!$AP$885,IF($S$1098=796,PR!$AP$886,IF($S$1098=797,PR!$AP$887,IF($S$1098=798,PR!$AP$888,IF($S$1098=799,PR!$AP$889,IF($S$1098=800,PR!$AP$890,IF($S$1098=801,PR!$AP$891,IF($S$1098=802,PR!$AP$892,IF($S$1098=803,PR!$AP$893,IF($S$1098=804,PR!$AP$894,IF($S$1098=805,PR!$AP$895,IF($S$1098=806,PR!$AP$896,IF($S$1098=807,PR!$AP$897,IF($S$1098=808,PR!$AP$898,IF($S$1098=809,PR!$AP$899,IF($S$1098=810,PR!$AP$900,IF($S$1098=811,PR!$AP$901,IF($S$1098=812,PR!$AP$902,IF($S$1098=813,PR!$AP$903,IF($S$1098=814,PR!$AP$904,IF($S$1098=815,PR!$AP$905,IF($S$1098=816,PR!$AP$906,IF($S$1098=817,PR!$AP$907,IF($S$1098=818,PR!$AP$908,IF($S$1098=819,PR!$AP$909,IF($S$1098=820,PR!$AP$910,IF($S$1098=821,PR!$AP$911,IF($S$1098=822,PR!$AP$912,IF($S$1098=823,PR!$AP$913,IF($S$1098=824,PR!$AP$914,IF($S$1098=825,PR!$AP$915,IF($S$1098=826,PR!$AP$916,IF($S$1098=827,PR!$AP$917,IF($S$1098=828,PR!$AP$918,IF($S$1098=829,PR!$AP$919,IF($S$1098=830,PR!$AP$920,IF($S$1098=831,PR!$AP$921,IF($S$1098=832,PR!$AP$922,IF($S$1098=833,PR!$AP$923,IF($S$1098=834,PR!$AP$924,IF($S$1098=835,PR!$AP$925,IF($S$1098=836,PR!$AP$926,IF($S$1098=837,PR!$AP$927,IF($S$1098=838,PR!$AP$928,IF($S$1098=839,PR!$AP$929,IF($S$1098=840,PR!$AP$930,"-"))))))))))))))))))))))))))))))))))))))))))))))))))))))))))))</f>
        <v>0</v>
      </c>
      <c r="G1108" s="602">
        <f>IF($S$1098=781,PR!$AQ$871,IF($S$1098=782,PR!$AQ$872,IF($S$1098=783,PR!$AQ$873,IF($S$1098=784,PR!$AQ$874,IF($S$1098=785,PR!$AQ$875,IF($S$1098=786,PR!$AQ$876,IF($S$1098=787,PR!$AQ$877,IF($S$1098=788,PR!$AQ$878,IF($S$1098=789,PR!$AQ$879,IF($S$1098=790,PR!$AQ$880,IF($S$1098=791,PR!$AQ$881,IF($S$1098=792,PR!$AQ$882,IF($S$1098=793,PR!$AQ$883,IF($S$1098=794,PR!$AQ$884,IF($S$1098=795,PR!$AQ$885,IF($S$1098=796,PR!$AQ$886,IF($S$1098=797,PR!$AQ$887,IF($S$1098=798,PR!$AQ$888,IF($S$1098=799,PR!$AQ$889,IF($S$1098=800,PR!$AQ$890,IF($S$1098=801,PR!$AQ$891,IF($S$1098=802,PR!$AQ$892,IF($S$1098=803,PR!$AQ$893,IF($S$1098=804,PR!$AQ$894,IF($S$1098=805,PR!$AQ$895,IF($S$1098=806,PR!$AQ$896,IF($S$1098=807,PR!$AQ$897,IF($S$1098=808,PR!$AQ$898,IF($S$1098=809,PR!$AQ$899,IF($S$1098=810,PR!$AQ$900,IF($S$1098=811,PR!$AQ$901,IF($S$1098=812,PR!$AQ$902,IF($S$1098=813,PR!$AQ$903,IF($S$1098=814,PR!$AQ$904,IF($S$1098=815,PR!$AQ$905,IF($S$1098=816,PR!$AQ$906,IF($S$1098=817,PR!$AQ$907,IF($S$1098=818,PR!$AQ$908,IF($S$1098=819,PR!$AQ$909,IF($S$1098=820,PR!$AQ$910,IF($S$1098=821,PR!$AQ$911,IF($S$1098=822,PR!$AQ$912,IF($S$1098=823,PR!$AQ$913,IF($S$1098=824,PR!$AQ$914,IF($S$1098=825,PR!$AQ$915,IF($S$1098=826,PR!$AQ$916,IF($S$1098=827,PR!$AQ$917,IF($S$1098=828,PR!$AQ$918,IF($S$1098=829,PR!$AQ$919,IF($S$1098=830,PR!$AQ$920,IF($S$1098=831,PR!$AQ$921,IF($S$1098=832,PR!$AQ$922,IF($S$1098=833,PR!$AQ$923,IF($S$1098=834,PR!$AQ$924,IF($S$1098=835,PR!$AQ$925,IF($S$1098=836,PR!$AQ$926,IF($S$1098=837,PR!$AQ$927,IF($S$1098=838,PR!$AQ$928,IF($S$1098=839,PR!$AQ$929,IF($S$1098=840,PR!$AQ$930,"-"))))))))))))))))))))))))))))))))))))))))))))))))))))))))))))</f>
        <v>0</v>
      </c>
      <c r="H1108" s="602">
        <f>IF($S$1098=781,PR!$AR$871,IF($S$1098=782,PR!$AR$872,IF($S$1098=783,PR!$AR$873,IF($S$1098=784,PR!$AR$874,IF($S$1098=785,PR!$AR$875,IF($S$1098=786,PR!$AR$876,IF($S$1098=787,PR!$AR$877,IF($S$1098=788,PR!$AR$878,IF($S$1098=789,PR!$AR$879,IF($S$1098=790,PR!$AR$880,IF($S$1098=791,PR!$AR$881,IF($S$1098=792,PR!$AR$882,IF($S$1098=793,PR!$AR$883,IF($S$1098=794,PR!$AR$884,IF($S$1098=795,PR!$AR$885,IF($S$1098=796,PR!$AR$886,IF($S$1098=797,PR!$AR$887,IF($S$1098=798,PR!$AR$888,IF($S$1098=799,PR!$AR$889,IF($S$1098=800,PR!$AR$890,IF($S$1098=801,PR!$AR$891,IF($S$1098=802,PR!$AR$892,IF($S$1098=803,PR!$AR$893,IF($S$1098=804,PR!$AR$894,IF($S$1098=805,PR!$AR$895,IF($S$1098=806,PR!$AR$896,IF($S$1098=807,PR!$AR$897,IF($S$1098=808,PR!$AR$898,IF($S$1098=809,PR!$AR$899,IF($S$1098=810,PR!$AR$900,IF($S$1098=811,PR!$AR$901,IF($S$1098=812,PR!$AR$902,IF($S$1098=813,PR!$AR$903,IF($S$1098=814,PR!$AR$904,IF($S$1098=815,PR!$AR$905,IF($S$1098=816,PR!$AR$906,IF($S$1098=817,PR!$AR$907,IF($S$1098=818,PR!$AR$908,IF($S$1098=819,PR!$AR$909,IF($S$1098=820,PR!$AR$910,IF($S$1098=821,PR!$AR$911,IF($S$1098=822,PR!$AR$912,IF($S$1098=823,PR!$AR$913,IF($S$1098=824,PR!$AR$914,IF($S$1098=825,PR!$AR$915,IF($S$1098=826,PR!$AR$916,IF($S$1098=827,PR!$AR$917,IF($S$1098=828,PR!$AR$918,IF($S$1098=829,PR!$AR$919,IF($S$1098=830,PR!$AR$920,IF($S$1098=831,PR!$AR$921,IF($S$1098=832,PR!$AR$922,IF($S$1098=833,PR!$AR$923,IF($S$1098=834,PR!$AR$924,IF($S$1098=835,PR!$AR$925,IF($S$1098=836,PR!$AR$926,IF($S$1098=837,PR!$AR$927,IF($S$1098=838,PR!$AR$928,IF($S$1098=839,PR!$AR$929,IF($S$1098=840,PR!$AR$930,"-"))))))))))))))))))))))))))))))))))))))))))))))))))))))))))))</f>
        <v>0</v>
      </c>
      <c r="I1108" s="602">
        <f>IF($S$1098=781,PR!$AS$871,IF($S$1098=782,PR!$AS$872,IF($S$1098=783,PR!$AS$873,IF($S$1098=784,PR!$AS$874,IF($S$1098=785,PR!$AS$875,IF($S$1098=786,PR!$AS$876,IF($S$1098=787,PR!$AS$877,IF($S$1098=788,PR!$AS$878,IF($S$1098=789,PR!$AS$879,IF($S$1098=790,PR!$AS$880,IF($S$1098=791,PR!$AS$881,IF($S$1098=792,PR!$AS$882,IF($S$1098=793,PR!$AS$883,IF($S$1098=794,PR!$AS$884,IF($S$1098=795,PR!$AS$885,IF($S$1098=796,PR!$AS$886,IF($S$1098=797,PR!$AS$887,IF($S$1098=798,PR!$AS$888,IF($S$1098=799,PR!$AS$889,IF($S$1098=800,PR!$AS$890,IF($S$1098=801,PR!$AS$891,IF($S$1098=802,PR!$AS$892,IF($S$1098=803,PR!$AS$893,IF($S$1098=804,PR!$AS$894,IF($S$1098=805,PR!$AS$895,IF($S$1098=806,PR!$AS$896,IF($S$1098=807,PR!$AS$897,IF($S$1098=808,PR!$AS$898,IF($S$1098=809,PR!$AS$899,IF($S$1098=810,PR!$AS$900,IF($S$1098=811,PR!$AS$901,IF($S$1098=812,PR!$AS$902,IF($S$1098=813,PR!$AS$903,IF($S$1098=814,PR!$AS$904,IF($S$1098=815,PR!$AS$905,IF($S$1098=816,PR!$AS$906,IF($S$1098=817,PR!$AS$907,IF($S$1098=818,PR!$AS$908,IF($S$1098=819,PR!$AS$909,IF($S$1098=820,PR!$AS$910,IF($S$1098=821,PR!$AS$911,IF($S$1098=822,PR!$AS$912,IF($S$1098=823,PR!$AS$913,IF($S$1098=824,PR!$AS$914,IF($S$1098=825,PR!$AS$915,IF($S$1098=826,PR!$AS$916,IF($S$1098=827,PR!$AS$917,IF($S$1098=828,PR!$AS$918,IF($S$1098=829,PR!$AS$919,IF($S$1098=830,PR!$AS$920,IF($S$1098=831,PR!$AS$921,IF($S$1098=832,PR!$AS$922,IF($S$1098=833,PR!$AS$923,IF($S$1098=834,PR!$AS$924,IF($S$1098=835,PR!$AS$925,IF($S$1098=836,PR!$AS$926,IF($S$1098=837,PR!$AS$927,IF($S$1098=838,PR!$AS$928,IF($S$1098=839,PR!$AS$929,IF($S$1098=840,PR!$AS$930,"-"))))))))))))))))))))))))))))))))))))))))))))))))))))))))))))</f>
        <v>0</v>
      </c>
      <c r="J1108" s="602">
        <f>IF($S$1098=781,PR!$AT$871,IF($S$1098=782,PR!$AT$872,IF($S$1098=783,PR!$AT$873,IF($S$1098=784,PR!$AT$874,IF($S$1098=785,PR!$AT$875,IF($S$1098=786,PR!$AT$876,IF($S$1098=787,PR!$AT$877,IF($S$1098=788,PR!$AT$878,IF($S$1098=789,PR!$AT$879,IF($S$1098=790,PR!$AT$880,IF($S$1098=791,PR!$AT$881,IF($S$1098=792,PR!$AT$882,IF($S$1098=793,PR!$AT$883,IF($S$1098=794,PR!$AT$884,IF($S$1098=795,PR!$AT$885,IF($S$1098=796,PR!$AT$886,IF($S$1098=797,PR!$AT$887,IF($S$1098=798,PR!$AT$888,IF($S$1098=799,PR!$AT$889,IF($S$1098=800,PR!$AT$890,IF($S$1098=801,PR!$AT$891,IF($S$1098=802,PR!$AT$892,IF($S$1098=803,PR!$AT$893,IF($S$1098=804,PR!$AT$894,IF($S$1098=805,PR!$AT$895,IF($S$1098=806,PR!$AT$896,IF($S$1098=807,PR!$AT$897,IF($S$1098=808,PR!$AT$898,IF($S$1098=809,PR!$AT$899,IF($S$1098=810,PR!$AT$900,IF($S$1098=811,PR!$AT$901,IF($S$1098=812,PR!$AT$902,IF($S$1098=813,PR!$AT$903,IF($S$1098=814,PR!$AT$904,IF($S$1098=815,PR!$AT$905,IF($S$1098=816,PR!$AT$906,IF($S$1098=817,PR!$AT$907,IF($S$1098=818,PR!$AT$908,IF($S$1098=819,PR!$AT$909,IF($S$1098=820,PR!$AT$910,IF($S$1098=821,PR!$AT$911,IF($S$1098=822,PR!$AT$912,IF($S$1098=823,PR!$AT$913,IF($S$1098=824,PR!$AT$914,IF($S$1098=825,PR!$AT$915,IF($S$1098=826,PR!$AT$916,IF($S$1098=827,PR!$AT$917,IF($S$1098=828,PR!$AT$918,IF($S$1098=829,PR!$AT$919,IF($S$1098=830,PR!$AT$920,IF($S$1098=831,PR!$AT$921,IF($S$1098=832,PR!$AT$922,IF($S$1098=833,PR!$AT$923,IF($S$1098=834,PR!$AT$924,IF($S$1098=835,PR!$AT$925,IF($S$1098=836,PR!$AT$926,IF($S$1098=837,PR!$AT$927,IF($S$1098=838,PR!$AT$928,IF($S$1098=839,PR!$AT$929,IF($S$1098=840,PR!$AT$930,"-"))))))))))))))))))))))))))))))))))))))))))))))))))))))))))))</f>
        <v>0</v>
      </c>
      <c r="K1108" s="602">
        <f>IF($S$1098=781,PR!$AU$871,IF($S$1098=782,PR!$AU$872,IF($S$1098=783,PR!$AU$873,IF($S$1098=784,PR!$AU$874,IF($S$1098=785,PR!$AU$875,IF($S$1098=786,PR!$AU$876,IF($S$1098=787,PR!$AU$877,IF($S$1098=788,PR!$AU$878,IF($S$1098=789,PR!$AU$879,IF($S$1098=790,PR!$AU$880,IF($S$1098=791,PR!$AU$881,IF($S$1098=792,PR!$AU$882,IF($S$1098=793,PR!$AU$883,IF($S$1098=794,PR!$AU$884,IF($S$1098=795,PR!$AU$885,IF($S$1098=796,PR!$AU$886,IF($S$1098=797,PR!$AU$887,IF($S$1098=798,PR!$AU$888,IF($S$1098=799,PR!$AU$889,IF($S$1098=800,PR!$AU$890,IF($S$1098=801,PR!$AU$891,IF($S$1098=802,PR!$AU$892,IF($S$1098=803,PR!$AU$893,IF($S$1098=804,PR!$AU$894,IF($S$1098=805,PR!$AU$895,IF($S$1098=806,PR!$AU$896,IF($S$1098=807,PR!$AU$897,IF($S$1098=808,PR!$AU$898,IF($S$1098=809,PR!$AU$899,IF($S$1098=810,PR!$AU$900,IF($S$1098=811,PR!$AU$901,IF($S$1098=812,PR!$AU$902,IF($S$1098=813,PR!$AU$903,IF($S$1098=814,PR!$AU$904,IF($S$1098=815,PR!$AU$905,IF($S$1098=816,PR!$AU$906,IF($S$1098=817,PR!$AU$907,IF($S$1098=818,PR!$AU$908,IF($S$1098=819,PR!$AU$909,IF($S$1098=820,PR!$AU$910,IF($S$1098=821,PR!$AU$911,IF($S$1098=822,PR!$AU$912,IF($S$1098=823,PR!$AU$913,IF($S$1098=824,PR!$AU$914,IF($S$1098=825,PR!$AU$915,IF($S$1098=826,PR!$AU$916,IF($S$1098=827,PR!$AU$917,IF($S$1098=828,PR!$AU$918,IF($S$1098=829,PR!$AU$919,IF($S$1098=830,PR!$AU$920,IF($S$1098=831,PR!$AU$921,IF($S$1098=832,PR!$AU$922,IF($S$1098=833,PR!$AU$923,IF($S$1098=834,PR!$AU$924,IF($S$1098=835,PR!$AU$925,IF($S$1098=836,PR!$AU$926,IF($S$1098=837,PR!$AU$927,IF($S$1098=838,PR!$AU$928,IF($S$1098=839,PR!$AU$929,IF($S$1098=840,PR!$AU$930,"-"))))))))))))))))))))))))))))))))))))))))))))))))))))))))))))</f>
        <v>0</v>
      </c>
      <c r="L1108" s="602">
        <f>IF($S$1098=781,PR!$AV$871,IF($S$1098=782,PR!$AV$872,IF($S$1098=783,PR!$AV$873,IF($S$1098=784,PR!$AV$874,IF($S$1098=785,PR!$AV$875,IF($S$1098=786,PR!$AV$876,IF($S$1098=787,PR!$AV$877,IF($S$1098=788,PR!$AV$878,IF($S$1098=789,PR!$AV$879,IF($S$1098=790,PR!$AV$880,IF($S$1098=791,PR!$AV$881,IF($S$1098=792,PR!$AV$882,IF($S$1098=793,PR!$AV$883,IF($S$1098=794,PR!$AV$884,IF($S$1098=795,PR!$AV$885,IF($S$1098=796,PR!$AV$886,IF($S$1098=797,PR!$AV$887,IF($S$1098=798,PR!$AV$888,IF($S$1098=799,PR!$AV$889,IF($S$1098=800,PR!$AV$890,IF($S$1098=801,PR!$AV$891,IF($S$1098=802,PR!$AV$892,IF($S$1098=803,PR!$AV$893,IF($S$1098=804,PR!$AV$894,IF($S$1098=805,PR!$AV$895,IF($S$1098=806,PR!$AV$896,IF($S$1098=807,PR!$AV$897,IF($S$1098=808,PR!$AV$898,IF($S$1098=809,PR!$AV$899,IF($S$1098=810,PR!$AV$900,IF($S$1098=811,PR!$AV$901,IF($S$1098=812,PR!$AV$902,IF($S$1098=813,PR!$AV$903,IF($S$1098=814,PR!$AV$904,IF($S$1098=815,PR!$AV$905,IF($S$1098=816,PR!$AV$906,IF($S$1098=817,PR!$AV$907,IF($S$1098=818,PR!$AV$908,IF($S$1098=819,PR!$AV$909,IF($S$1098=820,PR!$AV$910,IF($S$1098=821,PR!$AV$911,IF($S$1098=822,PR!$AV$912,IF($S$1098=823,PR!$AV$913,IF($S$1098=824,PR!$AV$914,IF($S$1098=825,PR!$AV$915,IF($S$1098=826,PR!$AV$916,IF($S$1098=827,PR!$AV$917,IF($S$1098=828,PR!$AV$918,IF($S$1098=829,PR!$AV$919,IF($S$1098=830,PR!$AV$920,IF($S$1098=831,PR!$AV$921,IF($S$1098=832,PR!$AV$922,IF($S$1098=833,PR!$AV$923,IF($S$1098=834,PR!$AV$924,IF($S$1098=835,PR!$AV$925,IF($S$1098=836,PR!$AV$926,IF($S$1098=837,PR!$AV$927,IF($S$1098=838,PR!$AV$928,IF($S$1098=839,PR!$AV$929,IF($S$1098=840,PR!$AV$930,"-"))))))))))))))))))))))))))))))))))))))))))))))))))))))))))))</f>
        <v>0</v>
      </c>
      <c r="M1108" s="602">
        <f>IF($S$1098=781,PR!$AW$871,IF($S$1098=782,PR!$AW$872,IF($S$1098=783,PR!$AW$873,IF($S$1098=784,PR!$AW$874,IF($S$1098=785,PR!$AW$875,IF($S$1098=786,PR!$AW$876,IF($S$1098=787,PR!$AW$877,IF($S$1098=788,PR!$AW$878,IF($S$1098=789,PR!$AW$879,IF($S$1098=790,PR!$AW$880,IF($S$1098=791,PR!$AW$881,IF($S$1098=792,PR!$AW$882,IF($S$1098=793,PR!$AW$883,IF($S$1098=794,PR!$AW$884,IF($S$1098=795,PR!$AW$885,IF($S$1098=796,PR!$AW$886,IF($S$1098=797,PR!$AW$887,IF($S$1098=798,PR!$AW$888,IF($S$1098=799,PR!$AW$889,IF($S$1098=800,PR!$AW$890,IF($S$1098=801,PR!$AW$891,IF($S$1098=802,PR!$AW$892,IF($S$1098=803,PR!$AW$893,IF($S$1098=804,PR!$AW$894,IF($S$1098=805,PR!$AW$895,IF($S$1098=806,PR!$AW$896,IF($S$1098=807,PR!$AW$897,IF($S$1098=808,PR!$AW$898,IF($S$1098=809,PR!$AW$899,IF($S$1098=810,PR!$AW$900,IF($S$1098=811,PR!$AW$901,IF($S$1098=812,PR!$AW$902,IF($S$1098=813,PR!$AW$903,IF($S$1098=814,PR!$AW$904,IF($S$1098=815,PR!$AW$905,IF($S$1098=816,PR!$AW$906,IF($S$1098=817,PR!$AW$907,IF($S$1098=818,PR!$AW$908,IF($S$1098=819,PR!$AW$909,IF($S$1098=820,PR!$AW$910,IF($S$1098=821,PR!$AW$911,IF($S$1098=822,PR!$AW$912,IF($S$1098=823,PR!$AW$913,IF($S$1098=824,PR!$AW$914,IF($S$1098=825,PR!$AW$915,IF($S$1098=826,PR!$AW$916,IF($S$1098=827,PR!$AW$917,IF($S$1098=828,PR!$AW$918,IF($S$1098=829,PR!$AW$919,IF($S$1098=830,PR!$AW$920,IF($S$1098=831,PR!$AW$921,IF($S$1098=832,PR!$AW$922,IF($S$1098=833,PR!$AW$923,IF($S$1098=834,PR!$AW$924,IF($S$1098=835,PR!$AW$925,IF($S$1098=836,PR!$AW$926,IF($S$1098=837,PR!$AW$927,IF($S$1098=838,PR!$AW$928,IF($S$1098=839,PR!$AW$929,IF($S$1098=840,PR!$AW$930,"-"))))))))))))))))))))))))))))))))))))))))))))))))))))))))))))</f>
        <v>0</v>
      </c>
      <c r="N1108" s="602">
        <f>IF($S$1098=781,PR!$AX$871,IF($S$1098=782,PR!$AX$872,IF($S$1098=783,PR!$AX$873,IF($S$1098=784,PR!$AX$874,IF($S$1098=785,PR!$AX$875,IF($S$1098=786,PR!$AX$876,IF($S$1098=787,PR!$AX$877,IF($S$1098=788,PR!$AX$878,IF($S$1098=789,PR!$AX$879,IF($S$1098=790,PR!$AX$880,IF($S$1098=791,PR!$AX$881,IF($S$1098=792,PR!$AX$882,IF($S$1098=793,PR!$AX$883,IF($S$1098=794,PR!$AX$884,IF($S$1098=795,PR!$AX$885,IF($S$1098=796,PR!$AX$886,IF($S$1098=797,PR!$AX$887,IF($S$1098=798,PR!$AX$888,IF($S$1098=799,PR!$AX$889,IF($S$1098=800,PR!$AX$890,IF($S$1098=801,PR!$AX$891,IF($S$1098=802,PR!$AX$892,IF($S$1098=803,PR!$AX$893,IF($S$1098=804,PR!$AX$894,IF($S$1098=805,PR!$AX$895,IF($S$1098=806,PR!$AX$896,IF($S$1098=807,PR!$AX$897,IF($S$1098=808,PR!$AX$898,IF($S$1098=809,PR!$AX$899,IF($S$1098=810,PR!$AX$900,IF($S$1098=811,PR!$AX$901,IF($S$1098=812,PR!$AX$902,IF($S$1098=813,PR!$AX$903,IF($S$1098=814,PR!$AX$904,IF($S$1098=815,PR!$AX$905,IF($S$1098=816,PR!$AX$906,IF($S$1098=817,PR!$AX$907,IF($S$1098=818,PR!$AX$908,IF($S$1098=819,PR!$AX$909,IF($S$1098=820,PR!$AX$910,IF($S$1098=821,PR!$AX$911,IF($S$1098=822,PR!$AX$912,IF($S$1098=823,PR!$AX$913,IF($S$1098=824,PR!$AX$914,IF($S$1098=825,PR!$AX$915,IF($S$1098=826,PR!$AX$916,IF($S$1098=827,PR!$AX$917,IF($S$1098=828,PR!$AX$918,IF($S$1098=829,PR!$AX$919,IF($S$1098=830,PR!$AX$920,IF($S$1098=831,PR!$AX$921,IF($S$1098=832,PR!$AX$922,IF($S$1098=833,PR!$AX$923,IF($S$1098=834,PR!$AX$924,IF($S$1098=835,PR!$AX$925,IF($S$1098=836,PR!$AX$926,IF($S$1098=837,PR!$AX$927,IF($S$1098=838,PR!$AX$928,IF($S$1098=839,PR!$AX$929,IF($S$1098=840,PR!$AX$930,"-"))))))))))))))))))))))))))))))))))))))))))))))))))))))))))))</f>
        <v>0</v>
      </c>
      <c r="O1108" s="602">
        <f>IF($S$1098=781,PR!$AY$871,IF($S$1098=782,PR!$AY$872,IF($S$1098=783,PR!$AY$873,IF($S$1098=784,PR!$AY$874,IF($S$1098=785,PR!$AY$875,IF($S$1098=786,PR!$AY$876,IF($S$1098=787,PR!$AY$877,IF($S$1098=788,PR!$AY$878,IF($S$1098=789,PR!$AY$879,IF($S$1098=790,PR!$AY$880,IF($S$1098=791,PR!$AY$881,IF($S$1098=792,PR!$AY$882,IF($S$1098=793,PR!$AY$883,IF($S$1098=794,PR!$AY$884,IF($S$1098=795,PR!$AY$885,IF($S$1098=796,PR!$AY$886,IF($S$1098=797,PR!$AY$887,IF($S$1098=798,PR!$AY$888,IF($S$1098=799,PR!$AY$889,IF($S$1098=800,PR!$AY$890,IF($S$1098=801,PR!$AY$891,IF($S$1098=802,PR!$AY$892,IF($S$1098=803,PR!$AY$893,IF($S$1098=804,PR!$AY$894,IF($S$1098=805,PR!$AY$895,IF($S$1098=806,PR!$AY$896,IF($S$1098=807,PR!$AY$897,IF($S$1098=808,PR!$AY$898,IF($S$1098=809,PR!$AY$899,IF($S$1098=810,PR!$AY$900,IF($S$1098=811,PR!$AY$901,IF($S$1098=812,PR!$AY$902,IF($S$1098=813,PR!$AY$903,IF($S$1098=814,PR!$AY$904,IF($S$1098=815,PR!$AY$905,IF($S$1098=816,PR!$AY$906,IF($S$1098=817,PR!$AY$907,IF($S$1098=818,PR!$AY$908,IF($S$1098=819,PR!$AY$909,IF($S$1098=820,PR!$AY$910,IF($S$1098=821,PR!$AY$911,IF($S$1098=822,PR!$AY$912,IF($S$1098=823,PR!$AY$913,IF($S$1098=824,PR!$AY$914,IF($S$1098=825,PR!$AY$915,IF($S$1098=826,PR!$AY$916,IF($S$1098=827,PR!$AY$917,IF($S$1098=828,PR!$AY$918,IF($S$1098=829,PR!$AY$919,IF($S$1098=830,PR!$AY$920,IF($S$1098=831,PR!$AY$921,IF($S$1098=832,PR!$AY$922,IF($S$1098=833,PR!$AY$923,IF($S$1098=834,PR!$AY$924,IF($S$1098=835,PR!$AY$925,IF($S$1098=836,PR!$AY$926,IF($S$1098=837,PR!$AY$927,IF($S$1098=838,PR!$AY$928,IF($S$1098=839,PR!$AY$929,IF($S$1098=840,PR!$AY$930,"-"))))))))))))))))))))))))))))))))))))))))))))))))))))))))))))</f>
        <v>0</v>
      </c>
      <c r="P1108" s="602">
        <f>IF($S$1098=781,PR!$AZ$871,IF($S$1098=782,PR!$AZ$872,IF($S$1098=783,PR!$AZ$873,IF($S$1098=784,PR!$AZ$874,IF($S$1098=785,PR!$AZ$875,IF($S$1098=786,PR!$AZ$876,IF($S$1098=787,PR!$AZ$877,IF($S$1098=788,PR!$AZ$878,IF($S$1098=789,PR!$AZ$879,IF($S$1098=790,PR!$AZ$880,IF($S$1098=791,PR!$AZ$881,IF($S$1098=792,PR!$AZ$882,IF($S$1098=793,PR!$AZ$883,IF($S$1098=794,PR!$AZ$884,IF($S$1098=795,PR!$AZ$885,IF($S$1098=796,PR!$AZ$886,IF($S$1098=797,PR!$AZ$887,IF($S$1098=798,PR!$AZ$888,IF($S$1098=799,PR!$AZ$889,IF($S$1098=800,PR!$AZ$890,IF($S$1098=801,PR!$AZ$891,IF($S$1098=802,PR!$AZ$892,IF($S$1098=803,PR!$AZ$893,IF($S$1098=804,PR!$AZ$894,IF($S$1098=805,PR!$AZ$895,IF($S$1098=806,PR!$AZ$896,IF($S$1098=807,PR!$AZ$897,IF($S$1098=808,PR!$AZ$898,IF($S$1098=809,PR!$AZ$899,IF($S$1098=810,PR!$AZ$900,IF($S$1098=811,PR!$AZ$901,IF($S$1098=812,PR!$AZ$902,IF($S$1098=813,PR!$AZ$903,IF($S$1098=814,PR!$AZ$904,IF($S$1098=815,PR!$AZ$905,IF($S$1098=816,PR!$AZ$906,IF($S$1098=817,PR!$AZ$907,IF($S$1098=818,PR!$AZ$908,IF($S$1098=819,PR!$AZ$909,IF($S$1098=820,PR!$AZ$910,IF($S$1098=821,PR!$AZ$911,IF($S$1098=822,PR!$AZ$912,IF($S$1098=823,PR!$AZ$913,IF($S$1098=824,PR!$AZ$914,IF($S$1098=825,PR!$AZ$915,IF($S$1098=826,PR!$AZ$916,IF($S$1098=827,PR!$AZ$917,IF($S$1098=828,PR!$AZ$918,IF($S$1098=829,PR!$AZ$919,IF($S$1098=830,PR!$AZ$920,IF($S$1098=831,PR!$AZ$921,IF($S$1098=832,PR!$AZ$922,IF($S$1098=833,PR!$AZ$923,IF($S$1098=834,PR!$AZ$924,IF($S$1098=835,PR!$AZ$925,IF($S$1098=836,PR!$AZ$926,IF($S$1098=837,PR!$AZ$927,IF($S$1098=838,PR!$AZ$928,IF($S$1098=839,PR!$AZ$929,IF($S$1098=840,PR!$AZ$930,"-"))))))))))))))))))))))))))))))))))))))))))))))))))))))))))))</f>
        <v>0</v>
      </c>
      <c r="Q1108" s="602">
        <f>IF($S$1098=781,PR!$BA$871,IF($S$1098=782,PR!$BA$872,IF($S$1098=783,PR!$BA$873,IF($S$1098=784,PR!$BA$874,IF($S$1098=785,PR!$BA$875,IF($S$1098=786,PR!$BA$876,IF($S$1098=787,PR!$BA$877,IF($S$1098=788,PR!$BA$878,IF($S$1098=789,PR!$BA$879,IF($S$1098=790,PR!$BA$880,IF($S$1098=791,PR!$BA$881,IF($S$1098=792,PR!$BA$882,IF($S$1098=793,PR!$BA$883,IF($S$1098=794,PR!$BA$884,IF($S$1098=795,PR!$BA$885,IF($S$1098=796,PR!$BA$886,IF($S$1098=797,PR!$BA$887,IF($S$1098=798,PR!$BA$888,IF($S$1098=799,PR!$BA$889,IF($S$1098=800,PR!$BA$890,IF($S$1098=801,PR!$BA$891,IF($S$1098=802,PR!$BA$892,IF($S$1098=803,PR!$BA$893,IF($S$1098=804,PR!$BA$894,IF($S$1098=805,PR!$BA$895,IF($S$1098=806,PR!$BA$896,IF($S$1098=807,PR!$BA$897,IF($S$1098=808,PR!$BA$898,IF($S$1098=809,PR!$BA$899,IF($S$1098=810,PR!$BA$900,IF($S$1098=811,PR!$BA$901,IF($S$1098=812,PR!$BA$902,IF($S$1098=813,PR!$BA$903,IF($S$1098=814,PR!$BA$904,IF($S$1098=815,PR!$BA$905,IF($S$1098=816,PR!$BA$906,IF($S$1098=817,PR!$BA$907,IF($S$1098=818,PR!$BA$908,IF($S$1098=819,PR!$BA$909,IF($S$1098=820,PR!$BA$910,IF($S$1098=821,PR!$BA$911,IF($S$1098=822,PR!$BA$912,IF($S$1098=823,PR!$BA$913,IF($S$1098=824,PR!$BA$914,IF($S$1098=825,PR!$BA$915,IF($S$1098=826,PR!$BA$916,IF($S$1098=827,PR!$BA$917,IF($S$1098=828,PR!$BA$918,IF($S$1098=829,PR!$BA$919,IF($S$1098=830,PR!$BA$920,IF($S$1098=831,PR!$BA$921,IF($S$1098=832,PR!$BA$922,IF($S$1098=833,PR!$BA$923,IF($S$1098=834,PR!$BA$924,IF($S$1098=835,PR!$BA$925,IF($S$1098=836,PR!$BA$926,IF($S$1098=837,PR!$BA$927,IF($S$1098=838,PR!$BA$928,IF($S$1098=839,PR!$BA$929,IF($S$1098=840,PR!$BA$930,"-"))))))))))))))))))))))))))))))))))))))))))))))))))))))))))))</f>
        <v>0</v>
      </c>
      <c r="R1108" s="602">
        <f>IF($S$1098=781,PR!$BB$871,IF($S$1098=782,PR!$BB$872,IF($S$1098=783,PR!$BB$873,IF($S$1098=784,PR!$BB$874,IF($S$1098=785,PR!$BB$875,IF($S$1098=786,PR!$BB$876,IF($S$1098=787,PR!$BB$877,IF($S$1098=788,PR!$BB$878,IF($S$1098=789,PR!$BB$879,IF($S$1098=790,PR!$BB$880,IF($S$1098=791,PR!$BB$881,IF($S$1098=792,PR!$BB$882,IF($S$1098=793,PR!$BB$883,IF($S$1098=794,PR!$BB$884,IF($S$1098=795,PR!$BB$885,IF($S$1098=796,PR!$BB$886,IF($S$1098=797,PR!$BB$887,IF($S$1098=798,PR!$BB$888,IF($S$1098=799,PR!$BB$889,IF($S$1098=800,PR!$BB$890,IF($S$1098=801,PR!$BB$891,IF($S$1098=802,PR!$BB$892,IF($S$1098=803,PR!$BB$893,IF($S$1098=804,PR!$BB$894,IF($S$1098=805,PR!$BB$895,IF($S$1098=806,PR!$BB$896,IF($S$1098=807,PR!$BB$897,IF($S$1098=808,PR!$BB$898,IF($S$1098=809,PR!$BB$899,IF($S$1098=810,PR!$BB$900,IF($S$1098=811,PR!$BB$901,IF($S$1098=812,PR!$BB$902,IF($S$1098=813,PR!$BB$903,IF($S$1098=814,PR!$BB$904,IF($S$1098=815,PR!$BB$905,IF($S$1098=816,PR!$BB$906,IF($S$1098=817,PR!$BB$907,IF($S$1098=818,PR!$BB$908,IF($S$1098=819,PR!$BB$909,IF($S$1098=820,PR!$BB$910,IF($S$1098=821,PR!$BB$911,IF($S$1098=822,PR!$BB$912,IF($S$1098=823,PR!$BB$913,IF($S$1098=824,PR!$BB$914,IF($S$1098=825,PR!$BB$915,IF($S$1098=826,PR!$BB$916,IF($S$1098=827,PR!$BB$917,IF($S$1098=828,PR!$BB$918,IF($S$1098=829,PR!$BB$919,IF($S$1098=830,PR!$BB$920,IF($S$1098=831,PR!$BB$921,IF($S$1098=832,PR!$BB$922,IF($S$1098=833,PR!$BB$923,IF($S$1098=834,PR!$BB$924,IF($S$1098=835,PR!$BB$925,IF($S$1098=836,PR!$BB$926,IF($S$1098=837,PR!$BB$927,IF($S$1098=838,PR!$BB$928,IF($S$1098=839,PR!$BB$929,IF($S$1098=840,PR!$BB$930,"-"))))))))))))))))))))))))))))))))))))))))))))))))))))))))))))</f>
        <v>0</v>
      </c>
      <c r="S1108" s="602">
        <f>IF($S$1098=781,PR!$BC$871,IF($S$1098=782,PR!$BC$872,IF($S$1098=783,PR!$BC$873,IF($S$1098=784,PR!$BC$874,IF($S$1098=785,PR!$BC$875,IF($S$1098=786,PR!$BC$876,IF($S$1098=787,PR!$BC$877,IF($S$1098=788,PR!$BC$878,IF($S$1098=789,PR!$BC$879,IF($S$1098=790,PR!$BC$880,IF($S$1098=791,PR!$BC$881,IF($S$1098=792,PR!$BC$882,IF($S$1098=793,PR!$BC$883,IF($S$1098=794,PR!$BC$884,IF($S$1098=795,PR!$BC$885,IF($S$1098=796,PR!$BC$886,IF($S$1098=797,PR!$BC$887,IF($S$1098=798,PR!$BC$888,IF($S$1098=799,PR!$BC$889,IF($S$1098=800,PR!$BC$890,IF($S$1098=801,PR!$BC$891,IF($S$1098=802,PR!$BC$892,IF($S$1098=803,PR!$BC$893,IF($S$1098=804,PR!$BC$894,IF($S$1098=805,PR!$BC$895,IF($S$1098=806,PR!$BC$896,IF($S$1098=807,PR!$BC$897,IF($S$1098=808,PR!$BC$898,IF($S$1098=809,PR!$BC$899,IF($S$1098=810,PR!$BC$900,IF($S$1098=811,PR!$BC$901,IF($S$1098=812,PR!$BC$902,IF($S$1098=813,PR!$BC$903,IF($S$1098=814,PR!$BC$904,IF($S$1098=815,PR!$BC$905,IF($S$1098=816,PR!$BC$906,IF($S$1098=817,PR!$BC$907,IF($S$1098=818,PR!$BC$908,IF($S$1098=819,PR!$BC$909,IF($S$1098=820,PR!$BC$910,IF($S$1098=821,PR!$BC$911,IF($S$1098=822,PR!$BC$912,IF($S$1098=823,PR!$BC$913,IF($S$1098=824,PR!$BC$914,IF($S$1098=825,PR!$BC$915,IF($S$1098=826,PR!$BC$916,IF($S$1098=827,PR!$BC$917,IF($S$1098=828,PR!$BC$918,IF($S$1098=829,PR!$BC$919,IF($S$1098=830,PR!$BC$920,IF($S$1098=831,PR!$BC$921,IF($S$1098=832,PR!$BC$922,IF($S$1098=833,PR!$BC$923,IF($S$1098=834,PR!$BC$924,IF($S$1098=835,PR!$BC$925,IF($S$1098=836,PR!$BC$926,IF($S$1098=837,PR!$BC$927,IF($S$1098=838,PR!$BC$928,IF($S$1098=839,PR!$BC$929,IF($S$1098=840,PR!$BC$930,"-"))))))))))))))))))))))))))))))))))))))))))))))))))))))))))))</f>
        <v>0</v>
      </c>
      <c r="T1108" s="580"/>
      <c r="U1108" s="580"/>
      <c r="V1108" s="32"/>
      <c r="W1108" s="32"/>
      <c r="X1108" s="32"/>
    </row>
    <row r="1109" spans="2:24" ht="10.5" customHeight="1" x14ac:dyDescent="0.25">
      <c r="B1109" s="580"/>
      <c r="C1109" s="603"/>
      <c r="D1109" s="604"/>
      <c r="E1109" s="604"/>
      <c r="F1109" s="604"/>
      <c r="G1109" s="604"/>
      <c r="H1109" s="604"/>
      <c r="I1109" s="604"/>
      <c r="J1109" s="604"/>
      <c r="K1109" s="604"/>
      <c r="L1109" s="604"/>
      <c r="M1109" s="604"/>
      <c r="N1109" s="604"/>
      <c r="O1109" s="604"/>
      <c r="P1109" s="604"/>
      <c r="Q1109" s="604"/>
      <c r="R1109" s="606"/>
      <c r="S1109" s="606"/>
      <c r="T1109" s="580"/>
      <c r="U1109" s="580"/>
      <c r="V1109" s="32"/>
      <c r="W1109" s="32"/>
      <c r="X1109" s="32"/>
    </row>
    <row r="1110" spans="2:24" ht="15.75" thickBot="1" x14ac:dyDescent="0.3">
      <c r="B1110" s="580"/>
      <c r="C1110" s="600" t="str">
        <f>N!$C$55</f>
        <v>SAM</v>
      </c>
      <c r="D1110" s="600" t="str">
        <f>N!$C$56</f>
        <v>SEAGREEN</v>
      </c>
      <c r="E1110" s="600" t="str">
        <f>N!$C$57</f>
        <v>SKG</v>
      </c>
      <c r="F1110" s="600" t="str">
        <f>N!$C$58</f>
        <v>TAH</v>
      </c>
      <c r="G1110" s="600" t="str">
        <f>N!$C$59</f>
        <v>TAYLEK</v>
      </c>
      <c r="H1110" s="600" t="str">
        <f>N!$C$60</f>
        <v>TEMITA</v>
      </c>
      <c r="I1110" s="600" t="str">
        <f>N!$C$61</f>
        <v>THL</v>
      </c>
      <c r="J1110" s="600" t="str">
        <f>N!$C$62</f>
        <v>UBASTIC</v>
      </c>
      <c r="K1110" s="600" t="str">
        <f>N!$C$63</f>
        <v>UNION</v>
      </c>
      <c r="L1110" s="600" t="str">
        <f>N!$C$64</f>
        <v>UNIQUE</v>
      </c>
      <c r="M1110" s="600" t="str">
        <f>N!$C$65</f>
        <v>VIXA</v>
      </c>
      <c r="N1110" s="600" t="str">
        <f>N!$C$66</f>
        <v>WWCV</v>
      </c>
      <c r="O1110" s="600" t="str">
        <f>N!$C$67</f>
        <v>ZOLON</v>
      </c>
      <c r="P1110" s="600" t="e">
        <f>N!#REF!</f>
        <v>#REF!</v>
      </c>
      <c r="Q1110" s="600" t="e">
        <f>N!#REF!</f>
        <v>#REF!</v>
      </c>
      <c r="R1110" s="600" t="e">
        <f>N!#REF!</f>
        <v>#REF!</v>
      </c>
      <c r="S1110" s="604"/>
      <c r="T1110" s="580"/>
      <c r="U1110" s="580"/>
      <c r="V1110" s="32"/>
      <c r="W1110" s="32"/>
      <c r="X1110" s="32"/>
    </row>
    <row r="1111" spans="2:24" ht="15.75" thickBot="1" x14ac:dyDescent="0.3">
      <c r="B1111" s="580"/>
      <c r="C1111" s="602">
        <f>IF($S$1098=781,PR!$BD$871,IF($S$1098=782,PR!$BD$872,IF($S$1098=783,PR!$BD$873,IF($S$1098=784,PR!$BD$874,IF($S$1098=785,PR!$BD$875,IF($S$1098=786,PR!$BD$876,IF($S$1098=787,PR!$BD$877,IF($S$1098=788,PR!$BD$878,IF($S$1098=789,PR!$BD$879,IF($S$1098=790,PR!$BD$880,IF($S$1098=791,PR!$BD$881,IF($S$1098=792,PR!$BD$882,IF($S$1098=793,PR!$BD$883,IF($S$1098=794,PR!$BD$884,IF($S$1098=795,PR!$BD$885,IF($S$1098=796,PR!$BD$886,IF($S$1098=797,PR!$BD$887,IF($S$1098=798,PR!$BD$888,IF($S$1098=799,PR!$BD$889,IF($S$1098=800,PR!$BD$890,IF($S$1098=801,PR!$BD$891,IF($S$1098=802,PR!$BD$892,IF($S$1098=803,PR!$BD$893,IF($S$1098=804,PR!$BD$894,IF($S$1098=805,PR!$BD$895,IF($S$1098=806,PR!$BD$896,IF($S$1098=807,PR!$BD$897,IF($S$1098=808,PR!$BD$898,IF($S$1098=809,PR!$BD$899,IF($S$1098=810,PR!$BD$900,IF($S$1098=811,PR!$BD$901,IF($S$1098=812,PR!$BD$902,IF($S$1098=813,PR!$BD$903,IF($S$1098=814,PR!$BD$904,IF($S$1098=815,PR!$BD$905,IF($S$1098=816,PR!$BD$906,IF($S$1098=817,PR!$BD$907,IF($S$1098=818,PR!$BD$908,IF($S$1098=819,PR!$BD$909,IF($S$1098=820,PR!$BD$910,IF($S$1098=821,PR!$BD$911,IF($S$1098=822,PR!$BD$912,IF($S$1098=823,PR!$BD$913,IF($S$1098=824,PR!$BD$914,IF($S$1098=825,PR!$BD$915,IF($S$1098=826,PR!$BD$916,IF($S$1098=827,PR!$BD$917,IF($S$1098=828,PR!$BD$918,IF($S$1098=829,PR!$BD$919,IF($S$1098=830,PR!$BD$920,IF($S$1098=831,PR!$BD$921,IF($S$1098=832,PR!$BD$922,IF($S$1098=833,PR!$BD$923,IF($S$1098=834,PR!$BD$924,IF($S$1098=835,PR!$BD$925,IF($S$1098=836,PR!$BD$926,IF($S$1098=837,PR!$BD$927,IF($S$1098=838,PR!$BD$928,IF($S$1098=839,PR!$BD$929,IF($S$1098=840,PR!$BD$930,"-"))))))))))))))))))))))))))))))))))))))))))))))))))))))))))))</f>
        <v>0</v>
      </c>
      <c r="D1111" s="602">
        <f>IF($S$1098=781,PR!$BE$871,IF($S$1098=782,PR!$BE$872,IF($S$1098=783,PR!$BE$873,IF($S$1098=784,PR!$BE$874,IF($S$1098=785,PR!$BE$875,IF($S$1098=786,PR!$BE$876,IF($S$1098=787,PR!$BE$877,IF($S$1098=788,PR!$BE$878,IF($S$1098=789,PR!$BE$879,IF($S$1098=790,PR!$BE$880,IF($S$1098=791,PR!$BE$881,IF($S$1098=792,PR!$BE$882,IF($S$1098=793,PR!$BE$883,IF($S$1098=794,PR!$BE$884,IF($S$1098=795,PR!$BE$885,IF($S$1098=796,PR!$BE$886,IF($S$1098=797,PR!$BE$887,IF($S$1098=798,PR!$BE$888,IF($S$1098=799,PR!$BE$889,IF($S$1098=800,PR!$BE$890,IF($S$1098=801,PR!$BE$891,IF($S$1098=802,PR!$BE$892,IF($S$1098=803,PR!$BE$893,IF($S$1098=804,PR!$BE$894,IF($S$1098=805,PR!$BE$895,IF($S$1098=806,PR!$BE$896,IF($S$1098=807,PR!$BE$897,IF($S$1098=808,PR!$BE$898,IF($S$1098=809,PR!$BE$899,IF($S$1098=810,PR!$BE$900,IF($S$1098=811,PR!$BE$901,IF($S$1098=812,PR!$BE$902,IF($S$1098=813,PR!$BE$903,IF($S$1098=814,PR!$BE$904,IF($S$1098=815,PR!$BE$905,IF($S$1098=816,PR!$BE$906,IF($S$1098=817,PR!$BE$907,IF($S$1098=818,PR!$BE$908,IF($S$1098=819,PR!$BE$909,IF($S$1098=820,PR!$BE$910,IF($S$1098=821,PR!$BE$911,IF($S$1098=822,PR!$BE$912,IF($S$1098=823,PR!$BE$913,IF($S$1098=824,PR!$BE$914,IF($S$1098=825,PR!$BE$915,IF($S$1098=826,PR!$BE$916,IF($S$1098=827,PR!$BE$917,IF($S$1098=828,PR!$BE$918,IF($S$1098=829,PR!$BE$919,IF($S$1098=830,PR!$BE$920,IF($S$1098=831,PR!$BE$921,IF($S$1098=832,PR!$BE$922,IF($S$1098=833,PR!$BE$923,IF($S$1098=834,PR!$BE$924,IF($S$1098=835,PR!$BE$925,IF($S$1098=836,PR!$BE$926,IF($S$1098=837,PR!$BE$927,IF($S$1098=838,PR!$BE$928,IF($S$1098=839,PR!$BE$929,IF($S$1098=840,PR!$BE$930,"-"))))))))))))))))))))))))))))))))))))))))))))))))))))))))))))</f>
        <v>0</v>
      </c>
      <c r="E1111" s="602">
        <f>IF($S$1098=781,PR!$BF$871,IF($S$1098=782,PR!$BF$872,IF($S$1098=783,PR!$BF$873,IF($S$1098=784,PR!$BF$874,IF($S$1098=785,PR!$BF$875,IF($S$1098=786,PR!$BF$876,IF($S$1098=787,PR!$BF$877,IF($S$1098=788,PR!$BF$878,IF($S$1098=789,PR!$BF$879,IF($S$1098=790,PR!$BF$880,IF($S$1098=791,PR!$BF$881,IF($S$1098=792,PR!$BF$882,IF($S$1098=793,PR!$BF$883,IF($S$1098=794,PR!$BF$884,IF($S$1098=795,PR!$BF$885,IF($S$1098=796,PR!$BF$886,IF($S$1098=797,PR!$BF$887,IF($S$1098=798,PR!$BF$888,IF($S$1098=799,PR!$BF$889,IF($S$1098=800,PR!$BF$890,IF($S$1098=801,PR!$BF$891,IF($S$1098=802,PR!$BF$892,IF($S$1098=803,PR!$BF$893,IF($S$1098=804,PR!$BF$894,IF($S$1098=805,PR!$BF$895,IF($S$1098=806,PR!$BF$896,IF($S$1098=807,PR!$BF$897,IF($S$1098=808,PR!$BF$898,IF($S$1098=809,PR!$BF$899,IF($S$1098=810,PR!$BF$900,IF($S$1098=811,PR!$BF$901,IF($S$1098=812,PR!$BF$902,IF($S$1098=813,PR!$BF$903,IF($S$1098=814,PR!$BF$904,IF($S$1098=815,PR!$BF$905,IF($S$1098=816,PR!$BF$906,IF($S$1098=817,PR!$BF$907,IF($S$1098=818,PR!$BF$908,IF($S$1098=819,PR!$BF$909,IF($S$1098=820,PR!$BF$910,IF($S$1098=821,PR!$BF$911,IF($S$1098=822,PR!$BF$912,IF($S$1098=823,PR!$BF$913,IF($S$1098=824,PR!$BF$914,IF($S$1098=825,PR!$BF$915,IF($S$1098=826,PR!$BF$916,IF($S$1098=827,PR!$BF$917,IF($S$1098=828,PR!$BF$918,IF($S$1098=829,PR!$BF$919,IF($S$1098=830,PR!$BF$920,IF($S$1098=831,PR!$BF$921,IF($S$1098=832,PR!$BF$922,IF($S$1098=833,PR!$BF$923,IF($S$1098=834,PR!$BF$924,IF($S$1098=835,PR!$BF$925,IF($S$1098=836,PR!$BF$926,IF($S$1098=837,PR!$BF$927,IF($S$1098=838,PR!$BF$928,IF($S$1098=839,PR!$BF$929,IF($S$1098=840,PR!$BF$930,"-"))))))))))))))))))))))))))))))))))))))))))))))))))))))))))))</f>
        <v>0</v>
      </c>
      <c r="F1111" s="602">
        <f>IF($S$1098=781,PR!$BG$871,IF($S$1098=782,PR!$BG$872,IF($S$1098=783,PR!$BG$873,IF($S$1098=784,PR!$BG$874,IF($S$1098=785,PR!$BG$875,IF($S$1098=786,PR!$BG$876,IF($S$1098=787,PR!$BG$877,IF($S$1098=788,PR!$BG$878,IF($S$1098=789,PR!$BG$879,IF($S$1098=790,PR!$BG$880,IF($S$1098=791,PR!$BG$881,IF($S$1098=792,PR!$BG$882,IF($S$1098=793,PR!$BG$883,IF($S$1098=794,PR!$BG$884,IF($S$1098=795,PR!$BG$885,IF($S$1098=796,PR!$BG$886,IF($S$1098=797,PR!$BG$887,IF($S$1098=798,PR!$BG$888,IF($S$1098=799,PR!$BG$889,IF($S$1098=800,PR!$BG$890,IF($S$1098=801,PR!$BG$891,IF($S$1098=802,PR!$BG$892,IF($S$1098=803,PR!$BG$893,IF($S$1098=804,PR!$BG$894,IF($S$1098=805,PR!$BG$895,IF($S$1098=806,PR!$BG$896,IF($S$1098=807,PR!$BG$897,IF($S$1098=808,PR!$BG$898,IF($S$1098=809,PR!$BG$899,IF($S$1098=810,PR!$BG$900,IF($S$1098=811,PR!$BG$901,IF($S$1098=812,PR!$BG$902,IF($S$1098=813,PR!$BG$903,IF($S$1098=814,PR!$BG$904,IF($S$1098=815,PR!$BG$905,IF($S$1098=816,PR!$BG$906,IF($S$1098=817,PR!$BG$907,IF($S$1098=818,PR!$BG$908,IF($S$1098=819,PR!$BG$909,IF($S$1098=820,PR!$BG$910,IF($S$1098=821,PR!$BG$911,IF($S$1098=822,PR!$BG$912,IF($S$1098=823,PR!$BG$913,IF($S$1098=824,PR!$BG$914,IF($S$1098=825,PR!$BG$915,IF($S$1098=826,PR!$BG$916,IF($S$1098=827,PR!$BG$917,IF($S$1098=828,PR!$BG$918,IF($S$1098=829,PR!$BG$919,IF($S$1098=830,PR!$BG$920,IF($S$1098=831,PR!$BG$921,IF($S$1098=832,PR!$BG$922,IF($S$1098=833,PR!$BG$923,IF($S$1098=834,PR!$BG$924,IF($S$1098=835,PR!$BG$925,IF($S$1098=836,PR!$BG$926,IF($S$1098=837,PR!$BG$927,IF($S$1098=838,PR!$BG$928,IF($S$1098=839,PR!$BG$929,IF($S$1098=840,PR!$BG$930,"-"))))))))))))))))))))))))))))))))))))))))))))))))))))))))))))</f>
        <v>0</v>
      </c>
      <c r="G1111" s="602">
        <f>IF($S$1098=781,PR!$BH$871,IF($S$1098=782,PR!$BH$872,IF($S$1098=783,PR!$BH$873,IF($S$1098=784,PR!$BH$874,IF($S$1098=785,PR!$BH$875,IF($S$1098=786,PR!$BH$876,IF($S$1098=787,PR!$BH$877,IF($S$1098=788,PR!$BH$878,IF($S$1098=789,PR!$BH$879,IF($S$1098=790,PR!$BH$880,IF($S$1098=791,PR!$BH$881,IF($S$1098=792,PR!$BH$882,IF($S$1098=793,PR!$BH$883,IF($S$1098=794,PR!$BH$884,IF($S$1098=795,PR!$BH$885,IF($S$1098=796,PR!$BH$886,IF($S$1098=797,PR!$BH$887,IF($S$1098=798,PR!$BH$888,IF($S$1098=799,PR!$BH$889,IF($S$1098=800,PR!$BH$890,IF($S$1098=801,PR!$BH$891,IF($S$1098=802,PR!$BH$892,IF($S$1098=803,PR!$BH$893,IF($S$1098=804,PR!$BH$894,IF($S$1098=805,PR!$BH$895,IF($S$1098=806,PR!$BH$896,IF($S$1098=807,PR!$BH$897,IF($S$1098=808,PR!$BH$898,IF($S$1098=809,PR!$BH$899,IF($S$1098=810,PR!$BH$900,IF($S$1098=811,PR!$BH$901,IF($S$1098=812,PR!$BH$902,IF($S$1098=813,PR!$BH$903,IF($S$1098=814,PR!$BH$904,IF($S$1098=815,PR!$BH$905,IF($S$1098=816,PR!$BH$906,IF($S$1098=817,PR!$BH$907,IF($S$1098=818,PR!$BH$908,IF($S$1098=819,PR!$BH$909,IF($S$1098=820,PR!$BH$910,IF($S$1098=821,PR!$BH$911,IF($S$1098=822,PR!$BH$912,IF($S$1098=823,PR!$BH$913,IF($S$1098=824,PR!$BH$914,IF($S$1098=825,PR!$BH$915,IF($S$1098=826,PR!$BH$916,IF($S$1098=827,PR!$BH$917,IF($S$1098=828,PR!$BH$918,IF($S$1098=829,PR!$BH$919,IF($S$1098=830,PR!$BH$920,IF($S$1098=831,PR!$BH$921,IF($S$1098=832,PR!$BH$922,IF($S$1098=833,PR!$BH$923,IF($S$1098=834,PR!$BH$924,IF($S$1098=835,PR!$BH$925,IF($S$1098=836,PR!$BH$926,IF($S$1098=837,PR!$BH$927,IF($S$1098=838,PR!$BH$928,IF($S$1098=839,PR!$BH$929,IF($S$1098=840,PR!$BH$930,"-"))))))))))))))))))))))))))))))))))))))))))))))))))))))))))))</f>
        <v>0</v>
      </c>
      <c r="H1111" s="602">
        <f>IF($S$1098=781,PR!$BI$871,IF($S$1098=782,PR!$BI$872,IF($S$1098=783,PR!$BI$873,IF($S$1098=784,PR!$BI$874,IF($S$1098=785,PR!$BI$875,IF($S$1098=786,PR!$BI$876,IF($S$1098=787,PR!$BI$877,IF($S$1098=788,PR!$BI$878,IF($S$1098=789,PR!$BI$879,IF($S$1098=790,PR!$BI$880,IF($S$1098=791,PR!$BI$881,IF($S$1098=792,PR!$BI$882,IF($S$1098=793,PR!$BI$883,IF($S$1098=794,PR!$BI$884,IF($S$1098=795,PR!$BI$885,IF($S$1098=796,PR!$BI$886,IF($S$1098=797,PR!$BI$887,IF($S$1098=798,PR!$BI$888,IF($S$1098=799,PR!$BI$889,IF($S$1098=800,PR!$BI$890,IF($S$1098=801,PR!$BI$891,IF($S$1098=802,PR!$BI$892,IF($S$1098=803,PR!$BI$893,IF($S$1098=804,PR!$BI$894,IF($S$1098=805,PR!$BI$895,IF($S$1098=806,PR!$BI$896,IF($S$1098=807,PR!$BI$897,IF($S$1098=808,PR!$BI$898,IF($S$1098=809,PR!$BI$899,IF($S$1098=810,PR!$BI$900,IF($S$1098=811,PR!$BI$901,IF($S$1098=812,PR!$BI$902,IF($S$1098=813,PR!$BI$903,IF($S$1098=814,PR!$BI$904,IF($S$1098=815,PR!$BI$905,IF($S$1098=816,PR!$BI$906,IF($S$1098=817,PR!$BI$907,IF($S$1098=818,PR!$BI$908,IF($S$1098=819,PR!$BI$909,IF($S$1098=820,PR!$BI$910,IF($S$1098=821,PR!$BI$911,IF($S$1098=822,PR!$BI$912,IF($S$1098=823,PR!$BI$913,IF($S$1098=824,PR!$BI$914,IF($S$1098=825,PR!$BI$915,IF($S$1098=826,PR!$BI$916,IF($S$1098=827,PR!$BI$917,IF($S$1098=828,PR!$BI$918,IF($S$1098=829,PR!$BI$919,IF($S$1098=830,PR!$BI$920,IF($S$1098=831,PR!$BI$921,IF($S$1098=832,PR!$BI$922,IF($S$1098=833,PR!$BI$923,IF($S$1098=834,PR!$BI$924,IF($S$1098=835,PR!$BI$925,IF($S$1098=836,PR!$BI$926,IF($S$1098=837,PR!$BI$927,IF($S$1098=838,PR!$BI$928,IF($S$1098=839,PR!$BI$929,IF($S$1098=840,PR!$BI$930,"-"))))))))))))))))))))))))))))))))))))))))))))))))))))))))))))</f>
        <v>0</v>
      </c>
      <c r="I1111" s="602">
        <f>IF($S$1098=781,PR!$BJ$871,IF($S$1098=782,PR!$BJ$872,IF($S$1098=783,PR!$BJ$873,IF($S$1098=784,PR!$BJ$874,IF($S$1098=785,PR!$BJ$875,IF($S$1098=786,PR!$BJ$876,IF($S$1098=787,PR!$BJ$877,IF($S$1098=788,PR!$BJ$878,IF($S$1098=789,PR!$BJ$879,IF($S$1098=790,PR!$BJ$880,IF($S$1098=791,PR!$BJ$881,IF($S$1098=792,PR!$BJ$882,IF($S$1098=793,PR!$BJ$883,IF($S$1098=794,PR!$BJ$884,IF($S$1098=795,PR!$BJ$885,IF($S$1098=796,PR!$BJ$886,IF($S$1098=797,PR!$BJ$887,IF($S$1098=798,PR!$BJ$888,IF($S$1098=799,PR!$BJ$889,IF($S$1098=800,PR!$BJ$890,IF($S$1098=801,PR!$BJ$891,IF($S$1098=802,PR!$BJ$892,IF($S$1098=803,PR!$BJ$893,IF($S$1098=804,PR!$BJ$894,IF($S$1098=805,PR!$BJ$895,IF($S$1098=806,PR!$BJ$896,IF($S$1098=807,PR!$BJ$897,IF($S$1098=808,PR!$BJ$898,IF($S$1098=809,PR!$BJ$899,IF($S$1098=810,PR!$BJ$900,IF($S$1098=811,PR!$BJ$901,IF($S$1098=812,PR!$BJ$902,IF($S$1098=813,PR!$BJ$903,IF($S$1098=814,PR!$BJ$904,IF($S$1098=815,PR!$BJ$905,IF($S$1098=816,PR!$BJ$906,IF($S$1098=817,PR!$BJ$907,IF($S$1098=818,PR!$BJ$908,IF($S$1098=819,PR!$BJ$909,IF($S$1098=820,PR!$BJ$910,IF($S$1098=821,PR!$BJ$911,IF($S$1098=822,PR!$BJ$912,IF($S$1098=823,PR!$BJ$913,IF($S$1098=824,PR!$BJ$914,IF($S$1098=825,PR!$BJ$915,IF($S$1098=826,PR!$BJ$916,IF($S$1098=827,PR!$BJ$917,IF($S$1098=828,PR!$BJ$918,IF($S$1098=829,PR!$BJ$919,IF($S$1098=830,PR!$BJ$920,IF($S$1098=831,PR!$BJ$921,IF($S$1098=832,PR!$BJ$922,IF($S$1098=833,PR!$BJ$923,IF($S$1098=834,PR!$BJ$924,IF($S$1098=835,PR!$BJ$925,IF($S$1098=836,PR!$BJ$926,IF($S$1098=837,PR!$BJ$927,IF($S$1098=838,PR!$BJ$928,IF($S$1098=839,PR!$BJ$929,IF($S$1098=840,PR!$BJ$930,"-"))))))))))))))))))))))))))))))))))))))))))))))))))))))))))))</f>
        <v>0</v>
      </c>
      <c r="J1111" s="602">
        <f>IF($S$1098=781,PR!$BK$871,IF($S$1098=782,PR!$BK$872,IF($S$1098=783,PR!$BK$873,IF($S$1098=784,PR!$BK$874,IF($S$1098=785,PR!$BK$875,IF($S$1098=786,PR!$BK$876,IF($S$1098=787,PR!$BK$877,IF($S$1098=788,PR!$BK$878,IF($S$1098=789,PR!$BK$879,IF($S$1098=790,PR!$BK$880,IF($S$1098=791,PR!$BK$881,IF($S$1098=792,PR!$BK$882,IF($S$1098=793,PR!$BK$883,IF($S$1098=794,PR!$BK$884,IF($S$1098=795,PR!$BK$885,IF($S$1098=796,PR!$BK$886,IF($S$1098=797,PR!$BK$887,IF($S$1098=798,PR!$BK$888,IF($S$1098=799,PR!$BK$889,IF($S$1098=800,PR!$BK$890,IF($S$1098=801,PR!$BK$891,IF($S$1098=802,PR!$BK$892,IF($S$1098=803,PR!$BK$893,IF($S$1098=804,PR!$BK$894,IF($S$1098=805,PR!$BK$895,IF($S$1098=806,PR!$BK$896,IF($S$1098=807,PR!$BK$897,IF($S$1098=808,PR!$BK$898,IF($S$1098=809,PR!$BK$899,IF($S$1098=810,PR!$BK$900,IF($S$1098=811,PR!$BK$901,IF($S$1098=812,PR!$BK$902,IF($S$1098=813,PR!$BK$903,IF($S$1098=814,PR!$BK$904,IF($S$1098=815,PR!$BK$905,IF($S$1098=816,PR!$BK$906,IF($S$1098=817,PR!$BK$907,IF($S$1098=818,PR!$BK$908,IF($S$1098=819,PR!$BK$909,IF($S$1098=820,PR!$BK$910,IF($S$1098=821,PR!$BK$911,IF($S$1098=822,PR!$BK$912,IF($S$1098=823,PR!$BK$913,IF($S$1098=824,PR!$BK$914,IF($S$1098=825,PR!$BK$915,IF($S$1098=826,PR!$BK$916,IF($S$1098=827,PR!$BK$917,IF($S$1098=828,PR!$BK$918,IF($S$1098=829,PR!$BK$919,IF($S$1098=830,PR!$BK$920,IF($S$1098=831,PR!$BK$921,IF($S$1098=832,PR!$BK$922,IF($S$1098=833,PR!$BK$923,IF($S$1098=834,PR!$BK$924,IF($S$1098=835,PR!$BK$925,IF($S$1098=836,PR!$BK$926,IF($S$1098=837,PR!$BK$927,IF($S$1098=838,PR!$BK$928,IF($S$1098=839,PR!$BK$929,IF($S$1098=840,PR!$BK$930,"-"))))))))))))))))))))))))))))))))))))))))))))))))))))))))))))</f>
        <v>30000</v>
      </c>
      <c r="K1111" s="602">
        <f>IF($S$1098=781,PR!$BL$871,IF($S$1098=782,PR!$BL$872,IF($S$1098=783,PR!$BL$873,IF($S$1098=784,PR!$BL$874,IF($S$1098=785,PR!$BL$875,IF($S$1098=786,PR!$BL$876,IF($S$1098=787,PR!$BL$877,IF($S$1098=788,PR!$BL$878,IF($S$1098=789,PR!$BL$879,IF($S$1098=790,PR!$BL$880,IF($S$1098=791,PR!$BL$881,IF($S$1098=792,PR!$BL$882,IF($S$1098=793,PR!$BL$883,IF($S$1098=794,PR!$BL$884,IF($S$1098=795,PR!$BL$885,IF($S$1098=796,PR!$BL$886,IF($S$1098=797,PR!$BL$887,IF($S$1098=798,PR!$BL$888,IF($S$1098=799,PR!$BL$889,IF($S$1098=800,PR!$BL$890,IF($S$1098=801,PR!$BL$891,IF($S$1098=802,PR!$BL$892,IF($S$1098=803,PR!$BL$893,IF($S$1098=804,PR!$BL$894,IF($S$1098=805,PR!$BL$895,IF($S$1098=806,PR!$BL$896,IF($S$1098=807,PR!$BL$897,IF($S$1098=808,PR!$BL$898,IF($S$1098=809,PR!$BL$899,IF($S$1098=810,PR!$BL$900,IF($S$1098=811,PR!$BL$901,IF($S$1098=812,PR!$BL$902,IF($S$1098=813,PR!$BL$903,IF($S$1098=814,PR!$BL$904,IF($S$1098=815,PR!$BL$905,IF($S$1098=816,PR!$BL$906,IF($S$1098=817,PR!$BL$907,IF($S$1098=818,PR!$BL$908,IF($S$1098=819,PR!$BL$909,IF($S$1098=820,PR!$BL$910,IF($S$1098=821,PR!$BL$911,IF($S$1098=822,PR!$BL$912,IF($S$1098=823,PR!$BL$913,IF($S$1098=824,PR!$BL$914,IF($S$1098=825,PR!$BL$915,IF($S$1098=826,PR!$BL$916,IF($S$1098=827,PR!$BL$917,IF($S$1098=828,PR!$BL$918,IF($S$1098=829,PR!$BL$919,IF($S$1098=830,PR!$BL$920,IF($S$1098=831,PR!$BL$921,IF($S$1098=832,PR!$BL$922,IF($S$1098=833,PR!$BL$923,IF($S$1098=834,PR!$BL$924,IF($S$1098=835,PR!$BL$925,IF($S$1098=836,PR!$BL$926,IF($S$1098=837,PR!$BL$927,IF($S$1098=838,PR!$BL$928,IF($S$1098=839,PR!$BL$929,IF($S$1098=840,PR!$BL$930,"-"))))))))))))))))))))))))))))))))))))))))))))))))))))))))))))</f>
        <v>0</v>
      </c>
      <c r="L1111" s="602">
        <f>IF($S$1098=781,PR!$BM$871,IF($S$1098=782,PR!$BM$872,IF($S$1098=783,PR!$BM$873,IF($S$1098=784,PR!$BM$874,IF($S$1098=785,PR!$BM$875,IF($S$1098=786,PR!$BM$876,IF($S$1098=787,PR!$BM$877,IF($S$1098=788,PR!$BM$878,IF($S$1098=789,PR!$BM$879,IF($S$1098=790,PR!$BM$880,IF($S$1098=791,PR!$BM$881,IF($S$1098=792,PR!$BM$882,IF($S$1098=793,PR!$BM$883,IF($S$1098=794,PR!$BM$884,IF($S$1098=795,PR!$BM$885,IF($S$1098=796,PR!$BM$886,IF($S$1098=797,PR!$BM$887,IF($S$1098=798,PR!$BM$888,IF($S$1098=799,PR!$BM$889,IF($S$1098=800,PR!$BM$890,IF($S$1098=801,PR!$BM$891,IF($S$1098=802,PR!$BM$892,IF($S$1098=803,PR!$BM$893,IF($S$1098=804,PR!$BM$894,IF($S$1098=805,PR!$BM$895,IF($S$1098=806,PR!$BM$896,IF($S$1098=807,PR!$BM$897,IF($S$1098=808,PR!$BM$898,IF($S$1098=809,PR!$BM$899,IF($S$1098=810,PR!$BM$900,IF($S$1098=811,PR!$BM$901,IF($S$1098=812,PR!$BM$902,IF($S$1098=813,PR!$BM$903,IF($S$1098=814,PR!$BM$904,IF($S$1098=815,PR!$BM$905,IF($S$1098=816,PR!$BM$906,IF($S$1098=817,PR!$BM$907,IF($S$1098=818,PR!$BM$908,IF($S$1098=819,PR!$BM$909,IF($S$1098=820,PR!$BM$910,IF($S$1098=821,PR!$BM$911,IF($S$1098=822,PR!$BM$912,IF($S$1098=823,PR!$BM$913,IF($S$1098=824,PR!$BM$914,IF($S$1098=825,PR!$BM$915,IF($S$1098=826,PR!$BM$916,IF($S$1098=827,PR!$BM$917,IF($S$1098=828,PR!$BM$918,IF($S$1098=829,PR!$BM$919,IF($S$1098=830,PR!$BM$920,IF($S$1098=831,PR!$BM$921,IF($S$1098=832,PR!$BM$922,IF($S$1098=833,PR!$BM$923,IF($S$1098=834,PR!$BM$924,IF($S$1098=835,PR!$BM$925,IF($S$1098=836,PR!$BM$926,IF($S$1098=837,PR!$BM$927,IF($S$1098=838,PR!$BM$928,IF($S$1098=839,PR!$BM$929,IF($S$1098=840,PR!$BM$930,"-"))))))))))))))))))))))))))))))))))))))))))))))))))))))))))))</f>
        <v>0</v>
      </c>
      <c r="M1111" s="602">
        <f>IF($S$1098=781,PR!$BN$871,IF($S$1098=782,PR!$BN$872,IF($S$1098=783,PR!$BN$873,IF($S$1098=784,PR!$BN$874,IF($S$1098=785,PR!$BN$875,IF($S$1098=786,PR!$BN$876,IF($S$1098=787,PR!$BN$877,IF($S$1098=788,PR!$BN$878,IF($S$1098=789,PR!$BN$879,IF($S$1098=790,PR!$BN$880,IF($S$1098=791,PR!$BN$881,IF($S$1098=792,PR!$BN$882,IF($S$1098=793,PR!$BN$883,IF($S$1098=794,PR!$BN$884,IF($S$1098=795,PR!$BN$885,IF($S$1098=796,PR!$BN$886,IF($S$1098=797,PR!$BN$887,IF($S$1098=798,PR!$BN$888,IF($S$1098=799,PR!$BN$889,IF($S$1098=800,PR!$BN$890,IF($S$1098=801,PR!$BN$891,IF($S$1098=802,PR!$BN$892,IF($S$1098=803,PR!$BN$893,IF($S$1098=804,PR!$BN$894,IF($S$1098=805,PR!$BN$895,IF($S$1098=806,PR!$BN$896,IF($S$1098=807,PR!$BN$897,IF($S$1098=808,PR!$BN$898,IF($S$1098=809,PR!$BN$899,IF($S$1098=810,PR!$BN$900,IF($S$1098=811,PR!$BN$901,IF($S$1098=812,PR!$BN$902,IF($S$1098=813,PR!$BN$903,IF($S$1098=814,PR!$BN$904,IF($S$1098=815,PR!$BN$905,IF($S$1098=816,PR!$BN$906,IF($S$1098=817,PR!$BN$907,IF($S$1098=818,PR!$BN$908,IF($S$1098=819,PR!$BN$909,IF($S$1098=820,PR!$BN$910,IF($S$1098=821,PR!$BN$911,IF($S$1098=822,PR!$BN$912,IF($S$1098=823,PR!$BN$913,IF($S$1098=824,PR!$BN$914,IF($S$1098=825,PR!$BN$915,IF($S$1098=826,PR!$BN$916,IF($S$1098=827,PR!$BN$917,IF($S$1098=828,PR!$BN$918,IF($S$1098=829,PR!$BN$919,IF($S$1098=830,PR!$BN$920,IF($S$1098=831,PR!$BN$921,IF($S$1098=832,PR!$BN$922,IF($S$1098=833,PR!$BN$923,IF($S$1098=834,PR!$BN$924,IF($S$1098=835,PR!$BN$925,IF($S$1098=836,PR!$BN$926,IF($S$1098=837,PR!$BN$927,IF($S$1098=838,PR!$BN$928,IF($S$1098=839,PR!$BN$929,IF($S$1098=840,PR!$BN$930,"-"))))))))))))))))))))))))))))))))))))))))))))))))))))))))))))</f>
        <v>0</v>
      </c>
      <c r="N1111" s="602">
        <f>IF($S$1098=781,PR!$BO$871,IF($S$1098=782,PR!$BO$872,IF($S$1098=783,PR!$BO$873,IF($S$1098=784,PR!$BO$874,IF($S$1098=785,PR!$BO$875,IF($S$1098=786,PR!$BO$876,IF($S$1098=787,PR!$BO$877,IF($S$1098=788,PR!$BO$878,IF($S$1098=789,PR!$BO$879,IF($S$1098=790,PR!$BO$880,IF($S$1098=791,PR!$BO$881,IF($S$1098=792,PR!$BO$882,IF($S$1098=793,PR!$BO$883,IF($S$1098=794,PR!$BO$884,IF($S$1098=795,PR!$BO$885,IF($S$1098=796,PR!$BO$886,IF($S$1098=797,PR!$BO$887,IF($S$1098=798,PR!$BO$888,IF($S$1098=799,PR!$BO$889,IF($S$1098=800,PR!$BO$890,IF($S$1098=801,PR!$BO$891,IF($S$1098=802,PR!$BO$892,IF($S$1098=803,PR!$BO$893,IF($S$1098=804,PR!$BO$894,IF($S$1098=805,PR!$BO$895,IF($S$1098=806,PR!$BO$896,IF($S$1098=807,PR!$BO$897,IF($S$1098=808,PR!$BO$898,IF($S$1098=809,PR!$BO$899,IF($S$1098=810,PR!$BO$900,IF($S$1098=811,PR!$BO$901,IF($S$1098=812,PR!$BO$902,IF($S$1098=813,PR!$BO$903,IF($S$1098=814,PR!$BO$904,IF($S$1098=815,PR!$BO$905,IF($S$1098=816,PR!$BO$906,IF($S$1098=817,PR!$BO$907,IF($S$1098=818,PR!$BO$908,IF($S$1098=819,PR!$BO$909,IF($S$1098=820,PR!$BO$910,IF($S$1098=821,PR!$BO$911,IF($S$1098=822,PR!$BO$912,IF($S$1098=823,PR!$BO$913,IF($S$1098=824,PR!$BO$914,IF($S$1098=825,PR!$BO$915,IF($S$1098=826,PR!$BO$916,IF($S$1098=827,PR!$BO$917,IF($S$1098=828,PR!$BO$918,IF($S$1098=829,PR!$BO$919,IF($S$1098=830,PR!$BO$920,IF($S$1098=831,PR!$BO$921,IF($S$1098=832,PR!$BO$922,IF($S$1098=833,PR!$BO$923,IF($S$1098=834,PR!$BO$924,IF($S$1098=835,PR!$BO$925,IF($S$1098=836,PR!$BO$926,IF($S$1098=837,PR!$BO$927,IF($S$1098=838,PR!$BO$928,IF($S$1098=839,PR!$BO$929,IF($S$1098=840,PR!$BO$930,"-"))))))))))))))))))))))))))))))))))))))))))))))))))))))))))))</f>
        <v>0</v>
      </c>
      <c r="O1111" s="602">
        <f>IF($S$1098=781,PR!$BP$871,IF($S$1098=782,PR!$BP$872,IF($S$1098=783,PR!$BP$873,IF($S$1098=784,PR!$BP$874,IF($S$1098=785,PR!$BP$875,IF($S$1098=786,PR!$BP$876,IF($S$1098=787,PR!$BP$877,IF($S$1098=788,PR!$BP$878,IF($S$1098=789,PR!$BP$879,IF($S$1098=790,PR!$BP$880,IF($S$1098=791,PR!$BP$881,IF($S$1098=792,PR!$BP$882,IF($S$1098=793,PR!$BP$883,IF($S$1098=794,PR!$BP$884,IF($S$1098=795,PR!$BP$885,IF($S$1098=796,PR!$BP$886,IF($S$1098=797,PR!$BP$887,IF($S$1098=798,PR!$BP$888,IF($S$1098=799,PR!$BP$889,IF($S$1098=800,PR!$BP$890,IF($S$1098=801,PR!$BP$891,IF($S$1098=802,PR!$BP$892,IF($S$1098=803,PR!$BP$893,IF($S$1098=804,PR!$BP$894,IF($S$1098=805,PR!$BP$895,IF($S$1098=806,PR!$BP$896,IF($S$1098=807,PR!$BP$897,IF($S$1098=808,PR!$BP$898,IF($S$1098=809,PR!$BP$899,IF($S$1098=810,PR!$BP$900,IF($S$1098=811,PR!$BP$901,IF($S$1098=812,PR!$BP$902,IF($S$1098=813,PR!$BP$903,IF($S$1098=814,PR!$BP$904,IF($S$1098=815,PR!$BP$905,IF($S$1098=816,PR!$BP$906,IF($S$1098=817,PR!$BP$907,IF($S$1098=818,PR!$BP$908,IF($S$1098=819,PR!$BP$909,IF($S$1098=820,PR!$BP$910,IF($S$1098=821,PR!$BP$911,IF($S$1098=822,PR!$BP$912,IF($S$1098=823,PR!$BP$913,IF($S$1098=824,PR!$BP$914,IF($S$1098=825,PR!$BP$915,IF($S$1098=826,PR!$BP$916,IF($S$1098=827,PR!$BP$917,IF($S$1098=828,PR!$BP$918,IF($S$1098=829,PR!$BP$919,IF($S$1098=830,PR!$BP$920,IF($S$1098=831,PR!$BP$921,IF($S$1098=832,PR!$BP$922,IF($S$1098=833,PR!$BP$923,IF($S$1098=834,PR!$BP$924,IF($S$1098=835,PR!$BP$925,IF($S$1098=836,PR!$BP$926,IF($S$1098=837,PR!$BP$927,IF($S$1098=838,PR!$BP$928,IF($S$1098=839,PR!$BP$929,IF($S$1098=840,PR!$BP$930,"-"))))))))))))))))))))))))))))))))))))))))))))))))))))))))))))</f>
        <v>0</v>
      </c>
      <c r="P1111" s="602">
        <f>IF($S$1098=781,PR!$BQ$871,IF($S$1098=782,PR!$BQ$872,IF($S$1098=783,PR!$BQ$873,IF($S$1098=784,PR!$BQ$874,IF($S$1098=785,PR!$BQ$875,IF($S$1098=786,PR!$BQ$876,IF($S$1098=787,PR!$BQ$877,IF($S$1098=788,PR!$BQ$878,IF($S$1098=789,PR!$BQ$879,IF($S$1098=790,PR!$BQ$880,IF($S$1098=791,PR!$BQ$881,IF($S$1098=792,PR!$BQ$882,IF($S$1098=793,PR!$BQ$883,IF($S$1098=794,PR!$BQ$884,IF($S$1098=795,PR!$BQ$885,IF($S$1098=796,PR!$BQ$886,IF($S$1098=797,PR!$BQ$887,IF($S$1098=798,PR!$BQ$888,IF($S$1098=799,PR!$BQ$889,IF($S$1098=800,PR!$BQ$890,IF($S$1098=801,PR!$BQ$891,IF($S$1098=802,PR!$BQ$892,IF($S$1098=803,PR!$BQ$893,IF($S$1098=804,PR!$BQ$894,IF($S$1098=805,PR!$BQ$895,IF($S$1098=806,PR!$BQ$896,IF($S$1098=807,PR!$BQ$897,IF($S$1098=808,PR!$BQ$898,IF($S$1098=809,PR!$BQ$899,IF($S$1098=810,PR!$BQ$900,IF($S$1098=811,PR!$BQ$901,IF($S$1098=812,PR!$BQ$902,IF($S$1098=813,PR!$BQ$903,IF($S$1098=814,PR!$BQ$904,IF($S$1098=815,PR!$BQ$905,IF($S$1098=816,PR!$BQ$906,IF($S$1098=817,PR!$BQ$907,IF($S$1098=818,PR!$BQ$908,IF($S$1098=819,PR!$BQ$909,IF($S$1098=820,PR!$BQ$910,IF($S$1098=821,PR!$BQ$911,IF($S$1098=822,PR!$BQ$912,IF($S$1098=823,PR!$BQ$913,IF($S$1098=824,PR!$BQ$914,IF($S$1098=825,PR!$BQ$915,IF($S$1098=826,PR!$BQ$916,IF($S$1098=827,PR!$BQ$917,IF($S$1098=828,PR!$BQ$918,IF($S$1098=829,PR!$BQ$919,IF($S$1098=830,PR!$BQ$920,IF($S$1098=831,PR!$BQ$921,IF($S$1098=832,PR!$BQ$922,IF($S$1098=833,PR!$BQ$923,IF($S$1098=834,PR!$BQ$924,IF($S$1098=835,PR!$BQ$925,IF($S$1098=836,PR!$BQ$926,IF($S$1098=837,PR!$BQ$927,IF($S$1098=838,PR!$BQ$928,IF($S$1098=839,PR!$BQ$929,IF($S$1098=840,PR!$BQ$930,"-"))))))))))))))))))))))))))))))))))))))))))))))))))))))))))))</f>
        <v>0</v>
      </c>
      <c r="Q1111" s="602">
        <f>IF($S$1098=781,PR!$BR$871,IF($S$1098=782,PR!$BR$872,IF($S$1098=783,PR!$BR$873,IF($S$1098=784,PR!$BR$874,IF($S$1098=785,PR!$BR$875,IF($S$1098=786,PR!$BR$876,IF($S$1098=787,PR!$BR$877,IF($S$1098=788,PR!$BR$878,IF($S$1098=789,PR!$BR$879,IF($S$1098=790,PR!$BR$880,IF($S$1098=791,PR!$BR$881,IF($S$1098=792,PR!$BR$882,IF($S$1098=793,PR!$BR$883,IF($S$1098=794,PR!$BR$884,IF($S$1098=795,PR!$BR$885,IF($S$1098=796,PR!$BR$886,IF($S$1098=797,PR!$BR$887,IF($S$1098=798,PR!$BR$888,IF($S$1098=799,PR!$BR$889,IF($S$1098=800,PR!$BR$890,IF($S$1098=801,PR!$BR$891,IF($S$1098=802,PR!$BR$892,IF($S$1098=803,PR!$BR$893,IF($S$1098=804,PR!$BR$894,IF($S$1098=805,PR!$BR$895,IF($S$1098=806,PR!$BR$896,IF($S$1098=807,PR!$BR$897,IF($S$1098=808,PR!$BR$898,IF($S$1098=809,PR!$BR$899,IF($S$1098=810,PR!$BR$900,IF($S$1098=811,PR!$BR$901,IF($S$1098=812,PR!$BR$902,IF($S$1098=813,PR!$BR$903,IF($S$1098=814,PR!$BR$904,IF($S$1098=815,PR!$BR$905,IF($S$1098=816,PR!$BR$906,IF($S$1098=817,PR!$BR$907,IF($S$1098=818,PR!$BR$908,IF($S$1098=819,PR!$BR$909,IF($S$1098=820,PR!$BR$910,IF($S$1098=821,PR!$BR$911,IF($S$1098=822,PR!$BR$912,IF($S$1098=823,PR!$BR$913,IF($S$1098=824,PR!$BR$914,IF($S$1098=825,PR!$BR$915,IF($S$1098=826,PR!$BR$916,IF($S$1098=827,PR!$BR$917,IF($S$1098=828,PR!$BR$918,IF($S$1098=829,PR!$BR$919,IF($S$1098=830,PR!$BR$920,IF($S$1098=831,PR!$BR$921,IF($S$1098=832,PR!$BR$922,IF($S$1098=833,PR!$BR$923,IF($S$1098=834,PR!$BR$924,IF($S$1098=835,PR!$BR$925,IF($S$1098=836,PR!$BR$926,IF($S$1098=837,PR!$BR$927,IF($S$1098=838,PR!$BR$928,IF($S$1098=839,PR!$BR$929,IF($S$1098=840,PR!$BR$930,"-"))))))))))))))))))))))))))))))))))))))))))))))))))))))))))))</f>
        <v>0</v>
      </c>
      <c r="R1111" s="602">
        <f>IF($S$1098=781,PR!$BS$871,IF($S$1098=782,PR!$BS$872,IF($S$1098=783,PR!$BS$873,IF($S$1098=784,PR!$BS$874,IF($S$1098=785,PR!$BS$875,IF($S$1098=786,PR!$BS$876,IF($S$1098=787,PR!$BS$877,IF($S$1098=788,PR!$BS$878,IF($S$1098=789,PR!$BS$879,IF($S$1098=790,PR!$BS$880,IF($S$1098=791,PR!$BS$881,IF($S$1098=792,PR!$BS$882,IF($S$1098=793,PR!$BS$883,IF($S$1098=794,PR!$BS$884,IF($S$1098=795,PR!$BS$885,IF($S$1098=796,PR!$BS$886,IF($S$1098=797,PR!$BS$887,IF($S$1098=798,PR!$BS$888,IF($S$1098=799,PR!$BS$889,IF($S$1098=800,PR!$BS$890,IF($S$1098=801,PR!$BS$891,IF($S$1098=802,PR!$BS$892,IF($S$1098=803,PR!$BS$893,IF($S$1098=804,PR!$BS$894,IF($S$1098=805,PR!$BS$895,IF($S$1098=806,PR!$BS$896,IF($S$1098=807,PR!$BS$897,IF($S$1098=808,PR!$BS$898,IF($S$1098=809,PR!$BS$899,IF($S$1098=810,PR!$BS$900,IF($S$1098=811,PR!$BS$901,IF($S$1098=812,PR!$BS$902,IF($S$1098=813,PR!$BS$903,IF($S$1098=814,PR!$BS$904,IF($S$1098=815,PR!$BS$905,IF($S$1098=816,PR!$BS$906,IF($S$1098=817,PR!$BS$907,IF($S$1098=818,PR!$BS$908,IF($S$1098=819,PR!$BS$909,IF($S$1098=820,PR!$BS$910,IF($S$1098=821,PR!$BS$911,IF($S$1098=822,PR!$BS$912,IF($S$1098=823,PR!$BS$913,IF($S$1098=824,PR!$BS$914,IF($S$1098=825,PR!$BS$915,IF($S$1098=826,PR!$BS$916,IF($S$1098=827,PR!$BS$917,IF($S$1098=828,PR!$BS$918,IF($S$1098=829,PR!$BS$919,IF($S$1098=830,PR!$BS$920,IF($S$1098=831,PR!$BS$921,IF($S$1098=832,PR!$BS$922,IF($S$1098=833,PR!$BS$923,IF($S$1098=834,PR!$BS$924,IF($S$1098=835,PR!$BS$925,IF($S$1098=836,PR!$BS$926,IF($S$1098=837,PR!$BS$927,IF($S$1098=838,PR!$BS$928,IF($S$1098=839,PR!$BS$929,IF($S$1098=840,PR!$BS$930,"-"))))))))))))))))))))))))))))))))))))))))))))))))))))))))))))</f>
        <v>0</v>
      </c>
      <c r="S1111" s="604"/>
      <c r="T1111" s="580"/>
      <c r="U1111" s="580"/>
      <c r="V1111" s="32"/>
      <c r="W1111" s="32"/>
      <c r="X1111" s="32"/>
    </row>
    <row r="1112" spans="2:24" ht="9.75" customHeight="1" x14ac:dyDescent="0.25">
      <c r="B1112" s="580"/>
      <c r="C1112" s="593"/>
      <c r="D1112" s="580"/>
      <c r="E1112" s="580"/>
      <c r="F1112" s="580"/>
      <c r="G1112" s="580"/>
      <c r="H1112" s="580"/>
      <c r="I1112" s="580"/>
      <c r="J1112" s="580"/>
      <c r="K1112" s="580"/>
      <c r="L1112" s="580"/>
      <c r="M1112" s="580"/>
      <c r="N1112" s="580"/>
      <c r="O1112" s="580"/>
      <c r="P1112" s="580"/>
      <c r="Q1112" s="580"/>
      <c r="R1112" s="583"/>
      <c r="S1112" s="580"/>
      <c r="T1112" s="580"/>
      <c r="U1112" s="580"/>
      <c r="V1112" s="32"/>
      <c r="W1112" s="32"/>
      <c r="X1112" s="32"/>
    </row>
    <row r="1113" spans="2:24" ht="30" x14ac:dyDescent="0.25">
      <c r="B1113" s="580"/>
      <c r="C1113" s="593"/>
      <c r="D1113" s="580"/>
      <c r="E1113" s="580"/>
      <c r="F1113" s="580"/>
      <c r="G1113" s="580"/>
      <c r="H1113" s="580"/>
      <c r="I1113" s="580"/>
      <c r="J1113" s="580"/>
      <c r="K1113" s="597" t="s">
        <v>783</v>
      </c>
      <c r="L1113" s="598" t="s">
        <v>418</v>
      </c>
      <c r="M1113" s="598" t="s">
        <v>419</v>
      </c>
      <c r="N1113" s="599" t="s">
        <v>420</v>
      </c>
      <c r="O1113" s="580"/>
      <c r="P1113" s="580"/>
      <c r="Q1113" s="580"/>
      <c r="R1113" s="580"/>
      <c r="S1113" s="580"/>
      <c r="T1113" s="580"/>
      <c r="U1113" s="580"/>
      <c r="V1113" s="32"/>
      <c r="W1113" s="32"/>
      <c r="X1113" s="32"/>
    </row>
    <row r="1114" spans="2:24" x14ac:dyDescent="0.25">
      <c r="B1114" s="580"/>
      <c r="C1114" s="593"/>
      <c r="D1114" s="580"/>
      <c r="E1114" s="580"/>
      <c r="F1114" s="580"/>
      <c r="G1114" s="580"/>
      <c r="H1114" s="580"/>
      <c r="I1114" s="580"/>
      <c r="J1114" s="580"/>
      <c r="K1114" s="583" t="s">
        <v>785</v>
      </c>
      <c r="L1114" s="580"/>
      <c r="M1114" s="580"/>
      <c r="N1114" s="580"/>
      <c r="O1114" s="580"/>
      <c r="P1114" s="580"/>
      <c r="Q1114" s="580"/>
      <c r="R1114" s="580"/>
      <c r="S1114" s="580"/>
      <c r="T1114" s="580"/>
      <c r="U1114" s="580"/>
      <c r="V1114" s="32"/>
      <c r="W1114" s="32"/>
      <c r="X1114" s="32"/>
    </row>
    <row r="1115" spans="2:24" x14ac:dyDescent="0.25">
      <c r="B1115" s="32"/>
      <c r="C1115" s="96"/>
      <c r="D1115" s="32"/>
      <c r="E1115" s="32"/>
      <c r="F1115" s="32"/>
      <c r="G1115" s="32"/>
      <c r="H1115" s="32"/>
      <c r="I1115" s="32"/>
      <c r="J1115" s="32"/>
      <c r="K1115" s="97">
        <v>781</v>
      </c>
      <c r="L1115" s="98" t="s">
        <v>1459</v>
      </c>
      <c r="M1115" s="99" t="s">
        <v>1452</v>
      </c>
      <c r="N1115" s="100" t="s">
        <v>1463</v>
      </c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</row>
    <row r="1116" spans="2:24" x14ac:dyDescent="0.25">
      <c r="B1116" s="32"/>
      <c r="C1116" s="32"/>
      <c r="D1116" s="32"/>
      <c r="E1116" s="32"/>
      <c r="F1116" s="32"/>
      <c r="G1116" s="32"/>
      <c r="H1116" s="32"/>
      <c r="I1116" s="32"/>
      <c r="J1116" s="32"/>
      <c r="K1116" s="97">
        <f>1+K1115</f>
        <v>782</v>
      </c>
      <c r="L1116" s="98" t="s">
        <v>1459</v>
      </c>
      <c r="M1116" s="99" t="s">
        <v>1452</v>
      </c>
      <c r="N1116" s="100" t="s">
        <v>1463</v>
      </c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</row>
    <row r="1117" spans="2:24" x14ac:dyDescent="0.25">
      <c r="B1117" s="32"/>
      <c r="C1117" s="32"/>
      <c r="D1117" s="32"/>
      <c r="E1117" s="32"/>
      <c r="F1117" s="32"/>
      <c r="G1117" s="32"/>
      <c r="H1117" s="32"/>
      <c r="I1117" s="32"/>
      <c r="J1117" s="32"/>
      <c r="K1117" s="97">
        <f t="shared" ref="K1117:K1174" si="14">1+K1116</f>
        <v>783</v>
      </c>
      <c r="L1117" s="98"/>
      <c r="M1117" s="99"/>
      <c r="N1117" s="100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</row>
    <row r="1118" spans="2:24" x14ac:dyDescent="0.25">
      <c r="B1118" s="32"/>
      <c r="C1118" s="32"/>
      <c r="D1118" s="32"/>
      <c r="E1118" s="32"/>
      <c r="F1118" s="32"/>
      <c r="G1118" s="32"/>
      <c r="H1118" s="32"/>
      <c r="I1118" s="32"/>
      <c r="J1118" s="32"/>
      <c r="K1118" s="97">
        <f t="shared" si="14"/>
        <v>784</v>
      </c>
      <c r="L1118" s="98" t="s">
        <v>1463</v>
      </c>
      <c r="M1118" s="99" t="s">
        <v>1459</v>
      </c>
      <c r="N1118" s="100" t="s">
        <v>1452</v>
      </c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</row>
    <row r="1119" spans="2:24" x14ac:dyDescent="0.25">
      <c r="B1119" s="32"/>
      <c r="C1119" s="32"/>
      <c r="D1119" s="32"/>
      <c r="E1119" s="32"/>
      <c r="F1119" s="32"/>
      <c r="G1119" s="32"/>
      <c r="H1119" s="32"/>
      <c r="I1119" s="32"/>
      <c r="J1119" s="32"/>
      <c r="K1119" s="97">
        <f t="shared" si="14"/>
        <v>785</v>
      </c>
      <c r="L1119" s="98" t="s">
        <v>1463</v>
      </c>
      <c r="M1119" s="99" t="s">
        <v>817</v>
      </c>
      <c r="N1119" s="100" t="s">
        <v>1459</v>
      </c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</row>
    <row r="1120" spans="2:24" x14ac:dyDescent="0.25">
      <c r="B1120" s="32"/>
      <c r="C1120" s="32"/>
      <c r="D1120" s="32"/>
      <c r="E1120" s="32"/>
      <c r="F1120" s="32"/>
      <c r="G1120" s="32"/>
      <c r="H1120" s="32"/>
      <c r="I1120" s="32"/>
      <c r="J1120" s="32"/>
      <c r="K1120" s="97">
        <f t="shared" si="14"/>
        <v>786</v>
      </c>
      <c r="L1120" s="98" t="s">
        <v>1463</v>
      </c>
      <c r="M1120" s="99" t="s">
        <v>825</v>
      </c>
      <c r="N1120" s="100" t="s">
        <v>817</v>
      </c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</row>
    <row r="1121" spans="2:24" x14ac:dyDescent="0.25">
      <c r="B1121" s="32"/>
      <c r="C1121" s="32"/>
      <c r="D1121" s="32"/>
      <c r="E1121" s="32"/>
      <c r="F1121" s="32"/>
      <c r="G1121" s="32"/>
      <c r="H1121" s="32"/>
      <c r="I1121" s="32"/>
      <c r="J1121" s="32"/>
      <c r="K1121" s="97">
        <f t="shared" si="14"/>
        <v>787</v>
      </c>
      <c r="L1121" s="98" t="s">
        <v>1463</v>
      </c>
      <c r="M1121" s="99" t="s">
        <v>817</v>
      </c>
      <c r="N1121" s="100" t="s">
        <v>1452</v>
      </c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</row>
    <row r="1122" spans="2:24" x14ac:dyDescent="0.25">
      <c r="B1122" s="32"/>
      <c r="C1122" s="32"/>
      <c r="D1122" s="32"/>
      <c r="E1122" s="32"/>
      <c r="F1122" s="32"/>
      <c r="G1122" s="32"/>
      <c r="H1122" s="32"/>
      <c r="I1122" s="32"/>
      <c r="J1122" s="32"/>
      <c r="K1122" s="97">
        <f t="shared" si="14"/>
        <v>788</v>
      </c>
      <c r="L1122" s="98" t="s">
        <v>626</v>
      </c>
      <c r="M1122" s="99" t="s">
        <v>1459</v>
      </c>
      <c r="N1122" s="100" t="s">
        <v>1461</v>
      </c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</row>
    <row r="1123" spans="2:24" x14ac:dyDescent="0.25">
      <c r="B1123" s="32"/>
      <c r="C1123" s="32"/>
      <c r="D1123" s="32"/>
      <c r="E1123" s="32"/>
      <c r="F1123" s="32"/>
      <c r="G1123" s="32"/>
      <c r="H1123" s="32"/>
      <c r="I1123" s="32"/>
      <c r="J1123" s="32"/>
      <c r="K1123" s="97">
        <f t="shared" si="14"/>
        <v>789</v>
      </c>
      <c r="L1123" s="98" t="s">
        <v>1459</v>
      </c>
      <c r="M1123" s="99" t="s">
        <v>1452</v>
      </c>
      <c r="N1123" s="100" t="s">
        <v>626</v>
      </c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</row>
    <row r="1124" spans="2:24" x14ac:dyDescent="0.25">
      <c r="B1124" s="32"/>
      <c r="C1124" s="32"/>
      <c r="D1124" s="32"/>
      <c r="E1124" s="32"/>
      <c r="F1124" s="32"/>
      <c r="G1124" s="32"/>
      <c r="H1124" s="32"/>
      <c r="I1124" s="32"/>
      <c r="J1124" s="32"/>
      <c r="K1124" s="97">
        <f t="shared" si="14"/>
        <v>790</v>
      </c>
      <c r="L1124" s="98" t="s">
        <v>1459</v>
      </c>
      <c r="M1124" s="99" t="s">
        <v>626</v>
      </c>
      <c r="N1124" s="100" t="s">
        <v>1452</v>
      </c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</row>
    <row r="1125" spans="2:24" x14ac:dyDescent="0.25">
      <c r="B1125" s="32"/>
      <c r="C1125" s="32"/>
      <c r="D1125" s="32"/>
      <c r="E1125" s="32"/>
      <c r="F1125" s="32"/>
      <c r="G1125" s="32"/>
      <c r="H1125" s="32"/>
      <c r="I1125" s="32"/>
      <c r="J1125" s="32"/>
      <c r="K1125" s="97">
        <f t="shared" si="14"/>
        <v>791</v>
      </c>
      <c r="L1125" s="98" t="s">
        <v>626</v>
      </c>
      <c r="M1125" s="99" t="s">
        <v>1452</v>
      </c>
      <c r="N1125" s="100" t="s">
        <v>817</v>
      </c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</row>
    <row r="1126" spans="2:24" x14ac:dyDescent="0.25">
      <c r="B1126" s="32"/>
      <c r="C1126" s="32"/>
      <c r="D1126" s="32"/>
      <c r="E1126" s="32"/>
      <c r="F1126" s="32"/>
      <c r="G1126" s="32"/>
      <c r="H1126" s="32"/>
      <c r="I1126" s="32"/>
      <c r="J1126" s="32"/>
      <c r="K1126" s="97">
        <f t="shared" si="14"/>
        <v>792</v>
      </c>
      <c r="L1126" s="98" t="s">
        <v>825</v>
      </c>
      <c r="M1126" s="99" t="s">
        <v>1463</v>
      </c>
      <c r="N1126" s="100" t="s">
        <v>626</v>
      </c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</row>
    <row r="1127" spans="2:24" x14ac:dyDescent="0.25">
      <c r="B1127" s="32"/>
      <c r="C1127" s="32"/>
      <c r="D1127" s="32"/>
      <c r="E1127" s="32"/>
      <c r="F1127" s="32"/>
      <c r="G1127" s="32"/>
      <c r="H1127" s="32"/>
      <c r="I1127" s="32"/>
      <c r="J1127" s="32"/>
      <c r="K1127" s="97">
        <f t="shared" si="14"/>
        <v>793</v>
      </c>
      <c r="L1127" s="98" t="s">
        <v>825</v>
      </c>
      <c r="M1127" s="99" t="s">
        <v>1463</v>
      </c>
      <c r="N1127" s="100" t="s">
        <v>626</v>
      </c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</row>
    <row r="1128" spans="2:24" x14ac:dyDescent="0.25">
      <c r="B1128" s="32"/>
      <c r="C1128" s="32"/>
      <c r="D1128" s="32"/>
      <c r="E1128" s="32"/>
      <c r="F1128" s="32"/>
      <c r="G1128" s="32"/>
      <c r="H1128" s="32"/>
      <c r="I1128" s="32"/>
      <c r="J1128" s="32"/>
      <c r="K1128" s="97">
        <f t="shared" si="14"/>
        <v>794</v>
      </c>
      <c r="L1128" s="98" t="s">
        <v>1463</v>
      </c>
      <c r="M1128" s="99" t="s">
        <v>825</v>
      </c>
      <c r="N1128" s="100" t="s">
        <v>626</v>
      </c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</row>
    <row r="1129" spans="2:24" x14ac:dyDescent="0.25">
      <c r="B1129" s="32"/>
      <c r="C1129" s="32"/>
      <c r="D1129" s="32"/>
      <c r="E1129" s="32"/>
      <c r="F1129" s="32"/>
      <c r="G1129" s="32"/>
      <c r="H1129" s="32"/>
      <c r="I1129" s="32"/>
      <c r="J1129" s="32"/>
      <c r="K1129" s="97">
        <f t="shared" si="14"/>
        <v>795</v>
      </c>
      <c r="L1129" s="98"/>
      <c r="M1129" s="99"/>
      <c r="N1129" s="100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</row>
    <row r="1130" spans="2:24" x14ac:dyDescent="0.25">
      <c r="B1130" s="32"/>
      <c r="C1130" s="32"/>
      <c r="D1130" s="32"/>
      <c r="E1130" s="32"/>
      <c r="F1130" s="32"/>
      <c r="G1130" s="32"/>
      <c r="H1130" s="32"/>
      <c r="I1130" s="32"/>
      <c r="J1130" s="32"/>
      <c r="K1130" s="97">
        <f t="shared" si="14"/>
        <v>796</v>
      </c>
      <c r="L1130" s="98"/>
      <c r="M1130" s="99"/>
      <c r="N1130" s="100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</row>
    <row r="1131" spans="2:24" x14ac:dyDescent="0.25">
      <c r="B1131" s="32"/>
      <c r="C1131" s="32"/>
      <c r="D1131" s="32"/>
      <c r="E1131" s="32"/>
      <c r="F1131" s="32"/>
      <c r="G1131" s="32"/>
      <c r="H1131" s="32"/>
      <c r="I1131" s="32"/>
      <c r="J1131" s="32"/>
      <c r="K1131" s="97">
        <f t="shared" si="14"/>
        <v>797</v>
      </c>
      <c r="L1131" s="98"/>
      <c r="M1131" s="99"/>
      <c r="N1131" s="100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</row>
    <row r="1132" spans="2:24" x14ac:dyDescent="0.25">
      <c r="B1132" s="32"/>
      <c r="C1132" s="32"/>
      <c r="D1132" s="32"/>
      <c r="E1132" s="32"/>
      <c r="F1132" s="32"/>
      <c r="G1132" s="32"/>
      <c r="H1132" s="32"/>
      <c r="I1132" s="32"/>
      <c r="J1132" s="32"/>
      <c r="K1132" s="97">
        <f t="shared" si="14"/>
        <v>798</v>
      </c>
      <c r="L1132" s="98" t="s">
        <v>1470</v>
      </c>
      <c r="M1132" s="99"/>
      <c r="N1132" s="100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</row>
    <row r="1133" spans="2:24" x14ac:dyDescent="0.25">
      <c r="B1133" s="32"/>
      <c r="C1133" s="32"/>
      <c r="D1133" s="32"/>
      <c r="E1133" s="32"/>
      <c r="F1133" s="32"/>
      <c r="G1133" s="32"/>
      <c r="H1133" s="32"/>
      <c r="I1133" s="32"/>
      <c r="J1133" s="32"/>
      <c r="K1133" s="97">
        <f t="shared" si="14"/>
        <v>799</v>
      </c>
      <c r="L1133" s="98" t="s">
        <v>1470</v>
      </c>
      <c r="M1133" s="99"/>
      <c r="N1133" s="100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</row>
    <row r="1134" spans="2:24" x14ac:dyDescent="0.25">
      <c r="B1134" s="32"/>
      <c r="C1134" s="32"/>
      <c r="D1134" s="32"/>
      <c r="E1134" s="32"/>
      <c r="F1134" s="32"/>
      <c r="G1134" s="32"/>
      <c r="H1134" s="32"/>
      <c r="I1134" s="32"/>
      <c r="J1134" s="32"/>
      <c r="K1134" s="97">
        <f t="shared" si="14"/>
        <v>800</v>
      </c>
      <c r="L1134" s="98" t="s">
        <v>1470</v>
      </c>
      <c r="M1134" s="99"/>
      <c r="N1134" s="100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</row>
    <row r="1135" spans="2:24" x14ac:dyDescent="0.25">
      <c r="B1135" s="32"/>
      <c r="C1135" s="32"/>
      <c r="D1135" s="32"/>
      <c r="E1135" s="32"/>
      <c r="F1135" s="32"/>
      <c r="G1135" s="32"/>
      <c r="H1135" s="32"/>
      <c r="I1135" s="32"/>
      <c r="J1135" s="32"/>
      <c r="K1135" s="97">
        <f t="shared" si="14"/>
        <v>801</v>
      </c>
      <c r="L1135" s="98" t="s">
        <v>1470</v>
      </c>
      <c r="M1135" s="99"/>
      <c r="N1135" s="100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</row>
    <row r="1136" spans="2:24" x14ac:dyDescent="0.25">
      <c r="B1136" s="32"/>
      <c r="C1136" s="32"/>
      <c r="D1136" s="32"/>
      <c r="E1136" s="32"/>
      <c r="F1136" s="32"/>
      <c r="G1136" s="32"/>
      <c r="H1136" s="32"/>
      <c r="I1136" s="32"/>
      <c r="J1136" s="32"/>
      <c r="K1136" s="97">
        <f t="shared" si="14"/>
        <v>802</v>
      </c>
      <c r="L1136" s="98" t="s">
        <v>1470</v>
      </c>
      <c r="M1136" s="99"/>
      <c r="N1136" s="100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</row>
    <row r="1137" spans="2:24" x14ac:dyDescent="0.25">
      <c r="B1137" s="32"/>
      <c r="C1137" s="32"/>
      <c r="D1137" s="32"/>
      <c r="E1137" s="32"/>
      <c r="F1137" s="32"/>
      <c r="G1137" s="32"/>
      <c r="H1137" s="32"/>
      <c r="I1137" s="32"/>
      <c r="J1137" s="32"/>
      <c r="K1137" s="97">
        <f t="shared" si="14"/>
        <v>803</v>
      </c>
      <c r="L1137" s="98" t="s">
        <v>1470</v>
      </c>
      <c r="M1137" s="99"/>
      <c r="N1137" s="100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</row>
    <row r="1138" spans="2:24" x14ac:dyDescent="0.25">
      <c r="B1138" s="32"/>
      <c r="C1138" s="32"/>
      <c r="D1138" s="32"/>
      <c r="E1138" s="32"/>
      <c r="F1138" s="32"/>
      <c r="G1138" s="32"/>
      <c r="H1138" s="32"/>
      <c r="I1138" s="32"/>
      <c r="J1138" s="32"/>
      <c r="K1138" s="97">
        <f t="shared" si="14"/>
        <v>804</v>
      </c>
      <c r="L1138" s="98" t="s">
        <v>1470</v>
      </c>
      <c r="M1138" s="99"/>
      <c r="N1138" s="100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</row>
    <row r="1139" spans="2:24" x14ac:dyDescent="0.25">
      <c r="B1139" s="32"/>
      <c r="C1139" s="32"/>
      <c r="D1139" s="32"/>
      <c r="E1139" s="32"/>
      <c r="F1139" s="32"/>
      <c r="G1139" s="32"/>
      <c r="H1139" s="32"/>
      <c r="I1139" s="32"/>
      <c r="J1139" s="32"/>
      <c r="K1139" s="97">
        <f t="shared" si="14"/>
        <v>805</v>
      </c>
      <c r="L1139" s="98" t="s">
        <v>1470</v>
      </c>
      <c r="M1139" s="99"/>
      <c r="N1139" s="100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</row>
    <row r="1140" spans="2:24" x14ac:dyDescent="0.25">
      <c r="B1140" s="32"/>
      <c r="C1140" s="32"/>
      <c r="D1140" s="32"/>
      <c r="E1140" s="32"/>
      <c r="F1140" s="32"/>
      <c r="G1140" s="32"/>
      <c r="H1140" s="32"/>
      <c r="I1140" s="32"/>
      <c r="J1140" s="32"/>
      <c r="K1140" s="97">
        <f t="shared" si="14"/>
        <v>806</v>
      </c>
      <c r="L1140" s="98" t="s">
        <v>1470</v>
      </c>
      <c r="M1140" s="99"/>
      <c r="N1140" s="100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</row>
    <row r="1141" spans="2:24" x14ac:dyDescent="0.25">
      <c r="B1141" s="32"/>
      <c r="C1141" s="32"/>
      <c r="D1141" s="32"/>
      <c r="E1141" s="32"/>
      <c r="F1141" s="32"/>
      <c r="G1141" s="32"/>
      <c r="H1141" s="32"/>
      <c r="I1141" s="32"/>
      <c r="J1141" s="32"/>
      <c r="K1141" s="97">
        <f t="shared" si="14"/>
        <v>807</v>
      </c>
      <c r="L1141" s="98" t="s">
        <v>1470</v>
      </c>
      <c r="M1141" s="99"/>
      <c r="N1141" s="100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</row>
    <row r="1142" spans="2:24" x14ac:dyDescent="0.25">
      <c r="B1142" s="32"/>
      <c r="C1142" s="32"/>
      <c r="D1142" s="32"/>
      <c r="E1142" s="32"/>
      <c r="F1142" s="32"/>
      <c r="G1142" s="32"/>
      <c r="H1142" s="32"/>
      <c r="I1142" s="32"/>
      <c r="J1142" s="32"/>
      <c r="K1142" s="97">
        <f t="shared" si="14"/>
        <v>808</v>
      </c>
      <c r="L1142" s="98" t="s">
        <v>1470</v>
      </c>
      <c r="M1142" s="99"/>
      <c r="N1142" s="100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</row>
    <row r="1143" spans="2:24" x14ac:dyDescent="0.25">
      <c r="B1143" s="32"/>
      <c r="C1143" s="32"/>
      <c r="D1143" s="32"/>
      <c r="E1143" s="32"/>
      <c r="F1143" s="32"/>
      <c r="G1143" s="32"/>
      <c r="H1143" s="32"/>
      <c r="I1143" s="32"/>
      <c r="J1143" s="32"/>
      <c r="K1143" s="97">
        <f t="shared" si="14"/>
        <v>809</v>
      </c>
      <c r="L1143" s="98" t="s">
        <v>1452</v>
      </c>
      <c r="M1143" s="99"/>
      <c r="N1143" s="100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</row>
    <row r="1144" spans="2:24" x14ac:dyDescent="0.25">
      <c r="B1144" s="32"/>
      <c r="C1144" s="32"/>
      <c r="D1144" s="32"/>
      <c r="E1144" s="32"/>
      <c r="F1144" s="32"/>
      <c r="G1144" s="32"/>
      <c r="H1144" s="32"/>
      <c r="I1144" s="32"/>
      <c r="J1144" s="32"/>
      <c r="K1144" s="97">
        <f t="shared" si="14"/>
        <v>810</v>
      </c>
      <c r="L1144" s="98" t="s">
        <v>1452</v>
      </c>
      <c r="M1144" s="99"/>
      <c r="N1144" s="100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</row>
    <row r="1145" spans="2:24" x14ac:dyDescent="0.25">
      <c r="B1145" s="32"/>
      <c r="C1145" s="32"/>
      <c r="D1145" s="32"/>
      <c r="E1145" s="32"/>
      <c r="F1145" s="32"/>
      <c r="G1145" s="32"/>
      <c r="H1145" s="32"/>
      <c r="I1145" s="32"/>
      <c r="J1145" s="32"/>
      <c r="K1145" s="97">
        <f t="shared" si="14"/>
        <v>811</v>
      </c>
      <c r="L1145" s="98" t="s">
        <v>1452</v>
      </c>
      <c r="M1145" s="99"/>
      <c r="N1145" s="100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</row>
    <row r="1146" spans="2:24" x14ac:dyDescent="0.25">
      <c r="B1146" s="32"/>
      <c r="C1146" s="32"/>
      <c r="D1146" s="32"/>
      <c r="E1146" s="32"/>
      <c r="F1146" s="32"/>
      <c r="G1146" s="32"/>
      <c r="H1146" s="32"/>
      <c r="I1146" s="32"/>
      <c r="J1146" s="32"/>
      <c r="K1146" s="97">
        <f t="shared" si="14"/>
        <v>812</v>
      </c>
      <c r="L1146" s="98" t="s">
        <v>1452</v>
      </c>
      <c r="M1146" s="99"/>
      <c r="N1146" s="100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</row>
    <row r="1147" spans="2:24" x14ac:dyDescent="0.25">
      <c r="B1147" s="32"/>
      <c r="C1147" s="32"/>
      <c r="D1147" s="32"/>
      <c r="E1147" s="32"/>
      <c r="F1147" s="32"/>
      <c r="G1147" s="32"/>
      <c r="H1147" s="32"/>
      <c r="I1147" s="32"/>
      <c r="J1147" s="32"/>
      <c r="K1147" s="97">
        <f t="shared" si="14"/>
        <v>813</v>
      </c>
      <c r="L1147" s="98" t="s">
        <v>1452</v>
      </c>
      <c r="M1147" s="99"/>
      <c r="N1147" s="100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</row>
    <row r="1148" spans="2:24" x14ac:dyDescent="0.25">
      <c r="B1148" s="32"/>
      <c r="C1148" s="32"/>
      <c r="D1148" s="32"/>
      <c r="E1148" s="32"/>
      <c r="F1148" s="32"/>
      <c r="G1148" s="32"/>
      <c r="H1148" s="32"/>
      <c r="I1148" s="32"/>
      <c r="J1148" s="32"/>
      <c r="K1148" s="97">
        <f t="shared" si="14"/>
        <v>814</v>
      </c>
      <c r="L1148" s="98" t="s">
        <v>1452</v>
      </c>
      <c r="M1148" s="99"/>
      <c r="N1148" s="100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</row>
    <row r="1149" spans="2:24" x14ac:dyDescent="0.25">
      <c r="B1149" s="32"/>
      <c r="C1149" s="32"/>
      <c r="D1149" s="32"/>
      <c r="E1149" s="32"/>
      <c r="F1149" s="32"/>
      <c r="G1149" s="32"/>
      <c r="H1149" s="32"/>
      <c r="I1149" s="32"/>
      <c r="J1149" s="32"/>
      <c r="K1149" s="97">
        <f t="shared" si="14"/>
        <v>815</v>
      </c>
      <c r="L1149" s="98" t="s">
        <v>1470</v>
      </c>
      <c r="M1149" s="99"/>
      <c r="N1149" s="100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</row>
    <row r="1150" spans="2:24" x14ac:dyDescent="0.25">
      <c r="B1150" s="32"/>
      <c r="C1150" s="32"/>
      <c r="D1150" s="32"/>
      <c r="E1150" s="32"/>
      <c r="F1150" s="32"/>
      <c r="G1150" s="32"/>
      <c r="H1150" s="32"/>
      <c r="I1150" s="32"/>
      <c r="J1150" s="32"/>
      <c r="K1150" s="97">
        <f t="shared" si="14"/>
        <v>816</v>
      </c>
      <c r="L1150" s="98" t="s">
        <v>1470</v>
      </c>
      <c r="M1150" s="99"/>
      <c r="N1150" s="100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</row>
    <row r="1151" spans="2:24" x14ac:dyDescent="0.25">
      <c r="B1151" s="32"/>
      <c r="C1151" s="32"/>
      <c r="D1151" s="32"/>
      <c r="E1151" s="32"/>
      <c r="F1151" s="32"/>
      <c r="G1151" s="32"/>
      <c r="H1151" s="32"/>
      <c r="I1151" s="32"/>
      <c r="J1151" s="32"/>
      <c r="K1151" s="97">
        <f t="shared" si="14"/>
        <v>817</v>
      </c>
      <c r="L1151" s="98" t="s">
        <v>1470</v>
      </c>
      <c r="M1151" s="99"/>
      <c r="N1151" s="100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</row>
    <row r="1152" spans="2:24" x14ac:dyDescent="0.25">
      <c r="B1152" s="32"/>
      <c r="C1152" s="32"/>
      <c r="D1152" s="32"/>
      <c r="E1152" s="32"/>
      <c r="F1152" s="32"/>
      <c r="G1152" s="32"/>
      <c r="H1152" s="32"/>
      <c r="I1152" s="32"/>
      <c r="J1152" s="32"/>
      <c r="K1152" s="97">
        <f t="shared" si="14"/>
        <v>818</v>
      </c>
      <c r="L1152" s="98"/>
      <c r="M1152" s="99"/>
      <c r="N1152" s="100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</row>
    <row r="1153" spans="2:24" x14ac:dyDescent="0.25">
      <c r="B1153" s="32"/>
      <c r="C1153" s="32"/>
      <c r="D1153" s="32"/>
      <c r="E1153" s="32"/>
      <c r="F1153" s="32"/>
      <c r="G1153" s="32"/>
      <c r="H1153" s="32"/>
      <c r="I1153" s="32"/>
      <c r="J1153" s="32"/>
      <c r="K1153" s="97">
        <f t="shared" si="14"/>
        <v>819</v>
      </c>
      <c r="L1153" s="98" t="s">
        <v>817</v>
      </c>
      <c r="M1153" s="99" t="s">
        <v>626</v>
      </c>
      <c r="N1153" s="100" t="s">
        <v>1452</v>
      </c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</row>
    <row r="1154" spans="2:24" x14ac:dyDescent="0.25">
      <c r="B1154" s="32"/>
      <c r="C1154" s="32"/>
      <c r="D1154" s="32"/>
      <c r="E1154" s="32"/>
      <c r="F1154" s="32"/>
      <c r="G1154" s="32"/>
      <c r="H1154" s="32"/>
      <c r="I1154" s="32"/>
      <c r="J1154" s="32"/>
      <c r="K1154" s="97">
        <f t="shared" si="14"/>
        <v>820</v>
      </c>
      <c r="L1154" s="98" t="s">
        <v>1452</v>
      </c>
      <c r="M1154" s="99" t="s">
        <v>817</v>
      </c>
      <c r="N1154" s="100" t="s">
        <v>626</v>
      </c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</row>
    <row r="1155" spans="2:24" x14ac:dyDescent="0.25">
      <c r="B1155" s="32"/>
      <c r="C1155" s="32"/>
      <c r="D1155" s="32"/>
      <c r="E1155" s="32"/>
      <c r="F1155" s="32"/>
      <c r="G1155" s="32"/>
      <c r="H1155" s="32"/>
      <c r="I1155" s="32"/>
      <c r="J1155" s="32"/>
      <c r="K1155" s="97">
        <f t="shared" si="14"/>
        <v>821</v>
      </c>
      <c r="L1155" s="98" t="s">
        <v>817</v>
      </c>
      <c r="M1155" s="99" t="s">
        <v>626</v>
      </c>
      <c r="N1155" s="100" t="s">
        <v>1452</v>
      </c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</row>
    <row r="1156" spans="2:24" x14ac:dyDescent="0.25">
      <c r="B1156" s="32"/>
      <c r="C1156" s="32"/>
      <c r="D1156" s="32"/>
      <c r="E1156" s="32"/>
      <c r="F1156" s="32"/>
      <c r="G1156" s="32"/>
      <c r="H1156" s="32"/>
      <c r="I1156" s="32"/>
      <c r="J1156" s="32"/>
      <c r="K1156" s="97">
        <f t="shared" si="14"/>
        <v>822</v>
      </c>
      <c r="L1156" s="98" t="s">
        <v>817</v>
      </c>
      <c r="M1156" s="99" t="s">
        <v>626</v>
      </c>
      <c r="N1156" s="100" t="s">
        <v>1452</v>
      </c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</row>
    <row r="1157" spans="2:24" x14ac:dyDescent="0.25">
      <c r="B1157" s="32"/>
      <c r="C1157" s="32"/>
      <c r="D1157" s="32"/>
      <c r="E1157" s="32"/>
      <c r="F1157" s="32"/>
      <c r="G1157" s="32"/>
      <c r="H1157" s="32"/>
      <c r="I1157" s="32"/>
      <c r="J1157" s="32"/>
      <c r="K1157" s="97">
        <f t="shared" si="14"/>
        <v>823</v>
      </c>
      <c r="L1157" s="98" t="s">
        <v>1463</v>
      </c>
      <c r="M1157" s="99" t="s">
        <v>626</v>
      </c>
      <c r="N1157" s="100" t="s">
        <v>1452</v>
      </c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</row>
    <row r="1158" spans="2:24" x14ac:dyDescent="0.25">
      <c r="B1158" s="32"/>
      <c r="C1158" s="32"/>
      <c r="D1158" s="32"/>
      <c r="E1158" s="32"/>
      <c r="F1158" s="32"/>
      <c r="G1158" s="32"/>
      <c r="H1158" s="32"/>
      <c r="I1158" s="32"/>
      <c r="J1158" s="32"/>
      <c r="K1158" s="97">
        <f t="shared" si="14"/>
        <v>824</v>
      </c>
      <c r="L1158" s="98" t="s">
        <v>1463</v>
      </c>
      <c r="M1158" s="99" t="s">
        <v>626</v>
      </c>
      <c r="N1158" s="100" t="s">
        <v>817</v>
      </c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</row>
    <row r="1159" spans="2:24" x14ac:dyDescent="0.25">
      <c r="B1159" s="32"/>
      <c r="C1159" s="32"/>
      <c r="D1159" s="32"/>
      <c r="E1159" s="32"/>
      <c r="F1159" s="32"/>
      <c r="G1159" s="32"/>
      <c r="H1159" s="32"/>
      <c r="I1159" s="32"/>
      <c r="J1159" s="32"/>
      <c r="K1159" s="97">
        <f t="shared" si="14"/>
        <v>825</v>
      </c>
      <c r="L1159" s="98" t="s">
        <v>1463</v>
      </c>
      <c r="M1159" s="99" t="s">
        <v>817</v>
      </c>
      <c r="N1159" s="100" t="s">
        <v>1452</v>
      </c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</row>
    <row r="1160" spans="2:24" x14ac:dyDescent="0.25">
      <c r="B1160" s="32"/>
      <c r="C1160" s="32"/>
      <c r="D1160" s="32"/>
      <c r="E1160" s="32"/>
      <c r="F1160" s="32"/>
      <c r="G1160" s="32"/>
      <c r="H1160" s="32"/>
      <c r="I1160" s="32"/>
      <c r="J1160" s="32"/>
      <c r="K1160" s="97">
        <f t="shared" si="14"/>
        <v>826</v>
      </c>
      <c r="L1160" s="98" t="s">
        <v>1463</v>
      </c>
      <c r="M1160" s="99" t="s">
        <v>817</v>
      </c>
      <c r="N1160" s="100" t="s">
        <v>626</v>
      </c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</row>
    <row r="1161" spans="2:24" x14ac:dyDescent="0.25">
      <c r="B1161" s="32"/>
      <c r="C1161" s="32"/>
      <c r="D1161" s="32"/>
      <c r="E1161" s="32"/>
      <c r="F1161" s="32"/>
      <c r="G1161" s="32"/>
      <c r="H1161" s="32"/>
      <c r="I1161" s="32"/>
      <c r="J1161" s="32"/>
      <c r="K1161" s="97">
        <f t="shared" si="14"/>
        <v>827</v>
      </c>
      <c r="L1161" s="98" t="s">
        <v>817</v>
      </c>
      <c r="M1161" s="99" t="s">
        <v>1452</v>
      </c>
      <c r="N1161" s="100" t="s">
        <v>626</v>
      </c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</row>
    <row r="1162" spans="2:24" x14ac:dyDescent="0.25">
      <c r="B1162" s="32"/>
      <c r="C1162" s="32"/>
      <c r="D1162" s="32"/>
      <c r="E1162" s="32"/>
      <c r="F1162" s="32"/>
      <c r="G1162" s="32"/>
      <c r="H1162" s="32"/>
      <c r="I1162" s="32"/>
      <c r="J1162" s="32"/>
      <c r="K1162" s="97">
        <f t="shared" si="14"/>
        <v>828</v>
      </c>
      <c r="L1162" s="98" t="s">
        <v>1463</v>
      </c>
      <c r="M1162" s="99" t="s">
        <v>817</v>
      </c>
      <c r="N1162" s="100" t="s">
        <v>626</v>
      </c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</row>
    <row r="1163" spans="2:24" x14ac:dyDescent="0.25">
      <c r="B1163" s="32"/>
      <c r="C1163" s="32"/>
      <c r="D1163" s="32"/>
      <c r="E1163" s="32"/>
      <c r="F1163" s="32"/>
      <c r="G1163" s="32"/>
      <c r="H1163" s="32"/>
      <c r="I1163" s="32"/>
      <c r="J1163" s="32"/>
      <c r="K1163" s="97">
        <f t="shared" si="14"/>
        <v>829</v>
      </c>
      <c r="L1163" s="98" t="s">
        <v>626</v>
      </c>
      <c r="M1163" s="99" t="s">
        <v>1452</v>
      </c>
      <c r="N1163" s="100" t="s">
        <v>1463</v>
      </c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</row>
    <row r="1164" spans="2:24" x14ac:dyDescent="0.25">
      <c r="B1164" s="32"/>
      <c r="C1164" s="32"/>
      <c r="D1164" s="32"/>
      <c r="E1164" s="32"/>
      <c r="F1164" s="32"/>
      <c r="G1164" s="32"/>
      <c r="H1164" s="32"/>
      <c r="I1164" s="32"/>
      <c r="J1164" s="32"/>
      <c r="K1164" s="97">
        <f t="shared" si="14"/>
        <v>830</v>
      </c>
      <c r="L1164" s="98" t="s">
        <v>626</v>
      </c>
      <c r="M1164" s="99" t="s">
        <v>1463</v>
      </c>
      <c r="N1164" s="100" t="s">
        <v>817</v>
      </c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</row>
    <row r="1165" spans="2:24" x14ac:dyDescent="0.25">
      <c r="B1165" s="32"/>
      <c r="C1165" s="32"/>
      <c r="D1165" s="32"/>
      <c r="E1165" s="32"/>
      <c r="F1165" s="32"/>
      <c r="G1165" s="32"/>
      <c r="H1165" s="32"/>
      <c r="I1165" s="32"/>
      <c r="J1165" s="32"/>
      <c r="K1165" s="97">
        <f t="shared" si="14"/>
        <v>831</v>
      </c>
      <c r="L1165" s="98" t="s">
        <v>817</v>
      </c>
      <c r="M1165" s="99" t="s">
        <v>1452</v>
      </c>
      <c r="N1165" s="100" t="s">
        <v>626</v>
      </c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</row>
    <row r="1166" spans="2:24" x14ac:dyDescent="0.25">
      <c r="B1166" s="32"/>
      <c r="C1166" s="32"/>
      <c r="D1166" s="32"/>
      <c r="E1166" s="32"/>
      <c r="F1166" s="32"/>
      <c r="G1166" s="32"/>
      <c r="H1166" s="32"/>
      <c r="I1166" s="32"/>
      <c r="J1166" s="32"/>
      <c r="K1166" s="97">
        <f t="shared" si="14"/>
        <v>832</v>
      </c>
      <c r="L1166" s="98"/>
      <c r="M1166" s="99"/>
      <c r="N1166" s="100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</row>
    <row r="1167" spans="2:24" x14ac:dyDescent="0.25">
      <c r="B1167" s="32"/>
      <c r="C1167" s="32"/>
      <c r="D1167" s="32"/>
      <c r="E1167" s="32"/>
      <c r="F1167" s="32"/>
      <c r="G1167" s="32"/>
      <c r="H1167" s="32"/>
      <c r="I1167" s="32"/>
      <c r="J1167" s="32"/>
      <c r="K1167" s="97">
        <f t="shared" si="14"/>
        <v>833</v>
      </c>
      <c r="L1167" s="98" t="s">
        <v>626</v>
      </c>
      <c r="M1167" s="99" t="s">
        <v>1463</v>
      </c>
      <c r="N1167" s="100" t="s">
        <v>1461</v>
      </c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</row>
    <row r="1168" spans="2:24" x14ac:dyDescent="0.25">
      <c r="B1168" s="32"/>
      <c r="C1168" s="32"/>
      <c r="D1168" s="32"/>
      <c r="E1168" s="32"/>
      <c r="F1168" s="32"/>
      <c r="G1168" s="32"/>
      <c r="H1168" s="32"/>
      <c r="I1168" s="32"/>
      <c r="J1168" s="32"/>
      <c r="K1168" s="97">
        <f t="shared" si="14"/>
        <v>834</v>
      </c>
      <c r="L1168" s="98" t="s">
        <v>1452</v>
      </c>
      <c r="M1168" s="99" t="s">
        <v>1463</v>
      </c>
      <c r="N1168" s="100" t="s">
        <v>626</v>
      </c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</row>
    <row r="1169" spans="2:24" x14ac:dyDescent="0.25">
      <c r="B1169" s="32"/>
      <c r="C1169" s="32"/>
      <c r="D1169" s="32"/>
      <c r="E1169" s="32"/>
      <c r="F1169" s="32"/>
      <c r="G1169" s="32"/>
      <c r="H1169" s="32"/>
      <c r="I1169" s="32"/>
      <c r="J1169" s="32"/>
      <c r="K1169" s="97">
        <f t="shared" si="14"/>
        <v>835</v>
      </c>
      <c r="L1169" s="98" t="s">
        <v>1452</v>
      </c>
      <c r="M1169" s="99" t="s">
        <v>1461</v>
      </c>
      <c r="N1169" s="100" t="s">
        <v>626</v>
      </c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</row>
    <row r="1170" spans="2:24" x14ac:dyDescent="0.25">
      <c r="B1170" s="32"/>
      <c r="C1170" s="32"/>
      <c r="D1170" s="32"/>
      <c r="E1170" s="32"/>
      <c r="F1170" s="32"/>
      <c r="G1170" s="32"/>
      <c r="H1170" s="32"/>
      <c r="I1170" s="32"/>
      <c r="J1170" s="32"/>
      <c r="K1170" s="97">
        <f t="shared" si="14"/>
        <v>836</v>
      </c>
      <c r="L1170" s="98" t="s">
        <v>1463</v>
      </c>
      <c r="M1170" s="99" t="s">
        <v>626</v>
      </c>
      <c r="N1170" s="100" t="s">
        <v>1461</v>
      </c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</row>
    <row r="1171" spans="2:24" x14ac:dyDescent="0.25">
      <c r="B1171" s="32"/>
      <c r="C1171" s="32"/>
      <c r="D1171" s="32"/>
      <c r="E1171" s="32"/>
      <c r="F1171" s="32"/>
      <c r="G1171" s="32"/>
      <c r="H1171" s="32"/>
      <c r="I1171" s="32"/>
      <c r="J1171" s="32"/>
      <c r="K1171" s="97">
        <f t="shared" si="14"/>
        <v>837</v>
      </c>
      <c r="L1171" s="98" t="s">
        <v>817</v>
      </c>
      <c r="M1171" s="99" t="s">
        <v>626</v>
      </c>
      <c r="N1171" s="100" t="s">
        <v>1452</v>
      </c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</row>
    <row r="1172" spans="2:24" x14ac:dyDescent="0.25">
      <c r="B1172" s="32"/>
      <c r="C1172" s="32"/>
      <c r="D1172" s="32"/>
      <c r="E1172" s="32"/>
      <c r="F1172" s="32"/>
      <c r="G1172" s="32"/>
      <c r="H1172" s="32"/>
      <c r="I1172" s="32"/>
      <c r="J1172" s="32"/>
      <c r="K1172" s="97">
        <f t="shared" si="14"/>
        <v>838</v>
      </c>
      <c r="L1172" s="98" t="s">
        <v>626</v>
      </c>
      <c r="M1172" s="99" t="s">
        <v>817</v>
      </c>
      <c r="N1172" s="100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</row>
    <row r="1173" spans="2:24" x14ac:dyDescent="0.25">
      <c r="B1173" s="32"/>
      <c r="C1173" s="32"/>
      <c r="D1173" s="32"/>
      <c r="E1173" s="32"/>
      <c r="F1173" s="32"/>
      <c r="G1173" s="32"/>
      <c r="H1173" s="32"/>
      <c r="I1173" s="32"/>
      <c r="J1173" s="32"/>
      <c r="K1173" s="97">
        <f t="shared" si="14"/>
        <v>839</v>
      </c>
      <c r="L1173" s="98" t="s">
        <v>817</v>
      </c>
      <c r="M1173" s="99"/>
      <c r="N1173" s="100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</row>
    <row r="1174" spans="2:24" x14ac:dyDescent="0.25">
      <c r="B1174" s="32"/>
      <c r="C1174" s="32"/>
      <c r="D1174" s="32"/>
      <c r="E1174" s="32"/>
      <c r="F1174" s="32"/>
      <c r="G1174" s="32"/>
      <c r="H1174" s="32"/>
      <c r="I1174" s="32"/>
      <c r="J1174" s="32"/>
      <c r="K1174" s="97">
        <f t="shared" si="14"/>
        <v>840</v>
      </c>
      <c r="L1174" s="98" t="s">
        <v>626</v>
      </c>
      <c r="M1174" s="99" t="s">
        <v>1461</v>
      </c>
      <c r="N1174" s="100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</row>
    <row r="1175" spans="2:24" x14ac:dyDescent="0.25">
      <c r="B1175" s="32"/>
      <c r="C1175" s="32"/>
      <c r="D1175" s="32"/>
      <c r="E1175" s="32"/>
      <c r="F1175" s="32"/>
      <c r="G1175" s="32"/>
      <c r="H1175" s="32"/>
      <c r="I1175" s="32"/>
      <c r="J1175" s="32"/>
      <c r="K1175" s="32"/>
      <c r="L1175" s="32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</row>
    <row r="1176" spans="2:24" x14ac:dyDescent="0.25">
      <c r="B1176" s="32"/>
      <c r="C1176" s="32"/>
      <c r="D1176" s="32"/>
      <c r="E1176" s="32"/>
      <c r="F1176" s="32"/>
      <c r="G1176" s="32"/>
      <c r="H1176" s="32"/>
      <c r="I1176" s="32"/>
      <c r="J1176" s="32"/>
      <c r="K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</row>
    <row r="1177" spans="2:24" x14ac:dyDescent="0.25">
      <c r="B1177" s="32"/>
      <c r="C1177" s="32"/>
      <c r="D1177" s="32"/>
      <c r="E1177" s="32"/>
      <c r="F1177" s="32"/>
      <c r="G1177" s="32"/>
      <c r="H1177" s="32"/>
      <c r="I1177" s="32"/>
      <c r="J1177" s="32"/>
      <c r="K1177" s="32"/>
      <c r="L1177" s="32"/>
      <c r="M1177" s="32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</row>
    <row r="1178" spans="2:24" x14ac:dyDescent="0.25">
      <c r="B1178" s="32"/>
      <c r="C1178" s="32"/>
      <c r="D1178" s="32"/>
      <c r="E1178" s="32"/>
      <c r="F1178" s="32"/>
      <c r="G1178" s="32"/>
      <c r="H1178" s="32"/>
      <c r="I1178" s="32"/>
      <c r="J1178" s="32"/>
      <c r="K1178" s="32"/>
      <c r="L1178" s="32"/>
      <c r="M1178" s="32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</row>
    <row r="1179" spans="2:24" x14ac:dyDescent="0.25">
      <c r="B1179" s="32"/>
      <c r="C1179" s="32"/>
      <c r="D1179" s="32"/>
      <c r="E1179" s="32"/>
      <c r="F1179" s="32"/>
      <c r="G1179" s="32"/>
      <c r="H1179" s="32"/>
      <c r="I1179" s="32"/>
      <c r="J1179" s="32"/>
      <c r="K1179" s="32"/>
      <c r="L1179" s="32"/>
      <c r="M1179" s="32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</row>
    <row r="1180" spans="2:24" x14ac:dyDescent="0.25">
      <c r="B1180" s="32"/>
      <c r="C1180" s="32"/>
      <c r="D1180" s="32"/>
      <c r="E1180" s="32"/>
      <c r="F1180" s="32"/>
      <c r="G1180" s="32"/>
      <c r="H1180" s="32"/>
      <c r="I1180" s="32"/>
      <c r="J1180" s="32"/>
      <c r="K1180" s="32"/>
      <c r="L1180" s="32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</row>
    <row r="1181" spans="2:24" x14ac:dyDescent="0.25">
      <c r="F1181" s="428"/>
      <c r="G1181" s="427"/>
      <c r="J1181" s="428" t="s">
        <v>2046</v>
      </c>
      <c r="V1181" s="32"/>
      <c r="W1181" s="32"/>
      <c r="X1181" s="32"/>
    </row>
    <row r="1182" spans="2:24" ht="30.75" customHeight="1" thickBot="1" x14ac:dyDescent="0.6">
      <c r="B1182" s="579"/>
      <c r="C1182" s="580"/>
      <c r="D1182" s="580"/>
      <c r="E1182" s="580"/>
      <c r="F1182" s="580"/>
      <c r="G1182" s="580"/>
      <c r="H1182" s="581" t="str">
        <f>IF($S$1183&gt;=1055,"LOT 21 LABORATORY REQUIREMENT - OBADA ANNEX",IF($S$1183&gt;=1039,"LOT 21 - LABORATORY REQUIREMENT - SHAJE ANNEX",IF($S$1183&gt;=981,"LOT 20 - LABORATORY - CHEMICAL PATHOLOGY",IF($S$1183&gt;=974,"LOT 19 - MICROBIOLOGY - INFECTION CONTROL",IF($S$1183&gt;=957,"LOT 19 - MICROBIOLOGY - SENSITIVITY DISCS",IF($S$1183&gt;=902,"LOT 18 - MICROBIOLOGY - REAGENT KITS",IF($S$1183&gt;=846,"LOT 17 - HISTOPATHOLOGY",IF($S$1183&gt;=760,"LOT 16 - HAEMATOLOGY",IF($S$1183&gt;=722,"LOT 15 - THEATRE DEPARTMENT",IF($S$1183&gt;=709,"LOT 14 - RADIOLOGY DEPARTMENT",IF($S$1183&gt;=702,"LOT 13 - PHARMACY - CONSUMABLES - SUTURES",IF($S$1183&gt;=684,"LOT 13 - PHARMACY - CONSUMABLES",IF($S$1183&gt;=669,"LOT 13 PHARMACY - DISINFECTANTS",IF($S$1183&gt;=651,"LOT 13 - PHARMACY - DERMATOLOGICAL PREPARATIONS",IF($S$1183&gt;=570,"LOT 13 - PHARMACY - DRESSINGS/CONSUMABLES",IF($S$1183&gt;=539,"LOT 12 - PHARMACY - ONCOLOGY DRUGS",IF($S$1183&gt;=494,"LOT 11 - PHARMACY - EYE/EAR MEDICATIONS",IF($S$1183&gt;=455,"LOT 10 - PHARMACY - RESPIRATORY TRACT DRUGS",IF($S$1183&gt;=424,"LOT 9 - PHARMACY GASTROINTESTINAL DRUGS",IF($S$1183&gt;=381,"LOT 8 - PHARMACY -OBSTETRICS/GYNAECOLOGY DRUGS",IF($S$1183&gt;=351,"LOT 7 - PHARMACY - HYPNOSEDATIVE DRUGS",IF($S$1183&gt;=285,"LOT 6 PHARMACY - BLOOD &amp; NUTRITIONAL DRUGS",IF($S$1183&gt;=194,"LOT 5 - I589PHARMACY - ANTI-INFECTIVE AGENTS",IF($S$1183&gt;=142,"LOT 4 - PHARMACY - ANTI-INFLAMMATORY/ANTI-PYRETIC/ANALGESICS",IF($S$1183&gt;=118,"LOT 3 - PHARMACY - ORAL HYPOGLYCAEMIC DRUGS",IF($S$1183&gt;=34,"LOT 3 - PHARMACY - ANTI-HYPERTENSIVES",IF($S$1183&gt;=19,"LOT 2 - PHARMACY - STERILE INTRAVENOUS FLUIDS",IF($S$1183&gt;=1,"LOT 1 - PHARMACY - ANTI-MALARIALS","-"))))))))))))))))))))))))))))</f>
        <v>LOT 17 - HISTOPATHOLOGY</v>
      </c>
      <c r="I1182" s="582"/>
      <c r="J1182" s="580"/>
      <c r="K1182" s="580"/>
      <c r="L1182" s="580"/>
      <c r="M1182" s="580"/>
      <c r="N1182" s="580"/>
      <c r="O1182" s="580"/>
      <c r="P1182" s="580"/>
      <c r="Q1182" s="580"/>
      <c r="R1182" s="583"/>
      <c r="S1182" s="580"/>
      <c r="T1182" s="580"/>
      <c r="U1182" s="580"/>
      <c r="V1182" s="32"/>
      <c r="W1182" s="32"/>
      <c r="X1182" s="32"/>
    </row>
    <row r="1183" spans="2:24" ht="32.25" customHeight="1" thickBot="1" x14ac:dyDescent="0.7">
      <c r="B1183" s="584"/>
      <c r="C1183" s="585" t="str">
        <f>IF($S$1183=841,PR!$B$931,IF($S$1183=842,PR!$B$932,IF($S$1183=843,PR!$B$933,IF($S$1183=844,PR!$B$934,IF($S$1183=845,PR!$B$935,IF($S$1183=846,PR!$B$942,IF($S$1183=847,PR!$B$943,IF($S$1183=848,PR!$B$944,IF($S$1183=849,PR!$B$945,IF($S$1183=850,PR!$B$946,IF($S$1183=851,PR!$B$947,IF($S$1183=852,PR!$B$948,IF($S$1183=853,PR!$B$949,IF($S$1183=854,PR!$B$950,IF($S$1183=855,PR!$B$951,IF($S$1183=856,PR!$B$952,IF($S$1183=857,PR!$B$953,IF($S$1183=858,PR!$B$954,IF($S$1183=859,PR!$B$955,IF($S$1183=860,PR!$B$956,IF($S$1183=861,PR!$B$957,IF($S$1183=862,PR!$B$958,IF($S$1183=863,PR!$B$959,IF($S$1183=864,PR!$B$960,IF($S$1183=865,PR!$B$961,IF($S$1183=866,PR!$B$962,IF($S$1183=867,PR!$B$963,IF($S$1183=868,PR!$B$964,IF($S$1183=869,PR!$B$965,IF($S$1183=870,PR!$B$966,IF($S$1183=871,PR!$B$967,IF($S$1183=872,PR!$B$968,IF($S$1183=873,PR!$B$969,IF($S$1183=874,PR!$B$970,IF($S$1183=875,PR!$B$971,IF($S$1183=876,PR!$B$972,IF($S$1183=877,PR!$B$973,IF($S$1183=878,PR!$B$974,IF($S$1183=879,PR!$B$975,IF($S$1183=880,PR!$B$976,IF($S$1183=881,PR!$B$977,IF($S$1183=882,PR!$B$978,IF($S$1183=883,PR!$B$979,IF($S$1183=884,PR!$B$980,IF($S$1183=885,PR!$B$981,IF($S$1183=886,PR!$B$982,IF($S$1183=887,PR!$B$983,IF($S$1183=888,PR!$B$984,IF($S$1183=889,PR!$B$985,IF($S$1183=890,PR!$B$986,IF($S$1183=891,PR!$B$987,IF($S$1183=892,PR!$B$988,IF($S$1183=893,PR!$B$989,IF($S$1183=894,PR!$B$990,IF($S$1183=895,PR!$B$991,IF($S$1183=896,PR!$B$992,IF($S$1183=897,PR!$B$993,IF($S$1183=898,PR!$B$994,IF($S$1183=899,PR!$B$995,IF($S$1183=900,PR!$B$996,"-"))))))))))))))))))))))))))))))))))))))))))))))))))))))))))))</f>
        <v>HEAMATOXYLIN</v>
      </c>
      <c r="D1183" s="586"/>
      <c r="E1183" s="586"/>
      <c r="F1183" s="586"/>
      <c r="G1183" s="586"/>
      <c r="H1183" s="586"/>
      <c r="I1183" s="586"/>
      <c r="J1183" s="586"/>
      <c r="K1183" s="586"/>
      <c r="L1183" s="586"/>
      <c r="M1183" s="586"/>
      <c r="N1183" s="586"/>
      <c r="O1183" s="586"/>
      <c r="P1183" s="587"/>
      <c r="Q1183" s="588"/>
      <c r="R1183" s="583"/>
      <c r="S1183" s="589">
        <v>900</v>
      </c>
      <c r="T1183" s="580"/>
      <c r="U1183" s="580"/>
      <c r="V1183" s="32"/>
      <c r="W1183" s="32"/>
      <c r="X1183" s="32"/>
    </row>
    <row r="1184" spans="2:24" ht="36.75" customHeight="1" thickBot="1" x14ac:dyDescent="0.7">
      <c r="B1184" s="580"/>
      <c r="C1184" s="590" t="s">
        <v>780</v>
      </c>
      <c r="D1184" s="585" t="str">
        <f>IF($S$1183=841,PR!$D$931,IF($S$1183=842,PR!$D$932,IF($S$1183=843,PR!$D$933,IF($S$1183=844,PR!$D$934,IF($S$1183=845,PR!$D$935,IF($S$1183=846,PR!$D$942,IF($S$1183=847,PR!$D$943,IF($S$1183=848,PR!$D$944,IF($S$1183=849,PR!$D$945,IF($S$1183=850,PR!$D$946,IF($S$1183=851,PR!$D$947,IF($S$1183=852,PR!$D$948,IF($S$1183=853,PR!$D$949,IF($S$1183=854,PR!$D$950,IF($S$1183=855,PR!$D$951,IF($S$1183=856,PR!$D$952,IF($S$1183=857,PR!$D$953,IF($S$1183=858,PR!$D$954,IF($S$1183=859,PR!$D$955,IF($S$1183=860,PR!$D$956,IF($S$1183=861,PR!$D$957,IF($S$1183=862,PR!$D$958,IF($S$1183=863,PR!$D$959,IF($S$1183=864,PR!$D$960,IF($S$1183=865,PR!$D$961,IF($S$1183=866,PR!$D$962,IF($S$1183=867,PR!$D$963,IF($S$1183=868,PR!$D$964,IF($S$1183=869,PR!$D$965,IF($S$1183=870,PR!$D$966,IF($S$1183=871,PR!$D$967,IF($S$1183=872,PR!$D$968,IF($S$1183=873,PR!$D$969,IF($S$1183=874,PR!$D$970,IF($S$1183=875,PR!$D$971,IF($S$1183=876,PR!$D$972,IF($S$1183=877,PR!$D$973,IF($S$1183=878,PR!$D$974,IF($S$1183=879,PR!$D$975,IF($S$1183=880,PR!$D$976,IF($S$1183=881,PR!$D$977,IF($S$1183=882,PR!$D$978,IF($S$1183=883,PR!$D$979,IF($S$1183=884,PR!$D$980,IF($S$1183=885,PR!$D$981,IF($S$1183=886,PR!$D$982,IF($S$1183=887,PR!$D$983,IF($S$1183=888,PR!$D$984,IF($S$1183=889,PR!$D$985,IF($S$1183=890,PR!$D$986,IF($S$1183=891,PR!$D$987,IF($S$1183=892,PR!$D$988,IF($S$1183=893,PR!$D$989,IF($S$1183=894,PR!$D$990,IF($S$1183=895,PR!$D$991,IF($S$1183=896,PR!$D$992,IF($S$1183=897,PR!$D$993,IF($S$1183=898,PR!$D$994,IF($S$1183=899,PR!$D$995,IF($S$1183=900,PR!$D$996,"-"))))))))))))))))))))))))))))))))))))))))))))))))))))))))))))</f>
        <v>25g</v>
      </c>
      <c r="E1184" s="586"/>
      <c r="F1184" s="586"/>
      <c r="G1184" s="587"/>
      <c r="H1184" s="786" t="s">
        <v>781</v>
      </c>
      <c r="I1184" s="786"/>
      <c r="J1184" s="787"/>
      <c r="K1184" s="788">
        <f>IF($S$1183=841,PR!$C$931,IF($S$1183=842,PR!$C$932,IF($S$1183=843,PR!$C$933,IF($S$1183=844,PR!$C$934,IF($S$1183=845,PR!$C$935,IF($S$1183=846,PR!$C$942,IF($S$1183=847,PR!$C$943,IF($S$1183=848,PR!$C$944,IF($S$1183=849,PR!$C$945,IF($S$1183=850,PR!$C$946,IF($S$1183=851,PR!$C$947,IF($S$1183=852,PR!$C$948,IF($S$1183=853,PR!$C$949,IF($S$1183=854,PR!$C$950,IF($S$1183=855,PR!$C$951,IF($S$1183=856,PR!$C$952,IF($S$1183=857,PR!$C$953,IF($S$1183=858,PR!$C$954,IF($S$1183=859,PR!$C$955,IF($S$1183=860,PR!$C$956,IF($S$1183=861,PR!$C$957,IF($S$1183=862,PR!$C$958,IF($S$1183=863,PR!$C$959,IF($S$1183=864,PR!$C$960,IF($S$1183=865,PR!$C$961,IF($S$1183=866,PR!$C$962,IF($S$1183=867,PR!$C$963,IF($S$1183=868,PR!$C$964,IF($S$1183=869,PR!$C$965,IF($S$1183=870,PR!$C$966,IF($S$1183=871,PR!$C$967,IF($S$1183=872,PR!$C$968,IF($S$1183=873,PR!$C$969,IF($S$1183=874,PR!$C$970,IF($S$1183=875,PR!$C$971,IF($S$1183=876,PR!$C$972,IF($S$1183=877,PR!$C$973,IF($S$1183=878,PR!$C$974,IF($S$1183=879,PR!$C$975,IF($S$1183=880,PR!$C$976,IF($S$1183=881,PR!$C$977,IF($S$1183=882,PR!$C$978,IF($S$1183=883,PR!$C$979,IF($S$1183=884,PR!$C$980,IF($S$1183=885,PR!$C$981,IF($S$1183=886,PR!$C$982,IF($S$1183=887,PR!$C$983,IF($S$1183=888,PR!$C$984,IF($S$1183=889,PR!$C$985,IF($S$1183=890,PR!$C$986,IF($S$1183=891,PR!$C$987,IF($S$1183=892,PR!$C$988,IF($S$1183=893,PR!$C$989,IF($S$1183=894,PR!$C$990,IF($S$1183=895,PR!$C$991,IF($S$1183=896,PR!$C$992,IF($S$1183=897,PR!$C$993,IF($S$1183=898,PR!$C$994,IF($S$1183=899,PR!$C$995,IF($S$1183=900,PR!$C$996,"-"))))))))))))))))))))))))))))))))))))))))))))))))))))))))))))</f>
        <v>5</v>
      </c>
      <c r="L1184" s="789"/>
      <c r="M1184" s="789"/>
      <c r="N1184" s="790"/>
      <c r="O1184" s="580"/>
      <c r="P1184" s="580"/>
      <c r="Q1184" s="580"/>
      <c r="R1184" s="583"/>
      <c r="S1184" s="580"/>
      <c r="T1184" s="580"/>
      <c r="U1184" s="580"/>
      <c r="V1184" s="32"/>
      <c r="W1184" s="32"/>
      <c r="X1184" s="32"/>
    </row>
    <row r="1185" spans="2:24" ht="13.5" customHeight="1" thickTop="1" x14ac:dyDescent="0.25">
      <c r="B1185" s="580"/>
      <c r="C1185" s="591"/>
      <c r="D1185" s="592"/>
      <c r="E1185" s="580"/>
      <c r="F1185" s="580"/>
      <c r="G1185" s="593"/>
      <c r="H1185" s="593"/>
      <c r="I1185" s="593"/>
      <c r="J1185" s="593"/>
      <c r="K1185" s="594"/>
      <c r="L1185" s="594"/>
      <c r="M1185" s="580"/>
      <c r="N1185" s="580"/>
      <c r="O1185" s="580"/>
      <c r="P1185" s="580"/>
      <c r="Q1185" s="580"/>
      <c r="R1185" s="583"/>
      <c r="S1185" s="580"/>
      <c r="T1185" s="580"/>
      <c r="U1185" s="580"/>
      <c r="V1185" s="32"/>
      <c r="W1185" s="32"/>
      <c r="X1185" s="32"/>
    </row>
    <row r="1186" spans="2:24" ht="15.75" thickBot="1" x14ac:dyDescent="0.3">
      <c r="B1186" s="595"/>
      <c r="C1186" s="600" t="str">
        <f>N!$C$4</f>
        <v>ALPHA</v>
      </c>
      <c r="D1186" s="600" t="str">
        <f>N!$C$5</f>
        <v>ASSENE</v>
      </c>
      <c r="E1186" s="600" t="str">
        <f>N!$C$6</f>
        <v>BIOFEM</v>
      </c>
      <c r="F1186" s="600" t="str">
        <f>N!$C$7</f>
        <v>BIOMED</v>
      </c>
      <c r="G1186" s="600" t="str">
        <f>N!$C$8</f>
        <v>CHI</v>
      </c>
      <c r="H1186" s="600" t="str">
        <f>N!$C$9</f>
        <v>CLARION</v>
      </c>
      <c r="I1186" s="600" t="str">
        <f>N!$C$10</f>
        <v>CODIX</v>
      </c>
      <c r="J1186" s="600" t="str">
        <f>N!$C$11</f>
        <v>COSMADE</v>
      </c>
      <c r="K1186" s="600" t="str">
        <f>N!$C$12</f>
        <v>SANCON</v>
      </c>
      <c r="L1186" s="600" t="str">
        <f>N!$C$13</f>
        <v>DEVON</v>
      </c>
      <c r="M1186" s="600" t="str">
        <f>N!$C$14</f>
        <v>DORTEMAG</v>
      </c>
      <c r="N1186" s="600" t="str">
        <f>N!$C$15</f>
        <v>DGF</v>
      </c>
      <c r="O1186" s="601" t="str">
        <f>N!$C$16</f>
        <v>DYNAMIC</v>
      </c>
      <c r="P1186" s="600" t="str">
        <f>N!$C$17</f>
        <v>EMZOR</v>
      </c>
      <c r="Q1186" s="600" t="str">
        <f>N!$C$18</f>
        <v>EUMATT</v>
      </c>
      <c r="R1186" s="600" t="str">
        <f>N!$C$19</f>
        <v>FIDSON</v>
      </c>
      <c r="S1186" s="600" t="str">
        <f>N!$C$20</f>
        <v>FCGLOBAL</v>
      </c>
      <c r="T1186" s="580"/>
      <c r="U1186" s="580"/>
      <c r="V1186" s="32"/>
      <c r="W1186" s="32"/>
      <c r="X1186" s="32"/>
    </row>
    <row r="1187" spans="2:24" ht="15.75" thickBot="1" x14ac:dyDescent="0.3">
      <c r="B1187" s="596"/>
      <c r="C1187" s="602">
        <f>IF($S$1183=841,PR!$E$931,IF($S$1183=842,PR!$E$932,IF($S$1183=843,PR!$E$933,IF($S$1183=844,PR!$E$934,IF($S$1183=845,PR!$E$935,IF($S$1183=846,PR!$E$942,IF($S$1183=847,PR!$E$943,IF($S$1183=848,PR!$E$944,IF($S$1183=849,PR!$E$945,IF($S$1183=850,PR!$E$946,IF($S$1183=851,PR!$E$947,IF($S$1183=852,PR!$E$948,IF($S$1183=853,PR!$E$949,IF($S$1183=854,PR!$E$950,IF($S$1183=855,PR!$E$951,IF($S$1183=856,PR!$E$952,IF($S$1183=857,PR!$E$953,IF($S$1183=858,PR!$E$954,IF($S$1183=859,PR!$E$955,IF($S$1183=860,PR!$E$956,IF($S$1183=861,PR!$E$957,IF($S$1183=862,PR!$E$958,IF($S$1183=863,PR!$E$959,IF($S$1183=864,PR!$E$960,IF($S$1183=865,PR!$E$961,IF($S$1183=866,PR!$E$962,IF($S$1183=867,PR!$E$963,IF($S$1183=868,PR!$E$964,IF($S$1183=869,PR!$E$965,IF($S$1183=870,PR!$E$966,IF($S$1183=871,PR!$E$967,IF($S$1183=872,PR!$E$968,IF($S$1183=873,PR!$E$969,IF($S$1183=874,PR!$E$970,IF($S$1183=875,PR!$E$971,IF($S$1183=876,PR!$E$972,IF($S$1183=877,PR!$E$973,IF($S$1183=878,PR!$E$974,IF($S$1183=879,PR!$E$975,IF($S$1183=880,PR!$E$976,IF($S$1183=881,PR!$E$977,IF($S$1183=882,PR!$E$978,IF($S$1183=883,PR!$E$979,IF($S$1183=884,PR!$E$980,IF($S$1183=885,PR!$E$981,IF($S$1183=886,PR!$E$982,IF($S$1183=887,PR!$E$983,IF($S$1183=888,PR!$E$984,IF($S$1183=889,PR!$E$985,IF($S$1183=890,PR!$E$986,IF($S$1183=891,PR!$E$987,IF($S$1183=892,PR!$E$988,IF($S$1183=893,PR!$E$989,IF($S$1183=894,PR!$E$990,IF($S$1183=895,PR!$E$991,IF($S$1183=896,PR!$E$992,IF($S$1183=897,PR!$E$993,IF($S$1183=898,PR!$E$994,IF($S$1183=899,PR!$E$995,IF($S$1183=900,PR!$E$996,"-"))))))))))))))))))))))))))))))))))))))))))))))))))))))))))))</f>
        <v>0</v>
      </c>
      <c r="D1187" s="602">
        <f>IF($S$1183=841,PR!$F$931,IF($S$1183=842,PR!$F$932,IF($S$1183=843,PR!$F$933,IF($S$1183=844,PR!$F$934,IF($S$1183=845,PR!$F$935,IF($S$1183=846,PR!$F$942,IF($S$1183=847,PR!$F$943,IF($S$1183=848,PR!$F$944,IF($S$1183=849,PR!$F$945,IF($S$1183=850,PR!$F$946,IF($S$1183=851,PR!$F$947,IF($S$1183=852,PR!$F$948,IF($S$1183=853,PR!$F$949,IF($S$1183=854,PR!$F$950,IF($S$1183=855,PR!$F$951,IF($S$1183=856,PR!$F$952,IF($S$1183=857,PR!$F$953,IF($S$1183=858,PR!$F$954,IF($S$1183=859,PR!$F$955,IF($S$1183=860,PR!$F$956,IF($S$1183=861,PR!$F$957,IF($S$1183=862,PR!$F$958,IF($S$1183=863,PR!$F$959,IF($S$1183=864,PR!$F$960,IF($S$1183=865,PR!$F$961,IF($S$1183=866,PR!$F$962,IF($S$1183=867,PR!$F$963,IF($S$1183=868,PR!$F$964,IF($S$1183=869,PR!$F$965,IF($S$1183=870,PR!$F$966,IF($S$1183=871,PR!$F$967,IF($S$1183=872,PR!$F$968,IF($S$1183=873,PR!$F$969,IF($S$1183=874,PR!$F$970,IF($S$1183=875,PR!$F$971,IF($S$1183=876,PR!$F$972,IF($S$1183=877,PR!$F$973,IF($S$1183=878,PR!$F$974,IF($S$1183=879,PR!$F$975,IF($S$1183=880,PR!$F$976,IF($S$1183=881,PR!$F$977,IF($S$1183=882,PR!$F$978,IF($S$1183=883,PR!$F$979,IF($S$1183=884,PR!$F$980,IF($S$1183=885,PR!$F$981,IF($S$1183=886,PR!$F$982,IF($S$1183=887,PR!$F$983,IF($S$1183=888,PR!$F$984,IF($S$1183=889,PR!$F$985,IF($S$1183=890,PR!$F$986,IF($S$1183=891,PR!$F$987,IF($S$1183=892,PR!$F$988,IF($S$1183=893,PR!$F$989,IF($S$1183=894,PR!$F$990,IF($S$1183=895,PR!$F$991,IF($S$1183=896,PR!$F$992,IF($S$1183=897,PR!$F$993,IF($S$1183=898,PR!$F$994,IF($S$1183=899,PR!$F$995,IF($S$1183=900,PR!$F$996,"-"))))))))))))))))))))))))))))))))))))))))))))))))))))))))))))</f>
        <v>0</v>
      </c>
      <c r="E1187" s="602">
        <f>IF($S$1183=841,PR!$G$931,IF($S$1183=842,PR!$G$932,IF($S$1183=843,PR!$G$933,IF($S$1183=844,PR!$G$934,IF($S$1183=845,PR!$G$935,IF($S$1183=846,PR!$G$942,IF($S$1183=847,PR!$G$943,IF($S$1183=848,PR!$G$944,IF($S$1183=849,PR!$G$945,IF($S$1183=850,PR!$G$946,IF($S$1183=851,PR!$G$947,IF($S$1183=852,PR!$G$948,IF($S$1183=853,PR!$G$949,IF($S$1183=854,PR!$G$950,IF($S$1183=855,PR!$G$951,IF($S$1183=856,PR!$G$952,IF($S$1183=857,PR!$G$953,IF($S$1183=858,PR!$G$954,IF($S$1183=859,PR!$G$955,IF($S$1183=860,PR!$G$956,IF($S$1183=861,PR!$G$957,IF($S$1183=862,PR!$G$958,IF($S$1183=863,PR!$G$959,IF($S$1183=864,PR!$G$960,IF($S$1183=865,PR!$G$961,IF($S$1183=866,PR!$G$962,IF($S$1183=867,PR!$G$963,IF($S$1183=868,PR!$G$964,IF($S$1183=869,PR!$G$965,IF($S$1183=870,PR!$G$966,IF($S$1183=871,PR!$G$967,IF($S$1183=872,PR!$G$968,IF($S$1183=873,PR!$G$969,IF($S$1183=874,PR!$G$970,IF($S$1183=875,PR!$G$971,IF($S$1183=876,PR!$G$972,IF($S$1183=877,PR!$G$973,IF($S$1183=878,PR!$G$974,IF($S$1183=879,PR!$G$975,IF($S$1183=880,PR!$G$976,IF($S$1183=881,PR!$G$977,IF($S$1183=882,PR!$G$978,IF($S$1183=883,PR!$G$979,IF($S$1183=884,PR!$G$980,IF($S$1183=885,PR!$G$981,IF($S$1183=886,PR!$G$982,IF($S$1183=887,PR!$G$983,IF($S$1183=888,PR!$G$984,IF($S$1183=889,PR!$G$985,IF($S$1183=890,PR!$G$986,IF($S$1183=891,PR!$G$987,IF($S$1183=892,PR!$G$988,IF($S$1183=893,PR!$G$989,IF($S$1183=894,PR!$G$990,IF($S$1183=895,PR!$G$991,IF($S$1183=896,PR!$G$992,IF($S$1183=897,PR!$G$993,IF($S$1183=898,PR!$G$994,IF($S$1183=899,PR!$G$995,IF($S$1183=900,PR!$G$996,"-"))))))))))))))))))))))))))))))))))))))))))))))))))))))))))))</f>
        <v>0</v>
      </c>
      <c r="F1187" s="602">
        <f>IF($S$1183=841,PR!$H$931,IF($S$1183=842,PR!$H$932,IF($S$1183=843,PR!$H$933,IF($S$1183=844,PR!$H$934,IF($S$1183=845,PR!$H$935,IF($S$1183=846,PR!$H$942,IF($S$1183=847,PR!$H$943,IF($S$1183=848,PR!$H$944,IF($S$1183=849,PR!$H$945,IF($S$1183=850,PR!$H$946,IF($S$1183=851,PR!$H$947,IF($S$1183=852,PR!$H$948,IF($S$1183=853,PR!$H$949,IF($S$1183=854,PR!$H$950,IF($S$1183=855,PR!$H$951,IF($S$1183=856,PR!$H$952,IF($S$1183=857,PR!$H$953,IF($S$1183=858,PR!$H$954,IF($S$1183=859,PR!$H$955,IF($S$1183=860,PR!$H$956,IF($S$1183=861,PR!$H$957,IF($S$1183=862,PR!$H$958,IF($S$1183=863,PR!$H$959,IF($S$1183=864,PR!$H$960,IF($S$1183=865,PR!$H$961,IF($S$1183=866,PR!$H$962,IF($S$1183=867,PR!$H$963,IF($S$1183=868,PR!$H$964,IF($S$1183=869,PR!$H$965,IF($S$1183=870,PR!$H$966,IF($S$1183=871,PR!$H$967,IF($S$1183=872,PR!$H$968,IF($S$1183=873,PR!$H$969,IF($S$1183=874,PR!$H$970,IF($S$1183=875,PR!$H$971,IF($S$1183=876,PR!$H$972,IF($S$1183=877,PR!$H$973,IF($S$1183=878,PR!$H$974,IF($S$1183=879,PR!$H$975,IF($S$1183=880,PR!$H$976,IF($S$1183=881,PR!$H$977,IF($S$1183=882,PR!$H$978,IF($S$1183=883,PR!$H$979,IF($S$1183=884,PR!$H$980,IF($S$1183=885,PR!$H$981,IF($S$1183=886,PR!$H$982,IF($S$1183=887,PR!$H$983,IF($S$1183=888,PR!$H$984,IF($S$1183=889,PR!$H$985,IF($S$1183=890,PR!$H$986,IF($S$1183=891,PR!$H$987,IF($S$1183=892,PR!$H$988,IF($S$1183=893,PR!$H$989,IF($S$1183=894,PR!$H$990,IF($S$1183=895,PR!$H$991,IF($S$1183=896,PR!$H$992,IF($S$1183=897,PR!$H$993,IF($S$1183=898,PR!$H$994,IF($S$1183=899,PR!$H$995,IF($S$1183=900,PR!$H$996,"-"))))))))))))))))))))))))))))))))))))))))))))))))))))))))))))</f>
        <v>0</v>
      </c>
      <c r="G1187" s="602">
        <f>IF($S$1183=841,PR!$I$931,IF($S$1183=842,PR!$I$932,IF($S$1183=843,PR!$I$933,IF($S$1183=844,PR!$I$934,IF($S$1183=845,PR!$I$935,IF($S$1183=846,PR!$I$942,IF($S$1183=847,PR!$I$943,IF($S$1183=848,PR!$I$944,IF($S$1183=849,PR!$I$945,IF($S$1183=850,PR!$I$946,IF($S$1183=851,PR!$I$947,IF($S$1183=852,PR!$I$948,IF($S$1183=853,PR!$I$949,IF($S$1183=854,PR!$I$950,IF($S$1183=855,PR!$I$951,IF($S$1183=856,PR!$I$952,IF($S$1183=857,PR!$I$953,IF($S$1183=858,PR!$I$954,IF($S$1183=859,PR!$I$955,IF($S$1183=860,PR!$I$956,IF($S$1183=861,PR!$I$957,IF($S$1183=862,PR!$I$958,IF($S$1183=863,PR!$I$959,IF($S$1183=864,PR!$I$960,IF($S$1183=865,PR!$I$961,IF($S$1183=866,PR!$I$962,IF($S$1183=867,PR!$I$963,IF($S$1183=868,PR!$I$964,IF($S$1183=869,PR!$I$965,IF($S$1183=870,PR!$I$966,IF($S$1183=871,PR!$I$967,IF($S$1183=872,PR!$I$968,IF($S$1183=873,PR!$I$969,IF($S$1183=874,PR!$I$970,IF($S$1183=875,PR!$I$971,IF($S$1183=876,PR!$I$972,IF($S$1183=877,PR!$I$973,IF($S$1183=878,PR!$I$974,IF($S$1183=879,PR!$I$975,IF($S$1183=880,PR!$I$976,IF($S$1183=881,PR!$I$977,IF($S$1183=882,PR!$I$978,IF($S$1183=883,PR!$I$979,IF($S$1183=884,PR!$I$980,IF($S$1183=885,PR!$I$981,IF($S$1183=886,PR!$I$982,IF($S$1183=887,PR!$I$983,IF($S$1183=888,PR!$I$984,IF($S$1183=889,PR!$I$985,IF($S$1183=890,PR!$I$986,IF($S$1183=891,PR!$I$987,IF($S$1183=892,PR!$I$988,IF($S$1183=893,PR!$I$989,IF($S$1183=894,PR!$I$990,IF($S$1183=895,PR!$I$991,IF($S$1183=896,PR!$I$992,IF($S$1183=897,PR!$I$993,IF($S$1183=898,PR!$I$994,IF($S$1183=899,PR!$I$995,IF($S$1183=900,PR!$I$996,"-"))))))))))))))))))))))))))))))))))))))))))))))))))))))))))))</f>
        <v>0</v>
      </c>
      <c r="H1187" s="602">
        <f>IF($S$1183=841,PR!$J$931,IF($S$1183=842,PR!$J$932,IF($S$1183=843,PR!$J$933,IF($S$1183=844,PR!$J$934,IF($S$1183=845,PR!$J$935,IF($S$1183=846,PR!$J$942,IF($S$1183=847,PR!$J$943,IF($S$1183=848,PR!$J$944,IF($S$1183=849,PR!$J$945,IF($S$1183=850,PR!$J$946,IF($S$1183=851,PR!$J$947,IF($S$1183=852,PR!$J$948,IF($S$1183=853,PR!$J$949,IF($S$1183=854,PR!$J$950,IF($S$1183=855,PR!$J$951,IF($S$1183=856,PR!$J$952,IF($S$1183=857,PR!$J$953,IF($S$1183=858,PR!$J$954,IF($S$1183=859,PR!$J$955,IF($S$1183=860,PR!$J$956,IF($S$1183=861,PR!$J$957,IF($S$1183=862,PR!$J$958,IF($S$1183=863,PR!$J$959,IF($S$1183=864,PR!$J$960,IF($S$1183=865,PR!$J$961,IF($S$1183=866,PR!$J$962,IF($S$1183=867,PR!$J$963,IF($S$1183=868,PR!$J$964,IF($S$1183=869,PR!$J$965,IF($S$1183=870,PR!$J$966,IF($S$1183=871,PR!$J$967,IF($S$1183=872,PR!$J$968,IF($S$1183=873,PR!$J$969,IF($S$1183=874,PR!$J$970,IF($S$1183=875,PR!$J$971,IF($S$1183=876,PR!$J$972,IF($S$1183=877,PR!$J$973,IF($S$1183=878,PR!$J$974,IF($S$1183=879,PR!$J$975,IF($S$1183=880,PR!$J$976,IF($S$1183=881,PR!$J$977,IF($S$1183=882,PR!$J$978,IF($S$1183=883,PR!$J$979,IF($S$1183=884,PR!$J$980,IF($S$1183=885,PR!$J$981,IF($S$1183=886,PR!$J$982,IF($S$1183=887,PR!$J$983,IF($S$1183=888,PR!$J$984,IF($S$1183=889,PR!$J$985,IF($S$1183=890,PR!$J$986,IF($S$1183=891,PR!$J$987,IF($S$1183=892,PR!$J$988,IF($S$1183=893,PR!$J$989,IF($S$1183=894,PR!$J$990,IF($S$1183=895,PR!$J$991,IF($S$1183=896,PR!$J$992,IF($S$1183=897,PR!$J$993,IF($S$1183=898,PR!$J$994,IF($S$1183=899,PR!$J$995,IF($S$1183=900,PR!$J$996,"-"))))))))))))))))))))))))))))))))))))))))))))))))))))))))))))</f>
        <v>0</v>
      </c>
      <c r="I1187" s="602">
        <f>IF($S$1183=841,PR!$K$931,IF($S$1183=842,PR!$K$932,IF($S$1183=843,PR!$K$933,IF($S$1183=844,PR!$K$934,IF($S$1183=845,PR!$K$935,IF($S$1183=846,PR!$K$942,IF($S$1183=847,PR!$K$943,IF($S$1183=848,PR!$K$944,IF($S$1183=849,PR!$K$945,IF($S$1183=850,PR!$K$946,IF($S$1183=851,PR!$K$947,IF($S$1183=852,PR!$K$948,IF($S$1183=853,PR!$K$949,IF($S$1183=854,PR!$K$950,IF($S$1183=855,PR!$K$951,IF($S$1183=856,PR!$K$952,IF($S$1183=857,PR!$K$953,IF($S$1183=858,PR!$K$954,IF($S$1183=859,PR!$K$955,IF($S$1183=860,PR!$K$956,IF($S$1183=861,PR!$K$957,IF($S$1183=862,PR!$K$958,IF($S$1183=863,PR!$K$959,IF($S$1183=864,PR!$K$960,IF($S$1183=865,PR!$K$961,IF($S$1183=866,PR!$K$962,IF($S$1183=867,PR!$K$963,IF($S$1183=868,PR!$K$964,IF($S$1183=869,PR!$K$965,IF($S$1183=870,PR!$K$966,IF($S$1183=871,PR!$K$967,IF($S$1183=872,PR!$K$968,IF($S$1183=873,PR!$K$969,IF($S$1183=874,PR!$K$970,IF($S$1183=875,PR!$K$971,IF($S$1183=876,PR!$K$972,IF($S$1183=877,PR!$K$973,IF($S$1183=878,PR!$K$974,IF($S$1183=879,PR!$K$975,IF($S$1183=880,PR!$K$976,IF($S$1183=881,PR!$K$977,IF($S$1183=882,PR!$K$978,IF($S$1183=883,PR!$K$979,IF($S$1183=884,PR!$K$980,IF($S$1183=885,PR!$K$981,IF($S$1183=886,PR!$K$982,IF($S$1183=887,PR!$K$983,IF($S$1183=888,PR!$K$984,IF($S$1183=889,PR!$K$985,IF($S$1183=890,PR!$K$986,IF($S$1183=891,PR!$K$987,IF($S$1183=892,PR!$K$988,IF($S$1183=893,PR!$K$989,IF($S$1183=894,PR!$K$990,IF($S$1183=895,PR!$K$991,IF($S$1183=896,PR!$K$992,IF($S$1183=897,PR!$K$993,IF($S$1183=898,PR!$K$994,IF($S$1183=899,PR!$K$995,IF($S$1183=900,PR!$K$996,"-"))))))))))))))))))))))))))))))))))))))))))))))))))))))))))))</f>
        <v>0</v>
      </c>
      <c r="J1187" s="602">
        <f>IF($S$1183=841,PR!$L$931,IF($S$1183=842,PR!$L$932,IF($S$1183=843,PR!$L$933,IF($S$1183=844,PR!$L$934,IF($S$1183=845,PR!$L$935,IF($S$1183=846,PR!$L$942,IF($S$1183=847,PR!$L$943,IF($S$1183=848,PR!$L$944,IF($S$1183=849,PR!$L$945,IF($S$1183=850,PR!$L$946,IF($S$1183=851,PR!$L$947,IF($S$1183=852,PR!$L$948,IF($S$1183=853,PR!$L$949,IF($S$1183=854,PR!$L$950,IF($S$1183=855,PR!$L$951,IF($S$1183=856,PR!$L$952,IF($S$1183=857,PR!$L$953,IF($S$1183=858,PR!$L$954,IF($S$1183=859,PR!$L$955,IF($S$1183=860,PR!$L$956,IF($S$1183=861,PR!$L$957,IF($S$1183=862,PR!$L$958,IF($S$1183=863,PR!$L$959,IF($S$1183=864,PR!$L$960,IF($S$1183=865,PR!$L$961,IF($S$1183=866,PR!$L$962,IF($S$1183=867,PR!$L$963,IF($S$1183=868,PR!$L$964,IF($S$1183=869,PR!$L$965,IF($S$1183=870,PR!$L$966,IF($S$1183=871,PR!$L$967,IF($S$1183=872,PR!$L$968,IF($S$1183=873,PR!$L$969,IF($S$1183=874,PR!$L$970,IF($S$1183=875,PR!$L$971,IF($S$1183=876,PR!$L$972,IF($S$1183=877,PR!$L$973,IF($S$1183=878,PR!$L$974,IF($S$1183=879,PR!$L$975,IF($S$1183=880,PR!$L$976,IF($S$1183=881,PR!$L$977,IF($S$1183=882,PR!$L$978,IF($S$1183=883,PR!$L$979,IF($S$1183=884,PR!$L$980,IF($S$1183=885,PR!$L$981,IF($S$1183=886,PR!$L$982,IF($S$1183=887,PR!$L$983,IF($S$1183=888,PR!$L$984,IF($S$1183=889,PR!$L$985,IF($S$1183=890,PR!$L$986,IF($S$1183=891,PR!$L$987,IF($S$1183=892,PR!$L$988,IF($S$1183=893,PR!$L$989,IF($S$1183=894,PR!$L$990,IF($S$1183=895,PR!$L$991,IF($S$1183=896,PR!$L$992,IF($S$1183=897,PR!$L$993,IF($S$1183=898,PR!$L$994,IF($S$1183=899,PR!$L$995,IF($S$1183=900,PR!$L$996,"-"))))))))))))))))))))))))))))))))))))))))))))))))))))))))))))</f>
        <v>15000</v>
      </c>
      <c r="K1187" s="602">
        <f>IF($S$1183=841,PR!$M$931,IF($S$1183=842,PR!$M$932,IF($S$1183=843,PR!$M$933,IF($S$1183=844,PR!$M$934,IF($S$1183=845,PR!$M$935,IF($S$1183=846,PR!$M$942,IF($S$1183=847,PR!$M$943,IF($S$1183=848,PR!$M$944,IF($S$1183=849,PR!$M$945,IF($S$1183=850,PR!$M$946,IF($S$1183=851,PR!$M$947,IF($S$1183=852,PR!$M$948,IF($S$1183=853,PR!$M$949,IF($S$1183=854,PR!$M$950,IF($S$1183=855,PR!$M$951,IF($S$1183=856,PR!$M$952,IF($S$1183=857,PR!$M$953,IF($S$1183=858,PR!$M$954,IF($S$1183=859,PR!$M$955,IF($S$1183=860,PR!$M$956,IF($S$1183=861,PR!$M$957,IF($S$1183=862,PR!$M$958,IF($S$1183=863,PR!$M$959,IF($S$1183=864,PR!$M$960,IF($S$1183=865,PR!$M$961,IF($S$1183=866,PR!$M$962,IF($S$1183=867,PR!$M$963,IF($S$1183=868,PR!$M$964,IF($S$1183=869,PR!$M$965,IF($S$1183=870,PR!$M$966,IF($S$1183=871,PR!$M$967,IF($S$1183=872,PR!$M$968,IF($S$1183=873,PR!$M$969,IF($S$1183=874,PR!$M$970,IF($S$1183=875,PR!$M$971,IF($S$1183=876,PR!$M$972,IF($S$1183=877,PR!$M$973,IF($S$1183=878,PR!$M$974,IF($S$1183=879,PR!$M$975,IF($S$1183=880,PR!$M$976,IF($S$1183=881,PR!$M$977,IF($S$1183=882,PR!$M$978,IF($S$1183=883,PR!$M$979,IF($S$1183=884,PR!$M$980,IF($S$1183=885,PR!$M$981,IF($S$1183=886,PR!$M$982,IF($S$1183=887,PR!$M$983,IF($S$1183=888,PR!$M$984,IF($S$1183=889,PR!$M$985,IF($S$1183=890,PR!$M$986,IF($S$1183=891,PR!$M$987,IF($S$1183=892,PR!$M$988,IF($S$1183=893,PR!$M$989,IF($S$1183=894,PR!$M$990,IF($S$1183=895,PR!$M$991,IF($S$1183=896,PR!$M$992,IF($S$1183=897,PR!$M$993,IF($S$1183=898,PR!$M$994,IF($S$1183=899,PR!$M$995,IF($S$1183=900,PR!$M$996,"-"))))))))))))))))))))))))))))))))))))))))))))))))))))))))))))</f>
        <v>110000</v>
      </c>
      <c r="L1187" s="602">
        <f>IF($S$1183=841,PR!$N$931,IF($S$1183=842,PR!$N$932,IF($S$1183=843,PR!$N$933,IF($S$1183=844,PR!$N$934,IF($S$1183=845,PR!$N$935,IF($S$1183=846,PR!$N$942,IF($S$1183=847,PR!$N$943,IF($S$1183=848,PR!$N$944,IF($S$1183=849,PR!$N$945,IF($S$1183=850,PR!$N$946,IF($S$1183=851,PR!$N$947,IF($S$1183=852,PR!$N$948,IF($S$1183=853,PR!$N$949,IF($S$1183=854,PR!$N$950,IF($S$1183=855,PR!$N$951,IF($S$1183=856,PR!$N$952,IF($S$1183=857,PR!$N$953,IF($S$1183=858,PR!$N$954,IF($S$1183=859,PR!$N$955,IF($S$1183=860,PR!$N$956,IF($S$1183=861,PR!$N$957,IF($S$1183=862,PR!$N$958,IF($S$1183=863,PR!$N$959,IF($S$1183=864,PR!$N$960,IF($S$1183=865,PR!$N$961,IF($S$1183=866,PR!$N$962,IF($S$1183=867,PR!$N$963,IF($S$1183=868,PR!$N$964,IF($S$1183=869,PR!$N$965,IF($S$1183=870,PR!$N$966,IF($S$1183=871,PR!$N$967,IF($S$1183=872,PR!$N$968,IF($S$1183=873,PR!$N$969,IF($S$1183=874,PR!$N$970,IF($S$1183=875,PR!$N$971,IF($S$1183=876,PR!$N$972,IF($S$1183=877,PR!$N$973,IF($S$1183=878,PR!$N$974,IF($S$1183=879,PR!$N$975,IF($S$1183=880,PR!$N$976,IF($S$1183=881,PR!$N$977,IF($S$1183=882,PR!$N$978,IF($S$1183=883,PR!$N$979,IF($S$1183=884,PR!$N$980,IF($S$1183=885,PR!$N$981,IF($S$1183=886,PR!$N$982,IF($S$1183=887,PR!$N$983,IF($S$1183=888,PR!$N$984,IF($S$1183=889,PR!$N$985,IF($S$1183=890,PR!$N$986,IF($S$1183=891,PR!$N$987,IF($S$1183=892,PR!$N$988,IF($S$1183=893,PR!$N$989,IF($S$1183=894,PR!$N$990,IF($S$1183=895,PR!$N$991,IF($S$1183=896,PR!$N$992,IF($S$1183=897,PR!$N$993,IF($S$1183=898,PR!$N$994,IF($S$1183=899,PR!$N$995,IF($S$1183=900,PR!$N$996,"-"))))))))))))))))))))))))))))))))))))))))))))))))))))))))))))</f>
        <v>0</v>
      </c>
      <c r="M1187" s="602">
        <f>IF($S$1183=841,PR!$O$931,IF($S$1183=842,PR!$O$932,IF($S$1183=843,PR!$O$933,IF($S$1183=844,PR!$O$934,IF($S$1183=845,PR!$O$935,IF($S$1183=846,PR!$O$942,IF($S$1183=847,PR!$O$943,IF($S$1183=848,PR!$O$944,IF($S$1183=849,PR!$O$945,IF($S$1183=850,PR!$O$946,IF($S$1183=851,PR!$O$947,IF($S$1183=852,PR!$O$948,IF($S$1183=853,PR!$O$949,IF($S$1183=854,PR!$O$950,IF($S$1183=855,PR!$O$951,IF($S$1183=856,PR!$O$952,IF($S$1183=857,PR!$O$953,IF($S$1183=858,PR!$O$954,IF($S$1183=859,PR!$O$955,IF($S$1183=860,PR!$O$956,IF($S$1183=861,PR!$O$957,IF($S$1183=862,PR!$O$958,IF($S$1183=863,PR!$O$959,IF($S$1183=864,PR!$O$960,IF($S$1183=865,PR!$O$961,IF($S$1183=866,PR!$O$962,IF($S$1183=867,PR!$O$963,IF($S$1183=868,PR!$O$964,IF($S$1183=869,PR!$O$965,IF($S$1183=870,PR!$O$966,IF($S$1183=871,PR!$O$967,IF($S$1183=872,PR!$O$968,IF($S$1183=873,PR!$O$969,IF($S$1183=874,PR!$O$970,IF($S$1183=875,PR!$O$971,IF($S$1183=876,PR!$O$972,IF($S$1183=877,PR!$O$973,IF($S$1183=878,PR!$O$974,IF($S$1183=879,PR!$O$975,IF($S$1183=880,PR!$O$976,IF($S$1183=881,PR!$O$977,IF($S$1183=882,PR!$O$978,IF($S$1183=883,PR!$O$979,IF($S$1183=884,PR!$O$980,IF($S$1183=885,PR!$O$981,IF($S$1183=886,PR!$O$982,IF($S$1183=887,PR!$O$983,IF($S$1183=888,PR!$O$984,IF($S$1183=889,PR!$O$985,IF($S$1183=890,PR!$O$986,IF($S$1183=891,PR!$O$987,IF($S$1183=892,PR!$O$988,IF($S$1183=893,PR!$O$989,IF($S$1183=894,PR!$O$990,IF($S$1183=895,PR!$O$991,IF($S$1183=896,PR!$O$992,IF($S$1183=897,PR!$O$993,IF($S$1183=898,PR!$O$994,IF($S$1183=899,PR!$O$995,IF($S$1183=900,PR!$O$996,"-"))))))))))))))))))))))))))))))))))))))))))))))))))))))))))))</f>
        <v>0</v>
      </c>
      <c r="N1187" s="602">
        <f>IF($S$1183=841,PR!$P$931,IF($S$1183=842,PR!$P$932,IF($S$1183=843,PR!$P$933,IF($S$1183=844,PR!$P$934,IF($S$1183=845,PR!$P$935,IF($S$1183=846,PR!$P$942,IF($S$1183=847,PR!$P$943,IF($S$1183=848,PR!$P$944,IF($S$1183=849,PR!$P$945,IF($S$1183=850,PR!$P$946,IF($S$1183=851,PR!$P$947,IF($S$1183=852,PR!$P$948,IF($S$1183=853,PR!$P$949,IF($S$1183=854,PR!$P$950,IF($S$1183=855,PR!$P$951,IF($S$1183=856,PR!$P$952,IF($S$1183=857,PR!$P$953,IF($S$1183=858,PR!$P$954,IF($S$1183=859,PR!$P$955,IF($S$1183=860,PR!$P$956,IF($S$1183=861,PR!$P$957,IF($S$1183=862,PR!$P$958,IF($S$1183=863,PR!$P$959,IF($S$1183=864,PR!$P$960,IF($S$1183=865,PR!$P$961,IF($S$1183=866,PR!$P$962,IF($S$1183=867,PR!$P$963,IF($S$1183=868,PR!$P$964,IF($S$1183=869,PR!$P$965,IF($S$1183=870,PR!$P$966,IF($S$1183=871,PR!$P$967,IF($S$1183=872,PR!$P$968,IF($S$1183=873,PR!$P$969,IF($S$1183=874,PR!$P$970,IF($S$1183=875,PR!$P$971,IF($S$1183=876,PR!$P$972,IF($S$1183=877,PR!$P$973,IF($S$1183=878,PR!$P$974,IF($S$1183=879,PR!$P$975,IF($S$1183=880,PR!$P$976,IF($S$1183=881,PR!$P$977,IF($S$1183=882,PR!$P$978,IF($S$1183=883,PR!$P$979,IF($S$1183=884,PR!$P$980,IF($S$1183=885,PR!$P$981,IF($S$1183=886,PR!$P$982,IF($S$1183=887,PR!$P$983,IF($S$1183=888,PR!$P$984,IF($S$1183=889,PR!$P$985,IF($S$1183=890,PR!$P$986,IF($S$1183=891,PR!$P$987,IF($S$1183=892,PR!$P$988,IF($S$1183=893,PR!$P$989,IF($S$1183=894,PR!$P$990,IF($S$1183=895,PR!$P$991,IF($S$1183=896,PR!$P$992,IF($S$1183=897,PR!$P$993,IF($S$1183=898,PR!$P$994,IF($S$1183=899,PR!$P$995,IF($S$1183=900,PR!$P$996,"-"))))))))))))))))))))))))))))))))))))))))))))))))))))))))))))</f>
        <v>0</v>
      </c>
      <c r="O1187" s="602">
        <f>IF($S$1183=841,PR!$Q$931,IF($S$1183=842,PR!$Q$932,IF($S$1183=843,PR!$Q$933,IF($S$1183=844,PR!$Q$934,IF($S$1183=845,PR!$Q$935,IF($S$1183=846,PR!$Q$942,IF($S$1183=847,PR!$Q$943,IF($S$1183=848,PR!$Q$944,IF($S$1183=849,PR!$Q$945,IF($S$1183=850,PR!$Q$946,IF($S$1183=851,PR!$Q$947,IF($S$1183=852,PR!$Q$948,IF($S$1183=853,PR!$Q$949,IF($S$1183=854,PR!$Q$950,IF($S$1183=855,PR!$Q$951,IF($S$1183=856,PR!$Q$952,IF($S$1183=857,PR!$Q$953,IF($S$1183=858,PR!$Q$954,IF($S$1183=859,PR!$Q$955,IF($S$1183=860,PR!$Q$956,IF($S$1183=861,PR!$Q$957,IF($S$1183=862,PR!$Q$958,IF($S$1183=863,PR!$Q$959,IF($S$1183=864,PR!$Q$960,IF($S$1183=865,PR!$Q$961,IF($S$1183=866,PR!$Q$962,IF($S$1183=867,PR!$Q$963,IF($S$1183=868,PR!$Q$964,IF($S$1183=869,PR!$Q$965,IF($S$1183=870,PR!$Q$966,IF($S$1183=871,PR!$Q$967,IF($S$1183=872,PR!$Q$968,IF($S$1183=873,PR!$Q$969,IF($S$1183=874,PR!$Q$970,IF($S$1183=875,PR!$Q$971,IF($S$1183=876,PR!$Q$972,IF($S$1183=877,PR!$Q$973,IF($S$1183=878,PR!$Q$974,IF($S$1183=879,PR!$Q$975,IF($S$1183=880,PR!$Q$976,IF($S$1183=881,PR!$Q$977,IF($S$1183=882,PR!$Q$978,IF($S$1183=883,PR!$Q$979,IF($S$1183=884,PR!$Q$980,IF($S$1183=885,PR!$Q$981,IF($S$1183=886,PR!$Q$982,IF($S$1183=887,PR!$Q$983,IF($S$1183=888,PR!$Q$984,IF($S$1183=889,PR!$Q$985,IF($S$1183=890,PR!$Q$986,IF($S$1183=891,PR!$Q$987,IF($S$1183=892,PR!$Q$988,IF($S$1183=893,PR!$Q$989,IF($S$1183=894,PR!$Q$990,IF($S$1183=895,PR!$Q$991,IF($S$1183=896,PR!$Q$992,IF($S$1183=897,PR!$Q$993,IF($S$1183=898,PR!$Q$994,IF($S$1183=899,PR!$Q$995,IF($S$1183=900,PR!$Q$996,"-"))))))))))))))))))))))))))))))))))))))))))))))))))))))))))))</f>
        <v>15000</v>
      </c>
      <c r="P1187" s="602">
        <f>IF($S$1183=841,PR!$R$931,IF($S$1183=842,PR!$R$932,IF($S$1183=843,PR!$R$933,IF($S$1183=844,PR!$R$934,IF($S$1183=845,PR!$R$935,IF($S$1183=846,PR!$R$942,IF($S$1183=847,PR!$R$943,IF($S$1183=848,PR!$R$944,IF($S$1183=849,PR!$R$945,IF($S$1183=850,PR!$R$946,IF($S$1183=851,PR!$R$947,IF($S$1183=852,PR!$R$948,IF($S$1183=853,PR!$R$949,IF($S$1183=854,PR!$R$950,IF($S$1183=855,PR!$R$951,IF($S$1183=856,PR!$R$952,IF($S$1183=857,PR!$R$953,IF($S$1183=858,PR!$R$954,IF($S$1183=859,PR!$R$955,IF($S$1183=860,PR!$R$956,IF($S$1183=861,PR!$R$957,IF($S$1183=862,PR!$R$958,IF($S$1183=863,PR!$R$959,IF($S$1183=864,PR!$R$960,IF($S$1183=865,PR!$R$961,IF($S$1183=866,PR!$R$962,IF($S$1183=867,PR!$R$963,IF($S$1183=868,PR!$R$964,IF($S$1183=869,PR!$R$965,IF($S$1183=870,PR!$R$966,IF($S$1183=871,PR!$R$967,IF($S$1183=872,PR!$R$968,IF($S$1183=873,PR!$R$969,IF($S$1183=874,PR!$R$970,IF($S$1183=875,PR!$R$971,IF($S$1183=876,PR!$R$972,IF($S$1183=877,PR!$R$973,IF($S$1183=878,PR!$R$974,IF($S$1183=879,PR!$R$975,IF($S$1183=880,PR!$R$976,IF($S$1183=881,PR!$R$977,IF($S$1183=882,PR!$R$978,IF($S$1183=883,PR!$R$979,IF($S$1183=884,PR!$R$980,IF($S$1183=885,PR!$R$981,IF($S$1183=886,PR!$R$982,IF($S$1183=887,PR!$R$983,IF($S$1183=888,PR!$R$984,IF($S$1183=889,PR!$R$985,IF($S$1183=890,PR!$R$986,IF($S$1183=891,PR!$R$987,IF($S$1183=892,PR!$R$988,IF($S$1183=893,PR!$R$989,IF($S$1183=894,PR!$R$990,IF($S$1183=895,PR!$R$991,IF($S$1183=896,PR!$R$992,IF($S$1183=897,PR!$R$993,IF($S$1183=898,PR!$R$994,IF($S$1183=899,PR!$R$995,IF($S$1183=900,PR!$R$996,"-"))))))))))))))))))))))))))))))))))))))))))))))))))))))))))))</f>
        <v>0</v>
      </c>
      <c r="Q1187" s="602">
        <f>IF($S$1183=841,PR!$S$931,IF($S$1183=842,PR!$S$932,IF($S$1183=843,PR!$S$933,IF($S$1183=844,PR!$S$934,IF($S$1183=845,PR!$S$935,IF($S$1183=846,PR!$S$942,IF($S$1183=847,PR!$S$943,IF($S$1183=848,PR!$S$944,IF($S$1183=849,PR!$S$945,IF($S$1183=850,PR!$S$946,IF($S$1183=851,PR!$S$947,IF($S$1183=852,PR!$S$948,IF($S$1183=853,PR!$S$949,IF($S$1183=854,PR!$S$950,IF($S$1183=855,PR!$S$951,IF($S$1183=856,PR!$S$952,IF($S$1183=857,PR!$S$953,IF($S$1183=858,PR!$S$954,IF($S$1183=859,PR!$S$955,IF($S$1183=860,PR!$S$956,IF($S$1183=861,PR!$S$957,IF($S$1183=862,PR!$S$958,IF($S$1183=863,PR!$S$959,IF($S$1183=864,PR!$S$960,IF($S$1183=865,PR!$S$961,IF($S$1183=866,PR!$S$962,IF($S$1183=867,PR!$S$963,IF($S$1183=868,PR!$S$964,IF($S$1183=869,PR!$S$965,IF($S$1183=870,PR!$S$966,IF($S$1183=871,PR!$S$967,IF($S$1183=872,PR!$S$968,IF($S$1183=873,PR!$S$969,IF($S$1183=874,PR!$S$970,IF($S$1183=875,PR!$S$971,IF($S$1183=876,PR!$S$972,IF($S$1183=877,PR!$S$973,IF($S$1183=878,PR!$S$974,IF($S$1183=879,PR!$S$975,IF($S$1183=880,PR!$S$976,IF($S$1183=881,PR!$S$977,IF($S$1183=882,PR!$S$978,IF($S$1183=883,PR!$S$979,IF($S$1183=884,PR!$S$980,IF($S$1183=885,PR!$S$981,IF($S$1183=886,PR!$S$982,IF($S$1183=887,PR!$S$983,IF($S$1183=888,PR!$S$984,IF($S$1183=889,PR!$S$985,IF($S$1183=890,PR!$S$986,IF($S$1183=891,PR!$S$987,IF($S$1183=892,PR!$S$988,IF($S$1183=893,PR!$S$989,IF($S$1183=894,PR!$S$990,IF($S$1183=895,PR!$S$991,IF($S$1183=896,PR!$S$992,IF($S$1183=897,PR!$S$993,IF($S$1183=898,PR!$S$994,IF($S$1183=899,PR!$S$995,IF($S$1183=900,PR!$S$996,"-"))))))))))))))))))))))))))))))))))))))))))))))))))))))))))))</f>
        <v>0</v>
      </c>
      <c r="R1187" s="602">
        <f>IF($S$1183=841,PR!$T$931,IF($S$1183=842,PR!$T$932,IF($S$1183=843,PR!$T$933,IF($S$1183=844,PR!$T$934,IF($S$1183=845,PR!$T$935,IF($S$1183=846,PR!$T$942,IF($S$1183=847,PR!$T$943,IF($S$1183=848,PR!$T$944,IF($S$1183=849,PR!$T$945,IF($S$1183=850,PR!$T$946,IF($S$1183=851,PR!$T$947,IF($S$1183=852,PR!$T$948,IF($S$1183=853,PR!$T$949,IF($S$1183=854,PR!$T$950,IF($S$1183=855,PR!$T$951,IF($S$1183=856,PR!$T$952,IF($S$1183=857,PR!$T$953,IF($S$1183=858,PR!$T$954,IF($S$1183=859,PR!$T$955,IF($S$1183=860,PR!$T$956,IF($S$1183=861,PR!$T$957,IF($S$1183=862,PR!$T$958,IF($S$1183=863,PR!$T$959,IF($S$1183=864,PR!$T$960,IF($S$1183=865,PR!$T$961,IF($S$1183=866,PR!$T$962,IF($S$1183=867,PR!$T$963,IF($S$1183=868,PR!$T$964,IF($S$1183=869,PR!$T$965,IF($S$1183=870,PR!$T$966,IF($S$1183=871,PR!$T$967,IF($S$1183=872,PR!$T$968,IF($S$1183=873,PR!$T$969,IF($S$1183=874,PR!$T$970,IF($S$1183=875,PR!$T$971,IF($S$1183=876,PR!$T$972,IF($S$1183=877,PR!$T$973,IF($S$1183=878,PR!$T$974,IF($S$1183=879,PR!$T$975,IF($S$1183=880,PR!$T$976,IF($S$1183=881,PR!$T$977,IF($S$1183=882,PR!$T$978,IF($S$1183=883,PR!$T$979,IF($S$1183=884,PR!$T$980,IF($S$1183=885,PR!$T$981,IF($S$1183=886,PR!$T$982,IF($S$1183=887,PR!$T$983,IF($S$1183=888,PR!$T$984,IF($S$1183=889,PR!$T$985,IF($S$1183=890,PR!$T$986,IF($S$1183=891,PR!$T$987,IF($S$1183=892,PR!$T$988,IF($S$1183=893,PR!$T$989,IF($S$1183=894,PR!$T$990,IF($S$1183=895,PR!$T$991,IF($S$1183=896,PR!$T$992,IF($S$1183=897,PR!$T$993,IF($S$1183=898,PR!$T$994,IF($S$1183=899,PR!$T$995,IF($S$1183=900,PR!$T$996,"-"))))))))))))))))))))))))))))))))))))))))))))))))))))))))))))</f>
        <v>0</v>
      </c>
      <c r="S1187" s="602">
        <f>IF($S$1183=841,PR!$U$931,IF($S$1183=842,PR!$U$932,IF($S$1183=843,PR!$U$933,IF($S$1183=844,PR!$U$934,IF($S$1183=845,PR!$U$935,IF($S$1183=846,PR!$U$942,IF($S$1183=847,PR!$U$943,IF($S$1183=848,PR!$U$944,IF($S$1183=849,PR!$U$945,IF($S$1183=850,PR!$U$946,IF($S$1183=851,PR!$U$947,IF($S$1183=852,PR!$U$948,IF($S$1183=853,PR!$U$949,IF($S$1183=854,PR!$U$950,IF($S$1183=855,PR!$U$951,IF($S$1183=856,PR!$U$952,IF($S$1183=857,PR!$U$953,IF($S$1183=858,PR!$U$954,IF($S$1183=859,PR!$U$955,IF($S$1183=860,PR!$U$956,IF($S$1183=861,PR!$U$957,IF($S$1183=862,PR!$U$958,IF($S$1183=863,PR!$U$959,IF($S$1183=864,PR!$U$960,IF($S$1183=865,PR!$U$961,IF($S$1183=866,PR!$U$962,IF($S$1183=867,PR!$U$963,IF($S$1183=868,PR!$U$964,IF($S$1183=869,PR!$U$965,IF($S$1183=870,PR!$U$966,IF($S$1183=871,PR!$U$967,IF($S$1183=872,PR!$U$968,IF($S$1183=873,PR!$U$969,IF($S$1183=874,PR!$U$970,IF($S$1183=875,PR!$U$971,IF($S$1183=876,PR!$U$972,IF($S$1183=877,PR!$U$973,IF($S$1183=878,PR!$U$974,IF($S$1183=879,PR!$U$975,IF($S$1183=880,PR!$U$976,IF($S$1183=881,PR!$U$977,IF($S$1183=882,PR!$U$978,IF($S$1183=883,PR!$U$979,IF($S$1183=884,PR!$U$980,IF($S$1183=885,PR!$U$981,IF($S$1183=886,PR!$U$982,IF($S$1183=887,PR!$U$983,IF($S$1183=888,PR!$U$984,IF($S$1183=889,PR!$U$985,IF($S$1183=890,PR!$U$986,IF($S$1183=891,PR!$U$987,IF($S$1183=892,PR!$U$988,IF($S$1183=893,PR!$U$989,IF($S$1183=894,PR!$U$990,IF($S$1183=895,PR!$U$991,IF($S$1183=896,PR!$U$992,IF($S$1183=897,PR!$U$993,IF($S$1183=898,PR!$U$994,IF($S$1183=899,PR!$U$995,IF($S$1183=900,PR!$U$996,"-"))))))))))))))))))))))))))))))))))))))))))))))))))))))))))))</f>
        <v>0</v>
      </c>
      <c r="T1187" s="580"/>
      <c r="U1187" s="580"/>
      <c r="V1187" s="32"/>
      <c r="W1187" s="32"/>
      <c r="X1187" s="32"/>
    </row>
    <row r="1188" spans="2:24" ht="11.25" customHeight="1" x14ac:dyDescent="0.25">
      <c r="B1188" s="580"/>
      <c r="C1188" s="603"/>
      <c r="D1188" s="604"/>
      <c r="E1188" s="604"/>
      <c r="F1188" s="604"/>
      <c r="G1188" s="604"/>
      <c r="H1188" s="604"/>
      <c r="I1188" s="604"/>
      <c r="J1188" s="604"/>
      <c r="K1188" s="604"/>
      <c r="L1188" s="604"/>
      <c r="M1188" s="604"/>
      <c r="N1188" s="604"/>
      <c r="O1188" s="604"/>
      <c r="P1188" s="604"/>
      <c r="Q1188" s="604"/>
      <c r="R1188" s="605"/>
      <c r="S1188" s="605"/>
      <c r="T1188" s="580"/>
      <c r="U1188" s="580"/>
      <c r="V1188" s="32"/>
      <c r="W1188" s="32"/>
      <c r="X1188" s="32"/>
    </row>
    <row r="1189" spans="2:24" ht="15.75" thickBot="1" x14ac:dyDescent="0.3">
      <c r="B1189" s="580"/>
      <c r="C1189" s="600" t="str">
        <f>N!$C$21</f>
        <v>GENEITH</v>
      </c>
      <c r="D1189" s="600" t="str">
        <f>N!$C$22</f>
        <v>GINOS</v>
      </c>
      <c r="E1189" s="600" t="str">
        <f>N!$C$23</f>
        <v>GSK</v>
      </c>
      <c r="F1189" s="600" t="str">
        <f>N!$C$24</f>
        <v>GLOBORG</v>
      </c>
      <c r="G1189" s="600" t="str">
        <f>N!$C$25</f>
        <v>GOODNEWS</v>
      </c>
      <c r="H1189" s="600" t="str">
        <f>N!$C$26</f>
        <v>GREENLIFE</v>
      </c>
      <c r="I1189" s="600" t="str">
        <f>N!$C$27</f>
        <v>HLINE</v>
      </c>
      <c r="J1189" s="600" t="str">
        <f>N!$C$28</f>
        <v>ROTECH</v>
      </c>
      <c r="K1189" s="600" t="str">
        <f>N!$C$29</f>
        <v>ISN</v>
      </c>
      <c r="L1189" s="600" t="str">
        <f>N!$C$30</f>
        <v>JAWA</v>
      </c>
      <c r="M1189" s="600" t="str">
        <f>N!$C$31</f>
        <v>LAYO</v>
      </c>
      <c r="N1189" s="600" t="str">
        <f>N!$C$32</f>
        <v>LEADWAY</v>
      </c>
      <c r="O1189" s="600" t="str">
        <f>N!$C$33</f>
        <v>LHV</v>
      </c>
      <c r="P1189" s="600" t="str">
        <f>N!$C$34</f>
        <v>MANOLA</v>
      </c>
      <c r="Q1189" s="600" t="str">
        <f>N!$C$35</f>
        <v>MARCSON</v>
      </c>
      <c r="R1189" s="600" t="str">
        <f>N!$C$36</f>
        <v>M&amp;B</v>
      </c>
      <c r="S1189" s="600" t="str">
        <f>N!$C$37</f>
        <v>MTRUST</v>
      </c>
      <c r="T1189" s="580"/>
      <c r="U1189" s="580"/>
      <c r="V1189" s="32"/>
      <c r="W1189" s="32"/>
      <c r="X1189" s="32"/>
    </row>
    <row r="1190" spans="2:24" ht="15.75" thickBot="1" x14ac:dyDescent="0.3">
      <c r="B1190" s="580"/>
      <c r="C1190" s="602">
        <f>IF($S$1183=841,PR!$V$931,IF($S$1183=842,PR!$V$932,IF($S$1183=843,PR!$V$933,IF($S$1183=844,PR!$V$934,IF($S$1183=845,PR!$V$935,IF($S$1183=846,PR!$V$942,IF($S$1183=847,PR!$V$943,IF($S$1183=848,PR!$V$944,IF($S$1183=849,PR!$V$945,IF($S$1183=850,PR!$V$946,IF($S$1183=851,PR!$V$947,IF($S$1183=852,PR!$V$948,IF($S$1183=853,PR!$V$949,IF($S$1183=854,PR!$V$950,IF($S$1183=855,PR!$V$951,IF($S$1183=856,PR!$V$952,IF($S$1183=857,PR!$V$953,IF($S$1183=858,PR!$V$954,IF($S$1183=859,PR!$V$955,IF($S$1183=860,PR!$V$956,IF($S$1183=861,PR!$V$957,IF($S$1183=862,PR!$V$958,IF($S$1183=863,PR!$V$959,IF($S$1183=864,PR!$V$960,IF($S$1183=865,PR!$V$961,IF($S$1183=866,PR!$V$962,IF($S$1183=867,PR!$V$963,IF($S$1183=868,PR!$V$964,IF($S$1183=869,PR!$V$965,IF($S$1183=870,PR!$V$966,IF($S$1183=871,PR!$V$967,IF($S$1183=872,PR!$V$968,IF($S$1183=873,PR!$V$969,IF($S$1183=874,PR!$V$970,IF($S$1183=875,PR!$V$971,IF($S$1183=876,PR!$V$972,IF($S$1183=877,PR!$V$973,IF($S$1183=878,PR!$V$974,IF($S$1183=879,PR!$V$975,IF($S$1183=880,PR!$V$976,IF($S$1183=881,PR!$V$977,IF($S$1183=882,PR!$V$978,IF($S$1183=883,PR!$V$979,IF($S$1183=884,PR!$V$980,IF($S$1183=885,PR!$V$981,IF($S$1183=886,PR!$V$982,IF($S$1183=887,PR!$V$983,IF($S$1183=888,PR!$V$984,IF($S$1183=889,PR!$V$985,IF($S$1183=890,PR!$V$986,IF($S$1183=891,PR!$V$987,IF($S$1183=892,PR!$V$988,IF($S$1183=893,PR!$V$989,IF($S$1183=894,PR!$V$990,IF($S$1183=895,PR!$V$991,IF($S$1183=896,PR!$V$992,IF($S$1183=897,PR!$V$993,IF($S$1183=898,PR!$V$994,IF($S$1183=899,PR!$V$995,IF($S$1183=900,PR!$V$996,"-"))))))))))))))))))))))))))))))))))))))))))))))))))))))))))))</f>
        <v>0</v>
      </c>
      <c r="D1190" s="602">
        <f>IF($S$1183=841,PR!$W$931,IF($S$1183=842,PR!$W$932,IF($S$1183=843,PR!$W$933,IF($S$1183=844,PR!$W$934,IF($S$1183=845,PR!$W$935,IF($S$1183=846,PR!$W$942,IF($S$1183=847,PR!$W$943,IF($S$1183=848,PR!$W$944,IF($S$1183=849,PR!$W$945,IF($S$1183=850,PR!$W$946,IF($S$1183=851,PR!$W$947,IF($S$1183=852,PR!$W$948,IF($S$1183=853,PR!$W$949,IF($S$1183=854,PR!$W$950,IF($S$1183=855,PR!$W$951,IF($S$1183=856,PR!$W$952,IF($S$1183=857,PR!$W$953,IF($S$1183=858,PR!$W$954,IF($S$1183=859,PR!$W$955,IF($S$1183=860,PR!$W$956,IF($S$1183=861,PR!$W$957,IF($S$1183=862,PR!$W$958,IF($S$1183=863,PR!$W$959,IF($S$1183=864,PR!$W$960,IF($S$1183=865,PR!$W$961,IF($S$1183=866,PR!$W$962,IF($S$1183=867,PR!$W$963,IF($S$1183=868,PR!$W$964,IF($S$1183=869,PR!$W$965,IF($S$1183=870,PR!$W$966,IF($S$1183=871,PR!$W$967,IF($S$1183=872,PR!$W$968,IF($S$1183=873,PR!$W$969,IF($S$1183=874,PR!$W$970,IF($S$1183=875,PR!$W$971,IF($S$1183=876,PR!$W$972,IF($S$1183=877,PR!$W$973,IF($S$1183=878,PR!$W$974,IF($S$1183=879,PR!$W$975,IF($S$1183=880,PR!$W$976,IF($S$1183=881,PR!$W$977,IF($S$1183=882,PR!$W$978,IF($S$1183=883,PR!$W$979,IF($S$1183=884,PR!$W$980,IF($S$1183=885,PR!$W$981,IF($S$1183=886,PR!$W$982,IF($S$1183=887,PR!$W$983,IF($S$1183=888,PR!$W$984,IF($S$1183=889,PR!$W$985,IF($S$1183=890,PR!$W$986,IF($S$1183=891,PR!$W$987,IF($S$1183=892,PR!$W$988,IF($S$1183=893,PR!$W$989,IF($S$1183=894,PR!$W$990,IF($S$1183=895,PR!$W$991,IF($S$1183=896,PR!$W$992,IF($S$1183=897,PR!$W$993,IF($S$1183=898,PR!$W$994,IF($S$1183=899,PR!$W$995,IF($S$1183=900,PR!$W$996,"-"))))))))))))))))))))))))))))))))))))))))))))))))))))))))))))</f>
        <v>0</v>
      </c>
      <c r="E1190" s="602">
        <f>IF($S$1183=841,PR!$X$931,IF($S$1183=842,PR!$X$932,IF($S$1183=843,PR!$X$933,IF($S$1183=844,PR!$X$934,IF($S$1183=845,PR!$X$935,IF($S$1183=846,PR!$X$942,IF($S$1183=847,PR!$X$943,IF($S$1183=848,PR!$X$944,IF($S$1183=849,PR!$X$945,IF($S$1183=850,PR!$X$946,IF($S$1183=851,PR!$X$947,IF($S$1183=852,PR!$X$948,IF($S$1183=853,PR!$X$949,IF($S$1183=854,PR!$X$950,IF($S$1183=855,PR!$X$951,IF($S$1183=856,PR!$X$952,IF($S$1183=857,PR!$X$953,IF($S$1183=858,PR!$X$954,IF($S$1183=859,PR!$X$955,IF($S$1183=860,PR!$X$956,IF($S$1183=861,PR!$X$957,IF($S$1183=862,PR!$X$958,IF($S$1183=863,PR!$X$959,IF($S$1183=864,PR!$X$960,IF($S$1183=865,PR!$X$961,IF($S$1183=866,PR!$X$962,IF($S$1183=867,PR!$X$963,IF($S$1183=868,PR!$X$964,IF($S$1183=869,PR!$X$965,IF($S$1183=870,PR!$X$966,IF($S$1183=871,PR!$X$967,IF($S$1183=872,PR!$X$968,IF($S$1183=873,PR!$X$969,IF($S$1183=874,PR!$X$970,IF($S$1183=875,PR!$X$971,IF($S$1183=876,PR!$X$972,IF($S$1183=877,PR!$X$973,IF($S$1183=878,PR!$X$974,IF($S$1183=879,PR!$X$975,IF($S$1183=880,PR!$X$976,IF($S$1183=881,PR!$X$977,IF($S$1183=882,PR!$X$978,IF($S$1183=883,PR!$X$979,IF($S$1183=884,PR!$X$980,IF($S$1183=885,PR!$X$981,IF($S$1183=886,PR!$X$982,IF($S$1183=887,PR!$X$983,IF($S$1183=888,PR!$X$984,IF($S$1183=889,PR!$X$985,IF($S$1183=890,PR!$X$986,IF($S$1183=891,PR!$X$987,IF($S$1183=892,PR!$X$988,IF($S$1183=893,PR!$X$989,IF($S$1183=894,PR!$X$990,IF($S$1183=895,PR!$X$991,IF($S$1183=896,PR!$X$992,IF($S$1183=897,PR!$X$993,IF($S$1183=898,PR!$X$994,IF($S$1183=899,PR!$X$995,IF($S$1183=900,PR!$X$996,"-"))))))))))))))))))))))))))))))))))))))))))))))))))))))))))))</f>
        <v>0</v>
      </c>
      <c r="F1190" s="602">
        <f>IF($S$1183=841,PR!$Y$931,IF($S$1183=842,PR!$Y$932,IF($S$1183=843,PR!$Y$933,IF($S$1183=844,PR!$Y$934,IF($S$1183=845,PR!$Y$935,IF($S$1183=846,PR!$Y$942,IF($S$1183=847,PR!$Y$943,IF($S$1183=848,PR!$Y$944,IF($S$1183=849,PR!$Y$945,IF($S$1183=850,PR!$Y$946,IF($S$1183=851,PR!$Y$947,IF($S$1183=852,PR!$Y$948,IF($S$1183=853,PR!$Y$949,IF($S$1183=854,PR!$Y$950,IF($S$1183=855,PR!$Y$951,IF($S$1183=856,PR!$Y$952,IF($S$1183=857,PR!$Y$953,IF($S$1183=858,PR!$Y$954,IF($S$1183=859,PR!$Y$955,IF($S$1183=860,PR!$Y$956,IF($S$1183=861,PR!$Y$957,IF($S$1183=862,PR!$Y$958,IF($S$1183=863,PR!$Y$959,IF($S$1183=864,PR!$Y$960,IF($S$1183=865,PR!$Y$961,IF($S$1183=866,PR!$Y$962,IF($S$1183=867,PR!$Y$963,IF($S$1183=868,PR!$Y$964,IF($S$1183=869,PR!$Y$965,IF($S$1183=870,PR!$Y$966,IF($S$1183=871,PR!$Y$967,IF($S$1183=872,PR!$Y$968,IF($S$1183=873,PR!$Y$969,IF($S$1183=874,PR!$Y$970,IF($S$1183=875,PR!$Y$971,IF($S$1183=876,PR!$Y$972,IF($S$1183=877,PR!$Y$973,IF($S$1183=878,PR!$Y$974,IF($S$1183=879,PR!$Y$975,IF($S$1183=880,PR!$Y$976,IF($S$1183=881,PR!$Y$977,IF($S$1183=882,PR!$Y$978,IF($S$1183=883,PR!$Y$979,IF($S$1183=884,PR!$Y$980,IF($S$1183=885,PR!$Y$981,IF($S$1183=886,PR!$Y$982,IF($S$1183=887,PR!$Y$983,IF($S$1183=888,PR!$Y$984,IF($S$1183=889,PR!$Y$985,IF($S$1183=890,PR!$Y$986,IF($S$1183=891,PR!$Y$987,IF($S$1183=892,PR!$Y$988,IF($S$1183=893,PR!$Y$989,IF($S$1183=894,PR!$Y$990,IF($S$1183=895,PR!$Y$991,IF($S$1183=896,PR!$Y$992,IF($S$1183=897,PR!$Y$993,IF($S$1183=898,PR!$Y$994,IF($S$1183=899,PR!$Y$995,IF($S$1183=900,PR!$Y$996,"-"))))))))))))))))))))))))))))))))))))))))))))))))))))))))))))</f>
        <v>0</v>
      </c>
      <c r="G1190" s="602">
        <f>IF($S$1183=841,PR!$Z$931,IF($S$1183=842,PR!$Z$932,IF($S$1183=843,PR!$Z$933,IF($S$1183=844,PR!$Z$934,IF($S$1183=845,PR!$Z$935,IF($S$1183=846,PR!$Z$942,IF($S$1183=847,PR!$Z$943,IF($S$1183=848,PR!$Z$944,IF($S$1183=849,PR!$Z$945,IF($S$1183=850,PR!$Z$946,IF($S$1183=851,PR!$Z$947,IF($S$1183=852,PR!$Z$948,IF($S$1183=853,PR!$Z$949,IF($S$1183=854,PR!$Z$950,IF($S$1183=855,PR!$Z$951,IF($S$1183=856,PR!$Z$952,IF($S$1183=857,PR!$Z$953,IF($S$1183=858,PR!$Z$954,IF($S$1183=859,PR!$Z$955,IF($S$1183=860,PR!$Z$956,IF($S$1183=861,PR!$Z$957,IF($S$1183=862,PR!$Z$958,IF($S$1183=863,PR!$Z$959,IF($S$1183=864,PR!$Z$960,IF($S$1183=865,PR!$Z$961,IF($S$1183=866,PR!$Z$962,IF($S$1183=867,PR!$Z$963,IF($S$1183=868,PR!$Z$964,IF($S$1183=869,PR!$Z$965,IF($S$1183=870,PR!$Z$966,IF($S$1183=871,PR!$Z$967,IF($S$1183=872,PR!$Z$968,IF($S$1183=873,PR!$Z$969,IF($S$1183=874,PR!$Z$970,IF($S$1183=875,PR!$Z$971,IF($S$1183=876,PR!$Z$972,IF($S$1183=877,PR!$Z$973,IF($S$1183=878,PR!$Z$974,IF($S$1183=879,PR!$Z$975,IF($S$1183=880,PR!$Z$976,IF($S$1183=881,PR!$Z$977,IF($S$1183=882,PR!$Z$978,IF($S$1183=883,PR!$Z$979,IF($S$1183=884,PR!$Z$980,IF($S$1183=885,PR!$Z$981,IF($S$1183=886,PR!$Z$982,IF($S$1183=887,PR!$Z$983,IF($S$1183=888,PR!$Z$984,IF($S$1183=889,PR!$Z$985,IF($S$1183=890,PR!$Z$986,IF($S$1183=891,PR!$Z$987,IF($S$1183=892,PR!$Z$988,IF($S$1183=893,PR!$Z$989,IF($S$1183=894,PR!$Z$990,IF($S$1183=895,PR!$Z$991,IF($S$1183=896,PR!$Z$992,IF($S$1183=897,PR!$Z$993,IF($S$1183=898,PR!$Z$994,IF($S$1183=899,PR!$Z$995,IF($S$1183=900,PR!$Z$996,"-"))))))))))))))))))))))))))))))))))))))))))))))))))))))))))))</f>
        <v>0</v>
      </c>
      <c r="H1190" s="602">
        <f>IF($S$1183=841,PR!$AA$931,IF($S$1183=842,PR!$AA$932,IF($S$1183=843,PR!$AA$933,IF($S$1183=844,PR!$AA$934,IF($S$1183=845,PR!$AA$935,IF($S$1183=846,PR!$AA$942,IF($S$1183=847,PR!$AA$943,IF($S$1183=848,PR!$AA$944,IF($S$1183=849,PR!$AA$945,IF($S$1183=850,PR!$AA$946,IF($S$1183=851,PR!$AA$947,IF($S$1183=852,PR!$AA$948,IF($S$1183=853,PR!$AA$949,IF($S$1183=854,PR!$AA$950,IF($S$1183=855,PR!$AA$951,IF($S$1183=856,PR!$AA$952,IF($S$1183=857,PR!$AA$953,IF($S$1183=858,PR!$AA$954,IF($S$1183=859,PR!$AA$955,IF($S$1183=860,PR!$AA$956,IF($S$1183=861,PR!$AA$957,IF($S$1183=862,PR!$AA$958,IF($S$1183=863,PR!$AA$959,IF($S$1183=864,PR!$AA$960,IF($S$1183=865,PR!$AA$961,IF($S$1183=866,PR!$AA$962,IF($S$1183=867,PR!$AA$963,IF($S$1183=868,PR!$AA$964,IF($S$1183=869,PR!$AA$965,IF($S$1183=870,PR!$AA$966,IF($S$1183=871,PR!$AA$967,IF($S$1183=872,PR!$AA$968,IF($S$1183=873,PR!$AA$969,IF($S$1183=874,PR!$AA$970,IF($S$1183=875,PR!$AA$971,IF($S$1183=876,PR!$AA$972,IF($S$1183=877,PR!$AA$973,IF($S$1183=878,PR!$AA$974,IF($S$1183=879,PR!$AA$975,IF($S$1183=880,PR!$AA$976,IF($S$1183=881,PR!$AA$977,IF($S$1183=882,PR!$AA$978,IF($S$1183=883,PR!$AA$979,IF($S$1183=884,PR!$AA$980,IF($S$1183=885,PR!$AA$981,IF($S$1183=886,PR!$AA$982,IF($S$1183=887,PR!$AA$983,IF($S$1183=888,PR!$AA$984,IF($S$1183=889,PR!$AA$985,IF($S$1183=890,PR!$AA$986,IF($S$1183=891,PR!$AA$987,IF($S$1183=892,PR!$AA$988,IF($S$1183=893,PR!$AA$989,IF($S$1183=894,PR!$AA$990,IF($S$1183=895,PR!$AA$991,IF($S$1183=896,PR!$AA$992,IF($S$1183=897,PR!$AA$993,IF($S$1183=898,PR!$AA$994,IF($S$1183=899,PR!$AA$995,IF($S$1183=900,PR!$AA$996,"-"))))))))))))))))))))))))))))))))))))))))))))))))))))))))))))</f>
        <v>0</v>
      </c>
      <c r="I1190" s="602">
        <f>IF($S$1183=841,PR!$AB$931,IF($S$1183=842,PR!$AB$932,IF($S$1183=843,PR!$AB$933,IF($S$1183=844,PR!$AB$934,IF($S$1183=845,PR!$AB$935,IF($S$1183=846,PR!$AB$942,IF($S$1183=847,PR!$AB$943,IF($S$1183=848,PR!$AB$944,IF($S$1183=849,PR!$AB$945,IF($S$1183=850,PR!$AB$946,IF($S$1183=851,PR!$AB$947,IF($S$1183=852,PR!$AB$948,IF($S$1183=853,PR!$AB$949,IF($S$1183=854,PR!$AB$950,IF($S$1183=855,PR!$AB$951,IF($S$1183=856,PR!$AB$952,IF($S$1183=857,PR!$AB$953,IF($S$1183=858,PR!$AB$954,IF($S$1183=859,PR!$AB$955,IF($S$1183=860,PR!$AB$956,IF($S$1183=861,PR!$AB$957,IF($S$1183=862,PR!$AB$958,IF($S$1183=863,PR!$AB$959,IF($S$1183=864,PR!$AB$960,IF($S$1183=865,PR!$AB$961,IF($S$1183=866,PR!$AB$962,IF($S$1183=867,PR!$AB$963,IF($S$1183=868,PR!$AB$964,IF($S$1183=869,PR!$AB$965,IF($S$1183=870,PR!$AB$966,IF($S$1183=871,PR!$AB$967,IF($S$1183=872,PR!$AB$968,IF($S$1183=873,PR!$AB$969,IF($S$1183=874,PR!$AB$970,IF($S$1183=875,PR!$AB$971,IF($S$1183=876,PR!$AB$972,IF($S$1183=877,PR!$AB$973,IF($S$1183=878,PR!$AB$974,IF($S$1183=879,PR!$AB$975,IF($S$1183=880,PR!$AB$976,IF($S$1183=881,PR!$AB$977,IF($S$1183=882,PR!$AB$978,IF($S$1183=883,PR!$AB$979,IF($S$1183=884,PR!$AB$980,IF($S$1183=885,PR!$AB$981,IF($S$1183=886,PR!$AB$982,IF($S$1183=887,PR!$AB$983,IF($S$1183=888,PR!$AB$984,IF($S$1183=889,PR!$AB$985,IF($S$1183=890,PR!$AB$986,IF($S$1183=891,PR!$AB$987,IF($S$1183=892,PR!$AB$988,IF($S$1183=893,PR!$AB$989,IF($S$1183=894,PR!$AB$990,IF($S$1183=895,PR!$AB$991,IF($S$1183=896,PR!$AB$992,IF($S$1183=897,PR!$AB$993,IF($S$1183=898,PR!$AB$994,IF($S$1183=899,PR!$AB$995,IF($S$1183=900,PR!$AB$996,"-"))))))))))))))))))))))))))))))))))))))))))))))))))))))))))))</f>
        <v>0</v>
      </c>
      <c r="J1190" s="602">
        <f>IF($S$1183=841,PR!$AC$931,IF($S$1183=842,PR!$AC$932,IF($S$1183=843,PR!$AC$933,IF($S$1183=844,PR!$AC$934,IF($S$1183=845,PR!$AC$935,IF($S$1183=846,PR!$AC$942,IF($S$1183=847,PR!$AC$943,IF($S$1183=848,PR!$AC$944,IF($S$1183=849,PR!$AC$945,IF($S$1183=850,PR!$AC$946,IF($S$1183=851,PR!$AC$947,IF($S$1183=852,PR!$AC$948,IF($S$1183=853,PR!$AC$949,IF($S$1183=854,PR!$AC$950,IF($S$1183=855,PR!$AC$951,IF($S$1183=856,PR!$AC$952,IF($S$1183=857,PR!$AC$953,IF($S$1183=858,PR!$AC$954,IF($S$1183=859,PR!$AC$955,IF($S$1183=860,PR!$AC$956,IF($S$1183=861,PR!$AC$957,IF($S$1183=862,PR!$AC$958,IF($S$1183=863,PR!$AC$959,IF($S$1183=864,PR!$AC$960,IF($S$1183=865,PR!$AC$961,IF($S$1183=866,PR!$AC$962,IF($S$1183=867,PR!$AC$963,IF($S$1183=868,PR!$AC$964,IF($S$1183=869,PR!$AC$965,IF($S$1183=870,PR!$AC$966,IF($S$1183=871,PR!$AC$967,IF($S$1183=872,PR!$AC$968,IF($S$1183=873,PR!$AC$969,IF($S$1183=874,PR!$AC$970,IF($S$1183=875,PR!$AC$971,IF($S$1183=876,PR!$AC$972,IF($S$1183=877,PR!$AC$973,IF($S$1183=878,PR!$AC$974,IF($S$1183=879,PR!$AC$975,IF($S$1183=880,PR!$AC$976,IF($S$1183=881,PR!$AC$977,IF($S$1183=882,PR!$AC$978,IF($S$1183=883,PR!$AC$979,IF($S$1183=884,PR!$AC$980,IF($S$1183=885,PR!$AC$981,IF($S$1183=886,PR!$AC$982,IF($S$1183=887,PR!$AC$983,IF($S$1183=888,PR!$AC$984,IF($S$1183=889,PR!$AC$985,IF($S$1183=890,PR!$AC$986,IF($S$1183=891,PR!$AC$987,IF($S$1183=892,PR!$AC$988,IF($S$1183=893,PR!$AC$989,IF($S$1183=894,PR!$AC$990,IF($S$1183=895,PR!$AC$991,IF($S$1183=896,PR!$AC$992,IF($S$1183=897,PR!$AC$993,IF($S$1183=898,PR!$AC$994,IF($S$1183=899,PR!$AC$995,IF($S$1183=900,PR!$AC$996,"-"))))))))))))))))))))))))))))))))))))))))))))))))))))))))))))</f>
        <v>0</v>
      </c>
      <c r="K1190" s="602">
        <f>IF($S$1183=841,PR!$AD$931,IF($S$1183=842,PR!$AD$932,IF($S$1183=843,PR!$AD$933,IF($S$1183=844,PR!$AD$934,IF($S$1183=845,PR!$AD$935,IF($S$1183=846,PR!$AD$942,IF($S$1183=847,PR!$AD$943,IF($S$1183=848,PR!$AD$944,IF($S$1183=849,PR!$AD$945,IF($S$1183=850,PR!$AD$946,IF($S$1183=851,PR!$AD$947,IF($S$1183=852,PR!$AD$948,IF($S$1183=853,PR!$AD$949,IF($S$1183=854,PR!$AD$950,IF($S$1183=855,PR!$AD$951,IF($S$1183=856,PR!$AD$952,IF($S$1183=857,PR!$AD$953,IF($S$1183=858,PR!$AD$954,IF($S$1183=859,PR!$AD$955,IF($S$1183=860,PR!$AD$956,IF($S$1183=861,PR!$AD$957,IF($S$1183=862,PR!$AD$958,IF($S$1183=863,PR!$AD$959,IF($S$1183=864,PR!$AD$960,IF($S$1183=865,PR!$AD$961,IF($S$1183=866,PR!$AD$962,IF($S$1183=867,PR!$AD$963,IF($S$1183=868,PR!$AD$964,IF($S$1183=869,PR!$AD$965,IF($S$1183=870,PR!$AD$966,IF($S$1183=871,PR!$AD$967,IF($S$1183=872,PR!$AD$968,IF($S$1183=873,PR!$AD$969,IF($S$1183=874,PR!$AD$970,IF($S$1183=875,PR!$AD$971,IF($S$1183=876,PR!$AD$972,IF($S$1183=877,PR!$AD$973,IF($S$1183=878,PR!$AD$974,IF($S$1183=879,PR!$AD$975,IF($S$1183=880,PR!$AD$976,IF($S$1183=881,PR!$AD$977,IF($S$1183=882,PR!$AD$978,IF($S$1183=883,PR!$AD$979,IF($S$1183=884,PR!$AD$980,IF($S$1183=885,PR!$AD$981,IF($S$1183=886,PR!$AD$982,IF($S$1183=887,PR!$AD$983,IF($S$1183=888,PR!$AD$984,IF($S$1183=889,PR!$AD$985,IF($S$1183=890,PR!$AD$986,IF($S$1183=891,PR!$AD$987,IF($S$1183=892,PR!$AD$988,IF($S$1183=893,PR!$AD$989,IF($S$1183=894,PR!$AD$990,IF($S$1183=895,PR!$AD$991,IF($S$1183=896,PR!$AD$992,IF($S$1183=897,PR!$AD$993,IF($S$1183=898,PR!$AD$994,IF($S$1183=899,PR!$AD$995,IF($S$1183=900,PR!$AD$996,"-"))))))))))))))))))))))))))))))))))))))))))))))))))))))))))))</f>
        <v>0</v>
      </c>
      <c r="L1190" s="602">
        <f>IF($S$1183=841,PR!$AE$931,IF($S$1183=842,PR!$AE$932,IF($S$1183=843,PR!$AE$933,IF($S$1183=844,PR!$AE$934,IF($S$1183=845,PR!$AE$935,IF($S$1183=846,PR!$AE$942,IF($S$1183=847,PR!$AE$943,IF($S$1183=848,PR!$AE$944,IF($S$1183=849,PR!$AE$945,IF($S$1183=850,PR!$AE$946,IF($S$1183=851,PR!$AE$947,IF($S$1183=852,PR!$AE$948,IF($S$1183=853,PR!$AE$949,IF($S$1183=854,PR!$AE$950,IF($S$1183=855,PR!$AE$951,IF($S$1183=856,PR!$AE$952,IF($S$1183=857,PR!$AE$953,IF($S$1183=858,PR!$AE$954,IF($S$1183=859,PR!$AE$955,IF($S$1183=860,PR!$AE$956,IF($S$1183=861,PR!$AE$957,IF($S$1183=862,PR!$AE$958,IF($S$1183=863,PR!$AE$959,IF($S$1183=864,PR!$AE$960,IF($S$1183=865,PR!$AE$961,IF($S$1183=866,PR!$AE$962,IF($S$1183=867,PR!$AE$963,IF($S$1183=868,PR!$AE$964,IF($S$1183=869,PR!$AE$965,IF($S$1183=870,PR!$AE$966,IF($S$1183=871,PR!$AE$967,IF($S$1183=872,PR!$AE$968,IF($S$1183=873,PR!$AE$969,IF($S$1183=874,PR!$AE$970,IF($S$1183=875,PR!$AE$971,IF($S$1183=876,PR!$AE$972,IF($S$1183=877,PR!$AE$973,IF($S$1183=878,PR!$AE$974,IF($S$1183=879,PR!$AE$975,IF($S$1183=880,PR!$AE$976,IF($S$1183=881,PR!$AE$977,IF($S$1183=882,PR!$AE$978,IF($S$1183=883,PR!$AE$979,IF($S$1183=884,PR!$AE$980,IF($S$1183=885,PR!$AE$981,IF($S$1183=886,PR!$AE$982,IF($S$1183=887,PR!$AE$983,IF($S$1183=888,PR!$AE$984,IF($S$1183=889,PR!$AE$985,IF($S$1183=890,PR!$AE$986,IF($S$1183=891,PR!$AE$987,IF($S$1183=892,PR!$AE$988,IF($S$1183=893,PR!$AE$989,IF($S$1183=894,PR!$AE$990,IF($S$1183=895,PR!$AE$991,IF($S$1183=896,PR!$AE$992,IF($S$1183=897,PR!$AE$993,IF($S$1183=898,PR!$AE$994,IF($S$1183=899,PR!$AE$995,IF($S$1183=900,PR!$AE$996,"-"))))))))))))))))))))))))))))))))))))))))))))))))))))))))))))</f>
        <v>0</v>
      </c>
      <c r="M1190" s="602">
        <f>IF($S$1183=841,PR!$AF$931,IF($S$1183=842,PR!$AF$932,IF($S$1183=843,PR!$AF$933,IF($S$1183=844,PR!$AF$934,IF($S$1183=845,PR!$AF$935,IF($S$1183=846,PR!$AF$942,IF($S$1183=847,PR!$AF$943,IF($S$1183=848,PR!$AF$944,IF($S$1183=849,PR!$AF$945,IF($S$1183=850,PR!$AF$946,IF($S$1183=851,PR!$AF$947,IF($S$1183=852,PR!$AF$948,IF($S$1183=853,PR!$AF$949,IF($S$1183=854,PR!$AF$950,IF($S$1183=855,PR!$AF$951,IF($S$1183=856,PR!$AF$952,IF($S$1183=857,PR!$AF$953,IF($S$1183=858,PR!$AF$954,IF($S$1183=859,PR!$AF$955,IF($S$1183=860,PR!$AF$956,IF($S$1183=861,PR!$AF$957,IF($S$1183=862,PR!$AF$958,IF($S$1183=863,PR!$AF$959,IF($S$1183=864,PR!$AF$960,IF($S$1183=865,PR!$AF$961,IF($S$1183=866,PR!$AF$962,IF($S$1183=867,PR!$AF$963,IF($S$1183=868,PR!$AF$964,IF($S$1183=869,PR!$AF$965,IF($S$1183=870,PR!$AF$966,IF($S$1183=871,PR!$AF$967,IF($S$1183=872,PR!$AF$968,IF($S$1183=873,PR!$AF$969,IF($S$1183=874,PR!$AF$970,IF($S$1183=875,PR!$AF$971,IF($S$1183=876,PR!$AF$972,IF($S$1183=877,PR!$AF$973,IF($S$1183=878,PR!$AF$974,IF($S$1183=879,PR!$AF$975,IF($S$1183=880,PR!$AF$976,IF($S$1183=881,PR!$AF$977,IF($S$1183=882,PR!$AF$978,IF($S$1183=883,PR!$AF$979,IF($S$1183=884,PR!$AF$980,IF($S$1183=885,PR!$AF$981,IF($S$1183=886,PR!$AF$982,IF($S$1183=887,PR!$AF$983,IF($S$1183=888,PR!$AF$984,IF($S$1183=889,PR!$AF$985,IF($S$1183=890,PR!$AF$986,IF($S$1183=891,PR!$AF$987,IF($S$1183=892,PR!$AF$988,IF($S$1183=893,PR!$AF$989,IF($S$1183=894,PR!$AF$990,IF($S$1183=895,PR!$AF$991,IF($S$1183=896,PR!$AF$992,IF($S$1183=897,PR!$AF$993,IF($S$1183=898,PR!$AF$994,IF($S$1183=899,PR!$AF$995,IF($S$1183=900,PR!$AF$996,"-"))))))))))))))))))))))))))))))))))))))))))))))))))))))))))))</f>
        <v>23400</v>
      </c>
      <c r="N1190" s="602">
        <f>IF($S$1183=841,PR!$AG$931,IF($S$1183=842,PR!$AG$932,IF($S$1183=843,PR!$AG$933,IF($S$1183=844,PR!$AG$934,IF($S$1183=845,PR!$AG$935,IF($S$1183=846,PR!$AG$942,IF($S$1183=847,PR!$AG$943,IF($S$1183=848,PR!$AG$944,IF($S$1183=849,PR!$AG$945,IF($S$1183=850,PR!$AG$946,IF($S$1183=851,PR!$AG$947,IF($S$1183=852,PR!$AG$948,IF($S$1183=853,PR!$AG$949,IF($S$1183=854,PR!$AG$950,IF($S$1183=855,PR!$AG$951,IF($S$1183=856,PR!$AG$952,IF($S$1183=857,PR!$AG$953,IF($S$1183=858,PR!$AG$954,IF($S$1183=859,PR!$AG$955,IF($S$1183=860,PR!$AG$956,IF($S$1183=861,PR!$AG$957,IF($S$1183=862,PR!$AG$958,IF($S$1183=863,PR!$AG$959,IF($S$1183=864,PR!$AG$960,IF($S$1183=865,PR!$AG$961,IF($S$1183=866,PR!$AG$962,IF($S$1183=867,PR!$AG$963,IF($S$1183=868,PR!$AG$964,IF($S$1183=869,PR!$AG$965,IF($S$1183=870,PR!$AG$966,IF($S$1183=871,PR!$AG$967,IF($S$1183=872,PR!$AG$968,IF($S$1183=873,PR!$AG$969,IF($S$1183=874,PR!$AG$970,IF($S$1183=875,PR!$AG$971,IF($S$1183=876,PR!$AG$972,IF($S$1183=877,PR!$AG$973,IF($S$1183=878,PR!$AG$974,IF($S$1183=879,PR!$AG$975,IF($S$1183=880,PR!$AG$976,IF($S$1183=881,PR!$AG$977,IF($S$1183=882,PR!$AG$978,IF($S$1183=883,PR!$AG$979,IF($S$1183=884,PR!$AG$980,IF($S$1183=885,PR!$AG$981,IF($S$1183=886,PR!$AG$982,IF($S$1183=887,PR!$AG$983,IF($S$1183=888,PR!$AG$984,IF($S$1183=889,PR!$AG$985,IF($S$1183=890,PR!$AG$986,IF($S$1183=891,PR!$AG$987,IF($S$1183=892,PR!$AG$988,IF($S$1183=893,PR!$AG$989,IF($S$1183=894,PR!$AG$990,IF($S$1183=895,PR!$AG$991,IF($S$1183=896,PR!$AG$992,IF($S$1183=897,PR!$AG$993,IF($S$1183=898,PR!$AG$994,IF($S$1183=899,PR!$AG$995,IF($S$1183=900,PR!$AG$996,"-"))))))))))))))))))))))))))))))))))))))))))))))))))))))))))))</f>
        <v>0</v>
      </c>
      <c r="O1190" s="602">
        <f>IF($S$1183=841,PR!$AH$931,IF($S$1183=842,PR!$AH$932,IF($S$1183=843,PR!$AH$933,IF($S$1183=844,PR!$AH$934,IF($S$1183=845,PR!$AH$935,IF($S$1183=846,PR!$AH$942,IF($S$1183=847,PR!$AH$943,IF($S$1183=848,PR!$AH$944,IF($S$1183=849,PR!$AH$945,IF($S$1183=850,PR!$AH$946,IF($S$1183=851,PR!$AH$947,IF($S$1183=852,PR!$AH$948,IF($S$1183=853,PR!$AH$949,IF($S$1183=854,PR!$AH$950,IF($S$1183=855,PR!$AH$951,IF($S$1183=856,PR!$AH$952,IF($S$1183=857,PR!$AH$953,IF($S$1183=858,PR!$AH$954,IF($S$1183=859,PR!$AH$955,IF($S$1183=860,PR!$AH$956,IF($S$1183=861,PR!$AH$957,IF($S$1183=862,PR!$AH$958,IF($S$1183=863,PR!$AH$959,IF($S$1183=864,PR!$AH$960,IF($S$1183=865,PR!$AH$961,IF($S$1183=866,PR!$AH$962,IF($S$1183=867,PR!$AH$963,IF($S$1183=868,PR!$AH$964,IF($S$1183=869,PR!$AH$965,IF($S$1183=870,PR!$AH$966,IF($S$1183=871,PR!$AH$967,IF($S$1183=872,PR!$AH$968,IF($S$1183=873,PR!$AH$969,IF($S$1183=874,PR!$AH$970,IF($S$1183=875,PR!$AH$971,IF($S$1183=876,PR!$AH$972,IF($S$1183=877,PR!$AH$973,IF($S$1183=878,PR!$AH$974,IF($S$1183=879,PR!$AH$975,IF($S$1183=880,PR!$AH$976,IF($S$1183=881,PR!$AH$977,IF($S$1183=882,PR!$AH$978,IF($S$1183=883,PR!$AH$979,IF($S$1183=884,PR!$AH$980,IF($S$1183=885,PR!$AH$981,IF($S$1183=886,PR!$AH$982,IF($S$1183=887,PR!$AH$983,IF($S$1183=888,PR!$AH$984,IF($S$1183=889,PR!$AH$985,IF($S$1183=890,PR!$AH$986,IF($S$1183=891,PR!$AH$987,IF($S$1183=892,PR!$AH$988,IF($S$1183=893,PR!$AH$989,IF($S$1183=894,PR!$AH$990,IF($S$1183=895,PR!$AH$991,IF($S$1183=896,PR!$AH$992,IF($S$1183=897,PR!$AH$993,IF($S$1183=898,PR!$AH$994,IF($S$1183=899,PR!$AH$995,IF($S$1183=900,PR!$AH$996,"-"))))))))))))))))))))))))))))))))))))))))))))))))))))))))))))</f>
        <v>0</v>
      </c>
      <c r="P1190" s="602">
        <f>IF($S$1183=841,PR!$AI$931,IF($S$1183=842,PR!$AI$932,IF($S$1183=843,PR!$AI$933,IF($S$1183=844,PR!$AI$934,IF($S$1183=845,PR!$AI$935,IF($S$1183=846,PR!$AI$942,IF($S$1183=847,PR!$AI$943,IF($S$1183=848,PR!$AI$944,IF($S$1183=849,PR!$AI$945,IF($S$1183=850,PR!$AI$946,IF($S$1183=851,PR!$AI$947,IF($S$1183=852,PR!$AI$948,IF($S$1183=853,PR!$AI$949,IF($S$1183=854,PR!$AI$950,IF($S$1183=855,PR!$AI$951,IF($S$1183=856,PR!$AI$952,IF($S$1183=857,PR!$AI$953,IF($S$1183=858,PR!$AI$954,IF($S$1183=859,PR!$AI$955,IF($S$1183=860,PR!$AI$956,IF($S$1183=861,PR!$AI$957,IF($S$1183=862,PR!$AI$958,IF($S$1183=863,PR!$AI$959,IF($S$1183=864,PR!$AI$960,IF($S$1183=865,PR!$AI$961,IF($S$1183=866,PR!$AI$962,IF($S$1183=867,PR!$AI$963,IF($S$1183=868,PR!$AI$964,IF($S$1183=869,PR!$AI$965,IF($S$1183=870,PR!$AI$966,IF($S$1183=871,PR!$AI$967,IF($S$1183=872,PR!$AI$968,IF($S$1183=873,PR!$AI$969,IF($S$1183=874,PR!$AI$970,IF($S$1183=875,PR!$AI$971,IF($S$1183=876,PR!$AI$972,IF($S$1183=877,PR!$AI$973,IF($S$1183=878,PR!$AI$974,IF($S$1183=879,PR!$AI$975,IF($S$1183=880,PR!$AI$976,IF($S$1183=881,PR!$AI$977,IF($S$1183=882,PR!$AI$978,IF($S$1183=883,PR!$AI$979,IF($S$1183=884,PR!$AI$980,IF($S$1183=885,PR!$AI$981,IF($S$1183=886,PR!$AI$982,IF($S$1183=887,PR!$AI$983,IF($S$1183=888,PR!$AI$984,IF($S$1183=889,PR!$AI$985,IF($S$1183=890,PR!$AI$986,IF($S$1183=891,PR!$AI$987,IF($S$1183=892,PR!$AI$988,IF($S$1183=893,PR!$AI$989,IF($S$1183=894,PR!$AI$990,IF($S$1183=895,PR!$AI$991,IF($S$1183=896,PR!$AI$992,IF($S$1183=897,PR!$AI$993,IF($S$1183=898,PR!$AI$994,IF($S$1183=899,PR!$AI$995,IF($S$1183=900,PR!$AI$996,"-"))))))))))))))))))))))))))))))))))))))))))))))))))))))))))))</f>
        <v>0</v>
      </c>
      <c r="Q1190" s="602">
        <f>IF($S$1183=841,PR!$AJ$931,IF($S$1183=842,PR!$AJ$932,IF($S$1183=843,PR!$AJ$933,IF($S$1183=844,PR!$AJ$934,IF($S$1183=845,PR!$AJ$935,IF($S$1183=846,PR!$AJ$942,IF($S$1183=847,PR!$AJ$943,IF($S$1183=848,PR!$AJ$944,IF($S$1183=849,PR!$AJ$945,IF($S$1183=850,PR!$AJ$946,IF($S$1183=851,PR!$AJ$947,IF($S$1183=852,PR!$AJ$948,IF($S$1183=853,PR!$AJ$949,IF($S$1183=854,PR!$AJ$950,IF($S$1183=855,PR!$AJ$951,IF($S$1183=856,PR!$AJ$952,IF($S$1183=857,PR!$AJ$953,IF($S$1183=858,PR!$AJ$954,IF($S$1183=859,PR!$AJ$955,IF($S$1183=860,PR!$AJ$956,IF($S$1183=861,PR!$AJ$957,IF($S$1183=862,PR!$AJ$958,IF($S$1183=863,PR!$AJ$959,IF($S$1183=864,PR!$AJ$960,IF($S$1183=865,PR!$AJ$961,IF($S$1183=866,PR!$AJ$962,IF($S$1183=867,PR!$AJ$963,IF($S$1183=868,PR!$AJ$964,IF($S$1183=869,PR!$AJ$965,IF($S$1183=870,PR!$AJ$966,IF($S$1183=871,PR!$AJ$967,IF($S$1183=872,PR!$AJ$968,IF($S$1183=873,PR!$AJ$969,IF($S$1183=874,PR!$AJ$970,IF($S$1183=875,PR!$AJ$971,IF($S$1183=876,PR!$AJ$972,IF($S$1183=877,PR!$AJ$973,IF($S$1183=878,PR!$AJ$974,IF($S$1183=879,PR!$AJ$975,IF($S$1183=880,PR!$AJ$976,IF($S$1183=881,PR!$AJ$977,IF($S$1183=882,PR!$AJ$978,IF($S$1183=883,PR!$AJ$979,IF($S$1183=884,PR!$AJ$980,IF($S$1183=885,PR!$AJ$981,IF($S$1183=886,PR!$AJ$982,IF($S$1183=887,PR!$AJ$983,IF($S$1183=888,PR!$AJ$984,IF($S$1183=889,PR!$AJ$985,IF($S$1183=890,PR!$AJ$986,IF($S$1183=891,PR!$AJ$987,IF($S$1183=892,PR!$AJ$988,IF($S$1183=893,PR!$AJ$989,IF($S$1183=894,PR!$AJ$990,IF($S$1183=895,PR!$AJ$991,IF($S$1183=896,PR!$AJ$992,IF($S$1183=897,PR!$AJ$993,IF($S$1183=898,PR!$AJ$994,IF($S$1183=899,PR!$AJ$995,IF($S$1183=900,PR!$AJ$996,"-"))))))))))))))))))))))))))))))))))))))))))))))))))))))))))))</f>
        <v>0</v>
      </c>
      <c r="R1190" s="602">
        <f>IF($S$1183=841,PR!$AK$931,IF($S$1183=842,PR!$AK$932,IF($S$1183=843,PR!$AK$933,IF($S$1183=844,PR!$AK$934,IF($S$1183=845,PR!$AK$935,IF($S$1183=846,PR!$AK$942,IF($S$1183=847,PR!$AK$943,IF($S$1183=848,PR!$AK$944,IF($S$1183=849,PR!$AK$945,IF($S$1183=850,PR!$AK$946,IF($S$1183=851,PR!$AK$947,IF($S$1183=852,PR!$AK$948,IF($S$1183=853,PR!$AK$949,IF($S$1183=854,PR!$AK$950,IF($S$1183=855,PR!$AK$951,IF($S$1183=856,PR!$AK$952,IF($S$1183=857,PR!$AK$953,IF($S$1183=858,PR!$AK$954,IF($S$1183=859,PR!$AK$955,IF($S$1183=860,PR!$AK$956,IF($S$1183=861,PR!$AK$957,IF($S$1183=862,PR!$AK$958,IF($S$1183=863,PR!$AK$959,IF($S$1183=864,PR!$AK$960,IF($S$1183=865,PR!$AK$961,IF($S$1183=866,PR!$AK$962,IF($S$1183=867,PR!$AK$963,IF($S$1183=868,PR!$AK$964,IF($S$1183=869,PR!$AK$965,IF($S$1183=870,PR!$AK$966,IF($S$1183=871,PR!$AK$967,IF($S$1183=872,PR!$AK$968,IF($S$1183=873,PR!$AK$969,IF($S$1183=874,PR!$AK$970,IF($S$1183=875,PR!$AK$971,IF($S$1183=876,PR!$AK$972,IF($S$1183=877,PR!$AK$973,IF($S$1183=878,PR!$AK$974,IF($S$1183=879,PR!$AK$975,IF($S$1183=880,PR!$AK$976,IF($S$1183=881,PR!$AK$977,IF($S$1183=882,PR!$AK$978,IF($S$1183=883,PR!$AK$979,IF($S$1183=884,PR!$AK$980,IF($S$1183=885,PR!$AK$981,IF($S$1183=886,PR!$AK$982,IF($S$1183=887,PR!$AK$983,IF($S$1183=888,PR!$AK$984,IF($S$1183=889,PR!$AK$985,IF($S$1183=890,PR!$AK$986,IF($S$1183=891,PR!$AK$987,IF($S$1183=892,PR!$AK$988,IF($S$1183=893,PR!$AK$989,IF($S$1183=894,PR!$AK$990,IF($S$1183=895,PR!$AK$991,IF($S$1183=896,PR!$AK$992,IF($S$1183=897,PR!$AK$993,IF($S$1183=898,PR!$AK$994,IF($S$1183=899,PR!$AK$995,IF($S$1183=900,PR!$AK$996,"-"))))))))))))))))))))))))))))))))))))))))))))))))))))))))))))</f>
        <v>0</v>
      </c>
      <c r="S1190" s="602">
        <f>IF($S$1183=841,PR!$AL$931,IF($S$1183=842,PR!$AL$932,IF($S$1183=843,PR!$AL$933,IF($S$1183=844,PR!$AL$934,IF($S$1183=845,PR!$AL$935,IF($S$1183=846,PR!$AL$942,IF($S$1183=847,PR!$AL$943,IF($S$1183=848,PR!$AL$944,IF($S$1183=849,PR!$AL$945,IF($S$1183=850,PR!$AL$946,IF($S$1183=851,PR!$AL$947,IF($S$1183=852,PR!$AL$948,IF($S$1183=853,PR!$AL$949,IF($S$1183=854,PR!$AL$950,IF($S$1183=855,PR!$AL$951,IF($S$1183=856,PR!$AL$952,IF($S$1183=857,PR!$AL$953,IF($S$1183=858,PR!$AL$954,IF($S$1183=859,PR!$AL$955,IF($S$1183=860,PR!$AL$956,IF($S$1183=861,PR!$AL$957,IF($S$1183=862,PR!$AL$958,IF($S$1183=863,PR!$AL$959,IF($S$1183=864,PR!$AL$960,IF($S$1183=865,PR!$AL$961,IF($S$1183=866,PR!$AL$962,IF($S$1183=867,PR!$AL$963,IF($S$1183=868,PR!$AL$964,IF($S$1183=869,PR!$AL$965,IF($S$1183=870,PR!$AL$966,IF($S$1183=871,PR!$AL$967,IF($S$1183=872,PR!$AL$968,IF($S$1183=873,PR!$AL$969,IF($S$1183=874,PR!$AL$970,IF($S$1183=875,PR!$AL$971,IF($S$1183=876,PR!$AL$972,IF($S$1183=877,PR!$AL$973,IF($S$1183=878,PR!$AL$974,IF($S$1183=879,PR!$AL$975,IF($S$1183=880,PR!$AL$976,IF($S$1183=881,PR!$AL$977,IF($S$1183=882,PR!$AL$978,IF($S$1183=883,PR!$AL$979,IF($S$1183=884,PR!$AL$980,IF($S$1183=885,PR!$AL$981,IF($S$1183=886,PR!$AL$982,IF($S$1183=887,PR!$AL$983,IF($S$1183=888,PR!$AL$984,IF($S$1183=889,PR!$AL$985,IF($S$1183=890,PR!$AL$986,IF($S$1183=891,PR!$AL$987,IF($S$1183=892,PR!$AL$988,IF($S$1183=893,PR!$AL$989,IF($S$1183=894,PR!$AL$990,IF($S$1183=895,PR!$AL$991,IF($S$1183=896,PR!$AL$992,IF($S$1183=897,PR!$AL$993,IF($S$1183=898,PR!$AL$994,IF($S$1183=899,PR!$AL$995,IF($S$1183=900,PR!$AL$996,"-"))))))))))))))))))))))))))))))))))))))))))))))))))))))))))))</f>
        <v>0</v>
      </c>
      <c r="T1190" s="580"/>
      <c r="U1190" s="580"/>
      <c r="V1190" s="32"/>
      <c r="W1190" s="32"/>
      <c r="X1190" s="32"/>
    </row>
    <row r="1191" spans="2:24" ht="11.25" customHeight="1" x14ac:dyDescent="0.25">
      <c r="B1191" s="580"/>
      <c r="C1191" s="603"/>
      <c r="D1191" s="604"/>
      <c r="E1191" s="604"/>
      <c r="F1191" s="604"/>
      <c r="G1191" s="604"/>
      <c r="H1191" s="604"/>
      <c r="I1191" s="604"/>
      <c r="J1191" s="604"/>
      <c r="K1191" s="604"/>
      <c r="L1191" s="604"/>
      <c r="M1191" s="604"/>
      <c r="N1191" s="604"/>
      <c r="O1191" s="604"/>
      <c r="P1191" s="604"/>
      <c r="Q1191" s="604"/>
      <c r="R1191" s="606"/>
      <c r="S1191" s="606"/>
      <c r="T1191" s="580"/>
      <c r="U1191" s="580"/>
      <c r="V1191" s="32"/>
      <c r="W1191" s="32"/>
      <c r="X1191" s="32"/>
    </row>
    <row r="1192" spans="2:24" ht="15.75" thickBot="1" x14ac:dyDescent="0.3">
      <c r="B1192" s="580"/>
      <c r="C1192" s="600" t="str">
        <f>N!$C$38</f>
        <v>MWORLD</v>
      </c>
      <c r="D1192" s="600" t="str">
        <f>N!$C$39</f>
        <v>MEGA</v>
      </c>
      <c r="E1192" s="600" t="str">
        <f>N!$C$40</f>
        <v>MICRONOVA</v>
      </c>
      <c r="F1192" s="600" t="str">
        <f>N!$C$41</f>
        <v>MFLASH</v>
      </c>
      <c r="G1192" s="600" t="str">
        <f>N!$C$42</f>
        <v>MORISON</v>
      </c>
      <c r="H1192" s="600" t="str">
        <f>N!$C$43</f>
        <v>NEMEL</v>
      </c>
      <c r="I1192" s="600" t="str">
        <f>N!$C$44</f>
        <v>NHP</v>
      </c>
      <c r="J1192" s="600" t="str">
        <f>N!$C$45</f>
        <v>NHC</v>
      </c>
      <c r="K1192" s="600" t="str">
        <f>N!$C$46</f>
        <v>OLEAF</v>
      </c>
      <c r="L1192" s="600" t="str">
        <f>N!$C$47</f>
        <v>OCULUS</v>
      </c>
      <c r="M1192" s="600" t="str">
        <f>N!$C$48</f>
        <v>PACIFIC</v>
      </c>
      <c r="N1192" s="600" t="str">
        <f>N!$C$49</f>
        <v>PHAMATEX</v>
      </c>
      <c r="O1192" s="600" t="str">
        <f>N!$C$50</f>
        <v>PETHICS</v>
      </c>
      <c r="P1192" s="600" t="str">
        <f>N!$C$51</f>
        <v>PHILIPS</v>
      </c>
      <c r="Q1192" s="600" t="str">
        <f>N!$C$52</f>
        <v>RANBAXY</v>
      </c>
      <c r="R1192" s="600" t="str">
        <f>N!$C$53</f>
        <v>REALS</v>
      </c>
      <c r="S1192" s="600" t="str">
        <f>N!$C$54</f>
        <v>ROYAL</v>
      </c>
      <c r="T1192" s="580"/>
      <c r="U1192" s="580"/>
      <c r="V1192" s="32"/>
      <c r="W1192" s="32"/>
      <c r="X1192" s="32"/>
    </row>
    <row r="1193" spans="2:24" ht="15.75" thickBot="1" x14ac:dyDescent="0.3">
      <c r="B1193" s="580"/>
      <c r="C1193" s="602">
        <f>IF($S$1183=841,PR!$AM$931,IF($S$1183=842,PR!$AM$932,IF($S$1183=843,PR!$AM$933,IF($S$1183=844,PR!$AM$934,IF($S$1183=845,PR!$AM$935,IF($S$1183=846,PR!$AM$942,IF($S$1183=847,PR!$AM$943,IF($S$1183=848,PR!$AM$944,IF($S$1183=849,PR!$AM$945,IF($S$1183=850,PR!$AM$946,IF($S$1183=851,PR!$AM$947,IF($S$1183=852,PR!$AM$948,IF($S$1183=853,PR!$AM$949,IF($S$1183=854,PR!$AM$950,IF($S$1183=855,PR!$AM$951,IF($S$1183=856,PR!$AM$952,IF($S$1183=857,PR!$AM$953,IF($S$1183=858,PR!$AM$954,IF($S$1183=859,PR!$AM$955,IF($S$1183=860,PR!$AM$956,IF($S$1183=861,PR!$AM$957,IF($S$1183=862,PR!$AM$958,IF($S$1183=863,PR!$AM$959,IF($S$1183=864,PR!$AM$960,IF($S$1183=865,PR!$AM$961,IF($S$1183=866,PR!$AM$962,IF($S$1183=867,PR!$AM$963,IF($S$1183=868,PR!$AM$964,IF($S$1183=869,PR!$AM$965,IF($S$1183=870,PR!$AM$966,IF($S$1183=871,PR!$AM$967,IF($S$1183=872,PR!$AM$968,IF($S$1183=873,PR!$AM$969,IF($S$1183=874,PR!$AM$970,IF($S$1183=875,PR!$AM$971,IF($S$1183=876,PR!$AM$972,IF($S$1183=877,PR!$AM$973,IF($S$1183=878,PR!$AM$974,IF($S$1183=879,PR!$AM$975,IF($S$1183=880,PR!$AM$976,IF($S$1183=881,PR!$AM$977,IF($S$1183=882,PR!$AM$978,IF($S$1183=883,PR!$AM$979,IF($S$1183=884,PR!$AM$980,IF($S$1183=885,PR!$AM$981,IF($S$1183=886,PR!$AM$982,IF($S$1183=887,PR!$AM$983,IF($S$1183=888,PR!$AM$984,IF($S$1183=889,PR!$AM$985,IF($S$1183=890,PR!$AM$986,IF($S$1183=891,PR!$AM$987,IF($S$1183=892,PR!$AM$988,IF($S$1183=893,PR!$AM$989,IF($S$1183=894,PR!$AM$990,IF($S$1183=895,PR!$AM$991,IF($S$1183=896,PR!$AM$992,IF($S$1183=897,PR!$AM$993,IF($S$1183=898,PR!$AM$994,IF($S$1183=899,PR!$AM$995,IF($S$1183=900,PR!$AM$996,"-"))))))))))))))))))))))))))))))))))))))))))))))))))))))))))))</f>
        <v>0</v>
      </c>
      <c r="D1193" s="602">
        <f>IF($S$1183=841,PR!$AN$931,IF($S$1183=842,PR!$AN$932,IF($S$1183=843,PR!$AN$933,IF($S$1183=844,PR!$AN$934,IF($S$1183=845,PR!$AN$935,IF($S$1183=846,PR!$AN$942,IF($S$1183=847,PR!$AN$943,IF($S$1183=848,PR!$AN$944,IF($S$1183=849,PR!$AN$945,IF($S$1183=850,PR!$AN$946,IF($S$1183=851,PR!$AN$947,IF($S$1183=852,PR!$AN$948,IF($S$1183=853,PR!$AN$949,IF($S$1183=854,PR!$AN$950,IF($S$1183=855,PR!$AN$951,IF($S$1183=856,PR!$AN$952,IF($S$1183=857,PR!$AN$953,IF($S$1183=858,PR!$AN$954,IF($S$1183=859,PR!$AN$955,IF($S$1183=860,PR!$AN$956,IF($S$1183=861,PR!$AN$957,IF($S$1183=862,PR!$AN$958,IF($S$1183=863,PR!$AN$959,IF($S$1183=864,PR!$AN$960,IF($S$1183=865,PR!$AN$961,IF($S$1183=866,PR!$AN$962,IF($S$1183=867,PR!$AN$963,IF($S$1183=868,PR!$AN$964,IF($S$1183=869,PR!$AN$965,IF($S$1183=870,PR!$AN$966,IF($S$1183=871,PR!$AN$967,IF($S$1183=872,PR!$AN$968,IF($S$1183=873,PR!$AN$969,IF($S$1183=874,PR!$AN$970,IF($S$1183=875,PR!$AN$971,IF($S$1183=876,PR!$AN$972,IF($S$1183=877,PR!$AN$973,IF($S$1183=878,PR!$AN$974,IF($S$1183=879,PR!$AN$975,IF($S$1183=880,PR!$AN$976,IF($S$1183=881,PR!$AN$977,IF($S$1183=882,PR!$AN$978,IF($S$1183=883,PR!$AN$979,IF($S$1183=884,PR!$AN$980,IF($S$1183=885,PR!$AN$981,IF($S$1183=886,PR!$AN$982,IF($S$1183=887,PR!$AN$983,IF($S$1183=888,PR!$AN$984,IF($S$1183=889,PR!$AN$985,IF($S$1183=890,PR!$AN$986,IF($S$1183=891,PR!$AN$987,IF($S$1183=892,PR!$AN$988,IF($S$1183=893,PR!$AN$989,IF($S$1183=894,PR!$AN$990,IF($S$1183=895,PR!$AN$991,IF($S$1183=896,PR!$AN$992,IF($S$1183=897,PR!$AN$993,IF($S$1183=898,PR!$AN$994,IF($S$1183=899,PR!$AN$995,IF($S$1183=900,PR!$AN$996,"-"))))))))))))))))))))))))))))))))))))))))))))))))))))))))))))</f>
        <v>0</v>
      </c>
      <c r="E1193" s="602">
        <f>IF($S$1183=841,PR!$AO$931,IF($S$1183=842,PR!$AO$932,IF($S$1183=843,PR!$AO$933,IF($S$1183=844,PR!$AO$934,IF($S$1183=845,PR!$AO$935,IF($S$1183=846,PR!$AO$942,IF($S$1183=847,PR!$AO$943,IF($S$1183=848,PR!$AO$944,IF($S$1183=849,PR!$AO$945,IF($S$1183=850,PR!$AO$946,IF($S$1183=851,PR!$AO$947,IF($S$1183=852,PR!$AO$948,IF($S$1183=853,PR!$AO$949,IF($S$1183=854,PR!$AO$950,IF($S$1183=855,PR!$AO$951,IF($S$1183=856,PR!$AO$952,IF($S$1183=857,PR!$AO$953,IF($S$1183=858,PR!$AO$954,IF($S$1183=859,PR!$AO$955,IF($S$1183=860,PR!$AO$956,IF($S$1183=861,PR!$AO$957,IF($S$1183=862,PR!$AO$958,IF($S$1183=863,PR!$AO$959,IF($S$1183=864,PR!$AO$960,IF($S$1183=865,PR!$AO$961,IF($S$1183=866,PR!$AO$962,IF($S$1183=867,PR!$AO$963,IF($S$1183=868,PR!$AO$964,IF($S$1183=869,PR!$AO$965,IF($S$1183=870,PR!$AO$966,IF($S$1183=871,PR!$AO$967,IF($S$1183=872,PR!$AO$968,IF($S$1183=873,PR!$AO$969,IF($S$1183=874,PR!$AO$970,IF($S$1183=875,PR!$AO$971,IF($S$1183=876,PR!$AO$972,IF($S$1183=877,PR!$AO$973,IF($S$1183=878,PR!$AO$974,IF($S$1183=879,PR!$AO$975,IF($S$1183=880,PR!$AO$976,IF($S$1183=881,PR!$AO$977,IF($S$1183=882,PR!$AO$978,IF($S$1183=883,PR!$AO$979,IF($S$1183=884,PR!$AO$980,IF($S$1183=885,PR!$AO$981,IF($S$1183=886,PR!$AO$982,IF($S$1183=887,PR!$AO$983,IF($S$1183=888,PR!$AO$984,IF($S$1183=889,PR!$AO$985,IF($S$1183=890,PR!$AO$986,IF($S$1183=891,PR!$AO$987,IF($S$1183=892,PR!$AO$988,IF($S$1183=893,PR!$AO$989,IF($S$1183=894,PR!$AO$990,IF($S$1183=895,PR!$AO$991,IF($S$1183=896,PR!$AO$992,IF($S$1183=897,PR!$AO$993,IF($S$1183=898,PR!$AO$994,IF($S$1183=899,PR!$AO$995,IF($S$1183=900,PR!$AO$996,"-"))))))))))))))))))))))))))))))))))))))))))))))))))))))))))))</f>
        <v>0</v>
      </c>
      <c r="F1193" s="602">
        <f>IF($S$1183=841,PR!$AP$931,IF($S$1183=842,PR!$AP$932,IF($S$1183=843,PR!$AP$933,IF($S$1183=844,PR!$AP$934,IF($S$1183=845,PR!$AP$935,IF($S$1183=846,PR!$AP$942,IF($S$1183=847,PR!$AP$943,IF($S$1183=848,PR!$AP$944,IF($S$1183=849,PR!$AP$945,IF($S$1183=850,PR!$AP$946,IF($S$1183=851,PR!$AP$947,IF($S$1183=852,PR!$AP$948,IF($S$1183=853,PR!$AP$949,IF($S$1183=854,PR!$AP$950,IF($S$1183=855,PR!$AP$951,IF($S$1183=856,PR!$AP$952,IF($S$1183=857,PR!$AP$953,IF($S$1183=858,PR!$AP$954,IF($S$1183=859,PR!$AP$955,IF($S$1183=860,PR!$AP$956,IF($S$1183=861,PR!$AP$957,IF($S$1183=862,PR!$AP$958,IF($S$1183=863,PR!$AP$959,IF($S$1183=864,PR!$AP$960,IF($S$1183=865,PR!$AP$961,IF($S$1183=866,PR!$AP$962,IF($S$1183=867,PR!$AP$963,IF($S$1183=868,PR!$AP$964,IF($S$1183=869,PR!$AP$965,IF($S$1183=870,PR!$AP$966,IF($S$1183=871,PR!$AP$967,IF($S$1183=872,PR!$AP$968,IF($S$1183=873,PR!$AP$969,IF($S$1183=874,PR!$AP$970,IF($S$1183=875,PR!$AP$971,IF($S$1183=876,PR!$AP$972,IF($S$1183=877,PR!$AP$973,IF($S$1183=878,PR!$AP$974,IF($S$1183=879,PR!$AP$975,IF($S$1183=880,PR!$AP$976,IF($S$1183=881,PR!$AP$977,IF($S$1183=882,PR!$AP$978,IF($S$1183=883,PR!$AP$979,IF($S$1183=884,PR!$AP$980,IF($S$1183=885,PR!$AP$981,IF($S$1183=886,PR!$AP$982,IF($S$1183=887,PR!$AP$983,IF($S$1183=888,PR!$AP$984,IF($S$1183=889,PR!$AP$985,IF($S$1183=890,PR!$AP$986,IF($S$1183=891,PR!$AP$987,IF($S$1183=892,PR!$AP$988,IF($S$1183=893,PR!$AP$989,IF($S$1183=894,PR!$AP$990,IF($S$1183=895,PR!$AP$991,IF($S$1183=896,PR!$AP$992,IF($S$1183=897,PR!$AP$993,IF($S$1183=898,PR!$AP$994,IF($S$1183=899,PR!$AP$995,IF($S$1183=900,PR!$AP$996,"-"))))))))))))))))))))))))))))))))))))))))))))))))))))))))))))</f>
        <v>0</v>
      </c>
      <c r="G1193" s="602">
        <f>IF($S$1183=841,PR!$AQ$931,IF($S$1183=842,PR!$AQ$932,IF($S$1183=843,PR!$AQ$933,IF($S$1183=844,PR!$AQ$934,IF($S$1183=845,PR!$AQ$935,IF($S$1183=846,PR!$AQ$942,IF($S$1183=847,PR!$AQ$943,IF($S$1183=848,PR!$AQ$944,IF($S$1183=849,PR!$AQ$945,IF($S$1183=850,PR!$AQ$946,IF($S$1183=851,PR!$AQ$947,IF($S$1183=852,PR!$AQ$948,IF($S$1183=853,PR!$AQ$949,IF($S$1183=854,PR!$AQ$950,IF($S$1183=855,PR!$AQ$951,IF($S$1183=856,PR!$AQ$952,IF($S$1183=857,PR!$AQ$953,IF($S$1183=858,PR!$AQ$954,IF($S$1183=859,PR!$AQ$955,IF($S$1183=860,PR!$AQ$956,IF($S$1183=861,PR!$AQ$957,IF($S$1183=862,PR!$AQ$958,IF($S$1183=863,PR!$AQ$959,IF($S$1183=864,PR!$AQ$960,IF($S$1183=865,PR!$AQ$961,IF($S$1183=866,PR!$AQ$962,IF($S$1183=867,PR!$AQ$963,IF($S$1183=868,PR!$AQ$964,IF($S$1183=869,PR!$AQ$965,IF($S$1183=870,PR!$AQ$966,IF($S$1183=871,PR!$AQ$967,IF($S$1183=872,PR!$AQ$968,IF($S$1183=873,PR!$AQ$969,IF($S$1183=874,PR!$AQ$970,IF($S$1183=875,PR!$AQ$971,IF($S$1183=876,PR!$AQ$972,IF($S$1183=877,PR!$AQ$973,IF($S$1183=878,PR!$AQ$974,IF($S$1183=879,PR!$AQ$975,IF($S$1183=880,PR!$AQ$976,IF($S$1183=881,PR!$AQ$977,IF($S$1183=882,PR!$AQ$978,IF($S$1183=883,PR!$AQ$979,IF($S$1183=884,PR!$AQ$980,IF($S$1183=885,PR!$AQ$981,IF($S$1183=886,PR!$AQ$982,IF($S$1183=887,PR!$AQ$983,IF($S$1183=888,PR!$AQ$984,IF($S$1183=889,PR!$AQ$985,IF($S$1183=890,PR!$AQ$986,IF($S$1183=891,PR!$AQ$987,IF($S$1183=892,PR!$AQ$988,IF($S$1183=893,PR!$AQ$989,IF($S$1183=894,PR!$AQ$990,IF($S$1183=895,PR!$AQ$991,IF($S$1183=896,PR!$AQ$992,IF($S$1183=897,PR!$AQ$993,IF($S$1183=898,PR!$AQ$994,IF($S$1183=899,PR!$AQ$995,IF($S$1183=900,PR!$AQ$996,"-"))))))))))))))))))))))))))))))))))))))))))))))))))))))))))))</f>
        <v>0</v>
      </c>
      <c r="H1193" s="602">
        <f>IF($S$1183=841,PR!$AR$931,IF($S$1183=842,PR!$AR$932,IF($S$1183=843,PR!$AR$933,IF($S$1183=844,PR!$AR$934,IF($S$1183=845,PR!$AR$935,IF($S$1183=846,PR!$AR$942,IF($S$1183=847,PR!$AR$943,IF($S$1183=848,PR!$AR$944,IF($S$1183=849,PR!$AR$945,IF($S$1183=850,PR!$AR$946,IF($S$1183=851,PR!$AR$947,IF($S$1183=852,PR!$AR$948,IF($S$1183=853,PR!$AR$949,IF($S$1183=854,PR!$AR$950,IF($S$1183=855,PR!$AR$951,IF($S$1183=856,PR!$AR$952,IF($S$1183=857,PR!$AR$953,IF($S$1183=858,PR!$AR$954,IF($S$1183=859,PR!$AR$955,IF($S$1183=860,PR!$AR$956,IF($S$1183=861,PR!$AR$957,IF($S$1183=862,PR!$AR$958,IF($S$1183=863,PR!$AR$959,IF($S$1183=864,PR!$AR$960,IF($S$1183=865,PR!$AR$961,IF($S$1183=866,PR!$AR$962,IF($S$1183=867,PR!$AR$963,IF($S$1183=868,PR!$AR$964,IF($S$1183=869,PR!$AR$965,IF($S$1183=870,PR!$AR$966,IF($S$1183=871,PR!$AR$967,IF($S$1183=872,PR!$AR$968,IF($S$1183=873,PR!$AR$969,IF($S$1183=874,PR!$AR$970,IF($S$1183=875,PR!$AR$971,IF($S$1183=876,PR!$AR$972,IF($S$1183=877,PR!$AR$973,IF($S$1183=878,PR!$AR$974,IF($S$1183=879,PR!$AR$975,IF($S$1183=880,PR!$AR$976,IF($S$1183=881,PR!$AR$977,IF($S$1183=882,PR!$AR$978,IF($S$1183=883,PR!$AR$979,IF($S$1183=884,PR!$AR$980,IF($S$1183=885,PR!$AR$981,IF($S$1183=886,PR!$AR$982,IF($S$1183=887,PR!$AR$983,IF($S$1183=888,PR!$AR$984,IF($S$1183=889,PR!$AR$985,IF($S$1183=890,PR!$AR$986,IF($S$1183=891,PR!$AR$987,IF($S$1183=892,PR!$AR$988,IF($S$1183=893,PR!$AR$989,IF($S$1183=894,PR!$AR$990,IF($S$1183=895,PR!$AR$991,IF($S$1183=896,PR!$AR$992,IF($S$1183=897,PR!$AR$993,IF($S$1183=898,PR!$AR$994,IF($S$1183=899,PR!$AR$995,IF($S$1183=900,PR!$AR$996,"-"))))))))))))))))))))))))))))))))))))))))))))))))))))))))))))</f>
        <v>0</v>
      </c>
      <c r="I1193" s="602">
        <f>IF($S$1183=841,PR!$AS$931,IF($S$1183=842,PR!$AS$932,IF($S$1183=843,PR!$AS$933,IF($S$1183=844,PR!$AS$934,IF($S$1183=845,PR!$AS$935,IF($S$1183=846,PR!$AS$942,IF($S$1183=847,PR!$AS$943,IF($S$1183=848,PR!$AS$944,IF($S$1183=849,PR!$AS$945,IF($S$1183=850,PR!$AS$946,IF($S$1183=851,PR!$AS$947,IF($S$1183=852,PR!$AS$948,IF($S$1183=853,PR!$AS$949,IF($S$1183=854,PR!$AS$950,IF($S$1183=855,PR!$AS$951,IF($S$1183=856,PR!$AS$952,IF($S$1183=857,PR!$AS$953,IF($S$1183=858,PR!$AS$954,IF($S$1183=859,PR!$AS$955,IF($S$1183=860,PR!$AS$956,IF($S$1183=861,PR!$AS$957,IF($S$1183=862,PR!$AS$958,IF($S$1183=863,PR!$AS$959,IF($S$1183=864,PR!$AS$960,IF($S$1183=865,PR!$AS$961,IF($S$1183=866,PR!$AS$962,IF($S$1183=867,PR!$AS$963,IF($S$1183=868,PR!$AS$964,IF($S$1183=869,PR!$AS$965,IF($S$1183=870,PR!$AS$966,IF($S$1183=871,PR!$AS$967,IF($S$1183=872,PR!$AS$968,IF($S$1183=873,PR!$AS$969,IF($S$1183=874,PR!$AS$970,IF($S$1183=875,PR!$AS$971,IF($S$1183=876,PR!$AS$972,IF($S$1183=877,PR!$AS$973,IF($S$1183=878,PR!$AS$974,IF($S$1183=879,PR!$AS$975,IF($S$1183=880,PR!$AS$976,IF($S$1183=881,PR!$AS$977,IF($S$1183=882,PR!$AS$978,IF($S$1183=883,PR!$AS$979,IF($S$1183=884,PR!$AS$980,IF($S$1183=885,PR!$AS$981,IF($S$1183=886,PR!$AS$982,IF($S$1183=887,PR!$AS$983,IF($S$1183=888,PR!$AS$984,IF($S$1183=889,PR!$AS$985,IF($S$1183=890,PR!$AS$986,IF($S$1183=891,PR!$AS$987,IF($S$1183=892,PR!$AS$988,IF($S$1183=893,PR!$AS$989,IF($S$1183=894,PR!$AS$990,IF($S$1183=895,PR!$AS$991,IF($S$1183=896,PR!$AS$992,IF($S$1183=897,PR!$AS$993,IF($S$1183=898,PR!$AS$994,IF($S$1183=899,PR!$AS$995,IF($S$1183=900,PR!$AS$996,"-"))))))))))))))))))))))))))))))))))))))))))))))))))))))))))))</f>
        <v>0</v>
      </c>
      <c r="J1193" s="602">
        <f>IF($S$1183=841,PR!$AT$931,IF($S$1183=842,PR!$AT$932,IF($S$1183=843,PR!$AT$933,IF($S$1183=844,PR!$AT$934,IF($S$1183=845,PR!$AT$935,IF($S$1183=846,PR!$AT$942,IF($S$1183=847,PR!$AT$943,IF($S$1183=848,PR!$AT$944,IF($S$1183=849,PR!$AT$945,IF($S$1183=850,PR!$AT$946,IF($S$1183=851,PR!$AT$947,IF($S$1183=852,PR!$AT$948,IF($S$1183=853,PR!$AT$949,IF($S$1183=854,PR!$AT$950,IF($S$1183=855,PR!$AT$951,IF($S$1183=856,PR!$AT$952,IF($S$1183=857,PR!$AT$953,IF($S$1183=858,PR!$AT$954,IF($S$1183=859,PR!$AT$955,IF($S$1183=860,PR!$AT$956,IF($S$1183=861,PR!$AT$957,IF($S$1183=862,PR!$AT$958,IF($S$1183=863,PR!$AT$959,IF($S$1183=864,PR!$AT$960,IF($S$1183=865,PR!$AT$961,IF($S$1183=866,PR!$AT$962,IF($S$1183=867,PR!$AT$963,IF($S$1183=868,PR!$AT$964,IF($S$1183=869,PR!$AT$965,IF($S$1183=870,PR!$AT$966,IF($S$1183=871,PR!$AT$967,IF($S$1183=872,PR!$AT$968,IF($S$1183=873,PR!$AT$969,IF($S$1183=874,PR!$AT$970,IF($S$1183=875,PR!$AT$971,IF($S$1183=876,PR!$AT$972,IF($S$1183=877,PR!$AT$973,IF($S$1183=878,PR!$AT$974,IF($S$1183=879,PR!$AT$975,IF($S$1183=880,PR!$AT$976,IF($S$1183=881,PR!$AT$977,IF($S$1183=882,PR!$AT$978,IF($S$1183=883,PR!$AT$979,IF($S$1183=884,PR!$AT$980,IF($S$1183=885,PR!$AT$981,IF($S$1183=886,PR!$AT$982,IF($S$1183=887,PR!$AT$983,IF($S$1183=888,PR!$AT$984,IF($S$1183=889,PR!$AT$985,IF($S$1183=890,PR!$AT$986,IF($S$1183=891,PR!$AT$987,IF($S$1183=892,PR!$AT$988,IF($S$1183=893,PR!$AT$989,IF($S$1183=894,PR!$AT$990,IF($S$1183=895,PR!$AT$991,IF($S$1183=896,PR!$AT$992,IF($S$1183=897,PR!$AT$993,IF($S$1183=898,PR!$AT$994,IF($S$1183=899,PR!$AT$995,IF($S$1183=900,PR!$AT$996,"-"))))))))))))))))))))))))))))))))))))))))))))))))))))))))))))</f>
        <v>0</v>
      </c>
      <c r="K1193" s="602">
        <f>IF($S$1183=841,PR!$AU$931,IF($S$1183=842,PR!$AU$932,IF($S$1183=843,PR!$AU$933,IF($S$1183=844,PR!$AU$934,IF($S$1183=845,PR!$AU$935,IF($S$1183=846,PR!$AU$942,IF($S$1183=847,PR!$AU$943,IF($S$1183=848,PR!$AU$944,IF($S$1183=849,PR!$AU$945,IF($S$1183=850,PR!$AU$946,IF($S$1183=851,PR!$AU$947,IF($S$1183=852,PR!$AU$948,IF($S$1183=853,PR!$AU$949,IF($S$1183=854,PR!$AU$950,IF($S$1183=855,PR!$AU$951,IF($S$1183=856,PR!$AU$952,IF($S$1183=857,PR!$AU$953,IF($S$1183=858,PR!$AU$954,IF($S$1183=859,PR!$AU$955,IF($S$1183=860,PR!$AU$956,IF($S$1183=861,PR!$AU$957,IF($S$1183=862,PR!$AU$958,IF($S$1183=863,PR!$AU$959,IF($S$1183=864,PR!$AU$960,IF($S$1183=865,PR!$AU$961,IF($S$1183=866,PR!$AU$962,IF($S$1183=867,PR!$AU$963,IF($S$1183=868,PR!$AU$964,IF($S$1183=869,PR!$AU$965,IF($S$1183=870,PR!$AU$966,IF($S$1183=871,PR!$AU$967,IF($S$1183=872,PR!$AU$968,IF($S$1183=873,PR!$AU$969,IF($S$1183=874,PR!$AU$970,IF($S$1183=875,PR!$AU$971,IF($S$1183=876,PR!$AU$972,IF($S$1183=877,PR!$AU$973,IF($S$1183=878,PR!$AU$974,IF($S$1183=879,PR!$AU$975,IF($S$1183=880,PR!$AU$976,IF($S$1183=881,PR!$AU$977,IF($S$1183=882,PR!$AU$978,IF($S$1183=883,PR!$AU$979,IF($S$1183=884,PR!$AU$980,IF($S$1183=885,PR!$AU$981,IF($S$1183=886,PR!$AU$982,IF($S$1183=887,PR!$AU$983,IF($S$1183=888,PR!$AU$984,IF($S$1183=889,PR!$AU$985,IF($S$1183=890,PR!$AU$986,IF($S$1183=891,PR!$AU$987,IF($S$1183=892,PR!$AU$988,IF($S$1183=893,PR!$AU$989,IF($S$1183=894,PR!$AU$990,IF($S$1183=895,PR!$AU$991,IF($S$1183=896,PR!$AU$992,IF($S$1183=897,PR!$AU$993,IF($S$1183=898,PR!$AU$994,IF($S$1183=899,PR!$AU$995,IF($S$1183=900,PR!$AU$996,"-"))))))))))))))))))))))))))))))))))))))))))))))))))))))))))))</f>
        <v>0</v>
      </c>
      <c r="L1193" s="602">
        <f>IF($S$1183=841,PR!$AV$931,IF($S$1183=842,PR!$AV$932,IF($S$1183=843,PR!$AV$933,IF($S$1183=844,PR!$AV$934,IF($S$1183=845,PR!$AV$935,IF($S$1183=846,PR!$AV$942,IF($S$1183=847,PR!$AV$943,IF($S$1183=848,PR!$AV$944,IF($S$1183=849,PR!$AV$945,IF($S$1183=850,PR!$AV$946,IF($S$1183=851,PR!$AV$947,IF($S$1183=852,PR!$AV$948,IF($S$1183=853,PR!$AV$949,IF($S$1183=854,PR!$AV$950,IF($S$1183=855,PR!$AV$951,IF($S$1183=856,PR!$AV$952,IF($S$1183=857,PR!$AV$953,IF($S$1183=858,PR!$AV$954,IF($S$1183=859,PR!$AV$955,IF($S$1183=860,PR!$AV$956,IF($S$1183=861,PR!$AV$957,IF($S$1183=862,PR!$AV$958,IF($S$1183=863,PR!$AV$959,IF($S$1183=864,PR!$AV$960,IF($S$1183=865,PR!$AV$961,IF($S$1183=866,PR!$AV$962,IF($S$1183=867,PR!$AV$963,IF($S$1183=868,PR!$AV$964,IF($S$1183=869,PR!$AV$965,IF($S$1183=870,PR!$AV$966,IF($S$1183=871,PR!$AV$967,IF($S$1183=872,PR!$AV$968,IF($S$1183=873,PR!$AV$969,IF($S$1183=874,PR!$AV$970,IF($S$1183=875,PR!$AV$971,IF($S$1183=876,PR!$AV$972,IF($S$1183=877,PR!$AV$973,IF($S$1183=878,PR!$AV$974,IF($S$1183=879,PR!$AV$975,IF($S$1183=880,PR!$AV$976,IF($S$1183=881,PR!$AV$977,IF($S$1183=882,PR!$AV$978,IF($S$1183=883,PR!$AV$979,IF($S$1183=884,PR!$AV$980,IF($S$1183=885,PR!$AV$981,IF($S$1183=886,PR!$AV$982,IF($S$1183=887,PR!$AV$983,IF($S$1183=888,PR!$AV$984,IF($S$1183=889,PR!$AV$985,IF($S$1183=890,PR!$AV$986,IF($S$1183=891,PR!$AV$987,IF($S$1183=892,PR!$AV$988,IF($S$1183=893,PR!$AV$989,IF($S$1183=894,PR!$AV$990,IF($S$1183=895,PR!$AV$991,IF($S$1183=896,PR!$AV$992,IF($S$1183=897,PR!$AV$993,IF($S$1183=898,PR!$AV$994,IF($S$1183=899,PR!$AV$995,IF($S$1183=900,PR!$AV$996,"-"))))))))))))))))))))))))))))))))))))))))))))))))))))))))))))</f>
        <v>0</v>
      </c>
      <c r="M1193" s="602">
        <f>IF($S$1183=841,PR!$AW$931,IF($S$1183=842,PR!$AW$932,IF($S$1183=843,PR!$AW$933,IF($S$1183=844,PR!$AW$934,IF($S$1183=845,PR!$AW$935,IF($S$1183=846,PR!$AW$942,IF($S$1183=847,PR!$AW$943,IF($S$1183=848,PR!$AW$944,IF($S$1183=849,PR!$AW$945,IF($S$1183=850,PR!$AW$946,IF($S$1183=851,PR!$AW$947,IF($S$1183=852,PR!$AW$948,IF($S$1183=853,PR!$AW$949,IF($S$1183=854,PR!$AW$950,IF($S$1183=855,PR!$AW$951,IF($S$1183=856,PR!$AW$952,IF($S$1183=857,PR!$AW$953,IF($S$1183=858,PR!$AW$954,IF($S$1183=859,PR!$AW$955,IF($S$1183=860,PR!$AW$956,IF($S$1183=861,PR!$AW$957,IF($S$1183=862,PR!$AW$958,IF($S$1183=863,PR!$AW$959,IF($S$1183=864,PR!$AW$960,IF($S$1183=865,PR!$AW$961,IF($S$1183=866,PR!$AW$962,IF($S$1183=867,PR!$AW$963,IF($S$1183=868,PR!$AW$964,IF($S$1183=869,PR!$AW$965,IF($S$1183=870,PR!$AW$966,IF($S$1183=871,PR!$AW$967,IF($S$1183=872,PR!$AW$968,IF($S$1183=873,PR!$AW$969,IF($S$1183=874,PR!$AW$970,IF($S$1183=875,PR!$AW$971,IF($S$1183=876,PR!$AW$972,IF($S$1183=877,PR!$AW$973,IF($S$1183=878,PR!$AW$974,IF($S$1183=879,PR!$AW$975,IF($S$1183=880,PR!$AW$976,IF($S$1183=881,PR!$AW$977,IF($S$1183=882,PR!$AW$978,IF($S$1183=883,PR!$AW$979,IF($S$1183=884,PR!$AW$980,IF($S$1183=885,PR!$AW$981,IF($S$1183=886,PR!$AW$982,IF($S$1183=887,PR!$AW$983,IF($S$1183=888,PR!$AW$984,IF($S$1183=889,PR!$AW$985,IF($S$1183=890,PR!$AW$986,IF($S$1183=891,PR!$AW$987,IF($S$1183=892,PR!$AW$988,IF($S$1183=893,PR!$AW$989,IF($S$1183=894,PR!$AW$990,IF($S$1183=895,PR!$AW$991,IF($S$1183=896,PR!$AW$992,IF($S$1183=897,PR!$AW$993,IF($S$1183=898,PR!$AW$994,IF($S$1183=899,PR!$AW$995,IF($S$1183=900,PR!$AW$996,"-"))))))))))))))))))))))))))))))))))))))))))))))))))))))))))))</f>
        <v>0</v>
      </c>
      <c r="N1193" s="602">
        <f>IF($S$1183=841,PR!$AX$931,IF($S$1183=842,PR!$AX$932,IF($S$1183=843,PR!$AX$933,IF($S$1183=844,PR!$AX$934,IF($S$1183=845,PR!$AX$935,IF($S$1183=846,PR!$AX$942,IF($S$1183=847,PR!$AX$943,IF($S$1183=848,PR!$AX$944,IF($S$1183=849,PR!$AX$945,IF($S$1183=850,PR!$AX$946,IF($S$1183=851,PR!$AX$947,IF($S$1183=852,PR!$AX$948,IF($S$1183=853,PR!$AX$949,IF($S$1183=854,PR!$AX$950,IF($S$1183=855,PR!$AX$951,IF($S$1183=856,PR!$AX$952,IF($S$1183=857,PR!$AX$953,IF($S$1183=858,PR!$AX$954,IF($S$1183=859,PR!$AX$955,IF($S$1183=860,PR!$AX$956,IF($S$1183=861,PR!$AX$957,IF($S$1183=862,PR!$AX$958,IF($S$1183=863,PR!$AX$959,IF($S$1183=864,PR!$AX$960,IF($S$1183=865,PR!$AX$961,IF($S$1183=866,PR!$AX$962,IF($S$1183=867,PR!$AX$963,IF($S$1183=868,PR!$AX$964,IF($S$1183=869,PR!$AX$965,IF($S$1183=870,PR!$AX$966,IF($S$1183=871,PR!$AX$967,IF($S$1183=872,PR!$AX$968,IF($S$1183=873,PR!$AX$969,IF($S$1183=874,PR!$AX$970,IF($S$1183=875,PR!$AX$971,IF($S$1183=876,PR!$AX$972,IF($S$1183=877,PR!$AX$973,IF($S$1183=878,PR!$AX$974,IF($S$1183=879,PR!$AX$975,IF($S$1183=880,PR!$AX$976,IF($S$1183=881,PR!$AX$977,IF($S$1183=882,PR!$AX$978,IF($S$1183=883,PR!$AX$979,IF($S$1183=884,PR!$AX$980,IF($S$1183=885,PR!$AX$981,IF($S$1183=886,PR!$AX$982,IF($S$1183=887,PR!$AX$983,IF($S$1183=888,PR!$AX$984,IF($S$1183=889,PR!$AX$985,IF($S$1183=890,PR!$AX$986,IF($S$1183=891,PR!$AX$987,IF($S$1183=892,PR!$AX$988,IF($S$1183=893,PR!$AX$989,IF($S$1183=894,PR!$AX$990,IF($S$1183=895,PR!$AX$991,IF($S$1183=896,PR!$AX$992,IF($S$1183=897,PR!$AX$993,IF($S$1183=898,PR!$AX$994,IF($S$1183=899,PR!$AX$995,IF($S$1183=900,PR!$AX$996,"-"))))))))))))))))))))))))))))))))))))))))))))))))))))))))))))</f>
        <v>0</v>
      </c>
      <c r="O1193" s="602">
        <f>IF($S$1183=841,PR!$AY$931,IF($S$1183=842,PR!$AY$932,IF($S$1183=843,PR!$AY$933,IF($S$1183=844,PR!$AY$934,IF($S$1183=845,PR!$AY$935,IF($S$1183=846,PR!$AY$942,IF($S$1183=847,PR!$AY$943,IF($S$1183=848,PR!$AY$944,IF($S$1183=849,PR!$AY$945,IF($S$1183=850,PR!$AY$946,IF($S$1183=851,PR!$AY$947,IF($S$1183=852,PR!$AY$948,IF($S$1183=853,PR!$AY$949,IF($S$1183=854,PR!$AY$950,IF($S$1183=855,PR!$AY$951,IF($S$1183=856,PR!$AY$952,IF($S$1183=857,PR!$AY$953,IF($S$1183=858,PR!$AY$954,IF($S$1183=859,PR!$AY$955,IF($S$1183=860,PR!$AY$956,IF($S$1183=861,PR!$AY$957,IF($S$1183=862,PR!$AY$958,IF($S$1183=863,PR!$AY$959,IF($S$1183=864,PR!$AY$960,IF($S$1183=865,PR!$AY$961,IF($S$1183=866,PR!$AY$962,IF($S$1183=867,PR!$AY$963,IF($S$1183=868,PR!$AY$964,IF($S$1183=869,PR!$AY$965,IF($S$1183=870,PR!$AY$966,IF($S$1183=871,PR!$AY$967,IF($S$1183=872,PR!$AY$968,IF($S$1183=873,PR!$AY$969,IF($S$1183=874,PR!$AY$970,IF($S$1183=875,PR!$AY$971,IF($S$1183=876,PR!$AY$972,IF($S$1183=877,PR!$AY$973,IF($S$1183=878,PR!$AY$974,IF($S$1183=879,PR!$AY$975,IF($S$1183=880,PR!$AY$976,IF($S$1183=881,PR!$AY$977,IF($S$1183=882,PR!$AY$978,IF($S$1183=883,PR!$AY$979,IF($S$1183=884,PR!$AY$980,IF($S$1183=885,PR!$AY$981,IF($S$1183=886,PR!$AY$982,IF($S$1183=887,PR!$AY$983,IF($S$1183=888,PR!$AY$984,IF($S$1183=889,PR!$AY$985,IF($S$1183=890,PR!$AY$986,IF($S$1183=891,PR!$AY$987,IF($S$1183=892,PR!$AY$988,IF($S$1183=893,PR!$AY$989,IF($S$1183=894,PR!$AY$990,IF($S$1183=895,PR!$AY$991,IF($S$1183=896,PR!$AY$992,IF($S$1183=897,PR!$AY$993,IF($S$1183=898,PR!$AY$994,IF($S$1183=899,PR!$AY$995,IF($S$1183=900,PR!$AY$996,"-"))))))))))))))))))))))))))))))))))))))))))))))))))))))))))))</f>
        <v>0</v>
      </c>
      <c r="P1193" s="602">
        <f>IF($S$1183=841,PR!$AZ$931,IF($S$1183=842,PR!$AZ$932,IF($S$1183=843,PR!$AZ$933,IF($S$1183=844,PR!$AZ$934,IF($S$1183=845,PR!$AZ$935,IF($S$1183=846,PR!$AZ$942,IF($S$1183=847,PR!$AZ$943,IF($S$1183=848,PR!$AZ$944,IF($S$1183=849,PR!$AZ$945,IF($S$1183=850,PR!$AZ$946,IF($S$1183=851,PR!$AZ$947,IF($S$1183=852,PR!$AZ$948,IF($S$1183=853,PR!$AZ$949,IF($S$1183=854,PR!$AZ$950,IF($S$1183=855,PR!$AZ$951,IF($S$1183=856,PR!$AZ$952,IF($S$1183=857,PR!$AZ$953,IF($S$1183=858,PR!$AZ$954,IF($S$1183=859,PR!$AZ$955,IF($S$1183=860,PR!$AZ$956,IF($S$1183=861,PR!$AZ$957,IF($S$1183=862,PR!$AZ$958,IF($S$1183=863,PR!$AZ$959,IF($S$1183=864,PR!$AZ$960,IF($S$1183=865,PR!$AZ$961,IF($S$1183=866,PR!$AZ$962,IF($S$1183=867,PR!$AZ$963,IF($S$1183=868,PR!$AZ$964,IF($S$1183=869,PR!$AZ$965,IF($S$1183=870,PR!$AZ$966,IF($S$1183=871,PR!$AZ$967,IF($S$1183=872,PR!$AZ$968,IF($S$1183=873,PR!$AZ$969,IF($S$1183=874,PR!$AZ$970,IF($S$1183=875,PR!$AZ$971,IF($S$1183=876,PR!$AZ$972,IF($S$1183=877,PR!$AZ$973,IF($S$1183=878,PR!$AZ$974,IF($S$1183=879,PR!$AZ$975,IF($S$1183=880,PR!$AZ$976,IF($S$1183=881,PR!$AZ$977,IF($S$1183=882,PR!$AZ$978,IF($S$1183=883,PR!$AZ$979,IF($S$1183=884,PR!$AZ$980,IF($S$1183=885,PR!$AZ$981,IF($S$1183=886,PR!$AZ$982,IF($S$1183=887,PR!$AZ$983,IF($S$1183=888,PR!$AZ$984,IF($S$1183=889,PR!$AZ$985,IF($S$1183=890,PR!$AZ$986,IF($S$1183=891,PR!$AZ$987,IF($S$1183=892,PR!$AZ$988,IF($S$1183=893,PR!$AZ$989,IF($S$1183=894,PR!$AZ$990,IF($S$1183=895,PR!$AZ$991,IF($S$1183=896,PR!$AZ$992,IF($S$1183=897,PR!$AZ$993,IF($S$1183=898,PR!$AZ$994,IF($S$1183=899,PR!$AZ$995,IF($S$1183=900,PR!$AZ$996,"-"))))))))))))))))))))))))))))))))))))))))))))))))))))))))))))</f>
        <v>0</v>
      </c>
      <c r="Q1193" s="602">
        <f>IF($S$1183=841,PR!$BA$931,IF($S$1183=842,PR!$BA$932,IF($S$1183=843,PR!$BA$933,IF($S$1183=844,PR!$BA$934,IF($S$1183=845,PR!$BA$935,IF($S$1183=846,PR!$BA$942,IF($S$1183=847,PR!$BA$943,IF($S$1183=848,PR!$BA$944,IF($S$1183=849,PR!$BA$945,IF($S$1183=850,PR!$BA$946,IF($S$1183=851,PR!$BA$947,IF($S$1183=852,PR!$BA$948,IF($S$1183=853,PR!$BA$949,IF($S$1183=854,PR!$BA$950,IF($S$1183=855,PR!$BA$951,IF($S$1183=856,PR!$BA$952,IF($S$1183=857,PR!$BA$953,IF($S$1183=858,PR!$BA$954,IF($S$1183=859,PR!$BA$955,IF($S$1183=860,PR!$BA$956,IF($S$1183=861,PR!$BA$957,IF($S$1183=862,PR!$BA$958,IF($S$1183=863,PR!$BA$959,IF($S$1183=864,PR!$BA$960,IF($S$1183=865,PR!$BA$961,IF($S$1183=866,PR!$BA$962,IF($S$1183=867,PR!$BA$963,IF($S$1183=868,PR!$BA$964,IF($S$1183=869,PR!$BA$965,IF($S$1183=870,PR!$BA$966,IF($S$1183=871,PR!$BA$967,IF($S$1183=872,PR!$BA$968,IF($S$1183=873,PR!$BA$969,IF($S$1183=874,PR!$BA$970,IF($S$1183=875,PR!$BA$971,IF($S$1183=876,PR!$BA$972,IF($S$1183=877,PR!$BA$973,IF($S$1183=878,PR!$BA$974,IF($S$1183=879,PR!$BA$975,IF($S$1183=880,PR!$BA$976,IF($S$1183=881,PR!$BA$977,IF($S$1183=882,PR!$BA$978,IF($S$1183=883,PR!$BA$979,IF($S$1183=884,PR!$BA$980,IF($S$1183=885,PR!$BA$981,IF($S$1183=886,PR!$BA$982,IF($S$1183=887,PR!$BA$983,IF($S$1183=888,PR!$BA$984,IF($S$1183=889,PR!$BA$985,IF($S$1183=890,PR!$BA$986,IF($S$1183=891,PR!$BA$987,IF($S$1183=892,PR!$BA$988,IF($S$1183=893,PR!$BA$989,IF($S$1183=894,PR!$BA$990,IF($S$1183=895,PR!$BA$991,IF($S$1183=896,PR!$BA$992,IF($S$1183=897,PR!$BA$993,IF($S$1183=898,PR!$BA$994,IF($S$1183=899,PR!$BA$995,IF($S$1183=900,PR!$BA$996,"-"))))))))))))))))))))))))))))))))))))))))))))))))))))))))))))</f>
        <v>0</v>
      </c>
      <c r="R1193" s="602">
        <f>IF($S$1183=841,PR!$BB$931,IF($S$1183=842,PR!$BB$932,IF($S$1183=843,PR!$BB$933,IF($S$1183=844,PR!$BB$934,IF($S$1183=845,PR!$BB$935,IF($S$1183=846,PR!$BB$942,IF($S$1183=847,PR!$BB$943,IF($S$1183=848,PR!$BB$944,IF($S$1183=849,PR!$BB$945,IF($S$1183=850,PR!$BB$946,IF($S$1183=851,PR!$BB$947,IF($S$1183=852,PR!$BB$948,IF($S$1183=853,PR!$BB$949,IF($S$1183=854,PR!$BB$950,IF($S$1183=855,PR!$BB$951,IF($S$1183=856,PR!$BB$952,IF($S$1183=857,PR!$BB$953,IF($S$1183=858,PR!$BB$954,IF($S$1183=859,PR!$BB$955,IF($S$1183=860,PR!$BB$956,IF($S$1183=861,PR!$BB$957,IF($S$1183=862,PR!$BB$958,IF($S$1183=863,PR!$BB$959,IF($S$1183=864,PR!$BB$960,IF($S$1183=865,PR!$BB$961,IF($S$1183=866,PR!$BB$962,IF($S$1183=867,PR!$BB$963,IF($S$1183=868,PR!$BB$964,IF($S$1183=869,PR!$BB$965,IF($S$1183=870,PR!$BB$966,IF($S$1183=871,PR!$BB$967,IF($S$1183=872,PR!$BB$968,IF($S$1183=873,PR!$BB$969,IF($S$1183=874,PR!$BB$970,IF($S$1183=875,PR!$BB$971,IF($S$1183=876,PR!$BB$972,IF($S$1183=877,PR!$BB$973,IF($S$1183=878,PR!$BB$974,IF($S$1183=879,PR!$BB$975,IF($S$1183=880,PR!$BB$976,IF($S$1183=881,PR!$BB$977,IF($S$1183=882,PR!$BB$978,IF($S$1183=883,PR!$BB$979,IF($S$1183=884,PR!$BB$980,IF($S$1183=885,PR!$BB$981,IF($S$1183=886,PR!$BB$982,IF($S$1183=887,PR!$BB$983,IF($S$1183=888,PR!$BB$984,IF($S$1183=889,PR!$BB$985,IF($S$1183=890,PR!$BB$986,IF($S$1183=891,PR!$BB$987,IF($S$1183=892,PR!$BB$988,IF($S$1183=893,PR!$BB$989,IF($S$1183=894,PR!$BB$990,IF($S$1183=895,PR!$BB$991,IF($S$1183=896,PR!$BB$992,IF($S$1183=897,PR!$BB$993,IF($S$1183=898,PR!$BB$994,IF($S$1183=899,PR!$BB$995,IF($S$1183=900,PR!$BB$996,"-"))))))))))))))))))))))))))))))))))))))))))))))))))))))))))))</f>
        <v>0</v>
      </c>
      <c r="S1193" s="602">
        <f>IF($S$1183=841,PR!$BC$931,IF($S$1183=842,PR!$BC$932,IF($S$1183=843,PR!$BC$933,IF($S$1183=844,PR!$BC$934,IF($S$1183=845,PR!$BC$935,IF($S$1183=846,PR!$BC$942,IF($S$1183=847,PR!$BC$943,IF($S$1183=848,PR!$BC$944,IF($S$1183=849,PR!$BC$945,IF($S$1183=850,PR!$BC$946,IF($S$1183=851,PR!$BC$947,IF($S$1183=852,PR!$BC$948,IF($S$1183=853,PR!$BC$949,IF($S$1183=854,PR!$BC$950,IF($S$1183=855,PR!$BC$951,IF($S$1183=856,PR!$BC$952,IF($S$1183=857,PR!$BC$953,IF($S$1183=858,PR!$BC$954,IF($S$1183=859,PR!$BC$955,IF($S$1183=860,PR!$BC$956,IF($S$1183=861,PR!$BC$957,IF($S$1183=862,PR!$BC$958,IF($S$1183=863,PR!$BC$959,IF($S$1183=864,PR!$BC$960,IF($S$1183=865,PR!$BC$961,IF($S$1183=866,PR!$BC$962,IF($S$1183=867,PR!$BC$963,IF($S$1183=868,PR!$BC$964,IF($S$1183=869,PR!$BC$965,IF($S$1183=870,PR!$BC$966,IF($S$1183=871,PR!$BC$967,IF($S$1183=872,PR!$BC$968,IF($S$1183=873,PR!$BC$969,IF($S$1183=874,PR!$BC$970,IF($S$1183=875,PR!$BC$971,IF($S$1183=876,PR!$BC$972,IF($S$1183=877,PR!$BC$973,IF($S$1183=878,PR!$BC$974,IF($S$1183=879,PR!$BC$975,IF($S$1183=880,PR!$BC$976,IF($S$1183=881,PR!$BC$977,IF($S$1183=882,PR!$BC$978,IF($S$1183=883,PR!$BC$979,IF($S$1183=884,PR!$BC$980,IF($S$1183=885,PR!$BC$981,IF($S$1183=886,PR!$BC$982,IF($S$1183=887,PR!$BC$983,IF($S$1183=888,PR!$BC$984,IF($S$1183=889,PR!$BC$985,IF($S$1183=890,PR!$BC$986,IF($S$1183=891,PR!$BC$987,IF($S$1183=892,PR!$BC$988,IF($S$1183=893,PR!$BC$989,IF($S$1183=894,PR!$BC$990,IF($S$1183=895,PR!$BC$991,IF($S$1183=896,PR!$BC$992,IF($S$1183=897,PR!$BC$993,IF($S$1183=898,PR!$BC$994,IF($S$1183=899,PR!$BC$995,IF($S$1183=900,PR!$BC$996,"-"))))))))))))))))))))))))))))))))))))))))))))))))))))))))))))</f>
        <v>0</v>
      </c>
      <c r="T1193" s="580"/>
      <c r="U1193" s="580"/>
      <c r="V1193" s="32"/>
      <c r="W1193" s="32"/>
      <c r="X1193" s="32"/>
    </row>
    <row r="1194" spans="2:24" ht="11.25" customHeight="1" x14ac:dyDescent="0.25">
      <c r="B1194" s="580"/>
      <c r="C1194" s="603"/>
      <c r="D1194" s="604"/>
      <c r="E1194" s="604"/>
      <c r="F1194" s="604"/>
      <c r="G1194" s="604"/>
      <c r="H1194" s="604"/>
      <c r="I1194" s="604"/>
      <c r="J1194" s="604"/>
      <c r="K1194" s="604"/>
      <c r="L1194" s="604"/>
      <c r="M1194" s="604"/>
      <c r="N1194" s="604"/>
      <c r="O1194" s="604"/>
      <c r="P1194" s="604"/>
      <c r="Q1194" s="604"/>
      <c r="R1194" s="606"/>
      <c r="S1194" s="606"/>
      <c r="T1194" s="580"/>
      <c r="U1194" s="580"/>
      <c r="V1194" s="32"/>
      <c r="W1194" s="32"/>
      <c r="X1194" s="32"/>
    </row>
    <row r="1195" spans="2:24" ht="15.75" thickBot="1" x14ac:dyDescent="0.3">
      <c r="B1195" s="580"/>
      <c r="C1195" s="600" t="str">
        <f>N!$C$55</f>
        <v>SAM</v>
      </c>
      <c r="D1195" s="600" t="str">
        <f>N!$C$56</f>
        <v>SEAGREEN</v>
      </c>
      <c r="E1195" s="600" t="str">
        <f>N!$C$57</f>
        <v>SKG</v>
      </c>
      <c r="F1195" s="600" t="str">
        <f>N!$C$58</f>
        <v>TAH</v>
      </c>
      <c r="G1195" s="600" t="str">
        <f>N!$C$59</f>
        <v>TAYLEK</v>
      </c>
      <c r="H1195" s="600" t="str">
        <f>N!$C$60</f>
        <v>TEMITA</v>
      </c>
      <c r="I1195" s="600" t="str">
        <f>N!$C$61</f>
        <v>THL</v>
      </c>
      <c r="J1195" s="600" t="str">
        <f>N!$C$62</f>
        <v>UBASTIC</v>
      </c>
      <c r="K1195" s="600" t="str">
        <f>N!$C$63</f>
        <v>UNION</v>
      </c>
      <c r="L1195" s="600" t="str">
        <f>N!$C$64</f>
        <v>UNIQUE</v>
      </c>
      <c r="M1195" s="600" t="str">
        <f>N!$C$65</f>
        <v>VIXA</v>
      </c>
      <c r="N1195" s="600" t="str">
        <f>N!$C$66</f>
        <v>WWCV</v>
      </c>
      <c r="O1195" s="600" t="str">
        <f>N!$C$67</f>
        <v>ZOLON</v>
      </c>
      <c r="P1195" s="600" t="e">
        <f>N!#REF!</f>
        <v>#REF!</v>
      </c>
      <c r="Q1195" s="600" t="e">
        <f>N!#REF!</f>
        <v>#REF!</v>
      </c>
      <c r="R1195" s="600" t="e">
        <f>N!#REF!</f>
        <v>#REF!</v>
      </c>
      <c r="S1195" s="604"/>
      <c r="T1195" s="580"/>
      <c r="U1195" s="580"/>
      <c r="V1195" s="32"/>
      <c r="W1195" s="32"/>
      <c r="X1195" s="32"/>
    </row>
    <row r="1196" spans="2:24" ht="15.75" thickBot="1" x14ac:dyDescent="0.3">
      <c r="B1196" s="580"/>
      <c r="C1196" s="602">
        <f>IF($S$1183=841,PR!$BD$931,IF($S$1183=842,PR!$BD$932,IF($S$1183=843,PR!$BD$933,IF($S$1183=844,PR!$BD$934,IF($S$1183=845,PR!$BD$935,IF($S$1183=846,PR!$BD$942,IF($S$1183=847,PR!$BD$943,IF($S$1183=848,PR!$BD$944,IF($S$1183=849,PR!$BD$945,IF($S$1183=850,PR!$BD$946,IF($S$1183=851,PR!$BD$947,IF($S$1183=852,PR!$BD$948,IF($S$1183=853,PR!$BD$949,IF($S$1183=854,PR!$BD$950,IF($S$1183=855,PR!$BD$951,IF($S$1183=856,PR!$BD$952,IF($S$1183=857,PR!$BD$953,IF($S$1183=858,PR!$BD$954,IF($S$1183=859,PR!$BD$955,IF($S$1183=860,PR!$BD$956,IF($S$1183=861,PR!$BD$957,IF($S$1183=862,PR!$BD$958,IF($S$1183=863,PR!$BD$959,IF($S$1183=864,PR!$BD$960,IF($S$1183=865,PR!$BD$961,IF($S$1183=866,PR!$BD$962,IF($S$1183=867,PR!$BD$963,IF($S$1183=868,PR!$BD$964,IF($S$1183=869,PR!$BD$965,IF($S$1183=870,PR!$BD$966,IF($S$1183=871,PR!$BD$967,IF($S$1183=872,PR!$BD$968,IF($S$1183=873,PR!$BD$969,IF($S$1183=874,PR!$BD$970,IF($S$1183=875,PR!$BD$971,IF($S$1183=876,PR!$BD$972,IF($S$1183=877,PR!$BD$973,IF($S$1183=878,PR!$BD$974,IF($S$1183=879,PR!$BD$975,IF($S$1183=880,PR!$BD$976,IF($S$1183=881,PR!$BD$977,IF($S$1183=882,PR!$BD$978,IF($S$1183=883,PR!$BD$979,IF($S$1183=884,PR!$BD$980,IF($S$1183=885,PR!$BD$981,IF($S$1183=886,PR!$BD$982,IF($S$1183=887,PR!$BD$983,IF($S$1183=888,PR!$BD$984,IF($S$1183=889,PR!$BD$985,IF($S$1183=890,PR!$BD$986,IF($S$1183=891,PR!$BD$987,IF($S$1183=892,PR!$BD$988,IF($S$1183=893,PR!$BD$989,IF($S$1183=894,PR!$BD$990,IF($S$1183=895,PR!$BD$991,IF($S$1183=896,PR!$BD$992,IF($S$1183=897,PR!$BD$993,IF($S$1183=898,PR!$BD$994,IF($S$1183=899,PR!$BD$995,IF($S$1183=900,PR!$BD$996,"-"))))))))))))))))))))))))))))))))))))))))))))))))))))))))))))</f>
        <v>0</v>
      </c>
      <c r="D1196" s="602">
        <f>IF($S$1183=841,PR!$BE$931,IF($S$1183=842,PR!$BE$932,IF($S$1183=843,PR!$BE$933,IF($S$1183=844,PR!$BE$934,IF($S$1183=845,PR!$BE$935,IF($S$1183=846,PR!$BE$942,IF($S$1183=847,PR!$BE$943,IF($S$1183=848,PR!$BE$944,IF($S$1183=849,PR!$BE$945,IF($S$1183=850,PR!$BE$946,IF($S$1183=851,PR!$BE$947,IF($S$1183=852,PR!$BE$948,IF($S$1183=853,PR!$BE$949,IF($S$1183=854,PR!$BE$950,IF($S$1183=855,PR!$BE$951,IF($S$1183=856,PR!$BE$952,IF($S$1183=857,PR!$BE$953,IF($S$1183=858,PR!$BE$954,IF($S$1183=859,PR!$BE$955,IF($S$1183=860,PR!$BE$956,IF($S$1183=861,PR!$BE$957,IF($S$1183=862,PR!$BE$958,IF($S$1183=863,PR!$BE$959,IF($S$1183=864,PR!$BE$960,IF($S$1183=865,PR!$BE$961,IF($S$1183=866,PR!$BE$962,IF($S$1183=867,PR!$BE$963,IF($S$1183=868,PR!$BE$964,IF($S$1183=869,PR!$BE$965,IF($S$1183=870,PR!$BE$966,IF($S$1183=871,PR!$BE$967,IF($S$1183=872,PR!$BE$968,IF($S$1183=873,PR!$BE$969,IF($S$1183=874,PR!$BE$970,IF($S$1183=875,PR!$BE$971,IF($S$1183=876,PR!$BE$972,IF($S$1183=877,PR!$BE$973,IF($S$1183=878,PR!$BE$974,IF($S$1183=879,PR!$BE$975,IF($S$1183=880,PR!$BE$976,IF($S$1183=881,PR!$BE$977,IF($S$1183=882,PR!$BE$978,IF($S$1183=883,PR!$BE$979,IF($S$1183=884,PR!$BE$980,IF($S$1183=885,PR!$BE$981,IF($S$1183=886,PR!$BE$982,IF($S$1183=887,PR!$BE$983,IF($S$1183=888,PR!$BE$984,IF($S$1183=889,PR!$BE$985,IF($S$1183=890,PR!$BE$986,IF($S$1183=891,PR!$BE$987,IF($S$1183=892,PR!$BE$988,IF($S$1183=893,PR!$BE$989,IF($S$1183=894,PR!$BE$990,IF($S$1183=895,PR!$BE$991,IF($S$1183=896,PR!$BE$992,IF($S$1183=897,PR!$BE$993,IF($S$1183=898,PR!$BE$994,IF($S$1183=899,PR!$BE$995,IF($S$1183=900,PR!$BE$996,"-"))))))))))))))))))))))))))))))))))))))))))))))))))))))))))))</f>
        <v>0</v>
      </c>
      <c r="E1196" s="602">
        <f>IF($S$1183=841,PR!$BF$931,IF($S$1183=842,PR!$BF$932,IF($S$1183=843,PR!$BF$933,IF($S$1183=844,PR!$BF$934,IF($S$1183=845,PR!$BF$935,IF($S$1183=846,PR!$BF$942,IF($S$1183=847,PR!$BF$943,IF($S$1183=848,PR!$BF$944,IF($S$1183=849,PR!$BF$945,IF($S$1183=850,PR!$BF$946,IF($S$1183=851,PR!$BF$947,IF($S$1183=852,PR!$BF$948,IF($S$1183=853,PR!$BF$949,IF($S$1183=854,PR!$BF$950,IF($S$1183=855,PR!$BF$951,IF($S$1183=856,PR!$BF$952,IF($S$1183=857,PR!$BF$953,IF($S$1183=858,PR!$BF$954,IF($S$1183=859,PR!$BF$955,IF($S$1183=860,PR!$BF$956,IF($S$1183=861,PR!$BF$957,IF($S$1183=862,PR!$BF$958,IF($S$1183=863,PR!$BF$959,IF($S$1183=864,PR!$BF$960,IF($S$1183=865,PR!$BF$961,IF($S$1183=866,PR!$BF$962,IF($S$1183=867,PR!$BF$963,IF($S$1183=868,PR!$BF$964,IF($S$1183=869,PR!$BF$965,IF($S$1183=870,PR!$BF$966,IF($S$1183=871,PR!$BF$967,IF($S$1183=872,PR!$BF$968,IF($S$1183=873,PR!$BF$969,IF($S$1183=874,PR!$BF$970,IF($S$1183=875,PR!$BF$971,IF($S$1183=876,PR!$BF$972,IF($S$1183=877,PR!$BF$973,IF($S$1183=878,PR!$BF$974,IF($S$1183=879,PR!$BF$975,IF($S$1183=880,PR!$BF$976,IF($S$1183=881,PR!$BF$977,IF($S$1183=882,PR!$BF$978,IF($S$1183=883,PR!$BF$979,IF($S$1183=884,PR!$BF$980,IF($S$1183=885,PR!$BF$981,IF($S$1183=886,PR!$BF$982,IF($S$1183=887,PR!$BF$983,IF($S$1183=888,PR!$BF$984,IF($S$1183=889,PR!$BF$985,IF($S$1183=890,PR!$BF$986,IF($S$1183=891,PR!$BF$987,IF($S$1183=892,PR!$BF$988,IF($S$1183=893,PR!$BF$989,IF($S$1183=894,PR!$BF$990,IF($S$1183=895,PR!$BF$991,IF($S$1183=896,PR!$BF$992,IF($S$1183=897,PR!$BF$993,IF($S$1183=898,PR!$BF$994,IF($S$1183=899,PR!$BF$995,IF($S$1183=900,PR!$BF$996,"-"))))))))))))))))))))))))))))))))))))))))))))))))))))))))))))</f>
        <v>0</v>
      </c>
      <c r="F1196" s="602">
        <f>IF($S$1183=841,PR!$BG$931,IF($S$1183=842,PR!$BG$932,IF($S$1183=843,PR!$BG$933,IF($S$1183=844,PR!$BG$934,IF($S$1183=845,PR!$BG$935,IF($S$1183=846,PR!$BG$942,IF($S$1183=847,PR!$BG$943,IF($S$1183=848,PR!$BG$944,IF($S$1183=849,PR!$BG$945,IF($S$1183=850,PR!$BG$946,IF($S$1183=851,PR!$BG$947,IF($S$1183=852,PR!$BG$948,IF($S$1183=853,PR!$BG$949,IF($S$1183=854,PR!$BG$950,IF($S$1183=855,PR!$BG$951,IF($S$1183=856,PR!$BG$952,IF($S$1183=857,PR!$BG$953,IF($S$1183=858,PR!$BG$954,IF($S$1183=859,PR!$BG$955,IF($S$1183=860,PR!$BG$956,IF($S$1183=861,PR!$BG$957,IF($S$1183=862,PR!$BG$958,IF($S$1183=863,PR!$BG$959,IF($S$1183=864,PR!$BG$960,IF($S$1183=865,PR!$BG$961,IF($S$1183=866,PR!$BG$962,IF($S$1183=867,PR!$BG$963,IF($S$1183=868,PR!$BG$964,IF($S$1183=869,PR!$BG$965,IF($S$1183=870,PR!$BG$966,IF($S$1183=871,PR!$BG$967,IF($S$1183=872,PR!$BG$968,IF($S$1183=873,PR!$BG$969,IF($S$1183=874,PR!$BG$970,IF($S$1183=875,PR!$BG$971,IF($S$1183=876,PR!$BG$972,IF($S$1183=877,PR!$BG$973,IF($S$1183=878,PR!$BG$974,IF($S$1183=879,PR!$BG$975,IF($S$1183=880,PR!$BG$976,IF($S$1183=881,PR!$BG$977,IF($S$1183=882,PR!$BG$978,IF($S$1183=883,PR!$BG$979,IF($S$1183=884,PR!$BG$980,IF($S$1183=885,PR!$BG$981,IF($S$1183=886,PR!$BG$982,IF($S$1183=887,PR!$BG$983,IF($S$1183=888,PR!$BG$984,IF($S$1183=889,PR!$BG$985,IF($S$1183=890,PR!$BG$986,IF($S$1183=891,PR!$BG$987,IF($S$1183=892,PR!$BG$988,IF($S$1183=893,PR!$BG$989,IF($S$1183=894,PR!$BG$990,IF($S$1183=895,PR!$BG$991,IF($S$1183=896,PR!$BG$992,IF($S$1183=897,PR!$BG$993,IF($S$1183=898,PR!$BG$994,IF($S$1183=899,PR!$BG$995,IF($S$1183=900,PR!$BG$996,"-"))))))))))))))))))))))))))))))))))))))))))))))))))))))))))))</f>
        <v>0</v>
      </c>
      <c r="G1196" s="602">
        <f>IF($S$1183=841,PR!$BH$931,IF($S$1183=842,PR!$BH$932,IF($S$1183=843,PR!$BH$933,IF($S$1183=844,PR!$BH$934,IF($S$1183=845,PR!$BH$935,IF($S$1183=846,PR!$BH$942,IF($S$1183=847,PR!$BH$943,IF($S$1183=848,PR!$BH$944,IF($S$1183=849,PR!$BH$945,IF($S$1183=850,PR!$BH$946,IF($S$1183=851,PR!$BH$947,IF($S$1183=852,PR!$BH$948,IF($S$1183=853,PR!$BH$949,IF($S$1183=854,PR!$BH$950,IF($S$1183=855,PR!$BH$951,IF($S$1183=856,PR!$BH$952,IF($S$1183=857,PR!$BH$953,IF($S$1183=858,PR!$BH$954,IF($S$1183=859,PR!$BH$955,IF($S$1183=860,PR!$BH$956,IF($S$1183=861,PR!$BH$957,IF($S$1183=862,PR!$BH$958,IF($S$1183=863,PR!$BH$959,IF($S$1183=864,PR!$BH$960,IF($S$1183=865,PR!$BH$961,IF($S$1183=866,PR!$BH$962,IF($S$1183=867,PR!$BH$963,IF($S$1183=868,PR!$BH$964,IF($S$1183=869,PR!$BH$965,IF($S$1183=870,PR!$BH$966,IF($S$1183=871,PR!$BH$967,IF($S$1183=872,PR!$BH$968,IF($S$1183=873,PR!$BH$969,IF($S$1183=874,PR!$BH$970,IF($S$1183=875,PR!$BH$971,IF($S$1183=876,PR!$BH$972,IF($S$1183=877,PR!$BH$973,IF($S$1183=878,PR!$BH$974,IF($S$1183=879,PR!$BH$975,IF($S$1183=880,PR!$BH$976,IF($S$1183=881,PR!$BH$977,IF($S$1183=882,PR!$BH$978,IF($S$1183=883,PR!$BH$979,IF($S$1183=884,PR!$BH$980,IF($S$1183=885,PR!$BH$981,IF($S$1183=886,PR!$BH$982,IF($S$1183=887,PR!$BH$983,IF($S$1183=888,PR!$BH$984,IF($S$1183=889,PR!$BH$985,IF($S$1183=890,PR!$BH$986,IF($S$1183=891,PR!$BH$987,IF($S$1183=892,PR!$BH$988,IF($S$1183=893,PR!$BH$989,IF($S$1183=894,PR!$BH$990,IF($S$1183=895,PR!$BH$991,IF($S$1183=896,PR!$BH$992,IF($S$1183=897,PR!$BH$993,IF($S$1183=898,PR!$BH$994,IF($S$1183=899,PR!$BH$995,IF($S$1183=900,PR!$BH$996,"-"))))))))))))))))))))))))))))))))))))))))))))))))))))))))))))</f>
        <v>0</v>
      </c>
      <c r="H1196" s="602">
        <f>IF($S$1183=841,PR!$BI$931,IF($S$1183=842,PR!$BI$932,IF($S$1183=843,PR!$BI$933,IF($S$1183=844,PR!$BI$934,IF($S$1183=845,PR!$BI$935,IF($S$1183=846,PR!$BI$942,IF($S$1183=847,PR!$BI$943,IF($S$1183=848,PR!$BI$944,IF($S$1183=849,PR!$BI$945,IF($S$1183=850,PR!$BI$946,IF($S$1183=851,PR!$BI$947,IF($S$1183=852,PR!$BI$948,IF($S$1183=853,PR!$BI$949,IF($S$1183=854,PR!$BI$950,IF($S$1183=855,PR!$BI$951,IF($S$1183=856,PR!$BI$952,IF($S$1183=857,PR!$BI$953,IF($S$1183=858,PR!$BI$954,IF($S$1183=859,PR!$BI$955,IF($S$1183=860,PR!$BI$956,IF($S$1183=861,PR!$BI$957,IF($S$1183=862,PR!$BI$958,IF($S$1183=863,PR!$BI$959,IF($S$1183=864,PR!$BI$960,IF($S$1183=865,PR!$BI$961,IF($S$1183=866,PR!$BI$962,IF($S$1183=867,PR!$BI$963,IF($S$1183=868,PR!$BI$964,IF($S$1183=869,PR!$BI$965,IF($S$1183=870,PR!$BI$966,IF($S$1183=871,PR!$BI$967,IF($S$1183=872,PR!$BI$968,IF($S$1183=873,PR!$BI$969,IF($S$1183=874,PR!$BI$970,IF($S$1183=875,PR!$BI$971,IF($S$1183=876,PR!$BI$972,IF($S$1183=877,PR!$BI$973,IF($S$1183=878,PR!$BI$974,IF($S$1183=879,PR!$BI$975,IF($S$1183=880,PR!$BI$976,IF($S$1183=881,PR!$BI$977,IF($S$1183=882,PR!$BI$978,IF($S$1183=883,PR!$BI$979,IF($S$1183=884,PR!$BI$980,IF($S$1183=885,PR!$BI$981,IF($S$1183=886,PR!$BI$982,IF($S$1183=887,PR!$BI$983,IF($S$1183=888,PR!$BI$984,IF($S$1183=889,PR!$BI$985,IF($S$1183=890,PR!$BI$986,IF($S$1183=891,PR!$BI$987,IF($S$1183=892,PR!$BI$988,IF($S$1183=893,PR!$BI$989,IF($S$1183=894,PR!$BI$990,IF($S$1183=895,PR!$BI$991,IF($S$1183=896,PR!$BI$992,IF($S$1183=897,PR!$BI$993,IF($S$1183=898,PR!$BI$994,IF($S$1183=899,PR!$BI$995,IF($S$1183=900,PR!$BI$996,"-"))))))))))))))))))))))))))))))))))))))))))))))))))))))))))))</f>
        <v>65000</v>
      </c>
      <c r="I1196" s="602">
        <f>IF($S$1183=841,PR!$BJ$931,IF($S$1183=842,PR!$BJ$932,IF($S$1183=843,PR!$BJ$933,IF($S$1183=844,PR!$BJ$934,IF($S$1183=845,PR!$BJ$935,IF($S$1183=846,PR!$BJ$942,IF($S$1183=847,PR!$BJ$943,IF($S$1183=848,PR!$BJ$944,IF($S$1183=849,PR!$BJ$945,IF($S$1183=850,PR!$BJ$946,IF($S$1183=851,PR!$BJ$947,IF($S$1183=852,PR!$BJ$948,IF($S$1183=853,PR!$BJ$949,IF($S$1183=854,PR!$BJ$950,IF($S$1183=855,PR!$BJ$951,IF($S$1183=856,PR!$BJ$952,IF($S$1183=857,PR!$BJ$953,IF($S$1183=858,PR!$BJ$954,IF($S$1183=859,PR!$BJ$955,IF($S$1183=860,PR!$BJ$956,IF($S$1183=861,PR!$BJ$957,IF($S$1183=862,PR!$BJ$958,IF($S$1183=863,PR!$BJ$959,IF($S$1183=864,PR!$BJ$960,IF($S$1183=865,PR!$BJ$961,IF($S$1183=866,PR!$BJ$962,IF($S$1183=867,PR!$BJ$963,IF($S$1183=868,PR!$BJ$964,IF($S$1183=869,PR!$BJ$965,IF($S$1183=870,PR!$BJ$966,IF($S$1183=871,PR!$BJ$967,IF($S$1183=872,PR!$BJ$968,IF($S$1183=873,PR!$BJ$969,IF($S$1183=874,PR!$BJ$970,IF($S$1183=875,PR!$BJ$971,IF($S$1183=876,PR!$BJ$972,IF($S$1183=877,PR!$BJ$973,IF($S$1183=878,PR!$BJ$974,IF($S$1183=879,PR!$BJ$975,IF($S$1183=880,PR!$BJ$976,IF($S$1183=881,PR!$BJ$977,IF($S$1183=882,PR!$BJ$978,IF($S$1183=883,PR!$BJ$979,IF($S$1183=884,PR!$BJ$980,IF($S$1183=885,PR!$BJ$981,IF($S$1183=886,PR!$BJ$982,IF($S$1183=887,PR!$BJ$983,IF($S$1183=888,PR!$BJ$984,IF($S$1183=889,PR!$BJ$985,IF($S$1183=890,PR!$BJ$986,IF($S$1183=891,PR!$BJ$987,IF($S$1183=892,PR!$BJ$988,IF($S$1183=893,PR!$BJ$989,IF($S$1183=894,PR!$BJ$990,IF($S$1183=895,PR!$BJ$991,IF($S$1183=896,PR!$BJ$992,IF($S$1183=897,PR!$BJ$993,IF($S$1183=898,PR!$BJ$994,IF($S$1183=899,PR!$BJ$995,IF($S$1183=900,PR!$BJ$996,"-"))))))))))))))))))))))))))))))))))))))))))))))))))))))))))))</f>
        <v>0</v>
      </c>
      <c r="J1196" s="602">
        <f>IF($S$1183=841,PR!$BK$931,IF($S$1183=842,PR!$BK$932,IF($S$1183=843,PR!$BK$933,IF($S$1183=844,PR!$BK$934,IF($S$1183=845,PR!$BK$935,IF($S$1183=846,PR!$BK$942,IF($S$1183=847,PR!$BK$943,IF($S$1183=848,PR!$BK$944,IF($S$1183=849,PR!$BK$945,IF($S$1183=850,PR!$BK$946,IF($S$1183=851,PR!$BK$947,IF($S$1183=852,PR!$BK$948,IF($S$1183=853,PR!$BK$949,IF($S$1183=854,PR!$BK$950,IF($S$1183=855,PR!$BK$951,IF($S$1183=856,PR!$BK$952,IF($S$1183=857,PR!$BK$953,IF($S$1183=858,PR!$BK$954,IF($S$1183=859,PR!$BK$955,IF($S$1183=860,PR!$BK$956,IF($S$1183=861,PR!$BK$957,IF($S$1183=862,PR!$BK$958,IF($S$1183=863,PR!$BK$959,IF($S$1183=864,PR!$BK$960,IF($S$1183=865,PR!$BK$961,IF($S$1183=866,PR!$BK$962,IF($S$1183=867,PR!$BK$963,IF($S$1183=868,PR!$BK$964,IF($S$1183=869,PR!$BK$965,IF($S$1183=870,PR!$BK$966,IF($S$1183=871,PR!$BK$967,IF($S$1183=872,PR!$BK$968,IF($S$1183=873,PR!$BK$969,IF($S$1183=874,PR!$BK$970,IF($S$1183=875,PR!$BK$971,IF($S$1183=876,PR!$BK$972,IF($S$1183=877,PR!$BK$973,IF($S$1183=878,PR!$BK$974,IF($S$1183=879,PR!$BK$975,IF($S$1183=880,PR!$BK$976,IF($S$1183=881,PR!$BK$977,IF($S$1183=882,PR!$BK$978,IF($S$1183=883,PR!$BK$979,IF($S$1183=884,PR!$BK$980,IF($S$1183=885,PR!$BK$981,IF($S$1183=886,PR!$BK$982,IF($S$1183=887,PR!$BK$983,IF($S$1183=888,PR!$BK$984,IF($S$1183=889,PR!$BK$985,IF($S$1183=890,PR!$BK$986,IF($S$1183=891,PR!$BK$987,IF($S$1183=892,PR!$BK$988,IF($S$1183=893,PR!$BK$989,IF($S$1183=894,PR!$BK$990,IF($S$1183=895,PR!$BK$991,IF($S$1183=896,PR!$BK$992,IF($S$1183=897,PR!$BK$993,IF($S$1183=898,PR!$BK$994,IF($S$1183=899,PR!$BK$995,IF($S$1183=900,PR!$BK$996,"-"))))))))))))))))))))))))))))))))))))))))))))))))))))))))))))</f>
        <v>50000</v>
      </c>
      <c r="K1196" s="602">
        <f>IF($S$1183=841,PR!$BL$931,IF($S$1183=842,PR!$BL$932,IF($S$1183=843,PR!$BL$933,IF($S$1183=844,PR!$BL$934,IF($S$1183=845,PR!$BL$935,IF($S$1183=846,PR!$BL$942,IF($S$1183=847,PR!$BL$943,IF($S$1183=848,PR!$BL$944,IF($S$1183=849,PR!$BL$945,IF($S$1183=850,PR!$BL$946,IF($S$1183=851,PR!$BL$947,IF($S$1183=852,PR!$BL$948,IF($S$1183=853,PR!$BL$949,IF($S$1183=854,PR!$BL$950,IF($S$1183=855,PR!$BL$951,IF($S$1183=856,PR!$BL$952,IF($S$1183=857,PR!$BL$953,IF($S$1183=858,PR!$BL$954,IF($S$1183=859,PR!$BL$955,IF($S$1183=860,PR!$BL$956,IF($S$1183=861,PR!$BL$957,IF($S$1183=862,PR!$BL$958,IF($S$1183=863,PR!$BL$959,IF($S$1183=864,PR!$BL$960,IF($S$1183=865,PR!$BL$961,IF($S$1183=866,PR!$BL$962,IF($S$1183=867,PR!$BL$963,IF($S$1183=868,PR!$BL$964,IF($S$1183=869,PR!$BL$965,IF($S$1183=870,PR!$BL$966,IF($S$1183=871,PR!$BL$967,IF($S$1183=872,PR!$BL$968,IF($S$1183=873,PR!$BL$969,IF($S$1183=874,PR!$BL$970,IF($S$1183=875,PR!$BL$971,IF($S$1183=876,PR!$BL$972,IF($S$1183=877,PR!$BL$973,IF($S$1183=878,PR!$BL$974,IF($S$1183=879,PR!$BL$975,IF($S$1183=880,PR!$BL$976,IF($S$1183=881,PR!$BL$977,IF($S$1183=882,PR!$BL$978,IF($S$1183=883,PR!$BL$979,IF($S$1183=884,PR!$BL$980,IF($S$1183=885,PR!$BL$981,IF($S$1183=886,PR!$BL$982,IF($S$1183=887,PR!$BL$983,IF($S$1183=888,PR!$BL$984,IF($S$1183=889,PR!$BL$985,IF($S$1183=890,PR!$BL$986,IF($S$1183=891,PR!$BL$987,IF($S$1183=892,PR!$BL$988,IF($S$1183=893,PR!$BL$989,IF($S$1183=894,PR!$BL$990,IF($S$1183=895,PR!$BL$991,IF($S$1183=896,PR!$BL$992,IF($S$1183=897,PR!$BL$993,IF($S$1183=898,PR!$BL$994,IF($S$1183=899,PR!$BL$995,IF($S$1183=900,PR!$BL$996,"-"))))))))))))))))))))))))))))))))))))))))))))))))))))))))))))</f>
        <v>0</v>
      </c>
      <c r="L1196" s="602">
        <f>IF($S$1183=841,PR!$BM$931,IF($S$1183=842,PR!$BM$932,IF($S$1183=843,PR!$BM$933,IF($S$1183=844,PR!$BM$934,IF($S$1183=845,PR!$BM$935,IF($S$1183=846,PR!$BM$942,IF($S$1183=847,PR!$BM$943,IF($S$1183=848,PR!$BM$944,IF($S$1183=849,PR!$BM$945,IF($S$1183=850,PR!$BM$946,IF($S$1183=851,PR!$BM$947,IF($S$1183=852,PR!$BM$948,IF($S$1183=853,PR!$BM$949,IF($S$1183=854,PR!$BM$950,IF($S$1183=855,PR!$BM$951,IF($S$1183=856,PR!$BM$952,IF($S$1183=857,PR!$BM$953,IF($S$1183=858,PR!$BM$954,IF($S$1183=859,PR!$BM$955,IF($S$1183=860,PR!$BM$956,IF($S$1183=861,PR!$BM$957,IF($S$1183=862,PR!$BM$958,IF($S$1183=863,PR!$BM$959,IF($S$1183=864,PR!$BM$960,IF($S$1183=865,PR!$BM$961,IF($S$1183=866,PR!$BM$962,IF($S$1183=867,PR!$BM$963,IF($S$1183=868,PR!$BM$964,IF($S$1183=869,PR!$BM$965,IF($S$1183=870,PR!$BM$966,IF($S$1183=871,PR!$BM$967,IF($S$1183=872,PR!$BM$968,IF($S$1183=873,PR!$BM$969,IF($S$1183=874,PR!$BM$970,IF($S$1183=875,PR!$BM$971,IF($S$1183=876,PR!$BM$972,IF($S$1183=877,PR!$BM$973,IF($S$1183=878,PR!$BM$974,IF($S$1183=879,PR!$BM$975,IF($S$1183=880,PR!$BM$976,IF($S$1183=881,PR!$BM$977,IF($S$1183=882,PR!$BM$978,IF($S$1183=883,PR!$BM$979,IF($S$1183=884,PR!$BM$980,IF($S$1183=885,PR!$BM$981,IF($S$1183=886,PR!$BM$982,IF($S$1183=887,PR!$BM$983,IF($S$1183=888,PR!$BM$984,IF($S$1183=889,PR!$BM$985,IF($S$1183=890,PR!$BM$986,IF($S$1183=891,PR!$BM$987,IF($S$1183=892,PR!$BM$988,IF($S$1183=893,PR!$BM$989,IF($S$1183=894,PR!$BM$990,IF($S$1183=895,PR!$BM$991,IF($S$1183=896,PR!$BM$992,IF($S$1183=897,PR!$BM$993,IF($S$1183=898,PR!$BM$994,IF($S$1183=899,PR!$BM$995,IF($S$1183=900,PR!$BM$996,"-"))))))))))))))))))))))))))))))))))))))))))))))))))))))))))))</f>
        <v>0</v>
      </c>
      <c r="M1196" s="602">
        <f>IF($S$1183=841,PR!$BN$931,IF($S$1183=842,PR!$BN$932,IF($S$1183=843,PR!$BN$933,IF($S$1183=844,PR!$BN$934,IF($S$1183=845,PR!$BN$935,IF($S$1183=846,PR!$BN$942,IF($S$1183=847,PR!$BN$943,IF($S$1183=848,PR!$BN$944,IF($S$1183=849,PR!$BN$945,IF($S$1183=850,PR!$BN$946,IF($S$1183=851,PR!$BN$947,IF($S$1183=852,PR!$BN$948,IF($S$1183=853,PR!$BN$949,IF($S$1183=854,PR!$BN$950,IF($S$1183=855,PR!$BN$951,IF($S$1183=856,PR!$BN$952,IF($S$1183=857,PR!$BN$953,IF($S$1183=858,PR!$BN$954,IF($S$1183=859,PR!$BN$955,IF($S$1183=860,PR!$BN$956,IF($S$1183=861,PR!$BN$957,IF($S$1183=862,PR!$BN$958,IF($S$1183=863,PR!$BN$959,IF($S$1183=864,PR!$BN$960,IF($S$1183=865,PR!$BN$961,IF($S$1183=866,PR!$BN$962,IF($S$1183=867,PR!$BN$963,IF($S$1183=868,PR!$BN$964,IF($S$1183=869,PR!$BN$965,IF($S$1183=870,PR!$BN$966,IF($S$1183=871,PR!$BN$967,IF($S$1183=872,PR!$BN$968,IF($S$1183=873,PR!$BN$969,IF($S$1183=874,PR!$BN$970,IF($S$1183=875,PR!$BN$971,IF($S$1183=876,PR!$BN$972,IF($S$1183=877,PR!$BN$973,IF($S$1183=878,PR!$BN$974,IF($S$1183=879,PR!$BN$975,IF($S$1183=880,PR!$BN$976,IF($S$1183=881,PR!$BN$977,IF($S$1183=882,PR!$BN$978,IF($S$1183=883,PR!$BN$979,IF($S$1183=884,PR!$BN$980,IF($S$1183=885,PR!$BN$981,IF($S$1183=886,PR!$BN$982,IF($S$1183=887,PR!$BN$983,IF($S$1183=888,PR!$BN$984,IF($S$1183=889,PR!$BN$985,IF($S$1183=890,PR!$BN$986,IF($S$1183=891,PR!$BN$987,IF($S$1183=892,PR!$BN$988,IF($S$1183=893,PR!$BN$989,IF($S$1183=894,PR!$BN$990,IF($S$1183=895,PR!$BN$991,IF($S$1183=896,PR!$BN$992,IF($S$1183=897,PR!$BN$993,IF($S$1183=898,PR!$BN$994,IF($S$1183=899,PR!$BN$995,IF($S$1183=900,PR!$BN$996,"-"))))))))))))))))))))))))))))))))))))))))))))))))))))))))))))</f>
        <v>0</v>
      </c>
      <c r="N1196" s="602">
        <f>IF($S$1183=841,PR!$BO$931,IF($S$1183=842,PR!$BO$932,IF($S$1183=843,PR!$BO$933,IF($S$1183=844,PR!$BO$934,IF($S$1183=845,PR!$BO$935,IF($S$1183=846,PR!$BO$942,IF($S$1183=847,PR!$BO$943,IF($S$1183=848,PR!$BO$944,IF($S$1183=849,PR!$BO$945,IF($S$1183=850,PR!$BO$946,IF($S$1183=851,PR!$BO$947,IF($S$1183=852,PR!$BO$948,IF($S$1183=853,PR!$BO$949,IF($S$1183=854,PR!$BO$950,IF($S$1183=855,PR!$BO$951,IF($S$1183=856,PR!$BO$952,IF($S$1183=857,PR!$BO$953,IF($S$1183=858,PR!$BO$954,IF($S$1183=859,PR!$BO$955,IF($S$1183=860,PR!$BO$956,IF($S$1183=861,PR!$BO$957,IF($S$1183=862,PR!$BO$958,IF($S$1183=863,PR!$BO$959,IF($S$1183=864,PR!$BO$960,IF($S$1183=865,PR!$BO$961,IF($S$1183=866,PR!$BO$962,IF($S$1183=867,PR!$BO$963,IF($S$1183=868,PR!$BO$964,IF($S$1183=869,PR!$BO$965,IF($S$1183=870,PR!$BO$966,IF($S$1183=871,PR!$BO$967,IF($S$1183=872,PR!$BO$968,IF($S$1183=873,PR!$BO$969,IF($S$1183=874,PR!$BO$970,IF($S$1183=875,PR!$BO$971,IF($S$1183=876,PR!$BO$972,IF($S$1183=877,PR!$BO$973,IF($S$1183=878,PR!$BO$974,IF($S$1183=879,PR!$BO$975,IF($S$1183=880,PR!$BO$976,IF($S$1183=881,PR!$BO$977,IF($S$1183=882,PR!$BO$978,IF($S$1183=883,PR!$BO$979,IF($S$1183=884,PR!$BO$980,IF($S$1183=885,PR!$BO$981,IF($S$1183=886,PR!$BO$982,IF($S$1183=887,PR!$BO$983,IF($S$1183=888,PR!$BO$984,IF($S$1183=889,PR!$BO$985,IF($S$1183=890,PR!$BO$986,IF($S$1183=891,PR!$BO$987,IF($S$1183=892,PR!$BO$988,IF($S$1183=893,PR!$BO$989,IF($S$1183=894,PR!$BO$990,IF($S$1183=895,PR!$BO$991,IF($S$1183=896,PR!$BO$992,IF($S$1183=897,PR!$BO$993,IF($S$1183=898,PR!$BO$994,IF($S$1183=899,PR!$BO$995,IF($S$1183=900,PR!$BO$996,"-"))))))))))))))))))))))))))))))))))))))))))))))))))))))))))))</f>
        <v>0</v>
      </c>
      <c r="O1196" s="602">
        <f>IF($S$1183=841,PR!$BP$931,IF($S$1183=842,PR!$BP$932,IF($S$1183=843,PR!$BP$933,IF($S$1183=844,PR!$BP$934,IF($S$1183=845,PR!$BP$935,IF($S$1183=846,PR!$BP$942,IF($S$1183=847,PR!$BP$943,IF($S$1183=848,PR!$BP$944,IF($S$1183=849,PR!$BP$945,IF($S$1183=850,PR!$BP$946,IF($S$1183=851,PR!$BP$947,IF($S$1183=852,PR!$BP$948,IF($S$1183=853,PR!$BP$949,IF($S$1183=854,PR!$BP$950,IF($S$1183=855,PR!$BP$951,IF($S$1183=856,PR!$BP$952,IF($S$1183=857,PR!$BP$953,IF($S$1183=858,PR!$BP$954,IF($S$1183=859,PR!$BP$955,IF($S$1183=860,PR!$BP$956,IF($S$1183=861,PR!$BP$957,IF($S$1183=862,PR!$BP$958,IF($S$1183=863,PR!$BP$959,IF($S$1183=864,PR!$BP$960,IF($S$1183=865,PR!$BP$961,IF($S$1183=866,PR!$BP$962,IF($S$1183=867,PR!$BP$963,IF($S$1183=868,PR!$BP$964,IF($S$1183=869,PR!$BP$965,IF($S$1183=870,PR!$BP$966,IF($S$1183=871,PR!$BP$967,IF($S$1183=872,PR!$BP$968,IF($S$1183=873,PR!$BP$969,IF($S$1183=874,PR!$BP$970,IF($S$1183=875,PR!$BP$971,IF($S$1183=876,PR!$BP$972,IF($S$1183=877,PR!$BP$973,IF($S$1183=878,PR!$BP$974,IF($S$1183=879,PR!$BP$975,IF($S$1183=880,PR!$BP$976,IF($S$1183=881,PR!$BP$977,IF($S$1183=882,PR!$BP$978,IF($S$1183=883,PR!$BP$979,IF($S$1183=884,PR!$BP$980,IF($S$1183=885,PR!$BP$981,IF($S$1183=886,PR!$BP$982,IF($S$1183=887,PR!$BP$983,IF($S$1183=888,PR!$BP$984,IF($S$1183=889,PR!$BP$985,IF($S$1183=890,PR!$BP$986,IF($S$1183=891,PR!$BP$987,IF($S$1183=892,PR!$BP$988,IF($S$1183=893,PR!$BP$989,IF($S$1183=894,PR!$BP$990,IF($S$1183=895,PR!$BP$991,IF($S$1183=896,PR!$BP$992,IF($S$1183=897,PR!$BP$993,IF($S$1183=898,PR!$BP$994,IF($S$1183=899,PR!$BP$995,IF($S$1183=900,PR!$BP$996,"-"))))))))))))))))))))))))))))))))))))))))))))))))))))))))))))</f>
        <v>0</v>
      </c>
      <c r="P1196" s="602">
        <f>IF($S$1183=841,PR!$BQ$931,IF($S$1183=842,PR!$BQ$932,IF($S$1183=843,PR!$BQ$933,IF($S$1183=844,PR!$BQ$934,IF($S$1183=845,PR!$BQ$935,IF($S$1183=846,PR!$BQ$942,IF($S$1183=847,PR!$BQ$943,IF($S$1183=848,PR!$BQ$944,IF($S$1183=849,PR!$BQ$945,IF($S$1183=850,PR!$BQ$946,IF($S$1183=851,PR!$BQ$947,IF($S$1183=852,PR!$BQ$948,IF($S$1183=853,PR!$BQ$949,IF($S$1183=854,PR!$BQ$950,IF($S$1183=855,PR!$BQ$951,IF($S$1183=856,PR!$BQ$952,IF($S$1183=857,PR!$BQ$953,IF($S$1183=858,PR!$BQ$954,IF($S$1183=859,PR!$BQ$955,IF($S$1183=860,PR!$BQ$956,IF($S$1183=861,PR!$BQ$957,IF($S$1183=862,PR!$BQ$958,IF($S$1183=863,PR!$BQ$959,IF($S$1183=864,PR!$BQ$960,IF($S$1183=865,PR!$BQ$961,IF($S$1183=866,PR!$BQ$962,IF($S$1183=867,PR!$BQ$963,IF($S$1183=868,PR!$BQ$964,IF($S$1183=869,PR!$BQ$965,IF($S$1183=870,PR!$BQ$966,IF($S$1183=871,PR!$BQ$967,IF($S$1183=872,PR!$BQ$968,IF($S$1183=873,PR!$BQ$969,IF($S$1183=874,PR!$BQ$970,IF($S$1183=875,PR!$BQ$971,IF($S$1183=876,PR!$BQ$972,IF($S$1183=877,PR!$BQ$973,IF($S$1183=878,PR!$BQ$974,IF($S$1183=879,PR!$BQ$975,IF($S$1183=880,PR!$BQ$976,IF($S$1183=881,PR!$BQ$977,IF($S$1183=882,PR!$BQ$978,IF($S$1183=883,PR!$BQ$979,IF($S$1183=884,PR!$BQ$980,IF($S$1183=885,PR!$BQ$981,IF($S$1183=886,PR!$BQ$982,IF($S$1183=887,PR!$BQ$983,IF($S$1183=888,PR!$BQ$984,IF($S$1183=889,PR!$BQ$985,IF($S$1183=890,PR!$BQ$986,IF($S$1183=891,PR!$BQ$987,IF($S$1183=892,PR!$BQ$988,IF($S$1183=893,PR!$BQ$989,IF($S$1183=894,PR!$BQ$990,IF($S$1183=895,PR!$BQ$991,IF($S$1183=896,PR!$BQ$992,IF($S$1183=897,PR!$BQ$993,IF($S$1183=898,PR!$BQ$994,IF($S$1183=899,PR!$BQ$995,IF($S$1183=900,PR!$BQ$996,"-"))))))))))))))))))))))))))))))))))))))))))))))))))))))))))))</f>
        <v>0</v>
      </c>
      <c r="Q1196" s="602">
        <f>IF($S$1183=841,PR!$BR$931,IF($S$1183=842,PR!$BR$932,IF($S$1183=843,PR!$BR$933,IF($S$1183=844,PR!$BR$934,IF($S$1183=845,PR!$BR$935,IF($S$1183=846,PR!$BR$942,IF($S$1183=847,PR!$BR$943,IF($S$1183=848,PR!$BR$944,IF($S$1183=849,PR!$BR$945,IF($S$1183=850,PR!$BR$946,IF($S$1183=851,PR!$BR$947,IF($S$1183=852,PR!$BR$948,IF($S$1183=853,PR!$BR$949,IF($S$1183=854,PR!$BR$950,IF($S$1183=855,PR!$BR$951,IF($S$1183=856,PR!$BR$952,IF($S$1183=857,PR!$BR$953,IF($S$1183=858,PR!$BR$954,IF($S$1183=859,PR!$BR$955,IF($S$1183=860,PR!$BR$956,IF($S$1183=861,PR!$BR$957,IF($S$1183=862,PR!$BR$958,IF($S$1183=863,PR!$BR$959,IF($S$1183=864,PR!$BR$960,IF($S$1183=865,PR!$BR$961,IF($S$1183=866,PR!$BR$962,IF($S$1183=867,PR!$BR$963,IF($S$1183=868,PR!$BR$964,IF($S$1183=869,PR!$BR$965,IF($S$1183=870,PR!$BR$966,IF($S$1183=871,PR!$BR$967,IF($S$1183=872,PR!$BR$968,IF($S$1183=873,PR!$BR$969,IF($S$1183=874,PR!$BR$970,IF($S$1183=875,PR!$BR$971,IF($S$1183=876,PR!$BR$972,IF($S$1183=877,PR!$BR$973,IF($S$1183=878,PR!$BR$974,IF($S$1183=879,PR!$BR$975,IF($S$1183=880,PR!$BR$976,IF($S$1183=881,PR!$BR$977,IF($S$1183=882,PR!$BR$978,IF($S$1183=883,PR!$BR$979,IF($S$1183=884,PR!$BR$980,IF($S$1183=885,PR!$BR$981,IF($S$1183=886,PR!$BR$982,IF($S$1183=887,PR!$BR$983,IF($S$1183=888,PR!$BR$984,IF($S$1183=889,PR!$BR$985,IF($S$1183=890,PR!$BR$986,IF($S$1183=891,PR!$BR$987,IF($S$1183=892,PR!$BR$988,IF($S$1183=893,PR!$BR$989,IF($S$1183=894,PR!$BR$990,IF($S$1183=895,PR!$BR$991,IF($S$1183=896,PR!$BR$992,IF($S$1183=897,PR!$BR$993,IF($S$1183=898,PR!$BR$994,IF($S$1183=899,PR!$BR$995,IF($S$1183=900,PR!$BR$996,"-"))))))))))))))))))))))))))))))))))))))))))))))))))))))))))))</f>
        <v>0</v>
      </c>
      <c r="R1196" s="602">
        <f>IF($S$1183=841,PR!$BS$931,IF($S$1183=842,PR!$BS$932,IF($S$1183=843,PR!$BS$933,IF($S$1183=844,PR!$BS$934,IF($S$1183=845,PR!$BS$935,IF($S$1183=846,PR!$BS$942,IF($S$1183=847,PR!$BS$943,IF($S$1183=848,PR!$BS$944,IF($S$1183=849,PR!$BS$945,IF($S$1183=850,PR!$BS$946,IF($S$1183=851,PR!$BS$947,IF($S$1183=852,PR!$BS$948,IF($S$1183=853,PR!$BS$949,IF($S$1183=854,PR!$BS$950,IF($S$1183=855,PR!$BS$951,IF($S$1183=856,PR!$BS$952,IF($S$1183=857,PR!$BS$953,IF($S$1183=858,PR!$BS$954,IF($S$1183=859,PR!$BS$955,IF($S$1183=860,PR!$BS$956,IF($S$1183=861,PR!$BS$957,IF($S$1183=862,PR!$BS$958,IF($S$1183=863,PR!$BS$959,IF($S$1183=864,PR!$BS$960,IF($S$1183=865,PR!$BS$961,IF($S$1183=866,PR!$BS$962,IF($S$1183=867,PR!$BS$963,IF($S$1183=868,PR!$BS$964,IF($S$1183=869,PR!$BS$965,IF($S$1183=870,PR!$BS$966,IF($S$1183=871,PR!$BS$967,IF($S$1183=872,PR!$BS$968,IF($S$1183=873,PR!$BS$969,IF($S$1183=874,PR!$BS$970,IF($S$1183=875,PR!$BS$971,IF($S$1183=876,PR!$BS$972,IF($S$1183=877,PR!$BS$973,IF($S$1183=878,PR!$BS$974,IF($S$1183=879,PR!$BS$975,IF($S$1183=880,PR!$BS$976,IF($S$1183=881,PR!$BS$977,IF($S$1183=882,PR!$BS$978,IF($S$1183=883,PR!$BS$979,IF($S$1183=884,PR!$BS$980,IF($S$1183=885,PR!$BS$981,IF($S$1183=886,PR!$BS$982,IF($S$1183=887,PR!$BS$983,IF($S$1183=888,PR!$BS$984,IF($S$1183=889,PR!$BS$985,IF($S$1183=890,PR!$BS$986,IF($S$1183=891,PR!$BS$987,IF($S$1183=892,PR!$BS$988,IF($S$1183=893,PR!$BS$989,IF($S$1183=894,PR!$BS$990,IF($S$1183=895,PR!$BS$991,IF($S$1183=896,PR!$BS$992,IF($S$1183=897,PR!$BS$993,IF($S$1183=898,PR!$BS$994,IF($S$1183=899,PR!$BS$995,IF($S$1183=900,PR!$BS$996,"-"))))))))))))))))))))))))))))))))))))))))))))))))))))))))))))</f>
        <v>0</v>
      </c>
      <c r="S1196" s="604"/>
      <c r="T1196" s="580"/>
      <c r="U1196" s="580"/>
      <c r="V1196" s="32"/>
      <c r="W1196" s="32"/>
      <c r="X1196" s="32"/>
    </row>
    <row r="1197" spans="2:24" ht="11.25" customHeight="1" x14ac:dyDescent="0.25">
      <c r="B1197" s="580"/>
      <c r="C1197" s="593"/>
      <c r="D1197" s="580"/>
      <c r="E1197" s="580"/>
      <c r="F1197" s="580"/>
      <c r="G1197" s="580"/>
      <c r="H1197" s="580"/>
      <c r="I1197" s="580"/>
      <c r="J1197" s="580"/>
      <c r="K1197" s="580"/>
      <c r="L1197" s="580"/>
      <c r="M1197" s="580"/>
      <c r="N1197" s="580"/>
      <c r="O1197" s="580"/>
      <c r="P1197" s="580"/>
      <c r="Q1197" s="580"/>
      <c r="R1197" s="583"/>
      <c r="S1197" s="580"/>
      <c r="T1197" s="580"/>
      <c r="U1197" s="580"/>
      <c r="V1197" s="32"/>
      <c r="W1197" s="32"/>
      <c r="X1197" s="32"/>
    </row>
    <row r="1198" spans="2:24" ht="30" x14ac:dyDescent="0.25">
      <c r="B1198" s="580"/>
      <c r="C1198" s="593"/>
      <c r="D1198" s="580"/>
      <c r="E1198" s="580"/>
      <c r="F1198" s="580"/>
      <c r="G1198" s="580"/>
      <c r="H1198" s="580"/>
      <c r="I1198" s="580"/>
      <c r="J1198" s="580"/>
      <c r="K1198" s="597" t="s">
        <v>783</v>
      </c>
      <c r="L1198" s="598" t="s">
        <v>418</v>
      </c>
      <c r="M1198" s="598" t="s">
        <v>419</v>
      </c>
      <c r="N1198" s="599" t="s">
        <v>420</v>
      </c>
      <c r="O1198" s="580"/>
      <c r="P1198" s="580"/>
      <c r="Q1198" s="580"/>
      <c r="R1198" s="580"/>
      <c r="S1198" s="580"/>
      <c r="T1198" s="580"/>
      <c r="U1198" s="580"/>
      <c r="V1198" s="32"/>
      <c r="W1198" s="32"/>
      <c r="X1198" s="32"/>
    </row>
    <row r="1199" spans="2:24" x14ac:dyDescent="0.25">
      <c r="B1199" s="580"/>
      <c r="C1199" s="593"/>
      <c r="D1199" s="580"/>
      <c r="E1199" s="580"/>
      <c r="F1199" s="580"/>
      <c r="G1199" s="580"/>
      <c r="H1199" s="580"/>
      <c r="I1199" s="580"/>
      <c r="J1199" s="580"/>
      <c r="K1199" s="583" t="s">
        <v>785</v>
      </c>
      <c r="L1199" s="580"/>
      <c r="M1199" s="580"/>
      <c r="N1199" s="580"/>
      <c r="O1199" s="580"/>
      <c r="P1199" s="580"/>
      <c r="Q1199" s="580"/>
      <c r="R1199" s="580"/>
      <c r="S1199" s="580"/>
      <c r="T1199" s="580"/>
      <c r="U1199" s="580"/>
      <c r="V1199" s="32"/>
      <c r="W1199" s="32"/>
      <c r="X1199" s="32"/>
    </row>
    <row r="1200" spans="2:24" x14ac:dyDescent="0.25">
      <c r="B1200" s="32"/>
      <c r="C1200" s="96"/>
      <c r="D1200" s="32"/>
      <c r="E1200" s="32"/>
      <c r="F1200" s="32"/>
      <c r="G1200" s="32"/>
      <c r="H1200" s="32"/>
      <c r="I1200" s="32"/>
      <c r="J1200" s="32"/>
      <c r="K1200" s="97">
        <v>841</v>
      </c>
      <c r="L1200" s="98" t="s">
        <v>626</v>
      </c>
      <c r="M1200" s="99" t="s">
        <v>1461</v>
      </c>
      <c r="N1200" s="100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</row>
    <row r="1201" spans="2:24" x14ac:dyDescent="0.25">
      <c r="B1201" s="32"/>
      <c r="C1201" s="32"/>
      <c r="D1201" s="32"/>
      <c r="E1201" s="32"/>
      <c r="F1201" s="32"/>
      <c r="G1201" s="32"/>
      <c r="H1201" s="32"/>
      <c r="I1201" s="32"/>
      <c r="J1201" s="32"/>
      <c r="K1201" s="97">
        <f>1+K1200</f>
        <v>842</v>
      </c>
      <c r="L1201" s="98" t="s">
        <v>626</v>
      </c>
      <c r="M1201" s="99" t="s">
        <v>1463</v>
      </c>
      <c r="N1201" s="100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</row>
    <row r="1202" spans="2:24" x14ac:dyDescent="0.25">
      <c r="B1202" s="32"/>
      <c r="C1202" s="32"/>
      <c r="D1202" s="32"/>
      <c r="E1202" s="32"/>
      <c r="F1202" s="32"/>
      <c r="G1202" s="32"/>
      <c r="H1202" s="32"/>
      <c r="I1202" s="32"/>
      <c r="J1202" s="32"/>
      <c r="K1202" s="97">
        <f t="shared" ref="K1202:K1259" si="15">1+K1201</f>
        <v>843</v>
      </c>
      <c r="L1202" s="98" t="s">
        <v>817</v>
      </c>
      <c r="M1202" s="99" t="s">
        <v>626</v>
      </c>
      <c r="N1202" s="100" t="s">
        <v>1452</v>
      </c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</row>
    <row r="1203" spans="2:24" x14ac:dyDescent="0.25">
      <c r="B1203" s="32"/>
      <c r="C1203" s="32"/>
      <c r="D1203" s="32"/>
      <c r="E1203" s="32"/>
      <c r="F1203" s="32"/>
      <c r="G1203" s="32"/>
      <c r="H1203" s="32"/>
      <c r="I1203" s="32"/>
      <c r="J1203" s="32"/>
      <c r="K1203" s="97">
        <f t="shared" si="15"/>
        <v>844</v>
      </c>
      <c r="L1203" s="98" t="s">
        <v>626</v>
      </c>
      <c r="M1203" s="99"/>
      <c r="N1203" s="100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</row>
    <row r="1204" spans="2:24" x14ac:dyDescent="0.25">
      <c r="B1204" s="32"/>
      <c r="C1204" s="32"/>
      <c r="D1204" s="32"/>
      <c r="E1204" s="32"/>
      <c r="F1204" s="32"/>
      <c r="G1204" s="32"/>
      <c r="H1204" s="32"/>
      <c r="I1204" s="32"/>
      <c r="J1204" s="32"/>
      <c r="K1204" s="97">
        <f t="shared" si="15"/>
        <v>845</v>
      </c>
      <c r="L1204" s="98" t="s">
        <v>1461</v>
      </c>
      <c r="M1204" s="99" t="s">
        <v>626</v>
      </c>
      <c r="N1204" s="100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</row>
    <row r="1205" spans="2:24" x14ac:dyDescent="0.25">
      <c r="B1205" s="32"/>
      <c r="C1205" s="32"/>
      <c r="D1205" s="32"/>
      <c r="E1205" s="32"/>
      <c r="F1205" s="32"/>
      <c r="G1205" s="32"/>
      <c r="H1205" s="32"/>
      <c r="I1205" s="32"/>
      <c r="J1205" s="32"/>
      <c r="K1205" s="97">
        <f t="shared" si="15"/>
        <v>846</v>
      </c>
      <c r="L1205" s="98" t="s">
        <v>1459</v>
      </c>
      <c r="M1205" s="99" t="s">
        <v>1463</v>
      </c>
      <c r="N1205" s="100" t="s">
        <v>817</v>
      </c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</row>
    <row r="1206" spans="2:24" x14ac:dyDescent="0.25">
      <c r="B1206" s="32"/>
      <c r="C1206" s="32"/>
      <c r="D1206" s="32"/>
      <c r="E1206" s="32"/>
      <c r="F1206" s="32"/>
      <c r="G1206" s="32"/>
      <c r="H1206" s="32"/>
      <c r="I1206" s="32"/>
      <c r="J1206" s="32"/>
      <c r="K1206" s="97">
        <f t="shared" si="15"/>
        <v>847</v>
      </c>
      <c r="L1206" s="98" t="s">
        <v>1463</v>
      </c>
      <c r="M1206" s="99" t="s">
        <v>1459</v>
      </c>
      <c r="N1206" s="100" t="s">
        <v>817</v>
      </c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</row>
    <row r="1207" spans="2:24" x14ac:dyDescent="0.25">
      <c r="B1207" s="32"/>
      <c r="C1207" s="32"/>
      <c r="D1207" s="32"/>
      <c r="E1207" s="32"/>
      <c r="F1207" s="32"/>
      <c r="G1207" s="32"/>
      <c r="H1207" s="32"/>
      <c r="I1207" s="32"/>
      <c r="J1207" s="32"/>
      <c r="K1207" s="97">
        <f t="shared" si="15"/>
        <v>848</v>
      </c>
      <c r="L1207" s="98" t="s">
        <v>626</v>
      </c>
      <c r="M1207" s="99" t="s">
        <v>817</v>
      </c>
      <c r="N1207" s="100" t="s">
        <v>1463</v>
      </c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</row>
    <row r="1208" spans="2:24" x14ac:dyDescent="0.25">
      <c r="B1208" s="32"/>
      <c r="C1208" s="32"/>
      <c r="D1208" s="32"/>
      <c r="E1208" s="32"/>
      <c r="F1208" s="32"/>
      <c r="G1208" s="32"/>
      <c r="H1208" s="32"/>
      <c r="I1208" s="32"/>
      <c r="J1208" s="32"/>
      <c r="K1208" s="97">
        <f t="shared" si="15"/>
        <v>849</v>
      </c>
      <c r="L1208" s="98" t="s">
        <v>1463</v>
      </c>
      <c r="M1208" s="99" t="s">
        <v>1452</v>
      </c>
      <c r="N1208" s="100" t="s">
        <v>1459</v>
      </c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</row>
    <row r="1209" spans="2:24" x14ac:dyDescent="0.25">
      <c r="B1209" s="32"/>
      <c r="C1209" s="32"/>
      <c r="D1209" s="32"/>
      <c r="E1209" s="32"/>
      <c r="F1209" s="32"/>
      <c r="G1209" s="32"/>
      <c r="H1209" s="32"/>
      <c r="I1209" s="32"/>
      <c r="J1209" s="32"/>
      <c r="K1209" s="97">
        <f t="shared" si="15"/>
        <v>850</v>
      </c>
      <c r="L1209" s="98" t="s">
        <v>1452</v>
      </c>
      <c r="M1209" s="99" t="s">
        <v>817</v>
      </c>
      <c r="N1209" s="100" t="s">
        <v>626</v>
      </c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</row>
    <row r="1210" spans="2:24" x14ac:dyDescent="0.25">
      <c r="B1210" s="32"/>
      <c r="C1210" s="32"/>
      <c r="D1210" s="32"/>
      <c r="E1210" s="32"/>
      <c r="F1210" s="32"/>
      <c r="G1210" s="32"/>
      <c r="H1210" s="32"/>
      <c r="I1210" s="32"/>
      <c r="J1210" s="32"/>
      <c r="K1210" s="97">
        <f t="shared" si="15"/>
        <v>851</v>
      </c>
      <c r="L1210" s="98" t="s">
        <v>1452</v>
      </c>
      <c r="M1210" s="99" t="s">
        <v>1463</v>
      </c>
      <c r="N1210" s="100" t="s">
        <v>817</v>
      </c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</row>
    <row r="1211" spans="2:24" x14ac:dyDescent="0.25">
      <c r="B1211" s="32"/>
      <c r="C1211" s="32"/>
      <c r="D1211" s="32"/>
      <c r="E1211" s="32"/>
      <c r="F1211" s="32"/>
      <c r="G1211" s="32"/>
      <c r="H1211" s="32"/>
      <c r="I1211" s="32"/>
      <c r="J1211" s="32"/>
      <c r="K1211" s="97">
        <f t="shared" si="15"/>
        <v>852</v>
      </c>
      <c r="L1211" s="98" t="s">
        <v>1463</v>
      </c>
      <c r="M1211" s="99" t="s">
        <v>817</v>
      </c>
      <c r="N1211" s="100" t="s">
        <v>1461</v>
      </c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</row>
    <row r="1212" spans="2:24" x14ac:dyDescent="0.25">
      <c r="B1212" s="32"/>
      <c r="C1212" s="32"/>
      <c r="D1212" s="32"/>
      <c r="E1212" s="32"/>
      <c r="F1212" s="32"/>
      <c r="G1212" s="32"/>
      <c r="H1212" s="32"/>
      <c r="I1212" s="32"/>
      <c r="J1212" s="32"/>
      <c r="K1212" s="97">
        <f t="shared" si="15"/>
        <v>853</v>
      </c>
      <c r="L1212" s="98" t="s">
        <v>1461</v>
      </c>
      <c r="M1212" s="99" t="s">
        <v>1452</v>
      </c>
      <c r="N1212" s="100" t="s">
        <v>626</v>
      </c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</row>
    <row r="1213" spans="2:24" x14ac:dyDescent="0.25">
      <c r="B1213" s="32"/>
      <c r="C1213" s="32"/>
      <c r="D1213" s="32"/>
      <c r="E1213" s="32"/>
      <c r="F1213" s="32"/>
      <c r="G1213" s="32"/>
      <c r="H1213" s="32"/>
      <c r="I1213" s="32"/>
      <c r="J1213" s="32"/>
      <c r="K1213" s="97">
        <f t="shared" si="15"/>
        <v>854</v>
      </c>
      <c r="L1213" s="98" t="s">
        <v>1452</v>
      </c>
      <c r="M1213" s="99" t="s">
        <v>626</v>
      </c>
      <c r="N1213" s="100" t="s">
        <v>1463</v>
      </c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</row>
    <row r="1214" spans="2:24" x14ac:dyDescent="0.25">
      <c r="B1214" s="32"/>
      <c r="C1214" s="32"/>
      <c r="D1214" s="32"/>
      <c r="E1214" s="32"/>
      <c r="F1214" s="32"/>
      <c r="G1214" s="32"/>
      <c r="H1214" s="32"/>
      <c r="I1214" s="32"/>
      <c r="J1214" s="32"/>
      <c r="K1214" s="97">
        <f t="shared" si="15"/>
        <v>855</v>
      </c>
      <c r="L1214" s="98" t="s">
        <v>1463</v>
      </c>
      <c r="M1214" s="99" t="s">
        <v>626</v>
      </c>
      <c r="N1214" s="100" t="s">
        <v>1452</v>
      </c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</row>
    <row r="1215" spans="2:24" x14ac:dyDescent="0.25">
      <c r="B1215" s="32"/>
      <c r="C1215" s="32"/>
      <c r="D1215" s="32"/>
      <c r="E1215" s="32"/>
      <c r="F1215" s="32"/>
      <c r="G1215" s="32"/>
      <c r="H1215" s="32"/>
      <c r="I1215" s="32"/>
      <c r="J1215" s="32"/>
      <c r="K1215" s="97">
        <f t="shared" si="15"/>
        <v>856</v>
      </c>
      <c r="L1215" s="98" t="s">
        <v>1463</v>
      </c>
      <c r="M1215" s="99" t="s">
        <v>626</v>
      </c>
      <c r="N1215" s="100" t="s">
        <v>1459</v>
      </c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</row>
    <row r="1216" spans="2:24" x14ac:dyDescent="0.25">
      <c r="B1216" s="32"/>
      <c r="C1216" s="32"/>
      <c r="D1216" s="32"/>
      <c r="E1216" s="32"/>
      <c r="F1216" s="32"/>
      <c r="G1216" s="32"/>
      <c r="H1216" s="32"/>
      <c r="I1216" s="32"/>
      <c r="J1216" s="32"/>
      <c r="K1216" s="97">
        <f t="shared" si="15"/>
        <v>857</v>
      </c>
      <c r="L1216" s="98" t="s">
        <v>1459</v>
      </c>
      <c r="M1216" s="99" t="s">
        <v>1452</v>
      </c>
      <c r="N1216" s="100" t="s">
        <v>626</v>
      </c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</row>
    <row r="1217" spans="2:24" x14ac:dyDescent="0.25">
      <c r="B1217" s="32"/>
      <c r="C1217" s="32"/>
      <c r="D1217" s="32"/>
      <c r="E1217" s="32"/>
      <c r="F1217" s="32"/>
      <c r="G1217" s="32"/>
      <c r="H1217" s="32"/>
      <c r="I1217" s="32"/>
      <c r="J1217" s="32"/>
      <c r="K1217" s="97">
        <f t="shared" si="15"/>
        <v>858</v>
      </c>
      <c r="L1217" s="98" t="s">
        <v>817</v>
      </c>
      <c r="M1217" s="99" t="s">
        <v>1461</v>
      </c>
      <c r="N1217" s="100" t="s">
        <v>825</v>
      </c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</row>
    <row r="1218" spans="2:24" x14ac:dyDescent="0.25">
      <c r="B1218" s="32"/>
      <c r="C1218" s="32"/>
      <c r="D1218" s="32"/>
      <c r="E1218" s="32"/>
      <c r="F1218" s="32"/>
      <c r="G1218" s="32"/>
      <c r="H1218" s="32"/>
      <c r="I1218" s="32"/>
      <c r="J1218" s="32"/>
      <c r="K1218" s="97">
        <f t="shared" si="15"/>
        <v>859</v>
      </c>
      <c r="L1218" s="98" t="s">
        <v>1452</v>
      </c>
      <c r="M1218" s="99" t="s">
        <v>817</v>
      </c>
      <c r="N1218" s="100" t="s">
        <v>626</v>
      </c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</row>
    <row r="1219" spans="2:24" x14ac:dyDescent="0.25">
      <c r="B1219" s="32"/>
      <c r="C1219" s="32"/>
      <c r="D1219" s="32"/>
      <c r="E1219" s="32"/>
      <c r="F1219" s="32"/>
      <c r="G1219" s="32"/>
      <c r="H1219" s="32"/>
      <c r="I1219" s="32"/>
      <c r="J1219" s="32"/>
      <c r="K1219" s="97">
        <f t="shared" si="15"/>
        <v>860</v>
      </c>
      <c r="L1219" s="98" t="s">
        <v>1452</v>
      </c>
      <c r="M1219" s="99" t="s">
        <v>1459</v>
      </c>
      <c r="N1219" s="100" t="s">
        <v>626</v>
      </c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</row>
    <row r="1220" spans="2:24" x14ac:dyDescent="0.25">
      <c r="B1220" s="32"/>
      <c r="C1220" s="32"/>
      <c r="D1220" s="32"/>
      <c r="E1220" s="32"/>
      <c r="F1220" s="32"/>
      <c r="G1220" s="32"/>
      <c r="H1220" s="32"/>
      <c r="I1220" s="32"/>
      <c r="J1220" s="32"/>
      <c r="K1220" s="97">
        <f t="shared" si="15"/>
        <v>861</v>
      </c>
      <c r="L1220" s="98" t="s">
        <v>1452</v>
      </c>
      <c r="M1220" s="99" t="s">
        <v>817</v>
      </c>
      <c r="N1220" s="100" t="s">
        <v>1459</v>
      </c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</row>
    <row r="1221" spans="2:24" x14ac:dyDescent="0.25">
      <c r="B1221" s="32"/>
      <c r="C1221" s="32"/>
      <c r="D1221" s="32"/>
      <c r="E1221" s="32"/>
      <c r="F1221" s="32"/>
      <c r="G1221" s="32"/>
      <c r="H1221" s="32"/>
      <c r="I1221" s="32"/>
      <c r="J1221" s="32"/>
      <c r="K1221" s="97">
        <f t="shared" si="15"/>
        <v>862</v>
      </c>
      <c r="L1221" s="98" t="s">
        <v>1452</v>
      </c>
      <c r="M1221" s="99"/>
      <c r="N1221" s="100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</row>
    <row r="1222" spans="2:24" x14ac:dyDescent="0.25">
      <c r="B1222" s="32"/>
      <c r="C1222" s="32"/>
      <c r="D1222" s="32"/>
      <c r="E1222" s="32"/>
      <c r="F1222" s="32"/>
      <c r="G1222" s="32"/>
      <c r="H1222" s="32"/>
      <c r="I1222" s="32"/>
      <c r="J1222" s="32"/>
      <c r="K1222" s="97">
        <f t="shared" si="15"/>
        <v>863</v>
      </c>
      <c r="L1222" s="98" t="s">
        <v>1461</v>
      </c>
      <c r="M1222" s="99" t="s">
        <v>1452</v>
      </c>
      <c r="N1222" s="100" t="s">
        <v>817</v>
      </c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</row>
    <row r="1223" spans="2:24" x14ac:dyDescent="0.25">
      <c r="B1223" s="32"/>
      <c r="C1223" s="32"/>
      <c r="D1223" s="32"/>
      <c r="E1223" s="32"/>
      <c r="F1223" s="32"/>
      <c r="G1223" s="32"/>
      <c r="H1223" s="32"/>
      <c r="I1223" s="32"/>
      <c r="J1223" s="32"/>
      <c r="K1223" s="97">
        <f t="shared" si="15"/>
        <v>864</v>
      </c>
      <c r="L1223" s="98" t="s">
        <v>1459</v>
      </c>
      <c r="M1223" s="99"/>
      <c r="N1223" s="100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</row>
    <row r="1224" spans="2:24" x14ac:dyDescent="0.25">
      <c r="B1224" s="32"/>
      <c r="C1224" s="32"/>
      <c r="D1224" s="32"/>
      <c r="E1224" s="32"/>
      <c r="F1224" s="32"/>
      <c r="G1224" s="32"/>
      <c r="H1224" s="32"/>
      <c r="I1224" s="32"/>
      <c r="J1224" s="32"/>
      <c r="K1224" s="97">
        <f t="shared" si="15"/>
        <v>865</v>
      </c>
      <c r="L1224" s="98" t="s">
        <v>825</v>
      </c>
      <c r="M1224" s="99" t="s">
        <v>817</v>
      </c>
      <c r="N1224" s="100" t="s">
        <v>626</v>
      </c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</row>
    <row r="1225" spans="2:24" x14ac:dyDescent="0.25">
      <c r="B1225" s="32"/>
      <c r="C1225" s="32"/>
      <c r="D1225" s="32"/>
      <c r="E1225" s="32"/>
      <c r="F1225" s="32"/>
      <c r="G1225" s="32"/>
      <c r="H1225" s="32"/>
      <c r="I1225" s="32"/>
      <c r="J1225" s="32"/>
      <c r="K1225" s="97">
        <f t="shared" si="15"/>
        <v>866</v>
      </c>
      <c r="L1225" s="98" t="s">
        <v>817</v>
      </c>
      <c r="M1225" s="99" t="s">
        <v>626</v>
      </c>
      <c r="N1225" s="100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</row>
    <row r="1226" spans="2:24" x14ac:dyDescent="0.25">
      <c r="B1226" s="32"/>
      <c r="C1226" s="32"/>
      <c r="D1226" s="32"/>
      <c r="E1226" s="32"/>
      <c r="F1226" s="32"/>
      <c r="G1226" s="32"/>
      <c r="H1226" s="32"/>
      <c r="I1226" s="32"/>
      <c r="J1226" s="32"/>
      <c r="K1226" s="97">
        <f t="shared" si="15"/>
        <v>867</v>
      </c>
      <c r="L1226" s="98" t="s">
        <v>817</v>
      </c>
      <c r="M1226" s="99" t="s">
        <v>626</v>
      </c>
      <c r="N1226" s="100" t="s">
        <v>1452</v>
      </c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</row>
    <row r="1227" spans="2:24" x14ac:dyDescent="0.25">
      <c r="B1227" s="32"/>
      <c r="C1227" s="32"/>
      <c r="D1227" s="32"/>
      <c r="E1227" s="32"/>
      <c r="F1227" s="32"/>
      <c r="G1227" s="32"/>
      <c r="H1227" s="32"/>
      <c r="I1227" s="32"/>
      <c r="J1227" s="32"/>
      <c r="K1227" s="97">
        <f t="shared" si="15"/>
        <v>868</v>
      </c>
      <c r="L1227" s="98" t="s">
        <v>817</v>
      </c>
      <c r="M1227" s="99" t="s">
        <v>626</v>
      </c>
      <c r="N1227" s="100" t="s">
        <v>1463</v>
      </c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</row>
    <row r="1228" spans="2:24" x14ac:dyDescent="0.25">
      <c r="B1228" s="32"/>
      <c r="C1228" s="32"/>
      <c r="D1228" s="32"/>
      <c r="E1228" s="32"/>
      <c r="F1228" s="32"/>
      <c r="G1228" s="32"/>
      <c r="H1228" s="32"/>
      <c r="I1228" s="32"/>
      <c r="J1228" s="32"/>
      <c r="K1228" s="97">
        <f t="shared" si="15"/>
        <v>869</v>
      </c>
      <c r="L1228" s="98" t="s">
        <v>825</v>
      </c>
      <c r="M1228" s="99" t="s">
        <v>1452</v>
      </c>
      <c r="N1228" s="100" t="s">
        <v>626</v>
      </c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</row>
    <row r="1229" spans="2:24" x14ac:dyDescent="0.25">
      <c r="B1229" s="32"/>
      <c r="C1229" s="32"/>
      <c r="D1229" s="32"/>
      <c r="E1229" s="32"/>
      <c r="F1229" s="32"/>
      <c r="G1229" s="32"/>
      <c r="H1229" s="32"/>
      <c r="I1229" s="32"/>
      <c r="J1229" s="32"/>
      <c r="K1229" s="97">
        <f t="shared" si="15"/>
        <v>870</v>
      </c>
      <c r="L1229" s="98" t="s">
        <v>825</v>
      </c>
      <c r="M1229" s="99" t="s">
        <v>1452</v>
      </c>
      <c r="N1229" s="100" t="s">
        <v>626</v>
      </c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</row>
    <row r="1230" spans="2:24" x14ac:dyDescent="0.25">
      <c r="B1230" s="32"/>
      <c r="C1230" s="32"/>
      <c r="D1230" s="32"/>
      <c r="E1230" s="32"/>
      <c r="F1230" s="32"/>
      <c r="G1230" s="32"/>
      <c r="H1230" s="32"/>
      <c r="I1230" s="32"/>
      <c r="J1230" s="32"/>
      <c r="K1230" s="97">
        <f t="shared" si="15"/>
        <v>871</v>
      </c>
      <c r="L1230" s="98" t="s">
        <v>1459</v>
      </c>
      <c r="M1230" s="99" t="s">
        <v>1461</v>
      </c>
      <c r="N1230" s="100" t="s">
        <v>817</v>
      </c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</row>
    <row r="1231" spans="2:24" x14ac:dyDescent="0.25">
      <c r="B1231" s="32"/>
      <c r="C1231" s="32"/>
      <c r="D1231" s="32"/>
      <c r="E1231" s="32"/>
      <c r="F1231" s="32"/>
      <c r="G1231" s="32"/>
      <c r="H1231" s="32"/>
      <c r="I1231" s="32"/>
      <c r="J1231" s="32"/>
      <c r="K1231" s="97">
        <f t="shared" si="15"/>
        <v>872</v>
      </c>
      <c r="L1231" s="98" t="s">
        <v>817</v>
      </c>
      <c r="M1231" s="99" t="s">
        <v>1463</v>
      </c>
      <c r="N1231" s="100" t="s">
        <v>1459</v>
      </c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</row>
    <row r="1232" spans="2:24" x14ac:dyDescent="0.25">
      <c r="B1232" s="32"/>
      <c r="C1232" s="32"/>
      <c r="D1232" s="32"/>
      <c r="E1232" s="32"/>
      <c r="F1232" s="32"/>
      <c r="G1232" s="32"/>
      <c r="H1232" s="32"/>
      <c r="I1232" s="32"/>
      <c r="J1232" s="32"/>
      <c r="K1232" s="97">
        <f t="shared" si="15"/>
        <v>873</v>
      </c>
      <c r="L1232" s="98" t="s">
        <v>1459</v>
      </c>
      <c r="M1232" s="99" t="s">
        <v>1461</v>
      </c>
      <c r="N1232" s="100" t="s">
        <v>817</v>
      </c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</row>
    <row r="1233" spans="2:24" x14ac:dyDescent="0.25">
      <c r="B1233" s="32"/>
      <c r="C1233" s="32"/>
      <c r="D1233" s="32"/>
      <c r="E1233" s="32"/>
      <c r="F1233" s="32"/>
      <c r="G1233" s="32"/>
      <c r="H1233" s="32"/>
      <c r="I1233" s="32"/>
      <c r="J1233" s="32"/>
      <c r="K1233" s="97">
        <f t="shared" si="15"/>
        <v>874</v>
      </c>
      <c r="L1233" s="98" t="s">
        <v>817</v>
      </c>
      <c r="M1233" s="99" t="s">
        <v>626</v>
      </c>
      <c r="N1233" s="100" t="s">
        <v>1459</v>
      </c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</row>
    <row r="1234" spans="2:24" x14ac:dyDescent="0.25">
      <c r="B1234" s="32"/>
      <c r="C1234" s="32"/>
      <c r="D1234" s="32"/>
      <c r="E1234" s="32"/>
      <c r="F1234" s="32"/>
      <c r="G1234" s="32"/>
      <c r="H1234" s="32"/>
      <c r="I1234" s="32"/>
      <c r="J1234" s="32"/>
      <c r="K1234" s="97">
        <f t="shared" si="15"/>
        <v>875</v>
      </c>
      <c r="L1234" s="98" t="s">
        <v>817</v>
      </c>
      <c r="M1234" s="99" t="s">
        <v>1463</v>
      </c>
      <c r="N1234" s="100" t="s">
        <v>1459</v>
      </c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</row>
    <row r="1235" spans="2:24" x14ac:dyDescent="0.25">
      <c r="B1235" s="32"/>
      <c r="C1235" s="32"/>
      <c r="D1235" s="32"/>
      <c r="E1235" s="32"/>
      <c r="F1235" s="32"/>
      <c r="G1235" s="32"/>
      <c r="H1235" s="32"/>
      <c r="I1235" s="32"/>
      <c r="J1235" s="32"/>
      <c r="K1235" s="97">
        <f t="shared" si="15"/>
        <v>876</v>
      </c>
      <c r="L1235" s="98" t="s">
        <v>825</v>
      </c>
      <c r="M1235" s="99" t="s">
        <v>817</v>
      </c>
      <c r="N1235" s="100" t="s">
        <v>1463</v>
      </c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</row>
    <row r="1236" spans="2:24" x14ac:dyDescent="0.25">
      <c r="B1236" s="32"/>
      <c r="C1236" s="32"/>
      <c r="D1236" s="32"/>
      <c r="E1236" s="32"/>
      <c r="F1236" s="32"/>
      <c r="G1236" s="32"/>
      <c r="H1236" s="32"/>
      <c r="I1236" s="32"/>
      <c r="J1236" s="32"/>
      <c r="K1236" s="97">
        <f t="shared" si="15"/>
        <v>877</v>
      </c>
      <c r="L1236" s="98" t="s">
        <v>1463</v>
      </c>
      <c r="M1236" s="99" t="s">
        <v>1459</v>
      </c>
      <c r="N1236" s="100" t="s">
        <v>626</v>
      </c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</row>
    <row r="1237" spans="2:24" x14ac:dyDescent="0.25">
      <c r="B1237" s="32"/>
      <c r="C1237" s="32"/>
      <c r="D1237" s="32"/>
      <c r="E1237" s="32"/>
      <c r="F1237" s="32"/>
      <c r="G1237" s="32"/>
      <c r="H1237" s="32"/>
      <c r="I1237" s="32"/>
      <c r="J1237" s="32"/>
      <c r="K1237" s="97">
        <f t="shared" si="15"/>
        <v>878</v>
      </c>
      <c r="L1237" s="98" t="s">
        <v>1463</v>
      </c>
      <c r="M1237" s="99" t="s">
        <v>626</v>
      </c>
      <c r="N1237" s="100" t="s">
        <v>817</v>
      </c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</row>
    <row r="1238" spans="2:24" x14ac:dyDescent="0.25">
      <c r="B1238" s="32"/>
      <c r="C1238" s="32"/>
      <c r="D1238" s="32"/>
      <c r="E1238" s="32"/>
      <c r="F1238" s="32"/>
      <c r="G1238" s="32"/>
      <c r="H1238" s="32"/>
      <c r="I1238" s="32"/>
      <c r="J1238" s="32"/>
      <c r="K1238" s="97">
        <f t="shared" si="15"/>
        <v>879</v>
      </c>
      <c r="L1238" s="98" t="s">
        <v>1461</v>
      </c>
      <c r="M1238" s="99" t="s">
        <v>817</v>
      </c>
      <c r="N1238" s="100" t="s">
        <v>626</v>
      </c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</row>
    <row r="1239" spans="2:24" x14ac:dyDescent="0.25">
      <c r="B1239" s="32"/>
      <c r="C1239" s="32"/>
      <c r="D1239" s="32"/>
      <c r="E1239" s="32"/>
      <c r="F1239" s="32"/>
      <c r="G1239" s="32"/>
      <c r="H1239" s="32"/>
      <c r="I1239" s="32"/>
      <c r="J1239" s="32"/>
      <c r="K1239" s="97">
        <f t="shared" si="15"/>
        <v>880</v>
      </c>
      <c r="L1239" s="98" t="s">
        <v>1461</v>
      </c>
      <c r="M1239" s="99" t="s">
        <v>817</v>
      </c>
      <c r="N1239" s="100" t="s">
        <v>1459</v>
      </c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</row>
    <row r="1240" spans="2:24" x14ac:dyDescent="0.25">
      <c r="B1240" s="32"/>
      <c r="C1240" s="32"/>
      <c r="D1240" s="32"/>
      <c r="E1240" s="32"/>
      <c r="F1240" s="32"/>
      <c r="G1240" s="32"/>
      <c r="H1240" s="32"/>
      <c r="I1240" s="32"/>
      <c r="J1240" s="32"/>
      <c r="K1240" s="97">
        <f t="shared" si="15"/>
        <v>881</v>
      </c>
      <c r="L1240" s="98" t="s">
        <v>626</v>
      </c>
      <c r="M1240" s="99" t="s">
        <v>1452</v>
      </c>
      <c r="N1240" s="100" t="s">
        <v>817</v>
      </c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</row>
    <row r="1241" spans="2:24" x14ac:dyDescent="0.25">
      <c r="B1241" s="32"/>
      <c r="C1241" s="32"/>
      <c r="D1241" s="32"/>
      <c r="E1241" s="32"/>
      <c r="F1241" s="32"/>
      <c r="G1241" s="32"/>
      <c r="H1241" s="32"/>
      <c r="I1241" s="32"/>
      <c r="J1241" s="32"/>
      <c r="K1241" s="97">
        <f t="shared" si="15"/>
        <v>882</v>
      </c>
      <c r="L1241" s="98" t="s">
        <v>626</v>
      </c>
      <c r="M1241" s="99" t="s">
        <v>1459</v>
      </c>
      <c r="N1241" s="100" t="s">
        <v>817</v>
      </c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</row>
    <row r="1242" spans="2:24" x14ac:dyDescent="0.25">
      <c r="B1242" s="32"/>
      <c r="C1242" s="32"/>
      <c r="D1242" s="32"/>
      <c r="E1242" s="32"/>
      <c r="F1242" s="32"/>
      <c r="G1242" s="32"/>
      <c r="H1242" s="32"/>
      <c r="I1242" s="32"/>
      <c r="J1242" s="32"/>
      <c r="K1242" s="97">
        <f t="shared" si="15"/>
        <v>883</v>
      </c>
      <c r="L1242" s="98" t="s">
        <v>1463</v>
      </c>
      <c r="M1242" s="99" t="s">
        <v>817</v>
      </c>
      <c r="N1242" s="100" t="s">
        <v>825</v>
      </c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</row>
    <row r="1243" spans="2:24" x14ac:dyDescent="0.25">
      <c r="B1243" s="32"/>
      <c r="C1243" s="32"/>
      <c r="D1243" s="32"/>
      <c r="E1243" s="32"/>
      <c r="F1243" s="32"/>
      <c r="G1243" s="32"/>
      <c r="H1243" s="32"/>
      <c r="I1243" s="32"/>
      <c r="J1243" s="32"/>
      <c r="K1243" s="97">
        <f t="shared" si="15"/>
        <v>884</v>
      </c>
      <c r="L1243" s="98" t="s">
        <v>1463</v>
      </c>
      <c r="M1243" s="99" t="s">
        <v>1452</v>
      </c>
      <c r="N1243" s="100" t="s">
        <v>626</v>
      </c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</row>
    <row r="1244" spans="2:24" x14ac:dyDescent="0.25">
      <c r="B1244" s="32"/>
      <c r="C1244" s="32"/>
      <c r="D1244" s="32"/>
      <c r="E1244" s="32"/>
      <c r="F1244" s="32"/>
      <c r="G1244" s="32"/>
      <c r="H1244" s="32"/>
      <c r="I1244" s="32"/>
      <c r="J1244" s="32"/>
      <c r="K1244" s="97">
        <f t="shared" si="15"/>
        <v>885</v>
      </c>
      <c r="L1244" s="98" t="s">
        <v>1461</v>
      </c>
      <c r="M1244" s="99" t="s">
        <v>626</v>
      </c>
      <c r="N1244" s="100" t="s">
        <v>817</v>
      </c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</row>
    <row r="1245" spans="2:24" x14ac:dyDescent="0.25">
      <c r="B1245" s="32"/>
      <c r="C1245" s="32"/>
      <c r="D1245" s="32"/>
      <c r="E1245" s="32"/>
      <c r="F1245" s="32"/>
      <c r="G1245" s="32"/>
      <c r="H1245" s="32"/>
      <c r="I1245" s="32"/>
      <c r="J1245" s="32"/>
      <c r="K1245" s="97">
        <f t="shared" si="15"/>
        <v>886</v>
      </c>
      <c r="L1245" s="98" t="s">
        <v>817</v>
      </c>
      <c r="M1245" s="99" t="s">
        <v>1459</v>
      </c>
      <c r="N1245" s="100" t="s">
        <v>1452</v>
      </c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</row>
    <row r="1246" spans="2:24" x14ac:dyDescent="0.25">
      <c r="B1246" s="32"/>
      <c r="C1246" s="32"/>
      <c r="D1246" s="32"/>
      <c r="E1246" s="32"/>
      <c r="F1246" s="32"/>
      <c r="G1246" s="32"/>
      <c r="H1246" s="32"/>
      <c r="I1246" s="32"/>
      <c r="J1246" s="32"/>
      <c r="K1246" s="97">
        <f t="shared" si="15"/>
        <v>887</v>
      </c>
      <c r="L1246" s="98" t="s">
        <v>626</v>
      </c>
      <c r="M1246" s="99" t="s">
        <v>825</v>
      </c>
      <c r="N1246" s="100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</row>
    <row r="1247" spans="2:24" x14ac:dyDescent="0.25">
      <c r="B1247" s="32"/>
      <c r="C1247" s="32"/>
      <c r="D1247" s="32"/>
      <c r="E1247" s="32"/>
      <c r="F1247" s="32"/>
      <c r="G1247" s="32"/>
      <c r="H1247" s="32"/>
      <c r="I1247" s="32"/>
      <c r="J1247" s="32"/>
      <c r="K1247" s="97">
        <f t="shared" si="15"/>
        <v>888</v>
      </c>
      <c r="L1247" s="98" t="s">
        <v>626</v>
      </c>
      <c r="M1247" s="99" t="s">
        <v>825</v>
      </c>
      <c r="N1247" s="100" t="s">
        <v>1459</v>
      </c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</row>
    <row r="1248" spans="2:24" x14ac:dyDescent="0.25">
      <c r="B1248" s="32"/>
      <c r="C1248" s="32"/>
      <c r="D1248" s="32"/>
      <c r="E1248" s="32"/>
      <c r="F1248" s="32"/>
      <c r="G1248" s="32"/>
      <c r="H1248" s="32"/>
      <c r="I1248" s="32"/>
      <c r="J1248" s="32"/>
      <c r="K1248" s="97">
        <f t="shared" si="15"/>
        <v>889</v>
      </c>
      <c r="L1248" s="98" t="s">
        <v>1452</v>
      </c>
      <c r="M1248" s="99" t="s">
        <v>626</v>
      </c>
      <c r="N1248" s="100" t="s">
        <v>1461</v>
      </c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</row>
    <row r="1249" spans="2:24" x14ac:dyDescent="0.25">
      <c r="B1249" s="32"/>
      <c r="C1249" s="32"/>
      <c r="D1249" s="32"/>
      <c r="E1249" s="32"/>
      <c r="F1249" s="32"/>
      <c r="G1249" s="32"/>
      <c r="H1249" s="32"/>
      <c r="I1249" s="32"/>
      <c r="J1249" s="32"/>
      <c r="K1249" s="97">
        <f t="shared" si="15"/>
        <v>890</v>
      </c>
      <c r="L1249" s="98" t="s">
        <v>1463</v>
      </c>
      <c r="M1249" s="99" t="s">
        <v>1452</v>
      </c>
      <c r="N1249" s="100" t="s">
        <v>626</v>
      </c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</row>
    <row r="1250" spans="2:24" x14ac:dyDescent="0.25">
      <c r="B1250" s="32"/>
      <c r="C1250" s="32"/>
      <c r="D1250" s="32"/>
      <c r="E1250" s="32"/>
      <c r="F1250" s="32"/>
      <c r="G1250" s="32"/>
      <c r="H1250" s="32"/>
      <c r="I1250" s="32"/>
      <c r="J1250" s="32"/>
      <c r="K1250" s="97">
        <f t="shared" si="15"/>
        <v>891</v>
      </c>
      <c r="L1250" s="98" t="s">
        <v>626</v>
      </c>
      <c r="M1250" s="99" t="s">
        <v>1463</v>
      </c>
      <c r="N1250" s="100" t="s">
        <v>1452</v>
      </c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</row>
    <row r="1251" spans="2:24" x14ac:dyDescent="0.25">
      <c r="B1251" s="32"/>
      <c r="C1251" s="32"/>
      <c r="D1251" s="32"/>
      <c r="E1251" s="32"/>
      <c r="F1251" s="32"/>
      <c r="G1251" s="32"/>
      <c r="H1251" s="32"/>
      <c r="I1251" s="32"/>
      <c r="J1251" s="32"/>
      <c r="K1251" s="97">
        <f t="shared" si="15"/>
        <v>892</v>
      </c>
      <c r="L1251" s="98" t="s">
        <v>1463</v>
      </c>
      <c r="M1251" s="99" t="s">
        <v>626</v>
      </c>
      <c r="N1251" s="100" t="s">
        <v>1452</v>
      </c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</row>
    <row r="1252" spans="2:24" x14ac:dyDescent="0.25">
      <c r="B1252" s="32"/>
      <c r="C1252" s="32"/>
      <c r="D1252" s="32"/>
      <c r="E1252" s="32"/>
      <c r="F1252" s="32"/>
      <c r="G1252" s="32"/>
      <c r="H1252" s="32"/>
      <c r="I1252" s="32"/>
      <c r="J1252" s="32"/>
      <c r="K1252" s="97">
        <f t="shared" si="15"/>
        <v>893</v>
      </c>
      <c r="L1252" s="98" t="s">
        <v>1452</v>
      </c>
      <c r="M1252" s="99" t="s">
        <v>1463</v>
      </c>
      <c r="N1252" s="100" t="s">
        <v>817</v>
      </c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</row>
    <row r="1253" spans="2:24" x14ac:dyDescent="0.25">
      <c r="B1253" s="32"/>
      <c r="C1253" s="32"/>
      <c r="D1253" s="32"/>
      <c r="E1253" s="32"/>
      <c r="F1253" s="32"/>
      <c r="G1253" s="32"/>
      <c r="H1253" s="32"/>
      <c r="I1253" s="32"/>
      <c r="J1253" s="32"/>
      <c r="K1253" s="97">
        <f t="shared" si="15"/>
        <v>894</v>
      </c>
      <c r="L1253" s="98" t="s">
        <v>1463</v>
      </c>
      <c r="M1253" s="99" t="s">
        <v>626</v>
      </c>
      <c r="N1253" s="100" t="s">
        <v>817</v>
      </c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</row>
    <row r="1254" spans="2:24" x14ac:dyDescent="0.25">
      <c r="B1254" s="32"/>
      <c r="C1254" s="32"/>
      <c r="D1254" s="32"/>
      <c r="E1254" s="32"/>
      <c r="F1254" s="32"/>
      <c r="G1254" s="32"/>
      <c r="H1254" s="32"/>
      <c r="I1254" s="32"/>
      <c r="J1254" s="32"/>
      <c r="K1254" s="97">
        <f t="shared" si="15"/>
        <v>895</v>
      </c>
      <c r="L1254" s="98" t="s">
        <v>1452</v>
      </c>
      <c r="M1254" s="99" t="s">
        <v>1463</v>
      </c>
      <c r="N1254" s="100" t="s">
        <v>817</v>
      </c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</row>
    <row r="1255" spans="2:24" x14ac:dyDescent="0.25">
      <c r="B1255" s="32"/>
      <c r="C1255" s="32"/>
      <c r="D1255" s="32"/>
      <c r="E1255" s="32"/>
      <c r="F1255" s="32"/>
      <c r="G1255" s="32"/>
      <c r="H1255" s="32"/>
      <c r="I1255" s="32"/>
      <c r="J1255" s="32"/>
      <c r="K1255" s="97">
        <f t="shared" si="15"/>
        <v>896</v>
      </c>
      <c r="L1255" s="98" t="s">
        <v>817</v>
      </c>
      <c r="M1255" s="99" t="s">
        <v>1463</v>
      </c>
      <c r="N1255" s="100" t="s">
        <v>1452</v>
      </c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</row>
    <row r="1256" spans="2:24" x14ac:dyDescent="0.25">
      <c r="B1256" s="32"/>
      <c r="C1256" s="32"/>
      <c r="D1256" s="32"/>
      <c r="E1256" s="32"/>
      <c r="F1256" s="32"/>
      <c r="G1256" s="32"/>
      <c r="H1256" s="32"/>
      <c r="I1256" s="32"/>
      <c r="J1256" s="32"/>
      <c r="K1256" s="97">
        <f t="shared" si="15"/>
        <v>897</v>
      </c>
      <c r="L1256" s="98" t="s">
        <v>817</v>
      </c>
      <c r="M1256" s="99" t="s">
        <v>1452</v>
      </c>
      <c r="N1256" s="100" t="s">
        <v>626</v>
      </c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</row>
    <row r="1257" spans="2:24" x14ac:dyDescent="0.25">
      <c r="B1257" s="32"/>
      <c r="C1257" s="32"/>
      <c r="D1257" s="32"/>
      <c r="E1257" s="32"/>
      <c r="F1257" s="32"/>
      <c r="G1257" s="32"/>
      <c r="H1257" s="32"/>
      <c r="I1257" s="32"/>
      <c r="J1257" s="32"/>
      <c r="K1257" s="97">
        <f t="shared" si="15"/>
        <v>898</v>
      </c>
      <c r="L1257" s="98" t="s">
        <v>626</v>
      </c>
      <c r="M1257" s="99" t="s">
        <v>817</v>
      </c>
      <c r="N1257" s="100" t="s">
        <v>1452</v>
      </c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</row>
    <row r="1258" spans="2:24" x14ac:dyDescent="0.25">
      <c r="B1258" s="32"/>
      <c r="C1258" s="32"/>
      <c r="D1258" s="32"/>
      <c r="E1258" s="32"/>
      <c r="F1258" s="32"/>
      <c r="G1258" s="32"/>
      <c r="H1258" s="32"/>
      <c r="I1258" s="32"/>
      <c r="J1258" s="32"/>
      <c r="K1258" s="97">
        <f t="shared" si="15"/>
        <v>899</v>
      </c>
      <c r="L1258" s="98" t="s">
        <v>1463</v>
      </c>
      <c r="M1258" s="99" t="s">
        <v>626</v>
      </c>
      <c r="N1258" s="100" t="s">
        <v>1452</v>
      </c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</row>
    <row r="1259" spans="2:24" x14ac:dyDescent="0.25">
      <c r="B1259" s="32"/>
      <c r="C1259" s="32"/>
      <c r="D1259" s="32"/>
      <c r="E1259" s="32"/>
      <c r="F1259" s="32"/>
      <c r="G1259" s="32"/>
      <c r="H1259" s="32"/>
      <c r="I1259" s="32"/>
      <c r="J1259" s="32"/>
      <c r="K1259" s="97">
        <f t="shared" si="15"/>
        <v>900</v>
      </c>
      <c r="L1259" s="98" t="s">
        <v>626</v>
      </c>
      <c r="M1259" s="99" t="s">
        <v>1452</v>
      </c>
      <c r="N1259" s="100" t="s">
        <v>1461</v>
      </c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</row>
    <row r="1260" spans="2:24" x14ac:dyDescent="0.25">
      <c r="B1260" s="32"/>
      <c r="C1260" s="32"/>
      <c r="D1260" s="32"/>
      <c r="E1260" s="32"/>
      <c r="F1260" s="32"/>
      <c r="G1260" s="32"/>
      <c r="H1260" s="32"/>
      <c r="I1260" s="32"/>
      <c r="J1260" s="32"/>
      <c r="K1260" s="32"/>
      <c r="L1260" s="32"/>
      <c r="M1260" s="32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</row>
    <row r="1261" spans="2:24" x14ac:dyDescent="0.25">
      <c r="B1261" s="32"/>
      <c r="C1261" s="32"/>
      <c r="D1261" s="32"/>
      <c r="E1261" s="32"/>
      <c r="F1261" s="32"/>
      <c r="G1261" s="32"/>
      <c r="H1261" s="32"/>
      <c r="I1261" s="32"/>
      <c r="J1261" s="32"/>
      <c r="K1261" s="32"/>
      <c r="L1261" s="32"/>
      <c r="M1261" s="32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</row>
    <row r="1262" spans="2:24" x14ac:dyDescent="0.25">
      <c r="B1262" s="32"/>
      <c r="C1262" s="32"/>
      <c r="D1262" s="32"/>
      <c r="E1262" s="32"/>
      <c r="F1262" s="32"/>
      <c r="G1262" s="32"/>
      <c r="H1262" s="32"/>
      <c r="I1262" s="32"/>
      <c r="J1262" s="32"/>
      <c r="K1262" s="32"/>
      <c r="L1262" s="32"/>
      <c r="M1262" s="32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</row>
    <row r="1263" spans="2:24" x14ac:dyDescent="0.25">
      <c r="B1263" s="32"/>
      <c r="C1263" s="32"/>
      <c r="D1263" s="32"/>
      <c r="E1263" s="32"/>
      <c r="F1263" s="32"/>
      <c r="G1263" s="32"/>
      <c r="H1263" s="32"/>
      <c r="I1263" s="32"/>
      <c r="J1263" s="32"/>
      <c r="K1263" s="32"/>
      <c r="L1263" s="32"/>
      <c r="M1263" s="32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</row>
    <row r="1264" spans="2:24" x14ac:dyDescent="0.25">
      <c r="B1264" s="32"/>
      <c r="C1264" s="32"/>
      <c r="D1264" s="32"/>
      <c r="E1264" s="32"/>
      <c r="F1264" s="32"/>
      <c r="G1264" s="32"/>
      <c r="H1264" s="32"/>
      <c r="I1264" s="32"/>
      <c r="J1264" s="32"/>
      <c r="K1264" s="32"/>
      <c r="L1264" s="32"/>
      <c r="M1264" s="32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</row>
    <row r="1265" spans="2:24" x14ac:dyDescent="0.25">
      <c r="B1265" s="32"/>
      <c r="C1265" s="32"/>
      <c r="D1265" s="32"/>
      <c r="E1265" s="32"/>
      <c r="F1265" s="32"/>
      <c r="G1265" s="32"/>
      <c r="H1265" s="32"/>
      <c r="I1265" s="32"/>
      <c r="J1265" s="32"/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</row>
    <row r="1266" spans="2:24" x14ac:dyDescent="0.25">
      <c r="F1266" s="428"/>
      <c r="G1266" s="427"/>
      <c r="J1266" s="428" t="s">
        <v>2047</v>
      </c>
      <c r="V1266" s="32"/>
      <c r="W1266" s="32"/>
      <c r="X1266" s="32"/>
    </row>
    <row r="1267" spans="2:24" ht="36.75" thickBot="1" x14ac:dyDescent="0.6">
      <c r="B1267" s="579"/>
      <c r="C1267" s="580"/>
      <c r="D1267" s="580"/>
      <c r="E1267" s="580"/>
      <c r="F1267" s="580"/>
      <c r="G1267" s="580"/>
      <c r="H1267" s="581" t="str">
        <f>IF($S$1268&gt;=1055,"LOT 21 LABORATORY REQUIREMENT - OBADA ANNEX",IF($S$1268&gt;=1039,"LOT 21 - LABORATORY REQUIREMENT - SHAJE ANNEX",IF($S$1268&gt;=981,"LOT 20 - LABORATORY - CHEMICAL PATHOLOGY",IF($S$1268&gt;=974,"LOT 19 - MICROBIOLOGY - INFECTION CONTROL",IF($S$1268&gt;=957,"LOT 19 - MICROBIOLOGY - SENSITIVITY DISCS",IF($S$1268&gt;=902,"LOT 18 - MICROBIOLOGY - REAGENT KITS",IF($S$1268&gt;=846,"LOT 17 - HISTOPATHOLOGY",IF($S$1268&gt;=760,"LOT 16 - HAEMATOLOGY",IF($S$1268&gt;=722,"LOT 15 - THEATRE DEPARTMENT",IF($S$1268&gt;=709,"LOT 14 - RADIOLOGY DEPARTMENT",IF($S$1268&gt;=702,"LOT 13 - PHARMACY - CONSUMABLES - SUTURES",IF($S$1268&gt;=684,"LOT 13 - PHARMACY - CONSUMABLES",IF($S$1268&gt;=669,"LOT 13 PHARMACY - DISINFECTANTS",IF($S$1268&gt;=651,"LOT 13 - PHARMACY - DERMATOLOGICAL PREPARATIONS",IF($S$1268&gt;=570,"LOT 13 - PHARMACY - DRESSINGS/CONSUMABLES",IF($S$1268&gt;=539,"LOT 12 - PHARMACY - ONCOLOGY DRUGS",IF($S$1268&gt;=494,"LOT 11 - PHARMACY - EYE/EAR MEDICATIONS",IF($S$1268&gt;=455,"LOT 10 - PHARMACY - RESPIRATORY TRACT DRUGS",IF($S$1268&gt;=424,"LOT 9 - PHARMACY GASTROINTESTINAL DRUGS",IF($S$1268&gt;=381,"LOT 8 - PHARMACY -OBSTETRICS/GYNAECOLOGY DRUGS",IF($S$1268&gt;=351,"LOT 7 - PHARMACY - HYPNOSEDATIVE DRUGS",IF($S$1268&gt;=285,"LOT 6 PHARMACY - BLOOD &amp; NUTRITIONAL DRUGS",IF($S$1268&gt;=194,"LOT 5 - I589PHARMACY - ANTI-INFECTIVE AGENTS",IF($S$1268&gt;=142,"LOT 4 - PHARMACY - ANTI-INFLAMMATORY/ANTI-PYRETIC/ANALGESICS",IF($S$1268&gt;=118,"LOT 3 - PHARMACY - ORAL HYPOGLYCAEMIC DRUGS",IF($S$1268&gt;=34,"LOT 3 - PHARMACY - ANTI-HYPERTENSIVES",IF($S$1268&gt;=19,"LOT 2 - PHARMACY - STERILE INTRAVENOUS FLUIDS",IF($S$1268&gt;=1,"LOT 1 - PHARMACY - ANTI-MALARIALS","-"))))))))))))))))))))))))))))</f>
        <v>LOT 19 - MICROBIOLOGY - SENSITIVITY DISCS</v>
      </c>
      <c r="I1267" s="582"/>
      <c r="J1267" s="580"/>
      <c r="K1267" s="580"/>
      <c r="L1267" s="580"/>
      <c r="M1267" s="580"/>
      <c r="N1267" s="580"/>
      <c r="O1267" s="580"/>
      <c r="P1267" s="580"/>
      <c r="Q1267" s="580"/>
      <c r="R1267" s="583"/>
      <c r="S1267" s="580"/>
      <c r="T1267" s="580"/>
      <c r="U1267" s="580"/>
      <c r="V1267" s="32"/>
      <c r="W1267" s="32"/>
      <c r="X1267" s="32"/>
    </row>
    <row r="1268" spans="2:24" ht="42.75" thickBot="1" x14ac:dyDescent="0.7">
      <c r="B1268" s="584"/>
      <c r="C1268" s="585" t="str">
        <f>IF($S$1268=901,PR!$B$997,IF($S$1268=902,PR!$B$1004,IF($S$1268=903,PR!$B$1005,IF($S$1268=904,PR!$B$1006,IF($S$1268=905,PR!$B$1007,IF($S$1268=906,PR!$B$1008,IF($S$1268=907,PR!$B$1009,IF($S$1268=908,PR!$B$1010,IF($S$1268=909,PR!$B$1011,IF($S$1268=910,PR!$B$1012,IF($S$1268=911,PR!$B$1013,IF($S$1268=912,PR!$B$1014,IF($S$1268=913,PR!$B$1015,IF($S$1268=914,PR!$B$1016,IF($S$1268=915,PR!$B$1017,IF($S$1268=916,PR!$B$1018,IF($S$1268=917,PR!$B$1019,IF($S$1268=918,PR!$B$1020,IF($S$1268=919,PR!$B$1021,IF($S$1268=920,PR!$B$1022,IF($S$1268=921,PR!$B$1023,IF($S$1268=922,PR!$B$1024,IF($S$1268=923,PR!$B$1025,IF($S$1268=924,PR!$B$1026,IF($S$1268=925,PR!$B$1027,IF($S$1268=926,PR!$B$1028,IF($S$1268=927,PR!$B$1029,IF($S$1268=928,PR!$B$1030,IF($S$1268=929,PR!$B$1031,IF($S$1268=930,PR!$B$1032,IF($S$1268=931,PR!$B$1033,IF($S$1268=932,PR!$B$1034,IF($S$1268=933,PR!$B$1035,IF($S$1268=934,PR!$B$1036,IF($S$1268=935,PR!$B$1037,IF($S$1268=936,PR!$B$1038,IF($S$1268=937,PR!$B$1039,IF($S$1268=938,PR!$B$1040,IF($S$1268=939,PR!$B$1041,IF($S$1268=940,PR!$B$1042,IF($S$1268=941,PR!$B$1043,IF($S$1268=942,PR!$B$1044,IF($S$1268=943,PR!$B$1045,IF($S$1268=944,PR!$B$1046,IF($S$1268=945,PR!$B$1047,IF($S$1268=946,PR!$B$1048,IF($S$1268=947,PR!$B$1049,IF($S$1268=948,PR!$B$1050,IF($S$1268=949,PR!$B$1051,IF($S$1268=950,PR!$B$1052,IF($S$1268=951,PR!$B$1053,IF($S$1268=952,PR!$B$1054,IF($S$1268=953,PR!$B$1055,IF($S$1268=954,PR!$B$1056,IF($S$1268=955,PR!$B$1057,IF($S$1268=956,PR!$B$1058,IF($S$1268=957,PR!$B$1062,IF($S$1268=958,PR!$B$1063,IF($S$1268=959,PR!$B$1064,IF($S$1268=960,PR!$B$1065,"-"))))))))))))))))))))))))))))))))))))))))))))))))))))))))))))</f>
        <v>GENTAMYCIN</v>
      </c>
      <c r="D1268" s="629"/>
      <c r="E1268" s="629"/>
      <c r="F1268" s="629"/>
      <c r="G1268" s="629"/>
      <c r="H1268" s="629"/>
      <c r="I1268" s="629"/>
      <c r="J1268" s="586"/>
      <c r="K1268" s="586"/>
      <c r="L1268" s="586"/>
      <c r="M1268" s="586"/>
      <c r="N1268" s="586"/>
      <c r="O1268" s="586"/>
      <c r="P1268" s="587"/>
      <c r="Q1268" s="588"/>
      <c r="R1268" s="583"/>
      <c r="S1268" s="589">
        <v>960</v>
      </c>
      <c r="T1268" s="580"/>
      <c r="U1268" s="580"/>
      <c r="V1268" s="32"/>
      <c r="W1268" s="32"/>
      <c r="X1268" s="32"/>
    </row>
    <row r="1269" spans="2:24" ht="33" customHeight="1" thickBot="1" x14ac:dyDescent="0.7">
      <c r="B1269" s="580"/>
      <c r="C1269" s="590" t="s">
        <v>780</v>
      </c>
      <c r="D1269" s="585" t="str">
        <f>IF($S$1268=901,PR!$D$997,IF($S$1268=902,PR!$D$1004,IF($S$1268=903,PR!$D$1005,IF($S$1268=904,PR!$D$1006,IF($S$1268=905,PR!$D$1007,IF($S$1268=906,PR!$D$1008,IF($S$1268=907,PR!$D$1009,IF($S$1268=908,PR!$D$1010,IF($S$1268=909,PR!$D$1011,IF($S$1268=910,PR!$D$1012,IF($S$1268=911,PR!$D$1013,IF($S$1268=912,PR!$D$1014,IF($S$1268=913,PR!$D$1015,IF($S$1268=914,PR!$D$1016,IF($S$1268=915,PR!$D$1017,IF($S$1268=916,PR!$D$1018,IF($S$1268=917,PR!$D$1019,IF($S$1268=918,PR!$D$1020,IF($S$1268=919,PR!$D$1021,IF($S$1268=920,PR!$D$1022,IF($S$1268=921,PR!$D$1023,IF($S$1268=922,PR!$D$1024,IF($S$1268=923,PR!$D$1025,IF($S$1268=924,PR!$D$1026,IF($S$1268=925,PR!$D$1027,IF($S$1268=926,PR!$D$1028,IF($S$1268=927,PR!$D$1029,IF($S$1268=928,PR!$D$1030,IF($S$1268=929,PR!$D$1031,IF($S$1268=930,PR!$D$1032,IF($S$1268=931,PR!$D$1033,IF($S$1268=932,PR!$D$1034,IF($S$1268=933,PR!$D$1035,IF($S$1268=934,PR!$D$1036,IF($S$1268=935,PR!$D$1037,IF($S$1268=936,PR!$D$1038,IF($S$1268=937,PR!$D$1039,IF($S$1268=938,PR!$D$1040,IF($S$1268=939,PR!$D$1041,IF($S$1268=940,PR!$D$1042,IF($S$1268=941,PR!$D$1043,IF($S$1268=942,PR!$D$1044,IF($S$1268=943,PR!$D$1045,IF($S$1268=944,PR!$D$1046,IF($S$1268=945,PR!$D$1047,IF($S$1268=946,PR!$D$1048,IF($S$1268=947,PR!$D$1049,IF($S$1268=948,PR!$D$1050,IF($S$1268=949,PR!$D$1051,IF($S$1268=950,PR!$D$1052,IF($S$1268=951,PR!$D$1053,IF($S$1268=952,PR!$D$1054,IF($S$1268=953,PR!$D$1055,IF($S$1268=954,PR!$D$1056,IF($S$1268=955,PR!$D$1057,IF($S$1268=956,PR!$D$1058,IF($S$1268=957,PR!$D$1062,IF($S$1268=958,PR!$D$1063,IF($S$1268=959,PR!$D$1064,IF($S$1268=960,PR!$D$1065,"-"))))))))))))))))))))))))))))))))))))))))))))))))))))))))))))</f>
        <v>1 PACK OF 250 PCS</v>
      </c>
      <c r="E1269" s="586"/>
      <c r="F1269" s="586"/>
      <c r="G1269" s="587"/>
      <c r="H1269" s="630"/>
      <c r="I1269" s="631"/>
      <c r="J1269" s="779" t="s">
        <v>781</v>
      </c>
      <c r="K1269" s="779"/>
      <c r="L1269" s="780"/>
      <c r="M1269" s="632">
        <f>IF($S$1268=901,PR!$C$997,IF($S$1268=902,PR!$C$1004,IF($S$1268=903,PR!$C$1005,IF($S$1268=904,PR!$C$1006,IF($S$1268=905,PR!$C$1007,IF($S$1268=906,PR!$C$1008,IF($S$1268=907,PR!$C$1009,IF($S$1268=908,PR!$C$1010,IF($S$1268=909,PR!$C$1011,IF($S$1268=910,PR!$C$1012,IF($S$1268=911,PR!$C$1013,IF($S$1268=912,PR!$C$1014,IF($S$1268=913,PR!$C$1015,IF($S$1268=914,PR!$C$1016,IF($S$1268=915,PR!$C$1017,IF($S$1268=916,PR!$C$1018,IF($S$1268=917,PR!$C$1019,IF($S$1268=918,PR!$C$1020,IF($S$1268=919,PR!$C$1021,IF($S$1268=920,PR!$C$1022,IF($S$1268=921,PR!$C$1023,IF($S$1268=922,PR!$C$1024,IF($S$1268=923,PR!$C$1025,IF($S$1268=924,PR!$C$1026,IF($S$1268=925,PR!$C$1027,IF($S$1268=926,PR!$C$1028,IF($S$1268=927,PR!$C$1029,IF($S$1268=928,PR!$C$1030,IF($S$1268=929,PR!$C$1031,IF($S$1268=930,PR!$C$1032,IF($S$1268=931,PR!$C$1033,IF($S$1268=932,PR!$C$1034,IF($S$1268=933,PR!$C$1035,IF($S$1268=934,PR!$C$1036,IF($S$1268=935,PR!$C$1037,IF($S$1268=936,PR!$C$1038,IF($S$1268=937,PR!$C$1039,IF($S$1268=938,PR!$C$1040,IF($S$1268=939,PR!$C$1041,IF($S$1268=940,PR!$C$1042,IF($S$1268=941,PR!$C$1043,IF($S$1268=942,PR!$C$1044,IF($S$1268=943,PR!$C$1045,IF($S$1268=944,PR!$C$1046,IF($S$1268=945,PR!$C$1047,IF($S$1268=946,PR!$C$1048,IF($S$1268=947,PR!$C$1049,IF($S$1268=948,PR!$C$1050,IF($S$1268=949,PR!$C$1051,IF($S$1268=950,PR!$C$1052,IF($S$1268=951,PR!$C$1053,IF($S$1268=952,PR!$C$1054,IF($S$1268=953,PR!$C$1055,IF($S$1268=954,PR!$C$1056,IF($S$1268=955,PR!$C$1057,IF($S$1268=956,PR!$C$1058,IF($S$1268=957,PR!$C$1062,IF($S$1268=958,PR!$C$1063,IF($S$1268=959,PR!$C$1064,IF($S$1268=960,PR!$C$1065,"-"))))))))))))))))))))))))))))))))))))))))))))))))))))))))))))</f>
        <v>12</v>
      </c>
      <c r="N1269" s="587"/>
      <c r="O1269" s="580"/>
      <c r="P1269" s="580"/>
      <c r="Q1269" s="580"/>
      <c r="R1269" s="583"/>
      <c r="S1269" s="580"/>
      <c r="T1269" s="580"/>
      <c r="U1269" s="580"/>
      <c r="V1269" s="32"/>
      <c r="W1269" s="32"/>
      <c r="X1269" s="32"/>
    </row>
    <row r="1270" spans="2:24" ht="9" customHeight="1" thickTop="1" x14ac:dyDescent="0.25">
      <c r="B1270" s="580"/>
      <c r="C1270" s="591"/>
      <c r="D1270" s="592"/>
      <c r="E1270" s="580"/>
      <c r="F1270" s="580"/>
      <c r="G1270" s="593"/>
      <c r="H1270" s="593"/>
      <c r="I1270" s="593"/>
      <c r="J1270" s="593"/>
      <c r="K1270" s="594"/>
      <c r="L1270" s="594"/>
      <c r="M1270" s="580"/>
      <c r="N1270" s="580"/>
      <c r="O1270" s="580"/>
      <c r="P1270" s="580"/>
      <c r="Q1270" s="580"/>
      <c r="R1270" s="583"/>
      <c r="S1270" s="580"/>
      <c r="T1270" s="580"/>
      <c r="U1270" s="580"/>
      <c r="V1270" s="32"/>
      <c r="W1270" s="32"/>
      <c r="X1270" s="32"/>
    </row>
    <row r="1271" spans="2:24" ht="15.75" thickBot="1" x14ac:dyDescent="0.3">
      <c r="B1271" s="595"/>
      <c r="C1271" s="600" t="str">
        <f>N!$C$4</f>
        <v>ALPHA</v>
      </c>
      <c r="D1271" s="600" t="str">
        <f>N!$C$5</f>
        <v>ASSENE</v>
      </c>
      <c r="E1271" s="600" t="str">
        <f>N!$C$6</f>
        <v>BIOFEM</v>
      </c>
      <c r="F1271" s="600" t="str">
        <f>N!$C$7</f>
        <v>BIOMED</v>
      </c>
      <c r="G1271" s="600" t="str">
        <f>N!$C$8</f>
        <v>CHI</v>
      </c>
      <c r="H1271" s="600" t="str">
        <f>N!$C$9</f>
        <v>CLARION</v>
      </c>
      <c r="I1271" s="600" t="str">
        <f>N!$C$10</f>
        <v>CODIX</v>
      </c>
      <c r="J1271" s="600" t="str">
        <f>N!$C$11</f>
        <v>COSMADE</v>
      </c>
      <c r="K1271" s="600" t="str">
        <f>N!$C$12</f>
        <v>SANCON</v>
      </c>
      <c r="L1271" s="600" t="str">
        <f>N!$C$13</f>
        <v>DEVON</v>
      </c>
      <c r="M1271" s="600" t="str">
        <f>N!$C$14</f>
        <v>DORTEMAG</v>
      </c>
      <c r="N1271" s="600" t="str">
        <f>N!$C$15</f>
        <v>DGF</v>
      </c>
      <c r="O1271" s="601" t="str">
        <f>N!$C$16</f>
        <v>DYNAMIC</v>
      </c>
      <c r="P1271" s="600" t="str">
        <f>N!$C$17</f>
        <v>EMZOR</v>
      </c>
      <c r="Q1271" s="600" t="str">
        <f>N!$C$18</f>
        <v>EUMATT</v>
      </c>
      <c r="R1271" s="600" t="str">
        <f>N!$C$19</f>
        <v>FIDSON</v>
      </c>
      <c r="S1271" s="600" t="str">
        <f>N!$C$20</f>
        <v>FCGLOBAL</v>
      </c>
      <c r="T1271" s="580"/>
      <c r="U1271" s="580"/>
      <c r="V1271" s="32"/>
      <c r="W1271" s="32"/>
      <c r="X1271" s="32"/>
    </row>
    <row r="1272" spans="2:24" ht="15.75" thickBot="1" x14ac:dyDescent="0.3">
      <c r="B1272" s="596"/>
      <c r="C1272" s="602">
        <f>IF($S$1268=901,PR!$E$997,IF($S$1268=902,PR!$E$1004,IF($S$1268=903,PR!$E$1005,IF($S$1268=904,PR!$E$1006,IF($S$1268=905,PR!$E$1007,IF($S$1268=906,PR!$E$1008,IF($S$1268=907,PR!$E$1009,IF($S$1268=908,PR!$E$1010,IF($S$1268=909,PR!$E$1011,IF($S$1268=910,PR!$E$1012,IF($S$1268=911,PR!$E$1013,IF($S$1268=912,PR!$E$1014,IF($S$1268=913,PR!$E$1015,IF($S$1268=914,PR!$E$1016,IF($S$1268=915,PR!$E$1017,IF($S$1268=916,PR!$E$1018,IF($S$1268=917,PR!$E$1019,IF($S$1268=918,PR!$E$1020,IF($S$1268=919,PR!$E$1021,IF($S$1268=920,PR!$E$1022,IF($S$1268=921,PR!$E$1023,IF($S$1268=922,PR!$E$1024,IF($S$1268=923,PR!$E$1025,IF($S$1268=924,PR!$E$1026,IF($S$1268=925,PR!$E$1027,IF($S$1268=926,PR!$E$1028,IF($S$1268=927,PR!$E$1029,IF($S$1268=928,PR!$E$1030,IF($S$1268=929,PR!$E$1031,IF($S$1268=930,PR!$E$1032,IF($S$1268=931,PR!$E$1033,IF($S$1268=932,PR!$E$1034,IF($S$1268=933,PR!$E$1035,IF($S$1268=934,PR!$E$1036,IF($S$1268=935,PR!$E$1037,IF($S$1268=936,PR!$E$1038,IF($S$1268=937,PR!$E$1039,IF($S$1268=938,PR!$E$1040,IF($S$1268=939,PR!$E$1041,IF($S$1268=940,PR!$E$1042,IF($S$1268=941,PR!$E$1043,IF($S$1268=942,PR!$E$1044,IF($S$1268=943,PR!$E$1045,IF($S$1268=944,PR!$E$1046,IF($S$1268=945,PR!$E$1047,IF($S$1268=946,PR!$E$1048,IF($S$1268=947,PR!$E$1049,IF($S$1268=948,PR!$E$1050,IF($S$1268=949,PR!$E$1051,IF($S$1268=950,PR!$E$1052,IF($S$1268=951,PR!$E$1053,IF($S$1268=952,PR!$E$1054,IF($S$1268=953,PR!$E$1055,IF($S$1268=954,PR!$E$1056,IF($S$1268=955,PR!$E$1057,IF($S$1268=956,PR!$E$1058,IF($S$1268=957,PR!$E$1062,IF($S$1268=958,PR!$E$1063,IF($S$1268=959,PR!$E$1064,IF($S$1268=960,PR!$E$1065,"-"))))))))))))))))))))))))))))))))))))))))))))))))))))))))))))</f>
        <v>0</v>
      </c>
      <c r="D1272" s="602">
        <f>IF($S$1268=901,PR!$F$997,IF($S$1268=902,PR!$F$1004,IF($S$1268=903,PR!$F$1005,IF($S$1268=904,PR!$F$1006,IF($S$1268=905,PR!$F$1007,IF($S$1268=906,PR!$F$1008,IF($S$1268=907,PR!$F$1009,IF($S$1268=908,PR!$F$1010,IF($S$1268=909,PR!$F$1011,IF($S$1268=910,PR!$F$1012,IF($S$1268=911,PR!$F$1013,IF($S$1268=912,PR!$F$1014,IF($S$1268=913,PR!$F$1015,IF($S$1268=914,PR!$F$1016,IF($S$1268=915,PR!$F$1017,IF($S$1268=916,PR!$F$1018,IF($S$1268=917,PR!$F$1019,IF($S$1268=918,PR!$F$1020,IF($S$1268=919,PR!$F$1021,IF($S$1268=920,PR!$F$1022,IF($S$1268=921,PR!$F$1023,IF($S$1268=922,PR!$F$1024,IF($S$1268=923,PR!$F$1025,IF($S$1268=924,PR!$F$1026,IF($S$1268=925,PR!$F$1027,IF($S$1268=926,PR!$F$1028,IF($S$1268=927,PR!$F$1029,IF($S$1268=928,PR!$F$1030,IF($S$1268=929,PR!$F$1031,IF($S$1268=930,PR!$F$1032,IF($S$1268=931,PR!$F$1033,IF($S$1268=932,PR!$F$1034,IF($S$1268=933,PR!$F$1035,IF($S$1268=934,PR!$F$1036,IF($S$1268=935,PR!$F$1037,IF($S$1268=936,PR!$F$1038,IF($S$1268=937,PR!$F$1039,IF($S$1268=938,PR!$F$1040,IF($S$1268=939,PR!$F$1041,IF($S$1268=940,PR!$F$1042,IF($S$1268=941,PR!$F$1043,IF($S$1268=942,PR!$F$1044,IF($S$1268=943,PR!$F$1045,IF($S$1268=944,PR!$F$1046,IF($S$1268=945,PR!$F$1047,IF($S$1268=946,PR!$F$1048,IF($S$1268=947,PR!$F$1049,IF($S$1268=948,PR!$F$1050,IF($S$1268=949,PR!$F$1051,IF($S$1268=950,PR!$F$1052,IF($S$1268=951,PR!$F$1053,IF($S$1268=952,PR!$F$1054,IF($S$1268=953,PR!$F$1055,IF($S$1268=954,PR!$F$1056,IF($S$1268=955,PR!$F$1057,IF($S$1268=956,PR!$F$1058,IF($S$1268=957,PR!$F$1062,IF($S$1268=958,PR!$F$1063,IF($S$1268=959,PR!$F$1064,IF($S$1268=960,PR!$F$1065,"-"))))))))))))))))))))))))))))))))))))))))))))))))))))))))))))</f>
        <v>0</v>
      </c>
      <c r="E1272" s="602">
        <f>IF($S$1268=901,PR!$G$997,IF($S$1268=902,PR!$G$1004,IF($S$1268=903,PR!$G$1005,IF($S$1268=904,PR!$G$1006,IF($S$1268=905,PR!$G$1007,IF($S$1268=906,PR!$G$1008,IF($S$1268=907,PR!$G$1009,IF($S$1268=908,PR!$G$1010,IF($S$1268=909,PR!$G$1011,IF($S$1268=910,PR!$G$1012,IF($S$1268=911,PR!$G$1013,IF($S$1268=912,PR!$G$1014,IF($S$1268=913,PR!$G$1015,IF($S$1268=914,PR!$G$1016,IF($S$1268=915,PR!$G$1017,IF($S$1268=916,PR!$G$1018,IF($S$1268=917,PR!$G$1019,IF($S$1268=918,PR!$G$1020,IF($S$1268=919,PR!$G$1021,IF($S$1268=920,PR!$G$1022,IF($S$1268=921,PR!$G$1023,IF($S$1268=922,PR!$G$1024,IF($S$1268=923,PR!$G$1025,IF($S$1268=924,PR!$G$1026,IF($S$1268=925,PR!$G$1027,IF($S$1268=926,PR!$G$1028,IF($S$1268=927,PR!$G$1029,IF($S$1268=928,PR!$G$1030,IF($S$1268=929,PR!$G$1031,IF($S$1268=930,PR!$G$1032,IF($S$1268=931,PR!$G$1033,IF($S$1268=932,PR!$G$1034,IF($S$1268=933,PR!$G$1035,IF($S$1268=934,PR!$G$1036,IF($S$1268=935,PR!$G$1037,IF($S$1268=936,PR!$G$1038,IF($S$1268=937,PR!$G$1039,IF($S$1268=938,PR!$G$1040,IF($S$1268=939,PR!$G$1041,IF($S$1268=940,PR!$G$1042,IF($S$1268=941,PR!$G$1043,IF($S$1268=942,PR!$G$1044,IF($S$1268=943,PR!$G$1045,IF($S$1268=944,PR!$G$1046,IF($S$1268=945,PR!$G$1047,IF($S$1268=946,PR!$G$1048,IF($S$1268=947,PR!$G$1049,IF($S$1268=948,PR!$G$1050,IF($S$1268=949,PR!$G$1051,IF($S$1268=950,PR!$G$1052,IF($S$1268=951,PR!$G$1053,IF($S$1268=952,PR!$G$1054,IF($S$1268=953,PR!$G$1055,IF($S$1268=954,PR!$G$1056,IF($S$1268=955,PR!$G$1057,IF($S$1268=956,PR!$G$1058,IF($S$1268=957,PR!$G$1062,IF($S$1268=958,PR!$G$1063,IF($S$1268=959,PR!$G$1064,IF($S$1268=960,PR!$G$1065,"-"))))))))))))))))))))))))))))))))))))))))))))))))))))))))))))</f>
        <v>0</v>
      </c>
      <c r="F1272" s="602">
        <f>IF($S$1268=901,PR!$H$997,IF($S$1268=902,PR!$H$1004,IF($S$1268=903,PR!$H$1005,IF($S$1268=904,PR!$H$1006,IF($S$1268=905,PR!$H$1007,IF($S$1268=906,PR!$H$1008,IF($S$1268=907,PR!$H$1009,IF($S$1268=908,PR!$H$1010,IF($S$1268=909,PR!$H$1011,IF($S$1268=910,PR!$H$1012,IF($S$1268=911,PR!$H$1013,IF($S$1268=912,PR!$H$1014,IF($S$1268=913,PR!$H$1015,IF($S$1268=914,PR!$H$1016,IF($S$1268=915,PR!$H$1017,IF($S$1268=916,PR!$H$1018,IF($S$1268=917,PR!$H$1019,IF($S$1268=918,PR!$H$1020,IF($S$1268=919,PR!$H$1021,IF($S$1268=920,PR!$H$1022,IF($S$1268=921,PR!$H$1023,IF($S$1268=922,PR!$H$1024,IF($S$1268=923,PR!$H$1025,IF($S$1268=924,PR!$H$1026,IF($S$1268=925,PR!$H$1027,IF($S$1268=926,PR!$H$1028,IF($S$1268=927,PR!$H$1029,IF($S$1268=928,PR!$H$1030,IF($S$1268=929,PR!$H$1031,IF($S$1268=930,PR!$H$1032,IF($S$1268=931,PR!$H$1033,IF($S$1268=932,PR!$H$1034,IF($S$1268=933,PR!$H$1035,IF($S$1268=934,PR!$H$1036,IF($S$1268=935,PR!$H$1037,IF($S$1268=936,PR!$H$1038,IF($S$1268=937,PR!$H$1039,IF($S$1268=938,PR!$H$1040,IF($S$1268=939,PR!$H$1041,IF($S$1268=940,PR!$H$1042,IF($S$1268=941,PR!$H$1043,IF($S$1268=942,PR!$H$1044,IF($S$1268=943,PR!$H$1045,IF($S$1268=944,PR!$H$1046,IF($S$1268=945,PR!$H$1047,IF($S$1268=946,PR!$H$1048,IF($S$1268=947,PR!$H$1049,IF($S$1268=948,PR!$H$1050,IF($S$1268=949,PR!$H$1051,IF($S$1268=950,PR!$H$1052,IF($S$1268=951,PR!$H$1053,IF($S$1268=952,PR!$H$1054,IF($S$1268=953,PR!$H$1055,IF($S$1268=954,PR!$H$1056,IF($S$1268=955,PR!$H$1057,IF($S$1268=956,PR!$H$1058,IF($S$1268=957,PR!$H$1062,IF($S$1268=958,PR!$H$1063,IF($S$1268=959,PR!$H$1064,IF($S$1268=960,PR!$H$1065,"-"))))))))))))))))))))))))))))))))))))))))))))))))))))))))))))</f>
        <v>0</v>
      </c>
      <c r="G1272" s="602">
        <f>IF($S$1268=901,PR!$I$997,IF($S$1268=902,PR!$I$1004,IF($S$1268=903,PR!$I$1005,IF($S$1268=904,PR!$I$1006,IF($S$1268=905,PR!$I$1007,IF($S$1268=906,PR!$I$1008,IF($S$1268=907,PR!$I$1009,IF($S$1268=908,PR!$I$1010,IF($S$1268=909,PR!$I$1011,IF($S$1268=910,PR!$I$1012,IF($S$1268=911,PR!$I$1013,IF($S$1268=912,PR!$I$1014,IF($S$1268=913,PR!$I$1015,IF($S$1268=914,PR!$I$1016,IF($S$1268=915,PR!$I$1017,IF($S$1268=916,PR!$I$1018,IF($S$1268=917,PR!$I$1019,IF($S$1268=918,PR!$I$1020,IF($S$1268=919,PR!$I$1021,IF($S$1268=920,PR!$I$1022,IF($S$1268=921,PR!$I$1023,IF($S$1268=922,PR!$I$1024,IF($S$1268=923,PR!$I$1025,IF($S$1268=924,PR!$I$1026,IF($S$1268=925,PR!$I$1027,IF($S$1268=926,PR!$I$1028,IF($S$1268=927,PR!$I$1029,IF($S$1268=928,PR!$I$1030,IF($S$1268=929,PR!$I$1031,IF($S$1268=930,PR!$I$1032,IF($S$1268=931,PR!$I$1033,IF($S$1268=932,PR!$I$1034,IF($S$1268=933,PR!$I$1035,IF($S$1268=934,PR!$I$1036,IF($S$1268=935,PR!$I$1037,IF($S$1268=936,PR!$I$1038,IF($S$1268=937,PR!$I$1039,IF($S$1268=938,PR!$I$1040,IF($S$1268=939,PR!$I$1041,IF($S$1268=940,PR!$I$1042,IF($S$1268=941,PR!$I$1043,IF($S$1268=942,PR!$I$1044,IF($S$1268=943,PR!$I$1045,IF($S$1268=944,PR!$I$1046,IF($S$1268=945,PR!$I$1047,IF($S$1268=946,PR!$I$1048,IF($S$1268=947,PR!$I$1049,IF($S$1268=948,PR!$I$1050,IF($S$1268=949,PR!$I$1051,IF($S$1268=950,PR!$I$1052,IF($S$1268=951,PR!$I$1053,IF($S$1268=952,PR!$I$1054,IF($S$1268=953,PR!$I$1055,IF($S$1268=954,PR!$I$1056,IF($S$1268=955,PR!$I$1057,IF($S$1268=956,PR!$I$1058,IF($S$1268=957,PR!$I$1062,IF($S$1268=958,PR!$I$1063,IF($S$1268=959,PR!$I$1064,IF($S$1268=960,PR!$I$1065,"-"))))))))))))))))))))))))))))))))))))))))))))))))))))))))))))</f>
        <v>0</v>
      </c>
      <c r="H1272" s="602">
        <f>IF($S$1268=901,PR!$J$997,IF($S$1268=902,PR!$J$1004,IF($S$1268=903,PR!$J$1005,IF($S$1268=904,PR!$J$1006,IF($S$1268=905,PR!$J$1007,IF($S$1268=906,PR!$J$1008,IF($S$1268=907,PR!$J$1009,IF($S$1268=908,PR!$J$1010,IF($S$1268=909,PR!$J$1011,IF($S$1268=910,PR!$J$1012,IF($S$1268=911,PR!$J$1013,IF($S$1268=912,PR!$J$1014,IF($S$1268=913,PR!$J$1015,IF($S$1268=914,PR!$J$1016,IF($S$1268=915,PR!$J$1017,IF($S$1268=916,PR!$J$1018,IF($S$1268=917,PR!$J$1019,IF($S$1268=918,PR!$J$1020,IF($S$1268=919,PR!$J$1021,IF($S$1268=920,PR!$J$1022,IF($S$1268=921,PR!$J$1023,IF($S$1268=922,PR!$J$1024,IF($S$1268=923,PR!$J$1025,IF($S$1268=924,PR!$J$1026,IF($S$1268=925,PR!$J$1027,IF($S$1268=926,PR!$J$1028,IF($S$1268=927,PR!$J$1029,IF($S$1268=928,PR!$J$1030,IF($S$1268=929,PR!$J$1031,IF($S$1268=930,PR!$J$1032,IF($S$1268=931,PR!$J$1033,IF($S$1268=932,PR!$J$1034,IF($S$1268=933,PR!$J$1035,IF($S$1268=934,PR!$J$1036,IF($S$1268=935,PR!$J$1037,IF($S$1268=936,PR!$J$1038,IF($S$1268=937,PR!$J$1039,IF($S$1268=938,PR!$J$1040,IF($S$1268=939,PR!$J$1041,IF($S$1268=940,PR!$J$1042,IF($S$1268=941,PR!$J$1043,IF($S$1268=942,PR!$J$1044,IF($S$1268=943,PR!$J$1045,IF($S$1268=944,PR!$J$1046,IF($S$1268=945,PR!$J$1047,IF($S$1268=946,PR!$J$1048,IF($S$1268=947,PR!$J$1049,IF($S$1268=948,PR!$J$1050,IF($S$1268=949,PR!$J$1051,IF($S$1268=950,PR!$J$1052,IF($S$1268=951,PR!$J$1053,IF($S$1268=952,PR!$J$1054,IF($S$1268=953,PR!$J$1055,IF($S$1268=954,PR!$J$1056,IF($S$1268=955,PR!$J$1057,IF($S$1268=956,PR!$J$1058,IF($S$1268=957,PR!$J$1062,IF($S$1268=958,PR!$J$1063,IF($S$1268=959,PR!$J$1064,IF($S$1268=960,PR!$J$1065,"-"))))))))))))))))))))))))))))))))))))))))))))))))))))))))))))</f>
        <v>0</v>
      </c>
      <c r="I1272" s="602">
        <f>IF($S$1268=901,PR!$K$997,IF($S$1268=902,PR!$K$1004,IF($S$1268=903,PR!$K$1005,IF($S$1268=904,PR!$K$1006,IF($S$1268=905,PR!$K$1007,IF($S$1268=906,PR!$K$1008,IF($S$1268=907,PR!$K$1009,IF($S$1268=908,PR!$K$1010,IF($S$1268=909,PR!$K$1011,IF($S$1268=910,PR!$K$1012,IF($S$1268=911,PR!$K$1013,IF($S$1268=912,PR!$K$1014,IF($S$1268=913,PR!$K$1015,IF($S$1268=914,PR!$K$1016,IF($S$1268=915,PR!$K$1017,IF($S$1268=916,PR!$K$1018,IF($S$1268=917,PR!$K$1019,IF($S$1268=918,PR!$K$1020,IF($S$1268=919,PR!$K$1021,IF($S$1268=920,PR!$K$1022,IF($S$1268=921,PR!$K$1023,IF($S$1268=922,PR!$K$1024,IF($S$1268=923,PR!$K$1025,IF($S$1268=924,PR!$K$1026,IF($S$1268=925,PR!$K$1027,IF($S$1268=926,PR!$K$1028,IF($S$1268=927,PR!$K$1029,IF($S$1268=928,PR!$K$1030,IF($S$1268=929,PR!$K$1031,IF($S$1268=930,PR!$K$1032,IF($S$1268=931,PR!$K$1033,IF($S$1268=932,PR!$K$1034,IF($S$1268=933,PR!$K$1035,IF($S$1268=934,PR!$K$1036,IF($S$1268=935,PR!$K$1037,IF($S$1268=936,PR!$K$1038,IF($S$1268=937,PR!$K$1039,IF($S$1268=938,PR!$K$1040,IF($S$1268=939,PR!$K$1041,IF($S$1268=940,PR!$K$1042,IF($S$1268=941,PR!$K$1043,IF($S$1268=942,PR!$K$1044,IF($S$1268=943,PR!$K$1045,IF($S$1268=944,PR!$K$1046,IF($S$1268=945,PR!$K$1047,IF($S$1268=946,PR!$K$1048,IF($S$1268=947,PR!$K$1049,IF($S$1268=948,PR!$K$1050,IF($S$1268=949,PR!$K$1051,IF($S$1268=950,PR!$K$1052,IF($S$1268=951,PR!$K$1053,IF($S$1268=952,PR!$K$1054,IF($S$1268=953,PR!$K$1055,IF($S$1268=954,PR!$K$1056,IF($S$1268=955,PR!$K$1057,IF($S$1268=956,PR!$K$1058,IF($S$1268=957,PR!$K$1062,IF($S$1268=958,PR!$K$1063,IF($S$1268=959,PR!$K$1064,IF($S$1268=960,PR!$K$1065,"-"))))))))))))))))))))))))))))))))))))))))))))))))))))))))))))</f>
        <v>0</v>
      </c>
      <c r="J1272" s="602">
        <f>IF($S$1268=901,PR!$L$997,IF($S$1268=902,PR!$L$1004,IF($S$1268=903,PR!$L$1005,IF($S$1268=904,PR!$L$1006,IF($S$1268=905,PR!$L$1007,IF($S$1268=906,PR!$L$1008,IF($S$1268=907,PR!$L$1009,IF($S$1268=908,PR!$L$1010,IF($S$1268=909,PR!$L$1011,IF($S$1268=910,PR!$L$1012,IF($S$1268=911,PR!$L$1013,IF($S$1268=912,PR!$L$1014,IF($S$1268=913,PR!$L$1015,IF($S$1268=914,PR!$L$1016,IF($S$1268=915,PR!$L$1017,IF($S$1268=916,PR!$L$1018,IF($S$1268=917,PR!$L$1019,IF($S$1268=918,PR!$L$1020,IF($S$1268=919,PR!$L$1021,IF($S$1268=920,PR!$L$1022,IF($S$1268=921,PR!$L$1023,IF($S$1268=922,PR!$L$1024,IF($S$1268=923,PR!$L$1025,IF($S$1268=924,PR!$L$1026,IF($S$1268=925,PR!$L$1027,IF($S$1268=926,PR!$L$1028,IF($S$1268=927,PR!$L$1029,IF($S$1268=928,PR!$L$1030,IF($S$1268=929,PR!$L$1031,IF($S$1268=930,PR!$L$1032,IF($S$1268=931,PR!$L$1033,IF($S$1268=932,PR!$L$1034,IF($S$1268=933,PR!$L$1035,IF($S$1268=934,PR!$L$1036,IF($S$1268=935,PR!$L$1037,IF($S$1268=936,PR!$L$1038,IF($S$1268=937,PR!$L$1039,IF($S$1268=938,PR!$L$1040,IF($S$1268=939,PR!$L$1041,IF($S$1268=940,PR!$L$1042,IF($S$1268=941,PR!$L$1043,IF($S$1268=942,PR!$L$1044,IF($S$1268=943,PR!$L$1045,IF($S$1268=944,PR!$L$1046,IF($S$1268=945,PR!$L$1047,IF($S$1268=946,PR!$L$1048,IF($S$1268=947,PR!$L$1049,IF($S$1268=948,PR!$L$1050,IF($S$1268=949,PR!$L$1051,IF($S$1268=950,PR!$L$1052,IF($S$1268=951,PR!$L$1053,IF($S$1268=952,PR!$L$1054,IF($S$1268=953,PR!$L$1055,IF($S$1268=954,PR!$L$1056,IF($S$1268=955,PR!$L$1057,IF($S$1268=956,PR!$L$1058,IF($S$1268=957,PR!$L$1062,IF($S$1268=958,PR!$L$1063,IF($S$1268=959,PR!$L$1064,IF($S$1268=960,PR!$L$1065,"-"))))))))))))))))))))))))))))))))))))))))))))))))))))))))))))</f>
        <v>14000</v>
      </c>
      <c r="K1272" s="602">
        <f>IF($S$1268=901,PR!$M$997,IF($S$1268=902,PR!$M$1004,IF($S$1268=903,PR!$M$1005,IF($S$1268=904,PR!$M$1006,IF($S$1268=905,PR!$M$1007,IF($S$1268=906,PR!$M$1008,IF($S$1268=907,PR!$M$1009,IF($S$1268=908,PR!$M$1010,IF($S$1268=909,PR!$M$1011,IF($S$1268=910,PR!$M$1012,IF($S$1268=911,PR!$M$1013,IF($S$1268=912,PR!$M$1014,IF($S$1268=913,PR!$M$1015,IF($S$1268=914,PR!$M$1016,IF($S$1268=915,PR!$M$1017,IF($S$1268=916,PR!$M$1018,IF($S$1268=917,PR!$M$1019,IF($S$1268=918,PR!$M$1020,IF($S$1268=919,PR!$M$1021,IF($S$1268=920,PR!$M$1022,IF($S$1268=921,PR!$M$1023,IF($S$1268=922,PR!$M$1024,IF($S$1268=923,PR!$M$1025,IF($S$1268=924,PR!$M$1026,IF($S$1268=925,PR!$M$1027,IF($S$1268=926,PR!$M$1028,IF($S$1268=927,PR!$M$1029,IF($S$1268=928,PR!$M$1030,IF($S$1268=929,PR!$M$1031,IF($S$1268=930,PR!$M$1032,IF($S$1268=931,PR!$M$1033,IF($S$1268=932,PR!$M$1034,IF($S$1268=933,PR!$M$1035,IF($S$1268=934,PR!$M$1036,IF($S$1268=935,PR!$M$1037,IF($S$1268=936,PR!$M$1038,IF($S$1268=937,PR!$M$1039,IF($S$1268=938,PR!$M$1040,IF($S$1268=939,PR!$M$1041,IF($S$1268=940,PR!$M$1042,IF($S$1268=941,PR!$M$1043,IF($S$1268=942,PR!$M$1044,IF($S$1268=943,PR!$M$1045,IF($S$1268=944,PR!$M$1046,IF($S$1268=945,PR!$M$1047,IF($S$1268=946,PR!$M$1048,IF($S$1268=947,PR!$M$1049,IF($S$1268=948,PR!$M$1050,IF($S$1268=949,PR!$M$1051,IF($S$1268=950,PR!$M$1052,IF($S$1268=951,PR!$M$1053,IF($S$1268=952,PR!$M$1054,IF($S$1268=953,PR!$M$1055,IF($S$1268=954,PR!$M$1056,IF($S$1268=955,PR!$M$1057,IF($S$1268=956,PR!$M$1058,IF($S$1268=957,PR!$M$1062,IF($S$1268=958,PR!$M$1063,IF($S$1268=959,PR!$M$1064,IF($S$1268=960,PR!$M$1065,"-"))))))))))))))))))))))))))))))))))))))))))))))))))))))))))))</f>
        <v>0</v>
      </c>
      <c r="L1272" s="602">
        <f>IF($S$1268=901,PR!$N$997,IF($S$1268=902,PR!$N$1004,IF($S$1268=903,PR!$N$1005,IF($S$1268=904,PR!$N$1006,IF($S$1268=905,PR!$N$1007,IF($S$1268=906,PR!$N$1008,IF($S$1268=907,PR!$N$1009,IF($S$1268=908,PR!$N$1010,IF($S$1268=909,PR!$N$1011,IF($S$1268=910,PR!$N$1012,IF($S$1268=911,PR!$N$1013,IF($S$1268=912,PR!$N$1014,IF($S$1268=913,PR!$N$1015,IF($S$1268=914,PR!$N$1016,IF($S$1268=915,PR!$N$1017,IF($S$1268=916,PR!$N$1018,IF($S$1268=917,PR!$N$1019,IF($S$1268=918,PR!$N$1020,IF($S$1268=919,PR!$N$1021,IF($S$1268=920,PR!$N$1022,IF($S$1268=921,PR!$N$1023,IF($S$1268=922,PR!$N$1024,IF($S$1268=923,PR!$N$1025,IF($S$1268=924,PR!$N$1026,IF($S$1268=925,PR!$N$1027,IF($S$1268=926,PR!$N$1028,IF($S$1268=927,PR!$N$1029,IF($S$1268=928,PR!$N$1030,IF($S$1268=929,PR!$N$1031,IF($S$1268=930,PR!$N$1032,IF($S$1268=931,PR!$N$1033,IF($S$1268=932,PR!$N$1034,IF($S$1268=933,PR!$N$1035,IF($S$1268=934,PR!$N$1036,IF($S$1268=935,PR!$N$1037,IF($S$1268=936,PR!$N$1038,IF($S$1268=937,PR!$N$1039,IF($S$1268=938,PR!$N$1040,IF($S$1268=939,PR!$N$1041,IF($S$1268=940,PR!$N$1042,IF($S$1268=941,PR!$N$1043,IF($S$1268=942,PR!$N$1044,IF($S$1268=943,PR!$N$1045,IF($S$1268=944,PR!$N$1046,IF($S$1268=945,PR!$N$1047,IF($S$1268=946,PR!$N$1048,IF($S$1268=947,PR!$N$1049,IF($S$1268=948,PR!$N$1050,IF($S$1268=949,PR!$N$1051,IF($S$1268=950,PR!$N$1052,IF($S$1268=951,PR!$N$1053,IF($S$1268=952,PR!$N$1054,IF($S$1268=953,PR!$N$1055,IF($S$1268=954,PR!$N$1056,IF($S$1268=955,PR!$N$1057,IF($S$1268=956,PR!$N$1058,IF($S$1268=957,PR!$N$1062,IF($S$1268=958,PR!$N$1063,IF($S$1268=959,PR!$N$1064,IF($S$1268=960,PR!$N$1065,"-"))))))))))))))))))))))))))))))))))))))))))))))))))))))))))))</f>
        <v>0</v>
      </c>
      <c r="M1272" s="602">
        <f>IF($S$1268=901,PR!$O$997,IF($S$1268=902,PR!$O$1004,IF($S$1268=903,PR!$O$1005,IF($S$1268=904,PR!$O$1006,IF($S$1268=905,PR!$O$1007,IF($S$1268=906,PR!$O$1008,IF($S$1268=907,PR!$O$1009,IF($S$1268=908,PR!$O$1010,IF($S$1268=909,PR!$O$1011,IF($S$1268=910,PR!$O$1012,IF($S$1268=911,PR!$O$1013,IF($S$1268=912,PR!$O$1014,IF($S$1268=913,PR!$O$1015,IF($S$1268=914,PR!$O$1016,IF($S$1268=915,PR!$O$1017,IF($S$1268=916,PR!$O$1018,IF($S$1268=917,PR!$O$1019,IF($S$1268=918,PR!$O$1020,IF($S$1268=919,PR!$O$1021,IF($S$1268=920,PR!$O$1022,IF($S$1268=921,PR!$O$1023,IF($S$1268=922,PR!$O$1024,IF($S$1268=923,PR!$O$1025,IF($S$1268=924,PR!$O$1026,IF($S$1268=925,PR!$O$1027,IF($S$1268=926,PR!$O$1028,IF($S$1268=927,PR!$O$1029,IF($S$1268=928,PR!$O$1030,IF($S$1268=929,PR!$O$1031,IF($S$1268=930,PR!$O$1032,IF($S$1268=931,PR!$O$1033,IF($S$1268=932,PR!$O$1034,IF($S$1268=933,PR!$O$1035,IF($S$1268=934,PR!$O$1036,IF($S$1268=935,PR!$O$1037,IF($S$1268=936,PR!$O$1038,IF($S$1268=937,PR!$O$1039,IF($S$1268=938,PR!$O$1040,IF($S$1268=939,PR!$O$1041,IF($S$1268=940,PR!$O$1042,IF($S$1268=941,PR!$O$1043,IF($S$1268=942,PR!$O$1044,IF($S$1268=943,PR!$O$1045,IF($S$1268=944,PR!$O$1046,IF($S$1268=945,PR!$O$1047,IF($S$1268=946,PR!$O$1048,IF($S$1268=947,PR!$O$1049,IF($S$1268=948,PR!$O$1050,IF($S$1268=949,PR!$O$1051,IF($S$1268=950,PR!$O$1052,IF($S$1268=951,PR!$O$1053,IF($S$1268=952,PR!$O$1054,IF($S$1268=953,PR!$O$1055,IF($S$1268=954,PR!$O$1056,IF($S$1268=955,PR!$O$1057,IF($S$1268=956,PR!$O$1058,IF($S$1268=957,PR!$O$1062,IF($S$1268=958,PR!$O$1063,IF($S$1268=959,PR!$O$1064,IF($S$1268=960,PR!$O$1065,"-"))))))))))))))))))))))))))))))))))))))))))))))))))))))))))))</f>
        <v>0</v>
      </c>
      <c r="N1272" s="602">
        <f>IF($S$1268=901,PR!$P$997,IF($S$1268=902,PR!$P$1004,IF($S$1268=903,PR!$P$1005,IF($S$1268=904,PR!$P$1006,IF($S$1268=905,PR!$P$1007,IF($S$1268=906,PR!$P$1008,IF($S$1268=907,PR!$P$1009,IF($S$1268=908,PR!$P$1010,IF($S$1268=909,PR!$P$1011,IF($S$1268=910,PR!$P$1012,IF($S$1268=911,PR!$P$1013,IF($S$1268=912,PR!$P$1014,IF($S$1268=913,PR!$P$1015,IF($S$1268=914,PR!$P$1016,IF($S$1268=915,PR!$P$1017,IF($S$1268=916,PR!$P$1018,IF($S$1268=917,PR!$P$1019,IF($S$1268=918,PR!$P$1020,IF($S$1268=919,PR!$P$1021,IF($S$1268=920,PR!$P$1022,IF($S$1268=921,PR!$P$1023,IF($S$1268=922,PR!$P$1024,IF($S$1268=923,PR!$P$1025,IF($S$1268=924,PR!$P$1026,IF($S$1268=925,PR!$P$1027,IF($S$1268=926,PR!$P$1028,IF($S$1268=927,PR!$P$1029,IF($S$1268=928,PR!$P$1030,IF($S$1268=929,PR!$P$1031,IF($S$1268=930,PR!$P$1032,IF($S$1268=931,PR!$P$1033,IF($S$1268=932,PR!$P$1034,IF($S$1268=933,PR!$P$1035,IF($S$1268=934,PR!$P$1036,IF($S$1268=935,PR!$P$1037,IF($S$1268=936,PR!$P$1038,IF($S$1268=937,PR!$P$1039,IF($S$1268=938,PR!$P$1040,IF($S$1268=939,PR!$P$1041,IF($S$1268=940,PR!$P$1042,IF($S$1268=941,PR!$P$1043,IF($S$1268=942,PR!$P$1044,IF($S$1268=943,PR!$P$1045,IF($S$1268=944,PR!$P$1046,IF($S$1268=945,PR!$P$1047,IF($S$1268=946,PR!$P$1048,IF($S$1268=947,PR!$P$1049,IF($S$1268=948,PR!$P$1050,IF($S$1268=949,PR!$P$1051,IF($S$1268=950,PR!$P$1052,IF($S$1268=951,PR!$P$1053,IF($S$1268=952,PR!$P$1054,IF($S$1268=953,PR!$P$1055,IF($S$1268=954,PR!$P$1056,IF($S$1268=955,PR!$P$1057,IF($S$1268=956,PR!$P$1058,IF($S$1268=957,PR!$P$1062,IF($S$1268=958,PR!$P$1063,IF($S$1268=959,PR!$P$1064,IF($S$1268=960,PR!$P$1065,"-"))))))))))))))))))))))))))))))))))))))))))))))))))))))))))))</f>
        <v>0</v>
      </c>
      <c r="O1272" s="602">
        <f>IF($S$1268=901,PR!$Q$997,IF($S$1268=902,PR!$Q$1004,IF($S$1268=903,PR!$Q$1005,IF($S$1268=904,PR!$Q$1006,IF($S$1268=905,PR!$Q$1007,IF($S$1268=906,PR!$Q$1008,IF($S$1268=907,PR!$Q$1009,IF($S$1268=908,PR!$Q$1010,IF($S$1268=909,PR!$Q$1011,IF($S$1268=910,PR!$Q$1012,IF($S$1268=911,PR!$Q$1013,IF($S$1268=912,PR!$Q$1014,IF($S$1268=913,PR!$Q$1015,IF($S$1268=914,PR!$Q$1016,IF($S$1268=915,PR!$Q$1017,IF($S$1268=916,PR!$Q$1018,IF($S$1268=917,PR!$Q$1019,IF($S$1268=918,PR!$Q$1020,IF($S$1268=919,PR!$Q$1021,IF($S$1268=920,PR!$Q$1022,IF($S$1268=921,PR!$Q$1023,IF($S$1268=922,PR!$Q$1024,IF($S$1268=923,PR!$Q$1025,IF($S$1268=924,PR!$Q$1026,IF($S$1268=925,PR!$Q$1027,IF($S$1268=926,PR!$Q$1028,IF($S$1268=927,PR!$Q$1029,IF($S$1268=928,PR!$Q$1030,IF($S$1268=929,PR!$Q$1031,IF($S$1268=930,PR!$Q$1032,IF($S$1268=931,PR!$Q$1033,IF($S$1268=932,PR!$Q$1034,IF($S$1268=933,PR!$Q$1035,IF($S$1268=934,PR!$Q$1036,IF($S$1268=935,PR!$Q$1037,IF($S$1268=936,PR!$Q$1038,IF($S$1268=937,PR!$Q$1039,IF($S$1268=938,PR!$Q$1040,IF($S$1268=939,PR!$Q$1041,IF($S$1268=940,PR!$Q$1042,IF($S$1268=941,PR!$Q$1043,IF($S$1268=942,PR!$Q$1044,IF($S$1268=943,PR!$Q$1045,IF($S$1268=944,PR!$Q$1046,IF($S$1268=945,PR!$Q$1047,IF($S$1268=946,PR!$Q$1048,IF($S$1268=947,PR!$Q$1049,IF($S$1268=948,PR!$Q$1050,IF($S$1268=949,PR!$Q$1051,IF($S$1268=950,PR!$Q$1052,IF($S$1268=951,PR!$Q$1053,IF($S$1268=952,PR!$Q$1054,IF($S$1268=953,PR!$Q$1055,IF($S$1268=954,PR!$Q$1056,IF($S$1268=955,PR!$Q$1057,IF($S$1268=956,PR!$Q$1058,IF($S$1268=957,PR!$Q$1062,IF($S$1268=958,PR!$Q$1063,IF($S$1268=959,PR!$Q$1064,IF($S$1268=960,PR!$Q$1065,"-"))))))))))))))))))))))))))))))))))))))))))))))))))))))))))))</f>
        <v>9044</v>
      </c>
      <c r="P1272" s="602">
        <f>IF($S$1268=901,PR!$R$997,IF($S$1268=902,PR!$R$1004,IF($S$1268=903,PR!$R$1005,IF($S$1268=904,PR!$R$1006,IF($S$1268=905,PR!$R$1007,IF($S$1268=906,PR!$R$1008,IF($S$1268=907,PR!$R$1009,IF($S$1268=908,PR!$R$1010,IF($S$1268=909,PR!$R$1011,IF($S$1268=910,PR!$R$1012,IF($S$1268=911,PR!$R$1013,IF($S$1268=912,PR!$R$1014,IF($S$1268=913,PR!$R$1015,IF($S$1268=914,PR!$R$1016,IF($S$1268=915,PR!$R$1017,IF($S$1268=916,PR!$R$1018,IF($S$1268=917,PR!$R$1019,IF($S$1268=918,PR!$R$1020,IF($S$1268=919,PR!$R$1021,IF($S$1268=920,PR!$R$1022,IF($S$1268=921,PR!$R$1023,IF($S$1268=922,PR!$R$1024,IF($S$1268=923,PR!$R$1025,IF($S$1268=924,PR!$R$1026,IF($S$1268=925,PR!$R$1027,IF($S$1268=926,PR!$R$1028,IF($S$1268=927,PR!$R$1029,IF($S$1268=928,PR!$R$1030,IF($S$1268=929,PR!$R$1031,IF($S$1268=930,PR!$R$1032,IF($S$1268=931,PR!$R$1033,IF($S$1268=932,PR!$R$1034,IF($S$1268=933,PR!$R$1035,IF($S$1268=934,PR!$R$1036,IF($S$1268=935,PR!$R$1037,IF($S$1268=936,PR!$R$1038,IF($S$1268=937,PR!$R$1039,IF($S$1268=938,PR!$R$1040,IF($S$1268=939,PR!$R$1041,IF($S$1268=940,PR!$R$1042,IF($S$1268=941,PR!$R$1043,IF($S$1268=942,PR!$R$1044,IF($S$1268=943,PR!$R$1045,IF($S$1268=944,PR!$R$1046,IF($S$1268=945,PR!$R$1047,IF($S$1268=946,PR!$R$1048,IF($S$1268=947,PR!$R$1049,IF($S$1268=948,PR!$R$1050,IF($S$1268=949,PR!$R$1051,IF($S$1268=950,PR!$R$1052,IF($S$1268=951,PR!$R$1053,IF($S$1268=952,PR!$R$1054,IF($S$1268=953,PR!$R$1055,IF($S$1268=954,PR!$R$1056,IF($S$1268=955,PR!$R$1057,IF($S$1268=956,PR!$R$1058,IF($S$1268=957,PR!$R$1062,IF($S$1268=958,PR!$R$1063,IF($S$1268=959,PR!$R$1064,IF($S$1268=960,PR!$R$1065,"-"))))))))))))))))))))))))))))))))))))))))))))))))))))))))))))</f>
        <v>0</v>
      </c>
      <c r="Q1272" s="602">
        <f>IF($S$1268=901,PR!$S$997,IF($S$1268=902,PR!$S$1004,IF($S$1268=903,PR!$S$1005,IF($S$1268=904,PR!$S$1006,IF($S$1268=905,PR!$S$1007,IF($S$1268=906,PR!$S$1008,IF($S$1268=907,PR!$S$1009,IF($S$1268=908,PR!$S$1010,IF($S$1268=909,PR!$S$1011,IF($S$1268=910,PR!$S$1012,IF($S$1268=911,PR!$S$1013,IF($S$1268=912,PR!$S$1014,IF($S$1268=913,PR!$S$1015,IF($S$1268=914,PR!$S$1016,IF($S$1268=915,PR!$S$1017,IF($S$1268=916,PR!$S$1018,IF($S$1268=917,PR!$S$1019,IF($S$1268=918,PR!$S$1020,IF($S$1268=919,PR!$S$1021,IF($S$1268=920,PR!$S$1022,IF($S$1268=921,PR!$S$1023,IF($S$1268=922,PR!$S$1024,IF($S$1268=923,PR!$S$1025,IF($S$1268=924,PR!$S$1026,IF($S$1268=925,PR!$S$1027,IF($S$1268=926,PR!$S$1028,IF($S$1268=927,PR!$S$1029,IF($S$1268=928,PR!$S$1030,IF($S$1268=929,PR!$S$1031,IF($S$1268=930,PR!$S$1032,IF($S$1268=931,PR!$S$1033,IF($S$1268=932,PR!$S$1034,IF($S$1268=933,PR!$S$1035,IF($S$1268=934,PR!$S$1036,IF($S$1268=935,PR!$S$1037,IF($S$1268=936,PR!$S$1038,IF($S$1268=937,PR!$S$1039,IF($S$1268=938,PR!$S$1040,IF($S$1268=939,PR!$S$1041,IF($S$1268=940,PR!$S$1042,IF($S$1268=941,PR!$S$1043,IF($S$1268=942,PR!$S$1044,IF($S$1268=943,PR!$S$1045,IF($S$1268=944,PR!$S$1046,IF($S$1268=945,PR!$S$1047,IF($S$1268=946,PR!$S$1048,IF($S$1268=947,PR!$S$1049,IF($S$1268=948,PR!$S$1050,IF($S$1268=949,PR!$S$1051,IF($S$1268=950,PR!$S$1052,IF($S$1268=951,PR!$S$1053,IF($S$1268=952,PR!$S$1054,IF($S$1268=953,PR!$S$1055,IF($S$1268=954,PR!$S$1056,IF($S$1268=955,PR!$S$1057,IF($S$1268=956,PR!$S$1058,IF($S$1268=957,PR!$S$1062,IF($S$1268=958,PR!$S$1063,IF($S$1268=959,PR!$S$1064,IF($S$1268=960,PR!$S$1065,"-"))))))))))))))))))))))))))))))))))))))))))))))))))))))))))))</f>
        <v>0</v>
      </c>
      <c r="R1272" s="602">
        <f>IF($S$1268=901,PR!$T$997,IF($S$1268=902,PR!$T$1004,IF($S$1268=903,PR!$T$1005,IF($S$1268=904,PR!$T$1006,IF($S$1268=905,PR!$T$1007,IF($S$1268=906,PR!$T$1008,IF($S$1268=907,PR!$T$1009,IF($S$1268=908,PR!$T$1010,IF($S$1268=909,PR!$T$1011,IF($S$1268=910,PR!$T$1012,IF($S$1268=911,PR!$T$1013,IF($S$1268=912,PR!$T$1014,IF($S$1268=913,PR!$T$1015,IF($S$1268=914,PR!$T$1016,IF($S$1268=915,PR!$T$1017,IF($S$1268=916,PR!$T$1018,IF($S$1268=917,PR!$T$1019,IF($S$1268=918,PR!$T$1020,IF($S$1268=919,PR!$T$1021,IF($S$1268=920,PR!$T$1022,IF($S$1268=921,PR!$T$1023,IF($S$1268=922,PR!$T$1024,IF($S$1268=923,PR!$T$1025,IF($S$1268=924,PR!$T$1026,IF($S$1268=925,PR!$T$1027,IF($S$1268=926,PR!$T$1028,IF($S$1268=927,PR!$T$1029,IF($S$1268=928,PR!$T$1030,IF($S$1268=929,PR!$T$1031,IF($S$1268=930,PR!$T$1032,IF($S$1268=931,PR!$T$1033,IF($S$1268=932,PR!$T$1034,IF($S$1268=933,PR!$T$1035,IF($S$1268=934,PR!$T$1036,IF($S$1268=935,PR!$T$1037,IF($S$1268=936,PR!$T$1038,IF($S$1268=937,PR!$T$1039,IF($S$1268=938,PR!$T$1040,IF($S$1268=939,PR!$T$1041,IF($S$1268=940,PR!$T$1042,IF($S$1268=941,PR!$T$1043,IF($S$1268=942,PR!$T$1044,IF($S$1268=943,PR!$T$1045,IF($S$1268=944,PR!$T$1046,IF($S$1268=945,PR!$T$1047,IF($S$1268=946,PR!$T$1048,IF($S$1268=947,PR!$T$1049,IF($S$1268=948,PR!$T$1050,IF($S$1268=949,PR!$T$1051,IF($S$1268=950,PR!$T$1052,IF($S$1268=951,PR!$T$1053,IF($S$1268=952,PR!$T$1054,IF($S$1268=953,PR!$T$1055,IF($S$1268=954,PR!$T$1056,IF($S$1268=955,PR!$T$1057,IF($S$1268=956,PR!$T$1058,IF($S$1268=957,PR!$T$1062,IF($S$1268=958,PR!$T$1063,IF($S$1268=959,PR!$T$1064,IF($S$1268=960,PR!$T$1065,"-"))))))))))))))))))))))))))))))))))))))))))))))))))))))))))))</f>
        <v>0</v>
      </c>
      <c r="S1272" s="602">
        <f>IF($S$1268=901,PR!$U$997,IF($S$1268=902,PR!$U$1004,IF($S$1268=903,PR!$U$1005,IF($S$1268=904,PR!$U$1006,IF($S$1268=905,PR!$U$1007,IF($S$1268=906,PR!$U$1008,IF($S$1268=907,PR!$U$1009,IF($S$1268=908,PR!$U$1010,IF($S$1268=909,PR!$U$1011,IF($S$1268=910,PR!$U$1012,IF($S$1268=911,PR!$U$1013,IF($S$1268=912,PR!$U$1014,IF($S$1268=913,PR!$U$1015,IF($S$1268=914,PR!$U$1016,IF($S$1268=915,PR!$U$1017,IF($S$1268=916,PR!$U$1018,IF($S$1268=917,PR!$U$1019,IF($S$1268=918,PR!$U$1020,IF($S$1268=919,PR!$U$1021,IF($S$1268=920,PR!$U$1022,IF($S$1268=921,PR!$U$1023,IF($S$1268=922,PR!$U$1024,IF($S$1268=923,PR!$U$1025,IF($S$1268=924,PR!$U$1026,IF($S$1268=925,PR!$U$1027,IF($S$1268=926,PR!$U$1028,IF($S$1268=927,PR!$U$1029,IF($S$1268=928,PR!$U$1030,IF($S$1268=929,PR!$U$1031,IF($S$1268=930,PR!$U$1032,IF($S$1268=931,PR!$U$1033,IF($S$1268=932,PR!$U$1034,IF($S$1268=933,PR!$U$1035,IF($S$1268=934,PR!$U$1036,IF($S$1268=935,PR!$U$1037,IF($S$1268=936,PR!$U$1038,IF($S$1268=937,PR!$U$1039,IF($S$1268=938,PR!$U$1040,IF($S$1268=939,PR!$U$1041,IF($S$1268=940,PR!$U$1042,IF($S$1268=941,PR!$U$1043,IF($S$1268=942,PR!$U$1044,IF($S$1268=943,PR!$U$1045,IF($S$1268=944,PR!$U$1046,IF($S$1268=945,PR!$U$1047,IF($S$1268=946,PR!$U$1048,IF($S$1268=947,PR!$U$1049,IF($S$1268=948,PR!$U$1050,IF($S$1268=949,PR!$U$1051,IF($S$1268=950,PR!$U$1052,IF($S$1268=951,PR!$U$1053,IF($S$1268=952,PR!$U$1054,IF($S$1268=953,PR!$U$1055,IF($S$1268=954,PR!$U$1056,IF($S$1268=955,PR!$U$1057,IF($S$1268=956,PR!$U$1058,IF($S$1268=957,PR!$U$1062,IF($S$1268=958,PR!$U$1063,IF($S$1268=959,PR!$U$1064,IF($S$1268=960,PR!$U$1065,"-"))))))))))))))))))))))))))))))))))))))))))))))))))))))))))))</f>
        <v>0</v>
      </c>
      <c r="T1272" s="580"/>
      <c r="U1272" s="580"/>
      <c r="V1272" s="32"/>
      <c r="W1272" s="32"/>
      <c r="X1272" s="32"/>
    </row>
    <row r="1273" spans="2:24" x14ac:dyDescent="0.25">
      <c r="B1273" s="580"/>
      <c r="C1273" s="603"/>
      <c r="D1273" s="604"/>
      <c r="E1273" s="604"/>
      <c r="F1273" s="604"/>
      <c r="G1273" s="604"/>
      <c r="H1273" s="604"/>
      <c r="I1273" s="604"/>
      <c r="J1273" s="604"/>
      <c r="K1273" s="604"/>
      <c r="L1273" s="604"/>
      <c r="M1273" s="604"/>
      <c r="N1273" s="604"/>
      <c r="O1273" s="604"/>
      <c r="P1273" s="604"/>
      <c r="Q1273" s="604"/>
      <c r="R1273" s="605"/>
      <c r="S1273" s="605"/>
      <c r="T1273" s="580"/>
      <c r="U1273" s="580"/>
      <c r="V1273" s="32"/>
      <c r="W1273" s="32"/>
      <c r="X1273" s="32"/>
    </row>
    <row r="1274" spans="2:24" ht="15.75" thickBot="1" x14ac:dyDescent="0.3">
      <c r="B1274" s="580"/>
      <c r="C1274" s="600" t="str">
        <f>N!$C$21</f>
        <v>GENEITH</v>
      </c>
      <c r="D1274" s="600" t="str">
        <f>N!$C$22</f>
        <v>GINOS</v>
      </c>
      <c r="E1274" s="600" t="str">
        <f>N!$C$23</f>
        <v>GSK</v>
      </c>
      <c r="F1274" s="600" t="str">
        <f>N!$C$24</f>
        <v>GLOBORG</v>
      </c>
      <c r="G1274" s="600" t="str">
        <f>N!$C$25</f>
        <v>GOODNEWS</v>
      </c>
      <c r="H1274" s="600" t="str">
        <f>N!$C$26</f>
        <v>GREENLIFE</v>
      </c>
      <c r="I1274" s="600" t="str">
        <f>N!$C$27</f>
        <v>HLINE</v>
      </c>
      <c r="J1274" s="600" t="str">
        <f>N!$C$28</f>
        <v>ROTECH</v>
      </c>
      <c r="K1274" s="600" t="str">
        <f>N!$C$29</f>
        <v>ISN</v>
      </c>
      <c r="L1274" s="600" t="str">
        <f>N!$C$30</f>
        <v>JAWA</v>
      </c>
      <c r="M1274" s="600" t="str">
        <f>N!$C$31</f>
        <v>LAYO</v>
      </c>
      <c r="N1274" s="600" t="str">
        <f>N!$C$32</f>
        <v>LEADWAY</v>
      </c>
      <c r="O1274" s="600" t="str">
        <f>N!$C$33</f>
        <v>LHV</v>
      </c>
      <c r="P1274" s="600" t="str">
        <f>N!$C$34</f>
        <v>MANOLA</v>
      </c>
      <c r="Q1274" s="600" t="str">
        <f>N!$C$35</f>
        <v>MARCSON</v>
      </c>
      <c r="R1274" s="600" t="str">
        <f>N!$C$36</f>
        <v>M&amp;B</v>
      </c>
      <c r="S1274" s="600" t="str">
        <f>N!$C$37</f>
        <v>MTRUST</v>
      </c>
      <c r="T1274" s="580"/>
      <c r="U1274" s="580"/>
      <c r="V1274" s="32"/>
      <c r="W1274" s="32"/>
      <c r="X1274" s="32"/>
    </row>
    <row r="1275" spans="2:24" ht="15.75" thickBot="1" x14ac:dyDescent="0.3">
      <c r="B1275" s="580"/>
      <c r="C1275" s="602">
        <f>IF($S$1268=901,PR!$V$997,IF($S$1268=902,PR!$V$1004,IF($S$1268=903,PR!$V$1005,IF($S$1268=904,PR!$V$1006,IF($S$1268=905,PR!$V$1007,IF($S$1268=906,PR!$V$1008,IF($S$1268=907,PR!$V$1009,IF($S$1268=908,PR!$V$1010,IF($S$1268=909,PR!$V$1011,IF($S$1268=910,PR!$V$1012,IF($S$1268=911,PR!$V$1013,IF($S$1268=912,PR!$V$1014,IF($S$1268=913,PR!$V$1015,IF($S$1268=914,PR!$V$1016,IF($S$1268=915,PR!$V$1017,IF($S$1268=916,PR!$V$1018,IF($S$1268=917,PR!$V$1019,IF($S$1268=918,PR!$V$1020,IF($S$1268=919,PR!$V$1021,IF($S$1268=920,PR!$V$1022,IF($S$1268=921,PR!$V$1023,IF($S$1268=922,PR!$V$1024,IF($S$1268=923,PR!$V$1025,IF($S$1268=924,PR!$V$1026,IF($S$1268=925,PR!$V$1027,IF($S$1268=926,PR!$V$1028,IF($S$1268=927,PR!$V$1029,IF($S$1268=928,PR!$V$1030,IF($S$1268=929,PR!$V$1031,IF($S$1268=930,PR!$V$1032,IF($S$1268=931,PR!$V$1033,IF($S$1268=932,PR!$V$1034,IF($S$1268=933,PR!$V$1035,IF($S$1268=934,PR!$V$1036,IF($S$1268=935,PR!$V$1037,IF($S$1268=936,PR!$V$1038,IF($S$1268=937,PR!$V$1039,IF($S$1268=938,PR!$V$1040,IF($S$1268=939,PR!$V$1041,IF($S$1268=940,PR!$V$1042,IF($S$1268=941,PR!$V$1043,IF($S$1268=942,PR!$V$1044,IF($S$1268=943,PR!$V$1045,IF($S$1268=944,PR!$V$1046,IF($S$1268=945,PR!$V$1047,IF($S$1268=946,PR!$V$1048,IF($S$1268=947,PR!$V$1049,IF($S$1268=948,PR!$V$1050,IF($S$1268=949,PR!$V$1051,IF($S$1268=950,PR!$V$1052,IF($S$1268=951,PR!$V$1053,IF($S$1268=952,PR!$V$1054,IF($S$1268=953,PR!$V$1055,IF($S$1268=954,PR!$V$1056,IF($S$1268=955,PR!$V$1057,IF($S$1268=956,PR!$V$1058,IF($S$1268=957,PR!$V$1062,IF($S$1268=958,PR!$V$1063,IF($S$1268=959,PR!$V$1064,IF($S$1268=960,PR!$V$1065,"-"))))))))))))))))))))))))))))))))))))))))))))))))))))))))))))</f>
        <v>0</v>
      </c>
      <c r="D1275" s="602">
        <f>IF($S$1268=901,PR!$W$997,IF($S$1268=902,PR!$W$1004,IF($S$1268=903,PR!$W$1005,IF($S$1268=904,PR!$W$1006,IF($S$1268=905,PR!$W$1007,IF($S$1268=906,PR!$W$1008,IF($S$1268=907,PR!$W$1009,IF($S$1268=908,PR!$W$1010,IF($S$1268=909,PR!$W$1011,IF($S$1268=910,PR!$W$1012,IF($S$1268=911,PR!$W$1013,IF($S$1268=912,PR!$W$1014,IF($S$1268=913,PR!$W$1015,IF($S$1268=914,PR!$W$1016,IF($S$1268=915,PR!$W$1017,IF($S$1268=916,PR!$W$1018,IF($S$1268=917,PR!$W$1019,IF($S$1268=918,PR!$W$1020,IF($S$1268=919,PR!$W$1021,IF($S$1268=920,PR!$W$1022,IF($S$1268=921,PR!$W$1023,IF($S$1268=922,PR!$W$1024,IF($S$1268=923,PR!$W$1025,IF($S$1268=924,PR!$W$1026,IF($S$1268=925,PR!$W$1027,IF($S$1268=926,PR!$W$1028,IF($S$1268=927,PR!$W$1029,IF($S$1268=928,PR!$W$1030,IF($S$1268=929,PR!$W$1031,IF($S$1268=930,PR!$W$1032,IF($S$1268=931,PR!$W$1033,IF($S$1268=932,PR!$W$1034,IF($S$1268=933,PR!$W$1035,IF($S$1268=934,PR!$W$1036,IF($S$1268=935,PR!$W$1037,IF($S$1268=936,PR!$W$1038,IF($S$1268=937,PR!$W$1039,IF($S$1268=938,PR!$W$1040,IF($S$1268=939,PR!$W$1041,IF($S$1268=940,PR!$W$1042,IF($S$1268=941,PR!$W$1043,IF($S$1268=942,PR!$W$1044,IF($S$1268=943,PR!$W$1045,IF($S$1268=944,PR!$W$1046,IF($S$1268=945,PR!$W$1047,IF($S$1268=946,PR!$W$1048,IF($S$1268=947,PR!$W$1049,IF($S$1268=948,PR!$W$1050,IF($S$1268=949,PR!$W$1051,IF($S$1268=950,PR!$W$1052,IF($S$1268=951,PR!$W$1053,IF($S$1268=952,PR!$W$1054,IF($S$1268=953,PR!$W$1055,IF($S$1268=954,PR!$W$1056,IF($S$1268=955,PR!$W$1057,IF($S$1268=956,PR!$W$1058,IF($S$1268=957,PR!$W$1062,IF($S$1268=958,PR!$W$1063,IF($S$1268=959,PR!$W$1064,IF($S$1268=960,PR!$W$1065,"-"))))))))))))))))))))))))))))))))))))))))))))))))))))))))))))</f>
        <v>0</v>
      </c>
      <c r="E1275" s="602">
        <f>IF($S$1268=901,PR!$X$997,IF($S$1268=902,PR!$X$1004,IF($S$1268=903,PR!$X$1005,IF($S$1268=904,PR!$X$1006,IF($S$1268=905,PR!$X$1007,IF($S$1268=906,PR!$X$1008,IF($S$1268=907,PR!$X$1009,IF($S$1268=908,PR!$X$1010,IF($S$1268=909,PR!$X$1011,IF($S$1268=910,PR!$X$1012,IF($S$1268=911,PR!$X$1013,IF($S$1268=912,PR!$X$1014,IF($S$1268=913,PR!$X$1015,IF($S$1268=914,PR!$X$1016,IF($S$1268=915,PR!$X$1017,IF($S$1268=916,PR!$X$1018,IF($S$1268=917,PR!$X$1019,IF($S$1268=918,PR!$X$1020,IF($S$1268=919,PR!$X$1021,IF($S$1268=920,PR!$X$1022,IF($S$1268=921,PR!$X$1023,IF($S$1268=922,PR!$X$1024,IF($S$1268=923,PR!$X$1025,IF($S$1268=924,PR!$X$1026,IF($S$1268=925,PR!$X$1027,IF($S$1268=926,PR!$X$1028,IF($S$1268=927,PR!$X$1029,IF($S$1268=928,PR!$X$1030,IF($S$1268=929,PR!$X$1031,IF($S$1268=930,PR!$X$1032,IF($S$1268=931,PR!$X$1033,IF($S$1268=932,PR!$X$1034,IF($S$1268=933,PR!$X$1035,IF($S$1268=934,PR!$X$1036,IF($S$1268=935,PR!$X$1037,IF($S$1268=936,PR!$X$1038,IF($S$1268=937,PR!$X$1039,IF($S$1268=938,PR!$X$1040,IF($S$1268=939,PR!$X$1041,IF($S$1268=940,PR!$X$1042,IF($S$1268=941,PR!$X$1043,IF($S$1268=942,PR!$X$1044,IF($S$1268=943,PR!$X$1045,IF($S$1268=944,PR!$X$1046,IF($S$1268=945,PR!$X$1047,IF($S$1268=946,PR!$X$1048,IF($S$1268=947,PR!$X$1049,IF($S$1268=948,PR!$X$1050,IF($S$1268=949,PR!$X$1051,IF($S$1268=950,PR!$X$1052,IF($S$1268=951,PR!$X$1053,IF($S$1268=952,PR!$X$1054,IF($S$1268=953,PR!$X$1055,IF($S$1268=954,PR!$X$1056,IF($S$1268=955,PR!$X$1057,IF($S$1268=956,PR!$X$1058,IF($S$1268=957,PR!$X$1062,IF($S$1268=958,PR!$X$1063,IF($S$1268=959,PR!$X$1064,IF($S$1268=960,PR!$X$1065,"-"))))))))))))))))))))))))))))))))))))))))))))))))))))))))))))</f>
        <v>0</v>
      </c>
      <c r="F1275" s="602">
        <f>IF($S$1268=901,PR!$Y$997,IF($S$1268=902,PR!$Y$1004,IF($S$1268=903,PR!$Y$1005,IF($S$1268=904,PR!$Y$1006,IF($S$1268=905,PR!$Y$1007,IF($S$1268=906,PR!$Y$1008,IF($S$1268=907,PR!$Y$1009,IF($S$1268=908,PR!$Y$1010,IF($S$1268=909,PR!$Y$1011,IF($S$1268=910,PR!$Y$1012,IF($S$1268=911,PR!$Y$1013,IF($S$1268=912,PR!$Y$1014,IF($S$1268=913,PR!$Y$1015,IF($S$1268=914,PR!$Y$1016,IF($S$1268=915,PR!$Y$1017,IF($S$1268=916,PR!$Y$1018,IF($S$1268=917,PR!$Y$1019,IF($S$1268=918,PR!$Y$1020,IF($S$1268=919,PR!$Y$1021,IF($S$1268=920,PR!$Y$1022,IF($S$1268=921,PR!$Y$1023,IF($S$1268=922,PR!$Y$1024,IF($S$1268=923,PR!$Y$1025,IF($S$1268=924,PR!$Y$1026,IF($S$1268=925,PR!$Y$1027,IF($S$1268=926,PR!$Y$1028,IF($S$1268=927,PR!$Y$1029,IF($S$1268=928,PR!$Y$1030,IF($S$1268=929,PR!$Y$1031,IF($S$1268=930,PR!$Y$1032,IF($S$1268=931,PR!$Y$1033,IF($S$1268=932,PR!$Y$1034,IF($S$1268=933,PR!$Y$1035,IF($S$1268=934,PR!$Y$1036,IF($S$1268=935,PR!$Y$1037,IF($S$1268=936,PR!$Y$1038,IF($S$1268=937,PR!$Y$1039,IF($S$1268=938,PR!$Y$1040,IF($S$1268=939,PR!$Y$1041,IF($S$1268=940,PR!$Y$1042,IF($S$1268=941,PR!$Y$1043,IF($S$1268=942,PR!$Y$1044,IF($S$1268=943,PR!$Y$1045,IF($S$1268=944,PR!$Y$1046,IF($S$1268=945,PR!$Y$1047,IF($S$1268=946,PR!$Y$1048,IF($S$1268=947,PR!$Y$1049,IF($S$1268=948,PR!$Y$1050,IF($S$1268=949,PR!$Y$1051,IF($S$1268=950,PR!$Y$1052,IF($S$1268=951,PR!$Y$1053,IF($S$1268=952,PR!$Y$1054,IF($S$1268=953,PR!$Y$1055,IF($S$1268=954,PR!$Y$1056,IF($S$1268=955,PR!$Y$1057,IF($S$1268=956,PR!$Y$1058,IF($S$1268=957,PR!$Y$1062,IF($S$1268=958,PR!$Y$1063,IF($S$1268=959,PR!$Y$1064,IF($S$1268=960,PR!$Y$1065,"-"))))))))))))))))))))))))))))))))))))))))))))))))))))))))))))</f>
        <v>0</v>
      </c>
      <c r="G1275" s="602">
        <f>IF($S$1268=901,PR!$Z$997,IF($S$1268=902,PR!$Z$1004,IF($S$1268=903,PR!$Z$1005,IF($S$1268=904,PR!$Z$1006,IF($S$1268=905,PR!$Z$1007,IF($S$1268=906,PR!$Z$1008,IF($S$1268=907,PR!$Z$1009,IF($S$1268=908,PR!$Z$1010,IF($S$1268=909,PR!$Z$1011,IF($S$1268=910,PR!$Z$1012,IF($S$1268=911,PR!$Z$1013,IF($S$1268=912,PR!$Z$1014,IF($S$1268=913,PR!$Z$1015,IF($S$1268=914,PR!$Z$1016,IF($S$1268=915,PR!$Z$1017,IF($S$1268=916,PR!$Z$1018,IF($S$1268=917,PR!$Z$1019,IF($S$1268=918,PR!$Z$1020,IF($S$1268=919,PR!$Z$1021,IF($S$1268=920,PR!$Z$1022,IF($S$1268=921,PR!$Z$1023,IF($S$1268=922,PR!$Z$1024,IF($S$1268=923,PR!$Z$1025,IF($S$1268=924,PR!$Z$1026,IF($S$1268=925,PR!$Z$1027,IF($S$1268=926,PR!$Z$1028,IF($S$1268=927,PR!$Z$1029,IF($S$1268=928,PR!$Z$1030,IF($S$1268=929,PR!$Z$1031,IF($S$1268=930,PR!$Z$1032,IF($S$1268=931,PR!$Z$1033,IF($S$1268=932,PR!$Z$1034,IF($S$1268=933,PR!$Z$1035,IF($S$1268=934,PR!$Z$1036,IF($S$1268=935,PR!$Z$1037,IF($S$1268=936,PR!$Z$1038,IF($S$1268=937,PR!$Z$1039,IF($S$1268=938,PR!$Z$1040,IF($S$1268=939,PR!$Z$1041,IF($S$1268=940,PR!$Z$1042,IF($S$1268=941,PR!$Z$1043,IF($S$1268=942,PR!$Z$1044,IF($S$1268=943,PR!$Z$1045,IF($S$1268=944,PR!$Z$1046,IF($S$1268=945,PR!$Z$1047,IF($S$1268=946,PR!$Z$1048,IF($S$1268=947,PR!$Z$1049,IF($S$1268=948,PR!$Z$1050,IF($S$1268=949,PR!$Z$1051,IF($S$1268=950,PR!$Z$1052,IF($S$1268=951,PR!$Z$1053,IF($S$1268=952,PR!$Z$1054,IF($S$1268=953,PR!$Z$1055,IF($S$1268=954,PR!$Z$1056,IF($S$1268=955,PR!$Z$1057,IF($S$1268=956,PR!$Z$1058,IF($S$1268=957,PR!$Z$1062,IF($S$1268=958,PR!$Z$1063,IF($S$1268=959,PR!$Z$1064,IF($S$1268=960,PR!$Z$1065,"-"))))))))))))))))))))))))))))))))))))))))))))))))))))))))))))</f>
        <v>0</v>
      </c>
      <c r="H1275" s="602">
        <f>IF($S$1268=901,PR!$AA$997,IF($S$1268=902,PR!$AA$1004,IF($S$1268=903,PR!$AA$1005,IF($S$1268=904,PR!$AA$1006,IF($S$1268=905,PR!$AA$1007,IF($S$1268=906,PR!$AA$1008,IF($S$1268=907,PR!$AA$1009,IF($S$1268=908,PR!$AA$1010,IF($S$1268=909,PR!$AA$1011,IF($S$1268=910,PR!$AA$1012,IF($S$1268=911,PR!$AA$1013,IF($S$1268=912,PR!$AA$1014,IF($S$1268=913,PR!$AA$1015,IF($S$1268=914,PR!$AA$1016,IF($S$1268=915,PR!$AA$1017,IF($S$1268=916,PR!$AA$1018,IF($S$1268=917,PR!$AA$1019,IF($S$1268=918,PR!$AA$1020,IF($S$1268=919,PR!$AA$1021,IF($S$1268=920,PR!$AA$1022,IF($S$1268=921,PR!$AA$1023,IF($S$1268=922,PR!$AA$1024,IF($S$1268=923,PR!$AA$1025,IF($S$1268=924,PR!$AA$1026,IF($S$1268=925,PR!$AA$1027,IF($S$1268=926,PR!$AA$1028,IF($S$1268=927,PR!$AA$1029,IF($S$1268=928,PR!$AA$1030,IF($S$1268=929,PR!$AA$1031,IF($S$1268=930,PR!$AA$1032,IF($S$1268=931,PR!$AA$1033,IF($S$1268=932,PR!$AA$1034,IF($S$1268=933,PR!$AA$1035,IF($S$1268=934,PR!$AA$1036,IF($S$1268=935,PR!$AA$1037,IF($S$1268=936,PR!$AA$1038,IF($S$1268=937,PR!$AA$1039,IF($S$1268=938,PR!$AA$1040,IF($S$1268=939,PR!$AA$1041,IF($S$1268=940,PR!$AA$1042,IF($S$1268=941,PR!$AA$1043,IF($S$1268=942,PR!$AA$1044,IF($S$1268=943,PR!$AA$1045,IF($S$1268=944,PR!$AA$1046,IF($S$1268=945,PR!$AA$1047,IF($S$1268=946,PR!$AA$1048,IF($S$1268=947,PR!$AA$1049,IF($S$1268=948,PR!$AA$1050,IF($S$1268=949,PR!$AA$1051,IF($S$1268=950,PR!$AA$1052,IF($S$1268=951,PR!$AA$1053,IF($S$1268=952,PR!$AA$1054,IF($S$1268=953,PR!$AA$1055,IF($S$1268=954,PR!$AA$1056,IF($S$1268=955,PR!$AA$1057,IF($S$1268=956,PR!$AA$1058,IF($S$1268=957,PR!$AA$1062,IF($S$1268=958,PR!$AA$1063,IF($S$1268=959,PR!$AA$1064,IF($S$1268=960,PR!$AA$1065,"-"))))))))))))))))))))))))))))))))))))))))))))))))))))))))))))</f>
        <v>0</v>
      </c>
      <c r="I1275" s="602">
        <f>IF($S$1268=901,PR!$AB$997,IF($S$1268=902,PR!$AB$1004,IF($S$1268=903,PR!$AB$1005,IF($S$1268=904,PR!$AB$1006,IF($S$1268=905,PR!$AB$1007,IF($S$1268=906,PR!$AB$1008,IF($S$1268=907,PR!$AB$1009,IF($S$1268=908,PR!$AB$1010,IF($S$1268=909,PR!$AB$1011,IF($S$1268=910,PR!$AB$1012,IF($S$1268=911,PR!$AB$1013,IF($S$1268=912,PR!$AB$1014,IF($S$1268=913,PR!$AB$1015,IF($S$1268=914,PR!$AB$1016,IF($S$1268=915,PR!$AB$1017,IF($S$1268=916,PR!$AB$1018,IF($S$1268=917,PR!$AB$1019,IF($S$1268=918,PR!$AB$1020,IF($S$1268=919,PR!$AB$1021,IF($S$1268=920,PR!$AB$1022,IF($S$1268=921,PR!$AB$1023,IF($S$1268=922,PR!$AB$1024,IF($S$1268=923,PR!$AB$1025,IF($S$1268=924,PR!$AB$1026,IF($S$1268=925,PR!$AB$1027,IF($S$1268=926,PR!$AB$1028,IF($S$1268=927,PR!$AB$1029,IF($S$1268=928,PR!$AB$1030,IF($S$1268=929,PR!$AB$1031,IF($S$1268=930,PR!$AB$1032,IF($S$1268=931,PR!$AB$1033,IF($S$1268=932,PR!$AB$1034,IF($S$1268=933,PR!$AB$1035,IF($S$1268=934,PR!$AB$1036,IF($S$1268=935,PR!$AB$1037,IF($S$1268=936,PR!$AB$1038,IF($S$1268=937,PR!$AB$1039,IF($S$1268=938,PR!$AB$1040,IF($S$1268=939,PR!$AB$1041,IF($S$1268=940,PR!$AB$1042,IF($S$1268=941,PR!$AB$1043,IF($S$1268=942,PR!$AB$1044,IF($S$1268=943,PR!$AB$1045,IF($S$1268=944,PR!$AB$1046,IF($S$1268=945,PR!$AB$1047,IF($S$1268=946,PR!$AB$1048,IF($S$1268=947,PR!$AB$1049,IF($S$1268=948,PR!$AB$1050,IF($S$1268=949,PR!$AB$1051,IF($S$1268=950,PR!$AB$1052,IF($S$1268=951,PR!$AB$1053,IF($S$1268=952,PR!$AB$1054,IF($S$1268=953,PR!$AB$1055,IF($S$1268=954,PR!$AB$1056,IF($S$1268=955,PR!$AB$1057,IF($S$1268=956,PR!$AB$1058,IF($S$1268=957,PR!$AB$1062,IF($S$1268=958,PR!$AB$1063,IF($S$1268=959,PR!$AB$1064,IF($S$1268=960,PR!$AB$1065,"-"))))))))))))))))))))))))))))))))))))))))))))))))))))))))))))</f>
        <v>0</v>
      </c>
      <c r="J1275" s="602">
        <f>IF($S$1268=901,PR!$AC$997,IF($S$1268=902,PR!$AC$1004,IF($S$1268=903,PR!$AC$1005,IF($S$1268=904,PR!$AC$1006,IF($S$1268=905,PR!$AC$1007,IF($S$1268=906,PR!$AC$1008,IF($S$1268=907,PR!$AC$1009,IF($S$1268=908,PR!$AC$1010,IF($S$1268=909,PR!$AC$1011,IF($S$1268=910,PR!$AC$1012,IF($S$1268=911,PR!$AC$1013,IF($S$1268=912,PR!$AC$1014,IF($S$1268=913,PR!$AC$1015,IF($S$1268=914,PR!$AC$1016,IF($S$1268=915,PR!$AC$1017,IF($S$1268=916,PR!$AC$1018,IF($S$1268=917,PR!$AC$1019,IF($S$1268=918,PR!$AC$1020,IF($S$1268=919,PR!$AC$1021,IF($S$1268=920,PR!$AC$1022,IF($S$1268=921,PR!$AC$1023,IF($S$1268=922,PR!$AC$1024,IF($S$1268=923,PR!$AC$1025,IF($S$1268=924,PR!$AC$1026,IF($S$1268=925,PR!$AC$1027,IF($S$1268=926,PR!$AC$1028,IF($S$1268=927,PR!$AC$1029,IF($S$1268=928,PR!$AC$1030,IF($S$1268=929,PR!$AC$1031,IF($S$1268=930,PR!$AC$1032,IF($S$1268=931,PR!$AC$1033,IF($S$1268=932,PR!$AC$1034,IF($S$1268=933,PR!$AC$1035,IF($S$1268=934,PR!$AC$1036,IF($S$1268=935,PR!$AC$1037,IF($S$1268=936,PR!$AC$1038,IF($S$1268=937,PR!$AC$1039,IF($S$1268=938,PR!$AC$1040,IF($S$1268=939,PR!$AC$1041,IF($S$1268=940,PR!$AC$1042,IF($S$1268=941,PR!$AC$1043,IF($S$1268=942,PR!$AC$1044,IF($S$1268=943,PR!$AC$1045,IF($S$1268=944,PR!$AC$1046,IF($S$1268=945,PR!$AC$1047,IF($S$1268=946,PR!$AC$1048,IF($S$1268=947,PR!$AC$1049,IF($S$1268=948,PR!$AC$1050,IF($S$1268=949,PR!$AC$1051,IF($S$1268=950,PR!$AC$1052,IF($S$1268=951,PR!$AC$1053,IF($S$1268=952,PR!$AC$1054,IF($S$1268=953,PR!$AC$1055,IF($S$1268=954,PR!$AC$1056,IF($S$1268=955,PR!$AC$1057,IF($S$1268=956,PR!$AC$1058,IF($S$1268=957,PR!$AC$1062,IF($S$1268=958,PR!$AC$1063,IF($S$1268=959,PR!$AC$1064,IF($S$1268=960,PR!$AC$1065,"-"))))))))))))))))))))))))))))))))))))))))))))))))))))))))))))</f>
        <v>0</v>
      </c>
      <c r="K1275" s="602">
        <f>IF($S$1268=901,PR!$AD$997,IF($S$1268=902,PR!$AD$1004,IF($S$1268=903,PR!$AD$1005,IF($S$1268=904,PR!$AD$1006,IF($S$1268=905,PR!$AD$1007,IF($S$1268=906,PR!$AD$1008,IF($S$1268=907,PR!$AD$1009,IF($S$1268=908,PR!$AD$1010,IF($S$1268=909,PR!$AD$1011,IF($S$1268=910,PR!$AD$1012,IF($S$1268=911,PR!$AD$1013,IF($S$1268=912,PR!$AD$1014,IF($S$1268=913,PR!$AD$1015,IF($S$1268=914,PR!$AD$1016,IF($S$1268=915,PR!$AD$1017,IF($S$1268=916,PR!$AD$1018,IF($S$1268=917,PR!$AD$1019,IF($S$1268=918,PR!$AD$1020,IF($S$1268=919,PR!$AD$1021,IF($S$1268=920,PR!$AD$1022,IF($S$1268=921,PR!$AD$1023,IF($S$1268=922,PR!$AD$1024,IF($S$1268=923,PR!$AD$1025,IF($S$1268=924,PR!$AD$1026,IF($S$1268=925,PR!$AD$1027,IF($S$1268=926,PR!$AD$1028,IF($S$1268=927,PR!$AD$1029,IF($S$1268=928,PR!$AD$1030,IF($S$1268=929,PR!$AD$1031,IF($S$1268=930,PR!$AD$1032,IF($S$1268=931,PR!$AD$1033,IF($S$1268=932,PR!$AD$1034,IF($S$1268=933,PR!$AD$1035,IF($S$1268=934,PR!$AD$1036,IF($S$1268=935,PR!$AD$1037,IF($S$1268=936,PR!$AD$1038,IF($S$1268=937,PR!$AD$1039,IF($S$1268=938,PR!$AD$1040,IF($S$1268=939,PR!$AD$1041,IF($S$1268=940,PR!$AD$1042,IF($S$1268=941,PR!$AD$1043,IF($S$1268=942,PR!$AD$1044,IF($S$1268=943,PR!$AD$1045,IF($S$1268=944,PR!$AD$1046,IF($S$1268=945,PR!$AD$1047,IF($S$1268=946,PR!$AD$1048,IF($S$1268=947,PR!$AD$1049,IF($S$1268=948,PR!$AD$1050,IF($S$1268=949,PR!$AD$1051,IF($S$1268=950,PR!$AD$1052,IF($S$1268=951,PR!$AD$1053,IF($S$1268=952,PR!$AD$1054,IF($S$1268=953,PR!$AD$1055,IF($S$1268=954,PR!$AD$1056,IF($S$1268=955,PR!$AD$1057,IF($S$1268=956,PR!$AD$1058,IF($S$1268=957,PR!$AD$1062,IF($S$1268=958,PR!$AD$1063,IF($S$1268=959,PR!$AD$1064,IF($S$1268=960,PR!$AD$1065,"-"))))))))))))))))))))))))))))))))))))))))))))))))))))))))))))</f>
        <v>0</v>
      </c>
      <c r="L1275" s="602">
        <f>IF($S$1268=901,PR!$AE$997,IF($S$1268=902,PR!$AE$1004,IF($S$1268=903,PR!$AE$1005,IF($S$1268=904,PR!$AE$1006,IF($S$1268=905,PR!$AE$1007,IF($S$1268=906,PR!$AE$1008,IF($S$1268=907,PR!$AE$1009,IF($S$1268=908,PR!$AE$1010,IF($S$1268=909,PR!$AE$1011,IF($S$1268=910,PR!$AE$1012,IF($S$1268=911,PR!$AE$1013,IF($S$1268=912,PR!$AE$1014,IF($S$1268=913,PR!$AE$1015,IF($S$1268=914,PR!$AE$1016,IF($S$1268=915,PR!$AE$1017,IF($S$1268=916,PR!$AE$1018,IF($S$1268=917,PR!$AE$1019,IF($S$1268=918,PR!$AE$1020,IF($S$1268=919,PR!$AE$1021,IF($S$1268=920,PR!$AE$1022,IF($S$1268=921,PR!$AE$1023,IF($S$1268=922,PR!$AE$1024,IF($S$1268=923,PR!$AE$1025,IF($S$1268=924,PR!$AE$1026,IF($S$1268=925,PR!$AE$1027,IF($S$1268=926,PR!$AE$1028,IF($S$1268=927,PR!$AE$1029,IF($S$1268=928,PR!$AE$1030,IF($S$1268=929,PR!$AE$1031,IF($S$1268=930,PR!$AE$1032,IF($S$1268=931,PR!$AE$1033,IF($S$1268=932,PR!$AE$1034,IF($S$1268=933,PR!$AE$1035,IF($S$1268=934,PR!$AE$1036,IF($S$1268=935,PR!$AE$1037,IF($S$1268=936,PR!$AE$1038,IF($S$1268=937,PR!$AE$1039,IF($S$1268=938,PR!$AE$1040,IF($S$1268=939,PR!$AE$1041,IF($S$1268=940,PR!$AE$1042,IF($S$1268=941,PR!$AE$1043,IF($S$1268=942,PR!$AE$1044,IF($S$1268=943,PR!$AE$1045,IF($S$1268=944,PR!$AE$1046,IF($S$1268=945,PR!$AE$1047,IF($S$1268=946,PR!$AE$1048,IF($S$1268=947,PR!$AE$1049,IF($S$1268=948,PR!$AE$1050,IF($S$1268=949,PR!$AE$1051,IF($S$1268=950,PR!$AE$1052,IF($S$1268=951,PR!$AE$1053,IF($S$1268=952,PR!$AE$1054,IF($S$1268=953,PR!$AE$1055,IF($S$1268=954,PR!$AE$1056,IF($S$1268=955,PR!$AE$1057,IF($S$1268=956,PR!$AE$1058,IF($S$1268=957,PR!$AE$1062,IF($S$1268=958,PR!$AE$1063,IF($S$1268=959,PR!$AE$1064,IF($S$1268=960,PR!$AE$1065,"-"))))))))))))))))))))))))))))))))))))))))))))))))))))))))))))</f>
        <v>0</v>
      </c>
      <c r="M1275" s="602">
        <f>IF($S$1268=901,PR!$AF$997,IF($S$1268=902,PR!$AF$1004,IF($S$1268=903,PR!$AF$1005,IF($S$1268=904,PR!$AF$1006,IF($S$1268=905,PR!$AF$1007,IF($S$1268=906,PR!$AF$1008,IF($S$1268=907,PR!$AF$1009,IF($S$1268=908,PR!$AF$1010,IF($S$1268=909,PR!$AF$1011,IF($S$1268=910,PR!$AF$1012,IF($S$1268=911,PR!$AF$1013,IF($S$1268=912,PR!$AF$1014,IF($S$1268=913,PR!$AF$1015,IF($S$1268=914,PR!$AF$1016,IF($S$1268=915,PR!$AF$1017,IF($S$1268=916,PR!$AF$1018,IF($S$1268=917,PR!$AF$1019,IF($S$1268=918,PR!$AF$1020,IF($S$1268=919,PR!$AF$1021,IF($S$1268=920,PR!$AF$1022,IF($S$1268=921,PR!$AF$1023,IF($S$1268=922,PR!$AF$1024,IF($S$1268=923,PR!$AF$1025,IF($S$1268=924,PR!$AF$1026,IF($S$1268=925,PR!$AF$1027,IF($S$1268=926,PR!$AF$1028,IF($S$1268=927,PR!$AF$1029,IF($S$1268=928,PR!$AF$1030,IF($S$1268=929,PR!$AF$1031,IF($S$1268=930,PR!$AF$1032,IF($S$1268=931,PR!$AF$1033,IF($S$1268=932,PR!$AF$1034,IF($S$1268=933,PR!$AF$1035,IF($S$1268=934,PR!$AF$1036,IF($S$1268=935,PR!$AF$1037,IF($S$1268=936,PR!$AF$1038,IF($S$1268=937,PR!$AF$1039,IF($S$1268=938,PR!$AF$1040,IF($S$1268=939,PR!$AF$1041,IF($S$1268=940,PR!$AF$1042,IF($S$1268=941,PR!$AF$1043,IF($S$1268=942,PR!$AF$1044,IF($S$1268=943,PR!$AF$1045,IF($S$1268=944,PR!$AF$1046,IF($S$1268=945,PR!$AF$1047,IF($S$1268=946,PR!$AF$1048,IF($S$1268=947,PR!$AF$1049,IF($S$1268=948,PR!$AF$1050,IF($S$1268=949,PR!$AF$1051,IF($S$1268=950,PR!$AF$1052,IF($S$1268=951,PR!$AF$1053,IF($S$1268=952,PR!$AF$1054,IF($S$1268=953,PR!$AF$1055,IF($S$1268=954,PR!$AF$1056,IF($S$1268=955,PR!$AF$1057,IF($S$1268=956,PR!$AF$1058,IF($S$1268=957,PR!$AF$1062,IF($S$1268=958,PR!$AF$1063,IF($S$1268=959,PR!$AF$1064,IF($S$1268=960,PR!$AF$1065,"-"))))))))))))))))))))))))))))))))))))))))))))))))))))))))))))</f>
        <v>0</v>
      </c>
      <c r="N1275" s="602">
        <f>IF($S$1268=901,PR!$AG$997,IF($S$1268=902,PR!$AG$1004,IF($S$1268=903,PR!$AG$1005,IF($S$1268=904,PR!$AG$1006,IF($S$1268=905,PR!$AG$1007,IF($S$1268=906,PR!$AG$1008,IF($S$1268=907,PR!$AG$1009,IF($S$1268=908,PR!$AG$1010,IF($S$1268=909,PR!$AG$1011,IF($S$1268=910,PR!$AG$1012,IF($S$1268=911,PR!$AG$1013,IF($S$1268=912,PR!$AG$1014,IF($S$1268=913,PR!$AG$1015,IF($S$1268=914,PR!$AG$1016,IF($S$1268=915,PR!$AG$1017,IF($S$1268=916,PR!$AG$1018,IF($S$1268=917,PR!$AG$1019,IF($S$1268=918,PR!$AG$1020,IF($S$1268=919,PR!$AG$1021,IF($S$1268=920,PR!$AG$1022,IF($S$1268=921,PR!$AG$1023,IF($S$1268=922,PR!$AG$1024,IF($S$1268=923,PR!$AG$1025,IF($S$1268=924,PR!$AG$1026,IF($S$1268=925,PR!$AG$1027,IF($S$1268=926,PR!$AG$1028,IF($S$1268=927,PR!$AG$1029,IF($S$1268=928,PR!$AG$1030,IF($S$1268=929,PR!$AG$1031,IF($S$1268=930,PR!$AG$1032,IF($S$1268=931,PR!$AG$1033,IF($S$1268=932,PR!$AG$1034,IF($S$1268=933,PR!$AG$1035,IF($S$1268=934,PR!$AG$1036,IF($S$1268=935,PR!$AG$1037,IF($S$1268=936,PR!$AG$1038,IF($S$1268=937,PR!$AG$1039,IF($S$1268=938,PR!$AG$1040,IF($S$1268=939,PR!$AG$1041,IF($S$1268=940,PR!$AG$1042,IF($S$1268=941,PR!$AG$1043,IF($S$1268=942,PR!$AG$1044,IF($S$1268=943,PR!$AG$1045,IF($S$1268=944,PR!$AG$1046,IF($S$1268=945,PR!$AG$1047,IF($S$1268=946,PR!$AG$1048,IF($S$1268=947,PR!$AG$1049,IF($S$1268=948,PR!$AG$1050,IF($S$1268=949,PR!$AG$1051,IF($S$1268=950,PR!$AG$1052,IF($S$1268=951,PR!$AG$1053,IF($S$1268=952,PR!$AG$1054,IF($S$1268=953,PR!$AG$1055,IF($S$1268=954,PR!$AG$1056,IF($S$1268=955,PR!$AG$1057,IF($S$1268=956,PR!$AG$1058,IF($S$1268=957,PR!$AG$1062,IF($S$1268=958,PR!$AG$1063,IF($S$1268=959,PR!$AG$1064,IF($S$1268=960,PR!$AG$1065,"-"))))))))))))))))))))))))))))))))))))))))))))))))))))))))))))</f>
        <v>0</v>
      </c>
      <c r="O1275" s="602">
        <f>IF($S$1268=901,PR!$AH$997,IF($S$1268=902,PR!$AH$1004,IF($S$1268=903,PR!$AH$1005,IF($S$1268=904,PR!$AH$1006,IF($S$1268=905,PR!$AH$1007,IF($S$1268=906,PR!$AH$1008,IF($S$1268=907,PR!$AH$1009,IF($S$1268=908,PR!$AH$1010,IF($S$1268=909,PR!$AH$1011,IF($S$1268=910,PR!$AH$1012,IF($S$1268=911,PR!$AH$1013,IF($S$1268=912,PR!$AH$1014,IF($S$1268=913,PR!$AH$1015,IF($S$1268=914,PR!$AH$1016,IF($S$1268=915,PR!$AH$1017,IF($S$1268=916,PR!$AH$1018,IF($S$1268=917,PR!$AH$1019,IF($S$1268=918,PR!$AH$1020,IF($S$1268=919,PR!$AH$1021,IF($S$1268=920,PR!$AH$1022,IF($S$1268=921,PR!$AH$1023,IF($S$1268=922,PR!$AH$1024,IF($S$1268=923,PR!$AH$1025,IF($S$1268=924,PR!$AH$1026,IF($S$1268=925,PR!$AH$1027,IF($S$1268=926,PR!$AH$1028,IF($S$1268=927,PR!$AH$1029,IF($S$1268=928,PR!$AH$1030,IF($S$1268=929,PR!$AH$1031,IF($S$1268=930,PR!$AH$1032,IF($S$1268=931,PR!$AH$1033,IF($S$1268=932,PR!$AH$1034,IF($S$1268=933,PR!$AH$1035,IF($S$1268=934,PR!$AH$1036,IF($S$1268=935,PR!$AH$1037,IF($S$1268=936,PR!$AH$1038,IF($S$1268=937,PR!$AH$1039,IF($S$1268=938,PR!$AH$1040,IF($S$1268=939,PR!$AH$1041,IF($S$1268=940,PR!$AH$1042,IF($S$1268=941,PR!$AH$1043,IF($S$1268=942,PR!$AH$1044,IF($S$1268=943,PR!$AH$1045,IF($S$1268=944,PR!$AH$1046,IF($S$1268=945,PR!$AH$1047,IF($S$1268=946,PR!$AH$1048,IF($S$1268=947,PR!$AH$1049,IF($S$1268=948,PR!$AH$1050,IF($S$1268=949,PR!$AH$1051,IF($S$1268=950,PR!$AH$1052,IF($S$1268=951,PR!$AH$1053,IF($S$1268=952,PR!$AH$1054,IF($S$1268=953,PR!$AH$1055,IF($S$1268=954,PR!$AH$1056,IF($S$1268=955,PR!$AH$1057,IF($S$1268=956,PR!$AH$1058,IF($S$1268=957,PR!$AH$1062,IF($S$1268=958,PR!$AH$1063,IF($S$1268=959,PR!$AH$1064,IF($S$1268=960,PR!$AH$1065,"-"))))))))))))))))))))))))))))))))))))))))))))))))))))))))))))</f>
        <v>0</v>
      </c>
      <c r="P1275" s="602">
        <f>IF($S$1268=901,PR!$AI$997,IF($S$1268=902,PR!$AI$1004,IF($S$1268=903,PR!$AI$1005,IF($S$1268=904,PR!$AI$1006,IF($S$1268=905,PR!$AI$1007,IF($S$1268=906,PR!$AI$1008,IF($S$1268=907,PR!$AI$1009,IF($S$1268=908,PR!$AI$1010,IF($S$1268=909,PR!$AI$1011,IF($S$1268=910,PR!$AI$1012,IF($S$1268=911,PR!$AI$1013,IF($S$1268=912,PR!$AI$1014,IF($S$1268=913,PR!$AI$1015,IF($S$1268=914,PR!$AI$1016,IF($S$1268=915,PR!$AI$1017,IF($S$1268=916,PR!$AI$1018,IF($S$1268=917,PR!$AI$1019,IF($S$1268=918,PR!$AI$1020,IF($S$1268=919,PR!$AI$1021,IF($S$1268=920,PR!$AI$1022,IF($S$1268=921,PR!$AI$1023,IF($S$1268=922,PR!$AI$1024,IF($S$1268=923,PR!$AI$1025,IF($S$1268=924,PR!$AI$1026,IF($S$1268=925,PR!$AI$1027,IF($S$1268=926,PR!$AI$1028,IF($S$1268=927,PR!$AI$1029,IF($S$1268=928,PR!$AI$1030,IF($S$1268=929,PR!$AI$1031,IF($S$1268=930,PR!$AI$1032,IF($S$1268=931,PR!$AI$1033,IF($S$1268=932,PR!$AI$1034,IF($S$1268=933,PR!$AI$1035,IF($S$1268=934,PR!$AI$1036,IF($S$1268=935,PR!$AI$1037,IF($S$1268=936,PR!$AI$1038,IF($S$1268=937,PR!$AI$1039,IF($S$1268=938,PR!$AI$1040,IF($S$1268=939,PR!$AI$1041,IF($S$1268=940,PR!$AI$1042,IF($S$1268=941,PR!$AI$1043,IF($S$1268=942,PR!$AI$1044,IF($S$1268=943,PR!$AI$1045,IF($S$1268=944,PR!$AI$1046,IF($S$1268=945,PR!$AI$1047,IF($S$1268=946,PR!$AI$1048,IF($S$1268=947,PR!$AI$1049,IF($S$1268=948,PR!$AI$1050,IF($S$1268=949,PR!$AI$1051,IF($S$1268=950,PR!$AI$1052,IF($S$1268=951,PR!$AI$1053,IF($S$1268=952,PR!$AI$1054,IF($S$1268=953,PR!$AI$1055,IF($S$1268=954,PR!$AI$1056,IF($S$1268=955,PR!$AI$1057,IF($S$1268=956,PR!$AI$1058,IF($S$1268=957,PR!$AI$1062,IF($S$1268=958,PR!$AI$1063,IF($S$1268=959,PR!$AI$1064,IF($S$1268=960,PR!$AI$1065,"-"))))))))))))))))))))))))))))))))))))))))))))))))))))))))))))</f>
        <v>0</v>
      </c>
      <c r="Q1275" s="602">
        <f>IF($S$1268=901,PR!$AJ$997,IF($S$1268=902,PR!$AJ$1004,IF($S$1268=903,PR!$AJ$1005,IF($S$1268=904,PR!$AJ$1006,IF($S$1268=905,PR!$AJ$1007,IF($S$1268=906,PR!$AJ$1008,IF($S$1268=907,PR!$AJ$1009,IF($S$1268=908,PR!$AJ$1010,IF($S$1268=909,PR!$AJ$1011,IF($S$1268=910,PR!$AJ$1012,IF($S$1268=911,PR!$AJ$1013,IF($S$1268=912,PR!$AJ$1014,IF($S$1268=913,PR!$AJ$1015,IF($S$1268=914,PR!$AJ$1016,IF($S$1268=915,PR!$AJ$1017,IF($S$1268=916,PR!$AJ$1018,IF($S$1268=917,PR!$AJ$1019,IF($S$1268=918,PR!$AJ$1020,IF($S$1268=919,PR!$AJ$1021,IF($S$1268=920,PR!$AJ$1022,IF($S$1268=921,PR!$AJ$1023,IF($S$1268=922,PR!$AJ$1024,IF($S$1268=923,PR!$AJ$1025,IF($S$1268=924,PR!$AJ$1026,IF($S$1268=925,PR!$AJ$1027,IF($S$1268=926,PR!$AJ$1028,IF($S$1268=927,PR!$AJ$1029,IF($S$1268=928,PR!$AJ$1030,IF($S$1268=929,PR!$AJ$1031,IF($S$1268=930,PR!$AJ$1032,IF($S$1268=931,PR!$AJ$1033,IF($S$1268=932,PR!$AJ$1034,IF($S$1268=933,PR!$AJ$1035,IF($S$1268=934,PR!$AJ$1036,IF($S$1268=935,PR!$AJ$1037,IF($S$1268=936,PR!$AJ$1038,IF($S$1268=937,PR!$AJ$1039,IF($S$1268=938,PR!$AJ$1040,IF($S$1268=939,PR!$AJ$1041,IF($S$1268=940,PR!$AJ$1042,IF($S$1268=941,PR!$AJ$1043,IF($S$1268=942,PR!$AJ$1044,IF($S$1268=943,PR!$AJ$1045,IF($S$1268=944,PR!$AJ$1046,IF($S$1268=945,PR!$AJ$1047,IF($S$1268=946,PR!$AJ$1048,IF($S$1268=947,PR!$AJ$1049,IF($S$1268=948,PR!$AJ$1050,IF($S$1268=949,PR!$AJ$1051,IF($S$1268=950,PR!$AJ$1052,IF($S$1268=951,PR!$AJ$1053,IF($S$1268=952,PR!$AJ$1054,IF($S$1268=953,PR!$AJ$1055,IF($S$1268=954,PR!$AJ$1056,IF($S$1268=955,PR!$AJ$1057,IF($S$1268=956,PR!$AJ$1058,IF($S$1268=957,PR!$AJ$1062,IF($S$1268=958,PR!$AJ$1063,IF($S$1268=959,PR!$AJ$1064,IF($S$1268=960,PR!$AJ$1065,"-"))))))))))))))))))))))))))))))))))))))))))))))))))))))))))))</f>
        <v>0</v>
      </c>
      <c r="R1275" s="602">
        <f>IF($S$1268=901,PR!$AK$997,IF($S$1268=902,PR!$AK$1004,IF($S$1268=903,PR!$AK$1005,IF($S$1268=904,PR!$AK$1006,IF($S$1268=905,PR!$AK$1007,IF($S$1268=906,PR!$AK$1008,IF($S$1268=907,PR!$AK$1009,IF($S$1268=908,PR!$AK$1010,IF($S$1268=909,PR!$AK$1011,IF($S$1268=910,PR!$AK$1012,IF($S$1268=911,PR!$AK$1013,IF($S$1268=912,PR!$AK$1014,IF($S$1268=913,PR!$AK$1015,IF($S$1268=914,PR!$AK$1016,IF($S$1268=915,PR!$AK$1017,IF($S$1268=916,PR!$AK$1018,IF($S$1268=917,PR!$AK$1019,IF($S$1268=918,PR!$AK$1020,IF($S$1268=919,PR!$AK$1021,IF($S$1268=920,PR!$AK$1022,IF($S$1268=921,PR!$AK$1023,IF($S$1268=922,PR!$AK$1024,IF($S$1268=923,PR!$AK$1025,IF($S$1268=924,PR!$AK$1026,IF($S$1268=925,PR!$AK$1027,IF($S$1268=926,PR!$AK$1028,IF($S$1268=927,PR!$AK$1029,IF($S$1268=928,PR!$AK$1030,IF($S$1268=929,PR!$AK$1031,IF($S$1268=930,PR!$AK$1032,IF($S$1268=931,PR!$AK$1033,IF($S$1268=932,PR!$AK$1034,IF($S$1268=933,PR!$AK$1035,IF($S$1268=934,PR!$AK$1036,IF($S$1268=935,PR!$AK$1037,IF($S$1268=936,PR!$AK$1038,IF($S$1268=937,PR!$AK$1039,IF($S$1268=938,PR!$AK$1040,IF($S$1268=939,PR!$AK$1041,IF($S$1268=940,PR!$AK$1042,IF($S$1268=941,PR!$AK$1043,IF($S$1268=942,PR!$AK$1044,IF($S$1268=943,PR!$AK$1045,IF($S$1268=944,PR!$AK$1046,IF($S$1268=945,PR!$AK$1047,IF($S$1268=946,PR!$AK$1048,IF($S$1268=947,PR!$AK$1049,IF($S$1268=948,PR!$AK$1050,IF($S$1268=949,PR!$AK$1051,IF($S$1268=950,PR!$AK$1052,IF($S$1268=951,PR!$AK$1053,IF($S$1268=952,PR!$AK$1054,IF($S$1268=953,PR!$AK$1055,IF($S$1268=954,PR!$AK$1056,IF($S$1268=955,PR!$AK$1057,IF($S$1268=956,PR!$AK$1058,IF($S$1268=957,PR!$AK$1062,IF($S$1268=958,PR!$AK$1063,IF($S$1268=959,PR!$AK$1064,IF($S$1268=960,PR!$AK$1065,"-"))))))))))))))))))))))))))))))))))))))))))))))))))))))))))))</f>
        <v>0</v>
      </c>
      <c r="S1275" s="602">
        <f>IF($S$1268=901,PR!$AL$997,IF($S$1268=902,PR!$AL$1004,IF($S$1268=903,PR!$AL$1005,IF($S$1268=904,PR!$AL$1006,IF($S$1268=905,PR!$AL$1007,IF($S$1268=906,PR!$AL$1008,IF($S$1268=907,PR!$AL$1009,IF($S$1268=908,PR!$AL$1010,IF($S$1268=909,PR!$AL$1011,IF($S$1268=910,PR!$AL$1012,IF($S$1268=911,PR!$AL$1013,IF($S$1268=912,PR!$AL$1014,IF($S$1268=913,PR!$AL$1015,IF($S$1268=914,PR!$AL$1016,IF($S$1268=915,PR!$AL$1017,IF($S$1268=916,PR!$AL$1018,IF($S$1268=917,PR!$AL$1019,IF($S$1268=918,PR!$AL$1020,IF($S$1268=919,PR!$AL$1021,IF($S$1268=920,PR!$AL$1022,IF($S$1268=921,PR!$AL$1023,IF($S$1268=922,PR!$AL$1024,IF($S$1268=923,PR!$AL$1025,IF($S$1268=924,PR!$AL$1026,IF($S$1268=925,PR!$AL$1027,IF($S$1268=926,PR!$AL$1028,IF($S$1268=927,PR!$AL$1029,IF($S$1268=928,PR!$AL$1030,IF($S$1268=929,PR!$AL$1031,IF($S$1268=930,PR!$AL$1032,IF($S$1268=931,PR!$AL$1033,IF($S$1268=932,PR!$AL$1034,IF($S$1268=933,PR!$AL$1035,IF($S$1268=934,PR!$AL$1036,IF($S$1268=935,PR!$AL$1037,IF($S$1268=936,PR!$AL$1038,IF($S$1268=937,PR!$AL$1039,IF($S$1268=938,PR!$AL$1040,IF($S$1268=939,PR!$AL$1041,IF($S$1268=940,PR!$AL$1042,IF($S$1268=941,PR!$AL$1043,IF($S$1268=942,PR!$AL$1044,IF($S$1268=943,PR!$AL$1045,IF($S$1268=944,PR!$AL$1046,IF($S$1268=945,PR!$AL$1047,IF($S$1268=946,PR!$AL$1048,IF($S$1268=947,PR!$AL$1049,IF($S$1268=948,PR!$AL$1050,IF($S$1268=949,PR!$AL$1051,IF($S$1268=950,PR!$AL$1052,IF($S$1268=951,PR!$AL$1053,IF($S$1268=952,PR!$AL$1054,IF($S$1268=953,PR!$AL$1055,IF($S$1268=954,PR!$AL$1056,IF($S$1268=955,PR!$AL$1057,IF($S$1268=956,PR!$AL$1058,IF($S$1268=957,PR!$AL$1062,IF($S$1268=958,PR!$AL$1063,IF($S$1268=959,PR!$AL$1064,IF($S$1268=960,PR!$AL$1065,"-"))))))))))))))))))))))))))))))))))))))))))))))))))))))))))))</f>
        <v>0</v>
      </c>
      <c r="T1275" s="580"/>
      <c r="U1275" s="580"/>
      <c r="V1275" s="32"/>
      <c r="W1275" s="32"/>
      <c r="X1275" s="32"/>
    </row>
    <row r="1276" spans="2:24" ht="8.25" customHeight="1" x14ac:dyDescent="0.25">
      <c r="B1276" s="580"/>
      <c r="C1276" s="603"/>
      <c r="D1276" s="604"/>
      <c r="E1276" s="604"/>
      <c r="F1276" s="604"/>
      <c r="G1276" s="604"/>
      <c r="H1276" s="604"/>
      <c r="I1276" s="604"/>
      <c r="J1276" s="604"/>
      <c r="K1276" s="604"/>
      <c r="L1276" s="604"/>
      <c r="M1276" s="604"/>
      <c r="N1276" s="604"/>
      <c r="O1276" s="604"/>
      <c r="P1276" s="604"/>
      <c r="Q1276" s="604"/>
      <c r="R1276" s="606"/>
      <c r="S1276" s="606"/>
      <c r="T1276" s="580"/>
      <c r="U1276" s="580"/>
      <c r="V1276" s="32"/>
      <c r="W1276" s="32"/>
      <c r="X1276" s="32"/>
    </row>
    <row r="1277" spans="2:24" ht="15.75" thickBot="1" x14ac:dyDescent="0.3">
      <c r="B1277" s="580"/>
      <c r="C1277" s="600" t="str">
        <f>N!$C$38</f>
        <v>MWORLD</v>
      </c>
      <c r="D1277" s="600" t="str">
        <f>N!$C$39</f>
        <v>MEGA</v>
      </c>
      <c r="E1277" s="600" t="str">
        <f>N!$C$40</f>
        <v>MICRONOVA</v>
      </c>
      <c r="F1277" s="600" t="str">
        <f>N!$C$41</f>
        <v>MFLASH</v>
      </c>
      <c r="G1277" s="600" t="str">
        <f>N!$C$42</f>
        <v>MORISON</v>
      </c>
      <c r="H1277" s="600" t="str">
        <f>N!$C$43</f>
        <v>NEMEL</v>
      </c>
      <c r="I1277" s="600" t="str">
        <f>N!$C$44</f>
        <v>NHP</v>
      </c>
      <c r="J1277" s="600" t="str">
        <f>N!$C$45</f>
        <v>NHC</v>
      </c>
      <c r="K1277" s="600" t="str">
        <f>N!$C$46</f>
        <v>OLEAF</v>
      </c>
      <c r="L1277" s="600" t="str">
        <f>N!$C$47</f>
        <v>OCULUS</v>
      </c>
      <c r="M1277" s="600" t="str">
        <f>N!$C$48</f>
        <v>PACIFIC</v>
      </c>
      <c r="N1277" s="600" t="str">
        <f>N!$C$49</f>
        <v>PHAMATEX</v>
      </c>
      <c r="O1277" s="600" t="str">
        <f>N!$C$50</f>
        <v>PETHICS</v>
      </c>
      <c r="P1277" s="600" t="str">
        <f>N!$C$51</f>
        <v>PHILIPS</v>
      </c>
      <c r="Q1277" s="600" t="str">
        <f>N!$C$52</f>
        <v>RANBAXY</v>
      </c>
      <c r="R1277" s="600" t="str">
        <f>N!$C$53</f>
        <v>REALS</v>
      </c>
      <c r="S1277" s="600" t="str">
        <f>N!$C$54</f>
        <v>ROYAL</v>
      </c>
      <c r="T1277" s="580"/>
      <c r="U1277" s="580"/>
      <c r="V1277" s="32"/>
      <c r="W1277" s="32"/>
      <c r="X1277" s="32"/>
    </row>
    <row r="1278" spans="2:24" ht="15.75" thickBot="1" x14ac:dyDescent="0.3">
      <c r="B1278" s="580"/>
      <c r="C1278" s="602">
        <f>IF($S$1268=901,PR!$AM$997,IF($S$1268=902,PR!$AM$1004,IF($S$1268=903,PR!$AM$1005,IF($S$1268=904,PR!$AM$1006,IF($S$1268=905,PR!$AM$1007,IF($S$1268=906,PR!$AM$1008,IF($S$1268=907,PR!$AM$1009,IF($S$1268=908,PR!$AM$1010,IF($S$1268=909,PR!$AM$1011,IF($S$1268=910,PR!$AM$1012,IF($S$1268=911,PR!$AM$1013,IF($S$1268=912,PR!$AM$1014,IF($S$1268=913,PR!$AM$1015,IF($S$1268=914,PR!$AM$1016,IF($S$1268=915,PR!$AM$1017,IF($S$1268=916,PR!$AM$1018,IF($S$1268=917,PR!$AM$1019,IF($S$1268=918,PR!$AM$1020,IF($S$1268=919,PR!$AM$1021,IF($S$1268=920,PR!$AM$1022,IF($S$1268=921,PR!$AM$1023,IF($S$1268=922,PR!$AM$1024,IF($S$1268=923,PR!$AM$1025,IF($S$1268=924,PR!$AM$1026,IF($S$1268=925,PR!$AM$1027,IF($S$1268=926,PR!$AM$1028,IF($S$1268=927,PR!$AM$1029,IF($S$1268=928,PR!$AM$1030,IF($S$1268=929,PR!$AM$1031,IF($S$1268=930,PR!$AM$1032,IF($S$1268=931,PR!$AM$1033,IF($S$1268=932,PR!$AM$1034,IF($S$1268=933,PR!$AM$1035,IF($S$1268=934,PR!$AM$1036,IF($S$1268=935,PR!$AM$1037,IF($S$1268=936,PR!$AM$1038,IF($S$1268=937,PR!$AM$1039,IF($S$1268=938,PR!$AM$1040,IF($S$1268=939,PR!$AM$1041,IF($S$1268=940,PR!$AM$1042,IF($S$1268=941,PR!$AM$1043,IF($S$1268=942,PR!$AM$1044,IF($S$1268=943,PR!$AM$1045,IF($S$1268=944,PR!$AM$1046,IF($S$1268=945,PR!$AM$1047,IF($S$1268=946,PR!$AM$1048,IF($S$1268=947,PR!$AM$1049,IF($S$1268=948,PR!$AM$1050,IF($S$1268=949,PR!$AM$1051,IF($S$1268=950,PR!$AM$1052,IF($S$1268=951,PR!$AM$1053,IF($S$1268=952,PR!$AM$1054,IF($S$1268=953,PR!$AM$1055,IF($S$1268=954,PR!$AM$1056,IF($S$1268=955,PR!$AM$1057,IF($S$1268=956,PR!$AM$1058,IF($S$1268=957,PR!$AM$1062,IF($S$1268=958,PR!$AM$1063,IF($S$1268=959,PR!$AM$1064,IF($S$1268=960,PR!$AM$1065,"-"))))))))))))))))))))))))))))))))))))))))))))))))))))))))))))</f>
        <v>0</v>
      </c>
      <c r="D1278" s="602">
        <f>IF($S$1268=901,PR!$AN$997,IF($S$1268=902,PR!$AN$1004,IF($S$1268=903,PR!$AN$1005,IF($S$1268=904,PR!$AN$1006,IF($S$1268=905,PR!$AN$1007,IF($S$1268=906,PR!$AN$1008,IF($S$1268=907,PR!$AN$1009,IF($S$1268=908,PR!$AN$1010,IF($S$1268=909,PR!$AN$1011,IF($S$1268=910,PR!$AN$1012,IF($S$1268=911,PR!$AN$1013,IF($S$1268=912,PR!$AN$1014,IF($S$1268=913,PR!$AN$1015,IF($S$1268=914,PR!$AN$1016,IF($S$1268=915,PR!$AN$1017,IF($S$1268=916,PR!$AN$1018,IF($S$1268=917,PR!$AN$1019,IF($S$1268=918,PR!$AN$1020,IF($S$1268=919,PR!$AN$1021,IF($S$1268=920,PR!$AN$1022,IF($S$1268=921,PR!$AN$1023,IF($S$1268=922,PR!$AN$1024,IF($S$1268=923,PR!$AN$1025,IF($S$1268=924,PR!$AN$1026,IF($S$1268=925,PR!$AN$1027,IF($S$1268=926,PR!$AN$1028,IF($S$1268=927,PR!$AN$1029,IF($S$1268=928,PR!$AN$1030,IF($S$1268=929,PR!$AN$1031,IF($S$1268=930,PR!$AN$1032,IF($S$1268=931,PR!$AN$1033,IF($S$1268=932,PR!$AN$1034,IF($S$1268=933,PR!$AN$1035,IF($S$1268=934,PR!$AN$1036,IF($S$1268=935,PR!$AN$1037,IF($S$1268=936,PR!$AN$1038,IF($S$1268=937,PR!$AN$1039,IF($S$1268=938,PR!$AN$1040,IF($S$1268=939,PR!$AN$1041,IF($S$1268=940,PR!$AN$1042,IF($S$1268=941,PR!$AN$1043,IF($S$1268=942,PR!$AN$1044,IF($S$1268=943,PR!$AN$1045,IF($S$1268=944,PR!$AN$1046,IF($S$1268=945,PR!$AN$1047,IF($S$1268=946,PR!$AN$1048,IF($S$1268=947,PR!$AN$1049,IF($S$1268=948,PR!$AN$1050,IF($S$1268=949,PR!$AN$1051,IF($S$1268=950,PR!$AN$1052,IF($S$1268=951,PR!$AN$1053,IF($S$1268=952,PR!$AN$1054,IF($S$1268=953,PR!$AN$1055,IF($S$1268=954,PR!$AN$1056,IF($S$1268=955,PR!$AN$1057,IF($S$1268=956,PR!$AN$1058,IF($S$1268=957,PR!$AN$1062,IF($S$1268=958,PR!$AN$1063,IF($S$1268=959,PR!$AN$1064,IF($S$1268=960,PR!$AN$1065,"-"))))))))))))))))))))))))))))))))))))))))))))))))))))))))))))</f>
        <v>0</v>
      </c>
      <c r="E1278" s="602">
        <f>IF($S$1268=901,PR!$AO$997,IF($S$1268=902,PR!$AO$1004,IF($S$1268=903,PR!$AO$1005,IF($S$1268=904,PR!$AO$1006,IF($S$1268=905,PR!$AO$1007,IF($S$1268=906,PR!$AO$1008,IF($S$1268=907,PR!$AO$1009,IF($S$1268=908,PR!$AO$1010,IF($S$1268=909,PR!$AO$1011,IF($S$1268=910,PR!$AO$1012,IF($S$1268=911,PR!$AO$1013,IF($S$1268=912,PR!$AO$1014,IF($S$1268=913,PR!$AO$1015,IF($S$1268=914,PR!$AO$1016,IF($S$1268=915,PR!$AO$1017,IF($S$1268=916,PR!$AO$1018,IF($S$1268=917,PR!$AO$1019,IF($S$1268=918,PR!$AO$1020,IF($S$1268=919,PR!$AO$1021,IF($S$1268=920,PR!$AO$1022,IF($S$1268=921,PR!$AO$1023,IF($S$1268=922,PR!$AO$1024,IF($S$1268=923,PR!$AO$1025,IF($S$1268=924,PR!$AO$1026,IF($S$1268=925,PR!$AO$1027,IF($S$1268=926,PR!$AO$1028,IF($S$1268=927,PR!$AO$1029,IF($S$1268=928,PR!$AO$1030,IF($S$1268=929,PR!$AO$1031,IF($S$1268=930,PR!$AO$1032,IF($S$1268=931,PR!$AO$1033,IF($S$1268=932,PR!$AO$1034,IF($S$1268=933,PR!$AO$1035,IF($S$1268=934,PR!$AO$1036,IF($S$1268=935,PR!$AO$1037,IF($S$1268=936,PR!$AO$1038,IF($S$1268=937,PR!$AO$1039,IF($S$1268=938,PR!$AO$1040,IF($S$1268=939,PR!$AO$1041,IF($S$1268=940,PR!$AO$1042,IF($S$1268=941,PR!$AO$1043,IF($S$1268=942,PR!$AO$1044,IF($S$1268=943,PR!$AO$1045,IF($S$1268=944,PR!$AO$1046,IF($S$1268=945,PR!$AO$1047,IF($S$1268=946,PR!$AO$1048,IF($S$1268=947,PR!$AO$1049,IF($S$1268=948,PR!$AO$1050,IF($S$1268=949,PR!$AO$1051,IF($S$1268=950,PR!$AO$1052,IF($S$1268=951,PR!$AO$1053,IF($S$1268=952,PR!$AO$1054,IF($S$1268=953,PR!$AO$1055,IF($S$1268=954,PR!$AO$1056,IF($S$1268=955,PR!$AO$1057,IF($S$1268=956,PR!$AO$1058,IF($S$1268=957,PR!$AO$1062,IF($S$1268=958,PR!$AO$1063,IF($S$1268=959,PR!$AO$1064,IF($S$1268=960,PR!$AO$1065,"-"))))))))))))))))))))))))))))))))))))))))))))))))))))))))))))</f>
        <v>0</v>
      </c>
      <c r="F1278" s="602">
        <f>IF($S$1268=901,PR!$AP$997,IF($S$1268=902,PR!$AP$1004,IF($S$1268=903,PR!$AP$1005,IF($S$1268=904,PR!$AP$1006,IF($S$1268=905,PR!$AP$1007,IF($S$1268=906,PR!$AP$1008,IF($S$1268=907,PR!$AP$1009,IF($S$1268=908,PR!$AP$1010,IF($S$1268=909,PR!$AP$1011,IF($S$1268=910,PR!$AP$1012,IF($S$1268=911,PR!$AP$1013,IF($S$1268=912,PR!$AP$1014,IF($S$1268=913,PR!$AP$1015,IF($S$1268=914,PR!$AP$1016,IF($S$1268=915,PR!$AP$1017,IF($S$1268=916,PR!$AP$1018,IF($S$1268=917,PR!$AP$1019,IF($S$1268=918,PR!$AP$1020,IF($S$1268=919,PR!$AP$1021,IF($S$1268=920,PR!$AP$1022,IF($S$1268=921,PR!$AP$1023,IF($S$1268=922,PR!$AP$1024,IF($S$1268=923,PR!$AP$1025,IF($S$1268=924,PR!$AP$1026,IF($S$1268=925,PR!$AP$1027,IF($S$1268=926,PR!$AP$1028,IF($S$1268=927,PR!$AP$1029,IF($S$1268=928,PR!$AP$1030,IF($S$1268=929,PR!$AP$1031,IF($S$1268=930,PR!$AP$1032,IF($S$1268=931,PR!$AP$1033,IF($S$1268=932,PR!$AP$1034,IF($S$1268=933,PR!$AP$1035,IF($S$1268=934,PR!$AP$1036,IF($S$1268=935,PR!$AP$1037,IF($S$1268=936,PR!$AP$1038,IF($S$1268=937,PR!$AP$1039,IF($S$1268=938,PR!$AP$1040,IF($S$1268=939,PR!$AP$1041,IF($S$1268=940,PR!$AP$1042,IF($S$1268=941,PR!$AP$1043,IF($S$1268=942,PR!$AP$1044,IF($S$1268=943,PR!$AP$1045,IF($S$1268=944,PR!$AP$1046,IF($S$1268=945,PR!$AP$1047,IF($S$1268=946,PR!$AP$1048,IF($S$1268=947,PR!$AP$1049,IF($S$1268=948,PR!$AP$1050,IF($S$1268=949,PR!$AP$1051,IF($S$1268=950,PR!$AP$1052,IF($S$1268=951,PR!$AP$1053,IF($S$1268=952,PR!$AP$1054,IF($S$1268=953,PR!$AP$1055,IF($S$1268=954,PR!$AP$1056,IF($S$1268=955,PR!$AP$1057,IF($S$1268=956,PR!$AP$1058,IF($S$1268=957,PR!$AP$1062,IF($S$1268=958,PR!$AP$1063,IF($S$1268=959,PR!$AP$1064,IF($S$1268=960,PR!$AP$1065,"-"))))))))))))))))))))))))))))))))))))))))))))))))))))))))))))</f>
        <v>0</v>
      </c>
      <c r="G1278" s="602">
        <f>IF($S$1268=901,PR!$AQ$997,IF($S$1268=902,PR!$AQ$1004,IF($S$1268=903,PR!$AQ$1005,IF($S$1268=904,PR!$AQ$1006,IF($S$1268=905,PR!$AQ$1007,IF($S$1268=906,PR!$AQ$1008,IF($S$1268=907,PR!$AQ$1009,IF($S$1268=908,PR!$AQ$1010,IF($S$1268=909,PR!$AQ$1011,IF($S$1268=910,PR!$AQ$1012,IF($S$1268=911,PR!$AQ$1013,IF($S$1268=912,PR!$AQ$1014,IF($S$1268=913,PR!$AQ$1015,IF($S$1268=914,PR!$AQ$1016,IF($S$1268=915,PR!$AQ$1017,IF($S$1268=916,PR!$AQ$1018,IF($S$1268=917,PR!$AQ$1019,IF($S$1268=918,PR!$AQ$1020,IF($S$1268=919,PR!$AQ$1021,IF($S$1268=920,PR!$AQ$1022,IF($S$1268=921,PR!$AQ$1023,IF($S$1268=922,PR!$AQ$1024,IF($S$1268=923,PR!$AQ$1025,IF($S$1268=924,PR!$AQ$1026,IF($S$1268=925,PR!$AQ$1027,IF($S$1268=926,PR!$AQ$1028,IF($S$1268=927,PR!$AQ$1029,IF($S$1268=928,PR!$AQ$1030,IF($S$1268=929,PR!$AQ$1031,IF($S$1268=930,PR!$AQ$1032,IF($S$1268=931,PR!$AQ$1033,IF($S$1268=932,PR!$AQ$1034,IF($S$1268=933,PR!$AQ$1035,IF($S$1268=934,PR!$AQ$1036,IF($S$1268=935,PR!$AQ$1037,IF($S$1268=936,PR!$AQ$1038,IF($S$1268=937,PR!$AQ$1039,IF($S$1268=938,PR!$AQ$1040,IF($S$1268=939,PR!$AQ$1041,IF($S$1268=940,PR!$AQ$1042,IF($S$1268=941,PR!$AQ$1043,IF($S$1268=942,PR!$AQ$1044,IF($S$1268=943,PR!$AQ$1045,IF($S$1268=944,PR!$AQ$1046,IF($S$1268=945,PR!$AQ$1047,IF($S$1268=946,PR!$AQ$1048,IF($S$1268=947,PR!$AQ$1049,IF($S$1268=948,PR!$AQ$1050,IF($S$1268=949,PR!$AQ$1051,IF($S$1268=950,PR!$AQ$1052,IF($S$1268=951,PR!$AQ$1053,IF($S$1268=952,PR!$AQ$1054,IF($S$1268=953,PR!$AQ$1055,IF($S$1268=954,PR!$AQ$1056,IF($S$1268=955,PR!$AQ$1057,IF($S$1268=956,PR!$AQ$1058,IF($S$1268=957,PR!$AQ$1062,IF($S$1268=958,PR!$AQ$1063,IF($S$1268=959,PR!$AQ$1064,IF($S$1268=960,PR!$AQ$1065,"-"))))))))))))))))))))))))))))))))))))))))))))))))))))))))))))</f>
        <v>0</v>
      </c>
      <c r="H1278" s="602">
        <f>IF($S$1268=901,PR!$AR$997,IF($S$1268=902,PR!$AR$1004,IF($S$1268=903,PR!$AR$1005,IF($S$1268=904,PR!$AR$1006,IF($S$1268=905,PR!$AR$1007,IF($S$1268=906,PR!$AR$1008,IF($S$1268=907,PR!$AR$1009,IF($S$1268=908,PR!$AR$1010,IF($S$1268=909,PR!$AR$1011,IF($S$1268=910,PR!$AR$1012,IF($S$1268=911,PR!$AR$1013,IF($S$1268=912,PR!$AR$1014,IF($S$1268=913,PR!$AR$1015,IF($S$1268=914,PR!$AR$1016,IF($S$1268=915,PR!$AR$1017,IF($S$1268=916,PR!$AR$1018,IF($S$1268=917,PR!$AR$1019,IF($S$1268=918,PR!$AR$1020,IF($S$1268=919,PR!$AR$1021,IF($S$1268=920,PR!$AR$1022,IF($S$1268=921,PR!$AR$1023,IF($S$1268=922,PR!$AR$1024,IF($S$1268=923,PR!$AR$1025,IF($S$1268=924,PR!$AR$1026,IF($S$1268=925,PR!$AR$1027,IF($S$1268=926,PR!$AR$1028,IF($S$1268=927,PR!$AR$1029,IF($S$1268=928,PR!$AR$1030,IF($S$1268=929,PR!$AR$1031,IF($S$1268=930,PR!$AR$1032,IF($S$1268=931,PR!$AR$1033,IF($S$1268=932,PR!$AR$1034,IF($S$1268=933,PR!$AR$1035,IF($S$1268=934,PR!$AR$1036,IF($S$1268=935,PR!$AR$1037,IF($S$1268=936,PR!$AR$1038,IF($S$1268=937,PR!$AR$1039,IF($S$1268=938,PR!$AR$1040,IF($S$1268=939,PR!$AR$1041,IF($S$1268=940,PR!$AR$1042,IF($S$1268=941,PR!$AR$1043,IF($S$1268=942,PR!$AR$1044,IF($S$1268=943,PR!$AR$1045,IF($S$1268=944,PR!$AR$1046,IF($S$1268=945,PR!$AR$1047,IF($S$1268=946,PR!$AR$1048,IF($S$1268=947,PR!$AR$1049,IF($S$1268=948,PR!$AR$1050,IF($S$1268=949,PR!$AR$1051,IF($S$1268=950,PR!$AR$1052,IF($S$1268=951,PR!$AR$1053,IF($S$1268=952,PR!$AR$1054,IF($S$1268=953,PR!$AR$1055,IF($S$1268=954,PR!$AR$1056,IF($S$1268=955,PR!$AR$1057,IF($S$1268=956,PR!$AR$1058,IF($S$1268=957,PR!$AR$1062,IF($S$1268=958,PR!$AR$1063,IF($S$1268=959,PR!$AR$1064,IF($S$1268=960,PR!$AR$1065,"-"))))))))))))))))))))))))))))))))))))))))))))))))))))))))))))</f>
        <v>0</v>
      </c>
      <c r="I1278" s="602">
        <f>IF($S$1268=901,PR!$AS$997,IF($S$1268=902,PR!$AS$1004,IF($S$1268=903,PR!$AS$1005,IF($S$1268=904,PR!$AS$1006,IF($S$1268=905,PR!$AS$1007,IF($S$1268=906,PR!$AS$1008,IF($S$1268=907,PR!$AS$1009,IF($S$1268=908,PR!$AS$1010,IF($S$1268=909,PR!$AS$1011,IF($S$1268=910,PR!$AS$1012,IF($S$1268=911,PR!$AS$1013,IF($S$1268=912,PR!$AS$1014,IF($S$1268=913,PR!$AS$1015,IF($S$1268=914,PR!$AS$1016,IF($S$1268=915,PR!$AS$1017,IF($S$1268=916,PR!$AS$1018,IF($S$1268=917,PR!$AS$1019,IF($S$1268=918,PR!$AS$1020,IF($S$1268=919,PR!$AS$1021,IF($S$1268=920,PR!$AS$1022,IF($S$1268=921,PR!$AS$1023,IF($S$1268=922,PR!$AS$1024,IF($S$1268=923,PR!$AS$1025,IF($S$1268=924,PR!$AS$1026,IF($S$1268=925,PR!$AS$1027,IF($S$1268=926,PR!$AS$1028,IF($S$1268=927,PR!$AS$1029,IF($S$1268=928,PR!$AS$1030,IF($S$1268=929,PR!$AS$1031,IF($S$1268=930,PR!$AS$1032,IF($S$1268=931,PR!$AS$1033,IF($S$1268=932,PR!$AS$1034,IF($S$1268=933,PR!$AS$1035,IF($S$1268=934,PR!$AS$1036,IF($S$1268=935,PR!$AS$1037,IF($S$1268=936,PR!$AS$1038,IF($S$1268=937,PR!$AS$1039,IF($S$1268=938,PR!$AS$1040,IF($S$1268=939,PR!$AS$1041,IF($S$1268=940,PR!$AS$1042,IF($S$1268=941,PR!$AS$1043,IF($S$1268=942,PR!$AS$1044,IF($S$1268=943,PR!$AS$1045,IF($S$1268=944,PR!$AS$1046,IF($S$1268=945,PR!$AS$1047,IF($S$1268=946,PR!$AS$1048,IF($S$1268=947,PR!$AS$1049,IF($S$1268=948,PR!$AS$1050,IF($S$1268=949,PR!$AS$1051,IF($S$1268=950,PR!$AS$1052,IF($S$1268=951,PR!$AS$1053,IF($S$1268=952,PR!$AS$1054,IF($S$1268=953,PR!$AS$1055,IF($S$1268=954,PR!$AS$1056,IF($S$1268=955,PR!$AS$1057,IF($S$1268=956,PR!$AS$1058,IF($S$1268=957,PR!$AS$1062,IF($S$1268=958,PR!$AS$1063,IF($S$1268=959,PR!$AS$1064,IF($S$1268=960,PR!$AS$1065,"-"))))))))))))))))))))))))))))))))))))))))))))))))))))))))))))</f>
        <v>0</v>
      </c>
      <c r="J1278" s="602">
        <f>IF($S$1268=901,PR!$AT$997,IF($S$1268=902,PR!$AT$1004,IF($S$1268=903,PR!$AT$1005,IF($S$1268=904,PR!$AT$1006,IF($S$1268=905,PR!$AT$1007,IF($S$1268=906,PR!$AT$1008,IF($S$1268=907,PR!$AT$1009,IF($S$1268=908,PR!$AT$1010,IF($S$1268=909,PR!$AT$1011,IF($S$1268=910,PR!$AT$1012,IF($S$1268=911,PR!$AT$1013,IF($S$1268=912,PR!$AT$1014,IF($S$1268=913,PR!$AT$1015,IF($S$1268=914,PR!$AT$1016,IF($S$1268=915,PR!$AT$1017,IF($S$1268=916,PR!$AT$1018,IF($S$1268=917,PR!$AT$1019,IF($S$1268=918,PR!$AT$1020,IF($S$1268=919,PR!$AT$1021,IF($S$1268=920,PR!$AT$1022,IF($S$1268=921,PR!$AT$1023,IF($S$1268=922,PR!$AT$1024,IF($S$1268=923,PR!$AT$1025,IF($S$1268=924,PR!$AT$1026,IF($S$1268=925,PR!$AT$1027,IF($S$1268=926,PR!$AT$1028,IF($S$1268=927,PR!$AT$1029,IF($S$1268=928,PR!$AT$1030,IF($S$1268=929,PR!$AT$1031,IF($S$1268=930,PR!$AT$1032,IF($S$1268=931,PR!$AT$1033,IF($S$1268=932,PR!$AT$1034,IF($S$1268=933,PR!$AT$1035,IF($S$1268=934,PR!$AT$1036,IF($S$1268=935,PR!$AT$1037,IF($S$1268=936,PR!$AT$1038,IF($S$1268=937,PR!$AT$1039,IF($S$1268=938,PR!$AT$1040,IF($S$1268=939,PR!$AT$1041,IF($S$1268=940,PR!$AT$1042,IF($S$1268=941,PR!$AT$1043,IF($S$1268=942,PR!$AT$1044,IF($S$1268=943,PR!$AT$1045,IF($S$1268=944,PR!$AT$1046,IF($S$1268=945,PR!$AT$1047,IF($S$1268=946,PR!$AT$1048,IF($S$1268=947,PR!$AT$1049,IF($S$1268=948,PR!$AT$1050,IF($S$1268=949,PR!$AT$1051,IF($S$1268=950,PR!$AT$1052,IF($S$1268=951,PR!$AT$1053,IF($S$1268=952,PR!$AT$1054,IF($S$1268=953,PR!$AT$1055,IF($S$1268=954,PR!$AT$1056,IF($S$1268=955,PR!$AT$1057,IF($S$1268=956,PR!$AT$1058,IF($S$1268=957,PR!$AT$1062,IF($S$1268=958,PR!$AT$1063,IF($S$1268=959,PR!$AT$1064,IF($S$1268=960,PR!$AT$1065,"-"))))))))))))))))))))))))))))))))))))))))))))))))))))))))))))</f>
        <v>0</v>
      </c>
      <c r="K1278" s="602">
        <f>IF($S$1268=901,PR!$AU$997,IF($S$1268=902,PR!$AU$1004,IF($S$1268=903,PR!$AU$1005,IF($S$1268=904,PR!$AU$1006,IF($S$1268=905,PR!$AU$1007,IF($S$1268=906,PR!$AU$1008,IF($S$1268=907,PR!$AU$1009,IF($S$1268=908,PR!$AU$1010,IF($S$1268=909,PR!$AU$1011,IF($S$1268=910,PR!$AU$1012,IF($S$1268=911,PR!$AU$1013,IF($S$1268=912,PR!$AU$1014,IF($S$1268=913,PR!$AU$1015,IF($S$1268=914,PR!$AU$1016,IF($S$1268=915,PR!$AU$1017,IF($S$1268=916,PR!$AU$1018,IF($S$1268=917,PR!$AU$1019,IF($S$1268=918,PR!$AU$1020,IF($S$1268=919,PR!$AU$1021,IF($S$1268=920,PR!$AU$1022,IF($S$1268=921,PR!$AU$1023,IF($S$1268=922,PR!$AU$1024,IF($S$1268=923,PR!$AU$1025,IF($S$1268=924,PR!$AU$1026,IF($S$1268=925,PR!$AU$1027,IF($S$1268=926,PR!$AU$1028,IF($S$1268=927,PR!$AU$1029,IF($S$1268=928,PR!$AU$1030,IF($S$1268=929,PR!$AU$1031,IF($S$1268=930,PR!$AU$1032,IF($S$1268=931,PR!$AU$1033,IF($S$1268=932,PR!$AU$1034,IF($S$1268=933,PR!$AU$1035,IF($S$1268=934,PR!$AU$1036,IF($S$1268=935,PR!$AU$1037,IF($S$1268=936,PR!$AU$1038,IF($S$1268=937,PR!$AU$1039,IF($S$1268=938,PR!$AU$1040,IF($S$1268=939,PR!$AU$1041,IF($S$1268=940,PR!$AU$1042,IF($S$1268=941,PR!$AU$1043,IF($S$1268=942,PR!$AU$1044,IF($S$1268=943,PR!$AU$1045,IF($S$1268=944,PR!$AU$1046,IF($S$1268=945,PR!$AU$1047,IF($S$1268=946,PR!$AU$1048,IF($S$1268=947,PR!$AU$1049,IF($S$1268=948,PR!$AU$1050,IF($S$1268=949,PR!$AU$1051,IF($S$1268=950,PR!$AU$1052,IF($S$1268=951,PR!$AU$1053,IF($S$1268=952,PR!$AU$1054,IF($S$1268=953,PR!$AU$1055,IF($S$1268=954,PR!$AU$1056,IF($S$1268=955,PR!$AU$1057,IF($S$1268=956,PR!$AU$1058,IF($S$1268=957,PR!$AU$1062,IF($S$1268=958,PR!$AU$1063,IF($S$1268=959,PR!$AU$1064,IF($S$1268=960,PR!$AU$1065,"-"))))))))))))))))))))))))))))))))))))))))))))))))))))))))))))</f>
        <v>0</v>
      </c>
      <c r="L1278" s="602">
        <f>IF($S$1268=901,PR!$AV$997,IF($S$1268=902,PR!$AV$1004,IF($S$1268=903,PR!$AV$1005,IF($S$1268=904,PR!$AV$1006,IF($S$1268=905,PR!$AV$1007,IF($S$1268=906,PR!$AV$1008,IF($S$1268=907,PR!$AV$1009,IF($S$1268=908,PR!$AV$1010,IF($S$1268=909,PR!$AV$1011,IF($S$1268=910,PR!$AV$1012,IF($S$1268=911,PR!$AV$1013,IF($S$1268=912,PR!$AV$1014,IF($S$1268=913,PR!$AV$1015,IF($S$1268=914,PR!$AV$1016,IF($S$1268=915,PR!$AV$1017,IF($S$1268=916,PR!$AV$1018,IF($S$1268=917,PR!$AV$1019,IF($S$1268=918,PR!$AV$1020,IF($S$1268=919,PR!$AV$1021,IF($S$1268=920,PR!$AV$1022,IF($S$1268=921,PR!$AV$1023,IF($S$1268=922,PR!$AV$1024,IF($S$1268=923,PR!$AV$1025,IF($S$1268=924,PR!$AV$1026,IF($S$1268=925,PR!$AV$1027,IF($S$1268=926,PR!$AV$1028,IF($S$1268=927,PR!$AV$1029,IF($S$1268=928,PR!$AV$1030,IF($S$1268=929,PR!$AV$1031,IF($S$1268=930,PR!$AV$1032,IF($S$1268=931,PR!$AV$1033,IF($S$1268=932,PR!$AV$1034,IF($S$1268=933,PR!$AV$1035,IF($S$1268=934,PR!$AV$1036,IF($S$1268=935,PR!$AV$1037,IF($S$1268=936,PR!$AV$1038,IF($S$1268=937,PR!$AV$1039,IF($S$1268=938,PR!$AV$1040,IF($S$1268=939,PR!$AV$1041,IF($S$1268=940,PR!$AV$1042,IF($S$1268=941,PR!$AV$1043,IF($S$1268=942,PR!$AV$1044,IF($S$1268=943,PR!$AV$1045,IF($S$1268=944,PR!$AV$1046,IF($S$1268=945,PR!$AV$1047,IF($S$1268=946,PR!$AV$1048,IF($S$1268=947,PR!$AV$1049,IF($S$1268=948,PR!$AV$1050,IF($S$1268=949,PR!$AV$1051,IF($S$1268=950,PR!$AV$1052,IF($S$1268=951,PR!$AV$1053,IF($S$1268=952,PR!$AV$1054,IF($S$1268=953,PR!$AV$1055,IF($S$1268=954,PR!$AV$1056,IF($S$1268=955,PR!$AV$1057,IF($S$1268=956,PR!$AV$1058,IF($S$1268=957,PR!$AV$1062,IF($S$1268=958,PR!$AV$1063,IF($S$1268=959,PR!$AV$1064,IF($S$1268=960,PR!$AV$1065,"-"))))))))))))))))))))))))))))))))))))))))))))))))))))))))))))</f>
        <v>0</v>
      </c>
      <c r="M1278" s="602">
        <f>IF($S$1268=901,PR!$AW$997,IF($S$1268=902,PR!$AW$1004,IF($S$1268=903,PR!$AW$1005,IF($S$1268=904,PR!$AW$1006,IF($S$1268=905,PR!$AW$1007,IF($S$1268=906,PR!$AW$1008,IF($S$1268=907,PR!$AW$1009,IF($S$1268=908,PR!$AW$1010,IF($S$1268=909,PR!$AW$1011,IF($S$1268=910,PR!$AW$1012,IF($S$1268=911,PR!$AW$1013,IF($S$1268=912,PR!$AW$1014,IF($S$1268=913,PR!$AW$1015,IF($S$1268=914,PR!$AW$1016,IF($S$1268=915,PR!$AW$1017,IF($S$1268=916,PR!$AW$1018,IF($S$1268=917,PR!$AW$1019,IF($S$1268=918,PR!$AW$1020,IF($S$1268=919,PR!$AW$1021,IF($S$1268=920,PR!$AW$1022,IF($S$1268=921,PR!$AW$1023,IF($S$1268=922,PR!$AW$1024,IF($S$1268=923,PR!$AW$1025,IF($S$1268=924,PR!$AW$1026,IF($S$1268=925,PR!$AW$1027,IF($S$1268=926,PR!$AW$1028,IF($S$1268=927,PR!$AW$1029,IF($S$1268=928,PR!$AW$1030,IF($S$1268=929,PR!$AW$1031,IF($S$1268=930,PR!$AW$1032,IF($S$1268=931,PR!$AW$1033,IF($S$1268=932,PR!$AW$1034,IF($S$1268=933,PR!$AW$1035,IF($S$1268=934,PR!$AW$1036,IF($S$1268=935,PR!$AW$1037,IF($S$1268=936,PR!$AW$1038,IF($S$1268=937,PR!$AW$1039,IF($S$1268=938,PR!$AW$1040,IF($S$1268=939,PR!$AW$1041,IF($S$1268=940,PR!$AW$1042,IF($S$1268=941,PR!$AW$1043,IF($S$1268=942,PR!$AW$1044,IF($S$1268=943,PR!$AW$1045,IF($S$1268=944,PR!$AW$1046,IF($S$1268=945,PR!$AW$1047,IF($S$1268=946,PR!$AW$1048,IF($S$1268=947,PR!$AW$1049,IF($S$1268=948,PR!$AW$1050,IF($S$1268=949,PR!$AW$1051,IF($S$1268=950,PR!$AW$1052,IF($S$1268=951,PR!$AW$1053,IF($S$1268=952,PR!$AW$1054,IF($S$1268=953,PR!$AW$1055,IF($S$1268=954,PR!$AW$1056,IF($S$1268=955,PR!$AW$1057,IF($S$1268=956,PR!$AW$1058,IF($S$1268=957,PR!$AW$1062,IF($S$1268=958,PR!$AW$1063,IF($S$1268=959,PR!$AW$1064,IF($S$1268=960,PR!$AW$1065,"-"))))))))))))))))))))))))))))))))))))))))))))))))))))))))))))</f>
        <v>0</v>
      </c>
      <c r="N1278" s="602">
        <f>IF($S$1268=901,PR!$AX$997,IF($S$1268=902,PR!$AX$1004,IF($S$1268=903,PR!$AX$1005,IF($S$1268=904,PR!$AX$1006,IF($S$1268=905,PR!$AX$1007,IF($S$1268=906,PR!$AX$1008,IF($S$1268=907,PR!$AX$1009,IF($S$1268=908,PR!$AX$1010,IF($S$1268=909,PR!$AX$1011,IF($S$1268=910,PR!$AX$1012,IF($S$1268=911,PR!$AX$1013,IF($S$1268=912,PR!$AX$1014,IF($S$1268=913,PR!$AX$1015,IF($S$1268=914,PR!$AX$1016,IF($S$1268=915,PR!$AX$1017,IF($S$1268=916,PR!$AX$1018,IF($S$1268=917,PR!$AX$1019,IF($S$1268=918,PR!$AX$1020,IF($S$1268=919,PR!$AX$1021,IF($S$1268=920,PR!$AX$1022,IF($S$1268=921,PR!$AX$1023,IF($S$1268=922,PR!$AX$1024,IF($S$1268=923,PR!$AX$1025,IF($S$1268=924,PR!$AX$1026,IF($S$1268=925,PR!$AX$1027,IF($S$1268=926,PR!$AX$1028,IF($S$1268=927,PR!$AX$1029,IF($S$1268=928,PR!$AX$1030,IF($S$1268=929,PR!$AX$1031,IF($S$1268=930,PR!$AX$1032,IF($S$1268=931,PR!$AX$1033,IF($S$1268=932,PR!$AX$1034,IF($S$1268=933,PR!$AX$1035,IF($S$1268=934,PR!$AX$1036,IF($S$1268=935,PR!$AX$1037,IF($S$1268=936,PR!$AX$1038,IF($S$1268=937,PR!$AX$1039,IF($S$1268=938,PR!$AX$1040,IF($S$1268=939,PR!$AX$1041,IF($S$1268=940,PR!$AX$1042,IF($S$1268=941,PR!$AX$1043,IF($S$1268=942,PR!$AX$1044,IF($S$1268=943,PR!$AX$1045,IF($S$1268=944,PR!$AX$1046,IF($S$1268=945,PR!$AX$1047,IF($S$1268=946,PR!$AX$1048,IF($S$1268=947,PR!$AX$1049,IF($S$1268=948,PR!$AX$1050,IF($S$1268=949,PR!$AX$1051,IF($S$1268=950,PR!$AX$1052,IF($S$1268=951,PR!$AX$1053,IF($S$1268=952,PR!$AX$1054,IF($S$1268=953,PR!$AX$1055,IF($S$1268=954,PR!$AX$1056,IF($S$1268=955,PR!$AX$1057,IF($S$1268=956,PR!$AX$1058,IF($S$1268=957,PR!$AX$1062,IF($S$1268=958,PR!$AX$1063,IF($S$1268=959,PR!$AX$1064,IF($S$1268=960,PR!$AX$1065,"-"))))))))))))))))))))))))))))))))))))))))))))))))))))))))))))</f>
        <v>0</v>
      </c>
      <c r="O1278" s="602">
        <f>IF($S$1268=901,PR!$AY$997,IF($S$1268=902,PR!$AY$1004,IF($S$1268=903,PR!$AY$1005,IF($S$1268=904,PR!$AY$1006,IF($S$1268=905,PR!$AY$1007,IF($S$1268=906,PR!$AY$1008,IF($S$1268=907,PR!$AY$1009,IF($S$1268=908,PR!$AY$1010,IF($S$1268=909,PR!$AY$1011,IF($S$1268=910,PR!$AY$1012,IF($S$1268=911,PR!$AY$1013,IF($S$1268=912,PR!$AY$1014,IF($S$1268=913,PR!$AY$1015,IF($S$1268=914,PR!$AY$1016,IF($S$1268=915,PR!$AY$1017,IF($S$1268=916,PR!$AY$1018,IF($S$1268=917,PR!$AY$1019,IF($S$1268=918,PR!$AY$1020,IF($S$1268=919,PR!$AY$1021,IF($S$1268=920,PR!$AY$1022,IF($S$1268=921,PR!$AY$1023,IF($S$1268=922,PR!$AY$1024,IF($S$1268=923,PR!$AY$1025,IF($S$1268=924,PR!$AY$1026,IF($S$1268=925,PR!$AY$1027,IF($S$1268=926,PR!$AY$1028,IF($S$1268=927,PR!$AY$1029,IF($S$1268=928,PR!$AY$1030,IF($S$1268=929,PR!$AY$1031,IF($S$1268=930,PR!$AY$1032,IF($S$1268=931,PR!$AY$1033,IF($S$1268=932,PR!$AY$1034,IF($S$1268=933,PR!$AY$1035,IF($S$1268=934,PR!$AY$1036,IF($S$1268=935,PR!$AY$1037,IF($S$1268=936,PR!$AY$1038,IF($S$1268=937,PR!$AY$1039,IF($S$1268=938,PR!$AY$1040,IF($S$1268=939,PR!$AY$1041,IF($S$1268=940,PR!$AY$1042,IF($S$1268=941,PR!$AY$1043,IF($S$1268=942,PR!$AY$1044,IF($S$1268=943,PR!$AY$1045,IF($S$1268=944,PR!$AY$1046,IF($S$1268=945,PR!$AY$1047,IF($S$1268=946,PR!$AY$1048,IF($S$1268=947,PR!$AY$1049,IF($S$1268=948,PR!$AY$1050,IF($S$1268=949,PR!$AY$1051,IF($S$1268=950,PR!$AY$1052,IF($S$1268=951,PR!$AY$1053,IF($S$1268=952,PR!$AY$1054,IF($S$1268=953,PR!$AY$1055,IF($S$1268=954,PR!$AY$1056,IF($S$1268=955,PR!$AY$1057,IF($S$1268=956,PR!$AY$1058,IF($S$1268=957,PR!$AY$1062,IF($S$1268=958,PR!$AY$1063,IF($S$1268=959,PR!$AY$1064,IF($S$1268=960,PR!$AY$1065,"-"))))))))))))))))))))))))))))))))))))))))))))))))))))))))))))</f>
        <v>0</v>
      </c>
      <c r="P1278" s="602">
        <f>IF($S$1268=901,PR!$AZ$997,IF($S$1268=902,PR!$AZ$1004,IF($S$1268=903,PR!$AZ$1005,IF($S$1268=904,PR!$AZ$1006,IF($S$1268=905,PR!$AZ$1007,IF($S$1268=906,PR!$AZ$1008,IF($S$1268=907,PR!$AZ$1009,IF($S$1268=908,PR!$AZ$1010,IF($S$1268=909,PR!$AZ$1011,IF($S$1268=910,PR!$AZ$1012,IF($S$1268=911,PR!$AZ$1013,IF($S$1268=912,PR!$AZ$1014,IF($S$1268=913,PR!$AZ$1015,IF($S$1268=914,PR!$AZ$1016,IF($S$1268=915,PR!$AZ$1017,IF($S$1268=916,PR!$AZ$1018,IF($S$1268=917,PR!$AZ$1019,IF($S$1268=918,PR!$AZ$1020,IF($S$1268=919,PR!$AZ$1021,IF($S$1268=920,PR!$AZ$1022,IF($S$1268=921,PR!$AZ$1023,IF($S$1268=922,PR!$AZ$1024,IF($S$1268=923,PR!$AZ$1025,IF($S$1268=924,PR!$AZ$1026,IF($S$1268=925,PR!$AZ$1027,IF($S$1268=926,PR!$AZ$1028,IF($S$1268=927,PR!$AZ$1029,IF($S$1268=928,PR!$AZ$1030,IF($S$1268=929,PR!$AZ$1031,IF($S$1268=930,PR!$AZ$1032,IF($S$1268=931,PR!$AZ$1033,IF($S$1268=932,PR!$AZ$1034,IF($S$1268=933,PR!$AZ$1035,IF($S$1268=934,PR!$AZ$1036,IF($S$1268=935,PR!$AZ$1037,IF($S$1268=936,PR!$AZ$1038,IF($S$1268=937,PR!$AZ$1039,IF($S$1268=938,PR!$AZ$1040,IF($S$1268=939,PR!$AZ$1041,IF($S$1268=940,PR!$AZ$1042,IF($S$1268=941,PR!$AZ$1043,IF($S$1268=942,PR!$AZ$1044,IF($S$1268=943,PR!$AZ$1045,IF($S$1268=944,PR!$AZ$1046,IF($S$1268=945,PR!$AZ$1047,IF($S$1268=946,PR!$AZ$1048,IF($S$1268=947,PR!$AZ$1049,IF($S$1268=948,PR!$AZ$1050,IF($S$1268=949,PR!$AZ$1051,IF($S$1268=950,PR!$AZ$1052,IF($S$1268=951,PR!$AZ$1053,IF($S$1268=952,PR!$AZ$1054,IF($S$1268=953,PR!$AZ$1055,IF($S$1268=954,PR!$AZ$1056,IF($S$1268=955,PR!$AZ$1057,IF($S$1268=956,PR!$AZ$1058,IF($S$1268=957,PR!$AZ$1062,IF($S$1268=958,PR!$AZ$1063,IF($S$1268=959,PR!$AZ$1064,IF($S$1268=960,PR!$AZ$1065,"-"))))))))))))))))))))))))))))))))))))))))))))))))))))))))))))</f>
        <v>0</v>
      </c>
      <c r="Q1278" s="602">
        <f>IF($S$1268=901,PR!$BA$997,IF($S$1268=902,PR!$BA$1004,IF($S$1268=903,PR!$BA$1005,IF($S$1268=904,PR!$BA$1006,IF($S$1268=905,PR!$BA$1007,IF($S$1268=906,PR!$BA$1008,IF($S$1268=907,PR!$BA$1009,IF($S$1268=908,PR!$BA$1010,IF($S$1268=909,PR!$BA$1011,IF($S$1268=910,PR!$BA$1012,IF($S$1268=911,PR!$BA$1013,IF($S$1268=912,PR!$BA$1014,IF($S$1268=913,PR!$BA$1015,IF($S$1268=914,PR!$BA$1016,IF($S$1268=915,PR!$BA$1017,IF($S$1268=916,PR!$BA$1018,IF($S$1268=917,PR!$BA$1019,IF($S$1268=918,PR!$BA$1020,IF($S$1268=919,PR!$BA$1021,IF($S$1268=920,PR!$BA$1022,IF($S$1268=921,PR!$BA$1023,IF($S$1268=922,PR!$BA$1024,IF($S$1268=923,PR!$BA$1025,IF($S$1268=924,PR!$BA$1026,IF($S$1268=925,PR!$BA$1027,IF($S$1268=926,PR!$BA$1028,IF($S$1268=927,PR!$BA$1029,IF($S$1268=928,PR!$BA$1030,IF($S$1268=929,PR!$BA$1031,IF($S$1268=930,PR!$BA$1032,IF($S$1268=931,PR!$BA$1033,IF($S$1268=932,PR!$BA$1034,IF($S$1268=933,PR!$BA$1035,IF($S$1268=934,PR!$BA$1036,IF($S$1268=935,PR!$BA$1037,IF($S$1268=936,PR!$BA$1038,IF($S$1268=937,PR!$BA$1039,IF($S$1268=938,PR!$BA$1040,IF($S$1268=939,PR!$BA$1041,IF($S$1268=940,PR!$BA$1042,IF($S$1268=941,PR!$BA$1043,IF($S$1268=942,PR!$BA$1044,IF($S$1268=943,PR!$BA$1045,IF($S$1268=944,PR!$BA$1046,IF($S$1268=945,PR!$BA$1047,IF($S$1268=946,PR!$BA$1048,IF($S$1268=947,PR!$BA$1049,IF($S$1268=948,PR!$BA$1050,IF($S$1268=949,PR!$BA$1051,IF($S$1268=950,PR!$BA$1052,IF($S$1268=951,PR!$BA$1053,IF($S$1268=952,PR!$BA$1054,IF($S$1268=953,PR!$BA$1055,IF($S$1268=954,PR!$BA$1056,IF($S$1268=955,PR!$BA$1057,IF($S$1268=956,PR!$BA$1058,IF($S$1268=957,PR!$BA$1062,IF($S$1268=958,PR!$BA$1063,IF($S$1268=959,PR!$BA$1064,IF($S$1268=960,PR!$BA$1065,"-"))))))))))))))))))))))))))))))))))))))))))))))))))))))))))))</f>
        <v>0</v>
      </c>
      <c r="R1278" s="602">
        <f>IF($S$1268=901,PR!$BB$997,IF($S$1268=902,PR!$BB$1004,IF($S$1268=903,PR!$BB$1005,IF($S$1268=904,PR!$BB$1006,IF($S$1268=905,PR!$BB$1007,IF($S$1268=906,PR!$BB$1008,IF($S$1268=907,PR!$BB$1009,IF($S$1268=908,PR!$BB$1010,IF($S$1268=909,PR!$BB$1011,IF($S$1268=910,PR!$BB$1012,IF($S$1268=911,PR!$BB$1013,IF($S$1268=912,PR!$BB$1014,IF($S$1268=913,PR!$BB$1015,IF($S$1268=914,PR!$BB$1016,IF($S$1268=915,PR!$BB$1017,IF($S$1268=916,PR!$BB$1018,IF($S$1268=917,PR!$BB$1019,IF($S$1268=918,PR!$BB$1020,IF($S$1268=919,PR!$BB$1021,IF($S$1268=920,PR!$BB$1022,IF($S$1268=921,PR!$BB$1023,IF($S$1268=922,PR!$BB$1024,IF($S$1268=923,PR!$BB$1025,IF($S$1268=924,PR!$BB$1026,IF($S$1268=925,PR!$BB$1027,IF($S$1268=926,PR!$BB$1028,IF($S$1268=927,PR!$BB$1029,IF($S$1268=928,PR!$BB$1030,IF($S$1268=929,PR!$BB$1031,IF($S$1268=930,PR!$BB$1032,IF($S$1268=931,PR!$BB$1033,IF($S$1268=932,PR!$BB$1034,IF($S$1268=933,PR!$BB$1035,IF($S$1268=934,PR!$BB$1036,IF($S$1268=935,PR!$BB$1037,IF($S$1268=936,PR!$BB$1038,IF($S$1268=937,PR!$BB$1039,IF($S$1268=938,PR!$BB$1040,IF($S$1268=939,PR!$BB$1041,IF($S$1268=940,PR!$BB$1042,IF($S$1268=941,PR!$BB$1043,IF($S$1268=942,PR!$BB$1044,IF($S$1268=943,PR!$BB$1045,IF($S$1268=944,PR!$BB$1046,IF($S$1268=945,PR!$BB$1047,IF($S$1268=946,PR!$BB$1048,IF($S$1268=947,PR!$BB$1049,IF($S$1268=948,PR!$BB$1050,IF($S$1268=949,PR!$BB$1051,IF($S$1268=950,PR!$BB$1052,IF($S$1268=951,PR!$BB$1053,IF($S$1268=952,PR!$BB$1054,IF($S$1268=953,PR!$BB$1055,IF($S$1268=954,PR!$BB$1056,IF($S$1268=955,PR!$BB$1057,IF($S$1268=956,PR!$BB$1058,IF($S$1268=957,PR!$BB$1062,IF($S$1268=958,PR!$BB$1063,IF($S$1268=959,PR!$BB$1064,IF($S$1268=960,PR!$BB$1065,"-"))))))))))))))))))))))))))))))))))))))))))))))))))))))))))))</f>
        <v>0</v>
      </c>
      <c r="S1278" s="602">
        <f>IF($S$1268=901,PR!$BC$997,IF($S$1268=902,PR!$BC$1004,IF($S$1268=903,PR!$BC$1005,IF($S$1268=904,PR!$BC$1006,IF($S$1268=905,PR!$BC$1007,IF($S$1268=906,PR!$BC$1008,IF($S$1268=907,PR!$BC$1009,IF($S$1268=908,PR!$BC$1010,IF($S$1268=909,PR!$BC$1011,IF($S$1268=910,PR!$BC$1012,IF($S$1268=911,PR!$BC$1013,IF($S$1268=912,PR!$BC$1014,IF($S$1268=913,PR!$BC$1015,IF($S$1268=914,PR!$BC$1016,IF($S$1268=915,PR!$BC$1017,IF($S$1268=916,PR!$BC$1018,IF($S$1268=917,PR!$BC$1019,IF($S$1268=918,PR!$BC$1020,IF($S$1268=919,PR!$BC$1021,IF($S$1268=920,PR!$BC$1022,IF($S$1268=921,PR!$BC$1023,IF($S$1268=922,PR!$BC$1024,IF($S$1268=923,PR!$BC$1025,IF($S$1268=924,PR!$BC$1026,IF($S$1268=925,PR!$BC$1027,IF($S$1268=926,PR!$BC$1028,IF($S$1268=927,PR!$BC$1029,IF($S$1268=928,PR!$BC$1030,IF($S$1268=929,PR!$BC$1031,IF($S$1268=930,PR!$BC$1032,IF($S$1268=931,PR!$BC$1033,IF($S$1268=932,PR!$BC$1034,IF($S$1268=933,PR!$BC$1035,IF($S$1268=934,PR!$BC$1036,IF($S$1268=935,PR!$BC$1037,IF($S$1268=936,PR!$BC$1038,IF($S$1268=937,PR!$BC$1039,IF($S$1268=938,PR!$BC$1040,IF($S$1268=939,PR!$BC$1041,IF($S$1268=940,PR!$BC$1042,IF($S$1268=941,PR!$BC$1043,IF($S$1268=942,PR!$BC$1044,IF($S$1268=943,PR!$BC$1045,IF($S$1268=944,PR!$BC$1046,IF($S$1268=945,PR!$BC$1047,IF($S$1268=946,PR!$BC$1048,IF($S$1268=947,PR!$BC$1049,IF($S$1268=948,PR!$BC$1050,IF($S$1268=949,PR!$BC$1051,IF($S$1268=950,PR!$BC$1052,IF($S$1268=951,PR!$BC$1053,IF($S$1268=952,PR!$BC$1054,IF($S$1268=953,PR!$BC$1055,IF($S$1268=954,PR!$BC$1056,IF($S$1268=955,PR!$BC$1057,IF($S$1268=956,PR!$BC$1058,IF($S$1268=957,PR!$BC$1062,IF($S$1268=958,PR!$BC$1063,IF($S$1268=959,PR!$BC$1064,IF($S$1268=960,PR!$BC$1065,"-"))))))))))))))))))))))))))))))))))))))))))))))))))))))))))))</f>
        <v>0</v>
      </c>
      <c r="T1278" s="580"/>
      <c r="U1278" s="580"/>
      <c r="V1278" s="32"/>
      <c r="W1278" s="32"/>
      <c r="X1278" s="32"/>
    </row>
    <row r="1279" spans="2:24" ht="15.75" x14ac:dyDescent="0.25">
      <c r="B1279" s="580"/>
      <c r="C1279" s="603"/>
      <c r="D1279" s="604"/>
      <c r="E1279" s="604"/>
      <c r="F1279" s="604"/>
      <c r="G1279" s="604"/>
      <c r="H1279" s="604"/>
      <c r="I1279" s="604"/>
      <c r="J1279" s="604"/>
      <c r="K1279" s="604"/>
      <c r="L1279" s="604"/>
      <c r="M1279" s="604"/>
      <c r="N1279" s="604"/>
      <c r="O1279" s="604"/>
      <c r="P1279" s="604"/>
      <c r="Q1279" s="604"/>
      <c r="R1279" s="606"/>
      <c r="S1279" s="606"/>
      <c r="T1279" s="580"/>
      <c r="U1279" s="580"/>
      <c r="V1279" s="32"/>
      <c r="W1279" s="32"/>
      <c r="X1279" s="32"/>
    </row>
    <row r="1280" spans="2:24" ht="15.75" thickBot="1" x14ac:dyDescent="0.3">
      <c r="B1280" s="580"/>
      <c r="C1280" s="600" t="str">
        <f>N!$C$55</f>
        <v>SAM</v>
      </c>
      <c r="D1280" s="600" t="str">
        <f>N!$C$56</f>
        <v>SEAGREEN</v>
      </c>
      <c r="E1280" s="600" t="str">
        <f>N!$C$57</f>
        <v>SKG</v>
      </c>
      <c r="F1280" s="600" t="str">
        <f>N!$C$58</f>
        <v>TAH</v>
      </c>
      <c r="G1280" s="600" t="str">
        <f>N!$C$59</f>
        <v>TAYLEK</v>
      </c>
      <c r="H1280" s="600" t="str">
        <f>N!$C$60</f>
        <v>TEMITA</v>
      </c>
      <c r="I1280" s="600" t="str">
        <f>N!$C$61</f>
        <v>THL</v>
      </c>
      <c r="J1280" s="600" t="str">
        <f>N!$C$62</f>
        <v>UBASTIC</v>
      </c>
      <c r="K1280" s="600" t="str">
        <f>N!$C$63</f>
        <v>UNION</v>
      </c>
      <c r="L1280" s="600" t="str">
        <f>N!$C$64</f>
        <v>UNIQUE</v>
      </c>
      <c r="M1280" s="600" t="str">
        <f>N!$C$65</f>
        <v>VIXA</v>
      </c>
      <c r="N1280" s="600" t="str">
        <f>N!$C$66</f>
        <v>WWCV</v>
      </c>
      <c r="O1280" s="600" t="str">
        <f>N!$C$67</f>
        <v>ZOLON</v>
      </c>
      <c r="P1280" s="600" t="e">
        <f>N!#REF!</f>
        <v>#REF!</v>
      </c>
      <c r="Q1280" s="600" t="e">
        <f>N!#REF!</f>
        <v>#REF!</v>
      </c>
      <c r="R1280" s="600" t="e">
        <f>N!#REF!</f>
        <v>#REF!</v>
      </c>
      <c r="S1280" s="604"/>
      <c r="T1280" s="580"/>
      <c r="U1280" s="580"/>
      <c r="V1280" s="32"/>
      <c r="W1280" s="32"/>
      <c r="X1280" s="32"/>
    </row>
    <row r="1281" spans="2:24" ht="15.75" thickBot="1" x14ac:dyDescent="0.3">
      <c r="B1281" s="580"/>
      <c r="C1281" s="602">
        <f>IF($S$1268=901,PR!$BD$997,IF($S$1268=902,PR!$BD$1004,IF($S$1268=903,PR!$BD$1005,IF($S$1268=904,PR!$BD$1006,IF($S$1268=905,PR!$BD$1007,IF($S$1268=906,PR!$BD$1008,IF($S$1268=907,PR!$BD$1009,IF($S$1268=908,PR!$BD$1010,IF($S$1268=909,PR!$BD$1011,IF($S$1268=910,PR!$BD$1012,IF($S$1268=911,PR!$BD$1013,IF($S$1268=912,PR!$BD$1014,IF($S$1268=913,PR!$BD$1015,IF($S$1268=914,PR!$BD$1016,IF($S$1268=915,PR!$BD$1017,IF($S$1268=916,PR!$BD$1018,IF($S$1268=917,PR!$BD$1019,IF($S$1268=918,PR!$BD$1020,IF($S$1268=919,PR!$BD$1021,IF($S$1268=920,PR!$BD$1022,IF($S$1268=921,PR!$BD$1023,IF($S$1268=922,PR!$BD$1024,IF($S$1268=923,PR!$BD$1025,IF($S$1268=924,PR!$BD$1026,IF($S$1268=925,PR!$BD$1027,IF($S$1268=926,PR!$BD$1028,IF($S$1268=927,PR!$BD$1029,IF($S$1268=928,PR!$BD$1030,IF($S$1268=929,PR!$BD$1031,IF($S$1268=930,PR!$BD$1032,IF($S$1268=931,PR!$BD$1033,IF($S$1268=932,PR!$BD$1034,IF($S$1268=933,PR!$BD$1035,IF($S$1268=934,PR!$BD$1036,IF($S$1268=935,PR!$BD$1037,IF($S$1268=936,PR!$BD$1038,IF($S$1268=937,PR!$BD$1039,IF($S$1268=938,PR!$BD$1040,IF($S$1268=939,PR!$BD$1041,IF($S$1268=940,PR!$BD$1042,IF($S$1268=941,PR!$BD$1043,IF($S$1268=942,PR!$BD$1044,IF($S$1268=943,PR!$BD$1045,IF($S$1268=944,PR!$BD$1046,IF($S$1268=945,PR!$BD$1047,IF($S$1268=946,PR!$BD$1048,IF($S$1268=947,PR!$BD$1049,IF($S$1268=948,PR!$BD$1050,IF($S$1268=949,PR!$BD$1051,IF($S$1268=950,PR!$BD$1052,IF($S$1268=951,PR!$BD$1053,IF($S$1268=952,PR!$BD$1054,IF($S$1268=953,PR!$BD$1055,IF($S$1268=954,PR!$BD$1056,IF($S$1268=955,PR!$BD$1057,IF($S$1268=956,PR!$BD$1058,IF($S$1268=957,PR!$BD$1062,IF($S$1268=958,PR!$BD$1063,IF($S$1268=959,PR!$BD$1064,IF($S$1268=960,PR!$BD$1065,"-"))))))))))))))))))))))))))))))))))))))))))))))))))))))))))))</f>
        <v>0</v>
      </c>
      <c r="D1281" s="602">
        <f>IF($S$1268=901,PR!$BE$997,IF($S$1268=902,PR!$BE$1004,IF($S$1268=903,PR!$BE$1005,IF($S$1268=904,PR!$BE$1006,IF($S$1268=905,PR!$BE$1007,IF($S$1268=906,PR!$BE$1008,IF($S$1268=907,PR!$BE$1009,IF($S$1268=908,PR!$BE$1010,IF($S$1268=909,PR!$BE$1011,IF($S$1268=910,PR!$BE$1012,IF($S$1268=911,PR!$BE$1013,IF($S$1268=912,PR!$BE$1014,IF($S$1268=913,PR!$BE$1015,IF($S$1268=914,PR!$BE$1016,IF($S$1268=915,PR!$BE$1017,IF($S$1268=916,PR!$BE$1018,IF($S$1268=917,PR!$BE$1019,IF($S$1268=918,PR!$BE$1020,IF($S$1268=919,PR!$BE$1021,IF($S$1268=920,PR!$BE$1022,IF($S$1268=921,PR!$BE$1023,IF($S$1268=922,PR!$BE$1024,IF($S$1268=923,PR!$BE$1025,IF($S$1268=924,PR!$BE$1026,IF($S$1268=925,PR!$BE$1027,IF($S$1268=926,PR!$BE$1028,IF($S$1268=927,PR!$BE$1029,IF($S$1268=928,PR!$BE$1030,IF($S$1268=929,PR!$BE$1031,IF($S$1268=930,PR!$BE$1032,IF($S$1268=931,PR!$BE$1033,IF($S$1268=932,PR!$BE$1034,IF($S$1268=933,PR!$BE$1035,IF($S$1268=934,PR!$BE$1036,IF($S$1268=935,PR!$BE$1037,IF($S$1268=936,PR!$BE$1038,IF($S$1268=937,PR!$BE$1039,IF($S$1268=938,PR!$BE$1040,IF($S$1268=939,PR!$BE$1041,IF($S$1268=940,PR!$BE$1042,IF($S$1268=941,PR!$BE$1043,IF($S$1268=942,PR!$BE$1044,IF($S$1268=943,PR!$BE$1045,IF($S$1268=944,PR!$BE$1046,IF($S$1268=945,PR!$BE$1047,IF($S$1268=946,PR!$BE$1048,IF($S$1268=947,PR!$BE$1049,IF($S$1268=948,PR!$BE$1050,IF($S$1268=949,PR!$BE$1051,IF($S$1268=950,PR!$BE$1052,IF($S$1268=951,PR!$BE$1053,IF($S$1268=952,PR!$BE$1054,IF($S$1268=953,PR!$BE$1055,IF($S$1268=954,PR!$BE$1056,IF($S$1268=955,PR!$BE$1057,IF($S$1268=956,PR!$BE$1058,IF($S$1268=957,PR!$BE$1062,IF($S$1268=958,PR!$BE$1063,IF($S$1268=959,PR!$BE$1064,IF($S$1268=960,PR!$BE$1065,"-"))))))))))))))))))))))))))))))))))))))))))))))))))))))))))))</f>
        <v>0</v>
      </c>
      <c r="E1281" s="602">
        <f>IF($S$1268=901,PR!$BF$997,IF($S$1268=902,PR!$BF$1004,IF($S$1268=903,PR!$BF$1005,IF($S$1268=904,PR!$BF$1006,IF($S$1268=905,PR!$BF$1007,IF($S$1268=906,PR!$BF$1008,IF($S$1268=907,PR!$BF$1009,IF($S$1268=908,PR!$BF$1010,IF($S$1268=909,PR!$BF$1011,IF($S$1268=910,PR!$BF$1012,IF($S$1268=911,PR!$BF$1013,IF($S$1268=912,PR!$BF$1014,IF($S$1268=913,PR!$BF$1015,IF($S$1268=914,PR!$BF$1016,IF($S$1268=915,PR!$BF$1017,IF($S$1268=916,PR!$BF$1018,IF($S$1268=917,PR!$BF$1019,IF($S$1268=918,PR!$BF$1020,IF($S$1268=919,PR!$BF$1021,IF($S$1268=920,PR!$BF$1022,IF($S$1268=921,PR!$BF$1023,IF($S$1268=922,PR!$BF$1024,IF($S$1268=923,PR!$BF$1025,IF($S$1268=924,PR!$BF$1026,IF($S$1268=925,PR!$BF$1027,IF($S$1268=926,PR!$BF$1028,IF($S$1268=927,PR!$BF$1029,IF($S$1268=928,PR!$BF$1030,IF($S$1268=929,PR!$BF$1031,IF($S$1268=930,PR!$BF$1032,IF($S$1268=931,PR!$BF$1033,IF($S$1268=932,PR!$BF$1034,IF($S$1268=933,PR!$BF$1035,IF($S$1268=934,PR!$BF$1036,IF($S$1268=935,PR!$BF$1037,IF($S$1268=936,PR!$BF$1038,IF($S$1268=937,PR!$BF$1039,IF($S$1268=938,PR!$BF$1040,IF($S$1268=939,PR!$BF$1041,IF($S$1268=940,PR!$BF$1042,IF($S$1268=941,PR!$BF$1043,IF($S$1268=942,PR!$BF$1044,IF($S$1268=943,PR!$BF$1045,IF($S$1268=944,PR!$BF$1046,IF($S$1268=945,PR!$BF$1047,IF($S$1268=946,PR!$BF$1048,IF($S$1268=947,PR!$BF$1049,IF($S$1268=948,PR!$BF$1050,IF($S$1268=949,PR!$BF$1051,IF($S$1268=950,PR!$BF$1052,IF($S$1268=951,PR!$BF$1053,IF($S$1268=952,PR!$BF$1054,IF($S$1268=953,PR!$BF$1055,IF($S$1268=954,PR!$BF$1056,IF($S$1268=955,PR!$BF$1057,IF($S$1268=956,PR!$BF$1058,IF($S$1268=957,PR!$BF$1062,IF($S$1268=958,PR!$BF$1063,IF($S$1268=959,PR!$BF$1064,IF($S$1268=960,PR!$BF$1065,"-"))))))))))))))))))))))))))))))))))))))))))))))))))))))))))))</f>
        <v>0</v>
      </c>
      <c r="F1281" s="602">
        <f>IF($S$1268=901,PR!$BG$997,IF($S$1268=902,PR!$BG$1004,IF($S$1268=903,PR!$BG$1005,IF($S$1268=904,PR!$BG$1006,IF($S$1268=905,PR!$BG$1007,IF($S$1268=906,PR!$BG$1008,IF($S$1268=907,PR!$BG$1009,IF($S$1268=908,PR!$BG$1010,IF($S$1268=909,PR!$BG$1011,IF($S$1268=910,PR!$BG$1012,IF($S$1268=911,PR!$BG$1013,IF($S$1268=912,PR!$BG$1014,IF($S$1268=913,PR!$BG$1015,IF($S$1268=914,PR!$BG$1016,IF($S$1268=915,PR!$BG$1017,IF($S$1268=916,PR!$BG$1018,IF($S$1268=917,PR!$BG$1019,IF($S$1268=918,PR!$BG$1020,IF($S$1268=919,PR!$BG$1021,IF($S$1268=920,PR!$BG$1022,IF($S$1268=921,PR!$BG$1023,IF($S$1268=922,PR!$BG$1024,IF($S$1268=923,PR!$BG$1025,IF($S$1268=924,PR!$BG$1026,IF($S$1268=925,PR!$BG$1027,IF($S$1268=926,PR!$BG$1028,IF($S$1268=927,PR!$BG$1029,IF($S$1268=928,PR!$BG$1030,IF($S$1268=929,PR!$BG$1031,IF($S$1268=930,PR!$BG$1032,IF($S$1268=931,PR!$BG$1033,IF($S$1268=932,PR!$BG$1034,IF($S$1268=933,PR!$BG$1035,IF($S$1268=934,PR!$BG$1036,IF($S$1268=935,PR!$BG$1037,IF($S$1268=936,PR!$BG$1038,IF($S$1268=937,PR!$BG$1039,IF($S$1268=938,PR!$BG$1040,IF($S$1268=939,PR!$BG$1041,IF($S$1268=940,PR!$BG$1042,IF($S$1268=941,PR!$BG$1043,IF($S$1268=942,PR!$BG$1044,IF($S$1268=943,PR!$BG$1045,IF($S$1268=944,PR!$BG$1046,IF($S$1268=945,PR!$BG$1047,IF($S$1268=946,PR!$BG$1048,IF($S$1268=947,PR!$BG$1049,IF($S$1268=948,PR!$BG$1050,IF($S$1268=949,PR!$BG$1051,IF($S$1268=950,PR!$BG$1052,IF($S$1268=951,PR!$BG$1053,IF($S$1268=952,PR!$BG$1054,IF($S$1268=953,PR!$BG$1055,IF($S$1268=954,PR!$BG$1056,IF($S$1268=955,PR!$BG$1057,IF($S$1268=956,PR!$BG$1058,IF($S$1268=957,PR!$BG$1062,IF($S$1268=958,PR!$BG$1063,IF($S$1268=959,PR!$BG$1064,IF($S$1268=960,PR!$BG$1065,"-"))))))))))))))))))))))))))))))))))))))))))))))))))))))))))))</f>
        <v>0</v>
      </c>
      <c r="G1281" s="602">
        <f>IF($S$1268=901,PR!$BH$997,IF($S$1268=902,PR!$BH$1004,IF($S$1268=903,PR!$BH$1005,IF($S$1268=904,PR!$BH$1006,IF($S$1268=905,PR!$BH$1007,IF($S$1268=906,PR!$BH$1008,IF($S$1268=907,PR!$BH$1009,IF($S$1268=908,PR!$BH$1010,IF($S$1268=909,PR!$BH$1011,IF($S$1268=910,PR!$BH$1012,IF($S$1268=911,PR!$BH$1013,IF($S$1268=912,PR!$BH$1014,IF($S$1268=913,PR!$BH$1015,IF($S$1268=914,PR!$BH$1016,IF($S$1268=915,PR!$BH$1017,IF($S$1268=916,PR!$BH$1018,IF($S$1268=917,PR!$BH$1019,IF($S$1268=918,PR!$BH$1020,IF($S$1268=919,PR!$BH$1021,IF($S$1268=920,PR!$BH$1022,IF($S$1268=921,PR!$BH$1023,IF($S$1268=922,PR!$BH$1024,IF($S$1268=923,PR!$BH$1025,IF($S$1268=924,PR!$BH$1026,IF($S$1268=925,PR!$BH$1027,IF($S$1268=926,PR!$BH$1028,IF($S$1268=927,PR!$BH$1029,IF($S$1268=928,PR!$BH$1030,IF($S$1268=929,PR!$BH$1031,IF($S$1268=930,PR!$BH$1032,IF($S$1268=931,PR!$BH$1033,IF($S$1268=932,PR!$BH$1034,IF($S$1268=933,PR!$BH$1035,IF($S$1268=934,PR!$BH$1036,IF($S$1268=935,PR!$BH$1037,IF($S$1268=936,PR!$BH$1038,IF($S$1268=937,PR!$BH$1039,IF($S$1268=938,PR!$BH$1040,IF($S$1268=939,PR!$BH$1041,IF($S$1268=940,PR!$BH$1042,IF($S$1268=941,PR!$BH$1043,IF($S$1268=942,PR!$BH$1044,IF($S$1268=943,PR!$BH$1045,IF($S$1268=944,PR!$BH$1046,IF($S$1268=945,PR!$BH$1047,IF($S$1268=946,PR!$BH$1048,IF($S$1268=947,PR!$BH$1049,IF($S$1268=948,PR!$BH$1050,IF($S$1268=949,PR!$BH$1051,IF($S$1268=950,PR!$BH$1052,IF($S$1268=951,PR!$BH$1053,IF($S$1268=952,PR!$BH$1054,IF($S$1268=953,PR!$BH$1055,IF($S$1268=954,PR!$BH$1056,IF($S$1268=955,PR!$BH$1057,IF($S$1268=956,PR!$BH$1058,IF($S$1268=957,PR!$BH$1062,IF($S$1268=958,PR!$BH$1063,IF($S$1268=959,PR!$BH$1064,IF($S$1268=960,PR!$BH$1065,"-"))))))))))))))))))))))))))))))))))))))))))))))))))))))))))))</f>
        <v>0</v>
      </c>
      <c r="H1281" s="633">
        <f>IF($S$1268=901,PR!$BI$997,IF($S$1268=902,PR!$BI$1004,IF($S$1268=903,PR!$BI$1005,IF($S$1268=904,PR!$BI$1006,IF($S$1268=905,PR!$BI$1007,IF($S$1268=906,PR!$BI$1008,IF($S$1268=907,PR!$BI$1009,IF($S$1268=908,PR!$BI$1010,IF($S$1268=909,PR!$BI$1011,IF($S$1268=910,PR!$BI$1012,IF($S$1268=911,PR!$BI$1013,IF($S$1268=912,PR!$BI$1014,IF($S$1268=913,PR!$BI$1015,IF($S$1268=914,PR!$BI$1016,IF($S$1268=915,PR!$BI$1017,IF($S$1268=916,PR!$BI$1018,IF($S$1268=917,PR!$BI$1019,IF($S$1268=918,PR!$BI$1020,IF($S$1268=919,PR!$BI$1021,IF($S$1268=920,PR!$BI$1022,IF($S$1268=921,PR!$BI$1023,IF($S$1268=922,PR!$BI$1024,IF($S$1268=923,PR!$BI$1025,IF($S$1268=924,PR!$BI$1026,IF($S$1268=925,PR!$BI$1027,IF($S$1268=926,PR!$BI$1028,IF($S$1268=927,PR!$BI$1029,IF($S$1268=928,PR!$BI$1030,IF($S$1268=929,PR!$BI$1031,IF($S$1268=930,PR!$BI$1032,IF($S$1268=931,PR!$BI$1033,IF($S$1268=932,PR!$BI$1034,IF($S$1268=933,PR!$BI$1035,IF($S$1268=934,PR!$BI$1036,IF($S$1268=935,PR!$BI$1037,IF($S$1268=936,PR!$BI$1038,IF($S$1268=937,PR!$BI$1039,IF($S$1268=938,PR!$BI$1040,IF($S$1268=939,PR!$BI$1041,IF($S$1268=940,PR!$BI$1042,IF($S$1268=941,PR!$BI$1043,IF($S$1268=942,PR!$BI$1044,IF($S$1268=943,PR!$BI$1045,IF($S$1268=944,PR!$BI$1046,IF($S$1268=945,PR!$BI$1047,IF($S$1268=946,PR!$BI$1048,IF($S$1268=947,PR!$BI$1049,IF($S$1268=948,PR!$BI$1050,IF($S$1268=949,PR!$BI$1051,IF($S$1268=950,PR!$BI$1052,IF($S$1268=951,PR!$BI$1053,IF($S$1268=952,PR!$BI$1054,IF($S$1268=953,PR!$BI$1055,IF($S$1268=954,PR!$BI$1056,IF($S$1268=955,PR!$BI$1057,IF($S$1268=956,PR!$BI$1058,IF($S$1268=957,PR!$BI$1062,IF($S$1268=958,PR!$BI$1063,IF($S$1268=959,PR!$BI$1064,IF($S$1268=960,PR!$BI$1065,"-"))))))))))))))))))))))))))))))))))))))))))))))))))))))))))))</f>
        <v>0</v>
      </c>
      <c r="I1281" s="602">
        <f>IF($S$1268=901,PR!$BJ$997,IF($S$1268=902,PR!$BJ$1004,IF($S$1268=903,PR!$BJ$1005,IF($S$1268=904,PR!$BJ$1006,IF($S$1268=905,PR!$BJ$1007,IF($S$1268=906,PR!$BJ$1008,IF($S$1268=907,PR!$BJ$1009,IF($S$1268=908,PR!$BJ$1010,IF($S$1268=909,PR!$BJ$1011,IF($S$1268=910,PR!$BJ$1012,IF($S$1268=911,PR!$BJ$1013,IF($S$1268=912,PR!$BJ$1014,IF($S$1268=913,PR!$BJ$1015,IF($S$1268=914,PR!$BJ$1016,IF($S$1268=915,PR!$BJ$1017,IF($S$1268=916,PR!$BJ$1018,IF($S$1268=917,PR!$BJ$1019,IF($S$1268=918,PR!$BJ$1020,IF($S$1268=919,PR!$BJ$1021,IF($S$1268=920,PR!$BJ$1022,IF($S$1268=921,PR!$BJ$1023,IF($S$1268=922,PR!$BJ$1024,IF($S$1268=923,PR!$BJ$1025,IF($S$1268=924,PR!$BJ$1026,IF($S$1268=925,PR!$BJ$1027,IF($S$1268=926,PR!$BJ$1028,IF($S$1268=927,PR!$BJ$1029,IF($S$1268=928,PR!$BJ$1030,IF($S$1268=929,PR!$BJ$1031,IF($S$1268=930,PR!$BJ$1032,IF($S$1268=931,PR!$BJ$1033,IF($S$1268=932,PR!$BJ$1034,IF($S$1268=933,PR!$BJ$1035,IF($S$1268=934,PR!$BJ$1036,IF($S$1268=935,PR!$BJ$1037,IF($S$1268=936,PR!$BJ$1038,IF($S$1268=937,PR!$BJ$1039,IF($S$1268=938,PR!$BJ$1040,IF($S$1268=939,PR!$BJ$1041,IF($S$1268=940,PR!$BJ$1042,IF($S$1268=941,PR!$BJ$1043,IF($S$1268=942,PR!$BJ$1044,IF($S$1268=943,PR!$BJ$1045,IF($S$1268=944,PR!$BJ$1046,IF($S$1268=945,PR!$BJ$1047,IF($S$1268=946,PR!$BJ$1048,IF($S$1268=947,PR!$BJ$1049,IF($S$1268=948,PR!$BJ$1050,IF($S$1268=949,PR!$BJ$1051,IF($S$1268=950,PR!$BJ$1052,IF($S$1268=951,PR!$BJ$1053,IF($S$1268=952,PR!$BJ$1054,IF($S$1268=953,PR!$BJ$1055,IF($S$1268=954,PR!$BJ$1056,IF($S$1268=955,PR!$BJ$1057,IF($S$1268=956,PR!$BJ$1058,IF($S$1268=957,PR!$BJ$1062,IF($S$1268=958,PR!$BJ$1063,IF($S$1268=959,PR!$BJ$1064,IF($S$1268=960,PR!$BJ$1065,"-"))))))))))))))))))))))))))))))))))))))))))))))))))))))))))))</f>
        <v>0</v>
      </c>
      <c r="J1281" s="633">
        <f>IF($S$1268=901,PR!$BK$997,IF($S$1268=902,PR!$BK$1004,IF($S$1268=903,PR!$BK$1005,IF($S$1268=904,PR!$BK$1006,IF($S$1268=905,PR!$BK$1007,IF($S$1268=906,PR!$BK$1008,IF($S$1268=907,PR!$BK$1009,IF($S$1268=908,PR!$BK$1010,IF($S$1268=909,PR!$BK$1011,IF($S$1268=910,PR!$BK$1012,IF($S$1268=911,PR!$BK$1013,IF($S$1268=912,PR!$BK$1014,IF($S$1268=913,PR!$BK$1015,IF($S$1268=914,PR!$BK$1016,IF($S$1268=915,PR!$BK$1017,IF($S$1268=916,PR!$BK$1018,IF($S$1268=917,PR!$BK$1019,IF($S$1268=918,PR!$BK$1020,IF($S$1268=919,PR!$BK$1021,IF($S$1268=920,PR!$BK$1022,IF($S$1268=921,PR!$BK$1023,IF($S$1268=922,PR!$BK$1024,IF($S$1268=923,PR!$BK$1025,IF($S$1268=924,PR!$BK$1026,IF($S$1268=925,PR!$BK$1027,IF($S$1268=926,PR!$BK$1028,IF($S$1268=927,PR!$BK$1029,IF($S$1268=928,PR!$BK$1030,IF($S$1268=929,PR!$BK$1031,IF($S$1268=930,PR!$BK$1032,IF($S$1268=931,PR!$BK$1033,IF($S$1268=932,PR!$BK$1034,IF($S$1268=933,PR!$BK$1035,IF($S$1268=934,PR!$BK$1036,IF($S$1268=935,PR!$BK$1037,IF($S$1268=936,PR!$BK$1038,IF($S$1268=937,PR!$BK$1039,IF($S$1268=938,PR!$BK$1040,IF($S$1268=939,PR!$BK$1041,IF($S$1268=940,PR!$BK$1042,IF($S$1268=941,PR!$BK$1043,IF($S$1268=942,PR!$BK$1044,IF($S$1268=943,PR!$BK$1045,IF($S$1268=944,PR!$BK$1046,IF($S$1268=945,PR!$BK$1047,IF($S$1268=946,PR!$BK$1048,IF($S$1268=947,PR!$BK$1049,IF($S$1268=948,PR!$BK$1050,IF($S$1268=949,PR!$BK$1051,IF($S$1268=950,PR!$BK$1052,IF($S$1268=951,PR!$BK$1053,IF($S$1268=952,PR!$BK$1054,IF($S$1268=953,PR!$BK$1055,IF($S$1268=954,PR!$BK$1056,IF($S$1268=955,PR!$BK$1057,IF($S$1268=956,PR!$BK$1058,IF($S$1268=957,PR!$BK$1062,IF($S$1268=958,PR!$BK$1063,IF($S$1268=959,PR!$BK$1064,IF($S$1268=960,PR!$BK$1065,"-"))))))))))))))))))))))))))))))))))))))))))))))))))))))))))))</f>
        <v>6000</v>
      </c>
      <c r="K1281" s="602">
        <f>IF($S$1268=901,PR!$BL$997,IF($S$1268=902,PR!$BL$1004,IF($S$1268=903,PR!$BL$1005,IF($S$1268=904,PR!$BL$1006,IF($S$1268=905,PR!$BL$1007,IF($S$1268=906,PR!$BL$1008,IF($S$1268=907,PR!$BL$1009,IF($S$1268=908,PR!$BL$1010,IF($S$1268=909,PR!$BL$1011,IF($S$1268=910,PR!$BL$1012,IF($S$1268=911,PR!$BL$1013,IF($S$1268=912,PR!$BL$1014,IF($S$1268=913,PR!$BL$1015,IF($S$1268=914,PR!$BL$1016,IF($S$1268=915,PR!$BL$1017,IF($S$1268=916,PR!$BL$1018,IF($S$1268=917,PR!$BL$1019,IF($S$1268=918,PR!$BL$1020,IF($S$1268=919,PR!$BL$1021,IF($S$1268=920,PR!$BL$1022,IF($S$1268=921,PR!$BL$1023,IF($S$1268=922,PR!$BL$1024,IF($S$1268=923,PR!$BL$1025,IF($S$1268=924,PR!$BL$1026,IF($S$1268=925,PR!$BL$1027,IF($S$1268=926,PR!$BL$1028,IF($S$1268=927,PR!$BL$1029,IF($S$1268=928,PR!$BL$1030,IF($S$1268=929,PR!$BL$1031,IF($S$1268=930,PR!$BL$1032,IF($S$1268=931,PR!$BL$1033,IF($S$1268=932,PR!$BL$1034,IF($S$1268=933,PR!$BL$1035,IF($S$1268=934,PR!$BL$1036,IF($S$1268=935,PR!$BL$1037,IF($S$1268=936,PR!$BL$1038,IF($S$1268=937,PR!$BL$1039,IF($S$1268=938,PR!$BL$1040,IF($S$1268=939,PR!$BL$1041,IF($S$1268=940,PR!$BL$1042,IF($S$1268=941,PR!$BL$1043,IF($S$1268=942,PR!$BL$1044,IF($S$1268=943,PR!$BL$1045,IF($S$1268=944,PR!$BL$1046,IF($S$1268=945,PR!$BL$1047,IF($S$1268=946,PR!$BL$1048,IF($S$1268=947,PR!$BL$1049,IF($S$1268=948,PR!$BL$1050,IF($S$1268=949,PR!$BL$1051,IF($S$1268=950,PR!$BL$1052,IF($S$1268=951,PR!$BL$1053,IF($S$1268=952,PR!$BL$1054,IF($S$1268=953,PR!$BL$1055,IF($S$1268=954,PR!$BL$1056,IF($S$1268=955,PR!$BL$1057,IF($S$1268=956,PR!$BL$1058,IF($S$1268=957,PR!$BL$1062,IF($S$1268=958,PR!$BL$1063,IF($S$1268=959,PR!$BL$1064,IF($S$1268=960,PR!$BL$1065,"-"))))))))))))))))))))))))))))))))))))))))))))))))))))))))))))</f>
        <v>0</v>
      </c>
      <c r="L1281" s="602">
        <f>IF($S$1268=901,PR!$BM$997,IF($S$1268=902,PR!$BM$1004,IF($S$1268=903,PR!$BM$1005,IF($S$1268=904,PR!$BM$1006,IF($S$1268=905,PR!$BM$1007,IF($S$1268=906,PR!$BM$1008,IF($S$1268=907,PR!$BM$1009,IF($S$1268=908,PR!$BM$1010,IF($S$1268=909,PR!$BM$1011,IF($S$1268=910,PR!$BM$1012,IF($S$1268=911,PR!$BM$1013,IF($S$1268=912,PR!$BM$1014,IF($S$1268=913,PR!$BM$1015,IF($S$1268=914,PR!$BM$1016,IF($S$1268=915,PR!$BM$1017,IF($S$1268=916,PR!$BM$1018,IF($S$1268=917,PR!$BM$1019,IF($S$1268=918,PR!$BM$1020,IF($S$1268=919,PR!$BM$1021,IF($S$1268=920,PR!$BM$1022,IF($S$1268=921,PR!$BM$1023,IF($S$1268=922,PR!$BM$1024,IF($S$1268=923,PR!$BM$1025,IF($S$1268=924,PR!$BM$1026,IF($S$1268=925,PR!$BM$1027,IF($S$1268=926,PR!$BM$1028,IF($S$1268=927,PR!$BM$1029,IF($S$1268=928,PR!$BM$1030,IF($S$1268=929,PR!$BM$1031,IF($S$1268=930,PR!$BM$1032,IF($S$1268=931,PR!$BM$1033,IF($S$1268=932,PR!$BM$1034,IF($S$1268=933,PR!$BM$1035,IF($S$1268=934,PR!$BM$1036,IF($S$1268=935,PR!$BM$1037,IF($S$1268=936,PR!$BM$1038,IF($S$1268=937,PR!$BM$1039,IF($S$1268=938,PR!$BM$1040,IF($S$1268=939,PR!$BM$1041,IF($S$1268=940,PR!$BM$1042,IF($S$1268=941,PR!$BM$1043,IF($S$1268=942,PR!$BM$1044,IF($S$1268=943,PR!$BM$1045,IF($S$1268=944,PR!$BM$1046,IF($S$1268=945,PR!$BM$1047,IF($S$1268=946,PR!$BM$1048,IF($S$1268=947,PR!$BM$1049,IF($S$1268=948,PR!$BM$1050,IF($S$1268=949,PR!$BM$1051,IF($S$1268=950,PR!$BM$1052,IF($S$1268=951,PR!$BM$1053,IF($S$1268=952,PR!$BM$1054,IF($S$1268=953,PR!$BM$1055,IF($S$1268=954,PR!$BM$1056,IF($S$1268=955,PR!$BM$1057,IF($S$1268=956,PR!$BM$1058,IF($S$1268=957,PR!$BM$1062,IF($S$1268=958,PR!$BM$1063,IF($S$1268=959,PR!$BM$1064,IF($S$1268=960,PR!$BM$1065,"-"))))))))))))))))))))))))))))))))))))))))))))))))))))))))))))</f>
        <v>0</v>
      </c>
      <c r="M1281" s="602">
        <f>IF($S$1268=901,PR!$BN$997,IF($S$1268=902,PR!$BN$1004,IF($S$1268=903,PR!$BN$1005,IF($S$1268=904,PR!$BN$1006,IF($S$1268=905,PR!$BN$1007,IF($S$1268=906,PR!$BN$1008,IF($S$1268=907,PR!$BN$1009,IF($S$1268=908,PR!$BN$1010,IF($S$1268=909,PR!$BN$1011,IF($S$1268=910,PR!$BN$1012,IF($S$1268=911,PR!$BN$1013,IF($S$1268=912,PR!$BN$1014,IF($S$1268=913,PR!$BN$1015,IF($S$1268=914,PR!$BN$1016,IF($S$1268=915,PR!$BN$1017,IF($S$1268=916,PR!$BN$1018,IF($S$1268=917,PR!$BN$1019,IF($S$1268=918,PR!$BN$1020,IF($S$1268=919,PR!$BN$1021,IF($S$1268=920,PR!$BN$1022,IF($S$1268=921,PR!$BN$1023,IF($S$1268=922,PR!$BN$1024,IF($S$1268=923,PR!$BN$1025,IF($S$1268=924,PR!$BN$1026,IF($S$1268=925,PR!$BN$1027,IF($S$1268=926,PR!$BN$1028,IF($S$1268=927,PR!$BN$1029,IF($S$1268=928,PR!$BN$1030,IF($S$1268=929,PR!$BN$1031,IF($S$1268=930,PR!$BN$1032,IF($S$1268=931,PR!$BN$1033,IF($S$1268=932,PR!$BN$1034,IF($S$1268=933,PR!$BN$1035,IF($S$1268=934,PR!$BN$1036,IF($S$1268=935,PR!$BN$1037,IF($S$1268=936,PR!$BN$1038,IF($S$1268=937,PR!$BN$1039,IF($S$1268=938,PR!$BN$1040,IF($S$1268=939,PR!$BN$1041,IF($S$1268=940,PR!$BN$1042,IF($S$1268=941,PR!$BN$1043,IF($S$1268=942,PR!$BN$1044,IF($S$1268=943,PR!$BN$1045,IF($S$1268=944,PR!$BN$1046,IF($S$1268=945,PR!$BN$1047,IF($S$1268=946,PR!$BN$1048,IF($S$1268=947,PR!$BN$1049,IF($S$1268=948,PR!$BN$1050,IF($S$1268=949,PR!$BN$1051,IF($S$1268=950,PR!$BN$1052,IF($S$1268=951,PR!$BN$1053,IF($S$1268=952,PR!$BN$1054,IF($S$1268=953,PR!$BN$1055,IF($S$1268=954,PR!$BN$1056,IF($S$1268=955,PR!$BN$1057,IF($S$1268=956,PR!$BN$1058,IF($S$1268=957,PR!$BN$1062,IF($S$1268=958,PR!$BN$1063,IF($S$1268=959,PR!$BN$1064,IF($S$1268=960,PR!$BN$1065,"-"))))))))))))))))))))))))))))))))))))))))))))))))))))))))))))</f>
        <v>0</v>
      </c>
      <c r="N1281" s="602">
        <f>IF($S$1268=901,PR!$BO$997,IF($S$1268=902,PR!$BO$1004,IF($S$1268=903,PR!$BO$1005,IF($S$1268=904,PR!$BO$1006,IF($S$1268=905,PR!$BO$1007,IF($S$1268=906,PR!$BO$1008,IF($S$1268=907,PR!$BO$1009,IF($S$1268=908,PR!$BO$1010,IF($S$1268=909,PR!$BO$1011,IF($S$1268=910,PR!$BO$1012,IF($S$1268=911,PR!$BO$1013,IF($S$1268=912,PR!$BO$1014,IF($S$1268=913,PR!$BO$1015,IF($S$1268=914,PR!$BO$1016,IF($S$1268=915,PR!$BO$1017,IF($S$1268=916,PR!$BO$1018,IF($S$1268=917,PR!$BO$1019,IF($S$1268=918,PR!$BO$1020,IF($S$1268=919,PR!$BO$1021,IF($S$1268=920,PR!$BO$1022,IF($S$1268=921,PR!$BO$1023,IF($S$1268=922,PR!$BO$1024,IF($S$1268=923,PR!$BO$1025,IF($S$1268=924,PR!$BO$1026,IF($S$1268=925,PR!$BO$1027,IF($S$1268=926,PR!$BO$1028,IF($S$1268=927,PR!$BO$1029,IF($S$1268=928,PR!$BO$1030,IF($S$1268=929,PR!$BO$1031,IF($S$1268=930,PR!$BO$1032,IF($S$1268=931,PR!$BO$1033,IF($S$1268=932,PR!$BO$1034,IF($S$1268=933,PR!$BO$1035,IF($S$1268=934,PR!$BO$1036,IF($S$1268=935,PR!$BO$1037,IF($S$1268=936,PR!$BO$1038,IF($S$1268=937,PR!$BO$1039,IF($S$1268=938,PR!$BO$1040,IF($S$1268=939,PR!$BO$1041,IF($S$1268=940,PR!$BO$1042,IF($S$1268=941,PR!$BO$1043,IF($S$1268=942,PR!$BO$1044,IF($S$1268=943,PR!$BO$1045,IF($S$1268=944,PR!$BO$1046,IF($S$1268=945,PR!$BO$1047,IF($S$1268=946,PR!$BO$1048,IF($S$1268=947,PR!$BO$1049,IF($S$1268=948,PR!$BO$1050,IF($S$1268=949,PR!$BO$1051,IF($S$1268=950,PR!$BO$1052,IF($S$1268=951,PR!$BO$1053,IF($S$1268=952,PR!$BO$1054,IF($S$1268=953,PR!$BO$1055,IF($S$1268=954,PR!$BO$1056,IF($S$1268=955,PR!$BO$1057,IF($S$1268=956,PR!$BO$1058,IF($S$1268=957,PR!$BO$1062,IF($S$1268=958,PR!$BO$1063,IF($S$1268=959,PR!$BO$1064,IF($S$1268=960,PR!$BO$1065,"-"))))))))))))))))))))))))))))))))))))))))))))))))))))))))))))</f>
        <v>0</v>
      </c>
      <c r="O1281" s="602">
        <f>IF($S$1268=901,PR!$BP$997,IF($S$1268=902,PR!$BP$1004,IF($S$1268=903,PR!$BP$1005,IF($S$1268=904,PR!$BP$1006,IF($S$1268=905,PR!$BP$1007,IF($S$1268=906,PR!$BP$1008,IF($S$1268=907,PR!$BP$1009,IF($S$1268=908,PR!$BP$1010,IF($S$1268=909,PR!$BP$1011,IF($S$1268=910,PR!$BP$1012,IF($S$1268=911,PR!$BP$1013,IF($S$1268=912,PR!$BP$1014,IF($S$1268=913,PR!$BP$1015,IF($S$1268=914,PR!$BP$1016,IF($S$1268=915,PR!$BP$1017,IF($S$1268=916,PR!$BP$1018,IF($S$1268=917,PR!$BP$1019,IF($S$1268=918,PR!$BP$1020,IF($S$1268=919,PR!$BP$1021,IF($S$1268=920,PR!$BP$1022,IF($S$1268=921,PR!$BP$1023,IF($S$1268=922,PR!$BP$1024,IF($S$1268=923,PR!$BP$1025,IF($S$1268=924,PR!$BP$1026,IF($S$1268=925,PR!$BP$1027,IF($S$1268=926,PR!$BP$1028,IF($S$1268=927,PR!$BP$1029,IF($S$1268=928,PR!$BP$1030,IF($S$1268=929,PR!$BP$1031,IF($S$1268=930,PR!$BP$1032,IF($S$1268=931,PR!$BP$1033,IF($S$1268=932,PR!$BP$1034,IF($S$1268=933,PR!$BP$1035,IF($S$1268=934,PR!$BP$1036,IF($S$1268=935,PR!$BP$1037,IF($S$1268=936,PR!$BP$1038,IF($S$1268=937,PR!$BP$1039,IF($S$1268=938,PR!$BP$1040,IF($S$1268=939,PR!$BP$1041,IF($S$1268=940,PR!$BP$1042,IF($S$1268=941,PR!$BP$1043,IF($S$1268=942,PR!$BP$1044,IF($S$1268=943,PR!$BP$1045,IF($S$1268=944,PR!$BP$1046,IF($S$1268=945,PR!$BP$1047,IF($S$1268=946,PR!$BP$1048,IF($S$1268=947,PR!$BP$1049,IF($S$1268=948,PR!$BP$1050,IF($S$1268=949,PR!$BP$1051,IF($S$1268=950,PR!$BP$1052,IF($S$1268=951,PR!$BP$1053,IF($S$1268=952,PR!$BP$1054,IF($S$1268=953,PR!$BP$1055,IF($S$1268=954,PR!$BP$1056,IF($S$1268=955,PR!$BP$1057,IF($S$1268=956,PR!$BP$1058,IF($S$1268=957,PR!$BP$1062,IF($S$1268=958,PR!$BP$1063,IF($S$1268=959,PR!$BP$1064,IF($S$1268=960,PR!$BP$1065,"-"))))))))))))))))))))))))))))))))))))))))))))))))))))))))))))</f>
        <v>0</v>
      </c>
      <c r="P1281" s="602">
        <f>IF($S$1268=901,PR!$BQ$997,IF($S$1268=902,PR!$BQ$1004,IF($S$1268=903,PR!$BQ$1005,IF($S$1268=904,PR!$BQ$1006,IF($S$1268=905,PR!$BQ$1007,IF($S$1268=906,PR!$BQ$1008,IF($S$1268=907,PR!$BQ$1009,IF($S$1268=908,PR!$BQ$1010,IF($S$1268=909,PR!$BQ$1011,IF($S$1268=910,PR!$BQ$1012,IF($S$1268=911,PR!$BQ$1013,IF($S$1268=912,PR!$BQ$1014,IF($S$1268=913,PR!$BQ$1015,IF($S$1268=914,PR!$BQ$1016,IF($S$1268=915,PR!$BQ$1017,IF($S$1268=916,PR!$BQ$1018,IF($S$1268=917,PR!$BQ$1019,IF($S$1268=918,PR!$BQ$1020,IF($S$1268=919,PR!$BQ$1021,IF($S$1268=920,PR!$BQ$1022,IF($S$1268=921,PR!$BQ$1023,IF($S$1268=922,PR!$BQ$1024,IF($S$1268=923,PR!$BQ$1025,IF($S$1268=924,PR!$BQ$1026,IF($S$1268=925,PR!$BQ$1027,IF($S$1268=926,PR!$BQ$1028,IF($S$1268=927,PR!$BQ$1029,IF($S$1268=928,PR!$BQ$1030,IF($S$1268=929,PR!$BQ$1031,IF($S$1268=930,PR!$BQ$1032,IF($S$1268=931,PR!$BQ$1033,IF($S$1268=932,PR!$BQ$1034,IF($S$1268=933,PR!$BQ$1035,IF($S$1268=934,PR!$BQ$1036,IF($S$1268=935,PR!$BQ$1037,IF($S$1268=936,PR!$BQ$1038,IF($S$1268=937,PR!$BQ$1039,IF($S$1268=938,PR!$BQ$1040,IF($S$1268=939,PR!$BQ$1041,IF($S$1268=940,PR!$BQ$1042,IF($S$1268=941,PR!$BQ$1043,IF($S$1268=942,PR!$BQ$1044,IF($S$1268=943,PR!$BQ$1045,IF($S$1268=944,PR!$BQ$1046,IF($S$1268=945,PR!$BQ$1047,IF($S$1268=946,PR!$BQ$1048,IF($S$1268=947,PR!$BQ$1049,IF($S$1268=948,PR!$BQ$1050,IF($S$1268=949,PR!$BQ$1051,IF($S$1268=950,PR!$BQ$1052,IF($S$1268=951,PR!$BQ$1053,IF($S$1268=952,PR!$BQ$1054,IF($S$1268=953,PR!$BQ$1055,IF($S$1268=954,PR!$BQ$1056,IF($S$1268=955,PR!$BQ$1057,IF($S$1268=956,PR!$BQ$1058,IF($S$1268=957,PR!$BQ$1062,IF($S$1268=958,PR!$BQ$1063,IF($S$1268=959,PR!$BQ$1064,IF($S$1268=960,PR!$BQ$1065,"-"))))))))))))))))))))))))))))))))))))))))))))))))))))))))))))</f>
        <v>0</v>
      </c>
      <c r="Q1281" s="602">
        <f>IF($S$1268=901,PR!$BR$997,IF($S$1268=902,PR!$BR$1004,IF($S$1268=903,PR!$BR$1005,IF($S$1268=904,PR!$BR$1006,IF($S$1268=905,PR!$BR$1007,IF($S$1268=906,PR!$BR$1008,IF($S$1268=907,PR!$BR$1009,IF($S$1268=908,PR!$BR$1010,IF($S$1268=909,PR!$BR$1011,IF($S$1268=910,PR!$BR$1012,IF($S$1268=911,PR!$BR$1013,IF($S$1268=912,PR!$BR$1014,IF($S$1268=913,PR!$BR$1015,IF($S$1268=914,PR!$BR$1016,IF($S$1268=915,PR!$BR$1017,IF($S$1268=916,PR!$BR$1018,IF($S$1268=917,PR!$BR$1019,IF($S$1268=918,PR!$BR$1020,IF($S$1268=919,PR!$BR$1021,IF($S$1268=920,PR!$BR$1022,IF($S$1268=921,PR!$BR$1023,IF($S$1268=922,PR!$BR$1024,IF($S$1268=923,PR!$BR$1025,IF($S$1268=924,PR!$BR$1026,IF($S$1268=925,PR!$BR$1027,IF($S$1268=926,PR!$BR$1028,IF($S$1268=927,PR!$BR$1029,IF($S$1268=928,PR!$BR$1030,IF($S$1268=929,PR!$BR$1031,IF($S$1268=930,PR!$BR$1032,IF($S$1268=931,PR!$BR$1033,IF($S$1268=932,PR!$BR$1034,IF($S$1268=933,PR!$BR$1035,IF($S$1268=934,PR!$BR$1036,IF($S$1268=935,PR!$BR$1037,IF($S$1268=936,PR!$BR$1038,IF($S$1268=937,PR!$BR$1039,IF($S$1268=938,PR!$BR$1040,IF($S$1268=939,PR!$BR$1041,IF($S$1268=940,PR!$BR$1042,IF($S$1268=941,PR!$BR$1043,IF($S$1268=942,PR!$BR$1044,IF($S$1268=943,PR!$BR$1045,IF($S$1268=944,PR!$BR$1046,IF($S$1268=945,PR!$BR$1047,IF($S$1268=946,PR!$BR$1048,IF($S$1268=947,PR!$BR$1049,IF($S$1268=948,PR!$BR$1050,IF($S$1268=949,PR!$BR$1051,IF($S$1268=950,PR!$BR$1052,IF($S$1268=951,PR!$BR$1053,IF($S$1268=952,PR!$BR$1054,IF($S$1268=953,PR!$BR$1055,IF($S$1268=954,PR!$BR$1056,IF($S$1268=955,PR!$BR$1057,IF($S$1268=956,PR!$BR$1058,IF($S$1268=957,PR!$BR$1062,IF($S$1268=958,PR!$BR$1063,IF($S$1268=959,PR!$BR$1064,IF($S$1268=960,PR!$BR$1065,"-"))))))))))))))))))))))))))))))))))))))))))))))))))))))))))))</f>
        <v>0</v>
      </c>
      <c r="R1281" s="602">
        <f>IF($S$1268=901,PR!$BS$997,IF($S$1268=902,PR!$BS$1004,IF($S$1268=903,PR!$BS$1005,IF($S$1268=904,PR!$BS$1006,IF($S$1268=905,PR!$BS$1007,IF($S$1268=906,PR!$BS$1008,IF($S$1268=907,PR!$BS$1009,IF($S$1268=908,PR!$BS$1010,IF($S$1268=909,PR!$BS$1011,IF($S$1268=910,PR!$BS$1012,IF($S$1268=911,PR!$BS$1013,IF($S$1268=912,PR!$BS$1014,IF($S$1268=913,PR!$BS$1015,IF($S$1268=914,PR!$BS$1016,IF($S$1268=915,PR!$BS$1017,IF($S$1268=916,PR!$BS$1018,IF($S$1268=917,PR!$BS$1019,IF($S$1268=918,PR!$BS$1020,IF($S$1268=919,PR!$BS$1021,IF($S$1268=920,PR!$BS$1022,IF($S$1268=921,PR!$BS$1023,IF($S$1268=922,PR!$BS$1024,IF($S$1268=923,PR!$BS$1025,IF($S$1268=924,PR!$BS$1026,IF($S$1268=925,PR!$BS$1027,IF($S$1268=926,PR!$BS$1028,IF($S$1268=927,PR!$BS$1029,IF($S$1268=928,PR!$BS$1030,IF($S$1268=929,PR!$BS$1031,IF($S$1268=930,PR!$BS$1032,IF($S$1268=931,PR!$BS$1033,IF($S$1268=932,PR!$BS$1034,IF($S$1268=933,PR!$BS$1035,IF($S$1268=934,PR!$BS$1036,IF($S$1268=935,PR!$BS$1037,IF($S$1268=936,PR!$BS$1038,IF($S$1268=937,PR!$BS$1039,IF($S$1268=938,PR!$BS$1040,IF($S$1268=939,PR!$BS$1041,IF($S$1268=940,PR!$BS$1042,IF($S$1268=941,PR!$BS$1043,IF($S$1268=942,PR!$BS$1044,IF($S$1268=943,PR!$BS$1045,IF($S$1268=944,PR!$BS$1046,IF($S$1268=945,PR!$BS$1047,IF($S$1268=946,PR!$BS$1048,IF($S$1268=947,PR!$BS$1049,IF($S$1268=948,PR!$BS$1050,IF($S$1268=949,PR!$BS$1051,IF($S$1268=950,PR!$BS$1052,IF($S$1268=951,PR!$BS$1053,IF($S$1268=952,PR!$BS$1054,IF($S$1268=953,PR!$BS$1055,IF($S$1268=954,PR!$BS$1056,IF($S$1268=955,PR!$BS$1057,IF($S$1268=956,PR!$BS$1058,IF($S$1268=957,PR!$BS$1062,IF($S$1268=958,PR!$BS$1063,IF($S$1268=959,PR!$BS$1064,IF($S$1268=960,PR!$BS$1065,"-"))))))))))))))))))))))))))))))))))))))))))))))))))))))))))))</f>
        <v>0</v>
      </c>
      <c r="S1281" s="604"/>
      <c r="T1281" s="580"/>
      <c r="U1281" s="580"/>
      <c r="V1281" s="32"/>
      <c r="W1281" s="32"/>
      <c r="X1281" s="32"/>
    </row>
    <row r="1282" spans="2:24" ht="6" customHeight="1" x14ac:dyDescent="0.25">
      <c r="B1282" s="580"/>
      <c r="C1282" s="593"/>
      <c r="D1282" s="580"/>
      <c r="E1282" s="580"/>
      <c r="F1282" s="580"/>
      <c r="G1282" s="580"/>
      <c r="H1282" s="580"/>
      <c r="I1282" s="580"/>
      <c r="J1282" s="580"/>
      <c r="K1282" s="580"/>
      <c r="L1282" s="580"/>
      <c r="M1282" s="580"/>
      <c r="N1282" s="580"/>
      <c r="O1282" s="580"/>
      <c r="P1282" s="580"/>
      <c r="Q1282" s="580"/>
      <c r="R1282" s="583"/>
      <c r="S1282" s="580"/>
      <c r="T1282" s="580"/>
      <c r="U1282" s="580"/>
      <c r="V1282" s="32"/>
      <c r="W1282" s="32"/>
      <c r="X1282" s="32"/>
    </row>
    <row r="1283" spans="2:24" ht="30" x14ac:dyDescent="0.25">
      <c r="B1283" s="580"/>
      <c r="C1283" s="593"/>
      <c r="D1283" s="580"/>
      <c r="E1283" s="580"/>
      <c r="F1283" s="580"/>
      <c r="G1283" s="580"/>
      <c r="H1283" s="580"/>
      <c r="I1283" s="580"/>
      <c r="J1283" s="580"/>
      <c r="K1283" s="597" t="s">
        <v>783</v>
      </c>
      <c r="L1283" s="598" t="s">
        <v>418</v>
      </c>
      <c r="M1283" s="598" t="s">
        <v>419</v>
      </c>
      <c r="N1283" s="599" t="s">
        <v>420</v>
      </c>
      <c r="O1283" s="580"/>
      <c r="P1283" s="580"/>
      <c r="Q1283" s="580"/>
      <c r="R1283" s="580"/>
      <c r="S1283" s="580"/>
      <c r="T1283" s="580"/>
      <c r="U1283" s="580"/>
      <c r="V1283" s="32"/>
      <c r="W1283" s="32"/>
      <c r="X1283" s="32"/>
    </row>
    <row r="1284" spans="2:24" x14ac:dyDescent="0.25">
      <c r="B1284" s="580"/>
      <c r="C1284" s="593"/>
      <c r="D1284" s="580"/>
      <c r="E1284" s="580"/>
      <c r="F1284" s="580"/>
      <c r="G1284" s="580"/>
      <c r="H1284" s="580"/>
      <c r="I1284" s="580"/>
      <c r="J1284" s="580"/>
      <c r="K1284" s="583" t="s">
        <v>785</v>
      </c>
      <c r="L1284" s="580"/>
      <c r="M1284" s="580"/>
      <c r="N1284" s="580"/>
      <c r="O1284" s="580"/>
      <c r="P1284" s="580"/>
      <c r="Q1284" s="580"/>
      <c r="R1284" s="580"/>
      <c r="S1284" s="580"/>
      <c r="T1284" s="580"/>
      <c r="U1284" s="580"/>
      <c r="V1284" s="32"/>
      <c r="W1284" s="32"/>
      <c r="X1284" s="32"/>
    </row>
    <row r="1285" spans="2:24" x14ac:dyDescent="0.25">
      <c r="B1285" s="32"/>
      <c r="C1285" s="96"/>
      <c r="D1285" s="32"/>
      <c r="E1285" s="32"/>
      <c r="F1285" s="32"/>
      <c r="G1285" s="32"/>
      <c r="H1285" s="32"/>
      <c r="I1285" s="32"/>
      <c r="J1285" s="32"/>
      <c r="K1285" s="97">
        <v>901</v>
      </c>
      <c r="L1285" s="98" t="s">
        <v>626</v>
      </c>
      <c r="M1285" s="99" t="s">
        <v>1463</v>
      </c>
      <c r="N1285" s="100" t="s">
        <v>1452</v>
      </c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</row>
    <row r="1286" spans="2:24" x14ac:dyDescent="0.25">
      <c r="B1286" s="32"/>
      <c r="C1286" s="32"/>
      <c r="D1286" s="32"/>
      <c r="E1286" s="32"/>
      <c r="F1286" s="32"/>
      <c r="G1286" s="32"/>
      <c r="H1286" s="32"/>
      <c r="I1286" s="32"/>
      <c r="J1286" s="32"/>
      <c r="K1286" s="97">
        <f>1+K1285</f>
        <v>902</v>
      </c>
      <c r="L1286" s="98" t="s">
        <v>817</v>
      </c>
      <c r="M1286" s="99" t="s">
        <v>1459</v>
      </c>
      <c r="N1286" s="100" t="s">
        <v>1463</v>
      </c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</row>
    <row r="1287" spans="2:24" x14ac:dyDescent="0.25">
      <c r="B1287" s="32"/>
      <c r="C1287" s="32"/>
      <c r="D1287" s="32"/>
      <c r="E1287" s="32"/>
      <c r="F1287" s="32"/>
      <c r="G1287" s="32"/>
      <c r="H1287" s="32"/>
      <c r="I1287" s="32"/>
      <c r="J1287" s="32"/>
      <c r="K1287" s="97">
        <f t="shared" ref="K1287:K1344" si="16">1+K1286</f>
        <v>903</v>
      </c>
      <c r="L1287" s="98" t="s">
        <v>817</v>
      </c>
      <c r="M1287" s="99" t="s">
        <v>1459</v>
      </c>
      <c r="N1287" s="100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</row>
    <row r="1288" spans="2:24" x14ac:dyDescent="0.25">
      <c r="B1288" s="32"/>
      <c r="C1288" s="32"/>
      <c r="D1288" s="32"/>
      <c r="E1288" s="32"/>
      <c r="F1288" s="32"/>
      <c r="G1288" s="32"/>
      <c r="H1288" s="32"/>
      <c r="I1288" s="32"/>
      <c r="J1288" s="32"/>
      <c r="K1288" s="97">
        <f t="shared" si="16"/>
        <v>904</v>
      </c>
      <c r="L1288" s="98" t="s">
        <v>1459</v>
      </c>
      <c r="M1288" s="99" t="s">
        <v>825</v>
      </c>
      <c r="N1288" s="100" t="s">
        <v>1463</v>
      </c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</row>
    <row r="1289" spans="2:24" x14ac:dyDescent="0.25">
      <c r="B1289" s="32"/>
      <c r="C1289" s="32"/>
      <c r="D1289" s="32"/>
      <c r="E1289" s="32"/>
      <c r="F1289" s="32"/>
      <c r="G1289" s="32"/>
      <c r="H1289" s="32"/>
      <c r="I1289" s="32"/>
      <c r="J1289" s="32"/>
      <c r="K1289" s="97">
        <f t="shared" si="16"/>
        <v>905</v>
      </c>
      <c r="L1289" s="98" t="s">
        <v>1459</v>
      </c>
      <c r="M1289" s="99" t="s">
        <v>825</v>
      </c>
      <c r="N1289" s="100" t="s">
        <v>1463</v>
      </c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</row>
    <row r="1290" spans="2:24" x14ac:dyDescent="0.25">
      <c r="B1290" s="32"/>
      <c r="C1290" s="32"/>
      <c r="D1290" s="32"/>
      <c r="E1290" s="32"/>
      <c r="F1290" s="32"/>
      <c r="G1290" s="32"/>
      <c r="H1290" s="32"/>
      <c r="I1290" s="32"/>
      <c r="J1290" s="32"/>
      <c r="K1290" s="97">
        <f t="shared" si="16"/>
        <v>906</v>
      </c>
      <c r="L1290" s="98" t="s">
        <v>1459</v>
      </c>
      <c r="M1290" s="99" t="s">
        <v>825</v>
      </c>
      <c r="N1290" s="100" t="s">
        <v>1463</v>
      </c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</row>
    <row r="1291" spans="2:24" x14ac:dyDescent="0.25">
      <c r="B1291" s="32"/>
      <c r="C1291" s="32"/>
      <c r="D1291" s="32"/>
      <c r="E1291" s="32"/>
      <c r="F1291" s="32"/>
      <c r="G1291" s="32"/>
      <c r="H1291" s="32"/>
      <c r="I1291" s="32"/>
      <c r="J1291" s="32"/>
      <c r="K1291" s="97">
        <f t="shared" si="16"/>
        <v>907</v>
      </c>
      <c r="L1291" s="98" t="s">
        <v>1463</v>
      </c>
      <c r="M1291" s="99" t="s">
        <v>626</v>
      </c>
      <c r="N1291" s="100" t="s">
        <v>1459</v>
      </c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</row>
    <row r="1292" spans="2:24" x14ac:dyDescent="0.25">
      <c r="B1292" s="32"/>
      <c r="C1292" s="32"/>
      <c r="D1292" s="32"/>
      <c r="E1292" s="32"/>
      <c r="F1292" s="32"/>
      <c r="G1292" s="32"/>
      <c r="H1292" s="32"/>
      <c r="I1292" s="32"/>
      <c r="J1292" s="32"/>
      <c r="K1292" s="97">
        <f t="shared" si="16"/>
        <v>908</v>
      </c>
      <c r="L1292" s="98" t="s">
        <v>1463</v>
      </c>
      <c r="M1292" s="99" t="s">
        <v>626</v>
      </c>
      <c r="N1292" s="100" t="s">
        <v>1459</v>
      </c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</row>
    <row r="1293" spans="2:24" x14ac:dyDescent="0.25">
      <c r="B1293" s="32"/>
      <c r="C1293" s="32"/>
      <c r="D1293" s="32"/>
      <c r="E1293" s="32"/>
      <c r="F1293" s="32"/>
      <c r="G1293" s="32"/>
      <c r="H1293" s="32"/>
      <c r="I1293" s="32"/>
      <c r="J1293" s="32"/>
      <c r="K1293" s="97">
        <f t="shared" si="16"/>
        <v>909</v>
      </c>
      <c r="L1293" s="98" t="s">
        <v>1459</v>
      </c>
      <c r="M1293" s="99" t="s">
        <v>1463</v>
      </c>
      <c r="N1293" s="100" t="s">
        <v>626</v>
      </c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</row>
    <row r="1294" spans="2:24" x14ac:dyDescent="0.25">
      <c r="B1294" s="32"/>
      <c r="C1294" s="32"/>
      <c r="D1294" s="32"/>
      <c r="E1294" s="32"/>
      <c r="F1294" s="32"/>
      <c r="G1294" s="32"/>
      <c r="H1294" s="32"/>
      <c r="I1294" s="32"/>
      <c r="J1294" s="32"/>
      <c r="K1294" s="97">
        <f t="shared" si="16"/>
        <v>910</v>
      </c>
      <c r="L1294" s="98" t="s">
        <v>1459</v>
      </c>
      <c r="M1294" s="99" t="s">
        <v>1463</v>
      </c>
      <c r="N1294" s="100" t="s">
        <v>626</v>
      </c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</row>
    <row r="1295" spans="2:24" x14ac:dyDescent="0.25">
      <c r="B1295" s="32"/>
      <c r="C1295" s="32"/>
      <c r="D1295" s="32"/>
      <c r="E1295" s="32"/>
      <c r="F1295" s="32"/>
      <c r="G1295" s="32"/>
      <c r="H1295" s="32"/>
      <c r="I1295" s="32"/>
      <c r="J1295" s="32"/>
      <c r="K1295" s="97">
        <f t="shared" si="16"/>
        <v>911</v>
      </c>
      <c r="L1295" s="98" t="s">
        <v>1459</v>
      </c>
      <c r="M1295" s="99" t="s">
        <v>817</v>
      </c>
      <c r="N1295" s="100" t="s">
        <v>1463</v>
      </c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</row>
    <row r="1296" spans="2:24" x14ac:dyDescent="0.25">
      <c r="B1296" s="32"/>
      <c r="C1296" s="32"/>
      <c r="D1296" s="32"/>
      <c r="E1296" s="32"/>
      <c r="F1296" s="32"/>
      <c r="G1296" s="32"/>
      <c r="H1296" s="32"/>
      <c r="I1296" s="32"/>
      <c r="J1296" s="32"/>
      <c r="K1296" s="97">
        <f t="shared" si="16"/>
        <v>912</v>
      </c>
      <c r="L1296" s="98" t="s">
        <v>1459</v>
      </c>
      <c r="M1296" s="99" t="s">
        <v>1463</v>
      </c>
      <c r="N1296" s="100" t="s">
        <v>626</v>
      </c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</row>
    <row r="1297" spans="2:24" x14ac:dyDescent="0.25">
      <c r="B1297" s="32"/>
      <c r="C1297" s="32"/>
      <c r="D1297" s="32"/>
      <c r="E1297" s="32"/>
      <c r="F1297" s="32"/>
      <c r="G1297" s="32"/>
      <c r="H1297" s="32"/>
      <c r="I1297" s="32"/>
      <c r="J1297" s="32"/>
      <c r="K1297" s="97">
        <f t="shared" si="16"/>
        <v>913</v>
      </c>
      <c r="L1297" s="98" t="s">
        <v>1459</v>
      </c>
      <c r="M1297" s="99" t="s">
        <v>817</v>
      </c>
      <c r="N1297" s="100" t="s">
        <v>1463</v>
      </c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</row>
    <row r="1298" spans="2:24" x14ac:dyDescent="0.25">
      <c r="B1298" s="32"/>
      <c r="C1298" s="32"/>
      <c r="D1298" s="32"/>
      <c r="E1298" s="32"/>
      <c r="F1298" s="32"/>
      <c r="G1298" s="32"/>
      <c r="H1298" s="32"/>
      <c r="I1298" s="32"/>
      <c r="J1298" s="32"/>
      <c r="K1298" s="97">
        <f t="shared" si="16"/>
        <v>914</v>
      </c>
      <c r="L1298" s="98" t="s">
        <v>1463</v>
      </c>
      <c r="M1298" s="99" t="s">
        <v>1459</v>
      </c>
      <c r="N1298" s="100" t="s">
        <v>1461</v>
      </c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</row>
    <row r="1299" spans="2:24" x14ac:dyDescent="0.25">
      <c r="B1299" s="32"/>
      <c r="C1299" s="32"/>
      <c r="D1299" s="32"/>
      <c r="E1299" s="32"/>
      <c r="F1299" s="32"/>
      <c r="G1299" s="32"/>
      <c r="H1299" s="32"/>
      <c r="I1299" s="32"/>
      <c r="J1299" s="32"/>
      <c r="K1299" s="97">
        <f t="shared" si="16"/>
        <v>915</v>
      </c>
      <c r="L1299" s="98" t="s">
        <v>626</v>
      </c>
      <c r="M1299" s="99" t="s">
        <v>1459</v>
      </c>
      <c r="N1299" s="100" t="s">
        <v>817</v>
      </c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</row>
    <row r="1300" spans="2:24" x14ac:dyDescent="0.25">
      <c r="B1300" s="32"/>
      <c r="C1300" s="32"/>
      <c r="D1300" s="32"/>
      <c r="E1300" s="32"/>
      <c r="F1300" s="32"/>
      <c r="G1300" s="32"/>
      <c r="H1300" s="32"/>
      <c r="I1300" s="32"/>
      <c r="J1300" s="32"/>
      <c r="K1300" s="97">
        <f t="shared" si="16"/>
        <v>916</v>
      </c>
      <c r="L1300" s="98" t="s">
        <v>1459</v>
      </c>
      <c r="M1300" s="99" t="s">
        <v>1463</v>
      </c>
      <c r="N1300" s="100" t="s">
        <v>1461</v>
      </c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</row>
    <row r="1301" spans="2:24" x14ac:dyDescent="0.25">
      <c r="B1301" s="32"/>
      <c r="C1301" s="32"/>
      <c r="D1301" s="32"/>
      <c r="E1301" s="32"/>
      <c r="F1301" s="32"/>
      <c r="G1301" s="32"/>
      <c r="H1301" s="32"/>
      <c r="I1301" s="32"/>
      <c r="J1301" s="32"/>
      <c r="K1301" s="97">
        <f t="shared" si="16"/>
        <v>917</v>
      </c>
      <c r="L1301" s="98" t="s">
        <v>1468</v>
      </c>
      <c r="M1301" s="99" t="s">
        <v>817</v>
      </c>
      <c r="N1301" s="100" t="s">
        <v>1459</v>
      </c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</row>
    <row r="1302" spans="2:24" x14ac:dyDescent="0.25">
      <c r="B1302" s="32"/>
      <c r="C1302" s="32"/>
      <c r="D1302" s="32"/>
      <c r="E1302" s="32"/>
      <c r="F1302" s="32"/>
      <c r="G1302" s="32"/>
      <c r="H1302" s="32"/>
      <c r="I1302" s="32"/>
      <c r="J1302" s="32"/>
      <c r="K1302" s="97">
        <f t="shared" si="16"/>
        <v>918</v>
      </c>
      <c r="L1302" s="98" t="s">
        <v>817</v>
      </c>
      <c r="M1302" s="99" t="s">
        <v>626</v>
      </c>
      <c r="N1302" s="100" t="s">
        <v>1459</v>
      </c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</row>
    <row r="1303" spans="2:24" x14ac:dyDescent="0.25">
      <c r="B1303" s="32"/>
      <c r="C1303" s="32"/>
      <c r="D1303" s="32"/>
      <c r="E1303" s="32"/>
      <c r="F1303" s="32"/>
      <c r="G1303" s="32"/>
      <c r="H1303" s="32"/>
      <c r="I1303" s="32"/>
      <c r="J1303" s="32"/>
      <c r="K1303" s="97">
        <f t="shared" si="16"/>
        <v>919</v>
      </c>
      <c r="L1303" s="98" t="s">
        <v>626</v>
      </c>
      <c r="M1303" s="99" t="s">
        <v>1459</v>
      </c>
      <c r="N1303" s="100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</row>
    <row r="1304" spans="2:24" x14ac:dyDescent="0.25">
      <c r="B1304" s="32"/>
      <c r="C1304" s="32"/>
      <c r="D1304" s="32"/>
      <c r="E1304" s="32"/>
      <c r="F1304" s="32"/>
      <c r="G1304" s="32"/>
      <c r="H1304" s="32"/>
      <c r="I1304" s="32"/>
      <c r="J1304" s="32"/>
      <c r="K1304" s="97">
        <f t="shared" si="16"/>
        <v>920</v>
      </c>
      <c r="L1304" s="98" t="s">
        <v>1459</v>
      </c>
      <c r="M1304" s="99" t="s">
        <v>1463</v>
      </c>
      <c r="N1304" s="100" t="s">
        <v>1461</v>
      </c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</row>
    <row r="1305" spans="2:24" x14ac:dyDescent="0.25">
      <c r="B1305" s="32"/>
      <c r="C1305" s="32"/>
      <c r="D1305" s="32"/>
      <c r="E1305" s="32"/>
      <c r="F1305" s="32"/>
      <c r="G1305" s="32"/>
      <c r="H1305" s="32"/>
      <c r="I1305" s="32"/>
      <c r="J1305" s="32"/>
      <c r="K1305" s="97">
        <f t="shared" si="16"/>
        <v>921</v>
      </c>
      <c r="L1305" s="98" t="s">
        <v>1459</v>
      </c>
      <c r="M1305" s="99" t="s">
        <v>626</v>
      </c>
      <c r="N1305" s="100" t="s">
        <v>1463</v>
      </c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</row>
    <row r="1306" spans="2:24" x14ac:dyDescent="0.25">
      <c r="B1306" s="32"/>
      <c r="C1306" s="32"/>
      <c r="D1306" s="32"/>
      <c r="E1306" s="32"/>
      <c r="F1306" s="32"/>
      <c r="G1306" s="32"/>
      <c r="H1306" s="32"/>
      <c r="I1306" s="32"/>
      <c r="J1306" s="32"/>
      <c r="K1306" s="97">
        <f t="shared" si="16"/>
        <v>922</v>
      </c>
      <c r="L1306" s="98" t="s">
        <v>1461</v>
      </c>
      <c r="M1306" s="99" t="s">
        <v>626</v>
      </c>
      <c r="N1306" s="100" t="s">
        <v>825</v>
      </c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</row>
    <row r="1307" spans="2:24" x14ac:dyDescent="0.25">
      <c r="B1307" s="32"/>
      <c r="C1307" s="32"/>
      <c r="D1307" s="32"/>
      <c r="E1307" s="32"/>
      <c r="F1307" s="32"/>
      <c r="G1307" s="32"/>
      <c r="H1307" s="32"/>
      <c r="I1307" s="32"/>
      <c r="J1307" s="32"/>
      <c r="K1307" s="97">
        <f t="shared" si="16"/>
        <v>923</v>
      </c>
      <c r="L1307" s="98" t="s">
        <v>1459</v>
      </c>
      <c r="M1307" s="99" t="s">
        <v>626</v>
      </c>
      <c r="N1307" s="100" t="s">
        <v>1461</v>
      </c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</row>
    <row r="1308" spans="2:24" x14ac:dyDescent="0.25">
      <c r="B1308" s="32"/>
      <c r="C1308" s="32"/>
      <c r="D1308" s="32"/>
      <c r="E1308" s="32"/>
      <c r="F1308" s="32"/>
      <c r="G1308" s="32"/>
      <c r="H1308" s="32"/>
      <c r="I1308" s="32"/>
      <c r="J1308" s="32"/>
      <c r="K1308" s="97">
        <f t="shared" si="16"/>
        <v>924</v>
      </c>
      <c r="L1308" s="98" t="s">
        <v>1459</v>
      </c>
      <c r="M1308" s="99" t="s">
        <v>626</v>
      </c>
      <c r="N1308" s="100" t="s">
        <v>817</v>
      </c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</row>
    <row r="1309" spans="2:24" x14ac:dyDescent="0.25">
      <c r="B1309" s="32"/>
      <c r="C1309" s="32"/>
      <c r="D1309" s="32"/>
      <c r="E1309" s="32"/>
      <c r="F1309" s="32"/>
      <c r="G1309" s="32"/>
      <c r="H1309" s="32"/>
      <c r="I1309" s="32"/>
      <c r="J1309" s="32"/>
      <c r="K1309" s="97">
        <f t="shared" si="16"/>
        <v>925</v>
      </c>
      <c r="L1309" s="98" t="s">
        <v>626</v>
      </c>
      <c r="M1309" s="99" t="s">
        <v>1459</v>
      </c>
      <c r="N1309" s="100" t="s">
        <v>1461</v>
      </c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</row>
    <row r="1310" spans="2:24" x14ac:dyDescent="0.25">
      <c r="B1310" s="32"/>
      <c r="C1310" s="32"/>
      <c r="D1310" s="32"/>
      <c r="E1310" s="32"/>
      <c r="F1310" s="32"/>
      <c r="G1310" s="32"/>
      <c r="H1310" s="32"/>
      <c r="I1310" s="32"/>
      <c r="J1310" s="32"/>
      <c r="K1310" s="97">
        <f t="shared" si="16"/>
        <v>926</v>
      </c>
      <c r="L1310" s="98" t="s">
        <v>1459</v>
      </c>
      <c r="M1310" s="99" t="s">
        <v>626</v>
      </c>
      <c r="N1310" s="100" t="s">
        <v>1463</v>
      </c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</row>
    <row r="1311" spans="2:24" x14ac:dyDescent="0.25">
      <c r="B1311" s="32"/>
      <c r="C1311" s="32"/>
      <c r="D1311" s="32"/>
      <c r="E1311" s="32"/>
      <c r="F1311" s="32"/>
      <c r="G1311" s="32"/>
      <c r="H1311" s="32"/>
      <c r="I1311" s="32"/>
      <c r="J1311" s="32"/>
      <c r="K1311" s="97">
        <f t="shared" si="16"/>
        <v>927</v>
      </c>
      <c r="L1311" s="98" t="s">
        <v>1459</v>
      </c>
      <c r="M1311" s="99" t="s">
        <v>626</v>
      </c>
      <c r="N1311" s="100" t="s">
        <v>1463</v>
      </c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</row>
    <row r="1312" spans="2:24" x14ac:dyDescent="0.25">
      <c r="B1312" s="32"/>
      <c r="C1312" s="32"/>
      <c r="D1312" s="32"/>
      <c r="E1312" s="32"/>
      <c r="F1312" s="32"/>
      <c r="G1312" s="32"/>
      <c r="H1312" s="32"/>
      <c r="I1312" s="32"/>
      <c r="J1312" s="32"/>
      <c r="K1312" s="97">
        <f t="shared" si="16"/>
        <v>928</v>
      </c>
      <c r="L1312" s="98" t="s">
        <v>1461</v>
      </c>
      <c r="M1312" s="99" t="s">
        <v>626</v>
      </c>
      <c r="N1312" s="100" t="s">
        <v>1463</v>
      </c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</row>
    <row r="1313" spans="2:24" x14ac:dyDescent="0.25">
      <c r="B1313" s="32"/>
      <c r="C1313" s="32"/>
      <c r="D1313" s="32"/>
      <c r="E1313" s="32"/>
      <c r="F1313" s="32"/>
      <c r="G1313" s="32"/>
      <c r="H1313" s="32"/>
      <c r="I1313" s="32"/>
      <c r="J1313" s="32"/>
      <c r="K1313" s="97">
        <f t="shared" si="16"/>
        <v>929</v>
      </c>
      <c r="L1313" s="98" t="s">
        <v>1463</v>
      </c>
      <c r="M1313" s="99" t="s">
        <v>626</v>
      </c>
      <c r="N1313" s="100" t="s">
        <v>817</v>
      </c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</row>
    <row r="1314" spans="2:24" x14ac:dyDescent="0.25">
      <c r="B1314" s="32"/>
      <c r="C1314" s="32"/>
      <c r="D1314" s="32"/>
      <c r="E1314" s="32"/>
      <c r="F1314" s="32"/>
      <c r="G1314" s="32"/>
      <c r="H1314" s="32"/>
      <c r="I1314" s="32"/>
      <c r="J1314" s="32"/>
      <c r="K1314" s="97">
        <f t="shared" si="16"/>
        <v>930</v>
      </c>
      <c r="L1314" s="98" t="s">
        <v>817</v>
      </c>
      <c r="M1314" s="99" t="s">
        <v>1463</v>
      </c>
      <c r="N1314" s="100" t="s">
        <v>1461</v>
      </c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</row>
    <row r="1315" spans="2:24" x14ac:dyDescent="0.25">
      <c r="B1315" s="32"/>
      <c r="C1315" s="32"/>
      <c r="D1315" s="32"/>
      <c r="E1315" s="32"/>
      <c r="F1315" s="32"/>
      <c r="G1315" s="32"/>
      <c r="H1315" s="32"/>
      <c r="I1315" s="32"/>
      <c r="J1315" s="32"/>
      <c r="K1315" s="97">
        <f t="shared" si="16"/>
        <v>931</v>
      </c>
      <c r="L1315" s="98" t="s">
        <v>1463</v>
      </c>
      <c r="M1315" s="99" t="s">
        <v>1459</v>
      </c>
      <c r="N1315" s="100" t="s">
        <v>626</v>
      </c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</row>
    <row r="1316" spans="2:24" x14ac:dyDescent="0.25">
      <c r="B1316" s="32"/>
      <c r="C1316" s="32"/>
      <c r="D1316" s="32"/>
      <c r="E1316" s="32"/>
      <c r="F1316" s="32"/>
      <c r="G1316" s="32"/>
      <c r="H1316" s="32"/>
      <c r="I1316" s="32"/>
      <c r="J1316" s="32"/>
      <c r="K1316" s="97">
        <f t="shared" si="16"/>
        <v>932</v>
      </c>
      <c r="L1316" s="98" t="s">
        <v>817</v>
      </c>
      <c r="M1316" s="99" t="s">
        <v>1463</v>
      </c>
      <c r="N1316" s="100" t="s">
        <v>1459</v>
      </c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</row>
    <row r="1317" spans="2:24" x14ac:dyDescent="0.25">
      <c r="B1317" s="32"/>
      <c r="C1317" s="32"/>
      <c r="D1317" s="32"/>
      <c r="E1317" s="32"/>
      <c r="F1317" s="32"/>
      <c r="G1317" s="32"/>
      <c r="H1317" s="32"/>
      <c r="I1317" s="32"/>
      <c r="J1317" s="32"/>
      <c r="K1317" s="97">
        <f t="shared" si="16"/>
        <v>933</v>
      </c>
      <c r="L1317" s="98" t="s">
        <v>1459</v>
      </c>
      <c r="M1317" s="99" t="s">
        <v>1461</v>
      </c>
      <c r="N1317" s="100" t="s">
        <v>626</v>
      </c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</row>
    <row r="1318" spans="2:24" x14ac:dyDescent="0.25">
      <c r="B1318" s="32"/>
      <c r="C1318" s="32"/>
      <c r="D1318" s="32"/>
      <c r="E1318" s="32"/>
      <c r="F1318" s="32"/>
      <c r="G1318" s="32"/>
      <c r="H1318" s="32"/>
      <c r="I1318" s="32"/>
      <c r="J1318" s="32"/>
      <c r="K1318" s="97">
        <f t="shared" si="16"/>
        <v>934</v>
      </c>
      <c r="L1318" s="98" t="s">
        <v>1463</v>
      </c>
      <c r="M1318" s="99" t="s">
        <v>1461</v>
      </c>
      <c r="N1318" s="100" t="s">
        <v>626</v>
      </c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</row>
    <row r="1319" spans="2:24" x14ac:dyDescent="0.25">
      <c r="B1319" s="32"/>
      <c r="C1319" s="32"/>
      <c r="D1319" s="32"/>
      <c r="E1319" s="32"/>
      <c r="F1319" s="32"/>
      <c r="G1319" s="32"/>
      <c r="H1319" s="32"/>
      <c r="I1319" s="32"/>
      <c r="J1319" s="32"/>
      <c r="K1319" s="97">
        <f t="shared" si="16"/>
        <v>935</v>
      </c>
      <c r="L1319" s="98" t="s">
        <v>626</v>
      </c>
      <c r="M1319" s="99" t="s">
        <v>1461</v>
      </c>
      <c r="N1319" s="100" t="s">
        <v>1459</v>
      </c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</row>
    <row r="1320" spans="2:24" x14ac:dyDescent="0.25">
      <c r="B1320" s="32"/>
      <c r="C1320" s="32"/>
      <c r="D1320" s="32"/>
      <c r="E1320" s="32"/>
      <c r="F1320" s="32"/>
      <c r="G1320" s="32"/>
      <c r="H1320" s="32"/>
      <c r="I1320" s="32"/>
      <c r="J1320" s="32"/>
      <c r="K1320" s="97">
        <f t="shared" si="16"/>
        <v>936</v>
      </c>
      <c r="L1320" s="98" t="s">
        <v>825</v>
      </c>
      <c r="M1320" s="99" t="s">
        <v>626</v>
      </c>
      <c r="N1320" s="100" t="s">
        <v>1459</v>
      </c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</row>
    <row r="1321" spans="2:24" x14ac:dyDescent="0.25">
      <c r="B1321" s="32"/>
      <c r="C1321" s="32"/>
      <c r="D1321" s="32"/>
      <c r="E1321" s="32"/>
      <c r="F1321" s="32"/>
      <c r="G1321" s="32"/>
      <c r="H1321" s="32"/>
      <c r="I1321" s="32"/>
      <c r="J1321" s="32"/>
      <c r="K1321" s="97">
        <f t="shared" si="16"/>
        <v>937</v>
      </c>
      <c r="L1321" s="98" t="s">
        <v>626</v>
      </c>
      <c r="M1321" s="99" t="s">
        <v>817</v>
      </c>
      <c r="N1321" s="100" t="s">
        <v>1459</v>
      </c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</row>
    <row r="1322" spans="2:24" x14ac:dyDescent="0.25">
      <c r="B1322" s="32"/>
      <c r="C1322" s="32"/>
      <c r="D1322" s="32"/>
      <c r="E1322" s="32"/>
      <c r="F1322" s="32"/>
      <c r="G1322" s="32"/>
      <c r="H1322" s="32"/>
      <c r="I1322" s="32"/>
      <c r="J1322" s="32"/>
      <c r="K1322" s="97">
        <f t="shared" si="16"/>
        <v>938</v>
      </c>
      <c r="L1322" s="98" t="s">
        <v>626</v>
      </c>
      <c r="M1322" s="99" t="s">
        <v>825</v>
      </c>
      <c r="N1322" s="100" t="s">
        <v>817</v>
      </c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</row>
    <row r="1323" spans="2:24" x14ac:dyDescent="0.25">
      <c r="B1323" s="32"/>
      <c r="C1323" s="32"/>
      <c r="D1323" s="32"/>
      <c r="E1323" s="32"/>
      <c r="F1323" s="32"/>
      <c r="G1323" s="32"/>
      <c r="H1323" s="32"/>
      <c r="I1323" s="32"/>
      <c r="J1323" s="32"/>
      <c r="K1323" s="97">
        <f t="shared" si="16"/>
        <v>939</v>
      </c>
      <c r="L1323" s="98" t="s">
        <v>817</v>
      </c>
      <c r="M1323" s="99" t="s">
        <v>1459</v>
      </c>
      <c r="N1323" s="100" t="s">
        <v>626</v>
      </c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</row>
    <row r="1324" spans="2:24" x14ac:dyDescent="0.25">
      <c r="B1324" s="32"/>
      <c r="C1324" s="32"/>
      <c r="D1324" s="32"/>
      <c r="E1324" s="32"/>
      <c r="F1324" s="32"/>
      <c r="G1324" s="32"/>
      <c r="H1324" s="32"/>
      <c r="I1324" s="32"/>
      <c r="J1324" s="32"/>
      <c r="K1324" s="97">
        <f t="shared" si="16"/>
        <v>940</v>
      </c>
      <c r="L1324" s="98" t="s">
        <v>626</v>
      </c>
      <c r="M1324" s="99" t="s">
        <v>825</v>
      </c>
      <c r="N1324" s="100" t="s">
        <v>817</v>
      </c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</row>
    <row r="1325" spans="2:24" x14ac:dyDescent="0.25">
      <c r="B1325" s="32"/>
      <c r="C1325" s="32"/>
      <c r="D1325" s="32"/>
      <c r="E1325" s="32"/>
      <c r="F1325" s="32"/>
      <c r="G1325" s="32"/>
      <c r="H1325" s="32"/>
      <c r="I1325" s="32"/>
      <c r="J1325" s="32"/>
      <c r="K1325" s="97">
        <f t="shared" si="16"/>
        <v>941</v>
      </c>
      <c r="L1325" s="98" t="s">
        <v>817</v>
      </c>
      <c r="M1325" s="99" t="s">
        <v>626</v>
      </c>
      <c r="N1325" s="100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</row>
    <row r="1326" spans="2:24" x14ac:dyDescent="0.25">
      <c r="B1326" s="32"/>
      <c r="C1326" s="32"/>
      <c r="D1326" s="32"/>
      <c r="E1326" s="32"/>
      <c r="F1326" s="32"/>
      <c r="G1326" s="32"/>
      <c r="H1326" s="32"/>
      <c r="I1326" s="32"/>
      <c r="J1326" s="32"/>
      <c r="K1326" s="97">
        <f t="shared" si="16"/>
        <v>942</v>
      </c>
      <c r="L1326" s="98" t="s">
        <v>817</v>
      </c>
      <c r="M1326" s="99" t="s">
        <v>1461</v>
      </c>
      <c r="N1326" s="100" t="s">
        <v>1463</v>
      </c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</row>
    <row r="1327" spans="2:24" x14ac:dyDescent="0.25">
      <c r="B1327" s="32"/>
      <c r="C1327" s="32"/>
      <c r="D1327" s="32"/>
      <c r="E1327" s="32"/>
      <c r="F1327" s="32"/>
      <c r="G1327" s="32"/>
      <c r="H1327" s="32"/>
      <c r="I1327" s="32"/>
      <c r="J1327" s="32"/>
      <c r="K1327" s="97">
        <f t="shared" si="16"/>
        <v>943</v>
      </c>
      <c r="L1327" s="98" t="s">
        <v>817</v>
      </c>
      <c r="M1327" s="99" t="s">
        <v>1463</v>
      </c>
      <c r="N1327" s="100" t="s">
        <v>1461</v>
      </c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</row>
    <row r="1328" spans="2:24" x14ac:dyDescent="0.25">
      <c r="B1328" s="32"/>
      <c r="C1328" s="32"/>
      <c r="D1328" s="32"/>
      <c r="E1328" s="32"/>
      <c r="F1328" s="32"/>
      <c r="G1328" s="32"/>
      <c r="H1328" s="32"/>
      <c r="I1328" s="32"/>
      <c r="J1328" s="32"/>
      <c r="K1328" s="97">
        <f t="shared" si="16"/>
        <v>944</v>
      </c>
      <c r="L1328" s="98" t="s">
        <v>817</v>
      </c>
      <c r="M1328" s="99" t="s">
        <v>626</v>
      </c>
      <c r="N1328" s="100" t="s">
        <v>1459</v>
      </c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</row>
    <row r="1329" spans="2:24" x14ac:dyDescent="0.25">
      <c r="B1329" s="32"/>
      <c r="C1329" s="32"/>
      <c r="D1329" s="32"/>
      <c r="E1329" s="32"/>
      <c r="F1329" s="32"/>
      <c r="G1329" s="32"/>
      <c r="H1329" s="32"/>
      <c r="I1329" s="32"/>
      <c r="J1329" s="32"/>
      <c r="K1329" s="97">
        <f t="shared" si="16"/>
        <v>945</v>
      </c>
      <c r="L1329" s="98" t="s">
        <v>817</v>
      </c>
      <c r="M1329" s="99" t="s">
        <v>1459</v>
      </c>
      <c r="N1329" s="100" t="s">
        <v>1461</v>
      </c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</row>
    <row r="1330" spans="2:24" x14ac:dyDescent="0.25">
      <c r="B1330" s="32"/>
      <c r="C1330" s="32"/>
      <c r="D1330" s="32"/>
      <c r="E1330" s="32"/>
      <c r="F1330" s="32"/>
      <c r="G1330" s="32"/>
      <c r="H1330" s="32"/>
      <c r="I1330" s="32"/>
      <c r="J1330" s="32"/>
      <c r="K1330" s="97">
        <f t="shared" si="16"/>
        <v>946</v>
      </c>
      <c r="L1330" s="98" t="s">
        <v>817</v>
      </c>
      <c r="M1330" s="99" t="s">
        <v>1459</v>
      </c>
      <c r="N1330" s="100" t="s">
        <v>1461</v>
      </c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</row>
    <row r="1331" spans="2:24" x14ac:dyDescent="0.25">
      <c r="B1331" s="32"/>
      <c r="C1331" s="32"/>
      <c r="D1331" s="32"/>
      <c r="E1331" s="32"/>
      <c r="F1331" s="32"/>
      <c r="G1331" s="32"/>
      <c r="H1331" s="32"/>
      <c r="I1331" s="32"/>
      <c r="J1331" s="32"/>
      <c r="K1331" s="97">
        <f t="shared" si="16"/>
        <v>947</v>
      </c>
      <c r="L1331" s="98" t="s">
        <v>1461</v>
      </c>
      <c r="M1331" s="99" t="s">
        <v>1459</v>
      </c>
      <c r="N1331" s="100" t="s">
        <v>626</v>
      </c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</row>
    <row r="1332" spans="2:24" x14ac:dyDescent="0.25">
      <c r="B1332" s="32"/>
      <c r="C1332" s="32"/>
      <c r="D1332" s="32"/>
      <c r="E1332" s="32"/>
      <c r="F1332" s="32"/>
      <c r="G1332" s="32"/>
      <c r="H1332" s="32"/>
      <c r="I1332" s="32"/>
      <c r="J1332" s="32"/>
      <c r="K1332" s="97">
        <f t="shared" si="16"/>
        <v>948</v>
      </c>
      <c r="L1332" s="98" t="s">
        <v>1463</v>
      </c>
      <c r="M1332" s="99" t="s">
        <v>1461</v>
      </c>
      <c r="N1332" s="100" t="s">
        <v>1459</v>
      </c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</row>
    <row r="1333" spans="2:24" x14ac:dyDescent="0.25">
      <c r="B1333" s="32"/>
      <c r="C1333" s="32"/>
      <c r="D1333" s="32"/>
      <c r="E1333" s="32"/>
      <c r="F1333" s="32"/>
      <c r="G1333" s="32"/>
      <c r="H1333" s="32"/>
      <c r="I1333" s="32"/>
      <c r="J1333" s="32"/>
      <c r="K1333" s="97">
        <f t="shared" si="16"/>
        <v>949</v>
      </c>
      <c r="L1333" s="98" t="s">
        <v>626</v>
      </c>
      <c r="M1333" s="99" t="s">
        <v>1459</v>
      </c>
      <c r="N1333" s="100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</row>
    <row r="1334" spans="2:24" x14ac:dyDescent="0.25">
      <c r="B1334" s="32"/>
      <c r="C1334" s="32"/>
      <c r="D1334" s="32"/>
      <c r="E1334" s="32"/>
      <c r="F1334" s="32"/>
      <c r="G1334" s="32"/>
      <c r="H1334" s="32"/>
      <c r="I1334" s="32"/>
      <c r="J1334" s="32"/>
      <c r="K1334" s="97">
        <f t="shared" si="16"/>
        <v>950</v>
      </c>
      <c r="L1334" s="98" t="s">
        <v>626</v>
      </c>
      <c r="M1334" s="99" t="s">
        <v>1459</v>
      </c>
      <c r="N1334" s="100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</row>
    <row r="1335" spans="2:24" x14ac:dyDescent="0.25">
      <c r="B1335" s="32"/>
      <c r="C1335" s="32"/>
      <c r="D1335" s="32"/>
      <c r="E1335" s="32"/>
      <c r="F1335" s="32"/>
      <c r="G1335" s="32"/>
      <c r="H1335" s="32"/>
      <c r="I1335" s="32"/>
      <c r="J1335" s="32"/>
      <c r="K1335" s="97">
        <f t="shared" si="16"/>
        <v>951</v>
      </c>
      <c r="L1335" s="98" t="s">
        <v>817</v>
      </c>
      <c r="M1335" s="99" t="s">
        <v>1461</v>
      </c>
      <c r="N1335" s="100" t="s">
        <v>626</v>
      </c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</row>
    <row r="1336" spans="2:24" x14ac:dyDescent="0.25">
      <c r="B1336" s="32"/>
      <c r="C1336" s="32"/>
      <c r="D1336" s="32"/>
      <c r="E1336" s="32"/>
      <c r="F1336" s="32"/>
      <c r="G1336" s="32"/>
      <c r="H1336" s="32"/>
      <c r="I1336" s="32"/>
      <c r="J1336" s="32"/>
      <c r="K1336" s="97">
        <f t="shared" si="16"/>
        <v>952</v>
      </c>
      <c r="L1336" s="98" t="s">
        <v>626</v>
      </c>
      <c r="M1336" s="99" t="s">
        <v>1459</v>
      </c>
      <c r="N1336" s="100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</row>
    <row r="1337" spans="2:24" x14ac:dyDescent="0.25">
      <c r="B1337" s="32"/>
      <c r="C1337" s="32"/>
      <c r="D1337" s="32"/>
      <c r="E1337" s="32"/>
      <c r="F1337" s="32"/>
      <c r="G1337" s="32"/>
      <c r="H1337" s="32"/>
      <c r="I1337" s="32"/>
      <c r="J1337" s="32"/>
      <c r="K1337" s="97">
        <f t="shared" si="16"/>
        <v>953</v>
      </c>
      <c r="L1337" s="98" t="s">
        <v>626</v>
      </c>
      <c r="M1337" s="99" t="s">
        <v>1459</v>
      </c>
      <c r="N1337" s="100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</row>
    <row r="1338" spans="2:24" x14ac:dyDescent="0.25">
      <c r="B1338" s="32"/>
      <c r="C1338" s="32"/>
      <c r="D1338" s="32"/>
      <c r="E1338" s="32"/>
      <c r="F1338" s="32"/>
      <c r="G1338" s="32"/>
      <c r="H1338" s="32"/>
      <c r="I1338" s="32"/>
      <c r="J1338" s="32"/>
      <c r="K1338" s="97">
        <f t="shared" si="16"/>
        <v>954</v>
      </c>
      <c r="L1338" s="98" t="s">
        <v>626</v>
      </c>
      <c r="M1338" s="99" t="s">
        <v>1459</v>
      </c>
      <c r="N1338" s="100" t="s">
        <v>817</v>
      </c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</row>
    <row r="1339" spans="2:24" x14ac:dyDescent="0.25">
      <c r="B1339" s="32"/>
      <c r="C1339" s="32"/>
      <c r="D1339" s="32"/>
      <c r="E1339" s="32"/>
      <c r="F1339" s="32"/>
      <c r="G1339" s="32"/>
      <c r="H1339" s="32"/>
      <c r="I1339" s="32"/>
      <c r="J1339" s="32"/>
      <c r="K1339" s="97">
        <f t="shared" si="16"/>
        <v>955</v>
      </c>
      <c r="L1339" s="98" t="s">
        <v>626</v>
      </c>
      <c r="M1339" s="99" t="s">
        <v>825</v>
      </c>
      <c r="N1339" s="100" t="s">
        <v>1461</v>
      </c>
      <c r="O1339" s="32"/>
      <c r="P1339" s="32"/>
      <c r="Q1339" s="32"/>
      <c r="R1339" s="32"/>
      <c r="S1339" s="32"/>
      <c r="T1339" s="32"/>
      <c r="U1339" s="32"/>
      <c r="V1339" s="32"/>
      <c r="W1339" s="32"/>
      <c r="X1339" s="32"/>
    </row>
    <row r="1340" spans="2:24" x14ac:dyDescent="0.25">
      <c r="B1340" s="32"/>
      <c r="C1340" s="32"/>
      <c r="D1340" s="32"/>
      <c r="E1340" s="32"/>
      <c r="F1340" s="32"/>
      <c r="G1340" s="32"/>
      <c r="H1340" s="32"/>
      <c r="I1340" s="32"/>
      <c r="J1340" s="32"/>
      <c r="K1340" s="97">
        <f t="shared" si="16"/>
        <v>956</v>
      </c>
      <c r="L1340" s="98" t="s">
        <v>626</v>
      </c>
      <c r="M1340" s="99" t="s">
        <v>1461</v>
      </c>
      <c r="N1340" s="100" t="s">
        <v>1459</v>
      </c>
      <c r="O1340" s="32"/>
      <c r="P1340" s="32"/>
      <c r="Q1340" s="32"/>
      <c r="R1340" s="32"/>
      <c r="S1340" s="32"/>
      <c r="T1340" s="32"/>
      <c r="U1340" s="32"/>
      <c r="V1340" s="32"/>
      <c r="W1340" s="32"/>
      <c r="X1340" s="32"/>
    </row>
    <row r="1341" spans="2:24" x14ac:dyDescent="0.25">
      <c r="B1341" s="32"/>
      <c r="C1341" s="32"/>
      <c r="D1341" s="32"/>
      <c r="E1341" s="32"/>
      <c r="F1341" s="32"/>
      <c r="G1341" s="32"/>
      <c r="H1341" s="32"/>
      <c r="I1341" s="32"/>
      <c r="J1341" s="32"/>
      <c r="K1341" s="97">
        <f t="shared" si="16"/>
        <v>957</v>
      </c>
      <c r="L1341" s="98" t="s">
        <v>1459</v>
      </c>
      <c r="M1341" s="99" t="s">
        <v>626</v>
      </c>
      <c r="N1341" s="100"/>
      <c r="O1341" s="32"/>
      <c r="P1341" s="32"/>
      <c r="Q1341" s="32"/>
      <c r="R1341" s="32"/>
      <c r="S1341" s="32"/>
      <c r="T1341" s="32"/>
      <c r="U1341" s="32"/>
      <c r="V1341" s="32"/>
      <c r="W1341" s="32"/>
      <c r="X1341" s="32"/>
    </row>
    <row r="1342" spans="2:24" x14ac:dyDescent="0.25">
      <c r="B1342" s="32"/>
      <c r="C1342" s="32"/>
      <c r="D1342" s="32"/>
      <c r="E1342" s="32"/>
      <c r="F1342" s="32"/>
      <c r="G1342" s="32"/>
      <c r="H1342" s="32"/>
      <c r="I1342" s="32"/>
      <c r="J1342" s="32"/>
      <c r="K1342" s="97">
        <f t="shared" si="16"/>
        <v>958</v>
      </c>
      <c r="L1342" s="98" t="s">
        <v>1459</v>
      </c>
      <c r="M1342" s="99" t="s">
        <v>626</v>
      </c>
      <c r="N1342" s="100"/>
      <c r="O1342" s="32"/>
      <c r="P1342" s="32"/>
      <c r="Q1342" s="32"/>
      <c r="R1342" s="32"/>
      <c r="S1342" s="32"/>
      <c r="T1342" s="32"/>
      <c r="U1342" s="32"/>
      <c r="V1342" s="32"/>
      <c r="W1342" s="32"/>
      <c r="X1342" s="32"/>
    </row>
    <row r="1343" spans="2:24" x14ac:dyDescent="0.25">
      <c r="B1343" s="32"/>
      <c r="C1343" s="32"/>
      <c r="D1343" s="32"/>
      <c r="E1343" s="32"/>
      <c r="F1343" s="32"/>
      <c r="G1343" s="32"/>
      <c r="H1343" s="32"/>
      <c r="I1343" s="32"/>
      <c r="J1343" s="32"/>
      <c r="K1343" s="97">
        <f t="shared" si="16"/>
        <v>959</v>
      </c>
      <c r="L1343" s="98" t="s">
        <v>1459</v>
      </c>
      <c r="M1343" s="99" t="s">
        <v>626</v>
      </c>
      <c r="N1343" s="100"/>
      <c r="O1343" s="32"/>
      <c r="P1343" s="32"/>
      <c r="Q1343" s="32"/>
      <c r="R1343" s="32"/>
      <c r="S1343" s="32"/>
      <c r="T1343" s="32"/>
      <c r="U1343" s="32"/>
      <c r="V1343" s="32"/>
      <c r="W1343" s="32"/>
      <c r="X1343" s="32"/>
    </row>
    <row r="1344" spans="2:24" x14ac:dyDescent="0.25">
      <c r="B1344" s="32"/>
      <c r="C1344" s="32"/>
      <c r="D1344" s="32"/>
      <c r="E1344" s="32"/>
      <c r="F1344" s="32"/>
      <c r="G1344" s="32"/>
      <c r="H1344" s="32"/>
      <c r="I1344" s="32"/>
      <c r="J1344" s="32"/>
      <c r="K1344" s="97">
        <f t="shared" si="16"/>
        <v>960</v>
      </c>
      <c r="L1344" s="98" t="s">
        <v>1459</v>
      </c>
      <c r="M1344" s="99" t="s">
        <v>626</v>
      </c>
      <c r="N1344" s="100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</row>
    <row r="1345" spans="2:24" x14ac:dyDescent="0.25">
      <c r="B1345" s="32"/>
      <c r="C1345" s="32"/>
      <c r="D1345" s="32"/>
      <c r="E1345" s="32"/>
      <c r="F1345" s="32"/>
      <c r="G1345" s="32"/>
      <c r="H1345" s="32"/>
      <c r="I1345" s="32"/>
      <c r="J1345" s="32"/>
      <c r="K1345" s="32"/>
      <c r="L1345" s="32"/>
      <c r="M1345" s="32"/>
      <c r="N1345" s="32"/>
      <c r="O1345" s="32"/>
      <c r="P1345" s="32"/>
      <c r="Q1345" s="32"/>
      <c r="R1345" s="32"/>
      <c r="S1345" s="32"/>
      <c r="T1345" s="32"/>
      <c r="U1345" s="32"/>
      <c r="V1345" s="32"/>
      <c r="W1345" s="32"/>
      <c r="X1345" s="32"/>
    </row>
    <row r="1346" spans="2:24" x14ac:dyDescent="0.25">
      <c r="B1346" s="32"/>
      <c r="C1346" s="32"/>
      <c r="D1346" s="32"/>
      <c r="E1346" s="32"/>
      <c r="F1346" s="32"/>
      <c r="G1346" s="32"/>
      <c r="H1346" s="32"/>
      <c r="I1346" s="32"/>
      <c r="J1346" s="32"/>
      <c r="K1346" s="32"/>
      <c r="L1346" s="32"/>
      <c r="M1346" s="32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2"/>
    </row>
    <row r="1347" spans="2:24" x14ac:dyDescent="0.25">
      <c r="B1347" s="32"/>
      <c r="C1347" s="32"/>
      <c r="D1347" s="32"/>
      <c r="E1347" s="32"/>
      <c r="F1347" s="32"/>
      <c r="G1347" s="32"/>
      <c r="H1347" s="32"/>
      <c r="I1347" s="32"/>
      <c r="J1347" s="32"/>
      <c r="K1347" s="32"/>
      <c r="L1347" s="32"/>
      <c r="M1347" s="32"/>
      <c r="N1347" s="32"/>
      <c r="O1347" s="32"/>
      <c r="P1347" s="32"/>
      <c r="Q1347" s="32"/>
      <c r="R1347" s="32"/>
      <c r="S1347" s="32"/>
      <c r="T1347" s="32"/>
      <c r="U1347" s="32"/>
      <c r="V1347" s="32"/>
      <c r="W1347" s="32"/>
      <c r="X1347" s="32"/>
    </row>
    <row r="1348" spans="2:24" x14ac:dyDescent="0.25">
      <c r="B1348" s="32"/>
      <c r="C1348" s="32"/>
      <c r="D1348" s="32"/>
      <c r="E1348" s="32"/>
      <c r="F1348" s="32"/>
      <c r="G1348" s="32"/>
      <c r="H1348" s="32"/>
      <c r="I1348" s="32"/>
      <c r="J1348" s="32"/>
      <c r="K1348" s="32"/>
      <c r="L1348" s="32"/>
      <c r="M1348" s="32"/>
      <c r="N1348" s="32"/>
      <c r="O1348" s="32"/>
      <c r="P1348" s="32"/>
      <c r="Q1348" s="32"/>
      <c r="R1348" s="32"/>
      <c r="S1348" s="32"/>
      <c r="T1348" s="32"/>
      <c r="U1348" s="32"/>
      <c r="V1348" s="32"/>
      <c r="W1348" s="32"/>
      <c r="X1348" s="32"/>
    </row>
    <row r="1349" spans="2:24" x14ac:dyDescent="0.25">
      <c r="B1349" s="32"/>
      <c r="C1349" s="32"/>
      <c r="D1349" s="32"/>
      <c r="E1349" s="32"/>
      <c r="F1349" s="32"/>
      <c r="G1349" s="32"/>
      <c r="H1349" s="32"/>
      <c r="I1349" s="32"/>
      <c r="J1349" s="32"/>
      <c r="K1349" s="32"/>
      <c r="L1349" s="32"/>
      <c r="M1349" s="32"/>
      <c r="N1349" s="32"/>
      <c r="O1349" s="32"/>
      <c r="P1349" s="32"/>
      <c r="Q1349" s="32"/>
      <c r="R1349" s="32"/>
      <c r="S1349" s="32"/>
      <c r="T1349" s="32"/>
      <c r="U1349" s="32"/>
      <c r="V1349" s="32"/>
      <c r="W1349" s="32"/>
      <c r="X1349" s="32"/>
    </row>
    <row r="1350" spans="2:24" x14ac:dyDescent="0.25">
      <c r="B1350" s="32"/>
      <c r="C1350" s="32"/>
      <c r="D1350" s="32"/>
      <c r="E1350" s="32"/>
      <c r="F1350" s="32"/>
      <c r="G1350" s="32"/>
      <c r="H1350" s="32"/>
      <c r="I1350" s="32"/>
      <c r="J1350" s="32"/>
      <c r="K1350" s="32"/>
      <c r="L1350" s="32"/>
      <c r="M1350" s="32"/>
      <c r="N1350" s="32"/>
      <c r="O1350" s="32"/>
      <c r="P1350" s="32"/>
      <c r="Q1350" s="32"/>
      <c r="R1350" s="32"/>
      <c r="S1350" s="32"/>
      <c r="T1350" s="32"/>
      <c r="U1350" s="32"/>
      <c r="V1350" s="32"/>
      <c r="W1350" s="32"/>
      <c r="X1350" s="32"/>
    </row>
    <row r="1351" spans="2:24" x14ac:dyDescent="0.25">
      <c r="F1351" s="428"/>
      <c r="G1351" s="427"/>
      <c r="J1351" s="428" t="s">
        <v>2048</v>
      </c>
      <c r="V1351" s="32"/>
      <c r="W1351" s="32"/>
      <c r="X1351" s="32"/>
    </row>
    <row r="1352" spans="2:24" ht="36.75" thickBot="1" x14ac:dyDescent="0.6">
      <c r="B1352" s="579"/>
      <c r="C1352" s="580"/>
      <c r="D1352" s="580"/>
      <c r="E1352" s="580"/>
      <c r="F1352" s="580"/>
      <c r="G1352" s="580"/>
      <c r="H1352" s="581" t="str">
        <f>IF($S$1353&gt;=1055,"LOT 21 LABORATORY REQUIREMENT - OBADA ANNEX",IF($S$1353&gt;=1039,"LOT 21 - LABORATORY REQUIREMENT - SHAJE ANNEX",IF($S$1353&gt;=981,"LOT 20 - LABORATORY - CHEMICAL PATHOLOGY",IF($S$1353&gt;=974,"LOT 19 - MICROBIOLOGY - INFECTION CONTROL",IF($S$1353&gt;=957,"LOT 19 - MICROBIOLOGY - SENSITIVITY DISCS",IF($S$1353&gt;=902,"LOT 18 - MICROBIOLOGY - REAGENT KITS",IF($S$1353&gt;=846,"LOT 17 - HISTOPATHOLOGY",IF($S$1353&gt;=760,"LOT 16 - HAEMATOLOGY",IF($S$1353&gt;=722,"LOT 15 - THEATRE DEPARTMENT",IF($S$1353&gt;=709,"LOT 14 - RADIOLOGY DEPARTMENT",IF($S$1353&gt;=702,"LOT 13 - PHARMACY - CONSUMABLES - SUTURES",IF($S$1353&gt;=684,"LOT 13 - PHARMACY - CONSUMABLES",IF($S$1353&gt;=669,"LOT 13 PHARMACY - DISINFECTANTS",IF($S$1353&gt;=651,"LOT 13 - PHARMACY - DERMATOLOGICAL PREPARATIONS",IF($S$1353&gt;=570,"LOT 13 - PHARMACY - DRESSINGS/CONSUMABLES",IF($S$1353&gt;=539,"LOT 12 - PHARMACY - ONCOLOGY DRUGS",IF($S$1353&gt;=494,"LOT 11 - PHARMACY - EYE/EAR MEDICATIONS",IF($S$1353&gt;=455,"LOT 10 - PHARMACY - RESPIRATORY TRACT DRUGS",IF($S$1353&gt;=424,"LOT 9 - PHARMACY GASTROINTESTINAL DRUGS",IF($S$1353&gt;=381,"LOT 8 - PHARMACY -OBSTETRICS/GYNAECOLOGY DRUGS",IF($S$1353&gt;=351,"LOT 7 - PHARMACY - HYPNOSEDATIVE DRUGS",IF($S$1353&gt;=285,"LOT 6 PHARMACY - BLOOD &amp; NUTRITIONAL DRUGS",IF($S$1353&gt;=194,"LOT 5 - I589PHARMACY - ANTI-INFECTIVE AGENTS",IF($S$1353&gt;=142,"LOT 4 - PHARMACY - ANTI-INFLAMMATORY/ANTI-PYRETIC/ANALGESICS",IF($S$1353&gt;=118,"LOT 3 - PHARMACY - ORAL HYPOGLYCAEMIC DRUGS",IF($S$1353&gt;=34,"LOT 3 - PHARMACY - ANTI-HYPERTENSIVES",IF($S$1353&gt;=19,"LOT 2 - PHARMACY - STERILE INTRAVENOUS FLUIDS",IF($S$1353&gt;=1,"LOT 1 - PHARMACY - ANTI-MALARIALS","-"))))))))))))))))))))))))))))</f>
        <v>LOT 20 - LABORATORY - CHEMICAL PATHOLOGY</v>
      </c>
      <c r="I1352" s="582"/>
      <c r="J1352" s="580"/>
      <c r="K1352" s="580"/>
      <c r="L1352" s="580"/>
      <c r="M1352" s="580"/>
      <c r="N1352" s="580"/>
      <c r="O1352" s="580"/>
      <c r="P1352" s="580"/>
      <c r="Q1352" s="580"/>
      <c r="R1352" s="583"/>
      <c r="S1352" s="580"/>
      <c r="T1352" s="580"/>
      <c r="U1352" s="580"/>
      <c r="V1352" s="32"/>
      <c r="W1352" s="32"/>
      <c r="X1352" s="32"/>
    </row>
    <row r="1353" spans="2:24" ht="42.75" thickBot="1" x14ac:dyDescent="0.7">
      <c r="B1353" s="584"/>
      <c r="C1353" s="585" t="str">
        <f>IF($S$1353=961,PR!$B$1066,IF($S$1353=962,PR!$B$1067,IF($S$1353=963,PR!$B$1068,IF($S$1353=964,PR!$B$1069,IF($S$1353=965,PR!$B$1070,IF($S$1353=966,PR!$B$1071,IF($S$1353=967,PR!$B$1072,IF($S$1353=968,PR!$B$1073,IF($S$1353=969,PR!$B$1074,IF($S$1353=970,PR!$B$1075,IF($S$1353=971,PR!$B$1076,IF($S$1353=972,PR!$B$1077,IF($S$1353=973,PR!$B$1078,IF($S$1353=974,PR!$B$1082,IF($S$1353=975,PR!$B$1083,IF($S$1353=976,PR!$B$1084,IF($S$1353=977,PR!$B$1085,IF($S$1353=978,PR!$B$1086,IF($S$1353=979,PR!$B$1087,IF($S$1353=980,PR!$B$1088,IF($S$1353=981,PR!$B$1094,IF($S$1353=982,PR!$B$1095,IF($S$1353=983,PR!$B$1096,IF($S$1353=984,PR!$B$1097,IF($S$1353=985,PR!$B$1098,IF($S$1353=986,PR!$B$1099,IF($S$1353=987,PR!$B$1100,IF($S$1353=988,PR!$B$1101,IF($S$1353=989,PR!$B$1102,IF($S$1353=990,PR!$B$1103,IF($S$1353=991,PR!$B$1104,IF($S$1353=992,PR!$B$1105,IF($S$1353=993,PR!$B$1106,IF($S$1353=994,PR!$B$1107,IF($S$1353=995,PR!$B$1108,IF($S$1353=996,PR!$B$1109,IF($S$1353=997,PR!$B$1110,IF($S$1353=998,PR!$B$1111,IF($S$1353=999,PR!$B$1112,IF($S$1353=1000,PR!$B$1113,IF($S$1353=1001,PR!$B$1114,IF($S$1353=1002,PR!$B$1115,IF($S$1353=1003,PR!$B$1116,IF($S$1353=1004,PR!$B$1117,IF($S$1353=1005,PR!$B$1118,IF($S$1353=1006,PR!$B$1119,IF($S$1353=1007,PR!$B$1120,IF($S$1353=1008,PR!$B$1121,IF($S$1353=1009,PR!$B$1122,IF($S$1353=1010,PR!$B$1123,IF($S$1353=1011,PR!$B$1124,IF($S$1353=1012,PR!$B$1125,IF($S$1353=1013,PR!$B$1126,IF($S$1353=1014,PR!$B$1127,IF($S$1353=1015,PR!$B$1128,IF($S$1353=1016,PR!$B$1129,IF($S$1353=1017,PR!$B$1130,IF($S$1353=1018,PR!$B$1131,IF($S$1353=1019,PR!$B$1132,IF($S$1353=1020,PR!$B$1133,"-"))))))))))))))))))))))))))))))))))))))))))))))))))))))))))))</f>
        <v>5ML EDTA VACUUM TUBE (SILVER HEALTH DIAGNOSTIC)</v>
      </c>
      <c r="D1353" s="629"/>
      <c r="E1353" s="629"/>
      <c r="F1353" s="629"/>
      <c r="G1353" s="629"/>
      <c r="H1353" s="629"/>
      <c r="I1353" s="629"/>
      <c r="J1353" s="586"/>
      <c r="K1353" s="586"/>
      <c r="L1353" s="586"/>
      <c r="M1353" s="586"/>
      <c r="N1353" s="586"/>
      <c r="O1353" s="586"/>
      <c r="P1353" s="587"/>
      <c r="Q1353" s="588"/>
      <c r="R1353" s="583"/>
      <c r="S1353" s="589">
        <v>1020</v>
      </c>
      <c r="T1353" s="580"/>
      <c r="U1353" s="580"/>
      <c r="V1353" s="32"/>
      <c r="W1353" s="32"/>
      <c r="X1353" s="32"/>
    </row>
    <row r="1354" spans="2:24" ht="33.75" customHeight="1" thickBot="1" x14ac:dyDescent="0.7">
      <c r="B1354" s="580"/>
      <c r="C1354" s="590" t="s">
        <v>780</v>
      </c>
      <c r="D1354" s="585" t="str">
        <f>IF($S$1353=961,PR!$D$1066,IF($S$1353=962,PR!$D$1067,IF($S$1353=963,PR!$D$1068,IF($S$1353=964,PR!$D$1069,IF($S$1353=965,PR!$D$1070,IF($S$1353=966,PR!$D$1071,IF($S$1353=967,PR!$D$1072,IF($S$1353=968,PR!$D$1073,IF($S$1353=969,PR!$D$1074,IF($S$1353=970,PR!$D$1075,IF($S$1353=971,PR!$D$1076,IF($S$1353=972,PR!$D$1077,IF($S$1353=973,PR!$D$1078,IF($S$1353=974,PR!$D$1082,IF($S$1353=975,PR!$D$1083,IF($S$1353=976,PR!$D$1084,IF($S$1353=977,PR!$D$1085,IF($S$1353=978,PR!$D$1086,IF($S$1353=979,PR!$D$1087,IF($S$1353=980,PR!$D$1088,IF($S$1353=981,PR!$D$1094,IF($S$1353=982,PR!$D$1095,IF($S$1353=983,PR!$D$1096,IF($S$1353=984,PR!$D$1097,IF($S$1353=985,PR!$D$1098,IF($S$1353=986,PR!$D$1099,IF($S$1353=987,PR!$D$1100,IF($S$1353=988,PR!$D$1101,IF($S$1353=989,PR!$D$1102,IF($S$1353=990,PR!$D$1103,IF($S$1353=991,PR!$D$1104,IF($S$1353=992,PR!$D$1105,IF($S$1353=993,PR!$D$1106,IF($S$1353=994,PR!$D$1107,IF($S$1353=995,PR!$D$1108,IF($S$1353=996,PR!$D$1109,IF($S$1353=997,PR!$D$1110,IF($S$1353=998,PR!$D$1111,IF($S$1353=999,PR!$D$1112,IF($S$1353=1000,PR!$D$1113,IF($S$1353=1001,PR!$D$1114,IF($S$1353=1002,PR!$D$1115,IF($S$1353=1003,PR!$D$1116,IF($S$1353=1004,PR!$D$1117,IF($S$1353=1005,PR!$D$1118,IF($S$1353=1006,PR!$D$1119,IF($S$1353=1007,PR!$D$1120,IF($S$1353=1008,PR!$D$1121,IF($S$1353=1009,PR!$D$1122,IF($S$1353=1010,PR!$D$1123,IF($S$1353=1011,PR!$D$1124,IF($S$1353=1012,PR!$D$1125,IF($S$1353=1013,PR!$D$1126,IF($S$1353=1014,PR!$D$1127,IF($S$1353=1015,PR!$D$1128,IF($S$1353=1016,PR!$D$1129,IF($S$1353=1017,PR!$D$1130,IF($S$1353=1018,PR!$D$1131,IF($S$1353=1019,PR!$D$1132,IF($S$1353=1020,PR!$D$1133,"-"))))))))))))))))))))))))))))))))))))))))))))))))))))))))))))</f>
        <v>1*1000</v>
      </c>
      <c r="E1354" s="586"/>
      <c r="F1354" s="586"/>
      <c r="G1354" s="587"/>
      <c r="H1354" s="630"/>
      <c r="I1354" s="631"/>
      <c r="J1354" s="779" t="s">
        <v>781</v>
      </c>
      <c r="K1354" s="779"/>
      <c r="L1354" s="780"/>
      <c r="M1354" s="781">
        <f>IF($S$1353=961,PR!$C$1066,IF($S$1353=962,PR!$C$1067,IF($S$1353=963,PR!$C$1068,IF($S$1353=964,PR!$C$1069,IF($S$1353=965,PR!$C$1070,IF($S$1353=966,PR!$C$1071,IF($S$1353=967,PR!$C$1072,IF($S$1353=968,PR!$C$1073,IF($S$1353=969,PR!$C$1074,IF($S$1353=970,PR!$C$1075,IF($S$1353=971,PR!$C$1076,IF($S$1353=972,PR!$C$1077,IF($S$1353=973,PR!$C$1078,IF($S$1353=974,PR!$C$1082,IF($S$1353=975,PR!$C$1083,IF($S$1353=976,PR!$C$1084,IF($S$1353=977,PR!$C$1085,IF($S$1353=978,PR!$C$1086,IF($S$1353=979,PR!$C$1087,IF($S$1353=980,PR!$C$1088,IF($S$1353=981,PR!$C$1094,IF($S$1353=982,PR!$C$1095,IF($S$1353=983,PR!$C$1096,IF($S$1353=984,PR!$C$1097,IF($S$1353=985,PR!$C$1098,IF($S$1353=986,PR!$C$1099,IF($S$1353=987,PR!$C$1100,IF($S$1353=988,PR!$C$1101,IF($S$1353=989,PR!$C$1102,IF($S$1353=990,PR!$C$1103,IF($S$1353=991,PR!$C$1104,IF($S$1353=992,PR!$C$1105,IF($S$1353=993,PR!$C$1106,IF($S$1353=994,PR!$C$1107,IF($S$1353=995,PR!$C$1108,IF($S$1353=996,PR!$C$1109,IF($S$1353=997,PR!$C$1110,IF($S$1353=998,PR!$C$1111,IF($S$1353=999,PR!$C$1112,IF($S$1353=1000,PR!$C$1113,IF($S$1353=1001,PR!$C$1114,IF($S$1353=1002,PR!$C$1115,IF($S$1353=1003,PR!$C$1116,IF($S$1353=1004,PR!$C$1117,IF($S$1353=1005,PR!$C$1118,IF($S$1353=1006,PR!$C$1119,IF($S$1353=1007,PR!$C$1120,IF($S$1353=1008,PR!$C$1121,IF($S$1353=1009,PR!$C$1122,IF($S$1353=1010,PR!$C$1123,IF($S$1353=1011,PR!$C$1124,IF($S$1353=1012,PR!$C$1125,IF($S$1353=1013,PR!$C$1126,IF($S$1353=1014,PR!$C$1127,IF($S$1353=1015,PR!$C$1128,IF($S$1353=1016,PR!$C$1129,IF($S$1353=1017,PR!$C$1130,IF($S$1353=1018,PR!$C$1131,IF($S$1353=1019,PR!$C$1132,IF($S$1353=1020,PR!$C$1133,"-"))))))))))))))))))))))))))))))))))))))))))))))))))))))))))))</f>
        <v>1</v>
      </c>
      <c r="N1354" s="782"/>
      <c r="O1354" s="580"/>
      <c r="P1354" s="580"/>
      <c r="Q1354" s="580"/>
      <c r="R1354" s="583"/>
      <c r="S1354" s="580"/>
      <c r="T1354" s="580"/>
      <c r="U1354" s="580"/>
      <c r="V1354" s="32"/>
      <c r="W1354" s="32"/>
      <c r="X1354" s="32"/>
    </row>
    <row r="1355" spans="2:24" ht="8.25" customHeight="1" thickTop="1" x14ac:dyDescent="0.25">
      <c r="B1355" s="580"/>
      <c r="C1355" s="591"/>
      <c r="D1355" s="592"/>
      <c r="E1355" s="580"/>
      <c r="F1355" s="580"/>
      <c r="G1355" s="593"/>
      <c r="H1355" s="593"/>
      <c r="I1355" s="593"/>
      <c r="J1355" s="593"/>
      <c r="K1355" s="594"/>
      <c r="L1355" s="594"/>
      <c r="M1355" s="580"/>
      <c r="N1355" s="580"/>
      <c r="O1355" s="580"/>
      <c r="P1355" s="580"/>
      <c r="Q1355" s="580"/>
      <c r="R1355" s="583"/>
      <c r="S1355" s="580"/>
      <c r="T1355" s="580"/>
      <c r="U1355" s="580"/>
      <c r="V1355" s="32"/>
      <c r="W1355" s="32"/>
      <c r="X1355" s="32"/>
    </row>
    <row r="1356" spans="2:24" ht="15.75" thickBot="1" x14ac:dyDescent="0.3">
      <c r="B1356" s="595"/>
      <c r="C1356" s="600" t="str">
        <f>N!$C$4</f>
        <v>ALPHA</v>
      </c>
      <c r="D1356" s="600" t="str">
        <f>N!$C$5</f>
        <v>ASSENE</v>
      </c>
      <c r="E1356" s="600" t="str">
        <f>N!$C$6</f>
        <v>BIOFEM</v>
      </c>
      <c r="F1356" s="600" t="str">
        <f>N!$C$7</f>
        <v>BIOMED</v>
      </c>
      <c r="G1356" s="600" t="str">
        <f>N!$C$8</f>
        <v>CHI</v>
      </c>
      <c r="H1356" s="600" t="str">
        <f>N!$C$9</f>
        <v>CLARION</v>
      </c>
      <c r="I1356" s="600" t="str">
        <f>N!$C$10</f>
        <v>CODIX</v>
      </c>
      <c r="J1356" s="600" t="str">
        <f>N!$C$11</f>
        <v>COSMADE</v>
      </c>
      <c r="K1356" s="600" t="str">
        <f>N!$C$12</f>
        <v>SANCON</v>
      </c>
      <c r="L1356" s="600" t="str">
        <f>N!$C$13</f>
        <v>DEVON</v>
      </c>
      <c r="M1356" s="600" t="str">
        <f>N!$C$14</f>
        <v>DORTEMAG</v>
      </c>
      <c r="N1356" s="600" t="str">
        <f>N!$C$15</f>
        <v>DGF</v>
      </c>
      <c r="O1356" s="601" t="str">
        <f>N!$C$16</f>
        <v>DYNAMIC</v>
      </c>
      <c r="P1356" s="600" t="str">
        <f>N!$C$17</f>
        <v>EMZOR</v>
      </c>
      <c r="Q1356" s="600" t="str">
        <f>N!$C$18</f>
        <v>EUMATT</v>
      </c>
      <c r="R1356" s="600" t="str">
        <f>N!$C$19</f>
        <v>FIDSON</v>
      </c>
      <c r="S1356" s="600" t="str">
        <f>N!$C$20</f>
        <v>FCGLOBAL</v>
      </c>
      <c r="T1356" s="580"/>
      <c r="U1356" s="580"/>
      <c r="V1356" s="32"/>
      <c r="W1356" s="32"/>
      <c r="X1356" s="32"/>
    </row>
    <row r="1357" spans="2:24" ht="15.75" thickBot="1" x14ac:dyDescent="0.3">
      <c r="B1357" s="596"/>
      <c r="C1357" s="602">
        <f>IF($S$1353=961,PR!$E$1066,IF($S$1353=962,PR!$E$1067,IF($S$1353=963,PR!$E$1068,IF($S$1353=964,PR!$E$1069,IF($S$1353=965,PR!$E$1070,IF($S$1353=966,PR!$E$1071,IF($S$1353=967,PR!$E$1072,IF($S$1353=968,PR!$E$1073,IF($S$1353=969,PR!$E$1074,IF($S$1353=970,PR!$E$1075,IF($S$1353=971,PR!$E$1076,IF($S$1353=972,PR!$E$1077,IF($S$1353=973,PR!$E$1078,IF($S$1353=974,PR!$E$1082,IF($S$1353=975,PR!$E$1083,IF($S$1353=976,PR!$E$1084,IF($S$1353=977,PR!$E$1085,IF($S$1353=978,PR!$E$1086,IF($S$1353=979,PR!$E$1087,IF($S$1353=980,PR!$E$1088,IF($S$1353=981,PR!$E$1094,IF($S$1353=982,PR!$E$1095,IF($S$1353=983,PR!$E$1096,IF($S$1353=984,PR!$E$1097,IF($S$1353=985,PR!$E$1098,IF($S$1353=986,PR!$E$1099,IF($S$1353=987,PR!$E$1100,IF($S$1353=988,PR!$E$1101,IF($S$1353=989,PR!$E$1102,IF($S$1353=990,PR!$E$1103,IF($S$1353=991,PR!$E$1104,IF($S$1353=992,PR!$E$1105,IF($S$1353=993,PR!$E$1106,IF($S$1353=994,PR!$E$1107,IF($S$1353=995,PR!$E$1108,IF($S$1353=996,PR!$E$1109,IF($S$1353=997,PR!$E$1110,IF($S$1353=998,PR!$E$1111,IF($S$1353=999,PR!$E$1112,IF($S$1353=1000,PR!$E$1113,IF($S$1353=1001,PR!$E$1114,IF($S$1353=1002,PR!$E$1115,IF($S$1353=1003,PR!$E$1116,IF($S$1353=1004,PR!$E$1117,IF($S$1353=1005,PR!$E$1118,IF($S$1353=1006,PR!$E$1119,IF($S$1353=1007,PR!$E$1120,IF($S$1353=1008,PR!$E$1121,IF($S$1353=1009,PR!$E$1122,IF($S$1353=1010,PR!$E$1123,IF($S$1353=1011,PR!$E$1124,IF($S$1353=1012,PR!$E$1125,IF($S$1353=1013,PR!$E$1126,IF($S$1353=1014,PR!$E$1127,IF($S$1353=1015,PR!$E$1128,IF($S$1353=1016,PR!$E$1129,IF($S$1353=1017,PR!$E$1130,IF($S$1353=1018,PR!$E$1131,IF($S$1353=1019,PR!$E$1132,IF($S$1353=1020,PR!$E$1133,"-"))))))))))))))))))))))))))))))))))))))))))))))))))))))))))))</f>
        <v>0</v>
      </c>
      <c r="D1357" s="602">
        <f>IF($S$1353=961,PR!$F$1066,IF($S$1353=962,PR!$F$1067,IF($S$1353=963,PR!$F$1068,IF($S$1353=964,PR!$F$1069,IF($S$1353=965,PR!$F$1070,IF($S$1353=966,PR!$F$1071,IF($S$1353=967,PR!$F$1072,IF($S$1353=968,PR!$F$1073,IF($S$1353=969,PR!$F$1074,IF($S$1353=970,PR!$F$1075,IF($S$1353=971,PR!$F$1076,IF($S$1353=972,PR!$F$1077,IF($S$1353=973,PR!$F$1078,IF($S$1353=974,PR!$F$1082,IF($S$1353=975,PR!$F$1083,IF($S$1353=976,PR!$F$1084,IF($S$1353=977,PR!$F$1085,IF($S$1353=978,PR!$F$1086,IF($S$1353=979,PR!$F$1087,IF($S$1353=980,PR!$F$1088,IF($S$1353=981,PR!$F$1094,IF($S$1353=982,PR!$F$1095,IF($S$1353=983,PR!$F$1096,IF($S$1353=984,PR!$F$1097,IF($S$1353=985,PR!$F$1098,IF($S$1353=986,PR!$F$1099,IF($S$1353=987,PR!$F$1100,IF($S$1353=988,PR!$F$1101,IF($S$1353=989,PR!$F$1102,IF($S$1353=990,PR!$F$1103,IF($S$1353=991,PR!$F$1104,IF($S$1353=992,PR!$F$1105,IF($S$1353=993,PR!$F$1106,IF($S$1353=994,PR!$F$1107,IF($S$1353=995,PR!$F$1108,IF($S$1353=996,PR!$F$1109,IF($S$1353=997,PR!$F$1110,IF($S$1353=998,PR!$F$1111,IF($S$1353=999,PR!$F$1112,IF($S$1353=1000,PR!$F$1113,IF($S$1353=1001,PR!$F$1114,IF($S$1353=1002,PR!$F$1115,IF($S$1353=1003,PR!$F$1116,IF($S$1353=1004,PR!$F$1117,IF($S$1353=1005,PR!$F$1118,IF($S$1353=1006,PR!$F$1119,IF($S$1353=1007,PR!$F$1120,IF($S$1353=1008,PR!$F$1121,IF($S$1353=1009,PR!$F$1122,IF($S$1353=1010,PR!$F$1123,IF($S$1353=1011,PR!$F$1124,IF($S$1353=1012,PR!$F$1125,IF($S$1353=1013,PR!$F$1126,IF($S$1353=1014,PR!$F$1127,IF($S$1353=1015,PR!$F$1128,IF($S$1353=1016,PR!$F$1129,IF($S$1353=1017,PR!$F$1130,IF($S$1353=1018,PR!$F$1131,IF($S$1353=1019,PR!$F$1132,IF($S$1353=1020,PR!$F$1133,"-"))))))))))))))))))))))))))))))))))))))))))))))))))))))))))))</f>
        <v>0</v>
      </c>
      <c r="E1357" s="602">
        <f>IF($S$1353=961,PR!$G$1066,IF($S$1353=962,PR!$G$1067,IF($S$1353=963,PR!$G$1068,IF($S$1353=964,PR!$G$1069,IF($S$1353=965,PR!$G$1070,IF($S$1353=966,PR!$G$1071,IF($S$1353=967,PR!$G$1072,IF($S$1353=968,PR!$G$1073,IF($S$1353=969,PR!$G$1074,IF($S$1353=970,PR!$G$1075,IF($S$1353=971,PR!$G$1076,IF($S$1353=972,PR!$G$1077,IF($S$1353=973,PR!$G$1078,IF($S$1353=974,PR!$G$1082,IF($S$1353=975,PR!$G$1083,IF($S$1353=976,PR!$G$1084,IF($S$1353=977,PR!$G$1085,IF($S$1353=978,PR!$G$1086,IF($S$1353=979,PR!$G$1087,IF($S$1353=980,PR!$G$1088,IF($S$1353=981,PR!$G$1094,IF($S$1353=982,PR!$G$1095,IF($S$1353=983,PR!$G$1096,IF($S$1353=984,PR!$G$1097,IF($S$1353=985,PR!$G$1098,IF($S$1353=986,PR!$G$1099,IF($S$1353=987,PR!$G$1100,IF($S$1353=988,PR!$G$1101,IF($S$1353=989,PR!$G$1102,IF($S$1353=990,PR!$G$1103,IF($S$1353=991,PR!$G$1104,IF($S$1353=992,PR!$G$1105,IF($S$1353=993,PR!$G$1106,IF($S$1353=994,PR!$G$1107,IF($S$1353=995,PR!$G$1108,IF($S$1353=996,PR!$G$1109,IF($S$1353=997,PR!$G$1110,IF($S$1353=998,PR!$G$1111,IF($S$1353=999,PR!$G$1112,IF($S$1353=1000,PR!$G$1113,IF($S$1353=1001,PR!$G$1114,IF($S$1353=1002,PR!$G$1115,IF($S$1353=1003,PR!$G$1116,IF($S$1353=1004,PR!$G$1117,IF($S$1353=1005,PR!$G$1118,IF($S$1353=1006,PR!$G$1119,IF($S$1353=1007,PR!$G$1120,IF($S$1353=1008,PR!$G$1121,IF($S$1353=1009,PR!$G$1122,IF($S$1353=1010,PR!$G$1123,IF($S$1353=1011,PR!$G$1124,IF($S$1353=1012,PR!$G$1125,IF($S$1353=1013,PR!$G$1126,IF($S$1353=1014,PR!$G$1127,IF($S$1353=1015,PR!$G$1128,IF($S$1353=1016,PR!$G$1129,IF($S$1353=1017,PR!$G$1130,IF($S$1353=1018,PR!$G$1131,IF($S$1353=1019,PR!$G$1132,IF($S$1353=1020,PR!$G$1133,"-"))))))))))))))))))))))))))))))))))))))))))))))))))))))))))))</f>
        <v>0</v>
      </c>
      <c r="F1357" s="602">
        <f>IF($S$1353=961,PR!$H$1066,IF($S$1353=962,PR!$H$1067,IF($S$1353=963,PR!$H$1068,IF($S$1353=964,PR!$H$1069,IF($S$1353=965,PR!$H$1070,IF($S$1353=966,PR!$H$1071,IF($S$1353=967,PR!$H$1072,IF($S$1353=968,PR!$H$1073,IF($S$1353=969,PR!$H$1074,IF($S$1353=970,PR!$H$1075,IF($S$1353=971,PR!$H$1076,IF($S$1353=972,PR!$H$1077,IF($S$1353=973,PR!$H$1078,IF($S$1353=974,PR!$H$1082,IF($S$1353=975,PR!$H$1083,IF($S$1353=976,PR!$H$1084,IF($S$1353=977,PR!$H$1085,IF($S$1353=978,PR!$H$1086,IF($S$1353=979,PR!$H$1087,IF($S$1353=980,PR!$H$1088,IF($S$1353=981,PR!$H$1094,IF($S$1353=982,PR!$H$1095,IF($S$1353=983,PR!$H$1096,IF($S$1353=984,PR!$H$1097,IF($S$1353=985,PR!$H$1098,IF($S$1353=986,PR!$H$1099,IF($S$1353=987,PR!$H$1100,IF($S$1353=988,PR!$H$1101,IF($S$1353=989,PR!$H$1102,IF($S$1353=990,PR!$H$1103,IF($S$1353=991,PR!$H$1104,IF($S$1353=992,PR!$H$1105,IF($S$1353=993,PR!$H$1106,IF($S$1353=994,PR!$H$1107,IF($S$1353=995,PR!$H$1108,IF($S$1353=996,PR!$H$1109,IF($S$1353=997,PR!$H$1110,IF($S$1353=998,PR!$H$1111,IF($S$1353=999,PR!$H$1112,IF($S$1353=1000,PR!$H$1113,IF($S$1353=1001,PR!$H$1114,IF($S$1353=1002,PR!$H$1115,IF($S$1353=1003,PR!$H$1116,IF($S$1353=1004,PR!$H$1117,IF($S$1353=1005,PR!$H$1118,IF($S$1353=1006,PR!$H$1119,IF($S$1353=1007,PR!$H$1120,IF($S$1353=1008,PR!$H$1121,IF($S$1353=1009,PR!$H$1122,IF($S$1353=1010,PR!$H$1123,IF($S$1353=1011,PR!$H$1124,IF($S$1353=1012,PR!$H$1125,IF($S$1353=1013,PR!$H$1126,IF($S$1353=1014,PR!$H$1127,IF($S$1353=1015,PR!$H$1128,IF($S$1353=1016,PR!$H$1129,IF($S$1353=1017,PR!$H$1130,IF($S$1353=1018,PR!$H$1131,IF($S$1353=1019,PR!$H$1132,IF($S$1353=1020,PR!$H$1133,"-"))))))))))))))))))))))))))))))))))))))))))))))))))))))))))))</f>
        <v>0</v>
      </c>
      <c r="G1357" s="602">
        <f>IF($S$1353=961,PR!$I$1066,IF($S$1353=962,PR!$I$1067,IF($S$1353=963,PR!$I$1068,IF($S$1353=964,PR!$I$1069,IF($S$1353=965,PR!$I$1070,IF($S$1353=966,PR!$I$1071,IF($S$1353=967,PR!$I$1072,IF($S$1353=968,PR!$I$1073,IF($S$1353=969,PR!$I$1074,IF($S$1353=970,PR!$I$1075,IF($S$1353=971,PR!$I$1076,IF($S$1353=972,PR!$I$1077,IF($S$1353=973,PR!$I$1078,IF($S$1353=974,PR!$I$1082,IF($S$1353=975,PR!$I$1083,IF($S$1353=976,PR!$I$1084,IF($S$1353=977,PR!$I$1085,IF($S$1353=978,PR!$I$1086,IF($S$1353=979,PR!$I$1087,IF($S$1353=980,PR!$I$1088,IF($S$1353=981,PR!$I$1094,IF($S$1353=982,PR!$I$1095,IF($S$1353=983,PR!$I$1096,IF($S$1353=984,PR!$I$1097,IF($S$1353=985,PR!$I$1098,IF($S$1353=986,PR!$I$1099,IF($S$1353=987,PR!$I$1100,IF($S$1353=988,PR!$I$1101,IF($S$1353=989,PR!$I$1102,IF($S$1353=990,PR!$I$1103,IF($S$1353=991,PR!$I$1104,IF($S$1353=992,PR!$I$1105,IF($S$1353=993,PR!$I$1106,IF($S$1353=994,PR!$I$1107,IF($S$1353=995,PR!$I$1108,IF($S$1353=996,PR!$I$1109,IF($S$1353=997,PR!$I$1110,IF($S$1353=998,PR!$I$1111,IF($S$1353=999,PR!$I$1112,IF($S$1353=1000,PR!$I$1113,IF($S$1353=1001,PR!$I$1114,IF($S$1353=1002,PR!$I$1115,IF($S$1353=1003,PR!$I$1116,IF($S$1353=1004,PR!$I$1117,IF($S$1353=1005,PR!$I$1118,IF($S$1353=1006,PR!$I$1119,IF($S$1353=1007,PR!$I$1120,IF($S$1353=1008,PR!$I$1121,IF($S$1353=1009,PR!$I$1122,IF($S$1353=1010,PR!$I$1123,IF($S$1353=1011,PR!$I$1124,IF($S$1353=1012,PR!$I$1125,IF($S$1353=1013,PR!$I$1126,IF($S$1353=1014,PR!$I$1127,IF($S$1353=1015,PR!$I$1128,IF($S$1353=1016,PR!$I$1129,IF($S$1353=1017,PR!$I$1130,IF($S$1353=1018,PR!$I$1131,IF($S$1353=1019,PR!$I$1132,IF($S$1353=1020,PR!$I$1133,"-"))))))))))))))))))))))))))))))))))))))))))))))))))))))))))))</f>
        <v>0</v>
      </c>
      <c r="H1357" s="602">
        <f>IF($S$1353=961,PR!$J$1066,IF($S$1353=962,PR!$J$1067,IF($S$1353=963,PR!$J$1068,IF($S$1353=964,PR!$J$1069,IF($S$1353=965,PR!$J$1070,IF($S$1353=966,PR!$J$1071,IF($S$1353=967,PR!$J$1072,IF($S$1353=968,PR!$J$1073,IF($S$1353=969,PR!$J$1074,IF($S$1353=970,PR!$J$1075,IF($S$1353=971,PR!$J$1076,IF($S$1353=972,PR!$J$1077,IF($S$1353=973,PR!$J$1078,IF($S$1353=974,PR!$J$1082,IF($S$1353=975,PR!$J$1083,IF($S$1353=976,PR!$J$1084,IF($S$1353=977,PR!$J$1085,IF($S$1353=978,PR!$J$1086,IF($S$1353=979,PR!$J$1087,IF($S$1353=980,PR!$J$1088,IF($S$1353=981,PR!$J$1094,IF($S$1353=982,PR!$J$1095,IF($S$1353=983,PR!$J$1096,IF($S$1353=984,PR!$J$1097,IF($S$1353=985,PR!$J$1098,IF($S$1353=986,PR!$J$1099,IF($S$1353=987,PR!$J$1100,IF($S$1353=988,PR!$J$1101,IF($S$1353=989,PR!$J$1102,IF($S$1353=990,PR!$J$1103,IF($S$1353=991,PR!$J$1104,IF($S$1353=992,PR!$J$1105,IF($S$1353=993,PR!$J$1106,IF($S$1353=994,PR!$J$1107,IF($S$1353=995,PR!$J$1108,IF($S$1353=996,PR!$J$1109,IF($S$1353=997,PR!$J$1110,IF($S$1353=998,PR!$J$1111,IF($S$1353=999,PR!$J$1112,IF($S$1353=1000,PR!$J$1113,IF($S$1353=1001,PR!$J$1114,IF($S$1353=1002,PR!$J$1115,IF($S$1353=1003,PR!$J$1116,IF($S$1353=1004,PR!$J$1117,IF($S$1353=1005,PR!$J$1118,IF($S$1353=1006,PR!$J$1119,IF($S$1353=1007,PR!$J$1120,IF($S$1353=1008,PR!$J$1121,IF($S$1353=1009,PR!$J$1122,IF($S$1353=1010,PR!$J$1123,IF($S$1353=1011,PR!$J$1124,IF($S$1353=1012,PR!$J$1125,IF($S$1353=1013,PR!$J$1126,IF($S$1353=1014,PR!$J$1127,IF($S$1353=1015,PR!$J$1128,IF($S$1353=1016,PR!$J$1129,IF($S$1353=1017,PR!$J$1130,IF($S$1353=1018,PR!$J$1131,IF($S$1353=1019,PR!$J$1132,IF($S$1353=1020,PR!$J$1133,"-"))))))))))))))))))))))))))))))))))))))))))))))))))))))))))))</f>
        <v>0</v>
      </c>
      <c r="I1357" s="602">
        <f>IF($S$1353=961,PR!$K$1066,IF($S$1353=962,PR!$K$1067,IF($S$1353=963,PR!$K$1068,IF($S$1353=964,PR!$K$1069,IF($S$1353=965,PR!$K$1070,IF($S$1353=966,PR!$K$1071,IF($S$1353=967,PR!$K$1072,IF($S$1353=968,PR!$K$1073,IF($S$1353=969,PR!$K$1074,IF($S$1353=970,PR!$K$1075,IF($S$1353=971,PR!$K$1076,IF($S$1353=972,PR!$K$1077,IF($S$1353=973,PR!$K$1078,IF($S$1353=974,PR!$K$1082,IF($S$1353=975,PR!$K$1083,IF($S$1353=976,PR!$K$1084,IF($S$1353=977,PR!$K$1085,IF($S$1353=978,PR!$K$1086,IF($S$1353=979,PR!$K$1087,IF($S$1353=980,PR!$K$1088,IF($S$1353=981,PR!$K$1094,IF($S$1353=982,PR!$K$1095,IF($S$1353=983,PR!$K$1096,IF($S$1353=984,PR!$K$1097,IF($S$1353=985,PR!$K$1098,IF($S$1353=986,PR!$K$1099,IF($S$1353=987,PR!$K$1100,IF($S$1353=988,PR!$K$1101,IF($S$1353=989,PR!$K$1102,IF($S$1353=990,PR!$K$1103,IF($S$1353=991,PR!$K$1104,IF($S$1353=992,PR!$K$1105,IF($S$1353=993,PR!$K$1106,IF($S$1353=994,PR!$K$1107,IF($S$1353=995,PR!$K$1108,IF($S$1353=996,PR!$K$1109,IF($S$1353=997,PR!$K$1110,IF($S$1353=998,PR!$K$1111,IF($S$1353=999,PR!$K$1112,IF($S$1353=1000,PR!$K$1113,IF($S$1353=1001,PR!$K$1114,IF($S$1353=1002,PR!$K$1115,IF($S$1353=1003,PR!$K$1116,IF($S$1353=1004,PR!$K$1117,IF($S$1353=1005,PR!$K$1118,IF($S$1353=1006,PR!$K$1119,IF($S$1353=1007,PR!$K$1120,IF($S$1353=1008,PR!$K$1121,IF($S$1353=1009,PR!$K$1122,IF($S$1353=1010,PR!$K$1123,IF($S$1353=1011,PR!$K$1124,IF($S$1353=1012,PR!$K$1125,IF($S$1353=1013,PR!$K$1126,IF($S$1353=1014,PR!$K$1127,IF($S$1353=1015,PR!$K$1128,IF($S$1353=1016,PR!$K$1129,IF($S$1353=1017,PR!$K$1130,IF($S$1353=1018,PR!$K$1131,IF($S$1353=1019,PR!$K$1132,IF($S$1353=1020,PR!$K$1133,"-"))))))))))))))))))))))))))))))))))))))))))))))))))))))))))))</f>
        <v>0</v>
      </c>
      <c r="J1357" s="602">
        <f>IF($S$1353=961,PR!$L$1066,IF($S$1353=962,PR!$L$1067,IF($S$1353=963,PR!$L$1068,IF($S$1353=964,PR!$L$1069,IF($S$1353=965,PR!$L$1070,IF($S$1353=966,PR!$L$1071,IF($S$1353=967,PR!$L$1072,IF($S$1353=968,PR!$L$1073,IF($S$1353=969,PR!$L$1074,IF($S$1353=970,PR!$L$1075,IF($S$1353=971,PR!$L$1076,IF($S$1353=972,PR!$L$1077,IF($S$1353=973,PR!$L$1078,IF($S$1353=974,PR!$L$1082,IF($S$1353=975,PR!$L$1083,IF($S$1353=976,PR!$L$1084,IF($S$1353=977,PR!$L$1085,IF($S$1353=978,PR!$L$1086,IF($S$1353=979,PR!$L$1087,IF($S$1353=980,PR!$L$1088,IF($S$1353=981,PR!$L$1094,IF($S$1353=982,PR!$L$1095,IF($S$1353=983,PR!$L$1096,IF($S$1353=984,PR!$L$1097,IF($S$1353=985,PR!$L$1098,IF($S$1353=986,PR!$L$1099,IF($S$1353=987,PR!$L$1100,IF($S$1353=988,PR!$L$1101,IF($S$1353=989,PR!$L$1102,IF($S$1353=990,PR!$L$1103,IF($S$1353=991,PR!$L$1104,IF($S$1353=992,PR!$L$1105,IF($S$1353=993,PR!$L$1106,IF($S$1353=994,PR!$L$1107,IF($S$1353=995,PR!$L$1108,IF($S$1353=996,PR!$L$1109,IF($S$1353=997,PR!$L$1110,IF($S$1353=998,PR!$L$1111,IF($S$1353=999,PR!$L$1112,IF($S$1353=1000,PR!$L$1113,IF($S$1353=1001,PR!$L$1114,IF($S$1353=1002,PR!$L$1115,IF($S$1353=1003,PR!$L$1116,IF($S$1353=1004,PR!$L$1117,IF($S$1353=1005,PR!$L$1118,IF($S$1353=1006,PR!$L$1119,IF($S$1353=1007,PR!$L$1120,IF($S$1353=1008,PR!$L$1121,IF($S$1353=1009,PR!$L$1122,IF($S$1353=1010,PR!$L$1123,IF($S$1353=1011,PR!$L$1124,IF($S$1353=1012,PR!$L$1125,IF($S$1353=1013,PR!$L$1126,IF($S$1353=1014,PR!$L$1127,IF($S$1353=1015,PR!$L$1128,IF($S$1353=1016,PR!$L$1129,IF($S$1353=1017,PR!$L$1130,IF($S$1353=1018,PR!$L$1131,IF($S$1353=1019,PR!$L$1132,IF($S$1353=1020,PR!$L$1133,"-"))))))))))))))))))))))))))))))))))))))))))))))))))))))))))))</f>
        <v>0</v>
      </c>
      <c r="K1357" s="602">
        <f>IF($S$1353=961,PR!$M$1066,IF($S$1353=962,PR!$M$1067,IF($S$1353=963,PR!$M$1068,IF($S$1353=964,PR!$M$1069,IF($S$1353=965,PR!$M$1070,IF($S$1353=966,PR!$M$1071,IF($S$1353=967,PR!$M$1072,IF($S$1353=968,PR!$M$1073,IF($S$1353=969,PR!$M$1074,IF($S$1353=970,PR!$M$1075,IF($S$1353=971,PR!$M$1076,IF($S$1353=972,PR!$M$1077,IF($S$1353=973,PR!$M$1078,IF($S$1353=974,PR!$M$1082,IF($S$1353=975,PR!$M$1083,IF($S$1353=976,PR!$M$1084,IF($S$1353=977,PR!$M$1085,IF($S$1353=978,PR!$M$1086,IF($S$1353=979,PR!$M$1087,IF($S$1353=980,PR!$M$1088,IF($S$1353=981,PR!$M$1094,IF($S$1353=982,PR!$M$1095,IF($S$1353=983,PR!$M$1096,IF($S$1353=984,PR!$M$1097,IF($S$1353=985,PR!$M$1098,IF($S$1353=986,PR!$M$1099,IF($S$1353=987,PR!$M$1100,IF($S$1353=988,PR!$M$1101,IF($S$1353=989,PR!$M$1102,IF($S$1353=990,PR!$M$1103,IF($S$1353=991,PR!$M$1104,IF($S$1353=992,PR!$M$1105,IF($S$1353=993,PR!$M$1106,IF($S$1353=994,PR!$M$1107,IF($S$1353=995,PR!$M$1108,IF($S$1353=996,PR!$M$1109,IF($S$1353=997,PR!$M$1110,IF($S$1353=998,PR!$M$1111,IF($S$1353=999,PR!$M$1112,IF($S$1353=1000,PR!$M$1113,IF($S$1353=1001,PR!$M$1114,IF($S$1353=1002,PR!$M$1115,IF($S$1353=1003,PR!$M$1116,IF($S$1353=1004,PR!$M$1117,IF($S$1353=1005,PR!$M$1118,IF($S$1353=1006,PR!$M$1119,IF($S$1353=1007,PR!$M$1120,IF($S$1353=1008,PR!$M$1121,IF($S$1353=1009,PR!$M$1122,IF($S$1353=1010,PR!$M$1123,IF($S$1353=1011,PR!$M$1124,IF($S$1353=1012,PR!$M$1125,IF($S$1353=1013,PR!$M$1126,IF($S$1353=1014,PR!$M$1127,IF($S$1353=1015,PR!$M$1128,IF($S$1353=1016,PR!$M$1129,IF($S$1353=1017,PR!$M$1130,IF($S$1353=1018,PR!$M$1131,IF($S$1353=1019,PR!$M$1132,IF($S$1353=1020,PR!$M$1133,"-"))))))))))))))))))))))))))))))))))))))))))))))))))))))))))))</f>
        <v>0</v>
      </c>
      <c r="L1357" s="602">
        <f>IF($S$1353=961,PR!$N$1066,IF($S$1353=962,PR!$N$1067,IF($S$1353=963,PR!$N$1068,IF($S$1353=964,PR!$N$1069,IF($S$1353=965,PR!$N$1070,IF($S$1353=966,PR!$N$1071,IF($S$1353=967,PR!$N$1072,IF($S$1353=968,PR!$N$1073,IF($S$1353=969,PR!$N$1074,IF($S$1353=970,PR!$N$1075,IF($S$1353=971,PR!$N$1076,IF($S$1353=972,PR!$N$1077,IF($S$1353=973,PR!$N$1078,IF($S$1353=974,PR!$N$1082,IF($S$1353=975,PR!$N$1083,IF($S$1353=976,PR!$N$1084,IF($S$1353=977,PR!$N$1085,IF($S$1353=978,PR!$N$1086,IF($S$1353=979,PR!$N$1087,IF($S$1353=980,PR!$N$1088,IF($S$1353=981,PR!$N$1094,IF($S$1353=982,PR!$N$1095,IF($S$1353=983,PR!$N$1096,IF($S$1353=984,PR!$N$1097,IF($S$1353=985,PR!$N$1098,IF($S$1353=986,PR!$N$1099,IF($S$1353=987,PR!$N$1100,IF($S$1353=988,PR!$N$1101,IF($S$1353=989,PR!$N$1102,IF($S$1353=990,PR!$N$1103,IF($S$1353=991,PR!$N$1104,IF($S$1353=992,PR!$N$1105,IF($S$1353=993,PR!$N$1106,IF($S$1353=994,PR!$N$1107,IF($S$1353=995,PR!$N$1108,IF($S$1353=996,PR!$N$1109,IF($S$1353=997,PR!$N$1110,IF($S$1353=998,PR!$N$1111,IF($S$1353=999,PR!$N$1112,IF($S$1353=1000,PR!$N$1113,IF($S$1353=1001,PR!$N$1114,IF($S$1353=1002,PR!$N$1115,IF($S$1353=1003,PR!$N$1116,IF($S$1353=1004,PR!$N$1117,IF($S$1353=1005,PR!$N$1118,IF($S$1353=1006,PR!$N$1119,IF($S$1353=1007,PR!$N$1120,IF($S$1353=1008,PR!$N$1121,IF($S$1353=1009,PR!$N$1122,IF($S$1353=1010,PR!$N$1123,IF($S$1353=1011,PR!$N$1124,IF($S$1353=1012,PR!$N$1125,IF($S$1353=1013,PR!$N$1126,IF($S$1353=1014,PR!$N$1127,IF($S$1353=1015,PR!$N$1128,IF($S$1353=1016,PR!$N$1129,IF($S$1353=1017,PR!$N$1130,IF($S$1353=1018,PR!$N$1131,IF($S$1353=1019,PR!$N$1132,IF($S$1353=1020,PR!$N$1133,"-"))))))))))))))))))))))))))))))))))))))))))))))))))))))))))))</f>
        <v>0</v>
      </c>
      <c r="M1357" s="602">
        <f>IF($S$1353=961,PR!$O$1066,IF($S$1353=962,PR!$O$1067,IF($S$1353=963,PR!$O$1068,IF($S$1353=964,PR!$O$1069,IF($S$1353=965,PR!$O$1070,IF($S$1353=966,PR!$O$1071,IF($S$1353=967,PR!$O$1072,IF($S$1353=968,PR!$O$1073,IF($S$1353=969,PR!$O$1074,IF($S$1353=970,PR!$O$1075,IF($S$1353=971,PR!$O$1076,IF($S$1353=972,PR!$O$1077,IF($S$1353=973,PR!$O$1078,IF($S$1353=974,PR!$O$1082,IF($S$1353=975,PR!$O$1083,IF($S$1353=976,PR!$O$1084,IF($S$1353=977,PR!$O$1085,IF($S$1353=978,PR!$O$1086,IF($S$1353=979,PR!$O$1087,IF($S$1353=980,PR!$O$1088,IF($S$1353=981,PR!$O$1094,IF($S$1353=982,PR!$O$1095,IF($S$1353=983,PR!$O$1096,IF($S$1353=984,PR!$O$1097,IF($S$1353=985,PR!$O$1098,IF($S$1353=986,PR!$O$1099,IF($S$1353=987,PR!$O$1100,IF($S$1353=988,PR!$O$1101,IF($S$1353=989,PR!$O$1102,IF($S$1353=990,PR!$O$1103,IF($S$1353=991,PR!$O$1104,IF($S$1353=992,PR!$O$1105,IF($S$1353=993,PR!$O$1106,IF($S$1353=994,PR!$O$1107,IF($S$1353=995,PR!$O$1108,IF($S$1353=996,PR!$O$1109,IF($S$1353=997,PR!$O$1110,IF($S$1353=998,PR!$O$1111,IF($S$1353=999,PR!$O$1112,IF($S$1353=1000,PR!$O$1113,IF($S$1353=1001,PR!$O$1114,IF($S$1353=1002,PR!$O$1115,IF($S$1353=1003,PR!$O$1116,IF($S$1353=1004,PR!$O$1117,IF($S$1353=1005,PR!$O$1118,IF($S$1353=1006,PR!$O$1119,IF($S$1353=1007,PR!$O$1120,IF($S$1353=1008,PR!$O$1121,IF($S$1353=1009,PR!$O$1122,IF($S$1353=1010,PR!$O$1123,IF($S$1353=1011,PR!$O$1124,IF($S$1353=1012,PR!$O$1125,IF($S$1353=1013,PR!$O$1126,IF($S$1353=1014,PR!$O$1127,IF($S$1353=1015,PR!$O$1128,IF($S$1353=1016,PR!$O$1129,IF($S$1353=1017,PR!$O$1130,IF($S$1353=1018,PR!$O$1131,IF($S$1353=1019,PR!$O$1132,IF($S$1353=1020,PR!$O$1133,"-"))))))))))))))))))))))))))))))))))))))))))))))))))))))))))))</f>
        <v>0</v>
      </c>
      <c r="N1357" s="602">
        <f>IF($S$1353=961,PR!$P$1066,IF($S$1353=962,PR!$P$1067,IF($S$1353=963,PR!$P$1068,IF($S$1353=964,PR!$P$1069,IF($S$1353=965,PR!$P$1070,IF($S$1353=966,PR!$P$1071,IF($S$1353=967,PR!$P$1072,IF($S$1353=968,PR!$P$1073,IF($S$1353=969,PR!$P$1074,IF($S$1353=970,PR!$P$1075,IF($S$1353=971,PR!$P$1076,IF($S$1353=972,PR!$P$1077,IF($S$1353=973,PR!$P$1078,IF($S$1353=974,PR!$P$1082,IF($S$1353=975,PR!$P$1083,IF($S$1353=976,PR!$P$1084,IF($S$1353=977,PR!$P$1085,IF($S$1353=978,PR!$P$1086,IF($S$1353=979,PR!$P$1087,IF($S$1353=980,PR!$P$1088,IF($S$1353=981,PR!$P$1094,IF($S$1353=982,PR!$P$1095,IF($S$1353=983,PR!$P$1096,IF($S$1353=984,PR!$P$1097,IF($S$1353=985,PR!$P$1098,IF($S$1353=986,PR!$P$1099,IF($S$1353=987,PR!$P$1100,IF($S$1353=988,PR!$P$1101,IF($S$1353=989,PR!$P$1102,IF($S$1353=990,PR!$P$1103,IF($S$1353=991,PR!$P$1104,IF($S$1353=992,PR!$P$1105,IF($S$1353=993,PR!$P$1106,IF($S$1353=994,PR!$P$1107,IF($S$1353=995,PR!$P$1108,IF($S$1353=996,PR!$P$1109,IF($S$1353=997,PR!$P$1110,IF($S$1353=998,PR!$P$1111,IF($S$1353=999,PR!$P$1112,IF($S$1353=1000,PR!$P$1113,IF($S$1353=1001,PR!$P$1114,IF($S$1353=1002,PR!$P$1115,IF($S$1353=1003,PR!$P$1116,IF($S$1353=1004,PR!$P$1117,IF($S$1353=1005,PR!$P$1118,IF($S$1353=1006,PR!$P$1119,IF($S$1353=1007,PR!$P$1120,IF($S$1353=1008,PR!$P$1121,IF($S$1353=1009,PR!$P$1122,IF($S$1353=1010,PR!$P$1123,IF($S$1353=1011,PR!$P$1124,IF($S$1353=1012,PR!$P$1125,IF($S$1353=1013,PR!$P$1126,IF($S$1353=1014,PR!$P$1127,IF($S$1353=1015,PR!$P$1128,IF($S$1353=1016,PR!$P$1129,IF($S$1353=1017,PR!$P$1130,IF($S$1353=1018,PR!$P$1131,IF($S$1353=1019,PR!$P$1132,IF($S$1353=1020,PR!$P$1133,"-"))))))))))))))))))))))))))))))))))))))))))))))))))))))))))))</f>
        <v>0</v>
      </c>
      <c r="O1357" s="602">
        <f>IF($S$1353=961,PR!$Q$1066,IF($S$1353=962,PR!$Q$1067,IF($S$1353=963,PR!$Q$1068,IF($S$1353=964,PR!$Q$1069,IF($S$1353=965,PR!$Q$1070,IF($S$1353=966,PR!$Q$1071,IF($S$1353=967,PR!$Q$1072,IF($S$1353=968,PR!$Q$1073,IF($S$1353=969,PR!$Q$1074,IF($S$1353=970,PR!$Q$1075,IF($S$1353=971,PR!$Q$1076,IF($S$1353=972,PR!$Q$1077,IF($S$1353=973,PR!$Q$1078,IF($S$1353=974,PR!$Q$1082,IF($S$1353=975,PR!$Q$1083,IF($S$1353=976,PR!$Q$1084,IF($S$1353=977,PR!$Q$1085,IF($S$1353=978,PR!$Q$1086,IF($S$1353=979,PR!$Q$1087,IF($S$1353=980,PR!$Q$1088,IF($S$1353=981,PR!$Q$1094,IF($S$1353=982,PR!$Q$1095,IF($S$1353=983,PR!$Q$1096,IF($S$1353=984,PR!$Q$1097,IF($S$1353=985,PR!$Q$1098,IF($S$1353=986,PR!$Q$1099,IF($S$1353=987,PR!$Q$1100,IF($S$1353=988,PR!$Q$1101,IF($S$1353=989,PR!$Q$1102,IF($S$1353=990,PR!$Q$1103,IF($S$1353=991,PR!$Q$1104,IF($S$1353=992,PR!$Q$1105,IF($S$1353=993,PR!$Q$1106,IF($S$1353=994,PR!$Q$1107,IF($S$1353=995,PR!$Q$1108,IF($S$1353=996,PR!$Q$1109,IF($S$1353=997,PR!$Q$1110,IF($S$1353=998,PR!$Q$1111,IF($S$1353=999,PR!$Q$1112,IF($S$1353=1000,PR!$Q$1113,IF($S$1353=1001,PR!$Q$1114,IF($S$1353=1002,PR!$Q$1115,IF($S$1353=1003,PR!$Q$1116,IF($S$1353=1004,PR!$Q$1117,IF($S$1353=1005,PR!$Q$1118,IF($S$1353=1006,PR!$Q$1119,IF($S$1353=1007,PR!$Q$1120,IF($S$1353=1008,PR!$Q$1121,IF($S$1353=1009,PR!$Q$1122,IF($S$1353=1010,PR!$Q$1123,IF($S$1353=1011,PR!$Q$1124,IF($S$1353=1012,PR!$Q$1125,IF($S$1353=1013,PR!$Q$1126,IF($S$1353=1014,PR!$Q$1127,IF($S$1353=1015,PR!$Q$1128,IF($S$1353=1016,PR!$Q$1129,IF($S$1353=1017,PR!$Q$1130,IF($S$1353=1018,PR!$Q$1131,IF($S$1353=1019,PR!$Q$1132,IF($S$1353=1020,PR!$Q$1133,"-"))))))))))))))))))))))))))))))))))))))))))))))))))))))))))))</f>
        <v>19375</v>
      </c>
      <c r="P1357" s="602">
        <f>IF($S$1353=961,PR!$R$1066,IF($S$1353=962,PR!$R$1067,IF($S$1353=963,PR!$R$1068,IF($S$1353=964,PR!$R$1069,IF($S$1353=965,PR!$R$1070,IF($S$1353=966,PR!$R$1071,IF($S$1353=967,PR!$R$1072,IF($S$1353=968,PR!$R$1073,IF($S$1353=969,PR!$R$1074,IF($S$1353=970,PR!$R$1075,IF($S$1353=971,PR!$R$1076,IF($S$1353=972,PR!$R$1077,IF($S$1353=973,PR!$R$1078,IF($S$1353=974,PR!$R$1082,IF($S$1353=975,PR!$R$1083,IF($S$1353=976,PR!$R$1084,IF($S$1353=977,PR!$R$1085,IF($S$1353=978,PR!$R$1086,IF($S$1353=979,PR!$R$1087,IF($S$1353=980,PR!$R$1088,IF($S$1353=981,PR!$R$1094,IF($S$1353=982,PR!$R$1095,IF($S$1353=983,PR!$R$1096,IF($S$1353=984,PR!$R$1097,IF($S$1353=985,PR!$R$1098,IF($S$1353=986,PR!$R$1099,IF($S$1353=987,PR!$R$1100,IF($S$1353=988,PR!$R$1101,IF($S$1353=989,PR!$R$1102,IF($S$1353=990,PR!$R$1103,IF($S$1353=991,PR!$R$1104,IF($S$1353=992,PR!$R$1105,IF($S$1353=993,PR!$R$1106,IF($S$1353=994,PR!$R$1107,IF($S$1353=995,PR!$R$1108,IF($S$1353=996,PR!$R$1109,IF($S$1353=997,PR!$R$1110,IF($S$1353=998,PR!$R$1111,IF($S$1353=999,PR!$R$1112,IF($S$1353=1000,PR!$R$1113,IF($S$1353=1001,PR!$R$1114,IF($S$1353=1002,PR!$R$1115,IF($S$1353=1003,PR!$R$1116,IF($S$1353=1004,PR!$R$1117,IF($S$1353=1005,PR!$R$1118,IF($S$1353=1006,PR!$R$1119,IF($S$1353=1007,PR!$R$1120,IF($S$1353=1008,PR!$R$1121,IF($S$1353=1009,PR!$R$1122,IF($S$1353=1010,PR!$R$1123,IF($S$1353=1011,PR!$R$1124,IF($S$1353=1012,PR!$R$1125,IF($S$1353=1013,PR!$R$1126,IF($S$1353=1014,PR!$R$1127,IF($S$1353=1015,PR!$R$1128,IF($S$1353=1016,PR!$R$1129,IF($S$1353=1017,PR!$R$1130,IF($S$1353=1018,PR!$R$1131,IF($S$1353=1019,PR!$R$1132,IF($S$1353=1020,PR!$R$1133,"-"))))))))))))))))))))))))))))))))))))))))))))))))))))))))))))</f>
        <v>0</v>
      </c>
      <c r="Q1357" s="602">
        <f>IF($S$1353=961,PR!$S$1066,IF($S$1353=962,PR!$S$1067,IF($S$1353=963,PR!$S$1068,IF($S$1353=964,PR!$S$1069,IF($S$1353=965,PR!$S$1070,IF($S$1353=966,PR!$S$1071,IF($S$1353=967,PR!$S$1072,IF($S$1353=968,PR!$S$1073,IF($S$1353=969,PR!$S$1074,IF($S$1353=970,PR!$S$1075,IF($S$1353=971,PR!$S$1076,IF($S$1353=972,PR!$S$1077,IF($S$1353=973,PR!$S$1078,IF($S$1353=974,PR!$S$1082,IF($S$1353=975,PR!$S$1083,IF($S$1353=976,PR!$S$1084,IF($S$1353=977,PR!$S$1085,IF($S$1353=978,PR!$S$1086,IF($S$1353=979,PR!$S$1087,IF($S$1353=980,PR!$S$1088,IF($S$1353=981,PR!$S$1094,IF($S$1353=982,PR!$S$1095,IF($S$1353=983,PR!$S$1096,IF($S$1353=984,PR!$S$1097,IF($S$1353=985,PR!$S$1098,IF($S$1353=986,PR!$S$1099,IF($S$1353=987,PR!$S$1100,IF($S$1353=988,PR!$S$1101,IF($S$1353=989,PR!$S$1102,IF($S$1353=990,PR!$S$1103,IF($S$1353=991,PR!$S$1104,IF($S$1353=992,PR!$S$1105,IF($S$1353=993,PR!$S$1106,IF($S$1353=994,PR!$S$1107,IF($S$1353=995,PR!$S$1108,IF($S$1353=996,PR!$S$1109,IF($S$1353=997,PR!$S$1110,IF($S$1353=998,PR!$S$1111,IF($S$1353=999,PR!$S$1112,IF($S$1353=1000,PR!$S$1113,IF($S$1353=1001,PR!$S$1114,IF($S$1353=1002,PR!$S$1115,IF($S$1353=1003,PR!$S$1116,IF($S$1353=1004,PR!$S$1117,IF($S$1353=1005,PR!$S$1118,IF($S$1353=1006,PR!$S$1119,IF($S$1353=1007,PR!$S$1120,IF($S$1353=1008,PR!$S$1121,IF($S$1353=1009,PR!$S$1122,IF($S$1353=1010,PR!$S$1123,IF($S$1353=1011,PR!$S$1124,IF($S$1353=1012,PR!$S$1125,IF($S$1353=1013,PR!$S$1126,IF($S$1353=1014,PR!$S$1127,IF($S$1353=1015,PR!$S$1128,IF($S$1353=1016,PR!$S$1129,IF($S$1353=1017,PR!$S$1130,IF($S$1353=1018,PR!$S$1131,IF($S$1353=1019,PR!$S$1132,IF($S$1353=1020,PR!$S$1133,"-"))))))))))))))))))))))))))))))))))))))))))))))))))))))))))))</f>
        <v>0</v>
      </c>
      <c r="R1357" s="602">
        <f>IF($S$1353=961,PR!$T$1066,IF($S$1353=962,PR!$T$1067,IF($S$1353=963,PR!$T$1068,IF($S$1353=964,PR!$T$1069,IF($S$1353=965,PR!$T$1070,IF($S$1353=966,PR!$T$1071,IF($S$1353=967,PR!$T$1072,IF($S$1353=968,PR!$T$1073,IF($S$1353=969,PR!$T$1074,IF($S$1353=970,PR!$T$1075,IF($S$1353=971,PR!$T$1076,IF($S$1353=972,PR!$T$1077,IF($S$1353=973,PR!$T$1078,IF($S$1353=974,PR!$T$1082,IF($S$1353=975,PR!$T$1083,IF($S$1353=976,PR!$T$1084,IF($S$1353=977,PR!$T$1085,IF($S$1353=978,PR!$T$1086,IF($S$1353=979,PR!$T$1087,IF($S$1353=980,PR!$T$1088,IF($S$1353=981,PR!$T$1094,IF($S$1353=982,PR!$T$1095,IF($S$1353=983,PR!$T$1096,IF($S$1353=984,PR!$T$1097,IF($S$1353=985,PR!$T$1098,IF($S$1353=986,PR!$T$1099,IF($S$1353=987,PR!$T$1100,IF($S$1353=988,PR!$T$1101,IF($S$1353=989,PR!$T$1102,IF($S$1353=990,PR!$T$1103,IF($S$1353=991,PR!$T$1104,IF($S$1353=992,PR!$T$1105,IF($S$1353=993,PR!$T$1106,IF($S$1353=994,PR!$T$1107,IF($S$1353=995,PR!$T$1108,IF($S$1353=996,PR!$T$1109,IF($S$1353=997,PR!$T$1110,IF($S$1353=998,PR!$T$1111,IF($S$1353=999,PR!$T$1112,IF($S$1353=1000,PR!$T$1113,IF($S$1353=1001,PR!$T$1114,IF($S$1353=1002,PR!$T$1115,IF($S$1353=1003,PR!$T$1116,IF($S$1353=1004,PR!$T$1117,IF($S$1353=1005,PR!$T$1118,IF($S$1353=1006,PR!$T$1119,IF($S$1353=1007,PR!$T$1120,IF($S$1353=1008,PR!$T$1121,IF($S$1353=1009,PR!$T$1122,IF($S$1353=1010,PR!$T$1123,IF($S$1353=1011,PR!$T$1124,IF($S$1353=1012,PR!$T$1125,IF($S$1353=1013,PR!$T$1126,IF($S$1353=1014,PR!$T$1127,IF($S$1353=1015,PR!$T$1128,IF($S$1353=1016,PR!$T$1129,IF($S$1353=1017,PR!$T$1130,IF($S$1353=1018,PR!$T$1131,IF($S$1353=1019,PR!$T$1132,IF($S$1353=1020,PR!$T$1133,"-"))))))))))))))))))))))))))))))))))))))))))))))))))))))))))))</f>
        <v>0</v>
      </c>
      <c r="S1357" s="602">
        <f>IF($S$1353=961,PR!$U$1066,IF($S$1353=962,PR!$U$1067,IF($S$1353=963,PR!$U$1068,IF($S$1353=964,PR!$U$1069,IF($S$1353=965,PR!$U$1070,IF($S$1353=966,PR!$U$1071,IF($S$1353=967,PR!$U$1072,IF($S$1353=968,PR!$U$1073,IF($S$1353=969,PR!$U$1074,IF($S$1353=970,PR!$U$1075,IF($S$1353=971,PR!$U$1076,IF($S$1353=972,PR!$U$1077,IF($S$1353=973,PR!$U$1078,IF($S$1353=974,PR!$U$1082,IF($S$1353=975,PR!$U$1083,IF($S$1353=976,PR!$U$1084,IF($S$1353=977,PR!$U$1085,IF($S$1353=978,PR!$U$1086,IF($S$1353=979,PR!$U$1087,IF($S$1353=980,PR!$U$1088,IF($S$1353=981,PR!$U$1094,IF($S$1353=982,PR!$U$1095,IF($S$1353=983,PR!$U$1096,IF($S$1353=984,PR!$U$1097,IF($S$1353=985,PR!$U$1098,IF($S$1353=986,PR!$U$1099,IF($S$1353=987,PR!$U$1100,IF($S$1353=988,PR!$U$1101,IF($S$1353=989,PR!$U$1102,IF($S$1353=990,PR!$U$1103,IF($S$1353=991,PR!$U$1104,IF($S$1353=992,PR!$U$1105,IF($S$1353=993,PR!$U$1106,IF($S$1353=994,PR!$U$1107,IF($S$1353=995,PR!$U$1108,IF($S$1353=996,PR!$U$1109,IF($S$1353=997,PR!$U$1110,IF($S$1353=998,PR!$U$1111,IF($S$1353=999,PR!$U$1112,IF($S$1353=1000,PR!$U$1113,IF($S$1353=1001,PR!$U$1114,IF($S$1353=1002,PR!$U$1115,IF($S$1353=1003,PR!$U$1116,IF($S$1353=1004,PR!$U$1117,IF($S$1353=1005,PR!$U$1118,IF($S$1353=1006,PR!$U$1119,IF($S$1353=1007,PR!$U$1120,IF($S$1353=1008,PR!$U$1121,IF($S$1353=1009,PR!$U$1122,IF($S$1353=1010,PR!$U$1123,IF($S$1353=1011,PR!$U$1124,IF($S$1353=1012,PR!$U$1125,IF($S$1353=1013,PR!$U$1126,IF($S$1353=1014,PR!$U$1127,IF($S$1353=1015,PR!$U$1128,IF($S$1353=1016,PR!$U$1129,IF($S$1353=1017,PR!$U$1130,IF($S$1353=1018,PR!$U$1131,IF($S$1353=1019,PR!$U$1132,IF($S$1353=1020,PR!$U$1133,"-"))))))))))))))))))))))))))))))))))))))))))))))))))))))))))))</f>
        <v>0</v>
      </c>
      <c r="T1357" s="580"/>
      <c r="U1357" s="580"/>
      <c r="V1357" s="32"/>
      <c r="W1357" s="32"/>
      <c r="X1357" s="32"/>
    </row>
    <row r="1358" spans="2:24" x14ac:dyDescent="0.25">
      <c r="B1358" s="580"/>
      <c r="C1358" s="603"/>
      <c r="D1358" s="604"/>
      <c r="E1358" s="604"/>
      <c r="F1358" s="604"/>
      <c r="G1358" s="604"/>
      <c r="H1358" s="604"/>
      <c r="I1358" s="604"/>
      <c r="J1358" s="604"/>
      <c r="K1358" s="604"/>
      <c r="L1358" s="604"/>
      <c r="M1358" s="604"/>
      <c r="N1358" s="604"/>
      <c r="O1358" s="604"/>
      <c r="P1358" s="604"/>
      <c r="Q1358" s="604"/>
      <c r="R1358" s="605"/>
      <c r="S1358" s="605"/>
      <c r="T1358" s="580"/>
      <c r="U1358" s="580"/>
      <c r="V1358" s="32"/>
      <c r="W1358" s="32"/>
      <c r="X1358" s="32"/>
    </row>
    <row r="1359" spans="2:24" ht="15.75" thickBot="1" x14ac:dyDescent="0.3">
      <c r="B1359" s="580"/>
      <c r="C1359" s="600" t="str">
        <f>N!$C$21</f>
        <v>GENEITH</v>
      </c>
      <c r="D1359" s="600" t="str">
        <f>N!$C$22</f>
        <v>GINOS</v>
      </c>
      <c r="E1359" s="600" t="str">
        <f>N!$C$23</f>
        <v>GSK</v>
      </c>
      <c r="F1359" s="600" t="str">
        <f>N!$C$24</f>
        <v>GLOBORG</v>
      </c>
      <c r="G1359" s="600" t="str">
        <f>N!$C$25</f>
        <v>GOODNEWS</v>
      </c>
      <c r="H1359" s="600" t="str">
        <f>N!$C$26</f>
        <v>GREENLIFE</v>
      </c>
      <c r="I1359" s="600" t="str">
        <f>N!$C$27</f>
        <v>HLINE</v>
      </c>
      <c r="J1359" s="600" t="str">
        <f>N!$C$28</f>
        <v>ROTECH</v>
      </c>
      <c r="K1359" s="600" t="str">
        <f>N!$C$29</f>
        <v>ISN</v>
      </c>
      <c r="L1359" s="600" t="str">
        <f>N!$C$30</f>
        <v>JAWA</v>
      </c>
      <c r="M1359" s="600" t="str">
        <f>N!$C$31</f>
        <v>LAYO</v>
      </c>
      <c r="N1359" s="600" t="str">
        <f>N!$C$32</f>
        <v>LEADWAY</v>
      </c>
      <c r="O1359" s="600" t="str">
        <f>N!$C$33</f>
        <v>LHV</v>
      </c>
      <c r="P1359" s="600" t="str">
        <f>N!$C$34</f>
        <v>MANOLA</v>
      </c>
      <c r="Q1359" s="600" t="str">
        <f>N!$C$35</f>
        <v>MARCSON</v>
      </c>
      <c r="R1359" s="600" t="str">
        <f>N!$C$36</f>
        <v>M&amp;B</v>
      </c>
      <c r="S1359" s="600" t="str">
        <f>N!$C$37</f>
        <v>MTRUST</v>
      </c>
      <c r="T1359" s="580"/>
      <c r="U1359" s="580"/>
      <c r="V1359" s="32"/>
      <c r="W1359" s="32"/>
      <c r="X1359" s="32"/>
    </row>
    <row r="1360" spans="2:24" ht="15.75" thickBot="1" x14ac:dyDescent="0.3">
      <c r="B1360" s="580"/>
      <c r="C1360" s="602">
        <f>IF($S$1353=961,PR!$V$1066,IF($S$1353=962,PR!$V$1067,IF($S$1353=963,PR!$V$1068,IF($S$1353=964,PR!$V$1069,IF($S$1353=965,PR!$V$1070,IF($S$1353=966,PR!$V$1071,IF($S$1353=967,PR!$V$1072,IF($S$1353=968,PR!$V$1073,IF($S$1353=969,PR!$V$1074,IF($S$1353=970,PR!$V$1075,IF($S$1353=971,PR!$V$1076,IF($S$1353=972,PR!$V$1077,IF($S$1353=973,PR!$V$1078,IF($S$1353=974,PR!$V$1082,IF($S$1353=975,PR!$V$1083,IF($S$1353=976,PR!$V$1084,IF($S$1353=977,PR!$V$1085,IF($S$1353=978,PR!$V$1086,IF($S$1353=979,PR!$V$1087,IF($S$1353=980,PR!$V$1088,IF($S$1353=981,PR!$V$1094,IF($S$1353=982,PR!$V$1095,IF($S$1353=983,PR!$V$1096,IF($S$1353=984,PR!$V$1097,IF($S$1353=985,PR!$V$1098,IF($S$1353=986,PR!$V$1099,IF($S$1353=987,PR!$V$1100,IF($S$1353=988,PR!$V$1101,IF($S$1353=989,PR!$V$1102,IF($S$1353=990,PR!$V$1103,IF($S$1353=991,PR!$V$1104,IF($S$1353=992,PR!$V$1105,IF($S$1353=993,PR!$V$1106,IF($S$1353=994,PR!$V$1107,IF($S$1353=995,PR!$V$1108,IF($S$1353=996,PR!$V$1109,IF($S$1353=997,PR!$V$1110,IF($S$1353=998,PR!$V$1111,IF($S$1353=999,PR!$V$1112,IF($S$1353=1000,PR!$V$1113,IF($S$1353=1001,PR!$V$1114,IF($S$1353=1002,PR!$V$1115,IF($S$1353=1003,PR!$V$1116,IF($S$1353=1004,PR!$V$1117,IF($S$1353=1005,PR!$V$1118,IF($S$1353=1006,PR!$V$1119,IF($S$1353=1007,PR!$V$1120,IF($S$1353=1008,PR!$V$1121,IF($S$1353=1009,PR!$V$1122,IF($S$1353=1010,PR!$V$1123,IF($S$1353=1011,PR!$V$1124,IF($S$1353=1012,PR!$V$1125,IF($S$1353=1013,PR!$V$1126,IF($S$1353=1014,PR!$V$1127,IF($S$1353=1015,PR!$V$1128,IF($S$1353=1016,PR!$V$1129,IF($S$1353=1017,PR!$V$1130,IF($S$1353=1018,PR!$V$1131,IF($S$1353=1019,PR!$V$1132,IF($S$1353=1020,PR!$V$1133,"-"))))))))))))))))))))))))))))))))))))))))))))))))))))))))))))</f>
        <v>0</v>
      </c>
      <c r="D1360" s="602">
        <f>IF($S$1353=961,PR!$W$1066,IF($S$1353=962,PR!$W$1067,IF($S$1353=963,PR!$W$1068,IF($S$1353=964,PR!$W$1069,IF($S$1353=965,PR!$W$1070,IF($S$1353=966,PR!$W$1071,IF($S$1353=967,PR!$W$1072,IF($S$1353=968,PR!$W$1073,IF($S$1353=969,PR!$W$1074,IF($S$1353=970,PR!$W$1075,IF($S$1353=971,PR!$W$1076,IF($S$1353=972,PR!$W$1077,IF($S$1353=973,PR!$W$1078,IF($S$1353=974,PR!$W$1082,IF($S$1353=975,PR!$W$1083,IF($S$1353=976,PR!$W$1084,IF($S$1353=977,PR!$W$1085,IF($S$1353=978,PR!$W$1086,IF($S$1353=979,PR!$W$1087,IF($S$1353=980,PR!$W$1088,IF($S$1353=981,PR!$W$1094,IF($S$1353=982,PR!$W$1095,IF($S$1353=983,PR!$W$1096,IF($S$1353=984,PR!$W$1097,IF($S$1353=985,PR!$W$1098,IF($S$1353=986,PR!$W$1099,IF($S$1353=987,PR!$W$1100,IF($S$1353=988,PR!$W$1101,IF($S$1353=989,PR!$W$1102,IF($S$1353=990,PR!$W$1103,IF($S$1353=991,PR!$W$1104,IF($S$1353=992,PR!$W$1105,IF($S$1353=993,PR!$W$1106,IF($S$1353=994,PR!$W$1107,IF($S$1353=995,PR!$W$1108,IF($S$1353=996,PR!$W$1109,IF($S$1353=997,PR!$W$1110,IF($S$1353=998,PR!$W$1111,IF($S$1353=999,PR!$W$1112,IF($S$1353=1000,PR!$W$1113,IF($S$1353=1001,PR!$W$1114,IF($S$1353=1002,PR!$W$1115,IF($S$1353=1003,PR!$W$1116,IF($S$1353=1004,PR!$W$1117,IF($S$1353=1005,PR!$W$1118,IF($S$1353=1006,PR!$W$1119,IF($S$1353=1007,PR!$W$1120,IF($S$1353=1008,PR!$W$1121,IF($S$1353=1009,PR!$W$1122,IF($S$1353=1010,PR!$W$1123,IF($S$1353=1011,PR!$W$1124,IF($S$1353=1012,PR!$W$1125,IF($S$1353=1013,PR!$W$1126,IF($S$1353=1014,PR!$W$1127,IF($S$1353=1015,PR!$W$1128,IF($S$1353=1016,PR!$W$1129,IF($S$1353=1017,PR!$W$1130,IF($S$1353=1018,PR!$W$1131,IF($S$1353=1019,PR!$W$1132,IF($S$1353=1020,PR!$W$1133,"-"))))))))))))))))))))))))))))))))))))))))))))))))))))))))))))</f>
        <v>0</v>
      </c>
      <c r="E1360" s="602">
        <f>IF($S$1353=961,PR!$X$1066,IF($S$1353=962,PR!$X$1067,IF($S$1353=963,PR!$X$1068,IF($S$1353=964,PR!$X$1069,IF($S$1353=965,PR!$X$1070,IF($S$1353=966,PR!$X$1071,IF($S$1353=967,PR!$X$1072,IF($S$1353=968,PR!$X$1073,IF($S$1353=969,PR!$X$1074,IF($S$1353=970,PR!$X$1075,IF($S$1353=971,PR!$X$1076,IF($S$1353=972,PR!$X$1077,IF($S$1353=973,PR!$X$1078,IF($S$1353=974,PR!$X$1082,IF($S$1353=975,PR!$X$1083,IF($S$1353=976,PR!$X$1084,IF($S$1353=977,PR!$X$1085,IF($S$1353=978,PR!$X$1086,IF($S$1353=979,PR!$X$1087,IF($S$1353=980,PR!$X$1088,IF($S$1353=981,PR!$X$1094,IF($S$1353=982,PR!$X$1095,IF($S$1353=983,PR!$X$1096,IF($S$1353=984,PR!$X$1097,IF($S$1353=985,PR!$X$1098,IF($S$1353=986,PR!$X$1099,IF($S$1353=987,PR!$X$1100,IF($S$1353=988,PR!$X$1101,IF($S$1353=989,PR!$X$1102,IF($S$1353=990,PR!$X$1103,IF($S$1353=991,PR!$X$1104,IF($S$1353=992,PR!$X$1105,IF($S$1353=993,PR!$X$1106,IF($S$1353=994,PR!$X$1107,IF($S$1353=995,PR!$X$1108,IF($S$1353=996,PR!$X$1109,IF($S$1353=997,PR!$X$1110,IF($S$1353=998,PR!$X$1111,IF($S$1353=999,PR!$X$1112,IF($S$1353=1000,PR!$X$1113,IF($S$1353=1001,PR!$X$1114,IF($S$1353=1002,PR!$X$1115,IF($S$1353=1003,PR!$X$1116,IF($S$1353=1004,PR!$X$1117,IF($S$1353=1005,PR!$X$1118,IF($S$1353=1006,PR!$X$1119,IF($S$1353=1007,PR!$X$1120,IF($S$1353=1008,PR!$X$1121,IF($S$1353=1009,PR!$X$1122,IF($S$1353=1010,PR!$X$1123,IF($S$1353=1011,PR!$X$1124,IF($S$1353=1012,PR!$X$1125,IF($S$1353=1013,PR!$X$1126,IF($S$1353=1014,PR!$X$1127,IF($S$1353=1015,PR!$X$1128,IF($S$1353=1016,PR!$X$1129,IF($S$1353=1017,PR!$X$1130,IF($S$1353=1018,PR!$X$1131,IF($S$1353=1019,PR!$X$1132,IF($S$1353=1020,PR!$X$1133,"-"))))))))))))))))))))))))))))))))))))))))))))))))))))))))))))</f>
        <v>0</v>
      </c>
      <c r="F1360" s="602">
        <f>IF($S$1353=961,PR!$Y$1066,IF($S$1353=962,PR!$Y$1067,IF($S$1353=963,PR!$Y$1068,IF($S$1353=964,PR!$Y$1069,IF($S$1353=965,PR!$Y$1070,IF($S$1353=966,PR!$Y$1071,IF($S$1353=967,PR!$Y$1072,IF($S$1353=968,PR!$Y$1073,IF($S$1353=969,PR!$Y$1074,IF($S$1353=970,PR!$Y$1075,IF($S$1353=971,PR!$Y$1076,IF($S$1353=972,PR!$Y$1077,IF($S$1353=973,PR!$Y$1078,IF($S$1353=974,PR!$Y$1082,IF($S$1353=975,PR!$Y$1083,IF($S$1353=976,PR!$Y$1084,IF($S$1353=977,PR!$Y$1085,IF($S$1353=978,PR!$Y$1086,IF($S$1353=979,PR!$Y$1087,IF($S$1353=980,PR!$Y$1088,IF($S$1353=981,PR!$Y$1094,IF($S$1353=982,PR!$Y$1095,IF($S$1353=983,PR!$Y$1096,IF($S$1353=984,PR!$Y$1097,IF($S$1353=985,PR!$Y$1098,IF($S$1353=986,PR!$Y$1099,IF($S$1353=987,PR!$Y$1100,IF($S$1353=988,PR!$Y$1101,IF($S$1353=989,PR!$Y$1102,IF($S$1353=990,PR!$Y$1103,IF($S$1353=991,PR!$Y$1104,IF($S$1353=992,PR!$Y$1105,IF($S$1353=993,PR!$Y$1106,IF($S$1353=994,PR!$Y$1107,IF($S$1353=995,PR!$Y$1108,IF($S$1353=996,PR!$Y$1109,IF($S$1353=997,PR!$Y$1110,IF($S$1353=998,PR!$Y$1111,IF($S$1353=999,PR!$Y$1112,IF($S$1353=1000,PR!$Y$1113,IF($S$1353=1001,PR!$Y$1114,IF($S$1353=1002,PR!$Y$1115,IF($S$1353=1003,PR!$Y$1116,IF($S$1353=1004,PR!$Y$1117,IF($S$1353=1005,PR!$Y$1118,IF($S$1353=1006,PR!$Y$1119,IF($S$1353=1007,PR!$Y$1120,IF($S$1353=1008,PR!$Y$1121,IF($S$1353=1009,PR!$Y$1122,IF($S$1353=1010,PR!$Y$1123,IF($S$1353=1011,PR!$Y$1124,IF($S$1353=1012,PR!$Y$1125,IF($S$1353=1013,PR!$Y$1126,IF($S$1353=1014,PR!$Y$1127,IF($S$1353=1015,PR!$Y$1128,IF($S$1353=1016,PR!$Y$1129,IF($S$1353=1017,PR!$Y$1130,IF($S$1353=1018,PR!$Y$1131,IF($S$1353=1019,PR!$Y$1132,IF($S$1353=1020,PR!$Y$1133,"-"))))))))))))))))))))))))))))))))))))))))))))))))))))))))))))</f>
        <v>0</v>
      </c>
      <c r="G1360" s="602">
        <f>IF($S$1353=961,PR!$Z$1066,IF($S$1353=962,PR!$Z$1067,IF($S$1353=963,PR!$Z$1068,IF($S$1353=964,PR!$Z$1069,IF($S$1353=965,PR!$Z$1070,IF($S$1353=966,PR!$Z$1071,IF($S$1353=967,PR!$Z$1072,IF($S$1353=968,PR!$Z$1073,IF($S$1353=969,PR!$Z$1074,IF($S$1353=970,PR!$Z$1075,IF($S$1353=971,PR!$Z$1076,IF($S$1353=972,PR!$Z$1077,IF($S$1353=973,PR!$Z$1078,IF($S$1353=974,PR!$Z$1082,IF($S$1353=975,PR!$Z$1083,IF($S$1353=976,PR!$Z$1084,IF($S$1353=977,PR!$Z$1085,IF($S$1353=978,PR!$Z$1086,IF($S$1353=979,PR!$Z$1087,IF($S$1353=980,PR!$Z$1088,IF($S$1353=981,PR!$Z$1094,IF($S$1353=982,PR!$Z$1095,IF($S$1353=983,PR!$Z$1096,IF($S$1353=984,PR!$Z$1097,IF($S$1353=985,PR!$Z$1098,IF($S$1353=986,PR!$Z$1099,IF($S$1353=987,PR!$Z$1100,IF($S$1353=988,PR!$Z$1101,IF($S$1353=989,PR!$Z$1102,IF($S$1353=990,PR!$Z$1103,IF($S$1353=991,PR!$Z$1104,IF($S$1353=992,PR!$Z$1105,IF($S$1353=993,PR!$Z$1106,IF($S$1353=994,PR!$Z$1107,IF($S$1353=995,PR!$Z$1108,IF($S$1353=996,PR!$Z$1109,IF($S$1353=997,PR!$Z$1110,IF($S$1353=998,PR!$Z$1111,IF($S$1353=999,PR!$Z$1112,IF($S$1353=1000,PR!$Z$1113,IF($S$1353=1001,PR!$Z$1114,IF($S$1353=1002,PR!$Z$1115,IF($S$1353=1003,PR!$Z$1116,IF($S$1353=1004,PR!$Z$1117,IF($S$1353=1005,PR!$Z$1118,IF($S$1353=1006,PR!$Z$1119,IF($S$1353=1007,PR!$Z$1120,IF($S$1353=1008,PR!$Z$1121,IF($S$1353=1009,PR!$Z$1122,IF($S$1353=1010,PR!$Z$1123,IF($S$1353=1011,PR!$Z$1124,IF($S$1353=1012,PR!$Z$1125,IF($S$1353=1013,PR!$Z$1126,IF($S$1353=1014,PR!$Z$1127,IF($S$1353=1015,PR!$Z$1128,IF($S$1353=1016,PR!$Z$1129,IF($S$1353=1017,PR!$Z$1130,IF($S$1353=1018,PR!$Z$1131,IF($S$1353=1019,PR!$Z$1132,IF($S$1353=1020,PR!$Z$1133,"-"))))))))))))))))))))))))))))))))))))))))))))))))))))))))))))</f>
        <v>0</v>
      </c>
      <c r="H1360" s="602">
        <f>IF($S$1353=961,PR!$AA$1066,IF($S$1353=962,PR!$AA$1067,IF($S$1353=963,PR!$AA$1068,IF($S$1353=964,PR!$AA$1069,IF($S$1353=965,PR!$AA$1070,IF($S$1353=966,PR!$AA$1071,IF($S$1353=967,PR!$AA$1072,IF($S$1353=968,PR!$AA$1073,IF($S$1353=969,PR!$AA$1074,IF($S$1353=970,PR!$AA$1075,IF($S$1353=971,PR!$AA$1076,IF($S$1353=972,PR!$AA$1077,IF($S$1353=973,PR!$AA$1078,IF($S$1353=974,PR!$AA$1082,IF($S$1353=975,PR!$AA$1083,IF($S$1353=976,PR!$AA$1084,IF($S$1353=977,PR!$AA$1085,IF($S$1353=978,PR!$AA$1086,IF($S$1353=979,PR!$AA$1087,IF($S$1353=980,PR!$AA$1088,IF($S$1353=981,PR!$AA$1094,IF($S$1353=982,PR!$AA$1095,IF($S$1353=983,PR!$AA$1096,IF($S$1353=984,PR!$AA$1097,IF($S$1353=985,PR!$AA$1098,IF($S$1353=986,PR!$AA$1099,IF($S$1353=987,PR!$AA$1100,IF($S$1353=988,PR!$AA$1101,IF($S$1353=989,PR!$AA$1102,IF($S$1353=990,PR!$AA$1103,IF($S$1353=991,PR!$AA$1104,IF($S$1353=992,PR!$AA$1105,IF($S$1353=993,PR!$AA$1106,IF($S$1353=994,PR!$AA$1107,IF($S$1353=995,PR!$AA$1108,IF($S$1353=996,PR!$AA$1109,IF($S$1353=997,PR!$AA$1110,IF($S$1353=998,PR!$AA$1111,IF($S$1353=999,PR!$AA$1112,IF($S$1353=1000,PR!$AA$1113,IF($S$1353=1001,PR!$AA$1114,IF($S$1353=1002,PR!$AA$1115,IF($S$1353=1003,PR!$AA$1116,IF($S$1353=1004,PR!$AA$1117,IF($S$1353=1005,PR!$AA$1118,IF($S$1353=1006,PR!$AA$1119,IF($S$1353=1007,PR!$AA$1120,IF($S$1353=1008,PR!$AA$1121,IF($S$1353=1009,PR!$AA$1122,IF($S$1353=1010,PR!$AA$1123,IF($S$1353=1011,PR!$AA$1124,IF($S$1353=1012,PR!$AA$1125,IF($S$1353=1013,PR!$AA$1126,IF($S$1353=1014,PR!$AA$1127,IF($S$1353=1015,PR!$AA$1128,IF($S$1353=1016,PR!$AA$1129,IF($S$1353=1017,PR!$AA$1130,IF($S$1353=1018,PR!$AA$1131,IF($S$1353=1019,PR!$AA$1132,IF($S$1353=1020,PR!$AA$1133,"-"))))))))))))))))))))))))))))))))))))))))))))))))))))))))))))</f>
        <v>0</v>
      </c>
      <c r="I1360" s="602">
        <f>IF($S$1353=961,PR!$AB$1066,IF($S$1353=962,PR!$AB$1067,IF($S$1353=963,PR!$AB$1068,IF($S$1353=964,PR!$AB$1069,IF($S$1353=965,PR!$AB$1070,IF($S$1353=966,PR!$AB$1071,IF($S$1353=967,PR!$AB$1072,IF($S$1353=968,PR!$AB$1073,IF($S$1353=969,PR!$AB$1074,IF($S$1353=970,PR!$AB$1075,IF($S$1353=971,PR!$AB$1076,IF($S$1353=972,PR!$AB$1077,IF($S$1353=973,PR!$AB$1078,IF($S$1353=974,PR!$AB$1082,IF($S$1353=975,PR!$AB$1083,IF($S$1353=976,PR!$AB$1084,IF($S$1353=977,PR!$AB$1085,IF($S$1353=978,PR!$AB$1086,IF($S$1353=979,PR!$AB$1087,IF($S$1353=980,PR!$AB$1088,IF($S$1353=981,PR!$AB$1094,IF($S$1353=982,PR!$AB$1095,IF($S$1353=983,PR!$AB$1096,IF($S$1353=984,PR!$AB$1097,IF($S$1353=985,PR!$AB$1098,IF($S$1353=986,PR!$AB$1099,IF($S$1353=987,PR!$AB$1100,IF($S$1353=988,PR!$AB$1101,IF($S$1353=989,PR!$AB$1102,IF($S$1353=990,PR!$AB$1103,IF($S$1353=991,PR!$AB$1104,IF($S$1353=992,PR!$AB$1105,IF($S$1353=993,PR!$AB$1106,IF($S$1353=994,PR!$AB$1107,IF($S$1353=995,PR!$AB$1108,IF($S$1353=996,PR!$AB$1109,IF($S$1353=997,PR!$AB$1110,IF($S$1353=998,PR!$AB$1111,IF($S$1353=999,PR!$AB$1112,IF($S$1353=1000,PR!$AB$1113,IF($S$1353=1001,PR!$AB$1114,IF($S$1353=1002,PR!$AB$1115,IF($S$1353=1003,PR!$AB$1116,IF($S$1353=1004,PR!$AB$1117,IF($S$1353=1005,PR!$AB$1118,IF($S$1353=1006,PR!$AB$1119,IF($S$1353=1007,PR!$AB$1120,IF($S$1353=1008,PR!$AB$1121,IF($S$1353=1009,PR!$AB$1122,IF($S$1353=1010,PR!$AB$1123,IF($S$1353=1011,PR!$AB$1124,IF($S$1353=1012,PR!$AB$1125,IF($S$1353=1013,PR!$AB$1126,IF($S$1353=1014,PR!$AB$1127,IF($S$1353=1015,PR!$AB$1128,IF($S$1353=1016,PR!$AB$1129,IF($S$1353=1017,PR!$AB$1130,IF($S$1353=1018,PR!$AB$1131,IF($S$1353=1019,PR!$AB$1132,IF($S$1353=1020,PR!$AB$1133,"-"))))))))))))))))))))))))))))))))))))))))))))))))))))))))))))</f>
        <v>0</v>
      </c>
      <c r="J1360" s="602">
        <f>IF($S$1353=961,PR!$AC$1066,IF($S$1353=962,PR!$AC$1067,IF($S$1353=963,PR!$AC$1068,IF($S$1353=964,PR!$AC$1069,IF($S$1353=965,PR!$AC$1070,IF($S$1353=966,PR!$AC$1071,IF($S$1353=967,PR!$AC$1072,IF($S$1353=968,PR!$AC$1073,IF($S$1353=969,PR!$AC$1074,IF($S$1353=970,PR!$AC$1075,IF($S$1353=971,PR!$AC$1076,IF($S$1353=972,PR!$AC$1077,IF($S$1353=973,PR!$AC$1078,IF($S$1353=974,PR!$AC$1082,IF($S$1353=975,PR!$AC$1083,IF($S$1353=976,PR!$AC$1084,IF($S$1353=977,PR!$AC$1085,IF($S$1353=978,PR!$AC$1086,IF($S$1353=979,PR!$AC$1087,IF($S$1353=980,PR!$AC$1088,IF($S$1353=981,PR!$AC$1094,IF($S$1353=982,PR!$AC$1095,IF($S$1353=983,PR!$AC$1096,IF($S$1353=984,PR!$AC$1097,IF($S$1353=985,PR!$AC$1098,IF($S$1353=986,PR!$AC$1099,IF($S$1353=987,PR!$AC$1100,IF($S$1353=988,PR!$AC$1101,IF($S$1353=989,PR!$AC$1102,IF($S$1353=990,PR!$AC$1103,IF($S$1353=991,PR!$AC$1104,IF($S$1353=992,PR!$AC$1105,IF($S$1353=993,PR!$AC$1106,IF($S$1353=994,PR!$AC$1107,IF($S$1353=995,PR!$AC$1108,IF($S$1353=996,PR!$AC$1109,IF($S$1353=997,PR!$AC$1110,IF($S$1353=998,PR!$AC$1111,IF($S$1353=999,PR!$AC$1112,IF($S$1353=1000,PR!$AC$1113,IF($S$1353=1001,PR!$AC$1114,IF($S$1353=1002,PR!$AC$1115,IF($S$1353=1003,PR!$AC$1116,IF($S$1353=1004,PR!$AC$1117,IF($S$1353=1005,PR!$AC$1118,IF($S$1353=1006,PR!$AC$1119,IF($S$1353=1007,PR!$AC$1120,IF($S$1353=1008,PR!$AC$1121,IF($S$1353=1009,PR!$AC$1122,IF($S$1353=1010,PR!$AC$1123,IF($S$1353=1011,PR!$AC$1124,IF($S$1353=1012,PR!$AC$1125,IF($S$1353=1013,PR!$AC$1126,IF($S$1353=1014,PR!$AC$1127,IF($S$1353=1015,PR!$AC$1128,IF($S$1353=1016,PR!$AC$1129,IF($S$1353=1017,PR!$AC$1130,IF($S$1353=1018,PR!$AC$1131,IF($S$1353=1019,PR!$AC$1132,IF($S$1353=1020,PR!$AC$1133,"-"))))))))))))))))))))))))))))))))))))))))))))))))))))))))))))</f>
        <v>0</v>
      </c>
      <c r="K1360" s="602">
        <f>IF($S$1353=961,PR!$AD$1066,IF($S$1353=962,PR!$AD$1067,IF($S$1353=963,PR!$AD$1068,IF($S$1353=964,PR!$AD$1069,IF($S$1353=965,PR!$AD$1070,IF($S$1353=966,PR!$AD$1071,IF($S$1353=967,PR!$AD$1072,IF($S$1353=968,PR!$AD$1073,IF($S$1353=969,PR!$AD$1074,IF($S$1353=970,PR!$AD$1075,IF($S$1353=971,PR!$AD$1076,IF($S$1353=972,PR!$AD$1077,IF($S$1353=973,PR!$AD$1078,IF($S$1353=974,PR!$AD$1082,IF($S$1353=975,PR!$AD$1083,IF($S$1353=976,PR!$AD$1084,IF($S$1353=977,PR!$AD$1085,IF($S$1353=978,PR!$AD$1086,IF($S$1353=979,PR!$AD$1087,IF($S$1353=980,PR!$AD$1088,IF($S$1353=981,PR!$AD$1094,IF($S$1353=982,PR!$AD$1095,IF($S$1353=983,PR!$AD$1096,IF($S$1353=984,PR!$AD$1097,IF($S$1353=985,PR!$AD$1098,IF($S$1353=986,PR!$AD$1099,IF($S$1353=987,PR!$AD$1100,IF($S$1353=988,PR!$AD$1101,IF($S$1353=989,PR!$AD$1102,IF($S$1353=990,PR!$AD$1103,IF($S$1353=991,PR!$AD$1104,IF($S$1353=992,PR!$AD$1105,IF($S$1353=993,PR!$AD$1106,IF($S$1353=994,PR!$AD$1107,IF($S$1353=995,PR!$AD$1108,IF($S$1353=996,PR!$AD$1109,IF($S$1353=997,PR!$AD$1110,IF($S$1353=998,PR!$AD$1111,IF($S$1353=999,PR!$AD$1112,IF($S$1353=1000,PR!$AD$1113,IF($S$1353=1001,PR!$AD$1114,IF($S$1353=1002,PR!$AD$1115,IF($S$1353=1003,PR!$AD$1116,IF($S$1353=1004,PR!$AD$1117,IF($S$1353=1005,PR!$AD$1118,IF($S$1353=1006,PR!$AD$1119,IF($S$1353=1007,PR!$AD$1120,IF($S$1353=1008,PR!$AD$1121,IF($S$1353=1009,PR!$AD$1122,IF($S$1353=1010,PR!$AD$1123,IF($S$1353=1011,PR!$AD$1124,IF($S$1353=1012,PR!$AD$1125,IF($S$1353=1013,PR!$AD$1126,IF($S$1353=1014,PR!$AD$1127,IF($S$1353=1015,PR!$AD$1128,IF($S$1353=1016,PR!$AD$1129,IF($S$1353=1017,PR!$AD$1130,IF($S$1353=1018,PR!$AD$1131,IF($S$1353=1019,PR!$AD$1132,IF($S$1353=1020,PR!$AD$1133,"-"))))))))))))))))))))))))))))))))))))))))))))))))))))))))))))</f>
        <v>0</v>
      </c>
      <c r="L1360" s="602">
        <f>IF($S$1353=961,PR!$AE$1066,IF($S$1353=962,PR!$AE$1067,IF($S$1353=963,PR!$AE$1068,IF($S$1353=964,PR!$AE$1069,IF($S$1353=965,PR!$AE$1070,IF($S$1353=966,PR!$AE$1071,IF($S$1353=967,PR!$AE$1072,IF($S$1353=968,PR!$AE$1073,IF($S$1353=969,PR!$AE$1074,IF($S$1353=970,PR!$AE$1075,IF($S$1353=971,PR!$AE$1076,IF($S$1353=972,PR!$AE$1077,IF($S$1353=973,PR!$AE$1078,IF($S$1353=974,PR!$AE$1082,IF($S$1353=975,PR!$AE$1083,IF($S$1353=976,PR!$AE$1084,IF($S$1353=977,PR!$AE$1085,IF($S$1353=978,PR!$AE$1086,IF($S$1353=979,PR!$AE$1087,IF($S$1353=980,PR!$AE$1088,IF($S$1353=981,PR!$AE$1094,IF($S$1353=982,PR!$AE$1095,IF($S$1353=983,PR!$AE$1096,IF($S$1353=984,PR!$AE$1097,IF($S$1353=985,PR!$AE$1098,IF($S$1353=986,PR!$AE$1099,IF($S$1353=987,PR!$AE$1100,IF($S$1353=988,PR!$AE$1101,IF($S$1353=989,PR!$AE$1102,IF($S$1353=990,PR!$AE$1103,IF($S$1353=991,PR!$AE$1104,IF($S$1353=992,PR!$AE$1105,IF($S$1353=993,PR!$AE$1106,IF($S$1353=994,PR!$AE$1107,IF($S$1353=995,PR!$AE$1108,IF($S$1353=996,PR!$AE$1109,IF($S$1353=997,PR!$AE$1110,IF($S$1353=998,PR!$AE$1111,IF($S$1353=999,PR!$AE$1112,IF($S$1353=1000,PR!$AE$1113,IF($S$1353=1001,PR!$AE$1114,IF($S$1353=1002,PR!$AE$1115,IF($S$1353=1003,PR!$AE$1116,IF($S$1353=1004,PR!$AE$1117,IF($S$1353=1005,PR!$AE$1118,IF($S$1353=1006,PR!$AE$1119,IF($S$1353=1007,PR!$AE$1120,IF($S$1353=1008,PR!$AE$1121,IF($S$1353=1009,PR!$AE$1122,IF($S$1353=1010,PR!$AE$1123,IF($S$1353=1011,PR!$AE$1124,IF($S$1353=1012,PR!$AE$1125,IF($S$1353=1013,PR!$AE$1126,IF($S$1353=1014,PR!$AE$1127,IF($S$1353=1015,PR!$AE$1128,IF($S$1353=1016,PR!$AE$1129,IF($S$1353=1017,PR!$AE$1130,IF($S$1353=1018,PR!$AE$1131,IF($S$1353=1019,PR!$AE$1132,IF($S$1353=1020,PR!$AE$1133,"-"))))))))))))))))))))))))))))))))))))))))))))))))))))))))))))</f>
        <v>0</v>
      </c>
      <c r="M1360" s="602">
        <f>IF($S$1353=961,PR!$AF$1066,IF($S$1353=962,PR!$AF$1067,IF($S$1353=963,PR!$AF$1068,IF($S$1353=964,PR!$AF$1069,IF($S$1353=965,PR!$AF$1070,IF($S$1353=966,PR!$AF$1071,IF($S$1353=967,PR!$AF$1072,IF($S$1353=968,PR!$AF$1073,IF($S$1353=969,PR!$AF$1074,IF($S$1353=970,PR!$AF$1075,IF($S$1353=971,PR!$AF$1076,IF($S$1353=972,PR!$AF$1077,IF($S$1353=973,PR!$AF$1078,IF($S$1353=974,PR!$AF$1082,IF($S$1353=975,PR!$AF$1083,IF($S$1353=976,PR!$AF$1084,IF($S$1353=977,PR!$AF$1085,IF($S$1353=978,PR!$AF$1086,IF($S$1353=979,PR!$AF$1087,IF($S$1353=980,PR!$AF$1088,IF($S$1353=981,PR!$AF$1094,IF($S$1353=982,PR!$AF$1095,IF($S$1353=983,PR!$AF$1096,IF($S$1353=984,PR!$AF$1097,IF($S$1353=985,PR!$AF$1098,IF($S$1353=986,PR!$AF$1099,IF($S$1353=987,PR!$AF$1100,IF($S$1353=988,PR!$AF$1101,IF($S$1353=989,PR!$AF$1102,IF($S$1353=990,PR!$AF$1103,IF($S$1353=991,PR!$AF$1104,IF($S$1353=992,PR!$AF$1105,IF($S$1353=993,PR!$AF$1106,IF($S$1353=994,PR!$AF$1107,IF($S$1353=995,PR!$AF$1108,IF($S$1353=996,PR!$AF$1109,IF($S$1353=997,PR!$AF$1110,IF($S$1353=998,PR!$AF$1111,IF($S$1353=999,PR!$AF$1112,IF($S$1353=1000,PR!$AF$1113,IF($S$1353=1001,PR!$AF$1114,IF($S$1353=1002,PR!$AF$1115,IF($S$1353=1003,PR!$AF$1116,IF($S$1353=1004,PR!$AF$1117,IF($S$1353=1005,PR!$AF$1118,IF($S$1353=1006,PR!$AF$1119,IF($S$1353=1007,PR!$AF$1120,IF($S$1353=1008,PR!$AF$1121,IF($S$1353=1009,PR!$AF$1122,IF($S$1353=1010,PR!$AF$1123,IF($S$1353=1011,PR!$AF$1124,IF($S$1353=1012,PR!$AF$1125,IF($S$1353=1013,PR!$AF$1126,IF($S$1353=1014,PR!$AF$1127,IF($S$1353=1015,PR!$AF$1128,IF($S$1353=1016,PR!$AF$1129,IF($S$1353=1017,PR!$AF$1130,IF($S$1353=1018,PR!$AF$1131,IF($S$1353=1019,PR!$AF$1132,IF($S$1353=1020,PR!$AF$1133,"-"))))))))))))))))))))))))))))))))))))))))))))))))))))))))))))</f>
        <v>21450</v>
      </c>
      <c r="N1360" s="602">
        <f>IF($S$1353=961,PR!$AG$1066,IF($S$1353=962,PR!$AG$1067,IF($S$1353=963,PR!$AG$1068,IF($S$1353=964,PR!$AG$1069,IF($S$1353=965,PR!$AG$1070,IF($S$1353=966,PR!$AG$1071,IF($S$1353=967,PR!$AG$1072,IF($S$1353=968,PR!$AG$1073,IF($S$1353=969,PR!$AG$1074,IF($S$1353=970,PR!$AG$1075,IF($S$1353=971,PR!$AG$1076,IF($S$1353=972,PR!$AG$1077,IF($S$1353=973,PR!$AG$1078,IF($S$1353=974,PR!$AG$1082,IF($S$1353=975,PR!$AG$1083,IF($S$1353=976,PR!$AG$1084,IF($S$1353=977,PR!$AG$1085,IF($S$1353=978,PR!$AG$1086,IF($S$1353=979,PR!$AG$1087,IF($S$1353=980,PR!$AG$1088,IF($S$1353=981,PR!$AG$1094,IF($S$1353=982,PR!$AG$1095,IF($S$1353=983,PR!$AG$1096,IF($S$1353=984,PR!$AG$1097,IF($S$1353=985,PR!$AG$1098,IF($S$1353=986,PR!$AG$1099,IF($S$1353=987,PR!$AG$1100,IF($S$1353=988,PR!$AG$1101,IF($S$1353=989,PR!$AG$1102,IF($S$1353=990,PR!$AG$1103,IF($S$1353=991,PR!$AG$1104,IF($S$1353=992,PR!$AG$1105,IF($S$1353=993,PR!$AG$1106,IF($S$1353=994,PR!$AG$1107,IF($S$1353=995,PR!$AG$1108,IF($S$1353=996,PR!$AG$1109,IF($S$1353=997,PR!$AG$1110,IF($S$1353=998,PR!$AG$1111,IF($S$1353=999,PR!$AG$1112,IF($S$1353=1000,PR!$AG$1113,IF($S$1353=1001,PR!$AG$1114,IF($S$1353=1002,PR!$AG$1115,IF($S$1353=1003,PR!$AG$1116,IF($S$1353=1004,PR!$AG$1117,IF($S$1353=1005,PR!$AG$1118,IF($S$1353=1006,PR!$AG$1119,IF($S$1353=1007,PR!$AG$1120,IF($S$1353=1008,PR!$AG$1121,IF($S$1353=1009,PR!$AG$1122,IF($S$1353=1010,PR!$AG$1123,IF($S$1353=1011,PR!$AG$1124,IF($S$1353=1012,PR!$AG$1125,IF($S$1353=1013,PR!$AG$1126,IF($S$1353=1014,PR!$AG$1127,IF($S$1353=1015,PR!$AG$1128,IF($S$1353=1016,PR!$AG$1129,IF($S$1353=1017,PR!$AG$1130,IF($S$1353=1018,PR!$AG$1131,IF($S$1353=1019,PR!$AG$1132,IF($S$1353=1020,PR!$AG$1133,"-"))))))))))))))))))))))))))))))))))))))))))))))))))))))))))))</f>
        <v>0</v>
      </c>
      <c r="O1360" s="602">
        <f>IF($S$1353=961,PR!$AH$1066,IF($S$1353=962,PR!$AH$1067,IF($S$1353=963,PR!$AH$1068,IF($S$1353=964,PR!$AH$1069,IF($S$1353=965,PR!$AH$1070,IF($S$1353=966,PR!$AH$1071,IF($S$1353=967,PR!$AH$1072,IF($S$1353=968,PR!$AH$1073,IF($S$1353=969,PR!$AH$1074,IF($S$1353=970,PR!$AH$1075,IF($S$1353=971,PR!$AH$1076,IF($S$1353=972,PR!$AH$1077,IF($S$1353=973,PR!$AH$1078,IF($S$1353=974,PR!$AH$1082,IF($S$1353=975,PR!$AH$1083,IF($S$1353=976,PR!$AH$1084,IF($S$1353=977,PR!$AH$1085,IF($S$1353=978,PR!$AH$1086,IF($S$1353=979,PR!$AH$1087,IF($S$1353=980,PR!$AH$1088,IF($S$1353=981,PR!$AH$1094,IF($S$1353=982,PR!$AH$1095,IF($S$1353=983,PR!$AH$1096,IF($S$1353=984,PR!$AH$1097,IF($S$1353=985,PR!$AH$1098,IF($S$1353=986,PR!$AH$1099,IF($S$1353=987,PR!$AH$1100,IF($S$1353=988,PR!$AH$1101,IF($S$1353=989,PR!$AH$1102,IF($S$1353=990,PR!$AH$1103,IF($S$1353=991,PR!$AH$1104,IF($S$1353=992,PR!$AH$1105,IF($S$1353=993,PR!$AH$1106,IF($S$1353=994,PR!$AH$1107,IF($S$1353=995,PR!$AH$1108,IF($S$1353=996,PR!$AH$1109,IF($S$1353=997,PR!$AH$1110,IF($S$1353=998,PR!$AH$1111,IF($S$1353=999,PR!$AH$1112,IF($S$1353=1000,PR!$AH$1113,IF($S$1353=1001,PR!$AH$1114,IF($S$1353=1002,PR!$AH$1115,IF($S$1353=1003,PR!$AH$1116,IF($S$1353=1004,PR!$AH$1117,IF($S$1353=1005,PR!$AH$1118,IF($S$1353=1006,PR!$AH$1119,IF($S$1353=1007,PR!$AH$1120,IF($S$1353=1008,PR!$AH$1121,IF($S$1353=1009,PR!$AH$1122,IF($S$1353=1010,PR!$AH$1123,IF($S$1353=1011,PR!$AH$1124,IF($S$1353=1012,PR!$AH$1125,IF($S$1353=1013,PR!$AH$1126,IF($S$1353=1014,PR!$AH$1127,IF($S$1353=1015,PR!$AH$1128,IF($S$1353=1016,PR!$AH$1129,IF($S$1353=1017,PR!$AH$1130,IF($S$1353=1018,PR!$AH$1131,IF($S$1353=1019,PR!$AH$1132,IF($S$1353=1020,PR!$AH$1133,"-"))))))))))))))))))))))))))))))))))))))))))))))))))))))))))))</f>
        <v>0</v>
      </c>
      <c r="P1360" s="602">
        <f>IF($S$1353=961,PR!$AI$1066,IF($S$1353=962,PR!$AI$1067,IF($S$1353=963,PR!$AI$1068,IF($S$1353=964,PR!$AI$1069,IF($S$1353=965,PR!$AI$1070,IF($S$1353=966,PR!$AI$1071,IF($S$1353=967,PR!$AI$1072,IF($S$1353=968,PR!$AI$1073,IF($S$1353=969,PR!$AI$1074,IF($S$1353=970,PR!$AI$1075,IF($S$1353=971,PR!$AI$1076,IF($S$1353=972,PR!$AI$1077,IF($S$1353=973,PR!$AI$1078,IF($S$1353=974,PR!$AI$1082,IF($S$1353=975,PR!$AI$1083,IF($S$1353=976,PR!$AI$1084,IF($S$1353=977,PR!$AI$1085,IF($S$1353=978,PR!$AI$1086,IF($S$1353=979,PR!$AI$1087,IF($S$1353=980,PR!$AI$1088,IF($S$1353=981,PR!$AI$1094,IF($S$1353=982,PR!$AI$1095,IF($S$1353=983,PR!$AI$1096,IF($S$1353=984,PR!$AI$1097,IF($S$1353=985,PR!$AI$1098,IF($S$1353=986,PR!$AI$1099,IF($S$1353=987,PR!$AI$1100,IF($S$1353=988,PR!$AI$1101,IF($S$1353=989,PR!$AI$1102,IF($S$1353=990,PR!$AI$1103,IF($S$1353=991,PR!$AI$1104,IF($S$1353=992,PR!$AI$1105,IF($S$1353=993,PR!$AI$1106,IF($S$1353=994,PR!$AI$1107,IF($S$1353=995,PR!$AI$1108,IF($S$1353=996,PR!$AI$1109,IF($S$1353=997,PR!$AI$1110,IF($S$1353=998,PR!$AI$1111,IF($S$1353=999,PR!$AI$1112,IF($S$1353=1000,PR!$AI$1113,IF($S$1353=1001,PR!$AI$1114,IF($S$1353=1002,PR!$AI$1115,IF($S$1353=1003,PR!$AI$1116,IF($S$1353=1004,PR!$AI$1117,IF($S$1353=1005,PR!$AI$1118,IF($S$1353=1006,PR!$AI$1119,IF($S$1353=1007,PR!$AI$1120,IF($S$1353=1008,PR!$AI$1121,IF($S$1353=1009,PR!$AI$1122,IF($S$1353=1010,PR!$AI$1123,IF($S$1353=1011,PR!$AI$1124,IF($S$1353=1012,PR!$AI$1125,IF($S$1353=1013,PR!$AI$1126,IF($S$1353=1014,PR!$AI$1127,IF($S$1353=1015,PR!$AI$1128,IF($S$1353=1016,PR!$AI$1129,IF($S$1353=1017,PR!$AI$1130,IF($S$1353=1018,PR!$AI$1131,IF($S$1353=1019,PR!$AI$1132,IF($S$1353=1020,PR!$AI$1133,"-"))))))))))))))))))))))))))))))))))))))))))))))))))))))))))))</f>
        <v>0</v>
      </c>
      <c r="Q1360" s="602">
        <f>IF($S$1353=961,PR!$AJ$1066,IF($S$1353=962,PR!$AJ$1067,IF($S$1353=963,PR!$AJ$1068,IF($S$1353=964,PR!$AJ$1069,IF($S$1353=965,PR!$AJ$1070,IF($S$1353=966,PR!$AJ$1071,IF($S$1353=967,PR!$AJ$1072,IF($S$1353=968,PR!$AJ$1073,IF($S$1353=969,PR!$AJ$1074,IF($S$1353=970,PR!$AJ$1075,IF($S$1353=971,PR!$AJ$1076,IF($S$1353=972,PR!$AJ$1077,IF($S$1353=973,PR!$AJ$1078,IF($S$1353=974,PR!$AJ$1082,IF($S$1353=975,PR!$AJ$1083,IF($S$1353=976,PR!$AJ$1084,IF($S$1353=977,PR!$AJ$1085,IF($S$1353=978,PR!$AJ$1086,IF($S$1353=979,PR!$AJ$1087,IF($S$1353=980,PR!$AJ$1088,IF($S$1353=981,PR!$AJ$1094,IF($S$1353=982,PR!$AJ$1095,IF($S$1353=983,PR!$AJ$1096,IF($S$1353=984,PR!$AJ$1097,IF($S$1353=985,PR!$AJ$1098,IF($S$1353=986,PR!$AJ$1099,IF($S$1353=987,PR!$AJ$1100,IF($S$1353=988,PR!$AJ$1101,IF($S$1353=989,PR!$AJ$1102,IF($S$1353=990,PR!$AJ$1103,IF($S$1353=991,PR!$AJ$1104,IF($S$1353=992,PR!$AJ$1105,IF($S$1353=993,PR!$AJ$1106,IF($S$1353=994,PR!$AJ$1107,IF($S$1353=995,PR!$AJ$1108,IF($S$1353=996,PR!$AJ$1109,IF($S$1353=997,PR!$AJ$1110,IF($S$1353=998,PR!$AJ$1111,IF($S$1353=999,PR!$AJ$1112,IF($S$1353=1000,PR!$AJ$1113,IF($S$1353=1001,PR!$AJ$1114,IF($S$1353=1002,PR!$AJ$1115,IF($S$1353=1003,PR!$AJ$1116,IF($S$1353=1004,PR!$AJ$1117,IF($S$1353=1005,PR!$AJ$1118,IF($S$1353=1006,PR!$AJ$1119,IF($S$1353=1007,PR!$AJ$1120,IF($S$1353=1008,PR!$AJ$1121,IF($S$1353=1009,PR!$AJ$1122,IF($S$1353=1010,PR!$AJ$1123,IF($S$1353=1011,PR!$AJ$1124,IF($S$1353=1012,PR!$AJ$1125,IF($S$1353=1013,PR!$AJ$1126,IF($S$1353=1014,PR!$AJ$1127,IF($S$1353=1015,PR!$AJ$1128,IF($S$1353=1016,PR!$AJ$1129,IF($S$1353=1017,PR!$AJ$1130,IF($S$1353=1018,PR!$AJ$1131,IF($S$1353=1019,PR!$AJ$1132,IF($S$1353=1020,PR!$AJ$1133,"-"))))))))))))))))))))))))))))))))))))))))))))))))))))))))))))</f>
        <v>0</v>
      </c>
      <c r="R1360" s="602">
        <f>IF($S$1353=961,PR!$AK$1066,IF($S$1353=962,PR!$AK$1067,IF($S$1353=963,PR!$AK$1068,IF($S$1353=964,PR!$AK$1069,IF($S$1353=965,PR!$AK$1070,IF($S$1353=966,PR!$AK$1071,IF($S$1353=967,PR!$AK$1072,IF($S$1353=968,PR!$AK$1073,IF($S$1353=969,PR!$AK$1074,IF($S$1353=970,PR!$AK$1075,IF($S$1353=971,PR!$AK$1076,IF($S$1353=972,PR!$AK$1077,IF($S$1353=973,PR!$AK$1078,IF($S$1353=974,PR!$AK$1082,IF($S$1353=975,PR!$AK$1083,IF($S$1353=976,PR!$AK$1084,IF($S$1353=977,PR!$AK$1085,IF($S$1353=978,PR!$AK$1086,IF($S$1353=979,PR!$AK$1087,IF($S$1353=980,PR!$AK$1088,IF($S$1353=981,PR!$AK$1094,IF($S$1353=982,PR!$AK$1095,IF($S$1353=983,PR!$AK$1096,IF($S$1353=984,PR!$AK$1097,IF($S$1353=985,PR!$AK$1098,IF($S$1353=986,PR!$AK$1099,IF($S$1353=987,PR!$AK$1100,IF($S$1353=988,PR!$AK$1101,IF($S$1353=989,PR!$AK$1102,IF($S$1353=990,PR!$AK$1103,IF($S$1353=991,PR!$AK$1104,IF($S$1353=992,PR!$AK$1105,IF($S$1353=993,PR!$AK$1106,IF($S$1353=994,PR!$AK$1107,IF($S$1353=995,PR!$AK$1108,IF($S$1353=996,PR!$AK$1109,IF($S$1353=997,PR!$AK$1110,IF($S$1353=998,PR!$AK$1111,IF($S$1353=999,PR!$AK$1112,IF($S$1353=1000,PR!$AK$1113,IF($S$1353=1001,PR!$AK$1114,IF($S$1353=1002,PR!$AK$1115,IF($S$1353=1003,PR!$AK$1116,IF($S$1353=1004,PR!$AK$1117,IF($S$1353=1005,PR!$AK$1118,IF($S$1353=1006,PR!$AK$1119,IF($S$1353=1007,PR!$AK$1120,IF($S$1353=1008,PR!$AK$1121,IF($S$1353=1009,PR!$AK$1122,IF($S$1353=1010,PR!$AK$1123,IF($S$1353=1011,PR!$AK$1124,IF($S$1353=1012,PR!$AK$1125,IF($S$1353=1013,PR!$AK$1126,IF($S$1353=1014,PR!$AK$1127,IF($S$1353=1015,PR!$AK$1128,IF($S$1353=1016,PR!$AK$1129,IF($S$1353=1017,PR!$AK$1130,IF($S$1353=1018,PR!$AK$1131,IF($S$1353=1019,PR!$AK$1132,IF($S$1353=1020,PR!$AK$1133,"-"))))))))))))))))))))))))))))))))))))))))))))))))))))))))))))</f>
        <v>0</v>
      </c>
      <c r="S1360" s="602">
        <f>IF($S$1353=961,PR!$AL$1066,IF($S$1353=962,PR!$AL$1067,IF($S$1353=963,PR!$AL$1068,IF($S$1353=964,PR!$AL$1069,IF($S$1353=965,PR!$AL$1070,IF($S$1353=966,PR!$AL$1071,IF($S$1353=967,PR!$AL$1072,IF($S$1353=968,PR!$AL$1073,IF($S$1353=969,PR!$AL$1074,IF($S$1353=970,PR!$AL$1075,IF($S$1353=971,PR!$AL$1076,IF($S$1353=972,PR!$AL$1077,IF($S$1353=973,PR!$AL$1078,IF($S$1353=974,PR!$AL$1082,IF($S$1353=975,PR!$AL$1083,IF($S$1353=976,PR!$AL$1084,IF($S$1353=977,PR!$AL$1085,IF($S$1353=978,PR!$AL$1086,IF($S$1353=979,PR!$AL$1087,IF($S$1353=980,PR!$AL$1088,IF($S$1353=981,PR!$AL$1094,IF($S$1353=982,PR!$AL$1095,IF($S$1353=983,PR!$AL$1096,IF($S$1353=984,PR!$AL$1097,IF($S$1353=985,PR!$AL$1098,IF($S$1353=986,PR!$AL$1099,IF($S$1353=987,PR!$AL$1100,IF($S$1353=988,PR!$AL$1101,IF($S$1353=989,PR!$AL$1102,IF($S$1353=990,PR!$AL$1103,IF($S$1353=991,PR!$AL$1104,IF($S$1353=992,PR!$AL$1105,IF($S$1353=993,PR!$AL$1106,IF($S$1353=994,PR!$AL$1107,IF($S$1353=995,PR!$AL$1108,IF($S$1353=996,PR!$AL$1109,IF($S$1353=997,PR!$AL$1110,IF($S$1353=998,PR!$AL$1111,IF($S$1353=999,PR!$AL$1112,IF($S$1353=1000,PR!$AL$1113,IF($S$1353=1001,PR!$AL$1114,IF($S$1353=1002,PR!$AL$1115,IF($S$1353=1003,PR!$AL$1116,IF($S$1353=1004,PR!$AL$1117,IF($S$1353=1005,PR!$AL$1118,IF($S$1353=1006,PR!$AL$1119,IF($S$1353=1007,PR!$AL$1120,IF($S$1353=1008,PR!$AL$1121,IF($S$1353=1009,PR!$AL$1122,IF($S$1353=1010,PR!$AL$1123,IF($S$1353=1011,PR!$AL$1124,IF($S$1353=1012,PR!$AL$1125,IF($S$1353=1013,PR!$AL$1126,IF($S$1353=1014,PR!$AL$1127,IF($S$1353=1015,PR!$AL$1128,IF($S$1353=1016,PR!$AL$1129,IF($S$1353=1017,PR!$AL$1130,IF($S$1353=1018,PR!$AL$1131,IF($S$1353=1019,PR!$AL$1132,IF($S$1353=1020,PR!$AL$1133,"-"))))))))))))))))))))))))))))))))))))))))))))))))))))))))))))</f>
        <v>0</v>
      </c>
      <c r="T1360" s="580"/>
      <c r="U1360" s="580"/>
      <c r="V1360" s="32"/>
      <c r="W1360" s="32"/>
      <c r="X1360" s="32"/>
    </row>
    <row r="1361" spans="2:24" ht="15.75" x14ac:dyDescent="0.25">
      <c r="B1361" s="580"/>
      <c r="C1361" s="603"/>
      <c r="D1361" s="604"/>
      <c r="E1361" s="604"/>
      <c r="F1361" s="604"/>
      <c r="G1361" s="604"/>
      <c r="H1361" s="604"/>
      <c r="I1361" s="604"/>
      <c r="J1361" s="604"/>
      <c r="K1361" s="604"/>
      <c r="L1361" s="604"/>
      <c r="M1361" s="604"/>
      <c r="N1361" s="604"/>
      <c r="O1361" s="604"/>
      <c r="P1361" s="604"/>
      <c r="Q1361" s="604"/>
      <c r="R1361" s="606"/>
      <c r="S1361" s="606"/>
      <c r="T1361" s="580"/>
      <c r="U1361" s="580"/>
      <c r="V1361" s="32"/>
      <c r="W1361" s="32"/>
      <c r="X1361" s="32"/>
    </row>
    <row r="1362" spans="2:24" ht="15.75" thickBot="1" x14ac:dyDescent="0.3">
      <c r="B1362" s="580"/>
      <c r="C1362" s="600" t="str">
        <f>N!$C$38</f>
        <v>MWORLD</v>
      </c>
      <c r="D1362" s="600" t="str">
        <f>N!$C$39</f>
        <v>MEGA</v>
      </c>
      <c r="E1362" s="600" t="str">
        <f>N!$C$40</f>
        <v>MICRONOVA</v>
      </c>
      <c r="F1362" s="600" t="str">
        <f>N!$C$41</f>
        <v>MFLASH</v>
      </c>
      <c r="G1362" s="600" t="str">
        <f>N!$C$42</f>
        <v>MORISON</v>
      </c>
      <c r="H1362" s="600" t="str">
        <f>N!$C$43</f>
        <v>NEMEL</v>
      </c>
      <c r="I1362" s="600" t="str">
        <f>N!$C$44</f>
        <v>NHP</v>
      </c>
      <c r="J1362" s="600" t="str">
        <f>N!$C$45</f>
        <v>NHC</v>
      </c>
      <c r="K1362" s="600" t="str">
        <f>N!$C$46</f>
        <v>OLEAF</v>
      </c>
      <c r="L1362" s="600" t="str">
        <f>N!$C$47</f>
        <v>OCULUS</v>
      </c>
      <c r="M1362" s="600" t="str">
        <f>N!$C$48</f>
        <v>PACIFIC</v>
      </c>
      <c r="N1362" s="600" t="str">
        <f>N!$C$49</f>
        <v>PHAMATEX</v>
      </c>
      <c r="O1362" s="600" t="str">
        <f>N!$C$50</f>
        <v>PETHICS</v>
      </c>
      <c r="P1362" s="600" t="str">
        <f>N!$C$51</f>
        <v>PHILIPS</v>
      </c>
      <c r="Q1362" s="600" t="str">
        <f>N!$C$52</f>
        <v>RANBAXY</v>
      </c>
      <c r="R1362" s="600" t="str">
        <f>N!$C$53</f>
        <v>REALS</v>
      </c>
      <c r="S1362" s="600" t="str">
        <f>N!$C$54</f>
        <v>ROYAL</v>
      </c>
      <c r="T1362" s="580"/>
      <c r="U1362" s="580"/>
      <c r="V1362" s="32"/>
      <c r="W1362" s="32"/>
      <c r="X1362" s="32"/>
    </row>
    <row r="1363" spans="2:24" ht="15.75" thickBot="1" x14ac:dyDescent="0.3">
      <c r="B1363" s="580"/>
      <c r="C1363" s="602">
        <f>IF($S$1353=961,PR!$AM$1066,IF($S$1353=962,PR!$AM$1067,IF($S$1353=963,PR!$AM$1068,IF($S$1353=964,PR!$AM$1069,IF($S$1353=965,PR!$AM$1070,IF($S$1353=966,PR!$AM$1071,IF($S$1353=967,PR!$AM$1072,IF($S$1353=968,PR!$AM$1073,IF($S$1353=969,PR!$AM$1074,IF($S$1353=970,PR!$AM$1075,IF($S$1353=971,PR!$AM$1076,IF($S$1353=972,PR!$AM$1077,IF($S$1353=973,PR!$AM$1078,IF($S$1353=974,PR!$AM$1082,IF($S$1353=975,PR!$AM$1083,IF($S$1353=976,PR!$AM$1084,IF($S$1353=977,PR!$AM$1085,IF($S$1353=978,PR!$AM$1086,IF($S$1353=979,PR!$AM$1087,IF($S$1353=980,PR!$AM$1088,IF($S$1353=981,PR!$AM$1094,IF($S$1353=982,PR!$AM$1095,IF($S$1353=983,PR!$AM$1096,IF($S$1353=984,PR!$AM$1097,IF($S$1353=985,PR!$AM$1098,IF($S$1353=986,PR!$AM$1099,IF($S$1353=987,PR!$AM$1100,IF($S$1353=988,PR!$AM$1101,IF($S$1353=989,PR!$AM$1102,IF($S$1353=990,PR!$AM$1103,IF($S$1353=991,PR!$AM$1104,IF($S$1353=992,PR!$AM$1105,IF($S$1353=993,PR!$AM$1106,IF($S$1353=994,PR!$AM$1107,IF($S$1353=995,PR!$AM$1108,IF($S$1353=996,PR!$AM$1109,IF($S$1353=997,PR!$AM$1110,IF($S$1353=998,PR!$AM$1111,IF($S$1353=999,PR!$AM$1112,IF($S$1353=1000,PR!$AM$1113,IF($S$1353=1001,PR!$AM$1114,IF($S$1353=1002,PR!$AM$1115,IF($S$1353=1003,PR!$AM$1116,IF($S$1353=1004,PR!$AM$1117,IF($S$1353=1005,PR!$AM$1118,IF($S$1353=1006,PR!$AM$1119,IF($S$1353=1007,PR!$AM$1120,IF($S$1353=1008,PR!$AM$1121,IF($S$1353=1009,PR!$AM$1122,IF($S$1353=1010,PR!$AM$1123,IF($S$1353=1011,PR!$AM$1124,IF($S$1353=1012,PR!$AM$1125,IF($S$1353=1013,PR!$AM$1126,IF($S$1353=1014,PR!$AM$1127,IF($S$1353=1015,PR!$AM$1128,IF($S$1353=1016,PR!$AM$1129,IF($S$1353=1017,PR!$AM$1130,IF($S$1353=1018,PR!$AM$1131,IF($S$1353=1019,PR!$AM$1132,IF($S$1353=1020,PR!$AM$1133,"-"))))))))))))))))))))))))))))))))))))))))))))))))))))))))))))</f>
        <v>0</v>
      </c>
      <c r="D1363" s="602">
        <f>IF($S$1353=961,PR!$AN$1066,IF($S$1353=962,PR!$AN$1067,IF($S$1353=963,PR!$AN$1068,IF($S$1353=964,PR!$AN$1069,IF($S$1353=965,PR!$AN$1070,IF($S$1353=966,PR!$AN$1071,IF($S$1353=967,PR!$AN$1072,IF($S$1353=968,PR!$AN$1073,IF($S$1353=969,PR!$AN$1074,IF($S$1353=970,PR!$AN$1075,IF($S$1353=971,PR!$AN$1076,IF($S$1353=972,PR!$AN$1077,IF($S$1353=973,PR!$AN$1078,IF($S$1353=974,PR!$AN$1082,IF($S$1353=975,PR!$AN$1083,IF($S$1353=976,PR!$AN$1084,IF($S$1353=977,PR!$AN$1085,IF($S$1353=978,PR!$AN$1086,IF($S$1353=979,PR!$AN$1087,IF($S$1353=980,PR!$AN$1088,IF($S$1353=981,PR!$AN$1094,IF($S$1353=982,PR!$AN$1095,IF($S$1353=983,PR!$AN$1096,IF($S$1353=984,PR!$AN$1097,IF($S$1353=985,PR!$AN$1098,IF($S$1353=986,PR!$AN$1099,IF($S$1353=987,PR!$AN$1100,IF($S$1353=988,PR!$AN$1101,IF($S$1353=989,PR!$AN$1102,IF($S$1353=990,PR!$AN$1103,IF($S$1353=991,PR!$AN$1104,IF($S$1353=992,PR!$AN$1105,IF($S$1353=993,PR!$AN$1106,IF($S$1353=994,PR!$AN$1107,IF($S$1353=995,PR!$AN$1108,IF($S$1353=996,PR!$AN$1109,IF($S$1353=997,PR!$AN$1110,IF($S$1353=998,PR!$AN$1111,IF($S$1353=999,PR!$AN$1112,IF($S$1353=1000,PR!$AN$1113,IF($S$1353=1001,PR!$AN$1114,IF($S$1353=1002,PR!$AN$1115,IF($S$1353=1003,PR!$AN$1116,IF($S$1353=1004,PR!$AN$1117,IF($S$1353=1005,PR!$AN$1118,IF($S$1353=1006,PR!$AN$1119,IF($S$1353=1007,PR!$AN$1120,IF($S$1353=1008,PR!$AN$1121,IF($S$1353=1009,PR!$AN$1122,IF($S$1353=1010,PR!$AN$1123,IF($S$1353=1011,PR!$AN$1124,IF($S$1353=1012,PR!$AN$1125,IF($S$1353=1013,PR!$AN$1126,IF($S$1353=1014,PR!$AN$1127,IF($S$1353=1015,PR!$AN$1128,IF($S$1353=1016,PR!$AN$1129,IF($S$1353=1017,PR!$AN$1130,IF($S$1353=1018,PR!$AN$1131,IF($S$1353=1019,PR!$AN$1132,IF($S$1353=1020,PR!$AN$1133,"-"))))))))))))))))))))))))))))))))))))))))))))))))))))))))))))</f>
        <v>0</v>
      </c>
      <c r="E1363" s="602">
        <f>IF($S$1353=961,PR!$AO$1066,IF($S$1353=962,PR!$AO$1067,IF($S$1353=963,PR!$AO$1068,IF($S$1353=964,PR!$AO$1069,IF($S$1353=965,PR!$AO$1070,IF($S$1353=966,PR!$AO$1071,IF($S$1353=967,PR!$AO$1072,IF($S$1353=968,PR!$AO$1073,IF($S$1353=969,PR!$AO$1074,IF($S$1353=970,PR!$AO$1075,IF($S$1353=971,PR!$AO$1076,IF($S$1353=972,PR!$AO$1077,IF($S$1353=973,PR!$AO$1078,IF($S$1353=974,PR!$AO$1082,IF($S$1353=975,PR!$AO$1083,IF($S$1353=976,PR!$AO$1084,IF($S$1353=977,PR!$AO$1085,IF($S$1353=978,PR!$AO$1086,IF($S$1353=979,PR!$AO$1087,IF($S$1353=980,PR!$AO$1088,IF($S$1353=981,PR!$AO$1094,IF($S$1353=982,PR!$AO$1095,IF($S$1353=983,PR!$AO$1096,IF($S$1353=984,PR!$AO$1097,IF($S$1353=985,PR!$AO$1098,IF($S$1353=986,PR!$AO$1099,IF($S$1353=987,PR!$AO$1100,IF($S$1353=988,PR!$AO$1101,IF($S$1353=989,PR!$AO$1102,IF($S$1353=990,PR!$AO$1103,IF($S$1353=991,PR!$AO$1104,IF($S$1353=992,PR!$AO$1105,IF($S$1353=993,PR!$AO$1106,IF($S$1353=994,PR!$AO$1107,IF($S$1353=995,PR!$AO$1108,IF($S$1353=996,PR!$AO$1109,IF($S$1353=997,PR!$AO$1110,IF($S$1353=998,PR!$AO$1111,IF($S$1353=999,PR!$AO$1112,IF($S$1353=1000,PR!$AO$1113,IF($S$1353=1001,PR!$AO$1114,IF($S$1353=1002,PR!$AO$1115,IF($S$1353=1003,PR!$AO$1116,IF($S$1353=1004,PR!$AO$1117,IF($S$1353=1005,PR!$AO$1118,IF($S$1353=1006,PR!$AO$1119,IF($S$1353=1007,PR!$AO$1120,IF($S$1353=1008,PR!$AO$1121,IF($S$1353=1009,PR!$AO$1122,IF($S$1353=1010,PR!$AO$1123,IF($S$1353=1011,PR!$AO$1124,IF($S$1353=1012,PR!$AO$1125,IF($S$1353=1013,PR!$AO$1126,IF($S$1353=1014,PR!$AO$1127,IF($S$1353=1015,PR!$AO$1128,IF($S$1353=1016,PR!$AO$1129,IF($S$1353=1017,PR!$AO$1130,IF($S$1353=1018,PR!$AO$1131,IF($S$1353=1019,PR!$AO$1132,IF($S$1353=1020,PR!$AO$1133,"-"))))))))))))))))))))))))))))))))))))))))))))))))))))))))))))</f>
        <v>0</v>
      </c>
      <c r="F1363" s="602">
        <f>IF($S$1353=961,PR!$AP$1066,IF($S$1353=962,PR!$AP$1067,IF($S$1353=963,PR!$AP$1068,IF($S$1353=964,PR!$AP$1069,IF($S$1353=965,PR!$AP$1070,IF($S$1353=966,PR!$AP$1071,IF($S$1353=967,PR!$AP$1072,IF($S$1353=968,PR!$AP$1073,IF($S$1353=969,PR!$AP$1074,IF($S$1353=970,PR!$AP$1075,IF($S$1353=971,PR!$AP$1076,IF($S$1353=972,PR!$AP$1077,IF($S$1353=973,PR!$AP$1078,IF($S$1353=974,PR!$AP$1082,IF($S$1353=975,PR!$AP$1083,IF($S$1353=976,PR!$AP$1084,IF($S$1353=977,PR!$AP$1085,IF($S$1353=978,PR!$AP$1086,IF($S$1353=979,PR!$AP$1087,IF($S$1353=980,PR!$AP$1088,IF($S$1353=981,PR!$AP$1094,IF($S$1353=982,PR!$AP$1095,IF($S$1353=983,PR!$AP$1096,IF($S$1353=984,PR!$AP$1097,IF($S$1353=985,PR!$AP$1098,IF($S$1353=986,PR!$AP$1099,IF($S$1353=987,PR!$AP$1100,IF($S$1353=988,PR!$AP$1101,IF($S$1353=989,PR!$AP$1102,IF($S$1353=990,PR!$AP$1103,IF($S$1353=991,PR!$AP$1104,IF($S$1353=992,PR!$AP$1105,IF($S$1353=993,PR!$AP$1106,IF($S$1353=994,PR!$AP$1107,IF($S$1353=995,PR!$AP$1108,IF($S$1353=996,PR!$AP$1109,IF($S$1353=997,PR!$AP$1110,IF($S$1353=998,PR!$AP$1111,IF($S$1353=999,PR!$AP$1112,IF($S$1353=1000,PR!$AP$1113,IF($S$1353=1001,PR!$AP$1114,IF($S$1353=1002,PR!$AP$1115,IF($S$1353=1003,PR!$AP$1116,IF($S$1353=1004,PR!$AP$1117,IF($S$1353=1005,PR!$AP$1118,IF($S$1353=1006,PR!$AP$1119,IF($S$1353=1007,PR!$AP$1120,IF($S$1353=1008,PR!$AP$1121,IF($S$1353=1009,PR!$AP$1122,IF($S$1353=1010,PR!$AP$1123,IF($S$1353=1011,PR!$AP$1124,IF($S$1353=1012,PR!$AP$1125,IF($S$1353=1013,PR!$AP$1126,IF($S$1353=1014,PR!$AP$1127,IF($S$1353=1015,PR!$AP$1128,IF($S$1353=1016,PR!$AP$1129,IF($S$1353=1017,PR!$AP$1130,IF($S$1353=1018,PR!$AP$1131,IF($S$1353=1019,PR!$AP$1132,IF($S$1353=1020,PR!$AP$1133,"-"))))))))))))))))))))))))))))))))))))))))))))))))))))))))))))</f>
        <v>0</v>
      </c>
      <c r="G1363" s="602">
        <f>IF($S$1353=961,PR!$AQ$1066,IF($S$1353=962,PR!$AQ$1067,IF($S$1353=963,PR!$AQ$1068,IF($S$1353=964,PR!$AQ$1069,IF($S$1353=965,PR!$AQ$1070,IF($S$1353=966,PR!$AQ$1071,IF($S$1353=967,PR!$AQ$1072,IF($S$1353=968,PR!$AQ$1073,IF($S$1353=969,PR!$AQ$1074,IF($S$1353=970,PR!$AQ$1075,IF($S$1353=971,PR!$AQ$1076,IF($S$1353=972,PR!$AQ$1077,IF($S$1353=973,PR!$AQ$1078,IF($S$1353=974,PR!$AQ$1082,IF($S$1353=975,PR!$AQ$1083,IF($S$1353=976,PR!$AQ$1084,IF($S$1353=977,PR!$AQ$1085,IF($S$1353=978,PR!$AQ$1086,IF($S$1353=979,PR!$AQ$1087,IF($S$1353=980,PR!$AQ$1088,IF($S$1353=981,PR!$AQ$1094,IF($S$1353=982,PR!$AQ$1095,IF($S$1353=983,PR!$AQ$1096,IF($S$1353=984,PR!$AQ$1097,IF($S$1353=985,PR!$AQ$1098,IF($S$1353=986,PR!$AQ$1099,IF($S$1353=987,PR!$AQ$1100,IF($S$1353=988,PR!$AQ$1101,IF($S$1353=989,PR!$AQ$1102,IF($S$1353=990,PR!$AQ$1103,IF($S$1353=991,PR!$AQ$1104,IF($S$1353=992,PR!$AQ$1105,IF($S$1353=993,PR!$AQ$1106,IF($S$1353=994,PR!$AQ$1107,IF($S$1353=995,PR!$AQ$1108,IF($S$1353=996,PR!$AQ$1109,IF($S$1353=997,PR!$AQ$1110,IF($S$1353=998,PR!$AQ$1111,IF($S$1353=999,PR!$AQ$1112,IF($S$1353=1000,PR!$AQ$1113,IF($S$1353=1001,PR!$AQ$1114,IF($S$1353=1002,PR!$AQ$1115,IF($S$1353=1003,PR!$AQ$1116,IF($S$1353=1004,PR!$AQ$1117,IF($S$1353=1005,PR!$AQ$1118,IF($S$1353=1006,PR!$AQ$1119,IF($S$1353=1007,PR!$AQ$1120,IF($S$1353=1008,PR!$AQ$1121,IF($S$1353=1009,PR!$AQ$1122,IF($S$1353=1010,PR!$AQ$1123,IF($S$1353=1011,PR!$AQ$1124,IF($S$1353=1012,PR!$AQ$1125,IF($S$1353=1013,PR!$AQ$1126,IF($S$1353=1014,PR!$AQ$1127,IF($S$1353=1015,PR!$AQ$1128,IF($S$1353=1016,PR!$AQ$1129,IF($S$1353=1017,PR!$AQ$1130,IF($S$1353=1018,PR!$AQ$1131,IF($S$1353=1019,PR!$AQ$1132,IF($S$1353=1020,PR!$AQ$1133,"-"))))))))))))))))))))))))))))))))))))))))))))))))))))))))))))</f>
        <v>0</v>
      </c>
      <c r="H1363" s="602">
        <f>IF($S$1353=961,PR!$AR$1066,IF($S$1353=962,PR!$AR$1067,IF($S$1353=963,PR!$AR$1068,IF($S$1353=964,PR!$AR$1069,IF($S$1353=965,PR!$AR$1070,IF($S$1353=966,PR!$AR$1071,IF($S$1353=967,PR!$AR$1072,IF($S$1353=968,PR!$AR$1073,IF($S$1353=969,PR!$AR$1074,IF($S$1353=970,PR!$AR$1075,IF($S$1353=971,PR!$AR$1076,IF($S$1353=972,PR!$AR$1077,IF($S$1353=973,PR!$AR$1078,IF($S$1353=974,PR!$AR$1082,IF($S$1353=975,PR!$AR$1083,IF($S$1353=976,PR!$AR$1084,IF($S$1353=977,PR!$AR$1085,IF($S$1353=978,PR!$AR$1086,IF($S$1353=979,PR!$AR$1087,IF($S$1353=980,PR!$AR$1088,IF($S$1353=981,PR!$AR$1094,IF($S$1353=982,PR!$AR$1095,IF($S$1353=983,PR!$AR$1096,IF($S$1353=984,PR!$AR$1097,IF($S$1353=985,PR!$AR$1098,IF($S$1353=986,PR!$AR$1099,IF($S$1353=987,PR!$AR$1100,IF($S$1353=988,PR!$AR$1101,IF($S$1353=989,PR!$AR$1102,IF($S$1353=990,PR!$AR$1103,IF($S$1353=991,PR!$AR$1104,IF($S$1353=992,PR!$AR$1105,IF($S$1353=993,PR!$AR$1106,IF($S$1353=994,PR!$AR$1107,IF($S$1353=995,PR!$AR$1108,IF($S$1353=996,PR!$AR$1109,IF($S$1353=997,PR!$AR$1110,IF($S$1353=998,PR!$AR$1111,IF($S$1353=999,PR!$AR$1112,IF($S$1353=1000,PR!$AR$1113,IF($S$1353=1001,PR!$AR$1114,IF($S$1353=1002,PR!$AR$1115,IF($S$1353=1003,PR!$AR$1116,IF($S$1353=1004,PR!$AR$1117,IF($S$1353=1005,PR!$AR$1118,IF($S$1353=1006,PR!$AR$1119,IF($S$1353=1007,PR!$AR$1120,IF($S$1353=1008,PR!$AR$1121,IF($S$1353=1009,PR!$AR$1122,IF($S$1353=1010,PR!$AR$1123,IF($S$1353=1011,PR!$AR$1124,IF($S$1353=1012,PR!$AR$1125,IF($S$1353=1013,PR!$AR$1126,IF($S$1353=1014,PR!$AR$1127,IF($S$1353=1015,PR!$AR$1128,IF($S$1353=1016,PR!$AR$1129,IF($S$1353=1017,PR!$AR$1130,IF($S$1353=1018,PR!$AR$1131,IF($S$1353=1019,PR!$AR$1132,IF($S$1353=1020,PR!$AR$1133,"-"))))))))))))))))))))))))))))))))))))))))))))))))))))))))))))</f>
        <v>0</v>
      </c>
      <c r="I1363" s="602">
        <f>IF($S$1353=961,PR!$AS$1066,IF($S$1353=962,PR!$AS$1067,IF($S$1353=963,PR!$AS$1068,IF($S$1353=964,PR!$AS$1069,IF($S$1353=965,PR!$AS$1070,IF($S$1353=966,PR!$AS$1071,IF($S$1353=967,PR!$AS$1072,IF($S$1353=968,PR!$AS$1073,IF($S$1353=969,PR!$AS$1074,IF($S$1353=970,PR!$AS$1075,IF($S$1353=971,PR!$AS$1076,IF($S$1353=972,PR!$AS$1077,IF($S$1353=973,PR!$AS$1078,IF($S$1353=974,PR!$AS$1082,IF($S$1353=975,PR!$AS$1083,IF($S$1353=976,PR!$AS$1084,IF($S$1353=977,PR!$AS$1085,IF($S$1353=978,PR!$AS$1086,IF($S$1353=979,PR!$AS$1087,IF($S$1353=980,PR!$AS$1088,IF($S$1353=981,PR!$AS$1094,IF($S$1353=982,PR!$AS$1095,IF($S$1353=983,PR!$AS$1096,IF($S$1353=984,PR!$AS$1097,IF($S$1353=985,PR!$AS$1098,IF($S$1353=986,PR!$AS$1099,IF($S$1353=987,PR!$AS$1100,IF($S$1353=988,PR!$AS$1101,IF($S$1353=989,PR!$AS$1102,IF($S$1353=990,PR!$AS$1103,IF($S$1353=991,PR!$AS$1104,IF($S$1353=992,PR!$AS$1105,IF($S$1353=993,PR!$AS$1106,IF($S$1353=994,PR!$AS$1107,IF($S$1353=995,PR!$AS$1108,IF($S$1353=996,PR!$AS$1109,IF($S$1353=997,PR!$AS$1110,IF($S$1353=998,PR!$AS$1111,IF($S$1353=999,PR!$AS$1112,IF($S$1353=1000,PR!$AS$1113,IF($S$1353=1001,PR!$AS$1114,IF($S$1353=1002,PR!$AS$1115,IF($S$1353=1003,PR!$AS$1116,IF($S$1353=1004,PR!$AS$1117,IF($S$1353=1005,PR!$AS$1118,IF($S$1353=1006,PR!$AS$1119,IF($S$1353=1007,PR!$AS$1120,IF($S$1353=1008,PR!$AS$1121,IF($S$1353=1009,PR!$AS$1122,IF($S$1353=1010,PR!$AS$1123,IF($S$1353=1011,PR!$AS$1124,IF($S$1353=1012,PR!$AS$1125,IF($S$1353=1013,PR!$AS$1126,IF($S$1353=1014,PR!$AS$1127,IF($S$1353=1015,PR!$AS$1128,IF($S$1353=1016,PR!$AS$1129,IF($S$1353=1017,PR!$AS$1130,IF($S$1353=1018,PR!$AS$1131,IF($S$1353=1019,PR!$AS$1132,IF($S$1353=1020,PR!$AS$1133,"-"))))))))))))))))))))))))))))))))))))))))))))))))))))))))))))</f>
        <v>0</v>
      </c>
      <c r="J1363" s="602">
        <f>IF($S$1353=961,PR!$AT$1066,IF($S$1353=962,PR!$AT$1067,IF($S$1353=963,PR!$AT$1068,IF($S$1353=964,PR!$AT$1069,IF($S$1353=965,PR!$AT$1070,IF($S$1353=966,PR!$AT$1071,IF($S$1353=967,PR!$AT$1072,IF($S$1353=968,PR!$AT$1073,IF($S$1353=969,PR!$AT$1074,IF($S$1353=970,PR!$AT$1075,IF($S$1353=971,PR!$AT$1076,IF($S$1353=972,PR!$AT$1077,IF($S$1353=973,PR!$AT$1078,IF($S$1353=974,PR!$AT$1082,IF($S$1353=975,PR!$AT$1083,IF($S$1353=976,PR!$AT$1084,IF($S$1353=977,PR!$AT$1085,IF($S$1353=978,PR!$AT$1086,IF($S$1353=979,PR!$AT$1087,IF($S$1353=980,PR!$AT$1088,IF($S$1353=981,PR!$AT$1094,IF($S$1353=982,PR!$AT$1095,IF($S$1353=983,PR!$AT$1096,IF($S$1353=984,PR!$AT$1097,IF($S$1353=985,PR!$AT$1098,IF($S$1353=986,PR!$AT$1099,IF($S$1353=987,PR!$AT$1100,IF($S$1353=988,PR!$AT$1101,IF($S$1353=989,PR!$AT$1102,IF($S$1353=990,PR!$AT$1103,IF($S$1353=991,PR!$AT$1104,IF($S$1353=992,PR!$AT$1105,IF($S$1353=993,PR!$AT$1106,IF($S$1353=994,PR!$AT$1107,IF($S$1353=995,PR!$AT$1108,IF($S$1353=996,PR!$AT$1109,IF($S$1353=997,PR!$AT$1110,IF($S$1353=998,PR!$AT$1111,IF($S$1353=999,PR!$AT$1112,IF($S$1353=1000,PR!$AT$1113,IF($S$1353=1001,PR!$AT$1114,IF($S$1353=1002,PR!$AT$1115,IF($S$1353=1003,PR!$AT$1116,IF($S$1353=1004,PR!$AT$1117,IF($S$1353=1005,PR!$AT$1118,IF($S$1353=1006,PR!$AT$1119,IF($S$1353=1007,PR!$AT$1120,IF($S$1353=1008,PR!$AT$1121,IF($S$1353=1009,PR!$AT$1122,IF($S$1353=1010,PR!$AT$1123,IF($S$1353=1011,PR!$AT$1124,IF($S$1353=1012,PR!$AT$1125,IF($S$1353=1013,PR!$AT$1126,IF($S$1353=1014,PR!$AT$1127,IF($S$1353=1015,PR!$AT$1128,IF($S$1353=1016,PR!$AT$1129,IF($S$1353=1017,PR!$AT$1130,IF($S$1353=1018,PR!$AT$1131,IF($S$1353=1019,PR!$AT$1132,IF($S$1353=1020,PR!$AT$1133,"-"))))))))))))))))))))))))))))))))))))))))))))))))))))))))))))</f>
        <v>0</v>
      </c>
      <c r="K1363" s="602">
        <f>IF($S$1353=961,PR!$AU$1066,IF($S$1353=962,PR!$AU$1067,IF($S$1353=963,PR!$AU$1068,IF($S$1353=964,PR!$AU$1069,IF($S$1353=965,PR!$AU$1070,IF($S$1353=966,PR!$AU$1071,IF($S$1353=967,PR!$AU$1072,IF($S$1353=968,PR!$AU$1073,IF($S$1353=969,PR!$AU$1074,IF($S$1353=970,PR!$AU$1075,IF($S$1353=971,PR!$AU$1076,IF($S$1353=972,PR!$AU$1077,IF($S$1353=973,PR!$AU$1078,IF($S$1353=974,PR!$AU$1082,IF($S$1353=975,PR!$AU$1083,IF($S$1353=976,PR!$AU$1084,IF($S$1353=977,PR!$AU$1085,IF($S$1353=978,PR!$AU$1086,IF($S$1353=979,PR!$AU$1087,IF($S$1353=980,PR!$AU$1088,IF($S$1353=981,PR!$AU$1094,IF($S$1353=982,PR!$AU$1095,IF($S$1353=983,PR!$AU$1096,IF($S$1353=984,PR!$AU$1097,IF($S$1353=985,PR!$AU$1098,IF($S$1353=986,PR!$AU$1099,IF($S$1353=987,PR!$AU$1100,IF($S$1353=988,PR!$AU$1101,IF($S$1353=989,PR!$AU$1102,IF($S$1353=990,PR!$AU$1103,IF($S$1353=991,PR!$AU$1104,IF($S$1353=992,PR!$AU$1105,IF($S$1353=993,PR!$AU$1106,IF($S$1353=994,PR!$AU$1107,IF($S$1353=995,PR!$AU$1108,IF($S$1353=996,PR!$AU$1109,IF($S$1353=997,PR!$AU$1110,IF($S$1353=998,PR!$AU$1111,IF($S$1353=999,PR!$AU$1112,IF($S$1353=1000,PR!$AU$1113,IF($S$1353=1001,PR!$AU$1114,IF($S$1353=1002,PR!$AU$1115,IF($S$1353=1003,PR!$AU$1116,IF($S$1353=1004,PR!$AU$1117,IF($S$1353=1005,PR!$AU$1118,IF($S$1353=1006,PR!$AU$1119,IF($S$1353=1007,PR!$AU$1120,IF($S$1353=1008,PR!$AU$1121,IF($S$1353=1009,PR!$AU$1122,IF($S$1353=1010,PR!$AU$1123,IF($S$1353=1011,PR!$AU$1124,IF($S$1353=1012,PR!$AU$1125,IF($S$1353=1013,PR!$AU$1126,IF($S$1353=1014,PR!$AU$1127,IF($S$1353=1015,PR!$AU$1128,IF($S$1353=1016,PR!$AU$1129,IF($S$1353=1017,PR!$AU$1130,IF($S$1353=1018,PR!$AU$1131,IF($S$1353=1019,PR!$AU$1132,IF($S$1353=1020,PR!$AU$1133,"-"))))))))))))))))))))))))))))))))))))))))))))))))))))))))))))</f>
        <v>0</v>
      </c>
      <c r="L1363" s="602">
        <f>IF($S$1353=961,PR!$AV$1066,IF($S$1353=962,PR!$AV$1067,IF($S$1353=963,PR!$AV$1068,IF($S$1353=964,PR!$AV$1069,IF($S$1353=965,PR!$AV$1070,IF($S$1353=966,PR!$AV$1071,IF($S$1353=967,PR!$AV$1072,IF($S$1353=968,PR!$AV$1073,IF($S$1353=969,PR!$AV$1074,IF($S$1353=970,PR!$AV$1075,IF($S$1353=971,PR!$AV$1076,IF($S$1353=972,PR!$AV$1077,IF($S$1353=973,PR!$AV$1078,IF($S$1353=974,PR!$AV$1082,IF($S$1353=975,PR!$AV$1083,IF($S$1353=976,PR!$AV$1084,IF($S$1353=977,PR!$AV$1085,IF($S$1353=978,PR!$AV$1086,IF($S$1353=979,PR!$AV$1087,IF($S$1353=980,PR!$AV$1088,IF($S$1353=981,PR!$AV$1094,IF($S$1353=982,PR!$AV$1095,IF($S$1353=983,PR!$AV$1096,IF($S$1353=984,PR!$AV$1097,IF($S$1353=985,PR!$AV$1098,IF($S$1353=986,PR!$AV$1099,IF($S$1353=987,PR!$AV$1100,IF($S$1353=988,PR!$AV$1101,IF($S$1353=989,PR!$AV$1102,IF($S$1353=990,PR!$AV$1103,IF($S$1353=991,PR!$AV$1104,IF($S$1353=992,PR!$AV$1105,IF($S$1353=993,PR!$AV$1106,IF($S$1353=994,PR!$AV$1107,IF($S$1353=995,PR!$AV$1108,IF($S$1353=996,PR!$AV$1109,IF($S$1353=997,PR!$AV$1110,IF($S$1353=998,PR!$AV$1111,IF($S$1353=999,PR!$AV$1112,IF($S$1353=1000,PR!$AV$1113,IF($S$1353=1001,PR!$AV$1114,IF($S$1353=1002,PR!$AV$1115,IF($S$1353=1003,PR!$AV$1116,IF($S$1353=1004,PR!$AV$1117,IF($S$1353=1005,PR!$AV$1118,IF($S$1353=1006,PR!$AV$1119,IF($S$1353=1007,PR!$AV$1120,IF($S$1353=1008,PR!$AV$1121,IF($S$1353=1009,PR!$AV$1122,IF($S$1353=1010,PR!$AV$1123,IF($S$1353=1011,PR!$AV$1124,IF($S$1353=1012,PR!$AV$1125,IF($S$1353=1013,PR!$AV$1126,IF($S$1353=1014,PR!$AV$1127,IF($S$1353=1015,PR!$AV$1128,IF($S$1353=1016,PR!$AV$1129,IF($S$1353=1017,PR!$AV$1130,IF($S$1353=1018,PR!$AV$1131,IF($S$1353=1019,PR!$AV$1132,IF($S$1353=1020,PR!$AV$1133,"-"))))))))))))))))))))))))))))))))))))))))))))))))))))))))))))</f>
        <v>0</v>
      </c>
      <c r="M1363" s="602">
        <f>IF($S$1353=961,PR!$AW$1066,IF($S$1353=962,PR!$AW$1067,IF($S$1353=963,PR!$AW$1068,IF($S$1353=964,PR!$AW$1069,IF($S$1353=965,PR!$AW$1070,IF($S$1353=966,PR!$AW$1071,IF($S$1353=967,PR!$AW$1072,IF($S$1353=968,PR!$AW$1073,IF($S$1353=969,PR!$AW$1074,IF($S$1353=970,PR!$AW$1075,IF($S$1353=971,PR!$AW$1076,IF($S$1353=972,PR!$AW$1077,IF($S$1353=973,PR!$AW$1078,IF($S$1353=974,PR!$AW$1082,IF($S$1353=975,PR!$AW$1083,IF($S$1353=976,PR!$AW$1084,IF($S$1353=977,PR!$AW$1085,IF($S$1353=978,PR!$AW$1086,IF($S$1353=979,PR!$AW$1087,IF($S$1353=980,PR!$AW$1088,IF($S$1353=981,PR!$AW$1094,IF($S$1353=982,PR!$AW$1095,IF($S$1353=983,PR!$AW$1096,IF($S$1353=984,PR!$AW$1097,IF($S$1353=985,PR!$AW$1098,IF($S$1353=986,PR!$AW$1099,IF($S$1353=987,PR!$AW$1100,IF($S$1353=988,PR!$AW$1101,IF($S$1353=989,PR!$AW$1102,IF($S$1353=990,PR!$AW$1103,IF($S$1353=991,PR!$AW$1104,IF($S$1353=992,PR!$AW$1105,IF($S$1353=993,PR!$AW$1106,IF($S$1353=994,PR!$AW$1107,IF($S$1353=995,PR!$AW$1108,IF($S$1353=996,PR!$AW$1109,IF($S$1353=997,PR!$AW$1110,IF($S$1353=998,PR!$AW$1111,IF($S$1353=999,PR!$AW$1112,IF($S$1353=1000,PR!$AW$1113,IF($S$1353=1001,PR!$AW$1114,IF($S$1353=1002,PR!$AW$1115,IF($S$1353=1003,PR!$AW$1116,IF($S$1353=1004,PR!$AW$1117,IF($S$1353=1005,PR!$AW$1118,IF($S$1353=1006,PR!$AW$1119,IF($S$1353=1007,PR!$AW$1120,IF($S$1353=1008,PR!$AW$1121,IF($S$1353=1009,PR!$AW$1122,IF($S$1353=1010,PR!$AW$1123,IF($S$1353=1011,PR!$AW$1124,IF($S$1353=1012,PR!$AW$1125,IF($S$1353=1013,PR!$AW$1126,IF($S$1353=1014,PR!$AW$1127,IF($S$1353=1015,PR!$AW$1128,IF($S$1353=1016,PR!$AW$1129,IF($S$1353=1017,PR!$AW$1130,IF($S$1353=1018,PR!$AW$1131,IF($S$1353=1019,PR!$AW$1132,IF($S$1353=1020,PR!$AW$1133,"-"))))))))))))))))))))))))))))))))))))))))))))))))))))))))))))</f>
        <v>0</v>
      </c>
      <c r="N1363" s="602">
        <f>IF($S$1353=961,PR!$AX$1066,IF($S$1353=962,PR!$AX$1067,IF($S$1353=963,PR!$AX$1068,IF($S$1353=964,PR!$AX$1069,IF($S$1353=965,PR!$AX$1070,IF($S$1353=966,PR!$AX$1071,IF($S$1353=967,PR!$AX$1072,IF($S$1353=968,PR!$AX$1073,IF($S$1353=969,PR!$AX$1074,IF($S$1353=970,PR!$AX$1075,IF($S$1353=971,PR!$AX$1076,IF($S$1353=972,PR!$AX$1077,IF($S$1353=973,PR!$AX$1078,IF($S$1353=974,PR!$AX$1082,IF($S$1353=975,PR!$AX$1083,IF($S$1353=976,PR!$AX$1084,IF($S$1353=977,PR!$AX$1085,IF($S$1353=978,PR!$AX$1086,IF($S$1353=979,PR!$AX$1087,IF($S$1353=980,PR!$AX$1088,IF($S$1353=981,PR!$AX$1094,IF($S$1353=982,PR!$AX$1095,IF($S$1353=983,PR!$AX$1096,IF($S$1353=984,PR!$AX$1097,IF($S$1353=985,PR!$AX$1098,IF($S$1353=986,PR!$AX$1099,IF($S$1353=987,PR!$AX$1100,IF($S$1353=988,PR!$AX$1101,IF($S$1353=989,PR!$AX$1102,IF($S$1353=990,PR!$AX$1103,IF($S$1353=991,PR!$AX$1104,IF($S$1353=992,PR!$AX$1105,IF($S$1353=993,PR!$AX$1106,IF($S$1353=994,PR!$AX$1107,IF($S$1353=995,PR!$AX$1108,IF($S$1353=996,PR!$AX$1109,IF($S$1353=997,PR!$AX$1110,IF($S$1353=998,PR!$AX$1111,IF($S$1353=999,PR!$AX$1112,IF($S$1353=1000,PR!$AX$1113,IF($S$1353=1001,PR!$AX$1114,IF($S$1353=1002,PR!$AX$1115,IF($S$1353=1003,PR!$AX$1116,IF($S$1353=1004,PR!$AX$1117,IF($S$1353=1005,PR!$AX$1118,IF($S$1353=1006,PR!$AX$1119,IF($S$1353=1007,PR!$AX$1120,IF($S$1353=1008,PR!$AX$1121,IF($S$1353=1009,PR!$AX$1122,IF($S$1353=1010,PR!$AX$1123,IF($S$1353=1011,PR!$AX$1124,IF($S$1353=1012,PR!$AX$1125,IF($S$1353=1013,PR!$AX$1126,IF($S$1353=1014,PR!$AX$1127,IF($S$1353=1015,PR!$AX$1128,IF($S$1353=1016,PR!$AX$1129,IF($S$1353=1017,PR!$AX$1130,IF($S$1353=1018,PR!$AX$1131,IF($S$1353=1019,PR!$AX$1132,IF($S$1353=1020,PR!$AX$1133,"-"))))))))))))))))))))))))))))))))))))))))))))))))))))))))))))</f>
        <v>0</v>
      </c>
      <c r="O1363" s="602">
        <f>IF($S$1353=961,PR!$AY$1066,IF($S$1353=962,PR!$AY$1067,IF($S$1353=963,PR!$AY$1068,IF($S$1353=964,PR!$AY$1069,IF($S$1353=965,PR!$AY$1070,IF($S$1353=966,PR!$AY$1071,IF($S$1353=967,PR!$AY$1072,IF($S$1353=968,PR!$AY$1073,IF($S$1353=969,PR!$AY$1074,IF($S$1353=970,PR!$AY$1075,IF($S$1353=971,PR!$AY$1076,IF($S$1353=972,PR!$AY$1077,IF($S$1353=973,PR!$AY$1078,IF($S$1353=974,PR!$AY$1082,IF($S$1353=975,PR!$AY$1083,IF($S$1353=976,PR!$AY$1084,IF($S$1353=977,PR!$AY$1085,IF($S$1353=978,PR!$AY$1086,IF($S$1353=979,PR!$AY$1087,IF($S$1353=980,PR!$AY$1088,IF($S$1353=981,PR!$AY$1094,IF($S$1353=982,PR!$AY$1095,IF($S$1353=983,PR!$AY$1096,IF($S$1353=984,PR!$AY$1097,IF($S$1353=985,PR!$AY$1098,IF($S$1353=986,PR!$AY$1099,IF($S$1353=987,PR!$AY$1100,IF($S$1353=988,PR!$AY$1101,IF($S$1353=989,PR!$AY$1102,IF($S$1353=990,PR!$AY$1103,IF($S$1353=991,PR!$AY$1104,IF($S$1353=992,PR!$AY$1105,IF($S$1353=993,PR!$AY$1106,IF($S$1353=994,PR!$AY$1107,IF($S$1353=995,PR!$AY$1108,IF($S$1353=996,PR!$AY$1109,IF($S$1353=997,PR!$AY$1110,IF($S$1353=998,PR!$AY$1111,IF($S$1353=999,PR!$AY$1112,IF($S$1353=1000,PR!$AY$1113,IF($S$1353=1001,PR!$AY$1114,IF($S$1353=1002,PR!$AY$1115,IF($S$1353=1003,PR!$AY$1116,IF($S$1353=1004,PR!$AY$1117,IF($S$1353=1005,PR!$AY$1118,IF($S$1353=1006,PR!$AY$1119,IF($S$1353=1007,PR!$AY$1120,IF($S$1353=1008,PR!$AY$1121,IF($S$1353=1009,PR!$AY$1122,IF($S$1353=1010,PR!$AY$1123,IF($S$1353=1011,PR!$AY$1124,IF($S$1353=1012,PR!$AY$1125,IF($S$1353=1013,PR!$AY$1126,IF($S$1353=1014,PR!$AY$1127,IF($S$1353=1015,PR!$AY$1128,IF($S$1353=1016,PR!$AY$1129,IF($S$1353=1017,PR!$AY$1130,IF($S$1353=1018,PR!$AY$1131,IF($S$1353=1019,PR!$AY$1132,IF($S$1353=1020,PR!$AY$1133,"-"))))))))))))))))))))))))))))))))))))))))))))))))))))))))))))</f>
        <v>0</v>
      </c>
      <c r="P1363" s="602">
        <f>IF($S$1353=961,PR!$AZ$1066,IF($S$1353=962,PR!$AZ$1067,IF($S$1353=963,PR!$AZ$1068,IF($S$1353=964,PR!$AZ$1069,IF($S$1353=965,PR!$AZ$1070,IF($S$1353=966,PR!$AZ$1071,IF($S$1353=967,PR!$AZ$1072,IF($S$1353=968,PR!$AZ$1073,IF($S$1353=969,PR!$AZ$1074,IF($S$1353=970,PR!$AZ$1075,IF($S$1353=971,PR!$AZ$1076,IF($S$1353=972,PR!$AZ$1077,IF($S$1353=973,PR!$AZ$1078,IF($S$1353=974,PR!$AZ$1082,IF($S$1353=975,PR!$AZ$1083,IF($S$1353=976,PR!$AZ$1084,IF($S$1353=977,PR!$AZ$1085,IF($S$1353=978,PR!$AZ$1086,IF($S$1353=979,PR!$AZ$1087,IF($S$1353=980,PR!$AZ$1088,IF($S$1353=981,PR!$AZ$1094,IF($S$1353=982,PR!$AZ$1095,IF($S$1353=983,PR!$AZ$1096,IF($S$1353=984,PR!$AZ$1097,IF($S$1353=985,PR!$AZ$1098,IF($S$1353=986,PR!$AZ$1099,IF($S$1353=987,PR!$AZ$1100,IF($S$1353=988,PR!$AZ$1101,IF($S$1353=989,PR!$AZ$1102,IF($S$1353=990,PR!$AZ$1103,IF($S$1353=991,PR!$AZ$1104,IF($S$1353=992,PR!$AZ$1105,IF($S$1353=993,PR!$AZ$1106,IF($S$1353=994,PR!$AZ$1107,IF($S$1353=995,PR!$AZ$1108,IF($S$1353=996,PR!$AZ$1109,IF($S$1353=997,PR!$AZ$1110,IF($S$1353=998,PR!$AZ$1111,IF($S$1353=999,PR!$AZ$1112,IF($S$1353=1000,PR!$AZ$1113,IF($S$1353=1001,PR!$AZ$1114,IF($S$1353=1002,PR!$AZ$1115,IF($S$1353=1003,PR!$AZ$1116,IF($S$1353=1004,PR!$AZ$1117,IF($S$1353=1005,PR!$AZ$1118,IF($S$1353=1006,PR!$AZ$1119,IF($S$1353=1007,PR!$AZ$1120,IF($S$1353=1008,PR!$AZ$1121,IF($S$1353=1009,PR!$AZ$1122,IF($S$1353=1010,PR!$AZ$1123,IF($S$1353=1011,PR!$AZ$1124,IF($S$1353=1012,PR!$AZ$1125,IF($S$1353=1013,PR!$AZ$1126,IF($S$1353=1014,PR!$AZ$1127,IF($S$1353=1015,PR!$AZ$1128,IF($S$1353=1016,PR!$AZ$1129,IF($S$1353=1017,PR!$AZ$1130,IF($S$1353=1018,PR!$AZ$1131,IF($S$1353=1019,PR!$AZ$1132,IF($S$1353=1020,PR!$AZ$1133,"-"))))))))))))))))))))))))))))))))))))))))))))))))))))))))))))</f>
        <v>0</v>
      </c>
      <c r="Q1363" s="602">
        <f>IF($S$1353=961,PR!$BA$1066,IF($S$1353=962,PR!$BA$1067,IF($S$1353=963,PR!$BA$1068,IF($S$1353=964,PR!$BA$1069,IF($S$1353=965,PR!$BA$1070,IF($S$1353=966,PR!$BA$1071,IF($S$1353=967,PR!$BA$1072,IF($S$1353=968,PR!$BA$1073,IF($S$1353=969,PR!$BA$1074,IF($S$1353=970,PR!$BA$1075,IF($S$1353=971,PR!$BA$1076,IF($S$1353=972,PR!$BA$1077,IF($S$1353=973,PR!$BA$1078,IF($S$1353=974,PR!$BA$1082,IF($S$1353=975,PR!$BA$1083,IF($S$1353=976,PR!$BA$1084,IF($S$1353=977,PR!$BA$1085,IF($S$1353=978,PR!$BA$1086,IF($S$1353=979,PR!$BA$1087,IF($S$1353=980,PR!$BA$1088,IF($S$1353=981,PR!$BA$1094,IF($S$1353=982,PR!$BA$1095,IF($S$1353=983,PR!$BA$1096,IF($S$1353=984,PR!$BA$1097,IF($S$1353=985,PR!$BA$1098,IF($S$1353=986,PR!$BA$1099,IF($S$1353=987,PR!$BA$1100,IF($S$1353=988,PR!$BA$1101,IF($S$1353=989,PR!$BA$1102,IF($S$1353=990,PR!$BA$1103,IF($S$1353=991,PR!$BA$1104,IF($S$1353=992,PR!$BA$1105,IF($S$1353=993,PR!$BA$1106,IF($S$1353=994,PR!$BA$1107,IF($S$1353=995,PR!$BA$1108,IF($S$1353=996,PR!$BA$1109,IF($S$1353=997,PR!$BA$1110,IF($S$1353=998,PR!$BA$1111,IF($S$1353=999,PR!$BA$1112,IF($S$1353=1000,PR!$BA$1113,IF($S$1353=1001,PR!$BA$1114,IF($S$1353=1002,PR!$BA$1115,IF($S$1353=1003,PR!$BA$1116,IF($S$1353=1004,PR!$BA$1117,IF($S$1353=1005,PR!$BA$1118,IF($S$1353=1006,PR!$BA$1119,IF($S$1353=1007,PR!$BA$1120,IF($S$1353=1008,PR!$BA$1121,IF($S$1353=1009,PR!$BA$1122,IF($S$1353=1010,PR!$BA$1123,IF($S$1353=1011,PR!$BA$1124,IF($S$1353=1012,PR!$BA$1125,IF($S$1353=1013,PR!$BA$1126,IF($S$1353=1014,PR!$BA$1127,IF($S$1353=1015,PR!$BA$1128,IF($S$1353=1016,PR!$BA$1129,IF($S$1353=1017,PR!$BA$1130,IF($S$1353=1018,PR!$BA$1131,IF($S$1353=1019,PR!$BA$1132,IF($S$1353=1020,PR!$BA$1133,"-"))))))))))))))))))))))))))))))))))))))))))))))))))))))))))))</f>
        <v>0</v>
      </c>
      <c r="R1363" s="602">
        <f>IF($S$1353=961,PR!$BB$1066,IF($S$1353=962,PR!$BB$1067,IF($S$1353=963,PR!$BB$1068,IF($S$1353=964,PR!$BB$1069,IF($S$1353=965,PR!$BB$1070,IF($S$1353=966,PR!$BB$1071,IF($S$1353=967,PR!$BB$1072,IF($S$1353=968,PR!$BB$1073,IF($S$1353=969,PR!$BB$1074,IF($S$1353=970,PR!$BB$1075,IF($S$1353=971,PR!$BB$1076,IF($S$1353=972,PR!$BB$1077,IF($S$1353=973,PR!$BB$1078,IF($S$1353=974,PR!$BB$1082,IF($S$1353=975,PR!$BB$1083,IF($S$1353=976,PR!$BB$1084,IF($S$1353=977,PR!$BB$1085,IF($S$1353=978,PR!$BB$1086,IF($S$1353=979,PR!$BB$1087,IF($S$1353=980,PR!$BB$1088,IF($S$1353=981,PR!$BB$1094,IF($S$1353=982,PR!$BB$1095,IF($S$1353=983,PR!$BB$1096,IF($S$1353=984,PR!$BB$1097,IF($S$1353=985,PR!$BB$1098,IF($S$1353=986,PR!$BB$1099,IF($S$1353=987,PR!$BB$1100,IF($S$1353=988,PR!$BB$1101,IF($S$1353=989,PR!$BB$1102,IF($S$1353=990,PR!$BB$1103,IF($S$1353=991,PR!$BB$1104,IF($S$1353=992,PR!$BB$1105,IF($S$1353=993,PR!$BB$1106,IF($S$1353=994,PR!$BB$1107,IF($S$1353=995,PR!$BB$1108,IF($S$1353=996,PR!$BB$1109,IF($S$1353=997,PR!$BB$1110,IF($S$1353=998,PR!$BB$1111,IF($S$1353=999,PR!$BB$1112,IF($S$1353=1000,PR!$BB$1113,IF($S$1353=1001,PR!$BB$1114,IF($S$1353=1002,PR!$BB$1115,IF($S$1353=1003,PR!$BB$1116,IF($S$1353=1004,PR!$BB$1117,IF($S$1353=1005,PR!$BB$1118,IF($S$1353=1006,PR!$BB$1119,IF($S$1353=1007,PR!$BB$1120,IF($S$1353=1008,PR!$BB$1121,IF($S$1353=1009,PR!$BB$1122,IF($S$1353=1010,PR!$BB$1123,IF($S$1353=1011,PR!$BB$1124,IF($S$1353=1012,PR!$BB$1125,IF($S$1353=1013,PR!$BB$1126,IF($S$1353=1014,PR!$BB$1127,IF($S$1353=1015,PR!$BB$1128,IF($S$1353=1016,PR!$BB$1129,IF($S$1353=1017,PR!$BB$1130,IF($S$1353=1018,PR!$BB$1131,IF($S$1353=1019,PR!$BB$1132,IF($S$1353=1020,PR!$BB$1133,"-"))))))))))))))))))))))))))))))))))))))))))))))))))))))))))))</f>
        <v>0</v>
      </c>
      <c r="S1363" s="602">
        <f>IF($S$1353=961,PR!$BC$1066,IF($S$1353=962,PR!$BC$1067,IF($S$1353=963,PR!$BC$1068,IF($S$1353=964,PR!$BC$1069,IF($S$1353=965,PR!$BC$1070,IF($S$1353=966,PR!$BC$1071,IF($S$1353=967,PR!$BC$1072,IF($S$1353=968,PR!$BC$1073,IF($S$1353=969,PR!$BC$1074,IF($S$1353=970,PR!$BC$1075,IF($S$1353=971,PR!$BC$1076,IF($S$1353=972,PR!$BC$1077,IF($S$1353=973,PR!$BC$1078,IF($S$1353=974,PR!$BC$1082,IF($S$1353=975,PR!$BC$1083,IF($S$1353=976,PR!$BC$1084,IF($S$1353=977,PR!$BC$1085,IF($S$1353=978,PR!$BC$1086,IF($S$1353=979,PR!$BC$1087,IF($S$1353=980,PR!$BC$1088,IF($S$1353=981,PR!$BC$1094,IF($S$1353=982,PR!$BC$1095,IF($S$1353=983,PR!$BC$1096,IF($S$1353=984,PR!$BC$1097,IF($S$1353=985,PR!$BC$1098,IF($S$1353=986,PR!$BC$1099,IF($S$1353=987,PR!$BC$1100,IF($S$1353=988,PR!$BC$1101,IF($S$1353=989,PR!$BC$1102,IF($S$1353=990,PR!$BC$1103,IF($S$1353=991,PR!$BC$1104,IF($S$1353=992,PR!$BC$1105,IF($S$1353=993,PR!$BC$1106,IF($S$1353=994,PR!$BC$1107,IF($S$1353=995,PR!$BC$1108,IF($S$1353=996,PR!$BC$1109,IF($S$1353=997,PR!$BC$1110,IF($S$1353=998,PR!$BC$1111,IF($S$1353=999,PR!$BC$1112,IF($S$1353=1000,PR!$BC$1113,IF($S$1353=1001,PR!$BC$1114,IF($S$1353=1002,PR!$BC$1115,IF($S$1353=1003,PR!$BC$1116,IF($S$1353=1004,PR!$BC$1117,IF($S$1353=1005,PR!$BC$1118,IF($S$1353=1006,PR!$BC$1119,IF($S$1353=1007,PR!$BC$1120,IF($S$1353=1008,PR!$BC$1121,IF($S$1353=1009,PR!$BC$1122,IF($S$1353=1010,PR!$BC$1123,IF($S$1353=1011,PR!$BC$1124,IF($S$1353=1012,PR!$BC$1125,IF($S$1353=1013,PR!$BC$1126,IF($S$1353=1014,PR!$BC$1127,IF($S$1353=1015,PR!$BC$1128,IF($S$1353=1016,PR!$BC$1129,IF($S$1353=1017,PR!$BC$1130,IF($S$1353=1018,PR!$BC$1131,IF($S$1353=1019,PR!$BC$1132,IF($S$1353=1020,PR!$BC$1133,"-"))))))))))))))))))))))))))))))))))))))))))))))))))))))))))))</f>
        <v>0</v>
      </c>
      <c r="T1363" s="580"/>
      <c r="U1363" s="580"/>
      <c r="V1363" s="32"/>
      <c r="W1363" s="32"/>
      <c r="X1363" s="32"/>
    </row>
    <row r="1364" spans="2:24" ht="6" customHeight="1" x14ac:dyDescent="0.25">
      <c r="B1364" s="580"/>
      <c r="C1364" s="603"/>
      <c r="D1364" s="604"/>
      <c r="E1364" s="604"/>
      <c r="F1364" s="604"/>
      <c r="G1364" s="604"/>
      <c r="H1364" s="604"/>
      <c r="I1364" s="604"/>
      <c r="J1364" s="604"/>
      <c r="K1364" s="604"/>
      <c r="L1364" s="604"/>
      <c r="M1364" s="604"/>
      <c r="N1364" s="604"/>
      <c r="O1364" s="604"/>
      <c r="P1364" s="604"/>
      <c r="Q1364" s="604"/>
      <c r="R1364" s="606"/>
      <c r="S1364" s="606"/>
      <c r="T1364" s="580"/>
      <c r="U1364" s="580"/>
      <c r="V1364" s="32"/>
      <c r="W1364" s="32"/>
      <c r="X1364" s="32"/>
    </row>
    <row r="1365" spans="2:24" ht="15.75" thickBot="1" x14ac:dyDescent="0.3">
      <c r="B1365" s="580"/>
      <c r="C1365" s="600" t="str">
        <f>N!$C$55</f>
        <v>SAM</v>
      </c>
      <c r="D1365" s="600" t="str">
        <f>N!$C$56</f>
        <v>SEAGREEN</v>
      </c>
      <c r="E1365" s="600" t="str">
        <f>N!$C$57</f>
        <v>SKG</v>
      </c>
      <c r="F1365" s="600" t="str">
        <f>N!$C$58</f>
        <v>TAH</v>
      </c>
      <c r="G1365" s="600" t="str">
        <f>N!$C$59</f>
        <v>TAYLEK</v>
      </c>
      <c r="H1365" s="600" t="str">
        <f>N!$C$60</f>
        <v>TEMITA</v>
      </c>
      <c r="I1365" s="600" t="str">
        <f>N!$C$61</f>
        <v>THL</v>
      </c>
      <c r="J1365" s="600" t="str">
        <f>N!$C$62</f>
        <v>UBASTIC</v>
      </c>
      <c r="K1365" s="600" t="str">
        <f>N!$C$63</f>
        <v>UNION</v>
      </c>
      <c r="L1365" s="600" t="str">
        <f>N!$C$64</f>
        <v>UNIQUE</v>
      </c>
      <c r="M1365" s="600" t="str">
        <f>N!$C$65</f>
        <v>VIXA</v>
      </c>
      <c r="N1365" s="600" t="str">
        <f>N!$C$66</f>
        <v>WWCV</v>
      </c>
      <c r="O1365" s="600" t="str">
        <f>N!$C$67</f>
        <v>ZOLON</v>
      </c>
      <c r="P1365" s="600" t="e">
        <f>N!#REF!</f>
        <v>#REF!</v>
      </c>
      <c r="Q1365" s="600" t="e">
        <f>N!#REF!</f>
        <v>#REF!</v>
      </c>
      <c r="R1365" s="600" t="e">
        <f>N!#REF!</f>
        <v>#REF!</v>
      </c>
      <c r="S1365" s="604"/>
      <c r="T1365" s="580"/>
      <c r="U1365" s="580"/>
      <c r="V1365" s="32"/>
      <c r="W1365" s="32"/>
      <c r="X1365" s="32"/>
    </row>
    <row r="1366" spans="2:24" ht="15.75" thickBot="1" x14ac:dyDescent="0.3">
      <c r="B1366" s="580"/>
      <c r="C1366" s="602">
        <f>IF($S$1353=961,PR!$BD$1066,IF($S$1353=962,PR!$BD$1067,IF($S$1353=963,PR!$BD$1068,IF($S$1353=964,PR!$BD$1069,IF($S$1353=965,PR!$BD$1070,IF($S$1353=966,PR!$BD$1071,IF($S$1353=967,PR!$BD$1072,IF($S$1353=968,PR!$BD$1073,IF($S$1353=969,PR!$BD$1074,IF($S$1353=970,PR!$BD$1075,IF($S$1353=971,PR!$BD$1076,IF($S$1353=972,PR!$BD$1077,IF($S$1353=973,PR!$BD$1078,IF($S$1353=974,PR!$BD$1082,IF($S$1353=975,PR!$BD$1083,IF($S$1353=976,PR!$BD$1084,IF($S$1353=977,PR!$BD$1085,IF($S$1353=978,PR!$BD$1086,IF($S$1353=979,PR!$BD$1087,IF($S$1353=980,PR!$BD$1088,IF($S$1353=981,PR!$BD$1094,IF($S$1353=982,PR!$BD$1095,IF($S$1353=983,PR!$BD$1096,IF($S$1353=984,PR!$BD$1097,IF($S$1353=985,PR!$BD$1098,IF($S$1353=986,PR!$BD$1099,IF($S$1353=987,PR!$BD$1100,IF($S$1353=988,PR!$BD$1101,IF($S$1353=989,PR!$BD$1102,IF($S$1353=990,PR!$BD$1103,IF($S$1353=991,PR!$BD$1104,IF($S$1353=992,PR!$BD$1105,IF($S$1353=993,PR!$BD$1106,IF($S$1353=994,PR!$BD$1107,IF($S$1353=995,PR!$BD$1108,IF($S$1353=996,PR!$BD$1109,IF($S$1353=997,PR!$BD$1110,IF($S$1353=998,PR!$BD$1111,IF($S$1353=999,PR!$BD$1112,IF($S$1353=1000,PR!$BD$1113,IF($S$1353=1001,PR!$BD$1114,IF($S$1353=1002,PR!$BD$1115,IF($S$1353=1003,PR!$BD$1116,IF($S$1353=1004,PR!$BD$1117,IF($S$1353=1005,PR!$BD$1118,IF($S$1353=1006,PR!$BD$1119,IF($S$1353=1007,PR!$BD$1120,IF($S$1353=1008,PR!$BD$1121,IF($S$1353=1009,PR!$BD$1122,IF($S$1353=1010,PR!$BD$1123,IF($S$1353=1011,PR!$BD$1124,IF($S$1353=1012,PR!$BD$1125,IF($S$1353=1013,PR!$BD$1126,IF($S$1353=1014,PR!$BD$1127,IF($S$1353=1015,PR!$BD$1128,IF($S$1353=1016,PR!$BD$1129,IF($S$1353=1017,PR!$BD$1130,IF($S$1353=1018,PR!$BD$1131,IF($S$1353=1019,PR!$BD$1132,IF($S$1353=1020,PR!$BD$1133,"-"))))))))))))))))))))))))))))))))))))))))))))))))))))))))))))</f>
        <v>0</v>
      </c>
      <c r="D1366" s="602">
        <f>IF($S$1353=961,PR!$BE$1066,IF($S$1353=962,PR!$BE$1067,IF($S$1353=963,PR!$BE$1068,IF($S$1353=964,PR!$BE$1069,IF($S$1353=965,PR!$BE$1070,IF($S$1353=966,PR!$BE$1071,IF($S$1353=967,PR!$BE$1072,IF($S$1353=968,PR!$BE$1073,IF($S$1353=969,PR!$BE$1074,IF($S$1353=970,PR!$BE$1075,IF($S$1353=971,PR!$BE$1076,IF($S$1353=972,PR!$BE$1077,IF($S$1353=973,PR!$BE$1078,IF($S$1353=974,PR!$BE$1082,IF($S$1353=975,PR!$BE$1083,IF($S$1353=976,PR!$BE$1084,IF($S$1353=977,PR!$BE$1085,IF($S$1353=978,PR!$BE$1086,IF($S$1353=979,PR!$BE$1087,IF($S$1353=980,PR!$BE$1088,IF($S$1353=981,PR!$BE$1094,IF($S$1353=982,PR!$BE$1095,IF($S$1353=983,PR!$BE$1096,IF($S$1353=984,PR!$BE$1097,IF($S$1353=985,PR!$BE$1098,IF($S$1353=986,PR!$BE$1099,IF($S$1353=987,PR!$BE$1100,IF($S$1353=988,PR!$BE$1101,IF($S$1353=989,PR!$BE$1102,IF($S$1353=990,PR!$BE$1103,IF($S$1353=991,PR!$BE$1104,IF($S$1353=992,PR!$BE$1105,IF($S$1353=993,PR!$BE$1106,IF($S$1353=994,PR!$BE$1107,IF($S$1353=995,PR!$BE$1108,IF($S$1353=996,PR!$BE$1109,IF($S$1353=997,PR!$BE$1110,IF($S$1353=998,PR!$BE$1111,IF($S$1353=999,PR!$BE$1112,IF($S$1353=1000,PR!$BE$1113,IF($S$1353=1001,PR!$BE$1114,IF($S$1353=1002,PR!$BE$1115,IF($S$1353=1003,PR!$BE$1116,IF($S$1353=1004,PR!$BE$1117,IF($S$1353=1005,PR!$BE$1118,IF($S$1353=1006,PR!$BE$1119,IF($S$1353=1007,PR!$BE$1120,IF($S$1353=1008,PR!$BE$1121,IF($S$1353=1009,PR!$BE$1122,IF($S$1353=1010,PR!$BE$1123,IF($S$1353=1011,PR!$BE$1124,IF($S$1353=1012,PR!$BE$1125,IF($S$1353=1013,PR!$BE$1126,IF($S$1353=1014,PR!$BE$1127,IF($S$1353=1015,PR!$BE$1128,IF($S$1353=1016,PR!$BE$1129,IF($S$1353=1017,PR!$BE$1130,IF($S$1353=1018,PR!$BE$1131,IF($S$1353=1019,PR!$BE$1132,IF($S$1353=1020,PR!$BE$1133,"-"))))))))))))))))))))))))))))))))))))))))))))))))))))))))))))</f>
        <v>0</v>
      </c>
      <c r="E1366" s="602">
        <f>IF($S$1353=961,PR!$BF$1066,IF($S$1353=962,PR!$BF$1067,IF($S$1353=963,PR!$BF$1068,IF($S$1353=964,PR!$BF$1069,IF($S$1353=965,PR!$BF$1070,IF($S$1353=966,PR!$BF$1071,IF($S$1353=967,PR!$BF$1072,IF($S$1353=968,PR!$BF$1073,IF($S$1353=969,PR!$BF$1074,IF($S$1353=970,PR!$BF$1075,IF($S$1353=971,PR!$BF$1076,IF($S$1353=972,PR!$BF$1077,IF($S$1353=973,PR!$BF$1078,IF($S$1353=974,PR!$BF$1082,IF($S$1353=975,PR!$BF$1083,IF($S$1353=976,PR!$BF$1084,IF($S$1353=977,PR!$BF$1085,IF($S$1353=978,PR!$BF$1086,IF($S$1353=979,PR!$BF$1087,IF($S$1353=980,PR!$BF$1088,IF($S$1353=981,PR!$BF$1094,IF($S$1353=982,PR!$BF$1095,IF($S$1353=983,PR!$BF$1096,IF($S$1353=984,PR!$BF$1097,IF($S$1353=985,PR!$BF$1098,IF($S$1353=986,PR!$BF$1099,IF($S$1353=987,PR!$BF$1100,IF($S$1353=988,PR!$BF$1101,IF($S$1353=989,PR!$BF$1102,IF($S$1353=990,PR!$BF$1103,IF($S$1353=991,PR!$BF$1104,IF($S$1353=992,PR!$BF$1105,IF($S$1353=993,PR!$BF$1106,IF($S$1353=994,PR!$BF$1107,IF($S$1353=995,PR!$BF$1108,IF($S$1353=996,PR!$BF$1109,IF($S$1353=997,PR!$BF$1110,IF($S$1353=998,PR!$BF$1111,IF($S$1353=999,PR!$BF$1112,IF($S$1353=1000,PR!$BF$1113,IF($S$1353=1001,PR!$BF$1114,IF($S$1353=1002,PR!$BF$1115,IF($S$1353=1003,PR!$BF$1116,IF($S$1353=1004,PR!$BF$1117,IF($S$1353=1005,PR!$BF$1118,IF($S$1353=1006,PR!$BF$1119,IF($S$1353=1007,PR!$BF$1120,IF($S$1353=1008,PR!$BF$1121,IF($S$1353=1009,PR!$BF$1122,IF($S$1353=1010,PR!$BF$1123,IF($S$1353=1011,PR!$BF$1124,IF($S$1353=1012,PR!$BF$1125,IF($S$1353=1013,PR!$BF$1126,IF($S$1353=1014,PR!$BF$1127,IF($S$1353=1015,PR!$BF$1128,IF($S$1353=1016,PR!$BF$1129,IF($S$1353=1017,PR!$BF$1130,IF($S$1353=1018,PR!$BF$1131,IF($S$1353=1019,PR!$BF$1132,IF($S$1353=1020,PR!$BF$1133,"-"))))))))))))))))))))))))))))))))))))))))))))))))))))))))))))</f>
        <v>0</v>
      </c>
      <c r="F1366" s="602">
        <f>IF($S$1353=961,PR!$BG$1066,IF($S$1353=962,PR!$BG$1067,IF($S$1353=963,PR!$BG$1068,IF($S$1353=964,PR!$BG$1069,IF($S$1353=965,PR!$BG$1070,IF($S$1353=966,PR!$BG$1071,IF($S$1353=967,PR!$BG$1072,IF($S$1353=968,PR!$BG$1073,IF($S$1353=969,PR!$BG$1074,IF($S$1353=970,PR!$BG$1075,IF($S$1353=971,PR!$BG$1076,IF($S$1353=972,PR!$BG$1077,IF($S$1353=973,PR!$BG$1078,IF($S$1353=974,PR!$BG$1082,IF($S$1353=975,PR!$BG$1083,IF($S$1353=976,PR!$BG$1084,IF($S$1353=977,PR!$BG$1085,IF($S$1353=978,PR!$BG$1086,IF($S$1353=979,PR!$BG$1087,IF($S$1353=980,PR!$BG$1088,IF($S$1353=981,PR!$BG$1094,IF($S$1353=982,PR!$BG$1095,IF($S$1353=983,PR!$BG$1096,IF($S$1353=984,PR!$BG$1097,IF($S$1353=985,PR!$BG$1098,IF($S$1353=986,PR!$BG$1099,IF($S$1353=987,PR!$BG$1100,IF($S$1353=988,PR!$BG$1101,IF($S$1353=989,PR!$BG$1102,IF($S$1353=990,PR!$BG$1103,IF($S$1353=991,PR!$BG$1104,IF($S$1353=992,PR!$BG$1105,IF($S$1353=993,PR!$BG$1106,IF($S$1353=994,PR!$BG$1107,IF($S$1353=995,PR!$BG$1108,IF($S$1353=996,PR!$BG$1109,IF($S$1353=997,PR!$BG$1110,IF($S$1353=998,PR!$BG$1111,IF($S$1353=999,PR!$BG$1112,IF($S$1353=1000,PR!$BG$1113,IF($S$1353=1001,PR!$BG$1114,IF($S$1353=1002,PR!$BG$1115,IF($S$1353=1003,PR!$BG$1116,IF($S$1353=1004,PR!$BG$1117,IF($S$1353=1005,PR!$BG$1118,IF($S$1353=1006,PR!$BG$1119,IF($S$1353=1007,PR!$BG$1120,IF($S$1353=1008,PR!$BG$1121,IF($S$1353=1009,PR!$BG$1122,IF($S$1353=1010,PR!$BG$1123,IF($S$1353=1011,PR!$BG$1124,IF($S$1353=1012,PR!$BG$1125,IF($S$1353=1013,PR!$BG$1126,IF($S$1353=1014,PR!$BG$1127,IF($S$1353=1015,PR!$BG$1128,IF($S$1353=1016,PR!$BG$1129,IF($S$1353=1017,PR!$BG$1130,IF($S$1353=1018,PR!$BG$1131,IF($S$1353=1019,PR!$BG$1132,IF($S$1353=1020,PR!$BG$1133,"-"))))))))))))))))))))))))))))))))))))))))))))))))))))))))))))</f>
        <v>0</v>
      </c>
      <c r="G1366" s="602">
        <f>IF($S$1353=961,PR!$BH$1066,IF($S$1353=962,PR!$BH$1067,IF($S$1353=963,PR!$BH$1068,IF($S$1353=964,PR!$BH$1069,IF($S$1353=965,PR!$BH$1070,IF($S$1353=966,PR!$BH$1071,IF($S$1353=967,PR!$BH$1072,IF($S$1353=968,PR!$BH$1073,IF($S$1353=969,PR!$BH$1074,IF($S$1353=970,PR!$BH$1075,IF($S$1353=971,PR!$BH$1076,IF($S$1353=972,PR!$BH$1077,IF($S$1353=973,PR!$BH$1078,IF($S$1353=974,PR!$BH$1082,IF($S$1353=975,PR!$BH$1083,IF($S$1353=976,PR!$BH$1084,IF($S$1353=977,PR!$BH$1085,IF($S$1353=978,PR!$BH$1086,IF($S$1353=979,PR!$BH$1087,IF($S$1353=980,PR!$BH$1088,IF($S$1353=981,PR!$BH$1094,IF($S$1353=982,PR!$BH$1095,IF($S$1353=983,PR!$BH$1096,IF($S$1353=984,PR!$BH$1097,IF($S$1353=985,PR!$BH$1098,IF($S$1353=986,PR!$BH$1099,IF($S$1353=987,PR!$BH$1100,IF($S$1353=988,PR!$BH$1101,IF($S$1353=989,PR!$BH$1102,IF($S$1353=990,PR!$BH$1103,IF($S$1353=991,PR!$BH$1104,IF($S$1353=992,PR!$BH$1105,IF($S$1353=993,PR!$BH$1106,IF($S$1353=994,PR!$BH$1107,IF($S$1353=995,PR!$BH$1108,IF($S$1353=996,PR!$BH$1109,IF($S$1353=997,PR!$BH$1110,IF($S$1353=998,PR!$BH$1111,IF($S$1353=999,PR!$BH$1112,IF($S$1353=1000,PR!$BH$1113,IF($S$1353=1001,PR!$BH$1114,IF($S$1353=1002,PR!$BH$1115,IF($S$1353=1003,PR!$BH$1116,IF($S$1353=1004,PR!$BH$1117,IF($S$1353=1005,PR!$BH$1118,IF($S$1353=1006,PR!$BH$1119,IF($S$1353=1007,PR!$BH$1120,IF($S$1353=1008,PR!$BH$1121,IF($S$1353=1009,PR!$BH$1122,IF($S$1353=1010,PR!$BH$1123,IF($S$1353=1011,PR!$BH$1124,IF($S$1353=1012,PR!$BH$1125,IF($S$1353=1013,PR!$BH$1126,IF($S$1353=1014,PR!$BH$1127,IF($S$1353=1015,PR!$BH$1128,IF($S$1353=1016,PR!$BH$1129,IF($S$1353=1017,PR!$BH$1130,IF($S$1353=1018,PR!$BH$1131,IF($S$1353=1019,PR!$BH$1132,IF($S$1353=1020,PR!$BH$1133,"-"))))))))))))))))))))))))))))))))))))))))))))))))))))))))))))</f>
        <v>0</v>
      </c>
      <c r="H1366" s="602">
        <f>IF($S$1353=961,PR!$BI$1066,IF($S$1353=962,PR!$BI$1067,IF($S$1353=963,PR!$BI$1068,IF($S$1353=964,PR!$BI$1069,IF($S$1353=965,PR!$BI$1070,IF($S$1353=966,PR!$BI$1071,IF($S$1353=967,PR!$BI$1072,IF($S$1353=968,PR!$BI$1073,IF($S$1353=969,PR!$BI$1074,IF($S$1353=970,PR!$BI$1075,IF($S$1353=971,PR!$BI$1076,IF($S$1353=972,PR!$BI$1077,IF($S$1353=973,PR!$BI$1078,IF($S$1353=974,PR!$BI$1082,IF($S$1353=975,PR!$BI$1083,IF($S$1353=976,PR!$BI$1084,IF($S$1353=977,PR!$BI$1085,IF($S$1353=978,PR!$BI$1086,IF($S$1353=979,PR!$BI$1087,IF($S$1353=980,PR!$BI$1088,IF($S$1353=981,PR!$BI$1094,IF($S$1353=982,PR!$BI$1095,IF($S$1353=983,PR!$BI$1096,IF($S$1353=984,PR!$BI$1097,IF($S$1353=985,PR!$BI$1098,IF($S$1353=986,PR!$BI$1099,IF($S$1353=987,PR!$BI$1100,IF($S$1353=988,PR!$BI$1101,IF($S$1353=989,PR!$BI$1102,IF($S$1353=990,PR!$BI$1103,IF($S$1353=991,PR!$BI$1104,IF($S$1353=992,PR!$BI$1105,IF($S$1353=993,PR!$BI$1106,IF($S$1353=994,PR!$BI$1107,IF($S$1353=995,PR!$BI$1108,IF($S$1353=996,PR!$BI$1109,IF($S$1353=997,PR!$BI$1110,IF($S$1353=998,PR!$BI$1111,IF($S$1353=999,PR!$BI$1112,IF($S$1353=1000,PR!$BI$1113,IF($S$1353=1001,PR!$BI$1114,IF($S$1353=1002,PR!$BI$1115,IF($S$1353=1003,PR!$BI$1116,IF($S$1353=1004,PR!$BI$1117,IF($S$1353=1005,PR!$BI$1118,IF($S$1353=1006,PR!$BI$1119,IF($S$1353=1007,PR!$BI$1120,IF($S$1353=1008,PR!$BI$1121,IF($S$1353=1009,PR!$BI$1122,IF($S$1353=1010,PR!$BI$1123,IF($S$1353=1011,PR!$BI$1124,IF($S$1353=1012,PR!$BI$1125,IF($S$1353=1013,PR!$BI$1126,IF($S$1353=1014,PR!$BI$1127,IF($S$1353=1015,PR!$BI$1128,IF($S$1353=1016,PR!$BI$1129,IF($S$1353=1017,PR!$BI$1130,IF($S$1353=1018,PR!$BI$1131,IF($S$1353=1019,PR!$BI$1132,IF($S$1353=1020,PR!$BI$1133,"-"))))))))))))))))))))))))))))))))))))))))))))))))))))))))))))</f>
        <v>0</v>
      </c>
      <c r="I1366" s="602">
        <f>IF($S$1353=961,PR!$BJ$1066,IF($S$1353=962,PR!$BJ$1067,IF($S$1353=963,PR!$BJ$1068,IF($S$1353=964,PR!$BJ$1069,IF($S$1353=965,PR!$BJ$1070,IF($S$1353=966,PR!$BJ$1071,IF($S$1353=967,PR!$BJ$1072,IF($S$1353=968,PR!$BJ$1073,IF($S$1353=969,PR!$BJ$1074,IF($S$1353=970,PR!$BJ$1075,IF($S$1353=971,PR!$BJ$1076,IF($S$1353=972,PR!$BJ$1077,IF($S$1353=973,PR!$BJ$1078,IF($S$1353=974,PR!$BJ$1082,IF($S$1353=975,PR!$BJ$1083,IF($S$1353=976,PR!$BJ$1084,IF($S$1353=977,PR!$BJ$1085,IF($S$1353=978,PR!$BJ$1086,IF($S$1353=979,PR!$BJ$1087,IF($S$1353=980,PR!$BJ$1088,IF($S$1353=981,PR!$BJ$1094,IF($S$1353=982,PR!$BJ$1095,IF($S$1353=983,PR!$BJ$1096,IF($S$1353=984,PR!$BJ$1097,IF($S$1353=985,PR!$BJ$1098,IF($S$1353=986,PR!$BJ$1099,IF($S$1353=987,PR!$BJ$1100,IF($S$1353=988,PR!$BJ$1101,IF($S$1353=989,PR!$BJ$1102,IF($S$1353=990,PR!$BJ$1103,IF($S$1353=991,PR!$BJ$1104,IF($S$1353=992,PR!$BJ$1105,IF($S$1353=993,PR!$BJ$1106,IF($S$1353=994,PR!$BJ$1107,IF($S$1353=995,PR!$BJ$1108,IF($S$1353=996,PR!$BJ$1109,IF($S$1353=997,PR!$BJ$1110,IF($S$1353=998,PR!$BJ$1111,IF($S$1353=999,PR!$BJ$1112,IF($S$1353=1000,PR!$BJ$1113,IF($S$1353=1001,PR!$BJ$1114,IF($S$1353=1002,PR!$BJ$1115,IF($S$1353=1003,PR!$BJ$1116,IF($S$1353=1004,PR!$BJ$1117,IF($S$1353=1005,PR!$BJ$1118,IF($S$1353=1006,PR!$BJ$1119,IF($S$1353=1007,PR!$BJ$1120,IF($S$1353=1008,PR!$BJ$1121,IF($S$1353=1009,PR!$BJ$1122,IF($S$1353=1010,PR!$BJ$1123,IF($S$1353=1011,PR!$BJ$1124,IF($S$1353=1012,PR!$BJ$1125,IF($S$1353=1013,PR!$BJ$1126,IF($S$1353=1014,PR!$BJ$1127,IF($S$1353=1015,PR!$BJ$1128,IF($S$1353=1016,PR!$BJ$1129,IF($S$1353=1017,PR!$BJ$1130,IF($S$1353=1018,PR!$BJ$1131,IF($S$1353=1019,PR!$BJ$1132,IF($S$1353=1020,PR!$BJ$1133,"-"))))))))))))))))))))))))))))))))))))))))))))))))))))))))))))</f>
        <v>0</v>
      </c>
      <c r="J1366" s="602">
        <f>IF($S$1353=961,PR!$BK$1066,IF($S$1353=962,PR!$BK$1067,IF($S$1353=963,PR!$BK$1068,IF($S$1353=964,PR!$BK$1069,IF($S$1353=965,PR!$BK$1070,IF($S$1353=966,PR!$BK$1071,IF($S$1353=967,PR!$BK$1072,IF($S$1353=968,PR!$BK$1073,IF($S$1353=969,PR!$BK$1074,IF($S$1353=970,PR!$BK$1075,IF($S$1353=971,PR!$BK$1076,IF($S$1353=972,PR!$BK$1077,IF($S$1353=973,PR!$BK$1078,IF($S$1353=974,PR!$BK$1082,IF($S$1353=975,PR!$BK$1083,IF($S$1353=976,PR!$BK$1084,IF($S$1353=977,PR!$BK$1085,IF($S$1353=978,PR!$BK$1086,IF($S$1353=979,PR!$BK$1087,IF($S$1353=980,PR!$BK$1088,IF($S$1353=981,PR!$BK$1094,IF($S$1353=982,PR!$BK$1095,IF($S$1353=983,PR!$BK$1096,IF($S$1353=984,PR!$BK$1097,IF($S$1353=985,PR!$BK$1098,IF($S$1353=986,PR!$BK$1099,IF($S$1353=987,PR!$BK$1100,IF($S$1353=988,PR!$BK$1101,IF($S$1353=989,PR!$BK$1102,IF($S$1353=990,PR!$BK$1103,IF($S$1353=991,PR!$BK$1104,IF($S$1353=992,PR!$BK$1105,IF($S$1353=993,PR!$BK$1106,IF($S$1353=994,PR!$BK$1107,IF($S$1353=995,PR!$BK$1108,IF($S$1353=996,PR!$BK$1109,IF($S$1353=997,PR!$BK$1110,IF($S$1353=998,PR!$BK$1111,IF($S$1353=999,PR!$BK$1112,IF($S$1353=1000,PR!$BK$1113,IF($S$1353=1001,PR!$BK$1114,IF($S$1353=1002,PR!$BK$1115,IF($S$1353=1003,PR!$BK$1116,IF($S$1353=1004,PR!$BK$1117,IF($S$1353=1005,PR!$BK$1118,IF($S$1353=1006,PR!$BK$1119,IF($S$1353=1007,PR!$BK$1120,IF($S$1353=1008,PR!$BK$1121,IF($S$1353=1009,PR!$BK$1122,IF($S$1353=1010,PR!$BK$1123,IF($S$1353=1011,PR!$BK$1124,IF($S$1353=1012,PR!$BK$1125,IF($S$1353=1013,PR!$BK$1126,IF($S$1353=1014,PR!$BK$1127,IF($S$1353=1015,PR!$BK$1128,IF($S$1353=1016,PR!$BK$1129,IF($S$1353=1017,PR!$BK$1130,IF($S$1353=1018,PR!$BK$1131,IF($S$1353=1019,PR!$BK$1132,IF($S$1353=1020,PR!$BK$1133,"-"))))))))))))))))))))))))))))))))))))))))))))))))))))))))))))</f>
        <v>20000</v>
      </c>
      <c r="K1366" s="602">
        <f>IF($S$1353=961,PR!$BL$1066,IF($S$1353=962,PR!$BL$1067,IF($S$1353=963,PR!$BL$1068,IF($S$1353=964,PR!$BL$1069,IF($S$1353=965,PR!$BL$1070,IF($S$1353=966,PR!$BL$1071,IF($S$1353=967,PR!$BL$1072,IF($S$1353=968,PR!$BL$1073,IF($S$1353=969,PR!$BL$1074,IF($S$1353=970,PR!$BL$1075,IF($S$1353=971,PR!$BL$1076,IF($S$1353=972,PR!$BL$1077,IF($S$1353=973,PR!$BL$1078,IF($S$1353=974,PR!$BL$1082,IF($S$1353=975,PR!$BL$1083,IF($S$1353=976,PR!$BL$1084,IF($S$1353=977,PR!$BL$1085,IF($S$1353=978,PR!$BL$1086,IF($S$1353=979,PR!$BL$1087,IF($S$1353=980,PR!$BL$1088,IF($S$1353=981,PR!$BL$1094,IF($S$1353=982,PR!$BL$1095,IF($S$1353=983,PR!$BL$1096,IF($S$1353=984,PR!$BL$1097,IF($S$1353=985,PR!$BL$1098,IF($S$1353=986,PR!$BL$1099,IF($S$1353=987,PR!$BL$1100,IF($S$1353=988,PR!$BL$1101,IF($S$1353=989,PR!$BL$1102,IF($S$1353=990,PR!$BL$1103,IF($S$1353=991,PR!$BL$1104,IF($S$1353=992,PR!$BL$1105,IF($S$1353=993,PR!$BL$1106,IF($S$1353=994,PR!$BL$1107,IF($S$1353=995,PR!$BL$1108,IF($S$1353=996,PR!$BL$1109,IF($S$1353=997,PR!$BL$1110,IF($S$1353=998,PR!$BL$1111,IF($S$1353=999,PR!$BL$1112,IF($S$1353=1000,PR!$BL$1113,IF($S$1353=1001,PR!$BL$1114,IF($S$1353=1002,PR!$BL$1115,IF($S$1353=1003,PR!$BL$1116,IF($S$1353=1004,PR!$BL$1117,IF($S$1353=1005,PR!$BL$1118,IF($S$1353=1006,PR!$BL$1119,IF($S$1353=1007,PR!$BL$1120,IF($S$1353=1008,PR!$BL$1121,IF($S$1353=1009,PR!$BL$1122,IF($S$1353=1010,PR!$BL$1123,IF($S$1353=1011,PR!$BL$1124,IF($S$1353=1012,PR!$BL$1125,IF($S$1353=1013,PR!$BL$1126,IF($S$1353=1014,PR!$BL$1127,IF($S$1353=1015,PR!$BL$1128,IF($S$1353=1016,PR!$BL$1129,IF($S$1353=1017,PR!$BL$1130,IF($S$1353=1018,PR!$BL$1131,IF($S$1353=1019,PR!$BL$1132,IF($S$1353=1020,PR!$BL$1133,"-"))))))))))))))))))))))))))))))))))))))))))))))))))))))))))))</f>
        <v>0</v>
      </c>
      <c r="L1366" s="602">
        <f>IF($S$1353=961,PR!$BM$1066,IF($S$1353=962,PR!$BM$1067,IF($S$1353=963,PR!$BM$1068,IF($S$1353=964,PR!$BM$1069,IF($S$1353=965,PR!$BM$1070,IF($S$1353=966,PR!$BM$1071,IF($S$1353=967,PR!$BM$1072,IF($S$1353=968,PR!$BM$1073,IF($S$1353=969,PR!$BM$1074,IF($S$1353=970,PR!$BM$1075,IF($S$1353=971,PR!$BM$1076,IF($S$1353=972,PR!$BM$1077,IF($S$1353=973,PR!$BM$1078,IF($S$1353=974,PR!$BM$1082,IF($S$1353=975,PR!$BM$1083,IF($S$1353=976,PR!$BM$1084,IF($S$1353=977,PR!$BM$1085,IF($S$1353=978,PR!$BM$1086,IF($S$1353=979,PR!$BM$1087,IF($S$1353=980,PR!$BM$1088,IF($S$1353=981,PR!$BM$1094,IF($S$1353=982,PR!$BM$1095,IF($S$1353=983,PR!$BM$1096,IF($S$1353=984,PR!$BM$1097,IF($S$1353=985,PR!$BM$1098,IF($S$1353=986,PR!$BM$1099,IF($S$1353=987,PR!$BM$1100,IF($S$1353=988,PR!$BM$1101,IF($S$1353=989,PR!$BM$1102,IF($S$1353=990,PR!$BM$1103,IF($S$1353=991,PR!$BM$1104,IF($S$1353=992,PR!$BM$1105,IF($S$1353=993,PR!$BM$1106,IF($S$1353=994,PR!$BM$1107,IF($S$1353=995,PR!$BM$1108,IF($S$1353=996,PR!$BM$1109,IF($S$1353=997,PR!$BM$1110,IF($S$1353=998,PR!$BM$1111,IF($S$1353=999,PR!$BM$1112,IF($S$1353=1000,PR!$BM$1113,IF($S$1353=1001,PR!$BM$1114,IF($S$1353=1002,PR!$BM$1115,IF($S$1353=1003,PR!$BM$1116,IF($S$1353=1004,PR!$BM$1117,IF($S$1353=1005,PR!$BM$1118,IF($S$1353=1006,PR!$BM$1119,IF($S$1353=1007,PR!$BM$1120,IF($S$1353=1008,PR!$BM$1121,IF($S$1353=1009,PR!$BM$1122,IF($S$1353=1010,PR!$BM$1123,IF($S$1353=1011,PR!$BM$1124,IF($S$1353=1012,PR!$BM$1125,IF($S$1353=1013,PR!$BM$1126,IF($S$1353=1014,PR!$BM$1127,IF($S$1353=1015,PR!$BM$1128,IF($S$1353=1016,PR!$BM$1129,IF($S$1353=1017,PR!$BM$1130,IF($S$1353=1018,PR!$BM$1131,IF($S$1353=1019,PR!$BM$1132,IF($S$1353=1020,PR!$BM$1133,"-"))))))))))))))))))))))))))))))))))))))))))))))))))))))))))))</f>
        <v>0</v>
      </c>
      <c r="M1366" s="602">
        <f>IF($S$1353=961,PR!$BN$1066,IF($S$1353=962,PR!$BN$1067,IF($S$1353=963,PR!$BN$1068,IF($S$1353=964,PR!$BN$1069,IF($S$1353=965,PR!$BN$1070,IF($S$1353=966,PR!$BN$1071,IF($S$1353=967,PR!$BN$1072,IF($S$1353=968,PR!$BN$1073,IF($S$1353=969,PR!$BN$1074,IF($S$1353=970,PR!$BN$1075,IF($S$1353=971,PR!$BN$1076,IF($S$1353=972,PR!$BN$1077,IF($S$1353=973,PR!$BN$1078,IF($S$1353=974,PR!$BN$1082,IF($S$1353=975,PR!$BN$1083,IF($S$1353=976,PR!$BN$1084,IF($S$1353=977,PR!$BN$1085,IF($S$1353=978,PR!$BN$1086,IF($S$1353=979,PR!$BN$1087,IF($S$1353=980,PR!$BN$1088,IF($S$1353=981,PR!$BN$1094,IF($S$1353=982,PR!$BN$1095,IF($S$1353=983,PR!$BN$1096,IF($S$1353=984,PR!$BN$1097,IF($S$1353=985,PR!$BN$1098,IF($S$1353=986,PR!$BN$1099,IF($S$1353=987,PR!$BN$1100,IF($S$1353=988,PR!$BN$1101,IF($S$1353=989,PR!$BN$1102,IF($S$1353=990,PR!$BN$1103,IF($S$1353=991,PR!$BN$1104,IF($S$1353=992,PR!$BN$1105,IF($S$1353=993,PR!$BN$1106,IF($S$1353=994,PR!$BN$1107,IF($S$1353=995,PR!$BN$1108,IF($S$1353=996,PR!$BN$1109,IF($S$1353=997,PR!$BN$1110,IF($S$1353=998,PR!$BN$1111,IF($S$1353=999,PR!$BN$1112,IF($S$1353=1000,PR!$BN$1113,IF($S$1353=1001,PR!$BN$1114,IF($S$1353=1002,PR!$BN$1115,IF($S$1353=1003,PR!$BN$1116,IF($S$1353=1004,PR!$BN$1117,IF($S$1353=1005,PR!$BN$1118,IF($S$1353=1006,PR!$BN$1119,IF($S$1353=1007,PR!$BN$1120,IF($S$1353=1008,PR!$BN$1121,IF($S$1353=1009,PR!$BN$1122,IF($S$1353=1010,PR!$BN$1123,IF($S$1353=1011,PR!$BN$1124,IF($S$1353=1012,PR!$BN$1125,IF($S$1353=1013,PR!$BN$1126,IF($S$1353=1014,PR!$BN$1127,IF($S$1353=1015,PR!$BN$1128,IF($S$1353=1016,PR!$BN$1129,IF($S$1353=1017,PR!$BN$1130,IF($S$1353=1018,PR!$BN$1131,IF($S$1353=1019,PR!$BN$1132,IF($S$1353=1020,PR!$BN$1133,"-"))))))))))))))))))))))))))))))))))))))))))))))))))))))))))))</f>
        <v>0</v>
      </c>
      <c r="N1366" s="602">
        <f>IF($S$1353=961,PR!$BO$1066,IF($S$1353=962,PR!$BO$1067,IF($S$1353=963,PR!$BO$1068,IF($S$1353=964,PR!$BO$1069,IF($S$1353=965,PR!$BO$1070,IF($S$1353=966,PR!$BO$1071,IF($S$1353=967,PR!$BO$1072,IF($S$1353=968,PR!$BO$1073,IF($S$1353=969,PR!$BO$1074,IF($S$1353=970,PR!$BO$1075,IF($S$1353=971,PR!$BO$1076,IF($S$1353=972,PR!$BO$1077,IF($S$1353=973,PR!$BO$1078,IF($S$1353=974,PR!$BO$1082,IF($S$1353=975,PR!$BO$1083,IF($S$1353=976,PR!$BO$1084,IF($S$1353=977,PR!$BO$1085,IF($S$1353=978,PR!$BO$1086,IF($S$1353=979,PR!$BO$1087,IF($S$1353=980,PR!$BO$1088,IF($S$1353=981,PR!$BO$1094,IF($S$1353=982,PR!$BO$1095,IF($S$1353=983,PR!$BO$1096,IF($S$1353=984,PR!$BO$1097,IF($S$1353=985,PR!$BO$1098,IF($S$1353=986,PR!$BO$1099,IF($S$1353=987,PR!$BO$1100,IF($S$1353=988,PR!$BO$1101,IF($S$1353=989,PR!$BO$1102,IF($S$1353=990,PR!$BO$1103,IF($S$1353=991,PR!$BO$1104,IF($S$1353=992,PR!$BO$1105,IF($S$1353=993,PR!$BO$1106,IF($S$1353=994,PR!$BO$1107,IF($S$1353=995,PR!$BO$1108,IF($S$1353=996,PR!$BO$1109,IF($S$1353=997,PR!$BO$1110,IF($S$1353=998,PR!$BO$1111,IF($S$1353=999,PR!$BO$1112,IF($S$1353=1000,PR!$BO$1113,IF($S$1353=1001,PR!$BO$1114,IF($S$1353=1002,PR!$BO$1115,IF($S$1353=1003,PR!$BO$1116,IF($S$1353=1004,PR!$BO$1117,IF($S$1353=1005,PR!$BO$1118,IF($S$1353=1006,PR!$BO$1119,IF($S$1353=1007,PR!$BO$1120,IF($S$1353=1008,PR!$BO$1121,IF($S$1353=1009,PR!$BO$1122,IF($S$1353=1010,PR!$BO$1123,IF($S$1353=1011,PR!$BO$1124,IF($S$1353=1012,PR!$BO$1125,IF($S$1353=1013,PR!$BO$1126,IF($S$1353=1014,PR!$BO$1127,IF($S$1353=1015,PR!$BO$1128,IF($S$1353=1016,PR!$BO$1129,IF($S$1353=1017,PR!$BO$1130,IF($S$1353=1018,PR!$BO$1131,IF($S$1353=1019,PR!$BO$1132,IF($S$1353=1020,PR!$BO$1133,"-"))))))))))))))))))))))))))))))))))))))))))))))))))))))))))))</f>
        <v>0</v>
      </c>
      <c r="O1366" s="602">
        <f>IF($S$1353=961,PR!$BP$1066,IF($S$1353=962,PR!$BP$1067,IF($S$1353=963,PR!$BP$1068,IF($S$1353=964,PR!$BP$1069,IF($S$1353=965,PR!$BP$1070,IF($S$1353=966,PR!$BP$1071,IF($S$1353=967,PR!$BP$1072,IF($S$1353=968,PR!$BP$1073,IF($S$1353=969,PR!$BP$1074,IF($S$1353=970,PR!$BP$1075,IF($S$1353=971,PR!$BP$1076,IF($S$1353=972,PR!$BP$1077,IF($S$1353=973,PR!$BP$1078,IF($S$1353=974,PR!$BP$1082,IF($S$1353=975,PR!$BP$1083,IF($S$1353=976,PR!$BP$1084,IF($S$1353=977,PR!$BP$1085,IF($S$1353=978,PR!$BP$1086,IF($S$1353=979,PR!$BP$1087,IF($S$1353=980,PR!$BP$1088,IF($S$1353=981,PR!$BP$1094,IF($S$1353=982,PR!$BP$1095,IF($S$1353=983,PR!$BP$1096,IF($S$1353=984,PR!$BP$1097,IF($S$1353=985,PR!$BP$1098,IF($S$1353=986,PR!$BP$1099,IF($S$1353=987,PR!$BP$1100,IF($S$1353=988,PR!$BP$1101,IF($S$1353=989,PR!$BP$1102,IF($S$1353=990,PR!$BP$1103,IF($S$1353=991,PR!$BP$1104,IF($S$1353=992,PR!$BP$1105,IF($S$1353=993,PR!$BP$1106,IF($S$1353=994,PR!$BP$1107,IF($S$1353=995,PR!$BP$1108,IF($S$1353=996,PR!$BP$1109,IF($S$1353=997,PR!$BP$1110,IF($S$1353=998,PR!$BP$1111,IF($S$1353=999,PR!$BP$1112,IF($S$1353=1000,PR!$BP$1113,IF($S$1353=1001,PR!$BP$1114,IF($S$1353=1002,PR!$BP$1115,IF($S$1353=1003,PR!$BP$1116,IF($S$1353=1004,PR!$BP$1117,IF($S$1353=1005,PR!$BP$1118,IF($S$1353=1006,PR!$BP$1119,IF($S$1353=1007,PR!$BP$1120,IF($S$1353=1008,PR!$BP$1121,IF($S$1353=1009,PR!$BP$1122,IF($S$1353=1010,PR!$BP$1123,IF($S$1353=1011,PR!$BP$1124,IF($S$1353=1012,PR!$BP$1125,IF($S$1353=1013,PR!$BP$1126,IF($S$1353=1014,PR!$BP$1127,IF($S$1353=1015,PR!$BP$1128,IF($S$1353=1016,PR!$BP$1129,IF($S$1353=1017,PR!$BP$1130,IF($S$1353=1018,PR!$BP$1131,IF($S$1353=1019,PR!$BP$1132,IF($S$1353=1020,PR!$BP$1133,"-"))))))))))))))))))))))))))))))))))))))))))))))))))))))))))))</f>
        <v>0</v>
      </c>
      <c r="P1366" s="602">
        <f>IF($S$1353=961,PR!$BQ$1066,IF($S$1353=962,PR!$BQ$1067,IF($S$1353=963,PR!$BQ$1068,IF($S$1353=964,PR!$BQ$1069,IF($S$1353=965,PR!$BQ$1070,IF($S$1353=966,PR!$BQ$1071,IF($S$1353=967,PR!$BQ$1072,IF($S$1353=968,PR!$BQ$1073,IF($S$1353=969,PR!$BQ$1074,IF($S$1353=970,PR!$BQ$1075,IF($S$1353=971,PR!$BQ$1076,IF($S$1353=972,PR!$BQ$1077,IF($S$1353=973,PR!$BQ$1078,IF($S$1353=974,PR!$BQ$1082,IF($S$1353=975,PR!$BQ$1083,IF($S$1353=976,PR!$BQ$1084,IF($S$1353=977,PR!$BQ$1085,IF($S$1353=978,PR!$BQ$1086,IF($S$1353=979,PR!$BQ$1087,IF($S$1353=980,PR!$BQ$1088,IF($S$1353=981,PR!$BQ$1094,IF($S$1353=982,PR!$BQ$1095,IF($S$1353=983,PR!$BQ$1096,IF($S$1353=984,PR!$BQ$1097,IF($S$1353=985,PR!$BQ$1098,IF($S$1353=986,PR!$BQ$1099,IF($S$1353=987,PR!$BQ$1100,IF($S$1353=988,PR!$BQ$1101,IF($S$1353=989,PR!$BQ$1102,IF($S$1353=990,PR!$BQ$1103,IF($S$1353=991,PR!$BQ$1104,IF($S$1353=992,PR!$BQ$1105,IF($S$1353=993,PR!$BQ$1106,IF($S$1353=994,PR!$BQ$1107,IF($S$1353=995,PR!$BQ$1108,IF($S$1353=996,PR!$BQ$1109,IF($S$1353=997,PR!$BQ$1110,IF($S$1353=998,PR!$BQ$1111,IF($S$1353=999,PR!$BQ$1112,IF($S$1353=1000,PR!$BQ$1113,IF($S$1353=1001,PR!$BQ$1114,IF($S$1353=1002,PR!$BQ$1115,IF($S$1353=1003,PR!$BQ$1116,IF($S$1353=1004,PR!$BQ$1117,IF($S$1353=1005,PR!$BQ$1118,IF($S$1353=1006,PR!$BQ$1119,IF($S$1353=1007,PR!$BQ$1120,IF($S$1353=1008,PR!$BQ$1121,IF($S$1353=1009,PR!$BQ$1122,IF($S$1353=1010,PR!$BQ$1123,IF($S$1353=1011,PR!$BQ$1124,IF($S$1353=1012,PR!$BQ$1125,IF($S$1353=1013,PR!$BQ$1126,IF($S$1353=1014,PR!$BQ$1127,IF($S$1353=1015,PR!$BQ$1128,IF($S$1353=1016,PR!$BQ$1129,IF($S$1353=1017,PR!$BQ$1130,IF($S$1353=1018,PR!$BQ$1131,IF($S$1353=1019,PR!$BQ$1132,IF($S$1353=1020,PR!$BQ$1133,"-"))))))))))))))))))))))))))))))))))))))))))))))))))))))))))))</f>
        <v>0</v>
      </c>
      <c r="Q1366" s="602">
        <f>IF($S$1353=961,PR!$BR$1066,IF($S$1353=962,PR!$BR$1067,IF($S$1353=963,PR!$BR$1068,IF($S$1353=964,PR!$BR$1069,IF($S$1353=965,PR!$BR$1070,IF($S$1353=966,PR!$BR$1071,IF($S$1353=967,PR!$BR$1072,IF($S$1353=968,PR!$BR$1073,IF($S$1353=969,PR!$BR$1074,IF($S$1353=970,PR!$BR$1075,IF($S$1353=971,PR!$BR$1076,IF($S$1353=972,PR!$BR$1077,IF($S$1353=973,PR!$BR$1078,IF($S$1353=974,PR!$BR$1082,IF($S$1353=975,PR!$BR$1083,IF($S$1353=976,PR!$BR$1084,IF($S$1353=977,PR!$BR$1085,IF($S$1353=978,PR!$BR$1086,IF($S$1353=979,PR!$BR$1087,IF($S$1353=980,PR!$BR$1088,IF($S$1353=981,PR!$BR$1094,IF($S$1353=982,PR!$BR$1095,IF($S$1353=983,PR!$BR$1096,IF($S$1353=984,PR!$BR$1097,IF($S$1353=985,PR!$BR$1098,IF($S$1353=986,PR!$BR$1099,IF($S$1353=987,PR!$BR$1100,IF($S$1353=988,PR!$BR$1101,IF($S$1353=989,PR!$BR$1102,IF($S$1353=990,PR!$BR$1103,IF($S$1353=991,PR!$BR$1104,IF($S$1353=992,PR!$BR$1105,IF($S$1353=993,PR!$BR$1106,IF($S$1353=994,PR!$BR$1107,IF($S$1353=995,PR!$BR$1108,IF($S$1353=996,PR!$BR$1109,IF($S$1353=997,PR!$BR$1110,IF($S$1353=998,PR!$BR$1111,IF($S$1353=999,PR!$BR$1112,IF($S$1353=1000,PR!$BR$1113,IF($S$1353=1001,PR!$BR$1114,IF($S$1353=1002,PR!$BR$1115,IF($S$1353=1003,PR!$BR$1116,IF($S$1353=1004,PR!$BR$1117,IF($S$1353=1005,PR!$BR$1118,IF($S$1353=1006,PR!$BR$1119,IF($S$1353=1007,PR!$BR$1120,IF($S$1353=1008,PR!$BR$1121,IF($S$1353=1009,PR!$BR$1122,IF($S$1353=1010,PR!$BR$1123,IF($S$1353=1011,PR!$BR$1124,IF($S$1353=1012,PR!$BR$1125,IF($S$1353=1013,PR!$BR$1126,IF($S$1353=1014,PR!$BR$1127,IF($S$1353=1015,PR!$BR$1128,IF($S$1353=1016,PR!$BR$1129,IF($S$1353=1017,PR!$BR$1130,IF($S$1353=1018,PR!$BR$1131,IF($S$1353=1019,PR!$BR$1132,IF($S$1353=1020,PR!$BR$1133,"-"))))))))))))))))))))))))))))))))))))))))))))))))))))))))))))</f>
        <v>0</v>
      </c>
      <c r="R1366" s="602">
        <f>IF($S$1353=961,PR!$BS$1066,IF($S$1353=962,PR!$BS$1067,IF($S$1353=963,PR!$BS$1068,IF($S$1353=964,PR!$BS$1069,IF($S$1353=965,PR!$BS$1070,IF($S$1353=966,PR!$BS$1071,IF($S$1353=967,PR!$BS$1072,IF($S$1353=968,PR!$BS$1073,IF($S$1353=969,PR!$BS$1074,IF($S$1353=970,PR!$BS$1075,IF($S$1353=971,PR!$BS$1076,IF($S$1353=972,PR!$BS$1077,IF($S$1353=973,PR!$BS$1078,IF($S$1353=974,PR!$BS$1082,IF($S$1353=975,PR!$BS$1083,IF($S$1353=976,PR!$BS$1084,IF($S$1353=977,PR!$BS$1085,IF($S$1353=978,PR!$BS$1086,IF($S$1353=979,PR!$BS$1087,IF($S$1353=980,PR!$BS$1088,IF($S$1353=981,PR!$BS$1094,IF($S$1353=982,PR!$BS$1095,IF($S$1353=983,PR!$BS$1096,IF($S$1353=984,PR!$BS$1097,IF($S$1353=985,PR!$BS$1098,IF($S$1353=986,PR!$BS$1099,IF($S$1353=987,PR!$BS$1100,IF($S$1353=988,PR!$BS$1101,IF($S$1353=989,PR!$BS$1102,IF($S$1353=990,PR!$BS$1103,IF($S$1353=991,PR!$BS$1104,IF($S$1353=992,PR!$BS$1105,IF($S$1353=993,PR!$BS$1106,IF($S$1353=994,PR!$BS$1107,IF($S$1353=995,PR!$BS$1108,IF($S$1353=996,PR!$BS$1109,IF($S$1353=997,PR!$BS$1110,IF($S$1353=998,PR!$BS$1111,IF($S$1353=999,PR!$BS$1112,IF($S$1353=1000,PR!$BS$1113,IF($S$1353=1001,PR!$BS$1114,IF($S$1353=1002,PR!$BS$1115,IF($S$1353=1003,PR!$BS$1116,IF($S$1353=1004,PR!$BS$1117,IF($S$1353=1005,PR!$BS$1118,IF($S$1353=1006,PR!$BS$1119,IF($S$1353=1007,PR!$BS$1120,IF($S$1353=1008,PR!$BS$1121,IF($S$1353=1009,PR!$BS$1122,IF($S$1353=1010,PR!$BS$1123,IF($S$1353=1011,PR!$BS$1124,IF($S$1353=1012,PR!$BS$1125,IF($S$1353=1013,PR!$BS$1126,IF($S$1353=1014,PR!$BS$1127,IF($S$1353=1015,PR!$BS$1128,IF($S$1353=1016,PR!$BS$1129,IF($S$1353=1017,PR!$BS$1130,IF($S$1353=1018,PR!$BS$1131,IF($S$1353=1019,PR!$BS$1132,IF($S$1353=1020,PR!$BS$1133,"-"))))))))))))))))))))))))))))))))))))))))))))))))))))))))))))</f>
        <v>0</v>
      </c>
      <c r="S1366" s="604"/>
      <c r="T1366" s="580"/>
      <c r="U1366" s="580"/>
      <c r="V1366" s="32"/>
      <c r="W1366" s="32"/>
      <c r="X1366" s="32"/>
    </row>
    <row r="1367" spans="2:24" ht="7.5" customHeight="1" x14ac:dyDescent="0.25">
      <c r="B1367" s="580"/>
      <c r="C1367" s="593"/>
      <c r="D1367" s="580"/>
      <c r="E1367" s="580"/>
      <c r="F1367" s="580"/>
      <c r="G1367" s="580"/>
      <c r="H1367" s="580"/>
      <c r="I1367" s="580"/>
      <c r="J1367" s="580"/>
      <c r="K1367" s="580"/>
      <c r="L1367" s="580"/>
      <c r="M1367" s="580"/>
      <c r="N1367" s="580"/>
      <c r="O1367" s="580"/>
      <c r="P1367" s="580"/>
      <c r="Q1367" s="580"/>
      <c r="R1367" s="583"/>
      <c r="S1367" s="580"/>
      <c r="T1367" s="580"/>
      <c r="U1367" s="580"/>
      <c r="V1367" s="32"/>
      <c r="W1367" s="32"/>
      <c r="X1367" s="32"/>
    </row>
    <row r="1368" spans="2:24" ht="30" x14ac:dyDescent="0.25">
      <c r="B1368" s="580"/>
      <c r="C1368" s="593"/>
      <c r="D1368" s="580"/>
      <c r="E1368" s="580"/>
      <c r="F1368" s="580"/>
      <c r="G1368" s="580"/>
      <c r="H1368" s="580"/>
      <c r="I1368" s="580"/>
      <c r="J1368" s="580"/>
      <c r="K1368" s="597" t="s">
        <v>783</v>
      </c>
      <c r="L1368" s="598" t="s">
        <v>418</v>
      </c>
      <c r="M1368" s="598" t="s">
        <v>419</v>
      </c>
      <c r="N1368" s="599" t="s">
        <v>420</v>
      </c>
      <c r="O1368" s="580"/>
      <c r="P1368" s="580"/>
      <c r="Q1368" s="580"/>
      <c r="R1368" s="580"/>
      <c r="S1368" s="580"/>
      <c r="T1368" s="580"/>
      <c r="U1368" s="580"/>
      <c r="V1368" s="32"/>
      <c r="W1368" s="32"/>
      <c r="X1368" s="32"/>
    </row>
    <row r="1369" spans="2:24" x14ac:dyDescent="0.25">
      <c r="B1369" s="580"/>
      <c r="C1369" s="593"/>
      <c r="D1369" s="580"/>
      <c r="E1369" s="580"/>
      <c r="F1369" s="580"/>
      <c r="G1369" s="580"/>
      <c r="H1369" s="580"/>
      <c r="I1369" s="580"/>
      <c r="J1369" s="580"/>
      <c r="K1369" s="583" t="s">
        <v>785</v>
      </c>
      <c r="L1369" s="580"/>
      <c r="M1369" s="580"/>
      <c r="N1369" s="580"/>
      <c r="O1369" s="580"/>
      <c r="P1369" s="580"/>
      <c r="Q1369" s="580"/>
      <c r="R1369" s="580"/>
      <c r="S1369" s="580"/>
      <c r="T1369" s="580"/>
      <c r="U1369" s="580"/>
      <c r="V1369" s="32"/>
      <c r="W1369" s="32"/>
      <c r="X1369" s="32"/>
    </row>
    <row r="1370" spans="2:24" x14ac:dyDescent="0.25">
      <c r="B1370" s="32"/>
      <c r="C1370" s="96"/>
      <c r="D1370" s="32"/>
      <c r="E1370" s="32"/>
      <c r="F1370" s="32"/>
      <c r="G1370" s="32"/>
      <c r="H1370" s="32"/>
      <c r="I1370" s="32"/>
      <c r="J1370" s="32"/>
      <c r="K1370" s="97">
        <v>961</v>
      </c>
      <c r="L1370" s="98" t="s">
        <v>1459</v>
      </c>
      <c r="M1370" s="99" t="s">
        <v>626</v>
      </c>
      <c r="N1370" s="100" t="s">
        <v>1452</v>
      </c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</row>
    <row r="1371" spans="2:24" x14ac:dyDescent="0.25">
      <c r="B1371" s="32"/>
      <c r="C1371" s="32"/>
      <c r="D1371" s="32"/>
      <c r="E1371" s="32"/>
      <c r="F1371" s="32"/>
      <c r="G1371" s="32"/>
      <c r="H1371" s="32"/>
      <c r="I1371" s="32"/>
      <c r="J1371" s="32"/>
      <c r="K1371" s="97">
        <f>1+K1370</f>
        <v>962</v>
      </c>
      <c r="L1371" s="98" t="s">
        <v>1459</v>
      </c>
      <c r="M1371" s="99" t="s">
        <v>626</v>
      </c>
      <c r="N1371" s="100" t="s">
        <v>1452</v>
      </c>
      <c r="O1371" s="32"/>
      <c r="P1371" s="32"/>
      <c r="Q1371" s="32"/>
      <c r="R1371" s="32"/>
      <c r="S1371" s="32"/>
      <c r="T1371" s="32"/>
      <c r="U1371" s="32"/>
      <c r="V1371" s="32"/>
      <c r="W1371" s="32"/>
      <c r="X1371" s="32"/>
    </row>
    <row r="1372" spans="2:24" x14ac:dyDescent="0.25">
      <c r="B1372" s="32"/>
      <c r="C1372" s="32"/>
      <c r="D1372" s="32"/>
      <c r="E1372" s="32"/>
      <c r="F1372" s="32"/>
      <c r="G1372" s="32"/>
      <c r="H1372" s="32"/>
      <c r="I1372" s="32"/>
      <c r="J1372" s="32"/>
      <c r="K1372" s="97">
        <f t="shared" ref="K1372:K1429" si="17">1+K1371</f>
        <v>963</v>
      </c>
      <c r="L1372" s="98" t="s">
        <v>1459</v>
      </c>
      <c r="M1372" s="99" t="s">
        <v>626</v>
      </c>
      <c r="N1372" s="100" t="s">
        <v>1452</v>
      </c>
      <c r="O1372" s="32"/>
      <c r="P1372" s="32"/>
      <c r="Q1372" s="32"/>
      <c r="R1372" s="32"/>
      <c r="S1372" s="32"/>
      <c r="T1372" s="32"/>
      <c r="U1372" s="32"/>
      <c r="V1372" s="32"/>
      <c r="W1372" s="32"/>
      <c r="X1372" s="32"/>
    </row>
    <row r="1373" spans="2:24" x14ac:dyDescent="0.25">
      <c r="B1373" s="32"/>
      <c r="C1373" s="32"/>
      <c r="D1373" s="32"/>
      <c r="E1373" s="32"/>
      <c r="F1373" s="32"/>
      <c r="G1373" s="32"/>
      <c r="H1373" s="32"/>
      <c r="I1373" s="32"/>
      <c r="J1373" s="32"/>
      <c r="K1373" s="97">
        <f t="shared" si="17"/>
        <v>964</v>
      </c>
      <c r="L1373" s="98" t="s">
        <v>1459</v>
      </c>
      <c r="M1373" s="99" t="s">
        <v>626</v>
      </c>
      <c r="N1373" s="100" t="s">
        <v>1452</v>
      </c>
      <c r="O1373" s="32"/>
      <c r="P1373" s="32"/>
      <c r="Q1373" s="32"/>
      <c r="R1373" s="32"/>
      <c r="S1373" s="32"/>
      <c r="T1373" s="32"/>
      <c r="U1373" s="32"/>
      <c r="V1373" s="32"/>
      <c r="W1373" s="32"/>
      <c r="X1373" s="32"/>
    </row>
    <row r="1374" spans="2:24" x14ac:dyDescent="0.25">
      <c r="B1374" s="32"/>
      <c r="C1374" s="32"/>
      <c r="D1374" s="32"/>
      <c r="E1374" s="32"/>
      <c r="F1374" s="32"/>
      <c r="G1374" s="32"/>
      <c r="H1374" s="32"/>
      <c r="I1374" s="32"/>
      <c r="J1374" s="32"/>
      <c r="K1374" s="97">
        <f t="shared" si="17"/>
        <v>965</v>
      </c>
      <c r="L1374" s="98" t="s">
        <v>1459</v>
      </c>
      <c r="M1374" s="99" t="s">
        <v>626</v>
      </c>
      <c r="N1374" s="100" t="s">
        <v>1452</v>
      </c>
      <c r="O1374" s="32"/>
      <c r="P1374" s="32"/>
      <c r="Q1374" s="32"/>
      <c r="R1374" s="32"/>
      <c r="S1374" s="32"/>
      <c r="T1374" s="32"/>
      <c r="U1374" s="32"/>
      <c r="V1374" s="32"/>
      <c r="W1374" s="32"/>
      <c r="X1374" s="32"/>
    </row>
    <row r="1375" spans="2:24" x14ac:dyDescent="0.25">
      <c r="B1375" s="32"/>
      <c r="C1375" s="32"/>
      <c r="D1375" s="32"/>
      <c r="E1375" s="32"/>
      <c r="F1375" s="32"/>
      <c r="G1375" s="32"/>
      <c r="H1375" s="32"/>
      <c r="I1375" s="32"/>
      <c r="J1375" s="32"/>
      <c r="K1375" s="97">
        <f t="shared" si="17"/>
        <v>966</v>
      </c>
      <c r="L1375" s="98" t="s">
        <v>1459</v>
      </c>
      <c r="M1375" s="99" t="s">
        <v>626</v>
      </c>
      <c r="N1375" s="100" t="s">
        <v>1452</v>
      </c>
      <c r="O1375" s="32"/>
      <c r="P1375" s="32"/>
      <c r="Q1375" s="32"/>
      <c r="R1375" s="32"/>
      <c r="S1375" s="32"/>
      <c r="T1375" s="32"/>
      <c r="U1375" s="32"/>
      <c r="V1375" s="32"/>
      <c r="W1375" s="32"/>
      <c r="X1375" s="32"/>
    </row>
    <row r="1376" spans="2:24" x14ac:dyDescent="0.25">
      <c r="B1376" s="32"/>
      <c r="C1376" s="32"/>
      <c r="D1376" s="32"/>
      <c r="E1376" s="32"/>
      <c r="F1376" s="32"/>
      <c r="G1376" s="32"/>
      <c r="H1376" s="32"/>
      <c r="I1376" s="32"/>
      <c r="J1376" s="32"/>
      <c r="K1376" s="97">
        <f t="shared" si="17"/>
        <v>967</v>
      </c>
      <c r="L1376" s="98" t="s">
        <v>1459</v>
      </c>
      <c r="M1376" s="99" t="s">
        <v>626</v>
      </c>
      <c r="N1376" s="100" t="s">
        <v>1452</v>
      </c>
      <c r="O1376" s="32"/>
      <c r="P1376" s="32"/>
      <c r="Q1376" s="32"/>
      <c r="R1376" s="32"/>
      <c r="S1376" s="32"/>
      <c r="T1376" s="32"/>
      <c r="U1376" s="32"/>
      <c r="V1376" s="32"/>
      <c r="W1376" s="32"/>
      <c r="X1376" s="32"/>
    </row>
    <row r="1377" spans="2:24" x14ac:dyDescent="0.25">
      <c r="B1377" s="32"/>
      <c r="C1377" s="32"/>
      <c r="D1377" s="32"/>
      <c r="E1377" s="32"/>
      <c r="F1377" s="32"/>
      <c r="G1377" s="32"/>
      <c r="H1377" s="32"/>
      <c r="I1377" s="32"/>
      <c r="J1377" s="32"/>
      <c r="K1377" s="97">
        <f t="shared" si="17"/>
        <v>968</v>
      </c>
      <c r="L1377" s="98" t="s">
        <v>1459</v>
      </c>
      <c r="M1377" s="99" t="s">
        <v>626</v>
      </c>
      <c r="N1377" s="100" t="s">
        <v>1452</v>
      </c>
      <c r="O1377" s="32"/>
      <c r="P1377" s="32"/>
      <c r="Q1377" s="32"/>
      <c r="R1377" s="32"/>
      <c r="S1377" s="32"/>
      <c r="T1377" s="32"/>
      <c r="U1377" s="32"/>
      <c r="V1377" s="32"/>
      <c r="W1377" s="32"/>
      <c r="X1377" s="32"/>
    </row>
    <row r="1378" spans="2:24" x14ac:dyDescent="0.25">
      <c r="B1378" s="32"/>
      <c r="C1378" s="32"/>
      <c r="D1378" s="32"/>
      <c r="E1378" s="32"/>
      <c r="F1378" s="32"/>
      <c r="G1378" s="32"/>
      <c r="H1378" s="32"/>
      <c r="I1378" s="32"/>
      <c r="J1378" s="32"/>
      <c r="K1378" s="97">
        <f t="shared" si="17"/>
        <v>969</v>
      </c>
      <c r="L1378" s="98" t="s">
        <v>1459</v>
      </c>
      <c r="M1378" s="99" t="s">
        <v>626</v>
      </c>
      <c r="N1378" s="100" t="s">
        <v>1452</v>
      </c>
      <c r="O1378" s="32"/>
      <c r="P1378" s="32"/>
      <c r="Q1378" s="32"/>
      <c r="R1378" s="32"/>
      <c r="S1378" s="32"/>
      <c r="T1378" s="32"/>
      <c r="U1378" s="32"/>
      <c r="V1378" s="32"/>
      <c r="W1378" s="32"/>
      <c r="X1378" s="32"/>
    </row>
    <row r="1379" spans="2:24" x14ac:dyDescent="0.25">
      <c r="B1379" s="32"/>
      <c r="C1379" s="32"/>
      <c r="D1379" s="32"/>
      <c r="E1379" s="32"/>
      <c r="F1379" s="32"/>
      <c r="G1379" s="32"/>
      <c r="H1379" s="32"/>
      <c r="I1379" s="32"/>
      <c r="J1379" s="32"/>
      <c r="K1379" s="97">
        <f t="shared" si="17"/>
        <v>970</v>
      </c>
      <c r="L1379" s="98" t="s">
        <v>1463</v>
      </c>
      <c r="M1379" s="99" t="s">
        <v>626</v>
      </c>
      <c r="N1379" s="100" t="s">
        <v>1452</v>
      </c>
      <c r="O1379" s="32"/>
      <c r="P1379" s="32"/>
      <c r="Q1379" s="32"/>
      <c r="R1379" s="32"/>
      <c r="S1379" s="32"/>
      <c r="T1379" s="32"/>
      <c r="U1379" s="32"/>
      <c r="V1379" s="32"/>
      <c r="W1379" s="32"/>
      <c r="X1379" s="32"/>
    </row>
    <row r="1380" spans="2:24" x14ac:dyDescent="0.25">
      <c r="B1380" s="32"/>
      <c r="C1380" s="32"/>
      <c r="D1380" s="32"/>
      <c r="E1380" s="32"/>
      <c r="F1380" s="32"/>
      <c r="G1380" s="32"/>
      <c r="H1380" s="32"/>
      <c r="I1380" s="32"/>
      <c r="J1380" s="32"/>
      <c r="K1380" s="97">
        <f t="shared" si="17"/>
        <v>971</v>
      </c>
      <c r="L1380" s="98" t="s">
        <v>1463</v>
      </c>
      <c r="M1380" s="99" t="s">
        <v>1452</v>
      </c>
      <c r="N1380" s="100" t="s">
        <v>1459</v>
      </c>
      <c r="O1380" s="32"/>
      <c r="P1380" s="32"/>
      <c r="Q1380" s="32"/>
      <c r="R1380" s="32"/>
      <c r="S1380" s="32"/>
      <c r="T1380" s="32"/>
      <c r="U1380" s="32"/>
      <c r="V1380" s="32"/>
      <c r="W1380" s="32"/>
      <c r="X1380" s="32"/>
    </row>
    <row r="1381" spans="2:24" x14ac:dyDescent="0.25">
      <c r="B1381" s="32"/>
      <c r="C1381" s="32"/>
      <c r="D1381" s="32"/>
      <c r="E1381" s="32"/>
      <c r="F1381" s="32"/>
      <c r="G1381" s="32"/>
      <c r="H1381" s="32"/>
      <c r="I1381" s="32"/>
      <c r="J1381" s="32"/>
      <c r="K1381" s="97">
        <f t="shared" si="17"/>
        <v>972</v>
      </c>
      <c r="L1381" s="98" t="s">
        <v>626</v>
      </c>
      <c r="M1381" s="99" t="s">
        <v>1461</v>
      </c>
      <c r="N1381" s="100" t="s">
        <v>1459</v>
      </c>
      <c r="O1381" s="32"/>
      <c r="P1381" s="32"/>
      <c r="Q1381" s="32"/>
      <c r="R1381" s="32"/>
      <c r="S1381" s="32"/>
      <c r="T1381" s="32"/>
      <c r="U1381" s="32"/>
      <c r="V1381" s="32"/>
      <c r="W1381" s="32"/>
      <c r="X1381" s="32"/>
    </row>
    <row r="1382" spans="2:24" x14ac:dyDescent="0.25">
      <c r="B1382" s="32"/>
      <c r="C1382" s="32"/>
      <c r="D1382" s="32"/>
      <c r="E1382" s="32"/>
      <c r="F1382" s="32"/>
      <c r="G1382" s="32"/>
      <c r="H1382" s="32"/>
      <c r="I1382" s="32"/>
      <c r="J1382" s="32"/>
      <c r="K1382" s="97">
        <f t="shared" si="17"/>
        <v>973</v>
      </c>
      <c r="L1382" s="98" t="s">
        <v>1461</v>
      </c>
      <c r="M1382" s="99" t="s">
        <v>626</v>
      </c>
      <c r="N1382" s="100" t="s">
        <v>1459</v>
      </c>
      <c r="O1382" s="32"/>
      <c r="P1382" s="32"/>
      <c r="Q1382" s="32"/>
      <c r="R1382" s="32"/>
      <c r="S1382" s="32"/>
      <c r="T1382" s="32"/>
      <c r="U1382" s="32"/>
      <c r="V1382" s="32"/>
      <c r="W1382" s="32"/>
      <c r="X1382" s="32"/>
    </row>
    <row r="1383" spans="2:24" x14ac:dyDescent="0.25">
      <c r="B1383" s="32"/>
      <c r="C1383" s="32"/>
      <c r="D1383" s="32"/>
      <c r="E1383" s="32"/>
      <c r="F1383" s="32"/>
      <c r="G1383" s="32"/>
      <c r="H1383" s="32"/>
      <c r="I1383" s="32"/>
      <c r="J1383" s="32"/>
      <c r="K1383" s="97">
        <f t="shared" si="17"/>
        <v>974</v>
      </c>
      <c r="L1383" s="98" t="s">
        <v>1463</v>
      </c>
      <c r="M1383" s="99" t="s">
        <v>817</v>
      </c>
      <c r="N1383" s="100" t="s">
        <v>626</v>
      </c>
      <c r="O1383" s="32"/>
      <c r="P1383" s="32"/>
      <c r="Q1383" s="32"/>
      <c r="R1383" s="32"/>
      <c r="S1383" s="32"/>
      <c r="T1383" s="32"/>
      <c r="U1383" s="32"/>
      <c r="V1383" s="32"/>
      <c r="W1383" s="32"/>
      <c r="X1383" s="32"/>
    </row>
    <row r="1384" spans="2:24" x14ac:dyDescent="0.25">
      <c r="B1384" s="32"/>
      <c r="C1384" s="32"/>
      <c r="D1384" s="32"/>
      <c r="E1384" s="32"/>
      <c r="F1384" s="32"/>
      <c r="G1384" s="32"/>
      <c r="H1384" s="32"/>
      <c r="I1384" s="32"/>
      <c r="J1384" s="32"/>
      <c r="K1384" s="97">
        <f t="shared" si="17"/>
        <v>975</v>
      </c>
      <c r="L1384" s="98" t="s">
        <v>817</v>
      </c>
      <c r="M1384" s="99" t="s">
        <v>1463</v>
      </c>
      <c r="N1384" s="100" t="s">
        <v>626</v>
      </c>
      <c r="O1384" s="32"/>
      <c r="P1384" s="32"/>
      <c r="Q1384" s="32"/>
      <c r="R1384" s="32"/>
      <c r="S1384" s="32"/>
      <c r="T1384" s="32"/>
      <c r="U1384" s="32"/>
      <c r="V1384" s="32"/>
      <c r="W1384" s="32"/>
      <c r="X1384" s="32"/>
    </row>
    <row r="1385" spans="2:24" x14ac:dyDescent="0.25">
      <c r="B1385" s="32"/>
      <c r="C1385" s="32"/>
      <c r="D1385" s="32"/>
      <c r="E1385" s="32"/>
      <c r="F1385" s="32"/>
      <c r="G1385" s="32"/>
      <c r="H1385" s="32"/>
      <c r="I1385" s="32"/>
      <c r="J1385" s="32"/>
      <c r="K1385" s="97">
        <f t="shared" si="17"/>
        <v>976</v>
      </c>
      <c r="L1385" s="98" t="s">
        <v>825</v>
      </c>
      <c r="M1385" s="99" t="s">
        <v>1463</v>
      </c>
      <c r="N1385" s="100" t="s">
        <v>1459</v>
      </c>
      <c r="O1385" s="32"/>
      <c r="P1385" s="32"/>
      <c r="Q1385" s="32"/>
      <c r="R1385" s="32"/>
      <c r="S1385" s="32"/>
      <c r="T1385" s="32"/>
      <c r="U1385" s="32"/>
      <c r="V1385" s="32"/>
      <c r="W1385" s="32"/>
      <c r="X1385" s="32"/>
    </row>
    <row r="1386" spans="2:24" x14ac:dyDescent="0.25">
      <c r="B1386" s="32"/>
      <c r="C1386" s="32"/>
      <c r="D1386" s="32"/>
      <c r="E1386" s="32"/>
      <c r="F1386" s="32"/>
      <c r="G1386" s="32"/>
      <c r="H1386" s="32"/>
      <c r="I1386" s="32"/>
      <c r="J1386" s="32"/>
      <c r="K1386" s="97">
        <f t="shared" si="17"/>
        <v>977</v>
      </c>
      <c r="L1386" s="98" t="s">
        <v>825</v>
      </c>
      <c r="M1386" s="99" t="s">
        <v>1463</v>
      </c>
      <c r="N1386" s="100" t="s">
        <v>1459</v>
      </c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</row>
    <row r="1387" spans="2:24" x14ac:dyDescent="0.25">
      <c r="B1387" s="32"/>
      <c r="C1387" s="32"/>
      <c r="D1387" s="32"/>
      <c r="E1387" s="32"/>
      <c r="F1387" s="32"/>
      <c r="G1387" s="32"/>
      <c r="H1387" s="32"/>
      <c r="I1387" s="32"/>
      <c r="J1387" s="32"/>
      <c r="K1387" s="97">
        <f t="shared" si="17"/>
        <v>978</v>
      </c>
      <c r="L1387" s="98" t="s">
        <v>1463</v>
      </c>
      <c r="M1387" s="99" t="s">
        <v>1459</v>
      </c>
      <c r="N1387" s="100" t="s">
        <v>825</v>
      </c>
      <c r="O1387" s="32"/>
      <c r="P1387" s="32"/>
      <c r="Q1387" s="32"/>
      <c r="R1387" s="32"/>
      <c r="S1387" s="32"/>
      <c r="T1387" s="32"/>
      <c r="U1387" s="32"/>
      <c r="V1387" s="32"/>
      <c r="W1387" s="32"/>
      <c r="X1387" s="32"/>
    </row>
    <row r="1388" spans="2:24" x14ac:dyDescent="0.25">
      <c r="B1388" s="32"/>
      <c r="C1388" s="32"/>
      <c r="D1388" s="32"/>
      <c r="E1388" s="32"/>
      <c r="F1388" s="32"/>
      <c r="G1388" s="32"/>
      <c r="H1388" s="32"/>
      <c r="I1388" s="32"/>
      <c r="J1388" s="32"/>
      <c r="K1388" s="97">
        <f t="shared" si="17"/>
        <v>979</v>
      </c>
      <c r="L1388" s="98" t="s">
        <v>817</v>
      </c>
      <c r="M1388" s="99" t="s">
        <v>1463</v>
      </c>
      <c r="N1388" s="100" t="s">
        <v>626</v>
      </c>
      <c r="O1388" s="32"/>
      <c r="P1388" s="32"/>
      <c r="Q1388" s="32"/>
      <c r="R1388" s="32"/>
      <c r="S1388" s="32"/>
      <c r="T1388" s="32"/>
      <c r="U1388" s="32"/>
      <c r="V1388" s="32"/>
      <c r="W1388" s="32"/>
      <c r="X1388" s="32"/>
    </row>
    <row r="1389" spans="2:24" x14ac:dyDescent="0.25">
      <c r="B1389" s="32"/>
      <c r="C1389" s="32"/>
      <c r="D1389" s="32"/>
      <c r="E1389" s="32"/>
      <c r="F1389" s="32"/>
      <c r="G1389" s="32"/>
      <c r="H1389" s="32"/>
      <c r="I1389" s="32"/>
      <c r="J1389" s="32"/>
      <c r="K1389" s="97">
        <f t="shared" si="17"/>
        <v>980</v>
      </c>
      <c r="L1389" s="98" t="s">
        <v>825</v>
      </c>
      <c r="M1389" s="99" t="s">
        <v>817</v>
      </c>
      <c r="N1389" s="100" t="s">
        <v>626</v>
      </c>
      <c r="O1389" s="32"/>
      <c r="P1389" s="32"/>
      <c r="Q1389" s="32"/>
      <c r="R1389" s="32"/>
      <c r="S1389" s="32"/>
      <c r="T1389" s="32"/>
      <c r="U1389" s="32"/>
      <c r="V1389" s="32"/>
      <c r="W1389" s="32"/>
      <c r="X1389" s="32"/>
    </row>
    <row r="1390" spans="2:24" x14ac:dyDescent="0.25">
      <c r="B1390" s="32"/>
      <c r="C1390" s="32"/>
      <c r="D1390" s="32"/>
      <c r="E1390" s="32"/>
      <c r="F1390" s="32"/>
      <c r="G1390" s="32"/>
      <c r="H1390" s="32"/>
      <c r="I1390" s="32"/>
      <c r="J1390" s="32"/>
      <c r="K1390" s="97">
        <f t="shared" si="17"/>
        <v>981</v>
      </c>
      <c r="L1390" s="98" t="s">
        <v>825</v>
      </c>
      <c r="M1390" s="99" t="s">
        <v>1459</v>
      </c>
      <c r="N1390" s="100" t="s">
        <v>817</v>
      </c>
      <c r="O1390" s="32"/>
      <c r="P1390" s="32"/>
      <c r="Q1390" s="32"/>
      <c r="R1390" s="32"/>
      <c r="S1390" s="32"/>
      <c r="T1390" s="32"/>
      <c r="U1390" s="32"/>
      <c r="V1390" s="32"/>
      <c r="W1390" s="32"/>
      <c r="X1390" s="32"/>
    </row>
    <row r="1391" spans="2:24" x14ac:dyDescent="0.25">
      <c r="B1391" s="32"/>
      <c r="C1391" s="32"/>
      <c r="D1391" s="32"/>
      <c r="E1391" s="32"/>
      <c r="F1391" s="32"/>
      <c r="G1391" s="32"/>
      <c r="H1391" s="32"/>
      <c r="I1391" s="32"/>
      <c r="J1391" s="32"/>
      <c r="K1391" s="97">
        <f t="shared" si="17"/>
        <v>982</v>
      </c>
      <c r="L1391" s="98" t="s">
        <v>825</v>
      </c>
      <c r="M1391" s="99" t="s">
        <v>817</v>
      </c>
      <c r="N1391" s="100" t="s">
        <v>1459</v>
      </c>
      <c r="O1391" s="32"/>
      <c r="P1391" s="32"/>
      <c r="Q1391" s="32"/>
      <c r="R1391" s="32"/>
      <c r="S1391" s="32"/>
      <c r="T1391" s="32"/>
      <c r="U1391" s="32"/>
      <c r="V1391" s="32"/>
      <c r="W1391" s="32"/>
      <c r="X1391" s="32"/>
    </row>
    <row r="1392" spans="2:24" x14ac:dyDescent="0.25">
      <c r="B1392" s="32"/>
      <c r="C1392" s="32"/>
      <c r="D1392" s="32"/>
      <c r="E1392" s="32"/>
      <c r="F1392" s="32"/>
      <c r="G1392" s="32"/>
      <c r="H1392" s="32"/>
      <c r="I1392" s="32"/>
      <c r="J1392" s="32"/>
      <c r="K1392" s="97">
        <f t="shared" si="17"/>
        <v>983</v>
      </c>
      <c r="L1392" s="98" t="s">
        <v>825</v>
      </c>
      <c r="M1392" s="99" t="s">
        <v>1459</v>
      </c>
      <c r="N1392" s="100" t="s">
        <v>817</v>
      </c>
      <c r="O1392" s="32"/>
      <c r="P1392" s="32"/>
      <c r="Q1392" s="32"/>
      <c r="R1392" s="32"/>
      <c r="S1392" s="32"/>
      <c r="T1392" s="32"/>
      <c r="U1392" s="32"/>
      <c r="V1392" s="32"/>
      <c r="W1392" s="32"/>
      <c r="X1392" s="32"/>
    </row>
    <row r="1393" spans="2:24" x14ac:dyDescent="0.25">
      <c r="B1393" s="32"/>
      <c r="C1393" s="32"/>
      <c r="D1393" s="32"/>
      <c r="E1393" s="32"/>
      <c r="F1393" s="32"/>
      <c r="G1393" s="32"/>
      <c r="H1393" s="32"/>
      <c r="I1393" s="32"/>
      <c r="J1393" s="32"/>
      <c r="K1393" s="97">
        <f t="shared" si="17"/>
        <v>984</v>
      </c>
      <c r="L1393" s="98" t="s">
        <v>825</v>
      </c>
      <c r="M1393" s="99" t="s">
        <v>626</v>
      </c>
      <c r="N1393" s="100"/>
      <c r="O1393" s="32"/>
      <c r="P1393" s="32"/>
      <c r="Q1393" s="32"/>
      <c r="R1393" s="32"/>
      <c r="S1393" s="32"/>
      <c r="T1393" s="32"/>
      <c r="U1393" s="32"/>
      <c r="V1393" s="32"/>
      <c r="W1393" s="32"/>
      <c r="X1393" s="32"/>
    </row>
    <row r="1394" spans="2:24" x14ac:dyDescent="0.25">
      <c r="B1394" s="32"/>
      <c r="C1394" s="32"/>
      <c r="D1394" s="32"/>
      <c r="E1394" s="32"/>
      <c r="F1394" s="32"/>
      <c r="G1394" s="32"/>
      <c r="H1394" s="32"/>
      <c r="I1394" s="32"/>
      <c r="J1394" s="32"/>
      <c r="K1394" s="97">
        <f t="shared" si="17"/>
        <v>985</v>
      </c>
      <c r="L1394" s="98" t="s">
        <v>825</v>
      </c>
      <c r="M1394" s="99" t="s">
        <v>817</v>
      </c>
      <c r="N1394" s="100" t="s">
        <v>1459</v>
      </c>
      <c r="O1394" s="32"/>
      <c r="P1394" s="32"/>
      <c r="Q1394" s="32"/>
      <c r="R1394" s="32"/>
      <c r="S1394" s="32"/>
      <c r="T1394" s="32"/>
      <c r="U1394" s="32"/>
      <c r="V1394" s="32"/>
      <c r="W1394" s="32"/>
      <c r="X1394" s="32"/>
    </row>
    <row r="1395" spans="2:24" x14ac:dyDescent="0.25">
      <c r="B1395" s="32"/>
      <c r="C1395" s="32"/>
      <c r="D1395" s="32"/>
      <c r="E1395" s="32"/>
      <c r="F1395" s="32"/>
      <c r="G1395" s="32"/>
      <c r="H1395" s="32"/>
      <c r="I1395" s="32"/>
      <c r="J1395" s="32"/>
      <c r="K1395" s="97">
        <f t="shared" si="17"/>
        <v>986</v>
      </c>
      <c r="L1395" s="98" t="s">
        <v>825</v>
      </c>
      <c r="M1395" s="99" t="s">
        <v>626</v>
      </c>
      <c r="N1395" s="100" t="s">
        <v>817</v>
      </c>
      <c r="O1395" s="32"/>
      <c r="P1395" s="32"/>
      <c r="Q1395" s="32"/>
      <c r="R1395" s="32"/>
      <c r="S1395" s="32"/>
      <c r="T1395" s="32"/>
      <c r="U1395" s="32"/>
      <c r="V1395" s="32"/>
      <c r="W1395" s="32"/>
      <c r="X1395" s="32"/>
    </row>
    <row r="1396" spans="2:24" x14ac:dyDescent="0.25">
      <c r="B1396" s="32"/>
      <c r="C1396" s="32"/>
      <c r="D1396" s="32"/>
      <c r="E1396" s="32"/>
      <c r="F1396" s="32"/>
      <c r="G1396" s="32"/>
      <c r="H1396" s="32"/>
      <c r="I1396" s="32"/>
      <c r="J1396" s="32"/>
      <c r="K1396" s="97">
        <f t="shared" si="17"/>
        <v>987</v>
      </c>
      <c r="L1396" s="98" t="s">
        <v>1459</v>
      </c>
      <c r="M1396" s="99" t="s">
        <v>817</v>
      </c>
      <c r="N1396" s="100" t="s">
        <v>1461</v>
      </c>
      <c r="O1396" s="32"/>
      <c r="P1396" s="32"/>
      <c r="Q1396" s="32"/>
      <c r="R1396" s="32"/>
      <c r="S1396" s="32"/>
      <c r="T1396" s="32"/>
      <c r="U1396" s="32"/>
      <c r="V1396" s="32"/>
      <c r="W1396" s="32"/>
      <c r="X1396" s="32"/>
    </row>
    <row r="1397" spans="2:24" x14ac:dyDescent="0.25">
      <c r="B1397" s="32"/>
      <c r="C1397" s="32"/>
      <c r="D1397" s="32"/>
      <c r="E1397" s="32"/>
      <c r="F1397" s="32"/>
      <c r="G1397" s="32"/>
      <c r="H1397" s="32"/>
      <c r="I1397" s="32"/>
      <c r="J1397" s="32"/>
      <c r="K1397" s="97">
        <f t="shared" si="17"/>
        <v>988</v>
      </c>
      <c r="L1397" s="98" t="s">
        <v>1459</v>
      </c>
      <c r="M1397" s="99" t="s">
        <v>817</v>
      </c>
      <c r="N1397" s="100" t="s">
        <v>626</v>
      </c>
      <c r="O1397" s="32"/>
      <c r="P1397" s="32"/>
      <c r="Q1397" s="32"/>
      <c r="R1397" s="32"/>
      <c r="S1397" s="32"/>
      <c r="T1397" s="32"/>
      <c r="U1397" s="32"/>
      <c r="V1397" s="32"/>
      <c r="W1397" s="32"/>
      <c r="X1397" s="32"/>
    </row>
    <row r="1398" spans="2:24" x14ac:dyDescent="0.25">
      <c r="B1398" s="32"/>
      <c r="C1398" s="32"/>
      <c r="D1398" s="32"/>
      <c r="E1398" s="32"/>
      <c r="F1398" s="32"/>
      <c r="G1398" s="32"/>
      <c r="H1398" s="32"/>
      <c r="I1398" s="32"/>
      <c r="J1398" s="32"/>
      <c r="K1398" s="97">
        <f t="shared" si="17"/>
        <v>989</v>
      </c>
      <c r="L1398" s="98" t="s">
        <v>1461</v>
      </c>
      <c r="M1398" s="99" t="s">
        <v>1459</v>
      </c>
      <c r="N1398" s="100" t="s">
        <v>817</v>
      </c>
      <c r="O1398" s="32"/>
      <c r="P1398" s="32"/>
      <c r="Q1398" s="32"/>
      <c r="R1398" s="32"/>
      <c r="S1398" s="32"/>
      <c r="T1398" s="32"/>
      <c r="U1398" s="32"/>
      <c r="V1398" s="32"/>
      <c r="W1398" s="32"/>
      <c r="X1398" s="32"/>
    </row>
    <row r="1399" spans="2:24" x14ac:dyDescent="0.25">
      <c r="B1399" s="32"/>
      <c r="C1399" s="32"/>
      <c r="D1399" s="32"/>
      <c r="E1399" s="32"/>
      <c r="F1399" s="32"/>
      <c r="G1399" s="32"/>
      <c r="H1399" s="32"/>
      <c r="I1399" s="32"/>
      <c r="J1399" s="32"/>
      <c r="K1399" s="97">
        <f t="shared" si="17"/>
        <v>990</v>
      </c>
      <c r="L1399" s="98" t="s">
        <v>1459</v>
      </c>
      <c r="M1399" s="99" t="s">
        <v>817</v>
      </c>
      <c r="N1399" s="100" t="s">
        <v>1461</v>
      </c>
      <c r="O1399" s="32"/>
      <c r="P1399" s="32"/>
      <c r="Q1399" s="32"/>
      <c r="R1399" s="32"/>
      <c r="S1399" s="32"/>
      <c r="T1399" s="32"/>
      <c r="U1399" s="32"/>
      <c r="V1399" s="32"/>
      <c r="W1399" s="32"/>
      <c r="X1399" s="32"/>
    </row>
    <row r="1400" spans="2:24" x14ac:dyDescent="0.25">
      <c r="B1400" s="32"/>
      <c r="C1400" s="32"/>
      <c r="D1400" s="32"/>
      <c r="E1400" s="32"/>
      <c r="F1400" s="32"/>
      <c r="G1400" s="32"/>
      <c r="H1400" s="32"/>
      <c r="I1400" s="32"/>
      <c r="J1400" s="32"/>
      <c r="K1400" s="97">
        <f t="shared" si="17"/>
        <v>991</v>
      </c>
      <c r="L1400" s="98" t="s">
        <v>626</v>
      </c>
      <c r="M1400" s="99" t="s">
        <v>817</v>
      </c>
      <c r="N1400" s="100" t="s">
        <v>1459</v>
      </c>
      <c r="O1400" s="32"/>
      <c r="P1400" s="32"/>
      <c r="Q1400" s="32"/>
      <c r="R1400" s="32"/>
      <c r="S1400" s="32"/>
      <c r="T1400" s="32"/>
      <c r="U1400" s="32"/>
      <c r="V1400" s="32"/>
      <c r="W1400" s="32"/>
      <c r="X1400" s="32"/>
    </row>
    <row r="1401" spans="2:24" x14ac:dyDescent="0.25">
      <c r="B1401" s="32"/>
      <c r="C1401" s="32"/>
      <c r="D1401" s="32"/>
      <c r="E1401" s="32"/>
      <c r="F1401" s="32"/>
      <c r="G1401" s="32"/>
      <c r="H1401" s="32"/>
      <c r="I1401" s="32"/>
      <c r="J1401" s="32"/>
      <c r="K1401" s="97">
        <f t="shared" si="17"/>
        <v>992</v>
      </c>
      <c r="L1401" s="98" t="s">
        <v>825</v>
      </c>
      <c r="M1401" s="99" t="s">
        <v>817</v>
      </c>
      <c r="N1401" s="100" t="s">
        <v>626</v>
      </c>
      <c r="O1401" s="32"/>
      <c r="P1401" s="32"/>
      <c r="Q1401" s="32"/>
      <c r="R1401" s="32"/>
      <c r="S1401" s="32"/>
      <c r="T1401" s="32"/>
      <c r="U1401" s="32"/>
      <c r="V1401" s="32"/>
      <c r="W1401" s="32"/>
      <c r="X1401" s="32"/>
    </row>
    <row r="1402" spans="2:24" x14ac:dyDescent="0.25">
      <c r="B1402" s="32"/>
      <c r="C1402" s="32"/>
      <c r="D1402" s="32"/>
      <c r="E1402" s="32"/>
      <c r="F1402" s="32"/>
      <c r="G1402" s="32"/>
      <c r="H1402" s="32"/>
      <c r="I1402" s="32"/>
      <c r="J1402" s="32"/>
      <c r="K1402" s="97">
        <f t="shared" si="17"/>
        <v>993</v>
      </c>
      <c r="L1402" s="98" t="s">
        <v>1461</v>
      </c>
      <c r="M1402" s="99" t="s">
        <v>1459</v>
      </c>
      <c r="N1402" s="100" t="s">
        <v>817</v>
      </c>
      <c r="O1402" s="32"/>
      <c r="P1402" s="32"/>
      <c r="Q1402" s="32"/>
      <c r="R1402" s="32"/>
      <c r="S1402" s="32"/>
      <c r="T1402" s="32"/>
      <c r="U1402" s="32"/>
      <c r="V1402" s="32"/>
      <c r="W1402" s="32"/>
      <c r="X1402" s="32"/>
    </row>
    <row r="1403" spans="2:24" x14ac:dyDescent="0.25">
      <c r="B1403" s="32"/>
      <c r="C1403" s="32"/>
      <c r="D1403" s="32"/>
      <c r="E1403" s="32"/>
      <c r="F1403" s="32"/>
      <c r="G1403" s="32"/>
      <c r="H1403" s="32"/>
      <c r="I1403" s="32"/>
      <c r="J1403" s="32"/>
      <c r="K1403" s="97">
        <f t="shared" si="17"/>
        <v>994</v>
      </c>
      <c r="L1403" s="98" t="s">
        <v>825</v>
      </c>
      <c r="M1403" s="99" t="s">
        <v>817</v>
      </c>
      <c r="N1403" s="100" t="s">
        <v>626</v>
      </c>
      <c r="O1403" s="32"/>
      <c r="P1403" s="32"/>
      <c r="Q1403" s="32"/>
      <c r="R1403" s="32"/>
      <c r="S1403" s="32"/>
      <c r="T1403" s="32"/>
      <c r="U1403" s="32"/>
      <c r="V1403" s="32"/>
      <c r="W1403" s="32"/>
      <c r="X1403" s="32"/>
    </row>
    <row r="1404" spans="2:24" x14ac:dyDescent="0.25">
      <c r="B1404" s="32"/>
      <c r="C1404" s="32"/>
      <c r="D1404" s="32"/>
      <c r="E1404" s="32"/>
      <c r="F1404" s="32"/>
      <c r="G1404" s="32"/>
      <c r="H1404" s="32"/>
      <c r="I1404" s="32"/>
      <c r="J1404" s="32"/>
      <c r="K1404" s="97">
        <f t="shared" si="17"/>
        <v>995</v>
      </c>
      <c r="L1404" s="98" t="s">
        <v>1461</v>
      </c>
      <c r="M1404" s="99"/>
      <c r="N1404" s="100"/>
      <c r="O1404" s="32"/>
      <c r="P1404" s="32"/>
      <c r="Q1404" s="32"/>
      <c r="R1404" s="32"/>
      <c r="S1404" s="32"/>
      <c r="T1404" s="32"/>
      <c r="U1404" s="32"/>
      <c r="V1404" s="32"/>
      <c r="W1404" s="32"/>
      <c r="X1404" s="32"/>
    </row>
    <row r="1405" spans="2:24" x14ac:dyDescent="0.25">
      <c r="B1405" s="32"/>
      <c r="C1405" s="32"/>
      <c r="D1405" s="32"/>
      <c r="E1405" s="32"/>
      <c r="F1405" s="32"/>
      <c r="G1405" s="32"/>
      <c r="H1405" s="32"/>
      <c r="I1405" s="32"/>
      <c r="J1405" s="32"/>
      <c r="K1405" s="97">
        <f t="shared" si="17"/>
        <v>996</v>
      </c>
      <c r="L1405" s="98" t="s">
        <v>1461</v>
      </c>
      <c r="M1405" s="99"/>
      <c r="N1405" s="100"/>
      <c r="O1405" s="32"/>
      <c r="P1405" s="32"/>
      <c r="Q1405" s="32"/>
      <c r="R1405" s="32"/>
      <c r="S1405" s="32"/>
      <c r="T1405" s="32"/>
      <c r="U1405" s="32"/>
      <c r="V1405" s="32"/>
      <c r="W1405" s="32"/>
      <c r="X1405" s="32"/>
    </row>
    <row r="1406" spans="2:24" x14ac:dyDescent="0.25">
      <c r="B1406" s="32"/>
      <c r="C1406" s="32"/>
      <c r="D1406" s="32"/>
      <c r="E1406" s="32"/>
      <c r="F1406" s="32"/>
      <c r="G1406" s="32"/>
      <c r="H1406" s="32"/>
      <c r="I1406" s="32"/>
      <c r="J1406" s="32"/>
      <c r="K1406" s="97">
        <f t="shared" si="17"/>
        <v>997</v>
      </c>
      <c r="L1406" s="98" t="s">
        <v>1461</v>
      </c>
      <c r="M1406" s="99"/>
      <c r="N1406" s="100"/>
      <c r="O1406" s="32"/>
      <c r="P1406" s="32"/>
      <c r="Q1406" s="32"/>
      <c r="R1406" s="32"/>
      <c r="S1406" s="32"/>
      <c r="T1406" s="32"/>
      <c r="U1406" s="32"/>
      <c r="V1406" s="32"/>
      <c r="W1406" s="32"/>
      <c r="X1406" s="32"/>
    </row>
    <row r="1407" spans="2:24" x14ac:dyDescent="0.25">
      <c r="B1407" s="32"/>
      <c r="C1407" s="32"/>
      <c r="D1407" s="32"/>
      <c r="E1407" s="32"/>
      <c r="F1407" s="32"/>
      <c r="G1407" s="32"/>
      <c r="H1407" s="32"/>
      <c r="I1407" s="32"/>
      <c r="J1407" s="32"/>
      <c r="K1407" s="97">
        <f t="shared" si="17"/>
        <v>998</v>
      </c>
      <c r="L1407" s="98" t="s">
        <v>825</v>
      </c>
      <c r="M1407" s="99" t="s">
        <v>1459</v>
      </c>
      <c r="N1407" s="100" t="s">
        <v>1461</v>
      </c>
      <c r="O1407" s="32"/>
      <c r="P1407" s="32"/>
      <c r="Q1407" s="32"/>
      <c r="R1407" s="32"/>
      <c r="S1407" s="32"/>
      <c r="T1407" s="32"/>
      <c r="U1407" s="32"/>
      <c r="V1407" s="32"/>
      <c r="W1407" s="32"/>
      <c r="X1407" s="32"/>
    </row>
    <row r="1408" spans="2:24" x14ac:dyDescent="0.25">
      <c r="B1408" s="32"/>
      <c r="C1408" s="32"/>
      <c r="D1408" s="32"/>
      <c r="E1408" s="32"/>
      <c r="F1408" s="32"/>
      <c r="G1408" s="32"/>
      <c r="H1408" s="32"/>
      <c r="I1408" s="32"/>
      <c r="J1408" s="32"/>
      <c r="K1408" s="97">
        <f t="shared" si="17"/>
        <v>999</v>
      </c>
      <c r="L1408" s="98" t="s">
        <v>825</v>
      </c>
      <c r="M1408" s="99" t="s">
        <v>1459</v>
      </c>
      <c r="N1408" s="100" t="s">
        <v>817</v>
      </c>
      <c r="O1408" s="32"/>
      <c r="P1408" s="32"/>
      <c r="Q1408" s="32"/>
      <c r="R1408" s="32"/>
      <c r="S1408" s="32"/>
      <c r="T1408" s="32"/>
      <c r="U1408" s="32"/>
      <c r="V1408" s="32"/>
      <c r="W1408" s="32"/>
      <c r="X1408" s="32"/>
    </row>
    <row r="1409" spans="2:24" x14ac:dyDescent="0.25">
      <c r="B1409" s="32"/>
      <c r="C1409" s="32"/>
      <c r="D1409" s="32"/>
      <c r="E1409" s="32"/>
      <c r="F1409" s="32"/>
      <c r="G1409" s="32"/>
      <c r="H1409" s="32"/>
      <c r="I1409" s="32"/>
      <c r="J1409" s="32"/>
      <c r="K1409" s="97">
        <f t="shared" si="17"/>
        <v>1000</v>
      </c>
      <c r="L1409" s="98" t="s">
        <v>1461</v>
      </c>
      <c r="M1409" s="99" t="s">
        <v>1459</v>
      </c>
      <c r="N1409" s="100" t="s">
        <v>817</v>
      </c>
      <c r="O1409" s="32"/>
      <c r="P1409" s="32"/>
      <c r="Q1409" s="32"/>
      <c r="R1409" s="32"/>
      <c r="S1409" s="32"/>
      <c r="T1409" s="32"/>
      <c r="U1409" s="32"/>
      <c r="V1409" s="32"/>
      <c r="W1409" s="32"/>
      <c r="X1409" s="32"/>
    </row>
    <row r="1410" spans="2:24" x14ac:dyDescent="0.25">
      <c r="B1410" s="32"/>
      <c r="C1410" s="32"/>
      <c r="D1410" s="32"/>
      <c r="E1410" s="32"/>
      <c r="F1410" s="32"/>
      <c r="G1410" s="32"/>
      <c r="H1410" s="32"/>
      <c r="I1410" s="32"/>
      <c r="J1410" s="32"/>
      <c r="K1410" s="97">
        <f t="shared" si="17"/>
        <v>1001</v>
      </c>
      <c r="L1410" s="98" t="s">
        <v>617</v>
      </c>
      <c r="M1410" s="99" t="s">
        <v>1461</v>
      </c>
      <c r="N1410" s="100"/>
      <c r="O1410" s="32"/>
      <c r="P1410" s="32"/>
      <c r="Q1410" s="32"/>
      <c r="R1410" s="32"/>
      <c r="S1410" s="32"/>
      <c r="T1410" s="32"/>
      <c r="U1410" s="32"/>
      <c r="V1410" s="32"/>
      <c r="W1410" s="32"/>
      <c r="X1410" s="32"/>
    </row>
    <row r="1411" spans="2:24" x14ac:dyDescent="0.25">
      <c r="B1411" s="32"/>
      <c r="C1411" s="32"/>
      <c r="D1411" s="32"/>
      <c r="E1411" s="32"/>
      <c r="F1411" s="32"/>
      <c r="G1411" s="32"/>
      <c r="H1411" s="32"/>
      <c r="I1411" s="32"/>
      <c r="J1411" s="32"/>
      <c r="K1411" s="97">
        <f t="shared" si="17"/>
        <v>1002</v>
      </c>
      <c r="L1411" s="98" t="s">
        <v>1459</v>
      </c>
      <c r="M1411" s="99" t="s">
        <v>1461</v>
      </c>
      <c r="N1411" s="100"/>
      <c r="O1411" s="32"/>
      <c r="P1411" s="32"/>
      <c r="Q1411" s="32"/>
      <c r="R1411" s="32"/>
      <c r="S1411" s="32"/>
      <c r="T1411" s="32"/>
      <c r="U1411" s="32"/>
      <c r="V1411" s="32"/>
      <c r="W1411" s="32"/>
      <c r="X1411" s="32"/>
    </row>
    <row r="1412" spans="2:24" x14ac:dyDescent="0.25">
      <c r="B1412" s="32"/>
      <c r="C1412" s="32"/>
      <c r="D1412" s="32"/>
      <c r="E1412" s="32"/>
      <c r="F1412" s="32"/>
      <c r="G1412" s="32"/>
      <c r="H1412" s="32"/>
      <c r="I1412" s="32"/>
      <c r="J1412" s="32"/>
      <c r="K1412" s="97">
        <f t="shared" si="17"/>
        <v>1003</v>
      </c>
      <c r="L1412" s="98" t="s">
        <v>1461</v>
      </c>
      <c r="M1412" s="99" t="s">
        <v>1459</v>
      </c>
      <c r="N1412" s="100"/>
      <c r="O1412" s="32"/>
      <c r="P1412" s="32"/>
      <c r="Q1412" s="32"/>
      <c r="R1412" s="32"/>
      <c r="S1412" s="32"/>
      <c r="T1412" s="32"/>
      <c r="U1412" s="32"/>
      <c r="V1412" s="32"/>
      <c r="W1412" s="32"/>
      <c r="X1412" s="32"/>
    </row>
    <row r="1413" spans="2:24" x14ac:dyDescent="0.25">
      <c r="B1413" s="32"/>
      <c r="C1413" s="32"/>
      <c r="D1413" s="32"/>
      <c r="E1413" s="32"/>
      <c r="F1413" s="32"/>
      <c r="G1413" s="32"/>
      <c r="H1413" s="32"/>
      <c r="I1413" s="32"/>
      <c r="J1413" s="32"/>
      <c r="K1413" s="97">
        <f t="shared" si="17"/>
        <v>1004</v>
      </c>
      <c r="L1413" s="98" t="s">
        <v>1461</v>
      </c>
      <c r="M1413" s="99" t="s">
        <v>1459</v>
      </c>
      <c r="N1413" s="100"/>
      <c r="O1413" s="32"/>
      <c r="P1413" s="32"/>
      <c r="Q1413" s="32"/>
      <c r="R1413" s="32"/>
      <c r="S1413" s="32"/>
      <c r="T1413" s="32"/>
      <c r="U1413" s="32"/>
      <c r="V1413" s="32"/>
      <c r="W1413" s="32"/>
      <c r="X1413" s="32"/>
    </row>
    <row r="1414" spans="2:24" x14ac:dyDescent="0.25">
      <c r="B1414" s="32"/>
      <c r="C1414" s="32"/>
      <c r="D1414" s="32"/>
      <c r="E1414" s="32"/>
      <c r="F1414" s="32"/>
      <c r="G1414" s="32"/>
      <c r="H1414" s="32"/>
      <c r="I1414" s="32"/>
      <c r="J1414" s="32"/>
      <c r="K1414" s="97">
        <f t="shared" si="17"/>
        <v>1005</v>
      </c>
      <c r="L1414" s="98" t="s">
        <v>1461</v>
      </c>
      <c r="M1414" s="99" t="s">
        <v>1459</v>
      </c>
      <c r="N1414" s="100"/>
      <c r="O1414" s="32"/>
      <c r="P1414" s="32"/>
      <c r="Q1414" s="32"/>
      <c r="R1414" s="32"/>
      <c r="S1414" s="32"/>
      <c r="T1414" s="32"/>
      <c r="U1414" s="32"/>
      <c r="V1414" s="32"/>
      <c r="W1414" s="32"/>
      <c r="X1414" s="32"/>
    </row>
    <row r="1415" spans="2:24" x14ac:dyDescent="0.25">
      <c r="B1415" s="32"/>
      <c r="C1415" s="32"/>
      <c r="D1415" s="32"/>
      <c r="E1415" s="32"/>
      <c r="F1415" s="32"/>
      <c r="G1415" s="32"/>
      <c r="H1415" s="32"/>
      <c r="I1415" s="32"/>
      <c r="J1415" s="32"/>
      <c r="K1415" s="97">
        <f t="shared" si="17"/>
        <v>1006</v>
      </c>
      <c r="L1415" s="98" t="s">
        <v>617</v>
      </c>
      <c r="M1415" s="99" t="s">
        <v>1461</v>
      </c>
      <c r="N1415" s="100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</row>
    <row r="1416" spans="2:24" x14ac:dyDescent="0.25">
      <c r="B1416" s="32"/>
      <c r="C1416" s="32"/>
      <c r="D1416" s="32"/>
      <c r="E1416" s="32"/>
      <c r="F1416" s="32"/>
      <c r="G1416" s="32"/>
      <c r="H1416" s="32"/>
      <c r="I1416" s="32"/>
      <c r="J1416" s="32"/>
      <c r="K1416" s="97">
        <f t="shared" si="17"/>
        <v>1007</v>
      </c>
      <c r="L1416" s="98" t="s">
        <v>617</v>
      </c>
      <c r="M1416" s="99" t="s">
        <v>1461</v>
      </c>
      <c r="N1416" s="100"/>
      <c r="O1416" s="32"/>
      <c r="P1416" s="32"/>
      <c r="Q1416" s="32"/>
      <c r="R1416" s="32"/>
      <c r="S1416" s="32"/>
      <c r="T1416" s="32"/>
      <c r="U1416" s="32"/>
      <c r="V1416" s="32"/>
      <c r="W1416" s="32"/>
      <c r="X1416" s="32"/>
    </row>
    <row r="1417" spans="2:24" x14ac:dyDescent="0.25">
      <c r="B1417" s="32"/>
      <c r="C1417" s="32"/>
      <c r="D1417" s="32"/>
      <c r="E1417" s="32"/>
      <c r="F1417" s="32"/>
      <c r="G1417" s="32"/>
      <c r="H1417" s="32"/>
      <c r="I1417" s="32"/>
      <c r="J1417" s="32"/>
      <c r="K1417" s="97">
        <f t="shared" si="17"/>
        <v>1008</v>
      </c>
      <c r="L1417" s="98" t="s">
        <v>617</v>
      </c>
      <c r="M1417" s="99" t="s">
        <v>1461</v>
      </c>
      <c r="N1417" s="100"/>
      <c r="O1417" s="32"/>
      <c r="P1417" s="32"/>
      <c r="Q1417" s="32"/>
      <c r="R1417" s="32"/>
      <c r="S1417" s="32"/>
      <c r="T1417" s="32"/>
      <c r="U1417" s="32"/>
      <c r="V1417" s="32"/>
      <c r="W1417" s="32"/>
      <c r="X1417" s="32"/>
    </row>
    <row r="1418" spans="2:24" x14ac:dyDescent="0.25">
      <c r="B1418" s="32"/>
      <c r="C1418" s="32"/>
      <c r="D1418" s="32"/>
      <c r="E1418" s="32"/>
      <c r="F1418" s="32"/>
      <c r="G1418" s="32"/>
      <c r="H1418" s="32"/>
      <c r="I1418" s="32"/>
      <c r="J1418" s="32"/>
      <c r="K1418" s="97">
        <f t="shared" si="17"/>
        <v>1009</v>
      </c>
      <c r="L1418" s="98" t="s">
        <v>617</v>
      </c>
      <c r="M1418" s="99" t="s">
        <v>1461</v>
      </c>
      <c r="N1418" s="100"/>
      <c r="O1418" s="32"/>
      <c r="P1418" s="32"/>
      <c r="Q1418" s="32"/>
      <c r="R1418" s="32"/>
      <c r="S1418" s="32"/>
      <c r="T1418" s="32"/>
      <c r="U1418" s="32"/>
      <c r="V1418" s="32"/>
      <c r="W1418" s="32"/>
      <c r="X1418" s="32"/>
    </row>
    <row r="1419" spans="2:24" x14ac:dyDescent="0.25">
      <c r="B1419" s="32"/>
      <c r="C1419" s="32"/>
      <c r="D1419" s="32"/>
      <c r="E1419" s="32"/>
      <c r="F1419" s="32"/>
      <c r="G1419" s="32"/>
      <c r="H1419" s="32"/>
      <c r="I1419" s="32"/>
      <c r="J1419" s="32"/>
      <c r="K1419" s="97">
        <f t="shared" si="17"/>
        <v>1010</v>
      </c>
      <c r="L1419" s="98" t="s">
        <v>1461</v>
      </c>
      <c r="M1419" s="99" t="s">
        <v>1459</v>
      </c>
      <c r="N1419" s="100"/>
      <c r="O1419" s="32"/>
      <c r="P1419" s="32"/>
      <c r="Q1419" s="32"/>
      <c r="R1419" s="32"/>
      <c r="S1419" s="32"/>
      <c r="T1419" s="32"/>
      <c r="U1419" s="32"/>
      <c r="V1419" s="32"/>
      <c r="W1419" s="32"/>
      <c r="X1419" s="32"/>
    </row>
    <row r="1420" spans="2:24" x14ac:dyDescent="0.25">
      <c r="B1420" s="32"/>
      <c r="C1420" s="32"/>
      <c r="D1420" s="32"/>
      <c r="E1420" s="32"/>
      <c r="F1420" s="32"/>
      <c r="G1420" s="32"/>
      <c r="H1420" s="32"/>
      <c r="I1420" s="32"/>
      <c r="J1420" s="32"/>
      <c r="K1420" s="97">
        <f t="shared" si="17"/>
        <v>1011</v>
      </c>
      <c r="L1420" s="98" t="s">
        <v>1461</v>
      </c>
      <c r="M1420" s="99" t="s">
        <v>1459</v>
      </c>
      <c r="N1420" s="100"/>
      <c r="O1420" s="32"/>
      <c r="P1420" s="32"/>
      <c r="Q1420" s="32"/>
      <c r="R1420" s="32"/>
      <c r="S1420" s="32"/>
      <c r="T1420" s="32"/>
      <c r="U1420" s="32"/>
      <c r="V1420" s="32"/>
      <c r="W1420" s="32"/>
      <c r="X1420" s="32"/>
    </row>
    <row r="1421" spans="2:24" x14ac:dyDescent="0.25">
      <c r="B1421" s="32"/>
      <c r="C1421" s="32"/>
      <c r="D1421" s="32"/>
      <c r="E1421" s="32"/>
      <c r="F1421" s="32"/>
      <c r="G1421" s="32"/>
      <c r="H1421" s="32"/>
      <c r="I1421" s="32"/>
      <c r="J1421" s="32"/>
      <c r="K1421" s="97">
        <f t="shared" si="17"/>
        <v>1012</v>
      </c>
      <c r="L1421" s="98" t="s">
        <v>825</v>
      </c>
      <c r="M1421" s="99" t="s">
        <v>817</v>
      </c>
      <c r="N1421" s="100" t="s">
        <v>1463</v>
      </c>
      <c r="O1421" s="32"/>
      <c r="P1421" s="32"/>
      <c r="Q1421" s="32"/>
      <c r="R1421" s="32"/>
      <c r="S1421" s="32"/>
      <c r="T1421" s="32"/>
      <c r="U1421" s="32"/>
      <c r="V1421" s="32"/>
      <c r="W1421" s="32"/>
      <c r="X1421" s="32"/>
    </row>
    <row r="1422" spans="2:24" x14ac:dyDescent="0.25">
      <c r="B1422" s="32"/>
      <c r="C1422" s="32"/>
      <c r="D1422" s="32"/>
      <c r="E1422" s="32"/>
      <c r="F1422" s="32"/>
      <c r="G1422" s="32"/>
      <c r="H1422" s="32"/>
      <c r="I1422" s="32"/>
      <c r="J1422" s="32"/>
      <c r="K1422" s="97">
        <f t="shared" si="17"/>
        <v>1013</v>
      </c>
      <c r="L1422" s="98" t="s">
        <v>817</v>
      </c>
      <c r="M1422" s="99" t="s">
        <v>825</v>
      </c>
      <c r="N1422" s="100" t="s">
        <v>626</v>
      </c>
      <c r="O1422" s="32"/>
      <c r="P1422" s="32"/>
      <c r="Q1422" s="32"/>
      <c r="R1422" s="32"/>
      <c r="S1422" s="32"/>
      <c r="T1422" s="32"/>
      <c r="U1422" s="32"/>
      <c r="V1422" s="32"/>
      <c r="W1422" s="32"/>
      <c r="X1422" s="32"/>
    </row>
    <row r="1423" spans="2:24" x14ac:dyDescent="0.25">
      <c r="B1423" s="32"/>
      <c r="C1423" s="32"/>
      <c r="D1423" s="32"/>
      <c r="E1423" s="32"/>
      <c r="F1423" s="32"/>
      <c r="G1423" s="32"/>
      <c r="H1423" s="32"/>
      <c r="I1423" s="32"/>
      <c r="J1423" s="32"/>
      <c r="K1423" s="97">
        <f t="shared" si="17"/>
        <v>1014</v>
      </c>
      <c r="L1423" s="98" t="s">
        <v>626</v>
      </c>
      <c r="M1423" s="99" t="s">
        <v>1459</v>
      </c>
      <c r="N1423" s="100" t="s">
        <v>1461</v>
      </c>
      <c r="O1423" s="32"/>
      <c r="P1423" s="32"/>
      <c r="Q1423" s="32"/>
      <c r="R1423" s="32"/>
      <c r="S1423" s="32"/>
      <c r="T1423" s="32"/>
      <c r="U1423" s="32"/>
      <c r="V1423" s="32"/>
      <c r="W1423" s="32"/>
      <c r="X1423" s="32"/>
    </row>
    <row r="1424" spans="2:24" x14ac:dyDescent="0.25">
      <c r="B1424" s="32"/>
      <c r="C1424" s="32"/>
      <c r="D1424" s="32"/>
      <c r="E1424" s="32"/>
      <c r="F1424" s="32"/>
      <c r="G1424" s="32"/>
      <c r="H1424" s="32"/>
      <c r="I1424" s="32"/>
      <c r="J1424" s="32"/>
      <c r="K1424" s="97">
        <f t="shared" si="17"/>
        <v>1015</v>
      </c>
      <c r="L1424" s="98" t="s">
        <v>626</v>
      </c>
      <c r="M1424" s="99" t="s">
        <v>1459</v>
      </c>
      <c r="N1424" s="100" t="s">
        <v>1461</v>
      </c>
      <c r="O1424" s="32"/>
      <c r="P1424" s="32"/>
      <c r="Q1424" s="32"/>
      <c r="R1424" s="32"/>
      <c r="S1424" s="32"/>
      <c r="T1424" s="32"/>
      <c r="U1424" s="32"/>
      <c r="V1424" s="32"/>
      <c r="W1424" s="32"/>
      <c r="X1424" s="32"/>
    </row>
    <row r="1425" spans="2:24" x14ac:dyDescent="0.25">
      <c r="B1425" s="32"/>
      <c r="C1425" s="32"/>
      <c r="D1425" s="32"/>
      <c r="E1425" s="32"/>
      <c r="F1425" s="32"/>
      <c r="G1425" s="32"/>
      <c r="H1425" s="32"/>
      <c r="I1425" s="32"/>
      <c r="J1425" s="32"/>
      <c r="K1425" s="97">
        <f t="shared" si="17"/>
        <v>1016</v>
      </c>
      <c r="L1425" s="98" t="s">
        <v>626</v>
      </c>
      <c r="M1425" s="99" t="s">
        <v>1459</v>
      </c>
      <c r="N1425" s="100" t="s">
        <v>1461</v>
      </c>
      <c r="O1425" s="32"/>
      <c r="P1425" s="32"/>
      <c r="Q1425" s="32"/>
      <c r="R1425" s="32"/>
      <c r="S1425" s="32"/>
      <c r="T1425" s="32"/>
      <c r="U1425" s="32"/>
      <c r="V1425" s="32"/>
      <c r="W1425" s="32"/>
      <c r="X1425" s="32"/>
    </row>
    <row r="1426" spans="2:24" x14ac:dyDescent="0.25">
      <c r="B1426" s="32"/>
      <c r="C1426" s="32"/>
      <c r="D1426" s="32"/>
      <c r="E1426" s="32"/>
      <c r="F1426" s="32"/>
      <c r="G1426" s="32"/>
      <c r="H1426" s="32"/>
      <c r="I1426" s="32"/>
      <c r="J1426" s="32"/>
      <c r="K1426" s="97">
        <f t="shared" si="17"/>
        <v>1017</v>
      </c>
      <c r="L1426" s="98" t="s">
        <v>1463</v>
      </c>
      <c r="M1426" s="99" t="s">
        <v>626</v>
      </c>
      <c r="N1426" s="100" t="s">
        <v>1461</v>
      </c>
      <c r="O1426" s="32"/>
      <c r="P1426" s="32"/>
      <c r="Q1426" s="32"/>
      <c r="R1426" s="32"/>
      <c r="S1426" s="32"/>
      <c r="T1426" s="32"/>
      <c r="U1426" s="32"/>
      <c r="V1426" s="32"/>
      <c r="W1426" s="32"/>
      <c r="X1426" s="32"/>
    </row>
    <row r="1427" spans="2:24" x14ac:dyDescent="0.25">
      <c r="B1427" s="32"/>
      <c r="C1427" s="32"/>
      <c r="D1427" s="32"/>
      <c r="E1427" s="32"/>
      <c r="F1427" s="32"/>
      <c r="G1427" s="32"/>
      <c r="H1427" s="32"/>
      <c r="I1427" s="32"/>
      <c r="J1427" s="32"/>
      <c r="K1427" s="97">
        <f t="shared" si="17"/>
        <v>1018</v>
      </c>
      <c r="L1427" s="98" t="s">
        <v>1463</v>
      </c>
      <c r="M1427" s="99" t="s">
        <v>626</v>
      </c>
      <c r="N1427" s="100" t="s">
        <v>1461</v>
      </c>
      <c r="O1427" s="32"/>
      <c r="P1427" s="32"/>
      <c r="Q1427" s="32"/>
      <c r="R1427" s="32"/>
      <c r="S1427" s="32"/>
      <c r="T1427" s="32"/>
      <c r="U1427" s="32"/>
      <c r="V1427" s="32"/>
      <c r="W1427" s="32"/>
      <c r="X1427" s="32"/>
    </row>
    <row r="1428" spans="2:24" x14ac:dyDescent="0.25">
      <c r="B1428" s="32"/>
      <c r="C1428" s="32"/>
      <c r="D1428" s="32"/>
      <c r="E1428" s="32"/>
      <c r="F1428" s="32"/>
      <c r="G1428" s="32"/>
      <c r="H1428" s="32"/>
      <c r="I1428" s="32"/>
      <c r="J1428" s="32"/>
      <c r="K1428" s="97">
        <f t="shared" si="17"/>
        <v>1019</v>
      </c>
      <c r="L1428" s="98" t="s">
        <v>1463</v>
      </c>
      <c r="M1428" s="99" t="s">
        <v>626</v>
      </c>
      <c r="N1428" s="100" t="s">
        <v>1461</v>
      </c>
      <c r="O1428" s="32"/>
      <c r="P1428" s="32"/>
      <c r="Q1428" s="32"/>
      <c r="R1428" s="32"/>
      <c r="S1428" s="32"/>
      <c r="T1428" s="32"/>
      <c r="U1428" s="32"/>
      <c r="V1428" s="32"/>
      <c r="W1428" s="32"/>
      <c r="X1428" s="32"/>
    </row>
    <row r="1429" spans="2:24" x14ac:dyDescent="0.25">
      <c r="B1429" s="32"/>
      <c r="C1429" s="32"/>
      <c r="D1429" s="32"/>
      <c r="E1429" s="32"/>
      <c r="F1429" s="32"/>
      <c r="G1429" s="32"/>
      <c r="H1429" s="32"/>
      <c r="I1429" s="32"/>
      <c r="J1429" s="32"/>
      <c r="K1429" s="97">
        <f t="shared" si="17"/>
        <v>1020</v>
      </c>
      <c r="L1429" s="98" t="s">
        <v>626</v>
      </c>
      <c r="M1429" s="99" t="s">
        <v>1459</v>
      </c>
      <c r="N1429" s="100" t="s">
        <v>1461</v>
      </c>
      <c r="O1429" s="32"/>
      <c r="P1429" s="32"/>
      <c r="Q1429" s="32"/>
      <c r="R1429" s="32"/>
      <c r="S1429" s="32"/>
      <c r="T1429" s="32"/>
      <c r="U1429" s="32"/>
      <c r="V1429" s="32"/>
      <c r="W1429" s="32"/>
      <c r="X1429" s="32"/>
    </row>
    <row r="1430" spans="2:24" x14ac:dyDescent="0.25">
      <c r="B1430" s="32"/>
      <c r="C1430" s="32"/>
      <c r="D1430" s="32"/>
      <c r="E1430" s="32"/>
      <c r="F1430" s="32"/>
      <c r="G1430" s="32"/>
      <c r="H1430" s="32"/>
      <c r="I1430" s="32"/>
      <c r="J1430" s="32"/>
      <c r="K1430" s="32"/>
      <c r="L1430" s="32"/>
      <c r="M1430" s="32"/>
      <c r="N1430" s="32"/>
      <c r="O1430" s="32"/>
      <c r="P1430" s="32"/>
      <c r="Q1430" s="32"/>
      <c r="R1430" s="32"/>
      <c r="S1430" s="32"/>
      <c r="T1430" s="32"/>
      <c r="U1430" s="32"/>
      <c r="V1430" s="32"/>
      <c r="W1430" s="32"/>
      <c r="X1430" s="32"/>
    </row>
    <row r="1431" spans="2:24" x14ac:dyDescent="0.25">
      <c r="B1431" s="32"/>
      <c r="C1431" s="32"/>
      <c r="D1431" s="32"/>
      <c r="E1431" s="32"/>
      <c r="F1431" s="32"/>
      <c r="G1431" s="32"/>
      <c r="H1431" s="32"/>
      <c r="I1431" s="32"/>
      <c r="J1431" s="32"/>
      <c r="K1431" s="32"/>
      <c r="L1431" s="32"/>
      <c r="M1431" s="32"/>
      <c r="N1431" s="32"/>
      <c r="O1431" s="32"/>
      <c r="P1431" s="32"/>
      <c r="Q1431" s="32"/>
      <c r="R1431" s="32"/>
      <c r="S1431" s="32"/>
      <c r="T1431" s="32"/>
      <c r="U1431" s="32"/>
      <c r="V1431" s="32"/>
      <c r="W1431" s="32"/>
      <c r="X1431" s="32"/>
    </row>
    <row r="1432" spans="2:24" x14ac:dyDescent="0.25">
      <c r="B1432" s="32"/>
      <c r="C1432" s="32"/>
      <c r="D1432" s="32"/>
      <c r="E1432" s="32"/>
      <c r="F1432" s="32"/>
      <c r="G1432" s="32"/>
      <c r="H1432" s="32"/>
      <c r="I1432" s="32"/>
      <c r="J1432" s="32"/>
      <c r="K1432" s="32"/>
      <c r="L1432" s="32"/>
      <c r="M1432" s="32"/>
      <c r="N1432" s="32"/>
      <c r="O1432" s="32"/>
      <c r="P1432" s="32"/>
      <c r="Q1432" s="32"/>
      <c r="R1432" s="32"/>
      <c r="S1432" s="32"/>
      <c r="T1432" s="32"/>
      <c r="U1432" s="32"/>
      <c r="V1432" s="32"/>
      <c r="W1432" s="32"/>
      <c r="X1432" s="32"/>
    </row>
    <row r="1433" spans="2:24" x14ac:dyDescent="0.25">
      <c r="B1433" s="32"/>
      <c r="C1433" s="32"/>
      <c r="D1433" s="32"/>
      <c r="E1433" s="32"/>
      <c r="F1433" s="32"/>
      <c r="G1433" s="32"/>
      <c r="H1433" s="32"/>
      <c r="I1433" s="32"/>
      <c r="J1433" s="32"/>
      <c r="K1433" s="32"/>
      <c r="L1433" s="32"/>
      <c r="M1433" s="32"/>
      <c r="N1433" s="32"/>
      <c r="O1433" s="32"/>
      <c r="P1433" s="32"/>
      <c r="Q1433" s="32"/>
      <c r="R1433" s="32"/>
      <c r="S1433" s="32"/>
      <c r="T1433" s="32"/>
      <c r="U1433" s="32"/>
      <c r="V1433" s="32"/>
      <c r="W1433" s="32"/>
      <c r="X1433" s="32"/>
    </row>
    <row r="1434" spans="2:24" x14ac:dyDescent="0.25">
      <c r="B1434" s="32"/>
      <c r="C1434" s="32"/>
      <c r="D1434" s="32"/>
      <c r="E1434" s="32"/>
      <c r="F1434" s="32"/>
      <c r="G1434" s="32"/>
      <c r="H1434" s="32"/>
      <c r="I1434" s="32"/>
      <c r="J1434" s="32"/>
      <c r="K1434" s="32"/>
      <c r="L1434" s="32"/>
      <c r="M1434" s="32"/>
      <c r="N1434" s="32"/>
      <c r="O1434" s="32"/>
      <c r="P1434" s="32"/>
      <c r="Q1434" s="32"/>
      <c r="R1434" s="32"/>
      <c r="S1434" s="32"/>
      <c r="T1434" s="32"/>
      <c r="U1434" s="32"/>
      <c r="V1434" s="32"/>
      <c r="W1434" s="32"/>
      <c r="X1434" s="32"/>
    </row>
    <row r="1435" spans="2:24" x14ac:dyDescent="0.25">
      <c r="B1435" s="32"/>
      <c r="C1435" s="32"/>
      <c r="D1435" s="32"/>
      <c r="E1435" s="32"/>
      <c r="F1435" s="32"/>
      <c r="G1435" s="32"/>
      <c r="H1435" s="32"/>
      <c r="I1435" s="32"/>
      <c r="J1435" s="32"/>
      <c r="K1435" s="32"/>
      <c r="L1435" s="32"/>
      <c r="M1435" s="32"/>
      <c r="N1435" s="32"/>
      <c r="O1435" s="32"/>
      <c r="P1435" s="32"/>
      <c r="Q1435" s="32"/>
      <c r="R1435" s="32"/>
      <c r="S1435" s="32"/>
      <c r="T1435" s="32"/>
      <c r="U1435" s="32"/>
      <c r="V1435" s="32"/>
      <c r="W1435" s="32"/>
      <c r="X1435" s="32"/>
    </row>
    <row r="1436" spans="2:24" x14ac:dyDescent="0.25">
      <c r="F1436" s="428"/>
      <c r="G1436" s="427"/>
      <c r="J1436" s="428" t="s">
        <v>2049</v>
      </c>
      <c r="V1436" s="32"/>
      <c r="W1436" s="32"/>
      <c r="X1436" s="32"/>
    </row>
    <row r="1437" spans="2:24" ht="36.75" thickBot="1" x14ac:dyDescent="0.6">
      <c r="B1437" s="579"/>
      <c r="C1437" s="580"/>
      <c r="D1437" s="580"/>
      <c r="E1437" s="580"/>
      <c r="F1437" s="580"/>
      <c r="G1437" s="580"/>
      <c r="H1437" s="581" t="str">
        <f>IF($S$1438&gt;=1055,"LOT 21 LABORATORY REQUIREMENT - OBADA ANNEX",IF($S$1438&gt;=1039,"LOT 21 - LABORATORY REQUIREMENT - SHAJE ANNEX",IF($S$1438&gt;=981,"LOT 20 - LABORATORY - CHEMICAL PATHOLOGY",IF($S$1438&gt;=974,"LOT 19 - MICROBIOLOGY - INFECTION CONTROL",IF($S$1438&gt;=957,"LOT 19 - MICROBIOLOGY - SENSITIVITY DISCS",IF($S$1438&gt;=902,"LOT 18 - MICROBIOLOGY - REAGENT KITS",IF($S$1438&gt;=846,"LOT 17 - HISTOPATHOLOGY",IF($S$1438&gt;=760,"LOT 16 - HAEMATOLOGY",IF($S$1438&gt;=722,"LOT 15 - THEATRE DEPARTMENT",IF($S$1438&gt;=709,"LOT 14 - RADIOLOGY DEPARTMENT",IF($S$1438&gt;=702,"LOT 13 - PHARMACY - CONSUMABLES - SUTURES",IF($S$1438&gt;=684,"LOT 13 - PHARMACY - CONSUMABLES",IF($S$1438&gt;=669,"LOT 13 PHARMACY - DISINFECTANTS",IF($S$1438&gt;=651,"LOT 13 - PHARMACY - DERMATOLOGICAL PREPARATIONS",IF($S$1438&gt;=570,"LOT 13 - PHARMACY - DRESSINGS/CONSUMABLES",IF($S$1438&gt;=539,"LOT 12 - PHARMACY - ONCOLOGY DRUGS",IF($S$1438&gt;=494,"LOT 11 - PHARMACY - EYE/EAR MEDICATIONS",IF($S$1438&gt;=455,"LOT 10 - PHARMACY - RESPIRATORY TRACT DRUGS",IF($S$1438&gt;=424,"LOT 9 - PHARMACY GASTROINTESTINAL DRUGS",IF($S$1438&gt;=381,"LOT 8 - PHARMACY -OBSTETRICS/GYNAECOLOGY DRUGS",IF($S$1438&gt;=351,"LOT 7 - PHARMACY - HYPNOSEDATIVE DRUGS",IF($S$1438&gt;=285,"LOT 6 PHARMACY - BLOOD &amp; NUTRITIONAL DRUGS",IF($S$1438&gt;=194,"LOT 5 - I589PHARMACY - ANTI-INFECTIVE AGENTS",IF($S$1438&gt;=142,"LOT 4 - PHARMACY - ANTI-INFLAMMATORY/ANTI-PYRETIC/ANALGESICS",IF($S$1438&gt;=118,"LOT 3 - PHARMACY - ORAL HYPOGLYCAEMIC DRUGS",IF($S$1438&gt;=34,"LOT 3 - PHARMACY - ANTI-HYPERTENSIVES",IF($S$1438&gt;=19,"LOT 2 - PHARMACY - STERILE INTRAVENOUS FLUIDS",IF($S$1438&gt;=1,"LOT 1 - PHARMACY - ANTI-MALARIALS","-"))))))))))))))))))))))))))))</f>
        <v>LOT 21 LABORATORY REQUIREMENT - OBADA ANNEX</v>
      </c>
      <c r="I1437" s="582"/>
      <c r="J1437" s="580"/>
      <c r="K1437" s="580"/>
      <c r="L1437" s="580"/>
      <c r="M1437" s="580"/>
      <c r="N1437" s="580"/>
      <c r="O1437" s="580"/>
      <c r="P1437" s="580"/>
      <c r="Q1437" s="580"/>
      <c r="R1437" s="583"/>
      <c r="S1437" s="580"/>
      <c r="T1437" s="580"/>
      <c r="U1437" s="580"/>
      <c r="V1437" s="32"/>
      <c r="W1437" s="32"/>
      <c r="X1437" s="32"/>
    </row>
    <row r="1438" spans="2:24" ht="39.75" customHeight="1" thickBot="1" x14ac:dyDescent="0.7">
      <c r="B1438" s="584"/>
      <c r="C1438" s="585" t="str">
        <f>IF($S$1438=1021,PR!$B$1134,IF($S$1438=1022,PR!$B$1135,IF($S$1438=1023,PR!$B$1136,IF($S$1438=1024,PR!$B$1137,IF($S$1438=1025,PR!$B$1138,IF($S$1438=1026,PR!$B$1139,IF($S$1438=1027,PR!$B$1140,IF($S$1438=1028,PR!$B$1141,IF($S$1438=1029,PR!$B$1142,IF($S$1438=1030,PR!$B$1143,IF($S$1438=1031,PR!$B$1144,IF($S$1438=1032,PR!$B$1145,IF($S$1438=1033,PR!$B$1146,IF($S$1438=1034,PR!$B$1147,IF($S$1438=1035,PR!$B$1148,IF($S$1438=1036,PR!$B$1149,IF($S$1438=1037,PR!$B$1150,IF($S$1438=1038,PR!$B$1151,IF($S$1438=1039,PR!$B$1158,IF($S$1438=1040,PR!$B$1159,IF($S$1438=1041,PR!$B$1160,IF($S$1438=1042,PR!$B$1161,IF($S$1438=1043,PR!$B$1162,IF($S$1438=1044,PR!$B$1163,IF($S$1438=1045,PR!$B$1164,IF($S$1438=1046,PR!$B$1165,IF($S$1438=1047,PR!$B$1166,IF($S$1438=1048,PR!$B$1167,IF($S$1438=1049,PR!$B$1168,IF($S$1438=1050,PR!$B$1169,IF($S$1438=1051,PR!$B$1170,IF($S$1438=1052,PR!$B$1171,IF($S$1438=1053,PR!$B$1172,IF($S$1438=1054,PR!$B$1173,IF($S$1438=1055,PR!$B$1177,IF($S$1438=1056,PR!$B$1178,IF($S$1438=1057,PR!$B$1179,IF($S$1438=1058,PR!$B$1180,IF($S$1438=1059,PR!$B$1181,IF($S$1438=1060,PR!$B$1182,IF($S$1438=1061,PR!$B$1183,IF($S$1438=1062,PR!$B$1184,IF($S$1438=1063,PR!$B$1185,IF($S$1438=1064,PR!$B$1186,IF($S$1438=1065,PR!$B$1187,IF($S$1438=1066,PR!$B$1188,IF($S$1438=1067,PR!$B$1189,IF($S$1438=1068,PR!$B$1190,IF($S$1438=1069,PR!$B$1191,IF($S$1438=1070,PR!$B$1192,IF($S$1438=1071,PR!$B$1193,IF($S$1438=1072,PR!$B$1194,IF($S$1438=1073,PR!$B$1195,IF($S$1438=1074,PR!$B$1196,IF($S$1438=1075,PR!$B$1197,IF($S$1438=1076,PR!$B$1198,IF($S$1438=1077,PR!$B$1199,IF($S$1438=1078,PR!$B$1200,IF($S$1438=1079,PR!$B$1201,IF($S$1438=1080,PR!$B$1202,"-"))))))))))))))))))))))))))))))))))))))))))))))))))))))))))))</f>
        <v>COVER SLIP</v>
      </c>
      <c r="D1438" s="629"/>
      <c r="E1438" s="629"/>
      <c r="F1438" s="629"/>
      <c r="G1438" s="629"/>
      <c r="H1438" s="629"/>
      <c r="I1438" s="629"/>
      <c r="J1438" s="586"/>
      <c r="K1438" s="586"/>
      <c r="L1438" s="586"/>
      <c r="M1438" s="586"/>
      <c r="N1438" s="586"/>
      <c r="O1438" s="586"/>
      <c r="P1438" s="587"/>
      <c r="Q1438" s="588"/>
      <c r="R1438" s="583"/>
      <c r="S1438" s="589">
        <v>1080</v>
      </c>
      <c r="T1438" s="580"/>
      <c r="U1438" s="580"/>
      <c r="V1438" s="32"/>
      <c r="W1438" s="32"/>
      <c r="X1438" s="32"/>
    </row>
    <row r="1439" spans="2:24" ht="36.75" customHeight="1" thickBot="1" x14ac:dyDescent="0.7">
      <c r="B1439" s="580"/>
      <c r="C1439" s="590" t="s">
        <v>780</v>
      </c>
      <c r="D1439" s="585" t="str">
        <f>IF($S$1438=1021,PR!$D$1134,IF($S$1438=1022,PR!$D$1135,IF($S$1438=1023,PR!$D$1136,IF($S$1438=1024,PR!$D$1137,IF($S$1438=1025,PR!$D$1138,IF($S$1438=1026,PR!$D$1139,IF($S$1438=1027,PR!$D$1140,IF($S$1438=1028,PR!$D$1141,IF($S$1438=1029,PR!$D$1142,IF($S$1438=1030,PR!$D$1143,IF($S$1438=1031,PR!$D$1144,IF($S$1438=1032,PR!$D$1145,IF($S$1438=1033,PR!$D$1146,IF($S$1438=1034,PR!$D$1147,IF($S$1438=1035,PR!$D$1148,IF($S$1438=1036,PR!$D$1149,IF($S$1438=1037,PR!$D$1150,IF($S$1438=1038,PR!$D$1151,IF($S$1438=1039,PR!$D$1158,IF($S$1438=1040,PR!$D$1159,IF($S$1438=1041,PR!$D$1160,IF($S$1438=1042,PR!$D$1161,IF($S$1438=1043,PR!$D$1162,IF($S$1438=1044,PR!$D$1163,IF($S$1438=1045,PR!$D$1164,IF($S$1438=1046,PR!$D$1165,IF($S$1438=1047,PR!$D$1166,IF($S$1438=1048,PR!$D$1167,IF($S$1438=1049,PR!$D$1168,IF($S$1438=1050,PR!$D$1169,IF($S$1438=1051,PR!$D$1170,IF($S$1438=1052,PR!$D$1171,IF($S$1438=1053,PR!$D$1172,IF($S$1438=1054,PR!$D$1173,IF($S$1438=1055,PR!$D$1177,IF($S$1438=1056,PR!$D$1178,IF($S$1438=1057,PR!$D$1179,IF($S$1438=1058,PR!$D$1180,IF($S$1438=1059,PR!$D$1181,IF($S$1438=1060,PR!$D$1182,IF($S$1438=1061,PR!$D$1183,IF($S$1438=1062,PR!$D$1184,IF($S$1438=1063,PR!$D$1185,IF($S$1438=1064,PR!$D$1186,IF($S$1438=1065,PR!$D$1187,IF($S$1438=1066,PR!$D$1188,IF($S$1438=1067,PR!$D$1189,IF($S$1438=1068,PR!$D$1190,IF($S$1438=1069,PR!$D$1191,IF($S$1438=1070,PR!$D$1192,IF($S$1438=1071,PR!$D$1193,IF($S$1438=1072,PR!$D$1194,IF($S$1438=1073,PR!$D$1195,IF($S$1438=1074,PR!$D$1196,IF($S$1438=1075,PR!$D$1197,IF($S$1438=1076,PR!$D$1198,IF($S$1438=1077,PR!$D$1199,IF($S$1438=1078,PR!$D$1200,IF($S$1438=1079,PR!$D$1201,IF($S$1438=1080,PR!$D$1202,"-"))))))))))))))))))))))))))))))))))))))))))))))))))))))))))))</f>
        <v>1 x 10</v>
      </c>
      <c r="E1439" s="586"/>
      <c r="F1439" s="586"/>
      <c r="G1439" s="586"/>
      <c r="H1439" s="630"/>
      <c r="I1439" s="631"/>
      <c r="J1439" s="779" t="s">
        <v>781</v>
      </c>
      <c r="K1439" s="779"/>
      <c r="L1439" s="780"/>
      <c r="M1439" s="781">
        <f>IF($S$1438=1021,PR!$C$1134,IF($S$1438=1022,PR!$C$1135,IF($S$1438=1023,PR!$C$1136,IF($S$1438=1024,PR!$C$1137,IF($S$1438=1025,PR!$C$1138,IF($S$1438=1026,PR!$C$1139,IF($S$1438=1027,PR!$C$1140,IF($S$1438=1028,PR!$C$1141,IF($S$1438=1029,PR!$C$1142,IF($S$1438=1030,PR!$C$1143,IF($S$1438=1031,PR!$C$1144,IF($S$1438=1032,PR!$C$1145,IF($S$1438=1033,PR!$C$1146,IF($S$1438=1034,PR!$C$1147,IF($S$1438=1035,PR!$C$1148,IF($S$1438=1036,PR!$C$1149,IF($S$1438=1037,PR!$C$1150,IF($S$1438=1038,PR!$C$1151,IF($S$1438=1039,PR!$C$1158,IF($S$1438=1040,PR!$C$1159,IF($S$1438=1041,PR!$C$1160,IF($S$1438=1042,PR!$C$1161,IF($S$1438=1043,PR!$C$1162,IF($S$1438=1044,PR!$C$1163,IF($S$1438=1045,PR!$C$1164,IF($S$1438=1046,PR!$C$1165,IF($S$1438=1047,PR!$C$1166,IF($S$1438=1048,PR!$C$1167,IF($S$1438=1049,PR!$C$1168,IF($S$1438=1050,PR!$C$1169,IF($S$1438=1051,PR!$C$1170,IF($S$1438=1052,PR!$C$1171,IF($S$1438=1053,PR!$C$1172,IF($S$1438=1054,PR!$C$1173,IF($S$1438=1055,PR!$C$1177,IF($S$1438=1056,PR!$C$1178,IF($S$1438=1057,PR!$C$1179,IF($S$1438=1058,PR!$C$1180,IF($S$1438=1059,PR!$C$1181,IF($S$1438=1060,PR!$C$1182,IF($S$1438=1061,PR!$C$1183,IF($S$1438=1062,PR!$C$1184,IF($S$1438=1063,PR!$C$1185,IF($S$1438=1064,PR!$C$1186,IF($S$1438=1065,PR!$C$1187,IF($S$1438=1066,PR!$C$1188,IF($S$1438=1067,PR!$C$1189,IF($S$1438=1068,PR!$C$1190,IF($S$1438=1069,PR!$C$1191,IF($S$1438=1070,PR!$C$1192,IF($S$1438=1071,PR!$C$1193,IF($S$1438=1072,PR!$C$1194,IF($S$1438=1073,PR!$C$1195,IF($S$1438=1074,PR!$C$1196,IF($S$1438=1075,PR!$C$1197,IF($S$1438=1076,PR!$C$1198,IF($S$1438=1077,PR!$C$1199,IF($S$1438=1078,PR!$C$1200,IF($S$1438=1079,PR!$C$1201,IF($S$1438=1080,PR!$C$1202,"-"))))))))))))))))))))))))))))))))))))))))))))))))))))))))))))</f>
        <v>10</v>
      </c>
      <c r="N1439" s="782"/>
      <c r="O1439" s="580"/>
      <c r="P1439" s="580"/>
      <c r="Q1439" s="580"/>
      <c r="R1439" s="583"/>
      <c r="S1439" s="580"/>
      <c r="T1439" s="580"/>
      <c r="U1439" s="580"/>
      <c r="V1439" s="32"/>
      <c r="W1439" s="32"/>
      <c r="X1439" s="32"/>
    </row>
    <row r="1440" spans="2:24" ht="6.75" customHeight="1" thickTop="1" x14ac:dyDescent="0.25">
      <c r="B1440" s="580"/>
      <c r="C1440" s="591"/>
      <c r="D1440" s="592"/>
      <c r="E1440" s="580"/>
      <c r="F1440" s="580"/>
      <c r="G1440" s="593"/>
      <c r="H1440" s="593"/>
      <c r="I1440" s="593"/>
      <c r="J1440" s="593"/>
      <c r="K1440" s="594"/>
      <c r="L1440" s="594"/>
      <c r="M1440" s="580"/>
      <c r="N1440" s="580"/>
      <c r="O1440" s="580"/>
      <c r="P1440" s="580"/>
      <c r="Q1440" s="580"/>
      <c r="R1440" s="583"/>
      <c r="S1440" s="580"/>
      <c r="T1440" s="580"/>
      <c r="U1440" s="580"/>
      <c r="V1440" s="32"/>
      <c r="W1440" s="32"/>
      <c r="X1440" s="32"/>
    </row>
    <row r="1441" spans="2:24" ht="15.75" thickBot="1" x14ac:dyDescent="0.3">
      <c r="B1441" s="595"/>
      <c r="C1441" s="600" t="str">
        <f>N!$C$4</f>
        <v>ALPHA</v>
      </c>
      <c r="D1441" s="600" t="str">
        <f>N!$C$5</f>
        <v>ASSENE</v>
      </c>
      <c r="E1441" s="600" t="str">
        <f>N!$C$6</f>
        <v>BIOFEM</v>
      </c>
      <c r="F1441" s="600" t="str">
        <f>N!$C$7</f>
        <v>BIOMED</v>
      </c>
      <c r="G1441" s="600" t="str">
        <f>N!$C$8</f>
        <v>CHI</v>
      </c>
      <c r="H1441" s="600" t="str">
        <f>N!$C$9</f>
        <v>CLARION</v>
      </c>
      <c r="I1441" s="600" t="str">
        <f>N!$C$10</f>
        <v>CODIX</v>
      </c>
      <c r="J1441" s="600" t="str">
        <f>N!$C$11</f>
        <v>COSMADE</v>
      </c>
      <c r="K1441" s="600" t="str">
        <f>N!$C$12</f>
        <v>SANCON</v>
      </c>
      <c r="L1441" s="600" t="str">
        <f>N!$C$13</f>
        <v>DEVON</v>
      </c>
      <c r="M1441" s="600" t="str">
        <f>N!$C$14</f>
        <v>DORTEMAG</v>
      </c>
      <c r="N1441" s="600" t="str">
        <f>N!$C$15</f>
        <v>DGF</v>
      </c>
      <c r="O1441" s="601" t="str">
        <f>N!$C$16</f>
        <v>DYNAMIC</v>
      </c>
      <c r="P1441" s="600" t="str">
        <f>N!$C$17</f>
        <v>EMZOR</v>
      </c>
      <c r="Q1441" s="600" t="str">
        <f>N!$C$18</f>
        <v>EUMATT</v>
      </c>
      <c r="R1441" s="600" t="str">
        <f>N!$C$19</f>
        <v>FIDSON</v>
      </c>
      <c r="S1441" s="600" t="str">
        <f>N!$C$20</f>
        <v>FCGLOBAL</v>
      </c>
      <c r="T1441" s="580"/>
      <c r="U1441" s="580"/>
      <c r="V1441" s="32"/>
      <c r="W1441" s="32"/>
      <c r="X1441" s="32"/>
    </row>
    <row r="1442" spans="2:24" ht="15.75" thickBot="1" x14ac:dyDescent="0.3">
      <c r="B1442" s="596"/>
      <c r="C1442" s="602">
        <f>IF($S$1438=1021,PR!$E$1134,IF($S$1438=1022,PR!$E$1135,IF($S$1438=1023,PR!$E$1136,IF($S$1438=1024,PR!$E$1137,IF($S$1438=1025,PR!$E$1138,IF($S$1438=1026,PR!$E$1139,IF($S$1438=1027,PR!$E$1140,IF($S$1438=1028,PR!$E$1141,IF($S$1438=1029,PR!$E$1142,IF($S$1438=1030,PR!$E$1143,IF($S$1438=1031,PR!$E$1144,IF($S$1438=1032,PR!$E$1145,IF($S$1438=1033,PR!$E$1146,IF($S$1438=1034,PR!$E$1147,IF($S$1438=1035,PR!$E$1148,IF($S$1438=1036,PR!$E$1149,IF($S$1438=1037,PR!$E$1150,IF($S$1438=1038,PR!$E$1151,IF($S$1438=1039,PR!$E$1158,IF($S$1438=1040,PR!$E$1159,IF($S$1438=1041,PR!$E$1160,IF($S$1438=1042,PR!$E$1161,IF($S$1438=1043,PR!$E$1162,IF($S$1438=1044,PR!$E$1163,IF($S$1438=1045,PR!$E$1164,IF($S$1438=1046,PR!$E$1165,IF($S$1438=1047,PR!$E$1166,IF($S$1438=1048,PR!$E$1167,IF($S$1438=1049,PR!$E$1168,IF($S$1438=1050,PR!$E$1169,IF($S$1438=1051,PR!$E$1170,IF($S$1438=1052,PR!$E$1171,IF($S$1438=1053,PR!$E$1172,IF($S$1438=1054,PR!$E$1173,IF($S$1438=1055,PR!$E$1177,IF($S$1438=1056,PR!$E$1178,IF($S$1438=1057,PR!$E$1179,IF($S$1438=1058,PR!$E$1180,IF($S$1438=1059,PR!$E$1181,IF($S$1438=1060,PR!$E$1182,IF($S$1438=1061,PR!$E$1183,IF($S$1438=1062,PR!$E$1184,IF($S$1438=1063,PR!$E$1185,IF($S$1438=1064,PR!$E$1186,IF($S$1438=1065,PR!$E$1187,IF($S$1438=1066,PR!$E$1188,IF($S$1438=1067,PR!$E$1189,IF($S$1438=1068,PR!$E$1190,IF($S$1438=1069,PR!$E$1191,IF($S$1438=1070,PR!$E$1192,IF($S$1438=1071,PR!$E$1193,IF($S$1438=1072,PR!$E$1194,IF($S$1438=1073,PR!$E$1195,IF($S$1438=1074,PR!$E$1196,IF($S$1438=1075,PR!$E$1197,IF($S$1438=1076,PR!$E$1198,IF($S$1438=1077,PR!$E$1199,IF($S$1438=1078,PR!$E$1200,IF($S$1438=1079,PR!$E$1201,IF($S$1438=1080,PR!$E$1202,"-"))))))))))))))))))))))))))))))))))))))))))))))))))))))))))))</f>
        <v>0</v>
      </c>
      <c r="D1442" s="602">
        <f>IF($S$1438=1021,PR!$F$1134,IF($S$1438=1022,PR!$F$1135,IF($S$1438=1023,PR!$F$1136,IF($S$1438=1024,PR!$F$1137,IF($S$1438=1025,PR!$F$1138,IF($S$1438=1026,PR!$F$1139,IF($S$1438=1027,PR!$F$1140,IF($S$1438=1028,PR!$F$1141,IF($S$1438=1029,PR!$F$1142,IF($S$1438=1030,PR!$F$1143,IF($S$1438=1031,PR!$F$1144,IF($S$1438=1032,PR!$F$1145,IF($S$1438=1033,PR!$F$1146,IF($S$1438=1034,PR!$F$1147,IF($S$1438=1035,PR!$F$1148,IF($S$1438=1036,PR!$F$1149,IF($S$1438=1037,PR!$F$1150,IF($S$1438=1038,PR!$F$1151,IF($S$1438=1039,PR!$F$1158,IF($S$1438=1040,PR!$F$1159,IF($S$1438=1041,PR!$F$1160,IF($S$1438=1042,PR!$F$1161,IF($S$1438=1043,PR!$F$1162,IF($S$1438=1044,PR!$F$1163,IF($S$1438=1045,PR!$F$1164,IF($S$1438=1046,PR!$F$1165,IF($S$1438=1047,PR!$F$1166,IF($S$1438=1048,PR!$F$1167,IF($S$1438=1049,PR!$F$1168,IF($S$1438=1050,PR!$F$1169,IF($S$1438=1051,PR!$F$1170,IF($S$1438=1052,PR!$F$1171,IF($S$1438=1053,PR!$F$1172,IF($S$1438=1054,PR!$F$1173,IF($S$1438=1055,PR!$F$1177,IF($S$1438=1056,PR!$F$1178,IF($S$1438=1057,PR!$F$1179,IF($S$1438=1058,PR!$F$1180,IF($S$1438=1059,PR!$F$1181,IF($S$1438=1060,PR!$F$1182,IF($S$1438=1061,PR!$F$1183,IF($S$1438=1062,PR!$F$1184,IF($S$1438=1063,PR!$F$1185,IF($S$1438=1064,PR!$F$1186,IF($S$1438=1065,PR!$F$1187,IF($S$1438=1066,PR!$F$1188,IF($S$1438=1067,PR!$F$1189,IF($S$1438=1068,PR!$F$1190,IF($S$1438=1069,PR!$F$1191,IF($S$1438=1070,PR!$F$1192,IF($S$1438=1071,PR!$F$1193,IF($S$1438=1072,PR!$F$1194,IF($S$1438=1073,PR!$F$1195,IF($S$1438=1074,PR!$F$1196,IF($S$1438=1075,PR!$F$1197,IF($S$1438=1076,PR!$F$1198,IF($S$1438=1077,PR!$F$1199,IF($S$1438=1078,PR!$F$1200,IF($S$1438=1079,PR!$F$1201,IF($S$1438=1080,PR!$F$1202,"-"))))))))))))))))))))))))))))))))))))))))))))))))))))))))))))</f>
        <v>0</v>
      </c>
      <c r="E1442" s="602">
        <f>IF($S$1438=1021,PR!$G$1134,IF($S$1438=1022,PR!$G$1135,IF($S$1438=1023,PR!$G$1136,IF($S$1438=1024,PR!$G$1137,IF($S$1438=1025,PR!$G$1138,IF($S$1438=1026,PR!$G$1139,IF($S$1438=1027,PR!$G$1140,IF($S$1438=1028,PR!$G$1141,IF($S$1438=1029,PR!$G$1142,IF($S$1438=1030,PR!$G$1143,IF($S$1438=1031,PR!$G$1144,IF($S$1438=1032,PR!$G$1145,IF($S$1438=1033,PR!$G$1146,IF($S$1438=1034,PR!$G$1147,IF($S$1438=1035,PR!$G$1148,IF($S$1438=1036,PR!$G$1149,IF($S$1438=1037,PR!$G$1150,IF($S$1438=1038,PR!$G$1151,IF($S$1438=1039,PR!$G$1158,IF($S$1438=1040,PR!$G$1159,IF($S$1438=1041,PR!$G$1160,IF($S$1438=1042,PR!$G$1161,IF($S$1438=1043,PR!$G$1162,IF($S$1438=1044,PR!$G$1163,IF($S$1438=1045,PR!$G$1164,IF($S$1438=1046,PR!$G$1165,IF($S$1438=1047,PR!$G$1166,IF($S$1438=1048,PR!$G$1167,IF($S$1438=1049,PR!$G$1168,IF($S$1438=1050,PR!$G$1169,IF($S$1438=1051,PR!$G$1170,IF($S$1438=1052,PR!$G$1171,IF($S$1438=1053,PR!$G$1172,IF($S$1438=1054,PR!$G$1173,IF($S$1438=1055,PR!$G$1177,IF($S$1438=1056,PR!$G$1178,IF($S$1438=1057,PR!$G$1179,IF($S$1438=1058,PR!$G$1180,IF($S$1438=1059,PR!$G$1181,IF($S$1438=1060,PR!$G$1182,IF($S$1438=1061,PR!$G$1183,IF($S$1438=1062,PR!$G$1184,IF($S$1438=1063,PR!$G$1185,IF($S$1438=1064,PR!$G$1186,IF($S$1438=1065,PR!$G$1187,IF($S$1438=1066,PR!$G$1188,IF($S$1438=1067,PR!$G$1189,IF($S$1438=1068,PR!$G$1190,IF($S$1438=1069,PR!$G$1191,IF($S$1438=1070,PR!$G$1192,IF($S$1438=1071,PR!$G$1193,IF($S$1438=1072,PR!$G$1194,IF($S$1438=1073,PR!$G$1195,IF($S$1438=1074,PR!$G$1196,IF($S$1438=1075,PR!$G$1197,IF($S$1438=1076,PR!$G$1198,IF($S$1438=1077,PR!$G$1199,IF($S$1438=1078,PR!$G$1200,IF($S$1438=1079,PR!$G$1201,IF($S$1438=1080,PR!$G$1202,"-"))))))))))))))))))))))))))))))))))))))))))))))))))))))))))))</f>
        <v>0</v>
      </c>
      <c r="F1442" s="602">
        <f>IF($S$1438=1021,PR!$H$1134,IF($S$1438=1022,PR!$H$1135,IF($S$1438=1023,PR!$H$1136,IF($S$1438=1024,PR!$H$1137,IF($S$1438=1025,PR!$H$1138,IF($S$1438=1026,PR!$H$1139,IF($S$1438=1027,PR!$H$1140,IF($S$1438=1028,PR!$H$1141,IF($S$1438=1029,PR!$H$1142,IF($S$1438=1030,PR!$H$1143,IF($S$1438=1031,PR!$H$1144,IF($S$1438=1032,PR!$H$1145,IF($S$1438=1033,PR!$H$1146,IF($S$1438=1034,PR!$H$1147,IF($S$1438=1035,PR!$H$1148,IF($S$1438=1036,PR!$H$1149,IF($S$1438=1037,PR!$H$1150,IF($S$1438=1038,PR!$H$1151,IF($S$1438=1039,PR!$H$1158,IF($S$1438=1040,PR!$H$1159,IF($S$1438=1041,PR!$H$1160,IF($S$1438=1042,PR!$H$1161,IF($S$1438=1043,PR!$H$1162,IF($S$1438=1044,PR!$H$1163,IF($S$1438=1045,PR!$H$1164,IF($S$1438=1046,PR!$H$1165,IF($S$1438=1047,PR!$H$1166,IF($S$1438=1048,PR!$H$1167,IF($S$1438=1049,PR!$H$1168,IF($S$1438=1050,PR!$H$1169,IF($S$1438=1051,PR!$H$1170,IF($S$1438=1052,PR!$H$1171,IF($S$1438=1053,PR!$H$1172,IF($S$1438=1054,PR!$H$1173,IF($S$1438=1055,PR!$H$1177,IF($S$1438=1056,PR!$H$1178,IF($S$1438=1057,PR!$H$1179,IF($S$1438=1058,PR!$H$1180,IF($S$1438=1059,PR!$H$1181,IF($S$1438=1060,PR!$H$1182,IF($S$1438=1061,PR!$H$1183,IF($S$1438=1062,PR!$H$1184,IF($S$1438=1063,PR!$H$1185,IF($S$1438=1064,PR!$H$1186,IF($S$1438=1065,PR!$H$1187,IF($S$1438=1066,PR!$H$1188,IF($S$1438=1067,PR!$H$1189,IF($S$1438=1068,PR!$H$1190,IF($S$1438=1069,PR!$H$1191,IF($S$1438=1070,PR!$H$1192,IF($S$1438=1071,PR!$H$1193,IF($S$1438=1072,PR!$H$1194,IF($S$1438=1073,PR!$H$1195,IF($S$1438=1074,PR!$H$1196,IF($S$1438=1075,PR!$H$1197,IF($S$1438=1076,PR!$H$1198,IF($S$1438=1077,PR!$H$1199,IF($S$1438=1078,PR!$H$1200,IF($S$1438=1079,PR!$H$1201,IF($S$1438=1080,PR!$H$1202,"-"))))))))))))))))))))))))))))))))))))))))))))))))))))))))))))</f>
        <v>0</v>
      </c>
      <c r="G1442" s="602">
        <f>IF($S$1438=1021,PR!$I$1134,IF($S$1438=1022,PR!$I$1135,IF($S$1438=1023,PR!$I$1136,IF($S$1438=1024,PR!$I$1137,IF($S$1438=1025,PR!$I$1138,IF($S$1438=1026,PR!$I$1139,IF($S$1438=1027,PR!$I$1140,IF($S$1438=1028,PR!$I$1141,IF($S$1438=1029,PR!$I$1142,IF($S$1438=1030,PR!$I$1143,IF($S$1438=1031,PR!$I$1144,IF($S$1438=1032,PR!$I$1145,IF($S$1438=1033,PR!$I$1146,IF($S$1438=1034,PR!$I$1147,IF($S$1438=1035,PR!$I$1148,IF($S$1438=1036,PR!$I$1149,IF($S$1438=1037,PR!$I$1150,IF($S$1438=1038,PR!$I$1151,IF($S$1438=1039,PR!$I$1158,IF($S$1438=1040,PR!$I$1159,IF($S$1438=1041,PR!$I$1160,IF($S$1438=1042,PR!$I$1161,IF($S$1438=1043,PR!$I$1162,IF($S$1438=1044,PR!$I$1163,IF($S$1438=1045,PR!$I$1164,IF($S$1438=1046,PR!$I$1165,IF($S$1438=1047,PR!$I$1166,IF($S$1438=1048,PR!$I$1167,IF($S$1438=1049,PR!$I$1168,IF($S$1438=1050,PR!$I$1169,IF($S$1438=1051,PR!$I$1170,IF($S$1438=1052,PR!$I$1171,IF($S$1438=1053,PR!$I$1172,IF($S$1438=1054,PR!$I$1173,IF($S$1438=1055,PR!$I$1177,IF($S$1438=1056,PR!$I$1178,IF($S$1438=1057,PR!$I$1179,IF($S$1438=1058,PR!$I$1180,IF($S$1438=1059,PR!$I$1181,IF($S$1438=1060,PR!$I$1182,IF($S$1438=1061,PR!$I$1183,IF($S$1438=1062,PR!$I$1184,IF($S$1438=1063,PR!$I$1185,IF($S$1438=1064,PR!$I$1186,IF($S$1438=1065,PR!$I$1187,IF($S$1438=1066,PR!$I$1188,IF($S$1438=1067,PR!$I$1189,IF($S$1438=1068,PR!$I$1190,IF($S$1438=1069,PR!$I$1191,IF($S$1438=1070,PR!$I$1192,IF($S$1438=1071,PR!$I$1193,IF($S$1438=1072,PR!$I$1194,IF($S$1438=1073,PR!$I$1195,IF($S$1438=1074,PR!$I$1196,IF($S$1438=1075,PR!$I$1197,IF($S$1438=1076,PR!$I$1198,IF($S$1438=1077,PR!$I$1199,IF($S$1438=1078,PR!$I$1200,IF($S$1438=1079,PR!$I$1201,IF($S$1438=1080,PR!$I$1202,"-"))))))))))))))))))))))))))))))))))))))))))))))))))))))))))))</f>
        <v>0</v>
      </c>
      <c r="H1442" s="602">
        <f>IF($S$1438=1021,PR!$J$1134,IF($S$1438=1022,PR!$J$1135,IF($S$1438=1023,PR!$J$1136,IF($S$1438=1024,PR!$J$1137,IF($S$1438=1025,PR!$J$1138,IF($S$1438=1026,PR!$J$1139,IF($S$1438=1027,PR!$J$1140,IF($S$1438=1028,PR!$J$1141,IF($S$1438=1029,PR!$J$1142,IF($S$1438=1030,PR!$J$1143,IF($S$1438=1031,PR!$J$1144,IF($S$1438=1032,PR!$J$1145,IF($S$1438=1033,PR!$J$1146,IF($S$1438=1034,PR!$J$1147,IF($S$1438=1035,PR!$J$1148,IF($S$1438=1036,PR!$J$1149,IF($S$1438=1037,PR!$J$1150,IF($S$1438=1038,PR!$J$1151,IF($S$1438=1039,PR!$J$1158,IF($S$1438=1040,PR!$J$1159,IF($S$1438=1041,PR!$J$1160,IF($S$1438=1042,PR!$J$1161,IF($S$1438=1043,PR!$J$1162,IF($S$1438=1044,PR!$J$1163,IF($S$1438=1045,PR!$J$1164,IF($S$1438=1046,PR!$J$1165,IF($S$1438=1047,PR!$J$1166,IF($S$1438=1048,PR!$J$1167,IF($S$1438=1049,PR!$J$1168,IF($S$1438=1050,PR!$J$1169,IF($S$1438=1051,PR!$J$1170,IF($S$1438=1052,PR!$J$1171,IF($S$1438=1053,PR!$J$1172,IF($S$1438=1054,PR!$J$1173,IF($S$1438=1055,PR!$J$1177,IF($S$1438=1056,PR!$J$1178,IF($S$1438=1057,PR!$J$1179,IF($S$1438=1058,PR!$J$1180,IF($S$1438=1059,PR!$J$1181,IF($S$1438=1060,PR!$J$1182,IF($S$1438=1061,PR!$J$1183,IF($S$1438=1062,PR!$J$1184,IF($S$1438=1063,PR!$J$1185,IF($S$1438=1064,PR!$J$1186,IF($S$1438=1065,PR!$J$1187,IF($S$1438=1066,PR!$J$1188,IF($S$1438=1067,PR!$J$1189,IF($S$1438=1068,PR!$J$1190,IF($S$1438=1069,PR!$J$1191,IF($S$1438=1070,PR!$J$1192,IF($S$1438=1071,PR!$J$1193,IF($S$1438=1072,PR!$J$1194,IF($S$1438=1073,PR!$J$1195,IF($S$1438=1074,PR!$J$1196,IF($S$1438=1075,PR!$J$1197,IF($S$1438=1076,PR!$J$1198,IF($S$1438=1077,PR!$J$1199,IF($S$1438=1078,PR!$J$1200,IF($S$1438=1079,PR!$J$1201,IF($S$1438=1080,PR!$J$1202,"-"))))))))))))))))))))))))))))))))))))))))))))))))))))))))))))</f>
        <v>0</v>
      </c>
      <c r="I1442" s="602">
        <f>IF($S$1438=1021,PR!$K$1134,IF($S$1438=1022,PR!$K$1135,IF($S$1438=1023,PR!$K$1136,IF($S$1438=1024,PR!$K$1137,IF($S$1438=1025,PR!$K$1138,IF($S$1438=1026,PR!$K$1139,IF($S$1438=1027,PR!$K$1140,IF($S$1438=1028,PR!$K$1141,IF($S$1438=1029,PR!$K$1142,IF($S$1438=1030,PR!$K$1143,IF($S$1438=1031,PR!$K$1144,IF($S$1438=1032,PR!$K$1145,IF($S$1438=1033,PR!$K$1146,IF($S$1438=1034,PR!$K$1147,IF($S$1438=1035,PR!$K$1148,IF($S$1438=1036,PR!$K$1149,IF($S$1438=1037,PR!$K$1150,IF($S$1438=1038,PR!$K$1151,IF($S$1438=1039,PR!$K$1158,IF($S$1438=1040,PR!$K$1159,IF($S$1438=1041,PR!$K$1160,IF($S$1438=1042,PR!$K$1161,IF($S$1438=1043,PR!$K$1162,IF($S$1438=1044,PR!$K$1163,IF($S$1438=1045,PR!$K$1164,IF($S$1438=1046,PR!$K$1165,IF($S$1438=1047,PR!$K$1166,IF($S$1438=1048,PR!$K$1167,IF($S$1438=1049,PR!$K$1168,IF($S$1438=1050,PR!$K$1169,IF($S$1438=1051,PR!$K$1170,IF($S$1438=1052,PR!$K$1171,IF($S$1438=1053,PR!$K$1172,IF($S$1438=1054,PR!$K$1173,IF($S$1438=1055,PR!$K$1177,IF($S$1438=1056,PR!$K$1178,IF($S$1438=1057,PR!$K$1179,IF($S$1438=1058,PR!$K$1180,IF($S$1438=1059,PR!$K$1181,IF($S$1438=1060,PR!$K$1182,IF($S$1438=1061,PR!$K$1183,IF($S$1438=1062,PR!$K$1184,IF($S$1438=1063,PR!$K$1185,IF($S$1438=1064,PR!$K$1186,IF($S$1438=1065,PR!$K$1187,IF($S$1438=1066,PR!$K$1188,IF($S$1438=1067,PR!$K$1189,IF($S$1438=1068,PR!$K$1190,IF($S$1438=1069,PR!$K$1191,IF($S$1438=1070,PR!$K$1192,IF($S$1438=1071,PR!$K$1193,IF($S$1438=1072,PR!$K$1194,IF($S$1438=1073,PR!$K$1195,IF($S$1438=1074,PR!$K$1196,IF($S$1438=1075,PR!$K$1197,IF($S$1438=1076,PR!$K$1198,IF($S$1438=1077,PR!$K$1199,IF($S$1438=1078,PR!$K$1200,IF($S$1438=1079,PR!$K$1201,IF($S$1438=1080,PR!$K$1202,"-"))))))))))))))))))))))))))))))))))))))))))))))))))))))))))))</f>
        <v>0</v>
      </c>
      <c r="J1442" s="602">
        <f>IF($S$1438=1021,PR!$L$1134,IF($S$1438=1022,PR!$L$1135,IF($S$1438=1023,PR!$L$1136,IF($S$1438=1024,PR!$L$1137,IF($S$1438=1025,PR!$L$1138,IF($S$1438=1026,PR!$L$1139,IF($S$1438=1027,PR!$L$1140,IF($S$1438=1028,PR!$L$1141,IF($S$1438=1029,PR!$L$1142,IF($S$1438=1030,PR!$L$1143,IF($S$1438=1031,PR!$L$1144,IF($S$1438=1032,PR!$L$1145,IF($S$1438=1033,PR!$L$1146,IF($S$1438=1034,PR!$L$1147,IF($S$1438=1035,PR!$L$1148,IF($S$1438=1036,PR!$L$1149,IF($S$1438=1037,PR!$L$1150,IF($S$1438=1038,PR!$L$1151,IF($S$1438=1039,PR!$L$1158,IF($S$1438=1040,PR!$L$1159,IF($S$1438=1041,PR!$L$1160,IF($S$1438=1042,PR!$L$1161,IF($S$1438=1043,PR!$L$1162,IF($S$1438=1044,PR!$L$1163,IF($S$1438=1045,PR!$L$1164,IF($S$1438=1046,PR!$L$1165,IF($S$1438=1047,PR!$L$1166,IF($S$1438=1048,PR!$L$1167,IF($S$1438=1049,PR!$L$1168,IF($S$1438=1050,PR!$L$1169,IF($S$1438=1051,PR!$L$1170,IF($S$1438=1052,PR!$L$1171,IF($S$1438=1053,PR!$L$1172,IF($S$1438=1054,PR!$L$1173,IF($S$1438=1055,PR!$L$1177,IF($S$1438=1056,PR!$L$1178,IF($S$1438=1057,PR!$L$1179,IF($S$1438=1058,PR!$L$1180,IF($S$1438=1059,PR!$L$1181,IF($S$1438=1060,PR!$L$1182,IF($S$1438=1061,PR!$L$1183,IF($S$1438=1062,PR!$L$1184,IF($S$1438=1063,PR!$L$1185,IF($S$1438=1064,PR!$L$1186,IF($S$1438=1065,PR!$L$1187,IF($S$1438=1066,PR!$L$1188,IF($S$1438=1067,PR!$L$1189,IF($S$1438=1068,PR!$L$1190,IF($S$1438=1069,PR!$L$1191,IF($S$1438=1070,PR!$L$1192,IF($S$1438=1071,PR!$L$1193,IF($S$1438=1072,PR!$L$1194,IF($S$1438=1073,PR!$L$1195,IF($S$1438=1074,PR!$L$1196,IF($S$1438=1075,PR!$L$1197,IF($S$1438=1076,PR!$L$1198,IF($S$1438=1077,PR!$L$1199,IF($S$1438=1078,PR!$L$1200,IF($S$1438=1079,PR!$L$1201,IF($S$1438=1080,PR!$L$1202,"-"))))))))))))))))))))))))))))))))))))))))))))))))))))))))))))</f>
        <v>0</v>
      </c>
      <c r="K1442" s="602">
        <f>IF($S$1438=1021,PR!$M$1134,IF($S$1438=1022,PR!$M$1135,IF($S$1438=1023,PR!$M$1136,IF($S$1438=1024,PR!$M$1137,IF($S$1438=1025,PR!$M$1138,IF($S$1438=1026,PR!$M$1139,IF($S$1438=1027,PR!$M$1140,IF($S$1438=1028,PR!$M$1141,IF($S$1438=1029,PR!$M$1142,IF($S$1438=1030,PR!$M$1143,IF($S$1438=1031,PR!$M$1144,IF($S$1438=1032,PR!$M$1145,IF($S$1438=1033,PR!$M$1146,IF($S$1438=1034,PR!$M$1147,IF($S$1438=1035,PR!$M$1148,IF($S$1438=1036,PR!$M$1149,IF($S$1438=1037,PR!$M$1150,IF($S$1438=1038,PR!$M$1151,IF($S$1438=1039,PR!$M$1158,IF($S$1438=1040,PR!$M$1159,IF($S$1438=1041,PR!$M$1160,IF($S$1438=1042,PR!$M$1161,IF($S$1438=1043,PR!$M$1162,IF($S$1438=1044,PR!$M$1163,IF($S$1438=1045,PR!$M$1164,IF($S$1438=1046,PR!$M$1165,IF($S$1438=1047,PR!$M$1166,IF($S$1438=1048,PR!$M$1167,IF($S$1438=1049,PR!$M$1168,IF($S$1438=1050,PR!$M$1169,IF($S$1438=1051,PR!$M$1170,IF($S$1438=1052,PR!$M$1171,IF($S$1438=1053,PR!$M$1172,IF($S$1438=1054,PR!$M$1173,IF($S$1438=1055,PR!$M$1177,IF($S$1438=1056,PR!$M$1178,IF($S$1438=1057,PR!$M$1179,IF($S$1438=1058,PR!$M$1180,IF($S$1438=1059,PR!$M$1181,IF($S$1438=1060,PR!$M$1182,IF($S$1438=1061,PR!$M$1183,IF($S$1438=1062,PR!$M$1184,IF($S$1438=1063,PR!$M$1185,IF($S$1438=1064,PR!$M$1186,IF($S$1438=1065,PR!$M$1187,IF($S$1438=1066,PR!$M$1188,IF($S$1438=1067,PR!$M$1189,IF($S$1438=1068,PR!$M$1190,IF($S$1438=1069,PR!$M$1191,IF($S$1438=1070,PR!$M$1192,IF($S$1438=1071,PR!$M$1193,IF($S$1438=1072,PR!$M$1194,IF($S$1438=1073,PR!$M$1195,IF($S$1438=1074,PR!$M$1196,IF($S$1438=1075,PR!$M$1197,IF($S$1438=1076,PR!$M$1198,IF($S$1438=1077,PR!$M$1199,IF($S$1438=1078,PR!$M$1200,IF($S$1438=1079,PR!$M$1201,IF($S$1438=1080,PR!$M$1202,"-"))))))))))))))))))))))))))))))))))))))))))))))))))))))))))))</f>
        <v>7200</v>
      </c>
      <c r="L1442" s="602">
        <f>IF($S$1438=1021,PR!$N$1134,IF($S$1438=1022,PR!$N$1135,IF($S$1438=1023,PR!$N$1136,IF($S$1438=1024,PR!$N$1137,IF($S$1438=1025,PR!$N$1138,IF($S$1438=1026,PR!$N$1139,IF($S$1438=1027,PR!$N$1140,IF($S$1438=1028,PR!$N$1141,IF($S$1438=1029,PR!$N$1142,IF($S$1438=1030,PR!$N$1143,IF($S$1438=1031,PR!$N$1144,IF($S$1438=1032,PR!$N$1145,IF($S$1438=1033,PR!$N$1146,IF($S$1438=1034,PR!$N$1147,IF($S$1438=1035,PR!$N$1148,IF($S$1438=1036,PR!$N$1149,IF($S$1438=1037,PR!$N$1150,IF($S$1438=1038,PR!$N$1151,IF($S$1438=1039,PR!$N$1158,IF($S$1438=1040,PR!$N$1159,IF($S$1438=1041,PR!$N$1160,IF($S$1438=1042,PR!$N$1161,IF($S$1438=1043,PR!$N$1162,IF($S$1438=1044,PR!$N$1163,IF($S$1438=1045,PR!$N$1164,IF($S$1438=1046,PR!$N$1165,IF($S$1438=1047,PR!$N$1166,IF($S$1438=1048,PR!$N$1167,IF($S$1438=1049,PR!$N$1168,IF($S$1438=1050,PR!$N$1169,IF($S$1438=1051,PR!$N$1170,IF($S$1438=1052,PR!$N$1171,IF($S$1438=1053,PR!$N$1172,IF($S$1438=1054,PR!$N$1173,IF($S$1438=1055,PR!$N$1177,IF($S$1438=1056,PR!$N$1178,IF($S$1438=1057,PR!$N$1179,IF($S$1438=1058,PR!$N$1180,IF($S$1438=1059,PR!$N$1181,IF($S$1438=1060,PR!$N$1182,IF($S$1438=1061,PR!$N$1183,IF($S$1438=1062,PR!$N$1184,IF($S$1438=1063,PR!$N$1185,IF($S$1438=1064,PR!$N$1186,IF($S$1438=1065,PR!$N$1187,IF($S$1438=1066,PR!$N$1188,IF($S$1438=1067,PR!$N$1189,IF($S$1438=1068,PR!$N$1190,IF($S$1438=1069,PR!$N$1191,IF($S$1438=1070,PR!$N$1192,IF($S$1438=1071,PR!$N$1193,IF($S$1438=1072,PR!$N$1194,IF($S$1438=1073,PR!$N$1195,IF($S$1438=1074,PR!$N$1196,IF($S$1438=1075,PR!$N$1197,IF($S$1438=1076,PR!$N$1198,IF($S$1438=1077,PR!$N$1199,IF($S$1438=1078,PR!$N$1200,IF($S$1438=1079,PR!$N$1201,IF($S$1438=1080,PR!$N$1202,"-"))))))))))))))))))))))))))))))))))))))))))))))))))))))))))))</f>
        <v>0</v>
      </c>
      <c r="M1442" s="602">
        <f>IF($S$1438=1021,PR!$O$1134,IF($S$1438=1022,PR!$O$1135,IF($S$1438=1023,PR!$O$1136,IF($S$1438=1024,PR!$O$1137,IF($S$1438=1025,PR!$O$1138,IF($S$1438=1026,PR!$O$1139,IF($S$1438=1027,PR!$O$1140,IF($S$1438=1028,PR!$O$1141,IF($S$1438=1029,PR!$O$1142,IF($S$1438=1030,PR!$O$1143,IF($S$1438=1031,PR!$O$1144,IF($S$1438=1032,PR!$O$1145,IF($S$1438=1033,PR!$O$1146,IF($S$1438=1034,PR!$O$1147,IF($S$1438=1035,PR!$O$1148,IF($S$1438=1036,PR!$O$1149,IF($S$1438=1037,PR!$O$1150,IF($S$1438=1038,PR!$O$1151,IF($S$1438=1039,PR!$O$1158,IF($S$1438=1040,PR!$O$1159,IF($S$1438=1041,PR!$O$1160,IF($S$1438=1042,PR!$O$1161,IF($S$1438=1043,PR!$O$1162,IF($S$1438=1044,PR!$O$1163,IF($S$1438=1045,PR!$O$1164,IF($S$1438=1046,PR!$O$1165,IF($S$1438=1047,PR!$O$1166,IF($S$1438=1048,PR!$O$1167,IF($S$1438=1049,PR!$O$1168,IF($S$1438=1050,PR!$O$1169,IF($S$1438=1051,PR!$O$1170,IF($S$1438=1052,PR!$O$1171,IF($S$1438=1053,PR!$O$1172,IF($S$1438=1054,PR!$O$1173,IF($S$1438=1055,PR!$O$1177,IF($S$1438=1056,PR!$O$1178,IF($S$1438=1057,PR!$O$1179,IF($S$1438=1058,PR!$O$1180,IF($S$1438=1059,PR!$O$1181,IF($S$1438=1060,PR!$O$1182,IF($S$1438=1061,PR!$O$1183,IF($S$1438=1062,PR!$O$1184,IF($S$1438=1063,PR!$O$1185,IF($S$1438=1064,PR!$O$1186,IF($S$1438=1065,PR!$O$1187,IF($S$1438=1066,PR!$O$1188,IF($S$1438=1067,PR!$O$1189,IF($S$1438=1068,PR!$O$1190,IF($S$1438=1069,PR!$O$1191,IF($S$1438=1070,PR!$O$1192,IF($S$1438=1071,PR!$O$1193,IF($S$1438=1072,PR!$O$1194,IF($S$1438=1073,PR!$O$1195,IF($S$1438=1074,PR!$O$1196,IF($S$1438=1075,PR!$O$1197,IF($S$1438=1076,PR!$O$1198,IF($S$1438=1077,PR!$O$1199,IF($S$1438=1078,PR!$O$1200,IF($S$1438=1079,PR!$O$1201,IF($S$1438=1080,PR!$O$1202,"-"))))))))))))))))))))))))))))))))))))))))))))))))))))))))))))</f>
        <v>0</v>
      </c>
      <c r="N1442" s="602">
        <f>IF($S$1438=1021,PR!$P$1134,IF($S$1438=1022,PR!$P$1135,IF($S$1438=1023,PR!$P$1136,IF($S$1438=1024,PR!$P$1137,IF($S$1438=1025,PR!$P$1138,IF($S$1438=1026,PR!$P$1139,IF($S$1438=1027,PR!$P$1140,IF($S$1438=1028,PR!$P$1141,IF($S$1438=1029,PR!$P$1142,IF($S$1438=1030,PR!$P$1143,IF($S$1438=1031,PR!$P$1144,IF($S$1438=1032,PR!$P$1145,IF($S$1438=1033,PR!$P$1146,IF($S$1438=1034,PR!$P$1147,IF($S$1438=1035,PR!$P$1148,IF($S$1438=1036,PR!$P$1149,IF($S$1438=1037,PR!$P$1150,IF($S$1438=1038,PR!$P$1151,IF($S$1438=1039,PR!$P$1158,IF($S$1438=1040,PR!$P$1159,IF($S$1438=1041,PR!$P$1160,IF($S$1438=1042,PR!$P$1161,IF($S$1438=1043,PR!$P$1162,IF($S$1438=1044,PR!$P$1163,IF($S$1438=1045,PR!$P$1164,IF($S$1438=1046,PR!$P$1165,IF($S$1438=1047,PR!$P$1166,IF($S$1438=1048,PR!$P$1167,IF($S$1438=1049,PR!$P$1168,IF($S$1438=1050,PR!$P$1169,IF($S$1438=1051,PR!$P$1170,IF($S$1438=1052,PR!$P$1171,IF($S$1438=1053,PR!$P$1172,IF($S$1438=1054,PR!$P$1173,IF($S$1438=1055,PR!$P$1177,IF($S$1438=1056,PR!$P$1178,IF($S$1438=1057,PR!$P$1179,IF($S$1438=1058,PR!$P$1180,IF($S$1438=1059,PR!$P$1181,IF($S$1438=1060,PR!$P$1182,IF($S$1438=1061,PR!$P$1183,IF($S$1438=1062,PR!$P$1184,IF($S$1438=1063,PR!$P$1185,IF($S$1438=1064,PR!$P$1186,IF($S$1438=1065,PR!$P$1187,IF($S$1438=1066,PR!$P$1188,IF($S$1438=1067,PR!$P$1189,IF($S$1438=1068,PR!$P$1190,IF($S$1438=1069,PR!$P$1191,IF($S$1438=1070,PR!$P$1192,IF($S$1438=1071,PR!$P$1193,IF($S$1438=1072,PR!$P$1194,IF($S$1438=1073,PR!$P$1195,IF($S$1438=1074,PR!$P$1196,IF($S$1438=1075,PR!$P$1197,IF($S$1438=1076,PR!$P$1198,IF($S$1438=1077,PR!$P$1199,IF($S$1438=1078,PR!$P$1200,IF($S$1438=1079,PR!$P$1201,IF($S$1438=1080,PR!$P$1202,"-"))))))))))))))))))))))))))))))))))))))))))))))))))))))))))))</f>
        <v>0</v>
      </c>
      <c r="O1442" s="602">
        <f>IF($S$1438=1021,PR!$Q$1134,IF($S$1438=1022,PR!$Q$1135,IF($S$1438=1023,PR!$Q$1136,IF($S$1438=1024,PR!$Q$1137,IF($S$1438=1025,PR!$Q$1138,IF($S$1438=1026,PR!$Q$1139,IF($S$1438=1027,PR!$Q$1140,IF($S$1438=1028,PR!$Q$1141,IF($S$1438=1029,PR!$Q$1142,IF($S$1438=1030,PR!$Q$1143,IF($S$1438=1031,PR!$Q$1144,IF($S$1438=1032,PR!$Q$1145,IF($S$1438=1033,PR!$Q$1146,IF($S$1438=1034,PR!$Q$1147,IF($S$1438=1035,PR!$Q$1148,IF($S$1438=1036,PR!$Q$1149,IF($S$1438=1037,PR!$Q$1150,IF($S$1438=1038,PR!$Q$1151,IF($S$1438=1039,PR!$Q$1158,IF($S$1438=1040,PR!$Q$1159,IF($S$1438=1041,PR!$Q$1160,IF($S$1438=1042,PR!$Q$1161,IF($S$1438=1043,PR!$Q$1162,IF($S$1438=1044,PR!$Q$1163,IF($S$1438=1045,PR!$Q$1164,IF($S$1438=1046,PR!$Q$1165,IF($S$1438=1047,PR!$Q$1166,IF($S$1438=1048,PR!$Q$1167,IF($S$1438=1049,PR!$Q$1168,IF($S$1438=1050,PR!$Q$1169,IF($S$1438=1051,PR!$Q$1170,IF($S$1438=1052,PR!$Q$1171,IF($S$1438=1053,PR!$Q$1172,IF($S$1438=1054,PR!$Q$1173,IF($S$1438=1055,PR!$Q$1177,IF($S$1438=1056,PR!$Q$1178,IF($S$1438=1057,PR!$Q$1179,IF($S$1438=1058,PR!$Q$1180,IF($S$1438=1059,PR!$Q$1181,IF($S$1438=1060,PR!$Q$1182,IF($S$1438=1061,PR!$Q$1183,IF($S$1438=1062,PR!$Q$1184,IF($S$1438=1063,PR!$Q$1185,IF($S$1438=1064,PR!$Q$1186,IF($S$1438=1065,PR!$Q$1187,IF($S$1438=1066,PR!$Q$1188,IF($S$1438=1067,PR!$Q$1189,IF($S$1438=1068,PR!$Q$1190,IF($S$1438=1069,PR!$Q$1191,IF($S$1438=1070,PR!$Q$1192,IF($S$1438=1071,PR!$Q$1193,IF($S$1438=1072,PR!$Q$1194,IF($S$1438=1073,PR!$Q$1195,IF($S$1438=1074,PR!$Q$1196,IF($S$1438=1075,PR!$Q$1197,IF($S$1438=1076,PR!$Q$1198,IF($S$1438=1077,PR!$Q$1199,IF($S$1438=1078,PR!$Q$1200,IF($S$1438=1079,PR!$Q$1201,IF($S$1438=1080,PR!$Q$1202,"-"))))))))))))))))))))))))))))))))))))))))))))))))))))))))))))</f>
        <v>6875</v>
      </c>
      <c r="P1442" s="602">
        <f>IF($S$1438=1021,PR!$R$1134,IF($S$1438=1022,PR!$R$1135,IF($S$1438=1023,PR!$R$1136,IF($S$1438=1024,PR!$R$1137,IF($S$1438=1025,PR!$R$1138,IF($S$1438=1026,PR!$R$1139,IF($S$1438=1027,PR!$R$1140,IF($S$1438=1028,PR!$R$1141,IF($S$1438=1029,PR!$R$1142,IF($S$1438=1030,PR!$R$1143,IF($S$1438=1031,PR!$R$1144,IF($S$1438=1032,PR!$R$1145,IF($S$1438=1033,PR!$R$1146,IF($S$1438=1034,PR!$R$1147,IF($S$1438=1035,PR!$R$1148,IF($S$1438=1036,PR!$R$1149,IF($S$1438=1037,PR!$R$1150,IF($S$1438=1038,PR!$R$1151,IF($S$1438=1039,PR!$R$1158,IF($S$1438=1040,PR!$R$1159,IF($S$1438=1041,PR!$R$1160,IF($S$1438=1042,PR!$R$1161,IF($S$1438=1043,PR!$R$1162,IF($S$1438=1044,PR!$R$1163,IF($S$1438=1045,PR!$R$1164,IF($S$1438=1046,PR!$R$1165,IF($S$1438=1047,PR!$R$1166,IF($S$1438=1048,PR!$R$1167,IF($S$1438=1049,PR!$R$1168,IF($S$1438=1050,PR!$R$1169,IF($S$1438=1051,PR!$R$1170,IF($S$1438=1052,PR!$R$1171,IF($S$1438=1053,PR!$R$1172,IF($S$1438=1054,PR!$R$1173,IF($S$1438=1055,PR!$R$1177,IF($S$1438=1056,PR!$R$1178,IF($S$1438=1057,PR!$R$1179,IF($S$1438=1058,PR!$R$1180,IF($S$1438=1059,PR!$R$1181,IF($S$1438=1060,PR!$R$1182,IF($S$1438=1061,PR!$R$1183,IF($S$1438=1062,PR!$R$1184,IF($S$1438=1063,PR!$R$1185,IF($S$1438=1064,PR!$R$1186,IF($S$1438=1065,PR!$R$1187,IF($S$1438=1066,PR!$R$1188,IF($S$1438=1067,PR!$R$1189,IF($S$1438=1068,PR!$R$1190,IF($S$1438=1069,PR!$R$1191,IF($S$1438=1070,PR!$R$1192,IF($S$1438=1071,PR!$R$1193,IF($S$1438=1072,PR!$R$1194,IF($S$1438=1073,PR!$R$1195,IF($S$1438=1074,PR!$R$1196,IF($S$1438=1075,PR!$R$1197,IF($S$1438=1076,PR!$R$1198,IF($S$1438=1077,PR!$R$1199,IF($S$1438=1078,PR!$R$1200,IF($S$1438=1079,PR!$R$1201,IF($S$1438=1080,PR!$R$1202,"-"))))))))))))))))))))))))))))))))))))))))))))))))))))))))))))</f>
        <v>0</v>
      </c>
      <c r="Q1442" s="602">
        <f>IF($S$1438=1021,PR!$S$1134,IF($S$1438=1022,PR!$S$1135,IF($S$1438=1023,PR!$S$1136,IF($S$1438=1024,PR!$S$1137,IF($S$1438=1025,PR!$S$1138,IF($S$1438=1026,PR!$S$1139,IF($S$1438=1027,PR!$S$1140,IF($S$1438=1028,PR!$S$1141,IF($S$1438=1029,PR!$S$1142,IF($S$1438=1030,PR!$S$1143,IF($S$1438=1031,PR!$S$1144,IF($S$1438=1032,PR!$S$1145,IF($S$1438=1033,PR!$S$1146,IF($S$1438=1034,PR!$S$1147,IF($S$1438=1035,PR!$S$1148,IF($S$1438=1036,PR!$S$1149,IF($S$1438=1037,PR!$S$1150,IF($S$1438=1038,PR!$S$1151,IF($S$1438=1039,PR!$S$1158,IF($S$1438=1040,PR!$S$1159,IF($S$1438=1041,PR!$S$1160,IF($S$1438=1042,PR!$S$1161,IF($S$1438=1043,PR!$S$1162,IF($S$1438=1044,PR!$S$1163,IF($S$1438=1045,PR!$S$1164,IF($S$1438=1046,PR!$S$1165,IF($S$1438=1047,PR!$S$1166,IF($S$1438=1048,PR!$S$1167,IF($S$1438=1049,PR!$S$1168,IF($S$1438=1050,PR!$S$1169,IF($S$1438=1051,PR!$S$1170,IF($S$1438=1052,PR!$S$1171,IF($S$1438=1053,PR!$S$1172,IF($S$1438=1054,PR!$S$1173,IF($S$1438=1055,PR!$S$1177,IF($S$1438=1056,PR!$S$1178,IF($S$1438=1057,PR!$S$1179,IF($S$1438=1058,PR!$S$1180,IF($S$1438=1059,PR!$S$1181,IF($S$1438=1060,PR!$S$1182,IF($S$1438=1061,PR!$S$1183,IF($S$1438=1062,PR!$S$1184,IF($S$1438=1063,PR!$S$1185,IF($S$1438=1064,PR!$S$1186,IF($S$1438=1065,PR!$S$1187,IF($S$1438=1066,PR!$S$1188,IF($S$1438=1067,PR!$S$1189,IF($S$1438=1068,PR!$S$1190,IF($S$1438=1069,PR!$S$1191,IF($S$1438=1070,PR!$S$1192,IF($S$1438=1071,PR!$S$1193,IF($S$1438=1072,PR!$S$1194,IF($S$1438=1073,PR!$S$1195,IF($S$1438=1074,PR!$S$1196,IF($S$1438=1075,PR!$S$1197,IF($S$1438=1076,PR!$S$1198,IF($S$1438=1077,PR!$S$1199,IF($S$1438=1078,PR!$S$1200,IF($S$1438=1079,PR!$S$1201,IF($S$1438=1080,PR!$S$1202,"-"))))))))))))))))))))))))))))))))))))))))))))))))))))))))))))</f>
        <v>0</v>
      </c>
      <c r="R1442" s="602">
        <f>IF($S$1438=1021,PR!$T$1134,IF($S$1438=1022,PR!$T$1135,IF($S$1438=1023,PR!$T$1136,IF($S$1438=1024,PR!$T$1137,IF($S$1438=1025,PR!$T$1138,IF($S$1438=1026,PR!$T$1139,IF($S$1438=1027,PR!$T$1140,IF($S$1438=1028,PR!$T$1141,IF($S$1438=1029,PR!$T$1142,IF($S$1438=1030,PR!$T$1143,IF($S$1438=1031,PR!$T$1144,IF($S$1438=1032,PR!$T$1145,IF($S$1438=1033,PR!$T$1146,IF($S$1438=1034,PR!$T$1147,IF($S$1438=1035,PR!$T$1148,IF($S$1438=1036,PR!$T$1149,IF($S$1438=1037,PR!$T$1150,IF($S$1438=1038,PR!$T$1151,IF($S$1438=1039,PR!$T$1158,IF($S$1438=1040,PR!$T$1159,IF($S$1438=1041,PR!$T$1160,IF($S$1438=1042,PR!$T$1161,IF($S$1438=1043,PR!$T$1162,IF($S$1438=1044,PR!$T$1163,IF($S$1438=1045,PR!$T$1164,IF($S$1438=1046,PR!$T$1165,IF($S$1438=1047,PR!$T$1166,IF($S$1438=1048,PR!$T$1167,IF($S$1438=1049,PR!$T$1168,IF($S$1438=1050,PR!$T$1169,IF($S$1438=1051,PR!$T$1170,IF($S$1438=1052,PR!$T$1171,IF($S$1438=1053,PR!$T$1172,IF($S$1438=1054,PR!$T$1173,IF($S$1438=1055,PR!$T$1177,IF($S$1438=1056,PR!$T$1178,IF($S$1438=1057,PR!$T$1179,IF($S$1438=1058,PR!$T$1180,IF($S$1438=1059,PR!$T$1181,IF($S$1438=1060,PR!$T$1182,IF($S$1438=1061,PR!$T$1183,IF($S$1438=1062,PR!$T$1184,IF($S$1438=1063,PR!$T$1185,IF($S$1438=1064,PR!$T$1186,IF($S$1438=1065,PR!$T$1187,IF($S$1438=1066,PR!$T$1188,IF($S$1438=1067,PR!$T$1189,IF($S$1438=1068,PR!$T$1190,IF($S$1438=1069,PR!$T$1191,IF($S$1438=1070,PR!$T$1192,IF($S$1438=1071,PR!$T$1193,IF($S$1438=1072,PR!$T$1194,IF($S$1438=1073,PR!$T$1195,IF($S$1438=1074,PR!$T$1196,IF($S$1438=1075,PR!$T$1197,IF($S$1438=1076,PR!$T$1198,IF($S$1438=1077,PR!$T$1199,IF($S$1438=1078,PR!$T$1200,IF($S$1438=1079,PR!$T$1201,IF($S$1438=1080,PR!$T$1202,"-"))))))))))))))))))))))))))))))))))))))))))))))))))))))))))))</f>
        <v>0</v>
      </c>
      <c r="S1442" s="602">
        <f>IF($S$1438=1021,PR!$U$1134,IF($S$1438=1022,PR!$U$1135,IF($S$1438=1023,PR!$U$1136,IF($S$1438=1024,PR!$U$1137,IF($S$1438=1025,PR!$U$1138,IF($S$1438=1026,PR!$U$1139,IF($S$1438=1027,PR!$U$1140,IF($S$1438=1028,PR!$U$1141,IF($S$1438=1029,PR!$U$1142,IF($S$1438=1030,PR!$U$1143,IF($S$1438=1031,PR!$U$1144,IF($S$1438=1032,PR!$U$1145,IF($S$1438=1033,PR!$U$1146,IF($S$1438=1034,PR!$U$1147,IF($S$1438=1035,PR!$U$1148,IF($S$1438=1036,PR!$U$1149,IF($S$1438=1037,PR!$U$1150,IF($S$1438=1038,PR!$U$1151,IF($S$1438=1039,PR!$U$1158,IF($S$1438=1040,PR!$U$1159,IF($S$1438=1041,PR!$U$1160,IF($S$1438=1042,PR!$U$1161,IF($S$1438=1043,PR!$U$1162,IF($S$1438=1044,PR!$U$1163,IF($S$1438=1045,PR!$U$1164,IF($S$1438=1046,PR!$U$1165,IF($S$1438=1047,PR!$U$1166,IF($S$1438=1048,PR!$U$1167,IF($S$1438=1049,PR!$U$1168,IF($S$1438=1050,PR!$U$1169,IF($S$1438=1051,PR!$U$1170,IF($S$1438=1052,PR!$U$1171,IF($S$1438=1053,PR!$U$1172,IF($S$1438=1054,PR!$U$1173,IF($S$1438=1055,PR!$U$1177,IF($S$1438=1056,PR!$U$1178,IF($S$1438=1057,PR!$U$1179,IF($S$1438=1058,PR!$U$1180,IF($S$1438=1059,PR!$U$1181,IF($S$1438=1060,PR!$U$1182,IF($S$1438=1061,PR!$U$1183,IF($S$1438=1062,PR!$U$1184,IF($S$1438=1063,PR!$U$1185,IF($S$1438=1064,PR!$U$1186,IF($S$1438=1065,PR!$U$1187,IF($S$1438=1066,PR!$U$1188,IF($S$1438=1067,PR!$U$1189,IF($S$1438=1068,PR!$U$1190,IF($S$1438=1069,PR!$U$1191,IF($S$1438=1070,PR!$U$1192,IF($S$1438=1071,PR!$U$1193,IF($S$1438=1072,PR!$U$1194,IF($S$1438=1073,PR!$U$1195,IF($S$1438=1074,PR!$U$1196,IF($S$1438=1075,PR!$U$1197,IF($S$1438=1076,PR!$U$1198,IF($S$1438=1077,PR!$U$1199,IF($S$1438=1078,PR!$U$1200,IF($S$1438=1079,PR!$U$1201,IF($S$1438=1080,PR!$U$1202,"-"))))))))))))))))))))))))))))))))))))))))))))))))))))))))))))</f>
        <v>0</v>
      </c>
      <c r="T1442" s="580"/>
      <c r="U1442" s="580"/>
      <c r="V1442" s="32"/>
      <c r="W1442" s="32"/>
      <c r="X1442" s="32"/>
    </row>
    <row r="1443" spans="2:24" ht="8.25" customHeight="1" x14ac:dyDescent="0.25">
      <c r="B1443" s="580"/>
      <c r="C1443" s="603"/>
      <c r="D1443" s="604"/>
      <c r="E1443" s="604"/>
      <c r="F1443" s="604"/>
      <c r="G1443" s="604"/>
      <c r="H1443" s="604"/>
      <c r="I1443" s="604"/>
      <c r="J1443" s="604"/>
      <c r="K1443" s="604"/>
      <c r="L1443" s="604"/>
      <c r="M1443" s="604"/>
      <c r="N1443" s="604"/>
      <c r="O1443" s="604"/>
      <c r="P1443" s="604"/>
      <c r="Q1443" s="604"/>
      <c r="R1443" s="605"/>
      <c r="S1443" s="605"/>
      <c r="T1443" s="580"/>
      <c r="U1443" s="580"/>
      <c r="V1443" s="32"/>
      <c r="W1443" s="32"/>
      <c r="X1443" s="32"/>
    </row>
    <row r="1444" spans="2:24" ht="15.75" thickBot="1" x14ac:dyDescent="0.3">
      <c r="B1444" s="580"/>
      <c r="C1444" s="600" t="str">
        <f>N!$C$21</f>
        <v>GENEITH</v>
      </c>
      <c r="D1444" s="600" t="str">
        <f>N!$C$22</f>
        <v>GINOS</v>
      </c>
      <c r="E1444" s="600" t="str">
        <f>N!$C$23</f>
        <v>GSK</v>
      </c>
      <c r="F1444" s="600" t="str">
        <f>N!$C$24</f>
        <v>GLOBORG</v>
      </c>
      <c r="G1444" s="600" t="str">
        <f>N!$C$25</f>
        <v>GOODNEWS</v>
      </c>
      <c r="H1444" s="600" t="str">
        <f>N!$C$26</f>
        <v>GREENLIFE</v>
      </c>
      <c r="I1444" s="600" t="str">
        <f>N!$C$27</f>
        <v>HLINE</v>
      </c>
      <c r="J1444" s="600" t="str">
        <f>N!$C$28</f>
        <v>ROTECH</v>
      </c>
      <c r="K1444" s="600" t="str">
        <f>N!$C$29</f>
        <v>ISN</v>
      </c>
      <c r="L1444" s="600" t="str">
        <f>N!$C$30</f>
        <v>JAWA</v>
      </c>
      <c r="M1444" s="600" t="str">
        <f>N!$C$31</f>
        <v>LAYO</v>
      </c>
      <c r="N1444" s="600" t="str">
        <f>N!$C$32</f>
        <v>LEADWAY</v>
      </c>
      <c r="O1444" s="600" t="str">
        <f>N!$C$33</f>
        <v>LHV</v>
      </c>
      <c r="P1444" s="600" t="str">
        <f>N!$C$34</f>
        <v>MANOLA</v>
      </c>
      <c r="Q1444" s="600" t="str">
        <f>N!$C$35</f>
        <v>MARCSON</v>
      </c>
      <c r="R1444" s="600" t="str">
        <f>N!$C$36</f>
        <v>M&amp;B</v>
      </c>
      <c r="S1444" s="600" t="str">
        <f>N!$C$37</f>
        <v>MTRUST</v>
      </c>
      <c r="T1444" s="580"/>
      <c r="U1444" s="580"/>
      <c r="V1444" s="32"/>
      <c r="W1444" s="32"/>
      <c r="X1444" s="32"/>
    </row>
    <row r="1445" spans="2:24" ht="15.75" thickBot="1" x14ac:dyDescent="0.3">
      <c r="B1445" s="580"/>
      <c r="C1445" s="602">
        <f>IF($S$1438=1021,PR!$V$1134,IF($S$1438=1022,PR!$V$1135,IF($S$1438=1023,PR!$V$1136,IF($S$1438=1024,PR!$V$1137,IF($S$1438=1025,PR!$V$1138,IF($S$1438=1026,PR!$V$1139,IF($S$1438=1027,PR!$V$1140,IF($S$1438=1028,PR!$V$1141,IF($S$1438=1029,PR!$V$1142,IF($S$1438=1030,PR!$V$1143,IF($S$1438=1031,PR!$V$1144,IF($S$1438=1032,PR!$V$1145,IF($S$1438=1033,PR!$V$1146,IF($S$1438=1034,PR!$V$1147,IF($S$1438=1035,PR!$V$1148,IF($S$1438=1036,PR!$V$1149,IF($S$1438=1037,PR!$V$1150,IF($S$1438=1038,PR!$V$1151,IF($S$1438=1039,PR!$V$1158,IF($S$1438=1040,PR!$V$1159,IF($S$1438=1041,PR!$V$1160,IF($S$1438=1042,PR!$V$1161,IF($S$1438=1043,PR!$V$1162,IF($S$1438=1044,PR!$V$1163,IF($S$1438=1045,PR!$V$1164,IF($S$1438=1046,PR!$V$1165,IF($S$1438=1047,PR!$V$1166,IF($S$1438=1048,PR!$V$1167,IF($S$1438=1049,PR!$V$1168,IF($S$1438=1050,PR!$V$1169,IF($S$1438=1051,PR!$V$1170,IF($S$1438=1052,PR!$V$1171,IF($S$1438=1053,PR!$V$1172,IF($S$1438=1054,PR!$V$1173,IF($S$1438=1055,PR!$V$1177,IF($S$1438=1056,PR!$V$1178,IF($S$1438=1057,PR!$V$1179,IF($S$1438=1058,PR!$V$1180,IF($S$1438=1059,PR!$V$1181,IF($S$1438=1060,PR!$V$1182,IF($S$1438=1061,PR!$V$1183,IF($S$1438=1062,PR!$V$1184,IF($S$1438=1063,PR!$V$1185,IF($S$1438=1064,PR!$V$1186,IF($S$1438=1065,PR!$V$1187,IF($S$1438=1066,PR!$V$1188,IF($S$1438=1067,PR!$V$1189,IF($S$1438=1068,PR!$V$1190,IF($S$1438=1069,PR!$V$1191,IF($S$1438=1070,PR!$V$1192,IF($S$1438=1071,PR!$V$1193,IF($S$1438=1072,PR!$V$1194,IF($S$1438=1073,PR!$V$1195,IF($S$1438=1074,PR!$V$1196,IF($S$1438=1075,PR!$V$1197,IF($S$1438=1076,PR!$V$1198,IF($S$1438=1077,PR!$V$1199,IF($S$1438=1078,PR!$V$1200,IF($S$1438=1079,PR!$V$1201,IF($S$1438=1080,PR!$V$1202,"-"))))))))))))))))))))))))))))))))))))))))))))))))))))))))))))</f>
        <v>0</v>
      </c>
      <c r="D1445" s="602">
        <f>IF($S$1438=1021,PR!$W$1134,IF($S$1438=1022,PR!$W$1135,IF($S$1438=1023,PR!$W$1136,IF($S$1438=1024,PR!$W$1137,IF($S$1438=1025,PR!$W$1138,IF($S$1438=1026,PR!$W$1139,IF($S$1438=1027,PR!$W$1140,IF($S$1438=1028,PR!$W$1141,IF($S$1438=1029,PR!$W$1142,IF($S$1438=1030,PR!$W$1143,IF($S$1438=1031,PR!$W$1144,IF($S$1438=1032,PR!$W$1145,IF($S$1438=1033,PR!$W$1146,IF($S$1438=1034,PR!$W$1147,IF($S$1438=1035,PR!$W$1148,IF($S$1438=1036,PR!$W$1149,IF($S$1438=1037,PR!$W$1150,IF($S$1438=1038,PR!$W$1151,IF($S$1438=1039,PR!$W$1158,IF($S$1438=1040,PR!$W$1159,IF($S$1438=1041,PR!$W$1160,IF($S$1438=1042,PR!$W$1161,IF($S$1438=1043,PR!$W$1162,IF($S$1438=1044,PR!$W$1163,IF($S$1438=1045,PR!$W$1164,IF($S$1438=1046,PR!$W$1165,IF($S$1438=1047,PR!$W$1166,IF($S$1438=1048,PR!$W$1167,IF($S$1438=1049,PR!$W$1168,IF($S$1438=1050,PR!$W$1169,IF($S$1438=1051,PR!$W$1170,IF($S$1438=1052,PR!$W$1171,IF($S$1438=1053,PR!$W$1172,IF($S$1438=1054,PR!$W$1173,IF($S$1438=1055,PR!$W$1177,IF($S$1438=1056,PR!$W$1178,IF($S$1438=1057,PR!$W$1179,IF($S$1438=1058,PR!$W$1180,IF($S$1438=1059,PR!$W$1181,IF($S$1438=1060,PR!$W$1182,IF($S$1438=1061,PR!$W$1183,IF($S$1438=1062,PR!$W$1184,IF($S$1438=1063,PR!$W$1185,IF($S$1438=1064,PR!$W$1186,IF($S$1438=1065,PR!$W$1187,IF($S$1438=1066,PR!$W$1188,IF($S$1438=1067,PR!$W$1189,IF($S$1438=1068,PR!$W$1190,IF($S$1438=1069,PR!$W$1191,IF($S$1438=1070,PR!$W$1192,IF($S$1438=1071,PR!$W$1193,IF($S$1438=1072,PR!$W$1194,IF($S$1438=1073,PR!$W$1195,IF($S$1438=1074,PR!$W$1196,IF($S$1438=1075,PR!$W$1197,IF($S$1438=1076,PR!$W$1198,IF($S$1438=1077,PR!$W$1199,IF($S$1438=1078,PR!$W$1200,IF($S$1438=1079,PR!$W$1201,IF($S$1438=1080,PR!$W$1202,"-"))))))))))))))))))))))))))))))))))))))))))))))))))))))))))))</f>
        <v>0</v>
      </c>
      <c r="E1445" s="602">
        <f>IF($S$1438=1021,PR!$X$1134,IF($S$1438=1022,PR!$X$1135,IF($S$1438=1023,PR!$X$1136,IF($S$1438=1024,PR!$X$1137,IF($S$1438=1025,PR!$X$1138,IF($S$1438=1026,PR!$X$1139,IF($S$1438=1027,PR!$X$1140,IF($S$1438=1028,PR!$X$1141,IF($S$1438=1029,PR!$X$1142,IF($S$1438=1030,PR!$X$1143,IF($S$1438=1031,PR!$X$1144,IF($S$1438=1032,PR!$X$1145,IF($S$1438=1033,PR!$X$1146,IF($S$1438=1034,PR!$X$1147,IF($S$1438=1035,PR!$X$1148,IF($S$1438=1036,PR!$X$1149,IF($S$1438=1037,PR!$X$1150,IF($S$1438=1038,PR!$X$1151,IF($S$1438=1039,PR!$X$1158,IF($S$1438=1040,PR!$X$1159,IF($S$1438=1041,PR!$X$1160,IF($S$1438=1042,PR!$X$1161,IF($S$1438=1043,PR!$X$1162,IF($S$1438=1044,PR!$X$1163,IF($S$1438=1045,PR!$X$1164,IF($S$1438=1046,PR!$X$1165,IF($S$1438=1047,PR!$X$1166,IF($S$1438=1048,PR!$X$1167,IF($S$1438=1049,PR!$X$1168,IF($S$1438=1050,PR!$X$1169,IF($S$1438=1051,PR!$X$1170,IF($S$1438=1052,PR!$X$1171,IF($S$1438=1053,PR!$X$1172,IF($S$1438=1054,PR!$X$1173,IF($S$1438=1055,PR!$X$1177,IF($S$1438=1056,PR!$X$1178,IF($S$1438=1057,PR!$X$1179,IF($S$1438=1058,PR!$X$1180,IF($S$1438=1059,PR!$X$1181,IF($S$1438=1060,PR!$X$1182,IF($S$1438=1061,PR!$X$1183,IF($S$1438=1062,PR!$X$1184,IF($S$1438=1063,PR!$X$1185,IF($S$1438=1064,PR!$X$1186,IF($S$1438=1065,PR!$X$1187,IF($S$1438=1066,PR!$X$1188,IF($S$1438=1067,PR!$X$1189,IF($S$1438=1068,PR!$X$1190,IF($S$1438=1069,PR!$X$1191,IF($S$1438=1070,PR!$X$1192,IF($S$1438=1071,PR!$X$1193,IF($S$1438=1072,PR!$X$1194,IF($S$1438=1073,PR!$X$1195,IF($S$1438=1074,PR!$X$1196,IF($S$1438=1075,PR!$X$1197,IF($S$1438=1076,PR!$X$1198,IF($S$1438=1077,PR!$X$1199,IF($S$1438=1078,PR!$X$1200,IF($S$1438=1079,PR!$X$1201,IF($S$1438=1080,PR!$X$1202,"-"))))))))))))))))))))))))))))))))))))))))))))))))))))))))))))</f>
        <v>0</v>
      </c>
      <c r="F1445" s="602">
        <f>IF($S$1438=1021,PR!$Y$1134,IF($S$1438=1022,PR!$Y$1135,IF($S$1438=1023,PR!$Y$1136,IF($S$1438=1024,PR!$Y$1137,IF($S$1438=1025,PR!$Y$1138,IF($S$1438=1026,PR!$Y$1139,IF($S$1438=1027,PR!$Y$1140,IF($S$1438=1028,PR!$Y$1141,IF($S$1438=1029,PR!$Y$1142,IF($S$1438=1030,PR!$Y$1143,IF($S$1438=1031,PR!$Y$1144,IF($S$1438=1032,PR!$Y$1145,IF($S$1438=1033,PR!$Y$1146,IF($S$1438=1034,PR!$Y$1147,IF($S$1438=1035,PR!$Y$1148,IF($S$1438=1036,PR!$Y$1149,IF($S$1438=1037,PR!$Y$1150,IF($S$1438=1038,PR!$Y$1151,IF($S$1438=1039,PR!$Y$1158,IF($S$1438=1040,PR!$Y$1159,IF($S$1438=1041,PR!$Y$1160,IF($S$1438=1042,PR!$Y$1161,IF($S$1438=1043,PR!$Y$1162,IF($S$1438=1044,PR!$Y$1163,IF($S$1438=1045,PR!$Y$1164,IF($S$1438=1046,PR!$Y$1165,IF($S$1438=1047,PR!$Y$1166,IF($S$1438=1048,PR!$Y$1167,IF($S$1438=1049,PR!$Y$1168,IF($S$1438=1050,PR!$Y$1169,IF($S$1438=1051,PR!$Y$1170,IF($S$1438=1052,PR!$Y$1171,IF($S$1438=1053,PR!$Y$1172,IF($S$1438=1054,PR!$Y$1173,IF($S$1438=1055,PR!$Y$1177,IF($S$1438=1056,PR!$Y$1178,IF($S$1438=1057,PR!$Y$1179,IF($S$1438=1058,PR!$Y$1180,IF($S$1438=1059,PR!$Y$1181,IF($S$1438=1060,PR!$Y$1182,IF($S$1438=1061,PR!$Y$1183,IF($S$1438=1062,PR!$Y$1184,IF($S$1438=1063,PR!$Y$1185,IF($S$1438=1064,PR!$Y$1186,IF($S$1438=1065,PR!$Y$1187,IF($S$1438=1066,PR!$Y$1188,IF($S$1438=1067,PR!$Y$1189,IF($S$1438=1068,PR!$Y$1190,IF($S$1438=1069,PR!$Y$1191,IF($S$1438=1070,PR!$Y$1192,IF($S$1438=1071,PR!$Y$1193,IF($S$1438=1072,PR!$Y$1194,IF($S$1438=1073,PR!$Y$1195,IF($S$1438=1074,PR!$Y$1196,IF($S$1438=1075,PR!$Y$1197,IF($S$1438=1076,PR!$Y$1198,IF($S$1438=1077,PR!$Y$1199,IF($S$1438=1078,PR!$Y$1200,IF($S$1438=1079,PR!$Y$1201,IF($S$1438=1080,PR!$Y$1202,"-"))))))))))))))))))))))))))))))))))))))))))))))))))))))))))))</f>
        <v>0</v>
      </c>
      <c r="G1445" s="602">
        <f>IF($S$1438=1021,PR!$Z$1134,IF($S$1438=1022,PR!$Z$1135,IF($S$1438=1023,PR!$Z$1136,IF($S$1438=1024,PR!$Z$1137,IF($S$1438=1025,PR!$Z$1138,IF($S$1438=1026,PR!$Z$1139,IF($S$1438=1027,PR!$Z$1140,IF($S$1438=1028,PR!$Z$1141,IF($S$1438=1029,PR!$Z$1142,IF($S$1438=1030,PR!$Z$1143,IF($S$1438=1031,PR!$Z$1144,IF($S$1438=1032,PR!$Z$1145,IF($S$1438=1033,PR!$Z$1146,IF($S$1438=1034,PR!$Z$1147,IF($S$1438=1035,PR!$Z$1148,IF($S$1438=1036,PR!$Z$1149,IF($S$1438=1037,PR!$Z$1150,IF($S$1438=1038,PR!$Z$1151,IF($S$1438=1039,PR!$Z$1158,IF($S$1438=1040,PR!$Z$1159,IF($S$1438=1041,PR!$Z$1160,IF($S$1438=1042,PR!$Z$1161,IF($S$1438=1043,PR!$Z$1162,IF($S$1438=1044,PR!$Z$1163,IF($S$1438=1045,PR!$Z$1164,IF($S$1438=1046,PR!$Z$1165,IF($S$1438=1047,PR!$Z$1166,IF($S$1438=1048,PR!$Z$1167,IF($S$1438=1049,PR!$Z$1168,IF($S$1438=1050,PR!$Z$1169,IF($S$1438=1051,PR!$Z$1170,IF($S$1438=1052,PR!$Z$1171,IF($S$1438=1053,PR!$Z$1172,IF($S$1438=1054,PR!$Z$1173,IF($S$1438=1055,PR!$Z$1177,IF($S$1438=1056,PR!$Z$1178,IF($S$1438=1057,PR!$Z$1179,IF($S$1438=1058,PR!$Z$1180,IF($S$1438=1059,PR!$Z$1181,IF($S$1438=1060,PR!$Z$1182,IF($S$1438=1061,PR!$Z$1183,IF($S$1438=1062,PR!$Z$1184,IF($S$1438=1063,PR!$Z$1185,IF($S$1438=1064,PR!$Z$1186,IF($S$1438=1065,PR!$Z$1187,IF($S$1438=1066,PR!$Z$1188,IF($S$1438=1067,PR!$Z$1189,IF($S$1438=1068,PR!$Z$1190,IF($S$1438=1069,PR!$Z$1191,IF($S$1438=1070,PR!$Z$1192,IF($S$1438=1071,PR!$Z$1193,IF($S$1438=1072,PR!$Z$1194,IF($S$1438=1073,PR!$Z$1195,IF($S$1438=1074,PR!$Z$1196,IF($S$1438=1075,PR!$Z$1197,IF($S$1438=1076,PR!$Z$1198,IF($S$1438=1077,PR!$Z$1199,IF($S$1438=1078,PR!$Z$1200,IF($S$1438=1079,PR!$Z$1201,IF($S$1438=1080,PR!$Z$1202,"-"))))))))))))))))))))))))))))))))))))))))))))))))))))))))))))</f>
        <v>0</v>
      </c>
      <c r="H1445" s="602">
        <f>IF($S$1438=1021,PR!$AA$1134,IF($S$1438=1022,PR!$AA$1135,IF($S$1438=1023,PR!$AA$1136,IF($S$1438=1024,PR!$AA$1137,IF($S$1438=1025,PR!$AA$1138,IF($S$1438=1026,PR!$AA$1139,IF($S$1438=1027,PR!$AA$1140,IF($S$1438=1028,PR!$AA$1141,IF($S$1438=1029,PR!$AA$1142,IF($S$1438=1030,PR!$AA$1143,IF($S$1438=1031,PR!$AA$1144,IF($S$1438=1032,PR!$AA$1145,IF($S$1438=1033,PR!$AA$1146,IF($S$1438=1034,PR!$AA$1147,IF($S$1438=1035,PR!$AA$1148,IF($S$1438=1036,PR!$AA$1149,IF($S$1438=1037,PR!$AA$1150,IF($S$1438=1038,PR!$AA$1151,IF($S$1438=1039,PR!$AA$1158,IF($S$1438=1040,PR!$AA$1159,IF($S$1438=1041,PR!$AA$1160,IF($S$1438=1042,PR!$AA$1161,IF($S$1438=1043,PR!$AA$1162,IF($S$1438=1044,PR!$AA$1163,IF($S$1438=1045,PR!$AA$1164,IF($S$1438=1046,PR!$AA$1165,IF($S$1438=1047,PR!$AA$1166,IF($S$1438=1048,PR!$AA$1167,IF($S$1438=1049,PR!$AA$1168,IF($S$1438=1050,PR!$AA$1169,IF($S$1438=1051,PR!$AA$1170,IF($S$1438=1052,PR!$AA$1171,IF($S$1438=1053,PR!$AA$1172,IF($S$1438=1054,PR!$AA$1173,IF($S$1438=1055,PR!$AA$1177,IF($S$1438=1056,PR!$AA$1178,IF($S$1438=1057,PR!$AA$1179,IF($S$1438=1058,PR!$AA$1180,IF($S$1438=1059,PR!$AA$1181,IF($S$1438=1060,PR!$AA$1182,IF($S$1438=1061,PR!$AA$1183,IF($S$1438=1062,PR!$AA$1184,IF($S$1438=1063,PR!$AA$1185,IF($S$1438=1064,PR!$AA$1186,IF($S$1438=1065,PR!$AA$1187,IF($S$1438=1066,PR!$AA$1188,IF($S$1438=1067,PR!$AA$1189,IF($S$1438=1068,PR!$AA$1190,IF($S$1438=1069,PR!$AA$1191,IF($S$1438=1070,PR!$AA$1192,IF($S$1438=1071,PR!$AA$1193,IF($S$1438=1072,PR!$AA$1194,IF($S$1438=1073,PR!$AA$1195,IF($S$1438=1074,PR!$AA$1196,IF($S$1438=1075,PR!$AA$1197,IF($S$1438=1076,PR!$AA$1198,IF($S$1438=1077,PR!$AA$1199,IF($S$1438=1078,PR!$AA$1200,IF($S$1438=1079,PR!$AA$1201,IF($S$1438=1080,PR!$AA$1202,"-"))))))))))))))))))))))))))))))))))))))))))))))))))))))))))))</f>
        <v>0</v>
      </c>
      <c r="I1445" s="602">
        <f>IF($S$1438=1021,PR!$AB$1134,IF($S$1438=1022,PR!$AB$1135,IF($S$1438=1023,PR!$AB$1136,IF($S$1438=1024,PR!$AB$1137,IF($S$1438=1025,PR!$AB$1138,IF($S$1438=1026,PR!$AB$1139,IF($S$1438=1027,PR!$AB$1140,IF($S$1438=1028,PR!$AB$1141,IF($S$1438=1029,PR!$AB$1142,IF($S$1438=1030,PR!$AB$1143,IF($S$1438=1031,PR!$AB$1144,IF($S$1438=1032,PR!$AB$1145,IF($S$1438=1033,PR!$AB$1146,IF($S$1438=1034,PR!$AB$1147,IF($S$1438=1035,PR!$AB$1148,IF($S$1438=1036,PR!$AB$1149,IF($S$1438=1037,PR!$AB$1150,IF($S$1438=1038,PR!$AB$1151,IF($S$1438=1039,PR!$AB$1158,IF($S$1438=1040,PR!$AB$1159,IF($S$1438=1041,PR!$AB$1160,IF($S$1438=1042,PR!$AB$1161,IF($S$1438=1043,PR!$AB$1162,IF($S$1438=1044,PR!$AB$1163,IF($S$1438=1045,PR!$AB$1164,IF($S$1438=1046,PR!$AB$1165,IF($S$1438=1047,PR!$AB$1166,IF($S$1438=1048,PR!$AB$1167,IF($S$1438=1049,PR!$AB$1168,IF($S$1438=1050,PR!$AB$1169,IF($S$1438=1051,PR!$AB$1170,IF($S$1438=1052,PR!$AB$1171,IF($S$1438=1053,PR!$AB$1172,IF($S$1438=1054,PR!$AB$1173,IF($S$1438=1055,PR!$AB$1177,IF($S$1438=1056,PR!$AB$1178,IF($S$1438=1057,PR!$AB$1179,IF($S$1438=1058,PR!$AB$1180,IF($S$1438=1059,PR!$AB$1181,IF($S$1438=1060,PR!$AB$1182,IF($S$1438=1061,PR!$AB$1183,IF($S$1438=1062,PR!$AB$1184,IF($S$1438=1063,PR!$AB$1185,IF($S$1438=1064,PR!$AB$1186,IF($S$1438=1065,PR!$AB$1187,IF($S$1438=1066,PR!$AB$1188,IF($S$1438=1067,PR!$AB$1189,IF($S$1438=1068,PR!$AB$1190,IF($S$1438=1069,PR!$AB$1191,IF($S$1438=1070,PR!$AB$1192,IF($S$1438=1071,PR!$AB$1193,IF($S$1438=1072,PR!$AB$1194,IF($S$1438=1073,PR!$AB$1195,IF($S$1438=1074,PR!$AB$1196,IF($S$1438=1075,PR!$AB$1197,IF($S$1438=1076,PR!$AB$1198,IF($S$1438=1077,PR!$AB$1199,IF($S$1438=1078,PR!$AB$1200,IF($S$1438=1079,PR!$AB$1201,IF($S$1438=1080,PR!$AB$1202,"-"))))))))))))))))))))))))))))))))))))))))))))))))))))))))))))</f>
        <v>0</v>
      </c>
      <c r="J1445" s="602">
        <f>IF($S$1438=1021,PR!$AC$1134,IF($S$1438=1022,PR!$AC$1135,IF($S$1438=1023,PR!$AC$1136,IF($S$1438=1024,PR!$AC$1137,IF($S$1438=1025,PR!$AC$1138,IF($S$1438=1026,PR!$AC$1139,IF($S$1438=1027,PR!$AC$1140,IF($S$1438=1028,PR!$AC$1141,IF($S$1438=1029,PR!$AC$1142,IF($S$1438=1030,PR!$AC$1143,IF($S$1438=1031,PR!$AC$1144,IF($S$1438=1032,PR!$AC$1145,IF($S$1438=1033,PR!$AC$1146,IF($S$1438=1034,PR!$AC$1147,IF($S$1438=1035,PR!$AC$1148,IF($S$1438=1036,PR!$AC$1149,IF($S$1438=1037,PR!$AC$1150,IF($S$1438=1038,PR!$AC$1151,IF($S$1438=1039,PR!$AC$1158,IF($S$1438=1040,PR!$AC$1159,IF($S$1438=1041,PR!$AC$1160,IF($S$1438=1042,PR!$AC$1161,IF($S$1438=1043,PR!$AC$1162,IF($S$1438=1044,PR!$AC$1163,IF($S$1438=1045,PR!$AC$1164,IF($S$1438=1046,PR!$AC$1165,IF($S$1438=1047,PR!$AC$1166,IF($S$1438=1048,PR!$AC$1167,IF($S$1438=1049,PR!$AC$1168,IF($S$1438=1050,PR!$AC$1169,IF($S$1438=1051,PR!$AC$1170,IF($S$1438=1052,PR!$AC$1171,IF($S$1438=1053,PR!$AC$1172,IF($S$1438=1054,PR!$AC$1173,IF($S$1438=1055,PR!$AC$1177,IF($S$1438=1056,PR!$AC$1178,IF($S$1438=1057,PR!$AC$1179,IF($S$1438=1058,PR!$AC$1180,IF($S$1438=1059,PR!$AC$1181,IF($S$1438=1060,PR!$AC$1182,IF($S$1438=1061,PR!$AC$1183,IF($S$1438=1062,PR!$AC$1184,IF($S$1438=1063,PR!$AC$1185,IF($S$1438=1064,PR!$AC$1186,IF($S$1438=1065,PR!$AC$1187,IF($S$1438=1066,PR!$AC$1188,IF($S$1438=1067,PR!$AC$1189,IF($S$1438=1068,PR!$AC$1190,IF($S$1438=1069,PR!$AC$1191,IF($S$1438=1070,PR!$AC$1192,IF($S$1438=1071,PR!$AC$1193,IF($S$1438=1072,PR!$AC$1194,IF($S$1438=1073,PR!$AC$1195,IF($S$1438=1074,PR!$AC$1196,IF($S$1438=1075,PR!$AC$1197,IF($S$1438=1076,PR!$AC$1198,IF($S$1438=1077,PR!$AC$1199,IF($S$1438=1078,PR!$AC$1200,IF($S$1438=1079,PR!$AC$1201,IF($S$1438=1080,PR!$AC$1202,"-"))))))))))))))))))))))))))))))))))))))))))))))))))))))))))))</f>
        <v>0</v>
      </c>
      <c r="K1445" s="602">
        <f>IF($S$1438=1021,PR!$AD$1134,IF($S$1438=1022,PR!$AD$1135,IF($S$1438=1023,PR!$AD$1136,IF($S$1438=1024,PR!$AD$1137,IF($S$1438=1025,PR!$AD$1138,IF($S$1438=1026,PR!$AD$1139,IF($S$1438=1027,PR!$AD$1140,IF($S$1438=1028,PR!$AD$1141,IF($S$1438=1029,PR!$AD$1142,IF($S$1438=1030,PR!$AD$1143,IF($S$1438=1031,PR!$AD$1144,IF($S$1438=1032,PR!$AD$1145,IF($S$1438=1033,PR!$AD$1146,IF($S$1438=1034,PR!$AD$1147,IF($S$1438=1035,PR!$AD$1148,IF($S$1438=1036,PR!$AD$1149,IF($S$1438=1037,PR!$AD$1150,IF($S$1438=1038,PR!$AD$1151,IF($S$1438=1039,PR!$AD$1158,IF($S$1438=1040,PR!$AD$1159,IF($S$1438=1041,PR!$AD$1160,IF($S$1438=1042,PR!$AD$1161,IF($S$1438=1043,PR!$AD$1162,IF($S$1438=1044,PR!$AD$1163,IF($S$1438=1045,PR!$AD$1164,IF($S$1438=1046,PR!$AD$1165,IF($S$1438=1047,PR!$AD$1166,IF($S$1438=1048,PR!$AD$1167,IF($S$1438=1049,PR!$AD$1168,IF($S$1438=1050,PR!$AD$1169,IF($S$1438=1051,PR!$AD$1170,IF($S$1438=1052,PR!$AD$1171,IF($S$1438=1053,PR!$AD$1172,IF($S$1438=1054,PR!$AD$1173,IF($S$1438=1055,PR!$AD$1177,IF($S$1438=1056,PR!$AD$1178,IF($S$1438=1057,PR!$AD$1179,IF($S$1438=1058,PR!$AD$1180,IF($S$1438=1059,PR!$AD$1181,IF($S$1438=1060,PR!$AD$1182,IF($S$1438=1061,PR!$AD$1183,IF($S$1438=1062,PR!$AD$1184,IF($S$1438=1063,PR!$AD$1185,IF($S$1438=1064,PR!$AD$1186,IF($S$1438=1065,PR!$AD$1187,IF($S$1438=1066,PR!$AD$1188,IF($S$1438=1067,PR!$AD$1189,IF($S$1438=1068,PR!$AD$1190,IF($S$1438=1069,PR!$AD$1191,IF($S$1438=1070,PR!$AD$1192,IF($S$1438=1071,PR!$AD$1193,IF($S$1438=1072,PR!$AD$1194,IF($S$1438=1073,PR!$AD$1195,IF($S$1438=1074,PR!$AD$1196,IF($S$1438=1075,PR!$AD$1197,IF($S$1438=1076,PR!$AD$1198,IF($S$1438=1077,PR!$AD$1199,IF($S$1438=1078,PR!$AD$1200,IF($S$1438=1079,PR!$AD$1201,IF($S$1438=1080,PR!$AD$1202,"-"))))))))))))))))))))))))))))))))))))))))))))))))))))))))))))</f>
        <v>0</v>
      </c>
      <c r="L1445" s="602">
        <f>IF($S$1438=1021,PR!$AE$1134,IF($S$1438=1022,PR!$AE$1135,IF($S$1438=1023,PR!$AE$1136,IF($S$1438=1024,PR!$AE$1137,IF($S$1438=1025,PR!$AE$1138,IF($S$1438=1026,PR!$AE$1139,IF($S$1438=1027,PR!$AE$1140,IF($S$1438=1028,PR!$AE$1141,IF($S$1438=1029,PR!$AE$1142,IF($S$1438=1030,PR!$AE$1143,IF($S$1438=1031,PR!$AE$1144,IF($S$1438=1032,PR!$AE$1145,IF($S$1438=1033,PR!$AE$1146,IF($S$1438=1034,PR!$AE$1147,IF($S$1438=1035,PR!$AE$1148,IF($S$1438=1036,PR!$AE$1149,IF($S$1438=1037,PR!$AE$1150,IF($S$1438=1038,PR!$AE$1151,IF($S$1438=1039,PR!$AE$1158,IF($S$1438=1040,PR!$AE$1159,IF($S$1438=1041,PR!$AE$1160,IF($S$1438=1042,PR!$AE$1161,IF($S$1438=1043,PR!$AE$1162,IF($S$1438=1044,PR!$AE$1163,IF($S$1438=1045,PR!$AE$1164,IF($S$1438=1046,PR!$AE$1165,IF($S$1438=1047,PR!$AE$1166,IF($S$1438=1048,PR!$AE$1167,IF($S$1438=1049,PR!$AE$1168,IF($S$1438=1050,PR!$AE$1169,IF($S$1438=1051,PR!$AE$1170,IF($S$1438=1052,PR!$AE$1171,IF($S$1438=1053,PR!$AE$1172,IF($S$1438=1054,PR!$AE$1173,IF($S$1438=1055,PR!$AE$1177,IF($S$1438=1056,PR!$AE$1178,IF($S$1438=1057,PR!$AE$1179,IF($S$1438=1058,PR!$AE$1180,IF($S$1438=1059,PR!$AE$1181,IF($S$1438=1060,PR!$AE$1182,IF($S$1438=1061,PR!$AE$1183,IF($S$1438=1062,PR!$AE$1184,IF($S$1438=1063,PR!$AE$1185,IF($S$1438=1064,PR!$AE$1186,IF($S$1438=1065,PR!$AE$1187,IF($S$1438=1066,PR!$AE$1188,IF($S$1438=1067,PR!$AE$1189,IF($S$1438=1068,PR!$AE$1190,IF($S$1438=1069,PR!$AE$1191,IF($S$1438=1070,PR!$AE$1192,IF($S$1438=1071,PR!$AE$1193,IF($S$1438=1072,PR!$AE$1194,IF($S$1438=1073,PR!$AE$1195,IF($S$1438=1074,PR!$AE$1196,IF($S$1438=1075,PR!$AE$1197,IF($S$1438=1076,PR!$AE$1198,IF($S$1438=1077,PR!$AE$1199,IF($S$1438=1078,PR!$AE$1200,IF($S$1438=1079,PR!$AE$1201,IF($S$1438=1080,PR!$AE$1202,"-"))))))))))))))))))))))))))))))))))))))))))))))))))))))))))))</f>
        <v>0</v>
      </c>
      <c r="M1445" s="602">
        <f>IF($S$1438=1021,PR!$AF$1134,IF($S$1438=1022,PR!$AF$1135,IF($S$1438=1023,PR!$AF$1136,IF($S$1438=1024,PR!$AF$1137,IF($S$1438=1025,PR!$AF$1138,IF($S$1438=1026,PR!$AF$1139,IF($S$1438=1027,PR!$AF$1140,IF($S$1438=1028,PR!$AF$1141,IF($S$1438=1029,PR!$AF$1142,IF($S$1438=1030,PR!$AF$1143,IF($S$1438=1031,PR!$AF$1144,IF($S$1438=1032,PR!$AF$1145,IF($S$1438=1033,PR!$AF$1146,IF($S$1438=1034,PR!$AF$1147,IF($S$1438=1035,PR!$AF$1148,IF($S$1438=1036,PR!$AF$1149,IF($S$1438=1037,PR!$AF$1150,IF($S$1438=1038,PR!$AF$1151,IF($S$1438=1039,PR!$AF$1158,IF($S$1438=1040,PR!$AF$1159,IF($S$1438=1041,PR!$AF$1160,IF($S$1438=1042,PR!$AF$1161,IF($S$1438=1043,PR!$AF$1162,IF($S$1438=1044,PR!$AF$1163,IF($S$1438=1045,PR!$AF$1164,IF($S$1438=1046,PR!$AF$1165,IF($S$1438=1047,PR!$AF$1166,IF($S$1438=1048,PR!$AF$1167,IF($S$1438=1049,PR!$AF$1168,IF($S$1438=1050,PR!$AF$1169,IF($S$1438=1051,PR!$AF$1170,IF($S$1438=1052,PR!$AF$1171,IF($S$1438=1053,PR!$AF$1172,IF($S$1438=1054,PR!$AF$1173,IF($S$1438=1055,PR!$AF$1177,IF($S$1438=1056,PR!$AF$1178,IF($S$1438=1057,PR!$AF$1179,IF($S$1438=1058,PR!$AF$1180,IF($S$1438=1059,PR!$AF$1181,IF($S$1438=1060,PR!$AF$1182,IF($S$1438=1061,PR!$AF$1183,IF($S$1438=1062,PR!$AF$1184,IF($S$1438=1063,PR!$AF$1185,IF($S$1438=1064,PR!$AF$1186,IF($S$1438=1065,PR!$AF$1187,IF($S$1438=1066,PR!$AF$1188,IF($S$1438=1067,PR!$AF$1189,IF($S$1438=1068,PR!$AF$1190,IF($S$1438=1069,PR!$AF$1191,IF($S$1438=1070,PR!$AF$1192,IF($S$1438=1071,PR!$AF$1193,IF($S$1438=1072,PR!$AF$1194,IF($S$1438=1073,PR!$AF$1195,IF($S$1438=1074,PR!$AF$1196,IF($S$1438=1075,PR!$AF$1197,IF($S$1438=1076,PR!$AF$1198,IF($S$1438=1077,PR!$AF$1199,IF($S$1438=1078,PR!$AF$1200,IF($S$1438=1079,PR!$AF$1201,IF($S$1438=1080,PR!$AF$1202,"-"))))))))))))))))))))))))))))))))))))))))))))))))))))))))))))</f>
        <v>12350</v>
      </c>
      <c r="N1445" s="602">
        <f>IF($S$1438=1021,PR!$AG$1134,IF($S$1438=1022,PR!$AG$1135,IF($S$1438=1023,PR!$AG$1136,IF($S$1438=1024,PR!$AG$1137,IF($S$1438=1025,PR!$AG$1138,IF($S$1438=1026,PR!$AG$1139,IF($S$1438=1027,PR!$AG$1140,IF($S$1438=1028,PR!$AG$1141,IF($S$1438=1029,PR!$AG$1142,IF($S$1438=1030,PR!$AG$1143,IF($S$1438=1031,PR!$AG$1144,IF($S$1438=1032,PR!$AG$1145,IF($S$1438=1033,PR!$AG$1146,IF($S$1438=1034,PR!$AG$1147,IF($S$1438=1035,PR!$AG$1148,IF($S$1438=1036,PR!$AG$1149,IF($S$1438=1037,PR!$AG$1150,IF($S$1438=1038,PR!$AG$1151,IF($S$1438=1039,PR!$AG$1158,IF($S$1438=1040,PR!$AG$1159,IF($S$1438=1041,PR!$AG$1160,IF($S$1438=1042,PR!$AG$1161,IF($S$1438=1043,PR!$AG$1162,IF($S$1438=1044,PR!$AG$1163,IF($S$1438=1045,PR!$AG$1164,IF($S$1438=1046,PR!$AG$1165,IF($S$1438=1047,PR!$AG$1166,IF($S$1438=1048,PR!$AG$1167,IF($S$1438=1049,PR!$AG$1168,IF($S$1438=1050,PR!$AG$1169,IF($S$1438=1051,PR!$AG$1170,IF($S$1438=1052,PR!$AG$1171,IF($S$1438=1053,PR!$AG$1172,IF($S$1438=1054,PR!$AG$1173,IF($S$1438=1055,PR!$AG$1177,IF($S$1438=1056,PR!$AG$1178,IF($S$1438=1057,PR!$AG$1179,IF($S$1438=1058,PR!$AG$1180,IF($S$1438=1059,PR!$AG$1181,IF($S$1438=1060,PR!$AG$1182,IF($S$1438=1061,PR!$AG$1183,IF($S$1438=1062,PR!$AG$1184,IF($S$1438=1063,PR!$AG$1185,IF($S$1438=1064,PR!$AG$1186,IF($S$1438=1065,PR!$AG$1187,IF($S$1438=1066,PR!$AG$1188,IF($S$1438=1067,PR!$AG$1189,IF($S$1438=1068,PR!$AG$1190,IF($S$1438=1069,PR!$AG$1191,IF($S$1438=1070,PR!$AG$1192,IF($S$1438=1071,PR!$AG$1193,IF($S$1438=1072,PR!$AG$1194,IF($S$1438=1073,PR!$AG$1195,IF($S$1438=1074,PR!$AG$1196,IF($S$1438=1075,PR!$AG$1197,IF($S$1438=1076,PR!$AG$1198,IF($S$1438=1077,PR!$AG$1199,IF($S$1438=1078,PR!$AG$1200,IF($S$1438=1079,PR!$AG$1201,IF($S$1438=1080,PR!$AG$1202,"-"))))))))))))))))))))))))))))))))))))))))))))))))))))))))))))</f>
        <v>0</v>
      </c>
      <c r="O1445" s="602">
        <f>IF($S$1438=1021,PR!$AH$1134,IF($S$1438=1022,PR!$AH$1135,IF($S$1438=1023,PR!$AH$1136,IF($S$1438=1024,PR!$AH$1137,IF($S$1438=1025,PR!$AH$1138,IF($S$1438=1026,PR!$AH$1139,IF($S$1438=1027,PR!$AH$1140,IF($S$1438=1028,PR!$AH$1141,IF($S$1438=1029,PR!$AH$1142,IF($S$1438=1030,PR!$AH$1143,IF($S$1438=1031,PR!$AH$1144,IF($S$1438=1032,PR!$AH$1145,IF($S$1438=1033,PR!$AH$1146,IF($S$1438=1034,PR!$AH$1147,IF($S$1438=1035,PR!$AH$1148,IF($S$1438=1036,PR!$AH$1149,IF($S$1438=1037,PR!$AH$1150,IF($S$1438=1038,PR!$AH$1151,IF($S$1438=1039,PR!$AH$1158,IF($S$1438=1040,PR!$AH$1159,IF($S$1438=1041,PR!$AH$1160,IF($S$1438=1042,PR!$AH$1161,IF($S$1438=1043,PR!$AH$1162,IF($S$1438=1044,PR!$AH$1163,IF($S$1438=1045,PR!$AH$1164,IF($S$1438=1046,PR!$AH$1165,IF($S$1438=1047,PR!$AH$1166,IF($S$1438=1048,PR!$AH$1167,IF($S$1438=1049,PR!$AH$1168,IF($S$1438=1050,PR!$AH$1169,IF($S$1438=1051,PR!$AH$1170,IF($S$1438=1052,PR!$AH$1171,IF($S$1438=1053,PR!$AH$1172,IF($S$1438=1054,PR!$AH$1173,IF($S$1438=1055,PR!$AH$1177,IF($S$1438=1056,PR!$AH$1178,IF($S$1438=1057,PR!$AH$1179,IF($S$1438=1058,PR!$AH$1180,IF($S$1438=1059,PR!$AH$1181,IF($S$1438=1060,PR!$AH$1182,IF($S$1438=1061,PR!$AH$1183,IF($S$1438=1062,PR!$AH$1184,IF($S$1438=1063,PR!$AH$1185,IF($S$1438=1064,PR!$AH$1186,IF($S$1438=1065,PR!$AH$1187,IF($S$1438=1066,PR!$AH$1188,IF($S$1438=1067,PR!$AH$1189,IF($S$1438=1068,PR!$AH$1190,IF($S$1438=1069,PR!$AH$1191,IF($S$1438=1070,PR!$AH$1192,IF($S$1438=1071,PR!$AH$1193,IF($S$1438=1072,PR!$AH$1194,IF($S$1438=1073,PR!$AH$1195,IF($S$1438=1074,PR!$AH$1196,IF($S$1438=1075,PR!$AH$1197,IF($S$1438=1076,PR!$AH$1198,IF($S$1438=1077,PR!$AH$1199,IF($S$1438=1078,PR!$AH$1200,IF($S$1438=1079,PR!$AH$1201,IF($S$1438=1080,PR!$AH$1202,"-"))))))))))))))))))))))))))))))))))))))))))))))))))))))))))))</f>
        <v>0</v>
      </c>
      <c r="P1445" s="602">
        <f>IF($S$1438=1021,PR!$AI$1134,IF($S$1438=1022,PR!$AI$1135,IF($S$1438=1023,PR!$AI$1136,IF($S$1438=1024,PR!$AI$1137,IF($S$1438=1025,PR!$AI$1138,IF($S$1438=1026,PR!$AI$1139,IF($S$1438=1027,PR!$AI$1140,IF($S$1438=1028,PR!$AI$1141,IF($S$1438=1029,PR!$AI$1142,IF($S$1438=1030,PR!$AI$1143,IF($S$1438=1031,PR!$AI$1144,IF($S$1438=1032,PR!$AI$1145,IF($S$1438=1033,PR!$AI$1146,IF($S$1438=1034,PR!$AI$1147,IF($S$1438=1035,PR!$AI$1148,IF($S$1438=1036,PR!$AI$1149,IF($S$1438=1037,PR!$AI$1150,IF($S$1438=1038,PR!$AI$1151,IF($S$1438=1039,PR!$AI$1158,IF($S$1438=1040,PR!$AI$1159,IF($S$1438=1041,PR!$AI$1160,IF($S$1438=1042,PR!$AI$1161,IF($S$1438=1043,PR!$AI$1162,IF($S$1438=1044,PR!$AI$1163,IF($S$1438=1045,PR!$AI$1164,IF($S$1438=1046,PR!$AI$1165,IF($S$1438=1047,PR!$AI$1166,IF($S$1438=1048,PR!$AI$1167,IF($S$1438=1049,PR!$AI$1168,IF($S$1438=1050,PR!$AI$1169,IF($S$1438=1051,PR!$AI$1170,IF($S$1438=1052,PR!$AI$1171,IF($S$1438=1053,PR!$AI$1172,IF($S$1438=1054,PR!$AI$1173,IF($S$1438=1055,PR!$AI$1177,IF($S$1438=1056,PR!$AI$1178,IF($S$1438=1057,PR!$AI$1179,IF($S$1438=1058,PR!$AI$1180,IF($S$1438=1059,PR!$AI$1181,IF($S$1438=1060,PR!$AI$1182,IF($S$1438=1061,PR!$AI$1183,IF($S$1438=1062,PR!$AI$1184,IF($S$1438=1063,PR!$AI$1185,IF($S$1438=1064,PR!$AI$1186,IF($S$1438=1065,PR!$AI$1187,IF($S$1438=1066,PR!$AI$1188,IF($S$1438=1067,PR!$AI$1189,IF($S$1438=1068,PR!$AI$1190,IF($S$1438=1069,PR!$AI$1191,IF($S$1438=1070,PR!$AI$1192,IF($S$1438=1071,PR!$AI$1193,IF($S$1438=1072,PR!$AI$1194,IF($S$1438=1073,PR!$AI$1195,IF($S$1438=1074,PR!$AI$1196,IF($S$1438=1075,PR!$AI$1197,IF($S$1438=1076,PR!$AI$1198,IF($S$1438=1077,PR!$AI$1199,IF($S$1438=1078,PR!$AI$1200,IF($S$1438=1079,PR!$AI$1201,IF($S$1438=1080,PR!$AI$1202,"-"))))))))))))))))))))))))))))))))))))))))))))))))))))))))))))</f>
        <v>0</v>
      </c>
      <c r="Q1445" s="602">
        <f>IF($S$1438=1021,PR!$AJ$1134,IF($S$1438=1022,PR!$AJ$1135,IF($S$1438=1023,PR!$AJ$1136,IF($S$1438=1024,PR!$AJ$1137,IF($S$1438=1025,PR!$AJ$1138,IF($S$1438=1026,PR!$AJ$1139,IF($S$1438=1027,PR!$AJ$1140,IF($S$1438=1028,PR!$AJ$1141,IF($S$1438=1029,PR!$AJ$1142,IF($S$1438=1030,PR!$AJ$1143,IF($S$1438=1031,PR!$AJ$1144,IF($S$1438=1032,PR!$AJ$1145,IF($S$1438=1033,PR!$AJ$1146,IF($S$1438=1034,PR!$AJ$1147,IF($S$1438=1035,PR!$AJ$1148,IF($S$1438=1036,PR!$AJ$1149,IF($S$1438=1037,PR!$AJ$1150,IF($S$1438=1038,PR!$AJ$1151,IF($S$1438=1039,PR!$AJ$1158,IF($S$1438=1040,PR!$AJ$1159,IF($S$1438=1041,PR!$AJ$1160,IF($S$1438=1042,PR!$AJ$1161,IF($S$1438=1043,PR!$AJ$1162,IF($S$1438=1044,PR!$AJ$1163,IF($S$1438=1045,PR!$AJ$1164,IF($S$1438=1046,PR!$AJ$1165,IF($S$1438=1047,PR!$AJ$1166,IF($S$1438=1048,PR!$AJ$1167,IF($S$1438=1049,PR!$AJ$1168,IF($S$1438=1050,PR!$AJ$1169,IF($S$1438=1051,PR!$AJ$1170,IF($S$1438=1052,PR!$AJ$1171,IF($S$1438=1053,PR!$AJ$1172,IF($S$1438=1054,PR!$AJ$1173,IF($S$1438=1055,PR!$AJ$1177,IF($S$1438=1056,PR!$AJ$1178,IF($S$1438=1057,PR!$AJ$1179,IF($S$1438=1058,PR!$AJ$1180,IF($S$1438=1059,PR!$AJ$1181,IF($S$1438=1060,PR!$AJ$1182,IF($S$1438=1061,PR!$AJ$1183,IF($S$1438=1062,PR!$AJ$1184,IF($S$1438=1063,PR!$AJ$1185,IF($S$1438=1064,PR!$AJ$1186,IF($S$1438=1065,PR!$AJ$1187,IF($S$1438=1066,PR!$AJ$1188,IF($S$1438=1067,PR!$AJ$1189,IF($S$1438=1068,PR!$AJ$1190,IF($S$1438=1069,PR!$AJ$1191,IF($S$1438=1070,PR!$AJ$1192,IF($S$1438=1071,PR!$AJ$1193,IF($S$1438=1072,PR!$AJ$1194,IF($S$1438=1073,PR!$AJ$1195,IF($S$1438=1074,PR!$AJ$1196,IF($S$1438=1075,PR!$AJ$1197,IF($S$1438=1076,PR!$AJ$1198,IF($S$1438=1077,PR!$AJ$1199,IF($S$1438=1078,PR!$AJ$1200,IF($S$1438=1079,PR!$AJ$1201,IF($S$1438=1080,PR!$AJ$1202,"-"))))))))))))))))))))))))))))))))))))))))))))))))))))))))))))</f>
        <v>0</v>
      </c>
      <c r="R1445" s="602">
        <f>IF($S$1438=1021,PR!$AK$1134,IF($S$1438=1022,PR!$AK$1135,IF($S$1438=1023,PR!$AK$1136,IF($S$1438=1024,PR!$AK$1137,IF($S$1438=1025,PR!$AK$1138,IF($S$1438=1026,PR!$AK$1139,IF($S$1438=1027,PR!$AK$1140,IF($S$1438=1028,PR!$AK$1141,IF($S$1438=1029,PR!$AK$1142,IF($S$1438=1030,PR!$AK$1143,IF($S$1438=1031,PR!$AK$1144,IF($S$1438=1032,PR!$AK$1145,IF($S$1438=1033,PR!$AK$1146,IF($S$1438=1034,PR!$AK$1147,IF($S$1438=1035,PR!$AK$1148,IF($S$1438=1036,PR!$AK$1149,IF($S$1438=1037,PR!$AK$1150,IF($S$1438=1038,PR!$AK$1151,IF($S$1438=1039,PR!$AK$1158,IF($S$1438=1040,PR!$AK$1159,IF($S$1438=1041,PR!$AK$1160,IF($S$1438=1042,PR!$AK$1161,IF($S$1438=1043,PR!$AK$1162,IF($S$1438=1044,PR!$AK$1163,IF($S$1438=1045,PR!$AK$1164,IF($S$1438=1046,PR!$AK$1165,IF($S$1438=1047,PR!$AK$1166,IF($S$1438=1048,PR!$AK$1167,IF($S$1438=1049,PR!$AK$1168,IF($S$1438=1050,PR!$AK$1169,IF($S$1438=1051,PR!$AK$1170,IF($S$1438=1052,PR!$AK$1171,IF($S$1438=1053,PR!$AK$1172,IF($S$1438=1054,PR!$AK$1173,IF($S$1438=1055,PR!$AK$1177,IF($S$1438=1056,PR!$AK$1178,IF($S$1438=1057,PR!$AK$1179,IF($S$1438=1058,PR!$AK$1180,IF($S$1438=1059,PR!$AK$1181,IF($S$1438=1060,PR!$AK$1182,IF($S$1438=1061,PR!$AK$1183,IF($S$1438=1062,PR!$AK$1184,IF($S$1438=1063,PR!$AK$1185,IF($S$1438=1064,PR!$AK$1186,IF($S$1438=1065,PR!$AK$1187,IF($S$1438=1066,PR!$AK$1188,IF($S$1438=1067,PR!$AK$1189,IF($S$1438=1068,PR!$AK$1190,IF($S$1438=1069,PR!$AK$1191,IF($S$1438=1070,PR!$AK$1192,IF($S$1438=1071,PR!$AK$1193,IF($S$1438=1072,PR!$AK$1194,IF($S$1438=1073,PR!$AK$1195,IF($S$1438=1074,PR!$AK$1196,IF($S$1438=1075,PR!$AK$1197,IF($S$1438=1076,PR!$AK$1198,IF($S$1438=1077,PR!$AK$1199,IF($S$1438=1078,PR!$AK$1200,IF($S$1438=1079,PR!$AK$1201,IF($S$1438=1080,PR!$AK$1202,"-"))))))))))))))))))))))))))))))))))))))))))))))))))))))))))))</f>
        <v>0</v>
      </c>
      <c r="S1445" s="602">
        <f>IF($S$1438=1021,PR!$AL$1134,IF($S$1438=1022,PR!$AL$1135,IF($S$1438=1023,PR!$AL$1136,IF($S$1438=1024,PR!$AL$1137,IF($S$1438=1025,PR!$AL$1138,IF($S$1438=1026,PR!$AL$1139,IF($S$1438=1027,PR!$AL$1140,IF($S$1438=1028,PR!$AL$1141,IF($S$1438=1029,PR!$AL$1142,IF($S$1438=1030,PR!$AL$1143,IF($S$1438=1031,PR!$AL$1144,IF($S$1438=1032,PR!$AL$1145,IF($S$1438=1033,PR!$AL$1146,IF($S$1438=1034,PR!$AL$1147,IF($S$1438=1035,PR!$AL$1148,IF($S$1438=1036,PR!$AL$1149,IF($S$1438=1037,PR!$AL$1150,IF($S$1438=1038,PR!$AL$1151,IF($S$1438=1039,PR!$AL$1158,IF($S$1438=1040,PR!$AL$1159,IF($S$1438=1041,PR!$AL$1160,IF($S$1438=1042,PR!$AL$1161,IF($S$1438=1043,PR!$AL$1162,IF($S$1438=1044,PR!$AL$1163,IF($S$1438=1045,PR!$AL$1164,IF($S$1438=1046,PR!$AL$1165,IF($S$1438=1047,PR!$AL$1166,IF($S$1438=1048,PR!$AL$1167,IF($S$1438=1049,PR!$AL$1168,IF($S$1438=1050,PR!$AL$1169,IF($S$1438=1051,PR!$AL$1170,IF($S$1438=1052,PR!$AL$1171,IF($S$1438=1053,PR!$AL$1172,IF($S$1438=1054,PR!$AL$1173,IF($S$1438=1055,PR!$AL$1177,IF($S$1438=1056,PR!$AL$1178,IF($S$1438=1057,PR!$AL$1179,IF($S$1438=1058,PR!$AL$1180,IF($S$1438=1059,PR!$AL$1181,IF($S$1438=1060,PR!$AL$1182,IF($S$1438=1061,PR!$AL$1183,IF($S$1438=1062,PR!$AL$1184,IF($S$1438=1063,PR!$AL$1185,IF($S$1438=1064,PR!$AL$1186,IF($S$1438=1065,PR!$AL$1187,IF($S$1438=1066,PR!$AL$1188,IF($S$1438=1067,PR!$AL$1189,IF($S$1438=1068,PR!$AL$1190,IF($S$1438=1069,PR!$AL$1191,IF($S$1438=1070,PR!$AL$1192,IF($S$1438=1071,PR!$AL$1193,IF($S$1438=1072,PR!$AL$1194,IF($S$1438=1073,PR!$AL$1195,IF($S$1438=1074,PR!$AL$1196,IF($S$1438=1075,PR!$AL$1197,IF($S$1438=1076,PR!$AL$1198,IF($S$1438=1077,PR!$AL$1199,IF($S$1438=1078,PR!$AL$1200,IF($S$1438=1079,PR!$AL$1201,IF($S$1438=1080,PR!$AL$1202,"-"))))))))))))))))))))))))))))))))))))))))))))))))))))))))))))</f>
        <v>0</v>
      </c>
      <c r="T1445" s="580"/>
      <c r="U1445" s="580"/>
      <c r="V1445" s="32"/>
      <c r="W1445" s="32"/>
      <c r="X1445" s="32"/>
    </row>
    <row r="1446" spans="2:24" ht="6.75" customHeight="1" x14ac:dyDescent="0.25">
      <c r="B1446" s="580"/>
      <c r="C1446" s="603"/>
      <c r="D1446" s="604"/>
      <c r="E1446" s="604"/>
      <c r="F1446" s="604"/>
      <c r="G1446" s="604"/>
      <c r="H1446" s="604"/>
      <c r="I1446" s="604"/>
      <c r="J1446" s="604"/>
      <c r="K1446" s="604"/>
      <c r="L1446" s="604"/>
      <c r="M1446" s="604"/>
      <c r="N1446" s="604"/>
      <c r="O1446" s="604"/>
      <c r="P1446" s="604"/>
      <c r="Q1446" s="604"/>
      <c r="R1446" s="606"/>
      <c r="S1446" s="606"/>
      <c r="T1446" s="580"/>
      <c r="U1446" s="580"/>
      <c r="V1446" s="32"/>
      <c r="W1446" s="32"/>
      <c r="X1446" s="32"/>
    </row>
    <row r="1447" spans="2:24" ht="15.75" thickBot="1" x14ac:dyDescent="0.3">
      <c r="B1447" s="580"/>
      <c r="C1447" s="600" t="str">
        <f>N!$C$38</f>
        <v>MWORLD</v>
      </c>
      <c r="D1447" s="600" t="str">
        <f>N!$C$39</f>
        <v>MEGA</v>
      </c>
      <c r="E1447" s="600" t="str">
        <f>N!$C$40</f>
        <v>MICRONOVA</v>
      </c>
      <c r="F1447" s="600" t="str">
        <f>N!$C$41</f>
        <v>MFLASH</v>
      </c>
      <c r="G1447" s="600" t="str">
        <f>N!$C$42</f>
        <v>MORISON</v>
      </c>
      <c r="H1447" s="600" t="str">
        <f>N!$C$43</f>
        <v>NEMEL</v>
      </c>
      <c r="I1447" s="600" t="str">
        <f>N!$C$44</f>
        <v>NHP</v>
      </c>
      <c r="J1447" s="600" t="str">
        <f>N!$C$45</f>
        <v>NHC</v>
      </c>
      <c r="K1447" s="600" t="str">
        <f>N!$C$46</f>
        <v>OLEAF</v>
      </c>
      <c r="L1447" s="600" t="str">
        <f>N!$C$47</f>
        <v>OCULUS</v>
      </c>
      <c r="M1447" s="600" t="str">
        <f>N!$C$48</f>
        <v>PACIFIC</v>
      </c>
      <c r="N1447" s="600" t="str">
        <f>N!$C$49</f>
        <v>PHAMATEX</v>
      </c>
      <c r="O1447" s="600" t="str">
        <f>N!$C$50</f>
        <v>PETHICS</v>
      </c>
      <c r="P1447" s="600" t="str">
        <f>N!$C$51</f>
        <v>PHILIPS</v>
      </c>
      <c r="Q1447" s="600" t="str">
        <f>N!$C$52</f>
        <v>RANBAXY</v>
      </c>
      <c r="R1447" s="600" t="str">
        <f>N!$C$53</f>
        <v>REALS</v>
      </c>
      <c r="S1447" s="600" t="str">
        <f>N!$C$54</f>
        <v>ROYAL</v>
      </c>
      <c r="T1447" s="580"/>
      <c r="U1447" s="580"/>
      <c r="V1447" s="32"/>
      <c r="W1447" s="32"/>
      <c r="X1447" s="32"/>
    </row>
    <row r="1448" spans="2:24" ht="15.75" thickBot="1" x14ac:dyDescent="0.3">
      <c r="B1448" s="580"/>
      <c r="C1448" s="602">
        <f>IF($S$1438=1021,PR!$AM$1134,IF($S$1438=1022,PR!$AM$1135,IF($S$1438=1023,PR!$AM$1136,IF($S$1438=1024,PR!$AM$1137,IF($S$1438=1025,PR!$AM$1138,IF($S$1438=1026,PR!$AM$1139,IF($S$1438=1027,PR!$AM$1140,IF($S$1438=1028,PR!$AM$1141,IF($S$1438=1029,PR!$AM$1142,IF($S$1438=1030,PR!$AM$1143,IF($S$1438=1031,PR!$AM$1144,IF($S$1438=1032,PR!$AM$1145,IF($S$1438=1033,PR!$AM$1146,IF($S$1438=1034,PR!$AM$1147,IF($S$1438=1035,PR!$AM$1148,IF($S$1438=1036,PR!$AM$1149,IF($S$1438=1037,PR!$AM$1150,IF($S$1438=1038,PR!$AM$1151,IF($S$1438=1039,PR!$AM$1158,IF($S$1438=1040,PR!$AM$1159,IF($S$1438=1041,PR!$AM$1160,IF($S$1438=1042,PR!$AM$1161,IF($S$1438=1043,PR!$AM$1162,IF($S$1438=1044,PR!$AM$1163,IF($S$1438=1045,PR!$AM$1164,IF($S$1438=1046,PR!$AM$1165,IF($S$1438=1047,PR!$AM$1166,IF($S$1438=1048,PR!$AM$1167,IF($S$1438=1049,PR!$AM$1168,IF($S$1438=1050,PR!$AM$1169,IF($S$1438=1051,PR!$AM$1170,IF($S$1438=1052,PR!$AM$1171,IF($S$1438=1053,PR!$AM$1172,IF($S$1438=1054,PR!$AM$1173,IF($S$1438=1055,PR!$AM$1177,IF($S$1438=1056,PR!$AM$1178,IF($S$1438=1057,PR!$AM$1179,IF($S$1438=1058,PR!$AM$1180,IF($S$1438=1059,PR!$AM$1181,IF($S$1438=1060,PR!$AM$1182,IF($S$1438=1061,PR!$AM$1183,IF($S$1438=1062,PR!$AM$1184,IF($S$1438=1063,PR!$AM$1185,IF($S$1438=1064,PR!$AM$1186,IF($S$1438=1065,PR!$AM$1187,IF($S$1438=1066,PR!$AM$1188,IF($S$1438=1067,PR!$AM$1189,IF($S$1438=1068,PR!$AM$1190,IF($S$1438=1069,PR!$AM$1191,IF($S$1438=1070,PR!$AM$1192,IF($S$1438=1071,PR!$AM$1193,IF($S$1438=1072,PR!$AM$1194,IF($S$1438=1073,PR!$AM$1195,IF($S$1438=1074,PR!$AM$1196,IF($S$1438=1075,PR!$AM$1197,IF($S$1438=1076,PR!$AM$1198,IF($S$1438=1077,PR!$AM$1199,IF($S$1438=1078,PR!$AM$1200,IF($S$1438=1079,PR!$AM$1201,IF($S$1438=1080,PR!$AM$1202,"-"))))))))))))))))))))))))))))))))))))))))))))))))))))))))))))</f>
        <v>0</v>
      </c>
      <c r="D1448" s="602">
        <f>IF($S$1438=1021,PR!$AN$1134,IF($S$1438=1022,PR!$AN$1135,IF($S$1438=1023,PR!$AN$1136,IF($S$1438=1024,PR!$AN$1137,IF($S$1438=1025,PR!$AN$1138,IF($S$1438=1026,PR!$AN$1139,IF($S$1438=1027,PR!$AN$1140,IF($S$1438=1028,PR!$AN$1141,IF($S$1438=1029,PR!$AN$1142,IF($S$1438=1030,PR!$AN$1143,IF($S$1438=1031,PR!$AN$1144,IF($S$1438=1032,PR!$AN$1145,IF($S$1438=1033,PR!$AN$1146,IF($S$1438=1034,PR!$AN$1147,IF($S$1438=1035,PR!$AN$1148,IF($S$1438=1036,PR!$AN$1149,IF($S$1438=1037,PR!$AN$1150,IF($S$1438=1038,PR!$AN$1151,IF($S$1438=1039,PR!$AN$1158,IF($S$1438=1040,PR!$AN$1159,IF($S$1438=1041,PR!$AN$1160,IF($S$1438=1042,PR!$AN$1161,IF($S$1438=1043,PR!$AN$1162,IF($S$1438=1044,PR!$AN$1163,IF($S$1438=1045,PR!$AN$1164,IF($S$1438=1046,PR!$AN$1165,IF($S$1438=1047,PR!$AN$1166,IF($S$1438=1048,PR!$AN$1167,IF($S$1438=1049,PR!$AN$1168,IF($S$1438=1050,PR!$AN$1169,IF($S$1438=1051,PR!$AN$1170,IF($S$1438=1052,PR!$AN$1171,IF($S$1438=1053,PR!$AN$1172,IF($S$1438=1054,PR!$AN$1173,IF($S$1438=1055,PR!$AN$1177,IF($S$1438=1056,PR!$AN$1178,IF($S$1438=1057,PR!$AN$1179,IF($S$1438=1058,PR!$AN$1180,IF($S$1438=1059,PR!$AN$1181,IF($S$1438=1060,PR!$AN$1182,IF($S$1438=1061,PR!$AN$1183,IF($S$1438=1062,PR!$AN$1184,IF($S$1438=1063,PR!$AN$1185,IF($S$1438=1064,PR!$AN$1186,IF($S$1438=1065,PR!$AN$1187,IF($S$1438=1066,PR!$AN$1188,IF($S$1438=1067,PR!$AN$1189,IF($S$1438=1068,PR!$AN$1190,IF($S$1438=1069,PR!$AN$1191,IF($S$1438=1070,PR!$AN$1192,IF($S$1438=1071,PR!$AN$1193,IF($S$1438=1072,PR!$AN$1194,IF($S$1438=1073,PR!$AN$1195,IF($S$1438=1074,PR!$AN$1196,IF($S$1438=1075,PR!$AN$1197,IF($S$1438=1076,PR!$AN$1198,IF($S$1438=1077,PR!$AN$1199,IF($S$1438=1078,PR!$AN$1200,IF($S$1438=1079,PR!$AN$1201,IF($S$1438=1080,PR!$AN$1202,"-"))))))))))))))))))))))))))))))))))))))))))))))))))))))))))))</f>
        <v>0</v>
      </c>
      <c r="E1448" s="602">
        <f>IF($S$1438=1021,PR!$AO$1134,IF($S$1438=1022,PR!$AO$1135,IF($S$1438=1023,PR!$AO$1136,IF($S$1438=1024,PR!$AO$1137,IF($S$1438=1025,PR!$AO$1138,IF($S$1438=1026,PR!$AO$1139,IF($S$1438=1027,PR!$AO$1140,IF($S$1438=1028,PR!$AO$1141,IF($S$1438=1029,PR!$AO$1142,IF($S$1438=1030,PR!$AO$1143,IF($S$1438=1031,PR!$AO$1144,IF($S$1438=1032,PR!$AO$1145,IF($S$1438=1033,PR!$AO$1146,IF($S$1438=1034,PR!$AO$1147,IF($S$1438=1035,PR!$AO$1148,IF($S$1438=1036,PR!$AO$1149,IF($S$1438=1037,PR!$AO$1150,IF($S$1438=1038,PR!$AO$1151,IF($S$1438=1039,PR!$AO$1158,IF($S$1438=1040,PR!$AO$1159,IF($S$1438=1041,PR!$AO$1160,IF($S$1438=1042,PR!$AO$1161,IF($S$1438=1043,PR!$AO$1162,IF($S$1438=1044,PR!$AO$1163,IF($S$1438=1045,PR!$AO$1164,IF($S$1438=1046,PR!$AO$1165,IF($S$1438=1047,PR!$AO$1166,IF($S$1438=1048,PR!$AO$1167,IF($S$1438=1049,PR!$AO$1168,IF($S$1438=1050,PR!$AO$1169,IF($S$1438=1051,PR!$AO$1170,IF($S$1438=1052,PR!$AO$1171,IF($S$1438=1053,PR!$AO$1172,IF($S$1438=1054,PR!$AO$1173,IF($S$1438=1055,PR!$AO$1177,IF($S$1438=1056,PR!$AO$1178,IF($S$1438=1057,PR!$AO$1179,IF($S$1438=1058,PR!$AO$1180,IF($S$1438=1059,PR!$AO$1181,IF($S$1438=1060,PR!$AO$1182,IF($S$1438=1061,PR!$AO$1183,IF($S$1438=1062,PR!$AO$1184,IF($S$1438=1063,PR!$AO$1185,IF($S$1438=1064,PR!$AO$1186,IF($S$1438=1065,PR!$AO$1187,IF($S$1438=1066,PR!$AO$1188,IF($S$1438=1067,PR!$AO$1189,IF($S$1438=1068,PR!$AO$1190,IF($S$1438=1069,PR!$AO$1191,IF($S$1438=1070,PR!$AO$1192,IF($S$1438=1071,PR!$AO$1193,IF($S$1438=1072,PR!$AO$1194,IF($S$1438=1073,PR!$AO$1195,IF($S$1438=1074,PR!$AO$1196,IF($S$1438=1075,PR!$AO$1197,IF($S$1438=1076,PR!$AO$1198,IF($S$1438=1077,PR!$AO$1199,IF($S$1438=1078,PR!$AO$1200,IF($S$1438=1079,PR!$AO$1201,IF($S$1438=1080,PR!$AO$1202,"-"))))))))))))))))))))))))))))))))))))))))))))))))))))))))))))</f>
        <v>0</v>
      </c>
      <c r="F1448" s="602">
        <f>IF($S$1438=1021,PR!$AP$1134,IF($S$1438=1022,PR!$AP$1135,IF($S$1438=1023,PR!$AP$1136,IF($S$1438=1024,PR!$AP$1137,IF($S$1438=1025,PR!$AP$1138,IF($S$1438=1026,PR!$AP$1139,IF($S$1438=1027,PR!$AP$1140,IF($S$1438=1028,PR!$AP$1141,IF($S$1438=1029,PR!$AP$1142,IF($S$1438=1030,PR!$AP$1143,IF($S$1438=1031,PR!$AP$1144,IF($S$1438=1032,PR!$AP$1145,IF($S$1438=1033,PR!$AP$1146,IF($S$1438=1034,PR!$AP$1147,IF($S$1438=1035,PR!$AP$1148,IF($S$1438=1036,PR!$AP$1149,IF($S$1438=1037,PR!$AP$1150,IF($S$1438=1038,PR!$AP$1151,IF($S$1438=1039,PR!$AP$1158,IF($S$1438=1040,PR!$AP$1159,IF($S$1438=1041,PR!$AP$1160,IF($S$1438=1042,PR!$AP$1161,IF($S$1438=1043,PR!$AP$1162,IF($S$1438=1044,PR!$AP$1163,IF($S$1438=1045,PR!$AP$1164,IF($S$1438=1046,PR!$AP$1165,IF($S$1438=1047,PR!$AP$1166,IF($S$1438=1048,PR!$AP$1167,IF($S$1438=1049,PR!$AP$1168,IF($S$1438=1050,PR!$AP$1169,IF($S$1438=1051,PR!$AP$1170,IF($S$1438=1052,PR!$AP$1171,IF($S$1438=1053,PR!$AP$1172,IF($S$1438=1054,PR!$AP$1173,IF($S$1438=1055,PR!$AP$1177,IF($S$1438=1056,PR!$AP$1178,IF($S$1438=1057,PR!$AP$1179,IF($S$1438=1058,PR!$AP$1180,IF($S$1438=1059,PR!$AP$1181,IF($S$1438=1060,PR!$AP$1182,IF($S$1438=1061,PR!$AP$1183,IF($S$1438=1062,PR!$AP$1184,IF($S$1438=1063,PR!$AP$1185,IF($S$1438=1064,PR!$AP$1186,IF($S$1438=1065,PR!$AP$1187,IF($S$1438=1066,PR!$AP$1188,IF($S$1438=1067,PR!$AP$1189,IF($S$1438=1068,PR!$AP$1190,IF($S$1438=1069,PR!$AP$1191,IF($S$1438=1070,PR!$AP$1192,IF($S$1438=1071,PR!$AP$1193,IF($S$1438=1072,PR!$AP$1194,IF($S$1438=1073,PR!$AP$1195,IF($S$1438=1074,PR!$AP$1196,IF($S$1438=1075,PR!$AP$1197,IF($S$1438=1076,PR!$AP$1198,IF($S$1438=1077,PR!$AP$1199,IF($S$1438=1078,PR!$AP$1200,IF($S$1438=1079,PR!$AP$1201,IF($S$1438=1080,PR!$AP$1202,"-"))))))))))))))))))))))))))))))))))))))))))))))))))))))))))))</f>
        <v>0</v>
      </c>
      <c r="G1448" s="602">
        <f>IF($S$1438=1021,PR!$AQ$1134,IF($S$1438=1022,PR!$AQ$1135,IF($S$1438=1023,PR!$AQ$1136,IF($S$1438=1024,PR!$AQ$1137,IF($S$1438=1025,PR!$AQ$1138,IF($S$1438=1026,PR!$AQ$1139,IF($S$1438=1027,PR!$AQ$1140,IF($S$1438=1028,PR!$AQ$1141,IF($S$1438=1029,PR!$AQ$1142,IF($S$1438=1030,PR!$AQ$1143,IF($S$1438=1031,PR!$AQ$1144,IF($S$1438=1032,PR!$AQ$1145,IF($S$1438=1033,PR!$AQ$1146,IF($S$1438=1034,PR!$AQ$1147,IF($S$1438=1035,PR!$AQ$1148,IF($S$1438=1036,PR!$AQ$1149,IF($S$1438=1037,PR!$AQ$1150,IF($S$1438=1038,PR!$AQ$1151,IF($S$1438=1039,PR!$AQ$1158,IF($S$1438=1040,PR!$AQ$1159,IF($S$1438=1041,PR!$AQ$1160,IF($S$1438=1042,PR!$AQ$1161,IF($S$1438=1043,PR!$AQ$1162,IF($S$1438=1044,PR!$AQ$1163,IF($S$1438=1045,PR!$AQ$1164,IF($S$1438=1046,PR!$AQ$1165,IF($S$1438=1047,PR!$AQ$1166,IF($S$1438=1048,PR!$AQ$1167,IF($S$1438=1049,PR!$AQ$1168,IF($S$1438=1050,PR!$AQ$1169,IF($S$1438=1051,PR!$AQ$1170,IF($S$1438=1052,PR!$AQ$1171,IF($S$1438=1053,PR!$AQ$1172,IF($S$1438=1054,PR!$AQ$1173,IF($S$1438=1055,PR!$AQ$1177,IF($S$1438=1056,PR!$AQ$1178,IF($S$1438=1057,PR!$AQ$1179,IF($S$1438=1058,PR!$AQ$1180,IF($S$1438=1059,PR!$AQ$1181,IF($S$1438=1060,PR!$AQ$1182,IF($S$1438=1061,PR!$AQ$1183,IF($S$1438=1062,PR!$AQ$1184,IF($S$1438=1063,PR!$AQ$1185,IF($S$1438=1064,PR!$AQ$1186,IF($S$1438=1065,PR!$AQ$1187,IF($S$1438=1066,PR!$AQ$1188,IF($S$1438=1067,PR!$AQ$1189,IF($S$1438=1068,PR!$AQ$1190,IF($S$1438=1069,PR!$AQ$1191,IF($S$1438=1070,PR!$AQ$1192,IF($S$1438=1071,PR!$AQ$1193,IF($S$1438=1072,PR!$AQ$1194,IF($S$1438=1073,PR!$AQ$1195,IF($S$1438=1074,PR!$AQ$1196,IF($S$1438=1075,PR!$AQ$1197,IF($S$1438=1076,PR!$AQ$1198,IF($S$1438=1077,PR!$AQ$1199,IF($S$1438=1078,PR!$AQ$1200,IF($S$1438=1079,PR!$AQ$1201,IF($S$1438=1080,PR!$AQ$1202,"-"))))))))))))))))))))))))))))))))))))))))))))))))))))))))))))</f>
        <v>0</v>
      </c>
      <c r="H1448" s="602">
        <f>IF($S$1438=1021,PR!$AR$1134,IF($S$1438=1022,PR!$AR$1135,IF($S$1438=1023,PR!$AR$1136,IF($S$1438=1024,PR!$AR$1137,IF($S$1438=1025,PR!$AR$1138,IF($S$1438=1026,PR!$AR$1139,IF($S$1438=1027,PR!$AR$1140,IF($S$1438=1028,PR!$AR$1141,IF($S$1438=1029,PR!$AR$1142,IF($S$1438=1030,PR!$AR$1143,IF($S$1438=1031,PR!$AR$1144,IF($S$1438=1032,PR!$AR$1145,IF($S$1438=1033,PR!$AR$1146,IF($S$1438=1034,PR!$AR$1147,IF($S$1438=1035,PR!$AR$1148,IF($S$1438=1036,PR!$AR$1149,IF($S$1438=1037,PR!$AR$1150,IF($S$1438=1038,PR!$AR$1151,IF($S$1438=1039,PR!$AR$1158,IF($S$1438=1040,PR!$AR$1159,IF($S$1438=1041,PR!$AR$1160,IF($S$1438=1042,PR!$AR$1161,IF($S$1438=1043,PR!$AR$1162,IF($S$1438=1044,PR!$AR$1163,IF($S$1438=1045,PR!$AR$1164,IF($S$1438=1046,PR!$AR$1165,IF($S$1438=1047,PR!$AR$1166,IF($S$1438=1048,PR!$AR$1167,IF($S$1438=1049,PR!$AR$1168,IF($S$1438=1050,PR!$AR$1169,IF($S$1438=1051,PR!$AR$1170,IF($S$1438=1052,PR!$AR$1171,IF($S$1438=1053,PR!$AR$1172,IF($S$1438=1054,PR!$AR$1173,IF($S$1438=1055,PR!$AR$1177,IF($S$1438=1056,PR!$AR$1178,IF($S$1438=1057,PR!$AR$1179,IF($S$1438=1058,PR!$AR$1180,IF($S$1438=1059,PR!$AR$1181,IF($S$1438=1060,PR!$AR$1182,IF($S$1438=1061,PR!$AR$1183,IF($S$1438=1062,PR!$AR$1184,IF($S$1438=1063,PR!$AR$1185,IF($S$1438=1064,PR!$AR$1186,IF($S$1438=1065,PR!$AR$1187,IF($S$1438=1066,PR!$AR$1188,IF($S$1438=1067,PR!$AR$1189,IF($S$1438=1068,PR!$AR$1190,IF($S$1438=1069,PR!$AR$1191,IF($S$1438=1070,PR!$AR$1192,IF($S$1438=1071,PR!$AR$1193,IF($S$1438=1072,PR!$AR$1194,IF($S$1438=1073,PR!$AR$1195,IF($S$1438=1074,PR!$AR$1196,IF($S$1438=1075,PR!$AR$1197,IF($S$1438=1076,PR!$AR$1198,IF($S$1438=1077,PR!$AR$1199,IF($S$1438=1078,PR!$AR$1200,IF($S$1438=1079,PR!$AR$1201,IF($S$1438=1080,PR!$AR$1202,"-"))))))))))))))))))))))))))))))))))))))))))))))))))))))))))))</f>
        <v>0</v>
      </c>
      <c r="I1448" s="602">
        <f>IF($S$1438=1021,PR!$AS$1134,IF($S$1438=1022,PR!$AS$1135,IF($S$1438=1023,PR!$AS$1136,IF($S$1438=1024,PR!$AS$1137,IF($S$1438=1025,PR!$AS$1138,IF($S$1438=1026,PR!$AS$1139,IF($S$1438=1027,PR!$AS$1140,IF($S$1438=1028,PR!$AS$1141,IF($S$1438=1029,PR!$AS$1142,IF($S$1438=1030,PR!$AS$1143,IF($S$1438=1031,PR!$AS$1144,IF($S$1438=1032,PR!$AS$1145,IF($S$1438=1033,PR!$AS$1146,IF($S$1438=1034,PR!$AS$1147,IF($S$1438=1035,PR!$AS$1148,IF($S$1438=1036,PR!$AS$1149,IF($S$1438=1037,PR!$AS$1150,IF($S$1438=1038,PR!$AS$1151,IF($S$1438=1039,PR!$AS$1158,IF($S$1438=1040,PR!$AS$1159,IF($S$1438=1041,PR!$AS$1160,IF($S$1438=1042,PR!$AS$1161,IF($S$1438=1043,PR!$AS$1162,IF($S$1438=1044,PR!$AS$1163,IF($S$1438=1045,PR!$AS$1164,IF($S$1438=1046,PR!$AS$1165,IF($S$1438=1047,PR!$AS$1166,IF($S$1438=1048,PR!$AS$1167,IF($S$1438=1049,PR!$AS$1168,IF($S$1438=1050,PR!$AS$1169,IF($S$1438=1051,PR!$AS$1170,IF($S$1438=1052,PR!$AS$1171,IF($S$1438=1053,PR!$AS$1172,IF($S$1438=1054,PR!$AS$1173,IF($S$1438=1055,PR!$AS$1177,IF($S$1438=1056,PR!$AS$1178,IF($S$1438=1057,PR!$AS$1179,IF($S$1438=1058,PR!$AS$1180,IF($S$1438=1059,PR!$AS$1181,IF($S$1438=1060,PR!$AS$1182,IF($S$1438=1061,PR!$AS$1183,IF($S$1438=1062,PR!$AS$1184,IF($S$1438=1063,PR!$AS$1185,IF($S$1438=1064,PR!$AS$1186,IF($S$1438=1065,PR!$AS$1187,IF($S$1438=1066,PR!$AS$1188,IF($S$1438=1067,PR!$AS$1189,IF($S$1438=1068,PR!$AS$1190,IF($S$1438=1069,PR!$AS$1191,IF($S$1438=1070,PR!$AS$1192,IF($S$1438=1071,PR!$AS$1193,IF($S$1438=1072,PR!$AS$1194,IF($S$1438=1073,PR!$AS$1195,IF($S$1438=1074,PR!$AS$1196,IF($S$1438=1075,PR!$AS$1197,IF($S$1438=1076,PR!$AS$1198,IF($S$1438=1077,PR!$AS$1199,IF($S$1438=1078,PR!$AS$1200,IF($S$1438=1079,PR!$AS$1201,IF($S$1438=1080,PR!$AS$1202,"-"))))))))))))))))))))))))))))))))))))))))))))))))))))))))))))</f>
        <v>0</v>
      </c>
      <c r="J1448" s="602">
        <f>IF($S$1438=1021,PR!$AT$1134,IF($S$1438=1022,PR!$AT$1135,IF($S$1438=1023,PR!$AT$1136,IF($S$1438=1024,PR!$AT$1137,IF($S$1438=1025,PR!$AT$1138,IF($S$1438=1026,PR!$AT$1139,IF($S$1438=1027,PR!$AT$1140,IF($S$1438=1028,PR!$AT$1141,IF($S$1438=1029,PR!$AT$1142,IF($S$1438=1030,PR!$AT$1143,IF($S$1438=1031,PR!$AT$1144,IF($S$1438=1032,PR!$AT$1145,IF($S$1438=1033,PR!$AT$1146,IF($S$1438=1034,PR!$AT$1147,IF($S$1438=1035,PR!$AT$1148,IF($S$1438=1036,PR!$AT$1149,IF($S$1438=1037,PR!$AT$1150,IF($S$1438=1038,PR!$AT$1151,IF($S$1438=1039,PR!$AT$1158,IF($S$1438=1040,PR!$AT$1159,IF($S$1438=1041,PR!$AT$1160,IF($S$1438=1042,PR!$AT$1161,IF($S$1438=1043,PR!$AT$1162,IF($S$1438=1044,PR!$AT$1163,IF($S$1438=1045,PR!$AT$1164,IF($S$1438=1046,PR!$AT$1165,IF($S$1438=1047,PR!$AT$1166,IF($S$1438=1048,PR!$AT$1167,IF($S$1438=1049,PR!$AT$1168,IF($S$1438=1050,PR!$AT$1169,IF($S$1438=1051,PR!$AT$1170,IF($S$1438=1052,PR!$AT$1171,IF($S$1438=1053,PR!$AT$1172,IF($S$1438=1054,PR!$AT$1173,IF($S$1438=1055,PR!$AT$1177,IF($S$1438=1056,PR!$AT$1178,IF($S$1438=1057,PR!$AT$1179,IF($S$1438=1058,PR!$AT$1180,IF($S$1438=1059,PR!$AT$1181,IF($S$1438=1060,PR!$AT$1182,IF($S$1438=1061,PR!$AT$1183,IF($S$1438=1062,PR!$AT$1184,IF($S$1438=1063,PR!$AT$1185,IF($S$1438=1064,PR!$AT$1186,IF($S$1438=1065,PR!$AT$1187,IF($S$1438=1066,PR!$AT$1188,IF($S$1438=1067,PR!$AT$1189,IF($S$1438=1068,PR!$AT$1190,IF($S$1438=1069,PR!$AT$1191,IF($S$1438=1070,PR!$AT$1192,IF($S$1438=1071,PR!$AT$1193,IF($S$1438=1072,PR!$AT$1194,IF($S$1438=1073,PR!$AT$1195,IF($S$1438=1074,PR!$AT$1196,IF($S$1438=1075,PR!$AT$1197,IF($S$1438=1076,PR!$AT$1198,IF($S$1438=1077,PR!$AT$1199,IF($S$1438=1078,PR!$AT$1200,IF($S$1438=1079,PR!$AT$1201,IF($S$1438=1080,PR!$AT$1202,"-"))))))))))))))))))))))))))))))))))))))))))))))))))))))))))))</f>
        <v>0</v>
      </c>
      <c r="K1448" s="602">
        <f>IF($S$1438=1021,PR!$AU$1134,IF($S$1438=1022,PR!$AU$1135,IF($S$1438=1023,PR!$AU$1136,IF($S$1438=1024,PR!$AU$1137,IF($S$1438=1025,PR!$AU$1138,IF($S$1438=1026,PR!$AU$1139,IF($S$1438=1027,PR!$AU$1140,IF($S$1438=1028,PR!$AU$1141,IF($S$1438=1029,PR!$AU$1142,IF($S$1438=1030,PR!$AU$1143,IF($S$1438=1031,PR!$AU$1144,IF($S$1438=1032,PR!$AU$1145,IF($S$1438=1033,PR!$AU$1146,IF($S$1438=1034,PR!$AU$1147,IF($S$1438=1035,PR!$AU$1148,IF($S$1438=1036,PR!$AU$1149,IF($S$1438=1037,PR!$AU$1150,IF($S$1438=1038,PR!$AU$1151,IF($S$1438=1039,PR!$AU$1158,IF($S$1438=1040,PR!$AU$1159,IF($S$1438=1041,PR!$AU$1160,IF($S$1438=1042,PR!$AU$1161,IF($S$1438=1043,PR!$AU$1162,IF($S$1438=1044,PR!$AU$1163,IF($S$1438=1045,PR!$AU$1164,IF($S$1438=1046,PR!$AU$1165,IF($S$1438=1047,PR!$AU$1166,IF($S$1438=1048,PR!$AU$1167,IF($S$1438=1049,PR!$AU$1168,IF($S$1438=1050,PR!$AU$1169,IF($S$1438=1051,PR!$AU$1170,IF($S$1438=1052,PR!$AU$1171,IF($S$1438=1053,PR!$AU$1172,IF($S$1438=1054,PR!$AU$1173,IF($S$1438=1055,PR!$AU$1177,IF($S$1438=1056,PR!$AU$1178,IF($S$1438=1057,PR!$AU$1179,IF($S$1438=1058,PR!$AU$1180,IF($S$1438=1059,PR!$AU$1181,IF($S$1438=1060,PR!$AU$1182,IF($S$1438=1061,PR!$AU$1183,IF($S$1438=1062,PR!$AU$1184,IF($S$1438=1063,PR!$AU$1185,IF($S$1438=1064,PR!$AU$1186,IF($S$1438=1065,PR!$AU$1187,IF($S$1438=1066,PR!$AU$1188,IF($S$1438=1067,PR!$AU$1189,IF($S$1438=1068,PR!$AU$1190,IF($S$1438=1069,PR!$AU$1191,IF($S$1438=1070,PR!$AU$1192,IF($S$1438=1071,PR!$AU$1193,IF($S$1438=1072,PR!$AU$1194,IF($S$1438=1073,PR!$AU$1195,IF($S$1438=1074,PR!$AU$1196,IF($S$1438=1075,PR!$AU$1197,IF($S$1438=1076,PR!$AU$1198,IF($S$1438=1077,PR!$AU$1199,IF($S$1438=1078,PR!$AU$1200,IF($S$1438=1079,PR!$AU$1201,IF($S$1438=1080,PR!$AU$1202,"-"))))))))))))))))))))))))))))))))))))))))))))))))))))))))))))</f>
        <v>0</v>
      </c>
      <c r="L1448" s="602">
        <f>IF($S$1438=1021,PR!$AV$1134,IF($S$1438=1022,PR!$AV$1135,IF($S$1438=1023,PR!$AV$1136,IF($S$1438=1024,PR!$AV$1137,IF($S$1438=1025,PR!$AV$1138,IF($S$1438=1026,PR!$AV$1139,IF($S$1438=1027,PR!$AV$1140,IF($S$1438=1028,PR!$AV$1141,IF($S$1438=1029,PR!$AV$1142,IF($S$1438=1030,PR!$AV$1143,IF($S$1438=1031,PR!$AV$1144,IF($S$1438=1032,PR!$AV$1145,IF($S$1438=1033,PR!$AV$1146,IF($S$1438=1034,PR!$AV$1147,IF($S$1438=1035,PR!$AV$1148,IF($S$1438=1036,PR!$AV$1149,IF($S$1438=1037,PR!$AV$1150,IF($S$1438=1038,PR!$AV$1151,IF($S$1438=1039,PR!$AV$1158,IF($S$1438=1040,PR!$AV$1159,IF($S$1438=1041,PR!$AV$1160,IF($S$1438=1042,PR!$AV$1161,IF($S$1438=1043,PR!$AV$1162,IF($S$1438=1044,PR!$AV$1163,IF($S$1438=1045,PR!$AV$1164,IF($S$1438=1046,PR!$AV$1165,IF($S$1438=1047,PR!$AV$1166,IF($S$1438=1048,PR!$AV$1167,IF($S$1438=1049,PR!$AV$1168,IF($S$1438=1050,PR!$AV$1169,IF($S$1438=1051,PR!$AV$1170,IF($S$1438=1052,PR!$AV$1171,IF($S$1438=1053,PR!$AV$1172,IF($S$1438=1054,PR!$AV$1173,IF($S$1438=1055,PR!$AV$1177,IF($S$1438=1056,PR!$AV$1178,IF($S$1438=1057,PR!$AV$1179,IF($S$1438=1058,PR!$AV$1180,IF($S$1438=1059,PR!$AV$1181,IF($S$1438=1060,PR!$AV$1182,IF($S$1438=1061,PR!$AV$1183,IF($S$1438=1062,PR!$AV$1184,IF($S$1438=1063,PR!$AV$1185,IF($S$1438=1064,PR!$AV$1186,IF($S$1438=1065,PR!$AV$1187,IF($S$1438=1066,PR!$AV$1188,IF($S$1438=1067,PR!$AV$1189,IF($S$1438=1068,PR!$AV$1190,IF($S$1438=1069,PR!$AV$1191,IF($S$1438=1070,PR!$AV$1192,IF($S$1438=1071,PR!$AV$1193,IF($S$1438=1072,PR!$AV$1194,IF($S$1438=1073,PR!$AV$1195,IF($S$1438=1074,PR!$AV$1196,IF($S$1438=1075,PR!$AV$1197,IF($S$1438=1076,PR!$AV$1198,IF($S$1438=1077,PR!$AV$1199,IF($S$1438=1078,PR!$AV$1200,IF($S$1438=1079,PR!$AV$1201,IF($S$1438=1080,PR!$AV$1202,"-"))))))))))))))))))))))))))))))))))))))))))))))))))))))))))))</f>
        <v>0</v>
      </c>
      <c r="M1448" s="602">
        <f>IF($S$1438=1021,PR!$AW$1134,IF($S$1438=1022,PR!$AW$1135,IF($S$1438=1023,PR!$AW$1136,IF($S$1438=1024,PR!$AW$1137,IF($S$1438=1025,PR!$AW$1138,IF($S$1438=1026,PR!$AW$1139,IF($S$1438=1027,PR!$AW$1140,IF($S$1438=1028,PR!$AW$1141,IF($S$1438=1029,PR!$AW$1142,IF($S$1438=1030,PR!$AW$1143,IF($S$1438=1031,PR!$AW$1144,IF($S$1438=1032,PR!$AW$1145,IF($S$1438=1033,PR!$AW$1146,IF($S$1438=1034,PR!$AW$1147,IF($S$1438=1035,PR!$AW$1148,IF($S$1438=1036,PR!$AW$1149,IF($S$1438=1037,PR!$AW$1150,IF($S$1438=1038,PR!$AW$1151,IF($S$1438=1039,PR!$AW$1158,IF($S$1438=1040,PR!$AW$1159,IF($S$1438=1041,PR!$AW$1160,IF($S$1438=1042,PR!$AW$1161,IF($S$1438=1043,PR!$AW$1162,IF($S$1438=1044,PR!$AW$1163,IF($S$1438=1045,PR!$AW$1164,IF($S$1438=1046,PR!$AW$1165,IF($S$1438=1047,PR!$AW$1166,IF($S$1438=1048,PR!$AW$1167,IF($S$1438=1049,PR!$AW$1168,IF($S$1438=1050,PR!$AW$1169,IF($S$1438=1051,PR!$AW$1170,IF($S$1438=1052,PR!$AW$1171,IF($S$1438=1053,PR!$AW$1172,IF($S$1438=1054,PR!$AW$1173,IF($S$1438=1055,PR!$AW$1177,IF($S$1438=1056,PR!$AW$1178,IF($S$1438=1057,PR!$AW$1179,IF($S$1438=1058,PR!$AW$1180,IF($S$1438=1059,PR!$AW$1181,IF($S$1438=1060,PR!$AW$1182,IF($S$1438=1061,PR!$AW$1183,IF($S$1438=1062,PR!$AW$1184,IF($S$1438=1063,PR!$AW$1185,IF($S$1438=1064,PR!$AW$1186,IF($S$1438=1065,PR!$AW$1187,IF($S$1438=1066,PR!$AW$1188,IF($S$1438=1067,PR!$AW$1189,IF($S$1438=1068,PR!$AW$1190,IF($S$1438=1069,PR!$AW$1191,IF($S$1438=1070,PR!$AW$1192,IF($S$1438=1071,PR!$AW$1193,IF($S$1438=1072,PR!$AW$1194,IF($S$1438=1073,PR!$AW$1195,IF($S$1438=1074,PR!$AW$1196,IF($S$1438=1075,PR!$AW$1197,IF($S$1438=1076,PR!$AW$1198,IF($S$1438=1077,PR!$AW$1199,IF($S$1438=1078,PR!$AW$1200,IF($S$1438=1079,PR!$AW$1201,IF($S$1438=1080,PR!$AW$1202,"-"))))))))))))))))))))))))))))))))))))))))))))))))))))))))))))</f>
        <v>0</v>
      </c>
      <c r="N1448" s="602">
        <f>IF($S$1438=1021,PR!$AX$1134,IF($S$1438=1022,PR!$AX$1135,IF($S$1438=1023,PR!$AX$1136,IF($S$1438=1024,PR!$AX$1137,IF($S$1438=1025,PR!$AX$1138,IF($S$1438=1026,PR!$AX$1139,IF($S$1438=1027,PR!$AX$1140,IF($S$1438=1028,PR!$AX$1141,IF($S$1438=1029,PR!$AX$1142,IF($S$1438=1030,PR!$AX$1143,IF($S$1438=1031,PR!$AX$1144,IF($S$1438=1032,PR!$AX$1145,IF($S$1438=1033,PR!$AX$1146,IF($S$1438=1034,PR!$AX$1147,IF($S$1438=1035,PR!$AX$1148,IF($S$1438=1036,PR!$AX$1149,IF($S$1438=1037,PR!$AX$1150,IF($S$1438=1038,PR!$AX$1151,IF($S$1438=1039,PR!$AX$1158,IF($S$1438=1040,PR!$AX$1159,IF($S$1438=1041,PR!$AX$1160,IF($S$1438=1042,PR!$AX$1161,IF($S$1438=1043,PR!$AX$1162,IF($S$1438=1044,PR!$AX$1163,IF($S$1438=1045,PR!$AX$1164,IF($S$1438=1046,PR!$AX$1165,IF($S$1438=1047,PR!$AX$1166,IF($S$1438=1048,PR!$AX$1167,IF($S$1438=1049,PR!$AX$1168,IF($S$1438=1050,PR!$AX$1169,IF($S$1438=1051,PR!$AX$1170,IF($S$1438=1052,PR!$AX$1171,IF($S$1438=1053,PR!$AX$1172,IF($S$1438=1054,PR!$AX$1173,IF($S$1438=1055,PR!$AX$1177,IF($S$1438=1056,PR!$AX$1178,IF($S$1438=1057,PR!$AX$1179,IF($S$1438=1058,PR!$AX$1180,IF($S$1438=1059,PR!$AX$1181,IF($S$1438=1060,PR!$AX$1182,IF($S$1438=1061,PR!$AX$1183,IF($S$1438=1062,PR!$AX$1184,IF($S$1438=1063,PR!$AX$1185,IF($S$1438=1064,PR!$AX$1186,IF($S$1438=1065,PR!$AX$1187,IF($S$1438=1066,PR!$AX$1188,IF($S$1438=1067,PR!$AX$1189,IF($S$1438=1068,PR!$AX$1190,IF($S$1438=1069,PR!$AX$1191,IF($S$1438=1070,PR!$AX$1192,IF($S$1438=1071,PR!$AX$1193,IF($S$1438=1072,PR!$AX$1194,IF($S$1438=1073,PR!$AX$1195,IF($S$1438=1074,PR!$AX$1196,IF($S$1438=1075,PR!$AX$1197,IF($S$1438=1076,PR!$AX$1198,IF($S$1438=1077,PR!$AX$1199,IF($S$1438=1078,PR!$AX$1200,IF($S$1438=1079,PR!$AX$1201,IF($S$1438=1080,PR!$AX$1202,"-"))))))))))))))))))))))))))))))))))))))))))))))))))))))))))))</f>
        <v>0</v>
      </c>
      <c r="O1448" s="602">
        <f>IF($S$1438=1021,PR!$AY$1134,IF($S$1438=1022,PR!$AY$1135,IF($S$1438=1023,PR!$AY$1136,IF($S$1438=1024,PR!$AY$1137,IF($S$1438=1025,PR!$AY$1138,IF($S$1438=1026,PR!$AY$1139,IF($S$1438=1027,PR!$AY$1140,IF($S$1438=1028,PR!$AY$1141,IF($S$1438=1029,PR!$AY$1142,IF($S$1438=1030,PR!$AY$1143,IF($S$1438=1031,PR!$AY$1144,IF($S$1438=1032,PR!$AY$1145,IF($S$1438=1033,PR!$AY$1146,IF($S$1438=1034,PR!$AY$1147,IF($S$1438=1035,PR!$AY$1148,IF($S$1438=1036,PR!$AY$1149,IF($S$1438=1037,PR!$AY$1150,IF($S$1438=1038,PR!$AY$1151,IF($S$1438=1039,PR!$AY$1158,IF($S$1438=1040,PR!$AY$1159,IF($S$1438=1041,PR!$AY$1160,IF($S$1438=1042,PR!$AY$1161,IF($S$1438=1043,PR!$AY$1162,IF($S$1438=1044,PR!$AY$1163,IF($S$1438=1045,PR!$AY$1164,IF($S$1438=1046,PR!$AY$1165,IF($S$1438=1047,PR!$AY$1166,IF($S$1438=1048,PR!$AY$1167,IF($S$1438=1049,PR!$AY$1168,IF($S$1438=1050,PR!$AY$1169,IF($S$1438=1051,PR!$AY$1170,IF($S$1438=1052,PR!$AY$1171,IF($S$1438=1053,PR!$AY$1172,IF($S$1438=1054,PR!$AY$1173,IF($S$1438=1055,PR!$AY$1177,IF($S$1438=1056,PR!$AY$1178,IF($S$1438=1057,PR!$AY$1179,IF($S$1438=1058,PR!$AY$1180,IF($S$1438=1059,PR!$AY$1181,IF($S$1438=1060,PR!$AY$1182,IF($S$1438=1061,PR!$AY$1183,IF($S$1438=1062,PR!$AY$1184,IF($S$1438=1063,PR!$AY$1185,IF($S$1438=1064,PR!$AY$1186,IF($S$1438=1065,PR!$AY$1187,IF($S$1438=1066,PR!$AY$1188,IF($S$1438=1067,PR!$AY$1189,IF($S$1438=1068,PR!$AY$1190,IF($S$1438=1069,PR!$AY$1191,IF($S$1438=1070,PR!$AY$1192,IF($S$1438=1071,PR!$AY$1193,IF($S$1438=1072,PR!$AY$1194,IF($S$1438=1073,PR!$AY$1195,IF($S$1438=1074,PR!$AY$1196,IF($S$1438=1075,PR!$AY$1197,IF($S$1438=1076,PR!$AY$1198,IF($S$1438=1077,PR!$AY$1199,IF($S$1438=1078,PR!$AY$1200,IF($S$1438=1079,PR!$AY$1201,IF($S$1438=1080,PR!$AY$1202,"-"))))))))))))))))))))))))))))))))))))))))))))))))))))))))))))</f>
        <v>0</v>
      </c>
      <c r="P1448" s="602">
        <f>IF($S$1438=1021,PR!$AZ$1134,IF($S$1438=1022,PR!$AZ$1135,IF($S$1438=1023,PR!$AZ$1136,IF($S$1438=1024,PR!$AZ$1137,IF($S$1438=1025,PR!$AZ$1138,IF($S$1438=1026,PR!$AZ$1139,IF($S$1438=1027,PR!$AZ$1140,IF($S$1438=1028,PR!$AZ$1141,IF($S$1438=1029,PR!$AZ$1142,IF($S$1438=1030,PR!$AZ$1143,IF($S$1438=1031,PR!$AZ$1144,IF($S$1438=1032,PR!$AZ$1145,IF($S$1438=1033,PR!$AZ$1146,IF($S$1438=1034,PR!$AZ$1147,IF($S$1438=1035,PR!$AZ$1148,IF($S$1438=1036,PR!$AZ$1149,IF($S$1438=1037,PR!$AZ$1150,IF($S$1438=1038,PR!$AZ$1151,IF($S$1438=1039,PR!$AZ$1158,IF($S$1438=1040,PR!$AZ$1159,IF($S$1438=1041,PR!$AZ$1160,IF($S$1438=1042,PR!$AZ$1161,IF($S$1438=1043,PR!$AZ$1162,IF($S$1438=1044,PR!$AZ$1163,IF($S$1438=1045,PR!$AZ$1164,IF($S$1438=1046,PR!$AZ$1165,IF($S$1438=1047,PR!$AZ$1166,IF($S$1438=1048,PR!$AZ$1167,IF($S$1438=1049,PR!$AZ$1168,IF($S$1438=1050,PR!$AZ$1169,IF($S$1438=1051,PR!$AZ$1170,IF($S$1438=1052,PR!$AZ$1171,IF($S$1438=1053,PR!$AZ$1172,IF($S$1438=1054,PR!$AZ$1173,IF($S$1438=1055,PR!$AZ$1177,IF($S$1438=1056,PR!$AZ$1178,IF($S$1438=1057,PR!$AZ$1179,IF($S$1438=1058,PR!$AZ$1180,IF($S$1438=1059,PR!$AZ$1181,IF($S$1438=1060,PR!$AZ$1182,IF($S$1438=1061,PR!$AZ$1183,IF($S$1438=1062,PR!$AZ$1184,IF($S$1438=1063,PR!$AZ$1185,IF($S$1438=1064,PR!$AZ$1186,IF($S$1438=1065,PR!$AZ$1187,IF($S$1438=1066,PR!$AZ$1188,IF($S$1438=1067,PR!$AZ$1189,IF($S$1438=1068,PR!$AZ$1190,IF($S$1438=1069,PR!$AZ$1191,IF($S$1438=1070,PR!$AZ$1192,IF($S$1438=1071,PR!$AZ$1193,IF($S$1438=1072,PR!$AZ$1194,IF($S$1438=1073,PR!$AZ$1195,IF($S$1438=1074,PR!$AZ$1196,IF($S$1438=1075,PR!$AZ$1197,IF($S$1438=1076,PR!$AZ$1198,IF($S$1438=1077,PR!$AZ$1199,IF($S$1438=1078,PR!$AZ$1200,IF($S$1438=1079,PR!$AZ$1201,IF($S$1438=1080,PR!$AZ$1202,"-"))))))))))))))))))))))))))))))))))))))))))))))))))))))))))))</f>
        <v>0</v>
      </c>
      <c r="Q1448" s="602">
        <f>IF($S$1438=1021,PR!$BA$1134,IF($S$1438=1022,PR!$BA$1135,IF($S$1438=1023,PR!$BA$1136,IF($S$1438=1024,PR!$BA$1137,IF($S$1438=1025,PR!$BA$1138,IF($S$1438=1026,PR!$BA$1139,IF($S$1438=1027,PR!$BA$1140,IF($S$1438=1028,PR!$BA$1141,IF($S$1438=1029,PR!$BA$1142,IF($S$1438=1030,PR!$BA$1143,IF($S$1438=1031,PR!$BA$1144,IF($S$1438=1032,PR!$BA$1145,IF($S$1438=1033,PR!$BA$1146,IF($S$1438=1034,PR!$BA$1147,IF($S$1438=1035,PR!$BA$1148,IF($S$1438=1036,PR!$BA$1149,IF($S$1438=1037,PR!$BA$1150,IF($S$1438=1038,PR!$BA$1151,IF($S$1438=1039,PR!$BA$1158,IF($S$1438=1040,PR!$BA$1159,IF($S$1438=1041,PR!$BA$1160,IF($S$1438=1042,PR!$BA$1161,IF($S$1438=1043,PR!$BA$1162,IF($S$1438=1044,PR!$BA$1163,IF($S$1438=1045,PR!$BA$1164,IF($S$1438=1046,PR!$BA$1165,IF($S$1438=1047,PR!$BA$1166,IF($S$1438=1048,PR!$BA$1167,IF($S$1438=1049,PR!$BA$1168,IF($S$1438=1050,PR!$BA$1169,IF($S$1438=1051,PR!$BA$1170,IF($S$1438=1052,PR!$BA$1171,IF($S$1438=1053,PR!$BA$1172,IF($S$1438=1054,PR!$BA$1173,IF($S$1438=1055,PR!$BA$1177,IF($S$1438=1056,PR!$BA$1178,IF($S$1438=1057,PR!$BA$1179,IF($S$1438=1058,PR!$BA$1180,IF($S$1438=1059,PR!$BA$1181,IF($S$1438=1060,PR!$BA$1182,IF($S$1438=1061,PR!$BA$1183,IF($S$1438=1062,PR!$BA$1184,IF($S$1438=1063,PR!$BA$1185,IF($S$1438=1064,PR!$BA$1186,IF($S$1438=1065,PR!$BA$1187,IF($S$1438=1066,PR!$BA$1188,IF($S$1438=1067,PR!$BA$1189,IF($S$1438=1068,PR!$BA$1190,IF($S$1438=1069,PR!$BA$1191,IF($S$1438=1070,PR!$BA$1192,IF($S$1438=1071,PR!$BA$1193,IF($S$1438=1072,PR!$BA$1194,IF($S$1438=1073,PR!$BA$1195,IF($S$1438=1074,PR!$BA$1196,IF($S$1438=1075,PR!$BA$1197,IF($S$1438=1076,PR!$BA$1198,IF($S$1438=1077,PR!$BA$1199,IF($S$1438=1078,PR!$BA$1200,IF($S$1438=1079,PR!$BA$1201,IF($S$1438=1080,PR!$BA$1202,"-"))))))))))))))))))))))))))))))))))))))))))))))))))))))))))))</f>
        <v>0</v>
      </c>
      <c r="R1448" s="602">
        <f>IF($S$1438=1021,PR!$BB$1134,IF($S$1438=1022,PR!$BB$1135,IF($S$1438=1023,PR!$BB$1136,IF($S$1438=1024,PR!$BB$1137,IF($S$1438=1025,PR!$BB$1138,IF($S$1438=1026,PR!$BB$1139,IF($S$1438=1027,PR!$BB$1140,IF($S$1438=1028,PR!$BB$1141,IF($S$1438=1029,PR!$BB$1142,IF($S$1438=1030,PR!$BB$1143,IF($S$1438=1031,PR!$BB$1144,IF($S$1438=1032,PR!$BB$1145,IF($S$1438=1033,PR!$BB$1146,IF($S$1438=1034,PR!$BB$1147,IF($S$1438=1035,PR!$BB$1148,IF($S$1438=1036,PR!$BB$1149,IF($S$1438=1037,PR!$BB$1150,IF($S$1438=1038,PR!$BB$1151,IF($S$1438=1039,PR!$BB$1158,IF($S$1438=1040,PR!$BB$1159,IF($S$1438=1041,PR!$BB$1160,IF($S$1438=1042,PR!$BB$1161,IF($S$1438=1043,PR!$BB$1162,IF($S$1438=1044,PR!$BB$1163,IF($S$1438=1045,PR!$BB$1164,IF($S$1438=1046,PR!$BB$1165,IF($S$1438=1047,PR!$BB$1166,IF($S$1438=1048,PR!$BB$1167,IF($S$1438=1049,PR!$BB$1168,IF($S$1438=1050,PR!$BB$1169,IF($S$1438=1051,PR!$BB$1170,IF($S$1438=1052,PR!$BB$1171,IF($S$1438=1053,PR!$BB$1172,IF($S$1438=1054,PR!$BB$1173,IF($S$1438=1055,PR!$BB$1177,IF($S$1438=1056,PR!$BB$1178,IF($S$1438=1057,PR!$BB$1179,IF($S$1438=1058,PR!$BB$1180,IF($S$1438=1059,PR!$BB$1181,IF($S$1438=1060,PR!$BB$1182,IF($S$1438=1061,PR!$BB$1183,IF($S$1438=1062,PR!$BB$1184,IF($S$1438=1063,PR!$BB$1185,IF($S$1438=1064,PR!$BB$1186,IF($S$1438=1065,PR!$BB$1187,IF($S$1438=1066,PR!$BB$1188,IF($S$1438=1067,PR!$BB$1189,IF($S$1438=1068,PR!$BB$1190,IF($S$1438=1069,PR!$BB$1191,IF($S$1438=1070,PR!$BB$1192,IF($S$1438=1071,PR!$BB$1193,IF($S$1438=1072,PR!$BB$1194,IF($S$1438=1073,PR!$BB$1195,IF($S$1438=1074,PR!$BB$1196,IF($S$1438=1075,PR!$BB$1197,IF($S$1438=1076,PR!$BB$1198,IF($S$1438=1077,PR!$BB$1199,IF($S$1438=1078,PR!$BB$1200,IF($S$1438=1079,PR!$BB$1201,IF($S$1438=1080,PR!$BB$1202,"-"))))))))))))))))))))))))))))))))))))))))))))))))))))))))))))</f>
        <v>0</v>
      </c>
      <c r="S1448" s="602">
        <f>IF($S$1438=1021,PR!$BC$1134,IF($S$1438=1022,PR!$BC$1135,IF($S$1438=1023,PR!$BC$1136,IF($S$1438=1024,PR!$BC$1137,IF($S$1438=1025,PR!$BC$1138,IF($S$1438=1026,PR!$BC$1139,IF($S$1438=1027,PR!$BC$1140,IF($S$1438=1028,PR!$BC$1141,IF($S$1438=1029,PR!$BC$1142,IF($S$1438=1030,PR!$BC$1143,IF($S$1438=1031,PR!$BC$1144,IF($S$1438=1032,PR!$BC$1145,IF($S$1438=1033,PR!$BC$1146,IF($S$1438=1034,PR!$BC$1147,IF($S$1438=1035,PR!$BC$1148,IF($S$1438=1036,PR!$BC$1149,IF($S$1438=1037,PR!$BC$1150,IF($S$1438=1038,PR!$BC$1151,IF($S$1438=1039,PR!$BC$1158,IF($S$1438=1040,PR!$BC$1159,IF($S$1438=1041,PR!$BC$1160,IF($S$1438=1042,PR!$BC$1161,IF($S$1438=1043,PR!$BC$1162,IF($S$1438=1044,PR!$BC$1163,IF($S$1438=1045,PR!$BC$1164,IF($S$1438=1046,PR!$BC$1165,IF($S$1438=1047,PR!$BC$1166,IF($S$1438=1048,PR!$BC$1167,IF($S$1438=1049,PR!$BC$1168,IF($S$1438=1050,PR!$BC$1169,IF($S$1438=1051,PR!$BC$1170,IF($S$1438=1052,PR!$BC$1171,IF($S$1438=1053,PR!$BC$1172,IF($S$1438=1054,PR!$BC$1173,IF($S$1438=1055,PR!$BC$1177,IF($S$1438=1056,PR!$BC$1178,IF($S$1438=1057,PR!$BC$1179,IF($S$1438=1058,PR!$BC$1180,IF($S$1438=1059,PR!$BC$1181,IF($S$1438=1060,PR!$BC$1182,IF($S$1438=1061,PR!$BC$1183,IF($S$1438=1062,PR!$BC$1184,IF($S$1438=1063,PR!$BC$1185,IF($S$1438=1064,PR!$BC$1186,IF($S$1438=1065,PR!$BC$1187,IF($S$1438=1066,PR!$BC$1188,IF($S$1438=1067,PR!$BC$1189,IF($S$1438=1068,PR!$BC$1190,IF($S$1438=1069,PR!$BC$1191,IF($S$1438=1070,PR!$BC$1192,IF($S$1438=1071,PR!$BC$1193,IF($S$1438=1072,PR!$BC$1194,IF($S$1438=1073,PR!$BC$1195,IF($S$1438=1074,PR!$BC$1196,IF($S$1438=1075,PR!$BC$1197,IF($S$1438=1076,PR!$BC$1198,IF($S$1438=1077,PR!$BC$1199,IF($S$1438=1078,PR!$BC$1200,IF($S$1438=1079,PR!$BC$1201,IF($S$1438=1080,PR!$BC$1202,"-"))))))))))))))))))))))))))))))))))))))))))))))))))))))))))))</f>
        <v>0</v>
      </c>
      <c r="T1448" s="580"/>
      <c r="U1448" s="580"/>
      <c r="V1448" s="32"/>
      <c r="W1448" s="32"/>
      <c r="X1448" s="32"/>
    </row>
    <row r="1449" spans="2:24" ht="15.75" x14ac:dyDescent="0.25">
      <c r="B1449" s="580"/>
      <c r="C1449" s="603"/>
      <c r="D1449" s="604"/>
      <c r="E1449" s="604"/>
      <c r="F1449" s="604"/>
      <c r="G1449" s="604"/>
      <c r="H1449" s="604"/>
      <c r="I1449" s="604"/>
      <c r="J1449" s="604"/>
      <c r="K1449" s="604"/>
      <c r="L1449" s="604"/>
      <c r="M1449" s="604"/>
      <c r="N1449" s="604"/>
      <c r="O1449" s="604"/>
      <c r="P1449" s="604"/>
      <c r="Q1449" s="604"/>
      <c r="R1449" s="606"/>
      <c r="S1449" s="606"/>
      <c r="T1449" s="580"/>
      <c r="U1449" s="580"/>
      <c r="V1449" s="32"/>
      <c r="W1449" s="32"/>
      <c r="X1449" s="32"/>
    </row>
    <row r="1450" spans="2:24" ht="15.75" thickBot="1" x14ac:dyDescent="0.3">
      <c r="B1450" s="580"/>
      <c r="C1450" s="600" t="str">
        <f>N!$C$55</f>
        <v>SAM</v>
      </c>
      <c r="D1450" s="600" t="str">
        <f>N!$C$56</f>
        <v>SEAGREEN</v>
      </c>
      <c r="E1450" s="600" t="str">
        <f>N!$C$57</f>
        <v>SKG</v>
      </c>
      <c r="F1450" s="600" t="str">
        <f>N!$C$58</f>
        <v>TAH</v>
      </c>
      <c r="G1450" s="600" t="str">
        <f>N!$C$59</f>
        <v>TAYLEK</v>
      </c>
      <c r="H1450" s="600" t="str">
        <f>N!$C$60</f>
        <v>TEMITA</v>
      </c>
      <c r="I1450" s="600" t="str">
        <f>N!$C$61</f>
        <v>THL</v>
      </c>
      <c r="J1450" s="600" t="str">
        <f>N!$C$62</f>
        <v>UBASTIC</v>
      </c>
      <c r="K1450" s="600" t="str">
        <f>N!$C$63</f>
        <v>UNION</v>
      </c>
      <c r="L1450" s="600" t="str">
        <f>N!$C$64</f>
        <v>UNIQUE</v>
      </c>
      <c r="M1450" s="600" t="str">
        <f>N!$C$65</f>
        <v>VIXA</v>
      </c>
      <c r="N1450" s="600" t="str">
        <f>N!$C$66</f>
        <v>WWCV</v>
      </c>
      <c r="O1450" s="600" t="str">
        <f>N!$C$67</f>
        <v>ZOLON</v>
      </c>
      <c r="P1450" s="600" t="e">
        <f>N!#REF!</f>
        <v>#REF!</v>
      </c>
      <c r="Q1450" s="600" t="e">
        <f>N!#REF!</f>
        <v>#REF!</v>
      </c>
      <c r="R1450" s="600" t="e">
        <f>N!#REF!</f>
        <v>#REF!</v>
      </c>
      <c r="S1450" s="604"/>
      <c r="T1450" s="580"/>
      <c r="U1450" s="580"/>
      <c r="V1450" s="32"/>
      <c r="W1450" s="32"/>
      <c r="X1450" s="32"/>
    </row>
    <row r="1451" spans="2:24" ht="15.75" thickBot="1" x14ac:dyDescent="0.3">
      <c r="B1451" s="580"/>
      <c r="C1451" s="602">
        <f>IF($S$1438=1021,PR!$BD$1134,IF($S$1438=1022,PR!$BD$1135,IF($S$1438=1023,PR!$BD$1136,IF($S$1438=1024,PR!$BD$1137,IF($S$1438=1025,PR!$BD$1138,IF($S$1438=1026,PR!$BD$1139,IF($S$1438=1027,PR!$BD$1140,IF($S$1438=1028,PR!$BD$1141,IF($S$1438=1029,PR!$BD$1142,IF($S$1438=1030,PR!$BD$1143,IF($S$1438=1031,PR!$BD$1144,IF($S$1438=1032,PR!$BD$1145,IF($S$1438=1033,PR!$BD$1146,IF($S$1438=1034,PR!$BD$1147,IF($S$1438=1035,PR!$BD$1148,IF($S$1438=1036,PR!$BD$1149,IF($S$1438=1037,PR!$BD$1150,IF($S$1438=1038,PR!$BD$1151,IF($S$1438=1039,PR!$BD$1158,IF($S$1438=1040,PR!$BD$1159,IF($S$1438=1041,PR!$BD$1160,IF($S$1438=1042,PR!$BD$1161,IF($S$1438=1043,PR!$BD$1162,IF($S$1438=1044,PR!$BD$1163,IF($S$1438=1045,PR!$BD$1164,IF($S$1438=1046,PR!$BD$1165,IF($S$1438=1047,PR!$BD$1166,IF($S$1438=1048,PR!$BD$1167,IF($S$1438=1049,PR!$BD$1168,IF($S$1438=1050,PR!$BD$1169,IF($S$1438=1051,PR!$BD$1170,IF($S$1438=1052,PR!$BD$1171,IF($S$1438=1053,PR!$BD$1172,IF($S$1438=1054,PR!$BD$1173,IF($S$1438=1055,PR!$BD$1177,IF($S$1438=1056,PR!$BD$1178,IF($S$1438=1057,PR!$BD$1179,IF($S$1438=1058,PR!$BD$1180,IF($S$1438=1059,PR!$BD$1181,IF($S$1438=1060,PR!$BD$1182,IF($S$1438=1061,PR!$BD$1183,IF($S$1438=1062,PR!$BD$1184,IF($S$1438=1063,PR!$BD$1185,IF($S$1438=1064,PR!$BD$1186,IF($S$1438=1065,PR!$BD$1187,IF($S$1438=1066,PR!$BD$1188,IF($S$1438=1067,PR!$BD$1189,IF($S$1438=1068,PR!$BD$1190,IF($S$1438=1069,PR!$BD$1191,IF($S$1438=1070,PR!$BD$1192,IF($S$1438=1071,PR!$BD$1193,IF($S$1438=1072,PR!$BD$1194,IF($S$1438=1073,PR!$BD$1195,IF($S$1438=1074,PR!$BD$1196,IF($S$1438=1075,PR!$BD$1197,IF($S$1438=1076,PR!$BD$1198,IF($S$1438=1077,PR!$BD$1199,IF($S$1438=1078,PR!$BD$1200,IF($S$1438=1079,PR!$BD$1201,IF($S$1438=1080,PR!$BD$1202,"-"))))))))))))))))))))))))))))))))))))))))))))))))))))))))))))</f>
        <v>0</v>
      </c>
      <c r="D1451" s="602">
        <f>IF($S$1438=1021,PR!$BE$1134,IF($S$1438=1022,PR!$BE$1135,IF($S$1438=1023,PR!$BE$1136,IF($S$1438=1024,PR!$BE$1137,IF($S$1438=1025,PR!$BE$1138,IF($S$1438=1026,PR!$BE$1139,IF($S$1438=1027,PR!$BE$1140,IF($S$1438=1028,PR!$BE$1141,IF($S$1438=1029,PR!$BE$1142,IF($S$1438=1030,PR!$BE$1143,IF($S$1438=1031,PR!$BE$1144,IF($S$1438=1032,PR!$BE$1145,IF($S$1438=1033,PR!$BE$1146,IF($S$1438=1034,PR!$BE$1147,IF($S$1438=1035,PR!$BE$1148,IF($S$1438=1036,PR!$BE$1149,IF($S$1438=1037,PR!$BE$1150,IF($S$1438=1038,PR!$BE$1151,IF($S$1438=1039,PR!$BE$1158,IF($S$1438=1040,PR!$BE$1159,IF($S$1438=1041,PR!$BE$1160,IF($S$1438=1042,PR!$BE$1161,IF($S$1438=1043,PR!$BE$1162,IF($S$1438=1044,PR!$BE$1163,IF($S$1438=1045,PR!$BE$1164,IF($S$1438=1046,PR!$BE$1165,IF($S$1438=1047,PR!$BE$1166,IF($S$1438=1048,PR!$BE$1167,IF($S$1438=1049,PR!$BE$1168,IF($S$1438=1050,PR!$BE$1169,IF($S$1438=1051,PR!$BE$1170,IF($S$1438=1052,PR!$BE$1171,IF($S$1438=1053,PR!$BE$1172,IF($S$1438=1054,PR!$BE$1173,IF($S$1438=1055,PR!$BE$1177,IF($S$1438=1056,PR!$BE$1178,IF($S$1438=1057,PR!$BE$1179,IF($S$1438=1058,PR!$BE$1180,IF($S$1438=1059,PR!$BE$1181,IF($S$1438=1060,PR!$BE$1182,IF($S$1438=1061,PR!$BE$1183,IF($S$1438=1062,PR!$BE$1184,IF($S$1438=1063,PR!$BE$1185,IF($S$1438=1064,PR!$BE$1186,IF($S$1438=1065,PR!$BE$1187,IF($S$1438=1066,PR!$BE$1188,IF($S$1438=1067,PR!$BE$1189,IF($S$1438=1068,PR!$BE$1190,IF($S$1438=1069,PR!$BE$1191,IF($S$1438=1070,PR!$BE$1192,IF($S$1438=1071,PR!$BE$1193,IF($S$1438=1072,PR!$BE$1194,IF($S$1438=1073,PR!$BE$1195,IF($S$1438=1074,PR!$BE$1196,IF($S$1438=1075,PR!$BE$1197,IF($S$1438=1076,PR!$BE$1198,IF($S$1438=1077,PR!$BE$1199,IF($S$1438=1078,PR!$BE$1200,IF($S$1438=1079,PR!$BE$1201,IF($S$1438=1080,PR!$BE$1202,"-"))))))))))))))))))))))))))))))))))))))))))))))))))))))))))))</f>
        <v>0</v>
      </c>
      <c r="E1451" s="602">
        <f>IF($S$1438=1021,PR!$BF$1134,IF($S$1438=1022,PR!$BF$1135,IF($S$1438=1023,PR!$BF$1136,IF($S$1438=1024,PR!$BF$1137,IF($S$1438=1025,PR!$BF$1138,IF($S$1438=1026,PR!$BF$1139,IF($S$1438=1027,PR!$BF$1140,IF($S$1438=1028,PR!$BF$1141,IF($S$1438=1029,PR!$BF$1142,IF($S$1438=1030,PR!$BF$1143,IF($S$1438=1031,PR!$BF$1144,IF($S$1438=1032,PR!$BF$1145,IF($S$1438=1033,PR!$BF$1146,IF($S$1438=1034,PR!$BF$1147,IF($S$1438=1035,PR!$BF$1148,IF($S$1438=1036,PR!$BF$1149,IF($S$1438=1037,PR!$BF$1150,IF($S$1438=1038,PR!$BF$1151,IF($S$1438=1039,PR!$BF$1158,IF($S$1438=1040,PR!$BF$1159,IF($S$1438=1041,PR!$BF$1160,IF($S$1438=1042,PR!$BF$1161,IF($S$1438=1043,PR!$BF$1162,IF($S$1438=1044,PR!$BF$1163,IF($S$1438=1045,PR!$BF$1164,IF($S$1438=1046,PR!$BF$1165,IF($S$1438=1047,PR!$BF$1166,IF($S$1438=1048,PR!$BF$1167,IF($S$1438=1049,PR!$BF$1168,IF($S$1438=1050,PR!$BF$1169,IF($S$1438=1051,PR!$BF$1170,IF($S$1438=1052,PR!$BF$1171,IF($S$1438=1053,PR!$BF$1172,IF($S$1438=1054,PR!$BF$1173,IF($S$1438=1055,PR!$BF$1177,IF($S$1438=1056,PR!$BF$1178,IF($S$1438=1057,PR!$BF$1179,IF($S$1438=1058,PR!$BF$1180,IF($S$1438=1059,PR!$BF$1181,IF($S$1438=1060,PR!$BF$1182,IF($S$1438=1061,PR!$BF$1183,IF($S$1438=1062,PR!$BF$1184,IF($S$1438=1063,PR!$BF$1185,IF($S$1438=1064,PR!$BF$1186,IF($S$1438=1065,PR!$BF$1187,IF($S$1438=1066,PR!$BF$1188,IF($S$1438=1067,PR!$BF$1189,IF($S$1438=1068,PR!$BF$1190,IF($S$1438=1069,PR!$BF$1191,IF($S$1438=1070,PR!$BF$1192,IF($S$1438=1071,PR!$BF$1193,IF($S$1438=1072,PR!$BF$1194,IF($S$1438=1073,PR!$BF$1195,IF($S$1438=1074,PR!$BF$1196,IF($S$1438=1075,PR!$BF$1197,IF($S$1438=1076,PR!$BF$1198,IF($S$1438=1077,PR!$BF$1199,IF($S$1438=1078,PR!$BF$1200,IF($S$1438=1079,PR!$BF$1201,IF($S$1438=1080,PR!$BF$1202,"-"))))))))))))))))))))))))))))))))))))))))))))))))))))))))))))</f>
        <v>0</v>
      </c>
      <c r="F1451" s="602">
        <f>IF($S$1438=1021,PR!$BG$1134,IF($S$1438=1022,PR!$BG$1135,IF($S$1438=1023,PR!$BG$1136,IF($S$1438=1024,PR!$BG$1137,IF($S$1438=1025,PR!$BG$1138,IF($S$1438=1026,PR!$BG$1139,IF($S$1438=1027,PR!$BG$1140,IF($S$1438=1028,PR!$BG$1141,IF($S$1438=1029,PR!$BG$1142,IF($S$1438=1030,PR!$BG$1143,IF($S$1438=1031,PR!$BG$1144,IF($S$1438=1032,PR!$BG$1145,IF($S$1438=1033,PR!$BG$1146,IF($S$1438=1034,PR!$BG$1147,IF($S$1438=1035,PR!$BG$1148,IF($S$1438=1036,PR!$BG$1149,IF($S$1438=1037,PR!$BG$1150,IF($S$1438=1038,PR!$BG$1151,IF($S$1438=1039,PR!$BG$1158,IF($S$1438=1040,PR!$BG$1159,IF($S$1438=1041,PR!$BG$1160,IF($S$1438=1042,PR!$BG$1161,IF($S$1438=1043,PR!$BG$1162,IF($S$1438=1044,PR!$BG$1163,IF($S$1438=1045,PR!$BG$1164,IF($S$1438=1046,PR!$BG$1165,IF($S$1438=1047,PR!$BG$1166,IF($S$1438=1048,PR!$BG$1167,IF($S$1438=1049,PR!$BG$1168,IF($S$1438=1050,PR!$BG$1169,IF($S$1438=1051,PR!$BG$1170,IF($S$1438=1052,PR!$BG$1171,IF($S$1438=1053,PR!$BG$1172,IF($S$1438=1054,PR!$BG$1173,IF($S$1438=1055,PR!$BG$1177,IF($S$1438=1056,PR!$BG$1178,IF($S$1438=1057,PR!$BG$1179,IF($S$1438=1058,PR!$BG$1180,IF($S$1438=1059,PR!$BG$1181,IF($S$1438=1060,PR!$BG$1182,IF($S$1438=1061,PR!$BG$1183,IF($S$1438=1062,PR!$BG$1184,IF($S$1438=1063,PR!$BG$1185,IF($S$1438=1064,PR!$BG$1186,IF($S$1438=1065,PR!$BG$1187,IF($S$1438=1066,PR!$BG$1188,IF($S$1438=1067,PR!$BG$1189,IF($S$1438=1068,PR!$BG$1190,IF($S$1438=1069,PR!$BG$1191,IF($S$1438=1070,PR!$BG$1192,IF($S$1438=1071,PR!$BG$1193,IF($S$1438=1072,PR!$BG$1194,IF($S$1438=1073,PR!$BG$1195,IF($S$1438=1074,PR!$BG$1196,IF($S$1438=1075,PR!$BG$1197,IF($S$1438=1076,PR!$BG$1198,IF($S$1438=1077,PR!$BG$1199,IF($S$1438=1078,PR!$BG$1200,IF($S$1438=1079,PR!$BG$1201,IF($S$1438=1080,PR!$BG$1202,"-"))))))))))))))))))))))))))))))))))))))))))))))))))))))))))))</f>
        <v>0</v>
      </c>
      <c r="G1451" s="602">
        <f>IF($S$1438=1021,PR!$BH$1134,IF($S$1438=1022,PR!$BH$1135,IF($S$1438=1023,PR!$BH$1136,IF($S$1438=1024,PR!$BH$1137,IF($S$1438=1025,PR!$BH$1138,IF($S$1438=1026,PR!$BH$1139,IF($S$1438=1027,PR!$BH$1140,IF($S$1438=1028,PR!$BH$1141,IF($S$1438=1029,PR!$BH$1142,IF($S$1438=1030,PR!$BH$1143,IF($S$1438=1031,PR!$BH$1144,IF($S$1438=1032,PR!$BH$1145,IF($S$1438=1033,PR!$BH$1146,IF($S$1438=1034,PR!$BH$1147,IF($S$1438=1035,PR!$BH$1148,IF($S$1438=1036,PR!$BH$1149,IF($S$1438=1037,PR!$BH$1150,IF($S$1438=1038,PR!$BH$1151,IF($S$1438=1039,PR!$BH$1158,IF($S$1438=1040,PR!$BH$1159,IF($S$1438=1041,PR!$BH$1160,IF($S$1438=1042,PR!$BH$1161,IF($S$1438=1043,PR!$BH$1162,IF($S$1438=1044,PR!$BH$1163,IF($S$1438=1045,PR!$BH$1164,IF($S$1438=1046,PR!$BH$1165,IF($S$1438=1047,PR!$BH$1166,IF($S$1438=1048,PR!$BH$1167,IF($S$1438=1049,PR!$BH$1168,IF($S$1438=1050,PR!$BH$1169,IF($S$1438=1051,PR!$BH$1170,IF($S$1438=1052,PR!$BH$1171,IF($S$1438=1053,PR!$BH$1172,IF($S$1438=1054,PR!$BH$1173,IF($S$1438=1055,PR!$BH$1177,IF($S$1438=1056,PR!$BH$1178,IF($S$1438=1057,PR!$BH$1179,IF($S$1438=1058,PR!$BH$1180,IF($S$1438=1059,PR!$BH$1181,IF($S$1438=1060,PR!$BH$1182,IF($S$1438=1061,PR!$BH$1183,IF($S$1438=1062,PR!$BH$1184,IF($S$1438=1063,PR!$BH$1185,IF($S$1438=1064,PR!$BH$1186,IF($S$1438=1065,PR!$BH$1187,IF($S$1438=1066,PR!$BH$1188,IF($S$1438=1067,PR!$BH$1189,IF($S$1438=1068,PR!$BH$1190,IF($S$1438=1069,PR!$BH$1191,IF($S$1438=1070,PR!$BH$1192,IF($S$1438=1071,PR!$BH$1193,IF($S$1438=1072,PR!$BH$1194,IF($S$1438=1073,PR!$BH$1195,IF($S$1438=1074,PR!$BH$1196,IF($S$1438=1075,PR!$BH$1197,IF($S$1438=1076,PR!$BH$1198,IF($S$1438=1077,PR!$BH$1199,IF($S$1438=1078,PR!$BH$1200,IF($S$1438=1079,PR!$BH$1201,IF($S$1438=1080,PR!$BH$1202,"-"))))))))))))))))))))))))))))))))))))))))))))))))))))))))))))</f>
        <v>0</v>
      </c>
      <c r="H1451" s="602">
        <f>IF($S$1438=1021,PR!$BI$1134,IF($S$1438=1022,PR!$BI$1135,IF($S$1438=1023,PR!$BI$1136,IF($S$1438=1024,PR!$BI$1137,IF($S$1438=1025,PR!$BI$1138,IF($S$1438=1026,PR!$BI$1139,IF($S$1438=1027,PR!$BI$1140,IF($S$1438=1028,PR!$BI$1141,IF($S$1438=1029,PR!$BI$1142,IF($S$1438=1030,PR!$BI$1143,IF($S$1438=1031,PR!$BI$1144,IF($S$1438=1032,PR!$BI$1145,IF($S$1438=1033,PR!$BI$1146,IF($S$1438=1034,PR!$BI$1147,IF($S$1438=1035,PR!$BI$1148,IF($S$1438=1036,PR!$BI$1149,IF($S$1438=1037,PR!$BI$1150,IF($S$1438=1038,PR!$BI$1151,IF($S$1438=1039,PR!$BI$1158,IF($S$1438=1040,PR!$BI$1159,IF($S$1438=1041,PR!$BI$1160,IF($S$1438=1042,PR!$BI$1161,IF($S$1438=1043,PR!$BI$1162,IF($S$1438=1044,PR!$BI$1163,IF($S$1438=1045,PR!$BI$1164,IF($S$1438=1046,PR!$BI$1165,IF($S$1438=1047,PR!$BI$1166,IF($S$1438=1048,PR!$BI$1167,IF($S$1438=1049,PR!$BI$1168,IF($S$1438=1050,PR!$BI$1169,IF($S$1438=1051,PR!$BI$1170,IF($S$1438=1052,PR!$BI$1171,IF($S$1438=1053,PR!$BI$1172,IF($S$1438=1054,PR!$BI$1173,IF($S$1438=1055,PR!$BI$1177,IF($S$1438=1056,PR!$BI$1178,IF($S$1438=1057,PR!$BI$1179,IF($S$1438=1058,PR!$BI$1180,IF($S$1438=1059,PR!$BI$1181,IF($S$1438=1060,PR!$BI$1182,IF($S$1438=1061,PR!$BI$1183,IF($S$1438=1062,PR!$BI$1184,IF($S$1438=1063,PR!$BI$1185,IF($S$1438=1064,PR!$BI$1186,IF($S$1438=1065,PR!$BI$1187,IF($S$1438=1066,PR!$BI$1188,IF($S$1438=1067,PR!$BI$1189,IF($S$1438=1068,PR!$BI$1190,IF($S$1438=1069,PR!$BI$1191,IF($S$1438=1070,PR!$BI$1192,IF($S$1438=1071,PR!$BI$1193,IF($S$1438=1072,PR!$BI$1194,IF($S$1438=1073,PR!$BI$1195,IF($S$1438=1074,PR!$BI$1196,IF($S$1438=1075,PR!$BI$1197,IF($S$1438=1076,PR!$BI$1198,IF($S$1438=1077,PR!$BI$1199,IF($S$1438=1078,PR!$BI$1200,IF($S$1438=1079,PR!$BI$1201,IF($S$1438=1080,PR!$BI$1202,"-"))))))))))))))))))))))))))))))))))))))))))))))))))))))))))))</f>
        <v>5500</v>
      </c>
      <c r="I1451" s="602">
        <f>IF($S$1438=1021,PR!$BJ$1134,IF($S$1438=1022,PR!$BJ$1135,IF($S$1438=1023,PR!$BJ$1136,IF($S$1438=1024,PR!$BJ$1137,IF($S$1438=1025,PR!$BJ$1138,IF($S$1438=1026,PR!$BJ$1139,IF($S$1438=1027,PR!$BJ$1140,IF($S$1438=1028,PR!$BJ$1141,IF($S$1438=1029,PR!$BJ$1142,IF($S$1438=1030,PR!$BJ$1143,IF($S$1438=1031,PR!$BJ$1144,IF($S$1438=1032,PR!$BJ$1145,IF($S$1438=1033,PR!$BJ$1146,IF($S$1438=1034,PR!$BJ$1147,IF($S$1438=1035,PR!$BJ$1148,IF($S$1438=1036,PR!$BJ$1149,IF($S$1438=1037,PR!$BJ$1150,IF($S$1438=1038,PR!$BJ$1151,IF($S$1438=1039,PR!$BJ$1158,IF($S$1438=1040,PR!$BJ$1159,IF($S$1438=1041,PR!$BJ$1160,IF($S$1438=1042,PR!$BJ$1161,IF($S$1438=1043,PR!$BJ$1162,IF($S$1438=1044,PR!$BJ$1163,IF($S$1438=1045,PR!$BJ$1164,IF($S$1438=1046,PR!$BJ$1165,IF($S$1438=1047,PR!$BJ$1166,IF($S$1438=1048,PR!$BJ$1167,IF($S$1438=1049,PR!$BJ$1168,IF($S$1438=1050,PR!$BJ$1169,IF($S$1438=1051,PR!$BJ$1170,IF($S$1438=1052,PR!$BJ$1171,IF($S$1438=1053,PR!$BJ$1172,IF($S$1438=1054,PR!$BJ$1173,IF($S$1438=1055,PR!$BJ$1177,IF($S$1438=1056,PR!$BJ$1178,IF($S$1438=1057,PR!$BJ$1179,IF($S$1438=1058,PR!$BJ$1180,IF($S$1438=1059,PR!$BJ$1181,IF($S$1438=1060,PR!$BJ$1182,IF($S$1438=1061,PR!$BJ$1183,IF($S$1438=1062,PR!$BJ$1184,IF($S$1438=1063,PR!$BJ$1185,IF($S$1438=1064,PR!$BJ$1186,IF($S$1438=1065,PR!$BJ$1187,IF($S$1438=1066,PR!$BJ$1188,IF($S$1438=1067,PR!$BJ$1189,IF($S$1438=1068,PR!$BJ$1190,IF($S$1438=1069,PR!$BJ$1191,IF($S$1438=1070,PR!$BJ$1192,IF($S$1438=1071,PR!$BJ$1193,IF($S$1438=1072,PR!$BJ$1194,IF($S$1438=1073,PR!$BJ$1195,IF($S$1438=1074,PR!$BJ$1196,IF($S$1438=1075,PR!$BJ$1197,IF($S$1438=1076,PR!$BJ$1198,IF($S$1438=1077,PR!$BJ$1199,IF($S$1438=1078,PR!$BJ$1200,IF($S$1438=1079,PR!$BJ$1201,IF($S$1438=1080,PR!$BJ$1202,"-"))))))))))))))))))))))))))))))))))))))))))))))))))))))))))))</f>
        <v>0</v>
      </c>
      <c r="J1451" s="602">
        <f>IF($S$1438=1021,PR!$BK$1134,IF($S$1438=1022,PR!$BK$1135,IF($S$1438=1023,PR!$BK$1136,IF($S$1438=1024,PR!$BK$1137,IF($S$1438=1025,PR!$BK$1138,IF($S$1438=1026,PR!$BK$1139,IF($S$1438=1027,PR!$BK$1140,IF($S$1438=1028,PR!$BK$1141,IF($S$1438=1029,PR!$BK$1142,IF($S$1438=1030,PR!$BK$1143,IF($S$1438=1031,PR!$BK$1144,IF($S$1438=1032,PR!$BK$1145,IF($S$1438=1033,PR!$BK$1146,IF($S$1438=1034,PR!$BK$1147,IF($S$1438=1035,PR!$BK$1148,IF($S$1438=1036,PR!$BK$1149,IF($S$1438=1037,PR!$BK$1150,IF($S$1438=1038,PR!$BK$1151,IF($S$1438=1039,PR!$BK$1158,IF($S$1438=1040,PR!$BK$1159,IF($S$1438=1041,PR!$BK$1160,IF($S$1438=1042,PR!$BK$1161,IF($S$1438=1043,PR!$BK$1162,IF($S$1438=1044,PR!$BK$1163,IF($S$1438=1045,PR!$BK$1164,IF($S$1438=1046,PR!$BK$1165,IF($S$1438=1047,PR!$BK$1166,IF($S$1438=1048,PR!$BK$1167,IF($S$1438=1049,PR!$BK$1168,IF($S$1438=1050,PR!$BK$1169,IF($S$1438=1051,PR!$BK$1170,IF($S$1438=1052,PR!$BK$1171,IF($S$1438=1053,PR!$BK$1172,IF($S$1438=1054,PR!$BK$1173,IF($S$1438=1055,PR!$BK$1177,IF($S$1438=1056,PR!$BK$1178,IF($S$1438=1057,PR!$BK$1179,IF($S$1438=1058,PR!$BK$1180,IF($S$1438=1059,PR!$BK$1181,IF($S$1438=1060,PR!$BK$1182,IF($S$1438=1061,PR!$BK$1183,IF($S$1438=1062,PR!$BK$1184,IF($S$1438=1063,PR!$BK$1185,IF($S$1438=1064,PR!$BK$1186,IF($S$1438=1065,PR!$BK$1187,IF($S$1438=1066,PR!$BK$1188,IF($S$1438=1067,PR!$BK$1189,IF($S$1438=1068,PR!$BK$1190,IF($S$1438=1069,PR!$BK$1191,IF($S$1438=1070,PR!$BK$1192,IF($S$1438=1071,PR!$BK$1193,IF($S$1438=1072,PR!$BK$1194,IF($S$1438=1073,PR!$BK$1195,IF($S$1438=1074,PR!$BK$1196,IF($S$1438=1075,PR!$BK$1197,IF($S$1438=1076,PR!$BK$1198,IF($S$1438=1077,PR!$BK$1199,IF($S$1438=1078,PR!$BK$1200,IF($S$1438=1079,PR!$BK$1201,IF($S$1438=1080,PR!$BK$1202,"-"))))))))))))))))))))))))))))))))))))))))))))))))))))))))))))</f>
        <v>9500</v>
      </c>
      <c r="K1451" s="602">
        <f>IF($S$1438=1021,PR!$BL$1134,IF($S$1438=1022,PR!$BL$1135,IF($S$1438=1023,PR!$BL$1136,IF($S$1438=1024,PR!$BL$1137,IF($S$1438=1025,PR!$BL$1138,IF($S$1438=1026,PR!$BL$1139,IF($S$1438=1027,PR!$BL$1140,IF($S$1438=1028,PR!$BL$1141,IF($S$1438=1029,PR!$BL$1142,IF($S$1438=1030,PR!$BL$1143,IF($S$1438=1031,PR!$BL$1144,IF($S$1438=1032,PR!$BL$1145,IF($S$1438=1033,PR!$BL$1146,IF($S$1438=1034,PR!$BL$1147,IF($S$1438=1035,PR!$BL$1148,IF($S$1438=1036,PR!$BL$1149,IF($S$1438=1037,PR!$BL$1150,IF($S$1438=1038,PR!$BL$1151,IF($S$1438=1039,PR!$BL$1158,IF($S$1438=1040,PR!$BL$1159,IF($S$1438=1041,PR!$BL$1160,IF($S$1438=1042,PR!$BL$1161,IF($S$1438=1043,PR!$BL$1162,IF($S$1438=1044,PR!$BL$1163,IF($S$1438=1045,PR!$BL$1164,IF($S$1438=1046,PR!$BL$1165,IF($S$1438=1047,PR!$BL$1166,IF($S$1438=1048,PR!$BL$1167,IF($S$1438=1049,PR!$BL$1168,IF($S$1438=1050,PR!$BL$1169,IF($S$1438=1051,PR!$BL$1170,IF($S$1438=1052,PR!$BL$1171,IF($S$1438=1053,PR!$BL$1172,IF($S$1438=1054,PR!$BL$1173,IF($S$1438=1055,PR!$BL$1177,IF($S$1438=1056,PR!$BL$1178,IF($S$1438=1057,PR!$BL$1179,IF($S$1438=1058,PR!$BL$1180,IF($S$1438=1059,PR!$BL$1181,IF($S$1438=1060,PR!$BL$1182,IF($S$1438=1061,PR!$BL$1183,IF($S$1438=1062,PR!$BL$1184,IF($S$1438=1063,PR!$BL$1185,IF($S$1438=1064,PR!$BL$1186,IF($S$1438=1065,PR!$BL$1187,IF($S$1438=1066,PR!$BL$1188,IF($S$1438=1067,PR!$BL$1189,IF($S$1438=1068,PR!$BL$1190,IF($S$1438=1069,PR!$BL$1191,IF($S$1438=1070,PR!$BL$1192,IF($S$1438=1071,PR!$BL$1193,IF($S$1438=1072,PR!$BL$1194,IF($S$1438=1073,PR!$BL$1195,IF($S$1438=1074,PR!$BL$1196,IF($S$1438=1075,PR!$BL$1197,IF($S$1438=1076,PR!$BL$1198,IF($S$1438=1077,PR!$BL$1199,IF($S$1438=1078,PR!$BL$1200,IF($S$1438=1079,PR!$BL$1201,IF($S$1438=1080,PR!$BL$1202,"-"))))))))))))))))))))))))))))))))))))))))))))))))))))))))))))</f>
        <v>0</v>
      </c>
      <c r="L1451" s="602">
        <f>IF($S$1438=1021,PR!$BM$1134,IF($S$1438=1022,PR!$BM$1135,IF($S$1438=1023,PR!$BM$1136,IF($S$1438=1024,PR!$BM$1137,IF($S$1438=1025,PR!$BM$1138,IF($S$1438=1026,PR!$BM$1139,IF($S$1438=1027,PR!$BM$1140,IF($S$1438=1028,PR!$BM$1141,IF($S$1438=1029,PR!$BM$1142,IF($S$1438=1030,PR!$BM$1143,IF($S$1438=1031,PR!$BM$1144,IF($S$1438=1032,PR!$BM$1145,IF($S$1438=1033,PR!$BM$1146,IF($S$1438=1034,PR!$BM$1147,IF($S$1438=1035,PR!$BM$1148,IF($S$1438=1036,PR!$BM$1149,IF($S$1438=1037,PR!$BM$1150,IF($S$1438=1038,PR!$BM$1151,IF($S$1438=1039,PR!$BM$1158,IF($S$1438=1040,PR!$BM$1159,IF($S$1438=1041,PR!$BM$1160,IF($S$1438=1042,PR!$BM$1161,IF($S$1438=1043,PR!$BM$1162,IF($S$1438=1044,PR!$BM$1163,IF($S$1438=1045,PR!$BM$1164,IF($S$1438=1046,PR!$BM$1165,IF($S$1438=1047,PR!$BM$1166,IF($S$1438=1048,PR!$BM$1167,IF($S$1438=1049,PR!$BM$1168,IF($S$1438=1050,PR!$BM$1169,IF($S$1438=1051,PR!$BM$1170,IF($S$1438=1052,PR!$BM$1171,IF($S$1438=1053,PR!$BM$1172,IF($S$1438=1054,PR!$BM$1173,IF($S$1438=1055,PR!$BM$1177,IF($S$1438=1056,PR!$BM$1178,IF($S$1438=1057,PR!$BM$1179,IF($S$1438=1058,PR!$BM$1180,IF($S$1438=1059,PR!$BM$1181,IF($S$1438=1060,PR!$BM$1182,IF($S$1438=1061,PR!$BM$1183,IF($S$1438=1062,PR!$BM$1184,IF($S$1438=1063,PR!$BM$1185,IF($S$1438=1064,PR!$BM$1186,IF($S$1438=1065,PR!$BM$1187,IF($S$1438=1066,PR!$BM$1188,IF($S$1438=1067,PR!$BM$1189,IF($S$1438=1068,PR!$BM$1190,IF($S$1438=1069,PR!$BM$1191,IF($S$1438=1070,PR!$BM$1192,IF($S$1438=1071,PR!$BM$1193,IF($S$1438=1072,PR!$BM$1194,IF($S$1438=1073,PR!$BM$1195,IF($S$1438=1074,PR!$BM$1196,IF($S$1438=1075,PR!$BM$1197,IF($S$1438=1076,PR!$BM$1198,IF($S$1438=1077,PR!$BM$1199,IF($S$1438=1078,PR!$BM$1200,IF($S$1438=1079,PR!$BM$1201,IF($S$1438=1080,PR!$BM$1202,"-"))))))))))))))))))))))))))))))))))))))))))))))))))))))))))))</f>
        <v>0</v>
      </c>
      <c r="M1451" s="602">
        <f>IF($S$1438=1021,PR!$BN$1134,IF($S$1438=1022,PR!$BN$1135,IF($S$1438=1023,PR!$BN$1136,IF($S$1438=1024,PR!$BN$1137,IF($S$1438=1025,PR!$BN$1138,IF($S$1438=1026,PR!$BN$1139,IF($S$1438=1027,PR!$BN$1140,IF($S$1438=1028,PR!$BN$1141,IF($S$1438=1029,PR!$BN$1142,IF($S$1438=1030,PR!$BN$1143,IF($S$1438=1031,PR!$BN$1144,IF($S$1438=1032,PR!$BN$1145,IF($S$1438=1033,PR!$BN$1146,IF($S$1438=1034,PR!$BN$1147,IF($S$1438=1035,PR!$BN$1148,IF($S$1438=1036,PR!$BN$1149,IF($S$1438=1037,PR!$BN$1150,IF($S$1438=1038,PR!$BN$1151,IF($S$1438=1039,PR!$BN$1158,IF($S$1438=1040,PR!$BN$1159,IF($S$1438=1041,PR!$BN$1160,IF($S$1438=1042,PR!$BN$1161,IF($S$1438=1043,PR!$BN$1162,IF($S$1438=1044,PR!$BN$1163,IF($S$1438=1045,PR!$BN$1164,IF($S$1438=1046,PR!$BN$1165,IF($S$1438=1047,PR!$BN$1166,IF($S$1438=1048,PR!$BN$1167,IF($S$1438=1049,PR!$BN$1168,IF($S$1438=1050,PR!$BN$1169,IF($S$1438=1051,PR!$BN$1170,IF($S$1438=1052,PR!$BN$1171,IF($S$1438=1053,PR!$BN$1172,IF($S$1438=1054,PR!$BN$1173,IF($S$1438=1055,PR!$BN$1177,IF($S$1438=1056,PR!$BN$1178,IF($S$1438=1057,PR!$BN$1179,IF($S$1438=1058,PR!$BN$1180,IF($S$1438=1059,PR!$BN$1181,IF($S$1438=1060,PR!$BN$1182,IF($S$1438=1061,PR!$BN$1183,IF($S$1438=1062,PR!$BN$1184,IF($S$1438=1063,PR!$BN$1185,IF($S$1438=1064,PR!$BN$1186,IF($S$1438=1065,PR!$BN$1187,IF($S$1438=1066,PR!$BN$1188,IF($S$1438=1067,PR!$BN$1189,IF($S$1438=1068,PR!$BN$1190,IF($S$1438=1069,PR!$BN$1191,IF($S$1438=1070,PR!$BN$1192,IF($S$1438=1071,PR!$BN$1193,IF($S$1438=1072,PR!$BN$1194,IF($S$1438=1073,PR!$BN$1195,IF($S$1438=1074,PR!$BN$1196,IF($S$1438=1075,PR!$BN$1197,IF($S$1438=1076,PR!$BN$1198,IF($S$1438=1077,PR!$BN$1199,IF($S$1438=1078,PR!$BN$1200,IF($S$1438=1079,PR!$BN$1201,IF($S$1438=1080,PR!$BN$1202,"-"))))))))))))))))))))))))))))))))))))))))))))))))))))))))))))</f>
        <v>0</v>
      </c>
      <c r="N1451" s="602">
        <f>IF($S$1438=1021,PR!$BO$1134,IF($S$1438=1022,PR!$BO$1135,IF($S$1438=1023,PR!$BO$1136,IF($S$1438=1024,PR!$BO$1137,IF($S$1438=1025,PR!$BO$1138,IF($S$1438=1026,PR!$BO$1139,IF($S$1438=1027,PR!$BO$1140,IF($S$1438=1028,PR!$BO$1141,IF($S$1438=1029,PR!$BO$1142,IF($S$1438=1030,PR!$BO$1143,IF($S$1438=1031,PR!$BO$1144,IF($S$1438=1032,PR!$BO$1145,IF($S$1438=1033,PR!$BO$1146,IF($S$1438=1034,PR!$BO$1147,IF($S$1438=1035,PR!$BO$1148,IF($S$1438=1036,PR!$BO$1149,IF($S$1438=1037,PR!$BO$1150,IF($S$1438=1038,PR!$BO$1151,IF($S$1438=1039,PR!$BO$1158,IF($S$1438=1040,PR!$BO$1159,IF($S$1438=1041,PR!$BO$1160,IF($S$1438=1042,PR!$BO$1161,IF($S$1438=1043,PR!$BO$1162,IF($S$1438=1044,PR!$BO$1163,IF($S$1438=1045,PR!$BO$1164,IF($S$1438=1046,PR!$BO$1165,IF($S$1438=1047,PR!$BO$1166,IF($S$1438=1048,PR!$BO$1167,IF($S$1438=1049,PR!$BO$1168,IF($S$1438=1050,PR!$BO$1169,IF($S$1438=1051,PR!$BO$1170,IF($S$1438=1052,PR!$BO$1171,IF($S$1438=1053,PR!$BO$1172,IF($S$1438=1054,PR!$BO$1173,IF($S$1438=1055,PR!$BO$1177,IF($S$1438=1056,PR!$BO$1178,IF($S$1438=1057,PR!$BO$1179,IF($S$1438=1058,PR!$BO$1180,IF($S$1438=1059,PR!$BO$1181,IF($S$1438=1060,PR!$BO$1182,IF($S$1438=1061,PR!$BO$1183,IF($S$1438=1062,PR!$BO$1184,IF($S$1438=1063,PR!$BO$1185,IF($S$1438=1064,PR!$BO$1186,IF($S$1438=1065,PR!$BO$1187,IF($S$1438=1066,PR!$BO$1188,IF($S$1438=1067,PR!$BO$1189,IF($S$1438=1068,PR!$BO$1190,IF($S$1438=1069,PR!$BO$1191,IF($S$1438=1070,PR!$BO$1192,IF($S$1438=1071,PR!$BO$1193,IF($S$1438=1072,PR!$BO$1194,IF($S$1438=1073,PR!$BO$1195,IF($S$1438=1074,PR!$BO$1196,IF($S$1438=1075,PR!$BO$1197,IF($S$1438=1076,PR!$BO$1198,IF($S$1438=1077,PR!$BO$1199,IF($S$1438=1078,PR!$BO$1200,IF($S$1438=1079,PR!$BO$1201,IF($S$1438=1080,PR!$BO$1202,"-"))))))))))))))))))))))))))))))))))))))))))))))))))))))))))))</f>
        <v>0</v>
      </c>
      <c r="O1451" s="602">
        <f>IF($S$1438=1021,PR!$BP$1134,IF($S$1438=1022,PR!$BP$1135,IF($S$1438=1023,PR!$BP$1136,IF($S$1438=1024,PR!$BP$1137,IF($S$1438=1025,PR!$BP$1138,IF($S$1438=1026,PR!$BP$1139,IF($S$1438=1027,PR!$BP$1140,IF($S$1438=1028,PR!$BP$1141,IF($S$1438=1029,PR!$BP$1142,IF($S$1438=1030,PR!$BP$1143,IF($S$1438=1031,PR!$BP$1144,IF($S$1438=1032,PR!$BP$1145,IF($S$1438=1033,PR!$BP$1146,IF($S$1438=1034,PR!$BP$1147,IF($S$1438=1035,PR!$BP$1148,IF($S$1438=1036,PR!$BP$1149,IF($S$1438=1037,PR!$BP$1150,IF($S$1438=1038,PR!$BP$1151,IF($S$1438=1039,PR!$BP$1158,IF($S$1438=1040,PR!$BP$1159,IF($S$1438=1041,PR!$BP$1160,IF($S$1438=1042,PR!$BP$1161,IF($S$1438=1043,PR!$BP$1162,IF($S$1438=1044,PR!$BP$1163,IF($S$1438=1045,PR!$BP$1164,IF($S$1438=1046,PR!$BP$1165,IF($S$1438=1047,PR!$BP$1166,IF($S$1438=1048,PR!$BP$1167,IF($S$1438=1049,PR!$BP$1168,IF($S$1438=1050,PR!$BP$1169,IF($S$1438=1051,PR!$BP$1170,IF($S$1438=1052,PR!$BP$1171,IF($S$1438=1053,PR!$BP$1172,IF($S$1438=1054,PR!$BP$1173,IF($S$1438=1055,PR!$BP$1177,IF($S$1438=1056,PR!$BP$1178,IF($S$1438=1057,PR!$BP$1179,IF($S$1438=1058,PR!$BP$1180,IF($S$1438=1059,PR!$BP$1181,IF($S$1438=1060,PR!$BP$1182,IF($S$1438=1061,PR!$BP$1183,IF($S$1438=1062,PR!$BP$1184,IF($S$1438=1063,PR!$BP$1185,IF($S$1438=1064,PR!$BP$1186,IF($S$1438=1065,PR!$BP$1187,IF($S$1438=1066,PR!$BP$1188,IF($S$1438=1067,PR!$BP$1189,IF($S$1438=1068,PR!$BP$1190,IF($S$1438=1069,PR!$BP$1191,IF($S$1438=1070,PR!$BP$1192,IF($S$1438=1071,PR!$BP$1193,IF($S$1438=1072,PR!$BP$1194,IF($S$1438=1073,PR!$BP$1195,IF($S$1438=1074,PR!$BP$1196,IF($S$1438=1075,PR!$BP$1197,IF($S$1438=1076,PR!$BP$1198,IF($S$1438=1077,PR!$BP$1199,IF($S$1438=1078,PR!$BP$1200,IF($S$1438=1079,PR!$BP$1201,IF($S$1438=1080,PR!$BP$1202,"-"))))))))))))))))))))))))))))))))))))))))))))))))))))))))))))</f>
        <v>0</v>
      </c>
      <c r="P1451" s="602">
        <f>IF($S$1438=1021,PR!$BQ$1134,IF($S$1438=1022,PR!$BQ$1135,IF($S$1438=1023,PR!$BQ$1136,IF($S$1438=1024,PR!$BQ$1137,IF($S$1438=1025,PR!$BQ$1138,IF($S$1438=1026,PR!$BQ$1139,IF($S$1438=1027,PR!$BQ$1140,IF($S$1438=1028,PR!$BQ$1141,IF($S$1438=1029,PR!$BQ$1142,IF($S$1438=1030,PR!$BQ$1143,IF($S$1438=1031,PR!$BQ$1144,IF($S$1438=1032,PR!$BQ$1145,IF($S$1438=1033,PR!$BQ$1146,IF($S$1438=1034,PR!$BQ$1147,IF($S$1438=1035,PR!$BQ$1148,IF($S$1438=1036,PR!$BQ$1149,IF($S$1438=1037,PR!$BQ$1150,IF($S$1438=1038,PR!$BQ$1151,IF($S$1438=1039,PR!$BQ$1158,IF($S$1438=1040,PR!$BQ$1159,IF($S$1438=1041,PR!$BQ$1160,IF($S$1438=1042,PR!$BQ$1161,IF($S$1438=1043,PR!$BQ$1162,IF($S$1438=1044,PR!$BQ$1163,IF($S$1438=1045,PR!$BQ$1164,IF($S$1438=1046,PR!$BQ$1165,IF($S$1438=1047,PR!$BQ$1166,IF($S$1438=1048,PR!$BQ$1167,IF($S$1438=1049,PR!$BQ$1168,IF($S$1438=1050,PR!$BQ$1169,IF($S$1438=1051,PR!$BQ$1170,IF($S$1438=1052,PR!$BQ$1171,IF($S$1438=1053,PR!$BQ$1172,IF($S$1438=1054,PR!$BQ$1173,IF($S$1438=1055,PR!$BQ$1177,IF($S$1438=1056,PR!$BQ$1178,IF($S$1438=1057,PR!$BQ$1179,IF($S$1438=1058,PR!$BQ$1180,IF($S$1438=1059,PR!$BQ$1181,IF($S$1438=1060,PR!$BQ$1182,IF($S$1438=1061,PR!$BQ$1183,IF($S$1438=1062,PR!$BQ$1184,IF($S$1438=1063,PR!$BQ$1185,IF($S$1438=1064,PR!$BQ$1186,IF($S$1438=1065,PR!$BQ$1187,IF($S$1438=1066,PR!$BQ$1188,IF($S$1438=1067,PR!$BQ$1189,IF($S$1438=1068,PR!$BQ$1190,IF($S$1438=1069,PR!$BQ$1191,IF($S$1438=1070,PR!$BQ$1192,IF($S$1438=1071,PR!$BQ$1193,IF($S$1438=1072,PR!$BQ$1194,IF($S$1438=1073,PR!$BQ$1195,IF($S$1438=1074,PR!$BQ$1196,IF($S$1438=1075,PR!$BQ$1197,IF($S$1438=1076,PR!$BQ$1198,IF($S$1438=1077,PR!$BQ$1199,IF($S$1438=1078,PR!$BQ$1200,IF($S$1438=1079,PR!$BQ$1201,IF($S$1438=1080,PR!$BQ$1202,"-"))))))))))))))))))))))))))))))))))))))))))))))))))))))))))))</f>
        <v>0</v>
      </c>
      <c r="Q1451" s="602">
        <f>IF($S$1438=1021,PR!$BR$1134,IF($S$1438=1022,PR!$BR$1135,IF($S$1438=1023,PR!$BR$1136,IF($S$1438=1024,PR!$BR$1137,IF($S$1438=1025,PR!$BR$1138,IF($S$1438=1026,PR!$BR$1139,IF($S$1438=1027,PR!$BR$1140,IF($S$1438=1028,PR!$BR$1141,IF($S$1438=1029,PR!$BR$1142,IF($S$1438=1030,PR!$BR$1143,IF($S$1438=1031,PR!$BR$1144,IF($S$1438=1032,PR!$BR$1145,IF($S$1438=1033,PR!$BR$1146,IF($S$1438=1034,PR!$BR$1147,IF($S$1438=1035,PR!$BR$1148,IF($S$1438=1036,PR!$BR$1149,IF($S$1438=1037,PR!$BR$1150,IF($S$1438=1038,PR!$BR$1151,IF($S$1438=1039,PR!$BR$1158,IF($S$1438=1040,PR!$BR$1159,IF($S$1438=1041,PR!$BR$1160,IF($S$1438=1042,PR!$BR$1161,IF($S$1438=1043,PR!$BR$1162,IF($S$1438=1044,PR!$BR$1163,IF($S$1438=1045,PR!$BR$1164,IF($S$1438=1046,PR!$BR$1165,IF($S$1438=1047,PR!$BR$1166,IF($S$1438=1048,PR!$BR$1167,IF($S$1438=1049,PR!$BR$1168,IF($S$1438=1050,PR!$BR$1169,IF($S$1438=1051,PR!$BR$1170,IF($S$1438=1052,PR!$BR$1171,IF($S$1438=1053,PR!$BR$1172,IF($S$1438=1054,PR!$BR$1173,IF($S$1438=1055,PR!$BR$1177,IF($S$1438=1056,PR!$BR$1178,IF($S$1438=1057,PR!$BR$1179,IF($S$1438=1058,PR!$BR$1180,IF($S$1438=1059,PR!$BR$1181,IF($S$1438=1060,PR!$BR$1182,IF($S$1438=1061,PR!$BR$1183,IF($S$1438=1062,PR!$BR$1184,IF($S$1438=1063,PR!$BR$1185,IF($S$1438=1064,PR!$BR$1186,IF($S$1438=1065,PR!$BR$1187,IF($S$1438=1066,PR!$BR$1188,IF($S$1438=1067,PR!$BR$1189,IF($S$1438=1068,PR!$BR$1190,IF($S$1438=1069,PR!$BR$1191,IF($S$1438=1070,PR!$BR$1192,IF($S$1438=1071,PR!$BR$1193,IF($S$1438=1072,PR!$BR$1194,IF($S$1438=1073,PR!$BR$1195,IF($S$1438=1074,PR!$BR$1196,IF($S$1438=1075,PR!$BR$1197,IF($S$1438=1076,PR!$BR$1198,IF($S$1438=1077,PR!$BR$1199,IF($S$1438=1078,PR!$BR$1200,IF($S$1438=1079,PR!$BR$1201,IF($S$1438=1080,PR!$BR$1202,"-"))))))))))))))))))))))))))))))))))))))))))))))))))))))))))))</f>
        <v>0</v>
      </c>
      <c r="R1451" s="602">
        <f>IF($S$1438=1021,PR!$BS$1134,IF($S$1438=1022,PR!$BS$1135,IF($S$1438=1023,PR!$BS$1136,IF($S$1438=1024,PR!$BS$1137,IF($S$1438=1025,PR!$BS$1138,IF($S$1438=1026,PR!$BS$1139,IF($S$1438=1027,PR!$BS$1140,IF($S$1438=1028,PR!$BS$1141,IF($S$1438=1029,PR!$BS$1142,IF($S$1438=1030,PR!$BS$1143,IF($S$1438=1031,PR!$BS$1144,IF($S$1438=1032,PR!$BS$1145,IF($S$1438=1033,PR!$BS$1146,IF($S$1438=1034,PR!$BS$1147,IF($S$1438=1035,PR!$BS$1148,IF($S$1438=1036,PR!$BS$1149,IF($S$1438=1037,PR!$BS$1150,IF($S$1438=1038,PR!$BS$1151,IF($S$1438=1039,PR!$BS$1158,IF($S$1438=1040,PR!$BS$1159,IF($S$1438=1041,PR!$BS$1160,IF($S$1438=1042,PR!$BS$1161,IF($S$1438=1043,PR!$BS$1162,IF($S$1438=1044,PR!$BS$1163,IF($S$1438=1045,PR!$BS$1164,IF($S$1438=1046,PR!$BS$1165,IF($S$1438=1047,PR!$BS$1166,IF($S$1438=1048,PR!$BS$1167,IF($S$1438=1049,PR!$BS$1168,IF($S$1438=1050,PR!$BS$1169,IF($S$1438=1051,PR!$BS$1170,IF($S$1438=1052,PR!$BS$1171,IF($S$1438=1053,PR!$BS$1172,IF($S$1438=1054,PR!$BS$1173,IF($S$1438=1055,PR!$BS$1177,IF($S$1438=1056,PR!$BS$1178,IF($S$1438=1057,PR!$BS$1179,IF($S$1438=1058,PR!$BS$1180,IF($S$1438=1059,PR!$BS$1181,IF($S$1438=1060,PR!$BS$1182,IF($S$1438=1061,PR!$BS$1183,IF($S$1438=1062,PR!$BS$1184,IF($S$1438=1063,PR!$BS$1185,IF($S$1438=1064,PR!$BS$1186,IF($S$1438=1065,PR!$BS$1187,IF($S$1438=1066,PR!$BS$1188,IF($S$1438=1067,PR!$BS$1189,IF($S$1438=1068,PR!$BS$1190,IF($S$1438=1069,PR!$BS$1191,IF($S$1438=1070,PR!$BS$1192,IF($S$1438=1071,PR!$BS$1193,IF($S$1438=1072,PR!$BS$1194,IF($S$1438=1073,PR!$BS$1195,IF($S$1438=1074,PR!$BS$1196,IF($S$1438=1075,PR!$BS$1197,IF($S$1438=1076,PR!$BS$1198,IF($S$1438=1077,PR!$BS$1199,IF($S$1438=1078,PR!$BS$1200,IF($S$1438=1079,PR!$BS$1201,IF($S$1438=1080,PR!$BS$1202,"-"))))))))))))))))))))))))))))))))))))))))))))))))))))))))))))</f>
        <v>0</v>
      </c>
      <c r="S1451" s="604"/>
      <c r="T1451" s="580"/>
      <c r="U1451" s="580"/>
      <c r="V1451" s="32"/>
      <c r="W1451" s="32"/>
      <c r="X1451" s="32"/>
    </row>
    <row r="1452" spans="2:24" x14ac:dyDescent="0.25">
      <c r="B1452" s="580"/>
      <c r="C1452" s="603"/>
      <c r="D1452" s="604"/>
      <c r="E1452" s="604"/>
      <c r="F1452" s="604"/>
      <c r="G1452" s="604"/>
      <c r="H1452" s="604"/>
      <c r="I1452" s="604"/>
      <c r="J1452" s="604"/>
      <c r="K1452" s="604"/>
      <c r="L1452" s="604"/>
      <c r="M1452" s="604"/>
      <c r="N1452" s="604"/>
      <c r="O1452" s="604"/>
      <c r="P1452" s="604"/>
      <c r="Q1452" s="604"/>
      <c r="R1452" s="605"/>
      <c r="S1452" s="604"/>
      <c r="T1452" s="580"/>
      <c r="U1452" s="580"/>
      <c r="V1452" s="32"/>
      <c r="W1452" s="32"/>
      <c r="X1452" s="32"/>
    </row>
    <row r="1453" spans="2:24" ht="30" x14ac:dyDescent="0.25">
      <c r="B1453" s="580"/>
      <c r="C1453" s="593"/>
      <c r="D1453" s="580"/>
      <c r="E1453" s="580"/>
      <c r="F1453" s="580"/>
      <c r="G1453" s="580"/>
      <c r="H1453" s="580"/>
      <c r="I1453" s="580"/>
      <c r="J1453" s="580"/>
      <c r="K1453" s="597" t="s">
        <v>783</v>
      </c>
      <c r="L1453" s="598" t="s">
        <v>418</v>
      </c>
      <c r="M1453" s="598" t="s">
        <v>419</v>
      </c>
      <c r="N1453" s="599" t="s">
        <v>420</v>
      </c>
      <c r="O1453" s="580"/>
      <c r="P1453" s="580"/>
      <c r="Q1453" s="580"/>
      <c r="R1453" s="580"/>
      <c r="S1453" s="580"/>
      <c r="T1453" s="580"/>
      <c r="U1453" s="580"/>
      <c r="V1453" s="32"/>
      <c r="W1453" s="32"/>
      <c r="X1453" s="32"/>
    </row>
    <row r="1454" spans="2:24" x14ac:dyDescent="0.25">
      <c r="B1454" s="580"/>
      <c r="C1454" s="593"/>
      <c r="D1454" s="580"/>
      <c r="E1454" s="580"/>
      <c r="F1454" s="580"/>
      <c r="G1454" s="580"/>
      <c r="H1454" s="580"/>
      <c r="I1454" s="580"/>
      <c r="J1454" s="580"/>
      <c r="K1454" s="583" t="s">
        <v>785</v>
      </c>
      <c r="L1454" s="580"/>
      <c r="M1454" s="580"/>
      <c r="N1454" s="580"/>
      <c r="O1454" s="580"/>
      <c r="P1454" s="580"/>
      <c r="Q1454" s="580"/>
      <c r="R1454" s="580"/>
      <c r="S1454" s="580"/>
      <c r="T1454" s="580"/>
      <c r="U1454" s="580"/>
      <c r="V1454" s="32"/>
      <c r="W1454" s="32"/>
      <c r="X1454" s="32"/>
    </row>
    <row r="1455" spans="2:24" x14ac:dyDescent="0.25">
      <c r="B1455" s="32"/>
      <c r="C1455" s="96"/>
      <c r="D1455" s="32"/>
      <c r="E1455" s="32"/>
      <c r="F1455" s="32"/>
      <c r="G1455" s="32"/>
      <c r="H1455" s="32"/>
      <c r="I1455" s="32"/>
      <c r="J1455" s="32"/>
      <c r="K1455" s="97">
        <v>1021</v>
      </c>
      <c r="L1455" s="98" t="s">
        <v>626</v>
      </c>
      <c r="M1455" s="99" t="s">
        <v>1459</v>
      </c>
      <c r="N1455" s="100" t="s">
        <v>1461</v>
      </c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</row>
    <row r="1456" spans="2:24" x14ac:dyDescent="0.25">
      <c r="B1456" s="32"/>
      <c r="C1456" s="32"/>
      <c r="D1456" s="32"/>
      <c r="E1456" s="32"/>
      <c r="F1456" s="32"/>
      <c r="G1456" s="32"/>
      <c r="H1456" s="32"/>
      <c r="I1456" s="32"/>
      <c r="J1456" s="32"/>
      <c r="K1456" s="97">
        <f>1+K1455</f>
        <v>1022</v>
      </c>
      <c r="L1456" s="98" t="s">
        <v>1461</v>
      </c>
      <c r="M1456" s="99"/>
      <c r="N1456" s="100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</row>
    <row r="1457" spans="2:24" x14ac:dyDescent="0.25">
      <c r="B1457" s="32"/>
      <c r="C1457" s="32"/>
      <c r="D1457" s="32"/>
      <c r="E1457" s="32"/>
      <c r="F1457" s="32"/>
      <c r="G1457" s="32"/>
      <c r="H1457" s="32"/>
      <c r="I1457" s="32"/>
      <c r="J1457" s="32"/>
      <c r="K1457" s="97">
        <f t="shared" ref="K1457:K1514" si="18">1+K1456</f>
        <v>1023</v>
      </c>
      <c r="L1457" s="98" t="s">
        <v>1461</v>
      </c>
      <c r="M1457" s="99" t="s">
        <v>1463</v>
      </c>
      <c r="N1457" s="100" t="s">
        <v>626</v>
      </c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</row>
    <row r="1458" spans="2:24" x14ac:dyDescent="0.25">
      <c r="B1458" s="32"/>
      <c r="C1458" s="32"/>
      <c r="D1458" s="32"/>
      <c r="E1458" s="32"/>
      <c r="F1458" s="32"/>
      <c r="G1458" s="32"/>
      <c r="H1458" s="32"/>
      <c r="I1458" s="32"/>
      <c r="J1458" s="32"/>
      <c r="K1458" s="97">
        <f t="shared" si="18"/>
        <v>1024</v>
      </c>
      <c r="L1458" s="98" t="s">
        <v>1463</v>
      </c>
      <c r="M1458" s="99" t="s">
        <v>1452</v>
      </c>
      <c r="N1458" s="100" t="s">
        <v>626</v>
      </c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</row>
    <row r="1459" spans="2:24" x14ac:dyDescent="0.25">
      <c r="B1459" s="32"/>
      <c r="C1459" s="32"/>
      <c r="D1459" s="32"/>
      <c r="E1459" s="32"/>
      <c r="F1459" s="32"/>
      <c r="G1459" s="32"/>
      <c r="H1459" s="32"/>
      <c r="I1459" s="32"/>
      <c r="J1459" s="32"/>
      <c r="K1459" s="97">
        <f t="shared" si="18"/>
        <v>1025</v>
      </c>
      <c r="L1459" s="98" t="s">
        <v>1463</v>
      </c>
      <c r="M1459" s="99" t="s">
        <v>626</v>
      </c>
      <c r="N1459" s="100" t="s">
        <v>1452</v>
      </c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</row>
    <row r="1460" spans="2:24" x14ac:dyDescent="0.25">
      <c r="B1460" s="32"/>
      <c r="C1460" s="32"/>
      <c r="D1460" s="32"/>
      <c r="E1460" s="32"/>
      <c r="F1460" s="32"/>
      <c r="G1460" s="32"/>
      <c r="H1460" s="32"/>
      <c r="I1460" s="32"/>
      <c r="J1460" s="32"/>
      <c r="K1460" s="97">
        <f t="shared" si="18"/>
        <v>1026</v>
      </c>
      <c r="L1460" s="98" t="s">
        <v>1463</v>
      </c>
      <c r="M1460" s="99" t="s">
        <v>1452</v>
      </c>
      <c r="N1460" s="100" t="s">
        <v>626</v>
      </c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</row>
    <row r="1461" spans="2:24" x14ac:dyDescent="0.25">
      <c r="B1461" s="32"/>
      <c r="C1461" s="32"/>
      <c r="D1461" s="32"/>
      <c r="E1461" s="32"/>
      <c r="F1461" s="32"/>
      <c r="G1461" s="32"/>
      <c r="H1461" s="32"/>
      <c r="I1461" s="32"/>
      <c r="J1461" s="32"/>
      <c r="K1461" s="97">
        <f t="shared" si="18"/>
        <v>1027</v>
      </c>
      <c r="L1461" s="98" t="s">
        <v>1463</v>
      </c>
      <c r="M1461" s="99" t="s">
        <v>626</v>
      </c>
      <c r="N1461" s="100" t="s">
        <v>1461</v>
      </c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</row>
    <row r="1462" spans="2:24" x14ac:dyDescent="0.25">
      <c r="B1462" s="32"/>
      <c r="C1462" s="32"/>
      <c r="D1462" s="32"/>
      <c r="E1462" s="32"/>
      <c r="F1462" s="32"/>
      <c r="G1462" s="32"/>
      <c r="H1462" s="32"/>
      <c r="I1462" s="32"/>
      <c r="J1462" s="32"/>
      <c r="K1462" s="97">
        <f t="shared" si="18"/>
        <v>1028</v>
      </c>
      <c r="L1462" s="98" t="s">
        <v>626</v>
      </c>
      <c r="M1462" s="99" t="s">
        <v>825</v>
      </c>
      <c r="N1462" s="100" t="s">
        <v>1461</v>
      </c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</row>
    <row r="1463" spans="2:24" x14ac:dyDescent="0.25">
      <c r="B1463" s="32"/>
      <c r="C1463" s="32"/>
      <c r="D1463" s="32"/>
      <c r="E1463" s="32"/>
      <c r="F1463" s="32"/>
      <c r="G1463" s="32"/>
      <c r="H1463" s="32"/>
      <c r="I1463" s="32"/>
      <c r="J1463" s="32"/>
      <c r="K1463" s="97">
        <f t="shared" si="18"/>
        <v>1029</v>
      </c>
      <c r="L1463" s="98" t="s">
        <v>1468</v>
      </c>
      <c r="M1463" s="99" t="s">
        <v>1461</v>
      </c>
      <c r="N1463" s="100" t="s">
        <v>1452</v>
      </c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</row>
    <row r="1464" spans="2:24" x14ac:dyDescent="0.25">
      <c r="B1464" s="32"/>
      <c r="C1464" s="32"/>
      <c r="D1464" s="32"/>
      <c r="E1464" s="32"/>
      <c r="F1464" s="32"/>
      <c r="G1464" s="32"/>
      <c r="H1464" s="32"/>
      <c r="I1464" s="32"/>
      <c r="J1464" s="32"/>
      <c r="K1464" s="97">
        <f t="shared" si="18"/>
        <v>1030</v>
      </c>
      <c r="L1464" s="98" t="s">
        <v>1452</v>
      </c>
      <c r="M1464" s="99" t="s">
        <v>1461</v>
      </c>
      <c r="N1464" s="100" t="s">
        <v>1468</v>
      </c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</row>
    <row r="1465" spans="2:24" x14ac:dyDescent="0.25">
      <c r="B1465" s="32"/>
      <c r="C1465" s="32"/>
      <c r="D1465" s="32"/>
      <c r="E1465" s="32"/>
      <c r="F1465" s="32"/>
      <c r="G1465" s="32"/>
      <c r="H1465" s="32"/>
      <c r="I1465" s="32"/>
      <c r="J1465" s="32"/>
      <c r="K1465" s="97">
        <f t="shared" si="18"/>
        <v>1031</v>
      </c>
      <c r="L1465" s="98" t="s">
        <v>1461</v>
      </c>
      <c r="M1465" s="99" t="s">
        <v>1452</v>
      </c>
      <c r="N1465" s="100" t="s">
        <v>1468</v>
      </c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</row>
    <row r="1466" spans="2:24" x14ac:dyDescent="0.25">
      <c r="B1466" s="32"/>
      <c r="C1466" s="32"/>
      <c r="D1466" s="32"/>
      <c r="E1466" s="32"/>
      <c r="F1466" s="32"/>
      <c r="G1466" s="32"/>
      <c r="H1466" s="32"/>
      <c r="I1466" s="32"/>
      <c r="J1466" s="32"/>
      <c r="K1466" s="97">
        <f t="shared" si="18"/>
        <v>1032</v>
      </c>
      <c r="L1466" s="98" t="s">
        <v>1461</v>
      </c>
      <c r="M1466" s="99" t="s">
        <v>1468</v>
      </c>
      <c r="N1466" s="100" t="s">
        <v>1452</v>
      </c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</row>
    <row r="1467" spans="2:24" x14ac:dyDescent="0.25">
      <c r="B1467" s="32"/>
      <c r="C1467" s="32"/>
      <c r="D1467" s="32"/>
      <c r="E1467" s="32"/>
      <c r="F1467" s="32"/>
      <c r="G1467" s="32"/>
      <c r="H1467" s="32"/>
      <c r="I1467" s="32"/>
      <c r="J1467" s="32"/>
      <c r="K1467" s="97">
        <f t="shared" si="18"/>
        <v>1033</v>
      </c>
      <c r="L1467" s="98" t="s">
        <v>1461</v>
      </c>
      <c r="M1467" s="99" t="s">
        <v>1468</v>
      </c>
      <c r="N1467" s="100" t="s">
        <v>1452</v>
      </c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</row>
    <row r="1468" spans="2:24" x14ac:dyDescent="0.25">
      <c r="B1468" s="32"/>
      <c r="C1468" s="32"/>
      <c r="D1468" s="32"/>
      <c r="E1468" s="32"/>
      <c r="F1468" s="32"/>
      <c r="G1468" s="32"/>
      <c r="H1468" s="32"/>
      <c r="I1468" s="32"/>
      <c r="J1468" s="32"/>
      <c r="K1468" s="97">
        <f t="shared" si="18"/>
        <v>1034</v>
      </c>
      <c r="L1468" s="98" t="s">
        <v>1461</v>
      </c>
      <c r="M1468" s="99" t="s">
        <v>1468</v>
      </c>
      <c r="N1468" s="100" t="s">
        <v>1452</v>
      </c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</row>
    <row r="1469" spans="2:24" x14ac:dyDescent="0.25">
      <c r="B1469" s="32"/>
      <c r="C1469" s="32"/>
      <c r="D1469" s="32"/>
      <c r="E1469" s="32"/>
      <c r="F1469" s="32"/>
      <c r="G1469" s="32"/>
      <c r="H1469" s="32"/>
      <c r="I1469" s="32"/>
      <c r="J1469" s="32"/>
      <c r="K1469" s="97">
        <f t="shared" si="18"/>
        <v>1035</v>
      </c>
      <c r="L1469" s="98" t="s">
        <v>1468</v>
      </c>
      <c r="M1469" s="99" t="s">
        <v>1461</v>
      </c>
      <c r="N1469" s="100" t="s">
        <v>1452</v>
      </c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</row>
    <row r="1470" spans="2:24" x14ac:dyDescent="0.25">
      <c r="B1470" s="32"/>
      <c r="C1470" s="32"/>
      <c r="D1470" s="32"/>
      <c r="E1470" s="32"/>
      <c r="F1470" s="32"/>
      <c r="G1470" s="32"/>
      <c r="H1470" s="32"/>
      <c r="I1470" s="32"/>
      <c r="J1470" s="32"/>
      <c r="K1470" s="97">
        <f t="shared" si="18"/>
        <v>1036</v>
      </c>
      <c r="L1470" s="98" t="s">
        <v>1468</v>
      </c>
      <c r="M1470" s="99" t="s">
        <v>1461</v>
      </c>
      <c r="N1470" s="100" t="s">
        <v>1452</v>
      </c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</row>
    <row r="1471" spans="2:24" x14ac:dyDescent="0.25">
      <c r="B1471" s="32"/>
      <c r="C1471" s="32"/>
      <c r="D1471" s="32"/>
      <c r="E1471" s="32"/>
      <c r="F1471" s="32"/>
      <c r="G1471" s="32"/>
      <c r="H1471" s="32"/>
      <c r="I1471" s="32"/>
      <c r="J1471" s="32"/>
      <c r="K1471" s="97">
        <f t="shared" si="18"/>
        <v>1037</v>
      </c>
      <c r="L1471" s="98" t="s">
        <v>1468</v>
      </c>
      <c r="M1471" s="99" t="s">
        <v>1461</v>
      </c>
      <c r="N1471" s="100" t="s">
        <v>1452</v>
      </c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</row>
    <row r="1472" spans="2:24" x14ac:dyDescent="0.25">
      <c r="B1472" s="32"/>
      <c r="C1472" s="32"/>
      <c r="D1472" s="32"/>
      <c r="E1472" s="32"/>
      <c r="F1472" s="32"/>
      <c r="G1472" s="32"/>
      <c r="H1472" s="32"/>
      <c r="I1472" s="32"/>
      <c r="J1472" s="32"/>
      <c r="K1472" s="97">
        <f t="shared" si="18"/>
        <v>1038</v>
      </c>
      <c r="L1472" s="98" t="s">
        <v>1468</v>
      </c>
      <c r="M1472" s="99" t="s">
        <v>1452</v>
      </c>
      <c r="N1472" s="100" t="s">
        <v>1461</v>
      </c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</row>
    <row r="1473" spans="2:24" x14ac:dyDescent="0.25">
      <c r="B1473" s="32"/>
      <c r="C1473" s="32"/>
      <c r="D1473" s="32"/>
      <c r="E1473" s="32"/>
      <c r="F1473" s="32"/>
      <c r="G1473" s="32"/>
      <c r="H1473" s="32"/>
      <c r="I1473" s="32"/>
      <c r="J1473" s="32"/>
      <c r="K1473" s="97">
        <f t="shared" si="18"/>
        <v>1039</v>
      </c>
      <c r="L1473" s="98" t="s">
        <v>1463</v>
      </c>
      <c r="M1473" s="99" t="s">
        <v>1459</v>
      </c>
      <c r="N1473" s="100" t="s">
        <v>817</v>
      </c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</row>
    <row r="1474" spans="2:24" x14ac:dyDescent="0.25">
      <c r="B1474" s="32"/>
      <c r="C1474" s="32"/>
      <c r="D1474" s="32"/>
      <c r="E1474" s="32"/>
      <c r="F1474" s="32"/>
      <c r="G1474" s="32"/>
      <c r="H1474" s="32"/>
      <c r="I1474" s="32"/>
      <c r="J1474" s="32"/>
      <c r="K1474" s="97">
        <f t="shared" si="18"/>
        <v>1040</v>
      </c>
      <c r="L1474" s="98" t="s">
        <v>1459</v>
      </c>
      <c r="M1474" s="99"/>
      <c r="N1474" s="100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</row>
    <row r="1475" spans="2:24" x14ac:dyDescent="0.25">
      <c r="B1475" s="32"/>
      <c r="C1475" s="32"/>
      <c r="D1475" s="32"/>
      <c r="E1475" s="32"/>
      <c r="F1475" s="32"/>
      <c r="G1475" s="32"/>
      <c r="H1475" s="32"/>
      <c r="I1475" s="32"/>
      <c r="J1475" s="32"/>
      <c r="K1475" s="97">
        <f t="shared" si="18"/>
        <v>1041</v>
      </c>
      <c r="L1475" s="98" t="s">
        <v>1459</v>
      </c>
      <c r="M1475" s="99"/>
      <c r="N1475" s="100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</row>
    <row r="1476" spans="2:24" x14ac:dyDescent="0.25">
      <c r="B1476" s="32"/>
      <c r="C1476" s="32"/>
      <c r="D1476" s="32"/>
      <c r="E1476" s="32"/>
      <c r="F1476" s="32"/>
      <c r="G1476" s="32"/>
      <c r="H1476" s="32"/>
      <c r="I1476" s="32"/>
      <c r="J1476" s="32"/>
      <c r="K1476" s="97">
        <f t="shared" si="18"/>
        <v>1042</v>
      </c>
      <c r="L1476" s="98" t="s">
        <v>1459</v>
      </c>
      <c r="M1476" s="99"/>
      <c r="N1476" s="100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</row>
    <row r="1477" spans="2:24" x14ac:dyDescent="0.25">
      <c r="B1477" s="32"/>
      <c r="C1477" s="32"/>
      <c r="D1477" s="32"/>
      <c r="E1477" s="32"/>
      <c r="F1477" s="32"/>
      <c r="G1477" s="32"/>
      <c r="H1477" s="32"/>
      <c r="I1477" s="32"/>
      <c r="J1477" s="32"/>
      <c r="K1477" s="97">
        <f t="shared" si="18"/>
        <v>1043</v>
      </c>
      <c r="L1477" s="98" t="s">
        <v>1459</v>
      </c>
      <c r="M1477" s="99"/>
      <c r="N1477" s="100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</row>
    <row r="1478" spans="2:24" x14ac:dyDescent="0.25">
      <c r="B1478" s="32"/>
      <c r="C1478" s="32"/>
      <c r="D1478" s="32"/>
      <c r="E1478" s="32"/>
      <c r="F1478" s="32"/>
      <c r="G1478" s="32"/>
      <c r="H1478" s="32"/>
      <c r="I1478" s="32"/>
      <c r="J1478" s="32"/>
      <c r="K1478" s="97">
        <f t="shared" si="18"/>
        <v>1044</v>
      </c>
      <c r="L1478" s="98" t="s">
        <v>1459</v>
      </c>
      <c r="M1478" s="99"/>
      <c r="N1478" s="100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</row>
    <row r="1479" spans="2:24" x14ac:dyDescent="0.25">
      <c r="B1479" s="32"/>
      <c r="C1479" s="32"/>
      <c r="D1479" s="32"/>
      <c r="E1479" s="32"/>
      <c r="F1479" s="32"/>
      <c r="G1479" s="32"/>
      <c r="H1479" s="32"/>
      <c r="I1479" s="32"/>
      <c r="J1479" s="32"/>
      <c r="K1479" s="97">
        <f t="shared" si="18"/>
        <v>1045</v>
      </c>
      <c r="L1479" s="98" t="s">
        <v>1459</v>
      </c>
      <c r="M1479" s="99"/>
      <c r="N1479" s="100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</row>
    <row r="1480" spans="2:24" x14ac:dyDescent="0.25">
      <c r="B1480" s="32"/>
      <c r="C1480" s="32"/>
      <c r="D1480" s="32"/>
      <c r="E1480" s="32"/>
      <c r="F1480" s="32"/>
      <c r="G1480" s="32"/>
      <c r="H1480" s="32"/>
      <c r="I1480" s="32"/>
      <c r="J1480" s="32"/>
      <c r="K1480" s="97">
        <f t="shared" si="18"/>
        <v>1046</v>
      </c>
      <c r="L1480" s="98" t="s">
        <v>817</v>
      </c>
      <c r="M1480" s="99" t="s">
        <v>825</v>
      </c>
      <c r="N1480" s="100" t="s">
        <v>1459</v>
      </c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</row>
    <row r="1481" spans="2:24" x14ac:dyDescent="0.25">
      <c r="B1481" s="32"/>
      <c r="C1481" s="32"/>
      <c r="D1481" s="32"/>
      <c r="E1481" s="32"/>
      <c r="F1481" s="32"/>
      <c r="G1481" s="32"/>
      <c r="H1481" s="32"/>
      <c r="I1481" s="32"/>
      <c r="J1481" s="32"/>
      <c r="K1481" s="97">
        <f t="shared" si="18"/>
        <v>1047</v>
      </c>
      <c r="L1481" s="98" t="s">
        <v>1459</v>
      </c>
      <c r="M1481" s="99" t="s">
        <v>825</v>
      </c>
      <c r="N1481" s="100" t="s">
        <v>1463</v>
      </c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</row>
    <row r="1482" spans="2:24" x14ac:dyDescent="0.25">
      <c r="B1482" s="32"/>
      <c r="C1482" s="32"/>
      <c r="D1482" s="32"/>
      <c r="E1482" s="32"/>
      <c r="F1482" s="32"/>
      <c r="G1482" s="32"/>
      <c r="H1482" s="32"/>
      <c r="I1482" s="32"/>
      <c r="J1482" s="32"/>
      <c r="K1482" s="97">
        <f t="shared" si="18"/>
        <v>1048</v>
      </c>
      <c r="L1482" s="98" t="s">
        <v>825</v>
      </c>
      <c r="M1482" s="99" t="s">
        <v>817</v>
      </c>
      <c r="N1482" s="100" t="s">
        <v>1459</v>
      </c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</row>
    <row r="1483" spans="2:24" x14ac:dyDescent="0.25">
      <c r="B1483" s="32"/>
      <c r="C1483" s="32"/>
      <c r="D1483" s="32"/>
      <c r="E1483" s="32"/>
      <c r="F1483" s="32"/>
      <c r="G1483" s="32"/>
      <c r="H1483" s="32"/>
      <c r="I1483" s="32"/>
      <c r="J1483" s="32"/>
      <c r="K1483" s="97">
        <f t="shared" si="18"/>
        <v>1049</v>
      </c>
      <c r="L1483" s="98" t="s">
        <v>817</v>
      </c>
      <c r="M1483" s="99" t="s">
        <v>1459</v>
      </c>
      <c r="N1483" s="100" t="s">
        <v>825</v>
      </c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</row>
    <row r="1484" spans="2:24" x14ac:dyDescent="0.25">
      <c r="B1484" s="32"/>
      <c r="C1484" s="32"/>
      <c r="D1484" s="32"/>
      <c r="E1484" s="32"/>
      <c r="F1484" s="32"/>
      <c r="G1484" s="32"/>
      <c r="H1484" s="32"/>
      <c r="I1484" s="32"/>
      <c r="J1484" s="32"/>
      <c r="K1484" s="97">
        <f t="shared" si="18"/>
        <v>1050</v>
      </c>
      <c r="L1484" s="98" t="s">
        <v>825</v>
      </c>
      <c r="M1484" s="99" t="s">
        <v>1459</v>
      </c>
      <c r="N1484" s="100" t="s">
        <v>817</v>
      </c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</row>
    <row r="1485" spans="2:24" x14ac:dyDescent="0.25">
      <c r="B1485" s="32"/>
      <c r="C1485" s="32"/>
      <c r="D1485" s="32"/>
      <c r="E1485" s="32"/>
      <c r="F1485" s="32"/>
      <c r="G1485" s="32"/>
      <c r="H1485" s="32"/>
      <c r="I1485" s="32"/>
      <c r="J1485" s="32"/>
      <c r="K1485" s="97">
        <f t="shared" si="18"/>
        <v>1051</v>
      </c>
      <c r="L1485" s="98" t="s">
        <v>817</v>
      </c>
      <c r="M1485" s="99" t="s">
        <v>1461</v>
      </c>
      <c r="N1485" s="100" t="s">
        <v>1463</v>
      </c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</row>
    <row r="1486" spans="2:24" x14ac:dyDescent="0.25">
      <c r="B1486" s="32"/>
      <c r="C1486" s="32"/>
      <c r="D1486" s="32"/>
      <c r="E1486" s="32"/>
      <c r="F1486" s="32"/>
      <c r="G1486" s="32"/>
      <c r="H1486" s="32"/>
      <c r="I1486" s="32"/>
      <c r="J1486" s="32"/>
      <c r="K1486" s="97">
        <f t="shared" si="18"/>
        <v>1052</v>
      </c>
      <c r="L1486" s="98" t="s">
        <v>1463</v>
      </c>
      <c r="M1486" s="99" t="s">
        <v>626</v>
      </c>
      <c r="N1486" s="100" t="s">
        <v>817</v>
      </c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</row>
    <row r="1487" spans="2:24" x14ac:dyDescent="0.25">
      <c r="B1487" s="32"/>
      <c r="C1487" s="32"/>
      <c r="D1487" s="32"/>
      <c r="E1487" s="32"/>
      <c r="F1487" s="32"/>
      <c r="G1487" s="32"/>
      <c r="H1487" s="32"/>
      <c r="I1487" s="32"/>
      <c r="J1487" s="32"/>
      <c r="K1487" s="97">
        <f t="shared" si="18"/>
        <v>1053</v>
      </c>
      <c r="L1487" s="98" t="s">
        <v>825</v>
      </c>
      <c r="M1487" s="99" t="s">
        <v>817</v>
      </c>
      <c r="N1487" s="100" t="s">
        <v>1463</v>
      </c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</row>
    <row r="1488" spans="2:24" x14ac:dyDescent="0.25">
      <c r="B1488" s="32"/>
      <c r="C1488" s="32"/>
      <c r="D1488" s="32"/>
      <c r="E1488" s="32"/>
      <c r="F1488" s="32"/>
      <c r="G1488" s="32"/>
      <c r="H1488" s="32"/>
      <c r="I1488" s="32"/>
      <c r="J1488" s="32"/>
      <c r="K1488" s="97">
        <f t="shared" si="18"/>
        <v>1054</v>
      </c>
      <c r="L1488" s="98" t="s">
        <v>825</v>
      </c>
      <c r="M1488" s="99" t="s">
        <v>626</v>
      </c>
      <c r="N1488" s="100" t="s">
        <v>1463</v>
      </c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</row>
    <row r="1489" spans="2:24" x14ac:dyDescent="0.25">
      <c r="B1489" s="32"/>
      <c r="C1489" s="32"/>
      <c r="D1489" s="32"/>
      <c r="E1489" s="32"/>
      <c r="F1489" s="32"/>
      <c r="G1489" s="32"/>
      <c r="H1489" s="32"/>
      <c r="I1489" s="32"/>
      <c r="J1489" s="32"/>
      <c r="K1489" s="97">
        <f t="shared" si="18"/>
        <v>1055</v>
      </c>
      <c r="L1489" s="98" t="s">
        <v>825</v>
      </c>
      <c r="M1489" s="99" t="s">
        <v>817</v>
      </c>
      <c r="N1489" s="100" t="s">
        <v>1459</v>
      </c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</row>
    <row r="1490" spans="2:24" x14ac:dyDescent="0.25">
      <c r="B1490" s="32"/>
      <c r="C1490" s="32"/>
      <c r="D1490" s="32"/>
      <c r="E1490" s="32"/>
      <c r="F1490" s="32"/>
      <c r="G1490" s="32"/>
      <c r="H1490" s="32"/>
      <c r="I1490" s="32"/>
      <c r="J1490" s="32"/>
      <c r="K1490" s="97">
        <f t="shared" si="18"/>
        <v>1056</v>
      </c>
      <c r="L1490" s="98" t="s">
        <v>1461</v>
      </c>
      <c r="M1490" s="99" t="s">
        <v>825</v>
      </c>
      <c r="N1490" s="100" t="s">
        <v>817</v>
      </c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</row>
    <row r="1491" spans="2:24" x14ac:dyDescent="0.25">
      <c r="B1491" s="32"/>
      <c r="C1491" s="32"/>
      <c r="D1491" s="32"/>
      <c r="E1491" s="32"/>
      <c r="F1491" s="32"/>
      <c r="G1491" s="32"/>
      <c r="H1491" s="32"/>
      <c r="I1491" s="32"/>
      <c r="J1491" s="32"/>
      <c r="K1491" s="97">
        <f t="shared" si="18"/>
        <v>1057</v>
      </c>
      <c r="L1491" s="98" t="s">
        <v>1468</v>
      </c>
      <c r="M1491" s="99" t="s">
        <v>817</v>
      </c>
      <c r="N1491" s="100" t="s">
        <v>1463</v>
      </c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</row>
    <row r="1492" spans="2:24" x14ac:dyDescent="0.25">
      <c r="B1492" s="32"/>
      <c r="C1492" s="32"/>
      <c r="D1492" s="32"/>
      <c r="E1492" s="32"/>
      <c r="F1492" s="32"/>
      <c r="G1492" s="32"/>
      <c r="H1492" s="32"/>
      <c r="I1492" s="32"/>
      <c r="J1492" s="32"/>
      <c r="K1492" s="97">
        <f t="shared" si="18"/>
        <v>1058</v>
      </c>
      <c r="L1492" s="98" t="s">
        <v>1468</v>
      </c>
      <c r="M1492" s="99" t="s">
        <v>817</v>
      </c>
      <c r="N1492" s="100" t="s">
        <v>1463</v>
      </c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</row>
    <row r="1493" spans="2:24" x14ac:dyDescent="0.25">
      <c r="B1493" s="32"/>
      <c r="C1493" s="32"/>
      <c r="D1493" s="32"/>
      <c r="E1493" s="32"/>
      <c r="F1493" s="32"/>
      <c r="G1493" s="32"/>
      <c r="H1493" s="32"/>
      <c r="I1493" s="32"/>
      <c r="J1493" s="32"/>
      <c r="K1493" s="97">
        <f t="shared" si="18"/>
        <v>1059</v>
      </c>
      <c r="L1493" s="98" t="s">
        <v>1459</v>
      </c>
      <c r="M1493" s="99" t="s">
        <v>817</v>
      </c>
      <c r="N1493" s="100" t="s">
        <v>1461</v>
      </c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</row>
    <row r="1494" spans="2:24" x14ac:dyDescent="0.25">
      <c r="B1494" s="32"/>
      <c r="C1494" s="32"/>
      <c r="D1494" s="32"/>
      <c r="E1494" s="32"/>
      <c r="F1494" s="32"/>
      <c r="G1494" s="32"/>
      <c r="H1494" s="32"/>
      <c r="I1494" s="32"/>
      <c r="J1494" s="32"/>
      <c r="K1494" s="97">
        <f t="shared" si="18"/>
        <v>1060</v>
      </c>
      <c r="L1494" s="98" t="s">
        <v>1459</v>
      </c>
      <c r="M1494" s="99" t="s">
        <v>817</v>
      </c>
      <c r="N1494" s="100" t="s">
        <v>1463</v>
      </c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</row>
    <row r="1495" spans="2:24" x14ac:dyDescent="0.25">
      <c r="B1495" s="32"/>
      <c r="C1495" s="32"/>
      <c r="D1495" s="32"/>
      <c r="E1495" s="32"/>
      <c r="F1495" s="32"/>
      <c r="G1495" s="32"/>
      <c r="H1495" s="32"/>
      <c r="I1495" s="32"/>
      <c r="J1495" s="32"/>
      <c r="K1495" s="97">
        <f t="shared" si="18"/>
        <v>1061</v>
      </c>
      <c r="L1495" s="98" t="s">
        <v>817</v>
      </c>
      <c r="M1495" s="99" t="s">
        <v>626</v>
      </c>
      <c r="N1495" s="100" t="s">
        <v>1463</v>
      </c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</row>
    <row r="1496" spans="2:24" x14ac:dyDescent="0.25">
      <c r="B1496" s="32"/>
      <c r="C1496" s="32"/>
      <c r="D1496" s="32"/>
      <c r="E1496" s="32"/>
      <c r="F1496" s="32"/>
      <c r="G1496" s="32"/>
      <c r="H1496" s="32"/>
      <c r="I1496" s="32"/>
      <c r="J1496" s="32"/>
      <c r="K1496" s="97">
        <f t="shared" si="18"/>
        <v>1062</v>
      </c>
      <c r="L1496" s="98" t="s">
        <v>817</v>
      </c>
      <c r="M1496" s="99" t="s">
        <v>626</v>
      </c>
      <c r="N1496" s="100" t="s">
        <v>1459</v>
      </c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</row>
    <row r="1497" spans="2:24" x14ac:dyDescent="0.25">
      <c r="B1497" s="32"/>
      <c r="C1497" s="32"/>
      <c r="D1497" s="32"/>
      <c r="E1497" s="32"/>
      <c r="F1497" s="32"/>
      <c r="G1497" s="32"/>
      <c r="H1497" s="32"/>
      <c r="I1497" s="32"/>
      <c r="J1497" s="32"/>
      <c r="K1497" s="97">
        <f t="shared" si="18"/>
        <v>1063</v>
      </c>
      <c r="L1497" s="98" t="s">
        <v>1463</v>
      </c>
      <c r="M1497" s="99" t="s">
        <v>817</v>
      </c>
      <c r="N1497" s="100" t="s">
        <v>1459</v>
      </c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</row>
    <row r="1498" spans="2:24" x14ac:dyDescent="0.25">
      <c r="B1498" s="32"/>
      <c r="C1498" s="32"/>
      <c r="D1498" s="32"/>
      <c r="E1498" s="32"/>
      <c r="F1498" s="32"/>
      <c r="G1498" s="32"/>
      <c r="H1498" s="32"/>
      <c r="I1498" s="32"/>
      <c r="J1498" s="32"/>
      <c r="K1498" s="97">
        <f t="shared" si="18"/>
        <v>1064</v>
      </c>
      <c r="L1498" s="98" t="s">
        <v>1461</v>
      </c>
      <c r="M1498" s="99" t="s">
        <v>1459</v>
      </c>
      <c r="N1498" s="100" t="s">
        <v>825</v>
      </c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</row>
    <row r="1499" spans="2:24" x14ac:dyDescent="0.25">
      <c r="B1499" s="32"/>
      <c r="C1499" s="32"/>
      <c r="D1499" s="32"/>
      <c r="E1499" s="32"/>
      <c r="F1499" s="32"/>
      <c r="G1499" s="32"/>
      <c r="H1499" s="32"/>
      <c r="I1499" s="32"/>
      <c r="J1499" s="32"/>
      <c r="K1499" s="97">
        <f t="shared" si="18"/>
        <v>1065</v>
      </c>
      <c r="L1499" s="98" t="s">
        <v>817</v>
      </c>
      <c r="M1499" s="99" t="s">
        <v>1459</v>
      </c>
      <c r="N1499" s="100" t="s">
        <v>626</v>
      </c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</row>
    <row r="1500" spans="2:24" x14ac:dyDescent="0.25">
      <c r="B1500" s="32"/>
      <c r="C1500" s="32"/>
      <c r="D1500" s="32"/>
      <c r="E1500" s="32"/>
      <c r="F1500" s="32"/>
      <c r="G1500" s="32"/>
      <c r="H1500" s="32"/>
      <c r="I1500" s="32"/>
      <c r="J1500" s="32"/>
      <c r="K1500" s="97">
        <f t="shared" si="18"/>
        <v>1066</v>
      </c>
      <c r="L1500" s="98" t="s">
        <v>1459</v>
      </c>
      <c r="M1500" s="99" t="s">
        <v>1463</v>
      </c>
      <c r="N1500" s="100" t="s">
        <v>817</v>
      </c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</row>
    <row r="1501" spans="2:24" x14ac:dyDescent="0.25">
      <c r="B1501" s="32"/>
      <c r="C1501" s="32"/>
      <c r="D1501" s="32"/>
      <c r="E1501" s="32"/>
      <c r="F1501" s="32"/>
      <c r="G1501" s="32"/>
      <c r="H1501" s="32"/>
      <c r="I1501" s="32"/>
      <c r="J1501" s="32"/>
      <c r="K1501" s="97">
        <f t="shared" si="18"/>
        <v>1067</v>
      </c>
      <c r="L1501" s="98" t="s">
        <v>1459</v>
      </c>
      <c r="M1501" s="99" t="s">
        <v>1463</v>
      </c>
      <c r="N1501" s="100" t="s">
        <v>825</v>
      </c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</row>
    <row r="1502" spans="2:24" x14ac:dyDescent="0.25">
      <c r="B1502" s="32"/>
      <c r="C1502" s="32"/>
      <c r="D1502" s="32"/>
      <c r="E1502" s="32"/>
      <c r="F1502" s="32"/>
      <c r="G1502" s="32"/>
      <c r="H1502" s="32"/>
      <c r="I1502" s="32"/>
      <c r="J1502" s="32"/>
      <c r="K1502" s="97">
        <f t="shared" si="18"/>
        <v>1068</v>
      </c>
      <c r="L1502" s="98" t="s">
        <v>1463</v>
      </c>
      <c r="M1502" s="99" t="s">
        <v>1459</v>
      </c>
      <c r="N1502" s="100" t="s">
        <v>817</v>
      </c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</row>
    <row r="1503" spans="2:24" x14ac:dyDescent="0.25">
      <c r="B1503" s="32"/>
      <c r="C1503" s="32"/>
      <c r="D1503" s="32"/>
      <c r="E1503" s="32"/>
      <c r="F1503" s="32"/>
      <c r="G1503" s="32"/>
      <c r="H1503" s="32"/>
      <c r="I1503" s="32"/>
      <c r="J1503" s="32"/>
      <c r="K1503" s="97">
        <f t="shared" si="18"/>
        <v>1069</v>
      </c>
      <c r="L1503" s="98" t="s">
        <v>825</v>
      </c>
      <c r="M1503" s="99" t="s">
        <v>1463</v>
      </c>
      <c r="N1503" s="100" t="s">
        <v>1459</v>
      </c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</row>
    <row r="1504" spans="2:24" x14ac:dyDescent="0.25">
      <c r="B1504" s="32"/>
      <c r="C1504" s="32"/>
      <c r="D1504" s="32"/>
      <c r="E1504" s="32"/>
      <c r="F1504" s="32"/>
      <c r="G1504" s="32"/>
      <c r="H1504" s="32"/>
      <c r="I1504" s="32"/>
      <c r="J1504" s="32"/>
      <c r="K1504" s="97">
        <f t="shared" si="18"/>
        <v>1070</v>
      </c>
      <c r="L1504" s="98" t="s">
        <v>825</v>
      </c>
      <c r="M1504" s="99" t="s">
        <v>1459</v>
      </c>
      <c r="N1504" s="100" t="s">
        <v>1461</v>
      </c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</row>
    <row r="1505" spans="2:24" x14ac:dyDescent="0.25">
      <c r="B1505" s="32"/>
      <c r="C1505" s="32"/>
      <c r="D1505" s="32"/>
      <c r="E1505" s="32"/>
      <c r="F1505" s="32"/>
      <c r="G1505" s="32"/>
      <c r="H1505" s="32"/>
      <c r="I1505" s="32"/>
      <c r="J1505" s="32"/>
      <c r="K1505" s="97">
        <f t="shared" si="18"/>
        <v>1071</v>
      </c>
      <c r="L1505" s="98" t="s">
        <v>1459</v>
      </c>
      <c r="M1505" s="99" t="s">
        <v>1463</v>
      </c>
      <c r="N1505" s="100" t="s">
        <v>1461</v>
      </c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</row>
    <row r="1506" spans="2:24" x14ac:dyDescent="0.25">
      <c r="B1506" s="32"/>
      <c r="C1506" s="32"/>
      <c r="D1506" s="32"/>
      <c r="E1506" s="32"/>
      <c r="F1506" s="32"/>
      <c r="G1506" s="32"/>
      <c r="H1506" s="32"/>
      <c r="I1506" s="32"/>
      <c r="J1506" s="32"/>
      <c r="K1506" s="97">
        <f t="shared" si="18"/>
        <v>1072</v>
      </c>
      <c r="L1506" s="98" t="s">
        <v>817</v>
      </c>
      <c r="M1506" s="99" t="s">
        <v>1463</v>
      </c>
      <c r="N1506" s="100" t="s">
        <v>1461</v>
      </c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</row>
    <row r="1507" spans="2:24" x14ac:dyDescent="0.25">
      <c r="B1507" s="32"/>
      <c r="C1507" s="32"/>
      <c r="D1507" s="32"/>
      <c r="E1507" s="32"/>
      <c r="F1507" s="32"/>
      <c r="G1507" s="32"/>
      <c r="H1507" s="32"/>
      <c r="I1507" s="32"/>
      <c r="J1507" s="32"/>
      <c r="K1507" s="97">
        <f t="shared" si="18"/>
        <v>1073</v>
      </c>
      <c r="L1507" s="98" t="s">
        <v>1461</v>
      </c>
      <c r="M1507" s="99" t="s">
        <v>1459</v>
      </c>
      <c r="N1507" s="100" t="s">
        <v>1463</v>
      </c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</row>
    <row r="1508" spans="2:24" x14ac:dyDescent="0.25">
      <c r="B1508" s="32"/>
      <c r="C1508" s="32"/>
      <c r="D1508" s="32"/>
      <c r="E1508" s="32"/>
      <c r="F1508" s="32"/>
      <c r="G1508" s="32"/>
      <c r="H1508" s="32"/>
      <c r="I1508" s="32"/>
      <c r="J1508" s="32"/>
      <c r="K1508" s="97">
        <f t="shared" si="18"/>
        <v>1074</v>
      </c>
      <c r="L1508" s="98" t="s">
        <v>817</v>
      </c>
      <c r="M1508" s="99" t="s">
        <v>1463</v>
      </c>
      <c r="N1508" s="100" t="s">
        <v>626</v>
      </c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</row>
    <row r="1509" spans="2:24" x14ac:dyDescent="0.25">
      <c r="B1509" s="32"/>
      <c r="C1509" s="32"/>
      <c r="D1509" s="32"/>
      <c r="E1509" s="32"/>
      <c r="F1509" s="32"/>
      <c r="G1509" s="32"/>
      <c r="H1509" s="32"/>
      <c r="I1509" s="32"/>
      <c r="J1509" s="32"/>
      <c r="K1509" s="97">
        <f t="shared" si="18"/>
        <v>1075</v>
      </c>
      <c r="L1509" s="98" t="s">
        <v>817</v>
      </c>
      <c r="M1509" s="99" t="s">
        <v>1463</v>
      </c>
      <c r="N1509" s="100" t="s">
        <v>626</v>
      </c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</row>
    <row r="1510" spans="2:24" x14ac:dyDescent="0.25">
      <c r="B1510" s="32"/>
      <c r="C1510" s="32"/>
      <c r="D1510" s="32"/>
      <c r="E1510" s="32"/>
      <c r="F1510" s="32"/>
      <c r="G1510" s="32"/>
      <c r="H1510" s="32"/>
      <c r="I1510" s="32"/>
      <c r="J1510" s="32"/>
      <c r="K1510" s="97">
        <f t="shared" si="18"/>
        <v>1076</v>
      </c>
      <c r="L1510" s="98" t="s">
        <v>817</v>
      </c>
      <c r="M1510" s="99" t="s">
        <v>626</v>
      </c>
      <c r="N1510" s="100" t="s">
        <v>1461</v>
      </c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</row>
    <row r="1511" spans="2:24" x14ac:dyDescent="0.25">
      <c r="B1511" s="32"/>
      <c r="C1511" s="32"/>
      <c r="D1511" s="32"/>
      <c r="E1511" s="32"/>
      <c r="F1511" s="32"/>
      <c r="G1511" s="32"/>
      <c r="H1511" s="32"/>
      <c r="I1511" s="32"/>
      <c r="J1511" s="32"/>
      <c r="K1511" s="97">
        <f t="shared" si="18"/>
        <v>1077</v>
      </c>
      <c r="L1511" s="98" t="s">
        <v>626</v>
      </c>
      <c r="M1511" s="99" t="s">
        <v>1459</v>
      </c>
      <c r="N1511" s="100" t="s">
        <v>817</v>
      </c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</row>
    <row r="1512" spans="2:24" x14ac:dyDescent="0.25">
      <c r="B1512" s="32"/>
      <c r="C1512" s="32"/>
      <c r="D1512" s="32"/>
      <c r="E1512" s="32"/>
      <c r="F1512" s="32"/>
      <c r="G1512" s="32"/>
      <c r="H1512" s="32"/>
      <c r="I1512" s="32"/>
      <c r="J1512" s="32"/>
      <c r="K1512" s="97">
        <f t="shared" si="18"/>
        <v>1078</v>
      </c>
      <c r="L1512" s="98" t="s">
        <v>817</v>
      </c>
      <c r="M1512" s="99" t="s">
        <v>626</v>
      </c>
      <c r="N1512" s="100" t="s">
        <v>1461</v>
      </c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</row>
    <row r="1513" spans="2:24" x14ac:dyDescent="0.25">
      <c r="B1513" s="32"/>
      <c r="C1513" s="32"/>
      <c r="D1513" s="32"/>
      <c r="E1513" s="32"/>
      <c r="F1513" s="32"/>
      <c r="G1513" s="32"/>
      <c r="H1513" s="32"/>
      <c r="I1513" s="32"/>
      <c r="J1513" s="32"/>
      <c r="K1513" s="97">
        <f t="shared" si="18"/>
        <v>1079</v>
      </c>
      <c r="L1513" s="98" t="s">
        <v>1463</v>
      </c>
      <c r="M1513" s="99" t="s">
        <v>626</v>
      </c>
      <c r="N1513" s="100" t="s">
        <v>1459</v>
      </c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</row>
    <row r="1514" spans="2:24" x14ac:dyDescent="0.25">
      <c r="B1514" s="32"/>
      <c r="C1514" s="32"/>
      <c r="D1514" s="32"/>
      <c r="E1514" s="32"/>
      <c r="F1514" s="32"/>
      <c r="G1514" s="32"/>
      <c r="H1514" s="32"/>
      <c r="I1514" s="32"/>
      <c r="J1514" s="32"/>
      <c r="K1514" s="97">
        <f t="shared" si="18"/>
        <v>1080</v>
      </c>
      <c r="L1514" s="98" t="s">
        <v>1463</v>
      </c>
      <c r="M1514" s="99" t="s">
        <v>626</v>
      </c>
      <c r="N1514" s="100" t="s">
        <v>817</v>
      </c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</row>
    <row r="1515" spans="2:24" x14ac:dyDescent="0.25">
      <c r="B1515" s="32"/>
      <c r="C1515" s="32"/>
      <c r="D1515" s="32"/>
      <c r="E1515" s="32"/>
      <c r="F1515" s="32"/>
      <c r="G1515" s="32"/>
      <c r="H1515" s="32"/>
      <c r="I1515" s="32"/>
      <c r="J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</row>
    <row r="1516" spans="2:24" x14ac:dyDescent="0.25">
      <c r="B1516" s="32"/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</row>
    <row r="1517" spans="2:24" x14ac:dyDescent="0.25">
      <c r="B1517" s="32"/>
      <c r="C1517" s="32"/>
      <c r="D1517" s="32"/>
      <c r="E1517" s="32"/>
      <c r="F1517" s="32"/>
      <c r="G1517" s="32"/>
      <c r="H1517" s="32"/>
      <c r="I1517" s="32"/>
      <c r="J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</row>
    <row r="1518" spans="2:24" x14ac:dyDescent="0.25">
      <c r="B1518" s="32"/>
      <c r="C1518" s="32"/>
      <c r="D1518" s="32"/>
      <c r="E1518" s="32"/>
      <c r="F1518" s="32"/>
      <c r="G1518" s="32"/>
      <c r="H1518" s="32"/>
      <c r="I1518" s="32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</row>
    <row r="1519" spans="2:24" x14ac:dyDescent="0.25">
      <c r="B1519" s="32"/>
      <c r="C1519" s="32"/>
      <c r="D1519" s="32"/>
      <c r="E1519" s="32"/>
      <c r="F1519" s="32"/>
      <c r="G1519" s="32"/>
      <c r="H1519" s="32"/>
      <c r="I1519" s="32"/>
      <c r="J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</row>
    <row r="1520" spans="2:24" x14ac:dyDescent="0.25">
      <c r="B1520" s="32"/>
      <c r="C1520" s="32"/>
      <c r="D1520" s="32"/>
      <c r="E1520" s="32"/>
      <c r="F1520" s="32"/>
      <c r="G1520" s="32"/>
      <c r="H1520" s="32"/>
      <c r="I1520" s="32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</row>
    <row r="1521" spans="2:24" x14ac:dyDescent="0.25">
      <c r="F1521" s="428"/>
      <c r="G1521" s="427"/>
      <c r="J1521" s="428" t="s">
        <v>2050</v>
      </c>
      <c r="V1521" s="32"/>
      <c r="W1521" s="32"/>
      <c r="X1521" s="32"/>
    </row>
    <row r="1522" spans="2:24" ht="36.75" thickBot="1" x14ac:dyDescent="0.6">
      <c r="B1522" s="579"/>
      <c r="C1522" s="580"/>
      <c r="D1522" s="580"/>
      <c r="E1522" s="580"/>
      <c r="F1522" s="580"/>
      <c r="G1522" s="580"/>
      <c r="H1522" s="581" t="str">
        <f>IF($S$1523&gt;=1055,"LOT 21 LABORATORY REQUIREMENT - OBADA ANNEX",IF($S$1523&gt;=1039,"LOT 21 - LABORATORY REQUIREMENT - SHAJE ANNEX",IF($S$1523&gt;=981,"LOT 20 - LABORATORY - CHEMICAL PATHOLOGY",IF($S$1523&gt;=974,"LOT 19 - MICROBIOLOGY - INFECTION CONTROL",IF($S$1523&gt;=957,"LOT 19 - MICROBIOLOGY - SENSITIVITY DISCS",IF($S$1523&gt;=902,"LOT 18 - MICROBIOLOGY - REAGENT KITS",IF($S$1523&gt;=846,"LOT 17 - HISTOPATHOLOGY",IF($S$1523&gt;=760,"LOT 16 - HAEMATOLOGY",IF($S$1523&gt;=722,"LOT 15 - THEATRE DEPARTMENT",IF($S$1523&gt;=709,"LOT 14 - RADIOLOGY DEPARTMENT",IF($S$1523&gt;=702,"LOT 13 - PHARMACY - CONSUMABLES - SUTURES",IF($S$1523&gt;=684,"LOT 13 - PHARMACY - CONSUMABLES",IF($S$1523&gt;=669,"LOT 13 PHARMACY - DISINFECTANTS",IF($S$1523&gt;=651,"LOT 13 - PHARMACY - DERMATOLOGICAL PREPARATIONS",IF($S$1523&gt;=570,"LOT 13 - PHARMACY - DRESSINGS/CONSUMABLES",IF($S$1523&gt;=539,"LOT 12 - PHARMACY - ONCOLOGY DRUGS",IF($S$1523&gt;=494,"LOT 11 - PHARMACY - EYE/EAR MEDICATIONS",IF($S$1523&gt;=455,"LOT 10 - PHARMACY - RESPIRATORY TRACT DRUGS",IF($S$1523&gt;=424,"LOT 9 - PHARMACY GASTROINTESTINAL DRUGS",IF($S$1523&gt;=381,"LOT 8 - PHARMACY -OBSTETRICS/GYNAECOLOGY DRUGS",IF($S$1523&gt;=351,"LOT 7 - PHARMACY - HYPNOSEDATIVE DRUGS",IF($S$1523&gt;=285,"LOT 6 PHARMACY - BLOOD &amp; NUTRITIONAL DRUGS",IF($S$1523&gt;=194,"LOT 5 - I589PHARMACY - ANTI-INFECTIVE AGENTS",IF($S$1523&gt;=142,"LOT 4 - PHARMACY - ANTI-INFLAMMATORY/ANTI-PYRETIC/ANALGESICS",IF($S$1523&gt;=118,"LOT 3 - PHARMACY - ORAL HYPOGLYCAEMIC DRUGS",IF($S$1523&gt;=34,"LOT 3 - PHARMACY - ANTI-HYPERTENSIVES",IF($S$1523&gt;=19,"LOT 2 - PHARMACY - STERILE INTRAVENOUS FLUIDS",IF($S$1523&gt;=1,"LOT 1 - PHARMACY - ANTI-MALARIALS","-"))))))))))))))))))))))))))))</f>
        <v>LOT 21 LABORATORY REQUIREMENT - OBADA ANNEX</v>
      </c>
      <c r="I1522" s="582"/>
      <c r="J1522" s="580"/>
      <c r="K1522" s="580"/>
      <c r="L1522" s="580"/>
      <c r="M1522" s="580"/>
      <c r="N1522" s="580"/>
      <c r="O1522" s="580"/>
      <c r="P1522" s="580"/>
      <c r="Q1522" s="580"/>
      <c r="R1522" s="583"/>
      <c r="S1522" s="580"/>
      <c r="T1522" s="580"/>
      <c r="U1522" s="580"/>
      <c r="V1522" s="32"/>
      <c r="W1522" s="32"/>
      <c r="X1522" s="32"/>
    </row>
    <row r="1523" spans="2:24" ht="42.75" thickBot="1" x14ac:dyDescent="0.7">
      <c r="B1523" s="584"/>
      <c r="C1523" s="585" t="str">
        <f>IF($S$1523=1081,PR!$B$1203,IF($S$1523=1082,PR!$B$1204,IF($S$1523=1083,PR!$B$1205,IF($S$1523=1084,PR!$B$1206,IF($S$1523=1085,PR!$B$1207,IF($S$1523=1086,PR!$B$1208,IF($S$1523=1087,PR!$B$1209,IF($S$1523=1088,PR!$B$1210,IF($S$1523=1089,PR!$B$1211,IF($S$1523=1090,PR!$B$1212,IF($S$1523=1091,PR!$B$1213,IF($S$1523=1092,PR!$B$1214,IF($S$1523=1093,PR!$B$1215,IF($S$1523=1094,PR!$B$1216,IF($S$1523=1095,PR!$B$1217,IF($S$1523=1096,PR!$B$1218,IF($S$1523=1097,PR!$B$1219,IF($S$1523=1098,PR!$B$1220,IF($S$1523=1099,PR!$B$1221,IF($S$1523=1100,PR!$B$1222,IF($S$1523=1101,PR!$B$1223,"-")))))))))))))))))))))</f>
        <v>PREGNANT KIT CASSETTE (LABACON)</v>
      </c>
      <c r="D1523" s="629"/>
      <c r="E1523" s="629"/>
      <c r="F1523" s="629"/>
      <c r="G1523" s="629"/>
      <c r="H1523" s="629"/>
      <c r="I1523" s="629"/>
      <c r="J1523" s="586"/>
      <c r="K1523" s="586"/>
      <c r="L1523" s="586"/>
      <c r="M1523" s="586"/>
      <c r="N1523" s="586"/>
      <c r="O1523" s="586"/>
      <c r="P1523" s="587"/>
      <c r="Q1523" s="588"/>
      <c r="R1523" s="583"/>
      <c r="S1523" s="589">
        <v>1101</v>
      </c>
      <c r="T1523" s="580"/>
      <c r="U1523" s="580"/>
      <c r="V1523" s="32"/>
      <c r="W1523" s="32"/>
      <c r="X1523" s="32"/>
    </row>
    <row r="1524" spans="2:24" ht="42.75" thickBot="1" x14ac:dyDescent="0.7">
      <c r="B1524" s="580"/>
      <c r="C1524" s="590" t="s">
        <v>780</v>
      </c>
      <c r="D1524" s="585" t="str">
        <f>IF($S$1523=1081,PR!$D$1203,IF($S$1523=1082,PR!$D$1204,IF($S$1523=1083,PR!$D$1205,IF($S$1523=1084,PR!$D$1206,IF($S$1523=1085,PR!$D$1207,IF($S$1523=1086,PR!$D$1208,IF($S$1523=1087,PR!$D$1209,IF($S$1523=1088,PR!$D$1210,IF($S$1523=1089,PR!$D$1211,IF($S$1523=1090,PR!$D$1212,IF($S$1523=1091,PR!$D$1213,IF($S$1523=1092,PR!$D$1214,IF($S$1523=1093,PR!$D$1215,IF($S$1523=1094,PR!$D$1216,IF($S$1523=1095,PR!$D$1217,IF($S$1523=1096,PR!$D$1218,IF($S$1523=1097,PR!$D$1219,IF($S$1523=1098,PR!$D$1220,IF($S$1523=1099,PR!$D$1221,IF($S$1523=1100,PR!$D$1222,IF($S$1523=1101,PR!$D$1223,"-")))))))))))))))))))))</f>
        <v>packs</v>
      </c>
      <c r="E1524" s="586"/>
      <c r="F1524" s="586"/>
      <c r="G1524" s="586"/>
      <c r="H1524" s="630"/>
      <c r="I1524" s="631"/>
      <c r="J1524" s="779" t="s">
        <v>781</v>
      </c>
      <c r="K1524" s="779"/>
      <c r="L1524" s="780"/>
      <c r="M1524" s="781">
        <f>IF($S$1523=1081,PR!$C$1203,IF($S$1523=1082,PR!$C$1204,IF($S$1523=1083,PR!$C$1205,IF($S$1523=1084,PR!$C$1206,IF($S$1523=1085,PR!$C$1207,IF($S$1523=1086,PR!$C$1208,IF($S$1523=1087,PR!$C$1209,IF($S$1523=1088,PR!$C$1210,IF($S$1523=1089,PR!$C$1211,IF($S$1523=1090,PR!$C$1212,IF($S$1523=1091,PR!$C$1213,IF($S$1523=1092,PR!$C$1214,IF($S$1523=1093,PR!$C$1215,IF($S$1523=1094,PR!$C$1216,IF($S$1523=1095,PR!$C$1217,IF($S$1523=1096,PR!$C$1218,IF($S$1523=1097,PR!$C$1219,IF($S$1523=1098,PR!$C$1220,IF($S$1523=1099,PR!$C$1221,IF($S$1523=1100,PR!$C$1222,IF($S$1523=1101,PR!$C$1223,"-")))))))))))))))))))))</f>
        <v>36</v>
      </c>
      <c r="N1524" s="782"/>
      <c r="O1524" s="580"/>
      <c r="P1524" s="580"/>
      <c r="Q1524" s="580"/>
      <c r="R1524" s="583"/>
      <c r="S1524" s="580"/>
      <c r="T1524" s="580"/>
      <c r="U1524" s="580"/>
      <c r="V1524" s="32"/>
      <c r="W1524" s="32"/>
      <c r="X1524" s="32"/>
    </row>
    <row r="1525" spans="2:24" ht="19.5" thickTop="1" x14ac:dyDescent="0.25">
      <c r="B1525" s="580"/>
      <c r="C1525" s="591"/>
      <c r="D1525" s="592"/>
      <c r="E1525" s="580"/>
      <c r="F1525" s="580"/>
      <c r="G1525" s="593"/>
      <c r="H1525" s="593"/>
      <c r="I1525" s="593"/>
      <c r="J1525" s="593"/>
      <c r="K1525" s="594"/>
      <c r="L1525" s="594"/>
      <c r="M1525" s="580"/>
      <c r="N1525" s="580"/>
      <c r="O1525" s="580"/>
      <c r="P1525" s="580"/>
      <c r="Q1525" s="580"/>
      <c r="R1525" s="583"/>
      <c r="S1525" s="580"/>
      <c r="T1525" s="580"/>
      <c r="U1525" s="580"/>
      <c r="V1525" s="32"/>
      <c r="W1525" s="32"/>
      <c r="X1525" s="32"/>
    </row>
    <row r="1526" spans="2:24" ht="15.75" thickBot="1" x14ac:dyDescent="0.3">
      <c r="B1526" s="595"/>
      <c r="C1526" s="600" t="str">
        <f>N!$C$4</f>
        <v>ALPHA</v>
      </c>
      <c r="D1526" s="600" t="str">
        <f>N!$C$5</f>
        <v>ASSENE</v>
      </c>
      <c r="E1526" s="600" t="str">
        <f>N!$C$6</f>
        <v>BIOFEM</v>
      </c>
      <c r="F1526" s="600" t="str">
        <f>N!$C$7</f>
        <v>BIOMED</v>
      </c>
      <c r="G1526" s="600" t="str">
        <f>N!$C$8</f>
        <v>CHI</v>
      </c>
      <c r="H1526" s="600" t="str">
        <f>N!$C$9</f>
        <v>CLARION</v>
      </c>
      <c r="I1526" s="600" t="str">
        <f>N!$C$10</f>
        <v>CODIX</v>
      </c>
      <c r="J1526" s="600" t="str">
        <f>N!$C$11</f>
        <v>COSMADE</v>
      </c>
      <c r="K1526" s="600" t="str">
        <f>N!$C$12</f>
        <v>SANCON</v>
      </c>
      <c r="L1526" s="600" t="str">
        <f>N!$C$13</f>
        <v>DEVON</v>
      </c>
      <c r="M1526" s="600" t="str">
        <f>N!$C$14</f>
        <v>DORTEMAG</v>
      </c>
      <c r="N1526" s="600" t="str">
        <f>N!$C$15</f>
        <v>DGF</v>
      </c>
      <c r="O1526" s="601" t="str">
        <f>N!$C$16</f>
        <v>DYNAMIC</v>
      </c>
      <c r="P1526" s="600" t="str">
        <f>N!$C$17</f>
        <v>EMZOR</v>
      </c>
      <c r="Q1526" s="600" t="str">
        <f>N!$C$18</f>
        <v>EUMATT</v>
      </c>
      <c r="R1526" s="600" t="str">
        <f>N!$C$19</f>
        <v>FIDSON</v>
      </c>
      <c r="S1526" s="600" t="str">
        <f>N!$C$20</f>
        <v>FCGLOBAL</v>
      </c>
      <c r="T1526" s="580"/>
      <c r="U1526" s="580"/>
      <c r="V1526" s="32"/>
      <c r="W1526" s="32"/>
      <c r="X1526" s="32"/>
    </row>
    <row r="1527" spans="2:24" ht="15.75" thickBot="1" x14ac:dyDescent="0.3">
      <c r="B1527" s="596"/>
      <c r="C1527" s="602">
        <f>IF($S$1523=1081,PR!$E$1203,IF($S$1523=1082,PR!$E$1204,IF($S$1523=1083,PR!$E$1205,IF($S$1523=1084,PR!$E$1206,IF($S$1523=1085,PR!$E$1207,IF($S$1523=1086,PR!$E$1208,IF($S$1523=1087,PR!$E$1209,IF($S$1523=1088,PR!$E$1210,IF($S$1523=1089,PR!$E$1211,IF($S$1523=1090,PR!$E$1212,IF($S$1523=1091,PR!$E$1213,IF($S$1523=1092,PR!$E$1214,IF($S$1523=1093,PR!$E$1215,IF($S$1523=1094,PR!$E$1216,IF($S$1523=1095,PR!$E$1217,IF($S$1523=1096,PR!$E$1218,IF($S$1523=1097,PR!$E$1219,IF($S$1523=1098,PR!$E$1220,IF($S$1523=1099,PR!$E$1221,IF($S$1523=1100,PR!$E$1222,IF($S$1523=1101,PR!$E$1223,"-")))))))))))))))))))))</f>
        <v>0</v>
      </c>
      <c r="D1527" s="602">
        <f>IF($S$1523=1081,PR!$F$1203,IF($S$1523=1082,PR!$F$1204,IF($S$1523=1083,PR!$F$1205,IF($S$1523=1084,PR!$F$1206,IF($S$1523=1085,PR!$F$1207,IF($S$1523=1086,PR!$F$1208,IF($S$1523=1087,PR!$F$1209,IF($S$1523=1088,PR!$F$1210,IF($S$1523=1089,PR!$F$1211,IF($S$1523=1090,PR!$F$1212,IF($S$1523=1091,PR!$F$1213,IF($S$1523=1092,PR!$F$1214,IF($S$1523=1093,PR!$F$1215,IF($S$1523=1094,PR!$F$1216,IF($S$1523=1095,PR!$F$1217,IF($S$1523=1096,PR!$F$1218,IF($S$1523=1097,PR!$F$1219,IF($S$1523=1098,PR!$F$1220,IF($S$1523=1099,PR!$F$1221,IF($S$1523=1100,PR!$F$1222,IF($S$1523=1101,PR!$F$1223,"-")))))))))))))))))))))</f>
        <v>0</v>
      </c>
      <c r="E1527" s="602">
        <f>IF($S$1523=1081,PR!$G$1203,IF($S$1523=1082,PR!$G$1204,IF($S$1523=1083,PR!$G$1205,IF($S$1523=1084,PR!$G$1206,IF($S$1523=1085,PR!$G$1207,IF($S$1523=1086,PR!$G$1208,IF($S$1523=1087,PR!$G$1209,IF($S$1523=1088,PR!$G$1210,IF($S$1523=1089,PR!$G$1211,IF($S$1523=1090,PR!$G$1212,IF($S$1523=1091,PR!$G$1213,IF($S$1523=1092,PR!$G$1214,IF($S$1523=1093,PR!$G$1215,IF($S$1523=1094,PR!$G$1216,IF($S$1523=1095,PR!$G$1217,IF($S$1523=1096,PR!$G$1218,IF($S$1523=1097,PR!$G$1219,IF($S$1523=1098,PR!$G$1220,IF($S$1523=1099,PR!$G$1221,IF($S$1523=1100,PR!$G$1222,IF($S$1523=1101,PR!$G$1223,"-")))))))))))))))))))))</f>
        <v>0</v>
      </c>
      <c r="F1527" s="602">
        <f>IF($S$1523=1081,PR!$H$1203,IF($S$1523=1082,PR!$H$1204,IF($S$1523=1083,PR!$H$1205,IF($S$1523=1084,PR!$H$1206,IF($S$1523=1085,PR!$H$1207,IF($S$1523=1086,PR!$H$1208,IF($S$1523=1087,PR!$H$1209,IF($S$1523=1088,PR!$H$1210,IF($S$1523=1089,PR!$H$1211,IF($S$1523=1090,PR!$H$1212,IF($S$1523=1091,PR!$H$1213,IF($S$1523=1092,PR!$H$1214,IF($S$1523=1093,PR!$H$1215,IF($S$1523=1094,PR!$H$1216,IF($S$1523=1095,PR!$H$1217,IF($S$1523=1096,PR!$H$1218,IF($S$1523=1097,PR!$H$1219,IF($S$1523=1098,PR!$H$1220,IF($S$1523=1099,PR!$H$1221,IF($S$1523=1100,PR!$H$1222,IF($S$1523=1101,PR!$H$1223,"-")))))))))))))))))))))</f>
        <v>0</v>
      </c>
      <c r="G1527" s="602">
        <f>IF($S$1523=1081,PR!$I$1203,IF($S$1523=1082,PR!$I$1204,IF($S$1523=1083,PR!$I$1205,IF($S$1523=1084,PR!$I$1206,IF($S$1523=1085,PR!$I$1207,IF($S$1523=1086,PR!$I$1208,IF($S$1523=1087,PR!$I$1209,IF($S$1523=1088,PR!$I$1210,IF($S$1523=1089,PR!$I$1211,IF($S$1523=1090,PR!$I$1212,IF($S$1523=1091,PR!$I$1213,IF($S$1523=1092,PR!$I$1214,IF($S$1523=1093,PR!$I$1215,IF($S$1523=1094,PR!$I$1216,IF($S$1523=1095,PR!$I$1217,IF($S$1523=1096,PR!$I$1218,IF($S$1523=1097,PR!$I$1219,IF($S$1523=1098,PR!$I$1220,IF($S$1523=1099,PR!$I$1221,IF($S$1523=1100,PR!$I$1222,IF($S$1523=1101,PR!$I$1223,"-")))))))))))))))))))))</f>
        <v>0</v>
      </c>
      <c r="H1527" s="602">
        <f>IF($S$1523=1081,PR!$J$1203,IF($S$1523=1082,PR!$J$1204,IF($S$1523=1083,PR!$J$1205,IF($S$1523=1084,PR!$J$1206,IF($S$1523=1085,PR!$J$1207,IF($S$1523=1086,PR!$J$1208,IF($S$1523=1087,PR!$J$1209,IF($S$1523=1088,PR!$J$1210,IF($S$1523=1089,PR!$J$1211,IF($S$1523=1090,PR!$J$1212,IF($S$1523=1091,PR!$J$1213,IF($S$1523=1092,PR!$J$1214,IF($S$1523=1093,PR!$J$1215,IF($S$1523=1094,PR!$J$1216,IF($S$1523=1095,PR!$J$1217,IF($S$1523=1096,PR!$J$1218,IF($S$1523=1097,PR!$J$1219,IF($S$1523=1098,PR!$J$1220,IF($S$1523=1099,PR!$J$1221,IF($S$1523=1100,PR!$J$1222,IF($S$1523=1101,PR!$J$1223,"-")))))))))))))))))))))</f>
        <v>0</v>
      </c>
      <c r="I1527" s="602">
        <f>IF($S$1523=1081,PR!$K$1203,IF($S$1523=1082,PR!$K$1204,IF($S$1523=1083,PR!$K$1205,IF($S$1523=1084,PR!$K$1206,IF($S$1523=1085,PR!$K$1207,IF($S$1523=1086,PR!$K$1208,IF($S$1523=1087,PR!$K$1209,IF($S$1523=1088,PR!$K$1210,IF($S$1523=1089,PR!$K$1211,IF($S$1523=1090,PR!$K$1212,IF($S$1523=1091,PR!$K$1213,IF($S$1523=1092,PR!$K$1214,IF($S$1523=1093,PR!$K$1215,IF($S$1523=1094,PR!$K$1216,IF($S$1523=1095,PR!$K$1217,IF($S$1523=1096,PR!$K$1218,IF($S$1523=1097,PR!$K$1219,IF($S$1523=1098,PR!$K$1220,IF($S$1523=1099,PR!$K$1221,IF($S$1523=1100,PR!$K$1222,IF($S$1523=1101,PR!$K$1223,"-")))))))))))))))))))))</f>
        <v>0</v>
      </c>
      <c r="J1527" s="602">
        <f>IF($S$1523=1081,PR!$L$1203,IF($S$1523=1082,PR!$L$1204,IF($S$1523=1083,PR!$L$1205,IF($S$1523=1084,PR!$L$1206,IF($S$1523=1085,PR!$L$1207,IF($S$1523=1086,PR!$L$1208,IF($S$1523=1087,PR!$L$1209,IF($S$1523=1088,PR!$L$1210,IF($S$1523=1089,PR!$L$1211,IF($S$1523=1090,PR!$L$1212,IF($S$1523=1091,PR!$L$1213,IF($S$1523=1092,PR!$L$1214,IF($S$1523=1093,PR!$L$1215,IF($S$1523=1094,PR!$L$1216,IF($S$1523=1095,PR!$L$1217,IF($S$1523=1096,PR!$L$1218,IF($S$1523=1097,PR!$L$1219,IF($S$1523=1098,PR!$L$1220,IF($S$1523=1099,PR!$L$1221,IF($S$1523=1100,PR!$L$1222,IF($S$1523=1101,PR!$L$1223,"-")))))))))))))))))))))</f>
        <v>0</v>
      </c>
      <c r="K1527" s="602">
        <f>IF($S$1523=1081,PR!$M$1203,IF($S$1523=1082,PR!$M$1204,IF($S$1523=1083,PR!$M$1205,IF($S$1523=1084,PR!$M$1206,IF($S$1523=1085,PR!$M$1207,IF($S$1523=1086,PR!$M$1208,IF($S$1523=1087,PR!$M$1209,IF($S$1523=1088,PR!$M$1210,IF($S$1523=1089,PR!$M$1211,IF($S$1523=1090,PR!$M$1212,IF($S$1523=1091,PR!$M$1213,IF($S$1523=1092,PR!$M$1214,IF($S$1523=1093,PR!$M$1215,IF($S$1523=1094,PR!$M$1216,IF($S$1523=1095,PR!$M$1217,IF($S$1523=1096,PR!$M$1218,IF($S$1523=1097,PR!$M$1219,IF($S$1523=1098,PR!$M$1220,IF($S$1523=1099,PR!$M$1221,IF($S$1523=1100,PR!$M$1222,IF($S$1523=1101,PR!$M$1223,"-")))))))))))))))))))))</f>
        <v>3990</v>
      </c>
      <c r="L1527" s="602">
        <f>IF($S$1523=1081,PR!$N$1203,IF($S$1523=1082,PR!$N$1204,IF($S$1523=1083,PR!$N$1205,IF($S$1523=1084,PR!$N$1206,IF($S$1523=1085,PR!$N$1207,IF($S$1523=1086,PR!$N$1208,IF($S$1523=1087,PR!$N$1209,IF($S$1523=1088,PR!$N$1210,IF($S$1523=1089,PR!$N$1211,IF($S$1523=1090,PR!$N$1212,IF($S$1523=1091,PR!$N$1213,IF($S$1523=1092,PR!$N$1214,IF($S$1523=1093,PR!$N$1215,IF($S$1523=1094,PR!$N$1216,IF($S$1523=1095,PR!$N$1217,IF($S$1523=1096,PR!$N$1218,IF($S$1523=1097,PR!$N$1219,IF($S$1523=1098,PR!$N$1220,IF($S$1523=1099,PR!$N$1221,IF($S$1523=1100,PR!$N$1222,IF($S$1523=1101,PR!$N$1223,"-")))))))))))))))))))))</f>
        <v>0</v>
      </c>
      <c r="M1527" s="602">
        <f>IF($S$1523=1081,PR!$O$1203,IF($S$1523=1082,PR!$O$1204,IF($S$1523=1083,PR!$O$1205,IF($S$1523=1084,PR!$O$1206,IF($S$1523=1085,PR!$O$1207,IF($S$1523=1086,PR!$O$1208,IF($S$1523=1087,PR!$O$1209,IF($S$1523=1088,PR!$O$1210,IF($S$1523=1089,PR!$O$1211,IF($S$1523=1090,PR!$O$1212,IF($S$1523=1091,PR!$O$1213,IF($S$1523=1092,PR!$O$1214,IF($S$1523=1093,PR!$O$1215,IF($S$1523=1094,PR!$O$1216,IF($S$1523=1095,PR!$O$1217,IF($S$1523=1096,PR!$O$1218,IF($S$1523=1097,PR!$O$1219,IF($S$1523=1098,PR!$O$1220,IF($S$1523=1099,PR!$O$1221,IF($S$1523=1100,PR!$O$1222,IF($S$1523=1101,PR!$O$1223,"-")))))))))))))))))))))</f>
        <v>0</v>
      </c>
      <c r="N1527" s="602">
        <f>IF($S$1523=1081,PR!$P$1203,IF($S$1523=1082,PR!$P$1204,IF($S$1523=1083,PR!$P$1205,IF($S$1523=1084,PR!$P$1206,IF($S$1523=1085,PR!$P$1207,IF($S$1523=1086,PR!$P$1208,IF($S$1523=1087,PR!$P$1209,IF($S$1523=1088,PR!$P$1210,IF($S$1523=1089,PR!$P$1211,IF($S$1523=1090,PR!$P$1212,IF($S$1523=1091,PR!$P$1213,IF($S$1523=1092,PR!$P$1214,IF($S$1523=1093,PR!$P$1215,IF($S$1523=1094,PR!$P$1216,IF($S$1523=1095,PR!$P$1217,IF($S$1523=1096,PR!$P$1218,IF($S$1523=1097,PR!$P$1219,IF($S$1523=1098,PR!$P$1220,IF($S$1523=1099,PR!$P$1221,IF($S$1523=1100,PR!$P$1222,IF($S$1523=1101,PR!$P$1223,"-")))))))))))))))))))))</f>
        <v>0</v>
      </c>
      <c r="O1527" s="602">
        <f>IF($S$1523=1081,PR!$Q$1203,IF($S$1523=1082,PR!$Q$1204,IF($S$1523=1083,PR!$Q$1205,IF($S$1523=1084,PR!$Q$1206,IF($S$1523=1085,PR!$Q$1207,IF($S$1523=1086,PR!$Q$1208,IF($S$1523=1087,PR!$Q$1209,IF($S$1523=1088,PR!$Q$1210,IF($S$1523=1089,PR!$Q$1211,IF($S$1523=1090,PR!$Q$1212,IF($S$1523=1091,PR!$Q$1213,IF($S$1523=1092,PR!$Q$1214,IF($S$1523=1093,PR!$Q$1215,IF($S$1523=1094,PR!$Q$1216,IF($S$1523=1095,PR!$Q$1217,IF($S$1523=1096,PR!$Q$1218,IF($S$1523=1097,PR!$Q$1219,IF($S$1523=1098,PR!$Q$1220,IF($S$1523=1099,PR!$Q$1221,IF($S$1523=1100,PR!$Q$1222,IF($S$1523=1101,PR!$Q$1223,"-")))))))))))))))))))))</f>
        <v>5625</v>
      </c>
      <c r="P1527" s="602">
        <f>IF($S$1523=1081,PR!$R$1203,IF($S$1523=1082,PR!$R$1204,IF($S$1523=1083,PR!$R$1205,IF($S$1523=1084,PR!$R$1206,IF($S$1523=1085,PR!$R$1207,IF($S$1523=1086,PR!$R$1208,IF($S$1523=1087,PR!$R$1209,IF($S$1523=1088,PR!$R$1210,IF($S$1523=1089,PR!$R$1211,IF($S$1523=1090,PR!$R$1212,IF($S$1523=1091,PR!$R$1213,IF($S$1523=1092,PR!$R$1214,IF($S$1523=1093,PR!$R$1215,IF($S$1523=1094,PR!$R$1216,IF($S$1523=1095,PR!$R$1217,IF($S$1523=1096,PR!$R$1218,IF($S$1523=1097,PR!$R$1219,IF($S$1523=1098,PR!$R$1220,IF($S$1523=1099,PR!$R$1221,IF($S$1523=1100,PR!$R$1222,IF($S$1523=1101,PR!$R$1223,"-")))))))))))))))))))))</f>
        <v>0</v>
      </c>
      <c r="Q1527" s="602">
        <f>IF($S$1523=1081,PR!$S$1203,IF($S$1523=1082,PR!$S$1204,IF($S$1523=1083,PR!$S$1205,IF($S$1523=1084,PR!$S$1206,IF($S$1523=1085,PR!$S$1207,IF($S$1523=1086,PR!$S$1208,IF($S$1523=1087,PR!$S$1209,IF($S$1523=1088,PR!$S$1210,IF($S$1523=1089,PR!$S$1211,IF($S$1523=1090,PR!$S$1212,IF($S$1523=1091,PR!$S$1213,IF($S$1523=1092,PR!$S$1214,IF($S$1523=1093,PR!$S$1215,IF($S$1523=1094,PR!$S$1216,IF($S$1523=1095,PR!$S$1217,IF($S$1523=1096,PR!$S$1218,IF($S$1523=1097,PR!$S$1219,IF($S$1523=1098,PR!$S$1220,IF($S$1523=1099,PR!$S$1221,IF($S$1523=1100,PR!$S$1222,IF($S$1523=1101,PR!$S$1223,"-")))))))))))))))))))))</f>
        <v>0</v>
      </c>
      <c r="R1527" s="602">
        <f>IF($S$1523=1081,PR!$T$1203,IF($S$1523=1082,PR!$T$1204,IF($S$1523=1083,PR!$T$1205,IF($S$1523=1084,PR!$T$1206,IF($S$1523=1085,PR!$T$1207,IF($S$1523=1086,PR!$T$1208,IF($S$1523=1087,PR!$T$1209,IF($S$1523=1088,PR!$T$1210,IF($S$1523=1089,PR!$T$1211,IF($S$1523=1090,PR!$T$1212,IF($S$1523=1091,PR!$T$1213,IF($S$1523=1092,PR!$T$1214,IF($S$1523=1093,PR!$T$1215,IF($S$1523=1094,PR!$T$1216,IF($S$1523=1095,PR!$T$1217,IF($S$1523=1096,PR!$T$1218,IF($S$1523=1097,PR!$T$1219,IF($S$1523=1098,PR!$T$1220,IF($S$1523=1099,PR!$T$1221,IF($S$1523=1100,PR!$T$1222,IF($S$1523=1101,PR!$T$1223,"-")))))))))))))))))))))</f>
        <v>0</v>
      </c>
      <c r="S1527" s="602">
        <f>IF($S$1523=1081,PR!$U$1203,IF($S$1523=1082,PR!$U$1204,IF($S$1523=1083,PR!$U$1205,IF($S$1523=1084,PR!$U$1206,IF($S$1523=1085,PR!$U$1207,IF($S$1523=1086,PR!$U$1208,IF($S$1523=1087,PR!$U$1209,IF($S$1523=1088,PR!$U$1210,IF($S$1523=1089,PR!$U$1211,IF($S$1523=1090,PR!$U$1212,IF($S$1523=1091,PR!$U$1213,IF($S$1523=1092,PR!$U$1214,IF($S$1523=1093,PR!$U$1215,IF($S$1523=1094,PR!$U$1216,IF($S$1523=1095,PR!$U$1217,IF($S$1523=1096,PR!$U$1218,IF($S$1523=1097,PR!$U$1219,IF($S$1523=1098,PR!$U$1220,IF($S$1523=1099,PR!$U$1221,IF($S$1523=1100,PR!$U$1222,IF($S$1523=1101,PR!$U$1223,"-")))))))))))))))))))))</f>
        <v>0</v>
      </c>
      <c r="T1527" s="580"/>
      <c r="U1527" s="580"/>
      <c r="V1527" s="32"/>
      <c r="W1527" s="32"/>
      <c r="X1527" s="32"/>
    </row>
    <row r="1528" spans="2:24" x14ac:dyDescent="0.25">
      <c r="B1528" s="580"/>
      <c r="C1528" s="603"/>
      <c r="D1528" s="604"/>
      <c r="E1528" s="604"/>
      <c r="F1528" s="604"/>
      <c r="G1528" s="604"/>
      <c r="H1528" s="604"/>
      <c r="I1528" s="604"/>
      <c r="J1528" s="604"/>
      <c r="K1528" s="604"/>
      <c r="L1528" s="604"/>
      <c r="M1528" s="604"/>
      <c r="N1528" s="604"/>
      <c r="O1528" s="604"/>
      <c r="P1528" s="604"/>
      <c r="Q1528" s="604"/>
      <c r="R1528" s="605"/>
      <c r="S1528" s="605"/>
      <c r="T1528" s="580"/>
      <c r="U1528" s="580"/>
      <c r="V1528" s="32"/>
      <c r="W1528" s="32"/>
      <c r="X1528" s="32"/>
    </row>
    <row r="1529" spans="2:24" ht="15.75" thickBot="1" x14ac:dyDescent="0.3">
      <c r="B1529" s="580"/>
      <c r="C1529" s="600" t="str">
        <f>N!$C$21</f>
        <v>GENEITH</v>
      </c>
      <c r="D1529" s="600" t="str">
        <f>N!$C$22</f>
        <v>GINOS</v>
      </c>
      <c r="E1529" s="600" t="str">
        <f>N!$C$23</f>
        <v>GSK</v>
      </c>
      <c r="F1529" s="600" t="str">
        <f>N!$C$24</f>
        <v>GLOBORG</v>
      </c>
      <c r="G1529" s="600" t="str">
        <f>N!$C$25</f>
        <v>GOODNEWS</v>
      </c>
      <c r="H1529" s="600" t="str">
        <f>N!$C$26</f>
        <v>GREENLIFE</v>
      </c>
      <c r="I1529" s="600" t="str">
        <f>N!$C$27</f>
        <v>HLINE</v>
      </c>
      <c r="J1529" s="600" t="str">
        <f>N!$C$28</f>
        <v>ROTECH</v>
      </c>
      <c r="K1529" s="600" t="str">
        <f>N!$C$29</f>
        <v>ISN</v>
      </c>
      <c r="L1529" s="600" t="str">
        <f>N!$C$30</f>
        <v>JAWA</v>
      </c>
      <c r="M1529" s="600" t="str">
        <f>N!$C$31</f>
        <v>LAYO</v>
      </c>
      <c r="N1529" s="600" t="str">
        <f>N!$C$32</f>
        <v>LEADWAY</v>
      </c>
      <c r="O1529" s="600" t="str">
        <f>N!$C$33</f>
        <v>LHV</v>
      </c>
      <c r="P1529" s="600" t="str">
        <f>N!$C$34</f>
        <v>MANOLA</v>
      </c>
      <c r="Q1529" s="600" t="str">
        <f>N!$C$35</f>
        <v>MARCSON</v>
      </c>
      <c r="R1529" s="600" t="str">
        <f>N!$C$36</f>
        <v>M&amp;B</v>
      </c>
      <c r="S1529" s="600" t="str">
        <f>N!$C$37</f>
        <v>MTRUST</v>
      </c>
      <c r="T1529" s="580"/>
      <c r="U1529" s="580"/>
      <c r="V1529" s="32"/>
      <c r="W1529" s="32"/>
      <c r="X1529" s="32"/>
    </row>
    <row r="1530" spans="2:24" ht="15.75" thickBot="1" x14ac:dyDescent="0.3">
      <c r="B1530" s="580"/>
      <c r="C1530" s="602">
        <f>IF($S$1523=1081,PR!$V$1203,IF($S$1523=1082,PR!$V$1204,IF($S$1523=1083,PR!$V$1205,IF($S$1523=1084,PR!$V$1206,IF($S$1523=1085,PR!$V$1207,IF($S$1523=1086,PR!$V$1208,IF($S$1523=1087,PR!$V$1209,IF($S$1523=1088,PR!$V$1210,IF($S$1523=1089,PR!$V$1211,IF($S$1523=1090,PR!$V$1212,IF($S$1523=1091,PR!$V$1213,IF($S$1523=1092,PR!$V$1214,IF($S$1523=1093,PR!$V$1215,IF($S$1523=1094,PR!$V$1216,IF($S$1523=1095,PR!$V$1217,IF($S$1523=1096,PR!$V$1218,IF($S$1523=1097,PR!$V$1219,IF($S$1523=1098,PR!$V$1220,IF($S$1523=1099,PR!$V$1221,IF($S$1523=1100,PR!$V$1222,IF($S$1523=1101,PR!$V$1223,"-")))))))))))))))))))))</f>
        <v>0</v>
      </c>
      <c r="D1530" s="602">
        <f>IF($S$1523=1081,PR!$W$1203,IF($S$1523=1082,PR!$W$1204,IF($S$1523=1083,PR!$W$1205,IF($S$1523=1084,PR!$W$1206,IF($S$1523=1085,PR!$W$1207,IF($S$1523=1086,PR!$W$1208,IF($S$1523=1087,PR!$W$1209,IF($S$1523=1088,PR!$W$1210,IF($S$1523=1089,PR!$W$1211,IF($S$1523=1090,PR!$W$1212,IF($S$1523=1091,PR!$W$1213,IF($S$1523=1092,PR!$W$1214,IF($S$1523=1093,PR!$W$1215,IF($S$1523=1094,PR!$W$1216,IF($S$1523=1095,PR!$W$1217,IF($S$1523=1096,PR!$W$1218,IF($S$1523=1097,PR!$W$1219,IF($S$1523=1098,PR!$W$1220,IF($S$1523=1099,PR!$W$1221,IF($S$1523=1100,PR!$W$1222,IF($S$1523=1101,PR!$W$1223,"-")))))))))))))))))))))</f>
        <v>0</v>
      </c>
      <c r="E1530" s="602">
        <f>IF($S$1523=1081,PR!$X$1203,IF($S$1523=1082,PR!$X$1204,IF($S$1523=1083,PR!$X$1205,IF($S$1523=1084,PR!$X$1206,IF($S$1523=1085,PR!$X$1207,IF($S$1523=1086,PR!$X$1208,IF($S$1523=1087,PR!$X$1209,IF($S$1523=1088,PR!$X$1210,IF($S$1523=1089,PR!$X$1211,IF($S$1523=1090,PR!$X$1212,IF($S$1523=1091,PR!$X$1213,IF($S$1523=1092,PR!$X$1214,IF($S$1523=1093,PR!$X$1215,IF($S$1523=1094,PR!$X$1216,IF($S$1523=1095,PR!$X$1217,IF($S$1523=1096,PR!$X$1218,IF($S$1523=1097,PR!$X$1219,IF($S$1523=1098,PR!$X$1220,IF($S$1523=1099,PR!$X$1221,IF($S$1523=1100,PR!$X$1222,IF($S$1523=1101,PR!$X$1223,"-")))))))))))))))))))))</f>
        <v>0</v>
      </c>
      <c r="F1530" s="602">
        <f>IF($S$1523=1081,PR!$Y$1203,IF($S$1523=1082,PR!$Y$1204,IF($S$1523=1083,PR!$Y$1205,IF($S$1523=1084,PR!$Y$1206,IF($S$1523=1085,PR!$Y$1207,IF($S$1523=1086,PR!$Y$1208,IF($S$1523=1087,PR!$Y$1209,IF($S$1523=1088,PR!$Y$1210,IF($S$1523=1089,PR!$Y$1211,IF($S$1523=1090,PR!$Y$1212,IF($S$1523=1091,PR!$Y$1213,IF($S$1523=1092,PR!$Y$1214,IF($S$1523=1093,PR!$Y$1215,IF($S$1523=1094,PR!$Y$1216,IF($S$1523=1095,PR!$Y$1217,IF($S$1523=1096,PR!$Y$1218,IF($S$1523=1097,PR!$Y$1219,IF($S$1523=1098,PR!$Y$1220,IF($S$1523=1099,PR!$Y$1221,IF($S$1523=1100,PR!$Y$1222,IF($S$1523=1101,PR!$Y$1223,"-")))))))))))))))))))))</f>
        <v>0</v>
      </c>
      <c r="G1530" s="602">
        <f>IF($S$1523=1081,PR!$Z$1203,IF($S$1523=1082,PR!$Z$1204,IF($S$1523=1083,PR!$Z$1205,IF($S$1523=1084,PR!$Z$1206,IF($S$1523=1085,PR!$Z$1207,IF($S$1523=1086,PR!$Z$1208,IF($S$1523=1087,PR!$Z$1209,IF($S$1523=1088,PR!$Z$1210,IF($S$1523=1089,PR!$Z$1211,IF($S$1523=1090,PR!$Z$1212,IF($S$1523=1091,PR!$Z$1213,IF($S$1523=1092,PR!$Z$1214,IF($S$1523=1093,PR!$Z$1215,IF($S$1523=1094,PR!$Z$1216,IF($S$1523=1095,PR!$Z$1217,IF($S$1523=1096,PR!$Z$1218,IF($S$1523=1097,PR!$Z$1219,IF($S$1523=1098,PR!$Z$1220,IF($S$1523=1099,PR!$Z$1221,IF($S$1523=1100,PR!$Z$1222,IF($S$1523=1101,PR!$Z$1223,"-")))))))))))))))))))))</f>
        <v>0</v>
      </c>
      <c r="H1530" s="602">
        <f>IF($S$1523=1081,PR!$AA$1203,IF($S$1523=1082,PR!$AA$1204,IF($S$1523=1083,PR!$AA$1205,IF($S$1523=1084,PR!$AA$1206,IF($S$1523=1085,PR!$AA$1207,IF($S$1523=1086,PR!$AA$1208,IF($S$1523=1087,PR!$AA$1209,IF($S$1523=1088,PR!$AA$1210,IF($S$1523=1089,PR!$AA$1211,IF($S$1523=1090,PR!$AA$1212,IF($S$1523=1091,PR!$AA$1213,IF($S$1523=1092,PR!$AA$1214,IF($S$1523=1093,PR!$AA$1215,IF($S$1523=1094,PR!$AA$1216,IF($S$1523=1095,PR!$AA$1217,IF($S$1523=1096,PR!$AA$1218,IF($S$1523=1097,PR!$AA$1219,IF($S$1523=1098,PR!$AA$1220,IF($S$1523=1099,PR!$AA$1221,IF($S$1523=1100,PR!$AA$1222,IF($S$1523=1101,PR!$AA$1223,"-")))))))))))))))))))))</f>
        <v>0</v>
      </c>
      <c r="I1530" s="602">
        <f>IF($S$1523=1081,PR!$AB$1203,IF($S$1523=1082,PR!$AB$1204,IF($S$1523=1083,PR!$AB$1205,IF($S$1523=1084,PR!$AB$1206,IF($S$1523=1085,PR!$AB$1207,IF($S$1523=1086,PR!$AB$1208,IF($S$1523=1087,PR!$AB$1209,IF($S$1523=1088,PR!$AB$1210,IF($S$1523=1089,PR!$AB$1211,IF($S$1523=1090,PR!$AB$1212,IF($S$1523=1091,PR!$AB$1213,IF($S$1523=1092,PR!$AB$1214,IF($S$1523=1093,PR!$AB$1215,IF($S$1523=1094,PR!$AB$1216,IF($S$1523=1095,PR!$AB$1217,IF($S$1523=1096,PR!$AB$1218,IF($S$1523=1097,PR!$AB$1219,IF($S$1523=1098,PR!$AB$1220,IF($S$1523=1099,PR!$AB$1221,IF($S$1523=1100,PR!$AB$1222,IF($S$1523=1101,PR!$AB$1223,"-")))))))))))))))))))))</f>
        <v>0</v>
      </c>
      <c r="J1530" s="602">
        <f>IF($S$1523=1081,PR!$AC$1203,IF($S$1523=1082,PR!$AC$1204,IF($S$1523=1083,PR!$AC$1205,IF($S$1523=1084,PR!$AC$1206,IF($S$1523=1085,PR!$AC$1207,IF($S$1523=1086,PR!$AC$1208,IF($S$1523=1087,PR!$AC$1209,IF($S$1523=1088,PR!$AC$1210,IF($S$1523=1089,PR!$AC$1211,IF($S$1523=1090,PR!$AC$1212,IF($S$1523=1091,PR!$AC$1213,IF($S$1523=1092,PR!$AC$1214,IF($S$1523=1093,PR!$AC$1215,IF($S$1523=1094,PR!$AC$1216,IF($S$1523=1095,PR!$AC$1217,IF($S$1523=1096,PR!$AC$1218,IF($S$1523=1097,PR!$AC$1219,IF($S$1523=1098,PR!$AC$1220,IF($S$1523=1099,PR!$AC$1221,IF($S$1523=1100,PR!$AC$1222,IF($S$1523=1101,PR!$AC$1223,"-")))))))))))))))))))))</f>
        <v>3390</v>
      </c>
      <c r="K1530" s="602">
        <f>IF($S$1523=1081,PR!$AD$1203,IF($S$1523=1082,PR!$AD$1204,IF($S$1523=1083,PR!$AD$1205,IF($S$1523=1084,PR!$AD$1206,IF($S$1523=1085,PR!$AD$1207,IF($S$1523=1086,PR!$AD$1208,IF($S$1523=1087,PR!$AD$1209,IF($S$1523=1088,PR!$AD$1210,IF($S$1523=1089,PR!$AD$1211,IF($S$1523=1090,PR!$AD$1212,IF($S$1523=1091,PR!$AD$1213,IF($S$1523=1092,PR!$AD$1214,IF($S$1523=1093,PR!$AD$1215,IF($S$1523=1094,PR!$AD$1216,IF($S$1523=1095,PR!$AD$1217,IF($S$1523=1096,PR!$AD$1218,IF($S$1523=1097,PR!$AD$1219,IF($S$1523=1098,PR!$AD$1220,IF($S$1523=1099,PR!$AD$1221,IF($S$1523=1100,PR!$AD$1222,IF($S$1523=1101,PR!$AD$1223,"-")))))))))))))))))))))</f>
        <v>0</v>
      </c>
      <c r="L1530" s="602">
        <f>IF($S$1523=1081,PR!$AE$1203,IF($S$1523=1082,PR!$AE$1204,IF($S$1523=1083,PR!$AE$1205,IF($S$1523=1084,PR!$AE$1206,IF($S$1523=1085,PR!$AE$1207,IF($S$1523=1086,PR!$AE$1208,IF($S$1523=1087,PR!$AE$1209,IF($S$1523=1088,PR!$AE$1210,IF($S$1523=1089,PR!$AE$1211,IF($S$1523=1090,PR!$AE$1212,IF($S$1523=1091,PR!$AE$1213,IF($S$1523=1092,PR!$AE$1214,IF($S$1523=1093,PR!$AE$1215,IF($S$1523=1094,PR!$AE$1216,IF($S$1523=1095,PR!$AE$1217,IF($S$1523=1096,PR!$AE$1218,IF($S$1523=1097,PR!$AE$1219,IF($S$1523=1098,PR!$AE$1220,IF($S$1523=1099,PR!$AE$1221,IF($S$1523=1100,PR!$AE$1222,IF($S$1523=1101,PR!$AE$1223,"-")))))))))))))))))))))</f>
        <v>0</v>
      </c>
      <c r="M1530" s="602">
        <f>IF($S$1523=1081,PR!$AF$1203,IF($S$1523=1082,PR!$AF$1204,IF($S$1523=1083,PR!$AF$1205,IF($S$1523=1084,PR!$AF$1206,IF($S$1523=1085,PR!$AF$1207,IF($S$1523=1086,PR!$AF$1208,IF($S$1523=1087,PR!$AF$1209,IF($S$1523=1088,PR!$AF$1210,IF($S$1523=1089,PR!$AF$1211,IF($S$1523=1090,PR!$AF$1212,IF($S$1523=1091,PR!$AF$1213,IF($S$1523=1092,PR!$AF$1214,IF($S$1523=1093,PR!$AF$1215,IF($S$1523=1094,PR!$AF$1216,IF($S$1523=1095,PR!$AF$1217,IF($S$1523=1096,PR!$AF$1218,IF($S$1523=1097,PR!$AF$1219,IF($S$1523=1098,PR!$AF$1220,IF($S$1523=1099,PR!$AF$1221,IF($S$1523=1100,PR!$AF$1222,IF($S$1523=1101,PR!$AF$1223,"-")))))))))))))))))))))</f>
        <v>4550</v>
      </c>
      <c r="N1530" s="602">
        <f>IF($S$1523=1081,PR!$AG$1203,IF($S$1523=1082,PR!$AG$1204,IF($S$1523=1083,PR!$AG$1205,IF($S$1523=1084,PR!$AG$1206,IF($S$1523=1085,PR!$AG$1207,IF($S$1523=1086,PR!$AG$1208,IF($S$1523=1087,PR!$AG$1209,IF($S$1523=1088,PR!$AG$1210,IF($S$1523=1089,PR!$AG$1211,IF($S$1523=1090,PR!$AG$1212,IF($S$1523=1091,PR!$AG$1213,IF($S$1523=1092,PR!$AG$1214,IF($S$1523=1093,PR!$AG$1215,IF($S$1523=1094,PR!$AG$1216,IF($S$1523=1095,PR!$AG$1217,IF($S$1523=1096,PR!$AG$1218,IF($S$1523=1097,PR!$AG$1219,IF($S$1523=1098,PR!$AG$1220,IF($S$1523=1099,PR!$AG$1221,IF($S$1523=1100,PR!$AG$1222,IF($S$1523=1101,PR!$AG$1223,"-")))))))))))))))))))))</f>
        <v>0</v>
      </c>
      <c r="O1530" s="602">
        <f>IF($S$1523=1081,PR!$AH$1203,IF($S$1523=1082,PR!$AH$1204,IF($S$1523=1083,PR!$AH$1205,IF($S$1523=1084,PR!$AH$1206,IF($S$1523=1085,PR!$AH$1207,IF($S$1523=1086,PR!$AH$1208,IF($S$1523=1087,PR!$AH$1209,IF($S$1523=1088,PR!$AH$1210,IF($S$1523=1089,PR!$AH$1211,IF($S$1523=1090,PR!$AH$1212,IF($S$1523=1091,PR!$AH$1213,IF($S$1523=1092,PR!$AH$1214,IF($S$1523=1093,PR!$AH$1215,IF($S$1523=1094,PR!$AH$1216,IF($S$1523=1095,PR!$AH$1217,IF($S$1523=1096,PR!$AH$1218,IF($S$1523=1097,PR!$AH$1219,IF($S$1523=1098,PR!$AH$1220,IF($S$1523=1099,PR!$AH$1221,IF($S$1523=1100,PR!$AH$1222,IF($S$1523=1101,PR!$AH$1223,"-")))))))))))))))))))))</f>
        <v>0</v>
      </c>
      <c r="P1530" s="602">
        <f>IF($S$1523=1081,PR!$AI$1203,IF($S$1523=1082,PR!$AI$1204,IF($S$1523=1083,PR!$AI$1205,IF($S$1523=1084,PR!$AI$1206,IF($S$1523=1085,PR!$AI$1207,IF($S$1523=1086,PR!$AI$1208,IF($S$1523=1087,PR!$AI$1209,IF($S$1523=1088,PR!$AI$1210,IF($S$1523=1089,PR!$AI$1211,IF($S$1523=1090,PR!$AI$1212,IF($S$1523=1091,PR!$AI$1213,IF($S$1523=1092,PR!$AI$1214,IF($S$1523=1093,PR!$AI$1215,IF($S$1523=1094,PR!$AI$1216,IF($S$1523=1095,PR!$AI$1217,IF($S$1523=1096,PR!$AI$1218,IF($S$1523=1097,PR!$AI$1219,IF($S$1523=1098,PR!$AI$1220,IF($S$1523=1099,PR!$AI$1221,IF($S$1523=1100,PR!$AI$1222,IF($S$1523=1101,PR!$AI$1223,"-")))))))))))))))))))))</f>
        <v>0</v>
      </c>
      <c r="Q1530" s="602">
        <f>IF($S$1523=1081,PR!$AJ$1203,IF($S$1523=1082,PR!$AJ$1204,IF($S$1523=1083,PR!$AJ$1205,IF($S$1523=1084,PR!$AJ$1206,IF($S$1523=1085,PR!$AJ$1207,IF($S$1523=1086,PR!$AJ$1208,IF($S$1523=1087,PR!$AJ$1209,IF($S$1523=1088,PR!$AJ$1210,IF($S$1523=1089,PR!$AJ$1211,IF($S$1523=1090,PR!$AJ$1212,IF($S$1523=1091,PR!$AJ$1213,IF($S$1523=1092,PR!$AJ$1214,IF($S$1523=1093,PR!$AJ$1215,IF($S$1523=1094,PR!$AJ$1216,IF($S$1523=1095,PR!$AJ$1217,IF($S$1523=1096,PR!$AJ$1218,IF($S$1523=1097,PR!$AJ$1219,IF($S$1523=1098,PR!$AJ$1220,IF($S$1523=1099,PR!$AJ$1221,IF($S$1523=1100,PR!$AJ$1222,IF($S$1523=1101,PR!$AJ$1223,"-")))))))))))))))))))))</f>
        <v>0</v>
      </c>
      <c r="R1530" s="602">
        <f>IF($S$1523=1081,PR!$AK$1203,IF($S$1523=1082,PR!$AK$1204,IF($S$1523=1083,PR!$AK$1205,IF($S$1523=1084,PR!$AK$1206,IF($S$1523=1085,PR!$AK$1207,IF($S$1523=1086,PR!$AK$1208,IF($S$1523=1087,PR!$AK$1209,IF($S$1523=1088,PR!$AK$1210,IF($S$1523=1089,PR!$AK$1211,IF($S$1523=1090,PR!$AK$1212,IF($S$1523=1091,PR!$AK$1213,IF($S$1523=1092,PR!$AK$1214,IF($S$1523=1093,PR!$AK$1215,IF($S$1523=1094,PR!$AK$1216,IF($S$1523=1095,PR!$AK$1217,IF($S$1523=1096,PR!$AK$1218,IF($S$1523=1097,PR!$AK$1219,IF($S$1523=1098,PR!$AK$1220,IF($S$1523=1099,PR!$AK$1221,IF($S$1523=1100,PR!$AK$1222,IF($S$1523=1101,PR!$AK$1223,"-")))))))))))))))))))))</f>
        <v>0</v>
      </c>
      <c r="S1530" s="602">
        <f>IF($S$1523=1081,PR!$AL$1203,IF($S$1523=1082,PR!$AL$1204,IF($S$1523=1083,PR!$AL$1205,IF($S$1523=1084,PR!$AL$1206,IF($S$1523=1085,PR!$AL$1207,IF($S$1523=1086,PR!$AL$1208,IF($S$1523=1087,PR!$AL$1209,IF($S$1523=1088,PR!$AL$1210,IF($S$1523=1089,PR!$AL$1211,IF($S$1523=1090,PR!$AL$1212,IF($S$1523=1091,PR!$AL$1213,IF($S$1523=1092,PR!$AL$1214,IF($S$1523=1093,PR!$AL$1215,IF($S$1523=1094,PR!$AL$1216,IF($S$1523=1095,PR!$AL$1217,IF($S$1523=1096,PR!$AL$1218,IF($S$1523=1097,PR!$AL$1219,IF($S$1523=1098,PR!$AL$1220,IF($S$1523=1099,PR!$AL$1221,IF($S$1523=1100,PR!$AL$1222,IF($S$1523=1101,PR!$AL$1223,"-")))))))))))))))))))))</f>
        <v>0</v>
      </c>
      <c r="T1530" s="580"/>
      <c r="U1530" s="580"/>
      <c r="V1530" s="32"/>
      <c r="W1530" s="32"/>
      <c r="X1530" s="32"/>
    </row>
    <row r="1531" spans="2:24" ht="15.75" x14ac:dyDescent="0.25">
      <c r="B1531" s="580"/>
      <c r="C1531" s="603"/>
      <c r="D1531" s="604"/>
      <c r="E1531" s="604"/>
      <c r="F1531" s="604"/>
      <c r="G1531" s="604"/>
      <c r="H1531" s="604"/>
      <c r="I1531" s="604"/>
      <c r="J1531" s="604"/>
      <c r="K1531" s="604"/>
      <c r="L1531" s="604"/>
      <c r="M1531" s="604"/>
      <c r="N1531" s="604"/>
      <c r="O1531" s="604"/>
      <c r="P1531" s="604"/>
      <c r="Q1531" s="604"/>
      <c r="R1531" s="606"/>
      <c r="S1531" s="606"/>
      <c r="T1531" s="580"/>
      <c r="U1531" s="580"/>
      <c r="V1531" s="32"/>
      <c r="W1531" s="32"/>
      <c r="X1531" s="32"/>
    </row>
    <row r="1532" spans="2:24" ht="15.75" thickBot="1" x14ac:dyDescent="0.3">
      <c r="B1532" s="580"/>
      <c r="C1532" s="600" t="str">
        <f>N!$C$38</f>
        <v>MWORLD</v>
      </c>
      <c r="D1532" s="600" t="str">
        <f>N!$C$39</f>
        <v>MEGA</v>
      </c>
      <c r="E1532" s="600" t="str">
        <f>N!$C$40</f>
        <v>MICRONOVA</v>
      </c>
      <c r="F1532" s="600" t="str">
        <f>N!$C$41</f>
        <v>MFLASH</v>
      </c>
      <c r="G1532" s="600" t="str">
        <f>N!$C$42</f>
        <v>MORISON</v>
      </c>
      <c r="H1532" s="600" t="str">
        <f>N!$C$43</f>
        <v>NEMEL</v>
      </c>
      <c r="I1532" s="600" t="str">
        <f>N!$C$44</f>
        <v>NHP</v>
      </c>
      <c r="J1532" s="600" t="str">
        <f>N!$C$45</f>
        <v>NHC</v>
      </c>
      <c r="K1532" s="600" t="str">
        <f>N!$C$46</f>
        <v>OLEAF</v>
      </c>
      <c r="L1532" s="600" t="str">
        <f>N!$C$47</f>
        <v>OCULUS</v>
      </c>
      <c r="M1532" s="600" t="str">
        <f>N!$C$48</f>
        <v>PACIFIC</v>
      </c>
      <c r="N1532" s="600" t="str">
        <f>N!$C$49</f>
        <v>PHAMATEX</v>
      </c>
      <c r="O1532" s="600" t="str">
        <f>N!$C$50</f>
        <v>PETHICS</v>
      </c>
      <c r="P1532" s="600" t="str">
        <f>N!$C$51</f>
        <v>PHILIPS</v>
      </c>
      <c r="Q1532" s="600" t="str">
        <f>N!$C$52</f>
        <v>RANBAXY</v>
      </c>
      <c r="R1532" s="600" t="str">
        <f>N!$C$53</f>
        <v>REALS</v>
      </c>
      <c r="S1532" s="600" t="str">
        <f>N!$C$54</f>
        <v>ROYAL</v>
      </c>
      <c r="T1532" s="580"/>
      <c r="U1532" s="580"/>
      <c r="V1532" s="32"/>
      <c r="W1532" s="32"/>
      <c r="X1532" s="32"/>
    </row>
    <row r="1533" spans="2:24" ht="15.75" thickBot="1" x14ac:dyDescent="0.3">
      <c r="B1533" s="580"/>
      <c r="C1533" s="602">
        <f>IF($S$1523=1081,PR!$AM$1203,IF($S$1523=1082,PR!$AM$1204,IF($S$1523=1083,PR!$AM$1205,IF($S$1523=1084,PR!$AM$1206,IF($S$1523=1085,PR!$AM$1207,IF($S$1523=1086,PR!$AM$1208,IF($S$1523=1087,PR!$AM$1209,IF($S$1523=1088,PR!$AM$1210,IF($S$1523=1089,PR!$AM$1211,IF($S$1523=1090,PR!$AM$1212,IF($S$1523=1091,PR!$AM$1213,IF($S$1523=1092,PR!$AM$1214,IF($S$1523=1093,PR!$AM$1215,IF($S$1523=1094,PR!$AM$1216,IF($S$1523=1095,PR!$AM$1217,IF($S$1523=1096,PR!$AM$1218,IF($S$1523=1097,PR!$AM$1219,IF($S$1523=1098,PR!$AM$1220,IF($S$1523=1099,PR!$AM$1221,IF($S$1523=1100,PR!$AM$1222,IF($S$1523=1101,PR!$AM$1223,"-")))))))))))))))))))))</f>
        <v>0</v>
      </c>
      <c r="D1533" s="602">
        <f>IF($S$1523=1081,PR!$AN$1203,IF($S$1523=1082,PR!$AN$1204,IF($S$1523=1083,PR!$AN$1205,IF($S$1523=1084,PR!$AN$1206,IF($S$1523=1085,PR!$AN$1207,IF($S$1523=1086,PR!$AN$1208,IF($S$1523=1087,PR!$AN$1209,IF($S$1523=1088,PR!$AN$1210,IF($S$1523=1089,PR!$AN$1211,IF($S$1523=1090,PR!$AN$1212,IF($S$1523=1091,PR!$AN$1213,IF($S$1523=1092,PR!$AN$1214,IF($S$1523=1093,PR!$AN$1215,IF($S$1523=1094,PR!$AN$1216,IF($S$1523=1095,PR!$AN$1217,IF($S$1523=1096,PR!$AN$1218,IF($S$1523=1097,PR!$AN$1219,IF($S$1523=1098,PR!$AN$1220,IF($S$1523=1099,PR!$AN$1221,IF($S$1523=1100,PR!$AN$1222,IF($S$1523=1101,PR!$AN$1223,"-")))))))))))))))))))))</f>
        <v>0</v>
      </c>
      <c r="E1533" s="602">
        <f>IF($S$1523=1081,PR!$AO$1203,IF($S$1523=1082,PR!$AO$1204,IF($S$1523=1083,PR!$AO$1205,IF($S$1523=1084,PR!$AO$1206,IF($S$1523=1085,PR!$AO$1207,IF($S$1523=1086,PR!$AO$1208,IF($S$1523=1087,PR!$AO$1209,IF($S$1523=1088,PR!$AO$1210,IF($S$1523=1089,PR!$AO$1211,IF($S$1523=1090,PR!$AO$1212,IF($S$1523=1091,PR!$AO$1213,IF($S$1523=1092,PR!$AO$1214,IF($S$1523=1093,PR!$AO$1215,IF($S$1523=1094,PR!$AO$1216,IF($S$1523=1095,PR!$AO$1217,IF($S$1523=1096,PR!$AO$1218,IF($S$1523=1097,PR!$AO$1219,IF($S$1523=1098,PR!$AO$1220,IF($S$1523=1099,PR!$AO$1221,IF($S$1523=1100,PR!$AO$1222,IF($S$1523=1101,PR!$AO$1223,"-")))))))))))))))))))))</f>
        <v>0</v>
      </c>
      <c r="F1533" s="602">
        <f>IF($S$1523=1081,PR!$AP$1203,IF($S$1523=1082,PR!$AP$1204,IF($S$1523=1083,PR!$AP$1205,IF($S$1523=1084,PR!$AP$1206,IF($S$1523=1085,PR!$AP$1207,IF($S$1523=1086,PR!$AP$1208,IF($S$1523=1087,PR!$AP$1209,IF($S$1523=1088,PR!$AP$1210,IF($S$1523=1089,PR!$AP$1211,IF($S$1523=1090,PR!$AP$1212,IF($S$1523=1091,PR!$AP$1213,IF($S$1523=1092,PR!$AP$1214,IF($S$1523=1093,PR!$AP$1215,IF($S$1523=1094,PR!$AP$1216,IF($S$1523=1095,PR!$AP$1217,IF($S$1523=1096,PR!$AP$1218,IF($S$1523=1097,PR!$AP$1219,IF($S$1523=1098,PR!$AP$1220,IF($S$1523=1099,PR!$AP$1221,IF($S$1523=1100,PR!$AP$1222,IF($S$1523=1101,PR!$AP$1223,"-")))))))))))))))))))))</f>
        <v>0</v>
      </c>
      <c r="G1533" s="602">
        <f>IF($S$1523=1081,PR!$AQ$1203,IF($S$1523=1082,PR!$AQ$1204,IF($S$1523=1083,PR!$AQ$1205,IF($S$1523=1084,PR!$AQ$1206,IF($S$1523=1085,PR!$AQ$1207,IF($S$1523=1086,PR!$AQ$1208,IF($S$1523=1087,PR!$AQ$1209,IF($S$1523=1088,PR!$AQ$1210,IF($S$1523=1089,PR!$AQ$1211,IF($S$1523=1090,PR!$AQ$1212,IF($S$1523=1091,PR!$AQ$1213,IF($S$1523=1092,PR!$AQ$1214,IF($S$1523=1093,PR!$AQ$1215,IF($S$1523=1094,PR!$AQ$1216,IF($S$1523=1095,PR!$AQ$1217,IF($S$1523=1096,PR!$AQ$1218,IF($S$1523=1097,PR!$AQ$1219,IF($S$1523=1098,PR!$AQ$1220,IF($S$1523=1099,PR!$AQ$1221,IF($S$1523=1100,PR!$AQ$1222,IF($S$1523=1101,PR!$AQ$1223,"-")))))))))))))))))))))</f>
        <v>0</v>
      </c>
      <c r="H1533" s="602">
        <f>IF($S$1523=1081,PR!$AR$1203,IF($S$1523=1082,PR!$AR$1204,IF($S$1523=1083,PR!$AR$1205,IF($S$1523=1084,PR!$AR$1206,IF($S$1523=1085,PR!$AR$1207,IF($S$1523=1086,PR!$AR$1208,IF($S$1523=1087,PR!$AR$1209,IF($S$1523=1088,PR!$AR$1210,IF($S$1523=1089,PR!$AR$1211,IF($S$1523=1090,PR!$AR$1212,IF($S$1523=1091,PR!$AR$1213,IF($S$1523=1092,PR!$AR$1214,IF($S$1523=1093,PR!$AR$1215,IF($S$1523=1094,PR!$AR$1216,IF($S$1523=1095,PR!$AR$1217,IF($S$1523=1096,PR!$AR$1218,IF($S$1523=1097,PR!$AR$1219,IF($S$1523=1098,PR!$AR$1220,IF($S$1523=1099,PR!$AR$1221,IF($S$1523=1100,PR!$AR$1222,IF($S$1523=1101,PR!$AR$1223,"-")))))))))))))))))))))</f>
        <v>0</v>
      </c>
      <c r="I1533" s="602">
        <f>IF($S$1523=1081,PR!$AS$1203,IF($S$1523=1082,PR!$AS$1204,IF($S$1523=1083,PR!$AS$1205,IF($S$1523=1084,PR!$AS$1206,IF($S$1523=1085,PR!$AS$1207,IF($S$1523=1086,PR!$AS$1208,IF($S$1523=1087,PR!$AS$1209,IF($S$1523=1088,PR!$AS$1210,IF($S$1523=1089,PR!$AS$1211,IF($S$1523=1090,PR!$AS$1212,IF($S$1523=1091,PR!$AS$1213,IF($S$1523=1092,PR!$AS$1214,IF($S$1523=1093,PR!$AS$1215,IF($S$1523=1094,PR!$AS$1216,IF($S$1523=1095,PR!$AS$1217,IF($S$1523=1096,PR!$AS$1218,IF($S$1523=1097,PR!$AS$1219,IF($S$1523=1098,PR!$AS$1220,IF($S$1523=1099,PR!$AS$1221,IF($S$1523=1100,PR!$AS$1222,IF($S$1523=1101,PR!$AS$1223,"-")))))))))))))))))))))</f>
        <v>0</v>
      </c>
      <c r="J1533" s="602">
        <f>IF($S$1523=1081,PR!$AT$1203,IF($S$1523=1082,PR!$AT$1204,IF($S$1523=1083,PR!$AT$1205,IF($S$1523=1084,PR!$AT$1206,IF($S$1523=1085,PR!$AT$1207,IF($S$1523=1086,PR!$AT$1208,IF($S$1523=1087,PR!$AT$1209,IF($S$1523=1088,PR!$AT$1210,IF($S$1523=1089,PR!$AT$1211,IF($S$1523=1090,PR!$AT$1212,IF($S$1523=1091,PR!$AT$1213,IF($S$1523=1092,PR!$AT$1214,IF($S$1523=1093,PR!$AT$1215,IF($S$1523=1094,PR!$AT$1216,IF($S$1523=1095,PR!$AT$1217,IF($S$1523=1096,PR!$AT$1218,IF($S$1523=1097,PR!$AT$1219,IF($S$1523=1098,PR!$AT$1220,IF($S$1523=1099,PR!$AT$1221,IF($S$1523=1100,PR!$AT$1222,IF($S$1523=1101,PR!$AT$1223,"-")))))))))))))))))))))</f>
        <v>0</v>
      </c>
      <c r="K1533" s="602">
        <f>IF($S$1523=1081,PR!$AU$1203,IF($S$1523=1082,PR!$AU$1204,IF($S$1523=1083,PR!$AU$1205,IF($S$1523=1084,PR!$AU$1206,IF($S$1523=1085,PR!$AU$1207,IF($S$1523=1086,PR!$AU$1208,IF($S$1523=1087,PR!$AU$1209,IF($S$1523=1088,PR!$AU$1210,IF($S$1523=1089,PR!$AU$1211,IF($S$1523=1090,PR!$AU$1212,IF($S$1523=1091,PR!$AU$1213,IF($S$1523=1092,PR!$AU$1214,IF($S$1523=1093,PR!$AU$1215,IF($S$1523=1094,PR!$AU$1216,IF($S$1523=1095,PR!$AU$1217,IF($S$1523=1096,PR!$AU$1218,IF($S$1523=1097,PR!$AU$1219,IF($S$1523=1098,PR!$AU$1220,IF($S$1523=1099,PR!$AU$1221,IF($S$1523=1100,PR!$AU$1222,IF($S$1523=1101,PR!$AU$1223,"-")))))))))))))))))))))</f>
        <v>0</v>
      </c>
      <c r="L1533" s="602">
        <f>IF($S$1523=1081,PR!$AV$1203,IF($S$1523=1082,PR!$AV$1204,IF($S$1523=1083,PR!$AV$1205,IF($S$1523=1084,PR!$AV$1206,IF($S$1523=1085,PR!$AV$1207,IF($S$1523=1086,PR!$AV$1208,IF($S$1523=1087,PR!$AV$1209,IF($S$1523=1088,PR!$AV$1210,IF($S$1523=1089,PR!$AV$1211,IF($S$1523=1090,PR!$AV$1212,IF($S$1523=1091,PR!$AV$1213,IF($S$1523=1092,PR!$AV$1214,IF($S$1523=1093,PR!$AV$1215,IF($S$1523=1094,PR!$AV$1216,IF($S$1523=1095,PR!$AV$1217,IF($S$1523=1096,PR!$AV$1218,IF($S$1523=1097,PR!$AV$1219,IF($S$1523=1098,PR!$AV$1220,IF($S$1523=1099,PR!$AV$1221,IF($S$1523=1100,PR!$AV$1222,IF($S$1523=1101,PR!$AV$1223,"-")))))))))))))))))))))</f>
        <v>0</v>
      </c>
      <c r="M1533" s="602">
        <f>IF($S$1523=1081,PR!$AW$1203,IF($S$1523=1082,PR!$AW$1204,IF($S$1523=1083,PR!$AW$1205,IF($S$1523=1084,PR!$AW$1206,IF($S$1523=1085,PR!$AW$1207,IF($S$1523=1086,PR!$AW$1208,IF($S$1523=1087,PR!$AW$1209,IF($S$1523=1088,PR!$AW$1210,IF($S$1523=1089,PR!$AW$1211,IF($S$1523=1090,PR!$AW$1212,IF($S$1523=1091,PR!$AW$1213,IF($S$1523=1092,PR!$AW$1214,IF($S$1523=1093,PR!$AW$1215,IF($S$1523=1094,PR!$AW$1216,IF($S$1523=1095,PR!$AW$1217,IF($S$1523=1096,PR!$AW$1218,IF($S$1523=1097,PR!$AW$1219,IF($S$1523=1098,PR!$AW$1220,IF($S$1523=1099,PR!$AW$1221,IF($S$1523=1100,PR!$AW$1222,IF($S$1523=1101,PR!$AW$1223,"-")))))))))))))))))))))</f>
        <v>0</v>
      </c>
      <c r="N1533" s="602">
        <f>IF($S$1523=1081,PR!$AX$1203,IF($S$1523=1082,PR!$AX$1204,IF($S$1523=1083,PR!$AX$1205,IF($S$1523=1084,PR!$AX$1206,IF($S$1523=1085,PR!$AX$1207,IF($S$1523=1086,PR!$AX$1208,IF($S$1523=1087,PR!$AX$1209,IF($S$1523=1088,PR!$AX$1210,IF($S$1523=1089,PR!$AX$1211,IF($S$1523=1090,PR!$AX$1212,IF($S$1523=1091,PR!$AX$1213,IF($S$1523=1092,PR!$AX$1214,IF($S$1523=1093,PR!$AX$1215,IF($S$1523=1094,PR!$AX$1216,IF($S$1523=1095,PR!$AX$1217,IF($S$1523=1096,PR!$AX$1218,IF($S$1523=1097,PR!$AX$1219,IF($S$1523=1098,PR!$AX$1220,IF($S$1523=1099,PR!$AX$1221,IF($S$1523=1100,PR!$AX$1222,IF($S$1523=1101,PR!$AX$1223,"-")))))))))))))))))))))</f>
        <v>0</v>
      </c>
      <c r="O1533" s="602">
        <f>IF($S$1523=1081,PR!$AY$1203,IF($S$1523=1082,PR!$AY$1204,IF($S$1523=1083,PR!$AY$1205,IF($S$1523=1084,PR!$AY$1206,IF($S$1523=1085,PR!$AY$1207,IF($S$1523=1086,PR!$AY$1208,IF($S$1523=1087,PR!$AY$1209,IF($S$1523=1088,PR!$AY$1210,IF($S$1523=1089,PR!$AY$1211,IF($S$1523=1090,PR!$AY$1212,IF($S$1523=1091,PR!$AY$1213,IF($S$1523=1092,PR!$AY$1214,IF($S$1523=1093,PR!$AY$1215,IF($S$1523=1094,PR!$AY$1216,IF($S$1523=1095,PR!$AY$1217,IF($S$1523=1096,PR!$AY$1218,IF($S$1523=1097,PR!$AY$1219,IF($S$1523=1098,PR!$AY$1220,IF($S$1523=1099,PR!$AY$1221,IF($S$1523=1100,PR!$AY$1222,IF($S$1523=1101,PR!$AY$1223,"-")))))))))))))))))))))</f>
        <v>0</v>
      </c>
      <c r="P1533" s="602">
        <f>IF($S$1523=1081,PR!$AZ$1203,IF($S$1523=1082,PR!$AZ$1204,IF($S$1523=1083,PR!$AZ$1205,IF($S$1523=1084,PR!$AZ$1206,IF($S$1523=1085,PR!$AZ$1207,IF($S$1523=1086,PR!$AZ$1208,IF($S$1523=1087,PR!$AZ$1209,IF($S$1523=1088,PR!$AZ$1210,IF($S$1523=1089,PR!$AZ$1211,IF($S$1523=1090,PR!$AZ$1212,IF($S$1523=1091,PR!$AZ$1213,IF($S$1523=1092,PR!$AZ$1214,IF($S$1523=1093,PR!$AZ$1215,IF($S$1523=1094,PR!$AZ$1216,IF($S$1523=1095,PR!$AZ$1217,IF($S$1523=1096,PR!$AZ$1218,IF($S$1523=1097,PR!$AZ$1219,IF($S$1523=1098,PR!$AZ$1220,IF($S$1523=1099,PR!$AZ$1221,IF($S$1523=1100,PR!$AZ$1222,IF($S$1523=1101,PR!$AZ$1223,"-")))))))))))))))))))))</f>
        <v>0</v>
      </c>
      <c r="Q1533" s="602">
        <f>IF($S$1523=1081,PR!$BA$1203,IF($S$1523=1082,PR!$BA$1204,IF($S$1523=1083,PR!$BA$1205,IF($S$1523=1084,PR!$BA$1206,IF($S$1523=1085,PR!$BA$1207,IF($S$1523=1086,PR!$BA$1208,IF($S$1523=1087,PR!$BA$1209,IF($S$1523=1088,PR!$BA$1210,IF($S$1523=1089,PR!$BA$1211,IF($S$1523=1090,PR!$BA$1212,IF($S$1523=1091,PR!$BA$1213,IF($S$1523=1092,PR!$BA$1214,IF($S$1523=1093,PR!$BA$1215,IF($S$1523=1094,PR!$BA$1216,IF($S$1523=1095,PR!$BA$1217,IF($S$1523=1096,PR!$BA$1218,IF($S$1523=1097,PR!$BA$1219,IF($S$1523=1098,PR!$BA$1220,IF($S$1523=1099,PR!$BA$1221,IF($S$1523=1100,PR!$BA$1222,IF($S$1523=1101,PR!$BA$1223,"-")))))))))))))))))))))</f>
        <v>0</v>
      </c>
      <c r="R1533" s="602">
        <f>IF($S$1523=1081,PR!$BB$1203,IF($S$1523=1082,PR!$BB$1204,IF($S$1523=1083,PR!$BB$1205,IF($S$1523=1084,PR!$BB$1206,IF($S$1523=1085,PR!$BB$1207,IF($S$1523=1086,PR!$BB$1208,IF($S$1523=1087,PR!$BB$1209,IF($S$1523=1088,PR!$BB$1210,IF($S$1523=1089,PR!$BB$1211,IF($S$1523=1090,PR!$BB$1212,IF($S$1523=1091,PR!$BB$1213,IF($S$1523=1092,PR!$BB$1214,IF($S$1523=1093,PR!$BB$1215,IF($S$1523=1094,PR!$BB$1216,IF($S$1523=1095,PR!$BB$1217,IF($S$1523=1096,PR!$BB$1218,IF($S$1523=1097,PR!$BB$1219,IF($S$1523=1098,PR!$BB$1220,IF($S$1523=1099,PR!$BB$1221,IF($S$1523=1100,PR!$BB$1222,IF($S$1523=1101,PR!$BB$1223,"-")))))))))))))))))))))</f>
        <v>0</v>
      </c>
      <c r="S1533" s="602">
        <f>IF($S$1523=1081,PR!$BC$1203,IF($S$1523=1082,PR!$BC$1204,IF($S$1523=1083,PR!$BC$1205,IF($S$1523=1084,PR!$BC$1206,IF($S$1523=1085,PR!$BC$1207,IF($S$1523=1086,PR!$BC$1208,IF($S$1523=1087,PR!$BC$1209,IF($S$1523=1088,PR!$BC$1210,IF($S$1523=1089,PR!$BC$1211,IF($S$1523=1090,PR!$BC$1212,IF($S$1523=1091,PR!$BC$1213,IF($S$1523=1092,PR!$BC$1214,IF($S$1523=1093,PR!$BC$1215,IF($S$1523=1094,PR!$BC$1216,IF($S$1523=1095,PR!$BC$1217,IF($S$1523=1096,PR!$BC$1218,IF($S$1523=1097,PR!$BC$1219,IF($S$1523=1098,PR!$BC$1220,IF($S$1523=1099,PR!$BC$1221,IF($S$1523=1100,PR!$BC$1222,IF($S$1523=1101,PR!$BC$1223,"-")))))))))))))))))))))</f>
        <v>0</v>
      </c>
      <c r="T1533" s="580"/>
      <c r="U1533" s="580"/>
      <c r="V1533" s="32"/>
      <c r="W1533" s="32"/>
      <c r="X1533" s="32"/>
    </row>
    <row r="1534" spans="2:24" ht="15.75" x14ac:dyDescent="0.25">
      <c r="B1534" s="580"/>
      <c r="C1534" s="603"/>
      <c r="D1534" s="604"/>
      <c r="E1534" s="604"/>
      <c r="F1534" s="604"/>
      <c r="G1534" s="604"/>
      <c r="H1534" s="604"/>
      <c r="I1534" s="604"/>
      <c r="J1534" s="604"/>
      <c r="K1534" s="604"/>
      <c r="L1534" s="604"/>
      <c r="M1534" s="604"/>
      <c r="N1534" s="604"/>
      <c r="O1534" s="604"/>
      <c r="P1534" s="604"/>
      <c r="Q1534" s="604"/>
      <c r="R1534" s="606"/>
      <c r="S1534" s="606"/>
      <c r="T1534" s="580"/>
      <c r="U1534" s="580"/>
      <c r="V1534" s="32"/>
      <c r="W1534" s="32"/>
      <c r="X1534" s="32"/>
    </row>
    <row r="1535" spans="2:24" ht="15.75" thickBot="1" x14ac:dyDescent="0.3">
      <c r="B1535" s="580"/>
      <c r="C1535" s="600" t="str">
        <f>N!$C$55</f>
        <v>SAM</v>
      </c>
      <c r="D1535" s="600" t="str">
        <f>N!$C$56</f>
        <v>SEAGREEN</v>
      </c>
      <c r="E1535" s="600" t="str">
        <f>N!$C$57</f>
        <v>SKG</v>
      </c>
      <c r="F1535" s="600" t="str">
        <f>N!$C$58</f>
        <v>TAH</v>
      </c>
      <c r="G1535" s="600" t="str">
        <f>N!$C$59</f>
        <v>TAYLEK</v>
      </c>
      <c r="H1535" s="600" t="str">
        <f>N!$C$60</f>
        <v>TEMITA</v>
      </c>
      <c r="I1535" s="600" t="str">
        <f>N!$C$61</f>
        <v>THL</v>
      </c>
      <c r="J1535" s="600" t="str">
        <f>N!$C$62</f>
        <v>UBASTIC</v>
      </c>
      <c r="K1535" s="600" t="str">
        <f>N!$C$63</f>
        <v>UNION</v>
      </c>
      <c r="L1535" s="600" t="str">
        <f>N!$C$64</f>
        <v>UNIQUE</v>
      </c>
      <c r="M1535" s="600" t="str">
        <f>N!$C$65</f>
        <v>VIXA</v>
      </c>
      <c r="N1535" s="600" t="str">
        <f>N!$C$66</f>
        <v>WWCV</v>
      </c>
      <c r="O1535" s="600" t="str">
        <f>N!$C$67</f>
        <v>ZOLON</v>
      </c>
      <c r="P1535" s="600" t="e">
        <f>N!#REF!</f>
        <v>#REF!</v>
      </c>
      <c r="Q1535" s="600" t="e">
        <f>N!#REF!</f>
        <v>#REF!</v>
      </c>
      <c r="R1535" s="600" t="e">
        <f>N!#REF!</f>
        <v>#REF!</v>
      </c>
      <c r="S1535" s="604"/>
      <c r="T1535" s="580"/>
      <c r="U1535" s="580"/>
      <c r="V1535" s="32"/>
      <c r="W1535" s="32"/>
      <c r="X1535" s="32"/>
    </row>
    <row r="1536" spans="2:24" ht="15.75" thickBot="1" x14ac:dyDescent="0.3">
      <c r="B1536" s="580"/>
      <c r="C1536" s="602">
        <f>IF($S$1523=1081,PR!$BD$1203,IF($S$1523=1082,PR!$BD$1204,IF($S$1523=1083,PR!$BD$1205,IF($S$1523=1084,PR!$BD$1206,IF($S$1523=1085,PR!$BD$1207,IF($S$1523=1086,PR!$BD$1208,IF($S$1523=1087,PR!$BD$1209,IF($S$1523=1088,PR!$BD$1210,IF($S$1523=1089,PR!$BD$1211,IF($S$1523=1090,PR!$BD$1212,IF($S$1523=1091,PR!$BD$1213,IF($S$1523=1092,PR!$BD$1214,IF($S$1523=1093,PR!$BD$1215,IF($S$1523=1094,PR!$BD$1216,IF($S$1523=1095,PR!$BD$1217,IF($S$1523=1096,PR!$BD$1218,IF($S$1523=1097,PR!$BD$1219,IF($S$1523=1098,PR!$BD$1220,IF($S$1523=1099,PR!$BD$1221,IF($S$1523=1100,PR!$BD$1222,IF($S$1523=1101,PR!$BD$1223,"-")))))))))))))))))))))</f>
        <v>0</v>
      </c>
      <c r="D1536" s="602">
        <f>IF($S$1523=1081,PR!$BE$1203,IF($S$1523=1082,PR!$BE$1204,IF($S$1523=1083,PR!$BE$1205,IF($S$1523=1084,PR!$BE$1206,IF($S$1523=1085,PR!$BE$1207,IF($S$1523=1086,PR!$BE$1208,IF($S$1523=1087,PR!$BE$1209,IF($S$1523=1088,PR!$BE$1210,IF($S$1523=1089,PR!$BE$1211,IF($S$1523=1090,PR!$BE$1212,IF($S$1523=1091,PR!$BE$1213,IF($S$1523=1092,PR!$BE$1214,IF($S$1523=1093,PR!$BE$1215,IF($S$1523=1094,PR!$BE$1216,IF($S$1523=1095,PR!$BE$1217,IF($S$1523=1096,PR!$BE$1218,IF($S$1523=1097,PR!$BE$1219,IF($S$1523=1098,PR!$BE$1220,IF($S$1523=1099,PR!$BE$1221,IF($S$1523=1100,PR!$BE$1222,IF($S$1523=1101,PR!$BE$1223,"-")))))))))))))))))))))</f>
        <v>0</v>
      </c>
      <c r="E1536" s="602">
        <f>IF($S$1523=1081,PR!$BF$1203,IF($S$1523=1082,PR!$BF$1204,IF($S$1523=1083,PR!$BF$1205,IF($S$1523=1084,PR!$BF$1206,IF($S$1523=1085,PR!$BF$1207,IF($S$1523=1086,PR!$BF$1208,IF($S$1523=1087,PR!$BF$1209,IF($S$1523=1088,PR!$BF$1210,IF($S$1523=1089,PR!$BF$1211,IF($S$1523=1090,PR!$BF$1212,IF($S$1523=1091,PR!$BF$1213,IF($S$1523=1092,PR!$BF$1214,IF($S$1523=1093,PR!$BF$1215,IF($S$1523=1094,PR!$BF$1216,IF($S$1523=1095,PR!$BF$1217,IF($S$1523=1096,PR!$BF$1218,IF($S$1523=1097,PR!$BF$1219,IF($S$1523=1098,PR!$BF$1220,IF($S$1523=1099,PR!$BF$1221,IF($S$1523=1100,PR!$BF$1222,IF($S$1523=1101,PR!$BF$1223,"-")))))))))))))))))))))</f>
        <v>0</v>
      </c>
      <c r="F1536" s="602">
        <f>IF($S$1523=1081,PR!$BG$1203,IF($S$1523=1082,PR!$BG$1204,IF($S$1523=1083,PR!$BG$1205,IF($S$1523=1084,PR!$BG$1206,IF($S$1523=1085,PR!$BG$1207,IF($S$1523=1086,PR!$BG$1208,IF($S$1523=1087,PR!$BG$1209,IF($S$1523=1088,PR!$BG$1210,IF($S$1523=1089,PR!$BG$1211,IF($S$1523=1090,PR!$BG$1212,IF($S$1523=1091,PR!$BG$1213,IF($S$1523=1092,PR!$BG$1214,IF($S$1523=1093,PR!$BG$1215,IF($S$1523=1094,PR!$BG$1216,IF($S$1523=1095,PR!$BG$1217,IF($S$1523=1096,PR!$BG$1218,IF($S$1523=1097,PR!$BG$1219,IF($S$1523=1098,PR!$BG$1220,IF($S$1523=1099,PR!$BG$1221,IF($S$1523=1100,PR!$BG$1222,IF($S$1523=1101,PR!$BG$1223,"-")))))))))))))))))))))</f>
        <v>0</v>
      </c>
      <c r="G1536" s="602">
        <f>IF($S$1523=1081,PR!$BH$1203,IF($S$1523=1082,PR!$BH$1204,IF($S$1523=1083,PR!$BH$1205,IF($S$1523=1084,PR!$BH$1206,IF($S$1523=1085,PR!$BH$1207,IF($S$1523=1086,PR!$BH$1208,IF($S$1523=1087,PR!$BH$1209,IF($S$1523=1088,PR!$BH$1210,IF($S$1523=1089,PR!$BH$1211,IF($S$1523=1090,PR!$BH$1212,IF($S$1523=1091,PR!$BH$1213,IF($S$1523=1092,PR!$BH$1214,IF($S$1523=1093,PR!$BH$1215,IF($S$1523=1094,PR!$BH$1216,IF($S$1523=1095,PR!$BH$1217,IF($S$1523=1096,PR!$BH$1218,IF($S$1523=1097,PR!$BH$1219,IF($S$1523=1098,PR!$BH$1220,IF($S$1523=1099,PR!$BH$1221,IF($S$1523=1100,PR!$BH$1222,IF($S$1523=1101,PR!$BH$1223,"-")))))))))))))))))))))</f>
        <v>0</v>
      </c>
      <c r="H1536" s="602">
        <f>IF($S$1523=1081,PR!$BI$1203,IF($S$1523=1082,PR!$BI$1204,IF($S$1523=1083,PR!$BI$1205,IF($S$1523=1084,PR!$BI$1206,IF($S$1523=1085,PR!$BI$1207,IF($S$1523=1086,PR!$BI$1208,IF($S$1523=1087,PR!$BI$1209,IF($S$1523=1088,PR!$BI$1210,IF($S$1523=1089,PR!$BI$1211,IF($S$1523=1090,PR!$BI$1212,IF($S$1523=1091,PR!$BI$1213,IF($S$1523=1092,PR!$BI$1214,IF($S$1523=1093,PR!$BI$1215,IF($S$1523=1094,PR!$BI$1216,IF($S$1523=1095,PR!$BI$1217,IF($S$1523=1096,PR!$BI$1218,IF($S$1523=1097,PR!$BI$1219,IF($S$1523=1098,PR!$BI$1220,IF($S$1523=1099,PR!$BI$1221,IF($S$1523=1100,PR!$BI$1222,IF($S$1523=1101,PR!$BI$1223,"-")))))))))))))))))))))</f>
        <v>0</v>
      </c>
      <c r="I1536" s="602">
        <f>IF($S$1523=1081,PR!$BJ$1203,IF($S$1523=1082,PR!$BJ$1204,IF($S$1523=1083,PR!$BJ$1205,IF($S$1523=1084,PR!$BJ$1206,IF($S$1523=1085,PR!$BJ$1207,IF($S$1523=1086,PR!$BJ$1208,IF($S$1523=1087,PR!$BJ$1209,IF($S$1523=1088,PR!$BJ$1210,IF($S$1523=1089,PR!$BJ$1211,IF($S$1523=1090,PR!$BJ$1212,IF($S$1523=1091,PR!$BJ$1213,IF($S$1523=1092,PR!$BJ$1214,IF($S$1523=1093,PR!$BJ$1215,IF($S$1523=1094,PR!$BJ$1216,IF($S$1523=1095,PR!$BJ$1217,IF($S$1523=1096,PR!$BJ$1218,IF($S$1523=1097,PR!$BJ$1219,IF($S$1523=1098,PR!$BJ$1220,IF($S$1523=1099,PR!$BJ$1221,IF($S$1523=1100,PR!$BJ$1222,IF($S$1523=1101,PR!$BJ$1223,"-")))))))))))))))))))))</f>
        <v>0</v>
      </c>
      <c r="J1536" s="602">
        <f>IF($S$1523=1081,PR!$BK$1203,IF($S$1523=1082,PR!$BK$1204,IF($S$1523=1083,PR!$BK$1205,IF($S$1523=1084,PR!$BK$1206,IF($S$1523=1085,PR!$BK$1207,IF($S$1523=1086,PR!$BK$1208,IF($S$1523=1087,PR!$BK$1209,IF($S$1523=1088,PR!$BK$1210,IF($S$1523=1089,PR!$BK$1211,IF($S$1523=1090,PR!$BK$1212,IF($S$1523=1091,PR!$BK$1213,IF($S$1523=1092,PR!$BK$1214,IF($S$1523=1093,PR!$BK$1215,IF($S$1523=1094,PR!$BK$1216,IF($S$1523=1095,PR!$BK$1217,IF($S$1523=1096,PR!$BK$1218,IF($S$1523=1097,PR!$BK$1219,IF($S$1523=1098,PR!$BK$1220,IF($S$1523=1099,PR!$BK$1221,IF($S$1523=1100,PR!$BK$1222,IF($S$1523=1101,PR!$BK$1223,"-")))))))))))))))))))))</f>
        <v>3500</v>
      </c>
      <c r="K1536" s="602">
        <f>IF($S$1523=1081,PR!$BL$1203,IF($S$1523=1082,PR!$BL$1204,IF($S$1523=1083,PR!$BL$1205,IF($S$1523=1084,PR!$BL$1206,IF($S$1523=1085,PR!$BL$1207,IF($S$1523=1086,PR!$BL$1208,IF($S$1523=1087,PR!$BL$1209,IF($S$1523=1088,PR!$BL$1210,IF($S$1523=1089,PR!$BL$1211,IF($S$1523=1090,PR!$BL$1212,IF($S$1523=1091,PR!$BL$1213,IF($S$1523=1092,PR!$BL$1214,IF($S$1523=1093,PR!$BL$1215,IF($S$1523=1094,PR!$BL$1216,IF($S$1523=1095,PR!$BL$1217,IF($S$1523=1096,PR!$BL$1218,IF($S$1523=1097,PR!$BL$1219,IF($S$1523=1098,PR!$BL$1220,IF($S$1523=1099,PR!$BL$1221,IF($S$1523=1100,PR!$BL$1222,IF($S$1523=1101,PR!$BL$1223,"-")))))))))))))))))))))</f>
        <v>0</v>
      </c>
      <c r="L1536" s="602">
        <f>IF($S$1523=1081,PR!$BM$1203,IF($S$1523=1082,PR!$BM$1204,IF($S$1523=1083,PR!$BM$1205,IF($S$1523=1084,PR!$BM$1206,IF($S$1523=1085,PR!$BM$1207,IF($S$1523=1086,PR!$BM$1208,IF($S$1523=1087,PR!$BM$1209,IF($S$1523=1088,PR!$BM$1210,IF($S$1523=1089,PR!$BM$1211,IF($S$1523=1090,PR!$BM$1212,IF($S$1523=1091,PR!$BM$1213,IF($S$1523=1092,PR!$BM$1214,IF($S$1523=1093,PR!$BM$1215,IF($S$1523=1094,PR!$BM$1216,IF($S$1523=1095,PR!$BM$1217,IF($S$1523=1096,PR!$BM$1218,IF($S$1523=1097,PR!$BM$1219,IF($S$1523=1098,PR!$BM$1220,IF($S$1523=1099,PR!$BM$1221,IF($S$1523=1100,PR!$BM$1222,IF($S$1523=1101,PR!$BM$1223,"-")))))))))))))))))))))</f>
        <v>0</v>
      </c>
      <c r="M1536" s="602">
        <f>IF($S$1523=1081,PR!$BN$1203,IF($S$1523=1082,PR!$BN$1204,IF($S$1523=1083,PR!$BN$1205,IF($S$1523=1084,PR!$BN$1206,IF($S$1523=1085,PR!$BN$1207,IF($S$1523=1086,PR!$BN$1208,IF($S$1523=1087,PR!$BN$1209,IF($S$1523=1088,PR!$BN$1210,IF($S$1523=1089,PR!$BN$1211,IF($S$1523=1090,PR!$BN$1212,IF($S$1523=1091,PR!$BN$1213,IF($S$1523=1092,PR!$BN$1214,IF($S$1523=1093,PR!$BN$1215,IF($S$1523=1094,PR!$BN$1216,IF($S$1523=1095,PR!$BN$1217,IF($S$1523=1096,PR!$BN$1218,IF($S$1523=1097,PR!$BN$1219,IF($S$1523=1098,PR!$BN$1220,IF($S$1523=1099,PR!$BN$1221,IF($S$1523=1100,PR!$BN$1222,IF($S$1523=1101,PR!$BN$1223,"-")))))))))))))))))))))</f>
        <v>0</v>
      </c>
      <c r="N1536" s="602">
        <f>IF($S$1523=1081,PR!$BO$1203,IF($S$1523=1082,PR!$BO$1204,IF($S$1523=1083,PR!$BO$1205,IF($S$1523=1084,PR!$BO$1206,IF($S$1523=1085,PR!$BO$1207,IF($S$1523=1086,PR!$BO$1208,IF($S$1523=1087,PR!$BO$1209,IF($S$1523=1088,PR!$BO$1210,IF($S$1523=1089,PR!$BO$1211,IF($S$1523=1090,PR!$BO$1212,IF($S$1523=1091,PR!$BO$1213,IF($S$1523=1092,PR!$BO$1214,IF($S$1523=1093,PR!$BO$1215,IF($S$1523=1094,PR!$BO$1216,IF($S$1523=1095,PR!$BO$1217,IF($S$1523=1096,PR!$BO$1218,IF($S$1523=1097,PR!$BO$1219,IF($S$1523=1098,PR!$BO$1220,IF($S$1523=1099,PR!$BO$1221,IF($S$1523=1100,PR!$BO$1222,IF($S$1523=1101,PR!$BO$1223,"-")))))))))))))))))))))</f>
        <v>0</v>
      </c>
      <c r="O1536" s="602">
        <f>IF($S$1523=1081,PR!$BP$1203,IF($S$1523=1082,PR!$BP$1204,IF($S$1523=1083,PR!$BP$1205,IF($S$1523=1084,PR!$BP$1206,IF($S$1523=1085,PR!$BP$1207,IF($S$1523=1086,PR!$BP$1208,IF($S$1523=1087,PR!$BP$1209,IF($S$1523=1088,PR!$BP$1210,IF($S$1523=1089,PR!$BP$1211,IF($S$1523=1090,PR!$BP$1212,IF($S$1523=1091,PR!$BP$1213,IF($S$1523=1092,PR!$BP$1214,IF($S$1523=1093,PR!$BP$1215,IF($S$1523=1094,PR!$BP$1216,IF($S$1523=1095,PR!$BP$1217,IF($S$1523=1096,PR!$BP$1218,IF($S$1523=1097,PR!$BP$1219,IF($S$1523=1098,PR!$BP$1220,IF($S$1523=1099,PR!$BP$1221,IF($S$1523=1100,PR!$BP$1222,IF($S$1523=1101,PR!$BP$1223,"-")))))))))))))))))))))</f>
        <v>0</v>
      </c>
      <c r="P1536" s="602">
        <f>IF($S$1523=1081,PR!$BQ$1203,IF($S$1523=1082,PR!$BQ$1204,IF($S$1523=1083,PR!$BQ$1205,IF($S$1523=1084,PR!$BQ$1206,IF($S$1523=1085,PR!$BQ$1207,IF($S$1523=1086,PR!$BQ$1208,IF($S$1523=1087,PR!$BQ$1209,IF($S$1523=1088,PR!$BQ$1210,IF($S$1523=1089,PR!$BQ$1211,IF($S$1523=1090,PR!$BQ$1212,IF($S$1523=1091,PR!$BQ$1213,IF($S$1523=1092,PR!$BQ$1214,IF($S$1523=1093,PR!$BQ$1215,IF($S$1523=1094,PR!$BQ$1216,IF($S$1523=1095,PR!$BQ$1217,IF($S$1523=1096,PR!$BQ$1218,IF($S$1523=1097,PR!$BQ$1219,IF($S$1523=1098,PR!$BQ$1220,IF($S$1523=1099,PR!$BQ$1221,IF($S$1523=1100,PR!$BQ$1222,IF($S$1523=1101,PR!$BQ$1223,"-")))))))))))))))))))))</f>
        <v>0</v>
      </c>
      <c r="Q1536" s="602">
        <f>IF($S$1523=1081,PR!$BR$1203,IF($S$1523=1082,PR!$BR$1204,IF($S$1523=1083,PR!$BR$1205,IF($S$1523=1084,PR!$BR$1206,IF($S$1523=1085,PR!$BR$1207,IF($S$1523=1086,PR!$BR$1208,IF($S$1523=1087,PR!$BR$1209,IF($S$1523=1088,PR!$BR$1210,IF($S$1523=1089,PR!$BR$1211,IF($S$1523=1090,PR!$BR$1212,IF($S$1523=1091,PR!$BR$1213,IF($S$1523=1092,PR!$BR$1214,IF($S$1523=1093,PR!$BR$1215,IF($S$1523=1094,PR!$BR$1216,IF($S$1523=1095,PR!$BR$1217,IF($S$1523=1096,PR!$BR$1218,IF($S$1523=1097,PR!$BR$1219,IF($S$1523=1098,PR!$BR$1220,IF($S$1523=1099,PR!$BR$1221,IF($S$1523=1100,PR!$BR$1222,IF($S$1523=1101,PR!$BR$1223,"-")))))))))))))))))))))</f>
        <v>0</v>
      </c>
      <c r="R1536" s="602">
        <f>IF($S$1523=1081,PR!$BS$1203,IF($S$1523=1082,PR!$BS$1204,IF($S$1523=1083,PR!$BS$1205,IF($S$1523=1084,PR!$BS$1206,IF($S$1523=1085,PR!$BS$1207,IF($S$1523=1086,PR!$BS$1208,IF($S$1523=1087,PR!$BS$1209,IF($S$1523=1088,PR!$BS$1210,IF($S$1523=1089,PR!$BS$1211,IF($S$1523=1090,PR!$BS$1212,IF($S$1523=1091,PR!$BS$1213,IF($S$1523=1092,PR!$BS$1214,IF($S$1523=1093,PR!$BS$1215,IF($S$1523=1094,PR!$BS$1216,IF($S$1523=1095,PR!$BS$1217,IF($S$1523=1096,PR!$BS$1218,IF($S$1523=1097,PR!$BS$1219,IF($S$1523=1098,PR!$BS$1220,IF($S$1523=1099,PR!$BS$1221,IF($S$1523=1100,PR!$BS$1222,IF($S$1523=1101,PR!$BS$1223,"-")))))))))))))))))))))</f>
        <v>0</v>
      </c>
      <c r="S1536" s="604"/>
      <c r="T1536" s="580"/>
      <c r="U1536" s="580"/>
      <c r="V1536" s="32"/>
      <c r="W1536" s="32"/>
      <c r="X1536" s="32"/>
    </row>
    <row r="1537" spans="2:24" x14ac:dyDescent="0.25">
      <c r="B1537" s="580"/>
      <c r="C1537" s="593"/>
      <c r="D1537" s="580"/>
      <c r="E1537" s="580"/>
      <c r="F1537" s="580"/>
      <c r="G1537" s="580"/>
      <c r="H1537" s="580"/>
      <c r="I1537" s="580"/>
      <c r="J1537" s="580"/>
      <c r="K1537" s="580"/>
      <c r="L1537" s="580"/>
      <c r="M1537" s="580"/>
      <c r="N1537" s="580"/>
      <c r="O1537" s="580"/>
      <c r="P1537" s="580"/>
      <c r="Q1537" s="580"/>
      <c r="R1537" s="583"/>
      <c r="S1537" s="580"/>
      <c r="T1537" s="580"/>
      <c r="U1537" s="580"/>
      <c r="V1537" s="32"/>
      <c r="W1537" s="32"/>
      <c r="X1537" s="32"/>
    </row>
    <row r="1538" spans="2:24" ht="30" x14ac:dyDescent="0.25">
      <c r="B1538" s="580"/>
      <c r="C1538" s="593"/>
      <c r="D1538" s="580"/>
      <c r="E1538" s="580"/>
      <c r="F1538" s="580"/>
      <c r="G1538" s="580"/>
      <c r="H1538" s="580"/>
      <c r="I1538" s="580"/>
      <c r="J1538" s="580"/>
      <c r="K1538" s="597" t="s">
        <v>783</v>
      </c>
      <c r="L1538" s="598" t="s">
        <v>418</v>
      </c>
      <c r="M1538" s="598" t="s">
        <v>419</v>
      </c>
      <c r="N1538" s="599" t="s">
        <v>420</v>
      </c>
      <c r="O1538" s="580"/>
      <c r="P1538" s="580"/>
      <c r="Q1538" s="580"/>
      <c r="R1538" s="580"/>
      <c r="S1538" s="580"/>
      <c r="T1538" s="580"/>
      <c r="U1538" s="580"/>
      <c r="V1538" s="32"/>
      <c r="W1538" s="32"/>
      <c r="X1538" s="32"/>
    </row>
    <row r="1539" spans="2:24" x14ac:dyDescent="0.25">
      <c r="B1539" s="580"/>
      <c r="C1539" s="593"/>
      <c r="D1539" s="580"/>
      <c r="E1539" s="580"/>
      <c r="F1539" s="580"/>
      <c r="G1539" s="580"/>
      <c r="H1539" s="580"/>
      <c r="I1539" s="580"/>
      <c r="J1539" s="580"/>
      <c r="K1539" s="583" t="s">
        <v>785</v>
      </c>
      <c r="L1539" s="580"/>
      <c r="M1539" s="580"/>
      <c r="N1539" s="580"/>
      <c r="O1539" s="580"/>
      <c r="P1539" s="580"/>
      <c r="Q1539" s="580"/>
      <c r="R1539" s="580"/>
      <c r="S1539" s="580"/>
      <c r="T1539" s="580"/>
      <c r="U1539" s="580"/>
      <c r="V1539" s="32"/>
      <c r="W1539" s="32"/>
      <c r="X1539" s="32"/>
    </row>
    <row r="1540" spans="2:24" x14ac:dyDescent="0.25">
      <c r="B1540" s="32"/>
      <c r="C1540" s="96"/>
      <c r="D1540" s="32"/>
      <c r="E1540" s="32"/>
      <c r="F1540" s="32"/>
      <c r="G1540" s="32"/>
      <c r="H1540" s="32"/>
      <c r="I1540" s="32"/>
      <c r="J1540" s="32"/>
      <c r="K1540" s="97">
        <v>1081</v>
      </c>
      <c r="L1540" s="98" t="s">
        <v>1463</v>
      </c>
      <c r="M1540" s="99" t="s">
        <v>1459</v>
      </c>
      <c r="N1540" s="100" t="s">
        <v>817</v>
      </c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</row>
    <row r="1541" spans="2:24" x14ac:dyDescent="0.25">
      <c r="B1541" s="32"/>
      <c r="C1541" s="32"/>
      <c r="D1541" s="32"/>
      <c r="E1541" s="32"/>
      <c r="F1541" s="32"/>
      <c r="G1541" s="32"/>
      <c r="H1541" s="32"/>
      <c r="I1541" s="32"/>
      <c r="J1541" s="32"/>
      <c r="K1541" s="97">
        <f>1+K1540</f>
        <v>1082</v>
      </c>
      <c r="L1541" s="98" t="s">
        <v>1459</v>
      </c>
      <c r="M1541" s="99" t="s">
        <v>825</v>
      </c>
      <c r="N1541" s="100" t="s">
        <v>817</v>
      </c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</row>
    <row r="1542" spans="2:24" x14ac:dyDescent="0.25">
      <c r="B1542" s="32"/>
      <c r="C1542" s="32"/>
      <c r="D1542" s="32"/>
      <c r="E1542" s="32"/>
      <c r="F1542" s="32"/>
      <c r="G1542" s="32"/>
      <c r="H1542" s="32"/>
      <c r="I1542" s="32"/>
      <c r="J1542" s="32"/>
      <c r="K1542" s="97">
        <f t="shared" ref="K1542:K1560" si="19">1+K1541</f>
        <v>1083</v>
      </c>
      <c r="L1542" s="98" t="s">
        <v>1463</v>
      </c>
      <c r="M1542" s="99" t="s">
        <v>1459</v>
      </c>
      <c r="N1542" s="100" t="s">
        <v>626</v>
      </c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</row>
    <row r="1543" spans="2:24" x14ac:dyDescent="0.25">
      <c r="B1543" s="32"/>
      <c r="C1543" s="32"/>
      <c r="D1543" s="32"/>
      <c r="E1543" s="32"/>
      <c r="F1543" s="32"/>
      <c r="G1543" s="32"/>
      <c r="H1543" s="32"/>
      <c r="I1543" s="32"/>
      <c r="J1543" s="32"/>
      <c r="K1543" s="97">
        <f t="shared" si="19"/>
        <v>1084</v>
      </c>
      <c r="L1543" s="98" t="s">
        <v>1463</v>
      </c>
      <c r="M1543" s="99" t="s">
        <v>1459</v>
      </c>
      <c r="N1543" s="100" t="s">
        <v>817</v>
      </c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</row>
    <row r="1544" spans="2:24" x14ac:dyDescent="0.25">
      <c r="B1544" s="32"/>
      <c r="C1544" s="32"/>
      <c r="D1544" s="32"/>
      <c r="E1544" s="32"/>
      <c r="F1544" s="32"/>
      <c r="G1544" s="32"/>
      <c r="H1544" s="32"/>
      <c r="I1544" s="32"/>
      <c r="J1544" s="32"/>
      <c r="K1544" s="97">
        <f t="shared" si="19"/>
        <v>1085</v>
      </c>
      <c r="L1544" s="98" t="s">
        <v>1463</v>
      </c>
      <c r="M1544" s="99" t="s">
        <v>817</v>
      </c>
      <c r="N1544" s="100" t="s">
        <v>626</v>
      </c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</row>
    <row r="1545" spans="2:24" x14ac:dyDescent="0.25">
      <c r="B1545" s="32"/>
      <c r="C1545" s="32"/>
      <c r="D1545" s="32"/>
      <c r="E1545" s="32"/>
      <c r="F1545" s="32"/>
      <c r="G1545" s="32"/>
      <c r="H1545" s="32"/>
      <c r="I1545" s="32"/>
      <c r="J1545" s="32"/>
      <c r="K1545" s="97">
        <f t="shared" si="19"/>
        <v>1086</v>
      </c>
      <c r="L1545" s="98" t="s">
        <v>817</v>
      </c>
      <c r="M1545" s="99" t="s">
        <v>626</v>
      </c>
      <c r="N1545" s="100" t="s">
        <v>1459</v>
      </c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</row>
    <row r="1546" spans="2:24" x14ac:dyDescent="0.25">
      <c r="B1546" s="32"/>
      <c r="C1546" s="32"/>
      <c r="D1546" s="32"/>
      <c r="E1546" s="32"/>
      <c r="F1546" s="32"/>
      <c r="G1546" s="32"/>
      <c r="H1546" s="32"/>
      <c r="I1546" s="32"/>
      <c r="J1546" s="32"/>
      <c r="K1546" s="97">
        <f t="shared" si="19"/>
        <v>1087</v>
      </c>
      <c r="L1546" s="98" t="s">
        <v>1459</v>
      </c>
      <c r="M1546" s="99" t="s">
        <v>817</v>
      </c>
      <c r="N1546" s="100" t="s">
        <v>626</v>
      </c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</row>
    <row r="1547" spans="2:24" x14ac:dyDescent="0.25">
      <c r="B1547" s="32"/>
      <c r="C1547" s="32"/>
      <c r="D1547" s="32"/>
      <c r="E1547" s="32"/>
      <c r="F1547" s="32"/>
      <c r="G1547" s="32"/>
      <c r="H1547" s="32"/>
      <c r="I1547" s="32"/>
      <c r="J1547" s="32"/>
      <c r="K1547" s="97">
        <f t="shared" si="19"/>
        <v>1088</v>
      </c>
      <c r="L1547" s="98" t="s">
        <v>626</v>
      </c>
      <c r="M1547" s="99" t="s">
        <v>1459</v>
      </c>
      <c r="N1547" s="100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</row>
    <row r="1548" spans="2:24" x14ac:dyDescent="0.25">
      <c r="B1548" s="32"/>
      <c r="C1548" s="32"/>
      <c r="D1548" s="32"/>
      <c r="E1548" s="32"/>
      <c r="F1548" s="32"/>
      <c r="G1548" s="32"/>
      <c r="H1548" s="32"/>
      <c r="I1548" s="32"/>
      <c r="J1548" s="32"/>
      <c r="K1548" s="97">
        <f t="shared" si="19"/>
        <v>1089</v>
      </c>
      <c r="L1548" s="98" t="s">
        <v>1459</v>
      </c>
      <c r="M1548" s="99" t="s">
        <v>1463</v>
      </c>
      <c r="N1548" s="100" t="s">
        <v>626</v>
      </c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</row>
    <row r="1549" spans="2:24" x14ac:dyDescent="0.25">
      <c r="B1549" s="32"/>
      <c r="C1549" s="32"/>
      <c r="D1549" s="32"/>
      <c r="E1549" s="32"/>
      <c r="F1549" s="32"/>
      <c r="G1549" s="32"/>
      <c r="H1549" s="32"/>
      <c r="I1549" s="32"/>
      <c r="J1549" s="32"/>
      <c r="K1549" s="97">
        <f t="shared" si="19"/>
        <v>1090</v>
      </c>
      <c r="L1549" s="98" t="s">
        <v>1459</v>
      </c>
      <c r="M1549" s="99" t="s">
        <v>817</v>
      </c>
      <c r="N1549" s="100" t="s">
        <v>626</v>
      </c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</row>
    <row r="1550" spans="2:24" x14ac:dyDescent="0.25">
      <c r="B1550" s="32"/>
      <c r="C1550" s="32"/>
      <c r="D1550" s="32"/>
      <c r="E1550" s="32"/>
      <c r="F1550" s="32"/>
      <c r="G1550" s="32"/>
      <c r="H1550" s="32"/>
      <c r="I1550" s="32"/>
      <c r="J1550" s="32"/>
      <c r="K1550" s="97">
        <f t="shared" si="19"/>
        <v>1091</v>
      </c>
      <c r="L1550" s="98" t="s">
        <v>1468</v>
      </c>
      <c r="M1550" s="99" t="s">
        <v>817</v>
      </c>
      <c r="N1550" s="100" t="s">
        <v>1459</v>
      </c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</row>
    <row r="1551" spans="2:24" x14ac:dyDescent="0.25">
      <c r="B1551" s="32"/>
      <c r="C1551" s="32"/>
      <c r="D1551" s="32"/>
      <c r="E1551" s="32"/>
      <c r="F1551" s="32"/>
      <c r="G1551" s="32"/>
      <c r="H1551" s="32"/>
      <c r="I1551" s="32"/>
      <c r="J1551" s="32"/>
      <c r="K1551" s="97">
        <f t="shared" si="19"/>
        <v>1092</v>
      </c>
      <c r="L1551" s="98" t="s">
        <v>1468</v>
      </c>
      <c r="M1551" s="99" t="s">
        <v>1463</v>
      </c>
      <c r="N1551" s="100" t="s">
        <v>817</v>
      </c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</row>
    <row r="1552" spans="2:24" x14ac:dyDescent="0.25">
      <c r="B1552" s="32"/>
      <c r="C1552" s="32"/>
      <c r="D1552" s="32"/>
      <c r="E1552" s="32"/>
      <c r="F1552" s="32"/>
      <c r="G1552" s="32"/>
      <c r="H1552" s="32"/>
      <c r="I1552" s="32"/>
      <c r="J1552" s="32"/>
      <c r="K1552" s="97">
        <f t="shared" si="19"/>
        <v>1093</v>
      </c>
      <c r="L1552" s="98" t="s">
        <v>1459</v>
      </c>
      <c r="M1552" s="99" t="s">
        <v>817</v>
      </c>
      <c r="N1552" s="100" t="s">
        <v>626</v>
      </c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</row>
    <row r="1553" spans="2:24" x14ac:dyDescent="0.25">
      <c r="B1553" s="32"/>
      <c r="C1553" s="32"/>
      <c r="D1553" s="32"/>
      <c r="E1553" s="32"/>
      <c r="F1553" s="32"/>
      <c r="G1553" s="32"/>
      <c r="H1553" s="32"/>
      <c r="I1553" s="32"/>
      <c r="J1553" s="32"/>
      <c r="K1553" s="97">
        <f t="shared" si="19"/>
        <v>1094</v>
      </c>
      <c r="L1553" s="98" t="s">
        <v>1459</v>
      </c>
      <c r="M1553" s="99" t="s">
        <v>817</v>
      </c>
      <c r="N1553" s="100" t="s">
        <v>626</v>
      </c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</row>
    <row r="1554" spans="2:24" x14ac:dyDescent="0.25">
      <c r="B1554" s="32"/>
      <c r="C1554" s="32"/>
      <c r="D1554" s="32"/>
      <c r="E1554" s="32"/>
      <c r="F1554" s="32"/>
      <c r="G1554" s="32"/>
      <c r="H1554" s="32"/>
      <c r="I1554" s="32"/>
      <c r="J1554" s="32"/>
      <c r="K1554" s="97">
        <f t="shared" si="19"/>
        <v>1095</v>
      </c>
      <c r="L1554" s="98" t="s">
        <v>817</v>
      </c>
      <c r="M1554" s="99" t="s">
        <v>1461</v>
      </c>
      <c r="N1554" s="100" t="s">
        <v>626</v>
      </c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</row>
    <row r="1555" spans="2:24" x14ac:dyDescent="0.25">
      <c r="B1555" s="32"/>
      <c r="C1555" s="32"/>
      <c r="D1555" s="32"/>
      <c r="E1555" s="32"/>
      <c r="F1555" s="32"/>
      <c r="G1555" s="32"/>
      <c r="H1555" s="32"/>
      <c r="I1555" s="32"/>
      <c r="J1555" s="32"/>
      <c r="K1555" s="97">
        <f t="shared" si="19"/>
        <v>1096</v>
      </c>
      <c r="L1555" s="98" t="s">
        <v>1459</v>
      </c>
      <c r="M1555" s="99" t="s">
        <v>817</v>
      </c>
      <c r="N1555" s="100" t="s">
        <v>1463</v>
      </c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</row>
    <row r="1556" spans="2:24" x14ac:dyDescent="0.25">
      <c r="B1556" s="32"/>
      <c r="C1556" s="32"/>
      <c r="D1556" s="32"/>
      <c r="E1556" s="32"/>
      <c r="F1556" s="32"/>
      <c r="G1556" s="32"/>
      <c r="H1556" s="32"/>
      <c r="I1556" s="32"/>
      <c r="J1556" s="32"/>
      <c r="K1556" s="97">
        <f t="shared" si="19"/>
        <v>1097</v>
      </c>
      <c r="L1556" s="98" t="s">
        <v>1463</v>
      </c>
      <c r="M1556" s="99" t="s">
        <v>626</v>
      </c>
      <c r="N1556" s="100" t="s">
        <v>1459</v>
      </c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</row>
    <row r="1557" spans="2:24" x14ac:dyDescent="0.25">
      <c r="B1557" s="32"/>
      <c r="C1557" s="32"/>
      <c r="D1557" s="32"/>
      <c r="E1557" s="32"/>
      <c r="F1557" s="32"/>
      <c r="G1557" s="32"/>
      <c r="H1557" s="32"/>
      <c r="I1557" s="32"/>
      <c r="J1557" s="32"/>
      <c r="K1557" s="97">
        <f t="shared" si="19"/>
        <v>1098</v>
      </c>
      <c r="L1557" s="98" t="s">
        <v>626</v>
      </c>
      <c r="M1557" s="99" t="s">
        <v>817</v>
      </c>
      <c r="N1557" s="100" t="s">
        <v>1463</v>
      </c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</row>
    <row r="1558" spans="2:24" x14ac:dyDescent="0.25">
      <c r="B1558" s="32"/>
      <c r="C1558" s="32"/>
      <c r="D1558" s="32"/>
      <c r="E1558" s="32"/>
      <c r="F1558" s="32"/>
      <c r="G1558" s="32"/>
      <c r="H1558" s="32"/>
      <c r="I1558" s="32"/>
      <c r="J1558" s="32"/>
      <c r="K1558" s="97">
        <f t="shared" si="19"/>
        <v>1099</v>
      </c>
      <c r="L1558" s="98" t="s">
        <v>1463</v>
      </c>
      <c r="M1558" s="99" t="s">
        <v>1459</v>
      </c>
      <c r="N1558" s="100" t="s">
        <v>817</v>
      </c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</row>
    <row r="1559" spans="2:24" x14ac:dyDescent="0.25">
      <c r="B1559" s="32"/>
      <c r="C1559" s="32"/>
      <c r="D1559" s="32"/>
      <c r="E1559" s="32"/>
      <c r="F1559" s="32"/>
      <c r="G1559" s="32"/>
      <c r="H1559" s="32"/>
      <c r="I1559" s="32"/>
      <c r="J1559" s="32"/>
      <c r="K1559" s="97">
        <f t="shared" si="19"/>
        <v>1100</v>
      </c>
      <c r="L1559" s="98" t="s">
        <v>626</v>
      </c>
      <c r="M1559" s="99" t="s">
        <v>1461</v>
      </c>
      <c r="N1559" s="100" t="s">
        <v>817</v>
      </c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</row>
    <row r="1560" spans="2:24" x14ac:dyDescent="0.25">
      <c r="B1560" s="32"/>
      <c r="C1560" s="32"/>
      <c r="D1560" s="32"/>
      <c r="E1560" s="32"/>
      <c r="F1560" s="32"/>
      <c r="G1560" s="32"/>
      <c r="H1560" s="32"/>
      <c r="I1560" s="32"/>
      <c r="J1560" s="32"/>
      <c r="K1560" s="97">
        <f t="shared" si="19"/>
        <v>1101</v>
      </c>
      <c r="L1560" s="98" t="s">
        <v>1459</v>
      </c>
      <c r="M1560" s="99" t="s">
        <v>825</v>
      </c>
      <c r="N1560" s="100" t="s">
        <v>817</v>
      </c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</row>
    <row r="1561" spans="2:24" x14ac:dyDescent="0.25">
      <c r="B1561" s="32"/>
      <c r="C1561" s="32"/>
      <c r="D1561" s="32"/>
      <c r="E1561" s="32"/>
      <c r="F1561" s="32"/>
      <c r="G1561" s="32"/>
      <c r="H1561" s="32"/>
      <c r="I1561" s="32"/>
      <c r="J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</row>
    <row r="1562" spans="2:24" x14ac:dyDescent="0.25">
      <c r="B1562" s="32"/>
      <c r="C1562" s="32"/>
      <c r="D1562" s="32"/>
      <c r="E1562" s="32"/>
      <c r="F1562" s="32"/>
      <c r="G1562" s="32"/>
      <c r="H1562" s="32"/>
      <c r="I1562" s="32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</row>
    <row r="1563" spans="2:24" x14ac:dyDescent="0.25">
      <c r="B1563" s="32"/>
      <c r="C1563" s="32"/>
      <c r="D1563" s="32"/>
      <c r="E1563" s="32"/>
      <c r="F1563" s="32"/>
      <c r="G1563" s="32"/>
      <c r="H1563" s="32"/>
      <c r="I1563" s="32"/>
      <c r="J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</row>
    <row r="1564" spans="2:24" x14ac:dyDescent="0.25">
      <c r="B1564" s="32"/>
      <c r="C1564" s="32"/>
      <c r="D1564" s="32"/>
      <c r="E1564" s="32"/>
      <c r="F1564" s="32"/>
      <c r="G1564" s="32"/>
      <c r="H1564" s="32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</row>
    <row r="1565" spans="2:24" x14ac:dyDescent="0.25">
      <c r="B1565" s="32"/>
      <c r="C1565" s="32"/>
      <c r="D1565" s="32"/>
      <c r="E1565" s="32"/>
      <c r="F1565" s="32"/>
      <c r="G1565" s="32"/>
      <c r="H1565" s="32"/>
      <c r="I1565" s="32"/>
      <c r="J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</row>
    <row r="1566" spans="2:24" x14ac:dyDescent="0.25">
      <c r="B1566" s="32"/>
      <c r="C1566" s="32"/>
      <c r="D1566" s="32"/>
      <c r="E1566" s="32"/>
      <c r="F1566" s="32"/>
      <c r="G1566" s="32"/>
      <c r="H1566" s="32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</row>
    <row r="1567" spans="2:24" x14ac:dyDescent="0.25">
      <c r="B1567" s="32"/>
      <c r="C1567" s="32"/>
      <c r="D1567" s="32"/>
      <c r="E1567" s="32"/>
      <c r="F1567" s="32"/>
      <c r="G1567" s="32"/>
      <c r="H1567" s="32"/>
      <c r="I1567" s="32"/>
      <c r="J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</row>
    <row r="1568" spans="2:24" x14ac:dyDescent="0.25">
      <c r="B1568" s="32"/>
      <c r="C1568" s="32"/>
      <c r="D1568" s="32"/>
      <c r="E1568" s="32"/>
      <c r="F1568" s="32"/>
      <c r="G1568" s="32"/>
      <c r="H1568" s="32"/>
      <c r="I1568" s="32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</row>
    <row r="1569" spans="2:21" x14ac:dyDescent="0.25">
      <c r="B1569" s="32"/>
      <c r="C1569" s="32"/>
      <c r="D1569" s="32"/>
      <c r="E1569" s="32"/>
      <c r="F1569" s="32"/>
      <c r="G1569" s="32"/>
      <c r="H1569" s="32"/>
      <c r="I1569" s="32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</row>
    <row r="1570" spans="2:21" x14ac:dyDescent="0.25">
      <c r="B1570" s="32"/>
      <c r="C1570" s="32"/>
      <c r="D1570" s="32"/>
      <c r="E1570" s="32"/>
      <c r="F1570" s="32"/>
      <c r="G1570" s="32"/>
      <c r="H1570" s="32"/>
      <c r="I1570" s="32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</row>
    <row r="1571" spans="2:21" x14ac:dyDescent="0.25">
      <c r="B1571" s="32"/>
      <c r="C1571" s="32"/>
      <c r="D1571" s="32"/>
      <c r="E1571" s="32"/>
      <c r="F1571" s="32"/>
      <c r="G1571" s="32"/>
      <c r="H1571" s="32"/>
      <c r="I1571" s="32"/>
      <c r="J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</row>
    <row r="1572" spans="2:21" x14ac:dyDescent="0.25">
      <c r="B1572" s="32"/>
      <c r="C1572" s="32"/>
      <c r="D1572" s="32"/>
      <c r="E1572" s="32"/>
      <c r="F1572" s="32"/>
      <c r="G1572" s="32"/>
      <c r="H1572" s="32"/>
      <c r="I1572" s="32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</row>
    <row r="1573" spans="2:21" x14ac:dyDescent="0.25">
      <c r="B1573" s="32"/>
      <c r="C1573" s="32"/>
      <c r="D1573" s="32"/>
      <c r="E1573" s="32"/>
      <c r="F1573" s="32"/>
      <c r="G1573" s="32"/>
      <c r="H1573" s="32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</row>
    <row r="1574" spans="2:21" x14ac:dyDescent="0.25">
      <c r="B1574" s="32"/>
      <c r="C1574" s="32"/>
      <c r="D1574" s="32"/>
      <c r="E1574" s="32"/>
      <c r="F1574" s="32"/>
      <c r="G1574" s="32"/>
      <c r="H1574" s="32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</row>
    <row r="1575" spans="2:21" x14ac:dyDescent="0.25">
      <c r="B1575" s="32"/>
      <c r="C1575" s="32"/>
      <c r="D1575" s="32"/>
      <c r="E1575" s="32"/>
      <c r="F1575" s="32"/>
      <c r="G1575" s="32"/>
      <c r="H1575" s="32"/>
      <c r="I1575" s="32"/>
      <c r="J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</row>
    <row r="1576" spans="2:21" x14ac:dyDescent="0.25">
      <c r="B1576" s="32"/>
      <c r="C1576" s="32"/>
      <c r="D1576" s="32"/>
      <c r="E1576" s="32"/>
      <c r="F1576" s="32"/>
      <c r="G1576" s="32"/>
      <c r="H1576" s="32"/>
      <c r="I1576" s="32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</row>
    <row r="1577" spans="2:21" x14ac:dyDescent="0.25">
      <c r="B1577" s="32"/>
      <c r="C1577" s="32"/>
      <c r="D1577" s="32"/>
      <c r="E1577" s="32"/>
      <c r="F1577" s="32"/>
      <c r="G1577" s="32"/>
      <c r="H1577" s="32"/>
      <c r="I1577" s="32"/>
      <c r="J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</row>
    <row r="1578" spans="2:21" x14ac:dyDescent="0.25">
      <c r="B1578" s="32"/>
      <c r="C1578" s="32"/>
      <c r="D1578" s="32"/>
      <c r="E1578" s="32"/>
      <c r="F1578" s="32"/>
      <c r="G1578" s="32"/>
      <c r="H1578" s="32"/>
      <c r="I1578" s="32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</row>
    <row r="1579" spans="2:21" x14ac:dyDescent="0.25">
      <c r="B1579" s="32"/>
      <c r="C1579" s="32"/>
      <c r="D1579" s="32"/>
      <c r="E1579" s="32"/>
      <c r="F1579" s="32"/>
      <c r="G1579" s="32"/>
      <c r="H1579" s="32"/>
      <c r="I1579" s="32"/>
      <c r="J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</row>
    <row r="1580" spans="2:21" x14ac:dyDescent="0.25">
      <c r="B1580" s="32"/>
      <c r="C1580" s="32"/>
      <c r="D1580" s="32"/>
      <c r="E1580" s="32"/>
      <c r="F1580" s="32"/>
      <c r="G1580" s="32"/>
      <c r="H1580" s="32"/>
      <c r="I1580" s="32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</row>
    <row r="1581" spans="2:21" x14ac:dyDescent="0.25">
      <c r="B1581" s="32"/>
      <c r="C1581" s="32"/>
      <c r="D1581" s="32"/>
      <c r="E1581" s="32"/>
      <c r="F1581" s="32"/>
      <c r="G1581" s="32"/>
      <c r="H1581" s="32"/>
      <c r="I1581" s="32"/>
      <c r="J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</row>
    <row r="1582" spans="2:21" x14ac:dyDescent="0.25">
      <c r="B1582" s="32"/>
      <c r="C1582" s="32"/>
      <c r="D1582" s="32"/>
      <c r="E1582" s="32"/>
      <c r="F1582" s="32"/>
      <c r="G1582" s="32"/>
      <c r="H1582" s="32"/>
      <c r="I1582" s="32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</row>
    <row r="1583" spans="2:21" x14ac:dyDescent="0.25">
      <c r="B1583" s="32"/>
      <c r="C1583" s="32"/>
      <c r="D1583" s="32"/>
      <c r="E1583" s="32"/>
      <c r="F1583" s="32"/>
      <c r="G1583" s="32"/>
      <c r="H1583" s="32"/>
      <c r="I1583" s="32"/>
      <c r="J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</row>
    <row r="1584" spans="2:21" x14ac:dyDescent="0.25">
      <c r="B1584" s="32"/>
      <c r="C1584" s="32"/>
      <c r="D1584" s="32"/>
      <c r="E1584" s="32"/>
      <c r="F1584" s="32"/>
      <c r="G1584" s="32"/>
      <c r="H1584" s="32"/>
      <c r="I1584" s="32"/>
      <c r="J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</row>
    <row r="1585" spans="2:21" x14ac:dyDescent="0.25">
      <c r="B1585" s="32"/>
      <c r="C1585" s="32"/>
      <c r="D1585" s="32"/>
      <c r="E1585" s="32"/>
      <c r="F1585" s="32"/>
      <c r="G1585" s="32"/>
      <c r="H1585" s="32"/>
      <c r="I1585" s="32"/>
      <c r="J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</row>
    <row r="1586" spans="2:21" x14ac:dyDescent="0.25">
      <c r="B1586" s="32"/>
      <c r="C1586" s="32"/>
      <c r="D1586" s="32"/>
      <c r="E1586" s="32"/>
      <c r="F1586" s="32"/>
      <c r="G1586" s="32"/>
      <c r="H1586" s="32"/>
      <c r="I1586" s="32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</row>
    <row r="1587" spans="2:21" x14ac:dyDescent="0.25">
      <c r="B1587" s="32"/>
      <c r="C1587" s="32"/>
      <c r="D1587" s="32"/>
      <c r="E1587" s="32"/>
      <c r="F1587" s="32"/>
      <c r="G1587" s="32"/>
      <c r="H1587" s="32"/>
      <c r="I1587" s="32"/>
      <c r="J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</row>
    <row r="1588" spans="2:21" x14ac:dyDescent="0.25">
      <c r="B1588" s="32"/>
      <c r="C1588" s="32"/>
      <c r="D1588" s="32"/>
      <c r="E1588" s="32"/>
      <c r="F1588" s="32"/>
      <c r="G1588" s="32"/>
      <c r="H1588" s="32"/>
      <c r="I1588" s="32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</row>
    <row r="1589" spans="2:21" x14ac:dyDescent="0.25">
      <c r="B1589" s="32"/>
      <c r="C1589" s="32"/>
      <c r="D1589" s="32"/>
      <c r="E1589" s="32"/>
      <c r="F1589" s="32"/>
      <c r="G1589" s="32"/>
      <c r="H1589" s="32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</row>
    <row r="1590" spans="2:21" x14ac:dyDescent="0.25">
      <c r="B1590" s="32"/>
      <c r="C1590" s="32"/>
      <c r="D1590" s="32"/>
      <c r="E1590" s="32"/>
      <c r="F1590" s="32"/>
      <c r="G1590" s="32"/>
      <c r="H1590" s="32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</row>
    <row r="1591" spans="2:21" x14ac:dyDescent="0.25">
      <c r="B1591" s="32"/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</row>
    <row r="1592" spans="2:21" x14ac:dyDescent="0.25">
      <c r="B1592" s="32"/>
      <c r="C1592" s="32"/>
      <c r="D1592" s="32"/>
      <c r="E1592" s="32"/>
      <c r="F1592" s="32"/>
      <c r="G1592" s="32"/>
      <c r="H1592" s="32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</row>
    <row r="1593" spans="2:21" x14ac:dyDescent="0.25">
      <c r="B1593" s="32"/>
      <c r="C1593" s="32"/>
      <c r="D1593" s="32"/>
      <c r="E1593" s="32"/>
      <c r="F1593" s="32"/>
      <c r="G1593" s="32"/>
      <c r="H1593" s="32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</row>
    <row r="1594" spans="2:21" x14ac:dyDescent="0.25">
      <c r="B1594" s="32"/>
      <c r="C1594" s="32"/>
      <c r="D1594" s="32"/>
      <c r="E1594" s="32"/>
      <c r="F1594" s="32"/>
      <c r="G1594" s="32"/>
      <c r="H1594" s="32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</row>
    <row r="1595" spans="2:21" x14ac:dyDescent="0.25">
      <c r="B1595" s="32"/>
      <c r="C1595" s="32"/>
      <c r="D1595" s="32"/>
      <c r="E1595" s="32"/>
      <c r="F1595" s="32"/>
      <c r="G1595" s="32"/>
      <c r="H1595" s="32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</row>
    <row r="1596" spans="2:21" x14ac:dyDescent="0.25">
      <c r="B1596" s="32"/>
      <c r="C1596" s="32"/>
      <c r="D1596" s="32"/>
      <c r="E1596" s="32"/>
      <c r="F1596" s="32"/>
      <c r="G1596" s="32"/>
      <c r="H1596" s="32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</row>
    <row r="1597" spans="2:21" x14ac:dyDescent="0.25">
      <c r="B1597" s="32"/>
      <c r="C1597" s="32"/>
      <c r="D1597" s="32"/>
      <c r="E1597" s="32"/>
      <c r="F1597" s="32"/>
      <c r="G1597" s="32"/>
      <c r="H1597" s="32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</row>
    <row r="1598" spans="2:21" x14ac:dyDescent="0.25">
      <c r="B1598" s="32"/>
      <c r="C1598" s="32"/>
      <c r="D1598" s="32"/>
      <c r="E1598" s="32"/>
      <c r="F1598" s="32"/>
      <c r="G1598" s="32"/>
      <c r="H1598" s="32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</row>
  </sheetData>
  <protectedRanges>
    <protectedRange sqref="L690:N749 L775:N834 L860:N919 L945:N1004 L1030:N1089 L1115:N1174 L1200:N1259 L1285:N1344 L1455:N1514 L1540:N1560 L1370:N1429" name="Range10"/>
    <protectedRange sqref="L521:N580 L605:N664" name="Range8"/>
    <protectedRange sqref="L352:N411" name="Range6"/>
    <protectedRange sqref="L185:N244" name="Range4"/>
    <protectedRange sqref="L19:N78" name="Range2"/>
    <protectedRange sqref="S3 S84 S168 S252 S335 S420 S504 S588 S673 S758 S843 S928 S1013 S1098 S1183 S1268 S1353 S1438 S1523" name="Range1"/>
    <protectedRange sqref="L101:N160" name="Range3"/>
    <protectedRange sqref="L269:N328" name="Range5"/>
    <protectedRange sqref="L437:N496" name="Range7"/>
  </protectedRanges>
  <mergeCells count="49">
    <mergeCell ref="D929:F929"/>
    <mergeCell ref="G929:J929"/>
    <mergeCell ref="K929:N929"/>
    <mergeCell ref="H1014:J1014"/>
    <mergeCell ref="D1014:G1014"/>
    <mergeCell ref="D674:F674"/>
    <mergeCell ref="K674:N674"/>
    <mergeCell ref="D759:F759"/>
    <mergeCell ref="K759:N759"/>
    <mergeCell ref="D844:F844"/>
    <mergeCell ref="G844:J844"/>
    <mergeCell ref="K844:N844"/>
    <mergeCell ref="G674:J674"/>
    <mergeCell ref="G759:J759"/>
    <mergeCell ref="G169:J169"/>
    <mergeCell ref="G253:J253"/>
    <mergeCell ref="D169:F169"/>
    <mergeCell ref="K169:M169"/>
    <mergeCell ref="G336:J336"/>
    <mergeCell ref="D253:F253"/>
    <mergeCell ref="D4:F4"/>
    <mergeCell ref="K4:M4"/>
    <mergeCell ref="D85:F85"/>
    <mergeCell ref="K85:M85"/>
    <mergeCell ref="C84:Q84"/>
    <mergeCell ref="G4:J4"/>
    <mergeCell ref="G85:J85"/>
    <mergeCell ref="D505:F505"/>
    <mergeCell ref="K505:N505"/>
    <mergeCell ref="D589:F589"/>
    <mergeCell ref="K589:N589"/>
    <mergeCell ref="K253:M253"/>
    <mergeCell ref="D336:F336"/>
    <mergeCell ref="K336:N336"/>
    <mergeCell ref="G421:J421"/>
    <mergeCell ref="G505:J505"/>
    <mergeCell ref="G589:J589"/>
    <mergeCell ref="D421:F421"/>
    <mergeCell ref="J1439:L1439"/>
    <mergeCell ref="M1439:N1439"/>
    <mergeCell ref="J1524:L1524"/>
    <mergeCell ref="M1524:N1524"/>
    <mergeCell ref="K421:N421"/>
    <mergeCell ref="J1354:L1354"/>
    <mergeCell ref="M1354:N1354"/>
    <mergeCell ref="H1099:J1099"/>
    <mergeCell ref="H1184:J1184"/>
    <mergeCell ref="J1269:L1269"/>
    <mergeCell ref="K1184:N118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1523"/>
  <sheetViews>
    <sheetView view="pageBreakPreview" zoomScale="60" zoomScaleNormal="70" workbookViewId="0">
      <pane xSplit="4" ySplit="11" topLeftCell="E444" activePane="bottomRight" state="frozen"/>
      <selection activeCell="F626" sqref="F626"/>
      <selection pane="topRight" activeCell="F626" sqref="F626"/>
      <selection pane="bottomLeft" activeCell="F626" sqref="F626"/>
      <selection pane="bottomRight" activeCell="I6" sqref="I6"/>
    </sheetView>
  </sheetViews>
  <sheetFormatPr defaultColWidth="9.140625" defaultRowHeight="15" x14ac:dyDescent="0.25"/>
  <cols>
    <col min="1" max="1" width="13.5703125" style="432" customWidth="1"/>
    <col min="2" max="2" width="68.85546875" style="34" customWidth="1"/>
    <col min="3" max="3" width="24" style="54" customWidth="1"/>
    <col min="4" max="4" width="16.5703125" style="54" customWidth="1"/>
    <col min="5" max="5" width="20.42578125" style="56" customWidth="1"/>
    <col min="6" max="6" width="15.7109375" style="55" customWidth="1"/>
    <col min="7" max="7" width="20.7109375" style="34" customWidth="1"/>
    <col min="8" max="8" width="15.7109375" style="55" customWidth="1"/>
    <col min="9" max="9" width="21.85546875" style="34" customWidth="1"/>
    <col min="10" max="10" width="15.5703125" style="55" bestFit="1" customWidth="1"/>
    <col min="11" max="11" width="30.85546875" style="29" customWidth="1"/>
    <col min="12" max="12" width="19.7109375" style="55" customWidth="1"/>
    <col min="13" max="31" width="13.7109375" style="34" customWidth="1"/>
    <col min="32" max="16384" width="9.140625" style="34"/>
  </cols>
  <sheetData>
    <row r="2" spans="1:12" ht="21.95" customHeight="1" x14ac:dyDescent="0.25">
      <c r="A2" s="637" t="str">
        <f>ALPHA!K1</f>
        <v>ALPHA</v>
      </c>
      <c r="B2" s="637" t="str">
        <f>BIOFEM!K1</f>
        <v>BIOFEM</v>
      </c>
      <c r="C2" s="637" t="str">
        <f>BIOMED!K1</f>
        <v>BIOMED</v>
      </c>
      <c r="D2" s="637" t="str">
        <f>CHI!K1</f>
        <v>CHI</v>
      </c>
      <c r="E2" s="637" t="str">
        <f>CLARION!K1</f>
        <v>CLARION</v>
      </c>
      <c r="F2" s="637" t="str">
        <f>CODIX!K1</f>
        <v>CODIX</v>
      </c>
      <c r="G2" s="637" t="str">
        <f>COSMADE!K1</f>
        <v>COSMADE</v>
      </c>
      <c r="H2" s="637" t="str">
        <f>SANCON!K1</f>
        <v>SANCON</v>
      </c>
      <c r="I2" s="637" t="str">
        <f>DEVON!K1</f>
        <v>DEVON</v>
      </c>
      <c r="J2" s="637" t="str">
        <f>DORTEMAG!K1</f>
        <v>DORTEMAG</v>
      </c>
      <c r="K2" s="55"/>
      <c r="L2" s="34"/>
    </row>
    <row r="3" spans="1:12" ht="21.95" customHeight="1" x14ac:dyDescent="0.25">
      <c r="A3" s="638" t="str">
        <f>DGF!K1</f>
        <v>DGF</v>
      </c>
      <c r="B3" s="638" t="str">
        <f>DYNAMIC!K1</f>
        <v>DYNAMIC</v>
      </c>
      <c r="C3" s="638" t="str">
        <f>EMZOR!K1</f>
        <v>EMZOR</v>
      </c>
      <c r="D3" s="638" t="str">
        <f>EUMATT!K1</f>
        <v>EUMATT</v>
      </c>
      <c r="E3" s="638" t="str">
        <f>FIDSON!K1</f>
        <v>FIDSON</v>
      </c>
      <c r="F3" s="638" t="str">
        <f>FGLOBAL!K1</f>
        <v>FCGLOBAL</v>
      </c>
      <c r="G3" s="638" t="str">
        <f>GENEITH!K1</f>
        <v>GENEITH</v>
      </c>
      <c r="H3" s="638" t="str">
        <f>GINOS!K1</f>
        <v>GINOS</v>
      </c>
      <c r="I3" s="638" t="str">
        <f>GSK!K1</f>
        <v>GSK</v>
      </c>
      <c r="J3" s="638" t="str">
        <f>GLOBORG!K1</f>
        <v>GLOBORG</v>
      </c>
      <c r="K3" s="639" t="str">
        <f>'M&amp;B'!K1</f>
        <v>M&amp;B</v>
      </c>
    </row>
    <row r="4" spans="1:12" ht="21.95" customHeight="1" x14ac:dyDescent="0.25">
      <c r="A4" s="639" t="str">
        <f>GREENLIFE!K1</f>
        <v>GREENLIFE</v>
      </c>
      <c r="B4" s="639" t="str">
        <f>HLINE!K1</f>
        <v>HLINE</v>
      </c>
      <c r="C4" s="639" t="str">
        <f>ROTECH!K1</f>
        <v>ROTECH</v>
      </c>
      <c r="D4" s="639" t="str">
        <f>ISN!K1</f>
        <v>ISN</v>
      </c>
      <c r="E4" s="639" t="str">
        <f>JAWA!K1</f>
        <v>JAWA</v>
      </c>
      <c r="F4" s="639" t="str">
        <f>LAYO!K1</f>
        <v>LAYO</v>
      </c>
      <c r="G4" s="639" t="str">
        <f>LEADWAY!K1</f>
        <v>LEADWAY</v>
      </c>
      <c r="H4" s="639" t="str">
        <f>LHV!K1</f>
        <v>LHV</v>
      </c>
      <c r="I4" s="639" t="str">
        <f>MANOLA!K1</f>
        <v>MANOLA</v>
      </c>
      <c r="J4" s="639" t="str">
        <f>MARCSON!K1</f>
        <v>MARCSON</v>
      </c>
      <c r="K4" s="55"/>
      <c r="L4" s="34"/>
    </row>
    <row r="5" spans="1:12" ht="21.95" customHeight="1" x14ac:dyDescent="0.25">
      <c r="A5" s="640" t="str">
        <f>MTRUST!K1</f>
        <v>MTRUST</v>
      </c>
      <c r="B5" s="640" t="str">
        <f>MEGA!K1</f>
        <v>MEGA</v>
      </c>
      <c r="C5" s="640" t="str">
        <f>MICRONOVA!K1</f>
        <v>MICRONOVA</v>
      </c>
      <c r="D5" s="640" t="str">
        <f>MFLASH!K1</f>
        <v>MFLASH</v>
      </c>
      <c r="E5" s="640" t="str">
        <f>MORISON!K1</f>
        <v>MORISON</v>
      </c>
      <c r="F5" s="640" t="str">
        <f>NHC!K1</f>
        <v>NHC</v>
      </c>
      <c r="G5" s="640" t="str">
        <f>OLEAF!K1</f>
        <v>OLEAF</v>
      </c>
      <c r="H5" s="641" t="str">
        <f>TAH!K1</f>
        <v>TAH</v>
      </c>
      <c r="I5" s="55"/>
      <c r="J5" s="34"/>
      <c r="K5" s="34"/>
      <c r="L5" s="34"/>
    </row>
    <row r="6" spans="1:12" ht="21.95" customHeight="1" x14ac:dyDescent="0.25">
      <c r="A6" s="641" t="str">
        <f>PACIFIC!K1</f>
        <v>PACIFIC</v>
      </c>
      <c r="B6" s="641" t="str">
        <f>PHAMATEX!K1</f>
        <v>PHAMATEX</v>
      </c>
      <c r="C6" s="641" t="str">
        <f>PETHICS!K1</f>
        <v>PETHICS</v>
      </c>
      <c r="D6" s="641" t="str">
        <f>PHILIPS!K1</f>
        <v>PHILIPS</v>
      </c>
      <c r="E6" s="641" t="str">
        <f>RANBAXY!K1</f>
        <v>RANBAXY</v>
      </c>
      <c r="F6" s="641" t="e">
        <f>#REF!</f>
        <v>#REF!</v>
      </c>
      <c r="G6" s="641" t="str">
        <f>ROYAL!K1</f>
        <v>ROYAL</v>
      </c>
      <c r="H6" s="641" t="str">
        <f>SAM!K1</f>
        <v>SAM</v>
      </c>
      <c r="I6" s="641" t="str">
        <f>SEAGREEN!K1</f>
        <v>SEAGREEN</v>
      </c>
      <c r="J6" s="641" t="str">
        <f>SKG!K1</f>
        <v>SKG</v>
      </c>
      <c r="K6" s="643"/>
    </row>
    <row r="7" spans="1:12" ht="21.95" customHeight="1" x14ac:dyDescent="0.25">
      <c r="A7" s="642" t="str">
        <f>TAYLEK!K1</f>
        <v>TAYLEK</v>
      </c>
      <c r="B7" s="642" t="str">
        <f>TEMITA!K1</f>
        <v>TEMITA</v>
      </c>
      <c r="C7" s="642" t="str">
        <f>THL!K1</f>
        <v>THL</v>
      </c>
      <c r="D7" s="642" t="str">
        <f>UBASTIC!K1</f>
        <v>UBASTIC</v>
      </c>
      <c r="E7" s="642" t="str">
        <f>UNION!K1</f>
        <v>UNION</v>
      </c>
      <c r="F7" s="642" t="str">
        <f>UNIQUE!K1</f>
        <v>UNIQUE</v>
      </c>
      <c r="G7" s="642" t="str">
        <f>VIXA!K1</f>
        <v>VIXA</v>
      </c>
      <c r="H7" s="642" t="str">
        <f>WWCV!K1</f>
        <v>WWCV</v>
      </c>
      <c r="I7" s="642" t="str">
        <f>ZOLON!K1</f>
        <v>ZOLON</v>
      </c>
      <c r="J7" s="642"/>
    </row>
    <row r="8" spans="1:12" ht="33.75" x14ac:dyDescent="0.5">
      <c r="K8" s="665"/>
      <c r="L8" s="666"/>
    </row>
    <row r="9" spans="1:12" ht="34.5" customHeight="1" x14ac:dyDescent="0.5">
      <c r="A9" s="812" t="s">
        <v>2051</v>
      </c>
      <c r="B9" s="813"/>
      <c r="C9" s="813"/>
      <c r="D9" s="813"/>
      <c r="E9" s="813"/>
      <c r="F9" s="813"/>
      <c r="G9" s="813"/>
      <c r="H9" s="813"/>
      <c r="I9" s="813"/>
      <c r="J9" s="813"/>
      <c r="K9" s="813"/>
      <c r="L9" s="814"/>
    </row>
    <row r="10" spans="1:12" ht="45" x14ac:dyDescent="0.25">
      <c r="A10" s="430"/>
      <c r="B10" s="19"/>
      <c r="C10" s="57" t="s">
        <v>500</v>
      </c>
      <c r="D10" s="57" t="s">
        <v>416</v>
      </c>
      <c r="E10" s="810" t="s">
        <v>418</v>
      </c>
      <c r="F10" s="811"/>
      <c r="G10" s="810" t="s">
        <v>419</v>
      </c>
      <c r="H10" s="811"/>
      <c r="I10" s="810" t="s">
        <v>420</v>
      </c>
      <c r="J10" s="811"/>
      <c r="K10" s="20" t="s">
        <v>655</v>
      </c>
      <c r="L10" s="64" t="s">
        <v>551</v>
      </c>
    </row>
    <row r="11" spans="1:12" ht="37.5" x14ac:dyDescent="0.3">
      <c r="A11" s="430"/>
      <c r="B11" s="58"/>
      <c r="C11" s="175"/>
      <c r="D11" s="174"/>
      <c r="E11" s="176" t="s">
        <v>421</v>
      </c>
      <c r="F11" s="64" t="s">
        <v>423</v>
      </c>
      <c r="G11" s="20" t="s">
        <v>422</v>
      </c>
      <c r="H11" s="64" t="s">
        <v>423</v>
      </c>
      <c r="I11" s="20" t="s">
        <v>422</v>
      </c>
      <c r="J11" s="64" t="s">
        <v>423</v>
      </c>
      <c r="K11" s="20"/>
      <c r="L11" s="64"/>
    </row>
    <row r="12" spans="1:12" ht="23.25" x14ac:dyDescent="0.3">
      <c r="A12" s="431" t="str">
        <f>PR!A10</f>
        <v>LOT 1</v>
      </c>
      <c r="B12" s="177" t="str">
        <f>PR!B10</f>
        <v>ANTIMALARIALS</v>
      </c>
      <c r="C12" s="113"/>
      <c r="D12" s="113"/>
      <c r="E12" s="59"/>
      <c r="F12" s="102"/>
      <c r="G12" s="59"/>
      <c r="H12" s="102"/>
      <c r="I12" s="59"/>
      <c r="J12" s="102"/>
      <c r="K12" s="178"/>
      <c r="L12" s="38"/>
    </row>
    <row r="13" spans="1:12" ht="18.75" x14ac:dyDescent="0.3">
      <c r="A13" s="430">
        <f>PR!A11</f>
        <v>1</v>
      </c>
      <c r="B13" s="15" t="str">
        <f>PR!B11</f>
        <v>ab-ARTEETHER 150MG INJ</v>
      </c>
      <c r="C13" s="113">
        <f>PR!D11</f>
        <v>3</v>
      </c>
      <c r="D13" s="113">
        <f>PR!C11</f>
        <v>3000</v>
      </c>
      <c r="E13" s="108">
        <f>IF(F13="ALPHA",PR!$E11,IF(F13="ASSENE",PR!$F11,IF(F13="BIOFEM",PR!$G11,IF(F13="BIOMED",PR!$H11,IF(F13="CHI",PR!$I11,IF(F13="CLARION",PR!$J11,IF(F13="CODIX",PR!$K11,IF(F13="COSMADE",PR!$L11,IF(F13="SANCON",PR!$M11,IF(F13="DEVON",PR!$N11,IF(F13="DORTEMAG",PR!$O11,IF(F13="DGF",PR!$P11,IF(F13="DYNAMIC",PR!$Q11,IF(F13="EMZOR",PR!$R11,IF(F13="EUMATT",PR!$S11,IF(F13="FIDSON",PR!$T11,IF(F13="FCGLOBAL",PR!$U11,IF(F13="GENEITH",PR!$V11,IF(F13="GINOS",PR!$W11,IF(F13="GSK",PR!$X11,IF(F13="GLOBORG",PR!$Y11,IF(F13="GOODNEWS",PR!$Z11,IF(F13="GREENLIFE",PR!$AA11,IF(F13="HLINE",PR!$AB11,IF(F13="ROTECH",PR!$AC11,IF(F13="ISN",PR!$AD11,IF(F13="JAWA",PR!$AE11,IF(F13="LAYO",PR!$AF11,IF(F13="LEADWAY",PR!$AG11,IF(F13="LHV",PR!$AH11,IF(F13="MANOLA",PR!$AI11,IF(F13="MARCSON",PR!$AJ11,IF(F13="M&amp;B",PR!$AK11,IF(F13="MTRUST",PR!$AL11,IF(F13="MWORLD",PR!$AM11,IF(F13="MEGA",PR!$AN11,IF(F13="MICRONOVA",PR!$AO11,IF(F13="MFLASH",PR!$AP11,IF(F13="MORISON",PR!$AQ11,IF(F13="NEMEL",PR!$AR11,IF(F13="NHP",PR!$AS11,IF(F13="NHC",PR!$AT11,IF(F13="OLEAF",PR!$AU11,IF(F13="OCULUS",PR!$AV11,IF(F13="PACIFIC",PR!$AW11,IF(F13="PHAMATEX",PR!$AX11,IF(F13="PETHICS",PR!$AY11,IF(F13="PHILIPS",PR!$AZ11,IF(F13="RANBAXY",PR!$BA11,IF(F13="REALS",PR!$BB11,IF(F13="ROYAL",PR!$BC11,IF(F13="SAM",PR!$BD11,IF(F13="SEAGREEN",PR!$BE11,IF(F13="SKG",PR!$BF11,IF(F13="TAH",PR!$BG11,IF(F13="TAYLEK",PR!$BH11,IF(F13="TEMITA",PR!$BI11,IF(F13="THL",PR!$BJ11,IF(F13="UBASTIC",PR!$BK11,IF(F13="UNION",PR!$BL11,IF(F13="UNIQUE",PR!$BM11,IF(F13="VIXA",PR!$BN11,IF(F13="WWCV",PR!$BO11,IF(F13="ZOLON",PR!$BP11,"-"))))))))))))))))))))))))))))))))))))))))))))))))))))))))))))))))</f>
        <v>550</v>
      </c>
      <c r="F13" s="102" t="str">
        <f>EV!L19</f>
        <v>EUMATT</v>
      </c>
      <c r="G13" s="108">
        <f>IF(H13="ALPHA",PR!$E11,IF(H13="ASSENE",PR!$F11,IF(H13="BIOFEM",PR!$G11,IF(H13="BIOMED",PR!$H11,IF(H13="CHI",PR!$I11,IF(H13="CLARION",PR!$J11,IF(H13="CODIX",PR!$K11,IF(H13="COSMADE",PR!$L11,IF(H13="SANCON",PR!$M11,IF(H13="DEVON",PR!$N11,IF(H13="DORTEMAG",PR!$O11,IF(H13="DGF",PR!$P11,IF(H13="DYNAMIC",PR!$Q11,IF(H13="EMZOR",PR!$R11,IF(H13="EUMATT",PR!$S11,IF(H13="FIDSON",PR!$T11,IF(H13="FCGLOBAL",PR!$U11,IF(H13="GENEITH",PR!$V11,IF(H13="GINOS",PR!$W11,IF(H13="GSK",PR!$X11,IF(H13="GLOBORG",PR!$Y11,IF(H13="GOODNEWS",PR!$Z11,IF(H13="GREENLIFE",PR!$AA11,IF(H13="HLINE",PR!$AB11,IF(H13="ROTECH",PR!$AC11,IF(H13="ISN",PR!$AD11,IF(H13="JAWA",PR!$AE11,IF(H13="LAYO",PR!$AF11,IF(H13="LEADWAY",PR!$AG11,IF(H13="LHV",PR!$AH11,IF(H13="MANOLA",PR!$AI11,IF(H13="MARCSON",PR!$AJ11,IF(H13="M&amp;B",PR!$AK11,IF(H13="MTRUST",PR!$AL11,IF(H13="MWORLD",PR!$AM11,IF(H13="MEGA",PR!$AN11,IF(H13="MICRONOVA",PR!$AO11,IF(H13="MFLASH",PR!$AP11,IF(H13="MORISON",PR!$AQ11,IF(H13="NEMEL",PR!$AR11,IF(H13="NHP",PR!$AS11,IF(H13="NHC",PR!$AT11,IF(H13="OLEAF",PR!$AU11,IF(H13="OCULUS",PR!$AV11,IF(H13="PACIFIC",PR!$AW11,IF(H13="PHAMATEX",PR!$AX11,IF(H13="PETHICS",PR!$AY11,IF(H13="PHILIPS",PR!$AZ11,IF(H13="RANBAXY",PR!$BA11,IF(H13="REALS",PR!$BB11,IF(H13="ROYAL",PR!$BC11,IF(H13="SAM",PR!$BD11,IF(H13="SEAGREEN",PR!$BE11,IF(H13="SKG",PR!$BF11,IF(H13="TAH",PR!$BG11,IF(H13="TAYLEK",PR!$BH11,IF(H13="TEMITA",PR!$BI11,IF(H13="THL",PR!$BJ11,IF(H13="UBASTIC",PR!$BK11,IF(H13="UNION",PR!$BL11,IF(H13="UNIQUE",PR!$BM11,IF(H13="VIXA",PR!$BN11,IF(H13="WWCV",PR!$BO11,IF(H13="ZOLON",PR!$BP11,"-"))))))))))))))))))))))))))))))))))))))))))))))))))))))))))))))))</f>
        <v>600</v>
      </c>
      <c r="H13" s="102" t="str">
        <f>EV!M19</f>
        <v>MARCSON</v>
      </c>
      <c r="I13" s="108">
        <f>IF(J13="ALPHA",PR!$E11,IF(J13="ASSENE",PR!$F11,IF(J13="BIOFEM",PR!$G11,IF(J13="BIOMED",PR!$H11,IF(J13="CHI",PR!$I11,IF(J13="CLARION",PR!$J11,IF(J13="CODIX",PR!$K11,IF(J13="COSMADE",PR!$L11,IF(J13="SANCON",PR!$M11,IF(J13="DEVON",PR!$N11,IF(J13="DORTEMAG",PR!$O11,IF(J13="DGF",PR!$P11,IF(J13="DYNAMIC",PR!$Q11,IF(J13="EMZOR",PR!$R11,IF(J13="EUMATT",PR!$S11,IF(J13="FIDSON",PR!$T11,IF(J13="FCGLOBAL",PR!$U11,IF(J13="GENEITH",PR!$V11,IF(J13="GINOS",PR!$W11,IF(J13="GSK",PR!$X11,IF(J13="GLOBORG",PR!$Y11,IF(J13="GOODNEWS",PR!$Z11,IF(J13="GREENLIFE",PR!$AA11,IF(J13="HLINE",PR!$AB11,IF(J13="ROTECH",PR!$AC11,IF(J13="ISN",PR!$AD11,IF(J13="JAWA",PR!$AE11,IF(J13="LAYO",PR!$AF11,IF(J13="LEADWAY",PR!$AG11,IF(J13="LHV",PR!$AH11,IF(J13="MANOLA",PR!$AI11,IF(J13="MARCSON",PR!$AJ11,IF(J13="M&amp;B",PR!$AK11,IF(J13="MTRUST",PR!$AL11,IF(J13="MWORLD",PR!$AM11,IF(J13="MEGA",PR!$AN11,IF(J13="MICRONOVA",PR!$AO11,IF(J13="MFLASH",PR!$AP11,IF(J13="MORISON",PR!$AQ11,IF(J13="NEMEL",PR!$AR11,IF(J13="NHP",PR!$AS11,IF(J13="NHC",PR!$AT11,IF(J13="OLEAF",PR!$AU11,IF(J13="OCULUS",PR!$AV11,IF(J13="PACIFIC",PR!$AW11,IF(J13="PHAMATEX",PR!$AX11,IF(J13="PETHICS",PR!$AY11,IF(J13="PHILIPS",PR!$AZ11,IF(J13="RANBAXY",PR!$BA11,IF(J13="REALS",PR!$BB11,IF(J13="ROYAL",PR!$BC11,IF(J13="SAM",PR!$BD11,IF(J13="SEAGREEN",PR!$BE11,IF(J13="SKG",PR!$BF11,IF(J13="TAH",PR!$BG11,IF(J13="TAYLEK",PR!$BH11,IF(J13="TEMITA",PR!$BI11,IF(J13="THL",PR!$BJ11,IF(J13="UBASTIC",PR!$BK11,IF(J13="UNION",PR!$BL11,IF(J13="UNIQUE",PR!$BM11,IF(J13="VIXA",PR!$BN11,IF(J13="WWCV",PR!$BO11,IF(J13="ZOLON",PR!$BP11,"-"))))))))))))))))))))))))))))))))))))))))))))))))))))))))))))))))</f>
        <v>615</v>
      </c>
      <c r="J13" s="102" t="str">
        <f>EV!N19</f>
        <v>JAWA</v>
      </c>
      <c r="K13" s="433" t="s">
        <v>2082</v>
      </c>
      <c r="L13" s="183" t="str">
        <f>IF(K13&gt;0,IF(K13="ALPHA",PR!$E11,IF(K13="ASSENE",PR!$F11,IF(K13="BIOFEM",PR!$G11,IF(K13="BIOMED",PR!$H11,IF(K13="CHI",PR!$I11,IF(K13="CLARION",PR!$J11,IF(K13="CODIX",PR!$K11,IF(K13="COSMADE",PR!$L11,IF(K13="SANCON",PR!$M11,IF(K13="DEVON",PR!$N11,IF(K13="DORTEMAG",PR!$O11,IF(K13="DGF",PR!$P11,IF(K13="DYNAMIC",PR!$Q11,IF(K13="EMZOR",PR!$R11,IF(K13="EUMATT",PR!$S11,IF(K13="FIDSON",PR!$T11,IF(K13="FCGLOBAL",PR!$U11,IF(K13="GENEITH",PR!$V11,IF(K13="GINOS",PR!$W11,IF(K13="GSK",PR!$X11,IF(K13="GLOBORG",PR!$Y11,IF(K13="GOODNEWS",PR!$Z11,IF(K13="GREENLIFE",PR!$AA11,IF(K13="HLINE",PR!$AB11,IF(K13="ROTECH",PR!$AC11,IF(K13="ISN",PR!$AD11,IF(K13="JAWA",PR!$AE11,IF(K13="LAYO",PR!$AF11,IF(K13="LEADWAY",PR!$AG11,IF(K13="LHV",PR!$AH11,IF(K13="MANOLA",PR!$AI11,IF(K13="MARCSON",PR!$AJ11,IF(K13="M&amp;B",PR!$AK11,IF(K13="MTRUST",PR!$AL11,IF(K13="MWORLD",PR!$AM11,IF(K13="MEGA",PR!$AN11,IF(K13="MICRONOVA",PR!$AO11,IF(K13="MFLASH",PR!$AP11,IF(K13="MORISON",PR!$AQ11,IF(K13="NEMEL",PR!$AR11,IF(K13="NHP",PR!$AS11,IF(K13="NHC",PR!$AT11,IF(K13="OLEAF",PR!$AU11,IF(K13="OCULUS",PR!$AV11,IF(K13="PACIFIC",PR!$AW11,IF(K13="PHAMATEX",PR!$AX11,IF(K13="PETHICS",PR!$AY11,IF(K13="PHILIPS",PR!$AZ11,IF(K13="RANBAXY",PR!$BA11,IF(K13="REALS",PR!$BB11,IF(K13="ROYAL",PR!$BC11,IF(K13="SAM",PR!$BD11,IF(K13="SEAGREEN",PR!$BE11,IF(K13="SKG",PR!$BF11,IF(K13="TAH",PR!$BG11,IF(K13="TAYLEK",PR!$BH11,IF(K13="TEMITA",PR!$BI11,IF(K13="THL",PR!$BJ11,IF(K13="UBASTIC",PR!$BK11,IF(K13="UNION",PR!$BL11,IF(K13="UNIQUE",PR!$BM11,IF(K13="VIXA",PR!$BN11,IF(K13="WWCV",PR!$BO11,IF(K13="ZOLON",PR!$BP11,"-")))))))))))))))))))))))))))))))))))))))))))))))))))))))))))))))))</f>
        <v>-</v>
      </c>
    </row>
    <row r="14" spans="1:12" ht="18.75" x14ac:dyDescent="0.3">
      <c r="A14" s="430">
        <f>PR!A12</f>
        <v>2</v>
      </c>
      <c r="B14" s="15" t="str">
        <f>PR!B12</f>
        <v>ARTEMETHER 80MG INJ</v>
      </c>
      <c r="C14" s="113">
        <f>PR!D12</f>
        <v>6</v>
      </c>
      <c r="D14" s="113">
        <f>PR!C12</f>
        <v>800</v>
      </c>
      <c r="E14" s="108">
        <f>IF(F14="ALPHA",PR!$E12,IF(F14="ASSENE",PR!$F12,IF(F14="BIOFEM",PR!$G12,IF(F14="BIOMED",PR!$H12,IF(F14="CHI",PR!$I12,IF(F14="CLARION",PR!$J12,IF(F14="CODIX",PR!$K12,IF(F14="COSMADE",PR!$L12,IF(F14="SANCON",PR!$M12,IF(F14="DEVON",PR!$N12,IF(F14="DORTEMAG",PR!$O12,IF(F14="DGF",PR!$P12,IF(F14="DYNAMIC",PR!$Q12,IF(F14="EMZOR",PR!$R12,IF(F14="EUMATT",PR!$S12,IF(F14="FIDSON",PR!$T12,IF(F14="FCGLOBAL",PR!$U12,IF(F14="GENEITH",PR!$V12,IF(F14="GINOS",PR!$W12,IF(F14="GSK",PR!$X12,IF(F14="GLOBORG",PR!$Y12,IF(F14="GOODNEWS",PR!$Z12,IF(F14="GREENLIFE",PR!$AA12,IF(F14="HLINE",PR!$AB12,IF(F14="ROTECH",PR!$AC12,IF(F14="ISN",PR!$AD12,IF(F14="JAWA",PR!$AE12,IF(F14="LAYO",PR!$AF12,IF(F14="LEADWAY",PR!$AG12,IF(F14="LHV",PR!$AH12,IF(F14="MANOLA",PR!$AI12,IF(F14="MARCSON",PR!$AJ12,IF(F14="M&amp;B",PR!$AK12,IF(F14="MTRUST",PR!$AL12,IF(F14="MWORLD",PR!$AM12,IF(F14="MEGA",PR!$AN12,IF(F14="MICRONOVA",PR!$AO12,IF(F14="MFLASH",PR!$AP12,IF(F14="MORISON",PR!$AQ12,IF(F14="NEMEL",PR!$AR12,IF(F14="NHP",PR!$AS12,IF(F14="NHC",PR!$AT12,IF(F14="OLEAF",PR!$AU12,IF(F14="OCULUS",PR!$AV12,IF(F14="PACIFIC",PR!$AW12,IF(F14="PHAMATEX",PR!$AX12,IF(F14="PETHICS",PR!$AY12,IF(F14="PHILIPS",PR!$AZ12,IF(F14="RANBAXY",PR!$BA12,IF(F14="REALS",PR!$BB12,IF(F14="ROYAL",PR!$BC12,IF(F14="SAM",PR!$BD12,IF(F14="SEAGREEN",PR!$BE12,IF(F14="SKG",PR!$BF12,IF(F14="TAH",PR!$BG12,IF(F14="TAYLEK",PR!$BH12,IF(F14="TEMITA",PR!$BI12,IF(F14="THL",PR!$BJ12,IF(F14="UBASTIC",PR!$BK12,IF(F14="UNION",PR!$BL12,IF(F14="UNIQUE",PR!$BM12,IF(F14="VIXA",PR!$BN12,IF(F14="WWCV",PR!$BO12,IF(F14="ZOLON",PR!$BP12,"-"))))))))))))))))))))))))))))))))))))))))))))))))))))))))))))))))</f>
        <v>200</v>
      </c>
      <c r="F14" s="102" t="str">
        <f>EV!L20</f>
        <v>EUMATT</v>
      </c>
      <c r="G14" s="108">
        <f>IF(H14="ALPHA",PR!$E12,IF(H14="ASSENE",PR!$F12,IF(H14="BIOFEM",PR!$G12,IF(H14="BIOMED",PR!$H12,IF(H14="CHI",PR!$I12,IF(H14="CLARION",PR!$J12,IF(H14="CODIX",PR!$K12,IF(H14="COSMADE",PR!$L12,IF(H14="SANCON",PR!$M12,IF(H14="DEVON",PR!$N12,IF(H14="DORTEMAG",PR!$O12,IF(H14="DGF",PR!$P12,IF(H14="DYNAMIC",PR!$Q12,IF(H14="EMZOR",PR!$R12,IF(H14="EUMATT",PR!$S12,IF(H14="FIDSON",PR!$T12,IF(H14="FCGLOBAL",PR!$U12,IF(H14="GENEITH",PR!$V12,IF(H14="GINOS",PR!$W12,IF(H14="GSK",PR!$X12,IF(H14="GLOBORG",PR!$Y12,IF(H14="GOODNEWS",PR!$Z12,IF(H14="GREENLIFE",PR!$AA12,IF(H14="HLINE",PR!$AB12,IF(H14="ROTECH",PR!$AC12,IF(H14="ISN",PR!$AD12,IF(H14="JAWA",PR!$AE12,IF(H14="LAYO",PR!$AF12,IF(H14="LEADWAY",PR!$AG12,IF(H14="LHV",PR!$AH12,IF(H14="MANOLA",PR!$AI12,IF(H14="MARCSON",PR!$AJ12,IF(H14="M&amp;B",PR!$AK12,IF(H14="MTRUST",PR!$AL12,IF(H14="MWORLD",PR!$AM12,IF(H14="MEGA",PR!$AN12,IF(H14="MICRONOVA",PR!$AO12,IF(H14="MFLASH",PR!$AP12,IF(H14="MORISON",PR!$AQ12,IF(H14="NEMEL",PR!$AR12,IF(H14="NHP",PR!$AS12,IF(H14="NHC",PR!$AT12,IF(H14="OLEAF",PR!$AU12,IF(H14="OCULUS",PR!$AV12,IF(H14="PACIFIC",PR!$AW12,IF(H14="PHAMATEX",PR!$AX12,IF(H14="PETHICS",PR!$AY12,IF(H14="PHILIPS",PR!$AZ12,IF(H14="RANBAXY",PR!$BA12,IF(H14="REALS",PR!$BB12,IF(H14="ROYAL",PR!$BC12,IF(H14="SAM",PR!$BD12,IF(H14="SEAGREEN",PR!$BE12,IF(H14="SKG",PR!$BF12,IF(H14="TAH",PR!$BG12,IF(H14="TAYLEK",PR!$BH12,IF(H14="TEMITA",PR!$BI12,IF(H14="THL",PR!$BJ12,IF(H14="UBASTIC",PR!$BK12,IF(H14="UNION",PR!$BL12,IF(H14="UNIQUE",PR!$BM12,IF(H14="VIXA",PR!$BN12,IF(H14="WWCV",PR!$BO12,IF(H14="ZOLON",PR!$BP12,"-"))))))))))))))))))))))))))))))))))))))))))))))))))))))))))))))))</f>
        <v>200</v>
      </c>
      <c r="H14" s="102" t="str">
        <f>EV!M20</f>
        <v>PHILIPS</v>
      </c>
      <c r="I14" s="108">
        <f>IF(J14="ALPHA",PR!$E12,IF(J14="ASSENE",PR!$F12,IF(J14="BIOFEM",PR!$G12,IF(J14="BIOMED",PR!$H12,IF(J14="CHI",PR!$I12,IF(J14="CLARION",PR!$J12,IF(J14="CODIX",PR!$K12,IF(J14="COSMADE",PR!$L12,IF(J14="SANCON",PR!$M12,IF(J14="DEVON",PR!$N12,IF(J14="DORTEMAG",PR!$O12,IF(J14="DGF",PR!$P12,IF(J14="DYNAMIC",PR!$Q12,IF(J14="EMZOR",PR!$R12,IF(J14="EUMATT",PR!$S12,IF(J14="FIDSON",PR!$T12,IF(J14="FCGLOBAL",PR!$U12,IF(J14="GENEITH",PR!$V12,IF(J14="GINOS",PR!$W12,IF(J14="GSK",PR!$X12,IF(J14="GLOBORG",PR!$Y12,IF(J14="GOODNEWS",PR!$Z12,IF(J14="GREENLIFE",PR!$AA12,IF(J14="HLINE",PR!$AB12,IF(J14="ROTECH",PR!$AC12,IF(J14="ISN",PR!$AD12,IF(J14="JAWA",PR!$AE12,IF(J14="LAYO",PR!$AF12,IF(J14="LEADWAY",PR!$AG12,IF(J14="LHV",PR!$AH12,IF(J14="MANOLA",PR!$AI12,IF(J14="MARCSON",PR!$AJ12,IF(J14="M&amp;B",PR!$AK12,IF(J14="MTRUST",PR!$AL12,IF(J14="MWORLD",PR!$AM12,IF(J14="MEGA",PR!$AN12,IF(J14="MICRONOVA",PR!$AO12,IF(J14="MFLASH",PR!$AP12,IF(J14="MORISON",PR!$AQ12,IF(J14="NEMEL",PR!$AR12,IF(J14="NHP",PR!$AS12,IF(J14="NHC",PR!$AT12,IF(J14="OLEAF",PR!$AU12,IF(J14="OCULUS",PR!$AV12,IF(J14="PACIFIC",PR!$AW12,IF(J14="PHAMATEX",PR!$AX12,IF(J14="PETHICS",PR!$AY12,IF(J14="PHILIPS",PR!$AZ12,IF(J14="RANBAXY",PR!$BA12,IF(J14="REALS",PR!$BB12,IF(J14="ROYAL",PR!$BC12,IF(J14="SAM",PR!$BD12,IF(J14="SEAGREEN",PR!$BE12,IF(J14="SKG",PR!$BF12,IF(J14="TAH",PR!$BG12,IF(J14="TAYLEK",PR!$BH12,IF(J14="TEMITA",PR!$BI12,IF(J14="THL",PR!$BJ12,IF(J14="UBASTIC",PR!$BK12,IF(J14="UNION",PR!$BL12,IF(J14="UNIQUE",PR!$BM12,IF(J14="VIXA",PR!$BN12,IF(J14="WWCV",PR!$BO12,IF(J14="ZOLON",PR!$BP12,"-"))))))))))))))))))))))))))))))))))))))))))))))))))))))))))))))))</f>
        <v>200</v>
      </c>
      <c r="J14" s="102" t="str">
        <f>EV!N20</f>
        <v>VIXA</v>
      </c>
      <c r="K14" s="433" t="s">
        <v>2080</v>
      </c>
      <c r="L14" s="183" t="str">
        <f>IF(K14&gt;0,IF(K14="ALPHA",PR!$E12,IF(K14="ASSENE",PR!$F12,IF(K14="BIOFEM",PR!$G12,IF(K14="BIOMED",PR!$H12,IF(K14="CHI",PR!$I12,IF(K14="CLARION",PR!$J12,IF(K14="CODIX",PR!$K12,IF(K14="COSMADE",PR!$L12,IF(K14="SANCON",PR!$M12,IF(K14="DEVON",PR!$N12,IF(K14="DORTEMAG",PR!$O12,IF(K14="DGF",PR!$P12,IF(K14="DYNAMIC",PR!$Q12,IF(K14="EMZOR",PR!$R12,IF(K14="EUMATT",PR!$S12,IF(K14="FIDSON",PR!$T12,IF(K14="FCGLOBAL",PR!$U12,IF(K14="GENEITH",PR!$V12,IF(K14="GINOS",PR!$W12,IF(K14="GSK",PR!$X12,IF(K14="GLOBORG",PR!$Y12,IF(K14="GOODNEWS",PR!$Z12,IF(K14="GREENLIFE",PR!$AA12,IF(K14="HLINE",PR!$AB12,IF(K14="ROTECH",PR!$AC12,IF(K14="ISN",PR!$AD12,IF(K14="JAWA",PR!$AE12,IF(K14="LAYO",PR!$AF12,IF(K14="LEADWAY",PR!$AG12,IF(K14="LHV",PR!$AH12,IF(K14="MANOLA",PR!$AI12,IF(K14="MARCSON",PR!$AJ12,IF(K14="M&amp;B",PR!$AK12,IF(K14="MTRUST",PR!$AL12,IF(K14="MWORLD",PR!$AM12,IF(K14="MEGA",PR!$AN12,IF(K14="MICRONOVA",PR!$AO12,IF(K14="MFLASH",PR!$AP12,IF(K14="MORISON",PR!$AQ12,IF(K14="NEMEL",PR!$AR12,IF(K14="NHP",PR!$AS12,IF(K14="NHC",PR!$AT12,IF(K14="OLEAF",PR!$AU12,IF(K14="OCULUS",PR!$AV12,IF(K14="PACIFIC",PR!$AW12,IF(K14="PHAMATEX",PR!$AX12,IF(K14="PETHICS",PR!$AY12,IF(K14="PHILIPS",PR!$AZ12,IF(K14="RANBAXY",PR!$BA12,IF(K14="REALS",PR!$BB12,IF(K14="ROYAL",PR!$BC12,IF(K14="SAM",PR!$BD12,IF(K14="SEAGREEN",PR!$BE12,IF(K14="SKG",PR!$BF12,IF(K14="TAH",PR!$BG12,IF(K14="TAYLEK",PR!$BH12,IF(K14="TEMITA",PR!$BI12,IF(K14="THL",PR!$BJ12,IF(K14="UBASTIC",PR!$BK12,IF(K14="UNION",PR!$BL12,IF(K14="UNIQUE",PR!$BM12,IF(K14="VIXA",PR!$BN12,IF(K14="WWCV",PR!$BO12,IF(K14="ZOLON",PR!$BP12,"-")))))))))))))))))))))))))))))))))))))))))))))))))))))))))))))))))</f>
        <v>-</v>
      </c>
    </row>
    <row r="15" spans="1:12" ht="18.75" x14ac:dyDescent="0.3">
      <c r="A15" s="430">
        <f>PR!A13</f>
        <v>3</v>
      </c>
      <c r="B15" s="15" t="str">
        <f>PR!B13</f>
        <v>ARTEMETHER/LUMEFANTRINE (20/120) SYR</v>
      </c>
      <c r="C15" s="113" t="str">
        <f>PR!D13</f>
        <v>BOTT</v>
      </c>
      <c r="D15" s="113">
        <f>PR!C13</f>
        <v>400</v>
      </c>
      <c r="E15" s="108">
        <f>IF(F15="ALPHA",PR!$E13,IF(F15="ASSENE",PR!$F13,IF(F15="BIOFEM",PR!$G13,IF(F15="BIOMED",PR!$H13,IF(F15="CHI",PR!$I13,IF(F15="CLARION",PR!$J13,IF(F15="CODIX",PR!$K13,IF(F15="COSMADE",PR!$L13,IF(F15="SANCON",PR!$M13,IF(F15="DEVON",PR!$N13,IF(F15="DORTEMAG",PR!$O13,IF(F15="DGF",PR!$P13,IF(F15="DYNAMIC",PR!$Q13,IF(F15="EMZOR",PR!$R13,IF(F15="EUMATT",PR!$S13,IF(F15="FIDSON",PR!$T13,IF(F15="FCGLOBAL",PR!$U13,IF(F15="GENEITH",PR!$V13,IF(F15="GINOS",PR!$W13,IF(F15="GSK",PR!$X13,IF(F15="GLOBORG",PR!$Y13,IF(F15="GOODNEWS",PR!$Z13,IF(F15="GREENLIFE",PR!$AA13,IF(F15="HLINE",PR!$AB13,IF(F15="ROTECH",PR!$AC13,IF(F15="ISN",PR!$AD13,IF(F15="JAWA",PR!$AE13,IF(F15="LAYO",PR!$AF13,IF(F15="LEADWAY",PR!$AG13,IF(F15="LHV",PR!$AH13,IF(F15="MANOLA",PR!$AI13,IF(F15="MARCSON",PR!$AJ13,IF(F15="M&amp;B",PR!$AK13,IF(F15="MTRUST",PR!$AL13,IF(F15="MWORLD",PR!$AM13,IF(F15="MEGA",PR!$AN13,IF(F15="MICRONOVA",PR!$AO13,IF(F15="MFLASH",PR!$AP13,IF(F15="MORISON",PR!$AQ13,IF(F15="NEMEL",PR!$AR13,IF(F15="NHP",PR!$AS13,IF(F15="NHC",PR!$AT13,IF(F15="OLEAF",PR!$AU13,IF(F15="OCULUS",PR!$AV13,IF(F15="PACIFIC",PR!$AW13,IF(F15="PHAMATEX",PR!$AX13,IF(F15="PETHICS",PR!$AY13,IF(F15="PHILIPS",PR!$AZ13,IF(F15="RANBAXY",PR!$BA13,IF(F15="REALS",PR!$BB13,IF(F15="ROYAL",PR!$BC13,IF(F15="SAM",PR!$BD13,IF(F15="SEAGREEN",PR!$BE13,IF(F15="SKG",PR!$BF13,IF(F15="TAH",PR!$BG13,IF(F15="TAYLEK",PR!$BH13,IF(F15="TEMITA",PR!$BI13,IF(F15="THL",PR!$BJ13,IF(F15="UBASTIC",PR!$BK13,IF(F15="UNION",PR!$BL13,IF(F15="UNIQUE",PR!$BM13,IF(F15="VIXA",PR!$BN13,IF(F15="WWCV",PR!$BO13,IF(F15="ZOLON",PR!$BP13,"-"))))))))))))))))))))))))))))))))))))))))))))))))))))))))))))))))</f>
        <v>180</v>
      </c>
      <c r="F15" s="102" t="str">
        <f>EV!L21</f>
        <v>EUMATT</v>
      </c>
      <c r="G15" s="108">
        <f>IF(H15="ALPHA",PR!$E13,IF(H15="ASSENE",PR!$F13,IF(H15="BIOFEM",PR!$G13,IF(H15="BIOMED",PR!$H13,IF(H15="CHI",PR!$I13,IF(H15="CLARION",PR!$J13,IF(H15="CODIX",PR!$K13,IF(H15="COSMADE",PR!$L13,IF(H15="SANCON",PR!$M13,IF(H15="DEVON",PR!$N13,IF(H15="DORTEMAG",PR!$O13,IF(H15="DGF",PR!$P13,IF(H15="DYNAMIC",PR!$Q13,IF(H15="EMZOR",PR!$R13,IF(H15="EUMATT",PR!$S13,IF(H15="FIDSON",PR!$T13,IF(H15="FCGLOBAL",PR!$U13,IF(H15="GENEITH",PR!$V13,IF(H15="GINOS",PR!$W13,IF(H15="GSK",PR!$X13,IF(H15="GLOBORG",PR!$Y13,IF(H15="GOODNEWS",PR!$Z13,IF(H15="GREENLIFE",PR!$AA13,IF(H15="HLINE",PR!$AB13,IF(H15="ROTECH",PR!$AC13,IF(H15="ISN",PR!$AD13,IF(H15="JAWA",PR!$AE13,IF(H15="LAYO",PR!$AF13,IF(H15="LEADWAY",PR!$AG13,IF(H15="LHV",PR!$AH13,IF(H15="MANOLA",PR!$AI13,IF(H15="MARCSON",PR!$AJ13,IF(H15="M&amp;B",PR!$AK13,IF(H15="MTRUST",PR!$AL13,IF(H15="MWORLD",PR!$AM13,IF(H15="MEGA",PR!$AN13,IF(H15="MICRONOVA",PR!$AO13,IF(H15="MFLASH",PR!$AP13,IF(H15="MORISON",PR!$AQ13,IF(H15="NEMEL",PR!$AR13,IF(H15="NHP",PR!$AS13,IF(H15="NHC",PR!$AT13,IF(H15="OLEAF",PR!$AU13,IF(H15="OCULUS",PR!$AV13,IF(H15="PACIFIC",PR!$AW13,IF(H15="PHAMATEX",PR!$AX13,IF(H15="PETHICS",PR!$AY13,IF(H15="PHILIPS",PR!$AZ13,IF(H15="RANBAXY",PR!$BA13,IF(H15="REALS",PR!$BB13,IF(H15="ROYAL",PR!$BC13,IF(H15="SAM",PR!$BD13,IF(H15="SEAGREEN",PR!$BE13,IF(H15="SKG",PR!$BF13,IF(H15="TAH",PR!$BG13,IF(H15="TAYLEK",PR!$BH13,IF(H15="TEMITA",PR!$BI13,IF(H15="THL",PR!$BJ13,IF(H15="UBASTIC",PR!$BK13,IF(H15="UNION",PR!$BL13,IF(H15="UNIQUE",PR!$BM13,IF(H15="VIXA",PR!$BN13,IF(H15="WWCV",PR!$BO13,IF(H15="ZOLON",PR!$BP13,"-"))))))))))))))))))))))))))))))))))))))))))))))))))))))))))))))))</f>
        <v>260</v>
      </c>
      <c r="H15" s="102" t="str">
        <f>EV!M21</f>
        <v>CLARION</v>
      </c>
      <c r="I15" s="108">
        <f>IF(J15="ALPHA",PR!$E13,IF(J15="ASSENE",PR!$F13,IF(J15="BIOFEM",PR!$G13,IF(J15="BIOMED",PR!$H13,IF(J15="CHI",PR!$I13,IF(J15="CLARION",PR!$J13,IF(J15="CODIX",PR!$K13,IF(J15="COSMADE",PR!$L13,IF(J15="SANCON",PR!$M13,IF(J15="DEVON",PR!$N13,IF(J15="DORTEMAG",PR!$O13,IF(J15="DGF",PR!$P13,IF(J15="DYNAMIC",PR!$Q13,IF(J15="EMZOR",PR!$R13,IF(J15="EUMATT",PR!$S13,IF(J15="FIDSON",PR!$T13,IF(J15="FCGLOBAL",PR!$U13,IF(J15="GENEITH",PR!$V13,IF(J15="GINOS",PR!$W13,IF(J15="GSK",PR!$X13,IF(J15="GLOBORG",PR!$Y13,IF(J15="GOODNEWS",PR!$Z13,IF(J15="GREENLIFE",PR!$AA13,IF(J15="HLINE",PR!$AB13,IF(J15="ROTECH",PR!$AC13,IF(J15="ISN",PR!$AD13,IF(J15="JAWA",PR!$AE13,IF(J15="LAYO",PR!$AF13,IF(J15="LEADWAY",PR!$AG13,IF(J15="LHV",PR!$AH13,IF(J15="MANOLA",PR!$AI13,IF(J15="MARCSON",PR!$AJ13,IF(J15="M&amp;B",PR!$AK13,IF(J15="MTRUST",PR!$AL13,IF(J15="MWORLD",PR!$AM13,IF(J15="MEGA",PR!$AN13,IF(J15="MICRONOVA",PR!$AO13,IF(J15="MFLASH",PR!$AP13,IF(J15="MORISON",PR!$AQ13,IF(J15="NEMEL",PR!$AR13,IF(J15="NHP",PR!$AS13,IF(J15="NHC",PR!$AT13,IF(J15="OLEAF",PR!$AU13,IF(J15="OCULUS",PR!$AV13,IF(J15="PACIFIC",PR!$AW13,IF(J15="PHAMATEX",PR!$AX13,IF(J15="PETHICS",PR!$AY13,IF(J15="PHILIPS",PR!$AZ13,IF(J15="RANBAXY",PR!$BA13,IF(J15="REALS",PR!$BB13,IF(J15="ROYAL",PR!$BC13,IF(J15="SAM",PR!$BD13,IF(J15="SEAGREEN",PR!$BE13,IF(J15="SKG",PR!$BF13,IF(J15="TAH",PR!$BG13,IF(J15="TAYLEK",PR!$BH13,IF(J15="TEMITA",PR!$BI13,IF(J15="THL",PR!$BJ13,IF(J15="UBASTIC",PR!$BK13,IF(J15="UNION",PR!$BL13,IF(J15="UNIQUE",PR!$BM13,IF(J15="VIXA",PR!$BN13,IF(J15="WWCV",PR!$BO13,IF(J15="ZOLON",PR!$BP13,"-"))))))))))))))))))))))))))))))))))))))))))))))))))))))))))))))))</f>
        <v>280</v>
      </c>
      <c r="J15" s="102" t="str">
        <f>EV!N21</f>
        <v>EMZOR</v>
      </c>
      <c r="K15" s="433" t="s">
        <v>2081</v>
      </c>
      <c r="L15" s="183" t="str">
        <f>IF(K15&gt;0,IF(K15="ALPHA",PR!$E13,IF(K15="ASSENE",PR!$F13,IF(K15="BIOFEM",PR!$G13,IF(K15="BIOMED",PR!$H13,IF(K15="CHI",PR!$I13,IF(K15="CLARION",PR!$J13,IF(K15="CODIX",PR!$K13,IF(K15="COSMADE",PR!$L13,IF(K15="SANCON",PR!$M13,IF(K15="DEVON",PR!$N13,IF(K15="DORTEMAG",PR!$O13,IF(K15="DGF",PR!$P13,IF(K15="DYNAMIC",PR!$Q13,IF(K15="EMZOR",PR!$R13,IF(K15="EUMATT",PR!$S13,IF(K15="FIDSON",PR!$T13,IF(K15="FCGLOBAL",PR!$U13,IF(K15="GENEITH",PR!$V13,IF(K15="GINOS",PR!$W13,IF(K15="GSK",PR!$X13,IF(K15="GLOBORG",PR!$Y13,IF(K15="GOODNEWS",PR!$Z13,IF(K15="GREENLIFE",PR!$AA13,IF(K15="HLINE",PR!$AB13,IF(K15="ROTECH",PR!$AC13,IF(K15="ISN",PR!$AD13,IF(K15="JAWA",PR!$AE13,IF(K15="LAYO",PR!$AF13,IF(K15="LEADWAY",PR!$AG13,IF(K15="LHV",PR!$AH13,IF(K15="MANOLA",PR!$AI13,IF(K15="MARCSON",PR!$AJ13,IF(K15="M&amp;B",PR!$AK13,IF(K15="MTRUST",PR!$AL13,IF(K15="MWORLD",PR!$AM13,IF(K15="MEGA",PR!$AN13,IF(K15="MICRONOVA",PR!$AO13,IF(K15="MFLASH",PR!$AP13,IF(K15="MORISON",PR!$AQ13,IF(K15="NEMEL",PR!$AR13,IF(K15="NHP",PR!$AS13,IF(K15="NHC",PR!$AT13,IF(K15="OLEAF",PR!$AU13,IF(K15="OCULUS",PR!$AV13,IF(K15="PACIFIC",PR!$AW13,IF(K15="PHAMATEX",PR!$AX13,IF(K15="PETHICS",PR!$AY13,IF(K15="PHILIPS",PR!$AZ13,IF(K15="RANBAXY",PR!$BA13,IF(K15="REALS",PR!$BB13,IF(K15="ROYAL",PR!$BC13,IF(K15="SAM",PR!$BD13,IF(K15="SEAGREEN",PR!$BE13,IF(K15="SKG",PR!$BF13,IF(K15="TAH",PR!$BG13,IF(K15="TAYLEK",PR!$BH13,IF(K15="TEMITA",PR!$BI13,IF(K15="THL",PR!$BJ13,IF(K15="UBASTIC",PR!$BK13,IF(K15="UNION",PR!$BL13,IF(K15="UNIQUE",PR!$BM13,IF(K15="VIXA",PR!$BN13,IF(K15="WWCV",PR!$BO13,IF(K15="ZOLON",PR!$BP13,"-")))))))))))))))))))))))))))))))))))))))))))))))))))))))))))))))))</f>
        <v>-</v>
      </c>
    </row>
    <row r="16" spans="1:12" ht="18.75" x14ac:dyDescent="0.3">
      <c r="A16" s="430">
        <f>PR!A14</f>
        <v>4</v>
      </c>
      <c r="B16" s="15" t="str">
        <f>PR!B14</f>
        <v>ARTEMETHER/LUMEFANTRINE (20/120) SOFT GEL</v>
      </c>
      <c r="C16" s="113">
        <f>PR!D14</f>
        <v>24</v>
      </c>
      <c r="D16" s="113">
        <f>PR!C14</f>
        <v>500</v>
      </c>
      <c r="E16" s="108" t="str">
        <f>IF(F16="ALPHA",PR!$E14,IF(F16="ASSENE",PR!$F14,IF(F16="BIOFEM",PR!$G14,IF(F16="BIOMED",PR!$H14,IF(F16="CHI",PR!$I14,IF(F16="CLARION",PR!$J14,IF(F16="CODIX",PR!$K14,IF(F16="COSMADE",PR!$L14,IF(F16="SANCON",PR!$M14,IF(F16="DEVON",PR!$N14,IF(F16="DORTEMAG",PR!$O14,IF(F16="DGF",PR!$P14,IF(F16="DYNAMIC",PR!$Q14,IF(F16="EMZOR",PR!$R14,IF(F16="EUMATT",PR!$S14,IF(F16="FIDSON",PR!$T14,IF(F16="FCGLOBAL",PR!$U14,IF(F16="GENEITH",PR!$V14,IF(F16="GINOS",PR!$W14,IF(F16="GSK",PR!$X14,IF(F16="GLOBORG",PR!$Y14,IF(F16="GOODNEWS",PR!$Z14,IF(F16="GREENLIFE",PR!$AA14,IF(F16="HLINE",PR!$AB14,IF(F16="ROTECH",PR!$AC14,IF(F16="ISN",PR!$AD14,IF(F16="JAWA",PR!$AE14,IF(F16="LAYO",PR!$AF14,IF(F16="LEADWAY",PR!$AG14,IF(F16="LHV",PR!$AH14,IF(F16="MANOLA",PR!$AI14,IF(F16="MARCSON",PR!$AJ14,IF(F16="M&amp;B",PR!$AK14,IF(F16="MTRUST",PR!$AL14,IF(F16="MWORLD",PR!$AM14,IF(F16="MEGA",PR!$AN14,IF(F16="MICRONOVA",PR!$AO14,IF(F16="MFLASH",PR!$AP14,IF(F16="MORISON",PR!$AQ14,IF(F16="NEMEL",PR!$AR14,IF(F16="NHP",PR!$AS14,IF(F16="NHC",PR!$AT14,IF(F16="OLEAF",PR!$AU14,IF(F16="OCULUS",PR!$AV14,IF(F16="PACIFIC",PR!$AW14,IF(F16="PHAMATEX",PR!$AX14,IF(F16="PETHICS",PR!$AY14,IF(F16="PHILIPS",PR!$AZ14,IF(F16="RANBAXY",PR!$BA14,IF(F16="REALS",PR!$BB14,IF(F16="ROYAL",PR!$BC14,IF(F16="SAM",PR!$BD14,IF(F16="SEAGREEN",PR!$BE14,IF(F16="SKG",PR!$BF14,IF(F16="TAH",PR!$BG14,IF(F16="TAYLEK",PR!$BH14,IF(F16="TEMITA",PR!$BI14,IF(F16="THL",PR!$BJ14,IF(F16="UBASTIC",PR!$BK14,IF(F16="UNION",PR!$BL14,IF(F16="UNIQUE",PR!$BM14,IF(F16="VIXA",PR!$BN14,IF(F16="WWCV",PR!$BO14,IF(F16="ZOLON",PR!$BP14,"-"))))))))))))))))))))))))))))))))))))))))))))))))))))))))))))))))</f>
        <v>-</v>
      </c>
      <c r="F16" s="102">
        <f>EV!L22</f>
        <v>0</v>
      </c>
      <c r="G16" s="108" t="str">
        <f>IF(H16="ALPHA",PR!$E14,IF(H16="ASSENE",PR!$F14,IF(H16="BIOFEM",PR!$G14,IF(H16="BIOMED",PR!$H14,IF(H16="CHI",PR!$I14,IF(H16="CLARION",PR!$J14,IF(H16="CODIX",PR!$K14,IF(H16="COSMADE",PR!$L14,IF(H16="SANCON",PR!$M14,IF(H16="DEVON",PR!$N14,IF(H16="DORTEMAG",PR!$O14,IF(H16="DGF",PR!$P14,IF(H16="DYNAMIC",PR!$Q14,IF(H16="EMZOR",PR!$R14,IF(H16="EUMATT",PR!$S14,IF(H16="FIDSON",PR!$T14,IF(H16="FCGLOBAL",PR!$U14,IF(H16="GENEITH",PR!$V14,IF(H16="GINOS",PR!$W14,IF(H16="GSK",PR!$X14,IF(H16="GLOBORG",PR!$Y14,IF(H16="GOODNEWS",PR!$Z14,IF(H16="GREENLIFE",PR!$AA14,IF(H16="HLINE",PR!$AB14,IF(H16="ROTECH",PR!$AC14,IF(H16="ISN",PR!$AD14,IF(H16="JAWA",PR!$AE14,IF(H16="LAYO",PR!$AF14,IF(H16="LEADWAY",PR!$AG14,IF(H16="LHV",PR!$AH14,IF(H16="MANOLA",PR!$AI14,IF(H16="MARCSON",PR!$AJ14,IF(H16="M&amp;B",PR!$AK14,IF(H16="MTRUST",PR!$AL14,IF(H16="MWORLD",PR!$AM14,IF(H16="MEGA",PR!$AN14,IF(H16="MICRONOVA",PR!$AO14,IF(H16="MFLASH",PR!$AP14,IF(H16="MORISON",PR!$AQ14,IF(H16="NEMEL",PR!$AR14,IF(H16="NHP",PR!$AS14,IF(H16="NHC",PR!$AT14,IF(H16="OLEAF",PR!$AU14,IF(H16="OCULUS",PR!$AV14,IF(H16="PACIFIC",PR!$AW14,IF(H16="PHAMATEX",PR!$AX14,IF(H16="PETHICS",PR!$AY14,IF(H16="PHILIPS",PR!$AZ14,IF(H16="RANBAXY",PR!$BA14,IF(H16="REALS",PR!$BB14,IF(H16="ROYAL",PR!$BC14,IF(H16="SAM",PR!$BD14,IF(H16="SEAGREEN",PR!$BE14,IF(H16="SKG",PR!$BF14,IF(H16="TAH",PR!$BG14,IF(H16="TAYLEK",PR!$BH14,IF(H16="TEMITA",PR!$BI14,IF(H16="THL",PR!$BJ14,IF(H16="UBASTIC",PR!$BK14,IF(H16="UNION",PR!$BL14,IF(H16="UNIQUE",PR!$BM14,IF(H16="VIXA",PR!$BN14,IF(H16="WWCV",PR!$BO14,IF(H16="ZOLON",PR!$BP14,"-"))))))))))))))))))))))))))))))))))))))))))))))))))))))))))))))))</f>
        <v>-</v>
      </c>
      <c r="H16" s="102">
        <f>EV!M22</f>
        <v>0</v>
      </c>
      <c r="I16" s="108" t="str">
        <f>IF(J16="ALPHA",PR!$E14,IF(J16="ASSENE",PR!$F14,IF(J16="BIOFEM",PR!$G14,IF(J16="BIOMED",PR!$H14,IF(J16="CHI",PR!$I14,IF(J16="CLARION",PR!$J14,IF(J16="CODIX",PR!$K14,IF(J16="COSMADE",PR!$L14,IF(J16="SANCON",PR!$M14,IF(J16="DEVON",PR!$N14,IF(J16="DORTEMAG",PR!$O14,IF(J16="DGF",PR!$P14,IF(J16="DYNAMIC",PR!$Q14,IF(J16="EMZOR",PR!$R14,IF(J16="EUMATT",PR!$S14,IF(J16="FIDSON",PR!$T14,IF(J16="FCGLOBAL",PR!$U14,IF(J16="GENEITH",PR!$V14,IF(J16="GINOS",PR!$W14,IF(J16="GSK",PR!$X14,IF(J16="GLOBORG",PR!$Y14,IF(J16="GOODNEWS",PR!$Z14,IF(J16="GREENLIFE",PR!$AA14,IF(J16="HLINE",PR!$AB14,IF(J16="ROTECH",PR!$AC14,IF(J16="ISN",PR!$AD14,IF(J16="JAWA",PR!$AE14,IF(J16="LAYO",PR!$AF14,IF(J16="LEADWAY",PR!$AG14,IF(J16="LHV",PR!$AH14,IF(J16="MANOLA",PR!$AI14,IF(J16="MARCSON",PR!$AJ14,IF(J16="M&amp;B",PR!$AK14,IF(J16="MTRUST",PR!$AL14,IF(J16="MWORLD",PR!$AM14,IF(J16="MEGA",PR!$AN14,IF(J16="MICRONOVA",PR!$AO14,IF(J16="MFLASH",PR!$AP14,IF(J16="MORISON",PR!$AQ14,IF(J16="NEMEL",PR!$AR14,IF(J16="NHP",PR!$AS14,IF(J16="NHC",PR!$AT14,IF(J16="OLEAF",PR!$AU14,IF(J16="OCULUS",PR!$AV14,IF(J16="PACIFIC",PR!$AW14,IF(J16="PHAMATEX",PR!$AX14,IF(J16="PETHICS",PR!$AY14,IF(J16="PHILIPS",PR!$AZ14,IF(J16="RANBAXY",PR!$BA14,IF(J16="REALS",PR!$BB14,IF(J16="ROYAL",PR!$BC14,IF(J16="SAM",PR!$BD14,IF(J16="SEAGREEN",PR!$BE14,IF(J16="SKG",PR!$BF14,IF(J16="TAH",PR!$BG14,IF(J16="TAYLEK",PR!$BH14,IF(J16="TEMITA",PR!$BI14,IF(J16="THL",PR!$BJ14,IF(J16="UBASTIC",PR!$BK14,IF(J16="UNION",PR!$BL14,IF(J16="UNIQUE",PR!$BM14,IF(J16="VIXA",PR!$BN14,IF(J16="WWCV",PR!$BO14,IF(J16="ZOLON",PR!$BP14,"-"))))))))))))))))))))))))))))))))))))))))))))))))))))))))))))))))</f>
        <v>-</v>
      </c>
      <c r="J16" s="102">
        <f>EV!N22</f>
        <v>0</v>
      </c>
      <c r="K16" s="433"/>
      <c r="L16" s="183" t="b">
        <f>IF(K16&gt;0,IF(K16="ALPHA",PR!$E14,IF(K16="ASSENE",PR!$F14,IF(K16="BIOFEM",PR!$G14,IF(K16="BIOMED",PR!$H14,IF(K16="CHI",PR!$I14,IF(K16="CLARION",PR!$J14,IF(K16="CODIX",PR!$K14,IF(K16="COSMADE",PR!$L14,IF(K16="SANCON",PR!$M14,IF(K16="DEVON",PR!$N14,IF(K16="DORTEMAG",PR!$O14,IF(K16="DGF",PR!$P14,IF(K16="DYNAMIC",PR!$Q14,IF(K16="EMZOR",PR!$R14,IF(K16="EUMATT",PR!$S14,IF(K16="FIDSON",PR!$T14,IF(K16="FCGLOBAL",PR!$U14,IF(K16="GENEITH",PR!$V14,IF(K16="GINOS",PR!$W14,IF(K16="GSK",PR!$X14,IF(K16="GLOBORG",PR!$Y14,IF(K16="GOODNEWS",PR!$Z14,IF(K16="GREENLIFE",PR!$AA14,IF(K16="HLINE",PR!$AB14,IF(K16="ROTECH",PR!$AC14,IF(K16="ISN",PR!$AD14,IF(K16="JAWA",PR!$AE14,IF(K16="LAYO",PR!$AF14,IF(K16="LEADWAY",PR!$AG14,IF(K16="LHV",PR!$AH14,IF(K16="MANOLA",PR!$AI14,IF(K16="MARCSON",PR!$AJ14,IF(K16="M&amp;B",PR!$AK14,IF(K16="MTRUST",PR!$AL14,IF(K16="MWORLD",PR!$AM14,IF(K16="MEGA",PR!$AN14,IF(K16="MICRONOVA",PR!$AO14,IF(K16="MFLASH",PR!$AP14,IF(K16="MORISON",PR!$AQ14,IF(K16="NEMEL",PR!$AR14,IF(K16="NHP",PR!$AS14,IF(K16="NHC",PR!$AT14,IF(K16="OLEAF",PR!$AU14,IF(K16="OCULUS",PR!$AV14,IF(K16="PACIFIC",PR!$AW14,IF(K16="PHAMATEX",PR!$AX14,IF(K16="PETHICS",PR!$AY14,IF(K16="PHILIPS",PR!$AZ14,IF(K16="RANBAXY",PR!$BA14,IF(K16="REALS",PR!$BB14,IF(K16="ROYAL",PR!$BC14,IF(K16="SAM",PR!$BD14,IF(K16="SEAGREEN",PR!$BE14,IF(K16="SKG",PR!$BF14,IF(K16="TAH",PR!$BG14,IF(K16="TAYLEK",PR!$BH14,IF(K16="TEMITA",PR!$BI14,IF(K16="THL",PR!$BJ14,IF(K16="UBASTIC",PR!$BK14,IF(K16="UNION",PR!$BL14,IF(K16="UNIQUE",PR!$BM14,IF(K16="VIXA",PR!$BN14,IF(K16="WWCV",PR!$BO14,IF(K16="ZOLON",PR!$BP14,"-")))))))))))))))))))))))))))))))))))))))))))))))))))))))))))))))))</f>
        <v>0</v>
      </c>
    </row>
    <row r="17" spans="1:12" ht="18.75" x14ac:dyDescent="0.3">
      <c r="A17" s="430">
        <f>PR!A15</f>
        <v>5</v>
      </c>
      <c r="B17" s="15" t="str">
        <f>PR!B15</f>
        <v>ARTEMETHER/LUMEFANTRINE (80/480) SOFT GEL</v>
      </c>
      <c r="C17" s="113">
        <f>PR!D15</f>
        <v>6</v>
      </c>
      <c r="D17" s="113">
        <f>PR!C15</f>
        <v>500</v>
      </c>
      <c r="E17" s="108">
        <f>IF(F17="ALPHA",PR!$E15,IF(F17="ASSENE",PR!$F15,IF(F17="BIOFEM",PR!$G15,IF(F17="BIOMED",PR!$H15,IF(F17="CHI",PR!$I15,IF(F17="CLARION",PR!$J15,IF(F17="CODIX",PR!$K15,IF(F17="COSMADE",PR!$L15,IF(F17="SANCON",PR!$M15,IF(F17="DEVON",PR!$N15,IF(F17="DORTEMAG",PR!$O15,IF(F17="DGF",PR!$P15,IF(F17="DYNAMIC",PR!$Q15,IF(F17="EMZOR",PR!$R15,IF(F17="EUMATT",PR!$S15,IF(F17="FIDSON",PR!$T15,IF(F17="FCGLOBAL",PR!$U15,IF(F17="GENEITH",PR!$V15,IF(F17="GINOS",PR!$W15,IF(F17="GSK",PR!$X15,IF(F17="GLOBORG",PR!$Y15,IF(F17="GOODNEWS",PR!$Z15,IF(F17="GREENLIFE",PR!$AA15,IF(F17="HLINE",PR!$AB15,IF(F17="ROTECH",PR!$AC15,IF(F17="ISN",PR!$AD15,IF(F17="JAWA",PR!$AE15,IF(F17="LAYO",PR!$AF15,IF(F17="LEADWAY",PR!$AG15,IF(F17="LHV",PR!$AH15,IF(F17="MANOLA",PR!$AI15,IF(F17="MARCSON",PR!$AJ15,IF(F17="M&amp;B",PR!$AK15,IF(F17="MTRUST",PR!$AL15,IF(F17="MWORLD",PR!$AM15,IF(F17="MEGA",PR!$AN15,IF(F17="MICRONOVA",PR!$AO15,IF(F17="MFLASH",PR!$AP15,IF(F17="MORISON",PR!$AQ15,IF(F17="NEMEL",PR!$AR15,IF(F17="NHP",PR!$AS15,IF(F17="NHC",PR!$AT15,IF(F17="OLEAF",PR!$AU15,IF(F17="OCULUS",PR!$AV15,IF(F17="PACIFIC",PR!$AW15,IF(F17="PHAMATEX",PR!$AX15,IF(F17="PETHICS",PR!$AY15,IF(F17="PHILIPS",PR!$AZ15,IF(F17="RANBAXY",PR!$BA15,IF(F17="REALS",PR!$BB15,IF(F17="ROYAL",PR!$BC15,IF(F17="SAM",PR!$BD15,IF(F17="SEAGREEN",PR!$BE15,IF(F17="SKG",PR!$BF15,IF(F17="TAH",PR!$BG15,IF(F17="TAYLEK",PR!$BH15,IF(F17="TEMITA",PR!$BI15,IF(F17="THL",PR!$BJ15,IF(F17="UBASTIC",PR!$BK15,IF(F17="UNION",PR!$BL15,IF(F17="UNIQUE",PR!$BM15,IF(F17="VIXA",PR!$BN15,IF(F17="WWCV",PR!$BO15,IF(F17="ZOLON",PR!$BP15,"-"))))))))))))))))))))))))))))))))))))))))))))))))))))))))))))))))</f>
        <v>550</v>
      </c>
      <c r="F17" s="102" t="str">
        <f>EV!L23</f>
        <v>GENEITH</v>
      </c>
      <c r="G17" s="108" t="str">
        <f>IF(H17="ALPHA",PR!$E15,IF(H17="ASSENE",PR!$F15,IF(H17="BIOFEM",PR!$G15,IF(H17="BIOMED",PR!$H15,IF(H17="CHI",PR!$I15,IF(H17="CLARION",PR!$J15,IF(H17="CODIX",PR!$K15,IF(H17="COSMADE",PR!$L15,IF(H17="SANCON",PR!$M15,IF(H17="DEVON",PR!$N15,IF(H17="DORTEMAG",PR!$O15,IF(H17="DGF",PR!$P15,IF(H17="DYNAMIC",PR!$Q15,IF(H17="EMZOR",PR!$R15,IF(H17="EUMATT",PR!$S15,IF(H17="FIDSON",PR!$T15,IF(H17="FCGLOBAL",PR!$U15,IF(H17="GENEITH",PR!$V15,IF(H17="GINOS",PR!$W15,IF(H17="GSK",PR!$X15,IF(H17="GLOBORG",PR!$Y15,IF(H17="GOODNEWS",PR!$Z15,IF(H17="GREENLIFE",PR!$AA15,IF(H17="HLINE",PR!$AB15,IF(H17="ROTECH",PR!$AC15,IF(H17="ISN",PR!$AD15,IF(H17="JAWA",PR!$AE15,IF(H17="LAYO",PR!$AF15,IF(H17="LEADWAY",PR!$AG15,IF(H17="LHV",PR!$AH15,IF(H17="MANOLA",PR!$AI15,IF(H17="MARCSON",PR!$AJ15,IF(H17="M&amp;B",PR!$AK15,IF(H17="MTRUST",PR!$AL15,IF(H17="MWORLD",PR!$AM15,IF(H17="MEGA",PR!$AN15,IF(H17="MICRONOVA",PR!$AO15,IF(H17="MFLASH",PR!$AP15,IF(H17="MORISON",PR!$AQ15,IF(H17="NEMEL",PR!$AR15,IF(H17="NHP",PR!$AS15,IF(H17="NHC",PR!$AT15,IF(H17="OLEAF",PR!$AU15,IF(H17="OCULUS",PR!$AV15,IF(H17="PACIFIC",PR!$AW15,IF(H17="PHAMATEX",PR!$AX15,IF(H17="PETHICS",PR!$AY15,IF(H17="PHILIPS",PR!$AZ15,IF(H17="RANBAXY",PR!$BA15,IF(H17="REALS",PR!$BB15,IF(H17="ROYAL",PR!$BC15,IF(H17="SAM",PR!$BD15,IF(H17="SEAGREEN",PR!$BE15,IF(H17="SKG",PR!$BF15,IF(H17="TAH",PR!$BG15,IF(H17="TAYLEK",PR!$BH15,IF(H17="TEMITA",PR!$BI15,IF(H17="THL",PR!$BJ15,IF(H17="UBASTIC",PR!$BK15,IF(H17="UNION",PR!$BL15,IF(H17="UNIQUE",PR!$BM15,IF(H17="VIXA",PR!$BN15,IF(H17="WWCV",PR!$BO15,IF(H17="ZOLON",PR!$BP15,"-"))))))))))))))))))))))))))))))))))))))))))))))))))))))))))))))))</f>
        <v>-</v>
      </c>
      <c r="H17" s="102">
        <f>EV!M23</f>
        <v>0</v>
      </c>
      <c r="I17" s="108" t="str">
        <f>IF(J17="ALPHA",PR!$E15,IF(J17="ASSENE",PR!$F15,IF(J17="BIOFEM",PR!$G15,IF(J17="BIOMED",PR!$H15,IF(J17="CHI",PR!$I15,IF(J17="CLARION",PR!$J15,IF(J17="CODIX",PR!$K15,IF(J17="COSMADE",PR!$L15,IF(J17="SANCON",PR!$M15,IF(J17="DEVON",PR!$N15,IF(J17="DORTEMAG",PR!$O15,IF(J17="DGF",PR!$P15,IF(J17="DYNAMIC",PR!$Q15,IF(J17="EMZOR",PR!$R15,IF(J17="EUMATT",PR!$S15,IF(J17="FIDSON",PR!$T15,IF(J17="FCGLOBAL",PR!$U15,IF(J17="GENEITH",PR!$V15,IF(J17="GINOS",PR!$W15,IF(J17="GSK",PR!$X15,IF(J17="GLOBORG",PR!$Y15,IF(J17="GOODNEWS",PR!$Z15,IF(J17="GREENLIFE",PR!$AA15,IF(J17="HLINE",PR!$AB15,IF(J17="ROTECH",PR!$AC15,IF(J17="ISN",PR!$AD15,IF(J17="JAWA",PR!$AE15,IF(J17="LAYO",PR!$AF15,IF(J17="LEADWAY",PR!$AG15,IF(J17="LHV",PR!$AH15,IF(J17="MANOLA",PR!$AI15,IF(J17="MARCSON",PR!$AJ15,IF(J17="M&amp;B",PR!$AK15,IF(J17="MTRUST",PR!$AL15,IF(J17="MWORLD",PR!$AM15,IF(J17="MEGA",PR!$AN15,IF(J17="MICRONOVA",PR!$AO15,IF(J17="MFLASH",PR!$AP15,IF(J17="MORISON",PR!$AQ15,IF(J17="NEMEL",PR!$AR15,IF(J17="NHP",PR!$AS15,IF(J17="NHC",PR!$AT15,IF(J17="OLEAF",PR!$AU15,IF(J17="OCULUS",PR!$AV15,IF(J17="PACIFIC",PR!$AW15,IF(J17="PHAMATEX",PR!$AX15,IF(J17="PETHICS",PR!$AY15,IF(J17="PHILIPS",PR!$AZ15,IF(J17="RANBAXY",PR!$BA15,IF(J17="REALS",PR!$BB15,IF(J17="ROYAL",PR!$BC15,IF(J17="SAM",PR!$BD15,IF(J17="SEAGREEN",PR!$BE15,IF(J17="SKG",PR!$BF15,IF(J17="TAH",PR!$BG15,IF(J17="TAYLEK",PR!$BH15,IF(J17="TEMITA",PR!$BI15,IF(J17="THL",PR!$BJ15,IF(J17="UBASTIC",PR!$BK15,IF(J17="UNION",PR!$BL15,IF(J17="UNIQUE",PR!$BM15,IF(J17="VIXA",PR!$BN15,IF(J17="WWCV",PR!$BO15,IF(J17="ZOLON",PR!$BP15,"-"))))))))))))))))))))))))))))))))))))))))))))))))))))))))))))))))</f>
        <v>-</v>
      </c>
      <c r="J17" s="102">
        <f>EV!N23</f>
        <v>0</v>
      </c>
      <c r="K17" s="433" t="s">
        <v>619</v>
      </c>
      <c r="L17" s="183">
        <f>IF(K17&gt;0,IF(K17="ALPHA",PR!$E15,IF(K17="ASSENE",PR!$F15,IF(K17="BIOFEM",PR!$G15,IF(K17="BIOMED",PR!$H15,IF(K17="CHI",PR!$I15,IF(K17="CLARION",PR!$J15,IF(K17="CODIX",PR!$K15,IF(K17="COSMADE",PR!$L15,IF(K17="SANCON",PR!$M15,IF(K17="DEVON",PR!$N15,IF(K17="DORTEMAG",PR!$O15,IF(K17="DGF",PR!$P15,IF(K17="DYNAMIC",PR!$Q15,IF(K17="EMZOR",PR!$R15,IF(K17="EUMATT",PR!$S15,IF(K17="FIDSON",PR!$T15,IF(K17="FCGLOBAL",PR!$U15,IF(K17="GENEITH",PR!$V15,IF(K17="GINOS",PR!$W15,IF(K17="GSK",PR!$X15,IF(K17="GLOBORG",PR!$Y15,IF(K17="GOODNEWS",PR!$Z15,IF(K17="GREENLIFE",PR!$AA15,IF(K17="HLINE",PR!$AB15,IF(K17="ROTECH",PR!$AC15,IF(K17="ISN",PR!$AD15,IF(K17="JAWA",PR!$AE15,IF(K17="LAYO",PR!$AF15,IF(K17="LEADWAY",PR!$AG15,IF(K17="LHV",PR!$AH15,IF(K17="MANOLA",PR!$AI15,IF(K17="MARCSON",PR!$AJ15,IF(K17="M&amp;B",PR!$AK15,IF(K17="MTRUST",PR!$AL15,IF(K17="MWORLD",PR!$AM15,IF(K17="MEGA",PR!$AN15,IF(K17="MICRONOVA",PR!$AO15,IF(K17="MFLASH",PR!$AP15,IF(K17="MORISON",PR!$AQ15,IF(K17="NEMEL",PR!$AR15,IF(K17="NHP",PR!$AS15,IF(K17="NHC",PR!$AT15,IF(K17="OLEAF",PR!$AU15,IF(K17="OCULUS",PR!$AV15,IF(K17="PACIFIC",PR!$AW15,IF(K17="PHAMATEX",PR!$AX15,IF(K17="PETHICS",PR!$AY15,IF(K17="PHILIPS",PR!$AZ15,IF(K17="RANBAXY",PR!$BA15,IF(K17="REALS",PR!$BB15,IF(K17="ROYAL",PR!$BC15,IF(K17="SAM",PR!$BD15,IF(K17="SEAGREEN",PR!$BE15,IF(K17="SKG",PR!$BF15,IF(K17="TAH",PR!$BG15,IF(K17="TAYLEK",PR!$BH15,IF(K17="TEMITA",PR!$BI15,IF(K17="THL",PR!$BJ15,IF(K17="UBASTIC",PR!$BK15,IF(K17="UNION",PR!$BL15,IF(K17="UNIQUE",PR!$BM15,IF(K17="VIXA",PR!$BN15,IF(K17="WWCV",PR!$BO15,IF(K17="ZOLON",PR!$BP15,"-")))))))))))))))))))))))))))))))))))))))))))))))))))))))))))))))))</f>
        <v>550</v>
      </c>
    </row>
    <row r="18" spans="1:12" ht="18.75" x14ac:dyDescent="0.3">
      <c r="A18" s="430">
        <f>PR!A16</f>
        <v>6</v>
      </c>
      <c r="B18" s="15" t="str">
        <f>PR!B16</f>
        <v>ARTEMETHER/LUMEFANTRINE (20/120) TAB</v>
      </c>
      <c r="C18" s="113">
        <f>PR!D16</f>
        <v>24</v>
      </c>
      <c r="D18" s="113">
        <f>PR!C16</f>
        <v>10000</v>
      </c>
      <c r="E18" s="108">
        <f>IF(F18="ALPHA",PR!$E16,IF(F18="ASSENE",PR!$F16,IF(F18="BIOFEM",PR!$G16,IF(F18="BIOMED",PR!$H16,IF(F18="CHI",PR!$I16,IF(F18="CLARION",PR!$J16,IF(F18="CODIX",PR!$K16,IF(F18="COSMADE",PR!$L16,IF(F18="SANCON",PR!$M16,IF(F18="DEVON",PR!$N16,IF(F18="DORTEMAG",PR!$O16,IF(F18="DGF",PR!$P16,IF(F18="DYNAMIC",PR!$Q16,IF(F18="EMZOR",PR!$R16,IF(F18="EUMATT",PR!$S16,IF(F18="FIDSON",PR!$T16,IF(F18="FCGLOBAL",PR!$U16,IF(F18="GENEITH",PR!$V16,IF(F18="GINOS",PR!$W16,IF(F18="GSK",PR!$X16,IF(F18="GLOBORG",PR!$Y16,IF(F18="GOODNEWS",PR!$Z16,IF(F18="GREENLIFE",PR!$AA16,IF(F18="HLINE",PR!$AB16,IF(F18="ROTECH",PR!$AC16,IF(F18="ISN",PR!$AD16,IF(F18="JAWA",PR!$AE16,IF(F18="LAYO",PR!$AF16,IF(F18="LEADWAY",PR!$AG16,IF(F18="LHV",PR!$AH16,IF(F18="MANOLA",PR!$AI16,IF(F18="MARCSON",PR!$AJ16,IF(F18="M&amp;B",PR!$AK16,IF(F18="MTRUST",PR!$AL16,IF(F18="MWORLD",PR!$AM16,IF(F18="MEGA",PR!$AN16,IF(F18="MICRONOVA",PR!$AO16,IF(F18="MFLASH",PR!$AP16,IF(F18="MORISON",PR!$AQ16,IF(F18="NEMEL",PR!$AR16,IF(F18="NHP",PR!$AS16,IF(F18="NHC",PR!$AT16,IF(F18="OLEAF",PR!$AU16,IF(F18="OCULUS",PR!$AV16,IF(F18="PACIFIC",PR!$AW16,IF(F18="PHAMATEX",PR!$AX16,IF(F18="PETHICS",PR!$AY16,IF(F18="PHILIPS",PR!$AZ16,IF(F18="RANBAXY",PR!$BA16,IF(F18="REALS",PR!$BB16,IF(F18="ROYAL",PR!$BC16,IF(F18="SAM",PR!$BD16,IF(F18="SEAGREEN",PR!$BE16,IF(F18="SKG",PR!$BF16,IF(F18="TAH",PR!$BG16,IF(F18="TAYLEK",PR!$BH16,IF(F18="TEMITA",PR!$BI16,IF(F18="THL",PR!$BJ16,IF(F18="UBASTIC",PR!$BK16,IF(F18="UNION",PR!$BL16,IF(F18="UNIQUE",PR!$BM16,IF(F18="VIXA",PR!$BN16,IF(F18="WWCV",PR!$BO16,IF(F18="ZOLON",PR!$BP16,"-"))))))))))))))))))))))))))))))))))))))))))))))))))))))))))))))))</f>
        <v>210</v>
      </c>
      <c r="F18" s="102" t="str">
        <f>EV!L24</f>
        <v>SAM</v>
      </c>
      <c r="G18" s="108">
        <f>IF(H18="ALPHA",PR!$E16,IF(H18="ASSENE",PR!$F16,IF(H18="BIOFEM",PR!$G16,IF(H18="BIOMED",PR!$H16,IF(H18="CHI",PR!$I16,IF(H18="CLARION",PR!$J16,IF(H18="CODIX",PR!$K16,IF(H18="COSMADE",PR!$L16,IF(H18="SANCON",PR!$M16,IF(H18="DEVON",PR!$N16,IF(H18="DORTEMAG",PR!$O16,IF(H18="DGF",PR!$P16,IF(H18="DYNAMIC",PR!$Q16,IF(H18="EMZOR",PR!$R16,IF(H18="EUMATT",PR!$S16,IF(H18="FIDSON",PR!$T16,IF(H18="FCGLOBAL",PR!$U16,IF(H18="GENEITH",PR!$V16,IF(H18="GINOS",PR!$W16,IF(H18="GSK",PR!$X16,IF(H18="GLOBORG",PR!$Y16,IF(H18="GOODNEWS",PR!$Z16,IF(H18="GREENLIFE",PR!$AA16,IF(H18="HLINE",PR!$AB16,IF(H18="ROTECH",PR!$AC16,IF(H18="ISN",PR!$AD16,IF(H18="JAWA",PR!$AE16,IF(H18="LAYO",PR!$AF16,IF(H18="LEADWAY",PR!$AG16,IF(H18="LHV",PR!$AH16,IF(H18="MANOLA",PR!$AI16,IF(H18="MARCSON",PR!$AJ16,IF(H18="M&amp;B",PR!$AK16,IF(H18="MTRUST",PR!$AL16,IF(H18="MWORLD",PR!$AM16,IF(H18="MEGA",PR!$AN16,IF(H18="MICRONOVA",PR!$AO16,IF(H18="MFLASH",PR!$AP16,IF(H18="MORISON",PR!$AQ16,IF(H18="NEMEL",PR!$AR16,IF(H18="NHP",PR!$AS16,IF(H18="NHC",PR!$AT16,IF(H18="OLEAF",PR!$AU16,IF(H18="OCULUS",PR!$AV16,IF(H18="PACIFIC",PR!$AW16,IF(H18="PHAMATEX",PR!$AX16,IF(H18="PETHICS",PR!$AY16,IF(H18="PHILIPS",PR!$AZ16,IF(H18="RANBAXY",PR!$BA16,IF(H18="REALS",PR!$BB16,IF(H18="ROYAL",PR!$BC16,IF(H18="SAM",PR!$BD16,IF(H18="SEAGREEN",PR!$BE16,IF(H18="SKG",PR!$BF16,IF(H18="TAH",PR!$BG16,IF(H18="TAYLEK",PR!$BH16,IF(H18="TEMITA",PR!$BI16,IF(H18="THL",PR!$BJ16,IF(H18="UBASTIC",PR!$BK16,IF(H18="UNION",PR!$BL16,IF(H18="UNIQUE",PR!$BM16,IF(H18="VIXA",PR!$BN16,IF(H18="WWCV",PR!$BO16,IF(H18="ZOLON",PR!$BP16,"-"))))))))))))))))))))))))))))))))))))))))))))))))))))))))))))))))</f>
        <v>230</v>
      </c>
      <c r="H18" s="102" t="str">
        <f>EV!M24</f>
        <v>CLARION</v>
      </c>
      <c r="I18" s="108">
        <f>IF(J18="ALPHA",PR!$E16,IF(J18="ASSENE",PR!$F16,IF(J18="BIOFEM",PR!$G16,IF(J18="BIOMED",PR!$H16,IF(J18="CHI",PR!$I16,IF(J18="CLARION",PR!$J16,IF(J18="CODIX",PR!$K16,IF(J18="COSMADE",PR!$L16,IF(J18="SANCON",PR!$M16,IF(J18="DEVON",PR!$N16,IF(J18="DORTEMAG",PR!$O16,IF(J18="DGF",PR!$P16,IF(J18="DYNAMIC",PR!$Q16,IF(J18="EMZOR",PR!$R16,IF(J18="EUMATT",PR!$S16,IF(J18="FIDSON",PR!$T16,IF(J18="FCGLOBAL",PR!$U16,IF(J18="GENEITH",PR!$V16,IF(J18="GINOS",PR!$W16,IF(J18="GSK",PR!$X16,IF(J18="GLOBORG",PR!$Y16,IF(J18="GOODNEWS",PR!$Z16,IF(J18="GREENLIFE",PR!$AA16,IF(J18="HLINE",PR!$AB16,IF(J18="ROTECH",PR!$AC16,IF(J18="ISN",PR!$AD16,IF(J18="JAWA",PR!$AE16,IF(J18="LAYO",PR!$AF16,IF(J18="LEADWAY",PR!$AG16,IF(J18="LHV",PR!$AH16,IF(J18="MANOLA",PR!$AI16,IF(J18="MARCSON",PR!$AJ16,IF(J18="M&amp;B",PR!$AK16,IF(J18="MTRUST",PR!$AL16,IF(J18="MWORLD",PR!$AM16,IF(J18="MEGA",PR!$AN16,IF(J18="MICRONOVA",PR!$AO16,IF(J18="MFLASH",PR!$AP16,IF(J18="MORISON",PR!$AQ16,IF(J18="NEMEL",PR!$AR16,IF(J18="NHP",PR!$AS16,IF(J18="NHC",PR!$AT16,IF(J18="OLEAF",PR!$AU16,IF(J18="OCULUS",PR!$AV16,IF(J18="PACIFIC",PR!$AW16,IF(J18="PHAMATEX",PR!$AX16,IF(J18="PETHICS",PR!$AY16,IF(J18="PHILIPS",PR!$AZ16,IF(J18="RANBAXY",PR!$BA16,IF(J18="REALS",PR!$BB16,IF(J18="ROYAL",PR!$BC16,IF(J18="SAM",PR!$BD16,IF(J18="SEAGREEN",PR!$BE16,IF(J18="SKG",PR!$BF16,IF(J18="TAH",PR!$BG16,IF(J18="TAYLEK",PR!$BH16,IF(J18="TEMITA",PR!$BI16,IF(J18="THL",PR!$BJ16,IF(J18="UBASTIC",PR!$BK16,IF(J18="UNION",PR!$BL16,IF(J18="UNIQUE",PR!$BM16,IF(J18="VIXA",PR!$BN16,IF(J18="WWCV",PR!$BO16,IF(J18="ZOLON",PR!$BP16,"-"))))))))))))))))))))))))))))))))))))))))))))))))))))))))))))))))</f>
        <v>240</v>
      </c>
      <c r="J18" s="102" t="str">
        <f>EV!N24</f>
        <v>EUMATT</v>
      </c>
      <c r="K18" s="433" t="s">
        <v>622</v>
      </c>
      <c r="L18" s="183">
        <f>IF(K18&gt;0,IF(K18="ALPHA",PR!$E16,IF(K18="ASSENE",PR!$F16,IF(K18="BIOFEM",PR!$G16,IF(K18="BIOMED",PR!$H16,IF(K18="CHI",PR!$I16,IF(K18="CLARION",PR!$J16,IF(K18="CODIX",PR!$K16,IF(K18="COSMADE",PR!$L16,IF(K18="SANCON",PR!$M16,IF(K18="DEVON",PR!$N16,IF(K18="DORTEMAG",PR!$O16,IF(K18="DGF",PR!$P16,IF(K18="DYNAMIC",PR!$Q16,IF(K18="EMZOR",PR!$R16,IF(K18="EUMATT",PR!$S16,IF(K18="FIDSON",PR!$T16,IF(K18="FCGLOBAL",PR!$U16,IF(K18="GENEITH",PR!$V16,IF(K18="GINOS",PR!$W16,IF(K18="GSK",PR!$X16,IF(K18="GLOBORG",PR!$Y16,IF(K18="GOODNEWS",PR!$Z16,IF(K18="GREENLIFE",PR!$AA16,IF(K18="HLINE",PR!$AB16,IF(K18="ROTECH",PR!$AC16,IF(K18="ISN",PR!$AD16,IF(K18="JAWA",PR!$AE16,IF(K18="LAYO",PR!$AF16,IF(K18="LEADWAY",PR!$AG16,IF(K18="LHV",PR!$AH16,IF(K18="MANOLA",PR!$AI16,IF(K18="MARCSON",PR!$AJ16,IF(K18="M&amp;B",PR!$AK16,IF(K18="MTRUST",PR!$AL16,IF(K18="MWORLD",PR!$AM16,IF(K18="MEGA",PR!$AN16,IF(K18="MICRONOVA",PR!$AO16,IF(K18="MFLASH",PR!$AP16,IF(K18="MORISON",PR!$AQ16,IF(K18="NEMEL",PR!$AR16,IF(K18="NHP",PR!$AS16,IF(K18="NHC",PR!$AT16,IF(K18="OLEAF",PR!$AU16,IF(K18="OCULUS",PR!$AV16,IF(K18="PACIFIC",PR!$AW16,IF(K18="PHAMATEX",PR!$AX16,IF(K18="PETHICS",PR!$AY16,IF(K18="PHILIPS",PR!$AZ16,IF(K18="RANBAXY",PR!$BA16,IF(K18="REALS",PR!$BB16,IF(K18="ROYAL",PR!$BC16,IF(K18="SAM",PR!$BD16,IF(K18="SEAGREEN",PR!$BE16,IF(K18="SKG",PR!$BF16,IF(K18="TAH",PR!$BG16,IF(K18="TAYLEK",PR!$BH16,IF(K18="TEMITA",PR!$BI16,IF(K18="THL",PR!$BJ16,IF(K18="UBASTIC",PR!$BK16,IF(K18="UNION",PR!$BL16,IF(K18="UNIQUE",PR!$BM16,IF(K18="VIXA",PR!$BN16,IF(K18="WWCV",PR!$BO16,IF(K18="ZOLON",PR!$BP16,"-")))))))))))))))))))))))))))))))))))))))))))))))))))))))))))))))))</f>
        <v>210</v>
      </c>
    </row>
    <row r="19" spans="1:12" ht="18.75" x14ac:dyDescent="0.3">
      <c r="A19" s="430">
        <f>PR!A17</f>
        <v>7</v>
      </c>
      <c r="B19" s="15" t="str">
        <f>PR!B17</f>
        <v>ARTEMETHER/LUMEFANTRINE (20/120) TAB DISPERSIBLE</v>
      </c>
      <c r="C19" s="113">
        <f>PR!D17</f>
        <v>6</v>
      </c>
      <c r="D19" s="113">
        <f>PR!C17</f>
        <v>600</v>
      </c>
      <c r="E19" s="108">
        <f>IF(F19="ALPHA",PR!$E17,IF(F19="ASSENE",PR!$F17,IF(F19="BIOFEM",PR!$G17,IF(F19="BIOMED",PR!$H17,IF(F19="CHI",PR!$I17,IF(F19="CLARION",PR!$J17,IF(F19="CODIX",PR!$K17,IF(F19="COSMADE",PR!$L17,IF(F19="SANCON",PR!$M17,IF(F19="DEVON",PR!$N17,IF(F19="DORTEMAG",PR!$O17,IF(F19="DGF",PR!$P17,IF(F19="DYNAMIC",PR!$Q17,IF(F19="EMZOR",PR!$R17,IF(F19="EUMATT",PR!$S17,IF(F19="FIDSON",PR!$T17,IF(F19="FCGLOBAL",PR!$U17,IF(F19="GENEITH",PR!$V17,IF(F19="GINOS",PR!$W17,IF(F19="GSK",PR!$X17,IF(F19="GLOBORG",PR!$Y17,IF(F19="GOODNEWS",PR!$Z17,IF(F19="GREENLIFE",PR!$AA17,IF(F19="HLINE",PR!$AB17,IF(F19="ROTECH",PR!$AC17,IF(F19="ISN",PR!$AD17,IF(F19="JAWA",PR!$AE17,IF(F19="LAYO",PR!$AF17,IF(F19="LEADWAY",PR!$AG17,IF(F19="LHV",PR!$AH17,IF(F19="MANOLA",PR!$AI17,IF(F19="MARCSON",PR!$AJ17,IF(F19="M&amp;B",PR!$AK17,IF(F19="MTRUST",PR!$AL17,IF(F19="MWORLD",PR!$AM17,IF(F19="MEGA",PR!$AN17,IF(F19="MICRONOVA",PR!$AO17,IF(F19="MFLASH",PR!$AP17,IF(F19="MORISON",PR!$AQ17,IF(F19="NEMEL",PR!$AR17,IF(F19="NHP",PR!$AS17,IF(F19="NHC",PR!$AT17,IF(F19="OLEAF",PR!$AU17,IF(F19="OCULUS",PR!$AV17,IF(F19="PACIFIC",PR!$AW17,IF(F19="PHAMATEX",PR!$AX17,IF(F19="PETHICS",PR!$AY17,IF(F19="PHILIPS",PR!$AZ17,IF(F19="RANBAXY",PR!$BA17,IF(F19="REALS",PR!$BB17,IF(F19="ROYAL",PR!$BC17,IF(F19="SAM",PR!$BD17,IF(F19="SEAGREEN",PR!$BE17,IF(F19="SKG",PR!$BF17,IF(F19="TAH",PR!$BG17,IF(F19="TAYLEK",PR!$BH17,IF(F19="TEMITA",PR!$BI17,IF(F19="THL",PR!$BJ17,IF(F19="UBASTIC",PR!$BK17,IF(F19="UNION",PR!$BL17,IF(F19="UNIQUE",PR!$BM17,IF(F19="VIXA",PR!$BN17,IF(F19="WWCV",PR!$BO17,IF(F19="ZOLON",PR!$BP17,"-"))))))))))))))))))))))))))))))))))))))))))))))))))))))))))))))))</f>
        <v>100</v>
      </c>
      <c r="F19" s="102" t="str">
        <f>EV!L25</f>
        <v>EMZOR</v>
      </c>
      <c r="G19" s="108">
        <f>IF(H19="ALPHA",PR!$E17,IF(H19="ASSENE",PR!$F17,IF(H19="BIOFEM",PR!$G17,IF(H19="BIOMED",PR!$H17,IF(H19="CHI",PR!$I17,IF(H19="CLARION",PR!$J17,IF(H19="CODIX",PR!$K17,IF(H19="COSMADE",PR!$L17,IF(H19="SANCON",PR!$M17,IF(H19="DEVON",PR!$N17,IF(H19="DORTEMAG",PR!$O17,IF(H19="DGF",PR!$P17,IF(H19="DYNAMIC",PR!$Q17,IF(H19="EMZOR",PR!$R17,IF(H19="EUMATT",PR!$S17,IF(H19="FIDSON",PR!$T17,IF(H19="FCGLOBAL",PR!$U17,IF(H19="GENEITH",PR!$V17,IF(H19="GINOS",PR!$W17,IF(H19="GSK",PR!$X17,IF(H19="GLOBORG",PR!$Y17,IF(H19="GOODNEWS",PR!$Z17,IF(H19="GREENLIFE",PR!$AA17,IF(H19="HLINE",PR!$AB17,IF(H19="ROTECH",PR!$AC17,IF(H19="ISN",PR!$AD17,IF(H19="JAWA",PR!$AE17,IF(H19="LAYO",PR!$AF17,IF(H19="LEADWAY",PR!$AG17,IF(H19="LHV",PR!$AH17,IF(H19="MANOLA",PR!$AI17,IF(H19="MARCSON",PR!$AJ17,IF(H19="M&amp;B",PR!$AK17,IF(H19="MTRUST",PR!$AL17,IF(H19="MWORLD",PR!$AM17,IF(H19="MEGA",PR!$AN17,IF(H19="MICRONOVA",PR!$AO17,IF(H19="MFLASH",PR!$AP17,IF(H19="MORISON",PR!$AQ17,IF(H19="NEMEL",PR!$AR17,IF(H19="NHP",PR!$AS17,IF(H19="NHC",PR!$AT17,IF(H19="OLEAF",PR!$AU17,IF(H19="OCULUS",PR!$AV17,IF(H19="PACIFIC",PR!$AW17,IF(H19="PHAMATEX",PR!$AX17,IF(H19="PETHICS",PR!$AY17,IF(H19="PHILIPS",PR!$AZ17,IF(H19="RANBAXY",PR!$BA17,IF(H19="REALS",PR!$BB17,IF(H19="ROYAL",PR!$BC17,IF(H19="SAM",PR!$BD17,IF(H19="SEAGREEN",PR!$BE17,IF(H19="SKG",PR!$BF17,IF(H19="TAH",PR!$BG17,IF(H19="TAYLEK",PR!$BH17,IF(H19="TEMITA",PR!$BI17,IF(H19="THL",PR!$BJ17,IF(H19="UBASTIC",PR!$BK17,IF(H19="UNION",PR!$BL17,IF(H19="UNIQUE",PR!$BM17,IF(H19="VIXA",PR!$BN17,IF(H19="WWCV",PR!$BO17,IF(H19="ZOLON",PR!$BP17,"-"))))))))))))))))))))))))))))))))))))))))))))))))))))))))))))))))</f>
        <v>120</v>
      </c>
      <c r="H19" s="102" t="str">
        <f>EV!M25</f>
        <v>NEMEL</v>
      </c>
      <c r="I19" s="108">
        <f>IF(J19="ALPHA",PR!$E17,IF(J19="ASSENE",PR!$F17,IF(J19="BIOFEM",PR!$G17,IF(J19="BIOMED",PR!$H17,IF(J19="CHI",PR!$I17,IF(J19="CLARION",PR!$J17,IF(J19="CODIX",PR!$K17,IF(J19="COSMADE",PR!$L17,IF(J19="SANCON",PR!$M17,IF(J19="DEVON",PR!$N17,IF(J19="DORTEMAG",PR!$O17,IF(J19="DGF",PR!$P17,IF(J19="DYNAMIC",PR!$Q17,IF(J19="EMZOR",PR!$R17,IF(J19="EUMATT",PR!$S17,IF(J19="FIDSON",PR!$T17,IF(J19="FCGLOBAL",PR!$U17,IF(J19="GENEITH",PR!$V17,IF(J19="GINOS",PR!$W17,IF(J19="GSK",PR!$X17,IF(J19="GLOBORG",PR!$Y17,IF(J19="GOODNEWS",PR!$Z17,IF(J19="GREENLIFE",PR!$AA17,IF(J19="HLINE",PR!$AB17,IF(J19="ROTECH",PR!$AC17,IF(J19="ISN",PR!$AD17,IF(J19="JAWA",PR!$AE17,IF(J19="LAYO",PR!$AF17,IF(J19="LEADWAY",PR!$AG17,IF(J19="LHV",PR!$AH17,IF(J19="MANOLA",PR!$AI17,IF(J19="MARCSON",PR!$AJ17,IF(J19="M&amp;B",PR!$AK17,IF(J19="MTRUST",PR!$AL17,IF(J19="MWORLD",PR!$AM17,IF(J19="MEGA",PR!$AN17,IF(J19="MICRONOVA",PR!$AO17,IF(J19="MFLASH",PR!$AP17,IF(J19="MORISON",PR!$AQ17,IF(J19="NEMEL",PR!$AR17,IF(J19="NHP",PR!$AS17,IF(J19="NHC",PR!$AT17,IF(J19="OLEAF",PR!$AU17,IF(J19="OCULUS",PR!$AV17,IF(J19="PACIFIC",PR!$AW17,IF(J19="PHAMATEX",PR!$AX17,IF(J19="PETHICS",PR!$AY17,IF(J19="PHILIPS",PR!$AZ17,IF(J19="RANBAXY",PR!$BA17,IF(J19="REALS",PR!$BB17,IF(J19="ROYAL",PR!$BC17,IF(J19="SAM",PR!$BD17,IF(J19="SEAGREEN",PR!$BE17,IF(J19="SKG",PR!$BF17,IF(J19="TAH",PR!$BG17,IF(J19="TAYLEK",PR!$BH17,IF(J19="TEMITA",PR!$BI17,IF(J19="THL",PR!$BJ17,IF(J19="UBASTIC",PR!$BK17,IF(J19="UNION",PR!$BL17,IF(J19="UNIQUE",PR!$BM17,IF(J19="VIXA",PR!$BN17,IF(J19="WWCV",PR!$BO17,IF(J19="ZOLON",PR!$BP17,"-"))))))))))))))))))))))))))))))))))))))))))))))))))))))))))))))))</f>
        <v>125</v>
      </c>
      <c r="J19" s="102" t="str">
        <f>EV!N25</f>
        <v>PETHICS</v>
      </c>
      <c r="K19" s="433" t="s">
        <v>614</v>
      </c>
      <c r="L19" s="183">
        <f>IF(K19&gt;0,IF(K19="ALPHA",PR!$E17,IF(K19="ASSENE",PR!$F17,IF(K19="BIOFEM",PR!$G17,IF(K19="BIOMED",PR!$H17,IF(K19="CHI",PR!$I17,IF(K19="CLARION",PR!$J17,IF(K19="CODIX",PR!$K17,IF(K19="COSMADE",PR!$L17,IF(K19="SANCON",PR!$M17,IF(K19="DEVON",PR!$N17,IF(K19="DORTEMAG",PR!$O17,IF(K19="DGF",PR!$P17,IF(K19="DYNAMIC",PR!$Q17,IF(K19="EMZOR",PR!$R17,IF(K19="EUMATT",PR!$S17,IF(K19="FIDSON",PR!$T17,IF(K19="FCGLOBAL",PR!$U17,IF(K19="GENEITH",PR!$V17,IF(K19="GINOS",PR!$W17,IF(K19="GSK",PR!$X17,IF(K19="GLOBORG",PR!$Y17,IF(K19="GOODNEWS",PR!$Z17,IF(K19="GREENLIFE",PR!$AA17,IF(K19="HLINE",PR!$AB17,IF(K19="ROTECH",PR!$AC17,IF(K19="ISN",PR!$AD17,IF(K19="JAWA",PR!$AE17,IF(K19="LAYO",PR!$AF17,IF(K19="LEADWAY",PR!$AG17,IF(K19="LHV",PR!$AH17,IF(K19="MANOLA",PR!$AI17,IF(K19="MARCSON",PR!$AJ17,IF(K19="M&amp;B",PR!$AK17,IF(K19="MTRUST",PR!$AL17,IF(K19="MWORLD",PR!$AM17,IF(K19="MEGA",PR!$AN17,IF(K19="MICRONOVA",PR!$AO17,IF(K19="MFLASH",PR!$AP17,IF(K19="MORISON",PR!$AQ17,IF(K19="NEMEL",PR!$AR17,IF(K19="NHP",PR!$AS17,IF(K19="NHC",PR!$AT17,IF(K19="OLEAF",PR!$AU17,IF(K19="OCULUS",PR!$AV17,IF(K19="PACIFIC",PR!$AW17,IF(K19="PHAMATEX",PR!$AX17,IF(K19="PETHICS",PR!$AY17,IF(K19="PHILIPS",PR!$AZ17,IF(K19="RANBAXY",PR!$BA17,IF(K19="REALS",PR!$BB17,IF(K19="ROYAL",PR!$BC17,IF(K19="SAM",PR!$BD17,IF(K19="SEAGREEN",PR!$BE17,IF(K19="SKG",PR!$BF17,IF(K19="TAH",PR!$BG17,IF(K19="TAYLEK",PR!$BH17,IF(K19="TEMITA",PR!$BI17,IF(K19="THL",PR!$BJ17,IF(K19="UBASTIC",PR!$BK17,IF(K19="UNION",PR!$BL17,IF(K19="UNIQUE",PR!$BM17,IF(K19="VIXA",PR!$BN17,IF(K19="WWCV",PR!$BO17,IF(K19="ZOLON",PR!$BP17,"-")))))))))))))))))))))))))))))))))))))))))))))))))))))))))))))))))</f>
        <v>100</v>
      </c>
    </row>
    <row r="20" spans="1:12" ht="18.75" x14ac:dyDescent="0.3">
      <c r="A20" s="430">
        <f>PR!A18</f>
        <v>8</v>
      </c>
      <c r="B20" s="15" t="str">
        <f>PR!B18</f>
        <v>ARTEMETHER/LUMEFANTRINE (80/480) TAB</v>
      </c>
      <c r="C20" s="113">
        <f>PR!D18</f>
        <v>6</v>
      </c>
      <c r="D20" s="113">
        <f>PR!C18</f>
        <v>4000</v>
      </c>
      <c r="E20" s="108">
        <f>IF(F20="ALPHA",PR!$E18,IF(F20="ASSENE",PR!$F18,IF(F20="BIOFEM",PR!$G18,IF(F20="BIOMED",PR!$H18,IF(F20="CHI",PR!$I18,IF(F20="CLARION",PR!$J18,IF(F20="CODIX",PR!$K18,IF(F20="COSMADE",PR!$L18,IF(F20="SANCON",PR!$M18,IF(F20="DEVON",PR!$N18,IF(F20="DORTEMAG",PR!$O18,IF(F20="DGF",PR!$P18,IF(F20="DYNAMIC",PR!$Q18,IF(F20="EMZOR",PR!$R18,IF(F20="EUMATT",PR!$S18,IF(F20="FIDSON",PR!$T18,IF(F20="FCGLOBAL",PR!$U18,IF(F20="GENEITH",PR!$V18,IF(F20="GINOS",PR!$W18,IF(F20="GSK",PR!$X18,IF(F20="GLOBORG",PR!$Y18,IF(F20="GOODNEWS",PR!$Z18,IF(F20="GREENLIFE",PR!$AA18,IF(F20="HLINE",PR!$AB18,IF(F20="ROTECH",PR!$AC18,IF(F20="ISN",PR!$AD18,IF(F20="JAWA",PR!$AE18,IF(F20="LAYO",PR!$AF18,IF(F20="LEADWAY",PR!$AG18,IF(F20="LHV",PR!$AH18,IF(F20="MANOLA",PR!$AI18,IF(F20="MARCSON",PR!$AJ18,IF(F20="M&amp;B",PR!$AK18,IF(F20="MTRUST",PR!$AL18,IF(F20="MWORLD",PR!$AM18,IF(F20="MEGA",PR!$AN18,IF(F20="MICRONOVA",PR!$AO18,IF(F20="MFLASH",PR!$AP18,IF(F20="MORISON",PR!$AQ18,IF(F20="NEMEL",PR!$AR18,IF(F20="NHP",PR!$AS18,IF(F20="NHC",PR!$AT18,IF(F20="OLEAF",PR!$AU18,IF(F20="OCULUS",PR!$AV18,IF(F20="PACIFIC",PR!$AW18,IF(F20="PHAMATEX",PR!$AX18,IF(F20="PETHICS",PR!$AY18,IF(F20="PHILIPS",PR!$AZ18,IF(F20="RANBAXY",PR!$BA18,IF(F20="REALS",PR!$BB18,IF(F20="ROYAL",PR!$BC18,IF(F20="SAM",PR!$BD18,IF(F20="SEAGREEN",PR!$BE18,IF(F20="SKG",PR!$BF18,IF(F20="TAH",PR!$BG18,IF(F20="TAYLEK",PR!$BH18,IF(F20="TEMITA",PR!$BI18,IF(F20="THL",PR!$BJ18,IF(F20="UBASTIC",PR!$BK18,IF(F20="UNION",PR!$BL18,IF(F20="UNIQUE",PR!$BM18,IF(F20="VIXA",PR!$BN18,IF(F20="WWCV",PR!$BO18,IF(F20="ZOLON",PR!$BP18,"-"))))))))))))))))))))))))))))))))))))))))))))))))))))))))))))))))</f>
        <v>260</v>
      </c>
      <c r="F20" s="102" t="str">
        <f>EV!L26</f>
        <v>CLARION</v>
      </c>
      <c r="G20" s="108">
        <f>IF(H20="ALPHA",PR!$E18,IF(H20="ASSENE",PR!$F18,IF(H20="BIOFEM",PR!$G18,IF(H20="BIOMED",PR!$H18,IF(H20="CHI",PR!$I18,IF(H20="CLARION",PR!$J18,IF(H20="CODIX",PR!$K18,IF(H20="COSMADE",PR!$L18,IF(H20="SANCON",PR!$M18,IF(H20="DEVON",PR!$N18,IF(H20="DORTEMAG",PR!$O18,IF(H20="DGF",PR!$P18,IF(H20="DYNAMIC",PR!$Q18,IF(H20="EMZOR",PR!$R18,IF(H20="EUMATT",PR!$S18,IF(H20="FIDSON",PR!$T18,IF(H20="FCGLOBAL",PR!$U18,IF(H20="GENEITH",PR!$V18,IF(H20="GINOS",PR!$W18,IF(H20="GSK",PR!$X18,IF(H20="GLOBORG",PR!$Y18,IF(H20="GOODNEWS",PR!$Z18,IF(H20="GREENLIFE",PR!$AA18,IF(H20="HLINE",PR!$AB18,IF(H20="ROTECH",PR!$AC18,IF(H20="ISN",PR!$AD18,IF(H20="JAWA",PR!$AE18,IF(H20="LAYO",PR!$AF18,IF(H20="LEADWAY",PR!$AG18,IF(H20="LHV",PR!$AH18,IF(H20="MANOLA",PR!$AI18,IF(H20="MARCSON",PR!$AJ18,IF(H20="M&amp;B",PR!$AK18,IF(H20="MTRUST",PR!$AL18,IF(H20="MWORLD",PR!$AM18,IF(H20="MEGA",PR!$AN18,IF(H20="MICRONOVA",PR!$AO18,IF(H20="MFLASH",PR!$AP18,IF(H20="MORISON",PR!$AQ18,IF(H20="NEMEL",PR!$AR18,IF(H20="NHP",PR!$AS18,IF(H20="NHC",PR!$AT18,IF(H20="OLEAF",PR!$AU18,IF(H20="OCULUS",PR!$AV18,IF(H20="PACIFIC",PR!$AW18,IF(H20="PHAMATEX",PR!$AX18,IF(H20="PETHICS",PR!$AY18,IF(H20="PHILIPS",PR!$AZ18,IF(H20="RANBAXY",PR!$BA18,IF(H20="REALS",PR!$BB18,IF(H20="ROYAL",PR!$BC18,IF(H20="SAM",PR!$BD18,IF(H20="SEAGREEN",PR!$BE18,IF(H20="SKG",PR!$BF18,IF(H20="TAH",PR!$BG18,IF(H20="TAYLEK",PR!$BH18,IF(H20="TEMITA",PR!$BI18,IF(H20="THL",PR!$BJ18,IF(H20="UBASTIC",PR!$BK18,IF(H20="UNION",PR!$BL18,IF(H20="UNIQUE",PR!$BM18,IF(H20="VIXA",PR!$BN18,IF(H20="WWCV",PR!$BO18,IF(H20="ZOLON",PR!$BP18,"-"))))))))))))))))))))))))))))))))))))))))))))))))))))))))))))))))</f>
        <v>260</v>
      </c>
      <c r="H20" s="102" t="str">
        <f>EV!M26</f>
        <v>NEMEL</v>
      </c>
      <c r="I20" s="108">
        <f>IF(J20="ALPHA",PR!$E18,IF(J20="ASSENE",PR!$F18,IF(J20="BIOFEM",PR!$G18,IF(J20="BIOMED",PR!$H18,IF(J20="CHI",PR!$I18,IF(J20="CLARION",PR!$J18,IF(J20="CODIX",PR!$K18,IF(J20="COSMADE",PR!$L18,IF(J20="SANCON",PR!$M18,IF(J20="DEVON",PR!$N18,IF(J20="DORTEMAG",PR!$O18,IF(J20="DGF",PR!$P18,IF(J20="DYNAMIC",PR!$Q18,IF(J20="EMZOR",PR!$R18,IF(J20="EUMATT",PR!$S18,IF(J20="FIDSON",PR!$T18,IF(J20="FCGLOBAL",PR!$U18,IF(J20="GENEITH",PR!$V18,IF(J20="GINOS",PR!$W18,IF(J20="GSK",PR!$X18,IF(J20="GLOBORG",PR!$Y18,IF(J20="GOODNEWS",PR!$Z18,IF(J20="GREENLIFE",PR!$AA18,IF(J20="HLINE",PR!$AB18,IF(J20="ROTECH",PR!$AC18,IF(J20="ISN",PR!$AD18,IF(J20="JAWA",PR!$AE18,IF(J20="LAYO",PR!$AF18,IF(J20="LEADWAY",PR!$AG18,IF(J20="LHV",PR!$AH18,IF(J20="MANOLA",PR!$AI18,IF(J20="MARCSON",PR!$AJ18,IF(J20="M&amp;B",PR!$AK18,IF(J20="MTRUST",PR!$AL18,IF(J20="MWORLD",PR!$AM18,IF(J20="MEGA",PR!$AN18,IF(J20="MICRONOVA",PR!$AO18,IF(J20="MFLASH",PR!$AP18,IF(J20="MORISON",PR!$AQ18,IF(J20="NEMEL",PR!$AR18,IF(J20="NHP",PR!$AS18,IF(J20="NHC",PR!$AT18,IF(J20="OLEAF",PR!$AU18,IF(J20="OCULUS",PR!$AV18,IF(J20="PACIFIC",PR!$AW18,IF(J20="PHAMATEX",PR!$AX18,IF(J20="PETHICS",PR!$AY18,IF(J20="PHILIPS",PR!$AZ18,IF(J20="RANBAXY",PR!$BA18,IF(J20="REALS",PR!$BB18,IF(J20="ROYAL",PR!$BC18,IF(J20="SAM",PR!$BD18,IF(J20="SEAGREEN",PR!$BE18,IF(J20="SKG",PR!$BF18,IF(J20="TAH",PR!$BG18,IF(J20="TAYLEK",PR!$BH18,IF(J20="TEMITA",PR!$BI18,IF(J20="THL",PR!$BJ18,IF(J20="UBASTIC",PR!$BK18,IF(J20="UNION",PR!$BL18,IF(J20="UNIQUE",PR!$BM18,IF(J20="VIXA",PR!$BN18,IF(J20="WWCV",PR!$BO18,IF(J20="ZOLON",PR!$BP18,"-"))))))))))))))))))))))))))))))))))))))))))))))))))))))))))))))))</f>
        <v>260</v>
      </c>
      <c r="J20" s="102" t="str">
        <f>EV!N26</f>
        <v>THL</v>
      </c>
      <c r="K20" s="433" t="s">
        <v>2083</v>
      </c>
      <c r="L20" s="183" t="str">
        <f>IF(K20&gt;0,IF(K20="ALPHA",PR!$E18,IF(K20="ASSENE",PR!$F18,IF(K20="BIOFEM",PR!$G18,IF(K20="BIOMED",PR!$H18,IF(K20="CHI",PR!$I18,IF(K20="CLARION",PR!$J18,IF(K20="CODIX",PR!$K18,IF(K20="COSMADE",PR!$L18,IF(K20="SANCON",PR!$M18,IF(K20="DEVON",PR!$N18,IF(K20="DORTEMAG",PR!$O18,IF(K20="DGF",PR!$P18,IF(K20="DYNAMIC",PR!$Q18,IF(K20="EMZOR",PR!$R18,IF(K20="EUMATT",PR!$S18,IF(K20="FIDSON",PR!$T18,IF(K20="FCGLOBAL",PR!$U18,IF(K20="GENEITH",PR!$V18,IF(K20="GINOS",PR!$W18,IF(K20="GSK",PR!$X18,IF(K20="GLOBORG",PR!$Y18,IF(K20="GOODNEWS",PR!$Z18,IF(K20="GREENLIFE",PR!$AA18,IF(K20="HLINE",PR!$AB18,IF(K20="ROTECH",PR!$AC18,IF(K20="ISN",PR!$AD18,IF(K20="JAWA",PR!$AE18,IF(K20="LAYO",PR!$AF18,IF(K20="LEADWAY",PR!$AG18,IF(K20="LHV",PR!$AH18,IF(K20="MANOLA",PR!$AI18,IF(K20="MARCSON",PR!$AJ18,IF(K20="M&amp;B",PR!$AK18,IF(K20="MTRUST",PR!$AL18,IF(K20="MWORLD",PR!$AM18,IF(K20="MEGA",PR!$AN18,IF(K20="MICRONOVA",PR!$AO18,IF(K20="MFLASH",PR!$AP18,IF(K20="MORISON",PR!$AQ18,IF(K20="NEMEL",PR!$AR18,IF(K20="NHP",PR!$AS18,IF(K20="NHC",PR!$AT18,IF(K20="OLEAF",PR!$AU18,IF(K20="OCULUS",PR!$AV18,IF(K20="PACIFIC",PR!$AW18,IF(K20="PHAMATEX",PR!$AX18,IF(K20="PETHICS",PR!$AY18,IF(K20="PHILIPS",PR!$AZ18,IF(K20="RANBAXY",PR!$BA18,IF(K20="REALS",PR!$BB18,IF(K20="ROYAL",PR!$BC18,IF(K20="SAM",PR!$BD18,IF(K20="SEAGREEN",PR!$BE18,IF(K20="SKG",PR!$BF18,IF(K20="TAH",PR!$BG18,IF(K20="TAYLEK",PR!$BH18,IF(K20="TEMITA",PR!$BI18,IF(K20="THL",PR!$BJ18,IF(K20="UBASTIC",PR!$BK18,IF(K20="UNION",PR!$BL18,IF(K20="UNIQUE",PR!$BM18,IF(K20="VIXA",PR!$BN18,IF(K20="WWCV",PR!$BO18,IF(K20="ZOLON",PR!$BP18,"-")))))))))))))))))))))))))))))))))))))))))))))))))))))))))))))))))</f>
        <v>-</v>
      </c>
    </row>
    <row r="21" spans="1:12" ht="18.75" x14ac:dyDescent="0.3">
      <c r="A21" s="430">
        <f>PR!A19</f>
        <v>9</v>
      </c>
      <c r="B21" s="15" t="str">
        <f>PR!B19</f>
        <v>ARTEROLANE + PIPERAQUINE</v>
      </c>
      <c r="C21" s="113">
        <f>PR!D19</f>
        <v>10</v>
      </c>
      <c r="D21" s="113">
        <f>PR!C19</f>
        <v>20</v>
      </c>
      <c r="E21" s="108">
        <f>IF(F21="ALPHA",PR!$E19,IF(F21="ASSENE",PR!$F19,IF(F21="BIOFEM",PR!$G19,IF(F21="BIOMED",PR!$H19,IF(F21="CHI",PR!$I19,IF(F21="CLARION",PR!$J19,IF(F21="CODIX",PR!$K19,IF(F21="COSMADE",PR!$L19,IF(F21="SANCON",PR!$M19,IF(F21="DEVON",PR!$N19,IF(F21="DORTEMAG",PR!$O19,IF(F21="DGF",PR!$P19,IF(F21="DYNAMIC",PR!$Q19,IF(F21="EMZOR",PR!$R19,IF(F21="EUMATT",PR!$S19,IF(F21="FIDSON",PR!$T19,IF(F21="FCGLOBAL",PR!$U19,IF(F21="GENEITH",PR!$V19,IF(F21="GINOS",PR!$W19,IF(F21="GSK",PR!$X19,IF(F21="GLOBORG",PR!$Y19,IF(F21="GOODNEWS",PR!$Z19,IF(F21="GREENLIFE",PR!$AA19,IF(F21="HLINE",PR!$AB19,IF(F21="ROTECH",PR!$AC19,IF(F21="ISN",PR!$AD19,IF(F21="JAWA",PR!$AE19,IF(F21="LAYO",PR!$AF19,IF(F21="LEADWAY",PR!$AG19,IF(F21="LHV",PR!$AH19,IF(F21="MANOLA",PR!$AI19,IF(F21="MARCSON",PR!$AJ19,IF(F21="M&amp;B",PR!$AK19,IF(F21="MTRUST",PR!$AL19,IF(F21="MWORLD",PR!$AM19,IF(F21="MEGA",PR!$AN19,IF(F21="MICRONOVA",PR!$AO19,IF(F21="MFLASH",PR!$AP19,IF(F21="MORISON",PR!$AQ19,IF(F21="NEMEL",PR!$AR19,IF(F21="NHP",PR!$AS19,IF(F21="NHC",PR!$AT19,IF(F21="OLEAF",PR!$AU19,IF(F21="OCULUS",PR!$AV19,IF(F21="PACIFIC",PR!$AW19,IF(F21="PHAMATEX",PR!$AX19,IF(F21="PETHICS",PR!$AY19,IF(F21="PHILIPS",PR!$AZ19,IF(F21="RANBAXY",PR!$BA19,IF(F21="REALS",PR!$BB19,IF(F21="ROYAL",PR!$BC19,IF(F21="SAM",PR!$BD19,IF(F21="SEAGREEN",PR!$BE19,IF(F21="SKG",PR!$BF19,IF(F21="TAH",PR!$BG19,IF(F21="TAYLEK",PR!$BH19,IF(F21="TEMITA",PR!$BI19,IF(F21="THL",PR!$BJ19,IF(F21="UBASTIC",PR!$BK19,IF(F21="UNION",PR!$BL19,IF(F21="UNIQUE",PR!$BM19,IF(F21="VIXA",PR!$BN19,IF(F21="WWCV",PR!$BO19,IF(F21="ZOLON",PR!$BP19,"-"))))))))))))))))))))))))))))))))))))))))))))))))))))))))))))))))</f>
        <v>8650</v>
      </c>
      <c r="F21" s="102" t="str">
        <f>EV!L27</f>
        <v>RANBAXY</v>
      </c>
      <c r="G21" s="108" t="str">
        <f>IF(H21="ALPHA",PR!$E19,IF(H21="ASSENE",PR!$F19,IF(H21="BIOFEM",PR!$G19,IF(H21="BIOMED",PR!$H19,IF(H21="CHI",PR!$I19,IF(H21="CLARION",PR!$J19,IF(H21="CODIX",PR!$K19,IF(H21="COSMADE",PR!$L19,IF(H21="SANCON",PR!$M19,IF(H21="DEVON",PR!$N19,IF(H21="DORTEMAG",PR!$O19,IF(H21="DGF",PR!$P19,IF(H21="DYNAMIC",PR!$Q19,IF(H21="EMZOR",PR!$R19,IF(H21="EUMATT",PR!$S19,IF(H21="FIDSON",PR!$T19,IF(H21="FCGLOBAL",PR!$U19,IF(H21="GENEITH",PR!$V19,IF(H21="GINOS",PR!$W19,IF(H21="GSK",PR!$X19,IF(H21="GLOBORG",PR!$Y19,IF(H21="GOODNEWS",PR!$Z19,IF(H21="GREENLIFE",PR!$AA19,IF(H21="HLINE",PR!$AB19,IF(H21="ROTECH",PR!$AC19,IF(H21="ISN",PR!$AD19,IF(H21="JAWA",PR!$AE19,IF(H21="LAYO",PR!$AF19,IF(H21="LEADWAY",PR!$AG19,IF(H21="LHV",PR!$AH19,IF(H21="MANOLA",PR!$AI19,IF(H21="MARCSON",PR!$AJ19,IF(H21="M&amp;B",PR!$AK19,IF(H21="MTRUST",PR!$AL19,IF(H21="MWORLD",PR!$AM19,IF(H21="MEGA",PR!$AN19,IF(H21="MICRONOVA",PR!$AO19,IF(H21="MFLASH",PR!$AP19,IF(H21="MORISON",PR!$AQ19,IF(H21="NEMEL",PR!$AR19,IF(H21="NHP",PR!$AS19,IF(H21="NHC",PR!$AT19,IF(H21="OLEAF",PR!$AU19,IF(H21="OCULUS",PR!$AV19,IF(H21="PACIFIC",PR!$AW19,IF(H21="PHAMATEX",PR!$AX19,IF(H21="PETHICS",PR!$AY19,IF(H21="PHILIPS",PR!$AZ19,IF(H21="RANBAXY",PR!$BA19,IF(H21="REALS",PR!$BB19,IF(H21="ROYAL",PR!$BC19,IF(H21="SAM",PR!$BD19,IF(H21="SEAGREEN",PR!$BE19,IF(H21="SKG",PR!$BF19,IF(H21="TAH",PR!$BG19,IF(H21="TAYLEK",PR!$BH19,IF(H21="TEMITA",PR!$BI19,IF(H21="THL",PR!$BJ19,IF(H21="UBASTIC",PR!$BK19,IF(H21="UNION",PR!$BL19,IF(H21="UNIQUE",PR!$BM19,IF(H21="VIXA",PR!$BN19,IF(H21="WWCV",PR!$BO19,IF(H21="ZOLON",PR!$BP19,"-"))))))))))))))))))))))))))))))))))))))))))))))))))))))))))))))))</f>
        <v>-</v>
      </c>
      <c r="H21" s="102">
        <f>EV!M27</f>
        <v>0</v>
      </c>
      <c r="I21" s="108" t="str">
        <f>IF(J21="ALPHA",PR!$E19,IF(J21="ASSENE",PR!$F19,IF(J21="BIOFEM",PR!$G19,IF(J21="BIOMED",PR!$H19,IF(J21="CHI",PR!$I19,IF(J21="CLARION",PR!$J19,IF(J21="CODIX",PR!$K19,IF(J21="COSMADE",PR!$L19,IF(J21="SANCON",PR!$M19,IF(J21="DEVON",PR!$N19,IF(J21="DORTEMAG",PR!$O19,IF(J21="DGF",PR!$P19,IF(J21="DYNAMIC",PR!$Q19,IF(J21="EMZOR",PR!$R19,IF(J21="EUMATT",PR!$S19,IF(J21="FIDSON",PR!$T19,IF(J21="FCGLOBAL",PR!$U19,IF(J21="GENEITH",PR!$V19,IF(J21="GINOS",PR!$W19,IF(J21="GSK",PR!$X19,IF(J21="GLOBORG",PR!$Y19,IF(J21="GOODNEWS",PR!$Z19,IF(J21="GREENLIFE",PR!$AA19,IF(J21="HLINE",PR!$AB19,IF(J21="ROTECH",PR!$AC19,IF(J21="ISN",PR!$AD19,IF(J21="JAWA",PR!$AE19,IF(J21="LAYO",PR!$AF19,IF(J21="LEADWAY",PR!$AG19,IF(J21="LHV",PR!$AH19,IF(J21="MANOLA",PR!$AI19,IF(J21="MARCSON",PR!$AJ19,IF(J21="M&amp;B",PR!$AK19,IF(J21="MTRUST",PR!$AL19,IF(J21="MWORLD",PR!$AM19,IF(J21="MEGA",PR!$AN19,IF(J21="MICRONOVA",PR!$AO19,IF(J21="MFLASH",PR!$AP19,IF(J21="MORISON",PR!$AQ19,IF(J21="NEMEL",PR!$AR19,IF(J21="NHP",PR!$AS19,IF(J21="NHC",PR!$AT19,IF(J21="OLEAF",PR!$AU19,IF(J21="OCULUS",PR!$AV19,IF(J21="PACIFIC",PR!$AW19,IF(J21="PHAMATEX",PR!$AX19,IF(J21="PETHICS",PR!$AY19,IF(J21="PHILIPS",PR!$AZ19,IF(J21="RANBAXY",PR!$BA19,IF(J21="REALS",PR!$BB19,IF(J21="ROYAL",PR!$BC19,IF(J21="SAM",PR!$BD19,IF(J21="SEAGREEN",PR!$BE19,IF(J21="SKG",PR!$BF19,IF(J21="TAH",PR!$BG19,IF(J21="TAYLEK",PR!$BH19,IF(J21="TEMITA",PR!$BI19,IF(J21="THL",PR!$BJ19,IF(J21="UBASTIC",PR!$BK19,IF(J21="UNION",PR!$BL19,IF(J21="UNIQUE",PR!$BM19,IF(J21="VIXA",PR!$BN19,IF(J21="WWCV",PR!$BO19,IF(J21="ZOLON",PR!$BP19,"-"))))))))))))))))))))))))))))))))))))))))))))))))))))))))))))))))</f>
        <v>-</v>
      </c>
      <c r="J21" s="102">
        <f>EV!N27</f>
        <v>0</v>
      </c>
      <c r="K21" s="433" t="s">
        <v>636</v>
      </c>
      <c r="L21" s="183">
        <f>IF(K21&gt;0,IF(K21="ALPHA",PR!$E19,IF(K21="ASSENE",PR!$F19,IF(K21="BIOFEM",PR!$G19,IF(K21="BIOMED",PR!$H19,IF(K21="CHI",PR!$I19,IF(K21="CLARION",PR!$J19,IF(K21="CODIX",PR!$K19,IF(K21="COSMADE",PR!$L19,IF(K21="SANCON",PR!$M19,IF(K21="DEVON",PR!$N19,IF(K21="DORTEMAG",PR!$O19,IF(K21="DGF",PR!$P19,IF(K21="DYNAMIC",PR!$Q19,IF(K21="EMZOR",PR!$R19,IF(K21="EUMATT",PR!$S19,IF(K21="FIDSON",PR!$T19,IF(K21="FCGLOBAL",PR!$U19,IF(K21="GENEITH",PR!$V19,IF(K21="GINOS",PR!$W19,IF(K21="GSK",PR!$X19,IF(K21="GLOBORG",PR!$Y19,IF(K21="GOODNEWS",PR!$Z19,IF(K21="GREENLIFE",PR!$AA19,IF(K21="HLINE",PR!$AB19,IF(K21="ROTECH",PR!$AC19,IF(K21="ISN",PR!$AD19,IF(K21="JAWA",PR!$AE19,IF(K21="LAYO",PR!$AF19,IF(K21="LEADWAY",PR!$AG19,IF(K21="LHV",PR!$AH19,IF(K21="MANOLA",PR!$AI19,IF(K21="MARCSON",PR!$AJ19,IF(K21="M&amp;B",PR!$AK19,IF(K21="MTRUST",PR!$AL19,IF(K21="MWORLD",PR!$AM19,IF(K21="MEGA",PR!$AN19,IF(K21="MICRONOVA",PR!$AO19,IF(K21="MFLASH",PR!$AP19,IF(K21="MORISON",PR!$AQ19,IF(K21="NEMEL",PR!$AR19,IF(K21="NHP",PR!$AS19,IF(K21="NHC",PR!$AT19,IF(K21="OLEAF",PR!$AU19,IF(K21="OCULUS",PR!$AV19,IF(K21="PACIFIC",PR!$AW19,IF(K21="PHAMATEX",PR!$AX19,IF(K21="PETHICS",PR!$AY19,IF(K21="PHILIPS",PR!$AZ19,IF(K21="RANBAXY",PR!$BA19,IF(K21="REALS",PR!$BB19,IF(K21="ROYAL",PR!$BC19,IF(K21="SAM",PR!$BD19,IF(K21="SEAGREEN",PR!$BE19,IF(K21="SKG",PR!$BF19,IF(K21="TAH",PR!$BG19,IF(K21="TAYLEK",PR!$BH19,IF(K21="TEMITA",PR!$BI19,IF(K21="THL",PR!$BJ19,IF(K21="UBASTIC",PR!$BK19,IF(K21="UNION",PR!$BL19,IF(K21="UNIQUE",PR!$BM19,IF(K21="VIXA",PR!$BN19,IF(K21="WWCV",PR!$BO19,IF(K21="ZOLON",PR!$BP19,"-")))))))))))))))))))))))))))))))))))))))))))))))))))))))))))))))))</f>
        <v>8650</v>
      </c>
    </row>
    <row r="22" spans="1:12" ht="18.75" x14ac:dyDescent="0.3">
      <c r="A22" s="430">
        <f>PR!A20</f>
        <v>10</v>
      </c>
      <c r="B22" s="15" t="str">
        <f>PR!B20</f>
        <v>ARTESUNATE 60MG INJ</v>
      </c>
      <c r="C22" s="113">
        <f>PR!D20</f>
        <v>6</v>
      </c>
      <c r="D22" s="113">
        <f>PR!C20</f>
        <v>750</v>
      </c>
      <c r="E22" s="108">
        <f>IF(F22="ALPHA",PR!$E20,IF(F22="ASSENE",PR!$F20,IF(F22="BIOFEM",PR!$G20,IF(F22="BIOMED",PR!$H20,IF(F22="CHI",PR!$I20,IF(F22="CLARION",PR!$J20,IF(F22="CODIX",PR!$K20,IF(F22="COSMADE",PR!$L20,IF(F22="SANCON",PR!$M20,IF(F22="DEVON",PR!$N20,IF(F22="DORTEMAG",PR!$O20,IF(F22="DGF",PR!$P20,IF(F22="DYNAMIC",PR!$Q20,IF(F22="EMZOR",PR!$R20,IF(F22="EUMATT",PR!$S20,IF(F22="FIDSON",PR!$T20,IF(F22="FCGLOBAL",PR!$U20,IF(F22="GENEITH",PR!$V20,IF(F22="GINOS",PR!$W20,IF(F22="GSK",PR!$X20,IF(F22="GLOBORG",PR!$Y20,IF(F22="GOODNEWS",PR!$Z20,IF(F22="GREENLIFE",PR!$AA20,IF(F22="HLINE",PR!$AB20,IF(F22="ROTECH",PR!$AC20,IF(F22="ISN",PR!$AD20,IF(F22="JAWA",PR!$AE20,IF(F22="LAYO",PR!$AF20,IF(F22="LEADWAY",PR!$AG20,IF(F22="LHV",PR!$AH20,IF(F22="MANOLA",PR!$AI20,IF(F22="MARCSON",PR!$AJ20,IF(F22="M&amp;B",PR!$AK20,IF(F22="MTRUST",PR!$AL20,IF(F22="MWORLD",PR!$AM20,IF(F22="MEGA",PR!$AN20,IF(F22="MICRONOVA",PR!$AO20,IF(F22="MFLASH",PR!$AP20,IF(F22="MORISON",PR!$AQ20,IF(F22="NEMEL",PR!$AR20,IF(F22="NHP",PR!$AS20,IF(F22="NHC",PR!$AT20,IF(F22="OLEAF",PR!$AU20,IF(F22="OCULUS",PR!$AV20,IF(F22="PACIFIC",PR!$AW20,IF(F22="PHAMATEX",PR!$AX20,IF(F22="PETHICS",PR!$AY20,IF(F22="PHILIPS",PR!$AZ20,IF(F22="RANBAXY",PR!$BA20,IF(F22="REALS",PR!$BB20,IF(F22="ROYAL",PR!$BC20,IF(F22="SAM",PR!$BD20,IF(F22="SEAGREEN",PR!$BE20,IF(F22="SKG",PR!$BF20,IF(F22="TAH",PR!$BG20,IF(F22="TAYLEK",PR!$BH20,IF(F22="TEMITA",PR!$BI20,IF(F22="THL",PR!$BJ20,IF(F22="UBASTIC",PR!$BK20,IF(F22="UNION",PR!$BL20,IF(F22="UNIQUE",PR!$BM20,IF(F22="VIXA",PR!$BN20,IF(F22="WWCV",PR!$BO20,IF(F22="ZOLON",PR!$BP20,"-"))))))))))))))))))))))))))))))))))))))))))))))))))))))))))))))))</f>
        <v>440</v>
      </c>
      <c r="F22" s="102" t="str">
        <f>EV!L28</f>
        <v>EUMATT</v>
      </c>
      <c r="G22" s="108">
        <f>IF(H22="ALPHA",PR!$E20,IF(H22="ASSENE",PR!$F20,IF(H22="BIOFEM",PR!$G20,IF(H22="BIOMED",PR!$H20,IF(H22="CHI",PR!$I20,IF(H22="CLARION",PR!$J20,IF(H22="CODIX",PR!$K20,IF(H22="COSMADE",PR!$L20,IF(H22="SANCON",PR!$M20,IF(H22="DEVON",PR!$N20,IF(H22="DORTEMAG",PR!$O20,IF(H22="DGF",PR!$P20,IF(H22="DYNAMIC",PR!$Q20,IF(H22="EMZOR",PR!$R20,IF(H22="EUMATT",PR!$S20,IF(H22="FIDSON",PR!$T20,IF(H22="FCGLOBAL",PR!$U20,IF(H22="GENEITH",PR!$V20,IF(H22="GINOS",PR!$W20,IF(H22="GSK",PR!$X20,IF(H22="GLOBORG",PR!$Y20,IF(H22="GOODNEWS",PR!$Z20,IF(H22="GREENLIFE",PR!$AA20,IF(H22="HLINE",PR!$AB20,IF(H22="ROTECH",PR!$AC20,IF(H22="ISN",PR!$AD20,IF(H22="JAWA",PR!$AE20,IF(H22="LAYO",PR!$AF20,IF(H22="LEADWAY",PR!$AG20,IF(H22="LHV",PR!$AH20,IF(H22="MANOLA",PR!$AI20,IF(H22="MARCSON",PR!$AJ20,IF(H22="M&amp;B",PR!$AK20,IF(H22="MTRUST",PR!$AL20,IF(H22="MWORLD",PR!$AM20,IF(H22="MEGA",PR!$AN20,IF(H22="MICRONOVA",PR!$AO20,IF(H22="MFLASH",PR!$AP20,IF(H22="MORISON",PR!$AQ20,IF(H22="NEMEL",PR!$AR20,IF(H22="NHP",PR!$AS20,IF(H22="NHC",PR!$AT20,IF(H22="OLEAF",PR!$AU20,IF(H22="OCULUS",PR!$AV20,IF(H22="PACIFIC",PR!$AW20,IF(H22="PHAMATEX",PR!$AX20,IF(H22="PETHICS",PR!$AY20,IF(H22="PHILIPS",PR!$AZ20,IF(H22="RANBAXY",PR!$BA20,IF(H22="REALS",PR!$BB20,IF(H22="ROYAL",PR!$BC20,IF(H22="SAM",PR!$BD20,IF(H22="SEAGREEN",PR!$BE20,IF(H22="SKG",PR!$BF20,IF(H22="TAH",PR!$BG20,IF(H22="TAYLEK",PR!$BH20,IF(H22="TEMITA",PR!$BI20,IF(H22="THL",PR!$BJ20,IF(H22="UBASTIC",PR!$BK20,IF(H22="UNION",PR!$BL20,IF(H22="UNIQUE",PR!$BM20,IF(H22="VIXA",PR!$BN20,IF(H22="WWCV",PR!$BO20,IF(H22="ZOLON",PR!$BP20,"-"))))))))))))))))))))))))))))))))))))))))))))))))))))))))))))))))</f>
        <v>450</v>
      </c>
      <c r="H22" s="102" t="str">
        <f>EV!M28</f>
        <v>GREENLIFE</v>
      </c>
      <c r="I22" s="108">
        <f>IF(J22="ALPHA",PR!$E20,IF(J22="ASSENE",PR!$F20,IF(J22="BIOFEM",PR!$G20,IF(J22="BIOMED",PR!$H20,IF(J22="CHI",PR!$I20,IF(J22="CLARION",PR!$J20,IF(J22="CODIX",PR!$K20,IF(J22="COSMADE",PR!$L20,IF(J22="SANCON",PR!$M20,IF(J22="DEVON",PR!$N20,IF(J22="DORTEMAG",PR!$O20,IF(J22="DGF",PR!$P20,IF(J22="DYNAMIC",PR!$Q20,IF(J22="EMZOR",PR!$R20,IF(J22="EUMATT",PR!$S20,IF(J22="FIDSON",PR!$T20,IF(J22="FCGLOBAL",PR!$U20,IF(J22="GENEITH",PR!$V20,IF(J22="GINOS",PR!$W20,IF(J22="GSK",PR!$X20,IF(J22="GLOBORG",PR!$Y20,IF(J22="GOODNEWS",PR!$Z20,IF(J22="GREENLIFE",PR!$AA20,IF(J22="HLINE",PR!$AB20,IF(J22="ROTECH",PR!$AC20,IF(J22="ISN",PR!$AD20,IF(J22="JAWA",PR!$AE20,IF(J22="LAYO",PR!$AF20,IF(J22="LEADWAY",PR!$AG20,IF(J22="LHV",PR!$AH20,IF(J22="MANOLA",PR!$AI20,IF(J22="MARCSON",PR!$AJ20,IF(J22="M&amp;B",PR!$AK20,IF(J22="MTRUST",PR!$AL20,IF(J22="MWORLD",PR!$AM20,IF(J22="MEGA",PR!$AN20,IF(J22="MICRONOVA",PR!$AO20,IF(J22="MFLASH",PR!$AP20,IF(J22="MORISON",PR!$AQ20,IF(J22="NEMEL",PR!$AR20,IF(J22="NHP",PR!$AS20,IF(J22="NHC",PR!$AT20,IF(J22="OLEAF",PR!$AU20,IF(J22="OCULUS",PR!$AV20,IF(J22="PACIFIC",PR!$AW20,IF(J22="PHAMATEX",PR!$AX20,IF(J22="PETHICS",PR!$AY20,IF(J22="PHILIPS",PR!$AZ20,IF(J22="RANBAXY",PR!$BA20,IF(J22="REALS",PR!$BB20,IF(J22="ROYAL",PR!$BC20,IF(J22="SAM",PR!$BD20,IF(J22="SEAGREEN",PR!$BE20,IF(J22="SKG",PR!$BF20,IF(J22="TAH",PR!$BG20,IF(J22="TAYLEK",PR!$BH20,IF(J22="TEMITA",PR!$BI20,IF(J22="THL",PR!$BJ20,IF(J22="UBASTIC",PR!$BK20,IF(J22="UNION",PR!$BL20,IF(J22="UNIQUE",PR!$BM20,IF(J22="VIXA",PR!$BN20,IF(J22="WWCV",PR!$BO20,IF(J22="ZOLON",PR!$BP20,"-"))))))))))))))))))))))))))))))))))))))))))))))))))))))))))))))))</f>
        <v>550</v>
      </c>
      <c r="J22" s="102" t="str">
        <f>EV!N28</f>
        <v>LEADWAY</v>
      </c>
      <c r="K22" s="433" t="s">
        <v>2084</v>
      </c>
      <c r="L22" s="183" t="str">
        <f>IF(K22&gt;0,IF(K22="ALPHA",PR!$E20,IF(K22="ASSENE",PR!$F20,IF(K22="BIOFEM",PR!$G20,IF(K22="BIOMED",PR!$H20,IF(K22="CHI",PR!$I20,IF(K22="CLARION",PR!$J20,IF(K22="CODIX",PR!$K20,IF(K22="COSMADE",PR!$L20,IF(K22="SANCON",PR!$M20,IF(K22="DEVON",PR!$N20,IF(K22="DORTEMAG",PR!$O20,IF(K22="DGF",PR!$P20,IF(K22="DYNAMIC",PR!$Q20,IF(K22="EMZOR",PR!$R20,IF(K22="EUMATT",PR!$S20,IF(K22="FIDSON",PR!$T20,IF(K22="FCGLOBAL",PR!$U20,IF(K22="GENEITH",PR!$V20,IF(K22="GINOS",PR!$W20,IF(K22="GSK",PR!$X20,IF(K22="GLOBORG",PR!$Y20,IF(K22="GOODNEWS",PR!$Z20,IF(K22="GREENLIFE",PR!$AA20,IF(K22="HLINE",PR!$AB20,IF(K22="ROTECH",PR!$AC20,IF(K22="ISN",PR!$AD20,IF(K22="JAWA",PR!$AE20,IF(K22="LAYO",PR!$AF20,IF(K22="LEADWAY",PR!$AG20,IF(K22="LHV",PR!$AH20,IF(K22="MANOLA",PR!$AI20,IF(K22="MARCSON",PR!$AJ20,IF(K22="M&amp;B",PR!$AK20,IF(K22="MTRUST",PR!$AL20,IF(K22="MWORLD",PR!$AM20,IF(K22="MEGA",PR!$AN20,IF(K22="MICRONOVA",PR!$AO20,IF(K22="MFLASH",PR!$AP20,IF(K22="MORISON",PR!$AQ20,IF(K22="NEMEL",PR!$AR20,IF(K22="NHP",PR!$AS20,IF(K22="NHC",PR!$AT20,IF(K22="OLEAF",PR!$AU20,IF(K22="OCULUS",PR!$AV20,IF(K22="PACIFIC",PR!$AW20,IF(K22="PHAMATEX",PR!$AX20,IF(K22="PETHICS",PR!$AY20,IF(K22="PHILIPS",PR!$AZ20,IF(K22="RANBAXY",PR!$BA20,IF(K22="REALS",PR!$BB20,IF(K22="ROYAL",PR!$BC20,IF(K22="SAM",PR!$BD20,IF(K22="SEAGREEN",PR!$BE20,IF(K22="SKG",PR!$BF20,IF(K22="TAH",PR!$BG20,IF(K22="TAYLEK",PR!$BH20,IF(K22="TEMITA",PR!$BI20,IF(K22="THL",PR!$BJ20,IF(K22="UBASTIC",PR!$BK20,IF(K22="UNION",PR!$BL20,IF(K22="UNIQUE",PR!$BM20,IF(K22="VIXA",PR!$BN20,IF(K22="WWCV",PR!$BO20,IF(K22="ZOLON",PR!$BP20,"-")))))))))))))))))))))))))))))))))))))))))))))))))))))))))))))))))</f>
        <v>-</v>
      </c>
    </row>
    <row r="23" spans="1:12" ht="18.75" x14ac:dyDescent="0.3">
      <c r="A23" s="430">
        <f>PR!A21</f>
        <v>11</v>
      </c>
      <c r="B23" s="15" t="str">
        <f>PR!B21</f>
        <v>DIHYDROARTEMISININ/PIPERAQUINE SYR</v>
      </c>
      <c r="C23" s="113" t="str">
        <f>PR!D21</f>
        <v>BOTT</v>
      </c>
      <c r="D23" s="113">
        <f>PR!C21</f>
        <v>200</v>
      </c>
      <c r="E23" s="108">
        <f>IF(F23="ALPHA",PR!$E21,IF(F23="ASSENE",PR!$F21,IF(F23="BIOFEM",PR!$G21,IF(F23="BIOMED",PR!$H21,IF(F23="CHI",PR!$I21,IF(F23="CLARION",PR!$J21,IF(F23="CODIX",PR!$K21,IF(F23="COSMADE",PR!$L21,IF(F23="SANCON",PR!$M21,IF(F23="DEVON",PR!$N21,IF(F23="DORTEMAG",PR!$O21,IF(F23="DGF",PR!$P21,IF(F23="DYNAMIC",PR!$Q21,IF(F23="EMZOR",PR!$R21,IF(F23="EUMATT",PR!$S21,IF(F23="FIDSON",PR!$T21,IF(F23="FCGLOBAL",PR!$U21,IF(F23="GENEITH",PR!$V21,IF(F23="GINOS",PR!$W21,IF(F23="GSK",PR!$X21,IF(F23="GLOBORG",PR!$Y21,IF(F23="GOODNEWS",PR!$Z21,IF(F23="GREENLIFE",PR!$AA21,IF(F23="HLINE",PR!$AB21,IF(F23="ROTECH",PR!$AC21,IF(F23="ISN",PR!$AD21,IF(F23="JAWA",PR!$AE21,IF(F23="LAYO",PR!$AF21,IF(F23="LEADWAY",PR!$AG21,IF(F23="LHV",PR!$AH21,IF(F23="MANOLA",PR!$AI21,IF(F23="MARCSON",PR!$AJ21,IF(F23="M&amp;B",PR!$AK21,IF(F23="MTRUST",PR!$AL21,IF(F23="MWORLD",PR!$AM21,IF(F23="MEGA",PR!$AN21,IF(F23="MICRONOVA",PR!$AO21,IF(F23="MFLASH",PR!$AP21,IF(F23="MORISON",PR!$AQ21,IF(F23="NEMEL",PR!$AR21,IF(F23="NHP",PR!$AS21,IF(F23="NHC",PR!$AT21,IF(F23="OLEAF",PR!$AU21,IF(F23="OCULUS",PR!$AV21,IF(F23="PACIFIC",PR!$AW21,IF(F23="PHAMATEX",PR!$AX21,IF(F23="PETHICS",PR!$AY21,IF(F23="PHILIPS",PR!$AZ21,IF(F23="RANBAXY",PR!$BA21,IF(F23="REALS",PR!$BB21,IF(F23="ROYAL",PR!$BC21,IF(F23="SAM",PR!$BD21,IF(F23="SEAGREEN",PR!$BE21,IF(F23="SKG",PR!$BF21,IF(F23="TAH",PR!$BG21,IF(F23="TAYLEK",PR!$BH21,IF(F23="TEMITA",PR!$BI21,IF(F23="THL",PR!$BJ21,IF(F23="UBASTIC",PR!$BK21,IF(F23="UNION",PR!$BL21,IF(F23="UNIQUE",PR!$BM21,IF(F23="VIXA",PR!$BN21,IF(F23="WWCV",PR!$BO21,IF(F23="ZOLON",PR!$BP21,"-"))))))))))))))))))))))))))))))))))))))))))))))))))))))))))))))))</f>
        <v>320</v>
      </c>
      <c r="F23" s="102" t="str">
        <f>EV!L29</f>
        <v>EUMATT</v>
      </c>
      <c r="G23" s="108">
        <f>IF(H23="ALPHA",PR!$E21,IF(H23="ASSENE",PR!$F21,IF(H23="BIOFEM",PR!$G21,IF(H23="BIOMED",PR!$H21,IF(H23="CHI",PR!$I21,IF(H23="CLARION",PR!$J21,IF(H23="CODIX",PR!$K21,IF(H23="COSMADE",PR!$L21,IF(H23="SANCON",PR!$M21,IF(H23="DEVON",PR!$N21,IF(H23="DORTEMAG",PR!$O21,IF(H23="DGF",PR!$P21,IF(H23="DYNAMIC",PR!$Q21,IF(H23="EMZOR",PR!$R21,IF(H23="EUMATT",PR!$S21,IF(H23="FIDSON",PR!$T21,IF(H23="FCGLOBAL",PR!$U21,IF(H23="GENEITH",PR!$V21,IF(H23="GINOS",PR!$W21,IF(H23="GSK",PR!$X21,IF(H23="GLOBORG",PR!$Y21,IF(H23="GOODNEWS",PR!$Z21,IF(H23="GREENLIFE",PR!$AA21,IF(H23="HLINE",PR!$AB21,IF(H23="ROTECH",PR!$AC21,IF(H23="ISN",PR!$AD21,IF(H23="JAWA",PR!$AE21,IF(H23="LAYO",PR!$AF21,IF(H23="LEADWAY",PR!$AG21,IF(H23="LHV",PR!$AH21,IF(H23="MANOLA",PR!$AI21,IF(H23="MARCSON",PR!$AJ21,IF(H23="M&amp;B",PR!$AK21,IF(H23="MTRUST",PR!$AL21,IF(H23="MWORLD",PR!$AM21,IF(H23="MEGA",PR!$AN21,IF(H23="MICRONOVA",PR!$AO21,IF(H23="MFLASH",PR!$AP21,IF(H23="MORISON",PR!$AQ21,IF(H23="NEMEL",PR!$AR21,IF(H23="NHP",PR!$AS21,IF(H23="NHC",PR!$AT21,IF(H23="OLEAF",PR!$AU21,IF(H23="OCULUS",PR!$AV21,IF(H23="PACIFIC",PR!$AW21,IF(H23="PHAMATEX",PR!$AX21,IF(H23="PETHICS",PR!$AY21,IF(H23="PHILIPS",PR!$AZ21,IF(H23="RANBAXY",PR!$BA21,IF(H23="REALS",PR!$BB21,IF(H23="ROYAL",PR!$BC21,IF(H23="SAM",PR!$BD21,IF(H23="SEAGREEN",PR!$BE21,IF(H23="SKG",PR!$BF21,IF(H23="TAH",PR!$BG21,IF(H23="TAYLEK",PR!$BH21,IF(H23="TEMITA",PR!$BI21,IF(H23="THL",PR!$BJ21,IF(H23="UBASTIC",PR!$BK21,IF(H23="UNION",PR!$BL21,IF(H23="UNIQUE",PR!$BM21,IF(H23="VIXA",PR!$BN21,IF(H23="WWCV",PR!$BO21,IF(H23="ZOLON",PR!$BP21,"-"))))))))))))))))))))))))))))))))))))))))))))))))))))))))))))))))</f>
        <v>440</v>
      </c>
      <c r="H23" s="102" t="str">
        <f>EV!M29</f>
        <v>GENEITH</v>
      </c>
      <c r="I23" s="108">
        <f>IF(J23="ALPHA",PR!$E21,IF(J23="ASSENE",PR!$F21,IF(J23="BIOFEM",PR!$G21,IF(J23="BIOMED",PR!$H21,IF(J23="CHI",PR!$I21,IF(J23="CLARION",PR!$J21,IF(J23="CODIX",PR!$K21,IF(J23="COSMADE",PR!$L21,IF(J23="SANCON",PR!$M21,IF(J23="DEVON",PR!$N21,IF(J23="DORTEMAG",PR!$O21,IF(J23="DGF",PR!$P21,IF(J23="DYNAMIC",PR!$Q21,IF(J23="EMZOR",PR!$R21,IF(J23="EUMATT",PR!$S21,IF(J23="FIDSON",PR!$T21,IF(J23="FCGLOBAL",PR!$U21,IF(J23="GENEITH",PR!$V21,IF(J23="GINOS",PR!$W21,IF(J23="GSK",PR!$X21,IF(J23="GLOBORG",PR!$Y21,IF(J23="GOODNEWS",PR!$Z21,IF(J23="GREENLIFE",PR!$AA21,IF(J23="HLINE",PR!$AB21,IF(J23="ROTECH",PR!$AC21,IF(J23="ISN",PR!$AD21,IF(J23="JAWA",PR!$AE21,IF(J23="LAYO",PR!$AF21,IF(J23="LEADWAY",PR!$AG21,IF(J23="LHV",PR!$AH21,IF(J23="MANOLA",PR!$AI21,IF(J23="MARCSON",PR!$AJ21,IF(J23="M&amp;B",PR!$AK21,IF(J23="MTRUST",PR!$AL21,IF(J23="MWORLD",PR!$AM21,IF(J23="MEGA",PR!$AN21,IF(J23="MICRONOVA",PR!$AO21,IF(J23="MFLASH",PR!$AP21,IF(J23="MORISON",PR!$AQ21,IF(J23="NEMEL",PR!$AR21,IF(J23="NHP",PR!$AS21,IF(J23="NHC",PR!$AT21,IF(J23="OLEAF",PR!$AU21,IF(J23="OCULUS",PR!$AV21,IF(J23="PACIFIC",PR!$AW21,IF(J23="PHAMATEX",PR!$AX21,IF(J23="PETHICS",PR!$AY21,IF(J23="PHILIPS",PR!$AZ21,IF(J23="RANBAXY",PR!$BA21,IF(J23="REALS",PR!$BB21,IF(J23="ROYAL",PR!$BC21,IF(J23="SAM",PR!$BD21,IF(J23="SEAGREEN",PR!$BE21,IF(J23="SKG",PR!$BF21,IF(J23="TAH",PR!$BG21,IF(J23="TAYLEK",PR!$BH21,IF(J23="TEMITA",PR!$BI21,IF(J23="THL",PR!$BJ21,IF(J23="UBASTIC",PR!$BK21,IF(J23="UNION",PR!$BL21,IF(J23="UNIQUE",PR!$BM21,IF(J23="VIXA",PR!$BN21,IF(J23="WWCV",PR!$BO21,IF(J23="ZOLON",PR!$BP21,"-"))))))))))))))))))))))))))))))))))))))))))))))))))))))))))))))))</f>
        <v>530</v>
      </c>
      <c r="J23" s="102" t="str">
        <f>EV!N29</f>
        <v>GREENLIFE</v>
      </c>
      <c r="K23" s="433" t="s">
        <v>821</v>
      </c>
      <c r="L23" s="183">
        <f>IF(K23&gt;0,IF(K23="ALPHA",PR!$E21,IF(K23="ASSENE",PR!$F21,IF(K23="BIOFEM",PR!$G21,IF(K23="BIOMED",PR!$H21,IF(K23="CHI",PR!$I21,IF(K23="CLARION",PR!$J21,IF(K23="CODIX",PR!$K21,IF(K23="COSMADE",PR!$L21,IF(K23="SANCON",PR!$M21,IF(K23="DEVON",PR!$N21,IF(K23="DORTEMAG",PR!$O21,IF(K23="DGF",PR!$P21,IF(K23="DYNAMIC",PR!$Q21,IF(K23="EMZOR",PR!$R21,IF(K23="EUMATT",PR!$S21,IF(K23="FIDSON",PR!$T21,IF(K23="FCGLOBAL",PR!$U21,IF(K23="GENEITH",PR!$V21,IF(K23="GINOS",PR!$W21,IF(K23="GSK",PR!$X21,IF(K23="GLOBORG",PR!$Y21,IF(K23="GOODNEWS",PR!$Z21,IF(K23="GREENLIFE",PR!$AA21,IF(K23="HLINE",PR!$AB21,IF(K23="ROTECH",PR!$AC21,IF(K23="ISN",PR!$AD21,IF(K23="JAWA",PR!$AE21,IF(K23="LAYO",PR!$AF21,IF(K23="LEADWAY",PR!$AG21,IF(K23="LHV",PR!$AH21,IF(K23="MANOLA",PR!$AI21,IF(K23="MARCSON",PR!$AJ21,IF(K23="M&amp;B",PR!$AK21,IF(K23="MTRUST",PR!$AL21,IF(K23="MWORLD",PR!$AM21,IF(K23="MEGA",PR!$AN21,IF(K23="MICRONOVA",PR!$AO21,IF(K23="MFLASH",PR!$AP21,IF(K23="MORISON",PR!$AQ21,IF(K23="NEMEL",PR!$AR21,IF(K23="NHP",PR!$AS21,IF(K23="NHC",PR!$AT21,IF(K23="OLEAF",PR!$AU21,IF(K23="OCULUS",PR!$AV21,IF(K23="PACIFIC",PR!$AW21,IF(K23="PHAMATEX",PR!$AX21,IF(K23="PETHICS",PR!$AY21,IF(K23="PHILIPS",PR!$AZ21,IF(K23="RANBAXY",PR!$BA21,IF(K23="REALS",PR!$BB21,IF(K23="ROYAL",PR!$BC21,IF(K23="SAM",PR!$BD21,IF(K23="SEAGREEN",PR!$BE21,IF(K23="SKG",PR!$BF21,IF(K23="TAH",PR!$BG21,IF(K23="TAYLEK",PR!$BH21,IF(K23="TEMITA",PR!$BI21,IF(K23="THL",PR!$BJ21,IF(K23="UBASTIC",PR!$BK21,IF(K23="UNION",PR!$BL21,IF(K23="UNIQUE",PR!$BM21,IF(K23="VIXA",PR!$BN21,IF(K23="WWCV",PR!$BO21,IF(K23="ZOLON",PR!$BP21,"-")))))))))))))))))))))))))))))))))))))))))))))))))))))))))))))))))</f>
        <v>320</v>
      </c>
    </row>
    <row r="24" spans="1:12" ht="18.75" x14ac:dyDescent="0.3">
      <c r="A24" s="430">
        <f>PR!A22</f>
        <v>12</v>
      </c>
      <c r="B24" s="15" t="str">
        <f>PR!B22</f>
        <v>DIHYDROARTEMISININ/PIPERAQUINE TAB</v>
      </c>
      <c r="C24" s="113">
        <f>PR!D22</f>
        <v>9</v>
      </c>
      <c r="D24" s="113">
        <f>PR!C22</f>
        <v>500</v>
      </c>
      <c r="E24" s="108">
        <f>IF(F24="ALPHA",PR!$E22,IF(F24="ASSENE",PR!$F22,IF(F24="BIOFEM",PR!$G22,IF(F24="BIOMED",PR!$H22,IF(F24="CHI",PR!$I22,IF(F24="CLARION",PR!$J22,IF(F24="CODIX",PR!$K22,IF(F24="COSMADE",PR!$L22,IF(F24="SANCON",PR!$M22,IF(F24="DEVON",PR!$N22,IF(F24="DORTEMAG",PR!$O22,IF(F24="DGF",PR!$P22,IF(F24="DYNAMIC",PR!$Q22,IF(F24="EMZOR",PR!$R22,IF(F24="EUMATT",PR!$S22,IF(F24="FIDSON",PR!$T22,IF(F24="FCGLOBAL",PR!$U22,IF(F24="GENEITH",PR!$V22,IF(F24="GINOS",PR!$W22,IF(F24="GSK",PR!$X22,IF(F24="GLOBORG",PR!$Y22,IF(F24="GOODNEWS",PR!$Z22,IF(F24="GREENLIFE",PR!$AA22,IF(F24="HLINE",PR!$AB22,IF(F24="ROTECH",PR!$AC22,IF(F24="ISN",PR!$AD22,IF(F24="JAWA",PR!$AE22,IF(F24="LAYO",PR!$AF22,IF(F24="LEADWAY",PR!$AG22,IF(F24="LHV",PR!$AH22,IF(F24="MANOLA",PR!$AI22,IF(F24="MARCSON",PR!$AJ22,IF(F24="M&amp;B",PR!$AK22,IF(F24="MTRUST",PR!$AL22,IF(F24="MWORLD",PR!$AM22,IF(F24="MEGA",PR!$AN22,IF(F24="MICRONOVA",PR!$AO22,IF(F24="MFLASH",PR!$AP22,IF(F24="MORISON",PR!$AQ22,IF(F24="NEMEL",PR!$AR22,IF(F24="NHP",PR!$AS22,IF(F24="NHC",PR!$AT22,IF(F24="OLEAF",PR!$AU22,IF(F24="OCULUS",PR!$AV22,IF(F24="PACIFIC",PR!$AW22,IF(F24="PHAMATEX",PR!$AX22,IF(F24="PETHICS",PR!$AY22,IF(F24="PHILIPS",PR!$AZ22,IF(F24="RANBAXY",PR!$BA22,IF(F24="REALS",PR!$BB22,IF(F24="ROYAL",PR!$BC22,IF(F24="SAM",PR!$BD22,IF(F24="SEAGREEN",PR!$BE22,IF(F24="SKG",PR!$BF22,IF(F24="TAH",PR!$BG22,IF(F24="TAYLEK",PR!$BH22,IF(F24="TEMITA",PR!$BI22,IF(F24="THL",PR!$BJ22,IF(F24="UBASTIC",PR!$BK22,IF(F24="UNION",PR!$BL22,IF(F24="UNIQUE",PR!$BM22,IF(F24="VIXA",PR!$BN22,IF(F24="WWCV",PR!$BO22,IF(F24="ZOLON",PR!$BP22,"-"))))))))))))))))))))))))))))))))))))))))))))))))))))))))))))))))</f>
        <v>350</v>
      </c>
      <c r="F24" s="102" t="str">
        <f>EV!L30</f>
        <v>EUMATT</v>
      </c>
      <c r="G24" s="108">
        <f>IF(H24="ALPHA",PR!$E22,IF(H24="ASSENE",PR!$F22,IF(H24="BIOFEM",PR!$G22,IF(H24="BIOMED",PR!$H22,IF(H24="CHI",PR!$I22,IF(H24="CLARION",PR!$J22,IF(H24="CODIX",PR!$K22,IF(H24="COSMADE",PR!$L22,IF(H24="SANCON",PR!$M22,IF(H24="DEVON",PR!$N22,IF(H24="DORTEMAG",PR!$O22,IF(H24="DGF",PR!$P22,IF(H24="DYNAMIC",PR!$Q22,IF(H24="EMZOR",PR!$R22,IF(H24="EUMATT",PR!$S22,IF(H24="FIDSON",PR!$T22,IF(H24="FCGLOBAL",PR!$U22,IF(H24="GENEITH",PR!$V22,IF(H24="GINOS",PR!$W22,IF(H24="GSK",PR!$X22,IF(H24="GLOBORG",PR!$Y22,IF(H24="GOODNEWS",PR!$Z22,IF(H24="GREENLIFE",PR!$AA22,IF(H24="HLINE",PR!$AB22,IF(H24="ROTECH",PR!$AC22,IF(H24="ISN",PR!$AD22,IF(H24="JAWA",PR!$AE22,IF(H24="LAYO",PR!$AF22,IF(H24="LEADWAY",PR!$AG22,IF(H24="LHV",PR!$AH22,IF(H24="MANOLA",PR!$AI22,IF(H24="MARCSON",PR!$AJ22,IF(H24="M&amp;B",PR!$AK22,IF(H24="MTRUST",PR!$AL22,IF(H24="MWORLD",PR!$AM22,IF(H24="MEGA",PR!$AN22,IF(H24="MICRONOVA",PR!$AO22,IF(H24="MFLASH",PR!$AP22,IF(H24="MORISON",PR!$AQ22,IF(H24="NEMEL",PR!$AR22,IF(H24="NHP",PR!$AS22,IF(H24="NHC",PR!$AT22,IF(H24="OLEAF",PR!$AU22,IF(H24="OCULUS",PR!$AV22,IF(H24="PACIFIC",PR!$AW22,IF(H24="PHAMATEX",PR!$AX22,IF(H24="PETHICS",PR!$AY22,IF(H24="PHILIPS",PR!$AZ22,IF(H24="RANBAXY",PR!$BA22,IF(H24="REALS",PR!$BB22,IF(H24="ROYAL",PR!$BC22,IF(H24="SAM",PR!$BD22,IF(H24="SEAGREEN",PR!$BE22,IF(H24="SKG",PR!$BF22,IF(H24="TAH",PR!$BG22,IF(H24="TAYLEK",PR!$BH22,IF(H24="TEMITA",PR!$BI22,IF(H24="THL",PR!$BJ22,IF(H24="UBASTIC",PR!$BK22,IF(H24="UNION",PR!$BL22,IF(H24="UNIQUE",PR!$BM22,IF(H24="VIXA",PR!$BN22,IF(H24="WWCV",PR!$BO22,IF(H24="ZOLON",PR!$BP22,"-"))))))))))))))))))))))))))))))))))))))))))))))))))))))))))))))))</f>
        <v>385</v>
      </c>
      <c r="H24" s="102" t="str">
        <f>EV!M30</f>
        <v>GENEITH</v>
      </c>
      <c r="I24" s="108">
        <f>IF(J24="ALPHA",PR!$E22,IF(J24="ASSENE",PR!$F22,IF(J24="BIOFEM",PR!$G22,IF(J24="BIOMED",PR!$H22,IF(J24="CHI",PR!$I22,IF(J24="CLARION",PR!$J22,IF(J24="CODIX",PR!$K22,IF(J24="COSMADE",PR!$L22,IF(J24="SANCON",PR!$M22,IF(J24="DEVON",PR!$N22,IF(J24="DORTEMAG",PR!$O22,IF(J24="DGF",PR!$P22,IF(J24="DYNAMIC",PR!$Q22,IF(J24="EMZOR",PR!$R22,IF(J24="EUMATT",PR!$S22,IF(J24="FIDSON",PR!$T22,IF(J24="FCGLOBAL",PR!$U22,IF(J24="GENEITH",PR!$V22,IF(J24="GINOS",PR!$W22,IF(J24="GSK",PR!$X22,IF(J24="GLOBORG",PR!$Y22,IF(J24="GOODNEWS",PR!$Z22,IF(J24="GREENLIFE",PR!$AA22,IF(J24="HLINE",PR!$AB22,IF(J24="ROTECH",PR!$AC22,IF(J24="ISN",PR!$AD22,IF(J24="JAWA",PR!$AE22,IF(J24="LAYO",PR!$AF22,IF(J24="LEADWAY",PR!$AG22,IF(J24="LHV",PR!$AH22,IF(J24="MANOLA",PR!$AI22,IF(J24="MARCSON",PR!$AJ22,IF(J24="M&amp;B",PR!$AK22,IF(J24="MTRUST",PR!$AL22,IF(J24="MWORLD",PR!$AM22,IF(J24="MEGA",PR!$AN22,IF(J24="MICRONOVA",PR!$AO22,IF(J24="MFLASH",PR!$AP22,IF(J24="MORISON",PR!$AQ22,IF(J24="NEMEL",PR!$AR22,IF(J24="NHP",PR!$AS22,IF(J24="NHC",PR!$AT22,IF(J24="OLEAF",PR!$AU22,IF(J24="OCULUS",PR!$AV22,IF(J24="PACIFIC",PR!$AW22,IF(J24="PHAMATEX",PR!$AX22,IF(J24="PETHICS",PR!$AY22,IF(J24="PHILIPS",PR!$AZ22,IF(J24="RANBAXY",PR!$BA22,IF(J24="REALS",PR!$BB22,IF(J24="ROYAL",PR!$BC22,IF(J24="SAM",PR!$BD22,IF(J24="SEAGREEN",PR!$BE22,IF(J24="SKG",PR!$BF22,IF(J24="TAH",PR!$BG22,IF(J24="TAYLEK",PR!$BH22,IF(J24="TEMITA",PR!$BI22,IF(J24="THL",PR!$BJ22,IF(J24="UBASTIC",PR!$BK22,IF(J24="UNION",PR!$BL22,IF(J24="UNIQUE",PR!$BM22,IF(J24="VIXA",PR!$BN22,IF(J24="WWCV",PR!$BO22,IF(J24="ZOLON",PR!$BP22,"-"))))))))))))))))))))))))))))))))))))))))))))))))))))))))))))))))</f>
        <v>420</v>
      </c>
      <c r="J24" s="102" t="str">
        <f>EV!N30</f>
        <v>LEADWAY</v>
      </c>
      <c r="K24" s="433" t="s">
        <v>821</v>
      </c>
      <c r="L24" s="183">
        <f>IF(K24&gt;0,IF(K24="ALPHA",PR!$E22,IF(K24="ASSENE",PR!$F22,IF(K24="BIOFEM",PR!$G22,IF(K24="BIOMED",PR!$H22,IF(K24="CHI",PR!$I22,IF(K24="CLARION",PR!$J22,IF(K24="CODIX",PR!$K22,IF(K24="COSMADE",PR!$L22,IF(K24="SANCON",PR!$M22,IF(K24="DEVON",PR!$N22,IF(K24="DORTEMAG",PR!$O22,IF(K24="DGF",PR!$P22,IF(K24="DYNAMIC",PR!$Q22,IF(K24="EMZOR",PR!$R22,IF(K24="EUMATT",PR!$S22,IF(K24="FIDSON",PR!$T22,IF(K24="FCGLOBAL",PR!$U22,IF(K24="GENEITH",PR!$V22,IF(K24="GINOS",PR!$W22,IF(K24="GSK",PR!$X22,IF(K24="GLOBORG",PR!$Y22,IF(K24="GOODNEWS",PR!$Z22,IF(K24="GREENLIFE",PR!$AA22,IF(K24="HLINE",PR!$AB22,IF(K24="ROTECH",PR!$AC22,IF(K24="ISN",PR!$AD22,IF(K24="JAWA",PR!$AE22,IF(K24="LAYO",PR!$AF22,IF(K24="LEADWAY",PR!$AG22,IF(K24="LHV",PR!$AH22,IF(K24="MANOLA",PR!$AI22,IF(K24="MARCSON",PR!$AJ22,IF(K24="M&amp;B",PR!$AK22,IF(K24="MTRUST",PR!$AL22,IF(K24="MWORLD",PR!$AM22,IF(K24="MEGA",PR!$AN22,IF(K24="MICRONOVA",PR!$AO22,IF(K24="MFLASH",PR!$AP22,IF(K24="MORISON",PR!$AQ22,IF(K24="NEMEL",PR!$AR22,IF(K24="NHP",PR!$AS22,IF(K24="NHC",PR!$AT22,IF(K24="OLEAF",PR!$AU22,IF(K24="OCULUS",PR!$AV22,IF(K24="PACIFIC",PR!$AW22,IF(K24="PHAMATEX",PR!$AX22,IF(K24="PETHICS",PR!$AY22,IF(K24="PHILIPS",PR!$AZ22,IF(K24="RANBAXY",PR!$BA22,IF(K24="REALS",PR!$BB22,IF(K24="ROYAL",PR!$BC22,IF(K24="SAM",PR!$BD22,IF(K24="SEAGREEN",PR!$BE22,IF(K24="SKG",PR!$BF22,IF(K24="TAH",PR!$BG22,IF(K24="TAYLEK",PR!$BH22,IF(K24="TEMITA",PR!$BI22,IF(K24="THL",PR!$BJ22,IF(K24="UBASTIC",PR!$BK22,IF(K24="UNION",PR!$BL22,IF(K24="UNIQUE",PR!$BM22,IF(K24="VIXA",PR!$BN22,IF(K24="WWCV",PR!$BO22,IF(K24="ZOLON",PR!$BP22,"-")))))))))))))))))))))))))))))))))))))))))))))))))))))))))))))))))</f>
        <v>350</v>
      </c>
    </row>
    <row r="25" spans="1:12" ht="18.75" x14ac:dyDescent="0.3">
      <c r="A25" s="430">
        <f>PR!A23</f>
        <v>13</v>
      </c>
      <c r="B25" s="15" t="str">
        <f>PR!B23</f>
        <v>DIHYDROARTEMISININ/PIPERAQUINE/TRIMETHOPRIM TAB</v>
      </c>
      <c r="C25" s="113">
        <f>PR!D23</f>
        <v>4</v>
      </c>
      <c r="D25" s="113">
        <f>PR!C23</f>
        <v>2000</v>
      </c>
      <c r="E25" s="108" t="str">
        <f>IF(F25="ALPHA",PR!$E23,IF(F25="ASSENE",PR!$F23,IF(F25="BIOFEM",PR!$G23,IF(F25="BIOMED",PR!$H23,IF(F25="CHI",PR!$I23,IF(F25="CLARION",PR!$J23,IF(F25="CODIX",PR!$K23,IF(F25="COSMADE",PR!$L23,IF(F25="SANCON",PR!$M23,IF(F25="DEVON",PR!$N23,IF(F25="DORTEMAG",PR!$O23,IF(F25="DGF",PR!$P23,IF(F25="DYNAMIC",PR!$Q23,IF(F25="EMZOR",PR!$R23,IF(F25="EUMATT",PR!$S23,IF(F25="FIDSON",PR!$T23,IF(F25="FCGLOBAL",PR!$U23,IF(F25="GENEITH",PR!$V23,IF(F25="GINOS",PR!$W23,IF(F25="GSK",PR!$X23,IF(F25="GLOBORG",PR!$Y23,IF(F25="GOODNEWS",PR!$Z23,IF(F25="GREENLIFE",PR!$AA23,IF(F25="HLINE",PR!$AB23,IF(F25="ROTECH",PR!$AC23,IF(F25="ISN",PR!$AD23,IF(F25="JAWA",PR!$AE23,IF(F25="LAYO",PR!$AF23,IF(F25="LEADWAY",PR!$AG23,IF(F25="LHV",PR!$AH23,IF(F25="MANOLA",PR!$AI23,IF(F25="MARCSON",PR!$AJ23,IF(F25="M&amp;B",PR!$AK23,IF(F25="MTRUST",PR!$AL23,IF(F25="MWORLD",PR!$AM23,IF(F25="MEGA",PR!$AN23,IF(F25="MICRONOVA",PR!$AO23,IF(F25="MFLASH",PR!$AP23,IF(F25="MORISON",PR!$AQ23,IF(F25="NEMEL",PR!$AR23,IF(F25="NHP",PR!$AS23,IF(F25="NHC",PR!$AT23,IF(F25="OLEAF",PR!$AU23,IF(F25="OCULUS",PR!$AV23,IF(F25="PACIFIC",PR!$AW23,IF(F25="PHAMATEX",PR!$AX23,IF(F25="PETHICS",PR!$AY23,IF(F25="PHILIPS",PR!$AZ23,IF(F25="RANBAXY",PR!$BA23,IF(F25="REALS",PR!$BB23,IF(F25="ROYAL",PR!$BC23,IF(F25="SAM",PR!$BD23,IF(F25="SEAGREEN",PR!$BE23,IF(F25="SKG",PR!$BF23,IF(F25="TAH",PR!$BG23,IF(F25="TAYLEK",PR!$BH23,IF(F25="TEMITA",PR!$BI23,IF(F25="THL",PR!$BJ23,IF(F25="UBASTIC",PR!$BK23,IF(F25="UNION",PR!$BL23,IF(F25="UNIQUE",PR!$BM23,IF(F25="VIXA",PR!$BN23,IF(F25="WWCV",PR!$BO23,IF(F25="ZOLON",PR!$BP23,"-"))))))))))))))))))))))))))))))))))))))))))))))))))))))))))))))))</f>
        <v>-</v>
      </c>
      <c r="F25" s="102">
        <f>EV!L31</f>
        <v>0</v>
      </c>
      <c r="G25" s="108" t="str">
        <f>IF(H25="ALPHA",PR!$E23,IF(H25="ASSENE",PR!$F23,IF(H25="BIOFEM",PR!$G23,IF(H25="BIOMED",PR!$H23,IF(H25="CHI",PR!$I23,IF(H25="CLARION",PR!$J23,IF(H25="CODIX",PR!$K23,IF(H25="COSMADE",PR!$L23,IF(H25="SANCON",PR!$M23,IF(H25="DEVON",PR!$N23,IF(H25="DORTEMAG",PR!$O23,IF(H25="DGF",PR!$P23,IF(H25="DYNAMIC",PR!$Q23,IF(H25="EMZOR",PR!$R23,IF(H25="EUMATT",PR!$S23,IF(H25="FIDSON",PR!$T23,IF(H25="FCGLOBAL",PR!$U23,IF(H25="GENEITH",PR!$V23,IF(H25="GINOS",PR!$W23,IF(H25="GSK",PR!$X23,IF(H25="GLOBORG",PR!$Y23,IF(H25="GOODNEWS",PR!$Z23,IF(H25="GREENLIFE",PR!$AA23,IF(H25="HLINE",PR!$AB23,IF(H25="ROTECH",PR!$AC23,IF(H25="ISN",PR!$AD23,IF(H25="JAWA",PR!$AE23,IF(H25="LAYO",PR!$AF23,IF(H25="LEADWAY",PR!$AG23,IF(H25="LHV",PR!$AH23,IF(H25="MANOLA",PR!$AI23,IF(H25="MARCSON",PR!$AJ23,IF(H25="M&amp;B",PR!$AK23,IF(H25="MTRUST",PR!$AL23,IF(H25="MWORLD",PR!$AM23,IF(H25="MEGA",PR!$AN23,IF(H25="MICRONOVA",PR!$AO23,IF(H25="MFLASH",PR!$AP23,IF(H25="MORISON",PR!$AQ23,IF(H25="NEMEL",PR!$AR23,IF(H25="NHP",PR!$AS23,IF(H25="NHC",PR!$AT23,IF(H25="OLEAF",PR!$AU23,IF(H25="OCULUS",PR!$AV23,IF(H25="PACIFIC",PR!$AW23,IF(H25="PHAMATEX",PR!$AX23,IF(H25="PETHICS",PR!$AY23,IF(H25="PHILIPS",PR!$AZ23,IF(H25="RANBAXY",PR!$BA23,IF(H25="REALS",PR!$BB23,IF(H25="ROYAL",PR!$BC23,IF(H25="SAM",PR!$BD23,IF(H25="SEAGREEN",PR!$BE23,IF(H25="SKG",PR!$BF23,IF(H25="TAH",PR!$BG23,IF(H25="TAYLEK",PR!$BH23,IF(H25="TEMITA",PR!$BI23,IF(H25="THL",PR!$BJ23,IF(H25="UBASTIC",PR!$BK23,IF(H25="UNION",PR!$BL23,IF(H25="UNIQUE",PR!$BM23,IF(H25="VIXA",PR!$BN23,IF(H25="WWCV",PR!$BO23,IF(H25="ZOLON",PR!$BP23,"-"))))))))))))))))))))))))))))))))))))))))))))))))))))))))))))))))</f>
        <v>-</v>
      </c>
      <c r="H25" s="102">
        <f>EV!M31</f>
        <v>0</v>
      </c>
      <c r="I25" s="108" t="str">
        <f>IF(J25="ALPHA",PR!$E23,IF(J25="ASSENE",PR!$F23,IF(J25="BIOFEM",PR!$G23,IF(J25="BIOMED",PR!$H23,IF(J25="CHI",PR!$I23,IF(J25="CLARION",PR!$J23,IF(J25="CODIX",PR!$K23,IF(J25="COSMADE",PR!$L23,IF(J25="SANCON",PR!$M23,IF(J25="DEVON",PR!$N23,IF(J25="DORTEMAG",PR!$O23,IF(J25="DGF",PR!$P23,IF(J25="DYNAMIC",PR!$Q23,IF(J25="EMZOR",PR!$R23,IF(J25="EUMATT",PR!$S23,IF(J25="FIDSON",PR!$T23,IF(J25="FCGLOBAL",PR!$U23,IF(J25="GENEITH",PR!$V23,IF(J25="GINOS",PR!$W23,IF(J25="GSK",PR!$X23,IF(J25="GLOBORG",PR!$Y23,IF(J25="GOODNEWS",PR!$Z23,IF(J25="GREENLIFE",PR!$AA23,IF(J25="HLINE",PR!$AB23,IF(J25="ROTECH",PR!$AC23,IF(J25="ISN",PR!$AD23,IF(J25="JAWA",PR!$AE23,IF(J25="LAYO",PR!$AF23,IF(J25="LEADWAY",PR!$AG23,IF(J25="LHV",PR!$AH23,IF(J25="MANOLA",PR!$AI23,IF(J25="MARCSON",PR!$AJ23,IF(J25="M&amp;B",PR!$AK23,IF(J25="MTRUST",PR!$AL23,IF(J25="MWORLD",PR!$AM23,IF(J25="MEGA",PR!$AN23,IF(J25="MICRONOVA",PR!$AO23,IF(J25="MFLASH",PR!$AP23,IF(J25="MORISON",PR!$AQ23,IF(J25="NEMEL",PR!$AR23,IF(J25="NHP",PR!$AS23,IF(J25="NHC",PR!$AT23,IF(J25="OLEAF",PR!$AU23,IF(J25="OCULUS",PR!$AV23,IF(J25="PACIFIC",PR!$AW23,IF(J25="PHAMATEX",PR!$AX23,IF(J25="PETHICS",PR!$AY23,IF(J25="PHILIPS",PR!$AZ23,IF(J25="RANBAXY",PR!$BA23,IF(J25="REALS",PR!$BB23,IF(J25="ROYAL",PR!$BC23,IF(J25="SAM",PR!$BD23,IF(J25="SEAGREEN",PR!$BE23,IF(J25="SKG",PR!$BF23,IF(J25="TAH",PR!$BG23,IF(J25="TAYLEK",PR!$BH23,IF(J25="TEMITA",PR!$BI23,IF(J25="THL",PR!$BJ23,IF(J25="UBASTIC",PR!$BK23,IF(J25="UNION",PR!$BL23,IF(J25="UNIQUE",PR!$BM23,IF(J25="VIXA",PR!$BN23,IF(J25="WWCV",PR!$BO23,IF(J25="ZOLON",PR!$BP23,"-"))))))))))))))))))))))))))))))))))))))))))))))))))))))))))))))))</f>
        <v>-</v>
      </c>
      <c r="J25" s="102">
        <f>EV!N31</f>
        <v>0</v>
      </c>
      <c r="K25" s="433"/>
      <c r="L25" s="183" t="b">
        <f>IF(K25&gt;0,IF(K25="ALPHA",PR!$E23,IF(K25="ASSENE",PR!$F23,IF(K25="BIOFEM",PR!$G23,IF(K25="BIOMED",PR!$H23,IF(K25="CHI",PR!$I23,IF(K25="CLARION",PR!$J23,IF(K25="CODIX",PR!$K23,IF(K25="COSMADE",PR!$L23,IF(K25="SANCON",PR!$M23,IF(K25="DEVON",PR!$N23,IF(K25="DORTEMAG",PR!$O23,IF(K25="DGF",PR!$P23,IF(K25="DYNAMIC",PR!$Q23,IF(K25="EMZOR",PR!$R23,IF(K25="EUMATT",PR!$S23,IF(K25="FIDSON",PR!$T23,IF(K25="FCGLOBAL",PR!$U23,IF(K25="GENEITH",PR!$V23,IF(K25="GINOS",PR!$W23,IF(K25="GSK",PR!$X23,IF(K25="GLOBORG",PR!$Y23,IF(K25="GOODNEWS",PR!$Z23,IF(K25="GREENLIFE",PR!$AA23,IF(K25="HLINE",PR!$AB23,IF(K25="ROTECH",PR!$AC23,IF(K25="ISN",PR!$AD23,IF(K25="JAWA",PR!$AE23,IF(K25="LAYO",PR!$AF23,IF(K25="LEADWAY",PR!$AG23,IF(K25="LHV",PR!$AH23,IF(K25="MANOLA",PR!$AI23,IF(K25="MARCSON",PR!$AJ23,IF(K25="M&amp;B",PR!$AK23,IF(K25="MTRUST",PR!$AL23,IF(K25="MWORLD",PR!$AM23,IF(K25="MEGA",PR!$AN23,IF(K25="MICRONOVA",PR!$AO23,IF(K25="MFLASH",PR!$AP23,IF(K25="MORISON",PR!$AQ23,IF(K25="NEMEL",PR!$AR23,IF(K25="NHP",PR!$AS23,IF(K25="NHC",PR!$AT23,IF(K25="OLEAF",PR!$AU23,IF(K25="OCULUS",PR!$AV23,IF(K25="PACIFIC",PR!$AW23,IF(K25="PHAMATEX",PR!$AX23,IF(K25="PETHICS",PR!$AY23,IF(K25="PHILIPS",PR!$AZ23,IF(K25="RANBAXY",PR!$BA23,IF(K25="REALS",PR!$BB23,IF(K25="ROYAL",PR!$BC23,IF(K25="SAM",PR!$BD23,IF(K25="SEAGREEN",PR!$BE23,IF(K25="SKG",PR!$BF23,IF(K25="TAH",PR!$BG23,IF(K25="TAYLEK",PR!$BH23,IF(K25="TEMITA",PR!$BI23,IF(K25="THL",PR!$BJ23,IF(K25="UBASTIC",PR!$BK23,IF(K25="UNION",PR!$BL23,IF(K25="UNIQUE",PR!$BM23,IF(K25="VIXA",PR!$BN23,IF(K25="WWCV",PR!$BO23,IF(K25="ZOLON",PR!$BP23,"-")))))))))))))))))))))))))))))))))))))))))))))))))))))))))))))))))</f>
        <v>0</v>
      </c>
    </row>
    <row r="26" spans="1:12" ht="18.75" x14ac:dyDescent="0.3">
      <c r="A26" s="430">
        <f>PR!A24</f>
        <v>14</v>
      </c>
      <c r="B26" s="15" t="str">
        <f>PR!B24</f>
        <v>PROGUANIL 100MG TAB</v>
      </c>
      <c r="C26" s="113">
        <f>PR!D24</f>
        <v>100</v>
      </c>
      <c r="D26" s="113">
        <f>PR!C24</f>
        <v>200</v>
      </c>
      <c r="E26" s="108">
        <f>IF(F26="ALPHA",PR!$E24,IF(F26="ASSENE",PR!$F24,IF(F26="BIOFEM",PR!$G24,IF(F26="BIOMED",PR!$H24,IF(F26="CHI",PR!$I24,IF(F26="CLARION",PR!$J24,IF(F26="CODIX",PR!$K24,IF(F26="COSMADE",PR!$L24,IF(F26="SANCON",PR!$M24,IF(F26="DEVON",PR!$N24,IF(F26="DORTEMAG",PR!$O24,IF(F26="DGF",PR!$P24,IF(F26="DYNAMIC",PR!$Q24,IF(F26="EMZOR",PR!$R24,IF(F26="EUMATT",PR!$S24,IF(F26="FIDSON",PR!$T24,IF(F26="FCGLOBAL",PR!$U24,IF(F26="GENEITH",PR!$V24,IF(F26="GINOS",PR!$W24,IF(F26="GSK",PR!$X24,IF(F26="GLOBORG",PR!$Y24,IF(F26="GOODNEWS",PR!$Z24,IF(F26="GREENLIFE",PR!$AA24,IF(F26="HLINE",PR!$AB24,IF(F26="ROTECH",PR!$AC24,IF(F26="ISN",PR!$AD24,IF(F26="JAWA",PR!$AE24,IF(F26="LAYO",PR!$AF24,IF(F26="LEADWAY",PR!$AG24,IF(F26="LHV",PR!$AH24,IF(F26="MANOLA",PR!$AI24,IF(F26="MARCSON",PR!$AJ24,IF(F26="M&amp;B",PR!$AK24,IF(F26="MTRUST",PR!$AL24,IF(F26="MWORLD",PR!$AM24,IF(F26="MEGA",PR!$AN24,IF(F26="MICRONOVA",PR!$AO24,IF(F26="MFLASH",PR!$AP24,IF(F26="MORISON",PR!$AQ24,IF(F26="NEMEL",PR!$AR24,IF(F26="NHP",PR!$AS24,IF(F26="NHC",PR!$AT24,IF(F26="OLEAF",PR!$AU24,IF(F26="OCULUS",PR!$AV24,IF(F26="PACIFIC",PR!$AW24,IF(F26="PHAMATEX",PR!$AX24,IF(F26="PETHICS",PR!$AY24,IF(F26="PHILIPS",PR!$AZ24,IF(F26="RANBAXY",PR!$BA24,IF(F26="REALS",PR!$BB24,IF(F26="ROYAL",PR!$BC24,IF(F26="SAM",PR!$BD24,IF(F26="SEAGREEN",PR!$BE24,IF(F26="SKG",PR!$BF24,IF(F26="TAH",PR!$BG24,IF(F26="TAYLEK",PR!$BH24,IF(F26="TEMITA",PR!$BI24,IF(F26="THL",PR!$BJ24,IF(F26="UBASTIC",PR!$BK24,IF(F26="UNION",PR!$BL24,IF(F26="UNIQUE",PR!$BM24,IF(F26="VIXA",PR!$BN24,IF(F26="WWCV",PR!$BO24,IF(F26="ZOLON",PR!$BP24,"-"))))))))))))))))))))))))))))))))))))))))))))))))))))))))))))))))</f>
        <v>700</v>
      </c>
      <c r="F26" s="102" t="str">
        <f>EV!L32</f>
        <v>EUMATT</v>
      </c>
      <c r="G26" s="108">
        <f>IF(H26="ALPHA",PR!$E24,IF(H26="ASSENE",PR!$F24,IF(H26="BIOFEM",PR!$G24,IF(H26="BIOMED",PR!$H24,IF(H26="CHI",PR!$I24,IF(H26="CLARION",PR!$J24,IF(H26="CODIX",PR!$K24,IF(H26="COSMADE",PR!$L24,IF(H26="SANCON",PR!$M24,IF(H26="DEVON",PR!$N24,IF(H26="DORTEMAG",PR!$O24,IF(H26="DGF",PR!$P24,IF(H26="DYNAMIC",PR!$Q24,IF(H26="EMZOR",PR!$R24,IF(H26="EUMATT",PR!$S24,IF(H26="FIDSON",PR!$T24,IF(H26="FCGLOBAL",PR!$U24,IF(H26="GENEITH",PR!$V24,IF(H26="GINOS",PR!$W24,IF(H26="GSK",PR!$X24,IF(H26="GLOBORG",PR!$Y24,IF(H26="GOODNEWS",PR!$Z24,IF(H26="GREENLIFE",PR!$AA24,IF(H26="HLINE",PR!$AB24,IF(H26="ROTECH",PR!$AC24,IF(H26="ISN",PR!$AD24,IF(H26="JAWA",PR!$AE24,IF(H26="LAYO",PR!$AF24,IF(H26="LEADWAY",PR!$AG24,IF(H26="LHV",PR!$AH24,IF(H26="MANOLA",PR!$AI24,IF(H26="MARCSON",PR!$AJ24,IF(H26="M&amp;B",PR!$AK24,IF(H26="MTRUST",PR!$AL24,IF(H26="MWORLD",PR!$AM24,IF(H26="MEGA",PR!$AN24,IF(H26="MICRONOVA",PR!$AO24,IF(H26="MFLASH",PR!$AP24,IF(H26="MORISON",PR!$AQ24,IF(H26="NEMEL",PR!$AR24,IF(H26="NHP",PR!$AS24,IF(H26="NHC",PR!$AT24,IF(H26="OLEAF",PR!$AU24,IF(H26="OCULUS",PR!$AV24,IF(H26="PACIFIC",PR!$AW24,IF(H26="PHAMATEX",PR!$AX24,IF(H26="PETHICS",PR!$AY24,IF(H26="PHILIPS",PR!$AZ24,IF(H26="RANBAXY",PR!$BA24,IF(H26="REALS",PR!$BB24,IF(H26="ROYAL",PR!$BC24,IF(H26="SAM",PR!$BD24,IF(H26="SEAGREEN",PR!$BE24,IF(H26="SKG",PR!$BF24,IF(H26="TAH",PR!$BG24,IF(H26="TAYLEK",PR!$BH24,IF(H26="TEMITA",PR!$BI24,IF(H26="THL",PR!$BJ24,IF(H26="UBASTIC",PR!$BK24,IF(H26="UNION",PR!$BL24,IF(H26="UNIQUE",PR!$BM24,IF(H26="VIXA",PR!$BN24,IF(H26="WWCV",PR!$BO24,IF(H26="ZOLON",PR!$BP24,"-"))))))))))))))))))))))))))))))))))))))))))))))))))))))))))))))))</f>
        <v>1400</v>
      </c>
      <c r="H26" s="102" t="str">
        <f>EV!M32</f>
        <v>LEADWAY</v>
      </c>
      <c r="I26" s="108">
        <f>IF(J26="ALPHA",PR!$E24,IF(J26="ASSENE",PR!$F24,IF(J26="BIOFEM",PR!$G24,IF(J26="BIOMED",PR!$H24,IF(J26="CHI",PR!$I24,IF(J26="CLARION",PR!$J24,IF(J26="CODIX",PR!$K24,IF(J26="COSMADE",PR!$L24,IF(J26="SANCON",PR!$M24,IF(J26="DEVON",PR!$N24,IF(J26="DORTEMAG",PR!$O24,IF(J26="DGF",PR!$P24,IF(J26="DYNAMIC",PR!$Q24,IF(J26="EMZOR",PR!$R24,IF(J26="EUMATT",PR!$S24,IF(J26="FIDSON",PR!$T24,IF(J26="FCGLOBAL",PR!$U24,IF(J26="GENEITH",PR!$V24,IF(J26="GINOS",PR!$W24,IF(J26="GSK",PR!$X24,IF(J26="GLOBORG",PR!$Y24,IF(J26="GOODNEWS",PR!$Z24,IF(J26="GREENLIFE",PR!$AA24,IF(J26="HLINE",PR!$AB24,IF(J26="ROTECH",PR!$AC24,IF(J26="ISN",PR!$AD24,IF(J26="JAWA",PR!$AE24,IF(J26="LAYO",PR!$AF24,IF(J26="LEADWAY",PR!$AG24,IF(J26="LHV",PR!$AH24,IF(J26="MANOLA",PR!$AI24,IF(J26="MARCSON",PR!$AJ24,IF(J26="M&amp;B",PR!$AK24,IF(J26="MTRUST",PR!$AL24,IF(J26="MWORLD",PR!$AM24,IF(J26="MEGA",PR!$AN24,IF(J26="MICRONOVA",PR!$AO24,IF(J26="MFLASH",PR!$AP24,IF(J26="MORISON",PR!$AQ24,IF(J26="NEMEL",PR!$AR24,IF(J26="NHP",PR!$AS24,IF(J26="NHC",PR!$AT24,IF(J26="OLEAF",PR!$AU24,IF(J26="OCULUS",PR!$AV24,IF(J26="PACIFIC",PR!$AW24,IF(J26="PHAMATEX",PR!$AX24,IF(J26="PETHICS",PR!$AY24,IF(J26="PHILIPS",PR!$AZ24,IF(J26="RANBAXY",PR!$BA24,IF(J26="REALS",PR!$BB24,IF(J26="ROYAL",PR!$BC24,IF(J26="SAM",PR!$BD24,IF(J26="SEAGREEN",PR!$BE24,IF(J26="SKG",PR!$BF24,IF(J26="TAH",PR!$BG24,IF(J26="TAYLEK",PR!$BH24,IF(J26="TEMITA",PR!$BI24,IF(J26="THL",PR!$BJ24,IF(J26="UBASTIC",PR!$BK24,IF(J26="UNION",PR!$BL24,IF(J26="UNIQUE",PR!$BM24,IF(J26="VIXA",PR!$BN24,IF(J26="WWCV",PR!$BO24,IF(J26="ZOLON",PR!$BP24,"-"))))))))))))))))))))))))))))))))))))))))))))))))))))))))))))))))</f>
        <v>1943</v>
      </c>
      <c r="J26" s="102" t="str">
        <f>EV!N32</f>
        <v>REALS</v>
      </c>
      <c r="K26" s="433" t="s">
        <v>821</v>
      </c>
      <c r="L26" s="183">
        <f>IF(K26&gt;0,IF(K26="ALPHA",PR!$E24,IF(K26="ASSENE",PR!$F24,IF(K26="BIOFEM",PR!$G24,IF(K26="BIOMED",PR!$H24,IF(K26="CHI",PR!$I24,IF(K26="CLARION",PR!$J24,IF(K26="CODIX",PR!$K24,IF(K26="COSMADE",PR!$L24,IF(K26="SANCON",PR!$M24,IF(K26="DEVON",PR!$N24,IF(K26="DORTEMAG",PR!$O24,IF(K26="DGF",PR!$P24,IF(K26="DYNAMIC",PR!$Q24,IF(K26="EMZOR",PR!$R24,IF(K26="EUMATT",PR!$S24,IF(K26="FIDSON",PR!$T24,IF(K26="FCGLOBAL",PR!$U24,IF(K26="GENEITH",PR!$V24,IF(K26="GINOS",PR!$W24,IF(K26="GSK",PR!$X24,IF(K26="GLOBORG",PR!$Y24,IF(K26="GOODNEWS",PR!$Z24,IF(K26="GREENLIFE",PR!$AA24,IF(K26="HLINE",PR!$AB24,IF(K26="ROTECH",PR!$AC24,IF(K26="ISN",PR!$AD24,IF(K26="JAWA",PR!$AE24,IF(K26="LAYO",PR!$AF24,IF(K26="LEADWAY",PR!$AG24,IF(K26="LHV",PR!$AH24,IF(K26="MANOLA",PR!$AI24,IF(K26="MARCSON",PR!$AJ24,IF(K26="M&amp;B",PR!$AK24,IF(K26="MTRUST",PR!$AL24,IF(K26="MWORLD",PR!$AM24,IF(K26="MEGA",PR!$AN24,IF(K26="MICRONOVA",PR!$AO24,IF(K26="MFLASH",PR!$AP24,IF(K26="MORISON",PR!$AQ24,IF(K26="NEMEL",PR!$AR24,IF(K26="NHP",PR!$AS24,IF(K26="NHC",PR!$AT24,IF(K26="OLEAF",PR!$AU24,IF(K26="OCULUS",PR!$AV24,IF(K26="PACIFIC",PR!$AW24,IF(K26="PHAMATEX",PR!$AX24,IF(K26="PETHICS",PR!$AY24,IF(K26="PHILIPS",PR!$AZ24,IF(K26="RANBAXY",PR!$BA24,IF(K26="REALS",PR!$BB24,IF(K26="ROYAL",PR!$BC24,IF(K26="SAM",PR!$BD24,IF(K26="SEAGREEN",PR!$BE24,IF(K26="SKG",PR!$BF24,IF(K26="TAH",PR!$BG24,IF(K26="TAYLEK",PR!$BH24,IF(K26="TEMITA",PR!$BI24,IF(K26="THL",PR!$BJ24,IF(K26="UBASTIC",PR!$BK24,IF(K26="UNION",PR!$BL24,IF(K26="UNIQUE",PR!$BM24,IF(K26="VIXA",PR!$BN24,IF(K26="WWCV",PR!$BO24,IF(K26="ZOLON",PR!$BP24,"-")))))))))))))))))))))))))))))))))))))))))))))))))))))))))))))))))</f>
        <v>700</v>
      </c>
    </row>
    <row r="27" spans="1:12" ht="18.75" x14ac:dyDescent="0.3">
      <c r="A27" s="430">
        <f>PR!A25</f>
        <v>15</v>
      </c>
      <c r="B27" s="15" t="str">
        <f>PR!B25</f>
        <v>PYRIMETHAMINE TAB</v>
      </c>
      <c r="C27" s="113">
        <f>PR!D25</f>
        <v>500</v>
      </c>
      <c r="D27" s="113">
        <f>PR!C25</f>
        <v>4</v>
      </c>
      <c r="E27" s="108">
        <f>IF(F27="ALPHA",PR!$E25,IF(F27="ASSENE",PR!$F25,IF(F27="BIOFEM",PR!$G25,IF(F27="BIOMED",PR!$H25,IF(F27="CHI",PR!$I25,IF(F27="CLARION",PR!$J25,IF(F27="CODIX",PR!$K25,IF(F27="COSMADE",PR!$L25,IF(F27="SANCON",PR!$M25,IF(F27="DEVON",PR!$N25,IF(F27="DORTEMAG",PR!$O25,IF(F27="DGF",PR!$P25,IF(F27="DYNAMIC",PR!$Q25,IF(F27="EMZOR",PR!$R25,IF(F27="EUMATT",PR!$S25,IF(F27="FIDSON",PR!$T25,IF(F27="FCGLOBAL",PR!$U25,IF(F27="GENEITH",PR!$V25,IF(F27="GINOS",PR!$W25,IF(F27="GSK",PR!$X25,IF(F27="GLOBORG",PR!$Y25,IF(F27="GOODNEWS",PR!$Z25,IF(F27="GREENLIFE",PR!$AA25,IF(F27="HLINE",PR!$AB25,IF(F27="ROTECH",PR!$AC25,IF(F27="ISN",PR!$AD25,IF(F27="JAWA",PR!$AE25,IF(F27="LAYO",PR!$AF25,IF(F27="LEADWAY",PR!$AG25,IF(F27="LHV",PR!$AH25,IF(F27="MANOLA",PR!$AI25,IF(F27="MARCSON",PR!$AJ25,IF(F27="M&amp;B",PR!$AK25,IF(F27="MTRUST",PR!$AL25,IF(F27="MWORLD",PR!$AM25,IF(F27="MEGA",PR!$AN25,IF(F27="MICRONOVA",PR!$AO25,IF(F27="MFLASH",PR!$AP25,IF(F27="MORISON",PR!$AQ25,IF(F27="NEMEL",PR!$AR25,IF(F27="NHP",PR!$AS25,IF(F27="NHC",PR!$AT25,IF(F27="OLEAF",PR!$AU25,IF(F27="OCULUS",PR!$AV25,IF(F27="PACIFIC",PR!$AW25,IF(F27="PHAMATEX",PR!$AX25,IF(F27="PETHICS",PR!$AY25,IF(F27="PHILIPS",PR!$AZ25,IF(F27="RANBAXY",PR!$BA25,IF(F27="REALS",PR!$BB25,IF(F27="ROYAL",PR!$BC25,IF(F27="SAM",PR!$BD25,IF(F27="SEAGREEN",PR!$BE25,IF(F27="SKG",PR!$BF25,IF(F27="TAH",PR!$BG25,IF(F27="TAYLEK",PR!$BH25,IF(F27="TEMITA",PR!$BI25,IF(F27="THL",PR!$BJ25,IF(F27="UBASTIC",PR!$BK25,IF(F27="UNION",PR!$BL25,IF(F27="UNIQUE",PR!$BM25,IF(F27="VIXA",PR!$BN25,IF(F27="WWCV",PR!$BO25,IF(F27="ZOLON",PR!$BP25,"-"))))))))))))))))))))))))))))))))))))))))))))))))))))))))))))))))</f>
        <v>1200</v>
      </c>
      <c r="F27" s="102" t="str">
        <f>EV!L33</f>
        <v>EUMATT</v>
      </c>
      <c r="G27" s="108" t="str">
        <f>IF(H27="ALPHA",PR!$E25,IF(H27="ASSENE",PR!$F25,IF(H27="BIOFEM",PR!$G25,IF(H27="BIOMED",PR!$H25,IF(H27="CHI",PR!$I25,IF(H27="CLARION",PR!$J25,IF(H27="CODIX",PR!$K25,IF(H27="COSMADE",PR!$L25,IF(H27="SANCON",PR!$M25,IF(H27="DEVON",PR!$N25,IF(H27="DORTEMAG",PR!$O25,IF(H27="DGF",PR!$P25,IF(H27="DYNAMIC",PR!$Q25,IF(H27="EMZOR",PR!$R25,IF(H27="EUMATT",PR!$S25,IF(H27="FIDSON",PR!$T25,IF(H27="FCGLOBAL",PR!$U25,IF(H27="GENEITH",PR!$V25,IF(H27="GINOS",PR!$W25,IF(H27="GSK",PR!$X25,IF(H27="GLOBORG",PR!$Y25,IF(H27="GOODNEWS",PR!$Z25,IF(H27="GREENLIFE",PR!$AA25,IF(H27="HLINE",PR!$AB25,IF(H27="ROTECH",PR!$AC25,IF(H27="ISN",PR!$AD25,IF(H27="JAWA",PR!$AE25,IF(H27="LAYO",PR!$AF25,IF(H27="LEADWAY",PR!$AG25,IF(H27="LHV",PR!$AH25,IF(H27="MANOLA",PR!$AI25,IF(H27="MARCSON",PR!$AJ25,IF(H27="M&amp;B",PR!$AK25,IF(H27="MTRUST",PR!$AL25,IF(H27="MWORLD",PR!$AM25,IF(H27="MEGA",PR!$AN25,IF(H27="MICRONOVA",PR!$AO25,IF(H27="MFLASH",PR!$AP25,IF(H27="MORISON",PR!$AQ25,IF(H27="NEMEL",PR!$AR25,IF(H27="NHP",PR!$AS25,IF(H27="NHC",PR!$AT25,IF(H27="OLEAF",PR!$AU25,IF(H27="OCULUS",PR!$AV25,IF(H27="PACIFIC",PR!$AW25,IF(H27="PHAMATEX",PR!$AX25,IF(H27="PETHICS",PR!$AY25,IF(H27="PHILIPS",PR!$AZ25,IF(H27="RANBAXY",PR!$BA25,IF(H27="REALS",PR!$BB25,IF(H27="ROYAL",PR!$BC25,IF(H27="SAM",PR!$BD25,IF(H27="SEAGREEN",PR!$BE25,IF(H27="SKG",PR!$BF25,IF(H27="TAH",PR!$BG25,IF(H27="TAYLEK",PR!$BH25,IF(H27="TEMITA",PR!$BI25,IF(H27="THL",PR!$BJ25,IF(H27="UBASTIC",PR!$BK25,IF(H27="UNION",PR!$BL25,IF(H27="UNIQUE",PR!$BM25,IF(H27="VIXA",PR!$BN25,IF(H27="WWCV",PR!$BO25,IF(H27="ZOLON",PR!$BP25,"-"))))))))))))))))))))))))))))))))))))))))))))))))))))))))))))))))</f>
        <v>-</v>
      </c>
      <c r="H27" s="102">
        <f>EV!M33</f>
        <v>0</v>
      </c>
      <c r="I27" s="108" t="str">
        <f>IF(J27="ALPHA",PR!$E25,IF(J27="ASSENE",PR!$F25,IF(J27="BIOFEM",PR!$G25,IF(J27="BIOMED",PR!$H25,IF(J27="CHI",PR!$I25,IF(J27="CLARION",PR!$J25,IF(J27="CODIX",PR!$K25,IF(J27="COSMADE",PR!$L25,IF(J27="SANCON",PR!$M25,IF(J27="DEVON",PR!$N25,IF(J27="DORTEMAG",PR!$O25,IF(J27="DGF",PR!$P25,IF(J27="DYNAMIC",PR!$Q25,IF(J27="EMZOR",PR!$R25,IF(J27="EUMATT",PR!$S25,IF(J27="FIDSON",PR!$T25,IF(J27="FCGLOBAL",PR!$U25,IF(J27="GENEITH",PR!$V25,IF(J27="GINOS",PR!$W25,IF(J27="GSK",PR!$X25,IF(J27="GLOBORG",PR!$Y25,IF(J27="GOODNEWS",PR!$Z25,IF(J27="GREENLIFE",PR!$AA25,IF(J27="HLINE",PR!$AB25,IF(J27="ROTECH",PR!$AC25,IF(J27="ISN",PR!$AD25,IF(J27="JAWA",PR!$AE25,IF(J27="LAYO",PR!$AF25,IF(J27="LEADWAY",PR!$AG25,IF(J27="LHV",PR!$AH25,IF(J27="MANOLA",PR!$AI25,IF(J27="MARCSON",PR!$AJ25,IF(J27="M&amp;B",PR!$AK25,IF(J27="MTRUST",PR!$AL25,IF(J27="MWORLD",PR!$AM25,IF(J27="MEGA",PR!$AN25,IF(J27="MICRONOVA",PR!$AO25,IF(J27="MFLASH",PR!$AP25,IF(J27="MORISON",PR!$AQ25,IF(J27="NEMEL",PR!$AR25,IF(J27="NHP",PR!$AS25,IF(J27="NHC",PR!$AT25,IF(J27="OLEAF",PR!$AU25,IF(J27="OCULUS",PR!$AV25,IF(J27="PACIFIC",PR!$AW25,IF(J27="PHAMATEX",PR!$AX25,IF(J27="PETHICS",PR!$AY25,IF(J27="PHILIPS",PR!$AZ25,IF(J27="RANBAXY",PR!$BA25,IF(J27="REALS",PR!$BB25,IF(J27="ROYAL",PR!$BC25,IF(J27="SAM",PR!$BD25,IF(J27="SEAGREEN",PR!$BE25,IF(J27="SKG",PR!$BF25,IF(J27="TAH",PR!$BG25,IF(J27="TAYLEK",PR!$BH25,IF(J27="TEMITA",PR!$BI25,IF(J27="THL",PR!$BJ25,IF(J27="UBASTIC",PR!$BK25,IF(J27="UNION",PR!$BL25,IF(J27="UNIQUE",PR!$BM25,IF(J27="VIXA",PR!$BN25,IF(J27="WWCV",PR!$BO25,IF(J27="ZOLON",PR!$BP25,"-"))))))))))))))))))))))))))))))))))))))))))))))))))))))))))))))))</f>
        <v>-</v>
      </c>
      <c r="J27" s="102">
        <f>EV!N33</f>
        <v>0</v>
      </c>
      <c r="K27" s="433" t="s">
        <v>821</v>
      </c>
      <c r="L27" s="183">
        <f>IF(K27&gt;0,IF(K27="ALPHA",PR!$E25,IF(K27="ASSENE",PR!$F25,IF(K27="BIOFEM",PR!$G25,IF(K27="BIOMED",PR!$H25,IF(K27="CHI",PR!$I25,IF(K27="CLARION",PR!$J25,IF(K27="CODIX",PR!$K25,IF(K27="COSMADE",PR!$L25,IF(K27="SANCON",PR!$M25,IF(K27="DEVON",PR!$N25,IF(K27="DORTEMAG",PR!$O25,IF(K27="DGF",PR!$P25,IF(K27="DYNAMIC",PR!$Q25,IF(K27="EMZOR",PR!$R25,IF(K27="EUMATT",PR!$S25,IF(K27="FIDSON",PR!$T25,IF(K27="FCGLOBAL",PR!$U25,IF(K27="GENEITH",PR!$V25,IF(K27="GINOS",PR!$W25,IF(K27="GSK",PR!$X25,IF(K27="GLOBORG",PR!$Y25,IF(K27="GOODNEWS",PR!$Z25,IF(K27="GREENLIFE",PR!$AA25,IF(K27="HLINE",PR!$AB25,IF(K27="ROTECH",PR!$AC25,IF(K27="ISN",PR!$AD25,IF(K27="JAWA",PR!$AE25,IF(K27="LAYO",PR!$AF25,IF(K27="LEADWAY",PR!$AG25,IF(K27="LHV",PR!$AH25,IF(K27="MANOLA",PR!$AI25,IF(K27="MARCSON",PR!$AJ25,IF(K27="M&amp;B",PR!$AK25,IF(K27="MTRUST",PR!$AL25,IF(K27="MWORLD",PR!$AM25,IF(K27="MEGA",PR!$AN25,IF(K27="MICRONOVA",PR!$AO25,IF(K27="MFLASH",PR!$AP25,IF(K27="MORISON",PR!$AQ25,IF(K27="NEMEL",PR!$AR25,IF(K27="NHP",PR!$AS25,IF(K27="NHC",PR!$AT25,IF(K27="OLEAF",PR!$AU25,IF(K27="OCULUS",PR!$AV25,IF(K27="PACIFIC",PR!$AW25,IF(K27="PHAMATEX",PR!$AX25,IF(K27="PETHICS",PR!$AY25,IF(K27="PHILIPS",PR!$AZ25,IF(K27="RANBAXY",PR!$BA25,IF(K27="REALS",PR!$BB25,IF(K27="ROYAL",PR!$BC25,IF(K27="SAM",PR!$BD25,IF(K27="SEAGREEN",PR!$BE25,IF(K27="SKG",PR!$BF25,IF(K27="TAH",PR!$BG25,IF(K27="TAYLEK",PR!$BH25,IF(K27="TEMITA",PR!$BI25,IF(K27="THL",PR!$BJ25,IF(K27="UBASTIC",PR!$BK25,IF(K27="UNION",PR!$BL25,IF(K27="UNIQUE",PR!$BM25,IF(K27="VIXA",PR!$BN25,IF(K27="WWCV",PR!$BO25,IF(K27="ZOLON",PR!$BP25,"-")))))))))))))))))))))))))))))))))))))))))))))))))))))))))))))))))</f>
        <v>1200</v>
      </c>
    </row>
    <row r="28" spans="1:12" ht="18.75" x14ac:dyDescent="0.3">
      <c r="A28" s="430">
        <f>PR!A26</f>
        <v>16</v>
      </c>
      <c r="B28" s="15" t="str">
        <f>PR!B26</f>
        <v>QUININE 200ML SYR</v>
      </c>
      <c r="C28" s="113" t="str">
        <f>PR!D26</f>
        <v>BOTT</v>
      </c>
      <c r="D28" s="113">
        <f>PR!C26</f>
        <v>40</v>
      </c>
      <c r="E28" s="108">
        <f>IF(F28="ALPHA",PR!$E26,IF(F28="ASSENE",PR!$F26,IF(F28="BIOFEM",PR!$G26,IF(F28="BIOMED",PR!$H26,IF(F28="CHI",PR!$I26,IF(F28="CLARION",PR!$J26,IF(F28="CODIX",PR!$K26,IF(F28="COSMADE",PR!$L26,IF(F28="SANCON",PR!$M26,IF(F28="DEVON",PR!$N26,IF(F28="DORTEMAG",PR!$O26,IF(F28="DGF",PR!$P26,IF(F28="DYNAMIC",PR!$Q26,IF(F28="EMZOR",PR!$R26,IF(F28="EUMATT",PR!$S26,IF(F28="FIDSON",PR!$T26,IF(F28="FCGLOBAL",PR!$U26,IF(F28="GENEITH",PR!$V26,IF(F28="GINOS",PR!$W26,IF(F28="GSK",PR!$X26,IF(F28="GLOBORG",PR!$Y26,IF(F28="GOODNEWS",PR!$Z26,IF(F28="GREENLIFE",PR!$AA26,IF(F28="HLINE",PR!$AB26,IF(F28="ROTECH",PR!$AC26,IF(F28="ISN",PR!$AD26,IF(F28="JAWA",PR!$AE26,IF(F28="LAYO",PR!$AF26,IF(F28="LEADWAY",PR!$AG26,IF(F28="LHV",PR!$AH26,IF(F28="MANOLA",PR!$AI26,IF(F28="MARCSON",PR!$AJ26,IF(F28="M&amp;B",PR!$AK26,IF(F28="MTRUST",PR!$AL26,IF(F28="MWORLD",PR!$AM26,IF(F28="MEGA",PR!$AN26,IF(F28="MICRONOVA",PR!$AO26,IF(F28="MFLASH",PR!$AP26,IF(F28="MORISON",PR!$AQ26,IF(F28="NEMEL",PR!$AR26,IF(F28="NHP",PR!$AS26,IF(F28="NHC",PR!$AT26,IF(F28="OLEAF",PR!$AU26,IF(F28="OCULUS",PR!$AV26,IF(F28="PACIFIC",PR!$AW26,IF(F28="PHAMATEX",PR!$AX26,IF(F28="PETHICS",PR!$AY26,IF(F28="PHILIPS",PR!$AZ26,IF(F28="RANBAXY",PR!$BA26,IF(F28="REALS",PR!$BB26,IF(F28="ROYAL",PR!$BC26,IF(F28="SAM",PR!$BD26,IF(F28="SEAGREEN",PR!$BE26,IF(F28="SKG",PR!$BF26,IF(F28="TAH",PR!$BG26,IF(F28="TAYLEK",PR!$BH26,IF(F28="TEMITA",PR!$BI26,IF(F28="THL",PR!$BJ26,IF(F28="UBASTIC",PR!$BK26,IF(F28="UNION",PR!$BL26,IF(F28="UNIQUE",PR!$BM26,IF(F28="VIXA",PR!$BN26,IF(F28="WWCV",PR!$BO26,IF(F28="ZOLON",PR!$BP26,"-"))))))))))))))))))))))))))))))))))))))))))))))))))))))))))))))))</f>
        <v>480</v>
      </c>
      <c r="F28" s="102" t="str">
        <f>EV!L34</f>
        <v>EUMATT</v>
      </c>
      <c r="G28" s="108" t="str">
        <f>IF(H28="ALPHA",PR!$E26,IF(H28="ASSENE",PR!$F26,IF(H28="BIOFEM",PR!$G26,IF(H28="BIOMED",PR!$H26,IF(H28="CHI",PR!$I26,IF(H28="CLARION",PR!$J26,IF(H28="CODIX",PR!$K26,IF(H28="COSMADE",PR!$L26,IF(H28="SANCON",PR!$M26,IF(H28="DEVON",PR!$N26,IF(H28="DORTEMAG",PR!$O26,IF(H28="DGF",PR!$P26,IF(H28="DYNAMIC",PR!$Q26,IF(H28="EMZOR",PR!$R26,IF(H28="EUMATT",PR!$S26,IF(H28="FIDSON",PR!$T26,IF(H28="FCGLOBAL",PR!$U26,IF(H28="GENEITH",PR!$V26,IF(H28="GINOS",PR!$W26,IF(H28="GSK",PR!$X26,IF(H28="GLOBORG",PR!$Y26,IF(H28="GOODNEWS",PR!$Z26,IF(H28="GREENLIFE",PR!$AA26,IF(H28="HLINE",PR!$AB26,IF(H28="ROTECH",PR!$AC26,IF(H28="ISN",PR!$AD26,IF(H28="JAWA",PR!$AE26,IF(H28="LAYO",PR!$AF26,IF(H28="LEADWAY",PR!$AG26,IF(H28="LHV",PR!$AH26,IF(H28="MANOLA",PR!$AI26,IF(H28="MARCSON",PR!$AJ26,IF(H28="M&amp;B",PR!$AK26,IF(H28="MTRUST",PR!$AL26,IF(H28="MWORLD",PR!$AM26,IF(H28="MEGA",PR!$AN26,IF(H28="MICRONOVA",PR!$AO26,IF(H28="MFLASH",PR!$AP26,IF(H28="MORISON",PR!$AQ26,IF(H28="NEMEL",PR!$AR26,IF(H28="NHP",PR!$AS26,IF(H28="NHC",PR!$AT26,IF(H28="OLEAF",PR!$AU26,IF(H28="OCULUS",PR!$AV26,IF(H28="PACIFIC",PR!$AW26,IF(H28="PHAMATEX",PR!$AX26,IF(H28="PETHICS",PR!$AY26,IF(H28="PHILIPS",PR!$AZ26,IF(H28="RANBAXY",PR!$BA26,IF(H28="REALS",PR!$BB26,IF(H28="ROYAL",PR!$BC26,IF(H28="SAM",PR!$BD26,IF(H28="SEAGREEN",PR!$BE26,IF(H28="SKG",PR!$BF26,IF(H28="TAH",PR!$BG26,IF(H28="TAYLEK",PR!$BH26,IF(H28="TEMITA",PR!$BI26,IF(H28="THL",PR!$BJ26,IF(H28="UBASTIC",PR!$BK26,IF(H28="UNION",PR!$BL26,IF(H28="UNIQUE",PR!$BM26,IF(H28="VIXA",PR!$BN26,IF(H28="WWCV",PR!$BO26,IF(H28="ZOLON",PR!$BP26,"-"))))))))))))))))))))))))))))))))))))))))))))))))))))))))))))))))</f>
        <v>-</v>
      </c>
      <c r="H28" s="102">
        <f>EV!M34</f>
        <v>0</v>
      </c>
      <c r="I28" s="108" t="str">
        <f>IF(J28="ALPHA",PR!$E26,IF(J28="ASSENE",PR!$F26,IF(J28="BIOFEM",PR!$G26,IF(J28="BIOMED",PR!$H26,IF(J28="CHI",PR!$I26,IF(J28="CLARION",PR!$J26,IF(J28="CODIX",PR!$K26,IF(J28="COSMADE",PR!$L26,IF(J28="SANCON",PR!$M26,IF(J28="DEVON",PR!$N26,IF(J28="DORTEMAG",PR!$O26,IF(J28="DGF",PR!$P26,IF(J28="DYNAMIC",PR!$Q26,IF(J28="EMZOR",PR!$R26,IF(J28="EUMATT",PR!$S26,IF(J28="FIDSON",PR!$T26,IF(J28="FCGLOBAL",PR!$U26,IF(J28="GENEITH",PR!$V26,IF(J28="GINOS",PR!$W26,IF(J28="GSK",PR!$X26,IF(J28="GLOBORG",PR!$Y26,IF(J28="GOODNEWS",PR!$Z26,IF(J28="GREENLIFE",PR!$AA26,IF(J28="HLINE",PR!$AB26,IF(J28="ROTECH",PR!$AC26,IF(J28="ISN",PR!$AD26,IF(J28="JAWA",PR!$AE26,IF(J28="LAYO",PR!$AF26,IF(J28="LEADWAY",PR!$AG26,IF(J28="LHV",PR!$AH26,IF(J28="MANOLA",PR!$AI26,IF(J28="MARCSON",PR!$AJ26,IF(J28="M&amp;B",PR!$AK26,IF(J28="MTRUST",PR!$AL26,IF(J28="MWORLD",PR!$AM26,IF(J28="MEGA",PR!$AN26,IF(J28="MICRONOVA",PR!$AO26,IF(J28="MFLASH",PR!$AP26,IF(J28="MORISON",PR!$AQ26,IF(J28="NEMEL",PR!$AR26,IF(J28="NHP",PR!$AS26,IF(J28="NHC",PR!$AT26,IF(J28="OLEAF",PR!$AU26,IF(J28="OCULUS",PR!$AV26,IF(J28="PACIFIC",PR!$AW26,IF(J28="PHAMATEX",PR!$AX26,IF(J28="PETHICS",PR!$AY26,IF(J28="PHILIPS",PR!$AZ26,IF(J28="RANBAXY",PR!$BA26,IF(J28="REALS",PR!$BB26,IF(J28="ROYAL",PR!$BC26,IF(J28="SAM",PR!$BD26,IF(J28="SEAGREEN",PR!$BE26,IF(J28="SKG",PR!$BF26,IF(J28="TAH",PR!$BG26,IF(J28="TAYLEK",PR!$BH26,IF(J28="TEMITA",PR!$BI26,IF(J28="THL",PR!$BJ26,IF(J28="UBASTIC",PR!$BK26,IF(J28="UNION",PR!$BL26,IF(J28="UNIQUE",PR!$BM26,IF(J28="VIXA",PR!$BN26,IF(J28="WWCV",PR!$BO26,IF(J28="ZOLON",PR!$BP26,"-"))))))))))))))))))))))))))))))))))))))))))))))))))))))))))))))))</f>
        <v>-</v>
      </c>
      <c r="J28" s="102">
        <f>EV!N34</f>
        <v>0</v>
      </c>
      <c r="K28" s="433" t="s">
        <v>821</v>
      </c>
      <c r="L28" s="183">
        <f>IF(K28&gt;0,IF(K28="ALPHA",PR!$E26,IF(K28="ASSENE",PR!$F26,IF(K28="BIOFEM",PR!$G26,IF(K28="BIOMED",PR!$H26,IF(K28="CHI",PR!$I26,IF(K28="CLARION",PR!$J26,IF(K28="CODIX",PR!$K26,IF(K28="COSMADE",PR!$L26,IF(K28="SANCON",PR!$M26,IF(K28="DEVON",PR!$N26,IF(K28="DORTEMAG",PR!$O26,IF(K28="DGF",PR!$P26,IF(K28="DYNAMIC",PR!$Q26,IF(K28="EMZOR",PR!$R26,IF(K28="EUMATT",PR!$S26,IF(K28="FIDSON",PR!$T26,IF(K28="FCGLOBAL",PR!$U26,IF(K28="GENEITH",PR!$V26,IF(K28="GINOS",PR!$W26,IF(K28="GSK",PR!$X26,IF(K28="GLOBORG",PR!$Y26,IF(K28="GOODNEWS",PR!$Z26,IF(K28="GREENLIFE",PR!$AA26,IF(K28="HLINE",PR!$AB26,IF(K28="ROTECH",PR!$AC26,IF(K28="ISN",PR!$AD26,IF(K28="JAWA",PR!$AE26,IF(K28="LAYO",PR!$AF26,IF(K28="LEADWAY",PR!$AG26,IF(K28="LHV",PR!$AH26,IF(K28="MANOLA",PR!$AI26,IF(K28="MARCSON",PR!$AJ26,IF(K28="M&amp;B",PR!$AK26,IF(K28="MTRUST",PR!$AL26,IF(K28="MWORLD",PR!$AM26,IF(K28="MEGA",PR!$AN26,IF(K28="MICRONOVA",PR!$AO26,IF(K28="MFLASH",PR!$AP26,IF(K28="MORISON",PR!$AQ26,IF(K28="NEMEL",PR!$AR26,IF(K28="NHP",PR!$AS26,IF(K28="NHC",PR!$AT26,IF(K28="OLEAF",PR!$AU26,IF(K28="OCULUS",PR!$AV26,IF(K28="PACIFIC",PR!$AW26,IF(K28="PHAMATEX",PR!$AX26,IF(K28="PETHICS",PR!$AY26,IF(K28="PHILIPS",PR!$AZ26,IF(K28="RANBAXY",PR!$BA26,IF(K28="REALS",PR!$BB26,IF(K28="ROYAL",PR!$BC26,IF(K28="SAM",PR!$BD26,IF(K28="SEAGREEN",PR!$BE26,IF(K28="SKG",PR!$BF26,IF(K28="TAH",PR!$BG26,IF(K28="TAYLEK",PR!$BH26,IF(K28="TEMITA",PR!$BI26,IF(K28="THL",PR!$BJ26,IF(K28="UBASTIC",PR!$BK26,IF(K28="UNION",PR!$BL26,IF(K28="UNIQUE",PR!$BM26,IF(K28="VIXA",PR!$BN26,IF(K28="WWCV",PR!$BO26,IF(K28="ZOLON",PR!$BP26,"-")))))))))))))))))))))))))))))))))))))))))))))))))))))))))))))))))</f>
        <v>480</v>
      </c>
    </row>
    <row r="29" spans="1:12" ht="18.75" x14ac:dyDescent="0.3">
      <c r="A29" s="430">
        <f>PR!A27</f>
        <v>17</v>
      </c>
      <c r="B29" s="15" t="str">
        <f>PR!B27</f>
        <v>QUININE INJ</v>
      </c>
      <c r="C29" s="113">
        <f>PR!D27</f>
        <v>100</v>
      </c>
      <c r="D29" s="113">
        <f>PR!C27</f>
        <v>1</v>
      </c>
      <c r="E29" s="108">
        <f>IF(F29="ALPHA",PR!$E27,IF(F29="ASSENE",PR!$F27,IF(F29="BIOFEM",PR!$G27,IF(F29="BIOMED",PR!$H27,IF(F29="CHI",PR!$I27,IF(F29="CLARION",PR!$J27,IF(F29="CODIX",PR!$K27,IF(F29="COSMADE",PR!$L27,IF(F29="SANCON",PR!$M27,IF(F29="DEVON",PR!$N27,IF(F29="DORTEMAG",PR!$O27,IF(F29="DGF",PR!$P27,IF(F29="DYNAMIC",PR!$Q27,IF(F29="EMZOR",PR!$R27,IF(F29="EUMATT",PR!$S27,IF(F29="FIDSON",PR!$T27,IF(F29="FCGLOBAL",PR!$U27,IF(F29="GENEITH",PR!$V27,IF(F29="GINOS",PR!$W27,IF(F29="GSK",PR!$X27,IF(F29="GLOBORG",PR!$Y27,IF(F29="GOODNEWS",PR!$Z27,IF(F29="GREENLIFE",PR!$AA27,IF(F29="HLINE",PR!$AB27,IF(F29="ROTECH",PR!$AC27,IF(F29="ISN",PR!$AD27,IF(F29="JAWA",PR!$AE27,IF(F29="LAYO",PR!$AF27,IF(F29="LEADWAY",PR!$AG27,IF(F29="LHV",PR!$AH27,IF(F29="MANOLA",PR!$AI27,IF(F29="MARCSON",PR!$AJ27,IF(F29="M&amp;B",PR!$AK27,IF(F29="MTRUST",PR!$AL27,IF(F29="MWORLD",PR!$AM27,IF(F29="MEGA",PR!$AN27,IF(F29="MICRONOVA",PR!$AO27,IF(F29="MFLASH",PR!$AP27,IF(F29="MORISON",PR!$AQ27,IF(F29="NEMEL",PR!$AR27,IF(F29="NHP",PR!$AS27,IF(F29="NHC",PR!$AT27,IF(F29="OLEAF",PR!$AU27,IF(F29="OCULUS",PR!$AV27,IF(F29="PACIFIC",PR!$AW27,IF(F29="PHAMATEX",PR!$AX27,IF(F29="PETHICS",PR!$AY27,IF(F29="PHILIPS",PR!$AZ27,IF(F29="RANBAXY",PR!$BA27,IF(F29="REALS",PR!$BB27,IF(F29="ROYAL",PR!$BC27,IF(F29="SAM",PR!$BD27,IF(F29="SEAGREEN",PR!$BE27,IF(F29="SKG",PR!$BF27,IF(F29="TAH",PR!$BG27,IF(F29="TAYLEK",PR!$BH27,IF(F29="TEMITA",PR!$BI27,IF(F29="THL",PR!$BJ27,IF(F29="UBASTIC",PR!$BK27,IF(F29="UNION",PR!$BL27,IF(F29="UNIQUE",PR!$BM27,IF(F29="VIXA",PR!$BN27,IF(F29="WWCV",PR!$BO27,IF(F29="ZOLON",PR!$BP27,"-"))))))))))))))))))))))))))))))))))))))))))))))))))))))))))))))))</f>
        <v>6200</v>
      </c>
      <c r="F29" s="102" t="str">
        <f>EV!L35</f>
        <v>EUMATT</v>
      </c>
      <c r="G29" s="108" t="str">
        <f>IF(H29="ALPHA",PR!$E27,IF(H29="ASSENE",PR!$F27,IF(H29="BIOFEM",PR!$G27,IF(H29="BIOMED",PR!$H27,IF(H29="CHI",PR!$I27,IF(H29="CLARION",PR!$J27,IF(H29="CODIX",PR!$K27,IF(H29="COSMADE",PR!$L27,IF(H29="SANCON",PR!$M27,IF(H29="DEVON",PR!$N27,IF(H29="DORTEMAG",PR!$O27,IF(H29="DGF",PR!$P27,IF(H29="DYNAMIC",PR!$Q27,IF(H29="EMZOR",PR!$R27,IF(H29="EUMATT",PR!$S27,IF(H29="FIDSON",PR!$T27,IF(H29="FCGLOBAL",PR!$U27,IF(H29="GENEITH",PR!$V27,IF(H29="GINOS",PR!$W27,IF(H29="GSK",PR!$X27,IF(H29="GLOBORG",PR!$Y27,IF(H29="GOODNEWS",PR!$Z27,IF(H29="GREENLIFE",PR!$AA27,IF(H29="HLINE",PR!$AB27,IF(H29="ROTECH",PR!$AC27,IF(H29="ISN",PR!$AD27,IF(H29="JAWA",PR!$AE27,IF(H29="LAYO",PR!$AF27,IF(H29="LEADWAY",PR!$AG27,IF(H29="LHV",PR!$AH27,IF(H29="MANOLA",PR!$AI27,IF(H29="MARCSON",PR!$AJ27,IF(H29="M&amp;B",PR!$AK27,IF(H29="MTRUST",PR!$AL27,IF(H29="MWORLD",PR!$AM27,IF(H29="MEGA",PR!$AN27,IF(H29="MICRONOVA",PR!$AO27,IF(H29="MFLASH",PR!$AP27,IF(H29="MORISON",PR!$AQ27,IF(H29="NEMEL",PR!$AR27,IF(H29="NHP",PR!$AS27,IF(H29="NHC",PR!$AT27,IF(H29="OLEAF",PR!$AU27,IF(H29="OCULUS",PR!$AV27,IF(H29="PACIFIC",PR!$AW27,IF(H29="PHAMATEX",PR!$AX27,IF(H29="PETHICS",PR!$AY27,IF(H29="PHILIPS",PR!$AZ27,IF(H29="RANBAXY",PR!$BA27,IF(H29="REALS",PR!$BB27,IF(H29="ROYAL",PR!$BC27,IF(H29="SAM",PR!$BD27,IF(H29="SEAGREEN",PR!$BE27,IF(H29="SKG",PR!$BF27,IF(H29="TAH",PR!$BG27,IF(H29="TAYLEK",PR!$BH27,IF(H29="TEMITA",PR!$BI27,IF(H29="THL",PR!$BJ27,IF(H29="UBASTIC",PR!$BK27,IF(H29="UNION",PR!$BL27,IF(H29="UNIQUE",PR!$BM27,IF(H29="VIXA",PR!$BN27,IF(H29="WWCV",PR!$BO27,IF(H29="ZOLON",PR!$BP27,"-"))))))))))))))))))))))))))))))))))))))))))))))))))))))))))))))))</f>
        <v>-</v>
      </c>
      <c r="H29" s="102">
        <f>EV!M35</f>
        <v>0</v>
      </c>
      <c r="I29" s="108" t="str">
        <f>IF(J29="ALPHA",PR!$E27,IF(J29="ASSENE",PR!$F27,IF(J29="BIOFEM",PR!$G27,IF(J29="BIOMED",PR!$H27,IF(J29="CHI",PR!$I27,IF(J29="CLARION",PR!$J27,IF(J29="CODIX",PR!$K27,IF(J29="COSMADE",PR!$L27,IF(J29="SANCON",PR!$M27,IF(J29="DEVON",PR!$N27,IF(J29="DORTEMAG",PR!$O27,IF(J29="DGF",PR!$P27,IF(J29="DYNAMIC",PR!$Q27,IF(J29="EMZOR",PR!$R27,IF(J29="EUMATT",PR!$S27,IF(J29="FIDSON",PR!$T27,IF(J29="FCGLOBAL",PR!$U27,IF(J29="GENEITH",PR!$V27,IF(J29="GINOS",PR!$W27,IF(J29="GSK",PR!$X27,IF(J29="GLOBORG",PR!$Y27,IF(J29="GOODNEWS",PR!$Z27,IF(J29="GREENLIFE",PR!$AA27,IF(J29="HLINE",PR!$AB27,IF(J29="ROTECH",PR!$AC27,IF(J29="ISN",PR!$AD27,IF(J29="JAWA",PR!$AE27,IF(J29="LAYO",PR!$AF27,IF(J29="LEADWAY",PR!$AG27,IF(J29="LHV",PR!$AH27,IF(J29="MANOLA",PR!$AI27,IF(J29="MARCSON",PR!$AJ27,IF(J29="M&amp;B",PR!$AK27,IF(J29="MTRUST",PR!$AL27,IF(J29="MWORLD",PR!$AM27,IF(J29="MEGA",PR!$AN27,IF(J29="MICRONOVA",PR!$AO27,IF(J29="MFLASH",PR!$AP27,IF(J29="MORISON",PR!$AQ27,IF(J29="NEMEL",PR!$AR27,IF(J29="NHP",PR!$AS27,IF(J29="NHC",PR!$AT27,IF(J29="OLEAF",PR!$AU27,IF(J29="OCULUS",PR!$AV27,IF(J29="PACIFIC",PR!$AW27,IF(J29="PHAMATEX",PR!$AX27,IF(J29="PETHICS",PR!$AY27,IF(J29="PHILIPS",PR!$AZ27,IF(J29="RANBAXY",PR!$BA27,IF(J29="REALS",PR!$BB27,IF(J29="ROYAL",PR!$BC27,IF(J29="SAM",PR!$BD27,IF(J29="SEAGREEN",PR!$BE27,IF(J29="SKG",PR!$BF27,IF(J29="TAH",PR!$BG27,IF(J29="TAYLEK",PR!$BH27,IF(J29="TEMITA",PR!$BI27,IF(J29="THL",PR!$BJ27,IF(J29="UBASTIC",PR!$BK27,IF(J29="UNION",PR!$BL27,IF(J29="UNIQUE",PR!$BM27,IF(J29="VIXA",PR!$BN27,IF(J29="WWCV",PR!$BO27,IF(J29="ZOLON",PR!$BP27,"-"))))))))))))))))))))))))))))))))))))))))))))))))))))))))))))))))</f>
        <v>-</v>
      </c>
      <c r="J29" s="102">
        <f>EV!N35</f>
        <v>0</v>
      </c>
      <c r="K29" s="433" t="s">
        <v>821</v>
      </c>
      <c r="L29" s="183">
        <f>IF(K29&gt;0,IF(K29="ALPHA",PR!$E27,IF(K29="ASSENE",PR!$F27,IF(K29="BIOFEM",PR!$G27,IF(K29="BIOMED",PR!$H27,IF(K29="CHI",PR!$I27,IF(K29="CLARION",PR!$J27,IF(K29="CODIX",PR!$K27,IF(K29="COSMADE",PR!$L27,IF(K29="SANCON",PR!$M27,IF(K29="DEVON",PR!$N27,IF(K29="DORTEMAG",PR!$O27,IF(K29="DGF",PR!$P27,IF(K29="DYNAMIC",PR!$Q27,IF(K29="EMZOR",PR!$R27,IF(K29="EUMATT",PR!$S27,IF(K29="FIDSON",PR!$T27,IF(K29="FCGLOBAL",PR!$U27,IF(K29="GENEITH",PR!$V27,IF(K29="GINOS",PR!$W27,IF(K29="GSK",PR!$X27,IF(K29="GLOBORG",PR!$Y27,IF(K29="GOODNEWS",PR!$Z27,IF(K29="GREENLIFE",PR!$AA27,IF(K29="HLINE",PR!$AB27,IF(K29="ROTECH",PR!$AC27,IF(K29="ISN",PR!$AD27,IF(K29="JAWA",PR!$AE27,IF(K29="LAYO",PR!$AF27,IF(K29="LEADWAY",PR!$AG27,IF(K29="LHV",PR!$AH27,IF(K29="MANOLA",PR!$AI27,IF(K29="MARCSON",PR!$AJ27,IF(K29="M&amp;B",PR!$AK27,IF(K29="MTRUST",PR!$AL27,IF(K29="MWORLD",PR!$AM27,IF(K29="MEGA",PR!$AN27,IF(K29="MICRONOVA",PR!$AO27,IF(K29="MFLASH",PR!$AP27,IF(K29="MORISON",PR!$AQ27,IF(K29="NEMEL",PR!$AR27,IF(K29="NHP",PR!$AS27,IF(K29="NHC",PR!$AT27,IF(K29="OLEAF",PR!$AU27,IF(K29="OCULUS",PR!$AV27,IF(K29="PACIFIC",PR!$AW27,IF(K29="PHAMATEX",PR!$AX27,IF(K29="PETHICS",PR!$AY27,IF(K29="PHILIPS",PR!$AZ27,IF(K29="RANBAXY",PR!$BA27,IF(K29="REALS",PR!$BB27,IF(K29="ROYAL",PR!$BC27,IF(K29="SAM",PR!$BD27,IF(K29="SEAGREEN",PR!$BE27,IF(K29="SKG",PR!$BF27,IF(K29="TAH",PR!$BG27,IF(K29="TAYLEK",PR!$BH27,IF(K29="TEMITA",PR!$BI27,IF(K29="THL",PR!$BJ27,IF(K29="UBASTIC",PR!$BK27,IF(K29="UNION",PR!$BL27,IF(K29="UNIQUE",PR!$BM27,IF(K29="VIXA",PR!$BN27,IF(K29="WWCV",PR!$BO27,IF(K29="ZOLON",PR!$BP27,"-")))))))))))))))))))))))))))))))))))))))))))))))))))))))))))))))))</f>
        <v>6200</v>
      </c>
    </row>
    <row r="30" spans="1:12" ht="18.75" x14ac:dyDescent="0.3">
      <c r="A30" s="430">
        <f>PR!A28</f>
        <v>18</v>
      </c>
      <c r="B30" s="15" t="str">
        <f>PR!B28</f>
        <v>SULPHADOXINE/PYRIMETHAMINE TAB</v>
      </c>
      <c r="C30" s="113">
        <f>PR!D28</f>
        <v>50</v>
      </c>
      <c r="D30" s="113">
        <f>PR!C28</f>
        <v>20</v>
      </c>
      <c r="E30" s="108">
        <f>IF(F30="ALPHA",PR!$E28,IF(F30="ASSENE",PR!$F28,IF(F30="BIOFEM",PR!$G28,IF(F30="BIOMED",PR!$H28,IF(F30="CHI",PR!$I28,IF(F30="CLARION",PR!$J28,IF(F30="CODIX",PR!$K28,IF(F30="COSMADE",PR!$L28,IF(F30="SANCON",PR!$M28,IF(F30="DEVON",PR!$N28,IF(F30="DORTEMAG",PR!$O28,IF(F30="DGF",PR!$P28,IF(F30="DYNAMIC",PR!$Q28,IF(F30="EMZOR",PR!$R28,IF(F30="EUMATT",PR!$S28,IF(F30="FIDSON",PR!$T28,IF(F30="FCGLOBAL",PR!$U28,IF(F30="GENEITH",PR!$V28,IF(F30="GINOS",PR!$W28,IF(F30="GSK",PR!$X28,IF(F30="GLOBORG",PR!$Y28,IF(F30="GOODNEWS",PR!$Z28,IF(F30="GREENLIFE",PR!$AA28,IF(F30="HLINE",PR!$AB28,IF(F30="ROTECH",PR!$AC28,IF(F30="ISN",PR!$AD28,IF(F30="JAWA",PR!$AE28,IF(F30="LAYO",PR!$AF28,IF(F30="LEADWAY",PR!$AG28,IF(F30="LHV",PR!$AH28,IF(F30="MANOLA",PR!$AI28,IF(F30="MARCSON",PR!$AJ28,IF(F30="M&amp;B",PR!$AK28,IF(F30="MTRUST",PR!$AL28,IF(F30="MWORLD",PR!$AM28,IF(F30="MEGA",PR!$AN28,IF(F30="MICRONOVA",PR!$AO28,IF(F30="MFLASH",PR!$AP28,IF(F30="MORISON",PR!$AQ28,IF(F30="NEMEL",PR!$AR28,IF(F30="NHP",PR!$AS28,IF(F30="NHC",PR!$AT28,IF(F30="OLEAF",PR!$AU28,IF(F30="OCULUS",PR!$AV28,IF(F30="PACIFIC",PR!$AW28,IF(F30="PHAMATEX",PR!$AX28,IF(F30="PETHICS",PR!$AY28,IF(F30="PHILIPS",PR!$AZ28,IF(F30="RANBAXY",PR!$BA28,IF(F30="REALS",PR!$BB28,IF(F30="ROYAL",PR!$BC28,IF(F30="SAM",PR!$BD28,IF(F30="SEAGREEN",PR!$BE28,IF(F30="SKG",PR!$BF28,IF(F30="TAH",PR!$BG28,IF(F30="TAYLEK",PR!$BH28,IF(F30="TEMITA",PR!$BI28,IF(F30="THL",PR!$BJ28,IF(F30="UBASTIC",PR!$BK28,IF(F30="UNION",PR!$BL28,IF(F30="UNIQUE",PR!$BM28,IF(F30="VIXA",PR!$BN28,IF(F30="WWCV",PR!$BO28,IF(F30="ZOLON",PR!$BP28,"-"))))))))))))))))))))))))))))))))))))))))))))))))))))))))))))))))</f>
        <v>2900</v>
      </c>
      <c r="F30" s="102" t="str">
        <f>EV!L36</f>
        <v>DGF</v>
      </c>
      <c r="G30" s="108">
        <f>IF(H30="ALPHA",PR!$E28,IF(H30="ASSENE",PR!$F28,IF(H30="BIOFEM",PR!$G28,IF(H30="BIOMED",PR!$H28,IF(H30="CHI",PR!$I28,IF(H30="CLARION",PR!$J28,IF(H30="CODIX",PR!$K28,IF(H30="COSMADE",PR!$L28,IF(H30="SANCON",PR!$M28,IF(H30="DEVON",PR!$N28,IF(H30="DORTEMAG",PR!$O28,IF(H30="DGF",PR!$P28,IF(H30="DYNAMIC",PR!$Q28,IF(H30="EMZOR",PR!$R28,IF(H30="EUMATT",PR!$S28,IF(H30="FIDSON",PR!$T28,IF(H30="FCGLOBAL",PR!$U28,IF(H30="GENEITH",PR!$V28,IF(H30="GINOS",PR!$W28,IF(H30="GSK",PR!$X28,IF(H30="GLOBORG",PR!$Y28,IF(H30="GOODNEWS",PR!$Z28,IF(H30="GREENLIFE",PR!$AA28,IF(H30="HLINE",PR!$AB28,IF(H30="ROTECH",PR!$AC28,IF(H30="ISN",PR!$AD28,IF(H30="JAWA",PR!$AE28,IF(H30="LAYO",PR!$AF28,IF(H30="LEADWAY",PR!$AG28,IF(H30="LHV",PR!$AH28,IF(H30="MANOLA",PR!$AI28,IF(H30="MARCSON",PR!$AJ28,IF(H30="M&amp;B",PR!$AK28,IF(H30="MTRUST",PR!$AL28,IF(H30="MWORLD",PR!$AM28,IF(H30="MEGA",PR!$AN28,IF(H30="MICRONOVA",PR!$AO28,IF(H30="MFLASH",PR!$AP28,IF(H30="MORISON",PR!$AQ28,IF(H30="NEMEL",PR!$AR28,IF(H30="NHP",PR!$AS28,IF(H30="NHC",PR!$AT28,IF(H30="OLEAF",PR!$AU28,IF(H30="OCULUS",PR!$AV28,IF(H30="PACIFIC",PR!$AW28,IF(H30="PHAMATEX",PR!$AX28,IF(H30="PETHICS",PR!$AY28,IF(H30="PHILIPS",PR!$AZ28,IF(H30="RANBAXY",PR!$BA28,IF(H30="REALS",PR!$BB28,IF(H30="ROYAL",PR!$BC28,IF(H30="SAM",PR!$BD28,IF(H30="SEAGREEN",PR!$BE28,IF(H30="SKG",PR!$BF28,IF(H30="TAH",PR!$BG28,IF(H30="TAYLEK",PR!$BH28,IF(H30="TEMITA",PR!$BI28,IF(H30="THL",PR!$BJ28,IF(H30="UBASTIC",PR!$BK28,IF(H30="UNION",PR!$BL28,IF(H30="UNIQUE",PR!$BM28,IF(H30="VIXA",PR!$BN28,IF(H30="WWCV",PR!$BO28,IF(H30="ZOLON",PR!$BP28,"-"))))))))))))))))))))))))))))))))))))))))))))))))))))))))))))))))</f>
        <v>3000</v>
      </c>
      <c r="H30" s="102" t="str">
        <f>EV!M36</f>
        <v>CLARION</v>
      </c>
      <c r="I30" s="108">
        <f>IF(J30="ALPHA",PR!$E28,IF(J30="ASSENE",PR!$F28,IF(J30="BIOFEM",PR!$G28,IF(J30="BIOMED",PR!$H28,IF(J30="CHI",PR!$I28,IF(J30="CLARION",PR!$J28,IF(J30="CODIX",PR!$K28,IF(J30="COSMADE",PR!$L28,IF(J30="SANCON",PR!$M28,IF(J30="DEVON",PR!$N28,IF(J30="DORTEMAG",PR!$O28,IF(J30="DGF",PR!$P28,IF(J30="DYNAMIC",PR!$Q28,IF(J30="EMZOR",PR!$R28,IF(J30="EUMATT",PR!$S28,IF(J30="FIDSON",PR!$T28,IF(J30="FCGLOBAL",PR!$U28,IF(J30="GENEITH",PR!$V28,IF(J30="GINOS",PR!$W28,IF(J30="GSK",PR!$X28,IF(J30="GLOBORG",PR!$Y28,IF(J30="GOODNEWS",PR!$Z28,IF(J30="GREENLIFE",PR!$AA28,IF(J30="HLINE",PR!$AB28,IF(J30="ROTECH",PR!$AC28,IF(J30="ISN",PR!$AD28,IF(J30="JAWA",PR!$AE28,IF(J30="LAYO",PR!$AF28,IF(J30="LEADWAY",PR!$AG28,IF(J30="LHV",PR!$AH28,IF(J30="MANOLA",PR!$AI28,IF(J30="MARCSON",PR!$AJ28,IF(J30="M&amp;B",PR!$AK28,IF(J30="MTRUST",PR!$AL28,IF(J30="MWORLD",PR!$AM28,IF(J30="MEGA",PR!$AN28,IF(J30="MICRONOVA",PR!$AO28,IF(J30="MFLASH",PR!$AP28,IF(J30="MORISON",PR!$AQ28,IF(J30="NEMEL",PR!$AR28,IF(J30="NHP",PR!$AS28,IF(J30="NHC",PR!$AT28,IF(J30="OLEAF",PR!$AU28,IF(J30="OCULUS",PR!$AV28,IF(J30="PACIFIC",PR!$AW28,IF(J30="PHAMATEX",PR!$AX28,IF(J30="PETHICS",PR!$AY28,IF(J30="PHILIPS",PR!$AZ28,IF(J30="RANBAXY",PR!$BA28,IF(J30="REALS",PR!$BB28,IF(J30="ROYAL",PR!$BC28,IF(J30="SAM",PR!$BD28,IF(J30="SEAGREEN",PR!$BE28,IF(J30="SKG",PR!$BF28,IF(J30="TAH",PR!$BG28,IF(J30="TAYLEK",PR!$BH28,IF(J30="TEMITA",PR!$BI28,IF(J30="THL",PR!$BJ28,IF(J30="UBASTIC",PR!$BK28,IF(J30="UNION",PR!$BL28,IF(J30="UNIQUE",PR!$BM28,IF(J30="VIXA",PR!$BN28,IF(J30="WWCV",PR!$BO28,IF(J30="ZOLON",PR!$BP28,"-"))))))))))))))))))))))))))))))))))))))))))))))))))))))))))))))))</f>
        <v>3000</v>
      </c>
      <c r="J30" s="102" t="str">
        <f>EV!N36</f>
        <v>EUMATT</v>
      </c>
      <c r="K30" s="433" t="s">
        <v>829</v>
      </c>
      <c r="L30" s="183">
        <f>IF(K30&gt;0,IF(K30="ALPHA",PR!$E28,IF(K30="ASSENE",PR!$F28,IF(K30="BIOFEM",PR!$G28,IF(K30="BIOMED",PR!$H28,IF(K30="CHI",PR!$I28,IF(K30="CLARION",PR!$J28,IF(K30="CODIX",PR!$K28,IF(K30="COSMADE",PR!$L28,IF(K30="SANCON",PR!$M28,IF(K30="DEVON",PR!$N28,IF(K30="DORTEMAG",PR!$O28,IF(K30="DGF",PR!$P28,IF(K30="DYNAMIC",PR!$Q28,IF(K30="EMZOR",PR!$R28,IF(K30="EUMATT",PR!$S28,IF(K30="FIDSON",PR!$T28,IF(K30="FCGLOBAL",PR!$U28,IF(K30="GENEITH",PR!$V28,IF(K30="GINOS",PR!$W28,IF(K30="GSK",PR!$X28,IF(K30="GLOBORG",PR!$Y28,IF(K30="GOODNEWS",PR!$Z28,IF(K30="GREENLIFE",PR!$AA28,IF(K30="HLINE",PR!$AB28,IF(K30="ROTECH",PR!$AC28,IF(K30="ISN",PR!$AD28,IF(K30="JAWA",PR!$AE28,IF(K30="LAYO",PR!$AF28,IF(K30="LEADWAY",PR!$AG28,IF(K30="LHV",PR!$AH28,IF(K30="MANOLA",PR!$AI28,IF(K30="MARCSON",PR!$AJ28,IF(K30="M&amp;B",PR!$AK28,IF(K30="MTRUST",PR!$AL28,IF(K30="MWORLD",PR!$AM28,IF(K30="MEGA",PR!$AN28,IF(K30="MICRONOVA",PR!$AO28,IF(K30="MFLASH",PR!$AP28,IF(K30="MORISON",PR!$AQ28,IF(K30="NEMEL",PR!$AR28,IF(K30="NHP",PR!$AS28,IF(K30="NHC",PR!$AT28,IF(K30="OLEAF",PR!$AU28,IF(K30="OCULUS",PR!$AV28,IF(K30="PACIFIC",PR!$AW28,IF(K30="PHAMATEX",PR!$AX28,IF(K30="PETHICS",PR!$AY28,IF(K30="PHILIPS",PR!$AZ28,IF(K30="RANBAXY",PR!$BA28,IF(K30="REALS",PR!$BB28,IF(K30="ROYAL",PR!$BC28,IF(K30="SAM",PR!$BD28,IF(K30="SEAGREEN",PR!$BE28,IF(K30="SKG",PR!$BF28,IF(K30="TAH",PR!$BG28,IF(K30="TAYLEK",PR!$BH28,IF(K30="TEMITA",PR!$BI28,IF(K30="THL",PR!$BJ28,IF(K30="UBASTIC",PR!$BK28,IF(K30="UNION",PR!$BL28,IF(K30="UNIQUE",PR!$BM28,IF(K30="VIXA",PR!$BN28,IF(K30="WWCV",PR!$BO28,IF(K30="ZOLON",PR!$BP28,"-")))))))))))))))))))))))))))))))))))))))))))))))))))))))))))))))))</f>
        <v>2900</v>
      </c>
    </row>
    <row r="31" spans="1:12" ht="18.75" x14ac:dyDescent="0.3">
      <c r="A31" s="430">
        <f>PR!A29</f>
        <v>0</v>
      </c>
      <c r="B31" s="15">
        <f>PR!B29</f>
        <v>0</v>
      </c>
      <c r="C31" s="113">
        <f>PR!D29</f>
        <v>0</v>
      </c>
      <c r="D31" s="113">
        <f>PR!C29</f>
        <v>0</v>
      </c>
      <c r="E31" s="108" t="str">
        <f>IF(F31="ALPHA",PR!$E29,IF(F31="ASSENE",PR!$F29,IF(F31="BIOFEM",PR!$G29,IF(F31="BIOMED",PR!$H29,IF(F31="CHI",PR!$I29,IF(F31="CLARION",PR!$J29,IF(F31="CODIX",PR!$K29,IF(F31="COSMADE",PR!$L29,IF(F31="SANCON",PR!$M29,IF(F31="DEVON",PR!$N29,IF(F31="DORTEMAG",PR!$O29,IF(F31="DGF",PR!$P29,IF(F31="DYNAMIC",PR!$Q29,IF(F31="EMZOR",PR!$R29,IF(F31="EUMATT",PR!$S29,IF(F31="FIDSON",PR!$T29,IF(F31="FCGLOBAL",PR!$U29,IF(F31="GENEITH",PR!$V29,IF(F31="GINOS",PR!$W29,IF(F31="GSK",PR!$X29,IF(F31="GLOBORG",PR!$Y29,IF(F31="GOODNEWS",PR!$Z29,IF(F31="GREENLIFE",PR!$AA29,IF(F31="HLINE",PR!$AB29,IF(F31="ROTECH",PR!$AC29,IF(F31="ISN",PR!$AD29,IF(F31="JAWA",PR!$AE29,IF(F31="LAYO",PR!$AF29,IF(F31="LEADWAY",PR!$AG29,IF(F31="LHV",PR!$AH29,IF(F31="MANOLA",PR!$AI29,IF(F31="MARCSON",PR!$AJ29,IF(F31="M&amp;B",PR!$AK29,IF(F31="MTRUST",PR!$AL29,IF(F31="MWORLD",PR!$AM29,IF(F31="MEGA",PR!$AN29,IF(F31="MICRONOVA",PR!$AO29,IF(F31="MFLASH",PR!$AP29,IF(F31="MORISON",PR!$AQ29,IF(F31="NEMEL",PR!$AR29,IF(F31="NHP",PR!$AS29,IF(F31="NHC",PR!$AT29,IF(F31="OLEAF",PR!$AU29,IF(F31="OCULUS",PR!$AV29,IF(F31="PACIFIC",PR!$AW29,IF(F31="PHAMATEX",PR!$AX29,IF(F31="PETHICS",PR!$AY29,IF(F31="PHILIPS",PR!$AZ29,IF(F31="RANBAXY",PR!$BA29,IF(F31="REALS",PR!$BB29,IF(F31="ROYAL",PR!$BC29,IF(F31="SAM",PR!$BD29,IF(F31="SEAGREEN",PR!$BE29,IF(F31="SKG",PR!$BF29,IF(F31="TAH",PR!$BG29,IF(F31="TAYLEK",PR!$BH29,IF(F31="TEMITA",PR!$BI29,IF(F31="THL",PR!$BJ29,IF(F31="UBASTIC",PR!$BK29,IF(F31="UNION",PR!$BL29,IF(F31="UNIQUE",PR!$BM29,IF(F31="VIXA",PR!$BN29,IF(F31="WWCV",PR!$BO29,IF(F31="ZOLON",PR!$BP29,"-"))))))))))))))))))))))))))))))))))))))))))))))))))))))))))))))))</f>
        <v>-</v>
      </c>
      <c r="F31" s="102"/>
      <c r="G31" s="108" t="str">
        <f>IF(H31="ALPHA",PR!$E29,IF(H31="ASSENE",PR!$F29,IF(H31="BIOFEM",PR!$G29,IF(H31="BIOMED",PR!$H29,IF(H31="CHI",PR!$I29,IF(H31="CLARION",PR!$J29,IF(H31="CODIX",PR!$K29,IF(H31="COSMADE",PR!$L29,IF(H31="SANCON",PR!$M29,IF(H31="DEVON",PR!$N29,IF(H31="DORTEMAG",PR!$O29,IF(H31="DGF",PR!$P29,IF(H31="DYNAMIC",PR!$Q29,IF(H31="EMZOR",PR!$R29,IF(H31="EUMATT",PR!$S29,IF(H31="FIDSON",PR!$T29,IF(H31="FCGLOBAL",PR!$U29,IF(H31="GENEITH",PR!$V29,IF(H31="GINOS",PR!$W29,IF(H31="GSK",PR!$X29,IF(H31="GLOBORG",PR!$Y29,IF(H31="GOODNEWS",PR!$Z29,IF(H31="GREENLIFE",PR!$AA29,IF(H31="HLINE",PR!$AB29,IF(H31="ROTECH",PR!$AC29,IF(H31="ISN",PR!$AD29,IF(H31="JAWA",PR!$AE29,IF(H31="LAYO",PR!$AF29,IF(H31="LEADWAY",PR!$AG29,IF(H31="LHV",PR!$AH29,IF(H31="MANOLA",PR!$AI29,IF(H31="MARCSON",PR!$AJ29,IF(H31="M&amp;B",PR!$AK29,IF(H31="MTRUST",PR!$AL29,IF(H31="MWORLD",PR!$AM29,IF(H31="MEGA",PR!$AN29,IF(H31="MICRONOVA",PR!$AO29,IF(H31="MFLASH",PR!$AP29,IF(H31="MORISON",PR!$AQ29,IF(H31="NEMEL",PR!$AR29,IF(H31="NHP",PR!$AS29,IF(H31="NHC",PR!$AT29,IF(H31="OLEAF",PR!$AU29,IF(H31="OCULUS",PR!$AV29,IF(H31="PACIFIC",PR!$AW29,IF(H31="PHAMATEX",PR!$AX29,IF(H31="PETHICS",PR!$AY29,IF(H31="PHILIPS",PR!$AZ29,IF(H31="RANBAXY",PR!$BA29,IF(H31="REALS",PR!$BB29,IF(H31="ROYAL",PR!$BC29,IF(H31="SAM",PR!$BD29,IF(H31="SEAGREEN",PR!$BE29,IF(H31="SKG",PR!$BF29,IF(H31="TAH",PR!$BG29,IF(H31="TAYLEK",PR!$BH29,IF(H31="TEMITA",PR!$BI29,IF(H31="THL",PR!$BJ29,IF(H31="UBASTIC",PR!$BK29,IF(H31="UNION",PR!$BL29,IF(H31="UNIQUE",PR!$BM29,IF(H31="VIXA",PR!$BN29,IF(H31="WWCV",PR!$BO29,IF(H31="ZOLON",PR!$BP29,"-"))))))))))))))))))))))))))))))))))))))))))))))))))))))))))))))))</f>
        <v>-</v>
      </c>
      <c r="H31" s="102"/>
      <c r="I31" s="108" t="str">
        <f>IF(J31="ALPHA",PR!$E29,IF(J31="ASSENE",PR!$F29,IF(J31="BIOFEM",PR!$G29,IF(J31="BIOMED",PR!$H29,IF(J31="CHI",PR!$I29,IF(J31="CLARION",PR!$J29,IF(J31="CODIX",PR!$K29,IF(J31="COSMADE",PR!$L29,IF(J31="SANCON",PR!$M29,IF(J31="DEVON",PR!$N29,IF(J31="DORTEMAG",PR!$O29,IF(J31="DGF",PR!$P29,IF(J31="DYNAMIC",PR!$Q29,IF(J31="EMZOR",PR!$R29,IF(J31="EUMATT",PR!$S29,IF(J31="FIDSON",PR!$T29,IF(J31="FCGLOBAL",PR!$U29,IF(J31="GENEITH",PR!$V29,IF(J31="GINOS",PR!$W29,IF(J31="GSK",PR!$X29,IF(J31="GLOBORG",PR!$Y29,IF(J31="GOODNEWS",PR!$Z29,IF(J31="GREENLIFE",PR!$AA29,IF(J31="HLINE",PR!$AB29,IF(J31="ROTECH",PR!$AC29,IF(J31="ISN",PR!$AD29,IF(J31="JAWA",PR!$AE29,IF(J31="LAYO",PR!$AF29,IF(J31="LEADWAY",PR!$AG29,IF(J31="LHV",PR!$AH29,IF(J31="MANOLA",PR!$AI29,IF(J31="MARCSON",PR!$AJ29,IF(J31="M&amp;B",PR!$AK29,IF(J31="MTRUST",PR!$AL29,IF(J31="MWORLD",PR!$AM29,IF(J31="MEGA",PR!$AN29,IF(J31="MICRONOVA",PR!$AO29,IF(J31="MFLASH",PR!$AP29,IF(J31="MORISON",PR!$AQ29,IF(J31="NEMEL",PR!$AR29,IF(J31="NHP",PR!$AS29,IF(J31="NHC",PR!$AT29,IF(J31="OLEAF",PR!$AU29,IF(J31="OCULUS",PR!$AV29,IF(J31="PACIFIC",PR!$AW29,IF(J31="PHAMATEX",PR!$AX29,IF(J31="PETHICS",PR!$AY29,IF(J31="PHILIPS",PR!$AZ29,IF(J31="RANBAXY",PR!$BA29,IF(J31="REALS",PR!$BB29,IF(J31="ROYAL",PR!$BC29,IF(J31="SAM",PR!$BD29,IF(J31="SEAGREEN",PR!$BE29,IF(J31="SKG",PR!$BF29,IF(J31="TAH",PR!$BG29,IF(J31="TAYLEK",PR!$BH29,IF(J31="TEMITA",PR!$BI29,IF(J31="THL",PR!$BJ29,IF(J31="UBASTIC",PR!$BK29,IF(J31="UNION",PR!$BL29,IF(J31="UNIQUE",PR!$BM29,IF(J31="VIXA",PR!$BN29,IF(J31="WWCV",PR!$BO29,IF(J31="ZOLON",PR!$BP29,"-"))))))))))))))))))))))))))))))))))))))))))))))))))))))))))))))))</f>
        <v>-</v>
      </c>
      <c r="J31" s="102"/>
      <c r="K31" s="433"/>
      <c r="L31" s="183" t="b">
        <f>IF(K31&gt;0,IF(K31="ALPHA",PR!$E29,IF(K31="ASSENE",PR!$F29,IF(K31="BIOFEM",PR!$G29,IF(K31="BIOMED",PR!$H29,IF(K31="CHI",PR!$I29,IF(K31="CLARION",PR!$J29,IF(K31="CODIX",PR!$K29,IF(K31="COSMADE",PR!$L29,IF(K31="SANCON",PR!$M29,IF(K31="DEVON",PR!$N29,IF(K31="DORTEMAG",PR!$O29,IF(K31="DGF",PR!$P29,IF(K31="DYNAMIC",PR!$Q29,IF(K31="EMZOR",PR!$R29,IF(K31="EUMATT",PR!$S29,IF(K31="FIDSON",PR!$T29,IF(K31="FCGLOBAL",PR!$U29,IF(K31="GENEITH",PR!$V29,IF(K31="GINOS",PR!$W29,IF(K31="GSK",PR!$X29,IF(K31="GLOBORG",PR!$Y29,IF(K31="GOODNEWS",PR!$Z29,IF(K31="GREENLIFE",PR!$AA29,IF(K31="HLINE",PR!$AB29,IF(K31="ROTECH",PR!$AC29,IF(K31="ISN",PR!$AD29,IF(K31="JAWA",PR!$AE29,IF(K31="LAYO",PR!$AF29,IF(K31="LEADWAY",PR!$AG29,IF(K31="LHV",PR!$AH29,IF(K31="MANOLA",PR!$AI29,IF(K31="MARCSON",PR!$AJ29,IF(K31="M&amp;B",PR!$AK29,IF(K31="MTRUST",PR!$AL29,IF(K31="MWORLD",PR!$AM29,IF(K31="MEGA",PR!$AN29,IF(K31="MICRONOVA",PR!$AO29,IF(K31="MFLASH",PR!$AP29,IF(K31="MORISON",PR!$AQ29,IF(K31="NEMEL",PR!$AR29,IF(K31="NHP",PR!$AS29,IF(K31="NHC",PR!$AT29,IF(K31="OLEAF",PR!$AU29,IF(K31="OCULUS",PR!$AV29,IF(K31="PACIFIC",PR!$AW29,IF(K31="PHAMATEX",PR!$AX29,IF(K31="PETHICS",PR!$AY29,IF(K31="PHILIPS",PR!$AZ29,IF(K31="RANBAXY",PR!$BA29,IF(K31="REALS",PR!$BB29,IF(K31="ROYAL",PR!$BC29,IF(K31="SAM",PR!$BD29,IF(K31="SEAGREEN",PR!$BE29,IF(K31="SKG",PR!$BF29,IF(K31="TAH",PR!$BG29,IF(K31="TAYLEK",PR!$BH29,IF(K31="TEMITA",PR!$BI29,IF(K31="THL",PR!$BJ29,IF(K31="UBASTIC",PR!$BK29,IF(K31="UNION",PR!$BL29,IF(K31="UNIQUE",PR!$BM29,IF(K31="VIXA",PR!$BN29,IF(K31="WWCV",PR!$BO29,IF(K31="ZOLON",PR!$BP29,"-")))))))))))))))))))))))))))))))))))))))))))))))))))))))))))))))))</f>
        <v>0</v>
      </c>
    </row>
    <row r="32" spans="1:12" ht="18.75" x14ac:dyDescent="0.3">
      <c r="A32" s="430">
        <f>PR!A30</f>
        <v>0</v>
      </c>
      <c r="B32" s="15">
        <f>PR!B30</f>
        <v>0</v>
      </c>
      <c r="C32" s="113">
        <f>PR!D30</f>
        <v>0</v>
      </c>
      <c r="D32" s="113">
        <f>PR!C30</f>
        <v>0</v>
      </c>
      <c r="E32" s="108" t="str">
        <f>IF(F32="ALPHA",PR!$E30,IF(F32="ASSENE",PR!$F30,IF(F32="BIOFEM",PR!$G30,IF(F32="BIOMED",PR!$H30,IF(F32="CHI",PR!$I30,IF(F32="CLARION",PR!$J30,IF(F32="CODIX",PR!$K30,IF(F32="COSMADE",PR!$L30,IF(F32="SANCON",PR!$M30,IF(F32="DEVON",PR!$N30,IF(F32="DORTEMAG",PR!$O30,IF(F32="DGF",PR!$P30,IF(F32="DYNAMIC",PR!$Q30,IF(F32="EMZOR",PR!$R30,IF(F32="EUMATT",PR!$S30,IF(F32="FIDSON",PR!$T30,IF(F32="FCGLOBAL",PR!$U30,IF(F32="GENEITH",PR!$V30,IF(F32="GINOS",PR!$W30,IF(F32="GSK",PR!$X30,IF(F32="GLOBORG",PR!$Y30,IF(F32="GOODNEWS",PR!$Z30,IF(F32="GREENLIFE",PR!$AA30,IF(F32="HLINE",PR!$AB30,IF(F32="ROTECH",PR!$AC30,IF(F32="ISN",PR!$AD30,IF(F32="JAWA",PR!$AE30,IF(F32="LAYO",PR!$AF30,IF(F32="LEADWAY",PR!$AG30,IF(F32="LHV",PR!$AH30,IF(F32="MANOLA",PR!$AI30,IF(F32="MARCSON",PR!$AJ30,IF(F32="M&amp;B",PR!$AK30,IF(F32="MTRUST",PR!$AL30,IF(F32="MWORLD",PR!$AM30,IF(F32="MEGA",PR!$AN30,IF(F32="MICRONOVA",PR!$AO30,IF(F32="MFLASH",PR!$AP30,IF(F32="MORISON",PR!$AQ30,IF(F32="NEMEL",PR!$AR30,IF(F32="NHP",PR!$AS30,IF(F32="NHC",PR!$AT30,IF(F32="OLEAF",PR!$AU30,IF(F32="OCULUS",PR!$AV30,IF(F32="PACIFIC",PR!$AW30,IF(F32="PHAMATEX",PR!$AX30,IF(F32="PETHICS",PR!$AY30,IF(F32="PHILIPS",PR!$AZ30,IF(F32="RANBAXY",PR!$BA30,IF(F32="REALS",PR!$BB30,IF(F32="ROYAL",PR!$BC30,IF(F32="SAM",PR!$BD30,IF(F32="SEAGREEN",PR!$BE30,IF(F32="SKG",PR!$BF30,IF(F32="TAH",PR!$BG30,IF(F32="TAYLEK",PR!$BH30,IF(F32="TEMITA",PR!$BI30,IF(F32="THL",PR!$BJ30,IF(F32="UBASTIC",PR!$BK30,IF(F32="UNION",PR!$BL30,IF(F32="UNIQUE",PR!$BM30,IF(F32="VIXA",PR!$BN30,IF(F32="WWCV",PR!$BO30,IF(F32="ZOLON",PR!$BP30,"-"))))))))))))))))))))))))))))))))))))))))))))))))))))))))))))))))</f>
        <v>-</v>
      </c>
      <c r="F32" s="102"/>
      <c r="G32" s="108" t="str">
        <f>IF(H32="ALPHA",PR!$E30,IF(H32="ASSENE",PR!$F30,IF(H32="BIOFEM",PR!$G30,IF(H32="BIOMED",PR!$H30,IF(H32="CHI",PR!$I30,IF(H32="CLARION",PR!$J30,IF(H32="CODIX",PR!$K30,IF(H32="COSMADE",PR!$L30,IF(H32="SANCON",PR!$M30,IF(H32="DEVON",PR!$N30,IF(H32="DORTEMAG",PR!$O30,IF(H32="DGF",PR!$P30,IF(H32="DYNAMIC",PR!$Q30,IF(H32="EMZOR",PR!$R30,IF(H32="EUMATT",PR!$S30,IF(H32="FIDSON",PR!$T30,IF(H32="FCGLOBAL",PR!$U30,IF(H32="GENEITH",PR!$V30,IF(H32="GINOS",PR!$W30,IF(H32="GSK",PR!$X30,IF(H32="GLOBORG",PR!$Y30,IF(H32="GOODNEWS",PR!$Z30,IF(H32="GREENLIFE",PR!$AA30,IF(H32="HLINE",PR!$AB30,IF(H32="ROTECH",PR!$AC30,IF(H32="ISN",PR!$AD30,IF(H32="JAWA",PR!$AE30,IF(H32="LAYO",PR!$AF30,IF(H32="LEADWAY",PR!$AG30,IF(H32="LHV",PR!$AH30,IF(H32="MANOLA",PR!$AI30,IF(H32="MARCSON",PR!$AJ30,IF(H32="M&amp;B",PR!$AK30,IF(H32="MTRUST",PR!$AL30,IF(H32="MWORLD",PR!$AM30,IF(H32="MEGA",PR!$AN30,IF(H32="MICRONOVA",PR!$AO30,IF(H32="MFLASH",PR!$AP30,IF(H32="MORISON",PR!$AQ30,IF(H32="NEMEL",PR!$AR30,IF(H32="NHP",PR!$AS30,IF(H32="NHC",PR!$AT30,IF(H32="OLEAF",PR!$AU30,IF(H32="OCULUS",PR!$AV30,IF(H32="PACIFIC",PR!$AW30,IF(H32="PHAMATEX",PR!$AX30,IF(H32="PETHICS",PR!$AY30,IF(H32="PHILIPS",PR!$AZ30,IF(H32="RANBAXY",PR!$BA30,IF(H32="REALS",PR!$BB30,IF(H32="ROYAL",PR!$BC30,IF(H32="SAM",PR!$BD30,IF(H32="SEAGREEN",PR!$BE30,IF(H32="SKG",PR!$BF30,IF(H32="TAH",PR!$BG30,IF(H32="TAYLEK",PR!$BH30,IF(H32="TEMITA",PR!$BI30,IF(H32="THL",PR!$BJ30,IF(H32="UBASTIC",PR!$BK30,IF(H32="UNION",PR!$BL30,IF(H32="UNIQUE",PR!$BM30,IF(H32="VIXA",PR!$BN30,IF(H32="WWCV",PR!$BO30,IF(H32="ZOLON",PR!$BP30,"-"))))))))))))))))))))))))))))))))))))))))))))))))))))))))))))))))</f>
        <v>-</v>
      </c>
      <c r="H32" s="102"/>
      <c r="I32" s="108" t="str">
        <f>IF(J32="ALPHA",PR!$E30,IF(J32="ASSENE",PR!$F30,IF(J32="BIOFEM",PR!$G30,IF(J32="BIOMED",PR!$H30,IF(J32="CHI",PR!$I30,IF(J32="CLARION",PR!$J30,IF(J32="CODIX",PR!$K30,IF(J32="COSMADE",PR!$L30,IF(J32="SANCON",PR!$M30,IF(J32="DEVON",PR!$N30,IF(J32="DORTEMAG",PR!$O30,IF(J32="DGF",PR!$P30,IF(J32="DYNAMIC",PR!$Q30,IF(J32="EMZOR",PR!$R30,IF(J32="EUMATT",PR!$S30,IF(J32="FIDSON",PR!$T30,IF(J32="FCGLOBAL",PR!$U30,IF(J32="GENEITH",PR!$V30,IF(J32="GINOS",PR!$W30,IF(J32="GSK",PR!$X30,IF(J32="GLOBORG",PR!$Y30,IF(J32="GOODNEWS",PR!$Z30,IF(J32="GREENLIFE",PR!$AA30,IF(J32="HLINE",PR!$AB30,IF(J32="ROTECH",PR!$AC30,IF(J32="ISN",PR!$AD30,IF(J32="JAWA",PR!$AE30,IF(J32="LAYO",PR!$AF30,IF(J32="LEADWAY",PR!$AG30,IF(J32="LHV",PR!$AH30,IF(J32="MANOLA",PR!$AI30,IF(J32="MARCSON",PR!$AJ30,IF(J32="M&amp;B",PR!$AK30,IF(J32="MTRUST",PR!$AL30,IF(J32="MWORLD",PR!$AM30,IF(J32="MEGA",PR!$AN30,IF(J32="MICRONOVA",PR!$AO30,IF(J32="MFLASH",PR!$AP30,IF(J32="MORISON",PR!$AQ30,IF(J32="NEMEL",PR!$AR30,IF(J32="NHP",PR!$AS30,IF(J32="NHC",PR!$AT30,IF(J32="OLEAF",PR!$AU30,IF(J32="OCULUS",PR!$AV30,IF(J32="PACIFIC",PR!$AW30,IF(J32="PHAMATEX",PR!$AX30,IF(J32="PETHICS",PR!$AY30,IF(J32="PHILIPS",PR!$AZ30,IF(J32="RANBAXY",PR!$BA30,IF(J32="REALS",PR!$BB30,IF(J32="ROYAL",PR!$BC30,IF(J32="SAM",PR!$BD30,IF(J32="SEAGREEN",PR!$BE30,IF(J32="SKG",PR!$BF30,IF(J32="TAH",PR!$BG30,IF(J32="TAYLEK",PR!$BH30,IF(J32="TEMITA",PR!$BI30,IF(J32="THL",PR!$BJ30,IF(J32="UBASTIC",PR!$BK30,IF(J32="UNION",PR!$BL30,IF(J32="UNIQUE",PR!$BM30,IF(J32="VIXA",PR!$BN30,IF(J32="WWCV",PR!$BO30,IF(J32="ZOLON",PR!$BP30,"-"))))))))))))))))))))))))))))))))))))))))))))))))))))))))))))))))</f>
        <v>-</v>
      </c>
      <c r="J32" s="102"/>
      <c r="K32" s="433"/>
      <c r="L32" s="183" t="b">
        <f>IF(K32&gt;0,IF(K32="ALPHA",PR!$E30,IF(K32="ASSENE",PR!$F30,IF(K32="BIOFEM",PR!$G30,IF(K32="BIOMED",PR!$H30,IF(K32="CHI",PR!$I30,IF(K32="CLARION",PR!$J30,IF(K32="CODIX",PR!$K30,IF(K32="COSMADE",PR!$L30,IF(K32="SANCON",PR!$M30,IF(K32="DEVON",PR!$N30,IF(K32="DORTEMAG",PR!$O30,IF(K32="DGF",PR!$P30,IF(K32="DYNAMIC",PR!$Q30,IF(K32="EMZOR",PR!$R30,IF(K32="EUMATT",PR!$S30,IF(K32="FIDSON",PR!$T30,IF(K32="FCGLOBAL",PR!$U30,IF(K32="GENEITH",PR!$V30,IF(K32="GINOS",PR!$W30,IF(K32="GSK",PR!$X30,IF(K32="GLOBORG",PR!$Y30,IF(K32="GOODNEWS",PR!$Z30,IF(K32="GREENLIFE",PR!$AA30,IF(K32="HLINE",PR!$AB30,IF(K32="ROTECH",PR!$AC30,IF(K32="ISN",PR!$AD30,IF(K32="JAWA",PR!$AE30,IF(K32="LAYO",PR!$AF30,IF(K32="LEADWAY",PR!$AG30,IF(K32="LHV",PR!$AH30,IF(K32="MANOLA",PR!$AI30,IF(K32="MARCSON",PR!$AJ30,IF(K32="M&amp;B",PR!$AK30,IF(K32="MTRUST",PR!$AL30,IF(K32="MWORLD",PR!$AM30,IF(K32="MEGA",PR!$AN30,IF(K32="MICRONOVA",PR!$AO30,IF(K32="MFLASH",PR!$AP30,IF(K32="MORISON",PR!$AQ30,IF(K32="NEMEL",PR!$AR30,IF(K32="NHP",PR!$AS30,IF(K32="NHC",PR!$AT30,IF(K32="OLEAF",PR!$AU30,IF(K32="OCULUS",PR!$AV30,IF(K32="PACIFIC",PR!$AW30,IF(K32="PHAMATEX",PR!$AX30,IF(K32="PETHICS",PR!$AY30,IF(K32="PHILIPS",PR!$AZ30,IF(K32="RANBAXY",PR!$BA30,IF(K32="REALS",PR!$BB30,IF(K32="ROYAL",PR!$BC30,IF(K32="SAM",PR!$BD30,IF(K32="SEAGREEN",PR!$BE30,IF(K32="SKG",PR!$BF30,IF(K32="TAH",PR!$BG30,IF(K32="TAYLEK",PR!$BH30,IF(K32="TEMITA",PR!$BI30,IF(K32="THL",PR!$BJ30,IF(K32="UBASTIC",PR!$BK30,IF(K32="UNION",PR!$BL30,IF(K32="UNIQUE",PR!$BM30,IF(K32="VIXA",PR!$BN30,IF(K32="WWCV",PR!$BO30,IF(K32="ZOLON",PR!$BP30,"-")))))))))))))))))))))))))))))))))))))))))))))))))))))))))))))))))</f>
        <v>0</v>
      </c>
    </row>
    <row r="33" spans="1:12" ht="18.75" x14ac:dyDescent="0.3">
      <c r="A33" s="430" t="str">
        <f>PR!A31</f>
        <v>LOT 2</v>
      </c>
      <c r="B33" s="15" t="str">
        <f>PR!B31</f>
        <v>STERILE SOLUTION/INTRAVENOUS FLUIDS</v>
      </c>
      <c r="C33" s="113">
        <f>PR!D31</f>
        <v>0</v>
      </c>
      <c r="D33" s="113">
        <f>PR!C31</f>
        <v>0</v>
      </c>
      <c r="E33" s="108" t="str">
        <f>IF(F33="ALPHA",PR!$E31,IF(F33="ASSENE",PR!$F31,IF(F33="BIOFEM",PR!$G31,IF(F33="BIOMED",PR!$H31,IF(F33="CHI",PR!$I31,IF(F33="CLARION",PR!$J31,IF(F33="CODIX",PR!$K31,IF(F33="COSMADE",PR!$L31,IF(F33="SANCON",PR!$M31,IF(F33="DEVON",PR!$N31,IF(F33="DORTEMAG",PR!$O31,IF(F33="DGF",PR!$P31,IF(F33="DYNAMIC",PR!$Q31,IF(F33="EMZOR",PR!$R31,IF(F33="EUMATT",PR!$S31,IF(F33="FIDSON",PR!$T31,IF(F33="FCGLOBAL",PR!$U31,IF(F33="GENEITH",PR!$V31,IF(F33="GINOS",PR!$W31,IF(F33="GSK",PR!$X31,IF(F33="GLOBORG",PR!$Y31,IF(F33="GOODNEWS",PR!$Z31,IF(F33="GREENLIFE",PR!$AA31,IF(F33="HLINE",PR!$AB31,IF(F33="ROTECH",PR!$AC31,IF(F33="ISN",PR!$AD31,IF(F33="JAWA",PR!$AE31,IF(F33="LAYO",PR!$AF31,IF(F33="LEADWAY",PR!$AG31,IF(F33="LHV",PR!$AH31,IF(F33="MANOLA",PR!$AI31,IF(F33="MARCSON",PR!$AJ31,IF(F33="M&amp;B",PR!$AK31,IF(F33="MTRUST",PR!$AL31,IF(F33="MWORLD",PR!$AM31,IF(F33="MEGA",PR!$AN31,IF(F33="MICRONOVA",PR!$AO31,IF(F33="MFLASH",PR!$AP31,IF(F33="MORISON",PR!$AQ31,IF(F33="NEMEL",PR!$AR31,IF(F33="NHP",PR!$AS31,IF(F33="NHC",PR!$AT31,IF(F33="OLEAF",PR!$AU31,IF(F33="OCULUS",PR!$AV31,IF(F33="PACIFIC",PR!$AW31,IF(F33="PHAMATEX",PR!$AX31,IF(F33="PETHICS",PR!$AY31,IF(F33="PHILIPS",PR!$AZ31,IF(F33="RANBAXY",PR!$BA31,IF(F33="REALS",PR!$BB31,IF(F33="ROYAL",PR!$BC31,IF(F33="SAM",PR!$BD31,IF(F33="SEAGREEN",PR!$BE31,IF(F33="SKG",PR!$BF31,IF(F33="TAH",PR!$BG31,IF(F33="TAYLEK",PR!$BH31,IF(F33="TEMITA",PR!$BI31,IF(F33="THL",PR!$BJ31,IF(F33="UBASTIC",PR!$BK31,IF(F33="UNION",PR!$BL31,IF(F33="UNIQUE",PR!$BM31,IF(F33="VIXA",PR!$BN31,IF(F33="WWCV",PR!$BO31,IF(F33="ZOLON",PR!$BP31,"-"))))))))))))))))))))))))))))))))))))))))))))))))))))))))))))))))</f>
        <v>-</v>
      </c>
      <c r="F33" s="102"/>
      <c r="G33" s="108" t="str">
        <f>IF(H33="ALPHA",PR!$E31,IF(H33="ASSENE",PR!$F31,IF(H33="BIOFEM",PR!$G31,IF(H33="BIOMED",PR!$H31,IF(H33="CHI",PR!$I31,IF(H33="CLARION",PR!$J31,IF(H33="CODIX",PR!$K31,IF(H33="COSMADE",PR!$L31,IF(H33="SANCON",PR!$M31,IF(H33="DEVON",PR!$N31,IF(H33="DORTEMAG",PR!$O31,IF(H33="DGF",PR!$P31,IF(H33="DYNAMIC",PR!$Q31,IF(H33="EMZOR",PR!$R31,IF(H33="EUMATT",PR!$S31,IF(H33="FIDSON",PR!$T31,IF(H33="FCGLOBAL",PR!$U31,IF(H33="GENEITH",PR!$V31,IF(H33="GINOS",PR!$W31,IF(H33="GSK",PR!$X31,IF(H33="GLOBORG",PR!$Y31,IF(H33="GOODNEWS",PR!$Z31,IF(H33="GREENLIFE",PR!$AA31,IF(H33="HLINE",PR!$AB31,IF(H33="ROTECH",PR!$AC31,IF(H33="ISN",PR!$AD31,IF(H33="JAWA",PR!$AE31,IF(H33="LAYO",PR!$AF31,IF(H33="LEADWAY",PR!$AG31,IF(H33="LHV",PR!$AH31,IF(H33="MANOLA",PR!$AI31,IF(H33="MARCSON",PR!$AJ31,IF(H33="M&amp;B",PR!$AK31,IF(H33="MTRUST",PR!$AL31,IF(H33="MWORLD",PR!$AM31,IF(H33="MEGA",PR!$AN31,IF(H33="MICRONOVA",PR!$AO31,IF(H33="MFLASH",PR!$AP31,IF(H33="MORISON",PR!$AQ31,IF(H33="NEMEL",PR!$AR31,IF(H33="NHP",PR!$AS31,IF(H33="NHC",PR!$AT31,IF(H33="OLEAF",PR!$AU31,IF(H33="OCULUS",PR!$AV31,IF(H33="PACIFIC",PR!$AW31,IF(H33="PHAMATEX",PR!$AX31,IF(H33="PETHICS",PR!$AY31,IF(H33="PHILIPS",PR!$AZ31,IF(H33="RANBAXY",PR!$BA31,IF(H33="REALS",PR!$BB31,IF(H33="ROYAL",PR!$BC31,IF(H33="SAM",PR!$BD31,IF(H33="SEAGREEN",PR!$BE31,IF(H33="SKG",PR!$BF31,IF(H33="TAH",PR!$BG31,IF(H33="TAYLEK",PR!$BH31,IF(H33="TEMITA",PR!$BI31,IF(H33="THL",PR!$BJ31,IF(H33="UBASTIC",PR!$BK31,IF(H33="UNION",PR!$BL31,IF(H33="UNIQUE",PR!$BM31,IF(H33="VIXA",PR!$BN31,IF(H33="WWCV",PR!$BO31,IF(H33="ZOLON",PR!$BP31,"-"))))))))))))))))))))))))))))))))))))))))))))))))))))))))))))))))</f>
        <v>-</v>
      </c>
      <c r="H33" s="102"/>
      <c r="I33" s="108" t="str">
        <f>IF(J33="ALPHA",PR!$E31,IF(J33="ASSENE",PR!$F31,IF(J33="BIOFEM",PR!$G31,IF(J33="BIOMED",PR!$H31,IF(J33="CHI",PR!$I31,IF(J33="CLARION",PR!$J31,IF(J33="CODIX",PR!$K31,IF(J33="COSMADE",PR!$L31,IF(J33="SANCON",PR!$M31,IF(J33="DEVON",PR!$N31,IF(J33="DORTEMAG",PR!$O31,IF(J33="DGF",PR!$P31,IF(J33="DYNAMIC",PR!$Q31,IF(J33="EMZOR",PR!$R31,IF(J33="EUMATT",PR!$S31,IF(J33="FIDSON",PR!$T31,IF(J33="FCGLOBAL",PR!$U31,IF(J33="GENEITH",PR!$V31,IF(J33="GINOS",PR!$W31,IF(J33="GSK",PR!$X31,IF(J33="GLOBORG",PR!$Y31,IF(J33="GOODNEWS",PR!$Z31,IF(J33="GREENLIFE",PR!$AA31,IF(J33="HLINE",PR!$AB31,IF(J33="ROTECH",PR!$AC31,IF(J33="ISN",PR!$AD31,IF(J33="JAWA",PR!$AE31,IF(J33="LAYO",PR!$AF31,IF(J33="LEADWAY",PR!$AG31,IF(J33="LHV",PR!$AH31,IF(J33="MANOLA",PR!$AI31,IF(J33="MARCSON",PR!$AJ31,IF(J33="M&amp;B",PR!$AK31,IF(J33="MTRUST",PR!$AL31,IF(J33="MWORLD",PR!$AM31,IF(J33="MEGA",PR!$AN31,IF(J33="MICRONOVA",PR!$AO31,IF(J33="MFLASH",PR!$AP31,IF(J33="MORISON",PR!$AQ31,IF(J33="NEMEL",PR!$AR31,IF(J33="NHP",PR!$AS31,IF(J33="NHC",PR!$AT31,IF(J33="OLEAF",PR!$AU31,IF(J33="OCULUS",PR!$AV31,IF(J33="PACIFIC",PR!$AW31,IF(J33="PHAMATEX",PR!$AX31,IF(J33="PETHICS",PR!$AY31,IF(J33="PHILIPS",PR!$AZ31,IF(J33="RANBAXY",PR!$BA31,IF(J33="REALS",PR!$BB31,IF(J33="ROYAL",PR!$BC31,IF(J33="SAM",PR!$BD31,IF(J33="SEAGREEN",PR!$BE31,IF(J33="SKG",PR!$BF31,IF(J33="TAH",PR!$BG31,IF(J33="TAYLEK",PR!$BH31,IF(J33="TEMITA",PR!$BI31,IF(J33="THL",PR!$BJ31,IF(J33="UBASTIC",PR!$BK31,IF(J33="UNION",PR!$BL31,IF(J33="UNIQUE",PR!$BM31,IF(J33="VIXA",PR!$BN31,IF(J33="WWCV",PR!$BO31,IF(J33="ZOLON",PR!$BP31,"-"))))))))))))))))))))))))))))))))))))))))))))))))))))))))))))))))</f>
        <v>-</v>
      </c>
      <c r="J33" s="102"/>
      <c r="K33" s="433"/>
      <c r="L33" s="183" t="b">
        <f>IF(K33&gt;0,IF(K33="ALPHA",PR!$E31,IF(K33="ASSENE",PR!$F31,IF(K33="BIOFEM",PR!$G31,IF(K33="BIOMED",PR!$H31,IF(K33="CHI",PR!$I31,IF(K33="CLARION",PR!$J31,IF(K33="CODIX",PR!$K31,IF(K33="COSMADE",PR!$L31,IF(K33="SANCON",PR!$M31,IF(K33="DEVON",PR!$N31,IF(K33="DORTEMAG",PR!$O31,IF(K33="DGF",PR!$P31,IF(K33="DYNAMIC",PR!$Q31,IF(K33="EMZOR",PR!$R31,IF(K33="EUMATT",PR!$S31,IF(K33="FIDSON",PR!$T31,IF(K33="FCGLOBAL",PR!$U31,IF(K33="GENEITH",PR!$V31,IF(K33="GINOS",PR!$W31,IF(K33="GSK",PR!$X31,IF(K33="GLOBORG",PR!$Y31,IF(K33="GOODNEWS",PR!$Z31,IF(K33="GREENLIFE",PR!$AA31,IF(K33="HLINE",PR!$AB31,IF(K33="ROTECH",PR!$AC31,IF(K33="ISN",PR!$AD31,IF(K33="JAWA",PR!$AE31,IF(K33="LAYO",PR!$AF31,IF(K33="LEADWAY",PR!$AG31,IF(K33="LHV",PR!$AH31,IF(K33="MANOLA",PR!$AI31,IF(K33="MARCSON",PR!$AJ31,IF(K33="M&amp;B",PR!$AK31,IF(K33="MTRUST",PR!$AL31,IF(K33="MWORLD",PR!$AM31,IF(K33="MEGA",PR!$AN31,IF(K33="MICRONOVA",PR!$AO31,IF(K33="MFLASH",PR!$AP31,IF(K33="MORISON",PR!$AQ31,IF(K33="NEMEL",PR!$AR31,IF(K33="NHP",PR!$AS31,IF(K33="NHC",PR!$AT31,IF(K33="OLEAF",PR!$AU31,IF(K33="OCULUS",PR!$AV31,IF(K33="PACIFIC",PR!$AW31,IF(K33="PHAMATEX",PR!$AX31,IF(K33="PETHICS",PR!$AY31,IF(K33="PHILIPS",PR!$AZ31,IF(K33="RANBAXY",PR!$BA31,IF(K33="REALS",PR!$BB31,IF(K33="ROYAL",PR!$BC31,IF(K33="SAM",PR!$BD31,IF(K33="SEAGREEN",PR!$BE31,IF(K33="SKG",PR!$BF31,IF(K33="TAH",PR!$BG31,IF(K33="TAYLEK",PR!$BH31,IF(K33="TEMITA",PR!$BI31,IF(K33="THL",PR!$BJ31,IF(K33="UBASTIC",PR!$BK31,IF(K33="UNION",PR!$BL31,IF(K33="UNIQUE",PR!$BM31,IF(K33="VIXA",PR!$BN31,IF(K33="WWCV",PR!$BO31,IF(K33="ZOLON",PR!$BP31,"-")))))))))))))))))))))))))))))))))))))))))))))))))))))))))))))))))</f>
        <v>0</v>
      </c>
    </row>
    <row r="34" spans="1:12" ht="18.75" x14ac:dyDescent="0.3">
      <c r="A34" s="430">
        <f>PR!A32</f>
        <v>19</v>
      </c>
      <c r="B34" s="15" t="str">
        <f>PR!B32</f>
        <v xml:space="preserve">0.9% NORMAL SALINE </v>
      </c>
      <c r="C34" s="113">
        <f>PR!D32</f>
        <v>20</v>
      </c>
      <c r="D34" s="113">
        <f>PR!C32</f>
        <v>3000</v>
      </c>
      <c r="E34" s="108">
        <f>IF(F34="ALPHA",PR!$E32,IF(F34="ASSENE",PR!$F32,IF(F34="BIOFEM",PR!$G32,IF(F34="BIOMED",PR!$H32,IF(F34="CHI",PR!$I32,IF(F34="CLARION",PR!$J32,IF(F34="CODIX",PR!$K32,IF(F34="COSMADE",PR!$L32,IF(F34="SANCON",PR!$M32,IF(F34="DEVON",PR!$N32,IF(F34="DORTEMAG",PR!$O32,IF(F34="DGF",PR!$P32,IF(F34="DYNAMIC",PR!$Q32,IF(F34="EMZOR",PR!$R32,IF(F34="EUMATT",PR!$S32,IF(F34="FIDSON",PR!$T32,IF(F34="FCGLOBAL",PR!$U32,IF(F34="GENEITH",PR!$V32,IF(F34="GINOS",PR!$W32,IF(F34="GSK",PR!$X32,IF(F34="GLOBORG",PR!$Y32,IF(F34="GOODNEWS",PR!$Z32,IF(F34="GREENLIFE",PR!$AA32,IF(F34="HLINE",PR!$AB32,IF(F34="ROTECH",PR!$AC32,IF(F34="ISN",PR!$AD32,IF(F34="JAWA",PR!$AE32,IF(F34="LAYO",PR!$AF32,IF(F34="LEADWAY",PR!$AG32,IF(F34="LHV",PR!$AH32,IF(F34="MANOLA",PR!$AI32,IF(F34="MARCSON",PR!$AJ32,IF(F34="M&amp;B",PR!$AK32,IF(F34="MTRUST",PR!$AL32,IF(F34="MWORLD",PR!$AM32,IF(F34="MEGA",PR!$AN32,IF(F34="MICRONOVA",PR!$AO32,IF(F34="MFLASH",PR!$AP32,IF(F34="MORISON",PR!$AQ32,IF(F34="NEMEL",PR!$AR32,IF(F34="NHP",PR!$AS32,IF(F34="NHC",PR!$AT32,IF(F34="OLEAF",PR!$AU32,IF(F34="OCULUS",PR!$AV32,IF(F34="PACIFIC",PR!$AW32,IF(F34="PHAMATEX",PR!$AX32,IF(F34="PETHICS",PR!$AY32,IF(F34="PHILIPS",PR!$AZ32,IF(F34="RANBAXY",PR!$BA32,IF(F34="REALS",PR!$BB32,IF(F34="ROYAL",PR!$BC32,IF(F34="SAM",PR!$BD32,IF(F34="SEAGREEN",PR!$BE32,IF(F34="SKG",PR!$BF32,IF(F34="TAH",PR!$BG32,IF(F34="TAYLEK",PR!$BH32,IF(F34="TEMITA",PR!$BI32,IF(F34="THL",PR!$BJ32,IF(F34="UBASTIC",PR!$BK32,IF(F34="UNION",PR!$BL32,IF(F34="UNIQUE",PR!$BM32,IF(F34="VIXA",PR!$BN32,IF(F34="WWCV",PR!$BO32,IF(F34="ZOLON",PR!$BP32,"-"))))))))))))))))))))))))))))))))))))))))))))))))))))))))))))))))</f>
        <v>2350</v>
      </c>
      <c r="F34" s="102" t="str">
        <f>EV!L37</f>
        <v>BIOMED</v>
      </c>
      <c r="G34" s="108">
        <f>IF(H34="ALPHA",PR!$E32,IF(H34="ASSENE",PR!$F32,IF(H34="BIOFEM",PR!$G32,IF(H34="BIOMED",PR!$H32,IF(H34="CHI",PR!$I32,IF(H34="CLARION",PR!$J32,IF(H34="CODIX",PR!$K32,IF(H34="COSMADE",PR!$L32,IF(H34="SANCON",PR!$M32,IF(H34="DEVON",PR!$N32,IF(H34="DORTEMAG",PR!$O32,IF(H34="DGF",PR!$P32,IF(H34="DYNAMIC",PR!$Q32,IF(H34="EMZOR",PR!$R32,IF(H34="EUMATT",PR!$S32,IF(H34="FIDSON",PR!$T32,IF(H34="FCGLOBAL",PR!$U32,IF(H34="GENEITH",PR!$V32,IF(H34="GINOS",PR!$W32,IF(H34="GSK",PR!$X32,IF(H34="GLOBORG",PR!$Y32,IF(H34="GOODNEWS",PR!$Z32,IF(H34="GREENLIFE",PR!$AA32,IF(H34="HLINE",PR!$AB32,IF(H34="ROTECH",PR!$AC32,IF(H34="ISN",PR!$AD32,IF(H34="JAWA",PR!$AE32,IF(H34="LAYO",PR!$AF32,IF(H34="LEADWAY",PR!$AG32,IF(H34="LHV",PR!$AH32,IF(H34="MANOLA",PR!$AI32,IF(H34="MARCSON",PR!$AJ32,IF(H34="M&amp;B",PR!$AK32,IF(H34="MTRUST",PR!$AL32,IF(H34="MWORLD",PR!$AM32,IF(H34="MEGA",PR!$AN32,IF(H34="MICRONOVA",PR!$AO32,IF(H34="MFLASH",PR!$AP32,IF(H34="MORISON",PR!$AQ32,IF(H34="NEMEL",PR!$AR32,IF(H34="NHP",PR!$AS32,IF(H34="NHC",PR!$AT32,IF(H34="OLEAF",PR!$AU32,IF(H34="OCULUS",PR!$AV32,IF(H34="PACIFIC",PR!$AW32,IF(H34="PHAMATEX",PR!$AX32,IF(H34="PETHICS",PR!$AY32,IF(H34="PHILIPS",PR!$AZ32,IF(H34="RANBAXY",PR!$BA32,IF(H34="REALS",PR!$BB32,IF(H34="ROYAL",PR!$BC32,IF(H34="SAM",PR!$BD32,IF(H34="SEAGREEN",PR!$BE32,IF(H34="SKG",PR!$BF32,IF(H34="TAH",PR!$BG32,IF(H34="TAYLEK",PR!$BH32,IF(H34="TEMITA",PR!$BI32,IF(H34="THL",PR!$BJ32,IF(H34="UBASTIC",PR!$BK32,IF(H34="UNION",PR!$BL32,IF(H34="UNIQUE",PR!$BM32,IF(H34="VIXA",PR!$BN32,IF(H34="WWCV",PR!$BO32,IF(H34="ZOLON",PR!$BP32,"-"))))))))))))))))))))))))))))))))))))))))))))))))))))))))))))))))</f>
        <v>2500</v>
      </c>
      <c r="H34" s="102" t="str">
        <f>EV!M37</f>
        <v>FIDSON</v>
      </c>
      <c r="I34" s="108">
        <f>IF(J34="ALPHA",PR!$E32,IF(J34="ASSENE",PR!$F32,IF(J34="BIOFEM",PR!$G32,IF(J34="BIOMED",PR!$H32,IF(J34="CHI",PR!$I32,IF(J34="CLARION",PR!$J32,IF(J34="CODIX",PR!$K32,IF(J34="COSMADE",PR!$L32,IF(J34="SANCON",PR!$M32,IF(J34="DEVON",PR!$N32,IF(J34="DORTEMAG",PR!$O32,IF(J34="DGF",PR!$P32,IF(J34="DYNAMIC",PR!$Q32,IF(J34="EMZOR",PR!$R32,IF(J34="EUMATT",PR!$S32,IF(J34="FIDSON",PR!$T32,IF(J34="FCGLOBAL",PR!$U32,IF(J34="GENEITH",PR!$V32,IF(J34="GINOS",PR!$W32,IF(J34="GSK",PR!$X32,IF(J34="GLOBORG",PR!$Y32,IF(J34="GOODNEWS",PR!$Z32,IF(J34="GREENLIFE",PR!$AA32,IF(J34="HLINE",PR!$AB32,IF(J34="ROTECH",PR!$AC32,IF(J34="ISN",PR!$AD32,IF(J34="JAWA",PR!$AE32,IF(J34="LAYO",PR!$AF32,IF(J34="LEADWAY",PR!$AG32,IF(J34="LHV",PR!$AH32,IF(J34="MANOLA",PR!$AI32,IF(J34="MARCSON",PR!$AJ32,IF(J34="M&amp;B",PR!$AK32,IF(J34="MTRUST",PR!$AL32,IF(J34="MWORLD",PR!$AM32,IF(J34="MEGA",PR!$AN32,IF(J34="MICRONOVA",PR!$AO32,IF(J34="MFLASH",PR!$AP32,IF(J34="MORISON",PR!$AQ32,IF(J34="NEMEL",PR!$AR32,IF(J34="NHP",PR!$AS32,IF(J34="NHC",PR!$AT32,IF(J34="OLEAF",PR!$AU32,IF(J34="OCULUS",PR!$AV32,IF(J34="PACIFIC",PR!$AW32,IF(J34="PHAMATEX",PR!$AX32,IF(J34="PETHICS",PR!$AY32,IF(J34="PHILIPS",PR!$AZ32,IF(J34="RANBAXY",PR!$BA32,IF(J34="REALS",PR!$BB32,IF(J34="ROYAL",PR!$BC32,IF(J34="SAM",PR!$BD32,IF(J34="SEAGREEN",PR!$BE32,IF(J34="SKG",PR!$BF32,IF(J34="TAH",PR!$BG32,IF(J34="TAYLEK",PR!$BH32,IF(J34="TEMITA",PR!$BI32,IF(J34="THL",PR!$BJ32,IF(J34="UBASTIC",PR!$BK32,IF(J34="UNION",PR!$BL32,IF(J34="UNIQUE",PR!$BM32,IF(J34="VIXA",PR!$BN32,IF(J34="WWCV",PR!$BO32,IF(J34="ZOLON",PR!$BP32,"-"))))))))))))))))))))))))))))))))))))))))))))))))))))))))))))))))</f>
        <v>2520</v>
      </c>
      <c r="J34" s="102" t="str">
        <f>EV!N37</f>
        <v>UNIQUE</v>
      </c>
      <c r="K34" s="433" t="s">
        <v>2085</v>
      </c>
      <c r="L34" s="183" t="str">
        <f>IF(K34&gt;0,IF(K34="ALPHA",PR!$E32,IF(K34="ASSENE",PR!$F32,IF(K34="BIOFEM",PR!$G32,IF(K34="BIOMED",PR!$H32,IF(K34="CHI",PR!$I32,IF(K34="CLARION",PR!$J32,IF(K34="CODIX",PR!$K32,IF(K34="COSMADE",PR!$L32,IF(K34="SANCON",PR!$M32,IF(K34="DEVON",PR!$N32,IF(K34="DORTEMAG",PR!$O32,IF(K34="DGF",PR!$P32,IF(K34="DYNAMIC",PR!$Q32,IF(K34="EMZOR",PR!$R32,IF(K34="EUMATT",PR!$S32,IF(K34="FIDSON",PR!$T32,IF(K34="FCGLOBAL",PR!$U32,IF(K34="GENEITH",PR!$V32,IF(K34="GINOS",PR!$W32,IF(K34="GSK",PR!$X32,IF(K34="GLOBORG",PR!$Y32,IF(K34="GOODNEWS",PR!$Z32,IF(K34="GREENLIFE",PR!$AA32,IF(K34="HLINE",PR!$AB32,IF(K34="ROTECH",PR!$AC32,IF(K34="ISN",PR!$AD32,IF(K34="JAWA",PR!$AE32,IF(K34="LAYO",PR!$AF32,IF(K34="LEADWAY",PR!$AG32,IF(K34="LHV",PR!$AH32,IF(K34="MANOLA",PR!$AI32,IF(K34="MARCSON",PR!$AJ32,IF(K34="M&amp;B",PR!$AK32,IF(K34="MTRUST",PR!$AL32,IF(K34="MWORLD",PR!$AM32,IF(K34="MEGA",PR!$AN32,IF(K34="MICRONOVA",PR!$AO32,IF(K34="MFLASH",PR!$AP32,IF(K34="MORISON",PR!$AQ32,IF(K34="NEMEL",PR!$AR32,IF(K34="NHP",PR!$AS32,IF(K34="NHC",PR!$AT32,IF(K34="OLEAF",PR!$AU32,IF(K34="OCULUS",PR!$AV32,IF(K34="PACIFIC",PR!$AW32,IF(K34="PHAMATEX",PR!$AX32,IF(K34="PETHICS",PR!$AY32,IF(K34="PHILIPS",PR!$AZ32,IF(K34="RANBAXY",PR!$BA32,IF(K34="REALS",PR!$BB32,IF(K34="ROYAL",PR!$BC32,IF(K34="SAM",PR!$BD32,IF(K34="SEAGREEN",PR!$BE32,IF(K34="SKG",PR!$BF32,IF(K34="TAH",PR!$BG32,IF(K34="TAYLEK",PR!$BH32,IF(K34="TEMITA",PR!$BI32,IF(K34="THL",PR!$BJ32,IF(K34="UBASTIC",PR!$BK32,IF(K34="UNION",PR!$BL32,IF(K34="UNIQUE",PR!$BM32,IF(K34="VIXA",PR!$BN32,IF(K34="WWCV",PR!$BO32,IF(K34="ZOLON",PR!$BP32,"-")))))))))))))))))))))))))))))))))))))))))))))))))))))))))))))))))</f>
        <v>-</v>
      </c>
    </row>
    <row r="35" spans="1:12" ht="18.75" x14ac:dyDescent="0.3">
      <c r="A35" s="430">
        <f>PR!A33</f>
        <v>20</v>
      </c>
      <c r="B35" s="15" t="str">
        <f>PR!B33</f>
        <v>10% DEXTROSE WATER</v>
      </c>
      <c r="C35" s="113">
        <f>PR!D33</f>
        <v>20</v>
      </c>
      <c r="D35" s="113">
        <f>PR!C33</f>
        <v>100</v>
      </c>
      <c r="E35" s="108">
        <f>IF(F35="ALPHA",PR!$E33,IF(F35="ASSENE",PR!$F33,IF(F35="BIOFEM",PR!$G33,IF(F35="BIOMED",PR!$H33,IF(F35="CHI",PR!$I33,IF(F35="CLARION",PR!$J33,IF(F35="CODIX",PR!$K33,IF(F35="COSMADE",PR!$L33,IF(F35="SANCON",PR!$M33,IF(F35="DEVON",PR!$N33,IF(F35="DORTEMAG",PR!$O33,IF(F35="DGF",PR!$P33,IF(F35="DYNAMIC",PR!$Q33,IF(F35="EMZOR",PR!$R33,IF(F35="EUMATT",PR!$S33,IF(F35="FIDSON",PR!$T33,IF(F35="FCGLOBAL",PR!$U33,IF(F35="GENEITH",PR!$V33,IF(F35="GINOS",PR!$W33,IF(F35="GSK",PR!$X33,IF(F35="GLOBORG",PR!$Y33,IF(F35="GOODNEWS",PR!$Z33,IF(F35="GREENLIFE",PR!$AA33,IF(F35="HLINE",PR!$AB33,IF(F35="ROTECH",PR!$AC33,IF(F35="ISN",PR!$AD33,IF(F35="JAWA",PR!$AE33,IF(F35="LAYO",PR!$AF33,IF(F35="LEADWAY",PR!$AG33,IF(F35="LHV",PR!$AH33,IF(F35="MANOLA",PR!$AI33,IF(F35="MARCSON",PR!$AJ33,IF(F35="M&amp;B",PR!$AK33,IF(F35="MTRUST",PR!$AL33,IF(F35="MWORLD",PR!$AM33,IF(F35="MEGA",PR!$AN33,IF(F35="MICRONOVA",PR!$AO33,IF(F35="MFLASH",PR!$AP33,IF(F35="MORISON",PR!$AQ33,IF(F35="NEMEL",PR!$AR33,IF(F35="NHP",PR!$AS33,IF(F35="NHC",PR!$AT33,IF(F35="OLEAF",PR!$AU33,IF(F35="OCULUS",PR!$AV33,IF(F35="PACIFIC",PR!$AW33,IF(F35="PHAMATEX",PR!$AX33,IF(F35="PETHICS",PR!$AY33,IF(F35="PHILIPS",PR!$AZ33,IF(F35="RANBAXY",PR!$BA33,IF(F35="REALS",PR!$BB33,IF(F35="ROYAL",PR!$BC33,IF(F35="SAM",PR!$BD33,IF(F35="SEAGREEN",PR!$BE33,IF(F35="SKG",PR!$BF33,IF(F35="TAH",PR!$BG33,IF(F35="TAYLEK",PR!$BH33,IF(F35="TEMITA",PR!$BI33,IF(F35="THL",PR!$BJ33,IF(F35="UBASTIC",PR!$BK33,IF(F35="UNION",PR!$BL33,IF(F35="UNIQUE",PR!$BM33,IF(F35="VIXA",PR!$BN33,IF(F35="WWCV",PR!$BO33,IF(F35="ZOLON",PR!$BP33,"-"))))))))))))))))))))))))))))))))))))))))))))))))))))))))))))))))</f>
        <v>2520</v>
      </c>
      <c r="F35" s="102" t="str">
        <f>EV!L38</f>
        <v>UNIQUE</v>
      </c>
      <c r="G35" s="108">
        <f>IF(H35="ALPHA",PR!$E33,IF(H35="ASSENE",PR!$F33,IF(H35="BIOFEM",PR!$G33,IF(H35="BIOMED",PR!$H33,IF(H35="CHI",PR!$I33,IF(H35="CLARION",PR!$J33,IF(H35="CODIX",PR!$K33,IF(H35="COSMADE",PR!$L33,IF(H35="SANCON",PR!$M33,IF(H35="DEVON",PR!$N33,IF(H35="DORTEMAG",PR!$O33,IF(H35="DGF",PR!$P33,IF(H35="DYNAMIC",PR!$Q33,IF(H35="EMZOR",PR!$R33,IF(H35="EUMATT",PR!$S33,IF(H35="FIDSON",PR!$T33,IF(H35="FCGLOBAL",PR!$U33,IF(H35="GENEITH",PR!$V33,IF(H35="GINOS",PR!$W33,IF(H35="GSK",PR!$X33,IF(H35="GLOBORG",PR!$Y33,IF(H35="GOODNEWS",PR!$Z33,IF(H35="GREENLIFE",PR!$AA33,IF(H35="HLINE",PR!$AB33,IF(H35="ROTECH",PR!$AC33,IF(H35="ISN",PR!$AD33,IF(H35="JAWA",PR!$AE33,IF(H35="LAYO",PR!$AF33,IF(H35="LEADWAY",PR!$AG33,IF(H35="LHV",PR!$AH33,IF(H35="MANOLA",PR!$AI33,IF(H35="MARCSON",PR!$AJ33,IF(H35="M&amp;B",PR!$AK33,IF(H35="MTRUST",PR!$AL33,IF(H35="MWORLD",PR!$AM33,IF(H35="MEGA",PR!$AN33,IF(H35="MICRONOVA",PR!$AO33,IF(H35="MFLASH",PR!$AP33,IF(H35="MORISON",PR!$AQ33,IF(H35="NEMEL",PR!$AR33,IF(H35="NHP",PR!$AS33,IF(H35="NHC",PR!$AT33,IF(H35="OLEAF",PR!$AU33,IF(H35="OCULUS",PR!$AV33,IF(H35="PACIFIC",PR!$AW33,IF(H35="PHAMATEX",PR!$AX33,IF(H35="PETHICS",PR!$AY33,IF(H35="PHILIPS",PR!$AZ33,IF(H35="RANBAXY",PR!$BA33,IF(H35="REALS",PR!$BB33,IF(H35="ROYAL",PR!$BC33,IF(H35="SAM",PR!$BD33,IF(H35="SEAGREEN",PR!$BE33,IF(H35="SKG",PR!$BF33,IF(H35="TAH",PR!$BG33,IF(H35="TAYLEK",PR!$BH33,IF(H35="TEMITA",PR!$BI33,IF(H35="THL",PR!$BJ33,IF(H35="UBASTIC",PR!$BK33,IF(H35="UNION",PR!$BL33,IF(H35="UNIQUE",PR!$BM33,IF(H35="VIXA",PR!$BN33,IF(H35="WWCV",PR!$BO33,IF(H35="ZOLON",PR!$BP33,"-"))))))))))))))))))))))))))))))))))))))))))))))))))))))))))))))))</f>
        <v>2700</v>
      </c>
      <c r="H35" s="102" t="str">
        <f>EV!M38</f>
        <v>BIOMED</v>
      </c>
      <c r="I35" s="108">
        <f>IF(J35="ALPHA",PR!$E33,IF(J35="ASSENE",PR!$F33,IF(J35="BIOFEM",PR!$G33,IF(J35="BIOMED",PR!$H33,IF(J35="CHI",PR!$I33,IF(J35="CLARION",PR!$J33,IF(J35="CODIX",PR!$K33,IF(J35="COSMADE",PR!$L33,IF(J35="SANCON",PR!$M33,IF(J35="DEVON",PR!$N33,IF(J35="DORTEMAG",PR!$O33,IF(J35="DGF",PR!$P33,IF(J35="DYNAMIC",PR!$Q33,IF(J35="EMZOR",PR!$R33,IF(J35="EUMATT",PR!$S33,IF(J35="FIDSON",PR!$T33,IF(J35="FCGLOBAL",PR!$U33,IF(J35="GENEITH",PR!$V33,IF(J35="GINOS",PR!$W33,IF(J35="GSK",PR!$X33,IF(J35="GLOBORG",PR!$Y33,IF(J35="GOODNEWS",PR!$Z33,IF(J35="GREENLIFE",PR!$AA33,IF(J35="HLINE",PR!$AB33,IF(J35="ROTECH",PR!$AC33,IF(J35="ISN",PR!$AD33,IF(J35="JAWA",PR!$AE33,IF(J35="LAYO",PR!$AF33,IF(J35="LEADWAY",PR!$AG33,IF(J35="LHV",PR!$AH33,IF(J35="MANOLA",PR!$AI33,IF(J35="MARCSON",PR!$AJ33,IF(J35="M&amp;B",PR!$AK33,IF(J35="MTRUST",PR!$AL33,IF(J35="MWORLD",PR!$AM33,IF(J35="MEGA",PR!$AN33,IF(J35="MICRONOVA",PR!$AO33,IF(J35="MFLASH",PR!$AP33,IF(J35="MORISON",PR!$AQ33,IF(J35="NEMEL",PR!$AR33,IF(J35="NHP",PR!$AS33,IF(J35="NHC",PR!$AT33,IF(J35="OLEAF",PR!$AU33,IF(J35="OCULUS",PR!$AV33,IF(J35="PACIFIC",PR!$AW33,IF(J35="PHAMATEX",PR!$AX33,IF(J35="PETHICS",PR!$AY33,IF(J35="PHILIPS",PR!$AZ33,IF(J35="RANBAXY",PR!$BA33,IF(J35="REALS",PR!$BB33,IF(J35="ROYAL",PR!$BC33,IF(J35="SAM",PR!$BD33,IF(J35="SEAGREEN",PR!$BE33,IF(J35="SKG",PR!$BF33,IF(J35="TAH",PR!$BG33,IF(J35="TAYLEK",PR!$BH33,IF(J35="TEMITA",PR!$BI33,IF(J35="THL",PR!$BJ33,IF(J35="UBASTIC",PR!$BK33,IF(J35="UNION",PR!$BL33,IF(J35="UNIQUE",PR!$BM33,IF(J35="VIXA",PR!$BN33,IF(J35="WWCV",PR!$BO33,IF(J35="ZOLON",PR!$BP33,"-"))))))))))))))))))))))))))))))))))))))))))))))))))))))))))))))))</f>
        <v>2700</v>
      </c>
      <c r="J35" s="102" t="str">
        <f>EV!N38</f>
        <v>COSMADE</v>
      </c>
      <c r="K35" s="433" t="s">
        <v>633</v>
      </c>
      <c r="L35" s="183">
        <f>IF(K35&gt;0,IF(K35="ALPHA",PR!$E33,IF(K35="ASSENE",PR!$F33,IF(K35="BIOFEM",PR!$G33,IF(K35="BIOMED",PR!$H33,IF(K35="CHI",PR!$I33,IF(K35="CLARION",PR!$J33,IF(K35="CODIX",PR!$K33,IF(K35="COSMADE",PR!$L33,IF(K35="SANCON",PR!$M33,IF(K35="DEVON",PR!$N33,IF(K35="DORTEMAG",PR!$O33,IF(K35="DGF",PR!$P33,IF(K35="DYNAMIC",PR!$Q33,IF(K35="EMZOR",PR!$R33,IF(K35="EUMATT",PR!$S33,IF(K35="FIDSON",PR!$T33,IF(K35="FCGLOBAL",PR!$U33,IF(K35="GENEITH",PR!$V33,IF(K35="GINOS",PR!$W33,IF(K35="GSK",PR!$X33,IF(K35="GLOBORG",PR!$Y33,IF(K35="GOODNEWS",PR!$Z33,IF(K35="GREENLIFE",PR!$AA33,IF(K35="HLINE",PR!$AB33,IF(K35="ROTECH",PR!$AC33,IF(K35="ISN",PR!$AD33,IF(K35="JAWA",PR!$AE33,IF(K35="LAYO",PR!$AF33,IF(K35="LEADWAY",PR!$AG33,IF(K35="LHV",PR!$AH33,IF(K35="MANOLA",PR!$AI33,IF(K35="MARCSON",PR!$AJ33,IF(K35="M&amp;B",PR!$AK33,IF(K35="MTRUST",PR!$AL33,IF(K35="MWORLD",PR!$AM33,IF(K35="MEGA",PR!$AN33,IF(K35="MICRONOVA",PR!$AO33,IF(K35="MFLASH",PR!$AP33,IF(K35="MORISON",PR!$AQ33,IF(K35="NEMEL",PR!$AR33,IF(K35="NHP",PR!$AS33,IF(K35="NHC",PR!$AT33,IF(K35="OLEAF",PR!$AU33,IF(K35="OCULUS",PR!$AV33,IF(K35="PACIFIC",PR!$AW33,IF(K35="PHAMATEX",PR!$AX33,IF(K35="PETHICS",PR!$AY33,IF(K35="PHILIPS",PR!$AZ33,IF(K35="RANBAXY",PR!$BA33,IF(K35="REALS",PR!$BB33,IF(K35="ROYAL",PR!$BC33,IF(K35="SAM",PR!$BD33,IF(K35="SEAGREEN",PR!$BE33,IF(K35="SKG",PR!$BF33,IF(K35="TAH",PR!$BG33,IF(K35="TAYLEK",PR!$BH33,IF(K35="TEMITA",PR!$BI33,IF(K35="THL",PR!$BJ33,IF(K35="UBASTIC",PR!$BK33,IF(K35="UNION",PR!$BL33,IF(K35="UNIQUE",PR!$BM33,IF(K35="VIXA",PR!$BN33,IF(K35="WWCV",PR!$BO33,IF(K35="ZOLON",PR!$BP33,"-")))))))))))))))))))))))))))))))))))))))))))))))))))))))))))))))))</f>
        <v>2520</v>
      </c>
    </row>
    <row r="36" spans="1:12" ht="18.75" x14ac:dyDescent="0.3">
      <c r="A36" s="430">
        <f>PR!A34</f>
        <v>21</v>
      </c>
      <c r="B36" s="15" t="str">
        <f>PR!B34</f>
        <v>10% MANNITOL</v>
      </c>
      <c r="C36" s="113">
        <f>PR!D34</f>
        <v>20</v>
      </c>
      <c r="D36" s="113">
        <f>PR!C34</f>
        <v>8</v>
      </c>
      <c r="E36" s="108">
        <f>IF(F36="ALPHA",PR!$E34,IF(F36="ASSENE",PR!$F34,IF(F36="BIOFEM",PR!$G34,IF(F36="BIOMED",PR!$H34,IF(F36="CHI",PR!$I34,IF(F36="CLARION",PR!$J34,IF(F36="CODIX",PR!$K34,IF(F36="COSMADE",PR!$L34,IF(F36="SANCON",PR!$M34,IF(F36="DEVON",PR!$N34,IF(F36="DORTEMAG",PR!$O34,IF(F36="DGF",PR!$P34,IF(F36="DYNAMIC",PR!$Q34,IF(F36="EMZOR",PR!$R34,IF(F36="EUMATT",PR!$S34,IF(F36="FIDSON",PR!$T34,IF(F36="FCGLOBAL",PR!$U34,IF(F36="GENEITH",PR!$V34,IF(F36="GINOS",PR!$W34,IF(F36="GSK",PR!$X34,IF(F36="GLOBORG",PR!$Y34,IF(F36="GOODNEWS",PR!$Z34,IF(F36="GREENLIFE",PR!$AA34,IF(F36="HLINE",PR!$AB34,IF(F36="ROTECH",PR!$AC34,IF(F36="ISN",PR!$AD34,IF(F36="JAWA",PR!$AE34,IF(F36="LAYO",PR!$AF34,IF(F36="LEADWAY",PR!$AG34,IF(F36="LHV",PR!$AH34,IF(F36="MANOLA",PR!$AI34,IF(F36="MARCSON",PR!$AJ34,IF(F36="M&amp;B",PR!$AK34,IF(F36="MTRUST",PR!$AL34,IF(F36="MWORLD",PR!$AM34,IF(F36="MEGA",PR!$AN34,IF(F36="MICRONOVA",PR!$AO34,IF(F36="MFLASH",PR!$AP34,IF(F36="MORISON",PR!$AQ34,IF(F36="NEMEL",PR!$AR34,IF(F36="NHP",PR!$AS34,IF(F36="NHC",PR!$AT34,IF(F36="OLEAF",PR!$AU34,IF(F36="OCULUS",PR!$AV34,IF(F36="PACIFIC",PR!$AW34,IF(F36="PHAMATEX",PR!$AX34,IF(F36="PETHICS",PR!$AY34,IF(F36="PHILIPS",PR!$AZ34,IF(F36="RANBAXY",PR!$BA34,IF(F36="REALS",PR!$BB34,IF(F36="ROYAL",PR!$BC34,IF(F36="SAM",PR!$BD34,IF(F36="SEAGREEN",PR!$BE34,IF(F36="SKG",PR!$BF34,IF(F36="TAH",PR!$BG34,IF(F36="TAYLEK",PR!$BH34,IF(F36="TEMITA",PR!$BI34,IF(F36="THL",PR!$BJ34,IF(F36="UBASTIC",PR!$BK34,IF(F36="UNION",PR!$BL34,IF(F36="UNIQUE",PR!$BM34,IF(F36="VIXA",PR!$BN34,IF(F36="WWCV",PR!$BO34,IF(F36="ZOLON",PR!$BP34,"-"))))))))))))))))))))))))))))))))))))))))))))))))))))))))))))))))</f>
        <v>5760</v>
      </c>
      <c r="F36" s="102" t="str">
        <f>EV!L39</f>
        <v>UNIQUE</v>
      </c>
      <c r="G36" s="108">
        <f>IF(H36="ALPHA",PR!$E34,IF(H36="ASSENE",PR!$F34,IF(H36="BIOFEM",PR!$G34,IF(H36="BIOMED",PR!$H34,IF(H36="CHI",PR!$I34,IF(H36="CLARION",PR!$J34,IF(H36="CODIX",PR!$K34,IF(H36="COSMADE",PR!$L34,IF(H36="SANCON",PR!$M34,IF(H36="DEVON",PR!$N34,IF(H36="DORTEMAG",PR!$O34,IF(H36="DGF",PR!$P34,IF(H36="DYNAMIC",PR!$Q34,IF(H36="EMZOR",PR!$R34,IF(H36="EUMATT",PR!$S34,IF(H36="FIDSON",PR!$T34,IF(H36="FCGLOBAL",PR!$U34,IF(H36="GENEITH",PR!$V34,IF(H36="GINOS",PR!$W34,IF(H36="GSK",PR!$X34,IF(H36="GLOBORG",PR!$Y34,IF(H36="GOODNEWS",PR!$Z34,IF(H36="GREENLIFE",PR!$AA34,IF(H36="HLINE",PR!$AB34,IF(H36="ROTECH",PR!$AC34,IF(H36="ISN",PR!$AD34,IF(H36="JAWA",PR!$AE34,IF(H36="LAYO",PR!$AF34,IF(H36="LEADWAY",PR!$AG34,IF(H36="LHV",PR!$AH34,IF(H36="MANOLA",PR!$AI34,IF(H36="MARCSON",PR!$AJ34,IF(H36="M&amp;B",PR!$AK34,IF(H36="MTRUST",PR!$AL34,IF(H36="MWORLD",PR!$AM34,IF(H36="MEGA",PR!$AN34,IF(H36="MICRONOVA",PR!$AO34,IF(H36="MFLASH",PR!$AP34,IF(H36="MORISON",PR!$AQ34,IF(H36="NEMEL",PR!$AR34,IF(H36="NHP",PR!$AS34,IF(H36="NHC",PR!$AT34,IF(H36="OLEAF",PR!$AU34,IF(H36="OCULUS",PR!$AV34,IF(H36="PACIFIC",PR!$AW34,IF(H36="PHAMATEX",PR!$AX34,IF(H36="PETHICS",PR!$AY34,IF(H36="PHILIPS",PR!$AZ34,IF(H36="RANBAXY",PR!$BA34,IF(H36="REALS",PR!$BB34,IF(H36="ROYAL",PR!$BC34,IF(H36="SAM",PR!$BD34,IF(H36="SEAGREEN",PR!$BE34,IF(H36="SKG",PR!$BF34,IF(H36="TAH",PR!$BG34,IF(H36="TAYLEK",PR!$BH34,IF(H36="TEMITA",PR!$BI34,IF(H36="THL",PR!$BJ34,IF(H36="UBASTIC",PR!$BK34,IF(H36="UNION",PR!$BL34,IF(H36="UNIQUE",PR!$BM34,IF(H36="VIXA",PR!$BN34,IF(H36="WWCV",PR!$BO34,IF(H36="ZOLON",PR!$BP34,"-"))))))))))))))))))))))))))))))))))))))))))))))))))))))))))))))))</f>
        <v>6250</v>
      </c>
      <c r="H36" s="102" t="str">
        <f>EV!M39</f>
        <v>BIOMED</v>
      </c>
      <c r="I36" s="108">
        <f>IF(J36="ALPHA",PR!$E34,IF(J36="ASSENE",PR!$F34,IF(J36="BIOFEM",PR!$G34,IF(J36="BIOMED",PR!$H34,IF(J36="CHI",PR!$I34,IF(J36="CLARION",PR!$J34,IF(J36="CODIX",PR!$K34,IF(J36="COSMADE",PR!$L34,IF(J36="SANCON",PR!$M34,IF(J36="DEVON",PR!$N34,IF(J36="DORTEMAG",PR!$O34,IF(J36="DGF",PR!$P34,IF(J36="DYNAMIC",PR!$Q34,IF(J36="EMZOR",PR!$R34,IF(J36="EUMATT",PR!$S34,IF(J36="FIDSON",PR!$T34,IF(J36="FCGLOBAL",PR!$U34,IF(J36="GENEITH",PR!$V34,IF(J36="GINOS",PR!$W34,IF(J36="GSK",PR!$X34,IF(J36="GLOBORG",PR!$Y34,IF(J36="GOODNEWS",PR!$Z34,IF(J36="GREENLIFE",PR!$AA34,IF(J36="HLINE",PR!$AB34,IF(J36="ROTECH",PR!$AC34,IF(J36="ISN",PR!$AD34,IF(J36="JAWA",PR!$AE34,IF(J36="LAYO",PR!$AF34,IF(J36="LEADWAY",PR!$AG34,IF(J36="LHV",PR!$AH34,IF(J36="MANOLA",PR!$AI34,IF(J36="MARCSON",PR!$AJ34,IF(J36="M&amp;B",PR!$AK34,IF(J36="MTRUST",PR!$AL34,IF(J36="MWORLD",PR!$AM34,IF(J36="MEGA",PR!$AN34,IF(J36="MICRONOVA",PR!$AO34,IF(J36="MFLASH",PR!$AP34,IF(J36="MORISON",PR!$AQ34,IF(J36="NEMEL",PR!$AR34,IF(J36="NHP",PR!$AS34,IF(J36="NHC",PR!$AT34,IF(J36="OLEAF",PR!$AU34,IF(J36="OCULUS",PR!$AV34,IF(J36="PACIFIC",PR!$AW34,IF(J36="PHAMATEX",PR!$AX34,IF(J36="PETHICS",PR!$AY34,IF(J36="PHILIPS",PR!$AZ34,IF(J36="RANBAXY",PR!$BA34,IF(J36="REALS",PR!$BB34,IF(J36="ROYAL",PR!$BC34,IF(J36="SAM",PR!$BD34,IF(J36="SEAGREEN",PR!$BE34,IF(J36="SKG",PR!$BF34,IF(J36="TAH",PR!$BG34,IF(J36="TAYLEK",PR!$BH34,IF(J36="TEMITA",PR!$BI34,IF(J36="THL",PR!$BJ34,IF(J36="UBASTIC",PR!$BK34,IF(J36="UNION",PR!$BL34,IF(J36="UNIQUE",PR!$BM34,IF(J36="VIXA",PR!$BN34,IF(J36="WWCV",PR!$BO34,IF(J36="ZOLON",PR!$BP34,"-"))))))))))))))))))))))))))))))))))))))))))))))))))))))))))))))))</f>
        <v>8000</v>
      </c>
      <c r="J36" s="102" t="str">
        <f>EV!N39</f>
        <v>COSMADE</v>
      </c>
      <c r="K36" s="433" t="s">
        <v>633</v>
      </c>
      <c r="L36" s="183">
        <f>IF(K36&gt;0,IF(K36="ALPHA",PR!$E34,IF(K36="ASSENE",PR!$F34,IF(K36="BIOFEM",PR!$G34,IF(K36="BIOMED",PR!$H34,IF(K36="CHI",PR!$I34,IF(K36="CLARION",PR!$J34,IF(K36="CODIX",PR!$K34,IF(K36="COSMADE",PR!$L34,IF(K36="SANCON",PR!$M34,IF(K36="DEVON",PR!$N34,IF(K36="DORTEMAG",PR!$O34,IF(K36="DGF",PR!$P34,IF(K36="DYNAMIC",PR!$Q34,IF(K36="EMZOR",PR!$R34,IF(K36="EUMATT",PR!$S34,IF(K36="FIDSON",PR!$T34,IF(K36="FCGLOBAL",PR!$U34,IF(K36="GENEITH",PR!$V34,IF(K36="GINOS",PR!$W34,IF(K36="GSK",PR!$X34,IF(K36="GLOBORG",PR!$Y34,IF(K36="GOODNEWS",PR!$Z34,IF(K36="GREENLIFE",PR!$AA34,IF(K36="HLINE",PR!$AB34,IF(K36="ROTECH",PR!$AC34,IF(K36="ISN",PR!$AD34,IF(K36="JAWA",PR!$AE34,IF(K36="LAYO",PR!$AF34,IF(K36="LEADWAY",PR!$AG34,IF(K36="LHV",PR!$AH34,IF(K36="MANOLA",PR!$AI34,IF(K36="MARCSON",PR!$AJ34,IF(K36="M&amp;B",PR!$AK34,IF(K36="MTRUST",PR!$AL34,IF(K36="MWORLD",PR!$AM34,IF(K36="MEGA",PR!$AN34,IF(K36="MICRONOVA",PR!$AO34,IF(K36="MFLASH",PR!$AP34,IF(K36="MORISON",PR!$AQ34,IF(K36="NEMEL",PR!$AR34,IF(K36="NHP",PR!$AS34,IF(K36="NHC",PR!$AT34,IF(K36="OLEAF",PR!$AU34,IF(K36="OCULUS",PR!$AV34,IF(K36="PACIFIC",PR!$AW34,IF(K36="PHAMATEX",PR!$AX34,IF(K36="PETHICS",PR!$AY34,IF(K36="PHILIPS",PR!$AZ34,IF(K36="RANBAXY",PR!$BA34,IF(K36="REALS",PR!$BB34,IF(K36="ROYAL",PR!$BC34,IF(K36="SAM",PR!$BD34,IF(K36="SEAGREEN",PR!$BE34,IF(K36="SKG",PR!$BF34,IF(K36="TAH",PR!$BG34,IF(K36="TAYLEK",PR!$BH34,IF(K36="TEMITA",PR!$BI34,IF(K36="THL",PR!$BJ34,IF(K36="UBASTIC",PR!$BK34,IF(K36="UNION",PR!$BL34,IF(K36="UNIQUE",PR!$BM34,IF(K36="VIXA",PR!$BN34,IF(K36="WWCV",PR!$BO34,IF(K36="ZOLON",PR!$BP34,"-")))))))))))))))))))))))))))))))))))))))))))))))))))))))))))))))))</f>
        <v>5760</v>
      </c>
    </row>
    <row r="37" spans="1:12" ht="18.75" x14ac:dyDescent="0.3">
      <c r="A37" s="430">
        <f>PR!A35</f>
        <v>22</v>
      </c>
      <c r="B37" s="15" t="str">
        <f>PR!B35</f>
        <v>20% MANNITOL</v>
      </c>
      <c r="C37" s="113">
        <f>PR!D35</f>
        <v>20</v>
      </c>
      <c r="D37" s="113">
        <f>PR!C35</f>
        <v>40</v>
      </c>
      <c r="E37" s="108">
        <f>IF(F37="ALPHA",PR!$E35,IF(F37="ASSENE",PR!$F35,IF(F37="BIOFEM",PR!$G35,IF(F37="BIOMED",PR!$H36,IF(F37="CHI",PR!$I35,IF(F37="CLARION",PR!$J35,IF(F37="CODIX",PR!$K35,IF(F37="COSMADE",PR!$L35,IF(F37="SANCON",PR!$M35,IF(F37="DEVON",PR!$N35,IF(F37="DORTEMAG",PR!$O35,IF(F37="DGF",PR!$P35,IF(F37="DYNAMIC",PR!$Q35,IF(F37="EMZOR",PR!$R35,IF(F37="EUMATT",PR!$S35,IF(F37="FIDSON",PR!$T35,IF(F37="FCGLOBAL",PR!$U35,IF(F37="GENEITH",PR!$V35,IF(F37="GINOS",PR!$W35,IF(F37="GSK",PR!$X35,IF(F37="GLOBORG",PR!$Y35,IF(F37="GOODNEWS",PR!$Z35,IF(F37="GREENLIFE",PR!$AA35,IF(F37="HLINE",PR!$AB35,IF(F37="ROTECH",PR!$AC35,IF(F37="ISN",PR!$AD35,IF(F37="JAWA",PR!$AE35,IF(F37="LAYO",PR!$AF35,IF(F37="LEADWAY",PR!$AG35,IF(F37="LHV",PR!$AH35,IF(F37="MANOLA",PR!$AI35,IF(F37="MARCSON",PR!$AJ35,IF(F37="M&amp;B",PR!$AK35,IF(F37="MTRUST",PR!$AL35,IF(F37="MWORLD",PR!$AM35,IF(F37="MEGA",PR!$AN35,IF(F37="MICRONOVA",PR!$AO35,IF(F37="MFLASH",PR!$AP35,IF(F37="MORISON",PR!$AQ35,IF(F37="NEMEL",PR!$AR35,IF(F37="NHP",PR!$AS35,IF(F37="NHC",PR!$AT35,IF(F37="OLEAF",PR!$AU35,IF(F37="OCULUS",PR!$AV35,IF(F37="PACIFIC",PR!$AW35,IF(F37="PHAMATEX",PR!$AX35,IF(F37="PETHICS",PR!$AY35,IF(F37="PHILIPS",PR!$AZ35,IF(F37="RANBAXY",PR!$BA35,IF(F37="REALS",PR!$BB35,IF(F37="ROYAL",PR!$BC35,IF(F37="SAM",PR!$BD35,IF(F37="SEAGREEN",PR!$BE35,IF(F37="SKG",PR!$BF35,IF(F37="TAH",PR!$BG35,IF(F37="TAYLEK",PR!$BH35,IF(F37="TEMITA",PR!$BI35,IF(F37="THL",PR!$BJ35,IF(F37="UBASTIC",PR!$BK35,IF(F37="UNION",PR!$BL35,IF(F37="UNIQUE",PR!$BM35,IF(F37="VIXA",PR!$BN35,IF(F37="WWCV",PR!$BO35,IF(F37="ZOLON",PR!$BP35,"-"))))))))))))))))))))))))))))))))))))))))))))))))))))))))))))))))</f>
        <v>7800</v>
      </c>
      <c r="F37" s="102" t="str">
        <f>EV!L40</f>
        <v>FIDSON</v>
      </c>
      <c r="G37" s="108">
        <f>IF(H37="ALPHA",PR!$E35,IF(H37="ASSENE",PR!$F35,IF(H37="BIOFEM",PR!$G35,IF(H37="BIOMED",PR!$H36,IF(H37="CHI",PR!$I35,IF(H37="CLARION",PR!$J35,IF(H37="CODIX",PR!$K35,IF(H37="COSMADE",PR!$L35,IF(H37="SANCON",PR!$M35,IF(H37="DEVON",PR!$N35,IF(H37="DORTEMAG",PR!$O35,IF(H37="DGF",PR!$P35,IF(H37="DYNAMIC",PR!$Q35,IF(H37="EMZOR",PR!$R35,IF(H37="EUMATT",PR!$S35,IF(H37="FIDSON",PR!$T35,IF(H37="FCGLOBAL",PR!$U35,IF(H37="GENEITH",PR!$V35,IF(H37="GINOS",PR!$W35,IF(H37="GSK",PR!$X35,IF(H37="GLOBORG",PR!$Y35,IF(H37="GOODNEWS",PR!$Z35,IF(H37="GREENLIFE",PR!$AA35,IF(H37="HLINE",PR!$AB35,IF(H37="ROTECH",PR!$AC35,IF(H37="ISN",PR!$AD35,IF(H37="JAWA",PR!$AE35,IF(H37="LAYO",PR!$AF35,IF(H37="LEADWAY",PR!$AG35,IF(H37="LHV",PR!$AH35,IF(H37="MANOLA",PR!$AI35,IF(H37="MARCSON",PR!$AJ35,IF(H37="M&amp;B",PR!$AK35,IF(H37="MTRUST",PR!$AL35,IF(H37="MWORLD",PR!$AM35,IF(H37="MEGA",PR!$AN35,IF(H37="MICRONOVA",PR!$AO35,IF(H37="MFLASH",PR!$AP35,IF(H37="MORISON",PR!$AQ35,IF(H37="NEMEL",PR!$AR35,IF(H37="NHP",PR!$AS35,IF(H37="NHC",PR!$AT35,IF(H37="OLEAF",PR!$AU35,IF(H37="OCULUS",PR!$AV35,IF(H37="PACIFIC",PR!$AW35,IF(H37="PHAMATEX",PR!$AX35,IF(H37="PETHICS",PR!$AY35,IF(H37="PHILIPS",PR!$AZ35,IF(H37="RANBAXY",PR!$BA35,IF(H37="REALS",PR!$BB35,IF(H37="ROYAL",PR!$BC35,IF(H37="SAM",PR!$BD35,IF(H37="SEAGREEN",PR!$BE35,IF(H37="SKG",PR!$BF35,IF(H37="TAH",PR!$BG35,IF(H37="TAYLEK",PR!$BH35,IF(H37="TEMITA",PR!$BI35,IF(H37="THL",PR!$BJ35,IF(H37="UBASTIC",PR!$BK35,IF(H37="UNION",PR!$BL35,IF(H37="UNIQUE",PR!$BM35,IF(H37="VIXA",PR!$BN35,IF(H37="WWCV",PR!$BO35,IF(H37="ZOLON",PR!$BP35,"-"))))))))))))))))))))))))))))))))))))))))))))))))))))))))))))))))</f>
        <v>8060</v>
      </c>
      <c r="H37" s="102" t="str">
        <f>EV!M40</f>
        <v>UNIQUE</v>
      </c>
      <c r="I37" s="108" t="str">
        <f>IF(J37="ALPHA",PR!$E35,IF(J37="ASSENE",PR!$F35,IF(J37="BIOFEM",PR!$G35,IF(J37="BIOMED",PR!$H36,IF(J37="CHI",PR!$I35,IF(J37="CLARION",PR!$J35,IF(J37="CODIX",PR!$K35,IF(J37="COSMADE",PR!$L35,IF(J37="SANCON",PR!$M35,IF(J37="DEVON",PR!$N35,IF(J37="DORTEMAG",PR!$O35,IF(J37="DGF",PR!$P35,IF(J37="DYNAMIC",PR!$Q35,IF(J37="EMZOR",PR!$R35,IF(J37="EUMATT",PR!$S35,IF(J37="FIDSON",PR!$T35,IF(J37="FCGLOBAL",PR!$U35,IF(J37="GENEITH",PR!$V35,IF(J37="GINOS",PR!$W35,IF(J37="GSK",PR!$X35,IF(J37="GLOBORG",PR!$Y35,IF(J37="GOODNEWS",PR!$Z35,IF(J37="GREENLIFE",PR!$AA35,IF(J37="HLINE",PR!$AB35,IF(J37="ROTECH",PR!$AC35,IF(J37="ISN",PR!$AD35,IF(J37="JAWA",PR!$AE35,IF(J37="LAYO",PR!$AF35,IF(J37="LEADWAY",PR!$AG35,IF(J37="LHV",PR!$AH35,IF(J37="MANOLA",PR!$AI35,IF(J37="MARCSON",PR!$AJ35,IF(J37="M&amp;B",PR!$AK35,IF(J37="MTRUST",PR!$AL35,IF(J37="MWORLD",PR!$AM35,IF(J37="MEGA",PR!$AN35,IF(J37="MICRONOVA",PR!$AO35,IF(J37="MFLASH",PR!$AP35,IF(J37="MORISON",PR!$AQ35,IF(J37="NEMEL",PR!$AR35,IF(J37="NHP",PR!$AS35,IF(J37="NHC",PR!$AT35,IF(J37="OLEAF",PR!$AU35,IF(J37="OCULUS",PR!$AV35,IF(J37="PACIFIC",PR!$AW35,IF(J37="PHAMATEX",PR!$AX35,IF(J37="PETHICS",PR!$AY35,IF(J37="PHILIPS",PR!$AZ35,IF(J37="RANBAXY",PR!$BA35,IF(J37="REALS",PR!$BB35,IF(J37="ROYAL",PR!$BC35,IF(J37="SAM",PR!$BD35,IF(J37="SEAGREEN",PR!$BE35,IF(J37="SKG",PR!$BF35,IF(J37="TAH",PR!$BG35,IF(J37="TAYLEK",PR!$BH35,IF(J37="TEMITA",PR!$BI35,IF(J37="THL",PR!$BJ35,IF(J37="UBASTIC",PR!$BK35,IF(J37="UNION",PR!$BL35,IF(J37="UNIQUE",PR!$BM35,IF(J37="VIXA",PR!$BN35,IF(J37="WWCV",PR!$BO35,IF(J37="ZOLON",PR!$BP35,"-"))))))))))))))))))))))))))))))))))))))))))))))))))))))))))))))))</f>
        <v>-</v>
      </c>
      <c r="J37" s="102">
        <f>EV!N40</f>
        <v>0</v>
      </c>
      <c r="K37" s="433" t="s">
        <v>631</v>
      </c>
      <c r="L37" s="183">
        <f>IF(K37&gt;0,IF(K37="ALPHA",PR!$E35,IF(K37="ASSENE",PR!$F35,IF(K37="BIOFEM",PR!$G35,IF(K37="BIOMED",PR!$H36,IF(K37="CHI",PR!$I35,IF(K37="CLARION",PR!$J35,IF(K37="CODIX",PR!$K35,IF(K37="COSMADE",PR!$L35,IF(K37="SANCON",PR!$M35,IF(K37="DEVON",PR!$N35,IF(K37="DORTEMAG",PR!$O35,IF(K37="DGF",PR!$P35,IF(K37="DYNAMIC",PR!$Q35,IF(K37="EMZOR",PR!$R35,IF(K37="EUMATT",PR!$S35,IF(K37="FIDSON",PR!$T35,IF(K37="FCGLOBAL",PR!$U35,IF(K37="GENEITH",PR!$V35,IF(K37="GINOS",PR!$W35,IF(K37="GSK",PR!$X35,IF(K37="GLOBORG",PR!$Y35,IF(K37="GOODNEWS",PR!$Z35,IF(K37="GREENLIFE",PR!$AA35,IF(K37="HLINE",PR!$AB35,IF(K37="ROTECH",PR!$AC35,IF(K37="ISN",PR!$AD35,IF(K37="JAWA",PR!$AE35,IF(K37="LAYO",PR!$AF35,IF(K37="LEADWAY",PR!$AG35,IF(K37="LHV",PR!$AH35,IF(K37="MANOLA",PR!$AI35,IF(K37="MARCSON",PR!$AJ35,IF(K37="M&amp;B",PR!$AK35,IF(K37="MTRUST",PR!$AL35,IF(K37="MWORLD",PR!$AM35,IF(K37="MEGA",PR!$AN35,IF(K37="MICRONOVA",PR!$AO35,IF(K37="MFLASH",PR!$AP35,IF(K37="MORISON",PR!$AQ35,IF(K37="NEMEL",PR!$AR35,IF(K37="NHP",PR!$AS35,IF(K37="NHC",PR!$AT35,IF(K37="OLEAF",PR!$AU35,IF(K37="OCULUS",PR!$AV35,IF(K37="PACIFIC",PR!$AW35,IF(K37="PHAMATEX",PR!$AX35,IF(K37="PETHICS",PR!$AY35,IF(K37="PHILIPS",PR!$AZ35,IF(K37="RANBAXY",PR!$BA35,IF(K37="REALS",PR!$BB35,IF(K37="ROYAL",PR!$BC35,IF(K37="SAM",PR!$BD35,IF(K37="SEAGREEN",PR!$BE35,IF(K37="SKG",PR!$BF35,IF(K37="TAH",PR!$BG35,IF(K37="TAYLEK",PR!$BH35,IF(K37="TEMITA",PR!$BI35,IF(K37="THL",PR!$BJ35,IF(K37="UBASTIC",PR!$BK35,IF(K37="UNION",PR!$BL35,IF(K37="UNIQUE",PR!$BM35,IF(K37="VIXA",PR!$BN35,IF(K37="WWCV",PR!$BO35,IF(K37="ZOLON",PR!$BP35,"-")))))))))))))))))))))))))))))))))))))))))))))))))))))))))))))))))</f>
        <v>7800</v>
      </c>
    </row>
    <row r="38" spans="1:12" ht="18.75" x14ac:dyDescent="0.3">
      <c r="A38" s="430">
        <f>PR!A36</f>
        <v>23</v>
      </c>
      <c r="B38" s="15" t="str">
        <f>PR!B36</f>
        <v>4.3% DEXTROSE IN 0.18% SALINE</v>
      </c>
      <c r="C38" s="113">
        <f>PR!D36</f>
        <v>20</v>
      </c>
      <c r="D38" s="113">
        <f>PR!C36</f>
        <v>300</v>
      </c>
      <c r="E38" s="108">
        <f>IF(F38="ALPHA",PR!$E36,IF(F38="ASSENE",PR!$F36,IF(F38="BIOFEM",PR!$G36,IF(F38="BIOMED",PR!$H37,IF(F38="CHI",PR!$I36,IF(F38="CLARION",PR!$J36,IF(F38="CODIX",PR!$K36,IF(F38="COSMADE",PR!$L36,IF(F38="SANCON",PR!$M36,IF(F38="DEVON",PR!$N36,IF(F38="DORTEMAG",PR!$O36,IF(F38="DGF",PR!$P36,IF(F38="DYNAMIC",PR!$Q36,IF(F38="EMZOR",PR!$R36,IF(F38="EUMATT",PR!$S36,IF(F38="FIDSON",PR!$T36,IF(F38="FCGLOBAL",PR!$U36,IF(F38="GENEITH",PR!$V36,IF(F38="GINOS",PR!$W36,IF(F38="GSK",PR!$X36,IF(F38="GLOBORG",PR!$Y36,IF(F38="GOODNEWS",PR!$Z36,IF(F38="GREENLIFE",PR!$AA36,IF(F38="HLINE",PR!$AB36,IF(F38="ROTECH",PR!$AC36,IF(F38="ISN",PR!$AD36,IF(F38="JAWA",PR!$AE36,IF(F38="LAYO",PR!$AF36,IF(F38="LEADWAY",PR!$AG36,IF(F38="LHV",PR!$AH36,IF(F38="MANOLA",PR!$AI36,IF(F38="MARCSON",PR!$AJ36,IF(F38="M&amp;B",PR!$AK36,IF(F38="MTRUST",PR!$AL36,IF(F38="MWORLD",PR!$AM36,IF(F38="MEGA",PR!$AN36,IF(F38="MICRONOVA",PR!$AO36,IF(F38="MFLASH",PR!$AP36,IF(F38="MORISON",PR!$AQ36,IF(F38="NEMEL",PR!$AR36,IF(F38="NHP",PR!$AS36,IF(F38="NHC",PR!$AT36,IF(F38="OLEAF",PR!$AU36,IF(F38="OCULUS",PR!$AV36,IF(F38="PACIFIC",PR!$AW36,IF(F38="PHAMATEX",PR!$AX36,IF(F38="PETHICS",PR!$AY36,IF(F38="PHILIPS",PR!$AZ36,IF(F38="RANBAXY",PR!$BA36,IF(F38="REALS",PR!$BB36,IF(F38="ROYAL",PR!$BC36,IF(F38="SAM",PR!$BD36,IF(F38="SEAGREEN",PR!$BE36,IF(F38="SKG",PR!$BF36,IF(F38="TAH",PR!$BG36,IF(F38="TAYLEK",PR!$BH36,IF(F38="TEMITA",PR!$BI36,IF(F38="THL",PR!$BJ36,IF(F38="UBASTIC",PR!$BK36,IF(F38="UNION",PR!$BL36,IF(F38="UNIQUE",PR!$BM36,IF(F38="VIXA",PR!$BN36,IF(F38="WWCV",PR!$BO36,IF(F38="ZOLON",PR!$BP36,"-"))))))))))))))))))))))))))))))))))))))))))))))))))))))))))))))))</f>
        <v>2450</v>
      </c>
      <c r="F38" s="102" t="str">
        <f>EV!L41</f>
        <v>BIOMED</v>
      </c>
      <c r="G38" s="108">
        <f>IF(H38="ALPHA",PR!$E36,IF(H38="ASSENE",PR!$F36,IF(H38="BIOFEM",PR!$G36,IF(H38="BIOMED",PR!#REF!,IF(H38="CHI",PR!$I36,IF(H38="CLARION",PR!$J36,IF(H38="CODIX",PR!$K36,IF(H38="COSMADE",PR!$L36,IF(H38="SANCON",PR!$M36,IF(H38="DEVON",PR!$N36,IF(H38="DORTEMAG",PR!$O36,IF(H38="DGF",PR!$P36,IF(H38="DYNAMIC",PR!$Q36,IF(H38="EMZOR",PR!$R36,IF(H38="EUMATT",PR!$S36,IF(H38="FIDSON",PR!$T36,IF(H38="FCGLOBAL",PR!$U36,IF(H38="GENEITH",PR!$V36,IF(H38="GINOS",PR!$W36,IF(H38="GSK",PR!$X36,IF(H38="GLOBORG",PR!$Y36,IF(H38="GOODNEWS",PR!$Z36,IF(H38="GREENLIFE",PR!$AA36,IF(H38="HLINE",PR!$AB36,IF(H38="ROTECH",PR!$AC36,IF(H38="ISN",PR!$AD36,IF(H38="JAWA",PR!$AE36,IF(H38="LAYO",PR!$AF36,IF(H38="LEADWAY",PR!$AG36,IF(H38="LHV",PR!$AH36,IF(H38="MANOLA",PR!$AI36,IF(H38="MARCSON",PR!$AJ36,IF(H38="M&amp;B",PR!$AK36,IF(H38="MTRUST",PR!$AL36,IF(H38="MWORLD",PR!$AM36,IF(H38="MEGA",PR!$AN36,IF(H38="MICRONOVA",PR!$AO36,IF(H38="MFLASH",PR!$AP36,IF(H38="MORISON",PR!$AQ36,IF(H38="NEMEL",PR!$AR36,IF(H38="NHP",PR!$AS36,IF(H38="NHC",PR!$AT36,IF(H38="OLEAF",PR!$AU36,IF(H38="OCULUS",PR!$AV36,IF(H38="PACIFIC",PR!$AW36,IF(H38="PHAMATEX",PR!$AX36,IF(H38="PETHICS",PR!$AY36,IF(H38="PHILIPS",PR!$AZ36,IF(H38="RANBAXY",PR!$BA36,IF(H38="REALS",PR!$BB36,IF(H38="ROYAL",PR!$BC36,IF(H38="SAM",PR!$BD36,IF(H38="SEAGREEN",PR!$BE36,IF(H38="SKG",PR!$BF36,IF(H38="TAH",PR!$BG36,IF(H38="TAYLEK",PR!$BH36,IF(H38="TEMITA",PR!$BI36,IF(H38="THL",PR!$BJ36,IF(H38="UBASTIC",PR!$BK36,IF(H38="UNION",PR!$BL36,IF(H38="UNIQUE",PR!$BM36,IF(H38="VIXA",PR!$BN36,IF(H38="WWCV",PR!$BO36,IF(H38="ZOLON",PR!$BP36,"-"))))))))))))))))))))))))))))))))))))))))))))))))))))))))))))))))</f>
        <v>2500</v>
      </c>
      <c r="H38" s="102" t="str">
        <f>EV!M41</f>
        <v>FIDSON</v>
      </c>
      <c r="I38" s="108">
        <f>IF(J38="ALPHA",PR!$E36,IF(J38="ASSENE",PR!$F36,IF(J38="BIOFEM",PR!$G36,IF(J38="BIOMED",PR!#REF!,IF(J38="CHI",PR!$I36,IF(J38="CLARION",PR!$J36,IF(J38="CODIX",PR!$K36,IF(J38="COSMADE",PR!$L36,IF(J38="SANCON",PR!$M36,IF(J38="DEVON",PR!$N36,IF(J38="DORTEMAG",PR!$O36,IF(J38="DGF",PR!$P36,IF(J38="DYNAMIC",PR!$Q36,IF(J38="EMZOR",PR!$R36,IF(J38="EUMATT",PR!$S36,IF(J38="FIDSON",PR!$T36,IF(J38="FCGLOBAL",PR!$U36,IF(J38="GENEITH",PR!$V36,IF(J38="GINOS",PR!$W36,IF(J38="GSK",PR!$X36,IF(J38="GLOBORG",PR!$Y36,IF(J38="GOODNEWS",PR!$Z36,IF(J38="GREENLIFE",PR!$AA36,IF(J38="HLINE",PR!$AB36,IF(J38="ROTECH",PR!$AC36,IF(J38="ISN",PR!$AD36,IF(J38="JAWA",PR!$AE36,IF(J38="LAYO",PR!$AF36,IF(J38="LEADWAY",PR!$AG36,IF(J38="LHV",PR!$AH36,IF(J38="MANOLA",PR!$AI36,IF(J38="MARCSON",PR!$AJ36,IF(J38="M&amp;B",PR!$AK36,IF(J38="MTRUST",PR!$AL36,IF(J38="MWORLD",PR!$AM36,IF(J38="MEGA",PR!$AN36,IF(J38="MICRONOVA",PR!$AO36,IF(J38="MFLASH",PR!$AP36,IF(J38="MORISON",PR!$AQ36,IF(J38="NEMEL",PR!$AR36,IF(J38="NHP",PR!$AS36,IF(J38="NHC",PR!$AT36,IF(J38="OLEAF",PR!$AU36,IF(J38="OCULUS",PR!$AV36,IF(J38="PACIFIC",PR!$AW36,IF(J38="PHAMATEX",PR!$AX36,IF(J38="PETHICS",PR!$AY36,IF(J38="PHILIPS",PR!$AZ36,IF(J38="RANBAXY",PR!$BA36,IF(J38="REALS",PR!$BB36,IF(J38="ROYAL",PR!$BC36,IF(J38="SAM",PR!$BD36,IF(J38="SEAGREEN",PR!$BE36,IF(J38="SKG",PR!$BF36,IF(J38="TAH",PR!$BG36,IF(J38="TAYLEK",PR!$BH36,IF(J38="TEMITA",PR!$BI36,IF(J38="THL",PR!$BJ36,IF(J38="UBASTIC",PR!$BK36,IF(J38="UNION",PR!$BL36,IF(J38="UNIQUE",PR!$BM36,IF(J38="VIXA",PR!$BN36,IF(J38="WWCV",PR!$BO36,IF(J38="ZOLON",PR!$BP36,"-"))))))))))))))))))))))))))))))))))))))))))))))))))))))))))))))))</f>
        <v>2520</v>
      </c>
      <c r="J38" s="102" t="str">
        <f>EV!N41</f>
        <v>UNIQUE</v>
      </c>
      <c r="K38" s="635" t="s">
        <v>2085</v>
      </c>
      <c r="L38" s="183" t="str">
        <f>IF(K38&gt;0,IF(K38="ALPHA",PR!$E36,IF(K38="ASSENE",PR!$F36,IF(K38="BIOFEM",PR!$G36,IF(K38="BIOMED",PR!#REF!,IF(K38="CHI",PR!$I36,IF(K38="CLARION",PR!$J36,IF(K38="CODIX",PR!$K36,IF(K38="COSMADE",PR!$L36,IF(K38="SANCON",PR!$M36,IF(K38="DEVON",PR!$N36,IF(K38="DORTEMAG",PR!$O36,IF(K38="DGF",PR!$P36,IF(K38="DYNAMIC",PR!$Q36,IF(K38="EMZOR",PR!$R36,IF(K38="EUMATT",PR!$S36,IF(K38="FIDSON",PR!$T36,IF(K38="FCGLOBAL",PR!$U36,IF(K38="GENEITH",PR!$V36,IF(K38="GINOS",PR!$W36,IF(K38="GSK",PR!$X36,IF(K38="GLOBORG",PR!$Y36,IF(K38="GOODNEWS",PR!$Z36,IF(K38="GREENLIFE",PR!$AA36,IF(K38="HLINE",PR!$AB36,IF(K38="ROTECH",PR!$AC36,IF(K38="ISN",PR!$AD36,IF(K38="JAWA",PR!$AE36,IF(K38="LAYO",PR!$AF36,IF(K38="LEADWAY",PR!$AG36,IF(K38="LHV",PR!$AH36,IF(K38="MANOLA",PR!$AI36,IF(K38="MARCSON",PR!$AJ36,IF(K38="M&amp;B",PR!$AK36,IF(K38="MTRUST",PR!$AL36,IF(K38="MWORLD",PR!$AM36,IF(K38="MEGA",PR!$AN36,IF(K38="MICRONOVA",PR!$AO36,IF(K38="MFLASH",PR!$AP36,IF(K38="MORISON",PR!$AQ36,IF(K38="NEMEL",PR!$AR36,IF(K38="NHP",PR!$AS36,IF(K38="NHC",PR!$AT36,IF(K38="OLEAF",PR!$AU36,IF(K38="OCULUS",PR!$AV36,IF(K38="PACIFIC",PR!$AW36,IF(K38="PHAMATEX",PR!$AX36,IF(K38="PETHICS",PR!$AY36,IF(K38="PHILIPS",PR!$AZ36,IF(K38="RANBAXY",PR!$BA36,IF(K38="REALS",PR!$BB36,IF(K38="ROYAL",PR!$BC36,IF(K38="SAM",PR!$BD36,IF(K38="SEAGREEN",PR!$BE36,IF(K38="SKG",PR!$BF36,IF(K38="TAH",PR!$BG36,IF(K38="TAYLEK",PR!$BH36,IF(K38="TEMITA",PR!$BI36,IF(K38="THL",PR!$BJ36,IF(K38="UBASTIC",PR!$BK36,IF(K38="UNION",PR!$BL36,IF(K38="UNIQUE",PR!$BM36,IF(K38="VIXA",PR!$BN36,IF(K38="WWCV",PR!$BO36,IF(K38="ZOLON",PR!$BP36,"-")))))))))))))))))))))))))))))))))))))))))))))))))))))))))))))))))</f>
        <v>-</v>
      </c>
    </row>
    <row r="39" spans="1:12" ht="18.75" x14ac:dyDescent="0.3">
      <c r="A39" s="430">
        <f>PR!A37</f>
        <v>24</v>
      </c>
      <c r="B39" s="15" t="str">
        <f>PR!B37</f>
        <v>5% DEXTROSE SALINE</v>
      </c>
      <c r="C39" s="113">
        <f>PR!D37</f>
        <v>20</v>
      </c>
      <c r="D39" s="113">
        <f>PR!C37</f>
        <v>1600</v>
      </c>
      <c r="E39" s="108">
        <f>IF(F39="ALPHA",PR!$E37,IF(F39="ASSENE",PR!$F37,IF(F39="BIOFEM",PR!$G37,IF(F39="BIOMED",PR!$H37,IF(F39="CHI",PR!$I37,IF(F39="CLARION",PR!$J37,IF(F39="CODIX",PR!$K37,IF(F39="COSMADE",PR!$L37,IF(F39="SANCON",PR!$M37,IF(F39="DEVON",PR!$N37,IF(F39="DORTEMAG",PR!$O37,IF(F39="DGF",PR!$P37,IF(F39="DYNAMIC",PR!$Q37,IF(F39="EMZOR",PR!$R37,IF(F39="EUMATT",PR!$S37,IF(F39="FIDSON",PR!$T37,IF(F39="FCGLOBAL",PR!$U37,IF(F39="GENEITH",PR!$V37,IF(F39="GINOS",PR!$W37,IF(F39="GSK",PR!$X37,IF(F39="GLOBORG",PR!$Y37,IF(F39="GOODNEWS",PR!$Z37,IF(F39="GREENLIFE",PR!$AA37,IF(F39="HLINE",PR!$AB37,IF(F39="ROTECH",PR!$AC37,IF(F39="ISN",PR!$AD37,IF(F39="JAWA",PR!$AE37,IF(F39="LAYO",PR!$AF37,IF(F39="LEADWAY",PR!$AG37,IF(F39="LHV",PR!$AH37,IF(F39="MANOLA",PR!$AI37,IF(F39="MARCSON",PR!$AJ37,IF(F39="M&amp;B",PR!$AK37,IF(F39="MTRUST",PR!$AL37,IF(F39="MWORLD",PR!$AM37,IF(F39="MEGA",PR!$AN37,IF(F39="MICRONOVA",PR!$AO37,IF(F39="MFLASH",PR!$AP37,IF(F39="MORISON",PR!$AQ37,IF(F39="NEMEL",PR!$AR37,IF(F39="NHP",PR!$AS37,IF(F39="NHC",PR!$AT37,IF(F39="OLEAF",PR!$AU37,IF(F39="OCULUS",PR!$AV37,IF(F39="PACIFIC",PR!$AW37,IF(F39="PHAMATEX",PR!$AX37,IF(F39="PETHICS",PR!$AY37,IF(F39="PHILIPS",PR!$AZ37,IF(F39="RANBAXY",PR!$BA37,IF(F39="REALS",PR!$BB37,IF(F39="ROYAL",PR!$BC37,IF(F39="SAM",PR!$BD37,IF(F39="SEAGREEN",PR!$BE37,IF(F39="SKG",PR!$BF37,IF(F39="TAH",PR!$BG37,IF(F39="TAYLEK",PR!$BH37,IF(F39="TEMITA",PR!$BI37,IF(F39="THL",PR!$BJ37,IF(F39="UBASTIC",PR!$BK37,IF(F39="UNION",PR!$BL37,IF(F39="UNIQUE",PR!$BM37,IF(F39="VIXA",PR!$BN37,IF(F39="WWCV",PR!$BO37,IF(F39="ZOLON",PR!$BP37,"-"))))))))))))))))))))))))))))))))))))))))))))))))))))))))))))))))</f>
        <v>2450</v>
      </c>
      <c r="F39" s="102" t="str">
        <f>EV!L42</f>
        <v>BIOMED</v>
      </c>
      <c r="G39" s="108">
        <f>IF(H39="ALPHA",PR!$E37,IF(H39="ASSENE",PR!$F37,IF(H39="BIOFEM",PR!$G37,IF(H39="BIOMED",PR!$H37,IF(H39="CHI",PR!$I37,IF(H39="CLARION",PR!$J37,IF(H39="CODIX",PR!$K37,IF(H39="COSMADE",PR!$L37,IF(H39="SANCON",PR!$M37,IF(H39="DEVON",PR!$N37,IF(H39="DORTEMAG",PR!$O37,IF(H39="DGF",PR!$P37,IF(H39="DYNAMIC",PR!$Q37,IF(H39="EMZOR",PR!$R37,IF(H39="EUMATT",PR!$S37,IF(H39="FIDSON",PR!$T37,IF(H39="FCGLOBAL",PR!$U37,IF(H39="GENEITH",PR!$V37,IF(H39="GINOS",PR!$W37,IF(H39="GSK",PR!$X37,IF(H39="GLOBORG",PR!$Y37,IF(H39="GOODNEWS",PR!$Z37,IF(H39="GREENLIFE",PR!$AA37,IF(H39="HLINE",PR!$AB37,IF(H39="ROTECH",PR!$AC37,IF(H39="ISN",PR!$AD37,IF(H39="JAWA",PR!$AE37,IF(H39="LAYO",PR!$AF37,IF(H39="LEADWAY",PR!$AG37,IF(H39="LHV",PR!$AH37,IF(H39="MANOLA",PR!$AI37,IF(H39="MARCSON",PR!$AJ37,IF(H39="M&amp;B",PR!$AK37,IF(H39="MTRUST",PR!$AL37,IF(H39="MWORLD",PR!$AM37,IF(H39="MEGA",PR!$AN37,IF(H39="MICRONOVA",PR!$AO37,IF(H39="MFLASH",PR!$AP37,IF(H39="MORISON",PR!$AQ37,IF(H39="NEMEL",PR!$AR37,IF(H39="NHP",PR!$AS37,IF(H39="NHC",PR!$AT37,IF(H39="OLEAF",PR!$AU37,IF(H39="OCULUS",PR!$AV37,IF(H39="PACIFIC",PR!$AW37,IF(H39="PHAMATEX",PR!$AX37,IF(H39="PETHICS",PR!$AY37,IF(H39="PHILIPS",PR!$AZ37,IF(H39="RANBAXY",PR!$BA37,IF(H39="REALS",PR!$BB37,IF(H39="ROYAL",PR!$BC37,IF(H39="SAM",PR!$BD37,IF(H39="SEAGREEN",PR!$BE37,IF(H39="SKG",PR!$BF37,IF(H39="TAH",PR!$BG37,IF(H39="TAYLEK",PR!$BH37,IF(H39="TEMITA",PR!$BI37,IF(H39="THL",PR!$BJ37,IF(H39="UBASTIC",PR!$BK37,IF(H39="UNION",PR!$BL37,IF(H39="UNIQUE",PR!$BM37,IF(H39="VIXA",PR!$BN37,IF(H39="WWCV",PR!$BO37,IF(H39="ZOLON",PR!$BP37,"-"))))))))))))))))))))))))))))))))))))))))))))))))))))))))))))))))</f>
        <v>2500</v>
      </c>
      <c r="H39" s="102" t="str">
        <f>EV!M42</f>
        <v>FIDSON</v>
      </c>
      <c r="I39" s="108">
        <f>IF(J39="ALPHA",PR!$E37,IF(J39="ASSENE",PR!$F37,IF(J39="BIOFEM",PR!$G37,IF(J39="BIOMED",PR!$H37,IF(J39="CHI",PR!$I37,IF(J39="CLARION",PR!$J37,IF(J39="CODIX",PR!$K37,IF(J39="COSMADE",PR!$L37,IF(J39="SANCON",PR!$M37,IF(J39="DEVON",PR!$N37,IF(J39="DORTEMAG",PR!$O37,IF(J39="DGF",PR!$P37,IF(J39="DYNAMIC",PR!$Q37,IF(J39="EMZOR",PR!$R37,IF(J39="EUMATT",PR!$S37,IF(J39="FIDSON",PR!$T37,IF(J39="FCGLOBAL",PR!$U37,IF(J39="GENEITH",PR!$V37,IF(J39="GINOS",PR!$W37,IF(J39="GSK",PR!$X37,IF(J39="GLOBORG",PR!$Y37,IF(J39="GOODNEWS",PR!$Z37,IF(J39="GREENLIFE",PR!$AA37,IF(J39="HLINE",PR!$AB37,IF(J39="ROTECH",PR!$AC37,IF(J39="ISN",PR!$AD37,IF(J39="JAWA",PR!$AE37,IF(J39="LAYO",PR!$AF37,IF(J39="LEADWAY",PR!$AG37,IF(J39="LHV",PR!$AH37,IF(J39="MANOLA",PR!$AI37,IF(J39="MARCSON",PR!$AJ37,IF(J39="M&amp;B",PR!$AK37,IF(J39="MTRUST",PR!$AL37,IF(J39="MWORLD",PR!$AM37,IF(J39="MEGA",PR!$AN37,IF(J39="MICRONOVA",PR!$AO37,IF(J39="MFLASH",PR!$AP37,IF(J39="MORISON",PR!$AQ37,IF(J39="NEMEL",PR!$AR37,IF(J39="NHP",PR!$AS37,IF(J39="NHC",PR!$AT37,IF(J39="OLEAF",PR!$AU37,IF(J39="OCULUS",PR!$AV37,IF(J39="PACIFIC",PR!$AW37,IF(J39="PHAMATEX",PR!$AX37,IF(J39="PETHICS",PR!$AY37,IF(J39="PHILIPS",PR!$AZ37,IF(J39="RANBAXY",PR!$BA37,IF(J39="REALS",PR!$BB37,IF(J39="ROYAL",PR!$BC37,IF(J39="SAM",PR!$BD37,IF(J39="SEAGREEN",PR!$BE37,IF(J39="SKG",PR!$BF37,IF(J39="TAH",PR!$BG37,IF(J39="TAYLEK",PR!$BH37,IF(J39="TEMITA",PR!$BI37,IF(J39="THL",PR!$BJ37,IF(J39="UBASTIC",PR!$BK37,IF(J39="UNION",PR!$BL37,IF(J39="UNIQUE",PR!$BM37,IF(J39="VIXA",PR!$BN37,IF(J39="WWCV",PR!$BO37,IF(J39="ZOLON",PR!$BP37,"-"))))))))))))))))))))))))))))))))))))))))))))))))))))))))))))))))</f>
        <v>2520</v>
      </c>
      <c r="J39" s="102" t="str">
        <f>EV!N42</f>
        <v>UNIQUE</v>
      </c>
      <c r="K39" s="635" t="s">
        <v>2085</v>
      </c>
      <c r="L39" s="183" t="str">
        <f>IF(K39&gt;0,IF(K39="ALPHA",PR!$E37,IF(K39="ASSENE",PR!$F37,IF(K39="BIOFEM",PR!$G37,IF(K39="BIOMED",PR!$H37,IF(K39="CHI",PR!$I37,IF(K39="CLARION",PR!$J37,IF(K39="CODIX",PR!$K37,IF(K39="COSMADE",PR!$L37,IF(K39="SANCON",PR!$M37,IF(K39="DEVON",PR!$N37,IF(K39="DORTEMAG",PR!$O37,IF(K39="DGF",PR!$P37,IF(K39="DYNAMIC",PR!$Q37,IF(K39="EMZOR",PR!$R37,IF(K39="EUMATT",PR!$S37,IF(K39="FIDSON",PR!$T37,IF(K39="FCGLOBAL",PR!$U37,IF(K39="GENEITH",PR!$V37,IF(K39="GINOS",PR!$W37,IF(K39="GSK",PR!$X37,IF(K39="GLOBORG",PR!$Y37,IF(K39="GOODNEWS",PR!$Z37,IF(K39="GREENLIFE",PR!$AA37,IF(K39="HLINE",PR!$AB37,IF(K39="ROTECH",PR!$AC37,IF(K39="ISN",PR!$AD37,IF(K39="JAWA",PR!$AE37,IF(K39="LAYO",PR!$AF37,IF(K39="LEADWAY",PR!$AG37,IF(K39="LHV",PR!$AH37,IF(K39="MANOLA",PR!$AI37,IF(K39="MARCSON",PR!$AJ37,IF(K39="M&amp;B",PR!$AK37,IF(K39="MTRUST",PR!$AL37,IF(K39="MWORLD",PR!$AM37,IF(K39="MEGA",PR!$AN37,IF(K39="MICRONOVA",PR!$AO37,IF(K39="MFLASH",PR!$AP37,IF(K39="MORISON",PR!$AQ37,IF(K39="NEMEL",PR!$AR37,IF(K39="NHP",PR!$AS37,IF(K39="NHC",PR!$AT37,IF(K39="OLEAF",PR!$AU37,IF(K39="OCULUS",PR!$AV37,IF(K39="PACIFIC",PR!$AW37,IF(K39="PHAMATEX",PR!$AX37,IF(K39="PETHICS",PR!$AY37,IF(K39="PHILIPS",PR!$AZ37,IF(K39="RANBAXY",PR!$BA37,IF(K39="REALS",PR!$BB37,IF(K39="ROYAL",PR!$BC37,IF(K39="SAM",PR!$BD37,IF(K39="SEAGREEN",PR!$BE37,IF(K39="SKG",PR!$BF37,IF(K39="TAH",PR!$BG37,IF(K39="TAYLEK",PR!$BH37,IF(K39="TEMITA",PR!$BI37,IF(K39="THL",PR!$BJ37,IF(K39="UBASTIC",PR!$BK37,IF(K39="UNION",PR!$BL37,IF(K39="UNIQUE",PR!$BM37,IF(K39="VIXA",PR!$BN37,IF(K39="WWCV",PR!$BO37,IF(K39="ZOLON",PR!$BP37,"-")))))))))))))))))))))))))))))))))))))))))))))))))))))))))))))))))</f>
        <v>-</v>
      </c>
    </row>
    <row r="40" spans="1:12" ht="18.75" x14ac:dyDescent="0.3">
      <c r="A40" s="430">
        <f>PR!A38</f>
        <v>25</v>
      </c>
      <c r="B40" s="15" t="str">
        <f>PR!B38</f>
        <v>5% DEXTROSE WATER</v>
      </c>
      <c r="C40" s="113">
        <f>PR!D38</f>
        <v>20</v>
      </c>
      <c r="D40" s="113">
        <f>PR!C38</f>
        <v>800</v>
      </c>
      <c r="E40" s="108">
        <f>IF(F40="ALPHA",PR!$E38,IF(F40="ASSENE",PR!$F38,IF(F40="BIOFEM",PR!$G38,IF(F40="BIOMED",PR!$H38,IF(F40="CHI",PR!$I38,IF(F40="CLARION",PR!$J38,IF(F40="CODIX",PR!$K38,IF(F40="COSMADE",PR!$L38,IF(F40="SANCON",PR!$M38,IF(F40="DEVON",PR!$N38,IF(F40="DORTEMAG",PR!$O38,IF(F40="DGF",PR!$P38,IF(F40="DYNAMIC",PR!$Q38,IF(F40="EMZOR",PR!$R38,IF(F40="EUMATT",PR!$S38,IF(F40="FIDSON",PR!$T38,IF(F40="FCGLOBAL",PR!$U38,IF(F40="GENEITH",PR!$V38,IF(F40="GINOS",PR!$W38,IF(F40="GSK",PR!$X38,IF(F40="GLOBORG",PR!$Y38,IF(F40="GOODNEWS",PR!$Z38,IF(F40="GREENLIFE",PR!$AA38,IF(F40="HLINE",PR!$AB38,IF(F40="ROTECH",PR!$AC38,IF(F40="ISN",PR!$AD38,IF(F40="JAWA",PR!$AE38,IF(F40="LAYO",PR!$AF38,IF(F40="LEADWAY",PR!$AG38,IF(F40="LHV",PR!$AH38,IF(F40="MANOLA",PR!$AI38,IF(F40="MARCSON",PR!$AJ38,IF(F40="M&amp;B",PR!$AK38,IF(F40="MTRUST",PR!$AL38,IF(F40="MWORLD",PR!$AM38,IF(F40="MEGA",PR!$AN38,IF(F40="MICRONOVA",PR!$AO38,IF(F40="MFLASH",PR!$AP38,IF(F40="MORISON",PR!$AQ38,IF(F40="NEMEL",PR!$AR38,IF(F40="NHP",PR!$AS38,IF(F40="NHC",PR!$AT38,IF(F40="OLEAF",PR!$AU38,IF(F40="OCULUS",PR!$AV38,IF(F40="PACIFIC",PR!$AW38,IF(F40="PHAMATEX",PR!$AX38,IF(F40="PETHICS",PR!$AY38,IF(F40="PHILIPS",PR!$AZ38,IF(F40="RANBAXY",PR!$BA38,IF(F40="REALS",PR!$BB38,IF(F40="ROYAL",PR!$BC38,IF(F40="SAM",PR!$BD38,IF(F40="SEAGREEN",PR!$BE38,IF(F40="SKG",PR!$BF38,IF(F40="TAH",PR!$BG38,IF(F40="TAYLEK",PR!$BH38,IF(F40="TEMITA",PR!$BI38,IF(F40="THL",PR!$BJ38,IF(F40="UBASTIC",PR!$BK38,IF(F40="UNION",PR!$BL38,IF(F40="UNIQUE",PR!$BM38,IF(F40="VIXA",PR!$BN38,IF(F40="WWCV",PR!$BO38,IF(F40="ZOLON",PR!$BP38,"-"))))))))))))))))))))))))))))))))))))))))))))))))))))))))))))))))</f>
        <v>2450</v>
      </c>
      <c r="F40" s="102" t="str">
        <f>EV!L43</f>
        <v>BIOMED</v>
      </c>
      <c r="G40" s="108">
        <f>IF(H40="ALPHA",PR!$E38,IF(H40="ASSENE",PR!$F38,IF(H40="BIOFEM",PR!$G38,IF(H40="BIOMED",PR!$H38,IF(H40="CHI",PR!$I38,IF(H40="CLARION",PR!$J38,IF(H40="CODIX",PR!$K38,IF(H40="COSMADE",PR!$L38,IF(H40="SANCON",PR!$M38,IF(H40="DEVON",PR!$N38,IF(H40="DORTEMAG",PR!$O38,IF(H40="DGF",PR!$P38,IF(H40="DYNAMIC",PR!$Q38,IF(H40="EMZOR",PR!$R38,IF(H40="EUMATT",PR!$S38,IF(H40="FIDSON",PR!$T38,IF(H40="FCGLOBAL",PR!$U38,IF(H40="GENEITH",PR!$V38,IF(H40="GINOS",PR!$W38,IF(H40="GSK",PR!$X38,IF(H40="GLOBORG",PR!$Y38,IF(H40="GOODNEWS",PR!$Z38,IF(H40="GREENLIFE",PR!$AA38,IF(H40="HLINE",PR!$AB38,IF(H40="ROTECH",PR!$AC38,IF(H40="ISN",PR!$AD38,IF(H40="JAWA",PR!$AE38,IF(H40="LAYO",PR!$AF38,IF(H40="LEADWAY",PR!$AG38,IF(H40="LHV",PR!$AH38,IF(H40="MANOLA",PR!$AI38,IF(H40="MARCSON",PR!$AJ38,IF(H40="M&amp;B",PR!$AK38,IF(H40="MTRUST",PR!$AL38,IF(H40="MWORLD",PR!$AM38,IF(H40="MEGA",PR!$AN38,IF(H40="MICRONOVA",PR!$AO38,IF(H40="MFLASH",PR!$AP38,IF(H40="MORISON",PR!$AQ38,IF(H40="NEMEL",PR!$AR38,IF(H40="NHP",PR!$AS38,IF(H40="NHC",PR!$AT38,IF(H40="OLEAF",PR!$AU38,IF(H40="OCULUS",PR!$AV38,IF(H40="PACIFIC",PR!$AW38,IF(H40="PHAMATEX",PR!$AX38,IF(H40="PETHICS",PR!$AY38,IF(H40="PHILIPS",PR!$AZ38,IF(H40="RANBAXY",PR!$BA38,IF(H40="REALS",PR!$BB38,IF(H40="ROYAL",PR!$BC38,IF(H40="SAM",PR!$BD38,IF(H40="SEAGREEN",PR!$BE38,IF(H40="SKG",PR!$BF38,IF(H40="TAH",PR!$BG38,IF(H40="TAYLEK",PR!$BH38,IF(H40="TEMITA",PR!$BI38,IF(H40="THL",PR!$BJ38,IF(H40="UBASTIC",PR!$BK38,IF(H40="UNION",PR!$BL38,IF(H40="UNIQUE",PR!$BM38,IF(H40="VIXA",PR!$BN38,IF(H40="WWCV",PR!$BO38,IF(H40="ZOLON",PR!$BP38,"-"))))))))))))))))))))))))))))))))))))))))))))))))))))))))))))))))</f>
        <v>2500</v>
      </c>
      <c r="H40" s="102" t="str">
        <f>EV!M43</f>
        <v>FIDSON</v>
      </c>
      <c r="I40" s="108">
        <f>IF(J40="ALPHA",PR!$E38,IF(J40="ASSENE",PR!$F38,IF(J40="BIOFEM",PR!$G38,IF(J40="BIOMED",PR!$H38,IF(J40="CHI",PR!$I38,IF(J40="CLARION",PR!$J38,IF(J40="CODIX",PR!$K38,IF(J40="COSMADE",PR!$L38,IF(J40="SANCON",PR!$M38,IF(J40="DEVON",PR!$N38,IF(J40="DORTEMAG",PR!$O38,IF(J40="DGF",PR!$P38,IF(J40="DYNAMIC",PR!$Q38,IF(J40="EMZOR",PR!$R38,IF(J40="EUMATT",PR!$S38,IF(J40="FIDSON",PR!$T38,IF(J40="FCGLOBAL",PR!$U38,IF(J40="GENEITH",PR!$V38,IF(J40="GINOS",PR!$W38,IF(J40="GSK",PR!$X38,IF(J40="GLOBORG",PR!$Y38,IF(J40="GOODNEWS",PR!$Z38,IF(J40="GREENLIFE",PR!$AA38,IF(J40="HLINE",PR!$AB38,IF(J40="ROTECH",PR!$AC38,IF(J40="ISN",PR!$AD38,IF(J40="JAWA",PR!$AE38,IF(J40="LAYO",PR!$AF38,IF(J40="LEADWAY",PR!$AG38,IF(J40="LHV",PR!$AH38,IF(J40="MANOLA",PR!$AI38,IF(J40="MARCSON",PR!$AJ38,IF(J40="M&amp;B",PR!$AK38,IF(J40="MTRUST",PR!$AL38,IF(J40="MWORLD",PR!$AM38,IF(J40="MEGA",PR!$AN38,IF(J40="MICRONOVA",PR!$AO38,IF(J40="MFLASH",PR!$AP38,IF(J40="MORISON",PR!$AQ38,IF(J40="NEMEL",PR!$AR38,IF(J40="NHP",PR!$AS38,IF(J40="NHC",PR!$AT38,IF(J40="OLEAF",PR!$AU38,IF(J40="OCULUS",PR!$AV38,IF(J40="PACIFIC",PR!$AW38,IF(J40="PHAMATEX",PR!$AX38,IF(J40="PETHICS",PR!$AY38,IF(J40="PHILIPS",PR!$AZ38,IF(J40="RANBAXY",PR!$BA38,IF(J40="REALS",PR!$BB38,IF(J40="ROYAL",PR!$BC38,IF(J40="SAM",PR!$BD38,IF(J40="SEAGREEN",PR!$BE38,IF(J40="SKG",PR!$BF38,IF(J40="TAH",PR!$BG38,IF(J40="TAYLEK",PR!$BH38,IF(J40="TEMITA",PR!$BI38,IF(J40="THL",PR!$BJ38,IF(J40="UBASTIC",PR!$BK38,IF(J40="UNION",PR!$BL38,IF(J40="UNIQUE",PR!$BM38,IF(J40="VIXA",PR!$BN38,IF(J40="WWCV",PR!$BO38,IF(J40="ZOLON",PR!$BP38,"-"))))))))))))))))))))))))))))))))))))))))))))))))))))))))))))))))</f>
        <v>2520</v>
      </c>
      <c r="J40" s="102" t="str">
        <f>EV!N43</f>
        <v>UNIQUE</v>
      </c>
      <c r="K40" s="635" t="s">
        <v>2085</v>
      </c>
      <c r="L40" s="183" t="str">
        <f>IF(K40&gt;0,IF(K40="ALPHA",PR!$E38,IF(K40="ASSENE",PR!$F38,IF(K40="BIOFEM",PR!$G38,IF(K40="BIOMED",PR!$H38,IF(K40="CHI",PR!$I38,IF(K40="CLARION",PR!$J38,IF(K40="CODIX",PR!$K38,IF(K40="COSMADE",PR!$L38,IF(K40="SANCON",PR!$M38,IF(K40="DEVON",PR!$N38,IF(K40="DORTEMAG",PR!$O38,IF(K40="DGF",PR!$P38,IF(K40="DYNAMIC",PR!$Q38,IF(K40="EMZOR",PR!$R38,IF(K40="EUMATT",PR!$S38,IF(K40="FIDSON",PR!$T38,IF(K40="FCGLOBAL",PR!$U38,IF(K40="GENEITH",PR!$V38,IF(K40="GINOS",PR!$W38,IF(K40="GSK",PR!$X38,IF(K40="GLOBORG",PR!$Y38,IF(K40="GOODNEWS",PR!$Z38,IF(K40="GREENLIFE",PR!$AA38,IF(K40="HLINE",PR!$AB38,IF(K40="ROTECH",PR!$AC38,IF(K40="ISN",PR!$AD38,IF(K40="JAWA",PR!$AE38,IF(K40="LAYO",PR!$AF38,IF(K40="LEADWAY",PR!$AG38,IF(K40="LHV",PR!$AH38,IF(K40="MANOLA",PR!$AI38,IF(K40="MARCSON",PR!$AJ38,IF(K40="M&amp;B",PR!$AK38,IF(K40="MTRUST",PR!$AL38,IF(K40="MWORLD",PR!$AM38,IF(K40="MEGA",PR!$AN38,IF(K40="MICRONOVA",PR!$AO38,IF(K40="MFLASH",PR!$AP38,IF(K40="MORISON",PR!$AQ38,IF(K40="NEMEL",PR!$AR38,IF(K40="NHP",PR!$AS38,IF(K40="NHC",PR!$AT38,IF(K40="OLEAF",PR!$AU38,IF(K40="OCULUS",PR!$AV38,IF(K40="PACIFIC",PR!$AW38,IF(K40="PHAMATEX",PR!$AX38,IF(K40="PETHICS",PR!$AY38,IF(K40="PHILIPS",PR!$AZ38,IF(K40="RANBAXY",PR!$BA38,IF(K40="REALS",PR!$BB38,IF(K40="ROYAL",PR!$BC38,IF(K40="SAM",PR!$BD38,IF(K40="SEAGREEN",PR!$BE38,IF(K40="SKG",PR!$BF38,IF(K40="TAH",PR!$BG38,IF(K40="TAYLEK",PR!$BH38,IF(K40="TEMITA",PR!$BI38,IF(K40="THL",PR!$BJ38,IF(K40="UBASTIC",PR!$BK38,IF(K40="UNION",PR!$BL38,IF(K40="UNIQUE",PR!$BM38,IF(K40="VIXA",PR!$BN38,IF(K40="WWCV",PR!$BO38,IF(K40="ZOLON",PR!$BP38,"-")))))))))))))))))))))))))))))))))))))))))))))))))))))))))))))))))</f>
        <v>-</v>
      </c>
    </row>
    <row r="41" spans="1:12" ht="18.75" x14ac:dyDescent="0.3">
      <c r="A41" s="430">
        <f>PR!A39</f>
        <v>26</v>
      </c>
      <c r="B41" s="15" t="str">
        <f>PR!B39</f>
        <v>50% DEXTROSE WATER</v>
      </c>
      <c r="C41" s="113">
        <f>PR!D39</f>
        <v>100</v>
      </c>
      <c r="D41" s="113">
        <f>PR!C39</f>
        <v>40</v>
      </c>
      <c r="E41" s="108">
        <f>IF(F41="ALPHA",PR!$E39,IF(F41="ASSENE",PR!$F39,IF(F41="BIOFEM",PR!$G39,IF(F41="BIOMED",PR!$H39,IF(F41="CHI",PR!$I39,IF(F41="CLARION",PR!$J39,IF(F41="CODIX",PR!$K39,IF(F41="COSMADE",PR!$L39,IF(F41="SANCON",PR!$M39,IF(F41="DEVON",PR!$N39,IF(F41="DORTEMAG",PR!$O39,IF(F41="DGF",PR!$P39,IF(F41="DYNAMIC",PR!$Q39,IF(F41="EMZOR",PR!$R39,IF(F41="EUMATT",PR!$S39,IF(F41="FIDSON",PR!$T39,IF(F41="FCGLOBAL",PR!$U39,IF(F41="GENEITH",PR!$V39,IF(F41="GINOS",PR!$W39,IF(F41="GSK",PR!$X39,IF(F41="GLOBORG",PR!$Y39,IF(F41="GOODNEWS",PR!$Z39,IF(F41="GREENLIFE",PR!$AA39,IF(F41="HLINE",PR!$AB39,IF(F41="ROTECH",PR!$AC39,IF(F41="ISN",PR!$AD39,IF(F41="JAWA",PR!$AE39,IF(F41="LAYO",PR!$AF39,IF(F41="LEADWAY",PR!$AG39,IF(F41="LHV",PR!$AH39,IF(F41="MANOLA",PR!$AI39,IF(F41="MARCSON",PR!$AJ39,IF(F41="M&amp;B",PR!$AK39,IF(F41="MTRUST",PR!$AL39,IF(F41="MWORLD",PR!$AM39,IF(F41="MEGA",PR!$AN39,IF(F41="MICRONOVA",PR!$AO39,IF(F41="MFLASH",PR!$AP39,IF(F41="MORISON",PR!$AQ39,IF(F41="NEMEL",PR!$AR39,IF(F41="NHP",PR!$AS39,IF(F41="NHC",PR!$AT39,IF(F41="OLEAF",PR!$AU39,IF(F41="OCULUS",PR!$AV39,IF(F41="PACIFIC",PR!$AW39,IF(F41="PHAMATEX",PR!$AX39,IF(F41="PETHICS",PR!$AY39,IF(F41="PHILIPS",PR!$AZ39,IF(F41="RANBAXY",PR!$BA39,IF(F41="REALS",PR!$BB39,IF(F41="ROYAL",PR!$BC39,IF(F41="SAM",PR!$BD39,IF(F41="SEAGREEN",PR!$BE39,IF(F41="SKG",PR!$BF39,IF(F41="TAH",PR!$BG39,IF(F41="TAYLEK",PR!$BH39,IF(F41="TEMITA",PR!$BI39,IF(F41="THL",PR!$BJ39,IF(F41="UBASTIC",PR!$BK39,IF(F41="UNION",PR!$BL39,IF(F41="UNIQUE",PR!$BM39,IF(F41="VIXA",PR!$BN39,IF(F41="WWCV",PR!$BO39,IF(F41="ZOLON",PR!$BP39,"-"))))))))))))))))))))))))))))))))))))))))))))))))))))))))))))))))</f>
        <v>9195</v>
      </c>
      <c r="F41" s="102" t="str">
        <f>EV!L44</f>
        <v>BIOMED</v>
      </c>
      <c r="G41" s="108">
        <f>IF(H41="ALPHA",PR!$E39,IF(H41="ASSENE",PR!$F39,IF(H41="BIOFEM",PR!$G39,IF(H41="BIOMED",PR!$H39,IF(H41="CHI",PR!$I39,IF(H41="CLARION",PR!$J39,IF(H41="CODIX",PR!$K39,IF(H41="COSMADE",PR!$L39,IF(H41="SANCON",PR!$M39,IF(H41="DEVON",PR!$N39,IF(H41="DORTEMAG",PR!$O39,IF(H41="DGF",PR!$P39,IF(H41="DYNAMIC",PR!$Q39,IF(H41="EMZOR",PR!$R39,IF(H41="EUMATT",PR!$S39,IF(H41="FIDSON",PR!$T39,IF(H41="FCGLOBAL",PR!$U39,IF(H41="GENEITH",PR!$V39,IF(H41="GINOS",PR!$W39,IF(H41="GSK",PR!$X39,IF(H41="GLOBORG",PR!$Y39,IF(H41="GOODNEWS",PR!$Z39,IF(H41="GREENLIFE",PR!$AA39,IF(H41="HLINE",PR!$AB39,IF(H41="ROTECH",PR!$AC39,IF(H41="ISN",PR!$AD39,IF(H41="JAWA",PR!$AE39,IF(H41="LAYO",PR!$AF39,IF(H41="LEADWAY",PR!$AG39,IF(H41="LHV",PR!$AH39,IF(H41="MANOLA",PR!$AI39,IF(H41="MARCSON",PR!$AJ39,IF(H41="M&amp;B",PR!$AK39,IF(H41="MTRUST",PR!$AL39,IF(H41="MWORLD",PR!$AM39,IF(H41="MEGA",PR!$AN39,IF(H41="MICRONOVA",PR!$AO39,IF(H41="MFLASH",PR!$AP39,IF(H41="MORISON",PR!$AQ39,IF(H41="NEMEL",PR!$AR39,IF(H41="NHP",PR!$AS39,IF(H41="NHC",PR!$AT39,IF(H41="OLEAF",PR!$AU39,IF(H41="OCULUS",PR!$AV39,IF(H41="PACIFIC",PR!$AW39,IF(H41="PHAMATEX",PR!$AX39,IF(H41="PETHICS",PR!$AY39,IF(H41="PHILIPS",PR!$AZ39,IF(H41="RANBAXY",PR!$BA39,IF(H41="REALS",PR!$BB39,IF(H41="ROYAL",PR!$BC39,IF(H41="SAM",PR!$BD39,IF(H41="SEAGREEN",PR!$BE39,IF(H41="SKG",PR!$BF39,IF(H41="TAH",PR!$BG39,IF(H41="TAYLEK",PR!$BH39,IF(H41="TEMITA",PR!$BI39,IF(H41="THL",PR!$BJ39,IF(H41="UBASTIC",PR!$BK39,IF(H41="UNION",PR!$BL39,IF(H41="UNIQUE",PR!$BM39,IF(H41="VIXA",PR!$BN39,IF(H41="WWCV",PR!$BO39,IF(H41="ZOLON",PR!$BP39,"-"))))))))))))))))))))))))))))))))))))))))))))))))))))))))))))))))</f>
        <v>12700</v>
      </c>
      <c r="H41" s="102" t="str">
        <f>EV!M44</f>
        <v>UNIQUE</v>
      </c>
      <c r="I41" s="108" t="str">
        <f>IF(J41="ALPHA",PR!$E39,IF(J41="ASSENE",PR!$F39,IF(J41="BIOFEM",PR!$G39,IF(J41="BIOMED",PR!$H39,IF(J41="CHI",PR!$I39,IF(J41="CLARION",PR!$J39,IF(J41="CODIX",PR!$K39,IF(J41="COSMADE",PR!$L39,IF(J41="SANCON",PR!$M39,IF(J41="DEVON",PR!$N39,IF(J41="DORTEMAG",PR!$O39,IF(J41="DGF",PR!$P39,IF(J41="DYNAMIC",PR!$Q39,IF(J41="EMZOR",PR!$R39,IF(J41="EUMATT",PR!$S39,IF(J41="FIDSON",PR!$T39,IF(J41="FCGLOBAL",PR!$U39,IF(J41="GENEITH",PR!$V39,IF(J41="GINOS",PR!$W39,IF(J41="GSK",PR!$X39,IF(J41="GLOBORG",PR!$Y39,IF(J41="GOODNEWS",PR!$Z39,IF(J41="GREENLIFE",PR!$AA39,IF(J41="HLINE",PR!$AB39,IF(J41="ROTECH",PR!$AC39,IF(J41="ISN",PR!$AD39,IF(J41="JAWA",PR!$AE39,IF(J41="LAYO",PR!$AF39,IF(J41="LEADWAY",PR!$AG39,IF(J41="LHV",PR!$AH39,IF(J41="MANOLA",PR!$AI39,IF(J41="MARCSON",PR!$AJ39,IF(J41="M&amp;B",PR!$AK39,IF(J41="MTRUST",PR!$AL39,IF(J41="MWORLD",PR!$AM39,IF(J41="MEGA",PR!$AN39,IF(J41="MICRONOVA",PR!$AO39,IF(J41="MFLASH",PR!$AP39,IF(J41="MORISON",PR!$AQ39,IF(J41="NEMEL",PR!$AR39,IF(J41="NHP",PR!$AS39,IF(J41="NHC",PR!$AT39,IF(J41="OLEAF",PR!$AU39,IF(J41="OCULUS",PR!$AV39,IF(J41="PACIFIC",PR!$AW39,IF(J41="PHAMATEX",PR!$AX39,IF(J41="PETHICS",PR!$AY39,IF(J41="PHILIPS",PR!$AZ39,IF(J41="RANBAXY",PR!$BA39,IF(J41="REALS",PR!$BB39,IF(J41="ROYAL",PR!$BC39,IF(J41="SAM",PR!$BD39,IF(J41="SEAGREEN",PR!$BE39,IF(J41="SKG",PR!$BF39,IF(J41="TAH",PR!$BG39,IF(J41="TAYLEK",PR!$BH39,IF(J41="TEMITA",PR!$BI39,IF(J41="THL",PR!$BJ39,IF(J41="UBASTIC",PR!$BK39,IF(J41="UNION",PR!$BL39,IF(J41="UNIQUE",PR!$BM39,IF(J41="VIXA",PR!$BN39,IF(J41="WWCV",PR!$BO39,IF(J41="ZOLON",PR!$BP39,"-"))))))))))))))))))))))))))))))))))))))))))))))))))))))))))))))))</f>
        <v>-</v>
      </c>
      <c r="J41" s="102">
        <f>EV!N44</f>
        <v>0</v>
      </c>
      <c r="K41" s="635" t="s">
        <v>2086</v>
      </c>
      <c r="L41" s="183" t="str">
        <f>IF(K41&gt;0,IF(K41="ALPHA",PR!$E39,IF(K41="ASSENE",PR!$F39,IF(K41="BIOFEM",PR!$G39,IF(K41="BIOMED",PR!$H39,IF(K41="CHI",PR!$I39,IF(K41="CLARION",PR!$J39,IF(K41="CODIX",PR!$K39,IF(K41="COSMADE",PR!$L39,IF(K41="SANCON",PR!$M39,IF(K41="DEVON",PR!$N39,IF(K41="DORTEMAG",PR!$O39,IF(K41="DGF",PR!$P39,IF(K41="DYNAMIC",PR!$Q39,IF(K41="EMZOR",PR!$R39,IF(K41="EUMATT",PR!$S39,IF(K41="FIDSON",PR!$T39,IF(K41="FCGLOBAL",PR!$U39,IF(K41="GENEITH",PR!$V39,IF(K41="GINOS",PR!$W39,IF(K41="GSK",PR!$X39,IF(K41="GLOBORG",PR!$Y39,IF(K41="GOODNEWS",PR!$Z39,IF(K41="GREENLIFE",PR!$AA39,IF(K41="HLINE",PR!$AB39,IF(K41="ROTECH",PR!$AC39,IF(K41="ISN",PR!$AD39,IF(K41="JAWA",PR!$AE39,IF(K41="LAYO",PR!$AF39,IF(K41="LEADWAY",PR!$AG39,IF(K41="LHV",PR!$AH39,IF(K41="MANOLA",PR!$AI39,IF(K41="MARCSON",PR!$AJ39,IF(K41="M&amp;B",PR!$AK39,IF(K41="MTRUST",PR!$AL39,IF(K41="MWORLD",PR!$AM39,IF(K41="MEGA",PR!$AN39,IF(K41="MICRONOVA",PR!$AO39,IF(K41="MFLASH",PR!$AP39,IF(K41="MORISON",PR!$AQ39,IF(K41="NEMEL",PR!$AR39,IF(K41="NHP",PR!$AS39,IF(K41="NHC",PR!$AT39,IF(K41="OLEAF",PR!$AU39,IF(K41="OCULUS",PR!$AV39,IF(K41="PACIFIC",PR!$AW39,IF(K41="PHAMATEX",PR!$AX39,IF(K41="PETHICS",PR!$AY39,IF(K41="PHILIPS",PR!$AZ39,IF(K41="RANBAXY",PR!$BA39,IF(K41="REALS",PR!$BB39,IF(K41="ROYAL",PR!$BC39,IF(K41="SAM",PR!$BD39,IF(K41="SEAGREEN",PR!$BE39,IF(K41="SKG",PR!$BF39,IF(K41="TAH",PR!$BG39,IF(K41="TAYLEK",PR!$BH39,IF(K41="TEMITA",PR!$BI39,IF(K41="THL",PR!$BJ39,IF(K41="UBASTIC",PR!$BK39,IF(K41="UNION",PR!$BL39,IF(K41="UNIQUE",PR!$BM39,IF(K41="VIXA",PR!$BN39,IF(K41="WWCV",PR!$BO39,IF(K41="ZOLON",PR!$BP39,"-")))))))))))))))))))))))))))))))))))))))))))))))))))))))))))))))))</f>
        <v>-</v>
      </c>
    </row>
    <row r="42" spans="1:12" ht="18.75" x14ac:dyDescent="0.3">
      <c r="A42" s="430">
        <f>PR!A40</f>
        <v>27</v>
      </c>
      <c r="B42" s="15" t="str">
        <f>PR!B40</f>
        <v>8% DEXTROSE SALINE</v>
      </c>
      <c r="C42" s="113">
        <f>PR!D40</f>
        <v>20</v>
      </c>
      <c r="D42" s="113">
        <f>PR!C40</f>
        <v>100</v>
      </c>
      <c r="E42" s="108" t="str">
        <f>IF(F42="ALPHA",PR!$E40,IF(F42="ASSENE",PR!$F40,IF(F42="BIOFEM",PR!$G40,IF(F42="BIOMED",PR!$H40,IF(F42="CHI",PR!$I40,IF(F42="CLARION",PR!$J40,IF(F42="CODIX",PR!$K40,IF(F42="COSMADE",PR!$L40,IF(F42="SANCON",PR!$M40,IF(F42="DEVON",PR!$N40,IF(F42="DORTEMAG",PR!$O40,IF(F42="DGF",PR!$P40,IF(F42="DYNAMIC",PR!$Q40,IF(F42="EMZOR",PR!$R40,IF(F42="EUMATT",PR!$S40,IF(F42="FIDSON",PR!$T40,IF(F42="FCGLOBAL",PR!$U40,IF(F42="GENEITH",PR!$V40,IF(F42="GINOS",PR!$W40,IF(F42="GSK",PR!$X40,IF(F42="GLOBORG",PR!$Y40,IF(F42="GOODNEWS",PR!$Z40,IF(F42="GREENLIFE",PR!$AA40,IF(F42="HLINE",PR!$AB40,IF(F42="ROTECH",PR!$AC40,IF(F42="ISN",PR!$AD40,IF(F42="JAWA",PR!$AE40,IF(F42="LAYO",PR!$AF40,IF(F42="LEADWAY",PR!$AG40,IF(F42="LHV",PR!$AH40,IF(F42="MANOLA",PR!$AI40,IF(F42="MARCSON",PR!$AJ40,IF(F42="M&amp;B",PR!$AK40,IF(F42="MTRUST",PR!$AL40,IF(F42="MWORLD",PR!$AM40,IF(F42="MEGA",PR!$AN40,IF(F42="MICRONOVA",PR!$AO40,IF(F42="MFLASH",PR!$AP40,IF(F42="MORISON",PR!$AQ40,IF(F42="NEMEL",PR!$AR40,IF(F42="NHP",PR!$AS40,IF(F42="NHC",PR!$AT40,IF(F42="OLEAF",PR!$AU40,IF(F42="OCULUS",PR!$AV40,IF(F42="PACIFIC",PR!$AW40,IF(F42="PHAMATEX",PR!$AX40,IF(F42="PETHICS",PR!$AY40,IF(F42="PHILIPS",PR!$AZ40,IF(F42="RANBAXY",PR!$BA40,IF(F42="REALS",PR!$BB40,IF(F42="ROYAL",PR!$BC40,IF(F42="SAM",PR!$BD40,IF(F42="SEAGREEN",PR!$BE40,IF(F42="SKG",PR!$BF40,IF(F42="TAH",PR!$BG40,IF(F42="TAYLEK",PR!$BH40,IF(F42="TEMITA",PR!$BI40,IF(F42="THL",PR!$BJ40,IF(F42="UBASTIC",PR!$BK40,IF(F42="UNION",PR!$BL40,IF(F42="UNIQUE",PR!$BM40,IF(F42="VIXA",PR!$BN40,IF(F42="WWCV",PR!$BO40,IF(F42="ZOLON",PR!$BP40,"-"))))))))))))))))))))))))))))))))))))))))))))))))))))))))))))))))</f>
        <v>-</v>
      </c>
      <c r="F42" s="102">
        <f>EV!L45</f>
        <v>0</v>
      </c>
      <c r="G42" s="108" t="str">
        <f>IF(H42="ALPHA",PR!$E40,IF(H42="ASSENE",PR!$F40,IF(H42="BIOFEM",PR!$G40,IF(H42="BIOMED",PR!$H40,IF(H42="CHI",PR!$I40,IF(H42="CLARION",PR!$J40,IF(H42="CODIX",PR!$K40,IF(H42="COSMADE",PR!$L40,IF(H42="SANCON",PR!$M40,IF(H42="DEVON",PR!$N40,IF(H42="DORTEMAG",PR!$O40,IF(H42="DGF",PR!$P40,IF(H42="DYNAMIC",PR!$Q40,IF(H42="EMZOR",PR!$R40,IF(H42="EUMATT",PR!$S40,IF(H42="FIDSON",PR!$T40,IF(H42="FCGLOBAL",PR!$U40,IF(H42="GENEITH",PR!$V40,IF(H42="GINOS",PR!$W40,IF(H42="GSK",PR!$X40,IF(H42="GLOBORG",PR!$Y40,IF(H42="GOODNEWS",PR!$Z40,IF(H42="GREENLIFE",PR!$AA40,IF(H42="HLINE",PR!$AB40,IF(H42="ROTECH",PR!$AC40,IF(H42="ISN",PR!$AD40,IF(H42="JAWA",PR!$AE40,IF(H42="LAYO",PR!$AF40,IF(H42="LEADWAY",PR!$AG40,IF(H42="LHV",PR!$AH40,IF(H42="MANOLA",PR!$AI40,IF(H42="MARCSON",PR!$AJ40,IF(H42="M&amp;B",PR!$AK40,IF(H42="MTRUST",PR!$AL40,IF(H42="MWORLD",PR!$AM40,IF(H42="MEGA",PR!$AN40,IF(H42="MICRONOVA",PR!$AO40,IF(H42="MFLASH",PR!$AP40,IF(H42="MORISON",PR!$AQ40,IF(H42="NEMEL",PR!$AR40,IF(H42="NHP",PR!$AS40,IF(H42="NHC",PR!$AT40,IF(H42="OLEAF",PR!$AU40,IF(H42="OCULUS",PR!$AV40,IF(H42="PACIFIC",PR!$AW40,IF(H42="PHAMATEX",PR!$AX40,IF(H42="PETHICS",PR!$AY40,IF(H42="PHILIPS",PR!$AZ40,IF(H42="RANBAXY",PR!$BA40,IF(H42="REALS",PR!$BB40,IF(H42="ROYAL",PR!$BC40,IF(H42="SAM",PR!$BD40,IF(H42="SEAGREEN",PR!$BE40,IF(H42="SKG",PR!$BF40,IF(H42="TAH",PR!$BG40,IF(H42="TAYLEK",PR!$BH40,IF(H42="TEMITA",PR!$BI40,IF(H42="THL",PR!$BJ40,IF(H42="UBASTIC",PR!$BK40,IF(H42="UNION",PR!$BL40,IF(H42="UNIQUE",PR!$BM40,IF(H42="VIXA",PR!$BN40,IF(H42="WWCV",PR!$BO40,IF(H42="ZOLON",PR!$BP40,"-"))))))))))))))))))))))))))))))))))))))))))))))))))))))))))))))))</f>
        <v>-</v>
      </c>
      <c r="H42" s="102">
        <f>EV!M45</f>
        <v>0</v>
      </c>
      <c r="I42" s="108" t="str">
        <f>IF(J42="ALPHA",PR!$E40,IF(J42="ASSENE",PR!$F40,IF(J42="BIOFEM",PR!$G40,IF(J42="BIOMED",PR!$H40,IF(J42="CHI",PR!$I40,IF(J42="CLARION",PR!$J40,IF(J42="CODIX",PR!$K40,IF(J42="COSMADE",PR!$L40,IF(J42="SANCON",PR!$M40,IF(J42="DEVON",PR!$N40,IF(J42="DORTEMAG",PR!$O40,IF(J42="DGF",PR!$P40,IF(J42="DYNAMIC",PR!$Q40,IF(J42="EMZOR",PR!$R40,IF(J42="EUMATT",PR!$S40,IF(J42="FIDSON",PR!$T40,IF(J42="FCGLOBAL",PR!$U40,IF(J42="GENEITH",PR!$V40,IF(J42="GINOS",PR!$W40,IF(J42="GSK",PR!$X40,IF(J42="GLOBORG",PR!$Y40,IF(J42="GOODNEWS",PR!$Z40,IF(J42="GREENLIFE",PR!$AA40,IF(J42="HLINE",PR!$AB40,IF(J42="ROTECH",PR!$AC40,IF(J42="ISN",PR!$AD40,IF(J42="JAWA",PR!$AE40,IF(J42="LAYO",PR!$AF40,IF(J42="LEADWAY",PR!$AG40,IF(J42="LHV",PR!$AH40,IF(J42="MANOLA",PR!$AI40,IF(J42="MARCSON",PR!$AJ40,IF(J42="M&amp;B",PR!$AK40,IF(J42="MTRUST",PR!$AL40,IF(J42="MWORLD",PR!$AM40,IF(J42="MEGA",PR!$AN40,IF(J42="MICRONOVA",PR!$AO40,IF(J42="MFLASH",PR!$AP40,IF(J42="MORISON",PR!$AQ40,IF(J42="NEMEL",PR!$AR40,IF(J42="NHP",PR!$AS40,IF(J42="NHC",PR!$AT40,IF(J42="OLEAF",PR!$AU40,IF(J42="OCULUS",PR!$AV40,IF(J42="PACIFIC",PR!$AW40,IF(J42="PHAMATEX",PR!$AX40,IF(J42="PETHICS",PR!$AY40,IF(J42="PHILIPS",PR!$AZ40,IF(J42="RANBAXY",PR!$BA40,IF(J42="REALS",PR!$BB40,IF(J42="ROYAL",PR!$BC40,IF(J42="SAM",PR!$BD40,IF(J42="SEAGREEN",PR!$BE40,IF(J42="SKG",PR!$BF40,IF(J42="TAH",PR!$BG40,IF(J42="TAYLEK",PR!$BH40,IF(J42="TEMITA",PR!$BI40,IF(J42="THL",PR!$BJ40,IF(J42="UBASTIC",PR!$BK40,IF(J42="UNION",PR!$BL40,IF(J42="UNIQUE",PR!$BM40,IF(J42="VIXA",PR!$BN40,IF(J42="WWCV",PR!$BO40,IF(J42="ZOLON",PR!$BP40,"-"))))))))))))))))))))))))))))))))))))))))))))))))))))))))))))))))</f>
        <v>-</v>
      </c>
      <c r="J42" s="102">
        <f>EV!N45</f>
        <v>0</v>
      </c>
      <c r="K42" s="433"/>
      <c r="L42" s="183" t="b">
        <f>IF(K42&gt;0,IF(K42="ALPHA",PR!$E40,IF(K42="ASSENE",PR!$F40,IF(K42="BIOFEM",PR!$G40,IF(K42="BIOMED",PR!$H40,IF(K42="CHI",PR!$I40,IF(K42="CLARION",PR!$J40,IF(K42="CODIX",PR!$K40,IF(K42="COSMADE",PR!$L40,IF(K42="SANCON",PR!$M40,IF(K42="DEVON",PR!$N40,IF(K42="DORTEMAG",PR!$O40,IF(K42="DGF",PR!$P40,IF(K42="DYNAMIC",PR!$Q40,IF(K42="EMZOR",PR!$R40,IF(K42="EUMATT",PR!$S40,IF(K42="FIDSON",PR!$T40,IF(K42="FCGLOBAL",PR!$U40,IF(K42="GENEITH",PR!$V40,IF(K42="GINOS",PR!$W40,IF(K42="GSK",PR!$X40,IF(K42="GLOBORG",PR!$Y40,IF(K42="GOODNEWS",PR!$Z40,IF(K42="GREENLIFE",PR!$AA40,IF(K42="HLINE",PR!$AB40,IF(K42="ROTECH",PR!$AC40,IF(K42="ISN",PR!$AD40,IF(K42="JAWA",PR!$AE40,IF(K42="LAYO",PR!$AF40,IF(K42="LEADWAY",PR!$AG40,IF(K42="LHV",PR!$AH40,IF(K42="MANOLA",PR!$AI40,IF(K42="MARCSON",PR!$AJ40,IF(K42="M&amp;B",PR!$AK40,IF(K42="MTRUST",PR!$AL40,IF(K42="MWORLD",PR!$AM40,IF(K42="MEGA",PR!$AN40,IF(K42="MICRONOVA",PR!$AO40,IF(K42="MFLASH",PR!$AP40,IF(K42="MORISON",PR!$AQ40,IF(K42="NEMEL",PR!$AR40,IF(K42="NHP",PR!$AS40,IF(K42="NHC",PR!$AT40,IF(K42="OLEAF",PR!$AU40,IF(K42="OCULUS",PR!$AV40,IF(K42="PACIFIC",PR!$AW40,IF(K42="PHAMATEX",PR!$AX40,IF(K42="PETHICS",PR!$AY40,IF(K42="PHILIPS",PR!$AZ40,IF(K42="RANBAXY",PR!$BA40,IF(K42="REALS",PR!$BB40,IF(K42="ROYAL",PR!$BC40,IF(K42="SAM",PR!$BD40,IF(K42="SEAGREEN",PR!$BE40,IF(K42="SKG",PR!$BF40,IF(K42="TAH",PR!$BG40,IF(K42="TAYLEK",PR!$BH40,IF(K42="TEMITA",PR!$BI40,IF(K42="THL",PR!$BJ40,IF(K42="UBASTIC",PR!$BK40,IF(K42="UNION",PR!$BL40,IF(K42="UNIQUE",PR!$BM40,IF(K42="VIXA",PR!$BN40,IF(K42="WWCV",PR!$BO40,IF(K42="ZOLON",PR!$BP40,"-")))))))))))))))))))))))))))))))))))))))))))))))))))))))))))))))))</f>
        <v>0</v>
      </c>
    </row>
    <row r="43" spans="1:12" ht="18.75" x14ac:dyDescent="0.3">
      <c r="A43" s="430">
        <f>PR!A41</f>
        <v>28</v>
      </c>
      <c r="B43" s="15" t="str">
        <f>PR!B41</f>
        <v>AMINO ACID INFUSION</v>
      </c>
      <c r="C43" s="113">
        <f>PR!D41</f>
        <v>10</v>
      </c>
      <c r="D43" s="113">
        <f>PR!C41</f>
        <v>4</v>
      </c>
      <c r="E43" s="108">
        <f>IF(F43="ALPHA",PR!$E41,IF(F43="ASSENE",PR!$F41,IF(F43="BIOFEM",PR!$G41,IF(F43="BIOMED",PR!$H41,IF(F43="CHI",PR!$I41,IF(F43="CLARION",PR!$J41,IF(F43="CODIX",PR!$K41,IF(F43="COSMADE",PR!$L41,IF(F43="SANCON",PR!$M41,IF(F43="DEVON",PR!$N41,IF(F43="DORTEMAG",PR!$O41,IF(F43="DGF",PR!$P41,IF(F43="DYNAMIC",PR!$Q41,IF(F43="EMZOR",PR!$R41,IF(F43="EUMATT",PR!$S41,IF(F43="FIDSON",PR!$T41,IF(F43="FCGLOBAL",PR!$U41,IF(F43="GENEITH",PR!$V41,IF(F43="GINOS",PR!$W41,IF(F43="GSK",PR!$X41,IF(F43="GLOBORG",PR!$Y41,IF(F43="GOODNEWS",PR!$Z41,IF(F43="GREENLIFE",PR!$AA41,IF(F43="HLINE",PR!$AB41,IF(F43="ROTECH",PR!$AC41,IF(F43="ISN",PR!$AD41,IF(F43="JAWA",PR!$AE41,IF(F43="LAYO",PR!$AF41,IF(F43="LEADWAY",PR!$AG41,IF(F43="LHV",PR!$AH41,IF(F43="MANOLA",PR!$AI41,IF(F43="MARCSON",PR!$AJ41,IF(F43="M&amp;B",PR!$AK41,IF(F43="MTRUST",PR!$AL41,IF(F43="MWORLD",PR!$AM41,IF(F43="MEGA",PR!$AN41,IF(F43="MICRONOVA",PR!$AO41,IF(F43="MFLASH",PR!$AP41,IF(F43="MORISON",PR!$AQ41,IF(F43="NEMEL",PR!$AR41,IF(F43="NHP",PR!$AS41,IF(F43="NHC",PR!$AT41,IF(F43="OLEAF",PR!$AU41,IF(F43="OCULUS",PR!$AV41,IF(F43="PACIFIC",PR!$AW41,IF(F43="PHAMATEX",PR!$AX41,IF(F43="PETHICS",PR!$AY41,IF(F43="PHILIPS",PR!$AZ41,IF(F43="RANBAXY",PR!$BA41,IF(F43="REALS",PR!$BB41,IF(F43="ROYAL",PR!$BC41,IF(F43="SAM",PR!$BD41,IF(F43="SEAGREEN",PR!$BE41,IF(F43="SKG",PR!$BF41,IF(F43="TAH",PR!$BG41,IF(F43="TAYLEK",PR!$BH41,IF(F43="TEMITA",PR!$BI41,IF(F43="THL",PR!$BJ41,IF(F43="UBASTIC",PR!$BK41,IF(F43="UNION",PR!$BL41,IF(F43="UNIQUE",PR!$BM41,IF(F43="VIXA",PR!$BN41,IF(F43="WWCV",PR!$BO41,IF(F43="ZOLON",PR!$BP41,"-"))))))))))))))))))))))))))))))))))))))))))))))))))))))))))))))))</f>
        <v>2350</v>
      </c>
      <c r="F43" s="102" t="str">
        <f>EV!L46</f>
        <v>JAWA</v>
      </c>
      <c r="G43" s="108">
        <f>IF(H43="ALPHA",PR!$E41,IF(H43="ASSENE",PR!$F41,IF(H43="BIOFEM",PR!$G41,IF(H43="BIOMED",PR!$H41,IF(H43="CHI",PR!$I41,IF(H43="CLARION",PR!$J41,IF(H43="CODIX",PR!$K41,IF(H43="COSMADE",PR!$L41,IF(H43="SANCON",PR!$M41,IF(H43="DEVON",PR!$N41,IF(H43="DORTEMAG",PR!$O41,IF(H43="DGF",PR!$P41,IF(H43="DYNAMIC",PR!$Q41,IF(H43="EMZOR",PR!$R41,IF(H43="EUMATT",PR!$S41,IF(H43="FIDSON",PR!$T41,IF(H43="FCGLOBAL",PR!$U41,IF(H43="GENEITH",PR!$V41,IF(H43="GINOS",PR!$W41,IF(H43="GSK",PR!$X41,IF(H43="GLOBORG",PR!$Y41,IF(H43="GOODNEWS",PR!$Z41,IF(H43="GREENLIFE",PR!$AA41,IF(H43="HLINE",PR!$AB41,IF(H43="ROTECH",PR!$AC41,IF(H43="ISN",PR!$AD41,IF(H43="JAWA",PR!$AE41,IF(H43="LAYO",PR!$AF41,IF(H43="LEADWAY",PR!$AG41,IF(H43="LHV",PR!$AH41,IF(H43="MANOLA",PR!$AI41,IF(H43="MARCSON",PR!$AJ41,IF(H43="M&amp;B",PR!$AK41,IF(H43="MTRUST",PR!$AL41,IF(H43="MWORLD",PR!$AM41,IF(H43="MEGA",PR!$AN41,IF(H43="MICRONOVA",PR!$AO41,IF(H43="MFLASH",PR!$AP41,IF(H43="MORISON",PR!$AQ41,IF(H43="NEMEL",PR!$AR41,IF(H43="NHP",PR!$AS41,IF(H43="NHC",PR!$AT41,IF(H43="OLEAF",PR!$AU41,IF(H43="OCULUS",PR!$AV41,IF(H43="PACIFIC",PR!$AW41,IF(H43="PHAMATEX",PR!$AX41,IF(H43="PETHICS",PR!$AY41,IF(H43="PHILIPS",PR!$AZ41,IF(H43="RANBAXY",PR!$BA41,IF(H43="REALS",PR!$BB41,IF(H43="ROYAL",PR!$BC41,IF(H43="SAM",PR!$BD41,IF(H43="SEAGREEN",PR!$BE41,IF(H43="SKG",PR!$BF41,IF(H43="TAH",PR!$BG41,IF(H43="TAYLEK",PR!$BH41,IF(H43="TEMITA",PR!$BI41,IF(H43="THL",PR!$BJ41,IF(H43="UBASTIC",PR!$BK41,IF(H43="UNION",PR!$BL41,IF(H43="UNIQUE",PR!$BM41,IF(H43="VIXA",PR!$BN41,IF(H43="WWCV",PR!$BO41,IF(H43="ZOLON",PR!$BP41,"-"))))))))))))))))))))))))))))))))))))))))))))))))))))))))))))))))</f>
        <v>2900</v>
      </c>
      <c r="H43" s="102" t="str">
        <f>EV!M46</f>
        <v>FIDSON</v>
      </c>
      <c r="I43" s="108">
        <f>IF(J43="ALPHA",PR!$E41,IF(J43="ASSENE",PR!$F41,IF(J43="BIOFEM",PR!$G41,IF(J43="BIOMED",PR!$H41,IF(J43="CHI",PR!$I41,IF(J43="CLARION",PR!$J41,IF(J43="CODIX",PR!$K41,IF(J43="COSMADE",PR!$L41,IF(J43="SANCON",PR!$M41,IF(J43="DEVON",PR!$N41,IF(J43="DORTEMAG",PR!$O41,IF(J43="DGF",PR!$P41,IF(J43="DYNAMIC",PR!$Q41,IF(J43="EMZOR",PR!$R41,IF(J43="EUMATT",PR!$S41,IF(J43="FIDSON",PR!$T41,IF(J43="FCGLOBAL",PR!$U41,IF(J43="GENEITH",PR!$V41,IF(J43="GINOS",PR!$W41,IF(J43="GSK",PR!$X41,IF(J43="GLOBORG",PR!$Y41,IF(J43="GOODNEWS",PR!$Z41,IF(J43="GREENLIFE",PR!$AA41,IF(J43="HLINE",PR!$AB41,IF(J43="ROTECH",PR!$AC41,IF(J43="ISN",PR!$AD41,IF(J43="JAWA",PR!$AE41,IF(J43="LAYO",PR!$AF41,IF(J43="LEADWAY",PR!$AG41,IF(J43="LHV",PR!$AH41,IF(J43="MANOLA",PR!$AI41,IF(J43="MARCSON",PR!$AJ41,IF(J43="M&amp;B",PR!$AK41,IF(J43="MTRUST",PR!$AL41,IF(J43="MWORLD",PR!$AM41,IF(J43="MEGA",PR!$AN41,IF(J43="MICRONOVA",PR!$AO41,IF(J43="MFLASH",PR!$AP41,IF(J43="MORISON",PR!$AQ41,IF(J43="NEMEL",PR!$AR41,IF(J43="NHP",PR!$AS41,IF(J43="NHC",PR!$AT41,IF(J43="OLEAF",PR!$AU41,IF(J43="OCULUS",PR!$AV41,IF(J43="PACIFIC",PR!$AW41,IF(J43="PHAMATEX",PR!$AX41,IF(J43="PETHICS",PR!$AY41,IF(J43="PHILIPS",PR!$AZ41,IF(J43="RANBAXY",PR!$BA41,IF(J43="REALS",PR!$BB41,IF(J43="ROYAL",PR!$BC41,IF(J43="SAM",PR!$BD41,IF(J43="SEAGREEN",PR!$BE41,IF(J43="SKG",PR!$BF41,IF(J43="TAH",PR!$BG41,IF(J43="TAYLEK",PR!$BH41,IF(J43="TEMITA",PR!$BI41,IF(J43="THL",PR!$BJ41,IF(J43="UBASTIC",PR!$BK41,IF(J43="UNION",PR!$BL41,IF(J43="UNIQUE",PR!$BM41,IF(J43="VIXA",PR!$BN41,IF(J43="WWCV",PR!$BO41,IF(J43="ZOLON",PR!$BP41,"-"))))))))))))))))))))))))))))))))))))))))))))))))))))))))))))))))</f>
        <v>29000</v>
      </c>
      <c r="J43" s="102" t="str">
        <f>EV!N46</f>
        <v>ALPHA</v>
      </c>
      <c r="K43" s="433" t="s">
        <v>631</v>
      </c>
      <c r="L43" s="183">
        <f>IF(K43&gt;0,IF(K43="ALPHA",PR!$E41,IF(K43="ASSENE",PR!$F41,IF(K43="BIOFEM",PR!$G41,IF(K43="BIOMED",PR!$H41,IF(K43="CHI",PR!$I41,IF(K43="CLARION",PR!$J41,IF(K43="CODIX",PR!$K41,IF(K43="COSMADE",PR!$L41,IF(K43="SANCON",PR!$M41,IF(K43="DEVON",PR!$N41,IF(K43="DORTEMAG",PR!$O41,IF(K43="DGF",PR!$P41,IF(K43="DYNAMIC",PR!$Q41,IF(K43="EMZOR",PR!$R41,IF(K43="EUMATT",PR!$S41,IF(K43="FIDSON",PR!$T41,IF(K43="FCGLOBAL",PR!$U41,IF(K43="GENEITH",PR!$V41,IF(K43="GINOS",PR!$W41,IF(K43="GSK",PR!$X41,IF(K43="GLOBORG",PR!$Y41,IF(K43="GOODNEWS",PR!$Z41,IF(K43="GREENLIFE",PR!$AA41,IF(K43="HLINE",PR!$AB41,IF(K43="ROTECH",PR!$AC41,IF(K43="ISN",PR!$AD41,IF(K43="JAWA",PR!$AE41,IF(K43="LAYO",PR!$AF41,IF(K43="LEADWAY",PR!$AG41,IF(K43="LHV",PR!$AH41,IF(K43="MANOLA",PR!$AI41,IF(K43="MARCSON",PR!$AJ41,IF(K43="M&amp;B",PR!$AK41,IF(K43="MTRUST",PR!$AL41,IF(K43="MWORLD",PR!$AM41,IF(K43="MEGA",PR!$AN41,IF(K43="MICRONOVA",PR!$AO41,IF(K43="MFLASH",PR!$AP41,IF(K43="MORISON",PR!$AQ41,IF(K43="NEMEL",PR!$AR41,IF(K43="NHP",PR!$AS41,IF(K43="NHC",PR!$AT41,IF(K43="OLEAF",PR!$AU41,IF(K43="OCULUS",PR!$AV41,IF(K43="PACIFIC",PR!$AW41,IF(K43="PHAMATEX",PR!$AX41,IF(K43="PETHICS",PR!$AY41,IF(K43="PHILIPS",PR!$AZ41,IF(K43="RANBAXY",PR!$BA41,IF(K43="REALS",PR!$BB41,IF(K43="ROYAL",PR!$BC41,IF(K43="SAM",PR!$BD41,IF(K43="SEAGREEN",PR!$BE41,IF(K43="SKG",PR!$BF41,IF(K43="TAH",PR!$BG41,IF(K43="TAYLEK",PR!$BH41,IF(K43="TEMITA",PR!$BI41,IF(K43="THL",PR!$BJ41,IF(K43="UBASTIC",PR!$BK41,IF(K43="UNION",PR!$BL41,IF(K43="UNIQUE",PR!$BM41,IF(K43="VIXA",PR!$BN41,IF(K43="WWCV",PR!$BO41,IF(K43="ZOLON",PR!$BP41,"-")))))))))))))))))))))))))))))))))))))))))))))))))))))))))))))))))</f>
        <v>2900</v>
      </c>
    </row>
    <row r="44" spans="1:12" ht="18.75" x14ac:dyDescent="0.3">
      <c r="A44" s="430">
        <f>PR!A42</f>
        <v>29</v>
      </c>
      <c r="B44" s="15" t="str">
        <f>PR!B42</f>
        <v>FULL STRENGTH DARROWS SOLUTION</v>
      </c>
      <c r="C44" s="113">
        <f>PR!D42</f>
        <v>20</v>
      </c>
      <c r="D44" s="113">
        <f>PR!C42</f>
        <v>5</v>
      </c>
      <c r="E44" s="108">
        <f>IF(F44="ALPHA",PR!$E42,IF(F44="ASSENE",PR!$F42,IF(F44="BIOFEM",PR!$G42,IF(F44="BIOMED",PR!$H42,IF(F44="CHI",PR!$I42,IF(F44="CLARION",PR!$J42,IF(F44="CODIX",PR!$K42,IF(F44="COSMADE",PR!$L42,IF(F44="SANCON",PR!$M42,IF(F44="DEVON",PR!$N42,IF(F44="DORTEMAG",PR!$O42,IF(F44="DGF",PR!$P42,IF(F44="DYNAMIC",PR!$Q42,IF(F44="EMZOR",PR!$R42,IF(F44="EUMATT",PR!$S42,IF(F44="FIDSON",PR!$T42,IF(F44="FCGLOBAL",PR!$U42,IF(F44="GENEITH",PR!$V42,IF(F44="GINOS",PR!$W42,IF(F44="GSK",PR!$X42,IF(F44="GLOBORG",PR!$Y42,IF(F44="GOODNEWS",PR!$Z42,IF(F44="GREENLIFE",PR!$AA42,IF(F44="HLINE",PR!$AB42,IF(F44="ROTECH",PR!$AC42,IF(F44="ISN",PR!$AD42,IF(F44="JAWA",PR!$AE42,IF(F44="LAYO",PR!$AF42,IF(F44="LEADWAY",PR!$AG42,IF(F44="LHV",PR!$AH42,IF(F44="MANOLA",PR!$AI42,IF(F44="MARCSON",PR!$AJ42,IF(F44="M&amp;B",PR!$AK42,IF(F44="MTRUST",PR!$AL42,IF(F44="MWORLD",PR!$AM42,IF(F44="MEGA",PR!$AN42,IF(F44="MICRONOVA",PR!$AO42,IF(F44="MFLASH",PR!$AP42,IF(F44="MORISON",PR!$AQ42,IF(F44="NEMEL",PR!$AR42,IF(F44="NHP",PR!$AS42,IF(F44="NHC",PR!$AT42,IF(F44="OLEAF",PR!$AU42,IF(F44="OCULUS",PR!$AV42,IF(F44="PACIFIC",PR!$AW42,IF(F44="PHAMATEX",PR!$AX42,IF(F44="PETHICS",PR!$AY42,IF(F44="PHILIPS",PR!$AZ42,IF(F44="RANBAXY",PR!$BA42,IF(F44="REALS",PR!$BB42,IF(F44="ROYAL",PR!$BC42,IF(F44="SAM",PR!$BD42,IF(F44="SEAGREEN",PR!$BE42,IF(F44="SKG",PR!$BF42,IF(F44="TAH",PR!$BG42,IF(F44="TAYLEK",PR!$BH42,IF(F44="TEMITA",PR!$BI42,IF(F44="THL",PR!$BJ42,IF(F44="UBASTIC",PR!$BK42,IF(F44="UNION",PR!$BL42,IF(F44="UNIQUE",PR!$BM42,IF(F44="VIXA",PR!$BN42,IF(F44="WWCV",PR!$BO42,IF(F44="ZOLON",PR!$BP42,"-"))))))))))))))))))))))))))))))))))))))))))))))))))))))))))))))))</f>
        <v>2450</v>
      </c>
      <c r="F44" s="102" t="str">
        <f>EV!L47</f>
        <v>BIOMED</v>
      </c>
      <c r="G44" s="108">
        <f>IF(H44="ALPHA",PR!$E42,IF(H44="ASSENE",PR!$F42,IF(H44="BIOFEM",PR!$G42,IF(H44="BIOMED",PR!$H42,IF(H44="CHI",PR!$I42,IF(H44="CLARION",PR!$J42,IF(H44="CODIX",PR!$K42,IF(H44="COSMADE",PR!$L42,IF(H44="SANCON",PR!$M42,IF(H44="DEVON",PR!$N42,IF(H44="DORTEMAG",PR!$O42,IF(H44="DGF",PR!$P42,IF(H44="DYNAMIC",PR!$Q42,IF(H44="EMZOR",PR!$R42,IF(H44="EUMATT",PR!$S42,IF(H44="FIDSON",PR!$T42,IF(H44="FCGLOBAL",PR!$U42,IF(H44="GENEITH",PR!$V42,IF(H44="GINOS",PR!$W42,IF(H44="GSK",PR!$X42,IF(H44="GLOBORG",PR!$Y42,IF(H44="GOODNEWS",PR!$Z42,IF(H44="GREENLIFE",PR!$AA42,IF(H44="HLINE",PR!$AB42,IF(H44="ROTECH",PR!$AC42,IF(H44="ISN",PR!$AD42,IF(H44="JAWA",PR!$AE42,IF(H44="LAYO",PR!$AF42,IF(H44="LEADWAY",PR!$AG42,IF(H44="LHV",PR!$AH42,IF(H44="MANOLA",PR!$AI42,IF(H44="MARCSON",PR!$AJ42,IF(H44="M&amp;B",PR!$AK42,IF(H44="MTRUST",PR!$AL42,IF(H44="MWORLD",PR!$AM42,IF(H44="MEGA",PR!$AN42,IF(H44="MICRONOVA",PR!$AO42,IF(H44="MFLASH",PR!$AP42,IF(H44="MORISON",PR!$AQ42,IF(H44="NEMEL",PR!$AR42,IF(H44="NHP",PR!$AS42,IF(H44="NHC",PR!$AT42,IF(H44="OLEAF",PR!$AU42,IF(H44="OCULUS",PR!$AV42,IF(H44="PACIFIC",PR!$AW42,IF(H44="PHAMATEX",PR!$AX42,IF(H44="PETHICS",PR!$AY42,IF(H44="PHILIPS",PR!$AZ42,IF(H44="RANBAXY",PR!$BA42,IF(H44="REALS",PR!$BB42,IF(H44="ROYAL",PR!$BC42,IF(H44="SAM",PR!$BD42,IF(H44="SEAGREEN",PR!$BE42,IF(H44="SKG",PR!$BF42,IF(H44="TAH",PR!$BG42,IF(H44="TAYLEK",PR!$BH42,IF(H44="TEMITA",PR!$BI42,IF(H44="THL",PR!$BJ42,IF(H44="UBASTIC",PR!$BK42,IF(H44="UNION",PR!$BL42,IF(H44="UNIQUE",PR!$BM42,IF(H44="VIXA",PR!$BN42,IF(H44="WWCV",PR!$BO42,IF(H44="ZOLON",PR!$BP42,"-"))))))))))))))))))))))))))))))))))))))))))))))))))))))))))))))))</f>
        <v>2520</v>
      </c>
      <c r="H44" s="102" t="str">
        <f>EV!M47</f>
        <v>UNIQUE</v>
      </c>
      <c r="I44" s="108">
        <f>IF(J44="ALPHA",PR!$E42,IF(J44="ASSENE",PR!$F42,IF(J44="BIOFEM",PR!$G42,IF(J44="BIOMED",PR!$H42,IF(J44="CHI",PR!$I42,IF(J44="CLARION",PR!$J42,IF(J44="CODIX",PR!$K42,IF(J44="COSMADE",PR!$L42,IF(J44="SANCON",PR!$M42,IF(J44="DEVON",PR!$N42,IF(J44="DORTEMAG",PR!$O42,IF(J44="DGF",PR!$P42,IF(J44="DYNAMIC",PR!$Q42,IF(J44="EMZOR",PR!$R42,IF(J44="EUMATT",PR!$S42,IF(J44="FIDSON",PR!$T42,IF(J44="FCGLOBAL",PR!$U42,IF(J44="GENEITH",PR!$V42,IF(J44="GINOS",PR!$W42,IF(J44="GSK",PR!$X42,IF(J44="GLOBORG",PR!$Y42,IF(J44="GOODNEWS",PR!$Z42,IF(J44="GREENLIFE",PR!$AA42,IF(J44="HLINE",PR!$AB42,IF(J44="ROTECH",PR!$AC42,IF(J44="ISN",PR!$AD42,IF(J44="JAWA",PR!$AE42,IF(J44="LAYO",PR!$AF42,IF(J44="LEADWAY",PR!$AG42,IF(J44="LHV",PR!$AH42,IF(J44="MANOLA",PR!$AI42,IF(J44="MARCSON",PR!$AJ42,IF(J44="M&amp;B",PR!$AK42,IF(J44="MTRUST",PR!$AL42,IF(J44="MWORLD",PR!$AM42,IF(J44="MEGA",PR!$AN42,IF(J44="MICRONOVA",PR!$AO42,IF(J44="MFLASH",PR!$AP42,IF(J44="MORISON",PR!$AQ42,IF(J44="NEMEL",PR!$AR42,IF(J44="NHP",PR!$AS42,IF(J44="NHC",PR!$AT42,IF(J44="OLEAF",PR!$AU42,IF(J44="OCULUS",PR!$AV42,IF(J44="PACIFIC",PR!$AW42,IF(J44="PHAMATEX",PR!$AX42,IF(J44="PETHICS",PR!$AY42,IF(J44="PHILIPS",PR!$AZ42,IF(J44="RANBAXY",PR!$BA42,IF(J44="REALS",PR!$BB42,IF(J44="ROYAL",PR!$BC42,IF(J44="SAM",PR!$BD42,IF(J44="SEAGREEN",PR!$BE42,IF(J44="SKG",PR!$BF42,IF(J44="TAH",PR!$BG42,IF(J44="TAYLEK",PR!$BH42,IF(J44="TEMITA",PR!$BI42,IF(J44="THL",PR!$BJ42,IF(J44="UBASTIC",PR!$BK42,IF(J44="UNION",PR!$BL42,IF(J44="UNIQUE",PR!$BM42,IF(J44="VIXA",PR!$BN42,IF(J44="WWCV",PR!$BO42,IF(J44="ZOLON",PR!$BP42,"-"))))))))))))))))))))))))))))))))))))))))))))))))))))))))))))))))</f>
        <v>2800</v>
      </c>
      <c r="J44" s="102" t="str">
        <f>EV!N47</f>
        <v>COSMADE</v>
      </c>
      <c r="K44" s="433" t="s">
        <v>819</v>
      </c>
      <c r="L44" s="183">
        <f>IF(K44&gt;0,IF(K44="ALPHA",PR!$E42,IF(K44="ASSENE",PR!$F42,IF(K44="BIOFEM",PR!$G42,IF(K44="BIOMED",PR!$H42,IF(K44="CHI",PR!$I42,IF(K44="CLARION",PR!$J42,IF(K44="CODIX",PR!$K42,IF(K44="COSMADE",PR!$L42,IF(K44="SANCON",PR!$M42,IF(K44="DEVON",PR!$N42,IF(K44="DORTEMAG",PR!$O42,IF(K44="DGF",PR!$P42,IF(K44="DYNAMIC",PR!$Q42,IF(K44="EMZOR",PR!$R42,IF(K44="EUMATT",PR!$S42,IF(K44="FIDSON",PR!$T42,IF(K44="FCGLOBAL",PR!$U42,IF(K44="GENEITH",PR!$V42,IF(K44="GINOS",PR!$W42,IF(K44="GSK",PR!$X42,IF(K44="GLOBORG",PR!$Y42,IF(K44="GOODNEWS",PR!$Z42,IF(K44="GREENLIFE",PR!$AA42,IF(K44="HLINE",PR!$AB42,IF(K44="ROTECH",PR!$AC42,IF(K44="ISN",PR!$AD42,IF(K44="JAWA",PR!$AE42,IF(K44="LAYO",PR!$AF42,IF(K44="LEADWAY",PR!$AG42,IF(K44="LHV",PR!$AH42,IF(K44="MANOLA",PR!$AI42,IF(K44="MARCSON",PR!$AJ42,IF(K44="M&amp;B",PR!$AK42,IF(K44="MTRUST",PR!$AL42,IF(K44="MWORLD",PR!$AM42,IF(K44="MEGA",PR!$AN42,IF(K44="MICRONOVA",PR!$AO42,IF(K44="MFLASH",PR!$AP42,IF(K44="MORISON",PR!$AQ42,IF(K44="NEMEL",PR!$AR42,IF(K44="NHP",PR!$AS42,IF(K44="NHC",PR!$AT42,IF(K44="OLEAF",PR!$AU42,IF(K44="OCULUS",PR!$AV42,IF(K44="PACIFIC",PR!$AW42,IF(K44="PHAMATEX",PR!$AX42,IF(K44="PETHICS",PR!$AY42,IF(K44="PHILIPS",PR!$AZ42,IF(K44="RANBAXY",PR!$BA42,IF(K44="REALS",PR!$BB42,IF(K44="ROYAL",PR!$BC42,IF(K44="SAM",PR!$BD42,IF(K44="SEAGREEN",PR!$BE42,IF(K44="SKG",PR!$BF42,IF(K44="TAH",PR!$BG42,IF(K44="TAYLEK",PR!$BH42,IF(K44="TEMITA",PR!$BI42,IF(K44="THL",PR!$BJ42,IF(K44="UBASTIC",PR!$BK42,IF(K44="UNION",PR!$BL42,IF(K44="UNIQUE",PR!$BM42,IF(K44="VIXA",PR!$BN42,IF(K44="WWCV",PR!$BO42,IF(K44="ZOLON",PR!$BP42,"-")))))))))))))))))))))))))))))))))))))))))))))))))))))))))))))))))</f>
        <v>2450</v>
      </c>
    </row>
    <row r="45" spans="1:12" ht="18.75" x14ac:dyDescent="0.3">
      <c r="A45" s="430">
        <f>PR!A43</f>
        <v>30</v>
      </c>
      <c r="B45" s="15" t="str">
        <f>PR!B43</f>
        <v>HALF STRENGTH DARROWS SOLUTION</v>
      </c>
      <c r="C45" s="113">
        <f>PR!D43</f>
        <v>20</v>
      </c>
      <c r="D45" s="113">
        <f>PR!C43</f>
        <v>5</v>
      </c>
      <c r="E45" s="108">
        <f>IF(F45="ALPHA",PR!$E43,IF(F45="ASSENE",PR!$F43,IF(F45="BIOFEM",PR!$G43,IF(F45="BIOMED",PR!$H43,IF(F45="CHI",PR!$I43,IF(F45="CLARION",PR!$J43,IF(F45="CODIX",PR!$K43,IF(F45="COSMADE",PR!$L43,IF(F45="SANCON",PR!$M43,IF(F45="DEVON",PR!$N43,IF(F45="DORTEMAG",PR!$O43,IF(F45="DGF",PR!$P43,IF(F45="DYNAMIC",PR!$Q43,IF(F45="EMZOR",PR!$R43,IF(F45="EUMATT",PR!$S43,IF(F45="FIDSON",PR!$T43,IF(F45="FCGLOBAL",PR!$U43,IF(F45="GENEITH",PR!$V43,IF(F45="GINOS",PR!$W43,IF(F45="GSK",PR!$X43,IF(F45="GLOBORG",PR!$Y43,IF(F45="GOODNEWS",PR!$Z43,IF(F45="GREENLIFE",PR!$AA43,IF(F45="HLINE",PR!$AB43,IF(F45="ROTECH",PR!$AC43,IF(F45="ISN",PR!$AD43,IF(F45="JAWA",PR!$AE43,IF(F45="LAYO",PR!$AF43,IF(F45="LEADWAY",PR!$AG43,IF(F45="LHV",PR!$AH43,IF(F45="MANOLA",PR!$AI43,IF(F45="MARCSON",PR!$AJ43,IF(F45="M&amp;B",PR!$AK43,IF(F45="MTRUST",PR!$AL43,IF(F45="MWORLD",PR!$AM43,IF(F45="MEGA",PR!$AN43,IF(F45="MICRONOVA",PR!$AO43,IF(F45="MFLASH",PR!$AP43,IF(F45="MORISON",PR!$AQ43,IF(F45="NEMEL",PR!$AR43,IF(F45="NHP",PR!$AS43,IF(F45="NHC",PR!$AT43,IF(F45="OLEAF",PR!$AU43,IF(F45="OCULUS",PR!$AV43,IF(F45="PACIFIC",PR!$AW43,IF(F45="PHAMATEX",PR!$AX43,IF(F45="PETHICS",PR!$AY43,IF(F45="PHILIPS",PR!$AZ43,IF(F45="RANBAXY",PR!$BA43,IF(F45="REALS",PR!$BB43,IF(F45="ROYAL",PR!$BC43,IF(F45="SAM",PR!$BD43,IF(F45="SEAGREEN",PR!$BE43,IF(F45="SKG",PR!$BF43,IF(F45="TAH",PR!$BG43,IF(F45="TAYLEK",PR!$BH43,IF(F45="TEMITA",PR!$BI43,IF(F45="THL",PR!$BJ43,IF(F45="UBASTIC",PR!$BK43,IF(F45="UNION",PR!$BL43,IF(F45="UNIQUE",PR!$BM43,IF(F45="VIXA",PR!$BN43,IF(F45="WWCV",PR!$BO43,IF(F45="ZOLON",PR!$BP43,"-"))))))))))))))))))))))))))))))))))))))))))))))))))))))))))))))))</f>
        <v>2450</v>
      </c>
      <c r="F45" s="102" t="str">
        <f>EV!L48</f>
        <v>BIOMED</v>
      </c>
      <c r="G45" s="108">
        <f>IF(H45="ALPHA",PR!$E43,IF(H45="ASSENE",PR!$F43,IF(H45="BIOFEM",PR!$G43,IF(H45="BIOMED",PR!$H43,IF(H45="CHI",PR!$I43,IF(H45="CLARION",PR!$J43,IF(H45="CODIX",PR!$K43,IF(H45="COSMADE",PR!$L43,IF(H45="SANCON",PR!$M43,IF(H45="DEVON",PR!$N43,IF(H45="DORTEMAG",PR!$O43,IF(H45="DGF",PR!$P43,IF(H45="DYNAMIC",PR!$Q43,IF(H45="EMZOR",PR!$R43,IF(H45="EUMATT",PR!$S43,IF(H45="FIDSON",PR!$T43,IF(H45="FCGLOBAL",PR!$U43,IF(H45="GENEITH",PR!$V43,IF(H45="GINOS",PR!$W43,IF(H45="GSK",PR!$X43,IF(H45="GLOBORG",PR!$Y43,IF(H45="GOODNEWS",PR!$Z43,IF(H45="GREENLIFE",PR!$AA43,IF(H45="HLINE",PR!$AB43,IF(H45="ROTECH",PR!$AC43,IF(H45="ISN",PR!$AD43,IF(H45="JAWA",PR!$AE43,IF(H45="LAYO",PR!$AF43,IF(H45="LEADWAY",PR!$AG43,IF(H45="LHV",PR!$AH43,IF(H45="MANOLA",PR!$AI43,IF(H45="MARCSON",PR!$AJ43,IF(H45="M&amp;B",PR!$AK43,IF(H45="MTRUST",PR!$AL43,IF(H45="MWORLD",PR!$AM43,IF(H45="MEGA",PR!$AN43,IF(H45="MICRONOVA",PR!$AO43,IF(H45="MFLASH",PR!$AP43,IF(H45="MORISON",PR!$AQ43,IF(H45="NEMEL",PR!$AR43,IF(H45="NHP",PR!$AS43,IF(H45="NHC",PR!$AT43,IF(H45="OLEAF",PR!$AU43,IF(H45="OCULUS",PR!$AV43,IF(H45="PACIFIC",PR!$AW43,IF(H45="PHAMATEX",PR!$AX43,IF(H45="PETHICS",PR!$AY43,IF(H45="PHILIPS",PR!$AZ43,IF(H45="RANBAXY",PR!$BA43,IF(H45="REALS",PR!$BB43,IF(H45="ROYAL",PR!$BC43,IF(H45="SAM",PR!$BD43,IF(H45="SEAGREEN",PR!$BE43,IF(H45="SKG",PR!$BF43,IF(H45="TAH",PR!$BG43,IF(H45="TAYLEK",PR!$BH43,IF(H45="TEMITA",PR!$BI43,IF(H45="THL",PR!$BJ43,IF(H45="UBASTIC",PR!$BK43,IF(H45="UNION",PR!$BL43,IF(H45="UNIQUE",PR!$BM43,IF(H45="VIXA",PR!$BN43,IF(H45="WWCV",PR!$BO43,IF(H45="ZOLON",PR!$BP43,"-"))))))))))))))))))))))))))))))))))))))))))))))))))))))))))))))))</f>
        <v>2520</v>
      </c>
      <c r="H45" s="102" t="str">
        <f>EV!M48</f>
        <v>UNIQUE</v>
      </c>
      <c r="I45" s="108">
        <f>IF(J45="ALPHA",PR!$E43,IF(J45="ASSENE",PR!$F43,IF(J45="BIOFEM",PR!$G43,IF(J45="BIOMED",PR!$H43,IF(J45="CHI",PR!$I43,IF(J45="CLARION",PR!$J43,IF(J45="CODIX",PR!$K43,IF(J45="COSMADE",PR!$L43,IF(J45="SANCON",PR!$M43,IF(J45="DEVON",PR!$N43,IF(J45="DORTEMAG",PR!$O43,IF(J45="DGF",PR!$P43,IF(J45="DYNAMIC",PR!$Q43,IF(J45="EMZOR",PR!$R43,IF(J45="EUMATT",PR!$S43,IF(J45="FIDSON",PR!$T43,IF(J45="FCGLOBAL",PR!$U43,IF(J45="GENEITH",PR!$V43,IF(J45="GINOS",PR!$W43,IF(J45="GSK",PR!$X43,IF(J45="GLOBORG",PR!$Y43,IF(J45="GOODNEWS",PR!$Z43,IF(J45="GREENLIFE",PR!$AA43,IF(J45="HLINE",PR!$AB43,IF(J45="ROTECH",PR!$AC43,IF(J45="ISN",PR!$AD43,IF(J45="JAWA",PR!$AE43,IF(J45="LAYO",PR!$AF43,IF(J45="LEADWAY",PR!$AG43,IF(J45="LHV",PR!$AH43,IF(J45="MANOLA",PR!$AI43,IF(J45="MARCSON",PR!$AJ43,IF(J45="M&amp;B",PR!$AK43,IF(J45="MTRUST",PR!$AL43,IF(J45="MWORLD",PR!$AM43,IF(J45="MEGA",PR!$AN43,IF(J45="MICRONOVA",PR!$AO43,IF(J45="MFLASH",PR!$AP43,IF(J45="MORISON",PR!$AQ43,IF(J45="NEMEL",PR!$AR43,IF(J45="NHP",PR!$AS43,IF(J45="NHC",PR!$AT43,IF(J45="OLEAF",PR!$AU43,IF(J45="OCULUS",PR!$AV43,IF(J45="PACIFIC",PR!$AW43,IF(J45="PHAMATEX",PR!$AX43,IF(J45="PETHICS",PR!$AY43,IF(J45="PHILIPS",PR!$AZ43,IF(J45="RANBAXY",PR!$BA43,IF(J45="REALS",PR!$BB43,IF(J45="ROYAL",PR!$BC43,IF(J45="SAM",PR!$BD43,IF(J45="SEAGREEN",PR!$BE43,IF(J45="SKG",PR!$BF43,IF(J45="TAH",PR!$BG43,IF(J45="TAYLEK",PR!$BH43,IF(J45="TEMITA",PR!$BI43,IF(J45="THL",PR!$BJ43,IF(J45="UBASTIC",PR!$BK43,IF(J45="UNION",PR!$BL43,IF(J45="UNIQUE",PR!$BM43,IF(J45="VIXA",PR!$BN43,IF(J45="WWCV",PR!$BO43,IF(J45="ZOLON",PR!$BP43,"-"))))))))))))))))))))))))))))))))))))))))))))))))))))))))))))))))</f>
        <v>2800</v>
      </c>
      <c r="J45" s="102" t="str">
        <f>EV!N48</f>
        <v>COSMADE</v>
      </c>
      <c r="K45" s="433" t="s">
        <v>819</v>
      </c>
      <c r="L45" s="183">
        <f>IF(K45&gt;0,IF(K45="ALPHA",PR!$E43,IF(K45="ASSENE",PR!$F43,IF(K45="BIOFEM",PR!$G43,IF(K45="BIOMED",PR!$H43,IF(K45="CHI",PR!$I43,IF(K45="CLARION",PR!$J43,IF(K45="CODIX",PR!$K43,IF(K45="COSMADE",PR!$L43,IF(K45="SANCON",PR!$M43,IF(K45="DEVON",PR!$N43,IF(K45="DORTEMAG",PR!$O43,IF(K45="DGF",PR!$P43,IF(K45="DYNAMIC",PR!$Q43,IF(K45="EMZOR",PR!$R43,IF(K45="EUMATT",PR!$S43,IF(K45="FIDSON",PR!$T43,IF(K45="FCGLOBAL",PR!$U43,IF(K45="GENEITH",PR!$V43,IF(K45="GINOS",PR!$W43,IF(K45="GSK",PR!$X43,IF(K45="GLOBORG",PR!$Y43,IF(K45="GOODNEWS",PR!$Z43,IF(K45="GREENLIFE",PR!$AA43,IF(K45="HLINE",PR!$AB43,IF(K45="ROTECH",PR!$AC43,IF(K45="ISN",PR!$AD43,IF(K45="JAWA",PR!$AE43,IF(K45="LAYO",PR!$AF43,IF(K45="LEADWAY",PR!$AG43,IF(K45="LHV",PR!$AH43,IF(K45="MANOLA",PR!$AI43,IF(K45="MARCSON",PR!$AJ43,IF(K45="M&amp;B",PR!$AK43,IF(K45="MTRUST",PR!$AL43,IF(K45="MWORLD",PR!$AM43,IF(K45="MEGA",PR!$AN43,IF(K45="MICRONOVA",PR!$AO43,IF(K45="MFLASH",PR!$AP43,IF(K45="MORISON",PR!$AQ43,IF(K45="NEMEL",PR!$AR43,IF(K45="NHP",PR!$AS43,IF(K45="NHC",PR!$AT43,IF(K45="OLEAF",PR!$AU43,IF(K45="OCULUS",PR!$AV43,IF(K45="PACIFIC",PR!$AW43,IF(K45="PHAMATEX",PR!$AX43,IF(K45="PETHICS",PR!$AY43,IF(K45="PHILIPS",PR!$AZ43,IF(K45="RANBAXY",PR!$BA43,IF(K45="REALS",PR!$BB43,IF(K45="ROYAL",PR!$BC43,IF(K45="SAM",PR!$BD43,IF(K45="SEAGREEN",PR!$BE43,IF(K45="SKG",PR!$BF43,IF(K45="TAH",PR!$BG43,IF(K45="TAYLEK",PR!$BH43,IF(K45="TEMITA",PR!$BI43,IF(K45="THL",PR!$BJ43,IF(K45="UBASTIC",PR!$BK43,IF(K45="UNION",PR!$BL43,IF(K45="UNIQUE",PR!$BM43,IF(K45="VIXA",PR!$BN43,IF(K45="WWCV",PR!$BO43,IF(K45="ZOLON",PR!$BP43,"-")))))))))))))))))))))))))))))))))))))))))))))))))))))))))))))))))</f>
        <v>2450</v>
      </c>
    </row>
    <row r="46" spans="1:12" ht="18.75" x14ac:dyDescent="0.3">
      <c r="A46" s="430">
        <f>PR!A44</f>
        <v>31</v>
      </c>
      <c r="B46" s="15" t="str">
        <f>PR!B44</f>
        <v>HARTMANNS (RINGERS LACTATE SOLUTION)</v>
      </c>
      <c r="C46" s="113">
        <f>PR!D44</f>
        <v>20</v>
      </c>
      <c r="D46" s="113">
        <f>PR!C44</f>
        <v>500</v>
      </c>
      <c r="E46" s="108">
        <f>IF(F46="ALPHA",PR!$E44,IF(F46="ASSENE",PR!$F44,IF(F46="BIOFEM",PR!$G44,IF(F46="BIOMED",PR!$H44,IF(F46="CHI",PR!$I44,IF(F46="CLARION",PR!$J44,IF(F46="CODIX",PR!$K44,IF(F46="COSMADE",PR!$L44,IF(F46="SANCON",PR!$M44,IF(F46="DEVON",PR!$N44,IF(F46="DORTEMAG",PR!$O44,IF(F46="DGF",PR!$P44,IF(F46="DYNAMIC",PR!$Q44,IF(F46="EMZOR",PR!$R44,IF(F46="EUMATT",PR!$S44,IF(F46="FIDSON",PR!$T44,IF(F46="FCGLOBAL",PR!$U44,IF(F46="GENEITH",PR!$V44,IF(F46="GINOS",PR!$W44,IF(F46="GSK",PR!$X44,IF(F46="GLOBORG",PR!$Y44,IF(F46="GOODNEWS",PR!$Z44,IF(F46="GREENLIFE",PR!$AA44,IF(F46="HLINE",PR!$AB44,IF(F46="ROTECH",PR!$AC44,IF(F46="ISN",PR!$AD44,IF(F46="JAWA",PR!$AE44,IF(F46="LAYO",PR!$AF44,IF(F46="LEADWAY",PR!$AG44,IF(F46="LHV",PR!$AH44,IF(F46="MANOLA",PR!$AI44,IF(F46="MARCSON",PR!$AJ44,IF(F46="M&amp;B",PR!$AK44,IF(F46="MTRUST",PR!$AL44,IF(F46="MWORLD",PR!$AM44,IF(F46="MEGA",PR!$AN44,IF(F46="MICRONOVA",PR!$AO44,IF(F46="MFLASH",PR!$AP44,IF(F46="MORISON",PR!$AQ44,IF(F46="NEMEL",PR!$AR44,IF(F46="NHP",PR!$AS44,IF(F46="NHC",PR!$AT44,IF(F46="OLEAF",PR!$AU44,IF(F46="OCULUS",PR!$AV44,IF(F46="PACIFIC",PR!$AW44,IF(F46="PHAMATEX",PR!$AX44,IF(F46="PETHICS",PR!$AY44,IF(F46="PHILIPS",PR!$AZ44,IF(F46="RANBAXY",PR!$BA44,IF(F46="REALS",PR!$BB44,IF(F46="ROYAL",PR!$BC44,IF(F46="SAM",PR!$BD44,IF(F46="SEAGREEN",PR!$BE44,IF(F46="SKG",PR!$BF44,IF(F46="TAH",PR!$BG44,IF(F46="TAYLEK",PR!$BH44,IF(F46="TEMITA",PR!$BI44,IF(F46="THL",PR!$BJ44,IF(F46="UBASTIC",PR!$BK44,IF(F46="UNION",PR!$BL44,IF(F46="UNIQUE",PR!$BM44,IF(F46="VIXA",PR!$BN44,IF(F46="WWCV",PR!$BO44,IF(F46="ZOLON",PR!$BP44,"-"))))))))))))))))))))))))))))))))))))))))))))))))))))))))))))))))</f>
        <v>2450</v>
      </c>
      <c r="F46" s="102" t="str">
        <f>EV!L49</f>
        <v>BIOMED</v>
      </c>
      <c r="G46" s="108">
        <f>IF(H46="ALPHA",PR!$E44,IF(H46="ASSENE",PR!$F44,IF(H46="BIOFEM",PR!$G44,IF(H46="BIOMED",PR!$H44,IF(H46="CHI",PR!$I44,IF(H46="CLARION",PR!$J44,IF(H46="CODIX",PR!$K44,IF(H46="COSMADE",PR!$L44,IF(H46="SANCON",PR!$M44,IF(H46="DEVON",PR!$N44,IF(H46="DORTEMAG",PR!$O44,IF(H46="DGF",PR!$P44,IF(H46="DYNAMIC",PR!$Q44,IF(H46="EMZOR",PR!$R44,IF(H46="EUMATT",PR!$S44,IF(H46="FIDSON",PR!$T44,IF(H46="FCGLOBAL",PR!$U44,IF(H46="GENEITH",PR!$V44,IF(H46="GINOS",PR!$W44,IF(H46="GSK",PR!$X44,IF(H46="GLOBORG",PR!$Y44,IF(H46="GOODNEWS",PR!$Z44,IF(H46="GREENLIFE",PR!$AA44,IF(H46="HLINE",PR!$AB44,IF(H46="ROTECH",PR!$AC44,IF(H46="ISN",PR!$AD44,IF(H46="JAWA",PR!$AE44,IF(H46="LAYO",PR!$AF44,IF(H46="LEADWAY",PR!$AG44,IF(H46="LHV",PR!$AH44,IF(H46="MANOLA",PR!$AI44,IF(H46="MARCSON",PR!$AJ44,IF(H46="M&amp;B",PR!$AK44,IF(H46="MTRUST",PR!$AL44,IF(H46="MWORLD",PR!$AM44,IF(H46="MEGA",PR!$AN44,IF(H46="MICRONOVA",PR!$AO44,IF(H46="MFLASH",PR!$AP44,IF(H46="MORISON",PR!$AQ44,IF(H46="NEMEL",PR!$AR44,IF(H46="NHP",PR!$AS44,IF(H46="NHC",PR!$AT44,IF(H46="OLEAF",PR!$AU44,IF(H46="OCULUS",PR!$AV44,IF(H46="PACIFIC",PR!$AW44,IF(H46="PHAMATEX",PR!$AX44,IF(H46="PETHICS",PR!$AY44,IF(H46="PHILIPS",PR!$AZ44,IF(H46="RANBAXY",PR!$BA44,IF(H46="REALS",PR!$BB44,IF(H46="ROYAL",PR!$BC44,IF(H46="SAM",PR!$BD44,IF(H46="SEAGREEN",PR!$BE44,IF(H46="SKG",PR!$BF44,IF(H46="TAH",PR!$BG44,IF(H46="TAYLEK",PR!$BH44,IF(H46="TEMITA",PR!$BI44,IF(H46="THL",PR!$BJ44,IF(H46="UBASTIC",PR!$BK44,IF(H46="UNION",PR!$BL44,IF(H46="UNIQUE",PR!$BM44,IF(H46="VIXA",PR!$BN44,IF(H46="WWCV",PR!$BO44,IF(H46="ZOLON",PR!$BP44,"-"))))))))))))))))))))))))))))))))))))))))))))))))))))))))))))))))</f>
        <v>2520</v>
      </c>
      <c r="H46" s="102" t="str">
        <f>EV!M49</f>
        <v>UNIQUE</v>
      </c>
      <c r="I46" s="108">
        <f>IF(J46="ALPHA",PR!$E44,IF(J46="ASSENE",PR!$F44,IF(J46="BIOFEM",PR!$G44,IF(J46="BIOMED",PR!$H44,IF(J46="CHI",PR!$I44,IF(J46="CLARION",PR!$J44,IF(J46="CODIX",PR!$K44,IF(J46="COSMADE",PR!$L44,IF(J46="SANCON",PR!$M44,IF(J46="DEVON",PR!$N44,IF(J46="DORTEMAG",PR!$O44,IF(J46="DGF",PR!$P44,IF(J46="DYNAMIC",PR!$Q44,IF(J46="EMZOR",PR!$R44,IF(J46="EUMATT",PR!$S44,IF(J46="FIDSON",PR!$T44,IF(J46="FCGLOBAL",PR!$U44,IF(J46="GENEITH",PR!$V44,IF(J46="GINOS",PR!$W44,IF(J46="GSK",PR!$X44,IF(J46="GLOBORG",PR!$Y44,IF(J46="GOODNEWS",PR!$Z44,IF(J46="GREENLIFE",PR!$AA44,IF(J46="HLINE",PR!$AB44,IF(J46="ROTECH",PR!$AC44,IF(J46="ISN",PR!$AD44,IF(J46="JAWA",PR!$AE44,IF(J46="LAYO",PR!$AF44,IF(J46="LEADWAY",PR!$AG44,IF(J46="LHV",PR!$AH44,IF(J46="MANOLA",PR!$AI44,IF(J46="MARCSON",PR!$AJ44,IF(J46="M&amp;B",PR!$AK44,IF(J46="MTRUST",PR!$AL44,IF(J46="MWORLD",PR!$AM44,IF(J46="MEGA",PR!$AN44,IF(J46="MICRONOVA",PR!$AO44,IF(J46="MFLASH",PR!$AP44,IF(J46="MORISON",PR!$AQ44,IF(J46="NEMEL",PR!$AR44,IF(J46="NHP",PR!$AS44,IF(J46="NHC",PR!$AT44,IF(J46="OLEAF",PR!$AU44,IF(J46="OCULUS",PR!$AV44,IF(J46="PACIFIC",PR!$AW44,IF(J46="PHAMATEX",PR!$AX44,IF(J46="PETHICS",PR!$AY44,IF(J46="PHILIPS",PR!$AZ44,IF(J46="RANBAXY",PR!$BA44,IF(J46="REALS",PR!$BB44,IF(J46="ROYAL",PR!$BC44,IF(J46="SAM",PR!$BD44,IF(J46="SEAGREEN",PR!$BE44,IF(J46="SKG",PR!$BF44,IF(J46="TAH",PR!$BG44,IF(J46="TAYLEK",PR!$BH44,IF(J46="TEMITA",PR!$BI44,IF(J46="THL",PR!$BJ44,IF(J46="UBASTIC",PR!$BK44,IF(J46="UNION",PR!$BL44,IF(J46="UNIQUE",PR!$BM44,IF(J46="VIXA",PR!$BN44,IF(J46="WWCV",PR!$BO44,IF(J46="ZOLON",PR!$BP44,"-"))))))))))))))))))))))))))))))))))))))))))))))))))))))))))))))))</f>
        <v>2800</v>
      </c>
      <c r="J46" s="102" t="str">
        <f>EV!N49</f>
        <v>COSMADE</v>
      </c>
      <c r="K46" s="433" t="s">
        <v>2086</v>
      </c>
      <c r="L46" s="183" t="str">
        <f>IF(K46&gt;0,IF(K46="ALPHA",PR!$E44,IF(K46="ASSENE",PR!$F44,IF(K46="BIOFEM",PR!$G44,IF(K46="BIOMED",PR!$H44,IF(K46="CHI",PR!$I44,IF(K46="CLARION",PR!$J44,IF(K46="CODIX",PR!$K44,IF(K46="COSMADE",PR!$L44,IF(K46="SANCON",PR!$M44,IF(K46="DEVON",PR!$N44,IF(K46="DORTEMAG",PR!$O44,IF(K46="DGF",PR!$P44,IF(K46="DYNAMIC",PR!$Q44,IF(K46="EMZOR",PR!$R44,IF(K46="EUMATT",PR!$S44,IF(K46="FIDSON",PR!$T44,IF(K46="FCGLOBAL",PR!$U44,IF(K46="GENEITH",PR!$V44,IF(K46="GINOS",PR!$W44,IF(K46="GSK",PR!$X44,IF(K46="GLOBORG",PR!$Y44,IF(K46="GOODNEWS",PR!$Z44,IF(K46="GREENLIFE",PR!$AA44,IF(K46="HLINE",PR!$AB44,IF(K46="ROTECH",PR!$AC44,IF(K46="ISN",PR!$AD44,IF(K46="JAWA",PR!$AE44,IF(K46="LAYO",PR!$AF44,IF(K46="LEADWAY",PR!$AG44,IF(K46="LHV",PR!$AH44,IF(K46="MANOLA",PR!$AI44,IF(K46="MARCSON",PR!$AJ44,IF(K46="M&amp;B",PR!$AK44,IF(K46="MTRUST",PR!$AL44,IF(K46="MWORLD",PR!$AM44,IF(K46="MEGA",PR!$AN44,IF(K46="MICRONOVA",PR!$AO44,IF(K46="MFLASH",PR!$AP44,IF(K46="MORISON",PR!$AQ44,IF(K46="NEMEL",PR!$AR44,IF(K46="NHP",PR!$AS44,IF(K46="NHC",PR!$AT44,IF(K46="OLEAF",PR!$AU44,IF(K46="OCULUS",PR!$AV44,IF(K46="PACIFIC",PR!$AW44,IF(K46="PHAMATEX",PR!$AX44,IF(K46="PETHICS",PR!$AY44,IF(K46="PHILIPS",PR!$AZ44,IF(K46="RANBAXY",PR!$BA44,IF(K46="REALS",PR!$BB44,IF(K46="ROYAL",PR!$BC44,IF(K46="SAM",PR!$BD44,IF(K46="SEAGREEN",PR!$BE44,IF(K46="SKG",PR!$BF44,IF(K46="TAH",PR!$BG44,IF(K46="TAYLEK",PR!$BH44,IF(K46="TEMITA",PR!$BI44,IF(K46="THL",PR!$BJ44,IF(K46="UBASTIC",PR!$BK44,IF(K46="UNION",PR!$BL44,IF(K46="UNIQUE",PR!$BM44,IF(K46="VIXA",PR!$BN44,IF(K46="WWCV",PR!$BO44,IF(K46="ZOLON",PR!$BP44,"-")))))))))))))))))))))))))))))))))))))))))))))))))))))))))))))))))</f>
        <v>-</v>
      </c>
    </row>
    <row r="47" spans="1:12" ht="18.75" x14ac:dyDescent="0.3">
      <c r="A47" s="430">
        <f>PR!A45</f>
        <v>32</v>
      </c>
      <c r="B47" s="15" t="str">
        <f>PR!B45</f>
        <v>ISOPLASMA INFUSION (SUCCINYLATED GELATIN)</v>
      </c>
      <c r="C47" s="113">
        <f>PR!D45</f>
        <v>20</v>
      </c>
      <c r="D47" s="113">
        <f>PR!C45</f>
        <v>6</v>
      </c>
      <c r="E47" s="108">
        <f>IF(F47="ALPHA",PR!$E45,IF(F47="ASSENE",PR!$F45,IF(F47="BIOFEM",PR!$G45,IF(F47="BIOMED",PR!$H45,IF(F47="CHI",PR!$I45,IF(F47="CLARION",PR!$J45,IF(F47="CODIX",PR!$K45,IF(F47="COSMADE",PR!$L45,IF(F47="SANCON",PR!$M45,IF(F47="DEVON",PR!$N45,IF(F47="DORTEMAG",PR!$O45,IF(F47="DGF",PR!$P45,IF(F47="DYNAMIC",PR!$Q45,IF(F47="EMZOR",PR!$R45,IF(F47="EUMATT",PR!$S45,IF(F47="FIDSON",PR!$T45,IF(F47="FCGLOBAL",PR!$U45,IF(F47="GENEITH",PR!$V45,IF(F47="GINOS",PR!$W45,IF(F47="GSK",PR!$X45,IF(F47="GLOBORG",PR!$Y45,IF(F47="GOODNEWS",PR!$Z45,IF(F47="GREENLIFE",PR!$AA45,IF(F47="HLINE",PR!$AB45,IF(F47="ROTECH",PR!$AC45,IF(F47="ISN",PR!$AD45,IF(F47="JAWA",PR!$AE45,IF(F47="LAYO",PR!$AF45,IF(F47="LEADWAY",PR!$AG45,IF(F47="LHV",PR!$AH45,IF(F47="MANOLA",PR!$AI45,IF(F47="MARCSON",PR!$AJ45,IF(F47="M&amp;B",PR!$AK45,IF(F47="MTRUST",PR!$AL45,IF(F47="MWORLD",PR!$AM45,IF(F47="MEGA",PR!$AN45,IF(F47="MICRONOVA",PR!$AO45,IF(F47="MFLASH",PR!$AP45,IF(F47="MORISON",PR!$AQ45,IF(F47="NEMEL",PR!$AR45,IF(F47="NHP",PR!$AS45,IF(F47="NHC",PR!$AT45,IF(F47="OLEAF",PR!$AU45,IF(F47="OCULUS",PR!$AV45,IF(F47="PACIFIC",PR!$AW45,IF(F47="PHAMATEX",PR!$AX45,IF(F47="PETHICS",PR!$AY45,IF(F47="PHILIPS",PR!$AZ45,IF(F47="RANBAXY",PR!$BA45,IF(F47="REALS",PR!$BB45,IF(F47="ROYAL",PR!$BC45,IF(F47="SAM",PR!$BD45,IF(F47="SEAGREEN",PR!$BE45,IF(F47="SKG",PR!$BF45,IF(F47="TAH",PR!$BG45,IF(F47="TAYLEK",PR!$BH45,IF(F47="TEMITA",PR!$BI45,IF(F47="THL",PR!$BJ45,IF(F47="UBASTIC",PR!$BK45,IF(F47="UNION",PR!$BL45,IF(F47="UNIQUE",PR!$BM45,IF(F47="VIXA",PR!$BN45,IF(F47="WWCV",PR!$BO45,IF(F47="ZOLON",PR!$BP45,"-"))))))))))))))))))))))))))))))))))))))))))))))))))))))))))))))))</f>
        <v>2350</v>
      </c>
      <c r="F47" s="102" t="str">
        <f>EV!L50</f>
        <v>JAWA</v>
      </c>
      <c r="G47" s="108">
        <f>IF(H47="ALPHA",PR!$E45,IF(H47="ASSENE",PR!$F45,IF(H47="BIOFEM",PR!$G45,IF(H47="BIOMED",PR!$H45,IF(H47="CHI",PR!$I45,IF(H47="CLARION",PR!$J45,IF(H47="CODIX",PR!$K45,IF(H47="COSMADE",PR!$L45,IF(H47="SANCON",PR!$M45,IF(H47="DEVON",PR!$N45,IF(H47="DORTEMAG",PR!$O45,IF(H47="DGF",PR!$P45,IF(H47="DYNAMIC",PR!$Q45,IF(H47="EMZOR",PR!$R45,IF(H47="EUMATT",PR!$S45,IF(H47="FIDSON",PR!$T45,IF(H47="FCGLOBAL",PR!$U45,IF(H47="GENEITH",PR!$V45,IF(H47="GINOS",PR!$W45,IF(H47="GSK",PR!$X45,IF(H47="GLOBORG",PR!$Y45,IF(H47="GOODNEWS",PR!$Z45,IF(H47="GREENLIFE",PR!$AA45,IF(H47="HLINE",PR!$AB45,IF(H47="ROTECH",PR!$AC45,IF(H47="ISN",PR!$AD45,IF(H47="JAWA",PR!$AE45,IF(H47="LAYO",PR!$AF45,IF(H47="LEADWAY",PR!$AG45,IF(H47="LHV",PR!$AH45,IF(H47="MANOLA",PR!$AI45,IF(H47="MARCSON",PR!$AJ45,IF(H47="M&amp;B",PR!$AK45,IF(H47="MTRUST",PR!$AL45,IF(H47="MWORLD",PR!$AM45,IF(H47="MEGA",PR!$AN45,IF(H47="MICRONOVA",PR!$AO45,IF(H47="MFLASH",PR!$AP45,IF(H47="MORISON",PR!$AQ45,IF(H47="NEMEL",PR!$AR45,IF(H47="NHP",PR!$AS45,IF(H47="NHC",PR!$AT45,IF(H47="OLEAF",PR!$AU45,IF(H47="OCULUS",PR!$AV45,IF(H47="PACIFIC",PR!$AW45,IF(H47="PHAMATEX",PR!$AX45,IF(H47="PETHICS",PR!$AY45,IF(H47="PHILIPS",PR!$AZ45,IF(H47="RANBAXY",PR!$BA45,IF(H47="REALS",PR!$BB45,IF(H47="ROYAL",PR!$BC45,IF(H47="SAM",PR!$BD45,IF(H47="SEAGREEN",PR!$BE45,IF(H47="SKG",PR!$BF45,IF(H47="TAH",PR!$BG45,IF(H47="TAYLEK",PR!$BH45,IF(H47="TEMITA",PR!$BI45,IF(H47="THL",PR!$BJ45,IF(H47="UBASTIC",PR!$BK45,IF(H47="UNION",PR!$BL45,IF(H47="UNIQUE",PR!$BM45,IF(H47="VIXA",PR!$BN45,IF(H47="WWCV",PR!$BO45,IF(H47="ZOLON",PR!$BP45,"-"))))))))))))))))))))))))))))))))))))))))))))))))))))))))))))))))</f>
        <v>9500</v>
      </c>
      <c r="H47" s="102" t="str">
        <f>EV!M50</f>
        <v>BIOMED</v>
      </c>
      <c r="I47" s="108" t="str">
        <f>IF(J47="ALPHA",PR!$E45,IF(J47="ASSENE",PR!$F45,IF(J47="BIOFEM",PR!$G45,IF(J47="BIOMED",PR!$H45,IF(J47="CHI",PR!$I45,IF(J47="CLARION",PR!$J45,IF(J47="CODIX",PR!$K45,IF(J47="COSMADE",PR!$L45,IF(J47="SANCON",PR!$M45,IF(J47="DEVON",PR!$N45,IF(J47="DORTEMAG",PR!$O45,IF(J47="DGF",PR!$P45,IF(J47="DYNAMIC",PR!$Q45,IF(J47="EMZOR",PR!$R45,IF(J47="EUMATT",PR!$S45,IF(J47="FIDSON",PR!$T45,IF(J47="FCGLOBAL",PR!$U45,IF(J47="GENEITH",PR!$V45,IF(J47="GINOS",PR!$W45,IF(J47="GSK",PR!$X45,IF(J47="GLOBORG",PR!$Y45,IF(J47="GOODNEWS",PR!$Z45,IF(J47="GREENLIFE",PR!$AA45,IF(J47="HLINE",PR!$AB45,IF(J47="ROTECH",PR!$AC45,IF(J47="ISN",PR!$AD45,IF(J47="JAWA",PR!$AE45,IF(J47="LAYO",PR!$AF45,IF(J47="LEADWAY",PR!$AG45,IF(J47="LHV",PR!$AH45,IF(J47="MANOLA",PR!$AI45,IF(J47="MARCSON",PR!$AJ45,IF(J47="M&amp;B",PR!$AK45,IF(J47="MTRUST",PR!$AL45,IF(J47="MWORLD",PR!$AM45,IF(J47="MEGA",PR!$AN45,IF(J47="MICRONOVA",PR!$AO45,IF(J47="MFLASH",PR!$AP45,IF(J47="MORISON",PR!$AQ45,IF(J47="NEMEL",PR!$AR45,IF(J47="NHP",PR!$AS45,IF(J47="NHC",PR!$AT45,IF(J47="OLEAF",PR!$AU45,IF(J47="OCULUS",PR!$AV45,IF(J47="PACIFIC",PR!$AW45,IF(J47="PHAMATEX",PR!$AX45,IF(J47="PETHICS",PR!$AY45,IF(J47="PHILIPS",PR!$AZ45,IF(J47="RANBAXY",PR!$BA45,IF(J47="REALS",PR!$BB45,IF(J47="ROYAL",PR!$BC45,IF(J47="SAM",PR!$BD45,IF(J47="SEAGREEN",PR!$BE45,IF(J47="SKG",PR!$BF45,IF(J47="TAH",PR!$BG45,IF(J47="TAYLEK",PR!$BH45,IF(J47="TEMITA",PR!$BI45,IF(J47="THL",PR!$BJ45,IF(J47="UBASTIC",PR!$BK45,IF(J47="UNION",PR!$BL45,IF(J47="UNIQUE",PR!$BM45,IF(J47="VIXA",PR!$BN45,IF(J47="WWCV",PR!$BO45,IF(J47="ZOLON",PR!$BP45,"-"))))))))))))))))))))))))))))))))))))))))))))))))))))))))))))))))</f>
        <v>-</v>
      </c>
      <c r="J47" s="102">
        <f>EV!N50</f>
        <v>0</v>
      </c>
      <c r="K47" s="433" t="s">
        <v>819</v>
      </c>
      <c r="L47" s="183">
        <f>IF(K47&gt;0,IF(K47="ALPHA",PR!$E45,IF(K47="ASSENE",PR!$F45,IF(K47="BIOFEM",PR!$G45,IF(K47="BIOMED",PR!$H45,IF(K47="CHI",PR!$I45,IF(K47="CLARION",PR!$J45,IF(K47="CODIX",PR!$K45,IF(K47="COSMADE",PR!$L45,IF(K47="SANCON",PR!$M45,IF(K47="DEVON",PR!$N45,IF(K47="DORTEMAG",PR!$O45,IF(K47="DGF",PR!$P45,IF(K47="DYNAMIC",PR!$Q45,IF(K47="EMZOR",PR!$R45,IF(K47="EUMATT",PR!$S45,IF(K47="FIDSON",PR!$T45,IF(K47="FCGLOBAL",PR!$U45,IF(K47="GENEITH",PR!$V45,IF(K47="GINOS",PR!$W45,IF(K47="GSK",PR!$X45,IF(K47="GLOBORG",PR!$Y45,IF(K47="GOODNEWS",PR!$Z45,IF(K47="GREENLIFE",PR!$AA45,IF(K47="HLINE",PR!$AB45,IF(K47="ROTECH",PR!$AC45,IF(K47="ISN",PR!$AD45,IF(K47="JAWA",PR!$AE45,IF(K47="LAYO",PR!$AF45,IF(K47="LEADWAY",PR!$AG45,IF(K47="LHV",PR!$AH45,IF(K47="MANOLA",PR!$AI45,IF(K47="MARCSON",PR!$AJ45,IF(K47="M&amp;B",PR!$AK45,IF(K47="MTRUST",PR!$AL45,IF(K47="MWORLD",PR!$AM45,IF(K47="MEGA",PR!$AN45,IF(K47="MICRONOVA",PR!$AO45,IF(K47="MFLASH",PR!$AP45,IF(K47="MORISON",PR!$AQ45,IF(K47="NEMEL",PR!$AR45,IF(K47="NHP",PR!$AS45,IF(K47="NHC",PR!$AT45,IF(K47="OLEAF",PR!$AU45,IF(K47="OCULUS",PR!$AV45,IF(K47="PACIFIC",PR!$AW45,IF(K47="PHAMATEX",PR!$AX45,IF(K47="PETHICS",PR!$AY45,IF(K47="PHILIPS",PR!$AZ45,IF(K47="RANBAXY",PR!$BA45,IF(K47="REALS",PR!$BB45,IF(K47="ROYAL",PR!$BC45,IF(K47="SAM",PR!$BD45,IF(K47="SEAGREEN",PR!$BE45,IF(K47="SKG",PR!$BF45,IF(K47="TAH",PR!$BG45,IF(K47="TAYLEK",PR!$BH45,IF(K47="TEMITA",PR!$BI45,IF(K47="THL",PR!$BJ45,IF(K47="UBASTIC",PR!$BK45,IF(K47="UNION",PR!$BL45,IF(K47="UNIQUE",PR!$BM45,IF(K47="VIXA",PR!$BN45,IF(K47="WWCV",PR!$BO45,IF(K47="ZOLON",PR!$BP45,"-")))))))))))))))))))))))))))))))))))))))))))))))))))))))))))))))))</f>
        <v>9500</v>
      </c>
    </row>
    <row r="48" spans="1:12" ht="18.75" x14ac:dyDescent="0.3">
      <c r="A48" s="430">
        <f>PR!A46</f>
        <v>33</v>
      </c>
      <c r="B48" s="15" t="str">
        <f>PR!B46</f>
        <v>STERILE WATER FOR INJECTION</v>
      </c>
      <c r="C48" s="113">
        <f>PR!D46</f>
        <v>50</v>
      </c>
      <c r="D48" s="113">
        <f>PR!C46</f>
        <v>2000</v>
      </c>
      <c r="E48" s="108">
        <f>IF(F48="ALPHA",PR!$E46,IF(F48="ASSENE",PR!$F46,IF(F48="BIOFEM",PR!$G46,IF(F48="BIOMED",PR!$H46,IF(F48="CHI",PR!$I46,IF(F48="CLARION",PR!$J46,IF(F48="CODIX",PR!$K46,IF(F48="COSMADE",PR!$L46,IF(F48="SANCON",PR!$M46,IF(F48="DEVON",PR!$N46,IF(F48="DORTEMAG",PR!$O46,IF(F48="DGF",PR!$P46,IF(F48="DYNAMIC",PR!$Q46,IF(F48="EMZOR",PR!$R46,IF(F48="EUMATT",PR!$S46,IF(F48="FIDSON",PR!$T46,IF(F48="FCGLOBAL",PR!$U46,IF(F48="GENEITH",PR!$V46,IF(F48="GINOS",PR!$W46,IF(F48="GSK",PR!$X46,IF(F48="GLOBORG",PR!$Y46,IF(F48="GOODNEWS",PR!$Z46,IF(F48="GREENLIFE",PR!$AA46,IF(F48="HLINE",PR!$AB46,IF(F48="ROTECH",PR!$AC46,IF(F48="ISN",PR!$AD46,IF(F48="JAWA",PR!$AE46,IF(F48="LAYO",PR!$AF46,IF(F48="LEADWAY",PR!$AG46,IF(F48="LHV",PR!$AH46,IF(F48="MANOLA",PR!$AI46,IF(F48="MARCSON",PR!$AJ46,IF(F48="M&amp;B",PR!$AK46,IF(F48="MTRUST",PR!$AL46,IF(F48="MWORLD",PR!$AM46,IF(F48="MEGA",PR!$AN46,IF(F48="MICRONOVA",PR!$AO46,IF(F48="MFLASH",PR!$AP46,IF(F48="MORISON",PR!$AQ46,IF(F48="NEMEL",PR!$AR46,IF(F48="NHP",PR!$AS46,IF(F48="NHC",PR!$AT46,IF(F48="OLEAF",PR!$AU46,IF(F48="OCULUS",PR!$AV46,IF(F48="PACIFIC",PR!$AW46,IF(F48="PHAMATEX",PR!$AX46,IF(F48="PETHICS",PR!$AY46,IF(F48="PHILIPS",PR!$AZ46,IF(F48="RANBAXY",PR!$BA46,IF(F48="REALS",PR!$BB46,IF(F48="ROYAL",PR!$BC46,IF(F48="SAM",PR!$BD46,IF(F48="SEAGREEN",PR!$BE46,IF(F48="SKG",PR!$BF46,IF(F48="TAH",PR!$BG46,IF(F48="TAYLEK",PR!$BH46,IF(F48="TEMITA",PR!$BI46,IF(F48="THL",PR!$BJ46,IF(F48="UBASTIC",PR!$BK46,IF(F48="UNION",PR!$BL46,IF(F48="UNIQUE",PR!$BM46,IF(F48="VIXA",PR!$BN46,IF(F48="WWCV",PR!$BO46,IF(F48="ZOLON",PR!$BP46,"-"))))))))))))))))))))))))))))))))))))))))))))))))))))))))))))))))</f>
        <v>750</v>
      </c>
      <c r="F48" s="102" t="str">
        <f>EV!L51</f>
        <v>GLOBORG</v>
      </c>
      <c r="G48" s="108">
        <f>IF(H48="ALPHA",PR!$E46,IF(H48="ASSENE",PR!$F46,IF(H48="BIOFEM",PR!$G46,IF(H48="BIOMED",PR!$H46,IF(H48="CHI",PR!$I46,IF(H48="CLARION",PR!$J46,IF(H48="CODIX",PR!$K46,IF(H48="COSMADE",PR!$L46,IF(H48="SANCON",PR!$M46,IF(H48="DEVON",PR!$N46,IF(H48="DORTEMAG",PR!$O46,IF(H48="DGF",PR!$P46,IF(H48="DYNAMIC",PR!$Q46,IF(H48="EMZOR",PR!$R46,IF(H48="EUMATT",PR!$S46,IF(H48="FIDSON",PR!$T46,IF(H48="FCGLOBAL",PR!$U46,IF(H48="GENEITH",PR!$V46,IF(H48="GINOS",PR!$W46,IF(H48="GSK",PR!$X46,IF(H48="GLOBORG",PR!$Y46,IF(H48="GOODNEWS",PR!$Z46,IF(H48="GREENLIFE",PR!$AA46,IF(H48="HLINE",PR!$AB46,IF(H48="ROTECH",PR!$AC46,IF(H48="ISN",PR!$AD46,IF(H48="JAWA",PR!$AE46,IF(H48="LAYO",PR!$AF46,IF(H48="LEADWAY",PR!$AG46,IF(H48="LHV",PR!$AH46,IF(H48="MANOLA",PR!$AI46,IF(H48="MARCSON",PR!$AJ46,IF(H48="M&amp;B",PR!$AK46,IF(H48="MTRUST",PR!$AL46,IF(H48="MWORLD",PR!$AM46,IF(H48="MEGA",PR!$AN46,IF(H48="MICRONOVA",PR!$AO46,IF(H48="MFLASH",PR!$AP46,IF(H48="MORISON",PR!$AQ46,IF(H48="NEMEL",PR!$AR46,IF(H48="NHP",PR!$AS46,IF(H48="NHC",PR!$AT46,IF(H48="OLEAF",PR!$AU46,IF(H48="OCULUS",PR!$AV46,IF(H48="PACIFIC",PR!$AW46,IF(H48="PHAMATEX",PR!$AX46,IF(H48="PETHICS",PR!$AY46,IF(H48="PHILIPS",PR!$AZ46,IF(H48="RANBAXY",PR!$BA46,IF(H48="REALS",PR!$BB46,IF(H48="ROYAL",PR!$BC46,IF(H48="SAM",PR!$BD46,IF(H48="SEAGREEN",PR!$BE46,IF(H48="SKG",PR!$BF46,IF(H48="TAH",PR!$BG46,IF(H48="TAYLEK",PR!$BH46,IF(H48="TEMITA",PR!$BI46,IF(H48="THL",PR!$BJ46,IF(H48="UBASTIC",PR!$BK46,IF(H48="UNION",PR!$BL46,IF(H48="UNIQUE",PR!$BM46,IF(H48="VIXA",PR!$BN46,IF(H48="WWCV",PR!$BO46,IF(H48="ZOLON",PR!$BP46,"-"))))))))))))))))))))))))))))))))))))))))))))))))))))))))))))))))</f>
        <v>1000</v>
      </c>
      <c r="H48" s="102" t="str">
        <f>EV!M51</f>
        <v>COSMADE</v>
      </c>
      <c r="I48" s="108">
        <f>IF(J48="ALPHA",PR!$E46,IF(J48="ASSENE",PR!$F46,IF(J48="BIOFEM",PR!$G46,IF(J48="BIOMED",PR!$H46,IF(J48="CHI",PR!$I46,IF(J48="CLARION",PR!$J46,IF(J48="CODIX",PR!$K46,IF(J48="COSMADE",PR!$L46,IF(J48="SANCON",PR!$M46,IF(J48="DEVON",PR!$N46,IF(J48="DORTEMAG",PR!$O46,IF(J48="DGF",PR!$P46,IF(J48="DYNAMIC",PR!$Q46,IF(J48="EMZOR",PR!$R46,IF(J48="EUMATT",PR!$S46,IF(J48="FIDSON",PR!$T46,IF(J48="FCGLOBAL",PR!$U46,IF(J48="GENEITH",PR!$V46,IF(J48="GINOS",PR!$W46,IF(J48="GSK",PR!$X46,IF(J48="GLOBORG",PR!$Y46,IF(J48="GOODNEWS",PR!$Z46,IF(J48="GREENLIFE",PR!$AA46,IF(J48="HLINE",PR!$AB46,IF(J48="ROTECH",PR!$AC46,IF(J48="ISN",PR!$AD46,IF(J48="JAWA",PR!$AE46,IF(J48="LAYO",PR!$AF46,IF(J48="LEADWAY",PR!$AG46,IF(J48="LHV",PR!$AH46,IF(J48="MANOLA",PR!$AI46,IF(J48="MARCSON",PR!$AJ46,IF(J48="M&amp;B",PR!$AK46,IF(J48="MTRUST",PR!$AL46,IF(J48="MWORLD",PR!$AM46,IF(J48="MEGA",PR!$AN46,IF(J48="MICRONOVA",PR!$AO46,IF(J48="MFLASH",PR!$AP46,IF(J48="MORISON",PR!$AQ46,IF(J48="NEMEL",PR!$AR46,IF(J48="NHP",PR!$AS46,IF(J48="NHC",PR!$AT46,IF(J48="OLEAF",PR!$AU46,IF(J48="OCULUS",PR!$AV46,IF(J48="PACIFIC",PR!$AW46,IF(J48="PHAMATEX",PR!$AX46,IF(J48="PETHICS",PR!$AY46,IF(J48="PHILIPS",PR!$AZ46,IF(J48="RANBAXY",PR!$BA46,IF(J48="REALS",PR!$BB46,IF(J48="ROYAL",PR!$BC46,IF(J48="SAM",PR!$BD46,IF(J48="SEAGREEN",PR!$BE46,IF(J48="SKG",PR!$BF46,IF(J48="TAH",PR!$BG46,IF(J48="TAYLEK",PR!$BH46,IF(J48="TEMITA",PR!$BI46,IF(J48="THL",PR!$BJ46,IF(J48="UBASTIC",PR!$BK46,IF(J48="UNION",PR!$BL46,IF(J48="UNIQUE",PR!$BM46,IF(J48="VIXA",PR!$BN46,IF(J48="WWCV",PR!$BO46,IF(J48="ZOLON",PR!$BP46,"-"))))))))))))))))))))))))))))))))))))))))))))))))))))))))))))))))</f>
        <v>1000</v>
      </c>
      <c r="J48" s="102" t="str">
        <f>EV!N51</f>
        <v>GENEITH</v>
      </c>
      <c r="K48" s="433" t="s">
        <v>818</v>
      </c>
      <c r="L48" s="183">
        <f>IF(K48&gt;0,IF(K48="ALPHA",PR!$E46,IF(K48="ASSENE",PR!$F46,IF(K48="BIOFEM",PR!$G46,IF(K48="BIOMED",PR!$H46,IF(K48="CHI",PR!$I46,IF(K48="CLARION",PR!$J46,IF(K48="CODIX",PR!$K46,IF(K48="COSMADE",PR!$L46,IF(K48="SANCON",PR!$M46,IF(K48="DEVON",PR!$N46,IF(K48="DORTEMAG",PR!$O46,IF(K48="DGF",PR!$P46,IF(K48="DYNAMIC",PR!$Q46,IF(K48="EMZOR",PR!$R46,IF(K48="EUMATT",PR!$S46,IF(K48="FIDSON",PR!$T46,IF(K48="FCGLOBAL",PR!$U46,IF(K48="GENEITH",PR!$V46,IF(K48="GINOS",PR!$W46,IF(K48="GSK",PR!$X46,IF(K48="GLOBORG",PR!$Y46,IF(K48="GOODNEWS",PR!$Z46,IF(K48="GREENLIFE",PR!$AA46,IF(K48="HLINE",PR!$AB46,IF(K48="ROTECH",PR!$AC46,IF(K48="ISN",PR!$AD46,IF(K48="JAWA",PR!$AE46,IF(K48="LAYO",PR!$AF46,IF(K48="LEADWAY",PR!$AG46,IF(K48="LHV",PR!$AH46,IF(K48="MANOLA",PR!$AI46,IF(K48="MARCSON",PR!$AJ46,IF(K48="M&amp;B",PR!$AK46,IF(K48="MTRUST",PR!$AL46,IF(K48="MWORLD",PR!$AM46,IF(K48="MEGA",PR!$AN46,IF(K48="MICRONOVA",PR!$AO46,IF(K48="MFLASH",PR!$AP46,IF(K48="MORISON",PR!$AQ46,IF(K48="NEMEL",PR!$AR46,IF(K48="NHP",PR!$AS46,IF(K48="NHC",PR!$AT46,IF(K48="OLEAF",PR!$AU46,IF(K48="OCULUS",PR!$AV46,IF(K48="PACIFIC",PR!$AW46,IF(K48="PHAMATEX",PR!$AX46,IF(K48="PETHICS",PR!$AY46,IF(K48="PHILIPS",PR!$AZ46,IF(K48="RANBAXY",PR!$BA46,IF(K48="REALS",PR!$BB46,IF(K48="ROYAL",PR!$BC46,IF(K48="SAM",PR!$BD46,IF(K48="SEAGREEN",PR!$BE46,IF(K48="SKG",PR!$BF46,IF(K48="TAH",PR!$BG46,IF(K48="TAYLEK",PR!$BH46,IF(K48="TEMITA",PR!$BI46,IF(K48="THL",PR!$BJ46,IF(K48="UBASTIC",PR!$BK46,IF(K48="UNION",PR!$BL46,IF(K48="UNIQUE",PR!$BM46,IF(K48="VIXA",PR!$BN46,IF(K48="WWCV",PR!$BO46,IF(K48="ZOLON",PR!$BP46,"-")))))))))))))))))))))))))))))))))))))))))))))))))))))))))))))))))</f>
        <v>750</v>
      </c>
    </row>
    <row r="49" spans="1:12" ht="18.75" x14ac:dyDescent="0.3">
      <c r="A49" s="430">
        <f>PR!A47</f>
        <v>0</v>
      </c>
      <c r="B49" s="15">
        <f>PR!B47</f>
        <v>0</v>
      </c>
      <c r="C49" s="113">
        <f>PR!D47</f>
        <v>0</v>
      </c>
      <c r="D49" s="113">
        <f>PR!C47</f>
        <v>0</v>
      </c>
      <c r="E49" s="108" t="str">
        <f>IF(F49="ALPHA",PR!$E47,IF(F49="ASSENE",PR!$F47,IF(F49="BIOFEM",PR!$G47,IF(F49="BIOMED",PR!$H47,IF(F49="CHI",PR!$I47,IF(F49="CLARION",PR!$J47,IF(F49="CODIX",PR!$K47,IF(F49="COSMADE",PR!$L47,IF(F49="SANCON",PR!$M47,IF(F49="DEVON",PR!$N47,IF(F49="DORTEMAG",PR!$O47,IF(F49="DGF",PR!$P47,IF(F49="DYNAMIC",PR!$Q47,IF(F49="EMZOR",PR!$R47,IF(F49="EUMATT",PR!$S47,IF(F49="FIDSON",PR!$T47,IF(F49="FCGLOBAL",PR!$U47,IF(F49="GENEITH",PR!$V47,IF(F49="GINOS",PR!$W47,IF(F49="GSK",PR!$X47,IF(F49="GLOBORG",PR!$Y47,IF(F49="GOODNEWS",PR!$Z47,IF(F49="GREENLIFE",PR!$AA47,IF(F49="HLINE",PR!$AB47,IF(F49="ROTECH",PR!$AC47,IF(F49="ISN",PR!$AD47,IF(F49="JAWA",PR!$AE47,IF(F49="LAYO",PR!$AF47,IF(F49="LEADWAY",PR!$AG47,IF(F49="LHV",PR!$AH47,IF(F49="MANOLA",PR!$AI47,IF(F49="MARCSON",PR!$AJ47,IF(F49="M&amp;B",PR!$AK47,IF(F49="MTRUST",PR!$AL47,IF(F49="MWORLD",PR!$AM47,IF(F49="MEGA",PR!$AN47,IF(F49="MICRONOVA",PR!$AO47,IF(F49="MFLASH",PR!$AP47,IF(F49="MORISON",PR!$AQ47,IF(F49="NEMEL",PR!$AR47,IF(F49="NHP",PR!$AS47,IF(F49="NHC",PR!$AT47,IF(F49="OLEAF",PR!$AU47,IF(F49="OCULUS",PR!$AV47,IF(F49="PACIFIC",PR!$AW47,IF(F49="PHAMATEX",PR!$AX47,IF(F49="PETHICS",PR!$AY47,IF(F49="PHILIPS",PR!$AZ47,IF(F49="RANBAXY",PR!$BA47,IF(F49="REALS",PR!$BB47,IF(F49="ROYAL",PR!$BC47,IF(F49="SAM",PR!$BD47,IF(F49="SEAGREEN",PR!$BE47,IF(F49="SKG",PR!$BF47,IF(F49="TAH",PR!$BG47,IF(F49="TAYLEK",PR!$BH47,IF(F49="TEMITA",PR!$BI47,IF(F49="THL",PR!$BJ47,IF(F49="UBASTIC",PR!$BK47,IF(F49="UNION",PR!$BL47,IF(F49="UNIQUE",PR!$BM47,IF(F49="VIXA",PR!$BN47,IF(F49="WWCV",PR!$BO47,IF(F49="ZOLON",PR!$BP47,"-"))))))))))))))))))))))))))))))))))))))))))))))))))))))))))))))))</f>
        <v>-</v>
      </c>
      <c r="F49" s="102"/>
      <c r="G49" s="108" t="str">
        <f>IF(H49="ALPHA",PR!$E47,IF(H49="ASSENE",PR!$F47,IF(H49="BIOFEM",PR!$G47,IF(H49="BIOMED",PR!$H47,IF(H49="CHI",PR!$I47,IF(H49="CLARION",PR!$J47,IF(H49="CODIX",PR!$K47,IF(H49="COSMADE",PR!$L47,IF(H49="SANCON",PR!$M47,IF(H49="DEVON",PR!$N47,IF(H49="DORTEMAG",PR!$O47,IF(H49="DGF",PR!$P47,IF(H49="DYNAMIC",PR!$Q47,IF(H49="EMZOR",PR!$R47,IF(H49="EUMATT",PR!$S47,IF(H49="FIDSON",PR!$T47,IF(H49="FCGLOBAL",PR!$U47,IF(H49="GENEITH",PR!$V47,IF(H49="GINOS",PR!$W47,IF(H49="GSK",PR!$X47,IF(H49="GLOBORG",PR!$Y47,IF(H49="GOODNEWS",PR!$Z47,IF(H49="GREENLIFE",PR!$AA47,IF(H49="HLINE",PR!$AB47,IF(H49="ROTECH",PR!$AC47,IF(H49="ISN",PR!$AD47,IF(H49="JAWA",PR!$AE47,IF(H49="LAYO",PR!$AF47,IF(H49="LEADWAY",PR!$AG47,IF(H49="LHV",PR!$AH47,IF(H49="MANOLA",PR!$AI47,IF(H49="MARCSON",PR!$AJ47,IF(H49="M&amp;B",PR!$AK47,IF(H49="MTRUST",PR!$AL47,IF(H49="MWORLD",PR!$AM47,IF(H49="MEGA",PR!$AN47,IF(H49="MICRONOVA",PR!$AO47,IF(H49="MFLASH",PR!$AP47,IF(H49="MORISON",PR!$AQ47,IF(H49="NEMEL",PR!$AR47,IF(H49="NHP",PR!$AS47,IF(H49="NHC",PR!$AT47,IF(H49="OLEAF",PR!$AU47,IF(H49="OCULUS",PR!$AV47,IF(H49="PACIFIC",PR!$AW47,IF(H49="PHAMATEX",PR!$AX47,IF(H49="PETHICS",PR!$AY47,IF(H49="PHILIPS",PR!$AZ47,IF(H49="RANBAXY",PR!$BA47,IF(H49="REALS",PR!$BB47,IF(H49="ROYAL",PR!$BC47,IF(H49="SAM",PR!$BD47,IF(H49="SEAGREEN",PR!$BE47,IF(H49="SKG",PR!$BF47,IF(H49="TAH",PR!$BG47,IF(H49="TAYLEK",PR!$BH47,IF(H49="TEMITA",PR!$BI47,IF(H49="THL",PR!$BJ47,IF(H49="UBASTIC",PR!$BK47,IF(H49="UNION",PR!$BL47,IF(H49="UNIQUE",PR!$BM47,IF(H49="VIXA",PR!$BN47,IF(H49="WWCV",PR!$BO47,IF(H49="ZOLON",PR!$BP47,"-"))))))))))))))))))))))))))))))))))))))))))))))))))))))))))))))))</f>
        <v>-</v>
      </c>
      <c r="H49" s="102"/>
      <c r="I49" s="108" t="str">
        <f>IF(J49="ALPHA",PR!$E47,IF(J49="ASSENE",PR!$F47,IF(J49="BIOFEM",PR!$G47,IF(J49="BIOMED",PR!$H47,IF(J49="CHI",PR!$I47,IF(J49="CLARION",PR!$J47,IF(J49="CODIX",PR!$K47,IF(J49="COSMADE",PR!$L47,IF(J49="SANCON",PR!$M47,IF(J49="DEVON",PR!$N47,IF(J49="DORTEMAG",PR!$O47,IF(J49="DGF",PR!$P47,IF(J49="DYNAMIC",PR!$Q47,IF(J49="EMZOR",PR!$R47,IF(J49="EUMATT",PR!$S47,IF(J49="FIDSON",PR!$T47,IF(J49="FCGLOBAL",PR!$U47,IF(J49="GENEITH",PR!$V47,IF(J49="GINOS",PR!$W47,IF(J49="GSK",PR!$X47,IF(J49="GLOBORG",PR!$Y47,IF(J49="GOODNEWS",PR!$Z47,IF(J49="GREENLIFE",PR!$AA47,IF(J49="HLINE",PR!$AB47,IF(J49="ROTECH",PR!$AC47,IF(J49="ISN",PR!$AD47,IF(J49="JAWA",PR!$AE47,IF(J49="LAYO",PR!$AF47,IF(J49="LEADWAY",PR!$AG47,IF(J49="LHV",PR!$AH47,IF(J49="MANOLA",PR!$AI47,IF(J49="MARCSON",PR!$AJ47,IF(J49="M&amp;B",PR!$AK47,IF(J49="MTRUST",PR!$AL47,IF(J49="MWORLD",PR!$AM47,IF(J49="MEGA",PR!$AN47,IF(J49="MICRONOVA",PR!$AO47,IF(J49="MFLASH",PR!$AP47,IF(J49="MORISON",PR!$AQ47,IF(J49="NEMEL",PR!$AR47,IF(J49="NHP",PR!$AS47,IF(J49="NHC",PR!$AT47,IF(J49="OLEAF",PR!$AU47,IF(J49="OCULUS",PR!$AV47,IF(J49="PACIFIC",PR!$AW47,IF(J49="PHAMATEX",PR!$AX47,IF(J49="PETHICS",PR!$AY47,IF(J49="PHILIPS",PR!$AZ47,IF(J49="RANBAXY",PR!$BA47,IF(J49="REALS",PR!$BB47,IF(J49="ROYAL",PR!$BC47,IF(J49="SAM",PR!$BD47,IF(J49="SEAGREEN",PR!$BE47,IF(J49="SKG",PR!$BF47,IF(J49="TAH",PR!$BG47,IF(J49="TAYLEK",PR!$BH47,IF(J49="TEMITA",PR!$BI47,IF(J49="THL",PR!$BJ47,IF(J49="UBASTIC",PR!$BK47,IF(J49="UNION",PR!$BL47,IF(J49="UNIQUE",PR!$BM47,IF(J49="VIXA",PR!$BN47,IF(J49="WWCV",PR!$BO47,IF(J49="ZOLON",PR!$BP47,"-"))))))))))))))))))))))))))))))))))))))))))))))))))))))))))))))))</f>
        <v>-</v>
      </c>
      <c r="J49" s="102"/>
      <c r="K49" s="433"/>
      <c r="L49" s="183" t="b">
        <f>IF(K49&gt;0,IF(K49="ALPHA",PR!$E47,IF(K49="ASSENE",PR!$F47,IF(K49="BIOFEM",PR!$G47,IF(K49="BIOMED",PR!$H47,IF(K49="CHI",PR!$I47,IF(K49="CLARION",PR!$J47,IF(K49="CODIX",PR!$K47,IF(K49="COSMADE",PR!$L47,IF(K49="SANCON",PR!$M47,IF(K49="DEVON",PR!$N47,IF(K49="DORTEMAG",PR!$O47,IF(K49="DGF",PR!$P47,IF(K49="DYNAMIC",PR!$Q47,IF(K49="EMZOR",PR!$R47,IF(K49="EUMATT",PR!$S47,IF(K49="FIDSON",PR!$T47,IF(K49="FCGLOBAL",PR!$U47,IF(K49="GENEITH",PR!$V47,IF(K49="GINOS",PR!$W47,IF(K49="GSK",PR!$X47,IF(K49="GLOBORG",PR!$Y47,IF(K49="GOODNEWS",PR!$Z47,IF(K49="GREENLIFE",PR!$AA47,IF(K49="HLINE",PR!$AB47,IF(K49="ROTECH",PR!$AC47,IF(K49="ISN",PR!$AD47,IF(K49="JAWA",PR!$AE47,IF(K49="LAYO",PR!$AF47,IF(K49="LEADWAY",PR!$AG47,IF(K49="LHV",PR!$AH47,IF(K49="MANOLA",PR!$AI47,IF(K49="MARCSON",PR!$AJ47,IF(K49="M&amp;B",PR!$AK47,IF(K49="MTRUST",PR!$AL47,IF(K49="MWORLD",PR!$AM47,IF(K49="MEGA",PR!$AN47,IF(K49="MICRONOVA",PR!$AO47,IF(K49="MFLASH",PR!$AP47,IF(K49="MORISON",PR!$AQ47,IF(K49="NEMEL",PR!$AR47,IF(K49="NHP",PR!$AS47,IF(K49="NHC",PR!$AT47,IF(K49="OLEAF",PR!$AU47,IF(K49="OCULUS",PR!$AV47,IF(K49="PACIFIC",PR!$AW47,IF(K49="PHAMATEX",PR!$AX47,IF(K49="PETHICS",PR!$AY47,IF(K49="PHILIPS",PR!$AZ47,IF(K49="RANBAXY",PR!$BA47,IF(K49="REALS",PR!$BB47,IF(K49="ROYAL",PR!$BC47,IF(K49="SAM",PR!$BD47,IF(K49="SEAGREEN",PR!$BE47,IF(K49="SKG",PR!$BF47,IF(K49="TAH",PR!$BG47,IF(K49="TAYLEK",PR!$BH47,IF(K49="TEMITA",PR!$BI47,IF(K49="THL",PR!$BJ47,IF(K49="UBASTIC",PR!$BK47,IF(K49="UNION",PR!$BL47,IF(K49="UNIQUE",PR!$BM47,IF(K49="VIXA",PR!$BN47,IF(K49="WWCV",PR!$BO47,IF(K49="ZOLON",PR!$BP47,"-")))))))))))))))))))))))))))))))))))))))))))))))))))))))))))))))))</f>
        <v>0</v>
      </c>
    </row>
    <row r="50" spans="1:12" ht="18.75" x14ac:dyDescent="0.3">
      <c r="A50" s="430" t="str">
        <f>PR!A48</f>
        <v>LOT 3</v>
      </c>
      <c r="B50" s="15" t="str">
        <f>PR!B48</f>
        <v>CARDIOVASCULAR AGENTS/HYPOGLYCEMICS</v>
      </c>
      <c r="C50" s="113">
        <f>PR!D48</f>
        <v>0</v>
      </c>
      <c r="D50" s="113">
        <f>PR!C48</f>
        <v>0</v>
      </c>
      <c r="E50" s="108" t="str">
        <f>IF(F50="ALPHA",PR!$E48,IF(F50="ASSENE",PR!$F48,IF(F50="BIOFEM",PR!$G48,IF(F50="BIOMED",PR!$H48,IF(F50="CHI",PR!$I48,IF(F50="CLARION",PR!$J48,IF(F50="CODIX",PR!$K48,IF(F50="COSMADE",PR!$L48,IF(F50="SANCON",PR!$M48,IF(F50="DEVON",PR!$N48,IF(F50="DORTEMAG",PR!$O48,IF(F50="DGF",PR!$P48,IF(F50="DYNAMIC",PR!$Q48,IF(F50="EMZOR",PR!$R48,IF(F50="EUMATT",PR!$S48,IF(F50="FIDSON",PR!$T48,IF(F50="FCGLOBAL",PR!$U48,IF(F50="GENEITH",PR!$V48,IF(F50="GINOS",PR!$W48,IF(F50="GSK",PR!$X48,IF(F50="GLOBORG",PR!$Y48,IF(F50="GOODNEWS",PR!$Z48,IF(F50="GREENLIFE",PR!$AA48,IF(F50="HLINE",PR!$AB48,IF(F50="ROTECH",PR!$AC48,IF(F50="ISN",PR!$AD48,IF(F50="JAWA",PR!$AE48,IF(F50="LAYO",PR!$AF48,IF(F50="LEADWAY",PR!$AG48,IF(F50="LHV",PR!$AH48,IF(F50="MANOLA",PR!$AI48,IF(F50="MARCSON",PR!$AJ48,IF(F50="M&amp;B",PR!$AK48,IF(F50="MTRUST",PR!$AL48,IF(F50="MWORLD",PR!$AM48,IF(F50="MEGA",PR!$AN48,IF(F50="MICRONOVA",PR!$AO48,IF(F50="MFLASH",PR!$AP48,IF(F50="MORISON",PR!$AQ48,IF(F50="NEMEL",PR!$AR48,IF(F50="NHP",PR!$AS48,IF(F50="NHC",PR!$AT48,IF(F50="OLEAF",PR!$AU48,IF(F50="OCULUS",PR!$AV48,IF(F50="PACIFIC",PR!$AW48,IF(F50="PHAMATEX",PR!$AX48,IF(F50="PETHICS",PR!$AY48,IF(F50="PHILIPS",PR!$AZ48,IF(F50="RANBAXY",PR!$BA48,IF(F50="REALS",PR!$BB48,IF(F50="ROYAL",PR!$BC48,IF(F50="SAM",PR!$BD48,IF(F50="SEAGREEN",PR!$BE48,IF(F50="SKG",PR!$BF48,IF(F50="TAH",PR!$BG48,IF(F50="TAYLEK",PR!$BH48,IF(F50="TEMITA",PR!$BI48,IF(F50="THL",PR!$BJ48,IF(F50="UBASTIC",PR!$BK48,IF(F50="UNION",PR!$BL48,IF(F50="UNIQUE",PR!$BM48,IF(F50="VIXA",PR!$BN48,IF(F50="WWCV",PR!$BO48,IF(F50="ZOLON",PR!$BP48,"-"))))))))))))))))))))))))))))))))))))))))))))))))))))))))))))))))</f>
        <v>-</v>
      </c>
      <c r="F50" s="102"/>
      <c r="G50" s="108" t="str">
        <f>IF(H50="ALPHA",PR!$E48,IF(H50="ASSENE",PR!$F48,IF(H50="BIOFEM",PR!$G48,IF(H50="BIOMED",PR!$H48,IF(H50="CHI",PR!$I48,IF(H50="CLARION",PR!$J48,IF(H50="CODIX",PR!$K48,IF(H50="COSMADE",PR!$L48,IF(H50="SANCON",PR!$M48,IF(H50="DEVON",PR!$N48,IF(H50="DORTEMAG",PR!$O48,IF(H50="DGF",PR!$P48,IF(H50="DYNAMIC",PR!$Q48,IF(H50="EMZOR",PR!$R48,IF(H50="EUMATT",PR!$S48,IF(H50="FIDSON",PR!$T48,IF(H50="FCGLOBAL",PR!$U48,IF(H50="GENEITH",PR!$V48,IF(H50="GINOS",PR!$W48,IF(H50="GSK",PR!$X48,IF(H50="GLOBORG",PR!$Y48,IF(H50="GOODNEWS",PR!$Z48,IF(H50="GREENLIFE",PR!$AA48,IF(H50="HLINE",PR!$AB48,IF(H50="ROTECH",PR!$AC48,IF(H50="ISN",PR!$AD48,IF(H50="JAWA",PR!$AE48,IF(H50="LAYO",PR!$AF48,IF(H50="LEADWAY",PR!$AG48,IF(H50="LHV",PR!$AH48,IF(H50="MANOLA",PR!$AI48,IF(H50="MARCSON",PR!$AJ48,IF(H50="M&amp;B",PR!$AK48,IF(H50="MTRUST",PR!$AL48,IF(H50="MWORLD",PR!$AM48,IF(H50="MEGA",PR!$AN48,IF(H50="MICRONOVA",PR!$AO48,IF(H50="MFLASH",PR!$AP48,IF(H50="MORISON",PR!$AQ48,IF(H50="NEMEL",PR!$AR48,IF(H50="NHP",PR!$AS48,IF(H50="NHC",PR!$AT48,IF(H50="OLEAF",PR!$AU48,IF(H50="OCULUS",PR!$AV48,IF(H50="PACIFIC",PR!$AW48,IF(H50="PHAMATEX",PR!$AX48,IF(H50="PETHICS",PR!$AY48,IF(H50="PHILIPS",PR!$AZ48,IF(H50="RANBAXY",PR!$BA48,IF(H50="REALS",PR!$BB48,IF(H50="ROYAL",PR!$BC48,IF(H50="SAM",PR!$BD48,IF(H50="SEAGREEN",PR!$BE48,IF(H50="SKG",PR!$BF48,IF(H50="TAH",PR!$BG48,IF(H50="TAYLEK",PR!$BH48,IF(H50="TEMITA",PR!$BI48,IF(H50="THL",PR!$BJ48,IF(H50="UBASTIC",PR!$BK48,IF(H50="UNION",PR!$BL48,IF(H50="UNIQUE",PR!$BM48,IF(H50="VIXA",PR!$BN48,IF(H50="WWCV",PR!$BO48,IF(H50="ZOLON",PR!$BP48,"-"))))))))))))))))))))))))))))))))))))))))))))))))))))))))))))))))</f>
        <v>-</v>
      </c>
      <c r="H50" s="102"/>
      <c r="I50" s="108" t="str">
        <f>IF(J50="ALPHA",PR!$E48,IF(J50="ASSENE",PR!$F48,IF(J50="BIOFEM",PR!$G48,IF(J50="BIOMED",PR!$H48,IF(J50="CHI",PR!$I48,IF(J50="CLARION",PR!$J48,IF(J50="CODIX",PR!$K48,IF(J50="COSMADE",PR!$L48,IF(J50="SANCON",PR!$M48,IF(J50="DEVON",PR!$N48,IF(J50="DORTEMAG",PR!$O48,IF(J50="DGF",PR!$P48,IF(J50="DYNAMIC",PR!$Q48,IF(J50="EMZOR",PR!$R48,IF(J50="EUMATT",PR!$S48,IF(J50="FIDSON",PR!$T48,IF(J50="FCGLOBAL",PR!$U48,IF(J50="GENEITH",PR!$V48,IF(J50="GINOS",PR!$W48,IF(J50="GSK",PR!$X48,IF(J50="GLOBORG",PR!$Y48,IF(J50="GOODNEWS",PR!$Z48,IF(J50="GREENLIFE",PR!$AA48,IF(J50="HLINE",PR!$AB48,IF(J50="ROTECH",PR!$AC48,IF(J50="ISN",PR!$AD48,IF(J50="JAWA",PR!$AE48,IF(J50="LAYO",PR!$AF48,IF(J50="LEADWAY",PR!$AG48,IF(J50="LHV",PR!$AH48,IF(J50="MANOLA",PR!$AI48,IF(J50="MARCSON",PR!$AJ48,IF(J50="M&amp;B",PR!$AK48,IF(J50="MTRUST",PR!$AL48,IF(J50="MWORLD",PR!$AM48,IF(J50="MEGA",PR!$AN48,IF(J50="MICRONOVA",PR!$AO48,IF(J50="MFLASH",PR!$AP48,IF(J50="MORISON",PR!$AQ48,IF(J50="NEMEL",PR!$AR48,IF(J50="NHP",PR!$AS48,IF(J50="NHC",PR!$AT48,IF(J50="OLEAF",PR!$AU48,IF(J50="OCULUS",PR!$AV48,IF(J50="PACIFIC",PR!$AW48,IF(J50="PHAMATEX",PR!$AX48,IF(J50="PETHICS",PR!$AY48,IF(J50="PHILIPS",PR!$AZ48,IF(J50="RANBAXY",PR!$BA48,IF(J50="REALS",PR!$BB48,IF(J50="ROYAL",PR!$BC48,IF(J50="SAM",PR!$BD48,IF(J50="SEAGREEN",PR!$BE48,IF(J50="SKG",PR!$BF48,IF(J50="TAH",PR!$BG48,IF(J50="TAYLEK",PR!$BH48,IF(J50="TEMITA",PR!$BI48,IF(J50="THL",PR!$BJ48,IF(J50="UBASTIC",PR!$BK48,IF(J50="UNION",PR!$BL48,IF(J50="UNIQUE",PR!$BM48,IF(J50="VIXA",PR!$BN48,IF(J50="WWCV",PR!$BO48,IF(J50="ZOLON",PR!$BP48,"-"))))))))))))))))))))))))))))))))))))))))))))))))))))))))))))))))</f>
        <v>-</v>
      </c>
      <c r="J50" s="102"/>
      <c r="K50" s="433"/>
      <c r="L50" s="183" t="b">
        <f>IF(K50&gt;0,IF(K50="ALPHA",PR!$E48,IF(K50="ASSENE",PR!$F48,IF(K50="BIOFEM",PR!$G48,IF(K50="BIOMED",PR!$H48,IF(K50="CHI",PR!$I48,IF(K50="CLARION",PR!$J48,IF(K50="CODIX",PR!$K48,IF(K50="COSMADE",PR!$L48,IF(K50="SANCON",PR!$M48,IF(K50="DEVON",PR!$N48,IF(K50="DORTEMAG",PR!$O48,IF(K50="DGF",PR!$P48,IF(K50="DYNAMIC",PR!$Q48,IF(K50="EMZOR",PR!$R48,IF(K50="EUMATT",PR!$S48,IF(K50="FIDSON",PR!$T48,IF(K50="FCGLOBAL",PR!$U48,IF(K50="GENEITH",PR!$V48,IF(K50="GINOS",PR!$W48,IF(K50="GSK",PR!$X48,IF(K50="GLOBORG",PR!$Y48,IF(K50="GOODNEWS",PR!$Z48,IF(K50="GREENLIFE",PR!$AA48,IF(K50="HLINE",PR!$AB48,IF(K50="ROTECH",PR!$AC48,IF(K50="ISN",PR!$AD48,IF(K50="JAWA",PR!$AE48,IF(K50="LAYO",PR!$AF48,IF(K50="LEADWAY",PR!$AG48,IF(K50="LHV",PR!$AH48,IF(K50="MANOLA",PR!$AI48,IF(K50="MARCSON",PR!$AJ48,IF(K50="M&amp;B",PR!$AK48,IF(K50="MTRUST",PR!$AL48,IF(K50="MWORLD",PR!$AM48,IF(K50="MEGA",PR!$AN48,IF(K50="MICRONOVA",PR!$AO48,IF(K50="MFLASH",PR!$AP48,IF(K50="MORISON",PR!$AQ48,IF(K50="NEMEL",PR!$AR48,IF(K50="NHP",PR!$AS48,IF(K50="NHC",PR!$AT48,IF(K50="OLEAF",PR!$AU48,IF(K50="OCULUS",PR!$AV48,IF(K50="PACIFIC",PR!$AW48,IF(K50="PHAMATEX",PR!$AX48,IF(K50="PETHICS",PR!$AY48,IF(K50="PHILIPS",PR!$AZ48,IF(K50="RANBAXY",PR!$BA48,IF(K50="REALS",PR!$BB48,IF(K50="ROYAL",PR!$BC48,IF(K50="SAM",PR!$BD48,IF(K50="SEAGREEN",PR!$BE48,IF(K50="SKG",PR!$BF48,IF(K50="TAH",PR!$BG48,IF(K50="TAYLEK",PR!$BH48,IF(K50="TEMITA",PR!$BI48,IF(K50="THL",PR!$BJ48,IF(K50="UBASTIC",PR!$BK48,IF(K50="UNION",PR!$BL48,IF(K50="UNIQUE",PR!$BM48,IF(K50="VIXA",PR!$BN48,IF(K50="WWCV",PR!$BO48,IF(K50="ZOLON",PR!$BP48,"-")))))))))))))))))))))))))))))))))))))))))))))))))))))))))))))))))</f>
        <v>0</v>
      </c>
    </row>
    <row r="51" spans="1:12" ht="18.75" x14ac:dyDescent="0.3">
      <c r="A51" s="430">
        <f>PR!A49</f>
        <v>0</v>
      </c>
      <c r="B51" s="15" t="str">
        <f>PR!B49</f>
        <v>ANTIHYPERTENSIVES</v>
      </c>
      <c r="C51" s="113">
        <f>PR!D49</f>
        <v>0</v>
      </c>
      <c r="D51" s="113">
        <f>PR!C49</f>
        <v>0</v>
      </c>
      <c r="E51" s="108" t="str">
        <f>IF(F51="ALPHA",PR!$E49,IF(F51="ASSENE",PR!$F49,IF(F51="BIOFEM",PR!$G49,IF(F51="BIOMED",PR!$H49,IF(F51="CHI",PR!$I49,IF(F51="CLARION",PR!$J49,IF(F51="CODIX",PR!$K49,IF(F51="COSMADE",PR!$L49,IF(F51="SANCON",PR!$M49,IF(F51="DEVON",PR!$N49,IF(F51="DORTEMAG",PR!$O49,IF(F51="DGF",PR!$P49,IF(F51="DYNAMIC",PR!$Q49,IF(F51="EMZOR",PR!$R49,IF(F51="EUMATT",PR!$S49,IF(F51="FIDSON",PR!$T49,IF(F51="FCGLOBAL",PR!$U49,IF(F51="GENEITH",PR!$V49,IF(F51="GINOS",PR!$W49,IF(F51="GSK",PR!$X49,IF(F51="GLOBORG",PR!$Y49,IF(F51="GOODNEWS",PR!$Z49,IF(F51="GREENLIFE",PR!$AA49,IF(F51="HLINE",PR!$AB49,IF(F51="ROTECH",PR!$AC49,IF(F51="ISN",PR!$AD49,IF(F51="JAWA",PR!$AE49,IF(F51="LAYO",PR!$AF49,IF(F51="LEADWAY",PR!$AG49,IF(F51="LHV",PR!$AH49,IF(F51="MANOLA",PR!$AI49,IF(F51="MARCSON",PR!$AJ49,IF(F51="M&amp;B",PR!$AK49,IF(F51="MTRUST",PR!$AL49,IF(F51="MWORLD",PR!$AM49,IF(F51="MEGA",PR!$AN49,IF(F51="MICRONOVA",PR!$AO49,IF(F51="MFLASH",PR!$AP49,IF(F51="MORISON",PR!$AQ49,IF(F51="NEMEL",PR!$AR49,IF(F51="NHP",PR!$AS49,IF(F51="NHC",PR!$AT49,IF(F51="OLEAF",PR!$AU49,IF(F51="OCULUS",PR!$AV49,IF(F51="PACIFIC",PR!$AW49,IF(F51="PHAMATEX",PR!$AX49,IF(F51="PETHICS",PR!$AY49,IF(F51="PHILIPS",PR!$AZ49,IF(F51="RANBAXY",PR!$BA49,IF(F51="REALS",PR!$BB49,IF(F51="ROYAL",PR!$BC49,IF(F51="SAM",PR!$BD49,IF(F51="SEAGREEN",PR!$BE49,IF(F51="SKG",PR!$BF49,IF(F51="TAH",PR!$BG49,IF(F51="TAYLEK",PR!$BH49,IF(F51="TEMITA",PR!$BI49,IF(F51="THL",PR!$BJ49,IF(F51="UBASTIC",PR!$BK49,IF(F51="UNION",PR!$BL49,IF(F51="UNIQUE",PR!$BM49,IF(F51="VIXA",PR!$BN49,IF(F51="WWCV",PR!$BO49,IF(F51="ZOLON",PR!$BP49,"-"))))))))))))))))))))))))))))))))))))))))))))))))))))))))))))))))</f>
        <v>-</v>
      </c>
      <c r="F51" s="102"/>
      <c r="G51" s="108" t="str">
        <f>IF(H51="ALPHA",PR!$E49,IF(H51="ASSENE",PR!$F49,IF(H51="BIOFEM",PR!$G49,IF(H51="BIOMED",PR!$H49,IF(H51="CHI",PR!$I49,IF(H51="CLARION",PR!$J49,IF(H51="CODIX",PR!$K49,IF(H51="COSMADE",PR!$L49,IF(H51="SANCON",PR!$M49,IF(H51="DEVON",PR!$N49,IF(H51="DORTEMAG",PR!$O49,IF(H51="DGF",PR!$P49,IF(H51="DYNAMIC",PR!$Q49,IF(H51="EMZOR",PR!$R49,IF(H51="EUMATT",PR!$S49,IF(H51="FIDSON",PR!$T49,IF(H51="FCGLOBAL",PR!$U49,IF(H51="GENEITH",PR!$V49,IF(H51="GINOS",PR!$W49,IF(H51="GSK",PR!$X49,IF(H51="GLOBORG",PR!$Y49,IF(H51="GOODNEWS",PR!$Z49,IF(H51="GREENLIFE",PR!$AA49,IF(H51="HLINE",PR!$AB49,IF(H51="ROTECH",PR!$AC49,IF(H51="ISN",PR!$AD49,IF(H51="JAWA",PR!$AE49,IF(H51="LAYO",PR!$AF49,IF(H51="LEADWAY",PR!$AG49,IF(H51="LHV",PR!$AH49,IF(H51="MANOLA",PR!$AI49,IF(H51="MARCSON",PR!$AJ49,IF(H51="M&amp;B",PR!$AK49,IF(H51="MTRUST",PR!$AL49,IF(H51="MWORLD",PR!$AM49,IF(H51="MEGA",PR!$AN49,IF(H51="MICRONOVA",PR!$AO49,IF(H51="MFLASH",PR!$AP49,IF(H51="MORISON",PR!$AQ49,IF(H51="NEMEL",PR!$AR49,IF(H51="NHP",PR!$AS49,IF(H51="NHC",PR!$AT49,IF(H51="OLEAF",PR!$AU49,IF(H51="OCULUS",PR!$AV49,IF(H51="PACIFIC",PR!$AW49,IF(H51="PHAMATEX",PR!$AX49,IF(H51="PETHICS",PR!$AY49,IF(H51="PHILIPS",PR!$AZ49,IF(H51="RANBAXY",PR!$BA49,IF(H51="REALS",PR!$BB49,IF(H51="ROYAL",PR!$BC49,IF(H51="SAM",PR!$BD49,IF(H51="SEAGREEN",PR!$BE49,IF(H51="SKG",PR!$BF49,IF(H51="TAH",PR!$BG49,IF(H51="TAYLEK",PR!$BH49,IF(H51="TEMITA",PR!$BI49,IF(H51="THL",PR!$BJ49,IF(H51="UBASTIC",PR!$BK49,IF(H51="UNION",PR!$BL49,IF(H51="UNIQUE",PR!$BM49,IF(H51="VIXA",PR!$BN49,IF(H51="WWCV",PR!$BO49,IF(H51="ZOLON",PR!$BP49,"-"))))))))))))))))))))))))))))))))))))))))))))))))))))))))))))))))</f>
        <v>-</v>
      </c>
      <c r="H51" s="102"/>
      <c r="I51" s="108" t="str">
        <f>IF(J51="ALPHA",PR!$E49,IF(J51="ASSENE",PR!$F49,IF(J51="BIOFEM",PR!$G49,IF(J51="BIOMED",PR!$H49,IF(J51="CHI",PR!$I49,IF(J51="CLARION",PR!$J49,IF(J51="CODIX",PR!$K49,IF(J51="COSMADE",PR!$L49,IF(J51="SANCON",PR!$M49,IF(J51="DEVON",PR!$N49,IF(J51="DORTEMAG",PR!$O49,IF(J51="DGF",PR!$P49,IF(J51="DYNAMIC",PR!$Q49,IF(J51="EMZOR",PR!$R49,IF(J51="EUMATT",PR!$S49,IF(J51="FIDSON",PR!$T49,IF(J51="FCGLOBAL",PR!$U49,IF(J51="GENEITH",PR!$V49,IF(J51="GINOS",PR!$W49,IF(J51="GSK",PR!$X49,IF(J51="GLOBORG",PR!$Y49,IF(J51="GOODNEWS",PR!$Z49,IF(J51="GREENLIFE",PR!$AA49,IF(J51="HLINE",PR!$AB49,IF(J51="ROTECH",PR!$AC49,IF(J51="ISN",PR!$AD49,IF(J51="JAWA",PR!$AE49,IF(J51="LAYO",PR!$AF49,IF(J51="LEADWAY",PR!$AG49,IF(J51="LHV",PR!$AH49,IF(J51="MANOLA",PR!$AI49,IF(J51="MARCSON",PR!$AJ49,IF(J51="M&amp;B",PR!$AK49,IF(J51="MTRUST",PR!$AL49,IF(J51="MWORLD",PR!$AM49,IF(J51="MEGA",PR!$AN49,IF(J51="MICRONOVA",PR!$AO49,IF(J51="MFLASH",PR!$AP49,IF(J51="MORISON",PR!$AQ49,IF(J51="NEMEL",PR!$AR49,IF(J51="NHP",PR!$AS49,IF(J51="NHC",PR!$AT49,IF(J51="OLEAF",PR!$AU49,IF(J51="OCULUS",PR!$AV49,IF(J51="PACIFIC",PR!$AW49,IF(J51="PHAMATEX",PR!$AX49,IF(J51="PETHICS",PR!$AY49,IF(J51="PHILIPS",PR!$AZ49,IF(J51="RANBAXY",PR!$BA49,IF(J51="REALS",PR!$BB49,IF(J51="ROYAL",PR!$BC49,IF(J51="SAM",PR!$BD49,IF(J51="SEAGREEN",PR!$BE49,IF(J51="SKG",PR!$BF49,IF(J51="TAH",PR!$BG49,IF(J51="TAYLEK",PR!$BH49,IF(J51="TEMITA",PR!$BI49,IF(J51="THL",PR!$BJ49,IF(J51="UBASTIC",PR!$BK49,IF(J51="UNION",PR!$BL49,IF(J51="UNIQUE",PR!$BM49,IF(J51="VIXA",PR!$BN49,IF(J51="WWCV",PR!$BO49,IF(J51="ZOLON",PR!$BP49,"-"))))))))))))))))))))))))))))))))))))))))))))))))))))))))))))))))</f>
        <v>-</v>
      </c>
      <c r="J51" s="102"/>
      <c r="K51" s="433"/>
      <c r="L51" s="183" t="b">
        <f>IF(K51&gt;0,IF(K51="ALPHA",PR!$E49,IF(K51="ASSENE",PR!$F49,IF(K51="BIOFEM",PR!$G49,IF(K51="BIOMED",PR!$H49,IF(K51="CHI",PR!$I49,IF(K51="CLARION",PR!$J49,IF(K51="CODIX",PR!$K49,IF(K51="COSMADE",PR!$L49,IF(K51="SANCON",PR!$M49,IF(K51="DEVON",PR!$N49,IF(K51="DORTEMAG",PR!$O49,IF(K51="DGF",PR!$P49,IF(K51="DYNAMIC",PR!$Q49,IF(K51="EMZOR",PR!$R49,IF(K51="EUMATT",PR!$S49,IF(K51="FIDSON",PR!$T49,IF(K51="FCGLOBAL",PR!$U49,IF(K51="GENEITH",PR!$V49,IF(K51="GINOS",PR!$W49,IF(K51="GSK",PR!$X49,IF(K51="GLOBORG",PR!$Y49,IF(K51="GOODNEWS",PR!$Z49,IF(K51="GREENLIFE",PR!$AA49,IF(K51="HLINE",PR!$AB49,IF(K51="ROTECH",PR!$AC49,IF(K51="ISN",PR!$AD49,IF(K51="JAWA",PR!$AE49,IF(K51="LAYO",PR!$AF49,IF(K51="LEADWAY",PR!$AG49,IF(K51="LHV",PR!$AH49,IF(K51="MANOLA",PR!$AI49,IF(K51="MARCSON",PR!$AJ49,IF(K51="M&amp;B",PR!$AK49,IF(K51="MTRUST",PR!$AL49,IF(K51="MWORLD",PR!$AM49,IF(K51="MEGA",PR!$AN49,IF(K51="MICRONOVA",PR!$AO49,IF(K51="MFLASH",PR!$AP49,IF(K51="MORISON",PR!$AQ49,IF(K51="NEMEL",PR!$AR49,IF(K51="NHP",PR!$AS49,IF(K51="NHC",PR!$AT49,IF(K51="OLEAF",PR!$AU49,IF(K51="OCULUS",PR!$AV49,IF(K51="PACIFIC",PR!$AW49,IF(K51="PHAMATEX",PR!$AX49,IF(K51="PETHICS",PR!$AY49,IF(K51="PHILIPS",PR!$AZ49,IF(K51="RANBAXY",PR!$BA49,IF(K51="REALS",PR!$BB49,IF(K51="ROYAL",PR!$BC49,IF(K51="SAM",PR!$BD49,IF(K51="SEAGREEN",PR!$BE49,IF(K51="SKG",PR!$BF49,IF(K51="TAH",PR!$BG49,IF(K51="TAYLEK",PR!$BH49,IF(K51="TEMITA",PR!$BI49,IF(K51="THL",PR!$BJ49,IF(K51="UBASTIC",PR!$BK49,IF(K51="UNION",PR!$BL49,IF(K51="UNIQUE",PR!$BM49,IF(K51="VIXA",PR!$BN49,IF(K51="WWCV",PR!$BO49,IF(K51="ZOLON",PR!$BP49,"-")))))))))))))))))))))))))))))))))))))))))))))))))))))))))))))))))</f>
        <v>0</v>
      </c>
    </row>
    <row r="52" spans="1:12" ht="18.75" x14ac:dyDescent="0.3">
      <c r="A52" s="430">
        <f>PR!A50</f>
        <v>34</v>
      </c>
      <c r="B52" s="15" t="str">
        <f>PR!B50</f>
        <v>AMILORIDE/HCT 5/50MG TAB</v>
      </c>
      <c r="C52" s="113">
        <f>PR!D50</f>
        <v>100</v>
      </c>
      <c r="D52" s="113">
        <f>PR!C50</f>
        <v>800</v>
      </c>
      <c r="E52" s="108">
        <f>IF(F52="ALPHA",PR!$E50,IF(F52="ASSENE",PR!$F50,IF(F52="BIOFEM",PR!$G50,IF(F52="BIOMED",PR!$H50,IF(F52="CHI",PR!$I50,IF(F52="CLARION",PR!$J50,IF(F52="CODIX",PR!$K50,IF(F52="COSMADE",PR!$L50,IF(F52="SANCON",PR!$M50,IF(F52="DEVON",PR!$N50,IF(F52="DORTEMAG",PR!$O50,IF(F52="DGF",PR!$P50,IF(F52="DYNAMIC",PR!$Q50,IF(F52="EMZOR",PR!$R50,IF(F52="EUMATT",PR!$S50,IF(F52="FIDSON",PR!$T50,IF(F52="FCGLOBAL",PR!$U50,IF(F52="GENEITH",PR!$V50,IF(F52="GINOS",PR!$W50,IF(F52="GSK",PR!$X50,IF(F52="GLOBORG",PR!$Y50,IF(F52="GOODNEWS",PR!$Z50,IF(F52="GREENLIFE",PR!$AA50,IF(F52="HLINE",PR!$AB50,IF(F52="ROTECH",PR!$AC50,IF(F52="ISN",PR!$AD50,IF(F52="JAWA",PR!$AE50,IF(F52="LAYO",PR!$AF50,IF(F52="LEADWAY",PR!$AG50,IF(F52="LHV",PR!$AH50,IF(F52="MANOLA",PR!$AI50,IF(F52="MARCSON",PR!$AJ50,IF(F52="M&amp;B",PR!$AK50,IF(F52="MTRUST",PR!$AL50,IF(F52="MWORLD",PR!$AM50,IF(F52="MEGA",PR!$AN50,IF(F52="MICRONOVA",PR!$AO50,IF(F52="MFLASH",PR!$AP50,IF(F52="MORISON",PR!$AQ50,IF(F52="NEMEL",PR!$AR50,IF(F52="NHP",PR!$AS50,IF(F52="NHC",PR!$AT50,IF(F52="OLEAF",PR!$AU50,IF(F52="OCULUS",PR!$AV50,IF(F52="PACIFIC",PR!$AW50,IF(F52="PHAMATEX",PR!$AX50,IF(F52="PETHICS",PR!$AY50,IF(F52="PHILIPS",PR!$AZ50,IF(F52="RANBAXY",PR!$BA50,IF(F52="REALS",PR!$BB50,IF(F52="ROYAL",PR!$BC50,IF(F52="SAM",PR!$BD50,IF(F52="SEAGREEN",PR!$BE50,IF(F52="SKG",PR!$BF50,IF(F52="TAH",PR!$BG50,IF(F52="TAYLEK",PR!$BH50,IF(F52="TEMITA",PR!$BI50,IF(F52="THL",PR!$BJ50,IF(F52="UBASTIC",PR!$BK50,IF(F52="UNION",PR!$BL50,IF(F52="UNIQUE",PR!$BM50,IF(F52="VIXA",PR!$BN50,IF(F52="WWCV",PR!$BO50,IF(F52="ZOLON",PR!$BP50,"-"))))))))))))))))))))))))))))))))))))))))))))))))))))))))))))))))</f>
        <v>100</v>
      </c>
      <c r="F52" s="102" t="str">
        <f>EV!L52</f>
        <v>SEAGREEN</v>
      </c>
      <c r="G52" s="108">
        <f>IF(H52="ALPHA",PR!$E50,IF(H52="ASSENE",PR!$F50,IF(H52="BIOFEM",PR!$G50,IF(H52="BIOMED",PR!$H50,IF(H52="CHI",PR!$I50,IF(H52="CLARION",PR!$J50,IF(H52="CODIX",PR!$K50,IF(H52="COSMADE",PR!$L50,IF(H52="SANCON",PR!$M50,IF(H52="DEVON",PR!$N50,IF(H52="DORTEMAG",PR!$O50,IF(H52="DGF",PR!$P50,IF(H52="DYNAMIC",PR!$Q50,IF(H52="EMZOR",PR!$R50,IF(H52="EUMATT",PR!$S50,IF(H52="FIDSON",PR!$T50,IF(H52="FCGLOBAL",PR!$U50,IF(H52="GENEITH",PR!$V50,IF(H52="GINOS",PR!$W50,IF(H52="GSK",PR!$X50,IF(H52="GLOBORG",PR!$Y50,IF(H52="GOODNEWS",PR!$Z50,IF(H52="GREENLIFE",PR!$AA50,IF(H52="HLINE",PR!$AB50,IF(H52="ROTECH",PR!$AC50,IF(H52="ISN",PR!$AD50,IF(H52="JAWA",PR!$AE50,IF(H52="LAYO",PR!$AF50,IF(H52="LEADWAY",PR!$AG50,IF(H52="LHV",PR!$AH50,IF(H52="MANOLA",PR!$AI50,IF(H52="MARCSON",PR!$AJ50,IF(H52="M&amp;B",PR!$AK50,IF(H52="MTRUST",PR!$AL50,IF(H52="MWORLD",PR!$AM50,IF(H52="MEGA",PR!$AN50,IF(H52="MICRONOVA",PR!$AO50,IF(H52="MFLASH",PR!$AP50,IF(H52="MORISON",PR!$AQ50,IF(H52="NEMEL",PR!$AR50,IF(H52="NHP",PR!$AS50,IF(H52="NHC",PR!$AT50,IF(H52="OLEAF",PR!$AU50,IF(H52="OCULUS",PR!$AV50,IF(H52="PACIFIC",PR!$AW50,IF(H52="PHAMATEX",PR!$AX50,IF(H52="PETHICS",PR!$AY50,IF(H52="PHILIPS",PR!$AZ50,IF(H52="RANBAXY",PR!$BA50,IF(H52="REALS",PR!$BB50,IF(H52="ROYAL",PR!$BC50,IF(H52="SAM",PR!$BD50,IF(H52="SEAGREEN",PR!$BE50,IF(H52="SKG",PR!$BF50,IF(H52="TAH",PR!$BG50,IF(H52="TAYLEK",PR!$BH50,IF(H52="TEMITA",PR!$BI50,IF(H52="THL",PR!$BJ50,IF(H52="UBASTIC",PR!$BK50,IF(H52="UNION",PR!$BL50,IF(H52="UNIQUE",PR!$BM50,IF(H52="VIXA",PR!$BN50,IF(H52="WWCV",PR!$BO50,IF(H52="ZOLON",PR!$BP50,"-"))))))))))))))))))))))))))))))))))))))))))))))))))))))))))))))))</f>
        <v>380</v>
      </c>
      <c r="H52" s="102" t="str">
        <f>EV!M52</f>
        <v>EMZOR</v>
      </c>
      <c r="I52" s="108">
        <f>IF(J52="ALPHA",PR!$E50,IF(J52="ASSENE",PR!$F50,IF(J52="BIOFEM",PR!$G50,IF(J52="BIOMED",PR!$H50,IF(J52="CHI",PR!$I50,IF(J52="CLARION",PR!$J50,IF(J52="CODIX",PR!$K50,IF(J52="COSMADE",PR!$L50,IF(J52="SANCON",PR!$M50,IF(J52="DEVON",PR!$N50,IF(J52="DORTEMAG",PR!$O50,IF(J52="DGF",PR!$P50,IF(J52="DYNAMIC",PR!$Q50,IF(J52="EMZOR",PR!$R50,IF(J52="EUMATT",PR!$S50,IF(J52="FIDSON",PR!$T50,IF(J52="FCGLOBAL",PR!$U50,IF(J52="GENEITH",PR!$V50,IF(J52="GINOS",PR!$W50,IF(J52="GSK",PR!$X50,IF(J52="GLOBORG",PR!$Y50,IF(J52="GOODNEWS",PR!$Z50,IF(J52="GREENLIFE",PR!$AA50,IF(J52="HLINE",PR!$AB50,IF(J52="ROTECH",PR!$AC50,IF(J52="ISN",PR!$AD50,IF(J52="JAWA",PR!$AE50,IF(J52="LAYO",PR!$AF50,IF(J52="LEADWAY",PR!$AG50,IF(J52="LHV",PR!$AH50,IF(J52="MANOLA",PR!$AI50,IF(J52="MARCSON",PR!$AJ50,IF(J52="M&amp;B",PR!$AK50,IF(J52="MTRUST",PR!$AL50,IF(J52="MWORLD",PR!$AM50,IF(J52="MEGA",PR!$AN50,IF(J52="MICRONOVA",PR!$AO50,IF(J52="MFLASH",PR!$AP50,IF(J52="MORISON",PR!$AQ50,IF(J52="NEMEL",PR!$AR50,IF(J52="NHP",PR!$AS50,IF(J52="NHC",PR!$AT50,IF(J52="OLEAF",PR!$AU50,IF(J52="OCULUS",PR!$AV50,IF(J52="PACIFIC",PR!$AW50,IF(J52="PHAMATEX",PR!$AX50,IF(J52="PETHICS",PR!$AY50,IF(J52="PHILIPS",PR!$AZ50,IF(J52="RANBAXY",PR!$BA50,IF(J52="REALS",PR!$BB50,IF(J52="ROYAL",PR!$BC50,IF(J52="SAM",PR!$BD50,IF(J52="SEAGREEN",PR!$BE50,IF(J52="SKG",PR!$BF50,IF(J52="TAH",PR!$BG50,IF(J52="TAYLEK",PR!$BH50,IF(J52="TEMITA",PR!$BI50,IF(J52="THL",PR!$BJ50,IF(J52="UBASTIC",PR!$BK50,IF(J52="UNION",PR!$BL50,IF(J52="UNIQUE",PR!$BM50,IF(J52="VIXA",PR!$BN50,IF(J52="WWCV",PR!$BO50,IF(J52="ZOLON",PR!$BP50,"-"))))))))))))))))))))))))))))))))))))))))))))))))))))))))))))))))</f>
        <v>405</v>
      </c>
      <c r="J52" s="102" t="str">
        <f>EV!N52</f>
        <v>PHAMATEX</v>
      </c>
      <c r="K52" s="433" t="s">
        <v>2087</v>
      </c>
      <c r="L52" s="183" t="str">
        <f>IF(K52&gt;0,IF(K52="ALPHA",PR!$E50,IF(K52="ASSENE",PR!$F50,IF(K52="BIOFEM",PR!$G50,IF(K52="BIOMED",PR!$H50,IF(K52="CHI",PR!$I50,IF(K52="CLARION",PR!$J50,IF(K52="CODIX",PR!$K50,IF(K52="COSMADE",PR!$L50,IF(K52="SANCON",PR!$M50,IF(K52="DEVON",PR!$N50,IF(K52="DORTEMAG",PR!$O50,IF(K52="DGF",PR!$P50,IF(K52="DYNAMIC",PR!$Q50,IF(K52="EMZOR",PR!$R50,IF(K52="EUMATT",PR!$S50,IF(K52="FIDSON",PR!$T50,IF(K52="FCGLOBAL",PR!$U50,IF(K52="GENEITH",PR!$V50,IF(K52="GINOS",PR!$W50,IF(K52="GSK",PR!$X50,IF(K52="GLOBORG",PR!$Y50,IF(K52="GOODNEWS",PR!$Z50,IF(K52="GREENLIFE",PR!$AA50,IF(K52="HLINE",PR!$AB50,IF(K52="ROTECH",PR!$AC50,IF(K52="ISN",PR!$AD50,IF(K52="JAWA",PR!$AE50,IF(K52="LAYO",PR!$AF50,IF(K52="LEADWAY",PR!$AG50,IF(K52="LHV",PR!$AH50,IF(K52="MANOLA",PR!$AI50,IF(K52="MARCSON",PR!$AJ50,IF(K52="M&amp;B",PR!$AK50,IF(K52="MTRUST",PR!$AL50,IF(K52="MWORLD",PR!$AM50,IF(K52="MEGA",PR!$AN50,IF(K52="MICRONOVA",PR!$AO50,IF(K52="MFLASH",PR!$AP50,IF(K52="MORISON",PR!$AQ50,IF(K52="NEMEL",PR!$AR50,IF(K52="NHP",PR!$AS50,IF(K52="NHC",PR!$AT50,IF(K52="OLEAF",PR!$AU50,IF(K52="OCULUS",PR!$AV50,IF(K52="PACIFIC",PR!$AW50,IF(K52="PHAMATEX",PR!$AX50,IF(K52="PETHICS",PR!$AY50,IF(K52="PHILIPS",PR!$AZ50,IF(K52="RANBAXY",PR!$BA50,IF(K52="REALS",PR!$BB50,IF(K52="ROYAL",PR!$BC50,IF(K52="SAM",PR!$BD50,IF(K52="SEAGREEN",PR!$BE50,IF(K52="SKG",PR!$BF50,IF(K52="TAH",PR!$BG50,IF(K52="TAYLEK",PR!$BH50,IF(K52="TEMITA",PR!$BI50,IF(K52="THL",PR!$BJ50,IF(K52="UBASTIC",PR!$BK50,IF(K52="UNION",PR!$BL50,IF(K52="UNIQUE",PR!$BM50,IF(K52="VIXA",PR!$BN50,IF(K52="WWCV",PR!$BO50,IF(K52="ZOLON",PR!$BP50,"-")))))))))))))))))))))))))))))))))))))))))))))))))))))))))))))))))</f>
        <v>-</v>
      </c>
    </row>
    <row r="53" spans="1:12" ht="18.75" x14ac:dyDescent="0.3">
      <c r="A53" s="430">
        <f>PR!A51</f>
        <v>35</v>
      </c>
      <c r="B53" s="15" t="str">
        <f>PR!B51</f>
        <v>AMIODARONE 200MG TAB</v>
      </c>
      <c r="C53" s="113">
        <f>PR!D51</f>
        <v>30</v>
      </c>
      <c r="D53" s="113">
        <f>PR!C51</f>
        <v>10</v>
      </c>
      <c r="E53" s="108">
        <f>IF(F53="ALPHA",PR!$E51,IF(F53="ASSENE",PR!$F51,IF(F53="BIOFEM",PR!$G51,IF(F53="BIOMED",PR!$H51,IF(F53="CHI",PR!$I51,IF(F53="CLARION",PR!$J51,IF(F53="CODIX",PR!$K51,IF(F53="COSMADE",PR!$L51,IF(F53="SANCON",PR!$M51,IF(F53="DEVON",PR!$N51,IF(F53="DORTEMAG",PR!$O51,IF(F53="DGF",PR!$P51,IF(F53="DYNAMIC",PR!$Q51,IF(F53="EMZOR",PR!$R51,IF(F53="EUMATT",PR!$S51,IF(F53="FIDSON",PR!$T51,IF(F53="FCGLOBAL",PR!$U51,IF(F53="GENEITH",PR!$V51,IF(F53="GINOS",PR!$W51,IF(F53="GSK",PR!$X51,IF(F53="GLOBORG",PR!$Y51,IF(F53="GOODNEWS",PR!$Z51,IF(F53="GREENLIFE",PR!$AA51,IF(F53="HLINE",PR!$AB51,IF(F53="ROTECH",PR!$AC51,IF(F53="ISN",PR!$AD51,IF(F53="JAWA",PR!$AE51,IF(F53="LAYO",PR!$AF51,IF(F53="LEADWAY",PR!$AG51,IF(F53="LHV",PR!$AH51,IF(F53="MANOLA",PR!$AI51,IF(F53="MARCSON",PR!$AJ51,IF(F53="M&amp;B",PR!$AK51,IF(F53="MTRUST",PR!$AL51,IF(F53="MWORLD",PR!$AM51,IF(F53="MEGA",PR!$AN51,IF(F53="MICRONOVA",PR!$AO51,IF(F53="MFLASH",PR!$AP51,IF(F53="MORISON",PR!$AQ51,IF(F53="NEMEL",PR!$AR51,IF(F53="NHP",PR!$AS51,IF(F53="NHC",PR!$AT51,IF(F53="OLEAF",PR!$AU51,IF(F53="OCULUS",PR!$AV51,IF(F53="PACIFIC",PR!$AW51,IF(F53="PHAMATEX",PR!$AX51,IF(F53="PETHICS",PR!$AY51,IF(F53="PHILIPS",PR!$AZ51,IF(F53="RANBAXY",PR!$BA51,IF(F53="REALS",PR!$BB51,IF(F53="ROYAL",PR!$BC51,IF(F53="SAM",PR!$BD51,IF(F53="SEAGREEN",PR!$BE51,IF(F53="SKG",PR!$BF51,IF(F53="TAH",PR!$BG51,IF(F53="TAYLEK",PR!$BH51,IF(F53="TEMITA",PR!$BI51,IF(F53="THL",PR!$BJ51,IF(F53="UBASTIC",PR!$BK51,IF(F53="UNION",PR!$BL51,IF(F53="UNIQUE",PR!$BM51,IF(F53="VIXA",PR!$BN51,IF(F53="WWCV",PR!$BO51,IF(F53="ZOLON",PR!$BP51,"-"))))))))))))))))))))))))))))))))))))))))))))))))))))))))))))))))</f>
        <v>1600</v>
      </c>
      <c r="F53" s="102" t="str">
        <f>EV!L53</f>
        <v>EUMATT</v>
      </c>
      <c r="G53" s="108">
        <f>IF(H53="ALPHA",PR!$E51,IF(H53="ASSENE",PR!$F51,IF(H53="BIOFEM",PR!$G51,IF(H53="BIOMED",PR!$H51,IF(H53="CHI",PR!$I51,IF(H53="CLARION",PR!$J51,IF(H53="CODIX",PR!$K51,IF(H53="COSMADE",PR!$L51,IF(H53="SANCON",PR!$M51,IF(H53="DEVON",PR!$N51,IF(H53="DORTEMAG",PR!$O51,IF(H53="DGF",PR!$P51,IF(H53="DYNAMIC",PR!$Q51,IF(H53="EMZOR",PR!$R51,IF(H53="EUMATT",PR!$S51,IF(H53="FIDSON",PR!$T51,IF(H53="FCGLOBAL",PR!$U51,IF(H53="GENEITH",PR!$V51,IF(H53="GINOS",PR!$W51,IF(H53="GSK",PR!$X51,IF(H53="GLOBORG",PR!$Y51,IF(H53="GOODNEWS",PR!$Z51,IF(H53="GREENLIFE",PR!$AA51,IF(H53="HLINE",PR!$AB51,IF(H53="ROTECH",PR!$AC51,IF(H53="ISN",PR!$AD51,IF(H53="JAWA",PR!$AE51,IF(H53="LAYO",PR!$AF51,IF(H53="LEADWAY",PR!$AG51,IF(H53="LHV",PR!$AH51,IF(H53="MANOLA",PR!$AI51,IF(H53="MARCSON",PR!$AJ51,IF(H53="M&amp;B",PR!$AK51,IF(H53="MTRUST",PR!$AL51,IF(H53="MWORLD",PR!$AM51,IF(H53="MEGA",PR!$AN51,IF(H53="MICRONOVA",PR!$AO51,IF(H53="MFLASH",PR!$AP51,IF(H53="MORISON",PR!$AQ51,IF(H53="NEMEL",PR!$AR51,IF(H53="NHP",PR!$AS51,IF(H53="NHC",PR!$AT51,IF(H53="OLEAF",PR!$AU51,IF(H53="OCULUS",PR!$AV51,IF(H53="PACIFIC",PR!$AW51,IF(H53="PHAMATEX",PR!$AX51,IF(H53="PETHICS",PR!$AY51,IF(H53="PHILIPS",PR!$AZ51,IF(H53="RANBAXY",PR!$BA51,IF(H53="REALS",PR!$BB51,IF(H53="ROYAL",PR!$BC51,IF(H53="SAM",PR!$BD51,IF(H53="SEAGREEN",PR!$BE51,IF(H53="SKG",PR!$BF51,IF(H53="TAH",PR!$BG51,IF(H53="TAYLEK",PR!$BH51,IF(H53="TEMITA",PR!$BI51,IF(H53="THL",PR!$BJ51,IF(H53="UBASTIC",PR!$BK51,IF(H53="UNION",PR!$BL51,IF(H53="UNIQUE",PR!$BM51,IF(H53="VIXA",PR!$BN51,IF(H53="WWCV",PR!$BO51,IF(H53="ZOLON",PR!$BP51,"-"))))))))))))))))))))))))))))))))))))))))))))))))))))))))))))))))</f>
        <v>1727</v>
      </c>
      <c r="H53" s="102" t="str">
        <f>EV!M53</f>
        <v>MICRONOVA</v>
      </c>
      <c r="I53" s="108" t="str">
        <f>IF(J53="ALPHA",PR!$E51,IF(J53="ASSENE",PR!$F51,IF(J53="BIOFEM",PR!$G51,IF(J53="BIOMED",PR!$H51,IF(J53="CHI",PR!$I51,IF(J53="CLARION",PR!$J51,IF(J53="CODIX",PR!$K51,IF(J53="COSMADE",PR!$L51,IF(J53="SANCON",PR!$M51,IF(J53="DEVON",PR!$N51,IF(J53="DORTEMAG",PR!$O51,IF(J53="DGF",PR!$P51,IF(J53="DYNAMIC",PR!$Q51,IF(J53="EMZOR",PR!$R51,IF(J53="EUMATT",PR!$S51,IF(J53="FIDSON",PR!$T51,IF(J53="FCGLOBAL",PR!$U51,IF(J53="GENEITH",PR!$V51,IF(J53="GINOS",PR!$W51,IF(J53="GSK",PR!$X51,IF(J53="GLOBORG",PR!$Y51,IF(J53="GOODNEWS",PR!$Z51,IF(J53="GREENLIFE",PR!$AA51,IF(J53="HLINE",PR!$AB51,IF(J53="ROTECH",PR!$AC51,IF(J53="ISN",PR!$AD51,IF(J53="JAWA",PR!$AE51,IF(J53="LAYO",PR!$AF51,IF(J53="LEADWAY",PR!$AG51,IF(J53="LHV",PR!$AH51,IF(J53="MANOLA",PR!$AI51,IF(J53="MARCSON",PR!$AJ51,IF(J53="M&amp;B",PR!$AK51,IF(J53="MTRUST",PR!$AL51,IF(J53="MWORLD",PR!$AM51,IF(J53="MEGA",PR!$AN51,IF(J53="MICRONOVA",PR!$AO51,IF(J53="MFLASH",PR!$AP51,IF(J53="MORISON",PR!$AQ51,IF(J53="NEMEL",PR!$AR51,IF(J53="NHP",PR!$AS51,IF(J53="NHC",PR!$AT51,IF(J53="OLEAF",PR!$AU51,IF(J53="OCULUS",PR!$AV51,IF(J53="PACIFIC",PR!$AW51,IF(J53="PHAMATEX",PR!$AX51,IF(J53="PETHICS",PR!$AY51,IF(J53="PHILIPS",PR!$AZ51,IF(J53="RANBAXY",PR!$BA51,IF(J53="REALS",PR!$BB51,IF(J53="ROYAL",PR!$BC51,IF(J53="SAM",PR!$BD51,IF(J53="SEAGREEN",PR!$BE51,IF(J53="SKG",PR!$BF51,IF(J53="TAH",PR!$BG51,IF(J53="TAYLEK",PR!$BH51,IF(J53="TEMITA",PR!$BI51,IF(J53="THL",PR!$BJ51,IF(J53="UBASTIC",PR!$BK51,IF(J53="UNION",PR!$BL51,IF(J53="UNIQUE",PR!$BM51,IF(J53="VIXA",PR!$BN51,IF(J53="WWCV",PR!$BO51,IF(J53="ZOLON",PR!$BP51,"-"))))))))))))))))))))))))))))))))))))))))))))))))))))))))))))))))</f>
        <v>-</v>
      </c>
      <c r="J53" s="102">
        <f>EV!N53</f>
        <v>0</v>
      </c>
      <c r="K53" s="433" t="s">
        <v>632</v>
      </c>
      <c r="L53" s="183">
        <f>IF(K53&gt;0,IF(K53="ALPHA",PR!$E51,IF(K53="ASSENE",PR!$F51,IF(K53="BIOFEM",PR!$G51,IF(K53="BIOMED",PR!$H51,IF(K53="CHI",PR!$I51,IF(K53="CLARION",PR!$J51,IF(K53="CODIX",PR!$K51,IF(K53="COSMADE",PR!$L51,IF(K53="SANCON",PR!$M51,IF(K53="DEVON",PR!$N51,IF(K53="DORTEMAG",PR!$O51,IF(K53="DGF",PR!$P51,IF(K53="DYNAMIC",PR!$Q51,IF(K53="EMZOR",PR!$R51,IF(K53="EUMATT",PR!$S51,IF(K53="FIDSON",PR!$T51,IF(K53="FCGLOBAL",PR!$U51,IF(K53="GENEITH",PR!$V51,IF(K53="GINOS",PR!$W51,IF(K53="GSK",PR!$X51,IF(K53="GLOBORG",PR!$Y51,IF(K53="GOODNEWS",PR!$Z51,IF(K53="GREENLIFE",PR!$AA51,IF(K53="HLINE",PR!$AB51,IF(K53="ROTECH",PR!$AC51,IF(K53="ISN",PR!$AD51,IF(K53="JAWA",PR!$AE51,IF(K53="LAYO",PR!$AF51,IF(K53="LEADWAY",PR!$AG51,IF(K53="LHV",PR!$AH51,IF(K53="MANOLA",PR!$AI51,IF(K53="MARCSON",PR!$AJ51,IF(K53="M&amp;B",PR!$AK51,IF(K53="MTRUST",PR!$AL51,IF(K53="MWORLD",PR!$AM51,IF(K53="MEGA",PR!$AN51,IF(K53="MICRONOVA",PR!$AO51,IF(K53="MFLASH",PR!$AP51,IF(K53="MORISON",PR!$AQ51,IF(K53="NEMEL",PR!$AR51,IF(K53="NHP",PR!$AS51,IF(K53="NHC",PR!$AT51,IF(K53="OLEAF",PR!$AU51,IF(K53="OCULUS",PR!$AV51,IF(K53="PACIFIC",PR!$AW51,IF(K53="PHAMATEX",PR!$AX51,IF(K53="PETHICS",PR!$AY51,IF(K53="PHILIPS",PR!$AZ51,IF(K53="RANBAXY",PR!$BA51,IF(K53="REALS",PR!$BB51,IF(K53="ROYAL",PR!$BC51,IF(K53="SAM",PR!$BD51,IF(K53="SEAGREEN",PR!$BE51,IF(K53="SKG",PR!$BF51,IF(K53="TAH",PR!$BG51,IF(K53="TAYLEK",PR!$BH51,IF(K53="TEMITA",PR!$BI51,IF(K53="THL",PR!$BJ51,IF(K53="UBASTIC",PR!$BK51,IF(K53="UNION",PR!$BL51,IF(K53="UNIQUE",PR!$BM51,IF(K53="VIXA",PR!$BN51,IF(K53="WWCV",PR!$BO51,IF(K53="ZOLON",PR!$BP51,"-")))))))))))))))))))))))))))))))))))))))))))))))))))))))))))))))))</f>
        <v>1727</v>
      </c>
    </row>
    <row r="54" spans="1:12" ht="18.75" x14ac:dyDescent="0.3">
      <c r="A54" s="430">
        <f>PR!A52</f>
        <v>36</v>
      </c>
      <c r="B54" s="15" t="str">
        <f>PR!B52</f>
        <v>AMLODIPINE 10MG + RAMIPRIL 5MG</v>
      </c>
      <c r="C54" s="113">
        <f>PR!D52</f>
        <v>30</v>
      </c>
      <c r="D54" s="113">
        <f>PR!C52</f>
        <v>200</v>
      </c>
      <c r="E54" s="108">
        <f>IF(F54="ALPHA",PR!$E52,IF(F54="ASSENE",PR!$F52,IF(F54="BIOFEM",PR!$G52,IF(F54="BIOMED",PR!$H52,IF(F54="CHI",PR!$I52,IF(F54="CLARION",PR!$J52,IF(F54="CODIX",PR!$K52,IF(F54="COSMADE",PR!$L52,IF(F54="SANCON",PR!$M52,IF(F54="DEVON",PR!$N52,IF(F54="DORTEMAG",PR!$O52,IF(F54="DGF",PR!$P52,IF(F54="DYNAMIC",PR!$Q52,IF(F54="EMZOR",PR!$R52,IF(F54="EUMATT",PR!$S52,IF(F54="FIDSON",PR!$T52,IF(F54="FCGLOBAL",PR!$U52,IF(F54="GENEITH",PR!$V52,IF(F54="GINOS",PR!$W52,IF(F54="GSK",PR!$X52,IF(F54="GLOBORG",PR!$Y52,IF(F54="GOODNEWS",PR!$Z52,IF(F54="GREENLIFE",PR!$AA52,IF(F54="HLINE",PR!$AB52,IF(F54="ROTECH",PR!$AC52,IF(F54="ISN",PR!$AD52,IF(F54="JAWA",PR!$AE52,IF(F54="LAYO",PR!$AF52,IF(F54="LEADWAY",PR!$AG52,IF(F54="LHV",PR!$AH52,IF(F54="MANOLA",PR!$AI52,IF(F54="MARCSON",PR!$AJ52,IF(F54="M&amp;B",PR!$AK52,IF(F54="MTRUST",PR!$AL52,IF(F54="MWORLD",PR!$AM52,IF(F54="MEGA",PR!$AN52,IF(F54="MICRONOVA",PR!$AO52,IF(F54="MFLASH",PR!$AP52,IF(F54="MORISON",PR!$AQ52,IF(F54="NEMEL",PR!$AR52,IF(F54="NHP",PR!$AS52,IF(F54="NHC",PR!$AT52,IF(F54="OLEAF",PR!$AU52,IF(F54="OCULUS",PR!$AV52,IF(F54="PACIFIC",PR!$AW52,IF(F54="PHAMATEX",PR!$AX52,IF(F54="PETHICS",PR!$AY52,IF(F54="PHILIPS",PR!$AZ52,IF(F54="RANBAXY",PR!$BA52,IF(F54="REALS",PR!$BB52,IF(F54="ROYAL",PR!$BC52,IF(F54="SAM",PR!$BD52,IF(F54="SEAGREEN",PR!$BE52,IF(F54="SKG",PR!$BF52,IF(F54="TAH",PR!$BG52,IF(F54="TAYLEK",PR!$BH52,IF(F54="TEMITA",PR!$BI52,IF(F54="THL",PR!$BJ52,IF(F54="UBASTIC",PR!$BK52,IF(F54="UNION",PR!$BL52,IF(F54="UNIQUE",PR!$BM52,IF(F54="VIXA",PR!$BN52,IF(F54="WWCV",PR!$BO52,IF(F54="ZOLON",PR!$BP52,"-"))))))))))))))))))))))))))))))))))))))))))))))))))))))))))))))))</f>
        <v>1800</v>
      </c>
      <c r="F54" s="102" t="str">
        <f>EV!L54</f>
        <v>MARCSON</v>
      </c>
      <c r="G54" s="108" t="str">
        <f>IF(H54="ALPHA",PR!$E52,IF(H54="ASSENE",PR!$F52,IF(H54="BIOFEM",PR!$G52,IF(H54="BIOMED",PR!$H52,IF(H54="CHI",PR!$I52,IF(H54="CLARION",PR!$J52,IF(H54="CODIX",PR!$K52,IF(H54="COSMADE",PR!$L52,IF(H54="SANCON",PR!$M52,IF(H54="DEVON",PR!$N52,IF(H54="DORTEMAG",PR!$O52,IF(H54="DGF",PR!$P52,IF(H54="DYNAMIC",PR!$Q52,IF(H54="EMZOR",PR!$R52,IF(H54="EUMATT",PR!$S52,IF(H54="FIDSON",PR!$T52,IF(H54="FCGLOBAL",PR!$U52,IF(H54="GENEITH",PR!$V52,IF(H54="GINOS",PR!$W52,IF(H54="GSK",PR!$X52,IF(H54="GLOBORG",PR!$Y52,IF(H54="GOODNEWS",PR!$Z52,IF(H54="GREENLIFE",PR!$AA52,IF(H54="HLINE",PR!$AB52,IF(H54="ROTECH",PR!$AC52,IF(H54="ISN",PR!$AD52,IF(H54="JAWA",PR!$AE52,IF(H54="LAYO",PR!$AF52,IF(H54="LEADWAY",PR!$AG52,IF(H54="LHV",PR!$AH52,IF(H54="MANOLA",PR!$AI52,IF(H54="MARCSON",PR!$AJ52,IF(H54="M&amp;B",PR!$AK52,IF(H54="MTRUST",PR!$AL52,IF(H54="MWORLD",PR!$AM52,IF(H54="MEGA",PR!$AN52,IF(H54="MICRONOVA",PR!$AO52,IF(H54="MFLASH",PR!$AP52,IF(H54="MORISON",PR!$AQ52,IF(H54="NEMEL",PR!$AR52,IF(H54="NHP",PR!$AS52,IF(H54="NHC",PR!$AT52,IF(H54="OLEAF",PR!$AU52,IF(H54="OCULUS",PR!$AV52,IF(H54="PACIFIC",PR!$AW52,IF(H54="PHAMATEX",PR!$AX52,IF(H54="PETHICS",PR!$AY52,IF(H54="PHILIPS",PR!$AZ52,IF(H54="RANBAXY",PR!$BA52,IF(H54="REALS",PR!$BB52,IF(H54="ROYAL",PR!$BC52,IF(H54="SAM",PR!$BD52,IF(H54="SEAGREEN",PR!$BE52,IF(H54="SKG",PR!$BF52,IF(H54="TAH",PR!$BG52,IF(H54="TAYLEK",PR!$BH52,IF(H54="TEMITA",PR!$BI52,IF(H54="THL",PR!$BJ52,IF(H54="UBASTIC",PR!$BK52,IF(H54="UNION",PR!$BL52,IF(H54="UNIQUE",PR!$BM52,IF(H54="VIXA",PR!$BN52,IF(H54="WWCV",PR!$BO52,IF(H54="ZOLON",PR!$BP52,"-"))))))))))))))))))))))))))))))))))))))))))))))))))))))))))))))))</f>
        <v>-</v>
      </c>
      <c r="H54" s="102">
        <f>EV!M54</f>
        <v>0</v>
      </c>
      <c r="I54" s="108" t="str">
        <f>IF(J54="ALPHA",PR!$E52,IF(J54="ASSENE",PR!$F52,IF(J54="BIOFEM",PR!$G52,IF(J54="BIOMED",PR!$H52,IF(J54="CHI",PR!$I52,IF(J54="CLARION",PR!$J52,IF(J54="CODIX",PR!$K52,IF(J54="COSMADE",PR!$L52,IF(J54="SANCON",PR!$M52,IF(J54="DEVON",PR!$N52,IF(J54="DORTEMAG",PR!$O52,IF(J54="DGF",PR!$P52,IF(J54="DYNAMIC",PR!$Q52,IF(J54="EMZOR",PR!$R52,IF(J54="EUMATT",PR!$S52,IF(J54="FIDSON",PR!$T52,IF(J54="FCGLOBAL",PR!$U52,IF(J54="GENEITH",PR!$V52,IF(J54="GINOS",PR!$W52,IF(J54="GSK",PR!$X52,IF(J54="GLOBORG",PR!$Y52,IF(J54="GOODNEWS",PR!$Z52,IF(J54="GREENLIFE",PR!$AA52,IF(J54="HLINE",PR!$AB52,IF(J54="ROTECH",PR!$AC52,IF(J54="ISN",PR!$AD52,IF(J54="JAWA",PR!$AE52,IF(J54="LAYO",PR!$AF52,IF(J54="LEADWAY",PR!$AG52,IF(J54="LHV",PR!$AH52,IF(J54="MANOLA",PR!$AI52,IF(J54="MARCSON",PR!$AJ52,IF(J54="M&amp;B",PR!$AK52,IF(J54="MTRUST",PR!$AL52,IF(J54="MWORLD",PR!$AM52,IF(J54="MEGA",PR!$AN52,IF(J54="MICRONOVA",PR!$AO52,IF(J54="MFLASH",PR!$AP52,IF(J54="MORISON",PR!$AQ52,IF(J54="NEMEL",PR!$AR52,IF(J54="NHP",PR!$AS52,IF(J54="NHC",PR!$AT52,IF(J54="OLEAF",PR!$AU52,IF(J54="OCULUS",PR!$AV52,IF(J54="PACIFIC",PR!$AW52,IF(J54="PHAMATEX",PR!$AX52,IF(J54="PETHICS",PR!$AY52,IF(J54="PHILIPS",PR!$AZ52,IF(J54="RANBAXY",PR!$BA52,IF(J54="REALS",PR!$BB52,IF(J54="ROYAL",PR!$BC52,IF(J54="SAM",PR!$BD52,IF(J54="SEAGREEN",PR!$BE52,IF(J54="SKG",PR!$BF52,IF(J54="TAH",PR!$BG52,IF(J54="TAYLEK",PR!$BH52,IF(J54="TEMITA",PR!$BI52,IF(J54="THL",PR!$BJ52,IF(J54="UBASTIC",PR!$BK52,IF(J54="UNION",PR!$BL52,IF(J54="UNIQUE",PR!$BM52,IF(J54="VIXA",PR!$BN52,IF(J54="WWCV",PR!$BO52,IF(J54="ZOLON",PR!$BP52,"-"))))))))))))))))))))))))))))))))))))))))))))))))))))))))))))))))</f>
        <v>-</v>
      </c>
      <c r="J54" s="102">
        <f>EV!N54</f>
        <v>0</v>
      </c>
      <c r="K54" s="433" t="s">
        <v>823</v>
      </c>
      <c r="L54" s="183">
        <f>IF(K54&gt;0,IF(K54="ALPHA",PR!$E52,IF(K54="ASSENE",PR!$F52,IF(K54="BIOFEM",PR!$G52,IF(K54="BIOMED",PR!$H52,IF(K54="CHI",PR!$I52,IF(K54="CLARION",PR!$J52,IF(K54="CODIX",PR!$K52,IF(K54="COSMADE",PR!$L52,IF(K54="SANCON",PR!$M52,IF(K54="DEVON",PR!$N52,IF(K54="DORTEMAG",PR!$O52,IF(K54="DGF",PR!$P52,IF(K54="DYNAMIC",PR!$Q52,IF(K54="EMZOR",PR!$R52,IF(K54="EUMATT",PR!$S52,IF(K54="FIDSON",PR!$T52,IF(K54="FCGLOBAL",PR!$U52,IF(K54="GENEITH",PR!$V52,IF(K54="GINOS",PR!$W52,IF(K54="GSK",PR!$X52,IF(K54="GLOBORG",PR!$Y52,IF(K54="GOODNEWS",PR!$Z52,IF(K54="GREENLIFE",PR!$AA52,IF(K54="HLINE",PR!$AB52,IF(K54="ROTECH",PR!$AC52,IF(K54="ISN",PR!$AD52,IF(K54="JAWA",PR!$AE52,IF(K54="LAYO",PR!$AF52,IF(K54="LEADWAY",PR!$AG52,IF(K54="LHV",PR!$AH52,IF(K54="MANOLA",PR!$AI52,IF(K54="MARCSON",PR!$AJ52,IF(K54="M&amp;B",PR!$AK52,IF(K54="MTRUST",PR!$AL52,IF(K54="MWORLD",PR!$AM52,IF(K54="MEGA",PR!$AN52,IF(K54="MICRONOVA",PR!$AO52,IF(K54="MFLASH",PR!$AP52,IF(K54="MORISON",PR!$AQ52,IF(K54="NEMEL",PR!$AR52,IF(K54="NHP",PR!$AS52,IF(K54="NHC",PR!$AT52,IF(K54="OLEAF",PR!$AU52,IF(K54="OCULUS",PR!$AV52,IF(K54="PACIFIC",PR!$AW52,IF(K54="PHAMATEX",PR!$AX52,IF(K54="PETHICS",PR!$AY52,IF(K54="PHILIPS",PR!$AZ52,IF(K54="RANBAXY",PR!$BA52,IF(K54="REALS",PR!$BB52,IF(K54="ROYAL",PR!$BC52,IF(K54="SAM",PR!$BD52,IF(K54="SEAGREEN",PR!$BE52,IF(K54="SKG",PR!$BF52,IF(K54="TAH",PR!$BG52,IF(K54="TAYLEK",PR!$BH52,IF(K54="TEMITA",PR!$BI52,IF(K54="THL",PR!$BJ52,IF(K54="UBASTIC",PR!$BK52,IF(K54="UNION",PR!$BL52,IF(K54="UNIQUE",PR!$BM52,IF(K54="VIXA",PR!$BN52,IF(K54="WWCV",PR!$BO52,IF(K54="ZOLON",PR!$BP52,"-")))))))))))))))))))))))))))))))))))))))))))))))))))))))))))))))))</f>
        <v>1800</v>
      </c>
    </row>
    <row r="55" spans="1:12" ht="18.75" x14ac:dyDescent="0.3">
      <c r="A55" s="430">
        <f>PR!A53</f>
        <v>37</v>
      </c>
      <c r="B55" s="15" t="str">
        <f>PR!B53</f>
        <v>AMLODIPINE 10MG TAB</v>
      </c>
      <c r="C55" s="113">
        <f>PR!D53</f>
        <v>28</v>
      </c>
      <c r="D55" s="113">
        <f>PR!C53</f>
        <v>12000</v>
      </c>
      <c r="E55" s="108">
        <f>IF(F55="ALPHA",PR!$E53,IF(F55="ASSENE",PR!$F53,IF(F55="BIOFEM",PR!$G53,IF(F55="BIOMED",PR!$H53,IF(F55="CHI",PR!$I53,IF(F55="CLARION",PR!$J53,IF(F55="CODIX",PR!$K53,IF(F55="COSMADE",PR!$L53,IF(F55="SANCON",PR!$M53,IF(F55="DEVON",PR!$N53,IF(F55="DORTEMAG",PR!$O53,IF(F55="DGF",PR!$P53,IF(F55="DYNAMIC",PR!$Q53,IF(F55="EMZOR",PR!$R53,IF(F55="EUMATT",PR!$S53,IF(F55="FIDSON",PR!$T53,IF(F55="FCGLOBAL",PR!$U53,IF(F55="GENEITH",PR!$V53,IF(F55="GINOS",PR!$W53,IF(F55="GSK",PR!$X53,IF(F55="GLOBORG",PR!$Y53,IF(F55="GOODNEWS",PR!$Z53,IF(F55="GREENLIFE",PR!$AA53,IF(F55="HLINE",PR!$AB53,IF(F55="ROTECH",PR!$AC53,IF(F55="ISN",PR!$AD53,IF(F55="JAWA",PR!$AE53,IF(F55="LAYO",PR!$AF53,IF(F55="LEADWAY",PR!$AG53,IF(F55="LHV",PR!$AH53,IF(F55="MANOLA",PR!$AI53,IF(F55="MARCSON",PR!$AJ53,IF(F55="M&amp;B",PR!$AK53,IF(F55="MTRUST",PR!$AL53,IF(F55="MWORLD",PR!$AM53,IF(F55="MEGA",PR!$AN53,IF(F55="MICRONOVA",PR!$AO53,IF(F55="MFLASH",PR!$AP53,IF(F55="MORISON",PR!$AQ53,IF(F55="NEMEL",PR!$AR53,IF(F55="NHP",PR!$AS53,IF(F55="NHC",PR!$AT53,IF(F55="OLEAF",PR!$AU53,IF(F55="OCULUS",PR!$AV53,IF(F55="PACIFIC",PR!$AW53,IF(F55="PHAMATEX",PR!$AX53,IF(F55="PETHICS",PR!$AY53,IF(F55="PHILIPS",PR!$AZ53,IF(F55="RANBAXY",PR!$BA53,IF(F55="REALS",PR!$BB53,IF(F55="ROYAL",PR!$BC53,IF(F55="SAM",PR!$BD53,IF(F55="SEAGREEN",PR!$BE53,IF(F55="SKG",PR!$BF53,IF(F55="TAH",PR!$BG53,IF(F55="TAYLEK",PR!$BH53,IF(F55="TEMITA",PR!$BI53,IF(F55="THL",PR!$BJ53,IF(F55="UBASTIC",PR!$BK53,IF(F55="UNION",PR!$BL53,IF(F55="UNIQUE",PR!$BM53,IF(F55="VIXA",PR!$BN53,IF(F55="WWCV",PR!$BO53,IF(F55="ZOLON",PR!$BP53,"-"))))))))))))))))))))))))))))))))))))))))))))))))))))))))))))))))</f>
        <v>230</v>
      </c>
      <c r="F55" s="102" t="str">
        <f>EV!L55</f>
        <v>EUMATT</v>
      </c>
      <c r="G55" s="108">
        <f>IF(H55="ALPHA",PR!$E53,IF(H55="ASSENE",PR!$F53,IF(H55="BIOFEM",PR!$G53,IF(H55="BIOMED",PR!$H53,IF(H55="CHI",PR!$I53,IF(H55="CLARION",PR!$J53,IF(H55="CODIX",PR!$K53,IF(H55="COSMADE",PR!$L53,IF(H55="SANCON",PR!$M53,IF(H55="DEVON",PR!$N53,IF(H55="DORTEMAG",PR!$O53,IF(H55="DGF",PR!$P53,IF(H55="DYNAMIC",PR!$Q53,IF(H55="EMZOR",PR!$R53,IF(H55="EUMATT",PR!$S53,IF(H55="FIDSON",PR!$T53,IF(H55="FCGLOBAL",PR!$U53,IF(H55="GENEITH",PR!$V53,IF(H55="GINOS",PR!$W53,IF(H55="GSK",PR!$X53,IF(H55="GLOBORG",PR!$Y53,IF(H55="GOODNEWS",PR!$Z53,IF(H55="GREENLIFE",PR!$AA53,IF(H55="HLINE",PR!$AB53,IF(H55="ROTECH",PR!$AC53,IF(H55="ISN",PR!$AD53,IF(H55="JAWA",PR!$AE53,IF(H55="LAYO",PR!$AF53,IF(H55="LEADWAY",PR!$AG53,IF(H55="LHV",PR!$AH53,IF(H55="MANOLA",PR!$AI53,IF(H55="MARCSON",PR!$AJ53,IF(H55="M&amp;B",PR!$AK53,IF(H55="MTRUST",PR!$AL53,IF(H55="MWORLD",PR!$AM53,IF(H55="MEGA",PR!$AN53,IF(H55="MICRONOVA",PR!$AO53,IF(H55="MFLASH",PR!$AP53,IF(H55="MORISON",PR!$AQ53,IF(H55="NEMEL",PR!$AR53,IF(H55="NHP",PR!$AS53,IF(H55="NHC",PR!$AT53,IF(H55="OLEAF",PR!$AU53,IF(H55="OCULUS",PR!$AV53,IF(H55="PACIFIC",PR!$AW53,IF(H55="PHAMATEX",PR!$AX53,IF(H55="PETHICS",PR!$AY53,IF(H55="PHILIPS",PR!$AZ53,IF(H55="RANBAXY",PR!$BA53,IF(H55="REALS",PR!$BB53,IF(H55="ROYAL",PR!$BC53,IF(H55="SAM",PR!$BD53,IF(H55="SEAGREEN",PR!$BE53,IF(H55="SKG",PR!$BF53,IF(H55="TAH",PR!$BG53,IF(H55="TAYLEK",PR!$BH53,IF(H55="TEMITA",PR!$BI53,IF(H55="THL",PR!$BJ53,IF(H55="UBASTIC",PR!$BK53,IF(H55="UNION",PR!$BL53,IF(H55="UNIQUE",PR!$BM53,IF(H55="VIXA",PR!$BN53,IF(H55="WWCV",PR!$BO53,IF(H55="ZOLON",PR!$BP53,"-"))))))))))))))))))))))))))))))))))))))))))))))))))))))))))))))))</f>
        <v>250</v>
      </c>
      <c r="H55" s="102" t="str">
        <f>EV!M55</f>
        <v>HLINE</v>
      </c>
      <c r="I55" s="108">
        <f>IF(J55="ALPHA",PR!$E53,IF(J55="ASSENE",PR!$F53,IF(J55="BIOFEM",PR!$G53,IF(J55="BIOMED",PR!$H53,IF(J55="CHI",PR!$I53,IF(J55="CLARION",PR!$J53,IF(J55="CODIX",PR!$K53,IF(J55="COSMADE",PR!$L53,IF(J55="SANCON",PR!$M53,IF(J55="DEVON",PR!$N53,IF(J55="DORTEMAG",PR!$O53,IF(J55="DGF",PR!$P53,IF(J55="DYNAMIC",PR!$Q53,IF(J55="EMZOR",PR!$R53,IF(J55="EUMATT",PR!$S53,IF(J55="FIDSON",PR!$T53,IF(J55="FCGLOBAL",PR!$U53,IF(J55="GENEITH",PR!$V53,IF(J55="GINOS",PR!$W53,IF(J55="GSK",PR!$X53,IF(J55="GLOBORG",PR!$Y53,IF(J55="GOODNEWS",PR!$Z53,IF(J55="GREENLIFE",PR!$AA53,IF(J55="HLINE",PR!$AB53,IF(J55="ROTECH",PR!$AC53,IF(J55="ISN",PR!$AD53,IF(J55="JAWA",PR!$AE53,IF(J55="LAYO",PR!$AF53,IF(J55="LEADWAY",PR!$AG53,IF(J55="LHV",PR!$AH53,IF(J55="MANOLA",PR!$AI53,IF(J55="MARCSON",PR!$AJ53,IF(J55="M&amp;B",PR!$AK53,IF(J55="MTRUST",PR!$AL53,IF(J55="MWORLD",PR!$AM53,IF(J55="MEGA",PR!$AN53,IF(J55="MICRONOVA",PR!$AO53,IF(J55="MFLASH",PR!$AP53,IF(J55="MORISON",PR!$AQ53,IF(J55="NEMEL",PR!$AR53,IF(J55="NHP",PR!$AS53,IF(J55="NHC",PR!$AT53,IF(J55="OLEAF",PR!$AU53,IF(J55="OCULUS",PR!$AV53,IF(J55="PACIFIC",PR!$AW53,IF(J55="PHAMATEX",PR!$AX53,IF(J55="PETHICS",PR!$AY53,IF(J55="PHILIPS",PR!$AZ53,IF(J55="RANBAXY",PR!$BA53,IF(J55="REALS",PR!$BB53,IF(J55="ROYAL",PR!$BC53,IF(J55="SAM",PR!$BD53,IF(J55="SEAGREEN",PR!$BE53,IF(J55="SKG",PR!$BF53,IF(J55="TAH",PR!$BG53,IF(J55="TAYLEK",PR!$BH53,IF(J55="TEMITA",PR!$BI53,IF(J55="THL",PR!$BJ53,IF(J55="UBASTIC",PR!$BK53,IF(J55="UNION",PR!$BL53,IF(J55="UNIQUE",PR!$BM53,IF(J55="VIXA",PR!$BN53,IF(J55="WWCV",PR!$BO53,IF(J55="ZOLON",PR!$BP53,"-"))))))))))))))))))))))))))))))))))))))))))))))))))))))))))))))))</f>
        <v>260</v>
      </c>
      <c r="J55" s="102" t="str">
        <f>EV!N55</f>
        <v>SAM</v>
      </c>
      <c r="K55" s="433" t="s">
        <v>2088</v>
      </c>
      <c r="L55" s="183" t="str">
        <f>IF(K55&gt;0,IF(K55="ALPHA",PR!$E53,IF(K55="ASSENE",PR!$F53,IF(K55="BIOFEM",PR!$G53,IF(K55="BIOMED",PR!$H53,IF(K55="CHI",PR!$I53,IF(K55="CLARION",PR!$J53,IF(K55="CODIX",PR!$K53,IF(K55="COSMADE",PR!$L53,IF(K55="SANCON",PR!$M53,IF(K55="DEVON",PR!$N53,IF(K55="DORTEMAG",PR!$O53,IF(K55="DGF",PR!$P53,IF(K55="DYNAMIC",PR!$Q53,IF(K55="EMZOR",PR!$R53,IF(K55="EUMATT",PR!$S53,IF(K55="FIDSON",PR!$T53,IF(K55="FCGLOBAL",PR!$U53,IF(K55="GENEITH",PR!$V53,IF(K55="GINOS",PR!$W53,IF(K55="GSK",PR!$X53,IF(K55="GLOBORG",PR!$Y53,IF(K55="GOODNEWS",PR!$Z53,IF(K55="GREENLIFE",PR!$AA53,IF(K55="HLINE",PR!$AB53,IF(K55="ROTECH",PR!$AC53,IF(K55="ISN",PR!$AD53,IF(K55="JAWA",PR!$AE53,IF(K55="LAYO",PR!$AF53,IF(K55="LEADWAY",PR!$AG53,IF(K55="LHV",PR!$AH53,IF(K55="MANOLA",PR!$AI53,IF(K55="MARCSON",PR!$AJ53,IF(K55="M&amp;B",PR!$AK53,IF(K55="MTRUST",PR!$AL53,IF(K55="MWORLD",PR!$AM53,IF(K55="MEGA",PR!$AN53,IF(K55="MICRONOVA",PR!$AO53,IF(K55="MFLASH",PR!$AP53,IF(K55="MORISON",PR!$AQ53,IF(K55="NEMEL",PR!$AR53,IF(K55="NHP",PR!$AS53,IF(K55="NHC",PR!$AT53,IF(K55="OLEAF",PR!$AU53,IF(K55="OCULUS",PR!$AV53,IF(K55="PACIFIC",PR!$AW53,IF(K55="PHAMATEX",PR!$AX53,IF(K55="PETHICS",PR!$AY53,IF(K55="PHILIPS",PR!$AZ53,IF(K55="RANBAXY",PR!$BA53,IF(K55="REALS",PR!$BB53,IF(K55="ROYAL",PR!$BC53,IF(K55="SAM",PR!$BD53,IF(K55="SEAGREEN",PR!$BE53,IF(K55="SKG",PR!$BF53,IF(K55="TAH",PR!$BG53,IF(K55="TAYLEK",PR!$BH53,IF(K55="TEMITA",PR!$BI53,IF(K55="THL",PR!$BJ53,IF(K55="UBASTIC",PR!$BK53,IF(K55="UNION",PR!$BL53,IF(K55="UNIQUE",PR!$BM53,IF(K55="VIXA",PR!$BN53,IF(K55="WWCV",PR!$BO53,IF(K55="ZOLON",PR!$BP53,"-")))))))))))))))))))))))))))))))))))))))))))))))))))))))))))))))))</f>
        <v>-</v>
      </c>
    </row>
    <row r="56" spans="1:12" ht="18.75" x14ac:dyDescent="0.3">
      <c r="A56" s="430">
        <f>PR!A54</f>
        <v>38</v>
      </c>
      <c r="B56" s="15" t="str">
        <f>PR!B54</f>
        <v>AMLODIPINE 5MG + RAMIPRIL 2.5MG</v>
      </c>
      <c r="C56" s="113">
        <f>PR!D54</f>
        <v>30</v>
      </c>
      <c r="D56" s="113">
        <f>PR!C54</f>
        <v>200</v>
      </c>
      <c r="E56" s="108">
        <f>IF(F56="ALPHA",PR!$E54,IF(F56="ASSENE",PR!$F54,IF(F56="BIOFEM",PR!$G54,IF(F56="BIOMED",PR!$H54,IF(F56="CHI",PR!$I54,IF(F56="CLARION",PR!$J54,IF(F56="CODIX",PR!$K54,IF(F56="COSMADE",PR!$L54,IF(F56="SANCON",PR!$M54,IF(F56="DEVON",PR!$N54,IF(F56="DORTEMAG",PR!$O54,IF(F56="DGF",PR!$P54,IF(F56="DYNAMIC",PR!$Q54,IF(F56="EMZOR",PR!$R54,IF(F56="EUMATT",PR!$S54,IF(F56="FIDSON",PR!$T54,IF(F56="FCGLOBAL",PR!$U54,IF(F56="GENEITH",PR!$V54,IF(F56="GINOS",PR!$W54,IF(F56="GSK",PR!$X54,IF(F56="GLOBORG",PR!$Y54,IF(F56="GOODNEWS",PR!$Z54,IF(F56="GREENLIFE",PR!$AA54,IF(F56="HLINE",PR!$AB54,IF(F56="ROTECH",PR!$AC54,IF(F56="ISN",PR!$AD54,IF(F56="JAWA",PR!$AE54,IF(F56="LAYO",PR!$AF54,IF(F56="LEADWAY",PR!$AG54,IF(F56="LHV",PR!$AH54,IF(F56="MANOLA",PR!$AI54,IF(F56="MARCSON",PR!$AJ54,IF(F56="M&amp;B",PR!$AK54,IF(F56="MTRUST",PR!$AL54,IF(F56="MWORLD",PR!$AM54,IF(F56="MEGA",PR!$AN54,IF(F56="MICRONOVA",PR!$AO54,IF(F56="MFLASH",PR!$AP54,IF(F56="MORISON",PR!$AQ54,IF(F56="NEMEL",PR!$AR54,IF(F56="NHP",PR!$AS54,IF(F56="NHC",PR!$AT54,IF(F56="OLEAF",PR!$AU54,IF(F56="OCULUS",PR!$AV54,IF(F56="PACIFIC",PR!$AW54,IF(F56="PHAMATEX",PR!$AX54,IF(F56="PETHICS",PR!$AY54,IF(F56="PHILIPS",PR!$AZ54,IF(F56="RANBAXY",PR!$BA54,IF(F56="REALS",PR!$BB54,IF(F56="ROYAL",PR!$BC54,IF(F56="SAM",PR!$BD54,IF(F56="SEAGREEN",PR!$BE54,IF(F56="SKG",PR!$BF54,IF(F56="TAH",PR!$BG54,IF(F56="TAYLEK",PR!$BH54,IF(F56="TEMITA",PR!$BI54,IF(F56="THL",PR!$BJ54,IF(F56="UBASTIC",PR!$BK54,IF(F56="UNION",PR!$BL54,IF(F56="UNIQUE",PR!$BM54,IF(F56="VIXA",PR!$BN54,IF(F56="WWCV",PR!$BO54,IF(F56="ZOLON",PR!$BP54,"-"))))))))))))))))))))))))))))))))))))))))))))))))))))))))))))))))</f>
        <v>1250</v>
      </c>
      <c r="F56" s="102" t="str">
        <f>EV!L56</f>
        <v>MARCSON</v>
      </c>
      <c r="G56" s="108" t="str">
        <f>IF(H56="ALPHA",PR!$E54,IF(H56="ASSENE",PR!$F54,IF(H56="BIOFEM",PR!$G54,IF(H56="BIOMED",PR!$H54,IF(H56="CHI",PR!$I54,IF(H56="CLARION",PR!$J54,IF(H56="CODIX",PR!$K54,IF(H56="COSMADE",PR!$L54,IF(H56="SANCON",PR!$M54,IF(H56="DEVON",PR!$N54,IF(H56="DORTEMAG",PR!$O54,IF(H56="DGF",PR!$P54,IF(H56="DYNAMIC",PR!$Q54,IF(H56="EMZOR",PR!$R54,IF(H56="EUMATT",PR!$S54,IF(H56="FIDSON",PR!$T54,IF(H56="FCGLOBAL",PR!$U54,IF(H56="GENEITH",PR!$V54,IF(H56="GINOS",PR!$W54,IF(H56="GSK",PR!$X54,IF(H56="GLOBORG",PR!$Y54,IF(H56="GOODNEWS",PR!$Z54,IF(H56="GREENLIFE",PR!$AA54,IF(H56="HLINE",PR!$AB54,IF(H56="ROTECH",PR!$AC54,IF(H56="ISN",PR!$AD54,IF(H56="JAWA",PR!$AE54,IF(H56="LAYO",PR!$AF54,IF(H56="LEADWAY",PR!$AG54,IF(H56="LHV",PR!$AH54,IF(H56="MANOLA",PR!$AI54,IF(H56="MARCSON",PR!$AJ54,IF(H56="M&amp;B",PR!$AK54,IF(H56="MTRUST",PR!$AL54,IF(H56="MWORLD",PR!$AM54,IF(H56="MEGA",PR!$AN54,IF(H56="MICRONOVA",PR!$AO54,IF(H56="MFLASH",PR!$AP54,IF(H56="MORISON",PR!$AQ54,IF(H56="NEMEL",PR!$AR54,IF(H56="NHP",PR!$AS54,IF(H56="NHC",PR!$AT54,IF(H56="OLEAF",PR!$AU54,IF(H56="OCULUS",PR!$AV54,IF(H56="PACIFIC",PR!$AW54,IF(H56="PHAMATEX",PR!$AX54,IF(H56="PETHICS",PR!$AY54,IF(H56="PHILIPS",PR!$AZ54,IF(H56="RANBAXY",PR!$BA54,IF(H56="REALS",PR!$BB54,IF(H56="ROYAL",PR!$BC54,IF(H56="SAM",PR!$BD54,IF(H56="SEAGREEN",PR!$BE54,IF(H56="SKG",PR!$BF54,IF(H56="TAH",PR!$BG54,IF(H56="TAYLEK",PR!$BH54,IF(H56="TEMITA",PR!$BI54,IF(H56="THL",PR!$BJ54,IF(H56="UBASTIC",PR!$BK54,IF(H56="UNION",PR!$BL54,IF(H56="UNIQUE",PR!$BM54,IF(H56="VIXA",PR!$BN54,IF(H56="WWCV",PR!$BO54,IF(H56="ZOLON",PR!$BP54,"-"))))))))))))))))))))))))))))))))))))))))))))))))))))))))))))))))</f>
        <v>-</v>
      </c>
      <c r="H56" s="102">
        <f>EV!M56</f>
        <v>0</v>
      </c>
      <c r="I56" s="108" t="str">
        <f>IF(J56="ALPHA",PR!$E54,IF(J56="ASSENE",PR!$F54,IF(J56="BIOFEM",PR!$G54,IF(J56="BIOMED",PR!$H54,IF(J56="CHI",PR!$I54,IF(J56="CLARION",PR!$J54,IF(J56="CODIX",PR!$K54,IF(J56="COSMADE",PR!$L54,IF(J56="SANCON",PR!$M54,IF(J56="DEVON",PR!$N54,IF(J56="DORTEMAG",PR!$O54,IF(J56="DGF",PR!$P54,IF(J56="DYNAMIC",PR!$Q54,IF(J56="EMZOR",PR!$R54,IF(J56="EUMATT",PR!$S54,IF(J56="FIDSON",PR!$T54,IF(J56="FCGLOBAL",PR!$U54,IF(J56="GENEITH",PR!$V54,IF(J56="GINOS",PR!$W54,IF(J56="GSK",PR!$X54,IF(J56="GLOBORG",PR!$Y54,IF(J56="GOODNEWS",PR!$Z54,IF(J56="GREENLIFE",PR!$AA54,IF(J56="HLINE",PR!$AB54,IF(J56="ROTECH",PR!$AC54,IF(J56="ISN",PR!$AD54,IF(J56="JAWA",PR!$AE54,IF(J56="LAYO",PR!$AF54,IF(J56="LEADWAY",PR!$AG54,IF(J56="LHV",PR!$AH54,IF(J56="MANOLA",PR!$AI54,IF(J56="MARCSON",PR!$AJ54,IF(J56="M&amp;B",PR!$AK54,IF(J56="MTRUST",PR!$AL54,IF(J56="MWORLD",PR!$AM54,IF(J56="MEGA",PR!$AN54,IF(J56="MICRONOVA",PR!$AO54,IF(J56="MFLASH",PR!$AP54,IF(J56="MORISON",PR!$AQ54,IF(J56="NEMEL",PR!$AR54,IF(J56="NHP",PR!$AS54,IF(J56="NHC",PR!$AT54,IF(J56="OLEAF",PR!$AU54,IF(J56="OCULUS",PR!$AV54,IF(J56="PACIFIC",PR!$AW54,IF(J56="PHAMATEX",PR!$AX54,IF(J56="PETHICS",PR!$AY54,IF(J56="PHILIPS",PR!$AZ54,IF(J56="RANBAXY",PR!$BA54,IF(J56="REALS",PR!$BB54,IF(J56="ROYAL",PR!$BC54,IF(J56="SAM",PR!$BD54,IF(J56="SEAGREEN",PR!$BE54,IF(J56="SKG",PR!$BF54,IF(J56="TAH",PR!$BG54,IF(J56="TAYLEK",PR!$BH54,IF(J56="TEMITA",PR!$BI54,IF(J56="THL",PR!$BJ54,IF(J56="UBASTIC",PR!$BK54,IF(J56="UNION",PR!$BL54,IF(J56="UNIQUE",PR!$BM54,IF(J56="VIXA",PR!$BN54,IF(J56="WWCV",PR!$BO54,IF(J56="ZOLON",PR!$BP54,"-"))))))))))))))))))))))))))))))))))))))))))))))))))))))))))))))))</f>
        <v>-</v>
      </c>
      <c r="J56" s="102">
        <f>EV!N56</f>
        <v>0</v>
      </c>
      <c r="K56" s="433" t="s">
        <v>823</v>
      </c>
      <c r="L56" s="183">
        <f>IF(K56&gt;0,IF(K56="ALPHA",PR!$E54,IF(K56="ASSENE",PR!$F54,IF(K56="BIOFEM",PR!$G54,IF(K56="BIOMED",PR!$H54,IF(K56="CHI",PR!$I54,IF(K56="CLARION",PR!$J54,IF(K56="CODIX",PR!$K54,IF(K56="COSMADE",PR!$L54,IF(K56="SANCON",PR!$M54,IF(K56="DEVON",PR!$N54,IF(K56="DORTEMAG",PR!$O54,IF(K56="DGF",PR!$P54,IF(K56="DYNAMIC",PR!$Q54,IF(K56="EMZOR",PR!$R54,IF(K56="EUMATT",PR!$S54,IF(K56="FIDSON",PR!$T54,IF(K56="FCGLOBAL",PR!$U54,IF(K56="GENEITH",PR!$V54,IF(K56="GINOS",PR!$W54,IF(K56="GSK",PR!$X54,IF(K56="GLOBORG",PR!$Y54,IF(K56="GOODNEWS",PR!$Z54,IF(K56="GREENLIFE",PR!$AA54,IF(K56="HLINE",PR!$AB54,IF(K56="ROTECH",PR!$AC54,IF(K56="ISN",PR!$AD54,IF(K56="JAWA",PR!$AE54,IF(K56="LAYO",PR!$AF54,IF(K56="LEADWAY",PR!$AG54,IF(K56="LHV",PR!$AH54,IF(K56="MANOLA",PR!$AI54,IF(K56="MARCSON",PR!$AJ54,IF(K56="M&amp;B",PR!$AK54,IF(K56="MTRUST",PR!$AL54,IF(K56="MWORLD",PR!$AM54,IF(K56="MEGA",PR!$AN54,IF(K56="MICRONOVA",PR!$AO54,IF(K56="MFLASH",PR!$AP54,IF(K56="MORISON",PR!$AQ54,IF(K56="NEMEL",PR!$AR54,IF(K56="NHP",PR!$AS54,IF(K56="NHC",PR!$AT54,IF(K56="OLEAF",PR!$AU54,IF(K56="OCULUS",PR!$AV54,IF(K56="PACIFIC",PR!$AW54,IF(K56="PHAMATEX",PR!$AX54,IF(K56="PETHICS",PR!$AY54,IF(K56="PHILIPS",PR!$AZ54,IF(K56="RANBAXY",PR!$BA54,IF(K56="REALS",PR!$BB54,IF(K56="ROYAL",PR!$BC54,IF(K56="SAM",PR!$BD54,IF(K56="SEAGREEN",PR!$BE54,IF(K56="SKG",PR!$BF54,IF(K56="TAH",PR!$BG54,IF(K56="TAYLEK",PR!$BH54,IF(K56="TEMITA",PR!$BI54,IF(K56="THL",PR!$BJ54,IF(K56="UBASTIC",PR!$BK54,IF(K56="UNION",PR!$BL54,IF(K56="UNIQUE",PR!$BM54,IF(K56="VIXA",PR!$BN54,IF(K56="WWCV",PR!$BO54,IF(K56="ZOLON",PR!$BP54,"-")))))))))))))))))))))))))))))))))))))))))))))))))))))))))))))))))</f>
        <v>1250</v>
      </c>
    </row>
    <row r="57" spans="1:12" ht="18.75" x14ac:dyDescent="0.3">
      <c r="A57" s="430">
        <f>PR!A55</f>
        <v>39</v>
      </c>
      <c r="B57" s="15" t="str">
        <f>PR!B55</f>
        <v>AMLODIPINE 5MG TAB</v>
      </c>
      <c r="C57" s="113">
        <f>PR!D55</f>
        <v>28</v>
      </c>
      <c r="D57" s="113">
        <f>PR!C55</f>
        <v>10000</v>
      </c>
      <c r="E57" s="108">
        <f>IF(F57="ALPHA",PR!$E55,IF(F57="ASSENE",PR!$F55,IF(F57="BIOFEM",PR!$G55,IF(F57="BIOMED",PR!$H55,IF(F57="CHI",PR!$I55,IF(F57="CLARION",PR!$J55,IF(F57="CODIX",PR!$K55,IF(F57="COSMADE",PR!$L55,IF(F57="SANCON",PR!$M55,IF(F57="DEVON",PR!$N55,IF(F57="DORTEMAG",PR!$O55,IF(F57="DGF",PR!$P55,IF(F57="DYNAMIC",PR!$Q55,IF(F57="EMZOR",PR!$R55,IF(F57="EUMATT",PR!$S55,IF(F57="FIDSON",PR!$T55,IF(F57="FCGLOBAL",PR!$U55,IF(F57="GENEITH",PR!$V55,IF(F57="GINOS",PR!$W55,IF(F57="GSK",PR!$X55,IF(F57="GLOBORG",PR!$Y55,IF(F57="GOODNEWS",PR!$Z55,IF(F57="GREENLIFE",PR!$AA55,IF(F57="HLINE",PR!$AB55,IF(F57="ROTECH",PR!$AC55,IF(F57="ISN",PR!$AD55,IF(F57="JAWA",PR!$AE55,IF(F57="LAYO",PR!$AF55,IF(F57="LEADWAY",PR!$AG55,IF(F57="LHV",PR!$AH55,IF(F57="MANOLA",PR!$AI55,IF(F57="MARCSON",PR!$AJ55,IF(F57="M&amp;B",PR!$AK55,IF(F57="MTRUST",PR!$AL55,IF(F57="MWORLD",PR!$AM55,IF(F57="MEGA",PR!$AN55,IF(F57="MICRONOVA",PR!$AO55,IF(F57="MFLASH",PR!$AP55,IF(F57="MORISON",PR!$AQ55,IF(F57="NEMEL",PR!$AR55,IF(F57="NHP",PR!$AS55,IF(F57="NHC",PR!$AT55,IF(F57="OLEAF",PR!$AU55,IF(F57="OCULUS",PR!$AV55,IF(F57="PACIFIC",PR!$AW55,IF(F57="PHAMATEX",PR!$AX55,IF(F57="PETHICS",PR!$AY55,IF(F57="PHILIPS",PR!$AZ55,IF(F57="RANBAXY",PR!$BA55,IF(F57="REALS",PR!$BB55,IF(F57="ROYAL",PR!$BC55,IF(F57="SAM",PR!$BD55,IF(F57="SEAGREEN",PR!$BE55,IF(F57="SKG",PR!$BF55,IF(F57="TAH",PR!$BG55,IF(F57="TAYLEK",PR!$BH55,IF(F57="TEMITA",PR!$BI55,IF(F57="THL",PR!$BJ55,IF(F57="UBASTIC",PR!$BK55,IF(F57="UNION",PR!$BL55,IF(F57="UNIQUE",PR!$BM55,IF(F57="VIXA",PR!$BN55,IF(F57="WWCV",PR!$BO55,IF(F57="ZOLON",PR!$BP55,"-"))))))))))))))))))))))))))))))))))))))))))))))))))))))))))))))))</f>
        <v>180</v>
      </c>
      <c r="F57" s="102" t="str">
        <f>EV!L57</f>
        <v>CODIX</v>
      </c>
      <c r="G57" s="108">
        <f>IF(H57="ALPHA",PR!$E55,IF(H57="ASSENE",PR!$F55,IF(H57="BIOFEM",PR!$G55,IF(H57="BIOMED",PR!$H55,IF(H57="CHI",PR!$I55,IF(H57="CLARION",PR!$J55,IF(H57="CODIX",PR!$K55,IF(H57="COSMADE",PR!$L55,IF(H57="SANCON",PR!$M55,IF(H57="DEVON",PR!$N55,IF(H57="DORTEMAG",PR!$O55,IF(H57="DGF",PR!$P55,IF(H57="DYNAMIC",PR!$Q55,IF(H57="EMZOR",PR!$R55,IF(H57="EUMATT",PR!$S55,IF(H57="FIDSON",PR!$T55,IF(H57="FCGLOBAL",PR!$U55,IF(H57="GENEITH",PR!$V55,IF(H57="GINOS",PR!$W55,IF(H57="GSK",PR!$X55,IF(H57="GLOBORG",PR!$Y55,IF(H57="GOODNEWS",PR!$Z55,IF(H57="GREENLIFE",PR!$AA55,IF(H57="HLINE",PR!$AB55,IF(H57="ROTECH",PR!$AC55,IF(H57="ISN",PR!$AD55,IF(H57="JAWA",PR!$AE55,IF(H57="LAYO",PR!$AF55,IF(H57="LEADWAY",PR!$AG55,IF(H57="LHV",PR!$AH55,IF(H57="MANOLA",PR!$AI55,IF(H57="MARCSON",PR!$AJ55,IF(H57="M&amp;B",PR!$AK55,IF(H57="MTRUST",PR!$AL55,IF(H57="MWORLD",PR!$AM55,IF(H57="MEGA",PR!$AN55,IF(H57="MICRONOVA",PR!$AO55,IF(H57="MFLASH",PR!$AP55,IF(H57="MORISON",PR!$AQ55,IF(H57="NEMEL",PR!$AR55,IF(H57="NHP",PR!$AS55,IF(H57="NHC",PR!$AT55,IF(H57="OLEAF",PR!$AU55,IF(H57="OCULUS",PR!$AV55,IF(H57="PACIFIC",PR!$AW55,IF(H57="PHAMATEX",PR!$AX55,IF(H57="PETHICS",PR!$AY55,IF(H57="PHILIPS",PR!$AZ55,IF(H57="RANBAXY",PR!$BA55,IF(H57="REALS",PR!$BB55,IF(H57="ROYAL",PR!$BC55,IF(H57="SAM",PR!$BD55,IF(H57="SEAGREEN",PR!$BE55,IF(H57="SKG",PR!$BF55,IF(H57="TAH",PR!$BG55,IF(H57="TAYLEK",PR!$BH55,IF(H57="TEMITA",PR!$BI55,IF(H57="THL",PR!$BJ55,IF(H57="UBASTIC",PR!$BK55,IF(H57="UNION",PR!$BL55,IF(H57="UNIQUE",PR!$BM55,IF(H57="VIXA",PR!$BN55,IF(H57="WWCV",PR!$BO55,IF(H57="ZOLON",PR!$BP55,"-"))))))))))))))))))))))))))))))))))))))))))))))))))))))))))))))))</f>
        <v>190</v>
      </c>
      <c r="H57" s="102" t="str">
        <f>EV!M57</f>
        <v>MFLASH</v>
      </c>
      <c r="I57" s="108">
        <f>IF(J57="ALPHA",PR!$E55,IF(J57="ASSENE",PR!$F55,IF(J57="BIOFEM",PR!$G55,IF(J57="BIOMED",PR!$H55,IF(J57="CHI",PR!$I55,IF(J57="CLARION",PR!$J55,IF(J57="CODIX",PR!$K55,IF(J57="COSMADE",PR!$L55,IF(J57="SANCON",PR!$M55,IF(J57="DEVON",PR!$N55,IF(J57="DORTEMAG",PR!$O55,IF(J57="DGF",PR!$P55,IF(J57="DYNAMIC",PR!$Q55,IF(J57="EMZOR",PR!$R55,IF(J57="EUMATT",PR!$S55,IF(J57="FIDSON",PR!$T55,IF(J57="FCGLOBAL",PR!$U55,IF(J57="GENEITH",PR!$V55,IF(J57="GINOS",PR!$W55,IF(J57="GSK",PR!$X55,IF(J57="GLOBORG",PR!$Y55,IF(J57="GOODNEWS",PR!$Z55,IF(J57="GREENLIFE",PR!$AA55,IF(J57="HLINE",PR!$AB55,IF(J57="ROTECH",PR!$AC55,IF(J57="ISN",PR!$AD55,IF(J57="JAWA",PR!$AE55,IF(J57="LAYO",PR!$AF55,IF(J57="LEADWAY",PR!$AG55,IF(J57="LHV",PR!$AH55,IF(J57="MANOLA",PR!$AI55,IF(J57="MARCSON",PR!$AJ55,IF(J57="M&amp;B",PR!$AK55,IF(J57="MTRUST",PR!$AL55,IF(J57="MWORLD",PR!$AM55,IF(J57="MEGA",PR!$AN55,IF(J57="MICRONOVA",PR!$AO55,IF(J57="MFLASH",PR!$AP55,IF(J57="MORISON",PR!$AQ55,IF(J57="NEMEL",PR!$AR55,IF(J57="NHP",PR!$AS55,IF(J57="NHC",PR!$AT55,IF(J57="OLEAF",PR!$AU55,IF(J57="OCULUS",PR!$AV55,IF(J57="PACIFIC",PR!$AW55,IF(J57="PHAMATEX",PR!$AX55,IF(J57="PETHICS",PR!$AY55,IF(J57="PHILIPS",PR!$AZ55,IF(J57="RANBAXY",PR!$BA55,IF(J57="REALS",PR!$BB55,IF(J57="ROYAL",PR!$BC55,IF(J57="SAM",PR!$BD55,IF(J57="SEAGREEN",PR!$BE55,IF(J57="SKG",PR!$BF55,IF(J57="TAH",PR!$BG55,IF(J57="TAYLEK",PR!$BH55,IF(J57="TEMITA",PR!$BI55,IF(J57="THL",PR!$BJ55,IF(J57="UBASTIC",PR!$BK55,IF(J57="UNION",PR!$BL55,IF(J57="UNIQUE",PR!$BM55,IF(J57="VIXA",PR!$BN55,IF(J57="WWCV",PR!$BO55,IF(J57="ZOLON",PR!$BP55,"-"))))))))))))))))))))))))))))))))))))))))))))))))))))))))))))))))</f>
        <v>200</v>
      </c>
      <c r="J57" s="102" t="str">
        <f>EV!N57</f>
        <v>CHI</v>
      </c>
      <c r="K57" s="433" t="s">
        <v>2089</v>
      </c>
      <c r="L57" s="183" t="str">
        <f>IF(K57&gt;0,IF(K57="ALPHA",PR!$E55,IF(K57="ASSENE",PR!$F55,IF(K57="BIOFEM",PR!$G55,IF(K57="BIOMED",PR!$H55,IF(K57="CHI",PR!$I55,IF(K57="CLARION",PR!$J55,IF(K57="CODIX",PR!$K55,IF(K57="COSMADE",PR!$L55,IF(K57="SANCON",PR!$M55,IF(K57="DEVON",PR!$N55,IF(K57="DORTEMAG",PR!$O55,IF(K57="DGF",PR!$P55,IF(K57="DYNAMIC",PR!$Q55,IF(K57="EMZOR",PR!$R55,IF(K57="EUMATT",PR!$S55,IF(K57="FIDSON",PR!$T55,IF(K57="FCGLOBAL",PR!$U55,IF(K57="GENEITH",PR!$V55,IF(K57="GINOS",PR!$W55,IF(K57="GSK",PR!$X55,IF(K57="GLOBORG",PR!$Y55,IF(K57="GOODNEWS",PR!$Z55,IF(K57="GREENLIFE",PR!$AA55,IF(K57="HLINE",PR!$AB55,IF(K57="ROTECH",PR!$AC55,IF(K57="ISN",PR!$AD55,IF(K57="JAWA",PR!$AE55,IF(K57="LAYO",PR!$AF55,IF(K57="LEADWAY",PR!$AG55,IF(K57="LHV",PR!$AH55,IF(K57="MANOLA",PR!$AI55,IF(K57="MARCSON",PR!$AJ55,IF(K57="M&amp;B",PR!$AK55,IF(K57="MTRUST",PR!$AL55,IF(K57="MWORLD",PR!$AM55,IF(K57="MEGA",PR!$AN55,IF(K57="MICRONOVA",PR!$AO55,IF(K57="MFLASH",PR!$AP55,IF(K57="MORISON",PR!$AQ55,IF(K57="NEMEL",PR!$AR55,IF(K57="NHP",PR!$AS55,IF(K57="NHC",PR!$AT55,IF(K57="OLEAF",PR!$AU55,IF(K57="OCULUS",PR!$AV55,IF(K57="PACIFIC",PR!$AW55,IF(K57="PHAMATEX",PR!$AX55,IF(K57="PETHICS",PR!$AY55,IF(K57="PHILIPS",PR!$AZ55,IF(K57="RANBAXY",PR!$BA55,IF(K57="REALS",PR!$BB55,IF(K57="ROYAL",PR!$BC55,IF(K57="SAM",PR!$BD55,IF(K57="SEAGREEN",PR!$BE55,IF(K57="SKG",PR!$BF55,IF(K57="TAH",PR!$BG55,IF(K57="TAYLEK",PR!$BH55,IF(K57="TEMITA",PR!$BI55,IF(K57="THL",PR!$BJ55,IF(K57="UBASTIC",PR!$BK55,IF(K57="UNION",PR!$BL55,IF(K57="UNIQUE",PR!$BM55,IF(K57="VIXA",PR!$BN55,IF(K57="WWCV",PR!$BO55,IF(K57="ZOLON",PR!$BP55,"-")))))))))))))))))))))))))))))))))))))))))))))))))))))))))))))))))</f>
        <v>-</v>
      </c>
    </row>
    <row r="58" spans="1:12" ht="18.75" x14ac:dyDescent="0.3">
      <c r="A58" s="430">
        <f>PR!A56</f>
        <v>40</v>
      </c>
      <c r="B58" s="15" t="str">
        <f>PR!B56</f>
        <v>AMLODIPINE/VALSARTAN 5/160MG TAB</v>
      </c>
      <c r="C58" s="113">
        <f>PR!D56</f>
        <v>28</v>
      </c>
      <c r="D58" s="113">
        <f>PR!C56</f>
        <v>60</v>
      </c>
      <c r="E58" s="108">
        <f>IF(F58="ALPHA",PR!$E56,IF(F58="ASSENE",PR!$F56,IF(F58="BIOFEM",PR!$G56,IF(F58="BIOMED",PR!$H56,IF(F58="CHI",PR!$I56,IF(F58="CLARION",PR!$J56,IF(F58="CODIX",PR!$K56,IF(F58="COSMADE",PR!$L56,IF(F58="SANCON",PR!$M56,IF(F58="DEVON",PR!$N56,IF(F58="DORTEMAG",PR!$O56,IF(F58="DGF",PR!$P56,IF(F58="DYNAMIC",PR!$Q56,IF(F58="EMZOR",PR!$R56,IF(F58="EUMATT",PR!$S56,IF(F58="FIDSON",PR!$T56,IF(F58="FCGLOBAL",PR!$U56,IF(F58="GENEITH",PR!$V56,IF(F58="GINOS",PR!$W56,IF(F58="GSK",PR!$X56,IF(F58="GLOBORG",PR!$Y56,IF(F58="GOODNEWS",PR!$Z56,IF(F58="GREENLIFE",PR!$AA56,IF(F58="HLINE",PR!$AB56,IF(F58="ROTECH",PR!$AC56,IF(F58="ISN",PR!$AD56,IF(F58="JAWA",PR!$AE56,IF(F58="LAYO",PR!$AF56,IF(F58="LEADWAY",PR!$AG56,IF(F58="LHV",PR!$AH56,IF(F58="MANOLA",PR!$AI56,IF(F58="MARCSON",PR!$AJ56,IF(F58="M&amp;B",PR!$AK56,IF(F58="MTRUST",PR!$AL56,IF(F58="MWORLD",PR!$AM56,IF(F58="MEGA",PR!$AN56,IF(F58="MICRONOVA",PR!$AO56,IF(F58="MFLASH",PR!$AP56,IF(F58="MORISON",PR!$AQ56,IF(F58="NEMEL",PR!$AR56,IF(F58="NHP",PR!$AS56,IF(F58="NHC",PR!$AT56,IF(F58="OLEAF",PR!$AU56,IF(F58="OCULUS",PR!$AV56,IF(F58="PACIFIC",PR!$AW56,IF(F58="PHAMATEX",PR!$AX56,IF(F58="PETHICS",PR!$AY56,IF(F58="PHILIPS",PR!$AZ56,IF(F58="RANBAXY",PR!$BA56,IF(F58="REALS",PR!$BB56,IF(F58="ROYAL",PR!$BC56,IF(F58="SAM",PR!$BD56,IF(F58="SEAGREEN",PR!$BE56,IF(F58="SKG",PR!$BF56,IF(F58="TAH",PR!$BG56,IF(F58="TAYLEK",PR!$BH56,IF(F58="TEMITA",PR!$BI56,IF(F58="THL",PR!$BJ56,IF(F58="UBASTIC",PR!$BK56,IF(F58="UNION",PR!$BL56,IF(F58="UNIQUE",PR!$BM56,IF(F58="VIXA",PR!$BN56,IF(F58="WWCV",PR!$BO56,IF(F58="ZOLON",PR!$BP56,"-"))))))))))))))))))))))))))))))))))))))))))))))))))))))))))))))))</f>
        <v>2099</v>
      </c>
      <c r="F58" s="102" t="str">
        <f>EV!L58</f>
        <v>RANBAXY</v>
      </c>
      <c r="G58" s="108" t="str">
        <f>IF(H58="ALPHA",PR!$E56,IF(H58="ASSENE",PR!$F56,IF(H58="BIOFEM",PR!$G56,IF(H58="BIOMED",PR!$H56,IF(H58="CHI",PR!$I56,IF(H58="CLARION",PR!$J56,IF(H58="CODIX",PR!$K56,IF(H58="COSMADE",PR!$L56,IF(H58="SANCON",PR!$M56,IF(H58="DEVON",PR!$N56,IF(H58="DORTEMAG",PR!$O56,IF(H58="DGF",PR!$P56,IF(H58="DYNAMIC",PR!$Q56,IF(H58="EMZOR",PR!$R56,IF(H58="EUMATT",PR!$S56,IF(H58="FIDSON",PR!$T56,IF(H58="FCGLOBAL",PR!$U56,IF(H58="GENEITH",PR!$V56,IF(H58="GINOS",PR!$W56,IF(H58="GSK",PR!$X56,IF(H58="GLOBORG",PR!$Y56,IF(H58="GOODNEWS",PR!$Z56,IF(H58="GREENLIFE",PR!$AA56,IF(H58="HLINE",PR!$AB56,IF(H58="ROTECH",PR!$AC56,IF(H58="ISN",PR!$AD56,IF(H58="JAWA",PR!$AE56,IF(H58="LAYO",PR!$AF56,IF(H58="LEADWAY",PR!$AG56,IF(H58="LHV",PR!$AH56,IF(H58="MANOLA",PR!$AI56,IF(H58="MARCSON",PR!$AJ56,IF(H58="M&amp;B",PR!$AK56,IF(H58="MTRUST",PR!$AL56,IF(H58="MWORLD",PR!$AM56,IF(H58="MEGA",PR!$AN56,IF(H58="MICRONOVA",PR!$AO56,IF(H58="MFLASH",PR!$AP56,IF(H58="MORISON",PR!$AQ56,IF(H58="NEMEL",PR!$AR56,IF(H58="NHP",PR!$AS56,IF(H58="NHC",PR!$AT56,IF(H58="OLEAF",PR!$AU56,IF(H58="OCULUS",PR!$AV56,IF(H58="PACIFIC",PR!$AW56,IF(H58="PHAMATEX",PR!$AX56,IF(H58="PETHICS",PR!$AY56,IF(H58="PHILIPS",PR!$AZ56,IF(H58="RANBAXY",PR!$BA56,IF(H58="REALS",PR!$BB56,IF(H58="ROYAL",PR!$BC56,IF(H58="SAM",PR!$BD56,IF(H58="SEAGREEN",PR!$BE56,IF(H58="SKG",PR!$BF56,IF(H58="TAH",PR!$BG56,IF(H58="TAYLEK",PR!$BH56,IF(H58="TEMITA",PR!$BI56,IF(H58="THL",PR!$BJ56,IF(H58="UBASTIC",PR!$BK56,IF(H58="UNION",PR!$BL56,IF(H58="UNIQUE",PR!$BM56,IF(H58="VIXA",PR!$BN56,IF(H58="WWCV",PR!$BO56,IF(H58="ZOLON",PR!$BP56,"-"))))))))))))))))))))))))))))))))))))))))))))))))))))))))))))))))</f>
        <v>-</v>
      </c>
      <c r="H58" s="102">
        <f>EV!M58</f>
        <v>0</v>
      </c>
      <c r="I58" s="108" t="str">
        <f>IF(J58="ALPHA",PR!$E56,IF(J58="ASSENE",PR!$F56,IF(J58="BIOFEM",PR!$G56,IF(J58="BIOMED",PR!$H56,IF(J58="CHI",PR!$I56,IF(J58="CLARION",PR!$J56,IF(J58="CODIX",PR!$K56,IF(J58="COSMADE",PR!$L56,IF(J58="SANCON",PR!$M56,IF(J58="DEVON",PR!$N56,IF(J58="DORTEMAG",PR!$O56,IF(J58="DGF",PR!$P56,IF(J58="DYNAMIC",PR!$Q56,IF(J58="EMZOR",PR!$R56,IF(J58="EUMATT",PR!$S56,IF(J58="FIDSON",PR!$T56,IF(J58="FCGLOBAL",PR!$U56,IF(J58="GENEITH",PR!$V56,IF(J58="GINOS",PR!$W56,IF(J58="GSK",PR!$X56,IF(J58="GLOBORG",PR!$Y56,IF(J58="GOODNEWS",PR!$Z56,IF(J58="GREENLIFE",PR!$AA56,IF(J58="HLINE",PR!$AB56,IF(J58="ROTECH",PR!$AC56,IF(J58="ISN",PR!$AD56,IF(J58="JAWA",PR!$AE56,IF(J58="LAYO",PR!$AF56,IF(J58="LEADWAY",PR!$AG56,IF(J58="LHV",PR!$AH56,IF(J58="MANOLA",PR!$AI56,IF(J58="MARCSON",PR!$AJ56,IF(J58="M&amp;B",PR!$AK56,IF(J58="MTRUST",PR!$AL56,IF(J58="MWORLD",PR!$AM56,IF(J58="MEGA",PR!$AN56,IF(J58="MICRONOVA",PR!$AO56,IF(J58="MFLASH",PR!$AP56,IF(J58="MORISON",PR!$AQ56,IF(J58="NEMEL",PR!$AR56,IF(J58="NHP",PR!$AS56,IF(J58="NHC",PR!$AT56,IF(J58="OLEAF",PR!$AU56,IF(J58="OCULUS",PR!$AV56,IF(J58="PACIFIC",PR!$AW56,IF(J58="PHAMATEX",PR!$AX56,IF(J58="PETHICS",PR!$AY56,IF(J58="PHILIPS",PR!$AZ56,IF(J58="RANBAXY",PR!$BA56,IF(J58="REALS",PR!$BB56,IF(J58="ROYAL",PR!$BC56,IF(J58="SAM",PR!$BD56,IF(J58="SEAGREEN",PR!$BE56,IF(J58="SKG",PR!$BF56,IF(J58="TAH",PR!$BG56,IF(J58="TAYLEK",PR!$BH56,IF(J58="TEMITA",PR!$BI56,IF(J58="THL",PR!$BJ56,IF(J58="UBASTIC",PR!$BK56,IF(J58="UNION",PR!$BL56,IF(J58="UNIQUE",PR!$BM56,IF(J58="VIXA",PR!$BN56,IF(J58="WWCV",PR!$BO56,IF(J58="ZOLON",PR!$BP56,"-"))))))))))))))))))))))))))))))))))))))))))))))))))))))))))))))))</f>
        <v>-</v>
      </c>
      <c r="J58" s="102">
        <f>EV!N58</f>
        <v>0</v>
      </c>
      <c r="K58" s="433" t="s">
        <v>636</v>
      </c>
      <c r="L58" s="183">
        <f>IF(K58&gt;0,IF(K58="ALPHA",PR!$E56,IF(K58="ASSENE",PR!$F56,IF(K58="BIOFEM",PR!$G56,IF(K58="BIOMED",PR!$H56,IF(K58="CHI",PR!$I56,IF(K58="CLARION",PR!$J56,IF(K58="CODIX",PR!$K56,IF(K58="COSMADE",PR!$L56,IF(K58="SANCON",PR!$M56,IF(K58="DEVON",PR!$N56,IF(K58="DORTEMAG",PR!$O56,IF(K58="DGF",PR!$P56,IF(K58="DYNAMIC",PR!$Q56,IF(K58="EMZOR",PR!$R56,IF(K58="EUMATT",PR!$S56,IF(K58="FIDSON",PR!$T56,IF(K58="FCGLOBAL",PR!$U56,IF(K58="GENEITH",PR!$V56,IF(K58="GINOS",PR!$W56,IF(K58="GSK",PR!$X56,IF(K58="GLOBORG",PR!$Y56,IF(K58="GOODNEWS",PR!$Z56,IF(K58="GREENLIFE",PR!$AA56,IF(K58="HLINE",PR!$AB56,IF(K58="ROTECH",PR!$AC56,IF(K58="ISN",PR!$AD56,IF(K58="JAWA",PR!$AE56,IF(K58="LAYO",PR!$AF56,IF(K58="LEADWAY",PR!$AG56,IF(K58="LHV",PR!$AH56,IF(K58="MANOLA",PR!$AI56,IF(K58="MARCSON",PR!$AJ56,IF(K58="M&amp;B",PR!$AK56,IF(K58="MTRUST",PR!$AL56,IF(K58="MWORLD",PR!$AM56,IF(K58="MEGA",PR!$AN56,IF(K58="MICRONOVA",PR!$AO56,IF(K58="MFLASH",PR!$AP56,IF(K58="MORISON",PR!$AQ56,IF(K58="NEMEL",PR!$AR56,IF(K58="NHP",PR!$AS56,IF(K58="NHC",PR!$AT56,IF(K58="OLEAF",PR!$AU56,IF(K58="OCULUS",PR!$AV56,IF(K58="PACIFIC",PR!$AW56,IF(K58="PHAMATEX",PR!$AX56,IF(K58="PETHICS",PR!$AY56,IF(K58="PHILIPS",PR!$AZ56,IF(K58="RANBAXY",PR!$BA56,IF(K58="REALS",PR!$BB56,IF(K58="ROYAL",PR!$BC56,IF(K58="SAM",PR!$BD56,IF(K58="SEAGREEN",PR!$BE56,IF(K58="SKG",PR!$BF56,IF(K58="TAH",PR!$BG56,IF(K58="TAYLEK",PR!$BH56,IF(K58="TEMITA",PR!$BI56,IF(K58="THL",PR!$BJ56,IF(K58="UBASTIC",PR!$BK56,IF(K58="UNION",PR!$BL56,IF(K58="UNIQUE",PR!$BM56,IF(K58="VIXA",PR!$BN56,IF(K58="WWCV",PR!$BO56,IF(K58="ZOLON",PR!$BP56,"-")))))))))))))))))))))))))))))))))))))))))))))))))))))))))))))))))</f>
        <v>2099</v>
      </c>
    </row>
    <row r="59" spans="1:12" ht="18.75" x14ac:dyDescent="0.3">
      <c r="A59" s="430">
        <f>PR!A57</f>
        <v>41</v>
      </c>
      <c r="B59" s="15" t="str">
        <f>PR!B57</f>
        <v>AMLODIPINE/VALSARTAN 10/160MG TAB</v>
      </c>
      <c r="C59" s="113">
        <f>PR!D57</f>
        <v>28</v>
      </c>
      <c r="D59" s="113">
        <f>PR!C57</f>
        <v>60</v>
      </c>
      <c r="E59" s="108">
        <f>IF(F59="ALPHA",PR!$E57,IF(F59="ASSENE",PR!$F57,IF(F59="BIOFEM",PR!$G57,IF(F59="BIOMED",PR!$H57,IF(F59="CHI",PR!$I57,IF(F59="CLARION",PR!$J57,IF(F59="CODIX",PR!$K57,IF(F59="COSMADE",PR!$L57,IF(F59="SANCON",PR!$M57,IF(F59="DEVON",PR!$N57,IF(F59="DORTEMAG",PR!$O57,IF(F59="DGF",PR!$P57,IF(F59="DYNAMIC",PR!$Q57,IF(F59="EMZOR",PR!$R57,IF(F59="EUMATT",PR!$S57,IF(F59="FIDSON",PR!$T57,IF(F59="FCGLOBAL",PR!$U57,IF(F59="GENEITH",PR!$V57,IF(F59="GINOS",PR!$W57,IF(F59="GSK",PR!$X57,IF(F59="GLOBORG",PR!$Y57,IF(F59="GOODNEWS",PR!$Z57,IF(F59="GREENLIFE",PR!$AA57,IF(F59="HLINE",PR!$AB57,IF(F59="ROTECH",PR!$AC57,IF(F59="ISN",PR!$AD57,IF(F59="JAWA",PR!$AE57,IF(F59="LAYO",PR!$AF57,IF(F59="LEADWAY",PR!$AG57,IF(F59="LHV",PR!$AH57,IF(F59="MANOLA",PR!$AI57,IF(F59="MARCSON",PR!$AJ57,IF(F59="M&amp;B",PR!$AK57,IF(F59="MTRUST",PR!$AL57,IF(F59="MWORLD",PR!$AM57,IF(F59="MEGA",PR!$AN57,IF(F59="MICRONOVA",PR!$AO57,IF(F59="MFLASH",PR!$AP57,IF(F59="MORISON",PR!$AQ57,IF(F59="NEMEL",PR!$AR57,IF(F59="NHP",PR!$AS57,IF(F59="NHC",PR!$AT57,IF(F59="OLEAF",PR!$AU57,IF(F59="OCULUS",PR!$AV57,IF(F59="PACIFIC",PR!$AW57,IF(F59="PHAMATEX",PR!$AX57,IF(F59="PETHICS",PR!$AY57,IF(F59="PHILIPS",PR!$AZ57,IF(F59="RANBAXY",PR!$BA57,IF(F59="REALS",PR!$BB57,IF(F59="ROYAL",PR!$BC57,IF(F59="SAM",PR!$BD57,IF(F59="SEAGREEN",PR!$BE57,IF(F59="SKG",PR!$BF57,IF(F59="TAH",PR!$BG57,IF(F59="TAYLEK",PR!$BH57,IF(F59="TEMITA",PR!$BI57,IF(F59="THL",PR!$BJ57,IF(F59="UBASTIC",PR!$BK57,IF(F59="UNION",PR!$BL57,IF(F59="UNIQUE",PR!$BM57,IF(F59="VIXA",PR!$BN57,IF(F59="WWCV",PR!$BO57,IF(F59="ZOLON",PR!$BP57,"-"))))))))))))))))))))))))))))))))))))))))))))))))))))))))))))))))</f>
        <v>2214</v>
      </c>
      <c r="F59" s="102" t="str">
        <f>EV!L59</f>
        <v>RANBAXY</v>
      </c>
      <c r="G59" s="108" t="str">
        <f>IF(H59="ALPHA",PR!$E57,IF(H59="ASSENE",PR!$F57,IF(H59="BIOFEM",PR!$G57,IF(H59="BIOMED",PR!$H57,IF(H59="CHI",PR!$I57,IF(H59="CLARION",PR!$J57,IF(H59="CODIX",PR!$K57,IF(H59="COSMADE",PR!$L57,IF(H59="SANCON",PR!$M57,IF(H59="DEVON",PR!$N57,IF(H59="DORTEMAG",PR!$O57,IF(H59="DGF",PR!$P57,IF(H59="DYNAMIC",PR!$Q57,IF(H59="EMZOR",PR!$R57,IF(H59="EUMATT",PR!$S57,IF(H59="FIDSON",PR!$T57,IF(H59="FCGLOBAL",PR!$U57,IF(H59="GENEITH",PR!$V57,IF(H59="GINOS",PR!$W57,IF(H59="GSK",PR!$X57,IF(H59="GLOBORG",PR!$Y57,IF(H59="GOODNEWS",PR!$Z57,IF(H59="GREENLIFE",PR!$AA57,IF(H59="HLINE",PR!$AB57,IF(H59="ROTECH",PR!$AC57,IF(H59="ISN",PR!$AD57,IF(H59="JAWA",PR!$AE57,IF(H59="LAYO",PR!$AF57,IF(H59="LEADWAY",PR!$AG57,IF(H59="LHV",PR!$AH57,IF(H59="MANOLA",PR!$AI57,IF(H59="MARCSON",PR!$AJ57,IF(H59="M&amp;B",PR!$AK57,IF(H59="MTRUST",PR!$AL57,IF(H59="MWORLD",PR!$AM57,IF(H59="MEGA",PR!$AN57,IF(H59="MICRONOVA",PR!$AO57,IF(H59="MFLASH",PR!$AP57,IF(H59="MORISON",PR!$AQ57,IF(H59="NEMEL",PR!$AR57,IF(H59="NHP",PR!$AS57,IF(H59="NHC",PR!$AT57,IF(H59="OLEAF",PR!$AU57,IF(H59="OCULUS",PR!$AV57,IF(H59="PACIFIC",PR!$AW57,IF(H59="PHAMATEX",PR!$AX57,IF(H59="PETHICS",PR!$AY57,IF(H59="PHILIPS",PR!$AZ57,IF(H59="RANBAXY",PR!$BA57,IF(H59="REALS",PR!$BB57,IF(H59="ROYAL",PR!$BC57,IF(H59="SAM",PR!$BD57,IF(H59="SEAGREEN",PR!$BE57,IF(H59="SKG",PR!$BF57,IF(H59="TAH",PR!$BG57,IF(H59="TAYLEK",PR!$BH57,IF(H59="TEMITA",PR!$BI57,IF(H59="THL",PR!$BJ57,IF(H59="UBASTIC",PR!$BK57,IF(H59="UNION",PR!$BL57,IF(H59="UNIQUE",PR!$BM57,IF(H59="VIXA",PR!$BN57,IF(H59="WWCV",PR!$BO57,IF(H59="ZOLON",PR!$BP57,"-"))))))))))))))))))))))))))))))))))))))))))))))))))))))))))))))))</f>
        <v>-</v>
      </c>
      <c r="H59" s="102">
        <f>EV!M59</f>
        <v>0</v>
      </c>
      <c r="I59" s="108" t="str">
        <f>IF(J59="ALPHA",PR!$E57,IF(J59="ASSENE",PR!$F57,IF(J59="BIOFEM",PR!$G57,IF(J59="BIOMED",PR!$H57,IF(J59="CHI",PR!$I57,IF(J59="CLARION",PR!$J57,IF(J59="CODIX",PR!$K57,IF(J59="COSMADE",PR!$L57,IF(J59="SANCON",PR!$M57,IF(J59="DEVON",PR!$N57,IF(J59="DORTEMAG",PR!$O57,IF(J59="DGF",PR!$P57,IF(J59="DYNAMIC",PR!$Q57,IF(J59="EMZOR",PR!$R57,IF(J59="EUMATT",PR!$S57,IF(J59="FIDSON",PR!$T57,IF(J59="FCGLOBAL",PR!$U57,IF(J59="GENEITH",PR!$V57,IF(J59="GINOS",PR!$W57,IF(J59="GSK",PR!$X57,IF(J59="GLOBORG",PR!$Y57,IF(J59="GOODNEWS",PR!$Z57,IF(J59="GREENLIFE",PR!$AA57,IF(J59="HLINE",PR!$AB57,IF(J59="ROTECH",PR!$AC57,IF(J59="ISN",PR!$AD57,IF(J59="JAWA",PR!$AE57,IF(J59="LAYO",PR!$AF57,IF(J59="LEADWAY",PR!$AG57,IF(J59="LHV",PR!$AH57,IF(J59="MANOLA",PR!$AI57,IF(J59="MARCSON",PR!$AJ57,IF(J59="M&amp;B",PR!$AK57,IF(J59="MTRUST",PR!$AL57,IF(J59="MWORLD",PR!$AM57,IF(J59="MEGA",PR!$AN57,IF(J59="MICRONOVA",PR!$AO57,IF(J59="MFLASH",PR!$AP57,IF(J59="MORISON",PR!$AQ57,IF(J59="NEMEL",PR!$AR57,IF(J59="NHP",PR!$AS57,IF(J59="NHC",PR!$AT57,IF(J59="OLEAF",PR!$AU57,IF(J59="OCULUS",PR!$AV57,IF(J59="PACIFIC",PR!$AW57,IF(J59="PHAMATEX",PR!$AX57,IF(J59="PETHICS",PR!$AY57,IF(J59="PHILIPS",PR!$AZ57,IF(J59="RANBAXY",PR!$BA57,IF(J59="REALS",PR!$BB57,IF(J59="ROYAL",PR!$BC57,IF(J59="SAM",PR!$BD57,IF(J59="SEAGREEN",PR!$BE57,IF(J59="SKG",PR!$BF57,IF(J59="TAH",PR!$BG57,IF(J59="TAYLEK",PR!$BH57,IF(J59="TEMITA",PR!$BI57,IF(J59="THL",PR!$BJ57,IF(J59="UBASTIC",PR!$BK57,IF(J59="UNION",PR!$BL57,IF(J59="UNIQUE",PR!$BM57,IF(J59="VIXA",PR!$BN57,IF(J59="WWCV",PR!$BO57,IF(J59="ZOLON",PR!$BP57,"-"))))))))))))))))))))))))))))))))))))))))))))))))))))))))))))))))</f>
        <v>-</v>
      </c>
      <c r="J59" s="102">
        <f>EV!N59</f>
        <v>0</v>
      </c>
      <c r="K59" s="433" t="s">
        <v>636</v>
      </c>
      <c r="L59" s="183">
        <f>IF(K59&gt;0,IF(K59="ALPHA",PR!$E57,IF(K59="ASSENE",PR!$F57,IF(K59="BIOFEM",PR!$G57,IF(K59="BIOMED",PR!$H57,IF(K59="CHI",PR!$I57,IF(K59="CLARION",PR!$J57,IF(K59="CODIX",PR!$K57,IF(K59="COSMADE",PR!$L57,IF(K59="SANCON",PR!$M57,IF(K59="DEVON",PR!$N57,IF(K59="DORTEMAG",PR!$O57,IF(K59="DGF",PR!$P57,IF(K59="DYNAMIC",PR!$Q57,IF(K59="EMZOR",PR!$R57,IF(K59="EUMATT",PR!$S57,IF(K59="FIDSON",PR!$T57,IF(K59="FCGLOBAL",PR!$U57,IF(K59="GENEITH",PR!$V57,IF(K59="GINOS",PR!$W57,IF(K59="GSK",PR!$X57,IF(K59="GLOBORG",PR!$Y57,IF(K59="GOODNEWS",PR!$Z57,IF(K59="GREENLIFE",PR!$AA57,IF(K59="HLINE",PR!$AB57,IF(K59="ROTECH",PR!$AC57,IF(K59="ISN",PR!$AD57,IF(K59="JAWA",PR!$AE57,IF(K59="LAYO",PR!$AF57,IF(K59="LEADWAY",PR!$AG57,IF(K59="LHV",PR!$AH57,IF(K59="MANOLA",PR!$AI57,IF(K59="MARCSON",PR!$AJ57,IF(K59="M&amp;B",PR!$AK57,IF(K59="MTRUST",PR!$AL57,IF(K59="MWORLD",PR!$AM57,IF(K59="MEGA",PR!$AN57,IF(K59="MICRONOVA",PR!$AO57,IF(K59="MFLASH",PR!$AP57,IF(K59="MORISON",PR!$AQ57,IF(K59="NEMEL",PR!$AR57,IF(K59="NHP",PR!$AS57,IF(K59="NHC",PR!$AT57,IF(K59="OLEAF",PR!$AU57,IF(K59="OCULUS",PR!$AV57,IF(K59="PACIFIC",PR!$AW57,IF(K59="PHAMATEX",PR!$AX57,IF(K59="PETHICS",PR!$AY57,IF(K59="PHILIPS",PR!$AZ57,IF(K59="RANBAXY",PR!$BA57,IF(K59="REALS",PR!$BB57,IF(K59="ROYAL",PR!$BC57,IF(K59="SAM",PR!$BD57,IF(K59="SEAGREEN",PR!$BE57,IF(K59="SKG",PR!$BF57,IF(K59="TAH",PR!$BG57,IF(K59="TAYLEK",PR!$BH57,IF(K59="TEMITA",PR!$BI57,IF(K59="THL",PR!$BJ57,IF(K59="UBASTIC",PR!$BK57,IF(K59="UNION",PR!$BL57,IF(K59="UNIQUE",PR!$BM57,IF(K59="VIXA",PR!$BN57,IF(K59="WWCV",PR!$BO57,IF(K59="ZOLON",PR!$BP57,"-")))))))))))))))))))))))))))))))))))))))))))))))))))))))))))))))))</f>
        <v>2214</v>
      </c>
    </row>
    <row r="60" spans="1:12" ht="18.75" x14ac:dyDescent="0.3">
      <c r="A60" s="430">
        <f>PR!A58</f>
        <v>42</v>
      </c>
      <c r="B60" s="15" t="str">
        <f>PR!B58</f>
        <v>AMLODIPINE/VALSARTAN 5/320MG TAB</v>
      </c>
      <c r="C60" s="113">
        <f>PR!D58</f>
        <v>28</v>
      </c>
      <c r="D60" s="113">
        <f>PR!C58</f>
        <v>60</v>
      </c>
      <c r="E60" s="108" t="str">
        <f>IF(F60="ALPHA",PR!$E58,IF(F60="ASSENE",PR!$F58,IF(F60="BIOFEM",PR!$G58,IF(F60="BIOMED",PR!$H58,IF(F60="CHI",PR!$I58,IF(F60="CLARION",PR!$J58,IF(F60="CODIX",PR!$K58,IF(F60="COSMADE",PR!$L58,IF(F60="SANCON",PR!$M58,IF(F60="DEVON",PR!$N58,IF(F60="DORTEMAG",PR!$O58,IF(F60="DGF",PR!$P58,IF(F60="DYNAMIC",PR!$Q58,IF(F60="EMZOR",PR!$R58,IF(F60="EUMATT",PR!$S58,IF(F60="FIDSON",PR!$T58,IF(F60="FCGLOBAL",PR!$U58,IF(F60="GENEITH",PR!$V58,IF(F60="GINOS",PR!$W58,IF(F60="GSK",PR!$X58,IF(F60="GLOBORG",PR!$Y58,IF(F60="GOODNEWS",PR!$Z58,IF(F60="GREENLIFE",PR!$AA58,IF(F60="HLINE",PR!$AB58,IF(F60="ROTECH",PR!$AC58,IF(F60="ISN",PR!$AD58,IF(F60="JAWA",PR!$AE58,IF(F60="LAYO",PR!$AF58,IF(F60="LEADWAY",PR!$AG58,IF(F60="LHV",PR!$AH58,IF(F60="MANOLA",PR!$AI58,IF(F60="MARCSON",PR!$AJ58,IF(F60="M&amp;B",PR!$AK58,IF(F60="MTRUST",PR!$AL58,IF(F60="MWORLD",PR!$AM58,IF(F60="MEGA",PR!$AN58,IF(F60="MICRONOVA",PR!$AO58,IF(F60="MFLASH",PR!$AP58,IF(F60="MORISON",PR!$AQ58,IF(F60="NEMEL",PR!$AR58,IF(F60="NHP",PR!$AS58,IF(F60="NHC",PR!$AT58,IF(F60="OLEAF",PR!$AU58,IF(F60="OCULUS",PR!$AV58,IF(F60="PACIFIC",PR!$AW58,IF(F60="PHAMATEX",PR!$AX58,IF(F60="PETHICS",PR!$AY58,IF(F60="PHILIPS",PR!$AZ58,IF(F60="RANBAXY",PR!$BA58,IF(F60="REALS",PR!$BB58,IF(F60="ROYAL",PR!$BC58,IF(F60="SAM",PR!$BD58,IF(F60="SEAGREEN",PR!$BE58,IF(F60="SKG",PR!$BF58,IF(F60="TAH",PR!$BG58,IF(F60="TAYLEK",PR!$BH58,IF(F60="TEMITA",PR!$BI58,IF(F60="THL",PR!$BJ58,IF(F60="UBASTIC",PR!$BK58,IF(F60="UNION",PR!$BL58,IF(F60="UNIQUE",PR!$BM58,IF(F60="VIXA",PR!$BN58,IF(F60="WWCV",PR!$BO58,IF(F60="ZOLON",PR!$BP58,"-"))))))))))))))))))))))))))))))))))))))))))))))))))))))))))))))))</f>
        <v>-</v>
      </c>
      <c r="F60" s="102">
        <f>EV!L60</f>
        <v>0</v>
      </c>
      <c r="G60" s="108" t="str">
        <f>IF(H60="ALPHA",PR!$E58,IF(H60="ASSENE",PR!$F58,IF(H60="BIOFEM",PR!$G58,IF(H60="BIOMED",PR!$H58,IF(H60="CHI",PR!$I58,IF(H60="CLARION",PR!$J58,IF(H60="CODIX",PR!$K58,IF(H60="COSMADE",PR!$L58,IF(H60="SANCON",PR!$M58,IF(H60="DEVON",PR!$N58,IF(H60="DORTEMAG",PR!$O58,IF(H60="DGF",PR!$P58,IF(H60="DYNAMIC",PR!$Q58,IF(H60="EMZOR",PR!$R58,IF(H60="EUMATT",PR!$S58,IF(H60="FIDSON",PR!$T58,IF(H60="FCGLOBAL",PR!$U58,IF(H60="GENEITH",PR!$V58,IF(H60="GINOS",PR!$W58,IF(H60="GSK",PR!$X58,IF(H60="GLOBORG",PR!$Y58,IF(H60="GOODNEWS",PR!$Z58,IF(H60="GREENLIFE",PR!$AA58,IF(H60="HLINE",PR!$AB58,IF(H60="ROTECH",PR!$AC58,IF(H60="ISN",PR!$AD58,IF(H60="JAWA",PR!$AE58,IF(H60="LAYO",PR!$AF58,IF(H60="LEADWAY",PR!$AG58,IF(H60="LHV",PR!$AH58,IF(H60="MANOLA",PR!$AI58,IF(H60="MARCSON",PR!$AJ58,IF(H60="M&amp;B",PR!$AK58,IF(H60="MTRUST",PR!$AL58,IF(H60="MWORLD",PR!$AM58,IF(H60="MEGA",PR!$AN58,IF(H60="MICRONOVA",PR!$AO58,IF(H60="MFLASH",PR!$AP58,IF(H60="MORISON",PR!$AQ58,IF(H60="NEMEL",PR!$AR58,IF(H60="NHP",PR!$AS58,IF(H60="NHC",PR!$AT58,IF(H60="OLEAF",PR!$AU58,IF(H60="OCULUS",PR!$AV58,IF(H60="PACIFIC",PR!$AW58,IF(H60="PHAMATEX",PR!$AX58,IF(H60="PETHICS",PR!$AY58,IF(H60="PHILIPS",PR!$AZ58,IF(H60="RANBAXY",PR!$BA58,IF(H60="REALS",PR!$BB58,IF(H60="ROYAL",PR!$BC58,IF(H60="SAM",PR!$BD58,IF(H60="SEAGREEN",PR!$BE58,IF(H60="SKG",PR!$BF58,IF(H60="TAH",PR!$BG58,IF(H60="TAYLEK",PR!$BH58,IF(H60="TEMITA",PR!$BI58,IF(H60="THL",PR!$BJ58,IF(H60="UBASTIC",PR!$BK58,IF(H60="UNION",PR!$BL58,IF(H60="UNIQUE",PR!$BM58,IF(H60="VIXA",PR!$BN58,IF(H60="WWCV",PR!$BO58,IF(H60="ZOLON",PR!$BP58,"-"))))))))))))))))))))))))))))))))))))))))))))))))))))))))))))))))</f>
        <v>-</v>
      </c>
      <c r="H60" s="102">
        <f>EV!M60</f>
        <v>0</v>
      </c>
      <c r="I60" s="108" t="str">
        <f>IF(J60="ALPHA",PR!$E58,IF(J60="ASSENE",PR!$F58,IF(J60="BIOFEM",PR!$G58,IF(J60="BIOMED",PR!$H58,IF(J60="CHI",PR!$I58,IF(J60="CLARION",PR!$J58,IF(J60="CODIX",PR!$K58,IF(J60="COSMADE",PR!$L58,IF(J60="SANCON",PR!$M58,IF(J60="DEVON",PR!$N58,IF(J60="DORTEMAG",PR!$O58,IF(J60="DGF",PR!$P58,IF(J60="DYNAMIC",PR!$Q58,IF(J60="EMZOR",PR!$R58,IF(J60="EUMATT",PR!$S58,IF(J60="FIDSON",PR!$T58,IF(J60="FCGLOBAL",PR!$U58,IF(J60="GENEITH",PR!$V58,IF(J60="GINOS",PR!$W58,IF(J60="GSK",PR!$X58,IF(J60="GLOBORG",PR!$Y58,IF(J60="GOODNEWS",PR!$Z58,IF(J60="GREENLIFE",PR!$AA58,IF(J60="HLINE",PR!$AB58,IF(J60="ROTECH",PR!$AC58,IF(J60="ISN",PR!$AD58,IF(J60="JAWA",PR!$AE58,IF(J60="LAYO",PR!$AF58,IF(J60="LEADWAY",PR!$AG58,IF(J60="LHV",PR!$AH58,IF(J60="MANOLA",PR!$AI58,IF(J60="MARCSON",PR!$AJ58,IF(J60="M&amp;B",PR!$AK58,IF(J60="MTRUST",PR!$AL58,IF(J60="MWORLD",PR!$AM58,IF(J60="MEGA",PR!$AN58,IF(J60="MICRONOVA",PR!$AO58,IF(J60="MFLASH",PR!$AP58,IF(J60="MORISON",PR!$AQ58,IF(J60="NEMEL",PR!$AR58,IF(J60="NHP",PR!$AS58,IF(J60="NHC",PR!$AT58,IF(J60="OLEAF",PR!$AU58,IF(J60="OCULUS",PR!$AV58,IF(J60="PACIFIC",PR!$AW58,IF(J60="PHAMATEX",PR!$AX58,IF(J60="PETHICS",PR!$AY58,IF(J60="PHILIPS",PR!$AZ58,IF(J60="RANBAXY",PR!$BA58,IF(J60="REALS",PR!$BB58,IF(J60="ROYAL",PR!$BC58,IF(J60="SAM",PR!$BD58,IF(J60="SEAGREEN",PR!$BE58,IF(J60="SKG",PR!$BF58,IF(J60="TAH",PR!$BG58,IF(J60="TAYLEK",PR!$BH58,IF(J60="TEMITA",PR!$BI58,IF(J60="THL",PR!$BJ58,IF(J60="UBASTIC",PR!$BK58,IF(J60="UNION",PR!$BL58,IF(J60="UNIQUE",PR!$BM58,IF(J60="VIXA",PR!$BN58,IF(J60="WWCV",PR!$BO58,IF(J60="ZOLON",PR!$BP58,"-"))))))))))))))))))))))))))))))))))))))))))))))))))))))))))))))))</f>
        <v>-</v>
      </c>
      <c r="J60" s="102">
        <f>EV!N60</f>
        <v>0</v>
      </c>
      <c r="K60" s="433"/>
      <c r="L60" s="183" t="b">
        <f>IF(K60&gt;0,IF(K60="ALPHA",PR!$E58,IF(K60="ASSENE",PR!$F58,IF(K60="BIOFEM",PR!$G58,IF(K60="BIOMED",PR!$H58,IF(K60="CHI",PR!$I58,IF(K60="CLARION",PR!$J58,IF(K60="CODIX",PR!$K58,IF(K60="COSMADE",PR!$L58,IF(K60="SANCON",PR!$M58,IF(K60="DEVON",PR!$N58,IF(K60="DORTEMAG",PR!$O58,IF(K60="DGF",PR!$P58,IF(K60="DYNAMIC",PR!$Q58,IF(K60="EMZOR",PR!$R58,IF(K60="EUMATT",PR!$S58,IF(K60="FIDSON",PR!$T58,IF(K60="FCGLOBAL",PR!$U58,IF(K60="GENEITH",PR!$V58,IF(K60="GINOS",PR!$W58,IF(K60="GSK",PR!$X58,IF(K60="GLOBORG",PR!$Y58,IF(K60="GOODNEWS",PR!$Z58,IF(K60="GREENLIFE",PR!$AA58,IF(K60="HLINE",PR!$AB58,IF(K60="ROTECH",PR!$AC58,IF(K60="ISN",PR!$AD58,IF(K60="JAWA",PR!$AE58,IF(K60="LAYO",PR!$AF58,IF(K60="LEADWAY",PR!$AG58,IF(K60="LHV",PR!$AH58,IF(K60="MANOLA",PR!$AI58,IF(K60="MARCSON",PR!$AJ58,IF(K60="M&amp;B",PR!$AK58,IF(K60="MTRUST",PR!$AL58,IF(K60="MWORLD",PR!$AM58,IF(K60="MEGA",PR!$AN58,IF(K60="MICRONOVA",PR!$AO58,IF(K60="MFLASH",PR!$AP58,IF(K60="MORISON",PR!$AQ58,IF(K60="NEMEL",PR!$AR58,IF(K60="NHP",PR!$AS58,IF(K60="NHC",PR!$AT58,IF(K60="OLEAF",PR!$AU58,IF(K60="OCULUS",PR!$AV58,IF(K60="PACIFIC",PR!$AW58,IF(K60="PHAMATEX",PR!$AX58,IF(K60="PETHICS",PR!$AY58,IF(K60="PHILIPS",PR!$AZ58,IF(K60="RANBAXY",PR!$BA58,IF(K60="REALS",PR!$BB58,IF(K60="ROYAL",PR!$BC58,IF(K60="SAM",PR!$BD58,IF(K60="SEAGREEN",PR!$BE58,IF(K60="SKG",PR!$BF58,IF(K60="TAH",PR!$BG58,IF(K60="TAYLEK",PR!$BH58,IF(K60="TEMITA",PR!$BI58,IF(K60="THL",PR!$BJ58,IF(K60="UBASTIC",PR!$BK58,IF(K60="UNION",PR!$BL58,IF(K60="UNIQUE",PR!$BM58,IF(K60="VIXA",PR!$BN58,IF(K60="WWCV",PR!$BO58,IF(K60="ZOLON",PR!$BP58,"-")))))))))))))))))))))))))))))))))))))))))))))))))))))))))))))))))</f>
        <v>0</v>
      </c>
    </row>
    <row r="61" spans="1:12" ht="18.75" x14ac:dyDescent="0.3">
      <c r="A61" s="430">
        <f>PR!A59</f>
        <v>43</v>
      </c>
      <c r="B61" s="15" t="str">
        <f>PR!B59</f>
        <v>AMLODIPINE/VALSARTAN 10/320MG TAB</v>
      </c>
      <c r="C61" s="113">
        <f>PR!D59</f>
        <v>28</v>
      </c>
      <c r="D61" s="113">
        <f>PR!C59</f>
        <v>60</v>
      </c>
      <c r="E61" s="108" t="str">
        <f>IF(F61="ALPHA",PR!$E59,IF(F61="ASSENE",PR!$F59,IF(F61="BIOFEM",PR!$G59,IF(F61="BIOMED",PR!$H59,IF(F61="CHI",PR!$I59,IF(F61="CLARION",PR!$J59,IF(F61="CODIX",PR!$K59,IF(F61="COSMADE",PR!$L59,IF(F61="SANCON",PR!$M59,IF(F61="DEVON",PR!$N59,IF(F61="DORTEMAG",PR!$O59,IF(F61="DGF",PR!$P59,IF(F61="DYNAMIC",PR!$Q59,IF(F61="EMZOR",PR!$R59,IF(F61="EUMATT",PR!$S59,IF(F61="FIDSON",PR!$T59,IF(F61="FCGLOBAL",PR!$U59,IF(F61="GENEITH",PR!$V59,IF(F61="GINOS",PR!$W59,IF(F61="GSK",PR!$X59,IF(F61="GLOBORG",PR!$Y59,IF(F61="GOODNEWS",PR!$Z59,IF(F61="GREENLIFE",PR!$AA59,IF(F61="HLINE",PR!$AB59,IF(F61="ROTECH",PR!$AC59,IF(F61="ISN",PR!$AD59,IF(F61="JAWA",PR!$AE59,IF(F61="LAYO",PR!$AF59,IF(F61="LEADWAY",PR!$AG59,IF(F61="LHV",PR!$AH59,IF(F61="MANOLA",PR!$AI59,IF(F61="MARCSON",PR!$AJ59,IF(F61="M&amp;B",PR!$AK59,IF(F61="MTRUST",PR!$AL59,IF(F61="MWORLD",PR!$AM59,IF(F61="MEGA",PR!$AN59,IF(F61="MICRONOVA",PR!$AO59,IF(F61="MFLASH",PR!$AP59,IF(F61="MORISON",PR!$AQ59,IF(F61="NEMEL",PR!$AR59,IF(F61="NHP",PR!$AS59,IF(F61="NHC",PR!$AT59,IF(F61="OLEAF",PR!$AU59,IF(F61="OCULUS",PR!$AV59,IF(F61="PACIFIC",PR!$AW59,IF(F61="PHAMATEX",PR!$AX59,IF(F61="PETHICS",PR!$AY59,IF(F61="PHILIPS",PR!$AZ59,IF(F61="RANBAXY",PR!$BA59,IF(F61="REALS",PR!$BB59,IF(F61="ROYAL",PR!$BC59,IF(F61="SAM",PR!$BD59,IF(F61="SEAGREEN",PR!$BE59,IF(F61="SKG",PR!$BF59,IF(F61="TAH",PR!$BG59,IF(F61="TAYLEK",PR!$BH59,IF(F61="TEMITA",PR!$BI59,IF(F61="THL",PR!$BJ59,IF(F61="UBASTIC",PR!$BK59,IF(F61="UNION",PR!$BL59,IF(F61="UNIQUE",PR!$BM59,IF(F61="VIXA",PR!$BN59,IF(F61="WWCV",PR!$BO59,IF(F61="ZOLON",PR!$BP59,"-"))))))))))))))))))))))))))))))))))))))))))))))))))))))))))))))))</f>
        <v>-</v>
      </c>
      <c r="F61" s="102">
        <f>EV!L61</f>
        <v>0</v>
      </c>
      <c r="G61" s="108" t="str">
        <f>IF(H61="ALPHA",PR!$E59,IF(H61="ASSENE",PR!$F59,IF(H61="BIOFEM",PR!$G59,IF(H61="BIOMED",PR!$H59,IF(H61="CHI",PR!$I59,IF(H61="CLARION",PR!$J59,IF(H61="CODIX",PR!$K59,IF(H61="COSMADE",PR!$L59,IF(H61="SANCON",PR!$M59,IF(H61="DEVON",PR!$N59,IF(H61="DORTEMAG",PR!$O59,IF(H61="DGF",PR!$P59,IF(H61="DYNAMIC",PR!$Q59,IF(H61="EMZOR",PR!$R59,IF(H61="EUMATT",PR!$S59,IF(H61="FIDSON",PR!$T59,IF(H61="FCGLOBAL",PR!$U59,IF(H61="GENEITH",PR!$V59,IF(H61="GINOS",PR!$W59,IF(H61="GSK",PR!$X59,IF(H61="GLOBORG",PR!$Y59,IF(H61="GOODNEWS",PR!$Z59,IF(H61="GREENLIFE",PR!$AA59,IF(H61="HLINE",PR!$AB59,IF(H61="ROTECH",PR!$AC59,IF(H61="ISN",PR!$AD59,IF(H61="JAWA",PR!$AE59,IF(H61="LAYO",PR!$AF59,IF(H61="LEADWAY",PR!$AG59,IF(H61="LHV",PR!$AH59,IF(H61="MANOLA",PR!$AI59,IF(H61="MARCSON",PR!$AJ59,IF(H61="M&amp;B",PR!$AK59,IF(H61="MTRUST",PR!$AL59,IF(H61="MWORLD",PR!$AM59,IF(H61="MEGA",PR!$AN59,IF(H61="MICRONOVA",PR!$AO59,IF(H61="MFLASH",PR!$AP59,IF(H61="MORISON",PR!$AQ59,IF(H61="NEMEL",PR!$AR59,IF(H61="NHP",PR!$AS59,IF(H61="NHC",PR!$AT59,IF(H61="OLEAF",PR!$AU59,IF(H61="OCULUS",PR!$AV59,IF(H61="PACIFIC",PR!$AW59,IF(H61="PHAMATEX",PR!$AX59,IF(H61="PETHICS",PR!$AY59,IF(H61="PHILIPS",PR!$AZ59,IF(H61="RANBAXY",PR!$BA59,IF(H61="REALS",PR!$BB59,IF(H61="ROYAL",PR!$BC59,IF(H61="SAM",PR!$BD59,IF(H61="SEAGREEN",PR!$BE59,IF(H61="SKG",PR!$BF59,IF(H61="TAH",PR!$BG59,IF(H61="TAYLEK",PR!$BH59,IF(H61="TEMITA",PR!$BI59,IF(H61="THL",PR!$BJ59,IF(H61="UBASTIC",PR!$BK59,IF(H61="UNION",PR!$BL59,IF(H61="UNIQUE",PR!$BM59,IF(H61="VIXA",PR!$BN59,IF(H61="WWCV",PR!$BO59,IF(H61="ZOLON",PR!$BP59,"-"))))))))))))))))))))))))))))))))))))))))))))))))))))))))))))))))</f>
        <v>-</v>
      </c>
      <c r="H61" s="102">
        <f>EV!M61</f>
        <v>0</v>
      </c>
      <c r="I61" s="108" t="str">
        <f>IF(J61="ALPHA",PR!$E59,IF(J61="ASSENE",PR!$F59,IF(J61="BIOFEM",PR!$G59,IF(J61="BIOMED",PR!$H59,IF(J61="CHI",PR!$I59,IF(J61="CLARION",PR!$J59,IF(J61="CODIX",PR!$K59,IF(J61="COSMADE",PR!$L59,IF(J61="SANCON",PR!$M59,IF(J61="DEVON",PR!$N59,IF(J61="DORTEMAG",PR!$O59,IF(J61="DGF",PR!$P59,IF(J61="DYNAMIC",PR!$Q59,IF(J61="EMZOR",PR!$R59,IF(J61="EUMATT",PR!$S59,IF(J61="FIDSON",PR!$T59,IF(J61="FCGLOBAL",PR!$U59,IF(J61="GENEITH",PR!$V59,IF(J61="GINOS",PR!$W59,IF(J61="GSK",PR!$X59,IF(J61="GLOBORG",PR!$Y59,IF(J61="GOODNEWS",PR!$Z59,IF(J61="GREENLIFE",PR!$AA59,IF(J61="HLINE",PR!$AB59,IF(J61="ROTECH",PR!$AC59,IF(J61="ISN",PR!$AD59,IF(J61="JAWA",PR!$AE59,IF(J61="LAYO",PR!$AF59,IF(J61="LEADWAY",PR!$AG59,IF(J61="LHV",PR!$AH59,IF(J61="MANOLA",PR!$AI59,IF(J61="MARCSON",PR!$AJ59,IF(J61="M&amp;B",PR!$AK59,IF(J61="MTRUST",PR!$AL59,IF(J61="MWORLD",PR!$AM59,IF(J61="MEGA",PR!$AN59,IF(J61="MICRONOVA",PR!$AO59,IF(J61="MFLASH",PR!$AP59,IF(J61="MORISON",PR!$AQ59,IF(J61="NEMEL",PR!$AR59,IF(J61="NHP",PR!$AS59,IF(J61="NHC",PR!$AT59,IF(J61="OLEAF",PR!$AU59,IF(J61="OCULUS",PR!$AV59,IF(J61="PACIFIC",PR!$AW59,IF(J61="PHAMATEX",PR!$AX59,IF(J61="PETHICS",PR!$AY59,IF(J61="PHILIPS",PR!$AZ59,IF(J61="RANBAXY",PR!$BA59,IF(J61="REALS",PR!$BB59,IF(J61="ROYAL",PR!$BC59,IF(J61="SAM",PR!$BD59,IF(J61="SEAGREEN",PR!$BE59,IF(J61="SKG",PR!$BF59,IF(J61="TAH",PR!$BG59,IF(J61="TAYLEK",PR!$BH59,IF(J61="TEMITA",PR!$BI59,IF(J61="THL",PR!$BJ59,IF(J61="UBASTIC",PR!$BK59,IF(J61="UNION",PR!$BL59,IF(J61="UNIQUE",PR!$BM59,IF(J61="VIXA",PR!$BN59,IF(J61="WWCV",PR!$BO59,IF(J61="ZOLON",PR!$BP59,"-"))))))))))))))))))))))))))))))))))))))))))))))))))))))))))))))))</f>
        <v>-</v>
      </c>
      <c r="J61" s="102">
        <f>EV!N61</f>
        <v>0</v>
      </c>
      <c r="K61" s="433"/>
      <c r="L61" s="183" t="b">
        <f>IF(K61&gt;0,IF(K61="ALPHA",PR!$E59,IF(K61="ASSENE",PR!$F59,IF(K61="BIOFEM",PR!$G59,IF(K61="BIOMED",PR!$H59,IF(K61="CHI",PR!$I59,IF(K61="CLARION",PR!$J59,IF(K61="CODIX",PR!$K59,IF(K61="COSMADE",PR!$L59,IF(K61="SANCON",PR!$M59,IF(K61="DEVON",PR!$N59,IF(K61="DORTEMAG",PR!$O59,IF(K61="DGF",PR!$P59,IF(K61="DYNAMIC",PR!$Q59,IF(K61="EMZOR",PR!$R59,IF(K61="EUMATT",PR!$S59,IF(K61="FIDSON",PR!$T59,IF(K61="FCGLOBAL",PR!$U59,IF(K61="GENEITH",PR!$V59,IF(K61="GINOS",PR!$W59,IF(K61="GSK",PR!$X59,IF(K61="GLOBORG",PR!$Y59,IF(K61="GOODNEWS",PR!$Z59,IF(K61="GREENLIFE",PR!$AA59,IF(K61="HLINE",PR!$AB59,IF(K61="ROTECH",PR!$AC59,IF(K61="ISN",PR!$AD59,IF(K61="JAWA",PR!$AE59,IF(K61="LAYO",PR!$AF59,IF(K61="LEADWAY",PR!$AG59,IF(K61="LHV",PR!$AH59,IF(K61="MANOLA",PR!$AI59,IF(K61="MARCSON",PR!$AJ59,IF(K61="M&amp;B",PR!$AK59,IF(K61="MTRUST",PR!$AL59,IF(K61="MWORLD",PR!$AM59,IF(K61="MEGA",PR!$AN59,IF(K61="MICRONOVA",PR!$AO59,IF(K61="MFLASH",PR!$AP59,IF(K61="MORISON",PR!$AQ59,IF(K61="NEMEL",PR!$AR59,IF(K61="NHP",PR!$AS59,IF(K61="NHC",PR!$AT59,IF(K61="OLEAF",PR!$AU59,IF(K61="OCULUS",PR!$AV59,IF(K61="PACIFIC",PR!$AW59,IF(K61="PHAMATEX",PR!$AX59,IF(K61="PETHICS",PR!$AY59,IF(K61="PHILIPS",PR!$AZ59,IF(K61="RANBAXY",PR!$BA59,IF(K61="REALS",PR!$BB59,IF(K61="ROYAL",PR!$BC59,IF(K61="SAM",PR!$BD59,IF(K61="SEAGREEN",PR!$BE59,IF(K61="SKG",PR!$BF59,IF(K61="TAH",PR!$BG59,IF(K61="TAYLEK",PR!$BH59,IF(K61="TEMITA",PR!$BI59,IF(K61="THL",PR!$BJ59,IF(K61="UBASTIC",PR!$BK59,IF(K61="UNION",PR!$BL59,IF(K61="UNIQUE",PR!$BM59,IF(K61="VIXA",PR!$BN59,IF(K61="WWCV",PR!$BO59,IF(K61="ZOLON",PR!$BP59,"-")))))))))))))))))))))))))))))))))))))))))))))))))))))))))))))))))</f>
        <v>0</v>
      </c>
    </row>
    <row r="62" spans="1:12" ht="18.75" x14ac:dyDescent="0.3">
      <c r="A62" s="430">
        <f>PR!A60</f>
        <v>44</v>
      </c>
      <c r="B62" s="15" t="str">
        <f>PR!B60</f>
        <v>AMLODIPINE/VALSARTAN/HYDROCHLOROTHIAZIDE 5/160/25MG TAB</v>
      </c>
      <c r="C62" s="113">
        <f>PR!D60</f>
        <v>28</v>
      </c>
      <c r="D62" s="113">
        <f>PR!C60</f>
        <v>60</v>
      </c>
      <c r="E62" s="108">
        <f>IF(F62="ALPHA",PR!$E60,IF(F62="ASSENE",PR!$F60,IF(F62="BIOFEM",PR!$G60,IF(F62="BIOMED",PR!$H60,IF(F62="CHI",PR!$I60,IF(F62="CLARION",PR!$J60,IF(F62="CODIX",PR!$K60,IF(F62="COSMADE",PR!$L60,IF(F62="SANCON",PR!$M60,IF(F62="DEVON",PR!$N60,IF(F62="DORTEMAG",PR!$O60,IF(F62="DGF",PR!$P60,IF(F62="DYNAMIC",PR!$Q60,IF(F62="EMZOR",PR!$R60,IF(F62="EUMATT",PR!$S60,IF(F62="FIDSON",PR!$T60,IF(F62="FCGLOBAL",PR!$U60,IF(F62="GENEITH",PR!$V60,IF(F62="GINOS",PR!$W60,IF(F62="GSK",PR!$X60,IF(F62="GLOBORG",PR!$Y60,IF(F62="GOODNEWS",PR!$Z60,IF(F62="GREENLIFE",PR!$AA60,IF(F62="HLINE",PR!$AB60,IF(F62="ROTECH",PR!$AC60,IF(F62="ISN",PR!$AD60,IF(F62="JAWA",PR!$AE60,IF(F62="LAYO",PR!$AF60,IF(F62="LEADWAY",PR!$AG60,IF(F62="LHV",PR!$AH60,IF(F62="MANOLA",PR!$AI60,IF(F62="MARCSON",PR!$AJ60,IF(F62="M&amp;B",PR!$AK60,IF(F62="MTRUST",PR!$AL60,IF(F62="MWORLD",PR!$AM60,IF(F62="MEGA",PR!$AN60,IF(F62="MICRONOVA",PR!$AO60,IF(F62="MFLASH",PR!$AP60,IF(F62="MORISON",PR!$AQ60,IF(F62="NEMEL",PR!$AR60,IF(F62="NHP",PR!$AS60,IF(F62="NHC",PR!$AT60,IF(F62="OLEAF",PR!$AU60,IF(F62="OCULUS",PR!$AV60,IF(F62="PACIFIC",PR!$AW60,IF(F62="PHAMATEX",PR!$AX60,IF(F62="PETHICS",PR!$AY60,IF(F62="PHILIPS",PR!$AZ60,IF(F62="RANBAXY",PR!$BA60,IF(F62="REALS",PR!$BB60,IF(F62="ROYAL",PR!$BC60,IF(F62="SAM",PR!$BD60,IF(F62="SEAGREEN",PR!$BE60,IF(F62="SKG",PR!$BF60,IF(F62="TAH",PR!$BG60,IF(F62="TAYLEK",PR!$BH60,IF(F62="TEMITA",PR!$BI60,IF(F62="THL",PR!$BJ60,IF(F62="UBASTIC",PR!$BK60,IF(F62="UNION",PR!$BL60,IF(F62="UNIQUE",PR!$BM60,IF(F62="VIXA",PR!$BN60,IF(F62="WWCV",PR!$BO60,IF(F62="ZOLON",PR!$BP60,"-"))))))))))))))))))))))))))))))))))))))))))))))))))))))))))))))))</f>
        <v>7000</v>
      </c>
      <c r="F62" s="102" t="str">
        <f>EV!L62</f>
        <v>EUMATT</v>
      </c>
      <c r="G62" s="108" t="str">
        <f>IF(H62="ALPHA",PR!$E60,IF(H62="ASSENE",PR!$F60,IF(H62="BIOFEM",PR!$G60,IF(H62="BIOMED",PR!$H60,IF(H62="CHI",PR!$I60,IF(H62="CLARION",PR!$J60,IF(H62="CODIX",PR!$K60,IF(H62="COSMADE",PR!$L60,IF(H62="SANCON",PR!$M60,IF(H62="DEVON",PR!$N60,IF(H62="DORTEMAG",PR!$O60,IF(H62="DGF",PR!$P60,IF(H62="DYNAMIC",PR!$Q60,IF(H62="EMZOR",PR!$R60,IF(H62="EUMATT",PR!$S60,IF(H62="FIDSON",PR!$T60,IF(H62="FCGLOBAL",PR!$U60,IF(H62="GENEITH",PR!$V60,IF(H62="GINOS",PR!$W60,IF(H62="GSK",PR!$X60,IF(H62="GLOBORG",PR!$Y60,IF(H62="GOODNEWS",PR!$Z60,IF(H62="GREENLIFE",PR!$AA60,IF(H62="HLINE",PR!$AB60,IF(H62="ROTECH",PR!$AC60,IF(H62="ISN",PR!$AD60,IF(H62="JAWA",PR!$AE60,IF(H62="LAYO",PR!$AF60,IF(H62="LEADWAY",PR!$AG60,IF(H62="LHV",PR!$AH60,IF(H62="MANOLA",PR!$AI60,IF(H62="MARCSON",PR!$AJ60,IF(H62="M&amp;B",PR!$AK60,IF(H62="MTRUST",PR!$AL60,IF(H62="MWORLD",PR!$AM60,IF(H62="MEGA",PR!$AN60,IF(H62="MICRONOVA",PR!$AO60,IF(H62="MFLASH",PR!$AP60,IF(H62="MORISON",PR!$AQ60,IF(H62="NEMEL",PR!$AR60,IF(H62="NHP",PR!$AS60,IF(H62="NHC",PR!$AT60,IF(H62="OLEAF",PR!$AU60,IF(H62="OCULUS",PR!$AV60,IF(H62="PACIFIC",PR!$AW60,IF(H62="PHAMATEX",PR!$AX60,IF(H62="PETHICS",PR!$AY60,IF(H62="PHILIPS",PR!$AZ60,IF(H62="RANBAXY",PR!$BA60,IF(H62="REALS",PR!$BB60,IF(H62="ROYAL",PR!$BC60,IF(H62="SAM",PR!$BD60,IF(H62="SEAGREEN",PR!$BE60,IF(H62="SKG",PR!$BF60,IF(H62="TAH",PR!$BG60,IF(H62="TAYLEK",PR!$BH60,IF(H62="TEMITA",PR!$BI60,IF(H62="THL",PR!$BJ60,IF(H62="UBASTIC",PR!$BK60,IF(H62="UNION",PR!$BL60,IF(H62="UNIQUE",PR!$BM60,IF(H62="VIXA",PR!$BN60,IF(H62="WWCV",PR!$BO60,IF(H62="ZOLON",PR!$BP60,"-"))))))))))))))))))))))))))))))))))))))))))))))))))))))))))))))))</f>
        <v>-</v>
      </c>
      <c r="H62" s="102">
        <f>EV!M62</f>
        <v>0</v>
      </c>
      <c r="I62" s="108" t="str">
        <f>IF(J62="ALPHA",PR!$E60,IF(J62="ASSENE",PR!$F60,IF(J62="BIOFEM",PR!$G60,IF(J62="BIOMED",PR!$H60,IF(J62="CHI",PR!$I60,IF(J62="CLARION",PR!$J60,IF(J62="CODIX",PR!$K60,IF(J62="COSMADE",PR!$L60,IF(J62="SANCON",PR!$M60,IF(J62="DEVON",PR!$N60,IF(J62="DORTEMAG",PR!$O60,IF(J62="DGF",PR!$P60,IF(J62="DYNAMIC",PR!$Q60,IF(J62="EMZOR",PR!$R60,IF(J62="EUMATT",PR!$S60,IF(J62="FIDSON",PR!$T60,IF(J62="FCGLOBAL",PR!$U60,IF(J62="GENEITH",PR!$V60,IF(J62="GINOS",PR!$W60,IF(J62="GSK",PR!$X60,IF(J62="GLOBORG",PR!$Y60,IF(J62="GOODNEWS",PR!$Z60,IF(J62="GREENLIFE",PR!$AA60,IF(J62="HLINE",PR!$AB60,IF(J62="ROTECH",PR!$AC60,IF(J62="ISN",PR!$AD60,IF(J62="JAWA",PR!$AE60,IF(J62="LAYO",PR!$AF60,IF(J62="LEADWAY",PR!$AG60,IF(J62="LHV",PR!$AH60,IF(J62="MANOLA",PR!$AI60,IF(J62="MARCSON",PR!$AJ60,IF(J62="M&amp;B",PR!$AK60,IF(J62="MTRUST",PR!$AL60,IF(J62="MWORLD",PR!$AM60,IF(J62="MEGA",PR!$AN60,IF(J62="MICRONOVA",PR!$AO60,IF(J62="MFLASH",PR!$AP60,IF(J62="MORISON",PR!$AQ60,IF(J62="NEMEL",PR!$AR60,IF(J62="NHP",PR!$AS60,IF(J62="NHC",PR!$AT60,IF(J62="OLEAF",PR!$AU60,IF(J62="OCULUS",PR!$AV60,IF(J62="PACIFIC",PR!$AW60,IF(J62="PHAMATEX",PR!$AX60,IF(J62="PETHICS",PR!$AY60,IF(J62="PHILIPS",PR!$AZ60,IF(J62="RANBAXY",PR!$BA60,IF(J62="REALS",PR!$BB60,IF(J62="ROYAL",PR!$BC60,IF(J62="SAM",PR!$BD60,IF(J62="SEAGREEN",PR!$BE60,IF(J62="SKG",PR!$BF60,IF(J62="TAH",PR!$BG60,IF(J62="TAYLEK",PR!$BH60,IF(J62="TEMITA",PR!$BI60,IF(J62="THL",PR!$BJ60,IF(J62="UBASTIC",PR!$BK60,IF(J62="UNION",PR!$BL60,IF(J62="UNIQUE",PR!$BM60,IF(J62="VIXA",PR!$BN60,IF(J62="WWCV",PR!$BO60,IF(J62="ZOLON",PR!$BP60,"-"))))))))))))))))))))))))))))))))))))))))))))))))))))))))))))))))</f>
        <v>-</v>
      </c>
      <c r="J62" s="102">
        <f>EV!N62</f>
        <v>0</v>
      </c>
      <c r="K62" s="433" t="s">
        <v>821</v>
      </c>
      <c r="L62" s="183">
        <f>IF(K62&gt;0,IF(K62="ALPHA",PR!$E60,IF(K62="ASSENE",PR!$F60,IF(K62="BIOFEM",PR!$G60,IF(K62="BIOMED",PR!$H60,IF(K62="CHI",PR!$I60,IF(K62="CLARION",PR!$J60,IF(K62="CODIX",PR!$K60,IF(K62="COSMADE",PR!$L60,IF(K62="SANCON",PR!$M60,IF(K62="DEVON",PR!$N60,IF(K62="DORTEMAG",PR!$O60,IF(K62="DGF",PR!$P60,IF(K62="DYNAMIC",PR!$Q60,IF(K62="EMZOR",PR!$R60,IF(K62="EUMATT",PR!$S60,IF(K62="FIDSON",PR!$T60,IF(K62="FCGLOBAL",PR!$U60,IF(K62="GENEITH",PR!$V60,IF(K62="GINOS",PR!$W60,IF(K62="GSK",PR!$X60,IF(K62="GLOBORG",PR!$Y60,IF(K62="GOODNEWS",PR!$Z60,IF(K62="GREENLIFE",PR!$AA60,IF(K62="HLINE",PR!$AB60,IF(K62="ROTECH",PR!$AC60,IF(K62="ISN",PR!$AD60,IF(K62="JAWA",PR!$AE60,IF(K62="LAYO",PR!$AF60,IF(K62="LEADWAY",PR!$AG60,IF(K62="LHV",PR!$AH60,IF(K62="MANOLA",PR!$AI60,IF(K62="MARCSON",PR!$AJ60,IF(K62="M&amp;B",PR!$AK60,IF(K62="MTRUST",PR!$AL60,IF(K62="MWORLD",PR!$AM60,IF(K62="MEGA",PR!$AN60,IF(K62="MICRONOVA",PR!$AO60,IF(K62="MFLASH",PR!$AP60,IF(K62="MORISON",PR!$AQ60,IF(K62="NEMEL",PR!$AR60,IF(K62="NHP",PR!$AS60,IF(K62="NHC",PR!$AT60,IF(K62="OLEAF",PR!$AU60,IF(K62="OCULUS",PR!$AV60,IF(K62="PACIFIC",PR!$AW60,IF(K62="PHAMATEX",PR!$AX60,IF(K62="PETHICS",PR!$AY60,IF(K62="PHILIPS",PR!$AZ60,IF(K62="RANBAXY",PR!$BA60,IF(K62="REALS",PR!$BB60,IF(K62="ROYAL",PR!$BC60,IF(K62="SAM",PR!$BD60,IF(K62="SEAGREEN",PR!$BE60,IF(K62="SKG",PR!$BF60,IF(K62="TAH",PR!$BG60,IF(K62="TAYLEK",PR!$BH60,IF(K62="TEMITA",PR!$BI60,IF(K62="THL",PR!$BJ60,IF(K62="UBASTIC",PR!$BK60,IF(K62="UNION",PR!$BL60,IF(K62="UNIQUE",PR!$BM60,IF(K62="VIXA",PR!$BN60,IF(K62="WWCV",PR!$BO60,IF(K62="ZOLON",PR!$BP60,"-")))))))))))))))))))))))))))))))))))))))))))))))))))))))))))))))))</f>
        <v>7000</v>
      </c>
    </row>
    <row r="63" spans="1:12" ht="18.75" x14ac:dyDescent="0.3">
      <c r="A63" s="430">
        <f>PR!A61</f>
        <v>45</v>
      </c>
      <c r="B63" s="15" t="str">
        <f>PR!B61</f>
        <v>AMLODIPINE/VALSARTAN/HYDROCHLOROTHIAZIDE 10/160/25MG TAB</v>
      </c>
      <c r="C63" s="113">
        <f>PR!D61</f>
        <v>28</v>
      </c>
      <c r="D63" s="113">
        <f>PR!C61</f>
        <v>60</v>
      </c>
      <c r="E63" s="108">
        <f>IF(F63="ALPHA",PR!$E61,IF(F63="ASSENE",PR!$F61,IF(F63="BIOFEM",PR!$G61,IF(F63="BIOMED",PR!$H61,IF(F63="CHI",PR!$I61,IF(F63="CLARION",PR!$J61,IF(F63="CODIX",PR!$K61,IF(F63="COSMADE",PR!$L61,IF(F63="SANCON",PR!$M61,IF(F63="DEVON",PR!$N61,IF(F63="DORTEMAG",PR!$O61,IF(F63="DGF",PR!$P61,IF(F63="DYNAMIC",PR!$Q61,IF(F63="EMZOR",PR!$R61,IF(F63="EUMATT",PR!$S61,IF(F63="FIDSON",PR!$T61,IF(F63="FCGLOBAL",PR!$U61,IF(F63="GENEITH",PR!$V61,IF(F63="GINOS",PR!$W61,IF(F63="GSK",PR!$X61,IF(F63="GLOBORG",PR!$Y61,IF(F63="GOODNEWS",PR!$Z61,IF(F63="GREENLIFE",PR!$AA61,IF(F63="HLINE",PR!$AB61,IF(F63="ROTECH",PR!$AC61,IF(F63="ISN",PR!$AD61,IF(F63="JAWA",PR!$AE61,IF(F63="LAYO",PR!$AF61,IF(F63="LEADWAY",PR!$AG61,IF(F63="LHV",PR!$AH61,IF(F63="MANOLA",PR!$AI61,IF(F63="MARCSON",PR!$AJ61,IF(F63="M&amp;B",PR!$AK61,IF(F63="MTRUST",PR!$AL61,IF(F63="MWORLD",PR!$AM61,IF(F63="MEGA",PR!$AN61,IF(F63="MICRONOVA",PR!$AO61,IF(F63="MFLASH",PR!$AP61,IF(F63="MORISON",PR!$AQ61,IF(F63="NEMEL",PR!$AR61,IF(F63="NHP",PR!$AS61,IF(F63="NHC",PR!$AT61,IF(F63="OLEAF",PR!$AU61,IF(F63="OCULUS",PR!$AV61,IF(F63="PACIFIC",PR!$AW61,IF(F63="PHAMATEX",PR!$AX61,IF(F63="PETHICS",PR!$AY61,IF(F63="PHILIPS",PR!$AZ61,IF(F63="RANBAXY",PR!$BA61,IF(F63="REALS",PR!$BB61,IF(F63="ROYAL",PR!$BC61,IF(F63="SAM",PR!$BD61,IF(F63="SEAGREEN",PR!$BE61,IF(F63="SKG",PR!$BF61,IF(F63="TAH",PR!$BG61,IF(F63="TAYLEK",PR!$BH61,IF(F63="TEMITA",PR!$BI61,IF(F63="THL",PR!$BJ61,IF(F63="UBASTIC",PR!$BK61,IF(F63="UNION",PR!$BL61,IF(F63="UNIQUE",PR!$BM61,IF(F63="VIXA",PR!$BN61,IF(F63="WWCV",PR!$BO61,IF(F63="ZOLON",PR!$BP61,"-"))))))))))))))))))))))))))))))))))))))))))))))))))))))))))))))))</f>
        <v>7000</v>
      </c>
      <c r="F63" s="102" t="str">
        <f>EV!L63</f>
        <v>EUMATT</v>
      </c>
      <c r="G63" s="108" t="str">
        <f>IF(H63="ALPHA",PR!$E61,IF(H63="ASSENE",PR!$F61,IF(H63="BIOFEM",PR!$G61,IF(H63="BIOMED",PR!$H61,IF(H63="CHI",PR!$I61,IF(H63="CLARION",PR!$J61,IF(H63="CODIX",PR!$K61,IF(H63="COSMADE",PR!$L61,IF(H63="SANCON",PR!$M61,IF(H63="DEVON",PR!$N61,IF(H63="DORTEMAG",PR!$O61,IF(H63="DGF",PR!$P61,IF(H63="DYNAMIC",PR!$Q61,IF(H63="EMZOR",PR!$R61,IF(H63="EUMATT",PR!$S61,IF(H63="FIDSON",PR!$T61,IF(H63="FCGLOBAL",PR!$U61,IF(H63="GENEITH",PR!$V61,IF(H63="GINOS",PR!$W61,IF(H63="GSK",PR!$X61,IF(H63="GLOBORG",PR!$Y61,IF(H63="GOODNEWS",PR!$Z61,IF(H63="GREENLIFE",PR!$AA61,IF(H63="HLINE",PR!$AB61,IF(H63="ROTECH",PR!$AC61,IF(H63="ISN",PR!$AD61,IF(H63="JAWA",PR!$AE61,IF(H63="LAYO",PR!$AF61,IF(H63="LEADWAY",PR!$AG61,IF(H63="LHV",PR!$AH61,IF(H63="MANOLA",PR!$AI61,IF(H63="MARCSON",PR!$AJ61,IF(H63="M&amp;B",PR!$AK61,IF(H63="MTRUST",PR!$AL61,IF(H63="MWORLD",PR!$AM61,IF(H63="MEGA",PR!$AN61,IF(H63="MICRONOVA",PR!$AO61,IF(H63="MFLASH",PR!$AP61,IF(H63="MORISON",PR!$AQ61,IF(H63="NEMEL",PR!$AR61,IF(H63="NHP",PR!$AS61,IF(H63="NHC",PR!$AT61,IF(H63="OLEAF",PR!$AU61,IF(H63="OCULUS",PR!$AV61,IF(H63="PACIFIC",PR!$AW61,IF(H63="PHAMATEX",PR!$AX61,IF(H63="PETHICS",PR!$AY61,IF(H63="PHILIPS",PR!$AZ61,IF(H63="RANBAXY",PR!$BA61,IF(H63="REALS",PR!$BB61,IF(H63="ROYAL",PR!$BC61,IF(H63="SAM",PR!$BD61,IF(H63="SEAGREEN",PR!$BE61,IF(H63="SKG",PR!$BF61,IF(H63="TAH",PR!$BG61,IF(H63="TAYLEK",PR!$BH61,IF(H63="TEMITA",PR!$BI61,IF(H63="THL",PR!$BJ61,IF(H63="UBASTIC",PR!$BK61,IF(H63="UNION",PR!$BL61,IF(H63="UNIQUE",PR!$BM61,IF(H63="VIXA",PR!$BN61,IF(H63="WWCV",PR!$BO61,IF(H63="ZOLON",PR!$BP61,"-"))))))))))))))))))))))))))))))))))))))))))))))))))))))))))))))))</f>
        <v>-</v>
      </c>
      <c r="H63" s="102">
        <f>EV!M63</f>
        <v>0</v>
      </c>
      <c r="I63" s="108" t="str">
        <f>IF(J63="ALPHA",PR!$E61,IF(J63="ASSENE",PR!$F61,IF(J63="BIOFEM",PR!$G61,IF(J63="BIOMED",PR!$H61,IF(J63="CHI",PR!$I61,IF(J63="CLARION",PR!$J61,IF(J63="CODIX",PR!$K61,IF(J63="COSMADE",PR!$L61,IF(J63="SANCON",PR!$M61,IF(J63="DEVON",PR!$N61,IF(J63="DORTEMAG",PR!$O61,IF(J63="DGF",PR!$P61,IF(J63="DYNAMIC",PR!$Q61,IF(J63="EMZOR",PR!$R61,IF(J63="EUMATT",PR!$S61,IF(J63="FIDSON",PR!$T61,IF(J63="FCGLOBAL",PR!$U61,IF(J63="GENEITH",PR!$V61,IF(J63="GINOS",PR!$W61,IF(J63="GSK",PR!$X61,IF(J63="GLOBORG",PR!$Y61,IF(J63="GOODNEWS",PR!$Z61,IF(J63="GREENLIFE",PR!$AA61,IF(J63="HLINE",PR!$AB61,IF(J63="ROTECH",PR!$AC61,IF(J63="ISN",PR!$AD61,IF(J63="JAWA",PR!$AE61,IF(J63="LAYO",PR!$AF61,IF(J63="LEADWAY",PR!$AG61,IF(J63="LHV",PR!$AH61,IF(J63="MANOLA",PR!$AI61,IF(J63="MARCSON",PR!$AJ61,IF(J63="M&amp;B",PR!$AK61,IF(J63="MTRUST",PR!$AL61,IF(J63="MWORLD",PR!$AM61,IF(J63="MEGA",PR!$AN61,IF(J63="MICRONOVA",PR!$AO61,IF(J63="MFLASH",PR!$AP61,IF(J63="MORISON",PR!$AQ61,IF(J63="NEMEL",PR!$AR61,IF(J63="NHP",PR!$AS61,IF(J63="NHC",PR!$AT61,IF(J63="OLEAF",PR!$AU61,IF(J63="OCULUS",PR!$AV61,IF(J63="PACIFIC",PR!$AW61,IF(J63="PHAMATEX",PR!$AX61,IF(J63="PETHICS",PR!$AY61,IF(J63="PHILIPS",PR!$AZ61,IF(J63="RANBAXY",PR!$BA61,IF(J63="REALS",PR!$BB61,IF(J63="ROYAL",PR!$BC61,IF(J63="SAM",PR!$BD61,IF(J63="SEAGREEN",PR!$BE61,IF(J63="SKG",PR!$BF61,IF(J63="TAH",PR!$BG61,IF(J63="TAYLEK",PR!$BH61,IF(J63="TEMITA",PR!$BI61,IF(J63="THL",PR!$BJ61,IF(J63="UBASTIC",PR!$BK61,IF(J63="UNION",PR!$BL61,IF(J63="UNIQUE",PR!$BM61,IF(J63="VIXA",PR!$BN61,IF(J63="WWCV",PR!$BO61,IF(J63="ZOLON",PR!$BP61,"-"))))))))))))))))))))))))))))))))))))))))))))))))))))))))))))))))</f>
        <v>-</v>
      </c>
      <c r="J63" s="102">
        <f>EV!N63</f>
        <v>0</v>
      </c>
      <c r="K63" s="433" t="s">
        <v>821</v>
      </c>
      <c r="L63" s="183">
        <f>IF(K63&gt;0,IF(K63="ALPHA",PR!$E61,IF(K63="ASSENE",PR!$F61,IF(K63="BIOFEM",PR!$G61,IF(K63="BIOMED",PR!$H61,IF(K63="CHI",PR!$I61,IF(K63="CLARION",PR!$J61,IF(K63="CODIX",PR!$K61,IF(K63="COSMADE",PR!$L61,IF(K63="SANCON",PR!$M61,IF(K63="DEVON",PR!$N61,IF(K63="DORTEMAG",PR!$O61,IF(K63="DGF",PR!$P61,IF(K63="DYNAMIC",PR!$Q61,IF(K63="EMZOR",PR!$R61,IF(K63="EUMATT",PR!$S61,IF(K63="FIDSON",PR!$T61,IF(K63="FCGLOBAL",PR!$U61,IF(K63="GENEITH",PR!$V61,IF(K63="GINOS",PR!$W61,IF(K63="GSK",PR!$X61,IF(K63="GLOBORG",PR!$Y61,IF(K63="GOODNEWS",PR!$Z61,IF(K63="GREENLIFE",PR!$AA61,IF(K63="HLINE",PR!$AB61,IF(K63="ROTECH",PR!$AC61,IF(K63="ISN",PR!$AD61,IF(K63="JAWA",PR!$AE61,IF(K63="LAYO",PR!$AF61,IF(K63="LEADWAY",PR!$AG61,IF(K63="LHV",PR!$AH61,IF(K63="MANOLA",PR!$AI61,IF(K63="MARCSON",PR!$AJ61,IF(K63="M&amp;B",PR!$AK61,IF(K63="MTRUST",PR!$AL61,IF(K63="MWORLD",PR!$AM61,IF(K63="MEGA",PR!$AN61,IF(K63="MICRONOVA",PR!$AO61,IF(K63="MFLASH",PR!$AP61,IF(K63="MORISON",PR!$AQ61,IF(K63="NEMEL",PR!$AR61,IF(K63="NHP",PR!$AS61,IF(K63="NHC",PR!$AT61,IF(K63="OLEAF",PR!$AU61,IF(K63="OCULUS",PR!$AV61,IF(K63="PACIFIC",PR!$AW61,IF(K63="PHAMATEX",PR!$AX61,IF(K63="PETHICS",PR!$AY61,IF(K63="PHILIPS",PR!$AZ61,IF(K63="RANBAXY",PR!$BA61,IF(K63="REALS",PR!$BB61,IF(K63="ROYAL",PR!$BC61,IF(K63="SAM",PR!$BD61,IF(K63="SEAGREEN",PR!$BE61,IF(K63="SKG",PR!$BF61,IF(K63="TAH",PR!$BG61,IF(K63="TAYLEK",PR!$BH61,IF(K63="TEMITA",PR!$BI61,IF(K63="THL",PR!$BJ61,IF(K63="UBASTIC",PR!$BK61,IF(K63="UNION",PR!$BL61,IF(K63="UNIQUE",PR!$BM61,IF(K63="VIXA",PR!$BN61,IF(K63="WWCV",PR!$BO61,IF(K63="ZOLON",PR!$BP61,"-")))))))))))))))))))))))))))))))))))))))))))))))))))))))))))))))))</f>
        <v>7000</v>
      </c>
    </row>
    <row r="64" spans="1:12" ht="18.75" x14ac:dyDescent="0.3">
      <c r="A64" s="430">
        <f>PR!A62</f>
        <v>46</v>
      </c>
      <c r="B64" s="15" t="str">
        <f>PR!B62</f>
        <v>ASPIRIN 75MG TAB</v>
      </c>
      <c r="C64" s="113">
        <f>PR!D62</f>
        <v>100</v>
      </c>
      <c r="D64" s="113">
        <f>PR!C62</f>
        <v>2000</v>
      </c>
      <c r="E64" s="108">
        <f>IF(F64="ALPHA",PR!$E62,IF(F64="ASSENE",PR!$F62,IF(F64="BIOFEM",PR!$G62,IF(F64="BIOMED",PR!$H62,IF(F64="CHI",PR!$I62,IF(F64="CLARION",PR!$J62,IF(F64="CODIX",PR!$K62,IF(F64="COSMADE",PR!$L62,IF(F64="SANCON",PR!$M62,IF(F64="DEVON",PR!$N62,IF(F64="DORTEMAG",PR!$O62,IF(F64="DGF",PR!$P62,IF(F64="DYNAMIC",PR!$Q62,IF(F64="EMZOR",PR!$R62,IF(F64="EUMATT",PR!$S62,IF(F64="FIDSON",PR!$T62,IF(F64="FCGLOBAL",PR!$U62,IF(F64="GENEITH",PR!$V62,IF(F64="GINOS",PR!$W62,IF(F64="GSK",PR!$X62,IF(F64="GLOBORG",PR!$Y62,IF(F64="GOODNEWS",PR!$Z62,IF(F64="GREENLIFE",PR!$AA62,IF(F64="HLINE",PR!$AB62,IF(F64="ROTECH",PR!$AC62,IF(F64="ISN",PR!$AD62,IF(F64="JAWA",PR!$AE62,IF(F64="LAYO",PR!$AF62,IF(F64="LEADWAY",PR!$AG62,IF(F64="LHV",PR!$AH62,IF(F64="MANOLA",PR!$AI62,IF(F64="MARCSON",PR!$AJ62,IF(F64="M&amp;B",PR!$AK62,IF(F64="MTRUST",PR!$AL62,IF(F64="MWORLD",PR!$AM62,IF(F64="MEGA",PR!$AN62,IF(F64="MICRONOVA",PR!$AO62,IF(F64="MFLASH",PR!$AP62,IF(F64="MORISON",PR!$AQ62,IF(F64="NEMEL",PR!$AR62,IF(F64="NHP",PR!$AS62,IF(F64="NHC",PR!$AT62,IF(F64="OLEAF",PR!$AU62,IF(F64="OCULUS",PR!$AV62,IF(F64="PACIFIC",PR!$AW62,IF(F64="PHAMATEX",PR!$AX62,IF(F64="PETHICS",PR!$AY62,IF(F64="PHILIPS",PR!$AZ62,IF(F64="RANBAXY",PR!$BA62,IF(F64="REALS",PR!$BB62,IF(F64="ROYAL",PR!$BC62,IF(F64="SAM",PR!$BD62,IF(F64="SEAGREEN",PR!$BE62,IF(F64="SKG",PR!$BF62,IF(F64="TAH",PR!$BG62,IF(F64="TAYLEK",PR!$BH62,IF(F64="TEMITA",PR!$BI62,IF(F64="THL",PR!$BJ62,IF(F64="UBASTIC",PR!$BK62,IF(F64="UNION",PR!$BL62,IF(F64="UNIQUE",PR!$BM62,IF(F64="VIXA",PR!$BN62,IF(F64="WWCV",PR!$BO62,IF(F64="ZOLON",PR!$BP62,"-"))))))))))))))))))))))))))))))))))))))))))))))))))))))))))))))))</f>
        <v>80</v>
      </c>
      <c r="F64" s="102" t="str">
        <f>EV!L64</f>
        <v>EUMATT</v>
      </c>
      <c r="G64" s="108">
        <f>IF(H64="ALPHA",PR!$E62,IF(H64="ASSENE",PR!$F62,IF(H64="BIOFEM",PR!$G62,IF(H64="BIOMED",PR!$H62,IF(H64="CHI",PR!$I62,IF(H64="CLARION",PR!$J62,IF(H64="CODIX",PR!$K62,IF(H64="COSMADE",PR!$L62,IF(H64="SANCON",PR!$M62,IF(H64="DEVON",PR!$N62,IF(H64="DORTEMAG",PR!$O62,IF(H64="DGF",PR!$P62,IF(H64="DYNAMIC",PR!$Q62,IF(H64="EMZOR",PR!$R62,IF(H64="EUMATT",PR!$S62,IF(H64="FIDSON",PR!$T62,IF(H64="FCGLOBAL",PR!$U62,IF(H64="GENEITH",PR!$V62,IF(H64="GINOS",PR!$W62,IF(H64="GSK",PR!$X62,IF(H64="GLOBORG",PR!$Y62,IF(H64="GOODNEWS",PR!$Z62,IF(H64="GREENLIFE",PR!$AA62,IF(H64="HLINE",PR!$AB62,IF(H64="ROTECH",PR!$AC62,IF(H64="ISN",PR!$AD62,IF(H64="JAWA",PR!$AE62,IF(H64="LAYO",PR!$AF62,IF(H64="LEADWAY",PR!$AG62,IF(H64="LHV",PR!$AH62,IF(H64="MANOLA",PR!$AI62,IF(H64="MARCSON",PR!$AJ62,IF(H64="M&amp;B",PR!$AK62,IF(H64="MTRUST",PR!$AL62,IF(H64="MWORLD",PR!$AM62,IF(H64="MEGA",PR!$AN62,IF(H64="MICRONOVA",PR!$AO62,IF(H64="MFLASH",PR!$AP62,IF(H64="MORISON",PR!$AQ62,IF(H64="NEMEL",PR!$AR62,IF(H64="NHP",PR!$AS62,IF(H64="NHC",PR!$AT62,IF(H64="OLEAF",PR!$AU62,IF(H64="OCULUS",PR!$AV62,IF(H64="PACIFIC",PR!$AW62,IF(H64="PHAMATEX",PR!$AX62,IF(H64="PETHICS",PR!$AY62,IF(H64="PHILIPS",PR!$AZ62,IF(H64="RANBAXY",PR!$BA62,IF(H64="REALS",PR!$BB62,IF(H64="ROYAL",PR!$BC62,IF(H64="SAM",PR!$BD62,IF(H64="SEAGREEN",PR!$BE62,IF(H64="SKG",PR!$BF62,IF(H64="TAH",PR!$BG62,IF(H64="TAYLEK",PR!$BH62,IF(H64="TEMITA",PR!$BI62,IF(H64="THL",PR!$BJ62,IF(H64="UBASTIC",PR!$BK62,IF(H64="UNION",PR!$BL62,IF(H64="UNIQUE",PR!$BM62,IF(H64="VIXA",PR!$BN62,IF(H64="WWCV",PR!$BO62,IF(H64="ZOLON",PR!$BP62,"-"))))))))))))))))))))))))))))))))))))))))))))))))))))))))))))))))</f>
        <v>100</v>
      </c>
      <c r="H64" s="102" t="str">
        <f>EV!M64</f>
        <v>EMZOR</v>
      </c>
      <c r="I64" s="108">
        <f>IF(J64="ALPHA",PR!$E62,IF(J64="ASSENE",PR!$F62,IF(J64="BIOFEM",PR!$G62,IF(J64="BIOMED",PR!$H62,IF(J64="CHI",PR!$I62,IF(J64="CLARION",PR!$J62,IF(J64="CODIX",PR!$K62,IF(J64="COSMADE",PR!$L62,IF(J64="SANCON",PR!$M62,IF(J64="DEVON",PR!$N62,IF(J64="DORTEMAG",PR!$O62,IF(J64="DGF",PR!$P62,IF(J64="DYNAMIC",PR!$Q62,IF(J64="EMZOR",PR!$R62,IF(J64="EUMATT",PR!$S62,IF(J64="FIDSON",PR!$T62,IF(J64="FCGLOBAL",PR!$U62,IF(J64="GENEITH",PR!$V62,IF(J64="GINOS",PR!$W62,IF(J64="GSK",PR!$X62,IF(J64="GLOBORG",PR!$Y62,IF(J64="GOODNEWS",PR!$Z62,IF(J64="GREENLIFE",PR!$AA62,IF(J64="HLINE",PR!$AB62,IF(J64="ROTECH",PR!$AC62,IF(J64="ISN",PR!$AD62,IF(J64="JAWA",PR!$AE62,IF(J64="LAYO",PR!$AF62,IF(J64="LEADWAY",PR!$AG62,IF(J64="LHV",PR!$AH62,IF(J64="MANOLA",PR!$AI62,IF(J64="MARCSON",PR!$AJ62,IF(J64="M&amp;B",PR!$AK62,IF(J64="MTRUST",PR!$AL62,IF(J64="MWORLD",PR!$AM62,IF(J64="MEGA",PR!$AN62,IF(J64="MICRONOVA",PR!$AO62,IF(J64="MFLASH",PR!$AP62,IF(J64="MORISON",PR!$AQ62,IF(J64="NEMEL",PR!$AR62,IF(J64="NHP",PR!$AS62,IF(J64="NHC",PR!$AT62,IF(J64="OLEAF",PR!$AU62,IF(J64="OCULUS",PR!$AV62,IF(J64="PACIFIC",PR!$AW62,IF(J64="PHAMATEX",PR!$AX62,IF(J64="PETHICS",PR!$AY62,IF(J64="PHILIPS",PR!$AZ62,IF(J64="RANBAXY",PR!$BA62,IF(J64="REALS",PR!$BB62,IF(J64="ROYAL",PR!$BC62,IF(J64="SAM",PR!$BD62,IF(J64="SEAGREEN",PR!$BE62,IF(J64="SKG",PR!$BF62,IF(J64="TAH",PR!$BG62,IF(J64="TAYLEK",PR!$BH62,IF(J64="TEMITA",PR!$BI62,IF(J64="THL",PR!$BJ62,IF(J64="UBASTIC",PR!$BK62,IF(J64="UNION",PR!$BL62,IF(J64="UNIQUE",PR!$BM62,IF(J64="VIXA",PR!$BN62,IF(J64="WWCV",PR!$BO62,IF(J64="ZOLON",PR!$BP62,"-"))))))))))))))))))))))))))))))))))))))))))))))))))))))))))))))))</f>
        <v>140</v>
      </c>
      <c r="J64" s="102" t="str">
        <f>EV!N64</f>
        <v>PHAMATEX</v>
      </c>
      <c r="K64" s="433" t="s">
        <v>2090</v>
      </c>
      <c r="L64" s="183" t="str">
        <f>IF(K64&gt;0,IF(K64="ALPHA",PR!$E62,IF(K64="ASSENE",PR!$F62,IF(K64="BIOFEM",PR!$G62,IF(K64="BIOMED",PR!$H62,IF(K64="CHI",PR!$I62,IF(K64="CLARION",PR!$J62,IF(K64="CODIX",PR!$K62,IF(K64="COSMADE",PR!$L62,IF(K64="SANCON",PR!$M62,IF(K64="DEVON",PR!$N62,IF(K64="DORTEMAG",PR!$O62,IF(K64="DGF",PR!$P62,IF(K64="DYNAMIC",PR!$Q62,IF(K64="EMZOR",PR!$R62,IF(K64="EUMATT",PR!$S62,IF(K64="FIDSON",PR!$T62,IF(K64="FCGLOBAL",PR!$U62,IF(K64="GENEITH",PR!$V62,IF(K64="GINOS",PR!$W62,IF(K64="GSK",PR!$X62,IF(K64="GLOBORG",PR!$Y62,IF(K64="GOODNEWS",PR!$Z62,IF(K64="GREENLIFE",PR!$AA62,IF(K64="HLINE",PR!$AB62,IF(K64="ROTECH",PR!$AC62,IF(K64="ISN",PR!$AD62,IF(K64="JAWA",PR!$AE62,IF(K64="LAYO",PR!$AF62,IF(K64="LEADWAY",PR!$AG62,IF(K64="LHV",PR!$AH62,IF(K64="MANOLA",PR!$AI62,IF(K64="MARCSON",PR!$AJ62,IF(K64="M&amp;B",PR!$AK62,IF(K64="MTRUST",PR!$AL62,IF(K64="MWORLD",PR!$AM62,IF(K64="MEGA",PR!$AN62,IF(K64="MICRONOVA",PR!$AO62,IF(K64="MFLASH",PR!$AP62,IF(K64="MORISON",PR!$AQ62,IF(K64="NEMEL",PR!$AR62,IF(K64="NHP",PR!$AS62,IF(K64="NHC",PR!$AT62,IF(K64="OLEAF",PR!$AU62,IF(K64="OCULUS",PR!$AV62,IF(K64="PACIFIC",PR!$AW62,IF(K64="PHAMATEX",PR!$AX62,IF(K64="PETHICS",PR!$AY62,IF(K64="PHILIPS",PR!$AZ62,IF(K64="RANBAXY",PR!$BA62,IF(K64="REALS",PR!$BB62,IF(K64="ROYAL",PR!$BC62,IF(K64="SAM",PR!$BD62,IF(K64="SEAGREEN",PR!$BE62,IF(K64="SKG",PR!$BF62,IF(K64="TAH",PR!$BG62,IF(K64="TAYLEK",PR!$BH62,IF(K64="TEMITA",PR!$BI62,IF(K64="THL",PR!$BJ62,IF(K64="UBASTIC",PR!$BK62,IF(K64="UNION",PR!$BL62,IF(K64="UNIQUE",PR!$BM62,IF(K64="VIXA",PR!$BN62,IF(K64="WWCV",PR!$BO62,IF(K64="ZOLON",PR!$BP62,"-")))))))))))))))))))))))))))))))))))))))))))))))))))))))))))))))))</f>
        <v>-</v>
      </c>
    </row>
    <row r="65" spans="1:12" ht="18.75" x14ac:dyDescent="0.3">
      <c r="A65" s="430">
        <f>PR!A63</f>
        <v>47</v>
      </c>
      <c r="B65" s="15" t="str">
        <f>PR!B63</f>
        <v>ATENOLOL 50MG</v>
      </c>
      <c r="C65" s="113">
        <f>PR!D63</f>
        <v>28</v>
      </c>
      <c r="D65" s="113">
        <f>PR!C63</f>
        <v>2000</v>
      </c>
      <c r="E65" s="108">
        <f>IF(F65="ALPHA",PR!$E63,IF(F65="ASSENE",PR!$F63,IF(F65="BIOFEM",PR!$G63,IF(F65="BIOMED",PR!$H63,IF(F65="CHI",PR!$I63,IF(F65="CLARION",PR!$J63,IF(F65="CODIX",PR!$K63,IF(F65="COSMADE",PR!$L63,IF(F65="SANCON",PR!$M63,IF(F65="DEVON",PR!$N63,IF(F65="DORTEMAG",PR!$O63,IF(F65="DGF",PR!$P63,IF(F65="DYNAMIC",PR!$Q63,IF(F65="EMZOR",PR!$R63,IF(F65="EUMATT",PR!$S63,IF(F65="FIDSON",PR!$T63,IF(F65="FCGLOBAL",PR!$U63,IF(F65="GENEITH",PR!$V63,IF(F65="GINOS",PR!$W63,IF(F65="GSK",PR!$X63,IF(F65="GLOBORG",PR!$Y63,IF(F65="GOODNEWS",PR!$Z63,IF(F65="GREENLIFE",PR!$AA63,IF(F65="HLINE",PR!$AB63,IF(F65="ROTECH",PR!$AC63,IF(F65="ISN",PR!$AD63,IF(F65="JAWA",PR!$AE63,IF(F65="LAYO",PR!$AF63,IF(F65="LEADWAY",PR!$AG63,IF(F65="LHV",PR!$AH63,IF(F65="MANOLA",PR!$AI63,IF(F65="MARCSON",PR!$AJ63,IF(F65="M&amp;B",PR!$AK63,IF(F65="MTRUST",PR!$AL63,IF(F65="MWORLD",PR!$AM63,IF(F65="MEGA",PR!$AN63,IF(F65="MICRONOVA",PR!$AO63,IF(F65="MFLASH",PR!$AP63,IF(F65="MORISON",PR!$AQ63,IF(F65="NEMEL",PR!$AR63,IF(F65="NHP",PR!$AS63,IF(F65="NHC",PR!$AT63,IF(F65="OLEAF",PR!$AU63,IF(F65="OCULUS",PR!$AV63,IF(F65="PACIFIC",PR!$AW63,IF(F65="PHAMATEX",PR!$AX63,IF(F65="PETHICS",PR!$AY63,IF(F65="PHILIPS",PR!$AZ63,IF(F65="RANBAXY",PR!$BA63,IF(F65="REALS",PR!$BB63,IF(F65="ROYAL",PR!$BC63,IF(F65="SAM",PR!$BD63,IF(F65="SEAGREEN",PR!$BE63,IF(F65="SKG",PR!$BF63,IF(F65="TAH",PR!$BG63,IF(F65="TAYLEK",PR!$BH63,IF(F65="TEMITA",PR!$BI63,IF(F65="THL",PR!$BJ63,IF(F65="UBASTIC",PR!$BK63,IF(F65="UNION",PR!$BL63,IF(F65="UNIQUE",PR!$BM63,IF(F65="VIXA",PR!$BN63,IF(F65="WWCV",PR!$BO63,IF(F65="ZOLON",PR!$BP63,"-"))))))))))))))))))))))))))))))))))))))))))))))))))))))))))))))))</f>
        <v>165</v>
      </c>
      <c r="F65" s="102" t="str">
        <f>EV!L65</f>
        <v>UNIQUE</v>
      </c>
      <c r="G65" s="108" t="str">
        <f>IF(H65="ALPHA",PR!$E63,IF(H65="ASSENE",PR!$F63,IF(H65="BIOFEM",PR!$G63,IF(H65="BIOMED",PR!$H63,IF(H65="CHI",PR!$I63,IF(H65="CLARION",PR!$J63,IF(H65="CODIX",PR!$K63,IF(H65="COSMADE",PR!$L63,IF(H65="SANCON",PR!$M63,IF(H65="DEVON",PR!$N63,IF(H65="DORTEMAG",PR!$O63,IF(H65="DGF",PR!$P63,IF(H65="DYNAMIC",PR!$Q63,IF(H65="EMZOR",PR!$R63,IF(H65="EUMATT",PR!$S63,IF(H65="FIDSON",PR!$T63,IF(H65="FCGLOBAL",PR!$U63,IF(H65="GENEITH",PR!$V63,IF(H65="GINOS",PR!$W63,IF(H65="GSK",PR!$X63,IF(H65="GLOBORG",PR!$Y63,IF(H65="GOODNEWS",PR!$Z63,IF(H65="GREENLIFE",PR!$AA63,IF(H65="HLINE",PR!$AB63,IF(H65="ROTECH",PR!$AC63,IF(H65="ISN",PR!$AD63,IF(H65="JAWA",PR!$AE63,IF(H65="LAYO",PR!$AF63,IF(H65="LEADWAY",PR!$AG63,IF(H65="LHV",PR!$AH63,IF(H65="MANOLA",PR!$AI63,IF(H65="MARCSON",PR!$AJ63,IF(H65="M&amp;B",PR!$AK63,IF(H65="MTRUST",PR!$AL63,IF(H65="MWORLD",PR!$AM63,IF(H65="MEGA",PR!$AN63,IF(H65="MICRONOVA",PR!$AO63,IF(H65="MFLASH",PR!$AP63,IF(H65="MORISON",PR!$AQ63,IF(H65="NEMEL",PR!$AR63,IF(H65="NHP",PR!$AS63,IF(H65="NHC",PR!$AT63,IF(H65="OLEAF",PR!$AU63,IF(H65="OCULUS",PR!$AV63,IF(H65="PACIFIC",PR!$AW63,IF(H65="PHAMATEX",PR!$AX63,IF(H65="PETHICS",PR!$AY63,IF(H65="PHILIPS",PR!$AZ63,IF(H65="RANBAXY",PR!$BA63,IF(H65="REALS",PR!$BB63,IF(H65="ROYAL",PR!$BC63,IF(H65="SAM",PR!$BD63,IF(H65="SEAGREEN",PR!$BE63,IF(H65="SKG",PR!$BF63,IF(H65="TAH",PR!$BG63,IF(H65="TAYLEK",PR!$BH63,IF(H65="TEMITA",PR!$BI63,IF(H65="THL",PR!$BJ63,IF(H65="UBASTIC",PR!$BK63,IF(H65="UNION",PR!$BL63,IF(H65="UNIQUE",PR!$BM63,IF(H65="VIXA",PR!$BN63,IF(H65="WWCV",PR!$BO63,IF(H65="ZOLON",PR!$BP63,"-"))))))))))))))))))))))))))))))))))))))))))))))))))))))))))))))))</f>
        <v>-</v>
      </c>
      <c r="H65" s="102">
        <f>EV!M65</f>
        <v>0</v>
      </c>
      <c r="I65" s="108" t="str">
        <f>IF(J65="ALPHA",PR!$E63,IF(J65="ASSENE",PR!$F63,IF(J65="BIOFEM",PR!$G63,IF(J65="BIOMED",PR!$H63,IF(J65="CHI",PR!$I63,IF(J65="CLARION",PR!$J63,IF(J65="CODIX",PR!$K63,IF(J65="COSMADE",PR!$L63,IF(J65="SANCON",PR!$M63,IF(J65="DEVON",PR!$N63,IF(J65="DORTEMAG",PR!$O63,IF(J65="DGF",PR!$P63,IF(J65="DYNAMIC",PR!$Q63,IF(J65="EMZOR",PR!$R63,IF(J65="EUMATT",PR!$S63,IF(J65="FIDSON",PR!$T63,IF(J65="FCGLOBAL",PR!$U63,IF(J65="GENEITH",PR!$V63,IF(J65="GINOS",PR!$W63,IF(J65="GSK",PR!$X63,IF(J65="GLOBORG",PR!$Y63,IF(J65="GOODNEWS",PR!$Z63,IF(J65="GREENLIFE",PR!$AA63,IF(J65="HLINE",PR!$AB63,IF(J65="ROTECH",PR!$AC63,IF(J65="ISN",PR!$AD63,IF(J65="JAWA",PR!$AE63,IF(J65="LAYO",PR!$AF63,IF(J65="LEADWAY",PR!$AG63,IF(J65="LHV",PR!$AH63,IF(J65="MANOLA",PR!$AI63,IF(J65="MARCSON",PR!$AJ63,IF(J65="M&amp;B",PR!$AK63,IF(J65="MTRUST",PR!$AL63,IF(J65="MWORLD",PR!$AM63,IF(J65="MEGA",PR!$AN63,IF(J65="MICRONOVA",PR!$AO63,IF(J65="MFLASH",PR!$AP63,IF(J65="MORISON",PR!$AQ63,IF(J65="NEMEL",PR!$AR63,IF(J65="NHP",PR!$AS63,IF(J65="NHC",PR!$AT63,IF(J65="OLEAF",PR!$AU63,IF(J65="OCULUS",PR!$AV63,IF(J65="PACIFIC",PR!$AW63,IF(J65="PHAMATEX",PR!$AX63,IF(J65="PETHICS",PR!$AY63,IF(J65="PHILIPS",PR!$AZ63,IF(J65="RANBAXY",PR!$BA63,IF(J65="REALS",PR!$BB63,IF(J65="ROYAL",PR!$BC63,IF(J65="SAM",PR!$BD63,IF(J65="SEAGREEN",PR!$BE63,IF(J65="SKG",PR!$BF63,IF(J65="TAH",PR!$BG63,IF(J65="TAYLEK",PR!$BH63,IF(J65="TEMITA",PR!$BI63,IF(J65="THL",PR!$BJ63,IF(J65="UBASTIC",PR!$BK63,IF(J65="UNION",PR!$BL63,IF(J65="UNIQUE",PR!$BM63,IF(J65="VIXA",PR!$BN63,IF(J65="WWCV",PR!$BO63,IF(J65="ZOLON",PR!$BP63,"-"))))))))))))))))))))))))))))))))))))))))))))))))))))))))))))))))</f>
        <v>-</v>
      </c>
      <c r="J65" s="102">
        <f>EV!N65</f>
        <v>0</v>
      </c>
      <c r="K65" s="433" t="s">
        <v>633</v>
      </c>
      <c r="L65" s="183">
        <f>IF(K65&gt;0,IF(K65="ALPHA",PR!$E63,IF(K65="ASSENE",PR!$F63,IF(K65="BIOFEM",PR!$G63,IF(K65="BIOMED",PR!$H63,IF(K65="CHI",PR!$I63,IF(K65="CLARION",PR!$J63,IF(K65="CODIX",PR!$K63,IF(K65="COSMADE",PR!$L63,IF(K65="SANCON",PR!$M63,IF(K65="DEVON",PR!$N63,IF(K65="DORTEMAG",PR!$O63,IF(K65="DGF",PR!$P63,IF(K65="DYNAMIC",PR!$Q63,IF(K65="EMZOR",PR!$R63,IF(K65="EUMATT",PR!$S63,IF(K65="FIDSON",PR!$T63,IF(K65="FCGLOBAL",PR!$U63,IF(K65="GENEITH",PR!$V63,IF(K65="GINOS",PR!$W63,IF(K65="GSK",PR!$X63,IF(K65="GLOBORG",PR!$Y63,IF(K65="GOODNEWS",PR!$Z63,IF(K65="GREENLIFE",PR!$AA63,IF(K65="HLINE",PR!$AB63,IF(K65="ROTECH",PR!$AC63,IF(K65="ISN",PR!$AD63,IF(K65="JAWA",PR!$AE63,IF(K65="LAYO",PR!$AF63,IF(K65="LEADWAY",PR!$AG63,IF(K65="LHV",PR!$AH63,IF(K65="MANOLA",PR!$AI63,IF(K65="MARCSON",PR!$AJ63,IF(K65="M&amp;B",PR!$AK63,IF(K65="MTRUST",PR!$AL63,IF(K65="MWORLD",PR!$AM63,IF(K65="MEGA",PR!$AN63,IF(K65="MICRONOVA",PR!$AO63,IF(K65="MFLASH",PR!$AP63,IF(K65="MORISON",PR!$AQ63,IF(K65="NEMEL",PR!$AR63,IF(K65="NHP",PR!$AS63,IF(K65="NHC",PR!$AT63,IF(K65="OLEAF",PR!$AU63,IF(K65="OCULUS",PR!$AV63,IF(K65="PACIFIC",PR!$AW63,IF(K65="PHAMATEX",PR!$AX63,IF(K65="PETHICS",PR!$AY63,IF(K65="PHILIPS",PR!$AZ63,IF(K65="RANBAXY",PR!$BA63,IF(K65="REALS",PR!$BB63,IF(K65="ROYAL",PR!$BC63,IF(K65="SAM",PR!$BD63,IF(K65="SEAGREEN",PR!$BE63,IF(K65="SKG",PR!$BF63,IF(K65="TAH",PR!$BG63,IF(K65="TAYLEK",PR!$BH63,IF(K65="TEMITA",PR!$BI63,IF(K65="THL",PR!$BJ63,IF(K65="UBASTIC",PR!$BK63,IF(K65="UNION",PR!$BL63,IF(K65="UNIQUE",PR!$BM63,IF(K65="VIXA",PR!$BN63,IF(K65="WWCV",PR!$BO63,IF(K65="ZOLON",PR!$BP63,"-")))))))))))))))))))))))))))))))))))))))))))))))))))))))))))))))))</f>
        <v>165</v>
      </c>
    </row>
    <row r="66" spans="1:12" ht="18.75" x14ac:dyDescent="0.3">
      <c r="A66" s="430">
        <f>PR!A64</f>
        <v>48</v>
      </c>
      <c r="B66" s="15" t="str">
        <f>PR!B64</f>
        <v>ATORVASTATIN 10MG</v>
      </c>
      <c r="C66" s="113">
        <f>PR!D64</f>
        <v>30</v>
      </c>
      <c r="D66" s="113">
        <f>PR!C64</f>
        <v>3000</v>
      </c>
      <c r="E66" s="108">
        <f>IF(F66="ALPHA",PR!$E64,IF(F66="ASSENE",PR!$F64,IF(F66="BIOFEM",PR!$G64,IF(F66="BIOMED",PR!$H64,IF(F66="CHI",PR!$I64,IF(F66="CLARION",PR!$J64,IF(F66="CODIX",PR!$K64,IF(F66="COSMADE",PR!$L64,IF(F66="SANCON",PR!$M64,IF(F66="DEVON",PR!$N64,IF(F66="DORTEMAG",PR!$O64,IF(F66="DGF",PR!$P64,IF(F66="DYNAMIC",PR!$Q64,IF(F66="EMZOR",PR!$R64,IF(F66="EUMATT",PR!$S64,IF(F66="FIDSON",PR!$T64,IF(F66="FCGLOBAL",PR!$U64,IF(F66="GENEITH",PR!$V64,IF(F66="GINOS",PR!$W64,IF(F66="GSK",PR!$X64,IF(F66="GLOBORG",PR!$Y64,IF(F66="GOODNEWS",PR!$Z64,IF(F66="GREENLIFE",PR!$AA64,IF(F66="HLINE",PR!$AB64,IF(F66="ROTECH",PR!$AC64,IF(F66="ISN",PR!$AD64,IF(F66="JAWA",PR!$AE64,IF(F66="LAYO",PR!$AF64,IF(F66="LEADWAY",PR!$AG64,IF(F66="LHV",PR!$AH64,IF(F66="MANOLA",PR!$AI64,IF(F66="MARCSON",PR!$AJ64,IF(F66="M&amp;B",PR!$AK64,IF(F66="MTRUST",PR!$AL64,IF(F66="MWORLD",PR!$AM64,IF(F66="MEGA",PR!$AN64,IF(F66="MICRONOVA",PR!$AO64,IF(F66="MFLASH",PR!$AP64,IF(F66="MORISON",PR!$AQ64,IF(F66="NEMEL",PR!$AR64,IF(F66="NHP",PR!$AS64,IF(F66="NHC",PR!$AT64,IF(F66="OLEAF",PR!$AU64,IF(F66="OCULUS",PR!$AV64,IF(F66="PACIFIC",PR!$AW64,IF(F66="PHAMATEX",PR!$AX64,IF(F66="PETHICS",PR!$AY64,IF(F66="PHILIPS",PR!$AZ64,IF(F66="RANBAXY",PR!$BA64,IF(F66="REALS",PR!$BB64,IF(F66="ROYAL",PR!$BC64,IF(F66="SAM",PR!$BD64,IF(F66="SEAGREEN",PR!$BE64,IF(F66="SKG",PR!$BF64,IF(F66="TAH",PR!$BG64,IF(F66="TAYLEK",PR!$BH64,IF(F66="TEMITA",PR!$BI64,IF(F66="THL",PR!$BJ64,IF(F66="UBASTIC",PR!$BK64,IF(F66="UNION",PR!$BL64,IF(F66="UNIQUE",PR!$BM64,IF(F66="VIXA",PR!$BN64,IF(F66="WWCV",PR!$BO64,IF(F66="ZOLON",PR!$BP64,"-"))))))))))))))))))))))))))))))))))))))))))))))))))))))))))))))))</f>
        <v>325</v>
      </c>
      <c r="F66" s="102" t="str">
        <f>EV!L66</f>
        <v>MICRONOVA</v>
      </c>
      <c r="G66" s="108">
        <f>IF(H66="ALPHA",PR!$E64,IF(H66="ASSENE",PR!$F64,IF(H66="BIOFEM",PR!$G64,IF(H66="BIOMED",PR!$H64,IF(H66="CHI",PR!$I64,IF(H66="CLARION",PR!$J64,IF(H66="CODIX",PR!$K64,IF(H66="COSMADE",PR!$L64,IF(H66="SANCON",PR!$M64,IF(H66="DEVON",PR!$N64,IF(H66="DORTEMAG",PR!$O64,IF(H66="DGF",PR!$P64,IF(H66="DYNAMIC",PR!$Q64,IF(H66="EMZOR",PR!$R64,IF(H66="EUMATT",PR!$S64,IF(H66="FIDSON",PR!$T64,IF(H66="FCGLOBAL",PR!$U64,IF(H66="GENEITH",PR!$V64,IF(H66="GINOS",PR!$W64,IF(H66="GSK",PR!$X64,IF(H66="GLOBORG",PR!$Y64,IF(H66="GOODNEWS",PR!$Z64,IF(H66="GREENLIFE",PR!$AA64,IF(H66="HLINE",PR!$AB64,IF(H66="ROTECH",PR!$AC64,IF(H66="ISN",PR!$AD64,IF(H66="JAWA",PR!$AE64,IF(H66="LAYO",PR!$AF64,IF(H66="LEADWAY",PR!$AG64,IF(H66="LHV",PR!$AH64,IF(H66="MANOLA",PR!$AI64,IF(H66="MARCSON",PR!$AJ64,IF(H66="M&amp;B",PR!$AK64,IF(H66="MTRUST",PR!$AL64,IF(H66="MWORLD",PR!$AM64,IF(H66="MEGA",PR!$AN64,IF(H66="MICRONOVA",PR!$AO64,IF(H66="MFLASH",PR!$AP64,IF(H66="MORISON",PR!$AQ64,IF(H66="NEMEL",PR!$AR64,IF(H66="NHP",PR!$AS64,IF(H66="NHC",PR!$AT64,IF(H66="OLEAF",PR!$AU64,IF(H66="OCULUS",PR!$AV64,IF(H66="PACIFIC",PR!$AW64,IF(H66="PHAMATEX",PR!$AX64,IF(H66="PETHICS",PR!$AY64,IF(H66="PHILIPS",PR!$AZ64,IF(H66="RANBAXY",PR!$BA64,IF(H66="REALS",PR!$BB64,IF(H66="ROYAL",PR!$BC64,IF(H66="SAM",PR!$BD64,IF(H66="SEAGREEN",PR!$BE64,IF(H66="SKG",PR!$BF64,IF(H66="TAH",PR!$BG64,IF(H66="TAYLEK",PR!$BH64,IF(H66="TEMITA",PR!$BI64,IF(H66="THL",PR!$BJ64,IF(H66="UBASTIC",PR!$BK64,IF(H66="UNION",PR!$BL64,IF(H66="UNIQUE",PR!$BM64,IF(H66="VIXA",PR!$BN64,IF(H66="WWCV",PR!$BO64,IF(H66="ZOLON",PR!$BP64,"-"))))))))))))))))))))))))))))))))))))))))))))))))))))))))))))))))</f>
        <v>353.57142857142861</v>
      </c>
      <c r="H66" s="102" t="str">
        <f>EV!M66</f>
        <v>CODIX</v>
      </c>
      <c r="I66" s="108">
        <f>IF(J66="ALPHA",PR!$E64,IF(J66="ASSENE",PR!$F64,IF(J66="BIOFEM",PR!$G64,IF(J66="BIOMED",PR!$H64,IF(J66="CHI",PR!$I64,IF(J66="CLARION",PR!$J64,IF(J66="CODIX",PR!$K64,IF(J66="COSMADE",PR!$L64,IF(J66="SANCON",PR!$M64,IF(J66="DEVON",PR!$N64,IF(J66="DORTEMAG",PR!$O64,IF(J66="DGF",PR!$P64,IF(J66="DYNAMIC",PR!$Q64,IF(J66="EMZOR",PR!$R64,IF(J66="EUMATT",PR!$S64,IF(J66="FIDSON",PR!$T64,IF(J66="FCGLOBAL",PR!$U64,IF(J66="GENEITH",PR!$V64,IF(J66="GINOS",PR!$W64,IF(J66="GSK",PR!$X64,IF(J66="GLOBORG",PR!$Y64,IF(J66="GOODNEWS",PR!$Z64,IF(J66="GREENLIFE",PR!$AA64,IF(J66="HLINE",PR!$AB64,IF(J66="ROTECH",PR!$AC64,IF(J66="ISN",PR!$AD64,IF(J66="JAWA",PR!$AE64,IF(J66="LAYO",PR!$AF64,IF(J66="LEADWAY",PR!$AG64,IF(J66="LHV",PR!$AH64,IF(J66="MANOLA",PR!$AI64,IF(J66="MARCSON",PR!$AJ64,IF(J66="M&amp;B",PR!$AK64,IF(J66="MTRUST",PR!$AL64,IF(J66="MWORLD",PR!$AM64,IF(J66="MEGA",PR!$AN64,IF(J66="MICRONOVA",PR!$AO64,IF(J66="MFLASH",PR!$AP64,IF(J66="MORISON",PR!$AQ64,IF(J66="NEMEL",PR!$AR64,IF(J66="NHP",PR!$AS64,IF(J66="NHC",PR!$AT64,IF(J66="OLEAF",PR!$AU64,IF(J66="OCULUS",PR!$AV64,IF(J66="PACIFIC",PR!$AW64,IF(J66="PHAMATEX",PR!$AX64,IF(J66="PETHICS",PR!$AY64,IF(J66="PHILIPS",PR!$AZ64,IF(J66="RANBAXY",PR!$BA64,IF(J66="REALS",PR!$BB64,IF(J66="ROYAL",PR!$BC64,IF(J66="SAM",PR!$BD64,IF(J66="SEAGREEN",PR!$BE64,IF(J66="SKG",PR!$BF64,IF(J66="TAH",PR!$BG64,IF(J66="TAYLEK",PR!$BH64,IF(J66="TEMITA",PR!$BI64,IF(J66="THL",PR!$BJ64,IF(J66="UBASTIC",PR!$BK64,IF(J66="UNION",PR!$BL64,IF(J66="UNIQUE",PR!$BM64,IF(J66="VIXA",PR!$BN64,IF(J66="WWCV",PR!$BO64,IF(J66="ZOLON",PR!$BP64,"-"))))))))))))))))))))))))))))))))))))))))))))))))))))))))))))))))</f>
        <v>450</v>
      </c>
      <c r="J66" s="102" t="str">
        <f>EV!N66</f>
        <v>EUMATT</v>
      </c>
      <c r="K66" s="433" t="s">
        <v>2091</v>
      </c>
      <c r="L66" s="183" t="str">
        <f>IF(K66&gt;0,IF(K66="ALPHA",PR!$E64,IF(K66="ASSENE",PR!$F64,IF(K66="BIOFEM",PR!$G64,IF(K66="BIOMED",PR!$H64,IF(K66="CHI",PR!$I64,IF(K66="CLARION",PR!$J64,IF(K66="CODIX",PR!$K64,IF(K66="COSMADE",PR!$L64,IF(K66="SANCON",PR!$M64,IF(K66="DEVON",PR!$N64,IF(K66="DORTEMAG",PR!$O64,IF(K66="DGF",PR!$P64,IF(K66="DYNAMIC",PR!$Q64,IF(K66="EMZOR",PR!$R64,IF(K66="EUMATT",PR!$S64,IF(K66="FIDSON",PR!$T64,IF(K66="FCGLOBAL",PR!$U64,IF(K66="GENEITH",PR!$V64,IF(K66="GINOS",PR!$W64,IF(K66="GSK",PR!$X64,IF(K66="GLOBORG",PR!$Y64,IF(K66="GOODNEWS",PR!$Z64,IF(K66="GREENLIFE",PR!$AA64,IF(K66="HLINE",PR!$AB64,IF(K66="ROTECH",PR!$AC64,IF(K66="ISN",PR!$AD64,IF(K66="JAWA",PR!$AE64,IF(K66="LAYO",PR!$AF64,IF(K66="LEADWAY",PR!$AG64,IF(K66="LHV",PR!$AH64,IF(K66="MANOLA",PR!$AI64,IF(K66="MARCSON",PR!$AJ64,IF(K66="M&amp;B",PR!$AK64,IF(K66="MTRUST",PR!$AL64,IF(K66="MWORLD",PR!$AM64,IF(K66="MEGA",PR!$AN64,IF(K66="MICRONOVA",PR!$AO64,IF(K66="MFLASH",PR!$AP64,IF(K66="MORISON",PR!$AQ64,IF(K66="NEMEL",PR!$AR64,IF(K66="NHP",PR!$AS64,IF(K66="NHC",PR!$AT64,IF(K66="OLEAF",PR!$AU64,IF(K66="OCULUS",PR!$AV64,IF(K66="PACIFIC",PR!$AW64,IF(K66="PHAMATEX",PR!$AX64,IF(K66="PETHICS",PR!$AY64,IF(K66="PHILIPS",PR!$AZ64,IF(K66="RANBAXY",PR!$BA64,IF(K66="REALS",PR!$BB64,IF(K66="ROYAL",PR!$BC64,IF(K66="SAM",PR!$BD64,IF(K66="SEAGREEN",PR!$BE64,IF(K66="SKG",PR!$BF64,IF(K66="TAH",PR!$BG64,IF(K66="TAYLEK",PR!$BH64,IF(K66="TEMITA",PR!$BI64,IF(K66="THL",PR!$BJ64,IF(K66="UBASTIC",PR!$BK64,IF(K66="UNION",PR!$BL64,IF(K66="UNIQUE",PR!$BM64,IF(K66="VIXA",PR!$BN64,IF(K66="WWCV",PR!$BO64,IF(K66="ZOLON",PR!$BP64,"-")))))))))))))))))))))))))))))))))))))))))))))))))))))))))))))))))</f>
        <v>-</v>
      </c>
    </row>
    <row r="67" spans="1:12" ht="18.75" x14ac:dyDescent="0.3">
      <c r="A67" s="430">
        <f>PR!A65</f>
        <v>49</v>
      </c>
      <c r="B67" s="15" t="str">
        <f>PR!B65</f>
        <v>ATORVASTATIN 20MG</v>
      </c>
      <c r="C67" s="113">
        <f>PR!D65</f>
        <v>30</v>
      </c>
      <c r="D67" s="113">
        <f>PR!C65</f>
        <v>2000</v>
      </c>
      <c r="E67" s="108">
        <f>IF(F67="ALPHA",PR!$E65,IF(F67="ASSENE",PR!$F65,IF(F67="BIOFEM",PR!$G65,IF(F67="BIOMED",PR!$H65,IF(F67="CHI",PR!$I65,IF(F67="CLARION",PR!$J65,IF(F67="CODIX",PR!$K65,IF(F67="COSMADE",PR!$L65,IF(F67="SANCON",PR!$M65,IF(F67="DEVON",PR!$N65,IF(F67="DORTEMAG",PR!$O65,IF(F67="DGF",PR!$P65,IF(F67="DYNAMIC",PR!$Q65,IF(F67="EMZOR",PR!$R65,IF(F67="EUMATT",PR!$S65,IF(F67="FIDSON",PR!$T65,IF(F67="FCGLOBAL",PR!$U65,IF(F67="GENEITH",PR!$V65,IF(F67="GINOS",PR!$W65,IF(F67="GSK",PR!$X65,IF(F67="GLOBORG",PR!$Y65,IF(F67="GOODNEWS",PR!$Z65,IF(F67="GREENLIFE",PR!$AA65,IF(F67="HLINE",PR!$AB65,IF(F67="ROTECH",PR!$AC65,IF(F67="ISN",PR!$AD65,IF(F67="JAWA",PR!$AE65,IF(F67="LAYO",PR!$AF65,IF(F67="LEADWAY",PR!$AG65,IF(F67="LHV",PR!$AH65,IF(F67="MANOLA",PR!$AI65,IF(F67="MARCSON",PR!$AJ65,IF(F67="M&amp;B",PR!$AK65,IF(F67="MTRUST",PR!$AL65,IF(F67="MWORLD",PR!$AM65,IF(F67="MEGA",PR!$AN65,IF(F67="MICRONOVA",PR!$AO65,IF(F67="MFLASH",PR!$AP65,IF(F67="MORISON",PR!$AQ65,IF(F67="NEMEL",PR!$AR65,IF(F67="NHP",PR!$AS65,IF(F67="NHC",PR!$AT65,IF(F67="OLEAF",PR!$AU65,IF(F67="OCULUS",PR!$AV65,IF(F67="PACIFIC",PR!$AW65,IF(F67="PHAMATEX",PR!$AX65,IF(F67="PETHICS",PR!$AY65,IF(F67="PHILIPS",PR!$AZ65,IF(F67="RANBAXY",PR!$BA65,IF(F67="REALS",PR!$BB65,IF(F67="ROYAL",PR!$BC65,IF(F67="SAM",PR!$BD65,IF(F67="SEAGREEN",PR!$BE65,IF(F67="SKG",PR!$BF65,IF(F67="TAH",PR!$BG65,IF(F67="TAYLEK",PR!$BH65,IF(F67="TEMITA",PR!$BI65,IF(F67="THL",PR!$BJ65,IF(F67="UBASTIC",PR!$BK65,IF(F67="UNION",PR!$BL65,IF(F67="UNIQUE",PR!$BM65,IF(F67="VIXA",PR!$BN65,IF(F67="WWCV",PR!$BO65,IF(F67="ZOLON",PR!$BP65,"-"))))))))))))))))))))))))))))))))))))))))))))))))))))))))))))))))</f>
        <v>450</v>
      </c>
      <c r="F67" s="102" t="str">
        <f>EV!L67</f>
        <v>MICRONOVA</v>
      </c>
      <c r="G67" s="108">
        <f>IF(H67="ALPHA",PR!$E65,IF(H67="ASSENE",PR!$F65,IF(H67="BIOFEM",PR!$G65,IF(H67="BIOMED",PR!$H65,IF(H67="CHI",PR!$I65,IF(H67="CLARION",PR!$J65,IF(H67="CODIX",PR!$K65,IF(H67="COSMADE",PR!$L65,IF(H67="SANCON",PR!$M65,IF(H67="DEVON",PR!$N65,IF(H67="DORTEMAG",PR!$O65,IF(H67="DGF",PR!$P65,IF(H67="DYNAMIC",PR!$Q65,IF(H67="EMZOR",PR!$R65,IF(H67="EUMATT",PR!$S65,IF(H67="FIDSON",PR!$T65,IF(H67="FCGLOBAL",PR!$U65,IF(H67="GENEITH",PR!$V65,IF(H67="GINOS",PR!$W65,IF(H67="GSK",PR!$X65,IF(H67="GLOBORG",PR!$Y65,IF(H67="GOODNEWS",PR!$Z65,IF(H67="GREENLIFE",PR!$AA65,IF(H67="HLINE",PR!$AB65,IF(H67="ROTECH",PR!$AC65,IF(H67="ISN",PR!$AD65,IF(H67="JAWA",PR!$AE65,IF(H67="LAYO",PR!$AF65,IF(H67="LEADWAY",PR!$AG65,IF(H67="LHV",PR!$AH65,IF(H67="MANOLA",PR!$AI65,IF(H67="MARCSON",PR!$AJ65,IF(H67="M&amp;B",PR!$AK65,IF(H67="MTRUST",PR!$AL65,IF(H67="MWORLD",PR!$AM65,IF(H67="MEGA",PR!$AN65,IF(H67="MICRONOVA",PR!$AO65,IF(H67="MFLASH",PR!$AP65,IF(H67="MORISON",PR!$AQ65,IF(H67="NEMEL",PR!$AR65,IF(H67="NHP",PR!$AS65,IF(H67="NHC",PR!$AT65,IF(H67="OLEAF",PR!$AU65,IF(H67="OCULUS",PR!$AV65,IF(H67="PACIFIC",PR!$AW65,IF(H67="PHAMATEX",PR!$AX65,IF(H67="PETHICS",PR!$AY65,IF(H67="PHILIPS",PR!$AZ65,IF(H67="RANBAXY",PR!$BA65,IF(H67="REALS",PR!$BB65,IF(H67="ROYAL",PR!$BC65,IF(H67="SAM",PR!$BD65,IF(H67="SEAGREEN",PR!$BE65,IF(H67="SKG",PR!$BF65,IF(H67="TAH",PR!$BG65,IF(H67="TAYLEK",PR!$BH65,IF(H67="TEMITA",PR!$BI65,IF(H67="THL",PR!$BJ65,IF(H67="UBASTIC",PR!$BK65,IF(H67="UNION",PR!$BL65,IF(H67="UNIQUE",PR!$BM65,IF(H67="VIXA",PR!$BN65,IF(H67="WWCV",PR!$BO65,IF(H67="ZOLON",PR!$BP65,"-"))))))))))))))))))))))))))))))))))))))))))))))))))))))))))))))))</f>
        <v>500</v>
      </c>
      <c r="H67" s="102" t="str">
        <f>EV!M67</f>
        <v>TAH</v>
      </c>
      <c r="I67" s="108">
        <f>IF(J67="ALPHA",PR!$E65,IF(J67="ASSENE",PR!$F65,IF(J67="BIOFEM",PR!$G65,IF(J67="BIOMED",PR!$H65,IF(J67="CHI",PR!$I65,IF(J67="CLARION",PR!$J65,IF(J67="CODIX",PR!$K65,IF(J67="COSMADE",PR!$L65,IF(J67="SANCON",PR!$M65,IF(J67="DEVON",PR!$N65,IF(J67="DORTEMAG",PR!$O65,IF(J67="DGF",PR!$P65,IF(J67="DYNAMIC",PR!$Q65,IF(J67="EMZOR",PR!$R65,IF(J67="EUMATT",PR!$S65,IF(J67="FIDSON",PR!$T65,IF(J67="FCGLOBAL",PR!$U65,IF(J67="GENEITH",PR!$V65,IF(J67="GINOS",PR!$W65,IF(J67="GSK",PR!$X65,IF(J67="GLOBORG",PR!$Y65,IF(J67="GOODNEWS",PR!$Z65,IF(J67="GREENLIFE",PR!$AA65,IF(J67="HLINE",PR!$AB65,IF(J67="ROTECH",PR!$AC65,IF(J67="ISN",PR!$AD65,IF(J67="JAWA",PR!$AE65,IF(J67="LAYO",PR!$AF65,IF(J67="LEADWAY",PR!$AG65,IF(J67="LHV",PR!$AH65,IF(J67="MANOLA",PR!$AI65,IF(J67="MARCSON",PR!$AJ65,IF(J67="M&amp;B",PR!$AK65,IF(J67="MTRUST",PR!$AL65,IF(J67="MWORLD",PR!$AM65,IF(J67="MEGA",PR!$AN65,IF(J67="MICRONOVA",PR!$AO65,IF(J67="MFLASH",PR!$AP65,IF(J67="MORISON",PR!$AQ65,IF(J67="NEMEL",PR!$AR65,IF(J67="NHP",PR!$AS65,IF(J67="NHC",PR!$AT65,IF(J67="OLEAF",PR!$AU65,IF(J67="OCULUS",PR!$AV65,IF(J67="PACIFIC",PR!$AW65,IF(J67="PHAMATEX",PR!$AX65,IF(J67="PETHICS",PR!$AY65,IF(J67="PHILIPS",PR!$AZ65,IF(J67="RANBAXY",PR!$BA65,IF(J67="REALS",PR!$BB65,IF(J67="ROYAL",PR!$BC65,IF(J67="SAM",PR!$BD65,IF(J67="SEAGREEN",PR!$BE65,IF(J67="SKG",PR!$BF65,IF(J67="TAH",PR!$BG65,IF(J67="TAYLEK",PR!$BH65,IF(J67="TEMITA",PR!$BI65,IF(J67="THL",PR!$BJ65,IF(J67="UBASTIC",PR!$BK65,IF(J67="UNION",PR!$BL65,IF(J67="UNIQUE",PR!$BM65,IF(J67="VIXA",PR!$BN65,IF(J67="WWCV",PR!$BO65,IF(J67="ZOLON",PR!$BP65,"-"))))))))))))))))))))))))))))))))))))))))))))))))))))))))))))))))</f>
        <v>503.57142857142856</v>
      </c>
      <c r="J67" s="102" t="str">
        <f>EV!N67</f>
        <v>CODIX</v>
      </c>
      <c r="K67" s="433" t="s">
        <v>2092</v>
      </c>
      <c r="L67" s="183" t="str">
        <f>IF(K67&gt;0,IF(K67="ALPHA",PR!$E65,IF(K67="ASSENE",PR!$F65,IF(K67="BIOFEM",PR!$G65,IF(K67="BIOMED",PR!$H65,IF(K67="CHI",PR!$I65,IF(K67="CLARION",PR!$J65,IF(K67="CODIX",PR!$K65,IF(K67="COSMADE",PR!$L65,IF(K67="SANCON",PR!$M65,IF(K67="DEVON",PR!$N65,IF(K67="DORTEMAG",PR!$O65,IF(K67="DGF",PR!$P65,IF(K67="DYNAMIC",PR!$Q65,IF(K67="EMZOR",PR!$R65,IF(K67="EUMATT",PR!$S65,IF(K67="FIDSON",PR!$T65,IF(K67="FCGLOBAL",PR!$U65,IF(K67="GENEITH",PR!$V65,IF(K67="GINOS",PR!$W65,IF(K67="GSK",PR!$X65,IF(K67="GLOBORG",PR!$Y65,IF(K67="GOODNEWS",PR!$Z65,IF(K67="GREENLIFE",PR!$AA65,IF(K67="HLINE",PR!$AB65,IF(K67="ROTECH",PR!$AC65,IF(K67="ISN",PR!$AD65,IF(K67="JAWA",PR!$AE65,IF(K67="LAYO",PR!$AF65,IF(K67="LEADWAY",PR!$AG65,IF(K67="LHV",PR!$AH65,IF(K67="MANOLA",PR!$AI65,IF(K67="MARCSON",PR!$AJ65,IF(K67="M&amp;B",PR!$AK65,IF(K67="MTRUST",PR!$AL65,IF(K67="MWORLD",PR!$AM65,IF(K67="MEGA",PR!$AN65,IF(K67="MICRONOVA",PR!$AO65,IF(K67="MFLASH",PR!$AP65,IF(K67="MORISON",PR!$AQ65,IF(K67="NEMEL",PR!$AR65,IF(K67="NHP",PR!$AS65,IF(K67="NHC",PR!$AT65,IF(K67="OLEAF",PR!$AU65,IF(K67="OCULUS",PR!$AV65,IF(K67="PACIFIC",PR!$AW65,IF(K67="PHAMATEX",PR!$AX65,IF(K67="PETHICS",PR!$AY65,IF(K67="PHILIPS",PR!$AZ65,IF(K67="RANBAXY",PR!$BA65,IF(K67="REALS",PR!$BB65,IF(K67="ROYAL",PR!$BC65,IF(K67="SAM",PR!$BD65,IF(K67="SEAGREEN",PR!$BE65,IF(K67="SKG",PR!$BF65,IF(K67="TAH",PR!$BG65,IF(K67="TAYLEK",PR!$BH65,IF(K67="TEMITA",PR!$BI65,IF(K67="THL",PR!$BJ65,IF(K67="UBASTIC",PR!$BK65,IF(K67="UNION",PR!$BL65,IF(K67="UNIQUE",PR!$BM65,IF(K67="VIXA",PR!$BN65,IF(K67="WWCV",PR!$BO65,IF(K67="ZOLON",PR!$BP65,"-")))))))))))))))))))))))))))))))))))))))))))))))))))))))))))))))))</f>
        <v>-</v>
      </c>
    </row>
    <row r="68" spans="1:12" ht="18.75" x14ac:dyDescent="0.3">
      <c r="A68" s="430">
        <f>PR!A66</f>
        <v>50</v>
      </c>
      <c r="B68" s="15" t="str">
        <f>PR!B66</f>
        <v>ATORVASTATIN 40MG</v>
      </c>
      <c r="C68" s="113">
        <f>PR!D66</f>
        <v>30</v>
      </c>
      <c r="D68" s="113">
        <f>PR!C66</f>
        <v>100</v>
      </c>
      <c r="E68" s="108">
        <f>IF(F68="ALPHA",PR!$E66,IF(F68="ASSENE",PR!$F66,IF(F68="BIOFEM",PR!$G66,IF(F68="BIOMED",PR!$H66,IF(F68="CHI",PR!$I66,IF(F68="CLARION",PR!$J66,IF(F68="CODIX",PR!$K66,IF(F68="COSMADE",PR!$L66,IF(F68="SANCON",PR!$M66,IF(F68="DEVON",PR!$N66,IF(F68="DORTEMAG",PR!$O66,IF(F68="DGF",PR!$P66,IF(F68="DYNAMIC",PR!$Q66,IF(F68="EMZOR",PR!$R66,IF(F68="EUMATT",PR!$S66,IF(F68="FIDSON",PR!$T66,IF(F68="FCGLOBAL",PR!$U66,IF(F68="GENEITH",PR!$V66,IF(F68="GINOS",PR!$W66,IF(F68="GSK",PR!$X66,IF(F68="GLOBORG",PR!$Y66,IF(F68="GOODNEWS",PR!$Z66,IF(F68="GREENLIFE",PR!$AA66,IF(F68="HLINE",PR!$AB66,IF(F68="ROTECH",PR!$AC66,IF(F68="ISN",PR!$AD66,IF(F68="JAWA",PR!$AE66,IF(F68="LAYO",PR!$AF66,IF(F68="LEADWAY",PR!$AG66,IF(F68="LHV",PR!$AH66,IF(F68="MANOLA",PR!$AI66,IF(F68="MARCSON",PR!$AJ66,IF(F68="M&amp;B",PR!$AK66,IF(F68="MTRUST",PR!$AL66,IF(F68="MWORLD",PR!$AM66,IF(F68="MEGA",PR!$AN66,IF(F68="MICRONOVA",PR!$AO66,IF(F68="MFLASH",PR!$AP66,IF(F68="MORISON",PR!$AQ66,IF(F68="NEMEL",PR!$AR66,IF(F68="NHP",PR!$AS66,IF(F68="NHC",PR!$AT66,IF(F68="OLEAF",PR!$AU66,IF(F68="OCULUS",PR!$AV66,IF(F68="PACIFIC",PR!$AW66,IF(F68="PHAMATEX",PR!$AX66,IF(F68="PETHICS",PR!$AY66,IF(F68="PHILIPS",PR!$AZ66,IF(F68="RANBAXY",PR!$BA66,IF(F68="REALS",PR!$BB66,IF(F68="ROYAL",PR!$BC66,IF(F68="SAM",PR!$BD66,IF(F68="SEAGREEN",PR!$BE66,IF(F68="SKG",PR!$BF66,IF(F68="TAH",PR!$BG66,IF(F68="TAYLEK",PR!$BH66,IF(F68="TEMITA",PR!$BI66,IF(F68="THL",PR!$BJ66,IF(F68="UBASTIC",PR!$BK66,IF(F68="UNION",PR!$BL66,IF(F68="UNIQUE",PR!$BM66,IF(F68="VIXA",PR!$BN66,IF(F68="WWCV",PR!$BO66,IF(F68="ZOLON",PR!$BP66,"-"))))))))))))))))))))))))))))))))))))))))))))))))))))))))))))))))</f>
        <v>725</v>
      </c>
      <c r="F68" s="102" t="str">
        <f>EV!L68</f>
        <v>MICRONOVA</v>
      </c>
      <c r="G68" s="108">
        <f>IF(H68="ALPHA",PR!$E66,IF(H68="ASSENE",PR!$F66,IF(H68="BIOFEM",PR!$G66,IF(H68="BIOMED",PR!$H66,IF(H68="CHI",PR!$I66,IF(H68="CLARION",PR!$J66,IF(H68="CODIX",PR!$K66,IF(H68="COSMADE",PR!$L66,IF(H68="SANCON",PR!$M66,IF(H68="DEVON",PR!$N66,IF(H68="DORTEMAG",PR!$O66,IF(H68="DGF",PR!$P66,IF(H68="DYNAMIC",PR!$Q66,IF(H68="EMZOR",PR!$R66,IF(H68="EUMATT",PR!$S66,IF(H68="FIDSON",PR!$T66,IF(H68="FCGLOBAL",PR!$U66,IF(H68="GENEITH",PR!$V66,IF(H68="GINOS",PR!$W66,IF(H68="GSK",PR!$X66,IF(H68="GLOBORG",PR!$Y66,IF(H68="GOODNEWS",PR!$Z66,IF(H68="GREENLIFE",PR!$AA66,IF(H68="HLINE",PR!$AB66,IF(H68="ROTECH",PR!$AC66,IF(H68="ISN",PR!$AD66,IF(H68="JAWA",PR!$AE66,IF(H68="LAYO",PR!$AF66,IF(H68="LEADWAY",PR!$AG66,IF(H68="LHV",PR!$AH66,IF(H68="MANOLA",PR!$AI66,IF(H68="MARCSON",PR!$AJ66,IF(H68="M&amp;B",PR!$AK66,IF(H68="MTRUST",PR!$AL66,IF(H68="MWORLD",PR!$AM66,IF(H68="MEGA",PR!$AN66,IF(H68="MICRONOVA",PR!$AO66,IF(H68="MFLASH",PR!$AP66,IF(H68="MORISON",PR!$AQ66,IF(H68="NEMEL",PR!$AR66,IF(H68="NHP",PR!$AS66,IF(H68="NHC",PR!$AT66,IF(H68="OLEAF",PR!$AU66,IF(H68="OCULUS",PR!$AV66,IF(H68="PACIFIC",PR!$AW66,IF(H68="PHAMATEX",PR!$AX66,IF(H68="PETHICS",PR!$AY66,IF(H68="PHILIPS",PR!$AZ66,IF(H68="RANBAXY",PR!$BA66,IF(H68="REALS",PR!$BB66,IF(H68="ROYAL",PR!$BC66,IF(H68="SAM",PR!$BD66,IF(H68="SEAGREEN",PR!$BE66,IF(H68="SKG",PR!$BF66,IF(H68="TAH",PR!$BG66,IF(H68="TAYLEK",PR!$BH66,IF(H68="TEMITA",PR!$BI66,IF(H68="THL",PR!$BJ66,IF(H68="UBASTIC",PR!$BK66,IF(H68="UNION",PR!$BL66,IF(H68="UNIQUE",PR!$BM66,IF(H68="VIXA",PR!$BN66,IF(H68="WWCV",PR!$BO66,IF(H68="ZOLON",PR!$BP66,"-"))))))))))))))))))))))))))))))))))))))))))))))))))))))))))))))))</f>
        <v>900</v>
      </c>
      <c r="H68" s="102" t="str">
        <f>EV!M68</f>
        <v>EUMATT</v>
      </c>
      <c r="I68" s="108">
        <f>IF(J68="ALPHA",PR!$E66,IF(J68="ASSENE",PR!$F66,IF(J68="BIOFEM",PR!$G66,IF(J68="BIOMED",PR!$H66,IF(J68="CHI",PR!$I66,IF(J68="CLARION",PR!$J66,IF(J68="CODIX",PR!$K66,IF(J68="COSMADE",PR!$L66,IF(J68="SANCON",PR!$M66,IF(J68="DEVON",PR!$N66,IF(J68="DORTEMAG",PR!$O66,IF(J68="DGF",PR!$P66,IF(J68="DYNAMIC",PR!$Q66,IF(J68="EMZOR",PR!$R66,IF(J68="EUMATT",PR!$S66,IF(J68="FIDSON",PR!$T66,IF(J68="FCGLOBAL",PR!$U66,IF(J68="GENEITH",PR!$V66,IF(J68="GINOS",PR!$W66,IF(J68="GSK",PR!$X66,IF(J68="GLOBORG",PR!$Y66,IF(J68="GOODNEWS",PR!$Z66,IF(J68="GREENLIFE",PR!$AA66,IF(J68="HLINE",PR!$AB66,IF(J68="ROTECH",PR!$AC66,IF(J68="ISN",PR!$AD66,IF(J68="JAWA",PR!$AE66,IF(J68="LAYO",PR!$AF66,IF(J68="LEADWAY",PR!$AG66,IF(J68="LHV",PR!$AH66,IF(J68="MANOLA",PR!$AI66,IF(J68="MARCSON",PR!$AJ66,IF(J68="M&amp;B",PR!$AK66,IF(J68="MTRUST",PR!$AL66,IF(J68="MWORLD",PR!$AM66,IF(J68="MEGA",PR!$AN66,IF(J68="MICRONOVA",PR!$AO66,IF(J68="MFLASH",PR!$AP66,IF(J68="MORISON",PR!$AQ66,IF(J68="NEMEL",PR!$AR66,IF(J68="NHP",PR!$AS66,IF(J68="NHC",PR!$AT66,IF(J68="OLEAF",PR!$AU66,IF(J68="OCULUS",PR!$AV66,IF(J68="PACIFIC",PR!$AW66,IF(J68="PHAMATEX",PR!$AX66,IF(J68="PETHICS",PR!$AY66,IF(J68="PHILIPS",PR!$AZ66,IF(J68="RANBAXY",PR!$BA66,IF(J68="REALS",PR!$BB66,IF(J68="ROYAL",PR!$BC66,IF(J68="SAM",PR!$BD66,IF(J68="SEAGREEN",PR!$BE66,IF(J68="SKG",PR!$BF66,IF(J68="TAH",PR!$BG66,IF(J68="TAYLEK",PR!$BH66,IF(J68="TEMITA",PR!$BI66,IF(J68="THL",PR!$BJ66,IF(J68="UBASTIC",PR!$BK66,IF(J68="UNION",PR!$BL66,IF(J68="UNIQUE",PR!$BM66,IF(J68="VIXA",PR!$BN66,IF(J68="WWCV",PR!$BO66,IF(J68="ZOLON",PR!$BP66,"-"))))))))))))))))))))))))))))))))))))))))))))))))))))))))))))))))</f>
        <v>5247</v>
      </c>
      <c r="J68" s="102" t="str">
        <f>EV!N68</f>
        <v>NHC</v>
      </c>
      <c r="K68" s="433" t="s">
        <v>632</v>
      </c>
      <c r="L68" s="183">
        <f>IF(K68&gt;0,IF(K68="ALPHA",PR!$E66,IF(K68="ASSENE",PR!$F66,IF(K68="BIOFEM",PR!$G66,IF(K68="BIOMED",PR!$H66,IF(K68="CHI",PR!$I66,IF(K68="CLARION",PR!$J66,IF(K68="CODIX",PR!$K66,IF(K68="COSMADE",PR!$L66,IF(K68="SANCON",PR!$M66,IF(K68="DEVON",PR!$N66,IF(K68="DORTEMAG",PR!$O66,IF(K68="DGF",PR!$P66,IF(K68="DYNAMIC",PR!$Q66,IF(K68="EMZOR",PR!$R66,IF(K68="EUMATT",PR!$S66,IF(K68="FIDSON",PR!$T66,IF(K68="FCGLOBAL",PR!$U66,IF(K68="GENEITH",PR!$V66,IF(K68="GINOS",PR!$W66,IF(K68="GSK",PR!$X66,IF(K68="GLOBORG",PR!$Y66,IF(K68="GOODNEWS",PR!$Z66,IF(K68="GREENLIFE",PR!$AA66,IF(K68="HLINE",PR!$AB66,IF(K68="ROTECH",PR!$AC66,IF(K68="ISN",PR!$AD66,IF(K68="JAWA",PR!$AE66,IF(K68="LAYO",PR!$AF66,IF(K68="LEADWAY",PR!$AG66,IF(K68="LHV",PR!$AH66,IF(K68="MANOLA",PR!$AI66,IF(K68="MARCSON",PR!$AJ66,IF(K68="M&amp;B",PR!$AK66,IF(K68="MTRUST",PR!$AL66,IF(K68="MWORLD",PR!$AM66,IF(K68="MEGA",PR!$AN66,IF(K68="MICRONOVA",PR!$AO66,IF(K68="MFLASH",PR!$AP66,IF(K68="MORISON",PR!$AQ66,IF(K68="NEMEL",PR!$AR66,IF(K68="NHP",PR!$AS66,IF(K68="NHC",PR!$AT66,IF(K68="OLEAF",PR!$AU66,IF(K68="OCULUS",PR!$AV66,IF(K68="PACIFIC",PR!$AW66,IF(K68="PHAMATEX",PR!$AX66,IF(K68="PETHICS",PR!$AY66,IF(K68="PHILIPS",PR!$AZ66,IF(K68="RANBAXY",PR!$BA66,IF(K68="REALS",PR!$BB66,IF(K68="ROYAL",PR!$BC66,IF(K68="SAM",PR!$BD66,IF(K68="SEAGREEN",PR!$BE66,IF(K68="SKG",PR!$BF66,IF(K68="TAH",PR!$BG66,IF(K68="TAYLEK",PR!$BH66,IF(K68="TEMITA",PR!$BI66,IF(K68="THL",PR!$BJ66,IF(K68="UBASTIC",PR!$BK66,IF(K68="UNION",PR!$BL66,IF(K68="UNIQUE",PR!$BM66,IF(K68="VIXA",PR!$BN66,IF(K68="WWCV",PR!$BO66,IF(K68="ZOLON",PR!$BP66,"-")))))))))))))))))))))))))))))))))))))))))))))))))))))))))))))))))</f>
        <v>725</v>
      </c>
    </row>
    <row r="69" spans="1:12" ht="18.75" x14ac:dyDescent="0.3">
      <c r="A69" s="430">
        <f>PR!A67</f>
        <v>51</v>
      </c>
      <c r="B69" s="15" t="str">
        <f>PR!B67</f>
        <v>ATORVASTATIN 80MG</v>
      </c>
      <c r="C69" s="113">
        <f>PR!D67</f>
        <v>30</v>
      </c>
      <c r="D69" s="113">
        <f>PR!C67</f>
        <v>100</v>
      </c>
      <c r="E69" s="108">
        <f>IF(F69="ALPHA",PR!$E67,IF(F69="ASSENE",PR!$F67,IF(F69="BIOFEM",PR!$G67,IF(F69="BIOMED",PR!$H67,IF(F69="CHI",PR!$I67,IF(F69="CLARION",PR!$J67,IF(F69="CODIX",PR!$K67,IF(F69="COSMADE",PR!$L67,IF(F69="SANCON",PR!$M67,IF(F69="DEVON",PR!$N67,IF(F69="DORTEMAG",PR!$O67,IF(F69="DGF",PR!$P67,IF(F69="DYNAMIC",PR!$Q67,IF(F69="EMZOR",PR!$R67,IF(F69="EUMATT",PR!$S67,IF(F69="FIDSON",PR!$T67,IF(F69="FCGLOBAL",PR!$U67,IF(F69="GENEITH",PR!$V67,IF(F69="GINOS",PR!$W67,IF(F69="GSK",PR!$X67,IF(F69="GLOBORG",PR!$Y67,IF(F69="GOODNEWS",PR!$Z67,IF(F69="GREENLIFE",PR!$AA67,IF(F69="HLINE",PR!$AB67,IF(F69="ROTECH",PR!$AC67,IF(F69="ISN",PR!$AD67,IF(F69="JAWA",PR!$AE67,IF(F69="LAYO",PR!$AF67,IF(F69="LEADWAY",PR!$AG67,IF(F69="LHV",PR!$AH67,IF(F69="MANOLA",PR!$AI67,IF(F69="MARCSON",PR!$AJ67,IF(F69="M&amp;B",PR!$AK67,IF(F69="MTRUST",PR!$AL67,IF(F69="MWORLD",PR!$AM67,IF(F69="MEGA",PR!$AN67,IF(F69="MICRONOVA",PR!$AO67,IF(F69="MFLASH",PR!$AP67,IF(F69="MORISON",PR!$AQ67,IF(F69="NEMEL",PR!$AR67,IF(F69="NHP",PR!$AS67,IF(F69="NHC",PR!$AT67,IF(F69="OLEAF",PR!$AU67,IF(F69="OCULUS",PR!$AV67,IF(F69="PACIFIC",PR!$AW67,IF(F69="PHAMATEX",PR!$AX67,IF(F69="PETHICS",PR!$AY67,IF(F69="PHILIPS",PR!$AZ67,IF(F69="RANBAXY",PR!$BA67,IF(F69="REALS",PR!$BB67,IF(F69="ROYAL",PR!$BC67,IF(F69="SAM",PR!$BD67,IF(F69="SEAGREEN",PR!$BE67,IF(F69="SKG",PR!$BF67,IF(F69="TAH",PR!$BG67,IF(F69="TAYLEK",PR!$BH67,IF(F69="TEMITA",PR!$BI67,IF(F69="THL",PR!$BJ67,IF(F69="UBASTIC",PR!$BK67,IF(F69="UNION",PR!$BL67,IF(F69="UNIQUE",PR!$BM67,IF(F69="VIXA",PR!$BN67,IF(F69="WWCV",PR!$BO67,IF(F69="ZOLON",PR!$BP67,"-"))))))))))))))))))))))))))))))))))))))))))))))))))))))))))))))))</f>
        <v>5000</v>
      </c>
      <c r="F69" s="102" t="str">
        <f>EV!L69</f>
        <v>EUMATT</v>
      </c>
      <c r="G69" s="108">
        <f>IF(H69="ALPHA",PR!$E67,IF(H69="ASSENE",PR!$F67,IF(H69="BIOFEM",PR!$G67,IF(H69="BIOMED",PR!$H67,IF(H69="CHI",PR!$I67,IF(H69="CLARION",PR!$J67,IF(H69="CODIX",PR!$K67,IF(H69="COSMADE",PR!$L67,IF(H69="SANCON",PR!$M67,IF(H69="DEVON",PR!$N67,IF(H69="DORTEMAG",PR!$O67,IF(H69="DGF",PR!$P67,IF(H69="DYNAMIC",PR!$Q67,IF(H69="EMZOR",PR!$R67,IF(H69="EUMATT",PR!$S67,IF(H69="FIDSON",PR!$T67,IF(H69="FCGLOBAL",PR!$U67,IF(H69="GENEITH",PR!$V67,IF(H69="GINOS",PR!$W67,IF(H69="GSK",PR!$X67,IF(H69="GLOBORG",PR!$Y67,IF(H69="GOODNEWS",PR!$Z67,IF(H69="GREENLIFE",PR!$AA67,IF(H69="HLINE",PR!$AB67,IF(H69="ROTECH",PR!$AC67,IF(H69="ISN",PR!$AD67,IF(H69="JAWA",PR!$AE67,IF(H69="LAYO",PR!$AF67,IF(H69="LEADWAY",PR!$AG67,IF(H69="LHV",PR!$AH67,IF(H69="MANOLA",PR!$AI67,IF(H69="MARCSON",PR!$AJ67,IF(H69="M&amp;B",PR!$AK67,IF(H69="MTRUST",PR!$AL67,IF(H69="MWORLD",PR!$AM67,IF(H69="MEGA",PR!$AN67,IF(H69="MICRONOVA",PR!$AO67,IF(H69="MFLASH",PR!$AP67,IF(H69="MORISON",PR!$AQ67,IF(H69="NEMEL",PR!$AR67,IF(H69="NHP",PR!$AS67,IF(H69="NHC",PR!$AT67,IF(H69="OLEAF",PR!$AU67,IF(H69="OCULUS",PR!$AV67,IF(H69="PACIFIC",PR!$AW67,IF(H69="PHAMATEX",PR!$AX67,IF(H69="PETHICS",PR!$AY67,IF(H69="PHILIPS",PR!$AZ67,IF(H69="RANBAXY",PR!$BA67,IF(H69="REALS",PR!$BB67,IF(H69="ROYAL",PR!$BC67,IF(H69="SAM",PR!$BD67,IF(H69="SEAGREEN",PR!$BE67,IF(H69="SKG",PR!$BF67,IF(H69="TAH",PR!$BG67,IF(H69="TAYLEK",PR!$BH67,IF(H69="TEMITA",PR!$BI67,IF(H69="THL",PR!$BJ67,IF(H69="UBASTIC",PR!$BK67,IF(H69="UNION",PR!$BL67,IF(H69="UNIQUE",PR!$BM67,IF(H69="VIXA",PR!$BN67,IF(H69="WWCV",PR!$BO67,IF(H69="ZOLON",PR!$BP67,"-"))))))))))))))))))))))))))))))))))))))))))))))))))))))))))))))))</f>
        <v>5247</v>
      </c>
      <c r="H69" s="102" t="str">
        <f>EV!M69</f>
        <v>NHC</v>
      </c>
      <c r="I69" s="108" t="str">
        <f>IF(J69="ALPHA",PR!$E67,IF(J69="ASSENE",PR!$F67,IF(J69="BIOFEM",PR!$G67,IF(J69="BIOMED",PR!$H67,IF(J69="CHI",PR!$I67,IF(J69="CLARION",PR!$J67,IF(J69="CODIX",PR!$K67,IF(J69="COSMADE",PR!$L67,IF(J69="SANCON",PR!$M67,IF(J69="DEVON",PR!$N67,IF(J69="DORTEMAG",PR!$O67,IF(J69="DGF",PR!$P67,IF(J69="DYNAMIC",PR!$Q67,IF(J69="EMZOR",PR!$R67,IF(J69="EUMATT",PR!$S67,IF(J69="FIDSON",PR!$T67,IF(J69="FCGLOBAL",PR!$U67,IF(J69="GENEITH",PR!$V67,IF(J69="GINOS",PR!$W67,IF(J69="GSK",PR!$X67,IF(J69="GLOBORG",PR!$Y67,IF(J69="GOODNEWS",PR!$Z67,IF(J69="GREENLIFE",PR!$AA67,IF(J69="HLINE",PR!$AB67,IF(J69="ROTECH",PR!$AC67,IF(J69="ISN",PR!$AD67,IF(J69="JAWA",PR!$AE67,IF(J69="LAYO",PR!$AF67,IF(J69="LEADWAY",PR!$AG67,IF(J69="LHV",PR!$AH67,IF(J69="MANOLA",PR!$AI67,IF(J69="MARCSON",PR!$AJ67,IF(J69="M&amp;B",PR!$AK67,IF(J69="MTRUST",PR!$AL67,IF(J69="MWORLD",PR!$AM67,IF(J69="MEGA",PR!$AN67,IF(J69="MICRONOVA",PR!$AO67,IF(J69="MFLASH",PR!$AP67,IF(J69="MORISON",PR!$AQ67,IF(J69="NEMEL",PR!$AR67,IF(J69="NHP",PR!$AS67,IF(J69="NHC",PR!$AT67,IF(J69="OLEAF",PR!$AU67,IF(J69="OCULUS",PR!$AV67,IF(J69="PACIFIC",PR!$AW67,IF(J69="PHAMATEX",PR!$AX67,IF(J69="PETHICS",PR!$AY67,IF(J69="PHILIPS",PR!$AZ67,IF(J69="RANBAXY",PR!$BA67,IF(J69="REALS",PR!$BB67,IF(J69="ROYAL",PR!$BC67,IF(J69="SAM",PR!$BD67,IF(J69="SEAGREEN",PR!$BE67,IF(J69="SKG",PR!$BF67,IF(J69="TAH",PR!$BG67,IF(J69="TAYLEK",PR!$BH67,IF(J69="TEMITA",PR!$BI67,IF(J69="THL",PR!$BJ67,IF(J69="UBASTIC",PR!$BK67,IF(J69="UNION",PR!$BL67,IF(J69="UNIQUE",PR!$BM67,IF(J69="VIXA",PR!$BN67,IF(J69="WWCV",PR!$BO67,IF(J69="ZOLON",PR!$BP67,"-"))))))))))))))))))))))))))))))))))))))))))))))))))))))))))))))))</f>
        <v>-</v>
      </c>
      <c r="J69" s="102">
        <f>EV!N69</f>
        <v>0</v>
      </c>
      <c r="K69" s="433" t="s">
        <v>821</v>
      </c>
      <c r="L69" s="183">
        <f>IF(K69&gt;0,IF(K69="ALPHA",PR!$E67,IF(K69="ASSENE",PR!$F67,IF(K69="BIOFEM",PR!$G67,IF(K69="BIOMED",PR!$H67,IF(K69="CHI",PR!$I67,IF(K69="CLARION",PR!$J67,IF(K69="CODIX",PR!$K67,IF(K69="COSMADE",PR!$L67,IF(K69="SANCON",PR!$M67,IF(K69="DEVON",PR!$N67,IF(K69="DORTEMAG",PR!$O67,IF(K69="DGF",PR!$P67,IF(K69="DYNAMIC",PR!$Q67,IF(K69="EMZOR",PR!$R67,IF(K69="EUMATT",PR!$S67,IF(K69="FIDSON",PR!$T67,IF(K69="FCGLOBAL",PR!$U67,IF(K69="GENEITH",PR!$V67,IF(K69="GINOS",PR!$W67,IF(K69="GSK",PR!$X67,IF(K69="GLOBORG",PR!$Y67,IF(K69="GOODNEWS",PR!$Z67,IF(K69="GREENLIFE",PR!$AA67,IF(K69="HLINE",PR!$AB67,IF(K69="ROTECH",PR!$AC67,IF(K69="ISN",PR!$AD67,IF(K69="JAWA",PR!$AE67,IF(K69="LAYO",PR!$AF67,IF(K69="LEADWAY",PR!$AG67,IF(K69="LHV",PR!$AH67,IF(K69="MANOLA",PR!$AI67,IF(K69="MARCSON",PR!$AJ67,IF(K69="M&amp;B",PR!$AK67,IF(K69="MTRUST",PR!$AL67,IF(K69="MWORLD",PR!$AM67,IF(K69="MEGA",PR!$AN67,IF(K69="MICRONOVA",PR!$AO67,IF(K69="MFLASH",PR!$AP67,IF(K69="MORISON",PR!$AQ67,IF(K69="NEMEL",PR!$AR67,IF(K69="NHP",PR!$AS67,IF(K69="NHC",PR!$AT67,IF(K69="OLEAF",PR!$AU67,IF(K69="OCULUS",PR!$AV67,IF(K69="PACIFIC",PR!$AW67,IF(K69="PHAMATEX",PR!$AX67,IF(K69="PETHICS",PR!$AY67,IF(K69="PHILIPS",PR!$AZ67,IF(K69="RANBAXY",PR!$BA67,IF(K69="REALS",PR!$BB67,IF(K69="ROYAL",PR!$BC67,IF(K69="SAM",PR!$BD67,IF(K69="SEAGREEN",PR!$BE67,IF(K69="SKG",PR!$BF67,IF(K69="TAH",PR!$BG67,IF(K69="TAYLEK",PR!$BH67,IF(K69="TEMITA",PR!$BI67,IF(K69="THL",PR!$BJ67,IF(K69="UBASTIC",PR!$BK67,IF(K69="UNION",PR!$BL67,IF(K69="UNIQUE",PR!$BM67,IF(K69="VIXA",PR!$BN67,IF(K69="WWCV",PR!$BO67,IF(K69="ZOLON",PR!$BP67,"-")))))))))))))))))))))))))))))))))))))))))))))))))))))))))))))))))</f>
        <v>5000</v>
      </c>
    </row>
    <row r="70" spans="1:12" ht="18.75" x14ac:dyDescent="0.3">
      <c r="A70" s="430">
        <f>PR!A68</f>
        <v>52</v>
      </c>
      <c r="B70" s="15" t="str">
        <f>PR!B68</f>
        <v>BISOPROLOL 10MG TAB</v>
      </c>
      <c r="C70" s="113">
        <f>PR!D68</f>
        <v>30</v>
      </c>
      <c r="D70" s="113">
        <f>PR!C68</f>
        <v>60</v>
      </c>
      <c r="E70" s="108">
        <f>IF(F70="ALPHA",PR!$E68,IF(F70="ASSENE",PR!$F68,IF(F70="BIOFEM",PR!$G68,IF(F70="BIOMED",PR!$H68,IF(F70="CHI",PR!$I68,IF(F70="CLARION",PR!$J68,IF(F70="CODIX",PR!$K68,IF(F70="COSMADE",PR!$L68,IF(F70="SANCON",PR!$M68,IF(F70="DEVON",PR!$N68,IF(F70="DORTEMAG",PR!$O68,IF(F70="DGF",PR!$P68,IF(F70="DYNAMIC",PR!$Q68,IF(F70="EMZOR",PR!$R68,IF(F70="EUMATT",PR!$S68,IF(F70="FIDSON",PR!$T68,IF(F70="FCGLOBAL",PR!$U68,IF(F70="GENEITH",PR!$V68,IF(F70="GINOS",PR!$W68,IF(F70="GSK",PR!$X68,IF(F70="GLOBORG",PR!$Y68,IF(F70="GOODNEWS",PR!$Z68,IF(F70="GREENLIFE",PR!$AA68,IF(F70="HLINE",PR!$AB68,IF(F70="ROTECH",PR!$AC68,IF(F70="ISN",PR!$AD68,IF(F70="JAWA",PR!$AE68,IF(F70="LAYO",PR!$AF68,IF(F70="LEADWAY",PR!$AG68,IF(F70="LHV",PR!$AH68,IF(F70="MANOLA",PR!$AI68,IF(F70="MARCSON",PR!$AJ68,IF(F70="M&amp;B",PR!$AK68,IF(F70="MTRUST",PR!$AL68,IF(F70="MWORLD",PR!$AM68,IF(F70="MEGA",PR!$AN68,IF(F70="MICRONOVA",PR!$AO68,IF(F70="MFLASH",PR!$AP68,IF(F70="MORISON",PR!$AQ68,IF(F70="NEMEL",PR!$AR68,IF(F70="NHP",PR!$AS68,IF(F70="NHC",PR!$AT68,IF(F70="OLEAF",PR!$AU68,IF(F70="OCULUS",PR!$AV68,IF(F70="PACIFIC",PR!$AW68,IF(F70="PHAMATEX",PR!$AX68,IF(F70="PETHICS",PR!$AY68,IF(F70="PHILIPS",PR!$AZ68,IF(F70="RANBAXY",PR!$BA68,IF(F70="REALS",PR!$BB68,IF(F70="ROYAL",PR!$BC68,IF(F70="SAM",PR!$BD68,IF(F70="SEAGREEN",PR!$BE68,IF(F70="SKG",PR!$BF68,IF(F70="TAH",PR!$BG68,IF(F70="TAYLEK",PR!$BH68,IF(F70="TEMITA",PR!$BI68,IF(F70="THL",PR!$BJ68,IF(F70="UBASTIC",PR!$BK68,IF(F70="UNION",PR!$BL68,IF(F70="UNIQUE",PR!$BM68,IF(F70="VIXA",PR!$BN68,IF(F70="WWCV",PR!$BO68,IF(F70="ZOLON",PR!$BP68,"-"))))))))))))))))))))))))))))))))))))))))))))))))))))))))))))))))</f>
        <v>800</v>
      </c>
      <c r="F70" s="102" t="str">
        <f>EV!L70</f>
        <v>EUMATT</v>
      </c>
      <c r="G70" s="108" t="str">
        <f>IF(H70="ALPHA",PR!$E68,IF(H70="ASSENE",PR!$F68,IF(H70="BIOFEM",PR!$G68,IF(H70="BIOMED",PR!$H68,IF(H70="CHI",PR!$I68,IF(H70="CLARION",PR!$J68,IF(H70="CODIX",PR!$K68,IF(H70="COSMADE",PR!$L68,IF(H70="SANCON",PR!$M68,IF(H70="DEVON",PR!$N68,IF(H70="DORTEMAG",PR!$O68,IF(H70="DGF",PR!$P68,IF(H70="DYNAMIC",PR!$Q68,IF(H70="EMZOR",PR!$R68,IF(H70="EUMATT",PR!$S68,IF(H70="FIDSON",PR!$T68,IF(H70="FCGLOBAL",PR!$U68,IF(H70="GENEITH",PR!$V68,IF(H70="GINOS",PR!$W68,IF(H70="GSK",PR!$X68,IF(H70="GLOBORG",PR!$Y68,IF(H70="GOODNEWS",PR!$Z68,IF(H70="GREENLIFE",PR!$AA68,IF(H70="HLINE",PR!$AB68,IF(H70="ROTECH",PR!$AC68,IF(H70="ISN",PR!$AD68,IF(H70="JAWA",PR!$AE68,IF(H70="LAYO",PR!$AF68,IF(H70="LEADWAY",PR!$AG68,IF(H70="LHV",PR!$AH68,IF(H70="MANOLA",PR!$AI68,IF(H70="MARCSON",PR!$AJ68,IF(H70="M&amp;B",PR!$AK68,IF(H70="MTRUST",PR!$AL68,IF(H70="MWORLD",PR!$AM68,IF(H70="MEGA",PR!$AN68,IF(H70="MICRONOVA",PR!$AO68,IF(H70="MFLASH",PR!$AP68,IF(H70="MORISON",PR!$AQ68,IF(H70="NEMEL",PR!$AR68,IF(H70="NHP",PR!$AS68,IF(H70="NHC",PR!$AT68,IF(H70="OLEAF",PR!$AU68,IF(H70="OCULUS",PR!$AV68,IF(H70="PACIFIC",PR!$AW68,IF(H70="PHAMATEX",PR!$AX68,IF(H70="PETHICS",PR!$AY68,IF(H70="PHILIPS",PR!$AZ68,IF(H70="RANBAXY",PR!$BA68,IF(H70="REALS",PR!$BB68,IF(H70="ROYAL",PR!$BC68,IF(H70="SAM",PR!$BD68,IF(H70="SEAGREEN",PR!$BE68,IF(H70="SKG",PR!$BF68,IF(H70="TAH",PR!$BG68,IF(H70="TAYLEK",PR!$BH68,IF(H70="TEMITA",PR!$BI68,IF(H70="THL",PR!$BJ68,IF(H70="UBASTIC",PR!$BK68,IF(H70="UNION",PR!$BL68,IF(H70="UNIQUE",PR!$BM68,IF(H70="VIXA",PR!$BN68,IF(H70="WWCV",PR!$BO68,IF(H70="ZOLON",PR!$BP68,"-"))))))))))))))))))))))))))))))))))))))))))))))))))))))))))))))))</f>
        <v>-</v>
      </c>
      <c r="H70" s="102">
        <f>EV!M70</f>
        <v>0</v>
      </c>
      <c r="I70" s="108" t="str">
        <f>IF(J70="ALPHA",PR!$E68,IF(J70="ASSENE",PR!$F68,IF(J70="BIOFEM",PR!$G68,IF(J70="BIOMED",PR!$H68,IF(J70="CHI",PR!$I68,IF(J70="CLARION",PR!$J68,IF(J70="CODIX",PR!$K68,IF(J70="COSMADE",PR!$L68,IF(J70="SANCON",PR!$M68,IF(J70="DEVON",PR!$N68,IF(J70="DORTEMAG",PR!$O68,IF(J70="DGF",PR!$P68,IF(J70="DYNAMIC",PR!$Q68,IF(J70="EMZOR",PR!$R68,IF(J70="EUMATT",PR!$S68,IF(J70="FIDSON",PR!$T68,IF(J70="FCGLOBAL",PR!$U68,IF(J70="GENEITH",PR!$V68,IF(J70="GINOS",PR!$W68,IF(J70="GSK",PR!$X68,IF(J70="GLOBORG",PR!$Y68,IF(J70="GOODNEWS",PR!$Z68,IF(J70="GREENLIFE",PR!$AA68,IF(J70="HLINE",PR!$AB68,IF(J70="ROTECH",PR!$AC68,IF(J70="ISN",PR!$AD68,IF(J70="JAWA",PR!$AE68,IF(J70="LAYO",PR!$AF68,IF(J70="LEADWAY",PR!$AG68,IF(J70="LHV",PR!$AH68,IF(J70="MANOLA",PR!$AI68,IF(J70="MARCSON",PR!$AJ68,IF(J70="M&amp;B",PR!$AK68,IF(J70="MTRUST",PR!$AL68,IF(J70="MWORLD",PR!$AM68,IF(J70="MEGA",PR!$AN68,IF(J70="MICRONOVA",PR!$AO68,IF(J70="MFLASH",PR!$AP68,IF(J70="MORISON",PR!$AQ68,IF(J70="NEMEL",PR!$AR68,IF(J70="NHP",PR!$AS68,IF(J70="NHC",PR!$AT68,IF(J70="OLEAF",PR!$AU68,IF(J70="OCULUS",PR!$AV68,IF(J70="PACIFIC",PR!$AW68,IF(J70="PHAMATEX",PR!$AX68,IF(J70="PETHICS",PR!$AY68,IF(J70="PHILIPS",PR!$AZ68,IF(J70="RANBAXY",PR!$BA68,IF(J70="REALS",PR!$BB68,IF(J70="ROYAL",PR!$BC68,IF(J70="SAM",PR!$BD68,IF(J70="SEAGREEN",PR!$BE68,IF(J70="SKG",PR!$BF68,IF(J70="TAH",PR!$BG68,IF(J70="TAYLEK",PR!$BH68,IF(J70="TEMITA",PR!$BI68,IF(J70="THL",PR!$BJ68,IF(J70="UBASTIC",PR!$BK68,IF(J70="UNION",PR!$BL68,IF(J70="UNIQUE",PR!$BM68,IF(J70="VIXA",PR!$BN68,IF(J70="WWCV",PR!$BO68,IF(J70="ZOLON",PR!$BP68,"-"))))))))))))))))))))))))))))))))))))))))))))))))))))))))))))))))</f>
        <v>-</v>
      </c>
      <c r="J70" s="102">
        <f>EV!N70</f>
        <v>0</v>
      </c>
      <c r="K70" s="433" t="s">
        <v>821</v>
      </c>
      <c r="L70" s="183">
        <f>IF(K70&gt;0,IF(K70="ALPHA",PR!$E68,IF(K70="ASSENE",PR!$F68,IF(K70="BIOFEM",PR!$G68,IF(K70="BIOMED",PR!$H68,IF(K70="CHI",PR!$I68,IF(K70="CLARION",PR!$J68,IF(K70="CODIX",PR!$K68,IF(K70="COSMADE",PR!$L68,IF(K70="SANCON",PR!$M68,IF(K70="DEVON",PR!$N68,IF(K70="DORTEMAG",PR!$O68,IF(K70="DGF",PR!$P68,IF(K70="DYNAMIC",PR!$Q68,IF(K70="EMZOR",PR!$R68,IF(K70="EUMATT",PR!$S68,IF(K70="FIDSON",PR!$T68,IF(K70="FCGLOBAL",PR!$U68,IF(K70="GENEITH",PR!$V68,IF(K70="GINOS",PR!$W68,IF(K70="GSK",PR!$X68,IF(K70="GLOBORG",PR!$Y68,IF(K70="GOODNEWS",PR!$Z68,IF(K70="GREENLIFE",PR!$AA68,IF(K70="HLINE",PR!$AB68,IF(K70="ROTECH",PR!$AC68,IF(K70="ISN",PR!$AD68,IF(K70="JAWA",PR!$AE68,IF(K70="LAYO",PR!$AF68,IF(K70="LEADWAY",PR!$AG68,IF(K70="LHV",PR!$AH68,IF(K70="MANOLA",PR!$AI68,IF(K70="MARCSON",PR!$AJ68,IF(K70="M&amp;B",PR!$AK68,IF(K70="MTRUST",PR!$AL68,IF(K70="MWORLD",PR!$AM68,IF(K70="MEGA",PR!$AN68,IF(K70="MICRONOVA",PR!$AO68,IF(K70="MFLASH",PR!$AP68,IF(K70="MORISON",PR!$AQ68,IF(K70="NEMEL",PR!$AR68,IF(K70="NHP",PR!$AS68,IF(K70="NHC",PR!$AT68,IF(K70="OLEAF",PR!$AU68,IF(K70="OCULUS",PR!$AV68,IF(K70="PACIFIC",PR!$AW68,IF(K70="PHAMATEX",PR!$AX68,IF(K70="PETHICS",PR!$AY68,IF(K70="PHILIPS",PR!$AZ68,IF(K70="RANBAXY",PR!$BA68,IF(K70="REALS",PR!$BB68,IF(K70="ROYAL",PR!$BC68,IF(K70="SAM",PR!$BD68,IF(K70="SEAGREEN",PR!$BE68,IF(K70="SKG",PR!$BF68,IF(K70="TAH",PR!$BG68,IF(K70="TAYLEK",PR!$BH68,IF(K70="TEMITA",PR!$BI68,IF(K70="THL",PR!$BJ68,IF(K70="UBASTIC",PR!$BK68,IF(K70="UNION",PR!$BL68,IF(K70="UNIQUE",PR!$BM68,IF(K70="VIXA",PR!$BN68,IF(K70="WWCV",PR!$BO68,IF(K70="ZOLON",PR!$BP68,"-")))))))))))))))))))))))))))))))))))))))))))))))))))))))))))))))))</f>
        <v>800</v>
      </c>
    </row>
    <row r="71" spans="1:12" ht="18.75" x14ac:dyDescent="0.3">
      <c r="A71" s="430">
        <f>PR!A69</f>
        <v>53</v>
      </c>
      <c r="B71" s="15" t="str">
        <f>PR!B69</f>
        <v>BISOPROLOL 5MG TAB</v>
      </c>
      <c r="C71" s="113">
        <f>PR!D69</f>
        <v>30</v>
      </c>
      <c r="D71" s="113">
        <f>PR!C69</f>
        <v>60</v>
      </c>
      <c r="E71" s="108">
        <f>IF(F71="ALPHA",PR!$E69,IF(F71="ASSENE",PR!$F69,IF(F71="BIOFEM",PR!$G69,IF(F71="BIOMED",PR!$H69,IF(F71="CHI",PR!$I69,IF(F71="CLARION",PR!$J69,IF(F71="CODIX",PR!$K69,IF(F71="COSMADE",PR!$L69,IF(F71="SANCON",PR!$M69,IF(F71="DEVON",PR!$N69,IF(F71="DORTEMAG",PR!$O69,IF(F71="DGF",PR!$P69,IF(F71="DYNAMIC",PR!$Q69,IF(F71="EMZOR",PR!$R69,IF(F71="EUMATT",PR!$S69,IF(F71="FIDSON",PR!$T69,IF(F71="FCGLOBAL",PR!$U69,IF(F71="GENEITH",PR!$V69,IF(F71="GINOS",PR!$W69,IF(F71="GSK",PR!$X69,IF(F71="GLOBORG",PR!$Y69,IF(F71="GOODNEWS",PR!$Z69,IF(F71="GREENLIFE",PR!$AA69,IF(F71="HLINE",PR!$AB69,IF(F71="ROTECH",PR!$AC69,IF(F71="ISN",PR!$AD69,IF(F71="JAWA",PR!$AE69,IF(F71="LAYO",PR!$AF69,IF(F71="LEADWAY",PR!$AG69,IF(F71="LHV",PR!$AH69,IF(F71="MANOLA",PR!$AI69,IF(F71="MARCSON",PR!$AJ69,IF(F71="M&amp;B",PR!$AK69,IF(F71="MTRUST",PR!$AL69,IF(F71="MWORLD",PR!$AM69,IF(F71="MEGA",PR!$AN69,IF(F71="MICRONOVA",PR!$AO69,IF(F71="MFLASH",PR!$AP69,IF(F71="MORISON",PR!$AQ69,IF(F71="NEMEL",PR!$AR69,IF(F71="NHP",PR!$AS69,IF(F71="NHC",PR!$AT69,IF(F71="OLEAF",PR!$AU69,IF(F71="OCULUS",PR!$AV69,IF(F71="PACIFIC",PR!$AW69,IF(F71="PHAMATEX",PR!$AX69,IF(F71="PETHICS",PR!$AY69,IF(F71="PHILIPS",PR!$AZ69,IF(F71="RANBAXY",PR!$BA69,IF(F71="REALS",PR!$BB69,IF(F71="ROYAL",PR!$BC69,IF(F71="SAM",PR!$BD69,IF(F71="SEAGREEN",PR!$BE69,IF(F71="SKG",PR!$BF69,IF(F71="TAH",PR!$BG69,IF(F71="TAYLEK",PR!$BH69,IF(F71="TEMITA",PR!$BI69,IF(F71="THL",PR!$BJ69,IF(F71="UBASTIC",PR!$BK69,IF(F71="UNION",PR!$BL69,IF(F71="UNIQUE",PR!$BM69,IF(F71="VIXA",PR!$BN69,IF(F71="WWCV",PR!$BO69,IF(F71="ZOLON",PR!$BP69,"-"))))))))))))))))))))))))))))))))))))))))))))))))))))))))))))))))</f>
        <v>500</v>
      </c>
      <c r="F71" s="102" t="str">
        <f>EV!L71</f>
        <v>EUMATT</v>
      </c>
      <c r="G71" s="108" t="str">
        <f>IF(H71="ALPHA",PR!$E69,IF(H71="ASSENE",PR!$F69,IF(H71="BIOFEM",PR!$G69,IF(H71="BIOMED",PR!$H69,IF(H71="CHI",PR!$I69,IF(H71="CLARION",PR!$J69,IF(H71="CODIX",PR!$K69,IF(H71="COSMADE",PR!$L69,IF(H71="SANCON",PR!$M69,IF(H71="DEVON",PR!$N69,IF(H71="DORTEMAG",PR!$O69,IF(H71="DGF",PR!$P69,IF(H71="DYNAMIC",PR!$Q69,IF(H71="EMZOR",PR!$R69,IF(H71="EUMATT",PR!$S69,IF(H71="FIDSON",PR!$T69,IF(H71="FCGLOBAL",PR!$U69,IF(H71="GENEITH",PR!$V69,IF(H71="GINOS",PR!$W69,IF(H71="GSK",PR!$X69,IF(H71="GLOBORG",PR!$Y69,IF(H71="GOODNEWS",PR!$Z69,IF(H71="GREENLIFE",PR!$AA69,IF(H71="HLINE",PR!$AB69,IF(H71="ROTECH",PR!$AC69,IF(H71="ISN",PR!$AD69,IF(H71="JAWA",PR!$AE69,IF(H71="LAYO",PR!$AF69,IF(H71="LEADWAY",PR!$AG69,IF(H71="LHV",PR!$AH69,IF(H71="MANOLA",PR!$AI69,IF(H71="MARCSON",PR!$AJ69,IF(H71="M&amp;B",PR!$AK69,IF(H71="MTRUST",PR!$AL69,IF(H71="MWORLD",PR!$AM69,IF(H71="MEGA",PR!$AN69,IF(H71="MICRONOVA",PR!$AO69,IF(H71="MFLASH",PR!$AP69,IF(H71="MORISON",PR!$AQ69,IF(H71="NEMEL",PR!$AR69,IF(H71="NHP",PR!$AS69,IF(H71="NHC",PR!$AT69,IF(H71="OLEAF",PR!$AU69,IF(H71="OCULUS",PR!$AV69,IF(H71="PACIFIC",PR!$AW69,IF(H71="PHAMATEX",PR!$AX69,IF(H71="PETHICS",PR!$AY69,IF(H71="PHILIPS",PR!$AZ69,IF(H71="RANBAXY",PR!$BA69,IF(H71="REALS",PR!$BB69,IF(H71="ROYAL",PR!$BC69,IF(H71="SAM",PR!$BD69,IF(H71="SEAGREEN",PR!$BE69,IF(H71="SKG",PR!$BF69,IF(H71="TAH",PR!$BG69,IF(H71="TAYLEK",PR!$BH69,IF(H71="TEMITA",PR!$BI69,IF(H71="THL",PR!$BJ69,IF(H71="UBASTIC",PR!$BK69,IF(H71="UNION",PR!$BL69,IF(H71="UNIQUE",PR!$BM69,IF(H71="VIXA",PR!$BN69,IF(H71="WWCV",PR!$BO69,IF(H71="ZOLON",PR!$BP69,"-"))))))))))))))))))))))))))))))))))))))))))))))))))))))))))))))))</f>
        <v>-</v>
      </c>
      <c r="H71" s="102">
        <f>EV!M71</f>
        <v>0</v>
      </c>
      <c r="I71" s="108" t="str">
        <f>IF(J71="ALPHA",PR!$E69,IF(J71="ASSENE",PR!$F69,IF(J71="BIOFEM",PR!$G69,IF(J71="BIOMED",PR!$H69,IF(J71="CHI",PR!$I69,IF(J71="CLARION",PR!$J69,IF(J71="CODIX",PR!$K69,IF(J71="COSMADE",PR!$L69,IF(J71="SANCON",PR!$M69,IF(J71="DEVON",PR!$N69,IF(J71="DORTEMAG",PR!$O69,IF(J71="DGF",PR!$P69,IF(J71="DYNAMIC",PR!$Q69,IF(J71="EMZOR",PR!$R69,IF(J71="EUMATT",PR!$S69,IF(J71="FIDSON",PR!$T69,IF(J71="FCGLOBAL",PR!$U69,IF(J71="GENEITH",PR!$V69,IF(J71="GINOS",PR!$W69,IF(J71="GSK",PR!$X69,IF(J71="GLOBORG",PR!$Y69,IF(J71="GOODNEWS",PR!$Z69,IF(J71="GREENLIFE",PR!$AA69,IF(J71="HLINE",PR!$AB69,IF(J71="ROTECH",PR!$AC69,IF(J71="ISN",PR!$AD69,IF(J71="JAWA",PR!$AE69,IF(J71="LAYO",PR!$AF69,IF(J71="LEADWAY",PR!$AG69,IF(J71="LHV",PR!$AH69,IF(J71="MANOLA",PR!$AI69,IF(J71="MARCSON",PR!$AJ69,IF(J71="M&amp;B",PR!$AK69,IF(J71="MTRUST",PR!$AL69,IF(J71="MWORLD",PR!$AM69,IF(J71="MEGA",PR!$AN69,IF(J71="MICRONOVA",PR!$AO69,IF(J71="MFLASH",PR!$AP69,IF(J71="MORISON",PR!$AQ69,IF(J71="NEMEL",PR!$AR69,IF(J71="NHP",PR!$AS69,IF(J71="NHC",PR!$AT69,IF(J71="OLEAF",PR!$AU69,IF(J71="OCULUS",PR!$AV69,IF(J71="PACIFIC",PR!$AW69,IF(J71="PHAMATEX",PR!$AX69,IF(J71="PETHICS",PR!$AY69,IF(J71="PHILIPS",PR!$AZ69,IF(J71="RANBAXY",PR!$BA69,IF(J71="REALS",PR!$BB69,IF(J71="ROYAL",PR!$BC69,IF(J71="SAM",PR!$BD69,IF(J71="SEAGREEN",PR!$BE69,IF(J71="SKG",PR!$BF69,IF(J71="TAH",PR!$BG69,IF(J71="TAYLEK",PR!$BH69,IF(J71="TEMITA",PR!$BI69,IF(J71="THL",PR!$BJ69,IF(J71="UBASTIC",PR!$BK69,IF(J71="UNION",PR!$BL69,IF(J71="UNIQUE",PR!$BM69,IF(J71="VIXA",PR!$BN69,IF(J71="WWCV",PR!$BO69,IF(J71="ZOLON",PR!$BP69,"-"))))))))))))))))))))))))))))))))))))))))))))))))))))))))))))))))</f>
        <v>-</v>
      </c>
      <c r="J71" s="102">
        <f>EV!N71</f>
        <v>0</v>
      </c>
      <c r="K71" s="433" t="s">
        <v>821</v>
      </c>
      <c r="L71" s="183">
        <f>IF(K71&gt;0,IF(K71="ALPHA",PR!$E69,IF(K71="ASSENE",PR!$F69,IF(K71="BIOFEM",PR!$G69,IF(K71="BIOMED",PR!$H69,IF(K71="CHI",PR!$I69,IF(K71="CLARION",PR!$J69,IF(K71="CODIX",PR!$K69,IF(K71="COSMADE",PR!$L69,IF(K71="SANCON",PR!$M69,IF(K71="DEVON",PR!$N69,IF(K71="DORTEMAG",PR!$O69,IF(K71="DGF",PR!$P69,IF(K71="DYNAMIC",PR!$Q69,IF(K71="EMZOR",PR!$R69,IF(K71="EUMATT",PR!$S69,IF(K71="FIDSON",PR!$T69,IF(K71="FCGLOBAL",PR!$U69,IF(K71="GENEITH",PR!$V69,IF(K71="GINOS",PR!$W69,IF(K71="GSK",PR!$X69,IF(K71="GLOBORG",PR!$Y69,IF(K71="GOODNEWS",PR!$Z69,IF(K71="GREENLIFE",PR!$AA69,IF(K71="HLINE",PR!$AB69,IF(K71="ROTECH",PR!$AC69,IF(K71="ISN",PR!$AD69,IF(K71="JAWA",PR!$AE69,IF(K71="LAYO",PR!$AF69,IF(K71="LEADWAY",PR!$AG69,IF(K71="LHV",PR!$AH69,IF(K71="MANOLA",PR!$AI69,IF(K71="MARCSON",PR!$AJ69,IF(K71="M&amp;B",PR!$AK69,IF(K71="MTRUST",PR!$AL69,IF(K71="MWORLD",PR!$AM69,IF(K71="MEGA",PR!$AN69,IF(K71="MICRONOVA",PR!$AO69,IF(K71="MFLASH",PR!$AP69,IF(K71="MORISON",PR!$AQ69,IF(K71="NEMEL",PR!$AR69,IF(K71="NHP",PR!$AS69,IF(K71="NHC",PR!$AT69,IF(K71="OLEAF",PR!$AU69,IF(K71="OCULUS",PR!$AV69,IF(K71="PACIFIC",PR!$AW69,IF(K71="PHAMATEX",PR!$AX69,IF(K71="PETHICS",PR!$AY69,IF(K71="PHILIPS",PR!$AZ69,IF(K71="RANBAXY",PR!$BA69,IF(K71="REALS",PR!$BB69,IF(K71="ROYAL",PR!$BC69,IF(K71="SAM",PR!$BD69,IF(K71="SEAGREEN",PR!$BE69,IF(K71="SKG",PR!$BF69,IF(K71="TAH",PR!$BG69,IF(K71="TAYLEK",PR!$BH69,IF(K71="TEMITA",PR!$BI69,IF(K71="THL",PR!$BJ69,IF(K71="UBASTIC",PR!$BK69,IF(K71="UNION",PR!$BL69,IF(K71="UNIQUE",PR!$BM69,IF(K71="VIXA",PR!$BN69,IF(K71="WWCV",PR!$BO69,IF(K71="ZOLON",PR!$BP69,"-")))))))))))))))))))))))))))))))))))))))))))))))))))))))))))))))))</f>
        <v>500</v>
      </c>
    </row>
    <row r="72" spans="1:12" ht="18.75" x14ac:dyDescent="0.3">
      <c r="A72" s="430">
        <f>PR!A70</f>
        <v>54</v>
      </c>
      <c r="B72" s="15" t="str">
        <f>PR!B70</f>
        <v>CANDESARTAN 8MG TAB</v>
      </c>
      <c r="C72" s="113">
        <f>PR!D70</f>
        <v>28</v>
      </c>
      <c r="D72" s="113">
        <f>PR!C70</f>
        <v>100</v>
      </c>
      <c r="E72" s="108">
        <f>IF(F72="ALPHA",PR!$E70,IF(F72="ASSENE",PR!$F70,IF(F72="BIOFEM",PR!$G70,IF(F72="BIOMED",PR!$H70,IF(F72="CHI",PR!$I70,IF(F72="CLARION",PR!$J70,IF(F72="CODIX",PR!$K70,IF(F72="COSMADE",PR!$L70,IF(F72="SANCON",PR!$M70,IF(F72="DEVON",PR!$N70,IF(F72="DORTEMAG",PR!$O70,IF(F72="DGF",PR!$P70,IF(F72="DYNAMIC",PR!$Q70,IF(F72="EMZOR",PR!$R70,IF(F72="EUMATT",PR!$S70,IF(F72="FIDSON",PR!$T70,IF(F72="FCGLOBAL",PR!$U70,IF(F72="GENEITH",PR!$V70,IF(F72="GINOS",PR!$W70,IF(F72="GSK",PR!$X70,IF(F72="GLOBORG",PR!$Y70,IF(F72="GOODNEWS",PR!$Z70,IF(F72="GREENLIFE",PR!$AA70,IF(F72="HLINE",PR!$AB70,IF(F72="ROTECH",PR!$AC70,IF(F72="ISN",PR!$AD70,IF(F72="JAWA",PR!$AE70,IF(F72="LAYO",PR!$AF70,IF(F72="LEADWAY",PR!$AG70,IF(F72="LHV",PR!$AH70,IF(F72="MANOLA",PR!$AI70,IF(F72="MARCSON",PR!$AJ70,IF(F72="M&amp;B",PR!$AK70,IF(F72="MTRUST",PR!$AL70,IF(F72="MWORLD",PR!$AM70,IF(F72="MEGA",PR!$AN70,IF(F72="MICRONOVA",PR!$AO70,IF(F72="MFLASH",PR!$AP70,IF(F72="MORISON",PR!$AQ70,IF(F72="NEMEL",PR!$AR70,IF(F72="NHP",PR!$AS70,IF(F72="NHC",PR!$AT70,IF(F72="OLEAF",PR!$AU70,IF(F72="OCULUS",PR!$AV70,IF(F72="PACIFIC",PR!$AW70,IF(F72="PHAMATEX",PR!$AX70,IF(F72="PETHICS",PR!$AY70,IF(F72="PHILIPS",PR!$AZ70,IF(F72="RANBAXY",PR!$BA70,IF(F72="REALS",PR!$BB70,IF(F72="ROYAL",PR!$BC70,IF(F72="SAM",PR!$BD70,IF(F72="SEAGREEN",PR!$BE70,IF(F72="SKG",PR!$BF70,IF(F72="TAH",PR!$BG70,IF(F72="TAYLEK",PR!$BH70,IF(F72="TEMITA",PR!$BI70,IF(F72="THL",PR!$BJ70,IF(F72="UBASTIC",PR!$BK70,IF(F72="UNION",PR!$BL70,IF(F72="UNIQUE",PR!$BM70,IF(F72="VIXA",PR!$BN70,IF(F72="WWCV",PR!$BO70,IF(F72="ZOLON",PR!$BP70,"-"))))))))))))))))))))))))))))))))))))))))))))))))))))))))))))))))</f>
        <v>2873</v>
      </c>
      <c r="F72" s="102" t="str">
        <f>EV!L72</f>
        <v>TAYLEK</v>
      </c>
      <c r="G72" s="108" t="str">
        <f>IF(H72="ALPHA",PR!$E70,IF(H72="ASSENE",PR!$F70,IF(H72="BIOFEM",PR!$G70,IF(H72="BIOMED",PR!$H70,IF(H72="CHI",PR!$I70,IF(H72="CLARION",PR!$J70,IF(H72="CODIX",PR!$K70,IF(H72="COSMADE",PR!$L70,IF(H72="SANCON",PR!$M70,IF(H72="DEVON",PR!$N70,IF(H72="DORTEMAG",PR!$O70,IF(H72="DGF",PR!$P70,IF(H72="DYNAMIC",PR!$Q70,IF(H72="EMZOR",PR!$R70,IF(H72="EUMATT",PR!$S70,IF(H72="FIDSON",PR!$T70,IF(H72="FCGLOBAL",PR!$U70,IF(H72="GENEITH",PR!$V70,IF(H72="GINOS",PR!$W70,IF(H72="GSK",PR!$X70,IF(H72="GLOBORG",PR!$Y70,IF(H72="GOODNEWS",PR!$Z70,IF(H72="GREENLIFE",PR!$AA70,IF(H72="HLINE",PR!$AB70,IF(H72="ROTECH",PR!$AC70,IF(H72="ISN",PR!$AD70,IF(H72="JAWA",PR!$AE70,IF(H72="LAYO",PR!$AF70,IF(H72="LEADWAY",PR!$AG70,IF(H72="LHV",PR!$AH70,IF(H72="MANOLA",PR!$AI70,IF(H72="MARCSON",PR!$AJ70,IF(H72="M&amp;B",PR!$AK70,IF(H72="MTRUST",PR!$AL70,IF(H72="MWORLD",PR!$AM70,IF(H72="MEGA",PR!$AN70,IF(H72="MICRONOVA",PR!$AO70,IF(H72="MFLASH",PR!$AP70,IF(H72="MORISON",PR!$AQ70,IF(H72="NEMEL",PR!$AR70,IF(H72="NHP",PR!$AS70,IF(H72="NHC",PR!$AT70,IF(H72="OLEAF",PR!$AU70,IF(H72="OCULUS",PR!$AV70,IF(H72="PACIFIC",PR!$AW70,IF(H72="PHAMATEX",PR!$AX70,IF(H72="PETHICS",PR!$AY70,IF(H72="PHILIPS",PR!$AZ70,IF(H72="RANBAXY",PR!$BA70,IF(H72="REALS",PR!$BB70,IF(H72="ROYAL",PR!$BC70,IF(H72="SAM",PR!$BD70,IF(H72="SEAGREEN",PR!$BE70,IF(H72="SKG",PR!$BF70,IF(H72="TAH",PR!$BG70,IF(H72="TAYLEK",PR!$BH70,IF(H72="TEMITA",PR!$BI70,IF(H72="THL",PR!$BJ70,IF(H72="UBASTIC",PR!$BK70,IF(H72="UNION",PR!$BL70,IF(H72="UNIQUE",PR!$BM70,IF(H72="VIXA",PR!$BN70,IF(H72="WWCV",PR!$BO70,IF(H72="ZOLON",PR!$BP70,"-"))))))))))))))))))))))))))))))))))))))))))))))))))))))))))))))))</f>
        <v>-</v>
      </c>
      <c r="H72" s="102">
        <f>EV!M72</f>
        <v>0</v>
      </c>
      <c r="I72" s="108" t="str">
        <f>IF(J72="ALPHA",PR!$E70,IF(J72="ASSENE",PR!$F70,IF(J72="BIOFEM",PR!$G70,IF(J72="BIOMED",PR!$H70,IF(J72="CHI",PR!$I70,IF(J72="CLARION",PR!$J70,IF(J72="CODIX",PR!$K70,IF(J72="COSMADE",PR!$L70,IF(J72="SANCON",PR!$M70,IF(J72="DEVON",PR!$N70,IF(J72="DORTEMAG",PR!$O70,IF(J72="DGF",PR!$P70,IF(J72="DYNAMIC",PR!$Q70,IF(J72="EMZOR",PR!$R70,IF(J72="EUMATT",PR!$S70,IF(J72="FIDSON",PR!$T70,IF(J72="FCGLOBAL",PR!$U70,IF(J72="GENEITH",PR!$V70,IF(J72="GINOS",PR!$W70,IF(J72="GSK",PR!$X70,IF(J72="GLOBORG",PR!$Y70,IF(J72="GOODNEWS",PR!$Z70,IF(J72="GREENLIFE",PR!$AA70,IF(J72="HLINE",PR!$AB70,IF(J72="ROTECH",PR!$AC70,IF(J72="ISN",PR!$AD70,IF(J72="JAWA",PR!$AE70,IF(J72="LAYO",PR!$AF70,IF(J72="LEADWAY",PR!$AG70,IF(J72="LHV",PR!$AH70,IF(J72="MANOLA",PR!$AI70,IF(J72="MARCSON",PR!$AJ70,IF(J72="M&amp;B",PR!$AK70,IF(J72="MTRUST",PR!$AL70,IF(J72="MWORLD",PR!$AM70,IF(J72="MEGA",PR!$AN70,IF(J72="MICRONOVA",PR!$AO70,IF(J72="MFLASH",PR!$AP70,IF(J72="MORISON",PR!$AQ70,IF(J72="NEMEL",PR!$AR70,IF(J72="NHP",PR!$AS70,IF(J72="NHC",PR!$AT70,IF(J72="OLEAF",PR!$AU70,IF(J72="OCULUS",PR!$AV70,IF(J72="PACIFIC",PR!$AW70,IF(J72="PHAMATEX",PR!$AX70,IF(J72="PETHICS",PR!$AY70,IF(J72="PHILIPS",PR!$AZ70,IF(J72="RANBAXY",PR!$BA70,IF(J72="REALS",PR!$BB70,IF(J72="ROYAL",PR!$BC70,IF(J72="SAM",PR!$BD70,IF(J72="SEAGREEN",PR!$BE70,IF(J72="SKG",PR!$BF70,IF(J72="TAH",PR!$BG70,IF(J72="TAYLEK",PR!$BH70,IF(J72="TEMITA",PR!$BI70,IF(J72="THL",PR!$BJ70,IF(J72="UBASTIC",PR!$BK70,IF(J72="UNION",PR!$BL70,IF(J72="UNIQUE",PR!$BM70,IF(J72="VIXA",PR!$BN70,IF(J72="WWCV",PR!$BO70,IF(J72="ZOLON",PR!$BP70,"-"))))))))))))))))))))))))))))))))))))))))))))))))))))))))))))))))</f>
        <v>-</v>
      </c>
      <c r="J72" s="102">
        <f>EV!N72</f>
        <v>0</v>
      </c>
      <c r="K72" s="433" t="s">
        <v>646</v>
      </c>
      <c r="L72" s="183">
        <f>IF(K72&gt;0,IF(K72="ALPHA",PR!$E70,IF(K72="ASSENE",PR!$F70,IF(K72="BIOFEM",PR!$G70,IF(K72="BIOMED",PR!$H70,IF(K72="CHI",PR!$I70,IF(K72="CLARION",PR!$J70,IF(K72="CODIX",PR!$K70,IF(K72="COSMADE",PR!$L70,IF(K72="SANCON",PR!$M70,IF(K72="DEVON",PR!$N70,IF(K72="DORTEMAG",PR!$O70,IF(K72="DGF",PR!$P70,IF(K72="DYNAMIC",PR!$Q70,IF(K72="EMZOR",PR!$R70,IF(K72="EUMATT",PR!$S70,IF(K72="FIDSON",PR!$T70,IF(K72="FCGLOBAL",PR!$U70,IF(K72="GENEITH",PR!$V70,IF(K72="GINOS",PR!$W70,IF(K72="GSK",PR!$X70,IF(K72="GLOBORG",PR!$Y70,IF(K72="GOODNEWS",PR!$Z70,IF(K72="GREENLIFE",PR!$AA70,IF(K72="HLINE",PR!$AB70,IF(K72="ROTECH",PR!$AC70,IF(K72="ISN",PR!$AD70,IF(K72="JAWA",PR!$AE70,IF(K72="LAYO",PR!$AF70,IF(K72="LEADWAY",PR!$AG70,IF(K72="LHV",PR!$AH70,IF(K72="MANOLA",PR!$AI70,IF(K72="MARCSON",PR!$AJ70,IF(K72="M&amp;B",PR!$AK70,IF(K72="MTRUST",PR!$AL70,IF(K72="MWORLD",PR!$AM70,IF(K72="MEGA",PR!$AN70,IF(K72="MICRONOVA",PR!$AO70,IF(K72="MFLASH",PR!$AP70,IF(K72="MORISON",PR!$AQ70,IF(K72="NEMEL",PR!$AR70,IF(K72="NHP",PR!$AS70,IF(K72="NHC",PR!$AT70,IF(K72="OLEAF",PR!$AU70,IF(K72="OCULUS",PR!$AV70,IF(K72="PACIFIC",PR!$AW70,IF(K72="PHAMATEX",PR!$AX70,IF(K72="PETHICS",PR!$AY70,IF(K72="PHILIPS",PR!$AZ70,IF(K72="RANBAXY",PR!$BA70,IF(K72="REALS",PR!$BB70,IF(K72="ROYAL",PR!$BC70,IF(K72="SAM",PR!$BD70,IF(K72="SEAGREEN",PR!$BE70,IF(K72="SKG",PR!$BF70,IF(K72="TAH",PR!$BG70,IF(K72="TAYLEK",PR!$BH70,IF(K72="TEMITA",PR!$BI70,IF(K72="THL",PR!$BJ70,IF(K72="UBASTIC",PR!$BK70,IF(K72="UNION",PR!$BL70,IF(K72="UNIQUE",PR!$BM70,IF(K72="VIXA",PR!$BN70,IF(K72="WWCV",PR!$BO70,IF(K72="ZOLON",PR!$BP70,"-")))))))))))))))))))))))))))))))))))))))))))))))))))))))))))))))))</f>
        <v>2873</v>
      </c>
    </row>
    <row r="73" spans="1:12" ht="18.75" x14ac:dyDescent="0.3">
      <c r="A73" s="430">
        <f>PR!A71</f>
        <v>55</v>
      </c>
      <c r="B73" s="15" t="str">
        <f>PR!B71</f>
        <v>CANDESARTAN 16MG TAB</v>
      </c>
      <c r="C73" s="113">
        <f>PR!D71</f>
        <v>28</v>
      </c>
      <c r="D73" s="113">
        <f>PR!C71</f>
        <v>65</v>
      </c>
      <c r="E73" s="108">
        <f>IF(F73="ALPHA",PR!$E71,IF(F73="ASSENE",PR!$F71,IF(F73="BIOFEM",PR!$G71,IF(F73="BIOMED",PR!$H71,IF(F73="CHI",PR!$I71,IF(F73="CLARION",PR!$J71,IF(F73="CODIX",PR!$K71,IF(F73="COSMADE",PR!$L71,IF(F73="SANCON",PR!$M71,IF(F73="DEVON",PR!$N71,IF(F73="DORTEMAG",PR!$O71,IF(F73="DGF",PR!$P71,IF(F73="DYNAMIC",PR!$Q71,IF(F73="EMZOR",PR!$R71,IF(F73="EUMATT",PR!$S71,IF(F73="FIDSON",PR!$T71,IF(F73="FCGLOBAL",PR!$U71,IF(F73="GENEITH",PR!$V71,IF(F73="GINOS",PR!$W71,IF(F73="GSK",PR!$X71,IF(F73="GLOBORG",PR!$Y71,IF(F73="GOODNEWS",PR!$Z71,IF(F73="GREENLIFE",PR!$AA71,IF(F73="HLINE",PR!$AB71,IF(F73="ROTECH",PR!$AC71,IF(F73="ISN",PR!$AD71,IF(F73="JAWA",PR!$AE71,IF(F73="LAYO",PR!$AF71,IF(F73="LEADWAY",PR!$AG71,IF(F73="LHV",PR!$AH71,IF(F73="MANOLA",PR!$AI71,IF(F73="MARCSON",PR!$AJ71,IF(F73="M&amp;B",PR!$AK71,IF(F73="MTRUST",PR!$AL71,IF(F73="MWORLD",PR!$AM71,IF(F73="MEGA",PR!$AN71,IF(F73="MICRONOVA",PR!$AO71,IF(F73="MFLASH",PR!$AP71,IF(F73="MORISON",PR!$AQ71,IF(F73="NEMEL",PR!$AR71,IF(F73="NHP",PR!$AS71,IF(F73="NHC",PR!$AT71,IF(F73="OLEAF",PR!$AU71,IF(F73="OCULUS",PR!$AV71,IF(F73="PACIFIC",PR!$AW71,IF(F73="PHAMATEX",PR!$AX71,IF(F73="PETHICS",PR!$AY71,IF(F73="PHILIPS",PR!$AZ71,IF(F73="RANBAXY",PR!$BA71,IF(F73="REALS",PR!$BB71,IF(F73="ROYAL",PR!$BC71,IF(F73="SAM",PR!$BD71,IF(F73="SEAGREEN",PR!$BE71,IF(F73="SKG",PR!$BF71,IF(F73="TAH",PR!$BG71,IF(F73="TAYLEK",PR!$BH71,IF(F73="TEMITA",PR!$BI71,IF(F73="THL",PR!$BJ71,IF(F73="UBASTIC",PR!$BK71,IF(F73="UNION",PR!$BL71,IF(F73="UNIQUE",PR!$BM71,IF(F73="VIXA",PR!$BN71,IF(F73="WWCV",PR!$BO71,IF(F73="ZOLON",PR!$BP71,"-"))))))))))))))))))))))))))))))))))))))))))))))))))))))))))))))))</f>
        <v>3863</v>
      </c>
      <c r="F73" s="102" t="str">
        <f>EV!L73</f>
        <v>TAYLEK</v>
      </c>
      <c r="G73" s="108" t="str">
        <f>IF(H73="ALPHA",PR!$E71,IF(H73="ASSENE",PR!$F71,IF(H73="BIOFEM",PR!$G71,IF(H73="BIOMED",PR!$H71,IF(H73="CHI",PR!$I71,IF(H73="CLARION",PR!$J71,IF(H73="CODIX",PR!$K71,IF(H73="COSMADE",PR!$L71,IF(H73="SANCON",PR!$M71,IF(H73="DEVON",PR!$N71,IF(H73="DORTEMAG",PR!$O71,IF(H73="DGF",PR!$P71,IF(H73="DYNAMIC",PR!$Q71,IF(H73="EMZOR",PR!$R71,IF(H73="EUMATT",PR!$S71,IF(H73="FIDSON",PR!$T71,IF(H73="FCGLOBAL",PR!$U71,IF(H73="GENEITH",PR!$V71,IF(H73="GINOS",PR!$W71,IF(H73="GSK",PR!$X71,IF(H73="GLOBORG",PR!$Y71,IF(H73="GOODNEWS",PR!$Z71,IF(H73="GREENLIFE",PR!$AA71,IF(H73="HLINE",PR!$AB71,IF(H73="ROTECH",PR!$AC71,IF(H73="ISN",PR!$AD71,IF(H73="JAWA",PR!$AE71,IF(H73="LAYO",PR!$AF71,IF(H73="LEADWAY",PR!$AG71,IF(H73="LHV",PR!$AH71,IF(H73="MANOLA",PR!$AI71,IF(H73="MARCSON",PR!$AJ71,IF(H73="M&amp;B",PR!$AK71,IF(H73="MTRUST",PR!$AL71,IF(H73="MWORLD",PR!$AM71,IF(H73="MEGA",PR!$AN71,IF(H73="MICRONOVA",PR!$AO71,IF(H73="MFLASH",PR!$AP71,IF(H73="MORISON",PR!$AQ71,IF(H73="NEMEL",PR!$AR71,IF(H73="NHP",PR!$AS71,IF(H73="NHC",PR!$AT71,IF(H73="OLEAF",PR!$AU71,IF(H73="OCULUS",PR!$AV71,IF(H73="PACIFIC",PR!$AW71,IF(H73="PHAMATEX",PR!$AX71,IF(H73="PETHICS",PR!$AY71,IF(H73="PHILIPS",PR!$AZ71,IF(H73="RANBAXY",PR!$BA71,IF(H73="REALS",PR!$BB71,IF(H73="ROYAL",PR!$BC71,IF(H73="SAM",PR!$BD71,IF(H73="SEAGREEN",PR!$BE71,IF(H73="SKG",PR!$BF71,IF(H73="TAH",PR!$BG71,IF(H73="TAYLEK",PR!$BH71,IF(H73="TEMITA",PR!$BI71,IF(H73="THL",PR!$BJ71,IF(H73="UBASTIC",PR!$BK71,IF(H73="UNION",PR!$BL71,IF(H73="UNIQUE",PR!$BM71,IF(H73="VIXA",PR!$BN71,IF(H73="WWCV",PR!$BO71,IF(H73="ZOLON",PR!$BP71,"-"))))))))))))))))))))))))))))))))))))))))))))))))))))))))))))))))</f>
        <v>-</v>
      </c>
      <c r="H73" s="102">
        <f>EV!M73</f>
        <v>0</v>
      </c>
      <c r="I73" s="108" t="str">
        <f>IF(J73="ALPHA",PR!$E71,IF(J73="ASSENE",PR!$F71,IF(J73="BIOFEM",PR!$G71,IF(J73="BIOMED",PR!$H71,IF(J73="CHI",PR!$I71,IF(J73="CLARION",PR!$J71,IF(J73="CODIX",PR!$K71,IF(J73="COSMADE",PR!$L71,IF(J73="SANCON",PR!$M71,IF(J73="DEVON",PR!$N71,IF(J73="DORTEMAG",PR!$O71,IF(J73="DGF",PR!$P71,IF(J73="DYNAMIC",PR!$Q71,IF(J73="EMZOR",PR!$R71,IF(J73="EUMATT",PR!$S71,IF(J73="FIDSON",PR!$T71,IF(J73="FCGLOBAL",PR!$U71,IF(J73="GENEITH",PR!$V71,IF(J73="GINOS",PR!$W71,IF(J73="GSK",PR!$X71,IF(J73="GLOBORG",PR!$Y71,IF(J73="GOODNEWS",PR!$Z71,IF(J73="GREENLIFE",PR!$AA71,IF(J73="HLINE",PR!$AB71,IF(J73="ROTECH",PR!$AC71,IF(J73="ISN",PR!$AD71,IF(J73="JAWA",PR!$AE71,IF(J73="LAYO",PR!$AF71,IF(J73="LEADWAY",PR!$AG71,IF(J73="LHV",PR!$AH71,IF(J73="MANOLA",PR!$AI71,IF(J73="MARCSON",PR!$AJ71,IF(J73="M&amp;B",PR!$AK71,IF(J73="MTRUST",PR!$AL71,IF(J73="MWORLD",PR!$AM71,IF(J73="MEGA",PR!$AN71,IF(J73="MICRONOVA",PR!$AO71,IF(J73="MFLASH",PR!$AP71,IF(J73="MORISON",PR!$AQ71,IF(J73="NEMEL",PR!$AR71,IF(J73="NHP",PR!$AS71,IF(J73="NHC",PR!$AT71,IF(J73="OLEAF",PR!$AU71,IF(J73="OCULUS",PR!$AV71,IF(J73="PACIFIC",PR!$AW71,IF(J73="PHAMATEX",PR!$AX71,IF(J73="PETHICS",PR!$AY71,IF(J73="PHILIPS",PR!$AZ71,IF(J73="RANBAXY",PR!$BA71,IF(J73="REALS",PR!$BB71,IF(J73="ROYAL",PR!$BC71,IF(J73="SAM",PR!$BD71,IF(J73="SEAGREEN",PR!$BE71,IF(J73="SKG",PR!$BF71,IF(J73="TAH",PR!$BG71,IF(J73="TAYLEK",PR!$BH71,IF(J73="TEMITA",PR!$BI71,IF(J73="THL",PR!$BJ71,IF(J73="UBASTIC",PR!$BK71,IF(J73="UNION",PR!$BL71,IF(J73="UNIQUE",PR!$BM71,IF(J73="VIXA",PR!$BN71,IF(J73="WWCV",PR!$BO71,IF(J73="ZOLON",PR!$BP71,"-"))))))))))))))))))))))))))))))))))))))))))))))))))))))))))))))))</f>
        <v>-</v>
      </c>
      <c r="J73" s="102">
        <f>EV!N73</f>
        <v>0</v>
      </c>
      <c r="K73" s="433" t="s">
        <v>646</v>
      </c>
      <c r="L73" s="183">
        <f>IF(K73&gt;0,IF(K73="ALPHA",PR!$E71,IF(K73="ASSENE",PR!$F71,IF(K73="BIOFEM",PR!$G71,IF(K73="BIOMED",PR!$H71,IF(K73="CHI",PR!$I71,IF(K73="CLARION",PR!$J71,IF(K73="CODIX",PR!$K71,IF(K73="COSMADE",PR!$L71,IF(K73="SANCON",PR!$M71,IF(K73="DEVON",PR!$N71,IF(K73="DORTEMAG",PR!$O71,IF(K73="DGF",PR!$P71,IF(K73="DYNAMIC",PR!$Q71,IF(K73="EMZOR",PR!$R71,IF(K73="EUMATT",PR!$S71,IF(K73="FIDSON",PR!$T71,IF(K73="FCGLOBAL",PR!$U71,IF(K73="GENEITH",PR!$V71,IF(K73="GINOS",PR!$W71,IF(K73="GSK",PR!$X71,IF(K73="GLOBORG",PR!$Y71,IF(K73="GOODNEWS",PR!$Z71,IF(K73="GREENLIFE",PR!$AA71,IF(K73="HLINE",PR!$AB71,IF(K73="ROTECH",PR!$AC71,IF(K73="ISN",PR!$AD71,IF(K73="JAWA",PR!$AE71,IF(K73="LAYO",PR!$AF71,IF(K73="LEADWAY",PR!$AG71,IF(K73="LHV",PR!$AH71,IF(K73="MANOLA",PR!$AI71,IF(K73="MARCSON",PR!$AJ71,IF(K73="M&amp;B",PR!$AK71,IF(K73="MTRUST",PR!$AL71,IF(K73="MWORLD",PR!$AM71,IF(K73="MEGA",PR!$AN71,IF(K73="MICRONOVA",PR!$AO71,IF(K73="MFLASH",PR!$AP71,IF(K73="MORISON",PR!$AQ71,IF(K73="NEMEL",PR!$AR71,IF(K73="NHP",PR!$AS71,IF(K73="NHC",PR!$AT71,IF(K73="OLEAF",PR!$AU71,IF(K73="OCULUS",PR!$AV71,IF(K73="PACIFIC",PR!$AW71,IF(K73="PHAMATEX",PR!$AX71,IF(K73="PETHICS",PR!$AY71,IF(K73="PHILIPS",PR!$AZ71,IF(K73="RANBAXY",PR!$BA71,IF(K73="REALS",PR!$BB71,IF(K73="ROYAL",PR!$BC71,IF(K73="SAM",PR!$BD71,IF(K73="SEAGREEN",PR!$BE71,IF(K73="SKG",PR!$BF71,IF(K73="TAH",PR!$BG71,IF(K73="TAYLEK",PR!$BH71,IF(K73="TEMITA",PR!$BI71,IF(K73="THL",PR!$BJ71,IF(K73="UBASTIC",PR!$BK71,IF(K73="UNION",PR!$BL71,IF(K73="UNIQUE",PR!$BM71,IF(K73="VIXA",PR!$BN71,IF(K73="WWCV",PR!$BO71,IF(K73="ZOLON",PR!$BP71,"-")))))))))))))))))))))))))))))))))))))))))))))))))))))))))))))))))</f>
        <v>3863</v>
      </c>
    </row>
    <row r="74" spans="1:12" ht="18.75" x14ac:dyDescent="0.3">
      <c r="A74" s="430">
        <f>PR!A72</f>
        <v>56</v>
      </c>
      <c r="B74" s="15" t="str">
        <f>PR!B72</f>
        <v xml:space="preserve">CARVEDILOL 6.25MG TAB </v>
      </c>
      <c r="C74" s="113">
        <f>PR!D72</f>
        <v>28</v>
      </c>
      <c r="D74" s="113">
        <f>PR!C72</f>
        <v>1000</v>
      </c>
      <c r="E74" s="108">
        <f>IF(F74="ALPHA",PR!$E72,IF(F74="ASSENE",PR!$F72,IF(F74="BIOFEM",PR!$G72,IF(F74="BIOMED",PR!$H72,IF(F74="CHI",PR!$I72,IF(F74="CLARION",PR!$J72,IF(F74="CODIX",PR!$K72,IF(F74="COSMADE",PR!$L72,IF(F74="SANCON",PR!$M72,IF(F74="DEVON",PR!$N72,IF(F74="DORTEMAG",PR!$O72,IF(F74="DGF",PR!$P72,IF(F74="DYNAMIC",PR!$Q72,IF(F74="EMZOR",PR!$R72,IF(F74="EUMATT",PR!$S72,IF(F74="FIDSON",PR!$T72,IF(F74="FCGLOBAL",PR!$U72,IF(F74="GENEITH",PR!$V72,IF(F74="GINOS",PR!$W72,IF(F74="GSK",PR!$X72,IF(F74="GLOBORG",PR!$Y72,IF(F74="GOODNEWS",PR!$Z72,IF(F74="GREENLIFE",PR!$AA72,IF(F74="HLINE",PR!$AB72,IF(F74="ROTECH",PR!$AC72,IF(F74="ISN",PR!$AD72,IF(F74="JAWA",PR!$AE72,IF(F74="LAYO",PR!$AF72,IF(F74="LEADWAY",PR!$AG72,IF(F74="LHV",PR!$AH72,IF(F74="MANOLA",PR!$AI72,IF(F74="MARCSON",PR!$AJ72,IF(F74="M&amp;B",PR!$AK72,IF(F74="MTRUST",PR!$AL72,IF(F74="MWORLD",PR!$AM72,IF(F74="MEGA",PR!$AN72,IF(F74="MICRONOVA",PR!$AO72,IF(F74="MFLASH",PR!$AP72,IF(F74="MORISON",PR!$AQ72,IF(F74="NEMEL",PR!$AR72,IF(F74="NHP",PR!$AS72,IF(F74="NHC",PR!$AT72,IF(F74="OLEAF",PR!$AU72,IF(F74="OCULUS",PR!$AV72,IF(F74="PACIFIC",PR!$AW72,IF(F74="PHAMATEX",PR!$AX72,IF(F74="PETHICS",PR!$AY72,IF(F74="PHILIPS",PR!$AZ72,IF(F74="RANBAXY",PR!$BA72,IF(F74="REALS",PR!$BB72,IF(F74="ROYAL",PR!$BC72,IF(F74="SAM",PR!$BD72,IF(F74="SEAGREEN",PR!$BE72,IF(F74="SKG",PR!$BF72,IF(F74="TAH",PR!$BG72,IF(F74="TAYLEK",PR!$BH72,IF(F74="TEMITA",PR!$BI72,IF(F74="THL",PR!$BJ72,IF(F74="UBASTIC",PR!$BK72,IF(F74="UNION",PR!$BL72,IF(F74="UNIQUE",PR!$BM72,IF(F74="VIXA",PR!$BN72,IF(F74="WWCV",PR!$BO72,IF(F74="ZOLON",PR!$BP72,"-"))))))))))))))))))))))))))))))))))))))))))))))))))))))))))))))))</f>
        <v>750</v>
      </c>
      <c r="F74" s="102" t="str">
        <f>EV!L74</f>
        <v>EUMATT</v>
      </c>
      <c r="G74" s="108" t="str">
        <f>IF(H74="ALPHA",PR!$E72,IF(H74="ASSENE",PR!$F72,IF(H74="BIOFEM",PR!$G72,IF(H74="BIOMED",PR!$H72,IF(H74="CHI",PR!$I72,IF(H74="CLARION",PR!$J72,IF(H74="CODIX",PR!$K72,IF(H74="COSMADE",PR!$L72,IF(H74="SANCON",PR!$M72,IF(H74="DEVON",PR!$N72,IF(H74="DORTEMAG",PR!$O72,IF(H74="DGF",PR!$P72,IF(H74="DYNAMIC",PR!$Q72,IF(H74="EMZOR",PR!$R72,IF(H74="EUMATT",PR!$S72,IF(H74="FIDSON",PR!$T72,IF(H74="FCGLOBAL",PR!$U72,IF(H74="GENEITH",PR!$V72,IF(H74="GINOS",PR!$W72,IF(H74="GSK",PR!$X72,IF(H74="GLOBORG",PR!$Y72,IF(H74="GOODNEWS",PR!$Z72,IF(H74="GREENLIFE",PR!$AA72,IF(H74="HLINE",PR!$AB72,IF(H74="ROTECH",PR!$AC72,IF(H74="ISN",PR!$AD72,IF(H74="JAWA",PR!$AE72,IF(H74="LAYO",PR!$AF72,IF(H74="LEADWAY",PR!$AG72,IF(H74="LHV",PR!$AH72,IF(H74="MANOLA",PR!$AI72,IF(H74="MARCSON",PR!$AJ72,IF(H74="M&amp;B",PR!$AK72,IF(H74="MTRUST",PR!$AL72,IF(H74="MWORLD",PR!$AM72,IF(H74="MEGA",PR!$AN72,IF(H74="MICRONOVA",PR!$AO72,IF(H74="MFLASH",PR!$AP72,IF(H74="MORISON",PR!$AQ72,IF(H74="NEMEL",PR!$AR72,IF(H74="NHP",PR!$AS72,IF(H74="NHC",PR!$AT72,IF(H74="OLEAF",PR!$AU72,IF(H74="OCULUS",PR!$AV72,IF(H74="PACIFIC",PR!$AW72,IF(H74="PHAMATEX",PR!$AX72,IF(H74="PETHICS",PR!$AY72,IF(H74="PHILIPS",PR!$AZ72,IF(H74="RANBAXY",PR!$BA72,IF(H74="REALS",PR!$BB72,IF(H74="ROYAL",PR!$BC72,IF(H74="SAM",PR!$BD72,IF(H74="SEAGREEN",PR!$BE72,IF(H74="SKG",PR!$BF72,IF(H74="TAH",PR!$BG72,IF(H74="TAYLEK",PR!$BH72,IF(H74="TEMITA",PR!$BI72,IF(H74="THL",PR!$BJ72,IF(H74="UBASTIC",PR!$BK72,IF(H74="UNION",PR!$BL72,IF(H74="UNIQUE",PR!$BM72,IF(H74="VIXA",PR!$BN72,IF(H74="WWCV",PR!$BO72,IF(H74="ZOLON",PR!$BP72,"-"))))))))))))))))))))))))))))))))))))))))))))))))))))))))))))))))</f>
        <v>-</v>
      </c>
      <c r="H74" s="102">
        <f>EV!M74</f>
        <v>0</v>
      </c>
      <c r="I74" s="108" t="str">
        <f>IF(J74="ALPHA",PR!$E72,IF(J74="ASSENE",PR!$F72,IF(J74="BIOFEM",PR!$G72,IF(J74="BIOMED",PR!$H72,IF(J74="CHI",PR!$I72,IF(J74="CLARION",PR!$J72,IF(J74="CODIX",PR!$K72,IF(J74="COSMADE",PR!$L72,IF(J74="SANCON",PR!$M72,IF(J74="DEVON",PR!$N72,IF(J74="DORTEMAG",PR!$O72,IF(J74="DGF",PR!$P72,IF(J74="DYNAMIC",PR!$Q72,IF(J74="EMZOR",PR!$R72,IF(J74="EUMATT",PR!$S72,IF(J74="FIDSON",PR!$T72,IF(J74="FCGLOBAL",PR!$U72,IF(J74="GENEITH",PR!$V72,IF(J74="GINOS",PR!$W72,IF(J74="GSK",PR!$X72,IF(J74="GLOBORG",PR!$Y72,IF(J74="GOODNEWS",PR!$Z72,IF(J74="GREENLIFE",PR!$AA72,IF(J74="HLINE",PR!$AB72,IF(J74="ROTECH",PR!$AC72,IF(J74="ISN",PR!$AD72,IF(J74="JAWA",PR!$AE72,IF(J74="LAYO",PR!$AF72,IF(J74="LEADWAY",PR!$AG72,IF(J74="LHV",PR!$AH72,IF(J74="MANOLA",PR!$AI72,IF(J74="MARCSON",PR!$AJ72,IF(J74="M&amp;B",PR!$AK72,IF(J74="MTRUST",PR!$AL72,IF(J74="MWORLD",PR!$AM72,IF(J74="MEGA",PR!$AN72,IF(J74="MICRONOVA",PR!$AO72,IF(J74="MFLASH",PR!$AP72,IF(J74="MORISON",PR!$AQ72,IF(J74="NEMEL",PR!$AR72,IF(J74="NHP",PR!$AS72,IF(J74="NHC",PR!$AT72,IF(J74="OLEAF",PR!$AU72,IF(J74="OCULUS",PR!$AV72,IF(J74="PACIFIC",PR!$AW72,IF(J74="PHAMATEX",PR!$AX72,IF(J74="PETHICS",PR!$AY72,IF(J74="PHILIPS",PR!$AZ72,IF(J74="RANBAXY",PR!$BA72,IF(J74="REALS",PR!$BB72,IF(J74="ROYAL",PR!$BC72,IF(J74="SAM",PR!$BD72,IF(J74="SEAGREEN",PR!$BE72,IF(J74="SKG",PR!$BF72,IF(J74="TAH",PR!$BG72,IF(J74="TAYLEK",PR!$BH72,IF(J74="TEMITA",PR!$BI72,IF(J74="THL",PR!$BJ72,IF(J74="UBASTIC",PR!$BK72,IF(J74="UNION",PR!$BL72,IF(J74="UNIQUE",PR!$BM72,IF(J74="VIXA",PR!$BN72,IF(J74="WWCV",PR!$BO72,IF(J74="ZOLON",PR!$BP72,"-"))))))))))))))))))))))))))))))))))))))))))))))))))))))))))))))))</f>
        <v>-</v>
      </c>
      <c r="J74" s="102">
        <f>EV!N74</f>
        <v>0</v>
      </c>
      <c r="K74" s="433" t="s">
        <v>821</v>
      </c>
      <c r="L74" s="183">
        <f>IF(K74&gt;0,IF(K74="ALPHA",PR!$E72,IF(K74="ASSENE",PR!$F72,IF(K74="BIOFEM",PR!$G72,IF(K74="BIOMED",PR!$H72,IF(K74="CHI",PR!$I72,IF(K74="CLARION",PR!$J72,IF(K74="CODIX",PR!$K72,IF(K74="COSMADE",PR!$L72,IF(K74="SANCON",PR!$M72,IF(K74="DEVON",PR!$N72,IF(K74="DORTEMAG",PR!$O72,IF(K74="DGF",PR!$P72,IF(K74="DYNAMIC",PR!$Q72,IF(K74="EMZOR",PR!$R72,IF(K74="EUMATT",PR!$S72,IF(K74="FIDSON",PR!$T72,IF(K74="FCGLOBAL",PR!$U72,IF(K74="GENEITH",PR!$V72,IF(K74="GINOS",PR!$W72,IF(K74="GSK",PR!$X72,IF(K74="GLOBORG",PR!$Y72,IF(K74="GOODNEWS",PR!$Z72,IF(K74="GREENLIFE",PR!$AA72,IF(K74="HLINE",PR!$AB72,IF(K74="ROTECH",PR!$AC72,IF(K74="ISN",PR!$AD72,IF(K74="JAWA",PR!$AE72,IF(K74="LAYO",PR!$AF72,IF(K74="LEADWAY",PR!$AG72,IF(K74="LHV",PR!$AH72,IF(K74="MANOLA",PR!$AI72,IF(K74="MARCSON",PR!$AJ72,IF(K74="M&amp;B",PR!$AK72,IF(K74="MTRUST",PR!$AL72,IF(K74="MWORLD",PR!$AM72,IF(K74="MEGA",PR!$AN72,IF(K74="MICRONOVA",PR!$AO72,IF(K74="MFLASH",PR!$AP72,IF(K74="MORISON",PR!$AQ72,IF(K74="NEMEL",PR!$AR72,IF(K74="NHP",PR!$AS72,IF(K74="NHC",PR!$AT72,IF(K74="OLEAF",PR!$AU72,IF(K74="OCULUS",PR!$AV72,IF(K74="PACIFIC",PR!$AW72,IF(K74="PHAMATEX",PR!$AX72,IF(K74="PETHICS",PR!$AY72,IF(K74="PHILIPS",PR!$AZ72,IF(K74="RANBAXY",PR!$BA72,IF(K74="REALS",PR!$BB72,IF(K74="ROYAL",PR!$BC72,IF(K74="SAM",PR!$BD72,IF(K74="SEAGREEN",PR!$BE72,IF(K74="SKG",PR!$BF72,IF(K74="TAH",PR!$BG72,IF(K74="TAYLEK",PR!$BH72,IF(K74="TEMITA",PR!$BI72,IF(K74="THL",PR!$BJ72,IF(K74="UBASTIC",PR!$BK72,IF(K74="UNION",PR!$BL72,IF(K74="UNIQUE",PR!$BM72,IF(K74="VIXA",PR!$BN72,IF(K74="WWCV",PR!$BO72,IF(K74="ZOLON",PR!$BP72,"-")))))))))))))))))))))))))))))))))))))))))))))))))))))))))))))))))</f>
        <v>750</v>
      </c>
    </row>
    <row r="75" spans="1:12" ht="18.75" x14ac:dyDescent="0.3">
      <c r="A75" s="430">
        <f>PR!A73</f>
        <v>57</v>
      </c>
      <c r="B75" s="15" t="str">
        <f>PR!B73</f>
        <v>CLOPIDOGREL 75MG TAB</v>
      </c>
      <c r="C75" s="113">
        <f>PR!D73</f>
        <v>30</v>
      </c>
      <c r="D75" s="113">
        <f>PR!C73</f>
        <v>8000</v>
      </c>
      <c r="E75" s="108">
        <f>IF(F75="ALPHA",PR!$E73,IF(F75="ASSENE",PR!$F73,IF(F75="BIOFEM",PR!$G73,IF(F75="BIOMED",PR!$H73,IF(F75="CHI",PR!$I73,IF(F75="CLARION",PR!$J73,IF(F75="CODIX",PR!$K73,IF(F75="COSMADE",PR!$L73,IF(F75="SANCON",PR!$M73,IF(F75="DEVON",PR!$N73,IF(F75="DORTEMAG",PR!$O73,IF(F75="DGF",PR!$P73,IF(F75="DYNAMIC",PR!$Q73,IF(F75="EMZOR",PR!$R73,IF(F75="EUMATT",PR!$S73,IF(F75="FIDSON",PR!$T73,IF(F75="FCGLOBAL",PR!$U73,IF(F75="GENEITH",PR!$V73,IF(F75="GINOS",PR!$W73,IF(F75="GSK",PR!$X73,IF(F75="GLOBORG",PR!$Y73,IF(F75="GOODNEWS",PR!$Z73,IF(F75="GREENLIFE",PR!$AA73,IF(F75="HLINE",PR!$AB73,IF(F75="ROTECH",PR!$AC73,IF(F75="ISN",PR!$AD73,IF(F75="JAWA",PR!$AE73,IF(F75="LAYO",PR!$AF73,IF(F75="LEADWAY",PR!$AG73,IF(F75="LHV",PR!$AH73,IF(F75="MANOLA",PR!$AI73,IF(F75="MARCSON",PR!$AJ73,IF(F75="M&amp;B",PR!$AK73,IF(F75="MTRUST",PR!$AL73,IF(F75="MWORLD",PR!$AM73,IF(F75="MEGA",PR!$AN73,IF(F75="MICRONOVA",PR!$AO73,IF(F75="MFLASH",PR!$AP73,IF(F75="MORISON",PR!$AQ73,IF(F75="NEMEL",PR!$AR73,IF(F75="NHP",PR!$AS73,IF(F75="NHC",PR!$AT73,IF(F75="OLEAF",PR!$AU73,IF(F75="OCULUS",PR!$AV73,IF(F75="PACIFIC",PR!$AW73,IF(F75="PHAMATEX",PR!$AX73,IF(F75="PETHICS",PR!$AY73,IF(F75="PHILIPS",PR!$AZ73,IF(F75="RANBAXY",PR!$BA73,IF(F75="REALS",PR!$BB73,IF(F75="ROYAL",PR!$BC73,IF(F75="SAM",PR!$BD73,IF(F75="SEAGREEN",PR!$BE73,IF(F75="SKG",PR!$BF73,IF(F75="TAH",PR!$BG73,IF(F75="TAYLEK",PR!$BH73,IF(F75="TEMITA",PR!$BI73,IF(F75="THL",PR!$BJ73,IF(F75="UBASTIC",PR!$BK73,IF(F75="UNION",PR!$BL73,IF(F75="UNIQUE",PR!$BM73,IF(F75="VIXA",PR!$BN73,IF(F75="WWCV",PR!$BO73,IF(F75="ZOLON",PR!$BP73,"-"))))))))))))))))))))))))))))))))))))))))))))))))))))))))))))))))</f>
        <v>690</v>
      </c>
      <c r="F75" s="102" t="str">
        <f>EV!L75</f>
        <v>PHILIPS</v>
      </c>
      <c r="G75" s="108">
        <f>IF(H75="ALPHA",PR!$E73,IF(H75="ASSENE",PR!$F73,IF(H75="BIOFEM",PR!$G73,IF(H75="BIOMED",PR!$H73,IF(H75="CHI",PR!$I73,IF(H75="CLARION",PR!$J73,IF(H75="CODIX",PR!$K73,IF(H75="COSMADE",PR!$L73,IF(H75="SANCON",PR!$M73,IF(H75="DEVON",PR!$N73,IF(H75="DORTEMAG",PR!$O73,IF(H75="DGF",PR!$P73,IF(H75="DYNAMIC",PR!$Q73,IF(H75="EMZOR",PR!$R73,IF(H75="EUMATT",PR!$S73,IF(H75="FIDSON",PR!$T73,IF(H75="FCGLOBAL",PR!$U73,IF(H75="GENEITH",PR!$V73,IF(H75="GINOS",PR!$W73,IF(H75="GSK",PR!$X73,IF(H75="GLOBORG",PR!$Y73,IF(H75="GOODNEWS",PR!$Z73,IF(H75="GREENLIFE",PR!$AA73,IF(H75="HLINE",PR!$AB73,IF(H75="ROTECH",PR!$AC73,IF(H75="ISN",PR!$AD73,IF(H75="JAWA",PR!$AE73,IF(H75="LAYO",PR!$AF73,IF(H75="LEADWAY",PR!$AG73,IF(H75="LHV",PR!$AH73,IF(H75="MANOLA",PR!$AI73,IF(H75="MARCSON",PR!$AJ73,IF(H75="M&amp;B",PR!$AK73,IF(H75="MTRUST",PR!$AL73,IF(H75="MWORLD",PR!$AM73,IF(H75="MEGA",PR!$AN73,IF(H75="MICRONOVA",PR!$AO73,IF(H75="MFLASH",PR!$AP73,IF(H75="MORISON",PR!$AQ73,IF(H75="NEMEL",PR!$AR73,IF(H75="NHP",PR!$AS73,IF(H75="NHC",PR!$AT73,IF(H75="OLEAF",PR!$AU73,IF(H75="OCULUS",PR!$AV73,IF(H75="PACIFIC",PR!$AW73,IF(H75="PHAMATEX",PR!$AX73,IF(H75="PETHICS",PR!$AY73,IF(H75="PHILIPS",PR!$AZ73,IF(H75="RANBAXY",PR!$BA73,IF(H75="REALS",PR!$BB73,IF(H75="ROYAL",PR!$BC73,IF(H75="SAM",PR!$BD73,IF(H75="SEAGREEN",PR!$BE73,IF(H75="SKG",PR!$BF73,IF(H75="TAH",PR!$BG73,IF(H75="TAYLEK",PR!$BH73,IF(H75="TEMITA",PR!$BI73,IF(H75="THL",PR!$BJ73,IF(H75="UBASTIC",PR!$BK73,IF(H75="UNION",PR!$BL73,IF(H75="UNIQUE",PR!$BM73,IF(H75="VIXA",PR!$BN73,IF(H75="WWCV",PR!$BO73,IF(H75="ZOLON",PR!$BP73,"-"))))))))))))))))))))))))))))))))))))))))))))))))))))))))))))))))</f>
        <v>700</v>
      </c>
      <c r="H75" s="102" t="str">
        <f>EV!M75</f>
        <v>ZOLON</v>
      </c>
      <c r="I75" s="108">
        <f>IF(J75="ALPHA",PR!$E73,IF(J75="ASSENE",PR!$F73,IF(J75="BIOFEM",PR!$G73,IF(J75="BIOMED",PR!$H73,IF(J75="CHI",PR!$I73,IF(J75="CLARION",PR!$J73,IF(J75="CODIX",PR!$K73,IF(J75="COSMADE",PR!$L73,IF(J75="SANCON",PR!$M73,IF(J75="DEVON",PR!$N73,IF(J75="DORTEMAG",PR!$O73,IF(J75="DGF",PR!$P73,IF(J75="DYNAMIC",PR!$Q73,IF(J75="EMZOR",PR!$R73,IF(J75="EUMATT",PR!$S73,IF(J75="FIDSON",PR!$T73,IF(J75="FCGLOBAL",PR!$U73,IF(J75="GENEITH",PR!$V73,IF(J75="GINOS",PR!$W73,IF(J75="GSK",PR!$X73,IF(J75="GLOBORG",PR!$Y73,IF(J75="GOODNEWS",PR!$Z73,IF(J75="GREENLIFE",PR!$AA73,IF(J75="HLINE",PR!$AB73,IF(J75="ROTECH",PR!$AC73,IF(J75="ISN",PR!$AD73,IF(J75="JAWA",PR!$AE73,IF(J75="LAYO",PR!$AF73,IF(J75="LEADWAY",PR!$AG73,IF(J75="LHV",PR!$AH73,IF(J75="MANOLA",PR!$AI73,IF(J75="MARCSON",PR!$AJ73,IF(J75="M&amp;B",PR!$AK73,IF(J75="MTRUST",PR!$AL73,IF(J75="MWORLD",PR!$AM73,IF(J75="MEGA",PR!$AN73,IF(J75="MICRONOVA",PR!$AO73,IF(J75="MFLASH",PR!$AP73,IF(J75="MORISON",PR!$AQ73,IF(J75="NEMEL",PR!$AR73,IF(J75="NHP",PR!$AS73,IF(J75="NHC",PR!$AT73,IF(J75="OLEAF",PR!$AU73,IF(J75="OCULUS",PR!$AV73,IF(J75="PACIFIC",PR!$AW73,IF(J75="PHAMATEX",PR!$AX73,IF(J75="PETHICS",PR!$AY73,IF(J75="PHILIPS",PR!$AZ73,IF(J75="RANBAXY",PR!$BA73,IF(J75="REALS",PR!$BB73,IF(J75="ROYAL",PR!$BC73,IF(J75="SAM",PR!$BD73,IF(J75="SEAGREEN",PR!$BE73,IF(J75="SKG",PR!$BF73,IF(J75="TAH",PR!$BG73,IF(J75="TAYLEK",PR!$BH73,IF(J75="TEMITA",PR!$BI73,IF(J75="THL",PR!$BJ73,IF(J75="UBASTIC",PR!$BK73,IF(J75="UNION",PR!$BL73,IF(J75="UNIQUE",PR!$BM73,IF(J75="VIXA",PR!$BN73,IF(J75="WWCV",PR!$BO73,IF(J75="ZOLON",PR!$BP73,"-"))))))))))))))))))))))))))))))))))))))))))))))))))))))))))))))))</f>
        <v>750</v>
      </c>
      <c r="J75" s="102" t="str">
        <f>EV!N75</f>
        <v>MEGA</v>
      </c>
      <c r="K75" s="433" t="s">
        <v>2093</v>
      </c>
      <c r="L75" s="183" t="str">
        <f>IF(K75&gt;0,IF(K75="ALPHA",PR!$E73,IF(K75="ASSENE",PR!$F73,IF(K75="BIOFEM",PR!$G73,IF(K75="BIOMED",PR!$H73,IF(K75="CHI",PR!$I73,IF(K75="CLARION",PR!$J73,IF(K75="CODIX",PR!$K73,IF(K75="COSMADE",PR!$L73,IF(K75="SANCON",PR!$M73,IF(K75="DEVON",PR!$N73,IF(K75="DORTEMAG",PR!$O73,IF(K75="DGF",PR!$P73,IF(K75="DYNAMIC",PR!$Q73,IF(K75="EMZOR",PR!$R73,IF(K75="EUMATT",PR!$S73,IF(K75="FIDSON",PR!$T73,IF(K75="FCGLOBAL",PR!$U73,IF(K75="GENEITH",PR!$V73,IF(K75="GINOS",PR!$W73,IF(K75="GSK",PR!$X73,IF(K75="GLOBORG",PR!$Y73,IF(K75="GOODNEWS",PR!$Z73,IF(K75="GREENLIFE",PR!$AA73,IF(K75="HLINE",PR!$AB73,IF(K75="ROTECH",PR!$AC73,IF(K75="ISN",PR!$AD73,IF(K75="JAWA",PR!$AE73,IF(K75="LAYO",PR!$AF73,IF(K75="LEADWAY",PR!$AG73,IF(K75="LHV",PR!$AH73,IF(K75="MANOLA",PR!$AI73,IF(K75="MARCSON",PR!$AJ73,IF(K75="M&amp;B",PR!$AK73,IF(K75="MTRUST",PR!$AL73,IF(K75="MWORLD",PR!$AM73,IF(K75="MEGA",PR!$AN73,IF(K75="MICRONOVA",PR!$AO73,IF(K75="MFLASH",PR!$AP73,IF(K75="MORISON",PR!$AQ73,IF(K75="NEMEL",PR!$AR73,IF(K75="NHP",PR!$AS73,IF(K75="NHC",PR!$AT73,IF(K75="OLEAF",PR!$AU73,IF(K75="OCULUS",PR!$AV73,IF(K75="PACIFIC",PR!$AW73,IF(K75="PHAMATEX",PR!$AX73,IF(K75="PETHICS",PR!$AY73,IF(K75="PHILIPS",PR!$AZ73,IF(K75="RANBAXY",PR!$BA73,IF(K75="REALS",PR!$BB73,IF(K75="ROYAL",PR!$BC73,IF(K75="SAM",PR!$BD73,IF(K75="SEAGREEN",PR!$BE73,IF(K75="SKG",PR!$BF73,IF(K75="TAH",PR!$BG73,IF(K75="TAYLEK",PR!$BH73,IF(K75="TEMITA",PR!$BI73,IF(K75="THL",PR!$BJ73,IF(K75="UBASTIC",PR!$BK73,IF(K75="UNION",PR!$BL73,IF(K75="UNIQUE",PR!$BM73,IF(K75="VIXA",PR!$BN73,IF(K75="WWCV",PR!$BO73,IF(K75="ZOLON",PR!$BP73,"-")))))))))))))))))))))))))))))))))))))))))))))))))))))))))))))))))</f>
        <v>-</v>
      </c>
    </row>
    <row r="76" spans="1:12" ht="18.75" x14ac:dyDescent="0.3">
      <c r="A76" s="430">
        <f>PR!A74</f>
        <v>58</v>
      </c>
      <c r="B76" s="15" t="str">
        <f>PR!B74</f>
        <v>DIGOXIN 0.25MG TAB</v>
      </c>
      <c r="C76" s="113">
        <f>PR!D74</f>
        <v>500</v>
      </c>
      <c r="D76" s="113">
        <f>PR!C74</f>
        <v>8</v>
      </c>
      <c r="E76" s="108">
        <f>IF(F76="ALPHA",PR!$E74,IF(F76="ASSENE",PR!$F74,IF(F76="BIOFEM",PR!$G74,IF(F76="BIOMED",PR!$H74,IF(F76="CHI",PR!$I74,IF(F76="CLARION",PR!$J74,IF(F76="CODIX",PR!$K74,IF(F76="COSMADE",PR!$L74,IF(F76="SANCON",PR!$M74,IF(F76="DEVON",PR!$N74,IF(F76="DORTEMAG",PR!$O74,IF(F76="DGF",PR!$P74,IF(F76="DYNAMIC",PR!$Q74,IF(F76="EMZOR",PR!$R74,IF(F76="EUMATT",PR!$S74,IF(F76="FIDSON",PR!$T74,IF(F76="FCGLOBAL",PR!$U74,IF(F76="GENEITH",PR!$V74,IF(F76="GINOS",PR!$W74,IF(F76="GSK",PR!$X74,IF(F76="GLOBORG",PR!$Y74,IF(F76="GOODNEWS",PR!$Z74,IF(F76="GREENLIFE",PR!$AA74,IF(F76="HLINE",PR!$AB74,IF(F76="ROTECH",PR!$AC74,IF(F76="ISN",PR!$AD74,IF(F76="JAWA",PR!$AE74,IF(F76="LAYO",PR!$AF74,IF(F76="LEADWAY",PR!$AG74,IF(F76="LHV",PR!$AH74,IF(F76="MANOLA",PR!$AI74,IF(F76="MARCSON",PR!$AJ74,IF(F76="M&amp;B",PR!$AK74,IF(F76="MTRUST",PR!$AL74,IF(F76="MWORLD",PR!$AM74,IF(F76="MEGA",PR!$AN74,IF(F76="MICRONOVA",PR!$AO74,IF(F76="MFLASH",PR!$AP74,IF(F76="MORISON",PR!$AQ74,IF(F76="NEMEL",PR!$AR74,IF(F76="NHP",PR!$AS74,IF(F76="NHC",PR!$AT74,IF(F76="OLEAF",PR!$AU74,IF(F76="OCULUS",PR!$AV74,IF(F76="PACIFIC",PR!$AW74,IF(F76="PHAMATEX",PR!$AX74,IF(F76="PETHICS",PR!$AY74,IF(F76="PHILIPS",PR!$AZ74,IF(F76="RANBAXY",PR!$BA74,IF(F76="REALS",PR!$BB74,IF(F76="ROYAL",PR!$BC74,IF(F76="SAM",PR!$BD74,IF(F76="SEAGREEN",PR!$BE74,IF(F76="SKG",PR!$BF74,IF(F76="TAH",PR!$BG74,IF(F76="TAYLEK",PR!$BH74,IF(F76="TEMITA",PR!$BI74,IF(F76="THL",PR!$BJ74,IF(F76="UBASTIC",PR!$BK74,IF(F76="UNION",PR!$BL74,IF(F76="UNIQUE",PR!$BM74,IF(F76="VIXA",PR!$BN74,IF(F76="WWCV",PR!$BO74,IF(F76="ZOLON",PR!$BP74,"-"))))))))))))))))))))))))))))))))))))))))))))))))))))))))))))))))</f>
        <v>3800</v>
      </c>
      <c r="F76" s="102" t="str">
        <f>EV!L76</f>
        <v>EUMATT</v>
      </c>
      <c r="G76" s="108" t="str">
        <f>IF(H76="ALPHA",PR!$E74,IF(H76="ASSENE",PR!$F74,IF(H76="BIOFEM",PR!$G74,IF(H76="BIOMED",PR!$H74,IF(H76="CHI",PR!$I74,IF(H76="CLARION",PR!$J74,IF(H76="CODIX",PR!$K74,IF(H76="COSMADE",PR!$L74,IF(H76="SANCON",PR!$M74,IF(H76="DEVON",PR!$N74,IF(H76="DORTEMAG",PR!$O74,IF(H76="DGF",PR!$P74,IF(H76="DYNAMIC",PR!$Q74,IF(H76="EMZOR",PR!$R74,IF(H76="EUMATT",PR!$S74,IF(H76="FIDSON",PR!$T74,IF(H76="FCGLOBAL",PR!$U74,IF(H76="GENEITH",PR!$V74,IF(H76="GINOS",PR!$W74,IF(H76="GSK",PR!$X74,IF(H76="GLOBORG",PR!$Y74,IF(H76="GOODNEWS",PR!$Z74,IF(H76="GREENLIFE",PR!$AA74,IF(H76="HLINE",PR!$AB74,IF(H76="ROTECH",PR!$AC74,IF(H76="ISN",PR!$AD74,IF(H76="JAWA",PR!$AE74,IF(H76="LAYO",PR!$AF74,IF(H76="LEADWAY",PR!$AG74,IF(H76="LHV",PR!$AH74,IF(H76="MANOLA",PR!$AI74,IF(H76="MARCSON",PR!$AJ74,IF(H76="M&amp;B",PR!$AK74,IF(H76="MTRUST",PR!$AL74,IF(H76="MWORLD",PR!$AM74,IF(H76="MEGA",PR!$AN74,IF(H76="MICRONOVA",PR!$AO74,IF(H76="MFLASH",PR!$AP74,IF(H76="MORISON",PR!$AQ74,IF(H76="NEMEL",PR!$AR74,IF(H76="NHP",PR!$AS74,IF(H76="NHC",PR!$AT74,IF(H76="OLEAF",PR!$AU74,IF(H76="OCULUS",PR!$AV74,IF(H76="PACIFIC",PR!$AW74,IF(H76="PHAMATEX",PR!$AX74,IF(H76="PETHICS",PR!$AY74,IF(H76="PHILIPS",PR!$AZ74,IF(H76="RANBAXY",PR!$BA74,IF(H76="REALS",PR!$BB74,IF(H76="ROYAL",PR!$BC74,IF(H76="SAM",PR!$BD74,IF(H76="SEAGREEN",PR!$BE74,IF(H76="SKG",PR!$BF74,IF(H76="TAH",PR!$BG74,IF(H76="TAYLEK",PR!$BH74,IF(H76="TEMITA",PR!$BI74,IF(H76="THL",PR!$BJ74,IF(H76="UBASTIC",PR!$BK74,IF(H76="UNION",PR!$BL74,IF(H76="UNIQUE",PR!$BM74,IF(H76="VIXA",PR!$BN74,IF(H76="WWCV",PR!$BO74,IF(H76="ZOLON",PR!$BP74,"-"))))))))))))))))))))))))))))))))))))))))))))))))))))))))))))))))</f>
        <v>-</v>
      </c>
      <c r="H76" s="102">
        <f>EV!M76</f>
        <v>0</v>
      </c>
      <c r="I76" s="108" t="str">
        <f>IF(J76="ALPHA",PR!$E74,IF(J76="ASSENE",PR!$F74,IF(J76="BIOFEM",PR!$G74,IF(J76="BIOMED",PR!$H74,IF(J76="CHI",PR!$I74,IF(J76="CLARION",PR!$J74,IF(J76="CODIX",PR!$K74,IF(J76="COSMADE",PR!$L74,IF(J76="SANCON",PR!$M74,IF(J76="DEVON",PR!$N74,IF(J76="DORTEMAG",PR!$O74,IF(J76="DGF",PR!$P74,IF(J76="DYNAMIC",PR!$Q74,IF(J76="EMZOR",PR!$R74,IF(J76="EUMATT",PR!$S74,IF(J76="FIDSON",PR!$T74,IF(J76="FCGLOBAL",PR!$U74,IF(J76="GENEITH",PR!$V74,IF(J76="GINOS",PR!$W74,IF(J76="GSK",PR!$X74,IF(J76="GLOBORG",PR!$Y74,IF(J76="GOODNEWS",PR!$Z74,IF(J76="GREENLIFE",PR!$AA74,IF(J76="HLINE",PR!$AB74,IF(J76="ROTECH",PR!$AC74,IF(J76="ISN",PR!$AD74,IF(J76="JAWA",PR!$AE74,IF(J76="LAYO",PR!$AF74,IF(J76="LEADWAY",PR!$AG74,IF(J76="LHV",PR!$AH74,IF(J76="MANOLA",PR!$AI74,IF(J76="MARCSON",PR!$AJ74,IF(J76="M&amp;B",PR!$AK74,IF(J76="MTRUST",PR!$AL74,IF(J76="MWORLD",PR!$AM74,IF(J76="MEGA",PR!$AN74,IF(J76="MICRONOVA",PR!$AO74,IF(J76="MFLASH",PR!$AP74,IF(J76="MORISON",PR!$AQ74,IF(J76="NEMEL",PR!$AR74,IF(J76="NHP",PR!$AS74,IF(J76="NHC",PR!$AT74,IF(J76="OLEAF",PR!$AU74,IF(J76="OCULUS",PR!$AV74,IF(J76="PACIFIC",PR!$AW74,IF(J76="PHAMATEX",PR!$AX74,IF(J76="PETHICS",PR!$AY74,IF(J76="PHILIPS",PR!$AZ74,IF(J76="RANBAXY",PR!$BA74,IF(J76="REALS",PR!$BB74,IF(J76="ROYAL",PR!$BC74,IF(J76="SAM",PR!$BD74,IF(J76="SEAGREEN",PR!$BE74,IF(J76="SKG",PR!$BF74,IF(J76="TAH",PR!$BG74,IF(J76="TAYLEK",PR!$BH74,IF(J76="TEMITA",PR!$BI74,IF(J76="THL",PR!$BJ74,IF(J76="UBASTIC",PR!$BK74,IF(J76="UNION",PR!$BL74,IF(J76="UNIQUE",PR!$BM74,IF(J76="VIXA",PR!$BN74,IF(J76="WWCV",PR!$BO74,IF(J76="ZOLON",PR!$BP74,"-"))))))))))))))))))))))))))))))))))))))))))))))))))))))))))))))))</f>
        <v>-</v>
      </c>
      <c r="J76" s="102">
        <f>EV!N76</f>
        <v>0</v>
      </c>
      <c r="K76" s="433" t="s">
        <v>821</v>
      </c>
      <c r="L76" s="183">
        <f>IF(K76&gt;0,IF(K76="ALPHA",PR!$E74,IF(K76="ASSENE",PR!$F74,IF(K76="BIOFEM",PR!$G74,IF(K76="BIOMED",PR!$H74,IF(K76="CHI",PR!$I74,IF(K76="CLARION",PR!$J74,IF(K76="CODIX",PR!$K74,IF(K76="COSMADE",PR!$L74,IF(K76="SANCON",PR!$M74,IF(K76="DEVON",PR!$N74,IF(K76="DORTEMAG",PR!$O74,IF(K76="DGF",PR!$P74,IF(K76="DYNAMIC",PR!$Q74,IF(K76="EMZOR",PR!$R74,IF(K76="EUMATT",PR!$S74,IF(K76="FIDSON",PR!$T74,IF(K76="FCGLOBAL",PR!$U74,IF(K76="GENEITH",PR!$V74,IF(K76="GINOS",PR!$W74,IF(K76="GSK",PR!$X74,IF(K76="GLOBORG",PR!$Y74,IF(K76="GOODNEWS",PR!$Z74,IF(K76="GREENLIFE",PR!$AA74,IF(K76="HLINE",PR!$AB74,IF(K76="ROTECH",PR!$AC74,IF(K76="ISN",PR!$AD74,IF(K76="JAWA",PR!$AE74,IF(K76="LAYO",PR!$AF74,IF(K76="LEADWAY",PR!$AG74,IF(K76="LHV",PR!$AH74,IF(K76="MANOLA",PR!$AI74,IF(K76="MARCSON",PR!$AJ74,IF(K76="M&amp;B",PR!$AK74,IF(K76="MTRUST",PR!$AL74,IF(K76="MWORLD",PR!$AM74,IF(K76="MEGA",PR!$AN74,IF(K76="MICRONOVA",PR!$AO74,IF(K76="MFLASH",PR!$AP74,IF(K76="MORISON",PR!$AQ74,IF(K76="NEMEL",PR!$AR74,IF(K76="NHP",PR!$AS74,IF(K76="NHC",PR!$AT74,IF(K76="OLEAF",PR!$AU74,IF(K76="OCULUS",PR!$AV74,IF(K76="PACIFIC",PR!$AW74,IF(K76="PHAMATEX",PR!$AX74,IF(K76="PETHICS",PR!$AY74,IF(K76="PHILIPS",PR!$AZ74,IF(K76="RANBAXY",PR!$BA74,IF(K76="REALS",PR!$BB74,IF(K76="ROYAL",PR!$BC74,IF(K76="SAM",PR!$BD74,IF(K76="SEAGREEN",PR!$BE74,IF(K76="SKG",PR!$BF74,IF(K76="TAH",PR!$BG74,IF(K76="TAYLEK",PR!$BH74,IF(K76="TEMITA",PR!$BI74,IF(K76="THL",PR!$BJ74,IF(K76="UBASTIC",PR!$BK74,IF(K76="UNION",PR!$BL74,IF(K76="UNIQUE",PR!$BM74,IF(K76="VIXA",PR!$BN74,IF(K76="WWCV",PR!$BO74,IF(K76="ZOLON",PR!$BP74,"-")))))))))))))))))))))))))))))))))))))))))))))))))))))))))))))))))</f>
        <v>3800</v>
      </c>
    </row>
    <row r="77" spans="1:12" ht="18.75" x14ac:dyDescent="0.3">
      <c r="A77" s="430">
        <f>PR!A75</f>
        <v>59</v>
      </c>
      <c r="B77" s="15" t="str">
        <f>PR!B75</f>
        <v>DIGOXIN INJ</v>
      </c>
      <c r="C77" s="113">
        <f>PR!D75</f>
        <v>10</v>
      </c>
      <c r="D77" s="113">
        <f>PR!C75</f>
        <v>10</v>
      </c>
      <c r="E77" s="108">
        <f>IF(F77="ALPHA",PR!$E75,IF(F77="ASSENE",PR!$F75,IF(F77="BIOFEM",PR!$G75,IF(F77="BIOMED",PR!$H75,IF(F77="CHI",PR!$I75,IF(F77="CLARION",PR!$J75,IF(F77="CODIX",PR!$K75,IF(F77="COSMADE",PR!$L75,IF(F77="SANCON",PR!$M75,IF(F77="DEVON",PR!$N75,IF(F77="DORTEMAG",PR!$O75,IF(F77="DGF",PR!$P75,IF(F77="DYNAMIC",PR!$Q75,IF(F77="EMZOR",PR!$R75,IF(F77="EUMATT",PR!$S75,IF(F77="FIDSON",PR!$T75,IF(F77="FCGLOBAL",PR!$U75,IF(F77="GENEITH",PR!$V75,IF(F77="GINOS",PR!$W75,IF(F77="GSK",PR!$X75,IF(F77="GLOBORG",PR!$Y75,IF(F77="GOODNEWS",PR!$Z75,IF(F77="GREENLIFE",PR!$AA75,IF(F77="HLINE",PR!$AB75,IF(F77="ROTECH",PR!$AC75,IF(F77="ISN",PR!$AD75,IF(F77="JAWA",PR!$AE75,IF(F77="LAYO",PR!$AF75,IF(F77="LEADWAY",PR!$AG75,IF(F77="LHV",PR!$AH75,IF(F77="MANOLA",PR!$AI75,IF(F77="MARCSON",PR!$AJ75,IF(F77="M&amp;B",PR!$AK75,IF(F77="MTRUST",PR!$AL75,IF(F77="MWORLD",PR!$AM75,IF(F77="MEGA",PR!$AN75,IF(F77="MICRONOVA",PR!$AO75,IF(F77="MFLASH",PR!$AP75,IF(F77="MORISON",PR!$AQ75,IF(F77="NEMEL",PR!$AR75,IF(F77="NHP",PR!$AS75,IF(F77="NHC",PR!$AT75,IF(F77="OLEAF",PR!$AU75,IF(F77="OCULUS",PR!$AV75,IF(F77="PACIFIC",PR!$AW75,IF(F77="PHAMATEX",PR!$AX75,IF(F77="PETHICS",PR!$AY75,IF(F77="PHILIPS",PR!$AZ75,IF(F77="RANBAXY",PR!$BA75,IF(F77="REALS",PR!$BB75,IF(F77="ROYAL",PR!$BC75,IF(F77="SAM",PR!$BD75,IF(F77="SEAGREEN",PR!$BE75,IF(F77="SKG",PR!$BF75,IF(F77="TAH",PR!$BG75,IF(F77="TAYLEK",PR!$BH75,IF(F77="TEMITA",PR!$BI75,IF(F77="THL",PR!$BJ75,IF(F77="UBASTIC",PR!$BK75,IF(F77="UNION",PR!$BL75,IF(F77="UNIQUE",PR!$BM75,IF(F77="VIXA",PR!$BN75,IF(F77="WWCV",PR!$BO75,IF(F77="ZOLON",PR!$BP75,"-"))))))))))))))))))))))))))))))))))))))))))))))))))))))))))))))))</f>
        <v>1800</v>
      </c>
      <c r="F77" s="102" t="str">
        <f>EV!L77</f>
        <v>EUMATT</v>
      </c>
      <c r="G77" s="108" t="str">
        <f>IF(H77="ALPHA",PR!$E75,IF(H77="ASSENE",PR!$F75,IF(H77="BIOFEM",PR!$G75,IF(H77="BIOMED",PR!$H75,IF(H77="CHI",PR!$I75,IF(H77="CLARION",PR!$J75,IF(H77="CODIX",PR!$K75,IF(H77="COSMADE",PR!$L75,IF(H77="SANCON",PR!$M75,IF(H77="DEVON",PR!$N75,IF(H77="DORTEMAG",PR!$O75,IF(H77="DGF",PR!$P75,IF(H77="DYNAMIC",PR!$Q75,IF(H77="EMZOR",PR!$R75,IF(H77="EUMATT",PR!$S75,IF(H77="FIDSON",PR!$T75,IF(H77="FCGLOBAL",PR!$U75,IF(H77="GENEITH",PR!$V75,IF(H77="GINOS",PR!$W75,IF(H77="GSK",PR!$X75,IF(H77="GLOBORG",PR!$Y75,IF(H77="GOODNEWS",PR!$Z75,IF(H77="GREENLIFE",PR!$AA75,IF(H77="HLINE",PR!$AB75,IF(H77="ROTECH",PR!$AC75,IF(H77="ISN",PR!$AD75,IF(H77="JAWA",PR!$AE75,IF(H77="LAYO",PR!$AF75,IF(H77="LEADWAY",PR!$AG75,IF(H77="LHV",PR!$AH75,IF(H77="MANOLA",PR!$AI75,IF(H77="MARCSON",PR!$AJ75,IF(H77="M&amp;B",PR!$AK75,IF(H77="MTRUST",PR!$AL75,IF(H77="MWORLD",PR!$AM75,IF(H77="MEGA",PR!$AN75,IF(H77="MICRONOVA",PR!$AO75,IF(H77="MFLASH",PR!$AP75,IF(H77="MORISON",PR!$AQ75,IF(H77="NEMEL",PR!$AR75,IF(H77="NHP",PR!$AS75,IF(H77="NHC",PR!$AT75,IF(H77="OLEAF",PR!$AU75,IF(H77="OCULUS",PR!$AV75,IF(H77="PACIFIC",PR!$AW75,IF(H77="PHAMATEX",PR!$AX75,IF(H77="PETHICS",PR!$AY75,IF(H77="PHILIPS",PR!$AZ75,IF(H77="RANBAXY",PR!$BA75,IF(H77="REALS",PR!$BB75,IF(H77="ROYAL",PR!$BC75,IF(H77="SAM",PR!$BD75,IF(H77="SEAGREEN",PR!$BE75,IF(H77="SKG",PR!$BF75,IF(H77="TAH",PR!$BG75,IF(H77="TAYLEK",PR!$BH75,IF(H77="TEMITA",PR!$BI75,IF(H77="THL",PR!$BJ75,IF(H77="UBASTIC",PR!$BK75,IF(H77="UNION",PR!$BL75,IF(H77="UNIQUE",PR!$BM75,IF(H77="VIXA",PR!$BN75,IF(H77="WWCV",PR!$BO75,IF(H77="ZOLON",PR!$BP75,"-"))))))))))))))))))))))))))))))))))))))))))))))))))))))))))))))))</f>
        <v>-</v>
      </c>
      <c r="H77" s="102">
        <f>EV!M77</f>
        <v>0</v>
      </c>
      <c r="I77" s="108" t="str">
        <f>IF(J77="ALPHA",PR!$E75,IF(J77="ASSENE",PR!$F75,IF(J77="BIOFEM",PR!$G75,IF(J77="BIOMED",PR!$H75,IF(J77="CHI",PR!$I75,IF(J77="CLARION",PR!$J75,IF(J77="CODIX",PR!$K75,IF(J77="COSMADE",PR!$L75,IF(J77="SANCON",PR!$M75,IF(J77="DEVON",PR!$N75,IF(J77="DORTEMAG",PR!$O75,IF(J77="DGF",PR!$P75,IF(J77="DYNAMIC",PR!$Q75,IF(J77="EMZOR",PR!$R75,IF(J77="EUMATT",PR!$S75,IF(J77="FIDSON",PR!$T75,IF(J77="FCGLOBAL",PR!$U75,IF(J77="GENEITH",PR!$V75,IF(J77="GINOS",PR!$W75,IF(J77="GSK",PR!$X75,IF(J77="GLOBORG",PR!$Y75,IF(J77="GOODNEWS",PR!$Z75,IF(J77="GREENLIFE",PR!$AA75,IF(J77="HLINE",PR!$AB75,IF(J77="ROTECH",PR!$AC75,IF(J77="ISN",PR!$AD75,IF(J77="JAWA",PR!$AE75,IF(J77="LAYO",PR!$AF75,IF(J77="LEADWAY",PR!$AG75,IF(J77="LHV",PR!$AH75,IF(J77="MANOLA",PR!$AI75,IF(J77="MARCSON",PR!$AJ75,IF(J77="M&amp;B",PR!$AK75,IF(J77="MTRUST",PR!$AL75,IF(J77="MWORLD",PR!$AM75,IF(J77="MEGA",PR!$AN75,IF(J77="MICRONOVA",PR!$AO75,IF(J77="MFLASH",PR!$AP75,IF(J77="MORISON",PR!$AQ75,IF(J77="NEMEL",PR!$AR75,IF(J77="NHP",PR!$AS75,IF(J77="NHC",PR!$AT75,IF(J77="OLEAF",PR!$AU75,IF(J77="OCULUS",PR!$AV75,IF(J77="PACIFIC",PR!$AW75,IF(J77="PHAMATEX",PR!$AX75,IF(J77="PETHICS",PR!$AY75,IF(J77="PHILIPS",PR!$AZ75,IF(J77="RANBAXY",PR!$BA75,IF(J77="REALS",PR!$BB75,IF(J77="ROYAL",PR!$BC75,IF(J77="SAM",PR!$BD75,IF(J77="SEAGREEN",PR!$BE75,IF(J77="SKG",PR!$BF75,IF(J77="TAH",PR!$BG75,IF(J77="TAYLEK",PR!$BH75,IF(J77="TEMITA",PR!$BI75,IF(J77="THL",PR!$BJ75,IF(J77="UBASTIC",PR!$BK75,IF(J77="UNION",PR!$BL75,IF(J77="UNIQUE",PR!$BM75,IF(J77="VIXA",PR!$BN75,IF(J77="WWCV",PR!$BO75,IF(J77="ZOLON",PR!$BP75,"-"))))))))))))))))))))))))))))))))))))))))))))))))))))))))))))))))</f>
        <v>-</v>
      </c>
      <c r="J77" s="102">
        <f>EV!N77</f>
        <v>0</v>
      </c>
      <c r="K77" s="433" t="s">
        <v>821</v>
      </c>
      <c r="L77" s="183">
        <f>IF(K77&gt;0,IF(K77="ALPHA",PR!$E75,IF(K77="ASSENE",PR!$F75,IF(K77="BIOFEM",PR!$G75,IF(K77="BIOMED",PR!$H75,IF(K77="CHI",PR!$I75,IF(K77="CLARION",PR!$J75,IF(K77="CODIX",PR!$K75,IF(K77="COSMADE",PR!$L75,IF(K77="SANCON",PR!$M75,IF(K77="DEVON",PR!$N75,IF(K77="DORTEMAG",PR!$O75,IF(K77="DGF",PR!$P75,IF(K77="DYNAMIC",PR!$Q75,IF(K77="EMZOR",PR!$R75,IF(K77="EUMATT",PR!$S75,IF(K77="FIDSON",PR!$T75,IF(K77="FCGLOBAL",PR!$U75,IF(K77="GENEITH",PR!$V75,IF(K77="GINOS",PR!$W75,IF(K77="GSK",PR!$X75,IF(K77="GLOBORG",PR!$Y75,IF(K77="GOODNEWS",PR!$Z75,IF(K77="GREENLIFE",PR!$AA75,IF(K77="HLINE",PR!$AB75,IF(K77="ROTECH",PR!$AC75,IF(K77="ISN",PR!$AD75,IF(K77="JAWA",PR!$AE75,IF(K77="LAYO",PR!$AF75,IF(K77="LEADWAY",PR!$AG75,IF(K77="LHV",PR!$AH75,IF(K77="MANOLA",PR!$AI75,IF(K77="MARCSON",PR!$AJ75,IF(K77="M&amp;B",PR!$AK75,IF(K77="MTRUST",PR!$AL75,IF(K77="MWORLD",PR!$AM75,IF(K77="MEGA",PR!$AN75,IF(K77="MICRONOVA",PR!$AO75,IF(K77="MFLASH",PR!$AP75,IF(K77="MORISON",PR!$AQ75,IF(K77="NEMEL",PR!$AR75,IF(K77="NHP",PR!$AS75,IF(K77="NHC",PR!$AT75,IF(K77="OLEAF",PR!$AU75,IF(K77="OCULUS",PR!$AV75,IF(K77="PACIFIC",PR!$AW75,IF(K77="PHAMATEX",PR!$AX75,IF(K77="PETHICS",PR!$AY75,IF(K77="PHILIPS",PR!$AZ75,IF(K77="RANBAXY",PR!$BA75,IF(K77="REALS",PR!$BB75,IF(K77="ROYAL",PR!$BC75,IF(K77="SAM",PR!$BD75,IF(K77="SEAGREEN",PR!$BE75,IF(K77="SKG",PR!$BF75,IF(K77="TAH",PR!$BG75,IF(K77="TAYLEK",PR!$BH75,IF(K77="TEMITA",PR!$BI75,IF(K77="THL",PR!$BJ75,IF(K77="UBASTIC",PR!$BK75,IF(K77="UNION",PR!$BL75,IF(K77="UNIQUE",PR!$BM75,IF(K77="VIXA",PR!$BN75,IF(K77="WWCV",PR!$BO75,IF(K77="ZOLON",PR!$BP75,"-")))))))))))))))))))))))))))))))))))))))))))))))))))))))))))))))))</f>
        <v>1800</v>
      </c>
    </row>
    <row r="78" spans="1:12" ht="18.75" x14ac:dyDescent="0.3">
      <c r="A78" s="430">
        <f>PR!A76</f>
        <v>60</v>
      </c>
      <c r="B78" s="15" t="str">
        <f>PR!B76</f>
        <v>FENOFIBRATE 200MG TAB</v>
      </c>
      <c r="C78" s="113">
        <f>PR!D76</f>
        <v>30</v>
      </c>
      <c r="D78" s="113">
        <f>PR!C76</f>
        <v>20</v>
      </c>
      <c r="E78" s="108">
        <f>IF(F78="ALPHA",PR!$E76,IF(F78="ASSENE",PR!$F76,IF(F78="BIOFEM",PR!$G76,IF(F78="BIOMED",PR!$H76,IF(F78="CHI",PR!$I76,IF(F78="CLARION",PR!$J76,IF(F78="CODIX",PR!$K76,IF(F78="COSMADE",PR!$L76,IF(F78="SANCON",PR!$M76,IF(F78="DEVON",PR!$N76,IF(F78="DORTEMAG",PR!$O76,IF(F78="DGF",PR!$P76,IF(F78="DYNAMIC",PR!$Q76,IF(F78="EMZOR",PR!$R76,IF(F78="EUMATT",PR!$S76,IF(F78="FIDSON",PR!$T76,IF(F78="FCGLOBAL",PR!$U76,IF(F78="GENEITH",PR!$V76,IF(F78="GINOS",PR!$W76,IF(F78="GSK",PR!$X76,IF(F78="GLOBORG",PR!$Y76,IF(F78="GOODNEWS",PR!$Z76,IF(F78="GREENLIFE",PR!$AA76,IF(F78="HLINE",PR!$AB76,IF(F78="ROTECH",PR!$AC76,IF(F78="ISN",PR!$AD76,IF(F78="JAWA",PR!$AE76,IF(F78="LAYO",PR!$AF76,IF(F78="LEADWAY",PR!$AG76,IF(F78="LHV",PR!$AH76,IF(F78="MANOLA",PR!$AI76,IF(F78="MARCSON",PR!$AJ76,IF(F78="M&amp;B",PR!$AK76,IF(F78="MTRUST",PR!$AL76,IF(F78="MWORLD",PR!$AM76,IF(F78="MEGA",PR!$AN76,IF(F78="MICRONOVA",PR!$AO76,IF(F78="MFLASH",PR!$AP76,IF(F78="MORISON",PR!$AQ76,IF(F78="NEMEL",PR!$AR76,IF(F78="NHP",PR!$AS76,IF(F78="NHC",PR!$AT76,IF(F78="OLEAF",PR!$AU76,IF(F78="OCULUS",PR!$AV76,IF(F78="PACIFIC",PR!$AW76,IF(F78="PHAMATEX",PR!$AX76,IF(F78="PETHICS",PR!$AY76,IF(F78="PHILIPS",PR!$AZ76,IF(F78="RANBAXY",PR!$BA76,IF(F78="REALS",PR!$BB76,IF(F78="ROYAL",PR!$BC76,IF(F78="SAM",PR!$BD76,IF(F78="SEAGREEN",PR!$BE76,IF(F78="SKG",PR!$BF76,IF(F78="TAH",PR!$BG76,IF(F78="TAYLEK",PR!$BH76,IF(F78="TEMITA",PR!$BI76,IF(F78="THL",PR!$BJ76,IF(F78="UBASTIC",PR!$BK76,IF(F78="UNION",PR!$BL76,IF(F78="UNIQUE",PR!$BM76,IF(F78="VIXA",PR!$BN76,IF(F78="WWCV",PR!$BO76,IF(F78="ZOLON",PR!$BP76,"-"))))))))))))))))))))))))))))))))))))))))))))))))))))))))))))))))</f>
        <v>1700</v>
      </c>
      <c r="F78" s="102" t="str">
        <f>EV!L78</f>
        <v>EUMATT</v>
      </c>
      <c r="G78" s="108">
        <f>IF(H78="ALPHA",PR!$E76,IF(H78="ASSENE",PR!$F76,IF(H78="BIOFEM",PR!$G76,IF(H78="BIOMED",PR!$H76,IF(H78="CHI",PR!$I76,IF(H78="CLARION",PR!$J76,IF(H78="CODIX",PR!$K76,IF(H78="COSMADE",PR!$L76,IF(H78="SANCON",PR!$M76,IF(H78="DEVON",PR!$N76,IF(H78="DORTEMAG",PR!$O76,IF(H78="DGF",PR!$P76,IF(H78="DYNAMIC",PR!$Q76,IF(H78="EMZOR",PR!$R76,IF(H78="EUMATT",PR!$S76,IF(H78="FIDSON",PR!$T76,IF(H78="FCGLOBAL",PR!$U76,IF(H78="GENEITH",PR!$V76,IF(H78="GINOS",PR!$W76,IF(H78="GSK",PR!$X76,IF(H78="GLOBORG",PR!$Y76,IF(H78="GOODNEWS",PR!$Z76,IF(H78="GREENLIFE",PR!$AA76,IF(H78="HLINE",PR!$AB76,IF(H78="ROTECH",PR!$AC76,IF(H78="ISN",PR!$AD76,IF(H78="JAWA",PR!$AE76,IF(H78="LAYO",PR!$AF76,IF(H78="LEADWAY",PR!$AG76,IF(H78="LHV",PR!$AH76,IF(H78="MANOLA",PR!$AI76,IF(H78="MARCSON",PR!$AJ76,IF(H78="M&amp;B",PR!$AK76,IF(H78="MTRUST",PR!$AL76,IF(H78="MWORLD",PR!$AM76,IF(H78="MEGA",PR!$AN76,IF(H78="MICRONOVA",PR!$AO76,IF(H78="MFLASH",PR!$AP76,IF(H78="MORISON",PR!$AQ76,IF(H78="NEMEL",PR!$AR76,IF(H78="NHP",PR!$AS76,IF(H78="NHC",PR!$AT76,IF(H78="OLEAF",PR!$AU76,IF(H78="OCULUS",PR!$AV76,IF(H78="PACIFIC",PR!$AW76,IF(H78="PHAMATEX",PR!$AX76,IF(H78="PETHICS",PR!$AY76,IF(H78="PHILIPS",PR!$AZ76,IF(H78="RANBAXY",PR!$BA76,IF(H78="REALS",PR!$BB76,IF(H78="ROYAL",PR!$BC76,IF(H78="SAM",PR!$BD76,IF(H78="SEAGREEN",PR!$BE76,IF(H78="SKG",PR!$BF76,IF(H78="TAH",PR!$BG76,IF(H78="TAYLEK",PR!$BH76,IF(H78="TEMITA",PR!$BI76,IF(H78="THL",PR!$BJ76,IF(H78="UBASTIC",PR!$BK76,IF(H78="UNION",PR!$BL76,IF(H78="UNIQUE",PR!$BM76,IF(H78="VIXA",PR!$BN76,IF(H78="WWCV",PR!$BO76,IF(H78="ZOLON",PR!$BP76,"-"))))))))))))))))))))))))))))))))))))))))))))))))))))))))))))))))</f>
        <v>1800</v>
      </c>
      <c r="H78" s="102" t="str">
        <f>EV!M78</f>
        <v>MEGA</v>
      </c>
      <c r="I78" s="108" t="str">
        <f>IF(J78="ALPHA",PR!$E76,IF(J78="ASSENE",PR!$F76,IF(J78="BIOFEM",PR!$G76,IF(J78="BIOMED",PR!$H76,IF(J78="CHI",PR!$I76,IF(J78="CLARION",PR!$J76,IF(J78="CODIX",PR!$K76,IF(J78="COSMADE",PR!$L76,IF(J78="SANCON",PR!$M76,IF(J78="DEVON",PR!$N76,IF(J78="DORTEMAG",PR!$O76,IF(J78="DGF",PR!$P76,IF(J78="DYNAMIC",PR!$Q76,IF(J78="EMZOR",PR!$R76,IF(J78="EUMATT",PR!$S76,IF(J78="FIDSON",PR!$T76,IF(J78="FCGLOBAL",PR!$U76,IF(J78="GENEITH",PR!$V76,IF(J78="GINOS",PR!$W76,IF(J78="GSK",PR!$X76,IF(J78="GLOBORG",PR!$Y76,IF(J78="GOODNEWS",PR!$Z76,IF(J78="GREENLIFE",PR!$AA76,IF(J78="HLINE",PR!$AB76,IF(J78="ROTECH",PR!$AC76,IF(J78="ISN",PR!$AD76,IF(J78="JAWA",PR!$AE76,IF(J78="LAYO",PR!$AF76,IF(J78="LEADWAY",PR!$AG76,IF(J78="LHV",PR!$AH76,IF(J78="MANOLA",PR!$AI76,IF(J78="MARCSON",PR!$AJ76,IF(J78="M&amp;B",PR!$AK76,IF(J78="MTRUST",PR!$AL76,IF(J78="MWORLD",PR!$AM76,IF(J78="MEGA",PR!$AN76,IF(J78="MICRONOVA",PR!$AO76,IF(J78="MFLASH",PR!$AP76,IF(J78="MORISON",PR!$AQ76,IF(J78="NEMEL",PR!$AR76,IF(J78="NHP",PR!$AS76,IF(J78="NHC",PR!$AT76,IF(J78="OLEAF",PR!$AU76,IF(J78="OCULUS",PR!$AV76,IF(J78="PACIFIC",PR!$AW76,IF(J78="PHAMATEX",PR!$AX76,IF(J78="PETHICS",PR!$AY76,IF(J78="PHILIPS",PR!$AZ76,IF(J78="RANBAXY",PR!$BA76,IF(J78="REALS",PR!$BB76,IF(J78="ROYAL",PR!$BC76,IF(J78="SAM",PR!$BD76,IF(J78="SEAGREEN",PR!$BE76,IF(J78="SKG",PR!$BF76,IF(J78="TAH",PR!$BG76,IF(J78="TAYLEK",PR!$BH76,IF(J78="TEMITA",PR!$BI76,IF(J78="THL",PR!$BJ76,IF(J78="UBASTIC",PR!$BK76,IF(J78="UNION",PR!$BL76,IF(J78="UNIQUE",PR!$BM76,IF(J78="VIXA",PR!$BN76,IF(J78="WWCV",PR!$BO76,IF(J78="ZOLON",PR!$BP76,"-"))))))))))))))))))))))))))))))))))))))))))))))))))))))))))))))))</f>
        <v>-</v>
      </c>
      <c r="J78" s="102">
        <f>EV!N78</f>
        <v>0</v>
      </c>
      <c r="K78" s="433" t="s">
        <v>821</v>
      </c>
      <c r="L78" s="183">
        <f>IF(K78&gt;0,IF(K78="ALPHA",PR!$E76,IF(K78="ASSENE",PR!$F76,IF(K78="BIOFEM",PR!$G76,IF(K78="BIOMED",PR!$H76,IF(K78="CHI",PR!$I76,IF(K78="CLARION",PR!$J76,IF(K78="CODIX",PR!$K76,IF(K78="COSMADE",PR!$L76,IF(K78="SANCON",PR!$M76,IF(K78="DEVON",PR!$N76,IF(K78="DORTEMAG",PR!$O76,IF(K78="DGF",PR!$P76,IF(K78="DYNAMIC",PR!$Q76,IF(K78="EMZOR",PR!$R76,IF(K78="EUMATT",PR!$S76,IF(K78="FIDSON",PR!$T76,IF(K78="FCGLOBAL",PR!$U76,IF(K78="GENEITH",PR!$V76,IF(K78="GINOS",PR!$W76,IF(K78="GSK",PR!$X76,IF(K78="GLOBORG",PR!$Y76,IF(K78="GOODNEWS",PR!$Z76,IF(K78="GREENLIFE",PR!$AA76,IF(K78="HLINE",PR!$AB76,IF(K78="ROTECH",PR!$AC76,IF(K78="ISN",PR!$AD76,IF(K78="JAWA",PR!$AE76,IF(K78="LAYO",PR!$AF76,IF(K78="LEADWAY",PR!$AG76,IF(K78="LHV",PR!$AH76,IF(K78="MANOLA",PR!$AI76,IF(K78="MARCSON",PR!$AJ76,IF(K78="M&amp;B",PR!$AK76,IF(K78="MTRUST",PR!$AL76,IF(K78="MWORLD",PR!$AM76,IF(K78="MEGA",PR!$AN76,IF(K78="MICRONOVA",PR!$AO76,IF(K78="MFLASH",PR!$AP76,IF(K78="MORISON",PR!$AQ76,IF(K78="NEMEL",PR!$AR76,IF(K78="NHP",PR!$AS76,IF(K78="NHC",PR!$AT76,IF(K78="OLEAF",PR!$AU76,IF(K78="OCULUS",PR!$AV76,IF(K78="PACIFIC",PR!$AW76,IF(K78="PHAMATEX",PR!$AX76,IF(K78="PETHICS",PR!$AY76,IF(K78="PHILIPS",PR!$AZ76,IF(K78="RANBAXY",PR!$BA76,IF(K78="REALS",PR!$BB76,IF(K78="ROYAL",PR!$BC76,IF(K78="SAM",PR!$BD76,IF(K78="SEAGREEN",PR!$BE76,IF(K78="SKG",PR!$BF76,IF(K78="TAH",PR!$BG76,IF(K78="TAYLEK",PR!$BH76,IF(K78="TEMITA",PR!$BI76,IF(K78="THL",PR!$BJ76,IF(K78="UBASTIC",PR!$BK76,IF(K78="UNION",PR!$BL76,IF(K78="UNIQUE",PR!$BM76,IF(K78="VIXA",PR!$BN76,IF(K78="WWCV",PR!$BO76,IF(K78="ZOLON",PR!$BP76,"-")))))))))))))))))))))))))))))))))))))))))))))))))))))))))))))))))</f>
        <v>1700</v>
      </c>
    </row>
    <row r="79" spans="1:12" ht="18.75" x14ac:dyDescent="0.3">
      <c r="A79" s="430">
        <f>PR!A77</f>
        <v>61</v>
      </c>
      <c r="B79" s="15" t="str">
        <f>PR!B77</f>
        <v>FRUSEMIDE 20MG INJ</v>
      </c>
      <c r="C79" s="113">
        <f>PR!D77</f>
        <v>100</v>
      </c>
      <c r="D79" s="113">
        <f>PR!C77</f>
        <v>500</v>
      </c>
      <c r="E79" s="108">
        <f>IF(F79="ALPHA",PR!$E77,IF(F79="ASSENE",PR!$F77,IF(F79="BIOFEM",PR!$G77,IF(F79="BIOMED",PR!$H77,IF(F79="CHI",PR!$I77,IF(F79="CLARION",PR!$J77,IF(F79="CODIX",PR!$K77,IF(F79="COSMADE",PR!$L77,IF(F79="SANCON",PR!$M77,IF(F79="DEVON",PR!$N77,IF(F79="DORTEMAG",PR!$O77,IF(F79="DGF",PR!$P77,IF(F79="DYNAMIC",PR!$Q77,IF(F79="EMZOR",PR!$R77,IF(F79="EUMATT",PR!$S77,IF(F79="FIDSON",PR!$T77,IF(F79="FCGLOBAL",PR!$U77,IF(F79="GENEITH",PR!$V77,IF(F79="GINOS",PR!$W77,IF(F79="GSK",PR!$X77,IF(F79="GLOBORG",PR!$Y77,IF(F79="GOODNEWS",PR!$Z77,IF(F79="GREENLIFE",PR!$AA77,IF(F79="HLINE",PR!$AB77,IF(F79="ROTECH",PR!$AC77,IF(F79="ISN",PR!$AD77,IF(F79="JAWA",PR!$AE77,IF(F79="LAYO",PR!$AF77,IF(F79="LEADWAY",PR!$AG77,IF(F79="LHV",PR!$AH77,IF(F79="MANOLA",PR!$AI77,IF(F79="MARCSON",PR!$AJ77,IF(F79="M&amp;B",PR!$AK77,IF(F79="MTRUST",PR!$AL77,IF(F79="MWORLD",PR!$AM77,IF(F79="MEGA",PR!$AN77,IF(F79="MICRONOVA",PR!$AO77,IF(F79="MFLASH",PR!$AP77,IF(F79="MORISON",PR!$AQ77,IF(F79="NEMEL",PR!$AR77,IF(F79="NHP",PR!$AS77,IF(F79="NHC",PR!$AT77,IF(F79="OLEAF",PR!$AU77,IF(F79="OCULUS",PR!$AV77,IF(F79="PACIFIC",PR!$AW77,IF(F79="PHAMATEX",PR!$AX77,IF(F79="PETHICS",PR!$AY77,IF(F79="PHILIPS",PR!$AZ77,IF(F79="RANBAXY",PR!$BA77,IF(F79="REALS",PR!$BB77,IF(F79="ROYAL",PR!$BC77,IF(F79="SAM",PR!$BD77,IF(F79="SEAGREEN",PR!$BE77,IF(F79="SKG",PR!$BF77,IF(F79="TAH",PR!$BG77,IF(F79="TAYLEK",PR!$BH77,IF(F79="TEMITA",PR!$BI77,IF(F79="THL",PR!$BJ77,IF(F79="UBASTIC",PR!$BK77,IF(F79="UNION",PR!$BL77,IF(F79="UNIQUE",PR!$BM77,IF(F79="VIXA",PR!$BN77,IF(F79="WWCV",PR!$BO77,IF(F79="ZOLON",PR!$BP77,"-"))))))))))))))))))))))))))))))))))))))))))))))))))))))))))))))))</f>
        <v>2500</v>
      </c>
      <c r="F79" s="102" t="str">
        <f>EV!L101</f>
        <v>EUMATT</v>
      </c>
      <c r="G79" s="108">
        <f>IF(H79="ALPHA",PR!$E77,IF(H79="ASSENE",PR!$F77,IF(H79="BIOFEM",PR!$G77,IF(H79="BIOMED",PR!$H77,IF(H79="CHI",PR!$I77,IF(H79="CLARION",PR!$J77,IF(H79="CODIX",PR!$K77,IF(H79="COSMADE",PR!$L77,IF(H79="SANCON",PR!$M77,IF(H79="DEVON",PR!$N77,IF(H79="DORTEMAG",PR!$O77,IF(H79="DGF",PR!$P77,IF(H79="DYNAMIC",PR!$Q77,IF(H79="EMZOR",PR!$R77,IF(H79="EUMATT",PR!$S77,IF(H79="FIDSON",PR!$T77,IF(H79="FCGLOBAL",PR!$U77,IF(H79="GENEITH",PR!$V77,IF(H79="GINOS",PR!$W77,IF(H79="GSK",PR!$X77,IF(H79="GLOBORG",PR!$Y77,IF(H79="GOODNEWS",PR!$Z77,IF(H79="GREENLIFE",PR!$AA77,IF(H79="HLINE",PR!$AB77,IF(H79="ROTECH",PR!$AC77,IF(H79="ISN",PR!$AD77,IF(H79="JAWA",PR!$AE77,IF(H79="LAYO",PR!$AF77,IF(H79="LEADWAY",PR!$AG77,IF(H79="LHV",PR!$AH77,IF(H79="MANOLA",PR!$AI77,IF(H79="MARCSON",PR!$AJ77,IF(H79="M&amp;B",PR!$AK77,IF(H79="MTRUST",PR!$AL77,IF(H79="MWORLD",PR!$AM77,IF(H79="MEGA",PR!$AN77,IF(H79="MICRONOVA",PR!$AO77,IF(H79="MFLASH",PR!$AP77,IF(H79="MORISON",PR!$AQ77,IF(H79="NEMEL",PR!$AR77,IF(H79="NHP",PR!$AS77,IF(H79="NHC",PR!$AT77,IF(H79="OLEAF",PR!$AU77,IF(H79="OCULUS",PR!$AV77,IF(H79="PACIFIC",PR!$AW77,IF(H79="PHAMATEX",PR!$AX77,IF(H79="PETHICS",PR!$AY77,IF(H79="PHILIPS",PR!$AZ77,IF(H79="RANBAXY",PR!$BA77,IF(H79="REALS",PR!$BB77,IF(H79="ROYAL",PR!$BC77,IF(H79="SAM",PR!$BD77,IF(H79="SEAGREEN",PR!$BE77,IF(H79="SKG",PR!$BF77,IF(H79="TAH",PR!$BG77,IF(H79="TAYLEK",PR!$BH77,IF(H79="TEMITA",PR!$BI77,IF(H79="THL",PR!$BJ77,IF(H79="UBASTIC",PR!$BK77,IF(H79="UNION",PR!$BL77,IF(H79="UNIQUE",PR!$BM77,IF(H79="VIXA",PR!$BN77,IF(H79="WWCV",PR!$BO77,IF(H79="ZOLON",PR!$BP77,"-"))))))))))))))))))))))))))))))))))))))))))))))))))))))))))))))))</f>
        <v>24000</v>
      </c>
      <c r="H79" s="102" t="str">
        <f>EV!M101</f>
        <v>ALPHA</v>
      </c>
      <c r="I79" s="108" t="str">
        <f>IF(J79="ALPHA",PR!$E77,IF(J79="ASSENE",PR!$F77,IF(J79="BIOFEM",PR!$G77,IF(J79="BIOMED",PR!$H77,IF(J79="CHI",PR!$I77,IF(J79="CLARION",PR!$J77,IF(J79="CODIX",PR!$K77,IF(J79="COSMADE",PR!$L77,IF(J79="SANCON",PR!$M77,IF(J79="DEVON",PR!$N77,IF(J79="DORTEMAG",PR!$O77,IF(J79="DGF",PR!$P77,IF(J79="DYNAMIC",PR!$Q77,IF(J79="EMZOR",PR!$R77,IF(J79="EUMATT",PR!$S77,IF(J79="FIDSON",PR!$T77,IF(J79="FCGLOBAL",PR!$U77,IF(J79="GENEITH",PR!$V77,IF(J79="GINOS",PR!$W77,IF(J79="GSK",PR!$X77,IF(J79="GLOBORG",PR!$Y77,IF(J79="GOODNEWS",PR!$Z77,IF(J79="GREENLIFE",PR!$AA77,IF(J79="HLINE",PR!$AB77,IF(J79="ROTECH",PR!$AC77,IF(J79="ISN",PR!$AD77,IF(J79="JAWA",PR!$AE77,IF(J79="LAYO",PR!$AF77,IF(J79="LEADWAY",PR!$AG77,IF(J79="LHV",PR!$AH77,IF(J79="MANOLA",PR!$AI77,IF(J79="MARCSON",PR!$AJ77,IF(J79="M&amp;B",PR!$AK77,IF(J79="MTRUST",PR!$AL77,IF(J79="MWORLD",PR!$AM77,IF(J79="MEGA",PR!$AN77,IF(J79="MICRONOVA",PR!$AO77,IF(J79="MFLASH",PR!$AP77,IF(J79="MORISON",PR!$AQ77,IF(J79="NEMEL",PR!$AR77,IF(J79="NHP",PR!$AS77,IF(J79="NHC",PR!$AT77,IF(J79="OLEAF",PR!$AU77,IF(J79="OCULUS",PR!$AV77,IF(J79="PACIFIC",PR!$AW77,IF(J79="PHAMATEX",PR!$AX77,IF(J79="PETHICS",PR!$AY77,IF(J79="PHILIPS",PR!$AZ77,IF(J79="RANBAXY",PR!$BA77,IF(J79="REALS",PR!$BB77,IF(J79="ROYAL",PR!$BC77,IF(J79="SAM",PR!$BD77,IF(J79="SEAGREEN",PR!$BE77,IF(J79="SKG",PR!$BF77,IF(J79="TAH",PR!$BG77,IF(J79="TAYLEK",PR!$BH77,IF(J79="TEMITA",PR!$BI77,IF(J79="THL",PR!$BJ77,IF(J79="UBASTIC",PR!$BK77,IF(J79="UNION",PR!$BL77,IF(J79="UNIQUE",PR!$BM77,IF(J79="VIXA",PR!$BN77,IF(J79="WWCV",PR!$BO77,IF(J79="ZOLON",PR!$BP77,"-"))))))))))))))))))))))))))))))))))))))))))))))))))))))))))))))))</f>
        <v>-</v>
      </c>
      <c r="J79" s="102">
        <f>EV!N101</f>
        <v>0</v>
      </c>
      <c r="K79" s="433" t="s">
        <v>821</v>
      </c>
      <c r="L79" s="183">
        <f>IF(K79&gt;0,IF(K79="ALPHA",PR!$E77,IF(K79="ASSENE",PR!$F77,IF(K79="BIOFEM",PR!$G77,IF(K79="BIOMED",PR!$H77,IF(K79="CHI",PR!$I77,IF(K79="CLARION",PR!$J77,IF(K79="CODIX",PR!$K77,IF(K79="COSMADE",PR!$L77,IF(K79="SANCON",PR!$M77,IF(K79="DEVON",PR!$N77,IF(K79="DORTEMAG",PR!$O77,IF(K79="DGF",PR!$P77,IF(K79="DYNAMIC",PR!$Q77,IF(K79="EMZOR",PR!$R77,IF(K79="EUMATT",PR!$S77,IF(K79="FIDSON",PR!$T77,IF(K79="FCGLOBAL",PR!$U77,IF(K79="GENEITH",PR!$V77,IF(K79="GINOS",PR!$W77,IF(K79="GSK",PR!$X77,IF(K79="GLOBORG",PR!$Y77,IF(K79="GOODNEWS",PR!$Z77,IF(K79="GREENLIFE",PR!$AA77,IF(K79="HLINE",PR!$AB77,IF(K79="ROTECH",PR!$AC77,IF(K79="ISN",PR!$AD77,IF(K79="JAWA",PR!$AE77,IF(K79="LAYO",PR!$AF77,IF(K79="LEADWAY",PR!$AG77,IF(K79="LHV",PR!$AH77,IF(K79="MANOLA",PR!$AI77,IF(K79="MARCSON",PR!$AJ77,IF(K79="M&amp;B",PR!$AK77,IF(K79="MTRUST",PR!$AL77,IF(K79="MWORLD",PR!$AM77,IF(K79="MEGA",PR!$AN77,IF(K79="MICRONOVA",PR!$AO77,IF(K79="MFLASH",PR!$AP77,IF(K79="MORISON",PR!$AQ77,IF(K79="NEMEL",PR!$AR77,IF(K79="NHP",PR!$AS77,IF(K79="NHC",PR!$AT77,IF(K79="OLEAF",PR!$AU77,IF(K79="OCULUS",PR!$AV77,IF(K79="PACIFIC",PR!$AW77,IF(K79="PHAMATEX",PR!$AX77,IF(K79="PETHICS",PR!$AY77,IF(K79="PHILIPS",PR!$AZ77,IF(K79="RANBAXY",PR!$BA77,IF(K79="REALS",PR!$BB77,IF(K79="ROYAL",PR!$BC77,IF(K79="SAM",PR!$BD77,IF(K79="SEAGREEN",PR!$BE77,IF(K79="SKG",PR!$BF77,IF(K79="TAH",PR!$BG77,IF(K79="TAYLEK",PR!$BH77,IF(K79="TEMITA",PR!$BI77,IF(K79="THL",PR!$BJ77,IF(K79="UBASTIC",PR!$BK77,IF(K79="UNION",PR!$BL77,IF(K79="UNIQUE",PR!$BM77,IF(K79="VIXA",PR!$BN77,IF(K79="WWCV",PR!$BO77,IF(K79="ZOLON",PR!$BP77,"-")))))))))))))))))))))))))))))))))))))))))))))))))))))))))))))))))</f>
        <v>2500</v>
      </c>
    </row>
    <row r="80" spans="1:12" ht="18.75" x14ac:dyDescent="0.3">
      <c r="A80" s="430">
        <f>PR!A78</f>
        <v>62</v>
      </c>
      <c r="B80" s="15" t="str">
        <f>PR!B78</f>
        <v>FRUSEMIDE 40MG TAB</v>
      </c>
      <c r="C80" s="113">
        <f>PR!D78</f>
        <v>100</v>
      </c>
      <c r="D80" s="113">
        <f>PR!C78</f>
        <v>500</v>
      </c>
      <c r="E80" s="108">
        <f>IF(F80="ALPHA",PR!$E78,IF(F80="ASSENE",PR!$F78,IF(F80="BIOFEM",PR!$G78,IF(F80="BIOMED",PR!$H78,IF(F80="CHI",PR!$I78,IF(F80="CLARION",PR!$J78,IF(F80="CODIX",PR!$K78,IF(F80="COSMADE",PR!$L78,IF(F80="SANCON",PR!$M78,IF(F80="DEVON",PR!$N78,IF(F80="DORTEMAG",PR!$O78,IF(F80="DGF",PR!$P78,IF(F80="DYNAMIC",PR!$Q78,IF(F80="EMZOR",PR!$R78,IF(F80="EUMATT",PR!$S78,IF(F80="FIDSON",PR!$T78,IF(F80="FCGLOBAL",PR!$U78,IF(F80="GENEITH",PR!$V78,IF(F80="GINOS",PR!$W78,IF(F80="GSK",PR!$X78,IF(F80="GLOBORG",PR!$Y78,IF(F80="GOODNEWS",PR!$Z78,IF(F80="GREENLIFE",PR!$AA78,IF(F80="HLINE",PR!$AB78,IF(F80="ROTECH",PR!$AC78,IF(F80="ISN",PR!$AD78,IF(F80="JAWA",PR!$AE78,IF(F80="LAYO",PR!$AF78,IF(F80="LEADWAY",PR!$AG78,IF(F80="LHV",PR!$AH78,IF(F80="MANOLA",PR!$AI78,IF(F80="MARCSON",PR!$AJ78,IF(F80="M&amp;B",PR!$AK78,IF(F80="MTRUST",PR!$AL78,IF(F80="MWORLD",PR!$AM78,IF(F80="MEGA",PR!$AN78,IF(F80="MICRONOVA",PR!$AO78,IF(F80="MFLASH",PR!$AP78,IF(F80="MORISON",PR!$AQ78,IF(F80="NEMEL",PR!$AR78,IF(F80="NHP",PR!$AS78,IF(F80="NHC",PR!$AT78,IF(F80="OLEAF",PR!$AU78,IF(F80="OCULUS",PR!$AV78,IF(F80="PACIFIC",PR!$AW78,IF(F80="PHAMATEX",PR!$AX78,IF(F80="PETHICS",PR!$AY78,IF(F80="PHILIPS",PR!$AZ78,IF(F80="RANBAXY",PR!$BA78,IF(F80="REALS",PR!$BB78,IF(F80="ROYAL",PR!$BC78,IF(F80="SAM",PR!$BD78,IF(F80="SEAGREEN",PR!$BE78,IF(F80="SKG",PR!$BF78,IF(F80="TAH",PR!$BG78,IF(F80="TAYLEK",PR!$BH78,IF(F80="TEMITA",PR!$BI78,IF(F80="THL",PR!$BJ78,IF(F80="UBASTIC",PR!$BK78,IF(F80="UNION",PR!$BL78,IF(F80="UNIQUE",PR!$BM78,IF(F80="VIXA",PR!$BN78,IF(F80="WWCV",PR!$BO78,IF(F80="ZOLON",PR!$BP78,"-"))))))))))))))))))))))))))))))))))))))))))))))))))))))))))))))))</f>
        <v>320</v>
      </c>
      <c r="F80" s="102" t="str">
        <f>EV!L102</f>
        <v>CODIX</v>
      </c>
      <c r="G80" s="108">
        <f>IF(H80="ALPHA",PR!$E78,IF(H80="ASSENE",PR!$F78,IF(H80="BIOFEM",PR!$G78,IF(H80="BIOMED",PR!$H78,IF(H80="CHI",PR!$I78,IF(H80="CLARION",PR!$J78,IF(H80="CODIX",PR!$K78,IF(H80="COSMADE",PR!$L78,IF(H80="SANCON",PR!$M78,IF(H80="DEVON",PR!$N78,IF(H80="DORTEMAG",PR!$O78,IF(H80="DGF",PR!$P78,IF(H80="DYNAMIC",PR!$Q78,IF(H80="EMZOR",PR!$R78,IF(H80="EUMATT",PR!$S78,IF(H80="FIDSON",PR!$T78,IF(H80="FCGLOBAL",PR!$U78,IF(H80="GENEITH",PR!$V78,IF(H80="GINOS",PR!$W78,IF(H80="GSK",PR!$X78,IF(H80="GLOBORG",PR!$Y78,IF(H80="GOODNEWS",PR!$Z78,IF(H80="GREENLIFE",PR!$AA78,IF(H80="HLINE",PR!$AB78,IF(H80="ROTECH",PR!$AC78,IF(H80="ISN",PR!$AD78,IF(H80="JAWA",PR!$AE78,IF(H80="LAYO",PR!$AF78,IF(H80="LEADWAY",PR!$AG78,IF(H80="LHV",PR!$AH78,IF(H80="MANOLA",PR!$AI78,IF(H80="MARCSON",PR!$AJ78,IF(H80="M&amp;B",PR!$AK78,IF(H80="MTRUST",PR!$AL78,IF(H80="MWORLD",PR!$AM78,IF(H80="MEGA",PR!$AN78,IF(H80="MICRONOVA",PR!$AO78,IF(H80="MFLASH",PR!$AP78,IF(H80="MORISON",PR!$AQ78,IF(H80="NEMEL",PR!$AR78,IF(H80="NHP",PR!$AS78,IF(H80="NHC",PR!$AT78,IF(H80="OLEAF",PR!$AU78,IF(H80="OCULUS",PR!$AV78,IF(H80="PACIFIC",PR!$AW78,IF(H80="PHAMATEX",PR!$AX78,IF(H80="PETHICS",PR!$AY78,IF(H80="PHILIPS",PR!$AZ78,IF(H80="RANBAXY",PR!$BA78,IF(H80="REALS",PR!$BB78,IF(H80="ROYAL",PR!$BC78,IF(H80="SAM",PR!$BD78,IF(H80="SEAGREEN",PR!$BE78,IF(H80="SKG",PR!$BF78,IF(H80="TAH",PR!$BG78,IF(H80="TAYLEK",PR!$BH78,IF(H80="TEMITA",PR!$BI78,IF(H80="THL",PR!$BJ78,IF(H80="UBASTIC",PR!$BK78,IF(H80="UNION",PR!$BL78,IF(H80="UNIQUE",PR!$BM78,IF(H80="VIXA",PR!$BN78,IF(H80="WWCV",PR!$BO78,IF(H80="ZOLON",PR!$BP78,"-"))))))))))))))))))))))))))))))))))))))))))))))))))))))))))))))))</f>
        <v>480</v>
      </c>
      <c r="H80" s="102" t="str">
        <f>EV!M102</f>
        <v>EUMATT</v>
      </c>
      <c r="I80" s="108">
        <f>IF(J80="ALPHA",PR!$E78,IF(J80="ASSENE",PR!$F78,IF(J80="BIOFEM",PR!$G78,IF(J80="BIOMED",PR!$H78,IF(J80="CHI",PR!$I78,IF(J80="CLARION",PR!$J78,IF(J80="CODIX",PR!$K78,IF(J80="COSMADE",PR!$L78,IF(J80="SANCON",PR!$M78,IF(J80="DEVON",PR!$N78,IF(J80="DORTEMAG",PR!$O78,IF(J80="DGF",PR!$P78,IF(J80="DYNAMIC",PR!$Q78,IF(J80="EMZOR",PR!$R78,IF(J80="EUMATT",PR!$S78,IF(J80="FIDSON",PR!$T78,IF(J80="FCGLOBAL",PR!$U78,IF(J80="GENEITH",PR!$V78,IF(J80="GINOS",PR!$W78,IF(J80="GSK",PR!$X78,IF(J80="GLOBORG",PR!$Y78,IF(J80="GOODNEWS",PR!$Z78,IF(J80="GREENLIFE",PR!$AA78,IF(J80="HLINE",PR!$AB78,IF(J80="ROTECH",PR!$AC78,IF(J80="ISN",PR!$AD78,IF(J80="JAWA",PR!$AE78,IF(J80="LAYO",PR!$AF78,IF(J80="LEADWAY",PR!$AG78,IF(J80="LHV",PR!$AH78,IF(J80="MANOLA",PR!$AI78,IF(J80="MARCSON",PR!$AJ78,IF(J80="M&amp;B",PR!$AK78,IF(J80="MTRUST",PR!$AL78,IF(J80="MWORLD",PR!$AM78,IF(J80="MEGA",PR!$AN78,IF(J80="MICRONOVA",PR!$AO78,IF(J80="MFLASH",PR!$AP78,IF(J80="MORISON",PR!$AQ78,IF(J80="NEMEL",PR!$AR78,IF(J80="NHP",PR!$AS78,IF(J80="NHC",PR!$AT78,IF(J80="OLEAF",PR!$AU78,IF(J80="OCULUS",PR!$AV78,IF(J80="PACIFIC",PR!$AW78,IF(J80="PHAMATEX",PR!$AX78,IF(J80="PETHICS",PR!$AY78,IF(J80="PHILIPS",PR!$AZ78,IF(J80="RANBAXY",PR!$BA78,IF(J80="REALS",PR!$BB78,IF(J80="ROYAL",PR!$BC78,IF(J80="SAM",PR!$BD78,IF(J80="SEAGREEN",PR!$BE78,IF(J80="SKG",PR!$BF78,IF(J80="TAH",PR!$BG78,IF(J80="TAYLEK",PR!$BH78,IF(J80="TEMITA",PR!$BI78,IF(J80="THL",PR!$BJ78,IF(J80="UBASTIC",PR!$BK78,IF(J80="UNION",PR!$BL78,IF(J80="UNIQUE",PR!$BM78,IF(J80="VIXA",PR!$BN78,IF(J80="WWCV",PR!$BO78,IF(J80="ZOLON",PR!$BP78,"-"))))))))))))))))))))))))))))))))))))))))))))))))))))))))))))))))</f>
        <v>525</v>
      </c>
      <c r="J80" s="102" t="str">
        <f>EV!N102</f>
        <v>REALS</v>
      </c>
      <c r="K80" s="433" t="s">
        <v>617</v>
      </c>
      <c r="L80" s="183">
        <f>IF(K80&gt;0,IF(K80="ALPHA",PR!$E78,IF(K80="ASSENE",PR!$F78,IF(K80="BIOFEM",PR!$G78,IF(K80="BIOMED",PR!$H78,IF(K80="CHI",PR!$I78,IF(K80="CLARION",PR!$J78,IF(K80="CODIX",PR!$K78,IF(K80="COSMADE",PR!$L78,IF(K80="SANCON",PR!$M78,IF(K80="DEVON",PR!$N78,IF(K80="DORTEMAG",PR!$O78,IF(K80="DGF",PR!$P78,IF(K80="DYNAMIC",PR!$Q78,IF(K80="EMZOR",PR!$R78,IF(K80="EUMATT",PR!$S78,IF(K80="FIDSON",PR!$T78,IF(K80="FCGLOBAL",PR!$U78,IF(K80="GENEITH",PR!$V78,IF(K80="GINOS",PR!$W78,IF(K80="GSK",PR!$X78,IF(K80="GLOBORG",PR!$Y78,IF(K80="GOODNEWS",PR!$Z78,IF(K80="GREENLIFE",PR!$AA78,IF(K80="HLINE",PR!$AB78,IF(K80="ROTECH",PR!$AC78,IF(K80="ISN",PR!$AD78,IF(K80="JAWA",PR!$AE78,IF(K80="LAYO",PR!$AF78,IF(K80="LEADWAY",PR!$AG78,IF(K80="LHV",PR!$AH78,IF(K80="MANOLA",PR!$AI78,IF(K80="MARCSON",PR!$AJ78,IF(K80="M&amp;B",PR!$AK78,IF(K80="MTRUST",PR!$AL78,IF(K80="MWORLD",PR!$AM78,IF(K80="MEGA",PR!$AN78,IF(K80="MICRONOVA",PR!$AO78,IF(K80="MFLASH",PR!$AP78,IF(K80="MORISON",PR!$AQ78,IF(K80="NEMEL",PR!$AR78,IF(K80="NHP",PR!$AS78,IF(K80="NHC",PR!$AT78,IF(K80="OLEAF",PR!$AU78,IF(K80="OCULUS",PR!$AV78,IF(K80="PACIFIC",PR!$AW78,IF(K80="PHAMATEX",PR!$AX78,IF(K80="PETHICS",PR!$AY78,IF(K80="PHILIPS",PR!$AZ78,IF(K80="RANBAXY",PR!$BA78,IF(K80="REALS",PR!$BB78,IF(K80="ROYAL",PR!$BC78,IF(K80="SAM",PR!$BD78,IF(K80="SEAGREEN",PR!$BE78,IF(K80="SKG",PR!$BF78,IF(K80="TAH",PR!$BG78,IF(K80="TAYLEK",PR!$BH78,IF(K80="TEMITA",PR!$BI78,IF(K80="THL",PR!$BJ78,IF(K80="UBASTIC",PR!$BK78,IF(K80="UNION",PR!$BL78,IF(K80="UNIQUE",PR!$BM78,IF(K80="VIXA",PR!$BN78,IF(K80="WWCV",PR!$BO78,IF(K80="ZOLON",PR!$BP78,"-")))))))))))))))))))))))))))))))))))))))))))))))))))))))))))))))))</f>
        <v>320</v>
      </c>
    </row>
    <row r="81" spans="1:12" ht="18.75" x14ac:dyDescent="0.3">
      <c r="A81" s="430">
        <f>PR!A79</f>
        <v>63</v>
      </c>
      <c r="B81" s="15" t="str">
        <f>PR!B79</f>
        <v>GLYCERYL TRINITRATE TAB</v>
      </c>
      <c r="C81" s="113">
        <f>PR!D79</f>
        <v>100</v>
      </c>
      <c r="D81" s="113">
        <f>PR!C79</f>
        <v>4</v>
      </c>
      <c r="E81" s="108" t="str">
        <f>IF(F81="ALPHA",PR!$E79,IF(F81="ASSENE",PR!$F79,IF(F81="BIOFEM",PR!$G79,IF(F81="BIOMED",PR!$H79,IF(F81="CHI",PR!$I79,IF(F81="CLARION",PR!$J79,IF(F81="CODIX",PR!$K79,IF(F81="COSMADE",PR!$L79,IF(F81="SANCON",PR!$M79,IF(F81="DEVON",PR!$N79,IF(F81="DORTEMAG",PR!$O79,IF(F81="DGF",PR!$P79,IF(F81="DYNAMIC",PR!$Q79,IF(F81="EMZOR",PR!$R79,IF(F81="EUMATT",PR!$S79,IF(F81="FIDSON",PR!$T79,IF(F81="FCGLOBAL",PR!$U79,IF(F81="GENEITH",PR!$V79,IF(F81="GINOS",PR!$W79,IF(F81="GSK",PR!$X79,IF(F81="GLOBORG",PR!$Y79,IF(F81="GOODNEWS",PR!$Z79,IF(F81="GREENLIFE",PR!$AA79,IF(F81="HLINE",PR!$AB79,IF(F81="ROTECH",PR!$AC79,IF(F81="ISN",PR!$AD79,IF(F81="JAWA",PR!$AE79,IF(F81="LAYO",PR!$AF79,IF(F81="LEADWAY",PR!$AG79,IF(F81="LHV",PR!$AH79,IF(F81="MANOLA",PR!$AI79,IF(F81="MARCSON",PR!$AJ79,IF(F81="M&amp;B",PR!$AK79,IF(F81="MTRUST",PR!$AL79,IF(F81="MWORLD",PR!$AM79,IF(F81="MEGA",PR!$AN79,IF(F81="MICRONOVA",PR!$AO79,IF(F81="MFLASH",PR!$AP79,IF(F81="MORISON",PR!$AQ79,IF(F81="NEMEL",PR!$AR79,IF(F81="NHP",PR!$AS79,IF(F81="NHC",PR!$AT79,IF(F81="OLEAF",PR!$AU79,IF(F81="OCULUS",PR!$AV79,IF(F81="PACIFIC",PR!$AW79,IF(F81="PHAMATEX",PR!$AX79,IF(F81="PETHICS",PR!$AY79,IF(F81="PHILIPS",PR!$AZ79,IF(F81="RANBAXY",PR!$BA79,IF(F81="REALS",PR!$BB79,IF(F81="ROYAL",PR!$BC79,IF(F81="SAM",PR!$BD79,IF(F81="SEAGREEN",PR!$BE79,IF(F81="SKG",PR!$BF79,IF(F81="TAH",PR!$BG79,IF(F81="TAYLEK",PR!$BH79,IF(F81="TEMITA",PR!$BI79,IF(F81="THL",PR!$BJ79,IF(F81="UBASTIC",PR!$BK79,IF(F81="UNION",PR!$BL79,IF(F81="UNIQUE",PR!$BM79,IF(F81="VIXA",PR!$BN79,IF(F81="WWCV",PR!$BO79,IF(F81="ZOLON",PR!$BP79,"-"))))))))))))))))))))))))))))))))))))))))))))))))))))))))))))))))</f>
        <v>-</v>
      </c>
      <c r="F81" s="102">
        <f>EV!L103</f>
        <v>0</v>
      </c>
      <c r="G81" s="108" t="str">
        <f>IF(H81="ALPHA",PR!$E79,IF(H81="ASSENE",PR!$F79,IF(H81="BIOFEM",PR!$G79,IF(H81="BIOMED",PR!$H79,IF(H81="CHI",PR!$I79,IF(H81="CLARION",PR!$J79,IF(H81="CODIX",PR!$K79,IF(H81="COSMADE",PR!$L79,IF(H81="SANCON",PR!$M79,IF(H81="DEVON",PR!$N79,IF(H81="DORTEMAG",PR!$O79,IF(H81="DGF",PR!$P79,IF(H81="DYNAMIC",PR!$Q79,IF(H81="EMZOR",PR!$R79,IF(H81="EUMATT",PR!$S79,IF(H81="FIDSON",PR!$T79,IF(H81="FCGLOBAL",PR!$U79,IF(H81="GENEITH",PR!$V79,IF(H81="GINOS",PR!$W79,IF(H81="GSK",PR!$X79,IF(H81="GLOBORG",PR!$Y79,IF(H81="GOODNEWS",PR!$Z79,IF(H81="GREENLIFE",PR!$AA79,IF(H81="HLINE",PR!$AB79,IF(H81="ROTECH",PR!$AC79,IF(H81="ISN",PR!$AD79,IF(H81="JAWA",PR!$AE79,IF(H81="LAYO",PR!$AF79,IF(H81="LEADWAY",PR!$AG79,IF(H81="LHV",PR!$AH79,IF(H81="MANOLA",PR!$AI79,IF(H81="MARCSON",PR!$AJ79,IF(H81="M&amp;B",PR!$AK79,IF(H81="MTRUST",PR!$AL79,IF(H81="MWORLD",PR!$AM79,IF(H81="MEGA",PR!$AN79,IF(H81="MICRONOVA",PR!$AO79,IF(H81="MFLASH",PR!$AP79,IF(H81="MORISON",PR!$AQ79,IF(H81="NEMEL",PR!$AR79,IF(H81="NHP",PR!$AS79,IF(H81="NHC",PR!$AT79,IF(H81="OLEAF",PR!$AU79,IF(H81="OCULUS",PR!$AV79,IF(H81="PACIFIC",PR!$AW79,IF(H81="PHAMATEX",PR!$AX79,IF(H81="PETHICS",PR!$AY79,IF(H81="PHILIPS",PR!$AZ79,IF(H81="RANBAXY",PR!$BA79,IF(H81="REALS",PR!$BB79,IF(H81="ROYAL",PR!$BC79,IF(H81="SAM",PR!$BD79,IF(H81="SEAGREEN",PR!$BE79,IF(H81="SKG",PR!$BF79,IF(H81="TAH",PR!$BG79,IF(H81="TAYLEK",PR!$BH79,IF(H81="TEMITA",PR!$BI79,IF(H81="THL",PR!$BJ79,IF(H81="UBASTIC",PR!$BK79,IF(H81="UNION",PR!$BL79,IF(H81="UNIQUE",PR!$BM79,IF(H81="VIXA",PR!$BN79,IF(H81="WWCV",PR!$BO79,IF(H81="ZOLON",PR!$BP79,"-"))))))))))))))))))))))))))))))))))))))))))))))))))))))))))))))))</f>
        <v>-</v>
      </c>
      <c r="H81" s="102">
        <f>EV!M103</f>
        <v>0</v>
      </c>
      <c r="I81" s="108" t="str">
        <f>IF(J81="ALPHA",PR!$E79,IF(J81="ASSENE",PR!$F79,IF(J81="BIOFEM",PR!$G79,IF(J81="BIOMED",PR!$H79,IF(J81="CHI",PR!$I79,IF(J81="CLARION",PR!$J79,IF(J81="CODIX",PR!$K79,IF(J81="COSMADE",PR!$L79,IF(J81="SANCON",PR!$M79,IF(J81="DEVON",PR!$N79,IF(J81="DORTEMAG",PR!$O79,IF(J81="DGF",PR!$P79,IF(J81="DYNAMIC",PR!$Q79,IF(J81="EMZOR",PR!$R79,IF(J81="EUMATT",PR!$S79,IF(J81="FIDSON",PR!$T79,IF(J81="FCGLOBAL",PR!$U79,IF(J81="GENEITH",PR!$V79,IF(J81="GINOS",PR!$W79,IF(J81="GSK",PR!$X79,IF(J81="GLOBORG",PR!$Y79,IF(J81="GOODNEWS",PR!$Z79,IF(J81="GREENLIFE",PR!$AA79,IF(J81="HLINE",PR!$AB79,IF(J81="ROTECH",PR!$AC79,IF(J81="ISN",PR!$AD79,IF(J81="JAWA",PR!$AE79,IF(J81="LAYO",PR!$AF79,IF(J81="LEADWAY",PR!$AG79,IF(J81="LHV",PR!$AH79,IF(J81="MANOLA",PR!$AI79,IF(J81="MARCSON",PR!$AJ79,IF(J81="M&amp;B",PR!$AK79,IF(J81="MTRUST",PR!$AL79,IF(J81="MWORLD",PR!$AM79,IF(J81="MEGA",PR!$AN79,IF(J81="MICRONOVA",PR!$AO79,IF(J81="MFLASH",PR!$AP79,IF(J81="MORISON",PR!$AQ79,IF(J81="NEMEL",PR!$AR79,IF(J81="NHP",PR!$AS79,IF(J81="NHC",PR!$AT79,IF(J81="OLEAF",PR!$AU79,IF(J81="OCULUS",PR!$AV79,IF(J81="PACIFIC",PR!$AW79,IF(J81="PHAMATEX",PR!$AX79,IF(J81="PETHICS",PR!$AY79,IF(J81="PHILIPS",PR!$AZ79,IF(J81="RANBAXY",PR!$BA79,IF(J81="REALS",PR!$BB79,IF(J81="ROYAL",PR!$BC79,IF(J81="SAM",PR!$BD79,IF(J81="SEAGREEN",PR!$BE79,IF(J81="SKG",PR!$BF79,IF(J81="TAH",PR!$BG79,IF(J81="TAYLEK",PR!$BH79,IF(J81="TEMITA",PR!$BI79,IF(J81="THL",PR!$BJ79,IF(J81="UBASTIC",PR!$BK79,IF(J81="UNION",PR!$BL79,IF(J81="UNIQUE",PR!$BM79,IF(J81="VIXA",PR!$BN79,IF(J81="WWCV",PR!$BO79,IF(J81="ZOLON",PR!$BP79,"-"))))))))))))))))))))))))))))))))))))))))))))))))))))))))))))))))</f>
        <v>-</v>
      </c>
      <c r="J81" s="102">
        <f>EV!N103</f>
        <v>0</v>
      </c>
      <c r="K81" s="433"/>
      <c r="L81" s="183" t="b">
        <f>IF(K81&gt;0,IF(K81="ALPHA",PR!$E79,IF(K81="ASSENE",PR!$F79,IF(K81="BIOFEM",PR!$G79,IF(K81="BIOMED",PR!$H79,IF(K81="CHI",PR!$I79,IF(K81="CLARION",PR!$J79,IF(K81="CODIX",PR!$K79,IF(K81="COSMADE",PR!$L79,IF(K81="SANCON",PR!$M79,IF(K81="DEVON",PR!$N79,IF(K81="DORTEMAG",PR!$O79,IF(K81="DGF",PR!$P79,IF(K81="DYNAMIC",PR!$Q79,IF(K81="EMZOR",PR!$R79,IF(K81="EUMATT",PR!$S79,IF(K81="FIDSON",PR!$T79,IF(K81="FCGLOBAL",PR!$U79,IF(K81="GENEITH",PR!$V79,IF(K81="GINOS",PR!$W79,IF(K81="GSK",PR!$X79,IF(K81="GLOBORG",PR!$Y79,IF(K81="GOODNEWS",PR!$Z79,IF(K81="GREENLIFE",PR!$AA79,IF(K81="HLINE",PR!$AB79,IF(K81="ROTECH",PR!$AC79,IF(K81="ISN",PR!$AD79,IF(K81="JAWA",PR!$AE79,IF(K81="LAYO",PR!$AF79,IF(K81="LEADWAY",PR!$AG79,IF(K81="LHV",PR!$AH79,IF(K81="MANOLA",PR!$AI79,IF(K81="MARCSON",PR!$AJ79,IF(K81="M&amp;B",PR!$AK79,IF(K81="MTRUST",PR!$AL79,IF(K81="MWORLD",PR!$AM79,IF(K81="MEGA",PR!$AN79,IF(K81="MICRONOVA",PR!$AO79,IF(K81="MFLASH",PR!$AP79,IF(K81="MORISON",PR!$AQ79,IF(K81="NEMEL",PR!$AR79,IF(K81="NHP",PR!$AS79,IF(K81="NHC",PR!$AT79,IF(K81="OLEAF",PR!$AU79,IF(K81="OCULUS",PR!$AV79,IF(K81="PACIFIC",PR!$AW79,IF(K81="PHAMATEX",PR!$AX79,IF(K81="PETHICS",PR!$AY79,IF(K81="PHILIPS",PR!$AZ79,IF(K81="RANBAXY",PR!$BA79,IF(K81="REALS",PR!$BB79,IF(K81="ROYAL",PR!$BC79,IF(K81="SAM",PR!$BD79,IF(K81="SEAGREEN",PR!$BE79,IF(K81="SKG",PR!$BF79,IF(K81="TAH",PR!$BG79,IF(K81="TAYLEK",PR!$BH79,IF(K81="TEMITA",PR!$BI79,IF(K81="THL",PR!$BJ79,IF(K81="UBASTIC",PR!$BK79,IF(K81="UNION",PR!$BL79,IF(K81="UNIQUE",PR!$BM79,IF(K81="VIXA",PR!$BN79,IF(K81="WWCV",PR!$BO79,IF(K81="ZOLON",PR!$BP79,"-")))))))))))))))))))))))))))))))))))))))))))))))))))))))))))))))))</f>
        <v>0</v>
      </c>
    </row>
    <row r="82" spans="1:12" ht="18.75" x14ac:dyDescent="0.3">
      <c r="A82" s="430">
        <f>PR!A80</f>
        <v>64</v>
      </c>
      <c r="B82" s="15" t="str">
        <f>PR!B80</f>
        <v>HYDRALLAZINE INJ</v>
      </c>
      <c r="C82" s="113">
        <f>PR!D80</f>
        <v>100</v>
      </c>
      <c r="D82" s="113">
        <f>PR!C80</f>
        <v>8</v>
      </c>
      <c r="E82" s="108">
        <f>IF(F82="ALPHA",PR!$E80,IF(F82="ASSENE",PR!$F80,IF(F82="BIOFEM",PR!$G80,IF(F82="BIOMED",PR!$H80,IF(F82="CHI",PR!$I80,IF(F82="CLARION",PR!$J80,IF(F82="CODIX",PR!$K80,IF(F82="COSMADE",PR!$L80,IF(F82="SANCON",PR!$M80,IF(F82="DEVON",PR!$N80,IF(F82="DORTEMAG",PR!$O80,IF(F82="DGF",PR!$P80,IF(F82="DYNAMIC",PR!$Q80,IF(F82="EMZOR",PR!$R80,IF(F82="EUMATT",PR!$S80,IF(F82="FIDSON",PR!$T80,IF(F82="FCGLOBAL",PR!$U80,IF(F82="GENEITH",PR!$V80,IF(F82="GINOS",PR!$W80,IF(F82="GSK",PR!$X80,IF(F82="GLOBORG",PR!$Y80,IF(F82="GOODNEWS",PR!$Z80,IF(F82="GREENLIFE",PR!$AA80,IF(F82="HLINE",PR!$AB80,IF(F82="ROTECH",PR!$AC80,IF(F82="ISN",PR!$AD80,IF(F82="JAWA",PR!$AE80,IF(F82="LAYO",PR!$AF80,IF(F82="LEADWAY",PR!$AG80,IF(F82="LHV",PR!$AH80,IF(F82="MANOLA",PR!$AI80,IF(F82="MARCSON",PR!$AJ80,IF(F82="M&amp;B",PR!$AK80,IF(F82="MTRUST",PR!$AL80,IF(F82="MWORLD",PR!$AM80,IF(F82="MEGA",PR!$AN80,IF(F82="MICRONOVA",PR!$AO80,IF(F82="MFLASH",PR!$AP80,IF(F82="MORISON",PR!$AQ80,IF(F82="NEMEL",PR!$AR80,IF(F82="NHP",PR!$AS80,IF(F82="NHC",PR!$AT80,IF(F82="OLEAF",PR!$AU80,IF(F82="OCULUS",PR!$AV80,IF(F82="PACIFIC",PR!$AW80,IF(F82="PHAMATEX",PR!$AX80,IF(F82="PETHICS",PR!$AY80,IF(F82="PHILIPS",PR!$AZ80,IF(F82="RANBAXY",PR!$BA80,IF(F82="REALS",PR!$BB80,IF(F82="ROYAL",PR!$BC80,IF(F82="SAM",PR!$BD80,IF(F82="SEAGREEN",PR!$BE80,IF(F82="SKG",PR!$BF80,IF(F82="TAH",PR!$BG80,IF(F82="TAYLEK",PR!$BH80,IF(F82="TEMITA",PR!$BI80,IF(F82="THL",PR!$BJ80,IF(F82="UBASTIC",PR!$BK80,IF(F82="UNION",PR!$BL80,IF(F82="UNIQUE",PR!$BM80,IF(F82="VIXA",PR!$BN80,IF(F82="WWCV",PR!$BO80,IF(F82="ZOLON",PR!$BP80,"-"))))))))))))))))))))))))))))))))))))))))))))))))))))))))))))))))</f>
        <v>9000</v>
      </c>
      <c r="F82" s="102" t="str">
        <f>EV!L104</f>
        <v>EUMATT</v>
      </c>
      <c r="G82" s="108" t="str">
        <f>IF(H82="ALPHA",PR!$E80,IF(H82="ASSENE",PR!$F80,IF(H82="BIOFEM",PR!$G80,IF(H82="BIOMED",PR!$H80,IF(H82="CHI",PR!$I80,IF(H82="CLARION",PR!$J80,IF(H82="CODIX",PR!$K80,IF(H82="COSMADE",PR!$L80,IF(H82="SANCON",PR!$M80,IF(H82="DEVON",PR!$N80,IF(H82="DORTEMAG",PR!$O80,IF(H82="DGF",PR!$P80,IF(H82="DYNAMIC",PR!$Q80,IF(H82="EMZOR",PR!$R80,IF(H82="EUMATT",PR!$S80,IF(H82="FIDSON",PR!$T80,IF(H82="FCGLOBAL",PR!$U80,IF(H82="GENEITH",PR!$V80,IF(H82="GINOS",PR!$W80,IF(H82="GSK",PR!$X80,IF(H82="GLOBORG",PR!$Y80,IF(H82="GOODNEWS",PR!$Z80,IF(H82="GREENLIFE",PR!$AA80,IF(H82="HLINE",PR!$AB80,IF(H82="ROTECH",PR!$AC80,IF(H82="ISN",PR!$AD80,IF(H82="JAWA",PR!$AE80,IF(H82="LAYO",PR!$AF80,IF(H82="LEADWAY",PR!$AG80,IF(H82="LHV",PR!$AH80,IF(H82="MANOLA",PR!$AI80,IF(H82="MARCSON",PR!$AJ80,IF(H82="M&amp;B",PR!$AK80,IF(H82="MTRUST",PR!$AL80,IF(H82="MWORLD",PR!$AM80,IF(H82="MEGA",PR!$AN80,IF(H82="MICRONOVA",PR!$AO80,IF(H82="MFLASH",PR!$AP80,IF(H82="MORISON",PR!$AQ80,IF(H82="NEMEL",PR!$AR80,IF(H82="NHP",PR!$AS80,IF(H82="NHC",PR!$AT80,IF(H82="OLEAF",PR!$AU80,IF(H82="OCULUS",PR!$AV80,IF(H82="PACIFIC",PR!$AW80,IF(H82="PHAMATEX",PR!$AX80,IF(H82="PETHICS",PR!$AY80,IF(H82="PHILIPS",PR!$AZ80,IF(H82="RANBAXY",PR!$BA80,IF(H82="REALS",PR!$BB80,IF(H82="ROYAL",PR!$BC80,IF(H82="SAM",PR!$BD80,IF(H82="SEAGREEN",PR!$BE80,IF(H82="SKG",PR!$BF80,IF(H82="TAH",PR!$BG80,IF(H82="TAYLEK",PR!$BH80,IF(H82="TEMITA",PR!$BI80,IF(H82="THL",PR!$BJ80,IF(H82="UBASTIC",PR!$BK80,IF(H82="UNION",PR!$BL80,IF(H82="UNIQUE",PR!$BM80,IF(H82="VIXA",PR!$BN80,IF(H82="WWCV",PR!$BO80,IF(H82="ZOLON",PR!$BP80,"-"))))))))))))))))))))))))))))))))))))))))))))))))))))))))))))))))</f>
        <v>-</v>
      </c>
      <c r="H82" s="102">
        <f>EV!M104</f>
        <v>0</v>
      </c>
      <c r="I82" s="108" t="str">
        <f>IF(J82="ALPHA",PR!$E80,IF(J82="ASSENE",PR!$F80,IF(J82="BIOFEM",PR!$G80,IF(J82="BIOMED",PR!$H80,IF(J82="CHI",PR!$I80,IF(J82="CLARION",PR!$J80,IF(J82="CODIX",PR!$K80,IF(J82="COSMADE",PR!$L80,IF(J82="SANCON",PR!$M80,IF(J82="DEVON",PR!$N80,IF(J82="DORTEMAG",PR!$O80,IF(J82="DGF",PR!$P80,IF(J82="DYNAMIC",PR!$Q80,IF(J82="EMZOR",PR!$R80,IF(J82="EUMATT",PR!$S80,IF(J82="FIDSON",PR!$T80,IF(J82="FCGLOBAL",PR!$U80,IF(J82="GENEITH",PR!$V80,IF(J82="GINOS",PR!$W80,IF(J82="GSK",PR!$X80,IF(J82="GLOBORG",PR!$Y80,IF(J82="GOODNEWS",PR!$Z80,IF(J82="GREENLIFE",PR!$AA80,IF(J82="HLINE",PR!$AB80,IF(J82="ROTECH",PR!$AC80,IF(J82="ISN",PR!$AD80,IF(J82="JAWA",PR!$AE80,IF(J82="LAYO",PR!$AF80,IF(J82="LEADWAY",PR!$AG80,IF(J82="LHV",PR!$AH80,IF(J82="MANOLA",PR!$AI80,IF(J82="MARCSON",PR!$AJ80,IF(J82="M&amp;B",PR!$AK80,IF(J82="MTRUST",PR!$AL80,IF(J82="MWORLD",PR!$AM80,IF(J82="MEGA",PR!$AN80,IF(J82="MICRONOVA",PR!$AO80,IF(J82="MFLASH",PR!$AP80,IF(J82="MORISON",PR!$AQ80,IF(J82="NEMEL",PR!$AR80,IF(J82="NHP",PR!$AS80,IF(J82="NHC",PR!$AT80,IF(J82="OLEAF",PR!$AU80,IF(J82="OCULUS",PR!$AV80,IF(J82="PACIFIC",PR!$AW80,IF(J82="PHAMATEX",PR!$AX80,IF(J82="PETHICS",PR!$AY80,IF(J82="PHILIPS",PR!$AZ80,IF(J82="RANBAXY",PR!$BA80,IF(J82="REALS",PR!$BB80,IF(J82="ROYAL",PR!$BC80,IF(J82="SAM",PR!$BD80,IF(J82="SEAGREEN",PR!$BE80,IF(J82="SKG",PR!$BF80,IF(J82="TAH",PR!$BG80,IF(J82="TAYLEK",PR!$BH80,IF(J82="TEMITA",PR!$BI80,IF(J82="THL",PR!$BJ80,IF(J82="UBASTIC",PR!$BK80,IF(J82="UNION",PR!$BL80,IF(J82="UNIQUE",PR!$BM80,IF(J82="VIXA",PR!$BN80,IF(J82="WWCV",PR!$BO80,IF(J82="ZOLON",PR!$BP80,"-"))))))))))))))))))))))))))))))))))))))))))))))))))))))))))))))))</f>
        <v>-</v>
      </c>
      <c r="J82" s="102">
        <f>EV!N104</f>
        <v>0</v>
      </c>
      <c r="K82" s="433" t="s">
        <v>821</v>
      </c>
      <c r="L82" s="183">
        <f>IF(K82&gt;0,IF(K82="ALPHA",PR!$E80,IF(K82="ASSENE",PR!$F80,IF(K82="BIOFEM",PR!$G80,IF(K82="BIOMED",PR!$H80,IF(K82="CHI",PR!$I80,IF(K82="CLARION",PR!$J80,IF(K82="CODIX",PR!$K80,IF(K82="COSMADE",PR!$L80,IF(K82="SANCON",PR!$M80,IF(K82="DEVON",PR!$N80,IF(K82="DORTEMAG",PR!$O80,IF(K82="DGF",PR!$P80,IF(K82="DYNAMIC",PR!$Q80,IF(K82="EMZOR",PR!$R80,IF(K82="EUMATT",PR!$S80,IF(K82="FIDSON",PR!$T80,IF(K82="FCGLOBAL",PR!$U80,IF(K82="GENEITH",PR!$V80,IF(K82="GINOS",PR!$W80,IF(K82="GSK",PR!$X80,IF(K82="GLOBORG",PR!$Y80,IF(K82="GOODNEWS",PR!$Z80,IF(K82="GREENLIFE",PR!$AA80,IF(K82="HLINE",PR!$AB80,IF(K82="ROTECH",PR!$AC80,IF(K82="ISN",PR!$AD80,IF(K82="JAWA",PR!$AE80,IF(K82="LAYO",PR!$AF80,IF(K82="LEADWAY",PR!$AG80,IF(K82="LHV",PR!$AH80,IF(K82="MANOLA",PR!$AI80,IF(K82="MARCSON",PR!$AJ80,IF(K82="M&amp;B",PR!$AK80,IF(K82="MTRUST",PR!$AL80,IF(K82="MWORLD",PR!$AM80,IF(K82="MEGA",PR!$AN80,IF(K82="MICRONOVA",PR!$AO80,IF(K82="MFLASH",PR!$AP80,IF(K82="MORISON",PR!$AQ80,IF(K82="NEMEL",PR!$AR80,IF(K82="NHP",PR!$AS80,IF(K82="NHC",PR!$AT80,IF(K82="OLEAF",PR!$AU80,IF(K82="OCULUS",PR!$AV80,IF(K82="PACIFIC",PR!$AW80,IF(K82="PHAMATEX",PR!$AX80,IF(K82="PETHICS",PR!$AY80,IF(K82="PHILIPS",PR!$AZ80,IF(K82="RANBAXY",PR!$BA80,IF(K82="REALS",PR!$BB80,IF(K82="ROYAL",PR!$BC80,IF(K82="SAM",PR!$BD80,IF(K82="SEAGREEN",PR!$BE80,IF(K82="SKG",PR!$BF80,IF(K82="TAH",PR!$BG80,IF(K82="TAYLEK",PR!$BH80,IF(K82="TEMITA",PR!$BI80,IF(K82="THL",PR!$BJ80,IF(K82="UBASTIC",PR!$BK80,IF(K82="UNION",PR!$BL80,IF(K82="UNIQUE",PR!$BM80,IF(K82="VIXA",PR!$BN80,IF(K82="WWCV",PR!$BO80,IF(K82="ZOLON",PR!$BP80,"-")))))))))))))))))))))))))))))))))))))))))))))))))))))))))))))))))</f>
        <v>9000</v>
      </c>
    </row>
    <row r="83" spans="1:12" ht="18.75" x14ac:dyDescent="0.3">
      <c r="A83" s="430">
        <f>PR!A81</f>
        <v>65</v>
      </c>
      <c r="B83" s="15" t="str">
        <f>PR!B81</f>
        <v>HYDROCHLOROTHIAZIDE 25MG TAB</v>
      </c>
      <c r="C83" s="113">
        <f>PR!D81</f>
        <v>30</v>
      </c>
      <c r="D83" s="113">
        <f>PR!C81</f>
        <v>3000</v>
      </c>
      <c r="E83" s="108">
        <f>IF(F83="ALPHA",PR!$E81,IF(F83="ASSENE",PR!$F81,IF(F83="BIOFEM",PR!$G81,IF(F83="BIOMED",PR!$H81,IF(F83="CHI",PR!$I81,IF(F83="CLARION",PR!$J81,IF(F83="CODIX",PR!$K81,IF(F83="COSMADE",PR!$L81,IF(F83="SANCON",PR!$M81,IF(F83="DEVON",PR!$N81,IF(F83="DORTEMAG",PR!$O81,IF(F83="DGF",PR!$P81,IF(F83="DYNAMIC",PR!$Q81,IF(F83="EMZOR",PR!$R81,IF(F83="EUMATT",PR!$S81,IF(F83="FIDSON",PR!$T81,IF(F83="FCGLOBAL",PR!$U81,IF(F83="GENEITH",PR!$V81,IF(F83="GINOS",PR!$W81,IF(F83="GSK",PR!$X81,IF(F83="GLOBORG",PR!$Y81,IF(F83="GOODNEWS",PR!$Z81,IF(F83="GREENLIFE",PR!$AA81,IF(F83="HLINE",PR!$AB81,IF(F83="ROTECH",PR!$AC81,IF(F83="ISN",PR!$AD81,IF(F83="JAWA",PR!$AE81,IF(F83="LAYO",PR!$AF81,IF(F83="LEADWAY",PR!$AG81,IF(F83="LHV",PR!$AH81,IF(F83="MANOLA",PR!$AI81,IF(F83="MARCSON",PR!$AJ81,IF(F83="M&amp;B",PR!$AK81,IF(F83="MTRUST",PR!$AL81,IF(F83="MWORLD",PR!$AM81,IF(F83="MEGA",PR!$AN81,IF(F83="MICRONOVA",PR!$AO81,IF(F83="MFLASH",PR!$AP81,IF(F83="MORISON",PR!$AQ81,IF(F83="NEMEL",PR!$AR81,IF(F83="NHP",PR!$AS81,IF(F83="NHC",PR!$AT81,IF(F83="OLEAF",PR!$AU81,IF(F83="OCULUS",PR!$AV81,IF(F83="PACIFIC",PR!$AW81,IF(F83="PHAMATEX",PR!$AX81,IF(F83="PETHICS",PR!$AY81,IF(F83="PHILIPS",PR!$AZ81,IF(F83="RANBAXY",PR!$BA81,IF(F83="REALS",PR!$BB81,IF(F83="ROYAL",PR!$BC81,IF(F83="SAM",PR!$BD81,IF(F83="SEAGREEN",PR!$BE81,IF(F83="SKG",PR!$BF81,IF(F83="TAH",PR!$BG81,IF(F83="TAYLEK",PR!$BH81,IF(F83="TEMITA",PR!$BI81,IF(F83="THL",PR!$BJ81,IF(F83="UBASTIC",PR!$BK81,IF(F83="UNION",PR!$BL81,IF(F83="UNIQUE",PR!$BM81,IF(F83="VIXA",PR!$BN81,IF(F83="WWCV",PR!$BO81,IF(F83="ZOLON",PR!$BP81,"-"))))))))))))))))))))))))))))))))))))))))))))))))))))))))))))))))</f>
        <v>300</v>
      </c>
      <c r="F83" s="102" t="str">
        <f>EV!L105</f>
        <v>DGF</v>
      </c>
      <c r="G83" s="108">
        <f>IF(H83="ALPHA",PR!$E81,IF(H83="ASSENE",PR!$F81,IF(H83="BIOFEM",PR!$G81,IF(H83="BIOMED",PR!$H81,IF(H83="CHI",PR!$I81,IF(H83="CLARION",PR!$J81,IF(H83="CODIX",PR!$K81,IF(H83="COSMADE",PR!$L81,IF(H83="SANCON",PR!$M81,IF(H83="DEVON",PR!$N81,IF(H83="DORTEMAG",PR!$O81,IF(H83="DGF",PR!$P81,IF(H83="DYNAMIC",PR!$Q81,IF(H83="EMZOR",PR!$R81,IF(H83="EUMATT",PR!$S81,IF(H83="FIDSON",PR!$T81,IF(H83="FCGLOBAL",PR!$U81,IF(H83="GENEITH",PR!$V81,IF(H83="GINOS",PR!$W81,IF(H83="GSK",PR!$X81,IF(H83="GLOBORG",PR!$Y81,IF(H83="GOODNEWS",PR!$Z81,IF(H83="GREENLIFE",PR!$AA81,IF(H83="HLINE",PR!$AB81,IF(H83="ROTECH",PR!$AC81,IF(H83="ISN",PR!$AD81,IF(H83="JAWA",PR!$AE81,IF(H83="LAYO",PR!$AF81,IF(H83="LEADWAY",PR!$AG81,IF(H83="LHV",PR!$AH81,IF(H83="MANOLA",PR!$AI81,IF(H83="MARCSON",PR!$AJ81,IF(H83="M&amp;B",PR!$AK81,IF(H83="MTRUST",PR!$AL81,IF(H83="MWORLD",PR!$AM81,IF(H83="MEGA",PR!$AN81,IF(H83="MICRONOVA",PR!$AO81,IF(H83="MFLASH",PR!$AP81,IF(H83="MORISON",PR!$AQ81,IF(H83="NEMEL",PR!$AR81,IF(H83="NHP",PR!$AS81,IF(H83="NHC",PR!$AT81,IF(H83="OLEAF",PR!$AU81,IF(H83="OCULUS",PR!$AV81,IF(H83="PACIFIC",PR!$AW81,IF(H83="PHAMATEX",PR!$AX81,IF(H83="PETHICS",PR!$AY81,IF(H83="PHILIPS",PR!$AZ81,IF(H83="RANBAXY",PR!$BA81,IF(H83="REALS",PR!$BB81,IF(H83="ROYAL",PR!$BC81,IF(H83="SAM",PR!$BD81,IF(H83="SEAGREEN",PR!$BE81,IF(H83="SKG",PR!$BF81,IF(H83="TAH",PR!$BG81,IF(H83="TAYLEK",PR!$BH81,IF(H83="TEMITA",PR!$BI81,IF(H83="THL",PR!$BJ81,IF(H83="UBASTIC",PR!$BK81,IF(H83="UNION",PR!$BL81,IF(H83="UNIQUE",PR!$BM81,IF(H83="VIXA",PR!$BN81,IF(H83="WWCV",PR!$BO81,IF(H83="ZOLON",PR!$BP81,"-"))))))))))))))))))))))))))))))))))))))))))))))))))))))))))))))))</f>
        <v>650</v>
      </c>
      <c r="H83" s="102" t="str">
        <f>EV!M105</f>
        <v>EUMATT</v>
      </c>
      <c r="I83" s="108" t="str">
        <f>IF(J83="ALPHA",PR!$E81,IF(J83="ASSENE",PR!$F81,IF(J83="BIOFEM",PR!$G81,IF(J83="BIOMED",PR!$H81,IF(J83="CHI",PR!$I81,IF(J83="CLARION",PR!$J81,IF(J83="CODIX",PR!$K81,IF(J83="COSMADE",PR!$L81,IF(J83="SANCON",PR!$M81,IF(J83="DEVON",PR!$N81,IF(J83="DORTEMAG",PR!$O81,IF(J83="DGF",PR!$P81,IF(J83="DYNAMIC",PR!$Q81,IF(J83="EMZOR",PR!$R81,IF(J83="EUMATT",PR!$S81,IF(J83="FIDSON",PR!$T81,IF(J83="FCGLOBAL",PR!$U81,IF(J83="GENEITH",PR!$V81,IF(J83="GINOS",PR!$W81,IF(J83="GSK",PR!$X81,IF(J83="GLOBORG",PR!$Y81,IF(J83="GOODNEWS",PR!$Z81,IF(J83="GREENLIFE",PR!$AA81,IF(J83="HLINE",PR!$AB81,IF(J83="ROTECH",PR!$AC81,IF(J83="ISN",PR!$AD81,IF(J83="JAWA",PR!$AE81,IF(J83="LAYO",PR!$AF81,IF(J83="LEADWAY",PR!$AG81,IF(J83="LHV",PR!$AH81,IF(J83="MANOLA",PR!$AI81,IF(J83="MARCSON",PR!$AJ81,IF(J83="M&amp;B",PR!$AK81,IF(J83="MTRUST",PR!$AL81,IF(J83="MWORLD",PR!$AM81,IF(J83="MEGA",PR!$AN81,IF(J83="MICRONOVA",PR!$AO81,IF(J83="MFLASH",PR!$AP81,IF(J83="MORISON",PR!$AQ81,IF(J83="NEMEL",PR!$AR81,IF(J83="NHP",PR!$AS81,IF(J83="NHC",PR!$AT81,IF(J83="OLEAF",PR!$AU81,IF(J83="OCULUS",PR!$AV81,IF(J83="PACIFIC",PR!$AW81,IF(J83="PHAMATEX",PR!$AX81,IF(J83="PETHICS",PR!$AY81,IF(J83="PHILIPS",PR!$AZ81,IF(J83="RANBAXY",PR!$BA81,IF(J83="REALS",PR!$BB81,IF(J83="ROYAL",PR!$BC81,IF(J83="SAM",PR!$BD81,IF(J83="SEAGREEN",PR!$BE81,IF(J83="SKG",PR!$BF81,IF(J83="TAH",PR!$BG81,IF(J83="TAYLEK",PR!$BH81,IF(J83="TEMITA",PR!$BI81,IF(J83="THL",PR!$BJ81,IF(J83="UBASTIC",PR!$BK81,IF(J83="UNION",PR!$BL81,IF(J83="UNIQUE",PR!$BM81,IF(J83="VIXA",PR!$BN81,IF(J83="WWCV",PR!$BO81,IF(J83="ZOLON",PR!$BP81,"-"))))))))))))))))))))))))))))))))))))))))))))))))))))))))))))))))</f>
        <v>-</v>
      </c>
      <c r="J83" s="102">
        <f>EV!N105</f>
        <v>0</v>
      </c>
      <c r="K83" s="433" t="s">
        <v>829</v>
      </c>
      <c r="L83" s="183">
        <f>IF(K83&gt;0,IF(K83="ALPHA",PR!$E81,IF(K83="ASSENE",PR!$F81,IF(K83="BIOFEM",PR!$G81,IF(K83="BIOMED",PR!$H81,IF(K83="CHI",PR!$I81,IF(K83="CLARION",PR!$J81,IF(K83="CODIX",PR!$K81,IF(K83="COSMADE",PR!$L81,IF(K83="SANCON",PR!$M81,IF(K83="DEVON",PR!$N81,IF(K83="DORTEMAG",PR!$O81,IF(K83="DGF",PR!$P81,IF(K83="DYNAMIC",PR!$Q81,IF(K83="EMZOR",PR!$R81,IF(K83="EUMATT",PR!$S81,IF(K83="FIDSON",PR!$T81,IF(K83="FCGLOBAL",PR!$U81,IF(K83="GENEITH",PR!$V81,IF(K83="GINOS",PR!$W81,IF(K83="GSK",PR!$X81,IF(K83="GLOBORG",PR!$Y81,IF(K83="GOODNEWS",PR!$Z81,IF(K83="GREENLIFE",PR!$AA81,IF(K83="HLINE",PR!$AB81,IF(K83="ROTECH",PR!$AC81,IF(K83="ISN",PR!$AD81,IF(K83="JAWA",PR!$AE81,IF(K83="LAYO",PR!$AF81,IF(K83="LEADWAY",PR!$AG81,IF(K83="LHV",PR!$AH81,IF(K83="MANOLA",PR!$AI81,IF(K83="MARCSON",PR!$AJ81,IF(K83="M&amp;B",PR!$AK81,IF(K83="MTRUST",PR!$AL81,IF(K83="MWORLD",PR!$AM81,IF(K83="MEGA",PR!$AN81,IF(K83="MICRONOVA",PR!$AO81,IF(K83="MFLASH",PR!$AP81,IF(K83="MORISON",PR!$AQ81,IF(K83="NEMEL",PR!$AR81,IF(K83="NHP",PR!$AS81,IF(K83="NHC",PR!$AT81,IF(K83="OLEAF",PR!$AU81,IF(K83="OCULUS",PR!$AV81,IF(K83="PACIFIC",PR!$AW81,IF(K83="PHAMATEX",PR!$AX81,IF(K83="PETHICS",PR!$AY81,IF(K83="PHILIPS",PR!$AZ81,IF(K83="RANBAXY",PR!$BA81,IF(K83="REALS",PR!$BB81,IF(K83="ROYAL",PR!$BC81,IF(K83="SAM",PR!$BD81,IF(K83="SEAGREEN",PR!$BE81,IF(K83="SKG",PR!$BF81,IF(K83="TAH",PR!$BG81,IF(K83="TAYLEK",PR!$BH81,IF(K83="TEMITA",PR!$BI81,IF(K83="THL",PR!$BJ81,IF(K83="UBASTIC",PR!$BK81,IF(K83="UNION",PR!$BL81,IF(K83="UNIQUE",PR!$BM81,IF(K83="VIXA",PR!$BN81,IF(K83="WWCV",PR!$BO81,IF(K83="ZOLON",PR!$BP81,"-")))))))))))))))))))))))))))))))))))))))))))))))))))))))))))))))))</f>
        <v>300</v>
      </c>
    </row>
    <row r="84" spans="1:12" ht="18.75" x14ac:dyDescent="0.3">
      <c r="A84" s="430">
        <f>PR!A82</f>
        <v>66</v>
      </c>
      <c r="B84" s="15" t="str">
        <f>PR!B82</f>
        <v>INDAPAMIDE 1.5MG</v>
      </c>
      <c r="C84" s="113">
        <f>PR!D82</f>
        <v>30</v>
      </c>
      <c r="D84" s="113">
        <f>PR!C82</f>
        <v>3000</v>
      </c>
      <c r="E84" s="108">
        <f>IF(F84="ALPHA",PR!$E82,IF(F84="ASSENE",PR!$F82,IF(F84="BIOFEM",PR!$G82,IF(F84="BIOMED",PR!$H82,IF(F84="CHI",PR!$I82,IF(F84="CLARION",PR!$J82,IF(F84="CODIX",PR!$K82,IF(F84="COSMADE",PR!$L82,IF(F84="SANCON",PR!$M82,IF(F84="DEVON",PR!$N82,IF(F84="DORTEMAG",PR!$O82,IF(F84="DGF",PR!$P82,IF(F84="DYNAMIC",PR!$Q82,IF(F84="EMZOR",PR!$R82,IF(F84="EUMATT",PR!$S82,IF(F84="FIDSON",PR!$T82,IF(F84="FCGLOBAL",PR!$U82,IF(F84="GENEITH",PR!$V82,IF(F84="GINOS",PR!$W82,IF(F84="GSK",PR!$X82,IF(F84="GLOBORG",PR!$Y82,IF(F84="GOODNEWS",PR!$Z82,IF(F84="GREENLIFE",PR!$AA82,IF(F84="HLINE",PR!$AB82,IF(F84="ROTECH",PR!$AC82,IF(F84="ISN",PR!$AD82,IF(F84="JAWA",PR!$AE82,IF(F84="LAYO",PR!$AF82,IF(F84="LEADWAY",PR!$AG82,IF(F84="LHV",PR!$AH82,IF(F84="MANOLA",PR!$AI82,IF(F84="MARCSON",PR!$AJ82,IF(F84="M&amp;B",PR!$AK82,IF(F84="MTRUST",PR!$AL82,IF(F84="MWORLD",PR!$AM82,IF(F84="MEGA",PR!$AN82,IF(F84="MICRONOVA",PR!$AO82,IF(F84="MFLASH",PR!$AP82,IF(F84="MORISON",PR!$AQ82,IF(F84="NEMEL",PR!$AR82,IF(F84="NHP",PR!$AS82,IF(F84="NHC",PR!$AT82,IF(F84="OLEAF",PR!$AU82,IF(F84="OCULUS",PR!$AV82,IF(F84="PACIFIC",PR!$AW82,IF(F84="PHAMATEX",PR!$AX82,IF(F84="PETHICS",PR!$AY82,IF(F84="PHILIPS",PR!$AZ82,IF(F84="RANBAXY",PR!$BA82,IF(F84="REALS",PR!$BB82,IF(F84="ROYAL",PR!$BC82,IF(F84="SAM",PR!$BD82,IF(F84="SEAGREEN",PR!$BE82,IF(F84="SKG",PR!$BF82,IF(F84="TAH",PR!$BG82,IF(F84="TAYLEK",PR!$BH82,IF(F84="TEMITA",PR!$BI82,IF(F84="THL",PR!$BJ82,IF(F84="UBASTIC",PR!$BK82,IF(F84="UNION",PR!$BL82,IF(F84="UNIQUE",PR!$BM82,IF(F84="VIXA",PR!$BN82,IF(F84="WWCV",PR!$BO82,IF(F84="ZOLON",PR!$BP82,"-"))))))))))))))))))))))))))))))))))))))))))))))))))))))))))))))))</f>
        <v>1500</v>
      </c>
      <c r="F84" s="102" t="str">
        <f>EV!L106</f>
        <v>EUMATT</v>
      </c>
      <c r="G84" s="108">
        <f>IF(H84="ALPHA",PR!$E82,IF(H84="ASSENE",PR!$F82,IF(H84="BIOFEM",PR!$G82,IF(H84="BIOMED",PR!$H82,IF(H84="CHI",PR!$I82,IF(H84="CLARION",PR!$J82,IF(H84="CODIX",PR!$K82,IF(H84="COSMADE",PR!$L82,IF(H84="SANCON",PR!$M82,IF(H84="DEVON",PR!$N82,IF(H84="DORTEMAG",PR!$O82,IF(H84="DGF",PR!$P82,IF(H84="DYNAMIC",PR!$Q82,IF(H84="EMZOR",PR!$R82,IF(H84="EUMATT",PR!$S82,IF(H84="FIDSON",PR!$T82,IF(H84="FCGLOBAL",PR!$U82,IF(H84="GENEITH",PR!$V82,IF(H84="GINOS",PR!$W82,IF(H84="GSK",PR!$X82,IF(H84="GLOBORG",PR!$Y82,IF(H84="GOODNEWS",PR!$Z82,IF(H84="GREENLIFE",PR!$AA82,IF(H84="HLINE",PR!$AB82,IF(H84="ROTECH",PR!$AC82,IF(H84="ISN",PR!$AD82,IF(H84="JAWA",PR!$AE82,IF(H84="LAYO",PR!$AF82,IF(H84="LEADWAY",PR!$AG82,IF(H84="LHV",PR!$AH82,IF(H84="MANOLA",PR!$AI82,IF(H84="MARCSON",PR!$AJ82,IF(H84="M&amp;B",PR!$AK82,IF(H84="MTRUST",PR!$AL82,IF(H84="MWORLD",PR!$AM82,IF(H84="MEGA",PR!$AN82,IF(H84="MICRONOVA",PR!$AO82,IF(H84="MFLASH",PR!$AP82,IF(H84="MORISON",PR!$AQ82,IF(H84="NEMEL",PR!$AR82,IF(H84="NHP",PR!$AS82,IF(H84="NHC",PR!$AT82,IF(H84="OLEAF",PR!$AU82,IF(H84="OCULUS",PR!$AV82,IF(H84="PACIFIC",PR!$AW82,IF(H84="PHAMATEX",PR!$AX82,IF(H84="PETHICS",PR!$AY82,IF(H84="PHILIPS",PR!$AZ82,IF(H84="RANBAXY",PR!$BA82,IF(H84="REALS",PR!$BB82,IF(H84="ROYAL",PR!$BC82,IF(H84="SAM",PR!$BD82,IF(H84="SEAGREEN",PR!$BE82,IF(H84="SKG",PR!$BF82,IF(H84="TAH",PR!$BG82,IF(H84="TAYLEK",PR!$BH82,IF(H84="TEMITA",PR!$BI82,IF(H84="THL",PR!$BJ82,IF(H84="UBASTIC",PR!$BK82,IF(H84="UNION",PR!$BL82,IF(H84="UNIQUE",PR!$BM82,IF(H84="VIXA",PR!$BN82,IF(H84="WWCV",PR!$BO82,IF(H84="ZOLON",PR!$BP82,"-"))))))))))))))))))))))))))))))))))))))))))))))))))))))))))))))))</f>
        <v>2530</v>
      </c>
      <c r="H84" s="102" t="str">
        <f>EV!M106</f>
        <v>CHI</v>
      </c>
      <c r="I84" s="108">
        <f>IF(J84="ALPHA",PR!$E82,IF(J84="ASSENE",PR!$F82,IF(J84="BIOFEM",PR!$G82,IF(J84="BIOMED",PR!$H82,IF(J84="CHI",PR!$I82,IF(J84="CLARION",PR!$J82,IF(J84="CODIX",PR!$K82,IF(J84="COSMADE",PR!$L82,IF(J84="SANCON",PR!$M82,IF(J84="DEVON",PR!$N82,IF(J84="DORTEMAG",PR!$O82,IF(J84="DGF",PR!$P82,IF(J84="DYNAMIC",PR!$Q82,IF(J84="EMZOR",PR!$R82,IF(J84="EUMATT",PR!$S82,IF(J84="FIDSON",PR!$T82,IF(J84="FCGLOBAL",PR!$U82,IF(J84="GENEITH",PR!$V82,IF(J84="GINOS",PR!$W82,IF(J84="GSK",PR!$X82,IF(J84="GLOBORG",PR!$Y82,IF(J84="GOODNEWS",PR!$Z82,IF(J84="GREENLIFE",PR!$AA82,IF(J84="HLINE",PR!$AB82,IF(J84="ROTECH",PR!$AC82,IF(J84="ISN",PR!$AD82,IF(J84="JAWA",PR!$AE82,IF(J84="LAYO",PR!$AF82,IF(J84="LEADWAY",PR!$AG82,IF(J84="LHV",PR!$AH82,IF(J84="MANOLA",PR!$AI82,IF(J84="MARCSON",PR!$AJ82,IF(J84="M&amp;B",PR!$AK82,IF(J84="MTRUST",PR!$AL82,IF(J84="MWORLD",PR!$AM82,IF(J84="MEGA",PR!$AN82,IF(J84="MICRONOVA",PR!$AO82,IF(J84="MFLASH",PR!$AP82,IF(J84="MORISON",PR!$AQ82,IF(J84="NEMEL",PR!$AR82,IF(J84="NHP",PR!$AS82,IF(J84="NHC",PR!$AT82,IF(J84="OLEAF",PR!$AU82,IF(J84="OCULUS",PR!$AV82,IF(J84="PACIFIC",PR!$AW82,IF(J84="PHAMATEX",PR!$AX82,IF(J84="PETHICS",PR!$AY82,IF(J84="PHILIPS",PR!$AZ82,IF(J84="RANBAXY",PR!$BA82,IF(J84="REALS",PR!$BB82,IF(J84="ROYAL",PR!$BC82,IF(J84="SAM",PR!$BD82,IF(J84="SEAGREEN",PR!$BE82,IF(J84="SKG",PR!$BF82,IF(J84="TAH",PR!$BG82,IF(J84="TAYLEK",PR!$BH82,IF(J84="TEMITA",PR!$BI82,IF(J84="THL",PR!$BJ82,IF(J84="UBASTIC",PR!$BK82,IF(J84="UNION",PR!$BL82,IF(J84="UNIQUE",PR!$BM82,IF(J84="VIXA",PR!$BN82,IF(J84="WWCV",PR!$BO82,IF(J84="ZOLON",PR!$BP82,"-"))))))))))))))))))))))))))))))))))))))))))))))))))))))))))))))))</f>
        <v>6000</v>
      </c>
      <c r="J84" s="102" t="str">
        <f>EV!N106</f>
        <v>PHILIPS</v>
      </c>
      <c r="K84" s="433" t="s">
        <v>1446</v>
      </c>
      <c r="L84" s="183">
        <f>IF(K84&gt;0,IF(K84="ALPHA",PR!$E82,IF(K84="ASSENE",PR!$F82,IF(K84="BIOFEM",PR!$G82,IF(K84="BIOMED",PR!$H82,IF(K84="CHI",PR!$I82,IF(K84="CLARION",PR!$J82,IF(K84="CODIX",PR!$K82,IF(K84="COSMADE",PR!$L82,IF(K84="SANCON",PR!$M82,IF(K84="DEVON",PR!$N82,IF(K84="DORTEMAG",PR!$O82,IF(K84="DGF",PR!$P82,IF(K84="DYNAMIC",PR!$Q82,IF(K84="EMZOR",PR!$R82,IF(K84="EUMATT",PR!$S82,IF(K84="FIDSON",PR!$T82,IF(K84="FCGLOBAL",PR!$U82,IF(K84="GENEITH",PR!$V82,IF(K84="GINOS",PR!$W82,IF(K84="GSK",PR!$X82,IF(K84="GLOBORG",PR!$Y82,IF(K84="GOODNEWS",PR!$Z82,IF(K84="GREENLIFE",PR!$AA82,IF(K84="HLINE",PR!$AB82,IF(K84="ROTECH",PR!$AC82,IF(K84="ISN",PR!$AD82,IF(K84="JAWA",PR!$AE82,IF(K84="LAYO",PR!$AF82,IF(K84="LEADWAY",PR!$AG82,IF(K84="LHV",PR!$AH82,IF(K84="MANOLA",PR!$AI82,IF(K84="MARCSON",PR!$AJ82,IF(K84="M&amp;B",PR!$AK82,IF(K84="MTRUST",PR!$AL82,IF(K84="MWORLD",PR!$AM82,IF(K84="MEGA",PR!$AN82,IF(K84="MICRONOVA",PR!$AO82,IF(K84="MFLASH",PR!$AP82,IF(K84="MORISON",PR!$AQ82,IF(K84="NEMEL",PR!$AR82,IF(K84="NHP",PR!$AS82,IF(K84="NHC",PR!$AT82,IF(K84="OLEAF",PR!$AU82,IF(K84="OCULUS",PR!$AV82,IF(K84="PACIFIC",PR!$AW82,IF(K84="PHAMATEX",PR!$AX82,IF(K84="PETHICS",PR!$AY82,IF(K84="PHILIPS",PR!$AZ82,IF(K84="RANBAXY",PR!$BA82,IF(K84="REALS",PR!$BB82,IF(K84="ROYAL",PR!$BC82,IF(K84="SAM",PR!$BD82,IF(K84="SEAGREEN",PR!$BE82,IF(K84="SKG",PR!$BF82,IF(K84="TAH",PR!$BG82,IF(K84="TAYLEK",PR!$BH82,IF(K84="TEMITA",PR!$BI82,IF(K84="THL",PR!$BJ82,IF(K84="UBASTIC",PR!$BK82,IF(K84="UNION",PR!$BL82,IF(K84="UNIQUE",PR!$BM82,IF(K84="VIXA",PR!$BN82,IF(K84="WWCV",PR!$BO82,IF(K84="ZOLON",PR!$BP82,"-")))))))))))))))))))))))))))))))))))))))))))))))))))))))))))))))))</f>
        <v>2530</v>
      </c>
    </row>
    <row r="85" spans="1:12" ht="18.75" x14ac:dyDescent="0.3">
      <c r="A85" s="430">
        <f>PR!A83</f>
        <v>67</v>
      </c>
      <c r="B85" s="15" t="str">
        <f>PR!B83</f>
        <v>INDAPAMIDE/AMLODIPINE 1.5/10MG</v>
      </c>
      <c r="C85" s="113">
        <f>PR!D83</f>
        <v>30</v>
      </c>
      <c r="D85" s="113">
        <f>PR!C83</f>
        <v>5200</v>
      </c>
      <c r="E85" s="108">
        <f>IF(F85="ALPHA",PR!$E83,IF(F85="ASSENE",PR!$F83,IF(F85="BIOFEM",PR!$G83,IF(F85="BIOMED",PR!$H83,IF(F85="CHI",PR!$I83,IF(F85="CLARION",PR!$J83,IF(F85="CODIX",PR!$K83,IF(F85="COSMADE",PR!$L83,IF(F85="SANCON",PR!$M83,IF(F85="DEVON",PR!$N83,IF(F85="DORTEMAG",PR!$O83,IF(F85="DGF",PR!$P83,IF(F85="DYNAMIC",PR!$Q83,IF(F85="EMZOR",PR!$R83,IF(F85="EUMATT",PR!$S83,IF(F85="FIDSON",PR!$T83,IF(F85="FCGLOBAL",PR!$U83,IF(F85="GENEITH",PR!$V83,IF(F85="GINOS",PR!$W83,IF(F85="GSK",PR!$X83,IF(F85="GLOBORG",PR!$Y83,IF(F85="GOODNEWS",PR!$Z83,IF(F85="GREENLIFE",PR!$AA83,IF(F85="HLINE",PR!$AB83,IF(F85="ROTECH",PR!$AC83,IF(F85="ISN",PR!$AD83,IF(F85="JAWA",PR!$AE83,IF(F85="LAYO",PR!$AF83,IF(F85="LEADWAY",PR!$AG83,IF(F85="LHV",PR!$AH83,IF(F85="MANOLA",PR!$AI83,IF(F85="MARCSON",PR!$AJ83,IF(F85="M&amp;B",PR!$AK83,IF(F85="MTRUST",PR!$AL83,IF(F85="MWORLD",PR!$AM83,IF(F85="MEGA",PR!$AN83,IF(F85="MICRONOVA",PR!$AO83,IF(F85="MFLASH",PR!$AP83,IF(F85="MORISON",PR!$AQ83,IF(F85="NEMEL",PR!$AR83,IF(F85="NHP",PR!$AS83,IF(F85="NHC",PR!$AT83,IF(F85="OLEAF",PR!$AU83,IF(F85="OCULUS",PR!$AV83,IF(F85="PACIFIC",PR!$AW83,IF(F85="PHAMATEX",PR!$AX83,IF(F85="PETHICS",PR!$AY83,IF(F85="PHILIPS",PR!$AZ83,IF(F85="RANBAXY",PR!$BA83,IF(F85="REALS",PR!$BB83,IF(F85="ROYAL",PR!$BC83,IF(F85="SAM",PR!$BD83,IF(F85="SEAGREEN",PR!$BE83,IF(F85="SKG",PR!$BF83,IF(F85="TAH",PR!$BG83,IF(F85="TAYLEK",PR!$BH83,IF(F85="TEMITA",PR!$BI83,IF(F85="THL",PR!$BJ83,IF(F85="UBASTIC",PR!$BK83,IF(F85="UNION",PR!$BL83,IF(F85="UNIQUE",PR!$BM83,IF(F85="VIXA",PR!$BN83,IF(F85="WWCV",PR!$BO83,IF(F85="ZOLON",PR!$BP83,"-"))))))))))))))))))))))))))))))))))))))))))))))))))))))))))))))))</f>
        <v>3335</v>
      </c>
      <c r="F85" s="102" t="str">
        <f>EV!L107</f>
        <v>CHI</v>
      </c>
      <c r="G85" s="108" t="str">
        <f>IF(H85="ALPHA",PR!$E83,IF(H85="ASSENE",PR!$F83,IF(H85="BIOFEM",PR!$G83,IF(H85="BIOMED",PR!$H83,IF(H85="CHI",PR!$I83,IF(H85="CLARION",PR!$J83,IF(H85="CODIX",PR!$K83,IF(H85="COSMADE",PR!$L83,IF(H85="SANCON",PR!$M83,IF(H85="DEVON",PR!$N83,IF(H85="DORTEMAG",PR!$O83,IF(H85="DGF",PR!$P83,IF(H85="DYNAMIC",PR!$Q83,IF(H85="EMZOR",PR!$R83,IF(H85="EUMATT",PR!$S83,IF(H85="FIDSON",PR!$T83,IF(H85="FCGLOBAL",PR!$U83,IF(H85="GENEITH",PR!$V83,IF(H85="GINOS",PR!$W83,IF(H85="GSK",PR!$X83,IF(H85="GLOBORG",PR!$Y83,IF(H85="GOODNEWS",PR!$Z83,IF(H85="GREENLIFE",PR!$AA83,IF(H85="HLINE",PR!$AB83,IF(H85="ROTECH",PR!$AC83,IF(H85="ISN",PR!$AD83,IF(H85="JAWA",PR!$AE83,IF(H85="LAYO",PR!$AF83,IF(H85="LEADWAY",PR!$AG83,IF(H85="LHV",PR!$AH83,IF(H85="MANOLA",PR!$AI83,IF(H85="MARCSON",PR!$AJ83,IF(H85="M&amp;B",PR!$AK83,IF(H85="MTRUST",PR!$AL83,IF(H85="MWORLD",PR!$AM83,IF(H85="MEGA",PR!$AN83,IF(H85="MICRONOVA",PR!$AO83,IF(H85="MFLASH",PR!$AP83,IF(H85="MORISON",PR!$AQ83,IF(H85="NEMEL",PR!$AR83,IF(H85="NHP",PR!$AS83,IF(H85="NHC",PR!$AT83,IF(H85="OLEAF",PR!$AU83,IF(H85="OCULUS",PR!$AV83,IF(H85="PACIFIC",PR!$AW83,IF(H85="PHAMATEX",PR!$AX83,IF(H85="PETHICS",PR!$AY83,IF(H85="PHILIPS",PR!$AZ83,IF(H85="RANBAXY",PR!$BA83,IF(H85="REALS",PR!$BB83,IF(H85="ROYAL",PR!$BC83,IF(H85="SAM",PR!$BD83,IF(H85="SEAGREEN",PR!$BE83,IF(H85="SKG",PR!$BF83,IF(H85="TAH",PR!$BG83,IF(H85="TAYLEK",PR!$BH83,IF(H85="TEMITA",PR!$BI83,IF(H85="THL",PR!$BJ83,IF(H85="UBASTIC",PR!$BK83,IF(H85="UNION",PR!$BL83,IF(H85="UNIQUE",PR!$BM83,IF(H85="VIXA",PR!$BN83,IF(H85="WWCV",PR!$BO83,IF(H85="ZOLON",PR!$BP83,"-"))))))))))))))))))))))))))))))))))))))))))))))))))))))))))))))))</f>
        <v>-</v>
      </c>
      <c r="H85" s="102">
        <f>EV!M107</f>
        <v>0</v>
      </c>
      <c r="I85" s="108" t="str">
        <f>IF(J85="ALPHA",PR!$E83,IF(J85="ASSENE",PR!$F83,IF(J85="BIOFEM",PR!$G83,IF(J85="BIOMED",PR!$H83,IF(J85="CHI",PR!$I83,IF(J85="CLARION",PR!$J83,IF(J85="CODIX",PR!$K83,IF(J85="COSMADE",PR!$L83,IF(J85="SANCON",PR!$M83,IF(J85="DEVON",PR!$N83,IF(J85="DORTEMAG",PR!$O83,IF(J85="DGF",PR!$P83,IF(J85="DYNAMIC",PR!$Q83,IF(J85="EMZOR",PR!$R83,IF(J85="EUMATT",PR!$S83,IF(J85="FIDSON",PR!$T83,IF(J85="FCGLOBAL",PR!$U83,IF(J85="GENEITH",PR!$V83,IF(J85="GINOS",PR!$W83,IF(J85="GSK",PR!$X83,IF(J85="GLOBORG",PR!$Y83,IF(J85="GOODNEWS",PR!$Z83,IF(J85="GREENLIFE",PR!$AA83,IF(J85="HLINE",PR!$AB83,IF(J85="ROTECH",PR!$AC83,IF(J85="ISN",PR!$AD83,IF(J85="JAWA",PR!$AE83,IF(J85="LAYO",PR!$AF83,IF(J85="LEADWAY",PR!$AG83,IF(J85="LHV",PR!$AH83,IF(J85="MANOLA",PR!$AI83,IF(J85="MARCSON",PR!$AJ83,IF(J85="M&amp;B",PR!$AK83,IF(J85="MTRUST",PR!$AL83,IF(J85="MWORLD",PR!$AM83,IF(J85="MEGA",PR!$AN83,IF(J85="MICRONOVA",PR!$AO83,IF(J85="MFLASH",PR!$AP83,IF(J85="MORISON",PR!$AQ83,IF(J85="NEMEL",PR!$AR83,IF(J85="NHP",PR!$AS83,IF(J85="NHC",PR!$AT83,IF(J85="OLEAF",PR!$AU83,IF(J85="OCULUS",PR!$AV83,IF(J85="PACIFIC",PR!$AW83,IF(J85="PHAMATEX",PR!$AX83,IF(J85="PETHICS",PR!$AY83,IF(J85="PHILIPS",PR!$AZ83,IF(J85="RANBAXY",PR!$BA83,IF(J85="REALS",PR!$BB83,IF(J85="ROYAL",PR!$BC83,IF(J85="SAM",PR!$BD83,IF(J85="SEAGREEN",PR!$BE83,IF(J85="SKG",PR!$BF83,IF(J85="TAH",PR!$BG83,IF(J85="TAYLEK",PR!$BH83,IF(J85="TEMITA",PR!$BI83,IF(J85="THL",PR!$BJ83,IF(J85="UBASTIC",PR!$BK83,IF(J85="UNION",PR!$BL83,IF(J85="UNIQUE",PR!$BM83,IF(J85="VIXA",PR!$BN83,IF(J85="WWCV",PR!$BO83,IF(J85="ZOLON",PR!$BP83,"-"))))))))))))))))))))))))))))))))))))))))))))))))))))))))))))))))</f>
        <v>-</v>
      </c>
      <c r="J85" s="102">
        <f>EV!N107</f>
        <v>0</v>
      </c>
      <c r="K85" s="433" t="s">
        <v>1446</v>
      </c>
      <c r="L85" s="183">
        <f>IF(K85&gt;0,IF(K85="ALPHA",PR!$E83,IF(K85="ASSENE",PR!$F83,IF(K85="BIOFEM",PR!$G83,IF(K85="BIOMED",PR!$H83,IF(K85="CHI",PR!$I83,IF(K85="CLARION",PR!$J83,IF(K85="CODIX",PR!$K83,IF(K85="COSMADE",PR!$L83,IF(K85="SANCON",PR!$M83,IF(K85="DEVON",PR!$N83,IF(K85="DORTEMAG",PR!$O83,IF(K85="DGF",PR!$P83,IF(K85="DYNAMIC",PR!$Q83,IF(K85="EMZOR",PR!$R83,IF(K85="EUMATT",PR!$S83,IF(K85="FIDSON",PR!$T83,IF(K85="FCGLOBAL",PR!$U83,IF(K85="GENEITH",PR!$V83,IF(K85="GINOS",PR!$W83,IF(K85="GSK",PR!$X83,IF(K85="GLOBORG",PR!$Y83,IF(K85="GOODNEWS",PR!$Z83,IF(K85="GREENLIFE",PR!$AA83,IF(K85="HLINE",PR!$AB83,IF(K85="ROTECH",PR!$AC83,IF(K85="ISN",PR!$AD83,IF(K85="JAWA",PR!$AE83,IF(K85="LAYO",PR!$AF83,IF(K85="LEADWAY",PR!$AG83,IF(K85="LHV",PR!$AH83,IF(K85="MANOLA",PR!$AI83,IF(K85="MARCSON",PR!$AJ83,IF(K85="M&amp;B",PR!$AK83,IF(K85="MTRUST",PR!$AL83,IF(K85="MWORLD",PR!$AM83,IF(K85="MEGA",PR!$AN83,IF(K85="MICRONOVA",PR!$AO83,IF(K85="MFLASH",PR!$AP83,IF(K85="MORISON",PR!$AQ83,IF(K85="NEMEL",PR!$AR83,IF(K85="NHP",PR!$AS83,IF(K85="NHC",PR!$AT83,IF(K85="OLEAF",PR!$AU83,IF(K85="OCULUS",PR!$AV83,IF(K85="PACIFIC",PR!$AW83,IF(K85="PHAMATEX",PR!$AX83,IF(K85="PETHICS",PR!$AY83,IF(K85="PHILIPS",PR!$AZ83,IF(K85="RANBAXY",PR!$BA83,IF(K85="REALS",PR!$BB83,IF(K85="ROYAL",PR!$BC83,IF(K85="SAM",PR!$BD83,IF(K85="SEAGREEN",PR!$BE83,IF(K85="SKG",PR!$BF83,IF(K85="TAH",PR!$BG83,IF(K85="TAYLEK",PR!$BH83,IF(K85="TEMITA",PR!$BI83,IF(K85="THL",PR!$BJ83,IF(K85="UBASTIC",PR!$BK83,IF(K85="UNION",PR!$BL83,IF(K85="UNIQUE",PR!$BM83,IF(K85="VIXA",PR!$BN83,IF(K85="WWCV",PR!$BO83,IF(K85="ZOLON",PR!$BP83,"-")))))))))))))))))))))))))))))))))))))))))))))))))))))))))))))))))</f>
        <v>3335</v>
      </c>
    </row>
    <row r="86" spans="1:12" ht="18.75" x14ac:dyDescent="0.3">
      <c r="A86" s="430">
        <f>PR!A84</f>
        <v>68</v>
      </c>
      <c r="B86" s="15" t="str">
        <f>PR!B84</f>
        <v>INDAPAMIDE/AMLODIPINE 1.5/5MG</v>
      </c>
      <c r="C86" s="113">
        <f>PR!D84</f>
        <v>30</v>
      </c>
      <c r="D86" s="113">
        <f>PR!C84</f>
        <v>4000</v>
      </c>
      <c r="E86" s="108">
        <f>IF(F86="ALPHA",PR!$E84,IF(F86="ASSENE",PR!$F84,IF(F86="BIOFEM",PR!$G84,IF(F86="BIOMED",PR!$H84,IF(F86="CHI",PR!$I84,IF(F86="CLARION",PR!$J84,IF(F86="CODIX",PR!$K84,IF(F86="COSMADE",PR!$L84,IF(F86="SANCON",PR!$M84,IF(F86="DEVON",PR!$N84,IF(F86="DORTEMAG",PR!$O84,IF(F86="DGF",PR!$P84,IF(F86="DYNAMIC",PR!$Q84,IF(F86="EMZOR",PR!$R84,IF(F86="EUMATT",PR!$S84,IF(F86="FIDSON",PR!$T84,IF(F86="FCGLOBAL",PR!$U84,IF(F86="GENEITH",PR!$V84,IF(F86="GINOS",PR!$W84,IF(F86="GSK",PR!$X84,IF(F86="GLOBORG",PR!$Y84,IF(F86="GOODNEWS",PR!$Z84,IF(F86="GREENLIFE",PR!$AA84,IF(F86="HLINE",PR!$AB84,IF(F86="ROTECH",PR!$AC84,IF(F86="ISN",PR!$AD84,IF(F86="JAWA",PR!$AE84,IF(F86="LAYO",PR!$AF84,IF(F86="LEADWAY",PR!$AG84,IF(F86="LHV",PR!$AH84,IF(F86="MANOLA",PR!$AI84,IF(F86="MARCSON",PR!$AJ84,IF(F86="M&amp;B",PR!$AK84,IF(F86="MTRUST",PR!$AL84,IF(F86="MWORLD",PR!$AM84,IF(F86="MEGA",PR!$AN84,IF(F86="MICRONOVA",PR!$AO84,IF(F86="MFLASH",PR!$AP84,IF(F86="MORISON",PR!$AQ84,IF(F86="NEMEL",PR!$AR84,IF(F86="NHP",PR!$AS84,IF(F86="NHC",PR!$AT84,IF(F86="OLEAF",PR!$AU84,IF(F86="OCULUS",PR!$AV84,IF(F86="PACIFIC",PR!$AW84,IF(F86="PHAMATEX",PR!$AX84,IF(F86="PETHICS",PR!$AY84,IF(F86="PHILIPS",PR!$AZ84,IF(F86="RANBAXY",PR!$BA84,IF(F86="REALS",PR!$BB84,IF(F86="ROYAL",PR!$BC84,IF(F86="SAM",PR!$BD84,IF(F86="SEAGREEN",PR!$BE84,IF(F86="SKG",PR!$BF84,IF(F86="TAH",PR!$BG84,IF(F86="TAYLEK",PR!$BH84,IF(F86="TEMITA",PR!$BI84,IF(F86="THL",PR!$BJ84,IF(F86="UBASTIC",PR!$BK84,IF(F86="UNION",PR!$BL84,IF(F86="UNIQUE",PR!$BM84,IF(F86="VIXA",PR!$BN84,IF(F86="WWCV",PR!$BO84,IF(F86="ZOLON",PR!$BP84,"-"))))))))))))))))))))))))))))))))))))))))))))))))))))))))))))))))</f>
        <v>3335</v>
      </c>
      <c r="F86" s="102" t="str">
        <f>EV!L108</f>
        <v>CHI</v>
      </c>
      <c r="G86" s="108" t="str">
        <f>IF(H86="ALPHA",PR!$E84,IF(H86="ASSENE",PR!$F84,IF(H86="BIOFEM",PR!$G84,IF(H86="BIOMED",PR!$H84,IF(H86="CHI",PR!$I84,IF(H86="CLARION",PR!$J84,IF(H86="CODIX",PR!$K84,IF(H86="COSMADE",PR!$L84,IF(H86="SANCON",PR!$M84,IF(H86="DEVON",PR!$N84,IF(H86="DORTEMAG",PR!$O84,IF(H86="DGF",PR!$P84,IF(H86="DYNAMIC",PR!$Q84,IF(H86="EMZOR",PR!$R84,IF(H86="EUMATT",PR!$S84,IF(H86="FIDSON",PR!$T84,IF(H86="FCGLOBAL",PR!$U84,IF(H86="GENEITH",PR!$V84,IF(H86="GINOS",PR!$W84,IF(H86="GSK",PR!$X84,IF(H86="GLOBORG",PR!$Y84,IF(H86="GOODNEWS",PR!$Z84,IF(H86="GREENLIFE",PR!$AA84,IF(H86="HLINE",PR!$AB84,IF(H86="ROTECH",PR!$AC84,IF(H86="ISN",PR!$AD84,IF(H86="JAWA",PR!$AE84,IF(H86="LAYO",PR!$AF84,IF(H86="LEADWAY",PR!$AG84,IF(H86="LHV",PR!$AH84,IF(H86="MANOLA",PR!$AI84,IF(H86="MARCSON",PR!$AJ84,IF(H86="M&amp;B",PR!$AK84,IF(H86="MTRUST",PR!$AL84,IF(H86="MWORLD",PR!$AM84,IF(H86="MEGA",PR!$AN84,IF(H86="MICRONOVA",PR!$AO84,IF(H86="MFLASH",PR!$AP84,IF(H86="MORISON",PR!$AQ84,IF(H86="NEMEL",PR!$AR84,IF(H86="NHP",PR!$AS84,IF(H86="NHC",PR!$AT84,IF(H86="OLEAF",PR!$AU84,IF(H86="OCULUS",PR!$AV84,IF(H86="PACIFIC",PR!$AW84,IF(H86="PHAMATEX",PR!$AX84,IF(H86="PETHICS",PR!$AY84,IF(H86="PHILIPS",PR!$AZ84,IF(H86="RANBAXY",PR!$BA84,IF(H86="REALS",PR!$BB84,IF(H86="ROYAL",PR!$BC84,IF(H86="SAM",PR!$BD84,IF(H86="SEAGREEN",PR!$BE84,IF(H86="SKG",PR!$BF84,IF(H86="TAH",PR!$BG84,IF(H86="TAYLEK",PR!$BH84,IF(H86="TEMITA",PR!$BI84,IF(H86="THL",PR!$BJ84,IF(H86="UBASTIC",PR!$BK84,IF(H86="UNION",PR!$BL84,IF(H86="UNIQUE",PR!$BM84,IF(H86="VIXA",PR!$BN84,IF(H86="WWCV",PR!$BO84,IF(H86="ZOLON",PR!$BP84,"-"))))))))))))))))))))))))))))))))))))))))))))))))))))))))))))))))</f>
        <v>-</v>
      </c>
      <c r="H86" s="102">
        <f>EV!M108</f>
        <v>0</v>
      </c>
      <c r="I86" s="108" t="str">
        <f>IF(J86="ALPHA",PR!$E84,IF(J86="ASSENE",PR!$F84,IF(J86="BIOFEM",PR!$G84,IF(J86="BIOMED",PR!$H84,IF(J86="CHI",PR!$I84,IF(J86="CLARION",PR!$J84,IF(J86="CODIX",PR!$K84,IF(J86="COSMADE",PR!$L84,IF(J86="SANCON",PR!$M84,IF(J86="DEVON",PR!$N84,IF(J86="DORTEMAG",PR!$O84,IF(J86="DGF",PR!$P84,IF(J86="DYNAMIC",PR!$Q84,IF(J86="EMZOR",PR!$R84,IF(J86="EUMATT",PR!$S84,IF(J86="FIDSON",PR!$T84,IF(J86="FCGLOBAL",PR!$U84,IF(J86="GENEITH",PR!$V84,IF(J86="GINOS",PR!$W84,IF(J86="GSK",PR!$X84,IF(J86="GLOBORG",PR!$Y84,IF(J86="GOODNEWS",PR!$Z84,IF(J86="GREENLIFE",PR!$AA84,IF(J86="HLINE",PR!$AB84,IF(J86="ROTECH",PR!$AC84,IF(J86="ISN",PR!$AD84,IF(J86="JAWA",PR!$AE84,IF(J86="LAYO",PR!$AF84,IF(J86="LEADWAY",PR!$AG84,IF(J86="LHV",PR!$AH84,IF(J86="MANOLA",PR!$AI84,IF(J86="MARCSON",PR!$AJ84,IF(J86="M&amp;B",PR!$AK84,IF(J86="MTRUST",PR!$AL84,IF(J86="MWORLD",PR!$AM84,IF(J86="MEGA",PR!$AN84,IF(J86="MICRONOVA",PR!$AO84,IF(J86="MFLASH",PR!$AP84,IF(J86="MORISON",PR!$AQ84,IF(J86="NEMEL",PR!$AR84,IF(J86="NHP",PR!$AS84,IF(J86="NHC",PR!$AT84,IF(J86="OLEAF",PR!$AU84,IF(J86="OCULUS",PR!$AV84,IF(J86="PACIFIC",PR!$AW84,IF(J86="PHAMATEX",PR!$AX84,IF(J86="PETHICS",PR!$AY84,IF(J86="PHILIPS",PR!$AZ84,IF(J86="RANBAXY",PR!$BA84,IF(J86="REALS",PR!$BB84,IF(J86="ROYAL",PR!$BC84,IF(J86="SAM",PR!$BD84,IF(J86="SEAGREEN",PR!$BE84,IF(J86="SKG",PR!$BF84,IF(J86="TAH",PR!$BG84,IF(J86="TAYLEK",PR!$BH84,IF(J86="TEMITA",PR!$BI84,IF(J86="THL",PR!$BJ84,IF(J86="UBASTIC",PR!$BK84,IF(J86="UNION",PR!$BL84,IF(J86="UNIQUE",PR!$BM84,IF(J86="VIXA",PR!$BN84,IF(J86="WWCV",PR!$BO84,IF(J86="ZOLON",PR!$BP84,"-"))))))))))))))))))))))))))))))))))))))))))))))))))))))))))))))))</f>
        <v>-</v>
      </c>
      <c r="J86" s="102">
        <f>EV!N108</f>
        <v>0</v>
      </c>
      <c r="K86" s="433" t="s">
        <v>1446</v>
      </c>
      <c r="L86" s="183">
        <f>IF(K86&gt;0,IF(K86="ALPHA",PR!$E84,IF(K86="ASSENE",PR!$F84,IF(K86="BIOFEM",PR!$G84,IF(K86="BIOMED",PR!$H84,IF(K86="CHI",PR!$I84,IF(K86="CLARION",PR!$J84,IF(K86="CODIX",PR!$K84,IF(K86="COSMADE",PR!$L84,IF(K86="SANCON",PR!$M84,IF(K86="DEVON",PR!$N84,IF(K86="DORTEMAG",PR!$O84,IF(K86="DGF",PR!$P84,IF(K86="DYNAMIC",PR!$Q84,IF(K86="EMZOR",PR!$R84,IF(K86="EUMATT",PR!$S84,IF(K86="FIDSON",PR!$T84,IF(K86="FCGLOBAL",PR!$U84,IF(K86="GENEITH",PR!$V84,IF(K86="GINOS",PR!$W84,IF(K86="GSK",PR!$X84,IF(K86="GLOBORG",PR!$Y84,IF(K86="GOODNEWS",PR!$Z84,IF(K86="GREENLIFE",PR!$AA84,IF(K86="HLINE",PR!$AB84,IF(K86="ROTECH",PR!$AC84,IF(K86="ISN",PR!$AD84,IF(K86="JAWA",PR!$AE84,IF(K86="LAYO",PR!$AF84,IF(K86="LEADWAY",PR!$AG84,IF(K86="LHV",PR!$AH84,IF(K86="MANOLA",PR!$AI84,IF(K86="MARCSON",PR!$AJ84,IF(K86="M&amp;B",PR!$AK84,IF(K86="MTRUST",PR!$AL84,IF(K86="MWORLD",PR!$AM84,IF(K86="MEGA",PR!$AN84,IF(K86="MICRONOVA",PR!$AO84,IF(K86="MFLASH",PR!$AP84,IF(K86="MORISON",PR!$AQ84,IF(K86="NEMEL",PR!$AR84,IF(K86="NHP",PR!$AS84,IF(K86="NHC",PR!$AT84,IF(K86="OLEAF",PR!$AU84,IF(K86="OCULUS",PR!$AV84,IF(K86="PACIFIC",PR!$AW84,IF(K86="PHAMATEX",PR!$AX84,IF(K86="PETHICS",PR!$AY84,IF(K86="PHILIPS",PR!$AZ84,IF(K86="RANBAXY",PR!$BA84,IF(K86="REALS",PR!$BB84,IF(K86="ROYAL",PR!$BC84,IF(K86="SAM",PR!$BD84,IF(K86="SEAGREEN",PR!$BE84,IF(K86="SKG",PR!$BF84,IF(K86="TAH",PR!$BG84,IF(K86="TAYLEK",PR!$BH84,IF(K86="TEMITA",PR!$BI84,IF(K86="THL",PR!$BJ84,IF(K86="UBASTIC",PR!$BK84,IF(K86="UNION",PR!$BL84,IF(K86="UNIQUE",PR!$BM84,IF(K86="VIXA",PR!$BN84,IF(K86="WWCV",PR!$BO84,IF(K86="ZOLON",PR!$BP84,"-")))))))))))))))))))))))))))))))))))))))))))))))))))))))))))))))))</f>
        <v>3335</v>
      </c>
    </row>
    <row r="87" spans="1:12" ht="18.75" x14ac:dyDescent="0.3">
      <c r="A87" s="430">
        <f>PR!A85</f>
        <v>69</v>
      </c>
      <c r="B87" s="15" t="str">
        <f>PR!B85</f>
        <v>IRBESARTAN 150MG TAB</v>
      </c>
      <c r="C87" s="113">
        <f>PR!D85</f>
        <v>30</v>
      </c>
      <c r="D87" s="113">
        <f>PR!C85</f>
        <v>50</v>
      </c>
      <c r="E87" s="108">
        <f>IF(F87="ALPHA",PR!$E85,IF(F87="ASSENE",PR!$F85,IF(F87="BIOFEM",PR!$G85,IF(F87="BIOMED",PR!$H85,IF(F87="CHI",PR!$I85,IF(F87="CLARION",PR!$J85,IF(F87="CODIX",PR!$K85,IF(F87="COSMADE",PR!$L85,IF(F87="SANCON",PR!$M85,IF(F87="DEVON",PR!$N85,IF(F87="DORTEMAG",PR!$O85,IF(F87="DGF",PR!$P85,IF(F87="DYNAMIC",PR!$Q85,IF(F87="EMZOR",PR!$R85,IF(F87="EUMATT",PR!$S85,IF(F87="FIDSON",PR!$T85,IF(F87="FCGLOBAL",PR!$U85,IF(F87="GENEITH",PR!$V85,IF(F87="GINOS",PR!$W85,IF(F87="GSK",PR!$X85,IF(F87="GLOBORG",PR!$Y85,IF(F87="GOODNEWS",PR!$Z85,IF(F87="GREENLIFE",PR!$AA85,IF(F87="HLINE",PR!$AB85,IF(F87="ROTECH",PR!$AC85,IF(F87="ISN",PR!$AD85,IF(F87="JAWA",PR!$AE85,IF(F87="LAYO",PR!$AF85,IF(F87="LEADWAY",PR!$AG85,IF(F87="LHV",PR!$AH85,IF(F87="MANOLA",PR!$AI85,IF(F87="MARCSON",PR!$AJ85,IF(F87="M&amp;B",PR!$AK85,IF(F87="MTRUST",PR!$AL85,IF(F87="MWORLD",PR!$AM85,IF(F87="MEGA",PR!$AN85,IF(F87="MICRONOVA",PR!$AO85,IF(F87="MFLASH",PR!$AP85,IF(F87="MORISON",PR!$AQ85,IF(F87="NEMEL",PR!$AR85,IF(F87="NHP",PR!$AS85,IF(F87="NHC",PR!$AT85,IF(F87="OLEAF",PR!$AU85,IF(F87="OCULUS",PR!$AV85,IF(F87="PACIFIC",PR!$AW85,IF(F87="PHAMATEX",PR!$AX85,IF(F87="PETHICS",PR!$AY85,IF(F87="PHILIPS",PR!$AZ85,IF(F87="RANBAXY",PR!$BA85,IF(F87="REALS",PR!$BB85,IF(F87="ROYAL",PR!$BC85,IF(F87="SAM",PR!$BD85,IF(F87="SEAGREEN",PR!$BE85,IF(F87="SKG",PR!$BF85,IF(F87="TAH",PR!$BG85,IF(F87="TAYLEK",PR!$BH85,IF(F87="TEMITA",PR!$BI85,IF(F87="THL",PR!$BJ85,IF(F87="UBASTIC",PR!$BK85,IF(F87="UNION",PR!$BL85,IF(F87="UNIQUE",PR!$BM85,IF(F87="VIXA",PR!$BN85,IF(F87="WWCV",PR!$BO85,IF(F87="ZOLON",PR!$BP85,"-"))))))))))))))))))))))))))))))))))))))))))))))))))))))))))))))))</f>
        <v>3000</v>
      </c>
      <c r="F87" s="102" t="str">
        <f>EV!L109</f>
        <v>CHI</v>
      </c>
      <c r="G87" s="108">
        <f>IF(H87="ALPHA",PR!$E85,IF(H87="ASSENE",PR!$F85,IF(H87="BIOFEM",PR!$G85,IF(H87="BIOMED",PR!$H85,IF(H87="CHI",PR!$I85,IF(H87="CLARION",PR!$J85,IF(H87="CODIX",PR!$K85,IF(H87="COSMADE",PR!$L85,IF(H87="SANCON",PR!$M85,IF(H87="DEVON",PR!$N85,IF(H87="DORTEMAG",PR!$O85,IF(H87="DGF",PR!$P85,IF(H87="DYNAMIC",PR!$Q85,IF(H87="EMZOR",PR!$R85,IF(H87="EUMATT",PR!$S85,IF(H87="FIDSON",PR!$T85,IF(H87="FCGLOBAL",PR!$U85,IF(H87="GENEITH",PR!$V85,IF(H87="GINOS",PR!$W85,IF(H87="GSK",PR!$X85,IF(H87="GLOBORG",PR!$Y85,IF(H87="GOODNEWS",PR!$Z85,IF(H87="GREENLIFE",PR!$AA85,IF(H87="HLINE",PR!$AB85,IF(H87="ROTECH",PR!$AC85,IF(H87="ISN",PR!$AD85,IF(H87="JAWA",PR!$AE85,IF(H87="LAYO",PR!$AF85,IF(H87="LEADWAY",PR!$AG85,IF(H87="LHV",PR!$AH85,IF(H87="MANOLA",PR!$AI85,IF(H87="MARCSON",PR!$AJ85,IF(H87="M&amp;B",PR!$AK85,IF(H87="MTRUST",PR!$AL85,IF(H87="MWORLD",PR!$AM85,IF(H87="MEGA",PR!$AN85,IF(H87="MICRONOVA",PR!$AO85,IF(H87="MFLASH",PR!$AP85,IF(H87="MORISON",PR!$AQ85,IF(H87="NEMEL",PR!$AR85,IF(H87="NHP",PR!$AS85,IF(H87="NHC",PR!$AT85,IF(H87="OLEAF",PR!$AU85,IF(H87="OCULUS",PR!$AV85,IF(H87="PACIFIC",PR!$AW85,IF(H87="PHAMATEX",PR!$AX85,IF(H87="PETHICS",PR!$AY85,IF(H87="PHILIPS",PR!$AZ85,IF(H87="RANBAXY",PR!$BA85,IF(H87="REALS",PR!$BB85,IF(H87="ROYAL",PR!$BC85,IF(H87="SAM",PR!$BD85,IF(H87="SEAGREEN",PR!$BE85,IF(H87="SKG",PR!$BF85,IF(H87="TAH",PR!$BG85,IF(H87="TAYLEK",PR!$BH85,IF(H87="TEMITA",PR!$BI85,IF(H87="THL",PR!$BJ85,IF(H87="UBASTIC",PR!$BK85,IF(H87="UNION",PR!$BL85,IF(H87="UNIQUE",PR!$BM85,IF(H87="VIXA",PR!$BN85,IF(H87="WWCV",PR!$BO85,IF(H87="ZOLON",PR!$BP85,"-"))))))))))))))))))))))))))))))))))))))))))))))))))))))))))))))))</f>
        <v>4100</v>
      </c>
      <c r="H87" s="102" t="str">
        <f>EV!M109</f>
        <v>EUMATT</v>
      </c>
      <c r="I87" s="108" t="str">
        <f>IF(J87="ALPHA",PR!$E85,IF(J87="ASSENE",PR!$F85,IF(J87="BIOFEM",PR!$G85,IF(J87="BIOMED",PR!$H85,IF(J87="CHI",PR!$I85,IF(J87="CLARION",PR!$J85,IF(J87="CODIX",PR!$K85,IF(J87="COSMADE",PR!$L85,IF(J87="SANCON",PR!$M85,IF(J87="DEVON",PR!$N85,IF(J87="DORTEMAG",PR!$O85,IF(J87="DGF",PR!$P85,IF(J87="DYNAMIC",PR!$Q85,IF(J87="EMZOR",PR!$R85,IF(J87="EUMATT",PR!$S85,IF(J87="FIDSON",PR!$T85,IF(J87="FCGLOBAL",PR!$U85,IF(J87="GENEITH",PR!$V85,IF(J87="GINOS",PR!$W85,IF(J87="GSK",PR!$X85,IF(J87="GLOBORG",PR!$Y85,IF(J87="GOODNEWS",PR!$Z85,IF(J87="GREENLIFE",PR!$AA85,IF(J87="HLINE",PR!$AB85,IF(J87="ROTECH",PR!$AC85,IF(J87="ISN",PR!$AD85,IF(J87="JAWA",PR!$AE85,IF(J87="LAYO",PR!$AF85,IF(J87="LEADWAY",PR!$AG85,IF(J87="LHV",PR!$AH85,IF(J87="MANOLA",PR!$AI85,IF(J87="MARCSON",PR!$AJ85,IF(J87="M&amp;B",PR!$AK85,IF(J87="MTRUST",PR!$AL85,IF(J87="MWORLD",PR!$AM85,IF(J87="MEGA",PR!$AN85,IF(J87="MICRONOVA",PR!$AO85,IF(J87="MFLASH",PR!$AP85,IF(J87="MORISON",PR!$AQ85,IF(J87="NEMEL",PR!$AR85,IF(J87="NHP",PR!$AS85,IF(J87="NHC",PR!$AT85,IF(J87="OLEAF",PR!$AU85,IF(J87="OCULUS",PR!$AV85,IF(J87="PACIFIC",PR!$AW85,IF(J87="PHAMATEX",PR!$AX85,IF(J87="PETHICS",PR!$AY85,IF(J87="PHILIPS",PR!$AZ85,IF(J87="RANBAXY",PR!$BA85,IF(J87="REALS",PR!$BB85,IF(J87="ROYAL",PR!$BC85,IF(J87="SAM",PR!$BD85,IF(J87="SEAGREEN",PR!$BE85,IF(J87="SKG",PR!$BF85,IF(J87="TAH",PR!$BG85,IF(J87="TAYLEK",PR!$BH85,IF(J87="TEMITA",PR!$BI85,IF(J87="THL",PR!$BJ85,IF(J87="UBASTIC",PR!$BK85,IF(J87="UNION",PR!$BL85,IF(J87="UNIQUE",PR!$BM85,IF(J87="VIXA",PR!$BN85,IF(J87="WWCV",PR!$BO85,IF(J87="ZOLON",PR!$BP85,"-"))))))))))))))))))))))))))))))))))))))))))))))))))))))))))))))))</f>
        <v>-</v>
      </c>
      <c r="J87" s="102">
        <f>EV!N109</f>
        <v>0</v>
      </c>
      <c r="K87" s="433" t="s">
        <v>1446</v>
      </c>
      <c r="L87" s="183">
        <f>IF(K87&gt;0,IF(K87="ALPHA",PR!$E85,IF(K87="ASSENE",PR!$F85,IF(K87="BIOFEM",PR!$G85,IF(K87="BIOMED",PR!$H85,IF(K87="CHI",PR!$I85,IF(K87="CLARION",PR!$J85,IF(K87="CODIX",PR!$K85,IF(K87="COSMADE",PR!$L85,IF(K87="SANCON",PR!$M85,IF(K87="DEVON",PR!$N85,IF(K87="DORTEMAG",PR!$O85,IF(K87="DGF",PR!$P85,IF(K87="DYNAMIC",PR!$Q85,IF(K87="EMZOR",PR!$R85,IF(K87="EUMATT",PR!$S85,IF(K87="FIDSON",PR!$T85,IF(K87="FCGLOBAL",PR!$U85,IF(K87="GENEITH",PR!$V85,IF(K87="GINOS",PR!$W85,IF(K87="GSK",PR!$X85,IF(K87="GLOBORG",PR!$Y85,IF(K87="GOODNEWS",PR!$Z85,IF(K87="GREENLIFE",PR!$AA85,IF(K87="HLINE",PR!$AB85,IF(K87="ROTECH",PR!$AC85,IF(K87="ISN",PR!$AD85,IF(K87="JAWA",PR!$AE85,IF(K87="LAYO",PR!$AF85,IF(K87="LEADWAY",PR!$AG85,IF(K87="LHV",PR!$AH85,IF(K87="MANOLA",PR!$AI85,IF(K87="MARCSON",PR!$AJ85,IF(K87="M&amp;B",PR!$AK85,IF(K87="MTRUST",PR!$AL85,IF(K87="MWORLD",PR!$AM85,IF(K87="MEGA",PR!$AN85,IF(K87="MICRONOVA",PR!$AO85,IF(K87="MFLASH",PR!$AP85,IF(K87="MORISON",PR!$AQ85,IF(K87="NEMEL",PR!$AR85,IF(K87="NHP",PR!$AS85,IF(K87="NHC",PR!$AT85,IF(K87="OLEAF",PR!$AU85,IF(K87="OCULUS",PR!$AV85,IF(K87="PACIFIC",PR!$AW85,IF(K87="PHAMATEX",PR!$AX85,IF(K87="PETHICS",PR!$AY85,IF(K87="PHILIPS",PR!$AZ85,IF(K87="RANBAXY",PR!$BA85,IF(K87="REALS",PR!$BB85,IF(K87="ROYAL",PR!$BC85,IF(K87="SAM",PR!$BD85,IF(K87="SEAGREEN",PR!$BE85,IF(K87="SKG",PR!$BF85,IF(K87="TAH",PR!$BG85,IF(K87="TAYLEK",PR!$BH85,IF(K87="TEMITA",PR!$BI85,IF(K87="THL",PR!$BJ85,IF(K87="UBASTIC",PR!$BK85,IF(K87="UNION",PR!$BL85,IF(K87="UNIQUE",PR!$BM85,IF(K87="VIXA",PR!$BN85,IF(K87="WWCV",PR!$BO85,IF(K87="ZOLON",PR!$BP85,"-")))))))))))))))))))))))))))))))))))))))))))))))))))))))))))))))))</f>
        <v>3000</v>
      </c>
    </row>
    <row r="88" spans="1:12" ht="18.75" x14ac:dyDescent="0.3">
      <c r="A88" s="430">
        <f>PR!A86</f>
        <v>70</v>
      </c>
      <c r="B88" s="15" t="str">
        <f>PR!B86</f>
        <v>IRBESARTAN 300MG TAB</v>
      </c>
      <c r="C88" s="113">
        <f>PR!D86</f>
        <v>30</v>
      </c>
      <c r="D88" s="113">
        <f>PR!C86</f>
        <v>50</v>
      </c>
      <c r="E88" s="108">
        <f>IF(F88="ALPHA",PR!$E86,IF(F88="ASSENE",PR!$F86,IF(F88="BIOFEM",PR!$G86,IF(F88="BIOMED",PR!$H86,IF(F88="CHI",PR!$I86,IF(F88="CLARION",PR!$J86,IF(F88="CODIX",PR!$K86,IF(F88="COSMADE",PR!$L86,IF(F88="SANCON",PR!$M86,IF(F88="DEVON",PR!$N86,IF(F88="DORTEMAG",PR!$O86,IF(F88="DGF",PR!$P86,IF(F88="DYNAMIC",PR!$Q86,IF(F88="EMZOR",PR!$R86,IF(F88="EUMATT",PR!$S86,IF(F88="FIDSON",PR!$T86,IF(F88="FCGLOBAL",PR!$U86,IF(F88="GENEITH",PR!$V86,IF(F88="GINOS",PR!$W86,IF(F88="GSK",PR!$X86,IF(F88="GLOBORG",PR!$Y86,IF(F88="GOODNEWS",PR!$Z86,IF(F88="GREENLIFE",PR!$AA86,IF(F88="HLINE",PR!$AB86,IF(F88="ROTECH",PR!$AC86,IF(F88="ISN",PR!$AD86,IF(F88="JAWA",PR!$AE86,IF(F88="LAYO",PR!$AF86,IF(F88="LEADWAY",PR!$AG86,IF(F88="LHV",PR!$AH86,IF(F88="MANOLA",PR!$AI86,IF(F88="MARCSON",PR!$AJ86,IF(F88="M&amp;B",PR!$AK86,IF(F88="MTRUST",PR!$AL86,IF(F88="MWORLD",PR!$AM86,IF(F88="MEGA",PR!$AN86,IF(F88="MICRONOVA",PR!$AO86,IF(F88="MFLASH",PR!$AP86,IF(F88="MORISON",PR!$AQ86,IF(F88="NEMEL",PR!$AR86,IF(F88="NHP",PR!$AS86,IF(F88="NHC",PR!$AT86,IF(F88="OLEAF",PR!$AU86,IF(F88="OCULUS",PR!$AV86,IF(F88="PACIFIC",PR!$AW86,IF(F88="PHAMATEX",PR!$AX86,IF(F88="PETHICS",PR!$AY86,IF(F88="PHILIPS",PR!$AZ86,IF(F88="RANBAXY",PR!$BA86,IF(F88="REALS",PR!$BB86,IF(F88="ROYAL",PR!$BC86,IF(F88="SAM",PR!$BD86,IF(F88="SEAGREEN",PR!$BE86,IF(F88="SKG",PR!$BF86,IF(F88="TAH",PR!$BG86,IF(F88="TAYLEK",PR!$BH86,IF(F88="TEMITA",PR!$BI86,IF(F88="THL",PR!$BJ86,IF(F88="UBASTIC",PR!$BK86,IF(F88="UNION",PR!$BL86,IF(F88="UNIQUE",PR!$BM86,IF(F88="VIXA",PR!$BN86,IF(F88="WWCV",PR!$BO86,IF(F88="ZOLON",PR!$BP86,"-"))))))))))))))))))))))))))))))))))))))))))))))))))))))))))))))))</f>
        <v>3850</v>
      </c>
      <c r="F88" s="102" t="str">
        <f>EV!L110</f>
        <v>CHI</v>
      </c>
      <c r="G88" s="108">
        <f>IF(H88="ALPHA",PR!$E86,IF(H88="ASSENE",PR!$F86,IF(H88="BIOFEM",PR!$G86,IF(H88="BIOMED",PR!$H86,IF(H88="CHI",PR!$I86,IF(H88="CLARION",PR!$J86,IF(H88="CODIX",PR!$K86,IF(H88="COSMADE",PR!$L86,IF(H88="SANCON",PR!$M86,IF(H88="DEVON",PR!$N86,IF(H88="DORTEMAG",PR!$O86,IF(H88="DGF",PR!$P86,IF(H88="DYNAMIC",PR!$Q86,IF(H88="EMZOR",PR!$R86,IF(H88="EUMATT",PR!$S86,IF(H88="FIDSON",PR!$T86,IF(H88="FCGLOBAL",PR!$U86,IF(H88="GENEITH",PR!$V86,IF(H88="GINOS",PR!$W86,IF(H88="GSK",PR!$X86,IF(H88="GLOBORG",PR!$Y86,IF(H88="GOODNEWS",PR!$Z86,IF(H88="GREENLIFE",PR!$AA86,IF(H88="HLINE",PR!$AB86,IF(H88="ROTECH",PR!$AC86,IF(H88="ISN",PR!$AD86,IF(H88="JAWA",PR!$AE86,IF(H88="LAYO",PR!$AF86,IF(H88="LEADWAY",PR!$AG86,IF(H88="LHV",PR!$AH86,IF(H88="MANOLA",PR!$AI86,IF(H88="MARCSON",PR!$AJ86,IF(H88="M&amp;B",PR!$AK86,IF(H88="MTRUST",PR!$AL86,IF(H88="MWORLD",PR!$AM86,IF(H88="MEGA",PR!$AN86,IF(H88="MICRONOVA",PR!$AO86,IF(H88="MFLASH",PR!$AP86,IF(H88="MORISON",PR!$AQ86,IF(H88="NEMEL",PR!$AR86,IF(H88="NHP",PR!$AS86,IF(H88="NHC",PR!$AT86,IF(H88="OLEAF",PR!$AU86,IF(H88="OCULUS",PR!$AV86,IF(H88="PACIFIC",PR!$AW86,IF(H88="PHAMATEX",PR!$AX86,IF(H88="PETHICS",PR!$AY86,IF(H88="PHILIPS",PR!$AZ86,IF(H88="RANBAXY",PR!$BA86,IF(H88="REALS",PR!$BB86,IF(H88="ROYAL",PR!$BC86,IF(H88="SAM",PR!$BD86,IF(H88="SEAGREEN",PR!$BE86,IF(H88="SKG",PR!$BF86,IF(H88="TAH",PR!$BG86,IF(H88="TAYLEK",PR!$BH86,IF(H88="TEMITA",PR!$BI86,IF(H88="THL",PR!$BJ86,IF(H88="UBASTIC",PR!$BK86,IF(H88="UNION",PR!$BL86,IF(H88="UNIQUE",PR!$BM86,IF(H88="VIXA",PR!$BN86,IF(H88="WWCV",PR!$BO86,IF(H88="ZOLON",PR!$BP86,"-"))))))))))))))))))))))))))))))))))))))))))))))))))))))))))))))))</f>
        <v>4900</v>
      </c>
      <c r="H88" s="102" t="str">
        <f>EV!M110</f>
        <v>EUMATT</v>
      </c>
      <c r="I88" s="108" t="str">
        <f>IF(J88="ALPHA",PR!$E86,IF(J88="ASSENE",PR!$F86,IF(J88="BIOFEM",PR!$G86,IF(J88="BIOMED",PR!$H86,IF(J88="CHI",PR!$I86,IF(J88="CLARION",PR!$J86,IF(J88="CODIX",PR!$K86,IF(J88="COSMADE",PR!$L86,IF(J88="SANCON",PR!$M86,IF(J88="DEVON",PR!$N86,IF(J88="DORTEMAG",PR!$O86,IF(J88="DGF",PR!$P86,IF(J88="DYNAMIC",PR!$Q86,IF(J88="EMZOR",PR!$R86,IF(J88="EUMATT",PR!$S86,IF(J88="FIDSON",PR!$T86,IF(J88="FCGLOBAL",PR!$U86,IF(J88="GENEITH",PR!$V86,IF(J88="GINOS",PR!$W86,IF(J88="GSK",PR!$X86,IF(J88="GLOBORG",PR!$Y86,IF(J88="GOODNEWS",PR!$Z86,IF(J88="GREENLIFE",PR!$AA86,IF(J88="HLINE",PR!$AB86,IF(J88="ROTECH",PR!$AC86,IF(J88="ISN",PR!$AD86,IF(J88="JAWA",PR!$AE86,IF(J88="LAYO",PR!$AF86,IF(J88="LEADWAY",PR!$AG86,IF(J88="LHV",PR!$AH86,IF(J88="MANOLA",PR!$AI86,IF(J88="MARCSON",PR!$AJ86,IF(J88="M&amp;B",PR!$AK86,IF(J88="MTRUST",PR!$AL86,IF(J88="MWORLD",PR!$AM86,IF(J88="MEGA",PR!$AN86,IF(J88="MICRONOVA",PR!$AO86,IF(J88="MFLASH",PR!$AP86,IF(J88="MORISON",PR!$AQ86,IF(J88="NEMEL",PR!$AR86,IF(J88="NHP",PR!$AS86,IF(J88="NHC",PR!$AT86,IF(J88="OLEAF",PR!$AU86,IF(J88="OCULUS",PR!$AV86,IF(J88="PACIFIC",PR!$AW86,IF(J88="PHAMATEX",PR!$AX86,IF(J88="PETHICS",PR!$AY86,IF(J88="PHILIPS",PR!$AZ86,IF(J88="RANBAXY",PR!$BA86,IF(J88="REALS",PR!$BB86,IF(J88="ROYAL",PR!$BC86,IF(J88="SAM",PR!$BD86,IF(J88="SEAGREEN",PR!$BE86,IF(J88="SKG",PR!$BF86,IF(J88="TAH",PR!$BG86,IF(J88="TAYLEK",PR!$BH86,IF(J88="TEMITA",PR!$BI86,IF(J88="THL",PR!$BJ86,IF(J88="UBASTIC",PR!$BK86,IF(J88="UNION",PR!$BL86,IF(J88="UNIQUE",PR!$BM86,IF(J88="VIXA",PR!$BN86,IF(J88="WWCV",PR!$BO86,IF(J88="ZOLON",PR!$BP86,"-"))))))))))))))))))))))))))))))))))))))))))))))))))))))))))))))))</f>
        <v>-</v>
      </c>
      <c r="J88" s="102">
        <f>EV!N110</f>
        <v>0</v>
      </c>
      <c r="K88" s="433" t="s">
        <v>1446</v>
      </c>
      <c r="L88" s="183">
        <f>IF(K88&gt;0,IF(K88="ALPHA",PR!$E86,IF(K88="ASSENE",PR!$F86,IF(K88="BIOFEM",PR!$G86,IF(K88="BIOMED",PR!$H86,IF(K88="CHI",PR!$I86,IF(K88="CLARION",PR!$J86,IF(K88="CODIX",PR!$K86,IF(K88="COSMADE",PR!$L86,IF(K88="SANCON",PR!$M86,IF(K88="DEVON",PR!$N86,IF(K88="DORTEMAG",PR!$O86,IF(K88="DGF",PR!$P86,IF(K88="DYNAMIC",PR!$Q86,IF(K88="EMZOR",PR!$R86,IF(K88="EUMATT",PR!$S86,IF(K88="FIDSON",PR!$T86,IF(K88="FCGLOBAL",PR!$U86,IF(K88="GENEITH",PR!$V86,IF(K88="GINOS",PR!$W86,IF(K88="GSK",PR!$X86,IF(K88="GLOBORG",PR!$Y86,IF(K88="GOODNEWS",PR!$Z86,IF(K88="GREENLIFE",PR!$AA86,IF(K88="HLINE",PR!$AB86,IF(K88="ROTECH",PR!$AC86,IF(K88="ISN",PR!$AD86,IF(K88="JAWA",PR!$AE86,IF(K88="LAYO",PR!$AF86,IF(K88="LEADWAY",PR!$AG86,IF(K88="LHV",PR!$AH86,IF(K88="MANOLA",PR!$AI86,IF(K88="MARCSON",PR!$AJ86,IF(K88="M&amp;B",PR!$AK86,IF(K88="MTRUST",PR!$AL86,IF(K88="MWORLD",PR!$AM86,IF(K88="MEGA",PR!$AN86,IF(K88="MICRONOVA",PR!$AO86,IF(K88="MFLASH",PR!$AP86,IF(K88="MORISON",PR!$AQ86,IF(K88="NEMEL",PR!$AR86,IF(K88="NHP",PR!$AS86,IF(K88="NHC",PR!$AT86,IF(K88="OLEAF",PR!$AU86,IF(K88="OCULUS",PR!$AV86,IF(K88="PACIFIC",PR!$AW86,IF(K88="PHAMATEX",PR!$AX86,IF(K88="PETHICS",PR!$AY86,IF(K88="PHILIPS",PR!$AZ86,IF(K88="RANBAXY",PR!$BA86,IF(K88="REALS",PR!$BB86,IF(K88="ROYAL",PR!$BC86,IF(K88="SAM",PR!$BD86,IF(K88="SEAGREEN",PR!$BE86,IF(K88="SKG",PR!$BF86,IF(K88="TAH",PR!$BG86,IF(K88="TAYLEK",PR!$BH86,IF(K88="TEMITA",PR!$BI86,IF(K88="THL",PR!$BJ86,IF(K88="UBASTIC",PR!$BK86,IF(K88="UNION",PR!$BL86,IF(K88="UNIQUE",PR!$BM86,IF(K88="VIXA",PR!$BN86,IF(K88="WWCV",PR!$BO86,IF(K88="ZOLON",PR!$BP86,"-")))))))))))))))))))))))))))))))))))))))))))))))))))))))))))))))))</f>
        <v>3850</v>
      </c>
    </row>
    <row r="89" spans="1:12" ht="18.75" x14ac:dyDescent="0.3">
      <c r="A89" s="430">
        <f>PR!A87</f>
        <v>71</v>
      </c>
      <c r="B89" s="15" t="str">
        <f>PR!B87</f>
        <v>IRBESARTAN 300MG/HCT 12.5MG</v>
      </c>
      <c r="C89" s="113">
        <f>PR!D87</f>
        <v>30</v>
      </c>
      <c r="D89" s="113">
        <f>PR!C87</f>
        <v>21</v>
      </c>
      <c r="E89" s="108">
        <f>IF(F89="ALPHA",PR!$E87,IF(F89="ASSENE",PR!$F87,IF(F89="BIOFEM",PR!$G87,IF(F89="BIOMED",PR!$H87,IF(F89="CHI",PR!$I87,IF(F89="CLARION",PR!$J87,IF(F89="CODIX",PR!$K87,IF(F89="COSMADE",PR!$L87,IF(F89="SANCON",PR!$M87,IF(F89="DEVON",PR!$N87,IF(F89="DORTEMAG",PR!$O87,IF(F89="DGF",PR!$P87,IF(F89="DYNAMIC",PR!$Q87,IF(F89="EMZOR",PR!$R87,IF(F89="EUMATT",PR!$S87,IF(F89="FIDSON",PR!$T87,IF(F89="FCGLOBAL",PR!$U87,IF(F89="GENEITH",PR!$V87,IF(F89="GINOS",PR!$W87,IF(F89="GSK",PR!$X87,IF(F89="GLOBORG",PR!$Y87,IF(F89="GOODNEWS",PR!$Z87,IF(F89="GREENLIFE",PR!$AA87,IF(F89="HLINE",PR!$AB87,IF(F89="ROTECH",PR!$AC87,IF(F89="ISN",PR!$AD87,IF(F89="JAWA",PR!$AE87,IF(F89="LAYO",PR!$AF87,IF(F89="LEADWAY",PR!$AG87,IF(F89="LHV",PR!$AH87,IF(F89="MANOLA",PR!$AI87,IF(F89="MARCSON",PR!$AJ87,IF(F89="M&amp;B",PR!$AK87,IF(F89="MTRUST",PR!$AL87,IF(F89="MWORLD",PR!$AM87,IF(F89="MEGA",PR!$AN87,IF(F89="MICRONOVA",PR!$AO87,IF(F89="MFLASH",PR!$AP87,IF(F89="MORISON",PR!$AQ87,IF(F89="NEMEL",PR!$AR87,IF(F89="NHP",PR!$AS87,IF(F89="NHC",PR!$AT87,IF(F89="OLEAF",PR!$AU87,IF(F89="OCULUS",PR!$AV87,IF(F89="PACIFIC",PR!$AW87,IF(F89="PHAMATEX",PR!$AX87,IF(F89="PETHICS",PR!$AY87,IF(F89="PHILIPS",PR!$AZ87,IF(F89="RANBAXY",PR!$BA87,IF(F89="REALS",PR!$BB87,IF(F89="ROYAL",PR!$BC87,IF(F89="SAM",PR!$BD87,IF(F89="SEAGREEN",PR!$BE87,IF(F89="SKG",PR!$BF87,IF(F89="TAH",PR!$BG87,IF(F89="TAYLEK",PR!$BH87,IF(F89="TEMITA",PR!$BI87,IF(F89="THL",PR!$BJ87,IF(F89="UBASTIC",PR!$BK87,IF(F89="UNION",PR!$BL87,IF(F89="UNIQUE",PR!$BM87,IF(F89="VIXA",PR!$BN87,IF(F89="WWCV",PR!$BO87,IF(F89="ZOLON",PR!$BP87,"-"))))))))))))))))))))))))))))))))))))))))))))))))))))))))))))))))</f>
        <v>4054</v>
      </c>
      <c r="F89" s="102" t="str">
        <f>EV!L111</f>
        <v>CHI</v>
      </c>
      <c r="G89" s="108">
        <f>IF(H89="ALPHA",PR!$E87,IF(H89="ASSENE",PR!$F87,IF(H89="BIOFEM",PR!$G87,IF(H89="BIOMED",PR!$H87,IF(H89="CHI",PR!$I87,IF(H89="CLARION",PR!$J87,IF(H89="CODIX",PR!$K87,IF(H89="COSMADE",PR!$L87,IF(H89="SANCON",PR!$M87,IF(H89="DEVON",PR!$N87,IF(H89="DORTEMAG",PR!$O87,IF(H89="DGF",PR!$P87,IF(H89="DYNAMIC",PR!$Q87,IF(H89="EMZOR",PR!$R87,IF(H89="EUMATT",PR!$S87,IF(H89="FIDSON",PR!$T87,IF(H89="FCGLOBAL",PR!$U87,IF(H89="GENEITH",PR!$V87,IF(H89="GINOS",PR!$W87,IF(H89="GSK",PR!$X87,IF(H89="GLOBORG",PR!$Y87,IF(H89="GOODNEWS",PR!$Z87,IF(H89="GREENLIFE",PR!$AA87,IF(H89="HLINE",PR!$AB87,IF(H89="ROTECH",PR!$AC87,IF(H89="ISN",PR!$AD87,IF(H89="JAWA",PR!$AE87,IF(H89="LAYO",PR!$AF87,IF(H89="LEADWAY",PR!$AG87,IF(H89="LHV",PR!$AH87,IF(H89="MANOLA",PR!$AI87,IF(H89="MARCSON",PR!$AJ87,IF(H89="M&amp;B",PR!$AK87,IF(H89="MTRUST",PR!$AL87,IF(H89="MWORLD",PR!$AM87,IF(H89="MEGA",PR!$AN87,IF(H89="MICRONOVA",PR!$AO87,IF(H89="MFLASH",PR!$AP87,IF(H89="MORISON",PR!$AQ87,IF(H89="NEMEL",PR!$AR87,IF(H89="NHP",PR!$AS87,IF(H89="NHC",PR!$AT87,IF(H89="OLEAF",PR!$AU87,IF(H89="OCULUS",PR!$AV87,IF(H89="PACIFIC",PR!$AW87,IF(H89="PHAMATEX",PR!$AX87,IF(H89="PETHICS",PR!$AY87,IF(H89="PHILIPS",PR!$AZ87,IF(H89="RANBAXY",PR!$BA87,IF(H89="REALS",PR!$BB87,IF(H89="ROYAL",PR!$BC87,IF(H89="SAM",PR!$BD87,IF(H89="SEAGREEN",PR!$BE87,IF(H89="SKG",PR!$BF87,IF(H89="TAH",PR!$BG87,IF(H89="TAYLEK",PR!$BH87,IF(H89="TEMITA",PR!$BI87,IF(H89="THL",PR!$BJ87,IF(H89="UBASTIC",PR!$BK87,IF(H89="UNION",PR!$BL87,IF(H89="UNIQUE",PR!$BM87,IF(H89="VIXA",PR!$BN87,IF(H89="WWCV",PR!$BO87,IF(H89="ZOLON",PR!$BP87,"-"))))))))))))))))))))))))))))))))))))))))))))))))))))))))))))))))</f>
        <v>4900</v>
      </c>
      <c r="H89" s="102" t="str">
        <f>EV!M111</f>
        <v>EUMATT</v>
      </c>
      <c r="I89" s="108" t="str">
        <f>IF(J89="ALPHA",PR!$E87,IF(J89="ASSENE",PR!$F87,IF(J89="BIOFEM",PR!$G87,IF(J89="BIOMED",PR!$H87,IF(J89="CHI",PR!$I87,IF(J89="CLARION",PR!$J87,IF(J89="CODIX",PR!$K87,IF(J89="COSMADE",PR!$L87,IF(J89="SANCON",PR!$M87,IF(J89="DEVON",PR!$N87,IF(J89="DORTEMAG",PR!$O87,IF(J89="DGF",PR!$P87,IF(J89="DYNAMIC",PR!$Q87,IF(J89="EMZOR",PR!$R87,IF(J89="EUMATT",PR!$S87,IF(J89="FIDSON",PR!$T87,IF(J89="FCGLOBAL",PR!$U87,IF(J89="GENEITH",PR!$V87,IF(J89="GINOS",PR!$W87,IF(J89="GSK",PR!$X87,IF(J89="GLOBORG",PR!$Y87,IF(J89="GOODNEWS",PR!$Z87,IF(J89="GREENLIFE",PR!$AA87,IF(J89="HLINE",PR!$AB87,IF(J89="ROTECH",PR!$AC87,IF(J89="ISN",PR!$AD87,IF(J89="JAWA",PR!$AE87,IF(J89="LAYO",PR!$AF87,IF(J89="LEADWAY",PR!$AG87,IF(J89="LHV",PR!$AH87,IF(J89="MANOLA",PR!$AI87,IF(J89="MARCSON",PR!$AJ87,IF(J89="M&amp;B",PR!$AK87,IF(J89="MTRUST",PR!$AL87,IF(J89="MWORLD",PR!$AM87,IF(J89="MEGA",PR!$AN87,IF(J89="MICRONOVA",PR!$AO87,IF(J89="MFLASH",PR!$AP87,IF(J89="MORISON",PR!$AQ87,IF(J89="NEMEL",PR!$AR87,IF(J89="NHP",PR!$AS87,IF(J89="NHC",PR!$AT87,IF(J89="OLEAF",PR!$AU87,IF(J89="OCULUS",PR!$AV87,IF(J89="PACIFIC",PR!$AW87,IF(J89="PHAMATEX",PR!$AX87,IF(J89="PETHICS",PR!$AY87,IF(J89="PHILIPS",PR!$AZ87,IF(J89="RANBAXY",PR!$BA87,IF(J89="REALS",PR!$BB87,IF(J89="ROYAL",PR!$BC87,IF(J89="SAM",PR!$BD87,IF(J89="SEAGREEN",PR!$BE87,IF(J89="SKG",PR!$BF87,IF(J89="TAH",PR!$BG87,IF(J89="TAYLEK",PR!$BH87,IF(J89="TEMITA",PR!$BI87,IF(J89="THL",PR!$BJ87,IF(J89="UBASTIC",PR!$BK87,IF(J89="UNION",PR!$BL87,IF(J89="UNIQUE",PR!$BM87,IF(J89="VIXA",PR!$BN87,IF(J89="WWCV",PR!$BO87,IF(J89="ZOLON",PR!$BP87,"-"))))))))))))))))))))))))))))))))))))))))))))))))))))))))))))))))</f>
        <v>-</v>
      </c>
      <c r="J89" s="102">
        <f>EV!N111</f>
        <v>0</v>
      </c>
      <c r="K89" s="433" t="s">
        <v>1446</v>
      </c>
      <c r="L89" s="183">
        <f>IF(K89&gt;0,IF(K89="ALPHA",PR!$E87,IF(K89="ASSENE",PR!$F87,IF(K89="BIOFEM",PR!$G87,IF(K89="BIOMED",PR!$H87,IF(K89="CHI",PR!$I87,IF(K89="CLARION",PR!$J87,IF(K89="CODIX",PR!$K87,IF(K89="COSMADE",PR!$L87,IF(K89="SANCON",PR!$M87,IF(K89="DEVON",PR!$N87,IF(K89="DORTEMAG",PR!$O87,IF(K89="DGF",PR!$P87,IF(K89="DYNAMIC",PR!$Q87,IF(K89="EMZOR",PR!$R87,IF(K89="EUMATT",PR!$S87,IF(K89="FIDSON",PR!$T87,IF(K89="FCGLOBAL",PR!$U87,IF(K89="GENEITH",PR!$V87,IF(K89="GINOS",PR!$W87,IF(K89="GSK",PR!$X87,IF(K89="GLOBORG",PR!$Y87,IF(K89="GOODNEWS",PR!$Z87,IF(K89="GREENLIFE",PR!$AA87,IF(K89="HLINE",PR!$AB87,IF(K89="ROTECH",PR!$AC87,IF(K89="ISN",PR!$AD87,IF(K89="JAWA",PR!$AE87,IF(K89="LAYO",PR!$AF87,IF(K89="LEADWAY",PR!$AG87,IF(K89="LHV",PR!$AH87,IF(K89="MANOLA",PR!$AI87,IF(K89="MARCSON",PR!$AJ87,IF(K89="M&amp;B",PR!$AK87,IF(K89="MTRUST",PR!$AL87,IF(K89="MWORLD",PR!$AM87,IF(K89="MEGA",PR!$AN87,IF(K89="MICRONOVA",PR!$AO87,IF(K89="MFLASH",PR!$AP87,IF(K89="MORISON",PR!$AQ87,IF(K89="NEMEL",PR!$AR87,IF(K89="NHP",PR!$AS87,IF(K89="NHC",PR!$AT87,IF(K89="OLEAF",PR!$AU87,IF(K89="OCULUS",PR!$AV87,IF(K89="PACIFIC",PR!$AW87,IF(K89="PHAMATEX",PR!$AX87,IF(K89="PETHICS",PR!$AY87,IF(K89="PHILIPS",PR!$AZ87,IF(K89="RANBAXY",PR!$BA87,IF(K89="REALS",PR!$BB87,IF(K89="ROYAL",PR!$BC87,IF(K89="SAM",PR!$BD87,IF(K89="SEAGREEN",PR!$BE87,IF(K89="SKG",PR!$BF87,IF(K89="TAH",PR!$BG87,IF(K89="TAYLEK",PR!$BH87,IF(K89="TEMITA",PR!$BI87,IF(K89="THL",PR!$BJ87,IF(K89="UBASTIC",PR!$BK87,IF(K89="UNION",PR!$BL87,IF(K89="UNIQUE",PR!$BM87,IF(K89="VIXA",PR!$BN87,IF(K89="WWCV",PR!$BO87,IF(K89="ZOLON",PR!$BP87,"-")))))))))))))))))))))))))))))))))))))))))))))))))))))))))))))))))</f>
        <v>4054</v>
      </c>
    </row>
    <row r="90" spans="1:12" ht="18.75" x14ac:dyDescent="0.3">
      <c r="A90" s="430">
        <f>PR!A88</f>
        <v>72</v>
      </c>
      <c r="B90" s="15" t="str">
        <f>PR!B88</f>
        <v>IVABRADINE 5MG TAB</v>
      </c>
      <c r="C90" s="113">
        <f>PR!D88</f>
        <v>30</v>
      </c>
      <c r="D90" s="113">
        <f>PR!C88</f>
        <v>50</v>
      </c>
      <c r="E90" s="108" t="str">
        <f>IF(F90="ALPHA",PR!$E88,IF(F90="ASSENE",PR!$F88,IF(F90="BIOFEM",PR!$G88,IF(F90="BIOMED",PR!$H88,IF(F90="CHI",PR!$I88,IF(F90="CLARION",PR!$J88,IF(F90="CODIX",PR!$K88,IF(F90="COSMADE",PR!$L88,IF(F90="SANCON",PR!$M88,IF(F90="DEVON",PR!$N88,IF(F90="DORTEMAG",PR!$O88,IF(F90="DGF",PR!$P88,IF(F90="DYNAMIC",PR!$Q88,IF(F90="EMZOR",PR!$R88,IF(F90="EUMATT",PR!$S88,IF(F90="FIDSON",PR!$T88,IF(F90="FCGLOBAL",PR!$U88,IF(F90="GENEITH",PR!$V88,IF(F90="GINOS",PR!$W88,IF(F90="GSK",PR!$X88,IF(F90="GLOBORG",PR!$Y88,IF(F90="GOODNEWS",PR!$Z88,IF(F90="GREENLIFE",PR!$AA88,IF(F90="HLINE",PR!$AB88,IF(F90="ROTECH",PR!$AC88,IF(F90="ISN",PR!$AD88,IF(F90="JAWA",PR!$AE88,IF(F90="LAYO",PR!$AF88,IF(F90="LEADWAY",PR!$AG88,IF(F90="LHV",PR!$AH88,IF(F90="MANOLA",PR!$AI88,IF(F90="MARCSON",PR!$AJ88,IF(F90="M&amp;B",PR!$AK88,IF(F90="MTRUST",PR!$AL88,IF(F90="MWORLD",PR!$AM88,IF(F90="MEGA",PR!$AN88,IF(F90="MICRONOVA",PR!$AO88,IF(F90="MFLASH",PR!$AP88,IF(F90="MORISON",PR!$AQ88,IF(F90="NEMEL",PR!$AR88,IF(F90="NHP",PR!$AS88,IF(F90="NHC",PR!$AT88,IF(F90="OLEAF",PR!$AU88,IF(F90="OCULUS",PR!$AV88,IF(F90="PACIFIC",PR!$AW88,IF(F90="PHAMATEX",PR!$AX88,IF(F90="PETHICS",PR!$AY88,IF(F90="PHILIPS",PR!$AZ88,IF(F90="RANBAXY",PR!$BA88,IF(F90="REALS",PR!$BB88,IF(F90="ROYAL",PR!$BC88,IF(F90="SAM",PR!$BD88,IF(F90="SEAGREEN",PR!$BE88,IF(F90="SKG",PR!$BF88,IF(F90="TAH",PR!$BG88,IF(F90="TAYLEK",PR!$BH88,IF(F90="TEMITA",PR!$BI88,IF(F90="THL",PR!$BJ88,IF(F90="UBASTIC",PR!$BK88,IF(F90="UNION",PR!$BL88,IF(F90="UNIQUE",PR!$BM88,IF(F90="VIXA",PR!$BN88,IF(F90="WWCV",PR!$BO88,IF(F90="ZOLON",PR!$BP88,"-"))))))))))))))))))))))))))))))))))))))))))))))))))))))))))))))))</f>
        <v>-</v>
      </c>
      <c r="F90" s="102">
        <f>EV!L112</f>
        <v>0</v>
      </c>
      <c r="G90" s="108" t="str">
        <f>IF(H90="ALPHA",PR!$E88,IF(H90="ASSENE",PR!$F88,IF(H90="BIOFEM",PR!$G88,IF(H90="BIOMED",PR!$H88,IF(H90="CHI",PR!$I88,IF(H90="CLARION",PR!$J88,IF(H90="CODIX",PR!$K88,IF(H90="COSMADE",PR!$L88,IF(H90="SANCON",PR!$M88,IF(H90="DEVON",PR!$N88,IF(H90="DORTEMAG",PR!$O88,IF(H90="DGF",PR!$P88,IF(H90="DYNAMIC",PR!$Q88,IF(H90="EMZOR",PR!$R88,IF(H90="EUMATT",PR!$S88,IF(H90="FIDSON",PR!$T88,IF(H90="FCGLOBAL",PR!$U88,IF(H90="GENEITH",PR!$V88,IF(H90="GINOS",PR!$W88,IF(H90="GSK",PR!$X88,IF(H90="GLOBORG",PR!$Y88,IF(H90="GOODNEWS",PR!$Z88,IF(H90="GREENLIFE",PR!$AA88,IF(H90="HLINE",PR!$AB88,IF(H90="ROTECH",PR!$AC88,IF(H90="ISN",PR!$AD88,IF(H90="JAWA",PR!$AE88,IF(H90="LAYO",PR!$AF88,IF(H90="LEADWAY",PR!$AG88,IF(H90="LHV",PR!$AH88,IF(H90="MANOLA",PR!$AI88,IF(H90="MARCSON",PR!$AJ88,IF(H90="M&amp;B",PR!$AK88,IF(H90="MTRUST",PR!$AL88,IF(H90="MWORLD",PR!$AM88,IF(H90="MEGA",PR!$AN88,IF(H90="MICRONOVA",PR!$AO88,IF(H90="MFLASH",PR!$AP88,IF(H90="MORISON",PR!$AQ88,IF(H90="NEMEL",PR!$AR88,IF(H90="NHP",PR!$AS88,IF(H90="NHC",PR!$AT88,IF(H90="OLEAF",PR!$AU88,IF(H90="OCULUS",PR!$AV88,IF(H90="PACIFIC",PR!$AW88,IF(H90="PHAMATEX",PR!$AX88,IF(H90="PETHICS",PR!$AY88,IF(H90="PHILIPS",PR!$AZ88,IF(H90="RANBAXY",PR!$BA88,IF(H90="REALS",PR!$BB88,IF(H90="ROYAL",PR!$BC88,IF(H90="SAM",PR!$BD88,IF(H90="SEAGREEN",PR!$BE88,IF(H90="SKG",PR!$BF88,IF(H90="TAH",PR!$BG88,IF(H90="TAYLEK",PR!$BH88,IF(H90="TEMITA",PR!$BI88,IF(H90="THL",PR!$BJ88,IF(H90="UBASTIC",PR!$BK88,IF(H90="UNION",PR!$BL88,IF(H90="UNIQUE",PR!$BM88,IF(H90="VIXA",PR!$BN88,IF(H90="WWCV",PR!$BO88,IF(H90="ZOLON",PR!$BP88,"-"))))))))))))))))))))))))))))))))))))))))))))))))))))))))))))))))</f>
        <v>-</v>
      </c>
      <c r="H90" s="102">
        <f>EV!M112</f>
        <v>0</v>
      </c>
      <c r="I90" s="108" t="str">
        <f>IF(J90="ALPHA",PR!$E88,IF(J90="ASSENE",PR!$F88,IF(J90="BIOFEM",PR!$G88,IF(J90="BIOMED",PR!$H88,IF(J90="CHI",PR!$I88,IF(J90="CLARION",PR!$J88,IF(J90="CODIX",PR!$K88,IF(J90="COSMADE",PR!$L88,IF(J90="SANCON",PR!$M88,IF(J90="DEVON",PR!$N88,IF(J90="DORTEMAG",PR!$O88,IF(J90="DGF",PR!$P88,IF(J90="DYNAMIC",PR!$Q88,IF(J90="EMZOR",PR!$R88,IF(J90="EUMATT",PR!$S88,IF(J90="FIDSON",PR!$T88,IF(J90="FCGLOBAL",PR!$U88,IF(J90="GENEITH",PR!$V88,IF(J90="GINOS",PR!$W88,IF(J90="GSK",PR!$X88,IF(J90="GLOBORG",PR!$Y88,IF(J90="GOODNEWS",PR!$Z88,IF(J90="GREENLIFE",PR!$AA88,IF(J90="HLINE",PR!$AB88,IF(J90="ROTECH",PR!$AC88,IF(J90="ISN",PR!$AD88,IF(J90="JAWA",PR!$AE88,IF(J90="LAYO",PR!$AF88,IF(J90="LEADWAY",PR!$AG88,IF(J90="LHV",PR!$AH88,IF(J90="MANOLA",PR!$AI88,IF(J90="MARCSON",PR!$AJ88,IF(J90="M&amp;B",PR!$AK88,IF(J90="MTRUST",PR!$AL88,IF(J90="MWORLD",PR!$AM88,IF(J90="MEGA",PR!$AN88,IF(J90="MICRONOVA",PR!$AO88,IF(J90="MFLASH",PR!$AP88,IF(J90="MORISON",PR!$AQ88,IF(J90="NEMEL",PR!$AR88,IF(J90="NHP",PR!$AS88,IF(J90="NHC",PR!$AT88,IF(J90="OLEAF",PR!$AU88,IF(J90="OCULUS",PR!$AV88,IF(J90="PACIFIC",PR!$AW88,IF(J90="PHAMATEX",PR!$AX88,IF(J90="PETHICS",PR!$AY88,IF(J90="PHILIPS",PR!$AZ88,IF(J90="RANBAXY",PR!$BA88,IF(J90="REALS",PR!$BB88,IF(J90="ROYAL",PR!$BC88,IF(J90="SAM",PR!$BD88,IF(J90="SEAGREEN",PR!$BE88,IF(J90="SKG",PR!$BF88,IF(J90="TAH",PR!$BG88,IF(J90="TAYLEK",PR!$BH88,IF(J90="TEMITA",PR!$BI88,IF(J90="THL",PR!$BJ88,IF(J90="UBASTIC",PR!$BK88,IF(J90="UNION",PR!$BL88,IF(J90="UNIQUE",PR!$BM88,IF(J90="VIXA",PR!$BN88,IF(J90="WWCV",PR!$BO88,IF(J90="ZOLON",PR!$BP88,"-"))))))))))))))))))))))))))))))))))))))))))))))))))))))))))))))))</f>
        <v>-</v>
      </c>
      <c r="J90" s="102">
        <f>EV!N112</f>
        <v>0</v>
      </c>
      <c r="K90" s="433"/>
      <c r="L90" s="183" t="b">
        <f>IF(K90&gt;0,IF(K90="ALPHA",PR!$E88,IF(K90="ASSENE",PR!$F88,IF(K90="BIOFEM",PR!$G88,IF(K90="BIOMED",PR!$H88,IF(K90="CHI",PR!$I88,IF(K90="CLARION",PR!$J88,IF(K90="CODIX",PR!$K88,IF(K90="COSMADE",PR!$L88,IF(K90="SANCON",PR!$M88,IF(K90="DEVON",PR!$N88,IF(K90="DORTEMAG",PR!$O88,IF(K90="DGF",PR!$P88,IF(K90="DYNAMIC",PR!$Q88,IF(K90="EMZOR",PR!$R88,IF(K90="EUMATT",PR!$S88,IF(K90="FIDSON",PR!$T88,IF(K90="FCGLOBAL",PR!$U88,IF(K90="GENEITH",PR!$V88,IF(K90="GINOS",PR!$W88,IF(K90="GSK",PR!$X88,IF(K90="GLOBORG",PR!$Y88,IF(K90="GOODNEWS",PR!$Z88,IF(K90="GREENLIFE",PR!$AA88,IF(K90="HLINE",PR!$AB88,IF(K90="ROTECH",PR!$AC88,IF(K90="ISN",PR!$AD88,IF(K90="JAWA",PR!$AE88,IF(K90="LAYO",PR!$AF88,IF(K90="LEADWAY",PR!$AG88,IF(K90="LHV",PR!$AH88,IF(K90="MANOLA",PR!$AI88,IF(K90="MARCSON",PR!$AJ88,IF(K90="M&amp;B",PR!$AK88,IF(K90="MTRUST",PR!$AL88,IF(K90="MWORLD",PR!$AM88,IF(K90="MEGA",PR!$AN88,IF(K90="MICRONOVA",PR!$AO88,IF(K90="MFLASH",PR!$AP88,IF(K90="MORISON",PR!$AQ88,IF(K90="NEMEL",PR!$AR88,IF(K90="NHP",PR!$AS88,IF(K90="NHC",PR!$AT88,IF(K90="OLEAF",PR!$AU88,IF(K90="OCULUS",PR!$AV88,IF(K90="PACIFIC",PR!$AW88,IF(K90="PHAMATEX",PR!$AX88,IF(K90="PETHICS",PR!$AY88,IF(K90="PHILIPS",PR!$AZ88,IF(K90="RANBAXY",PR!$BA88,IF(K90="REALS",PR!$BB88,IF(K90="ROYAL",PR!$BC88,IF(K90="SAM",PR!$BD88,IF(K90="SEAGREEN",PR!$BE88,IF(K90="SKG",PR!$BF88,IF(K90="TAH",PR!$BG88,IF(K90="TAYLEK",PR!$BH88,IF(K90="TEMITA",PR!$BI88,IF(K90="THL",PR!$BJ88,IF(K90="UBASTIC",PR!$BK88,IF(K90="UNION",PR!$BL88,IF(K90="UNIQUE",PR!$BM88,IF(K90="VIXA",PR!$BN88,IF(K90="WWCV",PR!$BO88,IF(K90="ZOLON",PR!$BP88,"-")))))))))))))))))))))))))))))))))))))))))))))))))))))))))))))))))</f>
        <v>0</v>
      </c>
    </row>
    <row r="91" spans="1:12" ht="18.75" x14ac:dyDescent="0.3">
      <c r="A91" s="430">
        <f>PR!A89</f>
        <v>73</v>
      </c>
      <c r="B91" s="15" t="str">
        <f>PR!B89</f>
        <v>LABETALOL INJ</v>
      </c>
      <c r="C91" s="113" t="str">
        <f>PR!D89</f>
        <v>AMP</v>
      </c>
      <c r="D91" s="113">
        <f>PR!C89</f>
        <v>400</v>
      </c>
      <c r="E91" s="108">
        <f>IF(F91="ALPHA",PR!$E89,IF(F91="ASSENE",PR!$F89,IF(F91="BIOFEM",PR!$G89,IF(F91="BIOMED",PR!$H89,IF(F91="CHI",PR!$I89,IF(F91="CLARION",PR!$J89,IF(F91="CODIX",PR!$K89,IF(F91="COSMADE",PR!$L89,IF(F91="SANCON",PR!$M89,IF(F91="DEVON",PR!$N89,IF(F91="DORTEMAG",PR!$O89,IF(F91="DGF",PR!$P89,IF(F91="DYNAMIC",PR!$Q89,IF(F91="EMZOR",PR!$R89,IF(F91="EUMATT",PR!$S89,IF(F91="FIDSON",PR!$T89,IF(F91="FCGLOBAL",PR!$U89,IF(F91="GENEITH",PR!$V89,IF(F91="GINOS",PR!$W89,IF(F91="GSK",PR!$X89,IF(F91="GLOBORG",PR!$Y89,IF(F91="GOODNEWS",PR!$Z89,IF(F91="GREENLIFE",PR!$AA89,IF(F91="HLINE",PR!$AB89,IF(F91="ROTECH",PR!$AC89,IF(F91="ISN",PR!$AD89,IF(F91="JAWA",PR!$AE89,IF(F91="LAYO",PR!$AF89,IF(F91="LEADWAY",PR!$AG89,IF(F91="LHV",PR!$AH89,IF(F91="MANOLA",PR!$AI89,IF(F91="MARCSON",PR!$AJ89,IF(F91="M&amp;B",PR!$AK89,IF(F91="MTRUST",PR!$AL89,IF(F91="MWORLD",PR!$AM89,IF(F91="MEGA",PR!$AN89,IF(F91="MICRONOVA",PR!$AO89,IF(F91="MFLASH",PR!$AP89,IF(F91="MORISON",PR!$AQ89,IF(F91="NEMEL",PR!$AR89,IF(F91="NHP",PR!$AS89,IF(F91="NHC",PR!$AT89,IF(F91="OLEAF",PR!$AU89,IF(F91="OCULUS",PR!$AV89,IF(F91="PACIFIC",PR!$AW89,IF(F91="PHAMATEX",PR!$AX89,IF(F91="PETHICS",PR!$AY89,IF(F91="PHILIPS",PR!$AZ89,IF(F91="RANBAXY",PR!$BA89,IF(F91="REALS",PR!$BB89,IF(F91="ROYAL",PR!$BC89,IF(F91="SAM",PR!$BD89,IF(F91="SEAGREEN",PR!$BE89,IF(F91="SKG",PR!$BF89,IF(F91="TAH",PR!$BG89,IF(F91="TAYLEK",PR!$BH89,IF(F91="TEMITA",PR!$BI89,IF(F91="THL",PR!$BJ89,IF(F91="UBASTIC",PR!$BK89,IF(F91="UNION",PR!$BL89,IF(F91="UNIQUE",PR!$BM89,IF(F91="VIXA",PR!$BN89,IF(F91="WWCV",PR!$BO89,IF(F91="ZOLON",PR!$BP89,"-"))))))))))))))))))))))))))))))))))))))))))))))))))))))))))))))))</f>
        <v>750</v>
      </c>
      <c r="F91" s="102" t="str">
        <f>EV!L113</f>
        <v>EUMATT</v>
      </c>
      <c r="G91" s="108" t="str">
        <f>IF(H91="ALPHA",PR!$E89,IF(H91="ASSENE",PR!$F89,IF(H91="BIOFEM",PR!$G89,IF(H91="BIOMED",PR!$H89,IF(H91="CHI",PR!$I89,IF(H91="CLARION",PR!$J89,IF(H91="CODIX",PR!$K89,IF(H91="COSMADE",PR!$L89,IF(H91="SANCON",PR!$M89,IF(H91="DEVON",PR!$N89,IF(H91="DORTEMAG",PR!$O89,IF(H91="DGF",PR!$P89,IF(H91="DYNAMIC",PR!$Q89,IF(H91="EMZOR",PR!$R89,IF(H91="EUMATT",PR!$S89,IF(H91="FIDSON",PR!$T89,IF(H91="FCGLOBAL",PR!$U89,IF(H91="GENEITH",PR!$V89,IF(H91="GINOS",PR!$W89,IF(H91="GSK",PR!$X89,IF(H91="GLOBORG",PR!$Y89,IF(H91="GOODNEWS",PR!$Z89,IF(H91="GREENLIFE",PR!$AA89,IF(H91="HLINE",PR!$AB89,IF(H91="ROTECH",PR!$AC89,IF(H91="ISN",PR!$AD89,IF(H91="JAWA",PR!$AE89,IF(H91="LAYO",PR!$AF89,IF(H91="LEADWAY",PR!$AG89,IF(H91="LHV",PR!$AH89,IF(H91="MANOLA",PR!$AI89,IF(H91="MARCSON",PR!$AJ89,IF(H91="M&amp;B",PR!$AK89,IF(H91="MTRUST",PR!$AL89,IF(H91="MWORLD",PR!$AM89,IF(H91="MEGA",PR!$AN89,IF(H91="MICRONOVA",PR!$AO89,IF(H91="MFLASH",PR!$AP89,IF(H91="MORISON",PR!$AQ89,IF(H91="NEMEL",PR!$AR89,IF(H91="NHP",PR!$AS89,IF(H91="NHC",PR!$AT89,IF(H91="OLEAF",PR!$AU89,IF(H91="OCULUS",PR!$AV89,IF(H91="PACIFIC",PR!$AW89,IF(H91="PHAMATEX",PR!$AX89,IF(H91="PETHICS",PR!$AY89,IF(H91="PHILIPS",PR!$AZ89,IF(H91="RANBAXY",PR!$BA89,IF(H91="REALS",PR!$BB89,IF(H91="ROYAL",PR!$BC89,IF(H91="SAM",PR!$BD89,IF(H91="SEAGREEN",PR!$BE89,IF(H91="SKG",PR!$BF89,IF(H91="TAH",PR!$BG89,IF(H91="TAYLEK",PR!$BH89,IF(H91="TEMITA",PR!$BI89,IF(H91="THL",PR!$BJ89,IF(H91="UBASTIC",PR!$BK89,IF(H91="UNION",PR!$BL89,IF(H91="UNIQUE",PR!$BM89,IF(H91="VIXA",PR!$BN89,IF(H91="WWCV",PR!$BO89,IF(H91="ZOLON",PR!$BP89,"-"))))))))))))))))))))))))))))))))))))))))))))))))))))))))))))))))</f>
        <v>-</v>
      </c>
      <c r="H91" s="102">
        <f>EV!M113</f>
        <v>0</v>
      </c>
      <c r="I91" s="108" t="str">
        <f>IF(J91="ALPHA",PR!$E89,IF(J91="ASSENE",PR!$F89,IF(J91="BIOFEM",PR!$G89,IF(J91="BIOMED",PR!$H89,IF(J91="CHI",PR!$I89,IF(J91="CLARION",PR!$J89,IF(J91="CODIX",PR!$K89,IF(J91="COSMADE",PR!$L89,IF(J91="SANCON",PR!$M89,IF(J91="DEVON",PR!$N89,IF(J91="DORTEMAG",PR!$O89,IF(J91="DGF",PR!$P89,IF(J91="DYNAMIC",PR!$Q89,IF(J91="EMZOR",PR!$R89,IF(J91="EUMATT",PR!$S89,IF(J91="FIDSON",PR!$T89,IF(J91="FCGLOBAL",PR!$U89,IF(J91="GENEITH",PR!$V89,IF(J91="GINOS",PR!$W89,IF(J91="GSK",PR!$X89,IF(J91="GLOBORG",PR!$Y89,IF(J91="GOODNEWS",PR!$Z89,IF(J91="GREENLIFE",PR!$AA89,IF(J91="HLINE",PR!$AB89,IF(J91="ROTECH",PR!$AC89,IF(J91="ISN",PR!$AD89,IF(J91="JAWA",PR!$AE89,IF(J91="LAYO",PR!$AF89,IF(J91="LEADWAY",PR!$AG89,IF(J91="LHV",PR!$AH89,IF(J91="MANOLA",PR!$AI89,IF(J91="MARCSON",PR!$AJ89,IF(J91="M&amp;B",PR!$AK89,IF(J91="MTRUST",PR!$AL89,IF(J91="MWORLD",PR!$AM89,IF(J91="MEGA",PR!$AN89,IF(J91="MICRONOVA",PR!$AO89,IF(J91="MFLASH",PR!$AP89,IF(J91="MORISON",PR!$AQ89,IF(J91="NEMEL",PR!$AR89,IF(J91="NHP",PR!$AS89,IF(J91="NHC",PR!$AT89,IF(J91="OLEAF",PR!$AU89,IF(J91="OCULUS",PR!$AV89,IF(J91="PACIFIC",PR!$AW89,IF(J91="PHAMATEX",PR!$AX89,IF(J91="PETHICS",PR!$AY89,IF(J91="PHILIPS",PR!$AZ89,IF(J91="RANBAXY",PR!$BA89,IF(J91="REALS",PR!$BB89,IF(J91="ROYAL",PR!$BC89,IF(J91="SAM",PR!$BD89,IF(J91="SEAGREEN",PR!$BE89,IF(J91="SKG",PR!$BF89,IF(J91="TAH",PR!$BG89,IF(J91="TAYLEK",PR!$BH89,IF(J91="TEMITA",PR!$BI89,IF(J91="THL",PR!$BJ89,IF(J91="UBASTIC",PR!$BK89,IF(J91="UNION",PR!$BL89,IF(J91="UNIQUE",PR!$BM89,IF(J91="VIXA",PR!$BN89,IF(J91="WWCV",PR!$BO89,IF(J91="ZOLON",PR!$BP89,"-"))))))))))))))))))))))))))))))))))))))))))))))))))))))))))))))))</f>
        <v>-</v>
      </c>
      <c r="J91" s="102">
        <f>EV!N113</f>
        <v>0</v>
      </c>
      <c r="K91" s="433" t="s">
        <v>821</v>
      </c>
      <c r="L91" s="183">
        <f>IF(K91&gt;0,IF(K91="ALPHA",PR!$E89,IF(K91="ASSENE",PR!$F89,IF(K91="BIOFEM",PR!$G89,IF(K91="BIOMED",PR!$H89,IF(K91="CHI",PR!$I89,IF(K91="CLARION",PR!$J89,IF(K91="CODIX",PR!$K89,IF(K91="COSMADE",PR!$L89,IF(K91="SANCON",PR!$M89,IF(K91="DEVON",PR!$N89,IF(K91="DORTEMAG",PR!$O89,IF(K91="DGF",PR!$P89,IF(K91="DYNAMIC",PR!$Q89,IF(K91="EMZOR",PR!$R89,IF(K91="EUMATT",PR!$S89,IF(K91="FIDSON",PR!$T89,IF(K91="FCGLOBAL",PR!$U89,IF(K91="GENEITH",PR!$V89,IF(K91="GINOS",PR!$W89,IF(K91="GSK",PR!$X89,IF(K91="GLOBORG",PR!$Y89,IF(K91="GOODNEWS",PR!$Z89,IF(K91="GREENLIFE",PR!$AA89,IF(K91="HLINE",PR!$AB89,IF(K91="ROTECH",PR!$AC89,IF(K91="ISN",PR!$AD89,IF(K91="JAWA",PR!$AE89,IF(K91="LAYO",PR!$AF89,IF(K91="LEADWAY",PR!$AG89,IF(K91="LHV",PR!$AH89,IF(K91="MANOLA",PR!$AI89,IF(K91="MARCSON",PR!$AJ89,IF(K91="M&amp;B",PR!$AK89,IF(K91="MTRUST",PR!$AL89,IF(K91="MWORLD",PR!$AM89,IF(K91="MEGA",PR!$AN89,IF(K91="MICRONOVA",PR!$AO89,IF(K91="MFLASH",PR!$AP89,IF(K91="MORISON",PR!$AQ89,IF(K91="NEMEL",PR!$AR89,IF(K91="NHP",PR!$AS89,IF(K91="NHC",PR!$AT89,IF(K91="OLEAF",PR!$AU89,IF(K91="OCULUS",PR!$AV89,IF(K91="PACIFIC",PR!$AW89,IF(K91="PHAMATEX",PR!$AX89,IF(K91="PETHICS",PR!$AY89,IF(K91="PHILIPS",PR!$AZ89,IF(K91="RANBAXY",PR!$BA89,IF(K91="REALS",PR!$BB89,IF(K91="ROYAL",PR!$BC89,IF(K91="SAM",PR!$BD89,IF(K91="SEAGREEN",PR!$BE89,IF(K91="SKG",PR!$BF89,IF(K91="TAH",PR!$BG89,IF(K91="TAYLEK",PR!$BH89,IF(K91="TEMITA",PR!$BI89,IF(K91="THL",PR!$BJ89,IF(K91="UBASTIC",PR!$BK89,IF(K91="UNION",PR!$BL89,IF(K91="UNIQUE",PR!$BM89,IF(K91="VIXA",PR!$BN89,IF(K91="WWCV",PR!$BO89,IF(K91="ZOLON",PR!$BP89,"-")))))))))))))))))))))))))))))))))))))))))))))))))))))))))))))))))</f>
        <v>750</v>
      </c>
    </row>
    <row r="92" spans="1:12" ht="18.75" x14ac:dyDescent="0.3">
      <c r="A92" s="430">
        <f>PR!A90</f>
        <v>74</v>
      </c>
      <c r="B92" s="15" t="str">
        <f>PR!B90</f>
        <v>LABETALOL TAB</v>
      </c>
      <c r="C92" s="113">
        <f>PR!D90</f>
        <v>30</v>
      </c>
      <c r="D92" s="113">
        <f>PR!C90</f>
        <v>80</v>
      </c>
      <c r="E92" s="108">
        <f>IF(F92="ALPHA",PR!$E90,IF(F92="ASSENE",PR!$F90,IF(F92="BIOFEM",PR!$G90,IF(F92="BIOMED",PR!$H90,IF(F92="CHI",PR!$I90,IF(F92="CLARION",PR!$J90,IF(F92="CODIX",PR!$K90,IF(F92="COSMADE",PR!$L90,IF(F92="SANCON",PR!$M90,IF(F92="DEVON",PR!$N90,IF(F92="DORTEMAG",PR!$O90,IF(F92="DGF",PR!$P90,IF(F92="DYNAMIC",PR!$Q90,IF(F92="EMZOR",PR!$R90,IF(F92="EUMATT",PR!$S90,IF(F92="FIDSON",PR!$T90,IF(F92="FCGLOBAL",PR!$U90,IF(F92="GENEITH",PR!$V90,IF(F92="GINOS",PR!$W90,IF(F92="GSK",PR!$X90,IF(F92="GLOBORG",PR!$Y90,IF(F92="GOODNEWS",PR!$Z90,IF(F92="GREENLIFE",PR!$AA90,IF(F92="HLINE",PR!$AB90,IF(F92="ROTECH",PR!$AC90,IF(F92="ISN",PR!$AD90,IF(F92="JAWA",PR!$AE90,IF(F92="LAYO",PR!$AF90,IF(F92="LEADWAY",PR!$AG90,IF(F92="LHV",PR!$AH90,IF(F92="MANOLA",PR!$AI90,IF(F92="MARCSON",PR!$AJ90,IF(F92="M&amp;B",PR!$AK90,IF(F92="MTRUST",PR!$AL90,IF(F92="MWORLD",PR!$AM90,IF(F92="MEGA",PR!$AN90,IF(F92="MICRONOVA",PR!$AO90,IF(F92="MFLASH",PR!$AP90,IF(F92="MORISON",PR!$AQ90,IF(F92="NEMEL",PR!$AR90,IF(F92="NHP",PR!$AS90,IF(F92="NHC",PR!$AT90,IF(F92="OLEAF",PR!$AU90,IF(F92="OCULUS",PR!$AV90,IF(F92="PACIFIC",PR!$AW90,IF(F92="PHAMATEX",PR!$AX90,IF(F92="PETHICS",PR!$AY90,IF(F92="PHILIPS",PR!$AZ90,IF(F92="RANBAXY",PR!$BA90,IF(F92="REALS",PR!$BB90,IF(F92="ROYAL",PR!$BC90,IF(F92="SAM",PR!$BD90,IF(F92="SEAGREEN",PR!$BE90,IF(F92="SKG",PR!$BF90,IF(F92="TAH",PR!$BG90,IF(F92="TAYLEK",PR!$BH90,IF(F92="TEMITA",PR!$BI90,IF(F92="THL",PR!$BJ90,IF(F92="UBASTIC",PR!$BK90,IF(F92="UNION",PR!$BL90,IF(F92="UNIQUE",PR!$BM90,IF(F92="VIXA",PR!$BN90,IF(F92="WWCV",PR!$BO90,IF(F92="ZOLON",PR!$BP90,"-"))))))))))))))))))))))))))))))))))))))))))))))))))))))))))))))))</f>
        <v>3100</v>
      </c>
      <c r="F92" s="102" t="str">
        <f>EV!L114</f>
        <v>EUMATT</v>
      </c>
      <c r="G92" s="108" t="str">
        <f>IF(H92="ALPHA",PR!$E90,IF(H92="ASSENE",PR!$F90,IF(H92="BIOFEM",PR!$G90,IF(H92="BIOMED",PR!$H90,IF(H92="CHI",PR!$I90,IF(H92="CLARION",PR!$J90,IF(H92="CODIX",PR!$K90,IF(H92="COSMADE",PR!$L90,IF(H92="SANCON",PR!$M90,IF(H92="DEVON",PR!$N90,IF(H92="DORTEMAG",PR!$O90,IF(H92="DGF",PR!$P90,IF(H92="DYNAMIC",PR!$Q90,IF(H92="EMZOR",PR!$R90,IF(H92="EUMATT",PR!$S90,IF(H92="FIDSON",PR!$T90,IF(H92="FCGLOBAL",PR!$U90,IF(H92="GENEITH",PR!$V90,IF(H92="GINOS",PR!$W90,IF(H92="GSK",PR!$X90,IF(H92="GLOBORG",PR!$Y90,IF(H92="GOODNEWS",PR!$Z90,IF(H92="GREENLIFE",PR!$AA90,IF(H92="HLINE",PR!$AB90,IF(H92="ROTECH",PR!$AC90,IF(H92="ISN",PR!$AD90,IF(H92="JAWA",PR!$AE90,IF(H92="LAYO",PR!$AF90,IF(H92="LEADWAY",PR!$AG90,IF(H92="LHV",PR!$AH90,IF(H92="MANOLA",PR!$AI90,IF(H92="MARCSON",PR!$AJ90,IF(H92="M&amp;B",PR!$AK90,IF(H92="MTRUST",PR!$AL90,IF(H92="MWORLD",PR!$AM90,IF(H92="MEGA",PR!$AN90,IF(H92="MICRONOVA",PR!$AO90,IF(H92="MFLASH",PR!$AP90,IF(H92="MORISON",PR!$AQ90,IF(H92="NEMEL",PR!$AR90,IF(H92="NHP",PR!$AS90,IF(H92="NHC",PR!$AT90,IF(H92="OLEAF",PR!$AU90,IF(H92="OCULUS",PR!$AV90,IF(H92="PACIFIC",PR!$AW90,IF(H92="PHAMATEX",PR!$AX90,IF(H92="PETHICS",PR!$AY90,IF(H92="PHILIPS",PR!$AZ90,IF(H92="RANBAXY",PR!$BA90,IF(H92="REALS",PR!$BB90,IF(H92="ROYAL",PR!$BC90,IF(H92="SAM",PR!$BD90,IF(H92="SEAGREEN",PR!$BE90,IF(H92="SKG",PR!$BF90,IF(H92="TAH",PR!$BG90,IF(H92="TAYLEK",PR!$BH90,IF(H92="TEMITA",PR!$BI90,IF(H92="THL",PR!$BJ90,IF(H92="UBASTIC",PR!$BK90,IF(H92="UNION",PR!$BL90,IF(H92="UNIQUE",PR!$BM90,IF(H92="VIXA",PR!$BN90,IF(H92="WWCV",PR!$BO90,IF(H92="ZOLON",PR!$BP90,"-"))))))))))))))))))))))))))))))))))))))))))))))))))))))))))))))))</f>
        <v>-</v>
      </c>
      <c r="H92" s="102">
        <f>EV!M114</f>
        <v>0</v>
      </c>
      <c r="I92" s="108" t="str">
        <f>IF(J92="ALPHA",PR!$E90,IF(J92="ASSENE",PR!$F90,IF(J92="BIOFEM",PR!$G90,IF(J92="BIOMED",PR!$H90,IF(J92="CHI",PR!$I90,IF(J92="CLARION",PR!$J90,IF(J92="CODIX",PR!$K90,IF(J92="COSMADE",PR!$L90,IF(J92="SANCON",PR!$M90,IF(J92="DEVON",PR!$N90,IF(J92="DORTEMAG",PR!$O90,IF(J92="DGF",PR!$P90,IF(J92="DYNAMIC",PR!$Q90,IF(J92="EMZOR",PR!$R90,IF(J92="EUMATT",PR!$S90,IF(J92="FIDSON",PR!$T90,IF(J92="FCGLOBAL",PR!$U90,IF(J92="GENEITH",PR!$V90,IF(J92="GINOS",PR!$W90,IF(J92="GSK",PR!$X90,IF(J92="GLOBORG",PR!$Y90,IF(J92="GOODNEWS",PR!$Z90,IF(J92="GREENLIFE",PR!$AA90,IF(J92="HLINE",PR!$AB90,IF(J92="ROTECH",PR!$AC90,IF(J92="ISN",PR!$AD90,IF(J92="JAWA",PR!$AE90,IF(J92="LAYO",PR!$AF90,IF(J92="LEADWAY",PR!$AG90,IF(J92="LHV",PR!$AH90,IF(J92="MANOLA",PR!$AI90,IF(J92="MARCSON",PR!$AJ90,IF(J92="M&amp;B",PR!$AK90,IF(J92="MTRUST",PR!$AL90,IF(J92="MWORLD",PR!$AM90,IF(J92="MEGA",PR!$AN90,IF(J92="MICRONOVA",PR!$AO90,IF(J92="MFLASH",PR!$AP90,IF(J92="MORISON",PR!$AQ90,IF(J92="NEMEL",PR!$AR90,IF(J92="NHP",PR!$AS90,IF(J92="NHC",PR!$AT90,IF(J92="OLEAF",PR!$AU90,IF(J92="OCULUS",PR!$AV90,IF(J92="PACIFIC",PR!$AW90,IF(J92="PHAMATEX",PR!$AX90,IF(J92="PETHICS",PR!$AY90,IF(J92="PHILIPS",PR!$AZ90,IF(J92="RANBAXY",PR!$BA90,IF(J92="REALS",PR!$BB90,IF(J92="ROYAL",PR!$BC90,IF(J92="SAM",PR!$BD90,IF(J92="SEAGREEN",PR!$BE90,IF(J92="SKG",PR!$BF90,IF(J92="TAH",PR!$BG90,IF(J92="TAYLEK",PR!$BH90,IF(J92="TEMITA",PR!$BI90,IF(J92="THL",PR!$BJ90,IF(J92="UBASTIC",PR!$BK90,IF(J92="UNION",PR!$BL90,IF(J92="UNIQUE",PR!$BM90,IF(J92="VIXA",PR!$BN90,IF(J92="WWCV",PR!$BO90,IF(J92="ZOLON",PR!$BP90,"-"))))))))))))))))))))))))))))))))))))))))))))))))))))))))))))))))</f>
        <v>-</v>
      </c>
      <c r="J92" s="102">
        <f>EV!N114</f>
        <v>0</v>
      </c>
      <c r="K92" s="433" t="s">
        <v>821</v>
      </c>
      <c r="L92" s="183">
        <f>IF(K92&gt;0,IF(K92="ALPHA",PR!$E90,IF(K92="ASSENE",PR!$F90,IF(K92="BIOFEM",PR!$G90,IF(K92="BIOMED",PR!$H90,IF(K92="CHI",PR!$I90,IF(K92="CLARION",PR!$J90,IF(K92="CODIX",PR!$K90,IF(K92="COSMADE",PR!$L90,IF(K92="SANCON",PR!$M90,IF(K92="DEVON",PR!$N90,IF(K92="DORTEMAG",PR!$O90,IF(K92="DGF",PR!$P90,IF(K92="DYNAMIC",PR!$Q90,IF(K92="EMZOR",PR!$R90,IF(K92="EUMATT",PR!$S90,IF(K92="FIDSON",PR!$T90,IF(K92="FCGLOBAL",PR!$U90,IF(K92="GENEITH",PR!$V90,IF(K92="GINOS",PR!$W90,IF(K92="GSK",PR!$X90,IF(K92="GLOBORG",PR!$Y90,IF(K92="GOODNEWS",PR!$Z90,IF(K92="GREENLIFE",PR!$AA90,IF(K92="HLINE",PR!$AB90,IF(K92="ROTECH",PR!$AC90,IF(K92="ISN",PR!$AD90,IF(K92="JAWA",PR!$AE90,IF(K92="LAYO",PR!$AF90,IF(K92="LEADWAY",PR!$AG90,IF(K92="LHV",PR!$AH90,IF(K92="MANOLA",PR!$AI90,IF(K92="MARCSON",PR!$AJ90,IF(K92="M&amp;B",PR!$AK90,IF(K92="MTRUST",PR!$AL90,IF(K92="MWORLD",PR!$AM90,IF(K92="MEGA",PR!$AN90,IF(K92="MICRONOVA",PR!$AO90,IF(K92="MFLASH",PR!$AP90,IF(K92="MORISON",PR!$AQ90,IF(K92="NEMEL",PR!$AR90,IF(K92="NHP",PR!$AS90,IF(K92="NHC",PR!$AT90,IF(K92="OLEAF",PR!$AU90,IF(K92="OCULUS",PR!$AV90,IF(K92="PACIFIC",PR!$AW90,IF(K92="PHAMATEX",PR!$AX90,IF(K92="PETHICS",PR!$AY90,IF(K92="PHILIPS",PR!$AZ90,IF(K92="RANBAXY",PR!$BA90,IF(K92="REALS",PR!$BB90,IF(K92="ROYAL",PR!$BC90,IF(K92="SAM",PR!$BD90,IF(K92="SEAGREEN",PR!$BE90,IF(K92="SKG",PR!$BF90,IF(K92="TAH",PR!$BG90,IF(K92="TAYLEK",PR!$BH90,IF(K92="TEMITA",PR!$BI90,IF(K92="THL",PR!$BJ90,IF(K92="UBASTIC",PR!$BK90,IF(K92="UNION",PR!$BL90,IF(K92="UNIQUE",PR!$BM90,IF(K92="VIXA",PR!$BN90,IF(K92="WWCV",PR!$BO90,IF(K92="ZOLON",PR!$BP90,"-")))))))))))))))))))))))))))))))))))))))))))))))))))))))))))))))))</f>
        <v>3100</v>
      </c>
    </row>
    <row r="93" spans="1:12" ht="18.75" x14ac:dyDescent="0.3">
      <c r="A93" s="430">
        <f>PR!A91</f>
        <v>75</v>
      </c>
      <c r="B93" s="15" t="str">
        <f>PR!B91</f>
        <v>LISINOPRIL 10MG</v>
      </c>
      <c r="C93" s="113">
        <f>PR!D91</f>
        <v>28</v>
      </c>
      <c r="D93" s="113">
        <f>PR!C91</f>
        <v>3000</v>
      </c>
      <c r="E93" s="108">
        <f>IF(F93="ALPHA",PR!$E91,IF(F93="ASSENE",PR!$F91,IF(F93="BIOFEM",PR!$G91,IF(F93="BIOMED",PR!$H91,IF(F93="CHI",PR!$I91,IF(F93="CLARION",PR!$J91,IF(F93="CODIX",PR!$K91,IF(F93="COSMADE",PR!$L91,IF(F93="SANCON",PR!$M91,IF(F93="DEVON",PR!$N91,IF(F93="DORTEMAG",PR!$O91,IF(F93="DGF",PR!$P91,IF(F93="DYNAMIC",PR!$Q91,IF(F93="EMZOR",PR!$R91,IF(F93="EUMATT",PR!$S91,IF(F93="FIDSON",PR!$T91,IF(F93="FCGLOBAL",PR!$U91,IF(F93="GENEITH",PR!$V91,IF(F93="GINOS",PR!$W91,IF(F93="GSK",PR!$X91,IF(F93="GLOBORG",PR!$Y91,IF(F93="GOODNEWS",PR!$Z91,IF(F93="GREENLIFE",PR!$AA91,IF(F93="HLINE",PR!$AB91,IF(F93="ROTECH",PR!$AC91,IF(F93="ISN",PR!$AD91,IF(F93="JAWA",PR!$AE91,IF(F93="LAYO",PR!$AF91,IF(F93="LEADWAY",PR!$AG91,IF(F93="LHV",PR!$AH91,IF(F93="MANOLA",PR!$AI91,IF(F93="MARCSON",PR!$AJ91,IF(F93="M&amp;B",PR!$AK91,IF(F93="MTRUST",PR!$AL91,IF(F93="MWORLD",PR!$AM91,IF(F93="MEGA",PR!$AN91,IF(F93="MICRONOVA",PR!$AO91,IF(F93="MFLASH",PR!$AP91,IF(F93="MORISON",PR!$AQ91,IF(F93="NEMEL",PR!$AR91,IF(F93="NHP",PR!$AS91,IF(F93="NHC",PR!$AT91,IF(F93="OLEAF",PR!$AU91,IF(F93="OCULUS",PR!$AV91,IF(F93="PACIFIC",PR!$AW91,IF(F93="PHAMATEX",PR!$AX91,IF(F93="PETHICS",PR!$AY91,IF(F93="PHILIPS",PR!$AZ91,IF(F93="RANBAXY",PR!$BA91,IF(F93="REALS",PR!$BB91,IF(F93="ROYAL",PR!$BC91,IF(F93="SAM",PR!$BD91,IF(F93="SEAGREEN",PR!$BE91,IF(F93="SKG",PR!$BF91,IF(F93="TAH",PR!$BG91,IF(F93="TAYLEK",PR!$BH91,IF(F93="TEMITA",PR!$BI91,IF(F93="THL",PR!$BJ91,IF(F93="UBASTIC",PR!$BK91,IF(F93="UNION",PR!$BL91,IF(F93="UNIQUE",PR!$BM91,IF(F93="VIXA",PR!$BN91,IF(F93="WWCV",PR!$BO91,IF(F93="ZOLON",PR!$BP91,"-"))))))))))))))))))))))))))))))))))))))))))))))))))))))))))))))))</f>
        <v>260</v>
      </c>
      <c r="F93" s="102" t="str">
        <f>EV!L115</f>
        <v>SAM</v>
      </c>
      <c r="G93" s="108">
        <f>IF(H93="ALPHA",PR!$E91,IF(H93="ASSENE",PR!$F91,IF(H93="BIOFEM",PR!$G91,IF(H93="BIOMED",PR!$H91,IF(H93="CHI",PR!$I91,IF(H93="CLARION",PR!$J91,IF(H93="CODIX",PR!$K91,IF(H93="COSMADE",PR!$L91,IF(H93="SANCON",PR!$M91,IF(H93="DEVON",PR!$N91,IF(H93="DORTEMAG",PR!$O91,IF(H93="DGF",PR!$P91,IF(H93="DYNAMIC",PR!$Q91,IF(H93="EMZOR",PR!$R91,IF(H93="EUMATT",PR!$S91,IF(H93="FIDSON",PR!$T91,IF(H93="FCGLOBAL",PR!$U91,IF(H93="GENEITH",PR!$V91,IF(H93="GINOS",PR!$W91,IF(H93="GSK",PR!$X91,IF(H93="GLOBORG",PR!$Y91,IF(H93="GOODNEWS",PR!$Z91,IF(H93="GREENLIFE",PR!$AA91,IF(H93="HLINE",PR!$AB91,IF(H93="ROTECH",PR!$AC91,IF(H93="ISN",PR!$AD91,IF(H93="JAWA",PR!$AE91,IF(H93="LAYO",PR!$AF91,IF(H93="LEADWAY",PR!$AG91,IF(H93="LHV",PR!$AH91,IF(H93="MANOLA",PR!$AI91,IF(H93="MARCSON",PR!$AJ91,IF(H93="M&amp;B",PR!$AK91,IF(H93="MTRUST",PR!$AL91,IF(H93="MWORLD",PR!$AM91,IF(H93="MEGA",PR!$AN91,IF(H93="MICRONOVA",PR!$AO91,IF(H93="MFLASH",PR!$AP91,IF(H93="MORISON",PR!$AQ91,IF(H93="NEMEL",PR!$AR91,IF(H93="NHP",PR!$AS91,IF(H93="NHC",PR!$AT91,IF(H93="OLEAF",PR!$AU91,IF(H93="OCULUS",PR!$AV91,IF(H93="PACIFIC",PR!$AW91,IF(H93="PHAMATEX",PR!$AX91,IF(H93="PETHICS",PR!$AY91,IF(H93="PHILIPS",PR!$AZ91,IF(H93="RANBAXY",PR!$BA91,IF(H93="REALS",PR!$BB91,IF(H93="ROYAL",PR!$BC91,IF(H93="SAM",PR!$BD91,IF(H93="SEAGREEN",PR!$BE91,IF(H93="SKG",PR!$BF91,IF(H93="TAH",PR!$BG91,IF(H93="TAYLEK",PR!$BH91,IF(H93="TEMITA",PR!$BI91,IF(H93="THL",PR!$BJ91,IF(H93="UBASTIC",PR!$BK91,IF(H93="UNION",PR!$BL91,IF(H93="UNIQUE",PR!$BM91,IF(H93="VIXA",PR!$BN91,IF(H93="WWCV",PR!$BO91,IF(H93="ZOLON",PR!$BP91,"-"))))))))))))))))))))))))))))))))))))))))))))))))))))))))))))))))</f>
        <v>300</v>
      </c>
      <c r="H93" s="102" t="str">
        <f>EV!M115</f>
        <v>EUMATT</v>
      </c>
      <c r="I93" s="108">
        <f>IF(J93="ALPHA",PR!$E91,IF(J93="ASSENE",PR!$F91,IF(J93="BIOFEM",PR!$G91,IF(J93="BIOMED",PR!$H91,IF(J93="CHI",PR!$I91,IF(J93="CLARION",PR!$J91,IF(J93="CODIX",PR!$K91,IF(J93="COSMADE",PR!$L91,IF(J93="SANCON",PR!$M91,IF(J93="DEVON",PR!$N91,IF(J93="DORTEMAG",PR!$O91,IF(J93="DGF",PR!$P91,IF(J93="DYNAMIC",PR!$Q91,IF(J93="EMZOR",PR!$R91,IF(J93="EUMATT",PR!$S91,IF(J93="FIDSON",PR!$T91,IF(J93="FCGLOBAL",PR!$U91,IF(J93="GENEITH",PR!$V91,IF(J93="GINOS",PR!$W91,IF(J93="GSK",PR!$X91,IF(J93="GLOBORG",PR!$Y91,IF(J93="GOODNEWS",PR!$Z91,IF(J93="GREENLIFE",PR!$AA91,IF(J93="HLINE",PR!$AB91,IF(J93="ROTECH",PR!$AC91,IF(J93="ISN",PR!$AD91,IF(J93="JAWA",PR!$AE91,IF(J93="LAYO",PR!$AF91,IF(J93="LEADWAY",PR!$AG91,IF(J93="LHV",PR!$AH91,IF(J93="MANOLA",PR!$AI91,IF(J93="MARCSON",PR!$AJ91,IF(J93="M&amp;B",PR!$AK91,IF(J93="MTRUST",PR!$AL91,IF(J93="MWORLD",PR!$AM91,IF(J93="MEGA",PR!$AN91,IF(J93="MICRONOVA",PR!$AO91,IF(J93="MFLASH",PR!$AP91,IF(J93="MORISON",PR!$AQ91,IF(J93="NEMEL",PR!$AR91,IF(J93="NHP",PR!$AS91,IF(J93="NHC",PR!$AT91,IF(J93="OLEAF",PR!$AU91,IF(J93="OCULUS",PR!$AV91,IF(J93="PACIFIC",PR!$AW91,IF(J93="PHAMATEX",PR!$AX91,IF(J93="PETHICS",PR!$AY91,IF(J93="PHILIPS",PR!$AZ91,IF(J93="RANBAXY",PR!$BA91,IF(J93="REALS",PR!$BB91,IF(J93="ROYAL",PR!$BC91,IF(J93="SAM",PR!$BD91,IF(J93="SEAGREEN",PR!$BE91,IF(J93="SKG",PR!$BF91,IF(J93="TAH",PR!$BG91,IF(J93="TAYLEK",PR!$BH91,IF(J93="TEMITA",PR!$BI91,IF(J93="THL",PR!$BJ91,IF(J93="UBASTIC",PR!$BK91,IF(J93="UNION",PR!$BL91,IF(J93="UNIQUE",PR!$BM91,IF(J93="VIXA",PR!$BN91,IF(J93="WWCV",PR!$BO91,IF(J93="ZOLON",PR!$BP91,"-"))))))))))))))))))))))))))))))))))))))))))))))))))))))))))))))))</f>
        <v>300</v>
      </c>
      <c r="J93" s="102" t="str">
        <f>EV!N115</f>
        <v>SEAGREEN</v>
      </c>
      <c r="K93" s="433" t="s">
        <v>2094</v>
      </c>
      <c r="L93" s="183" t="str">
        <f>IF(K93&gt;0,IF(K93="ALPHA",PR!$E91,IF(K93="ASSENE",PR!$F91,IF(K93="BIOFEM",PR!$G91,IF(K93="BIOMED",PR!$H91,IF(K93="CHI",PR!$I91,IF(K93="CLARION",PR!$J91,IF(K93="CODIX",PR!$K91,IF(K93="COSMADE",PR!$L91,IF(K93="SANCON",PR!$M91,IF(K93="DEVON",PR!$N91,IF(K93="DORTEMAG",PR!$O91,IF(K93="DGF",PR!$P91,IF(K93="DYNAMIC",PR!$Q91,IF(K93="EMZOR",PR!$R91,IF(K93="EUMATT",PR!$S91,IF(K93="FIDSON",PR!$T91,IF(K93="FCGLOBAL",PR!$U91,IF(K93="GENEITH",PR!$V91,IF(K93="GINOS",PR!$W91,IF(K93="GSK",PR!$X91,IF(K93="GLOBORG",PR!$Y91,IF(K93="GOODNEWS",PR!$Z91,IF(K93="GREENLIFE",PR!$AA91,IF(K93="HLINE",PR!$AB91,IF(K93="ROTECH",PR!$AC91,IF(K93="ISN",PR!$AD91,IF(K93="JAWA",PR!$AE91,IF(K93="LAYO",PR!$AF91,IF(K93="LEADWAY",PR!$AG91,IF(K93="LHV",PR!$AH91,IF(K93="MANOLA",PR!$AI91,IF(K93="MARCSON",PR!$AJ91,IF(K93="M&amp;B",PR!$AK91,IF(K93="MTRUST",PR!$AL91,IF(K93="MWORLD",PR!$AM91,IF(K93="MEGA",PR!$AN91,IF(K93="MICRONOVA",PR!$AO91,IF(K93="MFLASH",PR!$AP91,IF(K93="MORISON",PR!$AQ91,IF(K93="NEMEL",PR!$AR91,IF(K93="NHP",PR!$AS91,IF(K93="NHC",PR!$AT91,IF(K93="OLEAF",PR!$AU91,IF(K93="OCULUS",PR!$AV91,IF(K93="PACIFIC",PR!$AW91,IF(K93="PHAMATEX",PR!$AX91,IF(K93="PETHICS",PR!$AY91,IF(K93="PHILIPS",PR!$AZ91,IF(K93="RANBAXY",PR!$BA91,IF(K93="REALS",PR!$BB91,IF(K93="ROYAL",PR!$BC91,IF(K93="SAM",PR!$BD91,IF(K93="SEAGREEN",PR!$BE91,IF(K93="SKG",PR!$BF91,IF(K93="TAH",PR!$BG91,IF(K93="TAYLEK",PR!$BH91,IF(K93="TEMITA",PR!$BI91,IF(K93="THL",PR!$BJ91,IF(K93="UBASTIC",PR!$BK91,IF(K93="UNION",PR!$BL91,IF(K93="UNIQUE",PR!$BM91,IF(K93="VIXA",PR!$BN91,IF(K93="WWCV",PR!$BO91,IF(K93="ZOLON",PR!$BP91,"-")))))))))))))))))))))))))))))))))))))))))))))))))))))))))))))))))</f>
        <v>-</v>
      </c>
    </row>
    <row r="94" spans="1:12" ht="18.75" x14ac:dyDescent="0.3">
      <c r="A94" s="430">
        <f>PR!A92</f>
        <v>76</v>
      </c>
      <c r="B94" s="15" t="str">
        <f>PR!B92</f>
        <v>LISINOPRIL 5MG</v>
      </c>
      <c r="C94" s="113">
        <f>PR!D92</f>
        <v>28</v>
      </c>
      <c r="D94" s="113">
        <f>PR!C92</f>
        <v>3000</v>
      </c>
      <c r="E94" s="108">
        <f>IF(F94="ALPHA",PR!$E92,IF(F94="ASSENE",PR!$F92,IF(F94="BIOFEM",PR!$G92,IF(F94="BIOMED",PR!$H92,IF(F94="CHI",PR!$I92,IF(F94="CLARION",PR!$J92,IF(F94="CODIX",PR!$K92,IF(F94="COSMADE",PR!$L92,IF(F94="SANCON",PR!$M92,IF(F94="DEVON",PR!$N92,IF(F94="DORTEMAG",PR!$O92,IF(F94="DGF",PR!$P92,IF(F94="DYNAMIC",PR!$Q92,IF(F94="EMZOR",PR!$R92,IF(F94="EUMATT",PR!$S92,IF(F94="FIDSON",PR!$T92,IF(F94="FCGLOBAL",PR!$U92,IF(F94="GENEITH",PR!$V92,IF(F94="GINOS",PR!$W92,IF(F94="GSK",PR!$X92,IF(F94="GLOBORG",PR!$Y92,IF(F94="GOODNEWS",PR!$Z92,IF(F94="GREENLIFE",PR!$AA92,IF(F94="HLINE",PR!$AB92,IF(F94="ROTECH",PR!$AC92,IF(F94="ISN",PR!$AD92,IF(F94="JAWA",PR!$AE92,IF(F94="LAYO",PR!$AF92,IF(F94="LEADWAY",PR!$AG92,IF(F94="LHV",PR!$AH92,IF(F94="MANOLA",PR!$AI92,IF(F94="MARCSON",PR!$AJ92,IF(F94="M&amp;B",PR!$AK92,IF(F94="MTRUST",PR!$AL92,IF(F94="MWORLD",PR!$AM92,IF(F94="MEGA",PR!$AN92,IF(F94="MICRONOVA",PR!$AO92,IF(F94="MFLASH",PR!$AP92,IF(F94="MORISON",PR!$AQ92,IF(F94="NEMEL",PR!$AR92,IF(F94="NHP",PR!$AS92,IF(F94="NHC",PR!$AT92,IF(F94="OLEAF",PR!$AU92,IF(F94="OCULUS",PR!$AV92,IF(F94="PACIFIC",PR!$AW92,IF(F94="PHAMATEX",PR!$AX92,IF(F94="PETHICS",PR!$AY92,IF(F94="PHILIPS",PR!$AZ92,IF(F94="RANBAXY",PR!$BA92,IF(F94="REALS",PR!$BB92,IF(F94="ROYAL",PR!$BC92,IF(F94="SAM",PR!$BD92,IF(F94="SEAGREEN",PR!$BE92,IF(F94="SKG",PR!$BF92,IF(F94="TAH",PR!$BG92,IF(F94="TAYLEK",PR!$BH92,IF(F94="TEMITA",PR!$BI92,IF(F94="THL",PR!$BJ92,IF(F94="UBASTIC",PR!$BK92,IF(F94="UNION",PR!$BL92,IF(F94="UNIQUE",PR!$BM92,IF(F94="VIXA",PR!$BN92,IF(F94="WWCV",PR!$BO92,IF(F94="ZOLON",PR!$BP92,"-"))))))))))))))))))))))))))))))))))))))))))))))))))))))))))))))))</f>
        <v>230</v>
      </c>
      <c r="F94" s="102" t="str">
        <f>EV!L116</f>
        <v>EUMATT</v>
      </c>
      <c r="G94" s="108">
        <f>IF(H94="ALPHA",PR!$E92,IF(H94="ASSENE",PR!$F92,IF(H94="BIOFEM",PR!$G92,IF(H94="BIOMED",PR!$H92,IF(H94="CHI",PR!$I92,IF(H94="CLARION",PR!$J92,IF(H94="CODIX",PR!$K92,IF(H94="COSMADE",PR!$L92,IF(H94="SANCON",PR!$M92,IF(H94="DEVON",PR!$N92,IF(H94="DORTEMAG",PR!$O92,IF(H94="DGF",PR!$P92,IF(H94="DYNAMIC",PR!$Q92,IF(H94="EMZOR",PR!$R92,IF(H94="EUMATT",PR!$S92,IF(H94="FIDSON",PR!$T92,IF(H94="FCGLOBAL",PR!$U92,IF(H94="GENEITH",PR!$V92,IF(H94="GINOS",PR!$W92,IF(H94="GSK",PR!$X92,IF(H94="GLOBORG",PR!$Y92,IF(H94="GOODNEWS",PR!$Z92,IF(H94="GREENLIFE",PR!$AA92,IF(H94="HLINE",PR!$AB92,IF(H94="ROTECH",PR!$AC92,IF(H94="ISN",PR!$AD92,IF(H94="JAWA",PR!$AE92,IF(H94="LAYO",PR!$AF92,IF(H94="LEADWAY",PR!$AG92,IF(H94="LHV",PR!$AH92,IF(H94="MANOLA",PR!$AI92,IF(H94="MARCSON",PR!$AJ92,IF(H94="M&amp;B",PR!$AK92,IF(H94="MTRUST",PR!$AL92,IF(H94="MWORLD",PR!$AM92,IF(H94="MEGA",PR!$AN92,IF(H94="MICRONOVA",PR!$AO92,IF(H94="MFLASH",PR!$AP92,IF(H94="MORISON",PR!$AQ92,IF(H94="NEMEL",PR!$AR92,IF(H94="NHP",PR!$AS92,IF(H94="NHC",PR!$AT92,IF(H94="OLEAF",PR!$AU92,IF(H94="OCULUS",PR!$AV92,IF(H94="PACIFIC",PR!$AW92,IF(H94="PHAMATEX",PR!$AX92,IF(H94="PETHICS",PR!$AY92,IF(H94="PHILIPS",PR!$AZ92,IF(H94="RANBAXY",PR!$BA92,IF(H94="REALS",PR!$BB92,IF(H94="ROYAL",PR!$BC92,IF(H94="SAM",PR!$BD92,IF(H94="SEAGREEN",PR!$BE92,IF(H94="SKG",PR!$BF92,IF(H94="TAH",PR!$BG92,IF(H94="TAYLEK",PR!$BH92,IF(H94="TEMITA",PR!$BI92,IF(H94="THL",PR!$BJ92,IF(H94="UBASTIC",PR!$BK92,IF(H94="UNION",PR!$BL92,IF(H94="UNIQUE",PR!$BM92,IF(H94="VIXA",PR!$BN92,IF(H94="WWCV",PR!$BO92,IF(H94="ZOLON",PR!$BP92,"-"))))))))))))))))))))))))))))))))))))))))))))))))))))))))))))))))</f>
        <v>240</v>
      </c>
      <c r="H94" s="102" t="str">
        <f>EV!M116</f>
        <v>SAM</v>
      </c>
      <c r="I94" s="108">
        <f>IF(J94="ALPHA",PR!$E92,IF(J94="ASSENE",PR!$F92,IF(J94="BIOFEM",PR!$G92,IF(J94="BIOMED",PR!$H92,IF(J94="CHI",PR!$I92,IF(J94="CLARION",PR!$J92,IF(J94="CODIX",PR!$K92,IF(J94="COSMADE",PR!$L92,IF(J94="SANCON",PR!$M92,IF(J94="DEVON",PR!$N92,IF(J94="DORTEMAG",PR!$O92,IF(J94="DGF",PR!$P92,IF(J94="DYNAMIC",PR!$Q92,IF(J94="EMZOR",PR!$R92,IF(J94="EUMATT",PR!$S92,IF(J94="FIDSON",PR!$T92,IF(J94="FCGLOBAL",PR!$U92,IF(J94="GENEITH",PR!$V92,IF(J94="GINOS",PR!$W92,IF(J94="GSK",PR!$X92,IF(J94="GLOBORG",PR!$Y92,IF(J94="GOODNEWS",PR!$Z92,IF(J94="GREENLIFE",PR!$AA92,IF(J94="HLINE",PR!$AB92,IF(J94="ROTECH",PR!$AC92,IF(J94="ISN",PR!$AD92,IF(J94="JAWA",PR!$AE92,IF(J94="LAYO",PR!$AF92,IF(J94="LEADWAY",PR!$AG92,IF(J94="LHV",PR!$AH92,IF(J94="MANOLA",PR!$AI92,IF(J94="MARCSON",PR!$AJ92,IF(J94="M&amp;B",PR!$AK92,IF(J94="MTRUST",PR!$AL92,IF(J94="MWORLD",PR!$AM92,IF(J94="MEGA",PR!$AN92,IF(J94="MICRONOVA",PR!$AO92,IF(J94="MFLASH",PR!$AP92,IF(J94="MORISON",PR!$AQ92,IF(J94="NEMEL",PR!$AR92,IF(J94="NHP",PR!$AS92,IF(J94="NHC",PR!$AT92,IF(J94="OLEAF",PR!$AU92,IF(J94="OCULUS",PR!$AV92,IF(J94="PACIFIC",PR!$AW92,IF(J94="PHAMATEX",PR!$AX92,IF(J94="PETHICS",PR!$AY92,IF(J94="PHILIPS",PR!$AZ92,IF(J94="RANBAXY",PR!$BA92,IF(J94="REALS",PR!$BB92,IF(J94="ROYAL",PR!$BC92,IF(J94="SAM",PR!$BD92,IF(J94="SEAGREEN",PR!$BE92,IF(J94="SKG",PR!$BF92,IF(J94="TAH",PR!$BG92,IF(J94="TAYLEK",PR!$BH92,IF(J94="TEMITA",PR!$BI92,IF(J94="THL",PR!$BJ92,IF(J94="UBASTIC",PR!$BK92,IF(J94="UNION",PR!$BL92,IF(J94="UNIQUE",PR!$BM92,IF(J94="VIXA",PR!$BN92,IF(J94="WWCV",PR!$BO92,IF(J94="ZOLON",PR!$BP92,"-"))))))))))))))))))))))))))))))))))))))))))))))))))))))))))))))))</f>
        <v>250</v>
      </c>
      <c r="J94" s="102" t="str">
        <f>EV!N116</f>
        <v>SEAGREEN</v>
      </c>
      <c r="K94" s="433" t="s">
        <v>2095</v>
      </c>
      <c r="L94" s="183" t="str">
        <f>IF(K94&gt;0,IF(K94="ALPHA",PR!$E92,IF(K94="ASSENE",PR!$F92,IF(K94="BIOFEM",PR!$G92,IF(K94="BIOMED",PR!$H92,IF(K94="CHI",PR!$I92,IF(K94="CLARION",PR!$J92,IF(K94="CODIX",PR!$K92,IF(K94="COSMADE",PR!$L92,IF(K94="SANCON",PR!$M92,IF(K94="DEVON",PR!$N92,IF(K94="DORTEMAG",PR!$O92,IF(K94="DGF",PR!$P92,IF(K94="DYNAMIC",PR!$Q92,IF(K94="EMZOR",PR!$R92,IF(K94="EUMATT",PR!$S92,IF(K94="FIDSON",PR!$T92,IF(K94="FCGLOBAL",PR!$U92,IF(K94="GENEITH",PR!$V92,IF(K94="GINOS",PR!$W92,IF(K94="GSK",PR!$X92,IF(K94="GLOBORG",PR!$Y92,IF(K94="GOODNEWS",PR!$Z92,IF(K94="GREENLIFE",PR!$AA92,IF(K94="HLINE",PR!$AB92,IF(K94="ROTECH",PR!$AC92,IF(K94="ISN",PR!$AD92,IF(K94="JAWA",PR!$AE92,IF(K94="LAYO",PR!$AF92,IF(K94="LEADWAY",PR!$AG92,IF(K94="LHV",PR!$AH92,IF(K94="MANOLA",PR!$AI92,IF(K94="MARCSON",PR!$AJ92,IF(K94="M&amp;B",PR!$AK92,IF(K94="MTRUST",PR!$AL92,IF(K94="MWORLD",PR!$AM92,IF(K94="MEGA",PR!$AN92,IF(K94="MICRONOVA",PR!$AO92,IF(K94="MFLASH",PR!$AP92,IF(K94="MORISON",PR!$AQ92,IF(K94="NEMEL",PR!$AR92,IF(K94="NHP",PR!$AS92,IF(K94="NHC",PR!$AT92,IF(K94="OLEAF",PR!$AU92,IF(K94="OCULUS",PR!$AV92,IF(K94="PACIFIC",PR!$AW92,IF(K94="PHAMATEX",PR!$AX92,IF(K94="PETHICS",PR!$AY92,IF(K94="PHILIPS",PR!$AZ92,IF(K94="RANBAXY",PR!$BA92,IF(K94="REALS",PR!$BB92,IF(K94="ROYAL",PR!$BC92,IF(K94="SAM",PR!$BD92,IF(K94="SEAGREEN",PR!$BE92,IF(K94="SKG",PR!$BF92,IF(K94="TAH",PR!$BG92,IF(K94="TAYLEK",PR!$BH92,IF(K94="TEMITA",PR!$BI92,IF(K94="THL",PR!$BJ92,IF(K94="UBASTIC",PR!$BK92,IF(K94="UNION",PR!$BL92,IF(K94="UNIQUE",PR!$BM92,IF(K94="VIXA",PR!$BN92,IF(K94="WWCV",PR!$BO92,IF(K94="ZOLON",PR!$BP92,"-")))))))))))))))))))))))))))))))))))))))))))))))))))))))))))))))))</f>
        <v>-</v>
      </c>
    </row>
    <row r="95" spans="1:12" ht="18.75" x14ac:dyDescent="0.3">
      <c r="A95" s="430">
        <f>PR!A93</f>
        <v>77</v>
      </c>
      <c r="B95" s="15" t="str">
        <f>PR!B93</f>
        <v>LOSARTAN 25MG</v>
      </c>
      <c r="C95" s="113">
        <f>PR!D93</f>
        <v>30</v>
      </c>
      <c r="D95" s="113">
        <f>PR!C93</f>
        <v>2000</v>
      </c>
      <c r="E95" s="108">
        <f>IF(F95="ALPHA",PR!$E93,IF(F95="ASSENE",PR!$F93,IF(F95="BIOFEM",PR!$G93,IF(F95="BIOMED",PR!$H93,IF(F95="CHI",PR!$I93,IF(F95="CLARION",PR!$J93,IF(F95="CODIX",PR!$K93,IF(F95="COSMADE",PR!$L93,IF(F95="SANCON",PR!$M93,IF(F95="DEVON",PR!$N93,IF(F95="DORTEMAG",PR!$O93,IF(F95="DGF",PR!$P93,IF(F95="DYNAMIC",PR!$Q93,IF(F95="EMZOR",PR!$R93,IF(F95="EUMATT",PR!$S93,IF(F95="FIDSON",PR!$T93,IF(F95="FCGLOBAL",PR!$U93,IF(F95="GENEITH",PR!$V93,IF(F95="GINOS",PR!$W93,IF(F95="GSK",PR!$X93,IF(F95="GLOBORG",PR!$Y93,IF(F95="GOODNEWS",PR!$Z93,IF(F95="GREENLIFE",PR!$AA93,IF(F95="HLINE",PR!$AB93,IF(F95="ROTECH",PR!$AC93,IF(F95="ISN",PR!$AD93,IF(F95="JAWA",PR!$AE93,IF(F95="LAYO",PR!$AF93,IF(F95="LEADWAY",PR!$AG93,IF(F95="LHV",PR!$AH93,IF(F95="MANOLA",PR!$AI93,IF(F95="MARCSON",PR!$AJ93,IF(F95="M&amp;B",PR!$AK93,IF(F95="MTRUST",PR!$AL93,IF(F95="MWORLD",PR!$AM93,IF(F95="MEGA",PR!$AN93,IF(F95="MICRONOVA",PR!$AO93,IF(F95="MFLASH",PR!$AP93,IF(F95="MORISON",PR!$AQ93,IF(F95="NEMEL",PR!$AR93,IF(F95="NHP",PR!$AS93,IF(F95="NHC",PR!$AT93,IF(F95="OLEAF",PR!$AU93,IF(F95="OCULUS",PR!$AV93,IF(F95="PACIFIC",PR!$AW93,IF(F95="PHAMATEX",PR!$AX93,IF(F95="PETHICS",PR!$AY93,IF(F95="PHILIPS",PR!$AZ93,IF(F95="RANBAXY",PR!$BA93,IF(F95="REALS",PR!$BB93,IF(F95="ROYAL",PR!$BC93,IF(F95="SAM",PR!$BD93,IF(F95="SEAGREEN",PR!$BE93,IF(F95="SKG",PR!$BF93,IF(F95="TAH",PR!$BG93,IF(F95="TAYLEK",PR!$BH93,IF(F95="TEMITA",PR!$BI93,IF(F95="THL",PR!$BJ93,IF(F95="UBASTIC",PR!$BK93,IF(F95="UNION",PR!$BL93,IF(F95="UNIQUE",PR!$BM93,IF(F95="VIXA",PR!$BN93,IF(F95="WWCV",PR!$BO93,IF(F95="ZOLON",PR!$BP93,"-"))))))))))))))))))))))))))))))))))))))))))))))))))))))))))))))))</f>
        <v>480</v>
      </c>
      <c r="F95" s="102" t="str">
        <f>EV!L117</f>
        <v>EUMATT</v>
      </c>
      <c r="G95" s="108">
        <f>IF(H95="ALPHA",PR!$E93,IF(H95="ASSENE",PR!$F93,IF(H95="BIOFEM",PR!$G93,IF(H95="BIOMED",PR!$H93,IF(H95="CHI",PR!$I93,IF(H95="CLARION",PR!$J93,IF(H95="CODIX",PR!$K93,IF(H95="COSMADE",PR!$L93,IF(H95="SANCON",PR!$M93,IF(H95="DEVON",PR!$N93,IF(H95="DORTEMAG",PR!$O93,IF(H95="DGF",PR!$P93,IF(H95="DYNAMIC",PR!$Q93,IF(H95="EMZOR",PR!$R93,IF(H95="EUMATT",PR!$S93,IF(H95="FIDSON",PR!$T93,IF(H95="FCGLOBAL",PR!$U93,IF(H95="GENEITH",PR!$V93,IF(H95="GINOS",PR!$W93,IF(H95="GSK",PR!$X93,IF(H95="GLOBORG",PR!$Y93,IF(H95="GOODNEWS",PR!$Z93,IF(H95="GREENLIFE",PR!$AA93,IF(H95="HLINE",PR!$AB93,IF(H95="ROTECH",PR!$AC93,IF(H95="ISN",PR!$AD93,IF(H95="JAWA",PR!$AE93,IF(H95="LAYO",PR!$AF93,IF(H95="LEADWAY",PR!$AG93,IF(H95="LHV",PR!$AH93,IF(H95="MANOLA",PR!$AI93,IF(H95="MARCSON",PR!$AJ93,IF(H95="M&amp;B",PR!$AK93,IF(H95="MTRUST",PR!$AL93,IF(H95="MWORLD",PR!$AM93,IF(H95="MEGA",PR!$AN93,IF(H95="MICRONOVA",PR!$AO93,IF(H95="MFLASH",PR!$AP93,IF(H95="MORISON",PR!$AQ93,IF(H95="NEMEL",PR!$AR93,IF(H95="NHP",PR!$AS93,IF(H95="NHC",PR!$AT93,IF(H95="OLEAF",PR!$AU93,IF(H95="OCULUS",PR!$AV93,IF(H95="PACIFIC",PR!$AW93,IF(H95="PHAMATEX",PR!$AX93,IF(H95="PETHICS",PR!$AY93,IF(H95="PHILIPS",PR!$AZ93,IF(H95="RANBAXY",PR!$BA93,IF(H95="REALS",PR!$BB93,IF(H95="ROYAL",PR!$BC93,IF(H95="SAM",PR!$BD93,IF(H95="SEAGREEN",PR!$BE93,IF(H95="SKG",PR!$BF93,IF(H95="TAH",PR!$BG93,IF(H95="TAYLEK",PR!$BH93,IF(H95="TEMITA",PR!$BI93,IF(H95="THL",PR!$BJ93,IF(H95="UBASTIC",PR!$BK93,IF(H95="UNION",PR!$BL93,IF(H95="UNIQUE",PR!$BM93,IF(H95="VIXA",PR!$BN93,IF(H95="WWCV",PR!$BO93,IF(H95="ZOLON",PR!$BP93,"-"))))))))))))))))))))))))))))))))))))))))))))))))))))))))))))))))</f>
        <v>1000</v>
      </c>
      <c r="H95" s="102" t="str">
        <f>EV!M117</f>
        <v>MICRONOVA</v>
      </c>
      <c r="I95" s="108">
        <f>IF(J95="ALPHA",PR!$E93,IF(J95="ASSENE",PR!$F93,IF(J95="BIOFEM",PR!$G93,IF(J95="BIOMED",PR!$H93,IF(J95="CHI",PR!$I93,IF(J95="CLARION",PR!$J93,IF(J95="CODIX",PR!$K93,IF(J95="COSMADE",PR!$L93,IF(J95="SANCON",PR!$M93,IF(J95="DEVON",PR!$N93,IF(J95="DORTEMAG",PR!$O93,IF(J95="DGF",PR!$P93,IF(J95="DYNAMIC",PR!$Q93,IF(J95="EMZOR",PR!$R93,IF(J95="EUMATT",PR!$S93,IF(J95="FIDSON",PR!$T93,IF(J95="FCGLOBAL",PR!$U93,IF(J95="GENEITH",PR!$V93,IF(J95="GINOS",PR!$W93,IF(J95="GSK",PR!$X93,IF(J95="GLOBORG",PR!$Y93,IF(J95="GOODNEWS",PR!$Z93,IF(J95="GREENLIFE",PR!$AA93,IF(J95="HLINE",PR!$AB93,IF(J95="ROTECH",PR!$AC93,IF(J95="ISN",PR!$AD93,IF(J95="JAWA",PR!$AE93,IF(J95="LAYO",PR!$AF93,IF(J95="LEADWAY",PR!$AG93,IF(J95="LHV",PR!$AH93,IF(J95="MANOLA",PR!$AI93,IF(J95="MARCSON",PR!$AJ93,IF(J95="M&amp;B",PR!$AK93,IF(J95="MTRUST",PR!$AL93,IF(J95="MWORLD",PR!$AM93,IF(J95="MEGA",PR!$AN93,IF(J95="MICRONOVA",PR!$AO93,IF(J95="MFLASH",PR!$AP93,IF(J95="MORISON",PR!$AQ93,IF(J95="NEMEL",PR!$AR93,IF(J95="NHP",PR!$AS93,IF(J95="NHC",PR!$AT93,IF(J95="OLEAF",PR!$AU93,IF(J95="OCULUS",PR!$AV93,IF(J95="PACIFIC",PR!$AW93,IF(J95="PHAMATEX",PR!$AX93,IF(J95="PETHICS",PR!$AY93,IF(J95="PHILIPS",PR!$AZ93,IF(J95="RANBAXY",PR!$BA93,IF(J95="REALS",PR!$BB93,IF(J95="ROYAL",PR!$BC93,IF(J95="SAM",PR!$BD93,IF(J95="SEAGREEN",PR!$BE93,IF(J95="SKG",PR!$BF93,IF(J95="TAH",PR!$BG93,IF(J95="TAYLEK",PR!$BH93,IF(J95="TEMITA",PR!$BI93,IF(J95="THL",PR!$BJ93,IF(J95="UBASTIC",PR!$BK93,IF(J95="UNION",PR!$BL93,IF(J95="UNIQUE",PR!$BM93,IF(J95="VIXA",PR!$BN93,IF(J95="WWCV",PR!$BO93,IF(J95="ZOLON",PR!$BP93,"-"))))))))))))))))))))))))))))))))))))))))))))))))))))))))))))))))</f>
        <v>1150</v>
      </c>
      <c r="J95" s="102" t="str">
        <f>EV!N117</f>
        <v>PETHICS</v>
      </c>
      <c r="K95" s="433" t="s">
        <v>821</v>
      </c>
      <c r="L95" s="183">
        <f>IF(K95&gt;0,IF(K95="ALPHA",PR!$E93,IF(K95="ASSENE",PR!$F93,IF(K95="BIOFEM",PR!$G93,IF(K95="BIOMED",PR!$H93,IF(K95="CHI",PR!$I93,IF(K95="CLARION",PR!$J93,IF(K95="CODIX",PR!$K93,IF(K95="COSMADE",PR!$L93,IF(K95="SANCON",PR!$M93,IF(K95="DEVON",PR!$N93,IF(K95="DORTEMAG",PR!$O93,IF(K95="DGF",PR!$P93,IF(K95="DYNAMIC",PR!$Q93,IF(K95="EMZOR",PR!$R93,IF(K95="EUMATT",PR!$S93,IF(K95="FIDSON",PR!$T93,IF(K95="FCGLOBAL",PR!$U93,IF(K95="GENEITH",PR!$V93,IF(K95="GINOS",PR!$W93,IF(K95="GSK",PR!$X93,IF(K95="GLOBORG",PR!$Y93,IF(K95="GOODNEWS",PR!$Z93,IF(K95="GREENLIFE",PR!$AA93,IF(K95="HLINE",PR!$AB93,IF(K95="ROTECH",PR!$AC93,IF(K95="ISN",PR!$AD93,IF(K95="JAWA",PR!$AE93,IF(K95="LAYO",PR!$AF93,IF(K95="LEADWAY",PR!$AG93,IF(K95="LHV",PR!$AH93,IF(K95="MANOLA",PR!$AI93,IF(K95="MARCSON",PR!$AJ93,IF(K95="M&amp;B",PR!$AK93,IF(K95="MTRUST",PR!$AL93,IF(K95="MWORLD",PR!$AM93,IF(K95="MEGA",PR!$AN93,IF(K95="MICRONOVA",PR!$AO93,IF(K95="MFLASH",PR!$AP93,IF(K95="MORISON",PR!$AQ93,IF(K95="NEMEL",PR!$AR93,IF(K95="NHP",PR!$AS93,IF(K95="NHC",PR!$AT93,IF(K95="OLEAF",PR!$AU93,IF(K95="OCULUS",PR!$AV93,IF(K95="PACIFIC",PR!$AW93,IF(K95="PHAMATEX",PR!$AX93,IF(K95="PETHICS",PR!$AY93,IF(K95="PHILIPS",PR!$AZ93,IF(K95="RANBAXY",PR!$BA93,IF(K95="REALS",PR!$BB93,IF(K95="ROYAL",PR!$BC93,IF(K95="SAM",PR!$BD93,IF(K95="SEAGREEN",PR!$BE93,IF(K95="SKG",PR!$BF93,IF(K95="TAH",PR!$BG93,IF(K95="TAYLEK",PR!$BH93,IF(K95="TEMITA",PR!$BI93,IF(K95="THL",PR!$BJ93,IF(K95="UBASTIC",PR!$BK93,IF(K95="UNION",PR!$BL93,IF(K95="UNIQUE",PR!$BM93,IF(K95="VIXA",PR!$BN93,IF(K95="WWCV",PR!$BO93,IF(K95="ZOLON",PR!$BP93,"-")))))))))))))))))))))))))))))))))))))))))))))))))))))))))))))))))</f>
        <v>480</v>
      </c>
    </row>
    <row r="96" spans="1:12" ht="18.75" x14ac:dyDescent="0.3">
      <c r="A96" s="430">
        <f>PR!A94</f>
        <v>78</v>
      </c>
      <c r="B96" s="15" t="str">
        <f>PR!B94</f>
        <v>LOSARTAN 50MG</v>
      </c>
      <c r="C96" s="113">
        <f>PR!D94</f>
        <v>30</v>
      </c>
      <c r="D96" s="113">
        <f>PR!C94</f>
        <v>2400</v>
      </c>
      <c r="E96" s="108">
        <f>IF(F96="ALPHA",PR!$E94,IF(F96="ASSENE",PR!$F94,IF(F96="BIOFEM",PR!$G94,IF(F96="BIOMED",PR!$H94,IF(F96="CHI",PR!$I94,IF(F96="CLARION",PR!$J94,IF(F96="CODIX",PR!$K94,IF(F96="COSMADE",PR!$L94,IF(F96="SANCON",PR!$M94,IF(F96="DEVON",PR!$N94,IF(F96="DORTEMAG",PR!$O94,IF(F96="DGF",PR!$P94,IF(F96="DYNAMIC",PR!$Q94,IF(F96="EMZOR",PR!$R94,IF(F96="EUMATT",PR!$S94,IF(F96="FIDSON",PR!$T94,IF(F96="FCGLOBAL",PR!$U94,IF(F96="GENEITH",PR!$V94,IF(F96="GINOS",PR!$W94,IF(F96="GSK",PR!$X94,IF(F96="GLOBORG",PR!$Y94,IF(F96="GOODNEWS",PR!$Z94,IF(F96="GREENLIFE",PR!$AA94,IF(F96="HLINE",PR!$AB94,IF(F96="ROTECH",PR!$AC94,IF(F96="ISN",PR!$AD94,IF(F96="JAWA",PR!$AE94,IF(F96="LAYO",PR!$AF94,IF(F96="LEADWAY",PR!$AG94,IF(F96="LHV",PR!$AH94,IF(F96="MANOLA",PR!$AI94,IF(F96="MARCSON",PR!$AJ94,IF(F96="M&amp;B",PR!$AK94,IF(F96="MTRUST",PR!$AL94,IF(F96="MWORLD",PR!$AM94,IF(F96="MEGA",PR!$AN94,IF(F96="MICRONOVA",PR!$AO94,IF(F96="MFLASH",PR!$AP94,IF(F96="MORISON",PR!$AQ94,IF(F96="NEMEL",PR!$AR94,IF(F96="NHP",PR!$AS94,IF(F96="NHC",PR!$AT94,IF(F96="OLEAF",PR!$AU94,IF(F96="OCULUS",PR!$AV94,IF(F96="PACIFIC",PR!$AW94,IF(F96="PHAMATEX",PR!$AX94,IF(F96="PETHICS",PR!$AY94,IF(F96="PHILIPS",PR!$AZ94,IF(F96="RANBAXY",PR!$BA94,IF(F96="REALS",PR!$BB94,IF(F96="ROYAL",PR!$BC94,IF(F96="SAM",PR!$BD94,IF(F96="SEAGREEN",PR!$BE94,IF(F96="SKG",PR!$BF94,IF(F96="TAH",PR!$BG94,IF(F96="TAYLEK",PR!$BH94,IF(F96="TEMITA",PR!$BI94,IF(F96="THL",PR!$BJ94,IF(F96="UBASTIC",PR!$BK94,IF(F96="UNION",PR!$BL94,IF(F96="UNIQUE",PR!$BM94,IF(F96="VIXA",PR!$BN94,IF(F96="WWCV",PR!$BO94,IF(F96="ZOLON",PR!$BP94,"-"))))))))))))))))))))))))))))))))))))))))))))))))))))))))))))))))</f>
        <v>550</v>
      </c>
      <c r="F96" s="102" t="str">
        <f>EV!L118</f>
        <v>HLINE</v>
      </c>
      <c r="G96" s="108">
        <f>IF(H96="ALPHA",PR!$E94,IF(H96="ASSENE",PR!$F94,IF(H96="BIOFEM",PR!$G94,IF(H96="BIOMED",PR!$H94,IF(H96="CHI",PR!$I94,IF(H96="CLARION",PR!$J94,IF(H96="CODIX",PR!$K94,IF(H96="COSMADE",PR!$L94,IF(H96="SANCON",PR!$M94,IF(H96="DEVON",PR!$N94,IF(H96="DORTEMAG",PR!$O94,IF(H96="DGF",PR!$P94,IF(H96="DYNAMIC",PR!$Q94,IF(H96="EMZOR",PR!$R94,IF(H96="EUMATT",PR!$S94,IF(H96="FIDSON",PR!$T94,IF(H96="FCGLOBAL",PR!$U94,IF(H96="GENEITH",PR!$V94,IF(H96="GINOS",PR!$W94,IF(H96="GSK",PR!$X94,IF(H96="GLOBORG",PR!$Y94,IF(H96="GOODNEWS",PR!$Z94,IF(H96="GREENLIFE",PR!$AA94,IF(H96="HLINE",PR!$AB94,IF(H96="ROTECH",PR!$AC94,IF(H96="ISN",PR!$AD94,IF(H96="JAWA",PR!$AE94,IF(H96="LAYO",PR!$AF94,IF(H96="LEADWAY",PR!$AG94,IF(H96="LHV",PR!$AH94,IF(H96="MANOLA",PR!$AI94,IF(H96="MARCSON",PR!$AJ94,IF(H96="M&amp;B",PR!$AK94,IF(H96="MTRUST",PR!$AL94,IF(H96="MWORLD",PR!$AM94,IF(H96="MEGA",PR!$AN94,IF(H96="MICRONOVA",PR!$AO94,IF(H96="MFLASH",PR!$AP94,IF(H96="MORISON",PR!$AQ94,IF(H96="NEMEL",PR!$AR94,IF(H96="NHP",PR!$AS94,IF(H96="NHC",PR!$AT94,IF(H96="OLEAF",PR!$AU94,IF(H96="OCULUS",PR!$AV94,IF(H96="PACIFIC",PR!$AW94,IF(H96="PHAMATEX",PR!$AX94,IF(H96="PETHICS",PR!$AY94,IF(H96="PHILIPS",PR!$AZ94,IF(H96="RANBAXY",PR!$BA94,IF(H96="REALS",PR!$BB94,IF(H96="ROYAL",PR!$BC94,IF(H96="SAM",PR!$BD94,IF(H96="SEAGREEN",PR!$BE94,IF(H96="SKG",PR!$BF94,IF(H96="TAH",PR!$BG94,IF(H96="TAYLEK",PR!$BH94,IF(H96="TEMITA",PR!$BI94,IF(H96="THL",PR!$BJ94,IF(H96="UBASTIC",PR!$BK94,IF(H96="UNION",PR!$BL94,IF(H96="UNIQUE",PR!$BM94,IF(H96="VIXA",PR!$BN94,IF(H96="WWCV",PR!$BO94,IF(H96="ZOLON",PR!$BP94,"-"))))))))))))))))))))))))))))))))))))))))))))))))))))))))))))))))</f>
        <v>600</v>
      </c>
      <c r="H96" s="102" t="str">
        <f>EV!M118</f>
        <v>EUMATT</v>
      </c>
      <c r="I96" s="108">
        <f>IF(J96="ALPHA",PR!$E94,IF(J96="ASSENE",PR!$F94,IF(J96="BIOFEM",PR!$G94,IF(J96="BIOMED",PR!$H94,IF(J96="CHI",PR!$I94,IF(J96="CLARION",PR!$J94,IF(J96="CODIX",PR!$K94,IF(J96="COSMADE",PR!$L94,IF(J96="SANCON",PR!$M94,IF(J96="DEVON",PR!$N94,IF(J96="DORTEMAG",PR!$O94,IF(J96="DGF",PR!$P94,IF(J96="DYNAMIC",PR!$Q94,IF(J96="EMZOR",PR!$R94,IF(J96="EUMATT",PR!$S94,IF(J96="FIDSON",PR!$T94,IF(J96="FCGLOBAL",PR!$U94,IF(J96="GENEITH",PR!$V94,IF(J96="GINOS",PR!$W94,IF(J96="GSK",PR!$X94,IF(J96="GLOBORG",PR!$Y94,IF(J96="GOODNEWS",PR!$Z94,IF(J96="GREENLIFE",PR!$AA94,IF(J96="HLINE",PR!$AB94,IF(J96="ROTECH",PR!$AC94,IF(J96="ISN",PR!$AD94,IF(J96="JAWA",PR!$AE94,IF(J96="LAYO",PR!$AF94,IF(J96="LEADWAY",PR!$AG94,IF(J96="LHV",PR!$AH94,IF(J96="MANOLA",PR!$AI94,IF(J96="MARCSON",PR!$AJ94,IF(J96="M&amp;B",PR!$AK94,IF(J96="MTRUST",PR!$AL94,IF(J96="MWORLD",PR!$AM94,IF(J96="MEGA",PR!$AN94,IF(J96="MICRONOVA",PR!$AO94,IF(J96="MFLASH",PR!$AP94,IF(J96="MORISON",PR!$AQ94,IF(J96="NEMEL",PR!$AR94,IF(J96="NHP",PR!$AS94,IF(J96="NHC",PR!$AT94,IF(J96="OLEAF",PR!$AU94,IF(J96="OCULUS",PR!$AV94,IF(J96="PACIFIC",PR!$AW94,IF(J96="PHAMATEX",PR!$AX94,IF(J96="PETHICS",PR!$AY94,IF(J96="PHILIPS",PR!$AZ94,IF(J96="RANBAXY",PR!$BA94,IF(J96="REALS",PR!$BB94,IF(J96="ROYAL",PR!$BC94,IF(J96="SAM",PR!$BD94,IF(J96="SEAGREEN",PR!$BE94,IF(J96="SKG",PR!$BF94,IF(J96="TAH",PR!$BG94,IF(J96="TAYLEK",PR!$BH94,IF(J96="TEMITA",PR!$BI94,IF(J96="THL",PR!$BJ94,IF(J96="UBASTIC",PR!$BK94,IF(J96="UNION",PR!$BL94,IF(J96="UNIQUE",PR!$BM94,IF(J96="VIXA",PR!$BN94,IF(J96="WWCV",PR!$BO94,IF(J96="ZOLON",PR!$BP94,"-"))))))))))))))))))))))))))))))))))))))))))))))))))))))))))))))))</f>
        <v>900</v>
      </c>
      <c r="J96" s="102" t="str">
        <f>EV!N118</f>
        <v>LEADWAY</v>
      </c>
      <c r="K96" s="433" t="s">
        <v>2096</v>
      </c>
      <c r="L96" s="183" t="str">
        <f>IF(K96&gt;0,IF(K96="ALPHA",PR!$E94,IF(K96="ASSENE",PR!$F94,IF(K96="BIOFEM",PR!$G94,IF(K96="BIOMED",PR!$H94,IF(K96="CHI",PR!$I94,IF(K96="CLARION",PR!$J94,IF(K96="CODIX",PR!$K94,IF(K96="COSMADE",PR!$L94,IF(K96="SANCON",PR!$M94,IF(K96="DEVON",PR!$N94,IF(K96="DORTEMAG",PR!$O94,IF(K96="DGF",PR!$P94,IF(K96="DYNAMIC",PR!$Q94,IF(K96="EMZOR",PR!$R94,IF(K96="EUMATT",PR!$S94,IF(K96="FIDSON",PR!$T94,IF(K96="FCGLOBAL",PR!$U94,IF(K96="GENEITH",PR!$V94,IF(K96="GINOS",PR!$W94,IF(K96="GSK",PR!$X94,IF(K96="GLOBORG",PR!$Y94,IF(K96="GOODNEWS",PR!$Z94,IF(K96="GREENLIFE",PR!$AA94,IF(K96="HLINE",PR!$AB94,IF(K96="ROTECH",PR!$AC94,IF(K96="ISN",PR!$AD94,IF(K96="JAWA",PR!$AE94,IF(K96="LAYO",PR!$AF94,IF(K96="LEADWAY",PR!$AG94,IF(K96="LHV",PR!$AH94,IF(K96="MANOLA",PR!$AI94,IF(K96="MARCSON",PR!$AJ94,IF(K96="M&amp;B",PR!$AK94,IF(K96="MTRUST",PR!$AL94,IF(K96="MWORLD",PR!$AM94,IF(K96="MEGA",PR!$AN94,IF(K96="MICRONOVA",PR!$AO94,IF(K96="MFLASH",PR!$AP94,IF(K96="MORISON",PR!$AQ94,IF(K96="NEMEL",PR!$AR94,IF(K96="NHP",PR!$AS94,IF(K96="NHC",PR!$AT94,IF(K96="OLEAF",PR!$AU94,IF(K96="OCULUS",PR!$AV94,IF(K96="PACIFIC",PR!$AW94,IF(K96="PHAMATEX",PR!$AX94,IF(K96="PETHICS",PR!$AY94,IF(K96="PHILIPS",PR!$AZ94,IF(K96="RANBAXY",PR!$BA94,IF(K96="REALS",PR!$BB94,IF(K96="ROYAL",PR!$BC94,IF(K96="SAM",PR!$BD94,IF(K96="SEAGREEN",PR!$BE94,IF(K96="SKG",PR!$BF94,IF(K96="TAH",PR!$BG94,IF(K96="TAYLEK",PR!$BH94,IF(K96="TEMITA",PR!$BI94,IF(K96="THL",PR!$BJ94,IF(K96="UBASTIC",PR!$BK94,IF(K96="UNION",PR!$BL94,IF(K96="UNIQUE",PR!$BM94,IF(K96="VIXA",PR!$BN94,IF(K96="WWCV",PR!$BO94,IF(K96="ZOLON",PR!$BP94,"-")))))))))))))))))))))))))))))))))))))))))))))))))))))))))))))))))</f>
        <v>-</v>
      </c>
    </row>
    <row r="97" spans="1:12" ht="18.75" x14ac:dyDescent="0.3">
      <c r="A97" s="430">
        <f>PR!A95</f>
        <v>79</v>
      </c>
      <c r="B97" s="15" t="str">
        <f>PR!B95</f>
        <v xml:space="preserve">LOSARTAN 50MG/ HCT 12.5MG </v>
      </c>
      <c r="C97" s="113">
        <f>PR!D95</f>
        <v>30</v>
      </c>
      <c r="D97" s="113">
        <f>PR!C95</f>
        <v>100</v>
      </c>
      <c r="E97" s="108">
        <f>IF(F97="ALPHA",PR!$E95,IF(F97="ASSENE",PR!$F95,IF(F97="BIOFEM",PR!$G95,IF(F97="BIOMED",PR!$H95,IF(F97="CHI",PR!$I95,IF(F97="CLARION",PR!$J95,IF(F97="CODIX",PR!$K95,IF(F97="COSMADE",PR!$L95,IF(F97="SANCON",PR!$M95,IF(F97="DEVON",PR!$N95,IF(F97="DORTEMAG",PR!$O95,IF(F97="DGF",PR!$P95,IF(F97="DYNAMIC",PR!$Q95,IF(F97="EMZOR",PR!$R95,IF(F97="EUMATT",PR!$S95,IF(F97="FIDSON",PR!$T95,IF(F97="FCGLOBAL",PR!$U95,IF(F97="GENEITH",PR!$V95,IF(F97="GINOS",PR!$W95,IF(F97="GSK",PR!$X95,IF(F97="GLOBORG",PR!$Y95,IF(F97="GOODNEWS",PR!$Z95,IF(F97="GREENLIFE",PR!$AA95,IF(F97="HLINE",PR!$AB95,IF(F97="ROTECH",PR!$AC95,IF(F97="ISN",PR!$AD95,IF(F97="JAWA",PR!$AE95,IF(F97="LAYO",PR!$AF95,IF(F97="LEADWAY",PR!$AG95,IF(F97="LHV",PR!$AH95,IF(F97="MANOLA",PR!$AI95,IF(F97="MARCSON",PR!$AJ95,IF(F97="M&amp;B",PR!$AK95,IF(F97="MTRUST",PR!$AL95,IF(F97="MWORLD",PR!$AM95,IF(F97="MEGA",PR!$AN95,IF(F97="MICRONOVA",PR!$AO95,IF(F97="MFLASH",PR!$AP95,IF(F97="MORISON",PR!$AQ95,IF(F97="NEMEL",PR!$AR95,IF(F97="NHP",PR!$AS95,IF(F97="NHC",PR!$AT95,IF(F97="OLEAF",PR!$AU95,IF(F97="OCULUS",PR!$AV95,IF(F97="PACIFIC",PR!$AW95,IF(F97="PHAMATEX",PR!$AX95,IF(F97="PETHICS",PR!$AY95,IF(F97="PHILIPS",PR!$AZ95,IF(F97="RANBAXY",PR!$BA95,IF(F97="REALS",PR!$BB95,IF(F97="ROYAL",PR!$BC95,IF(F97="SAM",PR!$BD95,IF(F97="SEAGREEN",PR!$BE95,IF(F97="SKG",PR!$BF95,IF(F97="TAH",PR!$BG95,IF(F97="TAYLEK",PR!$BH95,IF(F97="TEMITA",PR!$BI95,IF(F97="THL",PR!$BJ95,IF(F97="UBASTIC",PR!$BK95,IF(F97="UNION",PR!$BL95,IF(F97="UNIQUE",PR!$BM95,IF(F97="VIXA",PR!$BN95,IF(F97="WWCV",PR!$BO95,IF(F97="ZOLON",PR!$BP95,"-"))))))))))))))))))))))))))))))))))))))))))))))))))))))))))))))))</f>
        <v>800</v>
      </c>
      <c r="F97" s="102" t="str">
        <f>EV!L119</f>
        <v>HLINE</v>
      </c>
      <c r="G97" s="108">
        <f>IF(H97="ALPHA",PR!$E95,IF(H97="ASSENE",PR!$F95,IF(H97="BIOFEM",PR!$G95,IF(H97="BIOMED",PR!$H95,IF(H97="CHI",PR!$I95,IF(H97="CLARION",PR!$J95,IF(H97="CODIX",PR!$K95,IF(H97="COSMADE",PR!$L95,IF(H97="SANCON",PR!$M95,IF(H97="DEVON",PR!$N95,IF(H97="DORTEMAG",PR!$O95,IF(H97="DGF",PR!$P95,IF(H97="DYNAMIC",PR!$Q95,IF(H97="EMZOR",PR!$R95,IF(H97="EUMATT",PR!$S95,IF(H97="FIDSON",PR!$T95,IF(H97="FCGLOBAL",PR!$U95,IF(H97="GENEITH",PR!$V95,IF(H97="GINOS",PR!$W95,IF(H97="GSK",PR!$X95,IF(H97="GLOBORG",PR!$Y95,IF(H97="GOODNEWS",PR!$Z95,IF(H97="GREENLIFE",PR!$AA95,IF(H97="HLINE",PR!$AB95,IF(H97="ROTECH",PR!$AC95,IF(H97="ISN",PR!$AD95,IF(H97="JAWA",PR!$AE95,IF(H97="LAYO",PR!$AF95,IF(H97="LEADWAY",PR!$AG95,IF(H97="LHV",PR!$AH95,IF(H97="MANOLA",PR!$AI95,IF(H97="MARCSON",PR!$AJ95,IF(H97="M&amp;B",PR!$AK95,IF(H97="MTRUST",PR!$AL95,IF(H97="MWORLD",PR!$AM95,IF(H97="MEGA",PR!$AN95,IF(H97="MICRONOVA",PR!$AO95,IF(H97="MFLASH",PR!$AP95,IF(H97="MORISON",PR!$AQ95,IF(H97="NEMEL",PR!$AR95,IF(H97="NHP",PR!$AS95,IF(H97="NHC",PR!$AT95,IF(H97="OLEAF",PR!$AU95,IF(H97="OCULUS",PR!$AV95,IF(H97="PACIFIC",PR!$AW95,IF(H97="PHAMATEX",PR!$AX95,IF(H97="PETHICS",PR!$AY95,IF(H97="PHILIPS",PR!$AZ95,IF(H97="RANBAXY",PR!$BA95,IF(H97="REALS",PR!$BB95,IF(H97="ROYAL",PR!$BC95,IF(H97="SAM",PR!$BD95,IF(H97="SEAGREEN",PR!$BE95,IF(H97="SKG",PR!$BF95,IF(H97="TAH",PR!$BG95,IF(H97="TAYLEK",PR!$BH95,IF(H97="TEMITA",PR!$BI95,IF(H97="THL",PR!$BJ95,IF(H97="UBASTIC",PR!$BK95,IF(H97="UNION",PR!$BL95,IF(H97="UNIQUE",PR!$BM95,IF(H97="VIXA",PR!$BN95,IF(H97="WWCV",PR!$BO95,IF(H97="ZOLON",PR!$BP95,"-"))))))))))))))))))))))))))))))))))))))))))))))))))))))))))))))))</f>
        <v>1750</v>
      </c>
      <c r="H97" s="102" t="str">
        <f>EV!M119</f>
        <v>PETHICS</v>
      </c>
      <c r="I97" s="108">
        <f>IF(J97="ALPHA",PR!$E95,IF(J97="ASSENE",PR!$F95,IF(J97="BIOFEM",PR!$G95,IF(J97="BIOMED",PR!$H95,IF(J97="CHI",PR!$I95,IF(J97="CLARION",PR!$J95,IF(J97="CODIX",PR!$K95,IF(J97="COSMADE",PR!$L95,IF(J97="SANCON",PR!$M95,IF(J97="DEVON",PR!$N95,IF(J97="DORTEMAG",PR!$O95,IF(J97="DGF",PR!$P95,IF(J97="DYNAMIC",PR!$Q95,IF(J97="EMZOR",PR!$R95,IF(J97="EUMATT",PR!$S95,IF(J97="FIDSON",PR!$T95,IF(J97="FCGLOBAL",PR!$U95,IF(J97="GENEITH",PR!$V95,IF(J97="GINOS",PR!$W95,IF(J97="GSK",PR!$X95,IF(J97="GLOBORG",PR!$Y95,IF(J97="GOODNEWS",PR!$Z95,IF(J97="GREENLIFE",PR!$AA95,IF(J97="HLINE",PR!$AB95,IF(J97="ROTECH",PR!$AC95,IF(J97="ISN",PR!$AD95,IF(J97="JAWA",PR!$AE95,IF(J97="LAYO",PR!$AF95,IF(J97="LEADWAY",PR!$AG95,IF(J97="LHV",PR!$AH95,IF(J97="MANOLA",PR!$AI95,IF(J97="MARCSON",PR!$AJ95,IF(J97="M&amp;B",PR!$AK95,IF(J97="MTRUST",PR!$AL95,IF(J97="MWORLD",PR!$AM95,IF(J97="MEGA",PR!$AN95,IF(J97="MICRONOVA",PR!$AO95,IF(J97="MFLASH",PR!$AP95,IF(J97="MORISON",PR!$AQ95,IF(J97="NEMEL",PR!$AR95,IF(J97="NHP",PR!$AS95,IF(J97="NHC",PR!$AT95,IF(J97="OLEAF",PR!$AU95,IF(J97="OCULUS",PR!$AV95,IF(J97="PACIFIC",PR!$AW95,IF(J97="PHAMATEX",PR!$AX95,IF(J97="PETHICS",PR!$AY95,IF(J97="PHILIPS",PR!$AZ95,IF(J97="RANBAXY",PR!$BA95,IF(J97="REALS",PR!$BB95,IF(J97="ROYAL",PR!$BC95,IF(J97="SAM",PR!$BD95,IF(J97="SEAGREEN",PR!$BE95,IF(J97="SKG",PR!$BF95,IF(J97="TAH",PR!$BG95,IF(J97="TAYLEK",PR!$BH95,IF(J97="TEMITA",PR!$BI95,IF(J97="THL",PR!$BJ95,IF(J97="UBASTIC",PR!$BK95,IF(J97="UNION",PR!$BL95,IF(J97="UNIQUE",PR!$BM95,IF(J97="VIXA",PR!$BN95,IF(J97="WWCV",PR!$BO95,IF(J97="ZOLON",PR!$BP95,"-"))))))))))))))))))))))))))))))))))))))))))))))))))))))))))))))))</f>
        <v>1895</v>
      </c>
      <c r="J97" s="102" t="str">
        <f>EV!N119</f>
        <v>MICRONOVA</v>
      </c>
      <c r="K97" s="433" t="s">
        <v>1243</v>
      </c>
      <c r="L97" s="183">
        <f>IF(K97&gt;0,IF(K97="ALPHA",PR!$E95,IF(K97="ASSENE",PR!$F95,IF(K97="BIOFEM",PR!$G95,IF(K97="BIOMED",PR!$H95,IF(K97="CHI",PR!$I95,IF(K97="CLARION",PR!$J95,IF(K97="CODIX",PR!$K95,IF(K97="COSMADE",PR!$L95,IF(K97="SANCON",PR!$M95,IF(K97="DEVON",PR!$N95,IF(K97="DORTEMAG",PR!$O95,IF(K97="DGF",PR!$P95,IF(K97="DYNAMIC",PR!$Q95,IF(K97="EMZOR",PR!$R95,IF(K97="EUMATT",PR!$S95,IF(K97="FIDSON",PR!$T95,IF(K97="FCGLOBAL",PR!$U95,IF(K97="GENEITH",PR!$V95,IF(K97="GINOS",PR!$W95,IF(K97="GSK",PR!$X95,IF(K97="GLOBORG",PR!$Y95,IF(K97="GOODNEWS",PR!$Z95,IF(K97="GREENLIFE",PR!$AA95,IF(K97="HLINE",PR!$AB95,IF(K97="ROTECH",PR!$AC95,IF(K97="ISN",PR!$AD95,IF(K97="JAWA",PR!$AE95,IF(K97="LAYO",PR!$AF95,IF(K97="LEADWAY",PR!$AG95,IF(K97="LHV",PR!$AH95,IF(K97="MANOLA",PR!$AI95,IF(K97="MARCSON",PR!$AJ95,IF(K97="M&amp;B",PR!$AK95,IF(K97="MTRUST",PR!$AL95,IF(K97="MWORLD",PR!$AM95,IF(K97="MEGA",PR!$AN95,IF(K97="MICRONOVA",PR!$AO95,IF(K97="MFLASH",PR!$AP95,IF(K97="MORISON",PR!$AQ95,IF(K97="NEMEL",PR!$AR95,IF(K97="NHP",PR!$AS95,IF(K97="NHC",PR!$AT95,IF(K97="OLEAF",PR!$AU95,IF(K97="OCULUS",PR!$AV95,IF(K97="PACIFIC",PR!$AW95,IF(K97="PHAMATEX",PR!$AX95,IF(K97="PETHICS",PR!$AY95,IF(K97="PHILIPS",PR!$AZ95,IF(K97="RANBAXY",PR!$BA95,IF(K97="REALS",PR!$BB95,IF(K97="ROYAL",PR!$BC95,IF(K97="SAM",PR!$BD95,IF(K97="SEAGREEN",PR!$BE95,IF(K97="SKG",PR!$BF95,IF(K97="TAH",PR!$BG95,IF(K97="TAYLEK",PR!$BH95,IF(K97="TEMITA",PR!$BI95,IF(K97="THL",PR!$BJ95,IF(K97="UBASTIC",PR!$BK95,IF(K97="UNION",PR!$BL95,IF(K97="UNIQUE",PR!$BM95,IF(K97="VIXA",PR!$BN95,IF(K97="WWCV",PR!$BO95,IF(K97="ZOLON",PR!$BP95,"-")))))))))))))))))))))))))))))))))))))))))))))))))))))))))))))))))</f>
        <v>800</v>
      </c>
    </row>
    <row r="98" spans="1:12" ht="18.75" x14ac:dyDescent="0.3">
      <c r="A98" s="430">
        <f>PR!A96</f>
        <v>80</v>
      </c>
      <c r="B98" s="15" t="str">
        <f>PR!B96</f>
        <v>METHYL-DOPA 250MG TAB</v>
      </c>
      <c r="C98" s="113">
        <f>PR!D96</f>
        <v>100</v>
      </c>
      <c r="D98" s="113">
        <f>PR!C96</f>
        <v>2000</v>
      </c>
      <c r="E98" s="108">
        <f>IF(F98="ALPHA",PR!$E96,IF(F98="ASSENE",PR!$F96,IF(F98="BIOFEM",PR!$G96,IF(F98="BIOMED",PR!$H96,IF(F98="CHI",PR!$I96,IF(F98="CLARION",PR!$J96,IF(F98="CODIX",PR!$K96,IF(F98="COSMADE",PR!$L96,IF(F98="SANCON",PR!$M96,IF(F98="DEVON",PR!$N96,IF(F98="DORTEMAG",PR!$O96,IF(F98="DGF",PR!$P96,IF(F98="DYNAMIC",PR!$Q96,IF(F98="EMZOR",PR!$R96,IF(F98="EUMATT",PR!$S96,IF(F98="FIDSON",PR!$T96,IF(F98="FCGLOBAL",PR!$U96,IF(F98="GENEITH",PR!$V96,IF(F98="GINOS",PR!$W96,IF(F98="GSK",PR!$X96,IF(F98="GLOBORG",PR!$Y96,IF(F98="GOODNEWS",PR!$Z96,IF(F98="GREENLIFE",PR!$AA96,IF(F98="HLINE",PR!$AB96,IF(F98="ROTECH",PR!$AC96,IF(F98="ISN",PR!$AD96,IF(F98="JAWA",PR!$AE96,IF(F98="LAYO",PR!$AF96,IF(F98="LEADWAY",PR!$AG96,IF(F98="LHV",PR!$AH96,IF(F98="MANOLA",PR!$AI96,IF(F98="MARCSON",PR!$AJ96,IF(F98="M&amp;B",PR!$AK96,IF(F98="MTRUST",PR!$AL96,IF(F98="MWORLD",PR!$AM96,IF(F98="MEGA",PR!$AN96,IF(F98="MICRONOVA",PR!$AO96,IF(F98="MFLASH",PR!$AP96,IF(F98="MORISON",PR!$AQ96,IF(F98="NEMEL",PR!$AR96,IF(F98="NHP",PR!$AS96,IF(F98="NHC",PR!$AT96,IF(F98="OLEAF",PR!$AU96,IF(F98="OCULUS",PR!$AV96,IF(F98="PACIFIC",PR!$AW96,IF(F98="PHAMATEX",PR!$AX96,IF(F98="PETHICS",PR!$AY96,IF(F98="PHILIPS",PR!$AZ96,IF(F98="RANBAXY",PR!$BA96,IF(F98="REALS",PR!$BB96,IF(F98="ROYAL",PR!$BC96,IF(F98="SAM",PR!$BD96,IF(F98="SEAGREEN",PR!$BE96,IF(F98="SKG",PR!$BF96,IF(F98="TAH",PR!$BG96,IF(F98="TAYLEK",PR!$BH96,IF(F98="TEMITA",PR!$BI96,IF(F98="THL",PR!$BJ96,IF(F98="UBASTIC",PR!$BK96,IF(F98="UNION",PR!$BL96,IF(F98="UNIQUE",PR!$BM96,IF(F98="VIXA",PR!$BN96,IF(F98="WWCV",PR!$BO96,IF(F98="ZOLON",PR!$BP96,"-"))))))))))))))))))))))))))))))))))))))))))))))))))))))))))))))))</f>
        <v>1210</v>
      </c>
      <c r="F98" s="102" t="str">
        <f>EV!L120</f>
        <v>GENEITH</v>
      </c>
      <c r="G98" s="108">
        <f>IF(H98="ALPHA",PR!$E96,IF(H98="ASSENE",PR!$F96,IF(H98="BIOFEM",PR!$G96,IF(H98="BIOMED",PR!$H96,IF(H98="CHI",PR!$I96,IF(H98="CLARION",PR!$J96,IF(H98="CODIX",PR!$K96,IF(H98="COSMADE",PR!$L96,IF(H98="SANCON",PR!$M96,IF(H98="DEVON",PR!$N96,IF(H98="DORTEMAG",PR!$O96,IF(H98="DGF",PR!$P96,IF(H98="DYNAMIC",PR!$Q96,IF(H98="EMZOR",PR!$R96,IF(H98="EUMATT",PR!$S96,IF(H98="FIDSON",PR!$T96,IF(H98="FCGLOBAL",PR!$U96,IF(H98="GENEITH",PR!$V96,IF(H98="GINOS",PR!$W96,IF(H98="GSK",PR!$X96,IF(H98="GLOBORG",PR!$Y96,IF(H98="GOODNEWS",PR!$Z96,IF(H98="GREENLIFE",PR!$AA96,IF(H98="HLINE",PR!$AB96,IF(H98="ROTECH",PR!$AC96,IF(H98="ISN",PR!$AD96,IF(H98="JAWA",PR!$AE96,IF(H98="LAYO",PR!$AF96,IF(H98="LEADWAY",PR!$AG96,IF(H98="LHV",PR!$AH96,IF(H98="MANOLA",PR!$AI96,IF(H98="MARCSON",PR!$AJ96,IF(H98="M&amp;B",PR!$AK96,IF(H98="MTRUST",PR!$AL96,IF(H98="MWORLD",PR!$AM96,IF(H98="MEGA",PR!$AN96,IF(H98="MICRONOVA",PR!$AO96,IF(H98="MFLASH",PR!$AP96,IF(H98="MORISON",PR!$AQ96,IF(H98="NEMEL",PR!$AR96,IF(H98="NHP",PR!$AS96,IF(H98="NHC",PR!$AT96,IF(H98="OLEAF",PR!$AU96,IF(H98="OCULUS",PR!$AV96,IF(H98="PACIFIC",PR!$AW96,IF(H98="PHAMATEX",PR!$AX96,IF(H98="PETHICS",PR!$AY96,IF(H98="PHILIPS",PR!$AZ96,IF(H98="RANBAXY",PR!$BA96,IF(H98="REALS",PR!$BB96,IF(H98="ROYAL",PR!$BC96,IF(H98="SAM",PR!$BD96,IF(H98="SEAGREEN",PR!$BE96,IF(H98="SKG",PR!$BF96,IF(H98="TAH",PR!$BG96,IF(H98="TAYLEK",PR!$BH96,IF(H98="TEMITA",PR!$BI96,IF(H98="THL",PR!$BJ96,IF(H98="UBASTIC",PR!$BK96,IF(H98="UNION",PR!$BL96,IF(H98="UNIQUE",PR!$BM96,IF(H98="VIXA",PR!$BN96,IF(H98="WWCV",PR!$BO96,IF(H98="ZOLON",PR!$BP96,"-"))))))))))))))))))))))))))))))))))))))))))))))))))))))))))))))))</f>
        <v>1350</v>
      </c>
      <c r="H98" s="102" t="str">
        <f>EV!M120</f>
        <v>EUMATT</v>
      </c>
      <c r="I98" s="108">
        <f>IF(J98="ALPHA",PR!$E96,IF(J98="ASSENE",PR!$F96,IF(J98="BIOFEM",PR!$G96,IF(J98="BIOMED",PR!$H96,IF(J98="CHI",PR!$I96,IF(J98="CLARION",PR!$J96,IF(J98="CODIX",PR!$K96,IF(J98="COSMADE",PR!$L96,IF(J98="SANCON",PR!$M96,IF(J98="DEVON",PR!$N96,IF(J98="DORTEMAG",PR!$O96,IF(J98="DGF",PR!$P96,IF(J98="DYNAMIC",PR!$Q96,IF(J98="EMZOR",PR!$R96,IF(J98="EUMATT",PR!$S96,IF(J98="FIDSON",PR!$T96,IF(J98="FCGLOBAL",PR!$U96,IF(J98="GENEITH",PR!$V96,IF(J98="GINOS",PR!$W96,IF(J98="GSK",PR!$X96,IF(J98="GLOBORG",PR!$Y96,IF(J98="GOODNEWS",PR!$Z96,IF(J98="GREENLIFE",PR!$AA96,IF(J98="HLINE",PR!$AB96,IF(J98="ROTECH",PR!$AC96,IF(J98="ISN",PR!$AD96,IF(J98="JAWA",PR!$AE96,IF(J98="LAYO",PR!$AF96,IF(J98="LEADWAY",PR!$AG96,IF(J98="LHV",PR!$AH96,IF(J98="MANOLA",PR!$AI96,IF(J98="MARCSON",PR!$AJ96,IF(J98="M&amp;B",PR!$AK96,IF(J98="MTRUST",PR!$AL96,IF(J98="MWORLD",PR!$AM96,IF(J98="MEGA",PR!$AN96,IF(J98="MICRONOVA",PR!$AO96,IF(J98="MFLASH",PR!$AP96,IF(J98="MORISON",PR!$AQ96,IF(J98="NEMEL",PR!$AR96,IF(J98="NHP",PR!$AS96,IF(J98="NHC",PR!$AT96,IF(J98="OLEAF",PR!$AU96,IF(J98="OCULUS",PR!$AV96,IF(J98="PACIFIC",PR!$AW96,IF(J98="PHAMATEX",PR!$AX96,IF(J98="PETHICS",PR!$AY96,IF(J98="PHILIPS",PR!$AZ96,IF(J98="RANBAXY",PR!$BA96,IF(J98="REALS",PR!$BB96,IF(J98="ROYAL",PR!$BC96,IF(J98="SAM",PR!$BD96,IF(J98="SEAGREEN",PR!$BE96,IF(J98="SKG",PR!$BF96,IF(J98="TAH",PR!$BG96,IF(J98="TAYLEK",PR!$BH96,IF(J98="TEMITA",PR!$BI96,IF(J98="THL",PR!$BJ96,IF(J98="UBASTIC",PR!$BK96,IF(J98="UNION",PR!$BL96,IF(J98="UNIQUE",PR!$BM96,IF(J98="VIXA",PR!$BN96,IF(J98="WWCV",PR!$BO96,IF(J98="ZOLON",PR!$BP96,"-"))))))))))))))))))))))))))))))))))))))))))))))))))))))))))))))))</f>
        <v>1390</v>
      </c>
      <c r="J98" s="102" t="str">
        <f>EV!N120</f>
        <v>SAM</v>
      </c>
      <c r="K98" s="433" t="s">
        <v>2097</v>
      </c>
      <c r="L98" s="183" t="str">
        <f>IF(K98&gt;0,IF(K98="ALPHA",PR!$E96,IF(K98="ASSENE",PR!$F96,IF(K98="BIOFEM",PR!$G96,IF(K98="BIOMED",PR!$H96,IF(K98="CHI",PR!$I96,IF(K98="CLARION",PR!$J96,IF(K98="CODIX",PR!$K96,IF(K98="COSMADE",PR!$L96,IF(K98="SANCON",PR!$M96,IF(K98="DEVON",PR!$N96,IF(K98="DORTEMAG",PR!$O96,IF(K98="DGF",PR!$P96,IF(K98="DYNAMIC",PR!$Q96,IF(K98="EMZOR",PR!$R96,IF(K98="EUMATT",PR!$S96,IF(K98="FIDSON",PR!$T96,IF(K98="FCGLOBAL",PR!$U96,IF(K98="GENEITH",PR!$V96,IF(K98="GINOS",PR!$W96,IF(K98="GSK",PR!$X96,IF(K98="GLOBORG",PR!$Y96,IF(K98="GOODNEWS",PR!$Z96,IF(K98="GREENLIFE",PR!$AA96,IF(K98="HLINE",PR!$AB96,IF(K98="ROTECH",PR!$AC96,IF(K98="ISN",PR!$AD96,IF(K98="JAWA",PR!$AE96,IF(K98="LAYO",PR!$AF96,IF(K98="LEADWAY",PR!$AG96,IF(K98="LHV",PR!$AH96,IF(K98="MANOLA",PR!$AI96,IF(K98="MARCSON",PR!$AJ96,IF(K98="M&amp;B",PR!$AK96,IF(K98="MTRUST",PR!$AL96,IF(K98="MWORLD",PR!$AM96,IF(K98="MEGA",PR!$AN96,IF(K98="MICRONOVA",PR!$AO96,IF(K98="MFLASH",PR!$AP96,IF(K98="MORISON",PR!$AQ96,IF(K98="NEMEL",PR!$AR96,IF(K98="NHP",PR!$AS96,IF(K98="NHC",PR!$AT96,IF(K98="OLEAF",PR!$AU96,IF(K98="OCULUS",PR!$AV96,IF(K98="PACIFIC",PR!$AW96,IF(K98="PHAMATEX",PR!$AX96,IF(K98="PETHICS",PR!$AY96,IF(K98="PHILIPS",PR!$AZ96,IF(K98="RANBAXY",PR!$BA96,IF(K98="REALS",PR!$BB96,IF(K98="ROYAL",PR!$BC96,IF(K98="SAM",PR!$BD96,IF(K98="SEAGREEN",PR!$BE96,IF(K98="SKG",PR!$BF96,IF(K98="TAH",PR!$BG96,IF(K98="TAYLEK",PR!$BH96,IF(K98="TEMITA",PR!$BI96,IF(K98="THL",PR!$BJ96,IF(K98="UBASTIC",PR!$BK96,IF(K98="UNION",PR!$BL96,IF(K98="UNIQUE",PR!$BM96,IF(K98="VIXA",PR!$BN96,IF(K98="WWCV",PR!$BO96,IF(K98="ZOLON",PR!$BP96,"-")))))))))))))))))))))))))))))))))))))))))))))))))))))))))))))))))</f>
        <v>-</v>
      </c>
    </row>
    <row r="99" spans="1:12" ht="18.75" x14ac:dyDescent="0.3">
      <c r="A99" s="430">
        <f>PR!A97</f>
        <v>81</v>
      </c>
      <c r="B99" s="15" t="str">
        <f>PR!B97</f>
        <v>METOLAZONE 2.5MG TAB</v>
      </c>
      <c r="C99" s="113">
        <f>PR!D97</f>
        <v>100</v>
      </c>
      <c r="D99" s="113">
        <f>PR!C97</f>
        <v>10</v>
      </c>
      <c r="E99" s="108">
        <f>IF(F99="ALPHA",PR!$E97,IF(F99="ASSENE",PR!$F97,IF(F99="BIOFEM",PR!$G97,IF(F99="BIOMED",PR!$H97,IF(F99="CHI",PR!$I97,IF(F99="CLARION",PR!$J97,IF(F99="CODIX",PR!$K97,IF(F99="COSMADE",PR!$L97,IF(F99="SANCON",PR!$M97,IF(F99="DEVON",PR!$N97,IF(F99="DORTEMAG",PR!$O97,IF(F99="DGF",PR!$P97,IF(F99="DYNAMIC",PR!$Q97,IF(F99="EMZOR",PR!$R97,IF(F99="EUMATT",PR!$S97,IF(F99="FIDSON",PR!$T97,IF(F99="FCGLOBAL",PR!$U97,IF(F99="GENEITH",PR!$V97,IF(F99="GINOS",PR!$W97,IF(F99="GSK",PR!$X97,IF(F99="GLOBORG",PR!$Y97,IF(F99="GOODNEWS",PR!$Z97,IF(F99="GREENLIFE",PR!$AA97,IF(F99="HLINE",PR!$AB97,IF(F99="ROTECH",PR!$AC97,IF(F99="ISN",PR!$AD97,IF(F99="JAWA",PR!$AE97,IF(F99="LAYO",PR!$AF97,IF(F99="LEADWAY",PR!$AG97,IF(F99="LHV",PR!$AH97,IF(F99="MANOLA",PR!$AI97,IF(F99="MARCSON",PR!$AJ97,IF(F99="M&amp;B",PR!$AK97,IF(F99="MTRUST",PR!$AL97,IF(F99="MWORLD",PR!$AM97,IF(F99="MEGA",PR!$AN97,IF(F99="MICRONOVA",PR!$AO97,IF(F99="MFLASH",PR!$AP97,IF(F99="MORISON",PR!$AQ97,IF(F99="NEMEL",PR!$AR97,IF(F99="NHP",PR!$AS97,IF(F99="NHC",PR!$AT97,IF(F99="OLEAF",PR!$AU97,IF(F99="OCULUS",PR!$AV97,IF(F99="PACIFIC",PR!$AW97,IF(F99="PHAMATEX",PR!$AX97,IF(F99="PETHICS",PR!$AY97,IF(F99="PHILIPS",PR!$AZ97,IF(F99="RANBAXY",PR!$BA97,IF(F99="REALS",PR!$BB97,IF(F99="ROYAL",PR!$BC97,IF(F99="SAM",PR!$BD97,IF(F99="SEAGREEN",PR!$BE97,IF(F99="SKG",PR!$BF97,IF(F99="TAH",PR!$BG97,IF(F99="TAYLEK",PR!$BH97,IF(F99="TEMITA",PR!$BI97,IF(F99="THL",PR!$BJ97,IF(F99="UBASTIC",PR!$BK97,IF(F99="UNION",PR!$BL97,IF(F99="UNIQUE",PR!$BM97,IF(F99="VIXA",PR!$BN97,IF(F99="WWCV",PR!$BO97,IF(F99="ZOLON",PR!$BP97,"-"))))))))))))))))))))))))))))))))))))))))))))))))))))))))))))))))</f>
        <v>12000</v>
      </c>
      <c r="F99" s="102" t="str">
        <f>EV!L121</f>
        <v>EUMATT</v>
      </c>
      <c r="G99" s="108" t="str">
        <f>IF(H99="ALPHA",PR!$E97,IF(H99="ASSENE",PR!$F97,IF(H99="BIOFEM",PR!$G97,IF(H99="BIOMED",PR!$H97,IF(H99="CHI",PR!$I97,IF(H99="CLARION",PR!$J97,IF(H99="CODIX",PR!$K97,IF(H99="COSMADE",PR!$L97,IF(H99="SANCON",PR!$M97,IF(H99="DEVON",PR!$N97,IF(H99="DORTEMAG",PR!$O97,IF(H99="DGF",PR!$P97,IF(H99="DYNAMIC",PR!$Q97,IF(H99="EMZOR",PR!$R97,IF(H99="EUMATT",PR!$S97,IF(H99="FIDSON",PR!$T97,IF(H99="FCGLOBAL",PR!$U97,IF(H99="GENEITH",PR!$V97,IF(H99="GINOS",PR!$W97,IF(H99="GSK",PR!$X97,IF(H99="GLOBORG",PR!$Y97,IF(H99="GOODNEWS",PR!$Z97,IF(H99="GREENLIFE",PR!$AA97,IF(H99="HLINE",PR!$AB97,IF(H99="ROTECH",PR!$AC97,IF(H99="ISN",PR!$AD97,IF(H99="JAWA",PR!$AE97,IF(H99="LAYO",PR!$AF97,IF(H99="LEADWAY",PR!$AG97,IF(H99="LHV",PR!$AH97,IF(H99="MANOLA",PR!$AI97,IF(H99="MARCSON",PR!$AJ97,IF(H99="M&amp;B",PR!$AK97,IF(H99="MTRUST",PR!$AL97,IF(H99="MWORLD",PR!$AM97,IF(H99="MEGA",PR!$AN97,IF(H99="MICRONOVA",PR!$AO97,IF(H99="MFLASH",PR!$AP97,IF(H99="MORISON",PR!$AQ97,IF(H99="NEMEL",PR!$AR97,IF(H99="NHP",PR!$AS97,IF(H99="NHC",PR!$AT97,IF(H99="OLEAF",PR!$AU97,IF(H99="OCULUS",PR!$AV97,IF(H99="PACIFIC",PR!$AW97,IF(H99="PHAMATEX",PR!$AX97,IF(H99="PETHICS",PR!$AY97,IF(H99="PHILIPS",PR!$AZ97,IF(H99="RANBAXY",PR!$BA97,IF(H99="REALS",PR!$BB97,IF(H99="ROYAL",PR!$BC97,IF(H99="SAM",PR!$BD97,IF(H99="SEAGREEN",PR!$BE97,IF(H99="SKG",PR!$BF97,IF(H99="TAH",PR!$BG97,IF(H99="TAYLEK",PR!$BH97,IF(H99="TEMITA",PR!$BI97,IF(H99="THL",PR!$BJ97,IF(H99="UBASTIC",PR!$BK97,IF(H99="UNION",PR!$BL97,IF(H99="UNIQUE",PR!$BM97,IF(H99="VIXA",PR!$BN97,IF(H99="WWCV",PR!$BO97,IF(H99="ZOLON",PR!$BP97,"-"))))))))))))))))))))))))))))))))))))))))))))))))))))))))))))))))</f>
        <v>-</v>
      </c>
      <c r="H99" s="102">
        <f>EV!M121</f>
        <v>0</v>
      </c>
      <c r="I99" s="108" t="str">
        <f>IF(J99="ALPHA",PR!$E97,IF(J99="ASSENE",PR!$F97,IF(J99="BIOFEM",PR!$G97,IF(J99="BIOMED",PR!$H97,IF(J99="CHI",PR!$I97,IF(J99="CLARION",PR!$J97,IF(J99="CODIX",PR!$K97,IF(J99="COSMADE",PR!$L97,IF(J99="SANCON",PR!$M97,IF(J99="DEVON",PR!$N97,IF(J99="DORTEMAG",PR!$O97,IF(J99="DGF",PR!$P97,IF(J99="DYNAMIC",PR!$Q97,IF(J99="EMZOR",PR!$R97,IF(J99="EUMATT",PR!$S97,IF(J99="FIDSON",PR!$T97,IF(J99="FCGLOBAL",PR!$U97,IF(J99="GENEITH",PR!$V97,IF(J99="GINOS",PR!$W97,IF(J99="GSK",PR!$X97,IF(J99="GLOBORG",PR!$Y97,IF(J99="GOODNEWS",PR!$Z97,IF(J99="GREENLIFE",PR!$AA97,IF(J99="HLINE",PR!$AB97,IF(J99="ROTECH",PR!$AC97,IF(J99="ISN",PR!$AD97,IF(J99="JAWA",PR!$AE97,IF(J99="LAYO",PR!$AF97,IF(J99="LEADWAY",PR!$AG97,IF(J99="LHV",PR!$AH97,IF(J99="MANOLA",PR!$AI97,IF(J99="MARCSON",PR!$AJ97,IF(J99="M&amp;B",PR!$AK97,IF(J99="MTRUST",PR!$AL97,IF(J99="MWORLD",PR!$AM97,IF(J99="MEGA",PR!$AN97,IF(J99="MICRONOVA",PR!$AO97,IF(J99="MFLASH",PR!$AP97,IF(J99="MORISON",PR!$AQ97,IF(J99="NEMEL",PR!$AR97,IF(J99="NHP",PR!$AS97,IF(J99="NHC",PR!$AT97,IF(J99="OLEAF",PR!$AU97,IF(J99="OCULUS",PR!$AV97,IF(J99="PACIFIC",PR!$AW97,IF(J99="PHAMATEX",PR!$AX97,IF(J99="PETHICS",PR!$AY97,IF(J99="PHILIPS",PR!$AZ97,IF(J99="RANBAXY",PR!$BA97,IF(J99="REALS",PR!$BB97,IF(J99="ROYAL",PR!$BC97,IF(J99="SAM",PR!$BD97,IF(J99="SEAGREEN",PR!$BE97,IF(J99="SKG",PR!$BF97,IF(J99="TAH",PR!$BG97,IF(J99="TAYLEK",PR!$BH97,IF(J99="TEMITA",PR!$BI97,IF(J99="THL",PR!$BJ97,IF(J99="UBASTIC",PR!$BK97,IF(J99="UNION",PR!$BL97,IF(J99="UNIQUE",PR!$BM97,IF(J99="VIXA",PR!$BN97,IF(J99="WWCV",PR!$BO97,IF(J99="ZOLON",PR!$BP97,"-"))))))))))))))))))))))))))))))))))))))))))))))))))))))))))))))))</f>
        <v>-</v>
      </c>
      <c r="J99" s="102">
        <f>EV!N121</f>
        <v>0</v>
      </c>
      <c r="K99" s="433" t="s">
        <v>821</v>
      </c>
      <c r="L99" s="183">
        <f>IF(K99&gt;0,IF(K99="ALPHA",PR!$E97,IF(K99="ASSENE",PR!$F97,IF(K99="BIOFEM",PR!$G97,IF(K99="BIOMED",PR!$H97,IF(K99="CHI",PR!$I97,IF(K99="CLARION",PR!$J97,IF(K99="CODIX",PR!$K97,IF(K99="COSMADE",PR!$L97,IF(K99="SANCON",PR!$M97,IF(K99="DEVON",PR!$N97,IF(K99="DORTEMAG",PR!$O97,IF(K99="DGF",PR!$P97,IF(K99="DYNAMIC",PR!$Q97,IF(K99="EMZOR",PR!$R97,IF(K99="EUMATT",PR!$S97,IF(K99="FIDSON",PR!$T97,IF(K99="FCGLOBAL",PR!$U97,IF(K99="GENEITH",PR!$V97,IF(K99="GINOS",PR!$W97,IF(K99="GSK",PR!$X97,IF(K99="GLOBORG",PR!$Y97,IF(K99="GOODNEWS",PR!$Z97,IF(K99="GREENLIFE",PR!$AA97,IF(K99="HLINE",PR!$AB97,IF(K99="ROTECH",PR!$AC97,IF(K99="ISN",PR!$AD97,IF(K99="JAWA",PR!$AE97,IF(K99="LAYO",PR!$AF97,IF(K99="LEADWAY",PR!$AG97,IF(K99="LHV",PR!$AH97,IF(K99="MANOLA",PR!$AI97,IF(K99="MARCSON",PR!$AJ97,IF(K99="M&amp;B",PR!$AK97,IF(K99="MTRUST",PR!$AL97,IF(K99="MWORLD",PR!$AM97,IF(K99="MEGA",PR!$AN97,IF(K99="MICRONOVA",PR!$AO97,IF(K99="MFLASH",PR!$AP97,IF(K99="MORISON",PR!$AQ97,IF(K99="NEMEL",PR!$AR97,IF(K99="NHP",PR!$AS97,IF(K99="NHC",PR!$AT97,IF(K99="OLEAF",PR!$AU97,IF(K99="OCULUS",PR!$AV97,IF(K99="PACIFIC",PR!$AW97,IF(K99="PHAMATEX",PR!$AX97,IF(K99="PETHICS",PR!$AY97,IF(K99="PHILIPS",PR!$AZ97,IF(K99="RANBAXY",PR!$BA97,IF(K99="REALS",PR!$BB97,IF(K99="ROYAL",PR!$BC97,IF(K99="SAM",PR!$BD97,IF(K99="SEAGREEN",PR!$BE97,IF(K99="SKG",PR!$BF97,IF(K99="TAH",PR!$BG97,IF(K99="TAYLEK",PR!$BH97,IF(K99="TEMITA",PR!$BI97,IF(K99="THL",PR!$BJ97,IF(K99="UBASTIC",PR!$BK97,IF(K99="UNION",PR!$BL97,IF(K99="UNIQUE",PR!$BM97,IF(K99="VIXA",PR!$BN97,IF(K99="WWCV",PR!$BO97,IF(K99="ZOLON",PR!$BP97,"-")))))))))))))))))))))))))))))))))))))))))))))))))))))))))))))))))</f>
        <v>12000</v>
      </c>
    </row>
    <row r="100" spans="1:12" ht="18.75" x14ac:dyDescent="0.3">
      <c r="A100" s="430">
        <f>PR!A98</f>
        <v>82</v>
      </c>
      <c r="B100" s="15" t="str">
        <f>PR!B98</f>
        <v>METOLAZONE 5MG TAB</v>
      </c>
      <c r="C100" s="113">
        <f>PR!D98</f>
        <v>100</v>
      </c>
      <c r="D100" s="113">
        <f>PR!C98</f>
        <v>10</v>
      </c>
      <c r="E100" s="108">
        <f>IF(F100="ALPHA",PR!$E98,IF(F100="ASSENE",PR!$F98,IF(F100="BIOFEM",PR!$G98,IF(F100="BIOMED",PR!$H98,IF(F100="CHI",PR!$I98,IF(F100="CLARION",PR!$J98,IF(F100="CODIX",PR!$K98,IF(F100="COSMADE",PR!$L98,IF(F100="SANCON",PR!$M98,IF(F100="DEVON",PR!$N98,IF(F100="DORTEMAG",PR!$O98,IF(F100="DGF",PR!$P98,IF(F100="DYNAMIC",PR!$Q98,IF(F100="EMZOR",PR!$R98,IF(F100="EUMATT",PR!$S98,IF(F100="FIDSON",PR!$T98,IF(F100="FCGLOBAL",PR!$U98,IF(F100="GENEITH",PR!$V98,IF(F100="GINOS",PR!$W98,IF(F100="GSK",PR!$X98,IF(F100="GLOBORG",PR!$Y98,IF(F100="GOODNEWS",PR!$Z98,IF(F100="GREENLIFE",PR!$AA98,IF(F100="HLINE",PR!$AB98,IF(F100="ROTECH",PR!$AC98,IF(F100="ISN",PR!$AD98,IF(F100="JAWA",PR!$AE98,IF(F100="LAYO",PR!$AF98,IF(F100="LEADWAY",PR!$AG98,IF(F100="LHV",PR!$AH98,IF(F100="MANOLA",PR!$AI98,IF(F100="MARCSON",PR!$AJ98,IF(F100="M&amp;B",PR!$AK98,IF(F100="MTRUST",PR!$AL98,IF(F100="MWORLD",PR!$AM98,IF(F100="MEGA",PR!$AN98,IF(F100="MICRONOVA",PR!$AO98,IF(F100="MFLASH",PR!$AP98,IF(F100="MORISON",PR!$AQ98,IF(F100="NEMEL",PR!$AR98,IF(F100="NHP",PR!$AS98,IF(F100="NHC",PR!$AT98,IF(F100="OLEAF",PR!$AU98,IF(F100="OCULUS",PR!$AV98,IF(F100="PACIFIC",PR!$AW98,IF(F100="PHAMATEX",PR!$AX98,IF(F100="PETHICS",PR!$AY98,IF(F100="PHILIPS",PR!$AZ98,IF(F100="RANBAXY",PR!$BA98,IF(F100="REALS",PR!$BB98,IF(F100="ROYAL",PR!$BC98,IF(F100="SAM",PR!$BD98,IF(F100="SEAGREEN",PR!$BE98,IF(F100="SKG",PR!$BF98,IF(F100="TAH",PR!$BG98,IF(F100="TAYLEK",PR!$BH98,IF(F100="TEMITA",PR!$BI98,IF(F100="THL",PR!$BJ98,IF(F100="UBASTIC",PR!$BK98,IF(F100="UNION",PR!$BL98,IF(F100="UNIQUE",PR!$BM98,IF(F100="VIXA",PR!$BN98,IF(F100="WWCV",PR!$BO98,IF(F100="ZOLON",PR!$BP98,"-"))))))))))))))))))))))))))))))))))))))))))))))))))))))))))))))))</f>
        <v>15000</v>
      </c>
      <c r="F100" s="102" t="str">
        <f>EV!L122</f>
        <v>EUMATT</v>
      </c>
      <c r="G100" s="108" t="str">
        <f>IF(H100="ALPHA",PR!$E98,IF(H100="ASSENE",PR!$F98,IF(H100="BIOFEM",PR!$G98,IF(H100="BIOMED",PR!$H98,IF(H100="CHI",PR!$I98,IF(H100="CLARION",PR!$J98,IF(H100="CODIX",PR!$K98,IF(H100="COSMADE",PR!$L98,IF(H100="SANCON",PR!$M98,IF(H100="DEVON",PR!$N98,IF(H100="DORTEMAG",PR!$O98,IF(H100="DGF",PR!$P98,IF(H100="DYNAMIC",PR!$Q98,IF(H100="EMZOR",PR!$R98,IF(H100="EUMATT",PR!$S98,IF(H100="FIDSON",PR!$T98,IF(H100="FCGLOBAL",PR!$U98,IF(H100="GENEITH",PR!$V98,IF(H100="GINOS",PR!$W98,IF(H100="GSK",PR!$X98,IF(H100="GLOBORG",PR!$Y98,IF(H100="GOODNEWS",PR!$Z98,IF(H100="GREENLIFE",PR!$AA98,IF(H100="HLINE",PR!$AB98,IF(H100="ROTECH",PR!$AC98,IF(H100="ISN",PR!$AD98,IF(H100="JAWA",PR!$AE98,IF(H100="LAYO",PR!$AF98,IF(H100="LEADWAY",PR!$AG98,IF(H100="LHV",PR!$AH98,IF(H100="MANOLA",PR!$AI98,IF(H100="MARCSON",PR!$AJ98,IF(H100="M&amp;B",PR!$AK98,IF(H100="MTRUST",PR!$AL98,IF(H100="MWORLD",PR!$AM98,IF(H100="MEGA",PR!$AN98,IF(H100="MICRONOVA",PR!$AO98,IF(H100="MFLASH",PR!$AP98,IF(H100="MORISON",PR!$AQ98,IF(H100="NEMEL",PR!$AR98,IF(H100="NHP",PR!$AS98,IF(H100="NHC",PR!$AT98,IF(H100="OLEAF",PR!$AU98,IF(H100="OCULUS",PR!$AV98,IF(H100="PACIFIC",PR!$AW98,IF(H100="PHAMATEX",PR!$AX98,IF(H100="PETHICS",PR!$AY98,IF(H100="PHILIPS",PR!$AZ98,IF(H100="RANBAXY",PR!$BA98,IF(H100="REALS",PR!$BB98,IF(H100="ROYAL",PR!$BC98,IF(H100="SAM",PR!$BD98,IF(H100="SEAGREEN",PR!$BE98,IF(H100="SKG",PR!$BF98,IF(H100="TAH",PR!$BG98,IF(H100="TAYLEK",PR!$BH98,IF(H100="TEMITA",PR!$BI98,IF(H100="THL",PR!$BJ98,IF(H100="UBASTIC",PR!$BK98,IF(H100="UNION",PR!$BL98,IF(H100="UNIQUE",PR!$BM98,IF(H100="VIXA",PR!$BN98,IF(H100="WWCV",PR!$BO98,IF(H100="ZOLON",PR!$BP98,"-"))))))))))))))))))))))))))))))))))))))))))))))))))))))))))))))))</f>
        <v>-</v>
      </c>
      <c r="H100" s="102">
        <f>EV!M122</f>
        <v>0</v>
      </c>
      <c r="I100" s="108" t="str">
        <f>IF(J100="ALPHA",PR!$E98,IF(J100="ASSENE",PR!$F98,IF(J100="BIOFEM",PR!$G98,IF(J100="BIOMED",PR!$H98,IF(J100="CHI",PR!$I98,IF(J100="CLARION",PR!$J98,IF(J100="CODIX",PR!$K98,IF(J100="COSMADE",PR!$L98,IF(J100="SANCON",PR!$M98,IF(J100="DEVON",PR!$N98,IF(J100="DORTEMAG",PR!$O98,IF(J100="DGF",PR!$P98,IF(J100="DYNAMIC",PR!$Q98,IF(J100="EMZOR",PR!$R98,IF(J100="EUMATT",PR!$S98,IF(J100="FIDSON",PR!$T98,IF(J100="FCGLOBAL",PR!$U98,IF(J100="GENEITH",PR!$V98,IF(J100="GINOS",PR!$W98,IF(J100="GSK",PR!$X98,IF(J100="GLOBORG",PR!$Y98,IF(J100="GOODNEWS",PR!$Z98,IF(J100="GREENLIFE",PR!$AA98,IF(J100="HLINE",PR!$AB98,IF(J100="ROTECH",PR!$AC98,IF(J100="ISN",PR!$AD98,IF(J100="JAWA",PR!$AE98,IF(J100="LAYO",PR!$AF98,IF(J100="LEADWAY",PR!$AG98,IF(J100="LHV",PR!$AH98,IF(J100="MANOLA",PR!$AI98,IF(J100="MARCSON",PR!$AJ98,IF(J100="M&amp;B",PR!$AK98,IF(J100="MTRUST",PR!$AL98,IF(J100="MWORLD",PR!$AM98,IF(J100="MEGA",PR!$AN98,IF(J100="MICRONOVA",PR!$AO98,IF(J100="MFLASH",PR!$AP98,IF(J100="MORISON",PR!$AQ98,IF(J100="NEMEL",PR!$AR98,IF(J100="NHP",PR!$AS98,IF(J100="NHC",PR!$AT98,IF(J100="OLEAF",PR!$AU98,IF(J100="OCULUS",PR!$AV98,IF(J100="PACIFIC",PR!$AW98,IF(J100="PHAMATEX",PR!$AX98,IF(J100="PETHICS",PR!$AY98,IF(J100="PHILIPS",PR!$AZ98,IF(J100="RANBAXY",PR!$BA98,IF(J100="REALS",PR!$BB98,IF(J100="ROYAL",PR!$BC98,IF(J100="SAM",PR!$BD98,IF(J100="SEAGREEN",PR!$BE98,IF(J100="SKG",PR!$BF98,IF(J100="TAH",PR!$BG98,IF(J100="TAYLEK",PR!$BH98,IF(J100="TEMITA",PR!$BI98,IF(J100="THL",PR!$BJ98,IF(J100="UBASTIC",PR!$BK98,IF(J100="UNION",PR!$BL98,IF(J100="UNIQUE",PR!$BM98,IF(J100="VIXA",PR!$BN98,IF(J100="WWCV",PR!$BO98,IF(J100="ZOLON",PR!$BP98,"-"))))))))))))))))))))))))))))))))))))))))))))))))))))))))))))))))</f>
        <v>-</v>
      </c>
      <c r="J100" s="102">
        <f>EV!N122</f>
        <v>0</v>
      </c>
      <c r="K100" s="433" t="s">
        <v>821</v>
      </c>
      <c r="L100" s="183">
        <f>IF(K100&gt;0,IF(K100="ALPHA",PR!$E98,IF(K100="ASSENE",PR!$F98,IF(K100="BIOFEM",PR!$G98,IF(K100="BIOMED",PR!$H98,IF(K100="CHI",PR!$I98,IF(K100="CLARION",PR!$J98,IF(K100="CODIX",PR!$K98,IF(K100="COSMADE",PR!$L98,IF(K100="SANCON",PR!$M98,IF(K100="DEVON",PR!$N98,IF(K100="DORTEMAG",PR!$O98,IF(K100="DGF",PR!$P98,IF(K100="DYNAMIC",PR!$Q98,IF(K100="EMZOR",PR!$R98,IF(K100="EUMATT",PR!$S98,IF(K100="FIDSON",PR!$T98,IF(K100="FCGLOBAL",PR!$U98,IF(K100="GENEITH",PR!$V98,IF(K100="GINOS",PR!$W98,IF(K100="GSK",PR!$X98,IF(K100="GLOBORG",PR!$Y98,IF(K100="GOODNEWS",PR!$Z98,IF(K100="GREENLIFE",PR!$AA98,IF(K100="HLINE",PR!$AB98,IF(K100="ROTECH",PR!$AC98,IF(K100="ISN",PR!$AD98,IF(K100="JAWA",PR!$AE98,IF(K100="LAYO",PR!$AF98,IF(K100="LEADWAY",PR!$AG98,IF(K100="LHV",PR!$AH98,IF(K100="MANOLA",PR!$AI98,IF(K100="MARCSON",PR!$AJ98,IF(K100="M&amp;B",PR!$AK98,IF(K100="MTRUST",PR!$AL98,IF(K100="MWORLD",PR!$AM98,IF(K100="MEGA",PR!$AN98,IF(K100="MICRONOVA",PR!$AO98,IF(K100="MFLASH",PR!$AP98,IF(K100="MORISON",PR!$AQ98,IF(K100="NEMEL",PR!$AR98,IF(K100="NHP",PR!$AS98,IF(K100="NHC",PR!$AT98,IF(K100="OLEAF",PR!$AU98,IF(K100="OCULUS",PR!$AV98,IF(K100="PACIFIC",PR!$AW98,IF(K100="PHAMATEX",PR!$AX98,IF(K100="PETHICS",PR!$AY98,IF(K100="PHILIPS",PR!$AZ98,IF(K100="RANBAXY",PR!$BA98,IF(K100="REALS",PR!$BB98,IF(K100="ROYAL",PR!$BC98,IF(K100="SAM",PR!$BD98,IF(K100="SEAGREEN",PR!$BE98,IF(K100="SKG",PR!$BF98,IF(K100="TAH",PR!$BG98,IF(K100="TAYLEK",PR!$BH98,IF(K100="TEMITA",PR!$BI98,IF(K100="THL",PR!$BJ98,IF(K100="UBASTIC",PR!$BK98,IF(K100="UNION",PR!$BL98,IF(K100="UNIQUE",PR!$BM98,IF(K100="VIXA",PR!$BN98,IF(K100="WWCV",PR!$BO98,IF(K100="ZOLON",PR!$BP98,"-")))))))))))))))))))))))))))))))))))))))))))))))))))))))))))))))))</f>
        <v>15000</v>
      </c>
    </row>
    <row r="101" spans="1:12" ht="18.75" x14ac:dyDescent="0.3">
      <c r="A101" s="430">
        <f>PR!A99</f>
        <v>83</v>
      </c>
      <c r="B101" s="15" t="str">
        <f>PR!B99</f>
        <v>METOPROLOL SUCCINATE 25MG TAB</v>
      </c>
      <c r="C101" s="113">
        <f>PR!D99</f>
        <v>30</v>
      </c>
      <c r="D101" s="113">
        <f>PR!C99</f>
        <v>80</v>
      </c>
      <c r="E101" s="108">
        <f>IF(F101="ALPHA",PR!$E99,IF(F101="ASSENE",PR!$F99,IF(F101="BIOFEM",PR!$G99,IF(F101="BIOMED",PR!$H99,IF(F101="CHI",PR!$I99,IF(F101="CLARION",PR!$J99,IF(F101="CODIX",PR!$K99,IF(F101="COSMADE",PR!$L99,IF(F101="SANCON",PR!$M99,IF(F101="DEVON",PR!$N99,IF(F101="DORTEMAG",PR!$O99,IF(F101="DGF",PR!$P99,IF(F101="DYNAMIC",PR!$Q99,IF(F101="EMZOR",PR!$R99,IF(F101="EUMATT",PR!$S99,IF(F101="FIDSON",PR!$T99,IF(F101="FCGLOBAL",PR!$U99,IF(F101="GENEITH",PR!$V99,IF(F101="GINOS",PR!$W99,IF(F101="GSK",PR!$X99,IF(F101="GLOBORG",PR!$Y99,IF(F101="GOODNEWS",PR!$Z99,IF(F101="GREENLIFE",PR!$AA99,IF(F101="HLINE",PR!$AB99,IF(F101="ROTECH",PR!$AC99,IF(F101="ISN",PR!$AD99,IF(F101="JAWA",PR!$AE99,IF(F101="LAYO",PR!$AF99,IF(F101="LEADWAY",PR!$AG99,IF(F101="LHV",PR!$AH99,IF(F101="MANOLA",PR!$AI99,IF(F101="MARCSON",PR!$AJ99,IF(F101="M&amp;B",PR!$AK99,IF(F101="MTRUST",PR!$AL99,IF(F101="MWORLD",PR!$AM99,IF(F101="MEGA",PR!$AN99,IF(F101="MICRONOVA",PR!$AO99,IF(F101="MFLASH",PR!$AP99,IF(F101="MORISON",PR!$AQ99,IF(F101="NEMEL",PR!$AR99,IF(F101="NHP",PR!$AS99,IF(F101="NHC",PR!$AT99,IF(F101="OLEAF",PR!$AU99,IF(F101="OCULUS",PR!$AV99,IF(F101="PACIFIC",PR!$AW99,IF(F101="PHAMATEX",PR!$AX99,IF(F101="PETHICS",PR!$AY99,IF(F101="PHILIPS",PR!$AZ99,IF(F101="RANBAXY",PR!$BA99,IF(F101="REALS",PR!$BB99,IF(F101="ROYAL",PR!$BC99,IF(F101="SAM",PR!$BD99,IF(F101="SEAGREEN",PR!$BE99,IF(F101="SKG",PR!$BF99,IF(F101="TAH",PR!$BG99,IF(F101="TAYLEK",PR!$BH99,IF(F101="TEMITA",PR!$BI99,IF(F101="THL",PR!$BJ99,IF(F101="UBASTIC",PR!$BK99,IF(F101="UNION",PR!$BL99,IF(F101="UNIQUE",PR!$BM99,IF(F101="VIXA",PR!$BN99,IF(F101="WWCV",PR!$BO99,IF(F101="ZOLON",PR!$BP99,"-"))))))))))))))))))))))))))))))))))))))))))))))))))))))))))))))))</f>
        <v>671</v>
      </c>
      <c r="F101" s="102" t="str">
        <f>EV!L123</f>
        <v>MICRONOVA</v>
      </c>
      <c r="G101" s="108">
        <f>IF(H101="ALPHA",PR!$E99,IF(H101="ASSENE",PR!$F99,IF(H101="BIOFEM",PR!$G99,IF(H101="BIOMED",PR!$H99,IF(H101="CHI",PR!$I99,IF(H101="CLARION",PR!$J99,IF(H101="CODIX",PR!$K99,IF(H101="COSMADE",PR!$L99,IF(H101="SANCON",PR!$M99,IF(H101="DEVON",PR!$N99,IF(H101="DORTEMAG",PR!$O99,IF(H101="DGF",PR!$P99,IF(H101="DYNAMIC",PR!$Q99,IF(H101="EMZOR",PR!$R99,IF(H101="EUMATT",PR!$S99,IF(H101="FIDSON",PR!$T99,IF(H101="FCGLOBAL",PR!$U99,IF(H101="GENEITH",PR!$V99,IF(H101="GINOS",PR!$W99,IF(H101="GSK",PR!$X99,IF(H101="GLOBORG",PR!$Y99,IF(H101="GOODNEWS",PR!$Z99,IF(H101="GREENLIFE",PR!$AA99,IF(H101="HLINE",PR!$AB99,IF(H101="ROTECH",PR!$AC99,IF(H101="ISN",PR!$AD99,IF(H101="JAWA",PR!$AE99,IF(H101="LAYO",PR!$AF99,IF(H101="LEADWAY",PR!$AG99,IF(H101="LHV",PR!$AH99,IF(H101="MANOLA",PR!$AI99,IF(H101="MARCSON",PR!$AJ99,IF(H101="M&amp;B",PR!$AK99,IF(H101="MTRUST",PR!$AL99,IF(H101="MWORLD",PR!$AM99,IF(H101="MEGA",PR!$AN99,IF(H101="MICRONOVA",PR!$AO99,IF(H101="MFLASH",PR!$AP99,IF(H101="MORISON",PR!$AQ99,IF(H101="NEMEL",PR!$AR99,IF(H101="NHP",PR!$AS99,IF(H101="NHC",PR!$AT99,IF(H101="OLEAF",PR!$AU99,IF(H101="OCULUS",PR!$AV99,IF(H101="PACIFIC",PR!$AW99,IF(H101="PHAMATEX",PR!$AX99,IF(H101="PETHICS",PR!$AY99,IF(H101="PHILIPS",PR!$AZ99,IF(H101="RANBAXY",PR!$BA99,IF(H101="REALS",PR!$BB99,IF(H101="ROYAL",PR!$BC99,IF(H101="SAM",PR!$BD99,IF(H101="SEAGREEN",PR!$BE99,IF(H101="SKG",PR!$BF99,IF(H101="TAH",PR!$BG99,IF(H101="TAYLEK",PR!$BH99,IF(H101="TEMITA",PR!$BI99,IF(H101="THL",PR!$BJ99,IF(H101="UBASTIC",PR!$BK99,IF(H101="UNION",PR!$BL99,IF(H101="UNIQUE",PR!$BM99,IF(H101="VIXA",PR!$BN99,IF(H101="WWCV",PR!$BO99,IF(H101="ZOLON",PR!$BP99,"-"))))))))))))))))))))))))))))))))))))))))))))))))))))))))))))))))</f>
        <v>1350</v>
      </c>
      <c r="H101" s="102" t="str">
        <f>EV!M123</f>
        <v>EUMATT</v>
      </c>
      <c r="I101" s="108" t="str">
        <f>IF(J101="ALPHA",PR!$E99,IF(J101="ASSENE",PR!$F99,IF(J101="BIOFEM",PR!$G99,IF(J101="BIOMED",PR!$H99,IF(J101="CHI",PR!$I99,IF(J101="CLARION",PR!$J99,IF(J101="CODIX",PR!$K99,IF(J101="COSMADE",PR!$L99,IF(J101="SANCON",PR!$M99,IF(J101="DEVON",PR!$N99,IF(J101="DORTEMAG",PR!$O99,IF(J101="DGF",PR!$P99,IF(J101="DYNAMIC",PR!$Q99,IF(J101="EMZOR",PR!$R99,IF(J101="EUMATT",PR!$S99,IF(J101="FIDSON",PR!$T99,IF(J101="FCGLOBAL",PR!$U99,IF(J101="GENEITH",PR!$V99,IF(J101="GINOS",PR!$W99,IF(J101="GSK",PR!$X99,IF(J101="GLOBORG",PR!$Y99,IF(J101="GOODNEWS",PR!$Z99,IF(J101="GREENLIFE",PR!$AA99,IF(J101="HLINE",PR!$AB99,IF(J101="ROTECH",PR!$AC99,IF(J101="ISN",PR!$AD99,IF(J101="JAWA",PR!$AE99,IF(J101="LAYO",PR!$AF99,IF(J101="LEADWAY",PR!$AG99,IF(J101="LHV",PR!$AH99,IF(J101="MANOLA",PR!$AI99,IF(J101="MARCSON",PR!$AJ99,IF(J101="M&amp;B",PR!$AK99,IF(J101="MTRUST",PR!$AL99,IF(J101="MWORLD",PR!$AM99,IF(J101="MEGA",PR!$AN99,IF(J101="MICRONOVA",PR!$AO99,IF(J101="MFLASH",PR!$AP99,IF(J101="MORISON",PR!$AQ99,IF(J101="NEMEL",PR!$AR99,IF(J101="NHP",PR!$AS99,IF(J101="NHC",PR!$AT99,IF(J101="OLEAF",PR!$AU99,IF(J101="OCULUS",PR!$AV99,IF(J101="PACIFIC",PR!$AW99,IF(J101="PHAMATEX",PR!$AX99,IF(J101="PETHICS",PR!$AY99,IF(J101="PHILIPS",PR!$AZ99,IF(J101="RANBAXY",PR!$BA99,IF(J101="REALS",PR!$BB99,IF(J101="ROYAL",PR!$BC99,IF(J101="SAM",PR!$BD99,IF(J101="SEAGREEN",PR!$BE99,IF(J101="SKG",PR!$BF99,IF(J101="TAH",PR!$BG99,IF(J101="TAYLEK",PR!$BH99,IF(J101="TEMITA",PR!$BI99,IF(J101="THL",PR!$BJ99,IF(J101="UBASTIC",PR!$BK99,IF(J101="UNION",PR!$BL99,IF(J101="UNIQUE",PR!$BM99,IF(J101="VIXA",PR!$BN99,IF(J101="WWCV",PR!$BO99,IF(J101="ZOLON",PR!$BP99,"-"))))))))))))))))))))))))))))))))))))))))))))))))))))))))))))))))</f>
        <v>-</v>
      </c>
      <c r="J101" s="102">
        <f>EV!N123</f>
        <v>0</v>
      </c>
      <c r="K101" s="433" t="s">
        <v>632</v>
      </c>
      <c r="L101" s="183">
        <f>IF(K101&gt;0,IF(K101="ALPHA",PR!$E99,IF(K101="ASSENE",PR!$F99,IF(K101="BIOFEM",PR!$G99,IF(K101="BIOMED",PR!$H99,IF(K101="CHI",PR!$I99,IF(K101="CLARION",PR!$J99,IF(K101="CODIX",PR!$K99,IF(K101="COSMADE",PR!$L99,IF(K101="SANCON",PR!$M99,IF(K101="DEVON",PR!$N99,IF(K101="DORTEMAG",PR!$O99,IF(K101="DGF",PR!$P99,IF(K101="DYNAMIC",PR!$Q99,IF(K101="EMZOR",PR!$R99,IF(K101="EUMATT",PR!$S99,IF(K101="FIDSON",PR!$T99,IF(K101="FCGLOBAL",PR!$U99,IF(K101="GENEITH",PR!$V99,IF(K101="GINOS",PR!$W99,IF(K101="GSK",PR!$X99,IF(K101="GLOBORG",PR!$Y99,IF(K101="GOODNEWS",PR!$Z99,IF(K101="GREENLIFE",PR!$AA99,IF(K101="HLINE",PR!$AB99,IF(K101="ROTECH",PR!$AC99,IF(K101="ISN",PR!$AD99,IF(K101="JAWA",PR!$AE99,IF(K101="LAYO",PR!$AF99,IF(K101="LEADWAY",PR!$AG99,IF(K101="LHV",PR!$AH99,IF(K101="MANOLA",PR!$AI99,IF(K101="MARCSON",PR!$AJ99,IF(K101="M&amp;B",PR!$AK99,IF(K101="MTRUST",PR!$AL99,IF(K101="MWORLD",PR!$AM99,IF(K101="MEGA",PR!$AN99,IF(K101="MICRONOVA",PR!$AO99,IF(K101="MFLASH",PR!$AP99,IF(K101="MORISON",PR!$AQ99,IF(K101="NEMEL",PR!$AR99,IF(K101="NHP",PR!$AS99,IF(K101="NHC",PR!$AT99,IF(K101="OLEAF",PR!$AU99,IF(K101="OCULUS",PR!$AV99,IF(K101="PACIFIC",PR!$AW99,IF(K101="PHAMATEX",PR!$AX99,IF(K101="PETHICS",PR!$AY99,IF(K101="PHILIPS",PR!$AZ99,IF(K101="RANBAXY",PR!$BA99,IF(K101="REALS",PR!$BB99,IF(K101="ROYAL",PR!$BC99,IF(K101="SAM",PR!$BD99,IF(K101="SEAGREEN",PR!$BE99,IF(K101="SKG",PR!$BF99,IF(K101="TAH",PR!$BG99,IF(K101="TAYLEK",PR!$BH99,IF(K101="TEMITA",PR!$BI99,IF(K101="THL",PR!$BJ99,IF(K101="UBASTIC",PR!$BK99,IF(K101="UNION",PR!$BL99,IF(K101="UNIQUE",PR!$BM99,IF(K101="VIXA",PR!$BN99,IF(K101="WWCV",PR!$BO99,IF(K101="ZOLON",PR!$BP99,"-")))))))))))))))))))))))))))))))))))))))))))))))))))))))))))))))))</f>
        <v>671</v>
      </c>
    </row>
    <row r="102" spans="1:12" ht="18.75" x14ac:dyDescent="0.3">
      <c r="A102" s="430">
        <f>PR!A100</f>
        <v>84</v>
      </c>
      <c r="B102" s="15" t="str">
        <f>PR!B100</f>
        <v>METOPROLOL SUCCINATE 50MG TAB</v>
      </c>
      <c r="C102" s="113">
        <f>PR!D100</f>
        <v>30</v>
      </c>
      <c r="D102" s="113">
        <f>PR!C100</f>
        <v>80</v>
      </c>
      <c r="E102" s="108">
        <f>IF(F102="ALPHA",PR!$E100,IF(F102="ASSENE",PR!$F100,IF(F102="BIOFEM",PR!$G100,IF(F102="BIOMED",PR!$H100,IF(F102="CHI",PR!$I100,IF(F102="CLARION",PR!$J100,IF(F102="CODIX",PR!$K100,IF(F102="COSMADE",PR!$L100,IF(F102="SANCON",PR!$M100,IF(F102="DEVON",PR!$N100,IF(F102="DORTEMAG",PR!$O100,IF(F102="DGF",PR!$P100,IF(F102="DYNAMIC",PR!$Q100,IF(F102="EMZOR",PR!$R100,IF(F102="EUMATT",PR!$S100,IF(F102="FIDSON",PR!$T100,IF(F102="FCGLOBAL",PR!$U100,IF(F102="GENEITH",PR!$V100,IF(F102="GINOS",PR!$W100,IF(F102="GSK",PR!$X100,IF(F102="GLOBORG",PR!$Y100,IF(F102="GOODNEWS",PR!$Z100,IF(F102="GREENLIFE",PR!$AA100,IF(F102="HLINE",PR!$AB100,IF(F102="ROTECH",PR!$AC100,IF(F102="ISN",PR!$AD100,IF(F102="JAWA",PR!$AE100,IF(F102="LAYO",PR!$AF100,IF(F102="LEADWAY",PR!$AG100,IF(F102="LHV",PR!$AH100,IF(F102="MANOLA",PR!$AI100,IF(F102="MARCSON",PR!$AJ100,IF(F102="M&amp;B",PR!$AK100,IF(F102="MTRUST",PR!$AL100,IF(F102="MWORLD",PR!$AM100,IF(F102="MEGA",PR!$AN100,IF(F102="MICRONOVA",PR!$AO100,IF(F102="MFLASH",PR!$AP100,IF(F102="MORISON",PR!$AQ100,IF(F102="NEMEL",PR!$AR100,IF(F102="NHP",PR!$AS100,IF(F102="NHC",PR!$AT100,IF(F102="OLEAF",PR!$AU100,IF(F102="OCULUS",PR!$AV100,IF(F102="PACIFIC",PR!$AW100,IF(F102="PHAMATEX",PR!$AX100,IF(F102="PETHICS",PR!$AY100,IF(F102="PHILIPS",PR!$AZ100,IF(F102="RANBAXY",PR!$BA100,IF(F102="REALS",PR!$BB100,IF(F102="ROYAL",PR!$BC100,IF(F102="SAM",PR!$BD100,IF(F102="SEAGREEN",PR!$BE100,IF(F102="SKG",PR!$BF100,IF(F102="TAH",PR!$BG100,IF(F102="TAYLEK",PR!$BH100,IF(F102="TEMITA",PR!$BI100,IF(F102="THL",PR!$BJ100,IF(F102="UBASTIC",PR!$BK100,IF(F102="UNION",PR!$BL100,IF(F102="UNIQUE",PR!$BM100,IF(F102="VIXA",PR!$BN100,IF(F102="WWCV",PR!$BO100,IF(F102="ZOLON",PR!$BP100,"-"))))))))))))))))))))))))))))))))))))))))))))))))))))))))))))))))</f>
        <v>849</v>
      </c>
      <c r="F102" s="102" t="str">
        <f>EV!L124</f>
        <v>MICRONOVA</v>
      </c>
      <c r="G102" s="108">
        <f>IF(H102="ALPHA",PR!$E100,IF(H102="ASSENE",PR!$F100,IF(H102="BIOFEM",PR!$G100,IF(H102="BIOMED",PR!$H100,IF(H102="CHI",PR!$I100,IF(H102="CLARION",PR!$J100,IF(H102="CODIX",PR!$K100,IF(H102="COSMADE",PR!$L100,IF(H102="SANCON",PR!$M100,IF(H102="DEVON",PR!$N100,IF(H102="DORTEMAG",PR!$O100,IF(H102="DGF",PR!$P100,IF(H102="DYNAMIC",PR!$Q100,IF(H102="EMZOR",PR!$R100,IF(H102="EUMATT",PR!$S100,IF(H102="FIDSON",PR!$T100,IF(H102="FCGLOBAL",PR!$U100,IF(H102="GENEITH",PR!$V100,IF(H102="GINOS",PR!$W100,IF(H102="GSK",PR!$X100,IF(H102="GLOBORG",PR!$Y100,IF(H102="GOODNEWS",PR!$Z100,IF(H102="GREENLIFE",PR!$AA100,IF(H102="HLINE",PR!$AB100,IF(H102="ROTECH",PR!$AC100,IF(H102="ISN",PR!$AD100,IF(H102="JAWA",PR!$AE100,IF(H102="LAYO",PR!$AF100,IF(H102="LEADWAY",PR!$AG100,IF(H102="LHV",PR!$AH100,IF(H102="MANOLA",PR!$AI100,IF(H102="MARCSON",PR!$AJ100,IF(H102="M&amp;B",PR!$AK100,IF(H102="MTRUST",PR!$AL100,IF(H102="MWORLD",PR!$AM100,IF(H102="MEGA",PR!$AN100,IF(H102="MICRONOVA",PR!$AO100,IF(H102="MFLASH",PR!$AP100,IF(H102="MORISON",PR!$AQ100,IF(H102="NEMEL",PR!$AR100,IF(H102="NHP",PR!$AS100,IF(H102="NHC",PR!$AT100,IF(H102="OLEAF",PR!$AU100,IF(H102="OCULUS",PR!$AV100,IF(H102="PACIFIC",PR!$AW100,IF(H102="PHAMATEX",PR!$AX100,IF(H102="PETHICS",PR!$AY100,IF(H102="PHILIPS",PR!$AZ100,IF(H102="RANBAXY",PR!$BA100,IF(H102="REALS",PR!$BB100,IF(H102="ROYAL",PR!$BC100,IF(H102="SAM",PR!$BD100,IF(H102="SEAGREEN",PR!$BE100,IF(H102="SKG",PR!$BF100,IF(H102="TAH",PR!$BG100,IF(H102="TAYLEK",PR!$BH100,IF(H102="TEMITA",PR!$BI100,IF(H102="THL",PR!$BJ100,IF(H102="UBASTIC",PR!$BK100,IF(H102="UNION",PR!$BL100,IF(H102="UNIQUE",PR!$BM100,IF(H102="VIXA",PR!$BN100,IF(H102="WWCV",PR!$BO100,IF(H102="ZOLON",PR!$BP100,"-"))))))))))))))))))))))))))))))))))))))))))))))))))))))))))))))))</f>
        <v>1750</v>
      </c>
      <c r="H102" s="102" t="str">
        <f>EV!M124</f>
        <v>EUMATT</v>
      </c>
      <c r="I102" s="108" t="str">
        <f>IF(J102="ALPHA",PR!$E100,IF(J102="ASSENE",PR!$F100,IF(J102="BIOFEM",PR!$G100,IF(J102="BIOMED",PR!$H100,IF(J102="CHI",PR!$I100,IF(J102="CLARION",PR!$J100,IF(J102="CODIX",PR!$K100,IF(J102="COSMADE",PR!$L100,IF(J102="SANCON",PR!$M100,IF(J102="DEVON",PR!$N100,IF(J102="DORTEMAG",PR!$O100,IF(J102="DGF",PR!$P100,IF(J102="DYNAMIC",PR!$Q100,IF(J102="EMZOR",PR!$R100,IF(J102="EUMATT",PR!$S100,IF(J102="FIDSON",PR!$T100,IF(J102="FCGLOBAL",PR!$U100,IF(J102="GENEITH",PR!$V100,IF(J102="GINOS",PR!$W100,IF(J102="GSK",PR!$X100,IF(J102="GLOBORG",PR!$Y100,IF(J102="GOODNEWS",PR!$Z100,IF(J102="GREENLIFE",PR!$AA100,IF(J102="HLINE",PR!$AB100,IF(J102="ROTECH",PR!$AC100,IF(J102="ISN",PR!$AD100,IF(J102="JAWA",PR!$AE100,IF(J102="LAYO",PR!$AF100,IF(J102="LEADWAY",PR!$AG100,IF(J102="LHV",PR!$AH100,IF(J102="MANOLA",PR!$AI100,IF(J102="MARCSON",PR!$AJ100,IF(J102="M&amp;B",PR!$AK100,IF(J102="MTRUST",PR!$AL100,IF(J102="MWORLD",PR!$AM100,IF(J102="MEGA",PR!$AN100,IF(J102="MICRONOVA",PR!$AO100,IF(J102="MFLASH",PR!$AP100,IF(J102="MORISON",PR!$AQ100,IF(J102="NEMEL",PR!$AR100,IF(J102="NHP",PR!$AS100,IF(J102="NHC",PR!$AT100,IF(J102="OLEAF",PR!$AU100,IF(J102="OCULUS",PR!$AV100,IF(J102="PACIFIC",PR!$AW100,IF(J102="PHAMATEX",PR!$AX100,IF(J102="PETHICS",PR!$AY100,IF(J102="PHILIPS",PR!$AZ100,IF(J102="RANBAXY",PR!$BA100,IF(J102="REALS",PR!$BB100,IF(J102="ROYAL",PR!$BC100,IF(J102="SAM",PR!$BD100,IF(J102="SEAGREEN",PR!$BE100,IF(J102="SKG",PR!$BF100,IF(J102="TAH",PR!$BG100,IF(J102="TAYLEK",PR!$BH100,IF(J102="TEMITA",PR!$BI100,IF(J102="THL",PR!$BJ100,IF(J102="UBASTIC",PR!$BK100,IF(J102="UNION",PR!$BL100,IF(J102="UNIQUE",PR!$BM100,IF(J102="VIXA",PR!$BN100,IF(J102="WWCV",PR!$BO100,IF(J102="ZOLON",PR!$BP100,"-"))))))))))))))))))))))))))))))))))))))))))))))))))))))))))))))))</f>
        <v>-</v>
      </c>
      <c r="J102" s="102">
        <f>EV!N124</f>
        <v>0</v>
      </c>
      <c r="K102" s="433" t="s">
        <v>632</v>
      </c>
      <c r="L102" s="183">
        <f>IF(K102&gt;0,IF(K102="ALPHA",PR!$E100,IF(K102="ASSENE",PR!$F100,IF(K102="BIOFEM",PR!$G100,IF(K102="BIOMED",PR!$H100,IF(K102="CHI",PR!$I100,IF(K102="CLARION",PR!$J100,IF(K102="CODIX",PR!$K100,IF(K102="COSMADE",PR!$L100,IF(K102="SANCON",PR!$M100,IF(K102="DEVON",PR!$N100,IF(K102="DORTEMAG",PR!$O100,IF(K102="DGF",PR!$P100,IF(K102="DYNAMIC",PR!$Q100,IF(K102="EMZOR",PR!$R100,IF(K102="EUMATT",PR!$S100,IF(K102="FIDSON",PR!$T100,IF(K102="FCGLOBAL",PR!$U100,IF(K102="GENEITH",PR!$V100,IF(K102="GINOS",PR!$W100,IF(K102="GSK",PR!$X100,IF(K102="GLOBORG",PR!$Y100,IF(K102="GOODNEWS",PR!$Z100,IF(K102="GREENLIFE",PR!$AA100,IF(K102="HLINE",PR!$AB100,IF(K102="ROTECH",PR!$AC100,IF(K102="ISN",PR!$AD100,IF(K102="JAWA",PR!$AE100,IF(K102="LAYO",PR!$AF100,IF(K102="LEADWAY",PR!$AG100,IF(K102="LHV",PR!$AH100,IF(K102="MANOLA",PR!$AI100,IF(K102="MARCSON",PR!$AJ100,IF(K102="M&amp;B",PR!$AK100,IF(K102="MTRUST",PR!$AL100,IF(K102="MWORLD",PR!$AM100,IF(K102="MEGA",PR!$AN100,IF(K102="MICRONOVA",PR!$AO100,IF(K102="MFLASH",PR!$AP100,IF(K102="MORISON",PR!$AQ100,IF(K102="NEMEL",PR!$AR100,IF(K102="NHP",PR!$AS100,IF(K102="NHC",PR!$AT100,IF(K102="OLEAF",PR!$AU100,IF(K102="OCULUS",PR!$AV100,IF(K102="PACIFIC",PR!$AW100,IF(K102="PHAMATEX",PR!$AX100,IF(K102="PETHICS",PR!$AY100,IF(K102="PHILIPS",PR!$AZ100,IF(K102="RANBAXY",PR!$BA100,IF(K102="REALS",PR!$BB100,IF(K102="ROYAL",PR!$BC100,IF(K102="SAM",PR!$BD100,IF(K102="SEAGREEN",PR!$BE100,IF(K102="SKG",PR!$BF100,IF(K102="TAH",PR!$BG100,IF(K102="TAYLEK",PR!$BH100,IF(K102="TEMITA",PR!$BI100,IF(K102="THL",PR!$BJ100,IF(K102="UBASTIC",PR!$BK100,IF(K102="UNION",PR!$BL100,IF(K102="UNIQUE",PR!$BM100,IF(K102="VIXA",PR!$BN100,IF(K102="WWCV",PR!$BO100,IF(K102="ZOLON",PR!$BP100,"-")))))))))))))))))))))))))))))))))))))))))))))))))))))))))))))))))</f>
        <v>849</v>
      </c>
    </row>
    <row r="103" spans="1:12" ht="18.75" x14ac:dyDescent="0.3">
      <c r="A103" s="430">
        <f>PR!A101</f>
        <v>85</v>
      </c>
      <c r="B103" s="15" t="str">
        <f>PR!B101</f>
        <v>NEBIVOLOL 5MG</v>
      </c>
      <c r="C103" s="113">
        <f>PR!D101</f>
        <v>30</v>
      </c>
      <c r="D103" s="113">
        <f>PR!C101</f>
        <v>10</v>
      </c>
      <c r="E103" s="108">
        <f>IF(F103="ALPHA",PR!$E101,IF(F103="ASSENE",PR!$F101,IF(F103="BIOFEM",PR!$G101,IF(F103="BIOMED",PR!$H101,IF(F103="CHI",PR!$I101,IF(F103="CLARION",PR!$J101,IF(F103="CODIX",PR!$K101,IF(F103="COSMADE",PR!$L101,IF(F103="SANCON",PR!$M101,IF(F103="DEVON",PR!$N101,IF(F103="DORTEMAG",PR!$O101,IF(F103="DGF",PR!$P101,IF(F103="DYNAMIC",PR!$Q101,IF(F103="EMZOR",PR!$R101,IF(F103="EUMATT",PR!$S101,IF(F103="FIDSON",PR!$T101,IF(F103="FCGLOBAL",PR!$U101,IF(F103="GENEITH",PR!$V101,IF(F103="GINOS",PR!$W101,IF(F103="GSK",PR!$X101,IF(F103="GLOBORG",PR!$Y101,IF(F103="GOODNEWS",PR!$Z101,IF(F103="GREENLIFE",PR!$AA101,IF(F103="HLINE",PR!$AB101,IF(F103="ROTECH",PR!$AC101,IF(F103="ISN",PR!$AD101,IF(F103="JAWA",PR!$AE101,IF(F103="LAYO",PR!$AF101,IF(F103="LEADWAY",PR!$AG101,IF(F103="LHV",PR!$AH101,IF(F103="MANOLA",PR!$AI101,IF(F103="MARCSON",PR!$AJ101,IF(F103="M&amp;B",PR!$AK101,IF(F103="MTRUST",PR!$AL101,IF(F103="MWORLD",PR!$AM101,IF(F103="MEGA",PR!$AN101,IF(F103="MICRONOVA",PR!$AO101,IF(F103="MFLASH",PR!$AP101,IF(F103="MORISON",PR!$AQ101,IF(F103="NEMEL",PR!$AR101,IF(F103="NHP",PR!$AS101,IF(F103="NHC",PR!$AT101,IF(F103="OLEAF",PR!$AU101,IF(F103="OCULUS",PR!$AV101,IF(F103="PACIFIC",PR!$AW101,IF(F103="PHAMATEX",PR!$AX101,IF(F103="PETHICS",PR!$AY101,IF(F103="PHILIPS",PR!$AZ101,IF(F103="RANBAXY",PR!$BA101,IF(F103="REALS",PR!$BB101,IF(F103="ROYAL",PR!$BC101,IF(F103="SAM",PR!$BD101,IF(F103="SEAGREEN",PR!$BE101,IF(F103="SKG",PR!$BF101,IF(F103="TAH",PR!$BG101,IF(F103="TAYLEK",PR!$BH101,IF(F103="TEMITA",PR!$BI101,IF(F103="THL",PR!$BJ101,IF(F103="UBASTIC",PR!$BK101,IF(F103="UNION",PR!$BL101,IF(F103="UNIQUE",PR!$BM101,IF(F103="VIXA",PR!$BN101,IF(F103="WWCV",PR!$BO101,IF(F103="ZOLON",PR!$BP101,"-"))))))))))))))))))))))))))))))))))))))))))))))))))))))))))))))))</f>
        <v>1895</v>
      </c>
      <c r="F103" s="102" t="str">
        <f>EV!L125</f>
        <v>MICRONOVA</v>
      </c>
      <c r="G103" s="108">
        <f>IF(H103="ALPHA",PR!$E101,IF(H103="ASSENE",PR!$F101,IF(H103="BIOFEM",PR!$G101,IF(H103="BIOMED",PR!$H101,IF(H103="CHI",PR!$I101,IF(H103="CLARION",PR!$J101,IF(H103="CODIX",PR!$K101,IF(H103="COSMADE",PR!$L101,IF(H103="SANCON",PR!$M101,IF(H103="DEVON",PR!$N101,IF(H103="DORTEMAG",PR!$O101,IF(H103="DGF",PR!$P101,IF(H103="DYNAMIC",PR!$Q101,IF(H103="EMZOR",PR!$R101,IF(H103="EUMATT",PR!$S101,IF(H103="FIDSON",PR!$T101,IF(H103="FCGLOBAL",PR!$U101,IF(H103="GENEITH",PR!$V101,IF(H103="GINOS",PR!$W101,IF(H103="GSK",PR!$X101,IF(H103="GLOBORG",PR!$Y101,IF(H103="GOODNEWS",PR!$Z101,IF(H103="GREENLIFE",PR!$AA101,IF(H103="HLINE",PR!$AB101,IF(H103="ROTECH",PR!$AC101,IF(H103="ISN",PR!$AD101,IF(H103="JAWA",PR!$AE101,IF(H103="LAYO",PR!$AF101,IF(H103="LEADWAY",PR!$AG101,IF(H103="LHV",PR!$AH101,IF(H103="MANOLA",PR!$AI101,IF(H103="MARCSON",PR!$AJ101,IF(H103="M&amp;B",PR!$AK101,IF(H103="MTRUST",PR!$AL101,IF(H103="MWORLD",PR!$AM101,IF(H103="MEGA",PR!$AN101,IF(H103="MICRONOVA",PR!$AO101,IF(H103="MFLASH",PR!$AP101,IF(H103="MORISON",PR!$AQ101,IF(H103="NEMEL",PR!$AR101,IF(H103="NHP",PR!$AS101,IF(H103="NHC",PR!$AT101,IF(H103="OLEAF",PR!$AU101,IF(H103="OCULUS",PR!$AV101,IF(H103="PACIFIC",PR!$AW101,IF(H103="PHAMATEX",PR!$AX101,IF(H103="PETHICS",PR!$AY101,IF(H103="PHILIPS",PR!$AZ101,IF(H103="RANBAXY",PR!$BA101,IF(H103="REALS",PR!$BB101,IF(H103="ROYAL",PR!$BC101,IF(H103="SAM",PR!$BD101,IF(H103="SEAGREEN",PR!$BE101,IF(H103="SKG",PR!$BF101,IF(H103="TAH",PR!$BG101,IF(H103="TAYLEK",PR!$BH101,IF(H103="TEMITA",PR!$BI101,IF(H103="THL",PR!$BJ101,IF(H103="UBASTIC",PR!$BK101,IF(H103="UNION",PR!$BL101,IF(H103="UNIQUE",PR!$BM101,IF(H103="VIXA",PR!$BN101,IF(H103="WWCV",PR!$BO101,IF(H103="ZOLON",PR!$BP101,"-"))))))))))))))))))))))))))))))))))))))))))))))))))))))))))))))))</f>
        <v>2200</v>
      </c>
      <c r="H103" s="102" t="str">
        <f>EV!M125</f>
        <v>EUMATT</v>
      </c>
      <c r="I103" s="108" t="str">
        <f>IF(J103="ALPHA",PR!$E101,IF(J103="ASSENE",PR!$F101,IF(J103="BIOFEM",PR!$G101,IF(J103="BIOMED",PR!$H101,IF(J103="CHI",PR!$I101,IF(J103="CLARION",PR!$J101,IF(J103="CODIX",PR!$K101,IF(J103="COSMADE",PR!$L101,IF(J103="SANCON",PR!$M101,IF(J103="DEVON",PR!$N101,IF(J103="DORTEMAG",PR!$O101,IF(J103="DGF",PR!$P101,IF(J103="DYNAMIC",PR!$Q101,IF(J103="EMZOR",PR!$R101,IF(J103="EUMATT",PR!$S101,IF(J103="FIDSON",PR!$T101,IF(J103="FCGLOBAL",PR!$U101,IF(J103="GENEITH",PR!$V101,IF(J103="GINOS",PR!$W101,IF(J103="GSK",PR!$X101,IF(J103="GLOBORG",PR!$Y101,IF(J103="GOODNEWS",PR!$Z101,IF(J103="GREENLIFE",PR!$AA101,IF(J103="HLINE",PR!$AB101,IF(J103="ROTECH",PR!$AC101,IF(J103="ISN",PR!$AD101,IF(J103="JAWA",PR!$AE101,IF(J103="LAYO",PR!$AF101,IF(J103="LEADWAY",PR!$AG101,IF(J103="LHV",PR!$AH101,IF(J103="MANOLA",PR!$AI101,IF(J103="MARCSON",PR!$AJ101,IF(J103="M&amp;B",PR!$AK101,IF(J103="MTRUST",PR!$AL101,IF(J103="MWORLD",PR!$AM101,IF(J103="MEGA",PR!$AN101,IF(J103="MICRONOVA",PR!$AO101,IF(J103="MFLASH",PR!$AP101,IF(J103="MORISON",PR!$AQ101,IF(J103="NEMEL",PR!$AR101,IF(J103="NHP",PR!$AS101,IF(J103="NHC",PR!$AT101,IF(J103="OLEAF",PR!$AU101,IF(J103="OCULUS",PR!$AV101,IF(J103="PACIFIC",PR!$AW101,IF(J103="PHAMATEX",PR!$AX101,IF(J103="PETHICS",PR!$AY101,IF(J103="PHILIPS",PR!$AZ101,IF(J103="RANBAXY",PR!$BA101,IF(J103="REALS",PR!$BB101,IF(J103="ROYAL",PR!$BC101,IF(J103="SAM",PR!$BD101,IF(J103="SEAGREEN",PR!$BE101,IF(J103="SKG",PR!$BF101,IF(J103="TAH",PR!$BG101,IF(J103="TAYLEK",PR!$BH101,IF(J103="TEMITA",PR!$BI101,IF(J103="THL",PR!$BJ101,IF(J103="UBASTIC",PR!$BK101,IF(J103="UNION",PR!$BL101,IF(J103="UNIQUE",PR!$BM101,IF(J103="VIXA",PR!$BN101,IF(J103="WWCV",PR!$BO101,IF(J103="ZOLON",PR!$BP101,"-"))))))))))))))))))))))))))))))))))))))))))))))))))))))))))))))))</f>
        <v>-</v>
      </c>
      <c r="J103" s="102">
        <f>EV!N125</f>
        <v>0</v>
      </c>
      <c r="K103" s="433" t="s">
        <v>632</v>
      </c>
      <c r="L103" s="183">
        <f>IF(K103&gt;0,IF(K103="ALPHA",PR!$E101,IF(K103="ASSENE",PR!$F101,IF(K103="BIOFEM",PR!$G101,IF(K103="BIOMED",PR!$H101,IF(K103="CHI",PR!$I101,IF(K103="CLARION",PR!$J101,IF(K103="CODIX",PR!$K101,IF(K103="COSMADE",PR!$L101,IF(K103="SANCON",PR!$M101,IF(K103="DEVON",PR!$N101,IF(K103="DORTEMAG",PR!$O101,IF(K103="DGF",PR!$P101,IF(K103="DYNAMIC",PR!$Q101,IF(K103="EMZOR",PR!$R101,IF(K103="EUMATT",PR!$S101,IF(K103="FIDSON",PR!$T101,IF(K103="FCGLOBAL",PR!$U101,IF(K103="GENEITH",PR!$V101,IF(K103="GINOS",PR!$W101,IF(K103="GSK",PR!$X101,IF(K103="GLOBORG",PR!$Y101,IF(K103="GOODNEWS",PR!$Z101,IF(K103="GREENLIFE",PR!$AA101,IF(K103="HLINE",PR!$AB101,IF(K103="ROTECH",PR!$AC101,IF(K103="ISN",PR!$AD101,IF(K103="JAWA",PR!$AE101,IF(K103="LAYO",PR!$AF101,IF(K103="LEADWAY",PR!$AG101,IF(K103="LHV",PR!$AH101,IF(K103="MANOLA",PR!$AI101,IF(K103="MARCSON",PR!$AJ101,IF(K103="M&amp;B",PR!$AK101,IF(K103="MTRUST",PR!$AL101,IF(K103="MWORLD",PR!$AM101,IF(K103="MEGA",PR!$AN101,IF(K103="MICRONOVA",PR!$AO101,IF(K103="MFLASH",PR!$AP101,IF(K103="MORISON",PR!$AQ101,IF(K103="NEMEL",PR!$AR101,IF(K103="NHP",PR!$AS101,IF(K103="NHC",PR!$AT101,IF(K103="OLEAF",PR!$AU101,IF(K103="OCULUS",PR!$AV101,IF(K103="PACIFIC",PR!$AW101,IF(K103="PHAMATEX",PR!$AX101,IF(K103="PETHICS",PR!$AY101,IF(K103="PHILIPS",PR!$AZ101,IF(K103="RANBAXY",PR!$BA101,IF(K103="REALS",PR!$BB101,IF(K103="ROYAL",PR!$BC101,IF(K103="SAM",PR!$BD101,IF(K103="SEAGREEN",PR!$BE101,IF(K103="SKG",PR!$BF101,IF(K103="TAH",PR!$BG101,IF(K103="TAYLEK",PR!$BH101,IF(K103="TEMITA",PR!$BI101,IF(K103="THL",PR!$BJ101,IF(K103="UBASTIC",PR!$BK101,IF(K103="UNION",PR!$BL101,IF(K103="UNIQUE",PR!$BM101,IF(K103="VIXA",PR!$BN101,IF(K103="WWCV",PR!$BO101,IF(K103="ZOLON",PR!$BP101,"-")))))))))))))))))))))))))))))))))))))))))))))))))))))))))))))))))</f>
        <v>1895</v>
      </c>
    </row>
    <row r="104" spans="1:12" ht="18.75" x14ac:dyDescent="0.3">
      <c r="A104" s="430">
        <f>PR!A102</f>
        <v>86</v>
      </c>
      <c r="B104" s="15" t="str">
        <f>PR!B102</f>
        <v>NEBIVOLOL 5MG/HYDROCHLOROTHIAZIDE 12.5MG</v>
      </c>
      <c r="C104" s="113">
        <f>PR!D102</f>
        <v>30</v>
      </c>
      <c r="D104" s="113">
        <f>PR!C102</f>
        <v>10</v>
      </c>
      <c r="E104" s="108">
        <f>IF(F104="ALPHA",PR!$E102,IF(F104="ASSENE",PR!$F102,IF(F104="BIOFEM",PR!$G102,IF(F104="BIOMED",PR!$H102,IF(F104="CHI",PR!$I102,IF(F104="CLARION",PR!$J102,IF(F104="CODIX",PR!$K102,IF(F104="COSMADE",PR!$L102,IF(F104="SANCON",PR!$M102,IF(F104="DEVON",PR!$N102,IF(F104="DORTEMAG",PR!$O102,IF(F104="DGF",PR!$P102,IF(F104="DYNAMIC",PR!$Q102,IF(F104="EMZOR",PR!$R102,IF(F104="EUMATT",PR!$S102,IF(F104="FIDSON",PR!$T102,IF(F104="FCGLOBAL",PR!$U102,IF(F104="GENEITH",PR!$V102,IF(F104="GINOS",PR!$W102,IF(F104="GSK",PR!$X102,IF(F104="GLOBORG",PR!$Y102,IF(F104="GOODNEWS",PR!$Z102,IF(F104="GREENLIFE",PR!$AA102,IF(F104="HLINE",PR!$AB102,IF(F104="ROTECH",PR!$AC102,IF(F104="ISN",PR!$AD102,IF(F104="JAWA",PR!$AE102,IF(F104="LAYO",PR!$AF102,IF(F104="LEADWAY",PR!$AG102,IF(F104="LHV",PR!$AH102,IF(F104="MANOLA",PR!$AI102,IF(F104="MARCSON",PR!$AJ102,IF(F104="M&amp;B",PR!$AK102,IF(F104="MTRUST",PR!$AL102,IF(F104="MWORLD",PR!$AM102,IF(F104="MEGA",PR!$AN102,IF(F104="MICRONOVA",PR!$AO102,IF(F104="MFLASH",PR!$AP102,IF(F104="MORISON",PR!$AQ102,IF(F104="NEMEL",PR!$AR102,IF(F104="NHP",PR!$AS102,IF(F104="NHC",PR!$AT102,IF(F104="OLEAF",PR!$AU102,IF(F104="OCULUS",PR!$AV102,IF(F104="PACIFIC",PR!$AW102,IF(F104="PHAMATEX",PR!$AX102,IF(F104="PETHICS",PR!$AY102,IF(F104="PHILIPS",PR!$AZ102,IF(F104="RANBAXY",PR!$BA102,IF(F104="REALS",PR!$BB102,IF(F104="ROYAL",PR!$BC102,IF(F104="SAM",PR!$BD102,IF(F104="SEAGREEN",PR!$BE102,IF(F104="SKG",PR!$BF102,IF(F104="TAH",PR!$BG102,IF(F104="TAYLEK",PR!$BH102,IF(F104="TEMITA",PR!$BI102,IF(F104="THL",PR!$BJ102,IF(F104="UBASTIC",PR!$BK102,IF(F104="UNION",PR!$BL102,IF(F104="UNIQUE",PR!$BM102,IF(F104="VIXA",PR!$BN102,IF(F104="WWCV",PR!$BO102,IF(F104="ZOLON",PR!$BP102,"-"))))))))))))))))))))))))))))))))))))))))))))))))))))))))))))))))</f>
        <v>1990</v>
      </c>
      <c r="F104" s="102" t="str">
        <f>EV!L126</f>
        <v>MICRONOVA</v>
      </c>
      <c r="G104" s="108">
        <f>IF(H104="ALPHA",PR!$E102,IF(H104="ASSENE",PR!$F102,IF(H104="BIOFEM",PR!$G102,IF(H104="BIOMED",PR!$H102,IF(H104="CHI",PR!$I102,IF(H104="CLARION",PR!$J102,IF(H104="CODIX",PR!$K102,IF(H104="COSMADE",PR!$L102,IF(H104="SANCON",PR!$M102,IF(H104="DEVON",PR!$N102,IF(H104="DORTEMAG",PR!$O102,IF(H104="DGF",PR!$P102,IF(H104="DYNAMIC",PR!$Q102,IF(H104="EMZOR",PR!$R102,IF(H104="EUMATT",PR!$S102,IF(H104="FIDSON",PR!$T102,IF(H104="FCGLOBAL",PR!$U102,IF(H104="GENEITH",PR!$V102,IF(H104="GINOS",PR!$W102,IF(H104="GSK",PR!$X102,IF(H104="GLOBORG",PR!$Y102,IF(H104="GOODNEWS",PR!$Z102,IF(H104="GREENLIFE",PR!$AA102,IF(H104="HLINE",PR!$AB102,IF(H104="ROTECH",PR!$AC102,IF(H104="ISN",PR!$AD102,IF(H104="JAWA",PR!$AE102,IF(H104="LAYO",PR!$AF102,IF(H104="LEADWAY",PR!$AG102,IF(H104="LHV",PR!$AH102,IF(H104="MANOLA",PR!$AI102,IF(H104="MARCSON",PR!$AJ102,IF(H104="M&amp;B",PR!$AK102,IF(H104="MTRUST",PR!$AL102,IF(H104="MWORLD",PR!$AM102,IF(H104="MEGA",PR!$AN102,IF(H104="MICRONOVA",PR!$AO102,IF(H104="MFLASH",PR!$AP102,IF(H104="MORISON",PR!$AQ102,IF(H104="NEMEL",PR!$AR102,IF(H104="NHP",PR!$AS102,IF(H104="NHC",PR!$AT102,IF(H104="OLEAF",PR!$AU102,IF(H104="OCULUS",PR!$AV102,IF(H104="PACIFIC",PR!$AW102,IF(H104="PHAMATEX",PR!$AX102,IF(H104="PETHICS",PR!$AY102,IF(H104="PHILIPS",PR!$AZ102,IF(H104="RANBAXY",PR!$BA102,IF(H104="REALS",PR!$BB102,IF(H104="ROYAL",PR!$BC102,IF(H104="SAM",PR!$BD102,IF(H104="SEAGREEN",PR!$BE102,IF(H104="SKG",PR!$BF102,IF(H104="TAH",PR!$BG102,IF(H104="TAYLEK",PR!$BH102,IF(H104="TEMITA",PR!$BI102,IF(H104="THL",PR!$BJ102,IF(H104="UBASTIC",PR!$BK102,IF(H104="UNION",PR!$BL102,IF(H104="UNIQUE",PR!$BM102,IF(H104="VIXA",PR!$BN102,IF(H104="WWCV",PR!$BO102,IF(H104="ZOLON",PR!$BP102,"-"))))))))))))))))))))))))))))))))))))))))))))))))))))))))))))))))</f>
        <v>2350</v>
      </c>
      <c r="H104" s="102" t="str">
        <f>EV!M126</f>
        <v>EUMATT</v>
      </c>
      <c r="I104" s="108" t="str">
        <f>IF(J104="ALPHA",PR!$E102,IF(J104="ASSENE",PR!$F102,IF(J104="BIOFEM",PR!$G102,IF(J104="BIOMED",PR!$H102,IF(J104="CHI",PR!$I102,IF(J104="CLARION",PR!$J102,IF(J104="CODIX",PR!$K102,IF(J104="COSMADE",PR!$L102,IF(J104="SANCON",PR!$M102,IF(J104="DEVON",PR!$N102,IF(J104="DORTEMAG",PR!$O102,IF(J104="DGF",PR!$P102,IF(J104="DYNAMIC",PR!$Q102,IF(J104="EMZOR",PR!$R102,IF(J104="EUMATT",PR!$S102,IF(J104="FIDSON",PR!$T102,IF(J104="FCGLOBAL",PR!$U102,IF(J104="GENEITH",PR!$V102,IF(J104="GINOS",PR!$W102,IF(J104="GSK",PR!$X102,IF(J104="GLOBORG",PR!$Y102,IF(J104="GOODNEWS",PR!$Z102,IF(J104="GREENLIFE",PR!$AA102,IF(J104="HLINE",PR!$AB102,IF(J104="ROTECH",PR!$AC102,IF(J104="ISN",PR!$AD102,IF(J104="JAWA",PR!$AE102,IF(J104="LAYO",PR!$AF102,IF(J104="LEADWAY",PR!$AG102,IF(J104="LHV",PR!$AH102,IF(J104="MANOLA",PR!$AI102,IF(J104="MARCSON",PR!$AJ102,IF(J104="M&amp;B",PR!$AK102,IF(J104="MTRUST",PR!$AL102,IF(J104="MWORLD",PR!$AM102,IF(J104="MEGA",PR!$AN102,IF(J104="MICRONOVA",PR!$AO102,IF(J104="MFLASH",PR!$AP102,IF(J104="MORISON",PR!$AQ102,IF(J104="NEMEL",PR!$AR102,IF(J104="NHP",PR!$AS102,IF(J104="NHC",PR!$AT102,IF(J104="OLEAF",PR!$AU102,IF(J104="OCULUS",PR!$AV102,IF(J104="PACIFIC",PR!$AW102,IF(J104="PHAMATEX",PR!$AX102,IF(J104="PETHICS",PR!$AY102,IF(J104="PHILIPS",PR!$AZ102,IF(J104="RANBAXY",PR!$BA102,IF(J104="REALS",PR!$BB102,IF(J104="ROYAL",PR!$BC102,IF(J104="SAM",PR!$BD102,IF(J104="SEAGREEN",PR!$BE102,IF(J104="SKG",PR!$BF102,IF(J104="TAH",PR!$BG102,IF(J104="TAYLEK",PR!$BH102,IF(J104="TEMITA",PR!$BI102,IF(J104="THL",PR!$BJ102,IF(J104="UBASTIC",PR!$BK102,IF(J104="UNION",PR!$BL102,IF(J104="UNIQUE",PR!$BM102,IF(J104="VIXA",PR!$BN102,IF(J104="WWCV",PR!$BO102,IF(J104="ZOLON",PR!$BP102,"-"))))))))))))))))))))))))))))))))))))))))))))))))))))))))))))))))</f>
        <v>-</v>
      </c>
      <c r="J104" s="102">
        <f>EV!N126</f>
        <v>0</v>
      </c>
      <c r="K104" s="433" t="s">
        <v>632</v>
      </c>
      <c r="L104" s="183">
        <f>IF(K104&gt;0,IF(K104="ALPHA",PR!$E102,IF(K104="ASSENE",PR!$F102,IF(K104="BIOFEM",PR!$G102,IF(K104="BIOMED",PR!$H102,IF(K104="CHI",PR!$I102,IF(K104="CLARION",PR!$J102,IF(K104="CODIX",PR!$K102,IF(K104="COSMADE",PR!$L102,IF(K104="SANCON",PR!$M102,IF(K104="DEVON",PR!$N102,IF(K104="DORTEMAG",PR!$O102,IF(K104="DGF",PR!$P102,IF(K104="DYNAMIC",PR!$Q102,IF(K104="EMZOR",PR!$R102,IF(K104="EUMATT",PR!$S102,IF(K104="FIDSON",PR!$T102,IF(K104="FCGLOBAL",PR!$U102,IF(K104="GENEITH",PR!$V102,IF(K104="GINOS",PR!$W102,IF(K104="GSK",PR!$X102,IF(K104="GLOBORG",PR!$Y102,IF(K104="GOODNEWS",PR!$Z102,IF(K104="GREENLIFE",PR!$AA102,IF(K104="HLINE",PR!$AB102,IF(K104="ROTECH",PR!$AC102,IF(K104="ISN",PR!$AD102,IF(K104="JAWA",PR!$AE102,IF(K104="LAYO",PR!$AF102,IF(K104="LEADWAY",PR!$AG102,IF(K104="LHV",PR!$AH102,IF(K104="MANOLA",PR!$AI102,IF(K104="MARCSON",PR!$AJ102,IF(K104="M&amp;B",PR!$AK102,IF(K104="MTRUST",PR!$AL102,IF(K104="MWORLD",PR!$AM102,IF(K104="MEGA",PR!$AN102,IF(K104="MICRONOVA",PR!$AO102,IF(K104="MFLASH",PR!$AP102,IF(K104="MORISON",PR!$AQ102,IF(K104="NEMEL",PR!$AR102,IF(K104="NHP",PR!$AS102,IF(K104="NHC",PR!$AT102,IF(K104="OLEAF",PR!$AU102,IF(K104="OCULUS",PR!$AV102,IF(K104="PACIFIC",PR!$AW102,IF(K104="PHAMATEX",PR!$AX102,IF(K104="PETHICS",PR!$AY102,IF(K104="PHILIPS",PR!$AZ102,IF(K104="RANBAXY",PR!$BA102,IF(K104="REALS",PR!$BB102,IF(K104="ROYAL",PR!$BC102,IF(K104="SAM",PR!$BD102,IF(K104="SEAGREEN",PR!$BE102,IF(K104="SKG",PR!$BF102,IF(K104="TAH",PR!$BG102,IF(K104="TAYLEK",PR!$BH102,IF(K104="TEMITA",PR!$BI102,IF(K104="THL",PR!$BJ102,IF(K104="UBASTIC",PR!$BK102,IF(K104="UNION",PR!$BL102,IF(K104="UNIQUE",PR!$BM102,IF(K104="VIXA",PR!$BN102,IF(K104="WWCV",PR!$BO102,IF(K104="ZOLON",PR!$BP102,"-")))))))))))))))))))))))))))))))))))))))))))))))))))))))))))))))))</f>
        <v>1990</v>
      </c>
    </row>
    <row r="105" spans="1:12" ht="18.75" x14ac:dyDescent="0.3">
      <c r="A105" s="430">
        <f>PR!A103</f>
        <v>87</v>
      </c>
      <c r="B105" s="15" t="str">
        <f>PR!B103</f>
        <v>NIFEDIPINE 20MG</v>
      </c>
      <c r="C105" s="113">
        <f>PR!D103</f>
        <v>100</v>
      </c>
      <c r="D105" s="113">
        <f>PR!C103</f>
        <v>600</v>
      </c>
      <c r="E105" s="108">
        <f>IF(F105="ALPHA",PR!$E103,IF(F105="ASSENE",PR!$F103,IF(F105="BIOFEM",PR!$G103,IF(F105="BIOMED",PR!$H103,IF(F105="CHI",PR!$I103,IF(F105="CLARION",PR!$J103,IF(F105="CODIX",PR!$K103,IF(F105="COSMADE",PR!$L103,IF(F105="SANCON",PR!$M103,IF(F105="DEVON",PR!$N103,IF(F105="DORTEMAG",PR!$O103,IF(F105="DGF",PR!$P103,IF(F105="DYNAMIC",PR!$Q103,IF(F105="EMZOR",PR!$R103,IF(F105="EUMATT",PR!$S103,IF(F105="FIDSON",PR!$T103,IF(F105="FCGLOBAL",PR!$U103,IF(F105="GENEITH",PR!$V103,IF(F105="GINOS",PR!$W103,IF(F105="GSK",PR!$X103,IF(F105="GLOBORG",PR!$Y103,IF(F105="GOODNEWS",PR!$Z103,IF(F105="GREENLIFE",PR!$AA103,IF(F105="HLINE",PR!$AB103,IF(F105="ROTECH",PR!$AC103,IF(F105="ISN",PR!$AD103,IF(F105="JAWA",PR!$AE103,IF(F105="LAYO",PR!$AF103,IF(F105="LEADWAY",PR!$AG103,IF(F105="LHV",PR!$AH103,IF(F105="MANOLA",PR!$AI103,IF(F105="MARCSON",PR!$AJ103,IF(F105="M&amp;B",PR!$AK103,IF(F105="MTRUST",PR!$AL103,IF(F105="MWORLD",PR!$AM103,IF(F105="MEGA",PR!$AN103,IF(F105="MICRONOVA",PR!$AO103,IF(F105="MFLASH",PR!$AP103,IF(F105="MORISON",PR!$AQ103,IF(F105="NEMEL",PR!$AR103,IF(F105="NHP",PR!$AS103,IF(F105="NHC",PR!$AT103,IF(F105="OLEAF",PR!$AU103,IF(F105="OCULUS",PR!$AV103,IF(F105="PACIFIC",PR!$AW103,IF(F105="PHAMATEX",PR!$AX103,IF(F105="PETHICS",PR!$AY103,IF(F105="PHILIPS",PR!$AZ103,IF(F105="RANBAXY",PR!$BA103,IF(F105="REALS",PR!$BB103,IF(F105="ROYAL",PR!$BC103,IF(F105="SAM",PR!$BD103,IF(F105="SEAGREEN",PR!$BE103,IF(F105="SKG",PR!$BF103,IF(F105="TAH",PR!$BG103,IF(F105="TAYLEK",PR!$BH103,IF(F105="TEMITA",PR!$BI103,IF(F105="THL",PR!$BJ103,IF(F105="UBASTIC",PR!$BK103,IF(F105="UNION",PR!$BL103,IF(F105="UNIQUE",PR!$BM103,IF(F105="VIXA",PR!$BN103,IF(F105="WWCV",PR!$BO103,IF(F105="ZOLON",PR!$BP103,"-"))))))))))))))))))))))))))))))))))))))))))))))))))))))))))))))))</f>
        <v>150</v>
      </c>
      <c r="F105" s="102" t="str">
        <f>EV!L127</f>
        <v>EUMATT</v>
      </c>
      <c r="G105" s="108">
        <f>IF(H105="ALPHA",PR!$E103,IF(H105="ASSENE",PR!$F103,IF(H105="BIOFEM",PR!$G103,IF(H105="BIOMED",PR!$H103,IF(H105="CHI",PR!$I103,IF(H105="CLARION",PR!$J103,IF(H105="CODIX",PR!$K103,IF(H105="COSMADE",PR!$L103,IF(H105="SANCON",PR!$M103,IF(H105="DEVON",PR!$N103,IF(H105="DORTEMAG",PR!$O103,IF(H105="DGF",PR!$P103,IF(H105="DYNAMIC",PR!$Q103,IF(H105="EMZOR",PR!$R103,IF(H105="EUMATT",PR!$S103,IF(H105="FIDSON",PR!$T103,IF(H105="FCGLOBAL",PR!$U103,IF(H105="GENEITH",PR!$V103,IF(H105="GINOS",PR!$W103,IF(H105="GSK",PR!$X103,IF(H105="GLOBORG",PR!$Y103,IF(H105="GOODNEWS",PR!$Z103,IF(H105="GREENLIFE",PR!$AA103,IF(H105="HLINE",PR!$AB103,IF(H105="ROTECH",PR!$AC103,IF(H105="ISN",PR!$AD103,IF(H105="JAWA",PR!$AE103,IF(H105="LAYO",PR!$AF103,IF(H105="LEADWAY",PR!$AG103,IF(H105="LHV",PR!$AH103,IF(H105="MANOLA",PR!$AI103,IF(H105="MARCSON",PR!$AJ103,IF(H105="M&amp;B",PR!$AK103,IF(H105="MTRUST",PR!$AL103,IF(H105="MWORLD",PR!$AM103,IF(H105="MEGA",PR!$AN103,IF(H105="MICRONOVA",PR!$AO103,IF(H105="MFLASH",PR!$AP103,IF(H105="MORISON",PR!$AQ103,IF(H105="NEMEL",PR!$AR103,IF(H105="NHP",PR!$AS103,IF(H105="NHC",PR!$AT103,IF(H105="OLEAF",PR!$AU103,IF(H105="OCULUS",PR!$AV103,IF(H105="PACIFIC",PR!$AW103,IF(H105="PHAMATEX",PR!$AX103,IF(H105="PETHICS",PR!$AY103,IF(H105="PHILIPS",PR!$AZ103,IF(H105="RANBAXY",PR!$BA103,IF(H105="REALS",PR!$BB103,IF(H105="ROYAL",PR!$BC103,IF(H105="SAM",PR!$BD103,IF(H105="SEAGREEN",PR!$BE103,IF(H105="SKG",PR!$BF103,IF(H105="TAH",PR!$BG103,IF(H105="TAYLEK",PR!$BH103,IF(H105="TEMITA",PR!$BI103,IF(H105="THL",PR!$BJ103,IF(H105="UBASTIC",PR!$BK103,IF(H105="UNION",PR!$BL103,IF(H105="UNIQUE",PR!$BM103,IF(H105="VIXA",PR!$BN103,IF(H105="WWCV",PR!$BO103,IF(H105="ZOLON",PR!$BP103,"-"))))))))))))))))))))))))))))))))))))))))))))))))))))))))))))))))</f>
        <v>480</v>
      </c>
      <c r="H105" s="102" t="str">
        <f>EV!M127</f>
        <v>LEADWAY</v>
      </c>
      <c r="I105" s="108">
        <f>IF(J105="ALPHA",PR!$E103,IF(J105="ASSENE",PR!$F103,IF(J105="BIOFEM",PR!$G103,IF(J105="BIOMED",PR!$H103,IF(J105="CHI",PR!$I103,IF(J105="CLARION",PR!$J103,IF(J105="CODIX",PR!$K103,IF(J105="COSMADE",PR!$L103,IF(J105="SANCON",PR!$M103,IF(J105="DEVON",PR!$N103,IF(J105="DORTEMAG",PR!$O103,IF(J105="DGF",PR!$P103,IF(J105="DYNAMIC",PR!$Q103,IF(J105="EMZOR",PR!$R103,IF(J105="EUMATT",PR!$S103,IF(J105="FIDSON",PR!$T103,IF(J105="FCGLOBAL",PR!$U103,IF(J105="GENEITH",PR!$V103,IF(J105="GINOS",PR!$W103,IF(J105="GSK",PR!$X103,IF(J105="GLOBORG",PR!$Y103,IF(J105="GOODNEWS",PR!$Z103,IF(J105="GREENLIFE",PR!$AA103,IF(J105="HLINE",PR!$AB103,IF(J105="ROTECH",PR!$AC103,IF(J105="ISN",PR!$AD103,IF(J105="JAWA",PR!$AE103,IF(J105="LAYO",PR!$AF103,IF(J105="LEADWAY",PR!$AG103,IF(J105="LHV",PR!$AH103,IF(J105="MANOLA",PR!$AI103,IF(J105="MARCSON",PR!$AJ103,IF(J105="M&amp;B",PR!$AK103,IF(J105="MTRUST",PR!$AL103,IF(J105="MWORLD",PR!$AM103,IF(J105="MEGA",PR!$AN103,IF(J105="MICRONOVA",PR!$AO103,IF(J105="MFLASH",PR!$AP103,IF(J105="MORISON",PR!$AQ103,IF(J105="NEMEL",PR!$AR103,IF(J105="NHP",PR!$AS103,IF(J105="NHC",PR!$AT103,IF(J105="OLEAF",PR!$AU103,IF(J105="OCULUS",PR!$AV103,IF(J105="PACIFIC",PR!$AW103,IF(J105="PHAMATEX",PR!$AX103,IF(J105="PETHICS",PR!$AY103,IF(J105="PHILIPS",PR!$AZ103,IF(J105="RANBAXY",PR!$BA103,IF(J105="REALS",PR!$BB103,IF(J105="ROYAL",PR!$BC103,IF(J105="SAM",PR!$BD103,IF(J105="SEAGREEN",PR!$BE103,IF(J105="SKG",PR!$BF103,IF(J105="TAH",PR!$BG103,IF(J105="TAYLEK",PR!$BH103,IF(J105="TEMITA",PR!$BI103,IF(J105="THL",PR!$BJ103,IF(J105="UBASTIC",PR!$BK103,IF(J105="UNION",PR!$BL103,IF(J105="UNIQUE",PR!$BM103,IF(J105="VIXA",PR!$BN103,IF(J105="WWCV",PR!$BO103,IF(J105="ZOLON",PR!$BP103,"-"))))))))))))))))))))))))))))))))))))))))))))))))))))))))))))))))</f>
        <v>1252.52</v>
      </c>
      <c r="J105" s="102" t="str">
        <f>EV!N127</f>
        <v>M&amp;B</v>
      </c>
      <c r="K105" s="433" t="s">
        <v>821</v>
      </c>
      <c r="L105" s="183">
        <f>IF(K105&gt;0,IF(K105="ALPHA",PR!$E103,IF(K105="ASSENE",PR!$F103,IF(K105="BIOFEM",PR!$G103,IF(K105="BIOMED",PR!$H103,IF(K105="CHI",PR!$I103,IF(K105="CLARION",PR!$J103,IF(K105="CODIX",PR!$K103,IF(K105="COSMADE",PR!$L103,IF(K105="SANCON",PR!$M103,IF(K105="DEVON",PR!$N103,IF(K105="DORTEMAG",PR!$O103,IF(K105="DGF",PR!$P103,IF(K105="DYNAMIC",PR!$Q103,IF(K105="EMZOR",PR!$R103,IF(K105="EUMATT",PR!$S103,IF(K105="FIDSON",PR!$T103,IF(K105="FCGLOBAL",PR!$U103,IF(K105="GENEITH",PR!$V103,IF(K105="GINOS",PR!$W103,IF(K105="GSK",PR!$X103,IF(K105="GLOBORG",PR!$Y103,IF(K105="GOODNEWS",PR!$Z103,IF(K105="GREENLIFE",PR!$AA103,IF(K105="HLINE",PR!$AB103,IF(K105="ROTECH",PR!$AC103,IF(K105="ISN",PR!$AD103,IF(K105="JAWA",PR!$AE103,IF(K105="LAYO",PR!$AF103,IF(K105="LEADWAY",PR!$AG103,IF(K105="LHV",PR!$AH103,IF(K105="MANOLA",PR!$AI103,IF(K105="MARCSON",PR!$AJ103,IF(K105="M&amp;B",PR!$AK103,IF(K105="MTRUST",PR!$AL103,IF(K105="MWORLD",PR!$AM103,IF(K105="MEGA",PR!$AN103,IF(K105="MICRONOVA",PR!$AO103,IF(K105="MFLASH",PR!$AP103,IF(K105="MORISON",PR!$AQ103,IF(K105="NEMEL",PR!$AR103,IF(K105="NHP",PR!$AS103,IF(K105="NHC",PR!$AT103,IF(K105="OLEAF",PR!$AU103,IF(K105="OCULUS",PR!$AV103,IF(K105="PACIFIC",PR!$AW103,IF(K105="PHAMATEX",PR!$AX103,IF(K105="PETHICS",PR!$AY103,IF(K105="PHILIPS",PR!$AZ103,IF(K105="RANBAXY",PR!$BA103,IF(K105="REALS",PR!$BB103,IF(K105="ROYAL",PR!$BC103,IF(K105="SAM",PR!$BD103,IF(K105="SEAGREEN",PR!$BE103,IF(K105="SKG",PR!$BF103,IF(K105="TAH",PR!$BG103,IF(K105="TAYLEK",PR!$BH103,IF(K105="TEMITA",PR!$BI103,IF(K105="THL",PR!$BJ103,IF(K105="UBASTIC",PR!$BK103,IF(K105="UNION",PR!$BL103,IF(K105="UNIQUE",PR!$BM103,IF(K105="VIXA",PR!$BN103,IF(K105="WWCV",PR!$BO103,IF(K105="ZOLON",PR!$BP103,"-")))))))))))))))))))))))))))))))))))))))))))))))))))))))))))))))))</f>
        <v>150</v>
      </c>
    </row>
    <row r="106" spans="1:12" ht="18.75" x14ac:dyDescent="0.3">
      <c r="A106" s="430">
        <f>PR!A104</f>
        <v>88</v>
      </c>
      <c r="B106" s="15" t="str">
        <f>PR!B104</f>
        <v xml:space="preserve">NIFEDIPINE 30MG </v>
      </c>
      <c r="C106" s="113">
        <f>PR!D104</f>
        <v>30</v>
      </c>
      <c r="D106" s="113">
        <f>PR!C104</f>
        <v>3000</v>
      </c>
      <c r="E106" s="108">
        <f>IF(F106="ALPHA",PR!$E104,IF(F106="ASSENE",PR!$F104,IF(F106="BIOFEM",PR!$G104,IF(F106="BIOMED",PR!$H104,IF(F106="CHI",PR!$I104,IF(F106="CLARION",PR!$J104,IF(F106="CODIX",PR!$K104,IF(F106="COSMADE",PR!$L104,IF(F106="SANCON",PR!$M104,IF(F106="DEVON",PR!$N104,IF(F106="DORTEMAG",PR!$O104,IF(F106="DGF",PR!$P104,IF(F106="DYNAMIC",PR!$Q104,IF(F106="EMZOR",PR!$R104,IF(F106="EUMATT",PR!$S104,IF(F106="FIDSON",PR!$T104,IF(F106="FCGLOBAL",PR!$U104,IF(F106="GENEITH",PR!$V104,IF(F106="GINOS",PR!$W104,IF(F106="GSK",PR!$X104,IF(F106="GLOBORG",PR!$Y104,IF(F106="GOODNEWS",PR!$Z104,IF(F106="GREENLIFE",PR!$AA104,IF(F106="HLINE",PR!$AB104,IF(F106="ROTECH",PR!$AC104,IF(F106="ISN",PR!$AD104,IF(F106="JAWA",PR!$AE104,IF(F106="LAYO",PR!$AF104,IF(F106="LEADWAY",PR!$AG104,IF(F106="LHV",PR!$AH104,IF(F106="MANOLA",PR!$AI104,IF(F106="MARCSON",PR!$AJ104,IF(F106="M&amp;B",PR!$AK104,IF(F106="MTRUST",PR!$AL104,IF(F106="MWORLD",PR!$AM104,IF(F106="MEGA",PR!$AN104,IF(F106="MICRONOVA",PR!$AO104,IF(F106="MFLASH",PR!$AP104,IF(F106="MORISON",PR!$AQ104,IF(F106="NEMEL",PR!$AR104,IF(F106="NHP",PR!$AS104,IF(F106="NHC",PR!$AT104,IF(F106="OLEAF",PR!$AU104,IF(F106="OCULUS",PR!$AV104,IF(F106="PACIFIC",PR!$AW104,IF(F106="PHAMATEX",PR!$AX104,IF(F106="PETHICS",PR!$AY104,IF(F106="PHILIPS",PR!$AZ104,IF(F106="RANBAXY",PR!$BA104,IF(F106="REALS",PR!$BB104,IF(F106="ROYAL",PR!$BC104,IF(F106="SAM",PR!$BD104,IF(F106="SEAGREEN",PR!$BE104,IF(F106="SKG",PR!$BF104,IF(F106="TAH",PR!$BG104,IF(F106="TAYLEK",PR!$BH104,IF(F106="TEMITA",PR!$BI104,IF(F106="THL",PR!$BJ104,IF(F106="UBASTIC",PR!$BK104,IF(F106="UNION",PR!$BL104,IF(F106="UNIQUE",PR!$BM104,IF(F106="VIXA",PR!$BN104,IF(F106="WWCV",PR!$BO104,IF(F106="ZOLON",PR!$BP104,"-"))))))))))))))))))))))))))))))))))))))))))))))))))))))))))))))))</f>
        <v>696.97</v>
      </c>
      <c r="F106" s="102" t="str">
        <f>EV!L128</f>
        <v>M&amp;B</v>
      </c>
      <c r="G106" s="108">
        <f>IF(H106="ALPHA",PR!$E104,IF(H106="ASSENE",PR!$F104,IF(H106="BIOFEM",PR!$G104,IF(H106="BIOMED",PR!$H104,IF(H106="CHI",PR!$I104,IF(H106="CLARION",PR!$J104,IF(H106="CODIX",PR!$K104,IF(H106="COSMADE",PR!$L104,IF(H106="SANCON",PR!$M104,IF(H106="DEVON",PR!$N104,IF(H106="DORTEMAG",PR!$O104,IF(H106="DGF",PR!$P104,IF(H106="DYNAMIC",PR!$Q104,IF(H106="EMZOR",PR!$R104,IF(H106="EUMATT",PR!$S104,IF(H106="FIDSON",PR!$T104,IF(H106="FCGLOBAL",PR!$U104,IF(H106="GENEITH",PR!$V104,IF(H106="GINOS",PR!$W104,IF(H106="GSK",PR!$X104,IF(H106="GLOBORG",PR!$Y104,IF(H106="GOODNEWS",PR!$Z104,IF(H106="GREENLIFE",PR!$AA104,IF(H106="HLINE",PR!$AB104,IF(H106="ROTECH",PR!$AC104,IF(H106="ISN",PR!$AD104,IF(H106="JAWA",PR!$AE104,IF(H106="LAYO",PR!$AF104,IF(H106="LEADWAY",PR!$AG104,IF(H106="LHV",PR!$AH104,IF(H106="MANOLA",PR!$AI104,IF(H106="MARCSON",PR!$AJ104,IF(H106="M&amp;B",PR!$AK104,IF(H106="MTRUST",PR!$AL104,IF(H106="MWORLD",PR!$AM104,IF(H106="MEGA",PR!$AN104,IF(H106="MICRONOVA",PR!$AO104,IF(H106="MFLASH",PR!$AP104,IF(H106="MORISON",PR!$AQ104,IF(H106="NEMEL",PR!$AR104,IF(H106="NHP",PR!$AS104,IF(H106="NHC",PR!$AT104,IF(H106="OLEAF",PR!$AU104,IF(H106="OCULUS",PR!$AV104,IF(H106="PACIFIC",PR!$AW104,IF(H106="PHAMATEX",PR!$AX104,IF(H106="PETHICS",PR!$AY104,IF(H106="PHILIPS",PR!$AZ104,IF(H106="RANBAXY",PR!$BA104,IF(H106="REALS",PR!$BB104,IF(H106="ROYAL",PR!$BC104,IF(H106="SAM",PR!$BD104,IF(H106="SEAGREEN",PR!$BE104,IF(H106="SKG",PR!$BF104,IF(H106="TAH",PR!$BG104,IF(H106="TAYLEK",PR!$BH104,IF(H106="TEMITA",PR!$BI104,IF(H106="THL",PR!$BJ104,IF(H106="UBASTIC",PR!$BK104,IF(H106="UNION",PR!$BL104,IF(H106="UNIQUE",PR!$BM104,IF(H106="VIXA",PR!$BN104,IF(H106="WWCV",PR!$BO104,IF(H106="ZOLON",PR!$BP104,"-"))))))))))))))))))))))))))))))))))))))))))))))))))))))))))))))))</f>
        <v>880</v>
      </c>
      <c r="H106" s="102" t="str">
        <f>EV!M128</f>
        <v>EUMATT</v>
      </c>
      <c r="I106" s="108">
        <f>IF(J106="ALPHA",PR!$E104,IF(J106="ASSENE",PR!$F104,IF(J106="BIOFEM",PR!$G104,IF(J106="BIOMED",PR!$H104,IF(J106="CHI",PR!$I104,IF(J106="CLARION",PR!$J104,IF(J106="CODIX",PR!$K104,IF(J106="COSMADE",PR!$L104,IF(J106="SANCON",PR!$M104,IF(J106="DEVON",PR!$N104,IF(J106="DORTEMAG",PR!$O104,IF(J106="DGF",PR!$P104,IF(J106="DYNAMIC",PR!$Q104,IF(J106="EMZOR",PR!$R104,IF(J106="EUMATT",PR!$S104,IF(J106="FIDSON",PR!$T104,IF(J106="FCGLOBAL",PR!$U104,IF(J106="GENEITH",PR!$V104,IF(J106="GINOS",PR!$W104,IF(J106="GSK",PR!$X104,IF(J106="GLOBORG",PR!$Y104,IF(J106="GOODNEWS",PR!$Z104,IF(J106="GREENLIFE",PR!$AA104,IF(J106="HLINE",PR!$AB104,IF(J106="ROTECH",PR!$AC104,IF(J106="ISN",PR!$AD104,IF(J106="JAWA",PR!$AE104,IF(J106="LAYO",PR!$AF104,IF(J106="LEADWAY",PR!$AG104,IF(J106="LHV",PR!$AH104,IF(J106="MANOLA",PR!$AI104,IF(J106="MARCSON",PR!$AJ104,IF(J106="M&amp;B",PR!$AK104,IF(J106="MTRUST",PR!$AL104,IF(J106="MWORLD",PR!$AM104,IF(J106="MEGA",PR!$AN104,IF(J106="MICRONOVA",PR!$AO104,IF(J106="MFLASH",PR!$AP104,IF(J106="MORISON",PR!$AQ104,IF(J106="NEMEL",PR!$AR104,IF(J106="NHP",PR!$AS104,IF(J106="NHC",PR!$AT104,IF(J106="OLEAF",PR!$AU104,IF(J106="OCULUS",PR!$AV104,IF(J106="PACIFIC",PR!$AW104,IF(J106="PHAMATEX",PR!$AX104,IF(J106="PETHICS",PR!$AY104,IF(J106="PHILIPS",PR!$AZ104,IF(J106="RANBAXY",PR!$BA104,IF(J106="REALS",PR!$BB104,IF(J106="ROYAL",PR!$BC104,IF(J106="SAM",PR!$BD104,IF(J106="SEAGREEN",PR!$BE104,IF(J106="SKG",PR!$BF104,IF(J106="TAH",PR!$BG104,IF(J106="TAYLEK",PR!$BH104,IF(J106="TEMITA",PR!$BI104,IF(J106="THL",PR!$BJ104,IF(J106="UBASTIC",PR!$BK104,IF(J106="UNION",PR!$BL104,IF(J106="UNIQUE",PR!$BM104,IF(J106="VIXA",PR!$BN104,IF(J106="WWCV",PR!$BO104,IF(J106="ZOLON",PR!$BP104,"-"))))))))))))))))))))))))))))))))))))))))))))))))))))))))))))))))</f>
        <v>930</v>
      </c>
      <c r="J106" s="102" t="str">
        <f>EV!N128</f>
        <v>TAH</v>
      </c>
      <c r="K106" s="433" t="s">
        <v>2098</v>
      </c>
      <c r="L106" s="183" t="str">
        <f>IF(K106&gt;0,IF(K106="ALPHA",PR!$E104,IF(K106="ASSENE",PR!$F104,IF(K106="BIOFEM",PR!$G104,IF(K106="BIOMED",PR!$H104,IF(K106="CHI",PR!$I104,IF(K106="CLARION",PR!$J104,IF(K106="CODIX",PR!$K104,IF(K106="COSMADE",PR!$L104,IF(K106="SANCON",PR!$M104,IF(K106="DEVON",PR!$N104,IF(K106="DORTEMAG",PR!$O104,IF(K106="DGF",PR!$P104,IF(K106="DYNAMIC",PR!$Q104,IF(K106="EMZOR",PR!$R104,IF(K106="EUMATT",PR!$S104,IF(K106="FIDSON",PR!$T104,IF(K106="FCGLOBAL",PR!$U104,IF(K106="GENEITH",PR!$V104,IF(K106="GINOS",PR!$W104,IF(K106="GSK",PR!$X104,IF(K106="GLOBORG",PR!$Y104,IF(K106="GOODNEWS",PR!$Z104,IF(K106="GREENLIFE",PR!$AA104,IF(K106="HLINE",PR!$AB104,IF(K106="ROTECH",PR!$AC104,IF(K106="ISN",PR!$AD104,IF(K106="JAWA",PR!$AE104,IF(K106="LAYO",PR!$AF104,IF(K106="LEADWAY",PR!$AG104,IF(K106="LHV",PR!$AH104,IF(K106="MANOLA",PR!$AI104,IF(K106="MARCSON",PR!$AJ104,IF(K106="M&amp;B",PR!$AK104,IF(K106="MTRUST",PR!$AL104,IF(K106="MWORLD",PR!$AM104,IF(K106="MEGA",PR!$AN104,IF(K106="MICRONOVA",PR!$AO104,IF(K106="MFLASH",PR!$AP104,IF(K106="MORISON",PR!$AQ104,IF(K106="NEMEL",PR!$AR104,IF(K106="NHP",PR!$AS104,IF(K106="NHC",PR!$AT104,IF(K106="OLEAF",PR!$AU104,IF(K106="OCULUS",PR!$AV104,IF(K106="PACIFIC",PR!$AW104,IF(K106="PHAMATEX",PR!$AX104,IF(K106="PETHICS",PR!$AY104,IF(K106="PHILIPS",PR!$AZ104,IF(K106="RANBAXY",PR!$BA104,IF(K106="REALS",PR!$BB104,IF(K106="ROYAL",PR!$BC104,IF(K106="SAM",PR!$BD104,IF(K106="SEAGREEN",PR!$BE104,IF(K106="SKG",PR!$BF104,IF(K106="TAH",PR!$BG104,IF(K106="TAYLEK",PR!$BH104,IF(K106="TEMITA",PR!$BI104,IF(K106="THL",PR!$BJ104,IF(K106="UBASTIC",PR!$BK104,IF(K106="UNION",PR!$BL104,IF(K106="UNIQUE",PR!$BM104,IF(K106="VIXA",PR!$BN104,IF(K106="WWCV",PR!$BO104,IF(K106="ZOLON",PR!$BP104,"-")))))))))))))))))))))))))))))))))))))))))))))))))))))))))))))))))</f>
        <v>-</v>
      </c>
    </row>
    <row r="107" spans="1:12" ht="18.75" x14ac:dyDescent="0.3">
      <c r="A107" s="430">
        <f>PR!A105</f>
        <v>89</v>
      </c>
      <c r="B107" s="15" t="str">
        <f>PR!B105</f>
        <v>PERINDOPRIL 10MG TAB</v>
      </c>
      <c r="C107" s="113">
        <f>PR!D105</f>
        <v>30</v>
      </c>
      <c r="D107" s="113">
        <f>PR!C105</f>
        <v>10</v>
      </c>
      <c r="E107" s="108">
        <f>IF(F107="ALPHA",PR!$E105,IF(F107="ASSENE",PR!$F105,IF(F107="BIOFEM",PR!$G105,IF(F107="BIOMED",PR!$H105,IF(F107="CHI",PR!$I105,IF(F107="CLARION",PR!$J105,IF(F107="CODIX",PR!$K105,IF(F107="COSMADE",PR!$L105,IF(F107="SANCON",PR!$M105,IF(F107="DEVON",PR!$N105,IF(F107="DORTEMAG",PR!$O105,IF(F107="DGF",PR!$P105,IF(F107="DYNAMIC",PR!$Q105,IF(F107="EMZOR",PR!$R105,IF(F107="EUMATT",PR!$S105,IF(F107="FIDSON",PR!$T105,IF(F107="FCGLOBAL",PR!$U105,IF(F107="GENEITH",PR!$V105,IF(F107="GINOS",PR!$W105,IF(F107="GSK",PR!$X105,IF(F107="GLOBORG",PR!$Y105,IF(F107="GOODNEWS",PR!$Z105,IF(F107="GREENLIFE",PR!$AA105,IF(F107="HLINE",PR!$AB105,IF(F107="ROTECH",PR!$AC105,IF(F107="ISN",PR!$AD105,IF(F107="JAWA",PR!$AE105,IF(F107="LAYO",PR!$AF105,IF(F107="LEADWAY",PR!$AG105,IF(F107="LHV",PR!$AH105,IF(F107="MANOLA",PR!$AI105,IF(F107="MARCSON",PR!$AJ105,IF(F107="M&amp;B",PR!$AK105,IF(F107="MTRUST",PR!$AL105,IF(F107="MWORLD",PR!$AM105,IF(F107="MEGA",PR!$AN105,IF(F107="MICRONOVA",PR!$AO105,IF(F107="MFLASH",PR!$AP105,IF(F107="MORISON",PR!$AQ105,IF(F107="NEMEL",PR!$AR105,IF(F107="NHP",PR!$AS105,IF(F107="NHC",PR!$AT105,IF(F107="OLEAF",PR!$AU105,IF(F107="OCULUS",PR!$AV105,IF(F107="PACIFIC",PR!$AW105,IF(F107="PHAMATEX",PR!$AX105,IF(F107="PETHICS",PR!$AY105,IF(F107="PHILIPS",PR!$AZ105,IF(F107="RANBAXY",PR!$BA105,IF(F107="REALS",PR!$BB105,IF(F107="ROYAL",PR!$BC105,IF(F107="SAM",PR!$BD105,IF(F107="SEAGREEN",PR!$BE105,IF(F107="SKG",PR!$BF105,IF(F107="TAH",PR!$BG105,IF(F107="TAYLEK",PR!$BH105,IF(F107="TEMITA",PR!$BI105,IF(F107="THL",PR!$BJ105,IF(F107="UBASTIC",PR!$BK105,IF(F107="UNION",PR!$BL105,IF(F107="UNIQUE",PR!$BM105,IF(F107="VIXA",PR!$BN105,IF(F107="WWCV",PR!$BO105,IF(F107="ZOLON",PR!$BP105,"-"))))))))))))))))))))))))))))))))))))))))))))))))))))))))))))))))</f>
        <v>6658</v>
      </c>
      <c r="F107" s="102" t="str">
        <f>EV!L129</f>
        <v>CHI</v>
      </c>
      <c r="G107" s="108" t="str">
        <f>IF(H107="ALPHA",PR!$E105,IF(H107="ASSENE",PR!$F105,IF(H107="BIOFEM",PR!$G105,IF(H107="BIOMED",PR!$H105,IF(H107="CHI",PR!$I105,IF(H107="CLARION",PR!$J105,IF(H107="CODIX",PR!$K105,IF(H107="COSMADE",PR!$L105,IF(H107="SANCON",PR!$M105,IF(H107="DEVON",PR!$N105,IF(H107="DORTEMAG",PR!$O105,IF(H107="DGF",PR!$P105,IF(H107="DYNAMIC",PR!$Q105,IF(H107="EMZOR",PR!$R105,IF(H107="EUMATT",PR!$S105,IF(H107="FIDSON",PR!$T105,IF(H107="FCGLOBAL",PR!$U105,IF(H107="GENEITH",PR!$V105,IF(H107="GINOS",PR!$W105,IF(H107="GSK",PR!$X105,IF(H107="GLOBORG",PR!$Y105,IF(H107="GOODNEWS",PR!$Z105,IF(H107="GREENLIFE",PR!$AA105,IF(H107="HLINE",PR!$AB105,IF(H107="ROTECH",PR!$AC105,IF(H107="ISN",PR!$AD105,IF(H107="JAWA",PR!$AE105,IF(H107="LAYO",PR!$AF105,IF(H107="LEADWAY",PR!$AG105,IF(H107="LHV",PR!$AH105,IF(H107="MANOLA",PR!$AI105,IF(H107="MARCSON",PR!$AJ105,IF(H107="M&amp;B",PR!$AK105,IF(H107="MTRUST",PR!$AL105,IF(H107="MWORLD",PR!$AM105,IF(H107="MEGA",PR!$AN105,IF(H107="MICRONOVA",PR!$AO105,IF(H107="MFLASH",PR!$AP105,IF(H107="MORISON",PR!$AQ105,IF(H107="NEMEL",PR!$AR105,IF(H107="NHP",PR!$AS105,IF(H107="NHC",PR!$AT105,IF(H107="OLEAF",PR!$AU105,IF(H107="OCULUS",PR!$AV105,IF(H107="PACIFIC",PR!$AW105,IF(H107="PHAMATEX",PR!$AX105,IF(H107="PETHICS",PR!$AY105,IF(H107="PHILIPS",PR!$AZ105,IF(H107="RANBAXY",PR!$BA105,IF(H107="REALS",PR!$BB105,IF(H107="ROYAL",PR!$BC105,IF(H107="SAM",PR!$BD105,IF(H107="SEAGREEN",PR!$BE105,IF(H107="SKG",PR!$BF105,IF(H107="TAH",PR!$BG105,IF(H107="TAYLEK",PR!$BH105,IF(H107="TEMITA",PR!$BI105,IF(H107="THL",PR!$BJ105,IF(H107="UBASTIC",PR!$BK105,IF(H107="UNION",PR!$BL105,IF(H107="UNIQUE",PR!$BM105,IF(H107="VIXA",PR!$BN105,IF(H107="WWCV",PR!$BO105,IF(H107="ZOLON",PR!$BP105,"-"))))))))))))))))))))))))))))))))))))))))))))))))))))))))))))))))</f>
        <v>-</v>
      </c>
      <c r="H107" s="102">
        <f>EV!M129</f>
        <v>0</v>
      </c>
      <c r="I107" s="108" t="str">
        <f>IF(J107="ALPHA",PR!$E105,IF(J107="ASSENE",PR!$F105,IF(J107="BIOFEM",PR!$G105,IF(J107="BIOMED",PR!$H105,IF(J107="CHI",PR!$I105,IF(J107="CLARION",PR!$J105,IF(J107="CODIX",PR!$K105,IF(J107="COSMADE",PR!$L105,IF(J107="SANCON",PR!$M105,IF(J107="DEVON",PR!$N105,IF(J107="DORTEMAG",PR!$O105,IF(J107="DGF",PR!$P105,IF(J107="DYNAMIC",PR!$Q105,IF(J107="EMZOR",PR!$R105,IF(J107="EUMATT",PR!$S105,IF(J107="FIDSON",PR!$T105,IF(J107="FCGLOBAL",PR!$U105,IF(J107="GENEITH",PR!$V105,IF(J107="GINOS",PR!$W105,IF(J107="GSK",PR!$X105,IF(J107="GLOBORG",PR!$Y105,IF(J107="GOODNEWS",PR!$Z105,IF(J107="GREENLIFE",PR!$AA105,IF(J107="HLINE",PR!$AB105,IF(J107="ROTECH",PR!$AC105,IF(J107="ISN",PR!$AD105,IF(J107="JAWA",PR!$AE105,IF(J107="LAYO",PR!$AF105,IF(J107="LEADWAY",PR!$AG105,IF(J107="LHV",PR!$AH105,IF(J107="MANOLA",PR!$AI105,IF(J107="MARCSON",PR!$AJ105,IF(J107="M&amp;B",PR!$AK105,IF(J107="MTRUST",PR!$AL105,IF(J107="MWORLD",PR!$AM105,IF(J107="MEGA",PR!$AN105,IF(J107="MICRONOVA",PR!$AO105,IF(J107="MFLASH",PR!$AP105,IF(J107="MORISON",PR!$AQ105,IF(J107="NEMEL",PR!$AR105,IF(J107="NHP",PR!$AS105,IF(J107="NHC",PR!$AT105,IF(J107="OLEAF",PR!$AU105,IF(J107="OCULUS",PR!$AV105,IF(J107="PACIFIC",PR!$AW105,IF(J107="PHAMATEX",PR!$AX105,IF(J107="PETHICS",PR!$AY105,IF(J107="PHILIPS",PR!$AZ105,IF(J107="RANBAXY",PR!$BA105,IF(J107="REALS",PR!$BB105,IF(J107="ROYAL",PR!$BC105,IF(J107="SAM",PR!$BD105,IF(J107="SEAGREEN",PR!$BE105,IF(J107="SKG",PR!$BF105,IF(J107="TAH",PR!$BG105,IF(J107="TAYLEK",PR!$BH105,IF(J107="TEMITA",PR!$BI105,IF(J107="THL",PR!$BJ105,IF(J107="UBASTIC",PR!$BK105,IF(J107="UNION",PR!$BL105,IF(J107="UNIQUE",PR!$BM105,IF(J107="VIXA",PR!$BN105,IF(J107="WWCV",PR!$BO105,IF(J107="ZOLON",PR!$BP105,"-"))))))))))))))))))))))))))))))))))))))))))))))))))))))))))))))))</f>
        <v>-</v>
      </c>
      <c r="J107" s="102">
        <f>EV!N129</f>
        <v>0</v>
      </c>
      <c r="K107" s="433" t="s">
        <v>1446</v>
      </c>
      <c r="L107" s="183">
        <f>IF(K107&gt;0,IF(K107="ALPHA",PR!$E105,IF(K107="ASSENE",PR!$F105,IF(K107="BIOFEM",PR!$G105,IF(K107="BIOMED",PR!$H105,IF(K107="CHI",PR!$I105,IF(K107="CLARION",PR!$J105,IF(K107="CODIX",PR!$K105,IF(K107="COSMADE",PR!$L105,IF(K107="SANCON",PR!$M105,IF(K107="DEVON",PR!$N105,IF(K107="DORTEMAG",PR!$O105,IF(K107="DGF",PR!$P105,IF(K107="DYNAMIC",PR!$Q105,IF(K107="EMZOR",PR!$R105,IF(K107="EUMATT",PR!$S105,IF(K107="FIDSON",PR!$T105,IF(K107="FCGLOBAL",PR!$U105,IF(K107="GENEITH",PR!$V105,IF(K107="GINOS",PR!$W105,IF(K107="GSK",PR!$X105,IF(K107="GLOBORG",PR!$Y105,IF(K107="GOODNEWS",PR!$Z105,IF(K107="GREENLIFE",PR!$AA105,IF(K107="HLINE",PR!$AB105,IF(K107="ROTECH",PR!$AC105,IF(K107="ISN",PR!$AD105,IF(K107="JAWA",PR!$AE105,IF(K107="LAYO",PR!$AF105,IF(K107="LEADWAY",PR!$AG105,IF(K107="LHV",PR!$AH105,IF(K107="MANOLA",PR!$AI105,IF(K107="MARCSON",PR!$AJ105,IF(K107="M&amp;B",PR!$AK105,IF(K107="MTRUST",PR!$AL105,IF(K107="MWORLD",PR!$AM105,IF(K107="MEGA",PR!$AN105,IF(K107="MICRONOVA",PR!$AO105,IF(K107="MFLASH",PR!$AP105,IF(K107="MORISON",PR!$AQ105,IF(K107="NEMEL",PR!$AR105,IF(K107="NHP",PR!$AS105,IF(K107="NHC",PR!$AT105,IF(K107="OLEAF",PR!$AU105,IF(K107="OCULUS",PR!$AV105,IF(K107="PACIFIC",PR!$AW105,IF(K107="PHAMATEX",PR!$AX105,IF(K107="PETHICS",PR!$AY105,IF(K107="PHILIPS",PR!$AZ105,IF(K107="RANBAXY",PR!$BA105,IF(K107="REALS",PR!$BB105,IF(K107="ROYAL",PR!$BC105,IF(K107="SAM",PR!$BD105,IF(K107="SEAGREEN",PR!$BE105,IF(K107="SKG",PR!$BF105,IF(K107="TAH",PR!$BG105,IF(K107="TAYLEK",PR!$BH105,IF(K107="TEMITA",PR!$BI105,IF(K107="THL",PR!$BJ105,IF(K107="UBASTIC",PR!$BK105,IF(K107="UNION",PR!$BL105,IF(K107="UNIQUE",PR!$BM105,IF(K107="VIXA",PR!$BN105,IF(K107="WWCV",PR!$BO105,IF(K107="ZOLON",PR!$BP105,"-")))))))))))))))))))))))))))))))))))))))))))))))))))))))))))))))))</f>
        <v>6658</v>
      </c>
    </row>
    <row r="108" spans="1:12" ht="18.75" x14ac:dyDescent="0.3">
      <c r="A108" s="430">
        <f>PR!A106</f>
        <v>90</v>
      </c>
      <c r="B108" s="15" t="str">
        <f>PR!B106</f>
        <v>PERINDOPRIL 5MG TAB</v>
      </c>
      <c r="C108" s="113">
        <f>PR!D106</f>
        <v>30</v>
      </c>
      <c r="D108" s="113">
        <f>PR!C106</f>
        <v>10</v>
      </c>
      <c r="E108" s="108">
        <f>IF(F108="ALPHA",PR!$E106,IF(F108="ASSENE",PR!$F106,IF(F108="BIOFEM",PR!$G106,IF(F108="BIOMED",PR!$H106,IF(F108="CHI",PR!$I106,IF(F108="CLARION",PR!$J106,IF(F108="CODIX",PR!$K106,IF(F108="COSMADE",PR!$L106,IF(F108="SANCON",PR!$M106,IF(F108="DEVON",PR!$N106,IF(F108="DORTEMAG",PR!$O106,IF(F108="DGF",PR!$P106,IF(F108="DYNAMIC",PR!$Q106,IF(F108="EMZOR",PR!$R106,IF(F108="EUMATT",PR!$S106,IF(F108="FIDSON",PR!$T106,IF(F108="FCGLOBAL",PR!$U106,IF(F108="GENEITH",PR!$V106,IF(F108="GINOS",PR!$W106,IF(F108="GSK",PR!$X106,IF(F108="GLOBORG",PR!$Y106,IF(F108="GOODNEWS",PR!$Z106,IF(F108="GREENLIFE",PR!$AA106,IF(F108="HLINE",PR!$AB106,IF(F108="ROTECH",PR!$AC106,IF(F108="ISN",PR!$AD106,IF(F108="JAWA",PR!$AE106,IF(F108="LAYO",PR!$AF106,IF(F108="LEADWAY",PR!$AG106,IF(F108="LHV",PR!$AH106,IF(F108="MANOLA",PR!$AI106,IF(F108="MARCSON",PR!$AJ106,IF(F108="M&amp;B",PR!$AK106,IF(F108="MTRUST",PR!$AL106,IF(F108="MWORLD",PR!$AM106,IF(F108="MEGA",PR!$AN106,IF(F108="MICRONOVA",PR!$AO106,IF(F108="MFLASH",PR!$AP106,IF(F108="MORISON",PR!$AQ106,IF(F108="NEMEL",PR!$AR106,IF(F108="NHP",PR!$AS106,IF(F108="NHC",PR!$AT106,IF(F108="OLEAF",PR!$AU106,IF(F108="OCULUS",PR!$AV106,IF(F108="PACIFIC",PR!$AW106,IF(F108="PHAMATEX",PR!$AX106,IF(F108="PETHICS",PR!$AY106,IF(F108="PHILIPS",PR!$AZ106,IF(F108="RANBAXY",PR!$BA106,IF(F108="REALS",PR!$BB106,IF(F108="ROYAL",PR!$BC106,IF(F108="SAM",PR!$BD106,IF(F108="SEAGREEN",PR!$BE106,IF(F108="SKG",PR!$BF106,IF(F108="TAH",PR!$BG106,IF(F108="TAYLEK",PR!$BH106,IF(F108="TEMITA",PR!$BI106,IF(F108="THL",PR!$BJ106,IF(F108="UBASTIC",PR!$BK106,IF(F108="UNION",PR!$BL106,IF(F108="UNIQUE",PR!$BM106,IF(F108="VIXA",PR!$BN106,IF(F108="WWCV",PR!$BO106,IF(F108="ZOLON",PR!$BP106,"-"))))))))))))))))))))))))))))))))))))))))))))))))))))))))))))))))</f>
        <v>4991</v>
      </c>
      <c r="F108" s="102" t="str">
        <f>EV!L130</f>
        <v>CHI</v>
      </c>
      <c r="G108" s="108" t="str">
        <f>IF(H108="ALPHA",PR!$E106,IF(H108="ASSENE",PR!$F106,IF(H108="BIOFEM",PR!$G106,IF(H108="BIOMED",PR!$H106,IF(H108="CHI",PR!$I106,IF(H108="CLARION",PR!$J106,IF(H108="CODIX",PR!$K106,IF(H108="COSMADE",PR!$L106,IF(H108="SANCON",PR!$M106,IF(H108="DEVON",PR!$N106,IF(H108="DORTEMAG",PR!$O106,IF(H108="DGF",PR!$P106,IF(H108="DYNAMIC",PR!$Q106,IF(H108="EMZOR",PR!$R106,IF(H108="EUMATT",PR!$S106,IF(H108="FIDSON",PR!$T106,IF(H108="FCGLOBAL",PR!$U106,IF(H108="GENEITH",PR!$V106,IF(H108="GINOS",PR!$W106,IF(H108="GSK",PR!$X106,IF(H108="GLOBORG",PR!$Y106,IF(H108="GOODNEWS",PR!$Z106,IF(H108="GREENLIFE",PR!$AA106,IF(H108="HLINE",PR!$AB106,IF(H108="ROTECH",PR!$AC106,IF(H108="ISN",PR!$AD106,IF(H108="JAWA",PR!$AE106,IF(H108="LAYO",PR!$AF106,IF(H108="LEADWAY",PR!$AG106,IF(H108="LHV",PR!$AH106,IF(H108="MANOLA",PR!$AI106,IF(H108="MARCSON",PR!$AJ106,IF(H108="M&amp;B",PR!$AK106,IF(H108="MTRUST",PR!$AL106,IF(H108="MWORLD",PR!$AM106,IF(H108="MEGA",PR!$AN106,IF(H108="MICRONOVA",PR!$AO106,IF(H108="MFLASH",PR!$AP106,IF(H108="MORISON",PR!$AQ106,IF(H108="NEMEL",PR!$AR106,IF(H108="NHP",PR!$AS106,IF(H108="NHC",PR!$AT106,IF(H108="OLEAF",PR!$AU106,IF(H108="OCULUS",PR!$AV106,IF(H108="PACIFIC",PR!$AW106,IF(H108="PHAMATEX",PR!$AX106,IF(H108="PETHICS",PR!$AY106,IF(H108="PHILIPS",PR!$AZ106,IF(H108="RANBAXY",PR!$BA106,IF(H108="REALS",PR!$BB106,IF(H108="ROYAL",PR!$BC106,IF(H108="SAM",PR!$BD106,IF(H108="SEAGREEN",PR!$BE106,IF(H108="SKG",PR!$BF106,IF(H108="TAH",PR!$BG106,IF(H108="TAYLEK",PR!$BH106,IF(H108="TEMITA",PR!$BI106,IF(H108="THL",PR!$BJ106,IF(H108="UBASTIC",PR!$BK106,IF(H108="UNION",PR!$BL106,IF(H108="UNIQUE",PR!$BM106,IF(H108="VIXA",PR!$BN106,IF(H108="WWCV",PR!$BO106,IF(H108="ZOLON",PR!$BP106,"-"))))))))))))))))))))))))))))))))))))))))))))))))))))))))))))))))</f>
        <v>-</v>
      </c>
      <c r="H108" s="102">
        <f>EV!M130</f>
        <v>0</v>
      </c>
      <c r="I108" s="108" t="str">
        <f>IF(J108="ALPHA",PR!$E106,IF(J108="ASSENE",PR!$F106,IF(J108="BIOFEM",PR!$G106,IF(J108="BIOMED",PR!$H106,IF(J108="CHI",PR!$I106,IF(J108="CLARION",PR!$J106,IF(J108="CODIX",PR!$K106,IF(J108="COSMADE",PR!$L106,IF(J108="SANCON",PR!$M106,IF(J108="DEVON",PR!$N106,IF(J108="DORTEMAG",PR!$O106,IF(J108="DGF",PR!$P106,IF(J108="DYNAMIC",PR!$Q106,IF(J108="EMZOR",PR!$R106,IF(J108="EUMATT",PR!$S106,IF(J108="FIDSON",PR!$T106,IF(J108="FCGLOBAL",PR!$U106,IF(J108="GENEITH",PR!$V106,IF(J108="GINOS",PR!$W106,IF(J108="GSK",PR!$X106,IF(J108="GLOBORG",PR!$Y106,IF(J108="GOODNEWS",PR!$Z106,IF(J108="GREENLIFE",PR!$AA106,IF(J108="HLINE",PR!$AB106,IF(J108="ROTECH",PR!$AC106,IF(J108="ISN",PR!$AD106,IF(J108="JAWA",PR!$AE106,IF(J108="LAYO",PR!$AF106,IF(J108="LEADWAY",PR!$AG106,IF(J108="LHV",PR!$AH106,IF(J108="MANOLA",PR!$AI106,IF(J108="MARCSON",PR!$AJ106,IF(J108="M&amp;B",PR!$AK106,IF(J108="MTRUST",PR!$AL106,IF(J108="MWORLD",PR!$AM106,IF(J108="MEGA",PR!$AN106,IF(J108="MICRONOVA",PR!$AO106,IF(J108="MFLASH",PR!$AP106,IF(J108="MORISON",PR!$AQ106,IF(J108="NEMEL",PR!$AR106,IF(J108="NHP",PR!$AS106,IF(J108="NHC",PR!$AT106,IF(J108="OLEAF",PR!$AU106,IF(J108="OCULUS",PR!$AV106,IF(J108="PACIFIC",PR!$AW106,IF(J108="PHAMATEX",PR!$AX106,IF(J108="PETHICS",PR!$AY106,IF(J108="PHILIPS",PR!$AZ106,IF(J108="RANBAXY",PR!$BA106,IF(J108="REALS",PR!$BB106,IF(J108="ROYAL",PR!$BC106,IF(J108="SAM",PR!$BD106,IF(J108="SEAGREEN",PR!$BE106,IF(J108="SKG",PR!$BF106,IF(J108="TAH",PR!$BG106,IF(J108="TAYLEK",PR!$BH106,IF(J108="TEMITA",PR!$BI106,IF(J108="THL",PR!$BJ106,IF(J108="UBASTIC",PR!$BK106,IF(J108="UNION",PR!$BL106,IF(J108="UNIQUE",PR!$BM106,IF(J108="VIXA",PR!$BN106,IF(J108="WWCV",PR!$BO106,IF(J108="ZOLON",PR!$BP106,"-"))))))))))))))))))))))))))))))))))))))))))))))))))))))))))))))))</f>
        <v>-</v>
      </c>
      <c r="J108" s="102">
        <f>EV!N130</f>
        <v>0</v>
      </c>
      <c r="K108" s="433" t="s">
        <v>1446</v>
      </c>
      <c r="L108" s="183">
        <f>IF(K108&gt;0,IF(K108="ALPHA",PR!$E106,IF(K108="ASSENE",PR!$F106,IF(K108="BIOFEM",PR!$G106,IF(K108="BIOMED",PR!$H106,IF(K108="CHI",PR!$I106,IF(K108="CLARION",PR!$J106,IF(K108="CODIX",PR!$K106,IF(K108="COSMADE",PR!$L106,IF(K108="SANCON",PR!$M106,IF(K108="DEVON",PR!$N106,IF(K108="DORTEMAG",PR!$O106,IF(K108="DGF",PR!$P106,IF(K108="DYNAMIC",PR!$Q106,IF(K108="EMZOR",PR!$R106,IF(K108="EUMATT",PR!$S106,IF(K108="FIDSON",PR!$T106,IF(K108="FCGLOBAL",PR!$U106,IF(K108="GENEITH",PR!$V106,IF(K108="GINOS",PR!$W106,IF(K108="GSK",PR!$X106,IF(K108="GLOBORG",PR!$Y106,IF(K108="GOODNEWS",PR!$Z106,IF(K108="GREENLIFE",PR!$AA106,IF(K108="HLINE",PR!$AB106,IF(K108="ROTECH",PR!$AC106,IF(K108="ISN",PR!$AD106,IF(K108="JAWA",PR!$AE106,IF(K108="LAYO",PR!$AF106,IF(K108="LEADWAY",PR!$AG106,IF(K108="LHV",PR!$AH106,IF(K108="MANOLA",PR!$AI106,IF(K108="MARCSON",PR!$AJ106,IF(K108="M&amp;B",PR!$AK106,IF(K108="MTRUST",PR!$AL106,IF(K108="MWORLD",PR!$AM106,IF(K108="MEGA",PR!$AN106,IF(K108="MICRONOVA",PR!$AO106,IF(K108="MFLASH",PR!$AP106,IF(K108="MORISON",PR!$AQ106,IF(K108="NEMEL",PR!$AR106,IF(K108="NHP",PR!$AS106,IF(K108="NHC",PR!$AT106,IF(K108="OLEAF",PR!$AU106,IF(K108="OCULUS",PR!$AV106,IF(K108="PACIFIC",PR!$AW106,IF(K108="PHAMATEX",PR!$AX106,IF(K108="PETHICS",PR!$AY106,IF(K108="PHILIPS",PR!$AZ106,IF(K108="RANBAXY",PR!$BA106,IF(K108="REALS",PR!$BB106,IF(K108="ROYAL",PR!$BC106,IF(K108="SAM",PR!$BD106,IF(K108="SEAGREEN",PR!$BE106,IF(K108="SKG",PR!$BF106,IF(K108="TAH",PR!$BG106,IF(K108="TAYLEK",PR!$BH106,IF(K108="TEMITA",PR!$BI106,IF(K108="THL",PR!$BJ106,IF(K108="UBASTIC",PR!$BK106,IF(K108="UNION",PR!$BL106,IF(K108="UNIQUE",PR!$BM106,IF(K108="VIXA",PR!$BN106,IF(K108="WWCV",PR!$BO106,IF(K108="ZOLON",PR!$BP106,"-")))))))))))))))))))))))))))))))))))))))))))))))))))))))))))))))))</f>
        <v>4991</v>
      </c>
    </row>
    <row r="109" spans="1:12" ht="18.75" x14ac:dyDescent="0.3">
      <c r="A109" s="430">
        <f>PR!A107</f>
        <v>91</v>
      </c>
      <c r="B109" s="15" t="str">
        <f>PR!B107</f>
        <v>PERINDOPRIL/AMLODIPINE 10/5MG</v>
      </c>
      <c r="C109" s="113">
        <f>PR!D107</f>
        <v>30</v>
      </c>
      <c r="D109" s="113">
        <f>PR!C107</f>
        <v>10</v>
      </c>
      <c r="E109" s="108">
        <f>IF(F109="ALPHA",PR!$E107,IF(F109="ASSENE",PR!$F107,IF(F109="BIOFEM",PR!$G107,IF(F109="BIOMED",PR!$H107,IF(F109="CHI",PR!$I107,IF(F109="CLARION",PR!$J107,IF(F109="CODIX",PR!$K107,IF(F109="COSMADE",PR!$L107,IF(F109="SANCON",PR!$M107,IF(F109="DEVON",PR!$N107,IF(F109="DORTEMAG",PR!$O107,IF(F109="DGF",PR!$P107,IF(F109="DYNAMIC",PR!$Q107,IF(F109="EMZOR",PR!$R107,IF(F109="EUMATT",PR!$S107,IF(F109="FIDSON",PR!$T107,IF(F109="FCGLOBAL",PR!$U107,IF(F109="GENEITH",PR!$V107,IF(F109="GINOS",PR!$W107,IF(F109="GSK",PR!$X107,IF(F109="GLOBORG",PR!$Y107,IF(F109="GOODNEWS",PR!$Z107,IF(F109="GREENLIFE",PR!$AA107,IF(F109="HLINE",PR!$AB107,IF(F109="ROTECH",PR!$AC107,IF(F109="ISN",PR!$AD107,IF(F109="JAWA",PR!$AE107,IF(F109="LAYO",PR!$AF107,IF(F109="LEADWAY",PR!$AG107,IF(F109="LHV",PR!$AH107,IF(F109="MANOLA",PR!$AI107,IF(F109="MARCSON",PR!$AJ107,IF(F109="M&amp;B",PR!$AK107,IF(F109="MTRUST",PR!$AL107,IF(F109="MWORLD",PR!$AM107,IF(F109="MEGA",PR!$AN107,IF(F109="MICRONOVA",PR!$AO107,IF(F109="MFLASH",PR!$AP107,IF(F109="MORISON",PR!$AQ107,IF(F109="NEMEL",PR!$AR107,IF(F109="NHP",PR!$AS107,IF(F109="NHC",PR!$AT107,IF(F109="OLEAF",PR!$AU107,IF(F109="OCULUS",PR!$AV107,IF(F109="PACIFIC",PR!$AW107,IF(F109="PHAMATEX",PR!$AX107,IF(F109="PETHICS",PR!$AY107,IF(F109="PHILIPS",PR!$AZ107,IF(F109="RANBAXY",PR!$BA107,IF(F109="REALS",PR!$BB107,IF(F109="ROYAL",PR!$BC107,IF(F109="SAM",PR!$BD107,IF(F109="SEAGREEN",PR!$BE107,IF(F109="SKG",PR!$BF107,IF(F109="TAH",PR!$BG107,IF(F109="TAYLEK",PR!$BH107,IF(F109="TEMITA",PR!$BI107,IF(F109="THL",PR!$BJ107,IF(F109="UBASTIC",PR!$BK107,IF(F109="UNION",PR!$BL107,IF(F109="UNIQUE",PR!$BM107,IF(F109="VIXA",PR!$BN107,IF(F109="WWCV",PR!$BO107,IF(F109="ZOLON",PR!$BP107,"-"))))))))))))))))))))))))))))))))))))))))))))))))))))))))))))))))</f>
        <v>6900</v>
      </c>
      <c r="F109" s="102" t="str">
        <f>EV!L131</f>
        <v>CHI</v>
      </c>
      <c r="G109" s="108" t="str">
        <f>IF(H109="ALPHA",PR!$E107,IF(H109="ASSENE",PR!$F107,IF(H109="BIOFEM",PR!$G107,IF(H109="BIOMED",PR!$H107,IF(H109="CHI",PR!$I107,IF(H109="CLARION",PR!$J107,IF(H109="CODIX",PR!$K107,IF(H109="COSMADE",PR!$L107,IF(H109="SANCON",PR!$M107,IF(H109="DEVON",PR!$N107,IF(H109="DORTEMAG",PR!$O107,IF(H109="DGF",PR!$P107,IF(H109="DYNAMIC",PR!$Q107,IF(H109="EMZOR",PR!$R107,IF(H109="EUMATT",PR!$S107,IF(H109="FIDSON",PR!$T107,IF(H109="FCGLOBAL",PR!$U107,IF(H109="GENEITH",PR!$V107,IF(H109="GINOS",PR!$W107,IF(H109="GSK",PR!$X107,IF(H109="GLOBORG",PR!$Y107,IF(H109="GOODNEWS",PR!$Z107,IF(H109="GREENLIFE",PR!$AA107,IF(H109="HLINE",PR!$AB107,IF(H109="ROTECH",PR!$AC107,IF(H109="ISN",PR!$AD107,IF(H109="JAWA",PR!$AE107,IF(H109="LAYO",PR!$AF107,IF(H109="LEADWAY",PR!$AG107,IF(H109="LHV",PR!$AH107,IF(H109="MANOLA",PR!$AI107,IF(H109="MARCSON",PR!$AJ107,IF(H109="M&amp;B",PR!$AK107,IF(H109="MTRUST",PR!$AL107,IF(H109="MWORLD",PR!$AM107,IF(H109="MEGA",PR!$AN107,IF(H109="MICRONOVA",PR!$AO107,IF(H109="MFLASH",PR!$AP107,IF(H109="MORISON",PR!$AQ107,IF(H109="NEMEL",PR!$AR107,IF(H109="NHP",PR!$AS107,IF(H109="NHC",PR!$AT107,IF(H109="OLEAF",PR!$AU107,IF(H109="OCULUS",PR!$AV107,IF(H109="PACIFIC",PR!$AW107,IF(H109="PHAMATEX",PR!$AX107,IF(H109="PETHICS",PR!$AY107,IF(H109="PHILIPS",PR!$AZ107,IF(H109="RANBAXY",PR!$BA107,IF(H109="REALS",PR!$BB107,IF(H109="ROYAL",PR!$BC107,IF(H109="SAM",PR!$BD107,IF(H109="SEAGREEN",PR!$BE107,IF(H109="SKG",PR!$BF107,IF(H109="TAH",PR!$BG107,IF(H109="TAYLEK",PR!$BH107,IF(H109="TEMITA",PR!$BI107,IF(H109="THL",PR!$BJ107,IF(H109="UBASTIC",PR!$BK107,IF(H109="UNION",PR!$BL107,IF(H109="UNIQUE",PR!$BM107,IF(H109="VIXA",PR!$BN107,IF(H109="WWCV",PR!$BO107,IF(H109="ZOLON",PR!$BP107,"-"))))))))))))))))))))))))))))))))))))))))))))))))))))))))))))))))</f>
        <v>-</v>
      </c>
      <c r="H109" s="102">
        <f>EV!M131</f>
        <v>0</v>
      </c>
      <c r="I109" s="108" t="str">
        <f>IF(J109="ALPHA",PR!$E107,IF(J109="ASSENE",PR!$F107,IF(J109="BIOFEM",PR!$G107,IF(J109="BIOMED",PR!$H107,IF(J109="CHI",PR!$I107,IF(J109="CLARION",PR!$J107,IF(J109="CODIX",PR!$K107,IF(J109="COSMADE",PR!$L107,IF(J109="SANCON",PR!$M107,IF(J109="DEVON",PR!$N107,IF(J109="DORTEMAG",PR!$O107,IF(J109="DGF",PR!$P107,IF(J109="DYNAMIC",PR!$Q107,IF(J109="EMZOR",PR!$R107,IF(J109="EUMATT",PR!$S107,IF(J109="FIDSON",PR!$T107,IF(J109="FCGLOBAL",PR!$U107,IF(J109="GENEITH",PR!$V107,IF(J109="GINOS",PR!$W107,IF(J109="GSK",PR!$X107,IF(J109="GLOBORG",PR!$Y107,IF(J109="GOODNEWS",PR!$Z107,IF(J109="GREENLIFE",PR!$AA107,IF(J109="HLINE",PR!$AB107,IF(J109="ROTECH",PR!$AC107,IF(J109="ISN",PR!$AD107,IF(J109="JAWA",PR!$AE107,IF(J109="LAYO",PR!$AF107,IF(J109="LEADWAY",PR!$AG107,IF(J109="LHV",PR!$AH107,IF(J109="MANOLA",PR!$AI107,IF(J109="MARCSON",PR!$AJ107,IF(J109="M&amp;B",PR!$AK107,IF(J109="MTRUST",PR!$AL107,IF(J109="MWORLD",PR!$AM107,IF(J109="MEGA",PR!$AN107,IF(J109="MICRONOVA",PR!$AO107,IF(J109="MFLASH",PR!$AP107,IF(J109="MORISON",PR!$AQ107,IF(J109="NEMEL",PR!$AR107,IF(J109="NHP",PR!$AS107,IF(J109="NHC",PR!$AT107,IF(J109="OLEAF",PR!$AU107,IF(J109="OCULUS",PR!$AV107,IF(J109="PACIFIC",PR!$AW107,IF(J109="PHAMATEX",PR!$AX107,IF(J109="PETHICS",PR!$AY107,IF(J109="PHILIPS",PR!$AZ107,IF(J109="RANBAXY",PR!$BA107,IF(J109="REALS",PR!$BB107,IF(J109="ROYAL",PR!$BC107,IF(J109="SAM",PR!$BD107,IF(J109="SEAGREEN",PR!$BE107,IF(J109="SKG",PR!$BF107,IF(J109="TAH",PR!$BG107,IF(J109="TAYLEK",PR!$BH107,IF(J109="TEMITA",PR!$BI107,IF(J109="THL",PR!$BJ107,IF(J109="UBASTIC",PR!$BK107,IF(J109="UNION",PR!$BL107,IF(J109="UNIQUE",PR!$BM107,IF(J109="VIXA",PR!$BN107,IF(J109="WWCV",PR!$BO107,IF(J109="ZOLON",PR!$BP107,"-"))))))))))))))))))))))))))))))))))))))))))))))))))))))))))))))))</f>
        <v>-</v>
      </c>
      <c r="J109" s="102">
        <f>EV!N131</f>
        <v>0</v>
      </c>
      <c r="K109" s="433" t="s">
        <v>1446</v>
      </c>
      <c r="L109" s="183">
        <f>IF(K109&gt;0,IF(K109="ALPHA",PR!$E107,IF(K109="ASSENE",PR!$F107,IF(K109="BIOFEM",PR!$G107,IF(K109="BIOMED",PR!$H107,IF(K109="CHI",PR!$I107,IF(K109="CLARION",PR!$J107,IF(K109="CODIX",PR!$K107,IF(K109="COSMADE",PR!$L107,IF(K109="SANCON",PR!$M107,IF(K109="DEVON",PR!$N107,IF(K109="DORTEMAG",PR!$O107,IF(K109="DGF",PR!$P107,IF(K109="DYNAMIC",PR!$Q107,IF(K109="EMZOR",PR!$R107,IF(K109="EUMATT",PR!$S107,IF(K109="FIDSON",PR!$T107,IF(K109="FCGLOBAL",PR!$U107,IF(K109="GENEITH",PR!$V107,IF(K109="GINOS",PR!$W107,IF(K109="GSK",PR!$X107,IF(K109="GLOBORG",PR!$Y107,IF(K109="GOODNEWS",PR!$Z107,IF(K109="GREENLIFE",PR!$AA107,IF(K109="HLINE",PR!$AB107,IF(K109="ROTECH",PR!$AC107,IF(K109="ISN",PR!$AD107,IF(K109="JAWA",PR!$AE107,IF(K109="LAYO",PR!$AF107,IF(K109="LEADWAY",PR!$AG107,IF(K109="LHV",PR!$AH107,IF(K109="MANOLA",PR!$AI107,IF(K109="MARCSON",PR!$AJ107,IF(K109="M&amp;B",PR!$AK107,IF(K109="MTRUST",PR!$AL107,IF(K109="MWORLD",PR!$AM107,IF(K109="MEGA",PR!$AN107,IF(K109="MICRONOVA",PR!$AO107,IF(K109="MFLASH",PR!$AP107,IF(K109="MORISON",PR!$AQ107,IF(K109="NEMEL",PR!$AR107,IF(K109="NHP",PR!$AS107,IF(K109="NHC",PR!$AT107,IF(K109="OLEAF",PR!$AU107,IF(K109="OCULUS",PR!$AV107,IF(K109="PACIFIC",PR!$AW107,IF(K109="PHAMATEX",PR!$AX107,IF(K109="PETHICS",PR!$AY107,IF(K109="PHILIPS",PR!$AZ107,IF(K109="RANBAXY",PR!$BA107,IF(K109="REALS",PR!$BB107,IF(K109="ROYAL",PR!$BC107,IF(K109="SAM",PR!$BD107,IF(K109="SEAGREEN",PR!$BE107,IF(K109="SKG",PR!$BF107,IF(K109="TAH",PR!$BG107,IF(K109="TAYLEK",PR!$BH107,IF(K109="TEMITA",PR!$BI107,IF(K109="THL",PR!$BJ107,IF(K109="UBASTIC",PR!$BK107,IF(K109="UNION",PR!$BL107,IF(K109="UNIQUE",PR!$BM107,IF(K109="VIXA",PR!$BN107,IF(K109="WWCV",PR!$BO107,IF(K109="ZOLON",PR!$BP107,"-")))))))))))))))))))))))))))))))))))))))))))))))))))))))))))))))))</f>
        <v>6900</v>
      </c>
    </row>
    <row r="110" spans="1:12" ht="18.75" x14ac:dyDescent="0.3">
      <c r="A110" s="430">
        <f>PR!A108</f>
        <v>92</v>
      </c>
      <c r="B110" s="15" t="str">
        <f>PR!B108</f>
        <v>PERINDOPRIL/AMLODIPINE 5/5MG</v>
      </c>
      <c r="C110" s="113">
        <f>PR!D108</f>
        <v>30</v>
      </c>
      <c r="D110" s="113">
        <f>PR!C108</f>
        <v>10</v>
      </c>
      <c r="E110" s="108">
        <f>IF(F110="ALPHA",PR!$E108,IF(F110="ASSENE",PR!$F108,IF(F110="BIOFEM",PR!$G108,IF(F110="BIOMED",PR!$H108,IF(F110="CHI",PR!$I108,IF(F110="CLARION",PR!$J108,IF(F110="CODIX",PR!$K108,IF(F110="COSMADE",PR!$L108,IF(F110="SANCON",PR!$M108,IF(F110="DEVON",PR!$N108,IF(F110="DORTEMAG",PR!$O108,IF(F110="DGF",PR!$P108,IF(F110="DYNAMIC",PR!$Q108,IF(F110="EMZOR",PR!$R108,IF(F110="EUMATT",PR!$S108,IF(F110="FIDSON",PR!$T108,IF(F110="FCGLOBAL",PR!$U108,IF(F110="GENEITH",PR!$V108,IF(F110="GINOS",PR!$W108,IF(F110="GSK",PR!$X108,IF(F110="GLOBORG",PR!$Y108,IF(F110="GOODNEWS",PR!$Z108,IF(F110="GREENLIFE",PR!$AA108,IF(F110="HLINE",PR!$AB108,IF(F110="ROTECH",PR!$AC108,IF(F110="ISN",PR!$AD108,IF(F110="JAWA",PR!$AE108,IF(F110="LAYO",PR!$AF108,IF(F110="LEADWAY",PR!$AG108,IF(F110="LHV",PR!$AH108,IF(F110="MANOLA",PR!$AI108,IF(F110="MARCSON",PR!$AJ108,IF(F110="M&amp;B",PR!$AK108,IF(F110="MTRUST",PR!$AL108,IF(F110="MWORLD",PR!$AM108,IF(F110="MEGA",PR!$AN108,IF(F110="MICRONOVA",PR!$AO108,IF(F110="MFLASH",PR!$AP108,IF(F110="MORISON",PR!$AQ108,IF(F110="NEMEL",PR!$AR108,IF(F110="NHP",PR!$AS108,IF(F110="NHC",PR!$AT108,IF(F110="OLEAF",PR!$AU108,IF(F110="OCULUS",PR!$AV108,IF(F110="PACIFIC",PR!$AW108,IF(F110="PHAMATEX",PR!$AX108,IF(F110="PETHICS",PR!$AY108,IF(F110="PHILIPS",PR!$AZ108,IF(F110="RANBAXY",PR!$BA108,IF(F110="REALS",PR!$BB108,IF(F110="ROYAL",PR!$BC108,IF(F110="SAM",PR!$BD108,IF(F110="SEAGREEN",PR!$BE108,IF(F110="SKG",PR!$BF108,IF(F110="TAH",PR!$BG108,IF(F110="TAYLEK",PR!$BH108,IF(F110="TEMITA",PR!$BI108,IF(F110="THL",PR!$BJ108,IF(F110="UBASTIC",PR!$BK108,IF(F110="UNION",PR!$BL108,IF(F110="UNIQUE",PR!$BM108,IF(F110="VIXA",PR!$BN108,IF(F110="WWCV",PR!$BO108,IF(F110="ZOLON",PR!$BP108,"-"))))))))))))))))))))))))))))))))))))))))))))))))))))))))))))))))</f>
        <v>6900</v>
      </c>
      <c r="F110" s="102" t="str">
        <f>EV!L132</f>
        <v>CHI</v>
      </c>
      <c r="G110" s="108" t="str">
        <f>IF(H110="ALPHA",PR!$E108,IF(H110="ASSENE",PR!$F108,IF(H110="BIOFEM",PR!$G108,IF(H110="BIOMED",PR!$H108,IF(H110="CHI",PR!$I108,IF(H110="CLARION",PR!$J108,IF(H110="CODIX",PR!$K108,IF(H110="COSMADE",PR!$L108,IF(H110="SANCON",PR!$M108,IF(H110="DEVON",PR!$N108,IF(H110="DORTEMAG",PR!$O108,IF(H110="DGF",PR!$P108,IF(H110="DYNAMIC",PR!$Q108,IF(H110="EMZOR",PR!$R108,IF(H110="EUMATT",PR!$S108,IF(H110="FIDSON",PR!$T108,IF(H110="FCGLOBAL",PR!$U108,IF(H110="GENEITH",PR!$V108,IF(H110="GINOS",PR!$W108,IF(H110="GSK",PR!$X108,IF(H110="GLOBORG",PR!$Y108,IF(H110="GOODNEWS",PR!$Z108,IF(H110="GREENLIFE",PR!$AA108,IF(H110="HLINE",PR!$AB108,IF(H110="ROTECH",PR!$AC108,IF(H110="ISN",PR!$AD108,IF(H110="JAWA",PR!$AE108,IF(H110="LAYO",PR!$AF108,IF(H110="LEADWAY",PR!$AG108,IF(H110="LHV",PR!$AH108,IF(H110="MANOLA",PR!$AI108,IF(H110="MARCSON",PR!$AJ108,IF(H110="M&amp;B",PR!$AK108,IF(H110="MTRUST",PR!$AL108,IF(H110="MWORLD",PR!$AM108,IF(H110="MEGA",PR!$AN108,IF(H110="MICRONOVA",PR!$AO108,IF(H110="MFLASH",PR!$AP108,IF(H110="MORISON",PR!$AQ108,IF(H110="NEMEL",PR!$AR108,IF(H110="NHP",PR!$AS108,IF(H110="NHC",PR!$AT108,IF(H110="OLEAF",PR!$AU108,IF(H110="OCULUS",PR!$AV108,IF(H110="PACIFIC",PR!$AW108,IF(H110="PHAMATEX",PR!$AX108,IF(H110="PETHICS",PR!$AY108,IF(H110="PHILIPS",PR!$AZ108,IF(H110="RANBAXY",PR!$BA108,IF(H110="REALS",PR!$BB108,IF(H110="ROYAL",PR!$BC108,IF(H110="SAM",PR!$BD108,IF(H110="SEAGREEN",PR!$BE108,IF(H110="SKG",PR!$BF108,IF(H110="TAH",PR!$BG108,IF(H110="TAYLEK",PR!$BH108,IF(H110="TEMITA",PR!$BI108,IF(H110="THL",PR!$BJ108,IF(H110="UBASTIC",PR!$BK108,IF(H110="UNION",PR!$BL108,IF(H110="UNIQUE",PR!$BM108,IF(H110="VIXA",PR!$BN108,IF(H110="WWCV",PR!$BO108,IF(H110="ZOLON",PR!$BP108,"-"))))))))))))))))))))))))))))))))))))))))))))))))))))))))))))))))</f>
        <v>-</v>
      </c>
      <c r="H110" s="102">
        <f>EV!M132</f>
        <v>0</v>
      </c>
      <c r="I110" s="108" t="str">
        <f>IF(J110="ALPHA",PR!$E108,IF(J110="ASSENE",PR!$F108,IF(J110="BIOFEM",PR!$G108,IF(J110="BIOMED",PR!$H108,IF(J110="CHI",PR!$I108,IF(J110="CLARION",PR!$J108,IF(J110="CODIX",PR!$K108,IF(J110="COSMADE",PR!$L108,IF(J110="SANCON",PR!$M108,IF(J110="DEVON",PR!$N108,IF(J110="DORTEMAG",PR!$O108,IF(J110="DGF",PR!$P108,IF(J110="DYNAMIC",PR!$Q108,IF(J110="EMZOR",PR!$R108,IF(J110="EUMATT",PR!$S108,IF(J110="FIDSON",PR!$T108,IF(J110="FCGLOBAL",PR!$U108,IF(J110="GENEITH",PR!$V108,IF(J110="GINOS",PR!$W108,IF(J110="GSK",PR!$X108,IF(J110="GLOBORG",PR!$Y108,IF(J110="GOODNEWS",PR!$Z108,IF(J110="GREENLIFE",PR!$AA108,IF(J110="HLINE",PR!$AB108,IF(J110="ROTECH",PR!$AC108,IF(J110="ISN",PR!$AD108,IF(J110="JAWA",PR!$AE108,IF(J110="LAYO",PR!$AF108,IF(J110="LEADWAY",PR!$AG108,IF(J110="LHV",PR!$AH108,IF(J110="MANOLA",PR!$AI108,IF(J110="MARCSON",PR!$AJ108,IF(J110="M&amp;B",PR!$AK108,IF(J110="MTRUST",PR!$AL108,IF(J110="MWORLD",PR!$AM108,IF(J110="MEGA",PR!$AN108,IF(J110="MICRONOVA",PR!$AO108,IF(J110="MFLASH",PR!$AP108,IF(J110="MORISON",PR!$AQ108,IF(J110="NEMEL",PR!$AR108,IF(J110="NHP",PR!$AS108,IF(J110="NHC",PR!$AT108,IF(J110="OLEAF",PR!$AU108,IF(J110="OCULUS",PR!$AV108,IF(J110="PACIFIC",PR!$AW108,IF(J110="PHAMATEX",PR!$AX108,IF(J110="PETHICS",PR!$AY108,IF(J110="PHILIPS",PR!$AZ108,IF(J110="RANBAXY",PR!$BA108,IF(J110="REALS",PR!$BB108,IF(J110="ROYAL",PR!$BC108,IF(J110="SAM",PR!$BD108,IF(J110="SEAGREEN",PR!$BE108,IF(J110="SKG",PR!$BF108,IF(J110="TAH",PR!$BG108,IF(J110="TAYLEK",PR!$BH108,IF(J110="TEMITA",PR!$BI108,IF(J110="THL",PR!$BJ108,IF(J110="UBASTIC",PR!$BK108,IF(J110="UNION",PR!$BL108,IF(J110="UNIQUE",PR!$BM108,IF(J110="VIXA",PR!$BN108,IF(J110="WWCV",PR!$BO108,IF(J110="ZOLON",PR!$BP108,"-"))))))))))))))))))))))))))))))))))))))))))))))))))))))))))))))))</f>
        <v>-</v>
      </c>
      <c r="J110" s="102">
        <f>EV!N132</f>
        <v>0</v>
      </c>
      <c r="K110" s="433" t="s">
        <v>1446</v>
      </c>
      <c r="L110" s="183">
        <f>IF(K110&gt;0,IF(K110="ALPHA",PR!$E108,IF(K110="ASSENE",PR!$F108,IF(K110="BIOFEM",PR!$G108,IF(K110="BIOMED",PR!$H108,IF(K110="CHI",PR!$I108,IF(K110="CLARION",PR!$J108,IF(K110="CODIX",PR!$K108,IF(K110="COSMADE",PR!$L108,IF(K110="SANCON",PR!$M108,IF(K110="DEVON",PR!$N108,IF(K110="DORTEMAG",PR!$O108,IF(K110="DGF",PR!$P108,IF(K110="DYNAMIC",PR!$Q108,IF(K110="EMZOR",PR!$R108,IF(K110="EUMATT",PR!$S108,IF(K110="FIDSON",PR!$T108,IF(K110="FCGLOBAL",PR!$U108,IF(K110="GENEITH",PR!$V108,IF(K110="GINOS",PR!$W108,IF(K110="GSK",PR!$X108,IF(K110="GLOBORG",PR!$Y108,IF(K110="GOODNEWS",PR!$Z108,IF(K110="GREENLIFE",PR!$AA108,IF(K110="HLINE",PR!$AB108,IF(K110="ROTECH",PR!$AC108,IF(K110="ISN",PR!$AD108,IF(K110="JAWA",PR!$AE108,IF(K110="LAYO",PR!$AF108,IF(K110="LEADWAY",PR!$AG108,IF(K110="LHV",PR!$AH108,IF(K110="MANOLA",PR!$AI108,IF(K110="MARCSON",PR!$AJ108,IF(K110="M&amp;B",PR!$AK108,IF(K110="MTRUST",PR!$AL108,IF(K110="MWORLD",PR!$AM108,IF(K110="MEGA",PR!$AN108,IF(K110="MICRONOVA",PR!$AO108,IF(K110="MFLASH",PR!$AP108,IF(K110="MORISON",PR!$AQ108,IF(K110="NEMEL",PR!$AR108,IF(K110="NHP",PR!$AS108,IF(K110="NHC",PR!$AT108,IF(K110="OLEAF",PR!$AU108,IF(K110="OCULUS",PR!$AV108,IF(K110="PACIFIC",PR!$AW108,IF(K110="PHAMATEX",PR!$AX108,IF(K110="PETHICS",PR!$AY108,IF(K110="PHILIPS",PR!$AZ108,IF(K110="RANBAXY",PR!$BA108,IF(K110="REALS",PR!$BB108,IF(K110="ROYAL",PR!$BC108,IF(K110="SAM",PR!$BD108,IF(K110="SEAGREEN",PR!$BE108,IF(K110="SKG",PR!$BF108,IF(K110="TAH",PR!$BG108,IF(K110="TAYLEK",PR!$BH108,IF(K110="TEMITA",PR!$BI108,IF(K110="THL",PR!$BJ108,IF(K110="UBASTIC",PR!$BK108,IF(K110="UNION",PR!$BL108,IF(K110="UNIQUE",PR!$BM108,IF(K110="VIXA",PR!$BN108,IF(K110="WWCV",PR!$BO108,IF(K110="ZOLON",PR!$BP108,"-")))))))))))))))))))))))))))))))))))))))))))))))))))))))))))))))))</f>
        <v>6900</v>
      </c>
    </row>
    <row r="111" spans="1:12" ht="18.75" x14ac:dyDescent="0.3">
      <c r="A111" s="430">
        <f>PR!A109</f>
        <v>93</v>
      </c>
      <c r="B111" s="15" t="str">
        <f>PR!B109</f>
        <v>PERINDOPRIL/AMLODIPINE/INDAPAMIDE 10/10/2.5MG</v>
      </c>
      <c r="C111" s="113">
        <f>PR!D109</f>
        <v>30</v>
      </c>
      <c r="D111" s="113">
        <f>PR!C109</f>
        <v>12</v>
      </c>
      <c r="E111" s="108">
        <f>IF(F111="ALPHA",PR!$E109,IF(F111="ASSENE",PR!$F109,IF(F111="BIOFEM",PR!$G109,IF(F111="BIOMED",PR!$H109,IF(F111="CHI",PR!$I109,IF(F111="CLARION",PR!$J109,IF(F111="CODIX",PR!$K109,IF(F111="COSMADE",PR!$L109,IF(F111="SANCON",PR!$M109,IF(F111="DEVON",PR!$N109,IF(F111="DORTEMAG",PR!$O109,IF(F111="DGF",PR!$P109,IF(F111="DYNAMIC",PR!$Q109,IF(F111="EMZOR",PR!$R109,IF(F111="EUMATT",PR!$S109,IF(F111="FIDSON",PR!$T109,IF(F111="FCGLOBAL",PR!$U109,IF(F111="GENEITH",PR!$V109,IF(F111="GINOS",PR!$W109,IF(F111="GSK",PR!$X109,IF(F111="GLOBORG",PR!$Y109,IF(F111="GOODNEWS",PR!$Z109,IF(F111="GREENLIFE",PR!$AA109,IF(F111="HLINE",PR!$AB109,IF(F111="ROTECH",PR!$AC109,IF(F111="ISN",PR!$AD109,IF(F111="JAWA",PR!$AE109,IF(F111="LAYO",PR!$AF109,IF(F111="LEADWAY",PR!$AG109,IF(F111="LHV",PR!$AH109,IF(F111="MANOLA",PR!$AI109,IF(F111="MARCSON",PR!$AJ109,IF(F111="M&amp;B",PR!$AK109,IF(F111="MTRUST",PR!$AL109,IF(F111="MWORLD",PR!$AM109,IF(F111="MEGA",PR!$AN109,IF(F111="MICRONOVA",PR!$AO109,IF(F111="MFLASH",PR!$AP109,IF(F111="MORISON",PR!$AQ109,IF(F111="NEMEL",PR!$AR109,IF(F111="NHP",PR!$AS109,IF(F111="NHC",PR!$AT109,IF(F111="OLEAF",PR!$AU109,IF(F111="OCULUS",PR!$AV109,IF(F111="PACIFIC",PR!$AW109,IF(F111="PHAMATEX",PR!$AX109,IF(F111="PETHICS",PR!$AY109,IF(F111="PHILIPS",PR!$AZ109,IF(F111="RANBAXY",PR!$BA109,IF(F111="REALS",PR!$BB109,IF(F111="ROYAL",PR!$BC109,IF(F111="SAM",PR!$BD109,IF(F111="SEAGREEN",PR!$BE109,IF(F111="SKG",PR!$BF109,IF(F111="TAH",PR!$BG109,IF(F111="TAYLEK",PR!$BH109,IF(F111="TEMITA",PR!$BI109,IF(F111="THL",PR!$BJ109,IF(F111="UBASTIC",PR!$BK109,IF(F111="UNION",PR!$BL109,IF(F111="UNIQUE",PR!$BM109,IF(F111="VIXA",PR!$BN109,IF(F111="WWCV",PR!$BO109,IF(F111="ZOLON",PR!$BP109,"-"))))))))))))))))))))))))))))))))))))))))))))))))))))))))))))))))</f>
        <v>7475</v>
      </c>
      <c r="F111" s="102" t="str">
        <f>EV!L133</f>
        <v>CHI</v>
      </c>
      <c r="G111" s="108" t="str">
        <f>IF(H111="ALPHA",PR!$E109,IF(H111="ASSENE",PR!$F109,IF(H111="BIOFEM",PR!$G109,IF(H111="BIOMED",PR!$H109,IF(H111="CHI",PR!$I109,IF(H111="CLARION",PR!$J109,IF(H111="CODIX",PR!$K109,IF(H111="COSMADE",PR!$L109,IF(H111="SANCON",PR!$M109,IF(H111="DEVON",PR!$N109,IF(H111="DORTEMAG",PR!$O109,IF(H111="DGF",PR!$P109,IF(H111="DYNAMIC",PR!$Q109,IF(H111="EMZOR",PR!$R109,IF(H111="EUMATT",PR!$S109,IF(H111="FIDSON",PR!$T109,IF(H111="FCGLOBAL",PR!$U109,IF(H111="GENEITH",PR!$V109,IF(H111="GINOS",PR!$W109,IF(H111="GSK",PR!$X109,IF(H111="GLOBORG",PR!$Y109,IF(H111="GOODNEWS",PR!$Z109,IF(H111="GREENLIFE",PR!$AA109,IF(H111="HLINE",PR!$AB109,IF(H111="ROTECH",PR!$AC109,IF(H111="ISN",PR!$AD109,IF(H111="JAWA",PR!$AE109,IF(H111="LAYO",PR!$AF109,IF(H111="LEADWAY",PR!$AG109,IF(H111="LHV",PR!$AH109,IF(H111="MANOLA",PR!$AI109,IF(H111="MARCSON",PR!$AJ109,IF(H111="M&amp;B",PR!$AK109,IF(H111="MTRUST",PR!$AL109,IF(H111="MWORLD",PR!$AM109,IF(H111="MEGA",PR!$AN109,IF(H111="MICRONOVA",PR!$AO109,IF(H111="MFLASH",PR!$AP109,IF(H111="MORISON",PR!$AQ109,IF(H111="NEMEL",PR!$AR109,IF(H111="NHP",PR!$AS109,IF(H111="NHC",PR!$AT109,IF(H111="OLEAF",PR!$AU109,IF(H111="OCULUS",PR!$AV109,IF(H111="PACIFIC",PR!$AW109,IF(H111="PHAMATEX",PR!$AX109,IF(H111="PETHICS",PR!$AY109,IF(H111="PHILIPS",PR!$AZ109,IF(H111="RANBAXY",PR!$BA109,IF(H111="REALS",PR!$BB109,IF(H111="ROYAL",PR!$BC109,IF(H111="SAM",PR!$BD109,IF(H111="SEAGREEN",PR!$BE109,IF(H111="SKG",PR!$BF109,IF(H111="TAH",PR!$BG109,IF(H111="TAYLEK",PR!$BH109,IF(H111="TEMITA",PR!$BI109,IF(H111="THL",PR!$BJ109,IF(H111="UBASTIC",PR!$BK109,IF(H111="UNION",PR!$BL109,IF(H111="UNIQUE",PR!$BM109,IF(H111="VIXA",PR!$BN109,IF(H111="WWCV",PR!$BO109,IF(H111="ZOLON",PR!$BP109,"-"))))))))))))))))))))))))))))))))))))))))))))))))))))))))))))))))</f>
        <v>-</v>
      </c>
      <c r="H111" s="102">
        <f>EV!M133</f>
        <v>0</v>
      </c>
      <c r="I111" s="108" t="str">
        <f>IF(J111="ALPHA",PR!$E109,IF(J111="ASSENE",PR!$F109,IF(J111="BIOFEM",PR!$G109,IF(J111="BIOMED",PR!$H109,IF(J111="CHI",PR!$I109,IF(J111="CLARION",PR!$J109,IF(J111="CODIX",PR!$K109,IF(J111="COSMADE",PR!$L109,IF(J111="SANCON",PR!$M109,IF(J111="DEVON",PR!$N109,IF(J111="DORTEMAG",PR!$O109,IF(J111="DGF",PR!$P109,IF(J111="DYNAMIC",PR!$Q109,IF(J111="EMZOR",PR!$R109,IF(J111="EUMATT",PR!$S109,IF(J111="FIDSON",PR!$T109,IF(J111="FCGLOBAL",PR!$U109,IF(J111="GENEITH",PR!$V109,IF(J111="GINOS",PR!$W109,IF(J111="GSK",PR!$X109,IF(J111="GLOBORG",PR!$Y109,IF(J111="GOODNEWS",PR!$Z109,IF(J111="GREENLIFE",PR!$AA109,IF(J111="HLINE",PR!$AB109,IF(J111="ROTECH",PR!$AC109,IF(J111="ISN",PR!$AD109,IF(J111="JAWA",PR!$AE109,IF(J111="LAYO",PR!$AF109,IF(J111="LEADWAY",PR!$AG109,IF(J111="LHV",PR!$AH109,IF(J111="MANOLA",PR!$AI109,IF(J111="MARCSON",PR!$AJ109,IF(J111="M&amp;B",PR!$AK109,IF(J111="MTRUST",PR!$AL109,IF(J111="MWORLD",PR!$AM109,IF(J111="MEGA",PR!$AN109,IF(J111="MICRONOVA",PR!$AO109,IF(J111="MFLASH",PR!$AP109,IF(J111="MORISON",PR!$AQ109,IF(J111="NEMEL",PR!$AR109,IF(J111="NHP",PR!$AS109,IF(J111="NHC",PR!$AT109,IF(J111="OLEAF",PR!$AU109,IF(J111="OCULUS",PR!$AV109,IF(J111="PACIFIC",PR!$AW109,IF(J111="PHAMATEX",PR!$AX109,IF(J111="PETHICS",PR!$AY109,IF(J111="PHILIPS",PR!$AZ109,IF(J111="RANBAXY",PR!$BA109,IF(J111="REALS",PR!$BB109,IF(J111="ROYAL",PR!$BC109,IF(J111="SAM",PR!$BD109,IF(J111="SEAGREEN",PR!$BE109,IF(J111="SKG",PR!$BF109,IF(J111="TAH",PR!$BG109,IF(J111="TAYLEK",PR!$BH109,IF(J111="TEMITA",PR!$BI109,IF(J111="THL",PR!$BJ109,IF(J111="UBASTIC",PR!$BK109,IF(J111="UNION",PR!$BL109,IF(J111="UNIQUE",PR!$BM109,IF(J111="VIXA",PR!$BN109,IF(J111="WWCV",PR!$BO109,IF(J111="ZOLON",PR!$BP109,"-"))))))))))))))))))))))))))))))))))))))))))))))))))))))))))))))))</f>
        <v>-</v>
      </c>
      <c r="J111" s="102">
        <f>EV!N133</f>
        <v>0</v>
      </c>
      <c r="K111" s="433" t="s">
        <v>1446</v>
      </c>
      <c r="L111" s="183">
        <f>IF(K111&gt;0,IF(K111="ALPHA",PR!$E109,IF(K111="ASSENE",PR!$F109,IF(K111="BIOFEM",PR!$G109,IF(K111="BIOMED",PR!$H109,IF(K111="CHI",PR!$I109,IF(K111="CLARION",PR!$J109,IF(K111="CODIX",PR!$K109,IF(K111="COSMADE",PR!$L109,IF(K111="SANCON",PR!$M109,IF(K111="DEVON",PR!$N109,IF(K111="DORTEMAG",PR!$O109,IF(K111="DGF",PR!$P109,IF(K111="DYNAMIC",PR!$Q109,IF(K111="EMZOR",PR!$R109,IF(K111="EUMATT",PR!$S109,IF(K111="FIDSON",PR!$T109,IF(K111="FCGLOBAL",PR!$U109,IF(K111="GENEITH",PR!$V109,IF(K111="GINOS",PR!$W109,IF(K111="GSK",PR!$X109,IF(K111="GLOBORG",PR!$Y109,IF(K111="GOODNEWS",PR!$Z109,IF(K111="GREENLIFE",PR!$AA109,IF(K111="HLINE",PR!$AB109,IF(K111="ROTECH",PR!$AC109,IF(K111="ISN",PR!$AD109,IF(K111="JAWA",PR!$AE109,IF(K111="LAYO",PR!$AF109,IF(K111="LEADWAY",PR!$AG109,IF(K111="LHV",PR!$AH109,IF(K111="MANOLA",PR!$AI109,IF(K111="MARCSON",PR!$AJ109,IF(K111="M&amp;B",PR!$AK109,IF(K111="MTRUST",PR!$AL109,IF(K111="MWORLD",PR!$AM109,IF(K111="MEGA",PR!$AN109,IF(K111="MICRONOVA",PR!$AO109,IF(K111="MFLASH",PR!$AP109,IF(K111="MORISON",PR!$AQ109,IF(K111="NEMEL",PR!$AR109,IF(K111="NHP",PR!$AS109,IF(K111="NHC",PR!$AT109,IF(K111="OLEAF",PR!$AU109,IF(K111="OCULUS",PR!$AV109,IF(K111="PACIFIC",PR!$AW109,IF(K111="PHAMATEX",PR!$AX109,IF(K111="PETHICS",PR!$AY109,IF(K111="PHILIPS",PR!$AZ109,IF(K111="RANBAXY",PR!$BA109,IF(K111="REALS",PR!$BB109,IF(K111="ROYAL",PR!$BC109,IF(K111="SAM",PR!$BD109,IF(K111="SEAGREEN",PR!$BE109,IF(K111="SKG",PR!$BF109,IF(K111="TAH",PR!$BG109,IF(K111="TAYLEK",PR!$BH109,IF(K111="TEMITA",PR!$BI109,IF(K111="THL",PR!$BJ109,IF(K111="UBASTIC",PR!$BK109,IF(K111="UNION",PR!$BL109,IF(K111="UNIQUE",PR!$BM109,IF(K111="VIXA",PR!$BN109,IF(K111="WWCV",PR!$BO109,IF(K111="ZOLON",PR!$BP109,"-")))))))))))))))))))))))))))))))))))))))))))))))))))))))))))))))))</f>
        <v>7475</v>
      </c>
    </row>
    <row r="112" spans="1:12" ht="18.75" x14ac:dyDescent="0.3">
      <c r="A112" s="430">
        <f>PR!A110</f>
        <v>94</v>
      </c>
      <c r="B112" s="15" t="str">
        <f>PR!B110</f>
        <v>PERINDOPRIL/AMLODIPINE/INDAPAMIDE 10/5/2.5MG</v>
      </c>
      <c r="C112" s="113">
        <f>PR!D110</f>
        <v>30</v>
      </c>
      <c r="D112" s="113">
        <f>PR!C110</f>
        <v>12</v>
      </c>
      <c r="E112" s="108">
        <f>IF(F112="ALPHA",PR!$E110,IF(F112="ASSENE",PR!$F110,IF(F112="BIOFEM",PR!$G110,IF(F112="BIOMED",PR!$H110,IF(F112="CHI",PR!$I110,IF(F112="CLARION",PR!$J110,IF(F112="CODIX",PR!$K110,IF(F112="COSMADE",PR!$L110,IF(F112="SANCON",PR!$M110,IF(F112="DEVON",PR!$N110,IF(F112="DORTEMAG",PR!$O110,IF(F112="DGF",PR!$P110,IF(F112="DYNAMIC",PR!$Q110,IF(F112="EMZOR",PR!$R110,IF(F112="EUMATT",PR!$S110,IF(F112="FIDSON",PR!$T110,IF(F112="FCGLOBAL",PR!$U110,IF(F112="GENEITH",PR!$V110,IF(F112="GINOS",PR!$W110,IF(F112="GSK",PR!$X110,IF(F112="GLOBORG",PR!$Y110,IF(F112="GOODNEWS",PR!$Z110,IF(F112="GREENLIFE",PR!$AA110,IF(F112="HLINE",PR!$AB110,IF(F112="ROTECH",PR!$AC110,IF(F112="ISN",PR!$AD110,IF(F112="JAWA",PR!$AE110,IF(F112="LAYO",PR!$AF110,IF(F112="LEADWAY",PR!$AG110,IF(F112="LHV",PR!$AH110,IF(F112="MANOLA",PR!$AI110,IF(F112="MARCSON",PR!$AJ110,IF(F112="M&amp;B",PR!$AK110,IF(F112="MTRUST",PR!$AL110,IF(F112="MWORLD",PR!$AM110,IF(F112="MEGA",PR!$AN110,IF(F112="MICRONOVA",PR!$AO110,IF(F112="MFLASH",PR!$AP110,IF(F112="MORISON",PR!$AQ110,IF(F112="NEMEL",PR!$AR110,IF(F112="NHP",PR!$AS110,IF(F112="NHC",PR!$AT110,IF(F112="OLEAF",PR!$AU110,IF(F112="OCULUS",PR!$AV110,IF(F112="PACIFIC",PR!$AW110,IF(F112="PHAMATEX",PR!$AX110,IF(F112="PETHICS",PR!$AY110,IF(F112="PHILIPS",PR!$AZ110,IF(F112="RANBAXY",PR!$BA110,IF(F112="REALS",PR!$BB110,IF(F112="ROYAL",PR!$BC110,IF(F112="SAM",PR!$BD110,IF(F112="SEAGREEN",PR!$BE110,IF(F112="SKG",PR!$BF110,IF(F112="TAH",PR!$BG110,IF(F112="TAYLEK",PR!$BH110,IF(F112="TEMITA",PR!$BI110,IF(F112="THL",PR!$BJ110,IF(F112="UBASTIC",PR!$BK110,IF(F112="UNION",PR!$BL110,IF(F112="UNIQUE",PR!$BM110,IF(F112="VIXA",PR!$BN110,IF(F112="WWCV",PR!$BO110,IF(F112="ZOLON",PR!$BP110,"-"))))))))))))))))))))))))))))))))))))))))))))))))))))))))))))))))</f>
        <v>7475</v>
      </c>
      <c r="F112" s="102" t="str">
        <f>EV!L134</f>
        <v>CHI</v>
      </c>
      <c r="G112" s="108" t="str">
        <f>IF(H112="ALPHA",PR!$E110,IF(H112="ASSENE",PR!$F110,IF(H112="BIOFEM",PR!$G110,IF(H112="BIOMED",PR!$H110,IF(H112="CHI",PR!$I110,IF(H112="CLARION",PR!$J110,IF(H112="CODIX",PR!$K110,IF(H112="COSMADE",PR!$L110,IF(H112="SANCON",PR!$M110,IF(H112="DEVON",PR!$N110,IF(H112="DORTEMAG",PR!$O110,IF(H112="DGF",PR!$P110,IF(H112="DYNAMIC",PR!$Q110,IF(H112="EMZOR",PR!$R110,IF(H112="EUMATT",PR!$S110,IF(H112="FIDSON",PR!$T110,IF(H112="FCGLOBAL",PR!$U110,IF(H112="GENEITH",PR!$V110,IF(H112="GINOS",PR!$W110,IF(H112="GSK",PR!$X110,IF(H112="GLOBORG",PR!$Y110,IF(H112="GOODNEWS",PR!$Z110,IF(H112="GREENLIFE",PR!$AA110,IF(H112="HLINE",PR!$AB110,IF(H112="ROTECH",PR!$AC110,IF(H112="ISN",PR!$AD110,IF(H112="JAWA",PR!$AE110,IF(H112="LAYO",PR!$AF110,IF(H112="LEADWAY",PR!$AG110,IF(H112="LHV",PR!$AH110,IF(H112="MANOLA",PR!$AI110,IF(H112="MARCSON",PR!$AJ110,IF(H112="M&amp;B",PR!$AK110,IF(H112="MTRUST",PR!$AL110,IF(H112="MWORLD",PR!$AM110,IF(H112="MEGA",PR!$AN110,IF(H112="MICRONOVA",PR!$AO110,IF(H112="MFLASH",PR!$AP110,IF(H112="MORISON",PR!$AQ110,IF(H112="NEMEL",PR!$AR110,IF(H112="NHP",PR!$AS110,IF(H112="NHC",PR!$AT110,IF(H112="OLEAF",PR!$AU110,IF(H112="OCULUS",PR!$AV110,IF(H112="PACIFIC",PR!$AW110,IF(H112="PHAMATEX",PR!$AX110,IF(H112="PETHICS",PR!$AY110,IF(H112="PHILIPS",PR!$AZ110,IF(H112="RANBAXY",PR!$BA110,IF(H112="REALS",PR!$BB110,IF(H112="ROYAL",PR!$BC110,IF(H112="SAM",PR!$BD110,IF(H112="SEAGREEN",PR!$BE110,IF(H112="SKG",PR!$BF110,IF(H112="TAH",PR!$BG110,IF(H112="TAYLEK",PR!$BH110,IF(H112="TEMITA",PR!$BI110,IF(H112="THL",PR!$BJ110,IF(H112="UBASTIC",PR!$BK110,IF(H112="UNION",PR!$BL110,IF(H112="UNIQUE",PR!$BM110,IF(H112="VIXA",PR!$BN110,IF(H112="WWCV",PR!$BO110,IF(H112="ZOLON",PR!$BP110,"-"))))))))))))))))))))))))))))))))))))))))))))))))))))))))))))))))</f>
        <v>-</v>
      </c>
      <c r="H112" s="102">
        <f>EV!M134</f>
        <v>0</v>
      </c>
      <c r="I112" s="108" t="str">
        <f>IF(J112="ALPHA",PR!$E110,IF(J112="ASSENE",PR!$F110,IF(J112="BIOFEM",PR!$G110,IF(J112="BIOMED",PR!$H110,IF(J112="CHI",PR!$I110,IF(J112="CLARION",PR!$J110,IF(J112="CODIX",PR!$K110,IF(J112="COSMADE",PR!$L110,IF(J112="SANCON",PR!$M110,IF(J112="DEVON",PR!$N110,IF(J112="DORTEMAG",PR!$O110,IF(J112="DGF",PR!$P110,IF(J112="DYNAMIC",PR!$Q110,IF(J112="EMZOR",PR!$R110,IF(J112="EUMATT",PR!$S110,IF(J112="FIDSON",PR!$T110,IF(J112="FCGLOBAL",PR!$U110,IF(J112="GENEITH",PR!$V110,IF(J112="GINOS",PR!$W110,IF(J112="GSK",PR!$X110,IF(J112="GLOBORG",PR!$Y110,IF(J112="GOODNEWS",PR!$Z110,IF(J112="GREENLIFE",PR!$AA110,IF(J112="HLINE",PR!$AB110,IF(J112="ROTECH",PR!$AC110,IF(J112="ISN",PR!$AD110,IF(J112="JAWA",PR!$AE110,IF(J112="LAYO",PR!$AF110,IF(J112="LEADWAY",PR!$AG110,IF(J112="LHV",PR!$AH110,IF(J112="MANOLA",PR!$AI110,IF(J112="MARCSON",PR!$AJ110,IF(J112="M&amp;B",PR!$AK110,IF(J112="MTRUST",PR!$AL110,IF(J112="MWORLD",PR!$AM110,IF(J112="MEGA",PR!$AN110,IF(J112="MICRONOVA",PR!$AO110,IF(J112="MFLASH",PR!$AP110,IF(J112="MORISON",PR!$AQ110,IF(J112="NEMEL",PR!$AR110,IF(J112="NHP",PR!$AS110,IF(J112="NHC",PR!$AT110,IF(J112="OLEAF",PR!$AU110,IF(J112="OCULUS",PR!$AV110,IF(J112="PACIFIC",PR!$AW110,IF(J112="PHAMATEX",PR!$AX110,IF(J112="PETHICS",PR!$AY110,IF(J112="PHILIPS",PR!$AZ110,IF(J112="RANBAXY",PR!$BA110,IF(J112="REALS",PR!$BB110,IF(J112="ROYAL",PR!$BC110,IF(J112="SAM",PR!$BD110,IF(J112="SEAGREEN",PR!$BE110,IF(J112="SKG",PR!$BF110,IF(J112="TAH",PR!$BG110,IF(J112="TAYLEK",PR!$BH110,IF(J112="TEMITA",PR!$BI110,IF(J112="THL",PR!$BJ110,IF(J112="UBASTIC",PR!$BK110,IF(J112="UNION",PR!$BL110,IF(J112="UNIQUE",PR!$BM110,IF(J112="VIXA",PR!$BN110,IF(J112="WWCV",PR!$BO110,IF(J112="ZOLON",PR!$BP110,"-"))))))))))))))))))))))))))))))))))))))))))))))))))))))))))))))))</f>
        <v>-</v>
      </c>
      <c r="J112" s="102">
        <f>EV!N134</f>
        <v>0</v>
      </c>
      <c r="K112" s="433" t="s">
        <v>1446</v>
      </c>
      <c r="L112" s="183">
        <f>IF(K112&gt;0,IF(K112="ALPHA",PR!$E110,IF(K112="ASSENE",PR!$F110,IF(K112="BIOFEM",PR!$G110,IF(K112="BIOMED",PR!$H110,IF(K112="CHI",PR!$I110,IF(K112="CLARION",PR!$J110,IF(K112="CODIX",PR!$K110,IF(K112="COSMADE",PR!$L110,IF(K112="SANCON",PR!$M110,IF(K112="DEVON",PR!$N110,IF(K112="DORTEMAG",PR!$O110,IF(K112="DGF",PR!$P110,IF(K112="DYNAMIC",PR!$Q110,IF(K112="EMZOR",PR!$R110,IF(K112="EUMATT",PR!$S110,IF(K112="FIDSON",PR!$T110,IF(K112="FCGLOBAL",PR!$U110,IF(K112="GENEITH",PR!$V110,IF(K112="GINOS",PR!$W110,IF(K112="GSK",PR!$X110,IF(K112="GLOBORG",PR!$Y110,IF(K112="GOODNEWS",PR!$Z110,IF(K112="GREENLIFE",PR!$AA110,IF(K112="HLINE",PR!$AB110,IF(K112="ROTECH",PR!$AC110,IF(K112="ISN",PR!$AD110,IF(K112="JAWA",PR!$AE110,IF(K112="LAYO",PR!$AF110,IF(K112="LEADWAY",PR!$AG110,IF(K112="LHV",PR!$AH110,IF(K112="MANOLA",PR!$AI110,IF(K112="MARCSON",PR!$AJ110,IF(K112="M&amp;B",PR!$AK110,IF(K112="MTRUST",PR!$AL110,IF(K112="MWORLD",PR!$AM110,IF(K112="MEGA",PR!$AN110,IF(K112="MICRONOVA",PR!$AO110,IF(K112="MFLASH",PR!$AP110,IF(K112="MORISON",PR!$AQ110,IF(K112="NEMEL",PR!$AR110,IF(K112="NHP",PR!$AS110,IF(K112="NHC",PR!$AT110,IF(K112="OLEAF",PR!$AU110,IF(K112="OCULUS",PR!$AV110,IF(K112="PACIFIC",PR!$AW110,IF(K112="PHAMATEX",PR!$AX110,IF(K112="PETHICS",PR!$AY110,IF(K112="PHILIPS",PR!$AZ110,IF(K112="RANBAXY",PR!$BA110,IF(K112="REALS",PR!$BB110,IF(K112="ROYAL",PR!$BC110,IF(K112="SAM",PR!$BD110,IF(K112="SEAGREEN",PR!$BE110,IF(K112="SKG",PR!$BF110,IF(K112="TAH",PR!$BG110,IF(K112="TAYLEK",PR!$BH110,IF(K112="TEMITA",PR!$BI110,IF(K112="THL",PR!$BJ110,IF(K112="UBASTIC",PR!$BK110,IF(K112="UNION",PR!$BL110,IF(K112="UNIQUE",PR!$BM110,IF(K112="VIXA",PR!$BN110,IF(K112="WWCV",PR!$BO110,IF(K112="ZOLON",PR!$BP110,"-")))))))))))))))))))))))))))))))))))))))))))))))))))))))))))))))))</f>
        <v>7475</v>
      </c>
    </row>
    <row r="113" spans="1:12" ht="18.75" x14ac:dyDescent="0.3">
      <c r="A113" s="430">
        <f>PR!A111</f>
        <v>95</v>
      </c>
      <c r="B113" s="15" t="str">
        <f>PR!B111</f>
        <v xml:space="preserve">PROPRANOLOL 40MG </v>
      </c>
      <c r="C113" s="113">
        <f>PR!D111</f>
        <v>28</v>
      </c>
      <c r="D113" s="113">
        <f>PR!C111</f>
        <v>1000</v>
      </c>
      <c r="E113" s="108">
        <f>IF(F113="ALPHA",PR!$E111,IF(F113="ASSENE",PR!$F111,IF(F113="BIOFEM",PR!$G111,IF(F113="BIOMED",PR!$H111,IF(F113="CHI",PR!$I111,IF(F113="CLARION",PR!$J111,IF(F113="CODIX",PR!$K111,IF(F113="COSMADE",PR!$L111,IF(F113="SANCON",PR!$M111,IF(F113="DEVON",PR!$N111,IF(F113="DORTEMAG",PR!$O111,IF(F113="DGF",PR!$P111,IF(F113="DYNAMIC",PR!$Q111,IF(F113="EMZOR",PR!$R111,IF(F113="EUMATT",PR!$S111,IF(F113="FIDSON",PR!$T111,IF(F113="FCGLOBAL",PR!$U111,IF(F113="GENEITH",PR!$V111,IF(F113="GINOS",PR!$W111,IF(F113="GSK",PR!$X111,IF(F113="GLOBORG",PR!$Y111,IF(F113="GOODNEWS",PR!$Z111,IF(F113="GREENLIFE",PR!$AA111,IF(F113="HLINE",PR!$AB111,IF(F113="ROTECH",PR!$AC111,IF(F113="ISN",PR!$AD111,IF(F113="JAWA",PR!$AE111,IF(F113="LAYO",PR!$AF111,IF(F113="LEADWAY",PR!$AG111,IF(F113="LHV",PR!$AH111,IF(F113="MANOLA",PR!$AI111,IF(F113="MARCSON",PR!$AJ111,IF(F113="M&amp;B",PR!$AK111,IF(F113="MTRUST",PR!$AL111,IF(F113="MWORLD",PR!$AM111,IF(F113="MEGA",PR!$AN111,IF(F113="MICRONOVA",PR!$AO111,IF(F113="MFLASH",PR!$AP111,IF(F113="MORISON",PR!$AQ111,IF(F113="NEMEL",PR!$AR111,IF(F113="NHP",PR!$AS111,IF(F113="NHC",PR!$AT111,IF(F113="OLEAF",PR!$AU111,IF(F113="OCULUS",PR!$AV111,IF(F113="PACIFIC",PR!$AW111,IF(F113="PHAMATEX",PR!$AX111,IF(F113="PETHICS",PR!$AY111,IF(F113="PHILIPS",PR!$AZ111,IF(F113="RANBAXY",PR!$BA111,IF(F113="REALS",PR!$BB111,IF(F113="ROYAL",PR!$BC111,IF(F113="SAM",PR!$BD111,IF(F113="SEAGREEN",PR!$BE111,IF(F113="SKG",PR!$BF111,IF(F113="TAH",PR!$BG111,IF(F113="TAYLEK",PR!$BH111,IF(F113="TEMITA",PR!$BI111,IF(F113="THL",PR!$BJ111,IF(F113="UBASTIC",PR!$BK111,IF(F113="UNION",PR!$BL111,IF(F113="UNIQUE",PR!$BM111,IF(F113="VIXA",PR!$BN111,IF(F113="WWCV",PR!$BO111,IF(F113="ZOLON",PR!$BP111,"-"))))))))))))))))))))))))))))))))))))))))))))))))))))))))))))))))</f>
        <v>2200</v>
      </c>
      <c r="F113" s="102" t="str">
        <f>EV!L135</f>
        <v>EUMATT</v>
      </c>
      <c r="G113" s="108" t="str">
        <f>IF(H113="ALPHA",PR!$E111,IF(H113="ASSENE",PR!$F111,IF(H113="BIOFEM",PR!$G111,IF(H113="BIOMED",PR!$H111,IF(H113="CHI",PR!$I111,IF(H113="CLARION",PR!$J111,IF(H113="CODIX",PR!$K111,IF(H113="COSMADE",PR!$L111,IF(H113="SANCON",PR!$M111,IF(H113="DEVON",PR!$N111,IF(H113="DORTEMAG",PR!$O111,IF(H113="DGF",PR!$P111,IF(H113="DYNAMIC",PR!$Q111,IF(H113="EMZOR",PR!$R111,IF(H113="EUMATT",PR!$S111,IF(H113="FIDSON",PR!$T111,IF(H113="FCGLOBAL",PR!$U111,IF(H113="GENEITH",PR!$V111,IF(H113="GINOS",PR!$W111,IF(H113="GSK",PR!$X111,IF(H113="GLOBORG",PR!$Y111,IF(H113="GOODNEWS",PR!$Z111,IF(H113="GREENLIFE",PR!$AA111,IF(H113="HLINE",PR!$AB111,IF(H113="ROTECH",PR!$AC111,IF(H113="ISN",PR!$AD111,IF(H113="JAWA",PR!$AE111,IF(H113="LAYO",PR!$AF111,IF(H113="LEADWAY",PR!$AG111,IF(H113="LHV",PR!$AH111,IF(H113="MANOLA",PR!$AI111,IF(H113="MARCSON",PR!$AJ111,IF(H113="M&amp;B",PR!$AK111,IF(H113="MTRUST",PR!$AL111,IF(H113="MWORLD",PR!$AM111,IF(H113="MEGA",PR!$AN111,IF(H113="MICRONOVA",PR!$AO111,IF(H113="MFLASH",PR!$AP111,IF(H113="MORISON",PR!$AQ111,IF(H113="NEMEL",PR!$AR111,IF(H113="NHP",PR!$AS111,IF(H113="NHC",PR!$AT111,IF(H113="OLEAF",PR!$AU111,IF(H113="OCULUS",PR!$AV111,IF(H113="PACIFIC",PR!$AW111,IF(H113="PHAMATEX",PR!$AX111,IF(H113="PETHICS",PR!$AY111,IF(H113="PHILIPS",PR!$AZ111,IF(H113="RANBAXY",PR!$BA111,IF(H113="REALS",PR!$BB111,IF(H113="ROYAL",PR!$BC111,IF(H113="SAM",PR!$BD111,IF(H113="SEAGREEN",PR!$BE111,IF(H113="SKG",PR!$BF111,IF(H113="TAH",PR!$BG111,IF(H113="TAYLEK",PR!$BH111,IF(H113="TEMITA",PR!$BI111,IF(H113="THL",PR!$BJ111,IF(H113="UBASTIC",PR!$BK111,IF(H113="UNION",PR!$BL111,IF(H113="UNIQUE",PR!$BM111,IF(H113="VIXA",PR!$BN111,IF(H113="WWCV",PR!$BO111,IF(H113="ZOLON",PR!$BP111,"-"))))))))))))))))))))))))))))))))))))))))))))))))))))))))))))))))</f>
        <v>-</v>
      </c>
      <c r="H113" s="102">
        <f>EV!M135</f>
        <v>0</v>
      </c>
      <c r="I113" s="108" t="str">
        <f>IF(J113="ALPHA",PR!$E111,IF(J113="ASSENE",PR!$F111,IF(J113="BIOFEM",PR!$G111,IF(J113="BIOMED",PR!$H111,IF(J113="CHI",PR!$I111,IF(J113="CLARION",PR!$J111,IF(J113="CODIX",PR!$K111,IF(J113="COSMADE",PR!$L111,IF(J113="SANCON",PR!$M111,IF(J113="DEVON",PR!$N111,IF(J113="DORTEMAG",PR!$O111,IF(J113="DGF",PR!$P111,IF(J113="DYNAMIC",PR!$Q111,IF(J113="EMZOR",PR!$R111,IF(J113="EUMATT",PR!$S111,IF(J113="FIDSON",PR!$T111,IF(J113="FCGLOBAL",PR!$U111,IF(J113="GENEITH",PR!$V111,IF(J113="GINOS",PR!$W111,IF(J113="GSK",PR!$X111,IF(J113="GLOBORG",PR!$Y111,IF(J113="GOODNEWS",PR!$Z111,IF(J113="GREENLIFE",PR!$AA111,IF(J113="HLINE",PR!$AB111,IF(J113="ROTECH",PR!$AC111,IF(J113="ISN",PR!$AD111,IF(J113="JAWA",PR!$AE111,IF(J113="LAYO",PR!$AF111,IF(J113="LEADWAY",PR!$AG111,IF(J113="LHV",PR!$AH111,IF(J113="MANOLA",PR!$AI111,IF(J113="MARCSON",PR!$AJ111,IF(J113="M&amp;B",PR!$AK111,IF(J113="MTRUST",PR!$AL111,IF(J113="MWORLD",PR!$AM111,IF(J113="MEGA",PR!$AN111,IF(J113="MICRONOVA",PR!$AO111,IF(J113="MFLASH",PR!$AP111,IF(J113="MORISON",PR!$AQ111,IF(J113="NEMEL",PR!$AR111,IF(J113="NHP",PR!$AS111,IF(J113="NHC",PR!$AT111,IF(J113="OLEAF",PR!$AU111,IF(J113="OCULUS",PR!$AV111,IF(J113="PACIFIC",PR!$AW111,IF(J113="PHAMATEX",PR!$AX111,IF(J113="PETHICS",PR!$AY111,IF(J113="PHILIPS",PR!$AZ111,IF(J113="RANBAXY",PR!$BA111,IF(J113="REALS",PR!$BB111,IF(J113="ROYAL",PR!$BC111,IF(J113="SAM",PR!$BD111,IF(J113="SEAGREEN",PR!$BE111,IF(J113="SKG",PR!$BF111,IF(J113="TAH",PR!$BG111,IF(J113="TAYLEK",PR!$BH111,IF(J113="TEMITA",PR!$BI111,IF(J113="THL",PR!$BJ111,IF(J113="UBASTIC",PR!$BK111,IF(J113="UNION",PR!$BL111,IF(J113="UNIQUE",PR!$BM111,IF(J113="VIXA",PR!$BN111,IF(J113="WWCV",PR!$BO111,IF(J113="ZOLON",PR!$BP111,"-"))))))))))))))))))))))))))))))))))))))))))))))))))))))))))))))))</f>
        <v>-</v>
      </c>
      <c r="J113" s="102">
        <f>EV!N135</f>
        <v>0</v>
      </c>
      <c r="K113" s="433" t="s">
        <v>821</v>
      </c>
      <c r="L113" s="183">
        <f>IF(K113&gt;0,IF(K113="ALPHA",PR!$E111,IF(K113="ASSENE",PR!$F111,IF(K113="BIOFEM",PR!$G111,IF(K113="BIOMED",PR!$H111,IF(K113="CHI",PR!$I111,IF(K113="CLARION",PR!$J111,IF(K113="CODIX",PR!$K111,IF(K113="COSMADE",PR!$L111,IF(K113="SANCON",PR!$M111,IF(K113="DEVON",PR!$N111,IF(K113="DORTEMAG",PR!$O111,IF(K113="DGF",PR!$P111,IF(K113="DYNAMIC",PR!$Q111,IF(K113="EMZOR",PR!$R111,IF(K113="EUMATT",PR!$S111,IF(K113="FIDSON",PR!$T111,IF(K113="FCGLOBAL",PR!$U111,IF(K113="GENEITH",PR!$V111,IF(K113="GINOS",PR!$W111,IF(K113="GSK",PR!$X111,IF(K113="GLOBORG",PR!$Y111,IF(K113="GOODNEWS",PR!$Z111,IF(K113="GREENLIFE",PR!$AA111,IF(K113="HLINE",PR!$AB111,IF(K113="ROTECH",PR!$AC111,IF(K113="ISN",PR!$AD111,IF(K113="JAWA",PR!$AE111,IF(K113="LAYO",PR!$AF111,IF(K113="LEADWAY",PR!$AG111,IF(K113="LHV",PR!$AH111,IF(K113="MANOLA",PR!$AI111,IF(K113="MARCSON",PR!$AJ111,IF(K113="M&amp;B",PR!$AK111,IF(K113="MTRUST",PR!$AL111,IF(K113="MWORLD",PR!$AM111,IF(K113="MEGA",PR!$AN111,IF(K113="MICRONOVA",PR!$AO111,IF(K113="MFLASH",PR!$AP111,IF(K113="MORISON",PR!$AQ111,IF(K113="NEMEL",PR!$AR111,IF(K113="NHP",PR!$AS111,IF(K113="NHC",PR!$AT111,IF(K113="OLEAF",PR!$AU111,IF(K113="OCULUS",PR!$AV111,IF(K113="PACIFIC",PR!$AW111,IF(K113="PHAMATEX",PR!$AX111,IF(K113="PETHICS",PR!$AY111,IF(K113="PHILIPS",PR!$AZ111,IF(K113="RANBAXY",PR!$BA111,IF(K113="REALS",PR!$BB111,IF(K113="ROYAL",PR!$BC111,IF(K113="SAM",PR!$BD111,IF(K113="SEAGREEN",PR!$BE111,IF(K113="SKG",PR!$BF111,IF(K113="TAH",PR!$BG111,IF(K113="TAYLEK",PR!$BH111,IF(K113="TEMITA",PR!$BI111,IF(K113="THL",PR!$BJ111,IF(K113="UBASTIC",PR!$BK111,IF(K113="UNION",PR!$BL111,IF(K113="UNIQUE",PR!$BM111,IF(K113="VIXA",PR!$BN111,IF(K113="WWCV",PR!$BO111,IF(K113="ZOLON",PR!$BP111,"-")))))))))))))))))))))))))))))))))))))))))))))))))))))))))))))))))</f>
        <v>2200</v>
      </c>
    </row>
    <row r="114" spans="1:12" ht="18.75" x14ac:dyDescent="0.3">
      <c r="A114" s="430">
        <f>PR!A112</f>
        <v>96</v>
      </c>
      <c r="B114" s="15" t="str">
        <f>PR!B112</f>
        <v>RAMIPRIL 10MG TAB</v>
      </c>
      <c r="C114" s="113">
        <f>PR!D112</f>
        <v>30</v>
      </c>
      <c r="D114" s="113">
        <f>PR!C112</f>
        <v>200</v>
      </c>
      <c r="E114" s="108">
        <f>IF(F114="ALPHA",PR!$E112,IF(F114="ASSENE",PR!$F112,IF(F114="BIOFEM",PR!$G112,IF(F114="BIOMED",PR!$H112,IF(F114="CHI",PR!$I112,IF(F114="CLARION",PR!$J112,IF(F114="CODIX",PR!$K112,IF(F114="COSMADE",PR!$L112,IF(F114="SANCON",PR!$M112,IF(F114="DEVON",PR!$N112,IF(F114="DORTEMAG",PR!$O112,IF(F114="DGF",PR!$P112,IF(F114="DYNAMIC",PR!$Q112,IF(F114="EMZOR",PR!$R112,IF(F114="EUMATT",PR!$S112,IF(F114="FIDSON",PR!$T112,IF(F114="FCGLOBAL",PR!$U112,IF(F114="GENEITH",PR!$V112,IF(F114="GINOS",PR!$W112,IF(F114="GSK",PR!$X112,IF(F114="GLOBORG",PR!$Y112,IF(F114="GOODNEWS",PR!$Z112,IF(F114="GREENLIFE",PR!$AA112,IF(F114="HLINE",PR!$AB112,IF(F114="ROTECH",PR!$AC112,IF(F114="ISN",PR!$AD112,IF(F114="JAWA",PR!$AE112,IF(F114="LAYO",PR!$AF112,IF(F114="LEADWAY",PR!$AG112,IF(F114="LHV",PR!$AH112,IF(F114="MANOLA",PR!$AI112,IF(F114="MARCSON",PR!$AJ112,IF(F114="M&amp;B",PR!$AK112,IF(F114="MTRUST",PR!$AL112,IF(F114="MWORLD",PR!$AM112,IF(F114="MEGA",PR!$AN112,IF(F114="MICRONOVA",PR!$AO112,IF(F114="MFLASH",PR!$AP112,IF(F114="MORISON",PR!$AQ112,IF(F114="NEMEL",PR!$AR112,IF(F114="NHP",PR!$AS112,IF(F114="NHC",PR!$AT112,IF(F114="OLEAF",PR!$AU112,IF(F114="OCULUS",PR!$AV112,IF(F114="PACIFIC",PR!$AW112,IF(F114="PHAMATEX",PR!$AX112,IF(F114="PETHICS",PR!$AY112,IF(F114="PHILIPS",PR!$AZ112,IF(F114="RANBAXY",PR!$BA112,IF(F114="REALS",PR!$BB112,IF(F114="ROYAL",PR!$BC112,IF(F114="SAM",PR!$BD112,IF(F114="SEAGREEN",PR!$BE112,IF(F114="SKG",PR!$BF112,IF(F114="TAH",PR!$BG112,IF(F114="TAYLEK",PR!$BH112,IF(F114="TEMITA",PR!$BI112,IF(F114="THL",PR!$BJ112,IF(F114="UBASTIC",PR!$BK112,IF(F114="UNION",PR!$BL112,IF(F114="UNIQUE",PR!$BM112,IF(F114="VIXA",PR!$BN112,IF(F114="WWCV",PR!$BO112,IF(F114="ZOLON",PR!$BP112,"-"))))))))))))))))))))))))))))))))))))))))))))))))))))))))))))))))</f>
        <v>1200</v>
      </c>
      <c r="F114" s="102" t="str">
        <f>EV!L136</f>
        <v>EUMATT</v>
      </c>
      <c r="G114" s="108">
        <f>IF(H114="ALPHA",PR!$E112,IF(H114="ASSENE",PR!$F112,IF(H114="BIOFEM",PR!$G112,IF(H114="BIOMED",PR!$H112,IF(H114="CHI",PR!$I112,IF(H114="CLARION",PR!$J112,IF(H114="CODIX",PR!$K112,IF(H114="COSMADE",PR!$L112,IF(H114="SANCON",PR!$M112,IF(H114="DEVON",PR!$N112,IF(H114="DORTEMAG",PR!$O112,IF(H114="DGF",PR!$P112,IF(H114="DYNAMIC",PR!$Q112,IF(H114="EMZOR",PR!$R112,IF(H114="EUMATT",PR!$S112,IF(H114="FIDSON",PR!$T112,IF(H114="FCGLOBAL",PR!$U112,IF(H114="GENEITH",PR!$V112,IF(H114="GINOS",PR!$W112,IF(H114="GSK",PR!$X112,IF(H114="GLOBORG",PR!$Y112,IF(H114="GOODNEWS",PR!$Z112,IF(H114="GREENLIFE",PR!$AA112,IF(H114="HLINE",PR!$AB112,IF(H114="ROTECH",PR!$AC112,IF(H114="ISN",PR!$AD112,IF(H114="JAWA",PR!$AE112,IF(H114="LAYO",PR!$AF112,IF(H114="LEADWAY",PR!$AG112,IF(H114="LHV",PR!$AH112,IF(H114="MANOLA",PR!$AI112,IF(H114="MARCSON",PR!$AJ112,IF(H114="M&amp;B",PR!$AK112,IF(H114="MTRUST",PR!$AL112,IF(H114="MWORLD",PR!$AM112,IF(H114="MEGA",PR!$AN112,IF(H114="MICRONOVA",PR!$AO112,IF(H114="MFLASH",PR!$AP112,IF(H114="MORISON",PR!$AQ112,IF(H114="NEMEL",PR!$AR112,IF(H114="NHP",PR!$AS112,IF(H114="NHC",PR!$AT112,IF(H114="OLEAF",PR!$AU112,IF(H114="OCULUS",PR!$AV112,IF(H114="PACIFIC",PR!$AW112,IF(H114="PHAMATEX",PR!$AX112,IF(H114="PETHICS",PR!$AY112,IF(H114="PHILIPS",PR!$AZ112,IF(H114="RANBAXY",PR!$BA112,IF(H114="REALS",PR!$BB112,IF(H114="ROYAL",PR!$BC112,IF(H114="SAM",PR!$BD112,IF(H114="SEAGREEN",PR!$BE112,IF(H114="SKG",PR!$BF112,IF(H114="TAH",PR!$BG112,IF(H114="TAYLEK",PR!$BH112,IF(H114="TEMITA",PR!$BI112,IF(H114="THL",PR!$BJ112,IF(H114="UBASTIC",PR!$BK112,IF(H114="UNION",PR!$BL112,IF(H114="UNIQUE",PR!$BM112,IF(H114="VIXA",PR!$BN112,IF(H114="WWCV",PR!$BO112,IF(H114="ZOLON",PR!$BP112,"-"))))))))))))))))))))))))))))))))))))))))))))))))))))))))))))))))</f>
        <v>2200</v>
      </c>
      <c r="H114" s="102" t="str">
        <f>EV!M136</f>
        <v>CHI</v>
      </c>
      <c r="I114" s="108" t="str">
        <f>IF(J114="ALPHA",PR!$E112,IF(J114="ASSENE",PR!$F112,IF(J114="BIOFEM",PR!$G112,IF(J114="BIOMED",PR!$H112,IF(J114="CHI",PR!$I112,IF(J114="CLARION",PR!$J112,IF(J114="CODIX",PR!$K112,IF(J114="COSMADE",PR!$L112,IF(J114="SANCON",PR!$M112,IF(J114="DEVON",PR!$N112,IF(J114="DORTEMAG",PR!$O112,IF(J114="DGF",PR!$P112,IF(J114="DYNAMIC",PR!$Q112,IF(J114="EMZOR",PR!$R112,IF(J114="EUMATT",PR!$S112,IF(J114="FIDSON",PR!$T112,IF(J114="FCGLOBAL",PR!$U112,IF(J114="GENEITH",PR!$V112,IF(J114="GINOS",PR!$W112,IF(J114="GSK",PR!$X112,IF(J114="GLOBORG",PR!$Y112,IF(J114="GOODNEWS",PR!$Z112,IF(J114="GREENLIFE",PR!$AA112,IF(J114="HLINE",PR!$AB112,IF(J114="ROTECH",PR!$AC112,IF(J114="ISN",PR!$AD112,IF(J114="JAWA",PR!$AE112,IF(J114="LAYO",PR!$AF112,IF(J114="LEADWAY",PR!$AG112,IF(J114="LHV",PR!$AH112,IF(J114="MANOLA",PR!$AI112,IF(J114="MARCSON",PR!$AJ112,IF(J114="M&amp;B",PR!$AK112,IF(J114="MTRUST",PR!$AL112,IF(J114="MWORLD",PR!$AM112,IF(J114="MEGA",PR!$AN112,IF(J114="MICRONOVA",PR!$AO112,IF(J114="MFLASH",PR!$AP112,IF(J114="MORISON",PR!$AQ112,IF(J114="NEMEL",PR!$AR112,IF(J114="NHP",PR!$AS112,IF(J114="NHC",PR!$AT112,IF(J114="OLEAF",PR!$AU112,IF(J114="OCULUS",PR!$AV112,IF(J114="PACIFIC",PR!$AW112,IF(J114="PHAMATEX",PR!$AX112,IF(J114="PETHICS",PR!$AY112,IF(J114="PHILIPS",PR!$AZ112,IF(J114="RANBAXY",PR!$BA112,IF(J114="REALS",PR!$BB112,IF(J114="ROYAL",PR!$BC112,IF(J114="SAM",PR!$BD112,IF(J114="SEAGREEN",PR!$BE112,IF(J114="SKG",PR!$BF112,IF(J114="TAH",PR!$BG112,IF(J114="TAYLEK",PR!$BH112,IF(J114="TEMITA",PR!$BI112,IF(J114="THL",PR!$BJ112,IF(J114="UBASTIC",PR!$BK112,IF(J114="UNION",PR!$BL112,IF(J114="UNIQUE",PR!$BM112,IF(J114="VIXA",PR!$BN112,IF(J114="WWCV",PR!$BO112,IF(J114="ZOLON",PR!$BP112,"-"))))))))))))))))))))))))))))))))))))))))))))))))))))))))))))))))</f>
        <v>-</v>
      </c>
      <c r="J114" s="102">
        <f>EV!N136</f>
        <v>0</v>
      </c>
      <c r="K114" s="433" t="s">
        <v>821</v>
      </c>
      <c r="L114" s="183">
        <f>IF(K114&gt;0,IF(K114="ALPHA",PR!$E112,IF(K114="ASSENE",PR!$F112,IF(K114="BIOFEM",PR!$G112,IF(K114="BIOMED",PR!$H112,IF(K114="CHI",PR!$I112,IF(K114="CLARION",PR!$J112,IF(K114="CODIX",PR!$K112,IF(K114="COSMADE",PR!$L112,IF(K114="SANCON",PR!$M112,IF(K114="DEVON",PR!$N112,IF(K114="DORTEMAG",PR!$O112,IF(K114="DGF",PR!$P112,IF(K114="DYNAMIC",PR!$Q112,IF(K114="EMZOR",PR!$R112,IF(K114="EUMATT",PR!$S112,IF(K114="FIDSON",PR!$T112,IF(K114="FCGLOBAL",PR!$U112,IF(K114="GENEITH",PR!$V112,IF(K114="GINOS",PR!$W112,IF(K114="GSK",PR!$X112,IF(K114="GLOBORG",PR!$Y112,IF(K114="GOODNEWS",PR!$Z112,IF(K114="GREENLIFE",PR!$AA112,IF(K114="HLINE",PR!$AB112,IF(K114="ROTECH",PR!$AC112,IF(K114="ISN",PR!$AD112,IF(K114="JAWA",PR!$AE112,IF(K114="LAYO",PR!$AF112,IF(K114="LEADWAY",PR!$AG112,IF(K114="LHV",PR!$AH112,IF(K114="MANOLA",PR!$AI112,IF(K114="MARCSON",PR!$AJ112,IF(K114="M&amp;B",PR!$AK112,IF(K114="MTRUST",PR!$AL112,IF(K114="MWORLD",PR!$AM112,IF(K114="MEGA",PR!$AN112,IF(K114="MICRONOVA",PR!$AO112,IF(K114="MFLASH",PR!$AP112,IF(K114="MORISON",PR!$AQ112,IF(K114="NEMEL",PR!$AR112,IF(K114="NHP",PR!$AS112,IF(K114="NHC",PR!$AT112,IF(K114="OLEAF",PR!$AU112,IF(K114="OCULUS",PR!$AV112,IF(K114="PACIFIC",PR!$AW112,IF(K114="PHAMATEX",PR!$AX112,IF(K114="PETHICS",PR!$AY112,IF(K114="PHILIPS",PR!$AZ112,IF(K114="RANBAXY",PR!$BA112,IF(K114="REALS",PR!$BB112,IF(K114="ROYAL",PR!$BC112,IF(K114="SAM",PR!$BD112,IF(K114="SEAGREEN",PR!$BE112,IF(K114="SKG",PR!$BF112,IF(K114="TAH",PR!$BG112,IF(K114="TAYLEK",PR!$BH112,IF(K114="TEMITA",PR!$BI112,IF(K114="THL",PR!$BJ112,IF(K114="UBASTIC",PR!$BK112,IF(K114="UNION",PR!$BL112,IF(K114="UNIQUE",PR!$BM112,IF(K114="VIXA",PR!$BN112,IF(K114="WWCV",PR!$BO112,IF(K114="ZOLON",PR!$BP112,"-")))))))))))))))))))))))))))))))))))))))))))))))))))))))))))))))))</f>
        <v>1200</v>
      </c>
    </row>
    <row r="115" spans="1:12" ht="18.75" x14ac:dyDescent="0.3">
      <c r="A115" s="430">
        <f>PR!A113</f>
        <v>97</v>
      </c>
      <c r="B115" s="15" t="str">
        <f>PR!B113</f>
        <v>RAMIPRIL 5MG TAB</v>
      </c>
      <c r="C115" s="113">
        <f>PR!D113</f>
        <v>30</v>
      </c>
      <c r="D115" s="113">
        <f>PR!C113</f>
        <v>2600</v>
      </c>
      <c r="E115" s="108">
        <f>IF(F115="ALPHA",PR!$E113,IF(F115="ASSENE",PR!$F113,IF(F115="BIOFEM",PR!$G113,IF(F115="BIOMED",PR!$H113,IF(F115="CHI",PR!$I113,IF(F115="CLARION",PR!$J113,IF(F115="CODIX",PR!$K113,IF(F115="COSMADE",PR!$L113,IF(F115="SANCON",PR!$M113,IF(F115="DEVON",PR!$N113,IF(F115="DORTEMAG",PR!$O113,IF(F115="DGF",PR!$P113,IF(F115="DYNAMIC",PR!$Q113,IF(F115="EMZOR",PR!$R113,IF(F115="EUMATT",PR!$S113,IF(F115="FIDSON",PR!$T113,IF(F115="FCGLOBAL",PR!$U113,IF(F115="GENEITH",PR!$V113,IF(F115="GINOS",PR!$W113,IF(F115="GSK",PR!$X113,IF(F115="GLOBORG",PR!$Y113,IF(F115="GOODNEWS",PR!$Z113,IF(F115="GREENLIFE",PR!$AA113,IF(F115="HLINE",PR!$AB113,IF(F115="ROTECH",PR!$AC113,IF(F115="ISN",PR!$AD113,IF(F115="JAWA",PR!$AE113,IF(F115="LAYO",PR!$AF113,IF(F115="LEADWAY",PR!$AG113,IF(F115="LHV",PR!$AH113,IF(F115="MANOLA",PR!$AI113,IF(F115="MARCSON",PR!$AJ113,IF(F115="M&amp;B",PR!$AK113,IF(F115="MTRUST",PR!$AL113,IF(F115="MWORLD",PR!$AM113,IF(F115="MEGA",PR!$AN113,IF(F115="MICRONOVA",PR!$AO113,IF(F115="MFLASH",PR!$AP113,IF(F115="MORISON",PR!$AQ113,IF(F115="NEMEL",PR!$AR113,IF(F115="NHP",PR!$AS113,IF(F115="NHC",PR!$AT113,IF(F115="OLEAF",PR!$AU113,IF(F115="OCULUS",PR!$AV113,IF(F115="PACIFIC",PR!$AW113,IF(F115="PHAMATEX",PR!$AX113,IF(F115="PETHICS",PR!$AY113,IF(F115="PHILIPS",PR!$AZ113,IF(F115="RANBAXY",PR!$BA113,IF(F115="REALS",PR!$BB113,IF(F115="ROYAL",PR!$BC113,IF(F115="SAM",PR!$BD113,IF(F115="SEAGREEN",PR!$BE113,IF(F115="SKG",PR!$BF113,IF(F115="TAH",PR!$BG113,IF(F115="TAYLEK",PR!$BH113,IF(F115="TEMITA",PR!$BI113,IF(F115="THL",PR!$BJ113,IF(F115="UBASTIC",PR!$BK113,IF(F115="UNION",PR!$BL113,IF(F115="UNIQUE",PR!$BM113,IF(F115="VIXA",PR!$BN113,IF(F115="WWCV",PR!$BO113,IF(F115="ZOLON",PR!$BP113,"-"))))))))))))))))))))))))))))))))))))))))))))))))))))))))))))))))</f>
        <v>450</v>
      </c>
      <c r="F115" s="102" t="str">
        <f>EV!L137</f>
        <v>EUMATT</v>
      </c>
      <c r="G115" s="108">
        <f>IF(H115="ALPHA",PR!$E113,IF(H115="ASSENE",PR!$F113,IF(H115="BIOFEM",PR!$G113,IF(H115="BIOMED",PR!$H113,IF(H115="CHI",PR!$I113,IF(H115="CLARION",PR!$J113,IF(H115="CODIX",PR!$K113,IF(H115="COSMADE",PR!$L113,IF(H115="SANCON",PR!$M113,IF(H115="DEVON",PR!$N113,IF(H115="DORTEMAG",PR!$O113,IF(H115="DGF",PR!$P113,IF(H115="DYNAMIC",PR!$Q113,IF(H115="EMZOR",PR!$R113,IF(H115="EUMATT",PR!$S113,IF(H115="FIDSON",PR!$T113,IF(H115="FCGLOBAL",PR!$U113,IF(H115="GENEITH",PR!$V113,IF(H115="GINOS",PR!$W113,IF(H115="GSK",PR!$X113,IF(H115="GLOBORG",PR!$Y113,IF(H115="GOODNEWS",PR!$Z113,IF(H115="GREENLIFE",PR!$AA113,IF(H115="HLINE",PR!$AB113,IF(H115="ROTECH",PR!$AC113,IF(H115="ISN",PR!$AD113,IF(H115="JAWA",PR!$AE113,IF(H115="LAYO",PR!$AF113,IF(H115="LEADWAY",PR!$AG113,IF(H115="LHV",PR!$AH113,IF(H115="MANOLA",PR!$AI113,IF(H115="MARCSON",PR!$AJ113,IF(H115="M&amp;B",PR!$AK113,IF(H115="MTRUST",PR!$AL113,IF(H115="MWORLD",PR!$AM113,IF(H115="MEGA",PR!$AN113,IF(H115="MICRONOVA",PR!$AO113,IF(H115="MFLASH",PR!$AP113,IF(H115="MORISON",PR!$AQ113,IF(H115="NEMEL",PR!$AR113,IF(H115="NHP",PR!$AS113,IF(H115="NHC",PR!$AT113,IF(H115="OLEAF",PR!$AU113,IF(H115="OCULUS",PR!$AV113,IF(H115="PACIFIC",PR!$AW113,IF(H115="PHAMATEX",PR!$AX113,IF(H115="PETHICS",PR!$AY113,IF(H115="PHILIPS",PR!$AZ113,IF(H115="RANBAXY",PR!$BA113,IF(H115="REALS",PR!$BB113,IF(H115="ROYAL",PR!$BC113,IF(H115="SAM",PR!$BD113,IF(H115="SEAGREEN",PR!$BE113,IF(H115="SKG",PR!$BF113,IF(H115="TAH",PR!$BG113,IF(H115="TAYLEK",PR!$BH113,IF(H115="TEMITA",PR!$BI113,IF(H115="THL",PR!$BJ113,IF(H115="UBASTIC",PR!$BK113,IF(H115="UNION",PR!$BL113,IF(H115="UNIQUE",PR!$BM113,IF(H115="VIXA",PR!$BN113,IF(H115="WWCV",PR!$BO113,IF(H115="ZOLON",PR!$BP113,"-"))))))))))))))))))))))))))))))))))))))))))))))))))))))))))))))))</f>
        <v>600</v>
      </c>
      <c r="H115" s="102" t="str">
        <f>EV!M137</f>
        <v>CODIX</v>
      </c>
      <c r="I115" s="108">
        <f>IF(J115="ALPHA",PR!$E113,IF(J115="ASSENE",PR!$F113,IF(J115="BIOFEM",PR!$G113,IF(J115="BIOMED",PR!$H113,IF(J115="CHI",PR!$I113,IF(J115="CLARION",PR!$J113,IF(J115="CODIX",PR!$K113,IF(J115="COSMADE",PR!$L113,IF(J115="SANCON",PR!$M113,IF(J115="DEVON",PR!$N113,IF(J115="DORTEMAG",PR!$O113,IF(J115="DGF",PR!$P113,IF(J115="DYNAMIC",PR!$Q113,IF(J115="EMZOR",PR!$R113,IF(J115="EUMATT",PR!$S113,IF(J115="FIDSON",PR!$T113,IF(J115="FCGLOBAL",PR!$U113,IF(J115="GENEITH",PR!$V113,IF(J115="GINOS",PR!$W113,IF(J115="GSK",PR!$X113,IF(J115="GLOBORG",PR!$Y113,IF(J115="GOODNEWS",PR!$Z113,IF(J115="GREENLIFE",PR!$AA113,IF(J115="HLINE",PR!$AB113,IF(J115="ROTECH",PR!$AC113,IF(J115="ISN",PR!$AD113,IF(J115="JAWA",PR!$AE113,IF(J115="LAYO",PR!$AF113,IF(J115="LEADWAY",PR!$AG113,IF(J115="LHV",PR!$AH113,IF(J115="MANOLA",PR!$AI113,IF(J115="MARCSON",PR!$AJ113,IF(J115="M&amp;B",PR!$AK113,IF(J115="MTRUST",PR!$AL113,IF(J115="MWORLD",PR!$AM113,IF(J115="MEGA",PR!$AN113,IF(J115="MICRONOVA",PR!$AO113,IF(J115="MFLASH",PR!$AP113,IF(J115="MORISON",PR!$AQ113,IF(J115="NEMEL",PR!$AR113,IF(J115="NHP",PR!$AS113,IF(J115="NHC",PR!$AT113,IF(J115="OLEAF",PR!$AU113,IF(J115="OCULUS",PR!$AV113,IF(J115="PACIFIC",PR!$AW113,IF(J115="PHAMATEX",PR!$AX113,IF(J115="PETHICS",PR!$AY113,IF(J115="PHILIPS",PR!$AZ113,IF(J115="RANBAXY",PR!$BA113,IF(J115="REALS",PR!$BB113,IF(J115="ROYAL",PR!$BC113,IF(J115="SAM",PR!$BD113,IF(J115="SEAGREEN",PR!$BE113,IF(J115="SKG",PR!$BF113,IF(J115="TAH",PR!$BG113,IF(J115="TAYLEK",PR!$BH113,IF(J115="TEMITA",PR!$BI113,IF(J115="THL",PR!$BJ113,IF(J115="UBASTIC",PR!$BK113,IF(J115="UNION",PR!$BL113,IF(J115="UNIQUE",PR!$BM113,IF(J115="VIXA",PR!$BN113,IF(J115="WWCV",PR!$BO113,IF(J115="ZOLON",PR!$BP113,"-"))))))))))))))))))))))))))))))))))))))))))))))))))))))))))))))))</f>
        <v>600</v>
      </c>
      <c r="J115" s="102" t="str">
        <f>EV!N137</f>
        <v>M&amp;B</v>
      </c>
      <c r="K115" s="433" t="s">
        <v>2099</v>
      </c>
      <c r="L115" s="183" t="str">
        <f>IF(K115&gt;0,IF(K115="ALPHA",PR!$E113,IF(K115="ASSENE",PR!$F113,IF(K115="BIOFEM",PR!$G113,IF(K115="BIOMED",PR!$H113,IF(K115="CHI",PR!$I113,IF(K115="CLARION",PR!$J113,IF(K115="CODIX",PR!$K113,IF(K115="COSMADE",PR!$L113,IF(K115="SANCON",PR!$M113,IF(K115="DEVON",PR!$N113,IF(K115="DORTEMAG",PR!$O113,IF(K115="DGF",PR!$P113,IF(K115="DYNAMIC",PR!$Q113,IF(K115="EMZOR",PR!$R113,IF(K115="EUMATT",PR!$S113,IF(K115="FIDSON",PR!$T113,IF(K115="FCGLOBAL",PR!$U113,IF(K115="GENEITH",PR!$V113,IF(K115="GINOS",PR!$W113,IF(K115="GSK",PR!$X113,IF(K115="GLOBORG",PR!$Y113,IF(K115="GOODNEWS",PR!$Z113,IF(K115="GREENLIFE",PR!$AA113,IF(K115="HLINE",PR!$AB113,IF(K115="ROTECH",PR!$AC113,IF(K115="ISN",PR!$AD113,IF(K115="JAWA",PR!$AE113,IF(K115="LAYO",PR!$AF113,IF(K115="LEADWAY",PR!$AG113,IF(K115="LHV",PR!$AH113,IF(K115="MANOLA",PR!$AI113,IF(K115="MARCSON",PR!$AJ113,IF(K115="M&amp;B",PR!$AK113,IF(K115="MTRUST",PR!$AL113,IF(K115="MWORLD",PR!$AM113,IF(K115="MEGA",PR!$AN113,IF(K115="MICRONOVA",PR!$AO113,IF(K115="MFLASH",PR!$AP113,IF(K115="MORISON",PR!$AQ113,IF(K115="NEMEL",PR!$AR113,IF(K115="NHP",PR!$AS113,IF(K115="NHC",PR!$AT113,IF(K115="OLEAF",PR!$AU113,IF(K115="OCULUS",PR!$AV113,IF(K115="PACIFIC",PR!$AW113,IF(K115="PHAMATEX",PR!$AX113,IF(K115="PETHICS",PR!$AY113,IF(K115="PHILIPS",PR!$AZ113,IF(K115="RANBAXY",PR!$BA113,IF(K115="REALS",PR!$BB113,IF(K115="ROYAL",PR!$BC113,IF(K115="SAM",PR!$BD113,IF(K115="SEAGREEN",PR!$BE113,IF(K115="SKG",PR!$BF113,IF(K115="TAH",PR!$BG113,IF(K115="TAYLEK",PR!$BH113,IF(K115="TEMITA",PR!$BI113,IF(K115="THL",PR!$BJ113,IF(K115="UBASTIC",PR!$BK113,IF(K115="UNION",PR!$BL113,IF(K115="UNIQUE",PR!$BM113,IF(K115="VIXA",PR!$BN113,IF(K115="WWCV",PR!$BO113,IF(K115="ZOLON",PR!$BP113,"-")))))))))))))))))))))))))))))))))))))))))))))))))))))))))))))))))</f>
        <v>-</v>
      </c>
    </row>
    <row r="116" spans="1:12" s="90" customFormat="1" ht="18.75" x14ac:dyDescent="0.3">
      <c r="A116" s="430">
        <f>PR!A114</f>
        <v>98</v>
      </c>
      <c r="B116" s="15" t="str">
        <f>PR!B114</f>
        <v>ROSUVASTATIN 10MG</v>
      </c>
      <c r="C116" s="113">
        <f>PR!D114</f>
        <v>30</v>
      </c>
      <c r="D116" s="113">
        <f>PR!C114</f>
        <v>3000</v>
      </c>
      <c r="E116" s="108">
        <f>IF(F116="ALPHA",PR!$E114,IF(F116="ASSENE",PR!$F114,IF(F116="BIOFEM",PR!$G114,IF(F116="BIOMED",PR!$H114,IF(F116="CHI",PR!$I114,IF(F116="CLARION",PR!$J114,IF(F116="CODIX",PR!$K114,IF(F116="COSMADE",PR!$L114,IF(F116="SANCON",PR!$M114,IF(F116="DEVON",PR!$N114,IF(F116="DORTEMAG",PR!$O114,IF(F116="DGF",PR!$P114,IF(F116="DYNAMIC",PR!$Q114,IF(F116="EMZOR",PR!$R114,IF(F116="EUMATT",PR!$S114,IF(F116="FIDSON",PR!$T114,IF(F116="FCGLOBAL",PR!$U114,IF(F116="GENEITH",PR!$V114,IF(F116="GINOS",PR!$W114,IF(F116="GSK",PR!$X114,IF(F116="GLOBORG",PR!$Y114,IF(F116="GOODNEWS",PR!$Z114,IF(F116="GREENLIFE",PR!$AA114,IF(F116="HLINE",PR!$AB114,IF(F116="ROTECH",PR!$AC114,IF(F116="ISN",PR!$AD114,IF(F116="JAWA",PR!$AE114,IF(F116="LAYO",PR!$AF114,IF(F116="LEADWAY",PR!$AG114,IF(F116="LHV",PR!$AH114,IF(F116="MANOLA",PR!$AI114,IF(F116="MARCSON",PR!$AJ114,IF(F116="M&amp;B",PR!$AK114,IF(F116="MTRUST",PR!$AL114,IF(F116="MWORLD",PR!$AM114,IF(F116="MEGA",PR!$AN114,IF(F116="MICRONOVA",PR!$AO114,IF(F116="MFLASH",PR!$AP114,IF(F116="MORISON",PR!$AQ114,IF(F116="NEMEL",PR!$AR114,IF(F116="NHP",PR!$AS114,IF(F116="NHC",PR!$AT114,IF(F116="OLEAF",PR!$AU114,IF(F116="OCULUS",PR!$AV114,IF(F116="PACIFIC",PR!$AW114,IF(F116="PHAMATEX",PR!$AX114,IF(F116="PETHICS",PR!$AY114,IF(F116="PHILIPS",PR!$AZ114,IF(F116="RANBAXY",PR!$BA114,IF(F116="REALS",PR!$BB114,IF(F116="ROYAL",PR!$BC114,IF(F116="SAM",PR!$BD114,IF(F116="SEAGREEN",PR!$BE114,IF(F116="SKG",PR!$BF114,IF(F116="TAH",PR!$BG114,IF(F116="TAYLEK",PR!$BH114,IF(F116="TEMITA",PR!$BI114,IF(F116="THL",PR!$BJ114,IF(F116="UBASTIC",PR!$BK114,IF(F116="UNION",PR!$BL114,IF(F116="UNIQUE",PR!$BM114,IF(F116="VIXA",PR!$BN114,IF(F116="WWCV",PR!$BO114,IF(F116="ZOLON",PR!$BP114,"-"))))))))))))))))))))))))))))))))))))))))))))))))))))))))))))))))</f>
        <v>850</v>
      </c>
      <c r="F116" s="102" t="str">
        <f>EV!L138</f>
        <v>REALS</v>
      </c>
      <c r="G116" s="108">
        <f>IF(H116="ALPHA",PR!$E114,IF(H116="ASSENE",PR!$F114,IF(H116="BIOFEM",PR!$G114,IF(H116="BIOMED",PR!$H114,IF(H116="CHI",PR!$I114,IF(H116="CLARION",PR!$J114,IF(H116="CODIX",PR!$K114,IF(H116="COSMADE",PR!$L114,IF(H116="SANCON",PR!$M114,IF(H116="DEVON",PR!$N114,IF(H116="DORTEMAG",PR!$O114,IF(H116="DGF",PR!$P114,IF(H116="DYNAMIC",PR!$Q114,IF(H116="EMZOR",PR!$R114,IF(H116="EUMATT",PR!$S114,IF(H116="FIDSON",PR!$T114,IF(H116="FCGLOBAL",PR!$U114,IF(H116="GENEITH",PR!$V114,IF(H116="GINOS",PR!$W114,IF(H116="GSK",PR!$X114,IF(H116="GLOBORG",PR!$Y114,IF(H116="GOODNEWS",PR!$Z114,IF(H116="GREENLIFE",PR!$AA114,IF(H116="HLINE",PR!$AB114,IF(H116="ROTECH",PR!$AC114,IF(H116="ISN",PR!$AD114,IF(H116="JAWA",PR!$AE114,IF(H116="LAYO",PR!$AF114,IF(H116="LEADWAY",PR!$AG114,IF(H116="LHV",PR!$AH114,IF(H116="MANOLA",PR!$AI114,IF(H116="MARCSON",PR!$AJ114,IF(H116="M&amp;B",PR!$AK114,IF(H116="MTRUST",PR!$AL114,IF(H116="MWORLD",PR!$AM114,IF(H116="MEGA",PR!$AN114,IF(H116="MICRONOVA",PR!$AO114,IF(H116="MFLASH",PR!$AP114,IF(H116="MORISON",PR!$AQ114,IF(H116="NEMEL",PR!$AR114,IF(H116="NHP",PR!$AS114,IF(H116="NHC",PR!$AT114,IF(H116="OLEAF",PR!$AU114,IF(H116="OCULUS",PR!$AV114,IF(H116="PACIFIC",PR!$AW114,IF(H116="PHAMATEX",PR!$AX114,IF(H116="PETHICS",PR!$AY114,IF(H116="PHILIPS",PR!$AZ114,IF(H116="RANBAXY",PR!$BA114,IF(H116="REALS",PR!$BB114,IF(H116="ROYAL",PR!$BC114,IF(H116="SAM",PR!$BD114,IF(H116="SEAGREEN",PR!$BE114,IF(H116="SKG",PR!$BF114,IF(H116="TAH",PR!$BG114,IF(H116="TAYLEK",PR!$BH114,IF(H116="TEMITA",PR!$BI114,IF(H116="THL",PR!$BJ114,IF(H116="UBASTIC",PR!$BK114,IF(H116="UNION",PR!$BL114,IF(H116="UNIQUE",PR!$BM114,IF(H116="VIXA",PR!$BN114,IF(H116="WWCV",PR!$BO114,IF(H116="ZOLON",PR!$BP114,"-"))))))))))))))))))))))))))))))))))))))))))))))))))))))))))))))))</f>
        <v>862.5</v>
      </c>
      <c r="H116" s="102" t="str">
        <f>EV!M138</f>
        <v>RANBAXY</v>
      </c>
      <c r="I116" s="108">
        <f>IF(J116="ALPHA",PR!$E114,IF(J116="ASSENE",PR!$F114,IF(J116="BIOFEM",PR!$G114,IF(J116="BIOMED",PR!$H114,IF(J116="CHI",PR!$I114,IF(J116="CLARION",PR!$J114,IF(J116="CODIX",PR!$K114,IF(J116="COSMADE",PR!$L114,IF(J116="SANCON",PR!$M114,IF(J116="DEVON",PR!$N114,IF(J116="DORTEMAG",PR!$O114,IF(J116="DGF",PR!$P114,IF(J116="DYNAMIC",PR!$Q114,IF(J116="EMZOR",PR!$R114,IF(J116="EUMATT",PR!$S114,IF(J116="FIDSON",PR!$T114,IF(J116="FCGLOBAL",PR!$U114,IF(J116="GENEITH",PR!$V114,IF(J116="GINOS",PR!$W114,IF(J116="GSK",PR!$X114,IF(J116="GLOBORG",PR!$Y114,IF(J116="GOODNEWS",PR!$Z114,IF(J116="GREENLIFE",PR!$AA114,IF(J116="HLINE",PR!$AB114,IF(J116="ROTECH",PR!$AC114,IF(J116="ISN",PR!$AD114,IF(J116="JAWA",PR!$AE114,IF(J116="LAYO",PR!$AF114,IF(J116="LEADWAY",PR!$AG114,IF(J116="LHV",PR!$AH114,IF(J116="MANOLA",PR!$AI114,IF(J116="MARCSON",PR!$AJ114,IF(J116="M&amp;B",PR!$AK114,IF(J116="MTRUST",PR!$AL114,IF(J116="MWORLD",PR!$AM114,IF(J116="MEGA",PR!$AN114,IF(J116="MICRONOVA",PR!$AO114,IF(J116="MFLASH",PR!$AP114,IF(J116="MORISON",PR!$AQ114,IF(J116="NEMEL",PR!$AR114,IF(J116="NHP",PR!$AS114,IF(J116="NHC",PR!$AT114,IF(J116="OLEAF",PR!$AU114,IF(J116="OCULUS",PR!$AV114,IF(J116="PACIFIC",PR!$AW114,IF(J116="PHAMATEX",PR!$AX114,IF(J116="PETHICS",PR!$AY114,IF(J116="PHILIPS",PR!$AZ114,IF(J116="RANBAXY",PR!$BA114,IF(J116="REALS",PR!$BB114,IF(J116="ROYAL",PR!$BC114,IF(J116="SAM",PR!$BD114,IF(J116="SEAGREEN",PR!$BE114,IF(J116="SKG",PR!$BF114,IF(J116="TAH",PR!$BG114,IF(J116="TAYLEK",PR!$BH114,IF(J116="TEMITA",PR!$BI114,IF(J116="THL",PR!$BJ114,IF(J116="UBASTIC",PR!$BK114,IF(J116="UNION",PR!$BL114,IF(J116="UNIQUE",PR!$BM114,IF(J116="VIXA",PR!$BN114,IF(J116="WWCV",PR!$BO114,IF(J116="ZOLON",PR!$BP114,"-"))))))))))))))))))))))))))))))))))))))))))))))))))))))))))))))))</f>
        <v>1100</v>
      </c>
      <c r="J116" s="102" t="str">
        <f>EV!N138</f>
        <v>PHILIPS</v>
      </c>
      <c r="K116" s="433" t="s">
        <v>2100</v>
      </c>
      <c r="L116" s="183" t="str">
        <f>IF(K116&gt;0,IF(K116="ALPHA",PR!$E114,IF(K116="ASSENE",PR!$F114,IF(K116="BIOFEM",PR!$G114,IF(K116="BIOMED",PR!$H114,IF(K116="CHI",PR!$I114,IF(K116="CLARION",PR!$J114,IF(K116="CODIX",PR!$K114,IF(K116="COSMADE",PR!$L114,IF(K116="SANCON",PR!$M114,IF(K116="DEVON",PR!$N114,IF(K116="DORTEMAG",PR!$O114,IF(K116="DGF",PR!$P114,IF(K116="DYNAMIC",PR!$Q114,IF(K116="EMZOR",PR!$R114,IF(K116="EUMATT",PR!$S114,IF(K116="FIDSON",PR!$T114,IF(K116="FCGLOBAL",PR!$U114,IF(K116="GENEITH",PR!$V114,IF(K116="GINOS",PR!$W114,IF(K116="GSK",PR!$X114,IF(K116="GLOBORG",PR!$Y114,IF(K116="GOODNEWS",PR!$Z114,IF(K116="GREENLIFE",PR!$AA114,IF(K116="HLINE",PR!$AB114,IF(K116="ROTECH",PR!$AC114,IF(K116="ISN",PR!$AD114,IF(K116="JAWA",PR!$AE114,IF(K116="LAYO",PR!$AF114,IF(K116="LEADWAY",PR!$AG114,IF(K116="LHV",PR!$AH114,IF(K116="MANOLA",PR!$AI114,IF(K116="MARCSON",PR!$AJ114,IF(K116="M&amp;B",PR!$AK114,IF(K116="MTRUST",PR!$AL114,IF(K116="MWORLD",PR!$AM114,IF(K116="MEGA",PR!$AN114,IF(K116="MICRONOVA",PR!$AO114,IF(K116="MFLASH",PR!$AP114,IF(K116="MORISON",PR!$AQ114,IF(K116="NEMEL",PR!$AR114,IF(K116="NHP",PR!$AS114,IF(K116="NHC",PR!$AT114,IF(K116="OLEAF",PR!$AU114,IF(K116="OCULUS",PR!$AV114,IF(K116="PACIFIC",PR!$AW114,IF(K116="PHAMATEX",PR!$AX114,IF(K116="PETHICS",PR!$AY114,IF(K116="PHILIPS",PR!$AZ114,IF(K116="RANBAXY",PR!$BA114,IF(K116="REALS",PR!$BB114,IF(K116="ROYAL",PR!$BC114,IF(K116="SAM",PR!$BD114,IF(K116="SEAGREEN",PR!$BE114,IF(K116="SKG",PR!$BF114,IF(K116="TAH",PR!$BG114,IF(K116="TAYLEK",PR!$BH114,IF(K116="TEMITA",PR!$BI114,IF(K116="THL",PR!$BJ114,IF(K116="UBASTIC",PR!$BK114,IF(K116="UNION",PR!$BL114,IF(K116="UNIQUE",PR!$BM114,IF(K116="VIXA",PR!$BN114,IF(K116="WWCV",PR!$BO114,IF(K116="ZOLON",PR!$BP114,"-")))))))))))))))))))))))))))))))))))))))))))))))))))))))))))))))))</f>
        <v>-</v>
      </c>
    </row>
    <row r="117" spans="1:12" ht="18.75" x14ac:dyDescent="0.3">
      <c r="A117" s="430">
        <f>PR!A115</f>
        <v>99</v>
      </c>
      <c r="B117" s="15" t="str">
        <f>PR!B115</f>
        <v xml:space="preserve">ROSUVASTATIN 20MG </v>
      </c>
      <c r="C117" s="113">
        <f>PR!D115</f>
        <v>30</v>
      </c>
      <c r="D117" s="113">
        <f>PR!C115</f>
        <v>240</v>
      </c>
      <c r="E117" s="108">
        <f>IF(F117="ALPHA",PR!$E115,IF(F117="ASSENE",PR!$F115,IF(F117="BIOFEM",PR!$G115,IF(F117="BIOMED",PR!$H115,IF(F117="CHI",PR!$I115,IF(F117="CLARION",PR!$J115,IF(F117="CODIX",PR!$K115,IF(F117="COSMADE",PR!$L115,IF(F117="SANCON",PR!$M115,IF(F117="DEVON",PR!$N115,IF(F117="DORTEMAG",PR!$O115,IF(F117="DGF",PR!$P115,IF(F117="DYNAMIC",PR!$Q115,IF(F117="EMZOR",PR!$R115,IF(F117="EUMATT",PR!$S115,IF(F117="FIDSON",PR!$T115,IF(F117="FCGLOBAL",PR!$U115,IF(F117="GENEITH",PR!$V115,IF(F117="GINOS",PR!$W115,IF(F117="GSK",PR!$X115,IF(F117="GLOBORG",PR!$Y115,IF(F117="GOODNEWS",PR!$Z115,IF(F117="GREENLIFE",PR!$AA115,IF(F117="HLINE",PR!$AB115,IF(F117="ROTECH",PR!$AC115,IF(F117="ISN",PR!$AD115,IF(F117="JAWA",PR!$AE115,IF(F117="LAYO",PR!$AF115,IF(F117="LEADWAY",PR!$AG115,IF(F117="LHV",PR!$AH115,IF(F117="MANOLA",PR!$AI115,IF(F117="MARCSON",PR!$AJ115,IF(F117="M&amp;B",PR!$AK115,IF(F117="MTRUST",PR!$AL115,IF(F117="MWORLD",PR!$AM115,IF(F117="MEGA",PR!$AN115,IF(F117="MICRONOVA",PR!$AO115,IF(F117="MFLASH",PR!$AP115,IF(F117="MORISON",PR!$AQ115,IF(F117="NEMEL",PR!$AR115,IF(F117="NHP",PR!$AS115,IF(F117="NHC",PR!$AT115,IF(F117="OLEAF",PR!$AU115,IF(F117="OCULUS",PR!$AV115,IF(F117="PACIFIC",PR!$AW115,IF(F117="PHAMATEX",PR!$AX115,IF(F117="PETHICS",PR!$AY115,IF(F117="PHILIPS",PR!$AZ115,IF(F117="RANBAXY",PR!$BA115,IF(F117="REALS",PR!$BB115,IF(F117="ROYAL",PR!$BC115,IF(F117="SAM",PR!$BD115,IF(F117="SEAGREEN",PR!$BE115,IF(F117="SKG",PR!$BF115,IF(F117="TAH",PR!$BG115,IF(F117="TAYLEK",PR!$BH115,IF(F117="TEMITA",PR!$BI115,IF(F117="THL",PR!$BJ115,IF(F117="UBASTIC",PR!$BK115,IF(F117="UNION",PR!$BL115,IF(F117="UNIQUE",PR!$BM115,IF(F117="VIXA",PR!$BN115,IF(F117="WWCV",PR!$BO115,IF(F117="ZOLON",PR!$BP115,"-"))))))))))))))))))))))))))))))))))))))))))))))))))))))))))))))))</f>
        <v>1108.9285714285716</v>
      </c>
      <c r="F117" s="102" t="str">
        <f>EV!L139</f>
        <v>RANBAXY</v>
      </c>
      <c r="G117" s="108">
        <f>IF(H117="ALPHA",PR!$E115,IF(H117="ASSENE",PR!$F115,IF(H117="BIOFEM",PR!$G115,IF(H117="BIOMED",PR!$H115,IF(H117="CHI",PR!$I115,IF(H117="CLARION",PR!$J115,IF(H117="CODIX",PR!$K115,IF(H117="COSMADE",PR!$L115,IF(H117="SANCON",PR!$M115,IF(H117="DEVON",PR!$N115,IF(H117="DORTEMAG",PR!$O115,IF(H117="DGF",PR!$P115,IF(H117="DYNAMIC",PR!$Q115,IF(H117="EMZOR",PR!$R115,IF(H117="EUMATT",PR!$S115,IF(H117="FIDSON",PR!$T115,IF(H117="FCGLOBAL",PR!$U115,IF(H117="GENEITH",PR!$V115,IF(H117="GINOS",PR!$W115,IF(H117="GSK",PR!$X115,IF(H117="GLOBORG",PR!$Y115,IF(H117="GOODNEWS",PR!$Z115,IF(H117="GREENLIFE",PR!$AA115,IF(H117="HLINE",PR!$AB115,IF(H117="ROTECH",PR!$AC115,IF(H117="ISN",PR!$AD115,IF(H117="JAWA",PR!$AE115,IF(H117="LAYO",PR!$AF115,IF(H117="LEADWAY",PR!$AG115,IF(H117="LHV",PR!$AH115,IF(H117="MANOLA",PR!$AI115,IF(H117="MARCSON",PR!$AJ115,IF(H117="M&amp;B",PR!$AK115,IF(H117="MTRUST",PR!$AL115,IF(H117="MWORLD",PR!$AM115,IF(H117="MEGA",PR!$AN115,IF(H117="MICRONOVA",PR!$AO115,IF(H117="MFLASH",PR!$AP115,IF(H117="MORISON",PR!$AQ115,IF(H117="NEMEL",PR!$AR115,IF(H117="NHP",PR!$AS115,IF(H117="NHC",PR!$AT115,IF(H117="OLEAF",PR!$AU115,IF(H117="OCULUS",PR!$AV115,IF(H117="PACIFIC",PR!$AW115,IF(H117="PHAMATEX",PR!$AX115,IF(H117="PETHICS",PR!$AY115,IF(H117="PHILIPS",PR!$AZ115,IF(H117="RANBAXY",PR!$BA115,IF(H117="REALS",PR!$BB115,IF(H117="ROYAL",PR!$BC115,IF(H117="SAM",PR!$BD115,IF(H117="SEAGREEN",PR!$BE115,IF(H117="SKG",PR!$BF115,IF(H117="TAH",PR!$BG115,IF(H117="TAYLEK",PR!$BH115,IF(H117="TEMITA",PR!$BI115,IF(H117="THL",PR!$BJ115,IF(H117="UBASTIC",PR!$BK115,IF(H117="UNION",PR!$BL115,IF(H117="UNIQUE",PR!$BM115,IF(H117="VIXA",PR!$BN115,IF(H117="WWCV",PR!$BO115,IF(H117="ZOLON",PR!$BP115,"-"))))))))))))))))))))))))))))))))))))))))))))))))))))))))))))))))</f>
        <v>2000</v>
      </c>
      <c r="H117" s="102" t="str">
        <f>EV!M139</f>
        <v>EUMATT</v>
      </c>
      <c r="I117" s="108">
        <f>IF(J117="ALPHA",PR!$E115,IF(J117="ASSENE",PR!$F115,IF(J117="BIOFEM",PR!$G115,IF(J117="BIOMED",PR!$H115,IF(J117="CHI",PR!$I115,IF(J117="CLARION",PR!$J115,IF(J117="CODIX",PR!$K115,IF(J117="COSMADE",PR!$L115,IF(J117="SANCON",PR!$M115,IF(J117="DEVON",PR!$N115,IF(J117="DORTEMAG",PR!$O115,IF(J117="DGF",PR!$P115,IF(J117="DYNAMIC",PR!$Q115,IF(J117="EMZOR",PR!$R115,IF(J117="EUMATT",PR!$S115,IF(J117="FIDSON",PR!$T115,IF(J117="FCGLOBAL",PR!$U115,IF(J117="GENEITH",PR!$V115,IF(J117="GINOS",PR!$W115,IF(J117="GSK",PR!$X115,IF(J117="GLOBORG",PR!$Y115,IF(J117="GOODNEWS",PR!$Z115,IF(J117="GREENLIFE",PR!$AA115,IF(J117="HLINE",PR!$AB115,IF(J117="ROTECH",PR!$AC115,IF(J117="ISN",PR!$AD115,IF(J117="JAWA",PR!$AE115,IF(J117="LAYO",PR!$AF115,IF(J117="LEADWAY",PR!$AG115,IF(J117="LHV",PR!$AH115,IF(J117="MANOLA",PR!$AI115,IF(J117="MARCSON",PR!$AJ115,IF(J117="M&amp;B",PR!$AK115,IF(J117="MTRUST",PR!$AL115,IF(J117="MWORLD",PR!$AM115,IF(J117="MEGA",PR!$AN115,IF(J117="MICRONOVA",PR!$AO115,IF(J117="MFLASH",PR!$AP115,IF(J117="MORISON",PR!$AQ115,IF(J117="NEMEL",PR!$AR115,IF(J117="NHP",PR!$AS115,IF(J117="NHC",PR!$AT115,IF(J117="OLEAF",PR!$AU115,IF(J117="OCULUS",PR!$AV115,IF(J117="PACIFIC",PR!$AW115,IF(J117="PHAMATEX",PR!$AX115,IF(J117="PETHICS",PR!$AY115,IF(J117="PHILIPS",PR!$AZ115,IF(J117="RANBAXY",PR!$BA115,IF(J117="REALS",PR!$BB115,IF(J117="ROYAL",PR!$BC115,IF(J117="SAM",PR!$BD115,IF(J117="SEAGREEN",PR!$BE115,IF(J117="SKG",PR!$BF115,IF(J117="TAH",PR!$BG115,IF(J117="TAYLEK",PR!$BH115,IF(J117="TEMITA",PR!$BI115,IF(J117="THL",PR!$BJ115,IF(J117="UBASTIC",PR!$BK115,IF(J117="UNION",PR!$BL115,IF(J117="UNIQUE",PR!$BM115,IF(J117="VIXA",PR!$BN115,IF(J117="WWCV",PR!$BO115,IF(J117="ZOLON",PR!$BP115,"-"))))))))))))))))))))))))))))))))))))))))))))))))))))))))))))))))</f>
        <v>2595</v>
      </c>
      <c r="J117" s="102" t="str">
        <f>EV!N139</f>
        <v>MICRONOVA</v>
      </c>
      <c r="K117" s="433" t="s">
        <v>2101</v>
      </c>
      <c r="L117" s="183" t="str">
        <f>IF(K117&gt;0,IF(K117="ALPHA",PR!$E115,IF(K117="ASSENE",PR!$F115,IF(K117="BIOFEM",PR!$G115,IF(K117="BIOMED",PR!$H115,IF(K117="CHI",PR!$I115,IF(K117="CLARION",PR!$J115,IF(K117="CODIX",PR!$K115,IF(K117="COSMADE",PR!$L115,IF(K117="SANCON",PR!$M115,IF(K117="DEVON",PR!$N115,IF(K117="DORTEMAG",PR!$O115,IF(K117="DGF",PR!$P115,IF(K117="DYNAMIC",PR!$Q115,IF(K117="EMZOR",PR!$R115,IF(K117="EUMATT",PR!$S115,IF(K117="FIDSON",PR!$T115,IF(K117="FCGLOBAL",PR!$U115,IF(K117="GENEITH",PR!$V115,IF(K117="GINOS",PR!$W115,IF(K117="GSK",PR!$X115,IF(K117="GLOBORG",PR!$Y115,IF(K117="GOODNEWS",PR!$Z115,IF(K117="GREENLIFE",PR!$AA115,IF(K117="HLINE",PR!$AB115,IF(K117="ROTECH",PR!$AC115,IF(K117="ISN",PR!$AD115,IF(K117="JAWA",PR!$AE115,IF(K117="LAYO",PR!$AF115,IF(K117="LEADWAY",PR!$AG115,IF(K117="LHV",PR!$AH115,IF(K117="MANOLA",PR!$AI115,IF(K117="MARCSON",PR!$AJ115,IF(K117="M&amp;B",PR!$AK115,IF(K117="MTRUST",PR!$AL115,IF(K117="MWORLD",PR!$AM115,IF(K117="MEGA",PR!$AN115,IF(K117="MICRONOVA",PR!$AO115,IF(K117="MFLASH",PR!$AP115,IF(K117="MORISON",PR!$AQ115,IF(K117="NEMEL",PR!$AR115,IF(K117="NHP",PR!$AS115,IF(K117="NHC",PR!$AT115,IF(K117="OLEAF",PR!$AU115,IF(K117="OCULUS",PR!$AV115,IF(K117="PACIFIC",PR!$AW115,IF(K117="PHAMATEX",PR!$AX115,IF(K117="PETHICS",PR!$AY115,IF(K117="PHILIPS",PR!$AZ115,IF(K117="RANBAXY",PR!$BA115,IF(K117="REALS",PR!$BB115,IF(K117="ROYAL",PR!$BC115,IF(K117="SAM",PR!$BD115,IF(K117="SEAGREEN",PR!$BE115,IF(K117="SKG",PR!$BF115,IF(K117="TAH",PR!$BG115,IF(K117="TAYLEK",PR!$BH115,IF(K117="TEMITA",PR!$BI115,IF(K117="THL",PR!$BJ115,IF(K117="UBASTIC",PR!$BK115,IF(K117="UNION",PR!$BL115,IF(K117="UNIQUE",PR!$BM115,IF(K117="VIXA",PR!$BN115,IF(K117="WWCV",PR!$BO115,IF(K117="ZOLON",PR!$BP115,"-")))))))))))))))))))))))))))))))))))))))))))))))))))))))))))))))))</f>
        <v>-</v>
      </c>
    </row>
    <row r="118" spans="1:12" ht="18.75" x14ac:dyDescent="0.3">
      <c r="A118" s="430">
        <f>PR!A116</f>
        <v>100</v>
      </c>
      <c r="B118" s="15" t="str">
        <f>PR!B116</f>
        <v>SACUBITRIL/VALSARTAN 100MG TAB</v>
      </c>
      <c r="C118" s="113">
        <f>PR!D116</f>
        <v>28</v>
      </c>
      <c r="D118" s="113">
        <f>PR!C116</f>
        <v>10</v>
      </c>
      <c r="E118" s="108" t="str">
        <f>IF(F118="ALPHA",PR!$E116,IF(F118="ASSENE",PR!$F116,IF(F118="BIOFEM",PR!$G116,IF(F118="BIOMED",PR!$H116,IF(F118="CHI",PR!$I116,IF(F118="CLARION",PR!$J116,IF(F118="CODIX",PR!$K116,IF(F118="COSMADE",PR!$L116,IF(F118="SANCON",PR!$M116,IF(F118="DEVON",PR!$N116,IF(F118="DORTEMAG",PR!$O116,IF(F118="DGF",PR!$P116,IF(F118="DYNAMIC",PR!$Q116,IF(F118="EMZOR",PR!$R116,IF(F118="EUMATT",PR!$S116,IF(F118="FIDSON",PR!$T116,IF(F118="FCGLOBAL",PR!$U116,IF(F118="GENEITH",PR!$V116,IF(F118="GINOS",PR!$W116,IF(F118="GSK",PR!$X116,IF(F118="GLOBORG",PR!$Y116,IF(F118="GOODNEWS",PR!$Z116,IF(F118="GREENLIFE",PR!$AA116,IF(F118="HLINE",PR!$AB116,IF(F118="ROTECH",PR!$AC116,IF(F118="ISN",PR!$AD116,IF(F118="JAWA",PR!$AE116,IF(F118="LAYO",PR!$AF116,IF(F118="LEADWAY",PR!$AG116,IF(F118="LHV",PR!$AH116,IF(F118="MANOLA",PR!$AI116,IF(F118="MARCSON",PR!$AJ116,IF(F118="M&amp;B",PR!$AK116,IF(F118="MTRUST",PR!$AL116,IF(F118="MWORLD",PR!$AM116,IF(F118="MEGA",PR!$AN116,IF(F118="MICRONOVA",PR!$AO116,IF(F118="MFLASH",PR!$AP116,IF(F118="MORISON",PR!$AQ116,IF(F118="NEMEL",PR!$AR116,IF(F118="NHP",PR!$AS116,IF(F118="NHC",PR!$AT116,IF(F118="OLEAF",PR!$AU116,IF(F118="OCULUS",PR!$AV116,IF(F118="PACIFIC",PR!$AW116,IF(F118="PHAMATEX",PR!$AX116,IF(F118="PETHICS",PR!$AY116,IF(F118="PHILIPS",PR!$AZ116,IF(F118="RANBAXY",PR!$BA116,IF(F118="REALS",PR!$BB116,IF(F118="ROYAL",PR!$BC116,IF(F118="SAM",PR!$BD116,IF(F118="SEAGREEN",PR!$BE116,IF(F118="SKG",PR!$BF116,IF(F118="TAH",PR!$BG116,IF(F118="TAYLEK",PR!$BH116,IF(F118="TEMITA",PR!$BI116,IF(F118="THL",PR!$BJ116,IF(F118="UBASTIC",PR!$BK116,IF(F118="UNION",PR!$BL116,IF(F118="UNIQUE",PR!$BM116,IF(F118="VIXA",PR!$BN116,IF(F118="WWCV",PR!$BO116,IF(F118="ZOLON",PR!$BP116,"-"))))))))))))))))))))))))))))))))))))))))))))))))))))))))))))))))</f>
        <v>-</v>
      </c>
      <c r="F118" s="102">
        <f>EV!L140</f>
        <v>0</v>
      </c>
      <c r="G118" s="108" t="str">
        <f>IF(H118="ALPHA",PR!$E116,IF(H118="ASSENE",PR!$F116,IF(H118="BIOFEM",PR!$G116,IF(H118="BIOMED",PR!$H116,IF(H118="CHI",PR!$I116,IF(H118="CLARION",PR!$J116,IF(H118="CODIX",PR!$K116,IF(H118="COSMADE",PR!$L116,IF(H118="SANCON",PR!$M116,IF(H118="DEVON",PR!$N116,IF(H118="DORTEMAG",PR!$O116,IF(H118="DGF",PR!$P116,IF(H118="DYNAMIC",PR!$Q116,IF(H118="EMZOR",PR!$R116,IF(H118="EUMATT",PR!$S116,IF(H118="FIDSON",PR!$T116,IF(H118="FCGLOBAL",PR!$U116,IF(H118="GENEITH",PR!$V116,IF(H118="GINOS",PR!$W116,IF(H118="GSK",PR!$X116,IF(H118="GLOBORG",PR!$Y116,IF(H118="GOODNEWS",PR!$Z116,IF(H118="GREENLIFE",PR!$AA116,IF(H118="HLINE",PR!$AB116,IF(H118="ROTECH",PR!$AC116,IF(H118="ISN",PR!$AD116,IF(H118="JAWA",PR!$AE116,IF(H118="LAYO",PR!$AF116,IF(H118="LEADWAY",PR!$AG116,IF(H118="LHV",PR!$AH116,IF(H118="MANOLA",PR!$AI116,IF(H118="MARCSON",PR!$AJ116,IF(H118="M&amp;B",PR!$AK116,IF(H118="MTRUST",PR!$AL116,IF(H118="MWORLD",PR!$AM116,IF(H118="MEGA",PR!$AN116,IF(H118="MICRONOVA",PR!$AO116,IF(H118="MFLASH",PR!$AP116,IF(H118="MORISON",PR!$AQ116,IF(H118="NEMEL",PR!$AR116,IF(H118="NHP",PR!$AS116,IF(H118="NHC",PR!$AT116,IF(H118="OLEAF",PR!$AU116,IF(H118="OCULUS",PR!$AV116,IF(H118="PACIFIC",PR!$AW116,IF(H118="PHAMATEX",PR!$AX116,IF(H118="PETHICS",PR!$AY116,IF(H118="PHILIPS",PR!$AZ116,IF(H118="RANBAXY",PR!$BA116,IF(H118="REALS",PR!$BB116,IF(H118="ROYAL",PR!$BC116,IF(H118="SAM",PR!$BD116,IF(H118="SEAGREEN",PR!$BE116,IF(H118="SKG",PR!$BF116,IF(H118="TAH",PR!$BG116,IF(H118="TAYLEK",PR!$BH116,IF(H118="TEMITA",PR!$BI116,IF(H118="THL",PR!$BJ116,IF(H118="UBASTIC",PR!$BK116,IF(H118="UNION",PR!$BL116,IF(H118="UNIQUE",PR!$BM116,IF(H118="VIXA",PR!$BN116,IF(H118="WWCV",PR!$BO116,IF(H118="ZOLON",PR!$BP116,"-"))))))))))))))))))))))))))))))))))))))))))))))))))))))))))))))))</f>
        <v>-</v>
      </c>
      <c r="H118" s="102">
        <f>EV!M140</f>
        <v>0</v>
      </c>
      <c r="I118" s="108" t="str">
        <f>IF(J118="ALPHA",PR!$E116,IF(J118="ASSENE",PR!$F116,IF(J118="BIOFEM",PR!$G116,IF(J118="BIOMED",PR!$H116,IF(J118="CHI",PR!$I116,IF(J118="CLARION",PR!$J116,IF(J118="CODIX",PR!$K116,IF(J118="COSMADE",PR!$L116,IF(J118="SANCON",PR!$M116,IF(J118="DEVON",PR!$N116,IF(J118="DORTEMAG",PR!$O116,IF(J118="DGF",PR!$P116,IF(J118="DYNAMIC",PR!$Q116,IF(J118="EMZOR",PR!$R116,IF(J118="EUMATT",PR!$S116,IF(J118="FIDSON",PR!$T116,IF(J118="FCGLOBAL",PR!$U116,IF(J118="GENEITH",PR!$V116,IF(J118="GINOS",PR!$W116,IF(J118="GSK",PR!$X116,IF(J118="GLOBORG",PR!$Y116,IF(J118="GOODNEWS",PR!$Z116,IF(J118="GREENLIFE",PR!$AA116,IF(J118="HLINE",PR!$AB116,IF(J118="ROTECH",PR!$AC116,IF(J118="ISN",PR!$AD116,IF(J118="JAWA",PR!$AE116,IF(J118="LAYO",PR!$AF116,IF(J118="LEADWAY",PR!$AG116,IF(J118="LHV",PR!$AH116,IF(J118="MANOLA",PR!$AI116,IF(J118="MARCSON",PR!$AJ116,IF(J118="M&amp;B",PR!$AK116,IF(J118="MTRUST",PR!$AL116,IF(J118="MWORLD",PR!$AM116,IF(J118="MEGA",PR!$AN116,IF(J118="MICRONOVA",PR!$AO116,IF(J118="MFLASH",PR!$AP116,IF(J118="MORISON",PR!$AQ116,IF(J118="NEMEL",PR!$AR116,IF(J118="NHP",PR!$AS116,IF(J118="NHC",PR!$AT116,IF(J118="OLEAF",PR!$AU116,IF(J118="OCULUS",PR!$AV116,IF(J118="PACIFIC",PR!$AW116,IF(J118="PHAMATEX",PR!$AX116,IF(J118="PETHICS",PR!$AY116,IF(J118="PHILIPS",PR!$AZ116,IF(J118="RANBAXY",PR!$BA116,IF(J118="REALS",PR!$BB116,IF(J118="ROYAL",PR!$BC116,IF(J118="SAM",PR!$BD116,IF(J118="SEAGREEN",PR!$BE116,IF(J118="SKG",PR!$BF116,IF(J118="TAH",PR!$BG116,IF(J118="TAYLEK",PR!$BH116,IF(J118="TEMITA",PR!$BI116,IF(J118="THL",PR!$BJ116,IF(J118="UBASTIC",PR!$BK116,IF(J118="UNION",PR!$BL116,IF(J118="UNIQUE",PR!$BM116,IF(J118="VIXA",PR!$BN116,IF(J118="WWCV",PR!$BO116,IF(J118="ZOLON",PR!$BP116,"-"))))))))))))))))))))))))))))))))))))))))))))))))))))))))))))))))</f>
        <v>-</v>
      </c>
      <c r="J118" s="102">
        <f>EV!N140</f>
        <v>0</v>
      </c>
      <c r="K118" s="433"/>
      <c r="L118" s="183" t="b">
        <f>IF(K118&gt;0,IF(K118="ALPHA",PR!$E116,IF(K118="ASSENE",PR!$F116,IF(K118="BIOFEM",PR!$G116,IF(K118="BIOMED",PR!$H116,IF(K118="CHI",PR!$I116,IF(K118="CLARION",PR!$J116,IF(K118="CODIX",PR!$K116,IF(K118="COSMADE",PR!$L116,IF(K118="SANCON",PR!$M116,IF(K118="DEVON",PR!$N116,IF(K118="DORTEMAG",PR!$O116,IF(K118="DGF",PR!$P116,IF(K118="DYNAMIC",PR!$Q116,IF(K118="EMZOR",PR!$R116,IF(K118="EUMATT",PR!$S116,IF(K118="FIDSON",PR!$T116,IF(K118="FCGLOBAL",PR!$U116,IF(K118="GENEITH",PR!$V116,IF(K118="GINOS",PR!$W116,IF(K118="GSK",PR!$X116,IF(K118="GLOBORG",PR!$Y116,IF(K118="GOODNEWS",PR!$Z116,IF(K118="GREENLIFE",PR!$AA116,IF(K118="HLINE",PR!$AB116,IF(K118="ROTECH",PR!$AC116,IF(K118="ISN",PR!$AD116,IF(K118="JAWA",PR!$AE116,IF(K118="LAYO",PR!$AF116,IF(K118="LEADWAY",PR!$AG116,IF(K118="LHV",PR!$AH116,IF(K118="MANOLA",PR!$AI116,IF(K118="MARCSON",PR!$AJ116,IF(K118="M&amp;B",PR!$AK116,IF(K118="MTRUST",PR!$AL116,IF(K118="MWORLD",PR!$AM116,IF(K118="MEGA",PR!$AN116,IF(K118="MICRONOVA",PR!$AO116,IF(K118="MFLASH",PR!$AP116,IF(K118="MORISON",PR!$AQ116,IF(K118="NEMEL",PR!$AR116,IF(K118="NHP",PR!$AS116,IF(K118="NHC",PR!$AT116,IF(K118="OLEAF",PR!$AU116,IF(K118="OCULUS",PR!$AV116,IF(K118="PACIFIC",PR!$AW116,IF(K118="PHAMATEX",PR!$AX116,IF(K118="PETHICS",PR!$AY116,IF(K118="PHILIPS",PR!$AZ116,IF(K118="RANBAXY",PR!$BA116,IF(K118="REALS",PR!$BB116,IF(K118="ROYAL",PR!$BC116,IF(K118="SAM",PR!$BD116,IF(K118="SEAGREEN",PR!$BE116,IF(K118="SKG",PR!$BF116,IF(K118="TAH",PR!$BG116,IF(K118="TAYLEK",PR!$BH116,IF(K118="TEMITA",PR!$BI116,IF(K118="THL",PR!$BJ116,IF(K118="UBASTIC",PR!$BK116,IF(K118="UNION",PR!$BL116,IF(K118="UNIQUE",PR!$BM116,IF(K118="VIXA",PR!$BN116,IF(K118="WWCV",PR!$BO116,IF(K118="ZOLON",PR!$BP116,"-")))))))))))))))))))))))))))))))))))))))))))))))))))))))))))))))))</f>
        <v>0</v>
      </c>
    </row>
    <row r="119" spans="1:12" ht="18.75" x14ac:dyDescent="0.3">
      <c r="A119" s="430">
        <f>PR!A117</f>
        <v>101</v>
      </c>
      <c r="B119" s="15" t="str">
        <f>PR!B117</f>
        <v>SACUBITRIL/VALSARTAN 200MG TAB</v>
      </c>
      <c r="C119" s="113">
        <f>PR!D117</f>
        <v>28</v>
      </c>
      <c r="D119" s="113">
        <f>PR!C117</f>
        <v>10</v>
      </c>
      <c r="E119" s="108" t="str">
        <f>IF(F119="ALPHA",PR!$E117,IF(F119="ASSENE",PR!$F117,IF(F119="BIOFEM",PR!$G117,IF(F119="BIOMED",PR!$H117,IF(F119="CHI",PR!$I117,IF(F119="CLARION",PR!$J117,IF(F119="CODIX",PR!$K117,IF(F119="COSMADE",PR!$L117,IF(F119="SANCON",PR!$M117,IF(F119="DEVON",PR!$N117,IF(F119="DORTEMAG",PR!$O117,IF(F119="DGF",PR!$P117,IF(F119="DYNAMIC",PR!$Q117,IF(F119="EMZOR",PR!$R117,IF(F119="EUMATT",PR!$S117,IF(F119="FIDSON",PR!$T117,IF(F119="FCGLOBAL",PR!$U117,IF(F119="GENEITH",PR!$V117,IF(F119="GINOS",PR!$W117,IF(F119="GSK",PR!$X117,IF(F119="GLOBORG",PR!$Y117,IF(F119="GOODNEWS",PR!$Z117,IF(F119="GREENLIFE",PR!$AA117,IF(F119="HLINE",PR!$AB117,IF(F119="ROTECH",PR!$AC117,IF(F119="ISN",PR!$AD117,IF(F119="JAWA",PR!$AE117,IF(F119="LAYO",PR!$AF117,IF(F119="LEADWAY",PR!$AG117,IF(F119="LHV",PR!$AH117,IF(F119="MANOLA",PR!$AI117,IF(F119="MARCSON",PR!$AJ117,IF(F119="M&amp;B",PR!$AK117,IF(F119="MTRUST",PR!$AL117,IF(F119="MWORLD",PR!$AM117,IF(F119="MEGA",PR!$AN117,IF(F119="MICRONOVA",PR!$AO117,IF(F119="MFLASH",PR!$AP117,IF(F119="MORISON",PR!$AQ117,IF(F119="NEMEL",PR!$AR117,IF(F119="NHP",PR!$AS117,IF(F119="NHC",PR!$AT117,IF(F119="OLEAF",PR!$AU117,IF(F119="OCULUS",PR!$AV117,IF(F119="PACIFIC",PR!$AW117,IF(F119="PHAMATEX",PR!$AX117,IF(F119="PETHICS",PR!$AY117,IF(F119="PHILIPS",PR!$AZ117,IF(F119="RANBAXY",PR!$BA117,IF(F119="REALS",PR!$BB117,IF(F119="ROYAL",PR!$BC117,IF(F119="SAM",PR!$BD117,IF(F119="SEAGREEN",PR!$BE117,IF(F119="SKG",PR!$BF117,IF(F119="TAH",PR!$BG117,IF(F119="TAYLEK",PR!$BH117,IF(F119="TEMITA",PR!$BI117,IF(F119="THL",PR!$BJ117,IF(F119="UBASTIC",PR!$BK117,IF(F119="UNION",PR!$BL117,IF(F119="UNIQUE",PR!$BM117,IF(F119="VIXA",PR!$BN117,IF(F119="WWCV",PR!$BO117,IF(F119="ZOLON",PR!$BP117,"-"))))))))))))))))))))))))))))))))))))))))))))))))))))))))))))))))</f>
        <v>-</v>
      </c>
      <c r="F119" s="102">
        <f>EV!L141</f>
        <v>0</v>
      </c>
      <c r="G119" s="108" t="str">
        <f>IF(H119="ALPHA",PR!$E117,IF(H119="ASSENE",PR!$F117,IF(H119="BIOFEM",PR!$G117,IF(H119="BIOMED",PR!$H117,IF(H119="CHI",PR!$I117,IF(H119="CLARION",PR!$J117,IF(H119="CODIX",PR!$K117,IF(H119="COSMADE",PR!$L117,IF(H119="SANCON",PR!$M117,IF(H119="DEVON",PR!$N117,IF(H119="DORTEMAG",PR!$O117,IF(H119="DGF",PR!$P117,IF(H119="DYNAMIC",PR!$Q117,IF(H119="EMZOR",PR!$R117,IF(H119="EUMATT",PR!$S117,IF(H119="FIDSON",PR!$T117,IF(H119="FCGLOBAL",PR!$U117,IF(H119="GENEITH",PR!$V117,IF(H119="GINOS",PR!$W117,IF(H119="GSK",PR!$X117,IF(H119="GLOBORG",PR!$Y117,IF(H119="GOODNEWS",PR!$Z117,IF(H119="GREENLIFE",PR!$AA117,IF(H119="HLINE",PR!$AB117,IF(H119="ROTECH",PR!$AC117,IF(H119="ISN",PR!$AD117,IF(H119="JAWA",PR!$AE117,IF(H119="LAYO",PR!$AF117,IF(H119="LEADWAY",PR!$AG117,IF(H119="LHV",PR!$AH117,IF(H119="MANOLA",PR!$AI117,IF(H119="MARCSON",PR!$AJ117,IF(H119="M&amp;B",PR!$AK117,IF(H119="MTRUST",PR!$AL117,IF(H119="MWORLD",PR!$AM117,IF(H119="MEGA",PR!$AN117,IF(H119="MICRONOVA",PR!$AO117,IF(H119="MFLASH",PR!$AP117,IF(H119="MORISON",PR!$AQ117,IF(H119="NEMEL",PR!$AR117,IF(H119="NHP",PR!$AS117,IF(H119="NHC",PR!$AT117,IF(H119="OLEAF",PR!$AU117,IF(H119="OCULUS",PR!$AV117,IF(H119="PACIFIC",PR!$AW117,IF(H119="PHAMATEX",PR!$AX117,IF(H119="PETHICS",PR!$AY117,IF(H119="PHILIPS",PR!$AZ117,IF(H119="RANBAXY",PR!$BA117,IF(H119="REALS",PR!$BB117,IF(H119="ROYAL",PR!$BC117,IF(H119="SAM",PR!$BD117,IF(H119="SEAGREEN",PR!$BE117,IF(H119="SKG",PR!$BF117,IF(H119="TAH",PR!$BG117,IF(H119="TAYLEK",PR!$BH117,IF(H119="TEMITA",PR!$BI117,IF(H119="THL",PR!$BJ117,IF(H119="UBASTIC",PR!$BK117,IF(H119="UNION",PR!$BL117,IF(H119="UNIQUE",PR!$BM117,IF(H119="VIXA",PR!$BN117,IF(H119="WWCV",PR!$BO117,IF(H119="ZOLON",PR!$BP117,"-"))))))))))))))))))))))))))))))))))))))))))))))))))))))))))))))))</f>
        <v>-</v>
      </c>
      <c r="H119" s="102">
        <f>EV!M141</f>
        <v>0</v>
      </c>
      <c r="I119" s="108" t="str">
        <f>IF(J119="ALPHA",PR!$E117,IF(J119="ASSENE",PR!$F117,IF(J119="BIOFEM",PR!$G117,IF(J119="BIOMED",PR!$H117,IF(J119="CHI",PR!$I117,IF(J119="CLARION",PR!$J117,IF(J119="CODIX",PR!$K117,IF(J119="COSMADE",PR!$L117,IF(J119="SANCON",PR!$M117,IF(J119="DEVON",PR!$N117,IF(J119="DORTEMAG",PR!$O117,IF(J119="DGF",PR!$P117,IF(J119="DYNAMIC",PR!$Q117,IF(J119="EMZOR",PR!$R117,IF(J119="EUMATT",PR!$S117,IF(J119="FIDSON",PR!$T117,IF(J119="FCGLOBAL",PR!$U117,IF(J119="GENEITH",PR!$V117,IF(J119="GINOS",PR!$W117,IF(J119="GSK",PR!$X117,IF(J119="GLOBORG",PR!$Y117,IF(J119="GOODNEWS",PR!$Z117,IF(J119="GREENLIFE",PR!$AA117,IF(J119="HLINE",PR!$AB117,IF(J119="ROTECH",PR!$AC117,IF(J119="ISN",PR!$AD117,IF(J119="JAWA",PR!$AE117,IF(J119="LAYO",PR!$AF117,IF(J119="LEADWAY",PR!$AG117,IF(J119="LHV",PR!$AH117,IF(J119="MANOLA",PR!$AI117,IF(J119="MARCSON",PR!$AJ117,IF(J119="M&amp;B",PR!$AK117,IF(J119="MTRUST",PR!$AL117,IF(J119="MWORLD",PR!$AM117,IF(J119="MEGA",PR!$AN117,IF(J119="MICRONOVA",PR!$AO117,IF(J119="MFLASH",PR!$AP117,IF(J119="MORISON",PR!$AQ117,IF(J119="NEMEL",PR!$AR117,IF(J119="NHP",PR!$AS117,IF(J119="NHC",PR!$AT117,IF(J119="OLEAF",PR!$AU117,IF(J119="OCULUS",PR!$AV117,IF(J119="PACIFIC",PR!$AW117,IF(J119="PHAMATEX",PR!$AX117,IF(J119="PETHICS",PR!$AY117,IF(J119="PHILIPS",PR!$AZ117,IF(J119="RANBAXY",PR!$BA117,IF(J119="REALS",PR!$BB117,IF(J119="ROYAL",PR!$BC117,IF(J119="SAM",PR!$BD117,IF(J119="SEAGREEN",PR!$BE117,IF(J119="SKG",PR!$BF117,IF(J119="TAH",PR!$BG117,IF(J119="TAYLEK",PR!$BH117,IF(J119="TEMITA",PR!$BI117,IF(J119="THL",PR!$BJ117,IF(J119="UBASTIC",PR!$BK117,IF(J119="UNION",PR!$BL117,IF(J119="UNIQUE",PR!$BM117,IF(J119="VIXA",PR!$BN117,IF(J119="WWCV",PR!$BO117,IF(J119="ZOLON",PR!$BP117,"-"))))))))))))))))))))))))))))))))))))))))))))))))))))))))))))))))</f>
        <v>-</v>
      </c>
      <c r="J119" s="102">
        <f>EV!N141</f>
        <v>0</v>
      </c>
      <c r="K119" s="433"/>
      <c r="L119" s="183" t="b">
        <f>IF(K119&gt;0,IF(K119="ALPHA",PR!$E117,IF(K119="ASSENE",PR!$F117,IF(K119="BIOFEM",PR!$G117,IF(K119="BIOMED",PR!$H117,IF(K119="CHI",PR!$I117,IF(K119="CLARION",PR!$J117,IF(K119="CODIX",PR!$K117,IF(K119="COSMADE",PR!$L117,IF(K119="SANCON",PR!$M117,IF(K119="DEVON",PR!$N117,IF(K119="DORTEMAG",PR!$O117,IF(K119="DGF",PR!$P117,IF(K119="DYNAMIC",PR!$Q117,IF(K119="EMZOR",PR!$R117,IF(K119="EUMATT",PR!$S117,IF(K119="FIDSON",PR!$T117,IF(K119="FCGLOBAL",PR!$U117,IF(K119="GENEITH",PR!$V117,IF(K119="GINOS",PR!$W117,IF(K119="GSK",PR!$X117,IF(K119="GLOBORG",PR!$Y117,IF(K119="GOODNEWS",PR!$Z117,IF(K119="GREENLIFE",PR!$AA117,IF(K119="HLINE",PR!$AB117,IF(K119="ROTECH",PR!$AC117,IF(K119="ISN",PR!$AD117,IF(K119="JAWA",PR!$AE117,IF(K119="LAYO",PR!$AF117,IF(K119="LEADWAY",PR!$AG117,IF(K119="LHV",PR!$AH117,IF(K119="MANOLA",PR!$AI117,IF(K119="MARCSON",PR!$AJ117,IF(K119="M&amp;B",PR!$AK117,IF(K119="MTRUST",PR!$AL117,IF(K119="MWORLD",PR!$AM117,IF(K119="MEGA",PR!$AN117,IF(K119="MICRONOVA",PR!$AO117,IF(K119="MFLASH",PR!$AP117,IF(K119="MORISON",PR!$AQ117,IF(K119="NEMEL",PR!$AR117,IF(K119="NHP",PR!$AS117,IF(K119="NHC",PR!$AT117,IF(K119="OLEAF",PR!$AU117,IF(K119="OCULUS",PR!$AV117,IF(K119="PACIFIC",PR!$AW117,IF(K119="PHAMATEX",PR!$AX117,IF(K119="PETHICS",PR!$AY117,IF(K119="PHILIPS",PR!$AZ117,IF(K119="RANBAXY",PR!$BA117,IF(K119="REALS",PR!$BB117,IF(K119="ROYAL",PR!$BC117,IF(K119="SAM",PR!$BD117,IF(K119="SEAGREEN",PR!$BE117,IF(K119="SKG",PR!$BF117,IF(K119="TAH",PR!$BG117,IF(K119="TAYLEK",PR!$BH117,IF(K119="TEMITA",PR!$BI117,IF(K119="THL",PR!$BJ117,IF(K119="UBASTIC",PR!$BK117,IF(K119="UNION",PR!$BL117,IF(K119="UNIQUE",PR!$BM117,IF(K119="VIXA",PR!$BN117,IF(K119="WWCV",PR!$BO117,IF(K119="ZOLON",PR!$BP117,"-")))))))))))))))))))))))))))))))))))))))))))))))))))))))))))))))))</f>
        <v>0</v>
      </c>
    </row>
    <row r="120" spans="1:12" ht="18.75" x14ac:dyDescent="0.3">
      <c r="A120" s="430">
        <f>PR!A118</f>
        <v>102</v>
      </c>
      <c r="B120" s="15" t="str">
        <f>PR!B118</f>
        <v>SACUBITRIL/VALSARTAN 50MG TAB</v>
      </c>
      <c r="C120" s="113">
        <f>PR!D118</f>
        <v>28</v>
      </c>
      <c r="D120" s="113">
        <f>PR!C118</f>
        <v>10</v>
      </c>
      <c r="E120" s="108" t="str">
        <f>IF(F120="ALPHA",PR!$E118,IF(F120="ASSENE",PR!$F118,IF(F120="BIOFEM",PR!$G118,IF(F120="BIOMED",PR!$H118,IF(F120="CHI",PR!$I118,IF(F120="CLARION",PR!$J118,IF(F120="CODIX",PR!$K118,IF(F120="COSMADE",PR!$L118,IF(F120="SANCON",PR!$M118,IF(F120="DEVON",PR!$N118,IF(F120="DORTEMAG",PR!$O118,IF(F120="DGF",PR!$P118,IF(F120="DYNAMIC",PR!$Q118,IF(F120="EMZOR",PR!$R118,IF(F120="EUMATT",PR!$S118,IF(F120="FIDSON",PR!$T118,IF(F120="FCGLOBAL",PR!$U118,IF(F120="GENEITH",PR!$V118,IF(F120="GINOS",PR!$W118,IF(F120="GSK",PR!$X118,IF(F120="GLOBORG",PR!$Y118,IF(F120="GOODNEWS",PR!$Z118,IF(F120="GREENLIFE",PR!$AA118,IF(F120="HLINE",PR!$AB118,IF(F120="ROTECH",PR!$AC118,IF(F120="ISN",PR!$AD118,IF(F120="JAWA",PR!$AE118,IF(F120="LAYO",PR!$AF118,IF(F120="LEADWAY",PR!$AG118,IF(F120="LHV",PR!$AH118,IF(F120="MANOLA",PR!$AI118,IF(F120="MARCSON",PR!$AJ118,IF(F120="M&amp;B",PR!$AK118,IF(F120="MTRUST",PR!$AL118,IF(F120="MWORLD",PR!$AM118,IF(F120="MEGA",PR!$AN118,IF(F120="MICRONOVA",PR!$AO118,IF(F120="MFLASH",PR!$AP118,IF(F120="MORISON",PR!$AQ118,IF(F120="NEMEL",PR!$AR118,IF(F120="NHP",PR!$AS118,IF(F120="NHC",PR!$AT118,IF(F120="OLEAF",PR!$AU118,IF(F120="OCULUS",PR!$AV118,IF(F120="PACIFIC",PR!$AW118,IF(F120="PHAMATEX",PR!$AX118,IF(F120="PETHICS",PR!$AY118,IF(F120="PHILIPS",PR!$AZ118,IF(F120="RANBAXY",PR!$BA118,IF(F120="REALS",PR!$BB118,IF(F120="ROYAL",PR!$BC118,IF(F120="SAM",PR!$BD118,IF(F120="SEAGREEN",PR!$BE118,IF(F120="SKG",PR!$BF118,IF(F120="TAH",PR!$BG118,IF(F120="TAYLEK",PR!$BH118,IF(F120="TEMITA",PR!$BI118,IF(F120="THL",PR!$BJ118,IF(F120="UBASTIC",PR!$BK118,IF(F120="UNION",PR!$BL118,IF(F120="UNIQUE",PR!$BM118,IF(F120="VIXA",PR!$BN118,IF(F120="WWCV",PR!$BO118,IF(F120="ZOLON",PR!$BP118,"-"))))))))))))))))))))))))))))))))))))))))))))))))))))))))))))))))</f>
        <v>-</v>
      </c>
      <c r="F120" s="102">
        <f>EV!L142</f>
        <v>0</v>
      </c>
      <c r="G120" s="108" t="str">
        <f>IF(H120="ALPHA",PR!$E118,IF(H120="ASSENE",PR!$F118,IF(H120="BIOFEM",PR!$G118,IF(H120="BIOMED",PR!$H118,IF(H120="CHI",PR!$I118,IF(H120="CLARION",PR!$J118,IF(H120="CODIX",PR!$K118,IF(H120="COSMADE",PR!$L118,IF(H120="SANCON",PR!$M118,IF(H120="DEVON",PR!$N118,IF(H120="DORTEMAG",PR!$O118,IF(H120="DGF",PR!$P118,IF(H120="DYNAMIC",PR!$Q118,IF(H120="EMZOR",PR!$R118,IF(H120="EUMATT",PR!$S118,IF(H120="FIDSON",PR!$T118,IF(H120="FCGLOBAL",PR!$U118,IF(H120="GENEITH",PR!$V118,IF(H120="GINOS",PR!$W118,IF(H120="GSK",PR!$X118,IF(H120="GLOBORG",PR!$Y118,IF(H120="GOODNEWS",PR!$Z118,IF(H120="GREENLIFE",PR!$AA118,IF(H120="HLINE",PR!$AB118,IF(H120="ROTECH",PR!$AC118,IF(H120="ISN",PR!$AD118,IF(H120="JAWA",PR!$AE118,IF(H120="LAYO",PR!$AF118,IF(H120="LEADWAY",PR!$AG118,IF(H120="LHV",PR!$AH118,IF(H120="MANOLA",PR!$AI118,IF(H120="MARCSON",PR!$AJ118,IF(H120="M&amp;B",PR!$AK118,IF(H120="MTRUST",PR!$AL118,IF(H120="MWORLD",PR!$AM118,IF(H120="MEGA",PR!$AN118,IF(H120="MICRONOVA",PR!$AO118,IF(H120="MFLASH",PR!$AP118,IF(H120="MORISON",PR!$AQ118,IF(H120="NEMEL",PR!$AR118,IF(H120="NHP",PR!$AS118,IF(H120="NHC",PR!$AT118,IF(H120="OLEAF",PR!$AU118,IF(H120="OCULUS",PR!$AV118,IF(H120="PACIFIC",PR!$AW118,IF(H120="PHAMATEX",PR!$AX118,IF(H120="PETHICS",PR!$AY118,IF(H120="PHILIPS",PR!$AZ118,IF(H120="RANBAXY",PR!$BA118,IF(H120="REALS",PR!$BB118,IF(H120="ROYAL",PR!$BC118,IF(H120="SAM",PR!$BD118,IF(H120="SEAGREEN",PR!$BE118,IF(H120="SKG",PR!$BF118,IF(H120="TAH",PR!$BG118,IF(H120="TAYLEK",PR!$BH118,IF(H120="TEMITA",PR!$BI118,IF(H120="THL",PR!$BJ118,IF(H120="UBASTIC",PR!$BK118,IF(H120="UNION",PR!$BL118,IF(H120="UNIQUE",PR!$BM118,IF(H120="VIXA",PR!$BN118,IF(H120="WWCV",PR!$BO118,IF(H120="ZOLON",PR!$BP118,"-"))))))))))))))))))))))))))))))))))))))))))))))))))))))))))))))))</f>
        <v>-</v>
      </c>
      <c r="H120" s="102">
        <f>EV!M142</f>
        <v>0</v>
      </c>
      <c r="I120" s="108" t="str">
        <f>IF(J120="ALPHA",PR!$E118,IF(J120="ASSENE",PR!$F118,IF(J120="BIOFEM",PR!$G118,IF(J120="BIOMED",PR!$H118,IF(J120="CHI",PR!$I118,IF(J120="CLARION",PR!$J118,IF(J120="CODIX",PR!$K118,IF(J120="COSMADE",PR!$L118,IF(J120="SANCON",PR!$M118,IF(J120="DEVON",PR!$N118,IF(J120="DORTEMAG",PR!$O118,IF(J120="DGF",PR!$P118,IF(J120="DYNAMIC",PR!$Q118,IF(J120="EMZOR",PR!$R118,IF(J120="EUMATT",PR!$S118,IF(J120="FIDSON",PR!$T118,IF(J120="FCGLOBAL",PR!$U118,IF(J120="GENEITH",PR!$V118,IF(J120="GINOS",PR!$W118,IF(J120="GSK",PR!$X118,IF(J120="GLOBORG",PR!$Y118,IF(J120="GOODNEWS",PR!$Z118,IF(J120="GREENLIFE",PR!$AA118,IF(J120="HLINE",PR!$AB118,IF(J120="ROTECH",PR!$AC118,IF(J120="ISN",PR!$AD118,IF(J120="JAWA",PR!$AE118,IF(J120="LAYO",PR!$AF118,IF(J120="LEADWAY",PR!$AG118,IF(J120="LHV",PR!$AH118,IF(J120="MANOLA",PR!$AI118,IF(J120="MARCSON",PR!$AJ118,IF(J120="M&amp;B",PR!$AK118,IF(J120="MTRUST",PR!$AL118,IF(J120="MWORLD",PR!$AM118,IF(J120="MEGA",PR!$AN118,IF(J120="MICRONOVA",PR!$AO118,IF(J120="MFLASH",PR!$AP118,IF(J120="MORISON",PR!$AQ118,IF(J120="NEMEL",PR!$AR118,IF(J120="NHP",PR!$AS118,IF(J120="NHC",PR!$AT118,IF(J120="OLEAF",PR!$AU118,IF(J120="OCULUS",PR!$AV118,IF(J120="PACIFIC",PR!$AW118,IF(J120="PHAMATEX",PR!$AX118,IF(J120="PETHICS",PR!$AY118,IF(J120="PHILIPS",PR!$AZ118,IF(J120="RANBAXY",PR!$BA118,IF(J120="REALS",PR!$BB118,IF(J120="ROYAL",PR!$BC118,IF(J120="SAM",PR!$BD118,IF(J120="SEAGREEN",PR!$BE118,IF(J120="SKG",PR!$BF118,IF(J120="TAH",PR!$BG118,IF(J120="TAYLEK",PR!$BH118,IF(J120="TEMITA",PR!$BI118,IF(J120="THL",PR!$BJ118,IF(J120="UBASTIC",PR!$BK118,IF(J120="UNION",PR!$BL118,IF(J120="UNIQUE",PR!$BM118,IF(J120="VIXA",PR!$BN118,IF(J120="WWCV",PR!$BO118,IF(J120="ZOLON",PR!$BP118,"-"))))))))))))))))))))))))))))))))))))))))))))))))))))))))))))))))</f>
        <v>-</v>
      </c>
      <c r="J120" s="102">
        <f>EV!N142</f>
        <v>0</v>
      </c>
      <c r="K120" s="433"/>
      <c r="L120" s="183" t="b">
        <f>IF(K120&gt;0,IF(K120="ALPHA",PR!$E118,IF(K120="ASSENE",PR!$F118,IF(K120="BIOFEM",PR!$G118,IF(K120="BIOMED",PR!$H118,IF(K120="CHI",PR!$I118,IF(K120="CLARION",PR!$J118,IF(K120="CODIX",PR!$K118,IF(K120="COSMADE",PR!$L118,IF(K120="SANCON",PR!$M118,IF(K120="DEVON",PR!$N118,IF(K120="DORTEMAG",PR!$O118,IF(K120="DGF",PR!$P118,IF(K120="DYNAMIC",PR!$Q118,IF(K120="EMZOR",PR!$R118,IF(K120="EUMATT",PR!$S118,IF(K120="FIDSON",PR!$T118,IF(K120="FCGLOBAL",PR!$U118,IF(K120="GENEITH",PR!$V118,IF(K120="GINOS",PR!$W118,IF(K120="GSK",PR!$X118,IF(K120="GLOBORG",PR!$Y118,IF(K120="GOODNEWS",PR!$Z118,IF(K120="GREENLIFE",PR!$AA118,IF(K120="HLINE",PR!$AB118,IF(K120="ROTECH",PR!$AC118,IF(K120="ISN",PR!$AD118,IF(K120="JAWA",PR!$AE118,IF(K120="LAYO",PR!$AF118,IF(K120="LEADWAY",PR!$AG118,IF(K120="LHV",PR!$AH118,IF(K120="MANOLA",PR!$AI118,IF(K120="MARCSON",PR!$AJ118,IF(K120="M&amp;B",PR!$AK118,IF(K120="MTRUST",PR!$AL118,IF(K120="MWORLD",PR!$AM118,IF(K120="MEGA",PR!$AN118,IF(K120="MICRONOVA",PR!$AO118,IF(K120="MFLASH",PR!$AP118,IF(K120="MORISON",PR!$AQ118,IF(K120="NEMEL",PR!$AR118,IF(K120="NHP",PR!$AS118,IF(K120="NHC",PR!$AT118,IF(K120="OLEAF",PR!$AU118,IF(K120="OCULUS",PR!$AV118,IF(K120="PACIFIC",PR!$AW118,IF(K120="PHAMATEX",PR!$AX118,IF(K120="PETHICS",PR!$AY118,IF(K120="PHILIPS",PR!$AZ118,IF(K120="RANBAXY",PR!$BA118,IF(K120="REALS",PR!$BB118,IF(K120="ROYAL",PR!$BC118,IF(K120="SAM",PR!$BD118,IF(K120="SEAGREEN",PR!$BE118,IF(K120="SKG",PR!$BF118,IF(K120="TAH",PR!$BG118,IF(K120="TAYLEK",PR!$BH118,IF(K120="TEMITA",PR!$BI118,IF(K120="THL",PR!$BJ118,IF(K120="UBASTIC",PR!$BK118,IF(K120="UNION",PR!$BL118,IF(K120="UNIQUE",PR!$BM118,IF(K120="VIXA",PR!$BN118,IF(K120="WWCV",PR!$BO118,IF(K120="ZOLON",PR!$BP118,"-")))))))))))))))))))))))))))))))))))))))))))))))))))))))))))))))))</f>
        <v>0</v>
      </c>
    </row>
    <row r="121" spans="1:12" ht="18.75" x14ac:dyDescent="0.3">
      <c r="A121" s="430">
        <f>PR!A119</f>
        <v>103</v>
      </c>
      <c r="B121" s="15" t="str">
        <f>PR!B119</f>
        <v>S-AMLODIPINE 2.5MG TAB</v>
      </c>
      <c r="C121" s="113">
        <f>PR!D119</f>
        <v>30</v>
      </c>
      <c r="D121" s="113">
        <f>PR!C119</f>
        <v>10</v>
      </c>
      <c r="E121" s="108">
        <f>IF(F121="ALPHA",PR!$E119,IF(F121="ASSENE",PR!$F119,IF(F121="BIOFEM",PR!$G119,IF(F121="BIOMED",PR!$H119,IF(F121="CHI",PR!$I119,IF(F121="CLARION",PR!$J119,IF(F121="CODIX",PR!$K119,IF(F121="COSMADE",PR!$L119,IF(F121="SANCON",PR!$M119,IF(F121="DEVON",PR!$N119,IF(F121="DORTEMAG",PR!$O119,IF(F121="DGF",PR!$P119,IF(F121="DYNAMIC",PR!$Q119,IF(F121="EMZOR",PR!$R119,IF(F121="EUMATT",PR!$S119,IF(F121="FIDSON",PR!$T119,IF(F121="FCGLOBAL",PR!$U119,IF(F121="GENEITH",PR!$V119,IF(F121="GINOS",PR!$W119,IF(F121="GSK",PR!$X119,IF(F121="GLOBORG",PR!$Y119,IF(F121="GOODNEWS",PR!$Z119,IF(F121="GREENLIFE",PR!$AA119,IF(F121="HLINE",PR!$AB119,IF(F121="ROTECH",PR!$AC119,IF(F121="ISN",PR!$AD119,IF(F121="JAWA",PR!$AE119,IF(F121="LAYO",PR!$AF119,IF(F121="LEADWAY",PR!$AG119,IF(F121="LHV",PR!$AH119,IF(F121="MANOLA",PR!$AI119,IF(F121="MARCSON",PR!$AJ119,IF(F121="M&amp;B",PR!$AK119,IF(F121="MTRUST",PR!$AL119,IF(F121="MWORLD",PR!$AM119,IF(F121="MEGA",PR!$AN119,IF(F121="MICRONOVA",PR!$AO119,IF(F121="MFLASH",PR!$AP119,IF(F121="MORISON",PR!$AQ119,IF(F121="NEMEL",PR!$AR119,IF(F121="NHP",PR!$AS119,IF(F121="NHC",PR!$AT119,IF(F121="OLEAF",PR!$AU119,IF(F121="OCULUS",PR!$AV119,IF(F121="PACIFIC",PR!$AW119,IF(F121="PHAMATEX",PR!$AX119,IF(F121="PETHICS",PR!$AY119,IF(F121="PHILIPS",PR!$AZ119,IF(F121="RANBAXY",PR!$BA119,IF(F121="REALS",PR!$BB119,IF(F121="ROYAL",PR!$BC119,IF(F121="SAM",PR!$BD119,IF(F121="SEAGREEN",PR!$BE119,IF(F121="SKG",PR!$BF119,IF(F121="TAH",PR!$BG119,IF(F121="TAYLEK",PR!$BH119,IF(F121="TEMITA",PR!$BI119,IF(F121="THL",PR!$BJ119,IF(F121="UBASTIC",PR!$BK119,IF(F121="UNION",PR!$BL119,IF(F121="UNIQUE",PR!$BM119,IF(F121="VIXA",PR!$BN119,IF(F121="WWCV",PR!$BO119,IF(F121="ZOLON",PR!$BP119,"-"))))))))))))))))))))))))))))))))))))))))))))))))))))))))))))))))</f>
        <v>600</v>
      </c>
      <c r="F121" s="102" t="str">
        <f>EV!L143</f>
        <v>HLINE</v>
      </c>
      <c r="G121" s="108">
        <f>IF(H121="ALPHA",PR!$E119,IF(H121="ASSENE",PR!$F119,IF(H121="BIOFEM",PR!$G119,IF(H121="BIOMED",PR!$H119,IF(H121="CHI",PR!$I119,IF(H121="CLARION",PR!$J119,IF(H121="CODIX",PR!$K119,IF(H121="COSMADE",PR!$L119,IF(H121="SANCON",PR!$M119,IF(H121="DEVON",PR!$N119,IF(H121="DORTEMAG",PR!$O119,IF(H121="DGF",PR!$P119,IF(H121="DYNAMIC",PR!$Q119,IF(H121="EMZOR",PR!$R119,IF(H121="EUMATT",PR!$S119,IF(H121="FIDSON",PR!$T119,IF(H121="FCGLOBAL",PR!$U119,IF(H121="GENEITH",PR!$V119,IF(H121="GINOS",PR!$W119,IF(H121="GSK",PR!$X119,IF(H121="GLOBORG",PR!$Y119,IF(H121="GOODNEWS",PR!$Z119,IF(H121="GREENLIFE",PR!$AA119,IF(H121="HLINE",PR!$AB119,IF(H121="ROTECH",PR!$AC119,IF(H121="ISN",PR!$AD119,IF(H121="JAWA",PR!$AE119,IF(H121="LAYO",PR!$AF119,IF(H121="LEADWAY",PR!$AG119,IF(H121="LHV",PR!$AH119,IF(H121="MANOLA",PR!$AI119,IF(H121="MARCSON",PR!$AJ119,IF(H121="M&amp;B",PR!$AK119,IF(H121="MTRUST",PR!$AL119,IF(H121="MWORLD",PR!$AM119,IF(H121="MEGA",PR!$AN119,IF(H121="MICRONOVA",PR!$AO119,IF(H121="MFLASH",PR!$AP119,IF(H121="MORISON",PR!$AQ119,IF(H121="NEMEL",PR!$AR119,IF(H121="NHP",PR!$AS119,IF(H121="NHC",PR!$AT119,IF(H121="OLEAF",PR!$AU119,IF(H121="OCULUS",PR!$AV119,IF(H121="PACIFIC",PR!$AW119,IF(H121="PHAMATEX",PR!$AX119,IF(H121="PETHICS",PR!$AY119,IF(H121="PHILIPS",PR!$AZ119,IF(H121="RANBAXY",PR!$BA119,IF(H121="REALS",PR!$BB119,IF(H121="ROYAL",PR!$BC119,IF(H121="SAM",PR!$BD119,IF(H121="SEAGREEN",PR!$BE119,IF(H121="SKG",PR!$BF119,IF(H121="TAH",PR!$BG119,IF(H121="TAYLEK",PR!$BH119,IF(H121="TEMITA",PR!$BI119,IF(H121="THL",PR!$BJ119,IF(H121="UBASTIC",PR!$BK119,IF(H121="UNION",PR!$BL119,IF(H121="UNIQUE",PR!$BM119,IF(H121="VIXA",PR!$BN119,IF(H121="WWCV",PR!$BO119,IF(H121="ZOLON",PR!$BP119,"-"))))))))))))))))))))))))))))))))))))))))))))))))))))))))))))))))</f>
        <v>600</v>
      </c>
      <c r="H121" s="102" t="str">
        <f>EV!M143</f>
        <v>EUMATT</v>
      </c>
      <c r="I121" s="108">
        <f>IF(J121="ALPHA",PR!$E119,IF(J121="ASSENE",PR!$F119,IF(J121="BIOFEM",PR!$G119,IF(J121="BIOMED",PR!$H119,IF(J121="CHI",PR!$I119,IF(J121="CLARION",PR!$J119,IF(J121="CODIX",PR!$K119,IF(J121="COSMADE",PR!$L119,IF(J121="SANCON",PR!$M119,IF(J121="DEVON",PR!$N119,IF(J121="DORTEMAG",PR!$O119,IF(J121="DGF",PR!$P119,IF(J121="DYNAMIC",PR!$Q119,IF(J121="EMZOR",PR!$R119,IF(J121="EUMATT",PR!$S119,IF(J121="FIDSON",PR!$T119,IF(J121="FCGLOBAL",PR!$U119,IF(J121="GENEITH",PR!$V119,IF(J121="GINOS",PR!$W119,IF(J121="GSK",PR!$X119,IF(J121="GLOBORG",PR!$Y119,IF(J121="GOODNEWS",PR!$Z119,IF(J121="GREENLIFE",PR!$AA119,IF(J121="HLINE",PR!$AB119,IF(J121="ROTECH",PR!$AC119,IF(J121="ISN",PR!$AD119,IF(J121="JAWA",PR!$AE119,IF(J121="LAYO",PR!$AF119,IF(J121="LEADWAY",PR!$AG119,IF(J121="LHV",PR!$AH119,IF(J121="MANOLA",PR!$AI119,IF(J121="MARCSON",PR!$AJ119,IF(J121="M&amp;B",PR!$AK119,IF(J121="MTRUST",PR!$AL119,IF(J121="MWORLD",PR!$AM119,IF(J121="MEGA",PR!$AN119,IF(J121="MICRONOVA",PR!$AO119,IF(J121="MFLASH",PR!$AP119,IF(J121="MORISON",PR!$AQ119,IF(J121="NEMEL",PR!$AR119,IF(J121="NHP",PR!$AS119,IF(J121="NHC",PR!$AT119,IF(J121="OLEAF",PR!$AU119,IF(J121="OCULUS",PR!$AV119,IF(J121="PACIFIC",PR!$AW119,IF(J121="PHAMATEX",PR!$AX119,IF(J121="PETHICS",PR!$AY119,IF(J121="PHILIPS",PR!$AZ119,IF(J121="RANBAXY",PR!$BA119,IF(J121="REALS",PR!$BB119,IF(J121="ROYAL",PR!$BC119,IF(J121="SAM",PR!$BD119,IF(J121="SEAGREEN",PR!$BE119,IF(J121="SKG",PR!$BF119,IF(J121="TAH",PR!$BG119,IF(J121="TAYLEK",PR!$BH119,IF(J121="TEMITA",PR!$BI119,IF(J121="THL",PR!$BJ119,IF(J121="UBASTIC",PR!$BK119,IF(J121="UNION",PR!$BL119,IF(J121="UNIQUE",PR!$BM119,IF(J121="VIXA",PR!$BN119,IF(J121="WWCV",PR!$BO119,IF(J121="ZOLON",PR!$BP119,"-"))))))))))))))))))))))))))))))))))))))))))))))))))))))))))))))))</f>
        <v>700</v>
      </c>
      <c r="J121" s="102" t="str">
        <f>EV!N143</f>
        <v>PHILIPS</v>
      </c>
      <c r="K121" s="433" t="s">
        <v>2102</v>
      </c>
      <c r="L121" s="183" t="str">
        <f>IF(K121&gt;0,IF(K121="ALPHA",PR!$E119,IF(K121="ASSENE",PR!$F119,IF(K121="BIOFEM",PR!$G119,IF(K121="BIOMED",PR!$H119,IF(K121="CHI",PR!$I119,IF(K121="CLARION",PR!$J119,IF(K121="CODIX",PR!$K119,IF(K121="COSMADE",PR!$L119,IF(K121="SANCON",PR!$M119,IF(K121="DEVON",PR!$N119,IF(K121="DORTEMAG",PR!$O119,IF(K121="DGF",PR!$P119,IF(K121="DYNAMIC",PR!$Q119,IF(K121="EMZOR",PR!$R119,IF(K121="EUMATT",PR!$S119,IF(K121="FIDSON",PR!$T119,IF(K121="FCGLOBAL",PR!$U119,IF(K121="GENEITH",PR!$V119,IF(K121="GINOS",PR!$W119,IF(K121="GSK",PR!$X119,IF(K121="GLOBORG",PR!$Y119,IF(K121="GOODNEWS",PR!$Z119,IF(K121="GREENLIFE",PR!$AA119,IF(K121="HLINE",PR!$AB119,IF(K121="ROTECH",PR!$AC119,IF(K121="ISN",PR!$AD119,IF(K121="JAWA",PR!$AE119,IF(K121="LAYO",PR!$AF119,IF(K121="LEADWAY",PR!$AG119,IF(K121="LHV",PR!$AH119,IF(K121="MANOLA",PR!$AI119,IF(K121="MARCSON",PR!$AJ119,IF(K121="M&amp;B",PR!$AK119,IF(K121="MTRUST",PR!$AL119,IF(K121="MWORLD",PR!$AM119,IF(K121="MEGA",PR!$AN119,IF(K121="MICRONOVA",PR!$AO119,IF(K121="MFLASH",PR!$AP119,IF(K121="MORISON",PR!$AQ119,IF(K121="NEMEL",PR!$AR119,IF(K121="NHP",PR!$AS119,IF(K121="NHC",PR!$AT119,IF(K121="OLEAF",PR!$AU119,IF(K121="OCULUS",PR!$AV119,IF(K121="PACIFIC",PR!$AW119,IF(K121="PHAMATEX",PR!$AX119,IF(K121="PETHICS",PR!$AY119,IF(K121="PHILIPS",PR!$AZ119,IF(K121="RANBAXY",PR!$BA119,IF(K121="REALS",PR!$BB119,IF(K121="ROYAL",PR!$BC119,IF(K121="SAM",PR!$BD119,IF(K121="SEAGREEN",PR!$BE119,IF(K121="SKG",PR!$BF119,IF(K121="TAH",PR!$BG119,IF(K121="TAYLEK",PR!$BH119,IF(K121="TEMITA",PR!$BI119,IF(K121="THL",PR!$BJ119,IF(K121="UBASTIC",PR!$BK119,IF(K121="UNION",PR!$BL119,IF(K121="UNIQUE",PR!$BM119,IF(K121="VIXA",PR!$BN119,IF(K121="WWCV",PR!$BO119,IF(K121="ZOLON",PR!$BP119,"-")))))))))))))))))))))))))))))))))))))))))))))))))))))))))))))))))</f>
        <v>-</v>
      </c>
    </row>
    <row r="122" spans="1:12" ht="18.75" x14ac:dyDescent="0.3">
      <c r="A122" s="430">
        <f>PR!A120</f>
        <v>104</v>
      </c>
      <c r="B122" s="15" t="str">
        <f>PR!B120</f>
        <v>S-AMLODIPINE 5MG TAB</v>
      </c>
      <c r="C122" s="113">
        <f>PR!D120</f>
        <v>30</v>
      </c>
      <c r="D122" s="113">
        <f>PR!C120</f>
        <v>10</v>
      </c>
      <c r="E122" s="108">
        <f>IF(F122="ALPHA",PR!$E120,IF(F122="ASSENE",PR!$F120,IF(F122="BIOFEM",PR!$G120,IF(F122="BIOMED",PR!$H120,IF(F122="CHI",PR!$I120,IF(F122="CLARION",PR!$J120,IF(F122="CODIX",PR!$K120,IF(F122="COSMADE",PR!$L120,IF(F122="SANCON",PR!$M120,IF(F122="DEVON",PR!$N120,IF(F122="DORTEMAG",PR!$O120,IF(F122="DGF",PR!$P120,IF(F122="DYNAMIC",PR!$Q120,IF(F122="EMZOR",PR!$R120,IF(F122="EUMATT",PR!$S120,IF(F122="FIDSON",PR!$T120,IF(F122="FCGLOBAL",PR!$U120,IF(F122="GENEITH",PR!$V120,IF(F122="GINOS",PR!$W120,IF(F122="GSK",PR!$X120,IF(F122="GLOBORG",PR!$Y120,IF(F122="GOODNEWS",PR!$Z120,IF(F122="GREENLIFE",PR!$AA120,IF(F122="HLINE",PR!$AB120,IF(F122="ROTECH",PR!$AC120,IF(F122="ISN",PR!$AD120,IF(F122="JAWA",PR!$AE120,IF(F122="LAYO",PR!$AF120,IF(F122="LEADWAY",PR!$AG120,IF(F122="LHV",PR!$AH120,IF(F122="MANOLA",PR!$AI120,IF(F122="MARCSON",PR!$AJ120,IF(F122="M&amp;B",PR!$AK120,IF(F122="MTRUST",PR!$AL120,IF(F122="MWORLD",PR!$AM120,IF(F122="MEGA",PR!$AN120,IF(F122="MICRONOVA",PR!$AO120,IF(F122="MFLASH",PR!$AP120,IF(F122="MORISON",PR!$AQ120,IF(F122="NEMEL",PR!$AR120,IF(F122="NHP",PR!$AS120,IF(F122="NHC",PR!$AT120,IF(F122="OLEAF",PR!$AU120,IF(F122="OCULUS",PR!$AV120,IF(F122="PACIFIC",PR!$AW120,IF(F122="PHAMATEX",PR!$AX120,IF(F122="PETHICS",PR!$AY120,IF(F122="PHILIPS",PR!$AZ120,IF(F122="RANBAXY",PR!$BA120,IF(F122="REALS",PR!$BB120,IF(F122="ROYAL",PR!$BC120,IF(F122="SAM",PR!$BD120,IF(F122="SEAGREEN",PR!$BE120,IF(F122="SKG",PR!$BF120,IF(F122="TAH",PR!$BG120,IF(F122="TAYLEK",PR!$BH120,IF(F122="TEMITA",PR!$BI120,IF(F122="THL",PR!$BJ120,IF(F122="UBASTIC",PR!$BK120,IF(F122="UNION",PR!$BL120,IF(F122="UNIQUE",PR!$BM120,IF(F122="VIXA",PR!$BN120,IF(F122="WWCV",PR!$BO120,IF(F122="ZOLON",PR!$BP120,"-"))))))))))))))))))))))))))))))))))))))))))))))))))))))))))))))))</f>
        <v>700</v>
      </c>
      <c r="F122" s="102" t="str">
        <f>EV!L144</f>
        <v>EUMATT</v>
      </c>
      <c r="G122" s="108">
        <f>IF(H122="ALPHA",PR!$E120,IF(H122="ASSENE",PR!$F120,IF(H122="BIOFEM",PR!$G120,IF(H122="BIOMED",PR!$H120,IF(H122="CHI",PR!$I120,IF(H122="CLARION",PR!$J120,IF(H122="CODIX",PR!$K120,IF(H122="COSMADE",PR!$L120,IF(H122="SANCON",PR!$M120,IF(H122="DEVON",PR!$N120,IF(H122="DORTEMAG",PR!$O120,IF(H122="DGF",PR!$P120,IF(H122="DYNAMIC",PR!$Q120,IF(H122="EMZOR",PR!$R120,IF(H122="EUMATT",PR!$S120,IF(H122="FIDSON",PR!$T120,IF(H122="FCGLOBAL",PR!$U120,IF(H122="GENEITH",PR!$V120,IF(H122="GINOS",PR!$W120,IF(H122="GSK",PR!$X120,IF(H122="GLOBORG",PR!$Y120,IF(H122="GOODNEWS",PR!$Z120,IF(H122="GREENLIFE",PR!$AA120,IF(H122="HLINE",PR!$AB120,IF(H122="ROTECH",PR!$AC120,IF(H122="ISN",PR!$AD120,IF(H122="JAWA",PR!$AE120,IF(H122="LAYO",PR!$AF120,IF(H122="LEADWAY",PR!$AG120,IF(H122="LHV",PR!$AH120,IF(H122="MANOLA",PR!$AI120,IF(H122="MARCSON",PR!$AJ120,IF(H122="M&amp;B",PR!$AK120,IF(H122="MTRUST",PR!$AL120,IF(H122="MWORLD",PR!$AM120,IF(H122="MEGA",PR!$AN120,IF(H122="MICRONOVA",PR!$AO120,IF(H122="MFLASH",PR!$AP120,IF(H122="MORISON",PR!$AQ120,IF(H122="NEMEL",PR!$AR120,IF(H122="NHP",PR!$AS120,IF(H122="NHC",PR!$AT120,IF(H122="OLEAF",PR!$AU120,IF(H122="OCULUS",PR!$AV120,IF(H122="PACIFIC",PR!$AW120,IF(H122="PHAMATEX",PR!$AX120,IF(H122="PETHICS",PR!$AY120,IF(H122="PHILIPS",PR!$AZ120,IF(H122="RANBAXY",PR!$BA120,IF(H122="REALS",PR!$BB120,IF(H122="ROYAL",PR!$BC120,IF(H122="SAM",PR!$BD120,IF(H122="SEAGREEN",PR!$BE120,IF(H122="SKG",PR!$BF120,IF(H122="TAH",PR!$BG120,IF(H122="TAYLEK",PR!$BH120,IF(H122="TEMITA",PR!$BI120,IF(H122="THL",PR!$BJ120,IF(H122="UBASTIC",PR!$BK120,IF(H122="UNION",PR!$BL120,IF(H122="UNIQUE",PR!$BM120,IF(H122="VIXA",PR!$BN120,IF(H122="WWCV",PR!$BO120,IF(H122="ZOLON",PR!$BP120,"-"))))))))))))))))))))))))))))))))))))))))))))))))))))))))))))))))</f>
        <v>1000</v>
      </c>
      <c r="H122" s="102" t="str">
        <f>EV!M144</f>
        <v>HLINE</v>
      </c>
      <c r="I122" s="108">
        <f>IF(J122="ALPHA",PR!$E120,IF(J122="ASSENE",PR!$F120,IF(J122="BIOFEM",PR!$G120,IF(J122="BIOMED",PR!$H120,IF(J122="CHI",PR!$I120,IF(J122="CLARION",PR!$J120,IF(J122="CODIX",PR!$K120,IF(J122="COSMADE",PR!$L120,IF(J122="SANCON",PR!$M120,IF(J122="DEVON",PR!$N120,IF(J122="DORTEMAG",PR!$O120,IF(J122="DGF",PR!$P120,IF(J122="DYNAMIC",PR!$Q120,IF(J122="EMZOR",PR!$R120,IF(J122="EUMATT",PR!$S120,IF(J122="FIDSON",PR!$T120,IF(J122="FCGLOBAL",PR!$U120,IF(J122="GENEITH",PR!$V120,IF(J122="GINOS",PR!$W120,IF(J122="GSK",PR!$X120,IF(J122="GLOBORG",PR!$Y120,IF(J122="GOODNEWS",PR!$Z120,IF(J122="GREENLIFE",PR!$AA120,IF(J122="HLINE",PR!$AB120,IF(J122="ROTECH",PR!$AC120,IF(J122="ISN",PR!$AD120,IF(J122="JAWA",PR!$AE120,IF(J122="LAYO",PR!$AF120,IF(J122="LEADWAY",PR!$AG120,IF(J122="LHV",PR!$AH120,IF(J122="MANOLA",PR!$AI120,IF(J122="MARCSON",PR!$AJ120,IF(J122="M&amp;B",PR!$AK120,IF(J122="MTRUST",PR!$AL120,IF(J122="MWORLD",PR!$AM120,IF(J122="MEGA",PR!$AN120,IF(J122="MICRONOVA",PR!$AO120,IF(J122="MFLASH",PR!$AP120,IF(J122="MORISON",PR!$AQ120,IF(J122="NEMEL",PR!$AR120,IF(J122="NHP",PR!$AS120,IF(J122="NHC",PR!$AT120,IF(J122="OLEAF",PR!$AU120,IF(J122="OCULUS",PR!$AV120,IF(J122="PACIFIC",PR!$AW120,IF(J122="PHAMATEX",PR!$AX120,IF(J122="PETHICS",PR!$AY120,IF(J122="PHILIPS",PR!$AZ120,IF(J122="RANBAXY",PR!$BA120,IF(J122="REALS",PR!$BB120,IF(J122="ROYAL",PR!$BC120,IF(J122="SAM",PR!$BD120,IF(J122="SEAGREEN",PR!$BE120,IF(J122="SKG",PR!$BF120,IF(J122="TAH",PR!$BG120,IF(J122="TAYLEK",PR!$BH120,IF(J122="TEMITA",PR!$BI120,IF(J122="THL",PR!$BJ120,IF(J122="UBASTIC",PR!$BK120,IF(J122="UNION",PR!$BL120,IF(J122="UNIQUE",PR!$BM120,IF(J122="VIXA",PR!$BN120,IF(J122="WWCV",PR!$BO120,IF(J122="ZOLON",PR!$BP120,"-"))))))))))))))))))))))))))))))))))))))))))))))))))))))))))))))))</f>
        <v>1100</v>
      </c>
      <c r="J122" s="102" t="str">
        <f>EV!N144</f>
        <v>PHILIPS</v>
      </c>
      <c r="K122" s="433" t="s">
        <v>821</v>
      </c>
      <c r="L122" s="183">
        <f>IF(K122&gt;0,IF(K122="ALPHA",PR!$E120,IF(K122="ASSENE",PR!$F120,IF(K122="BIOFEM",PR!$G120,IF(K122="BIOMED",PR!$H120,IF(K122="CHI",PR!$I120,IF(K122="CLARION",PR!$J120,IF(K122="CODIX",PR!$K120,IF(K122="COSMADE",PR!$L120,IF(K122="SANCON",PR!$M120,IF(K122="DEVON",PR!$N120,IF(K122="DORTEMAG",PR!$O120,IF(K122="DGF",PR!$P120,IF(K122="DYNAMIC",PR!$Q120,IF(K122="EMZOR",PR!$R120,IF(K122="EUMATT",PR!$S120,IF(K122="FIDSON",PR!$T120,IF(K122="FCGLOBAL",PR!$U120,IF(K122="GENEITH",PR!$V120,IF(K122="GINOS",PR!$W120,IF(K122="GSK",PR!$X120,IF(K122="GLOBORG",PR!$Y120,IF(K122="GOODNEWS",PR!$Z120,IF(K122="GREENLIFE",PR!$AA120,IF(K122="HLINE",PR!$AB120,IF(K122="ROTECH",PR!$AC120,IF(K122="ISN",PR!$AD120,IF(K122="JAWA",PR!$AE120,IF(K122="LAYO",PR!$AF120,IF(K122="LEADWAY",PR!$AG120,IF(K122="LHV",PR!$AH120,IF(K122="MANOLA",PR!$AI120,IF(K122="MARCSON",PR!$AJ120,IF(K122="M&amp;B",PR!$AK120,IF(K122="MTRUST",PR!$AL120,IF(K122="MWORLD",PR!$AM120,IF(K122="MEGA",PR!$AN120,IF(K122="MICRONOVA",PR!$AO120,IF(K122="MFLASH",PR!$AP120,IF(K122="MORISON",PR!$AQ120,IF(K122="NEMEL",PR!$AR120,IF(K122="NHP",PR!$AS120,IF(K122="NHC",PR!$AT120,IF(K122="OLEAF",PR!$AU120,IF(K122="OCULUS",PR!$AV120,IF(K122="PACIFIC",PR!$AW120,IF(K122="PHAMATEX",PR!$AX120,IF(K122="PETHICS",PR!$AY120,IF(K122="PHILIPS",PR!$AZ120,IF(K122="RANBAXY",PR!$BA120,IF(K122="REALS",PR!$BB120,IF(K122="ROYAL",PR!$BC120,IF(K122="SAM",PR!$BD120,IF(K122="SEAGREEN",PR!$BE120,IF(K122="SKG",PR!$BF120,IF(K122="TAH",PR!$BG120,IF(K122="TAYLEK",PR!$BH120,IF(K122="TEMITA",PR!$BI120,IF(K122="THL",PR!$BJ120,IF(K122="UBASTIC",PR!$BK120,IF(K122="UNION",PR!$BL120,IF(K122="UNIQUE",PR!$BM120,IF(K122="VIXA",PR!$BN120,IF(K122="WWCV",PR!$BO120,IF(K122="ZOLON",PR!$BP120,"-")))))))))))))))))))))))))))))))))))))))))))))))))))))))))))))))))</f>
        <v>700</v>
      </c>
    </row>
    <row r="123" spans="1:12" ht="18.75" x14ac:dyDescent="0.3">
      <c r="A123" s="430">
        <f>PR!A121</f>
        <v>105</v>
      </c>
      <c r="B123" s="15" t="str">
        <f>PR!B121</f>
        <v>SIMVASTATIN 20MG TAB</v>
      </c>
      <c r="C123" s="113">
        <f>PR!D121</f>
        <v>28</v>
      </c>
      <c r="D123" s="113">
        <f>PR!C121</f>
        <v>50</v>
      </c>
      <c r="E123" s="108">
        <f>IF(F123="ALPHA",PR!$E121,IF(F123="ASSENE",PR!$F121,IF(F123="BIOFEM",PR!$G121,IF(F123="BIOMED",PR!$H121,IF(F123="CHI",PR!$I121,IF(F123="CLARION",PR!$J121,IF(F123="CODIX",PR!$K121,IF(F123="COSMADE",PR!$L121,IF(F123="SANCON",PR!$M121,IF(F123="DEVON",PR!$N121,IF(F123="DORTEMAG",PR!$O121,IF(F123="DGF",PR!$P121,IF(F123="DYNAMIC",PR!$Q121,IF(F123="EMZOR",PR!$R121,IF(F123="EUMATT",PR!$S121,IF(F123="FIDSON",PR!$T121,IF(F123="FCGLOBAL",PR!$U121,IF(F123="GENEITH",PR!$V121,IF(F123="GINOS",PR!$W121,IF(F123="GSK",PR!$X121,IF(F123="GLOBORG",PR!$Y121,IF(F123="GOODNEWS",PR!$Z121,IF(F123="GREENLIFE",PR!$AA121,IF(F123="HLINE",PR!$AB121,IF(F123="ROTECH",PR!$AC121,IF(F123="ISN",PR!$AD121,IF(F123="JAWA",PR!$AE121,IF(F123="LAYO",PR!$AF121,IF(F123="LEADWAY",PR!$AG121,IF(F123="LHV",PR!$AH121,IF(F123="MANOLA",PR!$AI121,IF(F123="MARCSON",PR!$AJ121,IF(F123="M&amp;B",PR!$AK121,IF(F123="MTRUST",PR!$AL121,IF(F123="MWORLD",PR!$AM121,IF(F123="MEGA",PR!$AN121,IF(F123="MICRONOVA",PR!$AO121,IF(F123="MFLASH",PR!$AP121,IF(F123="MORISON",PR!$AQ121,IF(F123="NEMEL",PR!$AR121,IF(F123="NHP",PR!$AS121,IF(F123="NHC",PR!$AT121,IF(F123="OLEAF",PR!$AU121,IF(F123="OCULUS",PR!$AV121,IF(F123="PACIFIC",PR!$AW121,IF(F123="PHAMATEX",PR!$AX121,IF(F123="PETHICS",PR!$AY121,IF(F123="PHILIPS",PR!$AZ121,IF(F123="RANBAXY",PR!$BA121,IF(F123="REALS",PR!$BB121,IF(F123="ROYAL",PR!$BC121,IF(F123="SAM",PR!$BD121,IF(F123="SEAGREEN",PR!$BE121,IF(F123="SKG",PR!$BF121,IF(F123="TAH",PR!$BG121,IF(F123="TAYLEK",PR!$BH121,IF(F123="TEMITA",PR!$BI121,IF(F123="THL",PR!$BJ121,IF(F123="UBASTIC",PR!$BK121,IF(F123="UNION",PR!$BL121,IF(F123="UNIQUE",PR!$BM121,IF(F123="VIXA",PR!$BN121,IF(F123="WWCV",PR!$BO121,IF(F123="ZOLON",PR!$BP121,"-"))))))))))))))))))))))))))))))))))))))))))))))))))))))))))))))))</f>
        <v>300</v>
      </c>
      <c r="F123" s="102" t="str">
        <f>EV!L145</f>
        <v>SEAGREEN</v>
      </c>
      <c r="G123" s="108">
        <f>IF(H123="ALPHA",PR!$E121,IF(H123="ASSENE",PR!$F121,IF(H123="BIOFEM",PR!$G121,IF(H123="BIOMED",PR!$H121,IF(H123="CHI",PR!$I121,IF(H123="CLARION",PR!$J121,IF(H123="CODIX",PR!$K121,IF(H123="COSMADE",PR!$L121,IF(H123="SANCON",PR!$M121,IF(H123="DEVON",PR!$N121,IF(H123="DORTEMAG",PR!$O121,IF(H123="DGF",PR!$P121,IF(H123="DYNAMIC",PR!$Q121,IF(H123="EMZOR",PR!$R121,IF(H123="EUMATT",PR!$S121,IF(H123="FIDSON",PR!$T121,IF(H123="FCGLOBAL",PR!$U121,IF(H123="GENEITH",PR!$V121,IF(H123="GINOS",PR!$W121,IF(H123="GSK",PR!$X121,IF(H123="GLOBORG",PR!$Y121,IF(H123="GOODNEWS",PR!$Z121,IF(H123="GREENLIFE",PR!$AA121,IF(H123="HLINE",PR!$AB121,IF(H123="ROTECH",PR!$AC121,IF(H123="ISN",PR!$AD121,IF(H123="JAWA",PR!$AE121,IF(H123="LAYO",PR!$AF121,IF(H123="LEADWAY",PR!$AG121,IF(H123="LHV",PR!$AH121,IF(H123="MANOLA",PR!$AI121,IF(H123="MARCSON",PR!$AJ121,IF(H123="M&amp;B",PR!$AK121,IF(H123="MTRUST",PR!$AL121,IF(H123="MWORLD",PR!$AM121,IF(H123="MEGA",PR!$AN121,IF(H123="MICRONOVA",PR!$AO121,IF(H123="MFLASH",PR!$AP121,IF(H123="MORISON",PR!$AQ121,IF(H123="NEMEL",PR!$AR121,IF(H123="NHP",PR!$AS121,IF(H123="NHC",PR!$AT121,IF(H123="OLEAF",PR!$AU121,IF(H123="OCULUS",PR!$AV121,IF(H123="PACIFIC",PR!$AW121,IF(H123="PHAMATEX",PR!$AX121,IF(H123="PETHICS",PR!$AY121,IF(H123="PHILIPS",PR!$AZ121,IF(H123="RANBAXY",PR!$BA121,IF(H123="REALS",PR!$BB121,IF(H123="ROYAL",PR!$BC121,IF(H123="SAM",PR!$BD121,IF(H123="SEAGREEN",PR!$BE121,IF(H123="SKG",PR!$BF121,IF(H123="TAH",PR!$BG121,IF(H123="TAYLEK",PR!$BH121,IF(H123="TEMITA",PR!$BI121,IF(H123="THL",PR!$BJ121,IF(H123="UBASTIC",PR!$BK121,IF(H123="UNION",PR!$BL121,IF(H123="UNIQUE",PR!$BM121,IF(H123="VIXA",PR!$BN121,IF(H123="WWCV",PR!$BO121,IF(H123="ZOLON",PR!$BP121,"-"))))))))))))))))))))))))))))))))))))))))))))))))))))))))))))))))</f>
        <v>400</v>
      </c>
      <c r="H123" s="102" t="str">
        <f>EV!M145</f>
        <v>MANOLA</v>
      </c>
      <c r="I123" s="108">
        <f>IF(J123="ALPHA",PR!$E121,IF(J123="ASSENE",PR!$F121,IF(J123="BIOFEM",PR!$G121,IF(J123="BIOMED",PR!$H121,IF(J123="CHI",PR!$I121,IF(J123="CLARION",PR!$J121,IF(J123="CODIX",PR!$K121,IF(J123="COSMADE",PR!$L121,IF(J123="SANCON",PR!$M121,IF(J123="DEVON",PR!$N121,IF(J123="DORTEMAG",PR!$O121,IF(J123="DGF",PR!$P121,IF(J123="DYNAMIC",PR!$Q121,IF(J123="EMZOR",PR!$R121,IF(J123="EUMATT",PR!$S121,IF(J123="FIDSON",PR!$T121,IF(J123="FCGLOBAL",PR!$U121,IF(J123="GENEITH",PR!$V121,IF(J123="GINOS",PR!$W121,IF(J123="GSK",PR!$X121,IF(J123="GLOBORG",PR!$Y121,IF(J123="GOODNEWS",PR!$Z121,IF(J123="GREENLIFE",PR!$AA121,IF(J123="HLINE",PR!$AB121,IF(J123="ROTECH",PR!$AC121,IF(J123="ISN",PR!$AD121,IF(J123="JAWA",PR!$AE121,IF(J123="LAYO",PR!$AF121,IF(J123="LEADWAY",PR!$AG121,IF(J123="LHV",PR!$AH121,IF(J123="MANOLA",PR!$AI121,IF(J123="MARCSON",PR!$AJ121,IF(J123="M&amp;B",PR!$AK121,IF(J123="MTRUST",PR!$AL121,IF(J123="MWORLD",PR!$AM121,IF(J123="MEGA",PR!$AN121,IF(J123="MICRONOVA",PR!$AO121,IF(J123="MFLASH",PR!$AP121,IF(J123="MORISON",PR!$AQ121,IF(J123="NEMEL",PR!$AR121,IF(J123="NHP",PR!$AS121,IF(J123="NHC",PR!$AT121,IF(J123="OLEAF",PR!$AU121,IF(J123="OCULUS",PR!$AV121,IF(J123="PACIFIC",PR!$AW121,IF(J123="PHAMATEX",PR!$AX121,IF(J123="PETHICS",PR!$AY121,IF(J123="PHILIPS",PR!$AZ121,IF(J123="RANBAXY",PR!$BA121,IF(J123="REALS",PR!$BB121,IF(J123="ROYAL",PR!$BC121,IF(J123="SAM",PR!$BD121,IF(J123="SEAGREEN",PR!$BE121,IF(J123="SKG",PR!$BF121,IF(J123="TAH",PR!$BG121,IF(J123="TAYLEK",PR!$BH121,IF(J123="TEMITA",PR!$BI121,IF(J123="THL",PR!$BJ121,IF(J123="UBASTIC",PR!$BK121,IF(J123="UNION",PR!$BL121,IF(J123="UNIQUE",PR!$BM121,IF(J123="VIXA",PR!$BN121,IF(J123="WWCV",PR!$BO121,IF(J123="ZOLON",PR!$BP121,"-"))))))))))))))))))))))))))))))))))))))))))))))))))))))))))))))))</f>
        <v>550</v>
      </c>
      <c r="J123" s="102" t="str">
        <f>EV!N145</f>
        <v>SAM</v>
      </c>
      <c r="K123" s="433" t="s">
        <v>1450</v>
      </c>
      <c r="L123" s="183">
        <f>IF(K123&gt;0,IF(K123="ALPHA",PR!$E121,IF(K123="ASSENE",PR!$F121,IF(K123="BIOFEM",PR!$G121,IF(K123="BIOMED",PR!$H121,IF(K123="CHI",PR!$I121,IF(K123="CLARION",PR!$J121,IF(K123="CODIX",PR!$K121,IF(K123="COSMADE",PR!$L121,IF(K123="SANCON",PR!$M121,IF(K123="DEVON",PR!$N121,IF(K123="DORTEMAG",PR!$O121,IF(K123="DGF",PR!$P121,IF(K123="DYNAMIC",PR!$Q121,IF(K123="EMZOR",PR!$R121,IF(K123="EUMATT",PR!$S121,IF(K123="FIDSON",PR!$T121,IF(K123="FCGLOBAL",PR!$U121,IF(K123="GENEITH",PR!$V121,IF(K123="GINOS",PR!$W121,IF(K123="GSK",PR!$X121,IF(K123="GLOBORG",PR!$Y121,IF(K123="GOODNEWS",PR!$Z121,IF(K123="GREENLIFE",PR!$AA121,IF(K123="HLINE",PR!$AB121,IF(K123="ROTECH",PR!$AC121,IF(K123="ISN",PR!$AD121,IF(K123="JAWA",PR!$AE121,IF(K123="LAYO",PR!$AF121,IF(K123="LEADWAY",PR!$AG121,IF(K123="LHV",PR!$AH121,IF(K123="MANOLA",PR!$AI121,IF(K123="MARCSON",PR!$AJ121,IF(K123="M&amp;B",PR!$AK121,IF(K123="MTRUST",PR!$AL121,IF(K123="MWORLD",PR!$AM121,IF(K123="MEGA",PR!$AN121,IF(K123="MICRONOVA",PR!$AO121,IF(K123="MFLASH",PR!$AP121,IF(K123="MORISON",PR!$AQ121,IF(K123="NEMEL",PR!$AR121,IF(K123="NHP",PR!$AS121,IF(K123="NHC",PR!$AT121,IF(K123="OLEAF",PR!$AU121,IF(K123="OCULUS",PR!$AV121,IF(K123="PACIFIC",PR!$AW121,IF(K123="PHAMATEX",PR!$AX121,IF(K123="PETHICS",PR!$AY121,IF(K123="PHILIPS",PR!$AZ121,IF(K123="RANBAXY",PR!$BA121,IF(K123="REALS",PR!$BB121,IF(K123="ROYAL",PR!$BC121,IF(K123="SAM",PR!$BD121,IF(K123="SEAGREEN",PR!$BE121,IF(K123="SKG",PR!$BF121,IF(K123="TAH",PR!$BG121,IF(K123="TAYLEK",PR!$BH121,IF(K123="TEMITA",PR!$BI121,IF(K123="THL",PR!$BJ121,IF(K123="UBASTIC",PR!$BK121,IF(K123="UNION",PR!$BL121,IF(K123="UNIQUE",PR!$BM121,IF(K123="VIXA",PR!$BN121,IF(K123="WWCV",PR!$BO121,IF(K123="ZOLON",PR!$BP121,"-")))))))))))))))))))))))))))))))))))))))))))))))))))))))))))))))))</f>
        <v>300</v>
      </c>
    </row>
    <row r="124" spans="1:12" ht="18.75" x14ac:dyDescent="0.3">
      <c r="A124" s="430">
        <f>PR!A122</f>
        <v>106</v>
      </c>
      <c r="B124" s="15" t="str">
        <f>PR!B122</f>
        <v>SPIRINOLACTONE 25MG TAB</v>
      </c>
      <c r="C124" s="113">
        <f>PR!D122</f>
        <v>500</v>
      </c>
      <c r="D124" s="113">
        <f>PR!C122</f>
        <v>150</v>
      </c>
      <c r="E124" s="108">
        <f>IF(F124="ALPHA",PR!$E122,IF(F124="ASSENE",PR!$F122,IF(F124="BIOFEM",PR!$G122,IF(F124="BIOMED",PR!$H122,IF(F124="CHI",PR!$I122,IF(F124="CLARION",PR!$J122,IF(F124="CODIX",PR!$K122,IF(F124="COSMADE",PR!$L122,IF(F124="SANCON",PR!$M122,IF(F124="DEVON",PR!$N122,IF(F124="DORTEMAG",PR!$O122,IF(F124="DGF",PR!$P122,IF(F124="DYNAMIC",PR!$Q122,IF(F124="EMZOR",PR!$R122,IF(F124="EUMATT",PR!$S122,IF(F124="FIDSON",PR!$T122,IF(F124="FCGLOBAL",PR!$U122,IF(F124="GENEITH",PR!$V122,IF(F124="GINOS",PR!$W122,IF(F124="GSK",PR!$X122,IF(F124="GLOBORG",PR!$Y122,IF(F124="GOODNEWS",PR!$Z122,IF(F124="GREENLIFE",PR!$AA122,IF(F124="HLINE",PR!$AB122,IF(F124="ROTECH",PR!$AC122,IF(F124="ISN",PR!$AD122,IF(F124="JAWA",PR!$AE122,IF(F124="LAYO",PR!$AF122,IF(F124="LEADWAY",PR!$AG122,IF(F124="LHV",PR!$AH122,IF(F124="MANOLA",PR!$AI122,IF(F124="MARCSON",PR!$AJ122,IF(F124="M&amp;B",PR!$AK122,IF(F124="MTRUST",PR!$AL122,IF(F124="MWORLD",PR!$AM122,IF(F124="MEGA",PR!$AN122,IF(F124="MICRONOVA",PR!$AO122,IF(F124="MFLASH",PR!$AP122,IF(F124="MORISON",PR!$AQ122,IF(F124="NEMEL",PR!$AR122,IF(F124="NHP",PR!$AS122,IF(F124="NHC",PR!$AT122,IF(F124="OLEAF",PR!$AU122,IF(F124="OCULUS",PR!$AV122,IF(F124="PACIFIC",PR!$AW122,IF(F124="PHAMATEX",PR!$AX122,IF(F124="PETHICS",PR!$AY122,IF(F124="PHILIPS",PR!$AZ122,IF(F124="RANBAXY",PR!$BA122,IF(F124="REALS",PR!$BB122,IF(F124="ROYAL",PR!$BC122,IF(F124="SAM",PR!$BD122,IF(F124="SEAGREEN",PR!$BE122,IF(F124="SKG",PR!$BF122,IF(F124="TAH",PR!$BG122,IF(F124="TAYLEK",PR!$BH122,IF(F124="TEMITA",PR!$BI122,IF(F124="THL",PR!$BJ122,IF(F124="UBASTIC",PR!$BK122,IF(F124="UNION",PR!$BL122,IF(F124="UNIQUE",PR!$BM122,IF(F124="VIXA",PR!$BN122,IF(F124="WWCV",PR!$BO122,IF(F124="ZOLON",PR!$BP122,"-"))))))))))))))))))))))))))))))))))))))))))))))))))))))))))))))))</f>
        <v>1200</v>
      </c>
      <c r="F124" s="102" t="str">
        <f>EV!L146</f>
        <v>NHC</v>
      </c>
      <c r="G124" s="108">
        <f>IF(H124="ALPHA",PR!$E122,IF(H124="ASSENE",PR!$F122,IF(H124="BIOFEM",PR!$G122,IF(H124="BIOMED",PR!$H122,IF(H124="CHI",PR!$I122,IF(H124="CLARION",PR!$J122,IF(H124="CODIX",PR!$K122,IF(H124="COSMADE",PR!$L122,IF(H124="SANCON",PR!$M122,IF(H124="DEVON",PR!$N122,IF(H124="DORTEMAG",PR!$O122,IF(H124="DGF",PR!$P122,IF(H124="DYNAMIC",PR!$Q122,IF(H124="EMZOR",PR!$R122,IF(H124="EUMATT",PR!$S122,IF(H124="FIDSON",PR!$T122,IF(H124="FCGLOBAL",PR!$U122,IF(H124="GENEITH",PR!$V122,IF(H124="GINOS",PR!$W122,IF(H124="GSK",PR!$X122,IF(H124="GLOBORG",PR!$Y122,IF(H124="GOODNEWS",PR!$Z122,IF(H124="GREENLIFE",PR!$AA122,IF(H124="HLINE",PR!$AB122,IF(H124="ROTECH",PR!$AC122,IF(H124="ISN",PR!$AD122,IF(H124="JAWA",PR!$AE122,IF(H124="LAYO",PR!$AF122,IF(H124="LEADWAY",PR!$AG122,IF(H124="LHV",PR!$AH122,IF(H124="MANOLA",PR!$AI122,IF(H124="MARCSON",PR!$AJ122,IF(H124="M&amp;B",PR!$AK122,IF(H124="MTRUST",PR!$AL122,IF(H124="MWORLD",PR!$AM122,IF(H124="MEGA",PR!$AN122,IF(H124="MICRONOVA",PR!$AO122,IF(H124="MFLASH",PR!$AP122,IF(H124="MORISON",PR!$AQ122,IF(H124="NEMEL",PR!$AR122,IF(H124="NHP",PR!$AS122,IF(H124="NHC",PR!$AT122,IF(H124="OLEAF",PR!$AU122,IF(H124="OCULUS",PR!$AV122,IF(H124="PACIFIC",PR!$AW122,IF(H124="PHAMATEX",PR!$AX122,IF(H124="PETHICS",PR!$AY122,IF(H124="PHILIPS",PR!$AZ122,IF(H124="RANBAXY",PR!$BA122,IF(H124="REALS",PR!$BB122,IF(H124="ROYAL",PR!$BC122,IF(H124="SAM",PR!$BD122,IF(H124="SEAGREEN",PR!$BE122,IF(H124="SKG",PR!$BF122,IF(H124="TAH",PR!$BG122,IF(H124="TAYLEK",PR!$BH122,IF(H124="TEMITA",PR!$BI122,IF(H124="THL",PR!$BJ122,IF(H124="UBASTIC",PR!$BK122,IF(H124="UNION",PR!$BL122,IF(H124="UNIQUE",PR!$BM122,IF(H124="VIXA",PR!$BN122,IF(H124="WWCV",PR!$BO122,IF(H124="ZOLON",PR!$BP122,"-"))))))))))))))))))))))))))))))))))))))))))))))))))))))))))))))))</f>
        <v>1600</v>
      </c>
      <c r="H124" s="102" t="str">
        <f>EV!M146</f>
        <v>EUMATT</v>
      </c>
      <c r="I124" s="108" t="str">
        <f>IF(J124="ALPHA",PR!$E122,IF(J124="ASSENE",PR!$F122,IF(J124="BIOFEM",PR!$G122,IF(J124="BIOMED",PR!$H122,IF(J124="CHI",PR!$I122,IF(J124="CLARION",PR!$J122,IF(J124="CODIX",PR!$K122,IF(J124="COSMADE",PR!$L122,IF(J124="SANCON",PR!$M122,IF(J124="DEVON",PR!$N122,IF(J124="DORTEMAG",PR!$O122,IF(J124="DGF",PR!$P122,IF(J124="DYNAMIC",PR!$Q122,IF(J124="EMZOR",PR!$R122,IF(J124="EUMATT",PR!$S122,IF(J124="FIDSON",PR!$T122,IF(J124="FCGLOBAL",PR!$U122,IF(J124="GENEITH",PR!$V122,IF(J124="GINOS",PR!$W122,IF(J124="GSK",PR!$X122,IF(J124="GLOBORG",PR!$Y122,IF(J124="GOODNEWS",PR!$Z122,IF(J124="GREENLIFE",PR!$AA122,IF(J124="HLINE",PR!$AB122,IF(J124="ROTECH",PR!$AC122,IF(J124="ISN",PR!$AD122,IF(J124="JAWA",PR!$AE122,IF(J124="LAYO",PR!$AF122,IF(J124="LEADWAY",PR!$AG122,IF(J124="LHV",PR!$AH122,IF(J124="MANOLA",PR!$AI122,IF(J124="MARCSON",PR!$AJ122,IF(J124="M&amp;B",PR!$AK122,IF(J124="MTRUST",PR!$AL122,IF(J124="MWORLD",PR!$AM122,IF(J124="MEGA",PR!$AN122,IF(J124="MICRONOVA",PR!$AO122,IF(J124="MFLASH",PR!$AP122,IF(J124="MORISON",PR!$AQ122,IF(J124="NEMEL",PR!$AR122,IF(J124="NHP",PR!$AS122,IF(J124="NHC",PR!$AT122,IF(J124="OLEAF",PR!$AU122,IF(J124="OCULUS",PR!$AV122,IF(J124="PACIFIC",PR!$AW122,IF(J124="PHAMATEX",PR!$AX122,IF(J124="PETHICS",PR!$AY122,IF(J124="PHILIPS",PR!$AZ122,IF(J124="RANBAXY",PR!$BA122,IF(J124="REALS",PR!$BB122,IF(J124="ROYAL",PR!$BC122,IF(J124="SAM",PR!$BD122,IF(J124="SEAGREEN",PR!$BE122,IF(J124="SKG",PR!$BF122,IF(J124="TAH",PR!$BG122,IF(J124="TAYLEK",PR!$BH122,IF(J124="TEMITA",PR!$BI122,IF(J124="THL",PR!$BJ122,IF(J124="UBASTIC",PR!$BK122,IF(J124="UNION",PR!$BL122,IF(J124="UNIQUE",PR!$BM122,IF(J124="VIXA",PR!$BN122,IF(J124="WWCV",PR!$BO122,IF(J124="ZOLON",PR!$BP122,"-"))))))))))))))))))))))))))))))))))))))))))))))))))))))))))))))))</f>
        <v>-</v>
      </c>
      <c r="J124" s="102">
        <f>EV!N146</f>
        <v>0</v>
      </c>
      <c r="K124" s="433"/>
      <c r="L124" s="183" t="b">
        <f>IF(K124&gt;0,IF(K124="ALPHA",PR!$E122,IF(K124="ASSENE",PR!$F122,IF(K124="BIOFEM",PR!$G122,IF(K124="BIOMED",PR!$H122,IF(K124="CHI",PR!$I122,IF(K124="CLARION",PR!$J122,IF(K124="CODIX",PR!$K122,IF(K124="COSMADE",PR!$L122,IF(K124="SANCON",PR!$M122,IF(K124="DEVON",PR!$N122,IF(K124="DORTEMAG",PR!$O122,IF(K124="DGF",PR!$P122,IF(K124="DYNAMIC",PR!$Q122,IF(K124="EMZOR",PR!$R122,IF(K124="EUMATT",PR!$S122,IF(K124="FIDSON",PR!$T122,IF(K124="FCGLOBAL",PR!$U122,IF(K124="GENEITH",PR!$V122,IF(K124="GINOS",PR!$W122,IF(K124="GSK",PR!$X122,IF(K124="GLOBORG",PR!$Y122,IF(K124="GOODNEWS",PR!$Z122,IF(K124="GREENLIFE",PR!$AA122,IF(K124="HLINE",PR!$AB122,IF(K124="ROTECH",PR!$AC122,IF(K124="ISN",PR!$AD122,IF(K124="JAWA",PR!$AE122,IF(K124="LAYO",PR!$AF122,IF(K124="LEADWAY",PR!$AG122,IF(K124="LHV",PR!$AH122,IF(K124="MANOLA",PR!$AI122,IF(K124="MARCSON",PR!$AJ122,IF(K124="M&amp;B",PR!$AK122,IF(K124="MTRUST",PR!$AL122,IF(K124="MWORLD",PR!$AM122,IF(K124="MEGA",PR!$AN122,IF(K124="MICRONOVA",PR!$AO122,IF(K124="MFLASH",PR!$AP122,IF(K124="MORISON",PR!$AQ122,IF(K124="NEMEL",PR!$AR122,IF(K124="NHP",PR!$AS122,IF(K124="NHC",PR!$AT122,IF(K124="OLEAF",PR!$AU122,IF(K124="OCULUS",PR!$AV122,IF(K124="PACIFIC",PR!$AW122,IF(K124="PHAMATEX",PR!$AX122,IF(K124="PETHICS",PR!$AY122,IF(K124="PHILIPS",PR!$AZ122,IF(K124="RANBAXY",PR!$BA122,IF(K124="REALS",PR!$BB122,IF(K124="ROYAL",PR!$BC122,IF(K124="SAM",PR!$BD122,IF(K124="SEAGREEN",PR!$BE122,IF(K124="SKG",PR!$BF122,IF(K124="TAH",PR!$BG122,IF(K124="TAYLEK",PR!$BH122,IF(K124="TEMITA",PR!$BI122,IF(K124="THL",PR!$BJ122,IF(K124="UBASTIC",PR!$BK122,IF(K124="UNION",PR!$BL122,IF(K124="UNIQUE",PR!$BM122,IF(K124="VIXA",PR!$BN122,IF(K124="WWCV",PR!$BO122,IF(K124="ZOLON",PR!$BP122,"-")))))))))))))))))))))))))))))))))))))))))))))))))))))))))))))))))</f>
        <v>0</v>
      </c>
    </row>
    <row r="125" spans="1:12" ht="18.75" x14ac:dyDescent="0.3">
      <c r="A125" s="430">
        <f>PR!A123</f>
        <v>107</v>
      </c>
      <c r="B125" s="15" t="str">
        <f>PR!B123</f>
        <v>TELMISARTAN 80MG TAB</v>
      </c>
      <c r="C125" s="113">
        <f>PR!D123</f>
        <v>30</v>
      </c>
      <c r="D125" s="113">
        <f>PR!C123</f>
        <v>52</v>
      </c>
      <c r="E125" s="108">
        <f>IF(F125="ALPHA",PR!$E123,IF(F125="ASSENE",PR!$F123,IF(F125="BIOFEM",PR!$G123,IF(F125="BIOMED",PR!$H123,IF(F125="CHI",PR!$I123,IF(F125="CLARION",PR!$J123,IF(F125="CODIX",PR!$K123,IF(F125="COSMADE",PR!$L123,IF(F125="SANCON",PR!$M123,IF(F125="DEVON",PR!$N123,IF(F125="DORTEMAG",PR!$O123,IF(F125="DGF",PR!$P123,IF(F125="DYNAMIC",PR!$Q123,IF(F125="EMZOR",PR!$R123,IF(F125="EUMATT",PR!$S123,IF(F125="FIDSON",PR!$T123,IF(F125="FCGLOBAL",PR!$U123,IF(F125="GENEITH",PR!$V123,IF(F125="GINOS",PR!$W123,IF(F125="GSK",PR!$X123,IF(F125="GLOBORG",PR!$Y123,IF(F125="GOODNEWS",PR!$Z123,IF(F125="GREENLIFE",PR!$AA123,IF(F125="HLINE",PR!$AB123,IF(F125="ROTECH",PR!$AC123,IF(F125="ISN",PR!$AD123,IF(F125="JAWA",PR!$AE123,IF(F125="LAYO",PR!$AF123,IF(F125="LEADWAY",PR!$AG123,IF(F125="LHV",PR!$AH123,IF(F125="MANOLA",PR!$AI123,IF(F125="MARCSON",PR!$AJ123,IF(F125="M&amp;B",PR!$AK123,IF(F125="MTRUST",PR!$AL123,IF(F125="MWORLD",PR!$AM123,IF(F125="MEGA",PR!$AN123,IF(F125="MICRONOVA",PR!$AO123,IF(F125="MFLASH",PR!$AP123,IF(F125="MORISON",PR!$AQ123,IF(F125="NEMEL",PR!$AR123,IF(F125="NHP",PR!$AS123,IF(F125="NHC",PR!$AT123,IF(F125="OLEAF",PR!$AU123,IF(F125="OCULUS",PR!$AV123,IF(F125="PACIFIC",PR!$AW123,IF(F125="PHAMATEX",PR!$AX123,IF(F125="PETHICS",PR!$AY123,IF(F125="PHILIPS",PR!$AZ123,IF(F125="RANBAXY",PR!$BA123,IF(F125="REALS",PR!$BB123,IF(F125="ROYAL",PR!$BC123,IF(F125="SAM",PR!$BD123,IF(F125="SEAGREEN",PR!$BE123,IF(F125="SKG",PR!$BF123,IF(F125="TAH",PR!$BG123,IF(F125="TAYLEK",PR!$BH123,IF(F125="TEMITA",PR!$BI123,IF(F125="THL",PR!$BJ123,IF(F125="UBASTIC",PR!$BK123,IF(F125="UNION",PR!$BL123,IF(F125="UNIQUE",PR!$BM123,IF(F125="VIXA",PR!$BN123,IF(F125="WWCV",PR!$BO123,IF(F125="ZOLON",PR!$BP123,"-"))))))))))))))))))))))))))))))))))))))))))))))))))))))))))))))))</f>
        <v>2500</v>
      </c>
      <c r="F125" s="102" t="str">
        <f>EV!L147</f>
        <v>MEGA</v>
      </c>
      <c r="G125" s="108">
        <f>IF(H125="ALPHA",PR!$E123,IF(H125="ASSENE",PR!$F123,IF(H125="BIOFEM",PR!$G123,IF(H125="BIOMED",PR!$H123,IF(H125="CHI",PR!$I123,IF(H125="CLARION",PR!$J123,IF(H125="CODIX",PR!$K123,IF(H125="COSMADE",PR!$L123,IF(H125="SANCON",PR!$M123,IF(H125="DEVON",PR!$N123,IF(H125="DORTEMAG",PR!$O123,IF(H125="DGF",PR!$P123,IF(H125="DYNAMIC",PR!$Q123,IF(H125="EMZOR",PR!$R123,IF(H125="EUMATT",PR!$S123,IF(H125="FIDSON",PR!$T123,IF(H125="FCGLOBAL",PR!$U123,IF(H125="GENEITH",PR!$V123,IF(H125="GINOS",PR!$W123,IF(H125="GSK",PR!$X123,IF(H125="GLOBORG",PR!$Y123,IF(H125="GOODNEWS",PR!$Z123,IF(H125="GREENLIFE",PR!$AA123,IF(H125="HLINE",PR!$AB123,IF(H125="ROTECH",PR!$AC123,IF(H125="ISN",PR!$AD123,IF(H125="JAWA",PR!$AE123,IF(H125="LAYO",PR!$AF123,IF(H125="LEADWAY",PR!$AG123,IF(H125="LHV",PR!$AH123,IF(H125="MANOLA",PR!$AI123,IF(H125="MARCSON",PR!$AJ123,IF(H125="M&amp;B",PR!$AK123,IF(H125="MTRUST",PR!$AL123,IF(H125="MWORLD",PR!$AM123,IF(H125="MEGA",PR!$AN123,IF(H125="MICRONOVA",PR!$AO123,IF(H125="MFLASH",PR!$AP123,IF(H125="MORISON",PR!$AQ123,IF(H125="NEMEL",PR!$AR123,IF(H125="NHP",PR!$AS123,IF(H125="NHC",PR!$AT123,IF(H125="OLEAF",PR!$AU123,IF(H125="OCULUS",PR!$AV123,IF(H125="PACIFIC",PR!$AW123,IF(H125="PHAMATEX",PR!$AX123,IF(H125="PETHICS",PR!$AY123,IF(H125="PHILIPS",PR!$AZ123,IF(H125="RANBAXY",PR!$BA123,IF(H125="REALS",PR!$BB123,IF(H125="ROYAL",PR!$BC123,IF(H125="SAM",PR!$BD123,IF(H125="SEAGREEN",PR!$BE123,IF(H125="SKG",PR!$BF123,IF(H125="TAH",PR!$BG123,IF(H125="TAYLEK",PR!$BH123,IF(H125="TEMITA",PR!$BI123,IF(H125="THL",PR!$BJ123,IF(H125="UBASTIC",PR!$BK123,IF(H125="UNION",PR!$BL123,IF(H125="UNIQUE",PR!$BM123,IF(H125="VIXA",PR!$BN123,IF(H125="WWCV",PR!$BO123,IF(H125="ZOLON",PR!$BP123,"-"))))))))))))))))))))))))))))))))))))))))))))))))))))))))))))))))</f>
        <v>2500</v>
      </c>
      <c r="H125" s="102" t="str">
        <f>EV!M147</f>
        <v>PHILIPS</v>
      </c>
      <c r="I125" s="108">
        <f>IF(J125="ALPHA",PR!$E123,IF(J125="ASSENE",PR!$F123,IF(J125="BIOFEM",PR!$G123,IF(J125="BIOMED",PR!$H123,IF(J125="CHI",PR!$I123,IF(J125="CLARION",PR!$J123,IF(J125="CODIX",PR!$K123,IF(J125="COSMADE",PR!$L123,IF(J125="SANCON",PR!$M123,IF(J125="DEVON",PR!$N123,IF(J125="DORTEMAG",PR!$O123,IF(J125="DGF",PR!$P123,IF(J125="DYNAMIC",PR!$Q123,IF(J125="EMZOR",PR!$R123,IF(J125="EUMATT",PR!$S123,IF(J125="FIDSON",PR!$T123,IF(J125="FCGLOBAL",PR!$U123,IF(J125="GENEITH",PR!$V123,IF(J125="GINOS",PR!$W123,IF(J125="GSK",PR!$X123,IF(J125="GLOBORG",PR!$Y123,IF(J125="GOODNEWS",PR!$Z123,IF(J125="GREENLIFE",PR!$AA123,IF(J125="HLINE",PR!$AB123,IF(J125="ROTECH",PR!$AC123,IF(J125="ISN",PR!$AD123,IF(J125="JAWA",PR!$AE123,IF(J125="LAYO",PR!$AF123,IF(J125="LEADWAY",PR!$AG123,IF(J125="LHV",PR!$AH123,IF(J125="MANOLA",PR!$AI123,IF(J125="MARCSON",PR!$AJ123,IF(J125="M&amp;B",PR!$AK123,IF(J125="MTRUST",PR!$AL123,IF(J125="MWORLD",PR!$AM123,IF(J125="MEGA",PR!$AN123,IF(J125="MICRONOVA",PR!$AO123,IF(J125="MFLASH",PR!$AP123,IF(J125="MORISON",PR!$AQ123,IF(J125="NEMEL",PR!$AR123,IF(J125="NHP",PR!$AS123,IF(J125="NHC",PR!$AT123,IF(J125="OLEAF",PR!$AU123,IF(J125="OCULUS",PR!$AV123,IF(J125="PACIFIC",PR!$AW123,IF(J125="PHAMATEX",PR!$AX123,IF(J125="PETHICS",PR!$AY123,IF(J125="PHILIPS",PR!$AZ123,IF(J125="RANBAXY",PR!$BA123,IF(J125="REALS",PR!$BB123,IF(J125="ROYAL",PR!$BC123,IF(J125="SAM",PR!$BD123,IF(J125="SEAGREEN",PR!$BE123,IF(J125="SKG",PR!$BF123,IF(J125="TAH",PR!$BG123,IF(J125="TAYLEK",PR!$BH123,IF(J125="TEMITA",PR!$BI123,IF(J125="THL",PR!$BJ123,IF(J125="UBASTIC",PR!$BK123,IF(J125="UNION",PR!$BL123,IF(J125="UNIQUE",PR!$BM123,IF(J125="VIXA",PR!$BN123,IF(J125="WWCV",PR!$BO123,IF(J125="ZOLON",PR!$BP123,"-"))))))))))))))))))))))))))))))))))))))))))))))))))))))))))))))))</f>
        <v>2700</v>
      </c>
      <c r="J125" s="102" t="str">
        <f>EV!N147</f>
        <v>MICRONOVA</v>
      </c>
      <c r="K125" s="433" t="s">
        <v>2103</v>
      </c>
      <c r="L125" s="183" t="str">
        <f>IF(K125&gt;0,IF(K125="ALPHA",PR!$E123,IF(K125="ASSENE",PR!$F123,IF(K125="BIOFEM",PR!$G123,IF(K125="BIOMED",PR!$H123,IF(K125="CHI",PR!$I123,IF(K125="CLARION",PR!$J123,IF(K125="CODIX",PR!$K123,IF(K125="COSMADE",PR!$L123,IF(K125="SANCON",PR!$M123,IF(K125="DEVON",PR!$N123,IF(K125="DORTEMAG",PR!$O123,IF(K125="DGF",PR!$P123,IF(K125="DYNAMIC",PR!$Q123,IF(K125="EMZOR",PR!$R123,IF(K125="EUMATT",PR!$S123,IF(K125="FIDSON",PR!$T123,IF(K125="FCGLOBAL",PR!$U123,IF(K125="GENEITH",PR!$V123,IF(K125="GINOS",PR!$W123,IF(K125="GSK",PR!$X123,IF(K125="GLOBORG",PR!$Y123,IF(K125="GOODNEWS",PR!$Z123,IF(K125="GREENLIFE",PR!$AA123,IF(K125="HLINE",PR!$AB123,IF(K125="ROTECH",PR!$AC123,IF(K125="ISN",PR!$AD123,IF(K125="JAWA",PR!$AE123,IF(K125="LAYO",PR!$AF123,IF(K125="LEADWAY",PR!$AG123,IF(K125="LHV",PR!$AH123,IF(K125="MANOLA",PR!$AI123,IF(K125="MARCSON",PR!$AJ123,IF(K125="M&amp;B",PR!$AK123,IF(K125="MTRUST",PR!$AL123,IF(K125="MWORLD",PR!$AM123,IF(K125="MEGA",PR!$AN123,IF(K125="MICRONOVA",PR!$AO123,IF(K125="MFLASH",PR!$AP123,IF(K125="MORISON",PR!$AQ123,IF(K125="NEMEL",PR!$AR123,IF(K125="NHP",PR!$AS123,IF(K125="NHC",PR!$AT123,IF(K125="OLEAF",PR!$AU123,IF(K125="OCULUS",PR!$AV123,IF(K125="PACIFIC",PR!$AW123,IF(K125="PHAMATEX",PR!$AX123,IF(K125="PETHICS",PR!$AY123,IF(K125="PHILIPS",PR!$AZ123,IF(K125="RANBAXY",PR!$BA123,IF(K125="REALS",PR!$BB123,IF(K125="ROYAL",PR!$BC123,IF(K125="SAM",PR!$BD123,IF(K125="SEAGREEN",PR!$BE123,IF(K125="SKG",PR!$BF123,IF(K125="TAH",PR!$BG123,IF(K125="TAYLEK",PR!$BH123,IF(K125="TEMITA",PR!$BI123,IF(K125="THL",PR!$BJ123,IF(K125="UBASTIC",PR!$BK123,IF(K125="UNION",PR!$BL123,IF(K125="UNIQUE",PR!$BM123,IF(K125="VIXA",PR!$BN123,IF(K125="WWCV",PR!$BO123,IF(K125="ZOLON",PR!$BP123,"-")))))))))))))))))))))))))))))))))))))))))))))))))))))))))))))))))</f>
        <v>-</v>
      </c>
    </row>
    <row r="126" spans="1:12" ht="18.75" x14ac:dyDescent="0.3">
      <c r="A126" s="430">
        <f>PR!A124</f>
        <v>108</v>
      </c>
      <c r="B126" s="15" t="str">
        <f>PR!B124</f>
        <v>TELMISARTAN/AMLODIPINE 80/10MG TAB</v>
      </c>
      <c r="C126" s="113">
        <f>PR!D124</f>
        <v>28</v>
      </c>
      <c r="D126" s="113">
        <f>PR!C124</f>
        <v>10</v>
      </c>
      <c r="E126" s="108" t="str">
        <f>IF(F126="ALPHA",PR!$E124,IF(F126="ASSENE",PR!$F124,IF(F126="BIOFEM",PR!$G124,IF(F126="BIOMED",PR!$H124,IF(F126="CHI",PR!$I124,IF(F126="CLARION",PR!$J124,IF(F126="CODIX",PR!$K124,IF(F126="COSMADE",PR!$L124,IF(F126="SANCON",PR!$M124,IF(F126="DEVON",PR!$N124,IF(F126="DORTEMAG",PR!$O124,IF(F126="DGF",PR!$P124,IF(F126="DYNAMIC",PR!$Q124,IF(F126="EMZOR",PR!$R124,IF(F126="EUMATT",PR!$S124,IF(F126="FIDSON",PR!$T124,IF(F126="FCGLOBAL",PR!$U124,IF(F126="GENEITH",PR!$V124,IF(F126="GINOS",PR!$W124,IF(F126="GSK",PR!$X124,IF(F126="GLOBORG",PR!$Y124,IF(F126="GOODNEWS",PR!$Z124,IF(F126="GREENLIFE",PR!$AA124,IF(F126="HLINE",PR!$AB124,IF(F126="ROTECH",PR!$AC124,IF(F126="ISN",PR!$AD124,IF(F126="JAWA",PR!$AE124,IF(F126="LAYO",PR!$AF124,IF(F126="LEADWAY",PR!$AG124,IF(F126="LHV",PR!$AH124,IF(F126="MANOLA",PR!$AI124,IF(F126="MARCSON",PR!$AJ124,IF(F126="M&amp;B",PR!$AK124,IF(F126="MTRUST",PR!$AL124,IF(F126="MWORLD",PR!$AM124,IF(F126="MEGA",PR!$AN124,IF(F126="MICRONOVA",PR!$AO124,IF(F126="MFLASH",PR!$AP124,IF(F126="MORISON",PR!$AQ124,IF(F126="NEMEL",PR!$AR124,IF(F126="NHP",PR!$AS124,IF(F126="NHC",PR!$AT124,IF(F126="OLEAF",PR!$AU124,IF(F126="OCULUS",PR!$AV124,IF(F126="PACIFIC",PR!$AW124,IF(F126="PHAMATEX",PR!$AX124,IF(F126="PETHICS",PR!$AY124,IF(F126="PHILIPS",PR!$AZ124,IF(F126="RANBAXY",PR!$BA124,IF(F126="REALS",PR!$BB124,IF(F126="ROYAL",PR!$BC124,IF(F126="SAM",PR!$BD124,IF(F126="SEAGREEN",PR!$BE124,IF(F126="SKG",PR!$BF124,IF(F126="TAH",PR!$BG124,IF(F126="TAYLEK",PR!$BH124,IF(F126="TEMITA",PR!$BI124,IF(F126="THL",PR!$BJ124,IF(F126="UBASTIC",PR!$BK124,IF(F126="UNION",PR!$BL124,IF(F126="UNIQUE",PR!$BM124,IF(F126="VIXA",PR!$BN124,IF(F126="WWCV",PR!$BO124,IF(F126="ZOLON",PR!$BP124,"-"))))))))))))))))))))))))))))))))))))))))))))))))))))))))))))))))</f>
        <v>-</v>
      </c>
      <c r="F126" s="102">
        <f>EV!L148</f>
        <v>0</v>
      </c>
      <c r="G126" s="108" t="str">
        <f>IF(H126="ALPHA",PR!$E124,IF(H126="ASSENE",PR!$F124,IF(H126="BIOFEM",PR!$G124,IF(H126="BIOMED",PR!$H124,IF(H126="CHI",PR!$I124,IF(H126="CLARION",PR!$J124,IF(H126="CODIX",PR!$K124,IF(H126="COSMADE",PR!$L124,IF(H126="SANCON",PR!$M124,IF(H126="DEVON",PR!$N124,IF(H126="DORTEMAG",PR!$O124,IF(H126="DGF",PR!$P124,IF(H126="DYNAMIC",PR!$Q124,IF(H126="EMZOR",PR!$R124,IF(H126="EUMATT",PR!$S124,IF(H126="FIDSON",PR!$T124,IF(H126="FCGLOBAL",PR!$U124,IF(H126="GENEITH",PR!$V124,IF(H126="GINOS",PR!$W124,IF(H126="GSK",PR!$X124,IF(H126="GLOBORG",PR!$Y124,IF(H126="GOODNEWS",PR!$Z124,IF(H126="GREENLIFE",PR!$AA124,IF(H126="HLINE",PR!$AB124,IF(H126="ROTECH",PR!$AC124,IF(H126="ISN",PR!$AD124,IF(H126="JAWA",PR!$AE124,IF(H126="LAYO",PR!$AF124,IF(H126="LEADWAY",PR!$AG124,IF(H126="LHV",PR!$AH124,IF(H126="MANOLA",PR!$AI124,IF(H126="MARCSON",PR!$AJ124,IF(H126="M&amp;B",PR!$AK124,IF(H126="MTRUST",PR!$AL124,IF(H126="MWORLD",PR!$AM124,IF(H126="MEGA",PR!$AN124,IF(H126="MICRONOVA",PR!$AO124,IF(H126="MFLASH",PR!$AP124,IF(H126="MORISON",PR!$AQ124,IF(H126="NEMEL",PR!$AR124,IF(H126="NHP",PR!$AS124,IF(H126="NHC",PR!$AT124,IF(H126="OLEAF",PR!$AU124,IF(H126="OCULUS",PR!$AV124,IF(H126="PACIFIC",PR!$AW124,IF(H126="PHAMATEX",PR!$AX124,IF(H126="PETHICS",PR!$AY124,IF(H126="PHILIPS",PR!$AZ124,IF(H126="RANBAXY",PR!$BA124,IF(H126="REALS",PR!$BB124,IF(H126="ROYAL",PR!$BC124,IF(H126="SAM",PR!$BD124,IF(H126="SEAGREEN",PR!$BE124,IF(H126="SKG",PR!$BF124,IF(H126="TAH",PR!$BG124,IF(H126="TAYLEK",PR!$BH124,IF(H126="TEMITA",PR!$BI124,IF(H126="THL",PR!$BJ124,IF(H126="UBASTIC",PR!$BK124,IF(H126="UNION",PR!$BL124,IF(H126="UNIQUE",PR!$BM124,IF(H126="VIXA",PR!$BN124,IF(H126="WWCV",PR!$BO124,IF(H126="ZOLON",PR!$BP124,"-"))))))))))))))))))))))))))))))))))))))))))))))))))))))))))))))))</f>
        <v>-</v>
      </c>
      <c r="H126" s="102">
        <f>EV!M148</f>
        <v>0</v>
      </c>
      <c r="I126" s="108" t="str">
        <f>IF(J126="ALPHA",PR!$E124,IF(J126="ASSENE",PR!$F124,IF(J126="BIOFEM",PR!$G124,IF(J126="BIOMED",PR!$H124,IF(J126="CHI",PR!$I124,IF(J126="CLARION",PR!$J124,IF(J126="CODIX",PR!$K124,IF(J126="COSMADE",PR!$L124,IF(J126="SANCON",PR!$M124,IF(J126="DEVON",PR!$N124,IF(J126="DORTEMAG",PR!$O124,IF(J126="DGF",PR!$P124,IF(J126="DYNAMIC",PR!$Q124,IF(J126="EMZOR",PR!$R124,IF(J126="EUMATT",PR!$S124,IF(J126="FIDSON",PR!$T124,IF(J126="FCGLOBAL",PR!$U124,IF(J126="GENEITH",PR!$V124,IF(J126="GINOS",PR!$W124,IF(J126="GSK",PR!$X124,IF(J126="GLOBORG",PR!$Y124,IF(J126="GOODNEWS",PR!$Z124,IF(J126="GREENLIFE",PR!$AA124,IF(J126="HLINE",PR!$AB124,IF(J126="ROTECH",PR!$AC124,IF(J126="ISN",PR!$AD124,IF(J126="JAWA",PR!$AE124,IF(J126="LAYO",PR!$AF124,IF(J126="LEADWAY",PR!$AG124,IF(J126="LHV",PR!$AH124,IF(J126="MANOLA",PR!$AI124,IF(J126="MARCSON",PR!$AJ124,IF(J126="M&amp;B",PR!$AK124,IF(J126="MTRUST",PR!$AL124,IF(J126="MWORLD",PR!$AM124,IF(J126="MEGA",PR!$AN124,IF(J126="MICRONOVA",PR!$AO124,IF(J126="MFLASH",PR!$AP124,IF(J126="MORISON",PR!$AQ124,IF(J126="NEMEL",PR!$AR124,IF(J126="NHP",PR!$AS124,IF(J126="NHC",PR!$AT124,IF(J126="OLEAF",PR!$AU124,IF(J126="OCULUS",PR!$AV124,IF(J126="PACIFIC",PR!$AW124,IF(J126="PHAMATEX",PR!$AX124,IF(J126="PETHICS",PR!$AY124,IF(J126="PHILIPS",PR!$AZ124,IF(J126="RANBAXY",PR!$BA124,IF(J126="REALS",PR!$BB124,IF(J126="ROYAL",PR!$BC124,IF(J126="SAM",PR!$BD124,IF(J126="SEAGREEN",PR!$BE124,IF(J126="SKG",PR!$BF124,IF(J126="TAH",PR!$BG124,IF(J126="TAYLEK",PR!$BH124,IF(J126="TEMITA",PR!$BI124,IF(J126="THL",PR!$BJ124,IF(J126="UBASTIC",PR!$BK124,IF(J126="UNION",PR!$BL124,IF(J126="UNIQUE",PR!$BM124,IF(J126="VIXA",PR!$BN124,IF(J126="WWCV",PR!$BO124,IF(J126="ZOLON",PR!$BP124,"-"))))))))))))))))))))))))))))))))))))))))))))))))))))))))))))))))</f>
        <v>-</v>
      </c>
      <c r="J126" s="102">
        <f>EV!N148</f>
        <v>0</v>
      </c>
      <c r="K126" s="433"/>
      <c r="L126" s="183" t="b">
        <f>IF(K126&gt;0,IF(K126="ALPHA",PR!$E124,IF(K126="ASSENE",PR!$F124,IF(K126="BIOFEM",PR!$G124,IF(K126="BIOMED",PR!$H124,IF(K126="CHI",PR!$I124,IF(K126="CLARION",PR!$J124,IF(K126="CODIX",PR!$K124,IF(K126="COSMADE",PR!$L124,IF(K126="SANCON",PR!$M124,IF(K126="DEVON",PR!$N124,IF(K126="DORTEMAG",PR!$O124,IF(K126="DGF",PR!$P124,IF(K126="DYNAMIC",PR!$Q124,IF(K126="EMZOR",PR!$R124,IF(K126="EUMATT",PR!$S124,IF(K126="FIDSON",PR!$T124,IF(K126="FCGLOBAL",PR!$U124,IF(K126="GENEITH",PR!$V124,IF(K126="GINOS",PR!$W124,IF(K126="GSK",PR!$X124,IF(K126="GLOBORG",PR!$Y124,IF(K126="GOODNEWS",PR!$Z124,IF(K126="GREENLIFE",PR!$AA124,IF(K126="HLINE",PR!$AB124,IF(K126="ROTECH",PR!$AC124,IF(K126="ISN",PR!$AD124,IF(K126="JAWA",PR!$AE124,IF(K126="LAYO",PR!$AF124,IF(K126="LEADWAY",PR!$AG124,IF(K126="LHV",PR!$AH124,IF(K126="MANOLA",PR!$AI124,IF(K126="MARCSON",PR!$AJ124,IF(K126="M&amp;B",PR!$AK124,IF(K126="MTRUST",PR!$AL124,IF(K126="MWORLD",PR!$AM124,IF(K126="MEGA",PR!$AN124,IF(K126="MICRONOVA",PR!$AO124,IF(K126="MFLASH",PR!$AP124,IF(K126="MORISON",PR!$AQ124,IF(K126="NEMEL",PR!$AR124,IF(K126="NHP",PR!$AS124,IF(K126="NHC",PR!$AT124,IF(K126="OLEAF",PR!$AU124,IF(K126="OCULUS",PR!$AV124,IF(K126="PACIFIC",PR!$AW124,IF(K126="PHAMATEX",PR!$AX124,IF(K126="PETHICS",PR!$AY124,IF(K126="PHILIPS",PR!$AZ124,IF(K126="RANBAXY",PR!$BA124,IF(K126="REALS",PR!$BB124,IF(K126="ROYAL",PR!$BC124,IF(K126="SAM",PR!$BD124,IF(K126="SEAGREEN",PR!$BE124,IF(K126="SKG",PR!$BF124,IF(K126="TAH",PR!$BG124,IF(K126="TAYLEK",PR!$BH124,IF(K126="TEMITA",PR!$BI124,IF(K126="THL",PR!$BJ124,IF(K126="UBASTIC",PR!$BK124,IF(K126="UNION",PR!$BL124,IF(K126="UNIQUE",PR!$BM124,IF(K126="VIXA",PR!$BN124,IF(K126="WWCV",PR!$BO124,IF(K126="ZOLON",PR!$BP124,"-")))))))))))))))))))))))))))))))))))))))))))))))))))))))))))))))))</f>
        <v>0</v>
      </c>
    </row>
    <row r="127" spans="1:12" ht="18.75" x14ac:dyDescent="0.3">
      <c r="A127" s="430">
        <f>PR!A125</f>
        <v>109</v>
      </c>
      <c r="B127" s="15" t="str">
        <f>PR!B125</f>
        <v>TELMISARTAN/AMLODIPINE 80/5MG TAB</v>
      </c>
      <c r="C127" s="113">
        <f>PR!D125</f>
        <v>28</v>
      </c>
      <c r="D127" s="113">
        <f>PR!C125</f>
        <v>10</v>
      </c>
      <c r="E127" s="108" t="str">
        <f>IF(F127="ALPHA",PR!$E125,IF(F127="ASSENE",PR!$F125,IF(F127="BIOFEM",PR!$G125,IF(F127="BIOMED",PR!$H125,IF(F127="CHI",PR!$I125,IF(F127="CLARION",PR!$J125,IF(F127="CODIX",PR!$K125,IF(F127="COSMADE",PR!$L125,IF(F127="SANCON",PR!$M125,IF(F127="DEVON",PR!$N125,IF(F127="DORTEMAG",PR!$O125,IF(F127="DGF",PR!$P125,IF(F127="DYNAMIC",PR!$Q125,IF(F127="EMZOR",PR!$R125,IF(F127="EUMATT",PR!$S125,IF(F127="FIDSON",PR!$T125,IF(F127="FCGLOBAL",PR!$U125,IF(F127="GENEITH",PR!$V125,IF(F127="GINOS",PR!$W125,IF(F127="GSK",PR!$X125,IF(F127="GLOBORG",PR!$Y125,IF(F127="GOODNEWS",PR!$Z125,IF(F127="GREENLIFE",PR!$AA125,IF(F127="HLINE",PR!$AB125,IF(F127="ROTECH",PR!$AC125,IF(F127="ISN",PR!$AD125,IF(F127="JAWA",PR!$AE125,IF(F127="LAYO",PR!$AF125,IF(F127="LEADWAY",PR!$AG125,IF(F127="LHV",PR!$AH125,IF(F127="MANOLA",PR!$AI125,IF(F127="MARCSON",PR!$AJ125,IF(F127="M&amp;B",PR!$AK125,IF(F127="MTRUST",PR!$AL125,IF(F127="MWORLD",PR!$AM125,IF(F127="MEGA",PR!$AN125,IF(F127="MICRONOVA",PR!$AO125,IF(F127="MFLASH",PR!$AP125,IF(F127="MORISON",PR!$AQ125,IF(F127="NEMEL",PR!$AR125,IF(F127="NHP",PR!$AS125,IF(F127="NHC",PR!$AT125,IF(F127="OLEAF",PR!$AU125,IF(F127="OCULUS",PR!$AV125,IF(F127="PACIFIC",PR!$AW125,IF(F127="PHAMATEX",PR!$AX125,IF(F127="PETHICS",PR!$AY125,IF(F127="PHILIPS",PR!$AZ125,IF(F127="RANBAXY",PR!$BA125,IF(F127="REALS",PR!$BB125,IF(F127="ROYAL",PR!$BC125,IF(F127="SAM",PR!$BD125,IF(F127="SEAGREEN",PR!$BE125,IF(F127="SKG",PR!$BF125,IF(F127="TAH",PR!$BG125,IF(F127="TAYLEK",PR!$BH125,IF(F127="TEMITA",PR!$BI125,IF(F127="THL",PR!$BJ125,IF(F127="UBASTIC",PR!$BK125,IF(F127="UNION",PR!$BL125,IF(F127="UNIQUE",PR!$BM125,IF(F127="VIXA",PR!$BN125,IF(F127="WWCV",PR!$BO125,IF(F127="ZOLON",PR!$BP125,"-"))))))))))))))))))))))))))))))))))))))))))))))))))))))))))))))))</f>
        <v>-</v>
      </c>
      <c r="F127" s="102">
        <f>EV!L149</f>
        <v>0</v>
      </c>
      <c r="G127" s="108" t="str">
        <f>IF(H127="ALPHA",PR!$E125,IF(H127="ASSENE",PR!$F125,IF(H127="BIOFEM",PR!$G125,IF(H127="BIOMED",PR!$H125,IF(H127="CHI",PR!$I125,IF(H127="CLARION",PR!$J125,IF(H127="CODIX",PR!$K125,IF(H127="COSMADE",PR!$L125,IF(H127="SANCON",PR!$M125,IF(H127="DEVON",PR!$N125,IF(H127="DORTEMAG",PR!$O125,IF(H127="DGF",PR!$P125,IF(H127="DYNAMIC",PR!$Q125,IF(H127="EMZOR",PR!$R125,IF(H127="EUMATT",PR!$S125,IF(H127="FIDSON",PR!$T125,IF(H127="FCGLOBAL",PR!$U125,IF(H127="GENEITH",PR!$V125,IF(H127="GINOS",PR!$W125,IF(H127="GSK",PR!$X125,IF(H127="GLOBORG",PR!$Y125,IF(H127="GOODNEWS",PR!$Z125,IF(H127="GREENLIFE",PR!$AA125,IF(H127="HLINE",PR!$AB125,IF(H127="ROTECH",PR!$AC125,IF(H127="ISN",PR!$AD125,IF(H127="JAWA",PR!$AE125,IF(H127="LAYO",PR!$AF125,IF(H127="LEADWAY",PR!$AG125,IF(H127="LHV",PR!$AH125,IF(H127="MANOLA",PR!$AI125,IF(H127="MARCSON",PR!$AJ125,IF(H127="M&amp;B",PR!$AK125,IF(H127="MTRUST",PR!$AL125,IF(H127="MWORLD",PR!$AM125,IF(H127="MEGA",PR!$AN125,IF(H127="MICRONOVA",PR!$AO125,IF(H127="MFLASH",PR!$AP125,IF(H127="MORISON",PR!$AQ125,IF(H127="NEMEL",PR!$AR125,IF(H127="NHP",PR!$AS125,IF(H127="NHC",PR!$AT125,IF(H127="OLEAF",PR!$AU125,IF(H127="OCULUS",PR!$AV125,IF(H127="PACIFIC",PR!$AW125,IF(H127="PHAMATEX",PR!$AX125,IF(H127="PETHICS",PR!$AY125,IF(H127="PHILIPS",PR!$AZ125,IF(H127="RANBAXY",PR!$BA125,IF(H127="REALS",PR!$BB125,IF(H127="ROYAL",PR!$BC125,IF(H127="SAM",PR!$BD125,IF(H127="SEAGREEN",PR!$BE125,IF(H127="SKG",PR!$BF125,IF(H127="TAH",PR!$BG125,IF(H127="TAYLEK",PR!$BH125,IF(H127="TEMITA",PR!$BI125,IF(H127="THL",PR!$BJ125,IF(H127="UBASTIC",PR!$BK125,IF(H127="UNION",PR!$BL125,IF(H127="UNIQUE",PR!$BM125,IF(H127="VIXA",PR!$BN125,IF(H127="WWCV",PR!$BO125,IF(H127="ZOLON",PR!$BP125,"-"))))))))))))))))))))))))))))))))))))))))))))))))))))))))))))))))</f>
        <v>-</v>
      </c>
      <c r="H127" s="102">
        <f>EV!M149</f>
        <v>0</v>
      </c>
      <c r="I127" s="108" t="str">
        <f>IF(J127="ALPHA",PR!$E125,IF(J127="ASSENE",PR!$F125,IF(J127="BIOFEM",PR!$G125,IF(J127="BIOMED",PR!$H125,IF(J127="CHI",PR!$I125,IF(J127="CLARION",PR!$J125,IF(J127="CODIX",PR!$K125,IF(J127="COSMADE",PR!$L125,IF(J127="SANCON",PR!$M125,IF(J127="DEVON",PR!$N125,IF(J127="DORTEMAG",PR!$O125,IF(J127="DGF",PR!$P125,IF(J127="DYNAMIC",PR!$Q125,IF(J127="EMZOR",PR!$R125,IF(J127="EUMATT",PR!$S125,IF(J127="FIDSON",PR!$T125,IF(J127="FCGLOBAL",PR!$U125,IF(J127="GENEITH",PR!$V125,IF(J127="GINOS",PR!$W125,IF(J127="GSK",PR!$X125,IF(J127="GLOBORG",PR!$Y125,IF(J127="GOODNEWS",PR!$Z125,IF(J127="GREENLIFE",PR!$AA125,IF(J127="HLINE",PR!$AB125,IF(J127="ROTECH",PR!$AC125,IF(J127="ISN",PR!$AD125,IF(J127="JAWA",PR!$AE125,IF(J127="LAYO",PR!$AF125,IF(J127="LEADWAY",PR!$AG125,IF(J127="LHV",PR!$AH125,IF(J127="MANOLA",PR!$AI125,IF(J127="MARCSON",PR!$AJ125,IF(J127="M&amp;B",PR!$AK125,IF(J127="MTRUST",PR!$AL125,IF(J127="MWORLD",PR!$AM125,IF(J127="MEGA",PR!$AN125,IF(J127="MICRONOVA",PR!$AO125,IF(J127="MFLASH",PR!$AP125,IF(J127="MORISON",PR!$AQ125,IF(J127="NEMEL",PR!$AR125,IF(J127="NHP",PR!$AS125,IF(J127="NHC",PR!$AT125,IF(J127="OLEAF",PR!$AU125,IF(J127="OCULUS",PR!$AV125,IF(J127="PACIFIC",PR!$AW125,IF(J127="PHAMATEX",PR!$AX125,IF(J127="PETHICS",PR!$AY125,IF(J127="PHILIPS",PR!$AZ125,IF(J127="RANBAXY",PR!$BA125,IF(J127="REALS",PR!$BB125,IF(J127="ROYAL",PR!$BC125,IF(J127="SAM",PR!$BD125,IF(J127="SEAGREEN",PR!$BE125,IF(J127="SKG",PR!$BF125,IF(J127="TAH",PR!$BG125,IF(J127="TAYLEK",PR!$BH125,IF(J127="TEMITA",PR!$BI125,IF(J127="THL",PR!$BJ125,IF(J127="UBASTIC",PR!$BK125,IF(J127="UNION",PR!$BL125,IF(J127="UNIQUE",PR!$BM125,IF(J127="VIXA",PR!$BN125,IF(J127="WWCV",PR!$BO125,IF(J127="ZOLON",PR!$BP125,"-"))))))))))))))))))))))))))))))))))))))))))))))))))))))))))))))))</f>
        <v>-</v>
      </c>
      <c r="J127" s="102">
        <f>EV!N149</f>
        <v>0</v>
      </c>
      <c r="K127" s="433"/>
      <c r="L127" s="183" t="b">
        <f>IF(K127&gt;0,IF(K127="ALPHA",PR!$E125,IF(K127="ASSENE",PR!$F125,IF(K127="BIOFEM",PR!$G125,IF(K127="BIOMED",PR!$H125,IF(K127="CHI",PR!$I125,IF(K127="CLARION",PR!$J125,IF(K127="CODIX",PR!$K125,IF(K127="COSMADE",PR!$L125,IF(K127="SANCON",PR!$M125,IF(K127="DEVON",PR!$N125,IF(K127="DORTEMAG",PR!$O125,IF(K127="DGF",PR!$P125,IF(K127="DYNAMIC",PR!$Q125,IF(K127="EMZOR",PR!$R125,IF(K127="EUMATT",PR!$S125,IF(K127="FIDSON",PR!$T125,IF(K127="FCGLOBAL",PR!$U125,IF(K127="GENEITH",PR!$V125,IF(K127="GINOS",PR!$W125,IF(K127="GSK",PR!$X125,IF(K127="GLOBORG",PR!$Y125,IF(K127="GOODNEWS",PR!$Z125,IF(K127="GREENLIFE",PR!$AA125,IF(K127="HLINE",PR!$AB125,IF(K127="ROTECH",PR!$AC125,IF(K127="ISN",PR!$AD125,IF(K127="JAWA",PR!$AE125,IF(K127="LAYO",PR!$AF125,IF(K127="LEADWAY",PR!$AG125,IF(K127="LHV",PR!$AH125,IF(K127="MANOLA",PR!$AI125,IF(K127="MARCSON",PR!$AJ125,IF(K127="M&amp;B",PR!$AK125,IF(K127="MTRUST",PR!$AL125,IF(K127="MWORLD",PR!$AM125,IF(K127="MEGA",PR!$AN125,IF(K127="MICRONOVA",PR!$AO125,IF(K127="MFLASH",PR!$AP125,IF(K127="MORISON",PR!$AQ125,IF(K127="NEMEL",PR!$AR125,IF(K127="NHP",PR!$AS125,IF(K127="NHC",PR!$AT125,IF(K127="OLEAF",PR!$AU125,IF(K127="OCULUS",PR!$AV125,IF(K127="PACIFIC",PR!$AW125,IF(K127="PHAMATEX",PR!$AX125,IF(K127="PETHICS",PR!$AY125,IF(K127="PHILIPS",PR!$AZ125,IF(K127="RANBAXY",PR!$BA125,IF(K127="REALS",PR!$BB125,IF(K127="ROYAL",PR!$BC125,IF(K127="SAM",PR!$BD125,IF(K127="SEAGREEN",PR!$BE125,IF(K127="SKG",PR!$BF125,IF(K127="TAH",PR!$BG125,IF(K127="TAYLEK",PR!$BH125,IF(K127="TEMITA",PR!$BI125,IF(K127="THL",PR!$BJ125,IF(K127="UBASTIC",PR!$BK125,IF(K127="UNION",PR!$BL125,IF(K127="UNIQUE",PR!$BM125,IF(K127="VIXA",PR!$BN125,IF(K127="WWCV",PR!$BO125,IF(K127="ZOLON",PR!$BP125,"-")))))))))))))))))))))))))))))))))))))))))))))))))))))))))))))))))</f>
        <v>0</v>
      </c>
    </row>
    <row r="128" spans="1:12" ht="18.75" x14ac:dyDescent="0.3">
      <c r="A128" s="430">
        <f>PR!A126</f>
        <v>110</v>
      </c>
      <c r="B128" s="15" t="str">
        <f>PR!B126</f>
        <v>TELMISARTAN/HYDROCHLOROTHIAZIDE 80/12.5 TAB</v>
      </c>
      <c r="C128" s="113">
        <f>PR!D126</f>
        <v>28</v>
      </c>
      <c r="D128" s="113">
        <f>PR!C126</f>
        <v>10</v>
      </c>
      <c r="E128" s="108">
        <f>IF(F128="ALPHA",PR!$E126,IF(F128="ASSENE",PR!$F126,IF(F128="BIOFEM",PR!$G126,IF(F128="BIOMED",PR!$H126,IF(F128="CHI",PR!$I126,IF(F128="CLARION",PR!$J126,IF(F128="CODIX",PR!$K126,IF(F128="COSMADE",PR!$L126,IF(F128="SANCON",PR!$M126,IF(F128="DEVON",PR!$N126,IF(F128="DORTEMAG",PR!$O126,IF(F128="DGF",PR!$P126,IF(F128="DYNAMIC",PR!$Q126,IF(F128="EMZOR",PR!$R126,IF(F128="EUMATT",PR!$S126,IF(F128="FIDSON",PR!$T126,IF(F128="FCGLOBAL",PR!$U126,IF(F128="GENEITH",PR!$V126,IF(F128="GINOS",PR!$W126,IF(F128="GSK",PR!$X126,IF(F128="GLOBORG",PR!$Y126,IF(F128="GOODNEWS",PR!$Z126,IF(F128="GREENLIFE",PR!$AA126,IF(F128="HLINE",PR!$AB126,IF(F128="ROTECH",PR!$AC126,IF(F128="ISN",PR!$AD126,IF(F128="JAWA",PR!$AE126,IF(F128="LAYO",PR!$AF126,IF(F128="LEADWAY",PR!$AG126,IF(F128="LHV",PR!$AH126,IF(F128="MANOLA",PR!$AI126,IF(F128="MARCSON",PR!$AJ126,IF(F128="M&amp;B",PR!$AK126,IF(F128="MTRUST",PR!$AL126,IF(F128="MWORLD",PR!$AM126,IF(F128="MEGA",PR!$AN126,IF(F128="MICRONOVA",PR!$AO126,IF(F128="MFLASH",PR!$AP126,IF(F128="MORISON",PR!$AQ126,IF(F128="NEMEL",PR!$AR126,IF(F128="NHP",PR!$AS126,IF(F128="NHC",PR!$AT126,IF(F128="OLEAF",PR!$AU126,IF(F128="OCULUS",PR!$AV126,IF(F128="PACIFIC",PR!$AW126,IF(F128="PHAMATEX",PR!$AX126,IF(F128="PETHICS",PR!$AY126,IF(F128="PHILIPS",PR!$AZ126,IF(F128="RANBAXY",PR!$BA126,IF(F128="REALS",PR!$BB126,IF(F128="ROYAL",PR!$BC126,IF(F128="SAM",PR!$BD126,IF(F128="SEAGREEN",PR!$BE126,IF(F128="SKG",PR!$BF126,IF(F128="TAH",PR!$BG126,IF(F128="TAYLEK",PR!$BH126,IF(F128="TEMITA",PR!$BI126,IF(F128="THL",PR!$BJ126,IF(F128="UBASTIC",PR!$BK126,IF(F128="UNION",PR!$BL126,IF(F128="UNIQUE",PR!$BM126,IF(F128="VIXA",PR!$BN126,IF(F128="WWCV",PR!$BO126,IF(F128="ZOLON",PR!$BP126,"-"))))))))))))))))))))))))))))))))))))))))))))))))))))))))))))))))</f>
        <v>1866.6666666666667</v>
      </c>
      <c r="F128" s="102" t="str">
        <f>EV!L150</f>
        <v>CLARION</v>
      </c>
      <c r="G128" s="108">
        <f>IF(H128="ALPHA",PR!$E126,IF(H128="ASSENE",PR!$F126,IF(H128="BIOFEM",PR!$G126,IF(H128="BIOMED",PR!$H126,IF(H128="CHI",PR!$I126,IF(H128="CLARION",PR!$J126,IF(H128="CODIX",PR!$K126,IF(H128="COSMADE",PR!$L126,IF(H128="SANCON",PR!$M126,IF(H128="DEVON",PR!$N126,IF(H128="DORTEMAG",PR!$O126,IF(H128="DGF",PR!$P126,IF(H128="DYNAMIC",PR!$Q126,IF(H128="EMZOR",PR!$R126,IF(H128="EUMATT",PR!$S126,IF(H128="FIDSON",PR!$T126,IF(H128="FCGLOBAL",PR!$U126,IF(H128="GENEITH",PR!$V126,IF(H128="GINOS",PR!$W126,IF(H128="GSK",PR!$X126,IF(H128="GLOBORG",PR!$Y126,IF(H128="GOODNEWS",PR!$Z126,IF(H128="GREENLIFE",PR!$AA126,IF(H128="HLINE",PR!$AB126,IF(H128="ROTECH",PR!$AC126,IF(H128="ISN",PR!$AD126,IF(H128="JAWA",PR!$AE126,IF(H128="LAYO",PR!$AF126,IF(H128="LEADWAY",PR!$AG126,IF(H128="LHV",PR!$AH126,IF(H128="MANOLA",PR!$AI126,IF(H128="MARCSON",PR!$AJ126,IF(H128="M&amp;B",PR!$AK126,IF(H128="MTRUST",PR!$AL126,IF(H128="MWORLD",PR!$AM126,IF(H128="MEGA",PR!$AN126,IF(H128="MICRONOVA",PR!$AO126,IF(H128="MFLASH",PR!$AP126,IF(H128="MORISON",PR!$AQ126,IF(H128="NEMEL",PR!$AR126,IF(H128="NHP",PR!$AS126,IF(H128="NHC",PR!$AT126,IF(H128="OLEAF",PR!$AU126,IF(H128="OCULUS",PR!$AV126,IF(H128="PACIFIC",PR!$AW126,IF(H128="PHAMATEX",PR!$AX126,IF(H128="PETHICS",PR!$AY126,IF(H128="PHILIPS",PR!$AZ126,IF(H128="RANBAXY",PR!$BA126,IF(H128="REALS",PR!$BB126,IF(H128="ROYAL",PR!$BC126,IF(H128="SAM",PR!$BD126,IF(H128="SEAGREEN",PR!$BE126,IF(H128="SKG",PR!$BF126,IF(H128="TAH",PR!$BG126,IF(H128="TAYLEK",PR!$BH126,IF(H128="TEMITA",PR!$BI126,IF(H128="THL",PR!$BJ126,IF(H128="UBASTIC",PR!$BK126,IF(H128="UNION",PR!$BL126,IF(H128="UNIQUE",PR!$BM126,IF(H128="VIXA",PR!$BN126,IF(H128="WWCV",PR!$BO126,IF(H128="ZOLON",PR!$BP126,"-"))))))))))))))))))))))))))))))))))))))))))))))))))))))))))))))))</f>
        <v>3000</v>
      </c>
      <c r="H128" s="102" t="str">
        <f>EV!M150</f>
        <v>PHILIPS</v>
      </c>
      <c r="I128" s="108">
        <f>IF(J128="ALPHA",PR!$E126,IF(J128="ASSENE",PR!$F126,IF(J128="BIOFEM",PR!$G126,IF(J128="BIOMED",PR!$H126,IF(J128="CHI",PR!$I126,IF(J128="CLARION",PR!$J126,IF(J128="CODIX",PR!$K126,IF(J128="COSMADE",PR!$L126,IF(J128="SANCON",PR!$M126,IF(J128="DEVON",PR!$N126,IF(J128="DORTEMAG",PR!$O126,IF(J128="DGF",PR!$P126,IF(J128="DYNAMIC",PR!$Q126,IF(J128="EMZOR",PR!$R126,IF(J128="EUMATT",PR!$S126,IF(J128="FIDSON",PR!$T126,IF(J128="FCGLOBAL",PR!$U126,IF(J128="GENEITH",PR!$V126,IF(J128="GINOS",PR!$W126,IF(J128="GSK",PR!$X126,IF(J128="GLOBORG",PR!$Y126,IF(J128="GOODNEWS",PR!$Z126,IF(J128="GREENLIFE",PR!$AA126,IF(J128="HLINE",PR!$AB126,IF(J128="ROTECH",PR!$AC126,IF(J128="ISN",PR!$AD126,IF(J128="JAWA",PR!$AE126,IF(J128="LAYO",PR!$AF126,IF(J128="LEADWAY",PR!$AG126,IF(J128="LHV",PR!$AH126,IF(J128="MANOLA",PR!$AI126,IF(J128="MARCSON",PR!$AJ126,IF(J128="M&amp;B",PR!$AK126,IF(J128="MTRUST",PR!$AL126,IF(J128="MWORLD",PR!$AM126,IF(J128="MEGA",PR!$AN126,IF(J128="MICRONOVA",PR!$AO126,IF(J128="MFLASH",PR!$AP126,IF(J128="MORISON",PR!$AQ126,IF(J128="NEMEL",PR!$AR126,IF(J128="NHP",PR!$AS126,IF(J128="NHC",PR!$AT126,IF(J128="OLEAF",PR!$AU126,IF(J128="OCULUS",PR!$AV126,IF(J128="PACIFIC",PR!$AW126,IF(J128="PHAMATEX",PR!$AX126,IF(J128="PETHICS",PR!$AY126,IF(J128="PHILIPS",PR!$AZ126,IF(J128="RANBAXY",PR!$BA126,IF(J128="REALS",PR!$BB126,IF(J128="ROYAL",PR!$BC126,IF(J128="SAM",PR!$BD126,IF(J128="SEAGREEN",PR!$BE126,IF(J128="SKG",PR!$BF126,IF(J128="TAH",PR!$BG126,IF(J128="TAYLEK",PR!$BH126,IF(J128="TEMITA",PR!$BI126,IF(J128="THL",PR!$BJ126,IF(J128="UBASTIC",PR!$BK126,IF(J128="UNION",PR!$BL126,IF(J128="UNIQUE",PR!$BM126,IF(J128="VIXA",PR!$BN126,IF(J128="WWCV",PR!$BO126,IF(J128="ZOLON",PR!$BP126,"-"))))))))))))))))))))))))))))))))))))))))))))))))))))))))))))))))</f>
        <v>4350</v>
      </c>
      <c r="J128" s="102" t="str">
        <f>EV!N150</f>
        <v>EUMATT</v>
      </c>
      <c r="K128" s="433" t="s">
        <v>824</v>
      </c>
      <c r="L128" s="183">
        <f>IF(K128&gt;0,IF(K128="ALPHA",PR!$E126,IF(K128="ASSENE",PR!$F126,IF(K128="BIOFEM",PR!$G126,IF(K128="BIOMED",PR!$H126,IF(K128="CHI",PR!$I126,IF(K128="CLARION",PR!$J126,IF(K128="CODIX",PR!$K126,IF(K128="COSMADE",PR!$L126,IF(K128="SANCON",PR!$M126,IF(K128="DEVON",PR!$N126,IF(K128="DORTEMAG",PR!$O126,IF(K128="DGF",PR!$P126,IF(K128="DYNAMIC",PR!$Q126,IF(K128="EMZOR",PR!$R126,IF(K128="EUMATT",PR!$S126,IF(K128="FIDSON",PR!$T126,IF(K128="FCGLOBAL",PR!$U126,IF(K128="GENEITH",PR!$V126,IF(K128="GINOS",PR!$W126,IF(K128="GSK",PR!$X126,IF(K128="GLOBORG",PR!$Y126,IF(K128="GOODNEWS",PR!$Z126,IF(K128="GREENLIFE",PR!$AA126,IF(K128="HLINE",PR!$AB126,IF(K128="ROTECH",PR!$AC126,IF(K128="ISN",PR!$AD126,IF(K128="JAWA",PR!$AE126,IF(K128="LAYO",PR!$AF126,IF(K128="LEADWAY",PR!$AG126,IF(K128="LHV",PR!$AH126,IF(K128="MANOLA",PR!$AI126,IF(K128="MARCSON",PR!$AJ126,IF(K128="M&amp;B",PR!$AK126,IF(K128="MTRUST",PR!$AL126,IF(K128="MWORLD",PR!$AM126,IF(K128="MEGA",PR!$AN126,IF(K128="MICRONOVA",PR!$AO126,IF(K128="MFLASH",PR!$AP126,IF(K128="MORISON",PR!$AQ126,IF(K128="NEMEL",PR!$AR126,IF(K128="NHP",PR!$AS126,IF(K128="NHC",PR!$AT126,IF(K128="OLEAF",PR!$AU126,IF(K128="OCULUS",PR!$AV126,IF(K128="PACIFIC",PR!$AW126,IF(K128="PHAMATEX",PR!$AX126,IF(K128="PETHICS",PR!$AY126,IF(K128="PHILIPS",PR!$AZ126,IF(K128="RANBAXY",PR!$BA126,IF(K128="REALS",PR!$BB126,IF(K128="ROYAL",PR!$BC126,IF(K128="SAM",PR!$BD126,IF(K128="SEAGREEN",PR!$BE126,IF(K128="SKG",PR!$BF126,IF(K128="TAH",PR!$BG126,IF(K128="TAYLEK",PR!$BH126,IF(K128="TEMITA",PR!$BI126,IF(K128="THL",PR!$BJ126,IF(K128="UBASTIC",PR!$BK126,IF(K128="UNION",PR!$BL126,IF(K128="UNIQUE",PR!$BM126,IF(K128="VIXA",PR!$BN126,IF(K128="WWCV",PR!$BO126,IF(K128="ZOLON",PR!$BP126,"-")))))))))))))))))))))))))))))))))))))))))))))))))))))))))))))))))</f>
        <v>1866.6666666666667</v>
      </c>
    </row>
    <row r="129" spans="1:12" ht="18.75" x14ac:dyDescent="0.3">
      <c r="A129" s="430">
        <f>PR!A127</f>
        <v>111</v>
      </c>
      <c r="B129" s="15" t="str">
        <f>PR!B127</f>
        <v>TORSEMIDE 100MG TAB</v>
      </c>
      <c r="C129" s="113">
        <f>PR!D127</f>
        <v>30</v>
      </c>
      <c r="D129" s="113">
        <f>PR!C127</f>
        <v>20</v>
      </c>
      <c r="E129" s="108">
        <f>IF(F129="ALPHA",PR!$E127,IF(F129="ASSENE",PR!$F127,IF(F129="BIOFEM",PR!$G127,IF(F129="BIOMED",PR!$H127,IF(F129="CHI",PR!$I127,IF(F129="CLARION",PR!$J127,IF(F129="CODIX",PR!$K127,IF(F129="COSMADE",PR!$L127,IF(F129="SANCON",PR!$M127,IF(F129="DEVON",PR!$N127,IF(F129="DORTEMAG",PR!$O127,IF(F129="DGF",PR!$P127,IF(F129="DYNAMIC",PR!$Q127,IF(F129="EMZOR",PR!$R127,IF(F129="EUMATT",PR!$S127,IF(F129="FIDSON",PR!$T127,IF(F129="FCGLOBAL",PR!$U127,IF(F129="GENEITH",PR!$V127,IF(F129="GINOS",PR!$W127,IF(F129="GSK",PR!$X127,IF(F129="GLOBORG",PR!$Y127,IF(F129="GOODNEWS",PR!$Z127,IF(F129="GREENLIFE",PR!$AA127,IF(F129="HLINE",PR!$AB127,IF(F129="ROTECH",PR!$AC127,IF(F129="ISN",PR!$AD127,IF(F129="JAWA",PR!$AE127,IF(F129="LAYO",PR!$AF127,IF(F129="LEADWAY",PR!$AG127,IF(F129="LHV",PR!$AH127,IF(F129="MANOLA",PR!$AI127,IF(F129="MARCSON",PR!$AJ127,IF(F129="M&amp;B",PR!$AK127,IF(F129="MTRUST",PR!$AL127,IF(F129="MWORLD",PR!$AM127,IF(F129="MEGA",PR!$AN127,IF(F129="MICRONOVA",PR!$AO127,IF(F129="MFLASH",PR!$AP127,IF(F129="MORISON",PR!$AQ127,IF(F129="NEMEL",PR!$AR127,IF(F129="NHP",PR!$AS127,IF(F129="NHC",PR!$AT127,IF(F129="OLEAF",PR!$AU127,IF(F129="OCULUS",PR!$AV127,IF(F129="PACIFIC",PR!$AW127,IF(F129="PHAMATEX",PR!$AX127,IF(F129="PETHICS",PR!$AY127,IF(F129="PHILIPS",PR!$AZ127,IF(F129="RANBAXY",PR!$BA127,IF(F129="REALS",PR!$BB127,IF(F129="ROYAL",PR!$BC127,IF(F129="SAM",PR!$BD127,IF(F129="SEAGREEN",PR!$BE127,IF(F129="SKG",PR!$BF127,IF(F129="TAH",PR!$BG127,IF(F129="TAYLEK",PR!$BH127,IF(F129="TEMITA",PR!$BI127,IF(F129="THL",PR!$BJ127,IF(F129="UBASTIC",PR!$BK127,IF(F129="UNION",PR!$BL127,IF(F129="UNIQUE",PR!$BM127,IF(F129="VIXA",PR!$BN127,IF(F129="WWCV",PR!$BO127,IF(F129="ZOLON",PR!$BP127,"-"))))))))))))))))))))))))))))))))))))))))))))))))))))))))))))))))</f>
        <v>1541</v>
      </c>
      <c r="F129" s="102" t="str">
        <f>EV!L151</f>
        <v>MICRONOVA</v>
      </c>
      <c r="G129" s="108">
        <f>IF(H129="ALPHA",PR!$E127,IF(H129="ASSENE",PR!$F127,IF(H129="BIOFEM",PR!$G127,IF(H129="BIOMED",PR!$H127,IF(H129="CHI",PR!$I127,IF(H129="CLARION",PR!$J127,IF(H129="CODIX",PR!$K127,IF(H129="COSMADE",PR!$L127,IF(H129="SANCON",PR!$M127,IF(H129="DEVON",PR!$N127,IF(H129="DORTEMAG",PR!$O127,IF(H129="DGF",PR!$P127,IF(H129="DYNAMIC",PR!$Q127,IF(H129="EMZOR",PR!$R127,IF(H129="EUMATT",PR!$S127,IF(H129="FIDSON",PR!$T127,IF(H129="FCGLOBAL",PR!$U127,IF(H129="GENEITH",PR!$V127,IF(H129="GINOS",PR!$W127,IF(H129="GSK",PR!$X127,IF(H129="GLOBORG",PR!$Y127,IF(H129="GOODNEWS",PR!$Z127,IF(H129="GREENLIFE",PR!$AA127,IF(H129="HLINE",PR!$AB127,IF(H129="ROTECH",PR!$AC127,IF(H129="ISN",PR!$AD127,IF(H129="JAWA",PR!$AE127,IF(H129="LAYO",PR!$AF127,IF(H129="LEADWAY",PR!$AG127,IF(H129="LHV",PR!$AH127,IF(H129="MANOLA",PR!$AI127,IF(H129="MARCSON",PR!$AJ127,IF(H129="M&amp;B",PR!$AK127,IF(H129="MTRUST",PR!$AL127,IF(H129="MWORLD",PR!$AM127,IF(H129="MEGA",PR!$AN127,IF(H129="MICRONOVA",PR!$AO127,IF(H129="MFLASH",PR!$AP127,IF(H129="MORISON",PR!$AQ127,IF(H129="NEMEL",PR!$AR127,IF(H129="NHP",PR!$AS127,IF(H129="NHC",PR!$AT127,IF(H129="OLEAF",PR!$AU127,IF(H129="OCULUS",PR!$AV127,IF(H129="PACIFIC",PR!$AW127,IF(H129="PHAMATEX",PR!$AX127,IF(H129="PETHICS",PR!$AY127,IF(H129="PHILIPS",PR!$AZ127,IF(H129="RANBAXY",PR!$BA127,IF(H129="REALS",PR!$BB127,IF(H129="ROYAL",PR!$BC127,IF(H129="SAM",PR!$BD127,IF(H129="SEAGREEN",PR!$BE127,IF(H129="SKG",PR!$BF127,IF(H129="TAH",PR!$BG127,IF(H129="TAYLEK",PR!$BH127,IF(H129="TEMITA",PR!$BI127,IF(H129="THL",PR!$BJ127,IF(H129="UBASTIC",PR!$BK127,IF(H129="UNION",PR!$BL127,IF(H129="UNIQUE",PR!$BM127,IF(H129="VIXA",PR!$BN127,IF(H129="WWCV",PR!$BO127,IF(H129="ZOLON",PR!$BP127,"-"))))))))))))))))))))))))))))))))))))))))))))))))))))))))))))))))</f>
        <v>1900</v>
      </c>
      <c r="H129" s="102" t="str">
        <f>EV!M151</f>
        <v>EUMATT</v>
      </c>
      <c r="I129" s="108" t="str">
        <f>IF(J129="ALPHA",PR!$E127,IF(J129="ASSENE",PR!$F127,IF(J129="BIOFEM",PR!$G127,IF(J129="BIOMED",PR!$H127,IF(J129="CHI",PR!$I127,IF(J129="CLARION",PR!$J127,IF(J129="CODIX",PR!$K127,IF(J129="COSMADE",PR!$L127,IF(J129="SANCON",PR!$M127,IF(J129="DEVON",PR!$N127,IF(J129="DORTEMAG",PR!$O127,IF(J129="DGF",PR!$P127,IF(J129="DYNAMIC",PR!$Q127,IF(J129="EMZOR",PR!$R127,IF(J129="EUMATT",PR!$S127,IF(J129="FIDSON",PR!$T127,IF(J129="FCGLOBAL",PR!$U127,IF(J129="GENEITH",PR!$V127,IF(J129="GINOS",PR!$W127,IF(J129="GSK",PR!$X127,IF(J129="GLOBORG",PR!$Y127,IF(J129="GOODNEWS",PR!$Z127,IF(J129="GREENLIFE",PR!$AA127,IF(J129="HLINE",PR!$AB127,IF(J129="ROTECH",PR!$AC127,IF(J129="ISN",PR!$AD127,IF(J129="JAWA",PR!$AE127,IF(J129="LAYO",PR!$AF127,IF(J129="LEADWAY",PR!$AG127,IF(J129="LHV",PR!$AH127,IF(J129="MANOLA",PR!$AI127,IF(J129="MARCSON",PR!$AJ127,IF(J129="M&amp;B",PR!$AK127,IF(J129="MTRUST",PR!$AL127,IF(J129="MWORLD",PR!$AM127,IF(J129="MEGA",PR!$AN127,IF(J129="MICRONOVA",PR!$AO127,IF(J129="MFLASH",PR!$AP127,IF(J129="MORISON",PR!$AQ127,IF(J129="NEMEL",PR!$AR127,IF(J129="NHP",PR!$AS127,IF(J129="NHC",PR!$AT127,IF(J129="OLEAF",PR!$AU127,IF(J129="OCULUS",PR!$AV127,IF(J129="PACIFIC",PR!$AW127,IF(J129="PHAMATEX",PR!$AX127,IF(J129="PETHICS",PR!$AY127,IF(J129="PHILIPS",PR!$AZ127,IF(J129="RANBAXY",PR!$BA127,IF(J129="REALS",PR!$BB127,IF(J129="ROYAL",PR!$BC127,IF(J129="SAM",PR!$BD127,IF(J129="SEAGREEN",PR!$BE127,IF(J129="SKG",PR!$BF127,IF(J129="TAH",PR!$BG127,IF(J129="TAYLEK",PR!$BH127,IF(J129="TEMITA",PR!$BI127,IF(J129="THL",PR!$BJ127,IF(J129="UBASTIC",PR!$BK127,IF(J129="UNION",PR!$BL127,IF(J129="UNIQUE",PR!$BM127,IF(J129="VIXA",PR!$BN127,IF(J129="WWCV",PR!$BO127,IF(J129="ZOLON",PR!$BP127,"-"))))))))))))))))))))))))))))))))))))))))))))))))))))))))))))))))</f>
        <v>-</v>
      </c>
      <c r="J129" s="102">
        <f>EV!N151</f>
        <v>0</v>
      </c>
      <c r="K129" s="433" t="s">
        <v>632</v>
      </c>
      <c r="L129" s="183">
        <f>IF(K129&gt;0,IF(K129="ALPHA",PR!$E127,IF(K129="ASSENE",PR!$F127,IF(K129="BIOFEM",PR!$G127,IF(K129="BIOMED",PR!$H127,IF(K129="CHI",PR!$I127,IF(K129="CLARION",PR!$J127,IF(K129="CODIX",PR!$K127,IF(K129="COSMADE",PR!$L127,IF(K129="SANCON",PR!$M127,IF(K129="DEVON",PR!$N127,IF(K129="DORTEMAG",PR!$O127,IF(K129="DGF",PR!$P127,IF(K129="DYNAMIC",PR!$Q127,IF(K129="EMZOR",PR!$R127,IF(K129="EUMATT",PR!$S127,IF(K129="FIDSON",PR!$T127,IF(K129="FCGLOBAL",PR!$U127,IF(K129="GENEITH",PR!$V127,IF(K129="GINOS",PR!$W127,IF(K129="GSK",PR!$X127,IF(K129="GLOBORG",PR!$Y127,IF(K129="GOODNEWS",PR!$Z127,IF(K129="GREENLIFE",PR!$AA127,IF(K129="HLINE",PR!$AB127,IF(K129="ROTECH",PR!$AC127,IF(K129="ISN",PR!$AD127,IF(K129="JAWA",PR!$AE127,IF(K129="LAYO",PR!$AF127,IF(K129="LEADWAY",PR!$AG127,IF(K129="LHV",PR!$AH127,IF(K129="MANOLA",PR!$AI127,IF(K129="MARCSON",PR!$AJ127,IF(K129="M&amp;B",PR!$AK127,IF(K129="MTRUST",PR!$AL127,IF(K129="MWORLD",PR!$AM127,IF(K129="MEGA",PR!$AN127,IF(K129="MICRONOVA",PR!$AO127,IF(K129="MFLASH",PR!$AP127,IF(K129="MORISON",PR!$AQ127,IF(K129="NEMEL",PR!$AR127,IF(K129="NHP",PR!$AS127,IF(K129="NHC",PR!$AT127,IF(K129="OLEAF",PR!$AU127,IF(K129="OCULUS",PR!$AV127,IF(K129="PACIFIC",PR!$AW127,IF(K129="PHAMATEX",PR!$AX127,IF(K129="PETHICS",PR!$AY127,IF(K129="PHILIPS",PR!$AZ127,IF(K129="RANBAXY",PR!$BA127,IF(K129="REALS",PR!$BB127,IF(K129="ROYAL",PR!$BC127,IF(K129="SAM",PR!$BD127,IF(K129="SEAGREEN",PR!$BE127,IF(K129="SKG",PR!$BF127,IF(K129="TAH",PR!$BG127,IF(K129="TAYLEK",PR!$BH127,IF(K129="TEMITA",PR!$BI127,IF(K129="THL",PR!$BJ127,IF(K129="UBASTIC",PR!$BK127,IF(K129="UNION",PR!$BL127,IF(K129="UNIQUE",PR!$BM127,IF(K129="VIXA",PR!$BN127,IF(K129="WWCV",PR!$BO127,IF(K129="ZOLON",PR!$BP127,"-")))))))))))))))))))))))))))))))))))))))))))))))))))))))))))))))))</f>
        <v>1541</v>
      </c>
    </row>
    <row r="130" spans="1:12" ht="18.75" x14ac:dyDescent="0.3">
      <c r="A130" s="430">
        <f>PR!A128</f>
        <v>112</v>
      </c>
      <c r="B130" s="15" t="str">
        <f>PR!B128</f>
        <v>TORSEMIDE 10MG TAB</v>
      </c>
      <c r="C130" s="113">
        <f>PR!D128</f>
        <v>30</v>
      </c>
      <c r="D130" s="113">
        <f>PR!C128</f>
        <v>500</v>
      </c>
      <c r="E130" s="108">
        <f>IF(F130="ALPHA",PR!$E128,IF(F130="ASSENE",PR!$F128,IF(F130="BIOFEM",PR!$G128,IF(F130="BIOMED",PR!$H128,IF(F130="CHI",PR!$I128,IF(F130="CLARION",PR!$J128,IF(F130="CODIX",PR!$K128,IF(F130="COSMADE",PR!$L128,IF(F130="SANCON",PR!$M128,IF(F130="DEVON",PR!$N128,IF(F130="DORTEMAG",PR!$O128,IF(F130="DGF",PR!$P128,IF(F130="DYNAMIC",PR!$Q128,IF(F130="EMZOR",PR!$R128,IF(F130="EUMATT",PR!$S128,IF(F130="FIDSON",PR!$T128,IF(F130="FCGLOBAL",PR!$U128,IF(F130="GENEITH",PR!$V128,IF(F130="GINOS",PR!$W128,IF(F130="GSK",PR!$X128,IF(F130="GLOBORG",PR!$Y128,IF(F130="GOODNEWS",PR!$Z128,IF(F130="GREENLIFE",PR!$AA128,IF(F130="HLINE",PR!$AB128,IF(F130="ROTECH",PR!$AC128,IF(F130="ISN",PR!$AD128,IF(F130="JAWA",PR!$AE128,IF(F130="LAYO",PR!$AF128,IF(F130="LEADWAY",PR!$AG128,IF(F130="LHV",PR!$AH128,IF(F130="MANOLA",PR!$AI128,IF(F130="MARCSON",PR!$AJ128,IF(F130="M&amp;B",PR!$AK128,IF(F130="MTRUST",PR!$AL128,IF(F130="MWORLD",PR!$AM128,IF(F130="MEGA",PR!$AN128,IF(F130="MICRONOVA",PR!$AO128,IF(F130="MFLASH",PR!$AP128,IF(F130="MORISON",PR!$AQ128,IF(F130="NEMEL",PR!$AR128,IF(F130="NHP",PR!$AS128,IF(F130="NHC",PR!$AT128,IF(F130="OLEAF",PR!$AU128,IF(F130="OCULUS",PR!$AV128,IF(F130="PACIFIC",PR!$AW128,IF(F130="PHAMATEX",PR!$AX128,IF(F130="PETHICS",PR!$AY128,IF(F130="PHILIPS",PR!$AZ128,IF(F130="RANBAXY",PR!$BA128,IF(F130="REALS",PR!$BB128,IF(F130="ROYAL",PR!$BC128,IF(F130="SAM",PR!$BD128,IF(F130="SEAGREEN",PR!$BE128,IF(F130="SKG",PR!$BF128,IF(F130="TAH",PR!$BG128,IF(F130="TAYLEK",PR!$BH128,IF(F130="TEMITA",PR!$BI128,IF(F130="THL",PR!$BJ128,IF(F130="UBASTIC",PR!$BK128,IF(F130="UNION",PR!$BL128,IF(F130="UNIQUE",PR!$BM128,IF(F130="VIXA",PR!$BN128,IF(F130="WWCV",PR!$BO128,IF(F130="ZOLON",PR!$BP128,"-"))))))))))))))))))))))))))))))))))))))))))))))))))))))))))))))))</f>
        <v>899</v>
      </c>
      <c r="F130" s="102" t="str">
        <f>EV!L152</f>
        <v>MICRONOVA</v>
      </c>
      <c r="G130" s="108">
        <f>IF(H130="ALPHA",PR!$E128,IF(H130="ASSENE",PR!$F128,IF(H130="BIOFEM",PR!$G128,IF(H130="BIOMED",PR!$H128,IF(H130="CHI",PR!$I128,IF(H130="CLARION",PR!$J128,IF(H130="CODIX",PR!$K128,IF(H130="COSMADE",PR!$L128,IF(H130="SANCON",PR!$M128,IF(H130="DEVON",PR!$N128,IF(H130="DORTEMAG",PR!$O128,IF(H130="DGF",PR!$P128,IF(H130="DYNAMIC",PR!$Q128,IF(H130="EMZOR",PR!$R128,IF(H130="EUMATT",PR!$S128,IF(H130="FIDSON",PR!$T128,IF(H130="FCGLOBAL",PR!$U128,IF(H130="GENEITH",PR!$V128,IF(H130="GINOS",PR!$W128,IF(H130="GSK",PR!$X128,IF(H130="GLOBORG",PR!$Y128,IF(H130="GOODNEWS",PR!$Z128,IF(H130="GREENLIFE",PR!$AA128,IF(H130="HLINE",PR!$AB128,IF(H130="ROTECH",PR!$AC128,IF(H130="ISN",PR!$AD128,IF(H130="JAWA",PR!$AE128,IF(H130="LAYO",PR!$AF128,IF(H130="LEADWAY",PR!$AG128,IF(H130="LHV",PR!$AH128,IF(H130="MANOLA",PR!$AI128,IF(H130="MARCSON",PR!$AJ128,IF(H130="M&amp;B",PR!$AK128,IF(H130="MTRUST",PR!$AL128,IF(H130="MWORLD",PR!$AM128,IF(H130="MEGA",PR!$AN128,IF(H130="MICRONOVA",PR!$AO128,IF(H130="MFLASH",PR!$AP128,IF(H130="MORISON",PR!$AQ128,IF(H130="NEMEL",PR!$AR128,IF(H130="NHP",PR!$AS128,IF(H130="NHC",PR!$AT128,IF(H130="OLEAF",PR!$AU128,IF(H130="OCULUS",PR!$AV128,IF(H130="PACIFIC",PR!$AW128,IF(H130="PHAMATEX",PR!$AX128,IF(H130="PETHICS",PR!$AY128,IF(H130="PHILIPS",PR!$AZ128,IF(H130="RANBAXY",PR!$BA128,IF(H130="REALS",PR!$BB128,IF(H130="ROYAL",PR!$BC128,IF(H130="SAM",PR!$BD128,IF(H130="SEAGREEN",PR!$BE128,IF(H130="SKG",PR!$BF128,IF(H130="TAH",PR!$BG128,IF(H130="TAYLEK",PR!$BH128,IF(H130="TEMITA",PR!$BI128,IF(H130="THL",PR!$BJ128,IF(H130="UBASTIC",PR!$BK128,IF(H130="UNION",PR!$BL128,IF(H130="UNIQUE",PR!$BM128,IF(H130="VIXA",PR!$BN128,IF(H130="WWCV",PR!$BO128,IF(H130="ZOLON",PR!$BP128,"-"))))))))))))))))))))))))))))))))))))))))))))))))))))))))))))))))</f>
        <v>1300</v>
      </c>
      <c r="H130" s="102" t="str">
        <f>EV!M152</f>
        <v>EUMATT</v>
      </c>
      <c r="I130" s="108" t="str">
        <f>IF(J130="ALPHA",PR!$E128,IF(J130="ASSENE",PR!$F128,IF(J130="BIOFEM",PR!$G128,IF(J130="BIOMED",PR!$H128,IF(J130="CHI",PR!$I128,IF(J130="CLARION",PR!$J128,IF(J130="CODIX",PR!$K128,IF(J130="COSMADE",PR!$L128,IF(J130="SANCON",PR!$M128,IF(J130="DEVON",PR!$N128,IF(J130="DORTEMAG",PR!$O128,IF(J130="DGF",PR!$P128,IF(J130="DYNAMIC",PR!$Q128,IF(J130="EMZOR",PR!$R128,IF(J130="EUMATT",PR!$S128,IF(J130="FIDSON",PR!$T128,IF(J130="FCGLOBAL",PR!$U128,IF(J130="GENEITH",PR!$V128,IF(J130="GINOS",PR!$W128,IF(J130="GSK",PR!$X128,IF(J130="GLOBORG",PR!$Y128,IF(J130="GOODNEWS",PR!$Z128,IF(J130="GREENLIFE",PR!$AA128,IF(J130="HLINE",PR!$AB128,IF(J130="ROTECH",PR!$AC128,IF(J130="ISN",PR!$AD128,IF(J130="JAWA",PR!$AE128,IF(J130="LAYO",PR!$AF128,IF(J130="LEADWAY",PR!$AG128,IF(J130="LHV",PR!$AH128,IF(J130="MANOLA",PR!$AI128,IF(J130="MARCSON",PR!$AJ128,IF(J130="M&amp;B",PR!$AK128,IF(J130="MTRUST",PR!$AL128,IF(J130="MWORLD",PR!$AM128,IF(J130="MEGA",PR!$AN128,IF(J130="MICRONOVA",PR!$AO128,IF(J130="MFLASH",PR!$AP128,IF(J130="MORISON",PR!$AQ128,IF(J130="NEMEL",PR!$AR128,IF(J130="NHP",PR!$AS128,IF(J130="NHC",PR!$AT128,IF(J130="OLEAF",PR!$AU128,IF(J130="OCULUS",PR!$AV128,IF(J130="PACIFIC",PR!$AW128,IF(J130="PHAMATEX",PR!$AX128,IF(J130="PETHICS",PR!$AY128,IF(J130="PHILIPS",PR!$AZ128,IF(J130="RANBAXY",PR!$BA128,IF(J130="REALS",PR!$BB128,IF(J130="ROYAL",PR!$BC128,IF(J130="SAM",PR!$BD128,IF(J130="SEAGREEN",PR!$BE128,IF(J130="SKG",PR!$BF128,IF(J130="TAH",PR!$BG128,IF(J130="TAYLEK",PR!$BH128,IF(J130="TEMITA",PR!$BI128,IF(J130="THL",PR!$BJ128,IF(J130="UBASTIC",PR!$BK128,IF(J130="UNION",PR!$BL128,IF(J130="UNIQUE",PR!$BM128,IF(J130="VIXA",PR!$BN128,IF(J130="WWCV",PR!$BO128,IF(J130="ZOLON",PR!$BP128,"-"))))))))))))))))))))))))))))))))))))))))))))))))))))))))))))))))</f>
        <v>-</v>
      </c>
      <c r="J130" s="102">
        <f>EV!N152</f>
        <v>0</v>
      </c>
      <c r="K130" s="433" t="s">
        <v>632</v>
      </c>
      <c r="L130" s="183">
        <f>IF(K130&gt;0,IF(K130="ALPHA",PR!$E128,IF(K130="ASSENE",PR!$F128,IF(K130="BIOFEM",PR!$G128,IF(K130="BIOMED",PR!$H128,IF(K130="CHI",PR!$I128,IF(K130="CLARION",PR!$J128,IF(K130="CODIX",PR!$K128,IF(K130="COSMADE",PR!$L128,IF(K130="SANCON",PR!$M128,IF(K130="DEVON",PR!$N128,IF(K130="DORTEMAG",PR!$O128,IF(K130="DGF",PR!$P128,IF(K130="DYNAMIC",PR!$Q128,IF(K130="EMZOR",PR!$R128,IF(K130="EUMATT",PR!$S128,IF(K130="FIDSON",PR!$T128,IF(K130="FCGLOBAL",PR!$U128,IF(K130="GENEITH",PR!$V128,IF(K130="GINOS",PR!$W128,IF(K130="GSK",PR!$X128,IF(K130="GLOBORG",PR!$Y128,IF(K130="GOODNEWS",PR!$Z128,IF(K130="GREENLIFE",PR!$AA128,IF(K130="HLINE",PR!$AB128,IF(K130="ROTECH",PR!$AC128,IF(K130="ISN",PR!$AD128,IF(K130="JAWA",PR!$AE128,IF(K130="LAYO",PR!$AF128,IF(K130="LEADWAY",PR!$AG128,IF(K130="LHV",PR!$AH128,IF(K130="MANOLA",PR!$AI128,IF(K130="MARCSON",PR!$AJ128,IF(K130="M&amp;B",PR!$AK128,IF(K130="MTRUST",PR!$AL128,IF(K130="MWORLD",PR!$AM128,IF(K130="MEGA",PR!$AN128,IF(K130="MICRONOVA",PR!$AO128,IF(K130="MFLASH",PR!$AP128,IF(K130="MORISON",PR!$AQ128,IF(K130="NEMEL",PR!$AR128,IF(K130="NHP",PR!$AS128,IF(K130="NHC",PR!$AT128,IF(K130="OLEAF",PR!$AU128,IF(K130="OCULUS",PR!$AV128,IF(K130="PACIFIC",PR!$AW128,IF(K130="PHAMATEX",PR!$AX128,IF(K130="PETHICS",PR!$AY128,IF(K130="PHILIPS",PR!$AZ128,IF(K130="RANBAXY",PR!$BA128,IF(K130="REALS",PR!$BB128,IF(K130="ROYAL",PR!$BC128,IF(K130="SAM",PR!$BD128,IF(K130="SEAGREEN",PR!$BE128,IF(K130="SKG",PR!$BF128,IF(K130="TAH",PR!$BG128,IF(K130="TAYLEK",PR!$BH128,IF(K130="TEMITA",PR!$BI128,IF(K130="THL",PR!$BJ128,IF(K130="UBASTIC",PR!$BK128,IF(K130="UNION",PR!$BL128,IF(K130="UNIQUE",PR!$BM128,IF(K130="VIXA",PR!$BN128,IF(K130="WWCV",PR!$BO128,IF(K130="ZOLON",PR!$BP128,"-")))))))))))))))))))))))))))))))))))))))))))))))))))))))))))))))))</f>
        <v>899</v>
      </c>
    </row>
    <row r="131" spans="1:12" ht="18.75" x14ac:dyDescent="0.3">
      <c r="A131" s="430">
        <f>PR!A129</f>
        <v>113</v>
      </c>
      <c r="B131" s="15" t="str">
        <f>PR!B129</f>
        <v>TORSEMIDE 20MG TAB</v>
      </c>
      <c r="C131" s="113">
        <f>PR!D129</f>
        <v>30</v>
      </c>
      <c r="D131" s="113">
        <f>PR!C129</f>
        <v>400</v>
      </c>
      <c r="E131" s="108">
        <f>IF(F131="ALPHA",PR!$E129,IF(F131="ASSENE",PR!$F129,IF(F131="BIOFEM",PR!$G129,IF(F131="BIOMED",PR!$H129,IF(F131="CHI",PR!$I129,IF(F131="CLARION",PR!$J129,IF(F131="CODIX",PR!$K129,IF(F131="COSMADE",PR!$L129,IF(F131="SANCON",PR!$M129,IF(F131="DEVON",PR!$N129,IF(F131="DORTEMAG",PR!$O129,IF(F131="DGF",PR!$P129,IF(F131="DYNAMIC",PR!$Q129,IF(F131="EMZOR",PR!$R129,IF(F131="EUMATT",PR!$S129,IF(F131="FIDSON",PR!$T129,IF(F131="FCGLOBAL",PR!$U129,IF(F131="GENEITH",PR!$V129,IF(F131="GINOS",PR!$W129,IF(F131="GSK",PR!$X129,IF(F131="GLOBORG",PR!$Y129,IF(F131="GOODNEWS",PR!$Z129,IF(F131="GREENLIFE",PR!$AA129,IF(F131="HLINE",PR!$AB129,IF(F131="ROTECH",PR!$AC129,IF(F131="ISN",PR!$AD129,IF(F131="JAWA",PR!$AE129,IF(F131="LAYO",PR!$AF129,IF(F131="LEADWAY",PR!$AG129,IF(F131="LHV",PR!$AH129,IF(F131="MANOLA",PR!$AI129,IF(F131="MARCSON",PR!$AJ129,IF(F131="M&amp;B",PR!$AK129,IF(F131="MTRUST",PR!$AL129,IF(F131="MWORLD",PR!$AM129,IF(F131="MEGA",PR!$AN129,IF(F131="MICRONOVA",PR!$AO129,IF(F131="MFLASH",PR!$AP129,IF(F131="MORISON",PR!$AQ129,IF(F131="NEMEL",PR!$AR129,IF(F131="NHP",PR!$AS129,IF(F131="NHC",PR!$AT129,IF(F131="OLEAF",PR!$AU129,IF(F131="OCULUS",PR!$AV129,IF(F131="PACIFIC",PR!$AW129,IF(F131="PHAMATEX",PR!$AX129,IF(F131="PETHICS",PR!$AY129,IF(F131="PHILIPS",PR!$AZ129,IF(F131="RANBAXY",PR!$BA129,IF(F131="REALS",PR!$BB129,IF(F131="ROYAL",PR!$BC129,IF(F131="SAM",PR!$BD129,IF(F131="SEAGREEN",PR!$BE129,IF(F131="SKG",PR!$BF129,IF(F131="TAH",PR!$BG129,IF(F131="TAYLEK",PR!$BH129,IF(F131="TEMITA",PR!$BI129,IF(F131="THL",PR!$BJ129,IF(F131="UBASTIC",PR!$BK129,IF(F131="UNION",PR!$BL129,IF(F131="UNIQUE",PR!$BM129,IF(F131="VIXA",PR!$BN129,IF(F131="WWCV",PR!$BO129,IF(F131="ZOLON",PR!$BP129,"-"))))))))))))))))))))))))))))))))))))))))))))))))))))))))))))))))</f>
        <v>1290</v>
      </c>
      <c r="F131" s="102" t="str">
        <f>EV!L153</f>
        <v>MICRONOVA</v>
      </c>
      <c r="G131" s="108">
        <f>IF(H131="ALPHA",PR!$E129,IF(H131="ASSENE",PR!$F129,IF(H131="BIOFEM",PR!$G129,IF(H131="BIOMED",PR!$H129,IF(H131="CHI",PR!$I129,IF(H131="CLARION",PR!$J129,IF(H131="CODIX",PR!$K129,IF(H131="COSMADE",PR!$L129,IF(H131="SANCON",PR!$M129,IF(H131="DEVON",PR!$N129,IF(H131="DORTEMAG",PR!$O129,IF(H131="DGF",PR!$P129,IF(H131="DYNAMIC",PR!$Q129,IF(H131="EMZOR",PR!$R129,IF(H131="EUMATT",PR!$S129,IF(H131="FIDSON",PR!$T129,IF(H131="FCGLOBAL",PR!$U129,IF(H131="GENEITH",PR!$V129,IF(H131="GINOS",PR!$W129,IF(H131="GSK",PR!$X129,IF(H131="GLOBORG",PR!$Y129,IF(H131="GOODNEWS",PR!$Z129,IF(H131="GREENLIFE",PR!$AA129,IF(H131="HLINE",PR!$AB129,IF(H131="ROTECH",PR!$AC129,IF(H131="ISN",PR!$AD129,IF(H131="JAWA",PR!$AE129,IF(H131="LAYO",PR!$AF129,IF(H131="LEADWAY",PR!$AG129,IF(H131="LHV",PR!$AH129,IF(H131="MANOLA",PR!$AI129,IF(H131="MARCSON",PR!$AJ129,IF(H131="M&amp;B",PR!$AK129,IF(H131="MTRUST",PR!$AL129,IF(H131="MWORLD",PR!$AM129,IF(H131="MEGA",PR!$AN129,IF(H131="MICRONOVA",PR!$AO129,IF(H131="MFLASH",PR!$AP129,IF(H131="MORISON",PR!$AQ129,IF(H131="NEMEL",PR!$AR129,IF(H131="NHP",PR!$AS129,IF(H131="NHC",PR!$AT129,IF(H131="OLEAF",PR!$AU129,IF(H131="OCULUS",PR!$AV129,IF(H131="PACIFIC",PR!$AW129,IF(H131="PHAMATEX",PR!$AX129,IF(H131="PETHICS",PR!$AY129,IF(H131="PHILIPS",PR!$AZ129,IF(H131="RANBAXY",PR!$BA129,IF(H131="REALS",PR!$BB129,IF(H131="ROYAL",PR!$BC129,IF(H131="SAM",PR!$BD129,IF(H131="SEAGREEN",PR!$BE129,IF(H131="SKG",PR!$BF129,IF(H131="TAH",PR!$BG129,IF(H131="TAYLEK",PR!$BH129,IF(H131="TEMITA",PR!$BI129,IF(H131="THL",PR!$BJ129,IF(H131="UBASTIC",PR!$BK129,IF(H131="UNION",PR!$BL129,IF(H131="UNIQUE",PR!$BM129,IF(H131="VIXA",PR!$BN129,IF(H131="WWCV",PR!$BO129,IF(H131="ZOLON",PR!$BP129,"-"))))))))))))))))))))))))))))))))))))))))))))))))))))))))))))))))</f>
        <v>1700</v>
      </c>
      <c r="H131" s="102" t="str">
        <f>EV!M153</f>
        <v>EUMATT</v>
      </c>
      <c r="I131" s="108" t="str">
        <f>IF(J131="ALPHA",PR!$E129,IF(J131="ASSENE",PR!$F129,IF(J131="BIOFEM",PR!$G129,IF(J131="BIOMED",PR!$H129,IF(J131="CHI",PR!$I129,IF(J131="CLARION",PR!$J129,IF(J131="CODIX",PR!$K129,IF(J131="COSMADE",PR!$L129,IF(J131="SANCON",PR!$M129,IF(J131="DEVON",PR!$N129,IF(J131="DORTEMAG",PR!$O129,IF(J131="DGF",PR!$P129,IF(J131="DYNAMIC",PR!$Q129,IF(J131="EMZOR",PR!$R129,IF(J131="EUMATT",PR!$S129,IF(J131="FIDSON",PR!$T129,IF(J131="FCGLOBAL",PR!$U129,IF(J131="GENEITH",PR!$V129,IF(J131="GINOS",PR!$W129,IF(J131="GSK",PR!$X129,IF(J131="GLOBORG",PR!$Y129,IF(J131="GOODNEWS",PR!$Z129,IF(J131="GREENLIFE",PR!$AA129,IF(J131="HLINE",PR!$AB129,IF(J131="ROTECH",PR!$AC129,IF(J131="ISN",PR!$AD129,IF(J131="JAWA",PR!$AE129,IF(J131="LAYO",PR!$AF129,IF(J131="LEADWAY",PR!$AG129,IF(J131="LHV",PR!$AH129,IF(J131="MANOLA",PR!$AI129,IF(J131="MARCSON",PR!$AJ129,IF(J131="M&amp;B",PR!$AK129,IF(J131="MTRUST",PR!$AL129,IF(J131="MWORLD",PR!$AM129,IF(J131="MEGA",PR!$AN129,IF(J131="MICRONOVA",PR!$AO129,IF(J131="MFLASH",PR!$AP129,IF(J131="MORISON",PR!$AQ129,IF(J131="NEMEL",PR!$AR129,IF(J131="NHP",PR!$AS129,IF(J131="NHC",PR!$AT129,IF(J131="OLEAF",PR!$AU129,IF(J131="OCULUS",PR!$AV129,IF(J131="PACIFIC",PR!$AW129,IF(J131="PHAMATEX",PR!$AX129,IF(J131="PETHICS",PR!$AY129,IF(J131="PHILIPS",PR!$AZ129,IF(J131="RANBAXY",PR!$BA129,IF(J131="REALS",PR!$BB129,IF(J131="ROYAL",PR!$BC129,IF(J131="SAM",PR!$BD129,IF(J131="SEAGREEN",PR!$BE129,IF(J131="SKG",PR!$BF129,IF(J131="TAH",PR!$BG129,IF(J131="TAYLEK",PR!$BH129,IF(J131="TEMITA",PR!$BI129,IF(J131="THL",PR!$BJ129,IF(J131="UBASTIC",PR!$BK129,IF(J131="UNION",PR!$BL129,IF(J131="UNIQUE",PR!$BM129,IF(J131="VIXA",PR!$BN129,IF(J131="WWCV",PR!$BO129,IF(J131="ZOLON",PR!$BP129,"-"))))))))))))))))))))))))))))))))))))))))))))))))))))))))))))))))</f>
        <v>-</v>
      </c>
      <c r="J131" s="102">
        <f>EV!N153</f>
        <v>0</v>
      </c>
      <c r="K131" s="433" t="s">
        <v>632</v>
      </c>
      <c r="L131" s="183">
        <f>IF(K131&gt;0,IF(K131="ALPHA",PR!$E129,IF(K131="ASSENE",PR!$F129,IF(K131="BIOFEM",PR!$G129,IF(K131="BIOMED",PR!$H129,IF(K131="CHI",PR!$I129,IF(K131="CLARION",PR!$J129,IF(K131="CODIX",PR!$K129,IF(K131="COSMADE",PR!$L129,IF(K131="SANCON",PR!$M129,IF(K131="DEVON",PR!$N129,IF(K131="DORTEMAG",PR!$O129,IF(K131="DGF",PR!$P129,IF(K131="DYNAMIC",PR!$Q129,IF(K131="EMZOR",PR!$R129,IF(K131="EUMATT",PR!$S129,IF(K131="FIDSON",PR!$T129,IF(K131="FCGLOBAL",PR!$U129,IF(K131="GENEITH",PR!$V129,IF(K131="GINOS",PR!$W129,IF(K131="GSK",PR!$X129,IF(K131="GLOBORG",PR!$Y129,IF(K131="GOODNEWS",PR!$Z129,IF(K131="GREENLIFE",PR!$AA129,IF(K131="HLINE",PR!$AB129,IF(K131="ROTECH",PR!$AC129,IF(K131="ISN",PR!$AD129,IF(K131="JAWA",PR!$AE129,IF(K131="LAYO",PR!$AF129,IF(K131="LEADWAY",PR!$AG129,IF(K131="LHV",PR!$AH129,IF(K131="MANOLA",PR!$AI129,IF(K131="MARCSON",PR!$AJ129,IF(K131="M&amp;B",PR!$AK129,IF(K131="MTRUST",PR!$AL129,IF(K131="MWORLD",PR!$AM129,IF(K131="MEGA",PR!$AN129,IF(K131="MICRONOVA",PR!$AO129,IF(K131="MFLASH",PR!$AP129,IF(K131="MORISON",PR!$AQ129,IF(K131="NEMEL",PR!$AR129,IF(K131="NHP",PR!$AS129,IF(K131="NHC",PR!$AT129,IF(K131="OLEAF",PR!$AU129,IF(K131="OCULUS",PR!$AV129,IF(K131="PACIFIC",PR!$AW129,IF(K131="PHAMATEX",PR!$AX129,IF(K131="PETHICS",PR!$AY129,IF(K131="PHILIPS",PR!$AZ129,IF(K131="RANBAXY",PR!$BA129,IF(K131="REALS",PR!$BB129,IF(K131="ROYAL",PR!$BC129,IF(K131="SAM",PR!$BD129,IF(K131="SEAGREEN",PR!$BE129,IF(K131="SKG",PR!$BF129,IF(K131="TAH",PR!$BG129,IF(K131="TAYLEK",PR!$BH129,IF(K131="TEMITA",PR!$BI129,IF(K131="THL",PR!$BJ129,IF(K131="UBASTIC",PR!$BK129,IF(K131="UNION",PR!$BL129,IF(K131="UNIQUE",PR!$BM129,IF(K131="VIXA",PR!$BN129,IF(K131="WWCV",PR!$BO129,IF(K131="ZOLON",PR!$BP129,"-")))))))))))))))))))))))))))))))))))))))))))))))))))))))))))))))))</f>
        <v>1290</v>
      </c>
    </row>
    <row r="132" spans="1:12" ht="18.75" x14ac:dyDescent="0.3">
      <c r="A132" s="430">
        <f>PR!A130</f>
        <v>114</v>
      </c>
      <c r="B132" s="15" t="str">
        <f>PR!B130</f>
        <v>TORSEMIDE INJ</v>
      </c>
      <c r="C132" s="113">
        <f>PR!D130</f>
        <v>5</v>
      </c>
      <c r="D132" s="113">
        <f>PR!C130</f>
        <v>500</v>
      </c>
      <c r="E132" s="108">
        <f>IF(F132="ALPHA",PR!$E130,IF(F132="ASSENE",PR!$F130,IF(F132="BIOFEM",PR!$G130,IF(F132="BIOMED",PR!$H130,IF(F132="CHI",PR!$I130,IF(F132="CLARION",PR!$J130,IF(F132="CODIX",PR!$K130,IF(F132="COSMADE",PR!$L130,IF(F132="SANCON",PR!$M130,IF(F132="DEVON",PR!$N130,IF(F132="DORTEMAG",PR!$O130,IF(F132="DGF",PR!$P130,IF(F132="DYNAMIC",PR!$Q130,IF(F132="EMZOR",PR!$R130,IF(F132="EUMATT",PR!$S130,IF(F132="FIDSON",PR!$T130,IF(F132="FCGLOBAL",PR!$U130,IF(F132="GENEITH",PR!$V130,IF(F132="GINOS",PR!$W130,IF(F132="GSK",PR!$X130,IF(F132="GLOBORG",PR!$Y130,IF(F132="GOODNEWS",PR!$Z130,IF(F132="GREENLIFE",PR!$AA130,IF(F132="HLINE",PR!$AB130,IF(F132="ROTECH",PR!$AC130,IF(F132="ISN",PR!$AD130,IF(F132="JAWA",PR!$AE130,IF(F132="LAYO",PR!$AF130,IF(F132="LEADWAY",PR!$AG130,IF(F132="LHV",PR!$AH130,IF(F132="MANOLA",PR!$AI130,IF(F132="MARCSON",PR!$AJ130,IF(F132="M&amp;B",PR!$AK130,IF(F132="MTRUST",PR!$AL130,IF(F132="MWORLD",PR!$AM130,IF(F132="MEGA",PR!$AN130,IF(F132="MICRONOVA",PR!$AO130,IF(F132="MFLASH",PR!$AP130,IF(F132="MORISON",PR!$AQ130,IF(F132="NEMEL",PR!$AR130,IF(F132="NHP",PR!$AS130,IF(F132="NHC",PR!$AT130,IF(F132="OLEAF",PR!$AU130,IF(F132="OCULUS",PR!$AV130,IF(F132="PACIFIC",PR!$AW130,IF(F132="PHAMATEX",PR!$AX130,IF(F132="PETHICS",PR!$AY130,IF(F132="PHILIPS",PR!$AZ130,IF(F132="RANBAXY",PR!$BA130,IF(F132="REALS",PR!$BB130,IF(F132="ROYAL",PR!$BC130,IF(F132="SAM",PR!$BD130,IF(F132="SEAGREEN",PR!$BE130,IF(F132="SKG",PR!$BF130,IF(F132="TAH",PR!$BG130,IF(F132="TAYLEK",PR!$BH130,IF(F132="TEMITA",PR!$BI130,IF(F132="THL",PR!$BJ130,IF(F132="UBASTIC",PR!$BK130,IF(F132="UNION",PR!$BL130,IF(F132="UNIQUE",PR!$BM130,IF(F132="VIXA",PR!$BN130,IF(F132="WWCV",PR!$BO130,IF(F132="ZOLON",PR!$BP130,"-"))))))))))))))))))))))))))))))))))))))))))))))))))))))))))))))))</f>
        <v>595</v>
      </c>
      <c r="F132" s="102" t="str">
        <f>EV!L154</f>
        <v>MICRONOVA</v>
      </c>
      <c r="G132" s="108">
        <f>IF(H132="ALPHA",PR!$E130,IF(H132="ASSENE",PR!$F130,IF(H132="BIOFEM",PR!$G130,IF(H132="BIOMED",PR!$H130,IF(H132="CHI",PR!$I130,IF(H132="CLARION",PR!$J130,IF(H132="CODIX",PR!$K130,IF(H132="COSMADE",PR!$L130,IF(H132="SANCON",PR!$M130,IF(H132="DEVON",PR!$N130,IF(H132="DORTEMAG",PR!$O130,IF(H132="DGF",PR!$P130,IF(H132="DYNAMIC",PR!$Q130,IF(H132="EMZOR",PR!$R130,IF(H132="EUMATT",PR!$S130,IF(H132="FIDSON",PR!$T130,IF(H132="FCGLOBAL",PR!$U130,IF(H132="GENEITH",PR!$V130,IF(H132="GINOS",PR!$W130,IF(H132="GSK",PR!$X130,IF(H132="GLOBORG",PR!$Y130,IF(H132="GOODNEWS",PR!$Z130,IF(H132="GREENLIFE",PR!$AA130,IF(H132="HLINE",PR!$AB130,IF(H132="ROTECH",PR!$AC130,IF(H132="ISN",PR!$AD130,IF(H132="JAWA",PR!$AE130,IF(H132="LAYO",PR!$AF130,IF(H132="LEADWAY",PR!$AG130,IF(H132="LHV",PR!$AH130,IF(H132="MANOLA",PR!$AI130,IF(H132="MARCSON",PR!$AJ130,IF(H132="M&amp;B",PR!$AK130,IF(H132="MTRUST",PR!$AL130,IF(H132="MWORLD",PR!$AM130,IF(H132="MEGA",PR!$AN130,IF(H132="MICRONOVA",PR!$AO130,IF(H132="MFLASH",PR!$AP130,IF(H132="MORISON",PR!$AQ130,IF(H132="NEMEL",PR!$AR130,IF(H132="NHP",PR!$AS130,IF(H132="NHC",PR!$AT130,IF(H132="OLEAF",PR!$AU130,IF(H132="OCULUS",PR!$AV130,IF(H132="PACIFIC",PR!$AW130,IF(H132="PHAMATEX",PR!$AX130,IF(H132="PETHICS",PR!$AY130,IF(H132="PHILIPS",PR!$AZ130,IF(H132="RANBAXY",PR!$BA130,IF(H132="REALS",PR!$BB130,IF(H132="ROYAL",PR!$BC130,IF(H132="SAM",PR!$BD130,IF(H132="SEAGREEN",PR!$BE130,IF(H132="SKG",PR!$BF130,IF(H132="TAH",PR!$BG130,IF(H132="TAYLEK",PR!$BH130,IF(H132="TEMITA",PR!$BI130,IF(H132="THL",PR!$BJ130,IF(H132="UBASTIC",PR!$BK130,IF(H132="UNION",PR!$BL130,IF(H132="UNIQUE",PR!$BM130,IF(H132="VIXA",PR!$BN130,IF(H132="WWCV",PR!$BO130,IF(H132="ZOLON",PR!$BP130,"-"))))))))))))))))))))))))))))))))))))))))))))))))))))))))))))))))</f>
        <v>1000</v>
      </c>
      <c r="H132" s="102" t="str">
        <f>EV!M154</f>
        <v>EUMATT</v>
      </c>
      <c r="I132" s="108" t="str">
        <f>IF(J132="ALPHA",PR!$E130,IF(J132="ASSENE",PR!$F130,IF(J132="BIOFEM",PR!$G130,IF(J132="BIOMED",PR!$H130,IF(J132="CHI",PR!$I130,IF(J132="CLARION",PR!$J130,IF(J132="CODIX",PR!$K130,IF(J132="COSMADE",PR!$L130,IF(J132="SANCON",PR!$M130,IF(J132="DEVON",PR!$N130,IF(J132="DORTEMAG",PR!$O130,IF(J132="DGF",PR!$P130,IF(J132="DYNAMIC",PR!$Q130,IF(J132="EMZOR",PR!$R130,IF(J132="EUMATT",PR!$S130,IF(J132="FIDSON",PR!$T130,IF(J132="FCGLOBAL",PR!$U130,IF(J132="GENEITH",PR!$V130,IF(J132="GINOS",PR!$W130,IF(J132="GSK",PR!$X130,IF(J132="GLOBORG",PR!$Y130,IF(J132="GOODNEWS",PR!$Z130,IF(J132="GREENLIFE",PR!$AA130,IF(J132="HLINE",PR!$AB130,IF(J132="ROTECH",PR!$AC130,IF(J132="ISN",PR!$AD130,IF(J132="JAWA",PR!$AE130,IF(J132="LAYO",PR!$AF130,IF(J132="LEADWAY",PR!$AG130,IF(J132="LHV",PR!$AH130,IF(J132="MANOLA",PR!$AI130,IF(J132="MARCSON",PR!$AJ130,IF(J132="M&amp;B",PR!$AK130,IF(J132="MTRUST",PR!$AL130,IF(J132="MWORLD",PR!$AM130,IF(J132="MEGA",PR!$AN130,IF(J132="MICRONOVA",PR!$AO130,IF(J132="MFLASH",PR!$AP130,IF(J132="MORISON",PR!$AQ130,IF(J132="NEMEL",PR!$AR130,IF(J132="NHP",PR!$AS130,IF(J132="NHC",PR!$AT130,IF(J132="OLEAF",PR!$AU130,IF(J132="OCULUS",PR!$AV130,IF(J132="PACIFIC",PR!$AW130,IF(J132="PHAMATEX",PR!$AX130,IF(J132="PETHICS",PR!$AY130,IF(J132="PHILIPS",PR!$AZ130,IF(J132="RANBAXY",PR!$BA130,IF(J132="REALS",PR!$BB130,IF(J132="ROYAL",PR!$BC130,IF(J132="SAM",PR!$BD130,IF(J132="SEAGREEN",PR!$BE130,IF(J132="SKG",PR!$BF130,IF(J132="TAH",PR!$BG130,IF(J132="TAYLEK",PR!$BH130,IF(J132="TEMITA",PR!$BI130,IF(J132="THL",PR!$BJ130,IF(J132="UBASTIC",PR!$BK130,IF(J132="UNION",PR!$BL130,IF(J132="UNIQUE",PR!$BM130,IF(J132="VIXA",PR!$BN130,IF(J132="WWCV",PR!$BO130,IF(J132="ZOLON",PR!$BP130,"-"))))))))))))))))))))))))))))))))))))))))))))))))))))))))))))))))</f>
        <v>-</v>
      </c>
      <c r="J132" s="102">
        <f>EV!N154</f>
        <v>0</v>
      </c>
      <c r="K132" s="433" t="s">
        <v>632</v>
      </c>
      <c r="L132" s="183">
        <f>IF(K132&gt;0,IF(K132="ALPHA",PR!$E130,IF(K132="ASSENE",PR!$F130,IF(K132="BIOFEM",PR!$G130,IF(K132="BIOMED",PR!$H130,IF(K132="CHI",PR!$I130,IF(K132="CLARION",PR!$J130,IF(K132="CODIX",PR!$K130,IF(K132="COSMADE",PR!$L130,IF(K132="SANCON",PR!$M130,IF(K132="DEVON",PR!$N130,IF(K132="DORTEMAG",PR!$O130,IF(K132="DGF",PR!$P130,IF(K132="DYNAMIC",PR!$Q130,IF(K132="EMZOR",PR!$R130,IF(K132="EUMATT",PR!$S130,IF(K132="FIDSON",PR!$T130,IF(K132="FCGLOBAL",PR!$U130,IF(K132="GENEITH",PR!$V130,IF(K132="GINOS",PR!$W130,IF(K132="GSK",PR!$X130,IF(K132="GLOBORG",PR!$Y130,IF(K132="GOODNEWS",PR!$Z130,IF(K132="GREENLIFE",PR!$AA130,IF(K132="HLINE",PR!$AB130,IF(K132="ROTECH",PR!$AC130,IF(K132="ISN",PR!$AD130,IF(K132="JAWA",PR!$AE130,IF(K132="LAYO",PR!$AF130,IF(K132="LEADWAY",PR!$AG130,IF(K132="LHV",PR!$AH130,IF(K132="MANOLA",PR!$AI130,IF(K132="MARCSON",PR!$AJ130,IF(K132="M&amp;B",PR!$AK130,IF(K132="MTRUST",PR!$AL130,IF(K132="MWORLD",PR!$AM130,IF(K132="MEGA",PR!$AN130,IF(K132="MICRONOVA",PR!$AO130,IF(K132="MFLASH",PR!$AP130,IF(K132="MORISON",PR!$AQ130,IF(K132="NEMEL",PR!$AR130,IF(K132="NHP",PR!$AS130,IF(K132="NHC",PR!$AT130,IF(K132="OLEAF",PR!$AU130,IF(K132="OCULUS",PR!$AV130,IF(K132="PACIFIC",PR!$AW130,IF(K132="PHAMATEX",PR!$AX130,IF(K132="PETHICS",PR!$AY130,IF(K132="PHILIPS",PR!$AZ130,IF(K132="RANBAXY",PR!$BA130,IF(K132="REALS",PR!$BB130,IF(K132="ROYAL",PR!$BC130,IF(K132="SAM",PR!$BD130,IF(K132="SEAGREEN",PR!$BE130,IF(K132="SKG",PR!$BF130,IF(K132="TAH",PR!$BG130,IF(K132="TAYLEK",PR!$BH130,IF(K132="TEMITA",PR!$BI130,IF(K132="THL",PR!$BJ130,IF(K132="UBASTIC",PR!$BK130,IF(K132="UNION",PR!$BL130,IF(K132="UNIQUE",PR!$BM130,IF(K132="VIXA",PR!$BN130,IF(K132="WWCV",PR!$BO130,IF(K132="ZOLON",PR!$BP130,"-")))))))))))))))))))))))))))))))))))))))))))))))))))))))))))))))))</f>
        <v>595</v>
      </c>
    </row>
    <row r="133" spans="1:12" ht="18.75" x14ac:dyDescent="0.3">
      <c r="A133" s="430">
        <f>PR!A131</f>
        <v>115</v>
      </c>
      <c r="B133" s="15" t="str">
        <f>PR!B131</f>
        <v>TRIMETAZIDINE 35MG TAB</v>
      </c>
      <c r="C133" s="113">
        <f>PR!D131</f>
        <v>60</v>
      </c>
      <c r="D133" s="113">
        <f>PR!C131</f>
        <v>10</v>
      </c>
      <c r="E133" s="108" t="str">
        <f>IF(F133="ALPHA",PR!$E131,IF(F133="ASSENE",PR!$F131,IF(F133="BIOFEM",PR!$G131,IF(F133="BIOMED",PR!$H131,IF(F133="CHI",PR!$I131,IF(F133="CLARION",PR!$J131,IF(F133="CODIX",PR!$K131,IF(F133="COSMADE",PR!$L131,IF(F133="SANCON",PR!$M131,IF(F133="DEVON",PR!$N131,IF(F133="DORTEMAG",PR!$O131,IF(F133="DGF",PR!$P131,IF(F133="DYNAMIC",PR!$Q131,IF(F133="EMZOR",PR!$R131,IF(F133="EUMATT",PR!$S131,IF(F133="FIDSON",PR!$T131,IF(F133="FCGLOBAL",PR!$U131,IF(F133="GENEITH",PR!$V131,IF(F133="GINOS",PR!$W131,IF(F133="GSK",PR!$X131,IF(F133="GLOBORG",PR!$Y131,IF(F133="GOODNEWS",PR!$Z131,IF(F133="GREENLIFE",PR!$AA131,IF(F133="HLINE",PR!$AB131,IF(F133="ROTECH",PR!$AC131,IF(F133="ISN",PR!$AD131,IF(F133="JAWA",PR!$AE131,IF(F133="LAYO",PR!$AF131,IF(F133="LEADWAY",PR!$AG131,IF(F133="LHV",PR!$AH131,IF(F133="MANOLA",PR!$AI131,IF(F133="MARCSON",PR!$AJ131,IF(F133="M&amp;B",PR!$AK131,IF(F133="MTRUST",PR!$AL131,IF(F133="MWORLD",PR!$AM131,IF(F133="MEGA",PR!$AN131,IF(F133="MICRONOVA",PR!$AO131,IF(F133="MFLASH",PR!$AP131,IF(F133="MORISON",PR!$AQ131,IF(F133="NEMEL",PR!$AR131,IF(F133="NHP",PR!$AS131,IF(F133="NHC",PR!$AT131,IF(F133="OLEAF",PR!$AU131,IF(F133="OCULUS",PR!$AV131,IF(F133="PACIFIC",PR!$AW131,IF(F133="PHAMATEX",PR!$AX131,IF(F133="PETHICS",PR!$AY131,IF(F133="PHILIPS",PR!$AZ131,IF(F133="RANBAXY",PR!$BA131,IF(F133="REALS",PR!$BB131,IF(F133="ROYAL",PR!$BC131,IF(F133="SAM",PR!$BD131,IF(F133="SEAGREEN",PR!$BE131,IF(F133="SKG",PR!$BF131,IF(F133="TAH",PR!$BG131,IF(F133="TAYLEK",PR!$BH131,IF(F133="TEMITA",PR!$BI131,IF(F133="THL",PR!$BJ131,IF(F133="UBASTIC",PR!$BK131,IF(F133="UNION",PR!$BL131,IF(F133="UNIQUE",PR!$BM131,IF(F133="VIXA",PR!$BN131,IF(F133="WWCV",PR!$BO131,IF(F133="ZOLON",PR!$BP131,"-"))))))))))))))))))))))))))))))))))))))))))))))))))))))))))))))))</f>
        <v>-</v>
      </c>
      <c r="F133" s="102">
        <f>EV!L155</f>
        <v>0</v>
      </c>
      <c r="G133" s="108" t="str">
        <f>IF(H133="ALPHA",PR!$E131,IF(H133="ASSENE",PR!$F131,IF(H133="BIOFEM",PR!$G131,IF(H133="BIOMED",PR!$H131,IF(H133="CHI",PR!$I131,IF(H133="CLARION",PR!$J131,IF(H133="CODIX",PR!$K131,IF(H133="COSMADE",PR!$L131,IF(H133="SANCON",PR!$M131,IF(H133="DEVON",PR!$N131,IF(H133="DORTEMAG",PR!$O131,IF(H133="DGF",PR!$P131,IF(H133="DYNAMIC",PR!$Q131,IF(H133="EMZOR",PR!$R131,IF(H133="EUMATT",PR!$S131,IF(H133="FIDSON",PR!$T131,IF(H133="FCGLOBAL",PR!$U131,IF(H133="GENEITH",PR!$V131,IF(H133="GINOS",PR!$W131,IF(H133="GSK",PR!$X131,IF(H133="GLOBORG",PR!$Y131,IF(H133="GOODNEWS",PR!$Z131,IF(H133="GREENLIFE",PR!$AA131,IF(H133="HLINE",PR!$AB131,IF(H133="ROTECH",PR!$AC131,IF(H133="ISN",PR!$AD131,IF(H133="JAWA",PR!$AE131,IF(H133="LAYO",PR!$AF131,IF(H133="LEADWAY",PR!$AG131,IF(H133="LHV",PR!$AH131,IF(H133="MANOLA",PR!$AI131,IF(H133="MARCSON",PR!$AJ131,IF(H133="M&amp;B",PR!$AK131,IF(H133="MTRUST",PR!$AL131,IF(H133="MWORLD",PR!$AM131,IF(H133="MEGA",PR!$AN131,IF(H133="MICRONOVA",PR!$AO131,IF(H133="MFLASH",PR!$AP131,IF(H133="MORISON",PR!$AQ131,IF(H133="NEMEL",PR!$AR131,IF(H133="NHP",PR!$AS131,IF(H133="NHC",PR!$AT131,IF(H133="OLEAF",PR!$AU131,IF(H133="OCULUS",PR!$AV131,IF(H133="PACIFIC",PR!$AW131,IF(H133="PHAMATEX",PR!$AX131,IF(H133="PETHICS",PR!$AY131,IF(H133="PHILIPS",PR!$AZ131,IF(H133="RANBAXY",PR!$BA131,IF(H133="REALS",PR!$BB131,IF(H133="ROYAL",PR!$BC131,IF(H133="SAM",PR!$BD131,IF(H133="SEAGREEN",PR!$BE131,IF(H133="SKG",PR!$BF131,IF(H133="TAH",PR!$BG131,IF(H133="TAYLEK",PR!$BH131,IF(H133="TEMITA",PR!$BI131,IF(H133="THL",PR!$BJ131,IF(H133="UBASTIC",PR!$BK131,IF(H133="UNION",PR!$BL131,IF(H133="UNIQUE",PR!$BM131,IF(H133="VIXA",PR!$BN131,IF(H133="WWCV",PR!$BO131,IF(H133="ZOLON",PR!$BP131,"-"))))))))))))))))))))))))))))))))))))))))))))))))))))))))))))))))</f>
        <v>-</v>
      </c>
      <c r="H133" s="102">
        <f>EV!M155</f>
        <v>0</v>
      </c>
      <c r="I133" s="108" t="str">
        <f>IF(J133="ALPHA",PR!$E131,IF(J133="ASSENE",PR!$F131,IF(J133="BIOFEM",PR!$G131,IF(J133="BIOMED",PR!$H131,IF(J133="CHI",PR!$I131,IF(J133="CLARION",PR!$J131,IF(J133="CODIX",PR!$K131,IF(J133="COSMADE",PR!$L131,IF(J133="SANCON",PR!$M131,IF(J133="DEVON",PR!$N131,IF(J133="DORTEMAG",PR!$O131,IF(J133="DGF",PR!$P131,IF(J133="DYNAMIC",PR!$Q131,IF(J133="EMZOR",PR!$R131,IF(J133="EUMATT",PR!$S131,IF(J133="FIDSON",PR!$T131,IF(J133="FCGLOBAL",PR!$U131,IF(J133="GENEITH",PR!$V131,IF(J133="GINOS",PR!$W131,IF(J133="GSK",PR!$X131,IF(J133="GLOBORG",PR!$Y131,IF(J133="GOODNEWS",PR!$Z131,IF(J133="GREENLIFE",PR!$AA131,IF(J133="HLINE",PR!$AB131,IF(J133="ROTECH",PR!$AC131,IF(J133="ISN",PR!$AD131,IF(J133="JAWA",PR!$AE131,IF(J133="LAYO",PR!$AF131,IF(J133="LEADWAY",PR!$AG131,IF(J133="LHV",PR!$AH131,IF(J133="MANOLA",PR!$AI131,IF(J133="MARCSON",PR!$AJ131,IF(J133="M&amp;B",PR!$AK131,IF(J133="MTRUST",PR!$AL131,IF(J133="MWORLD",PR!$AM131,IF(J133="MEGA",PR!$AN131,IF(J133="MICRONOVA",PR!$AO131,IF(J133="MFLASH",PR!$AP131,IF(J133="MORISON",PR!$AQ131,IF(J133="NEMEL",PR!$AR131,IF(J133="NHP",PR!$AS131,IF(J133="NHC",PR!$AT131,IF(J133="OLEAF",PR!$AU131,IF(J133="OCULUS",PR!$AV131,IF(J133="PACIFIC",PR!$AW131,IF(J133="PHAMATEX",PR!$AX131,IF(J133="PETHICS",PR!$AY131,IF(J133="PHILIPS",PR!$AZ131,IF(J133="RANBAXY",PR!$BA131,IF(J133="REALS",PR!$BB131,IF(J133="ROYAL",PR!$BC131,IF(J133="SAM",PR!$BD131,IF(J133="SEAGREEN",PR!$BE131,IF(J133="SKG",PR!$BF131,IF(J133="TAH",PR!$BG131,IF(J133="TAYLEK",PR!$BH131,IF(J133="TEMITA",PR!$BI131,IF(J133="THL",PR!$BJ131,IF(J133="UBASTIC",PR!$BK131,IF(J133="UNION",PR!$BL131,IF(J133="UNIQUE",PR!$BM131,IF(J133="VIXA",PR!$BN131,IF(J133="WWCV",PR!$BO131,IF(J133="ZOLON",PR!$BP131,"-"))))))))))))))))))))))))))))))))))))))))))))))))))))))))))))))))</f>
        <v>-</v>
      </c>
      <c r="J133" s="102">
        <f>EV!N155</f>
        <v>0</v>
      </c>
      <c r="K133" s="433"/>
      <c r="L133" s="183" t="b">
        <f>IF(K133&gt;0,IF(K133="ALPHA",PR!$E131,IF(K133="ASSENE",PR!$F131,IF(K133="BIOFEM",PR!$G131,IF(K133="BIOMED",PR!$H131,IF(K133="CHI",PR!$I131,IF(K133="CLARION",PR!$J131,IF(K133="CODIX",PR!$K131,IF(K133="COSMADE",PR!$L131,IF(K133="SANCON",PR!$M131,IF(K133="DEVON",PR!$N131,IF(K133="DORTEMAG",PR!$O131,IF(K133="DGF",PR!$P131,IF(K133="DYNAMIC",PR!$Q131,IF(K133="EMZOR",PR!$R131,IF(K133="EUMATT",PR!$S131,IF(K133="FIDSON",PR!$T131,IF(K133="FCGLOBAL",PR!$U131,IF(K133="GENEITH",PR!$V131,IF(K133="GINOS",PR!$W131,IF(K133="GSK",PR!$X131,IF(K133="GLOBORG",PR!$Y131,IF(K133="GOODNEWS",PR!$Z131,IF(K133="GREENLIFE",PR!$AA131,IF(K133="HLINE",PR!$AB131,IF(K133="ROTECH",PR!$AC131,IF(K133="ISN",PR!$AD131,IF(K133="JAWA",PR!$AE131,IF(K133="LAYO",PR!$AF131,IF(K133="LEADWAY",PR!$AG131,IF(K133="LHV",PR!$AH131,IF(K133="MANOLA",PR!$AI131,IF(K133="MARCSON",PR!$AJ131,IF(K133="M&amp;B",PR!$AK131,IF(K133="MTRUST",PR!$AL131,IF(K133="MWORLD",PR!$AM131,IF(K133="MEGA",PR!$AN131,IF(K133="MICRONOVA",PR!$AO131,IF(K133="MFLASH",PR!$AP131,IF(K133="MORISON",PR!$AQ131,IF(K133="NEMEL",PR!$AR131,IF(K133="NHP",PR!$AS131,IF(K133="NHC",PR!$AT131,IF(K133="OLEAF",PR!$AU131,IF(K133="OCULUS",PR!$AV131,IF(K133="PACIFIC",PR!$AW131,IF(K133="PHAMATEX",PR!$AX131,IF(K133="PETHICS",PR!$AY131,IF(K133="PHILIPS",PR!$AZ131,IF(K133="RANBAXY",PR!$BA131,IF(K133="REALS",PR!$BB131,IF(K133="ROYAL",PR!$BC131,IF(K133="SAM",PR!$BD131,IF(K133="SEAGREEN",PR!$BE131,IF(K133="SKG",PR!$BF131,IF(K133="TAH",PR!$BG131,IF(K133="TAYLEK",PR!$BH131,IF(K133="TEMITA",PR!$BI131,IF(K133="THL",PR!$BJ131,IF(K133="UBASTIC",PR!$BK131,IF(K133="UNION",PR!$BL131,IF(K133="UNIQUE",PR!$BM131,IF(K133="VIXA",PR!$BN131,IF(K133="WWCV",PR!$BO131,IF(K133="ZOLON",PR!$BP131,"-")))))))))))))))))))))))))))))))))))))))))))))))))))))))))))))))))</f>
        <v>0</v>
      </c>
    </row>
    <row r="134" spans="1:12" ht="18.75" x14ac:dyDescent="0.3">
      <c r="A134" s="430">
        <f>PR!A132</f>
        <v>116</v>
      </c>
      <c r="B134" s="15" t="str">
        <f>PR!B132</f>
        <v>VARSALTAN/HYDROCHLOROTHIAZIDE 160/12.5MG</v>
      </c>
      <c r="C134" s="113">
        <f>PR!D132</f>
        <v>28</v>
      </c>
      <c r="D134" s="113">
        <f>PR!C132</f>
        <v>10</v>
      </c>
      <c r="E134" s="108">
        <f>IF(F134="ALPHA",PR!$E132,IF(F134="ASSENE",PR!$F132,IF(F134="BIOFEM",PR!$G132,IF(F134="BIOMED",PR!$H132,IF(F134="CHI",PR!$I132,IF(F134="CLARION",PR!$J132,IF(F134="CODIX",PR!$K132,IF(F134="COSMADE",PR!$L132,IF(F134="SANCON",PR!$M132,IF(F134="DEVON",PR!$N132,IF(F134="DORTEMAG",PR!$O132,IF(F134="DGF",PR!$P132,IF(F134="DYNAMIC",PR!$Q132,IF(F134="EMZOR",PR!$R132,IF(F134="EUMATT",PR!$S132,IF(F134="FIDSON",PR!$T132,IF(F134="FCGLOBAL",PR!$U132,IF(F134="GENEITH",PR!$V132,IF(F134="GINOS",PR!$W132,IF(F134="GSK",PR!$X132,IF(F134="GLOBORG",PR!$Y132,IF(F134="GOODNEWS",PR!$Z132,IF(F134="GREENLIFE",PR!$AA132,IF(F134="HLINE",PR!$AB132,IF(F134="ROTECH",PR!$AC132,IF(F134="ISN",PR!$AD132,IF(F134="JAWA",PR!$AE132,IF(F134="LAYO",PR!$AF132,IF(F134="LEADWAY",PR!$AG132,IF(F134="LHV",PR!$AH132,IF(F134="MANOLA",PR!$AI132,IF(F134="MARCSON",PR!$AJ132,IF(F134="M&amp;B",PR!$AK132,IF(F134="MTRUST",PR!$AL132,IF(F134="MWORLD",PR!$AM132,IF(F134="MEGA",PR!$AN132,IF(F134="MICRONOVA",PR!$AO132,IF(F134="MFLASH",PR!$AP132,IF(F134="MORISON",PR!$AQ132,IF(F134="NEMEL",PR!$AR132,IF(F134="NHP",PR!$AS132,IF(F134="NHC",PR!$AT132,IF(F134="OLEAF",PR!$AU132,IF(F134="OCULUS",PR!$AV132,IF(F134="PACIFIC",PR!$AW132,IF(F134="PHAMATEX",PR!$AX132,IF(F134="PETHICS",PR!$AY132,IF(F134="PHILIPS",PR!$AZ132,IF(F134="RANBAXY",PR!$BA132,IF(F134="REALS",PR!$BB132,IF(F134="ROYAL",PR!$BC132,IF(F134="SAM",PR!$BD132,IF(F134="SEAGREEN",PR!$BE132,IF(F134="SKG",PR!$BF132,IF(F134="TAH",PR!$BG132,IF(F134="TAYLEK",PR!$BH132,IF(F134="TEMITA",PR!$BI132,IF(F134="THL",PR!$BJ132,IF(F134="UBASTIC",PR!$BK132,IF(F134="UNION",PR!$BL132,IF(F134="UNIQUE",PR!$BM132,IF(F134="VIXA",PR!$BN132,IF(F134="WWCV",PR!$BO132,IF(F134="ZOLON",PR!$BP132,"-"))))))))))))))))))))))))))))))))))))))))))))))))))))))))))))))))</f>
        <v>2039.3333333333333</v>
      </c>
      <c r="F134" s="102" t="str">
        <f>EV!L156</f>
        <v>RANBAXY</v>
      </c>
      <c r="G134" s="108" t="str">
        <f>IF(H134="ALPHA",PR!$E132,IF(H134="ASSENE",PR!$F132,IF(H134="BIOFEM",PR!$G132,IF(H134="BIOMED",PR!$H132,IF(H134="CHI",PR!$I132,IF(H134="CLARION",PR!$J132,IF(H134="CODIX",PR!$K132,IF(H134="COSMADE",PR!$L132,IF(H134="SANCON",PR!$M132,IF(H134="DEVON",PR!$N132,IF(H134="DORTEMAG",PR!$O132,IF(H134="DGF",PR!$P132,IF(H134="DYNAMIC",PR!$Q132,IF(H134="EMZOR",PR!$R132,IF(H134="EUMATT",PR!$S132,IF(H134="FIDSON",PR!$T132,IF(H134="FCGLOBAL",PR!$U132,IF(H134="GENEITH",PR!$V132,IF(H134="GINOS",PR!$W132,IF(H134="GSK",PR!$X132,IF(H134="GLOBORG",PR!$Y132,IF(H134="GOODNEWS",PR!$Z132,IF(H134="GREENLIFE",PR!$AA132,IF(H134="HLINE",PR!$AB132,IF(H134="ROTECH",PR!$AC132,IF(H134="ISN",PR!$AD132,IF(H134="JAWA",PR!$AE132,IF(H134="LAYO",PR!$AF132,IF(H134="LEADWAY",PR!$AG132,IF(H134="LHV",PR!$AH132,IF(H134="MANOLA",PR!$AI132,IF(H134="MARCSON",PR!$AJ132,IF(H134="M&amp;B",PR!$AK132,IF(H134="MTRUST",PR!$AL132,IF(H134="MWORLD",PR!$AM132,IF(H134="MEGA",PR!$AN132,IF(H134="MICRONOVA",PR!$AO132,IF(H134="MFLASH",PR!$AP132,IF(H134="MORISON",PR!$AQ132,IF(H134="NEMEL",PR!$AR132,IF(H134="NHP",PR!$AS132,IF(H134="NHC",PR!$AT132,IF(H134="OLEAF",PR!$AU132,IF(H134="OCULUS",PR!$AV132,IF(H134="PACIFIC",PR!$AW132,IF(H134="PHAMATEX",PR!$AX132,IF(H134="PETHICS",PR!$AY132,IF(H134="PHILIPS",PR!$AZ132,IF(H134="RANBAXY",PR!$BA132,IF(H134="REALS",PR!$BB132,IF(H134="ROYAL",PR!$BC132,IF(H134="SAM",PR!$BD132,IF(H134="SEAGREEN",PR!$BE132,IF(H134="SKG",PR!$BF132,IF(H134="TAH",PR!$BG132,IF(H134="TAYLEK",PR!$BH132,IF(H134="TEMITA",PR!$BI132,IF(H134="THL",PR!$BJ132,IF(H134="UBASTIC",PR!$BK132,IF(H134="UNION",PR!$BL132,IF(H134="UNIQUE",PR!$BM132,IF(H134="VIXA",PR!$BN132,IF(H134="WWCV",PR!$BO132,IF(H134="ZOLON",PR!$BP132,"-"))))))))))))))))))))))))))))))))))))))))))))))))))))))))))))))))</f>
        <v>-</v>
      </c>
      <c r="H134" s="102">
        <f>EV!M156</f>
        <v>0</v>
      </c>
      <c r="I134" s="108" t="str">
        <f>IF(J134="ALPHA",PR!$E132,IF(J134="ASSENE",PR!$F132,IF(J134="BIOFEM",PR!$G132,IF(J134="BIOMED",PR!$H132,IF(J134="CHI",PR!$I132,IF(J134="CLARION",PR!$J132,IF(J134="CODIX",PR!$K132,IF(J134="COSMADE",PR!$L132,IF(J134="SANCON",PR!$M132,IF(J134="DEVON",PR!$N132,IF(J134="DORTEMAG",PR!$O132,IF(J134="DGF",PR!$P132,IF(J134="DYNAMIC",PR!$Q132,IF(J134="EMZOR",PR!$R132,IF(J134="EUMATT",PR!$S132,IF(J134="FIDSON",PR!$T132,IF(J134="FCGLOBAL",PR!$U132,IF(J134="GENEITH",PR!$V132,IF(J134="GINOS",PR!$W132,IF(J134="GSK",PR!$X132,IF(J134="GLOBORG",PR!$Y132,IF(J134="GOODNEWS",PR!$Z132,IF(J134="GREENLIFE",PR!$AA132,IF(J134="HLINE",PR!$AB132,IF(J134="ROTECH",PR!$AC132,IF(J134="ISN",PR!$AD132,IF(J134="JAWA",PR!$AE132,IF(J134="LAYO",PR!$AF132,IF(J134="LEADWAY",PR!$AG132,IF(J134="LHV",PR!$AH132,IF(J134="MANOLA",PR!$AI132,IF(J134="MARCSON",PR!$AJ132,IF(J134="M&amp;B",PR!$AK132,IF(J134="MTRUST",PR!$AL132,IF(J134="MWORLD",PR!$AM132,IF(J134="MEGA",PR!$AN132,IF(J134="MICRONOVA",PR!$AO132,IF(J134="MFLASH",PR!$AP132,IF(J134="MORISON",PR!$AQ132,IF(J134="NEMEL",PR!$AR132,IF(J134="NHP",PR!$AS132,IF(J134="NHC",PR!$AT132,IF(J134="OLEAF",PR!$AU132,IF(J134="OCULUS",PR!$AV132,IF(J134="PACIFIC",PR!$AW132,IF(J134="PHAMATEX",PR!$AX132,IF(J134="PETHICS",PR!$AY132,IF(J134="PHILIPS",PR!$AZ132,IF(J134="RANBAXY",PR!$BA132,IF(J134="REALS",PR!$BB132,IF(J134="ROYAL",PR!$BC132,IF(J134="SAM",PR!$BD132,IF(J134="SEAGREEN",PR!$BE132,IF(J134="SKG",PR!$BF132,IF(J134="TAH",PR!$BG132,IF(J134="TAYLEK",PR!$BH132,IF(J134="TEMITA",PR!$BI132,IF(J134="THL",PR!$BJ132,IF(J134="UBASTIC",PR!$BK132,IF(J134="UNION",PR!$BL132,IF(J134="UNIQUE",PR!$BM132,IF(J134="VIXA",PR!$BN132,IF(J134="WWCV",PR!$BO132,IF(J134="ZOLON",PR!$BP132,"-"))))))))))))))))))))))))))))))))))))))))))))))))))))))))))))))))</f>
        <v>-</v>
      </c>
      <c r="J134" s="102">
        <f>EV!N156</f>
        <v>0</v>
      </c>
      <c r="K134" s="433" t="s">
        <v>636</v>
      </c>
      <c r="L134" s="183">
        <f>IF(K134&gt;0,IF(K134="ALPHA",PR!$E132,IF(K134="ASSENE",PR!$F132,IF(K134="BIOFEM",PR!$G132,IF(K134="BIOMED",PR!$H132,IF(K134="CHI",PR!$I132,IF(K134="CLARION",PR!$J132,IF(K134="CODIX",PR!$K132,IF(K134="COSMADE",PR!$L132,IF(K134="SANCON",PR!$M132,IF(K134="DEVON",PR!$N132,IF(K134="DORTEMAG",PR!$O132,IF(K134="DGF",PR!$P132,IF(K134="DYNAMIC",PR!$Q132,IF(K134="EMZOR",PR!$R132,IF(K134="EUMATT",PR!$S132,IF(K134="FIDSON",PR!$T132,IF(K134="FCGLOBAL",PR!$U132,IF(K134="GENEITH",PR!$V132,IF(K134="GINOS",PR!$W132,IF(K134="GSK",PR!$X132,IF(K134="GLOBORG",PR!$Y132,IF(K134="GOODNEWS",PR!$Z132,IF(K134="GREENLIFE",PR!$AA132,IF(K134="HLINE",PR!$AB132,IF(K134="ROTECH",PR!$AC132,IF(K134="ISN",PR!$AD132,IF(K134="JAWA",PR!$AE132,IF(K134="LAYO",PR!$AF132,IF(K134="LEADWAY",PR!$AG132,IF(K134="LHV",PR!$AH132,IF(K134="MANOLA",PR!$AI132,IF(K134="MARCSON",PR!$AJ132,IF(K134="M&amp;B",PR!$AK132,IF(K134="MTRUST",PR!$AL132,IF(K134="MWORLD",PR!$AM132,IF(K134="MEGA",PR!$AN132,IF(K134="MICRONOVA",PR!$AO132,IF(K134="MFLASH",PR!$AP132,IF(K134="MORISON",PR!$AQ132,IF(K134="NEMEL",PR!$AR132,IF(K134="NHP",PR!$AS132,IF(K134="NHC",PR!$AT132,IF(K134="OLEAF",PR!$AU132,IF(K134="OCULUS",PR!$AV132,IF(K134="PACIFIC",PR!$AW132,IF(K134="PHAMATEX",PR!$AX132,IF(K134="PETHICS",PR!$AY132,IF(K134="PHILIPS",PR!$AZ132,IF(K134="RANBAXY",PR!$BA132,IF(K134="REALS",PR!$BB132,IF(K134="ROYAL",PR!$BC132,IF(K134="SAM",PR!$BD132,IF(K134="SEAGREEN",PR!$BE132,IF(K134="SKG",PR!$BF132,IF(K134="TAH",PR!$BG132,IF(K134="TAYLEK",PR!$BH132,IF(K134="TEMITA",PR!$BI132,IF(K134="THL",PR!$BJ132,IF(K134="UBASTIC",PR!$BK132,IF(K134="UNION",PR!$BL132,IF(K134="UNIQUE",PR!$BM132,IF(K134="VIXA",PR!$BN132,IF(K134="WWCV",PR!$BO132,IF(K134="ZOLON",PR!$BP132,"-")))))))))))))))))))))))))))))))))))))))))))))))))))))))))))))))))</f>
        <v>2039.3333333333333</v>
      </c>
    </row>
    <row r="135" spans="1:12" ht="18.75" x14ac:dyDescent="0.3">
      <c r="A135" s="430">
        <f>PR!A133</f>
        <v>117</v>
      </c>
      <c r="B135" s="15" t="str">
        <f>PR!B133</f>
        <v>VERAPAMIL 240MG TAG</v>
      </c>
      <c r="C135" s="113">
        <f>PR!D133</f>
        <v>100</v>
      </c>
      <c r="D135" s="113">
        <f>PR!C133</f>
        <v>10</v>
      </c>
      <c r="E135" s="108" t="str">
        <f>IF(F135="ALPHA",PR!$E133,IF(F135="ASSENE",PR!$F133,IF(F135="BIOFEM",PR!$G133,IF(F135="BIOMED",PR!$H133,IF(F135="CHI",PR!$I133,IF(F135="CLARION",PR!$J133,IF(F135="CODIX",PR!$K133,IF(F135="COSMADE",PR!$L133,IF(F135="SANCON",PR!$M133,IF(F135="DEVON",PR!$N133,IF(F135="DORTEMAG",PR!$O133,IF(F135="DGF",PR!$P133,IF(F135="DYNAMIC",PR!$Q133,IF(F135="EMZOR",PR!$R133,IF(F135="EUMATT",PR!$S133,IF(F135="FIDSON",PR!$T133,IF(F135="FCGLOBAL",PR!$U133,IF(F135="GENEITH",PR!$V133,IF(F135="GINOS",PR!$W133,IF(F135="GSK",PR!$X133,IF(F135="GLOBORG",PR!$Y133,IF(F135="GOODNEWS",PR!$Z133,IF(F135="GREENLIFE",PR!$AA133,IF(F135="HLINE",PR!$AB133,IF(F135="ROTECH",PR!$AC133,IF(F135="ISN",PR!$AD133,IF(F135="JAWA",PR!$AE133,IF(F135="LAYO",PR!$AF133,IF(F135="LEADWAY",PR!$AG133,IF(F135="LHV",PR!$AH133,IF(F135="MANOLA",PR!$AI133,IF(F135="MARCSON",PR!$AJ133,IF(F135="M&amp;B",PR!$AK133,IF(F135="MTRUST",PR!$AL133,IF(F135="MWORLD",PR!$AM133,IF(F135="MEGA",PR!$AN133,IF(F135="MICRONOVA",PR!$AO133,IF(F135="MFLASH",PR!$AP133,IF(F135="MORISON",PR!$AQ133,IF(F135="NEMEL",PR!$AR133,IF(F135="NHP",PR!$AS133,IF(F135="NHC",PR!$AT133,IF(F135="OLEAF",PR!$AU133,IF(F135="OCULUS",PR!$AV133,IF(F135="PACIFIC",PR!$AW133,IF(F135="PHAMATEX",PR!$AX133,IF(F135="PETHICS",PR!$AY133,IF(F135="PHILIPS",PR!$AZ133,IF(F135="RANBAXY",PR!$BA133,IF(F135="REALS",PR!$BB133,IF(F135="ROYAL",PR!$BC133,IF(F135="SAM",PR!$BD133,IF(F135="SEAGREEN",PR!$BE133,IF(F135="SKG",PR!$BF133,IF(F135="TAH",PR!$BG133,IF(F135="TAYLEK",PR!$BH133,IF(F135="TEMITA",PR!$BI133,IF(F135="THL",PR!$BJ133,IF(F135="UBASTIC",PR!$BK133,IF(F135="UNION",PR!$BL133,IF(F135="UNIQUE",PR!$BM133,IF(F135="VIXA",PR!$BN133,IF(F135="WWCV",PR!$BO133,IF(F135="ZOLON",PR!$BP133,"-"))))))))))))))))))))))))))))))))))))))))))))))))))))))))))))))))</f>
        <v>-</v>
      </c>
      <c r="F135" s="102">
        <f>EV!L157</f>
        <v>0</v>
      </c>
      <c r="G135" s="108" t="str">
        <f>IF(H135="ALPHA",PR!$E133,IF(H135="ASSENE",PR!$F133,IF(H135="BIOFEM",PR!$G133,IF(H135="BIOMED",PR!$H133,IF(H135="CHI",PR!$I133,IF(H135="CLARION",PR!$J133,IF(H135="CODIX",PR!$K133,IF(H135="COSMADE",PR!$L133,IF(H135="SANCON",PR!$M133,IF(H135="DEVON",PR!$N133,IF(H135="DORTEMAG",PR!$O133,IF(H135="DGF",PR!$P133,IF(H135="DYNAMIC",PR!$Q133,IF(H135="EMZOR",PR!$R133,IF(H135="EUMATT",PR!$S133,IF(H135="FIDSON",PR!$T133,IF(H135="FCGLOBAL",PR!$U133,IF(H135="GENEITH",PR!$V133,IF(H135="GINOS",PR!$W133,IF(H135="GSK",PR!$X133,IF(H135="GLOBORG",PR!$Y133,IF(H135="GOODNEWS",PR!$Z133,IF(H135="GREENLIFE",PR!$AA133,IF(H135="HLINE",PR!$AB133,IF(H135="ROTECH",PR!$AC133,IF(H135="ISN",PR!$AD133,IF(H135="JAWA",PR!$AE133,IF(H135="LAYO",PR!$AF133,IF(H135="LEADWAY",PR!$AG133,IF(H135="LHV",PR!$AH133,IF(H135="MANOLA",PR!$AI133,IF(H135="MARCSON",PR!$AJ133,IF(H135="M&amp;B",PR!$AK133,IF(H135="MTRUST",PR!$AL133,IF(H135="MWORLD",PR!$AM133,IF(H135="MEGA",PR!$AN133,IF(H135="MICRONOVA",PR!$AO133,IF(H135="MFLASH",PR!$AP133,IF(H135="MORISON",PR!$AQ133,IF(H135="NEMEL",PR!$AR133,IF(H135="NHP",PR!$AS133,IF(H135="NHC",PR!$AT133,IF(H135="OLEAF",PR!$AU133,IF(H135="OCULUS",PR!$AV133,IF(H135="PACIFIC",PR!$AW133,IF(H135="PHAMATEX",PR!$AX133,IF(H135="PETHICS",PR!$AY133,IF(H135="PHILIPS",PR!$AZ133,IF(H135="RANBAXY",PR!$BA133,IF(H135="REALS",PR!$BB133,IF(H135="ROYAL",PR!$BC133,IF(H135="SAM",PR!$BD133,IF(H135="SEAGREEN",PR!$BE133,IF(H135="SKG",PR!$BF133,IF(H135="TAH",PR!$BG133,IF(H135="TAYLEK",PR!$BH133,IF(H135="TEMITA",PR!$BI133,IF(H135="THL",PR!$BJ133,IF(H135="UBASTIC",PR!$BK133,IF(H135="UNION",PR!$BL133,IF(H135="UNIQUE",PR!$BM133,IF(H135="VIXA",PR!$BN133,IF(H135="WWCV",PR!$BO133,IF(H135="ZOLON",PR!$BP133,"-"))))))))))))))))))))))))))))))))))))))))))))))))))))))))))))))))</f>
        <v>-</v>
      </c>
      <c r="H135" s="102">
        <f>EV!M157</f>
        <v>0</v>
      </c>
      <c r="I135" s="108" t="str">
        <f>IF(J135="ALPHA",PR!$E133,IF(J135="ASSENE",PR!$F133,IF(J135="BIOFEM",PR!$G133,IF(J135="BIOMED",PR!$H133,IF(J135="CHI",PR!$I133,IF(J135="CLARION",PR!$J133,IF(J135="CODIX",PR!$K133,IF(J135="COSMADE",PR!$L133,IF(J135="SANCON",PR!$M133,IF(J135="DEVON",PR!$N133,IF(J135="DORTEMAG",PR!$O133,IF(J135="DGF",PR!$P133,IF(J135="DYNAMIC",PR!$Q133,IF(J135="EMZOR",PR!$R133,IF(J135="EUMATT",PR!$S133,IF(J135="FIDSON",PR!$T133,IF(J135="FCGLOBAL",PR!$U133,IF(J135="GENEITH",PR!$V133,IF(J135="GINOS",PR!$W133,IF(J135="GSK",PR!$X133,IF(J135="GLOBORG",PR!$Y133,IF(J135="GOODNEWS",PR!$Z133,IF(J135="GREENLIFE",PR!$AA133,IF(J135="HLINE",PR!$AB133,IF(J135="ROTECH",PR!$AC133,IF(J135="ISN",PR!$AD133,IF(J135="JAWA",PR!$AE133,IF(J135="LAYO",PR!$AF133,IF(J135="LEADWAY",PR!$AG133,IF(J135="LHV",PR!$AH133,IF(J135="MANOLA",PR!$AI133,IF(J135="MARCSON",PR!$AJ133,IF(J135="M&amp;B",PR!$AK133,IF(J135="MTRUST",PR!$AL133,IF(J135="MWORLD",PR!$AM133,IF(J135="MEGA",PR!$AN133,IF(J135="MICRONOVA",PR!$AO133,IF(J135="MFLASH",PR!$AP133,IF(J135="MORISON",PR!$AQ133,IF(J135="NEMEL",PR!$AR133,IF(J135="NHP",PR!$AS133,IF(J135="NHC",PR!$AT133,IF(J135="OLEAF",PR!$AU133,IF(J135="OCULUS",PR!$AV133,IF(J135="PACIFIC",PR!$AW133,IF(J135="PHAMATEX",PR!$AX133,IF(J135="PETHICS",PR!$AY133,IF(J135="PHILIPS",PR!$AZ133,IF(J135="RANBAXY",PR!$BA133,IF(J135="REALS",PR!$BB133,IF(J135="ROYAL",PR!$BC133,IF(J135="SAM",PR!$BD133,IF(J135="SEAGREEN",PR!$BE133,IF(J135="SKG",PR!$BF133,IF(J135="TAH",PR!$BG133,IF(J135="TAYLEK",PR!$BH133,IF(J135="TEMITA",PR!$BI133,IF(J135="THL",PR!$BJ133,IF(J135="UBASTIC",PR!$BK133,IF(J135="UNION",PR!$BL133,IF(J135="UNIQUE",PR!$BM133,IF(J135="VIXA",PR!$BN133,IF(J135="WWCV",PR!$BO133,IF(J135="ZOLON",PR!$BP133,"-"))))))))))))))))))))))))))))))))))))))))))))))))))))))))))))))))</f>
        <v>-</v>
      </c>
      <c r="J135" s="102">
        <f>EV!N157</f>
        <v>0</v>
      </c>
      <c r="K135" s="433"/>
      <c r="L135" s="183" t="b">
        <f>IF(K135&gt;0,IF(K135="ALPHA",PR!$E133,IF(K135="ASSENE",PR!$F133,IF(K135="BIOFEM",PR!$G133,IF(K135="BIOMED",PR!$H133,IF(K135="CHI",PR!$I133,IF(K135="CLARION",PR!$J133,IF(K135="CODIX",PR!$K133,IF(K135="COSMADE",PR!$L133,IF(K135="SANCON",PR!$M133,IF(K135="DEVON",PR!$N133,IF(K135="DORTEMAG",PR!$O133,IF(K135="DGF",PR!$P133,IF(K135="DYNAMIC",PR!$Q133,IF(K135="EMZOR",PR!$R133,IF(K135="EUMATT",PR!$S133,IF(K135="FIDSON",PR!$T133,IF(K135="FCGLOBAL",PR!$U133,IF(K135="GENEITH",PR!$V133,IF(K135="GINOS",PR!$W133,IF(K135="GSK",PR!$X133,IF(K135="GLOBORG",PR!$Y133,IF(K135="GOODNEWS",PR!$Z133,IF(K135="GREENLIFE",PR!$AA133,IF(K135="HLINE",PR!$AB133,IF(K135="ROTECH",PR!$AC133,IF(K135="ISN",PR!$AD133,IF(K135="JAWA",PR!$AE133,IF(K135="LAYO",PR!$AF133,IF(K135="LEADWAY",PR!$AG133,IF(K135="LHV",PR!$AH133,IF(K135="MANOLA",PR!$AI133,IF(K135="MARCSON",PR!$AJ133,IF(K135="M&amp;B",PR!$AK133,IF(K135="MTRUST",PR!$AL133,IF(K135="MWORLD",PR!$AM133,IF(K135="MEGA",PR!$AN133,IF(K135="MICRONOVA",PR!$AO133,IF(K135="MFLASH",PR!$AP133,IF(K135="MORISON",PR!$AQ133,IF(K135="NEMEL",PR!$AR133,IF(K135="NHP",PR!$AS133,IF(K135="NHC",PR!$AT133,IF(K135="OLEAF",PR!$AU133,IF(K135="OCULUS",PR!$AV133,IF(K135="PACIFIC",PR!$AW133,IF(K135="PHAMATEX",PR!$AX133,IF(K135="PETHICS",PR!$AY133,IF(K135="PHILIPS",PR!$AZ133,IF(K135="RANBAXY",PR!$BA133,IF(K135="REALS",PR!$BB133,IF(K135="ROYAL",PR!$BC133,IF(K135="SAM",PR!$BD133,IF(K135="SEAGREEN",PR!$BE133,IF(K135="SKG",PR!$BF133,IF(K135="TAH",PR!$BG133,IF(K135="TAYLEK",PR!$BH133,IF(K135="TEMITA",PR!$BI133,IF(K135="THL",PR!$BJ133,IF(K135="UBASTIC",PR!$BK133,IF(K135="UNION",PR!$BL133,IF(K135="UNIQUE",PR!$BM133,IF(K135="VIXA",PR!$BN133,IF(K135="WWCV",PR!$BO133,IF(K135="ZOLON",PR!$BP133,"-")))))))))))))))))))))))))))))))))))))))))))))))))))))))))))))))))</f>
        <v>0</v>
      </c>
    </row>
    <row r="136" spans="1:12" ht="18.75" x14ac:dyDescent="0.3">
      <c r="A136" s="430">
        <f>PR!A134</f>
        <v>0</v>
      </c>
      <c r="B136" s="15">
        <f>PR!B134</f>
        <v>0</v>
      </c>
      <c r="C136" s="113">
        <f>PR!D134</f>
        <v>0</v>
      </c>
      <c r="D136" s="113">
        <f>PR!C134</f>
        <v>0</v>
      </c>
      <c r="E136" s="108" t="str">
        <f>IF(F136="ALPHA",PR!$E134,IF(F136="ASSENE",PR!$F134,IF(F136="BIOFEM",PR!$G134,IF(F136="BIOMED",PR!$H134,IF(F136="CHI",PR!$I134,IF(F136="CLARION",PR!$J134,IF(F136="CODIX",PR!$K134,IF(F136="COSMADE",PR!$L134,IF(F136="SANCON",PR!$M134,IF(F136="DEVON",PR!$N134,IF(F136="DORTEMAG",PR!$O134,IF(F136="DGF",PR!$P134,IF(F136="DYNAMIC",PR!$Q134,IF(F136="EMZOR",PR!$R134,IF(F136="EUMATT",PR!$S134,IF(F136="FIDSON",PR!$T134,IF(F136="FCGLOBAL",PR!$U134,IF(F136="GENEITH",PR!$V134,IF(F136="GINOS",PR!$W134,IF(F136="GSK",PR!$X134,IF(F136="GLOBORG",PR!$Y134,IF(F136="GOODNEWS",PR!$Z134,IF(F136="GREENLIFE",PR!$AA134,IF(F136="HLINE",PR!$AB134,IF(F136="ROTECH",PR!$AC134,IF(F136="ISN",PR!$AD134,IF(F136="JAWA",PR!$AE134,IF(F136="LAYO",PR!$AF134,IF(F136="LEADWAY",PR!$AG134,IF(F136="LHV",PR!$AH134,IF(F136="MANOLA",PR!$AI134,IF(F136="MARCSON",PR!$AJ134,IF(F136="M&amp;B",PR!$AK134,IF(F136="MTRUST",PR!$AL134,IF(F136="MWORLD",PR!$AM134,IF(F136="MEGA",PR!$AN134,IF(F136="MICRONOVA",PR!$AO134,IF(F136="MFLASH",PR!$AP134,IF(F136="MORISON",PR!$AQ134,IF(F136="NEMEL",PR!$AR134,IF(F136="NHP",PR!$AS134,IF(F136="NHC",PR!$AT134,IF(F136="OLEAF",PR!$AU134,IF(F136="OCULUS",PR!$AV134,IF(F136="PACIFIC",PR!$AW134,IF(F136="PHAMATEX",PR!$AX134,IF(F136="PETHICS",PR!$AY134,IF(F136="PHILIPS",PR!$AZ134,IF(F136="RANBAXY",PR!$BA134,IF(F136="REALS",PR!$BB134,IF(F136="ROYAL",PR!$BC134,IF(F136="SAM",PR!$BD134,IF(F136="SEAGREEN",PR!$BE134,IF(F136="SKG",PR!$BF134,IF(F136="TAH",PR!$BG134,IF(F136="TAYLEK",PR!$BH134,IF(F136="TEMITA",PR!$BI134,IF(F136="THL",PR!$BJ134,IF(F136="UBASTIC",PR!$BK134,IF(F136="UNION",PR!$BL134,IF(F136="UNIQUE",PR!$BM134,IF(F136="VIXA",PR!$BN134,IF(F136="WWCV",PR!$BO134,IF(F136="ZOLON",PR!$BP134,"-"))))))))))))))))))))))))))))))))))))))))))))))))))))))))))))))))</f>
        <v>-</v>
      </c>
      <c r="F136" s="102"/>
      <c r="G136" s="108" t="str">
        <f>IF(H136="ALPHA",PR!$E134,IF(H136="ASSENE",PR!$F134,IF(H136="BIOFEM",PR!$G134,IF(H136="BIOMED",PR!$H134,IF(H136="CHI",PR!$I134,IF(H136="CLARION",PR!$J134,IF(H136="CODIX",PR!$K134,IF(H136="COSMADE",PR!$L134,IF(H136="SANCON",PR!$M134,IF(H136="DEVON",PR!$N134,IF(H136="DORTEMAG",PR!$O134,IF(H136="DGF",PR!$P134,IF(H136="DYNAMIC",PR!$Q134,IF(H136="EMZOR",PR!$R134,IF(H136="EUMATT",PR!$S134,IF(H136="FIDSON",PR!$T134,IF(H136="FCGLOBAL",PR!$U134,IF(H136="GENEITH",PR!$V134,IF(H136="GINOS",PR!$W134,IF(H136="GSK",PR!$X134,IF(H136="GLOBORG",PR!$Y134,IF(H136="GOODNEWS",PR!$Z134,IF(H136="GREENLIFE",PR!$AA134,IF(H136="HLINE",PR!$AB134,IF(H136="ROTECH",PR!$AC134,IF(H136="ISN",PR!$AD134,IF(H136="JAWA",PR!$AE134,IF(H136="LAYO",PR!$AF134,IF(H136="LEADWAY",PR!$AG134,IF(H136="LHV",PR!$AH134,IF(H136="MANOLA",PR!$AI134,IF(H136="MARCSON",PR!$AJ134,IF(H136="M&amp;B",PR!$AK134,IF(H136="MTRUST",PR!$AL134,IF(H136="MWORLD",PR!$AM134,IF(H136="MEGA",PR!$AN134,IF(H136="MICRONOVA",PR!$AO134,IF(H136="MFLASH",PR!$AP134,IF(H136="MORISON",PR!$AQ134,IF(H136="NEMEL",PR!$AR134,IF(H136="NHP",PR!$AS134,IF(H136="NHC",PR!$AT134,IF(H136="OLEAF",PR!$AU134,IF(H136="OCULUS",PR!$AV134,IF(H136="PACIFIC",PR!$AW134,IF(H136="PHAMATEX",PR!$AX134,IF(H136="PETHICS",PR!$AY134,IF(H136="PHILIPS",PR!$AZ134,IF(H136="RANBAXY",PR!$BA134,IF(H136="REALS",PR!$BB134,IF(H136="ROYAL",PR!$BC134,IF(H136="SAM",PR!$BD134,IF(H136="SEAGREEN",PR!$BE134,IF(H136="SKG",PR!$BF134,IF(H136="TAH",PR!$BG134,IF(H136="TAYLEK",PR!$BH134,IF(H136="TEMITA",PR!$BI134,IF(H136="THL",PR!$BJ134,IF(H136="UBASTIC",PR!$BK134,IF(H136="UNION",PR!$BL134,IF(H136="UNIQUE",PR!$BM134,IF(H136="VIXA",PR!$BN134,IF(H136="WWCV",PR!$BO134,IF(H136="ZOLON",PR!$BP134,"-"))))))))))))))))))))))))))))))))))))))))))))))))))))))))))))))))</f>
        <v>-</v>
      </c>
      <c r="H136" s="102"/>
      <c r="I136" s="108" t="str">
        <f>IF(J136="ALPHA",PR!$E134,IF(J136="ASSENE",PR!$F134,IF(J136="BIOFEM",PR!$G134,IF(J136="BIOMED",PR!$H134,IF(J136="CHI",PR!$I134,IF(J136="CLARION",PR!$J134,IF(J136="CODIX",PR!$K134,IF(J136="COSMADE",PR!$L134,IF(J136="SANCON",PR!$M134,IF(J136="DEVON",PR!$N134,IF(J136="DORTEMAG",PR!$O134,IF(J136="DGF",PR!$P134,IF(J136="DYNAMIC",PR!$Q134,IF(J136="EMZOR",PR!$R134,IF(J136="EUMATT",PR!$S134,IF(J136="FIDSON",PR!$T134,IF(J136="FCGLOBAL",PR!$U134,IF(J136="GENEITH",PR!$V134,IF(J136="GINOS",PR!$W134,IF(J136="GSK",PR!$X134,IF(J136="GLOBORG",PR!$Y134,IF(J136="GOODNEWS",PR!$Z134,IF(J136="GREENLIFE",PR!$AA134,IF(J136="HLINE",PR!$AB134,IF(J136="ROTECH",PR!$AC134,IF(J136="ISN",PR!$AD134,IF(J136="JAWA",PR!$AE134,IF(J136="LAYO",PR!$AF134,IF(J136="LEADWAY",PR!$AG134,IF(J136="LHV",PR!$AH134,IF(J136="MANOLA",PR!$AI134,IF(J136="MARCSON",PR!$AJ134,IF(J136="M&amp;B",PR!$AK134,IF(J136="MTRUST",PR!$AL134,IF(J136="MWORLD",PR!$AM134,IF(J136="MEGA",PR!$AN134,IF(J136="MICRONOVA",PR!$AO134,IF(J136="MFLASH",PR!$AP134,IF(J136="MORISON",PR!$AQ134,IF(J136="NEMEL",PR!$AR134,IF(J136="NHP",PR!$AS134,IF(J136="NHC",PR!$AT134,IF(J136="OLEAF",PR!$AU134,IF(J136="OCULUS",PR!$AV134,IF(J136="PACIFIC",PR!$AW134,IF(J136="PHAMATEX",PR!$AX134,IF(J136="PETHICS",PR!$AY134,IF(J136="PHILIPS",PR!$AZ134,IF(J136="RANBAXY",PR!$BA134,IF(J136="REALS",PR!$BB134,IF(J136="ROYAL",PR!$BC134,IF(J136="SAM",PR!$BD134,IF(J136="SEAGREEN",PR!$BE134,IF(J136="SKG",PR!$BF134,IF(J136="TAH",PR!$BG134,IF(J136="TAYLEK",PR!$BH134,IF(J136="TEMITA",PR!$BI134,IF(J136="THL",PR!$BJ134,IF(J136="UBASTIC",PR!$BK134,IF(J136="UNION",PR!$BL134,IF(J136="UNIQUE",PR!$BM134,IF(J136="VIXA",PR!$BN134,IF(J136="WWCV",PR!$BO134,IF(J136="ZOLON",PR!$BP134,"-"))))))))))))))))))))))))))))))))))))))))))))))))))))))))))))))))</f>
        <v>-</v>
      </c>
      <c r="J136" s="102"/>
      <c r="K136" s="433"/>
      <c r="L136" s="183" t="b">
        <f>IF(K136&gt;0,IF(K136="ALPHA",PR!$E134,IF(K136="ASSENE",PR!$F134,IF(K136="BIOFEM",PR!$G134,IF(K136="BIOMED",PR!$H134,IF(K136="CHI",PR!$I134,IF(K136="CLARION",PR!$J134,IF(K136="CODIX",PR!$K134,IF(K136="COSMADE",PR!$L134,IF(K136="SANCON",PR!$M134,IF(K136="DEVON",PR!$N134,IF(K136="DORTEMAG",PR!$O134,IF(K136="DGF",PR!$P134,IF(K136="DYNAMIC",PR!$Q134,IF(K136="EMZOR",PR!$R134,IF(K136="EUMATT",PR!$S134,IF(K136="FIDSON",PR!$T134,IF(K136="FCGLOBAL",PR!$U134,IF(K136="GENEITH",PR!$V134,IF(K136="GINOS",PR!$W134,IF(K136="GSK",PR!$X134,IF(K136="GLOBORG",PR!$Y134,IF(K136="GOODNEWS",PR!$Z134,IF(K136="GREENLIFE",PR!$AA134,IF(K136="HLINE",PR!$AB134,IF(K136="ROTECH",PR!$AC134,IF(K136="ISN",PR!$AD134,IF(K136="JAWA",PR!$AE134,IF(K136="LAYO",PR!$AF134,IF(K136="LEADWAY",PR!$AG134,IF(K136="LHV",PR!$AH134,IF(K136="MANOLA",PR!$AI134,IF(K136="MARCSON",PR!$AJ134,IF(K136="M&amp;B",PR!$AK134,IF(K136="MTRUST",PR!$AL134,IF(K136="MWORLD",PR!$AM134,IF(K136="MEGA",PR!$AN134,IF(K136="MICRONOVA",PR!$AO134,IF(K136="MFLASH",PR!$AP134,IF(K136="MORISON",PR!$AQ134,IF(K136="NEMEL",PR!$AR134,IF(K136="NHP",PR!$AS134,IF(K136="NHC",PR!$AT134,IF(K136="OLEAF",PR!$AU134,IF(K136="OCULUS",PR!$AV134,IF(K136="PACIFIC",PR!$AW134,IF(K136="PHAMATEX",PR!$AX134,IF(K136="PETHICS",PR!$AY134,IF(K136="PHILIPS",PR!$AZ134,IF(K136="RANBAXY",PR!$BA134,IF(K136="REALS",PR!$BB134,IF(K136="ROYAL",PR!$BC134,IF(K136="SAM",PR!$BD134,IF(K136="SEAGREEN",PR!$BE134,IF(K136="SKG",PR!$BF134,IF(K136="TAH",PR!$BG134,IF(K136="TAYLEK",PR!$BH134,IF(K136="TEMITA",PR!$BI134,IF(K136="THL",PR!$BJ134,IF(K136="UBASTIC",PR!$BK134,IF(K136="UNION",PR!$BL134,IF(K136="UNIQUE",PR!$BM134,IF(K136="VIXA",PR!$BN134,IF(K136="WWCV",PR!$BO134,IF(K136="ZOLON",PR!$BP134,"-")))))))))))))))))))))))))))))))))))))))))))))))))))))))))))))))))</f>
        <v>0</v>
      </c>
    </row>
    <row r="137" spans="1:12" ht="18.75" x14ac:dyDescent="0.3">
      <c r="A137" s="430">
        <f>PR!A135</f>
        <v>0</v>
      </c>
      <c r="B137" s="15" t="str">
        <f>PR!B135</f>
        <v>HYPOGLYCEMIC AGENTS</v>
      </c>
      <c r="C137" s="113">
        <f>PR!D135</f>
        <v>0</v>
      </c>
      <c r="D137" s="113">
        <f>PR!C135</f>
        <v>0</v>
      </c>
      <c r="E137" s="108" t="str">
        <f>IF(F137="ALPHA",PR!$E135,IF(F137="ASSENE",PR!$F135,IF(F137="BIOFEM",PR!$G135,IF(F137="BIOMED",PR!$H135,IF(F137="CHI",PR!$I135,IF(F137="CLARION",PR!$J135,IF(F137="CODIX",PR!$K135,IF(F137="COSMADE",PR!$L135,IF(F137="SANCON",PR!$M135,IF(F137="DEVON",PR!$N135,IF(F137="DORTEMAG",PR!$O135,IF(F137="DGF",PR!$P135,IF(F137="DYNAMIC",PR!$Q135,IF(F137="EMZOR",PR!$R135,IF(F137="EUMATT",PR!$S135,IF(F137="FIDSON",PR!$T135,IF(F137="FCGLOBAL",PR!$U135,IF(F137="GENEITH",PR!$V135,IF(F137="GINOS",PR!$W135,IF(F137="GSK",PR!$X135,IF(F137="GLOBORG",PR!$Y135,IF(F137="GOODNEWS",PR!$Z135,IF(F137="GREENLIFE",PR!$AA135,IF(F137="HLINE",PR!$AB135,IF(F137="ROTECH",PR!$AC135,IF(F137="ISN",PR!$AD135,IF(F137="JAWA",PR!$AE135,IF(F137="LAYO",PR!$AF135,IF(F137="LEADWAY",PR!$AG135,IF(F137="LHV",PR!$AH135,IF(F137="MANOLA",PR!$AI135,IF(F137="MARCSON",PR!$AJ135,IF(F137="M&amp;B",PR!$AK135,IF(F137="MTRUST",PR!$AL135,IF(F137="MWORLD",PR!$AM135,IF(F137="MEGA",PR!$AN135,IF(F137="MICRONOVA",PR!$AO135,IF(F137="MFLASH",PR!$AP135,IF(F137="MORISON",PR!$AQ135,IF(F137="NEMEL",PR!$AR135,IF(F137="NHP",PR!$AS135,IF(F137="NHC",PR!$AT135,IF(F137="OLEAF",PR!$AU135,IF(F137="OCULUS",PR!$AV135,IF(F137="PACIFIC",PR!$AW135,IF(F137="PHAMATEX",PR!$AX135,IF(F137="PETHICS",PR!$AY135,IF(F137="PHILIPS",PR!$AZ135,IF(F137="RANBAXY",PR!$BA135,IF(F137="REALS",PR!$BB135,IF(F137="ROYAL",PR!$BC135,IF(F137="SAM",PR!$BD135,IF(F137="SEAGREEN",PR!$BE135,IF(F137="SKG",PR!$BF135,IF(F137="TAH",PR!$BG135,IF(F137="TAYLEK",PR!$BH135,IF(F137="TEMITA",PR!$BI135,IF(F137="THL",PR!$BJ135,IF(F137="UBASTIC",PR!$BK135,IF(F137="UNION",PR!$BL135,IF(F137="UNIQUE",PR!$BM135,IF(F137="VIXA",PR!$BN135,IF(F137="WWCV",PR!$BO135,IF(F137="ZOLON",PR!$BP135,"-"))))))))))))))))))))))))))))))))))))))))))))))))))))))))))))))))</f>
        <v>-</v>
      </c>
      <c r="F137" s="102"/>
      <c r="G137" s="108" t="str">
        <f>IF(H137="ALPHA",PR!$E135,IF(H137="ASSENE",PR!$F135,IF(H137="BIOFEM",PR!$G135,IF(H137="BIOMED",PR!$H135,IF(H137="CHI",PR!$I135,IF(H137="CLARION",PR!$J135,IF(H137="CODIX",PR!$K135,IF(H137="COSMADE",PR!$L135,IF(H137="SANCON",PR!$M135,IF(H137="DEVON",PR!$N135,IF(H137="DORTEMAG",PR!$O135,IF(H137="DGF",PR!$P135,IF(H137="DYNAMIC",PR!$Q135,IF(H137="EMZOR",PR!$R135,IF(H137="EUMATT",PR!$S135,IF(H137="FIDSON",PR!$T135,IF(H137="FCGLOBAL",PR!$U135,IF(H137="GENEITH",PR!$V135,IF(H137="GINOS",PR!$W135,IF(H137="GSK",PR!$X135,IF(H137="GLOBORG",PR!$Y135,IF(H137="GOODNEWS",PR!$Z135,IF(H137="GREENLIFE",PR!$AA135,IF(H137="HLINE",PR!$AB135,IF(H137="ROTECH",PR!$AC135,IF(H137="ISN",PR!$AD135,IF(H137="JAWA",PR!$AE135,IF(H137="LAYO",PR!$AF135,IF(H137="LEADWAY",PR!$AG135,IF(H137="LHV",PR!$AH135,IF(H137="MANOLA",PR!$AI135,IF(H137="MARCSON",PR!$AJ135,IF(H137="M&amp;B",PR!$AK135,IF(H137="MTRUST",PR!$AL135,IF(H137="MWORLD",PR!$AM135,IF(H137="MEGA",PR!$AN135,IF(H137="MICRONOVA",PR!$AO135,IF(H137="MFLASH",PR!$AP135,IF(H137="MORISON",PR!$AQ135,IF(H137="NEMEL",PR!$AR135,IF(H137="NHP",PR!$AS135,IF(H137="NHC",PR!$AT135,IF(H137="OLEAF",PR!$AU135,IF(H137="OCULUS",PR!$AV135,IF(H137="PACIFIC",PR!$AW135,IF(H137="PHAMATEX",PR!$AX135,IF(H137="PETHICS",PR!$AY135,IF(H137="PHILIPS",PR!$AZ135,IF(H137="RANBAXY",PR!$BA135,IF(H137="REALS",PR!$BB135,IF(H137="ROYAL",PR!$BC135,IF(H137="SAM",PR!$BD135,IF(H137="SEAGREEN",PR!$BE135,IF(H137="SKG",PR!$BF135,IF(H137="TAH",PR!$BG135,IF(H137="TAYLEK",PR!$BH135,IF(H137="TEMITA",PR!$BI135,IF(H137="THL",PR!$BJ135,IF(H137="UBASTIC",PR!$BK135,IF(H137="UNION",PR!$BL135,IF(H137="UNIQUE",PR!$BM135,IF(H137="VIXA",PR!$BN135,IF(H137="WWCV",PR!$BO135,IF(H137="ZOLON",PR!$BP135,"-"))))))))))))))))))))))))))))))))))))))))))))))))))))))))))))))))</f>
        <v>-</v>
      </c>
      <c r="H137" s="102"/>
      <c r="I137" s="108" t="str">
        <f>IF(J137="ALPHA",PR!$E135,IF(J137="ASSENE",PR!$F135,IF(J137="BIOFEM",PR!$G135,IF(J137="BIOMED",PR!$H135,IF(J137="CHI",PR!$I135,IF(J137="CLARION",PR!$J135,IF(J137="CODIX",PR!$K135,IF(J137="COSMADE",PR!$L135,IF(J137="SANCON",PR!$M135,IF(J137="DEVON",PR!$N135,IF(J137="DORTEMAG",PR!$O135,IF(J137="DGF",PR!$P135,IF(J137="DYNAMIC",PR!$Q135,IF(J137="EMZOR",PR!$R135,IF(J137="EUMATT",PR!$S135,IF(J137="FIDSON",PR!$T135,IF(J137="FCGLOBAL",PR!$U135,IF(J137="GENEITH",PR!$V135,IF(J137="GINOS",PR!$W135,IF(J137="GSK",PR!$X135,IF(J137="GLOBORG",PR!$Y135,IF(J137="GOODNEWS",PR!$Z135,IF(J137="GREENLIFE",PR!$AA135,IF(J137="HLINE",PR!$AB135,IF(J137="ROTECH",PR!$AC135,IF(J137="ISN",PR!$AD135,IF(J137="JAWA",PR!$AE135,IF(J137="LAYO",PR!$AF135,IF(J137="LEADWAY",PR!$AG135,IF(J137="LHV",PR!$AH135,IF(J137="MANOLA",PR!$AI135,IF(J137="MARCSON",PR!$AJ135,IF(J137="M&amp;B",PR!$AK135,IF(J137="MTRUST",PR!$AL135,IF(J137="MWORLD",PR!$AM135,IF(J137="MEGA",PR!$AN135,IF(J137="MICRONOVA",PR!$AO135,IF(J137="MFLASH",PR!$AP135,IF(J137="MORISON",PR!$AQ135,IF(J137="NEMEL",PR!$AR135,IF(J137="NHP",PR!$AS135,IF(J137="NHC",PR!$AT135,IF(J137="OLEAF",PR!$AU135,IF(J137="OCULUS",PR!$AV135,IF(J137="PACIFIC",PR!$AW135,IF(J137="PHAMATEX",PR!$AX135,IF(J137="PETHICS",PR!$AY135,IF(J137="PHILIPS",PR!$AZ135,IF(J137="RANBAXY",PR!$BA135,IF(J137="REALS",PR!$BB135,IF(J137="ROYAL",PR!$BC135,IF(J137="SAM",PR!$BD135,IF(J137="SEAGREEN",PR!$BE135,IF(J137="SKG",PR!$BF135,IF(J137="TAH",PR!$BG135,IF(J137="TAYLEK",PR!$BH135,IF(J137="TEMITA",PR!$BI135,IF(J137="THL",PR!$BJ135,IF(J137="UBASTIC",PR!$BK135,IF(J137="UNION",PR!$BL135,IF(J137="UNIQUE",PR!$BM135,IF(J137="VIXA",PR!$BN135,IF(J137="WWCV",PR!$BO135,IF(J137="ZOLON",PR!$BP135,"-"))))))))))))))))))))))))))))))))))))))))))))))))))))))))))))))))</f>
        <v>-</v>
      </c>
      <c r="J137" s="102"/>
      <c r="K137" s="433"/>
      <c r="L137" s="183" t="b">
        <f>IF(K137&gt;0,IF(K137="ALPHA",PR!$E135,IF(K137="ASSENE",PR!$F135,IF(K137="BIOFEM",PR!$G135,IF(K137="BIOMED",PR!$H135,IF(K137="CHI",PR!$I135,IF(K137="CLARION",PR!$J135,IF(K137="CODIX",PR!$K135,IF(K137="COSMADE",PR!$L135,IF(K137="SANCON",PR!$M135,IF(K137="DEVON",PR!$N135,IF(K137="DORTEMAG",PR!$O135,IF(K137="DGF",PR!$P135,IF(K137="DYNAMIC",PR!$Q135,IF(K137="EMZOR",PR!$R135,IF(K137="EUMATT",PR!$S135,IF(K137="FIDSON",PR!$T135,IF(K137="FCGLOBAL",PR!$U135,IF(K137="GENEITH",PR!$V135,IF(K137="GINOS",PR!$W135,IF(K137="GSK",PR!$X135,IF(K137="GLOBORG",PR!$Y135,IF(K137="GOODNEWS",PR!$Z135,IF(K137="GREENLIFE",PR!$AA135,IF(K137="HLINE",PR!$AB135,IF(K137="ROTECH",PR!$AC135,IF(K137="ISN",PR!$AD135,IF(K137="JAWA",PR!$AE135,IF(K137="LAYO",PR!$AF135,IF(K137="LEADWAY",PR!$AG135,IF(K137="LHV",PR!$AH135,IF(K137="MANOLA",PR!$AI135,IF(K137="MARCSON",PR!$AJ135,IF(K137="M&amp;B",PR!$AK135,IF(K137="MTRUST",PR!$AL135,IF(K137="MWORLD",PR!$AM135,IF(K137="MEGA",PR!$AN135,IF(K137="MICRONOVA",PR!$AO135,IF(K137="MFLASH",PR!$AP135,IF(K137="MORISON",PR!$AQ135,IF(K137="NEMEL",PR!$AR135,IF(K137="NHP",PR!$AS135,IF(K137="NHC",PR!$AT135,IF(K137="OLEAF",PR!$AU135,IF(K137="OCULUS",PR!$AV135,IF(K137="PACIFIC",PR!$AW135,IF(K137="PHAMATEX",PR!$AX135,IF(K137="PETHICS",PR!$AY135,IF(K137="PHILIPS",PR!$AZ135,IF(K137="RANBAXY",PR!$BA135,IF(K137="REALS",PR!$BB135,IF(K137="ROYAL",PR!$BC135,IF(K137="SAM",PR!$BD135,IF(K137="SEAGREEN",PR!$BE135,IF(K137="SKG",PR!$BF135,IF(K137="TAH",PR!$BG135,IF(K137="TAYLEK",PR!$BH135,IF(K137="TEMITA",PR!$BI135,IF(K137="THL",PR!$BJ135,IF(K137="UBASTIC",PR!$BK135,IF(K137="UNION",PR!$BL135,IF(K137="UNIQUE",PR!$BM135,IF(K137="VIXA",PR!$BN135,IF(K137="WWCV",PR!$BO135,IF(K137="ZOLON",PR!$BP135,"-")))))))))))))))))))))))))))))))))))))))))))))))))))))))))))))))))</f>
        <v>0</v>
      </c>
    </row>
    <row r="138" spans="1:12" ht="18.75" x14ac:dyDescent="0.3">
      <c r="A138" s="430">
        <f>PR!A136</f>
        <v>118</v>
      </c>
      <c r="B138" s="15" t="str">
        <f>PR!B136</f>
        <v>GLIBENCLAMIDE 5MG</v>
      </c>
      <c r="C138" s="113">
        <f>PR!D136</f>
        <v>100</v>
      </c>
      <c r="D138" s="113">
        <f>PR!C136</f>
        <v>250</v>
      </c>
      <c r="E138" s="108">
        <f>IF(F138="ALPHA",PR!$E136,IF(F138="ASSENE",PR!$F136,IF(F138="BIOFEM",PR!$G136,IF(F138="BIOMED",PR!$H136,IF(F138="CHI",PR!$I136,IF(F138="CLARION",PR!$J136,IF(F138="CODIX",PR!$K136,IF(F138="COSMADE",PR!$L136,IF(F138="SANCON",PR!$M136,IF(F138="DEVON",PR!$N136,IF(F138="DORTEMAG",PR!$O136,IF(F138="DGF",PR!$P136,IF(F138="DYNAMIC",PR!$Q136,IF(F138="EMZOR",PR!$R136,IF(F138="EUMATT",PR!$S136,IF(F138="FIDSON",PR!$T136,IF(F138="FCGLOBAL",PR!$U136,IF(F138="GENEITH",PR!$V136,IF(F138="GINOS",PR!$W136,IF(F138="GSK",PR!$X136,IF(F138="GLOBORG",PR!$Y136,IF(F138="GOODNEWS",PR!$Z136,IF(F138="GREENLIFE",PR!$AA136,IF(F138="HLINE",PR!$AB136,IF(F138="ROTECH",PR!$AC136,IF(F138="ISN",PR!$AD136,IF(F138="JAWA",PR!$AE136,IF(F138="LAYO",PR!$AF136,IF(F138="LEADWAY",PR!$AG136,IF(F138="LHV",PR!$AH136,IF(F138="MANOLA",PR!$AI136,IF(F138="MARCSON",PR!$AJ136,IF(F138="M&amp;B",PR!$AK136,IF(F138="MTRUST",PR!$AL136,IF(F138="MWORLD",PR!$AM136,IF(F138="MEGA",PR!$AN136,IF(F138="MICRONOVA",PR!$AO136,IF(F138="MFLASH",PR!$AP136,IF(F138="MORISON",PR!$AQ136,IF(F138="NEMEL",PR!$AR136,IF(F138="NHP",PR!$AS136,IF(F138="NHC",PR!$AT136,IF(F138="OLEAF",PR!$AU136,IF(F138="OCULUS",PR!$AV136,IF(F138="PACIFIC",PR!$AW136,IF(F138="PHAMATEX",PR!$AX136,IF(F138="PETHICS",PR!$AY136,IF(F138="PHILIPS",PR!$AZ136,IF(F138="RANBAXY",PR!$BA136,IF(F138="REALS",PR!$BB136,IF(F138="ROYAL",PR!$BC136,IF(F138="SAM",PR!$BD136,IF(F138="SEAGREEN",PR!$BE136,IF(F138="SKG",PR!$BF136,IF(F138="TAH",PR!$BG136,IF(F138="TAYLEK",PR!$BH136,IF(F138="TEMITA",PR!$BI136,IF(F138="THL",PR!$BJ136,IF(F138="UBASTIC",PR!$BK136,IF(F138="UNION",PR!$BL136,IF(F138="UNIQUE",PR!$BM136,IF(F138="VIXA",PR!$BN136,IF(F138="WWCV",PR!$BO136,IF(F138="ZOLON",PR!$BP136,"-"))))))))))))))))))))))))))))))))))))))))))))))))))))))))))))))))</f>
        <v>250</v>
      </c>
      <c r="F138" s="102" t="str">
        <f>EV!L158</f>
        <v>VIXA</v>
      </c>
      <c r="G138" s="108">
        <f>IF(H138="ALPHA",PR!$E136,IF(H138="ASSENE",PR!$F136,IF(H138="BIOFEM",PR!$G136,IF(H138="BIOMED",PR!$H136,IF(H138="CHI",PR!$I136,IF(H138="CLARION",PR!$J136,IF(H138="CODIX",PR!$K136,IF(H138="COSMADE",PR!$L136,IF(H138="SANCON",PR!$M136,IF(H138="DEVON",PR!$N136,IF(H138="DORTEMAG",PR!$O136,IF(H138="DGF",PR!$P136,IF(H138="DYNAMIC",PR!$Q136,IF(H138="EMZOR",PR!$R136,IF(H138="EUMATT",PR!$S136,IF(H138="FIDSON",PR!$T136,IF(H138="FCGLOBAL",PR!$U136,IF(H138="GENEITH",PR!$V136,IF(H138="GINOS",PR!$W136,IF(H138="GSK",PR!$X136,IF(H138="GLOBORG",PR!$Y136,IF(H138="GOODNEWS",PR!$Z136,IF(H138="GREENLIFE",PR!$AA136,IF(H138="HLINE",PR!$AB136,IF(H138="ROTECH",PR!$AC136,IF(H138="ISN",PR!$AD136,IF(H138="JAWA",PR!$AE136,IF(H138="LAYO",PR!$AF136,IF(H138="LEADWAY",PR!$AG136,IF(H138="LHV",PR!$AH136,IF(H138="MANOLA",PR!$AI136,IF(H138="MARCSON",PR!$AJ136,IF(H138="M&amp;B",PR!$AK136,IF(H138="MTRUST",PR!$AL136,IF(H138="MWORLD",PR!$AM136,IF(H138="MEGA",PR!$AN136,IF(H138="MICRONOVA",PR!$AO136,IF(H138="MFLASH",PR!$AP136,IF(H138="MORISON",PR!$AQ136,IF(H138="NEMEL",PR!$AR136,IF(H138="NHP",PR!$AS136,IF(H138="NHC",PR!$AT136,IF(H138="OLEAF",PR!$AU136,IF(H138="OCULUS",PR!$AV136,IF(H138="PACIFIC",PR!$AW136,IF(H138="PHAMATEX",PR!$AX136,IF(H138="PETHICS",PR!$AY136,IF(H138="PHILIPS",PR!$AZ136,IF(H138="RANBAXY",PR!$BA136,IF(H138="REALS",PR!$BB136,IF(H138="ROYAL",PR!$BC136,IF(H138="SAM",PR!$BD136,IF(H138="SEAGREEN",PR!$BE136,IF(H138="SKG",PR!$BF136,IF(H138="TAH",PR!$BG136,IF(H138="TAYLEK",PR!$BH136,IF(H138="TEMITA",PR!$BI136,IF(H138="THL",PR!$BJ136,IF(H138="UBASTIC",PR!$BK136,IF(H138="UNION",PR!$BL136,IF(H138="UNIQUE",PR!$BM136,IF(H138="VIXA",PR!$BN136,IF(H138="WWCV",PR!$BO136,IF(H138="ZOLON",PR!$BP136,"-"))))))))))))))))))))))))))))))))))))))))))))))))))))))))))))))))</f>
        <v>350</v>
      </c>
      <c r="H138" s="102" t="str">
        <f>EV!M158</f>
        <v>EUMATT</v>
      </c>
      <c r="I138" s="108">
        <f>IF(J138="ALPHA",PR!$E136,IF(J138="ASSENE",PR!$F136,IF(J138="BIOFEM",PR!$G136,IF(J138="BIOMED",PR!$H136,IF(J138="CHI",PR!$I136,IF(J138="CLARION",PR!$J136,IF(J138="CODIX",PR!$K136,IF(J138="COSMADE",PR!$L136,IF(J138="SANCON",PR!$M136,IF(J138="DEVON",PR!$N136,IF(J138="DORTEMAG",PR!$O136,IF(J138="DGF",PR!$P136,IF(J138="DYNAMIC",PR!$Q136,IF(J138="EMZOR",PR!$R136,IF(J138="EUMATT",PR!$S136,IF(J138="FIDSON",PR!$T136,IF(J138="FCGLOBAL",PR!$U136,IF(J138="GENEITH",PR!$V136,IF(J138="GINOS",PR!$W136,IF(J138="GSK",PR!$X136,IF(J138="GLOBORG",PR!$Y136,IF(J138="GOODNEWS",PR!$Z136,IF(J138="GREENLIFE",PR!$AA136,IF(J138="HLINE",PR!$AB136,IF(J138="ROTECH",PR!$AC136,IF(J138="ISN",PR!$AD136,IF(J138="JAWA",PR!$AE136,IF(J138="LAYO",PR!$AF136,IF(J138="LEADWAY",PR!$AG136,IF(J138="LHV",PR!$AH136,IF(J138="MANOLA",PR!$AI136,IF(J138="MARCSON",PR!$AJ136,IF(J138="M&amp;B",PR!$AK136,IF(J138="MTRUST",PR!$AL136,IF(J138="MWORLD",PR!$AM136,IF(J138="MEGA",PR!$AN136,IF(J138="MICRONOVA",PR!$AO136,IF(J138="MFLASH",PR!$AP136,IF(J138="MORISON",PR!$AQ136,IF(J138="NEMEL",PR!$AR136,IF(J138="NHP",PR!$AS136,IF(J138="NHC",PR!$AT136,IF(J138="OLEAF",PR!$AU136,IF(J138="OCULUS",PR!$AV136,IF(J138="PACIFIC",PR!$AW136,IF(J138="PHAMATEX",PR!$AX136,IF(J138="PETHICS",PR!$AY136,IF(J138="PHILIPS",PR!$AZ136,IF(J138="RANBAXY",PR!$BA136,IF(J138="REALS",PR!$BB136,IF(J138="ROYAL",PR!$BC136,IF(J138="SAM",PR!$BD136,IF(J138="SEAGREEN",PR!$BE136,IF(J138="SKG",PR!$BF136,IF(J138="TAH",PR!$BG136,IF(J138="TAYLEK",PR!$BH136,IF(J138="TEMITA",PR!$BI136,IF(J138="THL",PR!$BJ136,IF(J138="UBASTIC",PR!$BK136,IF(J138="UNION",PR!$BL136,IF(J138="UNIQUE",PR!$BM136,IF(J138="VIXA",PR!$BN136,IF(J138="WWCV",PR!$BO136,IF(J138="ZOLON",PR!$BP136,"-"))))))))))))))))))))))))))))))))))))))))))))))))))))))))))))))))</f>
        <v>385</v>
      </c>
      <c r="J138" s="102" t="str">
        <f>EV!N158</f>
        <v>UNIQUE</v>
      </c>
      <c r="K138" s="433" t="s">
        <v>620</v>
      </c>
      <c r="L138" s="183">
        <f>IF(K138&gt;0,IF(K138="ALPHA",PR!$E136,IF(K138="ASSENE",PR!$F136,IF(K138="BIOFEM",PR!$G136,IF(K138="BIOMED",PR!$H136,IF(K138="CHI",PR!$I136,IF(K138="CLARION",PR!$J136,IF(K138="CODIX",PR!$K136,IF(K138="COSMADE",PR!$L136,IF(K138="SANCON",PR!$M136,IF(K138="DEVON",PR!$N136,IF(K138="DORTEMAG",PR!$O136,IF(K138="DGF",PR!$P136,IF(K138="DYNAMIC",PR!$Q136,IF(K138="EMZOR",PR!$R136,IF(K138="EUMATT",PR!$S136,IF(K138="FIDSON",PR!$T136,IF(K138="FCGLOBAL",PR!$U136,IF(K138="GENEITH",PR!$V136,IF(K138="GINOS",PR!$W136,IF(K138="GSK",PR!$X136,IF(K138="GLOBORG",PR!$Y136,IF(K138="GOODNEWS",PR!$Z136,IF(K138="GREENLIFE",PR!$AA136,IF(K138="HLINE",PR!$AB136,IF(K138="ROTECH",PR!$AC136,IF(K138="ISN",PR!$AD136,IF(K138="JAWA",PR!$AE136,IF(K138="LAYO",PR!$AF136,IF(K138="LEADWAY",PR!$AG136,IF(K138="LHV",PR!$AH136,IF(K138="MANOLA",PR!$AI136,IF(K138="MARCSON",PR!$AJ136,IF(K138="M&amp;B",PR!$AK136,IF(K138="MTRUST",PR!$AL136,IF(K138="MWORLD",PR!$AM136,IF(K138="MEGA",PR!$AN136,IF(K138="MICRONOVA",PR!$AO136,IF(K138="MFLASH",PR!$AP136,IF(K138="MORISON",PR!$AQ136,IF(K138="NEMEL",PR!$AR136,IF(K138="NHP",PR!$AS136,IF(K138="NHC",PR!$AT136,IF(K138="OLEAF",PR!$AU136,IF(K138="OCULUS",PR!$AV136,IF(K138="PACIFIC",PR!$AW136,IF(K138="PHAMATEX",PR!$AX136,IF(K138="PETHICS",PR!$AY136,IF(K138="PHILIPS",PR!$AZ136,IF(K138="RANBAXY",PR!$BA136,IF(K138="REALS",PR!$BB136,IF(K138="ROYAL",PR!$BC136,IF(K138="SAM",PR!$BD136,IF(K138="SEAGREEN",PR!$BE136,IF(K138="SKG",PR!$BF136,IF(K138="TAH",PR!$BG136,IF(K138="TAYLEK",PR!$BH136,IF(K138="TEMITA",PR!$BI136,IF(K138="THL",PR!$BJ136,IF(K138="UBASTIC",PR!$BK136,IF(K138="UNION",PR!$BL136,IF(K138="UNIQUE",PR!$BM136,IF(K138="VIXA",PR!$BN136,IF(K138="WWCV",PR!$BO136,IF(K138="ZOLON",PR!$BP136,"-")))))))))))))))))))))))))))))))))))))))))))))))))))))))))))))))))</f>
        <v>250</v>
      </c>
    </row>
    <row r="139" spans="1:12" ht="18.75" x14ac:dyDescent="0.3">
      <c r="A139" s="430">
        <f>PR!A137</f>
        <v>119</v>
      </c>
      <c r="B139" s="15" t="str">
        <f>PR!B137</f>
        <v>GLICLAZIDE 60MG</v>
      </c>
      <c r="C139" s="113">
        <f>PR!D137</f>
        <v>30</v>
      </c>
      <c r="D139" s="113">
        <f>PR!C137</f>
        <v>2000</v>
      </c>
      <c r="E139" s="108">
        <f>IF(F139="ALPHA",PR!$E137,IF(F139="ASSENE",PR!$F137,IF(F139="BIOFEM",PR!$G137,IF(F139="BIOMED",PR!$H137,IF(F139="CHI",PR!$I137,IF(F139="CLARION",PR!$J137,IF(F139="CODIX",PR!$K137,IF(F139="COSMADE",PR!$L137,IF(F139="SANCON",PR!$M137,IF(F139="DEVON",PR!$N137,IF(F139="DORTEMAG",PR!$O137,IF(F139="DGF",PR!$P137,IF(F139="DYNAMIC",PR!$Q137,IF(F139="EMZOR",PR!$R137,IF(F139="EUMATT",PR!$S137,IF(F139="FIDSON",PR!$T137,IF(F139="FCGLOBAL",PR!$U137,IF(F139="GENEITH",PR!$V137,IF(F139="GINOS",PR!$W137,IF(F139="GSK",PR!$X137,IF(F139="GLOBORG",PR!$Y137,IF(F139="GOODNEWS",PR!$Z137,IF(F139="GREENLIFE",PR!$AA137,IF(F139="HLINE",PR!$AB137,IF(F139="ROTECH",PR!$AC137,IF(F139="ISN",PR!$AD137,IF(F139="JAWA",PR!$AE137,IF(F139="LAYO",PR!$AF137,IF(F139="LEADWAY",PR!$AG137,IF(F139="LHV",PR!$AH137,IF(F139="MANOLA",PR!$AI137,IF(F139="MARCSON",PR!$AJ137,IF(F139="M&amp;B",PR!$AK137,IF(F139="MTRUST",PR!$AL137,IF(F139="MWORLD",PR!$AM137,IF(F139="MEGA",PR!$AN137,IF(F139="MICRONOVA",PR!$AO137,IF(F139="MFLASH",PR!$AP137,IF(F139="MORISON",PR!$AQ137,IF(F139="NEMEL",PR!$AR137,IF(F139="NHP",PR!$AS137,IF(F139="NHC",PR!$AT137,IF(F139="OLEAF",PR!$AU137,IF(F139="OCULUS",PR!$AV137,IF(F139="PACIFIC",PR!$AW137,IF(F139="PHAMATEX",PR!$AX137,IF(F139="PETHICS",PR!$AY137,IF(F139="PHILIPS",PR!$AZ137,IF(F139="RANBAXY",PR!$BA137,IF(F139="REALS",PR!$BB137,IF(F139="ROYAL",PR!$BC137,IF(F139="SAM",PR!$BD137,IF(F139="SEAGREEN",PR!$BE137,IF(F139="SKG",PR!$BF137,IF(F139="TAH",PR!$BG137,IF(F139="TAYLEK",PR!$BH137,IF(F139="TEMITA",PR!$BI137,IF(F139="THL",PR!$BJ137,IF(F139="UBASTIC",PR!$BK137,IF(F139="UNION",PR!$BL137,IF(F139="UNIQUE",PR!$BM137,IF(F139="VIXA",PR!$BN137,IF(F139="WWCV",PR!$BO137,IF(F139="ZOLON",PR!$BP137,"-"))))))))))))))))))))))))))))))))))))))))))))))))))))))))))))))))</f>
        <v>650</v>
      </c>
      <c r="F139" s="102" t="str">
        <f>EV!L159</f>
        <v>MICRONOVA</v>
      </c>
      <c r="G139" s="108">
        <f>IF(H139="ALPHA",PR!$E137,IF(H139="ASSENE",PR!$F137,IF(H139="BIOFEM",PR!$G137,IF(H139="BIOMED",PR!$H137,IF(H139="CHI",PR!$I137,IF(H139="CLARION",PR!$J137,IF(H139="CODIX",PR!$K137,IF(H139="COSMADE",PR!$L137,IF(H139="SANCON",PR!$M137,IF(H139="DEVON",PR!$N137,IF(H139="DORTEMAG",PR!$O137,IF(H139="DGF",PR!$P137,IF(H139="DYNAMIC",PR!$Q137,IF(H139="EMZOR",PR!$R137,IF(H139="EUMATT",PR!$S137,IF(H139="FIDSON",PR!$T137,IF(H139="FCGLOBAL",PR!$U137,IF(H139="GENEITH",PR!$V137,IF(H139="GINOS",PR!$W137,IF(H139="GSK",PR!$X137,IF(H139="GLOBORG",PR!$Y137,IF(H139="GOODNEWS",PR!$Z137,IF(H139="GREENLIFE",PR!$AA137,IF(H139="HLINE",PR!$AB137,IF(H139="ROTECH",PR!$AC137,IF(H139="ISN",PR!$AD137,IF(H139="JAWA",PR!$AE137,IF(H139="LAYO",PR!$AF137,IF(H139="LEADWAY",PR!$AG137,IF(H139="LHV",PR!$AH137,IF(H139="MANOLA",PR!$AI137,IF(H139="MARCSON",PR!$AJ137,IF(H139="M&amp;B",PR!$AK137,IF(H139="MTRUST",PR!$AL137,IF(H139="MWORLD",PR!$AM137,IF(H139="MEGA",PR!$AN137,IF(H139="MICRONOVA",PR!$AO137,IF(H139="MFLASH",PR!$AP137,IF(H139="MORISON",PR!$AQ137,IF(H139="NEMEL",PR!$AR137,IF(H139="NHP",PR!$AS137,IF(H139="NHC",PR!$AT137,IF(H139="OLEAF",PR!$AU137,IF(H139="OCULUS",PR!$AV137,IF(H139="PACIFIC",PR!$AW137,IF(H139="PHAMATEX",PR!$AX137,IF(H139="PETHICS",PR!$AY137,IF(H139="PHILIPS",PR!$AZ137,IF(H139="RANBAXY",PR!$BA137,IF(H139="REALS",PR!$BB137,IF(H139="ROYAL",PR!$BC137,IF(H139="SAM",PR!$BD137,IF(H139="SEAGREEN",PR!$BE137,IF(H139="SKG",PR!$BF137,IF(H139="TAH",PR!$BG137,IF(H139="TAYLEK",PR!$BH137,IF(H139="TEMITA",PR!$BI137,IF(H139="THL",PR!$BJ137,IF(H139="UBASTIC",PR!$BK137,IF(H139="UNION",PR!$BL137,IF(H139="UNIQUE",PR!$BM137,IF(H139="VIXA",PR!$BN137,IF(H139="WWCV",PR!$BO137,IF(H139="ZOLON",PR!$BP137,"-"))))))))))))))))))))))))))))))))))))))))))))))))))))))))))))))))</f>
        <v>780</v>
      </c>
      <c r="H139" s="102" t="str">
        <f>EV!M159</f>
        <v>EUMATT</v>
      </c>
      <c r="I139" s="108">
        <f>IF(J139="ALPHA",PR!$E137,IF(J139="ASSENE",PR!$F137,IF(J139="BIOFEM",PR!$G137,IF(J139="BIOMED",PR!$H137,IF(J139="CHI",PR!$I137,IF(J139="CLARION",PR!$J137,IF(J139="CODIX",PR!$K137,IF(J139="COSMADE",PR!$L137,IF(J139="SANCON",PR!$M137,IF(J139="DEVON",PR!$N137,IF(J139="DORTEMAG",PR!$O137,IF(J139="DGF",PR!$P137,IF(J139="DYNAMIC",PR!$Q137,IF(J139="EMZOR",PR!$R137,IF(J139="EUMATT",PR!$S137,IF(J139="FIDSON",PR!$T137,IF(J139="FCGLOBAL",PR!$U137,IF(J139="GENEITH",PR!$V137,IF(J139="GINOS",PR!$W137,IF(J139="GSK",PR!$X137,IF(J139="GLOBORG",PR!$Y137,IF(J139="GOODNEWS",PR!$Z137,IF(J139="GREENLIFE",PR!$AA137,IF(J139="HLINE",PR!$AB137,IF(J139="ROTECH",PR!$AC137,IF(J139="ISN",PR!$AD137,IF(J139="JAWA",PR!$AE137,IF(J139="LAYO",PR!$AF137,IF(J139="LEADWAY",PR!$AG137,IF(J139="LHV",PR!$AH137,IF(J139="MANOLA",PR!$AI137,IF(J139="MARCSON",PR!$AJ137,IF(J139="M&amp;B",PR!$AK137,IF(J139="MTRUST",PR!$AL137,IF(J139="MWORLD",PR!$AM137,IF(J139="MEGA",PR!$AN137,IF(J139="MICRONOVA",PR!$AO137,IF(J139="MFLASH",PR!$AP137,IF(J139="MORISON",PR!$AQ137,IF(J139="NEMEL",PR!$AR137,IF(J139="NHP",PR!$AS137,IF(J139="NHC",PR!$AT137,IF(J139="OLEAF",PR!$AU137,IF(J139="OCULUS",PR!$AV137,IF(J139="PACIFIC",PR!$AW137,IF(J139="PHAMATEX",PR!$AX137,IF(J139="PETHICS",PR!$AY137,IF(J139="PHILIPS",PR!$AZ137,IF(J139="RANBAXY",PR!$BA137,IF(J139="REALS",PR!$BB137,IF(J139="ROYAL",PR!$BC137,IF(J139="SAM",PR!$BD137,IF(J139="SEAGREEN",PR!$BE137,IF(J139="SKG",PR!$BF137,IF(J139="TAH",PR!$BG137,IF(J139="TAYLEK",PR!$BH137,IF(J139="TEMITA",PR!$BI137,IF(J139="THL",PR!$BJ137,IF(J139="UBASTIC",PR!$BK137,IF(J139="UNION",PR!$BL137,IF(J139="UNIQUE",PR!$BM137,IF(J139="VIXA",PR!$BN137,IF(J139="WWCV",PR!$BO137,IF(J139="ZOLON",PR!$BP137,"-"))))))))))))))))))))))))))))))))))))))))))))))))))))))))))))))))</f>
        <v>980</v>
      </c>
      <c r="J139" s="102" t="str">
        <f>EV!N159</f>
        <v>MANOLA</v>
      </c>
      <c r="K139" s="433"/>
      <c r="L139" s="183" t="b">
        <f>IF(K139&gt;0,IF(K139="ALPHA",PR!$E137,IF(K139="ASSENE",PR!$F137,IF(K139="BIOFEM",PR!$G137,IF(K139="BIOMED",PR!$H137,IF(K139="CHI",PR!$I137,IF(K139="CLARION",PR!$J137,IF(K139="CODIX",PR!$K137,IF(K139="COSMADE",PR!$L137,IF(K139="SANCON",PR!$M137,IF(K139="DEVON",PR!$N137,IF(K139="DORTEMAG",PR!$O137,IF(K139="DGF",PR!$P137,IF(K139="DYNAMIC",PR!$Q137,IF(K139="EMZOR",PR!$R137,IF(K139="EUMATT",PR!$S137,IF(K139="FIDSON",PR!$T137,IF(K139="FCGLOBAL",PR!$U137,IF(K139="GENEITH",PR!$V137,IF(K139="GINOS",PR!$W137,IF(K139="GSK",PR!$X137,IF(K139="GLOBORG",PR!$Y137,IF(K139="GOODNEWS",PR!$Z137,IF(K139="GREENLIFE",PR!$AA137,IF(K139="HLINE",PR!$AB137,IF(K139="ROTECH",PR!$AC137,IF(K139="ISN",PR!$AD137,IF(K139="JAWA",PR!$AE137,IF(K139="LAYO",PR!$AF137,IF(K139="LEADWAY",PR!$AG137,IF(K139="LHV",PR!$AH137,IF(K139="MANOLA",PR!$AI137,IF(K139="MARCSON",PR!$AJ137,IF(K139="M&amp;B",PR!$AK137,IF(K139="MTRUST",PR!$AL137,IF(K139="MWORLD",PR!$AM137,IF(K139="MEGA",PR!$AN137,IF(K139="MICRONOVA",PR!$AO137,IF(K139="MFLASH",PR!$AP137,IF(K139="MORISON",PR!$AQ137,IF(K139="NEMEL",PR!$AR137,IF(K139="NHP",PR!$AS137,IF(K139="NHC",PR!$AT137,IF(K139="OLEAF",PR!$AU137,IF(K139="OCULUS",PR!$AV137,IF(K139="PACIFIC",PR!$AW137,IF(K139="PHAMATEX",PR!$AX137,IF(K139="PETHICS",PR!$AY137,IF(K139="PHILIPS",PR!$AZ137,IF(K139="RANBAXY",PR!$BA137,IF(K139="REALS",PR!$BB137,IF(K139="ROYAL",PR!$BC137,IF(K139="SAM",PR!$BD137,IF(K139="SEAGREEN",PR!$BE137,IF(K139="SKG",PR!$BF137,IF(K139="TAH",PR!$BG137,IF(K139="TAYLEK",PR!$BH137,IF(K139="TEMITA",PR!$BI137,IF(K139="THL",PR!$BJ137,IF(K139="UBASTIC",PR!$BK137,IF(K139="UNION",PR!$BL137,IF(K139="UNIQUE",PR!$BM137,IF(K139="VIXA",PR!$BN137,IF(K139="WWCV",PR!$BO137,IF(K139="ZOLON",PR!$BP137,"-")))))))))))))))))))))))))))))))))))))))))))))))))))))))))))))))))</f>
        <v>0</v>
      </c>
    </row>
    <row r="140" spans="1:12" ht="18.75" x14ac:dyDescent="0.3">
      <c r="A140" s="430">
        <f>PR!A138</f>
        <v>120</v>
      </c>
      <c r="B140" s="15" t="str">
        <f>PR!B138</f>
        <v>GLIMEPIRIDE 2MG TAB</v>
      </c>
      <c r="C140" s="113">
        <f>PR!D138</f>
        <v>30</v>
      </c>
      <c r="D140" s="113">
        <f>PR!C138</f>
        <v>1200</v>
      </c>
      <c r="E140" s="108">
        <f>IF(F140="ALPHA",PR!$E138,IF(F140="ASSENE",PR!$F138,IF(F140="BIOFEM",PR!$G138,IF(F140="BIOMED",PR!$H138,IF(F140="CHI",PR!$I138,IF(F140="CLARION",PR!$J138,IF(F140="CODIX",PR!$K138,IF(F140="COSMADE",PR!$L138,IF(F140="SANCON",PR!$M138,IF(F140="DEVON",PR!$N138,IF(F140="DORTEMAG",PR!$O138,IF(F140="DGF",PR!$P138,IF(F140="DYNAMIC",PR!$Q138,IF(F140="EMZOR",PR!$R138,IF(F140="EUMATT",PR!$S138,IF(F140="FIDSON",PR!$T138,IF(F140="FCGLOBAL",PR!$U138,IF(F140="GENEITH",PR!$V138,IF(F140="GINOS",PR!$W138,IF(F140="GSK",PR!$X138,IF(F140="GLOBORG",PR!$Y138,IF(F140="GOODNEWS",PR!$Z138,IF(F140="GREENLIFE",PR!$AA138,IF(F140="HLINE",PR!$AB138,IF(F140="ROTECH",PR!$AC138,IF(F140="ISN",PR!$AD138,IF(F140="JAWA",PR!$AE138,IF(F140="LAYO",PR!$AF138,IF(F140="LEADWAY",PR!$AG138,IF(F140="LHV",PR!$AH138,IF(F140="MANOLA",PR!$AI138,IF(F140="MARCSON",PR!$AJ138,IF(F140="M&amp;B",PR!$AK138,IF(F140="MTRUST",PR!$AL138,IF(F140="MWORLD",PR!$AM138,IF(F140="MEGA",PR!$AN138,IF(F140="MICRONOVA",PR!$AO138,IF(F140="MFLASH",PR!$AP138,IF(F140="MORISON",PR!$AQ138,IF(F140="NEMEL",PR!$AR138,IF(F140="NHP",PR!$AS138,IF(F140="NHC",PR!$AT138,IF(F140="OLEAF",PR!$AU138,IF(F140="OCULUS",PR!$AV138,IF(F140="PACIFIC",PR!$AW138,IF(F140="PHAMATEX",PR!$AX138,IF(F140="PETHICS",PR!$AY138,IF(F140="PHILIPS",PR!$AZ138,IF(F140="RANBAXY",PR!$BA138,IF(F140="REALS",PR!$BB138,IF(F140="ROYAL",PR!$BC138,IF(F140="SAM",PR!$BD138,IF(F140="SEAGREEN",PR!$BE138,IF(F140="SKG",PR!$BF138,IF(F140="TAH",PR!$BG138,IF(F140="TAYLEK",PR!$BH138,IF(F140="TEMITA",PR!$BI138,IF(F140="THL",PR!$BJ138,IF(F140="UBASTIC",PR!$BK138,IF(F140="UNION",PR!$BL138,IF(F140="UNIQUE",PR!$BM138,IF(F140="VIXA",PR!$BN138,IF(F140="WWCV",PR!$BO138,IF(F140="ZOLON",PR!$BP138,"-"))))))))))))))))))))))))))))))))))))))))))))))))))))))))))))))))</f>
        <v>500</v>
      </c>
      <c r="F140" s="102" t="str">
        <f>EV!L160</f>
        <v>EUMATT</v>
      </c>
      <c r="G140" s="108">
        <f>IF(H140="ALPHA",PR!$E138,IF(H140="ASSENE",PR!$F138,IF(H140="BIOFEM",PR!$G138,IF(H140="BIOMED",PR!$H138,IF(H140="CHI",PR!$I138,IF(H140="CLARION",PR!$J138,IF(H140="CODIX",PR!$K138,IF(H140="COSMADE",PR!$L138,IF(H140="SANCON",PR!$M138,IF(H140="DEVON",PR!$N138,IF(H140="DORTEMAG",PR!$O138,IF(H140="DGF",PR!$P138,IF(H140="DYNAMIC",PR!$Q138,IF(H140="EMZOR",PR!$R138,IF(H140="EUMATT",PR!$S138,IF(H140="FIDSON",PR!$T138,IF(H140="FCGLOBAL",PR!$U138,IF(H140="GENEITH",PR!$V138,IF(H140="GINOS",PR!$W138,IF(H140="GSK",PR!$X138,IF(H140="GLOBORG",PR!$Y138,IF(H140="GOODNEWS",PR!$Z138,IF(H140="GREENLIFE",PR!$AA138,IF(H140="HLINE",PR!$AB138,IF(H140="ROTECH",PR!$AC138,IF(H140="ISN",PR!$AD138,IF(H140="JAWA",PR!$AE138,IF(H140="LAYO",PR!$AF138,IF(H140="LEADWAY",PR!$AG138,IF(H140="LHV",PR!$AH138,IF(H140="MANOLA",PR!$AI138,IF(H140="MARCSON",PR!$AJ138,IF(H140="M&amp;B",PR!$AK138,IF(H140="MTRUST",PR!$AL138,IF(H140="MWORLD",PR!$AM138,IF(H140="MEGA",PR!$AN138,IF(H140="MICRONOVA",PR!$AO138,IF(H140="MFLASH",PR!$AP138,IF(H140="MORISON",PR!$AQ138,IF(H140="NEMEL",PR!$AR138,IF(H140="NHP",PR!$AS138,IF(H140="NHC",PR!$AT138,IF(H140="OLEAF",PR!$AU138,IF(H140="OCULUS",PR!$AV138,IF(H140="PACIFIC",PR!$AW138,IF(H140="PHAMATEX",PR!$AX138,IF(H140="PETHICS",PR!$AY138,IF(H140="PHILIPS",PR!$AZ138,IF(H140="RANBAXY",PR!$BA138,IF(H140="REALS",PR!$BB138,IF(H140="ROYAL",PR!$BC138,IF(H140="SAM",PR!$BD138,IF(H140="SEAGREEN",PR!$BE138,IF(H140="SKG",PR!$BF138,IF(H140="TAH",PR!$BG138,IF(H140="TAYLEK",PR!$BH138,IF(H140="TEMITA",PR!$BI138,IF(H140="THL",PR!$BJ138,IF(H140="UBASTIC",PR!$BK138,IF(H140="UNION",PR!$BL138,IF(H140="UNIQUE",PR!$BM138,IF(H140="VIXA",PR!$BN138,IF(H140="WWCV",PR!$BO138,IF(H140="ZOLON",PR!$BP138,"-"))))))))))))))))))))))))))))))))))))))))))))))))))))))))))))))))</f>
        <v>700</v>
      </c>
      <c r="H140" s="102" t="str">
        <f>EV!M160</f>
        <v>ZOLON</v>
      </c>
      <c r="I140" s="108">
        <f>IF(J140="ALPHA",PR!$E138,IF(J140="ASSENE",PR!$F138,IF(J140="BIOFEM",PR!$G138,IF(J140="BIOMED",PR!$H138,IF(J140="CHI",PR!$I138,IF(J140="CLARION",PR!$J138,IF(J140="CODIX",PR!$K138,IF(J140="COSMADE",PR!$L138,IF(J140="SANCON",PR!$M138,IF(J140="DEVON",PR!$N138,IF(J140="DORTEMAG",PR!$O138,IF(J140="DGF",PR!$P138,IF(J140="DYNAMIC",PR!$Q138,IF(J140="EMZOR",PR!$R138,IF(J140="EUMATT",PR!$S138,IF(J140="FIDSON",PR!$T138,IF(J140="FCGLOBAL",PR!$U138,IF(J140="GENEITH",PR!$V138,IF(J140="GINOS",PR!$W138,IF(J140="GSK",PR!$X138,IF(J140="GLOBORG",PR!$Y138,IF(J140="GOODNEWS",PR!$Z138,IF(J140="GREENLIFE",PR!$AA138,IF(J140="HLINE",PR!$AB138,IF(J140="ROTECH",PR!$AC138,IF(J140="ISN",PR!$AD138,IF(J140="JAWA",PR!$AE138,IF(J140="LAYO",PR!$AF138,IF(J140="LEADWAY",PR!$AG138,IF(J140="LHV",PR!$AH138,IF(J140="MANOLA",PR!$AI138,IF(J140="MARCSON",PR!$AJ138,IF(J140="M&amp;B",PR!$AK138,IF(J140="MTRUST",PR!$AL138,IF(J140="MWORLD",PR!$AM138,IF(J140="MEGA",PR!$AN138,IF(J140="MICRONOVA",PR!$AO138,IF(J140="MFLASH",PR!$AP138,IF(J140="MORISON",PR!$AQ138,IF(J140="NEMEL",PR!$AR138,IF(J140="NHP",PR!$AS138,IF(J140="NHC",PR!$AT138,IF(J140="OLEAF",PR!$AU138,IF(J140="OCULUS",PR!$AV138,IF(J140="PACIFIC",PR!$AW138,IF(J140="PHAMATEX",PR!$AX138,IF(J140="PETHICS",PR!$AY138,IF(J140="PHILIPS",PR!$AZ138,IF(J140="RANBAXY",PR!$BA138,IF(J140="REALS",PR!$BB138,IF(J140="ROYAL",PR!$BC138,IF(J140="SAM",PR!$BD138,IF(J140="SEAGREEN",PR!$BE138,IF(J140="SKG",PR!$BF138,IF(J140="TAH",PR!$BG138,IF(J140="TAYLEK",PR!$BH138,IF(J140="TEMITA",PR!$BI138,IF(J140="THL",PR!$BJ138,IF(J140="UBASTIC",PR!$BK138,IF(J140="UNION",PR!$BL138,IF(J140="UNIQUE",PR!$BM138,IF(J140="VIXA",PR!$BN138,IF(J140="WWCV",PR!$BO138,IF(J140="ZOLON",PR!$BP138,"-"))))))))))))))))))))))))))))))))))))))))))))))))))))))))))))))))</f>
        <v>750</v>
      </c>
      <c r="J140" s="102" t="str">
        <f>EV!N160</f>
        <v>MICRONOVA</v>
      </c>
      <c r="K140" s="433" t="s">
        <v>632</v>
      </c>
      <c r="L140" s="183">
        <f>IF(K140&gt;0,IF(K140="ALPHA",PR!$E138,IF(K140="ASSENE",PR!$F138,IF(K140="BIOFEM",PR!$G138,IF(K140="BIOMED",PR!$H138,IF(K140="CHI",PR!$I138,IF(K140="CLARION",PR!$J138,IF(K140="CODIX",PR!$K138,IF(K140="COSMADE",PR!$L138,IF(K140="SANCON",PR!$M138,IF(K140="DEVON",PR!$N138,IF(K140="DORTEMAG",PR!$O138,IF(K140="DGF",PR!$P138,IF(K140="DYNAMIC",PR!$Q138,IF(K140="EMZOR",PR!$R138,IF(K140="EUMATT",PR!$S138,IF(K140="FIDSON",PR!$T138,IF(K140="FCGLOBAL",PR!$U138,IF(K140="GENEITH",PR!$V138,IF(K140="GINOS",PR!$W138,IF(K140="GSK",PR!$X138,IF(K140="GLOBORG",PR!$Y138,IF(K140="GOODNEWS",PR!$Z138,IF(K140="GREENLIFE",PR!$AA138,IF(K140="HLINE",PR!$AB138,IF(K140="ROTECH",PR!$AC138,IF(K140="ISN",PR!$AD138,IF(K140="JAWA",PR!$AE138,IF(K140="LAYO",PR!$AF138,IF(K140="LEADWAY",PR!$AG138,IF(K140="LHV",PR!$AH138,IF(K140="MANOLA",PR!$AI138,IF(K140="MARCSON",PR!$AJ138,IF(K140="M&amp;B",PR!$AK138,IF(K140="MTRUST",PR!$AL138,IF(K140="MWORLD",PR!$AM138,IF(K140="MEGA",PR!$AN138,IF(K140="MICRONOVA",PR!$AO138,IF(K140="MFLASH",PR!$AP138,IF(K140="MORISON",PR!$AQ138,IF(K140="NEMEL",PR!$AR138,IF(K140="NHP",PR!$AS138,IF(K140="NHC",PR!$AT138,IF(K140="OLEAF",PR!$AU138,IF(K140="OCULUS",PR!$AV138,IF(K140="PACIFIC",PR!$AW138,IF(K140="PHAMATEX",PR!$AX138,IF(K140="PETHICS",PR!$AY138,IF(K140="PHILIPS",PR!$AZ138,IF(K140="RANBAXY",PR!$BA138,IF(K140="REALS",PR!$BB138,IF(K140="ROYAL",PR!$BC138,IF(K140="SAM",PR!$BD138,IF(K140="SEAGREEN",PR!$BE138,IF(K140="SKG",PR!$BF138,IF(K140="TAH",PR!$BG138,IF(K140="TAYLEK",PR!$BH138,IF(K140="TEMITA",PR!$BI138,IF(K140="THL",PR!$BJ138,IF(K140="UBASTIC",PR!$BK138,IF(K140="UNION",PR!$BL138,IF(K140="UNIQUE",PR!$BM138,IF(K140="VIXA",PR!$BN138,IF(K140="WWCV",PR!$BO138,IF(K140="ZOLON",PR!$BP138,"-")))))))))))))))))))))))))))))))))))))))))))))))))))))))))))))))))</f>
        <v>750</v>
      </c>
    </row>
    <row r="141" spans="1:12" ht="18.75" x14ac:dyDescent="0.3">
      <c r="A141" s="430">
        <f>PR!A139</f>
        <v>121</v>
      </c>
      <c r="B141" s="15" t="str">
        <f>PR!B139</f>
        <v>GLIMEPIRIDE 4MG TAB</v>
      </c>
      <c r="C141" s="113">
        <f>PR!D139</f>
        <v>30</v>
      </c>
      <c r="D141" s="113">
        <f>PR!C139</f>
        <v>1000</v>
      </c>
      <c r="E141" s="108">
        <f>IF(F141="ALPHA",PR!$E139,IF(F141="ASSENE",PR!$F139,IF(F141="BIOFEM",PR!$G139,IF(F141="BIOMED",PR!$H139,IF(F141="CHI",PR!$I139,IF(F141="CLARION",PR!$J139,IF(F141="CODIX",PR!$K139,IF(F141="COSMADE",PR!$L139,IF(F141="SANCON",PR!$M139,IF(F141="DEVON",PR!$N139,IF(F141="DORTEMAG",PR!$O139,IF(F141="DGF",PR!$P139,IF(F141="DYNAMIC",PR!$Q139,IF(F141="EMZOR",PR!$R139,IF(F141="EUMATT",PR!$S139,IF(F141="FIDSON",PR!$T139,IF(F141="FCGLOBAL",PR!$U139,IF(F141="GENEITH",PR!$V139,IF(F141="GINOS",PR!$W139,IF(F141="GSK",PR!$X139,IF(F141="GLOBORG",PR!$Y139,IF(F141="GOODNEWS",PR!$Z139,IF(F141="GREENLIFE",PR!$AA139,IF(F141="HLINE",PR!$AB139,IF(F141="ROTECH",PR!$AC139,IF(F141="ISN",PR!$AD139,IF(F141="JAWA",PR!$AE139,IF(F141="LAYO",PR!$AF139,IF(F141="LEADWAY",PR!$AG139,IF(F141="LHV",PR!$AH139,IF(F141="MANOLA",PR!$AI139,IF(F141="MARCSON",PR!$AJ139,IF(F141="M&amp;B",PR!$AK139,IF(F141="MTRUST",PR!$AL139,IF(F141="MWORLD",PR!$AM139,IF(F141="MEGA",PR!$AN139,IF(F141="MICRONOVA",PR!$AO139,IF(F141="MFLASH",PR!$AP139,IF(F141="MORISON",PR!$AQ139,IF(F141="NEMEL",PR!$AR139,IF(F141="NHP",PR!$AS139,IF(F141="NHC",PR!$AT139,IF(F141="OLEAF",PR!$AU139,IF(F141="OCULUS",PR!$AV139,IF(F141="PACIFIC",PR!$AW139,IF(F141="PHAMATEX",PR!$AX139,IF(F141="PETHICS",PR!$AY139,IF(F141="PHILIPS",PR!$AZ139,IF(F141="RANBAXY",PR!$BA139,IF(F141="REALS",PR!$BB139,IF(F141="ROYAL",PR!$BC139,IF(F141="SAM",PR!$BD139,IF(F141="SEAGREEN",PR!$BE139,IF(F141="SKG",PR!$BF139,IF(F141="TAH",PR!$BG139,IF(F141="TAYLEK",PR!$BH139,IF(F141="TEMITA",PR!$BI139,IF(F141="THL",PR!$BJ139,IF(F141="UBASTIC",PR!$BK139,IF(F141="UNION",PR!$BL139,IF(F141="UNIQUE",PR!$BM139,IF(F141="VIXA",PR!$BN139,IF(F141="WWCV",PR!$BO139,IF(F141="ZOLON",PR!$BP139,"-"))))))))))))))))))))))))))))))))))))))))))))))))))))))))))))))))</f>
        <v>900</v>
      </c>
      <c r="F141" s="102" t="str">
        <f>EV!L185</f>
        <v>ZOLON</v>
      </c>
      <c r="G141" s="108">
        <f>IF(H141="ALPHA",PR!$E139,IF(H141="ASSENE",PR!$F139,IF(H141="BIOFEM",PR!$G139,IF(H141="BIOMED",PR!$H139,IF(H141="CHI",PR!$I139,IF(H141="CLARION",PR!$J139,IF(H141="CODIX",PR!$K139,IF(H141="COSMADE",PR!$L139,IF(H141="SANCON",PR!$M139,IF(H141="DEVON",PR!$N139,IF(H141="DORTEMAG",PR!$O139,IF(H141="DGF",PR!$P139,IF(H141="DYNAMIC",PR!$Q139,IF(H141="EMZOR",PR!$R139,IF(H141="EUMATT",PR!$S139,IF(H141="FIDSON",PR!$T139,IF(H141="FCGLOBAL",PR!$U139,IF(H141="GENEITH",PR!$V139,IF(H141="GINOS",PR!$W139,IF(H141="GSK",PR!$X139,IF(H141="GLOBORG",PR!$Y139,IF(H141="GOODNEWS",PR!$Z139,IF(H141="GREENLIFE",PR!$AA139,IF(H141="HLINE",PR!$AB139,IF(H141="ROTECH",PR!$AC139,IF(H141="ISN",PR!$AD139,IF(H141="JAWA",PR!$AE139,IF(H141="LAYO",PR!$AF139,IF(H141="LEADWAY",PR!$AG139,IF(H141="LHV",PR!$AH139,IF(H141="MANOLA",PR!$AI139,IF(H141="MARCSON",PR!$AJ139,IF(H141="M&amp;B",PR!$AK139,IF(H141="MTRUST",PR!$AL139,IF(H141="MWORLD",PR!$AM139,IF(H141="MEGA",PR!$AN139,IF(H141="MICRONOVA",PR!$AO139,IF(H141="MFLASH",PR!$AP139,IF(H141="MORISON",PR!$AQ139,IF(H141="NEMEL",PR!$AR139,IF(H141="NHP",PR!$AS139,IF(H141="NHC",PR!$AT139,IF(H141="OLEAF",PR!$AU139,IF(H141="OCULUS",PR!$AV139,IF(H141="PACIFIC",PR!$AW139,IF(H141="PHAMATEX",PR!$AX139,IF(H141="PETHICS",PR!$AY139,IF(H141="PHILIPS",PR!$AZ139,IF(H141="RANBAXY",PR!$BA139,IF(H141="REALS",PR!$BB139,IF(H141="ROYAL",PR!$BC139,IF(H141="SAM",PR!$BD139,IF(H141="SEAGREEN",PR!$BE139,IF(H141="SKG",PR!$BF139,IF(H141="TAH",PR!$BG139,IF(H141="TAYLEK",PR!$BH139,IF(H141="TEMITA",PR!$BI139,IF(H141="THL",PR!$BJ139,IF(H141="UBASTIC",PR!$BK139,IF(H141="UNION",PR!$BL139,IF(H141="UNIQUE",PR!$BM139,IF(H141="VIXA",PR!$BN139,IF(H141="WWCV",PR!$BO139,IF(H141="ZOLON",PR!$BP139,"-"))))))))))))))))))))))))))))))))))))))))))))))))))))))))))))))))</f>
        <v>1150</v>
      </c>
      <c r="H141" s="102" t="str">
        <f>EV!M185</f>
        <v>MICRONOVA</v>
      </c>
      <c r="I141" s="108">
        <f>IF(J141="ALPHA",PR!$E139,IF(J141="ASSENE",PR!$F139,IF(J141="BIOFEM",PR!$G139,IF(J141="BIOMED",PR!$H139,IF(J141="CHI",PR!$I139,IF(J141="CLARION",PR!$J139,IF(J141="CODIX",PR!$K139,IF(J141="COSMADE",PR!$L139,IF(J141="SANCON",PR!$M139,IF(J141="DEVON",PR!$N139,IF(J141="DORTEMAG",PR!$O139,IF(J141="DGF",PR!$P139,IF(J141="DYNAMIC",PR!$Q139,IF(J141="EMZOR",PR!$R139,IF(J141="EUMATT",PR!$S139,IF(J141="FIDSON",PR!$T139,IF(J141="FCGLOBAL",PR!$U139,IF(J141="GENEITH",PR!$V139,IF(J141="GINOS",PR!$W139,IF(J141="GSK",PR!$X139,IF(J141="GLOBORG",PR!$Y139,IF(J141="GOODNEWS",PR!$Z139,IF(J141="GREENLIFE",PR!$AA139,IF(J141="HLINE",PR!$AB139,IF(J141="ROTECH",PR!$AC139,IF(J141="ISN",PR!$AD139,IF(J141="JAWA",PR!$AE139,IF(J141="LAYO",PR!$AF139,IF(J141="LEADWAY",PR!$AG139,IF(J141="LHV",PR!$AH139,IF(J141="MANOLA",PR!$AI139,IF(J141="MARCSON",PR!$AJ139,IF(J141="M&amp;B",PR!$AK139,IF(J141="MTRUST",PR!$AL139,IF(J141="MWORLD",PR!$AM139,IF(J141="MEGA",PR!$AN139,IF(J141="MICRONOVA",PR!$AO139,IF(J141="MFLASH",PR!$AP139,IF(J141="MORISON",PR!$AQ139,IF(J141="NEMEL",PR!$AR139,IF(J141="NHP",PR!$AS139,IF(J141="NHC",PR!$AT139,IF(J141="OLEAF",PR!$AU139,IF(J141="OCULUS",PR!$AV139,IF(J141="PACIFIC",PR!$AW139,IF(J141="PHAMATEX",PR!$AX139,IF(J141="PETHICS",PR!$AY139,IF(J141="PHILIPS",PR!$AZ139,IF(J141="RANBAXY",PR!$BA139,IF(J141="REALS",PR!$BB139,IF(J141="ROYAL",PR!$BC139,IF(J141="SAM",PR!$BD139,IF(J141="SEAGREEN",PR!$BE139,IF(J141="SKG",PR!$BF139,IF(J141="TAH",PR!$BG139,IF(J141="TAYLEK",PR!$BH139,IF(J141="TEMITA",PR!$BI139,IF(J141="THL",PR!$BJ139,IF(J141="UBASTIC",PR!$BK139,IF(J141="UNION",PR!$BL139,IF(J141="UNIQUE",PR!$BM139,IF(J141="VIXA",PR!$BN139,IF(J141="WWCV",PR!$BO139,IF(J141="ZOLON",PR!$BP139,"-"))))))))))))))))))))))))))))))))))))))))))))))))))))))))))))))))</f>
        <v>1200</v>
      </c>
      <c r="J141" s="102" t="str">
        <f>EV!N185</f>
        <v>EUMATT</v>
      </c>
      <c r="K141" s="433" t="s">
        <v>616</v>
      </c>
      <c r="L141" s="183">
        <f>IF(K141&gt;0,IF(K141="ALPHA",PR!$E139,IF(K141="ASSENE",PR!$F139,IF(K141="BIOFEM",PR!$G139,IF(K141="BIOMED",PR!$H139,IF(K141="CHI",PR!$I139,IF(K141="CLARION",PR!$J139,IF(K141="CODIX",PR!$K139,IF(K141="COSMADE",PR!$L139,IF(K141="SANCON",PR!$M139,IF(K141="DEVON",PR!$N139,IF(K141="DORTEMAG",PR!$O139,IF(K141="DGF",PR!$P139,IF(K141="DYNAMIC",PR!$Q139,IF(K141="EMZOR",PR!$R139,IF(K141="EUMATT",PR!$S139,IF(K141="FIDSON",PR!$T139,IF(K141="FCGLOBAL",PR!$U139,IF(K141="GENEITH",PR!$V139,IF(K141="GINOS",PR!$W139,IF(K141="GSK",PR!$X139,IF(K141="GLOBORG",PR!$Y139,IF(K141="GOODNEWS",PR!$Z139,IF(K141="GREENLIFE",PR!$AA139,IF(K141="HLINE",PR!$AB139,IF(K141="ROTECH",PR!$AC139,IF(K141="ISN",PR!$AD139,IF(K141="JAWA",PR!$AE139,IF(K141="LAYO",PR!$AF139,IF(K141="LEADWAY",PR!$AG139,IF(K141="LHV",PR!$AH139,IF(K141="MANOLA",PR!$AI139,IF(K141="MARCSON",PR!$AJ139,IF(K141="M&amp;B",PR!$AK139,IF(K141="MTRUST",PR!$AL139,IF(K141="MWORLD",PR!$AM139,IF(K141="MEGA",PR!$AN139,IF(K141="MICRONOVA",PR!$AO139,IF(K141="MFLASH",PR!$AP139,IF(K141="MORISON",PR!$AQ139,IF(K141="NEMEL",PR!$AR139,IF(K141="NHP",PR!$AS139,IF(K141="NHC",PR!$AT139,IF(K141="OLEAF",PR!$AU139,IF(K141="OCULUS",PR!$AV139,IF(K141="PACIFIC",PR!$AW139,IF(K141="PHAMATEX",PR!$AX139,IF(K141="PETHICS",PR!$AY139,IF(K141="PHILIPS",PR!$AZ139,IF(K141="RANBAXY",PR!$BA139,IF(K141="REALS",PR!$BB139,IF(K141="ROYAL",PR!$BC139,IF(K141="SAM",PR!$BD139,IF(K141="SEAGREEN",PR!$BE139,IF(K141="SKG",PR!$BF139,IF(K141="TAH",PR!$BG139,IF(K141="TAYLEK",PR!$BH139,IF(K141="TEMITA",PR!$BI139,IF(K141="THL",PR!$BJ139,IF(K141="UBASTIC",PR!$BK139,IF(K141="UNION",PR!$BL139,IF(K141="UNIQUE",PR!$BM139,IF(K141="VIXA",PR!$BN139,IF(K141="WWCV",PR!$BO139,IF(K141="ZOLON",PR!$BP139,"-")))))))))))))))))))))))))))))))))))))))))))))))))))))))))))))))))</f>
        <v>1850</v>
      </c>
    </row>
    <row r="142" spans="1:12" ht="18.75" x14ac:dyDescent="0.3">
      <c r="A142" s="430">
        <f>PR!A140</f>
        <v>122</v>
      </c>
      <c r="B142" s="15" t="str">
        <f>PR!B140</f>
        <v>GLUCAGON INJ</v>
      </c>
      <c r="C142" s="113" t="str">
        <f>PR!D140</f>
        <v>AMP</v>
      </c>
      <c r="D142" s="113">
        <f>PR!C140</f>
        <v>20</v>
      </c>
      <c r="E142" s="108" t="str">
        <f>IF(F142="ALPHA",PR!$E140,IF(F142="ASSENE",PR!$F140,IF(F142="BIOFEM",PR!$G140,IF(F142="BIOMED",PR!$H140,IF(F142="CHI",PR!$I140,IF(F142="CLARION",PR!$J140,IF(F142="CODIX",PR!$K140,IF(F142="COSMADE",PR!$L140,IF(F142="SANCON",PR!$M140,IF(F142="DEVON",PR!$N140,IF(F142="DORTEMAG",PR!$O140,IF(F142="DGF",PR!$P140,IF(F142="DYNAMIC",PR!$Q140,IF(F142="EMZOR",PR!$R140,IF(F142="EUMATT",PR!$S140,IF(F142="FIDSON",PR!$T140,IF(F142="FCGLOBAL",PR!$U140,IF(F142="GENEITH",PR!$V140,IF(F142="GINOS",PR!$W140,IF(F142="GSK",PR!$X140,IF(F142="GLOBORG",PR!$Y140,IF(F142="GOODNEWS",PR!$Z140,IF(F142="GREENLIFE",PR!$AA140,IF(F142="HLINE",PR!$AB140,IF(F142="ROTECH",PR!$AC140,IF(F142="ISN",PR!$AD140,IF(F142="JAWA",PR!$AE140,IF(F142="LAYO",PR!$AF140,IF(F142="LEADWAY",PR!$AG140,IF(F142="LHV",PR!$AH140,IF(F142="MANOLA",PR!$AI140,IF(F142="MARCSON",PR!$AJ140,IF(F142="M&amp;B",PR!$AK140,IF(F142="MTRUST",PR!$AL140,IF(F142="MWORLD",PR!$AM140,IF(F142="MEGA",PR!$AN140,IF(F142="MICRONOVA",PR!$AO140,IF(F142="MFLASH",PR!$AP140,IF(F142="MORISON",PR!$AQ140,IF(F142="NEMEL",PR!$AR140,IF(F142="NHP",PR!$AS140,IF(F142="NHC",PR!$AT140,IF(F142="OLEAF",PR!$AU140,IF(F142="OCULUS",PR!$AV140,IF(F142="PACIFIC",PR!$AW140,IF(F142="PHAMATEX",PR!$AX140,IF(F142="PETHICS",PR!$AY140,IF(F142="PHILIPS",PR!$AZ140,IF(F142="RANBAXY",PR!$BA140,IF(F142="REALS",PR!$BB140,IF(F142="ROYAL",PR!$BC140,IF(F142="SAM",PR!$BD140,IF(F142="SEAGREEN",PR!$BE140,IF(F142="SKG",PR!$BF140,IF(F142="TAH",PR!$BG140,IF(F142="TAYLEK",PR!$BH140,IF(F142="TEMITA",PR!$BI140,IF(F142="THL",PR!$BJ140,IF(F142="UBASTIC",PR!$BK140,IF(F142="UNION",PR!$BL140,IF(F142="UNIQUE",PR!$BM140,IF(F142="VIXA",PR!$BN140,IF(F142="WWCV",PR!$BO140,IF(F142="ZOLON",PR!$BP140,"-"))))))))))))))))))))))))))))))))))))))))))))))))))))))))))))))))</f>
        <v>-</v>
      </c>
      <c r="F142" s="102">
        <f>EV!L186</f>
        <v>0</v>
      </c>
      <c r="G142" s="108" t="str">
        <f>IF(H142="ALPHA",PR!$E140,IF(H142="ASSENE",PR!$F140,IF(H142="BIOFEM",PR!$G140,IF(H142="BIOMED",PR!$H140,IF(H142="CHI",PR!$I140,IF(H142="CLARION",PR!$J140,IF(H142="CODIX",PR!$K140,IF(H142="COSMADE",PR!$L140,IF(H142="SANCON",PR!$M140,IF(H142="DEVON",PR!$N140,IF(H142="DORTEMAG",PR!$O140,IF(H142="DGF",PR!$P140,IF(H142="DYNAMIC",PR!$Q140,IF(H142="EMZOR",PR!$R140,IF(H142="EUMATT",PR!$S140,IF(H142="FIDSON",PR!$T140,IF(H142="FCGLOBAL",PR!$U140,IF(H142="GENEITH",PR!$V140,IF(H142="GINOS",PR!$W140,IF(H142="GSK",PR!$X140,IF(H142="GLOBORG",PR!$Y140,IF(H142="GOODNEWS",PR!$Z140,IF(H142="GREENLIFE",PR!$AA140,IF(H142="HLINE",PR!$AB140,IF(H142="ROTECH",PR!$AC140,IF(H142="ISN",PR!$AD140,IF(H142="JAWA",PR!$AE140,IF(H142="LAYO",PR!$AF140,IF(H142="LEADWAY",PR!$AG140,IF(H142="LHV",PR!$AH140,IF(H142="MANOLA",PR!$AI140,IF(H142="MARCSON",PR!$AJ140,IF(H142="M&amp;B",PR!$AK140,IF(H142="MTRUST",PR!$AL140,IF(H142="MWORLD",PR!$AM140,IF(H142="MEGA",PR!$AN140,IF(H142="MICRONOVA",PR!$AO140,IF(H142="MFLASH",PR!$AP140,IF(H142="MORISON",PR!$AQ140,IF(H142="NEMEL",PR!$AR140,IF(H142="NHP",PR!$AS140,IF(H142="NHC",PR!$AT140,IF(H142="OLEAF",PR!$AU140,IF(H142="OCULUS",PR!$AV140,IF(H142="PACIFIC",PR!$AW140,IF(H142="PHAMATEX",PR!$AX140,IF(H142="PETHICS",PR!$AY140,IF(H142="PHILIPS",PR!$AZ140,IF(H142="RANBAXY",PR!$BA140,IF(H142="REALS",PR!$BB140,IF(H142="ROYAL",PR!$BC140,IF(H142="SAM",PR!$BD140,IF(H142="SEAGREEN",PR!$BE140,IF(H142="SKG",PR!$BF140,IF(H142="TAH",PR!$BG140,IF(H142="TAYLEK",PR!$BH140,IF(H142="TEMITA",PR!$BI140,IF(H142="THL",PR!$BJ140,IF(H142="UBASTIC",PR!$BK140,IF(H142="UNION",PR!$BL140,IF(H142="UNIQUE",PR!$BM140,IF(H142="VIXA",PR!$BN140,IF(H142="WWCV",PR!$BO140,IF(H142="ZOLON",PR!$BP140,"-"))))))))))))))))))))))))))))))))))))))))))))))))))))))))))))))))</f>
        <v>-</v>
      </c>
      <c r="H142" s="102">
        <f>EV!M186</f>
        <v>0</v>
      </c>
      <c r="I142" s="108" t="str">
        <f>IF(J142="ALPHA",PR!$E140,IF(J142="ASSENE",PR!$F140,IF(J142="BIOFEM",PR!$G140,IF(J142="BIOMED",PR!$H140,IF(J142="CHI",PR!$I140,IF(J142="CLARION",PR!$J140,IF(J142="CODIX",PR!$K140,IF(J142="COSMADE",PR!$L140,IF(J142="SANCON",PR!$M140,IF(J142="DEVON",PR!$N140,IF(J142="DORTEMAG",PR!$O140,IF(J142="DGF",PR!$P140,IF(J142="DYNAMIC",PR!$Q140,IF(J142="EMZOR",PR!$R140,IF(J142="EUMATT",PR!$S140,IF(J142="FIDSON",PR!$T140,IF(J142="FCGLOBAL",PR!$U140,IF(J142="GENEITH",PR!$V140,IF(J142="GINOS",PR!$W140,IF(J142="GSK",PR!$X140,IF(J142="GLOBORG",PR!$Y140,IF(J142="GOODNEWS",PR!$Z140,IF(J142="GREENLIFE",PR!$AA140,IF(J142="HLINE",PR!$AB140,IF(J142="ROTECH",PR!$AC140,IF(J142="ISN",PR!$AD140,IF(J142="JAWA",PR!$AE140,IF(J142="LAYO",PR!$AF140,IF(J142="LEADWAY",PR!$AG140,IF(J142="LHV",PR!$AH140,IF(J142="MANOLA",PR!$AI140,IF(J142="MARCSON",PR!$AJ140,IF(J142="M&amp;B",PR!$AK140,IF(J142="MTRUST",PR!$AL140,IF(J142="MWORLD",PR!$AM140,IF(J142="MEGA",PR!$AN140,IF(J142="MICRONOVA",PR!$AO140,IF(J142="MFLASH",PR!$AP140,IF(J142="MORISON",PR!$AQ140,IF(J142="NEMEL",PR!$AR140,IF(J142="NHP",PR!$AS140,IF(J142="NHC",PR!$AT140,IF(J142="OLEAF",PR!$AU140,IF(J142="OCULUS",PR!$AV140,IF(J142="PACIFIC",PR!$AW140,IF(J142="PHAMATEX",PR!$AX140,IF(J142="PETHICS",PR!$AY140,IF(J142="PHILIPS",PR!$AZ140,IF(J142="RANBAXY",PR!$BA140,IF(J142="REALS",PR!$BB140,IF(J142="ROYAL",PR!$BC140,IF(J142="SAM",PR!$BD140,IF(J142="SEAGREEN",PR!$BE140,IF(J142="SKG",PR!$BF140,IF(J142="TAH",PR!$BG140,IF(J142="TAYLEK",PR!$BH140,IF(J142="TEMITA",PR!$BI140,IF(J142="THL",PR!$BJ140,IF(J142="UBASTIC",PR!$BK140,IF(J142="UNION",PR!$BL140,IF(J142="UNIQUE",PR!$BM140,IF(J142="VIXA",PR!$BN140,IF(J142="WWCV",PR!$BO140,IF(J142="ZOLON",PR!$BP140,"-"))))))))))))))))))))))))))))))))))))))))))))))))))))))))))))))))</f>
        <v>-</v>
      </c>
      <c r="J142" s="102">
        <f>EV!N186</f>
        <v>0</v>
      </c>
      <c r="K142" s="433"/>
      <c r="L142" s="183" t="b">
        <f>IF(K142&gt;0,IF(K142="ALPHA",PR!$E140,IF(K142="ASSENE",PR!$F140,IF(K142="BIOFEM",PR!$G140,IF(K142="BIOMED",PR!$H140,IF(K142="CHI",PR!$I140,IF(K142="CLARION",PR!$J140,IF(K142="CODIX",PR!$K140,IF(K142="COSMADE",PR!$L140,IF(K142="SANCON",PR!$M140,IF(K142="DEVON",PR!$N140,IF(K142="DORTEMAG",PR!$O140,IF(K142="DGF",PR!$P140,IF(K142="DYNAMIC",PR!$Q140,IF(K142="EMZOR",PR!$R140,IF(K142="EUMATT",PR!$S140,IF(K142="FIDSON",PR!$T140,IF(K142="FCGLOBAL",PR!$U140,IF(K142="GENEITH",PR!$V140,IF(K142="GINOS",PR!$W140,IF(K142="GSK",PR!$X140,IF(K142="GLOBORG",PR!$Y140,IF(K142="GOODNEWS",PR!$Z140,IF(K142="GREENLIFE",PR!$AA140,IF(K142="HLINE",PR!$AB140,IF(K142="ROTECH",PR!$AC140,IF(K142="ISN",PR!$AD140,IF(K142="JAWA",PR!$AE140,IF(K142="LAYO",PR!$AF140,IF(K142="LEADWAY",PR!$AG140,IF(K142="LHV",PR!$AH140,IF(K142="MANOLA",PR!$AI140,IF(K142="MARCSON",PR!$AJ140,IF(K142="M&amp;B",PR!$AK140,IF(K142="MTRUST",PR!$AL140,IF(K142="MWORLD",PR!$AM140,IF(K142="MEGA",PR!$AN140,IF(K142="MICRONOVA",PR!$AO140,IF(K142="MFLASH",PR!$AP140,IF(K142="MORISON",PR!$AQ140,IF(K142="NEMEL",PR!$AR140,IF(K142="NHP",PR!$AS140,IF(K142="NHC",PR!$AT140,IF(K142="OLEAF",PR!$AU140,IF(K142="OCULUS",PR!$AV140,IF(K142="PACIFIC",PR!$AW140,IF(K142="PHAMATEX",PR!$AX140,IF(K142="PETHICS",PR!$AY140,IF(K142="PHILIPS",PR!$AZ140,IF(K142="RANBAXY",PR!$BA140,IF(K142="REALS",PR!$BB140,IF(K142="ROYAL",PR!$BC140,IF(K142="SAM",PR!$BD140,IF(K142="SEAGREEN",PR!$BE140,IF(K142="SKG",PR!$BF140,IF(K142="TAH",PR!$BG140,IF(K142="TAYLEK",PR!$BH140,IF(K142="TEMITA",PR!$BI140,IF(K142="THL",PR!$BJ140,IF(K142="UBASTIC",PR!$BK140,IF(K142="UNION",PR!$BL140,IF(K142="UNIQUE",PR!$BM140,IF(K142="VIXA",PR!$BN140,IF(K142="WWCV",PR!$BO140,IF(K142="ZOLON",PR!$BP140,"-")))))))))))))))))))))))))))))))))))))))))))))))))))))))))))))))))</f>
        <v>0</v>
      </c>
    </row>
    <row r="143" spans="1:12" ht="18.75" x14ac:dyDescent="0.3">
      <c r="A143" s="430">
        <f>PR!A141</f>
        <v>123</v>
      </c>
      <c r="B143" s="15" t="str">
        <f>PR!B141</f>
        <v>GLUCOMETER  (ACCU-CHEK) ACTIVE</v>
      </c>
      <c r="C143" s="113" t="str">
        <f>PR!D141</f>
        <v>PC</v>
      </c>
      <c r="D143" s="113">
        <f>PR!C141</f>
        <v>100</v>
      </c>
      <c r="E143" s="108">
        <f>IF(F143="ALPHA",PR!$E141,IF(F143="ASSENE",PR!$F141,IF(F143="BIOFEM",PR!$G141,IF(F143="BIOMED",PR!$H141,IF(F143="CHI",PR!$I141,IF(F143="CLARION",PR!$J141,IF(F143="CODIX",PR!$K141,IF(F143="COSMADE",PR!$L141,IF(F143="SANCON",PR!$M141,IF(F143="DEVON",PR!$N141,IF(F143="DORTEMAG",PR!$O141,IF(F143="DGF",PR!$P141,IF(F143="DYNAMIC",PR!$Q141,IF(F143="EMZOR",PR!$R141,IF(F143="EUMATT",PR!$S141,IF(F143="FIDSON",PR!$T141,IF(F143="FCGLOBAL",PR!$U141,IF(F143="GENEITH",PR!$V141,IF(F143="GINOS",PR!$W141,IF(F143="GSK",PR!$X141,IF(F143="GLOBORG",PR!$Y141,IF(F143="GOODNEWS",PR!$Z141,IF(F143="GREENLIFE",PR!$AA141,IF(F143="HLINE",PR!$AB141,IF(F143="ROTECH",PR!$AC141,IF(F143="ISN",PR!$AD141,IF(F143="JAWA",PR!$AE141,IF(F143="LAYO",PR!$AF141,IF(F143="LEADWAY",PR!$AG141,IF(F143="LHV",PR!$AH141,IF(F143="MANOLA",PR!$AI141,IF(F143="MARCSON",PR!$AJ141,IF(F143="M&amp;B",PR!$AK141,IF(F143="MTRUST",PR!$AL141,IF(F143="MWORLD",PR!$AM141,IF(F143="MEGA",PR!$AN141,IF(F143="MICRONOVA",PR!$AO141,IF(F143="MFLASH",PR!$AP141,IF(F143="MORISON",PR!$AQ141,IF(F143="NEMEL",PR!$AR141,IF(F143="NHP",PR!$AS141,IF(F143="NHC",PR!$AT141,IF(F143="OLEAF",PR!$AU141,IF(F143="OCULUS",PR!$AV141,IF(F143="PACIFIC",PR!$AW141,IF(F143="PHAMATEX",PR!$AX141,IF(F143="PETHICS",PR!$AY141,IF(F143="PHILIPS",PR!$AZ141,IF(F143="RANBAXY",PR!$BA141,IF(F143="REALS",PR!$BB141,IF(F143="ROYAL",PR!$BC141,IF(F143="SAM",PR!$BD141,IF(F143="SEAGREEN",PR!$BE141,IF(F143="SKG",PR!$BF141,IF(F143="TAH",PR!$BG141,IF(F143="TAYLEK",PR!$BH141,IF(F143="TEMITA",PR!$BI141,IF(F143="THL",PR!$BJ141,IF(F143="UBASTIC",PR!$BK141,IF(F143="UNION",PR!$BL141,IF(F143="UNIQUE",PR!$BM141,IF(F143="VIXA",PR!$BN141,IF(F143="WWCV",PR!$BO141,IF(F143="ZOLON",PR!$BP141,"-"))))))))))))))))))))))))))))))))))))))))))))))))))))))))))))))))</f>
        <v>6800</v>
      </c>
      <c r="F143" s="102" t="str">
        <f>EV!L187</f>
        <v>ISN</v>
      </c>
      <c r="G143" s="108" t="str">
        <f>IF(H143="ALPHA",PR!$E141,IF(H143="ASSENE",PR!$F141,IF(H143="BIOFEM",PR!$G141,IF(H143="BIOMED",PR!$H141,IF(H143="CHI",PR!$I141,IF(H143="CLARION",PR!$J141,IF(H143="CODIX",PR!$K141,IF(H143="COSMADE",PR!$L141,IF(H143="SANCON",PR!$M141,IF(H143="DEVON",PR!$N141,IF(H143="DORTEMAG",PR!$O141,IF(H143="DGF",PR!$P141,IF(H143="DYNAMIC",PR!$Q141,IF(H143="EMZOR",PR!$R141,IF(H143="EUMATT",PR!$S141,IF(H143="FIDSON",PR!$T141,IF(H143="FCGLOBAL",PR!$U141,IF(H143="GENEITH",PR!$V141,IF(H143="GINOS",PR!$W141,IF(H143="GSK",PR!$X141,IF(H143="GLOBORG",PR!$Y141,IF(H143="GOODNEWS",PR!$Z141,IF(H143="GREENLIFE",PR!$AA141,IF(H143="HLINE",PR!$AB141,IF(H143="ROTECH",PR!$AC141,IF(H143="ISN",PR!$AD141,IF(H143="JAWA",PR!$AE141,IF(H143="LAYO",PR!$AF141,IF(H143="LEADWAY",PR!$AG141,IF(H143="LHV",PR!$AH141,IF(H143="MANOLA",PR!$AI141,IF(H143="MARCSON",PR!$AJ141,IF(H143="M&amp;B",PR!$AK141,IF(H143="MTRUST",PR!$AL141,IF(H143="MWORLD",PR!$AM141,IF(H143="MEGA",PR!$AN141,IF(H143="MICRONOVA",PR!$AO141,IF(H143="MFLASH",PR!$AP141,IF(H143="MORISON",PR!$AQ141,IF(H143="NEMEL",PR!$AR141,IF(H143="NHP",PR!$AS141,IF(H143="NHC",PR!$AT141,IF(H143="OLEAF",PR!$AU141,IF(H143="OCULUS",PR!$AV141,IF(H143="PACIFIC",PR!$AW141,IF(H143="PHAMATEX",PR!$AX141,IF(H143="PETHICS",PR!$AY141,IF(H143="PHILIPS",PR!$AZ141,IF(H143="RANBAXY",PR!$BA141,IF(H143="REALS",PR!$BB141,IF(H143="ROYAL",PR!$BC141,IF(H143="SAM",PR!$BD141,IF(H143="SEAGREEN",PR!$BE141,IF(H143="SKG",PR!$BF141,IF(H143="TAH",PR!$BG141,IF(H143="TAYLEK",PR!$BH141,IF(H143="TEMITA",PR!$BI141,IF(H143="THL",PR!$BJ141,IF(H143="UBASTIC",PR!$BK141,IF(H143="UNION",PR!$BL141,IF(H143="UNIQUE",PR!$BM141,IF(H143="VIXA",PR!$BN141,IF(H143="WWCV",PR!$BO141,IF(H143="ZOLON",PR!$BP141,"-"))))))))))))))))))))))))))))))))))))))))))))))))))))))))))))))))</f>
        <v>-</v>
      </c>
      <c r="H143" s="102">
        <f>EV!M187</f>
        <v>0</v>
      </c>
      <c r="I143" s="108" t="str">
        <f>IF(J143="ALPHA",PR!$E141,IF(J143="ASSENE",PR!$F141,IF(J143="BIOFEM",PR!$G141,IF(J143="BIOMED",PR!$H141,IF(J143="CHI",PR!$I141,IF(J143="CLARION",PR!$J141,IF(J143="CODIX",PR!$K141,IF(J143="COSMADE",PR!$L141,IF(J143="SANCON",PR!$M141,IF(J143="DEVON",PR!$N141,IF(J143="DORTEMAG",PR!$O141,IF(J143="DGF",PR!$P141,IF(J143="DYNAMIC",PR!$Q141,IF(J143="EMZOR",PR!$R141,IF(J143="EUMATT",PR!$S141,IF(J143="FIDSON",PR!$T141,IF(J143="FCGLOBAL",PR!$U141,IF(J143="GENEITH",PR!$V141,IF(J143="GINOS",PR!$W141,IF(J143="GSK",PR!$X141,IF(J143="GLOBORG",PR!$Y141,IF(J143="GOODNEWS",PR!$Z141,IF(J143="GREENLIFE",PR!$AA141,IF(J143="HLINE",PR!$AB141,IF(J143="ROTECH",PR!$AC141,IF(J143="ISN",PR!$AD141,IF(J143="JAWA",PR!$AE141,IF(J143="LAYO",PR!$AF141,IF(J143="LEADWAY",PR!$AG141,IF(J143="LHV",PR!$AH141,IF(J143="MANOLA",PR!$AI141,IF(J143="MARCSON",PR!$AJ141,IF(J143="M&amp;B",PR!$AK141,IF(J143="MTRUST",PR!$AL141,IF(J143="MWORLD",PR!$AM141,IF(J143="MEGA",PR!$AN141,IF(J143="MICRONOVA",PR!$AO141,IF(J143="MFLASH",PR!$AP141,IF(J143="MORISON",PR!$AQ141,IF(J143="NEMEL",PR!$AR141,IF(J143="NHP",PR!$AS141,IF(J143="NHC",PR!$AT141,IF(J143="OLEAF",PR!$AU141,IF(J143="OCULUS",PR!$AV141,IF(J143="PACIFIC",PR!$AW141,IF(J143="PHAMATEX",PR!$AX141,IF(J143="PETHICS",PR!$AY141,IF(J143="PHILIPS",PR!$AZ141,IF(J143="RANBAXY",PR!$BA141,IF(J143="REALS",PR!$BB141,IF(J143="ROYAL",PR!$BC141,IF(J143="SAM",PR!$BD141,IF(J143="SEAGREEN",PR!$BE141,IF(J143="SKG",PR!$BF141,IF(J143="TAH",PR!$BG141,IF(J143="TAYLEK",PR!$BH141,IF(J143="TEMITA",PR!$BI141,IF(J143="THL",PR!$BJ141,IF(J143="UBASTIC",PR!$BK141,IF(J143="UNION",PR!$BL141,IF(J143="UNIQUE",PR!$BM141,IF(J143="VIXA",PR!$BN141,IF(J143="WWCV",PR!$BO141,IF(J143="ZOLON",PR!$BP141,"-"))))))))))))))))))))))))))))))))))))))))))))))))))))))))))))))))</f>
        <v>-</v>
      </c>
      <c r="J143" s="102">
        <f>EV!N187</f>
        <v>0</v>
      </c>
      <c r="K143" s="433" t="s">
        <v>1248</v>
      </c>
      <c r="L143" s="183">
        <f>IF(K143&gt;0,IF(K143="ALPHA",PR!$E141,IF(K143="ASSENE",PR!$F141,IF(K143="BIOFEM",PR!$G141,IF(K143="BIOMED",PR!$H141,IF(K143="CHI",PR!$I141,IF(K143="CLARION",PR!$J141,IF(K143="CODIX",PR!$K141,IF(K143="COSMADE",PR!$L141,IF(K143="SANCON",PR!$M141,IF(K143="DEVON",PR!$N141,IF(K143="DORTEMAG",PR!$O141,IF(K143="DGF",PR!$P141,IF(K143="DYNAMIC",PR!$Q141,IF(K143="EMZOR",PR!$R141,IF(K143="EUMATT",PR!$S141,IF(K143="FIDSON",PR!$T141,IF(K143="FCGLOBAL",PR!$U141,IF(K143="GENEITH",PR!$V141,IF(K143="GINOS",PR!$W141,IF(K143="GSK",PR!$X141,IF(K143="GLOBORG",PR!$Y141,IF(K143="GOODNEWS",PR!$Z141,IF(K143="GREENLIFE",PR!$AA141,IF(K143="HLINE",PR!$AB141,IF(K143="ROTECH",PR!$AC141,IF(K143="ISN",PR!$AD141,IF(K143="JAWA",PR!$AE141,IF(K143="LAYO",PR!$AF141,IF(K143="LEADWAY",PR!$AG141,IF(K143="LHV",PR!$AH141,IF(K143="MANOLA",PR!$AI141,IF(K143="MARCSON",PR!$AJ141,IF(K143="M&amp;B",PR!$AK141,IF(K143="MTRUST",PR!$AL141,IF(K143="MWORLD",PR!$AM141,IF(K143="MEGA",PR!$AN141,IF(K143="MICRONOVA",PR!$AO141,IF(K143="MFLASH",PR!$AP141,IF(K143="MORISON",PR!$AQ141,IF(K143="NEMEL",PR!$AR141,IF(K143="NHP",PR!$AS141,IF(K143="NHC",PR!$AT141,IF(K143="OLEAF",PR!$AU141,IF(K143="OCULUS",PR!$AV141,IF(K143="PACIFIC",PR!$AW141,IF(K143="PHAMATEX",PR!$AX141,IF(K143="PETHICS",PR!$AY141,IF(K143="PHILIPS",PR!$AZ141,IF(K143="RANBAXY",PR!$BA141,IF(K143="REALS",PR!$BB141,IF(K143="ROYAL",PR!$BC141,IF(K143="SAM",PR!$BD141,IF(K143="SEAGREEN",PR!$BE141,IF(K143="SKG",PR!$BF141,IF(K143="TAH",PR!$BG141,IF(K143="TAYLEK",PR!$BH141,IF(K143="TEMITA",PR!$BI141,IF(K143="THL",PR!$BJ141,IF(K143="UBASTIC",PR!$BK141,IF(K143="UNION",PR!$BL141,IF(K143="UNIQUE",PR!$BM141,IF(K143="VIXA",PR!$BN141,IF(K143="WWCV",PR!$BO141,IF(K143="ZOLON",PR!$BP141,"-")))))))))))))))))))))))))))))))))))))))))))))))))))))))))))))))))</f>
        <v>6800</v>
      </c>
    </row>
    <row r="144" spans="1:12" ht="18.75" x14ac:dyDescent="0.3">
      <c r="A144" s="430">
        <f>PR!A142</f>
        <v>124</v>
      </c>
      <c r="B144" s="15" t="str">
        <f>PR!B142</f>
        <v>HUMALOG MIX 50 INJ (VIAL)</v>
      </c>
      <c r="C144" s="113">
        <f>PR!D142</f>
        <v>5</v>
      </c>
      <c r="D144" s="113">
        <f>PR!C142</f>
        <v>10</v>
      </c>
      <c r="E144" s="108" t="str">
        <f>IF(F144="ALPHA",PR!$E142,IF(F144="ASSENE",PR!$F142,IF(F144="BIOFEM",PR!$G142,IF(F144="BIOMED",PR!$H142,IF(F144="CHI",PR!$I142,IF(F144="CLARION",PR!$J142,IF(F144="CODIX",PR!$K142,IF(F144="COSMADE",PR!$L142,IF(F144="SANCON",PR!$M142,IF(F144="DEVON",PR!$N142,IF(F144="DORTEMAG",PR!$O142,IF(F144="DGF",PR!$P142,IF(F144="DYNAMIC",PR!$Q142,IF(F144="EMZOR",PR!$R142,IF(F144="EUMATT",PR!$S142,IF(F144="FIDSON",PR!$T142,IF(F144="FCGLOBAL",PR!$U142,IF(F144="GENEITH",PR!$V142,IF(F144="GINOS",PR!$W142,IF(F144="GSK",PR!$X142,IF(F144="GLOBORG",PR!$Y142,IF(F144="GOODNEWS",PR!$Z142,IF(F144="GREENLIFE",PR!$AA142,IF(F144="HLINE",PR!$AB142,IF(F144="ROTECH",PR!$AC142,IF(F144="ISN",PR!$AD142,IF(F144="JAWA",PR!$AE142,IF(F144="LAYO",PR!$AF142,IF(F144="LEADWAY",PR!$AG142,IF(F144="LHV",PR!$AH142,IF(F144="MANOLA",PR!$AI142,IF(F144="MARCSON",PR!$AJ142,IF(F144="M&amp;B",PR!$AK142,IF(F144="MTRUST",PR!$AL142,IF(F144="MWORLD",PR!$AM142,IF(F144="MEGA",PR!$AN142,IF(F144="MICRONOVA",PR!$AO142,IF(F144="MFLASH",PR!$AP142,IF(F144="MORISON",PR!$AQ142,IF(F144="NEMEL",PR!$AR142,IF(F144="NHP",PR!$AS142,IF(F144="NHC",PR!$AT142,IF(F144="OLEAF",PR!$AU142,IF(F144="OCULUS",PR!$AV142,IF(F144="PACIFIC",PR!$AW142,IF(F144="PHAMATEX",PR!$AX142,IF(F144="PETHICS",PR!$AY142,IF(F144="PHILIPS",PR!$AZ142,IF(F144="RANBAXY",PR!$BA142,IF(F144="REALS",PR!$BB142,IF(F144="ROYAL",PR!$BC142,IF(F144="SAM",PR!$BD142,IF(F144="SEAGREEN",PR!$BE142,IF(F144="SKG",PR!$BF142,IF(F144="TAH",PR!$BG142,IF(F144="TAYLEK",PR!$BH142,IF(F144="TEMITA",PR!$BI142,IF(F144="THL",PR!$BJ142,IF(F144="UBASTIC",PR!$BK142,IF(F144="UNION",PR!$BL142,IF(F144="UNIQUE",PR!$BM142,IF(F144="VIXA",PR!$BN142,IF(F144="WWCV",PR!$BO142,IF(F144="ZOLON",PR!$BP142,"-"))))))))))))))))))))))))))))))))))))))))))))))))))))))))))))))))</f>
        <v>-</v>
      </c>
      <c r="F144" s="102">
        <f>EV!L188</f>
        <v>0</v>
      </c>
      <c r="G144" s="108" t="str">
        <f>IF(H144="ALPHA",PR!$E142,IF(H144="ASSENE",PR!$F142,IF(H144="BIOFEM",PR!$G142,IF(H144="BIOMED",PR!$H142,IF(H144="CHI",PR!$I142,IF(H144="CLARION",PR!$J142,IF(H144="CODIX",PR!$K142,IF(H144="COSMADE",PR!$L142,IF(H144="SANCON",PR!$M142,IF(H144="DEVON",PR!$N142,IF(H144="DORTEMAG",PR!$O142,IF(H144="DGF",PR!$P142,IF(H144="DYNAMIC",PR!$Q142,IF(H144="EMZOR",PR!$R142,IF(H144="EUMATT",PR!$S142,IF(H144="FIDSON",PR!$T142,IF(H144="FCGLOBAL",PR!$U142,IF(H144="GENEITH",PR!$V142,IF(H144="GINOS",PR!$W142,IF(H144="GSK",PR!$X142,IF(H144="GLOBORG",PR!$Y142,IF(H144="GOODNEWS",PR!$Z142,IF(H144="GREENLIFE",PR!$AA142,IF(H144="HLINE",PR!$AB142,IF(H144="ROTECH",PR!$AC142,IF(H144="ISN",PR!$AD142,IF(H144="JAWA",PR!$AE142,IF(H144="LAYO",PR!$AF142,IF(H144="LEADWAY",PR!$AG142,IF(H144="LHV",PR!$AH142,IF(H144="MANOLA",PR!$AI142,IF(H144="MARCSON",PR!$AJ142,IF(H144="M&amp;B",PR!$AK142,IF(H144="MTRUST",PR!$AL142,IF(H144="MWORLD",PR!$AM142,IF(H144="MEGA",PR!$AN142,IF(H144="MICRONOVA",PR!$AO142,IF(H144="MFLASH",PR!$AP142,IF(H144="MORISON",PR!$AQ142,IF(H144="NEMEL",PR!$AR142,IF(H144="NHP",PR!$AS142,IF(H144="NHC",PR!$AT142,IF(H144="OLEAF",PR!$AU142,IF(H144="OCULUS",PR!$AV142,IF(H144="PACIFIC",PR!$AW142,IF(H144="PHAMATEX",PR!$AX142,IF(H144="PETHICS",PR!$AY142,IF(H144="PHILIPS",PR!$AZ142,IF(H144="RANBAXY",PR!$BA142,IF(H144="REALS",PR!$BB142,IF(H144="ROYAL",PR!$BC142,IF(H144="SAM",PR!$BD142,IF(H144="SEAGREEN",PR!$BE142,IF(H144="SKG",PR!$BF142,IF(H144="TAH",PR!$BG142,IF(H144="TAYLEK",PR!$BH142,IF(H144="TEMITA",PR!$BI142,IF(H144="THL",PR!$BJ142,IF(H144="UBASTIC",PR!$BK142,IF(H144="UNION",PR!$BL142,IF(H144="UNIQUE",PR!$BM142,IF(H144="VIXA",PR!$BN142,IF(H144="WWCV",PR!$BO142,IF(H144="ZOLON",PR!$BP142,"-"))))))))))))))))))))))))))))))))))))))))))))))))))))))))))))))))</f>
        <v>-</v>
      </c>
      <c r="H144" s="102">
        <f>EV!M188</f>
        <v>0</v>
      </c>
      <c r="I144" s="108" t="str">
        <f>IF(J144="ALPHA",PR!$E142,IF(J144="ASSENE",PR!$F142,IF(J144="BIOFEM",PR!$G142,IF(J144="BIOMED",PR!$H142,IF(J144="CHI",PR!$I142,IF(J144="CLARION",PR!$J142,IF(J144="CODIX",PR!$K142,IF(J144="COSMADE",PR!$L142,IF(J144="SANCON",PR!$M142,IF(J144="DEVON",PR!$N142,IF(J144="DORTEMAG",PR!$O142,IF(J144="DGF",PR!$P142,IF(J144="DYNAMIC",PR!$Q142,IF(J144="EMZOR",PR!$R142,IF(J144="EUMATT",PR!$S142,IF(J144="FIDSON",PR!$T142,IF(J144="FCGLOBAL",PR!$U142,IF(J144="GENEITH",PR!$V142,IF(J144="GINOS",PR!$W142,IF(J144="GSK",PR!$X142,IF(J144="GLOBORG",PR!$Y142,IF(J144="GOODNEWS",PR!$Z142,IF(J144="GREENLIFE",PR!$AA142,IF(J144="HLINE",PR!$AB142,IF(J144="ROTECH",PR!$AC142,IF(J144="ISN",PR!$AD142,IF(J144="JAWA",PR!$AE142,IF(J144="LAYO",PR!$AF142,IF(J144="LEADWAY",PR!$AG142,IF(J144="LHV",PR!$AH142,IF(J144="MANOLA",PR!$AI142,IF(J144="MARCSON",PR!$AJ142,IF(J144="M&amp;B",PR!$AK142,IF(J144="MTRUST",PR!$AL142,IF(J144="MWORLD",PR!$AM142,IF(J144="MEGA",PR!$AN142,IF(J144="MICRONOVA",PR!$AO142,IF(J144="MFLASH",PR!$AP142,IF(J144="MORISON",PR!$AQ142,IF(J144="NEMEL",PR!$AR142,IF(J144="NHP",PR!$AS142,IF(J144="NHC",PR!$AT142,IF(J144="OLEAF",PR!$AU142,IF(J144="OCULUS",PR!$AV142,IF(J144="PACIFIC",PR!$AW142,IF(J144="PHAMATEX",PR!$AX142,IF(J144="PETHICS",PR!$AY142,IF(J144="PHILIPS",PR!$AZ142,IF(J144="RANBAXY",PR!$BA142,IF(J144="REALS",PR!$BB142,IF(J144="ROYAL",PR!$BC142,IF(J144="SAM",PR!$BD142,IF(J144="SEAGREEN",PR!$BE142,IF(J144="SKG",PR!$BF142,IF(J144="TAH",PR!$BG142,IF(J144="TAYLEK",PR!$BH142,IF(J144="TEMITA",PR!$BI142,IF(J144="THL",PR!$BJ142,IF(J144="UBASTIC",PR!$BK142,IF(J144="UNION",PR!$BL142,IF(J144="UNIQUE",PR!$BM142,IF(J144="VIXA",PR!$BN142,IF(J144="WWCV",PR!$BO142,IF(J144="ZOLON",PR!$BP142,"-"))))))))))))))))))))))))))))))))))))))))))))))))))))))))))))))))</f>
        <v>-</v>
      </c>
      <c r="J144" s="102">
        <f>EV!N188</f>
        <v>0</v>
      </c>
      <c r="K144" s="433"/>
      <c r="L144" s="183" t="b">
        <f>IF(K144&gt;0,IF(K144="ALPHA",PR!$E142,IF(K144="ASSENE",PR!$F142,IF(K144="BIOFEM",PR!$G142,IF(K144="BIOMED",PR!$H142,IF(K144="CHI",PR!$I142,IF(K144="CLARION",PR!$J142,IF(K144="CODIX",PR!$K142,IF(K144="COSMADE",PR!$L142,IF(K144="SANCON",PR!$M142,IF(K144="DEVON",PR!$N142,IF(K144="DORTEMAG",PR!$O142,IF(K144="DGF",PR!$P142,IF(K144="DYNAMIC",PR!$Q142,IF(K144="EMZOR",PR!$R142,IF(K144="EUMATT",PR!$S142,IF(K144="FIDSON",PR!$T142,IF(K144="FCGLOBAL",PR!$U142,IF(K144="GENEITH",PR!$V142,IF(K144="GINOS",PR!$W142,IF(K144="GSK",PR!$X142,IF(K144="GLOBORG",PR!$Y142,IF(K144="GOODNEWS",PR!$Z142,IF(K144="GREENLIFE",PR!$AA142,IF(K144="HLINE",PR!$AB142,IF(K144="ROTECH",PR!$AC142,IF(K144="ISN",PR!$AD142,IF(K144="JAWA",PR!$AE142,IF(K144="LAYO",PR!$AF142,IF(K144="LEADWAY",PR!$AG142,IF(K144="LHV",PR!$AH142,IF(K144="MANOLA",PR!$AI142,IF(K144="MARCSON",PR!$AJ142,IF(K144="M&amp;B",PR!$AK142,IF(K144="MTRUST",PR!$AL142,IF(K144="MWORLD",PR!$AM142,IF(K144="MEGA",PR!$AN142,IF(K144="MICRONOVA",PR!$AO142,IF(K144="MFLASH",PR!$AP142,IF(K144="MORISON",PR!$AQ142,IF(K144="NEMEL",PR!$AR142,IF(K144="NHP",PR!$AS142,IF(K144="NHC",PR!$AT142,IF(K144="OLEAF",PR!$AU142,IF(K144="OCULUS",PR!$AV142,IF(K144="PACIFIC",PR!$AW142,IF(K144="PHAMATEX",PR!$AX142,IF(K144="PETHICS",PR!$AY142,IF(K144="PHILIPS",PR!$AZ142,IF(K144="RANBAXY",PR!$BA142,IF(K144="REALS",PR!$BB142,IF(K144="ROYAL",PR!$BC142,IF(K144="SAM",PR!$BD142,IF(K144="SEAGREEN",PR!$BE142,IF(K144="SKG",PR!$BF142,IF(K144="TAH",PR!$BG142,IF(K144="TAYLEK",PR!$BH142,IF(K144="TEMITA",PR!$BI142,IF(K144="THL",PR!$BJ142,IF(K144="UBASTIC",PR!$BK142,IF(K144="UNION",PR!$BL142,IF(K144="UNIQUE",PR!$BM142,IF(K144="VIXA",PR!$BN142,IF(K144="WWCV",PR!$BO142,IF(K144="ZOLON",PR!$BP142,"-")))))))))))))))))))))))))))))))))))))))))))))))))))))))))))))))))</f>
        <v>0</v>
      </c>
    </row>
    <row r="145" spans="1:12" ht="18.75" x14ac:dyDescent="0.3">
      <c r="A145" s="430">
        <f>PR!A143</f>
        <v>125</v>
      </c>
      <c r="B145" s="15" t="str">
        <f>PR!B143</f>
        <v>HUMALOG MIX 75-25 INJ</v>
      </c>
      <c r="C145" s="113">
        <f>PR!D143</f>
        <v>5</v>
      </c>
      <c r="D145" s="113">
        <f>PR!C143</f>
        <v>10</v>
      </c>
      <c r="E145" s="108" t="str">
        <f>IF(F145="ALPHA",PR!$E143,IF(F145="ASSENE",PR!$F143,IF(F145="BIOFEM",PR!$G143,IF(F145="BIOMED",PR!$H143,IF(F145="CHI",PR!$I143,IF(F145="CLARION",PR!$J143,IF(F145="CODIX",PR!$K143,IF(F145="COSMADE",PR!$L143,IF(F145="SANCON",PR!$M143,IF(F145="DEVON",PR!$N143,IF(F145="DORTEMAG",PR!$O143,IF(F145="DGF",PR!$P143,IF(F145="DYNAMIC",PR!$Q143,IF(F145="EMZOR",PR!$R143,IF(F145="EUMATT",PR!$S143,IF(F145="FIDSON",PR!$T143,IF(F145="FCGLOBAL",PR!$U143,IF(F145="GENEITH",PR!$V143,IF(F145="GINOS",PR!$W143,IF(F145="GSK",PR!$X143,IF(F145="GLOBORG",PR!$Y143,IF(F145="GOODNEWS",PR!$Z143,IF(F145="GREENLIFE",PR!$AA143,IF(F145="HLINE",PR!$AB143,IF(F145="ROTECH",PR!$AC143,IF(F145="ISN",PR!$AD143,IF(F145="JAWA",PR!$AE143,IF(F145="LAYO",PR!$AF143,IF(F145="LEADWAY",PR!$AG143,IF(F145="LHV",PR!$AH143,IF(F145="MANOLA",PR!$AI143,IF(F145="MARCSON",PR!$AJ143,IF(F145="M&amp;B",PR!$AK143,IF(F145="MTRUST",PR!$AL143,IF(F145="MWORLD",PR!$AM143,IF(F145="MEGA",PR!$AN143,IF(F145="MICRONOVA",PR!$AO143,IF(F145="MFLASH",PR!$AP143,IF(F145="MORISON",PR!$AQ143,IF(F145="NEMEL",PR!$AR143,IF(F145="NHP",PR!$AS143,IF(F145="NHC",PR!$AT143,IF(F145="OLEAF",PR!$AU143,IF(F145="OCULUS",PR!$AV143,IF(F145="PACIFIC",PR!$AW143,IF(F145="PHAMATEX",PR!$AX143,IF(F145="PETHICS",PR!$AY143,IF(F145="PHILIPS",PR!$AZ143,IF(F145="RANBAXY",PR!$BA143,IF(F145="REALS",PR!$BB143,IF(F145="ROYAL",PR!$BC143,IF(F145="SAM",PR!$BD143,IF(F145="SEAGREEN",PR!$BE143,IF(F145="SKG",PR!$BF143,IF(F145="TAH",PR!$BG143,IF(F145="TAYLEK",PR!$BH143,IF(F145="TEMITA",PR!$BI143,IF(F145="THL",PR!$BJ143,IF(F145="UBASTIC",PR!$BK143,IF(F145="UNION",PR!$BL143,IF(F145="UNIQUE",PR!$BM143,IF(F145="VIXA",PR!$BN143,IF(F145="WWCV",PR!$BO143,IF(F145="ZOLON",PR!$BP143,"-"))))))))))))))))))))))))))))))))))))))))))))))))))))))))))))))))</f>
        <v>-</v>
      </c>
      <c r="F145" s="102">
        <f>EV!L189</f>
        <v>0</v>
      </c>
      <c r="G145" s="108" t="str">
        <f>IF(H145="ALPHA",PR!$E143,IF(H145="ASSENE",PR!$F143,IF(H145="BIOFEM",PR!$G143,IF(H145="BIOMED",PR!$H143,IF(H145="CHI",PR!$I143,IF(H145="CLARION",PR!$J143,IF(H145="CODIX",PR!$K143,IF(H145="COSMADE",PR!$L143,IF(H145="SANCON",PR!$M143,IF(H145="DEVON",PR!$N143,IF(H145="DORTEMAG",PR!$O143,IF(H145="DGF",PR!$P143,IF(H145="DYNAMIC",PR!$Q143,IF(H145="EMZOR",PR!$R143,IF(H145="EUMATT",PR!$S143,IF(H145="FIDSON",PR!$T143,IF(H145="FCGLOBAL",PR!$U143,IF(H145="GENEITH",PR!$V143,IF(H145="GINOS",PR!$W143,IF(H145="GSK",PR!$X143,IF(H145="GLOBORG",PR!$Y143,IF(H145="GOODNEWS",PR!$Z143,IF(H145="GREENLIFE",PR!$AA143,IF(H145="HLINE",PR!$AB143,IF(H145="ROTECH",PR!$AC143,IF(H145="ISN",PR!$AD143,IF(H145="JAWA",PR!$AE143,IF(H145="LAYO",PR!$AF143,IF(H145="LEADWAY",PR!$AG143,IF(H145="LHV",PR!$AH143,IF(H145="MANOLA",PR!$AI143,IF(H145="MARCSON",PR!$AJ143,IF(H145="M&amp;B",PR!$AK143,IF(H145="MTRUST",PR!$AL143,IF(H145="MWORLD",PR!$AM143,IF(H145="MEGA",PR!$AN143,IF(H145="MICRONOVA",PR!$AO143,IF(H145="MFLASH",PR!$AP143,IF(H145="MORISON",PR!$AQ143,IF(H145="NEMEL",PR!$AR143,IF(H145="NHP",PR!$AS143,IF(H145="NHC",PR!$AT143,IF(H145="OLEAF",PR!$AU143,IF(H145="OCULUS",PR!$AV143,IF(H145="PACIFIC",PR!$AW143,IF(H145="PHAMATEX",PR!$AX143,IF(H145="PETHICS",PR!$AY143,IF(H145="PHILIPS",PR!$AZ143,IF(H145="RANBAXY",PR!$BA143,IF(H145="REALS",PR!$BB143,IF(H145="ROYAL",PR!$BC143,IF(H145="SAM",PR!$BD143,IF(H145="SEAGREEN",PR!$BE143,IF(H145="SKG",PR!$BF143,IF(H145="TAH",PR!$BG143,IF(H145="TAYLEK",PR!$BH143,IF(H145="TEMITA",PR!$BI143,IF(H145="THL",PR!$BJ143,IF(H145="UBASTIC",PR!$BK143,IF(H145="UNION",PR!$BL143,IF(H145="UNIQUE",PR!$BM143,IF(H145="VIXA",PR!$BN143,IF(H145="WWCV",PR!$BO143,IF(H145="ZOLON",PR!$BP143,"-"))))))))))))))))))))))))))))))))))))))))))))))))))))))))))))))))</f>
        <v>-</v>
      </c>
      <c r="H145" s="102">
        <f>EV!M189</f>
        <v>0</v>
      </c>
      <c r="I145" s="108" t="str">
        <f>IF(J145="ALPHA",PR!$E143,IF(J145="ASSENE",PR!$F143,IF(J145="BIOFEM",PR!$G143,IF(J145="BIOMED",PR!$H143,IF(J145="CHI",PR!$I143,IF(J145="CLARION",PR!$J143,IF(J145="CODIX",PR!$K143,IF(J145="COSMADE",PR!$L143,IF(J145="SANCON",PR!$M143,IF(J145="DEVON",PR!$N143,IF(J145="DORTEMAG",PR!$O143,IF(J145="DGF",PR!$P143,IF(J145="DYNAMIC",PR!$Q143,IF(J145="EMZOR",PR!$R143,IF(J145="EUMATT",PR!$S143,IF(J145="FIDSON",PR!$T143,IF(J145="FCGLOBAL",PR!$U143,IF(J145="GENEITH",PR!$V143,IF(J145="GINOS",PR!$W143,IF(J145="GSK",PR!$X143,IF(J145="GLOBORG",PR!$Y143,IF(J145="GOODNEWS",PR!$Z143,IF(J145="GREENLIFE",PR!$AA143,IF(J145="HLINE",PR!$AB143,IF(J145="ROTECH",PR!$AC143,IF(J145="ISN",PR!$AD143,IF(J145="JAWA",PR!$AE143,IF(J145="LAYO",PR!$AF143,IF(J145="LEADWAY",PR!$AG143,IF(J145="LHV",PR!$AH143,IF(J145="MANOLA",PR!$AI143,IF(J145="MARCSON",PR!$AJ143,IF(J145="M&amp;B",PR!$AK143,IF(J145="MTRUST",PR!$AL143,IF(J145="MWORLD",PR!$AM143,IF(J145="MEGA",PR!$AN143,IF(J145="MICRONOVA",PR!$AO143,IF(J145="MFLASH",PR!$AP143,IF(J145="MORISON",PR!$AQ143,IF(J145="NEMEL",PR!$AR143,IF(J145="NHP",PR!$AS143,IF(J145="NHC",PR!$AT143,IF(J145="OLEAF",PR!$AU143,IF(J145="OCULUS",PR!$AV143,IF(J145="PACIFIC",PR!$AW143,IF(J145="PHAMATEX",PR!$AX143,IF(J145="PETHICS",PR!$AY143,IF(J145="PHILIPS",PR!$AZ143,IF(J145="RANBAXY",PR!$BA143,IF(J145="REALS",PR!$BB143,IF(J145="ROYAL",PR!$BC143,IF(J145="SAM",PR!$BD143,IF(J145="SEAGREEN",PR!$BE143,IF(J145="SKG",PR!$BF143,IF(J145="TAH",PR!$BG143,IF(J145="TAYLEK",PR!$BH143,IF(J145="TEMITA",PR!$BI143,IF(J145="THL",PR!$BJ143,IF(J145="UBASTIC",PR!$BK143,IF(J145="UNION",PR!$BL143,IF(J145="UNIQUE",PR!$BM143,IF(J145="VIXA",PR!$BN143,IF(J145="WWCV",PR!$BO143,IF(J145="ZOLON",PR!$BP143,"-"))))))))))))))))))))))))))))))))))))))))))))))))))))))))))))))))</f>
        <v>-</v>
      </c>
      <c r="J145" s="102">
        <f>EV!N189</f>
        <v>0</v>
      </c>
      <c r="K145" s="433"/>
      <c r="L145" s="183" t="b">
        <f>IF(K145&gt;0,IF(K145="ALPHA",PR!$E143,IF(K145="ASSENE",PR!$F143,IF(K145="BIOFEM",PR!$G143,IF(K145="BIOMED",PR!$H143,IF(K145="CHI",PR!$I143,IF(K145="CLARION",PR!$J143,IF(K145="CODIX",PR!$K143,IF(K145="COSMADE",PR!$L143,IF(K145="SANCON",PR!$M143,IF(K145="DEVON",PR!$N143,IF(K145="DORTEMAG",PR!$O143,IF(K145="DGF",PR!$P143,IF(K145="DYNAMIC",PR!$Q143,IF(K145="EMZOR",PR!$R143,IF(K145="EUMATT",PR!$S143,IF(K145="FIDSON",PR!$T143,IF(K145="FCGLOBAL",PR!$U143,IF(K145="GENEITH",PR!$V143,IF(K145="GINOS",PR!$W143,IF(K145="GSK",PR!$X143,IF(K145="GLOBORG",PR!$Y143,IF(K145="GOODNEWS",PR!$Z143,IF(K145="GREENLIFE",PR!$AA143,IF(K145="HLINE",PR!$AB143,IF(K145="ROTECH",PR!$AC143,IF(K145="ISN",PR!$AD143,IF(K145="JAWA",PR!$AE143,IF(K145="LAYO",PR!$AF143,IF(K145="LEADWAY",PR!$AG143,IF(K145="LHV",PR!$AH143,IF(K145="MANOLA",PR!$AI143,IF(K145="MARCSON",PR!$AJ143,IF(K145="M&amp;B",PR!$AK143,IF(K145="MTRUST",PR!$AL143,IF(K145="MWORLD",PR!$AM143,IF(K145="MEGA",PR!$AN143,IF(K145="MICRONOVA",PR!$AO143,IF(K145="MFLASH",PR!$AP143,IF(K145="MORISON",PR!$AQ143,IF(K145="NEMEL",PR!$AR143,IF(K145="NHP",PR!$AS143,IF(K145="NHC",PR!$AT143,IF(K145="OLEAF",PR!$AU143,IF(K145="OCULUS",PR!$AV143,IF(K145="PACIFIC",PR!$AW143,IF(K145="PHAMATEX",PR!$AX143,IF(K145="PETHICS",PR!$AY143,IF(K145="PHILIPS",PR!$AZ143,IF(K145="RANBAXY",PR!$BA143,IF(K145="REALS",PR!$BB143,IF(K145="ROYAL",PR!$BC143,IF(K145="SAM",PR!$BD143,IF(K145="SEAGREEN",PR!$BE143,IF(K145="SKG",PR!$BF143,IF(K145="TAH",PR!$BG143,IF(K145="TAYLEK",PR!$BH143,IF(K145="TEMITA",PR!$BI143,IF(K145="THL",PR!$BJ143,IF(K145="UBASTIC",PR!$BK143,IF(K145="UNION",PR!$BL143,IF(K145="UNIQUE",PR!$BM143,IF(K145="VIXA",PR!$BN143,IF(K145="WWCV",PR!$BO143,IF(K145="ZOLON",PR!$BP143,"-")))))))))))))))))))))))))))))))))))))))))))))))))))))))))))))))))</f>
        <v>0</v>
      </c>
    </row>
    <row r="146" spans="1:12" ht="18.75" x14ac:dyDescent="0.3">
      <c r="A146" s="430">
        <f>PR!A144</f>
        <v>126</v>
      </c>
      <c r="B146" s="15" t="str">
        <f>PR!B144</f>
        <v xml:space="preserve">INSULIN 30/70 FLEX-PEN </v>
      </c>
      <c r="C146" s="113">
        <f>PR!D144</f>
        <v>5</v>
      </c>
      <c r="D146" s="113">
        <f>PR!C144</f>
        <v>120</v>
      </c>
      <c r="E146" s="108">
        <f>IF(F146="ALPHA",PR!$E144,IF(F146="ASSENE",PR!$F144,IF(F146="BIOFEM",PR!$G144,IF(F146="BIOMED",PR!$H144,IF(F146="CHI",PR!$I144,IF(F146="CLARION",PR!$J144,IF(F146="CODIX",PR!$K144,IF(F146="COSMADE",PR!$L144,IF(F146="SANCON",PR!$M144,IF(F146="DEVON",PR!$N144,IF(F146="DORTEMAG",PR!$O144,IF(F146="DGF",PR!$P144,IF(F146="DYNAMIC",PR!$Q144,IF(F146="EMZOR",PR!$R144,IF(F146="EUMATT",PR!$S144,IF(F146="FIDSON",PR!$T144,IF(F146="FCGLOBAL",PR!$U144,IF(F146="GENEITH",PR!$V144,IF(F146="GINOS",PR!$W144,IF(F146="GSK",PR!$X144,IF(F146="GLOBORG",PR!$Y144,IF(F146="GOODNEWS",PR!$Z144,IF(F146="GREENLIFE",PR!$AA144,IF(F146="HLINE",PR!$AB144,IF(F146="ROTECH",PR!$AC144,IF(F146="ISN",PR!$AD144,IF(F146="JAWA",PR!$AE144,IF(F146="LAYO",PR!$AF144,IF(F146="LEADWAY",PR!$AG144,IF(F146="LHV",PR!$AH144,IF(F146="MANOLA",PR!$AI144,IF(F146="MARCSON",PR!$AJ144,IF(F146="M&amp;B",PR!$AK144,IF(F146="MTRUST",PR!$AL144,IF(F146="MWORLD",PR!$AM144,IF(F146="MEGA",PR!$AN144,IF(F146="MICRONOVA",PR!$AO144,IF(F146="MFLASH",PR!$AP144,IF(F146="MORISON",PR!$AQ144,IF(F146="NEMEL",PR!$AR144,IF(F146="NHP",PR!$AS144,IF(F146="NHC",PR!$AT144,IF(F146="OLEAF",PR!$AU144,IF(F146="OCULUS",PR!$AV144,IF(F146="PACIFIC",PR!$AW144,IF(F146="PHAMATEX",PR!$AX144,IF(F146="PETHICS",PR!$AY144,IF(F146="PHILIPS",PR!$AZ144,IF(F146="RANBAXY",PR!$BA144,IF(F146="REALS",PR!$BB144,IF(F146="ROYAL",PR!$BC144,IF(F146="SAM",PR!$BD144,IF(F146="SEAGREEN",PR!$BE144,IF(F146="SKG",PR!$BF144,IF(F146="TAH",PR!$BG144,IF(F146="TAYLEK",PR!$BH144,IF(F146="TEMITA",PR!$BI144,IF(F146="THL",PR!$BJ144,IF(F146="UBASTIC",PR!$BK144,IF(F146="UNION",PR!$BL144,IF(F146="UNIQUE",PR!$BM144,IF(F146="VIXA",PR!$BN144,IF(F146="WWCV",PR!$BO144,IF(F146="ZOLON",PR!$BP144,"-"))))))))))))))))))))))))))))))))))))))))))))))))))))))))))))))))</f>
        <v>8160</v>
      </c>
      <c r="F146" s="102" t="str">
        <f>EV!L190</f>
        <v>WWCV</v>
      </c>
      <c r="G146" s="108" t="str">
        <f>IF(H146="ALPHA",PR!$E144,IF(H146="ASSENE",PR!$F144,IF(H146="BIOFEM",PR!$G144,IF(H146="BIOMED",PR!$H144,IF(H146="CHI",PR!$I144,IF(H146="CLARION",PR!$J144,IF(H146="CODIX",PR!$K144,IF(H146="COSMADE",PR!$L144,IF(H146="SANCON",PR!$M144,IF(H146="DEVON",PR!$N144,IF(H146="DORTEMAG",PR!$O144,IF(H146="DGF",PR!$P144,IF(H146="DYNAMIC",PR!$Q144,IF(H146="EMZOR",PR!$R144,IF(H146="EUMATT",PR!$S144,IF(H146="FIDSON",PR!$T144,IF(H146="FCGLOBAL",PR!$U144,IF(H146="GENEITH",PR!$V144,IF(H146="GINOS",PR!$W144,IF(H146="GSK",PR!$X144,IF(H146="GLOBORG",PR!$Y144,IF(H146="GOODNEWS",PR!$Z144,IF(H146="GREENLIFE",PR!$AA144,IF(H146="HLINE",PR!$AB144,IF(H146="ROTECH",PR!$AC144,IF(H146="ISN",PR!$AD144,IF(H146="JAWA",PR!$AE144,IF(H146="LAYO",PR!$AF144,IF(H146="LEADWAY",PR!$AG144,IF(H146="LHV",PR!$AH144,IF(H146="MANOLA",PR!$AI144,IF(H146="MARCSON",PR!$AJ144,IF(H146="M&amp;B",PR!$AK144,IF(H146="MTRUST",PR!$AL144,IF(H146="MWORLD",PR!$AM144,IF(H146="MEGA",PR!$AN144,IF(H146="MICRONOVA",PR!$AO144,IF(H146="MFLASH",PR!$AP144,IF(H146="MORISON",PR!$AQ144,IF(H146="NEMEL",PR!$AR144,IF(H146="NHP",PR!$AS144,IF(H146="NHC",PR!$AT144,IF(H146="OLEAF",PR!$AU144,IF(H146="OCULUS",PR!$AV144,IF(H146="PACIFIC",PR!$AW144,IF(H146="PHAMATEX",PR!$AX144,IF(H146="PETHICS",PR!$AY144,IF(H146="PHILIPS",PR!$AZ144,IF(H146="RANBAXY",PR!$BA144,IF(H146="REALS",PR!$BB144,IF(H146="ROYAL",PR!$BC144,IF(H146="SAM",PR!$BD144,IF(H146="SEAGREEN",PR!$BE144,IF(H146="SKG",PR!$BF144,IF(H146="TAH",PR!$BG144,IF(H146="TAYLEK",PR!$BH144,IF(H146="TEMITA",PR!$BI144,IF(H146="THL",PR!$BJ144,IF(H146="UBASTIC",PR!$BK144,IF(H146="UNION",PR!$BL144,IF(H146="UNIQUE",PR!$BM144,IF(H146="VIXA",PR!$BN144,IF(H146="WWCV",PR!$BO144,IF(H146="ZOLON",PR!$BP144,"-"))))))))))))))))))))))))))))))))))))))))))))))))))))))))))))))))</f>
        <v>-</v>
      </c>
      <c r="H146" s="102">
        <f>EV!M190</f>
        <v>0</v>
      </c>
      <c r="I146" s="108" t="str">
        <f>IF(J146="ALPHA",PR!$E144,IF(J146="ASSENE",PR!$F144,IF(J146="BIOFEM",PR!$G144,IF(J146="BIOMED",PR!$H144,IF(J146="CHI",PR!$I144,IF(J146="CLARION",PR!$J144,IF(J146="CODIX",PR!$K144,IF(J146="COSMADE",PR!$L144,IF(J146="SANCON",PR!$M144,IF(J146="DEVON",PR!$N144,IF(J146="DORTEMAG",PR!$O144,IF(J146="DGF",PR!$P144,IF(J146="DYNAMIC",PR!$Q144,IF(J146="EMZOR",PR!$R144,IF(J146="EUMATT",PR!$S144,IF(J146="FIDSON",PR!$T144,IF(J146="FCGLOBAL",PR!$U144,IF(J146="GENEITH",PR!$V144,IF(J146="GINOS",PR!$W144,IF(J146="GSK",PR!$X144,IF(J146="GLOBORG",PR!$Y144,IF(J146="GOODNEWS",PR!$Z144,IF(J146="GREENLIFE",PR!$AA144,IF(J146="HLINE",PR!$AB144,IF(J146="ROTECH",PR!$AC144,IF(J146="ISN",PR!$AD144,IF(J146="JAWA",PR!$AE144,IF(J146="LAYO",PR!$AF144,IF(J146="LEADWAY",PR!$AG144,IF(J146="LHV",PR!$AH144,IF(J146="MANOLA",PR!$AI144,IF(J146="MARCSON",PR!$AJ144,IF(J146="M&amp;B",PR!$AK144,IF(J146="MTRUST",PR!$AL144,IF(J146="MWORLD",PR!$AM144,IF(J146="MEGA",PR!$AN144,IF(J146="MICRONOVA",PR!$AO144,IF(J146="MFLASH",PR!$AP144,IF(J146="MORISON",PR!$AQ144,IF(J146="NEMEL",PR!$AR144,IF(J146="NHP",PR!$AS144,IF(J146="NHC",PR!$AT144,IF(J146="OLEAF",PR!$AU144,IF(J146="OCULUS",PR!$AV144,IF(J146="PACIFIC",PR!$AW144,IF(J146="PHAMATEX",PR!$AX144,IF(J146="PETHICS",PR!$AY144,IF(J146="PHILIPS",PR!$AZ144,IF(J146="RANBAXY",PR!$BA144,IF(J146="REALS",PR!$BB144,IF(J146="ROYAL",PR!$BC144,IF(J146="SAM",PR!$BD144,IF(J146="SEAGREEN",PR!$BE144,IF(J146="SKG",PR!$BF144,IF(J146="TAH",PR!$BG144,IF(J146="TAYLEK",PR!$BH144,IF(J146="TEMITA",PR!$BI144,IF(J146="THL",PR!$BJ144,IF(J146="UBASTIC",PR!$BK144,IF(J146="UNION",PR!$BL144,IF(J146="UNIQUE",PR!$BM144,IF(J146="VIXA",PR!$BN144,IF(J146="WWCV",PR!$BO144,IF(J146="ZOLON",PR!$BP144,"-"))))))))))))))))))))))))))))))))))))))))))))))))))))))))))))))))</f>
        <v>-</v>
      </c>
      <c r="J146" s="102">
        <f>EV!N190</f>
        <v>0</v>
      </c>
      <c r="K146" s="433" t="s">
        <v>1231</v>
      </c>
      <c r="L146" s="183">
        <f>IF(K146&gt;0,IF(K146="ALPHA",PR!$E144,IF(K146="ASSENE",PR!$F144,IF(K146="BIOFEM",PR!$G144,IF(K146="BIOMED",PR!$H144,IF(K146="CHI",PR!$I144,IF(K146="CLARION",PR!$J144,IF(K146="CODIX",PR!$K144,IF(K146="COSMADE",PR!$L144,IF(K146="SANCON",PR!$M144,IF(K146="DEVON",PR!$N144,IF(K146="DORTEMAG",PR!$O144,IF(K146="DGF",PR!$P144,IF(K146="DYNAMIC",PR!$Q144,IF(K146="EMZOR",PR!$R144,IF(K146="EUMATT",PR!$S144,IF(K146="FIDSON",PR!$T144,IF(K146="FCGLOBAL",PR!$U144,IF(K146="GENEITH",PR!$V144,IF(K146="GINOS",PR!$W144,IF(K146="GSK",PR!$X144,IF(K146="GLOBORG",PR!$Y144,IF(K146="GOODNEWS",PR!$Z144,IF(K146="GREENLIFE",PR!$AA144,IF(K146="HLINE",PR!$AB144,IF(K146="ROTECH",PR!$AC144,IF(K146="ISN",PR!$AD144,IF(K146="JAWA",PR!$AE144,IF(K146="LAYO",PR!$AF144,IF(K146="LEADWAY",PR!$AG144,IF(K146="LHV",PR!$AH144,IF(K146="MANOLA",PR!$AI144,IF(K146="MARCSON",PR!$AJ144,IF(K146="M&amp;B",PR!$AK144,IF(K146="MTRUST",PR!$AL144,IF(K146="MWORLD",PR!$AM144,IF(K146="MEGA",PR!$AN144,IF(K146="MICRONOVA",PR!$AO144,IF(K146="MFLASH",PR!$AP144,IF(K146="MORISON",PR!$AQ144,IF(K146="NEMEL",PR!$AR144,IF(K146="NHP",PR!$AS144,IF(K146="NHC",PR!$AT144,IF(K146="OLEAF",PR!$AU144,IF(K146="OCULUS",PR!$AV144,IF(K146="PACIFIC",PR!$AW144,IF(K146="PHAMATEX",PR!$AX144,IF(K146="PETHICS",PR!$AY144,IF(K146="PHILIPS",PR!$AZ144,IF(K146="RANBAXY",PR!$BA144,IF(K146="REALS",PR!$BB144,IF(K146="ROYAL",PR!$BC144,IF(K146="SAM",PR!$BD144,IF(K146="SEAGREEN",PR!$BE144,IF(K146="SKG",PR!$BF144,IF(K146="TAH",PR!$BG144,IF(K146="TAYLEK",PR!$BH144,IF(K146="TEMITA",PR!$BI144,IF(K146="THL",PR!$BJ144,IF(K146="UBASTIC",PR!$BK144,IF(K146="UNION",PR!$BL144,IF(K146="UNIQUE",PR!$BM144,IF(K146="VIXA",PR!$BN144,IF(K146="WWCV",PR!$BO144,IF(K146="ZOLON",PR!$BP144,"-")))))))))))))))))))))))))))))))))))))))))))))))))))))))))))))))))</f>
        <v>8160</v>
      </c>
    </row>
    <row r="147" spans="1:12" ht="18.75" x14ac:dyDescent="0.3">
      <c r="A147" s="430">
        <f>PR!A145</f>
        <v>127</v>
      </c>
      <c r="B147" s="15" t="str">
        <f>PR!B145</f>
        <v>INSULIN 30/70 INJ  (10ML)</v>
      </c>
      <c r="C147" s="113" t="str">
        <f>PR!D145</f>
        <v>VIAL</v>
      </c>
      <c r="D147" s="113">
        <f>PR!C145</f>
        <v>900</v>
      </c>
      <c r="E147" s="108">
        <f>IF(F147="ALPHA",PR!$E145,IF(F147="ASSENE",PR!$F145,IF(F147="BIOFEM",PR!$G145,IF(F147="BIOMED",PR!$H145,IF(F147="CHI",PR!$I145,IF(F147="CLARION",PR!$J145,IF(F147="CODIX",PR!$K145,IF(F147="COSMADE",PR!$L145,IF(F147="SANCON",PR!$M145,IF(F147="DEVON",PR!$N145,IF(F147="DORTEMAG",PR!$O145,IF(F147="DGF",PR!$P145,IF(F147="DYNAMIC",PR!$Q145,IF(F147="EMZOR",PR!$R145,IF(F147="EUMATT",PR!$S145,IF(F147="FIDSON",PR!$T145,IF(F147="FCGLOBAL",PR!$U145,IF(F147="GENEITH",PR!$V145,IF(F147="GINOS",PR!$W145,IF(F147="GSK",PR!$X145,IF(F147="GLOBORG",PR!$Y145,IF(F147="GOODNEWS",PR!$Z145,IF(F147="GREENLIFE",PR!$AA145,IF(F147="HLINE",PR!$AB145,IF(F147="ROTECH",PR!$AC145,IF(F147="ISN",PR!$AD145,IF(F147="JAWA",PR!$AE145,IF(F147="LAYO",PR!$AF145,IF(F147="LEADWAY",PR!$AG145,IF(F147="LHV",PR!$AH145,IF(F147="MANOLA",PR!$AI145,IF(F147="MARCSON",PR!$AJ145,IF(F147="M&amp;B",PR!$AK145,IF(F147="MTRUST",PR!$AL145,IF(F147="MWORLD",PR!$AM145,IF(F147="MEGA",PR!$AN145,IF(F147="MICRONOVA",PR!$AO145,IF(F147="MFLASH",PR!$AP145,IF(F147="MORISON",PR!$AQ145,IF(F147="NEMEL",PR!$AR145,IF(F147="NHP",PR!$AS145,IF(F147="NHC",PR!$AT145,IF(F147="OLEAF",PR!$AU145,IF(F147="OCULUS",PR!$AV145,IF(F147="PACIFIC",PR!$AW145,IF(F147="PHAMATEX",PR!$AX145,IF(F147="PETHICS",PR!$AY145,IF(F147="PHILIPS",PR!$AZ145,IF(F147="RANBAXY",PR!$BA145,IF(F147="REALS",PR!$BB145,IF(F147="ROYAL",PR!$BC145,IF(F147="SAM",PR!$BD145,IF(F147="SEAGREEN",PR!$BE145,IF(F147="SKG",PR!$BF145,IF(F147="TAH",PR!$BG145,IF(F147="TAYLEK",PR!$BH145,IF(F147="TEMITA",PR!$BI145,IF(F147="THL",PR!$BJ145,IF(F147="UBASTIC",PR!$BK145,IF(F147="UNION",PR!$BL145,IF(F147="UNIQUE",PR!$BM145,IF(F147="VIXA",PR!$BN145,IF(F147="WWCV",PR!$BO145,IF(F147="ZOLON",PR!$BP145,"-"))))))))))))))))))))))))))))))))))))))))))))))))))))))))))))))))</f>
        <v>2900</v>
      </c>
      <c r="F147" s="102" t="str">
        <f>EV!L191</f>
        <v>FIDSON</v>
      </c>
      <c r="G147" s="108">
        <f>IF(H147="ALPHA",PR!$E145,IF(H147="ASSENE",PR!$F145,IF(H147="BIOFEM",PR!$G145,IF(H147="BIOMED",PR!$H145,IF(H147="CHI",PR!$I145,IF(H147="CLARION",PR!$J145,IF(H147="CODIX",PR!$K145,IF(H147="COSMADE",PR!$L145,IF(H147="SANCON",PR!$M145,IF(H147="DEVON",PR!$N145,IF(H147="DORTEMAG",PR!$O145,IF(H147="DGF",PR!$P145,IF(H147="DYNAMIC",PR!$Q145,IF(H147="EMZOR",PR!$R145,IF(H147="EUMATT",PR!$S145,IF(H147="FIDSON",PR!$T145,IF(H147="FCGLOBAL",PR!$U145,IF(H147="GENEITH",PR!$V145,IF(H147="GINOS",PR!$W145,IF(H147="GSK",PR!$X145,IF(H147="GLOBORG",PR!$Y145,IF(H147="GOODNEWS",PR!$Z145,IF(H147="GREENLIFE",PR!$AA145,IF(H147="HLINE",PR!$AB145,IF(H147="ROTECH",PR!$AC145,IF(H147="ISN",PR!$AD145,IF(H147="JAWA",PR!$AE145,IF(H147="LAYO",PR!$AF145,IF(H147="LEADWAY",PR!$AG145,IF(H147="LHV",PR!$AH145,IF(H147="MANOLA",PR!$AI145,IF(H147="MARCSON",PR!$AJ145,IF(H147="M&amp;B",PR!$AK145,IF(H147="MTRUST",PR!$AL145,IF(H147="MWORLD",PR!$AM145,IF(H147="MEGA",PR!$AN145,IF(H147="MICRONOVA",PR!$AO145,IF(H147="MFLASH",PR!$AP145,IF(H147="MORISON",PR!$AQ145,IF(H147="NEMEL",PR!$AR145,IF(H147="NHP",PR!$AS145,IF(H147="NHC",PR!$AT145,IF(H147="OLEAF",PR!$AU145,IF(H147="OCULUS",PR!$AV145,IF(H147="PACIFIC",PR!$AW145,IF(H147="PHAMATEX",PR!$AX145,IF(H147="PETHICS",PR!$AY145,IF(H147="PHILIPS",PR!$AZ145,IF(H147="RANBAXY",PR!$BA145,IF(H147="REALS",PR!$BB145,IF(H147="ROYAL",PR!$BC145,IF(H147="SAM",PR!$BD145,IF(H147="SEAGREEN",PR!$BE145,IF(H147="SKG",PR!$BF145,IF(H147="TAH",PR!$BG145,IF(H147="TAYLEK",PR!$BH145,IF(H147="TEMITA",PR!$BI145,IF(H147="THL",PR!$BJ145,IF(H147="UBASTIC",PR!$BK145,IF(H147="UNION",PR!$BL145,IF(H147="UNIQUE",PR!$BM145,IF(H147="VIXA",PR!$BN145,IF(H147="WWCV",PR!$BO145,IF(H147="ZOLON",PR!$BP145,"-"))))))))))))))))))))))))))))))))))))))))))))))))))))))))))))))))</f>
        <v>2992</v>
      </c>
      <c r="H147" s="102" t="str">
        <f>EV!M191</f>
        <v>WWCV</v>
      </c>
      <c r="I147" s="108" t="str">
        <f>IF(J147="ALPHA",PR!$E145,IF(J147="ASSENE",PR!$F145,IF(J147="BIOFEM",PR!$G145,IF(J147="BIOMED",PR!$H145,IF(J147="CHI",PR!$I145,IF(J147="CLARION",PR!$J145,IF(J147="CODIX",PR!$K145,IF(J147="COSMADE",PR!$L145,IF(J147="SANCON",PR!$M145,IF(J147="DEVON",PR!$N145,IF(J147="DORTEMAG",PR!$O145,IF(J147="DGF",PR!$P145,IF(J147="DYNAMIC",PR!$Q145,IF(J147="EMZOR",PR!$R145,IF(J147="EUMATT",PR!$S145,IF(J147="FIDSON",PR!$T145,IF(J147="FCGLOBAL",PR!$U145,IF(J147="GENEITH",PR!$V145,IF(J147="GINOS",PR!$W145,IF(J147="GSK",PR!$X145,IF(J147="GLOBORG",PR!$Y145,IF(J147="GOODNEWS",PR!$Z145,IF(J147="GREENLIFE",PR!$AA145,IF(J147="HLINE",PR!$AB145,IF(J147="ROTECH",PR!$AC145,IF(J147="ISN",PR!$AD145,IF(J147="JAWA",PR!$AE145,IF(J147="LAYO",PR!$AF145,IF(J147="LEADWAY",PR!$AG145,IF(J147="LHV",PR!$AH145,IF(J147="MANOLA",PR!$AI145,IF(J147="MARCSON",PR!$AJ145,IF(J147="M&amp;B",PR!$AK145,IF(J147="MTRUST",PR!$AL145,IF(J147="MWORLD",PR!$AM145,IF(J147="MEGA",PR!$AN145,IF(J147="MICRONOVA",PR!$AO145,IF(J147="MFLASH",PR!$AP145,IF(J147="MORISON",PR!$AQ145,IF(J147="NEMEL",PR!$AR145,IF(J147="NHP",PR!$AS145,IF(J147="NHC",PR!$AT145,IF(J147="OLEAF",PR!$AU145,IF(J147="OCULUS",PR!$AV145,IF(J147="PACIFIC",PR!$AW145,IF(J147="PHAMATEX",PR!$AX145,IF(J147="PETHICS",PR!$AY145,IF(J147="PHILIPS",PR!$AZ145,IF(J147="RANBAXY",PR!$BA145,IF(J147="REALS",PR!$BB145,IF(J147="ROYAL",PR!$BC145,IF(J147="SAM",PR!$BD145,IF(J147="SEAGREEN",PR!$BE145,IF(J147="SKG",PR!$BF145,IF(J147="TAH",PR!$BG145,IF(J147="TAYLEK",PR!$BH145,IF(J147="TEMITA",PR!$BI145,IF(J147="THL",PR!$BJ145,IF(J147="UBASTIC",PR!$BK145,IF(J147="UNION",PR!$BL145,IF(J147="UNIQUE",PR!$BM145,IF(J147="VIXA",PR!$BN145,IF(J147="WWCV",PR!$BO145,IF(J147="ZOLON",PR!$BP145,"-"))))))))))))))))))))))))))))))))))))))))))))))))))))))))))))))))</f>
        <v>-</v>
      </c>
      <c r="J147" s="102">
        <f>EV!N191</f>
        <v>0</v>
      </c>
      <c r="K147" s="433" t="s">
        <v>1231</v>
      </c>
      <c r="L147" s="183">
        <f>IF(K147&gt;0,IF(K147="ALPHA",PR!$E145,IF(K147="ASSENE",PR!$F145,IF(K147="BIOFEM",PR!$G145,IF(K147="BIOMED",PR!$H145,IF(K147="CHI",PR!$I145,IF(K147="CLARION",PR!$J145,IF(K147="CODIX",PR!$K145,IF(K147="COSMADE",PR!$L145,IF(K147="SANCON",PR!$M145,IF(K147="DEVON",PR!$N145,IF(K147="DORTEMAG",PR!$O145,IF(K147="DGF",PR!$P145,IF(K147="DYNAMIC",PR!$Q145,IF(K147="EMZOR",PR!$R145,IF(K147="EUMATT",PR!$S145,IF(K147="FIDSON",PR!$T145,IF(K147="FCGLOBAL",PR!$U145,IF(K147="GENEITH",PR!$V145,IF(K147="GINOS",PR!$W145,IF(K147="GSK",PR!$X145,IF(K147="GLOBORG",PR!$Y145,IF(K147="GOODNEWS",PR!$Z145,IF(K147="GREENLIFE",PR!$AA145,IF(K147="HLINE",PR!$AB145,IF(K147="ROTECH",PR!$AC145,IF(K147="ISN",PR!$AD145,IF(K147="JAWA",PR!$AE145,IF(K147="LAYO",PR!$AF145,IF(K147="LEADWAY",PR!$AG145,IF(K147="LHV",PR!$AH145,IF(K147="MANOLA",PR!$AI145,IF(K147="MARCSON",PR!$AJ145,IF(K147="M&amp;B",PR!$AK145,IF(K147="MTRUST",PR!$AL145,IF(K147="MWORLD",PR!$AM145,IF(K147="MEGA",PR!$AN145,IF(K147="MICRONOVA",PR!$AO145,IF(K147="MFLASH",PR!$AP145,IF(K147="MORISON",PR!$AQ145,IF(K147="NEMEL",PR!$AR145,IF(K147="NHP",PR!$AS145,IF(K147="NHC",PR!$AT145,IF(K147="OLEAF",PR!$AU145,IF(K147="OCULUS",PR!$AV145,IF(K147="PACIFIC",PR!$AW145,IF(K147="PHAMATEX",PR!$AX145,IF(K147="PETHICS",PR!$AY145,IF(K147="PHILIPS",PR!$AZ145,IF(K147="RANBAXY",PR!$BA145,IF(K147="REALS",PR!$BB145,IF(K147="ROYAL",PR!$BC145,IF(K147="SAM",PR!$BD145,IF(K147="SEAGREEN",PR!$BE145,IF(K147="SKG",PR!$BF145,IF(K147="TAH",PR!$BG145,IF(K147="TAYLEK",PR!$BH145,IF(K147="TEMITA",PR!$BI145,IF(K147="THL",PR!$BJ145,IF(K147="UBASTIC",PR!$BK145,IF(K147="UNION",PR!$BL145,IF(K147="UNIQUE",PR!$BM145,IF(K147="VIXA",PR!$BN145,IF(K147="WWCV",PR!$BO145,IF(K147="ZOLON",PR!$BP145,"-")))))))))))))))))))))))))))))))))))))))))))))))))))))))))))))))))</f>
        <v>2992</v>
      </c>
    </row>
    <row r="148" spans="1:12" ht="18.75" x14ac:dyDescent="0.3">
      <c r="A148" s="430">
        <f>PR!A146</f>
        <v>128</v>
      </c>
      <c r="B148" s="15" t="str">
        <f>PR!B146</f>
        <v>INSULIN DETEMIR</v>
      </c>
      <c r="C148" s="113">
        <f>PR!D146</f>
        <v>5</v>
      </c>
      <c r="D148" s="113">
        <f>PR!C146</f>
        <v>40</v>
      </c>
      <c r="E148" s="108">
        <f>IF(F148="ALPHA",PR!$E146,IF(F148="ASSENE",PR!$F146,IF(F148="BIOFEM",PR!$G146,IF(F148="BIOMED",PR!$H146,IF(F148="CHI",PR!$I146,IF(F148="CLARION",PR!$J146,IF(F148="CODIX",PR!$K146,IF(F148="COSMADE",PR!$L146,IF(F148="SANCON",PR!$M146,IF(F148="DEVON",PR!$N146,IF(F148="DORTEMAG",PR!$O146,IF(F148="DGF",PR!$P146,IF(F148="DYNAMIC",PR!$Q146,IF(F148="EMZOR",PR!$R146,IF(F148="EUMATT",PR!$S146,IF(F148="FIDSON",PR!$T146,IF(F148="FCGLOBAL",PR!$U146,IF(F148="GENEITH",PR!$V146,IF(F148="GINOS",PR!$W146,IF(F148="GSK",PR!$X146,IF(F148="GLOBORG",PR!$Y146,IF(F148="GOODNEWS",PR!$Z146,IF(F148="GREENLIFE",PR!$AA146,IF(F148="HLINE",PR!$AB146,IF(F148="ROTECH",PR!$AC146,IF(F148="ISN",PR!$AD146,IF(F148="JAWA",PR!$AE146,IF(F148="LAYO",PR!$AF146,IF(F148="LEADWAY",PR!$AG146,IF(F148="LHV",PR!$AH146,IF(F148="MANOLA",PR!$AI146,IF(F148="MARCSON",PR!$AJ146,IF(F148="M&amp;B",PR!$AK146,IF(F148="MTRUST",PR!$AL146,IF(F148="MWORLD",PR!$AM146,IF(F148="MEGA",PR!$AN146,IF(F148="MICRONOVA",PR!$AO146,IF(F148="MFLASH",PR!$AP146,IF(F148="MORISON",PR!$AQ146,IF(F148="NEMEL",PR!$AR146,IF(F148="NHP",PR!$AS146,IF(F148="NHC",PR!$AT146,IF(F148="OLEAF",PR!$AU146,IF(F148="OCULUS",PR!$AV146,IF(F148="PACIFIC",PR!$AW146,IF(F148="PHAMATEX",PR!$AX146,IF(F148="PETHICS",PR!$AY146,IF(F148="PHILIPS",PR!$AZ146,IF(F148="RANBAXY",PR!$BA146,IF(F148="REALS",PR!$BB146,IF(F148="ROYAL",PR!$BC146,IF(F148="SAM",PR!$BD146,IF(F148="SEAGREEN",PR!$BE146,IF(F148="SKG",PR!$BF146,IF(F148="TAH",PR!$BG146,IF(F148="TAYLEK",PR!$BH146,IF(F148="TEMITA",PR!$BI146,IF(F148="THL",PR!$BJ146,IF(F148="UBASTIC",PR!$BK146,IF(F148="UNION",PR!$BL146,IF(F148="UNIQUE",PR!$BM146,IF(F148="VIXA",PR!$BN146,IF(F148="WWCV",PR!$BO146,IF(F148="ZOLON",PR!$BP146,"-"))))))))))))))))))))))))))))))))))))))))))))))))))))))))))))))))</f>
        <v>14076</v>
      </c>
      <c r="F148" s="102" t="str">
        <f>EV!L192</f>
        <v>WWCV</v>
      </c>
      <c r="G148" s="108" t="str">
        <f>IF(H148="ALPHA",PR!$E146,IF(H148="ASSENE",PR!$F146,IF(H148="BIOFEM",PR!$G146,IF(H148="BIOMED",PR!$H146,IF(H148="CHI",PR!$I146,IF(H148="CLARION",PR!$J146,IF(H148="CODIX",PR!$K146,IF(H148="COSMADE",PR!$L146,IF(H148="SANCON",PR!$M146,IF(H148="DEVON",PR!$N146,IF(H148="DORTEMAG",PR!$O146,IF(H148="DGF",PR!$P146,IF(H148="DYNAMIC",PR!$Q146,IF(H148="EMZOR",PR!$R146,IF(H148="EUMATT",PR!$S146,IF(H148="FIDSON",PR!$T146,IF(H148="FCGLOBAL",PR!$U146,IF(H148="GENEITH",PR!$V146,IF(H148="GINOS",PR!$W146,IF(H148="GSK",PR!$X146,IF(H148="GLOBORG",PR!$Y146,IF(H148="GOODNEWS",PR!$Z146,IF(H148="GREENLIFE",PR!$AA146,IF(H148="HLINE",PR!$AB146,IF(H148="ROTECH",PR!$AC146,IF(H148="ISN",PR!$AD146,IF(H148="JAWA",PR!$AE146,IF(H148="LAYO",PR!$AF146,IF(H148="LEADWAY",PR!$AG146,IF(H148="LHV",PR!$AH146,IF(H148="MANOLA",PR!$AI146,IF(H148="MARCSON",PR!$AJ146,IF(H148="M&amp;B",PR!$AK146,IF(H148="MTRUST",PR!$AL146,IF(H148="MWORLD",PR!$AM146,IF(H148="MEGA",PR!$AN146,IF(H148="MICRONOVA",PR!$AO146,IF(H148="MFLASH",PR!$AP146,IF(H148="MORISON",PR!$AQ146,IF(H148="NEMEL",PR!$AR146,IF(H148="NHP",PR!$AS146,IF(H148="NHC",PR!$AT146,IF(H148="OLEAF",PR!$AU146,IF(H148="OCULUS",PR!$AV146,IF(H148="PACIFIC",PR!$AW146,IF(H148="PHAMATEX",PR!$AX146,IF(H148="PETHICS",PR!$AY146,IF(H148="PHILIPS",PR!$AZ146,IF(H148="RANBAXY",PR!$BA146,IF(H148="REALS",PR!$BB146,IF(H148="ROYAL",PR!$BC146,IF(H148="SAM",PR!$BD146,IF(H148="SEAGREEN",PR!$BE146,IF(H148="SKG",PR!$BF146,IF(H148="TAH",PR!$BG146,IF(H148="TAYLEK",PR!$BH146,IF(H148="TEMITA",PR!$BI146,IF(H148="THL",PR!$BJ146,IF(H148="UBASTIC",PR!$BK146,IF(H148="UNION",PR!$BL146,IF(H148="UNIQUE",PR!$BM146,IF(H148="VIXA",PR!$BN146,IF(H148="WWCV",PR!$BO146,IF(H148="ZOLON",PR!$BP146,"-"))))))))))))))))))))))))))))))))))))))))))))))))))))))))))))))))</f>
        <v>-</v>
      </c>
      <c r="H148" s="102">
        <f>EV!M192</f>
        <v>0</v>
      </c>
      <c r="I148" s="108" t="str">
        <f>IF(J148="ALPHA",PR!$E146,IF(J148="ASSENE",PR!$F146,IF(J148="BIOFEM",PR!$G146,IF(J148="BIOMED",PR!$H146,IF(J148="CHI",PR!$I146,IF(J148="CLARION",PR!$J146,IF(J148="CODIX",PR!$K146,IF(J148="COSMADE",PR!$L146,IF(J148="SANCON",PR!$M146,IF(J148="DEVON",PR!$N146,IF(J148="DORTEMAG",PR!$O146,IF(J148="DGF",PR!$P146,IF(J148="DYNAMIC",PR!$Q146,IF(J148="EMZOR",PR!$R146,IF(J148="EUMATT",PR!$S146,IF(J148="FIDSON",PR!$T146,IF(J148="FCGLOBAL",PR!$U146,IF(J148="GENEITH",PR!$V146,IF(J148="GINOS",PR!$W146,IF(J148="GSK",PR!$X146,IF(J148="GLOBORG",PR!$Y146,IF(J148="GOODNEWS",PR!$Z146,IF(J148="GREENLIFE",PR!$AA146,IF(J148="HLINE",PR!$AB146,IF(J148="ROTECH",PR!$AC146,IF(J148="ISN",PR!$AD146,IF(J148="JAWA",PR!$AE146,IF(J148="LAYO",PR!$AF146,IF(J148="LEADWAY",PR!$AG146,IF(J148="LHV",PR!$AH146,IF(J148="MANOLA",PR!$AI146,IF(J148="MARCSON",PR!$AJ146,IF(J148="M&amp;B",PR!$AK146,IF(J148="MTRUST",PR!$AL146,IF(J148="MWORLD",PR!$AM146,IF(J148="MEGA",PR!$AN146,IF(J148="MICRONOVA",PR!$AO146,IF(J148="MFLASH",PR!$AP146,IF(J148="MORISON",PR!$AQ146,IF(J148="NEMEL",PR!$AR146,IF(J148="NHP",PR!$AS146,IF(J148="NHC",PR!$AT146,IF(J148="OLEAF",PR!$AU146,IF(J148="OCULUS",PR!$AV146,IF(J148="PACIFIC",PR!$AW146,IF(J148="PHAMATEX",PR!$AX146,IF(J148="PETHICS",PR!$AY146,IF(J148="PHILIPS",PR!$AZ146,IF(J148="RANBAXY",PR!$BA146,IF(J148="REALS",PR!$BB146,IF(J148="ROYAL",PR!$BC146,IF(J148="SAM",PR!$BD146,IF(J148="SEAGREEN",PR!$BE146,IF(J148="SKG",PR!$BF146,IF(J148="TAH",PR!$BG146,IF(J148="TAYLEK",PR!$BH146,IF(J148="TEMITA",PR!$BI146,IF(J148="THL",PR!$BJ146,IF(J148="UBASTIC",PR!$BK146,IF(J148="UNION",PR!$BL146,IF(J148="UNIQUE",PR!$BM146,IF(J148="VIXA",PR!$BN146,IF(J148="WWCV",PR!$BO146,IF(J148="ZOLON",PR!$BP146,"-"))))))))))))))))))))))))))))))))))))))))))))))))))))))))))))))))</f>
        <v>-</v>
      </c>
      <c r="J148" s="102">
        <f>EV!N192</f>
        <v>0</v>
      </c>
      <c r="K148" s="433" t="s">
        <v>1231</v>
      </c>
      <c r="L148" s="183">
        <f>IF(K148&gt;0,IF(K148="ALPHA",PR!$E146,IF(K148="ASSENE",PR!$F146,IF(K148="BIOFEM",PR!$G146,IF(K148="BIOMED",PR!$H146,IF(K148="CHI",PR!$I146,IF(K148="CLARION",PR!$J146,IF(K148="CODIX",PR!$K146,IF(K148="COSMADE",PR!$L146,IF(K148="SANCON",PR!$M146,IF(K148="DEVON",PR!$N146,IF(K148="DORTEMAG",PR!$O146,IF(K148="DGF",PR!$P146,IF(K148="DYNAMIC",PR!$Q146,IF(K148="EMZOR",PR!$R146,IF(K148="EUMATT",PR!$S146,IF(K148="FIDSON",PR!$T146,IF(K148="FCGLOBAL",PR!$U146,IF(K148="GENEITH",PR!$V146,IF(K148="GINOS",PR!$W146,IF(K148="GSK",PR!$X146,IF(K148="GLOBORG",PR!$Y146,IF(K148="GOODNEWS",PR!$Z146,IF(K148="GREENLIFE",PR!$AA146,IF(K148="HLINE",PR!$AB146,IF(K148="ROTECH",PR!$AC146,IF(K148="ISN",PR!$AD146,IF(K148="JAWA",PR!$AE146,IF(K148="LAYO",PR!$AF146,IF(K148="LEADWAY",PR!$AG146,IF(K148="LHV",PR!$AH146,IF(K148="MANOLA",PR!$AI146,IF(K148="MARCSON",PR!$AJ146,IF(K148="M&amp;B",PR!$AK146,IF(K148="MTRUST",PR!$AL146,IF(K148="MWORLD",PR!$AM146,IF(K148="MEGA",PR!$AN146,IF(K148="MICRONOVA",PR!$AO146,IF(K148="MFLASH",PR!$AP146,IF(K148="MORISON",PR!$AQ146,IF(K148="NEMEL",PR!$AR146,IF(K148="NHP",PR!$AS146,IF(K148="NHC",PR!$AT146,IF(K148="OLEAF",PR!$AU146,IF(K148="OCULUS",PR!$AV146,IF(K148="PACIFIC",PR!$AW146,IF(K148="PHAMATEX",PR!$AX146,IF(K148="PETHICS",PR!$AY146,IF(K148="PHILIPS",PR!$AZ146,IF(K148="RANBAXY",PR!$BA146,IF(K148="REALS",PR!$BB146,IF(K148="ROYAL",PR!$BC146,IF(K148="SAM",PR!$BD146,IF(K148="SEAGREEN",PR!$BE146,IF(K148="SKG",PR!$BF146,IF(K148="TAH",PR!$BG146,IF(K148="TAYLEK",PR!$BH146,IF(K148="TEMITA",PR!$BI146,IF(K148="THL",PR!$BJ146,IF(K148="UBASTIC",PR!$BK146,IF(K148="UNION",PR!$BL146,IF(K148="UNIQUE",PR!$BM146,IF(K148="VIXA",PR!$BN146,IF(K148="WWCV",PR!$BO146,IF(K148="ZOLON",PR!$BP146,"-")))))))))))))))))))))))))))))))))))))))))))))))))))))))))))))))))</f>
        <v>14076</v>
      </c>
    </row>
    <row r="149" spans="1:12" ht="18.75" x14ac:dyDescent="0.3">
      <c r="A149" s="430">
        <f>PR!A147</f>
        <v>129</v>
      </c>
      <c r="B149" s="15" t="str">
        <f>PR!B147</f>
        <v>INSULIN GLARGIN</v>
      </c>
      <c r="C149" s="113">
        <f>PR!D147</f>
        <v>5</v>
      </c>
      <c r="D149" s="113">
        <f>PR!C147</f>
        <v>50</v>
      </c>
      <c r="E149" s="108">
        <f>IF(F149="ALPHA",PR!$E147,IF(F149="ASSENE",PR!$F147,IF(F149="BIOFEM",PR!$G147,IF(F149="BIOMED",PR!$H147,IF(F149="CHI",PR!$I147,IF(F149="CLARION",PR!$J147,IF(F149="CODIX",PR!$K147,IF(F149="COSMADE",PR!$L147,IF(F149="SANCON",PR!$M147,IF(F149="DEVON",PR!$N147,IF(F149="DORTEMAG",PR!$O147,IF(F149="DGF",PR!$P147,IF(F149="DYNAMIC",PR!$Q147,IF(F149="EMZOR",PR!$R147,IF(F149="EUMATT",PR!$S147,IF(F149="FIDSON",PR!$T147,IF(F149="FCGLOBAL",PR!$U147,IF(F149="GENEITH",PR!$V147,IF(F149="GINOS",PR!$W147,IF(F149="GSK",PR!$X147,IF(F149="GLOBORG",PR!$Y147,IF(F149="GOODNEWS",PR!$Z147,IF(F149="GREENLIFE",PR!$AA147,IF(F149="HLINE",PR!$AB147,IF(F149="ROTECH",PR!$AC147,IF(F149="ISN",PR!$AD147,IF(F149="JAWA",PR!$AE147,IF(F149="LAYO",PR!$AF147,IF(F149="LEADWAY",PR!$AG147,IF(F149="LHV",PR!$AH147,IF(F149="MANOLA",PR!$AI147,IF(F149="MARCSON",PR!$AJ147,IF(F149="M&amp;B",PR!$AK147,IF(F149="MTRUST",PR!$AL147,IF(F149="MWORLD",PR!$AM147,IF(F149="MEGA",PR!$AN147,IF(F149="MICRONOVA",PR!$AO147,IF(F149="MFLASH",PR!$AP147,IF(F149="MORISON",PR!$AQ147,IF(F149="NEMEL",PR!$AR147,IF(F149="NHP",PR!$AS147,IF(F149="NHC",PR!$AT147,IF(F149="OLEAF",PR!$AU147,IF(F149="OCULUS",PR!$AV147,IF(F149="PACIFIC",PR!$AW147,IF(F149="PHAMATEX",PR!$AX147,IF(F149="PETHICS",PR!$AY147,IF(F149="PHILIPS",PR!$AZ147,IF(F149="RANBAXY",PR!$BA147,IF(F149="REALS",PR!$BB147,IF(F149="ROYAL",PR!$BC147,IF(F149="SAM",PR!$BD147,IF(F149="SEAGREEN",PR!$BE147,IF(F149="SKG",PR!$BF147,IF(F149="TAH",PR!$BG147,IF(F149="TAYLEK",PR!$BH147,IF(F149="TEMITA",PR!$BI147,IF(F149="THL",PR!$BJ147,IF(F149="UBASTIC",PR!$BK147,IF(F149="UNION",PR!$BL147,IF(F149="UNIQUE",PR!$BM147,IF(F149="VIXA",PR!$BN147,IF(F149="WWCV",PR!$BO147,IF(F149="ZOLON",PR!$BP147,"-"))))))))))))))))))))))))))))))))))))))))))))))))))))))))))))))))</f>
        <v>12500</v>
      </c>
      <c r="F149" s="102" t="str">
        <f>EV!L193</f>
        <v>HLINE</v>
      </c>
      <c r="G149" s="108">
        <f>IF(H149="ALPHA",PR!$E147,IF(H149="ASSENE",PR!$F147,IF(H149="BIOFEM",PR!$G147,IF(H149="BIOMED",PR!$H147,IF(H149="CHI",PR!$I147,IF(H149="CLARION",PR!$J147,IF(H149="CODIX",PR!$K147,IF(H149="COSMADE",PR!$L147,IF(H149="SANCON",PR!$M147,IF(H149="DEVON",PR!$N147,IF(H149="DORTEMAG",PR!$O147,IF(H149="DGF",PR!$P147,IF(H149="DYNAMIC",PR!$Q147,IF(H149="EMZOR",PR!$R147,IF(H149="EUMATT",PR!$S147,IF(H149="FIDSON",PR!$T147,IF(H149="FCGLOBAL",PR!$U147,IF(H149="GENEITH",PR!$V147,IF(H149="GINOS",PR!$W147,IF(H149="GSK",PR!$X147,IF(H149="GLOBORG",PR!$Y147,IF(H149="GOODNEWS",PR!$Z147,IF(H149="GREENLIFE",PR!$AA147,IF(H149="HLINE",PR!$AB147,IF(H149="ROTECH",PR!$AC147,IF(H149="ISN",PR!$AD147,IF(H149="JAWA",PR!$AE147,IF(H149="LAYO",PR!$AF147,IF(H149="LEADWAY",PR!$AG147,IF(H149="LHV",PR!$AH147,IF(H149="MANOLA",PR!$AI147,IF(H149="MARCSON",PR!$AJ147,IF(H149="M&amp;B",PR!$AK147,IF(H149="MTRUST",PR!$AL147,IF(H149="MWORLD",PR!$AM147,IF(H149="MEGA",PR!$AN147,IF(H149="MICRONOVA",PR!$AO147,IF(H149="MFLASH",PR!$AP147,IF(H149="MORISON",PR!$AQ147,IF(H149="NEMEL",PR!$AR147,IF(H149="NHP",PR!$AS147,IF(H149="NHC",PR!$AT147,IF(H149="OLEAF",PR!$AU147,IF(H149="OCULUS",PR!$AV147,IF(H149="PACIFIC",PR!$AW147,IF(H149="PHAMATEX",PR!$AX147,IF(H149="PETHICS",PR!$AY147,IF(H149="PHILIPS",PR!$AZ147,IF(H149="RANBAXY",PR!$BA147,IF(H149="REALS",PR!$BB147,IF(H149="ROYAL",PR!$BC147,IF(H149="SAM",PR!$BD147,IF(H149="SEAGREEN",PR!$BE147,IF(H149="SKG",PR!$BF147,IF(H149="TAH",PR!$BG147,IF(H149="TAYLEK",PR!$BH147,IF(H149="TEMITA",PR!$BI147,IF(H149="THL",PR!$BJ147,IF(H149="UBASTIC",PR!$BK147,IF(H149="UNION",PR!$BL147,IF(H149="UNIQUE",PR!$BM147,IF(H149="VIXA",PR!$BN147,IF(H149="WWCV",PR!$BO147,IF(H149="ZOLON",PR!$BP147,"-"))))))))))))))))))))))))))))))))))))))))))))))))))))))))))))))))</f>
        <v>14600</v>
      </c>
      <c r="H149" s="102" t="str">
        <f>EV!M193</f>
        <v>WWCV</v>
      </c>
      <c r="I149" s="108">
        <f>IF(J149="ALPHA",PR!$E147,IF(J149="ASSENE",PR!$F147,IF(J149="BIOFEM",PR!$G147,IF(J149="BIOMED",PR!$H147,IF(J149="CHI",PR!$I147,IF(J149="CLARION",PR!$J147,IF(J149="CODIX",PR!$K147,IF(J149="COSMADE",PR!$L147,IF(J149="SANCON",PR!$M147,IF(J149="DEVON",PR!$N147,IF(J149="DORTEMAG",PR!$O147,IF(J149="DGF",PR!$P147,IF(J149="DYNAMIC",PR!$Q147,IF(J149="EMZOR",PR!$R147,IF(J149="EUMATT",PR!$S147,IF(J149="FIDSON",PR!$T147,IF(J149="FCGLOBAL",PR!$U147,IF(J149="GENEITH",PR!$V147,IF(J149="GINOS",PR!$W147,IF(J149="GSK",PR!$X147,IF(J149="GLOBORG",PR!$Y147,IF(J149="GOODNEWS",PR!$Z147,IF(J149="GREENLIFE",PR!$AA147,IF(J149="HLINE",PR!$AB147,IF(J149="ROTECH",PR!$AC147,IF(J149="ISN",PR!$AD147,IF(J149="JAWA",PR!$AE147,IF(J149="LAYO",PR!$AF147,IF(J149="LEADWAY",PR!$AG147,IF(J149="LHV",PR!$AH147,IF(J149="MANOLA",PR!$AI147,IF(J149="MARCSON",PR!$AJ147,IF(J149="M&amp;B",PR!$AK147,IF(J149="MTRUST",PR!$AL147,IF(J149="MWORLD",PR!$AM147,IF(J149="MEGA",PR!$AN147,IF(J149="MICRONOVA",PR!$AO147,IF(J149="MFLASH",PR!$AP147,IF(J149="MORISON",PR!$AQ147,IF(J149="NEMEL",PR!$AR147,IF(J149="NHP",PR!$AS147,IF(J149="NHC",PR!$AT147,IF(J149="OLEAF",PR!$AU147,IF(J149="OCULUS",PR!$AV147,IF(J149="PACIFIC",PR!$AW147,IF(J149="PHAMATEX",PR!$AX147,IF(J149="PETHICS",PR!$AY147,IF(J149="PHILIPS",PR!$AZ147,IF(J149="RANBAXY",PR!$BA147,IF(J149="REALS",PR!$BB147,IF(J149="ROYAL",PR!$BC147,IF(J149="SAM",PR!$BD147,IF(J149="SEAGREEN",PR!$BE147,IF(J149="SKG",PR!$BF147,IF(J149="TAH",PR!$BG147,IF(J149="TAYLEK",PR!$BH147,IF(J149="TEMITA",PR!$BI147,IF(J149="THL",PR!$BJ147,IF(J149="UBASTIC",PR!$BK147,IF(J149="UNION",PR!$BL147,IF(J149="UNIQUE",PR!$BM147,IF(J149="VIXA",PR!$BN147,IF(J149="WWCV",PR!$BO147,IF(J149="ZOLON",PR!$BP147,"-"))))))))))))))))))))))))))))))))))))))))))))))))))))))))))))))))</f>
        <v>14600</v>
      </c>
      <c r="J149" s="102" t="str">
        <f>EV!N193</f>
        <v>CHI</v>
      </c>
      <c r="K149" s="433" t="s">
        <v>2104</v>
      </c>
      <c r="L149" s="183" t="str">
        <f>IF(K149&gt;0,IF(K149="ALPHA",PR!$E147,IF(K149="ASSENE",PR!$F147,IF(K149="BIOFEM",PR!$G147,IF(K149="BIOMED",PR!$H147,IF(K149="CHI",PR!$I147,IF(K149="CLARION",PR!$J147,IF(K149="CODIX",PR!$K147,IF(K149="COSMADE",PR!$L147,IF(K149="SANCON",PR!$M147,IF(K149="DEVON",PR!$N147,IF(K149="DORTEMAG",PR!$O147,IF(K149="DGF",PR!$P147,IF(K149="DYNAMIC",PR!$Q147,IF(K149="EMZOR",PR!$R147,IF(K149="EUMATT",PR!$S147,IF(K149="FIDSON",PR!$T147,IF(K149="FCGLOBAL",PR!$U147,IF(K149="GENEITH",PR!$V147,IF(K149="GINOS",PR!$W147,IF(K149="GSK",PR!$X147,IF(K149="GLOBORG",PR!$Y147,IF(K149="GOODNEWS",PR!$Z147,IF(K149="GREENLIFE",PR!$AA147,IF(K149="HLINE",PR!$AB147,IF(K149="ROTECH",PR!$AC147,IF(K149="ISN",PR!$AD147,IF(K149="JAWA",PR!$AE147,IF(K149="LAYO",PR!$AF147,IF(K149="LEADWAY",PR!$AG147,IF(K149="LHV",PR!$AH147,IF(K149="MANOLA",PR!$AI147,IF(K149="MARCSON",PR!$AJ147,IF(K149="M&amp;B",PR!$AK147,IF(K149="MTRUST",PR!$AL147,IF(K149="MWORLD",PR!$AM147,IF(K149="MEGA",PR!$AN147,IF(K149="MICRONOVA",PR!$AO147,IF(K149="MFLASH",PR!$AP147,IF(K149="MORISON",PR!$AQ147,IF(K149="NEMEL",PR!$AR147,IF(K149="NHP",PR!$AS147,IF(K149="NHC",PR!$AT147,IF(K149="OLEAF",PR!$AU147,IF(K149="OCULUS",PR!$AV147,IF(K149="PACIFIC",PR!$AW147,IF(K149="PHAMATEX",PR!$AX147,IF(K149="PETHICS",PR!$AY147,IF(K149="PHILIPS",PR!$AZ147,IF(K149="RANBAXY",PR!$BA147,IF(K149="REALS",PR!$BB147,IF(K149="ROYAL",PR!$BC147,IF(K149="SAM",PR!$BD147,IF(K149="SEAGREEN",PR!$BE147,IF(K149="SKG",PR!$BF147,IF(K149="TAH",PR!$BG147,IF(K149="TAYLEK",PR!$BH147,IF(K149="TEMITA",PR!$BI147,IF(K149="THL",PR!$BJ147,IF(K149="UBASTIC",PR!$BK147,IF(K149="UNION",PR!$BL147,IF(K149="UNIQUE",PR!$BM147,IF(K149="VIXA",PR!$BN147,IF(K149="WWCV",PR!$BO147,IF(K149="ZOLON",PR!$BP147,"-")))))))))))))))))))))))))))))))))))))))))))))))))))))))))))))))))</f>
        <v>-</v>
      </c>
    </row>
    <row r="150" spans="1:12" ht="18.75" x14ac:dyDescent="0.3">
      <c r="A150" s="430">
        <f>PR!A148</f>
        <v>130</v>
      </c>
      <c r="B150" s="15" t="str">
        <f>PR!B148</f>
        <v>INSULIN GLULISINE INJ</v>
      </c>
      <c r="C150" s="113">
        <f>PR!D148</f>
        <v>5</v>
      </c>
      <c r="D150" s="113">
        <f>PR!C148</f>
        <v>20</v>
      </c>
      <c r="E150" s="108">
        <f>IF(F150="ALPHA",PR!$E148,IF(F150="ASSENE",PR!$F148,IF(F150="BIOFEM",PR!$G148,IF(F150="BIOMED",PR!$H148,IF(F150="CHI",PR!$I148,IF(F150="CLARION",PR!$J148,IF(F150="CODIX",PR!$K148,IF(F150="COSMADE",PR!$L148,IF(F150="SANCON",PR!$M148,IF(F150="DEVON",PR!$N148,IF(F150="DORTEMAG",PR!$O148,IF(F150="DGF",PR!$P148,IF(F150="DYNAMIC",PR!$Q148,IF(F150="EMZOR",PR!$R148,IF(F150="EUMATT",PR!$S148,IF(F150="FIDSON",PR!$T148,IF(F150="FCGLOBAL",PR!$U148,IF(F150="GENEITH",PR!$V148,IF(F150="GINOS",PR!$W148,IF(F150="GSK",PR!$X148,IF(F150="GLOBORG",PR!$Y148,IF(F150="GOODNEWS",PR!$Z148,IF(F150="GREENLIFE",PR!$AA148,IF(F150="HLINE",PR!$AB148,IF(F150="ROTECH",PR!$AC148,IF(F150="ISN",PR!$AD148,IF(F150="JAWA",PR!$AE148,IF(F150="LAYO",PR!$AF148,IF(F150="LEADWAY",PR!$AG148,IF(F150="LHV",PR!$AH148,IF(F150="MANOLA",PR!$AI148,IF(F150="MARCSON",PR!$AJ148,IF(F150="M&amp;B",PR!$AK148,IF(F150="MTRUST",PR!$AL148,IF(F150="MWORLD",PR!$AM148,IF(F150="MEGA",PR!$AN148,IF(F150="MICRONOVA",PR!$AO148,IF(F150="MFLASH",PR!$AP148,IF(F150="MORISON",PR!$AQ148,IF(F150="NEMEL",PR!$AR148,IF(F150="NHP",PR!$AS148,IF(F150="NHC",PR!$AT148,IF(F150="OLEAF",PR!$AU148,IF(F150="OCULUS",PR!$AV148,IF(F150="PACIFIC",PR!$AW148,IF(F150="PHAMATEX",PR!$AX148,IF(F150="PETHICS",PR!$AY148,IF(F150="PHILIPS",PR!$AZ148,IF(F150="RANBAXY",PR!$BA148,IF(F150="REALS",PR!$BB148,IF(F150="ROYAL",PR!$BC148,IF(F150="SAM",PR!$BD148,IF(F150="SEAGREEN",PR!$BE148,IF(F150="SKG",PR!$BF148,IF(F150="TAH",PR!$BG148,IF(F150="TAYLEK",PR!$BH148,IF(F150="TEMITA",PR!$BI148,IF(F150="THL",PR!$BJ148,IF(F150="UBASTIC",PR!$BK148,IF(F150="UNION",PR!$BL148,IF(F150="UNIQUE",PR!$BM148,IF(F150="VIXA",PR!$BN148,IF(F150="WWCV",PR!$BO148,IF(F150="ZOLON",PR!$BP148,"-"))))))))))))))))))))))))))))))))))))))))))))))))))))))))))))))))</f>
        <v>10000</v>
      </c>
      <c r="F150" s="102" t="str">
        <f>EV!L194</f>
        <v>CHI</v>
      </c>
      <c r="G150" s="108" t="str">
        <f>IF(H150="ALPHA",PR!$E148,IF(H150="ASSENE",PR!$F148,IF(H150="BIOFEM",PR!$G148,IF(H150="BIOMED",PR!$H148,IF(H150="CHI",PR!$I148,IF(H150="CLARION",PR!$J148,IF(H150="CODIX",PR!$K148,IF(H150="COSMADE",PR!$L148,IF(H150="SANCON",PR!$M148,IF(H150="DEVON",PR!$N148,IF(H150="DORTEMAG",PR!$O148,IF(H150="DGF",PR!$P148,IF(H150="DYNAMIC",PR!$Q148,IF(H150="EMZOR",PR!$R148,IF(H150="EUMATT",PR!$S148,IF(H150="FIDSON",PR!$T148,IF(H150="FCGLOBAL",PR!$U148,IF(H150="GENEITH",PR!$V148,IF(H150="GINOS",PR!$W148,IF(H150="GSK",PR!$X148,IF(H150="GLOBORG",PR!$Y148,IF(H150="GOODNEWS",PR!$Z148,IF(H150="GREENLIFE",PR!$AA148,IF(H150="HLINE",PR!$AB148,IF(H150="ROTECH",PR!$AC148,IF(H150="ISN",PR!$AD148,IF(H150="JAWA",PR!$AE148,IF(H150="LAYO",PR!$AF148,IF(H150="LEADWAY",PR!$AG148,IF(H150="LHV",PR!$AH148,IF(H150="MANOLA",PR!$AI148,IF(H150="MARCSON",PR!$AJ148,IF(H150="M&amp;B",PR!$AK148,IF(H150="MTRUST",PR!$AL148,IF(H150="MWORLD",PR!$AM148,IF(H150="MEGA",PR!$AN148,IF(H150="MICRONOVA",PR!$AO148,IF(H150="MFLASH",PR!$AP148,IF(H150="MORISON",PR!$AQ148,IF(H150="NEMEL",PR!$AR148,IF(H150="NHP",PR!$AS148,IF(H150="NHC",PR!$AT148,IF(H150="OLEAF",PR!$AU148,IF(H150="OCULUS",PR!$AV148,IF(H150="PACIFIC",PR!$AW148,IF(H150="PHAMATEX",PR!$AX148,IF(H150="PETHICS",PR!$AY148,IF(H150="PHILIPS",PR!$AZ148,IF(H150="RANBAXY",PR!$BA148,IF(H150="REALS",PR!$BB148,IF(H150="ROYAL",PR!$BC148,IF(H150="SAM",PR!$BD148,IF(H150="SEAGREEN",PR!$BE148,IF(H150="SKG",PR!$BF148,IF(H150="TAH",PR!$BG148,IF(H150="TAYLEK",PR!$BH148,IF(H150="TEMITA",PR!$BI148,IF(H150="THL",PR!$BJ148,IF(H150="UBASTIC",PR!$BK148,IF(H150="UNION",PR!$BL148,IF(H150="UNIQUE",PR!$BM148,IF(H150="VIXA",PR!$BN148,IF(H150="WWCV",PR!$BO148,IF(H150="ZOLON",PR!$BP148,"-"))))))))))))))))))))))))))))))))))))))))))))))))))))))))))))))))</f>
        <v>-</v>
      </c>
      <c r="H150" s="102">
        <f>EV!M194</f>
        <v>0</v>
      </c>
      <c r="I150" s="108" t="str">
        <f>IF(J150="ALPHA",PR!$E148,IF(J150="ASSENE",PR!$F148,IF(J150="BIOFEM",PR!$G148,IF(J150="BIOMED",PR!$H148,IF(J150="CHI",PR!$I148,IF(J150="CLARION",PR!$J148,IF(J150="CODIX",PR!$K148,IF(J150="COSMADE",PR!$L148,IF(J150="SANCON",PR!$M148,IF(J150="DEVON",PR!$N148,IF(J150="DORTEMAG",PR!$O148,IF(J150="DGF",PR!$P148,IF(J150="DYNAMIC",PR!$Q148,IF(J150="EMZOR",PR!$R148,IF(J150="EUMATT",PR!$S148,IF(J150="FIDSON",PR!$T148,IF(J150="FCGLOBAL",PR!$U148,IF(J150="GENEITH",PR!$V148,IF(J150="GINOS",PR!$W148,IF(J150="GSK",PR!$X148,IF(J150="GLOBORG",PR!$Y148,IF(J150="GOODNEWS",PR!$Z148,IF(J150="GREENLIFE",PR!$AA148,IF(J150="HLINE",PR!$AB148,IF(J150="ROTECH",PR!$AC148,IF(J150="ISN",PR!$AD148,IF(J150="JAWA",PR!$AE148,IF(J150="LAYO",PR!$AF148,IF(J150="LEADWAY",PR!$AG148,IF(J150="LHV",PR!$AH148,IF(J150="MANOLA",PR!$AI148,IF(J150="MARCSON",PR!$AJ148,IF(J150="M&amp;B",PR!$AK148,IF(J150="MTRUST",PR!$AL148,IF(J150="MWORLD",PR!$AM148,IF(J150="MEGA",PR!$AN148,IF(J150="MICRONOVA",PR!$AO148,IF(J150="MFLASH",PR!$AP148,IF(J150="MORISON",PR!$AQ148,IF(J150="NEMEL",PR!$AR148,IF(J150="NHP",PR!$AS148,IF(J150="NHC",PR!$AT148,IF(J150="OLEAF",PR!$AU148,IF(J150="OCULUS",PR!$AV148,IF(J150="PACIFIC",PR!$AW148,IF(J150="PHAMATEX",PR!$AX148,IF(J150="PETHICS",PR!$AY148,IF(J150="PHILIPS",PR!$AZ148,IF(J150="RANBAXY",PR!$BA148,IF(J150="REALS",PR!$BB148,IF(J150="ROYAL",PR!$BC148,IF(J150="SAM",PR!$BD148,IF(J150="SEAGREEN",PR!$BE148,IF(J150="SKG",PR!$BF148,IF(J150="TAH",PR!$BG148,IF(J150="TAYLEK",PR!$BH148,IF(J150="TEMITA",PR!$BI148,IF(J150="THL",PR!$BJ148,IF(J150="UBASTIC",PR!$BK148,IF(J150="UNION",PR!$BL148,IF(J150="UNIQUE",PR!$BM148,IF(J150="VIXA",PR!$BN148,IF(J150="WWCV",PR!$BO148,IF(J150="ZOLON",PR!$BP148,"-"))))))))))))))))))))))))))))))))))))))))))))))))))))))))))))))))</f>
        <v>-</v>
      </c>
      <c r="J150" s="102">
        <f>EV!N194</f>
        <v>0</v>
      </c>
      <c r="K150" s="433"/>
      <c r="L150" s="183" t="b">
        <f>IF(K150&gt;0,IF(K150="ALPHA",PR!$E148,IF(K150="ASSENE",PR!$F148,IF(K150="BIOFEM",PR!$G148,IF(K150="BIOMED",PR!$H148,IF(K150="CHI",PR!$I148,IF(K150="CLARION",PR!$J148,IF(K150="CODIX",PR!$K148,IF(K150="COSMADE",PR!$L148,IF(K150="SANCON",PR!$M148,IF(K150="DEVON",PR!$N148,IF(K150="DORTEMAG",PR!$O148,IF(K150="DGF",PR!$P148,IF(K150="DYNAMIC",PR!$Q148,IF(K150="EMZOR",PR!$R148,IF(K150="EUMATT",PR!$S148,IF(K150="FIDSON",PR!$T148,IF(K150="FCGLOBAL",PR!$U148,IF(K150="GENEITH",PR!$V148,IF(K150="GINOS",PR!$W148,IF(K150="GSK",PR!$X148,IF(K150="GLOBORG",PR!$Y148,IF(K150="GOODNEWS",PR!$Z148,IF(K150="GREENLIFE",PR!$AA148,IF(K150="HLINE",PR!$AB148,IF(K150="ROTECH",PR!$AC148,IF(K150="ISN",PR!$AD148,IF(K150="JAWA",PR!$AE148,IF(K150="LAYO",PR!$AF148,IF(K150="LEADWAY",PR!$AG148,IF(K150="LHV",PR!$AH148,IF(K150="MANOLA",PR!$AI148,IF(K150="MARCSON",PR!$AJ148,IF(K150="M&amp;B",PR!$AK148,IF(K150="MTRUST",PR!$AL148,IF(K150="MWORLD",PR!$AM148,IF(K150="MEGA",PR!$AN148,IF(K150="MICRONOVA",PR!$AO148,IF(K150="MFLASH",PR!$AP148,IF(K150="MORISON",PR!$AQ148,IF(K150="NEMEL",PR!$AR148,IF(K150="NHP",PR!$AS148,IF(K150="NHC",PR!$AT148,IF(K150="OLEAF",PR!$AU148,IF(K150="OCULUS",PR!$AV148,IF(K150="PACIFIC",PR!$AW148,IF(K150="PHAMATEX",PR!$AX148,IF(K150="PETHICS",PR!$AY148,IF(K150="PHILIPS",PR!$AZ148,IF(K150="RANBAXY",PR!$BA148,IF(K150="REALS",PR!$BB148,IF(K150="ROYAL",PR!$BC148,IF(K150="SAM",PR!$BD148,IF(K150="SEAGREEN",PR!$BE148,IF(K150="SKG",PR!$BF148,IF(K150="TAH",PR!$BG148,IF(K150="TAYLEK",PR!$BH148,IF(K150="TEMITA",PR!$BI148,IF(K150="THL",PR!$BJ148,IF(K150="UBASTIC",PR!$BK148,IF(K150="UNION",PR!$BL148,IF(K150="UNIQUE",PR!$BM148,IF(K150="VIXA",PR!$BN148,IF(K150="WWCV",PR!$BO148,IF(K150="ZOLON",PR!$BP148,"-")))))))))))))))))))))))))))))))))))))))))))))))))))))))))))))))))</f>
        <v>0</v>
      </c>
    </row>
    <row r="151" spans="1:12" ht="18.75" x14ac:dyDescent="0.3">
      <c r="A151" s="430">
        <f>PR!A149</f>
        <v>131</v>
      </c>
      <c r="B151" s="15" t="str">
        <f>PR!B149</f>
        <v>METFORMIN HCL 1000MG SR TAB</v>
      </c>
      <c r="C151" s="113">
        <f>PR!D149</f>
        <v>100</v>
      </c>
      <c r="D151" s="113">
        <f>PR!C149</f>
        <v>200</v>
      </c>
      <c r="E151" s="108" t="str">
        <f>IF(F151="ALPHA",PR!$E149,IF(F151="ASSENE",PR!$F149,IF(F151="BIOFEM",PR!$G149,IF(F151="BIOMED",PR!$H149,IF(F151="CHI",PR!$I149,IF(F151="CLARION",PR!$J149,IF(F151="CODIX",PR!$K149,IF(F151="COSMADE",PR!$L149,IF(F151="SANCON",PR!$M149,IF(F151="DEVON",PR!$N149,IF(F151="DORTEMAG",PR!$O149,IF(F151="DGF",PR!$P149,IF(F151="DYNAMIC",PR!$Q149,IF(F151="EMZOR",PR!$R149,IF(F151="EUMATT",PR!$S149,IF(F151="FIDSON",PR!$T149,IF(F151="FCGLOBAL",PR!$U149,IF(F151="GENEITH",PR!$V149,IF(F151="GINOS",PR!$W149,IF(F151="GSK",PR!$X149,IF(F151="GLOBORG",PR!$Y149,IF(F151="GOODNEWS",PR!$Z149,IF(F151="GREENLIFE",PR!$AA149,IF(F151="HLINE",PR!$AB149,IF(F151="ROTECH",PR!$AC149,IF(F151="ISN",PR!$AD149,IF(F151="JAWA",PR!$AE149,IF(F151="LAYO",PR!$AF149,IF(F151="LEADWAY",PR!$AG149,IF(F151="LHV",PR!$AH149,IF(F151="MANOLA",PR!$AI149,IF(F151="MARCSON",PR!$AJ149,IF(F151="M&amp;B",PR!$AK149,IF(F151="MTRUST",PR!$AL149,IF(F151="MWORLD",PR!$AM149,IF(F151="MEGA",PR!$AN149,IF(F151="MICRONOVA",PR!$AO149,IF(F151="MFLASH",PR!$AP149,IF(F151="MORISON",PR!$AQ149,IF(F151="NEMEL",PR!$AR149,IF(F151="NHP",PR!$AS149,IF(F151="NHC",PR!$AT149,IF(F151="OLEAF",PR!$AU149,IF(F151="OCULUS",PR!$AV149,IF(F151="PACIFIC",PR!$AW149,IF(F151="PHAMATEX",PR!$AX149,IF(F151="PETHICS",PR!$AY149,IF(F151="PHILIPS",PR!$AZ149,IF(F151="RANBAXY",PR!$BA149,IF(F151="REALS",PR!$BB149,IF(F151="ROYAL",PR!$BC149,IF(F151="SAM",PR!$BD149,IF(F151="SEAGREEN",PR!$BE149,IF(F151="SKG",PR!$BF149,IF(F151="TAH",PR!$BG149,IF(F151="TAYLEK",PR!$BH149,IF(F151="TEMITA",PR!$BI149,IF(F151="THL",PR!$BJ149,IF(F151="UBASTIC",PR!$BK149,IF(F151="UNION",PR!$BL149,IF(F151="UNIQUE",PR!$BM149,IF(F151="VIXA",PR!$BN149,IF(F151="WWCV",PR!$BO149,IF(F151="ZOLON",PR!$BP149,"-"))))))))))))))))))))))))))))))))))))))))))))))))))))))))))))))))</f>
        <v>-</v>
      </c>
      <c r="F151" s="102">
        <f>EV!L195</f>
        <v>0</v>
      </c>
      <c r="G151" s="108" t="str">
        <f>IF(H151="ALPHA",PR!$E149,IF(H151="ASSENE",PR!$F149,IF(H151="BIOFEM",PR!$G149,IF(H151="BIOMED",PR!$H149,IF(H151="CHI",PR!$I149,IF(H151="CLARION",PR!$J149,IF(H151="CODIX",PR!$K149,IF(H151="COSMADE",PR!$L149,IF(H151="SANCON",PR!$M149,IF(H151="DEVON",PR!$N149,IF(H151="DORTEMAG",PR!$O149,IF(H151="DGF",PR!$P149,IF(H151="DYNAMIC",PR!$Q149,IF(H151="EMZOR",PR!$R149,IF(H151="EUMATT",PR!$S149,IF(H151="FIDSON",PR!$T149,IF(H151="FCGLOBAL",PR!$U149,IF(H151="GENEITH",PR!$V149,IF(H151="GINOS",PR!$W149,IF(H151="GSK",PR!$X149,IF(H151="GLOBORG",PR!$Y149,IF(H151="GOODNEWS",PR!$Z149,IF(H151="GREENLIFE",PR!$AA149,IF(H151="HLINE",PR!$AB149,IF(H151="ROTECH",PR!$AC149,IF(H151="ISN",PR!$AD149,IF(H151="JAWA",PR!$AE149,IF(H151="LAYO",PR!$AF149,IF(H151="LEADWAY",PR!$AG149,IF(H151="LHV",PR!$AH149,IF(H151="MANOLA",PR!$AI149,IF(H151="MARCSON",PR!$AJ149,IF(H151="M&amp;B",PR!$AK149,IF(H151="MTRUST",PR!$AL149,IF(H151="MWORLD",PR!$AM149,IF(H151="MEGA",PR!$AN149,IF(H151="MICRONOVA",PR!$AO149,IF(H151="MFLASH",PR!$AP149,IF(H151="MORISON",PR!$AQ149,IF(H151="NEMEL",PR!$AR149,IF(H151="NHP",PR!$AS149,IF(H151="NHC",PR!$AT149,IF(H151="OLEAF",PR!$AU149,IF(H151="OCULUS",PR!$AV149,IF(H151="PACIFIC",PR!$AW149,IF(H151="PHAMATEX",PR!$AX149,IF(H151="PETHICS",PR!$AY149,IF(H151="PHILIPS",PR!$AZ149,IF(H151="RANBAXY",PR!$BA149,IF(H151="REALS",PR!$BB149,IF(H151="ROYAL",PR!$BC149,IF(H151="SAM",PR!$BD149,IF(H151="SEAGREEN",PR!$BE149,IF(H151="SKG",PR!$BF149,IF(H151="TAH",PR!$BG149,IF(H151="TAYLEK",PR!$BH149,IF(H151="TEMITA",PR!$BI149,IF(H151="THL",PR!$BJ149,IF(H151="UBASTIC",PR!$BK149,IF(H151="UNION",PR!$BL149,IF(H151="UNIQUE",PR!$BM149,IF(H151="VIXA",PR!$BN149,IF(H151="WWCV",PR!$BO149,IF(H151="ZOLON",PR!$BP149,"-"))))))))))))))))))))))))))))))))))))))))))))))))))))))))))))))))</f>
        <v>-</v>
      </c>
      <c r="H151" s="102">
        <f>EV!M195</f>
        <v>0</v>
      </c>
      <c r="I151" s="108" t="str">
        <f>IF(J151="ALPHA",PR!$E149,IF(J151="ASSENE",PR!$F149,IF(J151="BIOFEM",PR!$G149,IF(J151="BIOMED",PR!$H149,IF(J151="CHI",PR!$I149,IF(J151="CLARION",PR!$J149,IF(J151="CODIX",PR!$K149,IF(J151="COSMADE",PR!$L149,IF(J151="SANCON",PR!$M149,IF(J151="DEVON",PR!$N149,IF(J151="DORTEMAG",PR!$O149,IF(J151="DGF",PR!$P149,IF(J151="DYNAMIC",PR!$Q149,IF(J151="EMZOR",PR!$R149,IF(J151="EUMATT",PR!$S149,IF(J151="FIDSON",PR!$T149,IF(J151="FCGLOBAL",PR!$U149,IF(J151="GENEITH",PR!$V149,IF(J151="GINOS",PR!$W149,IF(J151="GSK",PR!$X149,IF(J151="GLOBORG",PR!$Y149,IF(J151="GOODNEWS",PR!$Z149,IF(J151="GREENLIFE",PR!$AA149,IF(J151="HLINE",PR!$AB149,IF(J151="ROTECH",PR!$AC149,IF(J151="ISN",PR!$AD149,IF(J151="JAWA",PR!$AE149,IF(J151="LAYO",PR!$AF149,IF(J151="LEADWAY",PR!$AG149,IF(J151="LHV",PR!$AH149,IF(J151="MANOLA",PR!$AI149,IF(J151="MARCSON",PR!$AJ149,IF(J151="M&amp;B",PR!$AK149,IF(J151="MTRUST",PR!$AL149,IF(J151="MWORLD",PR!$AM149,IF(J151="MEGA",PR!$AN149,IF(J151="MICRONOVA",PR!$AO149,IF(J151="MFLASH",PR!$AP149,IF(J151="MORISON",PR!$AQ149,IF(J151="NEMEL",PR!$AR149,IF(J151="NHP",PR!$AS149,IF(J151="NHC",PR!$AT149,IF(J151="OLEAF",PR!$AU149,IF(J151="OCULUS",PR!$AV149,IF(J151="PACIFIC",PR!$AW149,IF(J151="PHAMATEX",PR!$AX149,IF(J151="PETHICS",PR!$AY149,IF(J151="PHILIPS",PR!$AZ149,IF(J151="RANBAXY",PR!$BA149,IF(J151="REALS",PR!$BB149,IF(J151="ROYAL",PR!$BC149,IF(J151="SAM",PR!$BD149,IF(J151="SEAGREEN",PR!$BE149,IF(J151="SKG",PR!$BF149,IF(J151="TAH",PR!$BG149,IF(J151="TAYLEK",PR!$BH149,IF(J151="TEMITA",PR!$BI149,IF(J151="THL",PR!$BJ149,IF(J151="UBASTIC",PR!$BK149,IF(J151="UNION",PR!$BL149,IF(J151="UNIQUE",PR!$BM149,IF(J151="VIXA",PR!$BN149,IF(J151="WWCV",PR!$BO149,IF(J151="ZOLON",PR!$BP149,"-"))))))))))))))))))))))))))))))))))))))))))))))))))))))))))))))))</f>
        <v>-</v>
      </c>
      <c r="J151" s="102">
        <f>EV!N195</f>
        <v>0</v>
      </c>
      <c r="K151" s="433"/>
      <c r="L151" s="183" t="b">
        <f>IF(K151&gt;0,IF(K151="ALPHA",PR!$E149,IF(K151="ASSENE",PR!$F149,IF(K151="BIOFEM",PR!$G149,IF(K151="BIOMED",PR!$H149,IF(K151="CHI",PR!$I149,IF(K151="CLARION",PR!$J149,IF(K151="CODIX",PR!$K149,IF(K151="COSMADE",PR!$L149,IF(K151="SANCON",PR!$M149,IF(K151="DEVON",PR!$N149,IF(K151="DORTEMAG",PR!$O149,IF(K151="DGF",PR!$P149,IF(K151="DYNAMIC",PR!$Q149,IF(K151="EMZOR",PR!$R149,IF(K151="EUMATT",PR!$S149,IF(K151="FIDSON",PR!$T149,IF(K151="FCGLOBAL",PR!$U149,IF(K151="GENEITH",PR!$V149,IF(K151="GINOS",PR!$W149,IF(K151="GSK",PR!$X149,IF(K151="GLOBORG",PR!$Y149,IF(K151="GOODNEWS",PR!$Z149,IF(K151="GREENLIFE",PR!$AA149,IF(K151="HLINE",PR!$AB149,IF(K151="ROTECH",PR!$AC149,IF(K151="ISN",PR!$AD149,IF(K151="JAWA",PR!$AE149,IF(K151="LAYO",PR!$AF149,IF(K151="LEADWAY",PR!$AG149,IF(K151="LHV",PR!$AH149,IF(K151="MANOLA",PR!$AI149,IF(K151="MARCSON",PR!$AJ149,IF(K151="M&amp;B",PR!$AK149,IF(K151="MTRUST",PR!$AL149,IF(K151="MWORLD",PR!$AM149,IF(K151="MEGA",PR!$AN149,IF(K151="MICRONOVA",PR!$AO149,IF(K151="MFLASH",PR!$AP149,IF(K151="MORISON",PR!$AQ149,IF(K151="NEMEL",PR!$AR149,IF(K151="NHP",PR!$AS149,IF(K151="NHC",PR!$AT149,IF(K151="OLEAF",PR!$AU149,IF(K151="OCULUS",PR!$AV149,IF(K151="PACIFIC",PR!$AW149,IF(K151="PHAMATEX",PR!$AX149,IF(K151="PETHICS",PR!$AY149,IF(K151="PHILIPS",PR!$AZ149,IF(K151="RANBAXY",PR!$BA149,IF(K151="REALS",PR!$BB149,IF(K151="ROYAL",PR!$BC149,IF(K151="SAM",PR!$BD149,IF(K151="SEAGREEN",PR!$BE149,IF(K151="SKG",PR!$BF149,IF(K151="TAH",PR!$BG149,IF(K151="TAYLEK",PR!$BH149,IF(K151="TEMITA",PR!$BI149,IF(K151="THL",PR!$BJ149,IF(K151="UBASTIC",PR!$BK149,IF(K151="UNION",PR!$BL149,IF(K151="UNIQUE",PR!$BM149,IF(K151="VIXA",PR!$BN149,IF(K151="WWCV",PR!$BO149,IF(K151="ZOLON",PR!$BP149,"-")))))))))))))))))))))))))))))))))))))))))))))))))))))))))))))))))</f>
        <v>0</v>
      </c>
    </row>
    <row r="152" spans="1:12" ht="18.75" x14ac:dyDescent="0.3">
      <c r="A152" s="430">
        <f>PR!A150</f>
        <v>132</v>
      </c>
      <c r="B152" s="15" t="str">
        <f>PR!B150</f>
        <v>METFORMIN HCL 500MG SR TAB</v>
      </c>
      <c r="C152" s="113">
        <f>PR!D150</f>
        <v>100</v>
      </c>
      <c r="D152" s="113">
        <f>PR!C150</f>
        <v>200</v>
      </c>
      <c r="E152" s="108" t="str">
        <f>IF(F152="ALPHA",PR!$E150,IF(F152="ASSENE",PR!$F150,IF(F152="BIOFEM",PR!$G150,IF(F152="BIOMED",PR!$H150,IF(F152="CHI",PR!$I150,IF(F152="CLARION",PR!$J150,IF(F152="CODIX",PR!$K150,IF(F152="COSMADE",PR!$L150,IF(F152="SANCON",PR!$M150,IF(F152="DEVON",PR!$N150,IF(F152="DORTEMAG",PR!$O150,IF(F152="DGF",PR!$P150,IF(F152="DYNAMIC",PR!$Q150,IF(F152="EMZOR",PR!$R150,IF(F152="EUMATT",PR!$S150,IF(F152="FIDSON",PR!$T150,IF(F152="FCGLOBAL",PR!$U150,IF(F152="GENEITH",PR!$V150,IF(F152="GINOS",PR!$W150,IF(F152="GSK",PR!$X150,IF(F152="GLOBORG",PR!$Y150,IF(F152="GOODNEWS",PR!$Z150,IF(F152="GREENLIFE",PR!$AA150,IF(F152="HLINE",PR!$AB150,IF(F152="ROTECH",PR!$AC150,IF(F152="ISN",PR!$AD150,IF(F152="JAWA",PR!$AE150,IF(F152="LAYO",PR!$AF150,IF(F152="LEADWAY",PR!$AG150,IF(F152="LHV",PR!$AH150,IF(F152="MANOLA",PR!$AI150,IF(F152="MARCSON",PR!$AJ150,IF(F152="M&amp;B",PR!$AK150,IF(F152="MTRUST",PR!$AL150,IF(F152="MWORLD",PR!$AM150,IF(F152="MEGA",PR!$AN150,IF(F152="MICRONOVA",PR!$AO150,IF(F152="MFLASH",PR!$AP150,IF(F152="MORISON",PR!$AQ150,IF(F152="NEMEL",PR!$AR150,IF(F152="NHP",PR!$AS150,IF(F152="NHC",PR!$AT150,IF(F152="OLEAF",PR!$AU150,IF(F152="OCULUS",PR!$AV150,IF(F152="PACIFIC",PR!$AW150,IF(F152="PHAMATEX",PR!$AX150,IF(F152="PETHICS",PR!$AY150,IF(F152="PHILIPS",PR!$AZ150,IF(F152="RANBAXY",PR!$BA150,IF(F152="REALS",PR!$BB150,IF(F152="ROYAL",PR!$BC150,IF(F152="SAM",PR!$BD150,IF(F152="SEAGREEN",PR!$BE150,IF(F152="SKG",PR!$BF150,IF(F152="TAH",PR!$BG150,IF(F152="TAYLEK",PR!$BH150,IF(F152="TEMITA",PR!$BI150,IF(F152="THL",PR!$BJ150,IF(F152="UBASTIC",PR!$BK150,IF(F152="UNION",PR!$BL150,IF(F152="UNIQUE",PR!$BM150,IF(F152="VIXA",PR!$BN150,IF(F152="WWCV",PR!$BO150,IF(F152="ZOLON",PR!$BP150,"-"))))))))))))))))))))))))))))))))))))))))))))))))))))))))))))))))</f>
        <v>-</v>
      </c>
      <c r="F152" s="102">
        <f>EV!L196</f>
        <v>0</v>
      </c>
      <c r="G152" s="108" t="str">
        <f>IF(H152="ALPHA",PR!$E150,IF(H152="ASSENE",PR!$F150,IF(H152="BIOFEM",PR!$G150,IF(H152="BIOMED",PR!$H150,IF(H152="CHI",PR!$I150,IF(H152="CLARION",PR!$J150,IF(H152="CODIX",PR!$K150,IF(H152="COSMADE",PR!$L150,IF(H152="SANCON",PR!$M150,IF(H152="DEVON",PR!$N150,IF(H152="DORTEMAG",PR!$O150,IF(H152="DGF",PR!$P150,IF(H152="DYNAMIC",PR!$Q150,IF(H152="EMZOR",PR!$R150,IF(H152="EUMATT",PR!$S150,IF(H152="FIDSON",PR!$T150,IF(H152="FCGLOBAL",PR!$U150,IF(H152="GENEITH",PR!$V150,IF(H152="GINOS",PR!$W150,IF(H152="GSK",PR!$X150,IF(H152="GLOBORG",PR!$Y150,IF(H152="GOODNEWS",PR!$Z150,IF(H152="GREENLIFE",PR!$AA150,IF(H152="HLINE",PR!$AB150,IF(H152="ROTECH",PR!$AC150,IF(H152="ISN",PR!$AD150,IF(H152="JAWA",PR!$AE150,IF(H152="LAYO",PR!$AF150,IF(H152="LEADWAY",PR!$AG150,IF(H152="LHV",PR!$AH150,IF(H152="MANOLA",PR!$AI150,IF(H152="MARCSON",PR!$AJ150,IF(H152="M&amp;B",PR!$AK150,IF(H152="MTRUST",PR!$AL150,IF(H152="MWORLD",PR!$AM150,IF(H152="MEGA",PR!$AN150,IF(H152="MICRONOVA",PR!$AO150,IF(H152="MFLASH",PR!$AP150,IF(H152="MORISON",PR!$AQ150,IF(H152="NEMEL",PR!$AR150,IF(H152="NHP",PR!$AS150,IF(H152="NHC",PR!$AT150,IF(H152="OLEAF",PR!$AU150,IF(H152="OCULUS",PR!$AV150,IF(H152="PACIFIC",PR!$AW150,IF(H152="PHAMATEX",PR!$AX150,IF(H152="PETHICS",PR!$AY150,IF(H152="PHILIPS",PR!$AZ150,IF(H152="RANBAXY",PR!$BA150,IF(H152="REALS",PR!$BB150,IF(H152="ROYAL",PR!$BC150,IF(H152="SAM",PR!$BD150,IF(H152="SEAGREEN",PR!$BE150,IF(H152="SKG",PR!$BF150,IF(H152="TAH",PR!$BG150,IF(H152="TAYLEK",PR!$BH150,IF(H152="TEMITA",PR!$BI150,IF(H152="THL",PR!$BJ150,IF(H152="UBASTIC",PR!$BK150,IF(H152="UNION",PR!$BL150,IF(H152="UNIQUE",PR!$BM150,IF(H152="VIXA",PR!$BN150,IF(H152="WWCV",PR!$BO150,IF(H152="ZOLON",PR!$BP150,"-"))))))))))))))))))))))))))))))))))))))))))))))))))))))))))))))))</f>
        <v>-</v>
      </c>
      <c r="H152" s="102">
        <f>EV!M196</f>
        <v>0</v>
      </c>
      <c r="I152" s="108" t="str">
        <f>IF(J152="ALPHA",PR!$E150,IF(J152="ASSENE",PR!$F150,IF(J152="BIOFEM",PR!$G150,IF(J152="BIOMED",PR!$H150,IF(J152="CHI",PR!$I150,IF(J152="CLARION",PR!$J150,IF(J152="CODIX",PR!$K150,IF(J152="COSMADE",PR!$L150,IF(J152="SANCON",PR!$M150,IF(J152="DEVON",PR!$N150,IF(J152="DORTEMAG",PR!$O150,IF(J152="DGF",PR!$P150,IF(J152="DYNAMIC",PR!$Q150,IF(J152="EMZOR",PR!$R150,IF(J152="EUMATT",PR!$S150,IF(J152="FIDSON",PR!$T150,IF(J152="FCGLOBAL",PR!$U150,IF(J152="GENEITH",PR!$V150,IF(J152="GINOS",PR!$W150,IF(J152="GSK",PR!$X150,IF(J152="GLOBORG",PR!$Y150,IF(J152="GOODNEWS",PR!$Z150,IF(J152="GREENLIFE",PR!$AA150,IF(J152="HLINE",PR!$AB150,IF(J152="ROTECH",PR!$AC150,IF(J152="ISN",PR!$AD150,IF(J152="JAWA",PR!$AE150,IF(J152="LAYO",PR!$AF150,IF(J152="LEADWAY",PR!$AG150,IF(J152="LHV",PR!$AH150,IF(J152="MANOLA",PR!$AI150,IF(J152="MARCSON",PR!$AJ150,IF(J152="M&amp;B",PR!$AK150,IF(J152="MTRUST",PR!$AL150,IF(J152="MWORLD",PR!$AM150,IF(J152="MEGA",PR!$AN150,IF(J152="MICRONOVA",PR!$AO150,IF(J152="MFLASH",PR!$AP150,IF(J152="MORISON",PR!$AQ150,IF(J152="NEMEL",PR!$AR150,IF(J152="NHP",PR!$AS150,IF(J152="NHC",PR!$AT150,IF(J152="OLEAF",PR!$AU150,IF(J152="OCULUS",PR!$AV150,IF(J152="PACIFIC",PR!$AW150,IF(J152="PHAMATEX",PR!$AX150,IF(J152="PETHICS",PR!$AY150,IF(J152="PHILIPS",PR!$AZ150,IF(J152="RANBAXY",PR!$BA150,IF(J152="REALS",PR!$BB150,IF(J152="ROYAL",PR!$BC150,IF(J152="SAM",PR!$BD150,IF(J152="SEAGREEN",PR!$BE150,IF(J152="SKG",PR!$BF150,IF(J152="TAH",PR!$BG150,IF(J152="TAYLEK",PR!$BH150,IF(J152="TEMITA",PR!$BI150,IF(J152="THL",PR!$BJ150,IF(J152="UBASTIC",PR!$BK150,IF(J152="UNION",PR!$BL150,IF(J152="UNIQUE",PR!$BM150,IF(J152="VIXA",PR!$BN150,IF(J152="WWCV",PR!$BO150,IF(J152="ZOLON",PR!$BP150,"-"))))))))))))))))))))))))))))))))))))))))))))))))))))))))))))))))</f>
        <v>-</v>
      </c>
      <c r="J152" s="102">
        <f>EV!N196</f>
        <v>0</v>
      </c>
      <c r="K152" s="433"/>
      <c r="L152" s="183" t="b">
        <f>IF(K152&gt;0,IF(K152="ALPHA",PR!$E150,IF(K152="ASSENE",PR!$F150,IF(K152="BIOFEM",PR!$G150,IF(K152="BIOMED",PR!$H150,IF(K152="CHI",PR!$I150,IF(K152="CLARION",PR!$J150,IF(K152="CODIX",PR!$K150,IF(K152="COSMADE",PR!$L150,IF(K152="SANCON",PR!$M150,IF(K152="DEVON",PR!$N150,IF(K152="DORTEMAG",PR!$O150,IF(K152="DGF",PR!$P150,IF(K152="DYNAMIC",PR!$Q150,IF(K152="EMZOR",PR!$R150,IF(K152="EUMATT",PR!$S150,IF(K152="FIDSON",PR!$T150,IF(K152="FCGLOBAL",PR!$U150,IF(K152="GENEITH",PR!$V150,IF(K152="GINOS",PR!$W150,IF(K152="GSK",PR!$X150,IF(K152="GLOBORG",PR!$Y150,IF(K152="GOODNEWS",PR!$Z150,IF(K152="GREENLIFE",PR!$AA150,IF(K152="HLINE",PR!$AB150,IF(K152="ROTECH",PR!$AC150,IF(K152="ISN",PR!$AD150,IF(K152="JAWA",PR!$AE150,IF(K152="LAYO",PR!$AF150,IF(K152="LEADWAY",PR!$AG150,IF(K152="LHV",PR!$AH150,IF(K152="MANOLA",PR!$AI150,IF(K152="MARCSON",PR!$AJ150,IF(K152="M&amp;B",PR!$AK150,IF(K152="MTRUST",PR!$AL150,IF(K152="MWORLD",PR!$AM150,IF(K152="MEGA",PR!$AN150,IF(K152="MICRONOVA",PR!$AO150,IF(K152="MFLASH",PR!$AP150,IF(K152="MORISON",PR!$AQ150,IF(K152="NEMEL",PR!$AR150,IF(K152="NHP",PR!$AS150,IF(K152="NHC",PR!$AT150,IF(K152="OLEAF",PR!$AU150,IF(K152="OCULUS",PR!$AV150,IF(K152="PACIFIC",PR!$AW150,IF(K152="PHAMATEX",PR!$AX150,IF(K152="PETHICS",PR!$AY150,IF(K152="PHILIPS",PR!$AZ150,IF(K152="RANBAXY",PR!$BA150,IF(K152="REALS",PR!$BB150,IF(K152="ROYAL",PR!$BC150,IF(K152="SAM",PR!$BD150,IF(K152="SEAGREEN",PR!$BE150,IF(K152="SKG",PR!$BF150,IF(K152="TAH",PR!$BG150,IF(K152="TAYLEK",PR!$BH150,IF(K152="TEMITA",PR!$BI150,IF(K152="THL",PR!$BJ150,IF(K152="UBASTIC",PR!$BK150,IF(K152="UNION",PR!$BL150,IF(K152="UNIQUE",PR!$BM150,IF(K152="VIXA",PR!$BN150,IF(K152="WWCV",PR!$BO150,IF(K152="ZOLON",PR!$BP150,"-")))))))))))))))))))))))))))))))))))))))))))))))))))))))))))))))))</f>
        <v>0</v>
      </c>
    </row>
    <row r="153" spans="1:12" ht="18.75" x14ac:dyDescent="0.3">
      <c r="A153" s="430">
        <f>PR!A151</f>
        <v>133</v>
      </c>
      <c r="B153" s="15" t="str">
        <f>PR!B151</f>
        <v>METFORMIN HCL 1000MG TAB</v>
      </c>
      <c r="C153" s="113">
        <f>PR!D151</f>
        <v>100</v>
      </c>
      <c r="D153" s="113">
        <f>PR!C151</f>
        <v>2000</v>
      </c>
      <c r="E153" s="108">
        <f>IF(F153="ALPHA",PR!$E151,IF(F153="ASSENE",PR!$F151,IF(F153="BIOFEM",PR!$G151,IF(F153="BIOMED",PR!$H151,IF(F153="CHI",PR!$I151,IF(F153="CLARION",PR!$J151,IF(F153="CODIX",PR!$K151,IF(F153="COSMADE",PR!$L151,IF(F153="SANCON",PR!$M151,IF(F153="DEVON",PR!$N151,IF(F153="DORTEMAG",PR!$O151,IF(F153="DGF",PR!$P151,IF(F153="DYNAMIC",PR!$Q151,IF(F153="EMZOR",PR!$R151,IF(F153="EUMATT",PR!$S151,IF(F153="FIDSON",PR!$T151,IF(F153="FCGLOBAL",PR!$U151,IF(F153="GENEITH",PR!$V151,IF(F153="GINOS",PR!$W151,IF(F153="GSK",PR!$X151,IF(F153="GLOBORG",PR!$Y151,IF(F153="GOODNEWS",PR!$Z151,IF(F153="GREENLIFE",PR!$AA151,IF(F153="HLINE",PR!$AB151,IF(F153="ROTECH",PR!$AC151,IF(F153="ISN",PR!$AD151,IF(F153="JAWA",PR!$AE151,IF(F153="LAYO",PR!$AF151,IF(F153="LEADWAY",PR!$AG151,IF(F153="LHV",PR!$AH151,IF(F153="MANOLA",PR!$AI151,IF(F153="MARCSON",PR!$AJ151,IF(F153="M&amp;B",PR!$AK151,IF(F153="MTRUST",PR!$AL151,IF(F153="MWORLD",PR!$AM151,IF(F153="MEGA",PR!$AN151,IF(F153="MICRONOVA",PR!$AO151,IF(F153="MFLASH",PR!$AP151,IF(F153="MORISON",PR!$AQ151,IF(F153="NEMEL",PR!$AR151,IF(F153="NHP",PR!$AS151,IF(F153="NHC",PR!$AT151,IF(F153="OLEAF",PR!$AU151,IF(F153="OCULUS",PR!$AV151,IF(F153="PACIFIC",PR!$AW151,IF(F153="PHAMATEX",PR!$AX151,IF(F153="PETHICS",PR!$AY151,IF(F153="PHILIPS",PR!$AZ151,IF(F153="RANBAXY",PR!$BA151,IF(F153="REALS",PR!$BB151,IF(F153="ROYAL",PR!$BC151,IF(F153="SAM",PR!$BD151,IF(F153="SEAGREEN",PR!$BE151,IF(F153="SKG",PR!$BF151,IF(F153="TAH",PR!$BG151,IF(F153="TAYLEK",PR!$BH151,IF(F153="TEMITA",PR!$BI151,IF(F153="THL",PR!$BJ151,IF(F153="UBASTIC",PR!$BK151,IF(F153="UNION",PR!$BL151,IF(F153="UNIQUE",PR!$BM151,IF(F153="VIXA",PR!$BN151,IF(F153="WWCV",PR!$BO151,IF(F153="ZOLON",PR!$BP151,"-"))))))))))))))))))))))))))))))))))))))))))))))))))))))))))))))))</f>
        <v>2300</v>
      </c>
      <c r="F153" s="102" t="str">
        <f>EV!L197</f>
        <v>ZOLON</v>
      </c>
      <c r="G153" s="108">
        <f>IF(H153="ALPHA",PR!$E151,IF(H153="ASSENE",PR!$F151,IF(H153="BIOFEM",PR!$G151,IF(H153="BIOMED",PR!$H151,IF(H153="CHI",PR!$I151,IF(H153="CLARION",PR!$J151,IF(H153="CODIX",PR!$K151,IF(H153="COSMADE",PR!$L151,IF(H153="SANCON",PR!$M151,IF(H153="DEVON",PR!$N151,IF(H153="DORTEMAG",PR!$O151,IF(H153="DGF",PR!$P151,IF(H153="DYNAMIC",PR!$Q151,IF(H153="EMZOR",PR!$R151,IF(H153="EUMATT",PR!$S151,IF(H153="FIDSON",PR!$T151,IF(H153="FCGLOBAL",PR!$U151,IF(H153="GENEITH",PR!$V151,IF(H153="GINOS",PR!$W151,IF(H153="GSK",PR!$X151,IF(H153="GLOBORG",PR!$Y151,IF(H153="GOODNEWS",PR!$Z151,IF(H153="GREENLIFE",PR!$AA151,IF(H153="HLINE",PR!$AB151,IF(H153="ROTECH",PR!$AC151,IF(H153="ISN",PR!$AD151,IF(H153="JAWA",PR!$AE151,IF(H153="LAYO",PR!$AF151,IF(H153="LEADWAY",PR!$AG151,IF(H153="LHV",PR!$AH151,IF(H153="MANOLA",PR!$AI151,IF(H153="MARCSON",PR!$AJ151,IF(H153="M&amp;B",PR!$AK151,IF(H153="MTRUST",PR!$AL151,IF(H153="MWORLD",PR!$AM151,IF(H153="MEGA",PR!$AN151,IF(H153="MICRONOVA",PR!$AO151,IF(H153="MFLASH",PR!$AP151,IF(H153="MORISON",PR!$AQ151,IF(H153="NEMEL",PR!$AR151,IF(H153="NHP",PR!$AS151,IF(H153="NHC",PR!$AT151,IF(H153="OLEAF",PR!$AU151,IF(H153="OCULUS",PR!$AV151,IF(H153="PACIFIC",PR!$AW151,IF(H153="PHAMATEX",PR!$AX151,IF(H153="PETHICS",PR!$AY151,IF(H153="PHILIPS",PR!$AZ151,IF(H153="RANBAXY",PR!$BA151,IF(H153="REALS",PR!$BB151,IF(H153="ROYAL",PR!$BC151,IF(H153="SAM",PR!$BD151,IF(H153="SEAGREEN",PR!$BE151,IF(H153="SKG",PR!$BF151,IF(H153="TAH",PR!$BG151,IF(H153="TAYLEK",PR!$BH151,IF(H153="TEMITA",PR!$BI151,IF(H153="THL",PR!$BJ151,IF(H153="UBASTIC",PR!$BK151,IF(H153="UNION",PR!$BL151,IF(H153="UNIQUE",PR!$BM151,IF(H153="VIXA",PR!$BN151,IF(H153="WWCV",PR!$BO151,IF(H153="ZOLON",PR!$BP151,"-"))))))))))))))))))))))))))))))))))))))))))))))))))))))))))))))))</f>
        <v>2500</v>
      </c>
      <c r="H153" s="102" t="str">
        <f>EV!M197</f>
        <v>EUMATT</v>
      </c>
      <c r="I153" s="108">
        <f>IF(J153="ALPHA",PR!$E151,IF(J153="ASSENE",PR!$F151,IF(J153="BIOFEM",PR!$G151,IF(J153="BIOMED",PR!$H151,IF(J153="CHI",PR!$I151,IF(J153="CLARION",PR!$J151,IF(J153="CODIX",PR!$K151,IF(J153="COSMADE",PR!$L151,IF(J153="SANCON",PR!$M151,IF(J153="DEVON",PR!$N151,IF(J153="DORTEMAG",PR!$O151,IF(J153="DGF",PR!$P151,IF(J153="DYNAMIC",PR!$Q151,IF(J153="EMZOR",PR!$R151,IF(J153="EUMATT",PR!$S151,IF(J153="FIDSON",PR!$T151,IF(J153="FCGLOBAL",PR!$U151,IF(J153="GENEITH",PR!$V151,IF(J153="GINOS",PR!$W151,IF(J153="GSK",PR!$X151,IF(J153="GLOBORG",PR!$Y151,IF(J153="GOODNEWS",PR!$Z151,IF(J153="GREENLIFE",PR!$AA151,IF(J153="HLINE",PR!$AB151,IF(J153="ROTECH",PR!$AC151,IF(J153="ISN",PR!$AD151,IF(J153="JAWA",PR!$AE151,IF(J153="LAYO",PR!$AF151,IF(J153="LEADWAY",PR!$AG151,IF(J153="LHV",PR!$AH151,IF(J153="MANOLA",PR!$AI151,IF(J153="MARCSON",PR!$AJ151,IF(J153="M&amp;B",PR!$AK151,IF(J153="MTRUST",PR!$AL151,IF(J153="MWORLD",PR!$AM151,IF(J153="MEGA",PR!$AN151,IF(J153="MICRONOVA",PR!$AO151,IF(J153="MFLASH",PR!$AP151,IF(J153="MORISON",PR!$AQ151,IF(J153="NEMEL",PR!$AR151,IF(J153="NHP",PR!$AS151,IF(J153="NHC",PR!$AT151,IF(J153="OLEAF",PR!$AU151,IF(J153="OCULUS",PR!$AV151,IF(J153="PACIFIC",PR!$AW151,IF(J153="PHAMATEX",PR!$AX151,IF(J153="PETHICS",PR!$AY151,IF(J153="PHILIPS",PR!$AZ151,IF(J153="RANBAXY",PR!$BA151,IF(J153="REALS",PR!$BB151,IF(J153="ROYAL",PR!$BC151,IF(J153="SAM",PR!$BD151,IF(J153="SEAGREEN",PR!$BE151,IF(J153="SKG",PR!$BF151,IF(J153="TAH",PR!$BG151,IF(J153="TAYLEK",PR!$BH151,IF(J153="TEMITA",PR!$BI151,IF(J153="THL",PR!$BJ151,IF(J153="UBASTIC",PR!$BK151,IF(J153="UNION",PR!$BL151,IF(J153="UNIQUE",PR!$BM151,IF(J153="VIXA",PR!$BN151,IF(J153="WWCV",PR!$BO151,IF(J153="ZOLON",PR!$BP151,"-"))))))))))))))))))))))))))))))))))))))))))))))))))))))))))))))))</f>
        <v>2942.2222222222222</v>
      </c>
      <c r="J153" s="102" t="str">
        <f>EV!N197</f>
        <v>TAYLEK</v>
      </c>
      <c r="K153" s="433" t="s">
        <v>615</v>
      </c>
      <c r="L153" s="183">
        <f>IF(K153&gt;0,IF(K153="ALPHA",PR!$E151,IF(K153="ASSENE",PR!$F151,IF(K153="BIOFEM",PR!$G151,IF(K153="BIOMED",PR!$H151,IF(K153="CHI",PR!$I151,IF(K153="CLARION",PR!$J151,IF(K153="CODIX",PR!$K151,IF(K153="COSMADE",PR!$L151,IF(K153="SANCON",PR!$M151,IF(K153="DEVON",PR!$N151,IF(K153="DORTEMAG",PR!$O151,IF(K153="DGF",PR!$P151,IF(K153="DYNAMIC",PR!$Q151,IF(K153="EMZOR",PR!$R151,IF(K153="EUMATT",PR!$S151,IF(K153="FIDSON",PR!$T151,IF(K153="FCGLOBAL",PR!$U151,IF(K153="GENEITH",PR!$V151,IF(K153="GINOS",PR!$W151,IF(K153="GSK",PR!$X151,IF(K153="GLOBORG",PR!$Y151,IF(K153="GOODNEWS",PR!$Z151,IF(K153="GREENLIFE",PR!$AA151,IF(K153="HLINE",PR!$AB151,IF(K153="ROTECH",PR!$AC151,IF(K153="ISN",PR!$AD151,IF(K153="JAWA",PR!$AE151,IF(K153="LAYO",PR!$AF151,IF(K153="LEADWAY",PR!$AG151,IF(K153="LHV",PR!$AH151,IF(K153="MANOLA",PR!$AI151,IF(K153="MARCSON",PR!$AJ151,IF(K153="M&amp;B",PR!$AK151,IF(K153="MTRUST",PR!$AL151,IF(K153="MWORLD",PR!$AM151,IF(K153="MEGA",PR!$AN151,IF(K153="MICRONOVA",PR!$AO151,IF(K153="MFLASH",PR!$AP151,IF(K153="MORISON",PR!$AQ151,IF(K153="NEMEL",PR!$AR151,IF(K153="NHP",PR!$AS151,IF(K153="NHC",PR!$AT151,IF(K153="OLEAF",PR!$AU151,IF(K153="OCULUS",PR!$AV151,IF(K153="PACIFIC",PR!$AW151,IF(K153="PHAMATEX",PR!$AX151,IF(K153="PETHICS",PR!$AY151,IF(K153="PHILIPS",PR!$AZ151,IF(K153="RANBAXY",PR!$BA151,IF(K153="REALS",PR!$BB151,IF(K153="ROYAL",PR!$BC151,IF(K153="SAM",PR!$BD151,IF(K153="SEAGREEN",PR!$BE151,IF(K153="SKG",PR!$BF151,IF(K153="TAH",PR!$BG151,IF(K153="TAYLEK",PR!$BH151,IF(K153="TEMITA",PR!$BI151,IF(K153="THL",PR!$BJ151,IF(K153="UBASTIC",PR!$BK151,IF(K153="UNION",PR!$BL151,IF(K153="UNIQUE",PR!$BM151,IF(K153="VIXA",PR!$BN151,IF(K153="WWCV",PR!$BO151,IF(K153="ZOLON",PR!$BP151,"-")))))))))))))))))))))))))))))))))))))))))))))))))))))))))))))))))</f>
        <v>2300</v>
      </c>
    </row>
    <row r="154" spans="1:12" ht="18.75" x14ac:dyDescent="0.3">
      <c r="A154" s="430">
        <f>PR!A152</f>
        <v>134</v>
      </c>
      <c r="B154" s="15" t="str">
        <f>PR!B152</f>
        <v>METFORMIN HCL 500MG TAB</v>
      </c>
      <c r="C154" s="113">
        <f>PR!D152</f>
        <v>100</v>
      </c>
      <c r="D154" s="113">
        <f>PR!C152</f>
        <v>2500</v>
      </c>
      <c r="E154" s="108">
        <f>IF(F154="ALPHA",PR!$E152,IF(F154="ASSENE",PR!$F152,IF(F154="BIOFEM",PR!$G152,IF(F154="BIOMED",PR!$H152,IF(F154="CHI",PR!$I152,IF(F154="CLARION",PR!$J152,IF(F154="CODIX",PR!$K152,IF(F154="COSMADE",PR!$L152,IF(F154="SANCON",PR!$M152,IF(F154="DEVON",PR!$N152,IF(F154="DORTEMAG",PR!$O152,IF(F154="DGF",PR!$P152,IF(F154="DYNAMIC",PR!$Q152,IF(F154="EMZOR",PR!$R152,IF(F154="EUMATT",PR!$S152,IF(F154="FIDSON",PR!$T152,IF(F154="FCGLOBAL",PR!$U152,IF(F154="GENEITH",PR!$V152,IF(F154="GINOS",PR!$W152,IF(F154="GSK",PR!$X152,IF(F154="GLOBORG",PR!$Y152,IF(F154="GOODNEWS",PR!$Z152,IF(F154="GREENLIFE",PR!$AA152,IF(F154="HLINE",PR!$AB152,IF(F154="ROTECH",PR!$AC152,IF(F154="ISN",PR!$AD152,IF(F154="JAWA",PR!$AE152,IF(F154="LAYO",PR!$AF152,IF(F154="LEADWAY",PR!$AG152,IF(F154="LHV",PR!$AH152,IF(F154="MANOLA",PR!$AI152,IF(F154="MARCSON",PR!$AJ152,IF(F154="M&amp;B",PR!$AK152,IF(F154="MTRUST",PR!$AL152,IF(F154="MWORLD",PR!$AM152,IF(F154="MEGA",PR!$AN152,IF(F154="MICRONOVA",PR!$AO152,IF(F154="MFLASH",PR!$AP152,IF(F154="MORISON",PR!$AQ152,IF(F154="NEMEL",PR!$AR152,IF(F154="NHP",PR!$AS152,IF(F154="NHC",PR!$AT152,IF(F154="OLEAF",PR!$AU152,IF(F154="OCULUS",PR!$AV152,IF(F154="PACIFIC",PR!$AW152,IF(F154="PHAMATEX",PR!$AX152,IF(F154="PETHICS",PR!$AY152,IF(F154="PHILIPS",PR!$AZ152,IF(F154="RANBAXY",PR!$BA152,IF(F154="REALS",PR!$BB152,IF(F154="ROYAL",PR!$BC152,IF(F154="SAM",PR!$BD152,IF(F154="SEAGREEN",PR!$BE152,IF(F154="SKG",PR!$BF152,IF(F154="TAH",PR!$BG152,IF(F154="TAYLEK",PR!$BH152,IF(F154="TEMITA",PR!$BI152,IF(F154="THL",PR!$BJ152,IF(F154="UBASTIC",PR!$BK152,IF(F154="UNION",PR!$BL152,IF(F154="UNIQUE",PR!$BM152,IF(F154="VIXA",PR!$BN152,IF(F154="WWCV",PR!$BO152,IF(F154="ZOLON",PR!$BP152,"-"))))))))))))))))))))))))))))))))))))))))))))))))))))))))))))))))</f>
        <v>380</v>
      </c>
      <c r="F154" s="102" t="str">
        <f>EV!L198</f>
        <v>EUMATT</v>
      </c>
      <c r="G154" s="108">
        <f>IF(H154="ALPHA",PR!$E152,IF(H154="ASSENE",PR!$F152,IF(H154="BIOFEM",PR!$G152,IF(H154="BIOMED",PR!$H152,IF(H154="CHI",PR!$I152,IF(H154="CLARION",PR!$J152,IF(H154="CODIX",PR!$K152,IF(H154="COSMADE",PR!$L152,IF(H154="SANCON",PR!$M152,IF(H154="DEVON",PR!$N152,IF(H154="DORTEMAG",PR!$O152,IF(H154="DGF",PR!$P152,IF(H154="DYNAMIC",PR!$Q152,IF(H154="EMZOR",PR!$R152,IF(H154="EUMATT",PR!$S152,IF(H154="FIDSON",PR!$T152,IF(H154="FCGLOBAL",PR!$U152,IF(H154="GENEITH",PR!$V152,IF(H154="GINOS",PR!$W152,IF(H154="GSK",PR!$X152,IF(H154="GLOBORG",PR!$Y152,IF(H154="GOODNEWS",PR!$Z152,IF(H154="GREENLIFE",PR!$AA152,IF(H154="HLINE",PR!$AB152,IF(H154="ROTECH",PR!$AC152,IF(H154="ISN",PR!$AD152,IF(H154="JAWA",PR!$AE152,IF(H154="LAYO",PR!$AF152,IF(H154="LEADWAY",PR!$AG152,IF(H154="LHV",PR!$AH152,IF(H154="MANOLA",PR!$AI152,IF(H154="MARCSON",PR!$AJ152,IF(H154="M&amp;B",PR!$AK152,IF(H154="MTRUST",PR!$AL152,IF(H154="MWORLD",PR!$AM152,IF(H154="MEGA",PR!$AN152,IF(H154="MICRONOVA",PR!$AO152,IF(H154="MFLASH",PR!$AP152,IF(H154="MORISON",PR!$AQ152,IF(H154="NEMEL",PR!$AR152,IF(H154="NHP",PR!$AS152,IF(H154="NHC",PR!$AT152,IF(H154="OLEAF",PR!$AU152,IF(H154="OCULUS",PR!$AV152,IF(H154="PACIFIC",PR!$AW152,IF(H154="PHAMATEX",PR!$AX152,IF(H154="PETHICS",PR!$AY152,IF(H154="PHILIPS",PR!$AZ152,IF(H154="RANBAXY",PR!$BA152,IF(H154="REALS",PR!$BB152,IF(H154="ROYAL",PR!$BC152,IF(H154="SAM",PR!$BD152,IF(H154="SEAGREEN",PR!$BE152,IF(H154="SKG",PR!$BF152,IF(H154="TAH",PR!$BG152,IF(H154="TAYLEK",PR!$BH152,IF(H154="TEMITA",PR!$BI152,IF(H154="THL",PR!$BJ152,IF(H154="UBASTIC",PR!$BK152,IF(H154="UNION",PR!$BL152,IF(H154="UNIQUE",PR!$BM152,IF(H154="VIXA",PR!$BN152,IF(H154="WWCV",PR!$BO152,IF(H154="ZOLON",PR!$BP152,"-"))))))))))))))))))))))))))))))))))))))))))))))))))))))))))))))))</f>
        <v>400</v>
      </c>
      <c r="H154" s="102" t="str">
        <f>EV!M198</f>
        <v>THL</v>
      </c>
      <c r="I154" s="108">
        <f>IF(J154="ALPHA",PR!$E152,IF(J154="ASSENE",PR!$F152,IF(J154="BIOFEM",PR!$G152,IF(J154="BIOMED",PR!$H152,IF(J154="CHI",PR!$I152,IF(J154="CLARION",PR!$J152,IF(J154="CODIX",PR!$K152,IF(J154="COSMADE",PR!$L152,IF(J154="SANCON",PR!$M152,IF(J154="DEVON",PR!$N152,IF(J154="DORTEMAG",PR!$O152,IF(J154="DGF",PR!$P152,IF(J154="DYNAMIC",PR!$Q152,IF(J154="EMZOR",PR!$R152,IF(J154="EUMATT",PR!$S152,IF(J154="FIDSON",PR!$T152,IF(J154="FCGLOBAL",PR!$U152,IF(J154="GENEITH",PR!$V152,IF(J154="GINOS",PR!$W152,IF(J154="GSK",PR!$X152,IF(J154="GLOBORG",PR!$Y152,IF(J154="GOODNEWS",PR!$Z152,IF(J154="GREENLIFE",PR!$AA152,IF(J154="HLINE",PR!$AB152,IF(J154="ROTECH",PR!$AC152,IF(J154="ISN",PR!$AD152,IF(J154="JAWA",PR!$AE152,IF(J154="LAYO",PR!$AF152,IF(J154="LEADWAY",PR!$AG152,IF(J154="LHV",PR!$AH152,IF(J154="MANOLA",PR!$AI152,IF(J154="MARCSON",PR!$AJ152,IF(J154="M&amp;B",PR!$AK152,IF(J154="MTRUST",PR!$AL152,IF(J154="MWORLD",PR!$AM152,IF(J154="MEGA",PR!$AN152,IF(J154="MICRONOVA",PR!$AO152,IF(J154="MFLASH",PR!$AP152,IF(J154="MORISON",PR!$AQ152,IF(J154="NEMEL",PR!$AR152,IF(J154="NHP",PR!$AS152,IF(J154="NHC",PR!$AT152,IF(J154="OLEAF",PR!$AU152,IF(J154="OCULUS",PR!$AV152,IF(J154="PACIFIC",PR!$AW152,IF(J154="PHAMATEX",PR!$AX152,IF(J154="PETHICS",PR!$AY152,IF(J154="PHILIPS",PR!$AZ152,IF(J154="RANBAXY",PR!$BA152,IF(J154="REALS",PR!$BB152,IF(J154="ROYAL",PR!$BC152,IF(J154="SAM",PR!$BD152,IF(J154="SEAGREEN",PR!$BE152,IF(J154="SKG",PR!$BF152,IF(J154="TAH",PR!$BG152,IF(J154="TAYLEK",PR!$BH152,IF(J154="TEMITA",PR!$BI152,IF(J154="THL",PR!$BJ152,IF(J154="UBASTIC",PR!$BK152,IF(J154="UNION",PR!$BL152,IF(J154="UNIQUE",PR!$BM152,IF(J154="VIXA",PR!$BN152,IF(J154="WWCV",PR!$BO152,IF(J154="ZOLON",PR!$BP152,"-"))))))))))))))))))))))))))))))))))))))))))))))))))))))))))))))))</f>
        <v>450</v>
      </c>
      <c r="J154" s="102" t="str">
        <f>EV!N198</f>
        <v>PHAMATEX</v>
      </c>
      <c r="K154" s="433" t="s">
        <v>2105</v>
      </c>
      <c r="L154" s="183" t="str">
        <f>IF(K154&gt;0,IF(K154="ALPHA",PR!$E152,IF(K154="ASSENE",PR!$F152,IF(K154="BIOFEM",PR!$G152,IF(K154="BIOMED",PR!$H152,IF(K154="CHI",PR!$I152,IF(K154="CLARION",PR!$J152,IF(K154="CODIX",PR!$K152,IF(K154="COSMADE",PR!$L152,IF(K154="SANCON",PR!$M152,IF(K154="DEVON",PR!$N152,IF(K154="DORTEMAG",PR!$O152,IF(K154="DGF",PR!$P152,IF(K154="DYNAMIC",PR!$Q152,IF(K154="EMZOR",PR!$R152,IF(K154="EUMATT",PR!$S152,IF(K154="FIDSON",PR!$T152,IF(K154="FCGLOBAL",PR!$U152,IF(K154="GENEITH",PR!$V152,IF(K154="GINOS",PR!$W152,IF(K154="GSK",PR!$X152,IF(K154="GLOBORG",PR!$Y152,IF(K154="GOODNEWS",PR!$Z152,IF(K154="GREENLIFE",PR!$AA152,IF(K154="HLINE",PR!$AB152,IF(K154="ROTECH",PR!$AC152,IF(K154="ISN",PR!$AD152,IF(K154="JAWA",PR!$AE152,IF(K154="LAYO",PR!$AF152,IF(K154="LEADWAY",PR!$AG152,IF(K154="LHV",PR!$AH152,IF(K154="MANOLA",PR!$AI152,IF(K154="MARCSON",PR!$AJ152,IF(K154="M&amp;B",PR!$AK152,IF(K154="MTRUST",PR!$AL152,IF(K154="MWORLD",PR!$AM152,IF(K154="MEGA",PR!$AN152,IF(K154="MICRONOVA",PR!$AO152,IF(K154="MFLASH",PR!$AP152,IF(K154="MORISON",PR!$AQ152,IF(K154="NEMEL",PR!$AR152,IF(K154="NHP",PR!$AS152,IF(K154="NHC",PR!$AT152,IF(K154="OLEAF",PR!$AU152,IF(K154="OCULUS",PR!$AV152,IF(K154="PACIFIC",PR!$AW152,IF(K154="PHAMATEX",PR!$AX152,IF(K154="PETHICS",PR!$AY152,IF(K154="PHILIPS",PR!$AZ152,IF(K154="RANBAXY",PR!$BA152,IF(K154="REALS",PR!$BB152,IF(K154="ROYAL",PR!$BC152,IF(K154="SAM",PR!$BD152,IF(K154="SEAGREEN",PR!$BE152,IF(K154="SKG",PR!$BF152,IF(K154="TAH",PR!$BG152,IF(K154="TAYLEK",PR!$BH152,IF(K154="TEMITA",PR!$BI152,IF(K154="THL",PR!$BJ152,IF(K154="UBASTIC",PR!$BK152,IF(K154="UNION",PR!$BL152,IF(K154="UNIQUE",PR!$BM152,IF(K154="VIXA",PR!$BN152,IF(K154="WWCV",PR!$BO152,IF(K154="ZOLON",PR!$BP152,"-")))))))))))))))))))))))))))))))))))))))))))))))))))))))))))))))))</f>
        <v>-</v>
      </c>
    </row>
    <row r="155" spans="1:12" ht="18.75" x14ac:dyDescent="0.3">
      <c r="A155" s="430">
        <f>PR!A153</f>
        <v>135</v>
      </c>
      <c r="B155" s="15" t="str">
        <f>PR!B153</f>
        <v>NOVOMIX INSULIN</v>
      </c>
      <c r="C155" s="113">
        <f>PR!D153</f>
        <v>5</v>
      </c>
      <c r="D155" s="113">
        <f>PR!C153</f>
        <v>80</v>
      </c>
      <c r="E155" s="108">
        <f>IF(F155="ALPHA",PR!$E153,IF(F155="ASSENE",PR!$F153,IF(F155="BIOFEM",PR!$G153,IF(F155="BIOMED",PR!$H153,IF(F155="CHI",PR!$I153,IF(F155="CLARION",PR!$J153,IF(F155="CODIX",PR!$K153,IF(F155="COSMADE",PR!$L153,IF(F155="SANCON",PR!$M153,IF(F155="DEVON",PR!$N153,IF(F155="DORTEMAG",PR!$O153,IF(F155="DGF",PR!$P153,IF(F155="DYNAMIC",PR!$Q153,IF(F155="EMZOR",PR!$R153,IF(F155="EUMATT",PR!$S153,IF(F155="FIDSON",PR!$T153,IF(F155="FCGLOBAL",PR!$U153,IF(F155="GENEITH",PR!$V153,IF(F155="GINOS",PR!$W153,IF(F155="GSK",PR!$X153,IF(F155="GLOBORG",PR!$Y153,IF(F155="GOODNEWS",PR!$Z153,IF(F155="GREENLIFE",PR!$AA153,IF(F155="HLINE",PR!$AB153,IF(F155="ROTECH",PR!$AC153,IF(F155="ISN",PR!$AD153,IF(F155="JAWA",PR!$AE153,IF(F155="LAYO",PR!$AF153,IF(F155="LEADWAY",PR!$AG153,IF(F155="LHV",PR!$AH153,IF(F155="MANOLA",PR!$AI153,IF(F155="MARCSON",PR!$AJ153,IF(F155="M&amp;B",PR!$AK153,IF(F155="MTRUST",PR!$AL153,IF(F155="MWORLD",PR!$AM153,IF(F155="MEGA",PR!$AN153,IF(F155="MICRONOVA",PR!$AO153,IF(F155="MFLASH",PR!$AP153,IF(F155="MORISON",PR!$AQ153,IF(F155="NEMEL",PR!$AR153,IF(F155="NHP",PR!$AS153,IF(F155="NHC",PR!$AT153,IF(F155="OLEAF",PR!$AU153,IF(F155="OCULUS",PR!$AV153,IF(F155="PACIFIC",PR!$AW153,IF(F155="PHAMATEX",PR!$AX153,IF(F155="PETHICS",PR!$AY153,IF(F155="PHILIPS",PR!$AZ153,IF(F155="RANBAXY",PR!$BA153,IF(F155="REALS",PR!$BB153,IF(F155="ROYAL",PR!$BC153,IF(F155="SAM",PR!$BD153,IF(F155="SEAGREEN",PR!$BE153,IF(F155="SKG",PR!$BF153,IF(F155="TAH",PR!$BG153,IF(F155="TAYLEK",PR!$BH153,IF(F155="TEMITA",PR!$BI153,IF(F155="THL",PR!$BJ153,IF(F155="UBASTIC",PR!$BK153,IF(F155="UNION",PR!$BL153,IF(F155="UNIQUE",PR!$BM153,IF(F155="VIXA",PR!$BN153,IF(F155="WWCV",PR!$BO153,IF(F155="ZOLON",PR!$BP153,"-"))))))))))))))))))))))))))))))))))))))))))))))))))))))))))))))))</f>
        <v>16524</v>
      </c>
      <c r="F155" s="102" t="str">
        <f>EV!L199</f>
        <v>WWCV</v>
      </c>
      <c r="G155" s="108">
        <f>IF(H155="ALPHA",PR!$E153,IF(H155="ASSENE",PR!$F153,IF(H155="BIOFEM",PR!$G153,IF(H155="BIOMED",PR!$H153,IF(H155="CHI",PR!$I153,IF(H155="CLARION",PR!$J153,IF(H155="CODIX",PR!$K153,IF(H155="COSMADE",PR!$L153,IF(H155="SANCON",PR!$M153,IF(H155="DEVON",PR!$N153,IF(H155="DORTEMAG",PR!$O153,IF(H155="DGF",PR!$P153,IF(H155="DYNAMIC",PR!$Q153,IF(H155="EMZOR",PR!$R153,IF(H155="EUMATT",PR!$S153,IF(H155="FIDSON",PR!$T153,IF(H155="FCGLOBAL",PR!$U153,IF(H155="GENEITH",PR!$V153,IF(H155="GINOS",PR!$W153,IF(H155="GSK",PR!$X153,IF(H155="GLOBORG",PR!$Y153,IF(H155="GOODNEWS",PR!$Z153,IF(H155="GREENLIFE",PR!$AA153,IF(H155="HLINE",PR!$AB153,IF(H155="ROTECH",PR!$AC153,IF(H155="ISN",PR!$AD153,IF(H155="JAWA",PR!$AE153,IF(H155="LAYO",PR!$AF153,IF(H155="LEADWAY",PR!$AG153,IF(H155="LHV",PR!$AH153,IF(H155="MANOLA",PR!$AI153,IF(H155="MARCSON",PR!$AJ153,IF(H155="M&amp;B",PR!$AK153,IF(H155="MTRUST",PR!$AL153,IF(H155="MWORLD",PR!$AM153,IF(H155="MEGA",PR!$AN153,IF(H155="MICRONOVA",PR!$AO153,IF(H155="MFLASH",PR!$AP153,IF(H155="MORISON",PR!$AQ153,IF(H155="NEMEL",PR!$AR153,IF(H155="NHP",PR!$AS153,IF(H155="NHC",PR!$AT153,IF(H155="OLEAF",PR!$AU153,IF(H155="OCULUS",PR!$AV153,IF(H155="PACIFIC",PR!$AW153,IF(H155="PHAMATEX",PR!$AX153,IF(H155="PETHICS",PR!$AY153,IF(H155="PHILIPS",PR!$AZ153,IF(H155="RANBAXY",PR!$BA153,IF(H155="REALS",PR!$BB153,IF(H155="ROYAL",PR!$BC153,IF(H155="SAM",PR!$BD153,IF(H155="SEAGREEN",PR!$BE153,IF(H155="SKG",PR!$BF153,IF(H155="TAH",PR!$BG153,IF(H155="TAYLEK",PR!$BH153,IF(H155="TEMITA",PR!$BI153,IF(H155="THL",PR!$BJ153,IF(H155="UBASTIC",PR!$BK153,IF(H155="UNION",PR!$BL153,IF(H155="UNIQUE",PR!$BM153,IF(H155="VIXA",PR!$BN153,IF(H155="WWCV",PR!$BO153,IF(H155="ZOLON",PR!$BP153,"-"))))))))))))))))))))))))))))))))))))))))))))))))))))))))))))))))</f>
        <v>20000</v>
      </c>
      <c r="H155" s="102" t="str">
        <f>EV!M199</f>
        <v>EUMATT</v>
      </c>
      <c r="I155" s="108" t="str">
        <f>IF(J155="ALPHA",PR!$E153,IF(J155="ASSENE",PR!$F153,IF(J155="BIOFEM",PR!$G153,IF(J155="BIOMED",PR!$H153,IF(J155="CHI",PR!$I153,IF(J155="CLARION",PR!$J153,IF(J155="CODIX",PR!$K153,IF(J155="COSMADE",PR!$L153,IF(J155="SANCON",PR!$M153,IF(J155="DEVON",PR!$N153,IF(J155="DORTEMAG",PR!$O153,IF(J155="DGF",PR!$P153,IF(J155="DYNAMIC",PR!$Q153,IF(J155="EMZOR",PR!$R153,IF(J155="EUMATT",PR!$S153,IF(J155="FIDSON",PR!$T153,IF(J155="FCGLOBAL",PR!$U153,IF(J155="GENEITH",PR!$V153,IF(J155="GINOS",PR!$W153,IF(J155="GSK",PR!$X153,IF(J155="GLOBORG",PR!$Y153,IF(J155="GOODNEWS",PR!$Z153,IF(J155="GREENLIFE",PR!$AA153,IF(J155="HLINE",PR!$AB153,IF(J155="ROTECH",PR!$AC153,IF(J155="ISN",PR!$AD153,IF(J155="JAWA",PR!$AE153,IF(J155="LAYO",PR!$AF153,IF(J155="LEADWAY",PR!$AG153,IF(J155="LHV",PR!$AH153,IF(J155="MANOLA",PR!$AI153,IF(J155="MARCSON",PR!$AJ153,IF(J155="M&amp;B",PR!$AK153,IF(J155="MTRUST",PR!$AL153,IF(J155="MWORLD",PR!$AM153,IF(J155="MEGA",PR!$AN153,IF(J155="MICRONOVA",PR!$AO153,IF(J155="MFLASH",PR!$AP153,IF(J155="MORISON",PR!$AQ153,IF(J155="NEMEL",PR!$AR153,IF(J155="NHP",PR!$AS153,IF(J155="NHC",PR!$AT153,IF(J155="OLEAF",PR!$AU153,IF(J155="OCULUS",PR!$AV153,IF(J155="PACIFIC",PR!$AW153,IF(J155="PHAMATEX",PR!$AX153,IF(J155="PETHICS",PR!$AY153,IF(J155="PHILIPS",PR!$AZ153,IF(J155="RANBAXY",PR!$BA153,IF(J155="REALS",PR!$BB153,IF(J155="ROYAL",PR!$BC153,IF(J155="SAM",PR!$BD153,IF(J155="SEAGREEN",PR!$BE153,IF(J155="SKG",PR!$BF153,IF(J155="TAH",PR!$BG153,IF(J155="TAYLEK",PR!$BH153,IF(J155="TEMITA",PR!$BI153,IF(J155="THL",PR!$BJ153,IF(J155="UBASTIC",PR!$BK153,IF(J155="UNION",PR!$BL153,IF(J155="UNIQUE",PR!$BM153,IF(J155="VIXA",PR!$BN153,IF(J155="WWCV",PR!$BO153,IF(J155="ZOLON",PR!$BP153,"-"))))))))))))))))))))))))))))))))))))))))))))))))))))))))))))))))</f>
        <v>-</v>
      </c>
      <c r="J155" s="102">
        <f>EV!N199</f>
        <v>0</v>
      </c>
      <c r="K155" s="433" t="s">
        <v>1231</v>
      </c>
      <c r="L155" s="183">
        <f>IF(K155&gt;0,IF(K155="ALPHA",PR!$E153,IF(K155="ASSENE",PR!$F153,IF(K155="BIOFEM",PR!$G153,IF(K155="BIOMED",PR!$H153,IF(K155="CHI",PR!$I153,IF(K155="CLARION",PR!$J153,IF(K155="CODIX",PR!$K153,IF(K155="COSMADE",PR!$L153,IF(K155="SANCON",PR!$M153,IF(K155="DEVON",PR!$N153,IF(K155="DORTEMAG",PR!$O153,IF(K155="DGF",PR!$P153,IF(K155="DYNAMIC",PR!$Q153,IF(K155="EMZOR",PR!$R153,IF(K155="EUMATT",PR!$S153,IF(K155="FIDSON",PR!$T153,IF(K155="FCGLOBAL",PR!$U153,IF(K155="GENEITH",PR!$V153,IF(K155="GINOS",PR!$W153,IF(K155="GSK",PR!$X153,IF(K155="GLOBORG",PR!$Y153,IF(K155="GOODNEWS",PR!$Z153,IF(K155="GREENLIFE",PR!$AA153,IF(K155="HLINE",PR!$AB153,IF(K155="ROTECH",PR!$AC153,IF(K155="ISN",PR!$AD153,IF(K155="JAWA",PR!$AE153,IF(K155="LAYO",PR!$AF153,IF(K155="LEADWAY",PR!$AG153,IF(K155="LHV",PR!$AH153,IF(K155="MANOLA",PR!$AI153,IF(K155="MARCSON",PR!$AJ153,IF(K155="M&amp;B",PR!$AK153,IF(K155="MTRUST",PR!$AL153,IF(K155="MWORLD",PR!$AM153,IF(K155="MEGA",PR!$AN153,IF(K155="MICRONOVA",PR!$AO153,IF(K155="MFLASH",PR!$AP153,IF(K155="MORISON",PR!$AQ153,IF(K155="NEMEL",PR!$AR153,IF(K155="NHP",PR!$AS153,IF(K155="NHC",PR!$AT153,IF(K155="OLEAF",PR!$AU153,IF(K155="OCULUS",PR!$AV153,IF(K155="PACIFIC",PR!$AW153,IF(K155="PHAMATEX",PR!$AX153,IF(K155="PETHICS",PR!$AY153,IF(K155="PHILIPS",PR!$AZ153,IF(K155="RANBAXY",PR!$BA153,IF(K155="REALS",PR!$BB153,IF(K155="ROYAL",PR!$BC153,IF(K155="SAM",PR!$BD153,IF(K155="SEAGREEN",PR!$BE153,IF(K155="SKG",PR!$BF153,IF(K155="TAH",PR!$BG153,IF(K155="TAYLEK",PR!$BH153,IF(K155="TEMITA",PR!$BI153,IF(K155="THL",PR!$BJ153,IF(K155="UBASTIC",PR!$BK153,IF(K155="UNION",PR!$BL153,IF(K155="UNIQUE",PR!$BM153,IF(K155="VIXA",PR!$BN153,IF(K155="WWCV",PR!$BO153,IF(K155="ZOLON",PR!$BP153,"-")))))))))))))))))))))))))))))))))))))))))))))))))))))))))))))))))</f>
        <v>16524</v>
      </c>
    </row>
    <row r="156" spans="1:12" ht="18.75" x14ac:dyDescent="0.3">
      <c r="A156" s="430">
        <f>PR!A154</f>
        <v>136</v>
      </c>
      <c r="B156" s="15" t="str">
        <f>PR!B154</f>
        <v>PIOGLITAZONE 30MG</v>
      </c>
      <c r="C156" s="113">
        <f>PR!D154</f>
        <v>30</v>
      </c>
      <c r="D156" s="113">
        <f>PR!C154</f>
        <v>10</v>
      </c>
      <c r="E156" s="108">
        <f>IF(F156="ALPHA",PR!$E154,IF(F156="ASSENE",PR!$F154,IF(F156="BIOFEM",PR!$G154,IF(F156="BIOMED",PR!$H154,IF(F156="CHI",PR!$I154,IF(F156="CLARION",PR!$J154,IF(F156="CODIX",PR!$K154,IF(F156="COSMADE",PR!$L154,IF(F156="SANCON",PR!$M154,IF(F156="DEVON",PR!$N154,IF(F156="DORTEMAG",PR!$O154,IF(F156="DGF",PR!$P154,IF(F156="DYNAMIC",PR!$Q154,IF(F156="EMZOR",PR!$R154,IF(F156="EUMATT",PR!$S154,IF(F156="FIDSON",PR!$T154,IF(F156="FCGLOBAL",PR!$U154,IF(F156="GENEITH",PR!$V154,IF(F156="GINOS",PR!$W154,IF(F156="GSK",PR!$X154,IF(F156="GLOBORG",PR!$Y154,IF(F156="GOODNEWS",PR!$Z154,IF(F156="GREENLIFE",PR!$AA154,IF(F156="HLINE",PR!$AB154,IF(F156="ROTECH",PR!$AC154,IF(F156="ISN",PR!$AD154,IF(F156="JAWA",PR!$AE154,IF(F156="LAYO",PR!$AF154,IF(F156="LEADWAY",PR!$AG154,IF(F156="LHV",PR!$AH154,IF(F156="MANOLA",PR!$AI154,IF(F156="MARCSON",PR!$AJ154,IF(F156="M&amp;B",PR!$AK154,IF(F156="MTRUST",PR!$AL154,IF(F156="MWORLD",PR!$AM154,IF(F156="MEGA",PR!$AN154,IF(F156="MICRONOVA",PR!$AO154,IF(F156="MFLASH",PR!$AP154,IF(F156="MORISON",PR!$AQ154,IF(F156="NEMEL",PR!$AR154,IF(F156="NHP",PR!$AS154,IF(F156="NHC",PR!$AT154,IF(F156="OLEAF",PR!$AU154,IF(F156="OCULUS",PR!$AV154,IF(F156="PACIFIC",PR!$AW154,IF(F156="PHAMATEX",PR!$AX154,IF(F156="PETHICS",PR!$AY154,IF(F156="PHILIPS",PR!$AZ154,IF(F156="RANBAXY",PR!$BA154,IF(F156="REALS",PR!$BB154,IF(F156="ROYAL",PR!$BC154,IF(F156="SAM",PR!$BD154,IF(F156="SEAGREEN",PR!$BE154,IF(F156="SKG",PR!$BF154,IF(F156="TAH",PR!$BG154,IF(F156="TAYLEK",PR!$BH154,IF(F156="TEMITA",PR!$BI154,IF(F156="THL",PR!$BJ154,IF(F156="UBASTIC",PR!$BK154,IF(F156="UNION",PR!$BL154,IF(F156="UNIQUE",PR!$BM154,IF(F156="VIXA",PR!$BN154,IF(F156="WWCV",PR!$BO154,IF(F156="ZOLON",PR!$BP154,"-"))))))))))))))))))))))))))))))))))))))))))))))))))))))))))))))))</f>
        <v>2095</v>
      </c>
      <c r="F156" s="102" t="str">
        <f>EV!L200</f>
        <v>MICRONOVA</v>
      </c>
      <c r="G156" s="108" t="str">
        <f>IF(H156="ALPHA",PR!$E154,IF(H156="ASSENE",PR!$F154,IF(H156="BIOFEM",PR!$G154,IF(H156="BIOMED",PR!$H154,IF(H156="CHI",PR!$I154,IF(H156="CLARION",PR!$J154,IF(H156="CODIX",PR!$K154,IF(H156="COSMADE",PR!$L154,IF(H156="SANCON",PR!$M154,IF(H156="DEVON",PR!$N154,IF(H156="DORTEMAG",PR!$O154,IF(H156="DGF",PR!$P154,IF(H156="DYNAMIC",PR!$Q154,IF(H156="EMZOR",PR!$R154,IF(H156="EUMATT",PR!$S154,IF(H156="FIDSON",PR!$T154,IF(H156="FCGLOBAL",PR!$U154,IF(H156="GENEITH",PR!$V154,IF(H156="GINOS",PR!$W154,IF(H156="GSK",PR!$X154,IF(H156="GLOBORG",PR!$Y154,IF(H156="GOODNEWS",PR!$Z154,IF(H156="GREENLIFE",PR!$AA154,IF(H156="HLINE",PR!$AB154,IF(H156="ROTECH",PR!$AC154,IF(H156="ISN",PR!$AD154,IF(H156="JAWA",PR!$AE154,IF(H156="LAYO",PR!$AF154,IF(H156="LEADWAY",PR!$AG154,IF(H156="LHV",PR!$AH154,IF(H156="MANOLA",PR!$AI154,IF(H156="MARCSON",PR!$AJ154,IF(H156="M&amp;B",PR!$AK154,IF(H156="MTRUST",PR!$AL154,IF(H156="MWORLD",PR!$AM154,IF(H156="MEGA",PR!$AN154,IF(H156="MICRONOVA",PR!$AO154,IF(H156="MFLASH",PR!$AP154,IF(H156="MORISON",PR!$AQ154,IF(H156="NEMEL",PR!$AR154,IF(H156="NHP",PR!$AS154,IF(H156="NHC",PR!$AT154,IF(H156="OLEAF",PR!$AU154,IF(H156="OCULUS",PR!$AV154,IF(H156="PACIFIC",PR!$AW154,IF(H156="PHAMATEX",PR!$AX154,IF(H156="PETHICS",PR!$AY154,IF(H156="PHILIPS",PR!$AZ154,IF(H156="RANBAXY",PR!$BA154,IF(H156="REALS",PR!$BB154,IF(H156="ROYAL",PR!$BC154,IF(H156="SAM",PR!$BD154,IF(H156="SEAGREEN",PR!$BE154,IF(H156="SKG",PR!$BF154,IF(H156="TAH",PR!$BG154,IF(H156="TAYLEK",PR!$BH154,IF(H156="TEMITA",PR!$BI154,IF(H156="THL",PR!$BJ154,IF(H156="UBASTIC",PR!$BK154,IF(H156="UNION",PR!$BL154,IF(H156="UNIQUE",PR!$BM154,IF(H156="VIXA",PR!$BN154,IF(H156="WWCV",PR!$BO154,IF(H156="ZOLON",PR!$BP154,"-"))))))))))))))))))))))))))))))))))))))))))))))))))))))))))))))))</f>
        <v>-</v>
      </c>
      <c r="H156" s="102">
        <f>EV!M200</f>
        <v>0</v>
      </c>
      <c r="I156" s="108" t="str">
        <f>IF(J156="ALPHA",PR!$E154,IF(J156="ASSENE",PR!$F154,IF(J156="BIOFEM",PR!$G154,IF(J156="BIOMED",PR!$H154,IF(J156="CHI",PR!$I154,IF(J156="CLARION",PR!$J154,IF(J156="CODIX",PR!$K154,IF(J156="COSMADE",PR!$L154,IF(J156="SANCON",PR!$M154,IF(J156="DEVON",PR!$N154,IF(J156="DORTEMAG",PR!$O154,IF(J156="DGF",PR!$P154,IF(J156="DYNAMIC",PR!$Q154,IF(J156="EMZOR",PR!$R154,IF(J156="EUMATT",PR!$S154,IF(J156="FIDSON",PR!$T154,IF(J156="FCGLOBAL",PR!$U154,IF(J156="GENEITH",PR!$V154,IF(J156="GINOS",PR!$W154,IF(J156="GSK",PR!$X154,IF(J156="GLOBORG",PR!$Y154,IF(J156="GOODNEWS",PR!$Z154,IF(J156="GREENLIFE",PR!$AA154,IF(J156="HLINE",PR!$AB154,IF(J156="ROTECH",PR!$AC154,IF(J156="ISN",PR!$AD154,IF(J156="JAWA",PR!$AE154,IF(J156="LAYO",PR!$AF154,IF(J156="LEADWAY",PR!$AG154,IF(J156="LHV",PR!$AH154,IF(J156="MANOLA",PR!$AI154,IF(J156="MARCSON",PR!$AJ154,IF(J156="M&amp;B",PR!$AK154,IF(J156="MTRUST",PR!$AL154,IF(J156="MWORLD",PR!$AM154,IF(J156="MEGA",PR!$AN154,IF(J156="MICRONOVA",PR!$AO154,IF(J156="MFLASH",PR!$AP154,IF(J156="MORISON",PR!$AQ154,IF(J156="NEMEL",PR!$AR154,IF(J156="NHP",PR!$AS154,IF(J156="NHC",PR!$AT154,IF(J156="OLEAF",PR!$AU154,IF(J156="OCULUS",PR!$AV154,IF(J156="PACIFIC",PR!$AW154,IF(J156="PHAMATEX",PR!$AX154,IF(J156="PETHICS",PR!$AY154,IF(J156="PHILIPS",PR!$AZ154,IF(J156="RANBAXY",PR!$BA154,IF(J156="REALS",PR!$BB154,IF(J156="ROYAL",PR!$BC154,IF(J156="SAM",PR!$BD154,IF(J156="SEAGREEN",PR!$BE154,IF(J156="SKG",PR!$BF154,IF(J156="TAH",PR!$BG154,IF(J156="TAYLEK",PR!$BH154,IF(J156="TEMITA",PR!$BI154,IF(J156="THL",PR!$BJ154,IF(J156="UBASTIC",PR!$BK154,IF(J156="UNION",PR!$BL154,IF(J156="UNIQUE",PR!$BM154,IF(J156="VIXA",PR!$BN154,IF(J156="WWCV",PR!$BO154,IF(J156="ZOLON",PR!$BP154,"-"))))))))))))))))))))))))))))))))))))))))))))))))))))))))))))))))</f>
        <v>-</v>
      </c>
      <c r="J156" s="102">
        <f>EV!N200</f>
        <v>0</v>
      </c>
      <c r="K156" s="433" t="s">
        <v>632</v>
      </c>
      <c r="L156" s="183">
        <f>IF(K156&gt;0,IF(K156="ALPHA",PR!$E154,IF(K156="ASSENE",PR!$F154,IF(K156="BIOFEM",PR!$G154,IF(K156="BIOMED",PR!$H154,IF(K156="CHI",PR!$I154,IF(K156="CLARION",PR!$J154,IF(K156="CODIX",PR!$K154,IF(K156="COSMADE",PR!$L154,IF(K156="SANCON",PR!$M154,IF(K156="DEVON",PR!$N154,IF(K156="DORTEMAG",PR!$O154,IF(K156="DGF",PR!$P154,IF(K156="DYNAMIC",PR!$Q154,IF(K156="EMZOR",PR!$R154,IF(K156="EUMATT",PR!$S154,IF(K156="FIDSON",PR!$T154,IF(K156="FCGLOBAL",PR!$U154,IF(K156="GENEITH",PR!$V154,IF(K156="GINOS",PR!$W154,IF(K156="GSK",PR!$X154,IF(K156="GLOBORG",PR!$Y154,IF(K156="GOODNEWS",PR!$Z154,IF(K156="GREENLIFE",PR!$AA154,IF(K156="HLINE",PR!$AB154,IF(K156="ROTECH",PR!$AC154,IF(K156="ISN",PR!$AD154,IF(K156="JAWA",PR!$AE154,IF(K156="LAYO",PR!$AF154,IF(K156="LEADWAY",PR!$AG154,IF(K156="LHV",PR!$AH154,IF(K156="MANOLA",PR!$AI154,IF(K156="MARCSON",PR!$AJ154,IF(K156="M&amp;B",PR!$AK154,IF(K156="MTRUST",PR!$AL154,IF(K156="MWORLD",PR!$AM154,IF(K156="MEGA",PR!$AN154,IF(K156="MICRONOVA",PR!$AO154,IF(K156="MFLASH",PR!$AP154,IF(K156="MORISON",PR!$AQ154,IF(K156="NEMEL",PR!$AR154,IF(K156="NHP",PR!$AS154,IF(K156="NHC",PR!$AT154,IF(K156="OLEAF",PR!$AU154,IF(K156="OCULUS",PR!$AV154,IF(K156="PACIFIC",PR!$AW154,IF(K156="PHAMATEX",PR!$AX154,IF(K156="PETHICS",PR!$AY154,IF(K156="PHILIPS",PR!$AZ154,IF(K156="RANBAXY",PR!$BA154,IF(K156="REALS",PR!$BB154,IF(K156="ROYAL",PR!$BC154,IF(K156="SAM",PR!$BD154,IF(K156="SEAGREEN",PR!$BE154,IF(K156="SKG",PR!$BF154,IF(K156="TAH",PR!$BG154,IF(K156="TAYLEK",PR!$BH154,IF(K156="TEMITA",PR!$BI154,IF(K156="THL",PR!$BJ154,IF(K156="UBASTIC",PR!$BK154,IF(K156="UNION",PR!$BL154,IF(K156="UNIQUE",PR!$BM154,IF(K156="VIXA",PR!$BN154,IF(K156="WWCV",PR!$BO154,IF(K156="ZOLON",PR!$BP154,"-")))))))))))))))))))))))))))))))))))))))))))))))))))))))))))))))))</f>
        <v>2095</v>
      </c>
    </row>
    <row r="157" spans="1:12" ht="18.75" x14ac:dyDescent="0.3">
      <c r="A157" s="430">
        <f>PR!A155</f>
        <v>137</v>
      </c>
      <c r="B157" s="15" t="str">
        <f>PR!B155</f>
        <v>SOLUBLE INSULIN FLEX-PEN</v>
      </c>
      <c r="C157" s="113">
        <f>PR!D155</f>
        <v>5</v>
      </c>
      <c r="D157" s="113">
        <f>PR!C155</f>
        <v>100</v>
      </c>
      <c r="E157" s="108">
        <f>IF(F157="ALPHA",PR!$E155,IF(F157="ASSENE",PR!$F155,IF(F157="BIOFEM",PR!$G155,IF(F157="BIOMED",PR!$H155,IF(F157="CHI",PR!$I155,IF(F157="CLARION",PR!$J155,IF(F157="CODIX",PR!$K155,IF(F157="COSMADE",PR!$L155,IF(F157="SANCON",PR!$M155,IF(F157="DEVON",PR!$N155,IF(F157="DORTEMAG",PR!$O155,IF(F157="DGF",PR!$P155,IF(F157="DYNAMIC",PR!$Q155,IF(F157="EMZOR",PR!$R155,IF(F157="EUMATT",PR!$S155,IF(F157="FIDSON",PR!$T155,IF(F157="FCGLOBAL",PR!$U155,IF(F157="GENEITH",PR!$V155,IF(F157="GINOS",PR!$W155,IF(F157="GSK",PR!$X155,IF(F157="GLOBORG",PR!$Y155,IF(F157="GOODNEWS",PR!$Z155,IF(F157="GREENLIFE",PR!$AA155,IF(F157="HLINE",PR!$AB155,IF(F157="ROTECH",PR!$AC155,IF(F157="ISN",PR!$AD155,IF(F157="JAWA",PR!$AE155,IF(F157="LAYO",PR!$AF155,IF(F157="LEADWAY",PR!$AG155,IF(F157="LHV",PR!$AH155,IF(F157="MANOLA",PR!$AI155,IF(F157="MARCSON",PR!$AJ155,IF(F157="M&amp;B",PR!$AK155,IF(F157="MTRUST",PR!$AL155,IF(F157="MWORLD",PR!$AM155,IF(F157="MEGA",PR!$AN155,IF(F157="MICRONOVA",PR!$AO155,IF(F157="MFLASH",PR!$AP155,IF(F157="MORISON",PR!$AQ155,IF(F157="NEMEL",PR!$AR155,IF(F157="NHP",PR!$AS155,IF(F157="NHC",PR!$AT155,IF(F157="OLEAF",PR!$AU155,IF(F157="OCULUS",PR!$AV155,IF(F157="PACIFIC",PR!$AW155,IF(F157="PHAMATEX",PR!$AX155,IF(F157="PETHICS",PR!$AY155,IF(F157="PHILIPS",PR!$AZ155,IF(F157="RANBAXY",PR!$BA155,IF(F157="REALS",PR!$BB155,IF(F157="ROYAL",PR!$BC155,IF(F157="SAM",PR!$BD155,IF(F157="SEAGREEN",PR!$BE155,IF(F157="SKG",PR!$BF155,IF(F157="TAH",PR!$BG155,IF(F157="TAYLEK",PR!$BH155,IF(F157="TEMITA",PR!$BI155,IF(F157="THL",PR!$BJ155,IF(F157="UBASTIC",PR!$BK155,IF(F157="UNION",PR!$BL155,IF(F157="UNIQUE",PR!$BM155,IF(F157="VIXA",PR!$BN155,IF(F157="WWCV",PR!$BO155,IF(F157="ZOLON",PR!$BP155,"-"))))))))))))))))))))))))))))))))))))))))))))))))))))))))))))))))</f>
        <v>8160</v>
      </c>
      <c r="F157" s="102" t="str">
        <f>EV!L201</f>
        <v>WWCV</v>
      </c>
      <c r="G157" s="108" t="str">
        <f>IF(H157="ALPHA",PR!$E155,IF(H157="ASSENE",PR!$F155,IF(H157="BIOFEM",PR!$G155,IF(H157="BIOMED",PR!$H155,IF(H157="CHI",PR!$I155,IF(H157="CLARION",PR!$J155,IF(H157="CODIX",PR!$K155,IF(H157="COSMADE",PR!$L155,IF(H157="SANCON",PR!$M155,IF(H157="DEVON",PR!$N155,IF(H157="DORTEMAG",PR!$O155,IF(H157="DGF",PR!$P155,IF(H157="DYNAMIC",PR!$Q155,IF(H157="EMZOR",PR!$R155,IF(H157="EUMATT",PR!$S155,IF(H157="FIDSON",PR!$T155,IF(H157="FCGLOBAL",PR!$U155,IF(H157="GENEITH",PR!$V155,IF(H157="GINOS",PR!$W155,IF(H157="GSK",PR!$X155,IF(H157="GLOBORG",PR!$Y155,IF(H157="GOODNEWS",PR!$Z155,IF(H157="GREENLIFE",PR!$AA155,IF(H157="HLINE",PR!$AB155,IF(H157="ROTECH",PR!$AC155,IF(H157="ISN",PR!$AD155,IF(H157="JAWA",PR!$AE155,IF(H157="LAYO",PR!$AF155,IF(H157="LEADWAY",PR!$AG155,IF(H157="LHV",PR!$AH155,IF(H157="MANOLA",PR!$AI155,IF(H157="MARCSON",PR!$AJ155,IF(H157="M&amp;B",PR!$AK155,IF(H157="MTRUST",PR!$AL155,IF(H157="MWORLD",PR!$AM155,IF(H157="MEGA",PR!$AN155,IF(H157="MICRONOVA",PR!$AO155,IF(H157="MFLASH",PR!$AP155,IF(H157="MORISON",PR!$AQ155,IF(H157="NEMEL",PR!$AR155,IF(H157="NHP",PR!$AS155,IF(H157="NHC",PR!$AT155,IF(H157="OLEAF",PR!$AU155,IF(H157="OCULUS",PR!$AV155,IF(H157="PACIFIC",PR!$AW155,IF(H157="PHAMATEX",PR!$AX155,IF(H157="PETHICS",PR!$AY155,IF(H157="PHILIPS",PR!$AZ155,IF(H157="RANBAXY",PR!$BA155,IF(H157="REALS",PR!$BB155,IF(H157="ROYAL",PR!$BC155,IF(H157="SAM",PR!$BD155,IF(H157="SEAGREEN",PR!$BE155,IF(H157="SKG",PR!$BF155,IF(H157="TAH",PR!$BG155,IF(H157="TAYLEK",PR!$BH155,IF(H157="TEMITA",PR!$BI155,IF(H157="THL",PR!$BJ155,IF(H157="UBASTIC",PR!$BK155,IF(H157="UNION",PR!$BL155,IF(H157="UNIQUE",PR!$BM155,IF(H157="VIXA",PR!$BN155,IF(H157="WWCV",PR!$BO155,IF(H157="ZOLON",PR!$BP155,"-"))))))))))))))))))))))))))))))))))))))))))))))))))))))))))))))))</f>
        <v>-</v>
      </c>
      <c r="H157" s="102">
        <f>EV!M201</f>
        <v>0</v>
      </c>
      <c r="I157" s="108" t="str">
        <f>IF(J157="ALPHA",PR!$E155,IF(J157="ASSENE",PR!$F155,IF(J157="BIOFEM",PR!$G155,IF(J157="BIOMED",PR!$H155,IF(J157="CHI",PR!$I155,IF(J157="CLARION",PR!$J155,IF(J157="CODIX",PR!$K155,IF(J157="COSMADE",PR!$L155,IF(J157="SANCON",PR!$M155,IF(J157="DEVON",PR!$N155,IF(J157="DORTEMAG",PR!$O155,IF(J157="DGF",PR!$P155,IF(J157="DYNAMIC",PR!$Q155,IF(J157="EMZOR",PR!$R155,IF(J157="EUMATT",PR!$S155,IF(J157="FIDSON",PR!$T155,IF(J157="FCGLOBAL",PR!$U155,IF(J157="GENEITH",PR!$V155,IF(J157="GINOS",PR!$W155,IF(J157="GSK",PR!$X155,IF(J157="GLOBORG",PR!$Y155,IF(J157="GOODNEWS",PR!$Z155,IF(J157="GREENLIFE",PR!$AA155,IF(J157="HLINE",PR!$AB155,IF(J157="ROTECH",PR!$AC155,IF(J157="ISN",PR!$AD155,IF(J157="JAWA",PR!$AE155,IF(J157="LAYO",PR!$AF155,IF(J157="LEADWAY",PR!$AG155,IF(J157="LHV",PR!$AH155,IF(J157="MANOLA",PR!$AI155,IF(J157="MARCSON",PR!$AJ155,IF(J157="M&amp;B",PR!$AK155,IF(J157="MTRUST",PR!$AL155,IF(J157="MWORLD",PR!$AM155,IF(J157="MEGA",PR!$AN155,IF(J157="MICRONOVA",PR!$AO155,IF(J157="MFLASH",PR!$AP155,IF(J157="MORISON",PR!$AQ155,IF(J157="NEMEL",PR!$AR155,IF(J157="NHP",PR!$AS155,IF(J157="NHC",PR!$AT155,IF(J157="OLEAF",PR!$AU155,IF(J157="OCULUS",PR!$AV155,IF(J157="PACIFIC",PR!$AW155,IF(J157="PHAMATEX",PR!$AX155,IF(J157="PETHICS",PR!$AY155,IF(J157="PHILIPS",PR!$AZ155,IF(J157="RANBAXY",PR!$BA155,IF(J157="REALS",PR!$BB155,IF(J157="ROYAL",PR!$BC155,IF(J157="SAM",PR!$BD155,IF(J157="SEAGREEN",PR!$BE155,IF(J157="SKG",PR!$BF155,IF(J157="TAH",PR!$BG155,IF(J157="TAYLEK",PR!$BH155,IF(J157="TEMITA",PR!$BI155,IF(J157="THL",PR!$BJ155,IF(J157="UBASTIC",PR!$BK155,IF(J157="UNION",PR!$BL155,IF(J157="UNIQUE",PR!$BM155,IF(J157="VIXA",PR!$BN155,IF(J157="WWCV",PR!$BO155,IF(J157="ZOLON",PR!$BP155,"-"))))))))))))))))))))))))))))))))))))))))))))))))))))))))))))))))</f>
        <v>-</v>
      </c>
      <c r="J157" s="102">
        <f>EV!N201</f>
        <v>0</v>
      </c>
      <c r="K157" s="433" t="s">
        <v>1231</v>
      </c>
      <c r="L157" s="183">
        <f>IF(K157&gt;0,IF(K157="ALPHA",PR!$E155,IF(K157="ASSENE",PR!$F155,IF(K157="BIOFEM",PR!$G155,IF(K157="BIOMED",PR!$H155,IF(K157="CHI",PR!$I155,IF(K157="CLARION",PR!$J155,IF(K157="CODIX",PR!$K155,IF(K157="COSMADE",PR!$L155,IF(K157="SANCON",PR!$M155,IF(K157="DEVON",PR!$N155,IF(K157="DORTEMAG",PR!$O155,IF(K157="DGF",PR!$P155,IF(K157="DYNAMIC",PR!$Q155,IF(K157="EMZOR",PR!$R155,IF(K157="EUMATT",PR!$S155,IF(K157="FIDSON",PR!$T155,IF(K157="FCGLOBAL",PR!$U155,IF(K157="GENEITH",PR!$V155,IF(K157="GINOS",PR!$W155,IF(K157="GSK",PR!$X155,IF(K157="GLOBORG",PR!$Y155,IF(K157="GOODNEWS",PR!$Z155,IF(K157="GREENLIFE",PR!$AA155,IF(K157="HLINE",PR!$AB155,IF(K157="ROTECH",PR!$AC155,IF(K157="ISN",PR!$AD155,IF(K157="JAWA",PR!$AE155,IF(K157="LAYO",PR!$AF155,IF(K157="LEADWAY",PR!$AG155,IF(K157="LHV",PR!$AH155,IF(K157="MANOLA",PR!$AI155,IF(K157="MARCSON",PR!$AJ155,IF(K157="M&amp;B",PR!$AK155,IF(K157="MTRUST",PR!$AL155,IF(K157="MWORLD",PR!$AM155,IF(K157="MEGA",PR!$AN155,IF(K157="MICRONOVA",PR!$AO155,IF(K157="MFLASH",PR!$AP155,IF(K157="MORISON",PR!$AQ155,IF(K157="NEMEL",PR!$AR155,IF(K157="NHP",PR!$AS155,IF(K157="NHC",PR!$AT155,IF(K157="OLEAF",PR!$AU155,IF(K157="OCULUS",PR!$AV155,IF(K157="PACIFIC",PR!$AW155,IF(K157="PHAMATEX",PR!$AX155,IF(K157="PETHICS",PR!$AY155,IF(K157="PHILIPS",PR!$AZ155,IF(K157="RANBAXY",PR!$BA155,IF(K157="REALS",PR!$BB155,IF(K157="ROYAL",PR!$BC155,IF(K157="SAM",PR!$BD155,IF(K157="SEAGREEN",PR!$BE155,IF(K157="SKG",PR!$BF155,IF(K157="TAH",PR!$BG155,IF(K157="TAYLEK",PR!$BH155,IF(K157="TEMITA",PR!$BI155,IF(K157="THL",PR!$BJ155,IF(K157="UBASTIC",PR!$BK155,IF(K157="UNION",PR!$BL155,IF(K157="UNIQUE",PR!$BM155,IF(K157="VIXA",PR!$BN155,IF(K157="WWCV",PR!$BO155,IF(K157="ZOLON",PR!$BP155,"-")))))))))))))))))))))))))))))))))))))))))))))))))))))))))))))))))</f>
        <v>8160</v>
      </c>
    </row>
    <row r="158" spans="1:12" ht="18.75" x14ac:dyDescent="0.3">
      <c r="A158" s="430">
        <f>PR!A156</f>
        <v>138</v>
      </c>
      <c r="B158" s="15" t="str">
        <f>PR!B156</f>
        <v>SOLUBLE INSULIN INJ  (10ML)</v>
      </c>
      <c r="C158" s="113" t="str">
        <f>PR!D156</f>
        <v>VIAL</v>
      </c>
      <c r="D158" s="113">
        <f>PR!C156</f>
        <v>600</v>
      </c>
      <c r="E158" s="108">
        <f>IF(F158="ALPHA",PR!$E156,IF(F158="ASSENE",PR!$F156,IF(F158="BIOFEM",PR!$G156,IF(F158="BIOMED",PR!$H156,IF(F158="CHI",PR!$I156,IF(F158="CLARION",PR!$J156,IF(F158="CODIX",PR!$K156,IF(F158="COSMADE",PR!$L156,IF(F158="SANCON",PR!$M156,IF(F158="DEVON",PR!$N156,IF(F158="DORTEMAG",PR!$O156,IF(F158="DGF",PR!$P156,IF(F158="DYNAMIC",PR!$Q156,IF(F158="EMZOR",PR!$R156,IF(F158="EUMATT",PR!$S156,IF(F158="FIDSON",PR!$T156,IF(F158="FCGLOBAL",PR!$U156,IF(F158="GENEITH",PR!$V156,IF(F158="GINOS",PR!$W156,IF(F158="GSK",PR!$X156,IF(F158="GLOBORG",PR!$Y156,IF(F158="GOODNEWS",PR!$Z156,IF(F158="GREENLIFE",PR!$AA156,IF(F158="HLINE",PR!$AB156,IF(F158="ROTECH",PR!$AC156,IF(F158="ISN",PR!$AD156,IF(F158="JAWA",PR!$AE156,IF(F158="LAYO",PR!$AF156,IF(F158="LEADWAY",PR!$AG156,IF(F158="LHV",PR!$AH156,IF(F158="MANOLA",PR!$AI156,IF(F158="MARCSON",PR!$AJ156,IF(F158="M&amp;B",PR!$AK156,IF(F158="MTRUST",PR!$AL156,IF(F158="MWORLD",PR!$AM156,IF(F158="MEGA",PR!$AN156,IF(F158="MICRONOVA",PR!$AO156,IF(F158="MFLASH",PR!$AP156,IF(F158="MORISON",PR!$AQ156,IF(F158="NEMEL",PR!$AR156,IF(F158="NHP",PR!$AS156,IF(F158="NHC",PR!$AT156,IF(F158="OLEAF",PR!$AU156,IF(F158="OCULUS",PR!$AV156,IF(F158="PACIFIC",PR!$AW156,IF(F158="PHAMATEX",PR!$AX156,IF(F158="PETHICS",PR!$AY156,IF(F158="PHILIPS",PR!$AZ156,IF(F158="RANBAXY",PR!$BA156,IF(F158="REALS",PR!$BB156,IF(F158="ROYAL",PR!$BC156,IF(F158="SAM",PR!$BD156,IF(F158="SEAGREEN",PR!$BE156,IF(F158="SKG",PR!$BF156,IF(F158="TAH",PR!$BG156,IF(F158="TAYLEK",PR!$BH156,IF(F158="TEMITA",PR!$BI156,IF(F158="THL",PR!$BJ156,IF(F158="UBASTIC",PR!$BK156,IF(F158="UNION",PR!$BL156,IF(F158="UNIQUE",PR!$BM156,IF(F158="VIXA",PR!$BN156,IF(F158="WWCV",PR!$BO156,IF(F158="ZOLON",PR!$BP156,"-"))))))))))))))))))))))))))))))))))))))))))))))))))))))))))))))))</f>
        <v>2900</v>
      </c>
      <c r="F158" s="102" t="str">
        <f>EV!L202</f>
        <v>FIDSON</v>
      </c>
      <c r="G158" s="108">
        <f>IF(H158="ALPHA",PR!$E156,IF(H158="ASSENE",PR!$F156,IF(H158="BIOFEM",PR!$G156,IF(H158="BIOMED",PR!$H156,IF(H158="CHI",PR!$I156,IF(H158="CLARION",PR!$J156,IF(H158="CODIX",PR!$K156,IF(H158="COSMADE",PR!$L156,IF(H158="SANCON",PR!$M156,IF(H158="DEVON",PR!$N156,IF(H158="DORTEMAG",PR!$O156,IF(H158="DGF",PR!$P156,IF(H158="DYNAMIC",PR!$Q156,IF(H158="EMZOR",PR!$R156,IF(H158="EUMATT",PR!$S156,IF(H158="FIDSON",PR!$T156,IF(H158="FCGLOBAL",PR!$U156,IF(H158="GENEITH",PR!$V156,IF(H158="GINOS",PR!$W156,IF(H158="GSK",PR!$X156,IF(H158="GLOBORG",PR!$Y156,IF(H158="GOODNEWS",PR!$Z156,IF(H158="GREENLIFE",PR!$AA156,IF(H158="HLINE",PR!$AB156,IF(H158="ROTECH",PR!$AC156,IF(H158="ISN",PR!$AD156,IF(H158="JAWA",PR!$AE156,IF(H158="LAYO",PR!$AF156,IF(H158="LEADWAY",PR!$AG156,IF(H158="LHV",PR!$AH156,IF(H158="MANOLA",PR!$AI156,IF(H158="MARCSON",PR!$AJ156,IF(H158="M&amp;B",PR!$AK156,IF(H158="MTRUST",PR!$AL156,IF(H158="MWORLD",PR!$AM156,IF(H158="MEGA",PR!$AN156,IF(H158="MICRONOVA",PR!$AO156,IF(H158="MFLASH",PR!$AP156,IF(H158="MORISON",PR!$AQ156,IF(H158="NEMEL",PR!$AR156,IF(H158="NHP",PR!$AS156,IF(H158="NHC",PR!$AT156,IF(H158="OLEAF",PR!$AU156,IF(H158="OCULUS",PR!$AV156,IF(H158="PACIFIC",PR!$AW156,IF(H158="PHAMATEX",PR!$AX156,IF(H158="PETHICS",PR!$AY156,IF(H158="PHILIPS",PR!$AZ156,IF(H158="RANBAXY",PR!$BA156,IF(H158="REALS",PR!$BB156,IF(H158="ROYAL",PR!$BC156,IF(H158="SAM",PR!$BD156,IF(H158="SEAGREEN",PR!$BE156,IF(H158="SKG",PR!$BF156,IF(H158="TAH",PR!$BG156,IF(H158="TAYLEK",PR!$BH156,IF(H158="TEMITA",PR!$BI156,IF(H158="THL",PR!$BJ156,IF(H158="UBASTIC",PR!$BK156,IF(H158="UNION",PR!$BL156,IF(H158="UNIQUE",PR!$BM156,IF(H158="VIXA",PR!$BN156,IF(H158="WWCV",PR!$BO156,IF(H158="ZOLON",PR!$BP156,"-"))))))))))))))))))))))))))))))))))))))))))))))))))))))))))))))))</f>
        <v>2992</v>
      </c>
      <c r="H158" s="102" t="str">
        <f>EV!M202</f>
        <v>WWCV</v>
      </c>
      <c r="I158" s="108" t="str">
        <f>IF(J158="ALPHA",PR!$E156,IF(J158="ASSENE",PR!$F156,IF(J158="BIOFEM",PR!$G156,IF(J158="BIOMED",PR!$H156,IF(J158="CHI",PR!$I156,IF(J158="CLARION",PR!$J156,IF(J158="CODIX",PR!$K156,IF(J158="COSMADE",PR!$L156,IF(J158="SANCON",PR!$M156,IF(J158="DEVON",PR!$N156,IF(J158="DORTEMAG",PR!$O156,IF(J158="DGF",PR!$P156,IF(J158="DYNAMIC",PR!$Q156,IF(J158="EMZOR",PR!$R156,IF(J158="EUMATT",PR!$S156,IF(J158="FIDSON",PR!$T156,IF(J158="FCGLOBAL",PR!$U156,IF(J158="GENEITH",PR!$V156,IF(J158="GINOS",PR!$W156,IF(J158="GSK",PR!$X156,IF(J158="GLOBORG",PR!$Y156,IF(J158="GOODNEWS",PR!$Z156,IF(J158="GREENLIFE",PR!$AA156,IF(J158="HLINE",PR!$AB156,IF(J158="ROTECH",PR!$AC156,IF(J158="ISN",PR!$AD156,IF(J158="JAWA",PR!$AE156,IF(J158="LAYO",PR!$AF156,IF(J158="LEADWAY",PR!$AG156,IF(J158="LHV",PR!$AH156,IF(J158="MANOLA",PR!$AI156,IF(J158="MARCSON",PR!$AJ156,IF(J158="M&amp;B",PR!$AK156,IF(J158="MTRUST",PR!$AL156,IF(J158="MWORLD",PR!$AM156,IF(J158="MEGA",PR!$AN156,IF(J158="MICRONOVA",PR!$AO156,IF(J158="MFLASH",PR!$AP156,IF(J158="MORISON",PR!$AQ156,IF(J158="NEMEL",PR!$AR156,IF(J158="NHP",PR!$AS156,IF(J158="NHC",PR!$AT156,IF(J158="OLEAF",PR!$AU156,IF(J158="OCULUS",PR!$AV156,IF(J158="PACIFIC",PR!$AW156,IF(J158="PHAMATEX",PR!$AX156,IF(J158="PETHICS",PR!$AY156,IF(J158="PHILIPS",PR!$AZ156,IF(J158="RANBAXY",PR!$BA156,IF(J158="REALS",PR!$BB156,IF(J158="ROYAL",PR!$BC156,IF(J158="SAM",PR!$BD156,IF(J158="SEAGREEN",PR!$BE156,IF(J158="SKG",PR!$BF156,IF(J158="TAH",PR!$BG156,IF(J158="TAYLEK",PR!$BH156,IF(J158="TEMITA",PR!$BI156,IF(J158="THL",PR!$BJ156,IF(J158="UBASTIC",PR!$BK156,IF(J158="UNION",PR!$BL156,IF(J158="UNIQUE",PR!$BM156,IF(J158="VIXA",PR!$BN156,IF(J158="WWCV",PR!$BO156,IF(J158="ZOLON",PR!$BP156,"-"))))))))))))))))))))))))))))))))))))))))))))))))))))))))))))))))</f>
        <v>-</v>
      </c>
      <c r="J158" s="102">
        <f>EV!N202</f>
        <v>0</v>
      </c>
      <c r="K158" s="433" t="s">
        <v>1231</v>
      </c>
      <c r="L158" s="183">
        <f>IF(K158&gt;0,IF(K158="ALPHA",PR!$E156,IF(K158="ASSENE",PR!$F156,IF(K158="BIOFEM",PR!$G156,IF(K158="BIOMED",PR!$H156,IF(K158="CHI",PR!$I156,IF(K158="CLARION",PR!$J156,IF(K158="CODIX",PR!$K156,IF(K158="COSMADE",PR!$L156,IF(K158="SANCON",PR!$M156,IF(K158="DEVON",PR!$N156,IF(K158="DORTEMAG",PR!$O156,IF(K158="DGF",PR!$P156,IF(K158="DYNAMIC",PR!$Q156,IF(K158="EMZOR",PR!$R156,IF(K158="EUMATT",PR!$S156,IF(K158="FIDSON",PR!$T156,IF(K158="FCGLOBAL",PR!$U156,IF(K158="GENEITH",PR!$V156,IF(K158="GINOS",PR!$W156,IF(K158="GSK",PR!$X156,IF(K158="GLOBORG",PR!$Y156,IF(K158="GOODNEWS",PR!$Z156,IF(K158="GREENLIFE",PR!$AA156,IF(K158="HLINE",PR!$AB156,IF(K158="ROTECH",PR!$AC156,IF(K158="ISN",PR!$AD156,IF(K158="JAWA",PR!$AE156,IF(K158="LAYO",PR!$AF156,IF(K158="LEADWAY",PR!$AG156,IF(K158="LHV",PR!$AH156,IF(K158="MANOLA",PR!$AI156,IF(K158="MARCSON",PR!$AJ156,IF(K158="M&amp;B",PR!$AK156,IF(K158="MTRUST",PR!$AL156,IF(K158="MWORLD",PR!$AM156,IF(K158="MEGA",PR!$AN156,IF(K158="MICRONOVA",PR!$AO156,IF(K158="MFLASH",PR!$AP156,IF(K158="MORISON",PR!$AQ156,IF(K158="NEMEL",PR!$AR156,IF(K158="NHP",PR!$AS156,IF(K158="NHC",PR!$AT156,IF(K158="OLEAF",PR!$AU156,IF(K158="OCULUS",PR!$AV156,IF(K158="PACIFIC",PR!$AW156,IF(K158="PHAMATEX",PR!$AX156,IF(K158="PETHICS",PR!$AY156,IF(K158="PHILIPS",PR!$AZ156,IF(K158="RANBAXY",PR!$BA156,IF(K158="REALS",PR!$BB156,IF(K158="ROYAL",PR!$BC156,IF(K158="SAM",PR!$BD156,IF(K158="SEAGREEN",PR!$BE156,IF(K158="SKG",PR!$BF156,IF(K158="TAH",PR!$BG156,IF(K158="TAYLEK",PR!$BH156,IF(K158="TEMITA",PR!$BI156,IF(K158="THL",PR!$BJ156,IF(K158="UBASTIC",PR!$BK156,IF(K158="UNION",PR!$BL156,IF(K158="UNIQUE",PR!$BM156,IF(K158="VIXA",PR!$BN156,IF(K158="WWCV",PR!$BO156,IF(K158="ZOLON",PR!$BP156,"-")))))))))))))))))))))))))))))))))))))))))))))))))))))))))))))))))</f>
        <v>2992</v>
      </c>
    </row>
    <row r="159" spans="1:12" ht="18.75" x14ac:dyDescent="0.3">
      <c r="A159" s="430">
        <f>PR!A157</f>
        <v>139</v>
      </c>
      <c r="B159" s="15" t="str">
        <f>PR!B157</f>
        <v>VILDAGLIPTIN 50MG</v>
      </c>
      <c r="C159" s="113">
        <f>PR!D157</f>
        <v>28</v>
      </c>
      <c r="D159" s="113">
        <f>PR!C157</f>
        <v>100</v>
      </c>
      <c r="E159" s="108">
        <f>IF(F159="ALPHA",PR!$E157,IF(F159="ASSENE",PR!$F157,IF(F159="BIOFEM",PR!$G157,IF(F159="BIOMED",PR!$H157,IF(F159="CHI",PR!$I157,IF(F159="CLARION",PR!$J157,IF(F159="CODIX",PR!$K157,IF(F159="COSMADE",PR!$L157,IF(F159="SANCON",PR!$M157,IF(F159="DEVON",PR!$N157,IF(F159="DORTEMAG",PR!$O157,IF(F159="DGF",PR!$P157,IF(F159="DYNAMIC",PR!$Q157,IF(F159="EMZOR",PR!$R157,IF(F159="EUMATT",PR!$S157,IF(F159="FIDSON",PR!$T157,IF(F159="FCGLOBAL",PR!$U157,IF(F159="GENEITH",PR!$V157,IF(F159="GINOS",PR!$W157,IF(F159="GSK",PR!$X157,IF(F159="GLOBORG",PR!$Y157,IF(F159="GOODNEWS",PR!$Z157,IF(F159="GREENLIFE",PR!$AA157,IF(F159="HLINE",PR!$AB157,IF(F159="ROTECH",PR!$AC157,IF(F159="ISN",PR!$AD157,IF(F159="JAWA",PR!$AE157,IF(F159="LAYO",PR!$AF157,IF(F159="LEADWAY",PR!$AG157,IF(F159="LHV",PR!$AH157,IF(F159="MANOLA",PR!$AI157,IF(F159="MARCSON",PR!$AJ157,IF(F159="M&amp;B",PR!$AK157,IF(F159="MTRUST",PR!$AL157,IF(F159="MWORLD",PR!$AM157,IF(F159="MEGA",PR!$AN157,IF(F159="MICRONOVA",PR!$AO157,IF(F159="MFLASH",PR!$AP157,IF(F159="MORISON",PR!$AQ157,IF(F159="NEMEL",PR!$AR157,IF(F159="NHP",PR!$AS157,IF(F159="NHC",PR!$AT157,IF(F159="OLEAF",PR!$AU157,IF(F159="OCULUS",PR!$AV157,IF(F159="PACIFIC",PR!$AW157,IF(F159="PHAMATEX",PR!$AX157,IF(F159="PETHICS",PR!$AY157,IF(F159="PHILIPS",PR!$AZ157,IF(F159="RANBAXY",PR!$BA157,IF(F159="REALS",PR!$BB157,IF(F159="ROYAL",PR!$BC157,IF(F159="SAM",PR!$BD157,IF(F159="SEAGREEN",PR!$BE157,IF(F159="SKG",PR!$BF157,IF(F159="TAH",PR!$BG157,IF(F159="TAYLEK",PR!$BH157,IF(F159="TEMITA",PR!$BI157,IF(F159="THL",PR!$BJ157,IF(F159="UBASTIC",PR!$BK157,IF(F159="UNION",PR!$BL157,IF(F159="UNIQUE",PR!$BM157,IF(F159="VIXA",PR!$BN157,IF(F159="WWCV",PR!$BO157,IF(F159="ZOLON",PR!$BP157,"-"))))))))))))))))))))))))))))))))))))))))))))))))))))))))))))))))</f>
        <v>4500</v>
      </c>
      <c r="F159" s="102" t="str">
        <f>EV!L203</f>
        <v>EUMATT</v>
      </c>
      <c r="G159" s="108">
        <f>IF(H159="ALPHA",PR!$E157,IF(H159="ASSENE",PR!$F157,IF(H159="BIOFEM",PR!$G157,IF(H159="BIOMED",PR!$H157,IF(H159="CHI",PR!$I157,IF(H159="CLARION",PR!$J157,IF(H159="CODIX",PR!$K157,IF(H159="COSMADE",PR!$L157,IF(H159="SANCON",PR!$M157,IF(H159="DEVON",PR!$N157,IF(H159="DORTEMAG",PR!$O157,IF(H159="DGF",PR!$P157,IF(H159="DYNAMIC",PR!$Q157,IF(H159="EMZOR",PR!$R157,IF(H159="EUMATT",PR!$S157,IF(H159="FIDSON",PR!$T157,IF(H159="FCGLOBAL",PR!$U157,IF(H159="GENEITH",PR!$V157,IF(H159="GINOS",PR!$W157,IF(H159="GSK",PR!$X157,IF(H159="GLOBORG",PR!$Y157,IF(H159="GOODNEWS",PR!$Z157,IF(H159="GREENLIFE",PR!$AA157,IF(H159="HLINE",PR!$AB157,IF(H159="ROTECH",PR!$AC157,IF(H159="ISN",PR!$AD157,IF(H159="JAWA",PR!$AE157,IF(H159="LAYO",PR!$AF157,IF(H159="LEADWAY",PR!$AG157,IF(H159="LHV",PR!$AH157,IF(H159="MANOLA",PR!$AI157,IF(H159="MARCSON",PR!$AJ157,IF(H159="M&amp;B",PR!$AK157,IF(H159="MTRUST",PR!$AL157,IF(H159="MWORLD",PR!$AM157,IF(H159="MEGA",PR!$AN157,IF(H159="MICRONOVA",PR!$AO157,IF(H159="MFLASH",PR!$AP157,IF(H159="MORISON",PR!$AQ157,IF(H159="NEMEL",PR!$AR157,IF(H159="NHP",PR!$AS157,IF(H159="NHC",PR!$AT157,IF(H159="OLEAF",PR!$AU157,IF(H159="OCULUS",PR!$AV157,IF(H159="PACIFIC",PR!$AW157,IF(H159="PHAMATEX",PR!$AX157,IF(H159="PETHICS",PR!$AY157,IF(H159="PHILIPS",PR!$AZ157,IF(H159="RANBAXY",PR!$BA157,IF(H159="REALS",PR!$BB157,IF(H159="ROYAL",PR!$BC157,IF(H159="SAM",PR!$BD157,IF(H159="SEAGREEN",PR!$BE157,IF(H159="SKG",PR!$BF157,IF(H159="TAH",PR!$BG157,IF(H159="TAYLEK",PR!$BH157,IF(H159="TEMITA",PR!$BI157,IF(H159="THL",PR!$BJ157,IF(H159="UBASTIC",PR!$BK157,IF(H159="UNION",PR!$BL157,IF(H159="UNIQUE",PR!$BM157,IF(H159="VIXA",PR!$BN157,IF(H159="WWCV",PR!$BO157,IF(H159="ZOLON",PR!$BP157,"-"))))))))))))))))))))))))))))))))))))))))))))))))))))))))))))))))</f>
        <v>4803</v>
      </c>
      <c r="H159" s="102" t="str">
        <f>EV!M203</f>
        <v>WWCV</v>
      </c>
      <c r="I159" s="108" t="str">
        <f>IF(J159="ALPHA",PR!$E157,IF(J159="ASSENE",PR!$F157,IF(J159="BIOFEM",PR!$G157,IF(J159="BIOMED",PR!$H157,IF(J159="CHI",PR!$I157,IF(J159="CLARION",PR!$J157,IF(J159="CODIX",PR!$K157,IF(J159="COSMADE",PR!$L157,IF(J159="SANCON",PR!$M157,IF(J159="DEVON",PR!$N157,IF(J159="DORTEMAG",PR!$O157,IF(J159="DGF",PR!$P157,IF(J159="DYNAMIC",PR!$Q157,IF(J159="EMZOR",PR!$R157,IF(J159="EUMATT",PR!$S157,IF(J159="FIDSON",PR!$T157,IF(J159="FCGLOBAL",PR!$U157,IF(J159="GENEITH",PR!$V157,IF(J159="GINOS",PR!$W157,IF(J159="GSK",PR!$X157,IF(J159="GLOBORG",PR!$Y157,IF(J159="GOODNEWS",PR!$Z157,IF(J159="GREENLIFE",PR!$AA157,IF(J159="HLINE",PR!$AB157,IF(J159="ROTECH",PR!$AC157,IF(J159="ISN",PR!$AD157,IF(J159="JAWA",PR!$AE157,IF(J159="LAYO",PR!$AF157,IF(J159="LEADWAY",PR!$AG157,IF(J159="LHV",PR!$AH157,IF(J159="MANOLA",PR!$AI157,IF(J159="MARCSON",PR!$AJ157,IF(J159="M&amp;B",PR!$AK157,IF(J159="MTRUST",PR!$AL157,IF(J159="MWORLD",PR!$AM157,IF(J159="MEGA",PR!$AN157,IF(J159="MICRONOVA",PR!$AO157,IF(J159="MFLASH",PR!$AP157,IF(J159="MORISON",PR!$AQ157,IF(J159="NEMEL",PR!$AR157,IF(J159="NHP",PR!$AS157,IF(J159="NHC",PR!$AT157,IF(J159="OLEAF",PR!$AU157,IF(J159="OCULUS",PR!$AV157,IF(J159="PACIFIC",PR!$AW157,IF(J159="PHAMATEX",PR!$AX157,IF(J159="PETHICS",PR!$AY157,IF(J159="PHILIPS",PR!$AZ157,IF(J159="RANBAXY",PR!$BA157,IF(J159="REALS",PR!$BB157,IF(J159="ROYAL",PR!$BC157,IF(J159="SAM",PR!$BD157,IF(J159="SEAGREEN",PR!$BE157,IF(J159="SKG",PR!$BF157,IF(J159="TAH",PR!$BG157,IF(J159="TAYLEK",PR!$BH157,IF(J159="TEMITA",PR!$BI157,IF(J159="THL",PR!$BJ157,IF(J159="UBASTIC",PR!$BK157,IF(J159="UNION",PR!$BL157,IF(J159="UNIQUE",PR!$BM157,IF(J159="VIXA",PR!$BN157,IF(J159="WWCV",PR!$BO157,IF(J159="ZOLON",PR!$BP157,"-"))))))))))))))))))))))))))))))))))))))))))))))))))))))))))))))))</f>
        <v>-</v>
      </c>
      <c r="J159" s="102">
        <f>EV!N203</f>
        <v>0</v>
      </c>
      <c r="K159" s="433" t="s">
        <v>821</v>
      </c>
      <c r="L159" s="183">
        <f>IF(K159&gt;0,IF(K159="ALPHA",PR!$E157,IF(K159="ASSENE",PR!$F157,IF(K159="BIOFEM",PR!$G157,IF(K159="BIOMED",PR!$H157,IF(K159="CHI",PR!$I157,IF(K159="CLARION",PR!$J157,IF(K159="CODIX",PR!$K157,IF(K159="COSMADE",PR!$L157,IF(K159="SANCON",PR!$M157,IF(K159="DEVON",PR!$N157,IF(K159="DORTEMAG",PR!$O157,IF(K159="DGF",PR!$P157,IF(K159="DYNAMIC",PR!$Q157,IF(K159="EMZOR",PR!$R157,IF(K159="EUMATT",PR!$S157,IF(K159="FIDSON",PR!$T157,IF(K159="FCGLOBAL",PR!$U157,IF(K159="GENEITH",PR!$V157,IF(K159="GINOS",PR!$W157,IF(K159="GSK",PR!$X157,IF(K159="GLOBORG",PR!$Y157,IF(K159="GOODNEWS",PR!$Z157,IF(K159="GREENLIFE",PR!$AA157,IF(K159="HLINE",PR!$AB157,IF(K159="ROTECH",PR!$AC157,IF(K159="ISN",PR!$AD157,IF(K159="JAWA",PR!$AE157,IF(K159="LAYO",PR!$AF157,IF(K159="LEADWAY",PR!$AG157,IF(K159="LHV",PR!$AH157,IF(K159="MANOLA",PR!$AI157,IF(K159="MARCSON",PR!$AJ157,IF(K159="M&amp;B",PR!$AK157,IF(K159="MTRUST",PR!$AL157,IF(K159="MWORLD",PR!$AM157,IF(K159="MEGA",PR!$AN157,IF(K159="MICRONOVA",PR!$AO157,IF(K159="MFLASH",PR!$AP157,IF(K159="MORISON",PR!$AQ157,IF(K159="NEMEL",PR!$AR157,IF(K159="NHP",PR!$AS157,IF(K159="NHC",PR!$AT157,IF(K159="OLEAF",PR!$AU157,IF(K159="OCULUS",PR!$AV157,IF(K159="PACIFIC",PR!$AW157,IF(K159="PHAMATEX",PR!$AX157,IF(K159="PETHICS",PR!$AY157,IF(K159="PHILIPS",PR!$AZ157,IF(K159="RANBAXY",PR!$BA157,IF(K159="REALS",PR!$BB157,IF(K159="ROYAL",PR!$BC157,IF(K159="SAM",PR!$BD157,IF(K159="SEAGREEN",PR!$BE157,IF(K159="SKG",PR!$BF157,IF(K159="TAH",PR!$BG157,IF(K159="TAYLEK",PR!$BH157,IF(K159="TEMITA",PR!$BI157,IF(K159="THL",PR!$BJ157,IF(K159="UBASTIC",PR!$BK157,IF(K159="UNION",PR!$BL157,IF(K159="UNIQUE",PR!$BM157,IF(K159="VIXA",PR!$BN157,IF(K159="WWCV",PR!$BO157,IF(K159="ZOLON",PR!$BP157,"-")))))))))))))))))))))))))))))))))))))))))))))))))))))))))))))))))</f>
        <v>4500</v>
      </c>
    </row>
    <row r="160" spans="1:12" ht="18.75" x14ac:dyDescent="0.3">
      <c r="A160" s="430">
        <f>PR!A158</f>
        <v>140</v>
      </c>
      <c r="B160" s="15" t="str">
        <f>PR!B158</f>
        <v>VILDAGLIPTIN/METFORMIN 50/1000MG TAB</v>
      </c>
      <c r="C160" s="113">
        <f>PR!D158</f>
        <v>60</v>
      </c>
      <c r="D160" s="113">
        <f>PR!C158</f>
        <v>100</v>
      </c>
      <c r="E160" s="108">
        <f>IF(F160="ALPHA",PR!$E158,IF(F160="ASSENE",PR!$F158,IF(F160="BIOFEM",PR!$G158,IF(F160="BIOMED",PR!$H158,IF(F160="CHI",PR!$I158,IF(F160="CLARION",PR!$J158,IF(F160="CODIX",PR!$K158,IF(F160="COSMADE",PR!$L158,IF(F160="SANCON",PR!$M158,IF(F160="DEVON",PR!$N158,IF(F160="DORTEMAG",PR!$O158,IF(F160="DGF",PR!$P158,IF(F160="DYNAMIC",PR!$Q158,IF(F160="EMZOR",PR!$R158,IF(F160="EUMATT",PR!$S158,IF(F160="FIDSON",PR!$T158,IF(F160="FCGLOBAL",PR!$U158,IF(F160="GENEITH",PR!$V158,IF(F160="GINOS",PR!$W158,IF(F160="GSK",PR!$X158,IF(F160="GLOBORG",PR!$Y158,IF(F160="GOODNEWS",PR!$Z158,IF(F160="GREENLIFE",PR!$AA158,IF(F160="HLINE",PR!$AB158,IF(F160="ROTECH",PR!$AC158,IF(F160="ISN",PR!$AD158,IF(F160="JAWA",PR!$AE158,IF(F160="LAYO",PR!$AF158,IF(F160="LEADWAY",PR!$AG158,IF(F160="LHV",PR!$AH158,IF(F160="MANOLA",PR!$AI158,IF(F160="MARCSON",PR!$AJ158,IF(F160="M&amp;B",PR!$AK158,IF(F160="MTRUST",PR!$AL158,IF(F160="MWORLD",PR!$AM158,IF(F160="MEGA",PR!$AN158,IF(F160="MICRONOVA",PR!$AO158,IF(F160="MFLASH",PR!$AP158,IF(F160="MORISON",PR!$AQ158,IF(F160="NEMEL",PR!$AR158,IF(F160="NHP",PR!$AS158,IF(F160="NHC",PR!$AT158,IF(F160="OLEAF",PR!$AU158,IF(F160="OCULUS",PR!$AV158,IF(F160="PACIFIC",PR!$AW158,IF(F160="PHAMATEX",PR!$AX158,IF(F160="PETHICS",PR!$AY158,IF(F160="PHILIPS",PR!$AZ158,IF(F160="RANBAXY",PR!$BA158,IF(F160="REALS",PR!$BB158,IF(F160="ROYAL",PR!$BC158,IF(F160="SAM",PR!$BD158,IF(F160="SEAGREEN",PR!$BE158,IF(F160="SKG",PR!$BF158,IF(F160="TAH",PR!$BG158,IF(F160="TAYLEK",PR!$BH158,IF(F160="TEMITA",PR!$BI158,IF(F160="THL",PR!$BJ158,IF(F160="UBASTIC",PR!$BK158,IF(F160="UNION",PR!$BL158,IF(F160="UNIQUE",PR!$BM158,IF(F160="VIXA",PR!$BN158,IF(F160="WWCV",PR!$BO158,IF(F160="ZOLON",PR!$BP158,"-"))))))))))))))))))))))))))))))))))))))))))))))))))))))))))))))))</f>
        <v>9500</v>
      </c>
      <c r="F160" s="102" t="str">
        <f>EV!L204</f>
        <v>EUMATT</v>
      </c>
      <c r="G160" s="108">
        <f>IF(H160="ALPHA",PR!$E158,IF(H160="ASSENE",PR!$F158,IF(H160="BIOFEM",PR!$G158,IF(H160="BIOMED",PR!$H158,IF(H160="CHI",PR!$I158,IF(H160="CLARION",PR!$J158,IF(H160="CODIX",PR!$K158,IF(H160="COSMADE",PR!$L158,IF(H160="SANCON",PR!$M158,IF(H160="DEVON",PR!$N158,IF(H160="DORTEMAG",PR!$O158,IF(H160="DGF",PR!$P158,IF(H160="DYNAMIC",PR!$Q158,IF(H160="EMZOR",PR!$R158,IF(H160="EUMATT",PR!$S158,IF(H160="FIDSON",PR!$T158,IF(H160="FCGLOBAL",PR!$U158,IF(H160="GENEITH",PR!$V158,IF(H160="GINOS",PR!$W158,IF(H160="GSK",PR!$X158,IF(H160="GLOBORG",PR!$Y158,IF(H160="GOODNEWS",PR!$Z158,IF(H160="GREENLIFE",PR!$AA158,IF(H160="HLINE",PR!$AB158,IF(H160="ROTECH",PR!$AC158,IF(H160="ISN",PR!$AD158,IF(H160="JAWA",PR!$AE158,IF(H160="LAYO",PR!$AF158,IF(H160="LEADWAY",PR!$AG158,IF(H160="LHV",PR!$AH158,IF(H160="MANOLA",PR!$AI158,IF(H160="MARCSON",PR!$AJ158,IF(H160="M&amp;B",PR!$AK158,IF(H160="MTRUST",PR!$AL158,IF(H160="MWORLD",PR!$AM158,IF(H160="MEGA",PR!$AN158,IF(H160="MICRONOVA",PR!$AO158,IF(H160="MFLASH",PR!$AP158,IF(H160="MORISON",PR!$AQ158,IF(H160="NEMEL",PR!$AR158,IF(H160="NHP",PR!$AS158,IF(H160="NHC",PR!$AT158,IF(H160="OLEAF",PR!$AU158,IF(H160="OCULUS",PR!$AV158,IF(H160="PACIFIC",PR!$AW158,IF(H160="PHAMATEX",PR!$AX158,IF(H160="PETHICS",PR!$AY158,IF(H160="PHILIPS",PR!$AZ158,IF(H160="RANBAXY",PR!$BA158,IF(H160="REALS",PR!$BB158,IF(H160="ROYAL",PR!$BC158,IF(H160="SAM",PR!$BD158,IF(H160="SEAGREEN",PR!$BE158,IF(H160="SKG",PR!$BF158,IF(H160="TAH",PR!$BG158,IF(H160="TAYLEK",PR!$BH158,IF(H160="TEMITA",PR!$BI158,IF(H160="THL",PR!$BJ158,IF(H160="UBASTIC",PR!$BK158,IF(H160="UNION",PR!$BL158,IF(H160="UNIQUE",PR!$BM158,IF(H160="VIXA",PR!$BN158,IF(H160="WWCV",PR!$BO158,IF(H160="ZOLON",PR!$BP158,"-"))))))))))))))))))))))))))))))))))))))))))))))))))))))))))))))))</f>
        <v>10292</v>
      </c>
      <c r="H160" s="102" t="str">
        <f>EV!M204</f>
        <v>WWCV</v>
      </c>
      <c r="I160" s="108" t="str">
        <f>IF(J160="ALPHA",PR!$E158,IF(J160="ASSENE",PR!$F158,IF(J160="BIOFEM",PR!$G158,IF(J160="BIOMED",PR!$H158,IF(J160="CHI",PR!$I158,IF(J160="CLARION",PR!$J158,IF(J160="CODIX",PR!$K158,IF(J160="COSMADE",PR!$L158,IF(J160="SANCON",PR!$M158,IF(J160="DEVON",PR!$N158,IF(J160="DORTEMAG",PR!$O158,IF(J160="DGF",PR!$P158,IF(J160="DYNAMIC",PR!$Q158,IF(J160="EMZOR",PR!$R158,IF(J160="EUMATT",PR!$S158,IF(J160="FIDSON",PR!$T158,IF(J160="FCGLOBAL",PR!$U158,IF(J160="GENEITH",PR!$V158,IF(J160="GINOS",PR!$W158,IF(J160="GSK",PR!$X158,IF(J160="GLOBORG",PR!$Y158,IF(J160="GOODNEWS",PR!$Z158,IF(J160="GREENLIFE",PR!$AA158,IF(J160="HLINE",PR!$AB158,IF(J160="ROTECH",PR!$AC158,IF(J160="ISN",PR!$AD158,IF(J160="JAWA",PR!$AE158,IF(J160="LAYO",PR!$AF158,IF(J160="LEADWAY",PR!$AG158,IF(J160="LHV",PR!$AH158,IF(J160="MANOLA",PR!$AI158,IF(J160="MARCSON",PR!$AJ158,IF(J160="M&amp;B",PR!$AK158,IF(J160="MTRUST",PR!$AL158,IF(J160="MWORLD",PR!$AM158,IF(J160="MEGA",PR!$AN158,IF(J160="MICRONOVA",PR!$AO158,IF(J160="MFLASH",PR!$AP158,IF(J160="MORISON",PR!$AQ158,IF(J160="NEMEL",PR!$AR158,IF(J160="NHP",PR!$AS158,IF(J160="NHC",PR!$AT158,IF(J160="OLEAF",PR!$AU158,IF(J160="OCULUS",PR!$AV158,IF(J160="PACIFIC",PR!$AW158,IF(J160="PHAMATEX",PR!$AX158,IF(J160="PETHICS",PR!$AY158,IF(J160="PHILIPS",PR!$AZ158,IF(J160="RANBAXY",PR!$BA158,IF(J160="REALS",PR!$BB158,IF(J160="ROYAL",PR!$BC158,IF(J160="SAM",PR!$BD158,IF(J160="SEAGREEN",PR!$BE158,IF(J160="SKG",PR!$BF158,IF(J160="TAH",PR!$BG158,IF(J160="TAYLEK",PR!$BH158,IF(J160="TEMITA",PR!$BI158,IF(J160="THL",PR!$BJ158,IF(J160="UBASTIC",PR!$BK158,IF(J160="UNION",PR!$BL158,IF(J160="UNIQUE",PR!$BM158,IF(J160="VIXA",PR!$BN158,IF(J160="WWCV",PR!$BO158,IF(J160="ZOLON",PR!$BP158,"-"))))))))))))))))))))))))))))))))))))))))))))))))))))))))))))))))</f>
        <v>-</v>
      </c>
      <c r="J160" s="102">
        <f>EV!N204</f>
        <v>0</v>
      </c>
      <c r="K160" s="433" t="s">
        <v>821</v>
      </c>
      <c r="L160" s="183">
        <f>IF(K160&gt;0,IF(K160="ALPHA",PR!$E158,IF(K160="ASSENE",PR!$F158,IF(K160="BIOFEM",PR!$G158,IF(K160="BIOMED",PR!$H158,IF(K160="CHI",PR!$I158,IF(K160="CLARION",PR!$J158,IF(K160="CODIX",PR!$K158,IF(K160="COSMADE",PR!$L158,IF(K160="SANCON",PR!$M158,IF(K160="DEVON",PR!$N158,IF(K160="DORTEMAG",PR!$O158,IF(K160="DGF",PR!$P158,IF(K160="DYNAMIC",PR!$Q158,IF(K160="EMZOR",PR!$R158,IF(K160="EUMATT",PR!$S158,IF(K160="FIDSON",PR!$T158,IF(K160="FCGLOBAL",PR!$U158,IF(K160="GENEITH",PR!$V158,IF(K160="GINOS",PR!$W158,IF(K160="GSK",PR!$X158,IF(K160="GLOBORG",PR!$Y158,IF(K160="GOODNEWS",PR!$Z158,IF(K160="GREENLIFE",PR!$AA158,IF(K160="HLINE",PR!$AB158,IF(K160="ROTECH",PR!$AC158,IF(K160="ISN",PR!$AD158,IF(K160="JAWA",PR!$AE158,IF(K160="LAYO",PR!$AF158,IF(K160="LEADWAY",PR!$AG158,IF(K160="LHV",PR!$AH158,IF(K160="MANOLA",PR!$AI158,IF(K160="MARCSON",PR!$AJ158,IF(K160="M&amp;B",PR!$AK158,IF(K160="MTRUST",PR!$AL158,IF(K160="MWORLD",PR!$AM158,IF(K160="MEGA",PR!$AN158,IF(K160="MICRONOVA",PR!$AO158,IF(K160="MFLASH",PR!$AP158,IF(K160="MORISON",PR!$AQ158,IF(K160="NEMEL",PR!$AR158,IF(K160="NHP",PR!$AS158,IF(K160="NHC",PR!$AT158,IF(K160="OLEAF",PR!$AU158,IF(K160="OCULUS",PR!$AV158,IF(K160="PACIFIC",PR!$AW158,IF(K160="PHAMATEX",PR!$AX158,IF(K160="PETHICS",PR!$AY158,IF(K160="PHILIPS",PR!$AZ158,IF(K160="RANBAXY",PR!$BA158,IF(K160="REALS",PR!$BB158,IF(K160="ROYAL",PR!$BC158,IF(K160="SAM",PR!$BD158,IF(K160="SEAGREEN",PR!$BE158,IF(K160="SKG",PR!$BF158,IF(K160="TAH",PR!$BG158,IF(K160="TAYLEK",PR!$BH158,IF(K160="TEMITA",PR!$BI158,IF(K160="THL",PR!$BJ158,IF(K160="UBASTIC",PR!$BK158,IF(K160="UNION",PR!$BL158,IF(K160="UNIQUE",PR!$BM158,IF(K160="VIXA",PR!$BN158,IF(K160="WWCV",PR!$BO158,IF(K160="ZOLON",PR!$BP158,"-")))))))))))))))))))))))))))))))))))))))))))))))))))))))))))))))))</f>
        <v>9500</v>
      </c>
    </row>
    <row r="161" spans="1:12" ht="18.75" x14ac:dyDescent="0.3">
      <c r="A161" s="430">
        <f>PR!A159</f>
        <v>141</v>
      </c>
      <c r="B161" s="15" t="str">
        <f>PR!B159</f>
        <v>VILDAGLIPTIN/METFORMIN 50/500MG TAB</v>
      </c>
      <c r="C161" s="113">
        <f>PR!D159</f>
        <v>60</v>
      </c>
      <c r="D161" s="113">
        <f>PR!C159</f>
        <v>100</v>
      </c>
      <c r="E161" s="108">
        <f>IF(F161="ALPHA",PR!$E159,IF(F161="ASSENE",PR!$F159,IF(F161="BIOFEM",PR!$G159,IF(F161="BIOMED",PR!$H159,IF(F161="CHI",PR!$I159,IF(F161="CLARION",PR!$J159,IF(F161="CODIX",PR!$K159,IF(F161="COSMADE",PR!$L159,IF(F161="SANCON",PR!$M159,IF(F161="DEVON",PR!$N159,IF(F161="DORTEMAG",PR!$O159,IF(F161="DGF",PR!$P159,IF(F161="DYNAMIC",PR!$Q159,IF(F161="EMZOR",PR!$R159,IF(F161="EUMATT",PR!$S159,IF(F161="FIDSON",PR!$T159,IF(F161="FCGLOBAL",PR!$U159,IF(F161="GENEITH",PR!$V159,IF(F161="GINOS",PR!$W159,IF(F161="GSK",PR!$X159,IF(F161="GLOBORG",PR!$Y159,IF(F161="GOODNEWS",PR!$Z159,IF(F161="GREENLIFE",PR!$AA159,IF(F161="HLINE",PR!$AB159,IF(F161="ROTECH",PR!$AC159,IF(F161="ISN",PR!$AD159,IF(F161="JAWA",PR!$AE159,IF(F161="LAYO",PR!$AF159,IF(F161="LEADWAY",PR!$AG159,IF(F161="LHV",PR!$AH159,IF(F161="MANOLA",PR!$AI159,IF(F161="MARCSON",PR!$AJ159,IF(F161="M&amp;B",PR!$AK159,IF(F161="MTRUST",PR!$AL159,IF(F161="MWORLD",PR!$AM159,IF(F161="MEGA",PR!$AN159,IF(F161="MICRONOVA",PR!$AO159,IF(F161="MFLASH",PR!$AP159,IF(F161="MORISON",PR!$AQ159,IF(F161="NEMEL",PR!$AR159,IF(F161="NHP",PR!$AS159,IF(F161="NHC",PR!$AT159,IF(F161="OLEAF",PR!$AU159,IF(F161="OCULUS",PR!$AV159,IF(F161="PACIFIC",PR!$AW159,IF(F161="PHAMATEX",PR!$AX159,IF(F161="PETHICS",PR!$AY159,IF(F161="PHILIPS",PR!$AZ159,IF(F161="RANBAXY",PR!$BA159,IF(F161="REALS",PR!$BB159,IF(F161="ROYAL",PR!$BC159,IF(F161="SAM",PR!$BD159,IF(F161="SEAGREEN",PR!$BE159,IF(F161="SKG",PR!$BF159,IF(F161="TAH",PR!$BG159,IF(F161="TAYLEK",PR!$BH159,IF(F161="TEMITA",PR!$BI159,IF(F161="THL",PR!$BJ159,IF(F161="UBASTIC",PR!$BK159,IF(F161="UNION",PR!$BL159,IF(F161="UNIQUE",PR!$BM159,IF(F161="VIXA",PR!$BN159,IF(F161="WWCV",PR!$BO159,IF(F161="ZOLON",PR!$BP159,"-"))))))))))))))))))))))))))))))))))))))))))))))))))))))))))))))))</f>
        <v>9500</v>
      </c>
      <c r="F161" s="102" t="str">
        <f>EV!L205</f>
        <v>EUMATT</v>
      </c>
      <c r="G161" s="108">
        <f>IF(H161="ALPHA",PR!$E159,IF(H161="ASSENE",PR!$F159,IF(H161="BIOFEM",PR!$G159,IF(H161="BIOMED",PR!$H159,IF(H161="CHI",PR!$I159,IF(H161="CLARION",PR!$J159,IF(H161="CODIX",PR!$K159,IF(H161="COSMADE",PR!$L159,IF(H161="SANCON",PR!$M159,IF(H161="DEVON",PR!$N159,IF(H161="DORTEMAG",PR!$O159,IF(H161="DGF",PR!$P159,IF(H161="DYNAMIC",PR!$Q159,IF(H161="EMZOR",PR!$R159,IF(H161="EUMATT",PR!$S159,IF(H161="FIDSON",PR!$T159,IF(H161="FCGLOBAL",PR!$U159,IF(H161="GENEITH",PR!$V159,IF(H161="GINOS",PR!$W159,IF(H161="GSK",PR!$X159,IF(H161="GLOBORG",PR!$Y159,IF(H161="GOODNEWS",PR!$Z159,IF(H161="GREENLIFE",PR!$AA159,IF(H161="HLINE",PR!$AB159,IF(H161="ROTECH",PR!$AC159,IF(H161="ISN",PR!$AD159,IF(H161="JAWA",PR!$AE159,IF(H161="LAYO",PR!$AF159,IF(H161="LEADWAY",PR!$AG159,IF(H161="LHV",PR!$AH159,IF(H161="MANOLA",PR!$AI159,IF(H161="MARCSON",PR!$AJ159,IF(H161="M&amp;B",PR!$AK159,IF(H161="MTRUST",PR!$AL159,IF(H161="MWORLD",PR!$AM159,IF(H161="MEGA",PR!$AN159,IF(H161="MICRONOVA",PR!$AO159,IF(H161="MFLASH",PR!$AP159,IF(H161="MORISON",PR!$AQ159,IF(H161="NEMEL",PR!$AR159,IF(H161="NHP",PR!$AS159,IF(H161="NHC",PR!$AT159,IF(H161="OLEAF",PR!$AU159,IF(H161="OCULUS",PR!$AV159,IF(H161="PACIFIC",PR!$AW159,IF(H161="PHAMATEX",PR!$AX159,IF(H161="PETHICS",PR!$AY159,IF(H161="PHILIPS",PR!$AZ159,IF(H161="RANBAXY",PR!$BA159,IF(H161="REALS",PR!$BB159,IF(H161="ROYAL",PR!$BC159,IF(H161="SAM",PR!$BD159,IF(H161="SEAGREEN",PR!$BE159,IF(H161="SKG",PR!$BF159,IF(H161="TAH",PR!$BG159,IF(H161="TAYLEK",PR!$BH159,IF(H161="TEMITA",PR!$BI159,IF(H161="THL",PR!$BJ159,IF(H161="UBASTIC",PR!$BK159,IF(H161="UNION",PR!$BL159,IF(H161="UNIQUE",PR!$BM159,IF(H161="VIXA",PR!$BN159,IF(H161="WWCV",PR!$BO159,IF(H161="ZOLON",PR!$BP159,"-"))))))))))))))))))))))))))))))))))))))))))))))))))))))))))))))))</f>
        <v>10292</v>
      </c>
      <c r="H161" s="102" t="str">
        <f>EV!M205</f>
        <v>WWCV</v>
      </c>
      <c r="I161" s="108" t="str">
        <f>IF(J161="ALPHA",PR!$E159,IF(J161="ASSENE",PR!$F159,IF(J161="BIOFEM",PR!$G159,IF(J161="BIOMED",PR!$H159,IF(J161="CHI",PR!$I159,IF(J161="CLARION",PR!$J159,IF(J161="CODIX",PR!$K159,IF(J161="COSMADE",PR!$L159,IF(J161="SANCON",PR!$M159,IF(J161="DEVON",PR!$N159,IF(J161="DORTEMAG",PR!$O159,IF(J161="DGF",PR!$P159,IF(J161="DYNAMIC",PR!$Q159,IF(J161="EMZOR",PR!$R159,IF(J161="EUMATT",PR!$S159,IF(J161="FIDSON",PR!$T159,IF(J161="FCGLOBAL",PR!$U159,IF(J161="GENEITH",PR!$V159,IF(J161="GINOS",PR!$W159,IF(J161="GSK",PR!$X159,IF(J161="GLOBORG",PR!$Y159,IF(J161="GOODNEWS",PR!$Z159,IF(J161="GREENLIFE",PR!$AA159,IF(J161="HLINE",PR!$AB159,IF(J161="ROTECH",PR!$AC159,IF(J161="ISN",PR!$AD159,IF(J161="JAWA",PR!$AE159,IF(J161="LAYO",PR!$AF159,IF(J161="LEADWAY",PR!$AG159,IF(J161="LHV",PR!$AH159,IF(J161="MANOLA",PR!$AI159,IF(J161="MARCSON",PR!$AJ159,IF(J161="M&amp;B",PR!$AK159,IF(J161="MTRUST",PR!$AL159,IF(J161="MWORLD",PR!$AM159,IF(J161="MEGA",PR!$AN159,IF(J161="MICRONOVA",PR!$AO159,IF(J161="MFLASH",PR!$AP159,IF(J161="MORISON",PR!$AQ159,IF(J161="NEMEL",PR!$AR159,IF(J161="NHP",PR!$AS159,IF(J161="NHC",PR!$AT159,IF(J161="OLEAF",PR!$AU159,IF(J161="OCULUS",PR!$AV159,IF(J161="PACIFIC",PR!$AW159,IF(J161="PHAMATEX",PR!$AX159,IF(J161="PETHICS",PR!$AY159,IF(J161="PHILIPS",PR!$AZ159,IF(J161="RANBAXY",PR!$BA159,IF(J161="REALS",PR!$BB159,IF(J161="ROYAL",PR!$BC159,IF(J161="SAM",PR!$BD159,IF(J161="SEAGREEN",PR!$BE159,IF(J161="SKG",PR!$BF159,IF(J161="TAH",PR!$BG159,IF(J161="TAYLEK",PR!$BH159,IF(J161="TEMITA",PR!$BI159,IF(J161="THL",PR!$BJ159,IF(J161="UBASTIC",PR!$BK159,IF(J161="UNION",PR!$BL159,IF(J161="UNIQUE",PR!$BM159,IF(J161="VIXA",PR!$BN159,IF(J161="WWCV",PR!$BO159,IF(J161="ZOLON",PR!$BP159,"-"))))))))))))))))))))))))))))))))))))))))))))))))))))))))))))))))</f>
        <v>-</v>
      </c>
      <c r="J161" s="102">
        <f>EV!N205</f>
        <v>0</v>
      </c>
      <c r="K161" s="433" t="s">
        <v>821</v>
      </c>
      <c r="L161" s="183">
        <f>IF(K161&gt;0,IF(K161="ALPHA",PR!$E159,IF(K161="ASSENE",PR!$F159,IF(K161="BIOFEM",PR!$G159,IF(K161="BIOMED",PR!$H159,IF(K161="CHI",PR!$I159,IF(K161="CLARION",PR!$J159,IF(K161="CODIX",PR!$K159,IF(K161="COSMADE",PR!$L159,IF(K161="SANCON",PR!$M159,IF(K161="DEVON",PR!$N159,IF(K161="DORTEMAG",PR!$O159,IF(K161="DGF",PR!$P159,IF(K161="DYNAMIC",PR!$Q159,IF(K161="EMZOR",PR!$R159,IF(K161="EUMATT",PR!$S159,IF(K161="FIDSON",PR!$T159,IF(K161="FCGLOBAL",PR!$U159,IF(K161="GENEITH",PR!$V159,IF(K161="GINOS",PR!$W159,IF(K161="GSK",PR!$X159,IF(K161="GLOBORG",PR!$Y159,IF(K161="GOODNEWS",PR!$Z159,IF(K161="GREENLIFE",PR!$AA159,IF(K161="HLINE",PR!$AB159,IF(K161="ROTECH",PR!$AC159,IF(K161="ISN",PR!$AD159,IF(K161="JAWA",PR!$AE159,IF(K161="LAYO",PR!$AF159,IF(K161="LEADWAY",PR!$AG159,IF(K161="LHV",PR!$AH159,IF(K161="MANOLA",PR!$AI159,IF(K161="MARCSON",PR!$AJ159,IF(K161="M&amp;B",PR!$AK159,IF(K161="MTRUST",PR!$AL159,IF(K161="MWORLD",PR!$AM159,IF(K161="MEGA",PR!$AN159,IF(K161="MICRONOVA",PR!$AO159,IF(K161="MFLASH",PR!$AP159,IF(K161="MORISON",PR!$AQ159,IF(K161="NEMEL",PR!$AR159,IF(K161="NHP",PR!$AS159,IF(K161="NHC",PR!$AT159,IF(K161="OLEAF",PR!$AU159,IF(K161="OCULUS",PR!$AV159,IF(K161="PACIFIC",PR!$AW159,IF(K161="PHAMATEX",PR!$AX159,IF(K161="PETHICS",PR!$AY159,IF(K161="PHILIPS",PR!$AZ159,IF(K161="RANBAXY",PR!$BA159,IF(K161="REALS",PR!$BB159,IF(K161="ROYAL",PR!$BC159,IF(K161="SAM",PR!$BD159,IF(K161="SEAGREEN",PR!$BE159,IF(K161="SKG",PR!$BF159,IF(K161="TAH",PR!$BG159,IF(K161="TAYLEK",PR!$BH159,IF(K161="TEMITA",PR!$BI159,IF(K161="THL",PR!$BJ159,IF(K161="UBASTIC",PR!$BK159,IF(K161="UNION",PR!$BL159,IF(K161="UNIQUE",PR!$BM159,IF(K161="VIXA",PR!$BN159,IF(K161="WWCV",PR!$BO159,IF(K161="ZOLON",PR!$BP159,"-")))))))))))))))))))))))))))))))))))))))))))))))))))))))))))))))))</f>
        <v>9500</v>
      </c>
    </row>
    <row r="162" spans="1:12" ht="18.75" x14ac:dyDescent="0.3">
      <c r="A162" s="430">
        <f>PR!A160</f>
        <v>0</v>
      </c>
      <c r="B162" s="15">
        <f>PR!B160</f>
        <v>0</v>
      </c>
      <c r="C162" s="113">
        <f>PR!D160</f>
        <v>0</v>
      </c>
      <c r="D162" s="113">
        <f>PR!C160</f>
        <v>0</v>
      </c>
      <c r="E162" s="108" t="str">
        <f>IF(F162="ALPHA",PR!$E160,IF(F162="ASSENE",PR!$F160,IF(F162="BIOFEM",PR!$G160,IF(F162="BIOMED",PR!$H160,IF(F162="CHI",PR!$I160,IF(F162="CLARION",PR!$J160,IF(F162="CODIX",PR!$K160,IF(F162="COSMADE",PR!$L160,IF(F162="SANCON",PR!$M160,IF(F162="DEVON",PR!$N160,IF(F162="DORTEMAG",PR!$O160,IF(F162="DGF",PR!$P160,IF(F162="DYNAMIC",PR!$Q160,IF(F162="EMZOR",PR!$R160,IF(F162="EUMATT",PR!$S160,IF(F162="FIDSON",PR!$T160,IF(F162="FCGLOBAL",PR!$U160,IF(F162="GENEITH",PR!$V160,IF(F162="GINOS",PR!$W160,IF(F162="GSK",PR!$X160,IF(F162="GLOBORG",PR!$Y160,IF(F162="GOODNEWS",PR!$Z160,IF(F162="GREENLIFE",PR!$AA160,IF(F162="HLINE",PR!$AB160,IF(F162="ROTECH",PR!$AC160,IF(F162="ISN",PR!$AD160,IF(F162="JAWA",PR!$AE160,IF(F162="LAYO",PR!$AF160,IF(F162="LEADWAY",PR!$AG160,IF(F162="LHV",PR!$AH160,IF(F162="MANOLA",PR!$AI160,IF(F162="MARCSON",PR!$AJ160,IF(F162="M&amp;B",PR!$AK160,IF(F162="MTRUST",PR!$AL160,IF(F162="MWORLD",PR!$AM160,IF(F162="MEGA",PR!$AN160,IF(F162="MICRONOVA",PR!$AO160,IF(F162="MFLASH",PR!$AP160,IF(F162="MORISON",PR!$AQ160,IF(F162="NEMEL",PR!$AR160,IF(F162="NHP",PR!$AS160,IF(F162="NHC",PR!$AT160,IF(F162="OLEAF",PR!$AU160,IF(F162="OCULUS",PR!$AV160,IF(F162="PACIFIC",PR!$AW160,IF(F162="PHAMATEX",PR!$AX160,IF(F162="PETHICS",PR!$AY160,IF(F162="PHILIPS",PR!$AZ160,IF(F162="RANBAXY",PR!$BA160,IF(F162="REALS",PR!$BB160,IF(F162="ROYAL",PR!$BC160,IF(F162="SAM",PR!$BD160,IF(F162="SEAGREEN",PR!$BE160,IF(F162="SKG",PR!$BF160,IF(F162="TAH",PR!$BG160,IF(F162="TAYLEK",PR!$BH160,IF(F162="TEMITA",PR!$BI160,IF(F162="THL",PR!$BJ160,IF(F162="UBASTIC",PR!$BK160,IF(F162="UNION",PR!$BL160,IF(F162="UNIQUE",PR!$BM160,IF(F162="VIXA",PR!$BN160,IF(F162="WWCV",PR!$BO160,IF(F162="ZOLON",PR!$BP160,"-"))))))))))))))))))))))))))))))))))))))))))))))))))))))))))))))))</f>
        <v>-</v>
      </c>
      <c r="F162" s="102"/>
      <c r="G162" s="108" t="str">
        <f>IF(H162="ALPHA",PR!$E160,IF(H162="ASSENE",PR!$F160,IF(H162="BIOFEM",PR!$G160,IF(H162="BIOMED",PR!$H160,IF(H162="CHI",PR!$I160,IF(H162="CLARION",PR!$J160,IF(H162="CODIX",PR!$K160,IF(H162="COSMADE",PR!$L160,IF(H162="SANCON",PR!$M160,IF(H162="DEVON",PR!$N160,IF(H162="DORTEMAG",PR!$O160,IF(H162="DGF",PR!$P160,IF(H162="DYNAMIC",PR!$Q160,IF(H162="EMZOR",PR!$R160,IF(H162="EUMATT",PR!$S160,IF(H162="FIDSON",PR!$T160,IF(H162="FCGLOBAL",PR!$U160,IF(H162="GENEITH",PR!$V160,IF(H162="GINOS",PR!$W160,IF(H162="GSK",PR!$X160,IF(H162="GLOBORG",PR!$Y160,IF(H162="GOODNEWS",PR!$Z160,IF(H162="GREENLIFE",PR!$AA160,IF(H162="HLINE",PR!$AB160,IF(H162="ROTECH",PR!$AC160,IF(H162="ISN",PR!$AD160,IF(H162="JAWA",PR!$AE160,IF(H162="LAYO",PR!$AF160,IF(H162="LEADWAY",PR!$AG160,IF(H162="LHV",PR!$AH160,IF(H162="MANOLA",PR!$AI160,IF(H162="MARCSON",PR!$AJ160,IF(H162="M&amp;B",PR!$AK160,IF(H162="MTRUST",PR!$AL160,IF(H162="MWORLD",PR!$AM160,IF(H162="MEGA",PR!$AN160,IF(H162="MICRONOVA",PR!$AO160,IF(H162="MFLASH",PR!$AP160,IF(H162="MORISON",PR!$AQ160,IF(H162="NEMEL",PR!$AR160,IF(H162="NHP",PR!$AS160,IF(H162="NHC",PR!$AT160,IF(H162="OLEAF",PR!$AU160,IF(H162="OCULUS",PR!$AV160,IF(H162="PACIFIC",PR!$AW160,IF(H162="PHAMATEX",PR!$AX160,IF(H162="PETHICS",PR!$AY160,IF(H162="PHILIPS",PR!$AZ160,IF(H162="RANBAXY",PR!$BA160,IF(H162="REALS",PR!$BB160,IF(H162="ROYAL",PR!$BC160,IF(H162="SAM",PR!$BD160,IF(H162="SEAGREEN",PR!$BE160,IF(H162="SKG",PR!$BF160,IF(H162="TAH",PR!$BG160,IF(H162="TAYLEK",PR!$BH160,IF(H162="TEMITA",PR!$BI160,IF(H162="THL",PR!$BJ160,IF(H162="UBASTIC",PR!$BK160,IF(H162="UNION",PR!$BL160,IF(H162="UNIQUE",PR!$BM160,IF(H162="VIXA",PR!$BN160,IF(H162="WWCV",PR!$BO160,IF(H162="ZOLON",PR!$BP160,"-"))))))))))))))))))))))))))))))))))))))))))))))))))))))))))))))))</f>
        <v>-</v>
      </c>
      <c r="H162" s="102"/>
      <c r="I162" s="108" t="str">
        <f>IF(J162="ALPHA",PR!$E160,IF(J162="ASSENE",PR!$F160,IF(J162="BIOFEM",PR!$G160,IF(J162="BIOMED",PR!$H160,IF(J162="CHI",PR!$I160,IF(J162="CLARION",PR!$J160,IF(J162="CODIX",PR!$K160,IF(J162="COSMADE",PR!$L160,IF(J162="SANCON",PR!$M160,IF(J162="DEVON",PR!$N160,IF(J162="DORTEMAG",PR!$O160,IF(J162="DGF",PR!$P160,IF(J162="DYNAMIC",PR!$Q160,IF(J162="EMZOR",PR!$R160,IF(J162="EUMATT",PR!$S160,IF(J162="FIDSON",PR!$T160,IF(J162="FCGLOBAL",PR!$U160,IF(J162="GENEITH",PR!$V160,IF(J162="GINOS",PR!$W160,IF(J162="GSK",PR!$X160,IF(J162="GLOBORG",PR!$Y160,IF(J162="GOODNEWS",PR!$Z160,IF(J162="GREENLIFE",PR!$AA160,IF(J162="HLINE",PR!$AB160,IF(J162="ROTECH",PR!$AC160,IF(J162="ISN",PR!$AD160,IF(J162="JAWA",PR!$AE160,IF(J162="LAYO",PR!$AF160,IF(J162="LEADWAY",PR!$AG160,IF(J162="LHV",PR!$AH160,IF(J162="MANOLA",PR!$AI160,IF(J162="MARCSON",PR!$AJ160,IF(J162="M&amp;B",PR!$AK160,IF(J162="MTRUST",PR!$AL160,IF(J162="MWORLD",PR!$AM160,IF(J162="MEGA",PR!$AN160,IF(J162="MICRONOVA",PR!$AO160,IF(J162="MFLASH",PR!$AP160,IF(J162="MORISON",PR!$AQ160,IF(J162="NEMEL",PR!$AR160,IF(J162="NHP",PR!$AS160,IF(J162="NHC",PR!$AT160,IF(J162="OLEAF",PR!$AU160,IF(J162="OCULUS",PR!$AV160,IF(J162="PACIFIC",PR!$AW160,IF(J162="PHAMATEX",PR!$AX160,IF(J162="PETHICS",PR!$AY160,IF(J162="PHILIPS",PR!$AZ160,IF(J162="RANBAXY",PR!$BA160,IF(J162="REALS",PR!$BB160,IF(J162="ROYAL",PR!$BC160,IF(J162="SAM",PR!$BD160,IF(J162="SEAGREEN",PR!$BE160,IF(J162="SKG",PR!$BF160,IF(J162="TAH",PR!$BG160,IF(J162="TAYLEK",PR!$BH160,IF(J162="TEMITA",PR!$BI160,IF(J162="THL",PR!$BJ160,IF(J162="UBASTIC",PR!$BK160,IF(J162="UNION",PR!$BL160,IF(J162="UNIQUE",PR!$BM160,IF(J162="VIXA",PR!$BN160,IF(J162="WWCV",PR!$BO160,IF(J162="ZOLON",PR!$BP160,"-"))))))))))))))))))))))))))))))))))))))))))))))))))))))))))))))))</f>
        <v>-</v>
      </c>
      <c r="J162" s="102"/>
      <c r="K162" s="433"/>
      <c r="L162" s="183" t="b">
        <f>IF(K162&gt;0,IF(K162="ALPHA",PR!$E160,IF(K162="ASSENE",PR!$F160,IF(K162="BIOFEM",PR!$G160,IF(K162="BIOMED",PR!$H160,IF(K162="CHI",PR!$I160,IF(K162="CLARION",PR!$J160,IF(K162="CODIX",PR!$K160,IF(K162="COSMADE",PR!$L160,IF(K162="SANCON",PR!$M160,IF(K162="DEVON",PR!$N160,IF(K162="DORTEMAG",PR!$O160,IF(K162="DGF",PR!$P160,IF(K162="DYNAMIC",PR!$Q160,IF(K162="EMZOR",PR!$R160,IF(K162="EUMATT",PR!$S160,IF(K162="FIDSON",PR!$T160,IF(K162="FCGLOBAL",PR!$U160,IF(K162="GENEITH",PR!$V160,IF(K162="GINOS",PR!$W160,IF(K162="GSK",PR!$X160,IF(K162="GLOBORG",PR!$Y160,IF(K162="GOODNEWS",PR!$Z160,IF(K162="GREENLIFE",PR!$AA160,IF(K162="HLINE",PR!$AB160,IF(K162="ROTECH",PR!$AC160,IF(K162="ISN",PR!$AD160,IF(K162="JAWA",PR!$AE160,IF(K162="LAYO",PR!$AF160,IF(K162="LEADWAY",PR!$AG160,IF(K162="LHV",PR!$AH160,IF(K162="MANOLA",PR!$AI160,IF(K162="MARCSON",PR!$AJ160,IF(K162="M&amp;B",PR!$AK160,IF(K162="MTRUST",PR!$AL160,IF(K162="MWORLD",PR!$AM160,IF(K162="MEGA",PR!$AN160,IF(K162="MICRONOVA",PR!$AO160,IF(K162="MFLASH",PR!$AP160,IF(K162="MORISON",PR!$AQ160,IF(K162="NEMEL",PR!$AR160,IF(K162="NHP",PR!$AS160,IF(K162="NHC",PR!$AT160,IF(K162="OLEAF",PR!$AU160,IF(K162="OCULUS",PR!$AV160,IF(K162="PACIFIC",PR!$AW160,IF(K162="PHAMATEX",PR!$AX160,IF(K162="PETHICS",PR!$AY160,IF(K162="PHILIPS",PR!$AZ160,IF(K162="RANBAXY",PR!$BA160,IF(K162="REALS",PR!$BB160,IF(K162="ROYAL",PR!$BC160,IF(K162="SAM",PR!$BD160,IF(K162="SEAGREEN",PR!$BE160,IF(K162="SKG",PR!$BF160,IF(K162="TAH",PR!$BG160,IF(K162="TAYLEK",PR!$BH160,IF(K162="TEMITA",PR!$BI160,IF(K162="THL",PR!$BJ160,IF(K162="UBASTIC",PR!$BK160,IF(K162="UNION",PR!$BL160,IF(K162="UNIQUE",PR!$BM160,IF(K162="VIXA",PR!$BN160,IF(K162="WWCV",PR!$BO160,IF(K162="ZOLON",PR!$BP160,"-")))))))))))))))))))))))))))))))))))))))))))))))))))))))))))))))))</f>
        <v>0</v>
      </c>
    </row>
    <row r="163" spans="1:12" ht="18.75" x14ac:dyDescent="0.3">
      <c r="A163" s="430">
        <f>PR!A161</f>
        <v>0</v>
      </c>
      <c r="B163" s="15">
        <f>PR!B161</f>
        <v>0</v>
      </c>
      <c r="C163" s="113">
        <f>PR!D161</f>
        <v>0</v>
      </c>
      <c r="D163" s="113">
        <f>PR!C161</f>
        <v>0</v>
      </c>
      <c r="E163" s="108" t="str">
        <f>IF(F163="ALPHA",PR!$E161,IF(F163="ASSENE",PR!$F161,IF(F163="BIOFEM",PR!$G161,IF(F163="BIOMED",PR!$H161,IF(F163="CHI",PR!$I161,IF(F163="CLARION",PR!$J161,IF(F163="CODIX",PR!$K161,IF(F163="COSMADE",PR!$L161,IF(F163="SANCON",PR!$M161,IF(F163="DEVON",PR!$N161,IF(F163="DORTEMAG",PR!$O161,IF(F163="DGF",PR!$P161,IF(F163="DYNAMIC",PR!$Q161,IF(F163="EMZOR",PR!$R161,IF(F163="EUMATT",PR!$S161,IF(F163="FIDSON",PR!$T161,IF(F163="FCGLOBAL",PR!$U161,IF(F163="GENEITH",PR!$V161,IF(F163="GINOS",PR!$W161,IF(F163="GSK",PR!$X161,IF(F163="GLOBORG",PR!$Y161,IF(F163="GOODNEWS",PR!$Z161,IF(F163="GREENLIFE",PR!$AA161,IF(F163="HLINE",PR!$AB161,IF(F163="ROTECH",PR!$AC161,IF(F163="ISN",PR!$AD161,IF(F163="JAWA",PR!$AE161,IF(F163="LAYO",PR!$AF161,IF(F163="LEADWAY",PR!$AG161,IF(F163="LHV",PR!$AH161,IF(F163="MANOLA",PR!$AI161,IF(F163="MARCSON",PR!$AJ161,IF(F163="M&amp;B",PR!$AK161,IF(F163="MTRUST",PR!$AL161,IF(F163="MWORLD",PR!$AM161,IF(F163="MEGA",PR!$AN161,IF(F163="MICRONOVA",PR!$AO161,IF(F163="MFLASH",PR!$AP161,IF(F163="MORISON",PR!$AQ161,IF(F163="NEMEL",PR!$AR161,IF(F163="NHP",PR!$AS161,IF(F163="NHC",PR!$AT161,IF(F163="OLEAF",PR!$AU161,IF(F163="OCULUS",PR!$AV161,IF(F163="PACIFIC",PR!$AW161,IF(F163="PHAMATEX",PR!$AX161,IF(F163="PETHICS",PR!$AY161,IF(F163="PHILIPS",PR!$AZ161,IF(F163="RANBAXY",PR!$BA161,IF(F163="REALS",PR!$BB161,IF(F163="ROYAL",PR!$BC161,IF(F163="SAM",PR!$BD161,IF(F163="SEAGREEN",PR!$BE161,IF(F163="SKG",PR!$BF161,IF(F163="TAH",PR!$BG161,IF(F163="TAYLEK",PR!$BH161,IF(F163="TEMITA",PR!$BI161,IF(F163="THL",PR!$BJ161,IF(F163="UBASTIC",PR!$BK161,IF(F163="UNION",PR!$BL161,IF(F163="UNIQUE",PR!$BM161,IF(F163="VIXA",PR!$BN161,IF(F163="WWCV",PR!$BO161,IF(F163="ZOLON",PR!$BP161,"-"))))))))))))))))))))))))))))))))))))))))))))))))))))))))))))))))</f>
        <v>-</v>
      </c>
      <c r="F163" s="102"/>
      <c r="G163" s="108" t="str">
        <f>IF(H163="ALPHA",PR!$E161,IF(H163="ASSENE",PR!$F161,IF(H163="BIOFEM",PR!$G161,IF(H163="BIOMED",PR!$H161,IF(H163="CHI",PR!$I161,IF(H163="CLARION",PR!$J161,IF(H163="CODIX",PR!$K161,IF(H163="COSMADE",PR!$L161,IF(H163="SANCON",PR!$M161,IF(H163="DEVON",PR!$N161,IF(H163="DORTEMAG",PR!$O161,IF(H163="DGF",PR!$P161,IF(H163="DYNAMIC",PR!$Q161,IF(H163="EMZOR",PR!$R161,IF(H163="EUMATT",PR!$S161,IF(H163="FIDSON",PR!$T161,IF(H163="FCGLOBAL",PR!$U161,IF(H163="GENEITH",PR!$V161,IF(H163="GINOS",PR!$W161,IF(H163="GSK",PR!$X161,IF(H163="GLOBORG",PR!$Y161,IF(H163="GOODNEWS",PR!$Z161,IF(H163="GREENLIFE",PR!$AA161,IF(H163="HLINE",PR!$AB161,IF(H163="ROTECH",PR!$AC161,IF(H163="ISN",PR!$AD161,IF(H163="JAWA",PR!$AE161,IF(H163="LAYO",PR!$AF161,IF(H163="LEADWAY",PR!$AG161,IF(H163="LHV",PR!$AH161,IF(H163="MANOLA",PR!$AI161,IF(H163="MARCSON",PR!$AJ161,IF(H163="M&amp;B",PR!$AK161,IF(H163="MTRUST",PR!$AL161,IF(H163="MWORLD",PR!$AM161,IF(H163="MEGA",PR!$AN161,IF(H163="MICRONOVA",PR!$AO161,IF(H163="MFLASH",PR!$AP161,IF(H163="MORISON",PR!$AQ161,IF(H163="NEMEL",PR!$AR161,IF(H163="NHP",PR!$AS161,IF(H163="NHC",PR!$AT161,IF(H163="OLEAF",PR!$AU161,IF(H163="OCULUS",PR!$AV161,IF(H163="PACIFIC",PR!$AW161,IF(H163="PHAMATEX",PR!$AX161,IF(H163="PETHICS",PR!$AY161,IF(H163="PHILIPS",PR!$AZ161,IF(H163="RANBAXY",PR!$BA161,IF(H163="REALS",PR!$BB161,IF(H163="ROYAL",PR!$BC161,IF(H163="SAM",PR!$BD161,IF(H163="SEAGREEN",PR!$BE161,IF(H163="SKG",PR!$BF161,IF(H163="TAH",PR!$BG161,IF(H163="TAYLEK",PR!$BH161,IF(H163="TEMITA",PR!$BI161,IF(H163="THL",PR!$BJ161,IF(H163="UBASTIC",PR!$BK161,IF(H163="UNION",PR!$BL161,IF(H163="UNIQUE",PR!$BM161,IF(H163="VIXA",PR!$BN161,IF(H163="WWCV",PR!$BO161,IF(H163="ZOLON",PR!$BP161,"-"))))))))))))))))))))))))))))))))))))))))))))))))))))))))))))))))</f>
        <v>-</v>
      </c>
      <c r="H163" s="102"/>
      <c r="I163" s="108" t="str">
        <f>IF(J163="ALPHA",PR!$E161,IF(J163="ASSENE",PR!$F161,IF(J163="BIOFEM",PR!$G161,IF(J163="BIOMED",PR!$H161,IF(J163="CHI",PR!$I161,IF(J163="CLARION",PR!$J161,IF(J163="CODIX",PR!$K161,IF(J163="COSMADE",PR!$L161,IF(J163="SANCON",PR!$M161,IF(J163="DEVON",PR!$N161,IF(J163="DORTEMAG",PR!$O161,IF(J163="DGF",PR!$P161,IF(J163="DYNAMIC",PR!$Q161,IF(J163="EMZOR",PR!$R161,IF(J163="EUMATT",PR!$S161,IF(J163="FIDSON",PR!$T161,IF(J163="FCGLOBAL",PR!$U161,IF(J163="GENEITH",PR!$V161,IF(J163="GINOS",PR!$W161,IF(J163="GSK",PR!$X161,IF(J163="GLOBORG",PR!$Y161,IF(J163="GOODNEWS",PR!$Z161,IF(J163="GREENLIFE",PR!$AA161,IF(J163="HLINE",PR!$AB161,IF(J163="ROTECH",PR!$AC161,IF(J163="ISN",PR!$AD161,IF(J163="JAWA",PR!$AE161,IF(J163="LAYO",PR!$AF161,IF(J163="LEADWAY",PR!$AG161,IF(J163="LHV",PR!$AH161,IF(J163="MANOLA",PR!$AI161,IF(J163="MARCSON",PR!$AJ161,IF(J163="M&amp;B",PR!$AK161,IF(J163="MTRUST",PR!$AL161,IF(J163="MWORLD",PR!$AM161,IF(J163="MEGA",PR!$AN161,IF(J163="MICRONOVA",PR!$AO161,IF(J163="MFLASH",PR!$AP161,IF(J163="MORISON",PR!$AQ161,IF(J163="NEMEL",PR!$AR161,IF(J163="NHP",PR!$AS161,IF(J163="NHC",PR!$AT161,IF(J163="OLEAF",PR!$AU161,IF(J163="OCULUS",PR!$AV161,IF(J163="PACIFIC",PR!$AW161,IF(J163="PHAMATEX",PR!$AX161,IF(J163="PETHICS",PR!$AY161,IF(J163="PHILIPS",PR!$AZ161,IF(J163="RANBAXY",PR!$BA161,IF(J163="REALS",PR!$BB161,IF(J163="ROYAL",PR!$BC161,IF(J163="SAM",PR!$BD161,IF(J163="SEAGREEN",PR!$BE161,IF(J163="SKG",PR!$BF161,IF(J163="TAH",PR!$BG161,IF(J163="TAYLEK",PR!$BH161,IF(J163="TEMITA",PR!$BI161,IF(J163="THL",PR!$BJ161,IF(J163="UBASTIC",PR!$BK161,IF(J163="UNION",PR!$BL161,IF(J163="UNIQUE",PR!$BM161,IF(J163="VIXA",PR!$BN161,IF(J163="WWCV",PR!$BO161,IF(J163="ZOLON",PR!$BP161,"-"))))))))))))))))))))))))))))))))))))))))))))))))))))))))))))))))</f>
        <v>-</v>
      </c>
      <c r="J163" s="102"/>
      <c r="K163" s="433"/>
      <c r="L163" s="183" t="b">
        <f>IF(K163&gt;0,IF(K163="ALPHA",PR!$E161,IF(K163="ASSENE",PR!$F161,IF(K163="BIOFEM",PR!$G161,IF(K163="BIOMED",PR!$H161,IF(K163="CHI",PR!$I161,IF(K163="CLARION",PR!$J161,IF(K163="CODIX",PR!$K161,IF(K163="COSMADE",PR!$L161,IF(K163="SANCON",PR!$M161,IF(K163="DEVON",PR!$N161,IF(K163="DORTEMAG",PR!$O161,IF(K163="DGF",PR!$P161,IF(K163="DYNAMIC",PR!$Q161,IF(K163="EMZOR",PR!$R161,IF(K163="EUMATT",PR!$S161,IF(K163="FIDSON",PR!$T161,IF(K163="FCGLOBAL",PR!$U161,IF(K163="GENEITH",PR!$V161,IF(K163="GINOS",PR!$W161,IF(K163="GSK",PR!$X161,IF(K163="GLOBORG",PR!$Y161,IF(K163="GOODNEWS",PR!$Z161,IF(K163="GREENLIFE",PR!$AA161,IF(K163="HLINE",PR!$AB161,IF(K163="ROTECH",PR!$AC161,IF(K163="ISN",PR!$AD161,IF(K163="JAWA",PR!$AE161,IF(K163="LAYO",PR!$AF161,IF(K163="LEADWAY",PR!$AG161,IF(K163="LHV",PR!$AH161,IF(K163="MANOLA",PR!$AI161,IF(K163="MARCSON",PR!$AJ161,IF(K163="M&amp;B",PR!$AK161,IF(K163="MTRUST",PR!$AL161,IF(K163="MWORLD",PR!$AM161,IF(K163="MEGA",PR!$AN161,IF(K163="MICRONOVA",PR!$AO161,IF(K163="MFLASH",PR!$AP161,IF(K163="MORISON",PR!$AQ161,IF(K163="NEMEL",PR!$AR161,IF(K163="NHP",PR!$AS161,IF(K163="NHC",PR!$AT161,IF(K163="OLEAF",PR!$AU161,IF(K163="OCULUS",PR!$AV161,IF(K163="PACIFIC",PR!$AW161,IF(K163="PHAMATEX",PR!$AX161,IF(K163="PETHICS",PR!$AY161,IF(K163="PHILIPS",PR!$AZ161,IF(K163="RANBAXY",PR!$BA161,IF(K163="REALS",PR!$BB161,IF(K163="ROYAL",PR!$BC161,IF(K163="SAM",PR!$BD161,IF(K163="SEAGREEN",PR!$BE161,IF(K163="SKG",PR!$BF161,IF(K163="TAH",PR!$BG161,IF(K163="TAYLEK",PR!$BH161,IF(K163="TEMITA",PR!$BI161,IF(K163="THL",PR!$BJ161,IF(K163="UBASTIC",PR!$BK161,IF(K163="UNION",PR!$BL161,IF(K163="UNIQUE",PR!$BM161,IF(K163="VIXA",PR!$BN161,IF(K163="WWCV",PR!$BO161,IF(K163="ZOLON",PR!$BP161,"-")))))))))))))))))))))))))))))))))))))))))))))))))))))))))))))))))</f>
        <v>0</v>
      </c>
    </row>
    <row r="164" spans="1:12" ht="18.75" x14ac:dyDescent="0.3">
      <c r="A164" s="430" t="str">
        <f>PR!A162</f>
        <v>LOT 4</v>
      </c>
      <c r="B164" s="15" t="str">
        <f>PR!B162</f>
        <v>ANTI-INFLAMMATORIES/ANALGESICS/ANTIPYRETICS</v>
      </c>
      <c r="C164" s="113">
        <f>PR!D162</f>
        <v>0</v>
      </c>
      <c r="D164" s="113">
        <f>PR!C162</f>
        <v>0</v>
      </c>
      <c r="E164" s="108" t="str">
        <f>IF(F164="ALPHA",PR!$E162,IF(F164="ASSENE",PR!$F162,IF(F164="BIOFEM",PR!$G162,IF(F164="BIOMED",PR!$H162,IF(F164="CHI",PR!$I162,IF(F164="CLARION",PR!$J162,IF(F164="CODIX",PR!$K162,IF(F164="COSMADE",PR!$L162,IF(F164="SANCON",PR!$M162,IF(F164="DEVON",PR!$N162,IF(F164="DORTEMAG",PR!$O162,IF(F164="DGF",PR!$P162,IF(F164="DYNAMIC",PR!$Q162,IF(F164="EMZOR",PR!$R162,IF(F164="EUMATT",PR!$S162,IF(F164="FIDSON",PR!$T162,IF(F164="FCGLOBAL",PR!$U162,IF(F164="GENEITH",PR!$V162,IF(F164="GINOS",PR!$W162,IF(F164="GSK",PR!$X162,IF(F164="GLOBORG",PR!$Y162,IF(F164="GOODNEWS",PR!$Z162,IF(F164="GREENLIFE",PR!$AA162,IF(F164="HLINE",PR!$AB162,IF(F164="ROTECH",PR!$AC162,IF(F164="ISN",PR!$AD162,IF(F164="JAWA",PR!$AE162,IF(F164="LAYO",PR!$AF162,IF(F164="LEADWAY",PR!$AG162,IF(F164="LHV",PR!$AH162,IF(F164="MANOLA",PR!$AI162,IF(F164="MARCSON",PR!$AJ162,IF(F164="M&amp;B",PR!$AK162,IF(F164="MTRUST",PR!$AL162,IF(F164="MWORLD",PR!$AM162,IF(F164="MEGA",PR!$AN162,IF(F164="MICRONOVA",PR!$AO162,IF(F164="MFLASH",PR!$AP162,IF(F164="MORISON",PR!$AQ162,IF(F164="NEMEL",PR!$AR162,IF(F164="NHP",PR!$AS162,IF(F164="NHC",PR!$AT162,IF(F164="OLEAF",PR!$AU162,IF(F164="OCULUS",PR!$AV162,IF(F164="PACIFIC",PR!$AW162,IF(F164="PHAMATEX",PR!$AX162,IF(F164="PETHICS",PR!$AY162,IF(F164="PHILIPS",PR!$AZ162,IF(F164="RANBAXY",PR!$BA162,IF(F164="REALS",PR!$BB162,IF(F164="ROYAL",PR!$BC162,IF(F164="SAM",PR!$BD162,IF(F164="SEAGREEN",PR!$BE162,IF(F164="SKG",PR!$BF162,IF(F164="TAH",PR!$BG162,IF(F164="TAYLEK",PR!$BH162,IF(F164="TEMITA",PR!$BI162,IF(F164="THL",PR!$BJ162,IF(F164="UBASTIC",PR!$BK162,IF(F164="UNION",PR!$BL162,IF(F164="UNIQUE",PR!$BM162,IF(F164="VIXA",PR!$BN162,IF(F164="WWCV",PR!$BO162,IF(F164="ZOLON",PR!$BP162,"-"))))))))))))))))))))))))))))))))))))))))))))))))))))))))))))))))</f>
        <v>-</v>
      </c>
      <c r="F164" s="102"/>
      <c r="G164" s="108" t="str">
        <f>IF(H164="ALPHA",PR!$E162,IF(H164="ASSENE",PR!$F162,IF(H164="BIOFEM",PR!$G162,IF(H164="BIOMED",PR!$H162,IF(H164="CHI",PR!$I162,IF(H164="CLARION",PR!$J162,IF(H164="CODIX",PR!$K162,IF(H164="COSMADE",PR!$L162,IF(H164="SANCON",PR!$M162,IF(H164="DEVON",PR!$N162,IF(H164="DORTEMAG",PR!$O162,IF(H164="DGF",PR!$P162,IF(H164="DYNAMIC",PR!$Q162,IF(H164="EMZOR",PR!$R162,IF(H164="EUMATT",PR!$S162,IF(H164="FIDSON",PR!$T162,IF(H164="FCGLOBAL",PR!$U162,IF(H164="GENEITH",PR!$V162,IF(H164="GINOS",PR!$W162,IF(H164="GSK",PR!$X162,IF(H164="GLOBORG",PR!$Y162,IF(H164="GOODNEWS",PR!$Z162,IF(H164="GREENLIFE",PR!$AA162,IF(H164="HLINE",PR!$AB162,IF(H164="ROTECH",PR!$AC162,IF(H164="ISN",PR!$AD162,IF(H164="JAWA",PR!$AE162,IF(H164="LAYO",PR!$AF162,IF(H164="LEADWAY",PR!$AG162,IF(H164="LHV",PR!$AH162,IF(H164="MANOLA",PR!$AI162,IF(H164="MARCSON",PR!$AJ162,IF(H164="M&amp;B",PR!$AK162,IF(H164="MTRUST",PR!$AL162,IF(H164="MWORLD",PR!$AM162,IF(H164="MEGA",PR!$AN162,IF(H164="MICRONOVA",PR!$AO162,IF(H164="MFLASH",PR!$AP162,IF(H164="MORISON",PR!$AQ162,IF(H164="NEMEL",PR!$AR162,IF(H164="NHP",PR!$AS162,IF(H164="NHC",PR!$AT162,IF(H164="OLEAF",PR!$AU162,IF(H164="OCULUS",PR!$AV162,IF(H164="PACIFIC",PR!$AW162,IF(H164="PHAMATEX",PR!$AX162,IF(H164="PETHICS",PR!$AY162,IF(H164="PHILIPS",PR!$AZ162,IF(H164="RANBAXY",PR!$BA162,IF(H164="REALS",PR!$BB162,IF(H164="ROYAL",PR!$BC162,IF(H164="SAM",PR!$BD162,IF(H164="SEAGREEN",PR!$BE162,IF(H164="SKG",PR!$BF162,IF(H164="TAH",PR!$BG162,IF(H164="TAYLEK",PR!$BH162,IF(H164="TEMITA",PR!$BI162,IF(H164="THL",PR!$BJ162,IF(H164="UBASTIC",PR!$BK162,IF(H164="UNION",PR!$BL162,IF(H164="UNIQUE",PR!$BM162,IF(H164="VIXA",PR!$BN162,IF(H164="WWCV",PR!$BO162,IF(H164="ZOLON",PR!$BP162,"-"))))))))))))))))))))))))))))))))))))))))))))))))))))))))))))))))</f>
        <v>-</v>
      </c>
      <c r="H164" s="102"/>
      <c r="I164" s="108" t="str">
        <f>IF(J164="ALPHA",PR!$E162,IF(J164="ASSENE",PR!$F162,IF(J164="BIOFEM",PR!$G162,IF(J164="BIOMED",PR!$H162,IF(J164="CHI",PR!$I162,IF(J164="CLARION",PR!$J162,IF(J164="CODIX",PR!$K162,IF(J164="COSMADE",PR!$L162,IF(J164="SANCON",PR!$M162,IF(J164="DEVON",PR!$N162,IF(J164="DORTEMAG",PR!$O162,IF(J164="DGF",PR!$P162,IF(J164="DYNAMIC",PR!$Q162,IF(J164="EMZOR",PR!$R162,IF(J164="EUMATT",PR!$S162,IF(J164="FIDSON",PR!$T162,IF(J164="FCGLOBAL",PR!$U162,IF(J164="GENEITH",PR!$V162,IF(J164="GINOS",PR!$W162,IF(J164="GSK",PR!$X162,IF(J164="GLOBORG",PR!$Y162,IF(J164="GOODNEWS",PR!$Z162,IF(J164="GREENLIFE",PR!$AA162,IF(J164="HLINE",PR!$AB162,IF(J164="ROTECH",PR!$AC162,IF(J164="ISN",PR!$AD162,IF(J164="JAWA",PR!$AE162,IF(J164="LAYO",PR!$AF162,IF(J164="LEADWAY",PR!$AG162,IF(J164="LHV",PR!$AH162,IF(J164="MANOLA",PR!$AI162,IF(J164="MARCSON",PR!$AJ162,IF(J164="M&amp;B",PR!$AK162,IF(J164="MTRUST",PR!$AL162,IF(J164="MWORLD",PR!$AM162,IF(J164="MEGA",PR!$AN162,IF(J164="MICRONOVA",PR!$AO162,IF(J164="MFLASH",PR!$AP162,IF(J164="MORISON",PR!$AQ162,IF(J164="NEMEL",PR!$AR162,IF(J164="NHP",PR!$AS162,IF(J164="NHC",PR!$AT162,IF(J164="OLEAF",PR!$AU162,IF(J164="OCULUS",PR!$AV162,IF(J164="PACIFIC",PR!$AW162,IF(J164="PHAMATEX",PR!$AX162,IF(J164="PETHICS",PR!$AY162,IF(J164="PHILIPS",PR!$AZ162,IF(J164="RANBAXY",PR!$BA162,IF(J164="REALS",PR!$BB162,IF(J164="ROYAL",PR!$BC162,IF(J164="SAM",PR!$BD162,IF(J164="SEAGREEN",PR!$BE162,IF(J164="SKG",PR!$BF162,IF(J164="TAH",PR!$BG162,IF(J164="TAYLEK",PR!$BH162,IF(J164="TEMITA",PR!$BI162,IF(J164="THL",PR!$BJ162,IF(J164="UBASTIC",PR!$BK162,IF(J164="UNION",PR!$BL162,IF(J164="UNIQUE",PR!$BM162,IF(J164="VIXA",PR!$BN162,IF(J164="WWCV",PR!$BO162,IF(J164="ZOLON",PR!$BP162,"-"))))))))))))))))))))))))))))))))))))))))))))))))))))))))))))))))</f>
        <v>-</v>
      </c>
      <c r="J164" s="102"/>
      <c r="K164" s="433"/>
      <c r="L164" s="183" t="b">
        <f>IF(K164&gt;0,IF(K164="ALPHA",PR!$E162,IF(K164="ASSENE",PR!$F162,IF(K164="BIOFEM",PR!$G162,IF(K164="BIOMED",PR!$H162,IF(K164="CHI",PR!$I162,IF(K164="CLARION",PR!$J162,IF(K164="CODIX",PR!$K162,IF(K164="COSMADE",PR!$L162,IF(K164="SANCON",PR!$M162,IF(K164="DEVON",PR!$N162,IF(K164="DORTEMAG",PR!$O162,IF(K164="DGF",PR!$P162,IF(K164="DYNAMIC",PR!$Q162,IF(K164="EMZOR",PR!$R162,IF(K164="EUMATT",PR!$S162,IF(K164="FIDSON",PR!$T162,IF(K164="FCGLOBAL",PR!$U162,IF(K164="GENEITH",PR!$V162,IF(K164="GINOS",PR!$W162,IF(K164="GSK",PR!$X162,IF(K164="GLOBORG",PR!$Y162,IF(K164="GOODNEWS",PR!$Z162,IF(K164="GREENLIFE",PR!$AA162,IF(K164="HLINE",PR!$AB162,IF(K164="ROTECH",PR!$AC162,IF(K164="ISN",PR!$AD162,IF(K164="JAWA",PR!$AE162,IF(K164="LAYO",PR!$AF162,IF(K164="LEADWAY",PR!$AG162,IF(K164="LHV",PR!$AH162,IF(K164="MANOLA",PR!$AI162,IF(K164="MARCSON",PR!$AJ162,IF(K164="M&amp;B",PR!$AK162,IF(K164="MTRUST",PR!$AL162,IF(K164="MWORLD",PR!$AM162,IF(K164="MEGA",PR!$AN162,IF(K164="MICRONOVA",PR!$AO162,IF(K164="MFLASH",PR!$AP162,IF(K164="MORISON",PR!$AQ162,IF(K164="NEMEL",PR!$AR162,IF(K164="NHP",PR!$AS162,IF(K164="NHC",PR!$AT162,IF(K164="OLEAF",PR!$AU162,IF(K164="OCULUS",PR!$AV162,IF(K164="PACIFIC",PR!$AW162,IF(K164="PHAMATEX",PR!$AX162,IF(K164="PETHICS",PR!$AY162,IF(K164="PHILIPS",PR!$AZ162,IF(K164="RANBAXY",PR!$BA162,IF(K164="REALS",PR!$BB162,IF(K164="ROYAL",PR!$BC162,IF(K164="SAM",PR!$BD162,IF(K164="SEAGREEN",PR!$BE162,IF(K164="SKG",PR!$BF162,IF(K164="TAH",PR!$BG162,IF(K164="TAYLEK",PR!$BH162,IF(K164="TEMITA",PR!$BI162,IF(K164="THL",PR!$BJ162,IF(K164="UBASTIC",PR!$BK162,IF(K164="UNION",PR!$BL162,IF(K164="UNIQUE",PR!$BM162,IF(K164="VIXA",PR!$BN162,IF(K164="WWCV",PR!$BO162,IF(K164="ZOLON",PR!$BP162,"-")))))))))))))))))))))))))))))))))))))))))))))))))))))))))))))))))</f>
        <v>0</v>
      </c>
    </row>
    <row r="165" spans="1:12" ht="18.75" x14ac:dyDescent="0.3">
      <c r="A165" s="430">
        <f>PR!A163</f>
        <v>142</v>
      </c>
      <c r="B165" s="15" t="str">
        <f>PR!B163</f>
        <v xml:space="preserve">ACECLOFENAC 100MG </v>
      </c>
      <c r="C165" s="113">
        <f>PR!D163</f>
        <v>30</v>
      </c>
      <c r="D165" s="113">
        <f>PR!C163</f>
        <v>50</v>
      </c>
      <c r="E165" s="108">
        <f>IF(F165="ALPHA",PR!$E163,IF(F165="ASSENE",PR!$F163,IF(F165="BIOFEM",PR!$G163,IF(F165="BIOMED",PR!$H163,IF(F165="CHI",PR!$I163,IF(F165="CLARION",PR!$J163,IF(F165="CODIX",PR!$K163,IF(F165="COSMADE",PR!$L163,IF(F165="SANCON",PR!$M163,IF(F165="DEVON",PR!$N163,IF(F165="DORTEMAG",PR!$O163,IF(F165="DGF",PR!$P163,IF(F165="DYNAMIC",PR!$Q163,IF(F165="EMZOR",PR!$R163,IF(F165="EUMATT",PR!$S163,IF(F165="FIDSON",PR!$T163,IF(F165="FCGLOBAL",PR!$U163,IF(F165="GENEITH",PR!$V163,IF(F165="GINOS",PR!$W163,IF(F165="GSK",PR!$X163,IF(F165="GLOBORG",PR!$Y163,IF(F165="GOODNEWS",PR!$Z163,IF(F165="GREENLIFE",PR!$AA163,IF(F165="HLINE",PR!$AB163,IF(F165="ROTECH",PR!$AC163,IF(F165="ISN",PR!$AD163,IF(F165="JAWA",PR!$AE163,IF(F165="LAYO",PR!$AF163,IF(F165="LEADWAY",PR!$AG163,IF(F165="LHV",PR!$AH163,IF(F165="MANOLA",PR!$AI163,IF(F165="MARCSON",PR!$AJ163,IF(F165="M&amp;B",PR!$AK163,IF(F165="MTRUST",PR!$AL163,IF(F165="MWORLD",PR!$AM163,IF(F165="MEGA",PR!$AN163,IF(F165="MICRONOVA",PR!$AO163,IF(F165="MFLASH",PR!$AP163,IF(F165="MORISON",PR!$AQ163,IF(F165="NEMEL",PR!$AR163,IF(F165="NHP",PR!$AS163,IF(F165="NHC",PR!$AT163,IF(F165="OLEAF",PR!$AU163,IF(F165="OCULUS",PR!$AV163,IF(F165="PACIFIC",PR!$AW163,IF(F165="PHAMATEX",PR!$AX163,IF(F165="PETHICS",PR!$AY163,IF(F165="PHILIPS",PR!$AZ163,IF(F165="RANBAXY",PR!$BA163,IF(F165="REALS",PR!$BB163,IF(F165="ROYAL",PR!$BC163,IF(F165="SAM",PR!$BD163,IF(F165="SEAGREEN",PR!$BE163,IF(F165="SKG",PR!$BF163,IF(F165="TAH",PR!$BG163,IF(F165="TAYLEK",PR!$BH163,IF(F165="TEMITA",PR!$BI163,IF(F165="THL",PR!$BJ163,IF(F165="UBASTIC",PR!$BK163,IF(F165="UNION",PR!$BL163,IF(F165="UNIQUE",PR!$BM163,IF(F165="VIXA",PR!$BN163,IF(F165="WWCV",PR!$BO163,IF(F165="ZOLON",PR!$BP163,"-"))))))))))))))))))))))))))))))))))))))))))))))))))))))))))))))))</f>
        <v>200</v>
      </c>
      <c r="F165" s="102" t="str">
        <f>EV!L206</f>
        <v>HLINE</v>
      </c>
      <c r="G165" s="108">
        <f>IF(H165="ALPHA",PR!$E163,IF(H165="ASSENE",PR!$F163,IF(H165="BIOFEM",PR!$G163,IF(H165="BIOMED",PR!$H163,IF(H165="CHI",PR!$I163,IF(H165="CLARION",PR!$J163,IF(H165="CODIX",PR!$K163,IF(H165="COSMADE",PR!$L163,IF(H165="SANCON",PR!$M163,IF(H165="DEVON",PR!$N163,IF(H165="DORTEMAG",PR!$O163,IF(H165="DGF",PR!$P163,IF(H165="DYNAMIC",PR!$Q163,IF(H165="EMZOR",PR!$R163,IF(H165="EUMATT",PR!$S163,IF(H165="FIDSON",PR!$T163,IF(H165="FCGLOBAL",PR!$U163,IF(H165="GENEITH",PR!$V163,IF(H165="GINOS",PR!$W163,IF(H165="GSK",PR!$X163,IF(H165="GLOBORG",PR!$Y163,IF(H165="GOODNEWS",PR!$Z163,IF(H165="GREENLIFE",PR!$AA163,IF(H165="HLINE",PR!$AB163,IF(H165="ROTECH",PR!$AC163,IF(H165="ISN",PR!$AD163,IF(H165="JAWA",PR!$AE163,IF(H165="LAYO",PR!$AF163,IF(H165="LEADWAY",PR!$AG163,IF(H165="LHV",PR!$AH163,IF(H165="MANOLA",PR!$AI163,IF(H165="MARCSON",PR!$AJ163,IF(H165="M&amp;B",PR!$AK163,IF(H165="MTRUST",PR!$AL163,IF(H165="MWORLD",PR!$AM163,IF(H165="MEGA",PR!$AN163,IF(H165="MICRONOVA",PR!$AO163,IF(H165="MFLASH",PR!$AP163,IF(H165="MORISON",PR!$AQ163,IF(H165="NEMEL",PR!$AR163,IF(H165="NHP",PR!$AS163,IF(H165="NHC",PR!$AT163,IF(H165="OLEAF",PR!$AU163,IF(H165="OCULUS",PR!$AV163,IF(H165="PACIFIC",PR!$AW163,IF(H165="PHAMATEX",PR!$AX163,IF(H165="PETHICS",PR!$AY163,IF(H165="PHILIPS",PR!$AZ163,IF(H165="RANBAXY",PR!$BA163,IF(H165="REALS",PR!$BB163,IF(H165="ROYAL",PR!$BC163,IF(H165="SAM",PR!$BD163,IF(H165="SEAGREEN",PR!$BE163,IF(H165="SKG",PR!$BF163,IF(H165="TAH",PR!$BG163,IF(H165="TAYLEK",PR!$BH163,IF(H165="TEMITA",PR!$BI163,IF(H165="THL",PR!$BJ163,IF(H165="UBASTIC",PR!$BK163,IF(H165="UNION",PR!$BL163,IF(H165="UNIQUE",PR!$BM163,IF(H165="VIXA",PR!$BN163,IF(H165="WWCV",PR!$BO163,IF(H165="ZOLON",PR!$BP163,"-"))))))))))))))))))))))))))))))))))))))))))))))))))))))))))))))))</f>
        <v>600</v>
      </c>
      <c r="H165" s="102" t="str">
        <f>EV!M206</f>
        <v>PHILIPS</v>
      </c>
      <c r="I165" s="108">
        <f>IF(J165="ALPHA",PR!$E163,IF(J165="ASSENE",PR!$F163,IF(J165="BIOFEM",PR!$G163,IF(J165="BIOMED",PR!$H163,IF(J165="CHI",PR!$I163,IF(J165="CLARION",PR!$J163,IF(J165="CODIX",PR!$K163,IF(J165="COSMADE",PR!$L163,IF(J165="SANCON",PR!$M163,IF(J165="DEVON",PR!$N163,IF(J165="DORTEMAG",PR!$O163,IF(J165="DGF",PR!$P163,IF(J165="DYNAMIC",PR!$Q163,IF(J165="EMZOR",PR!$R163,IF(J165="EUMATT",PR!$S163,IF(J165="FIDSON",PR!$T163,IF(J165="FCGLOBAL",PR!$U163,IF(J165="GENEITH",PR!$V163,IF(J165="GINOS",PR!$W163,IF(J165="GSK",PR!$X163,IF(J165="GLOBORG",PR!$Y163,IF(J165="GOODNEWS",PR!$Z163,IF(J165="GREENLIFE",PR!$AA163,IF(J165="HLINE",PR!$AB163,IF(J165="ROTECH",PR!$AC163,IF(J165="ISN",PR!$AD163,IF(J165="JAWA",PR!$AE163,IF(J165="LAYO",PR!$AF163,IF(J165="LEADWAY",PR!$AG163,IF(J165="LHV",PR!$AH163,IF(J165="MANOLA",PR!$AI163,IF(J165="MARCSON",PR!$AJ163,IF(J165="M&amp;B",PR!$AK163,IF(J165="MTRUST",PR!$AL163,IF(J165="MWORLD",PR!$AM163,IF(J165="MEGA",PR!$AN163,IF(J165="MICRONOVA",PR!$AO163,IF(J165="MFLASH",PR!$AP163,IF(J165="MORISON",PR!$AQ163,IF(J165="NEMEL",PR!$AR163,IF(J165="NHP",PR!$AS163,IF(J165="NHC",PR!$AT163,IF(J165="OLEAF",PR!$AU163,IF(J165="OCULUS",PR!$AV163,IF(J165="PACIFIC",PR!$AW163,IF(J165="PHAMATEX",PR!$AX163,IF(J165="PETHICS",PR!$AY163,IF(J165="PHILIPS",PR!$AZ163,IF(J165="RANBAXY",PR!$BA163,IF(J165="REALS",PR!$BB163,IF(J165="ROYAL",PR!$BC163,IF(J165="SAM",PR!$BD163,IF(J165="SEAGREEN",PR!$BE163,IF(J165="SKG",PR!$BF163,IF(J165="TAH",PR!$BG163,IF(J165="TAYLEK",PR!$BH163,IF(J165="TEMITA",PR!$BI163,IF(J165="THL",PR!$BJ163,IF(J165="UBASTIC",PR!$BK163,IF(J165="UNION",PR!$BL163,IF(J165="UNIQUE",PR!$BM163,IF(J165="VIXA",PR!$BN163,IF(J165="WWCV",PR!$BO163,IF(J165="ZOLON",PR!$BP163,"-"))))))))))))))))))))))))))))))))))))))))))))))))))))))))))))))))</f>
        <v>600</v>
      </c>
      <c r="J165" s="102" t="str">
        <f>EV!N206</f>
        <v>PETHICS</v>
      </c>
      <c r="K165" s="433" t="s">
        <v>1243</v>
      </c>
      <c r="L165" s="183">
        <f>IF(K165&gt;0,IF(K165="ALPHA",PR!$E163,IF(K165="ASSENE",PR!$F163,IF(K165="BIOFEM",PR!$G163,IF(K165="BIOMED",PR!$H163,IF(K165="CHI",PR!$I163,IF(K165="CLARION",PR!$J163,IF(K165="CODIX",PR!$K163,IF(K165="COSMADE",PR!$L163,IF(K165="SANCON",PR!$M163,IF(K165="DEVON",PR!$N163,IF(K165="DORTEMAG",PR!$O163,IF(K165="DGF",PR!$P163,IF(K165="DYNAMIC",PR!$Q163,IF(K165="EMZOR",PR!$R163,IF(K165="EUMATT",PR!$S163,IF(K165="FIDSON",PR!$T163,IF(K165="FCGLOBAL",PR!$U163,IF(K165="GENEITH",PR!$V163,IF(K165="GINOS",PR!$W163,IF(K165="GSK",PR!$X163,IF(K165="GLOBORG",PR!$Y163,IF(K165="GOODNEWS",PR!$Z163,IF(K165="GREENLIFE",PR!$AA163,IF(K165="HLINE",PR!$AB163,IF(K165="ROTECH",PR!$AC163,IF(K165="ISN",PR!$AD163,IF(K165="JAWA",PR!$AE163,IF(K165="LAYO",PR!$AF163,IF(K165="LEADWAY",PR!$AG163,IF(K165="LHV",PR!$AH163,IF(K165="MANOLA",PR!$AI163,IF(K165="MARCSON",PR!$AJ163,IF(K165="M&amp;B",PR!$AK163,IF(K165="MTRUST",PR!$AL163,IF(K165="MWORLD",PR!$AM163,IF(K165="MEGA",PR!$AN163,IF(K165="MICRONOVA",PR!$AO163,IF(K165="MFLASH",PR!$AP163,IF(K165="MORISON",PR!$AQ163,IF(K165="NEMEL",PR!$AR163,IF(K165="NHP",PR!$AS163,IF(K165="NHC",PR!$AT163,IF(K165="OLEAF",PR!$AU163,IF(K165="OCULUS",PR!$AV163,IF(K165="PACIFIC",PR!$AW163,IF(K165="PHAMATEX",PR!$AX163,IF(K165="PETHICS",PR!$AY163,IF(K165="PHILIPS",PR!$AZ163,IF(K165="RANBAXY",PR!$BA163,IF(K165="REALS",PR!$BB163,IF(K165="ROYAL",PR!$BC163,IF(K165="SAM",PR!$BD163,IF(K165="SEAGREEN",PR!$BE163,IF(K165="SKG",PR!$BF163,IF(K165="TAH",PR!$BG163,IF(K165="TAYLEK",PR!$BH163,IF(K165="TEMITA",PR!$BI163,IF(K165="THL",PR!$BJ163,IF(K165="UBASTIC",PR!$BK163,IF(K165="UNION",PR!$BL163,IF(K165="UNIQUE",PR!$BM163,IF(K165="VIXA",PR!$BN163,IF(K165="WWCV",PR!$BO163,IF(K165="ZOLON",PR!$BP163,"-")))))))))))))))))))))))))))))))))))))))))))))))))))))))))))))))))</f>
        <v>200</v>
      </c>
    </row>
    <row r="166" spans="1:12" ht="18.75" x14ac:dyDescent="0.3">
      <c r="A166" s="430">
        <f>PR!A164</f>
        <v>143</v>
      </c>
      <c r="B166" s="15" t="str">
        <f>PR!B164</f>
        <v>ALLOPURINOL 100MG  TAB</v>
      </c>
      <c r="C166" s="113">
        <f>PR!D164</f>
        <v>28</v>
      </c>
      <c r="D166" s="113">
        <f>PR!C164</f>
        <v>800</v>
      </c>
      <c r="E166" s="108">
        <f>IF(F166="ALPHA",PR!$E164,IF(F166="ASSENE",PR!$F164,IF(F166="BIOFEM",PR!$G164,IF(F166="BIOMED",PR!$H164,IF(F166="CHI",PR!$I164,IF(F166="CLARION",PR!$J164,IF(F166="CODIX",PR!$K164,IF(F166="COSMADE",PR!$L164,IF(F166="SANCON",PR!$M164,IF(F166="DEVON",PR!$N164,IF(F166="DORTEMAG",PR!$O164,IF(F166="DGF",PR!$P164,IF(F166="DYNAMIC",PR!$Q164,IF(F166="EMZOR",PR!$R164,IF(F166="EUMATT",PR!$S164,IF(F166="FIDSON",PR!$T164,IF(F166="FCGLOBAL",PR!$U164,IF(F166="GENEITH",PR!$V164,IF(F166="GINOS",PR!$W164,IF(F166="GSK",PR!$X164,IF(F166="GLOBORG",PR!$Y164,IF(F166="GOODNEWS",PR!$Z164,IF(F166="GREENLIFE",PR!$AA164,IF(F166="HLINE",PR!$AB164,IF(F166="ROTECH",PR!$AC164,IF(F166="ISN",PR!$AD164,IF(F166="JAWA",PR!$AE164,IF(F166="LAYO",PR!$AF164,IF(F166="LEADWAY",PR!$AG164,IF(F166="LHV",PR!$AH164,IF(F166="MANOLA",PR!$AI164,IF(F166="MARCSON",PR!$AJ164,IF(F166="M&amp;B",PR!$AK164,IF(F166="MTRUST",PR!$AL164,IF(F166="MWORLD",PR!$AM164,IF(F166="MEGA",PR!$AN164,IF(F166="MICRONOVA",PR!$AO164,IF(F166="MFLASH",PR!$AP164,IF(F166="MORISON",PR!$AQ164,IF(F166="NEMEL",PR!$AR164,IF(F166="NHP",PR!$AS164,IF(F166="NHC",PR!$AT164,IF(F166="OLEAF",PR!$AU164,IF(F166="OCULUS",PR!$AV164,IF(F166="PACIFIC",PR!$AW164,IF(F166="PHAMATEX",PR!$AX164,IF(F166="PETHICS",PR!$AY164,IF(F166="PHILIPS",PR!$AZ164,IF(F166="RANBAXY",PR!$BA164,IF(F166="REALS",PR!$BB164,IF(F166="ROYAL",PR!$BC164,IF(F166="SAM",PR!$BD164,IF(F166="SEAGREEN",PR!$BE164,IF(F166="SKG",PR!$BF164,IF(F166="TAH",PR!$BG164,IF(F166="TAYLEK",PR!$BH164,IF(F166="TEMITA",PR!$BI164,IF(F166="THL",PR!$BJ164,IF(F166="UBASTIC",PR!$BK164,IF(F166="UNION",PR!$BL164,IF(F166="UNIQUE",PR!$BM164,IF(F166="VIXA",PR!$BN164,IF(F166="WWCV",PR!$BO164,IF(F166="ZOLON",PR!$BP164,"-"))))))))))))))))))))))))))))))))))))))))))))))))))))))))))))))))</f>
        <v>1200</v>
      </c>
      <c r="F166" s="102" t="str">
        <f>EV!L207</f>
        <v>EUMATT</v>
      </c>
      <c r="G166" s="108" t="str">
        <f>IF(H166="ALPHA",PR!$E164,IF(H166="ASSENE",PR!$F164,IF(H166="BIOFEM",PR!$G164,IF(H166="BIOMED",PR!$H164,IF(H166="CHI",PR!$I164,IF(H166="CLARION",PR!$J164,IF(H166="CODIX",PR!$K164,IF(H166="COSMADE",PR!$L164,IF(H166="SANCON",PR!$M164,IF(H166="DEVON",PR!$N164,IF(H166="DORTEMAG",PR!$O164,IF(H166="DGF",PR!$P164,IF(H166="DYNAMIC",PR!$Q164,IF(H166="EMZOR",PR!$R164,IF(H166="EUMATT",PR!$S164,IF(H166="FIDSON",PR!$T164,IF(H166="FCGLOBAL",PR!$U164,IF(H166="GENEITH",PR!$V164,IF(H166="GINOS",PR!$W164,IF(H166="GSK",PR!$X164,IF(H166="GLOBORG",PR!$Y164,IF(H166="GOODNEWS",PR!$Z164,IF(H166="GREENLIFE",PR!$AA164,IF(H166="HLINE",PR!$AB164,IF(H166="ROTECH",PR!$AC164,IF(H166="ISN",PR!$AD164,IF(H166="JAWA",PR!$AE164,IF(H166="LAYO",PR!$AF164,IF(H166="LEADWAY",PR!$AG164,IF(H166="LHV",PR!$AH164,IF(H166="MANOLA",PR!$AI164,IF(H166="MARCSON",PR!$AJ164,IF(H166="M&amp;B",PR!$AK164,IF(H166="MTRUST",PR!$AL164,IF(H166="MWORLD",PR!$AM164,IF(H166="MEGA",PR!$AN164,IF(H166="MICRONOVA",PR!$AO164,IF(H166="MFLASH",PR!$AP164,IF(H166="MORISON",PR!$AQ164,IF(H166="NEMEL",PR!$AR164,IF(H166="NHP",PR!$AS164,IF(H166="NHC",PR!$AT164,IF(H166="OLEAF",PR!$AU164,IF(H166="OCULUS",PR!$AV164,IF(H166="PACIFIC",PR!$AW164,IF(H166="PHAMATEX",PR!$AX164,IF(H166="PETHICS",PR!$AY164,IF(H166="PHILIPS",PR!$AZ164,IF(H166="RANBAXY",PR!$BA164,IF(H166="REALS",PR!$BB164,IF(H166="ROYAL",PR!$BC164,IF(H166="SAM",PR!$BD164,IF(H166="SEAGREEN",PR!$BE164,IF(H166="SKG",PR!$BF164,IF(H166="TAH",PR!$BG164,IF(H166="TAYLEK",PR!$BH164,IF(H166="TEMITA",PR!$BI164,IF(H166="THL",PR!$BJ164,IF(H166="UBASTIC",PR!$BK164,IF(H166="UNION",PR!$BL164,IF(H166="UNIQUE",PR!$BM164,IF(H166="VIXA",PR!$BN164,IF(H166="WWCV",PR!$BO164,IF(H166="ZOLON",PR!$BP164,"-"))))))))))))))))))))))))))))))))))))))))))))))))))))))))))))))))</f>
        <v>-</v>
      </c>
      <c r="H166" s="102">
        <f>EV!M207</f>
        <v>0</v>
      </c>
      <c r="I166" s="108" t="str">
        <f>IF(J166="ALPHA",PR!$E164,IF(J166="ASSENE",PR!$F164,IF(J166="BIOFEM",PR!$G164,IF(J166="BIOMED",PR!$H164,IF(J166="CHI",PR!$I164,IF(J166="CLARION",PR!$J164,IF(J166="CODIX",PR!$K164,IF(J166="COSMADE",PR!$L164,IF(J166="SANCON",PR!$M164,IF(J166="DEVON",PR!$N164,IF(J166="DORTEMAG",PR!$O164,IF(J166="DGF",PR!$P164,IF(J166="DYNAMIC",PR!$Q164,IF(J166="EMZOR",PR!$R164,IF(J166="EUMATT",PR!$S164,IF(J166="FIDSON",PR!$T164,IF(J166="FCGLOBAL",PR!$U164,IF(J166="GENEITH",PR!$V164,IF(J166="GINOS",PR!$W164,IF(J166="GSK",PR!$X164,IF(J166="GLOBORG",PR!$Y164,IF(J166="GOODNEWS",PR!$Z164,IF(J166="GREENLIFE",PR!$AA164,IF(J166="HLINE",PR!$AB164,IF(J166="ROTECH",PR!$AC164,IF(J166="ISN",PR!$AD164,IF(J166="JAWA",PR!$AE164,IF(J166="LAYO",PR!$AF164,IF(J166="LEADWAY",PR!$AG164,IF(J166="LHV",PR!$AH164,IF(J166="MANOLA",PR!$AI164,IF(J166="MARCSON",PR!$AJ164,IF(J166="M&amp;B",PR!$AK164,IF(J166="MTRUST",PR!$AL164,IF(J166="MWORLD",PR!$AM164,IF(J166="MEGA",PR!$AN164,IF(J166="MICRONOVA",PR!$AO164,IF(J166="MFLASH",PR!$AP164,IF(J166="MORISON",PR!$AQ164,IF(J166="NEMEL",PR!$AR164,IF(J166="NHP",PR!$AS164,IF(J166="NHC",PR!$AT164,IF(J166="OLEAF",PR!$AU164,IF(J166="OCULUS",PR!$AV164,IF(J166="PACIFIC",PR!$AW164,IF(J166="PHAMATEX",PR!$AX164,IF(J166="PETHICS",PR!$AY164,IF(J166="PHILIPS",PR!$AZ164,IF(J166="RANBAXY",PR!$BA164,IF(J166="REALS",PR!$BB164,IF(J166="ROYAL",PR!$BC164,IF(J166="SAM",PR!$BD164,IF(J166="SEAGREEN",PR!$BE164,IF(J166="SKG",PR!$BF164,IF(J166="TAH",PR!$BG164,IF(J166="TAYLEK",PR!$BH164,IF(J166="TEMITA",PR!$BI164,IF(J166="THL",PR!$BJ164,IF(J166="UBASTIC",PR!$BK164,IF(J166="UNION",PR!$BL164,IF(J166="UNIQUE",PR!$BM164,IF(J166="VIXA",PR!$BN164,IF(J166="WWCV",PR!$BO164,IF(J166="ZOLON",PR!$BP164,"-"))))))))))))))))))))))))))))))))))))))))))))))))))))))))))))))))</f>
        <v>-</v>
      </c>
      <c r="J166" s="102">
        <f>EV!N207</f>
        <v>0</v>
      </c>
      <c r="K166" s="433" t="s">
        <v>821</v>
      </c>
      <c r="L166" s="183">
        <f>IF(K166&gt;0,IF(K166="ALPHA",PR!$E164,IF(K166="ASSENE",PR!$F164,IF(K166="BIOFEM",PR!$G164,IF(K166="BIOMED",PR!$H164,IF(K166="CHI",PR!$I164,IF(K166="CLARION",PR!$J164,IF(K166="CODIX",PR!$K164,IF(K166="COSMADE",PR!$L164,IF(K166="SANCON",PR!$M164,IF(K166="DEVON",PR!$N164,IF(K166="DORTEMAG",PR!$O164,IF(K166="DGF",PR!$P164,IF(K166="DYNAMIC",PR!$Q164,IF(K166="EMZOR",PR!$R164,IF(K166="EUMATT",PR!$S164,IF(K166="FIDSON",PR!$T164,IF(K166="FCGLOBAL",PR!$U164,IF(K166="GENEITH",PR!$V164,IF(K166="GINOS",PR!$W164,IF(K166="GSK",PR!$X164,IF(K166="GLOBORG",PR!$Y164,IF(K166="GOODNEWS",PR!$Z164,IF(K166="GREENLIFE",PR!$AA164,IF(K166="HLINE",PR!$AB164,IF(K166="ROTECH",PR!$AC164,IF(K166="ISN",PR!$AD164,IF(K166="JAWA",PR!$AE164,IF(K166="LAYO",PR!$AF164,IF(K166="LEADWAY",PR!$AG164,IF(K166="LHV",PR!$AH164,IF(K166="MANOLA",PR!$AI164,IF(K166="MARCSON",PR!$AJ164,IF(K166="M&amp;B",PR!$AK164,IF(K166="MTRUST",PR!$AL164,IF(K166="MWORLD",PR!$AM164,IF(K166="MEGA",PR!$AN164,IF(K166="MICRONOVA",PR!$AO164,IF(K166="MFLASH",PR!$AP164,IF(K166="MORISON",PR!$AQ164,IF(K166="NEMEL",PR!$AR164,IF(K166="NHP",PR!$AS164,IF(K166="NHC",PR!$AT164,IF(K166="OLEAF",PR!$AU164,IF(K166="OCULUS",PR!$AV164,IF(K166="PACIFIC",PR!$AW164,IF(K166="PHAMATEX",PR!$AX164,IF(K166="PETHICS",PR!$AY164,IF(K166="PHILIPS",PR!$AZ164,IF(K166="RANBAXY",PR!$BA164,IF(K166="REALS",PR!$BB164,IF(K166="ROYAL",PR!$BC164,IF(K166="SAM",PR!$BD164,IF(K166="SEAGREEN",PR!$BE164,IF(K166="SKG",PR!$BF164,IF(K166="TAH",PR!$BG164,IF(K166="TAYLEK",PR!$BH164,IF(K166="TEMITA",PR!$BI164,IF(K166="THL",PR!$BJ164,IF(K166="UBASTIC",PR!$BK164,IF(K166="UNION",PR!$BL164,IF(K166="UNIQUE",PR!$BM164,IF(K166="VIXA",PR!$BN164,IF(K166="WWCV",PR!$BO164,IF(K166="ZOLON",PR!$BP164,"-")))))))))))))))))))))))))))))))))))))))))))))))))))))))))))))))))</f>
        <v>1200</v>
      </c>
    </row>
    <row r="167" spans="1:12" ht="18.75" x14ac:dyDescent="0.3">
      <c r="A167" s="430">
        <f>PR!A165</f>
        <v>144</v>
      </c>
      <c r="B167" s="15" t="str">
        <f>PR!B165</f>
        <v>ALLOPURINOL 300MG  TAB</v>
      </c>
      <c r="C167" s="113">
        <f>PR!D165</f>
        <v>28</v>
      </c>
      <c r="D167" s="113">
        <f>PR!C165</f>
        <v>200</v>
      </c>
      <c r="E167" s="108">
        <f>IF(F167="ALPHA",PR!$E165,IF(F167="ASSENE",PR!$F165,IF(F167="BIOFEM",PR!$G165,IF(F167="BIOMED",PR!$H165,IF(F167="CHI",PR!$I165,IF(F167="CLARION",PR!$J165,IF(F167="CODIX",PR!$K165,IF(F167="COSMADE",PR!$L165,IF(F167="SANCON",PR!$M165,IF(F167="DEVON",PR!$N165,IF(F167="DORTEMAG",PR!$O165,IF(F167="DGF",PR!$P165,IF(F167="DYNAMIC",PR!$Q165,IF(F167="EMZOR",PR!$R165,IF(F167="EUMATT",PR!$S165,IF(F167="FIDSON",PR!$T165,IF(F167="FCGLOBAL",PR!$U165,IF(F167="GENEITH",PR!$V165,IF(F167="GINOS",PR!$W165,IF(F167="GSK",PR!$X165,IF(F167="GLOBORG",PR!$Y165,IF(F167="GOODNEWS",PR!$Z165,IF(F167="GREENLIFE",PR!$AA165,IF(F167="HLINE",PR!$AB165,IF(F167="ROTECH",PR!$AC165,IF(F167="ISN",PR!$AD165,IF(F167="JAWA",PR!$AE165,IF(F167="LAYO",PR!$AF165,IF(F167="LEADWAY",PR!$AG165,IF(F167="LHV",PR!$AH165,IF(F167="MANOLA",PR!$AI165,IF(F167="MARCSON",PR!$AJ165,IF(F167="M&amp;B",PR!$AK165,IF(F167="MTRUST",PR!$AL165,IF(F167="MWORLD",PR!$AM165,IF(F167="MEGA",PR!$AN165,IF(F167="MICRONOVA",PR!$AO165,IF(F167="MFLASH",PR!$AP165,IF(F167="MORISON",PR!$AQ165,IF(F167="NEMEL",PR!$AR165,IF(F167="NHP",PR!$AS165,IF(F167="NHC",PR!$AT165,IF(F167="OLEAF",PR!$AU165,IF(F167="OCULUS",PR!$AV165,IF(F167="PACIFIC",PR!$AW165,IF(F167="PHAMATEX",PR!$AX165,IF(F167="PETHICS",PR!$AY165,IF(F167="PHILIPS",PR!$AZ165,IF(F167="RANBAXY",PR!$BA165,IF(F167="REALS",PR!$BB165,IF(F167="ROYAL",PR!$BC165,IF(F167="SAM",PR!$BD165,IF(F167="SEAGREEN",PR!$BE165,IF(F167="SKG",PR!$BF165,IF(F167="TAH",PR!$BG165,IF(F167="TAYLEK",PR!$BH165,IF(F167="TEMITA",PR!$BI165,IF(F167="THL",PR!$BJ165,IF(F167="UBASTIC",PR!$BK165,IF(F167="UNION",PR!$BL165,IF(F167="UNIQUE",PR!$BM165,IF(F167="VIXA",PR!$BN165,IF(F167="WWCV",PR!$BO165,IF(F167="ZOLON",PR!$BP165,"-"))))))))))))))))))))))))))))))))))))))))))))))))))))))))))))))))</f>
        <v>1350</v>
      </c>
      <c r="F167" s="102" t="str">
        <f>EV!L208</f>
        <v>EUMATT</v>
      </c>
      <c r="G167" s="108" t="str">
        <f>IF(H167="ALPHA",PR!$E165,IF(H167="ASSENE",PR!$F165,IF(H167="BIOFEM",PR!$G165,IF(H167="BIOMED",PR!$H165,IF(H167="CHI",PR!$I165,IF(H167="CLARION",PR!$J165,IF(H167="CODIX",PR!$K165,IF(H167="COSMADE",PR!$L165,IF(H167="SANCON",PR!$M165,IF(H167="DEVON",PR!$N165,IF(H167="DORTEMAG",PR!$O165,IF(H167="DGF",PR!$P165,IF(H167="DYNAMIC",PR!$Q165,IF(H167="EMZOR",PR!$R165,IF(H167="EUMATT",PR!$S165,IF(H167="FIDSON",PR!$T165,IF(H167="FCGLOBAL",PR!$U165,IF(H167="GENEITH",PR!$V165,IF(H167="GINOS",PR!$W165,IF(H167="GSK",PR!$X165,IF(H167="GLOBORG",PR!$Y165,IF(H167="GOODNEWS",PR!$Z165,IF(H167="GREENLIFE",PR!$AA165,IF(H167="HLINE",PR!$AB165,IF(H167="ROTECH",PR!$AC165,IF(H167="ISN",PR!$AD165,IF(H167="JAWA",PR!$AE165,IF(H167="LAYO",PR!$AF165,IF(H167="LEADWAY",PR!$AG165,IF(H167="LHV",PR!$AH165,IF(H167="MANOLA",PR!$AI165,IF(H167="MARCSON",PR!$AJ165,IF(H167="M&amp;B",PR!$AK165,IF(H167="MTRUST",PR!$AL165,IF(H167="MWORLD",PR!$AM165,IF(H167="MEGA",PR!$AN165,IF(H167="MICRONOVA",PR!$AO165,IF(H167="MFLASH",PR!$AP165,IF(H167="MORISON",PR!$AQ165,IF(H167="NEMEL",PR!$AR165,IF(H167="NHP",PR!$AS165,IF(H167="NHC",PR!$AT165,IF(H167="OLEAF",PR!$AU165,IF(H167="OCULUS",PR!$AV165,IF(H167="PACIFIC",PR!$AW165,IF(H167="PHAMATEX",PR!$AX165,IF(H167="PETHICS",PR!$AY165,IF(H167="PHILIPS",PR!$AZ165,IF(H167="RANBAXY",PR!$BA165,IF(H167="REALS",PR!$BB165,IF(H167="ROYAL",PR!$BC165,IF(H167="SAM",PR!$BD165,IF(H167="SEAGREEN",PR!$BE165,IF(H167="SKG",PR!$BF165,IF(H167="TAH",PR!$BG165,IF(H167="TAYLEK",PR!$BH165,IF(H167="TEMITA",PR!$BI165,IF(H167="THL",PR!$BJ165,IF(H167="UBASTIC",PR!$BK165,IF(H167="UNION",PR!$BL165,IF(H167="UNIQUE",PR!$BM165,IF(H167="VIXA",PR!$BN165,IF(H167="WWCV",PR!$BO165,IF(H167="ZOLON",PR!$BP165,"-"))))))))))))))))))))))))))))))))))))))))))))))))))))))))))))))))</f>
        <v>-</v>
      </c>
      <c r="H167" s="102">
        <f>EV!M208</f>
        <v>0</v>
      </c>
      <c r="I167" s="108" t="str">
        <f>IF(J167="ALPHA",PR!$E165,IF(J167="ASSENE",PR!$F165,IF(J167="BIOFEM",PR!$G165,IF(J167="BIOMED",PR!$H165,IF(J167="CHI",PR!$I165,IF(J167="CLARION",PR!$J165,IF(J167="CODIX",PR!$K165,IF(J167="COSMADE",PR!$L165,IF(J167="SANCON",PR!$M165,IF(J167="DEVON",PR!$N165,IF(J167="DORTEMAG",PR!$O165,IF(J167="DGF",PR!$P165,IF(J167="DYNAMIC",PR!$Q165,IF(J167="EMZOR",PR!$R165,IF(J167="EUMATT",PR!$S165,IF(J167="FIDSON",PR!$T165,IF(J167="FCGLOBAL",PR!$U165,IF(J167="GENEITH",PR!$V165,IF(J167="GINOS",PR!$W165,IF(J167="GSK",PR!$X165,IF(J167="GLOBORG",PR!$Y165,IF(J167="GOODNEWS",PR!$Z165,IF(J167="GREENLIFE",PR!$AA165,IF(J167="HLINE",PR!$AB165,IF(J167="ROTECH",PR!$AC165,IF(J167="ISN",PR!$AD165,IF(J167="JAWA",PR!$AE165,IF(J167="LAYO",PR!$AF165,IF(J167="LEADWAY",PR!$AG165,IF(J167="LHV",PR!$AH165,IF(J167="MANOLA",PR!$AI165,IF(J167="MARCSON",PR!$AJ165,IF(J167="M&amp;B",PR!$AK165,IF(J167="MTRUST",PR!$AL165,IF(J167="MWORLD",PR!$AM165,IF(J167="MEGA",PR!$AN165,IF(J167="MICRONOVA",PR!$AO165,IF(J167="MFLASH",PR!$AP165,IF(J167="MORISON",PR!$AQ165,IF(J167="NEMEL",PR!$AR165,IF(J167="NHP",PR!$AS165,IF(J167="NHC",PR!$AT165,IF(J167="OLEAF",PR!$AU165,IF(J167="OCULUS",PR!$AV165,IF(J167="PACIFIC",PR!$AW165,IF(J167="PHAMATEX",PR!$AX165,IF(J167="PETHICS",PR!$AY165,IF(J167="PHILIPS",PR!$AZ165,IF(J167="RANBAXY",PR!$BA165,IF(J167="REALS",PR!$BB165,IF(J167="ROYAL",PR!$BC165,IF(J167="SAM",PR!$BD165,IF(J167="SEAGREEN",PR!$BE165,IF(J167="SKG",PR!$BF165,IF(J167="TAH",PR!$BG165,IF(J167="TAYLEK",PR!$BH165,IF(J167="TEMITA",PR!$BI165,IF(J167="THL",PR!$BJ165,IF(J167="UBASTIC",PR!$BK165,IF(J167="UNION",PR!$BL165,IF(J167="UNIQUE",PR!$BM165,IF(J167="VIXA",PR!$BN165,IF(J167="WWCV",PR!$BO165,IF(J167="ZOLON",PR!$BP165,"-"))))))))))))))))))))))))))))))))))))))))))))))))))))))))))))))))</f>
        <v>-</v>
      </c>
      <c r="J167" s="102">
        <f>EV!N208</f>
        <v>0</v>
      </c>
      <c r="K167" s="433" t="s">
        <v>821</v>
      </c>
      <c r="L167" s="183">
        <f>IF(K167&gt;0,IF(K167="ALPHA",PR!$E165,IF(K167="ASSENE",PR!$F165,IF(K167="BIOFEM",PR!$G165,IF(K167="BIOMED",PR!$H165,IF(K167="CHI",PR!$I165,IF(K167="CLARION",PR!$J165,IF(K167="CODIX",PR!$K165,IF(K167="COSMADE",PR!$L165,IF(K167="SANCON",PR!$M165,IF(K167="DEVON",PR!$N165,IF(K167="DORTEMAG",PR!$O165,IF(K167="DGF",PR!$P165,IF(K167="DYNAMIC",PR!$Q165,IF(K167="EMZOR",PR!$R165,IF(K167="EUMATT",PR!$S165,IF(K167="FIDSON",PR!$T165,IF(K167="FCGLOBAL",PR!$U165,IF(K167="GENEITH",PR!$V165,IF(K167="GINOS",PR!$W165,IF(K167="GSK",PR!$X165,IF(K167="GLOBORG",PR!$Y165,IF(K167="GOODNEWS",PR!$Z165,IF(K167="GREENLIFE",PR!$AA165,IF(K167="HLINE",PR!$AB165,IF(K167="ROTECH",PR!$AC165,IF(K167="ISN",PR!$AD165,IF(K167="JAWA",PR!$AE165,IF(K167="LAYO",PR!$AF165,IF(K167="LEADWAY",PR!$AG165,IF(K167="LHV",PR!$AH165,IF(K167="MANOLA",PR!$AI165,IF(K167="MARCSON",PR!$AJ165,IF(K167="M&amp;B",PR!$AK165,IF(K167="MTRUST",PR!$AL165,IF(K167="MWORLD",PR!$AM165,IF(K167="MEGA",PR!$AN165,IF(K167="MICRONOVA",PR!$AO165,IF(K167="MFLASH",PR!$AP165,IF(K167="MORISON",PR!$AQ165,IF(K167="NEMEL",PR!$AR165,IF(K167="NHP",PR!$AS165,IF(K167="NHC",PR!$AT165,IF(K167="OLEAF",PR!$AU165,IF(K167="OCULUS",PR!$AV165,IF(K167="PACIFIC",PR!$AW165,IF(K167="PHAMATEX",PR!$AX165,IF(K167="PETHICS",PR!$AY165,IF(K167="PHILIPS",PR!$AZ165,IF(K167="RANBAXY",PR!$BA165,IF(K167="REALS",PR!$BB165,IF(K167="ROYAL",PR!$BC165,IF(K167="SAM",PR!$BD165,IF(K167="SEAGREEN",PR!$BE165,IF(K167="SKG",PR!$BF165,IF(K167="TAH",PR!$BG165,IF(K167="TAYLEK",PR!$BH165,IF(K167="TEMITA",PR!$BI165,IF(K167="THL",PR!$BJ165,IF(K167="UBASTIC",PR!$BK165,IF(K167="UNION",PR!$BL165,IF(K167="UNIQUE",PR!$BM165,IF(K167="VIXA",PR!$BN165,IF(K167="WWCV",PR!$BO165,IF(K167="ZOLON",PR!$BP165,"-")))))))))))))))))))))))))))))))))))))))))))))))))))))))))))))))))</f>
        <v>1350</v>
      </c>
    </row>
    <row r="168" spans="1:12" ht="18.75" x14ac:dyDescent="0.3">
      <c r="A168" s="430">
        <f>PR!A166</f>
        <v>145</v>
      </c>
      <c r="B168" s="15" t="str">
        <f>PR!B166</f>
        <v>CHONDROITIN SULPHATE/GLUCOSAMINE (FORTE)</v>
      </c>
      <c r="C168" s="113">
        <f>PR!D166</f>
        <v>30</v>
      </c>
      <c r="D168" s="113">
        <f>PR!C166</f>
        <v>800</v>
      </c>
      <c r="E168" s="108">
        <f>IF(F168="ALPHA",PR!$E166,IF(F168="ASSENE",PR!$F166,IF(F168="BIOFEM",PR!$G166,IF(F168="BIOMED",PR!$H166,IF(F168="CHI",PR!$I166,IF(F168="CLARION",PR!$J166,IF(F168="CODIX",PR!$K166,IF(F168="COSMADE",PR!$L166,IF(F168="SANCON",PR!$M166,IF(F168="DEVON",PR!$N166,IF(F168="DORTEMAG",PR!$O166,IF(F168="DGF",PR!$P166,IF(F168="DYNAMIC",PR!$Q166,IF(F168="EMZOR",PR!$R166,IF(F168="EUMATT",PR!$S166,IF(F168="FIDSON",PR!$T166,IF(F168="FCGLOBAL",PR!$U166,IF(F168="GENEITH",PR!$V166,IF(F168="GINOS",PR!$W166,IF(F168="GSK",PR!$X166,IF(F168="GLOBORG",PR!$Y166,IF(F168="GOODNEWS",PR!$Z166,IF(F168="GREENLIFE",PR!$AA166,IF(F168="HLINE",PR!$AB166,IF(F168="ROTECH",PR!$AC166,IF(F168="ISN",PR!$AD166,IF(F168="JAWA",PR!$AE166,IF(F168="LAYO",PR!$AF166,IF(F168="LEADWAY",PR!$AG166,IF(F168="LHV",PR!$AH166,IF(F168="MANOLA",PR!$AI166,IF(F168="MARCSON",PR!$AJ166,IF(F168="M&amp;B",PR!$AK166,IF(F168="MTRUST",PR!$AL166,IF(F168="MWORLD",PR!$AM166,IF(F168="MEGA",PR!$AN166,IF(F168="MICRONOVA",PR!$AO166,IF(F168="MFLASH",PR!$AP166,IF(F168="MORISON",PR!$AQ166,IF(F168="NEMEL",PR!$AR166,IF(F168="NHP",PR!$AS166,IF(F168="NHC",PR!$AT166,IF(F168="OLEAF",PR!$AU166,IF(F168="OCULUS",PR!$AV166,IF(F168="PACIFIC",PR!$AW166,IF(F168="PHAMATEX",PR!$AX166,IF(F168="PETHICS",PR!$AY166,IF(F168="PHILIPS",PR!$AZ166,IF(F168="RANBAXY",PR!$BA166,IF(F168="REALS",PR!$BB166,IF(F168="ROYAL",PR!$BC166,IF(F168="SAM",PR!$BD166,IF(F168="SEAGREEN",PR!$BE166,IF(F168="SKG",PR!$BF166,IF(F168="TAH",PR!$BG166,IF(F168="TAYLEK",PR!$BH166,IF(F168="TEMITA",PR!$BI166,IF(F168="THL",PR!$BJ166,IF(F168="UBASTIC",PR!$BK166,IF(F168="UNION",PR!$BL166,IF(F168="UNIQUE",PR!$BM166,IF(F168="VIXA",PR!$BN166,IF(F168="WWCV",PR!$BO166,IF(F168="ZOLON",PR!$BP166,"-"))))))))))))))))))))))))))))))))))))))))))))))))))))))))))))))))</f>
        <v>1540</v>
      </c>
      <c r="F168" s="102" t="str">
        <f>EV!L209</f>
        <v>GENEITH</v>
      </c>
      <c r="G168" s="108">
        <f>IF(H168="ALPHA",PR!$E166,IF(H168="ASSENE",PR!$F166,IF(H168="BIOFEM",PR!$G166,IF(H168="BIOMED",PR!$H166,IF(H168="CHI",PR!$I166,IF(H168="CLARION",PR!$J166,IF(H168="CODIX",PR!$K166,IF(H168="COSMADE",PR!$L166,IF(H168="SANCON",PR!$M166,IF(H168="DEVON",PR!$N166,IF(H168="DORTEMAG",PR!$O166,IF(H168="DGF",PR!$P166,IF(H168="DYNAMIC",PR!$Q166,IF(H168="EMZOR",PR!$R166,IF(H168="EUMATT",PR!$S166,IF(H168="FIDSON",PR!$T166,IF(H168="FCGLOBAL",PR!$U166,IF(H168="GENEITH",PR!$V166,IF(H168="GINOS",PR!$W166,IF(H168="GSK",PR!$X166,IF(H168="GLOBORG",PR!$Y166,IF(H168="GOODNEWS",PR!$Z166,IF(H168="GREENLIFE",PR!$AA166,IF(H168="HLINE",PR!$AB166,IF(H168="ROTECH",PR!$AC166,IF(H168="ISN",PR!$AD166,IF(H168="JAWA",PR!$AE166,IF(H168="LAYO",PR!$AF166,IF(H168="LEADWAY",PR!$AG166,IF(H168="LHV",PR!$AH166,IF(H168="MANOLA",PR!$AI166,IF(H168="MARCSON",PR!$AJ166,IF(H168="M&amp;B",PR!$AK166,IF(H168="MTRUST",PR!$AL166,IF(H168="MWORLD",PR!$AM166,IF(H168="MEGA",PR!$AN166,IF(H168="MICRONOVA",PR!$AO166,IF(H168="MFLASH",PR!$AP166,IF(H168="MORISON",PR!$AQ166,IF(H168="NEMEL",PR!$AR166,IF(H168="NHP",PR!$AS166,IF(H168="NHC",PR!$AT166,IF(H168="OLEAF",PR!$AU166,IF(H168="OCULUS",PR!$AV166,IF(H168="PACIFIC",PR!$AW166,IF(H168="PHAMATEX",PR!$AX166,IF(H168="PETHICS",PR!$AY166,IF(H168="PHILIPS",PR!$AZ166,IF(H168="RANBAXY",PR!$BA166,IF(H168="REALS",PR!$BB166,IF(H168="ROYAL",PR!$BC166,IF(H168="SAM",PR!$BD166,IF(H168="SEAGREEN",PR!$BE166,IF(H168="SKG",PR!$BF166,IF(H168="TAH",PR!$BG166,IF(H168="TAYLEK",PR!$BH166,IF(H168="TEMITA",PR!$BI166,IF(H168="THL",PR!$BJ166,IF(H168="UBASTIC",PR!$BK166,IF(H168="UNION",PR!$BL166,IF(H168="UNIQUE",PR!$BM166,IF(H168="VIXA",PR!$BN166,IF(H168="WWCV",PR!$BO166,IF(H168="ZOLON",PR!$BP166,"-"))))))))))))))))))))))))))))))))))))))))))))))))))))))))))))))))</f>
        <v>2600</v>
      </c>
      <c r="H168" s="102" t="str">
        <f>EV!M209</f>
        <v>FIDSON</v>
      </c>
      <c r="I168" s="108">
        <f>IF(J168="ALPHA",PR!$E166,IF(J168="ASSENE",PR!$F166,IF(J168="BIOFEM",PR!$G166,IF(J168="BIOMED",PR!$H166,IF(J168="CHI",PR!$I166,IF(J168="CLARION",PR!$J166,IF(J168="CODIX",PR!$K166,IF(J168="COSMADE",PR!$L166,IF(J168="SANCON",PR!$M166,IF(J168="DEVON",PR!$N166,IF(J168="DORTEMAG",PR!$O166,IF(J168="DGF",PR!$P166,IF(J168="DYNAMIC",PR!$Q166,IF(J168="EMZOR",PR!$R166,IF(J168="EUMATT",PR!$S166,IF(J168="FIDSON",PR!$T166,IF(J168="FCGLOBAL",PR!$U166,IF(J168="GENEITH",PR!$V166,IF(J168="GINOS",PR!$W166,IF(J168="GSK",PR!$X166,IF(J168="GLOBORG",PR!$Y166,IF(J168="GOODNEWS",PR!$Z166,IF(J168="GREENLIFE",PR!$AA166,IF(J168="HLINE",PR!$AB166,IF(J168="ROTECH",PR!$AC166,IF(J168="ISN",PR!$AD166,IF(J168="JAWA",PR!$AE166,IF(J168="LAYO",PR!$AF166,IF(J168="LEADWAY",PR!$AG166,IF(J168="LHV",PR!$AH166,IF(J168="MANOLA",PR!$AI166,IF(J168="MARCSON",PR!$AJ166,IF(J168="M&amp;B",PR!$AK166,IF(J168="MTRUST",PR!$AL166,IF(J168="MWORLD",PR!$AM166,IF(J168="MEGA",PR!$AN166,IF(J168="MICRONOVA",PR!$AO166,IF(J168="MFLASH",PR!$AP166,IF(J168="MORISON",PR!$AQ166,IF(J168="NEMEL",PR!$AR166,IF(J168="NHP",PR!$AS166,IF(J168="NHC",PR!$AT166,IF(J168="OLEAF",PR!$AU166,IF(J168="OCULUS",PR!$AV166,IF(J168="PACIFIC",PR!$AW166,IF(J168="PHAMATEX",PR!$AX166,IF(J168="PETHICS",PR!$AY166,IF(J168="PHILIPS",PR!$AZ166,IF(J168="RANBAXY",PR!$BA166,IF(J168="REALS",PR!$BB166,IF(J168="ROYAL",PR!$BC166,IF(J168="SAM",PR!$BD166,IF(J168="SEAGREEN",PR!$BE166,IF(J168="SKG",PR!$BF166,IF(J168="TAH",PR!$BG166,IF(J168="TAYLEK",PR!$BH166,IF(J168="TEMITA",PR!$BI166,IF(J168="THL",PR!$BJ166,IF(J168="UBASTIC",PR!$BK166,IF(J168="UNION",PR!$BL166,IF(J168="UNIQUE",PR!$BM166,IF(J168="VIXA",PR!$BN166,IF(J168="WWCV",PR!$BO166,IF(J168="ZOLON",PR!$BP166,"-"))))))))))))))))))))))))))))))))))))))))))))))))))))))))))))))))</f>
        <v>2100</v>
      </c>
      <c r="J168" s="102" t="str">
        <f>EV!N209</f>
        <v>EUMATT</v>
      </c>
      <c r="K168" s="433" t="s">
        <v>2106</v>
      </c>
      <c r="L168" s="183" t="str">
        <f>IF(K168&gt;0,IF(K168="ALPHA",PR!$E166,IF(K168="ASSENE",PR!$F166,IF(K168="BIOFEM",PR!$G166,IF(K168="BIOMED",PR!$H166,IF(K168="CHI",PR!$I166,IF(K168="CLARION",PR!$J166,IF(K168="CODIX",PR!$K166,IF(K168="COSMADE",PR!$L166,IF(K168="SANCON",PR!$M166,IF(K168="DEVON",PR!$N166,IF(K168="DORTEMAG",PR!$O166,IF(K168="DGF",PR!$P166,IF(K168="DYNAMIC",PR!$Q166,IF(K168="EMZOR",PR!$R166,IF(K168="EUMATT",PR!$S166,IF(K168="FIDSON",PR!$T166,IF(K168="FCGLOBAL",PR!$U166,IF(K168="GENEITH",PR!$V166,IF(K168="GINOS",PR!$W166,IF(K168="GSK",PR!$X166,IF(K168="GLOBORG",PR!$Y166,IF(K168="GOODNEWS",PR!$Z166,IF(K168="GREENLIFE",PR!$AA166,IF(K168="HLINE",PR!$AB166,IF(K168="ROTECH",PR!$AC166,IF(K168="ISN",PR!$AD166,IF(K168="JAWA",PR!$AE166,IF(K168="LAYO",PR!$AF166,IF(K168="LEADWAY",PR!$AG166,IF(K168="LHV",PR!$AH166,IF(K168="MANOLA",PR!$AI166,IF(K168="MARCSON",PR!$AJ166,IF(K168="M&amp;B",PR!$AK166,IF(K168="MTRUST",PR!$AL166,IF(K168="MWORLD",PR!$AM166,IF(K168="MEGA",PR!$AN166,IF(K168="MICRONOVA",PR!$AO166,IF(K168="MFLASH",PR!$AP166,IF(K168="MORISON",PR!$AQ166,IF(K168="NEMEL",PR!$AR166,IF(K168="NHP",PR!$AS166,IF(K168="NHC",PR!$AT166,IF(K168="OLEAF",PR!$AU166,IF(K168="OCULUS",PR!$AV166,IF(K168="PACIFIC",PR!$AW166,IF(K168="PHAMATEX",PR!$AX166,IF(K168="PETHICS",PR!$AY166,IF(K168="PHILIPS",PR!$AZ166,IF(K168="RANBAXY",PR!$BA166,IF(K168="REALS",PR!$BB166,IF(K168="ROYAL",PR!$BC166,IF(K168="SAM",PR!$BD166,IF(K168="SEAGREEN",PR!$BE166,IF(K168="SKG",PR!$BF166,IF(K168="TAH",PR!$BG166,IF(K168="TAYLEK",PR!$BH166,IF(K168="TEMITA",PR!$BI166,IF(K168="THL",PR!$BJ166,IF(K168="UBASTIC",PR!$BK166,IF(K168="UNION",PR!$BL166,IF(K168="UNIQUE",PR!$BM166,IF(K168="VIXA",PR!$BN166,IF(K168="WWCV",PR!$BO166,IF(K168="ZOLON",PR!$BP166,"-")))))))))))))))))))))))))))))))))))))))))))))))))))))))))))))))))</f>
        <v>-</v>
      </c>
    </row>
    <row r="169" spans="1:12" ht="18.75" x14ac:dyDescent="0.3">
      <c r="A169" s="430">
        <f>PR!A167</f>
        <v>146</v>
      </c>
      <c r="B169" s="15" t="str">
        <f>PR!B167</f>
        <v>CELECOXIB 200MG CAP</v>
      </c>
      <c r="C169" s="113">
        <f>PR!D167</f>
        <v>100</v>
      </c>
      <c r="D169" s="113">
        <f>PR!C167</f>
        <v>500</v>
      </c>
      <c r="E169" s="108">
        <f>IF(F169="ALPHA",PR!$E167,IF(F169="ASSENE",PR!$F167,IF(F169="BIOFEM",PR!$G167,IF(F169="BIOMED",PR!$H167,IF(F169="CHI",PR!$I167,IF(F169="CLARION",PR!$J167,IF(F169="CODIX",PR!$K167,IF(F169="COSMADE",PR!$L167,IF(F169="SANCON",PR!$M167,IF(F169="DEVON",PR!$N167,IF(F169="DORTEMAG",PR!$O167,IF(F169="DGF",PR!$P167,IF(F169="DYNAMIC",PR!$Q167,IF(F169="EMZOR",PR!$R167,IF(F169="EUMATT",PR!$S167,IF(F169="FIDSON",PR!$T167,IF(F169="FCGLOBAL",PR!$U167,IF(F169="GENEITH",PR!$V167,IF(F169="GINOS",PR!$W167,IF(F169="GSK",PR!$X167,IF(F169="GLOBORG",PR!$Y167,IF(F169="GOODNEWS",PR!$Z167,IF(F169="GREENLIFE",PR!$AA167,IF(F169="HLINE",PR!$AB167,IF(F169="ROTECH",PR!$AC167,IF(F169="ISN",PR!$AD167,IF(F169="JAWA",PR!$AE167,IF(F169="LAYO",PR!$AF167,IF(F169="LEADWAY",PR!$AG167,IF(F169="LHV",PR!$AH167,IF(F169="MANOLA",PR!$AI167,IF(F169="MARCSON",PR!$AJ167,IF(F169="M&amp;B",PR!$AK167,IF(F169="MTRUST",PR!$AL167,IF(F169="MWORLD",PR!$AM167,IF(F169="MEGA",PR!$AN167,IF(F169="MICRONOVA",PR!$AO167,IF(F169="MFLASH",PR!$AP167,IF(F169="MORISON",PR!$AQ167,IF(F169="NEMEL",PR!$AR167,IF(F169="NHP",PR!$AS167,IF(F169="NHC",PR!$AT167,IF(F169="OLEAF",PR!$AU167,IF(F169="OCULUS",PR!$AV167,IF(F169="PACIFIC",PR!$AW167,IF(F169="PHAMATEX",PR!$AX167,IF(F169="PETHICS",PR!$AY167,IF(F169="PHILIPS",PR!$AZ167,IF(F169="RANBAXY",PR!$BA167,IF(F169="REALS",PR!$BB167,IF(F169="ROYAL",PR!$BC167,IF(F169="SAM",PR!$BD167,IF(F169="SEAGREEN",PR!$BE167,IF(F169="SKG",PR!$BF167,IF(F169="TAH",PR!$BG167,IF(F169="TAYLEK",PR!$BH167,IF(F169="TEMITA",PR!$BI167,IF(F169="THL",PR!$BJ167,IF(F169="UBASTIC",PR!$BK167,IF(F169="UNION",PR!$BL167,IF(F169="UNIQUE",PR!$BM167,IF(F169="VIXA",PR!$BN167,IF(F169="WWCV",PR!$BO167,IF(F169="ZOLON",PR!$BP167,"-"))))))))))))))))))))))))))))))))))))))))))))))))))))))))))))))))</f>
        <v>2100</v>
      </c>
      <c r="F169" s="102" t="str">
        <f>EV!L210</f>
        <v>EUMATT</v>
      </c>
      <c r="G169" s="108">
        <f>IF(H169="ALPHA",PR!$E167,IF(H169="ASSENE",PR!$F167,IF(H169="BIOFEM",PR!$G167,IF(H169="BIOMED",PR!$H167,IF(H169="CHI",PR!$I167,IF(H169="CLARION",PR!$J167,IF(H169="CODIX",PR!$K167,IF(H169="COSMADE",PR!$L167,IF(H169="SANCON",PR!$M167,IF(H169="DEVON",PR!$N167,IF(H169="DORTEMAG",PR!$O167,IF(H169="DGF",PR!$P167,IF(H169="DYNAMIC",PR!$Q167,IF(H169="EMZOR",PR!$R167,IF(H169="EUMATT",PR!$S167,IF(H169="FIDSON",PR!$T167,IF(H169="FCGLOBAL",PR!$U167,IF(H169="GENEITH",PR!$V167,IF(H169="GINOS",PR!$W167,IF(H169="GSK",PR!$X167,IF(H169="GLOBORG",PR!$Y167,IF(H169="GOODNEWS",PR!$Z167,IF(H169="GREENLIFE",PR!$AA167,IF(H169="HLINE",PR!$AB167,IF(H169="ROTECH",PR!$AC167,IF(H169="ISN",PR!$AD167,IF(H169="JAWA",PR!$AE167,IF(H169="LAYO",PR!$AF167,IF(H169="LEADWAY",PR!$AG167,IF(H169="LHV",PR!$AH167,IF(H169="MANOLA",PR!$AI167,IF(H169="MARCSON",PR!$AJ167,IF(H169="M&amp;B",PR!$AK167,IF(H169="MTRUST",PR!$AL167,IF(H169="MWORLD",PR!$AM167,IF(H169="MEGA",PR!$AN167,IF(H169="MICRONOVA",PR!$AO167,IF(H169="MFLASH",PR!$AP167,IF(H169="MORISON",PR!$AQ167,IF(H169="NEMEL",PR!$AR167,IF(H169="NHP",PR!$AS167,IF(H169="NHC",PR!$AT167,IF(H169="OLEAF",PR!$AU167,IF(H169="OCULUS",PR!$AV167,IF(H169="PACIFIC",PR!$AW167,IF(H169="PHAMATEX",PR!$AX167,IF(H169="PETHICS",PR!$AY167,IF(H169="PHILIPS",PR!$AZ167,IF(H169="RANBAXY",PR!$BA167,IF(H169="REALS",PR!$BB167,IF(H169="ROYAL",PR!$BC167,IF(H169="SAM",PR!$BD167,IF(H169="SEAGREEN",PR!$BE167,IF(H169="SKG",PR!$BF167,IF(H169="TAH",PR!$BG167,IF(H169="TAYLEK",PR!$BH167,IF(H169="TEMITA",PR!$BI167,IF(H169="THL",PR!$BJ167,IF(H169="UBASTIC",PR!$BK167,IF(H169="UNION",PR!$BL167,IF(H169="UNIQUE",PR!$BM167,IF(H169="VIXA",PR!$BN167,IF(H169="WWCV",PR!$BO167,IF(H169="ZOLON",PR!$BP167,"-"))))))))))))))))))))))))))))))))))))))))))))))))))))))))))))))))</f>
        <v>9000</v>
      </c>
      <c r="H169" s="102" t="str">
        <f>EV!M210</f>
        <v>SEAGREEN</v>
      </c>
      <c r="I169" s="108">
        <f>IF(J169="ALPHA",PR!$E167,IF(J169="ASSENE",PR!$F167,IF(J169="BIOFEM",PR!$G167,IF(J169="BIOMED",PR!$H167,IF(J169="CHI",PR!$I167,IF(J169="CLARION",PR!$J167,IF(J169="CODIX",PR!$K167,IF(J169="COSMADE",PR!$L167,IF(J169="SANCON",PR!$M167,IF(J169="DEVON",PR!$N167,IF(J169="DORTEMAG",PR!$O167,IF(J169="DGF",PR!$P167,IF(J169="DYNAMIC",PR!$Q167,IF(J169="EMZOR",PR!$R167,IF(J169="EUMATT",PR!$S167,IF(J169="FIDSON",PR!$T167,IF(J169="FCGLOBAL",PR!$U167,IF(J169="GENEITH",PR!$V167,IF(J169="GINOS",PR!$W167,IF(J169="GSK",PR!$X167,IF(J169="GLOBORG",PR!$Y167,IF(J169="GOODNEWS",PR!$Z167,IF(J169="GREENLIFE",PR!$AA167,IF(J169="HLINE",PR!$AB167,IF(J169="ROTECH",PR!$AC167,IF(J169="ISN",PR!$AD167,IF(J169="JAWA",PR!$AE167,IF(J169="LAYO",PR!$AF167,IF(J169="LEADWAY",PR!$AG167,IF(J169="LHV",PR!$AH167,IF(J169="MANOLA",PR!$AI167,IF(J169="MARCSON",PR!$AJ167,IF(J169="M&amp;B",PR!$AK167,IF(J169="MTRUST",PR!$AL167,IF(J169="MWORLD",PR!$AM167,IF(J169="MEGA",PR!$AN167,IF(J169="MICRONOVA",PR!$AO167,IF(J169="MFLASH",PR!$AP167,IF(J169="MORISON",PR!$AQ167,IF(J169="NEMEL",PR!$AR167,IF(J169="NHP",PR!$AS167,IF(J169="NHC",PR!$AT167,IF(J169="OLEAF",PR!$AU167,IF(J169="OCULUS",PR!$AV167,IF(J169="PACIFIC",PR!$AW167,IF(J169="PHAMATEX",PR!$AX167,IF(J169="PETHICS",PR!$AY167,IF(J169="PHILIPS",PR!$AZ167,IF(J169="RANBAXY",PR!$BA167,IF(J169="REALS",PR!$BB167,IF(J169="ROYAL",PR!$BC167,IF(J169="SAM",PR!$BD167,IF(J169="SEAGREEN",PR!$BE167,IF(J169="SKG",PR!$BF167,IF(J169="TAH",PR!$BG167,IF(J169="TAYLEK",PR!$BH167,IF(J169="TEMITA",PR!$BI167,IF(J169="THL",PR!$BJ167,IF(J169="UBASTIC",PR!$BK167,IF(J169="UNION",PR!$BL167,IF(J169="UNIQUE",PR!$BM167,IF(J169="VIXA",PR!$BN167,IF(J169="WWCV",PR!$BO167,IF(J169="ZOLON",PR!$BP167,"-"))))))))))))))))))))))))))))))))))))))))))))))))))))))))))))))))</f>
        <v>9700</v>
      </c>
      <c r="J169" s="102" t="str">
        <f>EV!N210</f>
        <v>ALPHA</v>
      </c>
      <c r="K169" s="433" t="s">
        <v>1246</v>
      </c>
      <c r="L169" s="183">
        <f>IF(K169&gt;0,IF(K169="ALPHA",PR!$E167,IF(K169="ASSENE",PR!$F167,IF(K169="BIOFEM",PR!$G167,IF(K169="BIOMED",PR!$H167,IF(K169="CHI",PR!$I167,IF(K169="CLARION",PR!$J167,IF(K169="CODIX",PR!$K167,IF(K169="COSMADE",PR!$L167,IF(K169="SANCON",PR!$M167,IF(K169="DEVON",PR!$N167,IF(K169="DORTEMAG",PR!$O167,IF(K169="DGF",PR!$P167,IF(K169="DYNAMIC",PR!$Q167,IF(K169="EMZOR",PR!$R167,IF(K169="EUMATT",PR!$S167,IF(K169="FIDSON",PR!$T167,IF(K169="FCGLOBAL",PR!$U167,IF(K169="GENEITH",PR!$V167,IF(K169="GINOS",PR!$W167,IF(K169="GSK",PR!$X167,IF(K169="GLOBORG",PR!$Y167,IF(K169="GOODNEWS",PR!$Z167,IF(K169="GREENLIFE",PR!$AA167,IF(K169="HLINE",PR!$AB167,IF(K169="ROTECH",PR!$AC167,IF(K169="ISN",PR!$AD167,IF(K169="JAWA",PR!$AE167,IF(K169="LAYO",PR!$AF167,IF(K169="LEADWAY",PR!$AG167,IF(K169="LHV",PR!$AH167,IF(K169="MANOLA",PR!$AI167,IF(K169="MARCSON",PR!$AJ167,IF(K169="M&amp;B",PR!$AK167,IF(K169="MTRUST",PR!$AL167,IF(K169="MWORLD",PR!$AM167,IF(K169="MEGA",PR!$AN167,IF(K169="MICRONOVA",PR!$AO167,IF(K169="MFLASH",PR!$AP167,IF(K169="MORISON",PR!$AQ167,IF(K169="NEMEL",PR!$AR167,IF(K169="NHP",PR!$AS167,IF(K169="NHC",PR!$AT167,IF(K169="OLEAF",PR!$AU167,IF(K169="OCULUS",PR!$AV167,IF(K169="PACIFIC",PR!$AW167,IF(K169="PHAMATEX",PR!$AX167,IF(K169="PETHICS",PR!$AY167,IF(K169="PHILIPS",PR!$AZ167,IF(K169="RANBAXY",PR!$BA167,IF(K169="REALS",PR!$BB167,IF(K169="ROYAL",PR!$BC167,IF(K169="SAM",PR!$BD167,IF(K169="SEAGREEN",PR!$BE167,IF(K169="SKG",PR!$BF167,IF(K169="TAH",PR!$BG167,IF(K169="TAYLEK",PR!$BH167,IF(K169="TEMITA",PR!$BI167,IF(K169="THL",PR!$BJ167,IF(K169="UBASTIC",PR!$BK167,IF(K169="UNION",PR!$BL167,IF(K169="UNIQUE",PR!$BM167,IF(K169="VIXA",PR!$BN167,IF(K169="WWCV",PR!$BO167,IF(K169="ZOLON",PR!$BP167,"-")))))))))))))))))))))))))))))))))))))))))))))))))))))))))))))))))</f>
        <v>15517</v>
      </c>
    </row>
    <row r="170" spans="1:12" ht="18.75" x14ac:dyDescent="0.3">
      <c r="A170" s="430">
        <f>PR!A168</f>
        <v>147</v>
      </c>
      <c r="B170" s="15" t="str">
        <f>PR!B168</f>
        <v>COCODAMOL TAB</v>
      </c>
      <c r="C170" s="113">
        <f>PR!D168</f>
        <v>100</v>
      </c>
      <c r="D170" s="113">
        <f>PR!C168</f>
        <v>2000</v>
      </c>
      <c r="E170" s="108">
        <f>IF(F170="ALPHA",PR!$E168,IF(F170="ASSENE",PR!$F168,IF(F170="BIOFEM",PR!$G168,IF(F170="BIOMED",PR!$H168,IF(F170="CHI",PR!$I168,IF(F170="CLARION",PR!$J168,IF(F170="CODIX",PR!$K168,IF(F170="COSMADE",PR!$L168,IF(F170="SANCON",PR!$M168,IF(F170="DEVON",PR!$N168,IF(F170="DORTEMAG",PR!$O168,IF(F170="DGF",PR!$P168,IF(F170="DYNAMIC",PR!$Q168,IF(F170="EMZOR",PR!$R168,IF(F170="EUMATT",PR!$S168,IF(F170="FIDSON",PR!$T168,IF(F170="FCGLOBAL",PR!$U168,IF(F170="GENEITH",PR!$V168,IF(F170="GINOS",PR!$W168,IF(F170="GSK",PR!$X168,IF(F170="GLOBORG",PR!$Y168,IF(F170="GOODNEWS",PR!$Z168,IF(F170="GREENLIFE",PR!$AA168,IF(F170="HLINE",PR!$AB168,IF(F170="ROTECH",PR!$AC168,IF(F170="ISN",PR!$AD168,IF(F170="JAWA",PR!$AE168,IF(F170="LAYO",PR!$AF168,IF(F170="LEADWAY",PR!$AG168,IF(F170="LHV",PR!$AH168,IF(F170="MANOLA",PR!$AI168,IF(F170="MARCSON",PR!$AJ168,IF(F170="M&amp;B",PR!$AK168,IF(F170="MTRUST",PR!$AL168,IF(F170="MWORLD",PR!$AM168,IF(F170="MEGA",PR!$AN168,IF(F170="MICRONOVA",PR!$AO168,IF(F170="MFLASH",PR!$AP168,IF(F170="MORISON",PR!$AQ168,IF(F170="NEMEL",PR!$AR168,IF(F170="NHP",PR!$AS168,IF(F170="NHC",PR!$AT168,IF(F170="OLEAF",PR!$AU168,IF(F170="OCULUS",PR!$AV168,IF(F170="PACIFIC",PR!$AW168,IF(F170="PHAMATEX",PR!$AX168,IF(F170="PETHICS",PR!$AY168,IF(F170="PHILIPS",PR!$AZ168,IF(F170="RANBAXY",PR!$BA168,IF(F170="REALS",PR!$BB168,IF(F170="ROYAL",PR!$BC168,IF(F170="SAM",PR!$BD168,IF(F170="SEAGREEN",PR!$BE168,IF(F170="SKG",PR!$BF168,IF(F170="TAH",PR!$BG168,IF(F170="TAYLEK",PR!$BH168,IF(F170="TEMITA",PR!$BI168,IF(F170="THL",PR!$BJ168,IF(F170="UBASTIC",PR!$BK168,IF(F170="UNION",PR!$BL168,IF(F170="UNIQUE",PR!$BM168,IF(F170="VIXA",PR!$BN168,IF(F170="WWCV",PR!$BO168,IF(F170="ZOLON",PR!$BP168,"-"))))))))))))))))))))))))))))))))))))))))))))))))))))))))))))))))</f>
        <v>1950</v>
      </c>
      <c r="F170" s="102" t="str">
        <f>EV!L211</f>
        <v>LEADWAY</v>
      </c>
      <c r="G170" s="108">
        <f>IF(H170="ALPHA",PR!$E168,IF(H170="ASSENE",PR!$F168,IF(H170="BIOFEM",PR!$G168,IF(H170="BIOMED",PR!$H168,IF(H170="CHI",PR!$I168,IF(H170="CLARION",PR!$J168,IF(H170="CODIX",PR!$K168,IF(H170="COSMADE",PR!$L168,IF(H170="SANCON",PR!$M168,IF(H170="DEVON",PR!$N168,IF(H170="DORTEMAG",PR!$O168,IF(H170="DGF",PR!$P168,IF(H170="DYNAMIC",PR!$Q168,IF(H170="EMZOR",PR!$R168,IF(H170="EUMATT",PR!$S168,IF(H170="FIDSON",PR!$T168,IF(H170="FCGLOBAL",PR!$U168,IF(H170="GENEITH",PR!$V168,IF(H170="GINOS",PR!$W168,IF(H170="GSK",PR!$X168,IF(H170="GLOBORG",PR!$Y168,IF(H170="GOODNEWS",PR!$Z168,IF(H170="GREENLIFE",PR!$AA168,IF(H170="HLINE",PR!$AB168,IF(H170="ROTECH",PR!$AC168,IF(H170="ISN",PR!$AD168,IF(H170="JAWA",PR!$AE168,IF(H170="LAYO",PR!$AF168,IF(H170="LEADWAY",PR!$AG168,IF(H170="LHV",PR!$AH168,IF(H170="MANOLA",PR!$AI168,IF(H170="MARCSON",PR!$AJ168,IF(H170="M&amp;B",PR!$AK168,IF(H170="MTRUST",PR!$AL168,IF(H170="MWORLD",PR!$AM168,IF(H170="MEGA",PR!$AN168,IF(H170="MICRONOVA",PR!$AO168,IF(H170="MFLASH",PR!$AP168,IF(H170="MORISON",PR!$AQ168,IF(H170="NEMEL",PR!$AR168,IF(H170="NHP",PR!$AS168,IF(H170="NHC",PR!$AT168,IF(H170="OLEAF",PR!$AU168,IF(H170="OCULUS",PR!$AV168,IF(H170="PACIFIC",PR!$AW168,IF(H170="PHAMATEX",PR!$AX168,IF(H170="PETHICS",PR!$AY168,IF(H170="PHILIPS",PR!$AZ168,IF(H170="RANBAXY",PR!$BA168,IF(H170="REALS",PR!$BB168,IF(H170="ROYAL",PR!$BC168,IF(H170="SAM",PR!$BD168,IF(H170="SEAGREEN",PR!$BE168,IF(H170="SKG",PR!$BF168,IF(H170="TAH",PR!$BG168,IF(H170="TAYLEK",PR!$BH168,IF(H170="TEMITA",PR!$BI168,IF(H170="THL",PR!$BJ168,IF(H170="UBASTIC",PR!$BK168,IF(H170="UNION",PR!$BL168,IF(H170="UNIQUE",PR!$BM168,IF(H170="VIXA",PR!$BN168,IF(H170="WWCV",PR!$BO168,IF(H170="ZOLON",PR!$BP168,"-"))))))))))))))))))))))))))))))))))))))))))))))))))))))))))))))))</f>
        <v>2500</v>
      </c>
      <c r="H170" s="102" t="str">
        <f>EV!M211</f>
        <v>EUMATT</v>
      </c>
      <c r="I170" s="108" t="str">
        <f>IF(J170="ALPHA",PR!$E168,IF(J170="ASSENE",PR!$F168,IF(J170="BIOFEM",PR!$G168,IF(J170="BIOMED",PR!$H168,IF(J170="CHI",PR!$I168,IF(J170="CLARION",PR!$J168,IF(J170="CODIX",PR!$K168,IF(J170="COSMADE",PR!$L168,IF(J170="SANCON",PR!$M168,IF(J170="DEVON",PR!$N168,IF(J170="DORTEMAG",PR!$O168,IF(J170="DGF",PR!$P168,IF(J170="DYNAMIC",PR!$Q168,IF(J170="EMZOR",PR!$R168,IF(J170="EUMATT",PR!$S168,IF(J170="FIDSON",PR!$T168,IF(J170="FCGLOBAL",PR!$U168,IF(J170="GENEITH",PR!$V168,IF(J170="GINOS",PR!$W168,IF(J170="GSK",PR!$X168,IF(J170="GLOBORG",PR!$Y168,IF(J170="GOODNEWS",PR!$Z168,IF(J170="GREENLIFE",PR!$AA168,IF(J170="HLINE",PR!$AB168,IF(J170="ROTECH",PR!$AC168,IF(J170="ISN",PR!$AD168,IF(J170="JAWA",PR!$AE168,IF(J170="LAYO",PR!$AF168,IF(J170="LEADWAY",PR!$AG168,IF(J170="LHV",PR!$AH168,IF(J170="MANOLA",PR!$AI168,IF(J170="MARCSON",PR!$AJ168,IF(J170="M&amp;B",PR!$AK168,IF(J170="MTRUST",PR!$AL168,IF(J170="MWORLD",PR!$AM168,IF(J170="MEGA",PR!$AN168,IF(J170="MICRONOVA",PR!$AO168,IF(J170="MFLASH",PR!$AP168,IF(J170="MORISON",PR!$AQ168,IF(J170="NEMEL",PR!$AR168,IF(J170="NHP",PR!$AS168,IF(J170="NHC",PR!$AT168,IF(J170="OLEAF",PR!$AU168,IF(J170="OCULUS",PR!$AV168,IF(J170="PACIFIC",PR!$AW168,IF(J170="PHAMATEX",PR!$AX168,IF(J170="PETHICS",PR!$AY168,IF(J170="PHILIPS",PR!$AZ168,IF(J170="RANBAXY",PR!$BA168,IF(J170="REALS",PR!$BB168,IF(J170="ROYAL",PR!$BC168,IF(J170="SAM",PR!$BD168,IF(J170="SEAGREEN",PR!$BE168,IF(J170="SKG",PR!$BF168,IF(J170="TAH",PR!$BG168,IF(J170="TAYLEK",PR!$BH168,IF(J170="TEMITA",PR!$BI168,IF(J170="THL",PR!$BJ168,IF(J170="UBASTIC",PR!$BK168,IF(J170="UNION",PR!$BL168,IF(J170="UNIQUE",PR!$BM168,IF(J170="VIXA",PR!$BN168,IF(J170="WWCV",PR!$BO168,IF(J170="ZOLON",PR!$BP168,"-"))))))))))))))))))))))))))))))))))))))))))))))))))))))))))))))))</f>
        <v>-</v>
      </c>
      <c r="J170" s="102">
        <f>EV!N211</f>
        <v>0</v>
      </c>
      <c r="K170" s="433" t="s">
        <v>821</v>
      </c>
      <c r="L170" s="183">
        <f>IF(K170&gt;0,IF(K170="ALPHA",PR!$E168,IF(K170="ASSENE",PR!$F168,IF(K170="BIOFEM",PR!$G168,IF(K170="BIOMED",PR!$H168,IF(K170="CHI",PR!$I168,IF(K170="CLARION",PR!$J168,IF(K170="CODIX",PR!$K168,IF(K170="COSMADE",PR!$L168,IF(K170="SANCON",PR!$M168,IF(K170="DEVON",PR!$N168,IF(K170="DORTEMAG",PR!$O168,IF(K170="DGF",PR!$P168,IF(K170="DYNAMIC",PR!$Q168,IF(K170="EMZOR",PR!$R168,IF(K170="EUMATT",PR!$S168,IF(K170="FIDSON",PR!$T168,IF(K170="FCGLOBAL",PR!$U168,IF(K170="GENEITH",PR!$V168,IF(K170="GINOS",PR!$W168,IF(K170="GSK",PR!$X168,IF(K170="GLOBORG",PR!$Y168,IF(K170="GOODNEWS",PR!$Z168,IF(K170="GREENLIFE",PR!$AA168,IF(K170="HLINE",PR!$AB168,IF(K170="ROTECH",PR!$AC168,IF(K170="ISN",PR!$AD168,IF(K170="JAWA",PR!$AE168,IF(K170="LAYO",PR!$AF168,IF(K170="LEADWAY",PR!$AG168,IF(K170="LHV",PR!$AH168,IF(K170="MANOLA",PR!$AI168,IF(K170="MARCSON",PR!$AJ168,IF(K170="M&amp;B",PR!$AK168,IF(K170="MTRUST",PR!$AL168,IF(K170="MWORLD",PR!$AM168,IF(K170="MEGA",PR!$AN168,IF(K170="MICRONOVA",PR!$AO168,IF(K170="MFLASH",PR!$AP168,IF(K170="MORISON",PR!$AQ168,IF(K170="NEMEL",PR!$AR168,IF(K170="NHP",PR!$AS168,IF(K170="NHC",PR!$AT168,IF(K170="OLEAF",PR!$AU168,IF(K170="OCULUS",PR!$AV168,IF(K170="PACIFIC",PR!$AW168,IF(K170="PHAMATEX",PR!$AX168,IF(K170="PETHICS",PR!$AY168,IF(K170="PHILIPS",PR!$AZ168,IF(K170="RANBAXY",PR!$BA168,IF(K170="REALS",PR!$BB168,IF(K170="ROYAL",PR!$BC168,IF(K170="SAM",PR!$BD168,IF(K170="SEAGREEN",PR!$BE168,IF(K170="SKG",PR!$BF168,IF(K170="TAH",PR!$BG168,IF(K170="TAYLEK",PR!$BH168,IF(K170="TEMITA",PR!$BI168,IF(K170="THL",PR!$BJ168,IF(K170="UBASTIC",PR!$BK168,IF(K170="UNION",PR!$BL168,IF(K170="UNIQUE",PR!$BM168,IF(K170="VIXA",PR!$BN168,IF(K170="WWCV",PR!$BO168,IF(K170="ZOLON",PR!$BP168,"-")))))))))))))))))))))))))))))))))))))))))))))))))))))))))))))))))</f>
        <v>2500</v>
      </c>
    </row>
    <row r="171" spans="1:12" ht="18.75" x14ac:dyDescent="0.3">
      <c r="A171" s="430">
        <f>PR!A169</f>
        <v>148</v>
      </c>
      <c r="B171" s="15" t="str">
        <f>PR!B169</f>
        <v>DEXAMETHASONE 1MG TAB</v>
      </c>
      <c r="C171" s="113">
        <f>PR!D169</f>
        <v>100</v>
      </c>
      <c r="D171" s="113">
        <f>PR!C169</f>
        <v>200</v>
      </c>
      <c r="E171" s="108">
        <f>IF(F171="ALPHA",PR!$E169,IF(F171="ASSENE",PR!$F169,IF(F171="BIOFEM",PR!$G169,IF(F171="BIOMED",PR!$H169,IF(F171="CHI",PR!$I169,IF(F171="CLARION",PR!$J169,IF(F171="CODIX",PR!$K169,IF(F171="COSMADE",PR!$L169,IF(F171="SANCON",PR!$M169,IF(F171="DEVON",PR!$N169,IF(F171="DORTEMAG",PR!$O169,IF(F171="DGF",PR!$P169,IF(F171="DYNAMIC",PR!$Q169,IF(F171="EMZOR",PR!$R169,IF(F171="EUMATT",PR!$S169,IF(F171="FIDSON",PR!$T169,IF(F171="FCGLOBAL",PR!$U169,IF(F171="GENEITH",PR!$V169,IF(F171="GINOS",PR!$W169,IF(F171="GSK",PR!$X169,IF(F171="GLOBORG",PR!$Y169,IF(F171="GOODNEWS",PR!$Z169,IF(F171="GREENLIFE",PR!$AA169,IF(F171="HLINE",PR!$AB169,IF(F171="ROTECH",PR!$AC169,IF(F171="ISN",PR!$AD169,IF(F171="JAWA",PR!$AE169,IF(F171="LAYO",PR!$AF169,IF(F171="LEADWAY",PR!$AG169,IF(F171="LHV",PR!$AH169,IF(F171="MANOLA",PR!$AI169,IF(F171="MARCSON",PR!$AJ169,IF(F171="M&amp;B",PR!$AK169,IF(F171="MTRUST",PR!$AL169,IF(F171="MWORLD",PR!$AM169,IF(F171="MEGA",PR!$AN169,IF(F171="MICRONOVA",PR!$AO169,IF(F171="MFLASH",PR!$AP169,IF(F171="MORISON",PR!$AQ169,IF(F171="NEMEL",PR!$AR169,IF(F171="NHP",PR!$AS169,IF(F171="NHC",PR!$AT169,IF(F171="OLEAF",PR!$AU169,IF(F171="OCULUS",PR!$AV169,IF(F171="PACIFIC",PR!$AW169,IF(F171="PHAMATEX",PR!$AX169,IF(F171="PETHICS",PR!$AY169,IF(F171="PHILIPS",PR!$AZ169,IF(F171="RANBAXY",PR!$BA169,IF(F171="REALS",PR!$BB169,IF(F171="ROYAL",PR!$BC169,IF(F171="SAM",PR!$BD169,IF(F171="SEAGREEN",PR!$BE169,IF(F171="SKG",PR!$BF169,IF(F171="TAH",PR!$BG169,IF(F171="TAYLEK",PR!$BH169,IF(F171="TEMITA",PR!$BI169,IF(F171="THL",PR!$BJ169,IF(F171="UBASTIC",PR!$BK169,IF(F171="UNION",PR!$BL169,IF(F171="UNIQUE",PR!$BM169,IF(F171="VIXA",PR!$BN169,IF(F171="WWCV",PR!$BO169,IF(F171="ZOLON",PR!$BP169,"-"))))))))))))))))))))))))))))))))))))))))))))))))))))))))))))))))</f>
        <v>270</v>
      </c>
      <c r="F171" s="102" t="str">
        <f>EV!L212</f>
        <v>VIXA</v>
      </c>
      <c r="G171" s="108">
        <f>IF(H171="ALPHA",PR!$E169,IF(H171="ASSENE",PR!$F169,IF(H171="BIOFEM",PR!$G169,IF(H171="BIOMED",PR!$H169,IF(H171="CHI",PR!$I169,IF(H171="CLARION",PR!$J169,IF(H171="CODIX",PR!$K169,IF(H171="COSMADE",PR!$L169,IF(H171="SANCON",PR!$M169,IF(H171="DEVON",PR!$N169,IF(H171="DORTEMAG",PR!$O169,IF(H171="DGF",PR!$P169,IF(H171="DYNAMIC",PR!$Q169,IF(H171="EMZOR",PR!$R169,IF(H171="EUMATT",PR!$S169,IF(H171="FIDSON",PR!$T169,IF(H171="FCGLOBAL",PR!$U169,IF(H171="GENEITH",PR!$V169,IF(H171="GINOS",PR!$W169,IF(H171="GSK",PR!$X169,IF(H171="GLOBORG",PR!$Y169,IF(H171="GOODNEWS",PR!$Z169,IF(H171="GREENLIFE",PR!$AA169,IF(H171="HLINE",PR!$AB169,IF(H171="ROTECH",PR!$AC169,IF(H171="ISN",PR!$AD169,IF(H171="JAWA",PR!$AE169,IF(H171="LAYO",PR!$AF169,IF(H171="LEADWAY",PR!$AG169,IF(H171="LHV",PR!$AH169,IF(H171="MANOLA",PR!$AI169,IF(H171="MARCSON",PR!$AJ169,IF(H171="M&amp;B",PR!$AK169,IF(H171="MTRUST",PR!$AL169,IF(H171="MWORLD",PR!$AM169,IF(H171="MEGA",PR!$AN169,IF(H171="MICRONOVA",PR!$AO169,IF(H171="MFLASH",PR!$AP169,IF(H171="MORISON",PR!$AQ169,IF(H171="NEMEL",PR!$AR169,IF(H171="NHP",PR!$AS169,IF(H171="NHC",PR!$AT169,IF(H171="OLEAF",PR!$AU169,IF(H171="OCULUS",PR!$AV169,IF(H171="PACIFIC",PR!$AW169,IF(H171="PHAMATEX",PR!$AX169,IF(H171="PETHICS",PR!$AY169,IF(H171="PHILIPS",PR!$AZ169,IF(H171="RANBAXY",PR!$BA169,IF(H171="REALS",PR!$BB169,IF(H171="ROYAL",PR!$BC169,IF(H171="SAM",PR!$BD169,IF(H171="SEAGREEN",PR!$BE169,IF(H171="SKG",PR!$BF169,IF(H171="TAH",PR!$BG169,IF(H171="TAYLEK",PR!$BH169,IF(H171="TEMITA",PR!$BI169,IF(H171="THL",PR!$BJ169,IF(H171="UBASTIC",PR!$BK169,IF(H171="UNION",PR!$BL169,IF(H171="UNIQUE",PR!$BM169,IF(H171="VIXA",PR!$BN169,IF(H171="WWCV",PR!$BO169,IF(H171="ZOLON",PR!$BP169,"-"))))))))))))))))))))))))))))))))))))))))))))))))))))))))))))))))</f>
        <v>500</v>
      </c>
      <c r="H171" s="102" t="str">
        <f>EV!M212</f>
        <v>SEAGREEN</v>
      </c>
      <c r="I171" s="108" t="str">
        <f>IF(J171="ALPHA",PR!$E169,IF(J171="ASSENE",PR!$F169,IF(J171="BIOFEM",PR!$G169,IF(J171="BIOMED",PR!$H169,IF(J171="CHI",PR!$I169,IF(J171="CLARION",PR!$J169,IF(J171="CODIX",PR!$K169,IF(J171="COSMADE",PR!$L169,IF(J171="SANCON",PR!$M169,IF(J171="DEVON",PR!$N169,IF(J171="DORTEMAG",PR!$O169,IF(J171="DGF",PR!$P169,IF(J171="DYNAMIC",PR!$Q169,IF(J171="EMZOR",PR!$R169,IF(J171="EUMATT",PR!$S169,IF(J171="FIDSON",PR!$T169,IF(J171="FCGLOBAL",PR!$U169,IF(J171="GENEITH",PR!$V169,IF(J171="GINOS",PR!$W169,IF(J171="GSK",PR!$X169,IF(J171="GLOBORG",PR!$Y169,IF(J171="GOODNEWS",PR!$Z169,IF(J171="GREENLIFE",PR!$AA169,IF(J171="HLINE",PR!$AB169,IF(J171="ROTECH",PR!$AC169,IF(J171="ISN",PR!$AD169,IF(J171="JAWA",PR!$AE169,IF(J171="LAYO",PR!$AF169,IF(J171="LEADWAY",PR!$AG169,IF(J171="LHV",PR!$AH169,IF(J171="MANOLA",PR!$AI169,IF(J171="MARCSON",PR!$AJ169,IF(J171="M&amp;B",PR!$AK169,IF(J171="MTRUST",PR!$AL169,IF(J171="MWORLD",PR!$AM169,IF(J171="MEGA",PR!$AN169,IF(J171="MICRONOVA",PR!$AO169,IF(J171="MFLASH",PR!$AP169,IF(J171="MORISON",PR!$AQ169,IF(J171="NEMEL",PR!$AR169,IF(J171="NHP",PR!$AS169,IF(J171="NHC",PR!$AT169,IF(J171="OLEAF",PR!$AU169,IF(J171="OCULUS",PR!$AV169,IF(J171="PACIFIC",PR!$AW169,IF(J171="PHAMATEX",PR!$AX169,IF(J171="PETHICS",PR!$AY169,IF(J171="PHILIPS",PR!$AZ169,IF(J171="RANBAXY",PR!$BA169,IF(J171="REALS",PR!$BB169,IF(J171="ROYAL",PR!$BC169,IF(J171="SAM",PR!$BD169,IF(J171="SEAGREEN",PR!$BE169,IF(J171="SKG",PR!$BF169,IF(J171="TAH",PR!$BG169,IF(J171="TAYLEK",PR!$BH169,IF(J171="TEMITA",PR!$BI169,IF(J171="THL",PR!$BJ169,IF(J171="UBASTIC",PR!$BK169,IF(J171="UNION",PR!$BL169,IF(J171="UNIQUE",PR!$BM169,IF(J171="VIXA",PR!$BN169,IF(J171="WWCV",PR!$BO169,IF(J171="ZOLON",PR!$BP169,"-"))))))))))))))))))))))))))))))))))))))))))))))))))))))))))))))))</f>
        <v>-</v>
      </c>
      <c r="J171" s="102">
        <f>EV!N212</f>
        <v>0</v>
      </c>
      <c r="K171" s="433" t="s">
        <v>620</v>
      </c>
      <c r="L171" s="183">
        <f>IF(K171&gt;0,IF(K171="ALPHA",PR!$E169,IF(K171="ASSENE",PR!$F169,IF(K171="BIOFEM",PR!$G169,IF(K171="BIOMED",PR!$H169,IF(K171="CHI",PR!$I169,IF(K171="CLARION",PR!$J169,IF(K171="CODIX",PR!$K169,IF(K171="COSMADE",PR!$L169,IF(K171="SANCON",PR!$M169,IF(K171="DEVON",PR!$N169,IF(K171="DORTEMAG",PR!$O169,IF(K171="DGF",PR!$P169,IF(K171="DYNAMIC",PR!$Q169,IF(K171="EMZOR",PR!$R169,IF(K171="EUMATT",PR!$S169,IF(K171="FIDSON",PR!$T169,IF(K171="FCGLOBAL",PR!$U169,IF(K171="GENEITH",PR!$V169,IF(K171="GINOS",PR!$W169,IF(K171="GSK",PR!$X169,IF(K171="GLOBORG",PR!$Y169,IF(K171="GOODNEWS",PR!$Z169,IF(K171="GREENLIFE",PR!$AA169,IF(K171="HLINE",PR!$AB169,IF(K171="ROTECH",PR!$AC169,IF(K171="ISN",PR!$AD169,IF(K171="JAWA",PR!$AE169,IF(K171="LAYO",PR!$AF169,IF(K171="LEADWAY",PR!$AG169,IF(K171="LHV",PR!$AH169,IF(K171="MANOLA",PR!$AI169,IF(K171="MARCSON",PR!$AJ169,IF(K171="M&amp;B",PR!$AK169,IF(K171="MTRUST",PR!$AL169,IF(K171="MWORLD",PR!$AM169,IF(K171="MEGA",PR!$AN169,IF(K171="MICRONOVA",PR!$AO169,IF(K171="MFLASH",PR!$AP169,IF(K171="MORISON",PR!$AQ169,IF(K171="NEMEL",PR!$AR169,IF(K171="NHP",PR!$AS169,IF(K171="NHC",PR!$AT169,IF(K171="OLEAF",PR!$AU169,IF(K171="OCULUS",PR!$AV169,IF(K171="PACIFIC",PR!$AW169,IF(K171="PHAMATEX",PR!$AX169,IF(K171="PETHICS",PR!$AY169,IF(K171="PHILIPS",PR!$AZ169,IF(K171="RANBAXY",PR!$BA169,IF(K171="REALS",PR!$BB169,IF(K171="ROYAL",PR!$BC169,IF(K171="SAM",PR!$BD169,IF(K171="SEAGREEN",PR!$BE169,IF(K171="SKG",PR!$BF169,IF(K171="TAH",PR!$BG169,IF(K171="TAYLEK",PR!$BH169,IF(K171="TEMITA",PR!$BI169,IF(K171="THL",PR!$BJ169,IF(K171="UBASTIC",PR!$BK169,IF(K171="UNION",PR!$BL169,IF(K171="UNIQUE",PR!$BM169,IF(K171="VIXA",PR!$BN169,IF(K171="WWCV",PR!$BO169,IF(K171="ZOLON",PR!$BP169,"-")))))))))))))))))))))))))))))))))))))))))))))))))))))))))))))))))</f>
        <v>270</v>
      </c>
    </row>
    <row r="172" spans="1:12" ht="18.75" x14ac:dyDescent="0.3">
      <c r="A172" s="430">
        <f>PR!A170</f>
        <v>149</v>
      </c>
      <c r="B172" s="15" t="str">
        <f>PR!B170</f>
        <v>DEXAMETHASONE 4MG INJ</v>
      </c>
      <c r="C172" s="113">
        <f>PR!D170</f>
        <v>100</v>
      </c>
      <c r="D172" s="113">
        <f>PR!C170</f>
        <v>200</v>
      </c>
      <c r="E172" s="108">
        <f>IF(F172="ALPHA",PR!$E170,IF(F172="ASSENE",PR!$F170,IF(F172="BIOFEM",PR!$G170,IF(F172="BIOMED",PR!$H170,IF(F172="CHI",PR!$I170,IF(F172="CLARION",PR!$J170,IF(F172="CODIX",PR!$K170,IF(F172="COSMADE",PR!$L170,IF(F172="SANCON",PR!$M170,IF(F172="DEVON",PR!$N170,IF(F172="DORTEMAG",PR!$O170,IF(F172="DGF",PR!$P170,IF(F172="DYNAMIC",PR!$Q170,IF(F172="EMZOR",PR!$R170,IF(F172="EUMATT",PR!$S170,IF(F172="FIDSON",PR!$T170,IF(F172="FCGLOBAL",PR!$U170,IF(F172="GENEITH",PR!$V170,IF(F172="GINOS",PR!$W170,IF(F172="GSK",PR!$X170,IF(F172="GLOBORG",PR!$Y170,IF(F172="GOODNEWS",PR!$Z170,IF(F172="GREENLIFE",PR!$AA170,IF(F172="HLINE",PR!$AB170,IF(F172="ROTECH",PR!$AC170,IF(F172="ISN",PR!$AD170,IF(F172="JAWA",PR!$AE170,IF(F172="LAYO",PR!$AF170,IF(F172="LEADWAY",PR!$AG170,IF(F172="LHV",PR!$AH170,IF(F172="MANOLA",PR!$AI170,IF(F172="MARCSON",PR!$AJ170,IF(F172="M&amp;B",PR!$AK170,IF(F172="MTRUST",PR!$AL170,IF(F172="MWORLD",PR!$AM170,IF(F172="MEGA",PR!$AN170,IF(F172="MICRONOVA",PR!$AO170,IF(F172="MFLASH",PR!$AP170,IF(F172="MORISON",PR!$AQ170,IF(F172="NEMEL",PR!$AR170,IF(F172="NHP",PR!$AS170,IF(F172="NHC",PR!$AT170,IF(F172="OLEAF",PR!$AU170,IF(F172="OCULUS",PR!$AV170,IF(F172="PACIFIC",PR!$AW170,IF(F172="PHAMATEX",PR!$AX170,IF(F172="PETHICS",PR!$AY170,IF(F172="PHILIPS",PR!$AZ170,IF(F172="RANBAXY",PR!$BA170,IF(F172="REALS",PR!$BB170,IF(F172="ROYAL",PR!$BC170,IF(F172="SAM",PR!$BD170,IF(F172="SEAGREEN",PR!$BE170,IF(F172="SKG",PR!$BF170,IF(F172="TAH",PR!$BG170,IF(F172="TAYLEK",PR!$BH170,IF(F172="TEMITA",PR!$BI170,IF(F172="THL",PR!$BJ170,IF(F172="UBASTIC",PR!$BK170,IF(F172="UNION",PR!$BL170,IF(F172="UNIQUE",PR!$BM170,IF(F172="VIXA",PR!$BN170,IF(F172="WWCV",PR!$BO170,IF(F172="ZOLON",PR!$BP170,"-"))))))))))))))))))))))))))))))))))))))))))))))))))))))))))))))))</f>
        <v>950</v>
      </c>
      <c r="F172" s="102" t="str">
        <f>EV!L213</f>
        <v>EUMATT</v>
      </c>
      <c r="G172" s="108">
        <f>IF(H172="ALPHA",PR!$E170,IF(H172="ASSENE",PR!$F170,IF(H172="BIOFEM",PR!$G170,IF(H172="BIOMED",PR!$H170,IF(H172="CHI",PR!$I170,IF(H172="CLARION",PR!$J170,IF(H172="CODIX",PR!$K170,IF(H172="COSMADE",PR!$L170,IF(H172="SANCON",PR!$M170,IF(H172="DEVON",PR!$N170,IF(H172="DORTEMAG",PR!$O170,IF(H172="DGF",PR!$P170,IF(H172="DYNAMIC",PR!$Q170,IF(H172="EMZOR",PR!$R170,IF(H172="EUMATT",PR!$S170,IF(H172="FIDSON",PR!$T170,IF(H172="FCGLOBAL",PR!$U170,IF(H172="GENEITH",PR!$V170,IF(H172="GINOS",PR!$W170,IF(H172="GSK",PR!$X170,IF(H172="GLOBORG",PR!$Y170,IF(H172="GOODNEWS",PR!$Z170,IF(H172="GREENLIFE",PR!$AA170,IF(H172="HLINE",PR!$AB170,IF(H172="ROTECH",PR!$AC170,IF(H172="ISN",PR!$AD170,IF(H172="JAWA",PR!$AE170,IF(H172="LAYO",PR!$AF170,IF(H172="LEADWAY",PR!$AG170,IF(H172="LHV",PR!$AH170,IF(H172="MANOLA",PR!$AI170,IF(H172="MARCSON",PR!$AJ170,IF(H172="M&amp;B",PR!$AK170,IF(H172="MTRUST",PR!$AL170,IF(H172="MWORLD",PR!$AM170,IF(H172="MEGA",PR!$AN170,IF(H172="MICRONOVA",PR!$AO170,IF(H172="MFLASH",PR!$AP170,IF(H172="MORISON",PR!$AQ170,IF(H172="NEMEL",PR!$AR170,IF(H172="NHP",PR!$AS170,IF(H172="NHC",PR!$AT170,IF(H172="OLEAF",PR!$AU170,IF(H172="OCULUS",PR!$AV170,IF(H172="PACIFIC",PR!$AW170,IF(H172="PHAMATEX",PR!$AX170,IF(H172="PETHICS",PR!$AY170,IF(H172="PHILIPS",PR!$AZ170,IF(H172="RANBAXY",PR!$BA170,IF(H172="REALS",PR!$BB170,IF(H172="ROYAL",PR!$BC170,IF(H172="SAM",PR!$BD170,IF(H172="SEAGREEN",PR!$BE170,IF(H172="SKG",PR!$BF170,IF(H172="TAH",PR!$BG170,IF(H172="TAYLEK",PR!$BH170,IF(H172="TEMITA",PR!$BI170,IF(H172="THL",PR!$BJ170,IF(H172="UBASTIC",PR!$BK170,IF(H172="UNION",PR!$BL170,IF(H172="UNIQUE",PR!$BM170,IF(H172="VIXA",PR!$BN170,IF(H172="WWCV",PR!$BO170,IF(H172="ZOLON",PR!$BP170,"-"))))))))))))))))))))))))))))))))))))))))))))))))))))))))))))))))</f>
        <v>23000</v>
      </c>
      <c r="H172" s="102" t="str">
        <f>EV!M213</f>
        <v>ALPHA</v>
      </c>
      <c r="I172" s="108" t="str">
        <f>IF(J172="ALPHA",PR!$E170,IF(J172="ASSENE",PR!$F170,IF(J172="BIOFEM",PR!$G170,IF(J172="BIOMED",PR!$H170,IF(J172="CHI",PR!$I170,IF(J172="CLARION",PR!$J170,IF(J172="CODIX",PR!$K170,IF(J172="COSMADE",PR!$L170,IF(J172="SANCON",PR!$M170,IF(J172="DEVON",PR!$N170,IF(J172="DORTEMAG",PR!$O170,IF(J172="DGF",PR!$P170,IF(J172="DYNAMIC",PR!$Q170,IF(J172="EMZOR",PR!$R170,IF(J172="EUMATT",PR!$S170,IF(J172="FIDSON",PR!$T170,IF(J172="FCGLOBAL",PR!$U170,IF(J172="GENEITH",PR!$V170,IF(J172="GINOS",PR!$W170,IF(J172="GSK",PR!$X170,IF(J172="GLOBORG",PR!$Y170,IF(J172="GOODNEWS",PR!$Z170,IF(J172="GREENLIFE",PR!$AA170,IF(J172="HLINE",PR!$AB170,IF(J172="ROTECH",PR!$AC170,IF(J172="ISN",PR!$AD170,IF(J172="JAWA",PR!$AE170,IF(J172="LAYO",PR!$AF170,IF(J172="LEADWAY",PR!$AG170,IF(J172="LHV",PR!$AH170,IF(J172="MANOLA",PR!$AI170,IF(J172="MARCSON",PR!$AJ170,IF(J172="M&amp;B",PR!$AK170,IF(J172="MTRUST",PR!$AL170,IF(J172="MWORLD",PR!$AM170,IF(J172="MEGA",PR!$AN170,IF(J172="MICRONOVA",PR!$AO170,IF(J172="MFLASH",PR!$AP170,IF(J172="MORISON",PR!$AQ170,IF(J172="NEMEL",PR!$AR170,IF(J172="NHP",PR!$AS170,IF(J172="NHC",PR!$AT170,IF(J172="OLEAF",PR!$AU170,IF(J172="OCULUS",PR!$AV170,IF(J172="PACIFIC",PR!$AW170,IF(J172="PHAMATEX",PR!$AX170,IF(J172="PETHICS",PR!$AY170,IF(J172="PHILIPS",PR!$AZ170,IF(J172="RANBAXY",PR!$BA170,IF(J172="REALS",PR!$BB170,IF(J172="ROYAL",PR!$BC170,IF(J172="SAM",PR!$BD170,IF(J172="SEAGREEN",PR!$BE170,IF(J172="SKG",PR!$BF170,IF(J172="TAH",PR!$BG170,IF(J172="TAYLEK",PR!$BH170,IF(J172="TEMITA",PR!$BI170,IF(J172="THL",PR!$BJ170,IF(J172="UBASTIC",PR!$BK170,IF(J172="UNION",PR!$BL170,IF(J172="UNIQUE",PR!$BM170,IF(J172="VIXA",PR!$BN170,IF(J172="WWCV",PR!$BO170,IF(J172="ZOLON",PR!$BP170,"-"))))))))))))))))))))))))))))))))))))))))))))))))))))))))))))))))</f>
        <v>-</v>
      </c>
      <c r="J172" s="102">
        <f>EV!N213</f>
        <v>0</v>
      </c>
      <c r="K172" s="433" t="s">
        <v>821</v>
      </c>
      <c r="L172" s="183">
        <f>IF(K172&gt;0,IF(K172="ALPHA",PR!$E170,IF(K172="ASSENE",PR!$F170,IF(K172="BIOFEM",PR!$G170,IF(K172="BIOMED",PR!$H170,IF(K172="CHI",PR!$I170,IF(K172="CLARION",PR!$J170,IF(K172="CODIX",PR!$K170,IF(K172="COSMADE",PR!$L170,IF(K172="SANCON",PR!$M170,IF(K172="DEVON",PR!$N170,IF(K172="DORTEMAG",PR!$O170,IF(K172="DGF",PR!$P170,IF(K172="DYNAMIC",PR!$Q170,IF(K172="EMZOR",PR!$R170,IF(K172="EUMATT",PR!$S170,IF(K172="FIDSON",PR!$T170,IF(K172="FCGLOBAL",PR!$U170,IF(K172="GENEITH",PR!$V170,IF(K172="GINOS",PR!$W170,IF(K172="GSK",PR!$X170,IF(K172="GLOBORG",PR!$Y170,IF(K172="GOODNEWS",PR!$Z170,IF(K172="GREENLIFE",PR!$AA170,IF(K172="HLINE",PR!$AB170,IF(K172="ROTECH",PR!$AC170,IF(K172="ISN",PR!$AD170,IF(K172="JAWA",PR!$AE170,IF(K172="LAYO",PR!$AF170,IF(K172="LEADWAY",PR!$AG170,IF(K172="LHV",PR!$AH170,IF(K172="MANOLA",PR!$AI170,IF(K172="MARCSON",PR!$AJ170,IF(K172="M&amp;B",PR!$AK170,IF(K172="MTRUST",PR!$AL170,IF(K172="MWORLD",PR!$AM170,IF(K172="MEGA",PR!$AN170,IF(K172="MICRONOVA",PR!$AO170,IF(K172="MFLASH",PR!$AP170,IF(K172="MORISON",PR!$AQ170,IF(K172="NEMEL",PR!$AR170,IF(K172="NHP",PR!$AS170,IF(K172="NHC",PR!$AT170,IF(K172="OLEAF",PR!$AU170,IF(K172="OCULUS",PR!$AV170,IF(K172="PACIFIC",PR!$AW170,IF(K172="PHAMATEX",PR!$AX170,IF(K172="PETHICS",PR!$AY170,IF(K172="PHILIPS",PR!$AZ170,IF(K172="RANBAXY",PR!$BA170,IF(K172="REALS",PR!$BB170,IF(K172="ROYAL",PR!$BC170,IF(K172="SAM",PR!$BD170,IF(K172="SEAGREEN",PR!$BE170,IF(K172="SKG",PR!$BF170,IF(K172="TAH",PR!$BG170,IF(K172="TAYLEK",PR!$BH170,IF(K172="TEMITA",PR!$BI170,IF(K172="THL",PR!$BJ170,IF(K172="UBASTIC",PR!$BK170,IF(K172="UNION",PR!$BL170,IF(K172="UNIQUE",PR!$BM170,IF(K172="VIXA",PR!$BN170,IF(K172="WWCV",PR!$BO170,IF(K172="ZOLON",PR!$BP170,"-")))))))))))))))))))))))))))))))))))))))))))))))))))))))))))))))))</f>
        <v>950</v>
      </c>
    </row>
    <row r="173" spans="1:12" ht="18.75" x14ac:dyDescent="0.3">
      <c r="A173" s="430">
        <f>PR!A171</f>
        <v>150</v>
      </c>
      <c r="B173" s="15" t="str">
        <f>PR!B171</f>
        <v>DEXKETOPROFEN 25MG</v>
      </c>
      <c r="C173" s="113">
        <f>PR!D171</f>
        <v>20</v>
      </c>
      <c r="D173" s="113">
        <f>PR!C171</f>
        <v>1200</v>
      </c>
      <c r="E173" s="108">
        <f>IF(F173="ALPHA",PR!$E171,IF(F173="ASSENE",PR!$F171,IF(F173="BIOFEM",PR!$G171,IF(F173="BIOMED",PR!$H171,IF(F173="CHI",PR!$I171,IF(F173="CLARION",PR!$J171,IF(F173="CODIX",PR!$K171,IF(F173="COSMADE",PR!$L171,IF(F173="SANCON",PR!$M171,IF(F173="DEVON",PR!$N171,IF(F173="DORTEMAG",PR!$O171,IF(F173="DGF",PR!$P171,IF(F173="DYNAMIC",PR!$Q171,IF(F173="EMZOR",PR!$R171,IF(F173="EUMATT",PR!$S171,IF(F173="FIDSON",PR!$T171,IF(F173="FCGLOBAL",PR!$U171,IF(F173="GENEITH",PR!$V171,IF(F173="GINOS",PR!$W171,IF(F173="GSK",PR!$X171,IF(F173="GLOBORG",PR!$Y171,IF(F173="GOODNEWS",PR!$Z171,IF(F173="GREENLIFE",PR!$AA171,IF(F173="HLINE",PR!$AB171,IF(F173="ROTECH",PR!$AC171,IF(F173="ISN",PR!$AD171,IF(F173="JAWA",PR!$AE171,IF(F173="LAYO",PR!$AF171,IF(F173="LEADWAY",PR!$AG171,IF(F173="LHV",PR!$AH171,IF(F173="MANOLA",PR!$AI171,IF(F173="MARCSON",PR!$AJ171,IF(F173="M&amp;B",PR!$AK171,IF(F173="MTRUST",PR!$AL171,IF(F173="MWORLD",PR!$AM171,IF(F173="MEGA",PR!$AN171,IF(F173="MICRONOVA",PR!$AO171,IF(F173="MFLASH",PR!$AP171,IF(F173="MORISON",PR!$AQ171,IF(F173="NEMEL",PR!$AR171,IF(F173="NHP",PR!$AS171,IF(F173="NHC",PR!$AT171,IF(F173="OLEAF",PR!$AU171,IF(F173="OCULUS",PR!$AV171,IF(F173="PACIFIC",PR!$AW171,IF(F173="PHAMATEX",PR!$AX171,IF(F173="PETHICS",PR!$AY171,IF(F173="PHILIPS",PR!$AZ171,IF(F173="RANBAXY",PR!$BA171,IF(F173="REALS",PR!$BB171,IF(F173="ROYAL",PR!$BC171,IF(F173="SAM",PR!$BD171,IF(F173="SEAGREEN",PR!$BE171,IF(F173="SKG",PR!$BF171,IF(F173="TAH",PR!$BG171,IF(F173="TAYLEK",PR!$BH171,IF(F173="TEMITA",PR!$BI171,IF(F173="THL",PR!$BJ171,IF(F173="UBASTIC",PR!$BK171,IF(F173="UNION",PR!$BL171,IF(F173="UNIQUE",PR!$BM171,IF(F173="VIXA",PR!$BN171,IF(F173="WWCV",PR!$BO171,IF(F173="ZOLON",PR!$BP171,"-"))))))))))))))))))))))))))))))))))))))))))))))))))))))))))))))))</f>
        <v>400</v>
      </c>
      <c r="F173" s="102" t="str">
        <f>EV!L214</f>
        <v>HLINE</v>
      </c>
      <c r="G173" s="108">
        <f>IF(H173="ALPHA",PR!$E171,IF(H173="ASSENE",PR!$F171,IF(H173="BIOFEM",PR!$G171,IF(H173="BIOMED",PR!$H171,IF(H173="CHI",PR!$I171,IF(H173="CLARION",PR!$J171,IF(H173="CODIX",PR!$K171,IF(H173="COSMADE",PR!$L171,IF(H173="SANCON",PR!$M171,IF(H173="DEVON",PR!$N171,IF(H173="DORTEMAG",PR!$O171,IF(H173="DGF",PR!$P171,IF(H173="DYNAMIC",PR!$Q171,IF(H173="EMZOR",PR!$R171,IF(H173="EUMATT",PR!$S171,IF(H173="FIDSON",PR!$T171,IF(H173="FCGLOBAL",PR!$U171,IF(H173="GENEITH",PR!$V171,IF(H173="GINOS",PR!$W171,IF(H173="GSK",PR!$X171,IF(H173="GLOBORG",PR!$Y171,IF(H173="GOODNEWS",PR!$Z171,IF(H173="GREENLIFE",PR!$AA171,IF(H173="HLINE",PR!$AB171,IF(H173="ROTECH",PR!$AC171,IF(H173="ISN",PR!$AD171,IF(H173="JAWA",PR!$AE171,IF(H173="LAYO",PR!$AF171,IF(H173="LEADWAY",PR!$AG171,IF(H173="LHV",PR!$AH171,IF(H173="MANOLA",PR!$AI171,IF(H173="MARCSON",PR!$AJ171,IF(H173="M&amp;B",PR!$AK171,IF(H173="MTRUST",PR!$AL171,IF(H173="MWORLD",PR!$AM171,IF(H173="MEGA",PR!$AN171,IF(H173="MICRONOVA",PR!$AO171,IF(H173="MFLASH",PR!$AP171,IF(H173="MORISON",PR!$AQ171,IF(H173="NEMEL",PR!$AR171,IF(H173="NHP",PR!$AS171,IF(H173="NHC",PR!$AT171,IF(H173="OLEAF",PR!$AU171,IF(H173="OCULUS",PR!$AV171,IF(H173="PACIFIC",PR!$AW171,IF(H173="PHAMATEX",PR!$AX171,IF(H173="PETHICS",PR!$AY171,IF(H173="PHILIPS",PR!$AZ171,IF(H173="RANBAXY",PR!$BA171,IF(H173="REALS",PR!$BB171,IF(H173="ROYAL",PR!$BC171,IF(H173="SAM",PR!$BD171,IF(H173="SEAGREEN",PR!$BE171,IF(H173="SKG",PR!$BF171,IF(H173="TAH",PR!$BG171,IF(H173="TAYLEK",PR!$BH171,IF(H173="TEMITA",PR!$BI171,IF(H173="THL",PR!$BJ171,IF(H173="UBASTIC",PR!$BK171,IF(H173="UNION",PR!$BL171,IF(H173="UNIQUE",PR!$BM171,IF(H173="VIXA",PR!$BN171,IF(H173="WWCV",PR!$BO171,IF(H173="ZOLON",PR!$BP171,"-"))))))))))))))))))))))))))))))))))))))))))))))))))))))))))))))))</f>
        <v>2100</v>
      </c>
      <c r="H173" s="102" t="str">
        <f>EV!M214</f>
        <v>PHILIPS</v>
      </c>
      <c r="I173" s="108" t="str">
        <f>IF(J173="ALPHA",PR!$E171,IF(J173="ASSENE",PR!$F171,IF(J173="BIOFEM",PR!$G171,IF(J173="BIOMED",PR!$H171,IF(J173="CHI",PR!$I171,IF(J173="CLARION",PR!$J171,IF(J173="CODIX",PR!$K171,IF(J173="COSMADE",PR!$L171,IF(J173="SANCON",PR!$M171,IF(J173="DEVON",PR!$N171,IF(J173="DORTEMAG",PR!$O171,IF(J173="DGF",PR!$P171,IF(J173="DYNAMIC",PR!$Q171,IF(J173="EMZOR",PR!$R171,IF(J173="EUMATT",PR!$S171,IF(J173="FIDSON",PR!$T171,IF(J173="FCGLOBAL",PR!$U171,IF(J173="GENEITH",PR!$V171,IF(J173="GINOS",PR!$W171,IF(J173="GSK",PR!$X171,IF(J173="GLOBORG",PR!$Y171,IF(J173="GOODNEWS",PR!$Z171,IF(J173="GREENLIFE",PR!$AA171,IF(J173="HLINE",PR!$AB171,IF(J173="ROTECH",PR!$AC171,IF(J173="ISN",PR!$AD171,IF(J173="JAWA",PR!$AE171,IF(J173="LAYO",PR!$AF171,IF(J173="LEADWAY",PR!$AG171,IF(J173="LHV",PR!$AH171,IF(J173="MANOLA",PR!$AI171,IF(J173="MARCSON",PR!$AJ171,IF(J173="M&amp;B",PR!$AK171,IF(J173="MTRUST",PR!$AL171,IF(J173="MWORLD",PR!$AM171,IF(J173="MEGA",PR!$AN171,IF(J173="MICRONOVA",PR!$AO171,IF(J173="MFLASH",PR!$AP171,IF(J173="MORISON",PR!$AQ171,IF(J173="NEMEL",PR!$AR171,IF(J173="NHP",PR!$AS171,IF(J173="NHC",PR!$AT171,IF(J173="OLEAF",PR!$AU171,IF(J173="OCULUS",PR!$AV171,IF(J173="PACIFIC",PR!$AW171,IF(J173="PHAMATEX",PR!$AX171,IF(J173="PETHICS",PR!$AY171,IF(J173="PHILIPS",PR!$AZ171,IF(J173="RANBAXY",PR!$BA171,IF(J173="REALS",PR!$BB171,IF(J173="ROYAL",PR!$BC171,IF(J173="SAM",PR!$BD171,IF(J173="SEAGREEN",PR!$BE171,IF(J173="SKG",PR!$BF171,IF(J173="TAH",PR!$BG171,IF(J173="TAYLEK",PR!$BH171,IF(J173="TEMITA",PR!$BI171,IF(J173="THL",PR!$BJ171,IF(J173="UBASTIC",PR!$BK171,IF(J173="UNION",PR!$BL171,IF(J173="UNIQUE",PR!$BM171,IF(J173="VIXA",PR!$BN171,IF(J173="WWCV",PR!$BO171,IF(J173="ZOLON",PR!$BP171,"-"))))))))))))))))))))))))))))))))))))))))))))))))))))))))))))))))</f>
        <v>-</v>
      </c>
      <c r="J173" s="102">
        <f>EV!N214</f>
        <v>0</v>
      </c>
      <c r="K173" s="433" t="s">
        <v>618</v>
      </c>
      <c r="L173" s="183">
        <f>IF(K173&gt;0,IF(K173="ALPHA",PR!$E171,IF(K173="ASSENE",PR!$F171,IF(K173="BIOFEM",PR!$G171,IF(K173="BIOMED",PR!$H171,IF(K173="CHI",PR!$I171,IF(K173="CLARION",PR!$J171,IF(K173="CODIX",PR!$K171,IF(K173="COSMADE",PR!$L171,IF(K173="SANCON",PR!$M171,IF(K173="DEVON",PR!$N171,IF(K173="DORTEMAG",PR!$O171,IF(K173="DGF",PR!$P171,IF(K173="DYNAMIC",PR!$Q171,IF(K173="EMZOR",PR!$R171,IF(K173="EUMATT",PR!$S171,IF(K173="FIDSON",PR!$T171,IF(K173="FCGLOBAL",PR!$U171,IF(K173="GENEITH",PR!$V171,IF(K173="GINOS",PR!$W171,IF(K173="GSK",PR!$X171,IF(K173="GLOBORG",PR!$Y171,IF(K173="GOODNEWS",PR!$Z171,IF(K173="GREENLIFE",PR!$AA171,IF(K173="HLINE",PR!$AB171,IF(K173="ROTECH",PR!$AC171,IF(K173="ISN",PR!$AD171,IF(K173="JAWA",PR!$AE171,IF(K173="LAYO",PR!$AF171,IF(K173="LEADWAY",PR!$AG171,IF(K173="LHV",PR!$AH171,IF(K173="MANOLA",PR!$AI171,IF(K173="MARCSON",PR!$AJ171,IF(K173="M&amp;B",PR!$AK171,IF(K173="MTRUST",PR!$AL171,IF(K173="MWORLD",PR!$AM171,IF(K173="MEGA",PR!$AN171,IF(K173="MICRONOVA",PR!$AO171,IF(K173="MFLASH",PR!$AP171,IF(K173="MORISON",PR!$AQ171,IF(K173="NEMEL",PR!$AR171,IF(K173="NHP",PR!$AS171,IF(K173="NHC",PR!$AT171,IF(K173="OLEAF",PR!$AU171,IF(K173="OCULUS",PR!$AV171,IF(K173="PACIFIC",PR!$AW171,IF(K173="PHAMATEX",PR!$AX171,IF(K173="PETHICS",PR!$AY171,IF(K173="PHILIPS",PR!$AZ171,IF(K173="RANBAXY",PR!$BA171,IF(K173="REALS",PR!$BB171,IF(K173="ROYAL",PR!$BC171,IF(K173="SAM",PR!$BD171,IF(K173="SEAGREEN",PR!$BE171,IF(K173="SKG",PR!$BF171,IF(K173="TAH",PR!$BG171,IF(K173="TAYLEK",PR!$BH171,IF(K173="TEMITA",PR!$BI171,IF(K173="THL",PR!$BJ171,IF(K173="UBASTIC",PR!$BK171,IF(K173="UNION",PR!$BL171,IF(K173="UNIQUE",PR!$BM171,IF(K173="VIXA",PR!$BN171,IF(K173="WWCV",PR!$BO171,IF(K173="ZOLON",PR!$BP171,"-")))))))))))))))))))))))))))))))))))))))))))))))))))))))))))))))))</f>
        <v>2100</v>
      </c>
    </row>
    <row r="174" spans="1:12" ht="18.75" x14ac:dyDescent="0.3">
      <c r="A174" s="430">
        <f>PR!A172</f>
        <v>151</v>
      </c>
      <c r="B174" s="15" t="str">
        <f>PR!B172</f>
        <v>DICLOFENAC 50MG TAB</v>
      </c>
      <c r="C174" s="113">
        <f>PR!D172</f>
        <v>100</v>
      </c>
      <c r="D174" s="113">
        <f>PR!C172</f>
        <v>1000</v>
      </c>
      <c r="E174" s="108">
        <f>IF(F174="ALPHA",PR!$E172,IF(F174="ASSENE",PR!$F172,IF(F174="BIOFEM",PR!$G172,IF(F174="BIOMED",PR!$H172,IF(F174="CHI",PR!$I172,IF(F174="CLARION",PR!$J172,IF(F174="CODIX",PR!$K172,IF(F174="COSMADE",PR!$L172,IF(F174="SANCON",PR!$M172,IF(F174="DEVON",PR!$N172,IF(F174="DORTEMAG",PR!$O172,IF(F174="DGF",PR!$P172,IF(F174="DYNAMIC",PR!$Q172,IF(F174="EMZOR",PR!$R172,IF(F174="EUMATT",PR!$S172,IF(F174="FIDSON",PR!$T172,IF(F174="FCGLOBAL",PR!$U172,IF(F174="GENEITH",PR!$V172,IF(F174="GINOS",PR!$W172,IF(F174="GSK",PR!$X172,IF(F174="GLOBORG",PR!$Y172,IF(F174="GOODNEWS",PR!$Z172,IF(F174="GREENLIFE",PR!$AA172,IF(F174="HLINE",PR!$AB172,IF(F174="ROTECH",PR!$AC172,IF(F174="ISN",PR!$AD172,IF(F174="JAWA",PR!$AE172,IF(F174="LAYO",PR!$AF172,IF(F174="LEADWAY",PR!$AG172,IF(F174="LHV",PR!$AH172,IF(F174="MANOLA",PR!$AI172,IF(F174="MARCSON",PR!$AJ172,IF(F174="M&amp;B",PR!$AK172,IF(F174="MTRUST",PR!$AL172,IF(F174="MWORLD",PR!$AM172,IF(F174="MEGA",PR!$AN172,IF(F174="MICRONOVA",PR!$AO172,IF(F174="MFLASH",PR!$AP172,IF(F174="MORISON",PR!$AQ172,IF(F174="NEMEL",PR!$AR172,IF(F174="NHP",PR!$AS172,IF(F174="NHC",PR!$AT172,IF(F174="OLEAF",PR!$AU172,IF(F174="OCULUS",PR!$AV172,IF(F174="PACIFIC",PR!$AW172,IF(F174="PHAMATEX",PR!$AX172,IF(F174="PETHICS",PR!$AY172,IF(F174="PHILIPS",PR!$AZ172,IF(F174="RANBAXY",PR!$BA172,IF(F174="REALS",PR!$BB172,IF(F174="ROYAL",PR!$BC172,IF(F174="SAM",PR!$BD172,IF(F174="SEAGREEN",PR!$BE172,IF(F174="SKG",PR!$BF172,IF(F174="TAH",PR!$BG172,IF(F174="TAYLEK",PR!$BH172,IF(F174="TEMITA",PR!$BI172,IF(F174="THL",PR!$BJ172,IF(F174="UBASTIC",PR!$BK172,IF(F174="UNION",PR!$BL172,IF(F174="UNIQUE",PR!$BM172,IF(F174="VIXA",PR!$BN172,IF(F174="WWCV",PR!$BO172,IF(F174="ZOLON",PR!$BP172,"-"))))))))))))))))))))))))))))))))))))))))))))))))))))))))))))))))</f>
        <v>200</v>
      </c>
      <c r="F174" s="102" t="str">
        <f>EV!L215</f>
        <v>NEMEL</v>
      </c>
      <c r="G174" s="108">
        <f>IF(H174="ALPHA",PR!$E172,IF(H174="ASSENE",PR!$F172,IF(H174="BIOFEM",PR!$G172,IF(H174="BIOMED",PR!$H172,IF(H174="CHI",PR!$I172,IF(H174="CLARION",PR!$J172,IF(H174="CODIX",PR!$K172,IF(H174="COSMADE",PR!$L172,IF(H174="SANCON",PR!$M172,IF(H174="DEVON",PR!$N172,IF(H174="DORTEMAG",PR!$O172,IF(H174="DGF",PR!$P172,IF(H174="DYNAMIC",PR!$Q172,IF(H174="EMZOR",PR!$R172,IF(H174="EUMATT",PR!$S172,IF(H174="FIDSON",PR!$T172,IF(H174="FCGLOBAL",PR!$U172,IF(H174="GENEITH",PR!$V172,IF(H174="GINOS",PR!$W172,IF(H174="GSK",PR!$X172,IF(H174="GLOBORG",PR!$Y172,IF(H174="GOODNEWS",PR!$Z172,IF(H174="GREENLIFE",PR!$AA172,IF(H174="HLINE",PR!$AB172,IF(H174="ROTECH",PR!$AC172,IF(H174="ISN",PR!$AD172,IF(H174="JAWA",PR!$AE172,IF(H174="LAYO",PR!$AF172,IF(H174="LEADWAY",PR!$AG172,IF(H174="LHV",PR!$AH172,IF(H174="MANOLA",PR!$AI172,IF(H174="MARCSON",PR!$AJ172,IF(H174="M&amp;B",PR!$AK172,IF(H174="MTRUST",PR!$AL172,IF(H174="MWORLD",PR!$AM172,IF(H174="MEGA",PR!$AN172,IF(H174="MICRONOVA",PR!$AO172,IF(H174="MFLASH",PR!$AP172,IF(H174="MORISON",PR!$AQ172,IF(H174="NEMEL",PR!$AR172,IF(H174="NHP",PR!$AS172,IF(H174="NHC",PR!$AT172,IF(H174="OLEAF",PR!$AU172,IF(H174="OCULUS",PR!$AV172,IF(H174="PACIFIC",PR!$AW172,IF(H174="PHAMATEX",PR!$AX172,IF(H174="PETHICS",PR!$AY172,IF(H174="PHILIPS",PR!$AZ172,IF(H174="RANBAXY",PR!$BA172,IF(H174="REALS",PR!$BB172,IF(H174="ROYAL",PR!$BC172,IF(H174="SAM",PR!$BD172,IF(H174="SEAGREEN",PR!$BE172,IF(H174="SKG",PR!$BF172,IF(H174="TAH",PR!$BG172,IF(H174="TAYLEK",PR!$BH172,IF(H174="TEMITA",PR!$BI172,IF(H174="THL",PR!$BJ172,IF(H174="UBASTIC",PR!$BK172,IF(H174="UNION",PR!$BL172,IF(H174="UNIQUE",PR!$BM172,IF(H174="VIXA",PR!$BN172,IF(H174="WWCV",PR!$BO172,IF(H174="ZOLON",PR!$BP172,"-"))))))))))))))))))))))))))))))))))))))))))))))))))))))))))))))))</f>
        <v>280</v>
      </c>
      <c r="H174" s="102" t="str">
        <f>EV!M215</f>
        <v>VIXA</v>
      </c>
      <c r="I174" s="108">
        <f>IF(J174="ALPHA",PR!$E172,IF(J174="ASSENE",PR!$F172,IF(J174="BIOFEM",PR!$G172,IF(J174="BIOMED",PR!$H172,IF(J174="CHI",PR!$I172,IF(J174="CLARION",PR!$J172,IF(J174="CODIX",PR!$K172,IF(J174="COSMADE",PR!$L172,IF(J174="SANCON",PR!$M172,IF(J174="DEVON",PR!$N172,IF(J174="DORTEMAG",PR!$O172,IF(J174="DGF",PR!$P172,IF(J174="DYNAMIC",PR!$Q172,IF(J174="EMZOR",PR!$R172,IF(J174="EUMATT",PR!$S172,IF(J174="FIDSON",PR!$T172,IF(J174="FCGLOBAL",PR!$U172,IF(J174="GENEITH",PR!$V172,IF(J174="GINOS",PR!$W172,IF(J174="GSK",PR!$X172,IF(J174="GLOBORG",PR!$Y172,IF(J174="GOODNEWS",PR!$Z172,IF(J174="GREENLIFE",PR!$AA172,IF(J174="HLINE",PR!$AB172,IF(J174="ROTECH",PR!$AC172,IF(J174="ISN",PR!$AD172,IF(J174="JAWA",PR!$AE172,IF(J174="LAYO",PR!$AF172,IF(J174="LEADWAY",PR!$AG172,IF(J174="LHV",PR!$AH172,IF(J174="MANOLA",PR!$AI172,IF(J174="MARCSON",PR!$AJ172,IF(J174="M&amp;B",PR!$AK172,IF(J174="MTRUST",PR!$AL172,IF(J174="MWORLD",PR!$AM172,IF(J174="MEGA",PR!$AN172,IF(J174="MICRONOVA",PR!$AO172,IF(J174="MFLASH",PR!$AP172,IF(J174="MORISON",PR!$AQ172,IF(J174="NEMEL",PR!$AR172,IF(J174="NHP",PR!$AS172,IF(J174="NHC",PR!$AT172,IF(J174="OLEAF",PR!$AU172,IF(J174="OCULUS",PR!$AV172,IF(J174="PACIFIC",PR!$AW172,IF(J174="PHAMATEX",PR!$AX172,IF(J174="PETHICS",PR!$AY172,IF(J174="PHILIPS",PR!$AZ172,IF(J174="RANBAXY",PR!$BA172,IF(J174="REALS",PR!$BB172,IF(J174="ROYAL",PR!$BC172,IF(J174="SAM",PR!$BD172,IF(J174="SEAGREEN",PR!$BE172,IF(J174="SKG",PR!$BF172,IF(J174="TAH",PR!$BG172,IF(J174="TAYLEK",PR!$BH172,IF(J174="TEMITA",PR!$BI172,IF(J174="THL",PR!$BJ172,IF(J174="UBASTIC",PR!$BK172,IF(J174="UNION",PR!$BL172,IF(J174="UNIQUE",PR!$BM172,IF(J174="VIXA",PR!$BN172,IF(J174="WWCV",PR!$BO172,IF(J174="ZOLON",PR!$BP172,"-"))))))))))))))))))))))))))))))))))))))))))))))))))))))))))))))))</f>
        <v>295</v>
      </c>
      <c r="J174" s="102" t="str">
        <f>EV!N215</f>
        <v>SAM</v>
      </c>
      <c r="K174" s="433" t="s">
        <v>622</v>
      </c>
      <c r="L174" s="183">
        <f>IF(K174&gt;0,IF(K174="ALPHA",PR!$E172,IF(K174="ASSENE",PR!$F172,IF(K174="BIOFEM",PR!$G172,IF(K174="BIOMED",PR!$H172,IF(K174="CHI",PR!$I172,IF(K174="CLARION",PR!$J172,IF(K174="CODIX",PR!$K172,IF(K174="COSMADE",PR!$L172,IF(K174="SANCON",PR!$M172,IF(K174="DEVON",PR!$N172,IF(K174="DORTEMAG",PR!$O172,IF(K174="DGF",PR!$P172,IF(K174="DYNAMIC",PR!$Q172,IF(K174="EMZOR",PR!$R172,IF(K174="EUMATT",PR!$S172,IF(K174="FIDSON",PR!$T172,IF(K174="FCGLOBAL",PR!$U172,IF(K174="GENEITH",PR!$V172,IF(K174="GINOS",PR!$W172,IF(K174="GSK",PR!$X172,IF(K174="GLOBORG",PR!$Y172,IF(K174="GOODNEWS",PR!$Z172,IF(K174="GREENLIFE",PR!$AA172,IF(K174="HLINE",PR!$AB172,IF(K174="ROTECH",PR!$AC172,IF(K174="ISN",PR!$AD172,IF(K174="JAWA",PR!$AE172,IF(K174="LAYO",PR!$AF172,IF(K174="LEADWAY",PR!$AG172,IF(K174="LHV",PR!$AH172,IF(K174="MANOLA",PR!$AI172,IF(K174="MARCSON",PR!$AJ172,IF(K174="M&amp;B",PR!$AK172,IF(K174="MTRUST",PR!$AL172,IF(K174="MWORLD",PR!$AM172,IF(K174="MEGA",PR!$AN172,IF(K174="MICRONOVA",PR!$AO172,IF(K174="MFLASH",PR!$AP172,IF(K174="MORISON",PR!$AQ172,IF(K174="NEMEL",PR!$AR172,IF(K174="NHP",PR!$AS172,IF(K174="NHC",PR!$AT172,IF(K174="OLEAF",PR!$AU172,IF(K174="OCULUS",PR!$AV172,IF(K174="PACIFIC",PR!$AW172,IF(K174="PHAMATEX",PR!$AX172,IF(K174="PETHICS",PR!$AY172,IF(K174="PHILIPS",PR!$AZ172,IF(K174="RANBAXY",PR!$BA172,IF(K174="REALS",PR!$BB172,IF(K174="ROYAL",PR!$BC172,IF(K174="SAM",PR!$BD172,IF(K174="SEAGREEN",PR!$BE172,IF(K174="SKG",PR!$BF172,IF(K174="TAH",PR!$BG172,IF(K174="TAYLEK",PR!$BH172,IF(K174="TEMITA",PR!$BI172,IF(K174="THL",PR!$BJ172,IF(K174="UBASTIC",PR!$BK172,IF(K174="UNION",PR!$BL172,IF(K174="UNIQUE",PR!$BM172,IF(K174="VIXA",PR!$BN172,IF(K174="WWCV",PR!$BO172,IF(K174="ZOLON",PR!$BP172,"-")))))))))))))))))))))))))))))))))))))))))))))))))))))))))))))))))</f>
        <v>295</v>
      </c>
    </row>
    <row r="175" spans="1:12" ht="18.75" x14ac:dyDescent="0.3">
      <c r="A175" s="430">
        <f>PR!A173</f>
        <v>152</v>
      </c>
      <c r="B175" s="15" t="str">
        <f>PR!B173</f>
        <v>DICLOFENAC 75MG INJ</v>
      </c>
      <c r="C175" s="113">
        <f>PR!D173</f>
        <v>100</v>
      </c>
      <c r="D175" s="113">
        <f>PR!C173</f>
        <v>120</v>
      </c>
      <c r="E175" s="108">
        <f>IF(F175="ALPHA",PR!$E173,IF(F175="ASSENE",PR!$F173,IF(F175="BIOFEM",PR!$G173,IF(F175="BIOMED",PR!$H173,IF(F175="CHI",PR!$I173,IF(F175="CLARION",PR!$J173,IF(F175="CODIX",PR!$K173,IF(F175="COSMADE",PR!$L173,IF(F175="SANCON",PR!$M173,IF(F175="DEVON",PR!$N173,IF(F175="DORTEMAG",PR!$O173,IF(F175="DGF",PR!$P173,IF(F175="DYNAMIC",PR!$Q173,IF(F175="EMZOR",PR!$R173,IF(F175="EUMATT",PR!$S173,IF(F175="FIDSON",PR!$T173,IF(F175="FCGLOBAL",PR!$U173,IF(F175="GENEITH",PR!$V173,IF(F175="GINOS",PR!$W173,IF(F175="GSK",PR!$X173,IF(F175="GLOBORG",PR!$Y173,IF(F175="GOODNEWS",PR!$Z173,IF(F175="GREENLIFE",PR!$AA173,IF(F175="HLINE",PR!$AB173,IF(F175="ROTECH",PR!$AC173,IF(F175="ISN",PR!$AD173,IF(F175="JAWA",PR!$AE173,IF(F175="LAYO",PR!$AF173,IF(F175="LEADWAY",PR!$AG173,IF(F175="LHV",PR!$AH173,IF(F175="MANOLA",PR!$AI173,IF(F175="MARCSON",PR!$AJ173,IF(F175="M&amp;B",PR!$AK173,IF(F175="MTRUST",PR!$AL173,IF(F175="MWORLD",PR!$AM173,IF(F175="MEGA",PR!$AN173,IF(F175="MICRONOVA",PR!$AO173,IF(F175="MFLASH",PR!$AP173,IF(F175="MORISON",PR!$AQ173,IF(F175="NEMEL",PR!$AR173,IF(F175="NHP",PR!$AS173,IF(F175="NHC",PR!$AT173,IF(F175="OLEAF",PR!$AU173,IF(F175="OCULUS",PR!$AV173,IF(F175="PACIFIC",PR!$AW173,IF(F175="PHAMATEX",PR!$AX173,IF(F175="PETHICS",PR!$AY173,IF(F175="PHILIPS",PR!$AZ173,IF(F175="RANBAXY",PR!$BA173,IF(F175="REALS",PR!$BB173,IF(F175="ROYAL",PR!$BC173,IF(F175="SAM",PR!$BD173,IF(F175="SEAGREEN",PR!$BE173,IF(F175="SKG",PR!$BF173,IF(F175="TAH",PR!$BG173,IF(F175="TAYLEK",PR!$BH173,IF(F175="TEMITA",PR!$BI173,IF(F175="THL",PR!$BJ173,IF(F175="UBASTIC",PR!$BK173,IF(F175="UNION",PR!$BL173,IF(F175="UNIQUE",PR!$BM173,IF(F175="VIXA",PR!$BN173,IF(F175="WWCV",PR!$BO173,IF(F175="ZOLON",PR!$BP173,"-"))))))))))))))))))))))))))))))))))))))))))))))))))))))))))))))))</f>
        <v>1200</v>
      </c>
      <c r="F175" s="102" t="str">
        <f>EV!L216</f>
        <v>EUMATT</v>
      </c>
      <c r="G175" s="108">
        <f>IF(H175="ALPHA",PR!$E173,IF(H175="ASSENE",PR!$F173,IF(H175="BIOFEM",PR!$G173,IF(H175="BIOMED",PR!$H173,IF(H175="CHI",PR!$I173,IF(H175="CLARION",PR!$J173,IF(H175="CODIX",PR!$K173,IF(H175="COSMADE",PR!$L173,IF(H175="SANCON",PR!$M173,IF(H175="DEVON",PR!$N173,IF(H175="DORTEMAG",PR!$O173,IF(H175="DGF",PR!$P173,IF(H175="DYNAMIC",PR!$Q173,IF(H175="EMZOR",PR!$R173,IF(H175="EUMATT",PR!$S173,IF(H175="FIDSON",PR!$T173,IF(H175="FCGLOBAL",PR!$U173,IF(H175="GENEITH",PR!$V173,IF(H175="GINOS",PR!$W173,IF(H175="GSK",PR!$X173,IF(H175="GLOBORG",PR!$Y173,IF(H175="GOODNEWS",PR!$Z173,IF(H175="GREENLIFE",PR!$AA173,IF(H175="HLINE",PR!$AB173,IF(H175="ROTECH",PR!$AC173,IF(H175="ISN",PR!$AD173,IF(H175="JAWA",PR!$AE173,IF(H175="LAYO",PR!$AF173,IF(H175="LEADWAY",PR!$AG173,IF(H175="LHV",PR!$AH173,IF(H175="MANOLA",PR!$AI173,IF(H175="MARCSON",PR!$AJ173,IF(H175="M&amp;B",PR!$AK173,IF(H175="MTRUST",PR!$AL173,IF(H175="MWORLD",PR!$AM173,IF(H175="MEGA",PR!$AN173,IF(H175="MICRONOVA",PR!$AO173,IF(H175="MFLASH",PR!$AP173,IF(H175="MORISON",PR!$AQ173,IF(H175="NEMEL",PR!$AR173,IF(H175="NHP",PR!$AS173,IF(H175="NHC",PR!$AT173,IF(H175="OLEAF",PR!$AU173,IF(H175="OCULUS",PR!$AV173,IF(H175="PACIFIC",PR!$AW173,IF(H175="PHAMATEX",PR!$AX173,IF(H175="PETHICS",PR!$AY173,IF(H175="PHILIPS",PR!$AZ173,IF(H175="RANBAXY",PR!$BA173,IF(H175="REALS",PR!$BB173,IF(H175="ROYAL",PR!$BC173,IF(H175="SAM",PR!$BD173,IF(H175="SEAGREEN",PR!$BE173,IF(H175="SKG",PR!$BF173,IF(H175="TAH",PR!$BG173,IF(H175="TAYLEK",PR!$BH173,IF(H175="TEMITA",PR!$BI173,IF(H175="THL",PR!$BJ173,IF(H175="UBASTIC",PR!$BK173,IF(H175="UNION",PR!$BL173,IF(H175="UNIQUE",PR!$BM173,IF(H175="VIXA",PR!$BN173,IF(H175="WWCV",PR!$BO173,IF(H175="ZOLON",PR!$BP173,"-"))))))))))))))))))))))))))))))))))))))))))))))))))))))))))))))))</f>
        <v>3500</v>
      </c>
      <c r="H175" s="102" t="str">
        <f>EV!M216</f>
        <v>JAWA</v>
      </c>
      <c r="I175" s="108" t="str">
        <f>IF(J175="ALPHA",PR!$E173,IF(J175="ASSENE",PR!$F173,IF(J175="BIOFEM",PR!$G173,IF(J175="BIOMED",PR!$H173,IF(J175="CHI",PR!$I173,IF(J175="CLARION",PR!$J173,IF(J175="CODIX",PR!$K173,IF(J175="COSMADE",PR!$L173,IF(J175="SANCON",PR!$M173,IF(J175="DEVON",PR!$N173,IF(J175="DORTEMAG",PR!$O173,IF(J175="DGF",PR!$P173,IF(J175="DYNAMIC",PR!$Q173,IF(J175="EMZOR",PR!$R173,IF(J175="EUMATT",PR!$S173,IF(J175="FIDSON",PR!$T173,IF(J175="FCGLOBAL",PR!$U173,IF(J175="GENEITH",PR!$V173,IF(J175="GINOS",PR!$W173,IF(J175="GSK",PR!$X173,IF(J175="GLOBORG",PR!$Y173,IF(J175="GOODNEWS",PR!$Z173,IF(J175="GREENLIFE",PR!$AA173,IF(J175="HLINE",PR!$AB173,IF(J175="ROTECH",PR!$AC173,IF(J175="ISN",PR!$AD173,IF(J175="JAWA",PR!$AE173,IF(J175="LAYO",PR!$AF173,IF(J175="LEADWAY",PR!$AG173,IF(J175="LHV",PR!$AH173,IF(J175="MANOLA",PR!$AI173,IF(J175="MARCSON",PR!$AJ173,IF(J175="M&amp;B",PR!$AK173,IF(J175="MTRUST",PR!$AL173,IF(J175="MWORLD",PR!$AM173,IF(J175="MEGA",PR!$AN173,IF(J175="MICRONOVA",PR!$AO173,IF(J175="MFLASH",PR!$AP173,IF(J175="MORISON",PR!$AQ173,IF(J175="NEMEL",PR!$AR173,IF(J175="NHP",PR!$AS173,IF(J175="NHC",PR!$AT173,IF(J175="OLEAF",PR!$AU173,IF(J175="OCULUS",PR!$AV173,IF(J175="PACIFIC",PR!$AW173,IF(J175="PHAMATEX",PR!$AX173,IF(J175="PETHICS",PR!$AY173,IF(J175="PHILIPS",PR!$AZ173,IF(J175="RANBAXY",PR!$BA173,IF(J175="REALS",PR!$BB173,IF(J175="ROYAL",PR!$BC173,IF(J175="SAM",PR!$BD173,IF(J175="SEAGREEN",PR!$BE173,IF(J175="SKG",PR!$BF173,IF(J175="TAH",PR!$BG173,IF(J175="TAYLEK",PR!$BH173,IF(J175="TEMITA",PR!$BI173,IF(J175="THL",PR!$BJ173,IF(J175="UBASTIC",PR!$BK173,IF(J175="UNION",PR!$BL173,IF(J175="UNIQUE",PR!$BM173,IF(J175="VIXA",PR!$BN173,IF(J175="WWCV",PR!$BO173,IF(J175="ZOLON",PR!$BP173,"-"))))))))))))))))))))))))))))))))))))))))))))))))))))))))))))))))</f>
        <v>-</v>
      </c>
      <c r="J175" s="102">
        <f>EV!N216</f>
        <v>0</v>
      </c>
      <c r="K175" s="433" t="s">
        <v>821</v>
      </c>
      <c r="L175" s="183">
        <f>IF(K175&gt;0,IF(K175="ALPHA",PR!$E173,IF(K175="ASSENE",PR!$F173,IF(K175="BIOFEM",PR!$G173,IF(K175="BIOMED",PR!$H173,IF(K175="CHI",PR!$I173,IF(K175="CLARION",PR!$J173,IF(K175="CODIX",PR!$K173,IF(K175="COSMADE",PR!$L173,IF(K175="SANCON",PR!$M173,IF(K175="DEVON",PR!$N173,IF(K175="DORTEMAG",PR!$O173,IF(K175="DGF",PR!$P173,IF(K175="DYNAMIC",PR!$Q173,IF(K175="EMZOR",PR!$R173,IF(K175="EUMATT",PR!$S173,IF(K175="FIDSON",PR!$T173,IF(K175="FCGLOBAL",PR!$U173,IF(K175="GENEITH",PR!$V173,IF(K175="GINOS",PR!$W173,IF(K175="GSK",PR!$X173,IF(K175="GLOBORG",PR!$Y173,IF(K175="GOODNEWS",PR!$Z173,IF(K175="GREENLIFE",PR!$AA173,IF(K175="HLINE",PR!$AB173,IF(K175="ROTECH",PR!$AC173,IF(K175="ISN",PR!$AD173,IF(K175="JAWA",PR!$AE173,IF(K175="LAYO",PR!$AF173,IF(K175="LEADWAY",PR!$AG173,IF(K175="LHV",PR!$AH173,IF(K175="MANOLA",PR!$AI173,IF(K175="MARCSON",PR!$AJ173,IF(K175="M&amp;B",PR!$AK173,IF(K175="MTRUST",PR!$AL173,IF(K175="MWORLD",PR!$AM173,IF(K175="MEGA",PR!$AN173,IF(K175="MICRONOVA",PR!$AO173,IF(K175="MFLASH",PR!$AP173,IF(K175="MORISON",PR!$AQ173,IF(K175="NEMEL",PR!$AR173,IF(K175="NHP",PR!$AS173,IF(K175="NHC",PR!$AT173,IF(K175="OLEAF",PR!$AU173,IF(K175="OCULUS",PR!$AV173,IF(K175="PACIFIC",PR!$AW173,IF(K175="PHAMATEX",PR!$AX173,IF(K175="PETHICS",PR!$AY173,IF(K175="PHILIPS",PR!$AZ173,IF(K175="RANBAXY",PR!$BA173,IF(K175="REALS",PR!$BB173,IF(K175="ROYAL",PR!$BC173,IF(K175="SAM",PR!$BD173,IF(K175="SEAGREEN",PR!$BE173,IF(K175="SKG",PR!$BF173,IF(K175="TAH",PR!$BG173,IF(K175="TAYLEK",PR!$BH173,IF(K175="TEMITA",PR!$BI173,IF(K175="THL",PR!$BJ173,IF(K175="UBASTIC",PR!$BK173,IF(K175="UNION",PR!$BL173,IF(K175="UNIQUE",PR!$BM173,IF(K175="VIXA",PR!$BN173,IF(K175="WWCV",PR!$BO173,IF(K175="ZOLON",PR!$BP173,"-")))))))))))))))))))))))))))))))))))))))))))))))))))))))))))))))))</f>
        <v>1200</v>
      </c>
    </row>
    <row r="176" spans="1:12" ht="18.75" x14ac:dyDescent="0.3">
      <c r="A176" s="430">
        <f>PR!A174</f>
        <v>153</v>
      </c>
      <c r="B176" s="15" t="str">
        <f>PR!B174</f>
        <v>DICLOFENAC 75MG SR TAB</v>
      </c>
      <c r="C176" s="113">
        <f>PR!D174</f>
        <v>30</v>
      </c>
      <c r="D176" s="113">
        <f>PR!C174</f>
        <v>40</v>
      </c>
      <c r="E176" s="108" t="str">
        <f>IF(F176="ALPHA",PR!$E174,IF(F176="ASSENE",PR!$F174,IF(F176="BIOFEM",PR!$G174,IF(F176="BIOMED",PR!$H174,IF(F176="CHI",PR!$I174,IF(F176="CLARION",PR!$J174,IF(F176="CODIX",PR!$K174,IF(F176="COSMADE",PR!$L174,IF(F176="SANCON",PR!$M174,IF(F176="DEVON",PR!$N174,IF(F176="DORTEMAG",PR!$O174,IF(F176="DGF",PR!$P174,IF(F176="DYNAMIC",PR!$Q174,IF(F176="EMZOR",PR!$R174,IF(F176="EUMATT",PR!$S174,IF(F176="FIDSON",PR!$T174,IF(F176="FCGLOBAL",PR!$U174,IF(F176="GENEITH",PR!$V174,IF(F176="GINOS",PR!$W174,IF(F176="GSK",PR!$X174,IF(F176="GLOBORG",PR!$Y174,IF(F176="GOODNEWS",PR!$Z174,IF(F176="GREENLIFE",PR!$AA174,IF(F176="HLINE",PR!$AB174,IF(F176="ROTECH",PR!$AC174,IF(F176="ISN",PR!$AD174,IF(F176="JAWA",PR!$AE174,IF(F176="LAYO",PR!$AF174,IF(F176="LEADWAY",PR!$AG174,IF(F176="LHV",PR!$AH174,IF(F176="MANOLA",PR!$AI174,IF(F176="MARCSON",PR!$AJ174,IF(F176="M&amp;B",PR!$AK174,IF(F176="MTRUST",PR!$AL174,IF(F176="MWORLD",PR!$AM174,IF(F176="MEGA",PR!$AN174,IF(F176="MICRONOVA",PR!$AO174,IF(F176="MFLASH",PR!$AP174,IF(F176="MORISON",PR!$AQ174,IF(F176="NEMEL",PR!$AR174,IF(F176="NHP",PR!$AS174,IF(F176="NHC",PR!$AT174,IF(F176="OLEAF",PR!$AU174,IF(F176="OCULUS",PR!$AV174,IF(F176="PACIFIC",PR!$AW174,IF(F176="PHAMATEX",PR!$AX174,IF(F176="PETHICS",PR!$AY174,IF(F176="PHILIPS",PR!$AZ174,IF(F176="RANBAXY",PR!$BA174,IF(F176="REALS",PR!$BB174,IF(F176="ROYAL",PR!$BC174,IF(F176="SAM",PR!$BD174,IF(F176="SEAGREEN",PR!$BE174,IF(F176="SKG",PR!$BF174,IF(F176="TAH",PR!$BG174,IF(F176="TAYLEK",PR!$BH174,IF(F176="TEMITA",PR!$BI174,IF(F176="THL",PR!$BJ174,IF(F176="UBASTIC",PR!$BK174,IF(F176="UNION",PR!$BL174,IF(F176="UNIQUE",PR!$BM174,IF(F176="VIXA",PR!$BN174,IF(F176="WWCV",PR!$BO174,IF(F176="ZOLON",PR!$BP174,"-"))))))))))))))))))))))))))))))))))))))))))))))))))))))))))))))))</f>
        <v>-</v>
      </c>
      <c r="F176" s="102">
        <f>EV!L217</f>
        <v>0</v>
      </c>
      <c r="G176" s="108" t="str">
        <f>IF(H176="ALPHA",PR!$E174,IF(H176="ASSENE",PR!$F174,IF(H176="BIOFEM",PR!$G174,IF(H176="BIOMED",PR!$H174,IF(H176="CHI",PR!$I174,IF(H176="CLARION",PR!$J174,IF(H176="CODIX",PR!$K174,IF(H176="COSMADE",PR!$L174,IF(H176="SANCON",PR!$M174,IF(H176="DEVON",PR!$N174,IF(H176="DORTEMAG",PR!$O174,IF(H176="DGF",PR!$P174,IF(H176="DYNAMIC",PR!$Q174,IF(H176="EMZOR",PR!$R174,IF(H176="EUMATT",PR!$S174,IF(H176="FIDSON",PR!$T174,IF(H176="FCGLOBAL",PR!$U174,IF(H176="GENEITH",PR!$V174,IF(H176="GINOS",PR!$W174,IF(H176="GSK",PR!$X174,IF(H176="GLOBORG",PR!$Y174,IF(H176="GOODNEWS",PR!$Z174,IF(H176="GREENLIFE",PR!$AA174,IF(H176="HLINE",PR!$AB174,IF(H176="ROTECH",PR!$AC174,IF(H176="ISN",PR!$AD174,IF(H176="JAWA",PR!$AE174,IF(H176="LAYO",PR!$AF174,IF(H176="LEADWAY",PR!$AG174,IF(H176="LHV",PR!$AH174,IF(H176="MANOLA",PR!$AI174,IF(H176="MARCSON",PR!$AJ174,IF(H176="M&amp;B",PR!$AK174,IF(H176="MTRUST",PR!$AL174,IF(H176="MWORLD",PR!$AM174,IF(H176="MEGA",PR!$AN174,IF(H176="MICRONOVA",PR!$AO174,IF(H176="MFLASH",PR!$AP174,IF(H176="MORISON",PR!$AQ174,IF(H176="NEMEL",PR!$AR174,IF(H176="NHP",PR!$AS174,IF(H176="NHC",PR!$AT174,IF(H176="OLEAF",PR!$AU174,IF(H176="OCULUS",PR!$AV174,IF(H176="PACIFIC",PR!$AW174,IF(H176="PHAMATEX",PR!$AX174,IF(H176="PETHICS",PR!$AY174,IF(H176="PHILIPS",PR!$AZ174,IF(H176="RANBAXY",PR!$BA174,IF(H176="REALS",PR!$BB174,IF(H176="ROYAL",PR!$BC174,IF(H176="SAM",PR!$BD174,IF(H176="SEAGREEN",PR!$BE174,IF(H176="SKG",PR!$BF174,IF(H176="TAH",PR!$BG174,IF(H176="TAYLEK",PR!$BH174,IF(H176="TEMITA",PR!$BI174,IF(H176="THL",PR!$BJ174,IF(H176="UBASTIC",PR!$BK174,IF(H176="UNION",PR!$BL174,IF(H176="UNIQUE",PR!$BM174,IF(H176="VIXA",PR!$BN174,IF(H176="WWCV",PR!$BO174,IF(H176="ZOLON",PR!$BP174,"-"))))))))))))))))))))))))))))))))))))))))))))))))))))))))))))))))</f>
        <v>-</v>
      </c>
      <c r="H176" s="102">
        <f>EV!M217</f>
        <v>0</v>
      </c>
      <c r="I176" s="108" t="str">
        <f>IF(J176="ALPHA",PR!$E174,IF(J176="ASSENE",PR!$F174,IF(J176="BIOFEM",PR!$G174,IF(J176="BIOMED",PR!$H174,IF(J176="CHI",PR!$I174,IF(J176="CLARION",PR!$J174,IF(J176="CODIX",PR!$K174,IF(J176="COSMADE",PR!$L174,IF(J176="SANCON",PR!$M174,IF(J176="DEVON",PR!$N174,IF(J176="DORTEMAG",PR!$O174,IF(J176="DGF",PR!$P174,IF(J176="DYNAMIC",PR!$Q174,IF(J176="EMZOR",PR!$R174,IF(J176="EUMATT",PR!$S174,IF(J176="FIDSON",PR!$T174,IF(J176="FCGLOBAL",PR!$U174,IF(J176="GENEITH",PR!$V174,IF(J176="GINOS",PR!$W174,IF(J176="GSK",PR!$X174,IF(J176="GLOBORG",PR!$Y174,IF(J176="GOODNEWS",PR!$Z174,IF(J176="GREENLIFE",PR!$AA174,IF(J176="HLINE",PR!$AB174,IF(J176="ROTECH",PR!$AC174,IF(J176="ISN",PR!$AD174,IF(J176="JAWA",PR!$AE174,IF(J176="LAYO",PR!$AF174,IF(J176="LEADWAY",PR!$AG174,IF(J176="LHV",PR!$AH174,IF(J176="MANOLA",PR!$AI174,IF(J176="MARCSON",PR!$AJ174,IF(J176="M&amp;B",PR!$AK174,IF(J176="MTRUST",PR!$AL174,IF(J176="MWORLD",PR!$AM174,IF(J176="MEGA",PR!$AN174,IF(J176="MICRONOVA",PR!$AO174,IF(J176="MFLASH",PR!$AP174,IF(J176="MORISON",PR!$AQ174,IF(J176="NEMEL",PR!$AR174,IF(J176="NHP",PR!$AS174,IF(J176="NHC",PR!$AT174,IF(J176="OLEAF",PR!$AU174,IF(J176="OCULUS",PR!$AV174,IF(J176="PACIFIC",PR!$AW174,IF(J176="PHAMATEX",PR!$AX174,IF(J176="PETHICS",PR!$AY174,IF(J176="PHILIPS",PR!$AZ174,IF(J176="RANBAXY",PR!$BA174,IF(J176="REALS",PR!$BB174,IF(J176="ROYAL",PR!$BC174,IF(J176="SAM",PR!$BD174,IF(J176="SEAGREEN",PR!$BE174,IF(J176="SKG",PR!$BF174,IF(J176="TAH",PR!$BG174,IF(J176="TAYLEK",PR!$BH174,IF(J176="TEMITA",PR!$BI174,IF(J176="THL",PR!$BJ174,IF(J176="UBASTIC",PR!$BK174,IF(J176="UNION",PR!$BL174,IF(J176="UNIQUE",PR!$BM174,IF(J176="VIXA",PR!$BN174,IF(J176="WWCV",PR!$BO174,IF(J176="ZOLON",PR!$BP174,"-"))))))))))))))))))))))))))))))))))))))))))))))))))))))))))))))))</f>
        <v>-</v>
      </c>
      <c r="J176" s="102">
        <f>EV!N217</f>
        <v>0</v>
      </c>
      <c r="K176" s="433"/>
      <c r="L176" s="183" t="b">
        <f>IF(K176&gt;0,IF(K176="ALPHA",PR!$E174,IF(K176="ASSENE",PR!$F174,IF(K176="BIOFEM",PR!$G174,IF(K176="BIOMED",PR!$H174,IF(K176="CHI",PR!$I174,IF(K176="CLARION",PR!$J174,IF(K176="CODIX",PR!$K174,IF(K176="COSMADE",PR!$L174,IF(K176="SANCON",PR!$M174,IF(K176="DEVON",PR!$N174,IF(K176="DORTEMAG",PR!$O174,IF(K176="DGF",PR!$P174,IF(K176="DYNAMIC",PR!$Q174,IF(K176="EMZOR",PR!$R174,IF(K176="EUMATT",PR!$S174,IF(K176="FIDSON",PR!$T174,IF(K176="FCGLOBAL",PR!$U174,IF(K176="GENEITH",PR!$V174,IF(K176="GINOS",PR!$W174,IF(K176="GSK",PR!$X174,IF(K176="GLOBORG",PR!$Y174,IF(K176="GOODNEWS",PR!$Z174,IF(K176="GREENLIFE",PR!$AA174,IF(K176="HLINE",PR!$AB174,IF(K176="ROTECH",PR!$AC174,IF(K176="ISN",PR!$AD174,IF(K176="JAWA",PR!$AE174,IF(K176="LAYO",PR!$AF174,IF(K176="LEADWAY",PR!$AG174,IF(K176="LHV",PR!$AH174,IF(K176="MANOLA",PR!$AI174,IF(K176="MARCSON",PR!$AJ174,IF(K176="M&amp;B",PR!$AK174,IF(K176="MTRUST",PR!$AL174,IF(K176="MWORLD",PR!$AM174,IF(K176="MEGA",PR!$AN174,IF(K176="MICRONOVA",PR!$AO174,IF(K176="MFLASH",PR!$AP174,IF(K176="MORISON",PR!$AQ174,IF(K176="NEMEL",PR!$AR174,IF(K176="NHP",PR!$AS174,IF(K176="NHC",PR!$AT174,IF(K176="OLEAF",PR!$AU174,IF(K176="OCULUS",PR!$AV174,IF(K176="PACIFIC",PR!$AW174,IF(K176="PHAMATEX",PR!$AX174,IF(K176="PETHICS",PR!$AY174,IF(K176="PHILIPS",PR!$AZ174,IF(K176="RANBAXY",PR!$BA174,IF(K176="REALS",PR!$BB174,IF(K176="ROYAL",PR!$BC174,IF(K176="SAM",PR!$BD174,IF(K176="SEAGREEN",PR!$BE174,IF(K176="SKG",PR!$BF174,IF(K176="TAH",PR!$BG174,IF(K176="TAYLEK",PR!$BH174,IF(K176="TEMITA",PR!$BI174,IF(K176="THL",PR!$BJ174,IF(K176="UBASTIC",PR!$BK174,IF(K176="UNION",PR!$BL174,IF(K176="UNIQUE",PR!$BM174,IF(K176="VIXA",PR!$BN174,IF(K176="WWCV",PR!$BO174,IF(K176="ZOLON",PR!$BP174,"-")))))))))))))))))))))))))))))))))))))))))))))))))))))))))))))))))</f>
        <v>0</v>
      </c>
    </row>
    <row r="177" spans="1:12" ht="18.75" x14ac:dyDescent="0.3">
      <c r="A177" s="430">
        <f>PR!A175</f>
        <v>154</v>
      </c>
      <c r="B177" s="15" t="str">
        <f>PR!B175</f>
        <v>DICLOFENAC 100MG TAB</v>
      </c>
      <c r="C177" s="113">
        <f>PR!D175</f>
        <v>100</v>
      </c>
      <c r="D177" s="113">
        <f>PR!C175</f>
        <v>400</v>
      </c>
      <c r="E177" s="108">
        <f>IF(F177="ALPHA",PR!$E175,IF(F177="ASSENE",PR!$F175,IF(F177="BIOFEM",PR!$G175,IF(F177="BIOMED",PR!$H175,IF(F177="CHI",PR!$I175,IF(F177="CLARION",PR!$J175,IF(F177="CODIX",PR!$K175,IF(F177="COSMADE",PR!$L175,IF(F177="SANCON",PR!$M175,IF(F177="DEVON",PR!$N175,IF(F177="DORTEMAG",PR!$O175,IF(F177="DGF",PR!$P175,IF(F177="DYNAMIC",PR!$Q175,IF(F177="EMZOR",PR!$R175,IF(F177="EUMATT",PR!$S175,IF(F177="FIDSON",PR!$T175,IF(F177="FCGLOBAL",PR!$U175,IF(F177="GENEITH",PR!$V175,IF(F177="GINOS",PR!$W175,IF(F177="GSK",PR!$X175,IF(F177="GLOBORG",PR!$Y175,IF(F177="GOODNEWS",PR!$Z175,IF(F177="GREENLIFE",PR!$AA175,IF(F177="HLINE",PR!$AB175,IF(F177="ROTECH",PR!$AC175,IF(F177="ISN",PR!$AD175,IF(F177="JAWA",PR!$AE175,IF(F177="LAYO",PR!$AF175,IF(F177="LEADWAY",PR!$AG175,IF(F177="LHV",PR!$AH175,IF(F177="MANOLA",PR!$AI175,IF(F177="MARCSON",PR!$AJ175,IF(F177="M&amp;B",PR!$AK175,IF(F177="MTRUST",PR!$AL175,IF(F177="MWORLD",PR!$AM175,IF(F177="MEGA",PR!$AN175,IF(F177="MICRONOVA",PR!$AO175,IF(F177="MFLASH",PR!$AP175,IF(F177="MORISON",PR!$AQ175,IF(F177="NEMEL",PR!$AR175,IF(F177="NHP",PR!$AS175,IF(F177="NHC",PR!$AT175,IF(F177="OLEAF",PR!$AU175,IF(F177="OCULUS",PR!$AV175,IF(F177="PACIFIC",PR!$AW175,IF(F177="PHAMATEX",PR!$AX175,IF(F177="PETHICS",PR!$AY175,IF(F177="PHILIPS",PR!$AZ175,IF(F177="RANBAXY",PR!$BA175,IF(F177="REALS",PR!$BB175,IF(F177="ROYAL",PR!$BC175,IF(F177="SAM",PR!$BD175,IF(F177="SEAGREEN",PR!$BE175,IF(F177="SKG",PR!$BF175,IF(F177="TAH",PR!$BG175,IF(F177="TAYLEK",PR!$BH175,IF(F177="TEMITA",PR!$BI175,IF(F177="THL",PR!$BJ175,IF(F177="UBASTIC",PR!$BK175,IF(F177="UNION",PR!$BL175,IF(F177="UNIQUE",PR!$BM175,IF(F177="VIXA",PR!$BN175,IF(F177="WWCV",PR!$BO175,IF(F177="ZOLON",PR!$BP175,"-"))))))))))))))))))))))))))))))))))))))))))))))))))))))))))))))))</f>
        <v>350</v>
      </c>
      <c r="F177" s="102" t="str">
        <f>EV!L218</f>
        <v>VIXA</v>
      </c>
      <c r="G177" s="108">
        <f>IF(H177="ALPHA",PR!$E175,IF(H177="ASSENE",PR!$F175,IF(H177="BIOFEM",PR!$G175,IF(H177="BIOMED",PR!$H175,IF(H177="CHI",PR!$I175,IF(H177="CLARION",PR!$J175,IF(H177="CODIX",PR!$K175,IF(H177="COSMADE",PR!$L175,IF(H177="SANCON",PR!$M175,IF(H177="DEVON",PR!$N175,IF(H177="DORTEMAG",PR!$O175,IF(H177="DGF",PR!$P175,IF(H177="DYNAMIC",PR!$Q175,IF(H177="EMZOR",PR!$R175,IF(H177="EUMATT",PR!$S175,IF(H177="FIDSON",PR!$T175,IF(H177="FCGLOBAL",PR!$U175,IF(H177="GENEITH",PR!$V175,IF(H177="GINOS",PR!$W175,IF(H177="GSK",PR!$X175,IF(H177="GLOBORG",PR!$Y175,IF(H177="GOODNEWS",PR!$Z175,IF(H177="GREENLIFE",PR!$AA175,IF(H177="HLINE",PR!$AB175,IF(H177="ROTECH",PR!$AC175,IF(H177="ISN",PR!$AD175,IF(H177="JAWA",PR!$AE175,IF(H177="LAYO",PR!$AF175,IF(H177="LEADWAY",PR!$AG175,IF(H177="LHV",PR!$AH175,IF(H177="MANOLA",PR!$AI175,IF(H177="MARCSON",PR!$AJ175,IF(H177="M&amp;B",PR!$AK175,IF(H177="MTRUST",PR!$AL175,IF(H177="MWORLD",PR!$AM175,IF(H177="MEGA",PR!$AN175,IF(H177="MICRONOVA",PR!$AO175,IF(H177="MFLASH",PR!$AP175,IF(H177="MORISON",PR!$AQ175,IF(H177="NEMEL",PR!$AR175,IF(H177="NHP",PR!$AS175,IF(H177="NHC",PR!$AT175,IF(H177="OLEAF",PR!$AU175,IF(H177="OCULUS",PR!$AV175,IF(H177="PACIFIC",PR!$AW175,IF(H177="PHAMATEX",PR!$AX175,IF(H177="PETHICS",PR!$AY175,IF(H177="PHILIPS",PR!$AZ175,IF(H177="RANBAXY",PR!$BA175,IF(H177="REALS",PR!$BB175,IF(H177="ROYAL",PR!$BC175,IF(H177="SAM",PR!$BD175,IF(H177="SEAGREEN",PR!$BE175,IF(H177="SKG",PR!$BF175,IF(H177="TAH",PR!$BG175,IF(H177="TAYLEK",PR!$BH175,IF(H177="TEMITA",PR!$BI175,IF(H177="THL",PR!$BJ175,IF(H177="UBASTIC",PR!$BK175,IF(H177="UNION",PR!$BL175,IF(H177="UNIQUE",PR!$BM175,IF(H177="VIXA",PR!$BN175,IF(H177="WWCV",PR!$BO175,IF(H177="ZOLON",PR!$BP175,"-"))))))))))))))))))))))))))))))))))))))))))))))))))))))))))))))))</f>
        <v>400</v>
      </c>
      <c r="H177" s="102" t="str">
        <f>EV!M218</f>
        <v>SEAGREEN</v>
      </c>
      <c r="I177" s="108">
        <f>IF(J177="ALPHA",PR!$E175,IF(J177="ASSENE",PR!$F175,IF(J177="BIOFEM",PR!$G175,IF(J177="BIOMED",PR!$H175,IF(J177="CHI",PR!$I175,IF(J177="CLARION",PR!$J175,IF(J177="CODIX",PR!$K175,IF(J177="COSMADE",PR!$L175,IF(J177="SANCON",PR!$M175,IF(J177="DEVON",PR!$N175,IF(J177="DORTEMAG",PR!$O175,IF(J177="DGF",PR!$P175,IF(J177="DYNAMIC",PR!$Q175,IF(J177="EMZOR",PR!$R175,IF(J177="EUMATT",PR!$S175,IF(J177="FIDSON",PR!$T175,IF(J177="FCGLOBAL",PR!$U175,IF(J177="GENEITH",PR!$V175,IF(J177="GINOS",PR!$W175,IF(J177="GSK",PR!$X175,IF(J177="GLOBORG",PR!$Y175,IF(J177="GOODNEWS",PR!$Z175,IF(J177="GREENLIFE",PR!$AA175,IF(J177="HLINE",PR!$AB175,IF(J177="ROTECH",PR!$AC175,IF(J177="ISN",PR!$AD175,IF(J177="JAWA",PR!$AE175,IF(J177="LAYO",PR!$AF175,IF(J177="LEADWAY",PR!$AG175,IF(J177="LHV",PR!$AH175,IF(J177="MANOLA",PR!$AI175,IF(J177="MARCSON",PR!$AJ175,IF(J177="M&amp;B",PR!$AK175,IF(J177="MTRUST",PR!$AL175,IF(J177="MWORLD",PR!$AM175,IF(J177="MEGA",PR!$AN175,IF(J177="MICRONOVA",PR!$AO175,IF(J177="MFLASH",PR!$AP175,IF(J177="MORISON",PR!$AQ175,IF(J177="NEMEL",PR!$AR175,IF(J177="NHP",PR!$AS175,IF(J177="NHC",PR!$AT175,IF(J177="OLEAF",PR!$AU175,IF(J177="OCULUS",PR!$AV175,IF(J177="PACIFIC",PR!$AW175,IF(J177="PHAMATEX",PR!$AX175,IF(J177="PETHICS",PR!$AY175,IF(J177="PHILIPS",PR!$AZ175,IF(J177="RANBAXY",PR!$BA175,IF(J177="REALS",PR!$BB175,IF(J177="ROYAL",PR!$BC175,IF(J177="SAM",PR!$BD175,IF(J177="SEAGREEN",PR!$BE175,IF(J177="SKG",PR!$BF175,IF(J177="TAH",PR!$BG175,IF(J177="TAYLEK",PR!$BH175,IF(J177="TEMITA",PR!$BI175,IF(J177="THL",PR!$BJ175,IF(J177="UBASTIC",PR!$BK175,IF(J177="UNION",PR!$BL175,IF(J177="UNIQUE",PR!$BM175,IF(J177="VIXA",PR!$BN175,IF(J177="WWCV",PR!$BO175,IF(J177="ZOLON",PR!$BP175,"-"))))))))))))))))))))))))))))))))))))))))))))))))))))))))))))))))</f>
        <v>400</v>
      </c>
      <c r="J177" s="102" t="str">
        <f>EV!N218</f>
        <v>NEMEL</v>
      </c>
      <c r="K177" s="433" t="s">
        <v>620</v>
      </c>
      <c r="L177" s="183">
        <f>IF(K177&gt;0,IF(K177="ALPHA",PR!$E175,IF(K177="ASSENE",PR!$F175,IF(K177="BIOFEM",PR!$G175,IF(K177="BIOMED",PR!$H175,IF(K177="CHI",PR!$I175,IF(K177="CLARION",PR!$J175,IF(K177="CODIX",PR!$K175,IF(K177="COSMADE",PR!$L175,IF(K177="SANCON",PR!$M175,IF(K177="DEVON",PR!$N175,IF(K177="DORTEMAG",PR!$O175,IF(K177="DGF",PR!$P175,IF(K177="DYNAMIC",PR!$Q175,IF(K177="EMZOR",PR!$R175,IF(K177="EUMATT",PR!$S175,IF(K177="FIDSON",PR!$T175,IF(K177="FCGLOBAL",PR!$U175,IF(K177="GENEITH",PR!$V175,IF(K177="GINOS",PR!$W175,IF(K177="GSK",PR!$X175,IF(K177="GLOBORG",PR!$Y175,IF(K177="GOODNEWS",PR!$Z175,IF(K177="GREENLIFE",PR!$AA175,IF(K177="HLINE",PR!$AB175,IF(K177="ROTECH",PR!$AC175,IF(K177="ISN",PR!$AD175,IF(K177="JAWA",PR!$AE175,IF(K177="LAYO",PR!$AF175,IF(K177="LEADWAY",PR!$AG175,IF(K177="LHV",PR!$AH175,IF(K177="MANOLA",PR!$AI175,IF(K177="MARCSON",PR!$AJ175,IF(K177="M&amp;B",PR!$AK175,IF(K177="MTRUST",PR!$AL175,IF(K177="MWORLD",PR!$AM175,IF(K177="MEGA",PR!$AN175,IF(K177="MICRONOVA",PR!$AO175,IF(K177="MFLASH",PR!$AP175,IF(K177="MORISON",PR!$AQ175,IF(K177="NEMEL",PR!$AR175,IF(K177="NHP",PR!$AS175,IF(K177="NHC",PR!$AT175,IF(K177="OLEAF",PR!$AU175,IF(K177="OCULUS",PR!$AV175,IF(K177="PACIFIC",PR!$AW175,IF(K177="PHAMATEX",PR!$AX175,IF(K177="PETHICS",PR!$AY175,IF(K177="PHILIPS",PR!$AZ175,IF(K177="RANBAXY",PR!$BA175,IF(K177="REALS",PR!$BB175,IF(K177="ROYAL",PR!$BC175,IF(K177="SAM",PR!$BD175,IF(K177="SEAGREEN",PR!$BE175,IF(K177="SKG",PR!$BF175,IF(K177="TAH",PR!$BG175,IF(K177="TAYLEK",PR!$BH175,IF(K177="TEMITA",PR!$BI175,IF(K177="THL",PR!$BJ175,IF(K177="UBASTIC",PR!$BK175,IF(K177="UNION",PR!$BL175,IF(K177="UNIQUE",PR!$BM175,IF(K177="VIXA",PR!$BN175,IF(K177="WWCV",PR!$BO175,IF(K177="ZOLON",PR!$BP175,"-")))))))))))))))))))))))))))))))))))))))))))))))))))))))))))))))))</f>
        <v>350</v>
      </c>
    </row>
    <row r="178" spans="1:12" ht="18.75" x14ac:dyDescent="0.3">
      <c r="A178" s="430">
        <f>PR!A176</f>
        <v>155</v>
      </c>
      <c r="B178" s="15" t="str">
        <f>PR!B176</f>
        <v>DICLOFENAC/CHOLESTYRAMINE TAB</v>
      </c>
      <c r="C178" s="113">
        <f>PR!D176</f>
        <v>20</v>
      </c>
      <c r="D178" s="113">
        <f>PR!C176</f>
        <v>2000</v>
      </c>
      <c r="E178" s="108">
        <f>IF(F178="ALPHA",PR!$E176,IF(F178="ASSENE",PR!$F176,IF(F178="BIOFEM",PR!$G176,IF(F178="BIOMED",PR!$H176,IF(F178="CHI",PR!$I176,IF(F178="CLARION",PR!$J176,IF(F178="CODIX",PR!$K176,IF(F178="COSMADE",PR!$L176,IF(F178="SANCON",PR!$M176,IF(F178="DEVON",PR!$N176,IF(F178="DORTEMAG",PR!$O176,IF(F178="DGF",PR!$P176,IF(F178="DYNAMIC",PR!$Q176,IF(F178="EMZOR",PR!$R176,IF(F178="EUMATT",PR!$S176,IF(F178="FIDSON",PR!$T176,IF(F178="FCGLOBAL",PR!$U176,IF(F178="GENEITH",PR!$V176,IF(F178="GINOS",PR!$W176,IF(F178="GSK",PR!$X176,IF(F178="GLOBORG",PR!$Y176,IF(F178="GOODNEWS",PR!$Z176,IF(F178="GREENLIFE",PR!$AA176,IF(F178="HLINE",PR!$AB176,IF(F178="ROTECH",PR!$AC176,IF(F178="ISN",PR!$AD176,IF(F178="JAWA",PR!$AE176,IF(F178="LAYO",PR!$AF176,IF(F178="LEADWAY",PR!$AG176,IF(F178="LHV",PR!$AH176,IF(F178="MANOLA",PR!$AI176,IF(F178="MARCSON",PR!$AJ176,IF(F178="M&amp;B",PR!$AK176,IF(F178="MTRUST",PR!$AL176,IF(F178="MWORLD",PR!$AM176,IF(F178="MEGA",PR!$AN176,IF(F178="MICRONOVA",PR!$AO176,IF(F178="MFLASH",PR!$AP176,IF(F178="MORISON",PR!$AQ176,IF(F178="NEMEL",PR!$AR176,IF(F178="NHP",PR!$AS176,IF(F178="NHC",PR!$AT176,IF(F178="OLEAF",PR!$AU176,IF(F178="OCULUS",PR!$AV176,IF(F178="PACIFIC",PR!$AW176,IF(F178="PHAMATEX",PR!$AX176,IF(F178="PETHICS",PR!$AY176,IF(F178="PHILIPS",PR!$AZ176,IF(F178="RANBAXY",PR!$BA176,IF(F178="REALS",PR!$BB176,IF(F178="ROYAL",PR!$BC176,IF(F178="SAM",PR!$BD176,IF(F178="SEAGREEN",PR!$BE176,IF(F178="SKG",PR!$BF176,IF(F178="TAH",PR!$BG176,IF(F178="TAYLEK",PR!$BH176,IF(F178="TEMITA",PR!$BI176,IF(F178="THL",PR!$BJ176,IF(F178="UBASTIC",PR!$BK176,IF(F178="UNION",PR!$BL176,IF(F178="UNIQUE",PR!$BM176,IF(F178="VIXA",PR!$BN176,IF(F178="WWCV",PR!$BO176,IF(F178="ZOLON",PR!$BP176,"-"))))))))))))))))))))))))))))))))))))))))))))))))))))))))))))))))</f>
        <v>2200</v>
      </c>
      <c r="F178" s="102" t="str">
        <f>EV!L219</f>
        <v>EUMATT</v>
      </c>
      <c r="G178" s="108" t="str">
        <f>IF(H178="ALPHA",PR!$E176,IF(H178="ASSENE",PR!$F176,IF(H178="BIOFEM",PR!$G176,IF(H178="BIOMED",PR!$H176,IF(H178="CHI",PR!$I176,IF(H178="CLARION",PR!$J176,IF(H178="CODIX",PR!$K176,IF(H178="COSMADE",PR!$L176,IF(H178="SANCON",PR!$M176,IF(H178="DEVON",PR!$N176,IF(H178="DORTEMAG",PR!$O176,IF(H178="DGF",PR!$P176,IF(H178="DYNAMIC",PR!$Q176,IF(H178="EMZOR",PR!$R176,IF(H178="EUMATT",PR!$S176,IF(H178="FIDSON",PR!$T176,IF(H178="FCGLOBAL",PR!$U176,IF(H178="GENEITH",PR!$V176,IF(H178="GINOS",PR!$W176,IF(H178="GSK",PR!$X176,IF(H178="GLOBORG",PR!$Y176,IF(H178="GOODNEWS",PR!$Z176,IF(H178="GREENLIFE",PR!$AA176,IF(H178="HLINE",PR!$AB176,IF(H178="ROTECH",PR!$AC176,IF(H178="ISN",PR!$AD176,IF(H178="JAWA",PR!$AE176,IF(H178="LAYO",PR!$AF176,IF(H178="LEADWAY",PR!$AG176,IF(H178="LHV",PR!$AH176,IF(H178="MANOLA",PR!$AI176,IF(H178="MARCSON",PR!$AJ176,IF(H178="M&amp;B",PR!$AK176,IF(H178="MTRUST",PR!$AL176,IF(H178="MWORLD",PR!$AM176,IF(H178="MEGA",PR!$AN176,IF(H178="MICRONOVA",PR!$AO176,IF(H178="MFLASH",PR!$AP176,IF(H178="MORISON",PR!$AQ176,IF(H178="NEMEL",PR!$AR176,IF(H178="NHP",PR!$AS176,IF(H178="NHC",PR!$AT176,IF(H178="OLEAF",PR!$AU176,IF(H178="OCULUS",PR!$AV176,IF(H178="PACIFIC",PR!$AW176,IF(H178="PHAMATEX",PR!$AX176,IF(H178="PETHICS",PR!$AY176,IF(H178="PHILIPS",PR!$AZ176,IF(H178="RANBAXY",PR!$BA176,IF(H178="REALS",PR!$BB176,IF(H178="ROYAL",PR!$BC176,IF(H178="SAM",PR!$BD176,IF(H178="SEAGREEN",PR!$BE176,IF(H178="SKG",PR!$BF176,IF(H178="TAH",PR!$BG176,IF(H178="TAYLEK",PR!$BH176,IF(H178="TEMITA",PR!$BI176,IF(H178="THL",PR!$BJ176,IF(H178="UBASTIC",PR!$BK176,IF(H178="UNION",PR!$BL176,IF(H178="UNIQUE",PR!$BM176,IF(H178="VIXA",PR!$BN176,IF(H178="WWCV",PR!$BO176,IF(H178="ZOLON",PR!$BP176,"-"))))))))))))))))))))))))))))))))))))))))))))))))))))))))))))))))</f>
        <v>-</v>
      </c>
      <c r="H178" s="102">
        <f>EV!M219</f>
        <v>0</v>
      </c>
      <c r="I178" s="108" t="str">
        <f>IF(J178="ALPHA",PR!$E176,IF(J178="ASSENE",PR!$F176,IF(J178="BIOFEM",PR!$G176,IF(J178="BIOMED",PR!$H176,IF(J178="CHI",PR!$I176,IF(J178="CLARION",PR!$J176,IF(J178="CODIX",PR!$K176,IF(J178="COSMADE",PR!$L176,IF(J178="SANCON",PR!$M176,IF(J178="DEVON",PR!$N176,IF(J178="DORTEMAG",PR!$O176,IF(J178="DGF",PR!$P176,IF(J178="DYNAMIC",PR!$Q176,IF(J178="EMZOR",PR!$R176,IF(J178="EUMATT",PR!$S176,IF(J178="FIDSON",PR!$T176,IF(J178="FCGLOBAL",PR!$U176,IF(J178="GENEITH",PR!$V176,IF(J178="GINOS",PR!$W176,IF(J178="GSK",PR!$X176,IF(J178="GLOBORG",PR!$Y176,IF(J178="GOODNEWS",PR!$Z176,IF(J178="GREENLIFE",PR!$AA176,IF(J178="HLINE",PR!$AB176,IF(J178="ROTECH",PR!$AC176,IF(J178="ISN",PR!$AD176,IF(J178="JAWA",PR!$AE176,IF(J178="LAYO",PR!$AF176,IF(J178="LEADWAY",PR!$AG176,IF(J178="LHV",PR!$AH176,IF(J178="MANOLA",PR!$AI176,IF(J178="MARCSON",PR!$AJ176,IF(J178="M&amp;B",PR!$AK176,IF(J178="MTRUST",PR!$AL176,IF(J178="MWORLD",PR!$AM176,IF(J178="MEGA",PR!$AN176,IF(J178="MICRONOVA",PR!$AO176,IF(J178="MFLASH",PR!$AP176,IF(J178="MORISON",PR!$AQ176,IF(J178="NEMEL",PR!$AR176,IF(J178="NHP",PR!$AS176,IF(J178="NHC",PR!$AT176,IF(J178="OLEAF",PR!$AU176,IF(J178="OCULUS",PR!$AV176,IF(J178="PACIFIC",PR!$AW176,IF(J178="PHAMATEX",PR!$AX176,IF(J178="PETHICS",PR!$AY176,IF(J178="PHILIPS",PR!$AZ176,IF(J178="RANBAXY",PR!$BA176,IF(J178="REALS",PR!$BB176,IF(J178="ROYAL",PR!$BC176,IF(J178="SAM",PR!$BD176,IF(J178="SEAGREEN",PR!$BE176,IF(J178="SKG",PR!$BF176,IF(J178="TAH",PR!$BG176,IF(J178="TAYLEK",PR!$BH176,IF(J178="TEMITA",PR!$BI176,IF(J178="THL",PR!$BJ176,IF(J178="UBASTIC",PR!$BK176,IF(J178="UNION",PR!$BL176,IF(J178="UNIQUE",PR!$BM176,IF(J178="VIXA",PR!$BN176,IF(J178="WWCV",PR!$BO176,IF(J178="ZOLON",PR!$BP176,"-"))))))))))))))))))))))))))))))))))))))))))))))))))))))))))))))))</f>
        <v>-</v>
      </c>
      <c r="J178" s="102">
        <f>EV!N219</f>
        <v>0</v>
      </c>
      <c r="K178" s="433" t="s">
        <v>821</v>
      </c>
      <c r="L178" s="183">
        <f>IF(K178&gt;0,IF(K178="ALPHA",PR!$E176,IF(K178="ASSENE",PR!$F176,IF(K178="BIOFEM",PR!$G176,IF(K178="BIOMED",PR!$H176,IF(K178="CHI",PR!$I176,IF(K178="CLARION",PR!$J176,IF(K178="CODIX",PR!$K176,IF(K178="COSMADE",PR!$L176,IF(K178="SANCON",PR!$M176,IF(K178="DEVON",PR!$N176,IF(K178="DORTEMAG",PR!$O176,IF(K178="DGF",PR!$P176,IF(K178="DYNAMIC",PR!$Q176,IF(K178="EMZOR",PR!$R176,IF(K178="EUMATT",PR!$S176,IF(K178="FIDSON",PR!$T176,IF(K178="FCGLOBAL",PR!$U176,IF(K178="GENEITH",PR!$V176,IF(K178="GINOS",PR!$W176,IF(K178="GSK",PR!$X176,IF(K178="GLOBORG",PR!$Y176,IF(K178="GOODNEWS",PR!$Z176,IF(K178="GREENLIFE",PR!$AA176,IF(K178="HLINE",PR!$AB176,IF(K178="ROTECH",PR!$AC176,IF(K178="ISN",PR!$AD176,IF(K178="JAWA",PR!$AE176,IF(K178="LAYO",PR!$AF176,IF(K178="LEADWAY",PR!$AG176,IF(K178="LHV",PR!$AH176,IF(K178="MANOLA",PR!$AI176,IF(K178="MARCSON",PR!$AJ176,IF(K178="M&amp;B",PR!$AK176,IF(K178="MTRUST",PR!$AL176,IF(K178="MWORLD",PR!$AM176,IF(K178="MEGA",PR!$AN176,IF(K178="MICRONOVA",PR!$AO176,IF(K178="MFLASH",PR!$AP176,IF(K178="MORISON",PR!$AQ176,IF(K178="NEMEL",PR!$AR176,IF(K178="NHP",PR!$AS176,IF(K178="NHC",PR!$AT176,IF(K178="OLEAF",PR!$AU176,IF(K178="OCULUS",PR!$AV176,IF(K178="PACIFIC",PR!$AW176,IF(K178="PHAMATEX",PR!$AX176,IF(K178="PETHICS",PR!$AY176,IF(K178="PHILIPS",PR!$AZ176,IF(K178="RANBAXY",PR!$BA176,IF(K178="REALS",PR!$BB176,IF(K178="ROYAL",PR!$BC176,IF(K178="SAM",PR!$BD176,IF(K178="SEAGREEN",PR!$BE176,IF(K178="SKG",PR!$BF176,IF(K178="TAH",PR!$BG176,IF(K178="TAYLEK",PR!$BH176,IF(K178="TEMITA",PR!$BI176,IF(K178="THL",PR!$BJ176,IF(K178="UBASTIC",PR!$BK176,IF(K178="UNION",PR!$BL176,IF(K178="UNIQUE",PR!$BM176,IF(K178="VIXA",PR!$BN176,IF(K178="WWCV",PR!$BO176,IF(K178="ZOLON",PR!$BP176,"-")))))))))))))))))))))))))))))))))))))))))))))))))))))))))))))))))</f>
        <v>2200</v>
      </c>
    </row>
    <row r="179" spans="1:12" ht="18.75" x14ac:dyDescent="0.3">
      <c r="A179" s="430">
        <f>PR!A177</f>
        <v>156</v>
      </c>
      <c r="B179" s="15" t="str">
        <f>PR!B177</f>
        <v xml:space="preserve">DICLOFENAC/METHYL SALICYLATE CREAM </v>
      </c>
      <c r="C179" s="113" t="str">
        <f>PR!D177</f>
        <v>TUBE</v>
      </c>
      <c r="D179" s="113">
        <f>PR!C177</f>
        <v>3200</v>
      </c>
      <c r="E179" s="108">
        <f>IF(F179="ALPHA",PR!$E177,IF(F179="ASSENE",PR!$F177,IF(F179="BIOFEM",PR!$G177,IF(F179="BIOMED",PR!$H177,IF(F179="CHI",PR!$I177,IF(F179="CLARION",PR!$J177,IF(F179="CODIX",PR!$K177,IF(F179="COSMADE",PR!$L177,IF(F179="SANCON",PR!$M177,IF(F179="DEVON",PR!$N177,IF(F179="DORTEMAG",PR!$O177,IF(F179="DGF",PR!$P177,IF(F179="DYNAMIC",PR!$Q177,IF(F179="EMZOR",PR!$R177,IF(F179="EUMATT",PR!$S177,IF(F179="FIDSON",PR!$T177,IF(F179="FCGLOBAL",PR!$U177,IF(F179="GENEITH",PR!$V177,IF(F179="GINOS",PR!$W177,IF(F179="GSK",PR!$X177,IF(F179="GLOBORG",PR!$Y177,IF(F179="GOODNEWS",PR!$Z177,IF(F179="GREENLIFE",PR!$AA177,IF(F179="HLINE",PR!$AB177,IF(F179="ROTECH",PR!$AC177,IF(F179="ISN",PR!$AD177,IF(F179="JAWA",PR!$AE177,IF(F179="LAYO",PR!$AF177,IF(F179="LEADWAY",PR!$AG177,IF(F179="LHV",PR!$AH177,IF(F179="MANOLA",PR!$AI177,IF(F179="MARCSON",PR!$AJ177,IF(F179="M&amp;B",PR!$AK177,IF(F179="MTRUST",PR!$AL177,IF(F179="MWORLD",PR!$AM177,IF(F179="MEGA",PR!$AN177,IF(F179="MICRONOVA",PR!$AO177,IF(F179="MFLASH",PR!$AP177,IF(F179="MORISON",PR!$AQ177,IF(F179="NEMEL",PR!$AR177,IF(F179="NHP",PR!$AS177,IF(F179="NHC",PR!$AT177,IF(F179="OLEAF",PR!$AU177,IF(F179="OCULUS",PR!$AV177,IF(F179="PACIFIC",PR!$AW177,IF(F179="PHAMATEX",PR!$AX177,IF(F179="PETHICS",PR!$AY177,IF(F179="PHILIPS",PR!$AZ177,IF(F179="RANBAXY",PR!$BA177,IF(F179="REALS",PR!$BB177,IF(F179="ROYAL",PR!$BC177,IF(F179="SAM",PR!$BD177,IF(F179="SEAGREEN",PR!$BE177,IF(F179="SKG",PR!$BF177,IF(F179="TAH",PR!$BG177,IF(F179="TAYLEK",PR!$BH177,IF(F179="TEMITA",PR!$BI177,IF(F179="THL",PR!$BJ177,IF(F179="UBASTIC",PR!$BK177,IF(F179="UNION",PR!$BL177,IF(F179="UNIQUE",PR!$BM177,IF(F179="VIXA",PR!$BN177,IF(F179="WWCV",PR!$BO177,IF(F179="ZOLON",PR!$BP177,"-"))))))))))))))))))))))))))))))))))))))))))))))))))))))))))))))))</f>
        <v>190</v>
      </c>
      <c r="F179" s="102" t="str">
        <f>EV!L220</f>
        <v>THL</v>
      </c>
      <c r="G179" s="108">
        <f>IF(H179="ALPHA",PR!$E177,IF(H179="ASSENE",PR!$F177,IF(H179="BIOFEM",PR!$G177,IF(H179="BIOMED",PR!$H177,IF(H179="CHI",PR!$I177,IF(H179="CLARION",PR!$J177,IF(H179="CODIX",PR!$K177,IF(H179="COSMADE",PR!$L177,IF(H179="SANCON",PR!$M177,IF(H179="DEVON",PR!$N177,IF(H179="DORTEMAG",PR!$O177,IF(H179="DGF",PR!$P177,IF(H179="DYNAMIC",PR!$Q177,IF(H179="EMZOR",PR!$R177,IF(H179="EUMATT",PR!$S177,IF(H179="FIDSON",PR!$T177,IF(H179="FCGLOBAL",PR!$U177,IF(H179="GENEITH",PR!$V177,IF(H179="GINOS",PR!$W177,IF(H179="GSK",PR!$X177,IF(H179="GLOBORG",PR!$Y177,IF(H179="GOODNEWS",PR!$Z177,IF(H179="GREENLIFE",PR!$AA177,IF(H179="HLINE",PR!$AB177,IF(H179="ROTECH",PR!$AC177,IF(H179="ISN",PR!$AD177,IF(H179="JAWA",PR!$AE177,IF(H179="LAYO",PR!$AF177,IF(H179="LEADWAY",PR!$AG177,IF(H179="LHV",PR!$AH177,IF(H179="MANOLA",PR!$AI177,IF(H179="MARCSON",PR!$AJ177,IF(H179="M&amp;B",PR!$AK177,IF(H179="MTRUST",PR!$AL177,IF(H179="MWORLD",PR!$AM177,IF(H179="MEGA",PR!$AN177,IF(H179="MICRONOVA",PR!$AO177,IF(H179="MFLASH",PR!$AP177,IF(H179="MORISON",PR!$AQ177,IF(H179="NEMEL",PR!$AR177,IF(H179="NHP",PR!$AS177,IF(H179="NHC",PR!$AT177,IF(H179="OLEAF",PR!$AU177,IF(H179="OCULUS",PR!$AV177,IF(H179="PACIFIC",PR!$AW177,IF(H179="PHAMATEX",PR!$AX177,IF(H179="PETHICS",PR!$AY177,IF(H179="PHILIPS",PR!$AZ177,IF(H179="RANBAXY",PR!$BA177,IF(H179="REALS",PR!$BB177,IF(H179="ROYAL",PR!$BC177,IF(H179="SAM",PR!$BD177,IF(H179="SEAGREEN",PR!$BE177,IF(H179="SKG",PR!$BF177,IF(H179="TAH",PR!$BG177,IF(H179="TAYLEK",PR!$BH177,IF(H179="TEMITA",PR!$BI177,IF(H179="THL",PR!$BJ177,IF(H179="UBASTIC",PR!$BK177,IF(H179="UNION",PR!$BL177,IF(H179="UNIQUE",PR!$BM177,IF(H179="VIXA",PR!$BN177,IF(H179="WWCV",PR!$BO177,IF(H179="ZOLON",PR!$BP177,"-"))))))))))))))))))))))))))))))))))))))))))))))))))))))))))))))))</f>
        <v>190</v>
      </c>
      <c r="H179" s="102" t="str">
        <f>EV!M220</f>
        <v>GREENLIFE</v>
      </c>
      <c r="I179" s="108">
        <f>IF(J179="ALPHA",PR!$E177,IF(J179="ASSENE",PR!$F177,IF(J179="BIOFEM",PR!$G177,IF(J179="BIOMED",PR!$H177,IF(J179="CHI",PR!$I177,IF(J179="CLARION",PR!$J177,IF(J179="CODIX",PR!$K177,IF(J179="COSMADE",PR!$L177,IF(J179="SANCON",PR!$M177,IF(J179="DEVON",PR!$N177,IF(J179="DORTEMAG",PR!$O177,IF(J179="DGF",PR!$P177,IF(J179="DYNAMIC",PR!$Q177,IF(J179="EMZOR",PR!$R177,IF(J179="EUMATT",PR!$S177,IF(J179="FIDSON",PR!$T177,IF(J179="FCGLOBAL",PR!$U177,IF(J179="GENEITH",PR!$V177,IF(J179="GINOS",PR!$W177,IF(J179="GSK",PR!$X177,IF(J179="GLOBORG",PR!$Y177,IF(J179="GOODNEWS",PR!$Z177,IF(J179="GREENLIFE",PR!$AA177,IF(J179="HLINE",PR!$AB177,IF(J179="ROTECH",PR!$AC177,IF(J179="ISN",PR!$AD177,IF(J179="JAWA",PR!$AE177,IF(J179="LAYO",PR!$AF177,IF(J179="LEADWAY",PR!$AG177,IF(J179="LHV",PR!$AH177,IF(J179="MANOLA",PR!$AI177,IF(J179="MARCSON",PR!$AJ177,IF(J179="M&amp;B",PR!$AK177,IF(J179="MTRUST",PR!$AL177,IF(J179="MWORLD",PR!$AM177,IF(J179="MEGA",PR!$AN177,IF(J179="MICRONOVA",PR!$AO177,IF(J179="MFLASH",PR!$AP177,IF(J179="MORISON",PR!$AQ177,IF(J179="NEMEL",PR!$AR177,IF(J179="NHP",PR!$AS177,IF(J179="NHC",PR!$AT177,IF(J179="OLEAF",PR!$AU177,IF(J179="OCULUS",PR!$AV177,IF(J179="PACIFIC",PR!$AW177,IF(J179="PHAMATEX",PR!$AX177,IF(J179="PETHICS",PR!$AY177,IF(J179="PHILIPS",PR!$AZ177,IF(J179="RANBAXY",PR!$BA177,IF(J179="REALS",PR!$BB177,IF(J179="ROYAL",PR!$BC177,IF(J179="SAM",PR!$BD177,IF(J179="SEAGREEN",PR!$BE177,IF(J179="SKG",PR!$BF177,IF(J179="TAH",PR!$BG177,IF(J179="TAYLEK",PR!$BH177,IF(J179="TEMITA",PR!$BI177,IF(J179="THL",PR!$BJ177,IF(J179="UBASTIC",PR!$BK177,IF(J179="UNION",PR!$BL177,IF(J179="UNIQUE",PR!$BM177,IF(J179="VIXA",PR!$BN177,IF(J179="WWCV",PR!$BO177,IF(J179="ZOLON",PR!$BP177,"-"))))))))))))))))))))))))))))))))))))))))))))))))))))))))))))))))</f>
        <v>200</v>
      </c>
      <c r="J179" s="102" t="str">
        <f>EV!N220</f>
        <v>JAWA</v>
      </c>
      <c r="K179" s="433" t="s">
        <v>2107</v>
      </c>
      <c r="L179" s="183" t="str">
        <f>IF(K179&gt;0,IF(K179="ALPHA",PR!$E177,IF(K179="ASSENE",PR!$F177,IF(K179="BIOFEM",PR!$G177,IF(K179="BIOMED",PR!$H177,IF(K179="CHI",PR!$I177,IF(K179="CLARION",PR!$J177,IF(K179="CODIX",PR!$K177,IF(K179="COSMADE",PR!$L177,IF(K179="SANCON",PR!$M177,IF(K179="DEVON",PR!$N177,IF(K179="DORTEMAG",PR!$O177,IF(K179="DGF",PR!$P177,IF(K179="DYNAMIC",PR!$Q177,IF(K179="EMZOR",PR!$R177,IF(K179="EUMATT",PR!$S177,IF(K179="FIDSON",PR!$T177,IF(K179="FCGLOBAL",PR!$U177,IF(K179="GENEITH",PR!$V177,IF(K179="GINOS",PR!$W177,IF(K179="GSK",PR!$X177,IF(K179="GLOBORG",PR!$Y177,IF(K179="GOODNEWS",PR!$Z177,IF(K179="GREENLIFE",PR!$AA177,IF(K179="HLINE",PR!$AB177,IF(K179="ROTECH",PR!$AC177,IF(K179="ISN",PR!$AD177,IF(K179="JAWA",PR!$AE177,IF(K179="LAYO",PR!$AF177,IF(K179="LEADWAY",PR!$AG177,IF(K179="LHV",PR!$AH177,IF(K179="MANOLA",PR!$AI177,IF(K179="MARCSON",PR!$AJ177,IF(K179="M&amp;B",PR!$AK177,IF(K179="MTRUST",PR!$AL177,IF(K179="MWORLD",PR!$AM177,IF(K179="MEGA",PR!$AN177,IF(K179="MICRONOVA",PR!$AO177,IF(K179="MFLASH",PR!$AP177,IF(K179="MORISON",PR!$AQ177,IF(K179="NEMEL",PR!$AR177,IF(K179="NHP",PR!$AS177,IF(K179="NHC",PR!$AT177,IF(K179="OLEAF",PR!$AU177,IF(K179="OCULUS",PR!$AV177,IF(K179="PACIFIC",PR!$AW177,IF(K179="PHAMATEX",PR!$AX177,IF(K179="PETHICS",PR!$AY177,IF(K179="PHILIPS",PR!$AZ177,IF(K179="RANBAXY",PR!$BA177,IF(K179="REALS",PR!$BB177,IF(K179="ROYAL",PR!$BC177,IF(K179="SAM",PR!$BD177,IF(K179="SEAGREEN",PR!$BE177,IF(K179="SKG",PR!$BF177,IF(K179="TAH",PR!$BG177,IF(K179="TAYLEK",PR!$BH177,IF(K179="TEMITA",PR!$BI177,IF(K179="THL",PR!$BJ177,IF(K179="UBASTIC",PR!$BK177,IF(K179="UNION",PR!$BL177,IF(K179="UNIQUE",PR!$BM177,IF(K179="VIXA",PR!$BN177,IF(K179="WWCV",PR!$BO177,IF(K179="ZOLON",PR!$BP177,"-")))))))))))))))))))))))))))))))))))))))))))))))))))))))))))))))))</f>
        <v>-</v>
      </c>
    </row>
    <row r="180" spans="1:12" ht="18.75" x14ac:dyDescent="0.3">
      <c r="A180" s="430">
        <f>PR!A178</f>
        <v>157</v>
      </c>
      <c r="B180" s="15" t="str">
        <f>PR!B178</f>
        <v>DICLOFENAC/MISOPROSTOL TAB</v>
      </c>
      <c r="C180" s="113">
        <f>PR!D178</f>
        <v>100</v>
      </c>
      <c r="D180" s="113">
        <f>PR!C178</f>
        <v>600</v>
      </c>
      <c r="E180" s="108">
        <f>IF(F180="ALPHA",PR!$E178,IF(F180="ASSENE",PR!$F178,IF(F180="BIOFEM",PR!$G178,IF(F180="BIOMED",PR!$H178,IF(F180="CHI",PR!$I178,IF(F180="CLARION",PR!$J178,IF(F180="CODIX",PR!$K178,IF(F180="COSMADE",PR!$L178,IF(F180="SANCON",PR!$M178,IF(F180="DEVON",PR!$N178,IF(F180="DORTEMAG",PR!$O178,IF(F180="DGF",PR!$P178,IF(F180="DYNAMIC",PR!$Q178,IF(F180="EMZOR",PR!$R178,IF(F180="EUMATT",PR!$S178,IF(F180="FIDSON",PR!$T178,IF(F180="FCGLOBAL",PR!$U178,IF(F180="GENEITH",PR!$V178,IF(F180="GINOS",PR!$W178,IF(F180="GSK",PR!$X178,IF(F180="GLOBORG",PR!$Y178,IF(F180="GOODNEWS",PR!$Z178,IF(F180="GREENLIFE",PR!$AA178,IF(F180="HLINE",PR!$AB178,IF(F180="ROTECH",PR!$AC178,IF(F180="ISN",PR!$AD178,IF(F180="JAWA",PR!$AE178,IF(F180="LAYO",PR!$AF178,IF(F180="LEADWAY",PR!$AG178,IF(F180="LHV",PR!$AH178,IF(F180="MANOLA",PR!$AI178,IF(F180="MARCSON",PR!$AJ178,IF(F180="M&amp;B",PR!$AK178,IF(F180="MTRUST",PR!$AL178,IF(F180="MWORLD",PR!$AM178,IF(F180="MEGA",PR!$AN178,IF(F180="MICRONOVA",PR!$AO178,IF(F180="MFLASH",PR!$AP178,IF(F180="MORISON",PR!$AQ178,IF(F180="NEMEL",PR!$AR178,IF(F180="NHP",PR!$AS178,IF(F180="NHC",PR!$AT178,IF(F180="OLEAF",PR!$AU178,IF(F180="OCULUS",PR!$AV178,IF(F180="PACIFIC",PR!$AW178,IF(F180="PHAMATEX",PR!$AX178,IF(F180="PETHICS",PR!$AY178,IF(F180="PHILIPS",PR!$AZ178,IF(F180="RANBAXY",PR!$BA178,IF(F180="REALS",PR!$BB178,IF(F180="ROYAL",PR!$BC178,IF(F180="SAM",PR!$BD178,IF(F180="SEAGREEN",PR!$BE178,IF(F180="SKG",PR!$BF178,IF(F180="TAH",PR!$BG178,IF(F180="TAYLEK",PR!$BH178,IF(F180="TEMITA",PR!$BI178,IF(F180="THL",PR!$BJ178,IF(F180="UBASTIC",PR!$BK178,IF(F180="UNION",PR!$BL178,IF(F180="UNIQUE",PR!$BM178,IF(F180="VIXA",PR!$BN178,IF(F180="WWCV",PR!$BO178,IF(F180="ZOLON",PR!$BP178,"-"))))))))))))))))))))))))))))))))))))))))))))))))))))))))))))))))</f>
        <v>5559</v>
      </c>
      <c r="F180" s="102" t="str">
        <f>EV!L221</f>
        <v>WWCV</v>
      </c>
      <c r="G180" s="108">
        <f>IF(H180="ALPHA",PR!$E178,IF(H180="ASSENE",PR!$F178,IF(H180="BIOFEM",PR!$G178,IF(H180="BIOMED",PR!$H178,IF(H180="CHI",PR!$I178,IF(H180="CLARION",PR!$J178,IF(H180="CODIX",PR!$K178,IF(H180="COSMADE",PR!$L178,IF(H180="SANCON",PR!$M178,IF(H180="DEVON",PR!$N178,IF(H180="DORTEMAG",PR!$O178,IF(H180="DGF",PR!$P178,IF(H180="DYNAMIC",PR!$Q178,IF(H180="EMZOR",PR!$R178,IF(H180="EUMATT",PR!$S178,IF(H180="FIDSON",PR!$T178,IF(H180="FCGLOBAL",PR!$U178,IF(H180="GENEITH",PR!$V178,IF(H180="GINOS",PR!$W178,IF(H180="GSK",PR!$X178,IF(H180="GLOBORG",PR!$Y178,IF(H180="GOODNEWS",PR!$Z178,IF(H180="GREENLIFE",PR!$AA178,IF(H180="HLINE",PR!$AB178,IF(H180="ROTECH",PR!$AC178,IF(H180="ISN",PR!$AD178,IF(H180="JAWA",PR!$AE178,IF(H180="LAYO",PR!$AF178,IF(H180="LEADWAY",PR!$AG178,IF(H180="LHV",PR!$AH178,IF(H180="MANOLA",PR!$AI178,IF(H180="MARCSON",PR!$AJ178,IF(H180="M&amp;B",PR!$AK178,IF(H180="MTRUST",PR!$AL178,IF(H180="MWORLD",PR!$AM178,IF(H180="MEGA",PR!$AN178,IF(H180="MICRONOVA",PR!$AO178,IF(H180="MFLASH",PR!$AP178,IF(H180="MORISON",PR!$AQ178,IF(H180="NEMEL",PR!$AR178,IF(H180="NHP",PR!$AS178,IF(H180="NHC",PR!$AT178,IF(H180="OLEAF",PR!$AU178,IF(H180="OCULUS",PR!$AV178,IF(H180="PACIFIC",PR!$AW178,IF(H180="PHAMATEX",PR!$AX178,IF(H180="PETHICS",PR!$AY178,IF(H180="PHILIPS",PR!$AZ178,IF(H180="RANBAXY",PR!$BA178,IF(H180="REALS",PR!$BB178,IF(H180="ROYAL",PR!$BC178,IF(H180="SAM",PR!$BD178,IF(H180="SEAGREEN",PR!$BE178,IF(H180="SKG",PR!$BF178,IF(H180="TAH",PR!$BG178,IF(H180="TAYLEK",PR!$BH178,IF(H180="TEMITA",PR!$BI178,IF(H180="THL",PR!$BJ178,IF(H180="UBASTIC",PR!$BK178,IF(H180="UNION",PR!$BL178,IF(H180="UNIQUE",PR!$BM178,IF(H180="VIXA",PR!$BN178,IF(H180="WWCV",PR!$BO178,IF(H180="ZOLON",PR!$BP178,"-"))))))))))))))))))))))))))))))))))))))))))))))))))))))))))))))))</f>
        <v>5559</v>
      </c>
      <c r="H180" s="102" t="str">
        <f>EV!M221</f>
        <v>NHC</v>
      </c>
      <c r="I180" s="108">
        <f>IF(J180="ALPHA",PR!$E178,IF(J180="ASSENE",PR!$F178,IF(J180="BIOFEM",PR!$G178,IF(J180="BIOMED",PR!$H178,IF(J180="CHI",PR!$I178,IF(J180="CLARION",PR!$J178,IF(J180="CODIX",PR!$K178,IF(J180="COSMADE",PR!$L178,IF(J180="SANCON",PR!$M178,IF(J180="DEVON",PR!$N178,IF(J180="DORTEMAG",PR!$O178,IF(J180="DGF",PR!$P178,IF(J180="DYNAMIC",PR!$Q178,IF(J180="EMZOR",PR!$R178,IF(J180="EUMATT",PR!$S178,IF(J180="FIDSON",PR!$T178,IF(J180="FCGLOBAL",PR!$U178,IF(J180="GENEITH",PR!$V178,IF(J180="GINOS",PR!$W178,IF(J180="GSK",PR!$X178,IF(J180="GLOBORG",PR!$Y178,IF(J180="GOODNEWS",PR!$Z178,IF(J180="GREENLIFE",PR!$AA178,IF(J180="HLINE",PR!$AB178,IF(J180="ROTECH",PR!$AC178,IF(J180="ISN",PR!$AD178,IF(J180="JAWA",PR!$AE178,IF(J180="LAYO",PR!$AF178,IF(J180="LEADWAY",PR!$AG178,IF(J180="LHV",PR!$AH178,IF(J180="MANOLA",PR!$AI178,IF(J180="MARCSON",PR!$AJ178,IF(J180="M&amp;B",PR!$AK178,IF(J180="MTRUST",PR!$AL178,IF(J180="MWORLD",PR!$AM178,IF(J180="MEGA",PR!$AN178,IF(J180="MICRONOVA",PR!$AO178,IF(J180="MFLASH",PR!$AP178,IF(J180="MORISON",PR!$AQ178,IF(J180="NEMEL",PR!$AR178,IF(J180="NHP",PR!$AS178,IF(J180="NHC",PR!$AT178,IF(J180="OLEAF",PR!$AU178,IF(J180="OCULUS",PR!$AV178,IF(J180="PACIFIC",PR!$AW178,IF(J180="PHAMATEX",PR!$AX178,IF(J180="PETHICS",PR!$AY178,IF(J180="PHILIPS",PR!$AZ178,IF(J180="RANBAXY",PR!$BA178,IF(J180="REALS",PR!$BB178,IF(J180="ROYAL",PR!$BC178,IF(J180="SAM",PR!$BD178,IF(J180="SEAGREEN",PR!$BE178,IF(J180="SKG",PR!$BF178,IF(J180="TAH",PR!$BG178,IF(J180="TAYLEK",PR!$BH178,IF(J180="TEMITA",PR!$BI178,IF(J180="THL",PR!$BJ178,IF(J180="UBASTIC",PR!$BK178,IF(J180="UNION",PR!$BL178,IF(J180="UNIQUE",PR!$BM178,IF(J180="VIXA",PR!$BN178,IF(J180="WWCV",PR!$BO178,IF(J180="ZOLON",PR!$BP178,"-"))))))))))))))))))))))))))))))))))))))))))))))))))))))))))))))))</f>
        <v>6000</v>
      </c>
      <c r="J180" s="102" t="str">
        <f>EV!N221</f>
        <v>EUMATT</v>
      </c>
      <c r="K180" s="433" t="s">
        <v>1246</v>
      </c>
      <c r="L180" s="183">
        <f>IF(K180&gt;0,IF(K180="ALPHA",PR!$E178,IF(K180="ASSENE",PR!$F178,IF(K180="BIOFEM",PR!$G178,IF(K180="BIOMED",PR!$H178,IF(K180="CHI",PR!$I178,IF(K180="CLARION",PR!$J178,IF(K180="CODIX",PR!$K178,IF(K180="COSMADE",PR!$L178,IF(K180="SANCON",PR!$M178,IF(K180="DEVON",PR!$N178,IF(K180="DORTEMAG",PR!$O178,IF(K180="DGF",PR!$P178,IF(K180="DYNAMIC",PR!$Q178,IF(K180="EMZOR",PR!$R178,IF(K180="EUMATT",PR!$S178,IF(K180="FIDSON",PR!$T178,IF(K180="FCGLOBAL",PR!$U178,IF(K180="GENEITH",PR!$V178,IF(K180="GINOS",PR!$W178,IF(K180="GSK",PR!$X178,IF(K180="GLOBORG",PR!$Y178,IF(K180="GOODNEWS",PR!$Z178,IF(K180="GREENLIFE",PR!$AA178,IF(K180="HLINE",PR!$AB178,IF(K180="ROTECH",PR!$AC178,IF(K180="ISN",PR!$AD178,IF(K180="JAWA",PR!$AE178,IF(K180="LAYO",PR!$AF178,IF(K180="LEADWAY",PR!$AG178,IF(K180="LHV",PR!$AH178,IF(K180="MANOLA",PR!$AI178,IF(K180="MARCSON",PR!$AJ178,IF(K180="M&amp;B",PR!$AK178,IF(K180="MTRUST",PR!$AL178,IF(K180="MWORLD",PR!$AM178,IF(K180="MEGA",PR!$AN178,IF(K180="MICRONOVA",PR!$AO178,IF(K180="MFLASH",PR!$AP178,IF(K180="MORISON",PR!$AQ178,IF(K180="NEMEL",PR!$AR178,IF(K180="NHP",PR!$AS178,IF(K180="NHC",PR!$AT178,IF(K180="OLEAF",PR!$AU178,IF(K180="OCULUS",PR!$AV178,IF(K180="PACIFIC",PR!$AW178,IF(K180="PHAMATEX",PR!$AX178,IF(K180="PETHICS",PR!$AY178,IF(K180="PHILIPS",PR!$AZ178,IF(K180="RANBAXY",PR!$BA178,IF(K180="REALS",PR!$BB178,IF(K180="ROYAL",PR!$BC178,IF(K180="SAM",PR!$BD178,IF(K180="SEAGREEN",PR!$BE178,IF(K180="SKG",PR!$BF178,IF(K180="TAH",PR!$BG178,IF(K180="TAYLEK",PR!$BH178,IF(K180="TEMITA",PR!$BI178,IF(K180="THL",PR!$BJ178,IF(K180="UBASTIC",PR!$BK178,IF(K180="UNION",PR!$BL178,IF(K180="UNIQUE",PR!$BM178,IF(K180="VIXA",PR!$BN178,IF(K180="WWCV",PR!$BO178,IF(K180="ZOLON",PR!$BP178,"-")))))))))))))))))))))))))))))))))))))))))))))))))))))))))))))))))</f>
        <v>5559</v>
      </c>
    </row>
    <row r="181" spans="1:12" ht="18.75" x14ac:dyDescent="0.3">
      <c r="A181" s="430">
        <f>PR!A179</f>
        <v>158</v>
      </c>
      <c r="B181" s="15" t="str">
        <f>PR!B179</f>
        <v xml:space="preserve">DICLOFENAC/PARACETAMOL </v>
      </c>
      <c r="C181" s="113">
        <f>PR!D179</f>
        <v>20</v>
      </c>
      <c r="D181" s="113">
        <f>PR!C179</f>
        <v>400</v>
      </c>
      <c r="E181" s="108">
        <f>IF(F181="ALPHA",PR!$E179,IF(F181="ASSENE",PR!$F179,IF(F181="BIOFEM",PR!$G179,IF(F181="BIOMED",PR!$H179,IF(F181="CHI",PR!$I179,IF(F181="CLARION",PR!$J179,IF(F181="CODIX",PR!$K179,IF(F181="COSMADE",PR!$L179,IF(F181="SANCON",PR!$M179,IF(F181="DEVON",PR!$N179,IF(F181="DORTEMAG",PR!$O179,IF(F181="DGF",PR!$P179,IF(F181="DYNAMIC",PR!$Q179,IF(F181="EMZOR",PR!$R179,IF(F181="EUMATT",PR!$S179,IF(F181="FIDSON",PR!$T179,IF(F181="FCGLOBAL",PR!$U179,IF(F181="GENEITH",PR!$V179,IF(F181="GINOS",PR!$W179,IF(F181="GSK",PR!$X179,IF(F181="GLOBORG",PR!$Y179,IF(F181="GOODNEWS",PR!$Z179,IF(F181="GREENLIFE",PR!$AA179,IF(F181="HLINE",PR!$AB179,IF(F181="ROTECH",PR!$AC179,IF(F181="ISN",PR!$AD179,IF(F181="JAWA",PR!$AE179,IF(F181="LAYO",PR!$AF179,IF(F181="LEADWAY",PR!$AG179,IF(F181="LHV",PR!$AH179,IF(F181="MANOLA",PR!$AI179,IF(F181="MARCSON",PR!$AJ179,IF(F181="M&amp;B",PR!$AK179,IF(F181="MTRUST",PR!$AL179,IF(F181="MWORLD",PR!$AM179,IF(F181="MEGA",PR!$AN179,IF(F181="MICRONOVA",PR!$AO179,IF(F181="MFLASH",PR!$AP179,IF(F181="MORISON",PR!$AQ179,IF(F181="NEMEL",PR!$AR179,IF(F181="NHP",PR!$AS179,IF(F181="NHC",PR!$AT179,IF(F181="OLEAF",PR!$AU179,IF(F181="OCULUS",PR!$AV179,IF(F181="PACIFIC",PR!$AW179,IF(F181="PHAMATEX",PR!$AX179,IF(F181="PETHICS",PR!$AY179,IF(F181="PHILIPS",PR!$AZ179,IF(F181="RANBAXY",PR!$BA179,IF(F181="REALS",PR!$BB179,IF(F181="ROYAL",PR!$BC179,IF(F181="SAM",PR!$BD179,IF(F181="SEAGREEN",PR!$BE179,IF(F181="SKG",PR!$BF179,IF(F181="TAH",PR!$BG179,IF(F181="TAYLEK",PR!$BH179,IF(F181="TEMITA",PR!$BI179,IF(F181="THL",PR!$BJ179,IF(F181="UBASTIC",PR!$BK179,IF(F181="UNION",PR!$BL179,IF(F181="UNIQUE",PR!$BM179,IF(F181="VIXA",PR!$BN179,IF(F181="WWCV",PR!$BO179,IF(F181="ZOLON",PR!$BP179,"-"))))))))))))))))))))))))))))))))))))))))))))))))))))))))))))))))</f>
        <v>120</v>
      </c>
      <c r="F181" s="102" t="str">
        <f>EV!L222</f>
        <v>CLARION</v>
      </c>
      <c r="G181" s="108">
        <f>IF(H181="ALPHA",PR!$E179,IF(H181="ASSENE",PR!$F179,IF(H181="BIOFEM",PR!$G179,IF(H181="BIOMED",PR!$H179,IF(H181="CHI",PR!$I179,IF(H181="CLARION",PR!$J179,IF(H181="CODIX",PR!$K179,IF(H181="COSMADE",PR!$L179,IF(H181="SANCON",PR!$M179,IF(H181="DEVON",PR!$N179,IF(H181="DORTEMAG",PR!$O179,IF(H181="DGF",PR!$P179,IF(H181="DYNAMIC",PR!$Q179,IF(H181="EMZOR",PR!$R179,IF(H181="EUMATT",PR!$S179,IF(H181="FIDSON",PR!$T179,IF(H181="FCGLOBAL",PR!$U179,IF(H181="GENEITH",PR!$V179,IF(H181="GINOS",PR!$W179,IF(H181="GSK",PR!$X179,IF(H181="GLOBORG",PR!$Y179,IF(H181="GOODNEWS",PR!$Z179,IF(H181="GREENLIFE",PR!$AA179,IF(H181="HLINE",PR!$AB179,IF(H181="ROTECH",PR!$AC179,IF(H181="ISN",PR!$AD179,IF(H181="JAWA",PR!$AE179,IF(H181="LAYO",PR!$AF179,IF(H181="LEADWAY",PR!$AG179,IF(H181="LHV",PR!$AH179,IF(H181="MANOLA",PR!$AI179,IF(H181="MARCSON",PR!$AJ179,IF(H181="M&amp;B",PR!$AK179,IF(H181="MTRUST",PR!$AL179,IF(H181="MWORLD",PR!$AM179,IF(H181="MEGA",PR!$AN179,IF(H181="MICRONOVA",PR!$AO179,IF(H181="MFLASH",PR!$AP179,IF(H181="MORISON",PR!$AQ179,IF(H181="NEMEL",PR!$AR179,IF(H181="NHP",PR!$AS179,IF(H181="NHC",PR!$AT179,IF(H181="OLEAF",PR!$AU179,IF(H181="OCULUS",PR!$AV179,IF(H181="PACIFIC",PR!$AW179,IF(H181="PHAMATEX",PR!$AX179,IF(H181="PETHICS",PR!$AY179,IF(H181="PHILIPS",PR!$AZ179,IF(H181="RANBAXY",PR!$BA179,IF(H181="REALS",PR!$BB179,IF(H181="ROYAL",PR!$BC179,IF(H181="SAM",PR!$BD179,IF(H181="SEAGREEN",PR!$BE179,IF(H181="SKG",PR!$BF179,IF(H181="TAH",PR!$BG179,IF(H181="TAYLEK",PR!$BH179,IF(H181="TEMITA",PR!$BI179,IF(H181="THL",PR!$BJ179,IF(H181="UBASTIC",PR!$BK179,IF(H181="UNION",PR!$BL179,IF(H181="UNIQUE",PR!$BM179,IF(H181="VIXA",PR!$BN179,IF(H181="WWCV",PR!$BO179,IF(H181="ZOLON",PR!$BP179,"-"))))))))))))))))))))))))))))))))))))))))))))))))))))))))))))))))</f>
        <v>130</v>
      </c>
      <c r="H181" s="102" t="str">
        <f>EV!M222</f>
        <v>GREENLIFE</v>
      </c>
      <c r="I181" s="108">
        <f>IF(J181="ALPHA",PR!$E179,IF(J181="ASSENE",PR!$F179,IF(J181="BIOFEM",PR!$G179,IF(J181="BIOMED",PR!$H179,IF(J181="CHI",PR!$I179,IF(J181="CLARION",PR!$J179,IF(J181="CODIX",PR!$K179,IF(J181="COSMADE",PR!$L179,IF(J181="SANCON",PR!$M179,IF(J181="DEVON",PR!$N179,IF(J181="DORTEMAG",PR!$O179,IF(J181="DGF",PR!$P179,IF(J181="DYNAMIC",PR!$Q179,IF(J181="EMZOR",PR!$R179,IF(J181="EUMATT",PR!$S179,IF(J181="FIDSON",PR!$T179,IF(J181="FCGLOBAL",PR!$U179,IF(J181="GENEITH",PR!$V179,IF(J181="GINOS",PR!$W179,IF(J181="GSK",PR!$X179,IF(J181="GLOBORG",PR!$Y179,IF(J181="GOODNEWS",PR!$Z179,IF(J181="GREENLIFE",PR!$AA179,IF(J181="HLINE",PR!$AB179,IF(J181="ROTECH",PR!$AC179,IF(J181="ISN",PR!$AD179,IF(J181="JAWA",PR!$AE179,IF(J181="LAYO",PR!$AF179,IF(J181="LEADWAY",PR!$AG179,IF(J181="LHV",PR!$AH179,IF(J181="MANOLA",PR!$AI179,IF(J181="MARCSON",PR!$AJ179,IF(J181="M&amp;B",PR!$AK179,IF(J181="MTRUST",PR!$AL179,IF(J181="MWORLD",PR!$AM179,IF(J181="MEGA",PR!$AN179,IF(J181="MICRONOVA",PR!$AO179,IF(J181="MFLASH",PR!$AP179,IF(J181="MORISON",PR!$AQ179,IF(J181="NEMEL",PR!$AR179,IF(J181="NHP",PR!$AS179,IF(J181="NHC",PR!$AT179,IF(J181="OLEAF",PR!$AU179,IF(J181="OCULUS",PR!$AV179,IF(J181="PACIFIC",PR!$AW179,IF(J181="PHAMATEX",PR!$AX179,IF(J181="PETHICS",PR!$AY179,IF(J181="PHILIPS",PR!$AZ179,IF(J181="RANBAXY",PR!$BA179,IF(J181="REALS",PR!$BB179,IF(J181="ROYAL",PR!$BC179,IF(J181="SAM",PR!$BD179,IF(J181="SEAGREEN",PR!$BE179,IF(J181="SKG",PR!$BF179,IF(J181="TAH",PR!$BG179,IF(J181="TAYLEK",PR!$BH179,IF(J181="TEMITA",PR!$BI179,IF(J181="THL",PR!$BJ179,IF(J181="UBASTIC",PR!$BK179,IF(J181="UNION",PR!$BL179,IF(J181="UNIQUE",PR!$BM179,IF(J181="VIXA",PR!$BN179,IF(J181="WWCV",PR!$BO179,IF(J181="ZOLON",PR!$BP179,"-"))))))))))))))))))))))))))))))))))))))))))))))))))))))))))))))))</f>
        <v>150</v>
      </c>
      <c r="J181" s="102" t="str">
        <f>EV!N222</f>
        <v>THL</v>
      </c>
      <c r="K181" s="433" t="s">
        <v>1235</v>
      </c>
      <c r="L181" s="183">
        <f>IF(K181&gt;0,IF(K181="ALPHA",PR!$E179,IF(K181="ASSENE",PR!$F179,IF(K181="BIOFEM",PR!$G179,IF(K181="BIOMED",PR!$H179,IF(K181="CHI",PR!$I179,IF(K181="CLARION",PR!$J179,IF(K181="CODIX",PR!$K179,IF(K181="COSMADE",PR!$L179,IF(K181="SANCON",PR!$M179,IF(K181="DEVON",PR!$N179,IF(K181="DORTEMAG",PR!$O179,IF(K181="DGF",PR!$P179,IF(K181="DYNAMIC",PR!$Q179,IF(K181="EMZOR",PR!$R179,IF(K181="EUMATT",PR!$S179,IF(K181="FIDSON",PR!$T179,IF(K181="FCGLOBAL",PR!$U179,IF(K181="GENEITH",PR!$V179,IF(K181="GINOS",PR!$W179,IF(K181="GSK",PR!$X179,IF(K181="GLOBORG",PR!$Y179,IF(K181="GOODNEWS",PR!$Z179,IF(K181="GREENLIFE",PR!$AA179,IF(K181="HLINE",PR!$AB179,IF(K181="ROTECH",PR!$AC179,IF(K181="ISN",PR!$AD179,IF(K181="JAWA",PR!$AE179,IF(K181="LAYO",PR!$AF179,IF(K181="LEADWAY",PR!$AG179,IF(K181="LHV",PR!$AH179,IF(K181="MANOLA",PR!$AI179,IF(K181="MARCSON",PR!$AJ179,IF(K181="M&amp;B",PR!$AK179,IF(K181="MTRUST",PR!$AL179,IF(K181="MWORLD",PR!$AM179,IF(K181="MEGA",PR!$AN179,IF(K181="MICRONOVA",PR!$AO179,IF(K181="MFLASH",PR!$AP179,IF(K181="MORISON",PR!$AQ179,IF(K181="NEMEL",PR!$AR179,IF(K181="NHP",PR!$AS179,IF(K181="NHC",PR!$AT179,IF(K181="OLEAF",PR!$AU179,IF(K181="OCULUS",PR!$AV179,IF(K181="PACIFIC",PR!$AW179,IF(K181="PHAMATEX",PR!$AX179,IF(K181="PETHICS",PR!$AY179,IF(K181="PHILIPS",PR!$AZ179,IF(K181="RANBAXY",PR!$BA179,IF(K181="REALS",PR!$BB179,IF(K181="ROYAL",PR!$BC179,IF(K181="SAM",PR!$BD179,IF(K181="SEAGREEN",PR!$BE179,IF(K181="SKG",PR!$BF179,IF(K181="TAH",PR!$BG179,IF(K181="TAYLEK",PR!$BH179,IF(K181="TEMITA",PR!$BI179,IF(K181="THL",PR!$BJ179,IF(K181="UBASTIC",PR!$BK179,IF(K181="UNION",PR!$BL179,IF(K181="UNIQUE",PR!$BM179,IF(K181="VIXA",PR!$BN179,IF(K181="WWCV",PR!$BO179,IF(K181="ZOLON",PR!$BP179,"-")))))))))))))))))))))))))))))))))))))))))))))))))))))))))))))))))</f>
        <v>150</v>
      </c>
    </row>
    <row r="182" spans="1:12" ht="18.75" x14ac:dyDescent="0.3">
      <c r="A182" s="430">
        <f>PR!A180</f>
        <v>159</v>
      </c>
      <c r="B182" s="15" t="str">
        <f>PR!B180</f>
        <v>DIHYDROCODEINE TAB (DF118)</v>
      </c>
      <c r="C182" s="113">
        <f>PR!D180</f>
        <v>100</v>
      </c>
      <c r="D182" s="113">
        <f>PR!C180</f>
        <v>32</v>
      </c>
      <c r="E182" s="108">
        <f>IF(F182="ALPHA",PR!$E180,IF(F182="ASSENE",PR!$F180,IF(F182="BIOFEM",PR!$G180,IF(F182="BIOMED",PR!$H180,IF(F182="CHI",PR!$I180,IF(F182="CLARION",PR!$J180,IF(F182="CODIX",PR!$K180,IF(F182="COSMADE",PR!$L180,IF(F182="SANCON",PR!$M180,IF(F182="DEVON",PR!$N180,IF(F182="DORTEMAG",PR!$O180,IF(F182="DGF",PR!$P180,IF(F182="DYNAMIC",PR!$Q180,IF(F182="EMZOR",PR!$R180,IF(F182="EUMATT",PR!$S180,IF(F182="FIDSON",PR!$T180,IF(F182="FCGLOBAL",PR!$U180,IF(F182="GENEITH",PR!$V180,IF(F182="GINOS",PR!$W180,IF(F182="GSK",PR!$X180,IF(F182="GLOBORG",PR!$Y180,IF(F182="GOODNEWS",PR!$Z180,IF(F182="GREENLIFE",PR!$AA180,IF(F182="HLINE",PR!$AB180,IF(F182="ROTECH",PR!$AC180,IF(F182="ISN",PR!$AD180,IF(F182="JAWA",PR!$AE180,IF(F182="LAYO",PR!$AF180,IF(F182="LEADWAY",PR!$AG180,IF(F182="LHV",PR!$AH180,IF(F182="MANOLA",PR!$AI180,IF(F182="MARCSON",PR!$AJ180,IF(F182="M&amp;B",PR!$AK180,IF(F182="MTRUST",PR!$AL180,IF(F182="MWORLD",PR!$AM180,IF(F182="MEGA",PR!$AN180,IF(F182="MICRONOVA",PR!$AO180,IF(F182="MFLASH",PR!$AP180,IF(F182="MORISON",PR!$AQ180,IF(F182="NEMEL",PR!$AR180,IF(F182="NHP",PR!$AS180,IF(F182="NHC",PR!$AT180,IF(F182="OLEAF",PR!$AU180,IF(F182="OCULUS",PR!$AV180,IF(F182="PACIFIC",PR!$AW180,IF(F182="PHAMATEX",PR!$AX180,IF(F182="PETHICS",PR!$AY180,IF(F182="PHILIPS",PR!$AZ180,IF(F182="RANBAXY",PR!$BA180,IF(F182="REALS",PR!$BB180,IF(F182="ROYAL",PR!$BC180,IF(F182="SAM",PR!$BD180,IF(F182="SEAGREEN",PR!$BE180,IF(F182="SKG",PR!$BF180,IF(F182="TAH",PR!$BG180,IF(F182="TAYLEK",PR!$BH180,IF(F182="TEMITA",PR!$BI180,IF(F182="THL",PR!$BJ180,IF(F182="UBASTIC",PR!$BK180,IF(F182="UNION",PR!$BL180,IF(F182="UNIQUE",PR!$BM180,IF(F182="VIXA",PR!$BN180,IF(F182="WWCV",PR!$BO180,IF(F182="ZOLON",PR!$BP180,"-"))))))))))))))))))))))))))))))))))))))))))))))))))))))))))))))))</f>
        <v>5000</v>
      </c>
      <c r="F182" s="102" t="str">
        <f>EV!L223</f>
        <v>EUMATT</v>
      </c>
      <c r="G182" s="108" t="str">
        <f>IF(H182="ALPHA",PR!$E180,IF(H182="ASSENE",PR!$F180,IF(H182="BIOFEM",PR!$G180,IF(H182="BIOMED",PR!$H180,IF(H182="CHI",PR!$I180,IF(H182="CLARION",PR!$J180,IF(H182="CODIX",PR!$K180,IF(H182="COSMADE",PR!$L180,IF(H182="SANCON",PR!$M180,IF(H182="DEVON",PR!$N180,IF(H182="DORTEMAG",PR!$O180,IF(H182="DGF",PR!$P180,IF(H182="DYNAMIC",PR!$Q180,IF(H182="EMZOR",PR!$R180,IF(H182="EUMATT",PR!$S180,IF(H182="FIDSON",PR!$T180,IF(H182="FCGLOBAL",PR!$U180,IF(H182="GENEITH",PR!$V180,IF(H182="GINOS",PR!$W180,IF(H182="GSK",PR!$X180,IF(H182="GLOBORG",PR!$Y180,IF(H182="GOODNEWS",PR!$Z180,IF(H182="GREENLIFE",PR!$AA180,IF(H182="HLINE",PR!$AB180,IF(H182="ROTECH",PR!$AC180,IF(H182="ISN",PR!$AD180,IF(H182="JAWA",PR!$AE180,IF(H182="LAYO",PR!$AF180,IF(H182="LEADWAY",PR!$AG180,IF(H182="LHV",PR!$AH180,IF(H182="MANOLA",PR!$AI180,IF(H182="MARCSON",PR!$AJ180,IF(H182="M&amp;B",PR!$AK180,IF(H182="MTRUST",PR!$AL180,IF(H182="MWORLD",PR!$AM180,IF(H182="MEGA",PR!$AN180,IF(H182="MICRONOVA",PR!$AO180,IF(H182="MFLASH",PR!$AP180,IF(H182="MORISON",PR!$AQ180,IF(H182="NEMEL",PR!$AR180,IF(H182="NHP",PR!$AS180,IF(H182="NHC",PR!$AT180,IF(H182="OLEAF",PR!$AU180,IF(H182="OCULUS",PR!$AV180,IF(H182="PACIFIC",PR!$AW180,IF(H182="PHAMATEX",PR!$AX180,IF(H182="PETHICS",PR!$AY180,IF(H182="PHILIPS",PR!$AZ180,IF(H182="RANBAXY",PR!$BA180,IF(H182="REALS",PR!$BB180,IF(H182="ROYAL",PR!$BC180,IF(H182="SAM",PR!$BD180,IF(H182="SEAGREEN",PR!$BE180,IF(H182="SKG",PR!$BF180,IF(H182="TAH",PR!$BG180,IF(H182="TAYLEK",PR!$BH180,IF(H182="TEMITA",PR!$BI180,IF(H182="THL",PR!$BJ180,IF(H182="UBASTIC",PR!$BK180,IF(H182="UNION",PR!$BL180,IF(H182="UNIQUE",PR!$BM180,IF(H182="VIXA",PR!$BN180,IF(H182="WWCV",PR!$BO180,IF(H182="ZOLON",PR!$BP180,"-"))))))))))))))))))))))))))))))))))))))))))))))))))))))))))))))))</f>
        <v>-</v>
      </c>
      <c r="H182" s="102">
        <f>EV!M223</f>
        <v>0</v>
      </c>
      <c r="I182" s="108" t="str">
        <f>IF(J182="ALPHA",PR!$E180,IF(J182="ASSENE",PR!$F180,IF(J182="BIOFEM",PR!$G180,IF(J182="BIOMED",PR!$H180,IF(J182="CHI",PR!$I180,IF(J182="CLARION",PR!$J180,IF(J182="CODIX",PR!$K180,IF(J182="COSMADE",PR!$L180,IF(J182="SANCON",PR!$M180,IF(J182="DEVON",PR!$N180,IF(J182="DORTEMAG",PR!$O180,IF(J182="DGF",PR!$P180,IF(J182="DYNAMIC",PR!$Q180,IF(J182="EMZOR",PR!$R180,IF(J182="EUMATT",PR!$S180,IF(J182="FIDSON",PR!$T180,IF(J182="FCGLOBAL",PR!$U180,IF(J182="GENEITH",PR!$V180,IF(J182="GINOS",PR!$W180,IF(J182="GSK",PR!$X180,IF(J182="GLOBORG",PR!$Y180,IF(J182="GOODNEWS",PR!$Z180,IF(J182="GREENLIFE",PR!$AA180,IF(J182="HLINE",PR!$AB180,IF(J182="ROTECH",PR!$AC180,IF(J182="ISN",PR!$AD180,IF(J182="JAWA",PR!$AE180,IF(J182="LAYO",PR!$AF180,IF(J182="LEADWAY",PR!$AG180,IF(J182="LHV",PR!$AH180,IF(J182="MANOLA",PR!$AI180,IF(J182="MARCSON",PR!$AJ180,IF(J182="M&amp;B",PR!$AK180,IF(J182="MTRUST",PR!$AL180,IF(J182="MWORLD",PR!$AM180,IF(J182="MEGA",PR!$AN180,IF(J182="MICRONOVA",PR!$AO180,IF(J182="MFLASH",PR!$AP180,IF(J182="MORISON",PR!$AQ180,IF(J182="NEMEL",PR!$AR180,IF(J182="NHP",PR!$AS180,IF(J182="NHC",PR!$AT180,IF(J182="OLEAF",PR!$AU180,IF(J182="OCULUS",PR!$AV180,IF(J182="PACIFIC",PR!$AW180,IF(J182="PHAMATEX",PR!$AX180,IF(J182="PETHICS",PR!$AY180,IF(J182="PHILIPS",PR!$AZ180,IF(J182="RANBAXY",PR!$BA180,IF(J182="REALS",PR!$BB180,IF(J182="ROYAL",PR!$BC180,IF(J182="SAM",PR!$BD180,IF(J182="SEAGREEN",PR!$BE180,IF(J182="SKG",PR!$BF180,IF(J182="TAH",PR!$BG180,IF(J182="TAYLEK",PR!$BH180,IF(J182="TEMITA",PR!$BI180,IF(J182="THL",PR!$BJ180,IF(J182="UBASTIC",PR!$BK180,IF(J182="UNION",PR!$BL180,IF(J182="UNIQUE",PR!$BM180,IF(J182="VIXA",PR!$BN180,IF(J182="WWCV",PR!$BO180,IF(J182="ZOLON",PR!$BP180,"-"))))))))))))))))))))))))))))))))))))))))))))))))))))))))))))))))</f>
        <v>-</v>
      </c>
      <c r="J182" s="102">
        <f>EV!N223</f>
        <v>0</v>
      </c>
      <c r="K182" s="433" t="s">
        <v>821</v>
      </c>
      <c r="L182" s="183">
        <f>IF(K182&gt;0,IF(K182="ALPHA",PR!$E180,IF(K182="ASSENE",PR!$F180,IF(K182="BIOFEM",PR!$G180,IF(K182="BIOMED",PR!$H180,IF(K182="CHI",PR!$I180,IF(K182="CLARION",PR!$J180,IF(K182="CODIX",PR!$K180,IF(K182="COSMADE",PR!$L180,IF(K182="SANCON",PR!$M180,IF(K182="DEVON",PR!$N180,IF(K182="DORTEMAG",PR!$O180,IF(K182="DGF",PR!$P180,IF(K182="DYNAMIC",PR!$Q180,IF(K182="EMZOR",PR!$R180,IF(K182="EUMATT",PR!$S180,IF(K182="FIDSON",PR!$T180,IF(K182="FCGLOBAL",PR!$U180,IF(K182="GENEITH",PR!$V180,IF(K182="GINOS",PR!$W180,IF(K182="GSK",PR!$X180,IF(K182="GLOBORG",PR!$Y180,IF(K182="GOODNEWS",PR!$Z180,IF(K182="GREENLIFE",PR!$AA180,IF(K182="HLINE",PR!$AB180,IF(K182="ROTECH",PR!$AC180,IF(K182="ISN",PR!$AD180,IF(K182="JAWA",PR!$AE180,IF(K182="LAYO",PR!$AF180,IF(K182="LEADWAY",PR!$AG180,IF(K182="LHV",PR!$AH180,IF(K182="MANOLA",PR!$AI180,IF(K182="MARCSON",PR!$AJ180,IF(K182="M&amp;B",PR!$AK180,IF(K182="MTRUST",PR!$AL180,IF(K182="MWORLD",PR!$AM180,IF(K182="MEGA",PR!$AN180,IF(K182="MICRONOVA",PR!$AO180,IF(K182="MFLASH",PR!$AP180,IF(K182="MORISON",PR!$AQ180,IF(K182="NEMEL",PR!$AR180,IF(K182="NHP",PR!$AS180,IF(K182="NHC",PR!$AT180,IF(K182="OLEAF",PR!$AU180,IF(K182="OCULUS",PR!$AV180,IF(K182="PACIFIC",PR!$AW180,IF(K182="PHAMATEX",PR!$AX180,IF(K182="PETHICS",PR!$AY180,IF(K182="PHILIPS",PR!$AZ180,IF(K182="RANBAXY",PR!$BA180,IF(K182="REALS",PR!$BB180,IF(K182="ROYAL",PR!$BC180,IF(K182="SAM",PR!$BD180,IF(K182="SEAGREEN",PR!$BE180,IF(K182="SKG",PR!$BF180,IF(K182="TAH",PR!$BG180,IF(K182="TAYLEK",PR!$BH180,IF(K182="TEMITA",PR!$BI180,IF(K182="THL",PR!$BJ180,IF(K182="UBASTIC",PR!$BK180,IF(K182="UNION",PR!$BL180,IF(K182="UNIQUE",PR!$BM180,IF(K182="VIXA",PR!$BN180,IF(K182="WWCV",PR!$BO180,IF(K182="ZOLON",PR!$BP180,"-")))))))))))))))))))))))))))))))))))))))))))))))))))))))))))))))))</f>
        <v>5000</v>
      </c>
    </row>
    <row r="183" spans="1:12" ht="18.75" x14ac:dyDescent="0.3">
      <c r="A183" s="430">
        <f>PR!A181</f>
        <v>160</v>
      </c>
      <c r="B183" s="15" t="str">
        <f>PR!B181</f>
        <v>HYDROXYCHLOROQUINE 200MG TAB</v>
      </c>
      <c r="C183" s="113">
        <f>PR!D181</f>
        <v>20</v>
      </c>
      <c r="D183" s="113">
        <f>PR!C181</f>
        <v>100</v>
      </c>
      <c r="E183" s="108" t="str">
        <f>IF(F183="ALPHA",PR!$E181,IF(F183="ASSENE",PR!$F181,IF(F183="BIOFEM",PR!$G181,IF(F183="BIOMED",PR!$H181,IF(F183="CHI",PR!$I181,IF(F183="CLARION",PR!$J181,IF(F183="CODIX",PR!$K181,IF(F183="COSMADE",PR!$L181,IF(F183="SANCON",PR!$M181,IF(F183="DEVON",PR!$N181,IF(F183="DORTEMAG",PR!$O181,IF(F183="DGF",PR!$P181,IF(F183="DYNAMIC",PR!$Q181,IF(F183="EMZOR",PR!$R181,IF(F183="EUMATT",PR!$S181,IF(F183="FIDSON",PR!$T181,IF(F183="FCGLOBAL",PR!$U181,IF(F183="GENEITH",PR!$V181,IF(F183="GINOS",PR!$W181,IF(F183="GSK",PR!$X181,IF(F183="GLOBORG",PR!$Y181,IF(F183="GOODNEWS",PR!$Z181,IF(F183="GREENLIFE",PR!$AA181,IF(F183="HLINE",PR!$AB181,IF(F183="ROTECH",PR!$AC181,IF(F183="ISN",PR!$AD181,IF(F183="JAWA",PR!$AE181,IF(F183="LAYO",PR!$AF181,IF(F183="LEADWAY",PR!$AG181,IF(F183="LHV",PR!$AH181,IF(F183="MANOLA",PR!$AI181,IF(F183="MARCSON",PR!$AJ181,IF(F183="M&amp;B",PR!$AK181,IF(F183="MTRUST",PR!$AL181,IF(F183="MWORLD",PR!$AM181,IF(F183="MEGA",PR!$AN181,IF(F183="MICRONOVA",PR!$AO181,IF(F183="MFLASH",PR!$AP181,IF(F183="MORISON",PR!$AQ181,IF(F183="NEMEL",PR!$AR181,IF(F183="NHP",PR!$AS181,IF(F183="NHC",PR!$AT181,IF(F183="OLEAF",PR!$AU181,IF(F183="OCULUS",PR!$AV181,IF(F183="PACIFIC",PR!$AW181,IF(F183="PHAMATEX",PR!$AX181,IF(F183="PETHICS",PR!$AY181,IF(F183="PHILIPS",PR!$AZ181,IF(F183="RANBAXY",PR!$BA181,IF(F183="REALS",PR!$BB181,IF(F183="ROYAL",PR!$BC181,IF(F183="SAM",PR!$BD181,IF(F183="SEAGREEN",PR!$BE181,IF(F183="SKG",PR!$BF181,IF(F183="TAH",PR!$BG181,IF(F183="TAYLEK",PR!$BH181,IF(F183="TEMITA",PR!$BI181,IF(F183="THL",PR!$BJ181,IF(F183="UBASTIC",PR!$BK181,IF(F183="UNION",PR!$BL181,IF(F183="UNIQUE",PR!$BM181,IF(F183="VIXA",PR!$BN181,IF(F183="WWCV",PR!$BO181,IF(F183="ZOLON",PR!$BP181,"-"))))))))))))))))))))))))))))))))))))))))))))))))))))))))))))))))</f>
        <v>-</v>
      </c>
      <c r="F183" s="102">
        <f>EV!L224</f>
        <v>0</v>
      </c>
      <c r="G183" s="108" t="str">
        <f>IF(H183="ALPHA",PR!$E181,IF(H183="ASSENE",PR!$F181,IF(H183="BIOFEM",PR!$G181,IF(H183="BIOMED",PR!$H181,IF(H183="CHI",PR!$I181,IF(H183="CLARION",PR!$J181,IF(H183="CODIX",PR!$K181,IF(H183="COSMADE",PR!$L181,IF(H183="SANCON",PR!$M181,IF(H183="DEVON",PR!$N181,IF(H183="DORTEMAG",PR!$O181,IF(H183="DGF",PR!$P181,IF(H183="DYNAMIC",PR!$Q181,IF(H183="EMZOR",PR!$R181,IF(H183="EUMATT",PR!$S181,IF(H183="FIDSON",PR!$T181,IF(H183="FCGLOBAL",PR!$U181,IF(H183="GENEITH",PR!$V181,IF(H183="GINOS",PR!$W181,IF(H183="GSK",PR!$X181,IF(H183="GLOBORG",PR!$Y181,IF(H183="GOODNEWS",PR!$Z181,IF(H183="GREENLIFE",PR!$AA181,IF(H183="HLINE",PR!$AB181,IF(H183="ROTECH",PR!$AC181,IF(H183="ISN",PR!$AD181,IF(H183="JAWA",PR!$AE181,IF(H183="LAYO",PR!$AF181,IF(H183="LEADWAY",PR!$AG181,IF(H183="LHV",PR!$AH181,IF(H183="MANOLA",PR!$AI181,IF(H183="MARCSON",PR!$AJ181,IF(H183="M&amp;B",PR!$AK181,IF(H183="MTRUST",PR!$AL181,IF(H183="MWORLD",PR!$AM181,IF(H183="MEGA",PR!$AN181,IF(H183="MICRONOVA",PR!$AO181,IF(H183="MFLASH",PR!$AP181,IF(H183="MORISON",PR!$AQ181,IF(H183="NEMEL",PR!$AR181,IF(H183="NHP",PR!$AS181,IF(H183="NHC",PR!$AT181,IF(H183="OLEAF",PR!$AU181,IF(H183="OCULUS",PR!$AV181,IF(H183="PACIFIC",PR!$AW181,IF(H183="PHAMATEX",PR!$AX181,IF(H183="PETHICS",PR!$AY181,IF(H183="PHILIPS",PR!$AZ181,IF(H183="RANBAXY",PR!$BA181,IF(H183="REALS",PR!$BB181,IF(H183="ROYAL",PR!$BC181,IF(H183="SAM",PR!$BD181,IF(H183="SEAGREEN",PR!$BE181,IF(H183="SKG",PR!$BF181,IF(H183="TAH",PR!$BG181,IF(H183="TAYLEK",PR!$BH181,IF(H183="TEMITA",PR!$BI181,IF(H183="THL",PR!$BJ181,IF(H183="UBASTIC",PR!$BK181,IF(H183="UNION",PR!$BL181,IF(H183="UNIQUE",PR!$BM181,IF(H183="VIXA",PR!$BN181,IF(H183="WWCV",PR!$BO181,IF(H183="ZOLON",PR!$BP181,"-"))))))))))))))))))))))))))))))))))))))))))))))))))))))))))))))))</f>
        <v>-</v>
      </c>
      <c r="H183" s="102">
        <f>EV!M224</f>
        <v>0</v>
      </c>
      <c r="I183" s="108" t="str">
        <f>IF(J183="ALPHA",PR!$E181,IF(J183="ASSENE",PR!$F181,IF(J183="BIOFEM",PR!$G181,IF(J183="BIOMED",PR!$H181,IF(J183="CHI",PR!$I181,IF(J183="CLARION",PR!$J181,IF(J183="CODIX",PR!$K181,IF(J183="COSMADE",PR!$L181,IF(J183="SANCON",PR!$M181,IF(J183="DEVON",PR!$N181,IF(J183="DORTEMAG",PR!$O181,IF(J183="DGF",PR!$P181,IF(J183="DYNAMIC",PR!$Q181,IF(J183="EMZOR",PR!$R181,IF(J183="EUMATT",PR!$S181,IF(J183="FIDSON",PR!$T181,IF(J183="FCGLOBAL",PR!$U181,IF(J183="GENEITH",PR!$V181,IF(J183="GINOS",PR!$W181,IF(J183="GSK",PR!$X181,IF(J183="GLOBORG",PR!$Y181,IF(J183="GOODNEWS",PR!$Z181,IF(J183="GREENLIFE",PR!$AA181,IF(J183="HLINE",PR!$AB181,IF(J183="ROTECH",PR!$AC181,IF(J183="ISN",PR!$AD181,IF(J183="JAWA",PR!$AE181,IF(J183="LAYO",PR!$AF181,IF(J183="LEADWAY",PR!$AG181,IF(J183="LHV",PR!$AH181,IF(J183="MANOLA",PR!$AI181,IF(J183="MARCSON",PR!$AJ181,IF(J183="M&amp;B",PR!$AK181,IF(J183="MTRUST",PR!$AL181,IF(J183="MWORLD",PR!$AM181,IF(J183="MEGA",PR!$AN181,IF(J183="MICRONOVA",PR!$AO181,IF(J183="MFLASH",PR!$AP181,IF(J183="MORISON",PR!$AQ181,IF(J183="NEMEL",PR!$AR181,IF(J183="NHP",PR!$AS181,IF(J183="NHC",PR!$AT181,IF(J183="OLEAF",PR!$AU181,IF(J183="OCULUS",PR!$AV181,IF(J183="PACIFIC",PR!$AW181,IF(J183="PHAMATEX",PR!$AX181,IF(J183="PETHICS",PR!$AY181,IF(J183="PHILIPS",PR!$AZ181,IF(J183="RANBAXY",PR!$BA181,IF(J183="REALS",PR!$BB181,IF(J183="ROYAL",PR!$BC181,IF(J183="SAM",PR!$BD181,IF(J183="SEAGREEN",PR!$BE181,IF(J183="SKG",PR!$BF181,IF(J183="TAH",PR!$BG181,IF(J183="TAYLEK",PR!$BH181,IF(J183="TEMITA",PR!$BI181,IF(J183="THL",PR!$BJ181,IF(J183="UBASTIC",PR!$BK181,IF(J183="UNION",PR!$BL181,IF(J183="UNIQUE",PR!$BM181,IF(J183="VIXA",PR!$BN181,IF(J183="WWCV",PR!$BO181,IF(J183="ZOLON",PR!$BP181,"-"))))))))))))))))))))))))))))))))))))))))))))))))))))))))))))))))</f>
        <v>-</v>
      </c>
      <c r="J183" s="102">
        <f>EV!N224</f>
        <v>0</v>
      </c>
      <c r="K183" s="433"/>
      <c r="L183" s="183" t="b">
        <f>IF(K183&gt;0,IF(K183="ALPHA",PR!$E181,IF(K183="ASSENE",PR!$F181,IF(K183="BIOFEM",PR!$G181,IF(K183="BIOMED",PR!$H181,IF(K183="CHI",PR!$I181,IF(K183="CLARION",PR!$J181,IF(K183="CODIX",PR!$K181,IF(K183="COSMADE",PR!$L181,IF(K183="SANCON",PR!$M181,IF(K183="DEVON",PR!$N181,IF(K183="DORTEMAG",PR!$O181,IF(K183="DGF",PR!$P181,IF(K183="DYNAMIC",PR!$Q181,IF(K183="EMZOR",PR!$R181,IF(K183="EUMATT",PR!$S181,IF(K183="FIDSON",PR!$T181,IF(K183="FCGLOBAL",PR!$U181,IF(K183="GENEITH",PR!$V181,IF(K183="GINOS",PR!$W181,IF(K183="GSK",PR!$X181,IF(K183="GLOBORG",PR!$Y181,IF(K183="GOODNEWS",PR!$Z181,IF(K183="GREENLIFE",PR!$AA181,IF(K183="HLINE",PR!$AB181,IF(K183="ROTECH",PR!$AC181,IF(K183="ISN",PR!$AD181,IF(K183="JAWA",PR!$AE181,IF(K183="LAYO",PR!$AF181,IF(K183="LEADWAY",PR!$AG181,IF(K183="LHV",PR!$AH181,IF(K183="MANOLA",PR!$AI181,IF(K183="MARCSON",PR!$AJ181,IF(K183="M&amp;B",PR!$AK181,IF(K183="MTRUST",PR!$AL181,IF(K183="MWORLD",PR!$AM181,IF(K183="MEGA",PR!$AN181,IF(K183="MICRONOVA",PR!$AO181,IF(K183="MFLASH",PR!$AP181,IF(K183="MORISON",PR!$AQ181,IF(K183="NEMEL",PR!$AR181,IF(K183="NHP",PR!$AS181,IF(K183="NHC",PR!$AT181,IF(K183="OLEAF",PR!$AU181,IF(K183="OCULUS",PR!$AV181,IF(K183="PACIFIC",PR!$AW181,IF(K183="PHAMATEX",PR!$AX181,IF(K183="PETHICS",PR!$AY181,IF(K183="PHILIPS",PR!$AZ181,IF(K183="RANBAXY",PR!$BA181,IF(K183="REALS",PR!$BB181,IF(K183="ROYAL",PR!$BC181,IF(K183="SAM",PR!$BD181,IF(K183="SEAGREEN",PR!$BE181,IF(K183="SKG",PR!$BF181,IF(K183="TAH",PR!$BG181,IF(K183="TAYLEK",PR!$BH181,IF(K183="TEMITA",PR!$BI181,IF(K183="THL",PR!$BJ181,IF(K183="UBASTIC",PR!$BK181,IF(K183="UNION",PR!$BL181,IF(K183="UNIQUE",PR!$BM181,IF(K183="VIXA",PR!$BN181,IF(K183="WWCV",PR!$BO181,IF(K183="ZOLON",PR!$BP181,"-")))))))))))))))))))))))))))))))))))))))))))))))))))))))))))))))))</f>
        <v>0</v>
      </c>
    </row>
    <row r="184" spans="1:12" ht="18.75" x14ac:dyDescent="0.3">
      <c r="A184" s="430">
        <f>PR!A182</f>
        <v>161</v>
      </c>
      <c r="B184" s="15" t="str">
        <f>PR!B182</f>
        <v>IBUPROFEN 200MG TAB</v>
      </c>
      <c r="C184" s="113">
        <f>PR!D182</f>
        <v>100</v>
      </c>
      <c r="D184" s="113">
        <f>PR!C182</f>
        <v>200</v>
      </c>
      <c r="E184" s="108">
        <f>IF(F184="ALPHA",PR!$E182,IF(F184="ASSENE",PR!$F182,IF(F184="BIOFEM",PR!$G182,IF(F184="BIOMED",PR!$H182,IF(F184="CHI",PR!$I182,IF(F184="CLARION",PR!$J182,IF(F184="CODIX",PR!$K182,IF(F184="COSMADE",PR!$L182,IF(F184="SANCON",PR!$M182,IF(F184="DEVON",PR!$N182,IF(F184="DORTEMAG",PR!$O182,IF(F184="DGF",PR!$P182,IF(F184="DYNAMIC",PR!$Q182,IF(F184="EMZOR",PR!$R182,IF(F184="EUMATT",PR!$S182,IF(F184="FIDSON",PR!$T182,IF(F184="FCGLOBAL",PR!$U182,IF(F184="GENEITH",PR!$V182,IF(F184="GINOS",PR!$W182,IF(F184="GSK",PR!$X182,IF(F184="GLOBORG",PR!$Y182,IF(F184="GOODNEWS",PR!$Z182,IF(F184="GREENLIFE",PR!$AA182,IF(F184="HLINE",PR!$AB182,IF(F184="ROTECH",PR!$AC182,IF(F184="ISN",PR!$AD182,IF(F184="JAWA",PR!$AE182,IF(F184="LAYO",PR!$AF182,IF(F184="LEADWAY",PR!$AG182,IF(F184="LHV",PR!$AH182,IF(F184="MANOLA",PR!$AI182,IF(F184="MARCSON",PR!$AJ182,IF(F184="M&amp;B",PR!$AK182,IF(F184="MTRUST",PR!$AL182,IF(F184="MWORLD",PR!$AM182,IF(F184="MEGA",PR!$AN182,IF(F184="MICRONOVA",PR!$AO182,IF(F184="MFLASH",PR!$AP182,IF(F184="MORISON",PR!$AQ182,IF(F184="NEMEL",PR!$AR182,IF(F184="NHP",PR!$AS182,IF(F184="NHC",PR!$AT182,IF(F184="OLEAF",PR!$AU182,IF(F184="OCULUS",PR!$AV182,IF(F184="PACIFIC",PR!$AW182,IF(F184="PHAMATEX",PR!$AX182,IF(F184="PETHICS",PR!$AY182,IF(F184="PHILIPS",PR!$AZ182,IF(F184="RANBAXY",PR!$BA182,IF(F184="REALS",PR!$BB182,IF(F184="ROYAL",PR!$BC182,IF(F184="SAM",PR!$BD182,IF(F184="SEAGREEN",PR!$BE182,IF(F184="SKG",PR!$BF182,IF(F184="TAH",PR!$BG182,IF(F184="TAYLEK",PR!$BH182,IF(F184="TEMITA",PR!$BI182,IF(F184="THL",PR!$BJ182,IF(F184="UBASTIC",PR!$BK182,IF(F184="UNION",PR!$BL182,IF(F184="UNIQUE",PR!$BM182,IF(F184="VIXA",PR!$BN182,IF(F184="WWCV",PR!$BO182,IF(F184="ZOLON",PR!$BP182,"-"))))))))))))))))))))))))))))))))))))))))))))))))))))))))))))))))</f>
        <v>166.23200000000003</v>
      </c>
      <c r="F184" s="102" t="str">
        <f>EV!L225</f>
        <v>EMZOR</v>
      </c>
      <c r="G184" s="108">
        <f>IF(H184="ALPHA",PR!$E182,IF(H184="ASSENE",PR!$F182,IF(H184="BIOFEM",PR!$G182,IF(H184="BIOMED",PR!$H182,IF(H184="CHI",PR!$I182,IF(H184="CLARION",PR!$J182,IF(H184="CODIX",PR!$K182,IF(H184="COSMADE",PR!$L182,IF(H184="SANCON",PR!$M182,IF(H184="DEVON",PR!$N182,IF(H184="DORTEMAG",PR!$O182,IF(H184="DGF",PR!$P182,IF(H184="DYNAMIC",PR!$Q182,IF(H184="EMZOR",PR!$R182,IF(H184="EUMATT",PR!$S182,IF(H184="FIDSON",PR!$T182,IF(H184="FCGLOBAL",PR!$U182,IF(H184="GENEITH",PR!$V182,IF(H184="GINOS",PR!$W182,IF(H184="GSK",PR!$X182,IF(H184="GLOBORG",PR!$Y182,IF(H184="GOODNEWS",PR!$Z182,IF(H184="GREENLIFE",PR!$AA182,IF(H184="HLINE",PR!$AB182,IF(H184="ROTECH",PR!$AC182,IF(H184="ISN",PR!$AD182,IF(H184="JAWA",PR!$AE182,IF(H184="LAYO",PR!$AF182,IF(H184="LEADWAY",PR!$AG182,IF(H184="LHV",PR!$AH182,IF(H184="MANOLA",PR!$AI182,IF(H184="MARCSON",PR!$AJ182,IF(H184="M&amp;B",PR!$AK182,IF(H184="MTRUST",PR!$AL182,IF(H184="MWORLD",PR!$AM182,IF(H184="MEGA",PR!$AN182,IF(H184="MICRONOVA",PR!$AO182,IF(H184="MFLASH",PR!$AP182,IF(H184="MORISON",PR!$AQ182,IF(H184="NEMEL",PR!$AR182,IF(H184="NHP",PR!$AS182,IF(H184="NHC",PR!$AT182,IF(H184="OLEAF",PR!$AU182,IF(H184="OCULUS",PR!$AV182,IF(H184="PACIFIC",PR!$AW182,IF(H184="PHAMATEX",PR!$AX182,IF(H184="PETHICS",PR!$AY182,IF(H184="PHILIPS",PR!$AZ182,IF(H184="RANBAXY",PR!$BA182,IF(H184="REALS",PR!$BB182,IF(H184="ROYAL",PR!$BC182,IF(H184="SAM",PR!$BD182,IF(H184="SEAGREEN",PR!$BE182,IF(H184="SKG",PR!$BF182,IF(H184="TAH",PR!$BG182,IF(H184="TAYLEK",PR!$BH182,IF(H184="TEMITA",PR!$BI182,IF(H184="THL",PR!$BJ182,IF(H184="UBASTIC",PR!$BK182,IF(H184="UNION",PR!$BL182,IF(H184="UNIQUE",PR!$BM182,IF(H184="VIXA",PR!$BN182,IF(H184="WWCV",PR!$BO182,IF(H184="ZOLON",PR!$BP182,"-"))))))))))))))))))))))))))))))))))))))))))))))))))))))))))))))))</f>
        <v>330</v>
      </c>
      <c r="H184" s="102" t="str">
        <f>EV!M225</f>
        <v>EUMATT</v>
      </c>
      <c r="I184" s="108">
        <f>IF(J184="ALPHA",PR!$E182,IF(J184="ASSENE",PR!$F182,IF(J184="BIOFEM",PR!$G182,IF(J184="BIOMED",PR!$H182,IF(J184="CHI",PR!$I182,IF(J184="CLARION",PR!$J182,IF(J184="CODIX",PR!$K182,IF(J184="COSMADE",PR!$L182,IF(J184="SANCON",PR!$M182,IF(J184="DEVON",PR!$N182,IF(J184="DORTEMAG",PR!$O182,IF(J184="DGF",PR!$P182,IF(J184="DYNAMIC",PR!$Q182,IF(J184="EMZOR",PR!$R182,IF(J184="EUMATT",PR!$S182,IF(J184="FIDSON",PR!$T182,IF(J184="FCGLOBAL",PR!$U182,IF(J184="GENEITH",PR!$V182,IF(J184="GINOS",PR!$W182,IF(J184="GSK",PR!$X182,IF(J184="GLOBORG",PR!$Y182,IF(J184="GOODNEWS",PR!$Z182,IF(J184="GREENLIFE",PR!$AA182,IF(J184="HLINE",PR!$AB182,IF(J184="ROTECH",PR!$AC182,IF(J184="ISN",PR!$AD182,IF(J184="JAWA",PR!$AE182,IF(J184="LAYO",PR!$AF182,IF(J184="LEADWAY",PR!$AG182,IF(J184="LHV",PR!$AH182,IF(J184="MANOLA",PR!$AI182,IF(J184="MARCSON",PR!$AJ182,IF(J184="M&amp;B",PR!$AK182,IF(J184="MTRUST",PR!$AL182,IF(J184="MWORLD",PR!$AM182,IF(J184="MEGA",PR!$AN182,IF(J184="MICRONOVA",PR!$AO182,IF(J184="MFLASH",PR!$AP182,IF(J184="MORISON",PR!$AQ182,IF(J184="NEMEL",PR!$AR182,IF(J184="NHP",PR!$AS182,IF(J184="NHC",PR!$AT182,IF(J184="OLEAF",PR!$AU182,IF(J184="OCULUS",PR!$AV182,IF(J184="PACIFIC",PR!$AW182,IF(J184="PHAMATEX",PR!$AX182,IF(J184="PETHICS",PR!$AY182,IF(J184="PHILIPS",PR!$AZ182,IF(J184="RANBAXY",PR!$BA182,IF(J184="REALS",PR!$BB182,IF(J184="ROYAL",PR!$BC182,IF(J184="SAM",PR!$BD182,IF(J184="SEAGREEN",PR!$BE182,IF(J184="SKG",PR!$BF182,IF(J184="TAH",PR!$BG182,IF(J184="TAYLEK",PR!$BH182,IF(J184="TEMITA",PR!$BI182,IF(J184="THL",PR!$BJ182,IF(J184="UBASTIC",PR!$BK182,IF(J184="UNION",PR!$BL182,IF(J184="UNIQUE",PR!$BM182,IF(J184="VIXA",PR!$BN182,IF(J184="WWCV",PR!$BO182,IF(J184="ZOLON",PR!$BP182,"-"))))))))))))))))))))))))))))))))))))))))))))))))))))))))))))))))</f>
        <v>595.46</v>
      </c>
      <c r="J184" s="102" t="str">
        <f>EV!N225</f>
        <v>SKG</v>
      </c>
      <c r="K184" s="433" t="s">
        <v>614</v>
      </c>
      <c r="L184" s="183">
        <f>IF(K184&gt;0,IF(K184="ALPHA",PR!$E182,IF(K184="ASSENE",PR!$F182,IF(K184="BIOFEM",PR!$G182,IF(K184="BIOMED",PR!$H182,IF(K184="CHI",PR!$I182,IF(K184="CLARION",PR!$J182,IF(K184="CODIX",PR!$K182,IF(K184="COSMADE",PR!$L182,IF(K184="SANCON",PR!$M182,IF(K184="DEVON",PR!$N182,IF(K184="DORTEMAG",PR!$O182,IF(K184="DGF",PR!$P182,IF(K184="DYNAMIC",PR!$Q182,IF(K184="EMZOR",PR!$R182,IF(K184="EUMATT",PR!$S182,IF(K184="FIDSON",PR!$T182,IF(K184="FCGLOBAL",PR!$U182,IF(K184="GENEITH",PR!$V182,IF(K184="GINOS",PR!$W182,IF(K184="GSK",PR!$X182,IF(K184="GLOBORG",PR!$Y182,IF(K184="GOODNEWS",PR!$Z182,IF(K184="GREENLIFE",PR!$AA182,IF(K184="HLINE",PR!$AB182,IF(K184="ROTECH",PR!$AC182,IF(K184="ISN",PR!$AD182,IF(K184="JAWA",PR!$AE182,IF(K184="LAYO",PR!$AF182,IF(K184="LEADWAY",PR!$AG182,IF(K184="LHV",PR!$AH182,IF(K184="MANOLA",PR!$AI182,IF(K184="MARCSON",PR!$AJ182,IF(K184="M&amp;B",PR!$AK182,IF(K184="MTRUST",PR!$AL182,IF(K184="MWORLD",PR!$AM182,IF(K184="MEGA",PR!$AN182,IF(K184="MICRONOVA",PR!$AO182,IF(K184="MFLASH",PR!$AP182,IF(K184="MORISON",PR!$AQ182,IF(K184="NEMEL",PR!$AR182,IF(K184="NHP",PR!$AS182,IF(K184="NHC",PR!$AT182,IF(K184="OLEAF",PR!$AU182,IF(K184="OCULUS",PR!$AV182,IF(K184="PACIFIC",PR!$AW182,IF(K184="PHAMATEX",PR!$AX182,IF(K184="PETHICS",PR!$AY182,IF(K184="PHILIPS",PR!$AZ182,IF(K184="RANBAXY",PR!$BA182,IF(K184="REALS",PR!$BB182,IF(K184="ROYAL",PR!$BC182,IF(K184="SAM",PR!$BD182,IF(K184="SEAGREEN",PR!$BE182,IF(K184="SKG",PR!$BF182,IF(K184="TAH",PR!$BG182,IF(K184="TAYLEK",PR!$BH182,IF(K184="TEMITA",PR!$BI182,IF(K184="THL",PR!$BJ182,IF(K184="UBASTIC",PR!$BK182,IF(K184="UNION",PR!$BL182,IF(K184="UNIQUE",PR!$BM182,IF(K184="VIXA",PR!$BN182,IF(K184="WWCV",PR!$BO182,IF(K184="ZOLON",PR!$BP182,"-")))))))))))))))))))))))))))))))))))))))))))))))))))))))))))))))))</f>
        <v>166.23200000000003</v>
      </c>
    </row>
    <row r="185" spans="1:12" ht="18.75" x14ac:dyDescent="0.3">
      <c r="A185" s="430">
        <f>PR!A183</f>
        <v>162</v>
      </c>
      <c r="B185" s="15" t="str">
        <f>PR!B183</f>
        <v>IBUPROFEN 400MG TAB</v>
      </c>
      <c r="C185" s="113">
        <f>PR!D183</f>
        <v>100</v>
      </c>
      <c r="D185" s="113">
        <f>PR!C183</f>
        <v>400</v>
      </c>
      <c r="E185" s="108">
        <f>IF(F185="ALPHA",PR!$E183,IF(F185="ASSENE",PR!$F183,IF(F185="BIOFEM",PR!$G183,IF(F185="BIOMED",PR!$H183,IF(F185="CHI",PR!$I183,IF(F185="CLARION",PR!$J183,IF(F185="CODIX",PR!$K183,IF(F185="COSMADE",PR!$L183,IF(F185="SANCON",PR!$M183,IF(F185="DEVON",PR!$N183,IF(F185="DORTEMAG",PR!$O183,IF(F185="DGF",PR!$P183,IF(F185="DYNAMIC",PR!$Q183,IF(F185="EMZOR",PR!$R183,IF(F185="EUMATT",PR!$S183,IF(F185="FIDSON",PR!$T183,IF(F185="FCGLOBAL",PR!$U183,IF(F185="GENEITH",PR!$V183,IF(F185="GINOS",PR!$W183,IF(F185="GSK",PR!$X183,IF(F185="GLOBORG",PR!$Y183,IF(F185="GOODNEWS",PR!$Z183,IF(F185="GREENLIFE",PR!$AA183,IF(F185="HLINE",PR!$AB183,IF(F185="ROTECH",PR!$AC183,IF(F185="ISN",PR!$AD183,IF(F185="JAWA",PR!$AE183,IF(F185="LAYO",PR!$AF183,IF(F185="LEADWAY",PR!$AG183,IF(F185="LHV",PR!$AH183,IF(F185="MANOLA",PR!$AI183,IF(F185="MARCSON",PR!$AJ183,IF(F185="M&amp;B",PR!$AK183,IF(F185="MTRUST",PR!$AL183,IF(F185="MWORLD",PR!$AM183,IF(F185="MEGA",PR!$AN183,IF(F185="MICRONOVA",PR!$AO183,IF(F185="MFLASH",PR!$AP183,IF(F185="MORISON",PR!$AQ183,IF(F185="NEMEL",PR!$AR183,IF(F185="NHP",PR!$AS183,IF(F185="NHC",PR!$AT183,IF(F185="OLEAF",PR!$AU183,IF(F185="OCULUS",PR!$AV183,IF(F185="PACIFIC",PR!$AW183,IF(F185="PHAMATEX",PR!$AX183,IF(F185="PETHICS",PR!$AY183,IF(F185="PHILIPS",PR!$AZ183,IF(F185="RANBAXY",PR!$BA183,IF(F185="REALS",PR!$BB183,IF(F185="ROYAL",PR!$BC183,IF(F185="SAM",PR!$BD183,IF(F185="SEAGREEN",PR!$BE183,IF(F185="SKG",PR!$BF183,IF(F185="TAH",PR!$BG183,IF(F185="TAYLEK",PR!$BH183,IF(F185="TEMITA",PR!$BI183,IF(F185="THL",PR!$BJ183,IF(F185="UBASTIC",PR!$BK183,IF(F185="UNION",PR!$BL183,IF(F185="UNIQUE",PR!$BM183,IF(F185="VIXA",PR!$BN183,IF(F185="WWCV",PR!$BO183,IF(F185="ZOLON",PR!$BP183,"-"))))))))))))))))))))))))))))))))))))))))))))))))))))))))))))))))</f>
        <v>430</v>
      </c>
      <c r="F185" s="102" t="str">
        <f>EV!L226</f>
        <v>FIDSON</v>
      </c>
      <c r="G185" s="108">
        <f>IF(H185="ALPHA",PR!$E183,IF(H185="ASSENE",PR!$F183,IF(H185="BIOFEM",PR!$G183,IF(H185="BIOMED",PR!$H183,IF(H185="CHI",PR!$I183,IF(H185="CLARION",PR!$J183,IF(H185="CODIX",PR!$K183,IF(H185="COSMADE",PR!$L183,IF(H185="SANCON",PR!$M183,IF(H185="DEVON",PR!$N183,IF(H185="DORTEMAG",PR!$O183,IF(H185="DGF",PR!$P183,IF(H185="DYNAMIC",PR!$Q183,IF(H185="EMZOR",PR!$R183,IF(H185="EUMATT",PR!$S183,IF(H185="FIDSON",PR!$T183,IF(H185="FCGLOBAL",PR!$U183,IF(H185="GENEITH",PR!$V183,IF(H185="GINOS",PR!$W183,IF(H185="GSK",PR!$X183,IF(H185="GLOBORG",PR!$Y183,IF(H185="GOODNEWS",PR!$Z183,IF(H185="GREENLIFE",PR!$AA183,IF(H185="HLINE",PR!$AB183,IF(H185="ROTECH",PR!$AC183,IF(H185="ISN",PR!$AD183,IF(H185="JAWA",PR!$AE183,IF(H185="LAYO",PR!$AF183,IF(H185="LEADWAY",PR!$AG183,IF(H185="LHV",PR!$AH183,IF(H185="MANOLA",PR!$AI183,IF(H185="MARCSON",PR!$AJ183,IF(H185="M&amp;B",PR!$AK183,IF(H185="MTRUST",PR!$AL183,IF(H185="MWORLD",PR!$AM183,IF(H185="MEGA",PR!$AN183,IF(H185="MICRONOVA",PR!$AO183,IF(H185="MFLASH",PR!$AP183,IF(H185="MORISON",PR!$AQ183,IF(H185="NEMEL",PR!$AR183,IF(H185="NHP",PR!$AS183,IF(H185="NHC",PR!$AT183,IF(H185="OLEAF",PR!$AU183,IF(H185="OCULUS",PR!$AV183,IF(H185="PACIFIC",PR!$AW183,IF(H185="PHAMATEX",PR!$AX183,IF(H185="PETHICS",PR!$AY183,IF(H185="PHILIPS",PR!$AZ183,IF(H185="RANBAXY",PR!$BA183,IF(H185="REALS",PR!$BB183,IF(H185="ROYAL",PR!$BC183,IF(H185="SAM",PR!$BD183,IF(H185="SEAGREEN",PR!$BE183,IF(H185="SKG",PR!$BF183,IF(H185="TAH",PR!$BG183,IF(H185="TAYLEK",PR!$BH183,IF(H185="TEMITA",PR!$BI183,IF(H185="THL",PR!$BJ183,IF(H185="UBASTIC",PR!$BK183,IF(H185="UNION",PR!$BL183,IF(H185="UNIQUE",PR!$BM183,IF(H185="VIXA",PR!$BN183,IF(H185="WWCV",PR!$BO183,IF(H185="ZOLON",PR!$BP183,"-"))))))))))))))))))))))))))))))))))))))))))))))))))))))))))))))))</f>
        <v>495</v>
      </c>
      <c r="H185" s="102" t="str">
        <f>EV!M226</f>
        <v>PHAMATEX</v>
      </c>
      <c r="I185" s="108">
        <f>IF(J185="ALPHA",PR!$E183,IF(J185="ASSENE",PR!$F183,IF(J185="BIOFEM",PR!$G183,IF(J185="BIOMED",PR!$H183,IF(J185="CHI",PR!$I183,IF(J185="CLARION",PR!$J183,IF(J185="CODIX",PR!$K183,IF(J185="COSMADE",PR!$L183,IF(J185="SANCON",PR!$M183,IF(J185="DEVON",PR!$N183,IF(J185="DORTEMAG",PR!$O183,IF(J185="DGF",PR!$P183,IF(J185="DYNAMIC",PR!$Q183,IF(J185="EMZOR",PR!$R183,IF(J185="EUMATT",PR!$S183,IF(J185="FIDSON",PR!$T183,IF(J185="FCGLOBAL",PR!$U183,IF(J185="GENEITH",PR!$V183,IF(J185="GINOS",PR!$W183,IF(J185="GSK",PR!$X183,IF(J185="GLOBORG",PR!$Y183,IF(J185="GOODNEWS",PR!$Z183,IF(J185="GREENLIFE",PR!$AA183,IF(J185="HLINE",PR!$AB183,IF(J185="ROTECH",PR!$AC183,IF(J185="ISN",PR!$AD183,IF(J185="JAWA",PR!$AE183,IF(J185="LAYO",PR!$AF183,IF(J185="LEADWAY",PR!$AG183,IF(J185="LHV",PR!$AH183,IF(J185="MANOLA",PR!$AI183,IF(J185="MARCSON",PR!$AJ183,IF(J185="M&amp;B",PR!$AK183,IF(J185="MTRUST",PR!$AL183,IF(J185="MWORLD",PR!$AM183,IF(J185="MEGA",PR!$AN183,IF(J185="MICRONOVA",PR!$AO183,IF(J185="MFLASH",PR!$AP183,IF(J185="MORISON",PR!$AQ183,IF(J185="NEMEL",PR!$AR183,IF(J185="NHP",PR!$AS183,IF(J185="NHC",PR!$AT183,IF(J185="OLEAF",PR!$AU183,IF(J185="OCULUS",PR!$AV183,IF(J185="PACIFIC",PR!$AW183,IF(J185="PHAMATEX",PR!$AX183,IF(J185="PETHICS",PR!$AY183,IF(J185="PHILIPS",PR!$AZ183,IF(J185="RANBAXY",PR!$BA183,IF(J185="REALS",PR!$BB183,IF(J185="ROYAL",PR!$BC183,IF(J185="SAM",PR!$BD183,IF(J185="SEAGREEN",PR!$BE183,IF(J185="SKG",PR!$BF183,IF(J185="TAH",PR!$BG183,IF(J185="TAYLEK",PR!$BH183,IF(J185="TEMITA",PR!$BI183,IF(J185="THL",PR!$BJ183,IF(J185="UBASTIC",PR!$BK183,IF(J185="UNION",PR!$BL183,IF(J185="UNIQUE",PR!$BM183,IF(J185="VIXA",PR!$BN183,IF(J185="WWCV",PR!$BO183,IF(J185="ZOLON",PR!$BP183,"-"))))))))))))))))))))))))))))))))))))))))))))))))))))))))))))))))</f>
        <v>500</v>
      </c>
      <c r="J185" s="102" t="str">
        <f>EV!N226</f>
        <v>EUMATT</v>
      </c>
      <c r="K185" s="433" t="s">
        <v>627</v>
      </c>
      <c r="L185" s="183">
        <f>IF(K185&gt;0,IF(K185="ALPHA",PR!$E183,IF(K185="ASSENE",PR!$F183,IF(K185="BIOFEM",PR!$G183,IF(K185="BIOMED",PR!$H183,IF(K185="CHI",PR!$I183,IF(K185="CLARION",PR!$J183,IF(K185="CODIX",PR!$K183,IF(K185="COSMADE",PR!$L183,IF(K185="SANCON",PR!$M183,IF(K185="DEVON",PR!$N183,IF(K185="DORTEMAG",PR!$O183,IF(K185="DGF",PR!$P183,IF(K185="DYNAMIC",PR!$Q183,IF(K185="EMZOR",PR!$R183,IF(K185="EUMATT",PR!$S183,IF(K185="FIDSON",PR!$T183,IF(K185="FCGLOBAL",PR!$U183,IF(K185="GENEITH",PR!$V183,IF(K185="GINOS",PR!$W183,IF(K185="GSK",PR!$X183,IF(K185="GLOBORG",PR!$Y183,IF(K185="GOODNEWS",PR!$Z183,IF(K185="GREENLIFE",PR!$AA183,IF(K185="HLINE",PR!$AB183,IF(K185="ROTECH",PR!$AC183,IF(K185="ISN",PR!$AD183,IF(K185="JAWA",PR!$AE183,IF(K185="LAYO",PR!$AF183,IF(K185="LEADWAY",PR!$AG183,IF(K185="LHV",PR!$AH183,IF(K185="MANOLA",PR!$AI183,IF(K185="MARCSON",PR!$AJ183,IF(K185="M&amp;B",PR!$AK183,IF(K185="MTRUST",PR!$AL183,IF(K185="MWORLD",PR!$AM183,IF(K185="MEGA",PR!$AN183,IF(K185="MICRONOVA",PR!$AO183,IF(K185="MFLASH",PR!$AP183,IF(K185="MORISON",PR!$AQ183,IF(K185="NEMEL",PR!$AR183,IF(K185="NHP",PR!$AS183,IF(K185="NHC",PR!$AT183,IF(K185="OLEAF",PR!$AU183,IF(K185="OCULUS",PR!$AV183,IF(K185="PACIFIC",PR!$AW183,IF(K185="PHAMATEX",PR!$AX183,IF(K185="PETHICS",PR!$AY183,IF(K185="PHILIPS",PR!$AZ183,IF(K185="RANBAXY",PR!$BA183,IF(K185="REALS",PR!$BB183,IF(K185="ROYAL",PR!$BC183,IF(K185="SAM",PR!$BD183,IF(K185="SEAGREEN",PR!$BE183,IF(K185="SKG",PR!$BF183,IF(K185="TAH",PR!$BG183,IF(K185="TAYLEK",PR!$BH183,IF(K185="TEMITA",PR!$BI183,IF(K185="THL",PR!$BJ183,IF(K185="UBASTIC",PR!$BK183,IF(K185="UNION",PR!$BL183,IF(K185="UNIQUE",PR!$BM183,IF(K185="VIXA",PR!$BN183,IF(K185="WWCV",PR!$BO183,IF(K185="ZOLON",PR!$BP183,"-")))))))))))))))))))))))))))))))))))))))))))))))))))))))))))))))))</f>
        <v>495</v>
      </c>
    </row>
    <row r="186" spans="1:12" ht="18.75" x14ac:dyDescent="0.3">
      <c r="A186" s="430">
        <f>PR!A184</f>
        <v>163</v>
      </c>
      <c r="B186" s="15" t="str">
        <f>PR!B184</f>
        <v>IBUPROFEN SYRUP</v>
      </c>
      <c r="C186" s="113" t="str">
        <f>PR!D184</f>
        <v>BOTT</v>
      </c>
      <c r="D186" s="113">
        <f>PR!C184</f>
        <v>1000</v>
      </c>
      <c r="E186" s="108">
        <f>IF(F186="ALPHA",PR!$E184,IF(F186="ASSENE",PR!$F184,IF(F186="BIOFEM",PR!$G184,IF(F186="BIOMED",PR!$H184,IF(F186="CHI",PR!$I184,IF(F186="CLARION",PR!$J184,IF(F186="CODIX",PR!$K184,IF(F186="COSMADE",PR!$L184,IF(F186="SANCON",PR!$M184,IF(F186="DEVON",PR!$N184,IF(F186="DORTEMAG",PR!$O184,IF(F186="DGF",PR!$P184,IF(F186="DYNAMIC",PR!$Q184,IF(F186="EMZOR",PR!$R184,IF(F186="EUMATT",PR!$S184,IF(F186="FIDSON",PR!$T184,IF(F186="FCGLOBAL",PR!$U184,IF(F186="GENEITH",PR!$V184,IF(F186="GINOS",PR!$W184,IF(F186="GSK",PR!$X184,IF(F186="GLOBORG",PR!$Y184,IF(F186="GOODNEWS",PR!$Z184,IF(F186="GREENLIFE",PR!$AA184,IF(F186="HLINE",PR!$AB184,IF(F186="ROTECH",PR!$AC184,IF(F186="ISN",PR!$AD184,IF(F186="JAWA",PR!$AE184,IF(F186="LAYO",PR!$AF184,IF(F186="LEADWAY",PR!$AG184,IF(F186="LHV",PR!$AH184,IF(F186="MANOLA",PR!$AI184,IF(F186="MARCSON",PR!$AJ184,IF(F186="M&amp;B",PR!$AK184,IF(F186="MTRUST",PR!$AL184,IF(F186="MWORLD",PR!$AM184,IF(F186="MEGA",PR!$AN184,IF(F186="MICRONOVA",PR!$AO184,IF(F186="MFLASH",PR!$AP184,IF(F186="MORISON",PR!$AQ184,IF(F186="NEMEL",PR!$AR184,IF(F186="NHP",PR!$AS184,IF(F186="NHC",PR!$AT184,IF(F186="OLEAF",PR!$AU184,IF(F186="OCULUS",PR!$AV184,IF(F186="PACIFIC",PR!$AW184,IF(F186="PHAMATEX",PR!$AX184,IF(F186="PETHICS",PR!$AY184,IF(F186="PHILIPS",PR!$AZ184,IF(F186="RANBAXY",PR!$BA184,IF(F186="REALS",PR!$BB184,IF(F186="ROYAL",PR!$BC184,IF(F186="SAM",PR!$BD184,IF(F186="SEAGREEN",PR!$BE184,IF(F186="SKG",PR!$BF184,IF(F186="TAH",PR!$BG184,IF(F186="TAYLEK",PR!$BH184,IF(F186="TEMITA",PR!$BI184,IF(F186="THL",PR!$BJ184,IF(F186="UBASTIC",PR!$BK184,IF(F186="UNION",PR!$BL184,IF(F186="UNIQUE",PR!$BM184,IF(F186="VIXA",PR!$BN184,IF(F186="WWCV",PR!$BO184,IF(F186="ZOLON",PR!$BP184,"-"))))))))))))))))))))))))))))))))))))))))))))))))))))))))))))))))</f>
        <v>115</v>
      </c>
      <c r="F186" s="102" t="str">
        <f>EV!L227</f>
        <v>UNIQUE</v>
      </c>
      <c r="G186" s="108">
        <f>IF(H186="ALPHA",PR!$E184,IF(H186="ASSENE",PR!$F184,IF(H186="BIOFEM",PR!$G184,IF(H186="BIOMED",PR!$H184,IF(H186="CHI",PR!$I184,IF(H186="CLARION",PR!$J184,IF(H186="CODIX",PR!$K184,IF(H186="COSMADE",PR!$L184,IF(H186="SANCON",PR!$M184,IF(H186="DEVON",PR!$N184,IF(H186="DORTEMAG",PR!$O184,IF(H186="DGF",PR!$P184,IF(H186="DYNAMIC",PR!$Q184,IF(H186="EMZOR",PR!$R184,IF(H186="EUMATT",PR!$S184,IF(H186="FIDSON",PR!$T184,IF(H186="FCGLOBAL",PR!$U184,IF(H186="GENEITH",PR!$V184,IF(H186="GINOS",PR!$W184,IF(H186="GSK",PR!$X184,IF(H186="GLOBORG",PR!$Y184,IF(H186="GOODNEWS",PR!$Z184,IF(H186="GREENLIFE",PR!$AA184,IF(H186="HLINE",PR!$AB184,IF(H186="ROTECH",PR!$AC184,IF(H186="ISN",PR!$AD184,IF(H186="JAWA",PR!$AE184,IF(H186="LAYO",PR!$AF184,IF(H186="LEADWAY",PR!$AG184,IF(H186="LHV",PR!$AH184,IF(H186="MANOLA",PR!$AI184,IF(H186="MARCSON",PR!$AJ184,IF(H186="M&amp;B",PR!$AK184,IF(H186="MTRUST",PR!$AL184,IF(H186="MWORLD",PR!$AM184,IF(H186="MEGA",PR!$AN184,IF(H186="MICRONOVA",PR!$AO184,IF(H186="MFLASH",PR!$AP184,IF(H186="MORISON",PR!$AQ184,IF(H186="NEMEL",PR!$AR184,IF(H186="NHP",PR!$AS184,IF(H186="NHC",PR!$AT184,IF(H186="OLEAF",PR!$AU184,IF(H186="OCULUS",PR!$AV184,IF(H186="PACIFIC",PR!$AW184,IF(H186="PHAMATEX",PR!$AX184,IF(H186="PETHICS",PR!$AY184,IF(H186="PHILIPS",PR!$AZ184,IF(H186="RANBAXY",PR!$BA184,IF(H186="REALS",PR!$BB184,IF(H186="ROYAL",PR!$BC184,IF(H186="SAM",PR!$BD184,IF(H186="SEAGREEN",PR!$BE184,IF(H186="SKG",PR!$BF184,IF(H186="TAH",PR!$BG184,IF(H186="TAYLEK",PR!$BH184,IF(H186="TEMITA",PR!$BI184,IF(H186="THL",PR!$BJ184,IF(H186="UBASTIC",PR!$BK184,IF(H186="UNION",PR!$BL184,IF(H186="UNIQUE",PR!$BM184,IF(H186="VIXA",PR!$BN184,IF(H186="WWCV",PR!$BO184,IF(H186="ZOLON",PR!$BP184,"-"))))))))))))))))))))))))))))))))))))))))))))))))))))))))))))))))</f>
        <v>130</v>
      </c>
      <c r="H186" s="102" t="str">
        <f>EV!M227</f>
        <v>EUMATT</v>
      </c>
      <c r="I186" s="108">
        <f>IF(J186="ALPHA",PR!$E184,IF(J186="ASSENE",PR!$F184,IF(J186="BIOFEM",PR!$G184,IF(J186="BIOMED",PR!$H184,IF(J186="CHI",PR!$I184,IF(J186="CLARION",PR!$J184,IF(J186="CODIX",PR!$K184,IF(J186="COSMADE",PR!$L184,IF(J186="SANCON",PR!$M184,IF(J186="DEVON",PR!$N184,IF(J186="DORTEMAG",PR!$O184,IF(J186="DGF",PR!$P184,IF(J186="DYNAMIC",PR!$Q184,IF(J186="EMZOR",PR!$R184,IF(J186="EUMATT",PR!$S184,IF(J186="FIDSON",PR!$T184,IF(J186="FCGLOBAL",PR!$U184,IF(J186="GENEITH",PR!$V184,IF(J186="GINOS",PR!$W184,IF(J186="GSK",PR!$X184,IF(J186="GLOBORG",PR!$Y184,IF(J186="GOODNEWS",PR!$Z184,IF(J186="GREENLIFE",PR!$AA184,IF(J186="HLINE",PR!$AB184,IF(J186="ROTECH",PR!$AC184,IF(J186="ISN",PR!$AD184,IF(J186="JAWA",PR!$AE184,IF(J186="LAYO",PR!$AF184,IF(J186="LEADWAY",PR!$AG184,IF(J186="LHV",PR!$AH184,IF(J186="MANOLA",PR!$AI184,IF(J186="MARCSON",PR!$AJ184,IF(J186="M&amp;B",PR!$AK184,IF(J186="MTRUST",PR!$AL184,IF(J186="MWORLD",PR!$AM184,IF(J186="MEGA",PR!$AN184,IF(J186="MICRONOVA",PR!$AO184,IF(J186="MFLASH",PR!$AP184,IF(J186="MORISON",PR!$AQ184,IF(J186="NEMEL",PR!$AR184,IF(J186="NHP",PR!$AS184,IF(J186="NHC",PR!$AT184,IF(J186="OLEAF",PR!$AU184,IF(J186="OCULUS",PR!$AV184,IF(J186="PACIFIC",PR!$AW184,IF(J186="PHAMATEX",PR!$AX184,IF(J186="PETHICS",PR!$AY184,IF(J186="PHILIPS",PR!$AZ184,IF(J186="RANBAXY",PR!$BA184,IF(J186="REALS",PR!$BB184,IF(J186="ROYAL",PR!$BC184,IF(J186="SAM",PR!$BD184,IF(J186="SEAGREEN",PR!$BE184,IF(J186="SKG",PR!$BF184,IF(J186="TAH",PR!$BG184,IF(J186="TAYLEK",PR!$BH184,IF(J186="TEMITA",PR!$BI184,IF(J186="THL",PR!$BJ184,IF(J186="UBASTIC",PR!$BK184,IF(J186="UNION",PR!$BL184,IF(J186="UNIQUE",PR!$BM184,IF(J186="VIXA",PR!$BN184,IF(J186="WWCV",PR!$BO184,IF(J186="ZOLON",PR!$BP184,"-"))))))))))))))))))))))))))))))))))))))))))))))))))))))))))))))))</f>
        <v>158</v>
      </c>
      <c r="J186" s="102" t="str">
        <f>EV!N227</f>
        <v>SAM</v>
      </c>
      <c r="K186" s="433" t="s">
        <v>2147</v>
      </c>
      <c r="L186" s="183" t="str">
        <f>IF(K186&gt;0,IF(K186="ALPHA",PR!$E184,IF(K186="ASSENE",PR!$F184,IF(K186="BIOFEM",PR!$G184,IF(K186="BIOMED",PR!$H184,IF(K186="CHI",PR!$I184,IF(K186="CLARION",PR!$J184,IF(K186="CODIX",PR!$K184,IF(K186="COSMADE",PR!$L184,IF(K186="SANCON",PR!$M184,IF(K186="DEVON",PR!$N184,IF(K186="DORTEMAG",PR!$O184,IF(K186="DGF",PR!$P184,IF(K186="DYNAMIC",PR!$Q184,IF(K186="EMZOR",PR!$R184,IF(K186="EUMATT",PR!$S184,IF(K186="FIDSON",PR!$T184,IF(K186="FCGLOBAL",PR!$U184,IF(K186="GENEITH",PR!$V184,IF(K186="GINOS",PR!$W184,IF(K186="GSK",PR!$X184,IF(K186="GLOBORG",PR!$Y184,IF(K186="GOODNEWS",PR!$Z184,IF(K186="GREENLIFE",PR!$AA184,IF(K186="HLINE",PR!$AB184,IF(K186="ROTECH",PR!$AC184,IF(K186="ISN",PR!$AD184,IF(K186="JAWA",PR!$AE184,IF(K186="LAYO",PR!$AF184,IF(K186="LEADWAY",PR!$AG184,IF(K186="LHV",PR!$AH184,IF(K186="MANOLA",PR!$AI184,IF(K186="MARCSON",PR!$AJ184,IF(K186="M&amp;B",PR!$AK184,IF(K186="MTRUST",PR!$AL184,IF(K186="MWORLD",PR!$AM184,IF(K186="MEGA",PR!$AN184,IF(K186="MICRONOVA",PR!$AO184,IF(K186="MFLASH",PR!$AP184,IF(K186="MORISON",PR!$AQ184,IF(K186="NEMEL",PR!$AR184,IF(K186="NHP",PR!$AS184,IF(K186="NHC",PR!$AT184,IF(K186="OLEAF",PR!$AU184,IF(K186="OCULUS",PR!$AV184,IF(K186="PACIFIC",PR!$AW184,IF(K186="PHAMATEX",PR!$AX184,IF(K186="PETHICS",PR!$AY184,IF(K186="PHILIPS",PR!$AZ184,IF(K186="RANBAXY",PR!$BA184,IF(K186="REALS",PR!$BB184,IF(K186="ROYAL",PR!$BC184,IF(K186="SAM",PR!$BD184,IF(K186="SEAGREEN",PR!$BE184,IF(K186="SKG",PR!$BF184,IF(K186="TAH",PR!$BG184,IF(K186="TAYLEK",PR!$BH184,IF(K186="TEMITA",PR!$BI184,IF(K186="THL",PR!$BJ184,IF(K186="UBASTIC",PR!$BK184,IF(K186="UNION",PR!$BL184,IF(K186="UNIQUE",PR!$BM184,IF(K186="VIXA",PR!$BN184,IF(K186="WWCV",PR!$BO184,IF(K186="ZOLON",PR!$BP184,"-")))))))))))))))))))))))))))))))))))))))))))))))))))))))))))))))))</f>
        <v>-</v>
      </c>
    </row>
    <row r="187" spans="1:12" s="90" customFormat="1" ht="18.75" x14ac:dyDescent="0.3">
      <c r="A187" s="430">
        <f>PR!A185</f>
        <v>164</v>
      </c>
      <c r="B187" s="15" t="str">
        <f>PR!B185</f>
        <v>KETOPROFEN 2.5% GEL 50G</v>
      </c>
      <c r="C187" s="113" t="str">
        <f>PR!D185</f>
        <v>TUBE</v>
      </c>
      <c r="D187" s="113">
        <f>PR!C185</f>
        <v>1200</v>
      </c>
      <c r="E187" s="108">
        <f>IF(F187="ALPHA",PR!$E185,IF(F187="ASSENE",PR!$F185,IF(F187="BIOFEM",PR!$G185,IF(F187="BIOMED",PR!$H185,IF(F187="CHI",PR!$I185,IF(F187="CLARION",PR!$J185,IF(F187="CODIX",PR!$K185,IF(F187="COSMADE",PR!$L185,IF(F187="SANCON",PR!$M185,IF(F187="DEVON",PR!$N185,IF(F187="DORTEMAG",PR!$O185,IF(F187="DGF",PR!$P185,IF(F187="DYNAMIC",PR!$Q185,IF(F187="EMZOR",PR!$R185,IF(F187="EUMATT",PR!$S185,IF(F187="FIDSON",PR!$T185,IF(F187="FCGLOBAL",PR!$U185,IF(F187="GENEITH",PR!$V185,IF(F187="GINOS",PR!$W185,IF(F187="GSK",PR!$X185,IF(F187="GLOBORG",PR!$Y185,IF(F187="GOODNEWS",PR!$Z185,IF(F187="GREENLIFE",PR!$AA185,IF(F187="HLINE",PR!$AB185,IF(F187="ROTECH",PR!$AC185,IF(F187="ISN",PR!$AD185,IF(F187="JAWA",PR!$AE185,IF(F187="LAYO",PR!$AF185,IF(F187="LEADWAY",PR!$AG185,IF(F187="LHV",PR!$AH185,IF(F187="MANOLA",PR!$AI185,IF(F187="MARCSON",PR!$AJ185,IF(F187="M&amp;B",PR!$AK185,IF(F187="MTRUST",PR!$AL185,IF(F187="MWORLD",PR!$AM185,IF(F187="MEGA",PR!$AN185,IF(F187="MICRONOVA",PR!$AO185,IF(F187="MFLASH",PR!$AP185,IF(F187="MORISON",PR!$AQ185,IF(F187="NEMEL",PR!$AR185,IF(F187="NHP",PR!$AS185,IF(F187="NHC",PR!$AT185,IF(F187="OLEAF",PR!$AU185,IF(F187="OCULUS",PR!$AV185,IF(F187="PACIFIC",PR!$AW185,IF(F187="PHAMATEX",PR!$AX185,IF(F187="PETHICS",PR!$AY185,IF(F187="PHILIPS",PR!$AZ185,IF(F187="RANBAXY",PR!$BA185,IF(F187="REALS",PR!$BB185,IF(F187="ROYAL",PR!$BC185,IF(F187="SAM",PR!$BD185,IF(F187="SEAGREEN",PR!$BE185,IF(F187="SKG",PR!$BF185,IF(F187="TAH",PR!$BG185,IF(F187="TAYLEK",PR!$BH185,IF(F187="TEMITA",PR!$BI185,IF(F187="THL",PR!$BJ185,IF(F187="UBASTIC",PR!$BK185,IF(F187="UNION",PR!$BL185,IF(F187="UNIQUE",PR!$BM185,IF(F187="VIXA",PR!$BN185,IF(F187="WWCV",PR!$BO185,IF(F187="ZOLON",PR!$BP185,"-"))))))))))))))))))))))))))))))))))))))))))))))))))))))))))))))))</f>
        <v>1450</v>
      </c>
      <c r="F187" s="102" t="str">
        <f>EV!L228</f>
        <v>PHILIPS</v>
      </c>
      <c r="G187" s="108">
        <f>IF(H187="ALPHA",PR!$E185,IF(H187="ASSENE",PR!$F185,IF(H187="BIOFEM",PR!$G185,IF(H187="BIOMED",PR!$H185,IF(H187="CHI",PR!$I185,IF(H187="CLARION",PR!$J185,IF(H187="CODIX",PR!$K185,IF(H187="COSMADE",PR!$L185,IF(H187="SANCON",PR!$M185,IF(H187="DEVON",PR!$N185,IF(H187="DORTEMAG",PR!$O185,IF(H187="DGF",PR!$P185,IF(H187="DYNAMIC",PR!$Q185,IF(H187="EMZOR",PR!$R185,IF(H187="EUMATT",PR!$S185,IF(H187="FIDSON",PR!$T185,IF(H187="FCGLOBAL",PR!$U185,IF(H187="GENEITH",PR!$V185,IF(H187="GINOS",PR!$W185,IF(H187="GSK",PR!$X185,IF(H187="GLOBORG",PR!$Y185,IF(H187="GOODNEWS",PR!$Z185,IF(H187="GREENLIFE",PR!$AA185,IF(H187="HLINE",PR!$AB185,IF(H187="ROTECH",PR!$AC185,IF(H187="ISN",PR!$AD185,IF(H187="JAWA",PR!$AE185,IF(H187="LAYO",PR!$AF185,IF(H187="LEADWAY",PR!$AG185,IF(H187="LHV",PR!$AH185,IF(H187="MANOLA",PR!$AI185,IF(H187="MARCSON",PR!$AJ185,IF(H187="M&amp;B",PR!$AK185,IF(H187="MTRUST",PR!$AL185,IF(H187="MWORLD",PR!$AM185,IF(H187="MEGA",PR!$AN185,IF(H187="MICRONOVA",PR!$AO185,IF(H187="MFLASH",PR!$AP185,IF(H187="MORISON",PR!$AQ185,IF(H187="NEMEL",PR!$AR185,IF(H187="NHP",PR!$AS185,IF(H187="NHC",PR!$AT185,IF(H187="OLEAF",PR!$AU185,IF(H187="OCULUS",PR!$AV185,IF(H187="PACIFIC",PR!$AW185,IF(H187="PHAMATEX",PR!$AX185,IF(H187="PETHICS",PR!$AY185,IF(H187="PHILIPS",PR!$AZ185,IF(H187="RANBAXY",PR!$BA185,IF(H187="REALS",PR!$BB185,IF(H187="ROYAL",PR!$BC185,IF(H187="SAM",PR!$BD185,IF(H187="SEAGREEN",PR!$BE185,IF(H187="SKG",PR!$BF185,IF(H187="TAH",PR!$BG185,IF(H187="TAYLEK",PR!$BH185,IF(H187="TEMITA",PR!$BI185,IF(H187="THL",PR!$BJ185,IF(H187="UBASTIC",PR!$BK185,IF(H187="UNION",PR!$BL185,IF(H187="UNIQUE",PR!$BM185,IF(H187="VIXA",PR!$BN185,IF(H187="WWCV",PR!$BO185,IF(H187="ZOLON",PR!$BP185,"-"))))))))))))))))))))))))))))))))))))))))))))))))))))))))))))))))</f>
        <v>2500</v>
      </c>
      <c r="H187" s="102" t="str">
        <f>EV!M228</f>
        <v>SEAGREEN</v>
      </c>
      <c r="I187" s="108" t="str">
        <f>IF(J187="ALPHA",PR!$E185,IF(J187="ASSENE",PR!$F185,IF(J187="BIOFEM",PR!$G185,IF(J187="BIOMED",PR!$H185,IF(J187="CHI",PR!$I185,IF(J187="CLARION",PR!$J185,IF(J187="CODIX",PR!$K185,IF(J187="COSMADE",PR!$L185,IF(J187="SANCON",PR!$M185,IF(J187="DEVON",PR!$N185,IF(J187="DORTEMAG",PR!$O185,IF(J187="DGF",PR!$P185,IF(J187="DYNAMIC",PR!$Q185,IF(J187="EMZOR",PR!$R185,IF(J187="EUMATT",PR!$S185,IF(J187="FIDSON",PR!$T185,IF(J187="FCGLOBAL",PR!$U185,IF(J187="GENEITH",PR!$V185,IF(J187="GINOS",PR!$W185,IF(J187="GSK",PR!$X185,IF(J187="GLOBORG",PR!$Y185,IF(J187="GOODNEWS",PR!$Z185,IF(J187="GREENLIFE",PR!$AA185,IF(J187="HLINE",PR!$AB185,IF(J187="ROTECH",PR!$AC185,IF(J187="ISN",PR!$AD185,IF(J187="JAWA",PR!$AE185,IF(J187="LAYO",PR!$AF185,IF(J187="LEADWAY",PR!$AG185,IF(J187="LHV",PR!$AH185,IF(J187="MANOLA",PR!$AI185,IF(J187="MARCSON",PR!$AJ185,IF(J187="M&amp;B",PR!$AK185,IF(J187="MTRUST",PR!$AL185,IF(J187="MWORLD",PR!$AM185,IF(J187="MEGA",PR!$AN185,IF(J187="MICRONOVA",PR!$AO185,IF(J187="MFLASH",PR!$AP185,IF(J187="MORISON",PR!$AQ185,IF(J187="NEMEL",PR!$AR185,IF(J187="NHP",PR!$AS185,IF(J187="NHC",PR!$AT185,IF(J187="OLEAF",PR!$AU185,IF(J187="OCULUS",PR!$AV185,IF(J187="PACIFIC",PR!$AW185,IF(J187="PHAMATEX",PR!$AX185,IF(J187="PETHICS",PR!$AY185,IF(J187="PHILIPS",PR!$AZ185,IF(J187="RANBAXY",PR!$BA185,IF(J187="REALS",PR!$BB185,IF(J187="ROYAL",PR!$BC185,IF(J187="SAM",PR!$BD185,IF(J187="SEAGREEN",PR!$BE185,IF(J187="SKG",PR!$BF185,IF(J187="TAH",PR!$BG185,IF(J187="TAYLEK",PR!$BH185,IF(J187="TEMITA",PR!$BI185,IF(J187="THL",PR!$BJ185,IF(J187="UBASTIC",PR!$BK185,IF(J187="UNION",PR!$BL185,IF(J187="UNIQUE",PR!$BM185,IF(J187="VIXA",PR!$BN185,IF(J187="WWCV",PR!$BO185,IF(J187="ZOLON",PR!$BP185,"-"))))))))))))))))))))))))))))))))))))))))))))))))))))))))))))))))</f>
        <v>-</v>
      </c>
      <c r="J187" s="102">
        <f>EV!N228</f>
        <v>0</v>
      </c>
      <c r="K187" s="433" t="s">
        <v>618</v>
      </c>
      <c r="L187" s="183">
        <f>IF(K187&gt;0,IF(K187="ALPHA",PR!$E185,IF(K187="ASSENE",PR!$F185,IF(K187="BIOFEM",PR!$G185,IF(K187="BIOMED",PR!$H185,IF(K187="CHI",PR!$I185,IF(K187="CLARION",PR!$J185,IF(K187="CODIX",PR!$K185,IF(K187="COSMADE",PR!$L185,IF(K187="SANCON",PR!$M185,IF(K187="DEVON",PR!$N185,IF(K187="DORTEMAG",PR!$O185,IF(K187="DGF",PR!$P185,IF(K187="DYNAMIC",PR!$Q185,IF(K187="EMZOR",PR!$R185,IF(K187="EUMATT",PR!$S185,IF(K187="FIDSON",PR!$T185,IF(K187="FCGLOBAL",PR!$U185,IF(K187="GENEITH",PR!$V185,IF(K187="GINOS",PR!$W185,IF(K187="GSK",PR!$X185,IF(K187="GLOBORG",PR!$Y185,IF(K187="GOODNEWS",PR!$Z185,IF(K187="GREENLIFE",PR!$AA185,IF(K187="HLINE",PR!$AB185,IF(K187="ROTECH",PR!$AC185,IF(K187="ISN",PR!$AD185,IF(K187="JAWA",PR!$AE185,IF(K187="LAYO",PR!$AF185,IF(K187="LEADWAY",PR!$AG185,IF(K187="LHV",PR!$AH185,IF(K187="MANOLA",PR!$AI185,IF(K187="MARCSON",PR!$AJ185,IF(K187="M&amp;B",PR!$AK185,IF(K187="MTRUST",PR!$AL185,IF(K187="MWORLD",PR!$AM185,IF(K187="MEGA",PR!$AN185,IF(K187="MICRONOVA",PR!$AO185,IF(K187="MFLASH",PR!$AP185,IF(K187="MORISON",PR!$AQ185,IF(K187="NEMEL",PR!$AR185,IF(K187="NHP",PR!$AS185,IF(K187="NHC",PR!$AT185,IF(K187="OLEAF",PR!$AU185,IF(K187="OCULUS",PR!$AV185,IF(K187="PACIFIC",PR!$AW185,IF(K187="PHAMATEX",PR!$AX185,IF(K187="PETHICS",PR!$AY185,IF(K187="PHILIPS",PR!$AZ185,IF(K187="RANBAXY",PR!$BA185,IF(K187="REALS",PR!$BB185,IF(K187="ROYAL",PR!$BC185,IF(K187="SAM",PR!$BD185,IF(K187="SEAGREEN",PR!$BE185,IF(K187="SKG",PR!$BF185,IF(K187="TAH",PR!$BG185,IF(K187="TAYLEK",PR!$BH185,IF(K187="TEMITA",PR!$BI185,IF(K187="THL",PR!$BJ185,IF(K187="UBASTIC",PR!$BK185,IF(K187="UNION",PR!$BL185,IF(K187="UNIQUE",PR!$BM185,IF(K187="VIXA",PR!$BN185,IF(K187="WWCV",PR!$BO185,IF(K187="ZOLON",PR!$BP185,"-")))))))))))))))))))))))))))))))))))))))))))))))))))))))))))))))))</f>
        <v>1450</v>
      </c>
    </row>
    <row r="188" spans="1:12" ht="18.75" x14ac:dyDescent="0.3">
      <c r="A188" s="430">
        <f>PR!A186</f>
        <v>165</v>
      </c>
      <c r="B188" s="15" t="str">
        <f>PR!B186</f>
        <v>KETOPROFEN 2.5% GEL 10G</v>
      </c>
      <c r="C188" s="113" t="str">
        <f>PR!D186</f>
        <v>TUBE</v>
      </c>
      <c r="D188" s="113">
        <f>PR!C186</f>
        <v>600</v>
      </c>
      <c r="E188" s="108">
        <f>IF(F188="ALPHA",PR!$E186,IF(F188="ASSENE",PR!$F186,IF(F188="BIOFEM",PR!$G186,IF(F188="BIOMED",PR!$H186,IF(F188="CHI",PR!$I186,IF(F188="CLARION",PR!$J186,IF(F188="CODIX",PR!$K186,IF(F188="COSMADE",PR!$L186,IF(F188="SANCON",PR!$M186,IF(F188="DEVON",PR!$N186,IF(F188="DORTEMAG",PR!$O186,IF(F188="DGF",PR!$P186,IF(F188="DYNAMIC",PR!$Q186,IF(F188="EMZOR",PR!$R186,IF(F188="EUMATT",PR!$S186,IF(F188="FIDSON",PR!$T186,IF(F188="FCGLOBAL",PR!$U186,IF(F188="GENEITH",PR!$V186,IF(F188="GINOS",PR!$W186,IF(F188="GSK",PR!$X186,IF(F188="GLOBORG",PR!$Y186,IF(F188="GOODNEWS",PR!$Z186,IF(F188="GREENLIFE",PR!$AA186,IF(F188="HLINE",PR!$AB186,IF(F188="ROTECH",PR!$AC186,IF(F188="ISN",PR!$AD186,IF(F188="JAWA",PR!$AE186,IF(F188="LAYO",PR!$AF186,IF(F188="LEADWAY",PR!$AG186,IF(F188="LHV",PR!$AH186,IF(F188="MANOLA",PR!$AI186,IF(F188="MARCSON",PR!$AJ186,IF(F188="M&amp;B",PR!$AK186,IF(F188="MTRUST",PR!$AL186,IF(F188="MWORLD",PR!$AM186,IF(F188="MEGA",PR!$AN186,IF(F188="MICRONOVA",PR!$AO186,IF(F188="MFLASH",PR!$AP186,IF(F188="MORISON",PR!$AQ186,IF(F188="NEMEL",PR!$AR186,IF(F188="NHP",PR!$AS186,IF(F188="NHC",PR!$AT186,IF(F188="OLEAF",PR!$AU186,IF(F188="OCULUS",PR!$AV186,IF(F188="PACIFIC",PR!$AW186,IF(F188="PHAMATEX",PR!$AX186,IF(F188="PETHICS",PR!$AY186,IF(F188="PHILIPS",PR!$AZ186,IF(F188="RANBAXY",PR!$BA186,IF(F188="REALS",PR!$BB186,IF(F188="ROYAL",PR!$BC186,IF(F188="SAM",PR!$BD186,IF(F188="SEAGREEN",PR!$BE186,IF(F188="SKG",PR!$BF186,IF(F188="TAH",PR!$BG186,IF(F188="TAYLEK",PR!$BH186,IF(F188="TEMITA",PR!$BI186,IF(F188="THL",PR!$BJ186,IF(F188="UBASTIC",PR!$BK186,IF(F188="UNION",PR!$BL186,IF(F188="UNIQUE",PR!$BM186,IF(F188="VIXA",PR!$BN186,IF(F188="WWCV",PR!$BO186,IF(F188="ZOLON",PR!$BP186,"-"))))))))))))))))))))))))))))))))))))))))))))))))))))))))))))))))</f>
        <v>500</v>
      </c>
      <c r="F188" s="102" t="str">
        <f>EV!L229</f>
        <v>PHILIPS</v>
      </c>
      <c r="G188" s="108" t="str">
        <f>IF(H188="ALPHA",PR!$E186,IF(H188="ASSENE",PR!$F186,IF(H188="BIOFEM",PR!$G186,IF(H188="BIOMED",PR!$H186,IF(H188="CHI",PR!$I186,IF(H188="CLARION",PR!$J186,IF(H188="CODIX",PR!$K186,IF(H188="COSMADE",PR!$L186,IF(H188="SANCON",PR!$M186,IF(H188="DEVON",PR!$N186,IF(H188="DORTEMAG",PR!$O186,IF(H188="DGF",PR!$P186,IF(H188="DYNAMIC",PR!$Q186,IF(H188="EMZOR",PR!$R186,IF(H188="EUMATT",PR!$S186,IF(H188="FIDSON",PR!$T186,IF(H188="FCGLOBAL",PR!$U186,IF(H188="GENEITH",PR!$V186,IF(H188="GINOS",PR!$W186,IF(H188="GSK",PR!$X186,IF(H188="GLOBORG",PR!$Y186,IF(H188="GOODNEWS",PR!$Z186,IF(H188="GREENLIFE",PR!$AA186,IF(H188="HLINE",PR!$AB186,IF(H188="ROTECH",PR!$AC186,IF(H188="ISN",PR!$AD186,IF(H188="JAWA",PR!$AE186,IF(H188="LAYO",PR!$AF186,IF(H188="LEADWAY",PR!$AG186,IF(H188="LHV",PR!$AH186,IF(H188="MANOLA",PR!$AI186,IF(H188="MARCSON",PR!$AJ186,IF(H188="M&amp;B",PR!$AK186,IF(H188="MTRUST",PR!$AL186,IF(H188="MWORLD",PR!$AM186,IF(H188="MEGA",PR!$AN186,IF(H188="MICRONOVA",PR!$AO186,IF(H188="MFLASH",PR!$AP186,IF(H188="MORISON",PR!$AQ186,IF(H188="NEMEL",PR!$AR186,IF(H188="NHP",PR!$AS186,IF(H188="NHC",PR!$AT186,IF(H188="OLEAF",PR!$AU186,IF(H188="OCULUS",PR!$AV186,IF(H188="PACIFIC",PR!$AW186,IF(H188="PHAMATEX",PR!$AX186,IF(H188="PETHICS",PR!$AY186,IF(H188="PHILIPS",PR!$AZ186,IF(H188="RANBAXY",PR!$BA186,IF(H188="REALS",PR!$BB186,IF(H188="ROYAL",PR!$BC186,IF(H188="SAM",PR!$BD186,IF(H188="SEAGREEN",PR!$BE186,IF(H188="SKG",PR!$BF186,IF(H188="TAH",PR!$BG186,IF(H188="TAYLEK",PR!$BH186,IF(H188="TEMITA",PR!$BI186,IF(H188="THL",PR!$BJ186,IF(H188="UBASTIC",PR!$BK186,IF(H188="UNION",PR!$BL186,IF(H188="UNIQUE",PR!$BM186,IF(H188="VIXA",PR!$BN186,IF(H188="WWCV",PR!$BO186,IF(H188="ZOLON",PR!$BP186,"-"))))))))))))))))))))))))))))))))))))))))))))))))))))))))))))))))</f>
        <v>-</v>
      </c>
      <c r="H188" s="102">
        <f>EV!M229</f>
        <v>0</v>
      </c>
      <c r="I188" s="108" t="str">
        <f>IF(J188="ALPHA",PR!$E186,IF(J188="ASSENE",PR!$F186,IF(J188="BIOFEM",PR!$G186,IF(J188="BIOMED",PR!$H186,IF(J188="CHI",PR!$I186,IF(J188="CLARION",PR!$J186,IF(J188="CODIX",PR!$K186,IF(J188="COSMADE",PR!$L186,IF(J188="SANCON",PR!$M186,IF(J188="DEVON",PR!$N186,IF(J188="DORTEMAG",PR!$O186,IF(J188="DGF",PR!$P186,IF(J188="DYNAMIC",PR!$Q186,IF(J188="EMZOR",PR!$R186,IF(J188="EUMATT",PR!$S186,IF(J188="FIDSON",PR!$T186,IF(J188="FCGLOBAL",PR!$U186,IF(J188="GENEITH",PR!$V186,IF(J188="GINOS",PR!$W186,IF(J188="GSK",PR!$X186,IF(J188="GLOBORG",PR!$Y186,IF(J188="GOODNEWS",PR!$Z186,IF(J188="GREENLIFE",PR!$AA186,IF(J188="HLINE",PR!$AB186,IF(J188="ROTECH",PR!$AC186,IF(J188="ISN",PR!$AD186,IF(J188="JAWA",PR!$AE186,IF(J188="LAYO",PR!$AF186,IF(J188="LEADWAY",PR!$AG186,IF(J188="LHV",PR!$AH186,IF(J188="MANOLA",PR!$AI186,IF(J188="MARCSON",PR!$AJ186,IF(J188="M&amp;B",PR!$AK186,IF(J188="MTRUST",PR!$AL186,IF(J188="MWORLD",PR!$AM186,IF(J188="MEGA",PR!$AN186,IF(J188="MICRONOVA",PR!$AO186,IF(J188="MFLASH",PR!$AP186,IF(J188="MORISON",PR!$AQ186,IF(J188="NEMEL",PR!$AR186,IF(J188="NHP",PR!$AS186,IF(J188="NHC",PR!$AT186,IF(J188="OLEAF",PR!$AU186,IF(J188="OCULUS",PR!$AV186,IF(J188="PACIFIC",PR!$AW186,IF(J188="PHAMATEX",PR!$AX186,IF(J188="PETHICS",PR!$AY186,IF(J188="PHILIPS",PR!$AZ186,IF(J188="RANBAXY",PR!$BA186,IF(J188="REALS",PR!$BB186,IF(J188="ROYAL",PR!$BC186,IF(J188="SAM",PR!$BD186,IF(J188="SEAGREEN",PR!$BE186,IF(J188="SKG",PR!$BF186,IF(J188="TAH",PR!$BG186,IF(J188="TAYLEK",PR!$BH186,IF(J188="TEMITA",PR!$BI186,IF(J188="THL",PR!$BJ186,IF(J188="UBASTIC",PR!$BK186,IF(J188="UNION",PR!$BL186,IF(J188="UNIQUE",PR!$BM186,IF(J188="VIXA",PR!$BN186,IF(J188="WWCV",PR!$BO186,IF(J188="ZOLON",PR!$BP186,"-"))))))))))))))))))))))))))))))))))))))))))))))))))))))))))))))))</f>
        <v>-</v>
      </c>
      <c r="J188" s="102">
        <f>EV!N229</f>
        <v>0</v>
      </c>
      <c r="K188" s="433" t="s">
        <v>618</v>
      </c>
      <c r="L188" s="183">
        <f>IF(K188&gt;0,IF(K188="ALPHA",PR!$E186,IF(K188="ASSENE",PR!$F186,IF(K188="BIOFEM",PR!$G186,IF(K188="BIOMED",PR!$H186,IF(K188="CHI",PR!$I186,IF(K188="CLARION",PR!$J186,IF(K188="CODIX",PR!$K186,IF(K188="COSMADE",PR!$L186,IF(K188="SANCON",PR!$M186,IF(K188="DEVON",PR!$N186,IF(K188="DORTEMAG",PR!$O186,IF(K188="DGF",PR!$P186,IF(K188="DYNAMIC",PR!$Q186,IF(K188="EMZOR",PR!$R186,IF(K188="EUMATT",PR!$S186,IF(K188="FIDSON",PR!$T186,IF(K188="FCGLOBAL",PR!$U186,IF(K188="GENEITH",PR!$V186,IF(K188="GINOS",PR!$W186,IF(K188="GSK",PR!$X186,IF(K188="GLOBORG",PR!$Y186,IF(K188="GOODNEWS",PR!$Z186,IF(K188="GREENLIFE",PR!$AA186,IF(K188="HLINE",PR!$AB186,IF(K188="ROTECH",PR!$AC186,IF(K188="ISN",PR!$AD186,IF(K188="JAWA",PR!$AE186,IF(K188="LAYO",PR!$AF186,IF(K188="LEADWAY",PR!$AG186,IF(K188="LHV",PR!$AH186,IF(K188="MANOLA",PR!$AI186,IF(K188="MARCSON",PR!$AJ186,IF(K188="M&amp;B",PR!$AK186,IF(K188="MTRUST",PR!$AL186,IF(K188="MWORLD",PR!$AM186,IF(K188="MEGA",PR!$AN186,IF(K188="MICRONOVA",PR!$AO186,IF(K188="MFLASH",PR!$AP186,IF(K188="MORISON",PR!$AQ186,IF(K188="NEMEL",PR!$AR186,IF(K188="NHP",PR!$AS186,IF(K188="NHC",PR!$AT186,IF(K188="OLEAF",PR!$AU186,IF(K188="OCULUS",PR!$AV186,IF(K188="PACIFIC",PR!$AW186,IF(K188="PHAMATEX",PR!$AX186,IF(K188="PETHICS",PR!$AY186,IF(K188="PHILIPS",PR!$AZ186,IF(K188="RANBAXY",PR!$BA186,IF(K188="REALS",PR!$BB186,IF(K188="ROYAL",PR!$BC186,IF(K188="SAM",PR!$BD186,IF(K188="SEAGREEN",PR!$BE186,IF(K188="SKG",PR!$BF186,IF(K188="TAH",PR!$BG186,IF(K188="TAYLEK",PR!$BH186,IF(K188="TEMITA",PR!$BI186,IF(K188="THL",PR!$BJ186,IF(K188="UBASTIC",PR!$BK186,IF(K188="UNION",PR!$BL186,IF(K188="UNIQUE",PR!$BM186,IF(K188="VIXA",PR!$BN186,IF(K188="WWCV",PR!$BO186,IF(K188="ZOLON",PR!$BP186,"-")))))))))))))))))))))))))))))))))))))))))))))))))))))))))))))))))</f>
        <v>500</v>
      </c>
    </row>
    <row r="189" spans="1:12" ht="18.75" x14ac:dyDescent="0.3">
      <c r="A189" s="430">
        <f>PR!A187</f>
        <v>166</v>
      </c>
      <c r="B189" s="15" t="str">
        <f>PR!B187</f>
        <v>KETOPROFEN 2.5% GEL 100G</v>
      </c>
      <c r="C189" s="113" t="str">
        <f>PR!D187</f>
        <v>TUBE</v>
      </c>
      <c r="D189" s="113">
        <f>PR!C187</f>
        <v>200</v>
      </c>
      <c r="E189" s="108">
        <f>IF(F189="ALPHA",PR!$E187,IF(F189="ASSENE",PR!$F187,IF(F189="BIOFEM",PR!$G187,IF(F189="BIOMED",PR!$H187,IF(F189="CHI",PR!$I187,IF(F189="CLARION",PR!$J187,IF(F189="CODIX",PR!$K187,IF(F189="COSMADE",PR!$L187,IF(F189="SANCON",PR!$M187,IF(F189="DEVON",PR!$N187,IF(F189="DORTEMAG",PR!$O187,IF(F189="DGF",PR!$P187,IF(F189="DYNAMIC",PR!$Q187,IF(F189="EMZOR",PR!$R187,IF(F189="EUMATT",PR!$S187,IF(F189="FIDSON",PR!$T187,IF(F189="FCGLOBAL",PR!$U187,IF(F189="GENEITH",PR!$V187,IF(F189="GINOS",PR!$W187,IF(F189="GSK",PR!$X187,IF(F189="GLOBORG",PR!$Y187,IF(F189="GOODNEWS",PR!$Z187,IF(F189="GREENLIFE",PR!$AA187,IF(F189="HLINE",PR!$AB187,IF(F189="ROTECH",PR!$AC187,IF(F189="ISN",PR!$AD187,IF(F189="JAWA",PR!$AE187,IF(F189="LAYO",PR!$AF187,IF(F189="LEADWAY",PR!$AG187,IF(F189="LHV",PR!$AH187,IF(F189="MANOLA",PR!$AI187,IF(F189="MARCSON",PR!$AJ187,IF(F189="M&amp;B",PR!$AK187,IF(F189="MTRUST",PR!$AL187,IF(F189="MWORLD",PR!$AM187,IF(F189="MEGA",PR!$AN187,IF(F189="MICRONOVA",PR!$AO187,IF(F189="MFLASH",PR!$AP187,IF(F189="MORISON",PR!$AQ187,IF(F189="NEMEL",PR!$AR187,IF(F189="NHP",PR!$AS187,IF(F189="NHC",PR!$AT187,IF(F189="OLEAF",PR!$AU187,IF(F189="OCULUS",PR!$AV187,IF(F189="PACIFIC",PR!$AW187,IF(F189="PHAMATEX",PR!$AX187,IF(F189="PETHICS",PR!$AY187,IF(F189="PHILIPS",PR!$AZ187,IF(F189="RANBAXY",PR!$BA187,IF(F189="REALS",PR!$BB187,IF(F189="ROYAL",PR!$BC187,IF(F189="SAM",PR!$BD187,IF(F189="SEAGREEN",PR!$BE187,IF(F189="SKG",PR!$BF187,IF(F189="TAH",PR!$BG187,IF(F189="TAYLEK",PR!$BH187,IF(F189="TEMITA",PR!$BI187,IF(F189="THL",PR!$BJ187,IF(F189="UBASTIC",PR!$BK187,IF(F189="UNION",PR!$BL187,IF(F189="UNIQUE",PR!$BM187,IF(F189="VIXA",PR!$BN187,IF(F189="WWCV",PR!$BO187,IF(F189="ZOLON",PR!$BP187,"-"))))))))))))))))))))))))))))))))))))))))))))))))))))))))))))))))</f>
        <v>2950</v>
      </c>
      <c r="F189" s="102" t="str">
        <f>EV!L230</f>
        <v>PHILIPS</v>
      </c>
      <c r="G189" s="108">
        <f>IF(H189="ALPHA",PR!$E187,IF(H189="ASSENE",PR!$F187,IF(H189="BIOFEM",PR!$G187,IF(H189="BIOMED",PR!$H187,IF(H189="CHI",PR!$I187,IF(H189="CLARION",PR!$J187,IF(H189="CODIX",PR!$K187,IF(H189="COSMADE",PR!$L187,IF(H189="SANCON",PR!$M187,IF(H189="DEVON",PR!$N187,IF(H189="DORTEMAG",PR!$O187,IF(H189="DGF",PR!$P187,IF(H189="DYNAMIC",PR!$Q187,IF(H189="EMZOR",PR!$R187,IF(H189="EUMATT",PR!$S187,IF(H189="FIDSON",PR!$T187,IF(H189="FCGLOBAL",PR!$U187,IF(H189="GENEITH",PR!$V187,IF(H189="GINOS",PR!$W187,IF(H189="GSK",PR!$X187,IF(H189="GLOBORG",PR!$Y187,IF(H189="GOODNEWS",PR!$Z187,IF(H189="GREENLIFE",PR!$AA187,IF(H189="HLINE",PR!$AB187,IF(H189="ROTECH",PR!$AC187,IF(H189="ISN",PR!$AD187,IF(H189="JAWA",PR!$AE187,IF(H189="LAYO",PR!$AF187,IF(H189="LEADWAY",PR!$AG187,IF(H189="LHV",PR!$AH187,IF(H189="MANOLA",PR!$AI187,IF(H189="MARCSON",PR!$AJ187,IF(H189="M&amp;B",PR!$AK187,IF(H189="MTRUST",PR!$AL187,IF(H189="MWORLD",PR!$AM187,IF(H189="MEGA",PR!$AN187,IF(H189="MICRONOVA",PR!$AO187,IF(H189="MFLASH",PR!$AP187,IF(H189="MORISON",PR!$AQ187,IF(H189="NEMEL",PR!$AR187,IF(H189="NHP",PR!$AS187,IF(H189="NHC",PR!$AT187,IF(H189="OLEAF",PR!$AU187,IF(H189="OCULUS",PR!$AV187,IF(H189="PACIFIC",PR!$AW187,IF(H189="PHAMATEX",PR!$AX187,IF(H189="PETHICS",PR!$AY187,IF(H189="PHILIPS",PR!$AZ187,IF(H189="RANBAXY",PR!$BA187,IF(H189="REALS",PR!$BB187,IF(H189="ROYAL",PR!$BC187,IF(H189="SAM",PR!$BD187,IF(H189="SEAGREEN",PR!$BE187,IF(H189="SKG",PR!$BF187,IF(H189="TAH",PR!$BG187,IF(H189="TAYLEK",PR!$BH187,IF(H189="TEMITA",PR!$BI187,IF(H189="THL",PR!$BJ187,IF(H189="UBASTIC",PR!$BK187,IF(H189="UNION",PR!$BL187,IF(H189="UNIQUE",PR!$BM187,IF(H189="VIXA",PR!$BN187,IF(H189="WWCV",PR!$BO187,IF(H189="ZOLON",PR!$BP187,"-"))))))))))))))))))))))))))))))))))))))))))))))))))))))))))))))))</f>
        <v>3000</v>
      </c>
      <c r="H189" s="102" t="str">
        <f>EV!M230</f>
        <v>SEAGREEN</v>
      </c>
      <c r="I189" s="108" t="str">
        <f>IF(J189="ALPHA",PR!$E187,IF(J189="ASSENE",PR!$F187,IF(J189="BIOFEM",PR!$G187,IF(J189="BIOMED",PR!$H187,IF(J189="CHI",PR!$I187,IF(J189="CLARION",PR!$J187,IF(J189="CODIX",PR!$K187,IF(J189="COSMADE",PR!$L187,IF(J189="SANCON",PR!$M187,IF(J189="DEVON",PR!$N187,IF(J189="DORTEMAG",PR!$O187,IF(J189="DGF",PR!$P187,IF(J189="DYNAMIC",PR!$Q187,IF(J189="EMZOR",PR!$R187,IF(J189="EUMATT",PR!$S187,IF(J189="FIDSON",PR!$T187,IF(J189="FCGLOBAL",PR!$U187,IF(J189="GENEITH",PR!$V187,IF(J189="GINOS",PR!$W187,IF(J189="GSK",PR!$X187,IF(J189="GLOBORG",PR!$Y187,IF(J189="GOODNEWS",PR!$Z187,IF(J189="GREENLIFE",PR!$AA187,IF(J189="HLINE",PR!$AB187,IF(J189="ROTECH",PR!$AC187,IF(J189="ISN",PR!$AD187,IF(J189="JAWA",PR!$AE187,IF(J189="LAYO",PR!$AF187,IF(J189="LEADWAY",PR!$AG187,IF(J189="LHV",PR!$AH187,IF(J189="MANOLA",PR!$AI187,IF(J189="MARCSON",PR!$AJ187,IF(J189="M&amp;B",PR!$AK187,IF(J189="MTRUST",PR!$AL187,IF(J189="MWORLD",PR!$AM187,IF(J189="MEGA",PR!$AN187,IF(J189="MICRONOVA",PR!$AO187,IF(J189="MFLASH",PR!$AP187,IF(J189="MORISON",PR!$AQ187,IF(J189="NEMEL",PR!$AR187,IF(J189="NHP",PR!$AS187,IF(J189="NHC",PR!$AT187,IF(J189="OLEAF",PR!$AU187,IF(J189="OCULUS",PR!$AV187,IF(J189="PACIFIC",PR!$AW187,IF(J189="PHAMATEX",PR!$AX187,IF(J189="PETHICS",PR!$AY187,IF(J189="PHILIPS",PR!$AZ187,IF(J189="RANBAXY",PR!$BA187,IF(J189="REALS",PR!$BB187,IF(J189="ROYAL",PR!$BC187,IF(J189="SAM",PR!$BD187,IF(J189="SEAGREEN",PR!$BE187,IF(J189="SKG",PR!$BF187,IF(J189="TAH",PR!$BG187,IF(J189="TAYLEK",PR!$BH187,IF(J189="TEMITA",PR!$BI187,IF(J189="THL",PR!$BJ187,IF(J189="UBASTIC",PR!$BK187,IF(J189="UNION",PR!$BL187,IF(J189="UNIQUE",PR!$BM187,IF(J189="VIXA",PR!$BN187,IF(J189="WWCV",PR!$BO187,IF(J189="ZOLON",PR!$BP187,"-"))))))))))))))))))))))))))))))))))))))))))))))))))))))))))))))))</f>
        <v>-</v>
      </c>
      <c r="J189" s="102">
        <f>EV!N230</f>
        <v>0</v>
      </c>
      <c r="K189" s="433" t="s">
        <v>618</v>
      </c>
      <c r="L189" s="183">
        <f>IF(K189&gt;0,IF(K189="ALPHA",PR!$E187,IF(K189="ASSENE",PR!$F187,IF(K189="BIOFEM",PR!$G187,IF(K189="BIOMED",PR!$H187,IF(K189="CHI",PR!$I187,IF(K189="CLARION",PR!$J187,IF(K189="CODIX",PR!$K187,IF(K189="COSMADE",PR!$L187,IF(K189="SANCON",PR!$M187,IF(K189="DEVON",PR!$N187,IF(K189="DORTEMAG",PR!$O187,IF(K189="DGF",PR!$P187,IF(K189="DYNAMIC",PR!$Q187,IF(K189="EMZOR",PR!$R187,IF(K189="EUMATT",PR!$S187,IF(K189="FIDSON",PR!$T187,IF(K189="FCGLOBAL",PR!$U187,IF(K189="GENEITH",PR!$V187,IF(K189="GINOS",PR!$W187,IF(K189="GSK",PR!$X187,IF(K189="GLOBORG",PR!$Y187,IF(K189="GOODNEWS",PR!$Z187,IF(K189="GREENLIFE",PR!$AA187,IF(K189="HLINE",PR!$AB187,IF(K189="ROTECH",PR!$AC187,IF(K189="ISN",PR!$AD187,IF(K189="JAWA",PR!$AE187,IF(K189="LAYO",PR!$AF187,IF(K189="LEADWAY",PR!$AG187,IF(K189="LHV",PR!$AH187,IF(K189="MANOLA",PR!$AI187,IF(K189="MARCSON",PR!$AJ187,IF(K189="M&amp;B",PR!$AK187,IF(K189="MTRUST",PR!$AL187,IF(K189="MWORLD",PR!$AM187,IF(K189="MEGA",PR!$AN187,IF(K189="MICRONOVA",PR!$AO187,IF(K189="MFLASH",PR!$AP187,IF(K189="MORISON",PR!$AQ187,IF(K189="NEMEL",PR!$AR187,IF(K189="NHP",PR!$AS187,IF(K189="NHC",PR!$AT187,IF(K189="OLEAF",PR!$AU187,IF(K189="OCULUS",PR!$AV187,IF(K189="PACIFIC",PR!$AW187,IF(K189="PHAMATEX",PR!$AX187,IF(K189="PETHICS",PR!$AY187,IF(K189="PHILIPS",PR!$AZ187,IF(K189="RANBAXY",PR!$BA187,IF(K189="REALS",PR!$BB187,IF(K189="ROYAL",PR!$BC187,IF(K189="SAM",PR!$BD187,IF(K189="SEAGREEN",PR!$BE187,IF(K189="SKG",PR!$BF187,IF(K189="TAH",PR!$BG187,IF(K189="TAYLEK",PR!$BH187,IF(K189="TEMITA",PR!$BI187,IF(K189="THL",PR!$BJ187,IF(K189="UBASTIC",PR!$BK187,IF(K189="UNION",PR!$BL187,IF(K189="UNIQUE",PR!$BM187,IF(K189="VIXA",PR!$BN187,IF(K189="WWCV",PR!$BO187,IF(K189="ZOLON",PR!$BP187,"-")))))))))))))))))))))))))))))))))))))))))))))))))))))))))))))))))</f>
        <v>2950</v>
      </c>
    </row>
    <row r="190" spans="1:12" ht="18.75" x14ac:dyDescent="0.3">
      <c r="A190" s="430">
        <f>PR!A188</f>
        <v>167</v>
      </c>
      <c r="B190" s="15" t="str">
        <f>PR!B188</f>
        <v>MEFENAMIC ACID 250MG CAP</v>
      </c>
      <c r="C190" s="113">
        <f>PR!D188</f>
        <v>100</v>
      </c>
      <c r="D190" s="113">
        <f>PR!C188</f>
        <v>60</v>
      </c>
      <c r="E190" s="108">
        <f>IF(F190="ALPHA",PR!$E188,IF(F190="ASSENE",PR!$F188,IF(F190="BIOFEM",PR!$G188,IF(F190="BIOMED",PR!$H188,IF(F190="CHI",PR!$I188,IF(F190="CLARION",PR!$J188,IF(F190="CODIX",PR!$K188,IF(F190="COSMADE",PR!$L188,IF(F190="SANCON",PR!$M188,IF(F190="DEVON",PR!$N188,IF(F190="DORTEMAG",PR!$O188,IF(F190="DGF",PR!$P188,IF(F190="DYNAMIC",PR!$Q188,IF(F190="EMZOR",PR!$R188,IF(F190="EUMATT",PR!$S188,IF(F190="FIDSON",PR!$T188,IF(F190="FCGLOBAL",PR!$U188,IF(F190="GENEITH",PR!$V188,IF(F190="GINOS",PR!$W188,IF(F190="GSK",PR!$X188,IF(F190="GLOBORG",PR!$Y188,IF(F190="GOODNEWS",PR!$Z188,IF(F190="GREENLIFE",PR!$AA188,IF(F190="HLINE",PR!$AB188,IF(F190="ROTECH",PR!$AC188,IF(F190="ISN",PR!$AD188,IF(F190="JAWA",PR!$AE188,IF(F190="LAYO",PR!$AF188,IF(F190="LEADWAY",PR!$AG188,IF(F190="LHV",PR!$AH188,IF(F190="MANOLA",PR!$AI188,IF(F190="MARCSON",PR!$AJ188,IF(F190="M&amp;B",PR!$AK188,IF(F190="MTRUST",PR!$AL188,IF(F190="MWORLD",PR!$AM188,IF(F190="MEGA",PR!$AN188,IF(F190="MICRONOVA",PR!$AO188,IF(F190="MFLASH",PR!$AP188,IF(F190="MORISON",PR!$AQ188,IF(F190="NEMEL",PR!$AR188,IF(F190="NHP",PR!$AS188,IF(F190="NHC",PR!$AT188,IF(F190="OLEAF",PR!$AU188,IF(F190="OCULUS",PR!$AV188,IF(F190="PACIFIC",PR!$AW188,IF(F190="PHAMATEX",PR!$AX188,IF(F190="PETHICS",PR!$AY188,IF(F190="PHILIPS",PR!$AZ188,IF(F190="RANBAXY",PR!$BA188,IF(F190="REALS",PR!$BB188,IF(F190="ROYAL",PR!$BC188,IF(F190="SAM",PR!$BD188,IF(F190="SEAGREEN",PR!$BE188,IF(F190="SKG",PR!$BF188,IF(F190="TAH",PR!$BG188,IF(F190="TAYLEK",PR!$BH188,IF(F190="TEMITA",PR!$BI188,IF(F190="THL",PR!$BJ188,IF(F190="UBASTIC",PR!$BK188,IF(F190="UNION",PR!$BL188,IF(F190="UNIQUE",PR!$BM188,IF(F190="VIXA",PR!$BN188,IF(F190="WWCV",PR!$BO188,IF(F190="ZOLON",PR!$BP188,"-"))))))))))))))))))))))))))))))))))))))))))))))))))))))))))))))))</f>
        <v>350</v>
      </c>
      <c r="F190" s="102" t="str">
        <f>EV!L231</f>
        <v>MANOLA</v>
      </c>
      <c r="G190" s="108">
        <f>IF(H190="ALPHA",PR!$E188,IF(H190="ASSENE",PR!$F188,IF(H190="BIOFEM",PR!$G188,IF(H190="BIOMED",PR!$H188,IF(H190="CHI",PR!$I188,IF(H190="CLARION",PR!$J188,IF(H190="CODIX",PR!$K188,IF(H190="COSMADE",PR!$L188,IF(H190="SANCON",PR!$M188,IF(H190="DEVON",PR!$N188,IF(H190="DORTEMAG",PR!$O188,IF(H190="DGF",PR!$P188,IF(H190="DYNAMIC",PR!$Q188,IF(H190="EMZOR",PR!$R188,IF(H190="EUMATT",PR!$S188,IF(H190="FIDSON",PR!$T188,IF(H190="FCGLOBAL",PR!$U188,IF(H190="GENEITH",PR!$V188,IF(H190="GINOS",PR!$W188,IF(H190="GSK",PR!$X188,IF(H190="GLOBORG",PR!$Y188,IF(H190="GOODNEWS",PR!$Z188,IF(H190="GREENLIFE",PR!$AA188,IF(H190="HLINE",PR!$AB188,IF(H190="ROTECH",PR!$AC188,IF(H190="ISN",PR!$AD188,IF(H190="JAWA",PR!$AE188,IF(H190="LAYO",PR!$AF188,IF(H190="LEADWAY",PR!$AG188,IF(H190="LHV",PR!$AH188,IF(H190="MANOLA",PR!$AI188,IF(H190="MARCSON",PR!$AJ188,IF(H190="M&amp;B",PR!$AK188,IF(H190="MTRUST",PR!$AL188,IF(H190="MWORLD",PR!$AM188,IF(H190="MEGA",PR!$AN188,IF(H190="MICRONOVA",PR!$AO188,IF(H190="MFLASH",PR!$AP188,IF(H190="MORISON",PR!$AQ188,IF(H190="NEMEL",PR!$AR188,IF(H190="NHP",PR!$AS188,IF(H190="NHC",PR!$AT188,IF(H190="OLEAF",PR!$AU188,IF(H190="OCULUS",PR!$AV188,IF(H190="PACIFIC",PR!$AW188,IF(H190="PHAMATEX",PR!$AX188,IF(H190="PETHICS",PR!$AY188,IF(H190="PHILIPS",PR!$AZ188,IF(H190="RANBAXY",PR!$BA188,IF(H190="REALS",PR!$BB188,IF(H190="ROYAL",PR!$BC188,IF(H190="SAM",PR!$BD188,IF(H190="SEAGREEN",PR!$BE188,IF(H190="SKG",PR!$BF188,IF(H190="TAH",PR!$BG188,IF(H190="TAYLEK",PR!$BH188,IF(H190="TEMITA",PR!$BI188,IF(H190="THL",PR!$BJ188,IF(H190="UBASTIC",PR!$BK188,IF(H190="UNION",PR!$BL188,IF(H190="UNIQUE",PR!$BM188,IF(H190="VIXA",PR!$BN188,IF(H190="WWCV",PR!$BO188,IF(H190="ZOLON",PR!$BP188,"-"))))))))))))))))))))))))))))))))))))))))))))))))))))))))))))))))</f>
        <v>750.8</v>
      </c>
      <c r="H190" s="102" t="str">
        <f>EV!M231</f>
        <v>VIXA</v>
      </c>
      <c r="I190" s="108">
        <f>IF(J190="ALPHA",PR!$E188,IF(J190="ASSENE",PR!$F188,IF(J190="BIOFEM",PR!$G188,IF(J190="BIOMED",PR!$H188,IF(J190="CHI",PR!$I188,IF(J190="CLARION",PR!$J188,IF(J190="CODIX",PR!$K188,IF(J190="COSMADE",PR!$L188,IF(J190="SANCON",PR!$M188,IF(J190="DEVON",PR!$N188,IF(J190="DORTEMAG",PR!$O188,IF(J190="DGF",PR!$P188,IF(J190="DYNAMIC",PR!$Q188,IF(J190="EMZOR",PR!$R188,IF(J190="EUMATT",PR!$S188,IF(J190="FIDSON",PR!$T188,IF(J190="FCGLOBAL",PR!$U188,IF(J190="GENEITH",PR!$V188,IF(J190="GINOS",PR!$W188,IF(J190="GSK",PR!$X188,IF(J190="GLOBORG",PR!$Y188,IF(J190="GOODNEWS",PR!$Z188,IF(J190="GREENLIFE",PR!$AA188,IF(J190="HLINE",PR!$AB188,IF(J190="ROTECH",PR!$AC188,IF(J190="ISN",PR!$AD188,IF(J190="JAWA",PR!$AE188,IF(J190="LAYO",PR!$AF188,IF(J190="LEADWAY",PR!$AG188,IF(J190="LHV",PR!$AH188,IF(J190="MANOLA",PR!$AI188,IF(J190="MARCSON",PR!$AJ188,IF(J190="M&amp;B",PR!$AK188,IF(J190="MTRUST",PR!$AL188,IF(J190="MWORLD",PR!$AM188,IF(J190="MEGA",PR!$AN188,IF(J190="MICRONOVA",PR!$AO188,IF(J190="MFLASH",PR!$AP188,IF(J190="MORISON",PR!$AQ188,IF(J190="NEMEL",PR!$AR188,IF(J190="NHP",PR!$AS188,IF(J190="NHC",PR!$AT188,IF(J190="OLEAF",PR!$AU188,IF(J190="OCULUS",PR!$AV188,IF(J190="PACIFIC",PR!$AW188,IF(J190="PHAMATEX",PR!$AX188,IF(J190="PETHICS",PR!$AY188,IF(J190="PHILIPS",PR!$AZ188,IF(J190="RANBAXY",PR!$BA188,IF(J190="REALS",PR!$BB188,IF(J190="ROYAL",PR!$BC188,IF(J190="SAM",PR!$BD188,IF(J190="SEAGREEN",PR!$BE188,IF(J190="SKG",PR!$BF188,IF(J190="TAH",PR!$BG188,IF(J190="TAYLEK",PR!$BH188,IF(J190="TEMITA",PR!$BI188,IF(J190="THL",PR!$BJ188,IF(J190="UBASTIC",PR!$BK188,IF(J190="UNION",PR!$BL188,IF(J190="UNIQUE",PR!$BM188,IF(J190="VIXA",PR!$BN188,IF(J190="WWCV",PR!$BO188,IF(J190="ZOLON",PR!$BP188,"-"))))))))))))))))))))))))))))))))))))))))))))))))))))))))))))))))</f>
        <v>1500</v>
      </c>
      <c r="J190" s="102" t="str">
        <f>EV!N231</f>
        <v>GREENLIFE</v>
      </c>
      <c r="K190" s="433" t="s">
        <v>820</v>
      </c>
      <c r="L190" s="183">
        <f>IF(K190&gt;0,IF(K190="ALPHA",PR!$E188,IF(K190="ASSENE",PR!$F188,IF(K190="BIOFEM",PR!$G188,IF(K190="BIOMED",PR!$H188,IF(K190="CHI",PR!$I188,IF(K190="CLARION",PR!$J188,IF(K190="CODIX",PR!$K188,IF(K190="COSMADE",PR!$L188,IF(K190="SANCON",PR!$M188,IF(K190="DEVON",PR!$N188,IF(K190="DORTEMAG",PR!$O188,IF(K190="DGF",PR!$P188,IF(K190="DYNAMIC",PR!$Q188,IF(K190="EMZOR",PR!$R188,IF(K190="EUMATT",PR!$S188,IF(K190="FIDSON",PR!$T188,IF(K190="FCGLOBAL",PR!$U188,IF(K190="GENEITH",PR!$V188,IF(K190="GINOS",PR!$W188,IF(K190="GSK",PR!$X188,IF(K190="GLOBORG",PR!$Y188,IF(K190="GOODNEWS",PR!$Z188,IF(K190="GREENLIFE",PR!$AA188,IF(K190="HLINE",PR!$AB188,IF(K190="ROTECH",PR!$AC188,IF(K190="ISN",PR!$AD188,IF(K190="JAWA",PR!$AE188,IF(K190="LAYO",PR!$AF188,IF(K190="LEADWAY",PR!$AG188,IF(K190="LHV",PR!$AH188,IF(K190="MANOLA",PR!$AI188,IF(K190="MARCSON",PR!$AJ188,IF(K190="M&amp;B",PR!$AK188,IF(K190="MTRUST",PR!$AL188,IF(K190="MWORLD",PR!$AM188,IF(K190="MEGA",PR!$AN188,IF(K190="MICRONOVA",PR!$AO188,IF(K190="MFLASH",PR!$AP188,IF(K190="MORISON",PR!$AQ188,IF(K190="NEMEL",PR!$AR188,IF(K190="NHP",PR!$AS188,IF(K190="NHC",PR!$AT188,IF(K190="OLEAF",PR!$AU188,IF(K190="OCULUS",PR!$AV188,IF(K190="PACIFIC",PR!$AW188,IF(K190="PHAMATEX",PR!$AX188,IF(K190="PETHICS",PR!$AY188,IF(K190="PHILIPS",PR!$AZ188,IF(K190="RANBAXY",PR!$BA188,IF(K190="REALS",PR!$BB188,IF(K190="ROYAL",PR!$BC188,IF(K190="SAM",PR!$BD188,IF(K190="SEAGREEN",PR!$BE188,IF(K190="SKG",PR!$BF188,IF(K190="TAH",PR!$BG188,IF(K190="TAYLEK",PR!$BH188,IF(K190="TEMITA",PR!$BI188,IF(K190="THL",PR!$BJ188,IF(K190="UBASTIC",PR!$BK188,IF(K190="UNION",PR!$BL188,IF(K190="UNIQUE",PR!$BM188,IF(K190="VIXA",PR!$BN188,IF(K190="WWCV",PR!$BO188,IF(K190="ZOLON",PR!$BP188,"-")))))))))))))))))))))))))))))))))))))))))))))))))))))))))))))))))</f>
        <v>350</v>
      </c>
    </row>
    <row r="191" spans="1:12" ht="18.75" x14ac:dyDescent="0.3">
      <c r="A191" s="430">
        <f>PR!A189</f>
        <v>168</v>
      </c>
      <c r="B191" s="15" t="str">
        <f>PR!B189</f>
        <v>MELOXICAM 15MG TAB</v>
      </c>
      <c r="C191" s="113">
        <f>PR!D189</f>
        <v>10</v>
      </c>
      <c r="D191" s="113">
        <f>PR!C189</f>
        <v>40</v>
      </c>
      <c r="E191" s="108">
        <f>IF(F191="ALPHA",PR!$E189,IF(F191="ASSENE",PR!$F189,IF(F191="BIOFEM",PR!$G189,IF(F191="BIOMED",PR!$H189,IF(F191="CHI",PR!$I189,IF(F191="CLARION",PR!$J189,IF(F191="CODIX",PR!$K189,IF(F191="COSMADE",PR!$L189,IF(F191="SANCON",PR!$M189,IF(F191="DEVON",PR!$N189,IF(F191="DORTEMAG",PR!$O189,IF(F191="DGF",PR!$P189,IF(F191="DYNAMIC",PR!$Q189,IF(F191="EMZOR",PR!$R189,IF(F191="EUMATT",PR!$S189,IF(F191="FIDSON",PR!$T189,IF(F191="FCGLOBAL",PR!$U189,IF(F191="GENEITH",PR!$V189,IF(F191="GINOS",PR!$W189,IF(F191="GSK",PR!$X189,IF(F191="GLOBORG",PR!$Y189,IF(F191="GOODNEWS",PR!$Z189,IF(F191="GREENLIFE",PR!$AA189,IF(F191="HLINE",PR!$AB189,IF(F191="ROTECH",PR!$AC189,IF(F191="ISN",PR!$AD189,IF(F191="JAWA",PR!$AE189,IF(F191="LAYO",PR!$AF189,IF(F191="LEADWAY",PR!$AG189,IF(F191="LHV",PR!$AH189,IF(F191="MANOLA",PR!$AI189,IF(F191="MARCSON",PR!$AJ189,IF(F191="M&amp;B",PR!$AK189,IF(F191="MTRUST",PR!$AL189,IF(F191="MWORLD",PR!$AM189,IF(F191="MEGA",PR!$AN189,IF(F191="MICRONOVA",PR!$AO189,IF(F191="MFLASH",PR!$AP189,IF(F191="MORISON",PR!$AQ189,IF(F191="NEMEL",PR!$AR189,IF(F191="NHP",PR!$AS189,IF(F191="NHC",PR!$AT189,IF(F191="OLEAF",PR!$AU189,IF(F191="OCULUS",PR!$AV189,IF(F191="PACIFIC",PR!$AW189,IF(F191="PHAMATEX",PR!$AX189,IF(F191="PETHICS",PR!$AY189,IF(F191="PHILIPS",PR!$AZ189,IF(F191="RANBAXY",PR!$BA189,IF(F191="REALS",PR!$BB189,IF(F191="ROYAL",PR!$BC189,IF(F191="SAM",PR!$BD189,IF(F191="SEAGREEN",PR!$BE189,IF(F191="SKG",PR!$BF189,IF(F191="TAH",PR!$BG189,IF(F191="TAYLEK",PR!$BH189,IF(F191="TEMITA",PR!$BI189,IF(F191="THL",PR!$BJ189,IF(F191="UBASTIC",PR!$BK189,IF(F191="UNION",PR!$BL189,IF(F191="UNIQUE",PR!$BM189,IF(F191="VIXA",PR!$BN189,IF(F191="WWCV",PR!$BO189,IF(F191="ZOLON",PR!$BP189,"-"))))))))))))))))))))))))))))))))))))))))))))))))))))))))))))))))</f>
        <v>400</v>
      </c>
      <c r="F191" s="102" t="str">
        <f>EV!L232</f>
        <v>BIOFEM</v>
      </c>
      <c r="G191" s="108">
        <f>IF(H191="ALPHA",PR!$E189,IF(H191="ASSENE",PR!$F189,IF(H191="BIOFEM",PR!$G189,IF(H191="BIOMED",PR!$H189,IF(H191="CHI",PR!$I189,IF(H191="CLARION",PR!$J189,IF(H191="CODIX",PR!$K189,IF(H191="COSMADE",PR!$L189,IF(H191="SANCON",PR!$M189,IF(H191="DEVON",PR!$N189,IF(H191="DORTEMAG",PR!$O189,IF(H191="DGF",PR!$P189,IF(H191="DYNAMIC",PR!$Q189,IF(H191="EMZOR",PR!$R189,IF(H191="EUMATT",PR!$S189,IF(H191="FIDSON",PR!$T189,IF(H191="FCGLOBAL",PR!$U189,IF(H191="GENEITH",PR!$V189,IF(H191="GINOS",PR!$W189,IF(H191="GSK",PR!$X189,IF(H191="GLOBORG",PR!$Y189,IF(H191="GOODNEWS",PR!$Z189,IF(H191="GREENLIFE",PR!$AA189,IF(H191="HLINE",PR!$AB189,IF(H191="ROTECH",PR!$AC189,IF(H191="ISN",PR!$AD189,IF(H191="JAWA",PR!$AE189,IF(H191="LAYO",PR!$AF189,IF(H191="LEADWAY",PR!$AG189,IF(H191="LHV",PR!$AH189,IF(H191="MANOLA",PR!$AI189,IF(H191="MARCSON",PR!$AJ189,IF(H191="M&amp;B",PR!$AK189,IF(H191="MTRUST",PR!$AL189,IF(H191="MWORLD",PR!$AM189,IF(H191="MEGA",PR!$AN189,IF(H191="MICRONOVA",PR!$AO189,IF(H191="MFLASH",PR!$AP189,IF(H191="MORISON",PR!$AQ189,IF(H191="NEMEL",PR!$AR189,IF(H191="NHP",PR!$AS189,IF(H191="NHC",PR!$AT189,IF(H191="OLEAF",PR!$AU189,IF(H191="OCULUS",PR!$AV189,IF(H191="PACIFIC",PR!$AW189,IF(H191="PHAMATEX",PR!$AX189,IF(H191="PETHICS",PR!$AY189,IF(H191="PHILIPS",PR!$AZ189,IF(H191="RANBAXY",PR!$BA189,IF(H191="REALS",PR!$BB189,IF(H191="ROYAL",PR!$BC189,IF(H191="SAM",PR!$BD189,IF(H191="SEAGREEN",PR!$BE189,IF(H191="SKG",PR!$BF189,IF(H191="TAH",PR!$BG189,IF(H191="TAYLEK",PR!$BH189,IF(H191="TEMITA",PR!$BI189,IF(H191="THL",PR!$BJ189,IF(H191="UBASTIC",PR!$BK189,IF(H191="UNION",PR!$BL189,IF(H191="UNIQUE",PR!$BM189,IF(H191="VIXA",PR!$BN189,IF(H191="WWCV",PR!$BO189,IF(H191="ZOLON",PR!$BP189,"-"))))))))))))))))))))))))))))))))))))))))))))))))))))))))))))))))</f>
        <v>450</v>
      </c>
      <c r="H191" s="102" t="str">
        <f>EV!M232</f>
        <v>MARCSON</v>
      </c>
      <c r="I191" s="108">
        <f>IF(J191="ALPHA",PR!$E189,IF(J191="ASSENE",PR!$F189,IF(J191="BIOFEM",PR!$G189,IF(J191="BIOMED",PR!$H189,IF(J191="CHI",PR!$I189,IF(J191="CLARION",PR!$J189,IF(J191="CODIX",PR!$K189,IF(J191="COSMADE",PR!$L189,IF(J191="SANCON",PR!$M189,IF(J191="DEVON",PR!$N189,IF(J191="DORTEMAG",PR!$O189,IF(J191="DGF",PR!$P189,IF(J191="DYNAMIC",PR!$Q189,IF(J191="EMZOR",PR!$R189,IF(J191="EUMATT",PR!$S189,IF(J191="FIDSON",PR!$T189,IF(J191="FCGLOBAL",PR!$U189,IF(J191="GENEITH",PR!$V189,IF(J191="GINOS",PR!$W189,IF(J191="GSK",PR!$X189,IF(J191="GLOBORG",PR!$Y189,IF(J191="GOODNEWS",PR!$Z189,IF(J191="GREENLIFE",PR!$AA189,IF(J191="HLINE",PR!$AB189,IF(J191="ROTECH",PR!$AC189,IF(J191="ISN",PR!$AD189,IF(J191="JAWA",PR!$AE189,IF(J191="LAYO",PR!$AF189,IF(J191="LEADWAY",PR!$AG189,IF(J191="LHV",PR!$AH189,IF(J191="MANOLA",PR!$AI189,IF(J191="MARCSON",PR!$AJ189,IF(J191="M&amp;B",PR!$AK189,IF(J191="MTRUST",PR!$AL189,IF(J191="MWORLD",PR!$AM189,IF(J191="MEGA",PR!$AN189,IF(J191="MICRONOVA",PR!$AO189,IF(J191="MFLASH",PR!$AP189,IF(J191="MORISON",PR!$AQ189,IF(J191="NEMEL",PR!$AR189,IF(J191="NHP",PR!$AS189,IF(J191="NHC",PR!$AT189,IF(J191="OLEAF",PR!$AU189,IF(J191="OCULUS",PR!$AV189,IF(J191="PACIFIC",PR!$AW189,IF(J191="PHAMATEX",PR!$AX189,IF(J191="PETHICS",PR!$AY189,IF(J191="PHILIPS",PR!$AZ189,IF(J191="RANBAXY",PR!$BA189,IF(J191="REALS",PR!$BB189,IF(J191="ROYAL",PR!$BC189,IF(J191="SAM",PR!$BD189,IF(J191="SEAGREEN",PR!$BE189,IF(J191="SKG",PR!$BF189,IF(J191="TAH",PR!$BG189,IF(J191="TAYLEK",PR!$BH189,IF(J191="TEMITA",PR!$BI189,IF(J191="THL",PR!$BJ189,IF(J191="UBASTIC",PR!$BK189,IF(J191="UNION",PR!$BL189,IF(J191="UNIQUE",PR!$BM189,IF(J191="VIXA",PR!$BN189,IF(J191="WWCV",PR!$BO189,IF(J191="ZOLON",PR!$BP189,"-"))))))))))))))))))))))))))))))))))))))))))))))))))))))))))))))))</f>
        <v>485</v>
      </c>
      <c r="J191" s="102" t="str">
        <f>EV!N232</f>
        <v>LEADWAY</v>
      </c>
      <c r="K191" s="433" t="s">
        <v>628</v>
      </c>
      <c r="L191" s="183">
        <f>IF(K191&gt;0,IF(K191="ALPHA",PR!$E189,IF(K191="ASSENE",PR!$F189,IF(K191="BIOFEM",PR!$G189,IF(K191="BIOMED",PR!$H189,IF(K191="CHI",PR!$I189,IF(K191="CLARION",PR!$J189,IF(K191="CODIX",PR!$K189,IF(K191="COSMADE",PR!$L189,IF(K191="SANCON",PR!$M189,IF(K191="DEVON",PR!$N189,IF(K191="DORTEMAG",PR!$O189,IF(K191="DGF",PR!$P189,IF(K191="DYNAMIC",PR!$Q189,IF(K191="EMZOR",PR!$R189,IF(K191="EUMATT",PR!$S189,IF(K191="FIDSON",PR!$T189,IF(K191="FCGLOBAL",PR!$U189,IF(K191="GENEITH",PR!$V189,IF(K191="GINOS",PR!$W189,IF(K191="GSK",PR!$X189,IF(K191="GLOBORG",PR!$Y189,IF(K191="GOODNEWS",PR!$Z189,IF(K191="GREENLIFE",PR!$AA189,IF(K191="HLINE",PR!$AB189,IF(K191="ROTECH",PR!$AC189,IF(K191="ISN",PR!$AD189,IF(K191="JAWA",PR!$AE189,IF(K191="LAYO",PR!$AF189,IF(K191="LEADWAY",PR!$AG189,IF(K191="LHV",PR!$AH189,IF(K191="MANOLA",PR!$AI189,IF(K191="MARCSON",PR!$AJ189,IF(K191="M&amp;B",PR!$AK189,IF(K191="MTRUST",PR!$AL189,IF(K191="MWORLD",PR!$AM189,IF(K191="MEGA",PR!$AN189,IF(K191="MICRONOVA",PR!$AO189,IF(K191="MFLASH",PR!$AP189,IF(K191="MORISON",PR!$AQ189,IF(K191="NEMEL",PR!$AR189,IF(K191="NHP",PR!$AS189,IF(K191="NHC",PR!$AT189,IF(K191="OLEAF",PR!$AU189,IF(K191="OCULUS",PR!$AV189,IF(K191="PACIFIC",PR!$AW189,IF(K191="PHAMATEX",PR!$AX189,IF(K191="PETHICS",PR!$AY189,IF(K191="PHILIPS",PR!$AZ189,IF(K191="RANBAXY",PR!$BA189,IF(K191="REALS",PR!$BB189,IF(K191="ROYAL",PR!$BC189,IF(K191="SAM",PR!$BD189,IF(K191="SEAGREEN",PR!$BE189,IF(K191="SKG",PR!$BF189,IF(K191="TAH",PR!$BG189,IF(K191="TAYLEK",PR!$BH189,IF(K191="TEMITA",PR!$BI189,IF(K191="THL",PR!$BJ189,IF(K191="UBASTIC",PR!$BK189,IF(K191="UNION",PR!$BL189,IF(K191="UNIQUE",PR!$BM189,IF(K191="VIXA",PR!$BN189,IF(K191="WWCV",PR!$BO189,IF(K191="ZOLON",PR!$BP189,"-")))))))))))))))))))))))))))))))))))))))))))))))))))))))))))))))))</f>
        <v>400</v>
      </c>
    </row>
    <row r="192" spans="1:12" ht="18.75" x14ac:dyDescent="0.3">
      <c r="A192" s="430">
        <f>PR!A190</f>
        <v>169</v>
      </c>
      <c r="B192" s="15" t="str">
        <f>PR!B190</f>
        <v xml:space="preserve">METHYL PREDNISOLONE INJ </v>
      </c>
      <c r="C192" s="113" t="str">
        <f>PR!D190</f>
        <v>VIAL</v>
      </c>
      <c r="D192" s="113">
        <f>PR!C190</f>
        <v>300</v>
      </c>
      <c r="E192" s="108">
        <f>IF(F192="ALPHA",PR!$E190,IF(F192="ASSENE",PR!$F190,IF(F192="BIOFEM",PR!$G190,IF(F192="BIOMED",PR!$H190,IF(F192="CHI",PR!$I190,IF(F192="CLARION",PR!$J190,IF(F192="CODIX",PR!$K190,IF(F192="COSMADE",PR!$L190,IF(F192="SANCON",PR!$M190,IF(F192="DEVON",PR!$N190,IF(F192="DORTEMAG",PR!$O190,IF(F192="DGF",PR!$P190,IF(F192="DYNAMIC",PR!$Q190,IF(F192="EMZOR",PR!$R190,IF(F192="EUMATT",PR!$S190,IF(F192="FIDSON",PR!$T190,IF(F192="FCGLOBAL",PR!$U190,IF(F192="GENEITH",PR!$V190,IF(F192="GINOS",PR!$W190,IF(F192="GSK",PR!$X190,IF(F192="GLOBORG",PR!$Y190,IF(F192="GOODNEWS",PR!$Z190,IF(F192="GREENLIFE",PR!$AA190,IF(F192="HLINE",PR!$AB190,IF(F192="ROTECH",PR!$AC190,IF(F192="ISN",PR!$AD190,IF(F192="JAWA",PR!$AE190,IF(F192="LAYO",PR!$AF190,IF(F192="LEADWAY",PR!$AG190,IF(F192="LHV",PR!$AH190,IF(F192="MANOLA",PR!$AI190,IF(F192="MARCSON",PR!$AJ190,IF(F192="M&amp;B",PR!$AK190,IF(F192="MTRUST",PR!$AL190,IF(F192="MWORLD",PR!$AM190,IF(F192="MEGA",PR!$AN190,IF(F192="MICRONOVA",PR!$AO190,IF(F192="MFLASH",PR!$AP190,IF(F192="MORISON",PR!$AQ190,IF(F192="NEMEL",PR!$AR190,IF(F192="NHP",PR!$AS190,IF(F192="NHC",PR!$AT190,IF(F192="OLEAF",PR!$AU190,IF(F192="OCULUS",PR!$AV190,IF(F192="PACIFIC",PR!$AW190,IF(F192="PHAMATEX",PR!$AX190,IF(F192="PETHICS",PR!$AY190,IF(F192="PHILIPS",PR!$AZ190,IF(F192="RANBAXY",PR!$BA190,IF(F192="REALS",PR!$BB190,IF(F192="ROYAL",PR!$BC190,IF(F192="SAM",PR!$BD190,IF(F192="SEAGREEN",PR!$BE190,IF(F192="SKG",PR!$BF190,IF(F192="TAH",PR!$BG190,IF(F192="TAYLEK",PR!$BH190,IF(F192="TEMITA",PR!$BI190,IF(F192="THL",PR!$BJ190,IF(F192="UBASTIC",PR!$BK190,IF(F192="UNION",PR!$BL190,IF(F192="UNIQUE",PR!$BM190,IF(F192="VIXA",PR!$BN190,IF(F192="WWCV",PR!$BO190,IF(F192="ZOLON",PR!$BP190,"-"))))))))))))))))))))))))))))))))))))))))))))))))))))))))))))))))</f>
        <v>750</v>
      </c>
      <c r="F192" s="102" t="str">
        <f>EV!L233</f>
        <v>EUMATT</v>
      </c>
      <c r="G192" s="108" t="str">
        <f>IF(H192="ALPHA",PR!$E190,IF(H192="ASSENE",PR!$F190,IF(H192="BIOFEM",PR!$G190,IF(H192="BIOMED",PR!$H190,IF(H192="CHI",PR!$I190,IF(H192="CLARION",PR!$J190,IF(H192="CODIX",PR!$K190,IF(H192="COSMADE",PR!$L190,IF(H192="SANCON",PR!$M190,IF(H192="DEVON",PR!$N190,IF(H192="DORTEMAG",PR!$O190,IF(H192="DGF",PR!$P190,IF(H192="DYNAMIC",PR!$Q190,IF(H192="EMZOR",PR!$R190,IF(H192="EUMATT",PR!$S190,IF(H192="FIDSON",PR!$T190,IF(H192="FCGLOBAL",PR!$U190,IF(H192="GENEITH",PR!$V190,IF(H192="GINOS",PR!$W190,IF(H192="GSK",PR!$X190,IF(H192="GLOBORG",PR!$Y190,IF(H192="GOODNEWS",PR!$Z190,IF(H192="GREENLIFE",PR!$AA190,IF(H192="HLINE",PR!$AB190,IF(H192="ROTECH",PR!$AC190,IF(H192="ISN",PR!$AD190,IF(H192="JAWA",PR!$AE190,IF(H192="LAYO",PR!$AF190,IF(H192="LEADWAY",PR!$AG190,IF(H192="LHV",PR!$AH190,IF(H192="MANOLA",PR!$AI190,IF(H192="MARCSON",PR!$AJ190,IF(H192="M&amp;B",PR!$AK190,IF(H192="MTRUST",PR!$AL190,IF(H192="MWORLD",PR!$AM190,IF(H192="MEGA",PR!$AN190,IF(H192="MICRONOVA",PR!$AO190,IF(H192="MFLASH",PR!$AP190,IF(H192="MORISON",PR!$AQ190,IF(H192="NEMEL",PR!$AR190,IF(H192="NHP",PR!$AS190,IF(H192="NHC",PR!$AT190,IF(H192="OLEAF",PR!$AU190,IF(H192="OCULUS",PR!$AV190,IF(H192="PACIFIC",PR!$AW190,IF(H192="PHAMATEX",PR!$AX190,IF(H192="PETHICS",PR!$AY190,IF(H192="PHILIPS",PR!$AZ190,IF(H192="RANBAXY",PR!$BA190,IF(H192="REALS",PR!$BB190,IF(H192="ROYAL",PR!$BC190,IF(H192="SAM",PR!$BD190,IF(H192="SEAGREEN",PR!$BE190,IF(H192="SKG",PR!$BF190,IF(H192="TAH",PR!$BG190,IF(H192="TAYLEK",PR!$BH190,IF(H192="TEMITA",PR!$BI190,IF(H192="THL",PR!$BJ190,IF(H192="UBASTIC",PR!$BK190,IF(H192="UNION",PR!$BL190,IF(H192="UNIQUE",PR!$BM190,IF(H192="VIXA",PR!$BN190,IF(H192="WWCV",PR!$BO190,IF(H192="ZOLON",PR!$BP190,"-"))))))))))))))))))))))))))))))))))))))))))))))))))))))))))))))))</f>
        <v>-</v>
      </c>
      <c r="H192" s="102">
        <f>EV!M233</f>
        <v>0</v>
      </c>
      <c r="I192" s="108" t="str">
        <f>IF(J192="ALPHA",PR!$E190,IF(J192="ASSENE",PR!$F190,IF(J192="BIOFEM",PR!$G190,IF(J192="BIOMED",PR!$H190,IF(J192="CHI",PR!$I190,IF(J192="CLARION",PR!$J190,IF(J192="CODIX",PR!$K190,IF(J192="COSMADE",PR!$L190,IF(J192="SANCON",PR!$M190,IF(J192="DEVON",PR!$N190,IF(J192="DORTEMAG",PR!$O190,IF(J192="DGF",PR!$P190,IF(J192="DYNAMIC",PR!$Q190,IF(J192="EMZOR",PR!$R190,IF(J192="EUMATT",PR!$S190,IF(J192="FIDSON",PR!$T190,IF(J192="FCGLOBAL",PR!$U190,IF(J192="GENEITH",PR!$V190,IF(J192="GINOS",PR!$W190,IF(J192="GSK",PR!$X190,IF(J192="GLOBORG",PR!$Y190,IF(J192="GOODNEWS",PR!$Z190,IF(J192="GREENLIFE",PR!$AA190,IF(J192="HLINE",PR!$AB190,IF(J192="ROTECH",PR!$AC190,IF(J192="ISN",PR!$AD190,IF(J192="JAWA",PR!$AE190,IF(J192="LAYO",PR!$AF190,IF(J192="LEADWAY",PR!$AG190,IF(J192="LHV",PR!$AH190,IF(J192="MANOLA",PR!$AI190,IF(J192="MARCSON",PR!$AJ190,IF(J192="M&amp;B",PR!$AK190,IF(J192="MTRUST",PR!$AL190,IF(J192="MWORLD",PR!$AM190,IF(J192="MEGA",PR!$AN190,IF(J192="MICRONOVA",PR!$AO190,IF(J192="MFLASH",PR!$AP190,IF(J192="MORISON",PR!$AQ190,IF(J192="NEMEL",PR!$AR190,IF(J192="NHP",PR!$AS190,IF(J192="NHC",PR!$AT190,IF(J192="OLEAF",PR!$AU190,IF(J192="OCULUS",PR!$AV190,IF(J192="PACIFIC",PR!$AW190,IF(J192="PHAMATEX",PR!$AX190,IF(J192="PETHICS",PR!$AY190,IF(J192="PHILIPS",PR!$AZ190,IF(J192="RANBAXY",PR!$BA190,IF(J192="REALS",PR!$BB190,IF(J192="ROYAL",PR!$BC190,IF(J192="SAM",PR!$BD190,IF(J192="SEAGREEN",PR!$BE190,IF(J192="SKG",PR!$BF190,IF(J192="TAH",PR!$BG190,IF(J192="TAYLEK",PR!$BH190,IF(J192="TEMITA",PR!$BI190,IF(J192="THL",PR!$BJ190,IF(J192="UBASTIC",PR!$BK190,IF(J192="UNION",PR!$BL190,IF(J192="UNIQUE",PR!$BM190,IF(J192="VIXA",PR!$BN190,IF(J192="WWCV",PR!$BO190,IF(J192="ZOLON",PR!$BP190,"-"))))))))))))))))))))))))))))))))))))))))))))))))))))))))))))))))</f>
        <v>-</v>
      </c>
      <c r="J192" s="102">
        <f>EV!N233</f>
        <v>0</v>
      </c>
      <c r="K192" s="433" t="s">
        <v>821</v>
      </c>
      <c r="L192" s="183">
        <f>IF(K192&gt;0,IF(K192="ALPHA",PR!$E190,IF(K192="ASSENE",PR!$F190,IF(K192="BIOFEM",PR!$G190,IF(K192="BIOMED",PR!$H190,IF(K192="CHI",PR!$I190,IF(K192="CLARION",PR!$J190,IF(K192="CODIX",PR!$K190,IF(K192="COSMADE",PR!$L190,IF(K192="SANCON",PR!$M190,IF(K192="DEVON",PR!$N190,IF(K192="DORTEMAG",PR!$O190,IF(K192="DGF",PR!$P190,IF(K192="DYNAMIC",PR!$Q190,IF(K192="EMZOR",PR!$R190,IF(K192="EUMATT",PR!$S190,IF(K192="FIDSON",PR!$T190,IF(K192="FCGLOBAL",PR!$U190,IF(K192="GENEITH",PR!$V190,IF(K192="GINOS",PR!$W190,IF(K192="GSK",PR!$X190,IF(K192="GLOBORG",PR!$Y190,IF(K192="GOODNEWS",PR!$Z190,IF(K192="GREENLIFE",PR!$AA190,IF(K192="HLINE",PR!$AB190,IF(K192="ROTECH",PR!$AC190,IF(K192="ISN",PR!$AD190,IF(K192="JAWA",PR!$AE190,IF(K192="LAYO",PR!$AF190,IF(K192="LEADWAY",PR!$AG190,IF(K192="LHV",PR!$AH190,IF(K192="MANOLA",PR!$AI190,IF(K192="MARCSON",PR!$AJ190,IF(K192="M&amp;B",PR!$AK190,IF(K192="MTRUST",PR!$AL190,IF(K192="MWORLD",PR!$AM190,IF(K192="MEGA",PR!$AN190,IF(K192="MICRONOVA",PR!$AO190,IF(K192="MFLASH",PR!$AP190,IF(K192="MORISON",PR!$AQ190,IF(K192="NEMEL",PR!$AR190,IF(K192="NHP",PR!$AS190,IF(K192="NHC",PR!$AT190,IF(K192="OLEAF",PR!$AU190,IF(K192="OCULUS",PR!$AV190,IF(K192="PACIFIC",PR!$AW190,IF(K192="PHAMATEX",PR!$AX190,IF(K192="PETHICS",PR!$AY190,IF(K192="PHILIPS",PR!$AZ190,IF(K192="RANBAXY",PR!$BA190,IF(K192="REALS",PR!$BB190,IF(K192="ROYAL",PR!$BC190,IF(K192="SAM",PR!$BD190,IF(K192="SEAGREEN",PR!$BE190,IF(K192="SKG",PR!$BF190,IF(K192="TAH",PR!$BG190,IF(K192="TAYLEK",PR!$BH190,IF(K192="TEMITA",PR!$BI190,IF(K192="THL",PR!$BJ190,IF(K192="UBASTIC",PR!$BK190,IF(K192="UNION",PR!$BL190,IF(K192="UNIQUE",PR!$BM190,IF(K192="VIXA",PR!$BN190,IF(K192="WWCV",PR!$BO190,IF(K192="ZOLON",PR!$BP190,"-")))))))))))))))))))))))))))))))))))))))))))))))))))))))))))))))))</f>
        <v>750</v>
      </c>
    </row>
    <row r="193" spans="1:12" ht="18.75" x14ac:dyDescent="0.3">
      <c r="A193" s="430">
        <f>PR!A191</f>
        <v>170</v>
      </c>
      <c r="B193" s="15" t="str">
        <f>PR!B191</f>
        <v>METHYLCOBALAMINE/MULTIVITAMINS/MULTIMINERALS/ANTIOXIDANTS</v>
      </c>
      <c r="C193" s="113">
        <f>PR!D191</f>
        <v>30</v>
      </c>
      <c r="D193" s="113">
        <f>PR!C191</f>
        <v>1500</v>
      </c>
      <c r="E193" s="108">
        <f>IF(F193="ALPHA",PR!$E191,IF(F193="ASSENE",PR!$F191,IF(F193="BIOFEM",PR!$G191,IF(F193="BIOMED",PR!$H191,IF(F193="CHI",PR!$I191,IF(F193="CLARION",PR!$J191,IF(F193="CODIX",PR!$K191,IF(F193="COSMADE",PR!$L191,IF(F193="SANCON",PR!$M191,IF(F193="DEVON",PR!$N191,IF(F193="DORTEMAG",PR!$O191,IF(F193="DGF",PR!$P191,IF(F193="DYNAMIC",PR!$Q191,IF(F193="EMZOR",PR!$R191,IF(F193="EUMATT",PR!$S191,IF(F193="FIDSON",PR!$T191,IF(F193="FCGLOBAL",PR!$U191,IF(F193="GENEITH",PR!$V191,IF(F193="GINOS",PR!$W191,IF(F193="GSK",PR!$X191,IF(F193="GLOBORG",PR!$Y191,IF(F193="GOODNEWS",PR!$Z191,IF(F193="GREENLIFE",PR!$AA191,IF(F193="HLINE",PR!$AB191,IF(F193="ROTECH",PR!$AC191,IF(F193="ISN",PR!$AD191,IF(F193="JAWA",PR!$AE191,IF(F193="LAYO",PR!$AF191,IF(F193="LEADWAY",PR!$AG191,IF(F193="LHV",PR!$AH191,IF(F193="MANOLA",PR!$AI191,IF(F193="MARCSON",PR!$AJ191,IF(F193="M&amp;B",PR!$AK191,IF(F193="MTRUST",PR!$AL191,IF(F193="MWORLD",PR!$AM191,IF(F193="MEGA",PR!$AN191,IF(F193="MICRONOVA",PR!$AO191,IF(F193="MFLASH",PR!$AP191,IF(F193="MORISON",PR!$AQ191,IF(F193="NEMEL",PR!$AR191,IF(F193="NHP",PR!$AS191,IF(F193="NHC",PR!$AT191,IF(F193="OLEAF",PR!$AU191,IF(F193="OCULUS",PR!$AV191,IF(F193="PACIFIC",PR!$AW191,IF(F193="PHAMATEX",PR!$AX191,IF(F193="PETHICS",PR!$AY191,IF(F193="PHILIPS",PR!$AZ191,IF(F193="RANBAXY",PR!$BA191,IF(F193="REALS",PR!$BB191,IF(F193="ROYAL",PR!$BC191,IF(F193="SAM",PR!$BD191,IF(F193="SEAGREEN",PR!$BE191,IF(F193="SKG",PR!$BF191,IF(F193="TAH",PR!$BG191,IF(F193="TAYLEK",PR!$BH191,IF(F193="TEMITA",PR!$BI191,IF(F193="THL",PR!$BJ191,IF(F193="UBASTIC",PR!$BK191,IF(F193="UNION",PR!$BL191,IF(F193="UNIQUE",PR!$BM191,IF(F193="VIXA",PR!$BN191,IF(F193="WWCV",PR!$BO191,IF(F193="ZOLON",PR!$BP191,"-"))))))))))))))))))))))))))))))))))))))))))))))))))))))))))))))))</f>
        <v>1795</v>
      </c>
      <c r="F193" s="102" t="str">
        <f>EV!L234</f>
        <v>MICRONOVA</v>
      </c>
      <c r="G193" s="108">
        <f>IF(H193="ALPHA",PR!$E191,IF(H193="ASSENE",PR!$F191,IF(H193="BIOFEM",PR!$G191,IF(H193="BIOMED",PR!$H191,IF(H193="CHI",PR!$I191,IF(H193="CLARION",PR!$J191,IF(H193="CODIX",PR!$K191,IF(H193="COSMADE",PR!$L191,IF(H193="SANCON",PR!$M191,IF(H193="DEVON",PR!$N191,IF(H193="DORTEMAG",PR!$O191,IF(H193="DGF",PR!$P191,IF(H193="DYNAMIC",PR!$Q191,IF(H193="EMZOR",PR!$R191,IF(H193="EUMATT",PR!$S191,IF(H193="FIDSON",PR!$T191,IF(H193="FCGLOBAL",PR!$U191,IF(H193="GENEITH",PR!$V191,IF(H193="GINOS",PR!$W191,IF(H193="GSK",PR!$X191,IF(H193="GLOBORG",PR!$Y191,IF(H193="GOODNEWS",PR!$Z191,IF(H193="GREENLIFE",PR!$AA191,IF(H193="HLINE",PR!$AB191,IF(H193="ROTECH",PR!$AC191,IF(H193="ISN",PR!$AD191,IF(H193="JAWA",PR!$AE191,IF(H193="LAYO",PR!$AF191,IF(H193="LEADWAY",PR!$AG191,IF(H193="LHV",PR!$AH191,IF(H193="MANOLA",PR!$AI191,IF(H193="MARCSON",PR!$AJ191,IF(H193="M&amp;B",PR!$AK191,IF(H193="MTRUST",PR!$AL191,IF(H193="MWORLD",PR!$AM191,IF(H193="MEGA",PR!$AN191,IF(H193="MICRONOVA",PR!$AO191,IF(H193="MFLASH",PR!$AP191,IF(H193="MORISON",PR!$AQ191,IF(H193="NEMEL",PR!$AR191,IF(H193="NHP",PR!$AS191,IF(H193="NHC",PR!$AT191,IF(H193="OLEAF",PR!$AU191,IF(H193="OCULUS",PR!$AV191,IF(H193="PACIFIC",PR!$AW191,IF(H193="PHAMATEX",PR!$AX191,IF(H193="PETHICS",PR!$AY191,IF(H193="PHILIPS",PR!$AZ191,IF(H193="RANBAXY",PR!$BA191,IF(H193="REALS",PR!$BB191,IF(H193="ROYAL",PR!$BC191,IF(H193="SAM",PR!$BD191,IF(H193="SEAGREEN",PR!$BE191,IF(H193="SKG",PR!$BF191,IF(H193="TAH",PR!$BG191,IF(H193="TAYLEK",PR!$BH191,IF(H193="TEMITA",PR!$BI191,IF(H193="THL",PR!$BJ191,IF(H193="UBASTIC",PR!$BK191,IF(H193="UNION",PR!$BL191,IF(H193="UNIQUE",PR!$BM191,IF(H193="VIXA",PR!$BN191,IF(H193="WWCV",PR!$BO191,IF(H193="ZOLON",PR!$BP191,"-"))))))))))))))))))))))))))))))))))))))))))))))))))))))))))))))))</f>
        <v>2805</v>
      </c>
      <c r="H193" s="102" t="str">
        <f>EV!M234</f>
        <v>WWCV</v>
      </c>
      <c r="I193" s="108" t="str">
        <f>IF(J193="ALPHA",PR!$E191,IF(J193="ASSENE",PR!$F191,IF(J193="BIOFEM",PR!$G191,IF(J193="BIOMED",PR!$H191,IF(J193="CHI",PR!$I191,IF(J193="CLARION",PR!$J191,IF(J193="CODIX",PR!$K191,IF(J193="COSMADE",PR!$L191,IF(J193="SANCON",PR!$M191,IF(J193="DEVON",PR!$N191,IF(J193="DORTEMAG",PR!$O191,IF(J193="DGF",PR!$P191,IF(J193="DYNAMIC",PR!$Q191,IF(J193="EMZOR",PR!$R191,IF(J193="EUMATT",PR!$S191,IF(J193="FIDSON",PR!$T191,IF(J193="FCGLOBAL",PR!$U191,IF(J193="GENEITH",PR!$V191,IF(J193="GINOS",PR!$W191,IF(J193="GSK",PR!$X191,IF(J193="GLOBORG",PR!$Y191,IF(J193="GOODNEWS",PR!$Z191,IF(J193="GREENLIFE",PR!$AA191,IF(J193="HLINE",PR!$AB191,IF(J193="ROTECH",PR!$AC191,IF(J193="ISN",PR!$AD191,IF(J193="JAWA",PR!$AE191,IF(J193="LAYO",PR!$AF191,IF(J193="LEADWAY",PR!$AG191,IF(J193="LHV",PR!$AH191,IF(J193="MANOLA",PR!$AI191,IF(J193="MARCSON",PR!$AJ191,IF(J193="M&amp;B",PR!$AK191,IF(J193="MTRUST",PR!$AL191,IF(J193="MWORLD",PR!$AM191,IF(J193="MEGA",PR!$AN191,IF(J193="MICRONOVA",PR!$AO191,IF(J193="MFLASH",PR!$AP191,IF(J193="MORISON",PR!$AQ191,IF(J193="NEMEL",PR!$AR191,IF(J193="NHP",PR!$AS191,IF(J193="NHC",PR!$AT191,IF(J193="OLEAF",PR!$AU191,IF(J193="OCULUS",PR!$AV191,IF(J193="PACIFIC",PR!$AW191,IF(J193="PHAMATEX",PR!$AX191,IF(J193="PETHICS",PR!$AY191,IF(J193="PHILIPS",PR!$AZ191,IF(J193="RANBAXY",PR!$BA191,IF(J193="REALS",PR!$BB191,IF(J193="ROYAL",PR!$BC191,IF(J193="SAM",PR!$BD191,IF(J193="SEAGREEN",PR!$BE191,IF(J193="SKG",PR!$BF191,IF(J193="TAH",PR!$BG191,IF(J193="TAYLEK",PR!$BH191,IF(J193="TEMITA",PR!$BI191,IF(J193="THL",PR!$BJ191,IF(J193="UBASTIC",PR!$BK191,IF(J193="UNION",PR!$BL191,IF(J193="UNIQUE",PR!$BM191,IF(J193="VIXA",PR!$BN191,IF(J193="WWCV",PR!$BO191,IF(J193="ZOLON",PR!$BP191,"-"))))))))))))))))))))))))))))))))))))))))))))))))))))))))))))))))</f>
        <v>-</v>
      </c>
      <c r="J193" s="102">
        <f>EV!N234</f>
        <v>0</v>
      </c>
      <c r="K193" s="433" t="s">
        <v>632</v>
      </c>
      <c r="L193" s="183">
        <f>IF(K193&gt;0,IF(K193="ALPHA",PR!$E191,IF(K193="ASSENE",PR!$F191,IF(K193="BIOFEM",PR!$G191,IF(K193="BIOMED",PR!$H191,IF(K193="CHI",PR!$I191,IF(K193="CLARION",PR!$J191,IF(K193="CODIX",PR!$K191,IF(K193="COSMADE",PR!$L191,IF(K193="SANCON",PR!$M191,IF(K193="DEVON",PR!$N191,IF(K193="DORTEMAG",PR!$O191,IF(K193="DGF",PR!$P191,IF(K193="DYNAMIC",PR!$Q191,IF(K193="EMZOR",PR!$R191,IF(K193="EUMATT",PR!$S191,IF(K193="FIDSON",PR!$T191,IF(K193="FCGLOBAL",PR!$U191,IF(K193="GENEITH",PR!$V191,IF(K193="GINOS",PR!$W191,IF(K193="GSK",PR!$X191,IF(K193="GLOBORG",PR!$Y191,IF(K193="GOODNEWS",PR!$Z191,IF(K193="GREENLIFE",PR!$AA191,IF(K193="HLINE",PR!$AB191,IF(K193="ROTECH",PR!$AC191,IF(K193="ISN",PR!$AD191,IF(K193="JAWA",PR!$AE191,IF(K193="LAYO",PR!$AF191,IF(K193="LEADWAY",PR!$AG191,IF(K193="LHV",PR!$AH191,IF(K193="MANOLA",PR!$AI191,IF(K193="MARCSON",PR!$AJ191,IF(K193="M&amp;B",PR!$AK191,IF(K193="MTRUST",PR!$AL191,IF(K193="MWORLD",PR!$AM191,IF(K193="MEGA",PR!$AN191,IF(K193="MICRONOVA",PR!$AO191,IF(K193="MFLASH",PR!$AP191,IF(K193="MORISON",PR!$AQ191,IF(K193="NEMEL",PR!$AR191,IF(K193="NHP",PR!$AS191,IF(K193="NHC",PR!$AT191,IF(K193="OLEAF",PR!$AU191,IF(K193="OCULUS",PR!$AV191,IF(K193="PACIFIC",PR!$AW191,IF(K193="PHAMATEX",PR!$AX191,IF(K193="PETHICS",PR!$AY191,IF(K193="PHILIPS",PR!$AZ191,IF(K193="RANBAXY",PR!$BA191,IF(K193="REALS",PR!$BB191,IF(K193="ROYAL",PR!$BC191,IF(K193="SAM",PR!$BD191,IF(K193="SEAGREEN",PR!$BE191,IF(K193="SKG",PR!$BF191,IF(K193="TAH",PR!$BG191,IF(K193="TAYLEK",PR!$BH191,IF(K193="TEMITA",PR!$BI191,IF(K193="THL",PR!$BJ191,IF(K193="UBASTIC",PR!$BK191,IF(K193="UNION",PR!$BL191,IF(K193="UNIQUE",PR!$BM191,IF(K193="VIXA",PR!$BN191,IF(K193="WWCV",PR!$BO191,IF(K193="ZOLON",PR!$BP191,"-")))))))))))))))))))))))))))))))))))))))))))))))))))))))))))))))))</f>
        <v>1795</v>
      </c>
    </row>
    <row r="194" spans="1:12" ht="18.75" x14ac:dyDescent="0.3">
      <c r="A194" s="430">
        <f>PR!A192</f>
        <v>171</v>
      </c>
      <c r="B194" s="15" t="str">
        <f>PR!B192</f>
        <v>MORPHINE 10MG INJ</v>
      </c>
      <c r="C194" s="113">
        <f>PR!D192</f>
        <v>10</v>
      </c>
      <c r="D194" s="113">
        <f>PR!C192</f>
        <v>4</v>
      </c>
      <c r="E194" s="108" t="str">
        <f>IF(F194="ALPHA",PR!$E192,IF(F194="ASSENE",PR!$F192,IF(F194="BIOFEM",PR!$G192,IF(F194="BIOMED",PR!$H192,IF(F194="CHI",PR!$I192,IF(F194="CLARION",PR!$J192,IF(F194="CODIX",PR!$K192,IF(F194="COSMADE",PR!$L192,IF(F194="SANCON",PR!$M192,IF(F194="DEVON",PR!$N192,IF(F194="DORTEMAG",PR!$O192,IF(F194="DGF",PR!$P192,IF(F194="DYNAMIC",PR!$Q192,IF(F194="EMZOR",PR!$R192,IF(F194="EUMATT",PR!$S192,IF(F194="FIDSON",PR!$T192,IF(F194="FCGLOBAL",PR!$U192,IF(F194="GENEITH",PR!$V192,IF(F194="GINOS",PR!$W192,IF(F194="GSK",PR!$X192,IF(F194="GLOBORG",PR!$Y192,IF(F194="GOODNEWS",PR!$Z192,IF(F194="GREENLIFE",PR!$AA192,IF(F194="HLINE",PR!$AB192,IF(F194="ROTECH",PR!$AC192,IF(F194="ISN",PR!$AD192,IF(F194="JAWA",PR!$AE192,IF(F194="LAYO",PR!$AF192,IF(F194="LEADWAY",PR!$AG192,IF(F194="LHV",PR!$AH192,IF(F194="MANOLA",PR!$AI192,IF(F194="MARCSON",PR!$AJ192,IF(F194="M&amp;B",PR!$AK192,IF(F194="MTRUST",PR!$AL192,IF(F194="MWORLD",PR!$AM192,IF(F194="MEGA",PR!$AN192,IF(F194="MICRONOVA",PR!$AO192,IF(F194="MFLASH",PR!$AP192,IF(F194="MORISON",PR!$AQ192,IF(F194="NEMEL",PR!$AR192,IF(F194="NHP",PR!$AS192,IF(F194="NHC",PR!$AT192,IF(F194="OLEAF",PR!$AU192,IF(F194="OCULUS",PR!$AV192,IF(F194="PACIFIC",PR!$AW192,IF(F194="PHAMATEX",PR!$AX192,IF(F194="PETHICS",PR!$AY192,IF(F194="PHILIPS",PR!$AZ192,IF(F194="RANBAXY",PR!$BA192,IF(F194="REALS",PR!$BB192,IF(F194="ROYAL",PR!$BC192,IF(F194="SAM",PR!$BD192,IF(F194="SEAGREEN",PR!$BE192,IF(F194="SKG",PR!$BF192,IF(F194="TAH",PR!$BG192,IF(F194="TAYLEK",PR!$BH192,IF(F194="TEMITA",PR!$BI192,IF(F194="THL",PR!$BJ192,IF(F194="UBASTIC",PR!$BK192,IF(F194="UNION",PR!$BL192,IF(F194="UNIQUE",PR!$BM192,IF(F194="VIXA",PR!$BN192,IF(F194="WWCV",PR!$BO192,IF(F194="ZOLON",PR!$BP192,"-"))))))))))))))))))))))))))))))))))))))))))))))))))))))))))))))))</f>
        <v>-</v>
      </c>
      <c r="F194" s="102">
        <f>EV!L235</f>
        <v>0</v>
      </c>
      <c r="G194" s="108" t="str">
        <f>IF(H194="ALPHA",PR!$E192,IF(H194="ASSENE",PR!$F192,IF(H194="BIOFEM",PR!$G192,IF(H194="BIOMED",PR!$H192,IF(H194="CHI",PR!$I192,IF(H194="CLARION",PR!$J192,IF(H194="CODIX",PR!$K192,IF(H194="COSMADE",PR!$L192,IF(H194="SANCON",PR!$M192,IF(H194="DEVON",PR!$N192,IF(H194="DORTEMAG",PR!$O192,IF(H194="DGF",PR!$P192,IF(H194="DYNAMIC",PR!$Q192,IF(H194="EMZOR",PR!$R192,IF(H194="EUMATT",PR!$S192,IF(H194="FIDSON",PR!$T192,IF(H194="FCGLOBAL",PR!$U192,IF(H194="GENEITH",PR!$V192,IF(H194="GINOS",PR!$W192,IF(H194="GSK",PR!$X192,IF(H194="GLOBORG",PR!$Y192,IF(H194="GOODNEWS",PR!$Z192,IF(H194="GREENLIFE",PR!$AA192,IF(H194="HLINE",PR!$AB192,IF(H194="ROTECH",PR!$AC192,IF(H194="ISN",PR!$AD192,IF(H194="JAWA",PR!$AE192,IF(H194="LAYO",PR!$AF192,IF(H194="LEADWAY",PR!$AG192,IF(H194="LHV",PR!$AH192,IF(H194="MANOLA",PR!$AI192,IF(H194="MARCSON",PR!$AJ192,IF(H194="M&amp;B",PR!$AK192,IF(H194="MTRUST",PR!$AL192,IF(H194="MWORLD",PR!$AM192,IF(H194="MEGA",PR!$AN192,IF(H194="MICRONOVA",PR!$AO192,IF(H194="MFLASH",PR!$AP192,IF(H194="MORISON",PR!$AQ192,IF(H194="NEMEL",PR!$AR192,IF(H194="NHP",PR!$AS192,IF(H194="NHC",PR!$AT192,IF(H194="OLEAF",PR!$AU192,IF(H194="OCULUS",PR!$AV192,IF(H194="PACIFIC",PR!$AW192,IF(H194="PHAMATEX",PR!$AX192,IF(H194="PETHICS",PR!$AY192,IF(H194="PHILIPS",PR!$AZ192,IF(H194="RANBAXY",PR!$BA192,IF(H194="REALS",PR!$BB192,IF(H194="ROYAL",PR!$BC192,IF(H194="SAM",PR!$BD192,IF(H194="SEAGREEN",PR!$BE192,IF(H194="SKG",PR!$BF192,IF(H194="TAH",PR!$BG192,IF(H194="TAYLEK",PR!$BH192,IF(H194="TEMITA",PR!$BI192,IF(H194="THL",PR!$BJ192,IF(H194="UBASTIC",PR!$BK192,IF(H194="UNION",PR!$BL192,IF(H194="UNIQUE",PR!$BM192,IF(H194="VIXA",PR!$BN192,IF(H194="WWCV",PR!$BO192,IF(H194="ZOLON",PR!$BP192,"-"))))))))))))))))))))))))))))))))))))))))))))))))))))))))))))))))</f>
        <v>-</v>
      </c>
      <c r="H194" s="102">
        <f>EV!M235</f>
        <v>0</v>
      </c>
      <c r="I194" s="108" t="str">
        <f>IF(J194="ALPHA",PR!$E192,IF(J194="ASSENE",PR!$F192,IF(J194="BIOFEM",PR!$G192,IF(J194="BIOMED",PR!$H192,IF(J194="CHI",PR!$I192,IF(J194="CLARION",PR!$J192,IF(J194="CODIX",PR!$K192,IF(J194="COSMADE",PR!$L192,IF(J194="SANCON",PR!$M192,IF(J194="DEVON",PR!$N192,IF(J194="DORTEMAG",PR!$O192,IF(J194="DGF",PR!$P192,IF(J194="DYNAMIC",PR!$Q192,IF(J194="EMZOR",PR!$R192,IF(J194="EUMATT",PR!$S192,IF(J194="FIDSON",PR!$T192,IF(J194="FCGLOBAL",PR!$U192,IF(J194="GENEITH",PR!$V192,IF(J194="GINOS",PR!$W192,IF(J194="GSK",PR!$X192,IF(J194="GLOBORG",PR!$Y192,IF(J194="GOODNEWS",PR!$Z192,IF(J194="GREENLIFE",PR!$AA192,IF(J194="HLINE",PR!$AB192,IF(J194="ROTECH",PR!$AC192,IF(J194="ISN",PR!$AD192,IF(J194="JAWA",PR!$AE192,IF(J194="LAYO",PR!$AF192,IF(J194="LEADWAY",PR!$AG192,IF(J194="LHV",PR!$AH192,IF(J194="MANOLA",PR!$AI192,IF(J194="MARCSON",PR!$AJ192,IF(J194="M&amp;B",PR!$AK192,IF(J194="MTRUST",PR!$AL192,IF(J194="MWORLD",PR!$AM192,IF(J194="MEGA",PR!$AN192,IF(J194="MICRONOVA",PR!$AO192,IF(J194="MFLASH",PR!$AP192,IF(J194="MORISON",PR!$AQ192,IF(J194="NEMEL",PR!$AR192,IF(J194="NHP",PR!$AS192,IF(J194="NHC",PR!$AT192,IF(J194="OLEAF",PR!$AU192,IF(J194="OCULUS",PR!$AV192,IF(J194="PACIFIC",PR!$AW192,IF(J194="PHAMATEX",PR!$AX192,IF(J194="PETHICS",PR!$AY192,IF(J194="PHILIPS",PR!$AZ192,IF(J194="RANBAXY",PR!$BA192,IF(J194="REALS",PR!$BB192,IF(J194="ROYAL",PR!$BC192,IF(J194="SAM",PR!$BD192,IF(J194="SEAGREEN",PR!$BE192,IF(J194="SKG",PR!$BF192,IF(J194="TAH",PR!$BG192,IF(J194="TAYLEK",PR!$BH192,IF(J194="TEMITA",PR!$BI192,IF(J194="THL",PR!$BJ192,IF(J194="UBASTIC",PR!$BK192,IF(J194="UNION",PR!$BL192,IF(J194="UNIQUE",PR!$BM192,IF(J194="VIXA",PR!$BN192,IF(J194="WWCV",PR!$BO192,IF(J194="ZOLON",PR!$BP192,"-"))))))))))))))))))))))))))))))))))))))))))))))))))))))))))))))))</f>
        <v>-</v>
      </c>
      <c r="J194" s="102">
        <f>EV!N235</f>
        <v>0</v>
      </c>
      <c r="K194" s="433"/>
      <c r="L194" s="183" t="b">
        <f>IF(K194&gt;0,IF(K194="ALPHA",PR!$E192,IF(K194="ASSENE",PR!$F192,IF(K194="BIOFEM",PR!$G192,IF(K194="BIOMED",PR!$H192,IF(K194="CHI",PR!$I192,IF(K194="CLARION",PR!$J192,IF(K194="CODIX",PR!$K192,IF(K194="COSMADE",PR!$L192,IF(K194="SANCON",PR!$M192,IF(K194="DEVON",PR!$N192,IF(K194="DORTEMAG",PR!$O192,IF(K194="DGF",PR!$P192,IF(K194="DYNAMIC",PR!$Q192,IF(K194="EMZOR",PR!$R192,IF(K194="EUMATT",PR!$S192,IF(K194="FIDSON",PR!$T192,IF(K194="FCGLOBAL",PR!$U192,IF(K194="GENEITH",PR!$V192,IF(K194="GINOS",PR!$W192,IF(K194="GSK",PR!$X192,IF(K194="GLOBORG",PR!$Y192,IF(K194="GOODNEWS",PR!$Z192,IF(K194="GREENLIFE",PR!$AA192,IF(K194="HLINE",PR!$AB192,IF(K194="ROTECH",PR!$AC192,IF(K194="ISN",PR!$AD192,IF(K194="JAWA",PR!$AE192,IF(K194="LAYO",PR!$AF192,IF(K194="LEADWAY",PR!$AG192,IF(K194="LHV",PR!$AH192,IF(K194="MANOLA",PR!$AI192,IF(K194="MARCSON",PR!$AJ192,IF(K194="M&amp;B",PR!$AK192,IF(K194="MTRUST",PR!$AL192,IF(K194="MWORLD",PR!$AM192,IF(K194="MEGA",PR!$AN192,IF(K194="MICRONOVA",PR!$AO192,IF(K194="MFLASH",PR!$AP192,IF(K194="MORISON",PR!$AQ192,IF(K194="NEMEL",PR!$AR192,IF(K194="NHP",PR!$AS192,IF(K194="NHC",PR!$AT192,IF(K194="OLEAF",PR!$AU192,IF(K194="OCULUS",PR!$AV192,IF(K194="PACIFIC",PR!$AW192,IF(K194="PHAMATEX",PR!$AX192,IF(K194="PETHICS",PR!$AY192,IF(K194="PHILIPS",PR!$AZ192,IF(K194="RANBAXY",PR!$BA192,IF(K194="REALS",PR!$BB192,IF(K194="ROYAL",PR!$BC192,IF(K194="SAM",PR!$BD192,IF(K194="SEAGREEN",PR!$BE192,IF(K194="SKG",PR!$BF192,IF(K194="TAH",PR!$BG192,IF(K194="TAYLEK",PR!$BH192,IF(K194="TEMITA",PR!$BI192,IF(K194="THL",PR!$BJ192,IF(K194="UBASTIC",PR!$BK192,IF(K194="UNION",PR!$BL192,IF(K194="UNIQUE",PR!$BM192,IF(K194="VIXA",PR!$BN192,IF(K194="WWCV",PR!$BO192,IF(K194="ZOLON",PR!$BP192,"-")))))))))))))))))))))))))))))))))))))))))))))))))))))))))))))))))</f>
        <v>0</v>
      </c>
    </row>
    <row r="195" spans="1:12" ht="18.75" x14ac:dyDescent="0.3">
      <c r="A195" s="430">
        <f>PR!A193</f>
        <v>172</v>
      </c>
      <c r="B195" s="15" t="str">
        <f>PR!B193</f>
        <v>MORPHINE 15MG INJ</v>
      </c>
      <c r="C195" s="113">
        <f>PR!D193</f>
        <v>10</v>
      </c>
      <c r="D195" s="113">
        <f>PR!C193</f>
        <v>4</v>
      </c>
      <c r="E195" s="108" t="str">
        <f>IF(F195="ALPHA",PR!$E193,IF(F195="ASSENE",PR!$F193,IF(F195="BIOFEM",PR!$G193,IF(F195="BIOMED",PR!$H193,IF(F195="CHI",PR!$I193,IF(F195="CLARION",PR!$J193,IF(F195="CODIX",PR!$K193,IF(F195="COSMADE",PR!$L193,IF(F195="SANCON",PR!$M193,IF(F195="DEVON",PR!$N193,IF(F195="DORTEMAG",PR!$O193,IF(F195="DGF",PR!$P193,IF(F195="DYNAMIC",PR!$Q193,IF(F195="EMZOR",PR!$R193,IF(F195="EUMATT",PR!$S193,IF(F195="FIDSON",PR!$T193,IF(F195="FCGLOBAL",PR!$U193,IF(F195="GENEITH",PR!$V193,IF(F195="GINOS",PR!$W193,IF(F195="GSK",PR!$X193,IF(F195="GLOBORG",PR!$Y193,IF(F195="GOODNEWS",PR!$Z193,IF(F195="GREENLIFE",PR!$AA193,IF(F195="HLINE",PR!$AB193,IF(F195="ROTECH",PR!$AC193,IF(F195="ISN",PR!$AD193,IF(F195="JAWA",PR!$AE193,IF(F195="LAYO",PR!$AF193,IF(F195="LEADWAY",PR!$AG193,IF(F195="LHV",PR!$AH193,IF(F195="MANOLA",PR!$AI193,IF(F195="MARCSON",PR!$AJ193,IF(F195="M&amp;B",PR!$AK193,IF(F195="MTRUST",PR!$AL193,IF(F195="MWORLD",PR!$AM193,IF(F195="MEGA",PR!$AN193,IF(F195="MICRONOVA",PR!$AO193,IF(F195="MFLASH",PR!$AP193,IF(F195="MORISON",PR!$AQ193,IF(F195="NEMEL",PR!$AR193,IF(F195="NHP",PR!$AS193,IF(F195="NHC",PR!$AT193,IF(F195="OLEAF",PR!$AU193,IF(F195="OCULUS",PR!$AV193,IF(F195="PACIFIC",PR!$AW193,IF(F195="PHAMATEX",PR!$AX193,IF(F195="PETHICS",PR!$AY193,IF(F195="PHILIPS",PR!$AZ193,IF(F195="RANBAXY",PR!$BA193,IF(F195="REALS",PR!$BB193,IF(F195="ROYAL",PR!$BC193,IF(F195="SAM",PR!$BD193,IF(F195="SEAGREEN",PR!$BE193,IF(F195="SKG",PR!$BF193,IF(F195="TAH",PR!$BG193,IF(F195="TAYLEK",PR!$BH193,IF(F195="TEMITA",PR!$BI193,IF(F195="THL",PR!$BJ193,IF(F195="UBASTIC",PR!$BK193,IF(F195="UNION",PR!$BL193,IF(F195="UNIQUE",PR!$BM193,IF(F195="VIXA",PR!$BN193,IF(F195="WWCV",PR!$BO193,IF(F195="ZOLON",PR!$BP193,"-"))))))))))))))))))))))))))))))))))))))))))))))))))))))))))))))))</f>
        <v>-</v>
      </c>
      <c r="F195" s="102">
        <f>EV!L236</f>
        <v>0</v>
      </c>
      <c r="G195" s="108" t="str">
        <f>IF(H195="ALPHA",PR!$E193,IF(H195="ASSENE",PR!$F193,IF(H195="BIOFEM",PR!$G193,IF(H195="BIOMED",PR!$H193,IF(H195="CHI",PR!$I193,IF(H195="CLARION",PR!$J193,IF(H195="CODIX",PR!$K193,IF(H195="COSMADE",PR!$L193,IF(H195="SANCON",PR!$M193,IF(H195="DEVON",PR!$N193,IF(H195="DORTEMAG",PR!$O193,IF(H195="DGF",PR!$P193,IF(H195="DYNAMIC",PR!$Q193,IF(H195="EMZOR",PR!$R193,IF(H195="EUMATT",PR!$S193,IF(H195="FIDSON",PR!$T193,IF(H195="FCGLOBAL",PR!$U193,IF(H195="GENEITH",PR!$V193,IF(H195="GINOS",PR!$W193,IF(H195="GSK",PR!$X193,IF(H195="GLOBORG",PR!$Y193,IF(H195="GOODNEWS",PR!$Z193,IF(H195="GREENLIFE",PR!$AA193,IF(H195="HLINE",PR!$AB193,IF(H195="ROTECH",PR!$AC193,IF(H195="ISN",PR!$AD193,IF(H195="JAWA",PR!$AE193,IF(H195="LAYO",PR!$AF193,IF(H195="LEADWAY",PR!$AG193,IF(H195="LHV",PR!$AH193,IF(H195="MANOLA",PR!$AI193,IF(H195="MARCSON",PR!$AJ193,IF(H195="M&amp;B",PR!$AK193,IF(H195="MTRUST",PR!$AL193,IF(H195="MWORLD",PR!$AM193,IF(H195="MEGA",PR!$AN193,IF(H195="MICRONOVA",PR!$AO193,IF(H195="MFLASH",PR!$AP193,IF(H195="MORISON",PR!$AQ193,IF(H195="NEMEL",PR!$AR193,IF(H195="NHP",PR!$AS193,IF(H195="NHC",PR!$AT193,IF(H195="OLEAF",PR!$AU193,IF(H195="OCULUS",PR!$AV193,IF(H195="PACIFIC",PR!$AW193,IF(H195="PHAMATEX",PR!$AX193,IF(H195="PETHICS",PR!$AY193,IF(H195="PHILIPS",PR!$AZ193,IF(H195="RANBAXY",PR!$BA193,IF(H195="REALS",PR!$BB193,IF(H195="ROYAL",PR!$BC193,IF(H195="SAM",PR!$BD193,IF(H195="SEAGREEN",PR!$BE193,IF(H195="SKG",PR!$BF193,IF(H195="TAH",PR!$BG193,IF(H195="TAYLEK",PR!$BH193,IF(H195="TEMITA",PR!$BI193,IF(H195="THL",PR!$BJ193,IF(H195="UBASTIC",PR!$BK193,IF(H195="UNION",PR!$BL193,IF(H195="UNIQUE",PR!$BM193,IF(H195="VIXA",PR!$BN193,IF(H195="WWCV",PR!$BO193,IF(H195="ZOLON",PR!$BP193,"-"))))))))))))))))))))))))))))))))))))))))))))))))))))))))))))))))</f>
        <v>-</v>
      </c>
      <c r="H195" s="102">
        <f>EV!M236</f>
        <v>0</v>
      </c>
      <c r="I195" s="108" t="str">
        <f>IF(J195="ALPHA",PR!$E193,IF(J195="ASSENE",PR!$F193,IF(J195="BIOFEM",PR!$G193,IF(J195="BIOMED",PR!$H193,IF(J195="CHI",PR!$I193,IF(J195="CLARION",PR!$J193,IF(J195="CODIX",PR!$K193,IF(J195="COSMADE",PR!$L193,IF(J195="SANCON",PR!$M193,IF(J195="DEVON",PR!$N193,IF(J195="DORTEMAG",PR!$O193,IF(J195="DGF",PR!$P193,IF(J195="DYNAMIC",PR!$Q193,IF(J195="EMZOR",PR!$R193,IF(J195="EUMATT",PR!$S193,IF(J195="FIDSON",PR!$T193,IF(J195="FCGLOBAL",PR!$U193,IF(J195="GENEITH",PR!$V193,IF(J195="GINOS",PR!$W193,IF(J195="GSK",PR!$X193,IF(J195="GLOBORG",PR!$Y193,IF(J195="GOODNEWS",PR!$Z193,IF(J195="GREENLIFE",PR!$AA193,IF(J195="HLINE",PR!$AB193,IF(J195="ROTECH",PR!$AC193,IF(J195="ISN",PR!$AD193,IF(J195="JAWA",PR!$AE193,IF(J195="LAYO",PR!$AF193,IF(J195="LEADWAY",PR!$AG193,IF(J195="LHV",PR!$AH193,IF(J195="MANOLA",PR!$AI193,IF(J195="MARCSON",PR!$AJ193,IF(J195="M&amp;B",PR!$AK193,IF(J195="MTRUST",PR!$AL193,IF(J195="MWORLD",PR!$AM193,IF(J195="MEGA",PR!$AN193,IF(J195="MICRONOVA",PR!$AO193,IF(J195="MFLASH",PR!$AP193,IF(J195="MORISON",PR!$AQ193,IF(J195="NEMEL",PR!$AR193,IF(J195="NHP",PR!$AS193,IF(J195="NHC",PR!$AT193,IF(J195="OLEAF",PR!$AU193,IF(J195="OCULUS",PR!$AV193,IF(J195="PACIFIC",PR!$AW193,IF(J195="PHAMATEX",PR!$AX193,IF(J195="PETHICS",PR!$AY193,IF(J195="PHILIPS",PR!$AZ193,IF(J195="RANBAXY",PR!$BA193,IF(J195="REALS",PR!$BB193,IF(J195="ROYAL",PR!$BC193,IF(J195="SAM",PR!$BD193,IF(J195="SEAGREEN",PR!$BE193,IF(J195="SKG",PR!$BF193,IF(J195="TAH",PR!$BG193,IF(J195="TAYLEK",PR!$BH193,IF(J195="TEMITA",PR!$BI193,IF(J195="THL",PR!$BJ193,IF(J195="UBASTIC",PR!$BK193,IF(J195="UNION",PR!$BL193,IF(J195="UNIQUE",PR!$BM193,IF(J195="VIXA",PR!$BN193,IF(J195="WWCV",PR!$BO193,IF(J195="ZOLON",PR!$BP193,"-"))))))))))))))))))))))))))))))))))))))))))))))))))))))))))))))))</f>
        <v>-</v>
      </c>
      <c r="J195" s="102">
        <f>EV!N236</f>
        <v>0</v>
      </c>
      <c r="K195" s="433"/>
      <c r="L195" s="183" t="b">
        <f>IF(K195&gt;0,IF(K195="ALPHA",PR!$E193,IF(K195="ASSENE",PR!$F193,IF(K195="BIOFEM",PR!$G193,IF(K195="BIOMED",PR!$H193,IF(K195="CHI",PR!$I193,IF(K195="CLARION",PR!$J193,IF(K195="CODIX",PR!$K193,IF(K195="COSMADE",PR!$L193,IF(K195="SANCON",PR!$M193,IF(K195="DEVON",PR!$N193,IF(K195="DORTEMAG",PR!$O193,IF(K195="DGF",PR!$P193,IF(K195="DYNAMIC",PR!$Q193,IF(K195="EMZOR",PR!$R193,IF(K195="EUMATT",PR!$S193,IF(K195="FIDSON",PR!$T193,IF(K195="FCGLOBAL",PR!$U193,IF(K195="GENEITH",PR!$V193,IF(K195="GINOS",PR!$W193,IF(K195="GSK",PR!$X193,IF(K195="GLOBORG",PR!$Y193,IF(K195="GOODNEWS",PR!$Z193,IF(K195="GREENLIFE",PR!$AA193,IF(K195="HLINE",PR!$AB193,IF(K195="ROTECH",PR!$AC193,IF(K195="ISN",PR!$AD193,IF(K195="JAWA",PR!$AE193,IF(K195="LAYO",PR!$AF193,IF(K195="LEADWAY",PR!$AG193,IF(K195="LHV",PR!$AH193,IF(K195="MANOLA",PR!$AI193,IF(K195="MARCSON",PR!$AJ193,IF(K195="M&amp;B",PR!$AK193,IF(K195="MTRUST",PR!$AL193,IF(K195="MWORLD",PR!$AM193,IF(K195="MEGA",PR!$AN193,IF(K195="MICRONOVA",PR!$AO193,IF(K195="MFLASH",PR!$AP193,IF(K195="MORISON",PR!$AQ193,IF(K195="NEMEL",PR!$AR193,IF(K195="NHP",PR!$AS193,IF(K195="NHC",PR!$AT193,IF(K195="OLEAF",PR!$AU193,IF(K195="OCULUS",PR!$AV193,IF(K195="PACIFIC",PR!$AW193,IF(K195="PHAMATEX",PR!$AX193,IF(K195="PETHICS",PR!$AY193,IF(K195="PHILIPS",PR!$AZ193,IF(K195="RANBAXY",PR!$BA193,IF(K195="REALS",PR!$BB193,IF(K195="ROYAL",PR!$BC193,IF(K195="SAM",PR!$BD193,IF(K195="SEAGREEN",PR!$BE193,IF(K195="SKG",PR!$BF193,IF(K195="TAH",PR!$BG193,IF(K195="TAYLEK",PR!$BH193,IF(K195="TEMITA",PR!$BI193,IF(K195="THL",PR!$BJ193,IF(K195="UBASTIC",PR!$BK193,IF(K195="UNION",PR!$BL193,IF(K195="UNIQUE",PR!$BM193,IF(K195="VIXA",PR!$BN193,IF(K195="WWCV",PR!$BO193,IF(K195="ZOLON",PR!$BP193,"-")))))))))))))))))))))))))))))))))))))))))))))))))))))))))))))))))</f>
        <v>0</v>
      </c>
    </row>
    <row r="196" spans="1:12" ht="18.75" x14ac:dyDescent="0.3">
      <c r="A196" s="430">
        <f>PR!A194</f>
        <v>173</v>
      </c>
      <c r="B196" s="15" t="str">
        <f>PR!B194</f>
        <v>MORPHINE POWDER</v>
      </c>
      <c r="C196" s="113" t="str">
        <f>PR!D194</f>
        <v>25G</v>
      </c>
      <c r="D196" s="113">
        <f>PR!C194</f>
        <v>10</v>
      </c>
      <c r="E196" s="108" t="str">
        <f>IF(F196="ALPHA",PR!$E194,IF(F196="ASSENE",PR!$F194,IF(F196="BIOFEM",PR!$G194,IF(F196="BIOMED",PR!$H194,IF(F196="CHI",PR!$I194,IF(F196="CLARION",PR!$J194,IF(F196="CODIX",PR!$K194,IF(F196="COSMADE",PR!$L194,IF(F196="SANCON",PR!$M194,IF(F196="DEVON",PR!$N194,IF(F196="DORTEMAG",PR!$O194,IF(F196="DGF",PR!$P194,IF(F196="DYNAMIC",PR!$Q194,IF(F196="EMZOR",PR!$R194,IF(F196="EUMATT",PR!$S194,IF(F196="FIDSON",PR!$T194,IF(F196="FCGLOBAL",PR!$U194,IF(F196="GENEITH",PR!$V194,IF(F196="GINOS",PR!$W194,IF(F196="GSK",PR!$X194,IF(F196="GLOBORG",PR!$Y194,IF(F196="GOODNEWS",PR!$Z194,IF(F196="GREENLIFE",PR!$AA194,IF(F196="HLINE",PR!$AB194,IF(F196="ROTECH",PR!$AC194,IF(F196="ISN",PR!$AD194,IF(F196="JAWA",PR!$AE194,IF(F196="LAYO",PR!$AF194,IF(F196="LEADWAY",PR!$AG194,IF(F196="LHV",PR!$AH194,IF(F196="MANOLA",PR!$AI194,IF(F196="MARCSON",PR!$AJ194,IF(F196="M&amp;B",PR!$AK194,IF(F196="MTRUST",PR!$AL194,IF(F196="MWORLD",PR!$AM194,IF(F196="MEGA",PR!$AN194,IF(F196="MICRONOVA",PR!$AO194,IF(F196="MFLASH",PR!$AP194,IF(F196="MORISON",PR!$AQ194,IF(F196="NEMEL",PR!$AR194,IF(F196="NHP",PR!$AS194,IF(F196="NHC",PR!$AT194,IF(F196="OLEAF",PR!$AU194,IF(F196="OCULUS",PR!$AV194,IF(F196="PACIFIC",PR!$AW194,IF(F196="PHAMATEX",PR!$AX194,IF(F196="PETHICS",PR!$AY194,IF(F196="PHILIPS",PR!$AZ194,IF(F196="RANBAXY",PR!$BA194,IF(F196="REALS",PR!$BB194,IF(F196="ROYAL",PR!$BC194,IF(F196="SAM",PR!$BD194,IF(F196="SEAGREEN",PR!$BE194,IF(F196="SKG",PR!$BF194,IF(F196="TAH",PR!$BG194,IF(F196="TAYLEK",PR!$BH194,IF(F196="TEMITA",PR!$BI194,IF(F196="THL",PR!$BJ194,IF(F196="UBASTIC",PR!$BK194,IF(F196="UNION",PR!$BL194,IF(F196="UNIQUE",PR!$BM194,IF(F196="VIXA",PR!$BN194,IF(F196="WWCV",PR!$BO194,IF(F196="ZOLON",PR!$BP194,"-"))))))))))))))))))))))))))))))))))))))))))))))))))))))))))))))))</f>
        <v>-</v>
      </c>
      <c r="F196" s="102">
        <f>EV!L237</f>
        <v>0</v>
      </c>
      <c r="G196" s="108" t="str">
        <f>IF(H196="ALPHA",PR!$E194,IF(H196="ASSENE",PR!$F194,IF(H196="BIOFEM",PR!$G194,IF(H196="BIOMED",PR!$H194,IF(H196="CHI",PR!$I194,IF(H196="CLARION",PR!$J194,IF(H196="CODIX",PR!$K194,IF(H196="COSMADE",PR!$L194,IF(H196="SANCON",PR!$M194,IF(H196="DEVON",PR!$N194,IF(H196="DORTEMAG",PR!$O194,IF(H196="DGF",PR!$P194,IF(H196="DYNAMIC",PR!$Q194,IF(H196="EMZOR",PR!$R194,IF(H196="EUMATT",PR!$S194,IF(H196="FIDSON",PR!$T194,IF(H196="FCGLOBAL",PR!$U194,IF(H196="GENEITH",PR!$V194,IF(H196="GINOS",PR!$W194,IF(H196="GSK",PR!$X194,IF(H196="GLOBORG",PR!$Y194,IF(H196="GOODNEWS",PR!$Z194,IF(H196="GREENLIFE",PR!$AA194,IF(H196="HLINE",PR!$AB194,IF(H196="ROTECH",PR!$AC194,IF(H196="ISN",PR!$AD194,IF(H196="JAWA",PR!$AE194,IF(H196="LAYO",PR!$AF194,IF(H196="LEADWAY",PR!$AG194,IF(H196="LHV",PR!$AH194,IF(H196="MANOLA",PR!$AI194,IF(H196="MARCSON",PR!$AJ194,IF(H196="M&amp;B",PR!$AK194,IF(H196="MTRUST",PR!$AL194,IF(H196="MWORLD",PR!$AM194,IF(H196="MEGA",PR!$AN194,IF(H196="MICRONOVA",PR!$AO194,IF(H196="MFLASH",PR!$AP194,IF(H196="MORISON",PR!$AQ194,IF(H196="NEMEL",PR!$AR194,IF(H196="NHP",PR!$AS194,IF(H196="NHC",PR!$AT194,IF(H196="OLEAF",PR!$AU194,IF(H196="OCULUS",PR!$AV194,IF(H196="PACIFIC",PR!$AW194,IF(H196="PHAMATEX",PR!$AX194,IF(H196="PETHICS",PR!$AY194,IF(H196="PHILIPS",PR!$AZ194,IF(H196="RANBAXY",PR!$BA194,IF(H196="REALS",PR!$BB194,IF(H196="ROYAL",PR!$BC194,IF(H196="SAM",PR!$BD194,IF(H196="SEAGREEN",PR!$BE194,IF(H196="SKG",PR!$BF194,IF(H196="TAH",PR!$BG194,IF(H196="TAYLEK",PR!$BH194,IF(H196="TEMITA",PR!$BI194,IF(H196="THL",PR!$BJ194,IF(H196="UBASTIC",PR!$BK194,IF(H196="UNION",PR!$BL194,IF(H196="UNIQUE",PR!$BM194,IF(H196="VIXA",PR!$BN194,IF(H196="WWCV",PR!$BO194,IF(H196="ZOLON",PR!$BP194,"-"))))))))))))))))))))))))))))))))))))))))))))))))))))))))))))))))</f>
        <v>-</v>
      </c>
      <c r="H196" s="102">
        <f>EV!M237</f>
        <v>0</v>
      </c>
      <c r="I196" s="108" t="str">
        <f>IF(J196="ALPHA",PR!$E194,IF(J196="ASSENE",PR!$F194,IF(J196="BIOFEM",PR!$G194,IF(J196="BIOMED",PR!$H194,IF(J196="CHI",PR!$I194,IF(J196="CLARION",PR!$J194,IF(J196="CODIX",PR!$K194,IF(J196="COSMADE",PR!$L194,IF(J196="SANCON",PR!$M194,IF(J196="DEVON",PR!$N194,IF(J196="DORTEMAG",PR!$O194,IF(J196="DGF",PR!$P194,IF(J196="DYNAMIC",PR!$Q194,IF(J196="EMZOR",PR!$R194,IF(J196="EUMATT",PR!$S194,IF(J196="FIDSON",PR!$T194,IF(J196="FCGLOBAL",PR!$U194,IF(J196="GENEITH",PR!$V194,IF(J196="GINOS",PR!$W194,IF(J196="GSK",PR!$X194,IF(J196="GLOBORG",PR!$Y194,IF(J196="GOODNEWS",PR!$Z194,IF(J196="GREENLIFE",PR!$AA194,IF(J196="HLINE",PR!$AB194,IF(J196="ROTECH",PR!$AC194,IF(J196="ISN",PR!$AD194,IF(J196="JAWA",PR!$AE194,IF(J196="LAYO",PR!$AF194,IF(J196="LEADWAY",PR!$AG194,IF(J196="LHV",PR!$AH194,IF(J196="MANOLA",PR!$AI194,IF(J196="MARCSON",PR!$AJ194,IF(J196="M&amp;B",PR!$AK194,IF(J196="MTRUST",PR!$AL194,IF(J196="MWORLD",PR!$AM194,IF(J196="MEGA",PR!$AN194,IF(J196="MICRONOVA",PR!$AO194,IF(J196="MFLASH",PR!$AP194,IF(J196="MORISON",PR!$AQ194,IF(J196="NEMEL",PR!$AR194,IF(J196="NHP",PR!$AS194,IF(J196="NHC",PR!$AT194,IF(J196="OLEAF",PR!$AU194,IF(J196="OCULUS",PR!$AV194,IF(J196="PACIFIC",PR!$AW194,IF(J196="PHAMATEX",PR!$AX194,IF(J196="PETHICS",PR!$AY194,IF(J196="PHILIPS",PR!$AZ194,IF(J196="RANBAXY",PR!$BA194,IF(J196="REALS",PR!$BB194,IF(J196="ROYAL",PR!$BC194,IF(J196="SAM",PR!$BD194,IF(J196="SEAGREEN",PR!$BE194,IF(J196="SKG",PR!$BF194,IF(J196="TAH",PR!$BG194,IF(J196="TAYLEK",PR!$BH194,IF(J196="TEMITA",PR!$BI194,IF(J196="THL",PR!$BJ194,IF(J196="UBASTIC",PR!$BK194,IF(J196="UNION",PR!$BL194,IF(J196="UNIQUE",PR!$BM194,IF(J196="VIXA",PR!$BN194,IF(J196="WWCV",PR!$BO194,IF(J196="ZOLON",PR!$BP194,"-"))))))))))))))))))))))))))))))))))))))))))))))))))))))))))))))))</f>
        <v>-</v>
      </c>
      <c r="J196" s="102">
        <f>EV!N237</f>
        <v>0</v>
      </c>
      <c r="K196" s="433"/>
      <c r="L196" s="183" t="b">
        <f>IF(K196&gt;0,IF(K196="ALPHA",PR!$E194,IF(K196="ASSENE",PR!$F194,IF(K196="BIOFEM",PR!$G194,IF(K196="BIOMED",PR!$H194,IF(K196="CHI",PR!$I194,IF(K196="CLARION",PR!$J194,IF(K196="CODIX",PR!$K194,IF(K196="COSMADE",PR!$L194,IF(K196="SANCON",PR!$M194,IF(K196="DEVON",PR!$N194,IF(K196="DORTEMAG",PR!$O194,IF(K196="DGF",PR!$P194,IF(K196="DYNAMIC",PR!$Q194,IF(K196="EMZOR",PR!$R194,IF(K196="EUMATT",PR!$S194,IF(K196="FIDSON",PR!$T194,IF(K196="FCGLOBAL",PR!$U194,IF(K196="GENEITH",PR!$V194,IF(K196="GINOS",PR!$W194,IF(K196="GSK",PR!$X194,IF(K196="GLOBORG",PR!$Y194,IF(K196="GOODNEWS",PR!$Z194,IF(K196="GREENLIFE",PR!$AA194,IF(K196="HLINE",PR!$AB194,IF(K196="ROTECH",PR!$AC194,IF(K196="ISN",PR!$AD194,IF(K196="JAWA",PR!$AE194,IF(K196="LAYO",PR!$AF194,IF(K196="LEADWAY",PR!$AG194,IF(K196="LHV",PR!$AH194,IF(K196="MANOLA",PR!$AI194,IF(K196="MARCSON",PR!$AJ194,IF(K196="M&amp;B",PR!$AK194,IF(K196="MTRUST",PR!$AL194,IF(K196="MWORLD",PR!$AM194,IF(K196="MEGA",PR!$AN194,IF(K196="MICRONOVA",PR!$AO194,IF(K196="MFLASH",PR!$AP194,IF(K196="MORISON",PR!$AQ194,IF(K196="NEMEL",PR!$AR194,IF(K196="NHP",PR!$AS194,IF(K196="NHC",PR!$AT194,IF(K196="OLEAF",PR!$AU194,IF(K196="OCULUS",PR!$AV194,IF(K196="PACIFIC",PR!$AW194,IF(K196="PHAMATEX",PR!$AX194,IF(K196="PETHICS",PR!$AY194,IF(K196="PHILIPS",PR!$AZ194,IF(K196="RANBAXY",PR!$BA194,IF(K196="REALS",PR!$BB194,IF(K196="ROYAL",PR!$BC194,IF(K196="SAM",PR!$BD194,IF(K196="SEAGREEN",PR!$BE194,IF(K196="SKG",PR!$BF194,IF(K196="TAH",PR!$BG194,IF(K196="TAYLEK",PR!$BH194,IF(K196="TEMITA",PR!$BI194,IF(K196="THL",PR!$BJ194,IF(K196="UBASTIC",PR!$BK194,IF(K196="UNION",PR!$BL194,IF(K196="UNIQUE",PR!$BM194,IF(K196="VIXA",PR!$BN194,IF(K196="WWCV",PR!$BO194,IF(K196="ZOLON",PR!$BP194,"-")))))))))))))))))))))))))))))))))))))))))))))))))))))))))))))))))</f>
        <v>0</v>
      </c>
    </row>
    <row r="197" spans="1:12" ht="18.75" x14ac:dyDescent="0.3">
      <c r="A197" s="430">
        <f>PR!A195</f>
        <v>174</v>
      </c>
      <c r="B197" s="15" t="str">
        <f>PR!B195</f>
        <v>NALOXONE INJ</v>
      </c>
      <c r="C197" s="113" t="str">
        <f>PR!D195</f>
        <v>AMP</v>
      </c>
      <c r="D197" s="113">
        <f>PR!C195</f>
        <v>40</v>
      </c>
      <c r="E197" s="108" t="str">
        <f>IF(F197="ALPHA",PR!$E195,IF(F197="ASSENE",PR!$F195,IF(F197="BIOFEM",PR!$G195,IF(F197="BIOMED",PR!$H195,IF(F197="CHI",PR!$I195,IF(F197="CLARION",PR!$J195,IF(F197="CODIX",PR!$K195,IF(F197="COSMADE",PR!$L195,IF(F197="SANCON",PR!$M195,IF(F197="DEVON",PR!$N195,IF(F197="DORTEMAG",PR!$O195,IF(F197="DGF",PR!$P195,IF(F197="DYNAMIC",PR!$Q195,IF(F197="EMZOR",PR!$R195,IF(F197="EUMATT",PR!$S195,IF(F197="FIDSON",PR!$T195,IF(F197="FCGLOBAL",PR!$U195,IF(F197="GENEITH",PR!$V195,IF(F197="GINOS",PR!$W195,IF(F197="GSK",PR!$X195,IF(F197="GLOBORG",PR!$Y195,IF(F197="GOODNEWS",PR!$Z195,IF(F197="GREENLIFE",PR!$AA195,IF(F197="HLINE",PR!$AB195,IF(F197="ROTECH",PR!$AC195,IF(F197="ISN",PR!$AD195,IF(F197="JAWA",PR!$AE195,IF(F197="LAYO",PR!$AF195,IF(F197="LEADWAY",PR!$AG195,IF(F197="LHV",PR!$AH195,IF(F197="MANOLA",PR!$AI195,IF(F197="MARCSON",PR!$AJ195,IF(F197="M&amp;B",PR!$AK195,IF(F197="MTRUST",PR!$AL195,IF(F197="MWORLD",PR!$AM195,IF(F197="MEGA",PR!$AN195,IF(F197="MICRONOVA",PR!$AO195,IF(F197="MFLASH",PR!$AP195,IF(F197="MORISON",PR!$AQ195,IF(F197="NEMEL",PR!$AR195,IF(F197="NHP",PR!$AS195,IF(F197="NHC",PR!$AT195,IF(F197="OLEAF",PR!$AU195,IF(F197="OCULUS",PR!$AV195,IF(F197="PACIFIC",PR!$AW195,IF(F197="PHAMATEX",PR!$AX195,IF(F197="PETHICS",PR!$AY195,IF(F197="PHILIPS",PR!$AZ195,IF(F197="RANBAXY",PR!$BA195,IF(F197="REALS",PR!$BB195,IF(F197="ROYAL",PR!$BC195,IF(F197="SAM",PR!$BD195,IF(F197="SEAGREEN",PR!$BE195,IF(F197="SKG",PR!$BF195,IF(F197="TAH",PR!$BG195,IF(F197="TAYLEK",PR!$BH195,IF(F197="TEMITA",PR!$BI195,IF(F197="THL",PR!$BJ195,IF(F197="UBASTIC",PR!$BK195,IF(F197="UNION",PR!$BL195,IF(F197="UNIQUE",PR!$BM195,IF(F197="VIXA",PR!$BN195,IF(F197="WWCV",PR!$BO195,IF(F197="ZOLON",PR!$BP195,"-"))))))))))))))))))))))))))))))))))))))))))))))))))))))))))))))))</f>
        <v>-</v>
      </c>
      <c r="F197" s="102">
        <f>EV!L238</f>
        <v>0</v>
      </c>
      <c r="G197" s="108" t="str">
        <f>IF(H197="ALPHA",PR!$E195,IF(H197="ASSENE",PR!$F195,IF(H197="BIOFEM",PR!$G195,IF(H197="BIOMED",PR!$H195,IF(H197="CHI",PR!$I195,IF(H197="CLARION",PR!$J195,IF(H197="CODIX",PR!$K195,IF(H197="COSMADE",PR!$L195,IF(H197="SANCON",PR!$M195,IF(H197="DEVON",PR!$N195,IF(H197="DORTEMAG",PR!$O195,IF(H197="DGF",PR!$P195,IF(H197="DYNAMIC",PR!$Q195,IF(H197="EMZOR",PR!$R195,IF(H197="EUMATT",PR!$S195,IF(H197="FIDSON",PR!$T195,IF(H197="FCGLOBAL",PR!$U195,IF(H197="GENEITH",PR!$V195,IF(H197="GINOS",PR!$W195,IF(H197="GSK",PR!$X195,IF(H197="GLOBORG",PR!$Y195,IF(H197="GOODNEWS",PR!$Z195,IF(H197="GREENLIFE",PR!$AA195,IF(H197="HLINE",PR!$AB195,IF(H197="ROTECH",PR!$AC195,IF(H197="ISN",PR!$AD195,IF(H197="JAWA",PR!$AE195,IF(H197="LAYO",PR!$AF195,IF(H197="LEADWAY",PR!$AG195,IF(H197="LHV",PR!$AH195,IF(H197="MANOLA",PR!$AI195,IF(H197="MARCSON",PR!$AJ195,IF(H197="M&amp;B",PR!$AK195,IF(H197="MTRUST",PR!$AL195,IF(H197="MWORLD",PR!$AM195,IF(H197="MEGA",PR!$AN195,IF(H197="MICRONOVA",PR!$AO195,IF(H197="MFLASH",PR!$AP195,IF(H197="MORISON",PR!$AQ195,IF(H197="NEMEL",PR!$AR195,IF(H197="NHP",PR!$AS195,IF(H197="NHC",PR!$AT195,IF(H197="OLEAF",PR!$AU195,IF(H197="OCULUS",PR!$AV195,IF(H197="PACIFIC",PR!$AW195,IF(H197="PHAMATEX",PR!$AX195,IF(H197="PETHICS",PR!$AY195,IF(H197="PHILIPS",PR!$AZ195,IF(H197="RANBAXY",PR!$BA195,IF(H197="REALS",PR!$BB195,IF(H197="ROYAL",PR!$BC195,IF(H197="SAM",PR!$BD195,IF(H197="SEAGREEN",PR!$BE195,IF(H197="SKG",PR!$BF195,IF(H197="TAH",PR!$BG195,IF(H197="TAYLEK",PR!$BH195,IF(H197="TEMITA",PR!$BI195,IF(H197="THL",PR!$BJ195,IF(H197="UBASTIC",PR!$BK195,IF(H197="UNION",PR!$BL195,IF(H197="UNIQUE",PR!$BM195,IF(H197="VIXA",PR!$BN195,IF(H197="WWCV",PR!$BO195,IF(H197="ZOLON",PR!$BP195,"-"))))))))))))))))))))))))))))))))))))))))))))))))))))))))))))))))</f>
        <v>-</v>
      </c>
      <c r="H197" s="102">
        <f>EV!M238</f>
        <v>0</v>
      </c>
      <c r="I197" s="108" t="str">
        <f>IF(J197="ALPHA",PR!$E195,IF(J197="ASSENE",PR!$F195,IF(J197="BIOFEM",PR!$G195,IF(J197="BIOMED",PR!$H195,IF(J197="CHI",PR!$I195,IF(J197="CLARION",PR!$J195,IF(J197="CODIX",PR!$K195,IF(J197="COSMADE",PR!$L195,IF(J197="SANCON",PR!$M195,IF(J197="DEVON",PR!$N195,IF(J197="DORTEMAG",PR!$O195,IF(J197="DGF",PR!$P195,IF(J197="DYNAMIC",PR!$Q195,IF(J197="EMZOR",PR!$R195,IF(J197="EUMATT",PR!$S195,IF(J197="FIDSON",PR!$T195,IF(J197="FCGLOBAL",PR!$U195,IF(J197="GENEITH",PR!$V195,IF(J197="GINOS",PR!$W195,IF(J197="GSK",PR!$X195,IF(J197="GLOBORG",PR!$Y195,IF(J197="GOODNEWS",PR!$Z195,IF(J197="GREENLIFE",PR!$AA195,IF(J197="HLINE",PR!$AB195,IF(J197="ROTECH",PR!$AC195,IF(J197="ISN",PR!$AD195,IF(J197="JAWA",PR!$AE195,IF(J197="LAYO",PR!$AF195,IF(J197="LEADWAY",PR!$AG195,IF(J197="LHV",PR!$AH195,IF(J197="MANOLA",PR!$AI195,IF(J197="MARCSON",PR!$AJ195,IF(J197="M&amp;B",PR!$AK195,IF(J197="MTRUST",PR!$AL195,IF(J197="MWORLD",PR!$AM195,IF(J197="MEGA",PR!$AN195,IF(J197="MICRONOVA",PR!$AO195,IF(J197="MFLASH",PR!$AP195,IF(J197="MORISON",PR!$AQ195,IF(J197="NEMEL",PR!$AR195,IF(J197="NHP",PR!$AS195,IF(J197="NHC",PR!$AT195,IF(J197="OLEAF",PR!$AU195,IF(J197="OCULUS",PR!$AV195,IF(J197="PACIFIC",PR!$AW195,IF(J197="PHAMATEX",PR!$AX195,IF(J197="PETHICS",PR!$AY195,IF(J197="PHILIPS",PR!$AZ195,IF(J197="RANBAXY",PR!$BA195,IF(J197="REALS",PR!$BB195,IF(J197="ROYAL",PR!$BC195,IF(J197="SAM",PR!$BD195,IF(J197="SEAGREEN",PR!$BE195,IF(J197="SKG",PR!$BF195,IF(J197="TAH",PR!$BG195,IF(J197="TAYLEK",PR!$BH195,IF(J197="TEMITA",PR!$BI195,IF(J197="THL",PR!$BJ195,IF(J197="UBASTIC",PR!$BK195,IF(J197="UNION",PR!$BL195,IF(J197="UNIQUE",PR!$BM195,IF(J197="VIXA",PR!$BN195,IF(J197="WWCV",PR!$BO195,IF(J197="ZOLON",PR!$BP195,"-"))))))))))))))))))))))))))))))))))))))))))))))))))))))))))))))))</f>
        <v>-</v>
      </c>
      <c r="J197" s="102">
        <f>EV!N238</f>
        <v>0</v>
      </c>
      <c r="K197" s="433"/>
      <c r="L197" s="183" t="b">
        <f>IF(K197&gt;0,IF(K197="ALPHA",PR!$E195,IF(K197="ASSENE",PR!$F195,IF(K197="BIOFEM",PR!$G195,IF(K197="BIOMED",PR!$H195,IF(K197="CHI",PR!$I195,IF(K197="CLARION",PR!$J195,IF(K197="CODIX",PR!$K195,IF(K197="COSMADE",PR!$L195,IF(K197="SANCON",PR!$M195,IF(K197="DEVON",PR!$N195,IF(K197="DORTEMAG",PR!$O195,IF(K197="DGF",PR!$P195,IF(K197="DYNAMIC",PR!$Q195,IF(K197="EMZOR",PR!$R195,IF(K197="EUMATT",PR!$S195,IF(K197="FIDSON",PR!$T195,IF(K197="FCGLOBAL",PR!$U195,IF(K197="GENEITH",PR!$V195,IF(K197="GINOS",PR!$W195,IF(K197="GSK",PR!$X195,IF(K197="GLOBORG",PR!$Y195,IF(K197="GOODNEWS",PR!$Z195,IF(K197="GREENLIFE",PR!$AA195,IF(K197="HLINE",PR!$AB195,IF(K197="ROTECH",PR!$AC195,IF(K197="ISN",PR!$AD195,IF(K197="JAWA",PR!$AE195,IF(K197="LAYO",PR!$AF195,IF(K197="LEADWAY",PR!$AG195,IF(K197="LHV",PR!$AH195,IF(K197="MANOLA",PR!$AI195,IF(K197="MARCSON",PR!$AJ195,IF(K197="M&amp;B",PR!$AK195,IF(K197="MTRUST",PR!$AL195,IF(K197="MWORLD",PR!$AM195,IF(K197="MEGA",PR!$AN195,IF(K197="MICRONOVA",PR!$AO195,IF(K197="MFLASH",PR!$AP195,IF(K197="MORISON",PR!$AQ195,IF(K197="NEMEL",PR!$AR195,IF(K197="NHP",PR!$AS195,IF(K197="NHC",PR!$AT195,IF(K197="OLEAF",PR!$AU195,IF(K197="OCULUS",PR!$AV195,IF(K197="PACIFIC",PR!$AW195,IF(K197="PHAMATEX",PR!$AX195,IF(K197="PETHICS",PR!$AY195,IF(K197="PHILIPS",PR!$AZ195,IF(K197="RANBAXY",PR!$BA195,IF(K197="REALS",PR!$BB195,IF(K197="ROYAL",PR!$BC195,IF(K197="SAM",PR!$BD195,IF(K197="SEAGREEN",PR!$BE195,IF(K197="SKG",PR!$BF195,IF(K197="TAH",PR!$BG195,IF(K197="TAYLEK",PR!$BH195,IF(K197="TEMITA",PR!$BI195,IF(K197="THL",PR!$BJ195,IF(K197="UBASTIC",PR!$BK195,IF(K197="UNION",PR!$BL195,IF(K197="UNIQUE",PR!$BM195,IF(K197="VIXA",PR!$BN195,IF(K197="WWCV",PR!$BO195,IF(K197="ZOLON",PR!$BP195,"-")))))))))))))))))))))))))))))))))))))))))))))))))))))))))))))))))</f>
        <v>0</v>
      </c>
    </row>
    <row r="198" spans="1:12" ht="18.75" x14ac:dyDescent="0.3">
      <c r="A198" s="430">
        <f>PR!A196</f>
        <v>175</v>
      </c>
      <c r="B198" s="15" t="str">
        <f>PR!B196</f>
        <v>NAPROXEN 500MG+ESOMEPRAZOLE 20MG</v>
      </c>
      <c r="C198" s="113">
        <f>PR!D196</f>
        <v>32</v>
      </c>
      <c r="D198" s="113">
        <f>PR!C196</f>
        <v>40</v>
      </c>
      <c r="E198" s="108" t="str">
        <f>IF(F198="ALPHA",PR!$E196,IF(F198="ASSENE",PR!$F196,IF(F198="BIOFEM",PR!$G196,IF(F198="BIOMED",PR!$H196,IF(F198="CHI",PR!$I196,IF(F198="CLARION",PR!$J196,IF(F198="CODIX",PR!$K196,IF(F198="COSMADE",PR!$L196,IF(F198="SANCON",PR!$M196,IF(F198="DEVON",PR!$N196,IF(F198="DORTEMAG",PR!$O196,IF(F198="DGF",PR!$P196,IF(F198="DYNAMIC",PR!$Q196,IF(F198="EMZOR",PR!$R196,IF(F198="EUMATT",PR!$S196,IF(F198="FIDSON",PR!$T196,IF(F198="FCGLOBAL",PR!$U196,IF(F198="GENEITH",PR!$V196,IF(F198="GINOS",PR!$W196,IF(F198="GSK",PR!$X196,IF(F198="GLOBORG",PR!$Y196,IF(F198="GOODNEWS",PR!$Z196,IF(F198="GREENLIFE",PR!$AA196,IF(F198="HLINE",PR!$AB196,IF(F198="ROTECH",PR!$AC196,IF(F198="ISN",PR!$AD196,IF(F198="JAWA",PR!$AE196,IF(F198="LAYO",PR!$AF196,IF(F198="LEADWAY",PR!$AG196,IF(F198="LHV",PR!$AH196,IF(F198="MANOLA",PR!$AI196,IF(F198="MARCSON",PR!$AJ196,IF(F198="M&amp;B",PR!$AK196,IF(F198="MTRUST",PR!$AL196,IF(F198="MWORLD",PR!$AM196,IF(F198="MEGA",PR!$AN196,IF(F198="MICRONOVA",PR!$AO196,IF(F198="MFLASH",PR!$AP196,IF(F198="MORISON",PR!$AQ196,IF(F198="NEMEL",PR!$AR196,IF(F198="NHP",PR!$AS196,IF(F198="NHC",PR!$AT196,IF(F198="OLEAF",PR!$AU196,IF(F198="OCULUS",PR!$AV196,IF(F198="PACIFIC",PR!$AW196,IF(F198="PHAMATEX",PR!$AX196,IF(F198="PETHICS",PR!$AY196,IF(F198="PHILIPS",PR!$AZ196,IF(F198="RANBAXY",PR!$BA196,IF(F198="REALS",PR!$BB196,IF(F198="ROYAL",PR!$BC196,IF(F198="SAM",PR!$BD196,IF(F198="SEAGREEN",PR!$BE196,IF(F198="SKG",PR!$BF196,IF(F198="TAH",PR!$BG196,IF(F198="TAYLEK",PR!$BH196,IF(F198="TEMITA",PR!$BI196,IF(F198="THL",PR!$BJ196,IF(F198="UBASTIC",PR!$BK196,IF(F198="UNION",PR!$BL196,IF(F198="UNIQUE",PR!$BM196,IF(F198="VIXA",PR!$BN196,IF(F198="WWCV",PR!$BO196,IF(F198="ZOLON",PR!$BP196,"-"))))))))))))))))))))))))))))))))))))))))))))))))))))))))))))))))</f>
        <v>-</v>
      </c>
      <c r="F198" s="102">
        <f>EV!L239</f>
        <v>0</v>
      </c>
      <c r="G198" s="108" t="str">
        <f>IF(H198="ALPHA",PR!$E196,IF(H198="ASSENE",PR!$F196,IF(H198="BIOFEM",PR!$G196,IF(H198="BIOMED",PR!$H196,IF(H198="CHI",PR!$I196,IF(H198="CLARION",PR!$J196,IF(H198="CODIX",PR!$K196,IF(H198="COSMADE",PR!$L196,IF(H198="SANCON",PR!$M196,IF(H198="DEVON",PR!$N196,IF(H198="DORTEMAG",PR!$O196,IF(H198="DGF",PR!$P196,IF(H198="DYNAMIC",PR!$Q196,IF(H198="EMZOR",PR!$R196,IF(H198="EUMATT",PR!$S196,IF(H198="FIDSON",PR!$T196,IF(H198="FCGLOBAL",PR!$U196,IF(H198="GENEITH",PR!$V196,IF(H198="GINOS",PR!$W196,IF(H198="GSK",PR!$X196,IF(H198="GLOBORG",PR!$Y196,IF(H198="GOODNEWS",PR!$Z196,IF(H198="GREENLIFE",PR!$AA196,IF(H198="HLINE",PR!$AB196,IF(H198="ROTECH",PR!$AC196,IF(H198="ISN",PR!$AD196,IF(H198="JAWA",PR!$AE196,IF(H198="LAYO",PR!$AF196,IF(H198="LEADWAY",PR!$AG196,IF(H198="LHV",PR!$AH196,IF(H198="MANOLA",PR!$AI196,IF(H198="MARCSON",PR!$AJ196,IF(H198="M&amp;B",PR!$AK196,IF(H198="MTRUST",PR!$AL196,IF(H198="MWORLD",PR!$AM196,IF(H198="MEGA",PR!$AN196,IF(H198="MICRONOVA",PR!$AO196,IF(H198="MFLASH",PR!$AP196,IF(H198="MORISON",PR!$AQ196,IF(H198="NEMEL",PR!$AR196,IF(H198="NHP",PR!$AS196,IF(H198="NHC",PR!$AT196,IF(H198="OLEAF",PR!$AU196,IF(H198="OCULUS",PR!$AV196,IF(H198="PACIFIC",PR!$AW196,IF(H198="PHAMATEX",PR!$AX196,IF(H198="PETHICS",PR!$AY196,IF(H198="PHILIPS",PR!$AZ196,IF(H198="RANBAXY",PR!$BA196,IF(H198="REALS",PR!$BB196,IF(H198="ROYAL",PR!$BC196,IF(H198="SAM",PR!$BD196,IF(H198="SEAGREEN",PR!$BE196,IF(H198="SKG",PR!$BF196,IF(H198="TAH",PR!$BG196,IF(H198="TAYLEK",PR!$BH196,IF(H198="TEMITA",PR!$BI196,IF(H198="THL",PR!$BJ196,IF(H198="UBASTIC",PR!$BK196,IF(H198="UNION",PR!$BL196,IF(H198="UNIQUE",PR!$BM196,IF(H198="VIXA",PR!$BN196,IF(H198="WWCV",PR!$BO196,IF(H198="ZOLON",PR!$BP196,"-"))))))))))))))))))))))))))))))))))))))))))))))))))))))))))))))))</f>
        <v>-</v>
      </c>
      <c r="H198" s="102">
        <f>EV!M239</f>
        <v>0</v>
      </c>
      <c r="I198" s="108" t="str">
        <f>IF(J198="ALPHA",PR!$E196,IF(J198="ASSENE",PR!$F196,IF(J198="BIOFEM",PR!$G196,IF(J198="BIOMED",PR!$H196,IF(J198="CHI",PR!$I196,IF(J198="CLARION",PR!$J196,IF(J198="CODIX",PR!$K196,IF(J198="COSMADE",PR!$L196,IF(J198="SANCON",PR!$M196,IF(J198="DEVON",PR!$N196,IF(J198="DORTEMAG",PR!$O196,IF(J198="DGF",PR!$P196,IF(J198="DYNAMIC",PR!$Q196,IF(J198="EMZOR",PR!$R196,IF(J198="EUMATT",PR!$S196,IF(J198="FIDSON",PR!$T196,IF(J198="FCGLOBAL",PR!$U196,IF(J198="GENEITH",PR!$V196,IF(J198="GINOS",PR!$W196,IF(J198="GSK",PR!$X196,IF(J198="GLOBORG",PR!$Y196,IF(J198="GOODNEWS",PR!$Z196,IF(J198="GREENLIFE",PR!$AA196,IF(J198="HLINE",PR!$AB196,IF(J198="ROTECH",PR!$AC196,IF(J198="ISN",PR!$AD196,IF(J198="JAWA",PR!$AE196,IF(J198="LAYO",PR!$AF196,IF(J198="LEADWAY",PR!$AG196,IF(J198="LHV",PR!$AH196,IF(J198="MANOLA",PR!$AI196,IF(J198="MARCSON",PR!$AJ196,IF(J198="M&amp;B",PR!$AK196,IF(J198="MTRUST",PR!$AL196,IF(J198="MWORLD",PR!$AM196,IF(J198="MEGA",PR!$AN196,IF(J198="MICRONOVA",PR!$AO196,IF(J198="MFLASH",PR!$AP196,IF(J198="MORISON",PR!$AQ196,IF(J198="NEMEL",PR!$AR196,IF(J198="NHP",PR!$AS196,IF(J198="NHC",PR!$AT196,IF(J198="OLEAF",PR!$AU196,IF(J198="OCULUS",PR!$AV196,IF(J198="PACIFIC",PR!$AW196,IF(J198="PHAMATEX",PR!$AX196,IF(J198="PETHICS",PR!$AY196,IF(J198="PHILIPS",PR!$AZ196,IF(J198="RANBAXY",PR!$BA196,IF(J198="REALS",PR!$BB196,IF(J198="ROYAL",PR!$BC196,IF(J198="SAM",PR!$BD196,IF(J198="SEAGREEN",PR!$BE196,IF(J198="SKG",PR!$BF196,IF(J198="TAH",PR!$BG196,IF(J198="TAYLEK",PR!$BH196,IF(J198="TEMITA",PR!$BI196,IF(J198="THL",PR!$BJ196,IF(J198="UBASTIC",PR!$BK196,IF(J198="UNION",PR!$BL196,IF(J198="UNIQUE",PR!$BM196,IF(J198="VIXA",PR!$BN196,IF(J198="WWCV",PR!$BO196,IF(J198="ZOLON",PR!$BP196,"-"))))))))))))))))))))))))))))))))))))))))))))))))))))))))))))))))</f>
        <v>-</v>
      </c>
      <c r="J198" s="102">
        <f>EV!N239</f>
        <v>0</v>
      </c>
      <c r="K198" s="433"/>
      <c r="L198" s="183" t="b">
        <f>IF(K198&gt;0,IF(K198="ALPHA",PR!$E196,IF(K198="ASSENE",PR!$F196,IF(K198="BIOFEM",PR!$G196,IF(K198="BIOMED",PR!$H196,IF(K198="CHI",PR!$I196,IF(K198="CLARION",PR!$J196,IF(K198="CODIX",PR!$K196,IF(K198="COSMADE",PR!$L196,IF(K198="SANCON",PR!$M196,IF(K198="DEVON",PR!$N196,IF(K198="DORTEMAG",PR!$O196,IF(K198="DGF",PR!$P196,IF(K198="DYNAMIC",PR!$Q196,IF(K198="EMZOR",PR!$R196,IF(K198="EUMATT",PR!$S196,IF(K198="FIDSON",PR!$T196,IF(K198="FCGLOBAL",PR!$U196,IF(K198="GENEITH",PR!$V196,IF(K198="GINOS",PR!$W196,IF(K198="GSK",PR!$X196,IF(K198="GLOBORG",PR!$Y196,IF(K198="GOODNEWS",PR!$Z196,IF(K198="GREENLIFE",PR!$AA196,IF(K198="HLINE",PR!$AB196,IF(K198="ROTECH",PR!$AC196,IF(K198="ISN",PR!$AD196,IF(K198="JAWA",PR!$AE196,IF(K198="LAYO",PR!$AF196,IF(K198="LEADWAY",PR!$AG196,IF(K198="LHV",PR!$AH196,IF(K198="MANOLA",PR!$AI196,IF(K198="MARCSON",PR!$AJ196,IF(K198="M&amp;B",PR!$AK196,IF(K198="MTRUST",PR!$AL196,IF(K198="MWORLD",PR!$AM196,IF(K198="MEGA",PR!$AN196,IF(K198="MICRONOVA",PR!$AO196,IF(K198="MFLASH",PR!$AP196,IF(K198="MORISON",PR!$AQ196,IF(K198="NEMEL",PR!$AR196,IF(K198="NHP",PR!$AS196,IF(K198="NHC",PR!$AT196,IF(K198="OLEAF",PR!$AU196,IF(K198="OCULUS",PR!$AV196,IF(K198="PACIFIC",PR!$AW196,IF(K198="PHAMATEX",PR!$AX196,IF(K198="PETHICS",PR!$AY196,IF(K198="PHILIPS",PR!$AZ196,IF(K198="RANBAXY",PR!$BA196,IF(K198="REALS",PR!$BB196,IF(K198="ROYAL",PR!$BC196,IF(K198="SAM",PR!$BD196,IF(K198="SEAGREEN",PR!$BE196,IF(K198="SKG",PR!$BF196,IF(K198="TAH",PR!$BG196,IF(K198="TAYLEK",PR!$BH196,IF(K198="TEMITA",PR!$BI196,IF(K198="THL",PR!$BJ196,IF(K198="UBASTIC",PR!$BK196,IF(K198="UNION",PR!$BL196,IF(K198="UNIQUE",PR!$BM196,IF(K198="VIXA",PR!$BN196,IF(K198="WWCV",PR!$BO196,IF(K198="ZOLON",PR!$BP196,"-")))))))))))))))))))))))))))))))))))))))))))))))))))))))))))))))))</f>
        <v>0</v>
      </c>
    </row>
    <row r="199" spans="1:12" ht="18.75" x14ac:dyDescent="0.3">
      <c r="A199" s="430">
        <f>PR!A197</f>
        <v>176</v>
      </c>
      <c r="B199" s="15" t="str">
        <f>PR!B197</f>
        <v>ORPHENADRINE 100MG TAB</v>
      </c>
      <c r="C199" s="113">
        <f>PR!D197</f>
        <v>100</v>
      </c>
      <c r="D199" s="113">
        <f>PR!C197</f>
        <v>20</v>
      </c>
      <c r="E199" s="108">
        <f>IF(F199="ALPHA",PR!$E197,IF(F199="ASSENE",PR!$F197,IF(F199="BIOFEM",PR!$G197,IF(F199="BIOMED",PR!$H197,IF(F199="CHI",PR!$I197,IF(F199="CLARION",PR!$J197,IF(F199="CODIX",PR!$K197,IF(F199="COSMADE",PR!$L197,IF(F199="SANCON",PR!$M197,IF(F199="DEVON",PR!$N197,IF(F199="DORTEMAG",PR!$O197,IF(F199="DGF",PR!$P197,IF(F199="DYNAMIC",PR!$Q197,IF(F199="EMZOR",PR!$R197,IF(F199="EUMATT",PR!$S197,IF(F199="FIDSON",PR!$T197,IF(F199="FCGLOBAL",PR!$U197,IF(F199="GENEITH",PR!$V197,IF(F199="GINOS",PR!$W197,IF(F199="GSK",PR!$X197,IF(F199="GLOBORG",PR!$Y197,IF(F199="GOODNEWS",PR!$Z197,IF(F199="GREENLIFE",PR!$AA197,IF(F199="HLINE",PR!$AB197,IF(F199="ROTECH",PR!$AC197,IF(F199="ISN",PR!$AD197,IF(F199="JAWA",PR!$AE197,IF(F199="LAYO",PR!$AF197,IF(F199="LEADWAY",PR!$AG197,IF(F199="LHV",PR!$AH197,IF(F199="MANOLA",PR!$AI197,IF(F199="MARCSON",PR!$AJ197,IF(F199="M&amp;B",PR!$AK197,IF(F199="MTRUST",PR!$AL197,IF(F199="MWORLD",PR!$AM197,IF(F199="MEGA",PR!$AN197,IF(F199="MICRONOVA",PR!$AO197,IF(F199="MFLASH",PR!$AP197,IF(F199="MORISON",PR!$AQ197,IF(F199="NEMEL",PR!$AR197,IF(F199="NHP",PR!$AS197,IF(F199="NHC",PR!$AT197,IF(F199="OLEAF",PR!$AU197,IF(F199="OCULUS",PR!$AV197,IF(F199="PACIFIC",PR!$AW197,IF(F199="PHAMATEX",PR!$AX197,IF(F199="PETHICS",PR!$AY197,IF(F199="PHILIPS",PR!$AZ197,IF(F199="RANBAXY",PR!$BA197,IF(F199="REALS",PR!$BB197,IF(F199="ROYAL",PR!$BC197,IF(F199="SAM",PR!$BD197,IF(F199="SEAGREEN",PR!$BE197,IF(F199="SKG",PR!$BF197,IF(F199="TAH",PR!$BG197,IF(F199="TAYLEK",PR!$BH197,IF(F199="TEMITA",PR!$BI197,IF(F199="THL",PR!$BJ197,IF(F199="UBASTIC",PR!$BK197,IF(F199="UNION",PR!$BL197,IF(F199="UNIQUE",PR!$BM197,IF(F199="VIXA",PR!$BN197,IF(F199="WWCV",PR!$BO197,IF(F199="ZOLON",PR!$BP197,"-"))))))))))))))))))))))))))))))))))))))))))))))))))))))))))))))))</f>
        <v>3200</v>
      </c>
      <c r="F199" s="102" t="str">
        <f>EV!L240</f>
        <v>EUMATT</v>
      </c>
      <c r="G199" s="108" t="str">
        <f>IF(H199="ALPHA",PR!$E197,IF(H199="ASSENE",PR!$F197,IF(H199="BIOFEM",PR!$G197,IF(H199="BIOMED",PR!$H197,IF(H199="CHI",PR!$I197,IF(H199="CLARION",PR!$J197,IF(H199="CODIX",PR!$K197,IF(H199="COSMADE",PR!$L197,IF(H199="SANCON",PR!$M197,IF(H199="DEVON",PR!$N197,IF(H199="DORTEMAG",PR!$O197,IF(H199="DGF",PR!$P197,IF(H199="DYNAMIC",PR!$Q197,IF(H199="EMZOR",PR!$R197,IF(H199="EUMATT",PR!$S197,IF(H199="FIDSON",PR!$T197,IF(H199="FCGLOBAL",PR!$U197,IF(H199="GENEITH",PR!$V197,IF(H199="GINOS",PR!$W197,IF(H199="GSK",PR!$X197,IF(H199="GLOBORG",PR!$Y197,IF(H199="GOODNEWS",PR!$Z197,IF(H199="GREENLIFE",PR!$AA197,IF(H199="HLINE",PR!$AB197,IF(H199="ROTECH",PR!$AC197,IF(H199="ISN",PR!$AD197,IF(H199="JAWA",PR!$AE197,IF(H199="LAYO",PR!$AF197,IF(H199="LEADWAY",PR!$AG197,IF(H199="LHV",PR!$AH197,IF(H199="MANOLA",PR!$AI197,IF(H199="MARCSON",PR!$AJ197,IF(H199="M&amp;B",PR!$AK197,IF(H199="MTRUST",PR!$AL197,IF(H199="MWORLD",PR!$AM197,IF(H199="MEGA",PR!$AN197,IF(H199="MICRONOVA",PR!$AO197,IF(H199="MFLASH",PR!$AP197,IF(H199="MORISON",PR!$AQ197,IF(H199="NEMEL",PR!$AR197,IF(H199="NHP",PR!$AS197,IF(H199="NHC",PR!$AT197,IF(H199="OLEAF",PR!$AU197,IF(H199="OCULUS",PR!$AV197,IF(H199="PACIFIC",PR!$AW197,IF(H199="PHAMATEX",PR!$AX197,IF(H199="PETHICS",PR!$AY197,IF(H199="PHILIPS",PR!$AZ197,IF(H199="RANBAXY",PR!$BA197,IF(H199="REALS",PR!$BB197,IF(H199="ROYAL",PR!$BC197,IF(H199="SAM",PR!$BD197,IF(H199="SEAGREEN",PR!$BE197,IF(H199="SKG",PR!$BF197,IF(H199="TAH",PR!$BG197,IF(H199="TAYLEK",PR!$BH197,IF(H199="TEMITA",PR!$BI197,IF(H199="THL",PR!$BJ197,IF(H199="UBASTIC",PR!$BK197,IF(H199="UNION",PR!$BL197,IF(H199="UNIQUE",PR!$BM197,IF(H199="VIXA",PR!$BN197,IF(H199="WWCV",PR!$BO197,IF(H199="ZOLON",PR!$BP197,"-"))))))))))))))))))))))))))))))))))))))))))))))))))))))))))))))))</f>
        <v>-</v>
      </c>
      <c r="H199" s="102">
        <f>EV!M240</f>
        <v>0</v>
      </c>
      <c r="I199" s="108" t="str">
        <f>IF(J199="ALPHA",PR!$E197,IF(J199="ASSENE",PR!$F197,IF(J199="BIOFEM",PR!$G197,IF(J199="BIOMED",PR!$H197,IF(J199="CHI",PR!$I197,IF(J199="CLARION",PR!$J197,IF(J199="CODIX",PR!$K197,IF(J199="COSMADE",PR!$L197,IF(J199="SANCON",PR!$M197,IF(J199="DEVON",PR!$N197,IF(J199="DORTEMAG",PR!$O197,IF(J199="DGF",PR!$P197,IF(J199="DYNAMIC",PR!$Q197,IF(J199="EMZOR",PR!$R197,IF(J199="EUMATT",PR!$S197,IF(J199="FIDSON",PR!$T197,IF(J199="FCGLOBAL",PR!$U197,IF(J199="GENEITH",PR!$V197,IF(J199="GINOS",PR!$W197,IF(J199="GSK",PR!$X197,IF(J199="GLOBORG",PR!$Y197,IF(J199="GOODNEWS",PR!$Z197,IF(J199="GREENLIFE",PR!$AA197,IF(J199="HLINE",PR!$AB197,IF(J199="ROTECH",PR!$AC197,IF(J199="ISN",PR!$AD197,IF(J199="JAWA",PR!$AE197,IF(J199="LAYO",PR!$AF197,IF(J199="LEADWAY",PR!$AG197,IF(J199="LHV",PR!$AH197,IF(J199="MANOLA",PR!$AI197,IF(J199="MARCSON",PR!$AJ197,IF(J199="M&amp;B",PR!$AK197,IF(J199="MTRUST",PR!$AL197,IF(J199="MWORLD",PR!$AM197,IF(J199="MEGA",PR!$AN197,IF(J199="MICRONOVA",PR!$AO197,IF(J199="MFLASH",PR!$AP197,IF(J199="MORISON",PR!$AQ197,IF(J199="NEMEL",PR!$AR197,IF(J199="NHP",PR!$AS197,IF(J199="NHC",PR!$AT197,IF(J199="OLEAF",PR!$AU197,IF(J199="OCULUS",PR!$AV197,IF(J199="PACIFIC",PR!$AW197,IF(J199="PHAMATEX",PR!$AX197,IF(J199="PETHICS",PR!$AY197,IF(J199="PHILIPS",PR!$AZ197,IF(J199="RANBAXY",PR!$BA197,IF(J199="REALS",PR!$BB197,IF(J199="ROYAL",PR!$BC197,IF(J199="SAM",PR!$BD197,IF(J199="SEAGREEN",PR!$BE197,IF(J199="SKG",PR!$BF197,IF(J199="TAH",PR!$BG197,IF(J199="TAYLEK",PR!$BH197,IF(J199="TEMITA",PR!$BI197,IF(J199="THL",PR!$BJ197,IF(J199="UBASTIC",PR!$BK197,IF(J199="UNION",PR!$BL197,IF(J199="UNIQUE",PR!$BM197,IF(J199="VIXA",PR!$BN197,IF(J199="WWCV",PR!$BO197,IF(J199="ZOLON",PR!$BP197,"-"))))))))))))))))))))))))))))))))))))))))))))))))))))))))))))))))</f>
        <v>-</v>
      </c>
      <c r="J199" s="102">
        <f>EV!N240</f>
        <v>0</v>
      </c>
      <c r="K199" s="433" t="s">
        <v>821</v>
      </c>
      <c r="L199" s="183">
        <f>IF(K199&gt;0,IF(K199="ALPHA",PR!$E197,IF(K199="ASSENE",PR!$F197,IF(K199="BIOFEM",PR!$G197,IF(K199="BIOMED",PR!$H197,IF(K199="CHI",PR!$I197,IF(K199="CLARION",PR!$J197,IF(K199="CODIX",PR!$K197,IF(K199="COSMADE",PR!$L197,IF(K199="SANCON",PR!$M197,IF(K199="DEVON",PR!$N197,IF(K199="DORTEMAG",PR!$O197,IF(K199="DGF",PR!$P197,IF(K199="DYNAMIC",PR!$Q197,IF(K199="EMZOR",PR!$R197,IF(K199="EUMATT",PR!$S197,IF(K199="FIDSON",PR!$T197,IF(K199="FCGLOBAL",PR!$U197,IF(K199="GENEITH",PR!$V197,IF(K199="GINOS",PR!$W197,IF(K199="GSK",PR!$X197,IF(K199="GLOBORG",PR!$Y197,IF(K199="GOODNEWS",PR!$Z197,IF(K199="GREENLIFE",PR!$AA197,IF(K199="HLINE",PR!$AB197,IF(K199="ROTECH",PR!$AC197,IF(K199="ISN",PR!$AD197,IF(K199="JAWA",PR!$AE197,IF(K199="LAYO",PR!$AF197,IF(K199="LEADWAY",PR!$AG197,IF(K199="LHV",PR!$AH197,IF(K199="MANOLA",PR!$AI197,IF(K199="MARCSON",PR!$AJ197,IF(K199="M&amp;B",PR!$AK197,IF(K199="MTRUST",PR!$AL197,IF(K199="MWORLD",PR!$AM197,IF(K199="MEGA",PR!$AN197,IF(K199="MICRONOVA",PR!$AO197,IF(K199="MFLASH",PR!$AP197,IF(K199="MORISON",PR!$AQ197,IF(K199="NEMEL",PR!$AR197,IF(K199="NHP",PR!$AS197,IF(K199="NHC",PR!$AT197,IF(K199="OLEAF",PR!$AU197,IF(K199="OCULUS",PR!$AV197,IF(K199="PACIFIC",PR!$AW197,IF(K199="PHAMATEX",PR!$AX197,IF(K199="PETHICS",PR!$AY197,IF(K199="PHILIPS",PR!$AZ197,IF(K199="RANBAXY",PR!$BA197,IF(K199="REALS",PR!$BB197,IF(K199="ROYAL",PR!$BC197,IF(K199="SAM",PR!$BD197,IF(K199="SEAGREEN",PR!$BE197,IF(K199="SKG",PR!$BF197,IF(K199="TAH",PR!$BG197,IF(K199="TAYLEK",PR!$BH197,IF(K199="TEMITA",PR!$BI197,IF(K199="THL",PR!$BJ197,IF(K199="UBASTIC",PR!$BK197,IF(K199="UNION",PR!$BL197,IF(K199="UNIQUE",PR!$BM197,IF(K199="VIXA",PR!$BN197,IF(K199="WWCV",PR!$BO197,IF(K199="ZOLON",PR!$BP197,"-")))))))))))))))))))))))))))))))))))))))))))))))))))))))))))))))))</f>
        <v>3200</v>
      </c>
    </row>
    <row r="200" spans="1:12" ht="18.75" x14ac:dyDescent="0.3">
      <c r="A200" s="430">
        <f>PR!A198</f>
        <v>177</v>
      </c>
      <c r="B200" s="15" t="str">
        <f>PR!B198</f>
        <v>ORPHENADRINE/PARACETAMOL TAB</v>
      </c>
      <c r="C200" s="113">
        <f>PR!D198</f>
        <v>100</v>
      </c>
      <c r="D200" s="113">
        <f>PR!C198</f>
        <v>2000</v>
      </c>
      <c r="E200" s="108">
        <f>IF(F200="ALPHA",PR!$E198,IF(F200="ASSENE",PR!$F198,IF(F200="BIOFEM",PR!$G198,IF(F200="BIOMED",PR!$H198,IF(F200="CHI",PR!$I198,IF(F200="CLARION",PR!$J198,IF(F200="CODIX",PR!$K198,IF(F200="COSMADE",PR!$L198,IF(F200="SANCON",PR!$M198,IF(F200="DEVON",PR!$N198,IF(F200="DORTEMAG",PR!$O198,IF(F200="DGF",PR!$P198,IF(F200="DYNAMIC",PR!$Q198,IF(F200="EMZOR",PR!$R198,IF(F200="EUMATT",PR!$S198,IF(F200="FIDSON",PR!$T198,IF(F200="FCGLOBAL",PR!$U198,IF(F200="GENEITH",PR!$V198,IF(F200="GINOS",PR!$W198,IF(F200="GSK",PR!$X198,IF(F200="GLOBORG",PR!$Y198,IF(F200="GOODNEWS",PR!$Z198,IF(F200="GREENLIFE",PR!$AA198,IF(F200="HLINE",PR!$AB198,IF(F200="ROTECH",PR!$AC198,IF(F200="ISN",PR!$AD198,IF(F200="JAWA",PR!$AE198,IF(F200="LAYO",PR!$AF198,IF(F200="LEADWAY",PR!$AG198,IF(F200="LHV",PR!$AH198,IF(F200="MANOLA",PR!$AI198,IF(F200="MARCSON",PR!$AJ198,IF(F200="M&amp;B",PR!$AK198,IF(F200="MTRUST",PR!$AL198,IF(F200="MWORLD",PR!$AM198,IF(F200="MEGA",PR!$AN198,IF(F200="MICRONOVA",PR!$AO198,IF(F200="MFLASH",PR!$AP198,IF(F200="MORISON",PR!$AQ198,IF(F200="NEMEL",PR!$AR198,IF(F200="NHP",PR!$AS198,IF(F200="NHC",PR!$AT198,IF(F200="OLEAF",PR!$AU198,IF(F200="OCULUS",PR!$AV198,IF(F200="PACIFIC",PR!$AW198,IF(F200="PHAMATEX",PR!$AX198,IF(F200="PETHICS",PR!$AY198,IF(F200="PHILIPS",PR!$AZ198,IF(F200="RANBAXY",PR!$BA198,IF(F200="REALS",PR!$BB198,IF(F200="ROYAL",PR!$BC198,IF(F200="SAM",PR!$BD198,IF(F200="SEAGREEN",PR!$BE198,IF(F200="SKG",PR!$BF198,IF(F200="TAH",PR!$BG198,IF(F200="TAYLEK",PR!$BH198,IF(F200="TEMITA",PR!$BI198,IF(F200="THL",PR!$BJ198,IF(F200="UBASTIC",PR!$BK198,IF(F200="UNION",PR!$BL198,IF(F200="UNIQUE",PR!$BM198,IF(F200="VIXA",PR!$BN198,IF(F200="WWCV",PR!$BO198,IF(F200="ZOLON",PR!$BP198,"-"))))))))))))))))))))))))))))))))))))))))))))))))))))))))))))))))</f>
        <v>1550</v>
      </c>
      <c r="F200" s="102" t="str">
        <f>EV!L241</f>
        <v>MARCSON</v>
      </c>
      <c r="G200" s="108">
        <f>IF(H200="ALPHA",PR!$E198,IF(H200="ASSENE",PR!$F198,IF(H200="BIOFEM",PR!$G198,IF(H200="BIOMED",PR!$H198,IF(H200="CHI",PR!$I198,IF(H200="CLARION",PR!$J198,IF(H200="CODIX",PR!$K198,IF(H200="COSMADE",PR!$L198,IF(H200="SANCON",PR!$M198,IF(H200="DEVON",PR!$N198,IF(H200="DORTEMAG",PR!$O198,IF(H200="DGF",PR!$P198,IF(H200="DYNAMIC",PR!$Q198,IF(H200="EMZOR",PR!$R198,IF(H200="EUMATT",PR!$S198,IF(H200="FIDSON",PR!$T198,IF(H200="FCGLOBAL",PR!$U198,IF(H200="GENEITH",PR!$V198,IF(H200="GINOS",PR!$W198,IF(H200="GSK",PR!$X198,IF(H200="GLOBORG",PR!$Y198,IF(H200="GOODNEWS",PR!$Z198,IF(H200="GREENLIFE",PR!$AA198,IF(H200="HLINE",PR!$AB198,IF(H200="ROTECH",PR!$AC198,IF(H200="ISN",PR!$AD198,IF(H200="JAWA",PR!$AE198,IF(H200="LAYO",PR!$AF198,IF(H200="LEADWAY",PR!$AG198,IF(H200="LHV",PR!$AH198,IF(H200="MANOLA",PR!$AI198,IF(H200="MARCSON",PR!$AJ198,IF(H200="M&amp;B",PR!$AK198,IF(H200="MTRUST",PR!$AL198,IF(H200="MWORLD",PR!$AM198,IF(H200="MEGA",PR!$AN198,IF(H200="MICRONOVA",PR!$AO198,IF(H200="MFLASH",PR!$AP198,IF(H200="MORISON",PR!$AQ198,IF(H200="NEMEL",PR!$AR198,IF(H200="NHP",PR!$AS198,IF(H200="NHC",PR!$AT198,IF(H200="OLEAF",PR!$AU198,IF(H200="OCULUS",PR!$AV198,IF(H200="PACIFIC",PR!$AW198,IF(H200="PHAMATEX",PR!$AX198,IF(H200="PETHICS",PR!$AY198,IF(H200="PHILIPS",PR!$AZ198,IF(H200="RANBAXY",PR!$BA198,IF(H200="REALS",PR!$BB198,IF(H200="ROYAL",PR!$BC198,IF(H200="SAM",PR!$BD198,IF(H200="SEAGREEN",PR!$BE198,IF(H200="SKG",PR!$BF198,IF(H200="TAH",PR!$BG198,IF(H200="TAYLEK",PR!$BH198,IF(H200="TEMITA",PR!$BI198,IF(H200="THL",PR!$BJ198,IF(H200="UBASTIC",PR!$BK198,IF(H200="UNION",PR!$BL198,IF(H200="UNIQUE",PR!$BM198,IF(H200="VIXA",PR!$BN198,IF(H200="WWCV",PR!$BO198,IF(H200="ZOLON",PR!$BP198,"-"))))))))))))))))))))))))))))))))))))))))))))))))))))))))))))))))</f>
        <v>1700</v>
      </c>
      <c r="H200" s="102" t="str">
        <f>EV!M241</f>
        <v>LEADWAY</v>
      </c>
      <c r="I200" s="108">
        <f>IF(J200="ALPHA",PR!$E198,IF(J200="ASSENE",PR!$F198,IF(J200="BIOFEM",PR!$G198,IF(J200="BIOMED",PR!$H198,IF(J200="CHI",PR!$I198,IF(J200="CLARION",PR!$J198,IF(J200="CODIX",PR!$K198,IF(J200="COSMADE",PR!$L198,IF(J200="SANCON",PR!$M198,IF(J200="DEVON",PR!$N198,IF(J200="DORTEMAG",PR!$O198,IF(J200="DGF",PR!$P198,IF(J200="DYNAMIC",PR!$Q198,IF(J200="EMZOR",PR!$R198,IF(J200="EUMATT",PR!$S198,IF(J200="FIDSON",PR!$T198,IF(J200="FCGLOBAL",PR!$U198,IF(J200="GENEITH",PR!$V198,IF(J200="GINOS",PR!$W198,IF(J200="GSK",PR!$X198,IF(J200="GLOBORG",PR!$Y198,IF(J200="GOODNEWS",PR!$Z198,IF(J200="GREENLIFE",PR!$AA198,IF(J200="HLINE",PR!$AB198,IF(J200="ROTECH",PR!$AC198,IF(J200="ISN",PR!$AD198,IF(J200="JAWA",PR!$AE198,IF(J200="LAYO",PR!$AF198,IF(J200="LEADWAY",PR!$AG198,IF(J200="LHV",PR!$AH198,IF(J200="MANOLA",PR!$AI198,IF(J200="MARCSON",PR!$AJ198,IF(J200="M&amp;B",PR!$AK198,IF(J200="MTRUST",PR!$AL198,IF(J200="MWORLD",PR!$AM198,IF(J200="MEGA",PR!$AN198,IF(J200="MICRONOVA",PR!$AO198,IF(J200="MFLASH",PR!$AP198,IF(J200="MORISON",PR!$AQ198,IF(J200="NEMEL",PR!$AR198,IF(J200="NHP",PR!$AS198,IF(J200="NHC",PR!$AT198,IF(J200="OLEAF",PR!$AU198,IF(J200="OCULUS",PR!$AV198,IF(J200="PACIFIC",PR!$AW198,IF(J200="PHAMATEX",PR!$AX198,IF(J200="PETHICS",PR!$AY198,IF(J200="PHILIPS",PR!$AZ198,IF(J200="RANBAXY",PR!$BA198,IF(J200="REALS",PR!$BB198,IF(J200="ROYAL",PR!$BC198,IF(J200="SAM",PR!$BD198,IF(J200="SEAGREEN",PR!$BE198,IF(J200="SKG",PR!$BF198,IF(J200="TAH",PR!$BG198,IF(J200="TAYLEK",PR!$BH198,IF(J200="TEMITA",PR!$BI198,IF(J200="THL",PR!$BJ198,IF(J200="UBASTIC",PR!$BK198,IF(J200="UNION",PR!$BL198,IF(J200="UNIQUE",PR!$BM198,IF(J200="VIXA",PR!$BN198,IF(J200="WWCV",PR!$BO198,IF(J200="ZOLON",PR!$BP198,"-"))))))))))))))))))))))))))))))))))))))))))))))))))))))))))))))))</f>
        <v>1800</v>
      </c>
      <c r="J200" s="102" t="str">
        <f>EV!N241</f>
        <v>SEAGREEN</v>
      </c>
      <c r="K200" s="433" t="s">
        <v>823</v>
      </c>
      <c r="L200" s="183">
        <f>IF(K200&gt;0,IF(K200="ALPHA",PR!$E198,IF(K200="ASSENE",PR!$F198,IF(K200="BIOFEM",PR!$G198,IF(K200="BIOMED",PR!$H198,IF(K200="CHI",PR!$I198,IF(K200="CLARION",PR!$J198,IF(K200="CODIX",PR!$K198,IF(K200="COSMADE",PR!$L198,IF(K200="SANCON",PR!$M198,IF(K200="DEVON",PR!$N198,IF(K200="DORTEMAG",PR!$O198,IF(K200="DGF",PR!$P198,IF(K200="DYNAMIC",PR!$Q198,IF(K200="EMZOR",PR!$R198,IF(K200="EUMATT",PR!$S198,IF(K200="FIDSON",PR!$T198,IF(K200="FCGLOBAL",PR!$U198,IF(K200="GENEITH",PR!$V198,IF(K200="GINOS",PR!$W198,IF(K200="GSK",PR!$X198,IF(K200="GLOBORG",PR!$Y198,IF(K200="GOODNEWS",PR!$Z198,IF(K200="GREENLIFE",PR!$AA198,IF(K200="HLINE",PR!$AB198,IF(K200="ROTECH",PR!$AC198,IF(K200="ISN",PR!$AD198,IF(K200="JAWA",PR!$AE198,IF(K200="LAYO",PR!$AF198,IF(K200="LEADWAY",PR!$AG198,IF(K200="LHV",PR!$AH198,IF(K200="MANOLA",PR!$AI198,IF(K200="MARCSON",PR!$AJ198,IF(K200="M&amp;B",PR!$AK198,IF(K200="MTRUST",PR!$AL198,IF(K200="MWORLD",PR!$AM198,IF(K200="MEGA",PR!$AN198,IF(K200="MICRONOVA",PR!$AO198,IF(K200="MFLASH",PR!$AP198,IF(K200="MORISON",PR!$AQ198,IF(K200="NEMEL",PR!$AR198,IF(K200="NHP",PR!$AS198,IF(K200="NHC",PR!$AT198,IF(K200="OLEAF",PR!$AU198,IF(K200="OCULUS",PR!$AV198,IF(K200="PACIFIC",PR!$AW198,IF(K200="PHAMATEX",PR!$AX198,IF(K200="PETHICS",PR!$AY198,IF(K200="PHILIPS",PR!$AZ198,IF(K200="RANBAXY",PR!$BA198,IF(K200="REALS",PR!$BB198,IF(K200="ROYAL",PR!$BC198,IF(K200="SAM",PR!$BD198,IF(K200="SEAGREEN",PR!$BE198,IF(K200="SKG",PR!$BF198,IF(K200="TAH",PR!$BG198,IF(K200="TAYLEK",PR!$BH198,IF(K200="TEMITA",PR!$BI198,IF(K200="THL",PR!$BJ198,IF(K200="UBASTIC",PR!$BK198,IF(K200="UNION",PR!$BL198,IF(K200="UNIQUE",PR!$BM198,IF(K200="VIXA",PR!$BN198,IF(K200="WWCV",PR!$BO198,IF(K200="ZOLON",PR!$BP198,"-")))))))))))))))))))))))))))))))))))))))))))))))))))))))))))))))))</f>
        <v>1550</v>
      </c>
    </row>
    <row r="201" spans="1:12" ht="18.75" x14ac:dyDescent="0.3">
      <c r="A201" s="430">
        <f>PR!A199</f>
        <v>178</v>
      </c>
      <c r="B201" s="15" t="str">
        <f>PR!B199</f>
        <v>PARACETAMOL 300MG INJ</v>
      </c>
      <c r="C201" s="113">
        <f>PR!D199</f>
        <v>100</v>
      </c>
      <c r="D201" s="113">
        <f>PR!C199</f>
        <v>80</v>
      </c>
      <c r="E201" s="108">
        <f>IF(F201="ALPHA",PR!$E199,IF(F201="ASSENE",PR!$F199,IF(F201="BIOFEM",PR!$G199,IF(F201="BIOMED",PR!$H199,IF(F201="CHI",PR!$I199,IF(F201="CLARION",PR!$J199,IF(F201="CODIX",PR!$K199,IF(F201="COSMADE",PR!$L199,IF(F201="SANCON",PR!$M199,IF(F201="DEVON",PR!$N199,IF(F201="DORTEMAG",PR!$O199,IF(F201="DGF",PR!$P199,IF(F201="DYNAMIC",PR!$Q199,IF(F201="EMZOR",PR!$R199,IF(F201="EUMATT",PR!$S199,IF(F201="FIDSON",PR!$T199,IF(F201="FCGLOBAL",PR!$U199,IF(F201="GENEITH",PR!$V199,IF(F201="GINOS",PR!$W199,IF(F201="GSK",PR!$X199,IF(F201="GLOBORG",PR!$Y199,IF(F201="GOODNEWS",PR!$Z199,IF(F201="GREENLIFE",PR!$AA199,IF(F201="HLINE",PR!$AB199,IF(F201="ROTECH",PR!$AC199,IF(F201="ISN",PR!$AD199,IF(F201="JAWA",PR!$AE199,IF(F201="LAYO",PR!$AF199,IF(F201="LEADWAY",PR!$AG199,IF(F201="LHV",PR!$AH199,IF(F201="MANOLA",PR!$AI199,IF(F201="MARCSON",PR!$AJ199,IF(F201="M&amp;B",PR!$AK199,IF(F201="MTRUST",PR!$AL199,IF(F201="MWORLD",PR!$AM199,IF(F201="MEGA",PR!$AN199,IF(F201="MICRONOVA",PR!$AO199,IF(F201="MFLASH",PR!$AP199,IF(F201="MORISON",PR!$AQ199,IF(F201="NEMEL",PR!$AR199,IF(F201="NHP",PR!$AS199,IF(F201="NHC",PR!$AT199,IF(F201="OLEAF",PR!$AU199,IF(F201="OCULUS",PR!$AV199,IF(F201="PACIFIC",PR!$AW199,IF(F201="PHAMATEX",PR!$AX199,IF(F201="PETHICS",PR!$AY199,IF(F201="PHILIPS",PR!$AZ199,IF(F201="RANBAXY",PR!$BA199,IF(F201="REALS",PR!$BB199,IF(F201="ROYAL",PR!$BC199,IF(F201="SAM",PR!$BD199,IF(F201="SEAGREEN",PR!$BE199,IF(F201="SKG",PR!$BF199,IF(F201="TAH",PR!$BG199,IF(F201="TAYLEK",PR!$BH199,IF(F201="TEMITA",PR!$BI199,IF(F201="THL",PR!$BJ199,IF(F201="UBASTIC",PR!$BK199,IF(F201="UNION",PR!$BL199,IF(F201="UNIQUE",PR!$BM199,IF(F201="VIXA",PR!$BN199,IF(F201="WWCV",PR!$BO199,IF(F201="ZOLON",PR!$BP199,"-"))))))))))))))))))))))))))))))))))))))))))))))))))))))))))))))))</f>
        <v>1600</v>
      </c>
      <c r="F201" s="102" t="str">
        <f>EV!L242</f>
        <v>EUMATT</v>
      </c>
      <c r="G201" s="108">
        <f>IF(H201="ALPHA",PR!$E199,IF(H201="ASSENE",PR!$F199,IF(H201="BIOFEM",PR!$G199,IF(H201="BIOMED",PR!$H199,IF(H201="CHI",PR!$I199,IF(H201="CLARION",PR!$J199,IF(H201="CODIX",PR!$K199,IF(H201="COSMADE",PR!$L199,IF(H201="SANCON",PR!$M199,IF(H201="DEVON",PR!$N199,IF(H201="DORTEMAG",PR!$O199,IF(H201="DGF",PR!$P199,IF(H201="DYNAMIC",PR!$Q199,IF(H201="EMZOR",PR!$R199,IF(H201="EUMATT",PR!$S199,IF(H201="FIDSON",PR!$T199,IF(H201="FCGLOBAL",PR!$U199,IF(H201="GENEITH",PR!$V199,IF(H201="GINOS",PR!$W199,IF(H201="GSK",PR!$X199,IF(H201="GLOBORG",PR!$Y199,IF(H201="GOODNEWS",PR!$Z199,IF(H201="GREENLIFE",PR!$AA199,IF(H201="HLINE",PR!$AB199,IF(H201="ROTECH",PR!$AC199,IF(H201="ISN",PR!$AD199,IF(H201="JAWA",PR!$AE199,IF(H201="LAYO",PR!$AF199,IF(H201="LEADWAY",PR!$AG199,IF(H201="LHV",PR!$AH199,IF(H201="MANOLA",PR!$AI199,IF(H201="MARCSON",PR!$AJ199,IF(H201="M&amp;B",PR!$AK199,IF(H201="MTRUST",PR!$AL199,IF(H201="MWORLD",PR!$AM199,IF(H201="MEGA",PR!$AN199,IF(H201="MICRONOVA",PR!$AO199,IF(H201="MFLASH",PR!$AP199,IF(H201="MORISON",PR!$AQ199,IF(H201="NEMEL",PR!$AR199,IF(H201="NHP",PR!$AS199,IF(H201="NHC",PR!$AT199,IF(H201="OLEAF",PR!$AU199,IF(H201="OCULUS",PR!$AV199,IF(H201="PACIFIC",PR!$AW199,IF(H201="PHAMATEX",PR!$AX199,IF(H201="PETHICS",PR!$AY199,IF(H201="PHILIPS",PR!$AZ199,IF(H201="RANBAXY",PR!$BA199,IF(H201="REALS",PR!$BB199,IF(H201="ROYAL",PR!$BC199,IF(H201="SAM",PR!$BD199,IF(H201="SEAGREEN",PR!$BE199,IF(H201="SKG",PR!$BF199,IF(H201="TAH",PR!$BG199,IF(H201="TAYLEK",PR!$BH199,IF(H201="TEMITA",PR!$BI199,IF(H201="THL",PR!$BJ199,IF(H201="UBASTIC",PR!$BK199,IF(H201="UNION",PR!$BL199,IF(H201="UNIQUE",PR!$BM199,IF(H201="VIXA",PR!$BN199,IF(H201="WWCV",PR!$BO199,IF(H201="ZOLON",PR!$BP199,"-"))))))))))))))))))))))))))))))))))))))))))))))))))))))))))))))))</f>
        <v>3200</v>
      </c>
      <c r="H201" s="102" t="str">
        <f>EV!M242</f>
        <v>DGF</v>
      </c>
      <c r="I201" s="108" t="str">
        <f>IF(J201="ALPHA",PR!$E199,IF(J201="ASSENE",PR!$F199,IF(J201="BIOFEM",PR!$G199,IF(J201="BIOMED",PR!$H199,IF(J201="CHI",PR!$I199,IF(J201="CLARION",PR!$J199,IF(J201="CODIX",PR!$K199,IF(J201="COSMADE",PR!$L199,IF(J201="SANCON",PR!$M199,IF(J201="DEVON",PR!$N199,IF(J201="DORTEMAG",PR!$O199,IF(J201="DGF",PR!$P199,IF(J201="DYNAMIC",PR!$Q199,IF(J201="EMZOR",PR!$R199,IF(J201="EUMATT",PR!$S199,IF(J201="FIDSON",PR!$T199,IF(J201="FCGLOBAL",PR!$U199,IF(J201="GENEITH",PR!$V199,IF(J201="GINOS",PR!$W199,IF(J201="GSK",PR!$X199,IF(J201="GLOBORG",PR!$Y199,IF(J201="GOODNEWS",PR!$Z199,IF(J201="GREENLIFE",PR!$AA199,IF(J201="HLINE",PR!$AB199,IF(J201="ROTECH",PR!$AC199,IF(J201="ISN",PR!$AD199,IF(J201="JAWA",PR!$AE199,IF(J201="LAYO",PR!$AF199,IF(J201="LEADWAY",PR!$AG199,IF(J201="LHV",PR!$AH199,IF(J201="MANOLA",PR!$AI199,IF(J201="MARCSON",PR!$AJ199,IF(J201="M&amp;B",PR!$AK199,IF(J201="MTRUST",PR!$AL199,IF(J201="MWORLD",PR!$AM199,IF(J201="MEGA",PR!$AN199,IF(J201="MICRONOVA",PR!$AO199,IF(J201="MFLASH",PR!$AP199,IF(J201="MORISON",PR!$AQ199,IF(J201="NEMEL",PR!$AR199,IF(J201="NHP",PR!$AS199,IF(J201="NHC",PR!$AT199,IF(J201="OLEAF",PR!$AU199,IF(J201="OCULUS",PR!$AV199,IF(J201="PACIFIC",PR!$AW199,IF(J201="PHAMATEX",PR!$AX199,IF(J201="PETHICS",PR!$AY199,IF(J201="PHILIPS",PR!$AZ199,IF(J201="RANBAXY",PR!$BA199,IF(J201="REALS",PR!$BB199,IF(J201="ROYAL",PR!$BC199,IF(J201="SAM",PR!$BD199,IF(J201="SEAGREEN",PR!$BE199,IF(J201="SKG",PR!$BF199,IF(J201="TAH",PR!$BG199,IF(J201="TAYLEK",PR!$BH199,IF(J201="TEMITA",PR!$BI199,IF(J201="THL",PR!$BJ199,IF(J201="UBASTIC",PR!$BK199,IF(J201="UNION",PR!$BL199,IF(J201="UNIQUE",PR!$BM199,IF(J201="VIXA",PR!$BN199,IF(J201="WWCV",PR!$BO199,IF(J201="ZOLON",PR!$BP199,"-"))))))))))))))))))))))))))))))))))))))))))))))))))))))))))))))))</f>
        <v>-</v>
      </c>
      <c r="J201" s="102">
        <f>EV!N242</f>
        <v>0</v>
      </c>
      <c r="K201" s="433" t="s">
        <v>821</v>
      </c>
      <c r="L201" s="183">
        <f>IF(K201&gt;0,IF(K201="ALPHA",PR!$E199,IF(K201="ASSENE",PR!$F199,IF(K201="BIOFEM",PR!$G199,IF(K201="BIOMED",PR!$H199,IF(K201="CHI",PR!$I199,IF(K201="CLARION",PR!$J199,IF(K201="CODIX",PR!$K199,IF(K201="COSMADE",PR!$L199,IF(K201="SANCON",PR!$M199,IF(K201="DEVON",PR!$N199,IF(K201="DORTEMAG",PR!$O199,IF(K201="DGF",PR!$P199,IF(K201="DYNAMIC",PR!$Q199,IF(K201="EMZOR",PR!$R199,IF(K201="EUMATT",PR!$S199,IF(K201="FIDSON",PR!$T199,IF(K201="FCGLOBAL",PR!$U199,IF(K201="GENEITH",PR!$V199,IF(K201="GINOS",PR!$W199,IF(K201="GSK",PR!$X199,IF(K201="GLOBORG",PR!$Y199,IF(K201="GOODNEWS",PR!$Z199,IF(K201="GREENLIFE",PR!$AA199,IF(K201="HLINE",PR!$AB199,IF(K201="ROTECH",PR!$AC199,IF(K201="ISN",PR!$AD199,IF(K201="JAWA",PR!$AE199,IF(K201="LAYO",PR!$AF199,IF(K201="LEADWAY",PR!$AG199,IF(K201="LHV",PR!$AH199,IF(K201="MANOLA",PR!$AI199,IF(K201="MARCSON",PR!$AJ199,IF(K201="M&amp;B",PR!$AK199,IF(K201="MTRUST",PR!$AL199,IF(K201="MWORLD",PR!$AM199,IF(K201="MEGA",PR!$AN199,IF(K201="MICRONOVA",PR!$AO199,IF(K201="MFLASH",PR!$AP199,IF(K201="MORISON",PR!$AQ199,IF(K201="NEMEL",PR!$AR199,IF(K201="NHP",PR!$AS199,IF(K201="NHC",PR!$AT199,IF(K201="OLEAF",PR!$AU199,IF(K201="OCULUS",PR!$AV199,IF(K201="PACIFIC",PR!$AW199,IF(K201="PHAMATEX",PR!$AX199,IF(K201="PETHICS",PR!$AY199,IF(K201="PHILIPS",PR!$AZ199,IF(K201="RANBAXY",PR!$BA199,IF(K201="REALS",PR!$BB199,IF(K201="ROYAL",PR!$BC199,IF(K201="SAM",PR!$BD199,IF(K201="SEAGREEN",PR!$BE199,IF(K201="SKG",PR!$BF199,IF(K201="TAH",PR!$BG199,IF(K201="TAYLEK",PR!$BH199,IF(K201="TEMITA",PR!$BI199,IF(K201="THL",PR!$BJ199,IF(K201="UBASTIC",PR!$BK199,IF(K201="UNION",PR!$BL199,IF(K201="UNIQUE",PR!$BM199,IF(K201="VIXA",PR!$BN199,IF(K201="WWCV",PR!$BO199,IF(K201="ZOLON",PR!$BP199,"-")))))))))))))))))))))))))))))))))))))))))))))))))))))))))))))))))</f>
        <v>1600</v>
      </c>
    </row>
    <row r="202" spans="1:12" ht="18.75" x14ac:dyDescent="0.3">
      <c r="A202" s="430">
        <f>PR!A200</f>
        <v>179</v>
      </c>
      <c r="B202" s="15" t="str">
        <f>PR!B200</f>
        <v>PARACETAMOL 125MG SUPPOSITORY</v>
      </c>
      <c r="C202" s="113">
        <f>PR!D200</f>
        <v>100</v>
      </c>
      <c r="D202" s="113">
        <f>PR!C200</f>
        <v>1000</v>
      </c>
      <c r="E202" s="108">
        <f>IF(F202="ALPHA",PR!$E200,IF(F202="ASSENE",PR!$F200,IF(F202="BIOFEM",PR!$G200,IF(F202="BIOMED",PR!$H200,IF(F202="CHI",PR!$I200,IF(F202="CLARION",PR!$J200,IF(F202="CODIX",PR!$K200,IF(F202="COSMADE",PR!$L200,IF(F202="SANCON",PR!$M200,IF(F202="DEVON",PR!$N200,IF(F202="DORTEMAG",PR!$O200,IF(F202="DGF",PR!$P200,IF(F202="DYNAMIC",PR!$Q200,IF(F202="EMZOR",PR!$R200,IF(F202="EUMATT",PR!$S200,IF(F202="FIDSON",PR!$T200,IF(F202="FCGLOBAL",PR!$U200,IF(F202="GENEITH",PR!$V200,IF(F202="GINOS",PR!$W200,IF(F202="GSK",PR!$X200,IF(F202="GLOBORG",PR!$Y200,IF(F202="GOODNEWS",PR!$Z200,IF(F202="GREENLIFE",PR!$AA200,IF(F202="HLINE",PR!$AB200,IF(F202="ROTECH",PR!$AC200,IF(F202="ISN",PR!$AD200,IF(F202="JAWA",PR!$AE200,IF(F202="LAYO",PR!$AF200,IF(F202="LEADWAY",PR!$AG200,IF(F202="LHV",PR!$AH200,IF(F202="MANOLA",PR!$AI200,IF(F202="MARCSON",PR!$AJ200,IF(F202="M&amp;B",PR!$AK200,IF(F202="MTRUST",PR!$AL200,IF(F202="MWORLD",PR!$AM200,IF(F202="MEGA",PR!$AN200,IF(F202="MICRONOVA",PR!$AO200,IF(F202="MFLASH",PR!$AP200,IF(F202="MORISON",PR!$AQ200,IF(F202="NEMEL",PR!$AR200,IF(F202="NHP",PR!$AS200,IF(F202="NHC",PR!$AT200,IF(F202="OLEAF",PR!$AU200,IF(F202="OCULUS",PR!$AV200,IF(F202="PACIFIC",PR!$AW200,IF(F202="PHAMATEX",PR!$AX200,IF(F202="PETHICS",PR!$AY200,IF(F202="PHILIPS",PR!$AZ200,IF(F202="RANBAXY",PR!$BA200,IF(F202="REALS",PR!$BB200,IF(F202="ROYAL",PR!$BC200,IF(F202="SAM",PR!$BD200,IF(F202="SEAGREEN",PR!$BE200,IF(F202="SKG",PR!$BF200,IF(F202="TAH",PR!$BG200,IF(F202="TAYLEK",PR!$BH200,IF(F202="TEMITA",PR!$BI200,IF(F202="THL",PR!$BJ200,IF(F202="UBASTIC",PR!$BK200,IF(F202="UNION",PR!$BL200,IF(F202="UNIQUE",PR!$BM200,IF(F202="VIXA",PR!$BN200,IF(F202="WWCV",PR!$BO200,IF(F202="ZOLON",PR!$BP200,"-"))))))))))))))))))))))))))))))))))))))))))))))))))))))))))))))))</f>
        <v>6000</v>
      </c>
      <c r="F202" s="102" t="str">
        <f>EV!L243</f>
        <v>GREENLIFE</v>
      </c>
      <c r="G202" s="108" t="str">
        <f>IF(H202="ALPHA",PR!$E200,IF(H202="ASSENE",PR!$F200,IF(H202="BIOFEM",PR!$G200,IF(H202="BIOMED",PR!$H200,IF(H202="CHI",PR!$I200,IF(H202="CLARION",PR!$J200,IF(H202="CODIX",PR!$K200,IF(H202="COSMADE",PR!$L200,IF(H202="SANCON",PR!$M200,IF(H202="DEVON",PR!$N200,IF(H202="DORTEMAG",PR!$O200,IF(H202="DGF",PR!$P200,IF(H202="DYNAMIC",PR!$Q200,IF(H202="EMZOR",PR!$R200,IF(H202="EUMATT",PR!$S200,IF(H202="FIDSON",PR!$T200,IF(H202="FCGLOBAL",PR!$U200,IF(H202="GENEITH",PR!$V200,IF(H202="GINOS",PR!$W200,IF(H202="GSK",PR!$X200,IF(H202="GLOBORG",PR!$Y200,IF(H202="GOODNEWS",PR!$Z200,IF(H202="GREENLIFE",PR!$AA200,IF(H202="HLINE",PR!$AB200,IF(H202="ROTECH",PR!$AC200,IF(H202="ISN",PR!$AD200,IF(H202="JAWA",PR!$AE200,IF(H202="LAYO",PR!$AF200,IF(H202="LEADWAY",PR!$AG200,IF(H202="LHV",PR!$AH200,IF(H202="MANOLA",PR!$AI200,IF(H202="MARCSON",PR!$AJ200,IF(H202="M&amp;B",PR!$AK200,IF(H202="MTRUST",PR!$AL200,IF(H202="MWORLD",PR!$AM200,IF(H202="MEGA",PR!$AN200,IF(H202="MICRONOVA",PR!$AO200,IF(H202="MFLASH",PR!$AP200,IF(H202="MORISON",PR!$AQ200,IF(H202="NEMEL",PR!$AR200,IF(H202="NHP",PR!$AS200,IF(H202="NHC",PR!$AT200,IF(H202="OLEAF",PR!$AU200,IF(H202="OCULUS",PR!$AV200,IF(H202="PACIFIC",PR!$AW200,IF(H202="PHAMATEX",PR!$AX200,IF(H202="PETHICS",PR!$AY200,IF(H202="PHILIPS",PR!$AZ200,IF(H202="RANBAXY",PR!$BA200,IF(H202="REALS",PR!$BB200,IF(H202="ROYAL",PR!$BC200,IF(H202="SAM",PR!$BD200,IF(H202="SEAGREEN",PR!$BE200,IF(H202="SKG",PR!$BF200,IF(H202="TAH",PR!$BG200,IF(H202="TAYLEK",PR!$BH200,IF(H202="TEMITA",PR!$BI200,IF(H202="THL",PR!$BJ200,IF(H202="UBASTIC",PR!$BK200,IF(H202="UNION",PR!$BL200,IF(H202="UNIQUE",PR!$BM200,IF(H202="VIXA",PR!$BN200,IF(H202="WWCV",PR!$BO200,IF(H202="ZOLON",PR!$BP200,"-"))))))))))))))))))))))))))))))))))))))))))))))))))))))))))))))))</f>
        <v>-</v>
      </c>
      <c r="H202" s="102">
        <f>EV!M243</f>
        <v>0</v>
      </c>
      <c r="I202" s="108" t="str">
        <f>IF(J202="ALPHA",PR!$E200,IF(J202="ASSENE",PR!$F200,IF(J202="BIOFEM",PR!$G200,IF(J202="BIOMED",PR!$H200,IF(J202="CHI",PR!$I200,IF(J202="CLARION",PR!$J200,IF(J202="CODIX",PR!$K200,IF(J202="COSMADE",PR!$L200,IF(J202="SANCON",PR!$M200,IF(J202="DEVON",PR!$N200,IF(J202="DORTEMAG",PR!$O200,IF(J202="DGF",PR!$P200,IF(J202="DYNAMIC",PR!$Q200,IF(J202="EMZOR",PR!$R200,IF(J202="EUMATT",PR!$S200,IF(J202="FIDSON",PR!$T200,IF(J202="FCGLOBAL",PR!$U200,IF(J202="GENEITH",PR!$V200,IF(J202="GINOS",PR!$W200,IF(J202="GSK",PR!$X200,IF(J202="GLOBORG",PR!$Y200,IF(J202="GOODNEWS",PR!$Z200,IF(J202="GREENLIFE",PR!$AA200,IF(J202="HLINE",PR!$AB200,IF(J202="ROTECH",PR!$AC200,IF(J202="ISN",PR!$AD200,IF(J202="JAWA",PR!$AE200,IF(J202="LAYO",PR!$AF200,IF(J202="LEADWAY",PR!$AG200,IF(J202="LHV",PR!$AH200,IF(J202="MANOLA",PR!$AI200,IF(J202="MARCSON",PR!$AJ200,IF(J202="M&amp;B",PR!$AK200,IF(J202="MTRUST",PR!$AL200,IF(J202="MWORLD",PR!$AM200,IF(J202="MEGA",PR!$AN200,IF(J202="MICRONOVA",PR!$AO200,IF(J202="MFLASH",PR!$AP200,IF(J202="MORISON",PR!$AQ200,IF(J202="NEMEL",PR!$AR200,IF(J202="NHP",PR!$AS200,IF(J202="NHC",PR!$AT200,IF(J202="OLEAF",PR!$AU200,IF(J202="OCULUS",PR!$AV200,IF(J202="PACIFIC",PR!$AW200,IF(J202="PHAMATEX",PR!$AX200,IF(J202="PETHICS",PR!$AY200,IF(J202="PHILIPS",PR!$AZ200,IF(J202="RANBAXY",PR!$BA200,IF(J202="REALS",PR!$BB200,IF(J202="ROYAL",PR!$BC200,IF(J202="SAM",PR!$BD200,IF(J202="SEAGREEN",PR!$BE200,IF(J202="SKG",PR!$BF200,IF(J202="TAH",PR!$BG200,IF(J202="TAYLEK",PR!$BH200,IF(J202="TEMITA",PR!$BI200,IF(J202="THL",PR!$BJ200,IF(J202="UBASTIC",PR!$BK200,IF(J202="UNION",PR!$BL200,IF(J202="UNIQUE",PR!$BM200,IF(J202="VIXA",PR!$BN200,IF(J202="WWCV",PR!$BO200,IF(J202="ZOLON",PR!$BP200,"-"))))))))))))))))))))))))))))))))))))))))))))))))))))))))))))))))</f>
        <v>-</v>
      </c>
      <c r="J202" s="102">
        <f>EV!N243</f>
        <v>0</v>
      </c>
      <c r="K202" s="433" t="s">
        <v>635</v>
      </c>
      <c r="L202" s="183">
        <f>IF(K202&gt;0,IF(K202="ALPHA",PR!$E200,IF(K202="ASSENE",PR!$F200,IF(K202="BIOFEM",PR!$G200,IF(K202="BIOMED",PR!$H200,IF(K202="CHI",PR!$I200,IF(K202="CLARION",PR!$J200,IF(K202="CODIX",PR!$K200,IF(K202="COSMADE",PR!$L200,IF(K202="SANCON",PR!$M200,IF(K202="DEVON",PR!$N200,IF(K202="DORTEMAG",PR!$O200,IF(K202="DGF",PR!$P200,IF(K202="DYNAMIC",PR!$Q200,IF(K202="EMZOR",PR!$R200,IF(K202="EUMATT",PR!$S200,IF(K202="FIDSON",PR!$T200,IF(K202="FCGLOBAL",PR!$U200,IF(K202="GENEITH",PR!$V200,IF(K202="GINOS",PR!$W200,IF(K202="GSK",PR!$X200,IF(K202="GLOBORG",PR!$Y200,IF(K202="GOODNEWS",PR!$Z200,IF(K202="GREENLIFE",PR!$AA200,IF(K202="HLINE",PR!$AB200,IF(K202="ROTECH",PR!$AC200,IF(K202="ISN",PR!$AD200,IF(K202="JAWA",PR!$AE200,IF(K202="LAYO",PR!$AF200,IF(K202="LEADWAY",PR!$AG200,IF(K202="LHV",PR!$AH200,IF(K202="MANOLA",PR!$AI200,IF(K202="MARCSON",PR!$AJ200,IF(K202="M&amp;B",PR!$AK200,IF(K202="MTRUST",PR!$AL200,IF(K202="MWORLD",PR!$AM200,IF(K202="MEGA",PR!$AN200,IF(K202="MICRONOVA",PR!$AO200,IF(K202="MFLASH",PR!$AP200,IF(K202="MORISON",PR!$AQ200,IF(K202="NEMEL",PR!$AR200,IF(K202="NHP",PR!$AS200,IF(K202="NHC",PR!$AT200,IF(K202="OLEAF",PR!$AU200,IF(K202="OCULUS",PR!$AV200,IF(K202="PACIFIC",PR!$AW200,IF(K202="PHAMATEX",PR!$AX200,IF(K202="PETHICS",PR!$AY200,IF(K202="PHILIPS",PR!$AZ200,IF(K202="RANBAXY",PR!$BA200,IF(K202="REALS",PR!$BB200,IF(K202="ROYAL",PR!$BC200,IF(K202="SAM",PR!$BD200,IF(K202="SEAGREEN",PR!$BE200,IF(K202="SKG",PR!$BF200,IF(K202="TAH",PR!$BG200,IF(K202="TAYLEK",PR!$BH200,IF(K202="TEMITA",PR!$BI200,IF(K202="THL",PR!$BJ200,IF(K202="UBASTIC",PR!$BK200,IF(K202="UNION",PR!$BL200,IF(K202="UNIQUE",PR!$BM200,IF(K202="VIXA",PR!$BN200,IF(K202="WWCV",PR!$BO200,IF(K202="ZOLON",PR!$BP200,"-")))))))))))))))))))))))))))))))))))))))))))))))))))))))))))))))))</f>
        <v>6000</v>
      </c>
    </row>
    <row r="203" spans="1:12" ht="18.75" x14ac:dyDescent="0.3">
      <c r="A203" s="430">
        <f>PR!A201</f>
        <v>180</v>
      </c>
      <c r="B203" s="15" t="str">
        <f>PR!B201</f>
        <v>PARACETAMOL 250MG SUPPOSITORY</v>
      </c>
      <c r="C203" s="113">
        <f>PR!D201</f>
        <v>100</v>
      </c>
      <c r="D203" s="113">
        <f>PR!C201</f>
        <v>1000</v>
      </c>
      <c r="E203" s="108">
        <f>IF(F203="ALPHA",PR!$E201,IF(F203="ASSENE",PR!$F201,IF(F203="BIOFEM",PR!$G201,IF(F203="BIOMED",PR!$H201,IF(F203="CHI",PR!$I201,IF(F203="CLARION",PR!$J201,IF(F203="CODIX",PR!$K201,IF(F203="COSMADE",PR!$L201,IF(F203="SANCON",PR!$M201,IF(F203="DEVON",PR!$N201,IF(F203="DORTEMAG",PR!$O201,IF(F203="DGF",PR!$P201,IF(F203="DYNAMIC",PR!$Q201,IF(F203="EMZOR",PR!$R201,IF(F203="EUMATT",PR!$S201,IF(F203="FIDSON",PR!$T201,IF(F203="FCGLOBAL",PR!$U201,IF(F203="GENEITH",PR!$V201,IF(F203="GINOS",PR!$W201,IF(F203="GSK",PR!$X201,IF(F203="GLOBORG",PR!$Y201,IF(F203="GOODNEWS",PR!$Z201,IF(F203="GREENLIFE",PR!$AA201,IF(F203="HLINE",PR!$AB201,IF(F203="ROTECH",PR!$AC201,IF(F203="ISN",PR!$AD201,IF(F203="JAWA",PR!$AE201,IF(F203="LAYO",PR!$AF201,IF(F203="LEADWAY",PR!$AG201,IF(F203="LHV",PR!$AH201,IF(F203="MANOLA",PR!$AI201,IF(F203="MARCSON",PR!$AJ201,IF(F203="M&amp;B",PR!$AK201,IF(F203="MTRUST",PR!$AL201,IF(F203="MWORLD",PR!$AM201,IF(F203="MEGA",PR!$AN201,IF(F203="MICRONOVA",PR!$AO201,IF(F203="MFLASH",PR!$AP201,IF(F203="MORISON",PR!$AQ201,IF(F203="NEMEL",PR!$AR201,IF(F203="NHP",PR!$AS201,IF(F203="NHC",PR!$AT201,IF(F203="OLEAF",PR!$AU201,IF(F203="OCULUS",PR!$AV201,IF(F203="PACIFIC",PR!$AW201,IF(F203="PHAMATEX",PR!$AX201,IF(F203="PETHICS",PR!$AY201,IF(F203="PHILIPS",PR!$AZ201,IF(F203="RANBAXY",PR!$BA201,IF(F203="REALS",PR!$BB201,IF(F203="ROYAL",PR!$BC201,IF(F203="SAM",PR!$BD201,IF(F203="SEAGREEN",PR!$BE201,IF(F203="SKG",PR!$BF201,IF(F203="TAH",PR!$BG201,IF(F203="TAYLEK",PR!$BH201,IF(F203="TEMITA",PR!$BI201,IF(F203="THL",PR!$BJ201,IF(F203="UBASTIC",PR!$BK201,IF(F203="UNION",PR!$BL201,IF(F203="UNIQUE",PR!$BM201,IF(F203="VIXA",PR!$BN201,IF(F203="WWCV",PR!$BO201,IF(F203="ZOLON",PR!$BP201,"-"))))))))))))))))))))))))))))))))))))))))))))))))))))))))))))))))</f>
        <v>6500</v>
      </c>
      <c r="F203" s="102" t="str">
        <f>EV!L244</f>
        <v>GREENLIFE</v>
      </c>
      <c r="G203" s="108" t="str">
        <f>IF(H203="ALPHA",PR!$E201,IF(H203="ASSENE",PR!$F201,IF(H203="BIOFEM",PR!$G201,IF(H203="BIOMED",PR!$H201,IF(H203="CHI",PR!$I201,IF(H203="CLARION",PR!$J201,IF(H203="CODIX",PR!$K201,IF(H203="COSMADE",PR!$L201,IF(H203="SANCON",PR!$M201,IF(H203="DEVON",PR!$N201,IF(H203="DORTEMAG",PR!$O201,IF(H203="DGF",PR!$P201,IF(H203="DYNAMIC",PR!$Q201,IF(H203="EMZOR",PR!$R201,IF(H203="EUMATT",PR!$S201,IF(H203="FIDSON",PR!$T201,IF(H203="FCGLOBAL",PR!$U201,IF(H203="GENEITH",PR!$V201,IF(H203="GINOS",PR!$W201,IF(H203="GSK",PR!$X201,IF(H203="GLOBORG",PR!$Y201,IF(H203="GOODNEWS",PR!$Z201,IF(H203="GREENLIFE",PR!$AA201,IF(H203="HLINE",PR!$AB201,IF(H203="ROTECH",PR!$AC201,IF(H203="ISN",PR!$AD201,IF(H203="JAWA",PR!$AE201,IF(H203="LAYO",PR!$AF201,IF(H203="LEADWAY",PR!$AG201,IF(H203="LHV",PR!$AH201,IF(H203="MANOLA",PR!$AI201,IF(H203="MARCSON",PR!$AJ201,IF(H203="M&amp;B",PR!$AK201,IF(H203="MTRUST",PR!$AL201,IF(H203="MWORLD",PR!$AM201,IF(H203="MEGA",PR!$AN201,IF(H203="MICRONOVA",PR!$AO201,IF(H203="MFLASH",PR!$AP201,IF(H203="MORISON",PR!$AQ201,IF(H203="NEMEL",PR!$AR201,IF(H203="NHP",PR!$AS201,IF(H203="NHC",PR!$AT201,IF(H203="OLEAF",PR!$AU201,IF(H203="OCULUS",PR!$AV201,IF(H203="PACIFIC",PR!$AW201,IF(H203="PHAMATEX",PR!$AX201,IF(H203="PETHICS",PR!$AY201,IF(H203="PHILIPS",PR!$AZ201,IF(H203="RANBAXY",PR!$BA201,IF(H203="REALS",PR!$BB201,IF(H203="ROYAL",PR!$BC201,IF(H203="SAM",PR!$BD201,IF(H203="SEAGREEN",PR!$BE201,IF(H203="SKG",PR!$BF201,IF(H203="TAH",PR!$BG201,IF(H203="TAYLEK",PR!$BH201,IF(H203="TEMITA",PR!$BI201,IF(H203="THL",PR!$BJ201,IF(H203="UBASTIC",PR!$BK201,IF(H203="UNION",PR!$BL201,IF(H203="UNIQUE",PR!$BM201,IF(H203="VIXA",PR!$BN201,IF(H203="WWCV",PR!$BO201,IF(H203="ZOLON",PR!$BP201,"-"))))))))))))))))))))))))))))))))))))))))))))))))))))))))))))))))</f>
        <v>-</v>
      </c>
      <c r="H203" s="102">
        <f>EV!M244</f>
        <v>0</v>
      </c>
      <c r="I203" s="108" t="str">
        <f>IF(J203="ALPHA",PR!$E201,IF(J203="ASSENE",PR!$F201,IF(J203="BIOFEM",PR!$G201,IF(J203="BIOMED",PR!$H201,IF(J203="CHI",PR!$I201,IF(J203="CLARION",PR!$J201,IF(J203="CODIX",PR!$K201,IF(J203="COSMADE",PR!$L201,IF(J203="SANCON",PR!$M201,IF(J203="DEVON",PR!$N201,IF(J203="DORTEMAG",PR!$O201,IF(J203="DGF",PR!$P201,IF(J203="DYNAMIC",PR!$Q201,IF(J203="EMZOR",PR!$R201,IF(J203="EUMATT",PR!$S201,IF(J203="FIDSON",PR!$T201,IF(J203="FCGLOBAL",PR!$U201,IF(J203="GENEITH",PR!$V201,IF(J203="GINOS",PR!$W201,IF(J203="GSK",PR!$X201,IF(J203="GLOBORG",PR!$Y201,IF(J203="GOODNEWS",PR!$Z201,IF(J203="GREENLIFE",PR!$AA201,IF(J203="HLINE",PR!$AB201,IF(J203="ROTECH",PR!$AC201,IF(J203="ISN",PR!$AD201,IF(J203="JAWA",PR!$AE201,IF(J203="LAYO",PR!$AF201,IF(J203="LEADWAY",PR!$AG201,IF(J203="LHV",PR!$AH201,IF(J203="MANOLA",PR!$AI201,IF(J203="MARCSON",PR!$AJ201,IF(J203="M&amp;B",PR!$AK201,IF(J203="MTRUST",PR!$AL201,IF(J203="MWORLD",PR!$AM201,IF(J203="MEGA",PR!$AN201,IF(J203="MICRONOVA",PR!$AO201,IF(J203="MFLASH",PR!$AP201,IF(J203="MORISON",PR!$AQ201,IF(J203="NEMEL",PR!$AR201,IF(J203="NHP",PR!$AS201,IF(J203="NHC",PR!$AT201,IF(J203="OLEAF",PR!$AU201,IF(J203="OCULUS",PR!$AV201,IF(J203="PACIFIC",PR!$AW201,IF(J203="PHAMATEX",PR!$AX201,IF(J203="PETHICS",PR!$AY201,IF(J203="PHILIPS",PR!$AZ201,IF(J203="RANBAXY",PR!$BA201,IF(J203="REALS",PR!$BB201,IF(J203="ROYAL",PR!$BC201,IF(J203="SAM",PR!$BD201,IF(J203="SEAGREEN",PR!$BE201,IF(J203="SKG",PR!$BF201,IF(J203="TAH",PR!$BG201,IF(J203="TAYLEK",PR!$BH201,IF(J203="TEMITA",PR!$BI201,IF(J203="THL",PR!$BJ201,IF(J203="UBASTIC",PR!$BK201,IF(J203="UNION",PR!$BL201,IF(J203="UNIQUE",PR!$BM201,IF(J203="VIXA",PR!$BN201,IF(J203="WWCV",PR!$BO201,IF(J203="ZOLON",PR!$BP201,"-"))))))))))))))))))))))))))))))))))))))))))))))))))))))))))))))))</f>
        <v>-</v>
      </c>
      <c r="J203" s="102">
        <f>EV!N244</f>
        <v>0</v>
      </c>
      <c r="K203" s="433" t="s">
        <v>635</v>
      </c>
      <c r="L203" s="183">
        <f>IF(K203&gt;0,IF(K203="ALPHA",PR!$E201,IF(K203="ASSENE",PR!$F201,IF(K203="BIOFEM",PR!$G201,IF(K203="BIOMED",PR!$H201,IF(K203="CHI",PR!$I201,IF(K203="CLARION",PR!$J201,IF(K203="CODIX",PR!$K201,IF(K203="COSMADE",PR!$L201,IF(K203="SANCON",PR!$M201,IF(K203="DEVON",PR!$N201,IF(K203="DORTEMAG",PR!$O201,IF(K203="DGF",PR!$P201,IF(K203="DYNAMIC",PR!$Q201,IF(K203="EMZOR",PR!$R201,IF(K203="EUMATT",PR!$S201,IF(K203="FIDSON",PR!$T201,IF(K203="FCGLOBAL",PR!$U201,IF(K203="GENEITH",PR!$V201,IF(K203="GINOS",PR!$W201,IF(K203="GSK",PR!$X201,IF(K203="GLOBORG",PR!$Y201,IF(K203="GOODNEWS",PR!$Z201,IF(K203="GREENLIFE",PR!$AA201,IF(K203="HLINE",PR!$AB201,IF(K203="ROTECH",PR!$AC201,IF(K203="ISN",PR!$AD201,IF(K203="JAWA",PR!$AE201,IF(K203="LAYO",PR!$AF201,IF(K203="LEADWAY",PR!$AG201,IF(K203="LHV",PR!$AH201,IF(K203="MANOLA",PR!$AI201,IF(K203="MARCSON",PR!$AJ201,IF(K203="M&amp;B",PR!$AK201,IF(K203="MTRUST",PR!$AL201,IF(K203="MWORLD",PR!$AM201,IF(K203="MEGA",PR!$AN201,IF(K203="MICRONOVA",PR!$AO201,IF(K203="MFLASH",PR!$AP201,IF(K203="MORISON",PR!$AQ201,IF(K203="NEMEL",PR!$AR201,IF(K203="NHP",PR!$AS201,IF(K203="NHC",PR!$AT201,IF(K203="OLEAF",PR!$AU201,IF(K203="OCULUS",PR!$AV201,IF(K203="PACIFIC",PR!$AW201,IF(K203="PHAMATEX",PR!$AX201,IF(K203="PETHICS",PR!$AY201,IF(K203="PHILIPS",PR!$AZ201,IF(K203="RANBAXY",PR!$BA201,IF(K203="REALS",PR!$BB201,IF(K203="ROYAL",PR!$BC201,IF(K203="SAM",PR!$BD201,IF(K203="SEAGREEN",PR!$BE201,IF(K203="SKG",PR!$BF201,IF(K203="TAH",PR!$BG201,IF(K203="TAYLEK",PR!$BH201,IF(K203="TEMITA",PR!$BI201,IF(K203="THL",PR!$BJ201,IF(K203="UBASTIC",PR!$BK201,IF(K203="UNION",PR!$BL201,IF(K203="UNIQUE",PR!$BM201,IF(K203="VIXA",PR!$BN201,IF(K203="WWCV",PR!$BO201,IF(K203="ZOLON",PR!$BP201,"-")))))))))))))))))))))))))))))))))))))))))))))))))))))))))))))))))</f>
        <v>6500</v>
      </c>
    </row>
    <row r="204" spans="1:12" ht="18.75" x14ac:dyDescent="0.3">
      <c r="A204" s="430">
        <f>PR!A202</f>
        <v>181</v>
      </c>
      <c r="B204" s="15" t="str">
        <f>PR!B202</f>
        <v>PARACETAMOL 500MG TAB</v>
      </c>
      <c r="C204" s="113">
        <f>PR!D202</f>
        <v>96</v>
      </c>
      <c r="D204" s="113">
        <f>PR!C202</f>
        <v>6000</v>
      </c>
      <c r="E204" s="108">
        <f>IF(F204="ALPHA",PR!$E202,IF(F204="ASSENE",PR!$F202,IF(F204="BIOFEM",PR!$G202,IF(F204="BIOMED",PR!$H202,IF(F204="CHI",PR!$I202,IF(F204="CLARION",PR!$J202,IF(F204="CODIX",PR!$K202,IF(F204="COSMADE",PR!$L202,IF(F204="SANCON",PR!$M202,IF(F204="DEVON",PR!$N202,IF(F204="DORTEMAG",PR!$O202,IF(F204="DGF",PR!$P202,IF(F204="DYNAMIC",PR!$Q202,IF(F204="EMZOR",PR!$R202,IF(F204="EUMATT",PR!$S202,IF(F204="FIDSON",PR!$T202,IF(F204="FCGLOBAL",PR!$U202,IF(F204="GENEITH",PR!$V202,IF(F204="GINOS",PR!$W202,IF(F204="GSK",PR!$X202,IF(F204="GLOBORG",PR!$Y202,IF(F204="GOODNEWS",PR!$Z202,IF(F204="GREENLIFE",PR!$AA202,IF(F204="HLINE",PR!$AB202,IF(F204="ROTECH",PR!$AC202,IF(F204="ISN",PR!$AD202,IF(F204="JAWA",PR!$AE202,IF(F204="LAYO",PR!$AF202,IF(F204="LEADWAY",PR!$AG202,IF(F204="LHV",PR!$AH202,IF(F204="MANOLA",PR!$AI202,IF(F204="MARCSON",PR!$AJ202,IF(F204="M&amp;B",PR!$AK202,IF(F204="MTRUST",PR!$AL202,IF(F204="MWORLD",PR!$AM202,IF(F204="MEGA",PR!$AN202,IF(F204="MICRONOVA",PR!$AO202,IF(F204="MFLASH",PR!$AP202,IF(F204="MORISON",PR!$AQ202,IF(F204="NEMEL",PR!$AR202,IF(F204="NHP",PR!$AS202,IF(F204="NHC",PR!$AT202,IF(F204="OLEAF",PR!$AU202,IF(F204="OCULUS",PR!$AV202,IF(F204="PACIFIC",PR!$AW202,IF(F204="PHAMATEX",PR!$AX202,IF(F204="PETHICS",PR!$AY202,IF(F204="PHILIPS",PR!$AZ202,IF(F204="RANBAXY",PR!$BA202,IF(F204="REALS",PR!$BB202,IF(F204="ROYAL",PR!$BC202,IF(F204="SAM",PR!$BD202,IF(F204="SEAGREEN",PR!$BE202,IF(F204="SKG",PR!$BF202,IF(F204="TAH",PR!$BG202,IF(F204="TAYLEK",PR!$BH202,IF(F204="TEMITA",PR!$BI202,IF(F204="THL",PR!$BJ202,IF(F204="UBASTIC",PR!$BK202,IF(F204="UNION",PR!$BL202,IF(F204="UNIQUE",PR!$BM202,IF(F204="VIXA",PR!$BN202,IF(F204="WWCV",PR!$BO202,IF(F204="ZOLON",PR!$BP202,"-"))))))))))))))))))))))))))))))))))))))))))))))))))))))))))))))))</f>
        <v>167</v>
      </c>
      <c r="F204" s="102" t="str">
        <f>EV!L269</f>
        <v>UNIQUE</v>
      </c>
      <c r="G204" s="108">
        <f>IF(H204="ALPHA",PR!$E202,IF(H204="ASSENE",PR!$F202,IF(H204="BIOFEM",PR!$G202,IF(H204="BIOMED",PR!$H202,IF(H204="CHI",PR!$I202,IF(H204="CLARION",PR!$J202,IF(H204="CODIX",PR!$K202,IF(H204="COSMADE",PR!$L202,IF(H204="SANCON",PR!$M202,IF(H204="DEVON",PR!$N202,IF(H204="DORTEMAG",PR!$O202,IF(H204="DGF",PR!$P202,IF(H204="DYNAMIC",PR!$Q202,IF(H204="EMZOR",PR!$R202,IF(H204="EUMATT",PR!$S202,IF(H204="FIDSON",PR!$T202,IF(H204="FCGLOBAL",PR!$U202,IF(H204="GENEITH",PR!$V202,IF(H204="GINOS",PR!$W202,IF(H204="GSK",PR!$X202,IF(H204="GLOBORG",PR!$Y202,IF(H204="GOODNEWS",PR!$Z202,IF(H204="GREENLIFE",PR!$AA202,IF(H204="HLINE",PR!$AB202,IF(H204="ROTECH",PR!$AC202,IF(H204="ISN",PR!$AD202,IF(H204="JAWA",PR!$AE202,IF(H204="LAYO",PR!$AF202,IF(H204="LEADWAY",PR!$AG202,IF(H204="LHV",PR!$AH202,IF(H204="MANOLA",PR!$AI202,IF(H204="MARCSON",PR!$AJ202,IF(H204="M&amp;B",PR!$AK202,IF(H204="MTRUST",PR!$AL202,IF(H204="MWORLD",PR!$AM202,IF(H204="MEGA",PR!$AN202,IF(H204="MICRONOVA",PR!$AO202,IF(H204="MFLASH",PR!$AP202,IF(H204="MORISON",PR!$AQ202,IF(H204="NEMEL",PR!$AR202,IF(H204="NHP",PR!$AS202,IF(H204="NHC",PR!$AT202,IF(H204="OLEAF",PR!$AU202,IF(H204="OCULUS",PR!$AV202,IF(H204="PACIFIC",PR!$AW202,IF(H204="PHAMATEX",PR!$AX202,IF(H204="PETHICS",PR!$AY202,IF(H204="PHILIPS",PR!$AZ202,IF(H204="RANBAXY",PR!$BA202,IF(H204="REALS",PR!$BB202,IF(H204="ROYAL",PR!$BC202,IF(H204="SAM",PR!$BD202,IF(H204="SEAGREEN",PR!$BE202,IF(H204="SKG",PR!$BF202,IF(H204="TAH",PR!$BG202,IF(H204="TAYLEK",PR!$BH202,IF(H204="TEMITA",PR!$BI202,IF(H204="THL",PR!$BJ202,IF(H204="UBASTIC",PR!$BK202,IF(H204="UNION",PR!$BL202,IF(H204="UNIQUE",PR!$BM202,IF(H204="VIXA",PR!$BN202,IF(H204="WWCV",PR!$BO202,IF(H204="ZOLON",PR!$BP202,"-"))))))))))))))))))))))))))))))))))))))))))))))))))))))))))))))))</f>
        <v>180</v>
      </c>
      <c r="H204" s="102" t="str">
        <f>EV!M269</f>
        <v>CLARION</v>
      </c>
      <c r="I204" s="108">
        <f>IF(J204="ALPHA",PR!$E202,IF(J204="ASSENE",PR!$F202,IF(J204="BIOFEM",PR!$G202,IF(J204="BIOMED",PR!$H202,IF(J204="CHI",PR!$I202,IF(J204="CLARION",PR!$J202,IF(J204="CODIX",PR!$K202,IF(J204="COSMADE",PR!$L202,IF(J204="SANCON",PR!$M202,IF(J204="DEVON",PR!$N202,IF(J204="DORTEMAG",PR!$O202,IF(J204="DGF",PR!$P202,IF(J204="DYNAMIC",PR!$Q202,IF(J204="EMZOR",PR!$R202,IF(J204="EUMATT",PR!$S202,IF(J204="FIDSON",PR!$T202,IF(J204="FCGLOBAL",PR!$U202,IF(J204="GENEITH",PR!$V202,IF(J204="GINOS",PR!$W202,IF(J204="GSK",PR!$X202,IF(J204="GLOBORG",PR!$Y202,IF(J204="GOODNEWS",PR!$Z202,IF(J204="GREENLIFE",PR!$AA202,IF(J204="HLINE",PR!$AB202,IF(J204="ROTECH",PR!$AC202,IF(J204="ISN",PR!$AD202,IF(J204="JAWA",PR!$AE202,IF(J204="LAYO",PR!$AF202,IF(J204="LEADWAY",PR!$AG202,IF(J204="LHV",PR!$AH202,IF(J204="MANOLA",PR!$AI202,IF(J204="MARCSON",PR!$AJ202,IF(J204="M&amp;B",PR!$AK202,IF(J204="MTRUST",PR!$AL202,IF(J204="MWORLD",PR!$AM202,IF(J204="MEGA",PR!$AN202,IF(J204="MICRONOVA",PR!$AO202,IF(J204="MFLASH",PR!$AP202,IF(J204="MORISON",PR!$AQ202,IF(J204="NEMEL",PR!$AR202,IF(J204="NHP",PR!$AS202,IF(J204="NHC",PR!$AT202,IF(J204="OLEAF",PR!$AU202,IF(J204="OCULUS",PR!$AV202,IF(J204="PACIFIC",PR!$AW202,IF(J204="PHAMATEX",PR!$AX202,IF(J204="PETHICS",PR!$AY202,IF(J204="PHILIPS",PR!$AZ202,IF(J204="RANBAXY",PR!$BA202,IF(J204="REALS",PR!$BB202,IF(J204="ROYAL",PR!$BC202,IF(J204="SAM",PR!$BD202,IF(J204="SEAGREEN",PR!$BE202,IF(J204="SKG",PR!$BF202,IF(J204="TAH",PR!$BG202,IF(J204="TAYLEK",PR!$BH202,IF(J204="TEMITA",PR!$BI202,IF(J204="THL",PR!$BJ202,IF(J204="UBASTIC",PR!$BK202,IF(J204="UNION",PR!$BL202,IF(J204="UNIQUE",PR!$BM202,IF(J204="VIXA",PR!$BN202,IF(J204="WWCV",PR!$BO202,IF(J204="ZOLON",PR!$BP202,"-"))))))))))))))))))))))))))))))))))))))))))))))))))))))))))))))))</f>
        <v>190</v>
      </c>
      <c r="J204" s="102" t="str">
        <f>EV!N269</f>
        <v>EUMATT</v>
      </c>
      <c r="K204" s="433" t="s">
        <v>2108</v>
      </c>
      <c r="L204" s="183" t="str">
        <f>IF(K204&gt;0,IF(K204="ALPHA",PR!$E202,IF(K204="ASSENE",PR!$F202,IF(K204="BIOFEM",PR!$G202,IF(K204="BIOMED",PR!$H202,IF(K204="CHI",PR!$I202,IF(K204="CLARION",PR!$J202,IF(K204="CODIX",PR!$K202,IF(K204="COSMADE",PR!$L202,IF(K204="SANCON",PR!$M202,IF(K204="DEVON",PR!$N202,IF(K204="DORTEMAG",PR!$O202,IF(K204="DGF",PR!$P202,IF(K204="DYNAMIC",PR!$Q202,IF(K204="EMZOR",PR!$R202,IF(K204="EUMATT",PR!$S202,IF(K204="FIDSON",PR!$T202,IF(K204="FCGLOBAL",PR!$U202,IF(K204="GENEITH",PR!$V202,IF(K204="GINOS",PR!$W202,IF(K204="GSK",PR!$X202,IF(K204="GLOBORG",PR!$Y202,IF(K204="GOODNEWS",PR!$Z202,IF(K204="GREENLIFE",PR!$AA202,IF(K204="HLINE",PR!$AB202,IF(K204="ROTECH",PR!$AC202,IF(K204="ISN",PR!$AD202,IF(K204="JAWA",PR!$AE202,IF(K204="LAYO",PR!$AF202,IF(K204="LEADWAY",PR!$AG202,IF(K204="LHV",PR!$AH202,IF(K204="MANOLA",PR!$AI202,IF(K204="MARCSON",PR!$AJ202,IF(K204="M&amp;B",PR!$AK202,IF(K204="MTRUST",PR!$AL202,IF(K204="MWORLD",PR!$AM202,IF(K204="MEGA",PR!$AN202,IF(K204="MICRONOVA",PR!$AO202,IF(K204="MFLASH",PR!$AP202,IF(K204="MORISON",PR!$AQ202,IF(K204="NEMEL",PR!$AR202,IF(K204="NHP",PR!$AS202,IF(K204="NHC",PR!$AT202,IF(K204="OLEAF",PR!$AU202,IF(K204="OCULUS",PR!$AV202,IF(K204="PACIFIC",PR!$AW202,IF(K204="PHAMATEX",PR!$AX202,IF(K204="PETHICS",PR!$AY202,IF(K204="PHILIPS",PR!$AZ202,IF(K204="RANBAXY",PR!$BA202,IF(K204="REALS",PR!$BB202,IF(K204="ROYAL",PR!$BC202,IF(K204="SAM",PR!$BD202,IF(K204="SEAGREEN",PR!$BE202,IF(K204="SKG",PR!$BF202,IF(K204="TAH",PR!$BG202,IF(K204="TAYLEK",PR!$BH202,IF(K204="TEMITA",PR!$BI202,IF(K204="THL",PR!$BJ202,IF(K204="UBASTIC",PR!$BK202,IF(K204="UNION",PR!$BL202,IF(K204="UNIQUE",PR!$BM202,IF(K204="VIXA",PR!$BN202,IF(K204="WWCV",PR!$BO202,IF(K204="ZOLON",PR!$BP202,"-")))))))))))))))))))))))))))))))))))))))))))))))))))))))))))))))))</f>
        <v>-</v>
      </c>
    </row>
    <row r="205" spans="1:12" ht="18.75" x14ac:dyDescent="0.3">
      <c r="A205" s="430">
        <f>PR!A203</f>
        <v>182</v>
      </c>
      <c r="B205" s="15" t="str">
        <f>PR!B203</f>
        <v>PARACETAMOL INFUSION</v>
      </c>
      <c r="C205" s="113" t="str">
        <f>PR!D203</f>
        <v>BOTT</v>
      </c>
      <c r="D205" s="113">
        <f>PR!C203</f>
        <v>30000</v>
      </c>
      <c r="E205" s="108">
        <f>IF(F205="ALPHA",PR!$E203,IF(F205="ASSENE",PR!$F203,IF(F205="BIOFEM",PR!$G203,IF(F205="BIOMED",PR!$H203,IF(F205="CHI",PR!$I203,IF(F205="CLARION",PR!$J203,IF(F205="CODIX",PR!$K203,IF(F205="COSMADE",PR!$L203,IF(F205="SANCON",PR!$M203,IF(F205="DEVON",PR!$N203,IF(F205="DORTEMAG",PR!$O203,IF(F205="DGF",PR!$P203,IF(F205="DYNAMIC",PR!$Q203,IF(F205="EMZOR",PR!$R203,IF(F205="EUMATT",PR!$S203,IF(F205="FIDSON",PR!$T203,IF(F205="FCGLOBAL",PR!$U203,IF(F205="GENEITH",PR!$V203,IF(F205="GINOS",PR!$W203,IF(F205="GSK",PR!$X203,IF(F205="GLOBORG",PR!$Y203,IF(F205="GOODNEWS",PR!$Z203,IF(F205="GREENLIFE",PR!$AA203,IF(F205="HLINE",PR!$AB203,IF(F205="ROTECH",PR!$AC203,IF(F205="ISN",PR!$AD203,IF(F205="JAWA",PR!$AE203,IF(F205="LAYO",PR!$AF203,IF(F205="LEADWAY",PR!$AG203,IF(F205="LHV",PR!$AH203,IF(F205="MANOLA",PR!$AI203,IF(F205="MARCSON",PR!$AJ203,IF(F205="M&amp;B",PR!$AK203,IF(F205="MTRUST",PR!$AL203,IF(F205="MWORLD",PR!$AM203,IF(F205="MEGA",PR!$AN203,IF(F205="MICRONOVA",PR!$AO203,IF(F205="MFLASH",PR!$AP203,IF(F205="MORISON",PR!$AQ203,IF(F205="NEMEL",PR!$AR203,IF(F205="NHP",PR!$AS203,IF(F205="NHC",PR!$AT203,IF(F205="OLEAF",PR!$AU203,IF(F205="OCULUS",PR!$AV203,IF(F205="PACIFIC",PR!$AW203,IF(F205="PHAMATEX",PR!$AX203,IF(F205="PETHICS",PR!$AY203,IF(F205="PHILIPS",PR!$AZ203,IF(F205="RANBAXY",PR!$BA203,IF(F205="REALS",PR!$BB203,IF(F205="ROYAL",PR!$BC203,IF(F205="SAM",PR!$BD203,IF(F205="SEAGREEN",PR!$BE203,IF(F205="SKG",PR!$BF203,IF(F205="TAH",PR!$BG203,IF(F205="TAYLEK",PR!$BH203,IF(F205="TEMITA",PR!$BI203,IF(F205="THL",PR!$BJ203,IF(F205="UBASTIC",PR!$BK203,IF(F205="UNION",PR!$BL203,IF(F205="UNIQUE",PR!$BM203,IF(F205="VIXA",PR!$BN203,IF(F205="WWCV",PR!$BO203,IF(F205="ZOLON",PR!$BP203,"-"))))))))))))))))))))))))))))))))))))))))))))))))))))))))))))))))</f>
        <v>300</v>
      </c>
      <c r="F205" s="102" t="str">
        <f>EV!L270</f>
        <v>TAH</v>
      </c>
      <c r="G205" s="108">
        <f>IF(H205="ALPHA",PR!$E203,IF(H205="ASSENE",PR!$F203,IF(H205="BIOFEM",PR!$G203,IF(H205="BIOMED",PR!$H203,IF(H205="CHI",PR!$I203,IF(H205="CLARION",PR!$J203,IF(H205="CODIX",PR!$K203,IF(H205="COSMADE",PR!$L203,IF(H205="SANCON",PR!$M203,IF(H205="DEVON",PR!$N203,IF(H205="DORTEMAG",PR!$O203,IF(H205="DGF",PR!$P203,IF(H205="DYNAMIC",PR!$Q203,IF(H205="EMZOR",PR!$R203,IF(H205="EUMATT",PR!$S203,IF(H205="FIDSON",PR!$T203,IF(H205="FCGLOBAL",PR!$U203,IF(H205="GENEITH",PR!$V203,IF(H205="GINOS",PR!$W203,IF(H205="GSK",PR!$X203,IF(H205="GLOBORG",PR!$Y203,IF(H205="GOODNEWS",PR!$Z203,IF(H205="GREENLIFE",PR!$AA203,IF(H205="HLINE",PR!$AB203,IF(H205="ROTECH",PR!$AC203,IF(H205="ISN",PR!$AD203,IF(H205="JAWA",PR!$AE203,IF(H205="LAYO",PR!$AF203,IF(H205="LEADWAY",PR!$AG203,IF(H205="LHV",PR!$AH203,IF(H205="MANOLA",PR!$AI203,IF(H205="MARCSON",PR!$AJ203,IF(H205="M&amp;B",PR!$AK203,IF(H205="MTRUST",PR!$AL203,IF(H205="MWORLD",PR!$AM203,IF(H205="MEGA",PR!$AN203,IF(H205="MICRONOVA",PR!$AO203,IF(H205="MFLASH",PR!$AP203,IF(H205="MORISON",PR!$AQ203,IF(H205="NEMEL",PR!$AR203,IF(H205="NHP",PR!$AS203,IF(H205="NHC",PR!$AT203,IF(H205="OLEAF",PR!$AU203,IF(H205="OCULUS",PR!$AV203,IF(H205="PACIFIC",PR!$AW203,IF(H205="PHAMATEX",PR!$AX203,IF(H205="PETHICS",PR!$AY203,IF(H205="PHILIPS",PR!$AZ203,IF(H205="RANBAXY",PR!$BA203,IF(H205="REALS",PR!$BB203,IF(H205="ROYAL",PR!$BC203,IF(H205="SAM",PR!$BD203,IF(H205="SEAGREEN",PR!$BE203,IF(H205="SKG",PR!$BF203,IF(H205="TAH",PR!$BG203,IF(H205="TAYLEK",PR!$BH203,IF(H205="TEMITA",PR!$BI203,IF(H205="THL",PR!$BJ203,IF(H205="UBASTIC",PR!$BK203,IF(H205="UNION",PR!$BL203,IF(H205="UNIQUE",PR!$BM203,IF(H205="VIXA",PR!$BN203,IF(H205="WWCV",PR!$BO203,IF(H205="ZOLON",PR!$BP203,"-"))))))))))))))))))))))))))))))))))))))))))))))))))))))))))))))))</f>
        <v>380</v>
      </c>
      <c r="H205" s="102" t="str">
        <f>EV!M270</f>
        <v>SAM</v>
      </c>
      <c r="I205" s="108">
        <f>IF(J205="ALPHA",PR!$E203,IF(J205="ASSENE",PR!$F203,IF(J205="BIOFEM",PR!$G203,IF(J205="BIOMED",PR!$H203,IF(J205="CHI",PR!$I203,IF(J205="CLARION",PR!$J203,IF(J205="CODIX",PR!$K203,IF(J205="COSMADE",PR!$L203,IF(J205="SANCON",PR!$M203,IF(J205="DEVON",PR!$N203,IF(J205="DORTEMAG",PR!$O203,IF(J205="DGF",PR!$P203,IF(J205="DYNAMIC",PR!$Q203,IF(J205="EMZOR",PR!$R203,IF(J205="EUMATT",PR!$S203,IF(J205="FIDSON",PR!$T203,IF(J205="FCGLOBAL",PR!$U203,IF(J205="GENEITH",PR!$V203,IF(J205="GINOS",PR!$W203,IF(J205="GSK",PR!$X203,IF(J205="GLOBORG",PR!$Y203,IF(J205="GOODNEWS",PR!$Z203,IF(J205="GREENLIFE",PR!$AA203,IF(J205="HLINE",PR!$AB203,IF(J205="ROTECH",PR!$AC203,IF(J205="ISN",PR!$AD203,IF(J205="JAWA",PR!$AE203,IF(J205="LAYO",PR!$AF203,IF(J205="LEADWAY",PR!$AG203,IF(J205="LHV",PR!$AH203,IF(J205="MANOLA",PR!$AI203,IF(J205="MARCSON",PR!$AJ203,IF(J205="M&amp;B",PR!$AK203,IF(J205="MTRUST",PR!$AL203,IF(J205="MWORLD",PR!$AM203,IF(J205="MEGA",PR!$AN203,IF(J205="MICRONOVA",PR!$AO203,IF(J205="MFLASH",PR!$AP203,IF(J205="MORISON",PR!$AQ203,IF(J205="NEMEL",PR!$AR203,IF(J205="NHP",PR!$AS203,IF(J205="NHC",PR!$AT203,IF(J205="OLEAF",PR!$AU203,IF(J205="OCULUS",PR!$AV203,IF(J205="PACIFIC",PR!$AW203,IF(J205="PHAMATEX",PR!$AX203,IF(J205="PETHICS",PR!$AY203,IF(J205="PHILIPS",PR!$AZ203,IF(J205="RANBAXY",PR!$BA203,IF(J205="REALS",PR!$BB203,IF(J205="ROYAL",PR!$BC203,IF(J205="SAM",PR!$BD203,IF(J205="SEAGREEN",PR!$BE203,IF(J205="SKG",PR!$BF203,IF(J205="TAH",PR!$BG203,IF(J205="TAYLEK",PR!$BH203,IF(J205="TEMITA",PR!$BI203,IF(J205="THL",PR!$BJ203,IF(J205="UBASTIC",PR!$BK203,IF(J205="UNION",PR!$BL203,IF(J205="UNIQUE",PR!$BM203,IF(J205="VIXA",PR!$BN203,IF(J205="WWCV",PR!$BO203,IF(J205="ZOLON",PR!$BP203,"-"))))))))))))))))))))))))))))))))))))))))))))))))))))))))))))))))</f>
        <v>380</v>
      </c>
      <c r="J205" s="102" t="str">
        <f>EV!N270</f>
        <v>GLOBORG</v>
      </c>
      <c r="K205" s="433" t="s">
        <v>2109</v>
      </c>
      <c r="L205" s="183" t="str">
        <f>IF(K205&gt;0,IF(K205="ALPHA",PR!$E203,IF(K205="ASSENE",PR!$F203,IF(K205="BIOFEM",PR!$G203,IF(K205="BIOMED",PR!$H203,IF(K205="CHI",PR!$I203,IF(K205="CLARION",PR!$J203,IF(K205="CODIX",PR!$K203,IF(K205="COSMADE",PR!$L203,IF(K205="SANCON",PR!$M203,IF(K205="DEVON",PR!$N203,IF(K205="DORTEMAG",PR!$O203,IF(K205="DGF",PR!$P203,IF(K205="DYNAMIC",PR!$Q203,IF(K205="EMZOR",PR!$R203,IF(K205="EUMATT",PR!$S203,IF(K205="FIDSON",PR!$T203,IF(K205="FCGLOBAL",PR!$U203,IF(K205="GENEITH",PR!$V203,IF(K205="GINOS",PR!$W203,IF(K205="GSK",PR!$X203,IF(K205="GLOBORG",PR!$Y203,IF(K205="GOODNEWS",PR!$Z203,IF(K205="GREENLIFE",PR!$AA203,IF(K205="HLINE",PR!$AB203,IF(K205="ROTECH",PR!$AC203,IF(K205="ISN",PR!$AD203,IF(K205="JAWA",PR!$AE203,IF(K205="LAYO",PR!$AF203,IF(K205="LEADWAY",PR!$AG203,IF(K205="LHV",PR!$AH203,IF(K205="MANOLA",PR!$AI203,IF(K205="MARCSON",PR!$AJ203,IF(K205="M&amp;B",PR!$AK203,IF(K205="MTRUST",PR!$AL203,IF(K205="MWORLD",PR!$AM203,IF(K205="MEGA",PR!$AN203,IF(K205="MICRONOVA",PR!$AO203,IF(K205="MFLASH",PR!$AP203,IF(K205="MORISON",PR!$AQ203,IF(K205="NEMEL",PR!$AR203,IF(K205="NHP",PR!$AS203,IF(K205="NHC",PR!$AT203,IF(K205="OLEAF",PR!$AU203,IF(K205="OCULUS",PR!$AV203,IF(K205="PACIFIC",PR!$AW203,IF(K205="PHAMATEX",PR!$AX203,IF(K205="PETHICS",PR!$AY203,IF(K205="PHILIPS",PR!$AZ203,IF(K205="RANBAXY",PR!$BA203,IF(K205="REALS",PR!$BB203,IF(K205="ROYAL",PR!$BC203,IF(K205="SAM",PR!$BD203,IF(K205="SEAGREEN",PR!$BE203,IF(K205="SKG",PR!$BF203,IF(K205="TAH",PR!$BG203,IF(K205="TAYLEK",PR!$BH203,IF(K205="TEMITA",PR!$BI203,IF(K205="THL",PR!$BJ203,IF(K205="UBASTIC",PR!$BK203,IF(K205="UNION",PR!$BL203,IF(K205="UNIQUE",PR!$BM203,IF(K205="VIXA",PR!$BN203,IF(K205="WWCV",PR!$BO203,IF(K205="ZOLON",PR!$BP203,"-")))))))))))))))))))))))))))))))))))))))))))))))))))))))))))))))))</f>
        <v>-</v>
      </c>
    </row>
    <row r="206" spans="1:12" ht="18.75" x14ac:dyDescent="0.3">
      <c r="A206" s="430">
        <f>PR!A204</f>
        <v>183</v>
      </c>
      <c r="B206" s="15" t="str">
        <f>PR!B204</f>
        <v>PARACETAMOL SYR</v>
      </c>
      <c r="C206" s="113" t="str">
        <f>PR!D204</f>
        <v>BOTT</v>
      </c>
      <c r="D206" s="113">
        <f>PR!C204</f>
        <v>3000</v>
      </c>
      <c r="E206" s="108">
        <f>IF(F206="ALPHA",PR!$E204,IF(F206="ASSENE",PR!$F204,IF(F206="BIOFEM",PR!$G204,IF(F206="BIOMED",PR!$H204,IF(F206="CHI",PR!$I204,IF(F206="CLARION",PR!$J204,IF(F206="CODIX",PR!$K204,IF(F206="COSMADE",PR!$L204,IF(F206="SANCON",PR!$M204,IF(F206="DEVON",PR!$N204,IF(F206="DORTEMAG",PR!$O204,IF(F206="DGF",PR!$P204,IF(F206="DYNAMIC",PR!$Q204,IF(F206="EMZOR",PR!$R204,IF(F206="EUMATT",PR!$S204,IF(F206="FIDSON",PR!$T204,IF(F206="FCGLOBAL",PR!$U204,IF(F206="GENEITH",PR!$V204,IF(F206="GINOS",PR!$W204,IF(F206="GSK",PR!$X204,IF(F206="GLOBORG",PR!$Y204,IF(F206="GOODNEWS",PR!$Z204,IF(F206="GREENLIFE",PR!$AA204,IF(F206="HLINE",PR!$AB204,IF(F206="ROTECH",PR!$AC204,IF(F206="ISN",PR!$AD204,IF(F206="JAWA",PR!$AE204,IF(F206="LAYO",PR!$AF204,IF(F206="LEADWAY",PR!$AG204,IF(F206="LHV",PR!$AH204,IF(F206="MANOLA",PR!$AI204,IF(F206="MARCSON",PR!$AJ204,IF(F206="M&amp;B",PR!$AK204,IF(F206="MTRUST",PR!$AL204,IF(F206="MWORLD",PR!$AM204,IF(F206="MEGA",PR!$AN204,IF(F206="MICRONOVA",PR!$AO204,IF(F206="MFLASH",PR!$AP204,IF(F206="MORISON",PR!$AQ204,IF(F206="NEMEL",PR!$AR204,IF(F206="NHP",PR!$AS204,IF(F206="NHC",PR!$AT204,IF(F206="OLEAF",PR!$AU204,IF(F206="OCULUS",PR!$AV204,IF(F206="PACIFIC",PR!$AW204,IF(F206="PHAMATEX",PR!$AX204,IF(F206="PETHICS",PR!$AY204,IF(F206="PHILIPS",PR!$AZ204,IF(F206="RANBAXY",PR!$BA204,IF(F206="REALS",PR!$BB204,IF(F206="ROYAL",PR!$BC204,IF(F206="SAM",PR!$BD204,IF(F206="SEAGREEN",PR!$BE204,IF(F206="SKG",PR!$BF204,IF(F206="TAH",PR!$BG204,IF(F206="TAYLEK",PR!$BH204,IF(F206="TEMITA",PR!$BI204,IF(F206="THL",PR!$BJ204,IF(F206="UBASTIC",PR!$BK204,IF(F206="UNION",PR!$BL204,IF(F206="UNIQUE",PR!$BM204,IF(F206="VIXA",PR!$BN204,IF(F206="WWCV",PR!$BO204,IF(F206="ZOLON",PR!$BP204,"-"))))))))))))))))))))))))))))))))))))))))))))))))))))))))))))))))</f>
        <v>85</v>
      </c>
      <c r="F206" s="102" t="str">
        <f>EV!L271</f>
        <v>PHAMATEX</v>
      </c>
      <c r="G206" s="108">
        <f>IF(H206="ALPHA",PR!$E204,IF(H206="ASSENE",PR!$F204,IF(H206="BIOFEM",PR!$G204,IF(H206="BIOMED",PR!$H204,IF(H206="CHI",PR!$I204,IF(H206="CLARION",PR!$J204,IF(H206="CODIX",PR!$K204,IF(H206="COSMADE",PR!$L204,IF(H206="SANCON",PR!$M204,IF(H206="DEVON",PR!$N204,IF(H206="DORTEMAG",PR!$O204,IF(H206="DGF",PR!$P204,IF(H206="DYNAMIC",PR!$Q204,IF(H206="EMZOR",PR!$R204,IF(H206="EUMATT",PR!$S204,IF(H206="FIDSON",PR!$T204,IF(H206="FCGLOBAL",PR!$U204,IF(H206="GENEITH",PR!$V204,IF(H206="GINOS",PR!$W204,IF(H206="GSK",PR!$X204,IF(H206="GLOBORG",PR!$Y204,IF(H206="GOODNEWS",PR!$Z204,IF(H206="GREENLIFE",PR!$AA204,IF(H206="HLINE",PR!$AB204,IF(H206="ROTECH",PR!$AC204,IF(H206="ISN",PR!$AD204,IF(H206="JAWA",PR!$AE204,IF(H206="LAYO",PR!$AF204,IF(H206="LEADWAY",PR!$AG204,IF(H206="LHV",PR!$AH204,IF(H206="MANOLA",PR!$AI204,IF(H206="MARCSON",PR!$AJ204,IF(H206="M&amp;B",PR!$AK204,IF(H206="MTRUST",PR!$AL204,IF(H206="MWORLD",PR!$AM204,IF(H206="MEGA",PR!$AN204,IF(H206="MICRONOVA",PR!$AO204,IF(H206="MFLASH",PR!$AP204,IF(H206="MORISON",PR!$AQ204,IF(H206="NEMEL",PR!$AR204,IF(H206="NHP",PR!$AS204,IF(H206="NHC",PR!$AT204,IF(H206="OLEAF",PR!$AU204,IF(H206="OCULUS",PR!$AV204,IF(H206="PACIFIC",PR!$AW204,IF(H206="PHAMATEX",PR!$AX204,IF(H206="PETHICS",PR!$AY204,IF(H206="PHILIPS",PR!$AZ204,IF(H206="RANBAXY",PR!$BA204,IF(H206="REALS",PR!$BB204,IF(H206="ROYAL",PR!$BC204,IF(H206="SAM",PR!$BD204,IF(H206="SEAGREEN",PR!$BE204,IF(H206="SKG",PR!$BF204,IF(H206="TAH",PR!$BG204,IF(H206="TAYLEK",PR!$BH204,IF(H206="TEMITA",PR!$BI204,IF(H206="THL",PR!$BJ204,IF(H206="UBASTIC",PR!$BK204,IF(H206="UNION",PR!$BL204,IF(H206="UNIQUE",PR!$BM204,IF(H206="VIXA",PR!$BN204,IF(H206="WWCV",PR!$BO204,IF(H206="ZOLON",PR!$BP204,"-"))))))))))))))))))))))))))))))))))))))))))))))))))))))))))))))))</f>
        <v>85</v>
      </c>
      <c r="H206" s="102" t="str">
        <f>EV!M271</f>
        <v>EUMATT</v>
      </c>
      <c r="I206" s="108">
        <f>IF(J206="ALPHA",PR!$E204,IF(J206="ASSENE",PR!$F204,IF(J206="BIOFEM",PR!$G204,IF(J206="BIOMED",PR!$H204,IF(J206="CHI",PR!$I204,IF(J206="CLARION",PR!$J204,IF(J206="CODIX",PR!$K204,IF(J206="COSMADE",PR!$L204,IF(J206="SANCON",PR!$M204,IF(J206="DEVON",PR!$N204,IF(J206="DORTEMAG",PR!$O204,IF(J206="DGF",PR!$P204,IF(J206="DYNAMIC",PR!$Q204,IF(J206="EMZOR",PR!$R204,IF(J206="EUMATT",PR!$S204,IF(J206="FIDSON",PR!$T204,IF(J206="FCGLOBAL",PR!$U204,IF(J206="GENEITH",PR!$V204,IF(J206="GINOS",PR!$W204,IF(J206="GSK",PR!$X204,IF(J206="GLOBORG",PR!$Y204,IF(J206="GOODNEWS",PR!$Z204,IF(J206="GREENLIFE",PR!$AA204,IF(J206="HLINE",PR!$AB204,IF(J206="ROTECH",PR!$AC204,IF(J206="ISN",PR!$AD204,IF(J206="JAWA",PR!$AE204,IF(J206="LAYO",PR!$AF204,IF(J206="LEADWAY",PR!$AG204,IF(J206="LHV",PR!$AH204,IF(J206="MANOLA",PR!$AI204,IF(J206="MARCSON",PR!$AJ204,IF(J206="M&amp;B",PR!$AK204,IF(J206="MTRUST",PR!$AL204,IF(J206="MWORLD",PR!$AM204,IF(J206="MEGA",PR!$AN204,IF(J206="MICRONOVA",PR!$AO204,IF(J206="MFLASH",PR!$AP204,IF(J206="MORISON",PR!$AQ204,IF(J206="NEMEL",PR!$AR204,IF(J206="NHP",PR!$AS204,IF(J206="NHC",PR!$AT204,IF(J206="OLEAF",PR!$AU204,IF(J206="OCULUS",PR!$AV204,IF(J206="PACIFIC",PR!$AW204,IF(J206="PHAMATEX",PR!$AX204,IF(J206="PETHICS",PR!$AY204,IF(J206="PHILIPS",PR!$AZ204,IF(J206="RANBAXY",PR!$BA204,IF(J206="REALS",PR!$BB204,IF(J206="ROYAL",PR!$BC204,IF(J206="SAM",PR!$BD204,IF(J206="SEAGREEN",PR!$BE204,IF(J206="SKG",PR!$BF204,IF(J206="TAH",PR!$BG204,IF(J206="TAYLEK",PR!$BH204,IF(J206="TEMITA",PR!$BI204,IF(J206="THL",PR!$BJ204,IF(J206="UBASTIC",PR!$BK204,IF(J206="UNION",PR!$BL204,IF(J206="UNIQUE",PR!$BM204,IF(J206="VIXA",PR!$BN204,IF(J206="WWCV",PR!$BO204,IF(J206="ZOLON",PR!$BP204,"-"))))))))))))))))))))))))))))))))))))))))))))))))))))))))))))))))</f>
        <v>95</v>
      </c>
      <c r="J206" s="102" t="str">
        <f>EV!N271</f>
        <v>UNIQUE</v>
      </c>
      <c r="K206" s="433" t="s">
        <v>627</v>
      </c>
      <c r="L206" s="183">
        <f>IF(K206&gt;0,IF(K206="ALPHA",PR!$E204,IF(K206="ASSENE",PR!$F204,IF(K206="BIOFEM",PR!$G204,IF(K206="BIOMED",PR!$H204,IF(K206="CHI",PR!$I204,IF(K206="CLARION",PR!$J204,IF(K206="CODIX",PR!$K204,IF(K206="COSMADE",PR!$L204,IF(K206="SANCON",PR!$M204,IF(K206="DEVON",PR!$N204,IF(K206="DORTEMAG",PR!$O204,IF(K206="DGF",PR!$P204,IF(K206="DYNAMIC",PR!$Q204,IF(K206="EMZOR",PR!$R204,IF(K206="EUMATT",PR!$S204,IF(K206="FIDSON",PR!$T204,IF(K206="FCGLOBAL",PR!$U204,IF(K206="GENEITH",PR!$V204,IF(K206="GINOS",PR!$W204,IF(K206="GSK",PR!$X204,IF(K206="GLOBORG",PR!$Y204,IF(K206="GOODNEWS",PR!$Z204,IF(K206="GREENLIFE",PR!$AA204,IF(K206="HLINE",PR!$AB204,IF(K206="ROTECH",PR!$AC204,IF(K206="ISN",PR!$AD204,IF(K206="JAWA",PR!$AE204,IF(K206="LAYO",PR!$AF204,IF(K206="LEADWAY",PR!$AG204,IF(K206="LHV",PR!$AH204,IF(K206="MANOLA",PR!$AI204,IF(K206="MARCSON",PR!$AJ204,IF(K206="M&amp;B",PR!$AK204,IF(K206="MTRUST",PR!$AL204,IF(K206="MWORLD",PR!$AM204,IF(K206="MEGA",PR!$AN204,IF(K206="MICRONOVA",PR!$AO204,IF(K206="MFLASH",PR!$AP204,IF(K206="MORISON",PR!$AQ204,IF(K206="NEMEL",PR!$AR204,IF(K206="NHP",PR!$AS204,IF(K206="NHC",PR!$AT204,IF(K206="OLEAF",PR!$AU204,IF(K206="OCULUS",PR!$AV204,IF(K206="PACIFIC",PR!$AW204,IF(K206="PHAMATEX",PR!$AX204,IF(K206="PETHICS",PR!$AY204,IF(K206="PHILIPS",PR!$AZ204,IF(K206="RANBAXY",PR!$BA204,IF(K206="REALS",PR!$BB204,IF(K206="ROYAL",PR!$BC204,IF(K206="SAM",PR!$BD204,IF(K206="SEAGREEN",PR!$BE204,IF(K206="SKG",PR!$BF204,IF(K206="TAH",PR!$BG204,IF(K206="TAYLEK",PR!$BH204,IF(K206="TEMITA",PR!$BI204,IF(K206="THL",PR!$BJ204,IF(K206="UBASTIC",PR!$BK204,IF(K206="UNION",PR!$BL204,IF(K206="UNIQUE",PR!$BM204,IF(K206="VIXA",PR!$BN204,IF(K206="WWCV",PR!$BO204,IF(K206="ZOLON",PR!$BP204,"-")))))))))))))))))))))))))))))))))))))))))))))))))))))))))))))))))</f>
        <v>85</v>
      </c>
    </row>
    <row r="207" spans="1:12" ht="18.75" x14ac:dyDescent="0.3">
      <c r="A207" s="430">
        <f>PR!A205</f>
        <v>184</v>
      </c>
      <c r="B207" s="15" t="str">
        <f>PR!B205</f>
        <v>PENTAZOCIN 30MG INJ</v>
      </c>
      <c r="C207" s="113">
        <f>PR!D205</f>
        <v>100</v>
      </c>
      <c r="D207" s="113">
        <f>PR!C205</f>
        <v>120</v>
      </c>
      <c r="E207" s="108">
        <f>IF(F207="ALPHA",PR!$E205,IF(F207="ASSENE",PR!$F205,IF(F207="BIOFEM",PR!$G205,IF(F207="BIOMED",PR!$H205,IF(F207="CHI",PR!$I205,IF(F207="CLARION",PR!$J205,IF(F207="CODIX",PR!$K205,IF(F207="COSMADE",PR!$L205,IF(F207="SANCON",PR!$M205,IF(F207="DEVON",PR!$N205,IF(F207="DORTEMAG",PR!$O205,IF(F207="DGF",PR!$P205,IF(F207="DYNAMIC",PR!$Q205,IF(F207="EMZOR",PR!$R205,IF(F207="EUMATT",PR!$S205,IF(F207="FIDSON",PR!$T205,IF(F207="FCGLOBAL",PR!$U205,IF(F207="GENEITH",PR!$V205,IF(F207="GINOS",PR!$W205,IF(F207="GSK",PR!$X205,IF(F207="GLOBORG",PR!$Y205,IF(F207="GOODNEWS",PR!$Z205,IF(F207="GREENLIFE",PR!$AA205,IF(F207="HLINE",PR!$AB205,IF(F207="ROTECH",PR!$AC205,IF(F207="ISN",PR!$AD205,IF(F207="JAWA",PR!$AE205,IF(F207="LAYO",PR!$AF205,IF(F207="LEADWAY",PR!$AG205,IF(F207="LHV",PR!$AH205,IF(F207="MANOLA",PR!$AI205,IF(F207="MARCSON",PR!$AJ205,IF(F207="M&amp;B",PR!$AK205,IF(F207="MTRUST",PR!$AL205,IF(F207="MWORLD",PR!$AM205,IF(F207="MEGA",PR!$AN205,IF(F207="MICRONOVA",PR!$AO205,IF(F207="MFLASH",PR!$AP205,IF(F207="MORISON",PR!$AQ205,IF(F207="NEMEL",PR!$AR205,IF(F207="NHP",PR!$AS205,IF(F207="NHC",PR!$AT205,IF(F207="OLEAF",PR!$AU205,IF(F207="OCULUS",PR!$AV205,IF(F207="PACIFIC",PR!$AW205,IF(F207="PHAMATEX",PR!$AX205,IF(F207="PETHICS",PR!$AY205,IF(F207="PHILIPS",PR!$AZ205,IF(F207="RANBAXY",PR!$BA205,IF(F207="REALS",PR!$BB205,IF(F207="ROYAL",PR!$BC205,IF(F207="SAM",PR!$BD205,IF(F207="SEAGREEN",PR!$BE205,IF(F207="SKG",PR!$BF205,IF(F207="TAH",PR!$BG205,IF(F207="TAYLEK",PR!$BH205,IF(F207="TEMITA",PR!$BI205,IF(F207="THL",PR!$BJ205,IF(F207="UBASTIC",PR!$BK205,IF(F207="UNION",PR!$BL205,IF(F207="UNIQUE",PR!$BM205,IF(F207="VIXA",PR!$BN205,IF(F207="WWCV",PR!$BO205,IF(F207="ZOLON",PR!$BP205,"-"))))))))))))))))))))))))))))))))))))))))))))))))))))))))))))))))</f>
        <v>7500</v>
      </c>
      <c r="F207" s="102" t="str">
        <f>EV!L272</f>
        <v>ZOLON</v>
      </c>
      <c r="G207" s="108">
        <f>IF(H207="ALPHA",PR!$E205,IF(H207="ASSENE",PR!$F205,IF(H207="BIOFEM",PR!$G205,IF(H207="BIOMED",PR!$H205,IF(H207="CHI",PR!$I205,IF(H207="CLARION",PR!$J205,IF(H207="CODIX",PR!$K205,IF(H207="COSMADE",PR!$L205,IF(H207="SANCON",PR!$M205,IF(H207="DEVON",PR!$N205,IF(H207="DORTEMAG",PR!$O205,IF(H207="DGF",PR!$P205,IF(H207="DYNAMIC",PR!$Q205,IF(H207="EMZOR",PR!$R205,IF(H207="EUMATT",PR!$S205,IF(H207="FIDSON",PR!$T205,IF(H207="FCGLOBAL",PR!$U205,IF(H207="GENEITH",PR!$V205,IF(H207="GINOS",PR!$W205,IF(H207="GSK",PR!$X205,IF(H207="GLOBORG",PR!$Y205,IF(H207="GOODNEWS",PR!$Z205,IF(H207="GREENLIFE",PR!$AA205,IF(H207="HLINE",PR!$AB205,IF(H207="ROTECH",PR!$AC205,IF(H207="ISN",PR!$AD205,IF(H207="JAWA",PR!$AE205,IF(H207="LAYO",PR!$AF205,IF(H207="LEADWAY",PR!$AG205,IF(H207="LHV",PR!$AH205,IF(H207="MANOLA",PR!$AI205,IF(H207="MARCSON",PR!$AJ205,IF(H207="M&amp;B",PR!$AK205,IF(H207="MTRUST",PR!$AL205,IF(H207="MWORLD",PR!$AM205,IF(H207="MEGA",PR!$AN205,IF(H207="MICRONOVA",PR!$AO205,IF(H207="MFLASH",PR!$AP205,IF(H207="MORISON",PR!$AQ205,IF(H207="NEMEL",PR!$AR205,IF(H207="NHP",PR!$AS205,IF(H207="NHC",PR!$AT205,IF(H207="OLEAF",PR!$AU205,IF(H207="OCULUS",PR!$AV205,IF(H207="PACIFIC",PR!$AW205,IF(H207="PHAMATEX",PR!$AX205,IF(H207="PETHICS",PR!$AY205,IF(H207="PHILIPS",PR!$AZ205,IF(H207="RANBAXY",PR!$BA205,IF(H207="REALS",PR!$BB205,IF(H207="ROYAL",PR!$BC205,IF(H207="SAM",PR!$BD205,IF(H207="SEAGREEN",PR!$BE205,IF(H207="SKG",PR!$BF205,IF(H207="TAH",PR!$BG205,IF(H207="TAYLEK",PR!$BH205,IF(H207="TEMITA",PR!$BI205,IF(H207="THL",PR!$BJ205,IF(H207="UBASTIC",PR!$BK205,IF(H207="UNION",PR!$BL205,IF(H207="UNIQUE",PR!$BM205,IF(H207="VIXA",PR!$BN205,IF(H207="WWCV",PR!$BO205,IF(H207="ZOLON",PR!$BP205,"-"))))))))))))))))))))))))))))))))))))))))))))))))))))))))))))))))</f>
        <v>8500</v>
      </c>
      <c r="H207" s="102" t="str">
        <f>EV!M272</f>
        <v>M&amp;B</v>
      </c>
      <c r="I207" s="108">
        <f>IF(J207="ALPHA",PR!$E205,IF(J207="ASSENE",PR!$F205,IF(J207="BIOFEM",PR!$G205,IF(J207="BIOMED",PR!$H205,IF(J207="CHI",PR!$I205,IF(J207="CLARION",PR!$J205,IF(J207="CODIX",PR!$K205,IF(J207="COSMADE",PR!$L205,IF(J207="SANCON",PR!$M205,IF(J207="DEVON",PR!$N205,IF(J207="DORTEMAG",PR!$O205,IF(J207="DGF",PR!$P205,IF(J207="DYNAMIC",PR!$Q205,IF(J207="EMZOR",PR!$R205,IF(J207="EUMATT",PR!$S205,IF(J207="FIDSON",PR!$T205,IF(J207="FCGLOBAL",PR!$U205,IF(J207="GENEITH",PR!$V205,IF(J207="GINOS",PR!$W205,IF(J207="GSK",PR!$X205,IF(J207="GLOBORG",PR!$Y205,IF(J207="GOODNEWS",PR!$Z205,IF(J207="GREENLIFE",PR!$AA205,IF(J207="HLINE",PR!$AB205,IF(J207="ROTECH",PR!$AC205,IF(J207="ISN",PR!$AD205,IF(J207="JAWA",PR!$AE205,IF(J207="LAYO",PR!$AF205,IF(J207="LEADWAY",PR!$AG205,IF(J207="LHV",PR!$AH205,IF(J207="MANOLA",PR!$AI205,IF(J207="MARCSON",PR!$AJ205,IF(J207="M&amp;B",PR!$AK205,IF(J207="MTRUST",PR!$AL205,IF(J207="MWORLD",PR!$AM205,IF(J207="MEGA",PR!$AN205,IF(J207="MICRONOVA",PR!$AO205,IF(J207="MFLASH",PR!$AP205,IF(J207="MORISON",PR!$AQ205,IF(J207="NEMEL",PR!$AR205,IF(J207="NHP",PR!$AS205,IF(J207="NHC",PR!$AT205,IF(J207="OLEAF",PR!$AU205,IF(J207="OCULUS",PR!$AV205,IF(J207="PACIFIC",PR!$AW205,IF(J207="PHAMATEX",PR!$AX205,IF(J207="PETHICS",PR!$AY205,IF(J207="PHILIPS",PR!$AZ205,IF(J207="RANBAXY",PR!$BA205,IF(J207="REALS",PR!$BB205,IF(J207="ROYAL",PR!$BC205,IF(J207="SAM",PR!$BD205,IF(J207="SEAGREEN",PR!$BE205,IF(J207="SKG",PR!$BF205,IF(J207="TAH",PR!$BG205,IF(J207="TAYLEK",PR!$BH205,IF(J207="TEMITA",PR!$BI205,IF(J207="THL",PR!$BJ205,IF(J207="UBASTIC",PR!$BK205,IF(J207="UNION",PR!$BL205,IF(J207="UNIQUE",PR!$BM205,IF(J207="VIXA",PR!$BN205,IF(J207="WWCV",PR!$BO205,IF(J207="ZOLON",PR!$BP205,"-"))))))))))))))))))))))))))))))))))))))))))))))))))))))))))))))))</f>
        <v>8500</v>
      </c>
      <c r="J207" s="102" t="str">
        <f>EV!N272</f>
        <v>GREENLIFE</v>
      </c>
      <c r="K207" s="433" t="s">
        <v>2110</v>
      </c>
      <c r="L207" s="183" t="str">
        <f>IF(K207&gt;0,IF(K207="ALPHA",PR!$E205,IF(K207="ASSENE",PR!$F205,IF(K207="BIOFEM",PR!$G205,IF(K207="BIOMED",PR!$H205,IF(K207="CHI",PR!$I205,IF(K207="CLARION",PR!$J205,IF(K207="CODIX",PR!$K205,IF(K207="COSMADE",PR!$L205,IF(K207="SANCON",PR!$M205,IF(K207="DEVON",PR!$N205,IF(K207="DORTEMAG",PR!$O205,IF(K207="DGF",PR!$P205,IF(K207="DYNAMIC",PR!$Q205,IF(K207="EMZOR",PR!$R205,IF(K207="EUMATT",PR!$S205,IF(K207="FIDSON",PR!$T205,IF(K207="FCGLOBAL",PR!$U205,IF(K207="GENEITH",PR!$V205,IF(K207="GINOS",PR!$W205,IF(K207="GSK",PR!$X205,IF(K207="GLOBORG",PR!$Y205,IF(K207="GOODNEWS",PR!$Z205,IF(K207="GREENLIFE",PR!$AA205,IF(K207="HLINE",PR!$AB205,IF(K207="ROTECH",PR!$AC205,IF(K207="ISN",PR!$AD205,IF(K207="JAWA",PR!$AE205,IF(K207="LAYO",PR!$AF205,IF(K207="LEADWAY",PR!$AG205,IF(K207="LHV",PR!$AH205,IF(K207="MANOLA",PR!$AI205,IF(K207="MARCSON",PR!$AJ205,IF(K207="M&amp;B",PR!$AK205,IF(K207="MTRUST",PR!$AL205,IF(K207="MWORLD",PR!$AM205,IF(K207="MEGA",PR!$AN205,IF(K207="MICRONOVA",PR!$AO205,IF(K207="MFLASH",PR!$AP205,IF(K207="MORISON",PR!$AQ205,IF(K207="NEMEL",PR!$AR205,IF(K207="NHP",PR!$AS205,IF(K207="NHC",PR!$AT205,IF(K207="OLEAF",PR!$AU205,IF(K207="OCULUS",PR!$AV205,IF(K207="PACIFIC",PR!$AW205,IF(K207="PHAMATEX",PR!$AX205,IF(K207="PETHICS",PR!$AY205,IF(K207="PHILIPS",PR!$AZ205,IF(K207="RANBAXY",PR!$BA205,IF(K207="REALS",PR!$BB205,IF(K207="ROYAL",PR!$BC205,IF(K207="SAM",PR!$BD205,IF(K207="SEAGREEN",PR!$BE205,IF(K207="SKG",PR!$BF205,IF(K207="TAH",PR!$BG205,IF(K207="TAYLEK",PR!$BH205,IF(K207="TEMITA",PR!$BI205,IF(K207="THL",PR!$BJ205,IF(K207="UBASTIC",PR!$BK205,IF(K207="UNION",PR!$BL205,IF(K207="UNIQUE",PR!$BM205,IF(K207="VIXA",PR!$BN205,IF(K207="WWCV",PR!$BO205,IF(K207="ZOLON",PR!$BP205,"-")))))))))))))))))))))))))))))))))))))))))))))))))))))))))))))))))</f>
        <v>-</v>
      </c>
    </row>
    <row r="208" spans="1:12" ht="18.75" x14ac:dyDescent="0.3">
      <c r="A208" s="430">
        <f>PR!A206</f>
        <v>185</v>
      </c>
      <c r="B208" s="15" t="str">
        <f>PR!B206</f>
        <v>PETHIDINE 100MG INJ</v>
      </c>
      <c r="C208" s="113">
        <f>PR!D206</f>
        <v>10</v>
      </c>
      <c r="D208" s="113">
        <f>PR!C206</f>
        <v>50</v>
      </c>
      <c r="E208" s="108" t="str">
        <f>IF(F208="ALPHA",PR!$E206,IF(F208="ASSENE",PR!$F206,IF(F208="BIOFEM",PR!$G206,IF(F208="BIOMED",PR!$H206,IF(F208="CHI",PR!$I206,IF(F208="CLARION",PR!$J206,IF(F208="CODIX",PR!$K206,IF(F208="COSMADE",PR!$L206,IF(F208="SANCON",PR!$M206,IF(F208="DEVON",PR!$N206,IF(F208="DORTEMAG",PR!$O206,IF(F208="DGF",PR!$P206,IF(F208="DYNAMIC",PR!$Q206,IF(F208="EMZOR",PR!$R206,IF(F208="EUMATT",PR!$S206,IF(F208="FIDSON",PR!$T206,IF(F208="FCGLOBAL",PR!$U206,IF(F208="GENEITH",PR!$V206,IF(F208="GINOS",PR!$W206,IF(F208="GSK",PR!$X206,IF(F208="GLOBORG",PR!$Y206,IF(F208="GOODNEWS",PR!$Z206,IF(F208="GREENLIFE",PR!$AA206,IF(F208="HLINE",PR!$AB206,IF(F208="ROTECH",PR!$AC206,IF(F208="ISN",PR!$AD206,IF(F208="JAWA",PR!$AE206,IF(F208="LAYO",PR!$AF206,IF(F208="LEADWAY",PR!$AG206,IF(F208="LHV",PR!$AH206,IF(F208="MANOLA",PR!$AI206,IF(F208="MARCSON",PR!$AJ206,IF(F208="M&amp;B",PR!$AK206,IF(F208="MTRUST",PR!$AL206,IF(F208="MWORLD",PR!$AM206,IF(F208="MEGA",PR!$AN206,IF(F208="MICRONOVA",PR!$AO206,IF(F208="MFLASH",PR!$AP206,IF(F208="MORISON",PR!$AQ206,IF(F208="NEMEL",PR!$AR206,IF(F208="NHP",PR!$AS206,IF(F208="NHC",PR!$AT206,IF(F208="OLEAF",PR!$AU206,IF(F208="OCULUS",PR!$AV206,IF(F208="PACIFIC",PR!$AW206,IF(F208="PHAMATEX",PR!$AX206,IF(F208="PETHICS",PR!$AY206,IF(F208="PHILIPS",PR!$AZ206,IF(F208="RANBAXY",PR!$BA206,IF(F208="REALS",PR!$BB206,IF(F208="ROYAL",PR!$BC206,IF(F208="SAM",PR!$BD206,IF(F208="SEAGREEN",PR!$BE206,IF(F208="SKG",PR!$BF206,IF(F208="TAH",PR!$BG206,IF(F208="TAYLEK",PR!$BH206,IF(F208="TEMITA",PR!$BI206,IF(F208="THL",PR!$BJ206,IF(F208="UBASTIC",PR!$BK206,IF(F208="UNION",PR!$BL206,IF(F208="UNIQUE",PR!$BM206,IF(F208="VIXA",PR!$BN206,IF(F208="WWCV",PR!$BO206,IF(F208="ZOLON",PR!$BP206,"-"))))))))))))))))))))))))))))))))))))))))))))))))))))))))))))))))</f>
        <v>-</v>
      </c>
      <c r="F208" s="102">
        <f>EV!L273</f>
        <v>0</v>
      </c>
      <c r="G208" s="108" t="str">
        <f>IF(H208="ALPHA",PR!$E206,IF(H208="ASSENE",PR!$F206,IF(H208="BIOFEM",PR!$G206,IF(H208="BIOMED",PR!$H206,IF(H208="CHI",PR!$I206,IF(H208="CLARION",PR!$J206,IF(H208="CODIX",PR!$K206,IF(H208="COSMADE",PR!$L206,IF(H208="SANCON",PR!$M206,IF(H208="DEVON",PR!$N206,IF(H208="DORTEMAG",PR!$O206,IF(H208="DGF",PR!$P206,IF(H208="DYNAMIC",PR!$Q206,IF(H208="EMZOR",PR!$R206,IF(H208="EUMATT",PR!$S206,IF(H208="FIDSON",PR!$T206,IF(H208="FCGLOBAL",PR!$U206,IF(H208="GENEITH",PR!$V206,IF(H208="GINOS",PR!$W206,IF(H208="GSK",PR!$X206,IF(H208="GLOBORG",PR!$Y206,IF(H208="GOODNEWS",PR!$Z206,IF(H208="GREENLIFE",PR!$AA206,IF(H208="HLINE",PR!$AB206,IF(H208="ROTECH",PR!$AC206,IF(H208="ISN",PR!$AD206,IF(H208="JAWA",PR!$AE206,IF(H208="LAYO",PR!$AF206,IF(H208="LEADWAY",PR!$AG206,IF(H208="LHV",PR!$AH206,IF(H208="MANOLA",PR!$AI206,IF(H208="MARCSON",PR!$AJ206,IF(H208="M&amp;B",PR!$AK206,IF(H208="MTRUST",PR!$AL206,IF(H208="MWORLD",PR!$AM206,IF(H208="MEGA",PR!$AN206,IF(H208="MICRONOVA",PR!$AO206,IF(H208="MFLASH",PR!$AP206,IF(H208="MORISON",PR!$AQ206,IF(H208="NEMEL",PR!$AR206,IF(H208="NHP",PR!$AS206,IF(H208="NHC",PR!$AT206,IF(H208="OLEAF",PR!$AU206,IF(H208="OCULUS",PR!$AV206,IF(H208="PACIFIC",PR!$AW206,IF(H208="PHAMATEX",PR!$AX206,IF(H208="PETHICS",PR!$AY206,IF(H208="PHILIPS",PR!$AZ206,IF(H208="RANBAXY",PR!$BA206,IF(H208="REALS",PR!$BB206,IF(H208="ROYAL",PR!$BC206,IF(H208="SAM",PR!$BD206,IF(H208="SEAGREEN",PR!$BE206,IF(H208="SKG",PR!$BF206,IF(H208="TAH",PR!$BG206,IF(H208="TAYLEK",PR!$BH206,IF(H208="TEMITA",PR!$BI206,IF(H208="THL",PR!$BJ206,IF(H208="UBASTIC",PR!$BK206,IF(H208="UNION",PR!$BL206,IF(H208="UNIQUE",PR!$BM206,IF(H208="VIXA",PR!$BN206,IF(H208="WWCV",PR!$BO206,IF(H208="ZOLON",PR!$BP206,"-"))))))))))))))))))))))))))))))))))))))))))))))))))))))))))))))))</f>
        <v>-</v>
      </c>
      <c r="H208" s="102">
        <f>EV!M273</f>
        <v>0</v>
      </c>
      <c r="I208" s="108" t="str">
        <f>IF(J208="ALPHA",PR!$E206,IF(J208="ASSENE",PR!$F206,IF(J208="BIOFEM",PR!$G206,IF(J208="BIOMED",PR!$H206,IF(J208="CHI",PR!$I206,IF(J208="CLARION",PR!$J206,IF(J208="CODIX",PR!$K206,IF(J208="COSMADE",PR!$L206,IF(J208="SANCON",PR!$M206,IF(J208="DEVON",PR!$N206,IF(J208="DORTEMAG",PR!$O206,IF(J208="DGF",PR!$P206,IF(J208="DYNAMIC",PR!$Q206,IF(J208="EMZOR",PR!$R206,IF(J208="EUMATT",PR!$S206,IF(J208="FIDSON",PR!$T206,IF(J208="FCGLOBAL",PR!$U206,IF(J208="GENEITH",PR!$V206,IF(J208="GINOS",PR!$W206,IF(J208="GSK",PR!$X206,IF(J208="GLOBORG",PR!$Y206,IF(J208="GOODNEWS",PR!$Z206,IF(J208="GREENLIFE",PR!$AA206,IF(J208="HLINE",PR!$AB206,IF(J208="ROTECH",PR!$AC206,IF(J208="ISN",PR!$AD206,IF(J208="JAWA",PR!$AE206,IF(J208="LAYO",PR!$AF206,IF(J208="LEADWAY",PR!$AG206,IF(J208="LHV",PR!$AH206,IF(J208="MANOLA",PR!$AI206,IF(J208="MARCSON",PR!$AJ206,IF(J208="M&amp;B",PR!$AK206,IF(J208="MTRUST",PR!$AL206,IF(J208="MWORLD",PR!$AM206,IF(J208="MEGA",PR!$AN206,IF(J208="MICRONOVA",PR!$AO206,IF(J208="MFLASH",PR!$AP206,IF(J208="MORISON",PR!$AQ206,IF(J208="NEMEL",PR!$AR206,IF(J208="NHP",PR!$AS206,IF(J208="NHC",PR!$AT206,IF(J208="OLEAF",PR!$AU206,IF(J208="OCULUS",PR!$AV206,IF(J208="PACIFIC",PR!$AW206,IF(J208="PHAMATEX",PR!$AX206,IF(J208="PETHICS",PR!$AY206,IF(J208="PHILIPS",PR!$AZ206,IF(J208="RANBAXY",PR!$BA206,IF(J208="REALS",PR!$BB206,IF(J208="ROYAL",PR!$BC206,IF(J208="SAM",PR!$BD206,IF(J208="SEAGREEN",PR!$BE206,IF(J208="SKG",PR!$BF206,IF(J208="TAH",PR!$BG206,IF(J208="TAYLEK",PR!$BH206,IF(J208="TEMITA",PR!$BI206,IF(J208="THL",PR!$BJ206,IF(J208="UBASTIC",PR!$BK206,IF(J208="UNION",PR!$BL206,IF(J208="UNIQUE",PR!$BM206,IF(J208="VIXA",PR!$BN206,IF(J208="WWCV",PR!$BO206,IF(J208="ZOLON",PR!$BP206,"-"))))))))))))))))))))))))))))))))))))))))))))))))))))))))))))))))</f>
        <v>-</v>
      </c>
      <c r="J208" s="102">
        <f>EV!N273</f>
        <v>0</v>
      </c>
      <c r="K208" s="433"/>
      <c r="L208" s="183" t="b">
        <f>IF(K208&gt;0,IF(K208="ALPHA",PR!$E206,IF(K208="ASSENE",PR!$F206,IF(K208="BIOFEM",PR!$G206,IF(K208="BIOMED",PR!$H206,IF(K208="CHI",PR!$I206,IF(K208="CLARION",PR!$J206,IF(K208="CODIX",PR!$K206,IF(K208="COSMADE",PR!$L206,IF(K208="SANCON",PR!$M206,IF(K208="DEVON",PR!$N206,IF(K208="DORTEMAG",PR!$O206,IF(K208="DGF",PR!$P206,IF(K208="DYNAMIC",PR!$Q206,IF(K208="EMZOR",PR!$R206,IF(K208="EUMATT",PR!$S206,IF(K208="FIDSON",PR!$T206,IF(K208="FCGLOBAL",PR!$U206,IF(K208="GENEITH",PR!$V206,IF(K208="GINOS",PR!$W206,IF(K208="GSK",PR!$X206,IF(K208="GLOBORG",PR!$Y206,IF(K208="GOODNEWS",PR!$Z206,IF(K208="GREENLIFE",PR!$AA206,IF(K208="HLINE",PR!$AB206,IF(K208="ROTECH",PR!$AC206,IF(K208="ISN",PR!$AD206,IF(K208="JAWA",PR!$AE206,IF(K208="LAYO",PR!$AF206,IF(K208="LEADWAY",PR!$AG206,IF(K208="LHV",PR!$AH206,IF(K208="MANOLA",PR!$AI206,IF(K208="MARCSON",PR!$AJ206,IF(K208="M&amp;B",PR!$AK206,IF(K208="MTRUST",PR!$AL206,IF(K208="MWORLD",PR!$AM206,IF(K208="MEGA",PR!$AN206,IF(K208="MICRONOVA",PR!$AO206,IF(K208="MFLASH",PR!$AP206,IF(K208="MORISON",PR!$AQ206,IF(K208="NEMEL",PR!$AR206,IF(K208="NHP",PR!$AS206,IF(K208="NHC",PR!$AT206,IF(K208="OLEAF",PR!$AU206,IF(K208="OCULUS",PR!$AV206,IF(K208="PACIFIC",PR!$AW206,IF(K208="PHAMATEX",PR!$AX206,IF(K208="PETHICS",PR!$AY206,IF(K208="PHILIPS",PR!$AZ206,IF(K208="RANBAXY",PR!$BA206,IF(K208="REALS",PR!$BB206,IF(K208="ROYAL",PR!$BC206,IF(K208="SAM",PR!$BD206,IF(K208="SEAGREEN",PR!$BE206,IF(K208="SKG",PR!$BF206,IF(K208="TAH",PR!$BG206,IF(K208="TAYLEK",PR!$BH206,IF(K208="TEMITA",PR!$BI206,IF(K208="THL",PR!$BJ206,IF(K208="UBASTIC",PR!$BK206,IF(K208="UNION",PR!$BL206,IF(K208="UNIQUE",PR!$BM206,IF(K208="VIXA",PR!$BN206,IF(K208="WWCV",PR!$BO206,IF(K208="ZOLON",PR!$BP206,"-")))))))))))))))))))))))))))))))))))))))))))))))))))))))))))))))))</f>
        <v>0</v>
      </c>
    </row>
    <row r="209" spans="1:12" ht="18.75" x14ac:dyDescent="0.3">
      <c r="A209" s="430">
        <f>PR!A207</f>
        <v>186</v>
      </c>
      <c r="B209" s="15" t="str">
        <f>PR!B207</f>
        <v>PETHIDINE 50MG INJ</v>
      </c>
      <c r="C209" s="113">
        <f>PR!D207</f>
        <v>10</v>
      </c>
      <c r="D209" s="113">
        <f>PR!C207</f>
        <v>50</v>
      </c>
      <c r="E209" s="108" t="str">
        <f>IF(F209="ALPHA",PR!$E207,IF(F209="ASSENE",PR!$F207,IF(F209="BIOFEM",PR!$G207,IF(F209="BIOMED",PR!$H207,IF(F209="CHI",PR!$I207,IF(F209="CLARION",PR!$J207,IF(F209="CODIX",PR!$K207,IF(F209="COSMADE",PR!$L207,IF(F209="SANCON",PR!$M207,IF(F209="DEVON",PR!$N207,IF(F209="DORTEMAG",PR!$O207,IF(F209="DGF",PR!$P207,IF(F209="DYNAMIC",PR!$Q207,IF(F209="EMZOR",PR!$R207,IF(F209="EUMATT",PR!$S207,IF(F209="FIDSON",PR!$T207,IF(F209="FCGLOBAL",PR!$U207,IF(F209="GENEITH",PR!$V207,IF(F209="GINOS",PR!$W207,IF(F209="GSK",PR!$X207,IF(F209="GLOBORG",PR!$Y207,IF(F209="GOODNEWS",PR!$Z207,IF(F209="GREENLIFE",PR!$AA207,IF(F209="HLINE",PR!$AB207,IF(F209="ROTECH",PR!$AC207,IF(F209="ISN",PR!$AD207,IF(F209="JAWA",PR!$AE207,IF(F209="LAYO",PR!$AF207,IF(F209="LEADWAY",PR!$AG207,IF(F209="LHV",PR!$AH207,IF(F209="MANOLA",PR!$AI207,IF(F209="MARCSON",PR!$AJ207,IF(F209="M&amp;B",PR!$AK207,IF(F209="MTRUST",PR!$AL207,IF(F209="MWORLD",PR!$AM207,IF(F209="MEGA",PR!$AN207,IF(F209="MICRONOVA",PR!$AO207,IF(F209="MFLASH",PR!$AP207,IF(F209="MORISON",PR!$AQ207,IF(F209="NEMEL",PR!$AR207,IF(F209="NHP",PR!$AS207,IF(F209="NHC",PR!$AT207,IF(F209="OLEAF",PR!$AU207,IF(F209="OCULUS",PR!$AV207,IF(F209="PACIFIC",PR!$AW207,IF(F209="PHAMATEX",PR!$AX207,IF(F209="PETHICS",PR!$AY207,IF(F209="PHILIPS",PR!$AZ207,IF(F209="RANBAXY",PR!$BA207,IF(F209="REALS",PR!$BB207,IF(F209="ROYAL",PR!$BC207,IF(F209="SAM",PR!$BD207,IF(F209="SEAGREEN",PR!$BE207,IF(F209="SKG",PR!$BF207,IF(F209="TAH",PR!$BG207,IF(F209="TAYLEK",PR!$BH207,IF(F209="TEMITA",PR!$BI207,IF(F209="THL",PR!$BJ207,IF(F209="UBASTIC",PR!$BK207,IF(F209="UNION",PR!$BL207,IF(F209="UNIQUE",PR!$BM207,IF(F209="VIXA",PR!$BN207,IF(F209="WWCV",PR!$BO207,IF(F209="ZOLON",PR!$BP207,"-"))))))))))))))))))))))))))))))))))))))))))))))))))))))))))))))))</f>
        <v>-</v>
      </c>
      <c r="F209" s="102">
        <f>EV!L274</f>
        <v>0</v>
      </c>
      <c r="G209" s="108" t="str">
        <f>IF(H209="ALPHA",PR!$E207,IF(H209="ASSENE",PR!$F207,IF(H209="BIOFEM",PR!$G207,IF(H209="BIOMED",PR!$H207,IF(H209="CHI",PR!$I207,IF(H209="CLARION",PR!$J207,IF(H209="CODIX",PR!$K207,IF(H209="COSMADE",PR!$L207,IF(H209="SANCON",PR!$M207,IF(H209="DEVON",PR!$N207,IF(H209="DORTEMAG",PR!$O207,IF(H209="DGF",PR!$P207,IF(H209="DYNAMIC",PR!$Q207,IF(H209="EMZOR",PR!$R207,IF(H209="EUMATT",PR!$S207,IF(H209="FIDSON",PR!$T207,IF(H209="FCGLOBAL",PR!$U207,IF(H209="GENEITH",PR!$V207,IF(H209="GINOS",PR!$W207,IF(H209="GSK",PR!$X207,IF(H209="GLOBORG",PR!$Y207,IF(H209="GOODNEWS",PR!$Z207,IF(H209="GREENLIFE",PR!$AA207,IF(H209="HLINE",PR!$AB207,IF(H209="ROTECH",PR!$AC207,IF(H209="ISN",PR!$AD207,IF(H209="JAWA",PR!$AE207,IF(H209="LAYO",PR!$AF207,IF(H209="LEADWAY",PR!$AG207,IF(H209="LHV",PR!$AH207,IF(H209="MANOLA",PR!$AI207,IF(H209="MARCSON",PR!$AJ207,IF(H209="M&amp;B",PR!$AK207,IF(H209="MTRUST",PR!$AL207,IF(H209="MWORLD",PR!$AM207,IF(H209="MEGA",PR!$AN207,IF(H209="MICRONOVA",PR!$AO207,IF(H209="MFLASH",PR!$AP207,IF(H209="MORISON",PR!$AQ207,IF(H209="NEMEL",PR!$AR207,IF(H209="NHP",PR!$AS207,IF(H209="NHC",PR!$AT207,IF(H209="OLEAF",PR!$AU207,IF(H209="OCULUS",PR!$AV207,IF(H209="PACIFIC",PR!$AW207,IF(H209="PHAMATEX",PR!$AX207,IF(H209="PETHICS",PR!$AY207,IF(H209="PHILIPS",PR!$AZ207,IF(H209="RANBAXY",PR!$BA207,IF(H209="REALS",PR!$BB207,IF(H209="ROYAL",PR!$BC207,IF(H209="SAM",PR!$BD207,IF(H209="SEAGREEN",PR!$BE207,IF(H209="SKG",PR!$BF207,IF(H209="TAH",PR!$BG207,IF(H209="TAYLEK",PR!$BH207,IF(H209="TEMITA",PR!$BI207,IF(H209="THL",PR!$BJ207,IF(H209="UBASTIC",PR!$BK207,IF(H209="UNION",PR!$BL207,IF(H209="UNIQUE",PR!$BM207,IF(H209="VIXA",PR!$BN207,IF(H209="WWCV",PR!$BO207,IF(H209="ZOLON",PR!$BP207,"-"))))))))))))))))))))))))))))))))))))))))))))))))))))))))))))))))</f>
        <v>-</v>
      </c>
      <c r="H209" s="102">
        <f>EV!M274</f>
        <v>0</v>
      </c>
      <c r="I209" s="108" t="str">
        <f>IF(J209="ALPHA",PR!$E207,IF(J209="ASSENE",PR!$F207,IF(J209="BIOFEM",PR!$G207,IF(J209="BIOMED",PR!$H207,IF(J209="CHI",PR!$I207,IF(J209="CLARION",PR!$J207,IF(J209="CODIX",PR!$K207,IF(J209="COSMADE",PR!$L207,IF(J209="SANCON",PR!$M207,IF(J209="DEVON",PR!$N207,IF(J209="DORTEMAG",PR!$O207,IF(J209="DGF",PR!$P207,IF(J209="DYNAMIC",PR!$Q207,IF(J209="EMZOR",PR!$R207,IF(J209="EUMATT",PR!$S207,IF(J209="FIDSON",PR!$T207,IF(J209="FCGLOBAL",PR!$U207,IF(J209="GENEITH",PR!$V207,IF(J209="GINOS",PR!$W207,IF(J209="GSK",PR!$X207,IF(J209="GLOBORG",PR!$Y207,IF(J209="GOODNEWS",PR!$Z207,IF(J209="GREENLIFE",PR!$AA207,IF(J209="HLINE",PR!$AB207,IF(J209="ROTECH",PR!$AC207,IF(J209="ISN",PR!$AD207,IF(J209="JAWA",PR!$AE207,IF(J209="LAYO",PR!$AF207,IF(J209="LEADWAY",PR!$AG207,IF(J209="LHV",PR!$AH207,IF(J209="MANOLA",PR!$AI207,IF(J209="MARCSON",PR!$AJ207,IF(J209="M&amp;B",PR!$AK207,IF(J209="MTRUST",PR!$AL207,IF(J209="MWORLD",PR!$AM207,IF(J209="MEGA",PR!$AN207,IF(J209="MICRONOVA",PR!$AO207,IF(J209="MFLASH",PR!$AP207,IF(J209="MORISON",PR!$AQ207,IF(J209="NEMEL",PR!$AR207,IF(J209="NHP",PR!$AS207,IF(J209="NHC",PR!$AT207,IF(J209="OLEAF",PR!$AU207,IF(J209="OCULUS",PR!$AV207,IF(J209="PACIFIC",PR!$AW207,IF(J209="PHAMATEX",PR!$AX207,IF(J209="PETHICS",PR!$AY207,IF(J209="PHILIPS",PR!$AZ207,IF(J209="RANBAXY",PR!$BA207,IF(J209="REALS",PR!$BB207,IF(J209="ROYAL",PR!$BC207,IF(J209="SAM",PR!$BD207,IF(J209="SEAGREEN",PR!$BE207,IF(J209="SKG",PR!$BF207,IF(J209="TAH",PR!$BG207,IF(J209="TAYLEK",PR!$BH207,IF(J209="TEMITA",PR!$BI207,IF(J209="THL",PR!$BJ207,IF(J209="UBASTIC",PR!$BK207,IF(J209="UNION",PR!$BL207,IF(J209="UNIQUE",PR!$BM207,IF(J209="VIXA",PR!$BN207,IF(J209="WWCV",PR!$BO207,IF(J209="ZOLON",PR!$BP207,"-"))))))))))))))))))))))))))))))))))))))))))))))))))))))))))))))))</f>
        <v>-</v>
      </c>
      <c r="J209" s="102">
        <f>EV!N274</f>
        <v>0</v>
      </c>
      <c r="K209" s="433"/>
      <c r="L209" s="183" t="b">
        <f>IF(K209&gt;0,IF(K209="ALPHA",PR!$E207,IF(K209="ASSENE",PR!$F207,IF(K209="BIOFEM",PR!$G207,IF(K209="BIOMED",PR!$H207,IF(K209="CHI",PR!$I207,IF(K209="CLARION",PR!$J207,IF(K209="CODIX",PR!$K207,IF(K209="COSMADE",PR!$L207,IF(K209="SANCON",PR!$M207,IF(K209="DEVON",PR!$N207,IF(K209="DORTEMAG",PR!$O207,IF(K209="DGF",PR!$P207,IF(K209="DYNAMIC",PR!$Q207,IF(K209="EMZOR",PR!$R207,IF(K209="EUMATT",PR!$S207,IF(K209="FIDSON",PR!$T207,IF(K209="FCGLOBAL",PR!$U207,IF(K209="GENEITH",PR!$V207,IF(K209="GINOS",PR!$W207,IF(K209="GSK",PR!$X207,IF(K209="GLOBORG",PR!$Y207,IF(K209="GOODNEWS",PR!$Z207,IF(K209="GREENLIFE",PR!$AA207,IF(K209="HLINE",PR!$AB207,IF(K209="ROTECH",PR!$AC207,IF(K209="ISN",PR!$AD207,IF(K209="JAWA",PR!$AE207,IF(K209="LAYO",PR!$AF207,IF(K209="LEADWAY",PR!$AG207,IF(K209="LHV",PR!$AH207,IF(K209="MANOLA",PR!$AI207,IF(K209="MARCSON",PR!$AJ207,IF(K209="M&amp;B",PR!$AK207,IF(K209="MTRUST",PR!$AL207,IF(K209="MWORLD",PR!$AM207,IF(K209="MEGA",PR!$AN207,IF(K209="MICRONOVA",PR!$AO207,IF(K209="MFLASH",PR!$AP207,IF(K209="MORISON",PR!$AQ207,IF(K209="NEMEL",PR!$AR207,IF(K209="NHP",PR!$AS207,IF(K209="NHC",PR!$AT207,IF(K209="OLEAF",PR!$AU207,IF(K209="OCULUS",PR!$AV207,IF(K209="PACIFIC",PR!$AW207,IF(K209="PHAMATEX",PR!$AX207,IF(K209="PETHICS",PR!$AY207,IF(K209="PHILIPS",PR!$AZ207,IF(K209="RANBAXY",PR!$BA207,IF(K209="REALS",PR!$BB207,IF(K209="ROYAL",PR!$BC207,IF(K209="SAM",PR!$BD207,IF(K209="SEAGREEN",PR!$BE207,IF(K209="SKG",PR!$BF207,IF(K209="TAH",PR!$BG207,IF(K209="TAYLEK",PR!$BH207,IF(K209="TEMITA",PR!$BI207,IF(K209="THL",PR!$BJ207,IF(K209="UBASTIC",PR!$BK207,IF(K209="UNION",PR!$BL207,IF(K209="UNIQUE",PR!$BM207,IF(K209="VIXA",PR!$BN207,IF(K209="WWCV",PR!$BO207,IF(K209="ZOLON",PR!$BP207,"-")))))))))))))))))))))))))))))))))))))))))))))))))))))))))))))))))</f>
        <v>0</v>
      </c>
    </row>
    <row r="210" spans="1:12" ht="18.75" x14ac:dyDescent="0.3">
      <c r="A210" s="430">
        <f>PR!A208</f>
        <v>187</v>
      </c>
      <c r="B210" s="15" t="str">
        <f>PR!B208</f>
        <v>PHENYLRAMIDOL 400MG TAB</v>
      </c>
      <c r="C210" s="113">
        <f>PR!D208</f>
        <v>30</v>
      </c>
      <c r="D210" s="113">
        <f>PR!C208</f>
        <v>30</v>
      </c>
      <c r="E210" s="108" t="str">
        <f>IF(F210="ALPHA",PR!$E208,IF(F210="ASSENE",PR!$F208,IF(F210="BIOFEM",PR!$G208,IF(F210="BIOMED",PR!$H208,IF(F210="CHI",PR!$I208,IF(F210="CLARION",PR!$J208,IF(F210="CODIX",PR!$K208,IF(F210="COSMADE",PR!$L208,IF(F210="SANCON",PR!$M208,IF(F210="DEVON",PR!$N208,IF(F210="DORTEMAG",PR!$O208,IF(F210="DGF",PR!$P208,IF(F210="DYNAMIC",PR!$Q208,IF(F210="EMZOR",PR!$R208,IF(F210="EUMATT",PR!$S208,IF(F210="FIDSON",PR!$T208,IF(F210="FCGLOBAL",PR!$U208,IF(F210="GENEITH",PR!$V208,IF(F210="GINOS",PR!$W208,IF(F210="GSK",PR!$X208,IF(F210="GLOBORG",PR!$Y208,IF(F210="GOODNEWS",PR!$Z208,IF(F210="GREENLIFE",PR!$AA208,IF(F210="HLINE",PR!$AB208,IF(F210="ROTECH",PR!$AC208,IF(F210="ISN",PR!$AD208,IF(F210="JAWA",PR!$AE208,IF(F210="LAYO",PR!$AF208,IF(F210="LEADWAY",PR!$AG208,IF(F210="LHV",PR!$AH208,IF(F210="MANOLA",PR!$AI208,IF(F210="MARCSON",PR!$AJ208,IF(F210="M&amp;B",PR!$AK208,IF(F210="MTRUST",PR!$AL208,IF(F210="MWORLD",PR!$AM208,IF(F210="MEGA",PR!$AN208,IF(F210="MICRONOVA",PR!$AO208,IF(F210="MFLASH",PR!$AP208,IF(F210="MORISON",PR!$AQ208,IF(F210="NEMEL",PR!$AR208,IF(F210="NHP",PR!$AS208,IF(F210="NHC",PR!$AT208,IF(F210="OLEAF",PR!$AU208,IF(F210="OCULUS",PR!$AV208,IF(F210="PACIFIC",PR!$AW208,IF(F210="PHAMATEX",PR!$AX208,IF(F210="PETHICS",PR!$AY208,IF(F210="PHILIPS",PR!$AZ208,IF(F210="RANBAXY",PR!$BA208,IF(F210="REALS",PR!$BB208,IF(F210="ROYAL",PR!$BC208,IF(F210="SAM",PR!$BD208,IF(F210="SEAGREEN",PR!$BE208,IF(F210="SKG",PR!$BF208,IF(F210="TAH",PR!$BG208,IF(F210="TAYLEK",PR!$BH208,IF(F210="TEMITA",PR!$BI208,IF(F210="THL",PR!$BJ208,IF(F210="UBASTIC",PR!$BK208,IF(F210="UNION",PR!$BL208,IF(F210="UNIQUE",PR!$BM208,IF(F210="VIXA",PR!$BN208,IF(F210="WWCV",PR!$BO208,IF(F210="ZOLON",PR!$BP208,"-"))))))))))))))))))))))))))))))))))))))))))))))))))))))))))))))))</f>
        <v>-</v>
      </c>
      <c r="F210" s="102">
        <f>EV!L275</f>
        <v>0</v>
      </c>
      <c r="G210" s="108" t="str">
        <f>IF(H210="ALPHA",PR!$E208,IF(H210="ASSENE",PR!$F208,IF(H210="BIOFEM",PR!$G208,IF(H210="BIOMED",PR!$H208,IF(H210="CHI",PR!$I208,IF(H210="CLARION",PR!$J208,IF(H210="CODIX",PR!$K208,IF(H210="COSMADE",PR!$L208,IF(H210="SANCON",PR!$M208,IF(H210="DEVON",PR!$N208,IF(H210="DORTEMAG",PR!$O208,IF(H210="DGF",PR!$P208,IF(H210="DYNAMIC",PR!$Q208,IF(H210="EMZOR",PR!$R208,IF(H210="EUMATT",PR!$S208,IF(H210="FIDSON",PR!$T208,IF(H210="FCGLOBAL",PR!$U208,IF(H210="GENEITH",PR!$V208,IF(H210="GINOS",PR!$W208,IF(H210="GSK",PR!$X208,IF(H210="GLOBORG",PR!$Y208,IF(H210="GOODNEWS",PR!$Z208,IF(H210="GREENLIFE",PR!$AA208,IF(H210="HLINE",PR!$AB208,IF(H210="ROTECH",PR!$AC208,IF(H210="ISN",PR!$AD208,IF(H210="JAWA",PR!$AE208,IF(H210="LAYO",PR!$AF208,IF(H210="LEADWAY",PR!$AG208,IF(H210="LHV",PR!$AH208,IF(H210="MANOLA",PR!$AI208,IF(H210="MARCSON",PR!$AJ208,IF(H210="M&amp;B",PR!$AK208,IF(H210="MTRUST",PR!$AL208,IF(H210="MWORLD",PR!$AM208,IF(H210="MEGA",PR!$AN208,IF(H210="MICRONOVA",PR!$AO208,IF(H210="MFLASH",PR!$AP208,IF(H210="MORISON",PR!$AQ208,IF(H210="NEMEL",PR!$AR208,IF(H210="NHP",PR!$AS208,IF(H210="NHC",PR!$AT208,IF(H210="OLEAF",PR!$AU208,IF(H210="OCULUS",PR!$AV208,IF(H210="PACIFIC",PR!$AW208,IF(H210="PHAMATEX",PR!$AX208,IF(H210="PETHICS",PR!$AY208,IF(H210="PHILIPS",PR!$AZ208,IF(H210="RANBAXY",PR!$BA208,IF(H210="REALS",PR!$BB208,IF(H210="ROYAL",PR!$BC208,IF(H210="SAM",PR!$BD208,IF(H210="SEAGREEN",PR!$BE208,IF(H210="SKG",PR!$BF208,IF(H210="TAH",PR!$BG208,IF(H210="TAYLEK",PR!$BH208,IF(H210="TEMITA",PR!$BI208,IF(H210="THL",PR!$BJ208,IF(H210="UBASTIC",PR!$BK208,IF(H210="UNION",PR!$BL208,IF(H210="UNIQUE",PR!$BM208,IF(H210="VIXA",PR!$BN208,IF(H210="WWCV",PR!$BO208,IF(H210="ZOLON",PR!$BP208,"-"))))))))))))))))))))))))))))))))))))))))))))))))))))))))))))))))</f>
        <v>-</v>
      </c>
      <c r="H210" s="102">
        <f>EV!M275</f>
        <v>0</v>
      </c>
      <c r="I210" s="108" t="str">
        <f>IF(J210="ALPHA",PR!$E208,IF(J210="ASSENE",PR!$F208,IF(J210="BIOFEM",PR!$G208,IF(J210="BIOMED",PR!$H208,IF(J210="CHI",PR!$I208,IF(J210="CLARION",PR!$J208,IF(J210="CODIX",PR!$K208,IF(J210="COSMADE",PR!$L208,IF(J210="SANCON",PR!$M208,IF(J210="DEVON",PR!$N208,IF(J210="DORTEMAG",PR!$O208,IF(J210="DGF",PR!$P208,IF(J210="DYNAMIC",PR!$Q208,IF(J210="EMZOR",PR!$R208,IF(J210="EUMATT",PR!$S208,IF(J210="FIDSON",PR!$T208,IF(J210="FCGLOBAL",PR!$U208,IF(J210="GENEITH",PR!$V208,IF(J210="GINOS",PR!$W208,IF(J210="GSK",PR!$X208,IF(J210="GLOBORG",PR!$Y208,IF(J210="GOODNEWS",PR!$Z208,IF(J210="GREENLIFE",PR!$AA208,IF(J210="HLINE",PR!$AB208,IF(J210="ROTECH",PR!$AC208,IF(J210="ISN",PR!$AD208,IF(J210="JAWA",PR!$AE208,IF(J210="LAYO",PR!$AF208,IF(J210="LEADWAY",PR!$AG208,IF(J210="LHV",PR!$AH208,IF(J210="MANOLA",PR!$AI208,IF(J210="MARCSON",PR!$AJ208,IF(J210="M&amp;B",PR!$AK208,IF(J210="MTRUST",PR!$AL208,IF(J210="MWORLD",PR!$AM208,IF(J210="MEGA",PR!$AN208,IF(J210="MICRONOVA",PR!$AO208,IF(J210="MFLASH",PR!$AP208,IF(J210="MORISON",PR!$AQ208,IF(J210="NEMEL",PR!$AR208,IF(J210="NHP",PR!$AS208,IF(J210="NHC",PR!$AT208,IF(J210="OLEAF",PR!$AU208,IF(J210="OCULUS",PR!$AV208,IF(J210="PACIFIC",PR!$AW208,IF(J210="PHAMATEX",PR!$AX208,IF(J210="PETHICS",PR!$AY208,IF(J210="PHILIPS",PR!$AZ208,IF(J210="RANBAXY",PR!$BA208,IF(J210="REALS",PR!$BB208,IF(J210="ROYAL",PR!$BC208,IF(J210="SAM",PR!$BD208,IF(J210="SEAGREEN",PR!$BE208,IF(J210="SKG",PR!$BF208,IF(J210="TAH",PR!$BG208,IF(J210="TAYLEK",PR!$BH208,IF(J210="TEMITA",PR!$BI208,IF(J210="THL",PR!$BJ208,IF(J210="UBASTIC",PR!$BK208,IF(J210="UNION",PR!$BL208,IF(J210="UNIQUE",PR!$BM208,IF(J210="VIXA",PR!$BN208,IF(J210="WWCV",PR!$BO208,IF(J210="ZOLON",PR!$BP208,"-"))))))))))))))))))))))))))))))))))))))))))))))))))))))))))))))))</f>
        <v>-</v>
      </c>
      <c r="J210" s="102">
        <f>EV!N275</f>
        <v>0</v>
      </c>
      <c r="K210" s="433"/>
      <c r="L210" s="183" t="b">
        <f>IF(K210&gt;0,IF(K210="ALPHA",PR!$E208,IF(K210="ASSENE",PR!$F208,IF(K210="BIOFEM",PR!$G208,IF(K210="BIOMED",PR!$H208,IF(K210="CHI",PR!$I208,IF(K210="CLARION",PR!$J208,IF(K210="CODIX",PR!$K208,IF(K210="COSMADE",PR!$L208,IF(K210="SANCON",PR!$M208,IF(K210="DEVON",PR!$N208,IF(K210="DORTEMAG",PR!$O208,IF(K210="DGF",PR!$P208,IF(K210="DYNAMIC",PR!$Q208,IF(K210="EMZOR",PR!$R208,IF(K210="EUMATT",PR!$S208,IF(K210="FIDSON",PR!$T208,IF(K210="FCGLOBAL",PR!$U208,IF(K210="GENEITH",PR!$V208,IF(K210="GINOS",PR!$W208,IF(K210="GSK",PR!$X208,IF(K210="GLOBORG",PR!$Y208,IF(K210="GOODNEWS",PR!$Z208,IF(K210="GREENLIFE",PR!$AA208,IF(K210="HLINE",PR!$AB208,IF(K210="ROTECH",PR!$AC208,IF(K210="ISN",PR!$AD208,IF(K210="JAWA",PR!$AE208,IF(K210="LAYO",PR!$AF208,IF(K210="LEADWAY",PR!$AG208,IF(K210="LHV",PR!$AH208,IF(K210="MANOLA",PR!$AI208,IF(K210="MARCSON",PR!$AJ208,IF(K210="M&amp;B",PR!$AK208,IF(K210="MTRUST",PR!$AL208,IF(K210="MWORLD",PR!$AM208,IF(K210="MEGA",PR!$AN208,IF(K210="MICRONOVA",PR!$AO208,IF(K210="MFLASH",PR!$AP208,IF(K210="MORISON",PR!$AQ208,IF(K210="NEMEL",PR!$AR208,IF(K210="NHP",PR!$AS208,IF(K210="NHC",PR!$AT208,IF(K210="OLEAF",PR!$AU208,IF(K210="OCULUS",PR!$AV208,IF(K210="PACIFIC",PR!$AW208,IF(K210="PHAMATEX",PR!$AX208,IF(K210="PETHICS",PR!$AY208,IF(K210="PHILIPS",PR!$AZ208,IF(K210="RANBAXY",PR!$BA208,IF(K210="REALS",PR!$BB208,IF(K210="ROYAL",PR!$BC208,IF(K210="SAM",PR!$BD208,IF(K210="SEAGREEN",PR!$BE208,IF(K210="SKG",PR!$BF208,IF(K210="TAH",PR!$BG208,IF(K210="TAYLEK",PR!$BH208,IF(K210="TEMITA",PR!$BI208,IF(K210="THL",PR!$BJ208,IF(K210="UBASTIC",PR!$BK208,IF(K210="UNION",PR!$BL208,IF(K210="UNIQUE",PR!$BM208,IF(K210="VIXA",PR!$BN208,IF(K210="WWCV",PR!$BO208,IF(K210="ZOLON",PR!$BP208,"-")))))))))))))))))))))))))))))))))))))))))))))))))))))))))))))))))</f>
        <v>0</v>
      </c>
    </row>
    <row r="211" spans="1:12" ht="18.75" x14ac:dyDescent="0.3">
      <c r="A211" s="430">
        <f>PR!A209</f>
        <v>188</v>
      </c>
      <c r="B211" s="15" t="str">
        <f>PR!B209</f>
        <v>PREGABALIN 75MG CAP</v>
      </c>
      <c r="C211" s="113">
        <f>PR!D209</f>
        <v>30</v>
      </c>
      <c r="D211" s="113">
        <f>PR!C209</f>
        <v>2400</v>
      </c>
      <c r="E211" s="108">
        <f>IF(F211="ALPHA",PR!$E209,IF(F211="ASSENE",PR!$F209,IF(F211="BIOFEM",PR!$G209,IF(F211="BIOMED",PR!$H209,IF(F211="CHI",PR!$I209,IF(F211="CLARION",PR!$J209,IF(F211="CODIX",PR!$K209,IF(F211="COSMADE",PR!$L209,IF(F211="SANCON",PR!$M209,IF(F211="DEVON",PR!$N209,IF(F211="DORTEMAG",PR!$O209,IF(F211="DGF",PR!$P209,IF(F211="DYNAMIC",PR!$Q209,IF(F211="EMZOR",PR!$R209,IF(F211="EUMATT",PR!$S209,IF(F211="FIDSON",PR!$T209,IF(F211="FCGLOBAL",PR!$U209,IF(F211="GENEITH",PR!$V209,IF(F211="GINOS",PR!$W209,IF(F211="GSK",PR!$X209,IF(F211="GLOBORG",PR!$Y209,IF(F211="GOODNEWS",PR!$Z209,IF(F211="GREENLIFE",PR!$AA209,IF(F211="HLINE",PR!$AB209,IF(F211="ROTECH",PR!$AC209,IF(F211="ISN",PR!$AD209,IF(F211="JAWA",PR!$AE209,IF(F211="LAYO",PR!$AF209,IF(F211="LEADWAY",PR!$AG209,IF(F211="LHV",PR!$AH209,IF(F211="MANOLA",PR!$AI209,IF(F211="MARCSON",PR!$AJ209,IF(F211="M&amp;B",PR!$AK209,IF(F211="MTRUST",PR!$AL209,IF(F211="MWORLD",PR!$AM209,IF(F211="MEGA",PR!$AN209,IF(F211="MICRONOVA",PR!$AO209,IF(F211="MFLASH",PR!$AP209,IF(F211="MORISON",PR!$AQ209,IF(F211="NEMEL",PR!$AR209,IF(F211="NHP",PR!$AS209,IF(F211="NHC",PR!$AT209,IF(F211="OLEAF",PR!$AU209,IF(F211="OCULUS",PR!$AV209,IF(F211="PACIFIC",PR!$AW209,IF(F211="PHAMATEX",PR!$AX209,IF(F211="PETHICS",PR!$AY209,IF(F211="PHILIPS",PR!$AZ209,IF(F211="RANBAXY",PR!$BA209,IF(F211="REALS",PR!$BB209,IF(F211="ROYAL",PR!$BC209,IF(F211="SAM",PR!$BD209,IF(F211="SEAGREEN",PR!$BE209,IF(F211="SKG",PR!$BF209,IF(F211="TAH",PR!$BG209,IF(F211="TAYLEK",PR!$BH209,IF(F211="TEMITA",PR!$BI209,IF(F211="THL",PR!$BJ209,IF(F211="UBASTIC",PR!$BK209,IF(F211="UNION",PR!$BL209,IF(F211="UNIQUE",PR!$BM209,IF(F211="VIXA",PR!$BN209,IF(F211="WWCV",PR!$BO209,IF(F211="ZOLON",PR!$BP209,"-"))))))))))))))))))))))))))))))))))))))))))))))))))))))))))))))))</f>
        <v>1478.5714285714284</v>
      </c>
      <c r="F211" s="102" t="str">
        <f>EV!L276</f>
        <v>RANBAXY</v>
      </c>
      <c r="G211" s="108">
        <f>IF(H211="ALPHA",PR!$E209,IF(H211="ASSENE",PR!$F209,IF(H211="BIOFEM",PR!$G209,IF(H211="BIOMED",PR!$H209,IF(H211="CHI",PR!$I209,IF(H211="CLARION",PR!$J209,IF(H211="CODIX",PR!$K209,IF(H211="COSMADE",PR!$L209,IF(H211="SANCON",PR!$M209,IF(H211="DEVON",PR!$N209,IF(H211="DORTEMAG",PR!$O209,IF(H211="DGF",PR!$P209,IF(H211="DYNAMIC",PR!$Q209,IF(H211="EMZOR",PR!$R209,IF(H211="EUMATT",PR!$S209,IF(H211="FIDSON",PR!$T209,IF(H211="FCGLOBAL",PR!$U209,IF(H211="GENEITH",PR!$V209,IF(H211="GINOS",PR!$W209,IF(H211="GSK",PR!$X209,IF(H211="GLOBORG",PR!$Y209,IF(H211="GOODNEWS",PR!$Z209,IF(H211="GREENLIFE",PR!$AA209,IF(H211="HLINE",PR!$AB209,IF(H211="ROTECH",PR!$AC209,IF(H211="ISN",PR!$AD209,IF(H211="JAWA",PR!$AE209,IF(H211="LAYO",PR!$AF209,IF(H211="LEADWAY",PR!$AG209,IF(H211="LHV",PR!$AH209,IF(H211="MANOLA",PR!$AI209,IF(H211="MARCSON",PR!$AJ209,IF(H211="M&amp;B",PR!$AK209,IF(H211="MTRUST",PR!$AL209,IF(H211="MWORLD",PR!$AM209,IF(H211="MEGA",PR!$AN209,IF(H211="MICRONOVA",PR!$AO209,IF(H211="MFLASH",PR!$AP209,IF(H211="MORISON",PR!$AQ209,IF(H211="NEMEL",PR!$AR209,IF(H211="NHP",PR!$AS209,IF(H211="NHC",PR!$AT209,IF(H211="OLEAF",PR!$AU209,IF(H211="OCULUS",PR!$AV209,IF(H211="PACIFIC",PR!$AW209,IF(H211="PHAMATEX",PR!$AX209,IF(H211="PETHICS",PR!$AY209,IF(H211="PHILIPS",PR!$AZ209,IF(H211="RANBAXY",PR!$BA209,IF(H211="REALS",PR!$BB209,IF(H211="ROYAL",PR!$BC209,IF(H211="SAM",PR!$BD209,IF(H211="SEAGREEN",PR!$BE209,IF(H211="SKG",PR!$BF209,IF(H211="TAH",PR!$BG209,IF(H211="TAYLEK",PR!$BH209,IF(H211="TEMITA",PR!$BI209,IF(H211="THL",PR!$BJ209,IF(H211="UBASTIC",PR!$BK209,IF(H211="UNION",PR!$BL209,IF(H211="UNIQUE",PR!$BM209,IF(H211="VIXA",PR!$BN209,IF(H211="WWCV",PR!$BO209,IF(H211="ZOLON",PR!$BP209,"-"))))))))))))))))))))))))))))))))))))))))))))))))))))))))))))))))</f>
        <v>1950</v>
      </c>
      <c r="H211" s="102" t="str">
        <f>EV!M276</f>
        <v>PHILIPS</v>
      </c>
      <c r="I211" s="108">
        <f>IF(J211="ALPHA",PR!$E209,IF(J211="ASSENE",PR!$F209,IF(J211="BIOFEM",PR!$G209,IF(J211="BIOMED",PR!$H209,IF(J211="CHI",PR!$I209,IF(J211="CLARION",PR!$J209,IF(J211="CODIX",PR!$K209,IF(J211="COSMADE",PR!$L209,IF(J211="SANCON",PR!$M209,IF(J211="DEVON",PR!$N209,IF(J211="DORTEMAG",PR!$O209,IF(J211="DGF",PR!$P209,IF(J211="DYNAMIC",PR!$Q209,IF(J211="EMZOR",PR!$R209,IF(J211="EUMATT",PR!$S209,IF(J211="FIDSON",PR!$T209,IF(J211="FCGLOBAL",PR!$U209,IF(J211="GENEITH",PR!$V209,IF(J211="GINOS",PR!$W209,IF(J211="GSK",PR!$X209,IF(J211="GLOBORG",PR!$Y209,IF(J211="GOODNEWS",PR!$Z209,IF(J211="GREENLIFE",PR!$AA209,IF(J211="HLINE",PR!$AB209,IF(J211="ROTECH",PR!$AC209,IF(J211="ISN",PR!$AD209,IF(J211="JAWA",PR!$AE209,IF(J211="LAYO",PR!$AF209,IF(J211="LEADWAY",PR!$AG209,IF(J211="LHV",PR!$AH209,IF(J211="MANOLA",PR!$AI209,IF(J211="MARCSON",PR!$AJ209,IF(J211="M&amp;B",PR!$AK209,IF(J211="MTRUST",PR!$AL209,IF(J211="MWORLD",PR!$AM209,IF(J211="MEGA",PR!$AN209,IF(J211="MICRONOVA",PR!$AO209,IF(J211="MFLASH",PR!$AP209,IF(J211="MORISON",PR!$AQ209,IF(J211="NEMEL",PR!$AR209,IF(J211="NHP",PR!$AS209,IF(J211="NHC",PR!$AT209,IF(J211="OLEAF",PR!$AU209,IF(J211="OCULUS",PR!$AV209,IF(J211="PACIFIC",PR!$AW209,IF(J211="PHAMATEX",PR!$AX209,IF(J211="PETHICS",PR!$AY209,IF(J211="PHILIPS",PR!$AZ209,IF(J211="RANBAXY",PR!$BA209,IF(J211="REALS",PR!$BB209,IF(J211="ROYAL",PR!$BC209,IF(J211="SAM",PR!$BD209,IF(J211="SEAGREEN",PR!$BE209,IF(J211="SKG",PR!$BF209,IF(J211="TAH",PR!$BG209,IF(J211="TAYLEK",PR!$BH209,IF(J211="TEMITA",PR!$BI209,IF(J211="THL",PR!$BJ209,IF(J211="UBASTIC",PR!$BK209,IF(J211="UNION",PR!$BL209,IF(J211="UNIQUE",PR!$BM209,IF(J211="VIXA",PR!$BN209,IF(J211="WWCV",PR!$BO209,IF(J211="ZOLON",PR!$BP209,"-"))))))))))))))))))))))))))))))))))))))))))))))))))))))))))))))))</f>
        <v>2000</v>
      </c>
      <c r="J211" s="102" t="str">
        <f>EV!N276</f>
        <v>MEGA</v>
      </c>
      <c r="K211" s="433" t="s">
        <v>2111</v>
      </c>
      <c r="L211" s="183" t="str">
        <f>IF(K211&gt;0,IF(K211="ALPHA",PR!$E209,IF(K211="ASSENE",PR!$F209,IF(K211="BIOFEM",PR!$G209,IF(K211="BIOMED",PR!$H209,IF(K211="CHI",PR!$I209,IF(K211="CLARION",PR!$J209,IF(K211="CODIX",PR!$K209,IF(K211="COSMADE",PR!$L209,IF(K211="SANCON",PR!$M209,IF(K211="DEVON",PR!$N209,IF(K211="DORTEMAG",PR!$O209,IF(K211="DGF",PR!$P209,IF(K211="DYNAMIC",PR!$Q209,IF(K211="EMZOR",PR!$R209,IF(K211="EUMATT",PR!$S209,IF(K211="FIDSON",PR!$T209,IF(K211="FCGLOBAL",PR!$U209,IF(K211="GENEITH",PR!$V209,IF(K211="GINOS",PR!$W209,IF(K211="GSK",PR!$X209,IF(K211="GLOBORG",PR!$Y209,IF(K211="GOODNEWS",PR!$Z209,IF(K211="GREENLIFE",PR!$AA209,IF(K211="HLINE",PR!$AB209,IF(K211="ROTECH",PR!$AC209,IF(K211="ISN",PR!$AD209,IF(K211="JAWA",PR!$AE209,IF(K211="LAYO",PR!$AF209,IF(K211="LEADWAY",PR!$AG209,IF(K211="LHV",PR!$AH209,IF(K211="MANOLA",PR!$AI209,IF(K211="MARCSON",PR!$AJ209,IF(K211="M&amp;B",PR!$AK209,IF(K211="MTRUST",PR!$AL209,IF(K211="MWORLD",PR!$AM209,IF(K211="MEGA",PR!$AN209,IF(K211="MICRONOVA",PR!$AO209,IF(K211="MFLASH",PR!$AP209,IF(K211="MORISON",PR!$AQ209,IF(K211="NEMEL",PR!$AR209,IF(K211="NHP",PR!$AS209,IF(K211="NHC",PR!$AT209,IF(K211="OLEAF",PR!$AU209,IF(K211="OCULUS",PR!$AV209,IF(K211="PACIFIC",PR!$AW209,IF(K211="PHAMATEX",PR!$AX209,IF(K211="PETHICS",PR!$AY209,IF(K211="PHILIPS",PR!$AZ209,IF(K211="RANBAXY",PR!$BA209,IF(K211="REALS",PR!$BB209,IF(K211="ROYAL",PR!$BC209,IF(K211="SAM",PR!$BD209,IF(K211="SEAGREEN",PR!$BE209,IF(K211="SKG",PR!$BF209,IF(K211="TAH",PR!$BG209,IF(K211="TAYLEK",PR!$BH209,IF(K211="TEMITA",PR!$BI209,IF(K211="THL",PR!$BJ209,IF(K211="UBASTIC",PR!$BK209,IF(K211="UNION",PR!$BL209,IF(K211="UNIQUE",PR!$BM209,IF(K211="VIXA",PR!$BN209,IF(K211="WWCV",PR!$BO209,IF(K211="ZOLON",PR!$BP209,"-")))))))))))))))))))))))))))))))))))))))))))))))))))))))))))))))))</f>
        <v>-</v>
      </c>
    </row>
    <row r="212" spans="1:12" ht="18.75" x14ac:dyDescent="0.3">
      <c r="A212" s="430">
        <f>PR!A210</f>
        <v>189</v>
      </c>
      <c r="B212" s="15" t="str">
        <f>PR!B210</f>
        <v>SULPHASALAZINE 500MG TAB</v>
      </c>
      <c r="C212" s="113">
        <f>PR!D210</f>
        <v>100</v>
      </c>
      <c r="D212" s="113">
        <f>PR!C210</f>
        <v>50</v>
      </c>
      <c r="E212" s="108">
        <f>IF(F212="ALPHA",PR!$E210,IF(F212="ASSENE",PR!$F210,IF(F212="BIOFEM",PR!$G210,IF(F212="BIOMED",PR!$H210,IF(F212="CHI",PR!$I210,IF(F212="CLARION",PR!$J210,IF(F212="CODIX",PR!$K210,IF(F212="COSMADE",PR!$L210,IF(F212="SANCON",PR!$M210,IF(F212="DEVON",PR!$N210,IF(F212="DORTEMAG",PR!$O210,IF(F212="DGF",PR!$P210,IF(F212="DYNAMIC",PR!$Q210,IF(F212="EMZOR",PR!$R210,IF(F212="EUMATT",PR!$S210,IF(F212="FIDSON",PR!$T210,IF(F212="FCGLOBAL",PR!$U210,IF(F212="GENEITH",PR!$V210,IF(F212="GINOS",PR!$W210,IF(F212="GSK",PR!$X210,IF(F212="GLOBORG",PR!$Y210,IF(F212="GOODNEWS",PR!$Z210,IF(F212="GREENLIFE",PR!$AA210,IF(F212="HLINE",PR!$AB210,IF(F212="ROTECH",PR!$AC210,IF(F212="ISN",PR!$AD210,IF(F212="JAWA",PR!$AE210,IF(F212="LAYO",PR!$AF210,IF(F212="LEADWAY",PR!$AG210,IF(F212="LHV",PR!$AH210,IF(F212="MANOLA",PR!$AI210,IF(F212="MARCSON",PR!$AJ210,IF(F212="M&amp;B",PR!$AK210,IF(F212="MTRUST",PR!$AL210,IF(F212="MWORLD",PR!$AM210,IF(F212="MEGA",PR!$AN210,IF(F212="MICRONOVA",PR!$AO210,IF(F212="MFLASH",PR!$AP210,IF(F212="MORISON",PR!$AQ210,IF(F212="NEMEL",PR!$AR210,IF(F212="NHP",PR!$AS210,IF(F212="NHC",PR!$AT210,IF(F212="OLEAF",PR!$AU210,IF(F212="OCULUS",PR!$AV210,IF(F212="PACIFIC",PR!$AW210,IF(F212="PHAMATEX",PR!$AX210,IF(F212="PETHICS",PR!$AY210,IF(F212="PHILIPS",PR!$AZ210,IF(F212="RANBAXY",PR!$BA210,IF(F212="REALS",PR!$BB210,IF(F212="ROYAL",PR!$BC210,IF(F212="SAM",PR!$BD210,IF(F212="SEAGREEN",PR!$BE210,IF(F212="SKG",PR!$BF210,IF(F212="TAH",PR!$BG210,IF(F212="TAYLEK",PR!$BH210,IF(F212="TEMITA",PR!$BI210,IF(F212="THL",PR!$BJ210,IF(F212="UBASTIC",PR!$BK210,IF(F212="UNION",PR!$BL210,IF(F212="UNIQUE",PR!$BM210,IF(F212="VIXA",PR!$BN210,IF(F212="WWCV",PR!$BO210,IF(F212="ZOLON",PR!$BP210,"-"))))))))))))))))))))))))))))))))))))))))))))))))))))))))))))))))</f>
        <v>8500</v>
      </c>
      <c r="F212" s="102" t="str">
        <f>EV!L277</f>
        <v>ALPHA</v>
      </c>
      <c r="G212" s="108" t="str">
        <f>IF(H212="ALPHA",PR!$E210,IF(H212="ASSENE",PR!$F210,IF(H212="BIOFEM",PR!$G210,IF(H212="BIOMED",PR!$H210,IF(H212="CHI",PR!$I210,IF(H212="CLARION",PR!$J210,IF(H212="CODIX",PR!$K210,IF(H212="COSMADE",PR!$L210,IF(H212="SANCON",PR!$M210,IF(H212="DEVON",PR!$N210,IF(H212="DORTEMAG",PR!$O210,IF(H212="DGF",PR!$P210,IF(H212="DYNAMIC",PR!$Q210,IF(H212="EMZOR",PR!$R210,IF(H212="EUMATT",PR!$S210,IF(H212="FIDSON",PR!$T210,IF(H212="FCGLOBAL",PR!$U210,IF(H212="GENEITH",PR!$V210,IF(H212="GINOS",PR!$W210,IF(H212="GSK",PR!$X210,IF(H212="GLOBORG",PR!$Y210,IF(H212="GOODNEWS",PR!$Z210,IF(H212="GREENLIFE",PR!$AA210,IF(H212="HLINE",PR!$AB210,IF(H212="ROTECH",PR!$AC210,IF(H212="ISN",PR!$AD210,IF(H212="JAWA",PR!$AE210,IF(H212="LAYO",PR!$AF210,IF(H212="LEADWAY",PR!$AG210,IF(H212="LHV",PR!$AH210,IF(H212="MANOLA",PR!$AI210,IF(H212="MARCSON",PR!$AJ210,IF(H212="M&amp;B",PR!$AK210,IF(H212="MTRUST",PR!$AL210,IF(H212="MWORLD",PR!$AM210,IF(H212="MEGA",PR!$AN210,IF(H212="MICRONOVA",PR!$AO210,IF(H212="MFLASH",PR!$AP210,IF(H212="MORISON",PR!$AQ210,IF(H212="NEMEL",PR!$AR210,IF(H212="NHP",PR!$AS210,IF(H212="NHC",PR!$AT210,IF(H212="OLEAF",PR!$AU210,IF(H212="OCULUS",PR!$AV210,IF(H212="PACIFIC",PR!$AW210,IF(H212="PHAMATEX",PR!$AX210,IF(H212="PETHICS",PR!$AY210,IF(H212="PHILIPS",PR!$AZ210,IF(H212="RANBAXY",PR!$BA210,IF(H212="REALS",PR!$BB210,IF(H212="ROYAL",PR!$BC210,IF(H212="SAM",PR!$BD210,IF(H212="SEAGREEN",PR!$BE210,IF(H212="SKG",PR!$BF210,IF(H212="TAH",PR!$BG210,IF(H212="TAYLEK",PR!$BH210,IF(H212="TEMITA",PR!$BI210,IF(H212="THL",PR!$BJ210,IF(H212="UBASTIC",PR!$BK210,IF(H212="UNION",PR!$BL210,IF(H212="UNIQUE",PR!$BM210,IF(H212="VIXA",PR!$BN210,IF(H212="WWCV",PR!$BO210,IF(H212="ZOLON",PR!$BP210,"-"))))))))))))))))))))))))))))))))))))))))))))))))))))))))))))))))</f>
        <v>-</v>
      </c>
      <c r="H212" s="102">
        <f>EV!M277</f>
        <v>0</v>
      </c>
      <c r="I212" s="108" t="str">
        <f>IF(J212="ALPHA",PR!$E210,IF(J212="ASSENE",PR!$F210,IF(J212="BIOFEM",PR!$G210,IF(J212="BIOMED",PR!$H210,IF(J212="CHI",PR!$I210,IF(J212="CLARION",PR!$J210,IF(J212="CODIX",PR!$K210,IF(J212="COSMADE",PR!$L210,IF(J212="SANCON",PR!$M210,IF(J212="DEVON",PR!$N210,IF(J212="DORTEMAG",PR!$O210,IF(J212="DGF",PR!$P210,IF(J212="DYNAMIC",PR!$Q210,IF(J212="EMZOR",PR!$R210,IF(J212="EUMATT",PR!$S210,IF(J212="FIDSON",PR!$T210,IF(J212="FCGLOBAL",PR!$U210,IF(J212="GENEITH",PR!$V210,IF(J212="GINOS",PR!$W210,IF(J212="GSK",PR!$X210,IF(J212="GLOBORG",PR!$Y210,IF(J212="GOODNEWS",PR!$Z210,IF(J212="GREENLIFE",PR!$AA210,IF(J212="HLINE",PR!$AB210,IF(J212="ROTECH",PR!$AC210,IF(J212="ISN",PR!$AD210,IF(J212="JAWA",PR!$AE210,IF(J212="LAYO",PR!$AF210,IF(J212="LEADWAY",PR!$AG210,IF(J212="LHV",PR!$AH210,IF(J212="MANOLA",PR!$AI210,IF(J212="MARCSON",PR!$AJ210,IF(J212="M&amp;B",PR!$AK210,IF(J212="MTRUST",PR!$AL210,IF(J212="MWORLD",PR!$AM210,IF(J212="MEGA",PR!$AN210,IF(J212="MICRONOVA",PR!$AO210,IF(J212="MFLASH",PR!$AP210,IF(J212="MORISON",PR!$AQ210,IF(J212="NEMEL",PR!$AR210,IF(J212="NHP",PR!$AS210,IF(J212="NHC",PR!$AT210,IF(J212="OLEAF",PR!$AU210,IF(J212="OCULUS",PR!$AV210,IF(J212="PACIFIC",PR!$AW210,IF(J212="PHAMATEX",PR!$AX210,IF(J212="PETHICS",PR!$AY210,IF(J212="PHILIPS",PR!$AZ210,IF(J212="RANBAXY",PR!$BA210,IF(J212="REALS",PR!$BB210,IF(J212="ROYAL",PR!$BC210,IF(J212="SAM",PR!$BD210,IF(J212="SEAGREEN",PR!$BE210,IF(J212="SKG",PR!$BF210,IF(J212="TAH",PR!$BG210,IF(J212="TAYLEK",PR!$BH210,IF(J212="TEMITA",PR!$BI210,IF(J212="THL",PR!$BJ210,IF(J212="UBASTIC",PR!$BK210,IF(J212="UNION",PR!$BL210,IF(J212="UNIQUE",PR!$BM210,IF(J212="VIXA",PR!$BN210,IF(J212="WWCV",PR!$BO210,IF(J212="ZOLON",PR!$BP210,"-"))))))))))))))))))))))))))))))))))))))))))))))))))))))))))))))))</f>
        <v>-</v>
      </c>
      <c r="J212" s="102">
        <f>EV!N277</f>
        <v>0</v>
      </c>
      <c r="K212" s="433" t="s">
        <v>634</v>
      </c>
      <c r="L212" s="183">
        <f>IF(K212&gt;0,IF(K212="ALPHA",PR!$E210,IF(K212="ASSENE",PR!$F210,IF(K212="BIOFEM",PR!$G210,IF(K212="BIOMED",PR!$H210,IF(K212="CHI",PR!$I210,IF(K212="CLARION",PR!$J210,IF(K212="CODIX",PR!$K210,IF(K212="COSMADE",PR!$L210,IF(K212="SANCON",PR!$M210,IF(K212="DEVON",PR!$N210,IF(K212="DORTEMAG",PR!$O210,IF(K212="DGF",PR!$P210,IF(K212="DYNAMIC",PR!$Q210,IF(K212="EMZOR",PR!$R210,IF(K212="EUMATT",PR!$S210,IF(K212="FIDSON",PR!$T210,IF(K212="FCGLOBAL",PR!$U210,IF(K212="GENEITH",PR!$V210,IF(K212="GINOS",PR!$W210,IF(K212="GSK",PR!$X210,IF(K212="GLOBORG",PR!$Y210,IF(K212="GOODNEWS",PR!$Z210,IF(K212="GREENLIFE",PR!$AA210,IF(K212="HLINE",PR!$AB210,IF(K212="ROTECH",PR!$AC210,IF(K212="ISN",PR!$AD210,IF(K212="JAWA",PR!$AE210,IF(K212="LAYO",PR!$AF210,IF(K212="LEADWAY",PR!$AG210,IF(K212="LHV",PR!$AH210,IF(K212="MANOLA",PR!$AI210,IF(K212="MARCSON",PR!$AJ210,IF(K212="M&amp;B",PR!$AK210,IF(K212="MTRUST",PR!$AL210,IF(K212="MWORLD",PR!$AM210,IF(K212="MEGA",PR!$AN210,IF(K212="MICRONOVA",PR!$AO210,IF(K212="MFLASH",PR!$AP210,IF(K212="MORISON",PR!$AQ210,IF(K212="NEMEL",PR!$AR210,IF(K212="NHP",PR!$AS210,IF(K212="NHC",PR!$AT210,IF(K212="OLEAF",PR!$AU210,IF(K212="OCULUS",PR!$AV210,IF(K212="PACIFIC",PR!$AW210,IF(K212="PHAMATEX",PR!$AX210,IF(K212="PETHICS",PR!$AY210,IF(K212="PHILIPS",PR!$AZ210,IF(K212="RANBAXY",PR!$BA210,IF(K212="REALS",PR!$BB210,IF(K212="ROYAL",PR!$BC210,IF(K212="SAM",PR!$BD210,IF(K212="SEAGREEN",PR!$BE210,IF(K212="SKG",PR!$BF210,IF(K212="TAH",PR!$BG210,IF(K212="TAYLEK",PR!$BH210,IF(K212="TEMITA",PR!$BI210,IF(K212="THL",PR!$BJ210,IF(K212="UBASTIC",PR!$BK210,IF(K212="UNION",PR!$BL210,IF(K212="UNIQUE",PR!$BM210,IF(K212="VIXA",PR!$BN210,IF(K212="WWCV",PR!$BO210,IF(K212="ZOLON",PR!$BP210,"-")))))))))))))))))))))))))))))))))))))))))))))))))))))))))))))))))</f>
        <v>8500</v>
      </c>
    </row>
    <row r="213" spans="1:12" ht="18.75" x14ac:dyDescent="0.3">
      <c r="A213" s="430">
        <f>PR!A211</f>
        <v>190</v>
      </c>
      <c r="B213" s="15" t="str">
        <f>PR!B211</f>
        <v>TENOXICAM 20MG CAP</v>
      </c>
      <c r="C213" s="113">
        <f>PR!D211</f>
        <v>10</v>
      </c>
      <c r="D213" s="113">
        <f>PR!C211</f>
        <v>1200</v>
      </c>
      <c r="E213" s="108">
        <f>IF(F213="ALPHA",PR!$E211,IF(F213="ASSENE",PR!$F211,IF(F213="BIOFEM",PR!$G211,IF(F213="BIOMED",PR!$H211,IF(F213="CHI",PR!$I211,IF(F213="CLARION",PR!$J211,IF(F213="CODIX",PR!$K211,IF(F213="COSMADE",PR!$L211,IF(F213="SANCON",PR!$M211,IF(F213="DEVON",PR!$N211,IF(F213="DORTEMAG",PR!$O211,IF(F213="DGF",PR!$P211,IF(F213="DYNAMIC",PR!$Q211,IF(F213="EMZOR",PR!$R211,IF(F213="EUMATT",PR!$S211,IF(F213="FIDSON",PR!$T211,IF(F213="FCGLOBAL",PR!$U211,IF(F213="GENEITH",PR!$V211,IF(F213="GINOS",PR!$W211,IF(F213="GSK",PR!$X211,IF(F213="GLOBORG",PR!$Y211,IF(F213="GOODNEWS",PR!$Z211,IF(F213="GREENLIFE",PR!$AA211,IF(F213="HLINE",PR!$AB211,IF(F213="ROTECH",PR!$AC211,IF(F213="ISN",PR!$AD211,IF(F213="JAWA",PR!$AE211,IF(F213="LAYO",PR!$AF211,IF(F213="LEADWAY",PR!$AG211,IF(F213="LHV",PR!$AH211,IF(F213="MANOLA",PR!$AI211,IF(F213="MARCSON",PR!$AJ211,IF(F213="M&amp;B",PR!$AK211,IF(F213="MTRUST",PR!$AL211,IF(F213="MWORLD",PR!$AM211,IF(F213="MEGA",PR!$AN211,IF(F213="MICRONOVA",PR!$AO211,IF(F213="MFLASH",PR!$AP211,IF(F213="MORISON",PR!$AQ211,IF(F213="NEMEL",PR!$AR211,IF(F213="NHP",PR!$AS211,IF(F213="NHC",PR!$AT211,IF(F213="OLEAF",PR!$AU211,IF(F213="OCULUS",PR!$AV211,IF(F213="PACIFIC",PR!$AW211,IF(F213="PHAMATEX",PR!$AX211,IF(F213="PETHICS",PR!$AY211,IF(F213="PHILIPS",PR!$AZ211,IF(F213="RANBAXY",PR!$BA211,IF(F213="REALS",PR!$BB211,IF(F213="ROYAL",PR!$BC211,IF(F213="SAM",PR!$BD211,IF(F213="SEAGREEN",PR!$BE211,IF(F213="SKG",PR!$BF211,IF(F213="TAH",PR!$BG211,IF(F213="TAYLEK",PR!$BH211,IF(F213="TEMITA",PR!$BI211,IF(F213="THL",PR!$BJ211,IF(F213="UBASTIC",PR!$BK211,IF(F213="UNION",PR!$BL211,IF(F213="UNIQUE",PR!$BM211,IF(F213="VIXA",PR!$BN211,IF(F213="WWCV",PR!$BO211,IF(F213="ZOLON",PR!$BP211,"-"))))))))))))))))))))))))))))))))))))))))))))))))))))))))))))))))</f>
        <v>250</v>
      </c>
      <c r="F213" s="102" t="str">
        <f>EV!L278</f>
        <v>PHAMATEX</v>
      </c>
      <c r="G213" s="108" t="str">
        <f>IF(H213="ALPHA",PR!$E211,IF(H213="ASSENE",PR!$F211,IF(H213="BIOFEM",PR!$G211,IF(H213="BIOMED",PR!$H211,IF(H213="CHI",PR!$I211,IF(H213="CLARION",PR!$J211,IF(H213="CODIX",PR!$K211,IF(H213="COSMADE",PR!$L211,IF(H213="SANCON",PR!$M211,IF(H213="DEVON",PR!$N211,IF(H213="DORTEMAG",PR!$O211,IF(H213="DGF",PR!$P211,IF(H213="DYNAMIC",PR!$Q211,IF(H213="EMZOR",PR!$R211,IF(H213="EUMATT",PR!$S211,IF(H213="FIDSON",PR!$T211,IF(H213="FCGLOBAL",PR!$U211,IF(H213="GENEITH",PR!$V211,IF(H213="GINOS",PR!$W211,IF(H213="GSK",PR!$X211,IF(H213="GLOBORG",PR!$Y211,IF(H213="GOODNEWS",PR!$Z211,IF(H213="GREENLIFE",PR!$AA211,IF(H213="HLINE",PR!$AB211,IF(H213="ROTECH",PR!$AC211,IF(H213="ISN",PR!$AD211,IF(H213="JAWA",PR!$AE211,IF(H213="LAYO",PR!$AF211,IF(H213="LEADWAY",PR!$AG211,IF(H213="LHV",PR!$AH211,IF(H213="MANOLA",PR!$AI211,IF(H213="MARCSON",PR!$AJ211,IF(H213="M&amp;B",PR!$AK211,IF(H213="MTRUST",PR!$AL211,IF(H213="MWORLD",PR!$AM211,IF(H213="MEGA",PR!$AN211,IF(H213="MICRONOVA",PR!$AO211,IF(H213="MFLASH",PR!$AP211,IF(H213="MORISON",PR!$AQ211,IF(H213="NEMEL",PR!$AR211,IF(H213="NHP",PR!$AS211,IF(H213="NHC",PR!$AT211,IF(H213="OLEAF",PR!$AU211,IF(H213="OCULUS",PR!$AV211,IF(H213="PACIFIC",PR!$AW211,IF(H213="PHAMATEX",PR!$AX211,IF(H213="PETHICS",PR!$AY211,IF(H213="PHILIPS",PR!$AZ211,IF(H213="RANBAXY",PR!$BA211,IF(H213="REALS",PR!$BB211,IF(H213="ROYAL",PR!$BC211,IF(H213="SAM",PR!$BD211,IF(H213="SEAGREEN",PR!$BE211,IF(H213="SKG",PR!$BF211,IF(H213="TAH",PR!$BG211,IF(H213="TAYLEK",PR!$BH211,IF(H213="TEMITA",PR!$BI211,IF(H213="THL",PR!$BJ211,IF(H213="UBASTIC",PR!$BK211,IF(H213="UNION",PR!$BL211,IF(H213="UNIQUE",PR!$BM211,IF(H213="VIXA",PR!$BN211,IF(H213="WWCV",PR!$BO211,IF(H213="ZOLON",PR!$BP211,"-"))))))))))))))))))))))))))))))))))))))))))))))))))))))))))))))))</f>
        <v>-</v>
      </c>
      <c r="H213" s="102">
        <f>EV!M278</f>
        <v>0</v>
      </c>
      <c r="I213" s="108" t="str">
        <f>IF(J213="ALPHA",PR!$E211,IF(J213="ASSENE",PR!$F211,IF(J213="BIOFEM",PR!$G211,IF(J213="BIOMED",PR!$H211,IF(J213="CHI",PR!$I211,IF(J213="CLARION",PR!$J211,IF(J213="CODIX",PR!$K211,IF(J213="COSMADE",PR!$L211,IF(J213="SANCON",PR!$M211,IF(J213="DEVON",PR!$N211,IF(J213="DORTEMAG",PR!$O211,IF(J213="DGF",PR!$P211,IF(J213="DYNAMIC",PR!$Q211,IF(J213="EMZOR",PR!$R211,IF(J213="EUMATT",PR!$S211,IF(J213="FIDSON",PR!$T211,IF(J213="FCGLOBAL",PR!$U211,IF(J213="GENEITH",PR!$V211,IF(J213="GINOS",PR!$W211,IF(J213="GSK",PR!$X211,IF(J213="GLOBORG",PR!$Y211,IF(J213="GOODNEWS",PR!$Z211,IF(J213="GREENLIFE",PR!$AA211,IF(J213="HLINE",PR!$AB211,IF(J213="ROTECH",PR!$AC211,IF(J213="ISN",PR!$AD211,IF(J213="JAWA",PR!$AE211,IF(J213="LAYO",PR!$AF211,IF(J213="LEADWAY",PR!$AG211,IF(J213="LHV",PR!$AH211,IF(J213="MANOLA",PR!$AI211,IF(J213="MARCSON",PR!$AJ211,IF(J213="M&amp;B",PR!$AK211,IF(J213="MTRUST",PR!$AL211,IF(J213="MWORLD",PR!$AM211,IF(J213="MEGA",PR!$AN211,IF(J213="MICRONOVA",PR!$AO211,IF(J213="MFLASH",PR!$AP211,IF(J213="MORISON",PR!$AQ211,IF(J213="NEMEL",PR!$AR211,IF(J213="NHP",PR!$AS211,IF(J213="NHC",PR!$AT211,IF(J213="OLEAF",PR!$AU211,IF(J213="OCULUS",PR!$AV211,IF(J213="PACIFIC",PR!$AW211,IF(J213="PHAMATEX",PR!$AX211,IF(J213="PETHICS",PR!$AY211,IF(J213="PHILIPS",PR!$AZ211,IF(J213="RANBAXY",PR!$BA211,IF(J213="REALS",PR!$BB211,IF(J213="ROYAL",PR!$BC211,IF(J213="SAM",PR!$BD211,IF(J213="SEAGREEN",PR!$BE211,IF(J213="SKG",PR!$BF211,IF(J213="TAH",PR!$BG211,IF(J213="TAYLEK",PR!$BH211,IF(J213="TEMITA",PR!$BI211,IF(J213="THL",PR!$BJ211,IF(J213="UBASTIC",PR!$BK211,IF(J213="UNION",PR!$BL211,IF(J213="UNIQUE",PR!$BM211,IF(J213="VIXA",PR!$BN211,IF(J213="WWCV",PR!$BO211,IF(J213="ZOLON",PR!$BP211,"-"))))))))))))))))))))))))))))))))))))))))))))))))))))))))))))))))</f>
        <v>-</v>
      </c>
      <c r="J213" s="102">
        <f>EV!N278</f>
        <v>0</v>
      </c>
      <c r="K213" s="433" t="s">
        <v>627</v>
      </c>
      <c r="L213" s="183">
        <f>IF(K213&gt;0,IF(K213="ALPHA",PR!$E211,IF(K213="ASSENE",PR!$F211,IF(K213="BIOFEM",PR!$G211,IF(K213="BIOMED",PR!$H211,IF(K213="CHI",PR!$I211,IF(K213="CLARION",PR!$J211,IF(K213="CODIX",PR!$K211,IF(K213="COSMADE",PR!$L211,IF(K213="SANCON",PR!$M211,IF(K213="DEVON",PR!$N211,IF(K213="DORTEMAG",PR!$O211,IF(K213="DGF",PR!$P211,IF(K213="DYNAMIC",PR!$Q211,IF(K213="EMZOR",PR!$R211,IF(K213="EUMATT",PR!$S211,IF(K213="FIDSON",PR!$T211,IF(K213="FCGLOBAL",PR!$U211,IF(K213="GENEITH",PR!$V211,IF(K213="GINOS",PR!$W211,IF(K213="GSK",PR!$X211,IF(K213="GLOBORG",PR!$Y211,IF(K213="GOODNEWS",PR!$Z211,IF(K213="GREENLIFE",PR!$AA211,IF(K213="HLINE",PR!$AB211,IF(K213="ROTECH",PR!$AC211,IF(K213="ISN",PR!$AD211,IF(K213="JAWA",PR!$AE211,IF(K213="LAYO",PR!$AF211,IF(K213="LEADWAY",PR!$AG211,IF(K213="LHV",PR!$AH211,IF(K213="MANOLA",PR!$AI211,IF(K213="MARCSON",PR!$AJ211,IF(K213="M&amp;B",PR!$AK211,IF(K213="MTRUST",PR!$AL211,IF(K213="MWORLD",PR!$AM211,IF(K213="MEGA",PR!$AN211,IF(K213="MICRONOVA",PR!$AO211,IF(K213="MFLASH",PR!$AP211,IF(K213="MORISON",PR!$AQ211,IF(K213="NEMEL",PR!$AR211,IF(K213="NHP",PR!$AS211,IF(K213="NHC",PR!$AT211,IF(K213="OLEAF",PR!$AU211,IF(K213="OCULUS",PR!$AV211,IF(K213="PACIFIC",PR!$AW211,IF(K213="PHAMATEX",PR!$AX211,IF(K213="PETHICS",PR!$AY211,IF(K213="PHILIPS",PR!$AZ211,IF(K213="RANBAXY",PR!$BA211,IF(K213="REALS",PR!$BB211,IF(K213="ROYAL",PR!$BC211,IF(K213="SAM",PR!$BD211,IF(K213="SEAGREEN",PR!$BE211,IF(K213="SKG",PR!$BF211,IF(K213="TAH",PR!$BG211,IF(K213="TAYLEK",PR!$BH211,IF(K213="TEMITA",PR!$BI211,IF(K213="THL",PR!$BJ211,IF(K213="UBASTIC",PR!$BK211,IF(K213="UNION",PR!$BL211,IF(K213="UNIQUE",PR!$BM211,IF(K213="VIXA",PR!$BN211,IF(K213="WWCV",PR!$BO211,IF(K213="ZOLON",PR!$BP211,"-")))))))))))))))))))))))))))))))))))))))))))))))))))))))))))))))))</f>
        <v>250</v>
      </c>
    </row>
    <row r="214" spans="1:12" ht="18.75" x14ac:dyDescent="0.3">
      <c r="A214" s="430">
        <f>PR!A212</f>
        <v>191</v>
      </c>
      <c r="B214" s="15" t="str">
        <f>PR!B212</f>
        <v>TIZANIDINE 2MG TAB</v>
      </c>
      <c r="C214" s="113">
        <f>PR!D212</f>
        <v>30</v>
      </c>
      <c r="D214" s="113">
        <f>PR!C212</f>
        <v>2000</v>
      </c>
      <c r="E214" s="108">
        <f>IF(F214="ALPHA",PR!$E212,IF(F214="ASSENE",PR!$F212,IF(F214="BIOFEM",PR!$G212,IF(F214="BIOMED",PR!$H212,IF(F214="CHI",PR!$I212,IF(F214="CLARION",PR!$J212,IF(F214="CODIX",PR!$K212,IF(F214="COSMADE",PR!$L212,IF(F214="SANCON",PR!$M212,IF(F214="DEVON",PR!$N212,IF(F214="DORTEMAG",PR!$O212,IF(F214="DGF",PR!$P212,IF(F214="DYNAMIC",PR!$Q212,IF(F214="EMZOR",PR!$R212,IF(F214="EUMATT",PR!$S212,IF(F214="FIDSON",PR!$T212,IF(F214="FCGLOBAL",PR!$U212,IF(F214="GENEITH",PR!$V212,IF(F214="GINOS",PR!$W212,IF(F214="GSK",PR!$X212,IF(F214="GLOBORG",PR!$Y212,IF(F214="GOODNEWS",PR!$Z212,IF(F214="GREENLIFE",PR!$AA212,IF(F214="HLINE",PR!$AB212,IF(F214="ROTECH",PR!$AC212,IF(F214="ISN",PR!$AD212,IF(F214="JAWA",PR!$AE212,IF(F214="LAYO",PR!$AF212,IF(F214="LEADWAY",PR!$AG212,IF(F214="LHV",PR!$AH212,IF(F214="MANOLA",PR!$AI212,IF(F214="MARCSON",PR!$AJ212,IF(F214="M&amp;B",PR!$AK212,IF(F214="MTRUST",PR!$AL212,IF(F214="MWORLD",PR!$AM212,IF(F214="MEGA",PR!$AN212,IF(F214="MICRONOVA",PR!$AO212,IF(F214="MFLASH",PR!$AP212,IF(F214="MORISON",PR!$AQ212,IF(F214="NEMEL",PR!$AR212,IF(F214="NHP",PR!$AS212,IF(F214="NHC",PR!$AT212,IF(F214="OLEAF",PR!$AU212,IF(F214="OCULUS",PR!$AV212,IF(F214="PACIFIC",PR!$AW212,IF(F214="PHAMATEX",PR!$AX212,IF(F214="PETHICS",PR!$AY212,IF(F214="PHILIPS",PR!$AZ212,IF(F214="RANBAXY",PR!$BA212,IF(F214="REALS",PR!$BB212,IF(F214="ROYAL",PR!$BC212,IF(F214="SAM",PR!$BD212,IF(F214="SEAGREEN",PR!$BE212,IF(F214="SKG",PR!$BF212,IF(F214="TAH",PR!$BG212,IF(F214="TAYLEK",PR!$BH212,IF(F214="TEMITA",PR!$BI212,IF(F214="THL",PR!$BJ212,IF(F214="UBASTIC",PR!$BK212,IF(F214="UNION",PR!$BL212,IF(F214="UNIQUE",PR!$BM212,IF(F214="VIXA",PR!$BN212,IF(F214="WWCV",PR!$BO212,IF(F214="ZOLON",PR!$BP212,"-"))))))))))))))))))))))))))))))))))))))))))))))))))))))))))))))))</f>
        <v>1964</v>
      </c>
      <c r="F214" s="102" t="str">
        <f>EV!L279</f>
        <v>WWCV</v>
      </c>
      <c r="G214" s="108">
        <f>IF(H214="ALPHA",PR!$E212,IF(H214="ASSENE",PR!$F212,IF(H214="BIOFEM",PR!$G212,IF(H214="BIOMED",PR!$H212,IF(H214="CHI",PR!$I212,IF(H214="CLARION",PR!$J212,IF(H214="CODIX",PR!$K212,IF(H214="COSMADE",PR!$L212,IF(H214="SANCON",PR!$M212,IF(H214="DEVON",PR!$N212,IF(H214="DORTEMAG",PR!$O212,IF(H214="DGF",PR!$P212,IF(H214="DYNAMIC",PR!$Q212,IF(H214="EMZOR",PR!$R212,IF(H214="EUMATT",PR!$S212,IF(H214="FIDSON",PR!$T212,IF(H214="FCGLOBAL",PR!$U212,IF(H214="GENEITH",PR!$V212,IF(H214="GINOS",PR!$W212,IF(H214="GSK",PR!$X212,IF(H214="GLOBORG",PR!$Y212,IF(H214="GOODNEWS",PR!$Z212,IF(H214="GREENLIFE",PR!$AA212,IF(H214="HLINE",PR!$AB212,IF(H214="ROTECH",PR!$AC212,IF(H214="ISN",PR!$AD212,IF(H214="JAWA",PR!$AE212,IF(H214="LAYO",PR!$AF212,IF(H214="LEADWAY",PR!$AG212,IF(H214="LHV",PR!$AH212,IF(H214="MANOLA",PR!$AI212,IF(H214="MARCSON",PR!$AJ212,IF(H214="M&amp;B",PR!$AK212,IF(H214="MTRUST",PR!$AL212,IF(H214="MWORLD",PR!$AM212,IF(H214="MEGA",PR!$AN212,IF(H214="MICRONOVA",PR!$AO212,IF(H214="MFLASH",PR!$AP212,IF(H214="MORISON",PR!$AQ212,IF(H214="NEMEL",PR!$AR212,IF(H214="NHP",PR!$AS212,IF(H214="NHC",PR!$AT212,IF(H214="OLEAF",PR!$AU212,IF(H214="OCULUS",PR!$AV212,IF(H214="PACIFIC",PR!$AW212,IF(H214="PHAMATEX",PR!$AX212,IF(H214="PETHICS",PR!$AY212,IF(H214="PHILIPS",PR!$AZ212,IF(H214="RANBAXY",PR!$BA212,IF(H214="REALS",PR!$BB212,IF(H214="ROYAL",PR!$BC212,IF(H214="SAM",PR!$BD212,IF(H214="SEAGREEN",PR!$BE212,IF(H214="SKG",PR!$BF212,IF(H214="TAH",PR!$BG212,IF(H214="TAYLEK",PR!$BH212,IF(H214="TEMITA",PR!$BI212,IF(H214="THL",PR!$BJ212,IF(H214="UBASTIC",PR!$BK212,IF(H214="UNION",PR!$BL212,IF(H214="UNIQUE",PR!$BM212,IF(H214="VIXA",PR!$BN212,IF(H214="WWCV",PR!$BO212,IF(H214="ZOLON",PR!$BP212,"-"))))))))))))))))))))))))))))))))))))))))))))))))))))))))))))))))</f>
        <v>2200</v>
      </c>
      <c r="H214" s="102" t="str">
        <f>EV!M279</f>
        <v>EUMATT</v>
      </c>
      <c r="I214" s="108" t="str">
        <f>IF(J214="ALPHA",PR!$E212,IF(J214="ASSENE",PR!$F212,IF(J214="BIOFEM",PR!$G212,IF(J214="BIOMED",PR!$H212,IF(J214="CHI",PR!$I212,IF(J214="CLARION",PR!$J212,IF(J214="CODIX",PR!$K212,IF(J214="COSMADE",PR!$L212,IF(J214="SANCON",PR!$M212,IF(J214="DEVON",PR!$N212,IF(J214="DORTEMAG",PR!$O212,IF(J214="DGF",PR!$P212,IF(J214="DYNAMIC",PR!$Q212,IF(J214="EMZOR",PR!$R212,IF(J214="EUMATT",PR!$S212,IF(J214="FIDSON",PR!$T212,IF(J214="FCGLOBAL",PR!$U212,IF(J214="GENEITH",PR!$V212,IF(J214="GINOS",PR!$W212,IF(J214="GSK",PR!$X212,IF(J214="GLOBORG",PR!$Y212,IF(J214="GOODNEWS",PR!$Z212,IF(J214="GREENLIFE",PR!$AA212,IF(J214="HLINE",PR!$AB212,IF(J214="ROTECH",PR!$AC212,IF(J214="ISN",PR!$AD212,IF(J214="JAWA",PR!$AE212,IF(J214="LAYO",PR!$AF212,IF(J214="LEADWAY",PR!$AG212,IF(J214="LHV",PR!$AH212,IF(J214="MANOLA",PR!$AI212,IF(J214="MARCSON",PR!$AJ212,IF(J214="M&amp;B",PR!$AK212,IF(J214="MTRUST",PR!$AL212,IF(J214="MWORLD",PR!$AM212,IF(J214="MEGA",PR!$AN212,IF(J214="MICRONOVA",PR!$AO212,IF(J214="MFLASH",PR!$AP212,IF(J214="MORISON",PR!$AQ212,IF(J214="NEMEL",PR!$AR212,IF(J214="NHP",PR!$AS212,IF(J214="NHC",PR!$AT212,IF(J214="OLEAF",PR!$AU212,IF(J214="OCULUS",PR!$AV212,IF(J214="PACIFIC",PR!$AW212,IF(J214="PHAMATEX",PR!$AX212,IF(J214="PETHICS",PR!$AY212,IF(J214="PHILIPS",PR!$AZ212,IF(J214="RANBAXY",PR!$BA212,IF(J214="REALS",PR!$BB212,IF(J214="ROYAL",PR!$BC212,IF(J214="SAM",PR!$BD212,IF(J214="SEAGREEN",PR!$BE212,IF(J214="SKG",PR!$BF212,IF(J214="TAH",PR!$BG212,IF(J214="TAYLEK",PR!$BH212,IF(J214="TEMITA",PR!$BI212,IF(J214="THL",PR!$BJ212,IF(J214="UBASTIC",PR!$BK212,IF(J214="UNION",PR!$BL212,IF(J214="UNIQUE",PR!$BM212,IF(J214="VIXA",PR!$BN212,IF(J214="WWCV",PR!$BO212,IF(J214="ZOLON",PR!$BP212,"-"))))))))))))))))))))))))))))))))))))))))))))))))))))))))))))))))</f>
        <v>-</v>
      </c>
      <c r="J214" s="102">
        <f>EV!N279</f>
        <v>0</v>
      </c>
      <c r="K214" s="433" t="s">
        <v>2112</v>
      </c>
      <c r="L214" s="183" t="str">
        <f>IF(K214&gt;0,IF(K214="ALPHA",PR!$E212,IF(K214="ASSENE",PR!$F212,IF(K214="BIOFEM",PR!$G212,IF(K214="BIOMED",PR!$H212,IF(K214="CHI",PR!$I212,IF(K214="CLARION",PR!$J212,IF(K214="CODIX",PR!$K212,IF(K214="COSMADE",PR!$L212,IF(K214="SANCON",PR!$M212,IF(K214="DEVON",PR!$N212,IF(K214="DORTEMAG",PR!$O212,IF(K214="DGF",PR!$P212,IF(K214="DYNAMIC",PR!$Q212,IF(K214="EMZOR",PR!$R212,IF(K214="EUMATT",PR!$S212,IF(K214="FIDSON",PR!$T212,IF(K214="FCGLOBAL",PR!$U212,IF(K214="GENEITH",PR!$V212,IF(K214="GINOS",PR!$W212,IF(K214="GSK",PR!$X212,IF(K214="GLOBORG",PR!$Y212,IF(K214="GOODNEWS",PR!$Z212,IF(K214="GREENLIFE",PR!$AA212,IF(K214="HLINE",PR!$AB212,IF(K214="ROTECH",PR!$AC212,IF(K214="ISN",PR!$AD212,IF(K214="JAWA",PR!$AE212,IF(K214="LAYO",PR!$AF212,IF(K214="LEADWAY",PR!$AG212,IF(K214="LHV",PR!$AH212,IF(K214="MANOLA",PR!$AI212,IF(K214="MARCSON",PR!$AJ212,IF(K214="M&amp;B",PR!$AK212,IF(K214="MTRUST",PR!$AL212,IF(K214="MWORLD",PR!$AM212,IF(K214="MEGA",PR!$AN212,IF(K214="MICRONOVA",PR!$AO212,IF(K214="MFLASH",PR!$AP212,IF(K214="MORISON",PR!$AQ212,IF(K214="NEMEL",PR!$AR212,IF(K214="NHP",PR!$AS212,IF(K214="NHC",PR!$AT212,IF(K214="OLEAF",PR!$AU212,IF(K214="OCULUS",PR!$AV212,IF(K214="PACIFIC",PR!$AW212,IF(K214="PHAMATEX",PR!$AX212,IF(K214="PETHICS",PR!$AY212,IF(K214="PHILIPS",PR!$AZ212,IF(K214="RANBAXY",PR!$BA212,IF(K214="REALS",PR!$BB212,IF(K214="ROYAL",PR!$BC212,IF(K214="SAM",PR!$BD212,IF(K214="SEAGREEN",PR!$BE212,IF(K214="SKG",PR!$BF212,IF(K214="TAH",PR!$BG212,IF(K214="TAYLEK",PR!$BH212,IF(K214="TEMITA",PR!$BI212,IF(K214="THL",PR!$BJ212,IF(K214="UBASTIC",PR!$BK212,IF(K214="UNION",PR!$BL212,IF(K214="UNIQUE",PR!$BM212,IF(K214="VIXA",PR!$BN212,IF(K214="WWCV",PR!$BO212,IF(K214="ZOLON",PR!$BP212,"-")))))))))))))))))))))))))))))))))))))))))))))))))))))))))))))))))</f>
        <v>-</v>
      </c>
    </row>
    <row r="215" spans="1:12" ht="18.75" x14ac:dyDescent="0.3">
      <c r="A215" s="430">
        <f>PR!A213</f>
        <v>192</v>
      </c>
      <c r="B215" s="15" t="str">
        <f>PR!B213</f>
        <v>TRAMADOL 100MG INJ</v>
      </c>
      <c r="C215" s="113">
        <f>PR!D213</f>
        <v>100</v>
      </c>
      <c r="D215" s="113">
        <f>PR!C213</f>
        <v>4</v>
      </c>
      <c r="E215" s="108">
        <f>IF(F215="ALPHA",PR!$E213,IF(F215="ASSENE",PR!$F213,IF(F215="BIOFEM",PR!$G213,IF(F215="BIOMED",PR!$H213,IF(F215="CHI",PR!$I213,IF(F215="CLARION",PR!$J213,IF(F215="CODIX",PR!$K213,IF(F215="COSMADE",PR!$L213,IF(F215="SANCON",PR!$M213,IF(F215="DEVON",PR!$N213,IF(F215="DORTEMAG",PR!$O213,IF(F215="DGF",PR!$P213,IF(F215="DYNAMIC",PR!$Q213,IF(F215="EMZOR",PR!$R213,IF(F215="EUMATT",PR!$S213,IF(F215="FIDSON",PR!$T213,IF(F215="FCGLOBAL",PR!$U213,IF(F215="GENEITH",PR!$V213,IF(F215="GINOS",PR!$W213,IF(F215="GSK",PR!$X213,IF(F215="GLOBORG",PR!$Y213,IF(F215="GOODNEWS",PR!$Z213,IF(F215="GREENLIFE",PR!$AA213,IF(F215="HLINE",PR!$AB213,IF(F215="ROTECH",PR!$AC213,IF(F215="ISN",PR!$AD213,IF(F215="JAWA",PR!$AE213,IF(F215="LAYO",PR!$AF213,IF(F215="LEADWAY",PR!$AG213,IF(F215="LHV",PR!$AH213,IF(F215="MANOLA",PR!$AI213,IF(F215="MARCSON",PR!$AJ213,IF(F215="M&amp;B",PR!$AK213,IF(F215="MTRUST",PR!$AL213,IF(F215="MWORLD",PR!$AM213,IF(F215="MEGA",PR!$AN213,IF(F215="MICRONOVA",PR!$AO213,IF(F215="MFLASH",PR!$AP213,IF(F215="MORISON",PR!$AQ213,IF(F215="NEMEL",PR!$AR213,IF(F215="NHP",PR!$AS213,IF(F215="NHC",PR!$AT213,IF(F215="OLEAF",PR!$AU213,IF(F215="OCULUS",PR!$AV213,IF(F215="PACIFIC",PR!$AW213,IF(F215="PHAMATEX",PR!$AX213,IF(F215="PETHICS",PR!$AY213,IF(F215="PHILIPS",PR!$AZ213,IF(F215="RANBAXY",PR!$BA213,IF(F215="REALS",PR!$BB213,IF(F215="ROYAL",PR!$BC213,IF(F215="SAM",PR!$BD213,IF(F215="SEAGREEN",PR!$BE213,IF(F215="SKG",PR!$BF213,IF(F215="TAH",PR!$BG213,IF(F215="TAYLEK",PR!$BH213,IF(F215="TEMITA",PR!$BI213,IF(F215="THL",PR!$BJ213,IF(F215="UBASTIC",PR!$BK213,IF(F215="UNION",PR!$BL213,IF(F215="UNIQUE",PR!$BM213,IF(F215="VIXA",PR!$BN213,IF(F215="WWCV",PR!$BO213,IF(F215="ZOLON",PR!$BP213,"-"))))))))))))))))))))))))))))))))))))))))))))))))))))))))))))))))</f>
        <v>4500</v>
      </c>
      <c r="F215" s="102" t="str">
        <f>EV!L280</f>
        <v>GENEITH</v>
      </c>
      <c r="G215" s="108" t="str">
        <f>IF(H215="ALPHA",PR!$E213,IF(H215="ASSENE",PR!$F213,IF(H215="BIOFEM",PR!$G213,IF(H215="BIOMED",PR!$H213,IF(H215="CHI",PR!$I213,IF(H215="CLARION",PR!$J213,IF(H215="CODIX",PR!$K213,IF(H215="COSMADE",PR!$L213,IF(H215="SANCON",PR!$M213,IF(H215="DEVON",PR!$N213,IF(H215="DORTEMAG",PR!$O213,IF(H215="DGF",PR!$P213,IF(H215="DYNAMIC",PR!$Q213,IF(H215="EMZOR",PR!$R213,IF(H215="EUMATT",PR!$S213,IF(H215="FIDSON",PR!$T213,IF(H215="FCGLOBAL",PR!$U213,IF(H215="GENEITH",PR!$V213,IF(H215="GINOS",PR!$W213,IF(H215="GSK",PR!$X213,IF(H215="GLOBORG",PR!$Y213,IF(H215="GOODNEWS",PR!$Z213,IF(H215="GREENLIFE",PR!$AA213,IF(H215="HLINE",PR!$AB213,IF(H215="ROTECH",PR!$AC213,IF(H215="ISN",PR!$AD213,IF(H215="JAWA",PR!$AE213,IF(H215="LAYO",PR!$AF213,IF(H215="LEADWAY",PR!$AG213,IF(H215="LHV",PR!$AH213,IF(H215="MANOLA",PR!$AI213,IF(H215="MARCSON",PR!$AJ213,IF(H215="M&amp;B",PR!$AK213,IF(H215="MTRUST",PR!$AL213,IF(H215="MWORLD",PR!$AM213,IF(H215="MEGA",PR!$AN213,IF(H215="MICRONOVA",PR!$AO213,IF(H215="MFLASH",PR!$AP213,IF(H215="MORISON",PR!$AQ213,IF(H215="NEMEL",PR!$AR213,IF(H215="NHP",PR!$AS213,IF(H215="NHC",PR!$AT213,IF(H215="OLEAF",PR!$AU213,IF(H215="OCULUS",PR!$AV213,IF(H215="PACIFIC",PR!$AW213,IF(H215="PHAMATEX",PR!$AX213,IF(H215="PETHICS",PR!$AY213,IF(H215="PHILIPS",PR!$AZ213,IF(H215="RANBAXY",PR!$BA213,IF(H215="REALS",PR!$BB213,IF(H215="ROYAL",PR!$BC213,IF(H215="SAM",PR!$BD213,IF(H215="SEAGREEN",PR!$BE213,IF(H215="SKG",PR!$BF213,IF(H215="TAH",PR!$BG213,IF(H215="TAYLEK",PR!$BH213,IF(H215="TEMITA",PR!$BI213,IF(H215="THL",PR!$BJ213,IF(H215="UBASTIC",PR!$BK213,IF(H215="UNION",PR!$BL213,IF(H215="UNIQUE",PR!$BM213,IF(H215="VIXA",PR!$BN213,IF(H215="WWCV",PR!$BO213,IF(H215="ZOLON",PR!$BP213,"-"))))))))))))))))))))))))))))))))))))))))))))))))))))))))))))))))</f>
        <v>-</v>
      </c>
      <c r="H215" s="102">
        <f>EV!M280</f>
        <v>0</v>
      </c>
      <c r="I215" s="108" t="str">
        <f>IF(J215="ALPHA",PR!$E213,IF(J215="ASSENE",PR!$F213,IF(J215="BIOFEM",PR!$G213,IF(J215="BIOMED",PR!$H213,IF(J215="CHI",PR!$I213,IF(J215="CLARION",PR!$J213,IF(J215="CODIX",PR!$K213,IF(J215="COSMADE",PR!$L213,IF(J215="SANCON",PR!$M213,IF(J215="DEVON",PR!$N213,IF(J215="DORTEMAG",PR!$O213,IF(J215="DGF",PR!$P213,IF(J215="DYNAMIC",PR!$Q213,IF(J215="EMZOR",PR!$R213,IF(J215="EUMATT",PR!$S213,IF(J215="FIDSON",PR!$T213,IF(J215="FCGLOBAL",PR!$U213,IF(J215="GENEITH",PR!$V213,IF(J215="GINOS",PR!$W213,IF(J215="GSK",PR!$X213,IF(J215="GLOBORG",PR!$Y213,IF(J215="GOODNEWS",PR!$Z213,IF(J215="GREENLIFE",PR!$AA213,IF(J215="HLINE",PR!$AB213,IF(J215="ROTECH",PR!$AC213,IF(J215="ISN",PR!$AD213,IF(J215="JAWA",PR!$AE213,IF(J215="LAYO",PR!$AF213,IF(J215="LEADWAY",PR!$AG213,IF(J215="LHV",PR!$AH213,IF(J215="MANOLA",PR!$AI213,IF(J215="MARCSON",PR!$AJ213,IF(J215="M&amp;B",PR!$AK213,IF(J215="MTRUST",PR!$AL213,IF(J215="MWORLD",PR!$AM213,IF(J215="MEGA",PR!$AN213,IF(J215="MICRONOVA",PR!$AO213,IF(J215="MFLASH",PR!$AP213,IF(J215="MORISON",PR!$AQ213,IF(J215="NEMEL",PR!$AR213,IF(J215="NHP",PR!$AS213,IF(J215="NHC",PR!$AT213,IF(J215="OLEAF",PR!$AU213,IF(J215="OCULUS",PR!$AV213,IF(J215="PACIFIC",PR!$AW213,IF(J215="PHAMATEX",PR!$AX213,IF(J215="PETHICS",PR!$AY213,IF(J215="PHILIPS",PR!$AZ213,IF(J215="RANBAXY",PR!$BA213,IF(J215="REALS",PR!$BB213,IF(J215="ROYAL",PR!$BC213,IF(J215="SAM",PR!$BD213,IF(J215="SEAGREEN",PR!$BE213,IF(J215="SKG",PR!$BF213,IF(J215="TAH",PR!$BG213,IF(J215="TAYLEK",PR!$BH213,IF(J215="TEMITA",PR!$BI213,IF(J215="THL",PR!$BJ213,IF(J215="UBASTIC",PR!$BK213,IF(J215="UNION",PR!$BL213,IF(J215="UNIQUE",PR!$BM213,IF(J215="VIXA",PR!$BN213,IF(J215="WWCV",PR!$BO213,IF(J215="ZOLON",PR!$BP213,"-"))))))))))))))))))))))))))))))))))))))))))))))))))))))))))))))))</f>
        <v>-</v>
      </c>
      <c r="J215" s="102">
        <f>EV!N280</f>
        <v>0</v>
      </c>
      <c r="K215" s="433" t="s">
        <v>619</v>
      </c>
      <c r="L215" s="183">
        <f>IF(K215&gt;0,IF(K215="ALPHA",PR!$E213,IF(K215="ASSENE",PR!$F213,IF(K215="BIOFEM",PR!$G213,IF(K215="BIOMED",PR!$H213,IF(K215="CHI",PR!$I213,IF(K215="CLARION",PR!$J213,IF(K215="CODIX",PR!$K213,IF(K215="COSMADE",PR!$L213,IF(K215="SANCON",PR!$M213,IF(K215="DEVON",PR!$N213,IF(K215="DORTEMAG",PR!$O213,IF(K215="DGF",PR!$P213,IF(K215="DYNAMIC",PR!$Q213,IF(K215="EMZOR",PR!$R213,IF(K215="EUMATT",PR!$S213,IF(K215="FIDSON",PR!$T213,IF(K215="FCGLOBAL",PR!$U213,IF(K215="GENEITH",PR!$V213,IF(K215="GINOS",PR!$W213,IF(K215="GSK",PR!$X213,IF(K215="GLOBORG",PR!$Y213,IF(K215="GOODNEWS",PR!$Z213,IF(K215="GREENLIFE",PR!$AA213,IF(K215="HLINE",PR!$AB213,IF(K215="ROTECH",PR!$AC213,IF(K215="ISN",PR!$AD213,IF(K215="JAWA",PR!$AE213,IF(K215="LAYO",PR!$AF213,IF(K215="LEADWAY",PR!$AG213,IF(K215="LHV",PR!$AH213,IF(K215="MANOLA",PR!$AI213,IF(K215="MARCSON",PR!$AJ213,IF(K215="M&amp;B",PR!$AK213,IF(K215="MTRUST",PR!$AL213,IF(K215="MWORLD",PR!$AM213,IF(K215="MEGA",PR!$AN213,IF(K215="MICRONOVA",PR!$AO213,IF(K215="MFLASH",PR!$AP213,IF(K215="MORISON",PR!$AQ213,IF(K215="NEMEL",PR!$AR213,IF(K215="NHP",PR!$AS213,IF(K215="NHC",PR!$AT213,IF(K215="OLEAF",PR!$AU213,IF(K215="OCULUS",PR!$AV213,IF(K215="PACIFIC",PR!$AW213,IF(K215="PHAMATEX",PR!$AX213,IF(K215="PETHICS",PR!$AY213,IF(K215="PHILIPS",PR!$AZ213,IF(K215="RANBAXY",PR!$BA213,IF(K215="REALS",PR!$BB213,IF(K215="ROYAL",PR!$BC213,IF(K215="SAM",PR!$BD213,IF(K215="SEAGREEN",PR!$BE213,IF(K215="SKG",PR!$BF213,IF(K215="TAH",PR!$BG213,IF(K215="TAYLEK",PR!$BH213,IF(K215="TEMITA",PR!$BI213,IF(K215="THL",PR!$BJ213,IF(K215="UBASTIC",PR!$BK213,IF(K215="UNION",PR!$BL213,IF(K215="UNIQUE",PR!$BM213,IF(K215="VIXA",PR!$BN213,IF(K215="WWCV",PR!$BO213,IF(K215="ZOLON",PR!$BP213,"-")))))))))))))))))))))))))))))))))))))))))))))))))))))))))))))))))</f>
        <v>4500</v>
      </c>
    </row>
    <row r="216" spans="1:12" ht="18.75" x14ac:dyDescent="0.3">
      <c r="A216" s="430">
        <f>PR!A214</f>
        <v>193</v>
      </c>
      <c r="B216" s="15" t="str">
        <f>PR!B214</f>
        <v>TRAMADOL 50MG CAP</v>
      </c>
      <c r="C216" s="113">
        <f>PR!D214</f>
        <v>100</v>
      </c>
      <c r="D216" s="113">
        <f>PR!C214</f>
        <v>300</v>
      </c>
      <c r="E216" s="108">
        <f>IF(F216="ALPHA",PR!$E214,IF(F216="ASSENE",PR!$F214,IF(F216="BIOFEM",PR!$G214,IF(F216="BIOMED",PR!$H214,IF(F216="CHI",PR!$I214,IF(F216="CLARION",PR!$J214,IF(F216="CODIX",PR!$K214,IF(F216="COSMADE",PR!$L214,IF(F216="SANCON",PR!$M214,IF(F216="DEVON",PR!$N214,IF(F216="DORTEMAG",PR!$O214,IF(F216="DGF",PR!$P214,IF(F216="DYNAMIC",PR!$Q214,IF(F216="EMZOR",PR!$R214,IF(F216="EUMATT",PR!$S214,IF(F216="FIDSON",PR!$T214,IF(F216="FCGLOBAL",PR!$U214,IF(F216="GENEITH",PR!$V214,IF(F216="GINOS",PR!$W214,IF(F216="GSK",PR!$X214,IF(F216="GLOBORG",PR!$Y214,IF(F216="GOODNEWS",PR!$Z214,IF(F216="GREENLIFE",PR!$AA214,IF(F216="HLINE",PR!$AB214,IF(F216="ROTECH",PR!$AC214,IF(F216="ISN",PR!$AD214,IF(F216="JAWA",PR!$AE214,IF(F216="LAYO",PR!$AF214,IF(F216="LEADWAY",PR!$AG214,IF(F216="LHV",PR!$AH214,IF(F216="MANOLA",PR!$AI214,IF(F216="MARCSON",PR!$AJ214,IF(F216="M&amp;B",PR!$AK214,IF(F216="MTRUST",PR!$AL214,IF(F216="MWORLD",PR!$AM214,IF(F216="MEGA",PR!$AN214,IF(F216="MICRONOVA",PR!$AO214,IF(F216="MFLASH",PR!$AP214,IF(F216="MORISON",PR!$AQ214,IF(F216="NEMEL",PR!$AR214,IF(F216="NHP",PR!$AS214,IF(F216="NHC",PR!$AT214,IF(F216="OLEAF",PR!$AU214,IF(F216="OCULUS",PR!$AV214,IF(F216="PACIFIC",PR!$AW214,IF(F216="PHAMATEX",PR!$AX214,IF(F216="PETHICS",PR!$AY214,IF(F216="PHILIPS",PR!$AZ214,IF(F216="RANBAXY",PR!$BA214,IF(F216="REALS",PR!$BB214,IF(F216="ROYAL",PR!$BC214,IF(F216="SAM",PR!$BD214,IF(F216="SEAGREEN",PR!$BE214,IF(F216="SKG",PR!$BF214,IF(F216="TAH",PR!$BG214,IF(F216="TAYLEK",PR!$BH214,IF(F216="TEMITA",PR!$BI214,IF(F216="THL",PR!$BJ214,IF(F216="UBASTIC",PR!$BK214,IF(F216="UNION",PR!$BL214,IF(F216="UNIQUE",PR!$BM214,IF(F216="VIXA",PR!$BN214,IF(F216="WWCV",PR!$BO214,IF(F216="ZOLON",PR!$BP214,"-"))))))))))))))))))))))))))))))))))))))))))))))))))))))))))))))))</f>
        <v>6500</v>
      </c>
      <c r="F216" s="102" t="str">
        <f>EV!L281</f>
        <v>NHC</v>
      </c>
      <c r="G216" s="108" t="str">
        <f>IF(H216="ALPHA",PR!$E214,IF(H216="ASSENE",PR!$F214,IF(H216="BIOFEM",PR!$G214,IF(H216="BIOMED",PR!$H214,IF(H216="CHI",PR!$I214,IF(H216="CLARION",PR!$J214,IF(H216="CODIX",PR!$K214,IF(H216="COSMADE",PR!$L214,IF(H216="SANCON",PR!$M214,IF(H216="DEVON",PR!$N214,IF(H216="DORTEMAG",PR!$O214,IF(H216="DGF",PR!$P214,IF(H216="DYNAMIC",PR!$Q214,IF(H216="EMZOR",PR!$R214,IF(H216="EUMATT",PR!$S214,IF(H216="FIDSON",PR!$T214,IF(H216="FCGLOBAL",PR!$U214,IF(H216="GENEITH",PR!$V214,IF(H216="GINOS",PR!$W214,IF(H216="GSK",PR!$X214,IF(H216="GLOBORG",PR!$Y214,IF(H216="GOODNEWS",PR!$Z214,IF(H216="GREENLIFE",PR!$AA214,IF(H216="HLINE",PR!$AB214,IF(H216="ROTECH",PR!$AC214,IF(H216="ISN",PR!$AD214,IF(H216="JAWA",PR!$AE214,IF(H216="LAYO",PR!$AF214,IF(H216="LEADWAY",PR!$AG214,IF(H216="LHV",PR!$AH214,IF(H216="MANOLA",PR!$AI214,IF(H216="MARCSON",PR!$AJ214,IF(H216="M&amp;B",PR!$AK214,IF(H216="MTRUST",PR!$AL214,IF(H216="MWORLD",PR!$AM214,IF(H216="MEGA",PR!$AN214,IF(H216="MICRONOVA",PR!$AO214,IF(H216="MFLASH",PR!$AP214,IF(H216="MORISON",PR!$AQ214,IF(H216="NEMEL",PR!$AR214,IF(H216="NHP",PR!$AS214,IF(H216="NHC",PR!$AT214,IF(H216="OLEAF",PR!$AU214,IF(H216="OCULUS",PR!$AV214,IF(H216="PACIFIC",PR!$AW214,IF(H216="PHAMATEX",PR!$AX214,IF(H216="PETHICS",PR!$AY214,IF(H216="PHILIPS",PR!$AZ214,IF(H216="RANBAXY",PR!$BA214,IF(H216="REALS",PR!$BB214,IF(H216="ROYAL",PR!$BC214,IF(H216="SAM",PR!$BD214,IF(H216="SEAGREEN",PR!$BE214,IF(H216="SKG",PR!$BF214,IF(H216="TAH",PR!$BG214,IF(H216="TAYLEK",PR!$BH214,IF(H216="TEMITA",PR!$BI214,IF(H216="THL",PR!$BJ214,IF(H216="UBASTIC",PR!$BK214,IF(H216="UNION",PR!$BL214,IF(H216="UNIQUE",PR!$BM214,IF(H216="VIXA",PR!$BN214,IF(H216="WWCV",PR!$BO214,IF(H216="ZOLON",PR!$BP214,"-"))))))))))))))))))))))))))))))))))))))))))))))))))))))))))))))))</f>
        <v>-</v>
      </c>
      <c r="H216" s="102">
        <f>EV!M281</f>
        <v>0</v>
      </c>
      <c r="I216" s="108" t="str">
        <f>IF(J216="ALPHA",PR!$E214,IF(J216="ASSENE",PR!$F214,IF(J216="BIOFEM",PR!$G214,IF(J216="BIOMED",PR!$H214,IF(J216="CHI",PR!$I214,IF(J216="CLARION",PR!$J214,IF(J216="CODIX",PR!$K214,IF(J216="COSMADE",PR!$L214,IF(J216="SANCON",PR!$M214,IF(J216="DEVON",PR!$N214,IF(J216="DORTEMAG",PR!$O214,IF(J216="DGF",PR!$P214,IF(J216="DYNAMIC",PR!$Q214,IF(J216="EMZOR",PR!$R214,IF(J216="EUMATT",PR!$S214,IF(J216="FIDSON",PR!$T214,IF(J216="FCGLOBAL",PR!$U214,IF(J216="GENEITH",PR!$V214,IF(J216="GINOS",PR!$W214,IF(J216="GSK",PR!$X214,IF(J216="GLOBORG",PR!$Y214,IF(J216="GOODNEWS",PR!$Z214,IF(J216="GREENLIFE",PR!$AA214,IF(J216="HLINE",PR!$AB214,IF(J216="ROTECH",PR!$AC214,IF(J216="ISN",PR!$AD214,IF(J216="JAWA",PR!$AE214,IF(J216="LAYO",PR!$AF214,IF(J216="LEADWAY",PR!$AG214,IF(J216="LHV",PR!$AH214,IF(J216="MANOLA",PR!$AI214,IF(J216="MARCSON",PR!$AJ214,IF(J216="M&amp;B",PR!$AK214,IF(J216="MTRUST",PR!$AL214,IF(J216="MWORLD",PR!$AM214,IF(J216="MEGA",PR!$AN214,IF(J216="MICRONOVA",PR!$AO214,IF(J216="MFLASH",PR!$AP214,IF(J216="MORISON",PR!$AQ214,IF(J216="NEMEL",PR!$AR214,IF(J216="NHP",PR!$AS214,IF(J216="NHC",PR!$AT214,IF(J216="OLEAF",PR!$AU214,IF(J216="OCULUS",PR!$AV214,IF(J216="PACIFIC",PR!$AW214,IF(J216="PHAMATEX",PR!$AX214,IF(J216="PETHICS",PR!$AY214,IF(J216="PHILIPS",PR!$AZ214,IF(J216="RANBAXY",PR!$BA214,IF(J216="REALS",PR!$BB214,IF(J216="ROYAL",PR!$BC214,IF(J216="SAM",PR!$BD214,IF(J216="SEAGREEN",PR!$BE214,IF(J216="SKG",PR!$BF214,IF(J216="TAH",PR!$BG214,IF(J216="TAYLEK",PR!$BH214,IF(J216="TEMITA",PR!$BI214,IF(J216="THL",PR!$BJ214,IF(J216="UBASTIC",PR!$BK214,IF(J216="UNION",PR!$BL214,IF(J216="UNIQUE",PR!$BM214,IF(J216="VIXA",PR!$BN214,IF(J216="WWCV",PR!$BO214,IF(J216="ZOLON",PR!$BP214,"-"))))))))))))))))))))))))))))))))))))))))))))))))))))))))))))))))</f>
        <v>-</v>
      </c>
      <c r="J216" s="102">
        <f>EV!N281</f>
        <v>0</v>
      </c>
      <c r="K216" s="433" t="s">
        <v>1246</v>
      </c>
      <c r="L216" s="183">
        <f>IF(K216&gt;0,IF(K216="ALPHA",PR!$E214,IF(K216="ASSENE",PR!$F214,IF(K216="BIOFEM",PR!$G214,IF(K216="BIOMED",PR!$H214,IF(K216="CHI",PR!$I214,IF(K216="CLARION",PR!$J214,IF(K216="CODIX",PR!$K214,IF(K216="COSMADE",PR!$L214,IF(K216="SANCON",PR!$M214,IF(K216="DEVON",PR!$N214,IF(K216="DORTEMAG",PR!$O214,IF(K216="DGF",PR!$P214,IF(K216="DYNAMIC",PR!$Q214,IF(K216="EMZOR",PR!$R214,IF(K216="EUMATT",PR!$S214,IF(K216="FIDSON",PR!$T214,IF(K216="FCGLOBAL",PR!$U214,IF(K216="GENEITH",PR!$V214,IF(K216="GINOS",PR!$W214,IF(K216="GSK",PR!$X214,IF(K216="GLOBORG",PR!$Y214,IF(K216="GOODNEWS",PR!$Z214,IF(K216="GREENLIFE",PR!$AA214,IF(K216="HLINE",PR!$AB214,IF(K216="ROTECH",PR!$AC214,IF(K216="ISN",PR!$AD214,IF(K216="JAWA",PR!$AE214,IF(K216="LAYO",PR!$AF214,IF(K216="LEADWAY",PR!$AG214,IF(K216="LHV",PR!$AH214,IF(K216="MANOLA",PR!$AI214,IF(K216="MARCSON",PR!$AJ214,IF(K216="M&amp;B",PR!$AK214,IF(K216="MTRUST",PR!$AL214,IF(K216="MWORLD",PR!$AM214,IF(K216="MEGA",PR!$AN214,IF(K216="MICRONOVA",PR!$AO214,IF(K216="MFLASH",PR!$AP214,IF(K216="MORISON",PR!$AQ214,IF(K216="NEMEL",PR!$AR214,IF(K216="NHP",PR!$AS214,IF(K216="NHC",PR!$AT214,IF(K216="OLEAF",PR!$AU214,IF(K216="OCULUS",PR!$AV214,IF(K216="PACIFIC",PR!$AW214,IF(K216="PHAMATEX",PR!$AX214,IF(K216="PETHICS",PR!$AY214,IF(K216="PHILIPS",PR!$AZ214,IF(K216="RANBAXY",PR!$BA214,IF(K216="REALS",PR!$BB214,IF(K216="ROYAL",PR!$BC214,IF(K216="SAM",PR!$BD214,IF(K216="SEAGREEN",PR!$BE214,IF(K216="SKG",PR!$BF214,IF(K216="TAH",PR!$BG214,IF(K216="TAYLEK",PR!$BH214,IF(K216="TEMITA",PR!$BI214,IF(K216="THL",PR!$BJ214,IF(K216="UBASTIC",PR!$BK214,IF(K216="UNION",PR!$BL214,IF(K216="UNIQUE",PR!$BM214,IF(K216="VIXA",PR!$BN214,IF(K216="WWCV",PR!$BO214,IF(K216="ZOLON",PR!$BP214,"-")))))))))))))))))))))))))))))))))))))))))))))))))))))))))))))))))</f>
        <v>6500</v>
      </c>
    </row>
    <row r="217" spans="1:12" ht="18.75" x14ac:dyDescent="0.3">
      <c r="A217" s="430">
        <f>PR!A215</f>
        <v>0</v>
      </c>
      <c r="B217" s="15">
        <f>PR!B215</f>
        <v>0</v>
      </c>
      <c r="C217" s="113">
        <f>PR!D215</f>
        <v>0</v>
      </c>
      <c r="D217" s="113">
        <f>PR!C215</f>
        <v>0</v>
      </c>
      <c r="E217" s="108" t="str">
        <f>IF(F217="ALPHA",PR!$E215,IF(F217="ASSENE",PR!$F215,IF(F217="BIOFEM",PR!$G215,IF(F217="BIOMED",PR!$H215,IF(F217="CHI",PR!$I215,IF(F217="CLARION",PR!$J215,IF(F217="CODIX",PR!$K215,IF(F217="COSMADE",PR!$L215,IF(F217="SANCON",PR!$M215,IF(F217="DEVON",PR!$N215,IF(F217="DORTEMAG",PR!$O215,IF(F217="DGF",PR!$P215,IF(F217="DYNAMIC",PR!$Q215,IF(F217="EMZOR",PR!$R215,IF(F217="EUMATT",PR!$S215,IF(F217="FIDSON",PR!$T215,IF(F217="FCGLOBAL",PR!$U215,IF(F217="GENEITH",PR!$V215,IF(F217="GINOS",PR!$W215,IF(F217="GSK",PR!$X215,IF(F217="GLOBORG",PR!$Y215,IF(F217="GOODNEWS",PR!$Z215,IF(F217="GREENLIFE",PR!$AA215,IF(F217="HLINE",PR!$AB215,IF(F217="ROTECH",PR!$AC215,IF(F217="ISN",PR!$AD215,IF(F217="JAWA",PR!$AE215,IF(F217="LAYO",PR!$AF215,IF(F217="LEADWAY",PR!$AG215,IF(F217="LHV",PR!$AH215,IF(F217="MANOLA",PR!$AI215,IF(F217="MARCSON",PR!$AJ215,IF(F217="M&amp;B",PR!$AK215,IF(F217="MTRUST",PR!$AL215,IF(F217="MWORLD",PR!$AM215,IF(F217="MEGA",PR!$AN215,IF(F217="MICRONOVA",PR!$AO215,IF(F217="MFLASH",PR!$AP215,IF(F217="MORISON",PR!$AQ215,IF(F217="NEMEL",PR!$AR215,IF(F217="NHP",PR!$AS215,IF(F217="NHC",PR!$AT215,IF(F217="OLEAF",PR!$AU215,IF(F217="OCULUS",PR!$AV215,IF(F217="PACIFIC",PR!$AW215,IF(F217="PHAMATEX",PR!$AX215,IF(F217="PETHICS",PR!$AY215,IF(F217="PHILIPS",PR!$AZ215,IF(F217="RANBAXY",PR!$BA215,IF(F217="REALS",PR!$BB215,IF(F217="ROYAL",PR!$BC215,IF(F217="SAM",PR!$BD215,IF(F217="SEAGREEN",PR!$BE215,IF(F217="SKG",PR!$BF215,IF(F217="TAH",PR!$BG215,IF(F217="TAYLEK",PR!$BH215,IF(F217="TEMITA",PR!$BI215,IF(F217="THL",PR!$BJ215,IF(F217="UBASTIC",PR!$BK215,IF(F217="UNION",PR!$BL215,IF(F217="UNIQUE",PR!$BM215,IF(F217="VIXA",PR!$BN215,IF(F217="WWCV",PR!$BO215,IF(F217="ZOLON",PR!$BP215,"-"))))))))))))))))))))))))))))))))))))))))))))))))))))))))))))))))</f>
        <v>-</v>
      </c>
      <c r="F217" s="102"/>
      <c r="G217" s="108" t="str">
        <f>IF(H217="ALPHA",PR!$E215,IF(H217="ASSENE",PR!$F215,IF(H217="BIOFEM",PR!$G215,IF(H217="BIOMED",PR!$H215,IF(H217="CHI",PR!$I215,IF(H217="CLARION",PR!$J215,IF(H217="CODIX",PR!$K215,IF(H217="COSMADE",PR!$L215,IF(H217="SANCON",PR!$M215,IF(H217="DEVON",PR!$N215,IF(H217="DORTEMAG",PR!$O215,IF(H217="DGF",PR!$P215,IF(H217="DYNAMIC",PR!$Q215,IF(H217="EMZOR",PR!$R215,IF(H217="EUMATT",PR!$S215,IF(H217="FIDSON",PR!$T215,IF(H217="FCGLOBAL",PR!$U215,IF(H217="GENEITH",PR!$V215,IF(H217="GINOS",PR!$W215,IF(H217="GSK",PR!$X215,IF(H217="GLOBORG",PR!$Y215,IF(H217="GOODNEWS",PR!$Z215,IF(H217="GREENLIFE",PR!$AA215,IF(H217="HLINE",PR!$AB215,IF(H217="ROTECH",PR!$AC215,IF(H217="ISN",PR!$AD215,IF(H217="JAWA",PR!$AE215,IF(H217="LAYO",PR!$AF215,IF(H217="LEADWAY",PR!$AG215,IF(H217="LHV",PR!$AH215,IF(H217="MANOLA",PR!$AI215,IF(H217="MARCSON",PR!$AJ215,IF(H217="M&amp;B",PR!$AK215,IF(H217="MTRUST",PR!$AL215,IF(H217="MWORLD",PR!$AM215,IF(H217="MEGA",PR!$AN215,IF(H217="MICRONOVA",PR!$AO215,IF(H217="MFLASH",PR!$AP215,IF(H217="MORISON",PR!$AQ215,IF(H217="NEMEL",PR!$AR215,IF(H217="NHP",PR!$AS215,IF(H217="NHC",PR!$AT215,IF(H217="OLEAF",PR!$AU215,IF(H217="OCULUS",PR!$AV215,IF(H217="PACIFIC",PR!$AW215,IF(H217="PHAMATEX",PR!$AX215,IF(H217="PETHICS",PR!$AY215,IF(H217="PHILIPS",PR!$AZ215,IF(H217="RANBAXY",PR!$BA215,IF(H217="REALS",PR!$BB215,IF(H217="ROYAL",PR!$BC215,IF(H217="SAM",PR!$BD215,IF(H217="SEAGREEN",PR!$BE215,IF(H217="SKG",PR!$BF215,IF(H217="TAH",PR!$BG215,IF(H217="TAYLEK",PR!$BH215,IF(H217="TEMITA",PR!$BI215,IF(H217="THL",PR!$BJ215,IF(H217="UBASTIC",PR!$BK215,IF(H217="UNION",PR!$BL215,IF(H217="UNIQUE",PR!$BM215,IF(H217="VIXA",PR!$BN215,IF(H217="WWCV",PR!$BO215,IF(H217="ZOLON",PR!$BP215,"-"))))))))))))))))))))))))))))))))))))))))))))))))))))))))))))))))</f>
        <v>-</v>
      </c>
      <c r="H217" s="102"/>
      <c r="I217" s="108" t="str">
        <f>IF(J217="ALPHA",PR!$E215,IF(J217="ASSENE",PR!$F215,IF(J217="BIOFEM",PR!$G215,IF(J217="BIOMED",PR!$H215,IF(J217="CHI",PR!$I215,IF(J217="CLARION",PR!$J215,IF(J217="CODIX",PR!$K215,IF(J217="COSMADE",PR!$L215,IF(J217="SANCON",PR!$M215,IF(J217="DEVON",PR!$N215,IF(J217="DORTEMAG",PR!$O215,IF(J217="DGF",PR!$P215,IF(J217="DYNAMIC",PR!$Q215,IF(J217="EMZOR",PR!$R215,IF(J217="EUMATT",PR!$S215,IF(J217="FIDSON",PR!$T215,IF(J217="FCGLOBAL",PR!$U215,IF(J217="GENEITH",PR!$V215,IF(J217="GINOS",PR!$W215,IF(J217="GSK",PR!$X215,IF(J217="GLOBORG",PR!$Y215,IF(J217="GOODNEWS",PR!$Z215,IF(J217="GREENLIFE",PR!$AA215,IF(J217="HLINE",PR!$AB215,IF(J217="ROTECH",PR!$AC215,IF(J217="ISN",PR!$AD215,IF(J217="JAWA",PR!$AE215,IF(J217="LAYO",PR!$AF215,IF(J217="LEADWAY",PR!$AG215,IF(J217="LHV",PR!$AH215,IF(J217="MANOLA",PR!$AI215,IF(J217="MARCSON",PR!$AJ215,IF(J217="M&amp;B",PR!$AK215,IF(J217="MTRUST",PR!$AL215,IF(J217="MWORLD",PR!$AM215,IF(J217="MEGA",PR!$AN215,IF(J217="MICRONOVA",PR!$AO215,IF(J217="MFLASH",PR!$AP215,IF(J217="MORISON",PR!$AQ215,IF(J217="NEMEL",PR!$AR215,IF(J217="NHP",PR!$AS215,IF(J217="NHC",PR!$AT215,IF(J217="OLEAF",PR!$AU215,IF(J217="OCULUS",PR!$AV215,IF(J217="PACIFIC",PR!$AW215,IF(J217="PHAMATEX",PR!$AX215,IF(J217="PETHICS",PR!$AY215,IF(J217="PHILIPS",PR!$AZ215,IF(J217="RANBAXY",PR!$BA215,IF(J217="REALS",PR!$BB215,IF(J217="ROYAL",PR!$BC215,IF(J217="SAM",PR!$BD215,IF(J217="SEAGREEN",PR!$BE215,IF(J217="SKG",PR!$BF215,IF(J217="TAH",PR!$BG215,IF(J217="TAYLEK",PR!$BH215,IF(J217="TEMITA",PR!$BI215,IF(J217="THL",PR!$BJ215,IF(J217="UBASTIC",PR!$BK215,IF(J217="UNION",PR!$BL215,IF(J217="UNIQUE",PR!$BM215,IF(J217="VIXA",PR!$BN215,IF(J217="WWCV",PR!$BO215,IF(J217="ZOLON",PR!$BP215,"-"))))))))))))))))))))))))))))))))))))))))))))))))))))))))))))))))</f>
        <v>-</v>
      </c>
      <c r="J217" s="102"/>
      <c r="K217" s="433"/>
      <c r="L217" s="183" t="b">
        <f>IF(K217&gt;0,IF(K217="ALPHA",PR!$E215,IF(K217="ASSENE",PR!$F215,IF(K217="BIOFEM",PR!$G215,IF(K217="BIOMED",PR!$H215,IF(K217="CHI",PR!$I215,IF(K217="CLARION",PR!$J215,IF(K217="CODIX",PR!$K215,IF(K217="COSMADE",PR!$L215,IF(K217="SANCON",PR!$M215,IF(K217="DEVON",PR!$N215,IF(K217="DORTEMAG",PR!$O215,IF(K217="DGF",PR!$P215,IF(K217="DYNAMIC",PR!$Q215,IF(K217="EMZOR",PR!$R215,IF(K217="EUMATT",PR!$S215,IF(K217="FIDSON",PR!$T215,IF(K217="FCGLOBAL",PR!$U215,IF(K217="GENEITH",PR!$V215,IF(K217="GINOS",PR!$W215,IF(K217="GSK",PR!$X215,IF(K217="GLOBORG",PR!$Y215,IF(K217="GOODNEWS",PR!$Z215,IF(K217="GREENLIFE",PR!$AA215,IF(K217="HLINE",PR!$AB215,IF(K217="ROTECH",PR!$AC215,IF(K217="ISN",PR!$AD215,IF(K217="JAWA",PR!$AE215,IF(K217="LAYO",PR!$AF215,IF(K217="LEADWAY",PR!$AG215,IF(K217="LHV",PR!$AH215,IF(K217="MANOLA",PR!$AI215,IF(K217="MARCSON",PR!$AJ215,IF(K217="M&amp;B",PR!$AK215,IF(K217="MTRUST",PR!$AL215,IF(K217="MWORLD",PR!$AM215,IF(K217="MEGA",PR!$AN215,IF(K217="MICRONOVA",PR!$AO215,IF(K217="MFLASH",PR!$AP215,IF(K217="MORISON",PR!$AQ215,IF(K217="NEMEL",PR!$AR215,IF(K217="NHP",PR!$AS215,IF(K217="NHC",PR!$AT215,IF(K217="OLEAF",PR!$AU215,IF(K217="OCULUS",PR!$AV215,IF(K217="PACIFIC",PR!$AW215,IF(K217="PHAMATEX",PR!$AX215,IF(K217="PETHICS",PR!$AY215,IF(K217="PHILIPS",PR!$AZ215,IF(K217="RANBAXY",PR!$BA215,IF(K217="REALS",PR!$BB215,IF(K217="ROYAL",PR!$BC215,IF(K217="SAM",PR!$BD215,IF(K217="SEAGREEN",PR!$BE215,IF(K217="SKG",PR!$BF215,IF(K217="TAH",PR!$BG215,IF(K217="TAYLEK",PR!$BH215,IF(K217="TEMITA",PR!$BI215,IF(K217="THL",PR!$BJ215,IF(K217="UBASTIC",PR!$BK215,IF(K217="UNION",PR!$BL215,IF(K217="UNIQUE",PR!$BM215,IF(K217="VIXA",PR!$BN215,IF(K217="WWCV",PR!$BO215,IF(K217="ZOLON",PR!$BP215,"-")))))))))))))))))))))))))))))))))))))))))))))))))))))))))))))))))</f>
        <v>0</v>
      </c>
    </row>
    <row r="218" spans="1:12" ht="18.75" x14ac:dyDescent="0.3">
      <c r="A218" s="430">
        <f>PR!A216</f>
        <v>0</v>
      </c>
      <c r="B218" s="15">
        <f>PR!B216</f>
        <v>0</v>
      </c>
      <c r="C218" s="113">
        <f>PR!D216</f>
        <v>0</v>
      </c>
      <c r="D218" s="113">
        <f>PR!C216</f>
        <v>0</v>
      </c>
      <c r="E218" s="108" t="str">
        <f>IF(F218="ALPHA",PR!$E216,IF(F218="ASSENE",PR!$F216,IF(F218="BIOFEM",PR!$G216,IF(F218="BIOMED",PR!$H216,IF(F218="CHI",PR!$I216,IF(F218="CLARION",PR!$J216,IF(F218="CODIX",PR!$K216,IF(F218="COSMADE",PR!$L216,IF(F218="SANCON",PR!$M216,IF(F218="DEVON",PR!$N216,IF(F218="DORTEMAG",PR!$O216,IF(F218="DGF",PR!$P216,IF(F218="DYNAMIC",PR!$Q216,IF(F218="EMZOR",PR!$R216,IF(F218="EUMATT",PR!$S216,IF(F218="FIDSON",PR!$T216,IF(F218="FCGLOBAL",PR!$U216,IF(F218="GENEITH",PR!$V216,IF(F218="GINOS",PR!$W216,IF(F218="GSK",PR!$X216,IF(F218="GLOBORG",PR!$Y216,IF(F218="GOODNEWS",PR!$Z216,IF(F218="GREENLIFE",PR!$AA216,IF(F218="HLINE",PR!$AB216,IF(F218="ROTECH",PR!$AC216,IF(F218="ISN",PR!$AD216,IF(F218="JAWA",PR!$AE216,IF(F218="LAYO",PR!$AF216,IF(F218="LEADWAY",PR!$AG216,IF(F218="LHV",PR!$AH216,IF(F218="MANOLA",PR!$AI216,IF(F218="MARCSON",PR!$AJ216,IF(F218="M&amp;B",PR!$AK216,IF(F218="MTRUST",PR!$AL216,IF(F218="MWORLD",PR!$AM216,IF(F218="MEGA",PR!$AN216,IF(F218="MICRONOVA",PR!$AO216,IF(F218="MFLASH",PR!$AP216,IF(F218="MORISON",PR!$AQ216,IF(F218="NEMEL",PR!$AR216,IF(F218="NHP",PR!$AS216,IF(F218="NHC",PR!$AT216,IF(F218="OLEAF",PR!$AU216,IF(F218="OCULUS",PR!$AV216,IF(F218="PACIFIC",PR!$AW216,IF(F218="PHAMATEX",PR!$AX216,IF(F218="PETHICS",PR!$AY216,IF(F218="PHILIPS",PR!$AZ216,IF(F218="RANBAXY",PR!$BA216,IF(F218="REALS",PR!$BB216,IF(F218="ROYAL",PR!$BC216,IF(F218="SAM",PR!$BD216,IF(F218="SEAGREEN",PR!$BE216,IF(F218="SKG",PR!$BF216,IF(F218="TAH",PR!$BG216,IF(F218="TAYLEK",PR!$BH216,IF(F218="TEMITA",PR!$BI216,IF(F218="THL",PR!$BJ216,IF(F218="UBASTIC",PR!$BK216,IF(F218="UNION",PR!$BL216,IF(F218="UNIQUE",PR!$BM216,IF(F218="VIXA",PR!$BN216,IF(F218="WWCV",PR!$BO216,IF(F218="ZOLON",PR!$BP216,"-"))))))))))))))))))))))))))))))))))))))))))))))))))))))))))))))))</f>
        <v>-</v>
      </c>
      <c r="F218" s="102"/>
      <c r="G218" s="108" t="str">
        <f>IF(H218="ALPHA",PR!$E216,IF(H218="ASSENE",PR!$F216,IF(H218="BIOFEM",PR!$G216,IF(H218="BIOMED",PR!$H216,IF(H218="CHI",PR!$I216,IF(H218="CLARION",PR!$J216,IF(H218="CODIX",PR!$K216,IF(H218="COSMADE",PR!$L216,IF(H218="SANCON",PR!$M216,IF(H218="DEVON",PR!$N216,IF(H218="DORTEMAG",PR!$O216,IF(H218="DGF",PR!$P216,IF(H218="DYNAMIC",PR!$Q216,IF(H218="EMZOR",PR!$R216,IF(H218="EUMATT",PR!$S216,IF(H218="FIDSON",PR!$T216,IF(H218="FCGLOBAL",PR!$U216,IF(H218="GENEITH",PR!$V216,IF(H218="GINOS",PR!$W216,IF(H218="GSK",PR!$X216,IF(H218="GLOBORG",PR!$Y216,IF(H218="GOODNEWS",PR!$Z216,IF(H218="GREENLIFE",PR!$AA216,IF(H218="HLINE",PR!$AB216,IF(H218="ROTECH",PR!$AC216,IF(H218="ISN",PR!$AD216,IF(H218="JAWA",PR!$AE216,IF(H218="LAYO",PR!$AF216,IF(H218="LEADWAY",PR!$AG216,IF(H218="LHV",PR!$AH216,IF(H218="MANOLA",PR!$AI216,IF(H218="MARCSON",PR!$AJ216,IF(H218="M&amp;B",PR!$AK216,IF(H218="MTRUST",PR!$AL216,IF(H218="MWORLD",PR!$AM216,IF(H218="MEGA",PR!$AN216,IF(H218="MICRONOVA",PR!$AO216,IF(H218="MFLASH",PR!$AP216,IF(H218="MORISON",PR!$AQ216,IF(H218="NEMEL",PR!$AR216,IF(H218="NHP",PR!$AS216,IF(H218="NHC",PR!$AT216,IF(H218="OLEAF",PR!$AU216,IF(H218="OCULUS",PR!$AV216,IF(H218="PACIFIC",PR!$AW216,IF(H218="PHAMATEX",PR!$AX216,IF(H218="PETHICS",PR!$AY216,IF(H218="PHILIPS",PR!$AZ216,IF(H218="RANBAXY",PR!$BA216,IF(H218="REALS",PR!$BB216,IF(H218="ROYAL",PR!$BC216,IF(H218="SAM",PR!$BD216,IF(H218="SEAGREEN",PR!$BE216,IF(H218="SKG",PR!$BF216,IF(H218="TAH",PR!$BG216,IF(H218="TAYLEK",PR!$BH216,IF(H218="TEMITA",PR!$BI216,IF(H218="THL",PR!$BJ216,IF(H218="UBASTIC",PR!$BK216,IF(H218="UNION",PR!$BL216,IF(H218="UNIQUE",PR!$BM216,IF(H218="VIXA",PR!$BN216,IF(H218="WWCV",PR!$BO216,IF(H218="ZOLON",PR!$BP216,"-"))))))))))))))))))))))))))))))))))))))))))))))))))))))))))))))))</f>
        <v>-</v>
      </c>
      <c r="H218" s="102"/>
      <c r="I218" s="108" t="str">
        <f>IF(J218="ALPHA",PR!$E216,IF(J218="ASSENE",PR!$F216,IF(J218="BIOFEM",PR!$G216,IF(J218="BIOMED",PR!$H216,IF(J218="CHI",PR!$I216,IF(J218="CLARION",PR!$J216,IF(J218="CODIX",PR!$K216,IF(J218="COSMADE",PR!$L216,IF(J218="SANCON",PR!$M216,IF(J218="DEVON",PR!$N216,IF(J218="DORTEMAG",PR!$O216,IF(J218="DGF",PR!$P216,IF(J218="DYNAMIC",PR!$Q216,IF(J218="EMZOR",PR!$R216,IF(J218="EUMATT",PR!$S216,IF(J218="FIDSON",PR!$T216,IF(J218="FCGLOBAL",PR!$U216,IF(J218="GENEITH",PR!$V216,IF(J218="GINOS",PR!$W216,IF(J218="GSK",PR!$X216,IF(J218="GLOBORG",PR!$Y216,IF(J218="GOODNEWS",PR!$Z216,IF(J218="GREENLIFE",PR!$AA216,IF(J218="HLINE",PR!$AB216,IF(J218="ROTECH",PR!$AC216,IF(J218="ISN",PR!$AD216,IF(J218="JAWA",PR!$AE216,IF(J218="LAYO",PR!$AF216,IF(J218="LEADWAY",PR!$AG216,IF(J218="LHV",PR!$AH216,IF(J218="MANOLA",PR!$AI216,IF(J218="MARCSON",PR!$AJ216,IF(J218="M&amp;B",PR!$AK216,IF(J218="MTRUST",PR!$AL216,IF(J218="MWORLD",PR!$AM216,IF(J218="MEGA",PR!$AN216,IF(J218="MICRONOVA",PR!$AO216,IF(J218="MFLASH",PR!$AP216,IF(J218="MORISON",PR!$AQ216,IF(J218="NEMEL",PR!$AR216,IF(J218="NHP",PR!$AS216,IF(J218="NHC",PR!$AT216,IF(J218="OLEAF",PR!$AU216,IF(J218="OCULUS",PR!$AV216,IF(J218="PACIFIC",PR!$AW216,IF(J218="PHAMATEX",PR!$AX216,IF(J218="PETHICS",PR!$AY216,IF(J218="PHILIPS",PR!$AZ216,IF(J218="RANBAXY",PR!$BA216,IF(J218="REALS",PR!$BB216,IF(J218="ROYAL",PR!$BC216,IF(J218="SAM",PR!$BD216,IF(J218="SEAGREEN",PR!$BE216,IF(J218="SKG",PR!$BF216,IF(J218="TAH",PR!$BG216,IF(J218="TAYLEK",PR!$BH216,IF(J218="TEMITA",PR!$BI216,IF(J218="THL",PR!$BJ216,IF(J218="UBASTIC",PR!$BK216,IF(J218="UNION",PR!$BL216,IF(J218="UNIQUE",PR!$BM216,IF(J218="VIXA",PR!$BN216,IF(J218="WWCV",PR!$BO216,IF(J218="ZOLON",PR!$BP216,"-"))))))))))))))))))))))))))))))))))))))))))))))))))))))))))))))))</f>
        <v>-</v>
      </c>
      <c r="J218" s="102"/>
      <c r="K218" s="433"/>
      <c r="L218" s="183" t="b">
        <f>IF(K218&gt;0,IF(K218="ALPHA",PR!$E216,IF(K218="ASSENE",PR!$F216,IF(K218="BIOFEM",PR!$G216,IF(K218="BIOMED",PR!$H216,IF(K218="CHI",PR!$I216,IF(K218="CLARION",PR!$J216,IF(K218="CODIX",PR!$K216,IF(K218="COSMADE",PR!$L216,IF(K218="SANCON",PR!$M216,IF(K218="DEVON",PR!$N216,IF(K218="DORTEMAG",PR!$O216,IF(K218="DGF",PR!$P216,IF(K218="DYNAMIC",PR!$Q216,IF(K218="EMZOR",PR!$R216,IF(K218="EUMATT",PR!$S216,IF(K218="FIDSON",PR!$T216,IF(K218="FCGLOBAL",PR!$U216,IF(K218="GENEITH",PR!$V216,IF(K218="GINOS",PR!$W216,IF(K218="GSK",PR!$X216,IF(K218="GLOBORG",PR!$Y216,IF(K218="GOODNEWS",PR!$Z216,IF(K218="GREENLIFE",PR!$AA216,IF(K218="HLINE",PR!$AB216,IF(K218="ROTECH",PR!$AC216,IF(K218="ISN",PR!$AD216,IF(K218="JAWA",PR!$AE216,IF(K218="LAYO",PR!$AF216,IF(K218="LEADWAY",PR!$AG216,IF(K218="LHV",PR!$AH216,IF(K218="MANOLA",PR!$AI216,IF(K218="MARCSON",PR!$AJ216,IF(K218="M&amp;B",PR!$AK216,IF(K218="MTRUST",PR!$AL216,IF(K218="MWORLD",PR!$AM216,IF(K218="MEGA",PR!$AN216,IF(K218="MICRONOVA",PR!$AO216,IF(K218="MFLASH",PR!$AP216,IF(K218="MORISON",PR!$AQ216,IF(K218="NEMEL",PR!$AR216,IF(K218="NHP",PR!$AS216,IF(K218="NHC",PR!$AT216,IF(K218="OLEAF",PR!$AU216,IF(K218="OCULUS",PR!$AV216,IF(K218="PACIFIC",PR!$AW216,IF(K218="PHAMATEX",PR!$AX216,IF(K218="PETHICS",PR!$AY216,IF(K218="PHILIPS",PR!$AZ216,IF(K218="RANBAXY",PR!$BA216,IF(K218="REALS",PR!$BB216,IF(K218="ROYAL",PR!$BC216,IF(K218="SAM",PR!$BD216,IF(K218="SEAGREEN",PR!$BE216,IF(K218="SKG",PR!$BF216,IF(K218="TAH",PR!$BG216,IF(K218="TAYLEK",PR!$BH216,IF(K218="TEMITA",PR!$BI216,IF(K218="THL",PR!$BJ216,IF(K218="UBASTIC",PR!$BK216,IF(K218="UNION",PR!$BL216,IF(K218="UNIQUE",PR!$BM216,IF(K218="VIXA",PR!$BN216,IF(K218="WWCV",PR!$BO216,IF(K218="ZOLON",PR!$BP216,"-")))))))))))))))))))))))))))))))))))))))))))))))))))))))))))))))))</f>
        <v>0</v>
      </c>
    </row>
    <row r="219" spans="1:12" ht="18.75" x14ac:dyDescent="0.3">
      <c r="A219" s="430" t="str">
        <f>PR!A217</f>
        <v>LOT 5</v>
      </c>
      <c r="B219" s="15" t="str">
        <f>PR!B217</f>
        <v>ANTIBIOTICS/ANTI-INFECTIVES</v>
      </c>
      <c r="C219" s="113">
        <f>PR!D217</f>
        <v>0</v>
      </c>
      <c r="D219" s="113">
        <f>PR!C217</f>
        <v>0</v>
      </c>
      <c r="E219" s="108" t="str">
        <f>IF(F219="ALPHA",PR!$E217,IF(F219="ASSENE",PR!$F217,IF(F219="BIOFEM",PR!$G217,IF(F219="BIOMED",PR!$H217,IF(F219="CHI",PR!$I217,IF(F219="CLARION",PR!$J217,IF(F219="CODIX",PR!$K217,IF(F219="COSMADE",PR!$L217,IF(F219="SANCON",PR!$M217,IF(F219="DEVON",PR!$N217,IF(F219="DORTEMAG",PR!$O217,IF(F219="DGF",PR!$P217,IF(F219="DYNAMIC",PR!$Q217,IF(F219="EMZOR",PR!$R217,IF(F219="EUMATT",PR!$S217,IF(F219="FIDSON",PR!$T217,IF(F219="FCGLOBAL",PR!$U217,IF(F219="GENEITH",PR!$V217,IF(F219="GINOS",PR!$W217,IF(F219="GSK",PR!$X217,IF(F219="GLOBORG",PR!$Y217,IF(F219="GOODNEWS",PR!$Z217,IF(F219="GREENLIFE",PR!$AA217,IF(F219="HLINE",PR!$AB217,IF(F219="ROTECH",PR!$AC217,IF(F219="ISN",PR!$AD217,IF(F219="JAWA",PR!$AE217,IF(F219="LAYO",PR!$AF217,IF(F219="LEADWAY",PR!$AG217,IF(F219="LHV",PR!$AH217,IF(F219="MANOLA",PR!$AI217,IF(F219="MARCSON",PR!$AJ217,IF(F219="M&amp;B",PR!$AK217,IF(F219="MTRUST",PR!$AL217,IF(F219="MWORLD",PR!$AM217,IF(F219="MEGA",PR!$AN217,IF(F219="MICRONOVA",PR!$AO217,IF(F219="MFLASH",PR!$AP217,IF(F219="MORISON",PR!$AQ217,IF(F219="NEMEL",PR!$AR217,IF(F219="NHP",PR!$AS217,IF(F219="NHC",PR!$AT217,IF(F219="OLEAF",PR!$AU217,IF(F219="OCULUS",PR!$AV217,IF(F219="PACIFIC",PR!$AW217,IF(F219="PHAMATEX",PR!$AX217,IF(F219="PETHICS",PR!$AY217,IF(F219="PHILIPS",PR!$AZ217,IF(F219="RANBAXY",PR!$BA217,IF(F219="REALS",PR!$BB217,IF(F219="ROYAL",PR!$BC217,IF(F219="SAM",PR!$BD217,IF(F219="SEAGREEN",PR!$BE217,IF(F219="SKG",PR!$BF217,IF(F219="TAH",PR!$BG217,IF(F219="TAYLEK",PR!$BH217,IF(F219="TEMITA",PR!$BI217,IF(F219="THL",PR!$BJ217,IF(F219="UBASTIC",PR!$BK217,IF(F219="UNION",PR!$BL217,IF(F219="UNIQUE",PR!$BM217,IF(F219="VIXA",PR!$BN217,IF(F219="WWCV",PR!$BO217,IF(F219="ZOLON",PR!$BP217,"-"))))))))))))))))))))))))))))))))))))))))))))))))))))))))))))))))</f>
        <v>-</v>
      </c>
      <c r="F219" s="102"/>
      <c r="G219" s="108" t="str">
        <f>IF(H219="ALPHA",PR!$E217,IF(H219="ASSENE",PR!$F217,IF(H219="BIOFEM",PR!$G217,IF(H219="BIOMED",PR!$H217,IF(H219="CHI",PR!$I217,IF(H219="CLARION",PR!$J217,IF(H219="CODIX",PR!$K217,IF(H219="COSMADE",PR!$L217,IF(H219="SANCON",PR!$M217,IF(H219="DEVON",PR!$N217,IF(H219="DORTEMAG",PR!$O217,IF(H219="DGF",PR!$P217,IF(H219="DYNAMIC",PR!$Q217,IF(H219="EMZOR",PR!$R217,IF(H219="EUMATT",PR!$S217,IF(H219="FIDSON",PR!$T217,IF(H219="FCGLOBAL",PR!$U217,IF(H219="GENEITH",PR!$V217,IF(H219="GINOS",PR!$W217,IF(H219="GSK",PR!$X217,IF(H219="GLOBORG",PR!$Y217,IF(H219="GOODNEWS",PR!$Z217,IF(H219="GREENLIFE",PR!$AA217,IF(H219="HLINE",PR!$AB217,IF(H219="ROTECH",PR!$AC217,IF(H219="ISN",PR!$AD217,IF(H219="JAWA",PR!$AE217,IF(H219="LAYO",PR!$AF217,IF(H219="LEADWAY",PR!$AG217,IF(H219="LHV",PR!$AH217,IF(H219="MANOLA",PR!$AI217,IF(H219="MARCSON",PR!$AJ217,IF(H219="M&amp;B",PR!$AK217,IF(H219="MTRUST",PR!$AL217,IF(H219="MWORLD",PR!$AM217,IF(H219="MEGA",PR!$AN217,IF(H219="MICRONOVA",PR!$AO217,IF(H219="MFLASH",PR!$AP217,IF(H219="MORISON",PR!$AQ217,IF(H219="NEMEL",PR!$AR217,IF(H219="NHP",PR!$AS217,IF(H219="NHC",PR!$AT217,IF(H219="OLEAF",PR!$AU217,IF(H219="OCULUS",PR!$AV217,IF(H219="PACIFIC",PR!$AW217,IF(H219="PHAMATEX",PR!$AX217,IF(H219="PETHICS",PR!$AY217,IF(H219="PHILIPS",PR!$AZ217,IF(H219="RANBAXY",PR!$BA217,IF(H219="REALS",PR!$BB217,IF(H219="ROYAL",PR!$BC217,IF(H219="SAM",PR!$BD217,IF(H219="SEAGREEN",PR!$BE217,IF(H219="SKG",PR!$BF217,IF(H219="TAH",PR!$BG217,IF(H219="TAYLEK",PR!$BH217,IF(H219="TEMITA",PR!$BI217,IF(H219="THL",PR!$BJ217,IF(H219="UBASTIC",PR!$BK217,IF(H219="UNION",PR!$BL217,IF(H219="UNIQUE",PR!$BM217,IF(H219="VIXA",PR!$BN217,IF(H219="WWCV",PR!$BO217,IF(H219="ZOLON",PR!$BP217,"-"))))))))))))))))))))))))))))))))))))))))))))))))))))))))))))))))</f>
        <v>-</v>
      </c>
      <c r="H219" s="102"/>
      <c r="I219" s="108" t="str">
        <f>IF(J219="ALPHA",PR!$E217,IF(J219="ASSENE",PR!$F217,IF(J219="BIOFEM",PR!$G217,IF(J219="BIOMED",PR!$H217,IF(J219="CHI",PR!$I217,IF(J219="CLARION",PR!$J217,IF(J219="CODIX",PR!$K217,IF(J219="COSMADE",PR!$L217,IF(J219="SANCON",PR!$M217,IF(J219="DEVON",PR!$N217,IF(J219="DORTEMAG",PR!$O217,IF(J219="DGF",PR!$P217,IF(J219="DYNAMIC",PR!$Q217,IF(J219="EMZOR",PR!$R217,IF(J219="EUMATT",PR!$S217,IF(J219="FIDSON",PR!$T217,IF(J219="FCGLOBAL",PR!$U217,IF(J219="GENEITH",PR!$V217,IF(J219="GINOS",PR!$W217,IF(J219="GSK",PR!$X217,IF(J219="GLOBORG",PR!$Y217,IF(J219="GOODNEWS",PR!$Z217,IF(J219="GREENLIFE",PR!$AA217,IF(J219="HLINE",PR!$AB217,IF(J219="ROTECH",PR!$AC217,IF(J219="ISN",PR!$AD217,IF(J219="JAWA",PR!$AE217,IF(J219="LAYO",PR!$AF217,IF(J219="LEADWAY",PR!$AG217,IF(J219="LHV",PR!$AH217,IF(J219="MANOLA",PR!$AI217,IF(J219="MARCSON",PR!$AJ217,IF(J219="M&amp;B",PR!$AK217,IF(J219="MTRUST",PR!$AL217,IF(J219="MWORLD",PR!$AM217,IF(J219="MEGA",PR!$AN217,IF(J219="MICRONOVA",PR!$AO217,IF(J219="MFLASH",PR!$AP217,IF(J219="MORISON",PR!$AQ217,IF(J219="NEMEL",PR!$AR217,IF(J219="NHP",PR!$AS217,IF(J219="NHC",PR!$AT217,IF(J219="OLEAF",PR!$AU217,IF(J219="OCULUS",PR!$AV217,IF(J219="PACIFIC",PR!$AW217,IF(J219="PHAMATEX",PR!$AX217,IF(J219="PETHICS",PR!$AY217,IF(J219="PHILIPS",PR!$AZ217,IF(J219="RANBAXY",PR!$BA217,IF(J219="REALS",PR!$BB217,IF(J219="ROYAL",PR!$BC217,IF(J219="SAM",PR!$BD217,IF(J219="SEAGREEN",PR!$BE217,IF(J219="SKG",PR!$BF217,IF(J219="TAH",PR!$BG217,IF(J219="TAYLEK",PR!$BH217,IF(J219="TEMITA",PR!$BI217,IF(J219="THL",PR!$BJ217,IF(J219="UBASTIC",PR!$BK217,IF(J219="UNION",PR!$BL217,IF(J219="UNIQUE",PR!$BM217,IF(J219="VIXA",PR!$BN217,IF(J219="WWCV",PR!$BO217,IF(J219="ZOLON",PR!$BP217,"-"))))))))))))))))))))))))))))))))))))))))))))))))))))))))))))))))</f>
        <v>-</v>
      </c>
      <c r="J219" s="102"/>
      <c r="K219" s="433"/>
      <c r="L219" s="183" t="b">
        <f>IF(K219&gt;0,IF(K219="ALPHA",PR!$E217,IF(K219="ASSENE",PR!$F217,IF(K219="BIOFEM",PR!$G217,IF(K219="BIOMED",PR!$H217,IF(K219="CHI",PR!$I217,IF(K219="CLARION",PR!$J217,IF(K219="CODIX",PR!$K217,IF(K219="COSMADE",PR!$L217,IF(K219="SANCON",PR!$M217,IF(K219="DEVON",PR!$N217,IF(K219="DORTEMAG",PR!$O217,IF(K219="DGF",PR!$P217,IF(K219="DYNAMIC",PR!$Q217,IF(K219="EMZOR",PR!$R217,IF(K219="EUMATT",PR!$S217,IF(K219="FIDSON",PR!$T217,IF(K219="FCGLOBAL",PR!$U217,IF(K219="GENEITH",PR!$V217,IF(K219="GINOS",PR!$W217,IF(K219="GSK",PR!$X217,IF(K219="GLOBORG",PR!$Y217,IF(K219="GOODNEWS",PR!$Z217,IF(K219="GREENLIFE",PR!$AA217,IF(K219="HLINE",PR!$AB217,IF(K219="ROTECH",PR!$AC217,IF(K219="ISN",PR!$AD217,IF(K219="JAWA",PR!$AE217,IF(K219="LAYO",PR!$AF217,IF(K219="LEADWAY",PR!$AG217,IF(K219="LHV",PR!$AH217,IF(K219="MANOLA",PR!$AI217,IF(K219="MARCSON",PR!$AJ217,IF(K219="M&amp;B",PR!$AK217,IF(K219="MTRUST",PR!$AL217,IF(K219="MWORLD",PR!$AM217,IF(K219="MEGA",PR!$AN217,IF(K219="MICRONOVA",PR!$AO217,IF(K219="MFLASH",PR!$AP217,IF(K219="MORISON",PR!$AQ217,IF(K219="NEMEL",PR!$AR217,IF(K219="NHP",PR!$AS217,IF(K219="NHC",PR!$AT217,IF(K219="OLEAF",PR!$AU217,IF(K219="OCULUS",PR!$AV217,IF(K219="PACIFIC",PR!$AW217,IF(K219="PHAMATEX",PR!$AX217,IF(K219="PETHICS",PR!$AY217,IF(K219="PHILIPS",PR!$AZ217,IF(K219="RANBAXY",PR!$BA217,IF(K219="REALS",PR!$BB217,IF(K219="ROYAL",PR!$BC217,IF(K219="SAM",PR!$BD217,IF(K219="SEAGREEN",PR!$BE217,IF(K219="SKG",PR!$BF217,IF(K219="TAH",PR!$BG217,IF(K219="TAYLEK",PR!$BH217,IF(K219="TEMITA",PR!$BI217,IF(K219="THL",PR!$BJ217,IF(K219="UBASTIC",PR!$BK217,IF(K219="UNION",PR!$BL217,IF(K219="UNIQUE",PR!$BM217,IF(K219="VIXA",PR!$BN217,IF(K219="WWCV",PR!$BO217,IF(K219="ZOLON",PR!$BP217,"-")))))))))))))))))))))))))))))))))))))))))))))))))))))))))))))))))</f>
        <v>0</v>
      </c>
    </row>
    <row r="220" spans="1:12" ht="18.75" x14ac:dyDescent="0.3">
      <c r="A220" s="430">
        <f>PR!A218</f>
        <v>194</v>
      </c>
      <c r="B220" s="15" t="str">
        <f>PR!B218</f>
        <v>ACYCLOVIR 200MG</v>
      </c>
      <c r="C220" s="113">
        <f>PR!D218</f>
        <v>25</v>
      </c>
      <c r="D220" s="113">
        <f>PR!C218</f>
        <v>60</v>
      </c>
      <c r="E220" s="108">
        <f>IF(F220="ALPHA",PR!$E218,IF(F220="ASSENE",PR!$F218,IF(F220="BIOFEM",PR!$G218,IF(F220="BIOMED",PR!$H218,IF(F220="CHI",PR!$I218,IF(F220="CLARION",PR!$J218,IF(F220="CODIX",PR!$K218,IF(F220="COSMADE",PR!$L218,IF(F220="SANCON",PR!$M218,IF(F220="DEVON",PR!$N218,IF(F220="DORTEMAG",PR!$O218,IF(F220="DGF",PR!$P218,IF(F220="DYNAMIC",PR!$Q218,IF(F220="EMZOR",PR!$R218,IF(F220="EUMATT",PR!$S218,IF(F220="FIDSON",PR!$T218,IF(F220="FCGLOBAL",PR!$U218,IF(F220="GENEITH",PR!$V218,IF(F220="GINOS",PR!$W218,IF(F220="GSK",PR!$X218,IF(F220="GLOBORG",PR!$Y218,IF(F220="GOODNEWS",PR!$Z218,IF(F220="GREENLIFE",PR!$AA218,IF(F220="HLINE",PR!$AB218,IF(F220="ROTECH",PR!$AC218,IF(F220="ISN",PR!$AD218,IF(F220="JAWA",PR!$AE218,IF(F220="LAYO",PR!$AF218,IF(F220="LEADWAY",PR!$AG218,IF(F220="LHV",PR!$AH218,IF(F220="MANOLA",PR!$AI218,IF(F220="MARCSON",PR!$AJ218,IF(F220="M&amp;B",PR!$AK218,IF(F220="MTRUST",PR!$AL218,IF(F220="MWORLD",PR!$AM218,IF(F220="MEGA",PR!$AN218,IF(F220="MICRONOVA",PR!$AO218,IF(F220="MFLASH",PR!$AP218,IF(F220="MORISON",PR!$AQ218,IF(F220="NEMEL",PR!$AR218,IF(F220="NHP",PR!$AS218,IF(F220="NHC",PR!$AT218,IF(F220="OLEAF",PR!$AU218,IF(F220="OCULUS",PR!$AV218,IF(F220="PACIFIC",PR!$AW218,IF(F220="PHAMATEX",PR!$AX218,IF(F220="PETHICS",PR!$AY218,IF(F220="PHILIPS",PR!$AZ218,IF(F220="RANBAXY",PR!$BA218,IF(F220="REALS",PR!$BB218,IF(F220="ROYAL",PR!$BC218,IF(F220="SAM",PR!$BD218,IF(F220="SEAGREEN",PR!$BE218,IF(F220="SKG",PR!$BF218,IF(F220="TAH",PR!$BG218,IF(F220="TAYLEK",PR!$BH218,IF(F220="TEMITA",PR!$BI218,IF(F220="THL",PR!$BJ218,IF(F220="UBASTIC",PR!$BK218,IF(F220="UNION",PR!$BL218,IF(F220="UNIQUE",PR!$BM218,IF(F220="VIXA",PR!$BN218,IF(F220="WWCV",PR!$BO218,IF(F220="ZOLON",PR!$BP218,"-"))))))))))))))))))))))))))))))))))))))))))))))))))))))))))))))))</f>
        <v>2300</v>
      </c>
      <c r="F220" s="102" t="str">
        <f>EV!L282</f>
        <v>EUMATT</v>
      </c>
      <c r="G220" s="108" t="str">
        <f>IF(H220="ALPHA",PR!$E218,IF(H220="ASSENE",PR!$F218,IF(H220="BIOFEM",PR!$G218,IF(H220="BIOMED",PR!$H218,IF(H220="CHI",PR!$I218,IF(H220="CLARION",PR!$J218,IF(H220="CODIX",PR!$K218,IF(H220="COSMADE",PR!$L218,IF(H220="SANCON",PR!$M218,IF(H220="DEVON",PR!$N218,IF(H220="DORTEMAG",PR!$O218,IF(H220="DGF",PR!$P218,IF(H220="DYNAMIC",PR!$Q218,IF(H220="EMZOR",PR!$R218,IF(H220="EUMATT",PR!$S218,IF(H220="FIDSON",PR!$T218,IF(H220="FCGLOBAL",PR!$U218,IF(H220="GENEITH",PR!$V218,IF(H220="GINOS",PR!$W218,IF(H220="GSK",PR!$X218,IF(H220="GLOBORG",PR!$Y218,IF(H220="GOODNEWS",PR!$Z218,IF(H220="GREENLIFE",PR!$AA218,IF(H220="HLINE",PR!$AB218,IF(H220="ROTECH",PR!$AC218,IF(H220="ISN",PR!$AD218,IF(H220="JAWA",PR!$AE218,IF(H220="LAYO",PR!$AF218,IF(H220="LEADWAY",PR!$AG218,IF(H220="LHV",PR!$AH218,IF(H220="MANOLA",PR!$AI218,IF(H220="MARCSON",PR!$AJ218,IF(H220="M&amp;B",PR!$AK218,IF(H220="MTRUST",PR!$AL218,IF(H220="MWORLD",PR!$AM218,IF(H220="MEGA",PR!$AN218,IF(H220="MICRONOVA",PR!$AO218,IF(H220="MFLASH",PR!$AP218,IF(H220="MORISON",PR!$AQ218,IF(H220="NEMEL",PR!$AR218,IF(H220="NHP",PR!$AS218,IF(H220="NHC",PR!$AT218,IF(H220="OLEAF",PR!$AU218,IF(H220="OCULUS",PR!$AV218,IF(H220="PACIFIC",PR!$AW218,IF(H220="PHAMATEX",PR!$AX218,IF(H220="PETHICS",PR!$AY218,IF(H220="PHILIPS",PR!$AZ218,IF(H220="RANBAXY",PR!$BA218,IF(H220="REALS",PR!$BB218,IF(H220="ROYAL",PR!$BC218,IF(H220="SAM",PR!$BD218,IF(H220="SEAGREEN",PR!$BE218,IF(H220="SKG",PR!$BF218,IF(H220="TAH",PR!$BG218,IF(H220="TAYLEK",PR!$BH218,IF(H220="TEMITA",PR!$BI218,IF(H220="THL",PR!$BJ218,IF(H220="UBASTIC",PR!$BK218,IF(H220="UNION",PR!$BL218,IF(H220="UNIQUE",PR!$BM218,IF(H220="VIXA",PR!$BN218,IF(H220="WWCV",PR!$BO218,IF(H220="ZOLON",PR!$BP218,"-"))))))))))))))))))))))))))))))))))))))))))))))))))))))))))))))))</f>
        <v>-</v>
      </c>
      <c r="H220" s="102">
        <f>EV!M282</f>
        <v>0</v>
      </c>
      <c r="I220" s="108" t="str">
        <f>IF(J220="ALPHA",PR!$E218,IF(J220="ASSENE",PR!$F218,IF(J220="BIOFEM",PR!$G218,IF(J220="BIOMED",PR!$H218,IF(J220="CHI",PR!$I218,IF(J220="CLARION",PR!$J218,IF(J220="CODIX",PR!$K218,IF(J220="COSMADE",PR!$L218,IF(J220="SANCON",PR!$M218,IF(J220="DEVON",PR!$N218,IF(J220="DORTEMAG",PR!$O218,IF(J220="DGF",PR!$P218,IF(J220="DYNAMIC",PR!$Q218,IF(J220="EMZOR",PR!$R218,IF(J220="EUMATT",PR!$S218,IF(J220="FIDSON",PR!$T218,IF(J220="FCGLOBAL",PR!$U218,IF(J220="GENEITH",PR!$V218,IF(J220="GINOS",PR!$W218,IF(J220="GSK",PR!$X218,IF(J220="GLOBORG",PR!$Y218,IF(J220="GOODNEWS",PR!$Z218,IF(J220="GREENLIFE",PR!$AA218,IF(J220="HLINE",PR!$AB218,IF(J220="ROTECH",PR!$AC218,IF(J220="ISN",PR!$AD218,IF(J220="JAWA",PR!$AE218,IF(J220="LAYO",PR!$AF218,IF(J220="LEADWAY",PR!$AG218,IF(J220="LHV",PR!$AH218,IF(J220="MANOLA",PR!$AI218,IF(J220="MARCSON",PR!$AJ218,IF(J220="M&amp;B",PR!$AK218,IF(J220="MTRUST",PR!$AL218,IF(J220="MWORLD",PR!$AM218,IF(J220="MEGA",PR!$AN218,IF(J220="MICRONOVA",PR!$AO218,IF(J220="MFLASH",PR!$AP218,IF(J220="MORISON",PR!$AQ218,IF(J220="NEMEL",PR!$AR218,IF(J220="NHP",PR!$AS218,IF(J220="NHC",PR!$AT218,IF(J220="OLEAF",PR!$AU218,IF(J220="OCULUS",PR!$AV218,IF(J220="PACIFIC",PR!$AW218,IF(J220="PHAMATEX",PR!$AX218,IF(J220="PETHICS",PR!$AY218,IF(J220="PHILIPS",PR!$AZ218,IF(J220="RANBAXY",PR!$BA218,IF(J220="REALS",PR!$BB218,IF(J220="ROYAL",PR!$BC218,IF(J220="SAM",PR!$BD218,IF(J220="SEAGREEN",PR!$BE218,IF(J220="SKG",PR!$BF218,IF(J220="TAH",PR!$BG218,IF(J220="TAYLEK",PR!$BH218,IF(J220="TEMITA",PR!$BI218,IF(J220="THL",PR!$BJ218,IF(J220="UBASTIC",PR!$BK218,IF(J220="UNION",PR!$BL218,IF(J220="UNIQUE",PR!$BM218,IF(J220="VIXA",PR!$BN218,IF(J220="WWCV",PR!$BO218,IF(J220="ZOLON",PR!$BP218,"-"))))))))))))))))))))))))))))))))))))))))))))))))))))))))))))))))</f>
        <v>-</v>
      </c>
      <c r="J220" s="102">
        <f>EV!N282</f>
        <v>0</v>
      </c>
      <c r="K220" s="433" t="s">
        <v>821</v>
      </c>
      <c r="L220" s="183">
        <f>IF(K220&gt;0,IF(K220="ALPHA",PR!$E218,IF(K220="ASSENE",PR!$F218,IF(K220="BIOFEM",PR!$G218,IF(K220="BIOMED",PR!$H218,IF(K220="CHI",PR!$I218,IF(K220="CLARION",PR!$J218,IF(K220="CODIX",PR!$K218,IF(K220="COSMADE",PR!$L218,IF(K220="SANCON",PR!$M218,IF(K220="DEVON",PR!$N218,IF(K220="DORTEMAG",PR!$O218,IF(K220="DGF",PR!$P218,IF(K220="DYNAMIC",PR!$Q218,IF(K220="EMZOR",PR!$R218,IF(K220="EUMATT",PR!$S218,IF(K220="FIDSON",PR!$T218,IF(K220="FCGLOBAL",PR!$U218,IF(K220="GENEITH",PR!$V218,IF(K220="GINOS",PR!$W218,IF(K220="GSK",PR!$X218,IF(K220="GLOBORG",PR!$Y218,IF(K220="GOODNEWS",PR!$Z218,IF(K220="GREENLIFE",PR!$AA218,IF(K220="HLINE",PR!$AB218,IF(K220="ROTECH",PR!$AC218,IF(K220="ISN",PR!$AD218,IF(K220="JAWA",PR!$AE218,IF(K220="LAYO",PR!$AF218,IF(K220="LEADWAY",PR!$AG218,IF(K220="LHV",PR!$AH218,IF(K220="MANOLA",PR!$AI218,IF(K220="MARCSON",PR!$AJ218,IF(K220="M&amp;B",PR!$AK218,IF(K220="MTRUST",PR!$AL218,IF(K220="MWORLD",PR!$AM218,IF(K220="MEGA",PR!$AN218,IF(K220="MICRONOVA",PR!$AO218,IF(K220="MFLASH",PR!$AP218,IF(K220="MORISON",PR!$AQ218,IF(K220="NEMEL",PR!$AR218,IF(K220="NHP",PR!$AS218,IF(K220="NHC",PR!$AT218,IF(K220="OLEAF",PR!$AU218,IF(K220="OCULUS",PR!$AV218,IF(K220="PACIFIC",PR!$AW218,IF(K220="PHAMATEX",PR!$AX218,IF(K220="PETHICS",PR!$AY218,IF(K220="PHILIPS",PR!$AZ218,IF(K220="RANBAXY",PR!$BA218,IF(K220="REALS",PR!$BB218,IF(K220="ROYAL",PR!$BC218,IF(K220="SAM",PR!$BD218,IF(K220="SEAGREEN",PR!$BE218,IF(K220="SKG",PR!$BF218,IF(K220="TAH",PR!$BG218,IF(K220="TAYLEK",PR!$BH218,IF(K220="TEMITA",PR!$BI218,IF(K220="THL",PR!$BJ218,IF(K220="UBASTIC",PR!$BK218,IF(K220="UNION",PR!$BL218,IF(K220="UNIQUE",PR!$BM218,IF(K220="VIXA",PR!$BN218,IF(K220="WWCV",PR!$BO218,IF(K220="ZOLON",PR!$BP218,"-")))))))))))))))))))))))))))))))))))))))))))))))))))))))))))))))))</f>
        <v>2300</v>
      </c>
    </row>
    <row r="221" spans="1:12" ht="18.75" x14ac:dyDescent="0.3">
      <c r="A221" s="430">
        <f>PR!A219</f>
        <v>195</v>
      </c>
      <c r="B221" s="15" t="str">
        <f>PR!B219</f>
        <v>ACYCLOVIR 400MG</v>
      </c>
      <c r="C221" s="113">
        <f>PR!D219</f>
        <v>25</v>
      </c>
      <c r="D221" s="113">
        <f>PR!C219</f>
        <v>100</v>
      </c>
      <c r="E221" s="108">
        <f>IF(F221="ALPHA",PR!$E219,IF(F221="ASSENE",PR!$F219,IF(F221="BIOFEM",PR!$G219,IF(F221="BIOMED",PR!$H219,IF(F221="CHI",PR!$I219,IF(F221="CLARION",PR!$J219,IF(F221="CODIX",PR!$K219,IF(F221="COSMADE",PR!$L219,IF(F221="SANCON",PR!$M219,IF(F221="DEVON",PR!$N219,IF(F221="DORTEMAG",PR!$O219,IF(F221="DGF",PR!$P219,IF(F221="DYNAMIC",PR!$Q219,IF(F221="EMZOR",PR!$R219,IF(F221="EUMATT",PR!$S219,IF(F221="FIDSON",PR!$T219,IF(F221="FCGLOBAL",PR!$U219,IF(F221="GENEITH",PR!$V219,IF(F221="GINOS",PR!$W219,IF(F221="GSK",PR!$X219,IF(F221="GLOBORG",PR!$Y219,IF(F221="GOODNEWS",PR!$Z219,IF(F221="GREENLIFE",PR!$AA219,IF(F221="HLINE",PR!$AB219,IF(F221="ROTECH",PR!$AC219,IF(F221="ISN",PR!$AD219,IF(F221="JAWA",PR!$AE219,IF(F221="LAYO",PR!$AF219,IF(F221="LEADWAY",PR!$AG219,IF(F221="LHV",PR!$AH219,IF(F221="MANOLA",PR!$AI219,IF(F221="MARCSON",PR!$AJ219,IF(F221="M&amp;B",PR!$AK219,IF(F221="MTRUST",PR!$AL219,IF(F221="MWORLD",PR!$AM219,IF(F221="MEGA",PR!$AN219,IF(F221="MICRONOVA",PR!$AO219,IF(F221="MFLASH",PR!$AP219,IF(F221="MORISON",PR!$AQ219,IF(F221="NEMEL",PR!$AR219,IF(F221="NHP",PR!$AS219,IF(F221="NHC",PR!$AT219,IF(F221="OLEAF",PR!$AU219,IF(F221="OCULUS",PR!$AV219,IF(F221="PACIFIC",PR!$AW219,IF(F221="PHAMATEX",PR!$AX219,IF(F221="PETHICS",PR!$AY219,IF(F221="PHILIPS",PR!$AZ219,IF(F221="RANBAXY",PR!$BA219,IF(F221="REALS",PR!$BB219,IF(F221="ROYAL",PR!$BC219,IF(F221="SAM",PR!$BD219,IF(F221="SEAGREEN",PR!$BE219,IF(F221="SKG",PR!$BF219,IF(F221="TAH",PR!$BG219,IF(F221="TAYLEK",PR!$BH219,IF(F221="TEMITA",PR!$BI219,IF(F221="THL",PR!$BJ219,IF(F221="UBASTIC",PR!$BK219,IF(F221="UNION",PR!$BL219,IF(F221="UNIQUE",PR!$BM219,IF(F221="VIXA",PR!$BN219,IF(F221="WWCV",PR!$BO219,IF(F221="ZOLON",PR!$BP219,"-"))))))))))))))))))))))))))))))))))))))))))))))))))))))))))))))))</f>
        <v>4200</v>
      </c>
      <c r="F221" s="102" t="str">
        <f>EV!L283</f>
        <v>EUMATT</v>
      </c>
      <c r="G221" s="108" t="str">
        <f>IF(H221="ALPHA",PR!$E219,IF(H221="ASSENE",PR!$F219,IF(H221="BIOFEM",PR!$G219,IF(H221="BIOMED",PR!$H219,IF(H221="CHI",PR!$I219,IF(H221="CLARION",PR!$J219,IF(H221="CODIX",PR!$K219,IF(H221="COSMADE",PR!$L219,IF(H221="SANCON",PR!$M219,IF(H221="DEVON",PR!$N219,IF(H221="DORTEMAG",PR!$O219,IF(H221="DGF",PR!$P219,IF(H221="DYNAMIC",PR!$Q219,IF(H221="EMZOR",PR!$R219,IF(H221="EUMATT",PR!$S219,IF(H221="FIDSON",PR!$T219,IF(H221="FCGLOBAL",PR!$U219,IF(H221="GENEITH",PR!$V219,IF(H221="GINOS",PR!$W219,IF(H221="GSK",PR!$X219,IF(H221="GLOBORG",PR!$Y219,IF(H221="GOODNEWS",PR!$Z219,IF(H221="GREENLIFE",PR!$AA219,IF(H221="HLINE",PR!$AB219,IF(H221="ROTECH",PR!$AC219,IF(H221="ISN",PR!$AD219,IF(H221="JAWA",PR!$AE219,IF(H221="LAYO",PR!$AF219,IF(H221="LEADWAY",PR!$AG219,IF(H221="LHV",PR!$AH219,IF(H221="MANOLA",PR!$AI219,IF(H221="MARCSON",PR!$AJ219,IF(H221="M&amp;B",PR!$AK219,IF(H221="MTRUST",PR!$AL219,IF(H221="MWORLD",PR!$AM219,IF(H221="MEGA",PR!$AN219,IF(H221="MICRONOVA",PR!$AO219,IF(H221="MFLASH",PR!$AP219,IF(H221="MORISON",PR!$AQ219,IF(H221="NEMEL",PR!$AR219,IF(H221="NHP",PR!$AS219,IF(H221="NHC",PR!$AT219,IF(H221="OLEAF",PR!$AU219,IF(H221="OCULUS",PR!$AV219,IF(H221="PACIFIC",PR!$AW219,IF(H221="PHAMATEX",PR!$AX219,IF(H221="PETHICS",PR!$AY219,IF(H221="PHILIPS",PR!$AZ219,IF(H221="RANBAXY",PR!$BA219,IF(H221="REALS",PR!$BB219,IF(H221="ROYAL",PR!$BC219,IF(H221="SAM",PR!$BD219,IF(H221="SEAGREEN",PR!$BE219,IF(H221="SKG",PR!$BF219,IF(H221="TAH",PR!$BG219,IF(H221="TAYLEK",PR!$BH219,IF(H221="TEMITA",PR!$BI219,IF(H221="THL",PR!$BJ219,IF(H221="UBASTIC",PR!$BK219,IF(H221="UNION",PR!$BL219,IF(H221="UNIQUE",PR!$BM219,IF(H221="VIXA",PR!$BN219,IF(H221="WWCV",PR!$BO219,IF(H221="ZOLON",PR!$BP219,"-"))))))))))))))))))))))))))))))))))))))))))))))))))))))))))))))))</f>
        <v>-</v>
      </c>
      <c r="H221" s="102">
        <f>EV!M283</f>
        <v>0</v>
      </c>
      <c r="I221" s="108" t="str">
        <f>IF(J221="ALPHA",PR!$E219,IF(J221="ASSENE",PR!$F219,IF(J221="BIOFEM",PR!$G219,IF(J221="BIOMED",PR!$H219,IF(J221="CHI",PR!$I219,IF(J221="CLARION",PR!$J219,IF(J221="CODIX",PR!$K219,IF(J221="COSMADE",PR!$L219,IF(J221="SANCON",PR!$M219,IF(J221="DEVON",PR!$N219,IF(J221="DORTEMAG",PR!$O219,IF(J221="DGF",PR!$P219,IF(J221="DYNAMIC",PR!$Q219,IF(J221="EMZOR",PR!$R219,IF(J221="EUMATT",PR!$S219,IF(J221="FIDSON",PR!$T219,IF(J221="FCGLOBAL",PR!$U219,IF(J221="GENEITH",PR!$V219,IF(J221="GINOS",PR!$W219,IF(J221="GSK",PR!$X219,IF(J221="GLOBORG",PR!$Y219,IF(J221="GOODNEWS",PR!$Z219,IF(J221="GREENLIFE",PR!$AA219,IF(J221="HLINE",PR!$AB219,IF(J221="ROTECH",PR!$AC219,IF(J221="ISN",PR!$AD219,IF(J221="JAWA",PR!$AE219,IF(J221="LAYO",PR!$AF219,IF(J221="LEADWAY",PR!$AG219,IF(J221="LHV",PR!$AH219,IF(J221="MANOLA",PR!$AI219,IF(J221="MARCSON",PR!$AJ219,IF(J221="M&amp;B",PR!$AK219,IF(J221="MTRUST",PR!$AL219,IF(J221="MWORLD",PR!$AM219,IF(J221="MEGA",PR!$AN219,IF(J221="MICRONOVA",PR!$AO219,IF(J221="MFLASH",PR!$AP219,IF(J221="MORISON",PR!$AQ219,IF(J221="NEMEL",PR!$AR219,IF(J221="NHP",PR!$AS219,IF(J221="NHC",PR!$AT219,IF(J221="OLEAF",PR!$AU219,IF(J221="OCULUS",PR!$AV219,IF(J221="PACIFIC",PR!$AW219,IF(J221="PHAMATEX",PR!$AX219,IF(J221="PETHICS",PR!$AY219,IF(J221="PHILIPS",PR!$AZ219,IF(J221="RANBAXY",PR!$BA219,IF(J221="REALS",PR!$BB219,IF(J221="ROYAL",PR!$BC219,IF(J221="SAM",PR!$BD219,IF(J221="SEAGREEN",PR!$BE219,IF(J221="SKG",PR!$BF219,IF(J221="TAH",PR!$BG219,IF(J221="TAYLEK",PR!$BH219,IF(J221="TEMITA",PR!$BI219,IF(J221="THL",PR!$BJ219,IF(J221="UBASTIC",PR!$BK219,IF(J221="UNION",PR!$BL219,IF(J221="UNIQUE",PR!$BM219,IF(J221="VIXA",PR!$BN219,IF(J221="WWCV",PR!$BO219,IF(J221="ZOLON",PR!$BP219,"-"))))))))))))))))))))))))))))))))))))))))))))))))))))))))))))))))</f>
        <v>-</v>
      </c>
      <c r="J221" s="102">
        <f>EV!N283</f>
        <v>0</v>
      </c>
      <c r="K221" s="433" t="s">
        <v>821</v>
      </c>
      <c r="L221" s="183">
        <f>IF(K221&gt;0,IF(K221="ALPHA",PR!$E219,IF(K221="ASSENE",PR!$F219,IF(K221="BIOFEM",PR!$G219,IF(K221="BIOMED",PR!$H219,IF(K221="CHI",PR!$I219,IF(K221="CLARION",PR!$J219,IF(K221="CODIX",PR!$K219,IF(K221="COSMADE",PR!$L219,IF(K221="SANCON",PR!$M219,IF(K221="DEVON",PR!$N219,IF(K221="DORTEMAG",PR!$O219,IF(K221="DGF",PR!$P219,IF(K221="DYNAMIC",PR!$Q219,IF(K221="EMZOR",PR!$R219,IF(K221="EUMATT",PR!$S219,IF(K221="FIDSON",PR!$T219,IF(K221="FCGLOBAL",PR!$U219,IF(K221="GENEITH",PR!$V219,IF(K221="GINOS",PR!$W219,IF(K221="GSK",PR!$X219,IF(K221="GLOBORG",PR!$Y219,IF(K221="GOODNEWS",PR!$Z219,IF(K221="GREENLIFE",PR!$AA219,IF(K221="HLINE",PR!$AB219,IF(K221="ROTECH",PR!$AC219,IF(K221="ISN",PR!$AD219,IF(K221="JAWA",PR!$AE219,IF(K221="LAYO",PR!$AF219,IF(K221="LEADWAY",PR!$AG219,IF(K221="LHV",PR!$AH219,IF(K221="MANOLA",PR!$AI219,IF(K221="MARCSON",PR!$AJ219,IF(K221="M&amp;B",PR!$AK219,IF(K221="MTRUST",PR!$AL219,IF(K221="MWORLD",PR!$AM219,IF(K221="MEGA",PR!$AN219,IF(K221="MICRONOVA",PR!$AO219,IF(K221="MFLASH",PR!$AP219,IF(K221="MORISON",PR!$AQ219,IF(K221="NEMEL",PR!$AR219,IF(K221="NHP",PR!$AS219,IF(K221="NHC",PR!$AT219,IF(K221="OLEAF",PR!$AU219,IF(K221="OCULUS",PR!$AV219,IF(K221="PACIFIC",PR!$AW219,IF(K221="PHAMATEX",PR!$AX219,IF(K221="PETHICS",PR!$AY219,IF(K221="PHILIPS",PR!$AZ219,IF(K221="RANBAXY",PR!$BA219,IF(K221="REALS",PR!$BB219,IF(K221="ROYAL",PR!$BC219,IF(K221="SAM",PR!$BD219,IF(K221="SEAGREEN",PR!$BE219,IF(K221="SKG",PR!$BF219,IF(K221="TAH",PR!$BG219,IF(K221="TAYLEK",PR!$BH219,IF(K221="TEMITA",PR!$BI219,IF(K221="THL",PR!$BJ219,IF(K221="UBASTIC",PR!$BK219,IF(K221="UNION",PR!$BL219,IF(K221="UNIQUE",PR!$BM219,IF(K221="VIXA",PR!$BN219,IF(K221="WWCV",PR!$BO219,IF(K221="ZOLON",PR!$BP219,"-")))))))))))))))))))))))))))))))))))))))))))))))))))))))))))))))))</f>
        <v>4200</v>
      </c>
    </row>
    <row r="222" spans="1:12" ht="18.75" x14ac:dyDescent="0.3">
      <c r="A222" s="430">
        <f>PR!A220</f>
        <v>196</v>
      </c>
      <c r="B222" s="15" t="str">
        <f>PR!B220</f>
        <v>AMIKACIN INJ</v>
      </c>
      <c r="C222" s="113" t="str">
        <f>PR!D220</f>
        <v>VIAL</v>
      </c>
      <c r="D222" s="113">
        <f>PR!C220</f>
        <v>1200</v>
      </c>
      <c r="E222" s="108">
        <f>IF(F222="ALPHA",PR!$E220,IF(F222="ASSENE",PR!$F220,IF(F222="BIOFEM",PR!$G220,IF(F222="BIOMED",PR!$H220,IF(F222="CHI",PR!$I220,IF(F222="CLARION",PR!$J220,IF(F222="CODIX",PR!$K220,IF(F222="COSMADE",PR!$L220,IF(F222="SANCON",PR!$M220,IF(F222="DEVON",PR!$N220,IF(F222="DORTEMAG",PR!$O220,IF(F222="DGF",PR!$P220,IF(F222="DYNAMIC",PR!$Q220,IF(F222="EMZOR",PR!$R220,IF(F222="EUMATT",PR!$S220,IF(F222="FIDSON",PR!$T220,IF(F222="FCGLOBAL",PR!$U220,IF(F222="GENEITH",PR!$V220,IF(F222="GINOS",PR!$W220,IF(F222="GSK",PR!$X220,IF(F222="GLOBORG",PR!$Y220,IF(F222="GOODNEWS",PR!$Z220,IF(F222="GREENLIFE",PR!$AA220,IF(F222="HLINE",PR!$AB220,IF(F222="ROTECH",PR!$AC220,IF(F222="ISN",PR!$AD220,IF(F222="JAWA",PR!$AE220,IF(F222="LAYO",PR!$AF220,IF(F222="LEADWAY",PR!$AG220,IF(F222="LHV",PR!$AH220,IF(F222="MANOLA",PR!$AI220,IF(F222="MARCSON",PR!$AJ220,IF(F222="M&amp;B",PR!$AK220,IF(F222="MTRUST",PR!$AL220,IF(F222="MWORLD",PR!$AM220,IF(F222="MEGA",PR!$AN220,IF(F222="MICRONOVA",PR!$AO220,IF(F222="MFLASH",PR!$AP220,IF(F222="MORISON",PR!$AQ220,IF(F222="NEMEL",PR!$AR220,IF(F222="NHP",PR!$AS220,IF(F222="NHC",PR!$AT220,IF(F222="OLEAF",PR!$AU220,IF(F222="OCULUS",PR!$AV220,IF(F222="PACIFIC",PR!$AW220,IF(F222="PHAMATEX",PR!$AX220,IF(F222="PETHICS",PR!$AY220,IF(F222="PHILIPS",PR!$AZ220,IF(F222="RANBAXY",PR!$BA220,IF(F222="REALS",PR!$BB220,IF(F222="ROYAL",PR!$BC220,IF(F222="SAM",PR!$BD220,IF(F222="SEAGREEN",PR!$BE220,IF(F222="SKG",PR!$BF220,IF(F222="TAH",PR!$BG220,IF(F222="TAYLEK",PR!$BH220,IF(F222="TEMITA",PR!$BI220,IF(F222="THL",PR!$BJ220,IF(F222="UBASTIC",PR!$BK220,IF(F222="UNION",PR!$BL220,IF(F222="UNIQUE",PR!$BM220,IF(F222="VIXA",PR!$BN220,IF(F222="WWCV",PR!$BO220,IF(F222="ZOLON",PR!$BP220,"-"))))))))))))))))))))))))))))))))))))))))))))))))))))))))))))))))</f>
        <v>250</v>
      </c>
      <c r="F222" s="102" t="str">
        <f>EV!L284</f>
        <v>EUMATT</v>
      </c>
      <c r="G222" s="108" t="str">
        <f>IF(H222="ALPHA",PR!$E220,IF(H222="ASSENE",PR!$F220,IF(H222="BIOFEM",PR!$G220,IF(H222="BIOMED",PR!$H220,IF(H222="CHI",PR!$I220,IF(H222="CLARION",PR!$J220,IF(H222="CODIX",PR!$K220,IF(H222="COSMADE",PR!$L220,IF(H222="SANCON",PR!$M220,IF(H222="DEVON",PR!$N220,IF(H222="DORTEMAG",PR!$O220,IF(H222="DGF",PR!$P220,IF(H222="DYNAMIC",PR!$Q220,IF(H222="EMZOR",PR!$R220,IF(H222="EUMATT",PR!$S220,IF(H222="FIDSON",PR!$T220,IF(H222="FCGLOBAL",PR!$U220,IF(H222="GENEITH",PR!$V220,IF(H222="GINOS",PR!$W220,IF(H222="GSK",PR!$X220,IF(H222="GLOBORG",PR!$Y220,IF(H222="GOODNEWS",PR!$Z220,IF(H222="GREENLIFE",PR!$AA220,IF(H222="HLINE",PR!$AB220,IF(H222="ROTECH",PR!$AC220,IF(H222="ISN",PR!$AD220,IF(H222="JAWA",PR!$AE220,IF(H222="LAYO",PR!$AF220,IF(H222="LEADWAY",PR!$AG220,IF(H222="LHV",PR!$AH220,IF(H222="MANOLA",PR!$AI220,IF(H222="MARCSON",PR!$AJ220,IF(H222="M&amp;B",PR!$AK220,IF(H222="MTRUST",PR!$AL220,IF(H222="MWORLD",PR!$AM220,IF(H222="MEGA",PR!$AN220,IF(H222="MICRONOVA",PR!$AO220,IF(H222="MFLASH",PR!$AP220,IF(H222="MORISON",PR!$AQ220,IF(H222="NEMEL",PR!$AR220,IF(H222="NHP",PR!$AS220,IF(H222="NHC",PR!$AT220,IF(H222="OLEAF",PR!$AU220,IF(H222="OCULUS",PR!$AV220,IF(H222="PACIFIC",PR!$AW220,IF(H222="PHAMATEX",PR!$AX220,IF(H222="PETHICS",PR!$AY220,IF(H222="PHILIPS",PR!$AZ220,IF(H222="RANBAXY",PR!$BA220,IF(H222="REALS",PR!$BB220,IF(H222="ROYAL",PR!$BC220,IF(H222="SAM",PR!$BD220,IF(H222="SEAGREEN",PR!$BE220,IF(H222="SKG",PR!$BF220,IF(H222="TAH",PR!$BG220,IF(H222="TAYLEK",PR!$BH220,IF(H222="TEMITA",PR!$BI220,IF(H222="THL",PR!$BJ220,IF(H222="UBASTIC",PR!$BK220,IF(H222="UNION",PR!$BL220,IF(H222="UNIQUE",PR!$BM220,IF(H222="VIXA",PR!$BN220,IF(H222="WWCV",PR!$BO220,IF(H222="ZOLON",PR!$BP220,"-"))))))))))))))))))))))))))))))))))))))))))))))))))))))))))))))))</f>
        <v>-</v>
      </c>
      <c r="H222" s="102">
        <f>EV!M284</f>
        <v>0</v>
      </c>
      <c r="I222" s="108" t="str">
        <f>IF(J222="ALPHA",PR!$E220,IF(J222="ASSENE",PR!$F220,IF(J222="BIOFEM",PR!$G220,IF(J222="BIOMED",PR!$H220,IF(J222="CHI",PR!$I220,IF(J222="CLARION",PR!$J220,IF(J222="CODIX",PR!$K220,IF(J222="COSMADE",PR!$L220,IF(J222="SANCON",PR!$M220,IF(J222="DEVON",PR!$N220,IF(J222="DORTEMAG",PR!$O220,IF(J222="DGF",PR!$P220,IF(J222="DYNAMIC",PR!$Q220,IF(J222="EMZOR",PR!$R220,IF(J222="EUMATT",PR!$S220,IF(J222="FIDSON",PR!$T220,IF(J222="FCGLOBAL",PR!$U220,IF(J222="GENEITH",PR!$V220,IF(J222="GINOS",PR!$W220,IF(J222="GSK",PR!$X220,IF(J222="GLOBORG",PR!$Y220,IF(J222="GOODNEWS",PR!$Z220,IF(J222="GREENLIFE",PR!$AA220,IF(J222="HLINE",PR!$AB220,IF(J222="ROTECH",PR!$AC220,IF(J222="ISN",PR!$AD220,IF(J222="JAWA",PR!$AE220,IF(J222="LAYO",PR!$AF220,IF(J222="LEADWAY",PR!$AG220,IF(J222="LHV",PR!$AH220,IF(J222="MANOLA",PR!$AI220,IF(J222="MARCSON",PR!$AJ220,IF(J222="M&amp;B",PR!$AK220,IF(J222="MTRUST",PR!$AL220,IF(J222="MWORLD",PR!$AM220,IF(J222="MEGA",PR!$AN220,IF(J222="MICRONOVA",PR!$AO220,IF(J222="MFLASH",PR!$AP220,IF(J222="MORISON",PR!$AQ220,IF(J222="NEMEL",PR!$AR220,IF(J222="NHP",PR!$AS220,IF(J222="NHC",PR!$AT220,IF(J222="OLEAF",PR!$AU220,IF(J222="OCULUS",PR!$AV220,IF(J222="PACIFIC",PR!$AW220,IF(J222="PHAMATEX",PR!$AX220,IF(J222="PETHICS",PR!$AY220,IF(J222="PHILIPS",PR!$AZ220,IF(J222="RANBAXY",PR!$BA220,IF(J222="REALS",PR!$BB220,IF(J222="ROYAL",PR!$BC220,IF(J222="SAM",PR!$BD220,IF(J222="SEAGREEN",PR!$BE220,IF(J222="SKG",PR!$BF220,IF(J222="TAH",PR!$BG220,IF(J222="TAYLEK",PR!$BH220,IF(J222="TEMITA",PR!$BI220,IF(J222="THL",PR!$BJ220,IF(J222="UBASTIC",PR!$BK220,IF(J222="UNION",PR!$BL220,IF(J222="UNIQUE",PR!$BM220,IF(J222="VIXA",PR!$BN220,IF(J222="WWCV",PR!$BO220,IF(J222="ZOLON",PR!$BP220,"-"))))))))))))))))))))))))))))))))))))))))))))))))))))))))))))))))</f>
        <v>-</v>
      </c>
      <c r="J222" s="102">
        <f>EV!N284</f>
        <v>0</v>
      </c>
      <c r="K222" s="433" t="s">
        <v>821</v>
      </c>
      <c r="L222" s="183">
        <f>IF(K222&gt;0,IF(K222="ALPHA",PR!$E220,IF(K222="ASSENE",PR!$F220,IF(K222="BIOFEM",PR!$G220,IF(K222="BIOMED",PR!$H220,IF(K222="CHI",PR!$I220,IF(K222="CLARION",PR!$J220,IF(K222="CODIX",PR!$K220,IF(K222="COSMADE",PR!$L220,IF(K222="SANCON",PR!$M220,IF(K222="DEVON",PR!$N220,IF(K222="DORTEMAG",PR!$O220,IF(K222="DGF",PR!$P220,IF(K222="DYNAMIC",PR!$Q220,IF(K222="EMZOR",PR!$R220,IF(K222="EUMATT",PR!$S220,IF(K222="FIDSON",PR!$T220,IF(K222="FCGLOBAL",PR!$U220,IF(K222="GENEITH",PR!$V220,IF(K222="GINOS",PR!$W220,IF(K222="GSK",PR!$X220,IF(K222="GLOBORG",PR!$Y220,IF(K222="GOODNEWS",PR!$Z220,IF(K222="GREENLIFE",PR!$AA220,IF(K222="HLINE",PR!$AB220,IF(K222="ROTECH",PR!$AC220,IF(K222="ISN",PR!$AD220,IF(K222="JAWA",PR!$AE220,IF(K222="LAYO",PR!$AF220,IF(K222="LEADWAY",PR!$AG220,IF(K222="LHV",PR!$AH220,IF(K222="MANOLA",PR!$AI220,IF(K222="MARCSON",PR!$AJ220,IF(K222="M&amp;B",PR!$AK220,IF(K222="MTRUST",PR!$AL220,IF(K222="MWORLD",PR!$AM220,IF(K222="MEGA",PR!$AN220,IF(K222="MICRONOVA",PR!$AO220,IF(K222="MFLASH",PR!$AP220,IF(K222="MORISON",PR!$AQ220,IF(K222="NEMEL",PR!$AR220,IF(K222="NHP",PR!$AS220,IF(K222="NHC",PR!$AT220,IF(K222="OLEAF",PR!$AU220,IF(K222="OCULUS",PR!$AV220,IF(K222="PACIFIC",PR!$AW220,IF(K222="PHAMATEX",PR!$AX220,IF(K222="PETHICS",PR!$AY220,IF(K222="PHILIPS",PR!$AZ220,IF(K222="RANBAXY",PR!$BA220,IF(K222="REALS",PR!$BB220,IF(K222="ROYAL",PR!$BC220,IF(K222="SAM",PR!$BD220,IF(K222="SEAGREEN",PR!$BE220,IF(K222="SKG",PR!$BF220,IF(K222="TAH",PR!$BG220,IF(K222="TAYLEK",PR!$BH220,IF(K222="TEMITA",PR!$BI220,IF(K222="THL",PR!$BJ220,IF(K222="UBASTIC",PR!$BK220,IF(K222="UNION",PR!$BL220,IF(K222="UNIQUE",PR!$BM220,IF(K222="VIXA",PR!$BN220,IF(K222="WWCV",PR!$BO220,IF(K222="ZOLON",PR!$BP220,"-")))))))))))))))))))))))))))))))))))))))))))))))))))))))))))))))))</f>
        <v>250</v>
      </c>
    </row>
    <row r="223" spans="1:12" ht="18.75" x14ac:dyDescent="0.3">
      <c r="A223" s="430">
        <f>PR!A221</f>
        <v>197</v>
      </c>
      <c r="B223" s="15" t="str">
        <f>PR!B221</f>
        <v>AMOXICILLIN 125MG/5ML SUSPENSION</v>
      </c>
      <c r="C223" s="113" t="str">
        <f>PR!D221</f>
        <v>BOTT</v>
      </c>
      <c r="D223" s="113">
        <f>PR!C221</f>
        <v>1600</v>
      </c>
      <c r="E223" s="108">
        <f>IF(F223="ALPHA",PR!$E221,IF(F223="ASSENE",PR!$F221,IF(F223="BIOFEM",PR!$G221,IF(F223="BIOMED",PR!$H221,IF(F223="CHI",PR!$I221,IF(F223="CLARION",PR!$J221,IF(F223="CODIX",PR!$K221,IF(F223="COSMADE",PR!$L221,IF(F223="SANCON",PR!$M221,IF(F223="DEVON",PR!$N221,IF(F223="DORTEMAG",PR!$O221,IF(F223="DGF",PR!$P221,IF(F223="DYNAMIC",PR!$Q221,IF(F223="EMZOR",PR!$R221,IF(F223="EUMATT",PR!$S221,IF(F223="FIDSON",PR!$T221,IF(F223="FCGLOBAL",PR!$U221,IF(F223="GENEITH",PR!$V221,IF(F223="GINOS",PR!$W221,IF(F223="GSK",PR!$X221,IF(F223="GLOBORG",PR!$Y221,IF(F223="GOODNEWS",PR!$Z221,IF(F223="GREENLIFE",PR!$AA221,IF(F223="HLINE",PR!$AB221,IF(F223="ROTECH",PR!$AC221,IF(F223="ISN",PR!$AD221,IF(F223="JAWA",PR!$AE221,IF(F223="LAYO",PR!$AF221,IF(F223="LEADWAY",PR!$AG221,IF(F223="LHV",PR!$AH221,IF(F223="MANOLA",PR!$AI221,IF(F223="MARCSON",PR!$AJ221,IF(F223="M&amp;B",PR!$AK221,IF(F223="MTRUST",PR!$AL221,IF(F223="MWORLD",PR!$AM221,IF(F223="MEGA",PR!$AN221,IF(F223="MICRONOVA",PR!$AO221,IF(F223="MFLASH",PR!$AP221,IF(F223="MORISON",PR!$AQ221,IF(F223="NEMEL",PR!$AR221,IF(F223="NHP",PR!$AS221,IF(F223="NHC",PR!$AT221,IF(F223="OLEAF",PR!$AU221,IF(F223="OCULUS",PR!$AV221,IF(F223="PACIFIC",PR!$AW221,IF(F223="PHAMATEX",PR!$AX221,IF(F223="PETHICS",PR!$AY221,IF(F223="PHILIPS",PR!$AZ221,IF(F223="RANBAXY",PR!$BA221,IF(F223="REALS",PR!$BB221,IF(F223="ROYAL",PR!$BC221,IF(F223="SAM",PR!$BD221,IF(F223="SEAGREEN",PR!$BE221,IF(F223="SKG",PR!$BF221,IF(F223="TAH",PR!$BG221,IF(F223="TAYLEK",PR!$BH221,IF(F223="TEMITA",PR!$BI221,IF(F223="THL",PR!$BJ221,IF(F223="UBASTIC",PR!$BK221,IF(F223="UNION",PR!$BL221,IF(F223="UNIQUE",PR!$BM221,IF(F223="VIXA",PR!$BN221,IF(F223="WWCV",PR!$BO221,IF(F223="ZOLON",PR!$BP221,"-"))))))))))))))))))))))))))))))))))))))))))))))))))))))))))))))))</f>
        <v>130</v>
      </c>
      <c r="F223" s="102" t="str">
        <f>EV!L285</f>
        <v>EUMATT</v>
      </c>
      <c r="G223" s="108">
        <f>IF(H223="ALPHA",PR!$E221,IF(H223="ASSENE",PR!$F221,IF(H223="BIOFEM",PR!$G221,IF(H223="BIOMED",PR!$H221,IF(H223="CHI",PR!$I221,IF(H223="CLARION",PR!$J221,IF(H223="CODIX",PR!$K221,IF(H223="COSMADE",PR!$L221,IF(H223="SANCON",PR!$M221,IF(H223="DEVON",PR!$N221,IF(H223="DORTEMAG",PR!$O221,IF(H223="DGF",PR!$P221,IF(H223="DYNAMIC",PR!$Q221,IF(H223="EMZOR",PR!$R221,IF(H223="EUMATT",PR!$S221,IF(H223="FIDSON",PR!$T221,IF(H223="FCGLOBAL",PR!$U221,IF(H223="GENEITH",PR!$V221,IF(H223="GINOS",PR!$W221,IF(H223="GSK",PR!$X221,IF(H223="GLOBORG",PR!$Y221,IF(H223="GOODNEWS",PR!$Z221,IF(H223="GREENLIFE",PR!$AA221,IF(H223="HLINE",PR!$AB221,IF(H223="ROTECH",PR!$AC221,IF(H223="ISN",PR!$AD221,IF(H223="JAWA",PR!$AE221,IF(H223="LAYO",PR!$AF221,IF(H223="LEADWAY",PR!$AG221,IF(H223="LHV",PR!$AH221,IF(H223="MANOLA",PR!$AI221,IF(H223="MARCSON",PR!$AJ221,IF(H223="M&amp;B",PR!$AK221,IF(H223="MTRUST",PR!$AL221,IF(H223="MWORLD",PR!$AM221,IF(H223="MEGA",PR!$AN221,IF(H223="MICRONOVA",PR!$AO221,IF(H223="MFLASH",PR!$AP221,IF(H223="MORISON",PR!$AQ221,IF(H223="NEMEL",PR!$AR221,IF(H223="NHP",PR!$AS221,IF(H223="NHC",PR!$AT221,IF(H223="OLEAF",PR!$AU221,IF(H223="OCULUS",PR!$AV221,IF(H223="PACIFIC",PR!$AW221,IF(H223="PHAMATEX",PR!$AX221,IF(H223="PETHICS",PR!$AY221,IF(H223="PHILIPS",PR!$AZ221,IF(H223="RANBAXY",PR!$BA221,IF(H223="REALS",PR!$BB221,IF(H223="ROYAL",PR!$BC221,IF(H223="SAM",PR!$BD221,IF(H223="SEAGREEN",PR!$BE221,IF(H223="SKG",PR!$BF221,IF(H223="TAH",PR!$BG221,IF(H223="TAYLEK",PR!$BH221,IF(H223="TEMITA",PR!$BI221,IF(H223="THL",PR!$BJ221,IF(H223="UBASTIC",PR!$BK221,IF(H223="UNION",PR!$BL221,IF(H223="UNIQUE",PR!$BM221,IF(H223="VIXA",PR!$BN221,IF(H223="WWCV",PR!$BO221,IF(H223="ZOLON",PR!$BP221,"-"))))))))))))))))))))))))))))))))))))))))))))))))))))))))))))))))</f>
        <v>185</v>
      </c>
      <c r="H223" s="102" t="str">
        <f>EV!M285</f>
        <v>MFLASH</v>
      </c>
      <c r="I223" s="108">
        <f>IF(J223="ALPHA",PR!$E221,IF(J223="ASSENE",PR!$F221,IF(J223="BIOFEM",PR!$G221,IF(J223="BIOMED",PR!$H221,IF(J223="CHI",PR!$I221,IF(J223="CLARION",PR!$J221,IF(J223="CODIX",PR!$K221,IF(J223="COSMADE",PR!$L221,IF(J223="SANCON",PR!$M221,IF(J223="DEVON",PR!$N221,IF(J223="DORTEMAG",PR!$O221,IF(J223="DGF",PR!$P221,IF(J223="DYNAMIC",PR!$Q221,IF(J223="EMZOR",PR!$R221,IF(J223="EUMATT",PR!$S221,IF(J223="FIDSON",PR!$T221,IF(J223="FCGLOBAL",PR!$U221,IF(J223="GENEITH",PR!$V221,IF(J223="GINOS",PR!$W221,IF(J223="GSK",PR!$X221,IF(J223="GLOBORG",PR!$Y221,IF(J223="GOODNEWS",PR!$Z221,IF(J223="GREENLIFE",PR!$AA221,IF(J223="HLINE",PR!$AB221,IF(J223="ROTECH",PR!$AC221,IF(J223="ISN",PR!$AD221,IF(J223="JAWA",PR!$AE221,IF(J223="LAYO",PR!$AF221,IF(J223="LEADWAY",PR!$AG221,IF(J223="LHV",PR!$AH221,IF(J223="MANOLA",PR!$AI221,IF(J223="MARCSON",PR!$AJ221,IF(J223="M&amp;B",PR!$AK221,IF(J223="MTRUST",PR!$AL221,IF(J223="MWORLD",PR!$AM221,IF(J223="MEGA",PR!$AN221,IF(J223="MICRONOVA",PR!$AO221,IF(J223="MFLASH",PR!$AP221,IF(J223="MORISON",PR!$AQ221,IF(J223="NEMEL",PR!$AR221,IF(J223="NHP",PR!$AS221,IF(J223="NHC",PR!$AT221,IF(J223="OLEAF",PR!$AU221,IF(J223="OCULUS",PR!$AV221,IF(J223="PACIFIC",PR!$AW221,IF(J223="PHAMATEX",PR!$AX221,IF(J223="PETHICS",PR!$AY221,IF(J223="PHILIPS",PR!$AZ221,IF(J223="RANBAXY",PR!$BA221,IF(J223="REALS",PR!$BB221,IF(J223="ROYAL",PR!$BC221,IF(J223="SAM",PR!$BD221,IF(J223="SEAGREEN",PR!$BE221,IF(J223="SKG",PR!$BF221,IF(J223="TAH",PR!$BG221,IF(J223="TAYLEK",PR!$BH221,IF(J223="TEMITA",PR!$BI221,IF(J223="THL",PR!$BJ221,IF(J223="UBASTIC",PR!$BK221,IF(J223="UNION",PR!$BL221,IF(J223="UNIQUE",PR!$BM221,IF(J223="VIXA",PR!$BN221,IF(J223="WWCV",PR!$BO221,IF(J223="ZOLON",PR!$BP221,"-"))))))))))))))))))))))))))))))))))))))))))))))))))))))))))))))))</f>
        <v>219.29600000000002</v>
      </c>
      <c r="J223" s="102" t="str">
        <f>EV!N285</f>
        <v>EMZOR</v>
      </c>
      <c r="K223" s="433" t="s">
        <v>862</v>
      </c>
      <c r="L223" s="183">
        <f>IF(K223&gt;0,IF(K223="ALPHA",PR!$E221,IF(K223="ASSENE",PR!$F221,IF(K223="BIOFEM",PR!$G221,IF(K223="BIOMED",PR!$H221,IF(K223="CHI",PR!$I221,IF(K223="CLARION",PR!$J221,IF(K223="CODIX",PR!$K221,IF(K223="COSMADE",PR!$L221,IF(K223="SANCON",PR!$M221,IF(K223="DEVON",PR!$N221,IF(K223="DORTEMAG",PR!$O221,IF(K223="DGF",PR!$P221,IF(K223="DYNAMIC",PR!$Q221,IF(K223="EMZOR",PR!$R221,IF(K223="EUMATT",PR!$S221,IF(K223="FIDSON",PR!$T221,IF(K223="FCGLOBAL",PR!$U221,IF(K223="GENEITH",PR!$V221,IF(K223="GINOS",PR!$W221,IF(K223="GSK",PR!$X221,IF(K223="GLOBORG",PR!$Y221,IF(K223="GOODNEWS",PR!$Z221,IF(K223="GREENLIFE",PR!$AA221,IF(K223="HLINE",PR!$AB221,IF(K223="ROTECH",PR!$AC221,IF(K223="ISN",PR!$AD221,IF(K223="JAWA",PR!$AE221,IF(K223="LAYO",PR!$AF221,IF(K223="LEADWAY",PR!$AG221,IF(K223="LHV",PR!$AH221,IF(K223="MANOLA",PR!$AI221,IF(K223="MARCSON",PR!$AJ221,IF(K223="M&amp;B",PR!$AK221,IF(K223="MTRUST",PR!$AL221,IF(K223="MWORLD",PR!$AM221,IF(K223="MEGA",PR!$AN221,IF(K223="MICRONOVA",PR!$AO221,IF(K223="MFLASH",PR!$AP221,IF(K223="MORISON",PR!$AQ221,IF(K223="NEMEL",PR!$AR221,IF(K223="NHP",PR!$AS221,IF(K223="NHC",PR!$AT221,IF(K223="OLEAF",PR!$AU221,IF(K223="OCULUS",PR!$AV221,IF(K223="PACIFIC",PR!$AW221,IF(K223="PHAMATEX",PR!$AX221,IF(K223="PETHICS",PR!$AY221,IF(K223="PHILIPS",PR!$AZ221,IF(K223="RANBAXY",PR!$BA221,IF(K223="REALS",PR!$BB221,IF(K223="ROYAL",PR!$BC221,IF(K223="SAM",PR!$BD221,IF(K223="SEAGREEN",PR!$BE221,IF(K223="SKG",PR!$BF221,IF(K223="TAH",PR!$BG221,IF(K223="TAYLEK",PR!$BH221,IF(K223="TEMITA",PR!$BI221,IF(K223="THL",PR!$BJ221,IF(K223="UBASTIC",PR!$BK221,IF(K223="UNION",PR!$BL221,IF(K223="UNIQUE",PR!$BM221,IF(K223="VIXA",PR!$BN221,IF(K223="WWCV",PR!$BO221,IF(K223="ZOLON",PR!$BP221,"-")))))))))))))))))))))))))))))))))))))))))))))))))))))))))))))))))</f>
        <v>185</v>
      </c>
    </row>
    <row r="224" spans="1:12" ht="18.75" x14ac:dyDescent="0.3">
      <c r="A224" s="430">
        <f>PR!A222</f>
        <v>198</v>
      </c>
      <c r="B224" s="15" t="str">
        <f>PR!B222</f>
        <v>AMOXICILLIN 250MG CAP</v>
      </c>
      <c r="C224" s="113">
        <f>PR!D222</f>
        <v>100</v>
      </c>
      <c r="D224" s="113">
        <f>PR!C222</f>
        <v>200</v>
      </c>
      <c r="E224" s="108">
        <f>IF(F224="ALPHA",PR!$E222,IF(F224="ASSENE",PR!$F222,IF(F224="BIOFEM",PR!$G222,IF(F224="BIOMED",PR!$H222,IF(F224="CHI",PR!$I222,IF(F224="CLARION",PR!$J222,IF(F224="CODIX",PR!$K222,IF(F224="COSMADE",PR!$L222,IF(F224="SANCON",PR!$M222,IF(F224="DEVON",PR!$N222,IF(F224="DORTEMAG",PR!$O222,IF(F224="DGF",PR!$P222,IF(F224="DYNAMIC",PR!$Q222,IF(F224="EMZOR",PR!$R222,IF(F224="EUMATT",PR!$S222,IF(F224="FIDSON",PR!$T222,IF(F224="FCGLOBAL",PR!$U222,IF(F224="GENEITH",PR!$V222,IF(F224="GINOS",PR!$W222,IF(F224="GSK",PR!$X222,IF(F224="GLOBORG",PR!$Y222,IF(F224="GOODNEWS",PR!$Z222,IF(F224="GREENLIFE",PR!$AA222,IF(F224="HLINE",PR!$AB222,IF(F224="ROTECH",PR!$AC222,IF(F224="ISN",PR!$AD222,IF(F224="JAWA",PR!$AE222,IF(F224="LAYO",PR!$AF222,IF(F224="LEADWAY",PR!$AG222,IF(F224="LHV",PR!$AH222,IF(F224="MANOLA",PR!$AI222,IF(F224="MARCSON",PR!$AJ222,IF(F224="M&amp;B",PR!$AK222,IF(F224="MTRUST",PR!$AL222,IF(F224="MWORLD",PR!$AM222,IF(F224="MEGA",PR!$AN222,IF(F224="MICRONOVA",PR!$AO222,IF(F224="MFLASH",PR!$AP222,IF(F224="MORISON",PR!$AQ222,IF(F224="NEMEL",PR!$AR222,IF(F224="NHP",PR!$AS222,IF(F224="NHC",PR!$AT222,IF(F224="OLEAF",PR!$AU222,IF(F224="OCULUS",PR!$AV222,IF(F224="PACIFIC",PR!$AW222,IF(F224="PHAMATEX",PR!$AX222,IF(F224="PETHICS",PR!$AY222,IF(F224="PHILIPS",PR!$AZ222,IF(F224="RANBAXY",PR!$BA222,IF(F224="REALS",PR!$BB222,IF(F224="ROYAL",PR!$BC222,IF(F224="SAM",PR!$BD222,IF(F224="SEAGREEN",PR!$BE222,IF(F224="SKG",PR!$BF222,IF(F224="TAH",PR!$BG222,IF(F224="TAYLEK",PR!$BH222,IF(F224="TEMITA",PR!$BI222,IF(F224="THL",PR!$BJ222,IF(F224="UBASTIC",PR!$BK222,IF(F224="UNION",PR!$BL222,IF(F224="UNIQUE",PR!$BM222,IF(F224="VIXA",PR!$BN222,IF(F224="WWCV",PR!$BO222,IF(F224="ZOLON",PR!$BP222,"-"))))))))))))))))))))))))))))))))))))))))))))))))))))))))))))))))</f>
        <v>600</v>
      </c>
      <c r="F224" s="102" t="str">
        <f>EV!L286</f>
        <v>EUMATT</v>
      </c>
      <c r="G224" s="108">
        <f>IF(H224="ALPHA",PR!$E222,IF(H224="ASSENE",PR!$F222,IF(H224="BIOFEM",PR!$G222,IF(H224="BIOMED",PR!$H222,IF(H224="CHI",PR!$I222,IF(H224="CLARION",PR!$J222,IF(H224="CODIX",PR!$K222,IF(H224="COSMADE",PR!$L222,IF(H224="SANCON",PR!$M222,IF(H224="DEVON",PR!$N222,IF(H224="DORTEMAG",PR!$O222,IF(H224="DGF",PR!$P222,IF(H224="DYNAMIC",PR!$Q222,IF(H224="EMZOR",PR!$R222,IF(H224="EUMATT",PR!$S222,IF(H224="FIDSON",PR!$T222,IF(H224="FCGLOBAL",PR!$U222,IF(H224="GENEITH",PR!$V222,IF(H224="GINOS",PR!$W222,IF(H224="GSK",PR!$X222,IF(H224="GLOBORG",PR!$Y222,IF(H224="GOODNEWS",PR!$Z222,IF(H224="GREENLIFE",PR!$AA222,IF(H224="HLINE",PR!$AB222,IF(H224="ROTECH",PR!$AC222,IF(H224="ISN",PR!$AD222,IF(H224="JAWA",PR!$AE222,IF(H224="LAYO",PR!$AF222,IF(H224="LEADWAY",PR!$AG222,IF(H224="LHV",PR!$AH222,IF(H224="MANOLA",PR!$AI222,IF(H224="MARCSON",PR!$AJ222,IF(H224="M&amp;B",PR!$AK222,IF(H224="MTRUST",PR!$AL222,IF(H224="MWORLD",PR!$AM222,IF(H224="MEGA",PR!$AN222,IF(H224="MICRONOVA",PR!$AO222,IF(H224="MFLASH",PR!$AP222,IF(H224="MORISON",PR!$AQ222,IF(H224="NEMEL",PR!$AR222,IF(H224="NHP",PR!$AS222,IF(H224="NHC",PR!$AT222,IF(H224="OLEAF",PR!$AU222,IF(H224="OCULUS",PR!$AV222,IF(H224="PACIFIC",PR!$AW222,IF(H224="PHAMATEX",PR!$AX222,IF(H224="PETHICS",PR!$AY222,IF(H224="PHILIPS",PR!$AZ222,IF(H224="RANBAXY",PR!$BA222,IF(H224="REALS",PR!$BB222,IF(H224="ROYAL",PR!$BC222,IF(H224="SAM",PR!$BD222,IF(H224="SEAGREEN",PR!$BE222,IF(H224="SKG",PR!$BF222,IF(H224="TAH",PR!$BG222,IF(H224="TAYLEK",PR!$BH222,IF(H224="TEMITA",PR!$BI222,IF(H224="THL",PR!$BJ222,IF(H224="UBASTIC",PR!$BK222,IF(H224="UNION",PR!$BL222,IF(H224="UNIQUE",PR!$BM222,IF(H224="VIXA",PR!$BN222,IF(H224="WWCV",PR!$BO222,IF(H224="ZOLON",PR!$BP222,"-"))))))))))))))))))))))))))))))))))))))))))))))))))))))))))))))))</f>
        <v>650</v>
      </c>
      <c r="H224" s="102" t="str">
        <f>EV!M286</f>
        <v>NEMEL</v>
      </c>
      <c r="I224" s="108">
        <f>IF(J224="ALPHA",PR!$E222,IF(J224="ASSENE",PR!$F222,IF(J224="BIOFEM",PR!$G222,IF(J224="BIOMED",PR!$H222,IF(J224="CHI",PR!$I222,IF(J224="CLARION",PR!$J222,IF(J224="CODIX",PR!$K222,IF(J224="COSMADE",PR!$L222,IF(J224="SANCON",PR!$M222,IF(J224="DEVON",PR!$N222,IF(J224="DORTEMAG",PR!$O222,IF(J224="DGF",PR!$P222,IF(J224="DYNAMIC",PR!$Q222,IF(J224="EMZOR",PR!$R222,IF(J224="EUMATT",PR!$S222,IF(J224="FIDSON",PR!$T222,IF(J224="FCGLOBAL",PR!$U222,IF(J224="GENEITH",PR!$V222,IF(J224="GINOS",PR!$W222,IF(J224="GSK",PR!$X222,IF(J224="GLOBORG",PR!$Y222,IF(J224="GOODNEWS",PR!$Z222,IF(J224="GREENLIFE",PR!$AA222,IF(J224="HLINE",PR!$AB222,IF(J224="ROTECH",PR!$AC222,IF(J224="ISN",PR!$AD222,IF(J224="JAWA",PR!$AE222,IF(J224="LAYO",PR!$AF222,IF(J224="LEADWAY",PR!$AG222,IF(J224="LHV",PR!$AH222,IF(J224="MANOLA",PR!$AI222,IF(J224="MARCSON",PR!$AJ222,IF(J224="M&amp;B",PR!$AK222,IF(J224="MTRUST",PR!$AL222,IF(J224="MWORLD",PR!$AM222,IF(J224="MEGA",PR!$AN222,IF(J224="MICRONOVA",PR!$AO222,IF(J224="MFLASH",PR!$AP222,IF(J224="MORISON",PR!$AQ222,IF(J224="NEMEL",PR!$AR222,IF(J224="NHP",PR!$AS222,IF(J224="NHC",PR!$AT222,IF(J224="OLEAF",PR!$AU222,IF(J224="OCULUS",PR!$AV222,IF(J224="PACIFIC",PR!$AW222,IF(J224="PHAMATEX",PR!$AX222,IF(J224="PETHICS",PR!$AY222,IF(J224="PHILIPS",PR!$AZ222,IF(J224="RANBAXY",PR!$BA222,IF(J224="REALS",PR!$BB222,IF(J224="ROYAL",PR!$BC222,IF(J224="SAM",PR!$BD222,IF(J224="SEAGREEN",PR!$BE222,IF(J224="SKG",PR!$BF222,IF(J224="TAH",PR!$BG222,IF(J224="TAYLEK",PR!$BH222,IF(J224="TEMITA",PR!$BI222,IF(J224="THL",PR!$BJ222,IF(J224="UBASTIC",PR!$BK222,IF(J224="UNION",PR!$BL222,IF(J224="UNIQUE",PR!$BM222,IF(J224="VIXA",PR!$BN222,IF(J224="WWCV",PR!$BO222,IF(J224="ZOLON",PR!$BP222,"-"))))))))))))))))))))))))))))))))))))))))))))))))))))))))))))))))</f>
        <v>700</v>
      </c>
      <c r="J224" s="102" t="str">
        <f>EV!N286</f>
        <v>VIXA</v>
      </c>
      <c r="K224" s="433" t="s">
        <v>821</v>
      </c>
      <c r="L224" s="183">
        <f>IF(K224&gt;0,IF(K224="ALPHA",PR!$E222,IF(K224="ASSENE",PR!$F222,IF(K224="BIOFEM",PR!$G222,IF(K224="BIOMED",PR!$H222,IF(K224="CHI",PR!$I222,IF(K224="CLARION",PR!$J222,IF(K224="CODIX",PR!$K222,IF(K224="COSMADE",PR!$L222,IF(K224="SANCON",PR!$M222,IF(K224="DEVON",PR!$N222,IF(K224="DORTEMAG",PR!$O222,IF(K224="DGF",PR!$P222,IF(K224="DYNAMIC",PR!$Q222,IF(K224="EMZOR",PR!$R222,IF(K224="EUMATT",PR!$S222,IF(K224="FIDSON",PR!$T222,IF(K224="FCGLOBAL",PR!$U222,IF(K224="GENEITH",PR!$V222,IF(K224="GINOS",PR!$W222,IF(K224="GSK",PR!$X222,IF(K224="GLOBORG",PR!$Y222,IF(K224="GOODNEWS",PR!$Z222,IF(K224="GREENLIFE",PR!$AA222,IF(K224="HLINE",PR!$AB222,IF(K224="ROTECH",PR!$AC222,IF(K224="ISN",PR!$AD222,IF(K224="JAWA",PR!$AE222,IF(K224="LAYO",PR!$AF222,IF(K224="LEADWAY",PR!$AG222,IF(K224="LHV",PR!$AH222,IF(K224="MANOLA",PR!$AI222,IF(K224="MARCSON",PR!$AJ222,IF(K224="M&amp;B",PR!$AK222,IF(K224="MTRUST",PR!$AL222,IF(K224="MWORLD",PR!$AM222,IF(K224="MEGA",PR!$AN222,IF(K224="MICRONOVA",PR!$AO222,IF(K224="MFLASH",PR!$AP222,IF(K224="MORISON",PR!$AQ222,IF(K224="NEMEL",PR!$AR222,IF(K224="NHP",PR!$AS222,IF(K224="NHC",PR!$AT222,IF(K224="OLEAF",PR!$AU222,IF(K224="OCULUS",PR!$AV222,IF(K224="PACIFIC",PR!$AW222,IF(K224="PHAMATEX",PR!$AX222,IF(K224="PETHICS",PR!$AY222,IF(K224="PHILIPS",PR!$AZ222,IF(K224="RANBAXY",PR!$BA222,IF(K224="REALS",PR!$BB222,IF(K224="ROYAL",PR!$BC222,IF(K224="SAM",PR!$BD222,IF(K224="SEAGREEN",PR!$BE222,IF(K224="SKG",PR!$BF222,IF(K224="TAH",PR!$BG222,IF(K224="TAYLEK",PR!$BH222,IF(K224="TEMITA",PR!$BI222,IF(K224="THL",PR!$BJ222,IF(K224="UBASTIC",PR!$BK222,IF(K224="UNION",PR!$BL222,IF(K224="UNIQUE",PR!$BM222,IF(K224="VIXA",PR!$BN222,IF(K224="WWCV",PR!$BO222,IF(K224="ZOLON",PR!$BP222,"-")))))))))))))))))))))))))))))))))))))))))))))))))))))))))))))))))</f>
        <v>600</v>
      </c>
    </row>
    <row r="225" spans="1:12" ht="18.75" x14ac:dyDescent="0.3">
      <c r="A225" s="430">
        <f>PR!A223</f>
        <v>199</v>
      </c>
      <c r="B225" s="15" t="str">
        <f>PR!B223</f>
        <v>AMOXICILLIN 250MG DISPERSIBLE TAB</v>
      </c>
      <c r="C225" s="113">
        <f>PR!D223</f>
        <v>100</v>
      </c>
      <c r="D225" s="113">
        <f>PR!C223</f>
        <v>52</v>
      </c>
      <c r="E225" s="108">
        <f>IF(F225="ALPHA",PR!$E223,IF(F225="ASSENE",PR!$F223,IF(F225="BIOFEM",PR!$G223,IF(F225="BIOMED",PR!$H223,IF(F225="CHI",PR!$I223,IF(F225="CLARION",PR!$J223,IF(F225="CODIX",PR!$K223,IF(F225="COSMADE",PR!$L223,IF(F225="SANCON",PR!$M223,IF(F225="DEVON",PR!$N223,IF(F225="DORTEMAG",PR!$O223,IF(F225="DGF",PR!$P223,IF(F225="DYNAMIC",PR!$Q223,IF(F225="EMZOR",PR!$R223,IF(F225="EUMATT",PR!$S223,IF(F225="FIDSON",PR!$T223,IF(F225="FCGLOBAL",PR!$U223,IF(F225="GENEITH",PR!$V223,IF(F225="GINOS",PR!$W223,IF(F225="GSK",PR!$X223,IF(F225="GLOBORG",PR!$Y223,IF(F225="GOODNEWS",PR!$Z223,IF(F225="GREENLIFE",PR!$AA223,IF(F225="HLINE",PR!$AB223,IF(F225="ROTECH",PR!$AC223,IF(F225="ISN",PR!$AD223,IF(F225="JAWA",PR!$AE223,IF(F225="LAYO",PR!$AF223,IF(F225="LEADWAY",PR!$AG223,IF(F225="LHV",PR!$AH223,IF(F225="MANOLA",PR!$AI223,IF(F225="MARCSON",PR!$AJ223,IF(F225="M&amp;B",PR!$AK223,IF(F225="MTRUST",PR!$AL223,IF(F225="MWORLD",PR!$AM223,IF(F225="MEGA",PR!$AN223,IF(F225="MICRONOVA",PR!$AO223,IF(F225="MFLASH",PR!$AP223,IF(F225="MORISON",PR!$AQ223,IF(F225="NEMEL",PR!$AR223,IF(F225="NHP",PR!$AS223,IF(F225="NHC",PR!$AT223,IF(F225="OLEAF",PR!$AU223,IF(F225="OCULUS",PR!$AV223,IF(F225="PACIFIC",PR!$AW223,IF(F225="PHAMATEX",PR!$AX223,IF(F225="PETHICS",PR!$AY223,IF(F225="PHILIPS",PR!$AZ223,IF(F225="RANBAXY",PR!$BA223,IF(F225="REALS",PR!$BB223,IF(F225="ROYAL",PR!$BC223,IF(F225="SAM",PR!$BD223,IF(F225="SEAGREEN",PR!$BE223,IF(F225="SKG",PR!$BF223,IF(F225="TAH",PR!$BG223,IF(F225="TAYLEK",PR!$BH223,IF(F225="TEMITA",PR!$BI223,IF(F225="THL",PR!$BJ223,IF(F225="UBASTIC",PR!$BK223,IF(F225="UNION",PR!$BL223,IF(F225="UNIQUE",PR!$BM223,IF(F225="VIXA",PR!$BN223,IF(F225="WWCV",PR!$BO223,IF(F225="ZOLON",PR!$BP223,"-"))))))))))))))))))))))))))))))))))))))))))))))))))))))))))))))))</f>
        <v>1700</v>
      </c>
      <c r="F225" s="102" t="str">
        <f>EV!L287</f>
        <v>EUMATT</v>
      </c>
      <c r="G225" s="108">
        <f>IF(H225="ALPHA",PR!$E223,IF(H225="ASSENE",PR!$F223,IF(H225="BIOFEM",PR!$G223,IF(H225="BIOMED",PR!$H223,IF(H225="CHI",PR!$I223,IF(H225="CLARION",PR!$J223,IF(H225="CODIX",PR!$K223,IF(H225="COSMADE",PR!$L223,IF(H225="SANCON",PR!$M223,IF(H225="DEVON",PR!$N223,IF(H225="DORTEMAG",PR!$O223,IF(H225="DGF",PR!$P223,IF(H225="DYNAMIC",PR!$Q223,IF(H225="EMZOR",PR!$R223,IF(H225="EUMATT",PR!$S223,IF(H225="FIDSON",PR!$T223,IF(H225="FCGLOBAL",PR!$U223,IF(H225="GENEITH",PR!$V223,IF(H225="GINOS",PR!$W223,IF(H225="GSK",PR!$X223,IF(H225="GLOBORG",PR!$Y223,IF(H225="GOODNEWS",PR!$Z223,IF(H225="GREENLIFE",PR!$AA223,IF(H225="HLINE",PR!$AB223,IF(H225="ROTECH",PR!$AC223,IF(H225="ISN",PR!$AD223,IF(H225="JAWA",PR!$AE223,IF(H225="LAYO",PR!$AF223,IF(H225="LEADWAY",PR!$AG223,IF(H225="LHV",PR!$AH223,IF(H225="MANOLA",PR!$AI223,IF(H225="MARCSON",PR!$AJ223,IF(H225="M&amp;B",PR!$AK223,IF(H225="MTRUST",PR!$AL223,IF(H225="MWORLD",PR!$AM223,IF(H225="MEGA",PR!$AN223,IF(H225="MICRONOVA",PR!$AO223,IF(H225="MFLASH",PR!$AP223,IF(H225="MORISON",PR!$AQ223,IF(H225="NEMEL",PR!$AR223,IF(H225="NHP",PR!$AS223,IF(H225="NHC",PR!$AT223,IF(H225="OLEAF",PR!$AU223,IF(H225="OCULUS",PR!$AV223,IF(H225="PACIFIC",PR!$AW223,IF(H225="PHAMATEX",PR!$AX223,IF(H225="PETHICS",PR!$AY223,IF(H225="PHILIPS",PR!$AZ223,IF(H225="RANBAXY",PR!$BA223,IF(H225="REALS",PR!$BB223,IF(H225="ROYAL",PR!$BC223,IF(H225="SAM",PR!$BD223,IF(H225="SEAGREEN",PR!$BE223,IF(H225="SKG",PR!$BF223,IF(H225="TAH",PR!$BG223,IF(H225="TAYLEK",PR!$BH223,IF(H225="TEMITA",PR!$BI223,IF(H225="THL",PR!$BJ223,IF(H225="UBASTIC",PR!$BK223,IF(H225="UNION",PR!$BL223,IF(H225="UNIQUE",PR!$BM223,IF(H225="VIXA",PR!$BN223,IF(H225="WWCV",PR!$BO223,IF(H225="ZOLON",PR!$BP223,"-"))))))))))))))))))))))))))))))))))))))))))))))))))))))))))))))))</f>
        <v>1700</v>
      </c>
      <c r="H225" s="102" t="str">
        <f>EV!M287</f>
        <v>NEMEL</v>
      </c>
      <c r="I225" s="108" t="str">
        <f>IF(J225="ALPHA",PR!$E223,IF(J225="ASSENE",PR!$F223,IF(J225="BIOFEM",PR!$G223,IF(J225="BIOMED",PR!$H223,IF(J225="CHI",PR!$I223,IF(J225="CLARION",PR!$J223,IF(J225="CODIX",PR!$K223,IF(J225="COSMADE",PR!$L223,IF(J225="SANCON",PR!$M223,IF(J225="DEVON",PR!$N223,IF(J225="DORTEMAG",PR!$O223,IF(J225="DGF",PR!$P223,IF(J225="DYNAMIC",PR!$Q223,IF(J225="EMZOR",PR!$R223,IF(J225="EUMATT",PR!$S223,IF(J225="FIDSON",PR!$T223,IF(J225="FCGLOBAL",PR!$U223,IF(J225="GENEITH",PR!$V223,IF(J225="GINOS",PR!$W223,IF(J225="GSK",PR!$X223,IF(J225="GLOBORG",PR!$Y223,IF(J225="GOODNEWS",PR!$Z223,IF(J225="GREENLIFE",PR!$AA223,IF(J225="HLINE",PR!$AB223,IF(J225="ROTECH",PR!$AC223,IF(J225="ISN",PR!$AD223,IF(J225="JAWA",PR!$AE223,IF(J225="LAYO",PR!$AF223,IF(J225="LEADWAY",PR!$AG223,IF(J225="LHV",PR!$AH223,IF(J225="MANOLA",PR!$AI223,IF(J225="MARCSON",PR!$AJ223,IF(J225="M&amp;B",PR!$AK223,IF(J225="MTRUST",PR!$AL223,IF(J225="MWORLD",PR!$AM223,IF(J225="MEGA",PR!$AN223,IF(J225="MICRONOVA",PR!$AO223,IF(J225="MFLASH",PR!$AP223,IF(J225="MORISON",PR!$AQ223,IF(J225="NEMEL",PR!$AR223,IF(J225="NHP",PR!$AS223,IF(J225="NHC",PR!$AT223,IF(J225="OLEAF",PR!$AU223,IF(J225="OCULUS",PR!$AV223,IF(J225="PACIFIC",PR!$AW223,IF(J225="PHAMATEX",PR!$AX223,IF(J225="PETHICS",PR!$AY223,IF(J225="PHILIPS",PR!$AZ223,IF(J225="RANBAXY",PR!$BA223,IF(J225="REALS",PR!$BB223,IF(J225="ROYAL",PR!$BC223,IF(J225="SAM",PR!$BD223,IF(J225="SEAGREEN",PR!$BE223,IF(J225="SKG",PR!$BF223,IF(J225="TAH",PR!$BG223,IF(J225="TAYLEK",PR!$BH223,IF(J225="TEMITA",PR!$BI223,IF(J225="THL",PR!$BJ223,IF(J225="UBASTIC",PR!$BK223,IF(J225="UNION",PR!$BL223,IF(J225="UNIQUE",PR!$BM223,IF(J225="VIXA",PR!$BN223,IF(J225="WWCV",PR!$BO223,IF(J225="ZOLON",PR!$BP223,"-"))))))))))))))))))))))))))))))))))))))))))))))))))))))))))))))))</f>
        <v>-</v>
      </c>
      <c r="J225" s="102">
        <f>EV!N287</f>
        <v>0</v>
      </c>
      <c r="K225" s="433" t="s">
        <v>1958</v>
      </c>
      <c r="L225" s="183" t="str">
        <f>IF(K225&gt;0,IF(K225="ALPHA",PR!$E223,IF(K225="ASSENE",PR!$F223,IF(K225="BIOFEM",PR!$G223,IF(K225="BIOMED",PR!$H223,IF(K225="CHI",PR!$I223,IF(K225="CLARION",PR!$J223,IF(K225="CODIX",PR!$K223,IF(K225="COSMADE",PR!$L223,IF(K225="SANCON",PR!$M223,IF(K225="DEVON",PR!$N223,IF(K225="DORTEMAG",PR!$O223,IF(K225="DGF",PR!$P223,IF(K225="DYNAMIC",PR!$Q223,IF(K225="EMZOR",PR!$R223,IF(K225="EUMATT",PR!$S223,IF(K225="FIDSON",PR!$T223,IF(K225="FCGLOBAL",PR!$U223,IF(K225="GENEITH",PR!$V223,IF(K225="GINOS",PR!$W223,IF(K225="GSK",PR!$X223,IF(K225="GLOBORG",PR!$Y223,IF(K225="GOODNEWS",PR!$Z223,IF(K225="GREENLIFE",PR!$AA223,IF(K225="HLINE",PR!$AB223,IF(K225="ROTECH",PR!$AC223,IF(K225="ISN",PR!$AD223,IF(K225="JAWA",PR!$AE223,IF(K225="LAYO",PR!$AF223,IF(K225="LEADWAY",PR!$AG223,IF(K225="LHV",PR!$AH223,IF(K225="MANOLA",PR!$AI223,IF(K225="MARCSON",PR!$AJ223,IF(K225="M&amp;B",PR!$AK223,IF(K225="MTRUST",PR!$AL223,IF(K225="MWORLD",PR!$AM223,IF(K225="MEGA",PR!$AN223,IF(K225="MICRONOVA",PR!$AO223,IF(K225="MFLASH",PR!$AP223,IF(K225="MORISON",PR!$AQ223,IF(K225="NEMEL",PR!$AR223,IF(K225="NHP",PR!$AS223,IF(K225="NHC",PR!$AT223,IF(K225="OLEAF",PR!$AU223,IF(K225="OCULUS",PR!$AV223,IF(K225="PACIFIC",PR!$AW223,IF(K225="PHAMATEX",PR!$AX223,IF(K225="PETHICS",PR!$AY223,IF(K225="PHILIPS",PR!$AZ223,IF(K225="RANBAXY",PR!$BA223,IF(K225="REALS",PR!$BB223,IF(K225="ROYAL",PR!$BC223,IF(K225="SAM",PR!$BD223,IF(K225="SEAGREEN",PR!$BE223,IF(K225="SKG",PR!$BF223,IF(K225="TAH",PR!$BG223,IF(K225="TAYLEK",PR!$BH223,IF(K225="TEMITA",PR!$BI223,IF(K225="THL",PR!$BJ223,IF(K225="UBASTIC",PR!$BK223,IF(K225="UNION",PR!$BL223,IF(K225="UNIQUE",PR!$BM223,IF(K225="VIXA",PR!$BN223,IF(K225="WWCV",PR!$BO223,IF(K225="ZOLON",PR!$BP223,"-")))))))))))))))))))))))))))))))))))))))))))))))))))))))))))))))))</f>
        <v>-</v>
      </c>
    </row>
    <row r="226" spans="1:12" ht="18.75" x14ac:dyDescent="0.3">
      <c r="A226" s="430">
        <f>PR!A224</f>
        <v>200</v>
      </c>
      <c r="B226" s="15" t="str">
        <f>PR!B224</f>
        <v>AMOXICILLIN 500MG CAP</v>
      </c>
      <c r="C226" s="113">
        <f>PR!D224</f>
        <v>100</v>
      </c>
      <c r="D226" s="113">
        <f>PR!C224</f>
        <v>1600</v>
      </c>
      <c r="E226" s="108">
        <f>IF(F226="ALPHA",PR!$E224,IF(F226="ASSENE",PR!$F224,IF(F226="BIOFEM",PR!$G224,IF(F226="BIOMED",PR!$H224,IF(F226="CHI",PR!$I224,IF(F226="CLARION",PR!$J224,IF(F226="CODIX",PR!$K224,IF(F226="COSMADE",PR!$L224,IF(F226="SANCON",PR!$M224,IF(F226="DEVON",PR!$N224,IF(F226="DORTEMAG",PR!$O224,IF(F226="DGF",PR!$P224,IF(F226="DYNAMIC",PR!$Q224,IF(F226="EMZOR",PR!$R224,IF(F226="EUMATT",PR!$S224,IF(F226="FIDSON",PR!$T224,IF(F226="FCGLOBAL",PR!$U224,IF(F226="GENEITH",PR!$V224,IF(F226="GINOS",PR!$W224,IF(F226="GSK",PR!$X224,IF(F226="GLOBORG",PR!$Y224,IF(F226="GOODNEWS",PR!$Z224,IF(F226="GREENLIFE",PR!$AA224,IF(F226="HLINE",PR!$AB224,IF(F226="ROTECH",PR!$AC224,IF(F226="ISN",PR!$AD224,IF(F226="JAWA",PR!$AE224,IF(F226="LAYO",PR!$AF224,IF(F226="LEADWAY",PR!$AG224,IF(F226="LHV",PR!$AH224,IF(F226="MANOLA",PR!$AI224,IF(F226="MARCSON",PR!$AJ224,IF(F226="M&amp;B",PR!$AK224,IF(F226="MTRUST",PR!$AL224,IF(F226="MWORLD",PR!$AM224,IF(F226="MEGA",PR!$AN224,IF(F226="MICRONOVA",PR!$AO224,IF(F226="MFLASH",PR!$AP224,IF(F226="MORISON",PR!$AQ224,IF(F226="NEMEL",PR!$AR224,IF(F226="NHP",PR!$AS224,IF(F226="NHC",PR!$AT224,IF(F226="OLEAF",PR!$AU224,IF(F226="OCULUS",PR!$AV224,IF(F226="PACIFIC",PR!$AW224,IF(F226="PHAMATEX",PR!$AX224,IF(F226="PETHICS",PR!$AY224,IF(F226="PHILIPS",PR!$AZ224,IF(F226="RANBAXY",PR!$BA224,IF(F226="REALS",PR!$BB224,IF(F226="ROYAL",PR!$BC224,IF(F226="SAM",PR!$BD224,IF(F226="SEAGREEN",PR!$BE224,IF(F226="SKG",PR!$BF224,IF(F226="TAH",PR!$BG224,IF(F226="TAYLEK",PR!$BH224,IF(F226="TEMITA",PR!$BI224,IF(F226="THL",PR!$BJ224,IF(F226="UBASTIC",PR!$BK224,IF(F226="UNION",PR!$BL224,IF(F226="UNIQUE",PR!$BM224,IF(F226="VIXA",PR!$BN224,IF(F226="WWCV",PR!$BO224,IF(F226="ZOLON",PR!$BP224,"-"))))))))))))))))))))))))))))))))))))))))))))))))))))))))))))))))</f>
        <v>850</v>
      </c>
      <c r="F226" s="102" t="str">
        <f>EV!L288</f>
        <v>CLARION</v>
      </c>
      <c r="G226" s="108">
        <f>IF(H226="ALPHA",PR!$E224,IF(H226="ASSENE",PR!$F224,IF(H226="BIOFEM",PR!$G224,IF(H226="BIOMED",PR!$H224,IF(H226="CHI",PR!$I224,IF(H226="CLARION",PR!$J224,IF(H226="CODIX",PR!$K224,IF(H226="COSMADE",PR!$L224,IF(H226="SANCON",PR!$M224,IF(H226="DEVON",PR!$N224,IF(H226="DORTEMAG",PR!$O224,IF(H226="DGF",PR!$P224,IF(H226="DYNAMIC",PR!$Q224,IF(H226="EMZOR",PR!$R224,IF(H226="EUMATT",PR!$S224,IF(H226="FIDSON",PR!$T224,IF(H226="FCGLOBAL",PR!$U224,IF(H226="GENEITH",PR!$V224,IF(H226="GINOS",PR!$W224,IF(H226="GSK",PR!$X224,IF(H226="GLOBORG",PR!$Y224,IF(H226="GOODNEWS",PR!$Z224,IF(H226="GREENLIFE",PR!$AA224,IF(H226="HLINE",PR!$AB224,IF(H226="ROTECH",PR!$AC224,IF(H226="ISN",PR!$AD224,IF(H226="JAWA",PR!$AE224,IF(H226="LAYO",PR!$AF224,IF(H226="LEADWAY",PR!$AG224,IF(H226="LHV",PR!$AH224,IF(H226="MANOLA",PR!$AI224,IF(H226="MARCSON",PR!$AJ224,IF(H226="M&amp;B",PR!$AK224,IF(H226="MTRUST",PR!$AL224,IF(H226="MWORLD",PR!$AM224,IF(H226="MEGA",PR!$AN224,IF(H226="MICRONOVA",PR!$AO224,IF(H226="MFLASH",PR!$AP224,IF(H226="MORISON",PR!$AQ224,IF(H226="NEMEL",PR!$AR224,IF(H226="NHP",PR!$AS224,IF(H226="NHC",PR!$AT224,IF(H226="OLEAF",PR!$AU224,IF(H226="OCULUS",PR!$AV224,IF(H226="PACIFIC",PR!$AW224,IF(H226="PHAMATEX",PR!$AX224,IF(H226="PETHICS",PR!$AY224,IF(H226="PHILIPS",PR!$AZ224,IF(H226="RANBAXY",PR!$BA224,IF(H226="REALS",PR!$BB224,IF(H226="ROYAL",PR!$BC224,IF(H226="SAM",PR!$BD224,IF(H226="SEAGREEN",PR!$BE224,IF(H226="SKG",PR!$BF224,IF(H226="TAH",PR!$BG224,IF(H226="TAYLEK",PR!$BH224,IF(H226="TEMITA",PR!$BI224,IF(H226="THL",PR!$BJ224,IF(H226="UBASTIC",PR!$BK224,IF(H226="UNION",PR!$BL224,IF(H226="UNIQUE",PR!$BM224,IF(H226="VIXA",PR!$BN224,IF(H226="WWCV",PR!$BO224,IF(H226="ZOLON",PR!$BP224,"-"))))))))))))))))))))))))))))))))))))))))))))))))))))))))))))))))</f>
        <v>830</v>
      </c>
      <c r="H226" s="102" t="str">
        <f>EV!M288</f>
        <v>VIXA</v>
      </c>
      <c r="I226" s="108">
        <f>IF(J226="ALPHA",PR!$E224,IF(J226="ASSENE",PR!$F224,IF(J226="BIOFEM",PR!$G224,IF(J226="BIOMED",PR!$H224,IF(J226="CHI",PR!$I224,IF(J226="CLARION",PR!$J224,IF(J226="CODIX",PR!$K224,IF(J226="COSMADE",PR!$L224,IF(J226="SANCON",PR!$M224,IF(J226="DEVON",PR!$N224,IF(J226="DORTEMAG",PR!$O224,IF(J226="DGF",PR!$P224,IF(J226="DYNAMIC",PR!$Q224,IF(J226="EMZOR",PR!$R224,IF(J226="EUMATT",PR!$S224,IF(J226="FIDSON",PR!$T224,IF(J226="FCGLOBAL",PR!$U224,IF(J226="GENEITH",PR!$V224,IF(J226="GINOS",PR!$W224,IF(J226="GSK",PR!$X224,IF(J226="GLOBORG",PR!$Y224,IF(J226="GOODNEWS",PR!$Z224,IF(J226="GREENLIFE",PR!$AA224,IF(J226="HLINE",PR!$AB224,IF(J226="ROTECH",PR!$AC224,IF(J226="ISN",PR!$AD224,IF(J226="JAWA",PR!$AE224,IF(J226="LAYO",PR!$AF224,IF(J226="LEADWAY",PR!$AG224,IF(J226="LHV",PR!$AH224,IF(J226="MANOLA",PR!$AI224,IF(J226="MARCSON",PR!$AJ224,IF(J226="M&amp;B",PR!$AK224,IF(J226="MTRUST",PR!$AL224,IF(J226="MWORLD",PR!$AM224,IF(J226="MEGA",PR!$AN224,IF(J226="MICRONOVA",PR!$AO224,IF(J226="MFLASH",PR!$AP224,IF(J226="MORISON",PR!$AQ224,IF(J226="NEMEL",PR!$AR224,IF(J226="NHP",PR!$AS224,IF(J226="NHC",PR!$AT224,IF(J226="OLEAF",PR!$AU224,IF(J226="OCULUS",PR!$AV224,IF(J226="PACIFIC",PR!$AW224,IF(J226="PHAMATEX",PR!$AX224,IF(J226="PETHICS",PR!$AY224,IF(J226="PHILIPS",PR!$AZ224,IF(J226="RANBAXY",PR!$BA224,IF(J226="REALS",PR!$BB224,IF(J226="ROYAL",PR!$BC224,IF(J226="SAM",PR!$BD224,IF(J226="SEAGREEN",PR!$BE224,IF(J226="SKG",PR!$BF224,IF(J226="TAH",PR!$BG224,IF(J226="TAYLEK",PR!$BH224,IF(J226="TEMITA",PR!$BI224,IF(J226="THL",PR!$BJ224,IF(J226="UBASTIC",PR!$BK224,IF(J226="UNION",PR!$BL224,IF(J226="UNIQUE",PR!$BM224,IF(J226="VIXA",PR!$BN224,IF(J226="WWCV",PR!$BO224,IF(J226="ZOLON",PR!$BP224,"-"))))))))))))))))))))))))))))))))))))))))))))))))))))))))))))))))</f>
        <v>880</v>
      </c>
      <c r="J226" s="102" t="str">
        <f>EV!N288</f>
        <v>EUMATT</v>
      </c>
      <c r="K226" s="433" t="s">
        <v>2113</v>
      </c>
      <c r="L226" s="183" t="str">
        <f>IF(K226&gt;0,IF(K226="ALPHA",PR!$E224,IF(K226="ASSENE",PR!$F224,IF(K226="BIOFEM",PR!$G224,IF(K226="BIOMED",PR!$H224,IF(K226="CHI",PR!$I224,IF(K226="CLARION",PR!$J224,IF(K226="CODIX",PR!$K224,IF(K226="COSMADE",PR!$L224,IF(K226="SANCON",PR!$M224,IF(K226="DEVON",PR!$N224,IF(K226="DORTEMAG",PR!$O224,IF(K226="DGF",PR!$P224,IF(K226="DYNAMIC",PR!$Q224,IF(K226="EMZOR",PR!$R224,IF(K226="EUMATT",PR!$S224,IF(K226="FIDSON",PR!$T224,IF(K226="FCGLOBAL",PR!$U224,IF(K226="GENEITH",PR!$V224,IF(K226="GINOS",PR!$W224,IF(K226="GSK",PR!$X224,IF(K226="GLOBORG",PR!$Y224,IF(K226="GOODNEWS",PR!$Z224,IF(K226="GREENLIFE",PR!$AA224,IF(K226="HLINE",PR!$AB224,IF(K226="ROTECH",PR!$AC224,IF(K226="ISN",PR!$AD224,IF(K226="JAWA",PR!$AE224,IF(K226="LAYO",PR!$AF224,IF(K226="LEADWAY",PR!$AG224,IF(K226="LHV",PR!$AH224,IF(K226="MANOLA",PR!$AI224,IF(K226="MARCSON",PR!$AJ224,IF(K226="M&amp;B",PR!$AK224,IF(K226="MTRUST",PR!$AL224,IF(K226="MWORLD",PR!$AM224,IF(K226="MEGA",PR!$AN224,IF(K226="MICRONOVA",PR!$AO224,IF(K226="MFLASH",PR!$AP224,IF(K226="MORISON",PR!$AQ224,IF(K226="NEMEL",PR!$AR224,IF(K226="NHP",PR!$AS224,IF(K226="NHC",PR!$AT224,IF(K226="OLEAF",PR!$AU224,IF(K226="OCULUS",PR!$AV224,IF(K226="PACIFIC",PR!$AW224,IF(K226="PHAMATEX",PR!$AX224,IF(K226="PETHICS",PR!$AY224,IF(K226="PHILIPS",PR!$AZ224,IF(K226="RANBAXY",PR!$BA224,IF(K226="REALS",PR!$BB224,IF(K226="ROYAL",PR!$BC224,IF(K226="SAM",PR!$BD224,IF(K226="SEAGREEN",PR!$BE224,IF(K226="SKG",PR!$BF224,IF(K226="TAH",PR!$BG224,IF(K226="TAYLEK",PR!$BH224,IF(K226="TEMITA",PR!$BI224,IF(K226="THL",PR!$BJ224,IF(K226="UBASTIC",PR!$BK224,IF(K226="UNION",PR!$BL224,IF(K226="UNIQUE",PR!$BM224,IF(K226="VIXA",PR!$BN224,IF(K226="WWCV",PR!$BO224,IF(K226="ZOLON",PR!$BP224,"-")))))))))))))))))))))))))))))))))))))))))))))))))))))))))))))))))</f>
        <v>-</v>
      </c>
    </row>
    <row r="227" spans="1:12" ht="18.75" x14ac:dyDescent="0.3">
      <c r="A227" s="430">
        <f>PR!A225</f>
        <v>201</v>
      </c>
      <c r="B227" s="15" t="str">
        <f>PR!B225</f>
        <v>AMOXICILLIN 500MG INJ</v>
      </c>
      <c r="C227" s="113" t="str">
        <f>PR!D225</f>
        <v>VIAL</v>
      </c>
      <c r="D227" s="113">
        <f>PR!C225</f>
        <v>500</v>
      </c>
      <c r="E227" s="108">
        <f>IF(F227="ALPHA",PR!$E225,IF(F227="ASSENE",PR!$F225,IF(F227="BIOFEM",PR!$G225,IF(F227="BIOMED",PR!$H225,IF(F227="CHI",PR!$I225,IF(F227="CLARION",PR!$J225,IF(F227="CODIX",PR!$K225,IF(F227="COSMADE",PR!$L225,IF(F227="SANCON",PR!$M225,IF(F227="DEVON",PR!$N225,IF(F227="DORTEMAG",PR!$O225,IF(F227="DGF",PR!$P225,IF(F227="DYNAMIC",PR!$Q225,IF(F227="EMZOR",PR!$R225,IF(F227="EUMATT",PR!$S225,IF(F227="FIDSON",PR!$T225,IF(F227="FCGLOBAL",PR!$U225,IF(F227="GENEITH",PR!$V225,IF(F227="GINOS",PR!$W225,IF(F227="GSK",PR!$X225,IF(F227="GLOBORG",PR!$Y225,IF(F227="GOODNEWS",PR!$Z225,IF(F227="GREENLIFE",PR!$AA225,IF(F227="HLINE",PR!$AB225,IF(F227="ROTECH",PR!$AC225,IF(F227="ISN",PR!$AD225,IF(F227="JAWA",PR!$AE225,IF(F227="LAYO",PR!$AF225,IF(F227="LEADWAY",PR!$AG225,IF(F227="LHV",PR!$AH225,IF(F227="MANOLA",PR!$AI225,IF(F227="MARCSON",PR!$AJ225,IF(F227="M&amp;B",PR!$AK225,IF(F227="MTRUST",PR!$AL225,IF(F227="MWORLD",PR!$AM225,IF(F227="MEGA",PR!$AN225,IF(F227="MICRONOVA",PR!$AO225,IF(F227="MFLASH",PR!$AP225,IF(F227="MORISON",PR!$AQ225,IF(F227="NEMEL",PR!$AR225,IF(F227="NHP",PR!$AS225,IF(F227="NHC",PR!$AT225,IF(F227="OLEAF",PR!$AU225,IF(F227="OCULUS",PR!$AV225,IF(F227="PACIFIC",PR!$AW225,IF(F227="PHAMATEX",PR!$AX225,IF(F227="PETHICS",PR!$AY225,IF(F227="PHILIPS",PR!$AZ225,IF(F227="RANBAXY",PR!$BA225,IF(F227="REALS",PR!$BB225,IF(F227="ROYAL",PR!$BC225,IF(F227="SAM",PR!$BD225,IF(F227="SEAGREEN",PR!$BE225,IF(F227="SKG",PR!$BF225,IF(F227="TAH",PR!$BG225,IF(F227="TAYLEK",PR!$BH225,IF(F227="TEMITA",PR!$BI225,IF(F227="THL",PR!$BJ225,IF(F227="UBASTIC",PR!$BK225,IF(F227="UNION",PR!$BL225,IF(F227="UNIQUE",PR!$BM225,IF(F227="VIXA",PR!$BN225,IF(F227="WWCV",PR!$BO225,IF(F227="ZOLON",PR!$BP225,"-"))))))))))))))))))))))))))))))))))))))))))))))))))))))))))))))))</f>
        <v>180</v>
      </c>
      <c r="F227" s="102" t="str">
        <f>EV!L289</f>
        <v>CLARION</v>
      </c>
      <c r="G227" s="108">
        <f>IF(H227="ALPHA",PR!$E225,IF(H227="ASSENE",PR!$F225,IF(H227="BIOFEM",PR!$G225,IF(H227="BIOMED",PR!$H225,IF(H227="CHI",PR!$I225,IF(H227="CLARION",PR!$J225,IF(H227="CODIX",PR!$K225,IF(H227="COSMADE",PR!$L225,IF(H227="SANCON",PR!$M225,IF(H227="DEVON",PR!$N225,IF(H227="DORTEMAG",PR!$O225,IF(H227="DGF",PR!$P225,IF(H227="DYNAMIC",PR!$Q225,IF(H227="EMZOR",PR!$R225,IF(H227="EUMATT",PR!$S225,IF(H227="FIDSON",PR!$T225,IF(H227="FCGLOBAL",PR!$U225,IF(H227="GENEITH",PR!$V225,IF(H227="GINOS",PR!$W225,IF(H227="GSK",PR!$X225,IF(H227="GLOBORG",PR!$Y225,IF(H227="GOODNEWS",PR!$Z225,IF(H227="GREENLIFE",PR!$AA225,IF(H227="HLINE",PR!$AB225,IF(H227="ROTECH",PR!$AC225,IF(H227="ISN",PR!$AD225,IF(H227="JAWA",PR!$AE225,IF(H227="LAYO",PR!$AF225,IF(H227="LEADWAY",PR!$AG225,IF(H227="LHV",PR!$AH225,IF(H227="MANOLA",PR!$AI225,IF(H227="MARCSON",PR!$AJ225,IF(H227="M&amp;B",PR!$AK225,IF(H227="MTRUST",PR!$AL225,IF(H227="MWORLD",PR!$AM225,IF(H227="MEGA",PR!$AN225,IF(H227="MICRONOVA",PR!$AO225,IF(H227="MFLASH",PR!$AP225,IF(H227="MORISON",PR!$AQ225,IF(H227="NEMEL",PR!$AR225,IF(H227="NHP",PR!$AS225,IF(H227="NHC",PR!$AT225,IF(H227="OLEAF",PR!$AU225,IF(H227="OCULUS",PR!$AV225,IF(H227="PACIFIC",PR!$AW225,IF(H227="PHAMATEX",PR!$AX225,IF(H227="PETHICS",PR!$AY225,IF(H227="PHILIPS",PR!$AZ225,IF(H227="RANBAXY",PR!$BA225,IF(H227="REALS",PR!$BB225,IF(H227="ROYAL",PR!$BC225,IF(H227="SAM",PR!$BD225,IF(H227="SEAGREEN",PR!$BE225,IF(H227="SKG",PR!$BF225,IF(H227="TAH",PR!$BG225,IF(H227="TAYLEK",PR!$BH225,IF(H227="TEMITA",PR!$BI225,IF(H227="THL",PR!$BJ225,IF(H227="UBASTIC",PR!$BK225,IF(H227="UNION",PR!$BL225,IF(H227="UNIQUE",PR!$BM225,IF(H227="VIXA",PR!$BN225,IF(H227="WWCV",PR!$BO225,IF(H227="ZOLON",PR!$BP225,"-"))))))))))))))))))))))))))))))))))))))))))))))))))))))))))))))))</f>
        <v>205</v>
      </c>
      <c r="H227" s="102" t="str">
        <f>EV!M289</f>
        <v>EUMATT</v>
      </c>
      <c r="I227" s="108" t="str">
        <f>IF(J227="ALPHA",PR!$E225,IF(J227="ASSENE",PR!$F225,IF(J227="BIOFEM",PR!$G225,IF(J227="BIOMED",PR!$H225,IF(J227="CHI",PR!$I225,IF(J227="CLARION",PR!$J225,IF(J227="CODIX",PR!$K225,IF(J227="COSMADE",PR!$L225,IF(J227="SANCON",PR!$M225,IF(J227="DEVON",PR!$N225,IF(J227="DORTEMAG",PR!$O225,IF(J227="DGF",PR!$P225,IF(J227="DYNAMIC",PR!$Q225,IF(J227="EMZOR",PR!$R225,IF(J227="EUMATT",PR!$S225,IF(J227="FIDSON",PR!$T225,IF(J227="FCGLOBAL",PR!$U225,IF(J227="GENEITH",PR!$V225,IF(J227="GINOS",PR!$W225,IF(J227="GSK",PR!$X225,IF(J227="GLOBORG",PR!$Y225,IF(J227="GOODNEWS",PR!$Z225,IF(J227="GREENLIFE",PR!$AA225,IF(J227="HLINE",PR!$AB225,IF(J227="ROTECH",PR!$AC225,IF(J227="ISN",PR!$AD225,IF(J227="JAWA",PR!$AE225,IF(J227="LAYO",PR!$AF225,IF(J227="LEADWAY",PR!$AG225,IF(J227="LHV",PR!$AH225,IF(J227="MANOLA",PR!$AI225,IF(J227="MARCSON",PR!$AJ225,IF(J227="M&amp;B",PR!$AK225,IF(J227="MTRUST",PR!$AL225,IF(J227="MWORLD",PR!$AM225,IF(J227="MEGA",PR!$AN225,IF(J227="MICRONOVA",PR!$AO225,IF(J227="MFLASH",PR!$AP225,IF(J227="MORISON",PR!$AQ225,IF(J227="NEMEL",PR!$AR225,IF(J227="NHP",PR!$AS225,IF(J227="NHC",PR!$AT225,IF(J227="OLEAF",PR!$AU225,IF(J227="OCULUS",PR!$AV225,IF(J227="PACIFIC",PR!$AW225,IF(J227="PHAMATEX",PR!$AX225,IF(J227="PETHICS",PR!$AY225,IF(J227="PHILIPS",PR!$AZ225,IF(J227="RANBAXY",PR!$BA225,IF(J227="REALS",PR!$BB225,IF(J227="ROYAL",PR!$BC225,IF(J227="SAM",PR!$BD225,IF(J227="SEAGREEN",PR!$BE225,IF(J227="SKG",PR!$BF225,IF(J227="TAH",PR!$BG225,IF(J227="TAYLEK",PR!$BH225,IF(J227="TEMITA",PR!$BI225,IF(J227="THL",PR!$BJ225,IF(J227="UBASTIC",PR!$BK225,IF(J227="UNION",PR!$BL225,IF(J227="UNIQUE",PR!$BM225,IF(J227="VIXA",PR!$BN225,IF(J227="WWCV",PR!$BO225,IF(J227="ZOLON",PR!$BP225,"-"))))))))))))))))))))))))))))))))))))))))))))))))))))))))))))))))</f>
        <v>-</v>
      </c>
      <c r="J227" s="102">
        <f>EV!N289</f>
        <v>0</v>
      </c>
      <c r="K227" s="433" t="s">
        <v>824</v>
      </c>
      <c r="L227" s="183">
        <f>IF(K227&gt;0,IF(K227="ALPHA",PR!$E225,IF(K227="ASSENE",PR!$F225,IF(K227="BIOFEM",PR!$G225,IF(K227="BIOMED",PR!$H225,IF(K227="CHI",PR!$I225,IF(K227="CLARION",PR!$J225,IF(K227="CODIX",PR!$K225,IF(K227="COSMADE",PR!$L225,IF(K227="SANCON",PR!$M225,IF(K227="DEVON",PR!$N225,IF(K227="DORTEMAG",PR!$O225,IF(K227="DGF",PR!$P225,IF(K227="DYNAMIC",PR!$Q225,IF(K227="EMZOR",PR!$R225,IF(K227="EUMATT",PR!$S225,IF(K227="FIDSON",PR!$T225,IF(K227="FCGLOBAL",PR!$U225,IF(K227="GENEITH",PR!$V225,IF(K227="GINOS",PR!$W225,IF(K227="GSK",PR!$X225,IF(K227="GLOBORG",PR!$Y225,IF(K227="GOODNEWS",PR!$Z225,IF(K227="GREENLIFE",PR!$AA225,IF(K227="HLINE",PR!$AB225,IF(K227="ROTECH",PR!$AC225,IF(K227="ISN",PR!$AD225,IF(K227="JAWA",PR!$AE225,IF(K227="LAYO",PR!$AF225,IF(K227="LEADWAY",PR!$AG225,IF(K227="LHV",PR!$AH225,IF(K227="MANOLA",PR!$AI225,IF(K227="MARCSON",PR!$AJ225,IF(K227="M&amp;B",PR!$AK225,IF(K227="MTRUST",PR!$AL225,IF(K227="MWORLD",PR!$AM225,IF(K227="MEGA",PR!$AN225,IF(K227="MICRONOVA",PR!$AO225,IF(K227="MFLASH",PR!$AP225,IF(K227="MORISON",PR!$AQ225,IF(K227="NEMEL",PR!$AR225,IF(K227="NHP",PR!$AS225,IF(K227="NHC",PR!$AT225,IF(K227="OLEAF",PR!$AU225,IF(K227="OCULUS",PR!$AV225,IF(K227="PACIFIC",PR!$AW225,IF(K227="PHAMATEX",PR!$AX225,IF(K227="PETHICS",PR!$AY225,IF(K227="PHILIPS",PR!$AZ225,IF(K227="RANBAXY",PR!$BA225,IF(K227="REALS",PR!$BB225,IF(K227="ROYAL",PR!$BC225,IF(K227="SAM",PR!$BD225,IF(K227="SEAGREEN",PR!$BE225,IF(K227="SKG",PR!$BF225,IF(K227="TAH",PR!$BG225,IF(K227="TAYLEK",PR!$BH225,IF(K227="TEMITA",PR!$BI225,IF(K227="THL",PR!$BJ225,IF(K227="UBASTIC",PR!$BK225,IF(K227="UNION",PR!$BL225,IF(K227="UNIQUE",PR!$BM225,IF(K227="VIXA",PR!$BN225,IF(K227="WWCV",PR!$BO225,IF(K227="ZOLON",PR!$BP225,"-")))))))))))))))))))))))))))))))))))))))))))))))))))))))))))))))))</f>
        <v>180</v>
      </c>
    </row>
    <row r="228" spans="1:12" ht="18.75" x14ac:dyDescent="0.3">
      <c r="A228" s="430">
        <f>PR!A226</f>
        <v>202</v>
      </c>
      <c r="B228" s="15" t="str">
        <f>PR!B226</f>
        <v>AMOXICILLIN/CLAVULANIC ACID  228MG/5ML</v>
      </c>
      <c r="C228" s="113" t="str">
        <f>PR!D226</f>
        <v>BOTT</v>
      </c>
      <c r="D228" s="113">
        <f>PR!C226</f>
        <v>1000</v>
      </c>
      <c r="E228" s="108">
        <f>IF(F228="ALPHA",PR!$E226,IF(F228="ASSENE",PR!$F226,IF(F228="BIOFEM",PR!$G226,IF(F228="BIOMED",PR!$H226,IF(F228="CHI",PR!$I226,IF(F228="CLARION",PR!$J226,IF(F228="CODIX",PR!$K226,IF(F228="COSMADE",PR!$L226,IF(F228="SANCON",PR!$M226,IF(F228="DEVON",PR!$N226,IF(F228="DORTEMAG",PR!$O226,IF(F228="DGF",PR!$P226,IF(F228="DYNAMIC",PR!$Q226,IF(F228="EMZOR",PR!$R226,IF(F228="EUMATT",PR!$S226,IF(F228="FIDSON",PR!$T226,IF(F228="FCGLOBAL",PR!$U226,IF(F228="GENEITH",PR!$V226,IF(F228="GINOS",PR!$W226,IF(F228="GSK",PR!$X226,IF(F228="GLOBORG",PR!$Y226,IF(F228="GOODNEWS",PR!$Z226,IF(F228="GREENLIFE",PR!$AA226,IF(F228="HLINE",PR!$AB226,IF(F228="ROTECH",PR!$AC226,IF(F228="ISN",PR!$AD226,IF(F228="JAWA",PR!$AE226,IF(F228="LAYO",PR!$AF226,IF(F228="LEADWAY",PR!$AG226,IF(F228="LHV",PR!$AH226,IF(F228="MANOLA",PR!$AI226,IF(F228="MARCSON",PR!$AJ226,IF(F228="M&amp;B",PR!$AK226,IF(F228="MTRUST",PR!$AL226,IF(F228="MWORLD",PR!$AM226,IF(F228="MEGA",PR!$AN226,IF(F228="MICRONOVA",PR!$AO226,IF(F228="MFLASH",PR!$AP226,IF(F228="MORISON",PR!$AQ226,IF(F228="NEMEL",PR!$AR226,IF(F228="NHP",PR!$AS226,IF(F228="NHC",PR!$AT226,IF(F228="OLEAF",PR!$AU226,IF(F228="OCULUS",PR!$AV226,IF(F228="PACIFIC",PR!$AW226,IF(F228="PHAMATEX",PR!$AX226,IF(F228="PETHICS",PR!$AY226,IF(F228="PHILIPS",PR!$AZ226,IF(F228="RANBAXY",PR!$BA226,IF(F228="REALS",PR!$BB226,IF(F228="ROYAL",PR!$BC226,IF(F228="SAM",PR!$BD226,IF(F228="SEAGREEN",PR!$BE226,IF(F228="SKG",PR!$BF226,IF(F228="TAH",PR!$BG226,IF(F228="TAYLEK",PR!$BH226,IF(F228="TEMITA",PR!$BI226,IF(F228="THL",PR!$BJ226,IF(F228="UBASTIC",PR!$BK226,IF(F228="UNION",PR!$BL226,IF(F228="UNIQUE",PR!$BM226,IF(F228="VIXA",PR!$BN226,IF(F228="WWCV",PR!$BO226,IF(F228="ZOLON",PR!$BP226,"-"))))))))))))))))))))))))))))))))))))))))))))))))))))))))))))))))</f>
        <v>450</v>
      </c>
      <c r="F228" s="102" t="str">
        <f>EV!L290</f>
        <v>GREENLIFE</v>
      </c>
      <c r="G228" s="108">
        <f>IF(H228="ALPHA",PR!$E226,IF(H228="ASSENE",PR!$F226,IF(H228="BIOFEM",PR!$G226,IF(H228="BIOMED",PR!$H226,IF(H228="CHI",PR!$I226,IF(H228="CLARION",PR!$J226,IF(H228="CODIX",PR!$K226,IF(H228="COSMADE",PR!$L226,IF(H228="SANCON",PR!$M226,IF(H228="DEVON",PR!$N226,IF(H228="DORTEMAG",PR!$O226,IF(H228="DGF",PR!$P226,IF(H228="DYNAMIC",PR!$Q226,IF(H228="EMZOR",PR!$R226,IF(H228="EUMATT",PR!$S226,IF(H228="FIDSON",PR!$T226,IF(H228="FCGLOBAL",PR!$U226,IF(H228="GENEITH",PR!$V226,IF(H228="GINOS",PR!$W226,IF(H228="GSK",PR!$X226,IF(H228="GLOBORG",PR!$Y226,IF(H228="GOODNEWS",PR!$Z226,IF(H228="GREENLIFE",PR!$AA226,IF(H228="HLINE",PR!$AB226,IF(H228="ROTECH",PR!$AC226,IF(H228="ISN",PR!$AD226,IF(H228="JAWA",PR!$AE226,IF(H228="LAYO",PR!$AF226,IF(H228="LEADWAY",PR!$AG226,IF(H228="LHV",PR!$AH226,IF(H228="MANOLA",PR!$AI226,IF(H228="MARCSON",PR!$AJ226,IF(H228="M&amp;B",PR!$AK226,IF(H228="MTRUST",PR!$AL226,IF(H228="MWORLD",PR!$AM226,IF(H228="MEGA",PR!$AN226,IF(H228="MICRONOVA",PR!$AO226,IF(H228="MFLASH",PR!$AP226,IF(H228="MORISON",PR!$AQ226,IF(H228="NEMEL",PR!$AR226,IF(H228="NHP",PR!$AS226,IF(H228="NHC",PR!$AT226,IF(H228="OLEAF",PR!$AU226,IF(H228="OCULUS",PR!$AV226,IF(H228="PACIFIC",PR!$AW226,IF(H228="PHAMATEX",PR!$AX226,IF(H228="PETHICS",PR!$AY226,IF(H228="PHILIPS",PR!$AZ226,IF(H228="RANBAXY",PR!$BA226,IF(H228="REALS",PR!$BB226,IF(H228="ROYAL",PR!$BC226,IF(H228="SAM",PR!$BD226,IF(H228="SEAGREEN",PR!$BE226,IF(H228="SKG",PR!$BF226,IF(H228="TAH",PR!$BG226,IF(H228="TAYLEK",PR!$BH226,IF(H228="TEMITA",PR!$BI226,IF(H228="THL",PR!$BJ226,IF(H228="UBASTIC",PR!$BK226,IF(H228="UNION",PR!$BL226,IF(H228="UNIQUE",PR!$BM226,IF(H228="VIXA",PR!$BN226,IF(H228="WWCV",PR!$BO226,IF(H228="ZOLON",PR!$BP226,"-"))))))))))))))))))))))))))))))))))))))))))))))))))))))))))))))))</f>
        <v>450</v>
      </c>
      <c r="H228" s="102" t="str">
        <f>EV!M290</f>
        <v>CLARION</v>
      </c>
      <c r="I228" s="108">
        <f>IF(J228="ALPHA",PR!$E226,IF(J228="ASSENE",PR!$F226,IF(J228="BIOFEM",PR!$G226,IF(J228="BIOMED",PR!$H226,IF(J228="CHI",PR!$I226,IF(J228="CLARION",PR!$J226,IF(J228="CODIX",PR!$K226,IF(J228="COSMADE",PR!$L226,IF(J228="SANCON",PR!$M226,IF(J228="DEVON",PR!$N226,IF(J228="DORTEMAG",PR!$O226,IF(J228="DGF",PR!$P226,IF(J228="DYNAMIC",PR!$Q226,IF(J228="EMZOR",PR!$R226,IF(J228="EUMATT",PR!$S226,IF(J228="FIDSON",PR!$T226,IF(J228="FCGLOBAL",PR!$U226,IF(J228="GENEITH",PR!$V226,IF(J228="GINOS",PR!$W226,IF(J228="GSK",PR!$X226,IF(J228="GLOBORG",PR!$Y226,IF(J228="GOODNEWS",PR!$Z226,IF(J228="GREENLIFE",PR!$AA226,IF(J228="HLINE",PR!$AB226,IF(J228="ROTECH",PR!$AC226,IF(J228="ISN",PR!$AD226,IF(J228="JAWA",PR!$AE226,IF(J228="LAYO",PR!$AF226,IF(J228="LEADWAY",PR!$AG226,IF(J228="LHV",PR!$AH226,IF(J228="MANOLA",PR!$AI226,IF(J228="MARCSON",PR!$AJ226,IF(J228="M&amp;B",PR!$AK226,IF(J228="MTRUST",PR!$AL226,IF(J228="MWORLD",PR!$AM226,IF(J228="MEGA",PR!$AN226,IF(J228="MICRONOVA",PR!$AO226,IF(J228="MFLASH",PR!$AP226,IF(J228="MORISON",PR!$AQ226,IF(J228="NEMEL",PR!$AR226,IF(J228="NHP",PR!$AS226,IF(J228="NHC",PR!$AT226,IF(J228="OLEAF",PR!$AU226,IF(J228="OCULUS",PR!$AV226,IF(J228="PACIFIC",PR!$AW226,IF(J228="PHAMATEX",PR!$AX226,IF(J228="PETHICS",PR!$AY226,IF(J228="PHILIPS",PR!$AZ226,IF(J228="RANBAXY",PR!$BA226,IF(J228="REALS",PR!$BB226,IF(J228="ROYAL",PR!$BC226,IF(J228="SAM",PR!$BD226,IF(J228="SEAGREEN",PR!$BE226,IF(J228="SKG",PR!$BF226,IF(J228="TAH",PR!$BG226,IF(J228="TAYLEK",PR!$BH226,IF(J228="TEMITA",PR!$BI226,IF(J228="THL",PR!$BJ226,IF(J228="UBASTIC",PR!$BK226,IF(J228="UNION",PR!$BL226,IF(J228="UNIQUE",PR!$BM226,IF(J228="VIXA",PR!$BN226,IF(J228="WWCV",PR!$BO226,IF(J228="ZOLON",PR!$BP226,"-"))))))))))))))))))))))))))))))))))))))))))))))))))))))))))))))))</f>
        <v>500</v>
      </c>
      <c r="J228" s="102" t="str">
        <f>EV!N290</f>
        <v>GENEITH</v>
      </c>
      <c r="K228" s="433" t="s">
        <v>2114</v>
      </c>
      <c r="L228" s="183" t="str">
        <f>IF(K228&gt;0,IF(K228="ALPHA",PR!$E226,IF(K228="ASSENE",PR!$F226,IF(K228="BIOFEM",PR!$G226,IF(K228="BIOMED",PR!$H226,IF(K228="CHI",PR!$I226,IF(K228="CLARION",PR!$J226,IF(K228="CODIX",PR!$K226,IF(K228="COSMADE",PR!$L226,IF(K228="SANCON",PR!$M226,IF(K228="DEVON",PR!$N226,IF(K228="DORTEMAG",PR!$O226,IF(K228="DGF",PR!$P226,IF(K228="DYNAMIC",PR!$Q226,IF(K228="EMZOR",PR!$R226,IF(K228="EUMATT",PR!$S226,IF(K228="FIDSON",PR!$T226,IF(K228="FCGLOBAL",PR!$U226,IF(K228="GENEITH",PR!$V226,IF(K228="GINOS",PR!$W226,IF(K228="GSK",PR!$X226,IF(K228="GLOBORG",PR!$Y226,IF(K228="GOODNEWS",PR!$Z226,IF(K228="GREENLIFE",PR!$AA226,IF(K228="HLINE",PR!$AB226,IF(K228="ROTECH",PR!$AC226,IF(K228="ISN",PR!$AD226,IF(K228="JAWA",PR!$AE226,IF(K228="LAYO",PR!$AF226,IF(K228="LEADWAY",PR!$AG226,IF(K228="LHV",PR!$AH226,IF(K228="MANOLA",PR!$AI226,IF(K228="MARCSON",PR!$AJ226,IF(K228="M&amp;B",PR!$AK226,IF(K228="MTRUST",PR!$AL226,IF(K228="MWORLD",PR!$AM226,IF(K228="MEGA",PR!$AN226,IF(K228="MICRONOVA",PR!$AO226,IF(K228="MFLASH",PR!$AP226,IF(K228="MORISON",PR!$AQ226,IF(K228="NEMEL",PR!$AR226,IF(K228="NHP",PR!$AS226,IF(K228="NHC",PR!$AT226,IF(K228="OLEAF",PR!$AU226,IF(K228="OCULUS",PR!$AV226,IF(K228="PACIFIC",PR!$AW226,IF(K228="PHAMATEX",PR!$AX226,IF(K228="PETHICS",PR!$AY226,IF(K228="PHILIPS",PR!$AZ226,IF(K228="RANBAXY",PR!$BA226,IF(K228="REALS",PR!$BB226,IF(K228="ROYAL",PR!$BC226,IF(K228="SAM",PR!$BD226,IF(K228="SEAGREEN",PR!$BE226,IF(K228="SKG",PR!$BF226,IF(K228="TAH",PR!$BG226,IF(K228="TAYLEK",PR!$BH226,IF(K228="TEMITA",PR!$BI226,IF(K228="THL",PR!$BJ226,IF(K228="UBASTIC",PR!$BK226,IF(K228="UNION",PR!$BL226,IF(K228="UNIQUE",PR!$BM226,IF(K228="VIXA",PR!$BN226,IF(K228="WWCV",PR!$BO226,IF(K228="ZOLON",PR!$BP226,"-")))))))))))))))))))))))))))))))))))))))))))))))))))))))))))))))))</f>
        <v>-</v>
      </c>
    </row>
    <row r="229" spans="1:12" ht="18.75" x14ac:dyDescent="0.3">
      <c r="A229" s="430">
        <f>PR!A227</f>
        <v>203</v>
      </c>
      <c r="B229" s="15" t="str">
        <f>PR!B227</f>
        <v>AMOXICILLIN/CLAVULANIC ACID 457MG/5ML</v>
      </c>
      <c r="C229" s="113" t="str">
        <f>PR!D227</f>
        <v>BOTT</v>
      </c>
      <c r="D229" s="113">
        <f>PR!C227</f>
        <v>200</v>
      </c>
      <c r="E229" s="108">
        <f>IF(F229="ALPHA",PR!$E227,IF(F229="ASSENE",PR!$F227,IF(F229="BIOFEM",PR!$G227,IF(F229="BIOMED",PR!$H227,IF(F229="CHI",PR!$I227,IF(F229="CLARION",PR!$J227,IF(F229="CODIX",PR!$K227,IF(F229="COSMADE",PR!$L227,IF(F229="SANCON",PR!$M227,IF(F229="DEVON",PR!$N227,IF(F229="DORTEMAG",PR!$O227,IF(F229="DGF",PR!$P227,IF(F229="DYNAMIC",PR!$Q227,IF(F229="EMZOR",PR!$R227,IF(F229="EUMATT",PR!$S227,IF(F229="FIDSON",PR!$T227,IF(F229="FCGLOBAL",PR!$U227,IF(F229="GENEITH",PR!$V227,IF(F229="GINOS",PR!$W227,IF(F229="GSK",PR!$X227,IF(F229="GLOBORG",PR!$Y227,IF(F229="GOODNEWS",PR!$Z227,IF(F229="GREENLIFE",PR!$AA227,IF(F229="HLINE",PR!$AB227,IF(F229="ROTECH",PR!$AC227,IF(F229="ISN",PR!$AD227,IF(F229="JAWA",PR!$AE227,IF(F229="LAYO",PR!$AF227,IF(F229="LEADWAY",PR!$AG227,IF(F229="LHV",PR!$AH227,IF(F229="MANOLA",PR!$AI227,IF(F229="MARCSON",PR!$AJ227,IF(F229="M&amp;B",PR!$AK227,IF(F229="MTRUST",PR!$AL227,IF(F229="MWORLD",PR!$AM227,IF(F229="MEGA",PR!$AN227,IF(F229="MICRONOVA",PR!$AO227,IF(F229="MFLASH",PR!$AP227,IF(F229="MORISON",PR!$AQ227,IF(F229="NEMEL",PR!$AR227,IF(F229="NHP",PR!$AS227,IF(F229="NHC",PR!$AT227,IF(F229="OLEAF",PR!$AU227,IF(F229="OCULUS",PR!$AV227,IF(F229="PACIFIC",PR!$AW227,IF(F229="PHAMATEX",PR!$AX227,IF(F229="PETHICS",PR!$AY227,IF(F229="PHILIPS",PR!$AZ227,IF(F229="RANBAXY",PR!$BA227,IF(F229="REALS",PR!$BB227,IF(F229="ROYAL",PR!$BC227,IF(F229="SAM",PR!$BD227,IF(F229="SEAGREEN",PR!$BE227,IF(F229="SKG",PR!$BF227,IF(F229="TAH",PR!$BG227,IF(F229="TAYLEK",PR!$BH227,IF(F229="TEMITA",PR!$BI227,IF(F229="THL",PR!$BJ227,IF(F229="UBASTIC",PR!$BK227,IF(F229="UNION",PR!$BL227,IF(F229="UNIQUE",PR!$BM227,IF(F229="VIXA",PR!$BN227,IF(F229="WWCV",PR!$BO227,IF(F229="ZOLON",PR!$BP227,"-"))))))))))))))))))))))))))))))))))))))))))))))))))))))))))))))))</f>
        <v>980</v>
      </c>
      <c r="F229" s="102" t="str">
        <f>EV!L291</f>
        <v>CHI</v>
      </c>
      <c r="G229" s="108">
        <f>IF(H229="ALPHA",PR!$E227,IF(H229="ASSENE",PR!$F227,IF(H229="BIOFEM",PR!$G227,IF(H229="BIOMED",PR!$H227,IF(H229="CHI",PR!$I227,IF(H229="CLARION",PR!$J227,IF(H229="CODIX",PR!$K227,IF(H229="COSMADE",PR!$L227,IF(H229="SANCON",PR!$M227,IF(H229="DEVON",PR!$N227,IF(H229="DORTEMAG",PR!$O227,IF(H229="DGF",PR!$P227,IF(H229="DYNAMIC",PR!$Q227,IF(H229="EMZOR",PR!$R227,IF(H229="EUMATT",PR!$S227,IF(H229="FIDSON",PR!$T227,IF(H229="FCGLOBAL",PR!$U227,IF(H229="GENEITH",PR!$V227,IF(H229="GINOS",PR!$W227,IF(H229="GSK",PR!$X227,IF(H229="GLOBORG",PR!$Y227,IF(H229="GOODNEWS",PR!$Z227,IF(H229="GREENLIFE",PR!$AA227,IF(H229="HLINE",PR!$AB227,IF(H229="ROTECH",PR!$AC227,IF(H229="ISN",PR!$AD227,IF(H229="JAWA",PR!$AE227,IF(H229="LAYO",PR!$AF227,IF(H229="LEADWAY",PR!$AG227,IF(H229="LHV",PR!$AH227,IF(H229="MANOLA",PR!$AI227,IF(H229="MARCSON",PR!$AJ227,IF(H229="M&amp;B",PR!$AK227,IF(H229="MTRUST",PR!$AL227,IF(H229="MWORLD",PR!$AM227,IF(H229="MEGA",PR!$AN227,IF(H229="MICRONOVA",PR!$AO227,IF(H229="MFLASH",PR!$AP227,IF(H229="MORISON",PR!$AQ227,IF(H229="NEMEL",PR!$AR227,IF(H229="NHP",PR!$AS227,IF(H229="NHC",PR!$AT227,IF(H229="OLEAF",PR!$AU227,IF(H229="OCULUS",PR!$AV227,IF(H229="PACIFIC",PR!$AW227,IF(H229="PHAMATEX",PR!$AX227,IF(H229="PETHICS",PR!$AY227,IF(H229="PHILIPS",PR!$AZ227,IF(H229="RANBAXY",PR!$BA227,IF(H229="REALS",PR!$BB227,IF(H229="ROYAL",PR!$BC227,IF(H229="SAM",PR!$BD227,IF(H229="SEAGREEN",PR!$BE227,IF(H229="SKG",PR!$BF227,IF(H229="TAH",PR!$BG227,IF(H229="TAYLEK",PR!$BH227,IF(H229="TEMITA",PR!$BI227,IF(H229="THL",PR!$BJ227,IF(H229="UBASTIC",PR!$BK227,IF(H229="UNION",PR!$BL227,IF(H229="UNIQUE",PR!$BM227,IF(H229="VIXA",PR!$BN227,IF(H229="WWCV",PR!$BO227,IF(H229="ZOLON",PR!$BP227,"-"))))))))))))))))))))))))))))))))))))))))))))))))))))))))))))))))</f>
        <v>1414</v>
      </c>
      <c r="H229" s="102" t="str">
        <f>EV!M291</f>
        <v>TAYLEK</v>
      </c>
      <c r="I229" s="108">
        <f>IF(J229="ALPHA",PR!$E227,IF(J229="ASSENE",PR!$F227,IF(J229="BIOFEM",PR!$G227,IF(J229="BIOMED",PR!$H227,IF(J229="CHI",PR!$I227,IF(J229="CLARION",PR!$J227,IF(J229="CODIX",PR!$K227,IF(J229="COSMADE",PR!$L227,IF(J229="SANCON",PR!$M227,IF(J229="DEVON",PR!$N227,IF(J229="DORTEMAG",PR!$O227,IF(J229="DGF",PR!$P227,IF(J229="DYNAMIC",PR!$Q227,IF(J229="EMZOR",PR!$R227,IF(J229="EUMATT",PR!$S227,IF(J229="FIDSON",PR!$T227,IF(J229="FCGLOBAL",PR!$U227,IF(J229="GENEITH",PR!$V227,IF(J229="GINOS",PR!$W227,IF(J229="GSK",PR!$X227,IF(J229="GLOBORG",PR!$Y227,IF(J229="GOODNEWS",PR!$Z227,IF(J229="GREENLIFE",PR!$AA227,IF(J229="HLINE",PR!$AB227,IF(J229="ROTECH",PR!$AC227,IF(J229="ISN",PR!$AD227,IF(J229="JAWA",PR!$AE227,IF(J229="LAYO",PR!$AF227,IF(J229="LEADWAY",PR!$AG227,IF(J229="LHV",PR!$AH227,IF(J229="MANOLA",PR!$AI227,IF(J229="MARCSON",PR!$AJ227,IF(J229="M&amp;B",PR!$AK227,IF(J229="MTRUST",PR!$AL227,IF(J229="MWORLD",PR!$AM227,IF(J229="MEGA",PR!$AN227,IF(J229="MICRONOVA",PR!$AO227,IF(J229="MFLASH",PR!$AP227,IF(J229="MORISON",PR!$AQ227,IF(J229="NEMEL",PR!$AR227,IF(J229="NHP",PR!$AS227,IF(J229="NHC",PR!$AT227,IF(J229="OLEAF",PR!$AU227,IF(J229="OCULUS",PR!$AV227,IF(J229="PACIFIC",PR!$AW227,IF(J229="PHAMATEX",PR!$AX227,IF(J229="PETHICS",PR!$AY227,IF(J229="PHILIPS",PR!$AZ227,IF(J229="RANBAXY",PR!$BA227,IF(J229="REALS",PR!$BB227,IF(J229="ROYAL",PR!$BC227,IF(J229="SAM",PR!$BD227,IF(J229="SEAGREEN",PR!$BE227,IF(J229="SKG",PR!$BF227,IF(J229="TAH",PR!$BG227,IF(J229="TAYLEK",PR!$BH227,IF(J229="TEMITA",PR!$BI227,IF(J229="THL",PR!$BJ227,IF(J229="UBASTIC",PR!$BK227,IF(J229="UNION",PR!$BL227,IF(J229="UNIQUE",PR!$BM227,IF(J229="VIXA",PR!$BN227,IF(J229="WWCV",PR!$BO227,IF(J229="ZOLON",PR!$BP227,"-"))))))))))))))))))))))))))))))))))))))))))))))))))))))))))))))))</f>
        <v>1450</v>
      </c>
      <c r="J229" s="102" t="str">
        <f>EV!N291</f>
        <v>FIDSON</v>
      </c>
      <c r="K229" s="433" t="s">
        <v>1446</v>
      </c>
      <c r="L229" s="183">
        <f>IF(K229&gt;0,IF(K229="ALPHA",PR!$E227,IF(K229="ASSENE",PR!$F227,IF(K229="BIOFEM",PR!$G227,IF(K229="BIOMED",PR!$H227,IF(K229="CHI",PR!$I227,IF(K229="CLARION",PR!$J227,IF(K229="CODIX",PR!$K227,IF(K229="COSMADE",PR!$L227,IF(K229="SANCON",PR!$M227,IF(K229="DEVON",PR!$N227,IF(K229="DORTEMAG",PR!$O227,IF(K229="DGF",PR!$P227,IF(K229="DYNAMIC",PR!$Q227,IF(K229="EMZOR",PR!$R227,IF(K229="EUMATT",PR!$S227,IF(K229="FIDSON",PR!$T227,IF(K229="FCGLOBAL",PR!$U227,IF(K229="GENEITH",PR!$V227,IF(K229="GINOS",PR!$W227,IF(K229="GSK",PR!$X227,IF(K229="GLOBORG",PR!$Y227,IF(K229="GOODNEWS",PR!$Z227,IF(K229="GREENLIFE",PR!$AA227,IF(K229="HLINE",PR!$AB227,IF(K229="ROTECH",PR!$AC227,IF(K229="ISN",PR!$AD227,IF(K229="JAWA",PR!$AE227,IF(K229="LAYO",PR!$AF227,IF(K229="LEADWAY",PR!$AG227,IF(K229="LHV",PR!$AH227,IF(K229="MANOLA",PR!$AI227,IF(K229="MARCSON",PR!$AJ227,IF(K229="M&amp;B",PR!$AK227,IF(K229="MTRUST",PR!$AL227,IF(K229="MWORLD",PR!$AM227,IF(K229="MEGA",PR!$AN227,IF(K229="MICRONOVA",PR!$AO227,IF(K229="MFLASH",PR!$AP227,IF(K229="MORISON",PR!$AQ227,IF(K229="NEMEL",PR!$AR227,IF(K229="NHP",PR!$AS227,IF(K229="NHC",PR!$AT227,IF(K229="OLEAF",PR!$AU227,IF(K229="OCULUS",PR!$AV227,IF(K229="PACIFIC",PR!$AW227,IF(K229="PHAMATEX",PR!$AX227,IF(K229="PETHICS",PR!$AY227,IF(K229="PHILIPS",PR!$AZ227,IF(K229="RANBAXY",PR!$BA227,IF(K229="REALS",PR!$BB227,IF(K229="ROYAL",PR!$BC227,IF(K229="SAM",PR!$BD227,IF(K229="SEAGREEN",PR!$BE227,IF(K229="SKG",PR!$BF227,IF(K229="TAH",PR!$BG227,IF(K229="TAYLEK",PR!$BH227,IF(K229="TEMITA",PR!$BI227,IF(K229="THL",PR!$BJ227,IF(K229="UBASTIC",PR!$BK227,IF(K229="UNION",PR!$BL227,IF(K229="UNIQUE",PR!$BM227,IF(K229="VIXA",PR!$BN227,IF(K229="WWCV",PR!$BO227,IF(K229="ZOLON",PR!$BP227,"-")))))))))))))))))))))))))))))))))))))))))))))))))))))))))))))))))</f>
        <v>980</v>
      </c>
    </row>
    <row r="230" spans="1:12" ht="18.75" x14ac:dyDescent="0.3">
      <c r="A230" s="430">
        <f>PR!A228</f>
        <v>204</v>
      </c>
      <c r="B230" s="15" t="str">
        <f>PR!B228</f>
        <v>AMOXICILLIN/CLAVULANIC ACID 1.2G INJ</v>
      </c>
      <c r="C230" s="113" t="str">
        <f>PR!D228</f>
        <v>VIAL</v>
      </c>
      <c r="D230" s="113">
        <f>PR!C228</f>
        <v>12000</v>
      </c>
      <c r="E230" s="108">
        <f>IF(F230="ALPHA",PR!$E228,IF(F230="ASSENE",PR!$F228,IF(F230="BIOFEM",PR!$G228,IF(F230="BIOMED",PR!$H228,IF(F230="CHI",PR!$I228,IF(F230="CLARION",PR!$J228,IF(F230="CODIX",PR!$K228,IF(F230="COSMADE",PR!$L228,IF(F230="SANCON",PR!$M228,IF(F230="DEVON",PR!$N228,IF(F230="DORTEMAG",PR!$O228,IF(F230="DGF",PR!$P228,IF(F230="DYNAMIC",PR!$Q228,IF(F230="EMZOR",PR!$R228,IF(F230="EUMATT",PR!$S228,IF(F230="FIDSON",PR!$T228,IF(F230="FCGLOBAL",PR!$U228,IF(F230="GENEITH",PR!$V228,IF(F230="GINOS",PR!$W228,IF(F230="GSK",PR!$X228,IF(F230="GLOBORG",PR!$Y228,IF(F230="GOODNEWS",PR!$Z228,IF(F230="GREENLIFE",PR!$AA228,IF(F230="HLINE",PR!$AB228,IF(F230="ROTECH",PR!$AC228,IF(F230="ISN",PR!$AD228,IF(F230="JAWA",PR!$AE228,IF(F230="LAYO",PR!$AF228,IF(F230="LEADWAY",PR!$AG228,IF(F230="LHV",PR!$AH228,IF(F230="MANOLA",PR!$AI228,IF(F230="MARCSON",PR!$AJ228,IF(F230="M&amp;B",PR!$AK228,IF(F230="MTRUST",PR!$AL228,IF(F230="MWORLD",PR!$AM228,IF(F230="MEGA",PR!$AN228,IF(F230="MICRONOVA",PR!$AO228,IF(F230="MFLASH",PR!$AP228,IF(F230="MORISON",PR!$AQ228,IF(F230="NEMEL",PR!$AR228,IF(F230="NHP",PR!$AS228,IF(F230="NHC",PR!$AT228,IF(F230="OLEAF",PR!$AU228,IF(F230="OCULUS",PR!$AV228,IF(F230="PACIFIC",PR!$AW228,IF(F230="PHAMATEX",PR!$AX228,IF(F230="PETHICS",PR!$AY228,IF(F230="PHILIPS",PR!$AZ228,IF(F230="RANBAXY",PR!$BA228,IF(F230="REALS",PR!$BB228,IF(F230="ROYAL",PR!$BC228,IF(F230="SAM",PR!$BD228,IF(F230="SEAGREEN",PR!$BE228,IF(F230="SKG",PR!$BF228,IF(F230="TAH",PR!$BG228,IF(F230="TAYLEK",PR!$BH228,IF(F230="TEMITA",PR!$BI228,IF(F230="THL",PR!$BJ228,IF(F230="UBASTIC",PR!$BK228,IF(F230="UNION",PR!$BL228,IF(F230="UNIQUE",PR!$BM228,IF(F230="VIXA",PR!$BN228,IF(F230="WWCV",PR!$BO228,IF(F230="ZOLON",PR!$BP228,"-"))))))))))))))))))))))))))))))))))))))))))))))))))))))))))))))))</f>
        <v>500</v>
      </c>
      <c r="F230" s="102" t="str">
        <f>EV!L292</f>
        <v>CLARION</v>
      </c>
      <c r="G230" s="108">
        <f>IF(H230="ALPHA",PR!$E228,IF(H230="ASSENE",PR!$F228,IF(H230="BIOFEM",PR!$G228,IF(H230="BIOMED",PR!$H228,IF(H230="CHI",PR!$I228,IF(H230="CLARION",PR!$J228,IF(H230="CODIX",PR!$K228,IF(H230="COSMADE",PR!$L228,IF(H230="SANCON",PR!$M228,IF(H230="DEVON",PR!$N228,IF(H230="DORTEMAG",PR!$O228,IF(H230="DGF",PR!$P228,IF(H230="DYNAMIC",PR!$Q228,IF(H230="EMZOR",PR!$R228,IF(H230="EUMATT",PR!$S228,IF(H230="FIDSON",PR!$T228,IF(H230="FCGLOBAL",PR!$U228,IF(H230="GENEITH",PR!$V228,IF(H230="GINOS",PR!$W228,IF(H230="GSK",PR!$X228,IF(H230="GLOBORG",PR!$Y228,IF(H230="GOODNEWS",PR!$Z228,IF(H230="GREENLIFE",PR!$AA228,IF(H230="HLINE",PR!$AB228,IF(H230="ROTECH",PR!$AC228,IF(H230="ISN",PR!$AD228,IF(H230="JAWA",PR!$AE228,IF(H230="LAYO",PR!$AF228,IF(H230="LEADWAY",PR!$AG228,IF(H230="LHV",PR!$AH228,IF(H230="MANOLA",PR!$AI228,IF(H230="MARCSON",PR!$AJ228,IF(H230="M&amp;B",PR!$AK228,IF(H230="MTRUST",PR!$AL228,IF(H230="MWORLD",PR!$AM228,IF(H230="MEGA",PR!$AN228,IF(H230="MICRONOVA",PR!$AO228,IF(H230="MFLASH",PR!$AP228,IF(H230="MORISON",PR!$AQ228,IF(H230="NEMEL",PR!$AR228,IF(H230="NHP",PR!$AS228,IF(H230="NHC",PR!$AT228,IF(H230="OLEAF",PR!$AU228,IF(H230="OCULUS",PR!$AV228,IF(H230="PACIFIC",PR!$AW228,IF(H230="PHAMATEX",PR!$AX228,IF(H230="PETHICS",PR!$AY228,IF(H230="PHILIPS",PR!$AZ228,IF(H230="RANBAXY",PR!$BA228,IF(H230="REALS",PR!$BB228,IF(H230="ROYAL",PR!$BC228,IF(H230="SAM",PR!$BD228,IF(H230="SEAGREEN",PR!$BE228,IF(H230="SKG",PR!$BF228,IF(H230="TAH",PR!$BG228,IF(H230="TAYLEK",PR!$BH228,IF(H230="TEMITA",PR!$BI228,IF(H230="THL",PR!$BJ228,IF(H230="UBASTIC",PR!$BK228,IF(H230="UNION",PR!$BL228,IF(H230="UNIQUE",PR!$BM228,IF(H230="VIXA",PR!$BN228,IF(H230="WWCV",PR!$BO228,IF(H230="ZOLON",PR!$BP228,"-"))))))))))))))))))))))))))))))))))))))))))))))))))))))))))))))))</f>
        <v>500</v>
      </c>
      <c r="H230" s="102" t="str">
        <f>EV!M292</f>
        <v>EUMATT</v>
      </c>
      <c r="I230" s="108">
        <f>IF(J230="ALPHA",PR!$E228,IF(J230="ASSENE",PR!$F228,IF(J230="BIOFEM",PR!$G228,IF(J230="BIOMED",PR!$H228,IF(J230="CHI",PR!$I228,IF(J230="CLARION",PR!$J228,IF(J230="CODIX",PR!$K228,IF(J230="COSMADE",PR!$L228,IF(J230="SANCON",PR!$M228,IF(J230="DEVON",PR!$N228,IF(J230="DORTEMAG",PR!$O228,IF(J230="DGF",PR!$P228,IF(J230="DYNAMIC",PR!$Q228,IF(J230="EMZOR",PR!$R228,IF(J230="EUMATT",PR!$S228,IF(J230="FIDSON",PR!$T228,IF(J230="FCGLOBAL",PR!$U228,IF(J230="GENEITH",PR!$V228,IF(J230="GINOS",PR!$W228,IF(J230="GSK",PR!$X228,IF(J230="GLOBORG",PR!$Y228,IF(J230="GOODNEWS",PR!$Z228,IF(J230="GREENLIFE",PR!$AA228,IF(J230="HLINE",PR!$AB228,IF(J230="ROTECH",PR!$AC228,IF(J230="ISN",PR!$AD228,IF(J230="JAWA",PR!$AE228,IF(J230="LAYO",PR!$AF228,IF(J230="LEADWAY",PR!$AG228,IF(J230="LHV",PR!$AH228,IF(J230="MANOLA",PR!$AI228,IF(J230="MARCSON",PR!$AJ228,IF(J230="M&amp;B",PR!$AK228,IF(J230="MTRUST",PR!$AL228,IF(J230="MWORLD",PR!$AM228,IF(J230="MEGA",PR!$AN228,IF(J230="MICRONOVA",PR!$AO228,IF(J230="MFLASH",PR!$AP228,IF(J230="MORISON",PR!$AQ228,IF(J230="NEMEL",PR!$AR228,IF(J230="NHP",PR!$AS228,IF(J230="NHC",PR!$AT228,IF(J230="OLEAF",PR!$AU228,IF(J230="OCULUS",PR!$AV228,IF(J230="PACIFIC",PR!$AW228,IF(J230="PHAMATEX",PR!$AX228,IF(J230="PETHICS",PR!$AY228,IF(J230="PHILIPS",PR!$AZ228,IF(J230="RANBAXY",PR!$BA228,IF(J230="REALS",PR!$BB228,IF(J230="ROYAL",PR!$BC228,IF(J230="SAM",PR!$BD228,IF(J230="SEAGREEN",PR!$BE228,IF(J230="SKG",PR!$BF228,IF(J230="TAH",PR!$BG228,IF(J230="TAYLEK",PR!$BH228,IF(J230="TEMITA",PR!$BI228,IF(J230="THL",PR!$BJ228,IF(J230="UBASTIC",PR!$BK228,IF(J230="UNION",PR!$BL228,IF(J230="UNIQUE",PR!$BM228,IF(J230="VIXA",PR!$BN228,IF(J230="WWCV",PR!$BO228,IF(J230="ZOLON",PR!$BP228,"-"))))))))))))))))))))))))))))))))))))))))))))))))))))))))))))))))</f>
        <v>540</v>
      </c>
      <c r="J230" s="102" t="str">
        <f>EV!N292</f>
        <v>CHI</v>
      </c>
      <c r="K230" s="433" t="s">
        <v>2115</v>
      </c>
      <c r="L230" s="183" t="str">
        <f>IF(K230&gt;0,IF(K230="ALPHA",PR!$E228,IF(K230="ASSENE",PR!$F228,IF(K230="BIOFEM",PR!$G228,IF(K230="BIOMED",PR!$H228,IF(K230="CHI",PR!$I228,IF(K230="CLARION",PR!$J228,IF(K230="CODIX",PR!$K228,IF(K230="COSMADE",PR!$L228,IF(K230="SANCON",PR!$M228,IF(K230="DEVON",PR!$N228,IF(K230="DORTEMAG",PR!$O228,IF(K230="DGF",PR!$P228,IF(K230="DYNAMIC",PR!$Q228,IF(K230="EMZOR",PR!$R228,IF(K230="EUMATT",PR!$S228,IF(K230="FIDSON",PR!$T228,IF(K230="FCGLOBAL",PR!$U228,IF(K230="GENEITH",PR!$V228,IF(K230="GINOS",PR!$W228,IF(K230="GSK",PR!$X228,IF(K230="GLOBORG",PR!$Y228,IF(K230="GOODNEWS",PR!$Z228,IF(K230="GREENLIFE",PR!$AA228,IF(K230="HLINE",PR!$AB228,IF(K230="ROTECH",PR!$AC228,IF(K230="ISN",PR!$AD228,IF(K230="JAWA",PR!$AE228,IF(K230="LAYO",PR!$AF228,IF(K230="LEADWAY",PR!$AG228,IF(K230="LHV",PR!$AH228,IF(K230="MANOLA",PR!$AI228,IF(K230="MARCSON",PR!$AJ228,IF(K230="M&amp;B",PR!$AK228,IF(K230="MTRUST",PR!$AL228,IF(K230="MWORLD",PR!$AM228,IF(K230="MEGA",PR!$AN228,IF(K230="MICRONOVA",PR!$AO228,IF(K230="MFLASH",PR!$AP228,IF(K230="MORISON",PR!$AQ228,IF(K230="NEMEL",PR!$AR228,IF(K230="NHP",PR!$AS228,IF(K230="NHC",PR!$AT228,IF(K230="OLEAF",PR!$AU228,IF(K230="OCULUS",PR!$AV228,IF(K230="PACIFIC",PR!$AW228,IF(K230="PHAMATEX",PR!$AX228,IF(K230="PETHICS",PR!$AY228,IF(K230="PHILIPS",PR!$AZ228,IF(K230="RANBAXY",PR!$BA228,IF(K230="REALS",PR!$BB228,IF(K230="ROYAL",PR!$BC228,IF(K230="SAM",PR!$BD228,IF(K230="SEAGREEN",PR!$BE228,IF(K230="SKG",PR!$BF228,IF(K230="TAH",PR!$BG228,IF(K230="TAYLEK",PR!$BH228,IF(K230="TEMITA",PR!$BI228,IF(K230="THL",PR!$BJ228,IF(K230="UBASTIC",PR!$BK228,IF(K230="UNION",PR!$BL228,IF(K230="UNIQUE",PR!$BM228,IF(K230="VIXA",PR!$BN228,IF(K230="WWCV",PR!$BO228,IF(K230="ZOLON",PR!$BP228,"-")))))))))))))))))))))))))))))))))))))))))))))))))))))))))))))))))</f>
        <v>-</v>
      </c>
    </row>
    <row r="231" spans="1:12" ht="18.75" x14ac:dyDescent="0.3">
      <c r="A231" s="430">
        <f>PR!A229</f>
        <v>205</v>
      </c>
      <c r="B231" s="15" t="str">
        <f>PR!B229</f>
        <v>AMOXICILLIN/CLAVULANIC ACID 1G TAB</v>
      </c>
      <c r="C231" s="113">
        <f>PR!D229</f>
        <v>14</v>
      </c>
      <c r="D231" s="113">
        <f>PR!C229</f>
        <v>6000</v>
      </c>
      <c r="E231" s="108">
        <f>IF(F231="ALPHA",PR!$E229,IF(F231="ASSENE",PR!$F229,IF(F231="BIOFEM",PR!$G229,IF(F231="BIOMED",PR!$H229,IF(F231="CHI",PR!$I229,IF(F231="CLARION",PR!$J229,IF(F231="CODIX",PR!$K229,IF(F231="COSMADE",PR!$L229,IF(F231="SANCON",PR!$M229,IF(F231="DEVON",PR!$N229,IF(F231="DORTEMAG",PR!$O229,IF(F231="DGF",PR!$P229,IF(F231="DYNAMIC",PR!$Q229,IF(F231="EMZOR",PR!$R229,IF(F231="EUMATT",PR!$S229,IF(F231="FIDSON",PR!$T229,IF(F231="FCGLOBAL",PR!$U229,IF(F231="GENEITH",PR!$V229,IF(F231="GINOS",PR!$W229,IF(F231="GSK",PR!$X229,IF(F231="GLOBORG",PR!$Y229,IF(F231="GOODNEWS",PR!$Z229,IF(F231="GREENLIFE",PR!$AA229,IF(F231="HLINE",PR!$AB229,IF(F231="ROTECH",PR!$AC229,IF(F231="ISN",PR!$AD229,IF(F231="JAWA",PR!$AE229,IF(F231="LAYO",PR!$AF229,IF(F231="LEADWAY",PR!$AG229,IF(F231="LHV",PR!$AH229,IF(F231="MANOLA",PR!$AI229,IF(F231="MARCSON",PR!$AJ229,IF(F231="M&amp;B",PR!$AK229,IF(F231="MTRUST",PR!$AL229,IF(F231="MWORLD",PR!$AM229,IF(F231="MEGA",PR!$AN229,IF(F231="MICRONOVA",PR!$AO229,IF(F231="MFLASH",PR!$AP229,IF(F231="MORISON",PR!$AQ229,IF(F231="NEMEL",PR!$AR229,IF(F231="NHP",PR!$AS229,IF(F231="NHC",PR!$AT229,IF(F231="OLEAF",PR!$AU229,IF(F231="OCULUS",PR!$AV229,IF(F231="PACIFIC",PR!$AW229,IF(F231="PHAMATEX",PR!$AX229,IF(F231="PETHICS",PR!$AY229,IF(F231="PHILIPS",PR!$AZ229,IF(F231="RANBAXY",PR!$BA229,IF(F231="REALS",PR!$BB229,IF(F231="ROYAL",PR!$BC229,IF(F231="SAM",PR!$BD229,IF(F231="SEAGREEN",PR!$BE229,IF(F231="SKG",PR!$BF229,IF(F231="TAH",PR!$BG229,IF(F231="TAYLEK",PR!$BH229,IF(F231="TEMITA",PR!$BI229,IF(F231="THL",PR!$BJ229,IF(F231="UBASTIC",PR!$BK229,IF(F231="UNION",PR!$BL229,IF(F231="UNIQUE",PR!$BM229,IF(F231="VIXA",PR!$BN229,IF(F231="WWCV",PR!$BO229,IF(F231="ZOLON",PR!$BP229,"-"))))))))))))))))))))))))))))))))))))))))))))))))))))))))))))))))</f>
        <v>800</v>
      </c>
      <c r="F231" s="102" t="str">
        <f>EV!L293</f>
        <v>CLARION</v>
      </c>
      <c r="G231" s="108">
        <f>IF(H231="ALPHA",PR!$E229,IF(H231="ASSENE",PR!$F229,IF(H231="BIOFEM",PR!$G229,IF(H231="BIOMED",PR!$H229,IF(H231="CHI",PR!$I229,IF(H231="CLARION",PR!$J229,IF(H231="CODIX",PR!$K229,IF(H231="COSMADE",PR!$L229,IF(H231="SANCON",PR!$M229,IF(H231="DEVON",PR!$N229,IF(H231="DORTEMAG",PR!$O229,IF(H231="DGF",PR!$P229,IF(H231="DYNAMIC",PR!$Q229,IF(H231="EMZOR",PR!$R229,IF(H231="EUMATT",PR!$S229,IF(H231="FIDSON",PR!$T229,IF(H231="FCGLOBAL",PR!$U229,IF(H231="GENEITH",PR!$V229,IF(H231="GINOS",PR!$W229,IF(H231="GSK",PR!$X229,IF(H231="GLOBORG",PR!$Y229,IF(H231="GOODNEWS",PR!$Z229,IF(H231="GREENLIFE",PR!$AA229,IF(H231="HLINE",PR!$AB229,IF(H231="ROTECH",PR!$AC229,IF(H231="ISN",PR!$AD229,IF(H231="JAWA",PR!$AE229,IF(H231="LAYO",PR!$AF229,IF(H231="LEADWAY",PR!$AG229,IF(H231="LHV",PR!$AH229,IF(H231="MANOLA",PR!$AI229,IF(H231="MARCSON",PR!$AJ229,IF(H231="M&amp;B",PR!$AK229,IF(H231="MTRUST",PR!$AL229,IF(H231="MWORLD",PR!$AM229,IF(H231="MEGA",PR!$AN229,IF(H231="MICRONOVA",PR!$AO229,IF(H231="MFLASH",PR!$AP229,IF(H231="MORISON",PR!$AQ229,IF(H231="NEMEL",PR!$AR229,IF(H231="NHP",PR!$AS229,IF(H231="NHC",PR!$AT229,IF(H231="OLEAF",PR!$AU229,IF(H231="OCULUS",PR!$AV229,IF(H231="PACIFIC",PR!$AW229,IF(H231="PHAMATEX",PR!$AX229,IF(H231="PETHICS",PR!$AY229,IF(H231="PHILIPS",PR!$AZ229,IF(H231="RANBAXY",PR!$BA229,IF(H231="REALS",PR!$BB229,IF(H231="ROYAL",PR!$BC229,IF(H231="SAM",PR!$BD229,IF(H231="SEAGREEN",PR!$BE229,IF(H231="SKG",PR!$BF229,IF(H231="TAH",PR!$BG229,IF(H231="TAYLEK",PR!$BH229,IF(H231="TEMITA",PR!$BI229,IF(H231="THL",PR!$BJ229,IF(H231="UBASTIC",PR!$BK229,IF(H231="UNION",PR!$BL229,IF(H231="UNIQUE",PR!$BM229,IF(H231="VIXA",PR!$BN229,IF(H231="WWCV",PR!$BO229,IF(H231="ZOLON",PR!$BP229,"-"))))))))))))))))))))))))))))))))))))))))))))))))))))))))))))))))</f>
        <v>1000</v>
      </c>
      <c r="H231" s="102" t="str">
        <f>EV!M293</f>
        <v>VIXA</v>
      </c>
      <c r="I231" s="108">
        <f>IF(J231="ALPHA",PR!$E229,IF(J231="ASSENE",PR!$F229,IF(J231="BIOFEM",PR!$G229,IF(J231="BIOMED",PR!$H229,IF(J231="CHI",PR!$I229,IF(J231="CLARION",PR!$J229,IF(J231="CODIX",PR!$K229,IF(J231="COSMADE",PR!$L229,IF(J231="SANCON",PR!$M229,IF(J231="DEVON",PR!$N229,IF(J231="DORTEMAG",PR!$O229,IF(J231="DGF",PR!$P229,IF(J231="DYNAMIC",PR!$Q229,IF(J231="EMZOR",PR!$R229,IF(J231="EUMATT",PR!$S229,IF(J231="FIDSON",PR!$T229,IF(J231="FCGLOBAL",PR!$U229,IF(J231="GENEITH",PR!$V229,IF(J231="GINOS",PR!$W229,IF(J231="GSK",PR!$X229,IF(J231="GLOBORG",PR!$Y229,IF(J231="GOODNEWS",PR!$Z229,IF(J231="GREENLIFE",PR!$AA229,IF(J231="HLINE",PR!$AB229,IF(J231="ROTECH",PR!$AC229,IF(J231="ISN",PR!$AD229,IF(J231="JAWA",PR!$AE229,IF(J231="LAYO",PR!$AF229,IF(J231="LEADWAY",PR!$AG229,IF(J231="LHV",PR!$AH229,IF(J231="MANOLA",PR!$AI229,IF(J231="MARCSON",PR!$AJ229,IF(J231="M&amp;B",PR!$AK229,IF(J231="MTRUST",PR!$AL229,IF(J231="MWORLD",PR!$AM229,IF(J231="MEGA",PR!$AN229,IF(J231="MICRONOVA",PR!$AO229,IF(J231="MFLASH",PR!$AP229,IF(J231="MORISON",PR!$AQ229,IF(J231="NEMEL",PR!$AR229,IF(J231="NHP",PR!$AS229,IF(J231="NHC",PR!$AT229,IF(J231="OLEAF",PR!$AU229,IF(J231="OCULUS",PR!$AV229,IF(J231="PACIFIC",PR!$AW229,IF(J231="PHAMATEX",PR!$AX229,IF(J231="PETHICS",PR!$AY229,IF(J231="PHILIPS",PR!$AZ229,IF(J231="RANBAXY",PR!$BA229,IF(J231="REALS",PR!$BB229,IF(J231="ROYAL",PR!$BC229,IF(J231="SAM",PR!$BD229,IF(J231="SEAGREEN",PR!$BE229,IF(J231="SKG",PR!$BF229,IF(J231="TAH",PR!$BG229,IF(J231="TAYLEK",PR!$BH229,IF(J231="TEMITA",PR!$BI229,IF(J231="THL",PR!$BJ229,IF(J231="UBASTIC",PR!$BK229,IF(J231="UNION",PR!$BL229,IF(J231="UNIQUE",PR!$BM229,IF(J231="VIXA",PR!$BN229,IF(J231="WWCV",PR!$BO229,IF(J231="ZOLON",PR!$BP229,"-"))))))))))))))))))))))))))))))))))))))))))))))))))))))))))))))))</f>
        <v>1100</v>
      </c>
      <c r="J231" s="102" t="str">
        <f>EV!N293</f>
        <v>NEMEL</v>
      </c>
      <c r="K231" s="433" t="s">
        <v>2116</v>
      </c>
      <c r="L231" s="183" t="str">
        <f>IF(K231&gt;0,IF(K231="ALPHA",PR!$E229,IF(K231="ASSENE",PR!$F229,IF(K231="BIOFEM",PR!$G229,IF(K231="BIOMED",PR!$H229,IF(K231="CHI",PR!$I229,IF(K231="CLARION",PR!$J229,IF(K231="CODIX",PR!$K229,IF(K231="COSMADE",PR!$L229,IF(K231="SANCON",PR!$M229,IF(K231="DEVON",PR!$N229,IF(K231="DORTEMAG",PR!$O229,IF(K231="DGF",PR!$P229,IF(K231="DYNAMIC",PR!$Q229,IF(K231="EMZOR",PR!$R229,IF(K231="EUMATT",PR!$S229,IF(K231="FIDSON",PR!$T229,IF(K231="FCGLOBAL",PR!$U229,IF(K231="GENEITH",PR!$V229,IF(K231="GINOS",PR!$W229,IF(K231="GSK",PR!$X229,IF(K231="GLOBORG",PR!$Y229,IF(K231="GOODNEWS",PR!$Z229,IF(K231="GREENLIFE",PR!$AA229,IF(K231="HLINE",PR!$AB229,IF(K231="ROTECH",PR!$AC229,IF(K231="ISN",PR!$AD229,IF(K231="JAWA",PR!$AE229,IF(K231="LAYO",PR!$AF229,IF(K231="LEADWAY",PR!$AG229,IF(K231="LHV",PR!$AH229,IF(K231="MANOLA",PR!$AI229,IF(K231="MARCSON",PR!$AJ229,IF(K231="M&amp;B",PR!$AK229,IF(K231="MTRUST",PR!$AL229,IF(K231="MWORLD",PR!$AM229,IF(K231="MEGA",PR!$AN229,IF(K231="MICRONOVA",PR!$AO229,IF(K231="MFLASH",PR!$AP229,IF(K231="MORISON",PR!$AQ229,IF(K231="NEMEL",PR!$AR229,IF(K231="NHP",PR!$AS229,IF(K231="NHC",PR!$AT229,IF(K231="OLEAF",PR!$AU229,IF(K231="OCULUS",PR!$AV229,IF(K231="PACIFIC",PR!$AW229,IF(K231="PHAMATEX",PR!$AX229,IF(K231="PETHICS",PR!$AY229,IF(K231="PHILIPS",PR!$AZ229,IF(K231="RANBAXY",PR!$BA229,IF(K231="REALS",PR!$BB229,IF(K231="ROYAL",PR!$BC229,IF(K231="SAM",PR!$BD229,IF(K231="SEAGREEN",PR!$BE229,IF(K231="SKG",PR!$BF229,IF(K231="TAH",PR!$BG229,IF(K231="TAYLEK",PR!$BH229,IF(K231="TEMITA",PR!$BI229,IF(K231="THL",PR!$BJ229,IF(K231="UBASTIC",PR!$BK229,IF(K231="UNION",PR!$BL229,IF(K231="UNIQUE",PR!$BM229,IF(K231="VIXA",PR!$BN229,IF(K231="WWCV",PR!$BO229,IF(K231="ZOLON",PR!$BP229,"-")))))))))))))))))))))))))))))))))))))))))))))))))))))))))))))))))</f>
        <v>-</v>
      </c>
    </row>
    <row r="232" spans="1:12" ht="18.75" x14ac:dyDescent="0.3">
      <c r="A232" s="430">
        <f>PR!A230</f>
        <v>206</v>
      </c>
      <c r="B232" s="15" t="str">
        <f>PR!B230</f>
        <v>AMOXICILLIN/CLAVULANIC ACID 375MG TAB</v>
      </c>
      <c r="C232" s="113">
        <f>PR!D230</f>
        <v>14</v>
      </c>
      <c r="D232" s="113">
        <f>PR!C230</f>
        <v>600</v>
      </c>
      <c r="E232" s="108">
        <f>IF(F232="ALPHA",PR!$E230,IF(F232="ASSENE",PR!$F230,IF(F232="BIOFEM",PR!$G230,IF(F232="BIOMED",PR!$H230,IF(F232="CHI",PR!$I230,IF(F232="CLARION",PR!$J230,IF(F232="CODIX",PR!$K230,IF(F232="COSMADE",PR!$L230,IF(F232="SANCON",PR!$M230,IF(F232="DEVON",PR!$N230,IF(F232="DORTEMAG",PR!$O230,IF(F232="DGF",PR!$P230,IF(F232="DYNAMIC",PR!$Q230,IF(F232="EMZOR",PR!$R230,IF(F232="EUMATT",PR!$S230,IF(F232="FIDSON",PR!$T230,IF(F232="FCGLOBAL",PR!$U230,IF(F232="GENEITH",PR!$V230,IF(F232="GINOS",PR!$W230,IF(F232="GSK",PR!$X230,IF(F232="GLOBORG",PR!$Y230,IF(F232="GOODNEWS",PR!$Z230,IF(F232="GREENLIFE",PR!$AA230,IF(F232="HLINE",PR!$AB230,IF(F232="ROTECH",PR!$AC230,IF(F232="ISN",PR!$AD230,IF(F232="JAWA",PR!$AE230,IF(F232="LAYO",PR!$AF230,IF(F232="LEADWAY",PR!$AG230,IF(F232="LHV",PR!$AH230,IF(F232="MANOLA",PR!$AI230,IF(F232="MARCSON",PR!$AJ230,IF(F232="M&amp;B",PR!$AK230,IF(F232="MTRUST",PR!$AL230,IF(F232="MWORLD",PR!$AM230,IF(F232="MEGA",PR!$AN230,IF(F232="MICRONOVA",PR!$AO230,IF(F232="MFLASH",PR!$AP230,IF(F232="MORISON",PR!$AQ230,IF(F232="NEMEL",PR!$AR230,IF(F232="NHP",PR!$AS230,IF(F232="NHC",PR!$AT230,IF(F232="OLEAF",PR!$AU230,IF(F232="OCULUS",PR!$AV230,IF(F232="PACIFIC",PR!$AW230,IF(F232="PHAMATEX",PR!$AX230,IF(F232="PETHICS",PR!$AY230,IF(F232="PHILIPS",PR!$AZ230,IF(F232="RANBAXY",PR!$BA230,IF(F232="REALS",PR!$BB230,IF(F232="ROYAL",PR!$BC230,IF(F232="SAM",PR!$BD230,IF(F232="SEAGREEN",PR!$BE230,IF(F232="SKG",PR!$BF230,IF(F232="TAH",PR!$BG230,IF(F232="TAYLEK",PR!$BH230,IF(F232="TEMITA",PR!$BI230,IF(F232="THL",PR!$BJ230,IF(F232="UBASTIC",PR!$BK230,IF(F232="UNION",PR!$BL230,IF(F232="UNIQUE",PR!$BM230,IF(F232="VIXA",PR!$BN230,IF(F232="WWCV",PR!$BO230,IF(F232="ZOLON",PR!$BP230,"-"))))))))))))))))))))))))))))))))))))))))))))))))))))))))))))))))</f>
        <v>523.6</v>
      </c>
      <c r="F232" s="102" t="str">
        <f>EV!L294</f>
        <v>RANBAXY</v>
      </c>
      <c r="G232" s="108">
        <f>IF(H232="ALPHA",PR!$E230,IF(H232="ASSENE",PR!$F230,IF(H232="BIOFEM",PR!$G230,IF(H232="BIOMED",PR!$H230,IF(H232="CHI",PR!$I230,IF(H232="CLARION",PR!$J230,IF(H232="CODIX",PR!$K230,IF(H232="COSMADE",PR!$L230,IF(H232="SANCON",PR!$M230,IF(H232="DEVON",PR!$N230,IF(H232="DORTEMAG",PR!$O230,IF(H232="DGF",PR!$P230,IF(H232="DYNAMIC",PR!$Q230,IF(H232="EMZOR",PR!$R230,IF(H232="EUMATT",PR!$S230,IF(H232="FIDSON",PR!$T230,IF(H232="FCGLOBAL",PR!$U230,IF(H232="GENEITH",PR!$V230,IF(H232="GINOS",PR!$W230,IF(H232="GSK",PR!$X230,IF(H232="GLOBORG",PR!$Y230,IF(H232="GOODNEWS",PR!$Z230,IF(H232="GREENLIFE",PR!$AA230,IF(H232="HLINE",PR!$AB230,IF(H232="ROTECH",PR!$AC230,IF(H232="ISN",PR!$AD230,IF(H232="JAWA",PR!$AE230,IF(H232="LAYO",PR!$AF230,IF(H232="LEADWAY",PR!$AG230,IF(H232="LHV",PR!$AH230,IF(H232="MANOLA",PR!$AI230,IF(H232="MARCSON",PR!$AJ230,IF(H232="M&amp;B",PR!$AK230,IF(H232="MTRUST",PR!$AL230,IF(H232="MWORLD",PR!$AM230,IF(H232="MEGA",PR!$AN230,IF(H232="MICRONOVA",PR!$AO230,IF(H232="MFLASH",PR!$AP230,IF(H232="MORISON",PR!$AQ230,IF(H232="NEMEL",PR!$AR230,IF(H232="NHP",PR!$AS230,IF(H232="NHC",PR!$AT230,IF(H232="OLEAF",PR!$AU230,IF(H232="OCULUS",PR!$AV230,IF(H232="PACIFIC",PR!$AW230,IF(H232="PHAMATEX",PR!$AX230,IF(H232="PETHICS",PR!$AY230,IF(H232="PHILIPS",PR!$AZ230,IF(H232="RANBAXY",PR!$BA230,IF(H232="REALS",PR!$BB230,IF(H232="ROYAL",PR!$BC230,IF(H232="SAM",PR!$BD230,IF(H232="SEAGREEN",PR!$BE230,IF(H232="SKG",PR!$BF230,IF(H232="TAH",PR!$BG230,IF(H232="TAYLEK",PR!$BH230,IF(H232="TEMITA",PR!$BI230,IF(H232="THL",PR!$BJ230,IF(H232="UBASTIC",PR!$BK230,IF(H232="UNION",PR!$BL230,IF(H232="UNIQUE",PR!$BM230,IF(H232="VIXA",PR!$BN230,IF(H232="WWCV",PR!$BO230,IF(H232="ZOLON",PR!$BP230,"-"))))))))))))))))))))))))))))))))))))))))))))))))))))))))))))))))</f>
        <v>715</v>
      </c>
      <c r="H232" s="102" t="str">
        <f>EV!M294</f>
        <v>GENEITH</v>
      </c>
      <c r="I232" s="108">
        <f>IF(J232="ALPHA",PR!$E230,IF(J232="ASSENE",PR!$F230,IF(J232="BIOFEM",PR!$G230,IF(J232="BIOMED",PR!$H230,IF(J232="CHI",PR!$I230,IF(J232="CLARION",PR!$J230,IF(J232="CODIX",PR!$K230,IF(J232="COSMADE",PR!$L230,IF(J232="SANCON",PR!$M230,IF(J232="DEVON",PR!$N230,IF(J232="DORTEMAG",PR!$O230,IF(J232="DGF",PR!$P230,IF(J232="DYNAMIC",PR!$Q230,IF(J232="EMZOR",PR!$R230,IF(J232="EUMATT",PR!$S230,IF(J232="FIDSON",PR!$T230,IF(J232="FCGLOBAL",PR!$U230,IF(J232="GENEITH",PR!$V230,IF(J232="GINOS",PR!$W230,IF(J232="GSK",PR!$X230,IF(J232="GLOBORG",PR!$Y230,IF(J232="GOODNEWS",PR!$Z230,IF(J232="GREENLIFE",PR!$AA230,IF(J232="HLINE",PR!$AB230,IF(J232="ROTECH",PR!$AC230,IF(J232="ISN",PR!$AD230,IF(J232="JAWA",PR!$AE230,IF(J232="LAYO",PR!$AF230,IF(J232="LEADWAY",PR!$AG230,IF(J232="LHV",PR!$AH230,IF(J232="MANOLA",PR!$AI230,IF(J232="MARCSON",PR!$AJ230,IF(J232="M&amp;B",PR!$AK230,IF(J232="MTRUST",PR!$AL230,IF(J232="MWORLD",PR!$AM230,IF(J232="MEGA",PR!$AN230,IF(J232="MICRONOVA",PR!$AO230,IF(J232="MFLASH",PR!$AP230,IF(J232="MORISON",PR!$AQ230,IF(J232="NEMEL",PR!$AR230,IF(J232="NHP",PR!$AS230,IF(J232="NHC",PR!$AT230,IF(J232="OLEAF",PR!$AU230,IF(J232="OCULUS",PR!$AV230,IF(J232="PACIFIC",PR!$AW230,IF(J232="PHAMATEX",PR!$AX230,IF(J232="PETHICS",PR!$AY230,IF(J232="PHILIPS",PR!$AZ230,IF(J232="RANBAXY",PR!$BA230,IF(J232="REALS",PR!$BB230,IF(J232="ROYAL",PR!$BC230,IF(J232="SAM",PR!$BD230,IF(J232="SEAGREEN",PR!$BE230,IF(J232="SKG",PR!$BF230,IF(J232="TAH",PR!$BG230,IF(J232="TAYLEK",PR!$BH230,IF(J232="TEMITA",PR!$BI230,IF(J232="THL",PR!$BJ230,IF(J232="UBASTIC",PR!$BK230,IF(J232="UNION",PR!$BL230,IF(J232="UNIQUE",PR!$BM230,IF(J232="VIXA",PR!$BN230,IF(J232="WWCV",PR!$BO230,IF(J232="ZOLON",PR!$BP230,"-"))))))))))))))))))))))))))))))))))))))))))))))))))))))))))))))))</f>
        <v>800</v>
      </c>
      <c r="J232" s="102" t="str">
        <f>EV!N294</f>
        <v>NEMEL</v>
      </c>
      <c r="K232" s="433" t="s">
        <v>636</v>
      </c>
      <c r="L232" s="183">
        <f>IF(K232&gt;0,IF(K232="ALPHA",PR!$E230,IF(K232="ASSENE",PR!$F230,IF(K232="BIOFEM",PR!$G230,IF(K232="BIOMED",PR!$H230,IF(K232="CHI",PR!$I230,IF(K232="CLARION",PR!$J230,IF(K232="CODIX",PR!$K230,IF(K232="COSMADE",PR!$L230,IF(K232="SANCON",PR!$M230,IF(K232="DEVON",PR!$N230,IF(K232="DORTEMAG",PR!$O230,IF(K232="DGF",PR!$P230,IF(K232="DYNAMIC",PR!$Q230,IF(K232="EMZOR",PR!$R230,IF(K232="EUMATT",PR!$S230,IF(K232="FIDSON",PR!$T230,IF(K232="FCGLOBAL",PR!$U230,IF(K232="GENEITH",PR!$V230,IF(K232="GINOS",PR!$W230,IF(K232="GSK",PR!$X230,IF(K232="GLOBORG",PR!$Y230,IF(K232="GOODNEWS",PR!$Z230,IF(K232="GREENLIFE",PR!$AA230,IF(K232="HLINE",PR!$AB230,IF(K232="ROTECH",PR!$AC230,IF(K232="ISN",PR!$AD230,IF(K232="JAWA",PR!$AE230,IF(K232="LAYO",PR!$AF230,IF(K232="LEADWAY",PR!$AG230,IF(K232="LHV",PR!$AH230,IF(K232="MANOLA",PR!$AI230,IF(K232="MARCSON",PR!$AJ230,IF(K232="M&amp;B",PR!$AK230,IF(K232="MTRUST",PR!$AL230,IF(K232="MWORLD",PR!$AM230,IF(K232="MEGA",PR!$AN230,IF(K232="MICRONOVA",PR!$AO230,IF(K232="MFLASH",PR!$AP230,IF(K232="MORISON",PR!$AQ230,IF(K232="NEMEL",PR!$AR230,IF(K232="NHP",PR!$AS230,IF(K232="NHC",PR!$AT230,IF(K232="OLEAF",PR!$AU230,IF(K232="OCULUS",PR!$AV230,IF(K232="PACIFIC",PR!$AW230,IF(K232="PHAMATEX",PR!$AX230,IF(K232="PETHICS",PR!$AY230,IF(K232="PHILIPS",PR!$AZ230,IF(K232="RANBAXY",PR!$BA230,IF(K232="REALS",PR!$BB230,IF(K232="ROYAL",PR!$BC230,IF(K232="SAM",PR!$BD230,IF(K232="SEAGREEN",PR!$BE230,IF(K232="SKG",PR!$BF230,IF(K232="TAH",PR!$BG230,IF(K232="TAYLEK",PR!$BH230,IF(K232="TEMITA",PR!$BI230,IF(K232="THL",PR!$BJ230,IF(K232="UBASTIC",PR!$BK230,IF(K232="UNION",PR!$BL230,IF(K232="UNIQUE",PR!$BM230,IF(K232="VIXA",PR!$BN230,IF(K232="WWCV",PR!$BO230,IF(K232="ZOLON",PR!$BP230,"-")))))))))))))))))))))))))))))))))))))))))))))))))))))))))))))))))</f>
        <v>523.6</v>
      </c>
    </row>
    <row r="233" spans="1:12" ht="18.75" x14ac:dyDescent="0.3">
      <c r="A233" s="430">
        <f>PR!A231</f>
        <v>207</v>
      </c>
      <c r="B233" s="15" t="str">
        <f>PR!B231</f>
        <v>AMOXICILLIN/CLAVULANIC ACID 600MG INJ</v>
      </c>
      <c r="C233" s="113" t="str">
        <f>PR!D231</f>
        <v>VIAL</v>
      </c>
      <c r="D233" s="113">
        <f>PR!C231</f>
        <v>100</v>
      </c>
      <c r="E233" s="108">
        <f>IF(F233="ALPHA",PR!$E231,IF(F233="ASSENE",PR!$F231,IF(F233="BIOFEM",PR!$G231,IF(F233="BIOMED",PR!$H231,IF(F233="CHI",PR!$I231,IF(F233="CLARION",PR!$J231,IF(F233="CODIX",PR!$K231,IF(F233="COSMADE",PR!$L231,IF(F233="SANCON",PR!$M231,IF(F233="DEVON",PR!$N231,IF(F233="DORTEMAG",PR!$O231,IF(F233="DGF",PR!$P231,IF(F233="DYNAMIC",PR!$Q231,IF(F233="EMZOR",PR!$R231,IF(F233="EUMATT",PR!$S231,IF(F233="FIDSON",PR!$T231,IF(F233="FCGLOBAL",PR!$U231,IF(F233="GENEITH",PR!$V231,IF(F233="GINOS",PR!$W231,IF(F233="GSK",PR!$X231,IF(F233="GLOBORG",PR!$Y231,IF(F233="GOODNEWS",PR!$Z231,IF(F233="GREENLIFE",PR!$AA231,IF(F233="HLINE",PR!$AB231,IF(F233="ROTECH",PR!$AC231,IF(F233="ISN",PR!$AD231,IF(F233="JAWA",PR!$AE231,IF(F233="LAYO",PR!$AF231,IF(F233="LEADWAY",PR!$AG231,IF(F233="LHV",PR!$AH231,IF(F233="MANOLA",PR!$AI231,IF(F233="MARCSON",PR!$AJ231,IF(F233="M&amp;B",PR!$AK231,IF(F233="MTRUST",PR!$AL231,IF(F233="MWORLD",PR!$AM231,IF(F233="MEGA",PR!$AN231,IF(F233="MICRONOVA",PR!$AO231,IF(F233="MFLASH",PR!$AP231,IF(F233="MORISON",PR!$AQ231,IF(F233="NEMEL",PR!$AR231,IF(F233="NHP",PR!$AS231,IF(F233="NHC",PR!$AT231,IF(F233="OLEAF",PR!$AU231,IF(F233="OCULUS",PR!$AV231,IF(F233="PACIFIC",PR!$AW231,IF(F233="PHAMATEX",PR!$AX231,IF(F233="PETHICS",PR!$AY231,IF(F233="PHILIPS",PR!$AZ231,IF(F233="RANBAXY",PR!$BA231,IF(F233="REALS",PR!$BB231,IF(F233="ROYAL",PR!$BC231,IF(F233="SAM",PR!$BD231,IF(F233="SEAGREEN",PR!$BE231,IF(F233="SKG",PR!$BF231,IF(F233="TAH",PR!$BG231,IF(F233="TAYLEK",PR!$BH231,IF(F233="TEMITA",PR!$BI231,IF(F233="THL",PR!$BJ231,IF(F233="UBASTIC",PR!$BK231,IF(F233="UNION",PR!$BL231,IF(F233="UNIQUE",PR!$BM231,IF(F233="VIXA",PR!$BN231,IF(F233="WWCV",PR!$BO231,IF(F233="ZOLON",PR!$BP231,"-"))))))))))))))))))))))))))))))))))))))))))))))))))))))))))))))))</f>
        <v>270</v>
      </c>
      <c r="F233" s="102" t="str">
        <f>EV!L295</f>
        <v>CHI</v>
      </c>
      <c r="G233" s="108">
        <f>IF(H233="ALPHA",PR!$E231,IF(H233="ASSENE",PR!$F231,IF(H233="BIOFEM",PR!$G231,IF(H233="BIOMED",PR!$H231,IF(H233="CHI",PR!$I231,IF(H233="CLARION",PR!$J231,IF(H233="CODIX",PR!$K231,IF(H233="COSMADE",PR!$L231,IF(H233="SANCON",PR!$M231,IF(H233="DEVON",PR!$N231,IF(H233="DORTEMAG",PR!$O231,IF(H233="DGF",PR!$P231,IF(H233="DYNAMIC",PR!$Q231,IF(H233="EMZOR",PR!$R231,IF(H233="EUMATT",PR!$S231,IF(H233="FIDSON",PR!$T231,IF(H233="FCGLOBAL",PR!$U231,IF(H233="GENEITH",PR!$V231,IF(H233="GINOS",PR!$W231,IF(H233="GSK",PR!$X231,IF(H233="GLOBORG",PR!$Y231,IF(H233="GOODNEWS",PR!$Z231,IF(H233="GREENLIFE",PR!$AA231,IF(H233="HLINE",PR!$AB231,IF(H233="ROTECH",PR!$AC231,IF(H233="ISN",PR!$AD231,IF(H233="JAWA",PR!$AE231,IF(H233="LAYO",PR!$AF231,IF(H233="LEADWAY",PR!$AG231,IF(H233="LHV",PR!$AH231,IF(H233="MANOLA",PR!$AI231,IF(H233="MARCSON",PR!$AJ231,IF(H233="M&amp;B",PR!$AK231,IF(H233="MTRUST",PR!$AL231,IF(H233="MWORLD",PR!$AM231,IF(H233="MEGA",PR!$AN231,IF(H233="MICRONOVA",PR!$AO231,IF(H233="MFLASH",PR!$AP231,IF(H233="MORISON",PR!$AQ231,IF(H233="NEMEL",PR!$AR231,IF(H233="NHP",PR!$AS231,IF(H233="NHC",PR!$AT231,IF(H233="OLEAF",PR!$AU231,IF(H233="OCULUS",PR!$AV231,IF(H233="PACIFIC",PR!$AW231,IF(H233="PHAMATEX",PR!$AX231,IF(H233="PETHICS",PR!$AY231,IF(H233="PHILIPS",PR!$AZ231,IF(H233="RANBAXY",PR!$BA231,IF(H233="REALS",PR!$BB231,IF(H233="ROYAL",PR!$BC231,IF(H233="SAM",PR!$BD231,IF(H233="SEAGREEN",PR!$BE231,IF(H233="SKG",PR!$BF231,IF(H233="TAH",PR!$BG231,IF(H233="TAYLEK",PR!$BH231,IF(H233="TEMITA",PR!$BI231,IF(H233="THL",PR!$BJ231,IF(H233="UBASTIC",PR!$BK231,IF(H233="UNION",PR!$BL231,IF(H233="UNIQUE",PR!$BM231,IF(H233="VIXA",PR!$BN231,IF(H233="WWCV",PR!$BO231,IF(H233="ZOLON",PR!$BP231,"-"))))))))))))))))))))))))))))))))))))))))))))))))))))))))))))))))</f>
        <v>410</v>
      </c>
      <c r="H233" s="102" t="str">
        <f>EV!M295</f>
        <v>CLARION</v>
      </c>
      <c r="I233" s="108">
        <f>IF(J233="ALPHA",PR!$E231,IF(J233="ASSENE",PR!$F231,IF(J233="BIOFEM",PR!$G231,IF(J233="BIOMED",PR!$H231,IF(J233="CHI",PR!$I231,IF(J233="CLARION",PR!$J231,IF(J233="CODIX",PR!$K231,IF(J233="COSMADE",PR!$L231,IF(J233="SANCON",PR!$M231,IF(J233="DEVON",PR!$N231,IF(J233="DORTEMAG",PR!$O231,IF(J233="DGF",PR!$P231,IF(J233="DYNAMIC",PR!$Q231,IF(J233="EMZOR",PR!$R231,IF(J233="EUMATT",PR!$S231,IF(J233="FIDSON",PR!$T231,IF(J233="FCGLOBAL",PR!$U231,IF(J233="GENEITH",PR!$V231,IF(J233="GINOS",PR!$W231,IF(J233="GSK",PR!$X231,IF(J233="GLOBORG",PR!$Y231,IF(J233="GOODNEWS",PR!$Z231,IF(J233="GREENLIFE",PR!$AA231,IF(J233="HLINE",PR!$AB231,IF(J233="ROTECH",PR!$AC231,IF(J233="ISN",PR!$AD231,IF(J233="JAWA",PR!$AE231,IF(J233="LAYO",PR!$AF231,IF(J233="LEADWAY",PR!$AG231,IF(J233="LHV",PR!$AH231,IF(J233="MANOLA",PR!$AI231,IF(J233="MARCSON",PR!$AJ231,IF(J233="M&amp;B",PR!$AK231,IF(J233="MTRUST",PR!$AL231,IF(J233="MWORLD",PR!$AM231,IF(J233="MEGA",PR!$AN231,IF(J233="MICRONOVA",PR!$AO231,IF(J233="MFLASH",PR!$AP231,IF(J233="MORISON",PR!$AQ231,IF(J233="NEMEL",PR!$AR231,IF(J233="NHP",PR!$AS231,IF(J233="NHC",PR!$AT231,IF(J233="OLEAF",PR!$AU231,IF(J233="OCULUS",PR!$AV231,IF(J233="PACIFIC",PR!$AW231,IF(J233="PHAMATEX",PR!$AX231,IF(J233="PETHICS",PR!$AY231,IF(J233="PHILIPS",PR!$AZ231,IF(J233="RANBAXY",PR!$BA231,IF(J233="REALS",PR!$BB231,IF(J233="ROYAL",PR!$BC231,IF(J233="SAM",PR!$BD231,IF(J233="SEAGREEN",PR!$BE231,IF(J233="SKG",PR!$BF231,IF(J233="TAH",PR!$BG231,IF(J233="TAYLEK",PR!$BH231,IF(J233="TEMITA",PR!$BI231,IF(J233="THL",PR!$BJ231,IF(J233="UBASTIC",PR!$BK231,IF(J233="UNION",PR!$BL231,IF(J233="UNIQUE",PR!$BM231,IF(J233="VIXA",PR!$BN231,IF(J233="WWCV",PR!$BO231,IF(J233="ZOLON",PR!$BP231,"-"))))))))))))))))))))))))))))))))))))))))))))))))))))))))))))))))</f>
        <v>775</v>
      </c>
      <c r="J233" s="102" t="str">
        <f>EV!N295</f>
        <v>TAYLEK</v>
      </c>
      <c r="K233" s="433" t="s">
        <v>1446</v>
      </c>
      <c r="L233" s="183">
        <f>IF(K233&gt;0,IF(K233="ALPHA",PR!$E231,IF(K233="ASSENE",PR!$F231,IF(K233="BIOFEM",PR!$G231,IF(K233="BIOMED",PR!$H231,IF(K233="CHI",PR!$I231,IF(K233="CLARION",PR!$J231,IF(K233="CODIX",PR!$K231,IF(K233="COSMADE",PR!$L231,IF(K233="SANCON",PR!$M231,IF(K233="DEVON",PR!$N231,IF(K233="DORTEMAG",PR!$O231,IF(K233="DGF",PR!$P231,IF(K233="DYNAMIC",PR!$Q231,IF(K233="EMZOR",PR!$R231,IF(K233="EUMATT",PR!$S231,IF(K233="FIDSON",PR!$T231,IF(K233="FCGLOBAL",PR!$U231,IF(K233="GENEITH",PR!$V231,IF(K233="GINOS",PR!$W231,IF(K233="GSK",PR!$X231,IF(K233="GLOBORG",PR!$Y231,IF(K233="GOODNEWS",PR!$Z231,IF(K233="GREENLIFE",PR!$AA231,IF(K233="HLINE",PR!$AB231,IF(K233="ROTECH",PR!$AC231,IF(K233="ISN",PR!$AD231,IF(K233="JAWA",PR!$AE231,IF(K233="LAYO",PR!$AF231,IF(K233="LEADWAY",PR!$AG231,IF(K233="LHV",PR!$AH231,IF(K233="MANOLA",PR!$AI231,IF(K233="MARCSON",PR!$AJ231,IF(K233="M&amp;B",PR!$AK231,IF(K233="MTRUST",PR!$AL231,IF(K233="MWORLD",PR!$AM231,IF(K233="MEGA",PR!$AN231,IF(K233="MICRONOVA",PR!$AO231,IF(K233="MFLASH",PR!$AP231,IF(K233="MORISON",PR!$AQ231,IF(K233="NEMEL",PR!$AR231,IF(K233="NHP",PR!$AS231,IF(K233="NHC",PR!$AT231,IF(K233="OLEAF",PR!$AU231,IF(K233="OCULUS",PR!$AV231,IF(K233="PACIFIC",PR!$AW231,IF(K233="PHAMATEX",PR!$AX231,IF(K233="PETHICS",PR!$AY231,IF(K233="PHILIPS",PR!$AZ231,IF(K233="RANBAXY",PR!$BA231,IF(K233="REALS",PR!$BB231,IF(K233="ROYAL",PR!$BC231,IF(K233="SAM",PR!$BD231,IF(K233="SEAGREEN",PR!$BE231,IF(K233="SKG",PR!$BF231,IF(K233="TAH",PR!$BG231,IF(K233="TAYLEK",PR!$BH231,IF(K233="TEMITA",PR!$BI231,IF(K233="THL",PR!$BJ231,IF(K233="UBASTIC",PR!$BK231,IF(K233="UNION",PR!$BL231,IF(K233="UNIQUE",PR!$BM231,IF(K233="VIXA",PR!$BN231,IF(K233="WWCV",PR!$BO231,IF(K233="ZOLON",PR!$BP231,"-")))))))))))))))))))))))))))))))))))))))))))))))))))))))))))))))))</f>
        <v>270</v>
      </c>
    </row>
    <row r="234" spans="1:12" ht="18.75" x14ac:dyDescent="0.3">
      <c r="A234" s="430">
        <f>PR!A232</f>
        <v>208</v>
      </c>
      <c r="B234" s="15" t="str">
        <f>PR!B232</f>
        <v>AMOXICILLIN/CLAVULANIC ACID 625MG TAB</v>
      </c>
      <c r="C234" s="113">
        <f>PR!D232</f>
        <v>15</v>
      </c>
      <c r="D234" s="113">
        <f>PR!C232</f>
        <v>4000</v>
      </c>
      <c r="E234" s="108">
        <f>IF(F234="ALPHA",PR!$E232,IF(F234="ASSENE",PR!$F232,IF(F234="BIOFEM",PR!$G232,IF(F234="BIOMED",PR!$H232,IF(F234="CHI",PR!$I232,IF(F234="CLARION",PR!$J232,IF(F234="CODIX",PR!$K232,IF(F234="COSMADE",PR!$L232,IF(F234="SANCON",PR!$M232,IF(F234="DEVON",PR!$N232,IF(F234="DORTEMAG",PR!$O232,IF(F234="DGF",PR!$P232,IF(F234="DYNAMIC",PR!$Q232,IF(F234="EMZOR",PR!$R232,IF(F234="EUMATT",PR!$S232,IF(F234="FIDSON",PR!$T232,IF(F234="FCGLOBAL",PR!$U232,IF(F234="GENEITH",PR!$V232,IF(F234="GINOS",PR!$W232,IF(F234="GSK",PR!$X232,IF(F234="GLOBORG",PR!$Y232,IF(F234="GOODNEWS",PR!$Z232,IF(F234="GREENLIFE",PR!$AA232,IF(F234="HLINE",PR!$AB232,IF(F234="ROTECH",PR!$AC232,IF(F234="ISN",PR!$AD232,IF(F234="JAWA",PR!$AE232,IF(F234="LAYO",PR!$AF232,IF(F234="LEADWAY",PR!$AG232,IF(F234="LHV",PR!$AH232,IF(F234="MANOLA",PR!$AI232,IF(F234="MARCSON",PR!$AJ232,IF(F234="M&amp;B",PR!$AK232,IF(F234="MTRUST",PR!$AL232,IF(F234="MWORLD",PR!$AM232,IF(F234="MEGA",PR!$AN232,IF(F234="MICRONOVA",PR!$AO232,IF(F234="MFLASH",PR!$AP232,IF(F234="MORISON",PR!$AQ232,IF(F234="NEMEL",PR!$AR232,IF(F234="NHP",PR!$AS232,IF(F234="NHC",PR!$AT232,IF(F234="OLEAF",PR!$AU232,IF(F234="OCULUS",PR!$AV232,IF(F234="PACIFIC",PR!$AW232,IF(F234="PHAMATEX",PR!$AX232,IF(F234="PETHICS",PR!$AY232,IF(F234="PHILIPS",PR!$AZ232,IF(F234="RANBAXY",PR!$BA232,IF(F234="REALS",PR!$BB232,IF(F234="ROYAL",PR!$BC232,IF(F234="SAM",PR!$BD232,IF(F234="SEAGREEN",PR!$BE232,IF(F234="SKG",PR!$BF232,IF(F234="TAH",PR!$BG232,IF(F234="TAYLEK",PR!$BH232,IF(F234="TEMITA",PR!$BI232,IF(F234="THL",PR!$BJ232,IF(F234="UBASTIC",PR!$BK232,IF(F234="UNION",PR!$BL232,IF(F234="UNIQUE",PR!$BM232,IF(F234="VIXA",PR!$BN232,IF(F234="WWCV",PR!$BO232,IF(F234="ZOLON",PR!$BP232,"-"))))))))))))))))))))))))))))))))))))))))))))))))))))))))))))))))</f>
        <v>680</v>
      </c>
      <c r="F234" s="102" t="str">
        <f>EV!L296</f>
        <v>NEMEL</v>
      </c>
      <c r="G234" s="108">
        <f>IF(H234="ALPHA",PR!$E232,IF(H234="ASSENE",PR!$F232,IF(H234="BIOFEM",PR!$G232,IF(H234="BIOMED",PR!$H232,IF(H234="CHI",PR!$I232,IF(H234="CLARION",PR!$J232,IF(H234="CODIX",PR!$K232,IF(H234="COSMADE",PR!$L232,IF(H234="SANCON",PR!$M232,IF(H234="DEVON",PR!$N232,IF(H234="DORTEMAG",PR!$O232,IF(H234="DGF",PR!$P232,IF(H234="DYNAMIC",PR!$Q232,IF(H234="EMZOR",PR!$R232,IF(H234="EUMATT",PR!$S232,IF(H234="FIDSON",PR!$T232,IF(H234="FCGLOBAL",PR!$U232,IF(H234="GENEITH",PR!$V232,IF(H234="GINOS",PR!$W232,IF(H234="GSK",PR!$X232,IF(H234="GLOBORG",PR!$Y232,IF(H234="GOODNEWS",PR!$Z232,IF(H234="GREENLIFE",PR!$AA232,IF(H234="HLINE",PR!$AB232,IF(H234="ROTECH",PR!$AC232,IF(H234="ISN",PR!$AD232,IF(H234="JAWA",PR!$AE232,IF(H234="LAYO",PR!$AF232,IF(H234="LEADWAY",PR!$AG232,IF(H234="LHV",PR!$AH232,IF(H234="MANOLA",PR!$AI232,IF(H234="MARCSON",PR!$AJ232,IF(H234="M&amp;B",PR!$AK232,IF(H234="MTRUST",PR!$AL232,IF(H234="MWORLD",PR!$AM232,IF(H234="MEGA",PR!$AN232,IF(H234="MICRONOVA",PR!$AO232,IF(H234="MFLASH",PR!$AP232,IF(H234="MORISON",PR!$AQ232,IF(H234="NEMEL",PR!$AR232,IF(H234="NHP",PR!$AS232,IF(H234="NHC",PR!$AT232,IF(H234="OLEAF",PR!$AU232,IF(H234="OCULUS",PR!$AV232,IF(H234="PACIFIC",PR!$AW232,IF(H234="PHAMATEX",PR!$AX232,IF(H234="PETHICS",PR!$AY232,IF(H234="PHILIPS",PR!$AZ232,IF(H234="RANBAXY",PR!$BA232,IF(H234="REALS",PR!$BB232,IF(H234="ROYAL",PR!$BC232,IF(H234="SAM",PR!$BD232,IF(H234="SEAGREEN",PR!$BE232,IF(H234="SKG",PR!$BF232,IF(H234="TAH",PR!$BG232,IF(H234="TAYLEK",PR!$BH232,IF(H234="TEMITA",PR!$BI232,IF(H234="THL",PR!$BJ232,IF(H234="UBASTIC",PR!$BK232,IF(H234="UNION",PR!$BL232,IF(H234="UNIQUE",PR!$BM232,IF(H234="VIXA",PR!$BN232,IF(H234="WWCV",PR!$BO232,IF(H234="ZOLON",PR!$BP232,"-"))))))))))))))))))))))))))))))))))))))))))))))))))))))))))))))))</f>
        <v>696.42857142857144</v>
      </c>
      <c r="H234" s="102" t="str">
        <f>EV!M296</f>
        <v>SEAGREEN</v>
      </c>
      <c r="I234" s="108">
        <f>IF(J234="ALPHA",PR!$E232,IF(J234="ASSENE",PR!$F232,IF(J234="BIOFEM",PR!$G232,IF(J234="BIOMED",PR!$H232,IF(J234="CHI",PR!$I232,IF(J234="CLARION",PR!$J232,IF(J234="CODIX",PR!$K232,IF(J234="COSMADE",PR!$L232,IF(J234="SANCON",PR!$M232,IF(J234="DEVON",PR!$N232,IF(J234="DORTEMAG",PR!$O232,IF(J234="DGF",PR!$P232,IF(J234="DYNAMIC",PR!$Q232,IF(J234="EMZOR",PR!$R232,IF(J234="EUMATT",PR!$S232,IF(J234="FIDSON",PR!$T232,IF(J234="FCGLOBAL",PR!$U232,IF(J234="GENEITH",PR!$V232,IF(J234="GINOS",PR!$W232,IF(J234="GSK",PR!$X232,IF(J234="GLOBORG",PR!$Y232,IF(J234="GOODNEWS",PR!$Z232,IF(J234="GREENLIFE",PR!$AA232,IF(J234="HLINE",PR!$AB232,IF(J234="ROTECH",PR!$AC232,IF(J234="ISN",PR!$AD232,IF(J234="JAWA",PR!$AE232,IF(J234="LAYO",PR!$AF232,IF(J234="LEADWAY",PR!$AG232,IF(J234="LHV",PR!$AH232,IF(J234="MANOLA",PR!$AI232,IF(J234="MARCSON",PR!$AJ232,IF(J234="M&amp;B",PR!$AK232,IF(J234="MTRUST",PR!$AL232,IF(J234="MWORLD",PR!$AM232,IF(J234="MEGA",PR!$AN232,IF(J234="MICRONOVA",PR!$AO232,IF(J234="MFLASH",PR!$AP232,IF(J234="MORISON",PR!$AQ232,IF(J234="NEMEL",PR!$AR232,IF(J234="NHP",PR!$AS232,IF(J234="NHC",PR!$AT232,IF(J234="OLEAF",PR!$AU232,IF(J234="OCULUS",PR!$AV232,IF(J234="PACIFIC",PR!$AW232,IF(J234="PHAMATEX",PR!$AX232,IF(J234="PETHICS",PR!$AY232,IF(J234="PHILIPS",PR!$AZ232,IF(J234="RANBAXY",PR!$BA232,IF(J234="REALS",PR!$BB232,IF(J234="ROYAL",PR!$BC232,IF(J234="SAM",PR!$BD232,IF(J234="SEAGREEN",PR!$BE232,IF(J234="SKG",PR!$BF232,IF(J234="TAH",PR!$BG232,IF(J234="TAYLEK",PR!$BH232,IF(J234="TEMITA",PR!$BI232,IF(J234="THL",PR!$BJ232,IF(J234="UBASTIC",PR!$BK232,IF(J234="UNION",PR!$BL232,IF(J234="UNIQUE",PR!$BM232,IF(J234="VIXA",PR!$BN232,IF(J234="WWCV",PR!$BO232,IF(J234="ZOLON",PR!$BP232,"-"))))))))))))))))))))))))))))))))))))))))))))))))))))))))))))))))</f>
        <v>700</v>
      </c>
      <c r="J234" s="102" t="str">
        <f>EV!N296</f>
        <v>CLARION</v>
      </c>
      <c r="K234" s="433" t="s">
        <v>2117</v>
      </c>
      <c r="L234" s="183" t="str">
        <f>IF(K234&gt;0,IF(K234="ALPHA",PR!$E232,IF(K234="ASSENE",PR!$F232,IF(K234="BIOFEM",PR!$G232,IF(K234="BIOMED",PR!$H232,IF(K234="CHI",PR!$I232,IF(K234="CLARION",PR!$J232,IF(K234="CODIX",PR!$K232,IF(K234="COSMADE",PR!$L232,IF(K234="SANCON",PR!$M232,IF(K234="DEVON",PR!$N232,IF(K234="DORTEMAG",PR!$O232,IF(K234="DGF",PR!$P232,IF(K234="DYNAMIC",PR!$Q232,IF(K234="EMZOR",PR!$R232,IF(K234="EUMATT",PR!$S232,IF(K234="FIDSON",PR!$T232,IF(K234="FCGLOBAL",PR!$U232,IF(K234="GENEITH",PR!$V232,IF(K234="GINOS",PR!$W232,IF(K234="GSK",PR!$X232,IF(K234="GLOBORG",PR!$Y232,IF(K234="GOODNEWS",PR!$Z232,IF(K234="GREENLIFE",PR!$AA232,IF(K234="HLINE",PR!$AB232,IF(K234="ROTECH",PR!$AC232,IF(K234="ISN",PR!$AD232,IF(K234="JAWA",PR!$AE232,IF(K234="LAYO",PR!$AF232,IF(K234="LEADWAY",PR!$AG232,IF(K234="LHV",PR!$AH232,IF(K234="MANOLA",PR!$AI232,IF(K234="MARCSON",PR!$AJ232,IF(K234="M&amp;B",PR!$AK232,IF(K234="MTRUST",PR!$AL232,IF(K234="MWORLD",PR!$AM232,IF(K234="MEGA",PR!$AN232,IF(K234="MICRONOVA",PR!$AO232,IF(K234="MFLASH",PR!$AP232,IF(K234="MORISON",PR!$AQ232,IF(K234="NEMEL",PR!$AR232,IF(K234="NHP",PR!$AS232,IF(K234="NHC",PR!$AT232,IF(K234="OLEAF",PR!$AU232,IF(K234="OCULUS",PR!$AV232,IF(K234="PACIFIC",PR!$AW232,IF(K234="PHAMATEX",PR!$AX232,IF(K234="PETHICS",PR!$AY232,IF(K234="PHILIPS",PR!$AZ232,IF(K234="RANBAXY",PR!$BA232,IF(K234="REALS",PR!$BB232,IF(K234="ROYAL",PR!$BC232,IF(K234="SAM",PR!$BD232,IF(K234="SEAGREEN",PR!$BE232,IF(K234="SKG",PR!$BF232,IF(K234="TAH",PR!$BG232,IF(K234="TAYLEK",PR!$BH232,IF(K234="TEMITA",PR!$BI232,IF(K234="THL",PR!$BJ232,IF(K234="UBASTIC",PR!$BK232,IF(K234="UNION",PR!$BL232,IF(K234="UNIQUE",PR!$BM232,IF(K234="VIXA",PR!$BN232,IF(K234="WWCV",PR!$BO232,IF(K234="ZOLON",PR!$BP232,"-")))))))))))))))))))))))))))))))))))))))))))))))))))))))))))))))))</f>
        <v>-</v>
      </c>
    </row>
    <row r="235" spans="1:12" ht="18.75" x14ac:dyDescent="0.3">
      <c r="A235" s="430">
        <f>PR!A233</f>
        <v>209</v>
      </c>
      <c r="B235" s="15" t="str">
        <f>PR!B233</f>
        <v>AMOXICILLIN/FLUCLOXACILLIN 250/250MG CAP</v>
      </c>
      <c r="C235" s="113">
        <f>PR!D233</f>
        <v>16</v>
      </c>
      <c r="D235" s="113">
        <f>PR!C233</f>
        <v>400</v>
      </c>
      <c r="E235" s="108">
        <f>IF(F235="ALPHA",PR!$E233,IF(F235="ASSENE",PR!$F233,IF(F235="BIOFEM",PR!$G233,IF(F235="BIOMED",PR!$H233,IF(F235="CHI",PR!$I233,IF(F235="CLARION",PR!$J233,IF(F235="CODIX",PR!$K233,IF(F235="COSMADE",PR!$L233,IF(F235="SANCON",PR!$M233,IF(F235="DEVON",PR!$N233,IF(F235="DORTEMAG",PR!$O233,IF(F235="DGF",PR!$P233,IF(F235="DYNAMIC",PR!$Q233,IF(F235="EMZOR",PR!$R233,IF(F235="EUMATT",PR!$S233,IF(F235="FIDSON",PR!$T233,IF(F235="FCGLOBAL",PR!$U233,IF(F235="GENEITH",PR!$V233,IF(F235="GINOS",PR!$W233,IF(F235="GSK",PR!$X233,IF(F235="GLOBORG",PR!$Y233,IF(F235="GOODNEWS",PR!$Z233,IF(F235="GREENLIFE",PR!$AA233,IF(F235="HLINE",PR!$AB233,IF(F235="ROTECH",PR!$AC233,IF(F235="ISN",PR!$AD233,IF(F235="JAWA",PR!$AE233,IF(F235="LAYO",PR!$AF233,IF(F235="LEADWAY",PR!$AG233,IF(F235="LHV",PR!$AH233,IF(F235="MANOLA",PR!$AI233,IF(F235="MARCSON",PR!$AJ233,IF(F235="M&amp;B",PR!$AK233,IF(F235="MTRUST",PR!$AL233,IF(F235="MWORLD",PR!$AM233,IF(F235="MEGA",PR!$AN233,IF(F235="MICRONOVA",PR!$AO233,IF(F235="MFLASH",PR!$AP233,IF(F235="MORISON",PR!$AQ233,IF(F235="NEMEL",PR!$AR233,IF(F235="NHP",PR!$AS233,IF(F235="NHC",PR!$AT233,IF(F235="OLEAF",PR!$AU233,IF(F235="OCULUS",PR!$AV233,IF(F235="PACIFIC",PR!$AW233,IF(F235="PHAMATEX",PR!$AX233,IF(F235="PETHICS",PR!$AY233,IF(F235="PHILIPS",PR!$AZ233,IF(F235="RANBAXY",PR!$BA233,IF(F235="REALS",PR!$BB233,IF(F235="ROYAL",PR!$BC233,IF(F235="SAM",PR!$BD233,IF(F235="SEAGREEN",PR!$BE233,IF(F235="SKG",PR!$BF233,IF(F235="TAH",PR!$BG233,IF(F235="TAYLEK",PR!$BH233,IF(F235="TEMITA",PR!$BI233,IF(F235="THL",PR!$BJ233,IF(F235="UBASTIC",PR!$BK233,IF(F235="UNION",PR!$BL233,IF(F235="UNIQUE",PR!$BM233,IF(F235="VIXA",PR!$BN233,IF(F235="WWCV",PR!$BO233,IF(F235="ZOLON",PR!$BP233,"-"))))))))))))))))))))))))))))))))))))))))))))))))))))))))))))))))</f>
        <v>1630</v>
      </c>
      <c r="F235" s="102" t="str">
        <f>EV!L297</f>
        <v>EUMATT</v>
      </c>
      <c r="G235" s="108" t="str">
        <f>IF(H235="ALPHA",PR!$E233,IF(H235="ASSENE",PR!$F233,IF(H235="BIOFEM",PR!$G233,IF(H235="BIOMED",PR!$H233,IF(H235="CHI",PR!$I233,IF(H235="CLARION",PR!$J233,IF(H235="CODIX",PR!$K233,IF(H235="COSMADE",PR!$L233,IF(H235="SANCON",PR!$M233,IF(H235="DEVON",PR!$N233,IF(H235="DORTEMAG",PR!$O233,IF(H235="DGF",PR!$P233,IF(H235="DYNAMIC",PR!$Q233,IF(H235="EMZOR",PR!$R233,IF(H235="EUMATT",PR!$S233,IF(H235="FIDSON",PR!$T233,IF(H235="FCGLOBAL",PR!$U233,IF(H235="GENEITH",PR!$V233,IF(H235="GINOS",PR!$W233,IF(H235="GSK",PR!$X233,IF(H235="GLOBORG",PR!$Y233,IF(H235="GOODNEWS",PR!$Z233,IF(H235="GREENLIFE",PR!$AA233,IF(H235="HLINE",PR!$AB233,IF(H235="ROTECH",PR!$AC233,IF(H235="ISN",PR!$AD233,IF(H235="JAWA",PR!$AE233,IF(H235="LAYO",PR!$AF233,IF(H235="LEADWAY",PR!$AG233,IF(H235="LHV",PR!$AH233,IF(H235="MANOLA",PR!$AI233,IF(H235="MARCSON",PR!$AJ233,IF(H235="M&amp;B",PR!$AK233,IF(H235="MTRUST",PR!$AL233,IF(H235="MWORLD",PR!$AM233,IF(H235="MEGA",PR!$AN233,IF(H235="MICRONOVA",PR!$AO233,IF(H235="MFLASH",PR!$AP233,IF(H235="MORISON",PR!$AQ233,IF(H235="NEMEL",PR!$AR233,IF(H235="NHP",PR!$AS233,IF(H235="NHC",PR!$AT233,IF(H235="OLEAF",PR!$AU233,IF(H235="OCULUS",PR!$AV233,IF(H235="PACIFIC",PR!$AW233,IF(H235="PHAMATEX",PR!$AX233,IF(H235="PETHICS",PR!$AY233,IF(H235="PHILIPS",PR!$AZ233,IF(H235="RANBAXY",PR!$BA233,IF(H235="REALS",PR!$BB233,IF(H235="ROYAL",PR!$BC233,IF(H235="SAM",PR!$BD233,IF(H235="SEAGREEN",PR!$BE233,IF(H235="SKG",PR!$BF233,IF(H235="TAH",PR!$BG233,IF(H235="TAYLEK",PR!$BH233,IF(H235="TEMITA",PR!$BI233,IF(H235="THL",PR!$BJ233,IF(H235="UBASTIC",PR!$BK233,IF(H235="UNION",PR!$BL233,IF(H235="UNIQUE",PR!$BM233,IF(H235="VIXA",PR!$BN233,IF(H235="WWCV",PR!$BO233,IF(H235="ZOLON",PR!$BP233,"-"))))))))))))))))))))))))))))))))))))))))))))))))))))))))))))))))</f>
        <v>-</v>
      </c>
      <c r="H235" s="102">
        <f>EV!M297</f>
        <v>0</v>
      </c>
      <c r="I235" s="108" t="str">
        <f>IF(J235="ALPHA",PR!$E233,IF(J235="ASSENE",PR!$F233,IF(J235="BIOFEM",PR!$G233,IF(J235="BIOMED",PR!$H233,IF(J235="CHI",PR!$I233,IF(J235="CLARION",PR!$J233,IF(J235="CODIX",PR!$K233,IF(J235="COSMADE",PR!$L233,IF(J235="SANCON",PR!$M233,IF(J235="DEVON",PR!$N233,IF(J235="DORTEMAG",PR!$O233,IF(J235="DGF",PR!$P233,IF(J235="DYNAMIC",PR!$Q233,IF(J235="EMZOR",PR!$R233,IF(J235="EUMATT",PR!$S233,IF(J235="FIDSON",PR!$T233,IF(J235="FCGLOBAL",PR!$U233,IF(J235="GENEITH",PR!$V233,IF(J235="GINOS",PR!$W233,IF(J235="GSK",PR!$X233,IF(J235="GLOBORG",PR!$Y233,IF(J235="GOODNEWS",PR!$Z233,IF(J235="GREENLIFE",PR!$AA233,IF(J235="HLINE",PR!$AB233,IF(J235="ROTECH",PR!$AC233,IF(J235="ISN",PR!$AD233,IF(J235="JAWA",PR!$AE233,IF(J235="LAYO",PR!$AF233,IF(J235="LEADWAY",PR!$AG233,IF(J235="LHV",PR!$AH233,IF(J235="MANOLA",PR!$AI233,IF(J235="MARCSON",PR!$AJ233,IF(J235="M&amp;B",PR!$AK233,IF(J235="MTRUST",PR!$AL233,IF(J235="MWORLD",PR!$AM233,IF(J235="MEGA",PR!$AN233,IF(J235="MICRONOVA",PR!$AO233,IF(J235="MFLASH",PR!$AP233,IF(J235="MORISON",PR!$AQ233,IF(J235="NEMEL",PR!$AR233,IF(J235="NHP",PR!$AS233,IF(J235="NHC",PR!$AT233,IF(J235="OLEAF",PR!$AU233,IF(J235="OCULUS",PR!$AV233,IF(J235="PACIFIC",PR!$AW233,IF(J235="PHAMATEX",PR!$AX233,IF(J235="PETHICS",PR!$AY233,IF(J235="PHILIPS",PR!$AZ233,IF(J235="RANBAXY",PR!$BA233,IF(J235="REALS",PR!$BB233,IF(J235="ROYAL",PR!$BC233,IF(J235="SAM",PR!$BD233,IF(J235="SEAGREEN",PR!$BE233,IF(J235="SKG",PR!$BF233,IF(J235="TAH",PR!$BG233,IF(J235="TAYLEK",PR!$BH233,IF(J235="TEMITA",PR!$BI233,IF(J235="THL",PR!$BJ233,IF(J235="UBASTIC",PR!$BK233,IF(J235="UNION",PR!$BL233,IF(J235="UNIQUE",PR!$BM233,IF(J235="VIXA",PR!$BN233,IF(J235="WWCV",PR!$BO233,IF(J235="ZOLON",PR!$BP233,"-"))))))))))))))))))))))))))))))))))))))))))))))))))))))))))))))))</f>
        <v>-</v>
      </c>
      <c r="J235" s="102">
        <f>EV!N297</f>
        <v>0</v>
      </c>
      <c r="K235" s="433" t="s">
        <v>821</v>
      </c>
      <c r="L235" s="183">
        <f>IF(K235&gt;0,IF(K235="ALPHA",PR!$E233,IF(K235="ASSENE",PR!$F233,IF(K235="BIOFEM",PR!$G233,IF(K235="BIOMED",PR!$H233,IF(K235="CHI",PR!$I233,IF(K235="CLARION",PR!$J233,IF(K235="CODIX",PR!$K233,IF(K235="COSMADE",PR!$L233,IF(K235="SANCON",PR!$M233,IF(K235="DEVON",PR!$N233,IF(K235="DORTEMAG",PR!$O233,IF(K235="DGF",PR!$P233,IF(K235="DYNAMIC",PR!$Q233,IF(K235="EMZOR",PR!$R233,IF(K235="EUMATT",PR!$S233,IF(K235="FIDSON",PR!$T233,IF(K235="FCGLOBAL",PR!$U233,IF(K235="GENEITH",PR!$V233,IF(K235="GINOS",PR!$W233,IF(K235="GSK",PR!$X233,IF(K235="GLOBORG",PR!$Y233,IF(K235="GOODNEWS",PR!$Z233,IF(K235="GREENLIFE",PR!$AA233,IF(K235="HLINE",PR!$AB233,IF(K235="ROTECH",PR!$AC233,IF(K235="ISN",PR!$AD233,IF(K235="JAWA",PR!$AE233,IF(K235="LAYO",PR!$AF233,IF(K235="LEADWAY",PR!$AG233,IF(K235="LHV",PR!$AH233,IF(K235="MANOLA",PR!$AI233,IF(K235="MARCSON",PR!$AJ233,IF(K235="M&amp;B",PR!$AK233,IF(K235="MTRUST",PR!$AL233,IF(K235="MWORLD",PR!$AM233,IF(K235="MEGA",PR!$AN233,IF(K235="MICRONOVA",PR!$AO233,IF(K235="MFLASH",PR!$AP233,IF(K235="MORISON",PR!$AQ233,IF(K235="NEMEL",PR!$AR233,IF(K235="NHP",PR!$AS233,IF(K235="NHC",PR!$AT233,IF(K235="OLEAF",PR!$AU233,IF(K235="OCULUS",PR!$AV233,IF(K235="PACIFIC",PR!$AW233,IF(K235="PHAMATEX",PR!$AX233,IF(K235="PETHICS",PR!$AY233,IF(K235="PHILIPS",PR!$AZ233,IF(K235="RANBAXY",PR!$BA233,IF(K235="REALS",PR!$BB233,IF(K235="ROYAL",PR!$BC233,IF(K235="SAM",PR!$BD233,IF(K235="SEAGREEN",PR!$BE233,IF(K235="SKG",PR!$BF233,IF(K235="TAH",PR!$BG233,IF(K235="TAYLEK",PR!$BH233,IF(K235="TEMITA",PR!$BI233,IF(K235="THL",PR!$BJ233,IF(K235="UBASTIC",PR!$BK233,IF(K235="UNION",PR!$BL233,IF(K235="UNIQUE",PR!$BM233,IF(K235="VIXA",PR!$BN233,IF(K235="WWCV",PR!$BO233,IF(K235="ZOLON",PR!$BP233,"-")))))))))))))))))))))))))))))))))))))))))))))))))))))))))))))))))</f>
        <v>1630</v>
      </c>
    </row>
    <row r="236" spans="1:12" ht="18.75" x14ac:dyDescent="0.3">
      <c r="A236" s="430">
        <f>PR!A234</f>
        <v>210</v>
      </c>
      <c r="B236" s="15" t="str">
        <f>PR!B234</f>
        <v>AMOXICILLIN/FLUCLOXACILLIN 125/125MG SUSPENSION</v>
      </c>
      <c r="C236" s="113" t="str">
        <f>PR!D234</f>
        <v>BOTT</v>
      </c>
      <c r="D236" s="113">
        <f>PR!C234</f>
        <v>400</v>
      </c>
      <c r="E236" s="108">
        <f>IF(F236="ALPHA",PR!$E234,IF(F236="ASSENE",PR!$F234,IF(F236="BIOFEM",PR!$G234,IF(F236="BIOMED",PR!$H234,IF(F236="CHI",PR!$I234,IF(F236="CLARION",PR!$J234,IF(F236="CODIX",PR!$K234,IF(F236="COSMADE",PR!$L234,IF(F236="SANCON",PR!$M234,IF(F236="DEVON",PR!$N234,IF(F236="DORTEMAG",PR!$O234,IF(F236="DGF",PR!$P234,IF(F236="DYNAMIC",PR!$Q234,IF(F236="EMZOR",PR!$R234,IF(F236="EUMATT",PR!$S234,IF(F236="FIDSON",PR!$T234,IF(F236="FCGLOBAL",PR!$U234,IF(F236="GENEITH",PR!$V234,IF(F236="GINOS",PR!$W234,IF(F236="GSK",PR!$X234,IF(F236="GLOBORG",PR!$Y234,IF(F236="GOODNEWS",PR!$Z234,IF(F236="GREENLIFE",PR!$AA234,IF(F236="HLINE",PR!$AB234,IF(F236="ROTECH",PR!$AC234,IF(F236="ISN",PR!$AD234,IF(F236="JAWA",PR!$AE234,IF(F236="LAYO",PR!$AF234,IF(F236="LEADWAY",PR!$AG234,IF(F236="LHV",PR!$AH234,IF(F236="MANOLA",PR!$AI234,IF(F236="MARCSON",PR!$AJ234,IF(F236="M&amp;B",PR!$AK234,IF(F236="MTRUST",PR!$AL234,IF(F236="MWORLD",PR!$AM234,IF(F236="MEGA",PR!$AN234,IF(F236="MICRONOVA",PR!$AO234,IF(F236="MFLASH",PR!$AP234,IF(F236="MORISON",PR!$AQ234,IF(F236="NEMEL",PR!$AR234,IF(F236="NHP",PR!$AS234,IF(F236="NHC",PR!$AT234,IF(F236="OLEAF",PR!$AU234,IF(F236="OCULUS",PR!$AV234,IF(F236="PACIFIC",PR!$AW234,IF(F236="PHAMATEX",PR!$AX234,IF(F236="PETHICS",PR!$AY234,IF(F236="PHILIPS",PR!$AZ234,IF(F236="RANBAXY",PR!$BA234,IF(F236="REALS",PR!$BB234,IF(F236="ROYAL",PR!$BC234,IF(F236="SAM",PR!$BD234,IF(F236="SEAGREEN",PR!$BE234,IF(F236="SKG",PR!$BF234,IF(F236="TAH",PR!$BG234,IF(F236="TAYLEK",PR!$BH234,IF(F236="TEMITA",PR!$BI234,IF(F236="THL",PR!$BJ234,IF(F236="UBASTIC",PR!$BK234,IF(F236="UNION",PR!$BL234,IF(F236="UNIQUE",PR!$BM234,IF(F236="VIXA",PR!$BN234,IF(F236="WWCV",PR!$BO234,IF(F236="ZOLON",PR!$BP234,"-"))))))))))))))))))))))))))))))))))))))))))))))))))))))))))))))))</f>
        <v>1500</v>
      </c>
      <c r="F236" s="102" t="str">
        <f>EV!L298</f>
        <v>EUMATT</v>
      </c>
      <c r="G236" s="108" t="str">
        <f>IF(H236="ALPHA",PR!$E234,IF(H236="ASSENE",PR!$F234,IF(H236="BIOFEM",PR!$G234,IF(H236="BIOMED",PR!$H234,IF(H236="CHI",PR!$I234,IF(H236="CLARION",PR!$J234,IF(H236="CODIX",PR!$K234,IF(H236="COSMADE",PR!$L234,IF(H236="SANCON",PR!$M234,IF(H236="DEVON",PR!$N234,IF(H236="DORTEMAG",PR!$O234,IF(H236="DGF",PR!$P234,IF(H236="DYNAMIC",PR!$Q234,IF(H236="EMZOR",PR!$R234,IF(H236="EUMATT",PR!$S234,IF(H236="FIDSON",PR!$T234,IF(H236="FCGLOBAL",PR!$U234,IF(H236="GENEITH",PR!$V234,IF(H236="GINOS",PR!$W234,IF(H236="GSK",PR!$X234,IF(H236="GLOBORG",PR!$Y234,IF(H236="GOODNEWS",PR!$Z234,IF(H236="GREENLIFE",PR!$AA234,IF(H236="HLINE",PR!$AB234,IF(H236="ROTECH",PR!$AC234,IF(H236="ISN",PR!$AD234,IF(H236="JAWA",PR!$AE234,IF(H236="LAYO",PR!$AF234,IF(H236="LEADWAY",PR!$AG234,IF(H236="LHV",PR!$AH234,IF(H236="MANOLA",PR!$AI234,IF(H236="MARCSON",PR!$AJ234,IF(H236="M&amp;B",PR!$AK234,IF(H236="MTRUST",PR!$AL234,IF(H236="MWORLD",PR!$AM234,IF(H236="MEGA",PR!$AN234,IF(H236="MICRONOVA",PR!$AO234,IF(H236="MFLASH",PR!$AP234,IF(H236="MORISON",PR!$AQ234,IF(H236="NEMEL",PR!$AR234,IF(H236="NHP",PR!$AS234,IF(H236="NHC",PR!$AT234,IF(H236="OLEAF",PR!$AU234,IF(H236="OCULUS",PR!$AV234,IF(H236="PACIFIC",PR!$AW234,IF(H236="PHAMATEX",PR!$AX234,IF(H236="PETHICS",PR!$AY234,IF(H236="PHILIPS",PR!$AZ234,IF(H236="RANBAXY",PR!$BA234,IF(H236="REALS",PR!$BB234,IF(H236="ROYAL",PR!$BC234,IF(H236="SAM",PR!$BD234,IF(H236="SEAGREEN",PR!$BE234,IF(H236="SKG",PR!$BF234,IF(H236="TAH",PR!$BG234,IF(H236="TAYLEK",PR!$BH234,IF(H236="TEMITA",PR!$BI234,IF(H236="THL",PR!$BJ234,IF(H236="UBASTIC",PR!$BK234,IF(H236="UNION",PR!$BL234,IF(H236="UNIQUE",PR!$BM234,IF(H236="VIXA",PR!$BN234,IF(H236="WWCV",PR!$BO234,IF(H236="ZOLON",PR!$BP234,"-"))))))))))))))))))))))))))))))))))))))))))))))))))))))))))))))))</f>
        <v>-</v>
      </c>
      <c r="H236" s="102">
        <f>EV!M298</f>
        <v>0</v>
      </c>
      <c r="I236" s="108" t="str">
        <f>IF(J236="ALPHA",PR!$E234,IF(J236="ASSENE",PR!$F234,IF(J236="BIOFEM",PR!$G234,IF(J236="BIOMED",PR!$H234,IF(J236="CHI",PR!$I234,IF(J236="CLARION",PR!$J234,IF(J236="CODIX",PR!$K234,IF(J236="COSMADE",PR!$L234,IF(J236="SANCON",PR!$M234,IF(J236="DEVON",PR!$N234,IF(J236="DORTEMAG",PR!$O234,IF(J236="DGF",PR!$P234,IF(J236="DYNAMIC",PR!$Q234,IF(J236="EMZOR",PR!$R234,IF(J236="EUMATT",PR!$S234,IF(J236="FIDSON",PR!$T234,IF(J236="FCGLOBAL",PR!$U234,IF(J236="GENEITH",PR!$V234,IF(J236="GINOS",PR!$W234,IF(J236="GSK",PR!$X234,IF(J236="GLOBORG",PR!$Y234,IF(J236="GOODNEWS",PR!$Z234,IF(J236="GREENLIFE",PR!$AA234,IF(J236="HLINE",PR!$AB234,IF(J236="ROTECH",PR!$AC234,IF(J236="ISN",PR!$AD234,IF(J236="JAWA",PR!$AE234,IF(J236="LAYO",PR!$AF234,IF(J236="LEADWAY",PR!$AG234,IF(J236="LHV",PR!$AH234,IF(J236="MANOLA",PR!$AI234,IF(J236="MARCSON",PR!$AJ234,IF(J236="M&amp;B",PR!$AK234,IF(J236="MTRUST",PR!$AL234,IF(J236="MWORLD",PR!$AM234,IF(J236="MEGA",PR!$AN234,IF(J236="MICRONOVA",PR!$AO234,IF(J236="MFLASH",PR!$AP234,IF(J236="MORISON",PR!$AQ234,IF(J236="NEMEL",PR!$AR234,IF(J236="NHP",PR!$AS234,IF(J236="NHC",PR!$AT234,IF(J236="OLEAF",PR!$AU234,IF(J236="OCULUS",PR!$AV234,IF(J236="PACIFIC",PR!$AW234,IF(J236="PHAMATEX",PR!$AX234,IF(J236="PETHICS",PR!$AY234,IF(J236="PHILIPS",PR!$AZ234,IF(J236="RANBAXY",PR!$BA234,IF(J236="REALS",PR!$BB234,IF(J236="ROYAL",PR!$BC234,IF(J236="SAM",PR!$BD234,IF(J236="SEAGREEN",PR!$BE234,IF(J236="SKG",PR!$BF234,IF(J236="TAH",PR!$BG234,IF(J236="TAYLEK",PR!$BH234,IF(J236="TEMITA",PR!$BI234,IF(J236="THL",PR!$BJ234,IF(J236="UBASTIC",PR!$BK234,IF(J236="UNION",PR!$BL234,IF(J236="UNIQUE",PR!$BM234,IF(J236="VIXA",PR!$BN234,IF(J236="WWCV",PR!$BO234,IF(J236="ZOLON",PR!$BP234,"-"))))))))))))))))))))))))))))))))))))))))))))))))))))))))))))))))</f>
        <v>-</v>
      </c>
      <c r="J236" s="102">
        <f>EV!N298</f>
        <v>0</v>
      </c>
      <c r="K236" s="433" t="s">
        <v>821</v>
      </c>
      <c r="L236" s="183">
        <f>IF(K236&gt;0,IF(K236="ALPHA",PR!$E234,IF(K236="ASSENE",PR!$F234,IF(K236="BIOFEM",PR!$G234,IF(K236="BIOMED",PR!$H234,IF(K236="CHI",PR!$I234,IF(K236="CLARION",PR!$J234,IF(K236="CODIX",PR!$K234,IF(K236="COSMADE",PR!$L234,IF(K236="SANCON",PR!$M234,IF(K236="DEVON",PR!$N234,IF(K236="DORTEMAG",PR!$O234,IF(K236="DGF",PR!$P234,IF(K236="DYNAMIC",PR!$Q234,IF(K236="EMZOR",PR!$R234,IF(K236="EUMATT",PR!$S234,IF(K236="FIDSON",PR!$T234,IF(K236="FCGLOBAL",PR!$U234,IF(K236="GENEITH",PR!$V234,IF(K236="GINOS",PR!$W234,IF(K236="GSK",PR!$X234,IF(K236="GLOBORG",PR!$Y234,IF(K236="GOODNEWS",PR!$Z234,IF(K236="GREENLIFE",PR!$AA234,IF(K236="HLINE",PR!$AB234,IF(K236="ROTECH",PR!$AC234,IF(K236="ISN",PR!$AD234,IF(K236="JAWA",PR!$AE234,IF(K236="LAYO",PR!$AF234,IF(K236="LEADWAY",PR!$AG234,IF(K236="LHV",PR!$AH234,IF(K236="MANOLA",PR!$AI234,IF(K236="MARCSON",PR!$AJ234,IF(K236="M&amp;B",PR!$AK234,IF(K236="MTRUST",PR!$AL234,IF(K236="MWORLD",PR!$AM234,IF(K236="MEGA",PR!$AN234,IF(K236="MICRONOVA",PR!$AO234,IF(K236="MFLASH",PR!$AP234,IF(K236="MORISON",PR!$AQ234,IF(K236="NEMEL",PR!$AR234,IF(K236="NHP",PR!$AS234,IF(K236="NHC",PR!$AT234,IF(K236="OLEAF",PR!$AU234,IF(K236="OCULUS",PR!$AV234,IF(K236="PACIFIC",PR!$AW234,IF(K236="PHAMATEX",PR!$AX234,IF(K236="PETHICS",PR!$AY234,IF(K236="PHILIPS",PR!$AZ234,IF(K236="RANBAXY",PR!$BA234,IF(K236="REALS",PR!$BB234,IF(K236="ROYAL",PR!$BC234,IF(K236="SAM",PR!$BD234,IF(K236="SEAGREEN",PR!$BE234,IF(K236="SKG",PR!$BF234,IF(K236="TAH",PR!$BG234,IF(K236="TAYLEK",PR!$BH234,IF(K236="TEMITA",PR!$BI234,IF(K236="THL",PR!$BJ234,IF(K236="UBASTIC",PR!$BK234,IF(K236="UNION",PR!$BL234,IF(K236="UNIQUE",PR!$BM234,IF(K236="VIXA",PR!$BN234,IF(K236="WWCV",PR!$BO234,IF(K236="ZOLON",PR!$BP234,"-")))))))))))))))))))))))))))))))))))))))))))))))))))))))))))))))))</f>
        <v>1500</v>
      </c>
    </row>
    <row r="237" spans="1:12" ht="18.75" x14ac:dyDescent="0.3">
      <c r="A237" s="430">
        <f>PR!A235</f>
        <v>211</v>
      </c>
      <c r="B237" s="15" t="str">
        <f>PR!B235</f>
        <v>AMPICILLIN/CLOXACILLIIN 500MG CAP</v>
      </c>
      <c r="C237" s="113">
        <f>PR!D235</f>
        <v>100</v>
      </c>
      <c r="D237" s="113">
        <f>PR!C235</f>
        <v>500</v>
      </c>
      <c r="E237" s="108">
        <f>IF(F237="ALPHA",PR!$E235,IF(F237="ASSENE",PR!$F235,IF(F237="BIOFEM",PR!$G235,IF(F237="BIOMED",PR!$H235,IF(F237="CHI",PR!$I235,IF(F237="CLARION",PR!$J235,IF(F237="CODIX",PR!$K235,IF(F237="COSMADE",PR!$L235,IF(F237="SANCON",PR!$M235,IF(F237="DEVON",PR!$N235,IF(F237="DORTEMAG",PR!$O235,IF(F237="DGF",PR!$P235,IF(F237="DYNAMIC",PR!$Q235,IF(F237="EMZOR",PR!$R235,IF(F237="EUMATT",PR!$S235,IF(F237="FIDSON",PR!$T235,IF(F237="FCGLOBAL",PR!$U235,IF(F237="GENEITH",PR!$V235,IF(F237="GINOS",PR!$W235,IF(F237="GSK",PR!$X235,IF(F237="GLOBORG",PR!$Y235,IF(F237="GOODNEWS",PR!$Z235,IF(F237="GREENLIFE",PR!$AA235,IF(F237="HLINE",PR!$AB235,IF(F237="ROTECH",PR!$AC235,IF(F237="ISN",PR!$AD235,IF(F237="JAWA",PR!$AE235,IF(F237="LAYO",PR!$AF235,IF(F237="LEADWAY",PR!$AG235,IF(F237="LHV",PR!$AH235,IF(F237="MANOLA",PR!$AI235,IF(F237="MARCSON",PR!$AJ235,IF(F237="M&amp;B",PR!$AK235,IF(F237="MTRUST",PR!$AL235,IF(F237="MWORLD",PR!$AM235,IF(F237="MEGA",PR!$AN235,IF(F237="MICRONOVA",PR!$AO235,IF(F237="MFLASH",PR!$AP235,IF(F237="MORISON",PR!$AQ235,IF(F237="NEMEL",PR!$AR235,IF(F237="NHP",PR!$AS235,IF(F237="NHC",PR!$AT235,IF(F237="OLEAF",PR!$AU235,IF(F237="OCULUS",PR!$AV235,IF(F237="PACIFIC",PR!$AW235,IF(F237="PHAMATEX",PR!$AX235,IF(F237="PETHICS",PR!$AY235,IF(F237="PHILIPS",PR!$AZ235,IF(F237="RANBAXY",PR!$BA235,IF(F237="REALS",PR!$BB235,IF(F237="ROYAL",PR!$BC235,IF(F237="SAM",PR!$BD235,IF(F237="SEAGREEN",PR!$BE235,IF(F237="SKG",PR!$BF235,IF(F237="TAH",PR!$BG235,IF(F237="TAYLEK",PR!$BH235,IF(F237="TEMITA",PR!$BI235,IF(F237="THL",PR!$BJ235,IF(F237="UBASTIC",PR!$BK235,IF(F237="UNION",PR!$BL235,IF(F237="UNIQUE",PR!$BM235,IF(F237="VIXA",PR!$BN235,IF(F237="WWCV",PR!$BO235,IF(F237="ZOLON",PR!$BP235,"-"))))))))))))))))))))))))))))))))))))))))))))))))))))))))))))))))</f>
        <v>1100</v>
      </c>
      <c r="F237" s="102" t="str">
        <f>EV!L299</f>
        <v>EUMATT</v>
      </c>
      <c r="G237" s="108">
        <f>IF(H237="ALPHA",PR!$E235,IF(H237="ASSENE",PR!$F235,IF(H237="BIOFEM",PR!$G235,IF(H237="BIOMED",PR!$H235,IF(H237="CHI",PR!$I235,IF(H237="CLARION",PR!$J235,IF(H237="CODIX",PR!$K235,IF(H237="COSMADE",PR!$L235,IF(H237="SANCON",PR!$M235,IF(H237="DEVON",PR!$N235,IF(H237="DORTEMAG",PR!$O235,IF(H237="DGF",PR!$P235,IF(H237="DYNAMIC",PR!$Q235,IF(H237="EMZOR",PR!$R235,IF(H237="EUMATT",PR!$S235,IF(H237="FIDSON",PR!$T235,IF(H237="FCGLOBAL",PR!$U235,IF(H237="GENEITH",PR!$V235,IF(H237="GINOS",PR!$W235,IF(H237="GSK",PR!$X235,IF(H237="GLOBORG",PR!$Y235,IF(H237="GOODNEWS",PR!$Z235,IF(H237="GREENLIFE",PR!$AA235,IF(H237="HLINE",PR!$AB235,IF(H237="ROTECH",PR!$AC235,IF(H237="ISN",PR!$AD235,IF(H237="JAWA",PR!$AE235,IF(H237="LAYO",PR!$AF235,IF(H237="LEADWAY",PR!$AG235,IF(H237="LHV",PR!$AH235,IF(H237="MANOLA",PR!$AI235,IF(H237="MARCSON",PR!$AJ235,IF(H237="M&amp;B",PR!$AK235,IF(H237="MTRUST",PR!$AL235,IF(H237="MWORLD",PR!$AM235,IF(H237="MEGA",PR!$AN235,IF(H237="MICRONOVA",PR!$AO235,IF(H237="MFLASH",PR!$AP235,IF(H237="MORISON",PR!$AQ235,IF(H237="NEMEL",PR!$AR235,IF(H237="NHP",PR!$AS235,IF(H237="NHC",PR!$AT235,IF(H237="OLEAF",PR!$AU235,IF(H237="OCULUS",PR!$AV235,IF(H237="PACIFIC",PR!$AW235,IF(H237="PHAMATEX",PR!$AX235,IF(H237="PETHICS",PR!$AY235,IF(H237="PHILIPS",PR!$AZ235,IF(H237="RANBAXY",PR!$BA235,IF(H237="REALS",PR!$BB235,IF(H237="ROYAL",PR!$BC235,IF(H237="SAM",PR!$BD235,IF(H237="SEAGREEN",PR!$BE235,IF(H237="SKG",PR!$BF235,IF(H237="TAH",PR!$BG235,IF(H237="TAYLEK",PR!$BH235,IF(H237="TEMITA",PR!$BI235,IF(H237="THL",PR!$BJ235,IF(H237="UBASTIC",PR!$BK235,IF(H237="UNION",PR!$BL235,IF(H237="UNIQUE",PR!$BM235,IF(H237="VIXA",PR!$BN235,IF(H237="WWCV",PR!$BO235,IF(H237="ZOLON",PR!$BP235,"-"))))))))))))))))))))))))))))))))))))))))))))))))))))))))))))))))</f>
        <v>1104.4000000000001</v>
      </c>
      <c r="H237" s="102" t="str">
        <f>EV!M299</f>
        <v>SKG</v>
      </c>
      <c r="I237" s="108">
        <f>IF(J237="ALPHA",PR!$E235,IF(J237="ASSENE",PR!$F235,IF(J237="BIOFEM",PR!$G235,IF(J237="BIOMED",PR!$H235,IF(J237="CHI",PR!$I235,IF(J237="CLARION",PR!$J235,IF(J237="CODIX",PR!$K235,IF(J237="COSMADE",PR!$L235,IF(J237="SANCON",PR!$M235,IF(J237="DEVON",PR!$N235,IF(J237="DORTEMAG",PR!$O235,IF(J237="DGF",PR!$P235,IF(J237="DYNAMIC",PR!$Q235,IF(J237="EMZOR",PR!$R235,IF(J237="EUMATT",PR!$S235,IF(J237="FIDSON",PR!$T235,IF(J237="FCGLOBAL",PR!$U235,IF(J237="GENEITH",PR!$V235,IF(J237="GINOS",PR!$W235,IF(J237="GSK",PR!$X235,IF(J237="GLOBORG",PR!$Y235,IF(J237="GOODNEWS",PR!$Z235,IF(J237="GREENLIFE",PR!$AA235,IF(J237="HLINE",PR!$AB235,IF(J237="ROTECH",PR!$AC235,IF(J237="ISN",PR!$AD235,IF(J237="JAWA",PR!$AE235,IF(J237="LAYO",PR!$AF235,IF(J237="LEADWAY",PR!$AG235,IF(J237="LHV",PR!$AH235,IF(J237="MANOLA",PR!$AI235,IF(J237="MARCSON",PR!$AJ235,IF(J237="M&amp;B",PR!$AK235,IF(J237="MTRUST",PR!$AL235,IF(J237="MWORLD",PR!$AM235,IF(J237="MEGA",PR!$AN235,IF(J237="MICRONOVA",PR!$AO235,IF(J237="MFLASH",PR!$AP235,IF(J237="MORISON",PR!$AQ235,IF(J237="NEMEL",PR!$AR235,IF(J237="NHP",PR!$AS235,IF(J237="NHC",PR!$AT235,IF(J237="OLEAF",PR!$AU235,IF(J237="OCULUS",PR!$AV235,IF(J237="PACIFIC",PR!$AW235,IF(J237="PHAMATEX",PR!$AX235,IF(J237="PETHICS",PR!$AY235,IF(J237="PHILIPS",PR!$AZ235,IF(J237="RANBAXY",PR!$BA235,IF(J237="REALS",PR!$BB235,IF(J237="ROYAL",PR!$BC235,IF(J237="SAM",PR!$BD235,IF(J237="SEAGREEN",PR!$BE235,IF(J237="SKG",PR!$BF235,IF(J237="TAH",PR!$BG235,IF(J237="TAYLEK",PR!$BH235,IF(J237="TEMITA",PR!$BI235,IF(J237="THL",PR!$BJ235,IF(J237="UBASTIC",PR!$BK235,IF(J237="UNION",PR!$BL235,IF(J237="UNIQUE",PR!$BM235,IF(J237="VIXA",PR!$BN235,IF(J237="WWCV",PR!$BO235,IF(J237="ZOLON",PR!$BP235,"-"))))))))))))))))))))))))))))))))))))))))))))))))))))))))))))))))</f>
        <v>1120</v>
      </c>
      <c r="J237" s="102" t="str">
        <f>EV!N299</f>
        <v>NEMEL</v>
      </c>
      <c r="K237" s="433" t="s">
        <v>2118</v>
      </c>
      <c r="L237" s="183" t="str">
        <f>IF(K237&gt;0,IF(K237="ALPHA",PR!$E235,IF(K237="ASSENE",PR!$F235,IF(K237="BIOFEM",PR!$G235,IF(K237="BIOMED",PR!$H235,IF(K237="CHI",PR!$I235,IF(K237="CLARION",PR!$J235,IF(K237="CODIX",PR!$K235,IF(K237="COSMADE",PR!$L235,IF(K237="SANCON",PR!$M235,IF(K237="DEVON",PR!$N235,IF(K237="DORTEMAG",PR!$O235,IF(K237="DGF",PR!$P235,IF(K237="DYNAMIC",PR!$Q235,IF(K237="EMZOR",PR!$R235,IF(K237="EUMATT",PR!$S235,IF(K237="FIDSON",PR!$T235,IF(K237="FCGLOBAL",PR!$U235,IF(K237="GENEITH",PR!$V235,IF(K237="GINOS",PR!$W235,IF(K237="GSK",PR!$X235,IF(K237="GLOBORG",PR!$Y235,IF(K237="GOODNEWS",PR!$Z235,IF(K237="GREENLIFE",PR!$AA235,IF(K237="HLINE",PR!$AB235,IF(K237="ROTECH",PR!$AC235,IF(K237="ISN",PR!$AD235,IF(K237="JAWA",PR!$AE235,IF(K237="LAYO",PR!$AF235,IF(K237="LEADWAY",PR!$AG235,IF(K237="LHV",PR!$AH235,IF(K237="MANOLA",PR!$AI235,IF(K237="MARCSON",PR!$AJ235,IF(K237="M&amp;B",PR!$AK235,IF(K237="MTRUST",PR!$AL235,IF(K237="MWORLD",PR!$AM235,IF(K237="MEGA",PR!$AN235,IF(K237="MICRONOVA",PR!$AO235,IF(K237="MFLASH",PR!$AP235,IF(K237="MORISON",PR!$AQ235,IF(K237="NEMEL",PR!$AR235,IF(K237="NHP",PR!$AS235,IF(K237="NHC",PR!$AT235,IF(K237="OLEAF",PR!$AU235,IF(K237="OCULUS",PR!$AV235,IF(K237="PACIFIC",PR!$AW235,IF(K237="PHAMATEX",PR!$AX235,IF(K237="PETHICS",PR!$AY235,IF(K237="PHILIPS",PR!$AZ235,IF(K237="RANBAXY",PR!$BA235,IF(K237="REALS",PR!$BB235,IF(K237="ROYAL",PR!$BC235,IF(K237="SAM",PR!$BD235,IF(K237="SEAGREEN",PR!$BE235,IF(K237="SKG",PR!$BF235,IF(K237="TAH",PR!$BG235,IF(K237="TAYLEK",PR!$BH235,IF(K237="TEMITA",PR!$BI235,IF(K237="THL",PR!$BJ235,IF(K237="UBASTIC",PR!$BK235,IF(K237="UNION",PR!$BL235,IF(K237="UNIQUE",PR!$BM235,IF(K237="VIXA",PR!$BN235,IF(K237="WWCV",PR!$BO235,IF(K237="ZOLON",PR!$BP235,"-")))))))))))))))))))))))))))))))))))))))))))))))))))))))))))))))))</f>
        <v>-</v>
      </c>
    </row>
    <row r="238" spans="1:12" ht="18.75" x14ac:dyDescent="0.3">
      <c r="A238" s="430">
        <f>PR!A236</f>
        <v>212</v>
      </c>
      <c r="B238" s="15" t="str">
        <f>PR!B236</f>
        <v>AMPICILLIN/CLOXACILLIN 250MG/5ML SUSP</v>
      </c>
      <c r="C238" s="113" t="str">
        <f>PR!D236</f>
        <v>BOTT</v>
      </c>
      <c r="D238" s="113">
        <f>PR!C236</f>
        <v>500</v>
      </c>
      <c r="E238" s="108">
        <f>IF(F238="ALPHA",PR!$E236,IF(F238="ASSENE",PR!$F236,IF(F238="BIOFEM",PR!$G236,IF(F238="BIOMED",PR!$H236,IF(F238="CHI",PR!$I236,IF(F238="CLARION",PR!$J236,IF(F238="CODIX",PR!$K236,IF(F238="COSMADE",PR!$L236,IF(F238="SANCON",PR!$M236,IF(F238="DEVON",PR!$N236,IF(F238="DORTEMAG",PR!$O236,IF(F238="DGF",PR!$P236,IF(F238="DYNAMIC",PR!$Q236,IF(F238="EMZOR",PR!$R236,IF(F238="EUMATT",PR!$S236,IF(F238="FIDSON",PR!$T236,IF(F238="FCGLOBAL",PR!$U236,IF(F238="GENEITH",PR!$V236,IF(F238="GINOS",PR!$W236,IF(F238="GSK",PR!$X236,IF(F238="GLOBORG",PR!$Y236,IF(F238="GOODNEWS",PR!$Z236,IF(F238="GREENLIFE",PR!$AA236,IF(F238="HLINE",PR!$AB236,IF(F238="ROTECH",PR!$AC236,IF(F238="ISN",PR!$AD236,IF(F238="JAWA",PR!$AE236,IF(F238="LAYO",PR!$AF236,IF(F238="LEADWAY",PR!$AG236,IF(F238="LHV",PR!$AH236,IF(F238="MANOLA",PR!$AI236,IF(F238="MARCSON",PR!$AJ236,IF(F238="M&amp;B",PR!$AK236,IF(F238="MTRUST",PR!$AL236,IF(F238="MWORLD",PR!$AM236,IF(F238="MEGA",PR!$AN236,IF(F238="MICRONOVA",PR!$AO236,IF(F238="MFLASH",PR!$AP236,IF(F238="MORISON",PR!$AQ236,IF(F238="NEMEL",PR!$AR236,IF(F238="NHP",PR!$AS236,IF(F238="NHC",PR!$AT236,IF(F238="OLEAF",PR!$AU236,IF(F238="OCULUS",PR!$AV236,IF(F238="PACIFIC",PR!$AW236,IF(F238="PHAMATEX",PR!$AX236,IF(F238="PETHICS",PR!$AY236,IF(F238="PHILIPS",PR!$AZ236,IF(F238="RANBAXY",PR!$BA236,IF(F238="REALS",PR!$BB236,IF(F238="ROYAL",PR!$BC236,IF(F238="SAM",PR!$BD236,IF(F238="SEAGREEN",PR!$BE236,IF(F238="SKG",PR!$BF236,IF(F238="TAH",PR!$BG236,IF(F238="TAYLEK",PR!$BH236,IF(F238="TEMITA",PR!$BI236,IF(F238="THL",PR!$BJ236,IF(F238="UBASTIC",PR!$BK236,IF(F238="UNION",PR!$BL236,IF(F238="UNIQUE",PR!$BM236,IF(F238="VIXA",PR!$BN236,IF(F238="WWCV",PR!$BO236,IF(F238="ZOLON",PR!$BP236,"-"))))))))))))))))))))))))))))))))))))))))))))))))))))))))))))))))</f>
        <v>150</v>
      </c>
      <c r="F238" s="102" t="str">
        <f>EV!L300</f>
        <v>EUMATT</v>
      </c>
      <c r="G238" s="108">
        <f>IF(H238="ALPHA",PR!$E236,IF(H238="ASSENE",PR!$F236,IF(H238="BIOFEM",PR!$G236,IF(H238="BIOMED",PR!$H236,IF(H238="CHI",PR!$I236,IF(H238="CLARION",PR!$J236,IF(H238="CODIX",PR!$K236,IF(H238="COSMADE",PR!$L236,IF(H238="SANCON",PR!$M236,IF(H238="DEVON",PR!$N236,IF(H238="DORTEMAG",PR!$O236,IF(H238="DGF",PR!$P236,IF(H238="DYNAMIC",PR!$Q236,IF(H238="EMZOR",PR!$R236,IF(H238="EUMATT",PR!$S236,IF(H238="FIDSON",PR!$T236,IF(H238="FCGLOBAL",PR!$U236,IF(H238="GENEITH",PR!$V236,IF(H238="GINOS",PR!$W236,IF(H238="GSK",PR!$X236,IF(H238="GLOBORG",PR!$Y236,IF(H238="GOODNEWS",PR!$Z236,IF(H238="GREENLIFE",PR!$AA236,IF(H238="HLINE",PR!$AB236,IF(H238="ROTECH",PR!$AC236,IF(H238="ISN",PR!$AD236,IF(H238="JAWA",PR!$AE236,IF(H238="LAYO",PR!$AF236,IF(H238="LEADWAY",PR!$AG236,IF(H238="LHV",PR!$AH236,IF(H238="MANOLA",PR!$AI236,IF(H238="MARCSON",PR!$AJ236,IF(H238="M&amp;B",PR!$AK236,IF(H238="MTRUST",PR!$AL236,IF(H238="MWORLD",PR!$AM236,IF(H238="MEGA",PR!$AN236,IF(H238="MICRONOVA",PR!$AO236,IF(H238="MFLASH",PR!$AP236,IF(H238="MORISON",PR!$AQ236,IF(H238="NEMEL",PR!$AR236,IF(H238="NHP",PR!$AS236,IF(H238="NHC",PR!$AT236,IF(H238="OLEAF",PR!$AU236,IF(H238="OCULUS",PR!$AV236,IF(H238="PACIFIC",PR!$AW236,IF(H238="PHAMATEX",PR!$AX236,IF(H238="PETHICS",PR!$AY236,IF(H238="PHILIPS",PR!$AZ236,IF(H238="RANBAXY",PR!$BA236,IF(H238="REALS",PR!$BB236,IF(H238="ROYAL",PR!$BC236,IF(H238="SAM",PR!$BD236,IF(H238="SEAGREEN",PR!$BE236,IF(H238="SKG",PR!$BF236,IF(H238="TAH",PR!$BG236,IF(H238="TAYLEK",PR!$BH236,IF(H238="TEMITA",PR!$BI236,IF(H238="THL",PR!$BJ236,IF(H238="UBASTIC",PR!$BK236,IF(H238="UNION",PR!$BL236,IF(H238="UNIQUE",PR!$BM236,IF(H238="VIXA",PR!$BN236,IF(H238="WWCV",PR!$BO236,IF(H238="ZOLON",PR!$BP236,"-"))))))))))))))))))))))))))))))))))))))))))))))))))))))))))))))))</f>
        <v>275.92400000000004</v>
      </c>
      <c r="H238" s="102" t="str">
        <f>EV!M300</f>
        <v>EMZOR</v>
      </c>
      <c r="I238" s="108">
        <f>IF(J238="ALPHA",PR!$E236,IF(J238="ASSENE",PR!$F236,IF(J238="BIOFEM",PR!$G236,IF(J238="BIOMED",PR!$H236,IF(J238="CHI",PR!$I236,IF(J238="CLARION",PR!$J236,IF(J238="CODIX",PR!$K236,IF(J238="COSMADE",PR!$L236,IF(J238="SANCON",PR!$M236,IF(J238="DEVON",PR!$N236,IF(J238="DORTEMAG",PR!$O236,IF(J238="DGF",PR!$P236,IF(J238="DYNAMIC",PR!$Q236,IF(J238="EMZOR",PR!$R236,IF(J238="EUMATT",PR!$S236,IF(J238="FIDSON",PR!$T236,IF(J238="FCGLOBAL",PR!$U236,IF(J238="GENEITH",PR!$V236,IF(J238="GINOS",PR!$W236,IF(J238="GSK",PR!$X236,IF(J238="GLOBORG",PR!$Y236,IF(J238="GOODNEWS",PR!$Z236,IF(J238="GREENLIFE",PR!$AA236,IF(J238="HLINE",PR!$AB236,IF(J238="ROTECH",PR!$AC236,IF(J238="ISN",PR!$AD236,IF(J238="JAWA",PR!$AE236,IF(J238="LAYO",PR!$AF236,IF(J238="LEADWAY",PR!$AG236,IF(J238="LHV",PR!$AH236,IF(J238="MANOLA",PR!$AI236,IF(J238="MARCSON",PR!$AJ236,IF(J238="M&amp;B",PR!$AK236,IF(J238="MTRUST",PR!$AL236,IF(J238="MWORLD",PR!$AM236,IF(J238="MEGA",PR!$AN236,IF(J238="MICRONOVA",PR!$AO236,IF(J238="MFLASH",PR!$AP236,IF(J238="MORISON",PR!$AQ236,IF(J238="NEMEL",PR!$AR236,IF(J238="NHP",PR!$AS236,IF(J238="NHC",PR!$AT236,IF(J238="OLEAF",PR!$AU236,IF(J238="OCULUS",PR!$AV236,IF(J238="PACIFIC",PR!$AW236,IF(J238="PHAMATEX",PR!$AX236,IF(J238="PETHICS",PR!$AY236,IF(J238="PHILIPS",PR!$AZ236,IF(J238="RANBAXY",PR!$BA236,IF(J238="REALS",PR!$BB236,IF(J238="ROYAL",PR!$BC236,IF(J238="SAM",PR!$BD236,IF(J238="SEAGREEN",PR!$BE236,IF(J238="SKG",PR!$BF236,IF(J238="TAH",PR!$BG236,IF(J238="TAYLEK",PR!$BH236,IF(J238="TEMITA",PR!$BI236,IF(J238="THL",PR!$BJ236,IF(J238="UBASTIC",PR!$BK236,IF(J238="UNION",PR!$BL236,IF(J238="UNIQUE",PR!$BM236,IF(J238="VIXA",PR!$BN236,IF(J238="WWCV",PR!$BO236,IF(J238="ZOLON",PR!$BP236,"-"))))))))))))))))))))))))))))))))))))))))))))))))))))))))))))))))</f>
        <v>293.23</v>
      </c>
      <c r="J238" s="102" t="str">
        <f>EV!N300</f>
        <v>SKG</v>
      </c>
      <c r="K238" s="433" t="s">
        <v>2119</v>
      </c>
      <c r="L238" s="183" t="str">
        <f>IF(K238&gt;0,IF(K238="ALPHA",PR!$E236,IF(K238="ASSENE",PR!$F236,IF(K238="BIOFEM",PR!$G236,IF(K238="BIOMED",PR!$H236,IF(K238="CHI",PR!$I236,IF(K238="CLARION",PR!$J236,IF(K238="CODIX",PR!$K236,IF(K238="COSMADE",PR!$L236,IF(K238="SANCON",PR!$M236,IF(K238="DEVON",PR!$N236,IF(K238="DORTEMAG",PR!$O236,IF(K238="DGF",PR!$P236,IF(K238="DYNAMIC",PR!$Q236,IF(K238="EMZOR",PR!$R236,IF(K238="EUMATT",PR!$S236,IF(K238="FIDSON",PR!$T236,IF(K238="FCGLOBAL",PR!$U236,IF(K238="GENEITH",PR!$V236,IF(K238="GINOS",PR!$W236,IF(K238="GSK",PR!$X236,IF(K238="GLOBORG",PR!$Y236,IF(K238="GOODNEWS",PR!$Z236,IF(K238="GREENLIFE",PR!$AA236,IF(K238="HLINE",PR!$AB236,IF(K238="ROTECH",PR!$AC236,IF(K238="ISN",PR!$AD236,IF(K238="JAWA",PR!$AE236,IF(K238="LAYO",PR!$AF236,IF(K238="LEADWAY",PR!$AG236,IF(K238="LHV",PR!$AH236,IF(K238="MANOLA",PR!$AI236,IF(K238="MARCSON",PR!$AJ236,IF(K238="M&amp;B",PR!$AK236,IF(K238="MTRUST",PR!$AL236,IF(K238="MWORLD",PR!$AM236,IF(K238="MEGA",PR!$AN236,IF(K238="MICRONOVA",PR!$AO236,IF(K238="MFLASH",PR!$AP236,IF(K238="MORISON",PR!$AQ236,IF(K238="NEMEL",PR!$AR236,IF(K238="NHP",PR!$AS236,IF(K238="NHC",PR!$AT236,IF(K238="OLEAF",PR!$AU236,IF(K238="OCULUS",PR!$AV236,IF(K238="PACIFIC",PR!$AW236,IF(K238="PHAMATEX",PR!$AX236,IF(K238="PETHICS",PR!$AY236,IF(K238="PHILIPS",PR!$AZ236,IF(K238="RANBAXY",PR!$BA236,IF(K238="REALS",PR!$BB236,IF(K238="ROYAL",PR!$BC236,IF(K238="SAM",PR!$BD236,IF(K238="SEAGREEN",PR!$BE236,IF(K238="SKG",PR!$BF236,IF(K238="TAH",PR!$BG236,IF(K238="TAYLEK",PR!$BH236,IF(K238="TEMITA",PR!$BI236,IF(K238="THL",PR!$BJ236,IF(K238="UBASTIC",PR!$BK236,IF(K238="UNION",PR!$BL236,IF(K238="UNIQUE",PR!$BM236,IF(K238="VIXA",PR!$BN236,IF(K238="WWCV",PR!$BO236,IF(K238="ZOLON",PR!$BP236,"-")))))))))))))))))))))))))))))))))))))))))))))))))))))))))))))))))</f>
        <v>-</v>
      </c>
    </row>
    <row r="239" spans="1:12" ht="18.75" x14ac:dyDescent="0.3">
      <c r="A239" s="430">
        <f>PR!A237</f>
        <v>213</v>
      </c>
      <c r="B239" s="15" t="str">
        <f>PR!B237</f>
        <v>AMPICILLIN/CLOXACILLIN 500MG INJ</v>
      </c>
      <c r="C239" s="113" t="str">
        <f>PR!D237</f>
        <v>VIAL</v>
      </c>
      <c r="D239" s="113">
        <f>PR!C237</f>
        <v>2000</v>
      </c>
      <c r="E239" s="108">
        <f>IF(F239="ALPHA",PR!$E237,IF(F239="ASSENE",PR!$F237,IF(F239="BIOFEM",PR!$G237,IF(F239="BIOMED",PR!$H237,IF(F239="CHI",PR!$I237,IF(F239="CLARION",PR!$J237,IF(F239="CODIX",PR!$K237,IF(F239="COSMADE",PR!$L237,IF(F239="SANCON",PR!$M237,IF(F239="DEVON",PR!$N237,IF(F239="DORTEMAG",PR!$O237,IF(F239="DGF",PR!$P237,IF(F239="DYNAMIC",PR!$Q237,IF(F239="EMZOR",PR!$R237,IF(F239="EUMATT",PR!$S237,IF(F239="FIDSON",PR!$T237,IF(F239="FCGLOBAL",PR!$U237,IF(F239="GENEITH",PR!$V237,IF(F239="GINOS",PR!$W237,IF(F239="GSK",PR!$X237,IF(F239="GLOBORG",PR!$Y237,IF(F239="GOODNEWS",PR!$Z237,IF(F239="GREENLIFE",PR!$AA237,IF(F239="HLINE",PR!$AB237,IF(F239="ROTECH",PR!$AC237,IF(F239="ISN",PR!$AD237,IF(F239="JAWA",PR!$AE237,IF(F239="LAYO",PR!$AF237,IF(F239="LEADWAY",PR!$AG237,IF(F239="LHV",PR!$AH237,IF(F239="MANOLA",PR!$AI237,IF(F239="MARCSON",PR!$AJ237,IF(F239="M&amp;B",PR!$AK237,IF(F239="MTRUST",PR!$AL237,IF(F239="MWORLD",PR!$AM237,IF(F239="MEGA",PR!$AN237,IF(F239="MICRONOVA",PR!$AO237,IF(F239="MFLASH",PR!$AP237,IF(F239="MORISON",PR!$AQ237,IF(F239="NEMEL",PR!$AR237,IF(F239="NHP",PR!$AS237,IF(F239="NHC",PR!$AT237,IF(F239="OLEAF",PR!$AU237,IF(F239="OCULUS",PR!$AV237,IF(F239="PACIFIC",PR!$AW237,IF(F239="PHAMATEX",PR!$AX237,IF(F239="PETHICS",PR!$AY237,IF(F239="PHILIPS",PR!$AZ237,IF(F239="RANBAXY",PR!$BA237,IF(F239="REALS",PR!$BB237,IF(F239="ROYAL",PR!$BC237,IF(F239="SAM",PR!$BD237,IF(F239="SEAGREEN",PR!$BE237,IF(F239="SKG",PR!$BF237,IF(F239="TAH",PR!$BG237,IF(F239="TAYLEK",PR!$BH237,IF(F239="TEMITA",PR!$BI237,IF(F239="THL",PR!$BJ237,IF(F239="UBASTIC",PR!$BK237,IF(F239="UNION",PR!$BL237,IF(F239="UNIQUE",PR!$BM237,IF(F239="VIXA",PR!$BN237,IF(F239="WWCV",PR!$BO237,IF(F239="ZOLON",PR!$BP237,"-"))))))))))))))))))))))))))))))))))))))))))))))))))))))))))))))))</f>
        <v>45</v>
      </c>
      <c r="F239" s="102" t="str">
        <f>EV!L301</f>
        <v>EUMATT</v>
      </c>
      <c r="G239" s="108">
        <f>IF(H239="ALPHA",PR!$E237,IF(H239="ASSENE",PR!$F237,IF(H239="BIOFEM",PR!$G237,IF(H239="BIOMED",PR!$H237,IF(H239="CHI",PR!$I237,IF(H239="CLARION",PR!$J237,IF(H239="CODIX",PR!$K237,IF(H239="COSMADE",PR!$L237,IF(H239="SANCON",PR!$M237,IF(H239="DEVON",PR!$N237,IF(H239="DORTEMAG",PR!$O237,IF(H239="DGF",PR!$P237,IF(H239="DYNAMIC",PR!$Q237,IF(H239="EMZOR",PR!$R237,IF(H239="EUMATT",PR!$S237,IF(H239="FIDSON",PR!$T237,IF(H239="FCGLOBAL",PR!$U237,IF(H239="GENEITH",PR!$V237,IF(H239="GINOS",PR!$W237,IF(H239="GSK",PR!$X237,IF(H239="GLOBORG",PR!$Y237,IF(H239="GOODNEWS",PR!$Z237,IF(H239="GREENLIFE",PR!$AA237,IF(H239="HLINE",PR!$AB237,IF(H239="ROTECH",PR!$AC237,IF(H239="ISN",PR!$AD237,IF(H239="JAWA",PR!$AE237,IF(H239="LAYO",PR!$AF237,IF(H239="LEADWAY",PR!$AG237,IF(H239="LHV",PR!$AH237,IF(H239="MANOLA",PR!$AI237,IF(H239="MARCSON",PR!$AJ237,IF(H239="M&amp;B",PR!$AK237,IF(H239="MTRUST",PR!$AL237,IF(H239="MWORLD",PR!$AM237,IF(H239="MEGA",PR!$AN237,IF(H239="MICRONOVA",PR!$AO237,IF(H239="MFLASH",PR!$AP237,IF(H239="MORISON",PR!$AQ237,IF(H239="NEMEL",PR!$AR237,IF(H239="NHP",PR!$AS237,IF(H239="NHC",PR!$AT237,IF(H239="OLEAF",PR!$AU237,IF(H239="OCULUS",PR!$AV237,IF(H239="PACIFIC",PR!$AW237,IF(H239="PHAMATEX",PR!$AX237,IF(H239="PETHICS",PR!$AY237,IF(H239="PHILIPS",PR!$AZ237,IF(H239="RANBAXY",PR!$BA237,IF(H239="REALS",PR!$BB237,IF(H239="ROYAL",PR!$BC237,IF(H239="SAM",PR!$BD237,IF(H239="SEAGREEN",PR!$BE237,IF(H239="SKG",PR!$BF237,IF(H239="TAH",PR!$BG237,IF(H239="TAYLEK",PR!$BH237,IF(H239="TEMITA",PR!$BI237,IF(H239="THL",PR!$BJ237,IF(H239="UBASTIC",PR!$BK237,IF(H239="UNION",PR!$BL237,IF(H239="UNIQUE",PR!$BM237,IF(H239="VIXA",PR!$BN237,IF(H239="WWCV",PR!$BO237,IF(H239="ZOLON",PR!$BP237,"-"))))))))))))))))))))))))))))))))))))))))))))))))))))))))))))))))</f>
        <v>70</v>
      </c>
      <c r="H239" s="102" t="str">
        <f>EV!M301</f>
        <v>LEADWAY</v>
      </c>
      <c r="I239" s="108">
        <f>IF(J239="ALPHA",PR!$E237,IF(J239="ASSENE",PR!$F237,IF(J239="BIOFEM",PR!$G237,IF(J239="BIOMED",PR!$H237,IF(J239="CHI",PR!$I237,IF(J239="CLARION",PR!$J237,IF(J239="CODIX",PR!$K237,IF(J239="COSMADE",PR!$L237,IF(J239="SANCON",PR!$M237,IF(J239="DEVON",PR!$N237,IF(J239="DORTEMAG",PR!$O237,IF(J239="DGF",PR!$P237,IF(J239="DYNAMIC",PR!$Q237,IF(J239="EMZOR",PR!$R237,IF(J239="EUMATT",PR!$S237,IF(J239="FIDSON",PR!$T237,IF(J239="FCGLOBAL",PR!$U237,IF(J239="GENEITH",PR!$V237,IF(J239="GINOS",PR!$W237,IF(J239="GSK",PR!$X237,IF(J239="GLOBORG",PR!$Y237,IF(J239="GOODNEWS",PR!$Z237,IF(J239="GREENLIFE",PR!$AA237,IF(J239="HLINE",PR!$AB237,IF(J239="ROTECH",PR!$AC237,IF(J239="ISN",PR!$AD237,IF(J239="JAWA",PR!$AE237,IF(J239="LAYO",PR!$AF237,IF(J239="LEADWAY",PR!$AG237,IF(J239="LHV",PR!$AH237,IF(J239="MANOLA",PR!$AI237,IF(J239="MARCSON",PR!$AJ237,IF(J239="M&amp;B",PR!$AK237,IF(J239="MTRUST",PR!$AL237,IF(J239="MWORLD",PR!$AM237,IF(J239="MEGA",PR!$AN237,IF(J239="MICRONOVA",PR!$AO237,IF(J239="MFLASH",PR!$AP237,IF(J239="MORISON",PR!$AQ237,IF(J239="NEMEL",PR!$AR237,IF(J239="NHP",PR!$AS237,IF(J239="NHC",PR!$AT237,IF(J239="OLEAF",PR!$AU237,IF(J239="OCULUS",PR!$AV237,IF(J239="PACIFIC",PR!$AW237,IF(J239="PHAMATEX",PR!$AX237,IF(J239="PETHICS",PR!$AY237,IF(J239="PHILIPS",PR!$AZ237,IF(J239="RANBAXY",PR!$BA237,IF(J239="REALS",PR!$BB237,IF(J239="ROYAL",PR!$BC237,IF(J239="SAM",PR!$BD237,IF(J239="SEAGREEN",PR!$BE237,IF(J239="SKG",PR!$BF237,IF(J239="TAH",PR!$BG237,IF(J239="TAYLEK",PR!$BH237,IF(J239="TEMITA",PR!$BI237,IF(J239="THL",PR!$BJ237,IF(J239="UBASTIC",PR!$BK237,IF(J239="UNION",PR!$BL237,IF(J239="UNIQUE",PR!$BM237,IF(J239="VIXA",PR!$BN237,IF(J239="WWCV",PR!$BO237,IF(J239="ZOLON",PR!$BP237,"-"))))))))))))))))))))))))))))))))))))))))))))))))))))))))))))))))</f>
        <v>90</v>
      </c>
      <c r="J239" s="102" t="str">
        <f>EV!N301</f>
        <v>JAWA</v>
      </c>
      <c r="K239" s="433" t="s">
        <v>630</v>
      </c>
      <c r="L239" s="183">
        <f>IF(K239&gt;0,IF(K239="ALPHA",PR!$E237,IF(K239="ASSENE",PR!$F237,IF(K239="BIOFEM",PR!$G237,IF(K239="BIOMED",PR!$H237,IF(K239="CHI",PR!$I237,IF(K239="CLARION",PR!$J237,IF(K239="CODIX",PR!$K237,IF(K239="COSMADE",PR!$L237,IF(K239="SANCON",PR!$M237,IF(K239="DEVON",PR!$N237,IF(K239="DORTEMAG",PR!$O237,IF(K239="DGF",PR!$P237,IF(K239="DYNAMIC",PR!$Q237,IF(K239="EMZOR",PR!$R237,IF(K239="EUMATT",PR!$S237,IF(K239="FIDSON",PR!$T237,IF(K239="FCGLOBAL",PR!$U237,IF(K239="GENEITH",PR!$V237,IF(K239="GINOS",PR!$W237,IF(K239="GSK",PR!$X237,IF(K239="GLOBORG",PR!$Y237,IF(K239="GOODNEWS",PR!$Z237,IF(K239="GREENLIFE",PR!$AA237,IF(K239="HLINE",PR!$AB237,IF(K239="ROTECH",PR!$AC237,IF(K239="ISN",PR!$AD237,IF(K239="JAWA",PR!$AE237,IF(K239="LAYO",PR!$AF237,IF(K239="LEADWAY",PR!$AG237,IF(K239="LHV",PR!$AH237,IF(K239="MANOLA",PR!$AI237,IF(K239="MARCSON",PR!$AJ237,IF(K239="M&amp;B",PR!$AK237,IF(K239="MTRUST",PR!$AL237,IF(K239="MWORLD",PR!$AM237,IF(K239="MEGA",PR!$AN237,IF(K239="MICRONOVA",PR!$AO237,IF(K239="MFLASH",PR!$AP237,IF(K239="MORISON",PR!$AQ237,IF(K239="NEMEL",PR!$AR237,IF(K239="NHP",PR!$AS237,IF(K239="NHC",PR!$AT237,IF(K239="OLEAF",PR!$AU237,IF(K239="OCULUS",PR!$AV237,IF(K239="PACIFIC",PR!$AW237,IF(K239="PHAMATEX",PR!$AX237,IF(K239="PETHICS",PR!$AY237,IF(K239="PHILIPS",PR!$AZ237,IF(K239="RANBAXY",PR!$BA237,IF(K239="REALS",PR!$BB237,IF(K239="ROYAL",PR!$BC237,IF(K239="SAM",PR!$BD237,IF(K239="SEAGREEN",PR!$BE237,IF(K239="SKG",PR!$BF237,IF(K239="TAH",PR!$BG237,IF(K239="TAYLEK",PR!$BH237,IF(K239="TEMITA",PR!$BI237,IF(K239="THL",PR!$BJ237,IF(K239="UBASTIC",PR!$BK237,IF(K239="UNION",PR!$BL237,IF(K239="UNIQUE",PR!$BM237,IF(K239="VIXA",PR!$BN237,IF(K239="WWCV",PR!$BO237,IF(K239="ZOLON",PR!$BP237,"-")))))))))))))))))))))))))))))))))))))))))))))))))))))))))))))))))</f>
        <v>90</v>
      </c>
    </row>
    <row r="240" spans="1:12" ht="18.75" x14ac:dyDescent="0.3">
      <c r="A240" s="430">
        <f>PR!A238</f>
        <v>214</v>
      </c>
      <c r="B240" s="15" t="str">
        <f>PR!B238</f>
        <v>AMPICILLIN+SULBACTAM INJ</v>
      </c>
      <c r="C240" s="113" t="str">
        <f>PR!D238</f>
        <v>VIAL</v>
      </c>
      <c r="D240" s="113">
        <f>PR!C238</f>
        <v>600</v>
      </c>
      <c r="E240" s="108">
        <f>IF(F240="ALPHA",PR!$E238,IF(F240="ASSENE",PR!$F238,IF(F240="BIOFEM",PR!$G238,IF(F240="BIOMED",PR!$H238,IF(F240="CHI",PR!$I238,IF(F240="CLARION",PR!$J238,IF(F240="CODIX",PR!$K238,IF(F240="COSMADE",PR!$L238,IF(F240="SANCON",PR!$M238,IF(F240="DEVON",PR!$N238,IF(F240="DORTEMAG",PR!$O238,IF(F240="DGF",PR!$P238,IF(F240="DYNAMIC",PR!$Q238,IF(F240="EMZOR",PR!$R238,IF(F240="EUMATT",PR!$S238,IF(F240="FIDSON",PR!$T238,IF(F240="FCGLOBAL",PR!$U238,IF(F240="GENEITH",PR!$V238,IF(F240="GINOS",PR!$W238,IF(F240="GSK",PR!$X238,IF(F240="GLOBORG",PR!$Y238,IF(F240="GOODNEWS",PR!$Z238,IF(F240="GREENLIFE",PR!$AA238,IF(F240="HLINE",PR!$AB238,IF(F240="ROTECH",PR!$AC238,IF(F240="ISN",PR!$AD238,IF(F240="JAWA",PR!$AE238,IF(F240="LAYO",PR!$AF238,IF(F240="LEADWAY",PR!$AG238,IF(F240="LHV",PR!$AH238,IF(F240="MANOLA",PR!$AI238,IF(F240="MARCSON",PR!$AJ238,IF(F240="M&amp;B",PR!$AK238,IF(F240="MTRUST",PR!$AL238,IF(F240="MWORLD",PR!$AM238,IF(F240="MEGA",PR!$AN238,IF(F240="MICRONOVA",PR!$AO238,IF(F240="MFLASH",PR!$AP238,IF(F240="MORISON",PR!$AQ238,IF(F240="NEMEL",PR!$AR238,IF(F240="NHP",PR!$AS238,IF(F240="NHC",PR!$AT238,IF(F240="OLEAF",PR!$AU238,IF(F240="OCULUS",PR!$AV238,IF(F240="PACIFIC",PR!$AW238,IF(F240="PHAMATEX",PR!$AX238,IF(F240="PETHICS",PR!$AY238,IF(F240="PHILIPS",PR!$AZ238,IF(F240="RANBAXY",PR!$BA238,IF(F240="REALS",PR!$BB238,IF(F240="ROYAL",PR!$BC238,IF(F240="SAM",PR!$BD238,IF(F240="SEAGREEN",PR!$BE238,IF(F240="SKG",PR!$BF238,IF(F240="TAH",PR!$BG238,IF(F240="TAYLEK",PR!$BH238,IF(F240="TEMITA",PR!$BI238,IF(F240="THL",PR!$BJ238,IF(F240="UBASTIC",PR!$BK238,IF(F240="UNION",PR!$BL238,IF(F240="UNIQUE",PR!$BM238,IF(F240="VIXA",PR!$BN238,IF(F240="WWCV",PR!$BO238,IF(F240="ZOLON",PR!$BP238,"-"))))))))))))))))))))))))))))))))))))))))))))))))))))))))))))))))</f>
        <v>750</v>
      </c>
      <c r="F240" s="102" t="str">
        <f>EV!L302</f>
        <v>EUMATT</v>
      </c>
      <c r="G240" s="108">
        <f>IF(H240="ALPHA",PR!$E238,IF(H240="ASSENE",PR!$F238,IF(H240="BIOFEM",PR!$G238,IF(H240="BIOMED",PR!$H238,IF(H240="CHI",PR!$I238,IF(H240="CLARION",PR!$J238,IF(H240="CODIX",PR!$K238,IF(H240="COSMADE",PR!$L238,IF(H240="SANCON",PR!$M238,IF(H240="DEVON",PR!$N238,IF(H240="DORTEMAG",PR!$O238,IF(H240="DGF",PR!$P238,IF(H240="DYNAMIC",PR!$Q238,IF(H240="EMZOR",PR!$R238,IF(H240="EUMATT",PR!$S238,IF(H240="FIDSON",PR!$T238,IF(H240="FCGLOBAL",PR!$U238,IF(H240="GENEITH",PR!$V238,IF(H240="GINOS",PR!$W238,IF(H240="GSK",PR!$X238,IF(H240="GLOBORG",PR!$Y238,IF(H240="GOODNEWS",PR!$Z238,IF(H240="GREENLIFE",PR!$AA238,IF(H240="HLINE",PR!$AB238,IF(H240="ROTECH",PR!$AC238,IF(H240="ISN",PR!$AD238,IF(H240="JAWA",PR!$AE238,IF(H240="LAYO",PR!$AF238,IF(H240="LEADWAY",PR!$AG238,IF(H240="LHV",PR!$AH238,IF(H240="MANOLA",PR!$AI238,IF(H240="MARCSON",PR!$AJ238,IF(H240="M&amp;B",PR!$AK238,IF(H240="MTRUST",PR!$AL238,IF(H240="MWORLD",PR!$AM238,IF(H240="MEGA",PR!$AN238,IF(H240="MICRONOVA",PR!$AO238,IF(H240="MFLASH",PR!$AP238,IF(H240="MORISON",PR!$AQ238,IF(H240="NEMEL",PR!$AR238,IF(H240="NHP",PR!$AS238,IF(H240="NHC",PR!$AT238,IF(H240="OLEAF",PR!$AU238,IF(H240="OCULUS",PR!$AV238,IF(H240="PACIFIC",PR!$AW238,IF(H240="PHAMATEX",PR!$AX238,IF(H240="PETHICS",PR!$AY238,IF(H240="PHILIPS",PR!$AZ238,IF(H240="RANBAXY",PR!$BA238,IF(H240="REALS",PR!$BB238,IF(H240="ROYAL",PR!$BC238,IF(H240="SAM",PR!$BD238,IF(H240="SEAGREEN",PR!$BE238,IF(H240="SKG",PR!$BF238,IF(H240="TAH",PR!$BG238,IF(H240="TAYLEK",PR!$BH238,IF(H240="TEMITA",PR!$BI238,IF(H240="THL",PR!$BJ238,IF(H240="UBASTIC",PR!$BK238,IF(H240="UNION",PR!$BL238,IF(H240="UNIQUE",PR!$BM238,IF(H240="VIXA",PR!$BN238,IF(H240="WWCV",PR!$BO238,IF(H240="ZOLON",PR!$BP238,"-"))))))))))))))))))))))))))))))))))))))))))))))))))))))))))))))))</f>
        <v>829</v>
      </c>
      <c r="H240" s="102" t="str">
        <f>EV!M302</f>
        <v>NHC</v>
      </c>
      <c r="I240" s="108">
        <f>IF(J240="ALPHA",PR!$E238,IF(J240="ASSENE",PR!$F238,IF(J240="BIOFEM",PR!$G238,IF(J240="BIOMED",PR!$H238,IF(J240="CHI",PR!$I238,IF(J240="CLARION",PR!$J238,IF(J240="CODIX",PR!$K238,IF(J240="COSMADE",PR!$L238,IF(J240="SANCON",PR!$M238,IF(J240="DEVON",PR!$N238,IF(J240="DORTEMAG",PR!$O238,IF(J240="DGF",PR!$P238,IF(J240="DYNAMIC",PR!$Q238,IF(J240="EMZOR",PR!$R238,IF(J240="EUMATT",PR!$S238,IF(J240="FIDSON",PR!$T238,IF(J240="FCGLOBAL",PR!$U238,IF(J240="GENEITH",PR!$V238,IF(J240="GINOS",PR!$W238,IF(J240="GSK",PR!$X238,IF(J240="GLOBORG",PR!$Y238,IF(J240="GOODNEWS",PR!$Z238,IF(J240="GREENLIFE",PR!$AA238,IF(J240="HLINE",PR!$AB238,IF(J240="ROTECH",PR!$AC238,IF(J240="ISN",PR!$AD238,IF(J240="JAWA",PR!$AE238,IF(J240="LAYO",PR!$AF238,IF(J240="LEADWAY",PR!$AG238,IF(J240="LHV",PR!$AH238,IF(J240="MANOLA",PR!$AI238,IF(J240="MARCSON",PR!$AJ238,IF(J240="M&amp;B",PR!$AK238,IF(J240="MTRUST",PR!$AL238,IF(J240="MWORLD",PR!$AM238,IF(J240="MEGA",PR!$AN238,IF(J240="MICRONOVA",PR!$AO238,IF(J240="MFLASH",PR!$AP238,IF(J240="MORISON",PR!$AQ238,IF(J240="NEMEL",PR!$AR238,IF(J240="NHP",PR!$AS238,IF(J240="NHC",PR!$AT238,IF(J240="OLEAF",PR!$AU238,IF(J240="OCULUS",PR!$AV238,IF(J240="PACIFIC",PR!$AW238,IF(J240="PHAMATEX",PR!$AX238,IF(J240="PETHICS",PR!$AY238,IF(J240="PHILIPS",PR!$AZ238,IF(J240="RANBAXY",PR!$BA238,IF(J240="REALS",PR!$BB238,IF(J240="ROYAL",PR!$BC238,IF(J240="SAM",PR!$BD238,IF(J240="SEAGREEN",PR!$BE238,IF(J240="SKG",PR!$BF238,IF(J240="TAH",PR!$BG238,IF(J240="TAYLEK",PR!$BH238,IF(J240="TEMITA",PR!$BI238,IF(J240="THL",PR!$BJ238,IF(J240="UBASTIC",PR!$BK238,IF(J240="UNION",PR!$BL238,IF(J240="UNIQUE",PR!$BM238,IF(J240="VIXA",PR!$BN238,IF(J240="WWCV",PR!$BO238,IF(J240="ZOLON",PR!$BP238,"-"))))))))))))))))))))))))))))))))))))))))))))))))))))))))))))))))</f>
        <v>829</v>
      </c>
      <c r="J240" s="102" t="str">
        <f>EV!N302</f>
        <v>WWCV</v>
      </c>
      <c r="K240" s="433" t="s">
        <v>1246</v>
      </c>
      <c r="L240" s="183">
        <f>IF(K240&gt;0,IF(K240="ALPHA",PR!$E238,IF(K240="ASSENE",PR!$F238,IF(K240="BIOFEM",PR!$G238,IF(K240="BIOMED",PR!$H238,IF(K240="CHI",PR!$I238,IF(K240="CLARION",PR!$J238,IF(K240="CODIX",PR!$K238,IF(K240="COSMADE",PR!$L238,IF(K240="SANCON",PR!$M238,IF(K240="DEVON",PR!$N238,IF(K240="DORTEMAG",PR!$O238,IF(K240="DGF",PR!$P238,IF(K240="DYNAMIC",PR!$Q238,IF(K240="EMZOR",PR!$R238,IF(K240="EUMATT",PR!$S238,IF(K240="FIDSON",PR!$T238,IF(K240="FCGLOBAL",PR!$U238,IF(K240="GENEITH",PR!$V238,IF(K240="GINOS",PR!$W238,IF(K240="GSK",PR!$X238,IF(K240="GLOBORG",PR!$Y238,IF(K240="GOODNEWS",PR!$Z238,IF(K240="GREENLIFE",PR!$AA238,IF(K240="HLINE",PR!$AB238,IF(K240="ROTECH",PR!$AC238,IF(K240="ISN",PR!$AD238,IF(K240="JAWA",PR!$AE238,IF(K240="LAYO",PR!$AF238,IF(K240="LEADWAY",PR!$AG238,IF(K240="LHV",PR!$AH238,IF(K240="MANOLA",PR!$AI238,IF(K240="MARCSON",PR!$AJ238,IF(K240="M&amp;B",PR!$AK238,IF(K240="MTRUST",PR!$AL238,IF(K240="MWORLD",PR!$AM238,IF(K240="MEGA",PR!$AN238,IF(K240="MICRONOVA",PR!$AO238,IF(K240="MFLASH",PR!$AP238,IF(K240="MORISON",PR!$AQ238,IF(K240="NEMEL",PR!$AR238,IF(K240="NHP",PR!$AS238,IF(K240="NHC",PR!$AT238,IF(K240="OLEAF",PR!$AU238,IF(K240="OCULUS",PR!$AV238,IF(K240="PACIFIC",PR!$AW238,IF(K240="PHAMATEX",PR!$AX238,IF(K240="PETHICS",PR!$AY238,IF(K240="PHILIPS",PR!$AZ238,IF(K240="RANBAXY",PR!$BA238,IF(K240="REALS",PR!$BB238,IF(K240="ROYAL",PR!$BC238,IF(K240="SAM",PR!$BD238,IF(K240="SEAGREEN",PR!$BE238,IF(K240="SKG",PR!$BF238,IF(K240="TAH",PR!$BG238,IF(K240="TAYLEK",PR!$BH238,IF(K240="TEMITA",PR!$BI238,IF(K240="THL",PR!$BJ238,IF(K240="UBASTIC",PR!$BK238,IF(K240="UNION",PR!$BL238,IF(K240="UNIQUE",PR!$BM238,IF(K240="VIXA",PR!$BN238,IF(K240="WWCV",PR!$BO238,IF(K240="ZOLON",PR!$BP238,"-")))))))))))))))))))))))))))))))))))))))))))))))))))))))))))))))))</f>
        <v>829</v>
      </c>
    </row>
    <row r="241" spans="1:12" ht="18.75" x14ac:dyDescent="0.3">
      <c r="A241" s="430">
        <f>PR!A239</f>
        <v>215</v>
      </c>
      <c r="B241" s="15" t="str">
        <f>PR!B239</f>
        <v>AMPICILLIN+SULBACTAM SUSP</v>
      </c>
      <c r="C241" s="113" t="str">
        <f>PR!D239</f>
        <v>BOTT</v>
      </c>
      <c r="D241" s="113">
        <f>PR!C239</f>
        <v>100</v>
      </c>
      <c r="E241" s="108" t="str">
        <f>IF(F241="ALPHA",PR!$E239,IF(F241="ASSENE",PR!$F239,IF(F241="BIOFEM",PR!$G239,IF(F241="BIOMED",PR!$H239,IF(F241="CHI",PR!$I239,IF(F241="CLARION",PR!$J239,IF(F241="CODIX",PR!$K239,IF(F241="COSMADE",PR!$L239,IF(F241="SANCON",PR!$M239,IF(F241="DEVON",PR!$N239,IF(F241="DORTEMAG",PR!$O239,IF(F241="DGF",PR!$P239,IF(F241="DYNAMIC",PR!$Q239,IF(F241="EMZOR",PR!$R239,IF(F241="EUMATT",PR!$S239,IF(F241="FIDSON",PR!$T239,IF(F241="FCGLOBAL",PR!$U239,IF(F241="GENEITH",PR!$V239,IF(F241="GINOS",PR!$W239,IF(F241="GSK",PR!$X239,IF(F241="GLOBORG",PR!$Y239,IF(F241="GOODNEWS",PR!$Z239,IF(F241="GREENLIFE",PR!$AA239,IF(F241="HLINE",PR!$AB239,IF(F241="ROTECH",PR!$AC239,IF(F241="ISN",PR!$AD239,IF(F241="JAWA",PR!$AE239,IF(F241="LAYO",PR!$AF239,IF(F241="LEADWAY",PR!$AG239,IF(F241="LHV",PR!$AH239,IF(F241="MANOLA",PR!$AI239,IF(F241="MARCSON",PR!$AJ239,IF(F241="M&amp;B",PR!$AK239,IF(F241="MTRUST",PR!$AL239,IF(F241="MWORLD",PR!$AM239,IF(F241="MEGA",PR!$AN239,IF(F241="MICRONOVA",PR!$AO239,IF(F241="MFLASH",PR!$AP239,IF(F241="MORISON",PR!$AQ239,IF(F241="NEMEL",PR!$AR239,IF(F241="NHP",PR!$AS239,IF(F241="NHC",PR!$AT239,IF(F241="OLEAF",PR!$AU239,IF(F241="OCULUS",PR!$AV239,IF(F241="PACIFIC",PR!$AW239,IF(F241="PHAMATEX",PR!$AX239,IF(F241="PETHICS",PR!$AY239,IF(F241="PHILIPS",PR!$AZ239,IF(F241="RANBAXY",PR!$BA239,IF(F241="REALS",PR!$BB239,IF(F241="ROYAL",PR!$BC239,IF(F241="SAM",PR!$BD239,IF(F241="SEAGREEN",PR!$BE239,IF(F241="SKG",PR!$BF239,IF(F241="TAH",PR!$BG239,IF(F241="TAYLEK",PR!$BH239,IF(F241="TEMITA",PR!$BI239,IF(F241="THL",PR!$BJ239,IF(F241="UBASTIC",PR!$BK239,IF(F241="UNION",PR!$BL239,IF(F241="UNIQUE",PR!$BM239,IF(F241="VIXA",PR!$BN239,IF(F241="WWCV",PR!$BO239,IF(F241="ZOLON",PR!$BP239,"-"))))))))))))))))))))))))))))))))))))))))))))))))))))))))))))))))</f>
        <v>-</v>
      </c>
      <c r="F241" s="102">
        <f>EV!L303</f>
        <v>0</v>
      </c>
      <c r="G241" s="108" t="str">
        <f>IF(H241="ALPHA",PR!$E239,IF(H241="ASSENE",PR!$F239,IF(H241="BIOFEM",PR!$G239,IF(H241="BIOMED",PR!$H239,IF(H241="CHI",PR!$I239,IF(H241="CLARION",PR!$J239,IF(H241="CODIX",PR!$K239,IF(H241="COSMADE",PR!$L239,IF(H241="SANCON",PR!$M239,IF(H241="DEVON",PR!$N239,IF(H241="DORTEMAG",PR!$O239,IF(H241="DGF",PR!$P239,IF(H241="DYNAMIC",PR!$Q239,IF(H241="EMZOR",PR!$R239,IF(H241="EUMATT",PR!$S239,IF(H241="FIDSON",PR!$T239,IF(H241="FCGLOBAL",PR!$U239,IF(H241="GENEITH",PR!$V239,IF(H241="GINOS",PR!$W239,IF(H241="GSK",PR!$X239,IF(H241="GLOBORG",PR!$Y239,IF(H241="GOODNEWS",PR!$Z239,IF(H241="GREENLIFE",PR!$AA239,IF(H241="HLINE",PR!$AB239,IF(H241="ROTECH",PR!$AC239,IF(H241="ISN",PR!$AD239,IF(H241="JAWA",PR!$AE239,IF(H241="LAYO",PR!$AF239,IF(H241="LEADWAY",PR!$AG239,IF(H241="LHV",PR!$AH239,IF(H241="MANOLA",PR!$AI239,IF(H241="MARCSON",PR!$AJ239,IF(H241="M&amp;B",PR!$AK239,IF(H241="MTRUST",PR!$AL239,IF(H241="MWORLD",PR!$AM239,IF(H241="MEGA",PR!$AN239,IF(H241="MICRONOVA",PR!$AO239,IF(H241="MFLASH",PR!$AP239,IF(H241="MORISON",PR!$AQ239,IF(H241="NEMEL",PR!$AR239,IF(H241="NHP",PR!$AS239,IF(H241="NHC",PR!$AT239,IF(H241="OLEAF",PR!$AU239,IF(H241="OCULUS",PR!$AV239,IF(H241="PACIFIC",PR!$AW239,IF(H241="PHAMATEX",PR!$AX239,IF(H241="PETHICS",PR!$AY239,IF(H241="PHILIPS",PR!$AZ239,IF(H241="RANBAXY",PR!$BA239,IF(H241="REALS",PR!$BB239,IF(H241="ROYAL",PR!$BC239,IF(H241="SAM",PR!$BD239,IF(H241="SEAGREEN",PR!$BE239,IF(H241="SKG",PR!$BF239,IF(H241="TAH",PR!$BG239,IF(H241="TAYLEK",PR!$BH239,IF(H241="TEMITA",PR!$BI239,IF(H241="THL",PR!$BJ239,IF(H241="UBASTIC",PR!$BK239,IF(H241="UNION",PR!$BL239,IF(H241="UNIQUE",PR!$BM239,IF(H241="VIXA",PR!$BN239,IF(H241="WWCV",PR!$BO239,IF(H241="ZOLON",PR!$BP239,"-"))))))))))))))))))))))))))))))))))))))))))))))))))))))))))))))))</f>
        <v>-</v>
      </c>
      <c r="H241" s="102">
        <f>EV!M303</f>
        <v>0</v>
      </c>
      <c r="I241" s="108" t="str">
        <f>IF(J241="ALPHA",PR!$E239,IF(J241="ASSENE",PR!$F239,IF(J241="BIOFEM",PR!$G239,IF(J241="BIOMED",PR!$H239,IF(J241="CHI",PR!$I239,IF(J241="CLARION",PR!$J239,IF(J241="CODIX",PR!$K239,IF(J241="COSMADE",PR!$L239,IF(J241="SANCON",PR!$M239,IF(J241="DEVON",PR!$N239,IF(J241="DORTEMAG",PR!$O239,IF(J241="DGF",PR!$P239,IF(J241="DYNAMIC",PR!$Q239,IF(J241="EMZOR",PR!$R239,IF(J241="EUMATT",PR!$S239,IF(J241="FIDSON",PR!$T239,IF(J241="FCGLOBAL",PR!$U239,IF(J241="GENEITH",PR!$V239,IF(J241="GINOS",PR!$W239,IF(J241="GSK",PR!$X239,IF(J241="GLOBORG",PR!$Y239,IF(J241="GOODNEWS",PR!$Z239,IF(J241="GREENLIFE",PR!$AA239,IF(J241="HLINE",PR!$AB239,IF(J241="ROTECH",PR!$AC239,IF(J241="ISN",PR!$AD239,IF(J241="JAWA",PR!$AE239,IF(J241="LAYO",PR!$AF239,IF(J241="LEADWAY",PR!$AG239,IF(J241="LHV",PR!$AH239,IF(J241="MANOLA",PR!$AI239,IF(J241="MARCSON",PR!$AJ239,IF(J241="M&amp;B",PR!$AK239,IF(J241="MTRUST",PR!$AL239,IF(J241="MWORLD",PR!$AM239,IF(J241="MEGA",PR!$AN239,IF(J241="MICRONOVA",PR!$AO239,IF(J241="MFLASH",PR!$AP239,IF(J241="MORISON",PR!$AQ239,IF(J241="NEMEL",PR!$AR239,IF(J241="NHP",PR!$AS239,IF(J241="NHC",PR!$AT239,IF(J241="OLEAF",PR!$AU239,IF(J241="OCULUS",PR!$AV239,IF(J241="PACIFIC",PR!$AW239,IF(J241="PHAMATEX",PR!$AX239,IF(J241="PETHICS",PR!$AY239,IF(J241="PHILIPS",PR!$AZ239,IF(J241="RANBAXY",PR!$BA239,IF(J241="REALS",PR!$BB239,IF(J241="ROYAL",PR!$BC239,IF(J241="SAM",PR!$BD239,IF(J241="SEAGREEN",PR!$BE239,IF(J241="SKG",PR!$BF239,IF(J241="TAH",PR!$BG239,IF(J241="TAYLEK",PR!$BH239,IF(J241="TEMITA",PR!$BI239,IF(J241="THL",PR!$BJ239,IF(J241="UBASTIC",PR!$BK239,IF(J241="UNION",PR!$BL239,IF(J241="UNIQUE",PR!$BM239,IF(J241="VIXA",PR!$BN239,IF(J241="WWCV",PR!$BO239,IF(J241="ZOLON",PR!$BP239,"-"))))))))))))))))))))))))))))))))))))))))))))))))))))))))))))))))</f>
        <v>-</v>
      </c>
      <c r="J241" s="102">
        <f>EV!N303</f>
        <v>0</v>
      </c>
      <c r="K241" s="433"/>
      <c r="L241" s="183" t="b">
        <f>IF(K241&gt;0,IF(K241="ALPHA",PR!$E239,IF(K241="ASSENE",PR!$F239,IF(K241="BIOFEM",PR!$G239,IF(K241="BIOMED",PR!$H239,IF(K241="CHI",PR!$I239,IF(K241="CLARION",PR!$J239,IF(K241="CODIX",PR!$K239,IF(K241="COSMADE",PR!$L239,IF(K241="SANCON",PR!$M239,IF(K241="DEVON",PR!$N239,IF(K241="DORTEMAG",PR!$O239,IF(K241="DGF",PR!$P239,IF(K241="DYNAMIC",PR!$Q239,IF(K241="EMZOR",PR!$R239,IF(K241="EUMATT",PR!$S239,IF(K241="FIDSON",PR!$T239,IF(K241="FCGLOBAL",PR!$U239,IF(K241="GENEITH",PR!$V239,IF(K241="GINOS",PR!$W239,IF(K241="GSK",PR!$X239,IF(K241="GLOBORG",PR!$Y239,IF(K241="GOODNEWS",PR!$Z239,IF(K241="GREENLIFE",PR!$AA239,IF(K241="HLINE",PR!$AB239,IF(K241="ROTECH",PR!$AC239,IF(K241="ISN",PR!$AD239,IF(K241="JAWA",PR!$AE239,IF(K241="LAYO",PR!$AF239,IF(K241="LEADWAY",PR!$AG239,IF(K241="LHV",PR!$AH239,IF(K241="MANOLA",PR!$AI239,IF(K241="MARCSON",PR!$AJ239,IF(K241="M&amp;B",PR!$AK239,IF(K241="MTRUST",PR!$AL239,IF(K241="MWORLD",PR!$AM239,IF(K241="MEGA",PR!$AN239,IF(K241="MICRONOVA",PR!$AO239,IF(K241="MFLASH",PR!$AP239,IF(K241="MORISON",PR!$AQ239,IF(K241="NEMEL",PR!$AR239,IF(K241="NHP",PR!$AS239,IF(K241="NHC",PR!$AT239,IF(K241="OLEAF",PR!$AU239,IF(K241="OCULUS",PR!$AV239,IF(K241="PACIFIC",PR!$AW239,IF(K241="PHAMATEX",PR!$AX239,IF(K241="PETHICS",PR!$AY239,IF(K241="PHILIPS",PR!$AZ239,IF(K241="RANBAXY",PR!$BA239,IF(K241="REALS",PR!$BB239,IF(K241="ROYAL",PR!$BC239,IF(K241="SAM",PR!$BD239,IF(K241="SEAGREEN",PR!$BE239,IF(K241="SKG",PR!$BF239,IF(K241="TAH",PR!$BG239,IF(K241="TAYLEK",PR!$BH239,IF(K241="TEMITA",PR!$BI239,IF(K241="THL",PR!$BJ239,IF(K241="UBASTIC",PR!$BK239,IF(K241="UNION",PR!$BL239,IF(K241="UNIQUE",PR!$BM239,IF(K241="VIXA",PR!$BN239,IF(K241="WWCV",PR!$BO239,IF(K241="ZOLON",PR!$BP239,"-")))))))))))))))))))))))))))))))))))))))))))))))))))))))))))))))))</f>
        <v>0</v>
      </c>
    </row>
    <row r="242" spans="1:12" ht="18.75" x14ac:dyDescent="0.3">
      <c r="A242" s="430">
        <f>PR!A240</f>
        <v>216</v>
      </c>
      <c r="B242" s="15" t="str">
        <f>PR!B240</f>
        <v>AZITHROMYCIN 500MG</v>
      </c>
      <c r="C242" s="113">
        <f>PR!D240</f>
        <v>10</v>
      </c>
      <c r="D242" s="113">
        <f>PR!C240</f>
        <v>500</v>
      </c>
      <c r="E242" s="108">
        <f>IF(F242="ALPHA",PR!$E240,IF(F242="ASSENE",PR!$F240,IF(F242="BIOFEM",PR!$G240,IF(F242="BIOMED",PR!$H240,IF(F242="CHI",PR!$I240,IF(F242="CLARION",PR!$J240,IF(F242="CODIX",PR!$K240,IF(F242="COSMADE",PR!$L240,IF(F242="SANCON",PR!$M240,IF(F242="DEVON",PR!$N240,IF(F242="DORTEMAG",PR!$O240,IF(F242="DGF",PR!$P240,IF(F242="DYNAMIC",PR!$Q240,IF(F242="EMZOR",PR!$R240,IF(F242="EUMATT",PR!$S240,IF(F242="FIDSON",PR!$T240,IF(F242="FCGLOBAL",PR!$U240,IF(F242="GENEITH",PR!$V240,IF(F242="GINOS",PR!$W240,IF(F242="GSK",PR!$X240,IF(F242="GLOBORG",PR!$Y240,IF(F242="GOODNEWS",PR!$Z240,IF(F242="GREENLIFE",PR!$AA240,IF(F242="HLINE",PR!$AB240,IF(F242="ROTECH",PR!$AC240,IF(F242="ISN",PR!$AD240,IF(F242="JAWA",PR!$AE240,IF(F242="LAYO",PR!$AF240,IF(F242="LEADWAY",PR!$AG240,IF(F242="LHV",PR!$AH240,IF(F242="MANOLA",PR!$AI240,IF(F242="MARCSON",PR!$AJ240,IF(F242="M&amp;B",PR!$AK240,IF(F242="MTRUST",PR!$AL240,IF(F242="MWORLD",PR!$AM240,IF(F242="MEGA",PR!$AN240,IF(F242="MICRONOVA",PR!$AO240,IF(F242="MFLASH",PR!$AP240,IF(F242="MORISON",PR!$AQ240,IF(F242="NEMEL",PR!$AR240,IF(F242="NHP",PR!$AS240,IF(F242="NHC",PR!$AT240,IF(F242="OLEAF",PR!$AU240,IF(F242="OCULUS",PR!$AV240,IF(F242="PACIFIC",PR!$AW240,IF(F242="PHAMATEX",PR!$AX240,IF(F242="PETHICS",PR!$AY240,IF(F242="PHILIPS",PR!$AZ240,IF(F242="RANBAXY",PR!$BA240,IF(F242="REALS",PR!$BB240,IF(F242="ROYAL",PR!$BC240,IF(F242="SAM",PR!$BD240,IF(F242="SEAGREEN",PR!$BE240,IF(F242="SKG",PR!$BF240,IF(F242="TAH",PR!$BG240,IF(F242="TAYLEK",PR!$BH240,IF(F242="TEMITA",PR!$BI240,IF(F242="THL",PR!$BJ240,IF(F242="UBASTIC",PR!$BK240,IF(F242="UNION",PR!$BL240,IF(F242="UNIQUE",PR!$BM240,IF(F242="VIXA",PR!$BN240,IF(F242="WWCV",PR!$BO240,IF(F242="ZOLON",PR!$BP240,"-"))))))))))))))))))))))))))))))))))))))))))))))))))))))))))))))))</f>
        <v>300</v>
      </c>
      <c r="F242" s="102" t="str">
        <f>EV!L304</f>
        <v>PHILIPS</v>
      </c>
      <c r="G242" s="108">
        <f>IF(H242="ALPHA",PR!$E240,IF(H242="ASSENE",PR!$F240,IF(H242="BIOFEM",PR!$G240,IF(H242="BIOMED",PR!$H240,IF(H242="CHI",PR!$I240,IF(H242="CLARION",PR!$J240,IF(H242="CODIX",PR!$K240,IF(H242="COSMADE",PR!$L240,IF(H242="SANCON",PR!$M240,IF(H242="DEVON",PR!$N240,IF(H242="DORTEMAG",PR!$O240,IF(H242="DGF",PR!$P240,IF(H242="DYNAMIC",PR!$Q240,IF(H242="EMZOR",PR!$R240,IF(H242="EUMATT",PR!$S240,IF(H242="FIDSON",PR!$T240,IF(H242="FCGLOBAL",PR!$U240,IF(H242="GENEITH",PR!$V240,IF(H242="GINOS",PR!$W240,IF(H242="GSK",PR!$X240,IF(H242="GLOBORG",PR!$Y240,IF(H242="GOODNEWS",PR!$Z240,IF(H242="GREENLIFE",PR!$AA240,IF(H242="HLINE",PR!$AB240,IF(H242="ROTECH",PR!$AC240,IF(H242="ISN",PR!$AD240,IF(H242="JAWA",PR!$AE240,IF(H242="LAYO",PR!$AF240,IF(H242="LEADWAY",PR!$AG240,IF(H242="LHV",PR!$AH240,IF(H242="MANOLA",PR!$AI240,IF(H242="MARCSON",PR!$AJ240,IF(H242="M&amp;B",PR!$AK240,IF(H242="MTRUST",PR!$AL240,IF(H242="MWORLD",PR!$AM240,IF(H242="MEGA",PR!$AN240,IF(H242="MICRONOVA",PR!$AO240,IF(H242="MFLASH",PR!$AP240,IF(H242="MORISON",PR!$AQ240,IF(H242="NEMEL",PR!$AR240,IF(H242="NHP",PR!$AS240,IF(H242="NHC",PR!$AT240,IF(H242="OLEAF",PR!$AU240,IF(H242="OCULUS",PR!$AV240,IF(H242="PACIFIC",PR!$AW240,IF(H242="PHAMATEX",PR!$AX240,IF(H242="PETHICS",PR!$AY240,IF(H242="PHILIPS",PR!$AZ240,IF(H242="RANBAXY",PR!$BA240,IF(H242="REALS",PR!$BB240,IF(H242="ROYAL",PR!$BC240,IF(H242="SAM",PR!$BD240,IF(H242="SEAGREEN",PR!$BE240,IF(H242="SKG",PR!$BF240,IF(H242="TAH",PR!$BG240,IF(H242="TAYLEK",PR!$BH240,IF(H242="TEMITA",PR!$BI240,IF(H242="THL",PR!$BJ240,IF(H242="UBASTIC",PR!$BK240,IF(H242="UNION",PR!$BL240,IF(H242="UNIQUE",PR!$BM240,IF(H242="VIXA",PR!$BN240,IF(H242="WWCV",PR!$BO240,IF(H242="ZOLON",PR!$BP240,"-"))))))))))))))))))))))))))))))))))))))))))))))))))))))))))))))))</f>
        <v>430</v>
      </c>
      <c r="H242" s="102" t="str">
        <f>EV!M304</f>
        <v>JAWA</v>
      </c>
      <c r="I242" s="108">
        <f>IF(J242="ALPHA",PR!$E240,IF(J242="ASSENE",PR!$F240,IF(J242="BIOFEM",PR!$G240,IF(J242="BIOMED",PR!$H240,IF(J242="CHI",PR!$I240,IF(J242="CLARION",PR!$J240,IF(J242="CODIX",PR!$K240,IF(J242="COSMADE",PR!$L240,IF(J242="SANCON",PR!$M240,IF(J242="DEVON",PR!$N240,IF(J242="DORTEMAG",PR!$O240,IF(J242="DGF",PR!$P240,IF(J242="DYNAMIC",PR!$Q240,IF(J242="EMZOR",PR!$R240,IF(J242="EUMATT",PR!$S240,IF(J242="FIDSON",PR!$T240,IF(J242="FCGLOBAL",PR!$U240,IF(J242="GENEITH",PR!$V240,IF(J242="GINOS",PR!$W240,IF(J242="GSK",PR!$X240,IF(J242="GLOBORG",PR!$Y240,IF(J242="GOODNEWS",PR!$Z240,IF(J242="GREENLIFE",PR!$AA240,IF(J242="HLINE",PR!$AB240,IF(J242="ROTECH",PR!$AC240,IF(J242="ISN",PR!$AD240,IF(J242="JAWA",PR!$AE240,IF(J242="LAYO",PR!$AF240,IF(J242="LEADWAY",PR!$AG240,IF(J242="LHV",PR!$AH240,IF(J242="MANOLA",PR!$AI240,IF(J242="MARCSON",PR!$AJ240,IF(J242="M&amp;B",PR!$AK240,IF(J242="MTRUST",PR!$AL240,IF(J242="MWORLD",PR!$AM240,IF(J242="MEGA",PR!$AN240,IF(J242="MICRONOVA",PR!$AO240,IF(J242="MFLASH",PR!$AP240,IF(J242="MORISON",PR!$AQ240,IF(J242="NEMEL",PR!$AR240,IF(J242="NHP",PR!$AS240,IF(J242="NHC",PR!$AT240,IF(J242="OLEAF",PR!$AU240,IF(J242="OCULUS",PR!$AV240,IF(J242="PACIFIC",PR!$AW240,IF(J242="PHAMATEX",PR!$AX240,IF(J242="PETHICS",PR!$AY240,IF(J242="PHILIPS",PR!$AZ240,IF(J242="RANBAXY",PR!$BA240,IF(J242="REALS",PR!$BB240,IF(J242="ROYAL",PR!$BC240,IF(J242="SAM",PR!$BD240,IF(J242="SEAGREEN",PR!$BE240,IF(J242="SKG",PR!$BF240,IF(J242="TAH",PR!$BG240,IF(J242="TAYLEK",PR!$BH240,IF(J242="TEMITA",PR!$BI240,IF(J242="THL",PR!$BJ240,IF(J242="UBASTIC",PR!$BK240,IF(J242="UNION",PR!$BL240,IF(J242="UNIQUE",PR!$BM240,IF(J242="VIXA",PR!$BN240,IF(J242="WWCV",PR!$BO240,IF(J242="ZOLON",PR!$BP240,"-"))))))))))))))))))))))))))))))))))))))))))))))))))))))))))))))))</f>
        <v>500</v>
      </c>
      <c r="J242" s="102" t="str">
        <f>EV!N304</f>
        <v>ZOLON</v>
      </c>
      <c r="K242" s="433" t="s">
        <v>618</v>
      </c>
      <c r="L242" s="183">
        <f>IF(K242&gt;0,IF(K242="ALPHA",PR!$E240,IF(K242="ASSENE",PR!$F240,IF(K242="BIOFEM",PR!$G240,IF(K242="BIOMED",PR!$H240,IF(K242="CHI",PR!$I240,IF(K242="CLARION",PR!$J240,IF(K242="CODIX",PR!$K240,IF(K242="COSMADE",PR!$L240,IF(K242="SANCON",PR!$M240,IF(K242="DEVON",PR!$N240,IF(K242="DORTEMAG",PR!$O240,IF(K242="DGF",PR!$P240,IF(K242="DYNAMIC",PR!$Q240,IF(K242="EMZOR",PR!$R240,IF(K242="EUMATT",PR!$S240,IF(K242="FIDSON",PR!$T240,IF(K242="FCGLOBAL",PR!$U240,IF(K242="GENEITH",PR!$V240,IF(K242="GINOS",PR!$W240,IF(K242="GSK",PR!$X240,IF(K242="GLOBORG",PR!$Y240,IF(K242="GOODNEWS",PR!$Z240,IF(K242="GREENLIFE",PR!$AA240,IF(K242="HLINE",PR!$AB240,IF(K242="ROTECH",PR!$AC240,IF(K242="ISN",PR!$AD240,IF(K242="JAWA",PR!$AE240,IF(K242="LAYO",PR!$AF240,IF(K242="LEADWAY",PR!$AG240,IF(K242="LHV",PR!$AH240,IF(K242="MANOLA",PR!$AI240,IF(K242="MARCSON",PR!$AJ240,IF(K242="M&amp;B",PR!$AK240,IF(K242="MTRUST",PR!$AL240,IF(K242="MWORLD",PR!$AM240,IF(K242="MEGA",PR!$AN240,IF(K242="MICRONOVA",PR!$AO240,IF(K242="MFLASH",PR!$AP240,IF(K242="MORISON",PR!$AQ240,IF(K242="NEMEL",PR!$AR240,IF(K242="NHP",PR!$AS240,IF(K242="NHC",PR!$AT240,IF(K242="OLEAF",PR!$AU240,IF(K242="OCULUS",PR!$AV240,IF(K242="PACIFIC",PR!$AW240,IF(K242="PHAMATEX",PR!$AX240,IF(K242="PETHICS",PR!$AY240,IF(K242="PHILIPS",PR!$AZ240,IF(K242="RANBAXY",PR!$BA240,IF(K242="REALS",PR!$BB240,IF(K242="ROYAL",PR!$BC240,IF(K242="SAM",PR!$BD240,IF(K242="SEAGREEN",PR!$BE240,IF(K242="SKG",PR!$BF240,IF(K242="TAH",PR!$BG240,IF(K242="TAYLEK",PR!$BH240,IF(K242="TEMITA",PR!$BI240,IF(K242="THL",PR!$BJ240,IF(K242="UBASTIC",PR!$BK240,IF(K242="UNION",PR!$BL240,IF(K242="UNIQUE",PR!$BM240,IF(K242="VIXA",PR!$BN240,IF(K242="WWCV",PR!$BO240,IF(K242="ZOLON",PR!$BP240,"-")))))))))))))))))))))))))))))))))))))))))))))))))))))))))))))))))</f>
        <v>300</v>
      </c>
    </row>
    <row r="243" spans="1:12" ht="18.75" x14ac:dyDescent="0.3">
      <c r="A243" s="430">
        <f>PR!A241</f>
        <v>217</v>
      </c>
      <c r="B243" s="15" t="str">
        <f>PR!B241</f>
        <v>VAZEL KIT</v>
      </c>
      <c r="C243" s="113">
        <f>PR!D241</f>
        <v>3</v>
      </c>
      <c r="D243" s="113">
        <f>PR!C241</f>
        <v>52</v>
      </c>
      <c r="E243" s="108">
        <f>IF(F243="ALPHA",PR!$E241,IF(F243="ASSENE",PR!$F241,IF(F243="BIOFEM",PR!$G241,IF(F243="BIOMED",PR!$H241,IF(F243="CHI",PR!$I241,IF(F243="CLARION",PR!$J241,IF(F243="CODIX",PR!$K241,IF(F243="COSMADE",PR!$L241,IF(F243="SANCON",PR!$M241,IF(F243="DEVON",PR!$N241,IF(F243="DORTEMAG",PR!$O241,IF(F243="DGF",PR!$P241,IF(F243="DYNAMIC",PR!$Q241,IF(F243="EMZOR",PR!$R241,IF(F243="EUMATT",PR!$S241,IF(F243="FIDSON",PR!$T241,IF(F243="FCGLOBAL",PR!$U241,IF(F243="GENEITH",PR!$V241,IF(F243="GINOS",PR!$W241,IF(F243="GSK",PR!$X241,IF(F243="GLOBORG",PR!$Y241,IF(F243="GOODNEWS",PR!$Z241,IF(F243="GREENLIFE",PR!$AA241,IF(F243="HLINE",PR!$AB241,IF(F243="ROTECH",PR!$AC241,IF(F243="ISN",PR!$AD241,IF(F243="JAWA",PR!$AE241,IF(F243="LAYO",PR!$AF241,IF(F243="LEADWAY",PR!$AG241,IF(F243="LHV",PR!$AH241,IF(F243="MANOLA",PR!$AI241,IF(F243="MARCSON",PR!$AJ241,IF(F243="M&amp;B",PR!$AK241,IF(F243="MTRUST",PR!$AL241,IF(F243="MWORLD",PR!$AM241,IF(F243="MEGA",PR!$AN241,IF(F243="MICRONOVA",PR!$AO241,IF(F243="MFLASH",PR!$AP241,IF(F243="MORISON",PR!$AQ241,IF(F243="NEMEL",PR!$AR241,IF(F243="NHP",PR!$AS241,IF(F243="NHC",PR!$AT241,IF(F243="OLEAF",PR!$AU241,IF(F243="OCULUS",PR!$AV241,IF(F243="PACIFIC",PR!$AW241,IF(F243="PHAMATEX",PR!$AX241,IF(F243="PETHICS",PR!$AY241,IF(F243="PHILIPS",PR!$AZ241,IF(F243="RANBAXY",PR!$BA241,IF(F243="REALS",PR!$BB241,IF(F243="ROYAL",PR!$BC241,IF(F243="SAM",PR!$BD241,IF(F243="SEAGREEN",PR!$BE241,IF(F243="SKG",PR!$BF241,IF(F243="TAH",PR!$BG241,IF(F243="TAYLEK",PR!$BH241,IF(F243="TEMITA",PR!$BI241,IF(F243="THL",PR!$BJ241,IF(F243="UBASTIC",PR!$BK241,IF(F243="UNION",PR!$BL241,IF(F243="UNIQUE",PR!$BM241,IF(F243="VIXA",PR!$BN241,IF(F243="WWCV",PR!$BO241,IF(F243="ZOLON",PR!$BP241,"-"))))))))))))))))))))))))))))))))))))))))))))))))))))))))))))))))</f>
        <v>650</v>
      </c>
      <c r="F243" s="102" t="str">
        <f>EV!L305</f>
        <v>CLARION</v>
      </c>
      <c r="G243" s="108" t="str">
        <f>IF(H243="ALPHA",PR!$E241,IF(H243="ASSENE",PR!$F241,IF(H243="BIOFEM",PR!$G241,IF(H243="BIOMED",PR!$H241,IF(H243="CHI",PR!$I241,IF(H243="CLARION",PR!$J241,IF(H243="CODIX",PR!$K241,IF(H243="COSMADE",PR!$L241,IF(H243="SANCON",PR!$M241,IF(H243="DEVON",PR!$N241,IF(H243="DORTEMAG",PR!$O241,IF(H243="DGF",PR!$P241,IF(H243="DYNAMIC",PR!$Q241,IF(H243="EMZOR",PR!$R241,IF(H243="EUMATT",PR!$S241,IF(H243="FIDSON",PR!$T241,IF(H243="FCGLOBAL",PR!$U241,IF(H243="GENEITH",PR!$V241,IF(H243="GINOS",PR!$W241,IF(H243="GSK",PR!$X241,IF(H243="GLOBORG",PR!$Y241,IF(H243="GOODNEWS",PR!$Z241,IF(H243="GREENLIFE",PR!$AA241,IF(H243="HLINE",PR!$AB241,IF(H243="ROTECH",PR!$AC241,IF(H243="ISN",PR!$AD241,IF(H243="JAWA",PR!$AE241,IF(H243="LAYO",PR!$AF241,IF(H243="LEADWAY",PR!$AG241,IF(H243="LHV",PR!$AH241,IF(H243="MANOLA",PR!$AI241,IF(H243="MARCSON",PR!$AJ241,IF(H243="M&amp;B",PR!$AK241,IF(H243="MTRUST",PR!$AL241,IF(H243="MWORLD",PR!$AM241,IF(H243="MEGA",PR!$AN241,IF(H243="MICRONOVA",PR!$AO241,IF(H243="MFLASH",PR!$AP241,IF(H243="MORISON",PR!$AQ241,IF(H243="NEMEL",PR!$AR241,IF(H243="NHP",PR!$AS241,IF(H243="NHC",PR!$AT241,IF(H243="OLEAF",PR!$AU241,IF(H243="OCULUS",PR!$AV241,IF(H243="PACIFIC",PR!$AW241,IF(H243="PHAMATEX",PR!$AX241,IF(H243="PETHICS",PR!$AY241,IF(H243="PHILIPS",PR!$AZ241,IF(H243="RANBAXY",PR!$BA241,IF(H243="REALS",PR!$BB241,IF(H243="ROYAL",PR!$BC241,IF(H243="SAM",PR!$BD241,IF(H243="SEAGREEN",PR!$BE241,IF(H243="SKG",PR!$BF241,IF(H243="TAH",PR!$BG241,IF(H243="TAYLEK",PR!$BH241,IF(H243="TEMITA",PR!$BI241,IF(H243="THL",PR!$BJ241,IF(H243="UBASTIC",PR!$BK241,IF(H243="UNION",PR!$BL241,IF(H243="UNIQUE",PR!$BM241,IF(H243="VIXA",PR!$BN241,IF(H243="WWCV",PR!$BO241,IF(H243="ZOLON",PR!$BP241,"-"))))))))))))))))))))))))))))))))))))))))))))))))))))))))))))))))</f>
        <v>-</v>
      </c>
      <c r="H243" s="102">
        <f>EV!M305</f>
        <v>0</v>
      </c>
      <c r="I243" s="108" t="str">
        <f>IF(J243="ALPHA",PR!$E241,IF(J243="ASSENE",PR!$F241,IF(J243="BIOFEM",PR!$G241,IF(J243="BIOMED",PR!$H241,IF(J243="CHI",PR!$I241,IF(J243="CLARION",PR!$J241,IF(J243="CODIX",PR!$K241,IF(J243="COSMADE",PR!$L241,IF(J243="SANCON",PR!$M241,IF(J243="DEVON",PR!$N241,IF(J243="DORTEMAG",PR!$O241,IF(J243="DGF",PR!$P241,IF(J243="DYNAMIC",PR!$Q241,IF(J243="EMZOR",PR!$R241,IF(J243="EUMATT",PR!$S241,IF(J243="FIDSON",PR!$T241,IF(J243="FCGLOBAL",PR!$U241,IF(J243="GENEITH",PR!$V241,IF(J243="GINOS",PR!$W241,IF(J243="GSK",PR!$X241,IF(J243="GLOBORG",PR!$Y241,IF(J243="GOODNEWS",PR!$Z241,IF(J243="GREENLIFE",PR!$AA241,IF(J243="HLINE",PR!$AB241,IF(J243="ROTECH",PR!$AC241,IF(J243="ISN",PR!$AD241,IF(J243="JAWA",PR!$AE241,IF(J243="LAYO",PR!$AF241,IF(J243="LEADWAY",PR!$AG241,IF(J243="LHV",PR!$AH241,IF(J243="MANOLA",PR!$AI241,IF(J243="MARCSON",PR!$AJ241,IF(J243="M&amp;B",PR!$AK241,IF(J243="MTRUST",PR!$AL241,IF(J243="MWORLD",PR!$AM241,IF(J243="MEGA",PR!$AN241,IF(J243="MICRONOVA",PR!$AO241,IF(J243="MFLASH",PR!$AP241,IF(J243="MORISON",PR!$AQ241,IF(J243="NEMEL",PR!$AR241,IF(J243="NHP",PR!$AS241,IF(J243="NHC",PR!$AT241,IF(J243="OLEAF",PR!$AU241,IF(J243="OCULUS",PR!$AV241,IF(J243="PACIFIC",PR!$AW241,IF(J243="PHAMATEX",PR!$AX241,IF(J243="PETHICS",PR!$AY241,IF(J243="PHILIPS",PR!$AZ241,IF(J243="RANBAXY",PR!$BA241,IF(J243="REALS",PR!$BB241,IF(J243="ROYAL",PR!$BC241,IF(J243="SAM",PR!$BD241,IF(J243="SEAGREEN",PR!$BE241,IF(J243="SKG",PR!$BF241,IF(J243="TAH",PR!$BG241,IF(J243="TAYLEK",PR!$BH241,IF(J243="TEMITA",PR!$BI241,IF(J243="THL",PR!$BJ241,IF(J243="UBASTIC",PR!$BK241,IF(J243="UNION",PR!$BL241,IF(J243="UNIQUE",PR!$BM241,IF(J243="VIXA",PR!$BN241,IF(J243="WWCV",PR!$BO241,IF(J243="ZOLON",PR!$BP241,"-"))))))))))))))))))))))))))))))))))))))))))))))))))))))))))))))))</f>
        <v>-</v>
      </c>
      <c r="J243" s="102">
        <f>EV!N305</f>
        <v>0</v>
      </c>
      <c r="K243" s="433" t="s">
        <v>824</v>
      </c>
      <c r="L243" s="183">
        <f>IF(K243&gt;0,IF(K243="ALPHA",PR!$E241,IF(K243="ASSENE",PR!$F241,IF(K243="BIOFEM",PR!$G241,IF(K243="BIOMED",PR!$H241,IF(K243="CHI",PR!$I241,IF(K243="CLARION",PR!$J241,IF(K243="CODIX",PR!$K241,IF(K243="COSMADE",PR!$L241,IF(K243="SANCON",PR!$M241,IF(K243="DEVON",PR!$N241,IF(K243="DORTEMAG",PR!$O241,IF(K243="DGF",PR!$P241,IF(K243="DYNAMIC",PR!$Q241,IF(K243="EMZOR",PR!$R241,IF(K243="EUMATT",PR!$S241,IF(K243="FIDSON",PR!$T241,IF(K243="FCGLOBAL",PR!$U241,IF(K243="GENEITH",PR!$V241,IF(K243="GINOS",PR!$W241,IF(K243="GSK",PR!$X241,IF(K243="GLOBORG",PR!$Y241,IF(K243="GOODNEWS",PR!$Z241,IF(K243="GREENLIFE",PR!$AA241,IF(K243="HLINE",PR!$AB241,IF(K243="ROTECH",PR!$AC241,IF(K243="ISN",PR!$AD241,IF(K243="JAWA",PR!$AE241,IF(K243="LAYO",PR!$AF241,IF(K243="LEADWAY",PR!$AG241,IF(K243="LHV",PR!$AH241,IF(K243="MANOLA",PR!$AI241,IF(K243="MARCSON",PR!$AJ241,IF(K243="M&amp;B",PR!$AK241,IF(K243="MTRUST",PR!$AL241,IF(K243="MWORLD",PR!$AM241,IF(K243="MEGA",PR!$AN241,IF(K243="MICRONOVA",PR!$AO241,IF(K243="MFLASH",PR!$AP241,IF(K243="MORISON",PR!$AQ241,IF(K243="NEMEL",PR!$AR241,IF(K243="NHP",PR!$AS241,IF(K243="NHC",PR!$AT241,IF(K243="OLEAF",PR!$AU241,IF(K243="OCULUS",PR!$AV241,IF(K243="PACIFIC",PR!$AW241,IF(K243="PHAMATEX",PR!$AX241,IF(K243="PETHICS",PR!$AY241,IF(K243="PHILIPS",PR!$AZ241,IF(K243="RANBAXY",PR!$BA241,IF(K243="REALS",PR!$BB241,IF(K243="ROYAL",PR!$BC241,IF(K243="SAM",PR!$BD241,IF(K243="SEAGREEN",PR!$BE241,IF(K243="SKG",PR!$BF241,IF(K243="TAH",PR!$BG241,IF(K243="TAYLEK",PR!$BH241,IF(K243="TEMITA",PR!$BI241,IF(K243="THL",PR!$BJ241,IF(K243="UBASTIC",PR!$BK241,IF(K243="UNION",PR!$BL241,IF(K243="UNIQUE",PR!$BM241,IF(K243="VIXA",PR!$BN241,IF(K243="WWCV",PR!$BO241,IF(K243="ZOLON",PR!$BP241,"-")))))))))))))))))))))))))))))))))))))))))))))))))))))))))))))))))</f>
        <v>650</v>
      </c>
    </row>
    <row r="244" spans="1:12" ht="18.75" x14ac:dyDescent="0.3">
      <c r="A244" s="430">
        <f>PR!A242</f>
        <v>218</v>
      </c>
      <c r="B244" s="15" t="str">
        <f>PR!B242</f>
        <v xml:space="preserve">BENZATHINE PENICILLIN </v>
      </c>
      <c r="C244" s="113" t="str">
        <f>PR!D242</f>
        <v>VIAL</v>
      </c>
      <c r="D244" s="113">
        <f>PR!C242</f>
        <v>100</v>
      </c>
      <c r="E244" s="108" t="str">
        <f>IF(F244="ALPHA",PR!$E242,IF(F244="ASSENE",PR!$F242,IF(F244="BIOFEM",PR!$G242,IF(F244="BIOMED",PR!$H242,IF(F244="CHI",PR!$I242,IF(F244="CLARION",PR!$J242,IF(F244="CODIX",PR!$K242,IF(F244="COSMADE",PR!$L242,IF(F244="SANCON",PR!$M242,IF(F244="DEVON",PR!$N242,IF(F244="DORTEMAG",PR!$O242,IF(F244="DGF",PR!$P242,IF(F244="DYNAMIC",PR!$Q242,IF(F244="EMZOR",PR!$R242,IF(F244="EUMATT",PR!$S242,IF(F244="FIDSON",PR!$T242,IF(F244="FCGLOBAL",PR!$U242,IF(F244="GENEITH",PR!$V242,IF(F244="GINOS",PR!$W242,IF(F244="GSK",PR!$X242,IF(F244="GLOBORG",PR!$Y242,IF(F244="GOODNEWS",PR!$Z242,IF(F244="GREENLIFE",PR!$AA242,IF(F244="HLINE",PR!$AB242,IF(F244="ROTECH",PR!$AC242,IF(F244="ISN",PR!$AD242,IF(F244="JAWA",PR!$AE242,IF(F244="LAYO",PR!$AF242,IF(F244="LEADWAY",PR!$AG242,IF(F244="LHV",PR!$AH242,IF(F244="MANOLA",PR!$AI242,IF(F244="MARCSON",PR!$AJ242,IF(F244="M&amp;B",PR!$AK242,IF(F244="MTRUST",PR!$AL242,IF(F244="MWORLD",PR!$AM242,IF(F244="MEGA",PR!$AN242,IF(F244="MICRONOVA",PR!$AO242,IF(F244="MFLASH",PR!$AP242,IF(F244="MORISON",PR!$AQ242,IF(F244="NEMEL",PR!$AR242,IF(F244="NHP",PR!$AS242,IF(F244="NHC",PR!$AT242,IF(F244="OLEAF",PR!$AU242,IF(F244="OCULUS",PR!$AV242,IF(F244="PACIFIC",PR!$AW242,IF(F244="PHAMATEX",PR!$AX242,IF(F244="PETHICS",PR!$AY242,IF(F244="PHILIPS",PR!$AZ242,IF(F244="RANBAXY",PR!$BA242,IF(F244="REALS",PR!$BB242,IF(F244="ROYAL",PR!$BC242,IF(F244="SAM",PR!$BD242,IF(F244="SEAGREEN",PR!$BE242,IF(F244="SKG",PR!$BF242,IF(F244="TAH",PR!$BG242,IF(F244="TAYLEK",PR!$BH242,IF(F244="TEMITA",PR!$BI242,IF(F244="THL",PR!$BJ242,IF(F244="UBASTIC",PR!$BK242,IF(F244="UNION",PR!$BL242,IF(F244="UNIQUE",PR!$BM242,IF(F244="VIXA",PR!$BN242,IF(F244="WWCV",PR!$BO242,IF(F244="ZOLON",PR!$BP242,"-"))))))))))))))))))))))))))))))))))))))))))))))))))))))))))))))))</f>
        <v>-</v>
      </c>
      <c r="F244" s="102">
        <f>EV!L306</f>
        <v>0</v>
      </c>
      <c r="G244" s="108" t="str">
        <f>IF(H244="ALPHA",PR!$E242,IF(H244="ASSENE",PR!$F242,IF(H244="BIOFEM",PR!$G242,IF(H244="BIOMED",PR!$H242,IF(H244="CHI",PR!$I242,IF(H244="CLARION",PR!$J242,IF(H244="CODIX",PR!$K242,IF(H244="COSMADE",PR!$L242,IF(H244="SANCON",PR!$M242,IF(H244="DEVON",PR!$N242,IF(H244="DORTEMAG",PR!$O242,IF(H244="DGF",PR!$P242,IF(H244="DYNAMIC",PR!$Q242,IF(H244="EMZOR",PR!$R242,IF(H244="EUMATT",PR!$S242,IF(H244="FIDSON",PR!$T242,IF(H244="FCGLOBAL",PR!$U242,IF(H244="GENEITH",PR!$V242,IF(H244="GINOS",PR!$W242,IF(H244="GSK",PR!$X242,IF(H244="GLOBORG",PR!$Y242,IF(H244="GOODNEWS",PR!$Z242,IF(H244="GREENLIFE",PR!$AA242,IF(H244="HLINE",PR!$AB242,IF(H244="ROTECH",PR!$AC242,IF(H244="ISN",PR!$AD242,IF(H244="JAWA",PR!$AE242,IF(H244="LAYO",PR!$AF242,IF(H244="LEADWAY",PR!$AG242,IF(H244="LHV",PR!$AH242,IF(H244="MANOLA",PR!$AI242,IF(H244="MARCSON",PR!$AJ242,IF(H244="M&amp;B",PR!$AK242,IF(H244="MTRUST",PR!$AL242,IF(H244="MWORLD",PR!$AM242,IF(H244="MEGA",PR!$AN242,IF(H244="MICRONOVA",PR!$AO242,IF(H244="MFLASH",PR!$AP242,IF(H244="MORISON",PR!$AQ242,IF(H244="NEMEL",PR!$AR242,IF(H244="NHP",PR!$AS242,IF(H244="NHC",PR!$AT242,IF(H244="OLEAF",PR!$AU242,IF(H244="OCULUS",PR!$AV242,IF(H244="PACIFIC",PR!$AW242,IF(H244="PHAMATEX",PR!$AX242,IF(H244="PETHICS",PR!$AY242,IF(H244="PHILIPS",PR!$AZ242,IF(H244="RANBAXY",PR!$BA242,IF(H244="REALS",PR!$BB242,IF(H244="ROYAL",PR!$BC242,IF(H244="SAM",PR!$BD242,IF(H244="SEAGREEN",PR!$BE242,IF(H244="SKG",PR!$BF242,IF(H244="TAH",PR!$BG242,IF(H244="TAYLEK",PR!$BH242,IF(H244="TEMITA",PR!$BI242,IF(H244="THL",PR!$BJ242,IF(H244="UBASTIC",PR!$BK242,IF(H244="UNION",PR!$BL242,IF(H244="UNIQUE",PR!$BM242,IF(H244="VIXA",PR!$BN242,IF(H244="WWCV",PR!$BO242,IF(H244="ZOLON",PR!$BP242,"-"))))))))))))))))))))))))))))))))))))))))))))))))))))))))))))))))</f>
        <v>-</v>
      </c>
      <c r="H244" s="102">
        <f>EV!M306</f>
        <v>0</v>
      </c>
      <c r="I244" s="108" t="str">
        <f>IF(J244="ALPHA",PR!$E242,IF(J244="ASSENE",PR!$F242,IF(J244="BIOFEM",PR!$G242,IF(J244="BIOMED",PR!$H242,IF(J244="CHI",PR!$I242,IF(J244="CLARION",PR!$J242,IF(J244="CODIX",PR!$K242,IF(J244="COSMADE",PR!$L242,IF(J244="SANCON",PR!$M242,IF(J244="DEVON",PR!$N242,IF(J244="DORTEMAG",PR!$O242,IF(J244="DGF",PR!$P242,IF(J244="DYNAMIC",PR!$Q242,IF(J244="EMZOR",PR!$R242,IF(J244="EUMATT",PR!$S242,IF(J244="FIDSON",PR!$T242,IF(J244="FCGLOBAL",PR!$U242,IF(J244="GENEITH",PR!$V242,IF(J244="GINOS",PR!$W242,IF(J244="GSK",PR!$X242,IF(J244="GLOBORG",PR!$Y242,IF(J244="GOODNEWS",PR!$Z242,IF(J244="GREENLIFE",PR!$AA242,IF(J244="HLINE",PR!$AB242,IF(J244="ROTECH",PR!$AC242,IF(J244="ISN",PR!$AD242,IF(J244="JAWA",PR!$AE242,IF(J244="LAYO",PR!$AF242,IF(J244="LEADWAY",PR!$AG242,IF(J244="LHV",PR!$AH242,IF(J244="MANOLA",PR!$AI242,IF(J244="MARCSON",PR!$AJ242,IF(J244="M&amp;B",PR!$AK242,IF(J244="MTRUST",PR!$AL242,IF(J244="MWORLD",PR!$AM242,IF(J244="MEGA",PR!$AN242,IF(J244="MICRONOVA",PR!$AO242,IF(J244="MFLASH",PR!$AP242,IF(J244="MORISON",PR!$AQ242,IF(J244="NEMEL",PR!$AR242,IF(J244="NHP",PR!$AS242,IF(J244="NHC",PR!$AT242,IF(J244="OLEAF",PR!$AU242,IF(J244="OCULUS",PR!$AV242,IF(J244="PACIFIC",PR!$AW242,IF(J244="PHAMATEX",PR!$AX242,IF(J244="PETHICS",PR!$AY242,IF(J244="PHILIPS",PR!$AZ242,IF(J244="RANBAXY",PR!$BA242,IF(J244="REALS",PR!$BB242,IF(J244="ROYAL",PR!$BC242,IF(J244="SAM",PR!$BD242,IF(J244="SEAGREEN",PR!$BE242,IF(J244="SKG",PR!$BF242,IF(J244="TAH",PR!$BG242,IF(J244="TAYLEK",PR!$BH242,IF(J244="TEMITA",PR!$BI242,IF(J244="THL",PR!$BJ242,IF(J244="UBASTIC",PR!$BK242,IF(J244="UNION",PR!$BL242,IF(J244="UNIQUE",PR!$BM242,IF(J244="VIXA",PR!$BN242,IF(J244="WWCV",PR!$BO242,IF(J244="ZOLON",PR!$BP242,"-"))))))))))))))))))))))))))))))))))))))))))))))))))))))))))))))))</f>
        <v>-</v>
      </c>
      <c r="J244" s="102">
        <f>EV!N306</f>
        <v>0</v>
      </c>
      <c r="K244" s="433"/>
      <c r="L244" s="183" t="b">
        <f>IF(K244&gt;0,IF(K244="ALPHA",PR!$E242,IF(K244="ASSENE",PR!$F242,IF(K244="BIOFEM",PR!$G242,IF(K244="BIOMED",PR!$H242,IF(K244="CHI",PR!$I242,IF(K244="CLARION",PR!$J242,IF(K244="CODIX",PR!$K242,IF(K244="COSMADE",PR!$L242,IF(K244="SANCON",PR!$M242,IF(K244="DEVON",PR!$N242,IF(K244="DORTEMAG",PR!$O242,IF(K244="DGF",PR!$P242,IF(K244="DYNAMIC",PR!$Q242,IF(K244="EMZOR",PR!$R242,IF(K244="EUMATT",PR!$S242,IF(K244="FIDSON",PR!$T242,IF(K244="FCGLOBAL",PR!$U242,IF(K244="GENEITH",PR!$V242,IF(K244="GINOS",PR!$W242,IF(K244="GSK",PR!$X242,IF(K244="GLOBORG",PR!$Y242,IF(K244="GOODNEWS",PR!$Z242,IF(K244="GREENLIFE",PR!$AA242,IF(K244="HLINE",PR!$AB242,IF(K244="ROTECH",PR!$AC242,IF(K244="ISN",PR!$AD242,IF(K244="JAWA",PR!$AE242,IF(K244="LAYO",PR!$AF242,IF(K244="LEADWAY",PR!$AG242,IF(K244="LHV",PR!$AH242,IF(K244="MANOLA",PR!$AI242,IF(K244="MARCSON",PR!$AJ242,IF(K244="M&amp;B",PR!$AK242,IF(K244="MTRUST",PR!$AL242,IF(K244="MWORLD",PR!$AM242,IF(K244="MEGA",PR!$AN242,IF(K244="MICRONOVA",PR!$AO242,IF(K244="MFLASH",PR!$AP242,IF(K244="MORISON",PR!$AQ242,IF(K244="NEMEL",PR!$AR242,IF(K244="NHP",PR!$AS242,IF(K244="NHC",PR!$AT242,IF(K244="OLEAF",PR!$AU242,IF(K244="OCULUS",PR!$AV242,IF(K244="PACIFIC",PR!$AW242,IF(K244="PHAMATEX",PR!$AX242,IF(K244="PETHICS",PR!$AY242,IF(K244="PHILIPS",PR!$AZ242,IF(K244="RANBAXY",PR!$BA242,IF(K244="REALS",PR!$BB242,IF(K244="ROYAL",PR!$BC242,IF(K244="SAM",PR!$BD242,IF(K244="SEAGREEN",PR!$BE242,IF(K244="SKG",PR!$BF242,IF(K244="TAH",PR!$BG242,IF(K244="TAYLEK",PR!$BH242,IF(K244="TEMITA",PR!$BI242,IF(K244="THL",PR!$BJ242,IF(K244="UBASTIC",PR!$BK242,IF(K244="UNION",PR!$BL242,IF(K244="UNIQUE",PR!$BM242,IF(K244="VIXA",PR!$BN242,IF(K244="WWCV",PR!$BO242,IF(K244="ZOLON",PR!$BP242,"-")))))))))))))))))))))))))))))))))))))))))))))))))))))))))))))))))</f>
        <v>0</v>
      </c>
    </row>
    <row r="245" spans="1:12" ht="18.75" x14ac:dyDescent="0.3">
      <c r="A245" s="430">
        <f>PR!A243</f>
        <v>219</v>
      </c>
      <c r="B245" s="15" t="str">
        <f>PR!B243</f>
        <v>CEFIXIME + SULBACTAM SUSPENSION</v>
      </c>
      <c r="C245" s="113" t="str">
        <f>PR!D243</f>
        <v>BOTT</v>
      </c>
      <c r="D245" s="113">
        <f>PR!C243</f>
        <v>100</v>
      </c>
      <c r="E245" s="108">
        <f>IF(F245="ALPHA",PR!$E243,IF(F245="ASSENE",PR!$F243,IF(F245="BIOFEM",PR!$G243,IF(F245="BIOMED",PR!$H243,IF(F245="CHI",PR!$I243,IF(F245="CLARION",PR!$J243,IF(F245="CODIX",PR!$K243,IF(F245="COSMADE",PR!$L243,IF(F245="SANCON",PR!$M243,IF(F245="DEVON",PR!$N243,IF(F245="DORTEMAG",PR!$O243,IF(F245="DGF",PR!$P243,IF(F245="DYNAMIC",PR!$Q243,IF(F245="EMZOR",PR!$R243,IF(F245="EUMATT",PR!$S243,IF(F245="FIDSON",PR!$T243,IF(F245="FCGLOBAL",PR!$U243,IF(F245="GENEITH",PR!$V243,IF(F245="GINOS",PR!$W243,IF(F245="GSK",PR!$X243,IF(F245="GLOBORG",PR!$Y243,IF(F245="GOODNEWS",PR!$Z243,IF(F245="GREENLIFE",PR!$AA243,IF(F245="HLINE",PR!$AB243,IF(F245="ROTECH",PR!$AC243,IF(F245="ISN",PR!$AD243,IF(F245="JAWA",PR!$AE243,IF(F245="LAYO",PR!$AF243,IF(F245="LEADWAY",PR!$AG243,IF(F245="LHV",PR!$AH243,IF(F245="MANOLA",PR!$AI243,IF(F245="MARCSON",PR!$AJ243,IF(F245="M&amp;B",PR!$AK243,IF(F245="MTRUST",PR!$AL243,IF(F245="MWORLD",PR!$AM243,IF(F245="MEGA",PR!$AN243,IF(F245="MICRONOVA",PR!$AO243,IF(F245="MFLASH",PR!$AP243,IF(F245="MORISON",PR!$AQ243,IF(F245="NEMEL",PR!$AR243,IF(F245="NHP",PR!$AS243,IF(F245="NHC",PR!$AT243,IF(F245="OLEAF",PR!$AU243,IF(F245="OCULUS",PR!$AV243,IF(F245="PACIFIC",PR!$AW243,IF(F245="PHAMATEX",PR!$AX243,IF(F245="PETHICS",PR!$AY243,IF(F245="PHILIPS",PR!$AZ243,IF(F245="RANBAXY",PR!$BA243,IF(F245="REALS",PR!$BB243,IF(F245="ROYAL",PR!$BC243,IF(F245="SAM",PR!$BD243,IF(F245="SEAGREEN",PR!$BE243,IF(F245="SKG",PR!$BF243,IF(F245="TAH",PR!$BG243,IF(F245="TAYLEK",PR!$BH243,IF(F245="TEMITA",PR!$BI243,IF(F245="THL",PR!$BJ243,IF(F245="UBASTIC",PR!$BK243,IF(F245="UNION",PR!$BL243,IF(F245="UNIQUE",PR!$BM243,IF(F245="VIXA",PR!$BN243,IF(F245="WWCV",PR!$BO243,IF(F245="ZOLON",PR!$BP243,"-"))))))))))))))))))))))))))))))))))))))))))))))))))))))))))))))))</f>
        <v>1500</v>
      </c>
      <c r="F245" s="102" t="str">
        <f>EV!L307</f>
        <v>MARCSON</v>
      </c>
      <c r="G245" s="108" t="str">
        <f>IF(H245="ALPHA",PR!$E243,IF(H245="ASSENE",PR!$F243,IF(H245="BIOFEM",PR!$G243,IF(H245="BIOMED",PR!$H243,IF(H245="CHI",PR!$I243,IF(H245="CLARION",PR!$J243,IF(H245="CODIX",PR!$K243,IF(H245="COSMADE",PR!$L243,IF(H245="SANCON",PR!$M243,IF(H245="DEVON",PR!$N243,IF(H245="DORTEMAG",PR!$O243,IF(H245="DGF",PR!$P243,IF(H245="DYNAMIC",PR!$Q243,IF(H245="EMZOR",PR!$R243,IF(H245="EUMATT",PR!$S243,IF(H245="FIDSON",PR!$T243,IF(H245="FCGLOBAL",PR!$U243,IF(H245="GENEITH",PR!$V243,IF(H245="GINOS",PR!$W243,IF(H245="GSK",PR!$X243,IF(H245="GLOBORG",PR!$Y243,IF(H245="GOODNEWS",PR!$Z243,IF(H245="GREENLIFE",PR!$AA243,IF(H245="HLINE",PR!$AB243,IF(H245="ROTECH",PR!$AC243,IF(H245="ISN",PR!$AD243,IF(H245="JAWA",PR!$AE243,IF(H245="LAYO",PR!$AF243,IF(H245="LEADWAY",PR!$AG243,IF(H245="LHV",PR!$AH243,IF(H245="MANOLA",PR!$AI243,IF(H245="MARCSON",PR!$AJ243,IF(H245="M&amp;B",PR!$AK243,IF(H245="MTRUST",PR!$AL243,IF(H245="MWORLD",PR!$AM243,IF(H245="MEGA",PR!$AN243,IF(H245="MICRONOVA",PR!$AO243,IF(H245="MFLASH",PR!$AP243,IF(H245="MORISON",PR!$AQ243,IF(H245="NEMEL",PR!$AR243,IF(H245="NHP",PR!$AS243,IF(H245="NHC",PR!$AT243,IF(H245="OLEAF",PR!$AU243,IF(H245="OCULUS",PR!$AV243,IF(H245="PACIFIC",PR!$AW243,IF(H245="PHAMATEX",PR!$AX243,IF(H245="PETHICS",PR!$AY243,IF(H245="PHILIPS",PR!$AZ243,IF(H245="RANBAXY",PR!$BA243,IF(H245="REALS",PR!$BB243,IF(H245="ROYAL",PR!$BC243,IF(H245="SAM",PR!$BD243,IF(H245="SEAGREEN",PR!$BE243,IF(H245="SKG",PR!$BF243,IF(H245="TAH",PR!$BG243,IF(H245="TAYLEK",PR!$BH243,IF(H245="TEMITA",PR!$BI243,IF(H245="THL",PR!$BJ243,IF(H245="UBASTIC",PR!$BK243,IF(H245="UNION",PR!$BL243,IF(H245="UNIQUE",PR!$BM243,IF(H245="VIXA",PR!$BN243,IF(H245="WWCV",PR!$BO243,IF(H245="ZOLON",PR!$BP243,"-"))))))))))))))))))))))))))))))))))))))))))))))))))))))))))))))))</f>
        <v>-</v>
      </c>
      <c r="H245" s="102">
        <f>EV!M307</f>
        <v>0</v>
      </c>
      <c r="I245" s="108" t="str">
        <f>IF(J245="ALPHA",PR!$E243,IF(J245="ASSENE",PR!$F243,IF(J245="BIOFEM",PR!$G243,IF(J245="BIOMED",PR!$H243,IF(J245="CHI",PR!$I243,IF(J245="CLARION",PR!$J243,IF(J245="CODIX",PR!$K243,IF(J245="COSMADE",PR!$L243,IF(J245="SANCON",PR!$M243,IF(J245="DEVON",PR!$N243,IF(J245="DORTEMAG",PR!$O243,IF(J245="DGF",PR!$P243,IF(J245="DYNAMIC",PR!$Q243,IF(J245="EMZOR",PR!$R243,IF(J245="EUMATT",PR!$S243,IF(J245="FIDSON",PR!$T243,IF(J245="FCGLOBAL",PR!$U243,IF(J245="GENEITH",PR!$V243,IF(J245="GINOS",PR!$W243,IF(J245="GSK",PR!$X243,IF(J245="GLOBORG",PR!$Y243,IF(J245="GOODNEWS",PR!$Z243,IF(J245="GREENLIFE",PR!$AA243,IF(J245="HLINE",PR!$AB243,IF(J245="ROTECH",PR!$AC243,IF(J245="ISN",PR!$AD243,IF(J245="JAWA",PR!$AE243,IF(J245="LAYO",PR!$AF243,IF(J245="LEADWAY",PR!$AG243,IF(J245="LHV",PR!$AH243,IF(J245="MANOLA",PR!$AI243,IF(J245="MARCSON",PR!$AJ243,IF(J245="M&amp;B",PR!$AK243,IF(J245="MTRUST",PR!$AL243,IF(J245="MWORLD",PR!$AM243,IF(J245="MEGA",PR!$AN243,IF(J245="MICRONOVA",PR!$AO243,IF(J245="MFLASH",PR!$AP243,IF(J245="MORISON",PR!$AQ243,IF(J245="NEMEL",PR!$AR243,IF(J245="NHP",PR!$AS243,IF(J245="NHC",PR!$AT243,IF(J245="OLEAF",PR!$AU243,IF(J245="OCULUS",PR!$AV243,IF(J245="PACIFIC",PR!$AW243,IF(J245="PHAMATEX",PR!$AX243,IF(J245="PETHICS",PR!$AY243,IF(J245="PHILIPS",PR!$AZ243,IF(J245="RANBAXY",PR!$BA243,IF(J245="REALS",PR!$BB243,IF(J245="ROYAL",PR!$BC243,IF(J245="SAM",PR!$BD243,IF(J245="SEAGREEN",PR!$BE243,IF(J245="SKG",PR!$BF243,IF(J245="TAH",PR!$BG243,IF(J245="TAYLEK",PR!$BH243,IF(J245="TEMITA",PR!$BI243,IF(J245="THL",PR!$BJ243,IF(J245="UBASTIC",PR!$BK243,IF(J245="UNION",PR!$BL243,IF(J245="UNIQUE",PR!$BM243,IF(J245="VIXA",PR!$BN243,IF(J245="WWCV",PR!$BO243,IF(J245="ZOLON",PR!$BP243,"-"))))))))))))))))))))))))))))))))))))))))))))))))))))))))))))))))</f>
        <v>-</v>
      </c>
      <c r="J245" s="102">
        <f>EV!N307</f>
        <v>0</v>
      </c>
      <c r="K245" s="433" t="s">
        <v>823</v>
      </c>
      <c r="L245" s="183">
        <f>IF(K245&gt;0,IF(K245="ALPHA",PR!$E243,IF(K245="ASSENE",PR!$F243,IF(K245="BIOFEM",PR!$G243,IF(K245="BIOMED",PR!$H243,IF(K245="CHI",PR!$I243,IF(K245="CLARION",PR!$J243,IF(K245="CODIX",PR!$K243,IF(K245="COSMADE",PR!$L243,IF(K245="SANCON",PR!$M243,IF(K245="DEVON",PR!$N243,IF(K245="DORTEMAG",PR!$O243,IF(K245="DGF",PR!$P243,IF(K245="DYNAMIC",PR!$Q243,IF(K245="EMZOR",PR!$R243,IF(K245="EUMATT",PR!$S243,IF(K245="FIDSON",PR!$T243,IF(K245="FCGLOBAL",PR!$U243,IF(K245="GENEITH",PR!$V243,IF(K245="GINOS",PR!$W243,IF(K245="GSK",PR!$X243,IF(K245="GLOBORG",PR!$Y243,IF(K245="GOODNEWS",PR!$Z243,IF(K245="GREENLIFE",PR!$AA243,IF(K245="HLINE",PR!$AB243,IF(K245="ROTECH",PR!$AC243,IF(K245="ISN",PR!$AD243,IF(K245="JAWA",PR!$AE243,IF(K245="LAYO",PR!$AF243,IF(K245="LEADWAY",PR!$AG243,IF(K245="LHV",PR!$AH243,IF(K245="MANOLA",PR!$AI243,IF(K245="MARCSON",PR!$AJ243,IF(K245="M&amp;B",PR!$AK243,IF(K245="MTRUST",PR!$AL243,IF(K245="MWORLD",PR!$AM243,IF(K245="MEGA",PR!$AN243,IF(K245="MICRONOVA",PR!$AO243,IF(K245="MFLASH",PR!$AP243,IF(K245="MORISON",PR!$AQ243,IF(K245="NEMEL",PR!$AR243,IF(K245="NHP",PR!$AS243,IF(K245="NHC",PR!$AT243,IF(K245="OLEAF",PR!$AU243,IF(K245="OCULUS",PR!$AV243,IF(K245="PACIFIC",PR!$AW243,IF(K245="PHAMATEX",PR!$AX243,IF(K245="PETHICS",PR!$AY243,IF(K245="PHILIPS",PR!$AZ243,IF(K245="RANBAXY",PR!$BA243,IF(K245="REALS",PR!$BB243,IF(K245="ROYAL",PR!$BC243,IF(K245="SAM",PR!$BD243,IF(K245="SEAGREEN",PR!$BE243,IF(K245="SKG",PR!$BF243,IF(K245="TAH",PR!$BG243,IF(K245="TAYLEK",PR!$BH243,IF(K245="TEMITA",PR!$BI243,IF(K245="THL",PR!$BJ243,IF(K245="UBASTIC",PR!$BK243,IF(K245="UNION",PR!$BL243,IF(K245="UNIQUE",PR!$BM243,IF(K245="VIXA",PR!$BN243,IF(K245="WWCV",PR!$BO243,IF(K245="ZOLON",PR!$BP243,"-")))))))))))))))))))))))))))))))))))))))))))))))))))))))))))))))))</f>
        <v>1500</v>
      </c>
    </row>
    <row r="246" spans="1:12" ht="18.75" x14ac:dyDescent="0.3">
      <c r="A246" s="430">
        <f>PR!A244</f>
        <v>220</v>
      </c>
      <c r="B246" s="15" t="str">
        <f>PR!B244</f>
        <v>CEFIXIME 200MG TAB</v>
      </c>
      <c r="C246" s="113">
        <f>PR!D244</f>
        <v>10</v>
      </c>
      <c r="D246" s="113">
        <f>PR!C244</f>
        <v>400</v>
      </c>
      <c r="E246" s="108">
        <f>IF(F246="ALPHA",PR!$E244,IF(F246="ASSENE",PR!$F244,IF(F246="BIOFEM",PR!$G244,IF(F246="BIOMED",PR!$H244,IF(F246="CHI",PR!$I244,IF(F246="CLARION",PR!$J244,IF(F246="CODIX",PR!$K244,IF(F246="COSMADE",PR!$L244,IF(F246="SANCON",PR!$M244,IF(F246="DEVON",PR!$N244,IF(F246="DORTEMAG",PR!$O244,IF(F246="DGF",PR!$P244,IF(F246="DYNAMIC",PR!$Q244,IF(F246="EMZOR",PR!$R244,IF(F246="EUMATT",PR!$S244,IF(F246="FIDSON",PR!$T244,IF(F246="FCGLOBAL",PR!$U244,IF(F246="GENEITH",PR!$V244,IF(F246="GINOS",PR!$W244,IF(F246="GSK",PR!$X244,IF(F246="GLOBORG",PR!$Y244,IF(F246="GOODNEWS",PR!$Z244,IF(F246="GREENLIFE",PR!$AA244,IF(F246="HLINE",PR!$AB244,IF(F246="ROTECH",PR!$AC244,IF(F246="ISN",PR!$AD244,IF(F246="JAWA",PR!$AE244,IF(F246="LAYO",PR!$AF244,IF(F246="LEADWAY",PR!$AG244,IF(F246="LHV",PR!$AH244,IF(F246="MANOLA",PR!$AI244,IF(F246="MARCSON",PR!$AJ244,IF(F246="M&amp;B",PR!$AK244,IF(F246="MTRUST",PR!$AL244,IF(F246="MWORLD",PR!$AM244,IF(F246="MEGA",PR!$AN244,IF(F246="MICRONOVA",PR!$AO244,IF(F246="MFLASH",PR!$AP244,IF(F246="MORISON",PR!$AQ244,IF(F246="NEMEL",PR!$AR244,IF(F246="NHP",PR!$AS244,IF(F246="NHC",PR!$AT244,IF(F246="OLEAF",PR!$AU244,IF(F246="OCULUS",PR!$AV244,IF(F246="PACIFIC",PR!$AW244,IF(F246="PHAMATEX",PR!$AX244,IF(F246="PETHICS",PR!$AY244,IF(F246="PHILIPS",PR!$AZ244,IF(F246="RANBAXY",PR!$BA244,IF(F246="REALS",PR!$BB244,IF(F246="ROYAL",PR!$BC244,IF(F246="SAM",PR!$BD244,IF(F246="SEAGREEN",PR!$BE244,IF(F246="SKG",PR!$BF244,IF(F246="TAH",PR!$BG244,IF(F246="TAYLEK",PR!$BH244,IF(F246="TEMITA",PR!$BI244,IF(F246="THL",PR!$BJ244,IF(F246="UBASTIC",PR!$BK244,IF(F246="UNION",PR!$BL244,IF(F246="UNIQUE",PR!$BM244,IF(F246="VIXA",PR!$BN244,IF(F246="WWCV",PR!$BO244,IF(F246="ZOLON",PR!$BP244,"-"))))))))))))))))))))))))))))))))))))))))))))))))))))))))))))))))</f>
        <v>550</v>
      </c>
      <c r="F246" s="102" t="str">
        <f>EV!L308</f>
        <v>GREENLIFE</v>
      </c>
      <c r="G246" s="108">
        <f>IF(H246="ALPHA",PR!$E244,IF(H246="ASSENE",PR!$F244,IF(H246="BIOFEM",PR!$G244,IF(H246="BIOMED",PR!$H244,IF(H246="CHI",PR!$I244,IF(H246="CLARION",PR!$J244,IF(H246="CODIX",PR!$K244,IF(H246="COSMADE",PR!$L244,IF(H246="SANCON",PR!$M244,IF(H246="DEVON",PR!$N244,IF(H246="DORTEMAG",PR!$O244,IF(H246="DGF",PR!$P244,IF(H246="DYNAMIC",PR!$Q244,IF(H246="EMZOR",PR!$R244,IF(H246="EUMATT",PR!$S244,IF(H246="FIDSON",PR!$T244,IF(H246="FCGLOBAL",PR!$U244,IF(H246="GENEITH",PR!$V244,IF(H246="GINOS",PR!$W244,IF(H246="GSK",PR!$X244,IF(H246="GLOBORG",PR!$Y244,IF(H246="GOODNEWS",PR!$Z244,IF(H246="GREENLIFE",PR!$AA244,IF(H246="HLINE",PR!$AB244,IF(H246="ROTECH",PR!$AC244,IF(H246="ISN",PR!$AD244,IF(H246="JAWA",PR!$AE244,IF(H246="LAYO",PR!$AF244,IF(H246="LEADWAY",PR!$AG244,IF(H246="LHV",PR!$AH244,IF(H246="MANOLA",PR!$AI244,IF(H246="MARCSON",PR!$AJ244,IF(H246="M&amp;B",PR!$AK244,IF(H246="MTRUST",PR!$AL244,IF(H246="MWORLD",PR!$AM244,IF(H246="MEGA",PR!$AN244,IF(H246="MICRONOVA",PR!$AO244,IF(H246="MFLASH",PR!$AP244,IF(H246="MORISON",PR!$AQ244,IF(H246="NEMEL",PR!$AR244,IF(H246="NHP",PR!$AS244,IF(H246="NHC",PR!$AT244,IF(H246="OLEAF",PR!$AU244,IF(H246="OCULUS",PR!$AV244,IF(H246="PACIFIC",PR!$AW244,IF(H246="PHAMATEX",PR!$AX244,IF(H246="PETHICS",PR!$AY244,IF(H246="PHILIPS",PR!$AZ244,IF(H246="RANBAXY",PR!$BA244,IF(H246="REALS",PR!$BB244,IF(H246="ROYAL",PR!$BC244,IF(H246="SAM",PR!$BD244,IF(H246="SEAGREEN",PR!$BE244,IF(H246="SKG",PR!$BF244,IF(H246="TAH",PR!$BG244,IF(H246="TAYLEK",PR!$BH244,IF(H246="TEMITA",PR!$BI244,IF(H246="THL",PR!$BJ244,IF(H246="UBASTIC",PR!$BK244,IF(H246="UNION",PR!$BL244,IF(H246="UNIQUE",PR!$BM244,IF(H246="VIXA",PR!$BN244,IF(H246="WWCV",PR!$BO244,IF(H246="ZOLON",PR!$BP244,"-"))))))))))))))))))))))))))))))))))))))))))))))))))))))))))))))))</f>
        <v>600</v>
      </c>
      <c r="H246" s="102" t="str">
        <f>EV!M308</f>
        <v>TAH</v>
      </c>
      <c r="I246" s="108">
        <f>IF(J246="ALPHA",PR!$E244,IF(J246="ASSENE",PR!$F244,IF(J246="BIOFEM",PR!$G244,IF(J246="BIOMED",PR!$H244,IF(J246="CHI",PR!$I244,IF(J246="CLARION",PR!$J244,IF(J246="CODIX",PR!$K244,IF(J246="COSMADE",PR!$L244,IF(J246="SANCON",PR!$M244,IF(J246="DEVON",PR!$N244,IF(J246="DORTEMAG",PR!$O244,IF(J246="DGF",PR!$P244,IF(J246="DYNAMIC",PR!$Q244,IF(J246="EMZOR",PR!$R244,IF(J246="EUMATT",PR!$S244,IF(J246="FIDSON",PR!$T244,IF(J246="FCGLOBAL",PR!$U244,IF(J246="GENEITH",PR!$V244,IF(J246="GINOS",PR!$W244,IF(J246="GSK",PR!$X244,IF(J246="GLOBORG",PR!$Y244,IF(J246="GOODNEWS",PR!$Z244,IF(J246="GREENLIFE",PR!$AA244,IF(J246="HLINE",PR!$AB244,IF(J246="ROTECH",PR!$AC244,IF(J246="ISN",PR!$AD244,IF(J246="JAWA",PR!$AE244,IF(J246="LAYO",PR!$AF244,IF(J246="LEADWAY",PR!$AG244,IF(J246="LHV",PR!$AH244,IF(J246="MANOLA",PR!$AI244,IF(J246="MARCSON",PR!$AJ244,IF(J246="M&amp;B",PR!$AK244,IF(J246="MTRUST",PR!$AL244,IF(J246="MWORLD",PR!$AM244,IF(J246="MEGA",PR!$AN244,IF(J246="MICRONOVA",PR!$AO244,IF(J246="MFLASH",PR!$AP244,IF(J246="MORISON",PR!$AQ244,IF(J246="NEMEL",PR!$AR244,IF(J246="NHP",PR!$AS244,IF(J246="NHC",PR!$AT244,IF(J246="OLEAF",PR!$AU244,IF(J246="OCULUS",PR!$AV244,IF(J246="PACIFIC",PR!$AW244,IF(J246="PHAMATEX",PR!$AX244,IF(J246="PETHICS",PR!$AY244,IF(J246="PHILIPS",PR!$AZ244,IF(J246="RANBAXY",PR!$BA244,IF(J246="REALS",PR!$BB244,IF(J246="ROYAL",PR!$BC244,IF(J246="SAM",PR!$BD244,IF(J246="SEAGREEN",PR!$BE244,IF(J246="SKG",PR!$BF244,IF(J246="TAH",PR!$BG244,IF(J246="TAYLEK",PR!$BH244,IF(J246="TEMITA",PR!$BI244,IF(J246="THL",PR!$BJ244,IF(J246="UBASTIC",PR!$BK244,IF(J246="UNION",PR!$BL244,IF(J246="UNIQUE",PR!$BM244,IF(J246="VIXA",PR!$BN244,IF(J246="WWCV",PR!$BO244,IF(J246="ZOLON",PR!$BP244,"-"))))))))))))))))))))))))))))))))))))))))))))))))))))))))))))))))</f>
        <v>670</v>
      </c>
      <c r="J246" s="102" t="str">
        <f>EV!N308</f>
        <v>MFLASH</v>
      </c>
      <c r="K246" s="433" t="s">
        <v>635</v>
      </c>
      <c r="L246" s="183">
        <f>IF(K246&gt;0,IF(K246="ALPHA",PR!$E244,IF(K246="ASSENE",PR!$F244,IF(K246="BIOFEM",PR!$G244,IF(K246="BIOMED",PR!$H244,IF(K246="CHI",PR!$I244,IF(K246="CLARION",PR!$J244,IF(K246="CODIX",PR!$K244,IF(K246="COSMADE",PR!$L244,IF(K246="SANCON",PR!$M244,IF(K246="DEVON",PR!$N244,IF(K246="DORTEMAG",PR!$O244,IF(K246="DGF",PR!$P244,IF(K246="DYNAMIC",PR!$Q244,IF(K246="EMZOR",PR!$R244,IF(K246="EUMATT",PR!$S244,IF(K246="FIDSON",PR!$T244,IF(K246="FCGLOBAL",PR!$U244,IF(K246="GENEITH",PR!$V244,IF(K246="GINOS",PR!$W244,IF(K246="GSK",PR!$X244,IF(K246="GLOBORG",PR!$Y244,IF(K246="GOODNEWS",PR!$Z244,IF(K246="GREENLIFE",PR!$AA244,IF(K246="HLINE",PR!$AB244,IF(K246="ROTECH",PR!$AC244,IF(K246="ISN",PR!$AD244,IF(K246="JAWA",PR!$AE244,IF(K246="LAYO",PR!$AF244,IF(K246="LEADWAY",PR!$AG244,IF(K246="LHV",PR!$AH244,IF(K246="MANOLA",PR!$AI244,IF(K246="MARCSON",PR!$AJ244,IF(K246="M&amp;B",PR!$AK244,IF(K246="MTRUST",PR!$AL244,IF(K246="MWORLD",PR!$AM244,IF(K246="MEGA",PR!$AN244,IF(K246="MICRONOVA",PR!$AO244,IF(K246="MFLASH",PR!$AP244,IF(K246="MORISON",PR!$AQ244,IF(K246="NEMEL",PR!$AR244,IF(K246="NHP",PR!$AS244,IF(K246="NHC",PR!$AT244,IF(K246="OLEAF",PR!$AU244,IF(K246="OCULUS",PR!$AV244,IF(K246="PACIFIC",PR!$AW244,IF(K246="PHAMATEX",PR!$AX244,IF(K246="PETHICS",PR!$AY244,IF(K246="PHILIPS",PR!$AZ244,IF(K246="RANBAXY",PR!$BA244,IF(K246="REALS",PR!$BB244,IF(K246="ROYAL",PR!$BC244,IF(K246="SAM",PR!$BD244,IF(K246="SEAGREEN",PR!$BE244,IF(K246="SKG",PR!$BF244,IF(K246="TAH",PR!$BG244,IF(K246="TAYLEK",PR!$BH244,IF(K246="TEMITA",PR!$BI244,IF(K246="THL",PR!$BJ244,IF(K246="UBASTIC",PR!$BK244,IF(K246="UNION",PR!$BL244,IF(K246="UNIQUE",PR!$BM244,IF(K246="VIXA",PR!$BN244,IF(K246="WWCV",PR!$BO244,IF(K246="ZOLON",PR!$BP244,"-")))))))))))))))))))))))))))))))))))))))))))))))))))))))))))))))))</f>
        <v>550</v>
      </c>
    </row>
    <row r="247" spans="1:12" ht="18.75" x14ac:dyDescent="0.3">
      <c r="A247" s="430">
        <f>PR!A245</f>
        <v>221</v>
      </c>
      <c r="B247" s="15" t="str">
        <f>PR!B245</f>
        <v>CEFIXIME 200MG/CLAVULANIC ACID 125MG</v>
      </c>
      <c r="C247" s="113">
        <f>PR!D245</f>
        <v>10</v>
      </c>
      <c r="D247" s="113">
        <f>PR!C245</f>
        <v>200</v>
      </c>
      <c r="E247" s="108">
        <f>IF(F247="ALPHA",PR!$E245,IF(F247="ASSENE",PR!$F245,IF(F247="BIOFEM",PR!$G245,IF(F247="BIOMED",PR!$H245,IF(F247="CHI",PR!$I245,IF(F247="CLARION",PR!$J245,IF(F247="CODIX",PR!$K245,IF(F247="COSMADE",PR!$L245,IF(F247="SANCON",PR!$M245,IF(F247="DEVON",PR!$N245,IF(F247="DORTEMAG",PR!$O245,IF(F247="DGF",PR!$P245,IF(F247="DYNAMIC",PR!$Q245,IF(F247="EMZOR",PR!$R245,IF(F247="EUMATT",PR!$S245,IF(F247="FIDSON",PR!$T245,IF(F247="FCGLOBAL",PR!$U245,IF(F247="GENEITH",PR!$V245,IF(F247="GINOS",PR!$W245,IF(F247="GSK",PR!$X245,IF(F247="GLOBORG",PR!$Y245,IF(F247="GOODNEWS",PR!$Z245,IF(F247="GREENLIFE",PR!$AA245,IF(F247="HLINE",PR!$AB245,IF(F247="ROTECH",PR!$AC245,IF(F247="ISN",PR!$AD245,IF(F247="JAWA",PR!$AE245,IF(F247="LAYO",PR!$AF245,IF(F247="LEADWAY",PR!$AG245,IF(F247="LHV",PR!$AH245,IF(F247="MANOLA",PR!$AI245,IF(F247="MARCSON",PR!$AJ245,IF(F247="M&amp;B",PR!$AK245,IF(F247="MTRUST",PR!$AL245,IF(F247="MWORLD",PR!$AM245,IF(F247="MEGA",PR!$AN245,IF(F247="MICRONOVA",PR!$AO245,IF(F247="MFLASH",PR!$AP245,IF(F247="MORISON",PR!$AQ245,IF(F247="NEMEL",PR!$AR245,IF(F247="NHP",PR!$AS245,IF(F247="NHC",PR!$AT245,IF(F247="OLEAF",PR!$AU245,IF(F247="OCULUS",PR!$AV245,IF(F247="PACIFIC",PR!$AW245,IF(F247="PHAMATEX",PR!$AX245,IF(F247="PETHICS",PR!$AY245,IF(F247="PHILIPS",PR!$AZ245,IF(F247="RANBAXY",PR!$BA245,IF(F247="REALS",PR!$BB245,IF(F247="ROYAL",PR!$BC245,IF(F247="SAM",PR!$BD245,IF(F247="SEAGREEN",PR!$BE245,IF(F247="SKG",PR!$BF245,IF(F247="TAH",PR!$BG245,IF(F247="TAYLEK",PR!$BH245,IF(F247="TEMITA",PR!$BI245,IF(F247="THL",PR!$BJ245,IF(F247="UBASTIC",PR!$BK245,IF(F247="UNION",PR!$BL245,IF(F247="UNIQUE",PR!$BM245,IF(F247="VIXA",PR!$BN245,IF(F247="WWCV",PR!$BO245,IF(F247="ZOLON",PR!$BP245,"-"))))))))))))))))))))))))))))))))))))))))))))))))))))))))))))))))</f>
        <v>800</v>
      </c>
      <c r="F247" s="102" t="str">
        <f>EV!L309</f>
        <v>EUMATT</v>
      </c>
      <c r="G247" s="108">
        <f>IF(H247="ALPHA",PR!$E245,IF(H247="ASSENE",PR!$F245,IF(H247="BIOFEM",PR!$G245,IF(H247="BIOMED",PR!$H245,IF(H247="CHI",PR!$I245,IF(H247="CLARION",PR!$J245,IF(H247="CODIX",PR!$K245,IF(H247="COSMADE",PR!$L245,IF(H247="SANCON",PR!$M245,IF(H247="DEVON",PR!$N245,IF(H247="DORTEMAG",PR!$O245,IF(H247="DGF",PR!$P245,IF(H247="DYNAMIC",PR!$Q245,IF(H247="EMZOR",PR!$R245,IF(H247="EUMATT",PR!$S245,IF(H247="FIDSON",PR!$T245,IF(H247="FCGLOBAL",PR!$U245,IF(H247="GENEITH",PR!$V245,IF(H247="GINOS",PR!$W245,IF(H247="GSK",PR!$X245,IF(H247="GLOBORG",PR!$Y245,IF(H247="GOODNEWS",PR!$Z245,IF(H247="GREENLIFE",PR!$AA245,IF(H247="HLINE",PR!$AB245,IF(H247="ROTECH",PR!$AC245,IF(H247="ISN",PR!$AD245,IF(H247="JAWA",PR!$AE245,IF(H247="LAYO",PR!$AF245,IF(H247="LEADWAY",PR!$AG245,IF(H247="LHV",PR!$AH245,IF(H247="MANOLA",PR!$AI245,IF(H247="MARCSON",PR!$AJ245,IF(H247="M&amp;B",PR!$AK245,IF(H247="MTRUST",PR!$AL245,IF(H247="MWORLD",PR!$AM245,IF(H247="MEGA",PR!$AN245,IF(H247="MICRONOVA",PR!$AO245,IF(H247="MFLASH",PR!$AP245,IF(H247="MORISON",PR!$AQ245,IF(H247="NEMEL",PR!$AR245,IF(H247="NHP",PR!$AS245,IF(H247="NHC",PR!$AT245,IF(H247="OLEAF",PR!$AU245,IF(H247="OCULUS",PR!$AV245,IF(H247="PACIFIC",PR!$AW245,IF(H247="PHAMATEX",PR!$AX245,IF(H247="PETHICS",PR!$AY245,IF(H247="PHILIPS",PR!$AZ245,IF(H247="RANBAXY",PR!$BA245,IF(H247="REALS",PR!$BB245,IF(H247="ROYAL",PR!$BC245,IF(H247="SAM",PR!$BD245,IF(H247="SEAGREEN",PR!$BE245,IF(H247="SKG",PR!$BF245,IF(H247="TAH",PR!$BG245,IF(H247="TAYLEK",PR!$BH245,IF(H247="TEMITA",PR!$BI245,IF(H247="THL",PR!$BJ245,IF(H247="UBASTIC",PR!$BK245,IF(H247="UNION",PR!$BL245,IF(H247="UNIQUE",PR!$BM245,IF(H247="VIXA",PR!$BN245,IF(H247="WWCV",PR!$BO245,IF(H247="ZOLON",PR!$BP245,"-"))))))))))))))))))))))))))))))))))))))))))))))))))))))))))))))))</f>
        <v>1440</v>
      </c>
      <c r="H247" s="102" t="str">
        <f>EV!M309</f>
        <v>MICRONOVA</v>
      </c>
      <c r="I247" s="108">
        <f>IF(J247="ALPHA",PR!$E245,IF(J247="ASSENE",PR!$F245,IF(J247="BIOFEM",PR!$G245,IF(J247="BIOMED",PR!$H245,IF(J247="CHI",PR!$I245,IF(J247="CLARION",PR!$J245,IF(J247="CODIX",PR!$K245,IF(J247="COSMADE",PR!$L245,IF(J247="SANCON",PR!$M245,IF(J247="DEVON",PR!$N245,IF(J247="DORTEMAG",PR!$O245,IF(J247="DGF",PR!$P245,IF(J247="DYNAMIC",PR!$Q245,IF(J247="EMZOR",PR!$R245,IF(J247="EUMATT",PR!$S245,IF(J247="FIDSON",PR!$T245,IF(J247="FCGLOBAL",PR!$U245,IF(J247="GENEITH",PR!$V245,IF(J247="GINOS",PR!$W245,IF(J247="GSK",PR!$X245,IF(J247="GLOBORG",PR!$Y245,IF(J247="GOODNEWS",PR!$Z245,IF(J247="GREENLIFE",PR!$AA245,IF(J247="HLINE",PR!$AB245,IF(J247="ROTECH",PR!$AC245,IF(J247="ISN",PR!$AD245,IF(J247="JAWA",PR!$AE245,IF(J247="LAYO",PR!$AF245,IF(J247="LEADWAY",PR!$AG245,IF(J247="LHV",PR!$AH245,IF(J247="MANOLA",PR!$AI245,IF(J247="MARCSON",PR!$AJ245,IF(J247="M&amp;B",PR!$AK245,IF(J247="MTRUST",PR!$AL245,IF(J247="MWORLD",PR!$AM245,IF(J247="MEGA",PR!$AN245,IF(J247="MICRONOVA",PR!$AO245,IF(J247="MFLASH",PR!$AP245,IF(J247="MORISON",PR!$AQ245,IF(J247="NEMEL",PR!$AR245,IF(J247="NHP",PR!$AS245,IF(J247="NHC",PR!$AT245,IF(J247="OLEAF",PR!$AU245,IF(J247="OCULUS",PR!$AV245,IF(J247="PACIFIC",PR!$AW245,IF(J247="PHAMATEX",PR!$AX245,IF(J247="PETHICS",PR!$AY245,IF(J247="PHILIPS",PR!$AZ245,IF(J247="RANBAXY",PR!$BA245,IF(J247="REALS",PR!$BB245,IF(J247="ROYAL",PR!$BC245,IF(J247="SAM",PR!$BD245,IF(J247="SEAGREEN",PR!$BE245,IF(J247="SKG",PR!$BF245,IF(J247="TAH",PR!$BG245,IF(J247="TAYLEK",PR!$BH245,IF(J247="TEMITA",PR!$BI245,IF(J247="THL",PR!$BJ245,IF(J247="UBASTIC",PR!$BK245,IF(J247="UNION",PR!$BL245,IF(J247="UNIQUE",PR!$BM245,IF(J247="VIXA",PR!$BN245,IF(J247="WWCV",PR!$BO245,IF(J247="ZOLON",PR!$BP245,"-"))))))))))))))))))))))))))))))))))))))))))))))))))))))))))))))))</f>
        <v>1800</v>
      </c>
      <c r="J247" s="102" t="str">
        <f>EV!N309</f>
        <v>MARCSON</v>
      </c>
      <c r="K247" s="433" t="s">
        <v>823</v>
      </c>
      <c r="L247" s="183">
        <f>IF(K247&gt;0,IF(K247="ALPHA",PR!$E245,IF(K247="ASSENE",PR!$F245,IF(K247="BIOFEM",PR!$G245,IF(K247="BIOMED",PR!$H245,IF(K247="CHI",PR!$I245,IF(K247="CLARION",PR!$J245,IF(K247="CODIX",PR!$K245,IF(K247="COSMADE",PR!$L245,IF(K247="SANCON",PR!$M245,IF(K247="DEVON",PR!$N245,IF(K247="DORTEMAG",PR!$O245,IF(K247="DGF",PR!$P245,IF(K247="DYNAMIC",PR!$Q245,IF(K247="EMZOR",PR!$R245,IF(K247="EUMATT",PR!$S245,IF(K247="FIDSON",PR!$T245,IF(K247="FCGLOBAL",PR!$U245,IF(K247="GENEITH",PR!$V245,IF(K247="GINOS",PR!$W245,IF(K247="GSK",PR!$X245,IF(K247="GLOBORG",PR!$Y245,IF(K247="GOODNEWS",PR!$Z245,IF(K247="GREENLIFE",PR!$AA245,IF(K247="HLINE",PR!$AB245,IF(K247="ROTECH",PR!$AC245,IF(K247="ISN",PR!$AD245,IF(K247="JAWA",PR!$AE245,IF(K247="LAYO",PR!$AF245,IF(K247="LEADWAY",PR!$AG245,IF(K247="LHV",PR!$AH245,IF(K247="MANOLA",PR!$AI245,IF(K247="MARCSON",PR!$AJ245,IF(K247="M&amp;B",PR!$AK245,IF(K247="MTRUST",PR!$AL245,IF(K247="MWORLD",PR!$AM245,IF(K247="MEGA",PR!$AN245,IF(K247="MICRONOVA",PR!$AO245,IF(K247="MFLASH",PR!$AP245,IF(K247="MORISON",PR!$AQ245,IF(K247="NEMEL",PR!$AR245,IF(K247="NHP",PR!$AS245,IF(K247="NHC",PR!$AT245,IF(K247="OLEAF",PR!$AU245,IF(K247="OCULUS",PR!$AV245,IF(K247="PACIFIC",PR!$AW245,IF(K247="PHAMATEX",PR!$AX245,IF(K247="PETHICS",PR!$AY245,IF(K247="PHILIPS",PR!$AZ245,IF(K247="RANBAXY",PR!$BA245,IF(K247="REALS",PR!$BB245,IF(K247="ROYAL",PR!$BC245,IF(K247="SAM",PR!$BD245,IF(K247="SEAGREEN",PR!$BE245,IF(K247="SKG",PR!$BF245,IF(K247="TAH",PR!$BG245,IF(K247="TAYLEK",PR!$BH245,IF(K247="TEMITA",PR!$BI245,IF(K247="THL",PR!$BJ245,IF(K247="UBASTIC",PR!$BK245,IF(K247="UNION",PR!$BL245,IF(K247="UNIQUE",PR!$BM245,IF(K247="VIXA",PR!$BN245,IF(K247="WWCV",PR!$BO245,IF(K247="ZOLON",PR!$BP245,"-")))))))))))))))))))))))))))))))))))))))))))))))))))))))))))))))))</f>
        <v>1800</v>
      </c>
    </row>
    <row r="248" spans="1:12" ht="18.75" x14ac:dyDescent="0.3">
      <c r="A248" s="430">
        <f>PR!A246</f>
        <v>222</v>
      </c>
      <c r="B248" s="15" t="str">
        <f>PR!B246</f>
        <v>CEFIXIME 400MG TAB</v>
      </c>
      <c r="C248" s="113">
        <f>PR!D246</f>
        <v>10</v>
      </c>
      <c r="D248" s="113">
        <f>PR!C246</f>
        <v>100</v>
      </c>
      <c r="E248" s="108">
        <f>IF(F248="ALPHA",PR!$E246,IF(F248="ASSENE",PR!$F246,IF(F248="BIOFEM",PR!$G246,IF(F248="BIOMED",PR!$H246,IF(F248="CHI",PR!$I246,IF(F248="CLARION",PR!$J246,IF(F248="CODIX",PR!$K246,IF(F248="COSMADE",PR!$L246,IF(F248="SANCON",PR!$M246,IF(F248="DEVON",PR!$N246,IF(F248="DORTEMAG",PR!$O246,IF(F248="DGF",PR!$P246,IF(F248="DYNAMIC",PR!$Q246,IF(F248="EMZOR",PR!$R246,IF(F248="EUMATT",PR!$S246,IF(F248="FIDSON",PR!$T246,IF(F248="FCGLOBAL",PR!$U246,IF(F248="GENEITH",PR!$V246,IF(F248="GINOS",PR!$W246,IF(F248="GSK",PR!$X246,IF(F248="GLOBORG",PR!$Y246,IF(F248="GOODNEWS",PR!$Z246,IF(F248="GREENLIFE",PR!$AA246,IF(F248="HLINE",PR!$AB246,IF(F248="ROTECH",PR!$AC246,IF(F248="ISN",PR!$AD246,IF(F248="JAWA",PR!$AE246,IF(F248="LAYO",PR!$AF246,IF(F248="LEADWAY",PR!$AG246,IF(F248="LHV",PR!$AH246,IF(F248="MANOLA",PR!$AI246,IF(F248="MARCSON",PR!$AJ246,IF(F248="M&amp;B",PR!$AK246,IF(F248="MTRUST",PR!$AL246,IF(F248="MWORLD",PR!$AM246,IF(F248="MEGA",PR!$AN246,IF(F248="MICRONOVA",PR!$AO246,IF(F248="MFLASH",PR!$AP246,IF(F248="MORISON",PR!$AQ246,IF(F248="NEMEL",PR!$AR246,IF(F248="NHP",PR!$AS246,IF(F248="NHC",PR!$AT246,IF(F248="OLEAF",PR!$AU246,IF(F248="OCULUS",PR!$AV246,IF(F248="PACIFIC",PR!$AW246,IF(F248="PHAMATEX",PR!$AX246,IF(F248="PETHICS",PR!$AY246,IF(F248="PHILIPS",PR!$AZ246,IF(F248="RANBAXY",PR!$BA246,IF(F248="REALS",PR!$BB246,IF(F248="ROYAL",PR!$BC246,IF(F248="SAM",PR!$BD246,IF(F248="SEAGREEN",PR!$BE246,IF(F248="SKG",PR!$BF246,IF(F248="TAH",PR!$BG246,IF(F248="TAYLEK",PR!$BH246,IF(F248="TEMITA",PR!$BI246,IF(F248="THL",PR!$BJ246,IF(F248="UBASTIC",PR!$BK246,IF(F248="UNION",PR!$BL246,IF(F248="UNIQUE",PR!$BM246,IF(F248="VIXA",PR!$BN246,IF(F248="WWCV",PR!$BO246,IF(F248="ZOLON",PR!$BP246,"-"))))))))))))))))))))))))))))))))))))))))))))))))))))))))))))))))</f>
        <v>870</v>
      </c>
      <c r="F248" s="102" t="str">
        <f>EV!L310</f>
        <v>EUMATT</v>
      </c>
      <c r="G248" s="108">
        <f>IF(H248="ALPHA",PR!$E246,IF(H248="ASSENE",PR!$F246,IF(H248="BIOFEM",PR!$G246,IF(H248="BIOMED",PR!$H246,IF(H248="CHI",PR!$I246,IF(H248="CLARION",PR!$J246,IF(H248="CODIX",PR!$K246,IF(H248="COSMADE",PR!$L246,IF(H248="SANCON",PR!$M246,IF(H248="DEVON",PR!$N246,IF(H248="DORTEMAG",PR!$O246,IF(H248="DGF",PR!$P246,IF(H248="DYNAMIC",PR!$Q246,IF(H248="EMZOR",PR!$R246,IF(H248="EUMATT",PR!$S246,IF(H248="FIDSON",PR!$T246,IF(H248="FCGLOBAL",PR!$U246,IF(H248="GENEITH",PR!$V246,IF(H248="GINOS",PR!$W246,IF(H248="GSK",PR!$X246,IF(H248="GLOBORG",PR!$Y246,IF(H248="GOODNEWS",PR!$Z246,IF(H248="GREENLIFE",PR!$AA246,IF(H248="HLINE",PR!$AB246,IF(H248="ROTECH",PR!$AC246,IF(H248="ISN",PR!$AD246,IF(H248="JAWA",PR!$AE246,IF(H248="LAYO",PR!$AF246,IF(H248="LEADWAY",PR!$AG246,IF(H248="LHV",PR!$AH246,IF(H248="MANOLA",PR!$AI246,IF(H248="MARCSON",PR!$AJ246,IF(H248="M&amp;B",PR!$AK246,IF(H248="MTRUST",PR!$AL246,IF(H248="MWORLD",PR!$AM246,IF(H248="MEGA",PR!$AN246,IF(H248="MICRONOVA",PR!$AO246,IF(H248="MFLASH",PR!$AP246,IF(H248="MORISON",PR!$AQ246,IF(H248="NEMEL",PR!$AR246,IF(H248="NHP",PR!$AS246,IF(H248="NHC",PR!$AT246,IF(H248="OLEAF",PR!$AU246,IF(H248="OCULUS",PR!$AV246,IF(H248="PACIFIC",PR!$AW246,IF(H248="PHAMATEX",PR!$AX246,IF(H248="PETHICS",PR!$AY246,IF(H248="PHILIPS",PR!$AZ246,IF(H248="RANBAXY",PR!$BA246,IF(H248="REALS",PR!$BB246,IF(H248="ROYAL",PR!$BC246,IF(H248="SAM",PR!$BD246,IF(H248="SEAGREEN",PR!$BE246,IF(H248="SKG",PR!$BF246,IF(H248="TAH",PR!$BG246,IF(H248="TAYLEK",PR!$BH246,IF(H248="TEMITA",PR!$BI246,IF(H248="THL",PR!$BJ246,IF(H248="UBASTIC",PR!$BK246,IF(H248="UNION",PR!$BL246,IF(H248="UNIQUE",PR!$BM246,IF(H248="VIXA",PR!$BN246,IF(H248="WWCV",PR!$BO246,IF(H248="ZOLON",PR!$BP246,"-"))))))))))))))))))))))))))))))))))))))))))))))))))))))))))))))))</f>
        <v>910</v>
      </c>
      <c r="H248" s="102" t="str">
        <f>EV!M310</f>
        <v>NEMEL</v>
      </c>
      <c r="I248" s="108">
        <f>IF(J248="ALPHA",PR!$E246,IF(J248="ASSENE",PR!$F246,IF(J248="BIOFEM",PR!$G246,IF(J248="BIOMED",PR!$H246,IF(J248="CHI",PR!$I246,IF(J248="CLARION",PR!$J246,IF(J248="CODIX",PR!$K246,IF(J248="COSMADE",PR!$L246,IF(J248="SANCON",PR!$M246,IF(J248="DEVON",PR!$N246,IF(J248="DORTEMAG",PR!$O246,IF(J248="DGF",PR!$P246,IF(J248="DYNAMIC",PR!$Q246,IF(J248="EMZOR",PR!$R246,IF(J248="EUMATT",PR!$S246,IF(J248="FIDSON",PR!$T246,IF(J248="FCGLOBAL",PR!$U246,IF(J248="GENEITH",PR!$V246,IF(J248="GINOS",PR!$W246,IF(J248="GSK",PR!$X246,IF(J248="GLOBORG",PR!$Y246,IF(J248="GOODNEWS",PR!$Z246,IF(J248="GREENLIFE",PR!$AA246,IF(J248="HLINE",PR!$AB246,IF(J248="ROTECH",PR!$AC246,IF(J248="ISN",PR!$AD246,IF(J248="JAWA",PR!$AE246,IF(J248="LAYO",PR!$AF246,IF(J248="LEADWAY",PR!$AG246,IF(J248="LHV",PR!$AH246,IF(J248="MANOLA",PR!$AI246,IF(J248="MARCSON",PR!$AJ246,IF(J248="M&amp;B",PR!$AK246,IF(J248="MTRUST",PR!$AL246,IF(J248="MWORLD",PR!$AM246,IF(J248="MEGA",PR!$AN246,IF(J248="MICRONOVA",PR!$AO246,IF(J248="MFLASH",PR!$AP246,IF(J248="MORISON",PR!$AQ246,IF(J248="NEMEL",PR!$AR246,IF(J248="NHP",PR!$AS246,IF(J248="NHC",PR!$AT246,IF(J248="OLEAF",PR!$AU246,IF(J248="OCULUS",PR!$AV246,IF(J248="PACIFIC",PR!$AW246,IF(J248="PHAMATEX",PR!$AX246,IF(J248="PETHICS",PR!$AY246,IF(J248="PHILIPS",PR!$AZ246,IF(J248="RANBAXY",PR!$BA246,IF(J248="REALS",PR!$BB246,IF(J248="ROYAL",PR!$BC246,IF(J248="SAM",PR!$BD246,IF(J248="SEAGREEN",PR!$BE246,IF(J248="SKG",PR!$BF246,IF(J248="TAH",PR!$BG246,IF(J248="TAYLEK",PR!$BH246,IF(J248="TEMITA",PR!$BI246,IF(J248="THL",PR!$BJ246,IF(J248="UBASTIC",PR!$BK246,IF(J248="UNION",PR!$BL246,IF(J248="UNIQUE",PR!$BM246,IF(J248="VIXA",PR!$BN246,IF(J248="WWCV",PR!$BO246,IF(J248="ZOLON",PR!$BP246,"-"))))))))))))))))))))))))))))))))))))))))))))))))))))))))))))))))</f>
        <v>1180</v>
      </c>
      <c r="J248" s="102" t="str">
        <f>EV!N310</f>
        <v>SAM</v>
      </c>
      <c r="K248" s="433" t="s">
        <v>821</v>
      </c>
      <c r="L248" s="183">
        <f>IF(K248&gt;0,IF(K248="ALPHA",PR!$E246,IF(K248="ASSENE",PR!$F246,IF(K248="BIOFEM",PR!$G246,IF(K248="BIOMED",PR!$H246,IF(K248="CHI",PR!$I246,IF(K248="CLARION",PR!$J246,IF(K248="CODIX",PR!$K246,IF(K248="COSMADE",PR!$L246,IF(K248="SANCON",PR!$M246,IF(K248="DEVON",PR!$N246,IF(K248="DORTEMAG",PR!$O246,IF(K248="DGF",PR!$P246,IF(K248="DYNAMIC",PR!$Q246,IF(K248="EMZOR",PR!$R246,IF(K248="EUMATT",PR!$S246,IF(K248="FIDSON",PR!$T246,IF(K248="FCGLOBAL",PR!$U246,IF(K248="GENEITH",PR!$V246,IF(K248="GINOS",PR!$W246,IF(K248="GSK",PR!$X246,IF(K248="GLOBORG",PR!$Y246,IF(K248="GOODNEWS",PR!$Z246,IF(K248="GREENLIFE",PR!$AA246,IF(K248="HLINE",PR!$AB246,IF(K248="ROTECH",PR!$AC246,IF(K248="ISN",PR!$AD246,IF(K248="JAWA",PR!$AE246,IF(K248="LAYO",PR!$AF246,IF(K248="LEADWAY",PR!$AG246,IF(K248="LHV",PR!$AH246,IF(K248="MANOLA",PR!$AI246,IF(K248="MARCSON",PR!$AJ246,IF(K248="M&amp;B",PR!$AK246,IF(K248="MTRUST",PR!$AL246,IF(K248="MWORLD",PR!$AM246,IF(K248="MEGA",PR!$AN246,IF(K248="MICRONOVA",PR!$AO246,IF(K248="MFLASH",PR!$AP246,IF(K248="MORISON",PR!$AQ246,IF(K248="NEMEL",PR!$AR246,IF(K248="NHP",PR!$AS246,IF(K248="NHC",PR!$AT246,IF(K248="OLEAF",PR!$AU246,IF(K248="OCULUS",PR!$AV246,IF(K248="PACIFIC",PR!$AW246,IF(K248="PHAMATEX",PR!$AX246,IF(K248="PETHICS",PR!$AY246,IF(K248="PHILIPS",PR!$AZ246,IF(K248="RANBAXY",PR!$BA246,IF(K248="REALS",PR!$BB246,IF(K248="ROYAL",PR!$BC246,IF(K248="SAM",PR!$BD246,IF(K248="SEAGREEN",PR!$BE246,IF(K248="SKG",PR!$BF246,IF(K248="TAH",PR!$BG246,IF(K248="TAYLEK",PR!$BH246,IF(K248="TEMITA",PR!$BI246,IF(K248="THL",PR!$BJ246,IF(K248="UBASTIC",PR!$BK246,IF(K248="UNION",PR!$BL246,IF(K248="UNIQUE",PR!$BM246,IF(K248="VIXA",PR!$BN246,IF(K248="WWCV",PR!$BO246,IF(K248="ZOLON",PR!$BP246,"-")))))))))))))))))))))))))))))))))))))))))))))))))))))))))))))))))</f>
        <v>870</v>
      </c>
    </row>
    <row r="249" spans="1:12" ht="18.75" x14ac:dyDescent="0.3">
      <c r="A249" s="430">
        <f>PR!A247</f>
        <v>223</v>
      </c>
      <c r="B249" s="15" t="str">
        <f>PR!B247</f>
        <v>CEFIXIME SUSPENSION</v>
      </c>
      <c r="C249" s="113" t="str">
        <f>PR!D247</f>
        <v>BOTT</v>
      </c>
      <c r="D249" s="113">
        <f>PR!C247</f>
        <v>60</v>
      </c>
      <c r="E249" s="108">
        <f>IF(F249="ALPHA",PR!$E247,IF(F249="ASSENE",PR!$F247,IF(F249="BIOFEM",PR!$G247,IF(F249="BIOMED",PR!$H247,IF(F249="CHI",PR!$I247,IF(F249="CLARION",PR!$J247,IF(F249="CODIX",PR!$K247,IF(F249="COSMADE",PR!$L247,IF(F249="SANCON",PR!$M247,IF(F249="DEVON",PR!$N247,IF(F249="DORTEMAG",PR!$O247,IF(F249="DGF",PR!$P247,IF(F249="DYNAMIC",PR!$Q247,IF(F249="EMZOR",PR!$R247,IF(F249="EUMATT",PR!$S247,IF(F249="FIDSON",PR!$T247,IF(F249="FCGLOBAL",PR!$U247,IF(F249="GENEITH",PR!$V247,IF(F249="GINOS",PR!$W247,IF(F249="GSK",PR!$X247,IF(F249="GLOBORG",PR!$Y247,IF(F249="GOODNEWS",PR!$Z247,IF(F249="GREENLIFE",PR!$AA247,IF(F249="HLINE",PR!$AB247,IF(F249="ROTECH",PR!$AC247,IF(F249="ISN",PR!$AD247,IF(F249="JAWA",PR!$AE247,IF(F249="LAYO",PR!$AF247,IF(F249="LEADWAY",PR!$AG247,IF(F249="LHV",PR!$AH247,IF(F249="MANOLA",PR!$AI247,IF(F249="MARCSON",PR!$AJ247,IF(F249="M&amp;B",PR!$AK247,IF(F249="MTRUST",PR!$AL247,IF(F249="MWORLD",PR!$AM247,IF(F249="MEGA",PR!$AN247,IF(F249="MICRONOVA",PR!$AO247,IF(F249="MFLASH",PR!$AP247,IF(F249="MORISON",PR!$AQ247,IF(F249="NEMEL",PR!$AR247,IF(F249="NHP",PR!$AS247,IF(F249="NHC",PR!$AT247,IF(F249="OLEAF",PR!$AU247,IF(F249="OCULUS",PR!$AV247,IF(F249="PACIFIC",PR!$AW247,IF(F249="PHAMATEX",PR!$AX247,IF(F249="PETHICS",PR!$AY247,IF(F249="PHILIPS",PR!$AZ247,IF(F249="RANBAXY",PR!$BA247,IF(F249="REALS",PR!$BB247,IF(F249="ROYAL",PR!$BC247,IF(F249="SAM",PR!$BD247,IF(F249="SEAGREEN",PR!$BE247,IF(F249="SKG",PR!$BF247,IF(F249="TAH",PR!$BG247,IF(F249="TAYLEK",PR!$BH247,IF(F249="TEMITA",PR!$BI247,IF(F249="THL",PR!$BJ247,IF(F249="UBASTIC",PR!$BK247,IF(F249="UNION",PR!$BL247,IF(F249="UNIQUE",PR!$BM247,IF(F249="VIXA",PR!$BN247,IF(F249="WWCV",PR!$BO247,IF(F249="ZOLON",PR!$BP247,"-"))))))))))))))))))))))))))))))))))))))))))))))))))))))))))))))))</f>
        <v>730</v>
      </c>
      <c r="F249" s="102" t="str">
        <f>EV!L311</f>
        <v>SAM</v>
      </c>
      <c r="G249" s="108">
        <f>IF(H249="ALPHA",PR!$E247,IF(H249="ASSENE",PR!$F247,IF(H249="BIOFEM",PR!$G247,IF(H249="BIOMED",PR!$H247,IF(H249="CHI",PR!$I247,IF(H249="CLARION",PR!$J247,IF(H249="CODIX",PR!$K247,IF(H249="COSMADE",PR!$L247,IF(H249="SANCON",PR!$M247,IF(H249="DEVON",PR!$N247,IF(H249="DORTEMAG",PR!$O247,IF(H249="DGF",PR!$P247,IF(H249="DYNAMIC",PR!$Q247,IF(H249="EMZOR",PR!$R247,IF(H249="EUMATT",PR!$S247,IF(H249="FIDSON",PR!$T247,IF(H249="FCGLOBAL",PR!$U247,IF(H249="GENEITH",PR!$V247,IF(H249="GINOS",PR!$W247,IF(H249="GSK",PR!$X247,IF(H249="GLOBORG",PR!$Y247,IF(H249="GOODNEWS",PR!$Z247,IF(H249="GREENLIFE",PR!$AA247,IF(H249="HLINE",PR!$AB247,IF(H249="ROTECH",PR!$AC247,IF(H249="ISN",PR!$AD247,IF(H249="JAWA",PR!$AE247,IF(H249="LAYO",PR!$AF247,IF(H249="LEADWAY",PR!$AG247,IF(H249="LHV",PR!$AH247,IF(H249="MANOLA",PR!$AI247,IF(H249="MARCSON",PR!$AJ247,IF(H249="M&amp;B",PR!$AK247,IF(H249="MTRUST",PR!$AL247,IF(H249="MWORLD",PR!$AM247,IF(H249="MEGA",PR!$AN247,IF(H249="MICRONOVA",PR!$AO247,IF(H249="MFLASH",PR!$AP247,IF(H249="MORISON",PR!$AQ247,IF(H249="NEMEL",PR!$AR247,IF(H249="NHP",PR!$AS247,IF(H249="NHC",PR!$AT247,IF(H249="OLEAF",PR!$AU247,IF(H249="OCULUS",PR!$AV247,IF(H249="PACIFIC",PR!$AW247,IF(H249="PHAMATEX",PR!$AX247,IF(H249="PETHICS",PR!$AY247,IF(H249="PHILIPS",PR!$AZ247,IF(H249="RANBAXY",PR!$BA247,IF(H249="REALS",PR!$BB247,IF(H249="ROYAL",PR!$BC247,IF(H249="SAM",PR!$BD247,IF(H249="SEAGREEN",PR!$BE247,IF(H249="SKG",PR!$BF247,IF(H249="TAH",PR!$BG247,IF(H249="TAYLEK",PR!$BH247,IF(H249="TEMITA",PR!$BI247,IF(H249="THL",PR!$BJ247,IF(H249="UBASTIC",PR!$BK247,IF(H249="UNION",PR!$BL247,IF(H249="UNIQUE",PR!$BM247,IF(H249="VIXA",PR!$BN247,IF(H249="WWCV",PR!$BO247,IF(H249="ZOLON",PR!$BP247,"-"))))))))))))))))))))))))))))))))))))))))))))))))))))))))))))))))</f>
        <v>800</v>
      </c>
      <c r="H249" s="102" t="str">
        <f>EV!M311</f>
        <v>EUMATT</v>
      </c>
      <c r="I249" s="108">
        <f>IF(J249="ALPHA",PR!$E247,IF(J249="ASSENE",PR!$F247,IF(J249="BIOFEM",PR!$G247,IF(J249="BIOMED",PR!$H247,IF(J249="CHI",PR!$I247,IF(J249="CLARION",PR!$J247,IF(J249="CODIX",PR!$K247,IF(J249="COSMADE",PR!$L247,IF(J249="SANCON",PR!$M247,IF(J249="DEVON",PR!$N247,IF(J249="DORTEMAG",PR!$O247,IF(J249="DGF",PR!$P247,IF(J249="DYNAMIC",PR!$Q247,IF(J249="EMZOR",PR!$R247,IF(J249="EUMATT",PR!$S247,IF(J249="FIDSON",PR!$T247,IF(J249="FCGLOBAL",PR!$U247,IF(J249="GENEITH",PR!$V247,IF(J249="GINOS",PR!$W247,IF(J249="GSK",PR!$X247,IF(J249="GLOBORG",PR!$Y247,IF(J249="GOODNEWS",PR!$Z247,IF(J249="GREENLIFE",PR!$AA247,IF(J249="HLINE",PR!$AB247,IF(J249="ROTECH",PR!$AC247,IF(J249="ISN",PR!$AD247,IF(J249="JAWA",PR!$AE247,IF(J249="LAYO",PR!$AF247,IF(J249="LEADWAY",PR!$AG247,IF(J249="LHV",PR!$AH247,IF(J249="MANOLA",PR!$AI247,IF(J249="MARCSON",PR!$AJ247,IF(J249="M&amp;B",PR!$AK247,IF(J249="MTRUST",PR!$AL247,IF(J249="MWORLD",PR!$AM247,IF(J249="MEGA",PR!$AN247,IF(J249="MICRONOVA",PR!$AO247,IF(J249="MFLASH",PR!$AP247,IF(J249="MORISON",PR!$AQ247,IF(J249="NEMEL",PR!$AR247,IF(J249="NHP",PR!$AS247,IF(J249="NHC",PR!$AT247,IF(J249="OLEAF",PR!$AU247,IF(J249="OCULUS",PR!$AV247,IF(J249="PACIFIC",PR!$AW247,IF(J249="PHAMATEX",PR!$AX247,IF(J249="PETHICS",PR!$AY247,IF(J249="PHILIPS",PR!$AZ247,IF(J249="RANBAXY",PR!$BA247,IF(J249="REALS",PR!$BB247,IF(J249="ROYAL",PR!$BC247,IF(J249="SAM",PR!$BD247,IF(J249="SEAGREEN",PR!$BE247,IF(J249="SKG",PR!$BF247,IF(J249="TAH",PR!$BG247,IF(J249="TAYLEK",PR!$BH247,IF(J249="TEMITA",PR!$BI247,IF(J249="THL",PR!$BJ247,IF(J249="UBASTIC",PR!$BK247,IF(J249="UNION",PR!$BL247,IF(J249="UNIQUE",PR!$BM247,IF(J249="VIXA",PR!$BN247,IF(J249="WWCV",PR!$BO247,IF(J249="ZOLON",PR!$BP247,"-"))))))))))))))))))))))))))))))))))))))))))))))))))))))))))))))))</f>
        <v>845.63</v>
      </c>
      <c r="J249" s="102" t="str">
        <f>EV!N311</f>
        <v>EMZOR</v>
      </c>
      <c r="K249" s="433" t="s">
        <v>622</v>
      </c>
      <c r="L249" s="183">
        <f>IF(K249&gt;0,IF(K249="ALPHA",PR!$E247,IF(K249="ASSENE",PR!$F247,IF(K249="BIOFEM",PR!$G247,IF(K249="BIOMED",PR!$H247,IF(K249="CHI",PR!$I247,IF(K249="CLARION",PR!$J247,IF(K249="CODIX",PR!$K247,IF(K249="COSMADE",PR!$L247,IF(K249="SANCON",PR!$M247,IF(K249="DEVON",PR!$N247,IF(K249="DORTEMAG",PR!$O247,IF(K249="DGF",PR!$P247,IF(K249="DYNAMIC",PR!$Q247,IF(K249="EMZOR",PR!$R247,IF(K249="EUMATT",PR!$S247,IF(K249="FIDSON",PR!$T247,IF(K249="FCGLOBAL",PR!$U247,IF(K249="GENEITH",PR!$V247,IF(K249="GINOS",PR!$W247,IF(K249="GSK",PR!$X247,IF(K249="GLOBORG",PR!$Y247,IF(K249="GOODNEWS",PR!$Z247,IF(K249="GREENLIFE",PR!$AA247,IF(K249="HLINE",PR!$AB247,IF(K249="ROTECH",PR!$AC247,IF(K249="ISN",PR!$AD247,IF(K249="JAWA",PR!$AE247,IF(K249="LAYO",PR!$AF247,IF(K249="LEADWAY",PR!$AG247,IF(K249="LHV",PR!$AH247,IF(K249="MANOLA",PR!$AI247,IF(K249="MARCSON",PR!$AJ247,IF(K249="M&amp;B",PR!$AK247,IF(K249="MTRUST",PR!$AL247,IF(K249="MWORLD",PR!$AM247,IF(K249="MEGA",PR!$AN247,IF(K249="MICRONOVA",PR!$AO247,IF(K249="MFLASH",PR!$AP247,IF(K249="MORISON",PR!$AQ247,IF(K249="NEMEL",PR!$AR247,IF(K249="NHP",PR!$AS247,IF(K249="NHC",PR!$AT247,IF(K249="OLEAF",PR!$AU247,IF(K249="OCULUS",PR!$AV247,IF(K249="PACIFIC",PR!$AW247,IF(K249="PHAMATEX",PR!$AX247,IF(K249="PETHICS",PR!$AY247,IF(K249="PHILIPS",PR!$AZ247,IF(K249="RANBAXY",PR!$BA247,IF(K249="REALS",PR!$BB247,IF(K249="ROYAL",PR!$BC247,IF(K249="SAM",PR!$BD247,IF(K249="SEAGREEN",PR!$BE247,IF(K249="SKG",PR!$BF247,IF(K249="TAH",PR!$BG247,IF(K249="TAYLEK",PR!$BH247,IF(K249="TEMITA",PR!$BI247,IF(K249="THL",PR!$BJ247,IF(K249="UBASTIC",PR!$BK247,IF(K249="UNION",PR!$BL247,IF(K249="UNIQUE",PR!$BM247,IF(K249="VIXA",PR!$BN247,IF(K249="WWCV",PR!$BO247,IF(K249="ZOLON",PR!$BP247,"-")))))))))))))))))))))))))))))))))))))))))))))))))))))))))))))))))</f>
        <v>730</v>
      </c>
    </row>
    <row r="250" spans="1:12" ht="18.75" x14ac:dyDescent="0.3">
      <c r="A250" s="430">
        <f>PR!A248</f>
        <v>224</v>
      </c>
      <c r="B250" s="15" t="str">
        <f>PR!B248</f>
        <v>CEFOTAXIME 1G INJ</v>
      </c>
      <c r="C250" s="113" t="str">
        <f>PR!D248</f>
        <v>VIAL</v>
      </c>
      <c r="D250" s="113">
        <f>PR!C248</f>
        <v>10</v>
      </c>
      <c r="E250" s="108">
        <f>IF(F250="ALPHA",PR!$E248,IF(F250="ASSENE",PR!$F248,IF(F250="BIOFEM",PR!$G248,IF(F250="BIOMED",PR!$H248,IF(F250="CHI",PR!$I248,IF(F250="CLARION",PR!$J248,IF(F250="CODIX",PR!$K248,IF(F250="COSMADE",PR!$L248,IF(F250="SANCON",PR!$M248,IF(F250="DEVON",PR!$N248,IF(F250="DORTEMAG",PR!$O248,IF(F250="DGF",PR!$P248,IF(F250="DYNAMIC",PR!$Q248,IF(F250="EMZOR",PR!$R248,IF(F250="EUMATT",PR!$S248,IF(F250="FIDSON",PR!$T248,IF(F250="FCGLOBAL",PR!$U248,IF(F250="GENEITH",PR!$V248,IF(F250="GINOS",PR!$W248,IF(F250="GSK",PR!$X248,IF(F250="GLOBORG",PR!$Y248,IF(F250="GOODNEWS",PR!$Z248,IF(F250="GREENLIFE",PR!$AA248,IF(F250="HLINE",PR!$AB248,IF(F250="ROTECH",PR!$AC248,IF(F250="ISN",PR!$AD248,IF(F250="JAWA",PR!$AE248,IF(F250="LAYO",PR!$AF248,IF(F250="LEADWAY",PR!$AG248,IF(F250="LHV",PR!$AH248,IF(F250="MANOLA",PR!$AI248,IF(F250="MARCSON",PR!$AJ248,IF(F250="M&amp;B",PR!$AK248,IF(F250="MTRUST",PR!$AL248,IF(F250="MWORLD",PR!$AM248,IF(F250="MEGA",PR!$AN248,IF(F250="MICRONOVA",PR!$AO248,IF(F250="MFLASH",PR!$AP248,IF(F250="MORISON",PR!$AQ248,IF(F250="NEMEL",PR!$AR248,IF(F250="NHP",PR!$AS248,IF(F250="NHC",PR!$AT248,IF(F250="OLEAF",PR!$AU248,IF(F250="OCULUS",PR!$AV248,IF(F250="PACIFIC",PR!$AW248,IF(F250="PHAMATEX",PR!$AX248,IF(F250="PETHICS",PR!$AY248,IF(F250="PHILIPS",PR!$AZ248,IF(F250="RANBAXY",PR!$BA248,IF(F250="REALS",PR!$BB248,IF(F250="ROYAL",PR!$BC248,IF(F250="SAM",PR!$BD248,IF(F250="SEAGREEN",PR!$BE248,IF(F250="SKG",PR!$BF248,IF(F250="TAH",PR!$BG248,IF(F250="TAYLEK",PR!$BH248,IF(F250="TEMITA",PR!$BI248,IF(F250="THL",PR!$BJ248,IF(F250="UBASTIC",PR!$BK248,IF(F250="UNION",PR!$BL248,IF(F250="UNIQUE",PR!$BM248,IF(F250="VIXA",PR!$BN248,IF(F250="WWCV",PR!$BO248,IF(F250="ZOLON",PR!$BP248,"-"))))))))))))))))))))))))))))))))))))))))))))))))))))))))))))))))</f>
        <v>250</v>
      </c>
      <c r="F250" s="102" t="str">
        <f>EV!L312</f>
        <v>TAH</v>
      </c>
      <c r="G250" s="108" t="str">
        <f>IF(H250="ALPHA",PR!$E248,IF(H250="ASSENE",PR!$F248,IF(H250="BIOFEM",PR!$G248,IF(H250="BIOMED",PR!$H248,IF(H250="CHI",PR!$I248,IF(H250="CLARION",PR!$J248,IF(H250="CODIX",PR!$K248,IF(H250="COSMADE",PR!$L248,IF(H250="SANCON",PR!$M248,IF(H250="DEVON",PR!$N248,IF(H250="DORTEMAG",PR!$O248,IF(H250="DGF",PR!$P248,IF(H250="DYNAMIC",PR!$Q248,IF(H250="EMZOR",PR!$R248,IF(H250="EUMATT",PR!$S248,IF(H250="FIDSON",PR!$T248,IF(H250="FCGLOBAL",PR!$U248,IF(H250="GENEITH",PR!$V248,IF(H250="GINOS",PR!$W248,IF(H250="GSK",PR!$X248,IF(H250="GLOBORG",PR!$Y248,IF(H250="GOODNEWS",PR!$Z248,IF(H250="GREENLIFE",PR!$AA248,IF(H250="HLINE",PR!$AB248,IF(H250="ROTECH",PR!$AC248,IF(H250="ISN",PR!$AD248,IF(H250="JAWA",PR!$AE248,IF(H250="LAYO",PR!$AF248,IF(H250="LEADWAY",PR!$AG248,IF(H250="LHV",PR!$AH248,IF(H250="MANOLA",PR!$AI248,IF(H250="MARCSON",PR!$AJ248,IF(H250="M&amp;B",PR!$AK248,IF(H250="MTRUST",PR!$AL248,IF(H250="MWORLD",PR!$AM248,IF(H250="MEGA",PR!$AN248,IF(H250="MICRONOVA",PR!$AO248,IF(H250="MFLASH",PR!$AP248,IF(H250="MORISON",PR!$AQ248,IF(H250="NEMEL",PR!$AR248,IF(H250="NHP",PR!$AS248,IF(H250="NHC",PR!$AT248,IF(H250="OLEAF",PR!$AU248,IF(H250="OCULUS",PR!$AV248,IF(H250="PACIFIC",PR!$AW248,IF(H250="PHAMATEX",PR!$AX248,IF(H250="PETHICS",PR!$AY248,IF(H250="PHILIPS",PR!$AZ248,IF(H250="RANBAXY",PR!$BA248,IF(H250="REALS",PR!$BB248,IF(H250="ROYAL",PR!$BC248,IF(H250="SAM",PR!$BD248,IF(H250="SEAGREEN",PR!$BE248,IF(H250="SKG",PR!$BF248,IF(H250="TAH",PR!$BG248,IF(H250="TAYLEK",PR!$BH248,IF(H250="TEMITA",PR!$BI248,IF(H250="THL",PR!$BJ248,IF(H250="UBASTIC",PR!$BK248,IF(H250="UNION",PR!$BL248,IF(H250="UNIQUE",PR!$BM248,IF(H250="VIXA",PR!$BN248,IF(H250="WWCV",PR!$BO248,IF(H250="ZOLON",PR!$BP248,"-"))))))))))))))))))))))))))))))))))))))))))))))))))))))))))))))))</f>
        <v>-</v>
      </c>
      <c r="H250" s="102">
        <f>EV!M312</f>
        <v>0</v>
      </c>
      <c r="I250" s="108" t="str">
        <f>IF(J250="ALPHA",PR!$E248,IF(J250="ASSENE",PR!$F248,IF(J250="BIOFEM",PR!$G248,IF(J250="BIOMED",PR!$H248,IF(J250="CHI",PR!$I248,IF(J250="CLARION",PR!$J248,IF(J250="CODIX",PR!$K248,IF(J250="COSMADE",PR!$L248,IF(J250="SANCON",PR!$M248,IF(J250="DEVON",PR!$N248,IF(J250="DORTEMAG",PR!$O248,IF(J250="DGF",PR!$P248,IF(J250="DYNAMIC",PR!$Q248,IF(J250="EMZOR",PR!$R248,IF(J250="EUMATT",PR!$S248,IF(J250="FIDSON",PR!$T248,IF(J250="FCGLOBAL",PR!$U248,IF(J250="GENEITH",PR!$V248,IF(J250="GINOS",PR!$W248,IF(J250="GSK",PR!$X248,IF(J250="GLOBORG",PR!$Y248,IF(J250="GOODNEWS",PR!$Z248,IF(J250="GREENLIFE",PR!$AA248,IF(J250="HLINE",PR!$AB248,IF(J250="ROTECH",PR!$AC248,IF(J250="ISN",PR!$AD248,IF(J250="JAWA",PR!$AE248,IF(J250="LAYO",PR!$AF248,IF(J250="LEADWAY",PR!$AG248,IF(J250="LHV",PR!$AH248,IF(J250="MANOLA",PR!$AI248,IF(J250="MARCSON",PR!$AJ248,IF(J250="M&amp;B",PR!$AK248,IF(J250="MTRUST",PR!$AL248,IF(J250="MWORLD",PR!$AM248,IF(J250="MEGA",PR!$AN248,IF(J250="MICRONOVA",PR!$AO248,IF(J250="MFLASH",PR!$AP248,IF(J250="MORISON",PR!$AQ248,IF(J250="NEMEL",PR!$AR248,IF(J250="NHP",PR!$AS248,IF(J250="NHC",PR!$AT248,IF(J250="OLEAF",PR!$AU248,IF(J250="OCULUS",PR!$AV248,IF(J250="PACIFIC",PR!$AW248,IF(J250="PHAMATEX",PR!$AX248,IF(J250="PETHICS",PR!$AY248,IF(J250="PHILIPS",PR!$AZ248,IF(J250="RANBAXY",PR!$BA248,IF(J250="REALS",PR!$BB248,IF(J250="ROYAL",PR!$BC248,IF(J250="SAM",PR!$BD248,IF(J250="SEAGREEN",PR!$BE248,IF(J250="SKG",PR!$BF248,IF(J250="TAH",PR!$BG248,IF(J250="TAYLEK",PR!$BH248,IF(J250="TEMITA",PR!$BI248,IF(J250="THL",PR!$BJ248,IF(J250="UBASTIC",PR!$BK248,IF(J250="UNION",PR!$BL248,IF(J250="UNIQUE",PR!$BM248,IF(J250="VIXA",PR!$BN248,IF(J250="WWCV",PR!$BO248,IF(J250="ZOLON",PR!$BP248,"-"))))))))))))))))))))))))))))))))))))))))))))))))))))))))))))))))</f>
        <v>-</v>
      </c>
      <c r="J250" s="102">
        <f>EV!N312</f>
        <v>0</v>
      </c>
      <c r="K250" s="433" t="s">
        <v>621</v>
      </c>
      <c r="L250" s="183">
        <f>IF(K250&gt;0,IF(K250="ALPHA",PR!$E248,IF(K250="ASSENE",PR!$F248,IF(K250="BIOFEM",PR!$G248,IF(K250="BIOMED",PR!$H248,IF(K250="CHI",PR!$I248,IF(K250="CLARION",PR!$J248,IF(K250="CODIX",PR!$K248,IF(K250="COSMADE",PR!$L248,IF(K250="SANCON",PR!$M248,IF(K250="DEVON",PR!$N248,IF(K250="DORTEMAG",PR!$O248,IF(K250="DGF",PR!$P248,IF(K250="DYNAMIC",PR!$Q248,IF(K250="EMZOR",PR!$R248,IF(K250="EUMATT",PR!$S248,IF(K250="FIDSON",PR!$T248,IF(K250="FCGLOBAL",PR!$U248,IF(K250="GENEITH",PR!$V248,IF(K250="GINOS",PR!$W248,IF(K250="GSK",PR!$X248,IF(K250="GLOBORG",PR!$Y248,IF(K250="GOODNEWS",PR!$Z248,IF(K250="GREENLIFE",PR!$AA248,IF(K250="HLINE",PR!$AB248,IF(K250="ROTECH",PR!$AC248,IF(K250="ISN",PR!$AD248,IF(K250="JAWA",PR!$AE248,IF(K250="LAYO",PR!$AF248,IF(K250="LEADWAY",PR!$AG248,IF(K250="LHV",PR!$AH248,IF(K250="MANOLA",PR!$AI248,IF(K250="MARCSON",PR!$AJ248,IF(K250="M&amp;B",PR!$AK248,IF(K250="MTRUST",PR!$AL248,IF(K250="MWORLD",PR!$AM248,IF(K250="MEGA",PR!$AN248,IF(K250="MICRONOVA",PR!$AO248,IF(K250="MFLASH",PR!$AP248,IF(K250="MORISON",PR!$AQ248,IF(K250="NEMEL",PR!$AR248,IF(K250="NHP",PR!$AS248,IF(K250="NHC",PR!$AT248,IF(K250="OLEAF",PR!$AU248,IF(K250="OCULUS",PR!$AV248,IF(K250="PACIFIC",PR!$AW248,IF(K250="PHAMATEX",PR!$AX248,IF(K250="PETHICS",PR!$AY248,IF(K250="PHILIPS",PR!$AZ248,IF(K250="RANBAXY",PR!$BA248,IF(K250="REALS",PR!$BB248,IF(K250="ROYAL",PR!$BC248,IF(K250="SAM",PR!$BD248,IF(K250="SEAGREEN",PR!$BE248,IF(K250="SKG",PR!$BF248,IF(K250="TAH",PR!$BG248,IF(K250="TAYLEK",PR!$BH248,IF(K250="TEMITA",PR!$BI248,IF(K250="THL",PR!$BJ248,IF(K250="UBASTIC",PR!$BK248,IF(K250="UNION",PR!$BL248,IF(K250="UNIQUE",PR!$BM248,IF(K250="VIXA",PR!$BN248,IF(K250="WWCV",PR!$BO248,IF(K250="ZOLON",PR!$BP248,"-")))))))))))))))))))))))))))))))))))))))))))))))))))))))))))))))))</f>
        <v>250</v>
      </c>
    </row>
    <row r="251" spans="1:12" ht="18.75" x14ac:dyDescent="0.3">
      <c r="A251" s="430">
        <f>PR!A249</f>
        <v>225</v>
      </c>
      <c r="B251" s="15" t="str">
        <f>PR!B249</f>
        <v>CEFPODOXIME 200MG TAB</v>
      </c>
      <c r="C251" s="113">
        <f>PR!D249</f>
        <v>10</v>
      </c>
      <c r="D251" s="113">
        <f>PR!C249</f>
        <v>100</v>
      </c>
      <c r="E251" s="108">
        <f>IF(F251="ALPHA",PR!$E249,IF(F251="ASSENE",PR!$F249,IF(F251="BIOFEM",PR!$G249,IF(F251="BIOMED",PR!$H249,IF(F251="CHI",PR!$I249,IF(F251="CLARION",PR!$J249,IF(F251="CODIX",PR!$K249,IF(F251="COSMADE",PR!$L249,IF(F251="SANCON",PR!$M249,IF(F251="DEVON",PR!$N249,IF(F251="DORTEMAG",PR!$O249,IF(F251="DGF",PR!$P249,IF(F251="DYNAMIC",PR!$Q249,IF(F251="EMZOR",PR!$R249,IF(F251="EUMATT",PR!$S249,IF(F251="FIDSON",PR!$T249,IF(F251="FCGLOBAL",PR!$U249,IF(F251="GENEITH",PR!$V249,IF(F251="GINOS",PR!$W249,IF(F251="GSK",PR!$X249,IF(F251="GLOBORG",PR!$Y249,IF(F251="GOODNEWS",PR!$Z249,IF(F251="GREENLIFE",PR!$AA249,IF(F251="HLINE",PR!$AB249,IF(F251="ROTECH",PR!$AC249,IF(F251="ISN",PR!$AD249,IF(F251="JAWA",PR!$AE249,IF(F251="LAYO",PR!$AF249,IF(F251="LEADWAY",PR!$AG249,IF(F251="LHV",PR!$AH249,IF(F251="MANOLA",PR!$AI249,IF(F251="MARCSON",PR!$AJ249,IF(F251="M&amp;B",PR!$AK249,IF(F251="MTRUST",PR!$AL249,IF(F251="MWORLD",PR!$AM249,IF(F251="MEGA",PR!$AN249,IF(F251="MICRONOVA",PR!$AO249,IF(F251="MFLASH",PR!$AP249,IF(F251="MORISON",PR!$AQ249,IF(F251="NEMEL",PR!$AR249,IF(F251="NHP",PR!$AS249,IF(F251="NHC",PR!$AT249,IF(F251="OLEAF",PR!$AU249,IF(F251="OCULUS",PR!$AV249,IF(F251="PACIFIC",PR!$AW249,IF(F251="PHAMATEX",PR!$AX249,IF(F251="PETHICS",PR!$AY249,IF(F251="PHILIPS",PR!$AZ249,IF(F251="RANBAXY",PR!$BA249,IF(F251="REALS",PR!$BB249,IF(F251="ROYAL",PR!$BC249,IF(F251="SAM",PR!$BD249,IF(F251="SEAGREEN",PR!$BE249,IF(F251="SKG",PR!$BF249,IF(F251="TAH",PR!$BG249,IF(F251="TAYLEK",PR!$BH249,IF(F251="TEMITA",PR!$BI249,IF(F251="THL",PR!$BJ249,IF(F251="UBASTIC",PR!$BK249,IF(F251="UNION",PR!$BL249,IF(F251="UNIQUE",PR!$BM249,IF(F251="VIXA",PR!$BN249,IF(F251="WWCV",PR!$BO249,IF(F251="ZOLON",PR!$BP249,"-"))))))))))))))))))))))))))))))))))))))))))))))))))))))))))))))))</f>
        <v>950</v>
      </c>
      <c r="F251" s="102" t="str">
        <f>EV!L313</f>
        <v>MICRONOVA</v>
      </c>
      <c r="G251" s="108">
        <f>IF(H251="ALPHA",PR!$E249,IF(H251="ASSENE",PR!$F249,IF(H251="BIOFEM",PR!$G249,IF(H251="BIOMED",PR!$H249,IF(H251="CHI",PR!$I249,IF(H251="CLARION",PR!$J249,IF(H251="CODIX",PR!$K249,IF(H251="COSMADE",PR!$L249,IF(H251="SANCON",PR!$M249,IF(H251="DEVON",PR!$N249,IF(H251="DORTEMAG",PR!$O249,IF(H251="DGF",PR!$P249,IF(H251="DYNAMIC",PR!$Q249,IF(H251="EMZOR",PR!$R249,IF(H251="EUMATT",PR!$S249,IF(H251="FIDSON",PR!$T249,IF(H251="FCGLOBAL",PR!$U249,IF(H251="GENEITH",PR!$V249,IF(H251="GINOS",PR!$W249,IF(H251="GSK",PR!$X249,IF(H251="GLOBORG",PR!$Y249,IF(H251="GOODNEWS",PR!$Z249,IF(H251="GREENLIFE",PR!$AA249,IF(H251="HLINE",PR!$AB249,IF(H251="ROTECH",PR!$AC249,IF(H251="ISN",PR!$AD249,IF(H251="JAWA",PR!$AE249,IF(H251="LAYO",PR!$AF249,IF(H251="LEADWAY",PR!$AG249,IF(H251="LHV",PR!$AH249,IF(H251="MANOLA",PR!$AI249,IF(H251="MARCSON",PR!$AJ249,IF(H251="M&amp;B",PR!$AK249,IF(H251="MTRUST",PR!$AL249,IF(H251="MWORLD",PR!$AM249,IF(H251="MEGA",PR!$AN249,IF(H251="MICRONOVA",PR!$AO249,IF(H251="MFLASH",PR!$AP249,IF(H251="MORISON",PR!$AQ249,IF(H251="NEMEL",PR!$AR249,IF(H251="NHP",PR!$AS249,IF(H251="NHC",PR!$AT249,IF(H251="OLEAF",PR!$AU249,IF(H251="OCULUS",PR!$AV249,IF(H251="PACIFIC",PR!$AW249,IF(H251="PHAMATEX",PR!$AX249,IF(H251="PETHICS",PR!$AY249,IF(H251="PHILIPS",PR!$AZ249,IF(H251="RANBAXY",PR!$BA249,IF(H251="REALS",PR!$BB249,IF(H251="ROYAL",PR!$BC249,IF(H251="SAM",PR!$BD249,IF(H251="SEAGREEN",PR!$BE249,IF(H251="SKG",PR!$BF249,IF(H251="TAH",PR!$BG249,IF(H251="TAYLEK",PR!$BH249,IF(H251="TEMITA",PR!$BI249,IF(H251="THL",PR!$BJ249,IF(H251="UBASTIC",PR!$BK249,IF(H251="UNION",PR!$BL249,IF(H251="UNIQUE",PR!$BM249,IF(H251="VIXA",PR!$BN249,IF(H251="WWCV",PR!$BO249,IF(H251="ZOLON",PR!$BP249,"-"))))))))))))))))))))))))))))))))))))))))))))))))))))))))))))))))</f>
        <v>1600</v>
      </c>
      <c r="H251" s="102" t="str">
        <f>EV!M313</f>
        <v>MFLASH</v>
      </c>
      <c r="I251" s="108">
        <f>IF(J251="ALPHA",PR!$E249,IF(J251="ASSENE",PR!$F249,IF(J251="BIOFEM",PR!$G249,IF(J251="BIOMED",PR!$H249,IF(J251="CHI",PR!$I249,IF(J251="CLARION",PR!$J249,IF(J251="CODIX",PR!$K249,IF(J251="COSMADE",PR!$L249,IF(J251="SANCON",PR!$M249,IF(J251="DEVON",PR!$N249,IF(J251="DORTEMAG",PR!$O249,IF(J251="DGF",PR!$P249,IF(J251="DYNAMIC",PR!$Q249,IF(J251="EMZOR",PR!$R249,IF(J251="EUMATT",PR!$S249,IF(J251="FIDSON",PR!$T249,IF(J251="FCGLOBAL",PR!$U249,IF(J251="GENEITH",PR!$V249,IF(J251="GINOS",PR!$W249,IF(J251="GSK",PR!$X249,IF(J251="GLOBORG",PR!$Y249,IF(J251="GOODNEWS",PR!$Z249,IF(J251="GREENLIFE",PR!$AA249,IF(J251="HLINE",PR!$AB249,IF(J251="ROTECH",PR!$AC249,IF(J251="ISN",PR!$AD249,IF(J251="JAWA",PR!$AE249,IF(J251="LAYO",PR!$AF249,IF(J251="LEADWAY",PR!$AG249,IF(J251="LHV",PR!$AH249,IF(J251="MANOLA",PR!$AI249,IF(J251="MARCSON",PR!$AJ249,IF(J251="M&amp;B",PR!$AK249,IF(J251="MTRUST",PR!$AL249,IF(J251="MWORLD",PR!$AM249,IF(J251="MEGA",PR!$AN249,IF(J251="MICRONOVA",PR!$AO249,IF(J251="MFLASH",PR!$AP249,IF(J251="MORISON",PR!$AQ249,IF(J251="NEMEL",PR!$AR249,IF(J251="NHP",PR!$AS249,IF(J251="NHC",PR!$AT249,IF(J251="OLEAF",PR!$AU249,IF(J251="OCULUS",PR!$AV249,IF(J251="PACIFIC",PR!$AW249,IF(J251="PHAMATEX",PR!$AX249,IF(J251="PETHICS",PR!$AY249,IF(J251="PHILIPS",PR!$AZ249,IF(J251="RANBAXY",PR!$BA249,IF(J251="REALS",PR!$BB249,IF(J251="ROYAL",PR!$BC249,IF(J251="SAM",PR!$BD249,IF(J251="SEAGREEN",PR!$BE249,IF(J251="SKG",PR!$BF249,IF(J251="TAH",PR!$BG249,IF(J251="TAYLEK",PR!$BH249,IF(J251="TEMITA",PR!$BI249,IF(J251="THL",PR!$BJ249,IF(J251="UBASTIC",PR!$BK249,IF(J251="UNION",PR!$BL249,IF(J251="UNIQUE",PR!$BM249,IF(J251="VIXA",PR!$BN249,IF(J251="WWCV",PR!$BO249,IF(J251="ZOLON",PR!$BP249,"-"))))))))))))))))))))))))))))))))))))))))))))))))))))))))))))))))</f>
        <v>2600</v>
      </c>
      <c r="J251" s="102" t="str">
        <f>EV!N313</f>
        <v>CHI</v>
      </c>
      <c r="K251" s="433" t="s">
        <v>2120</v>
      </c>
      <c r="L251" s="183" t="str">
        <f>IF(K251&gt;0,IF(K251="ALPHA",PR!$E249,IF(K251="ASSENE",PR!$F249,IF(K251="BIOFEM",PR!$G249,IF(K251="BIOMED",PR!$H249,IF(K251="CHI",PR!$I249,IF(K251="CLARION",PR!$J249,IF(K251="CODIX",PR!$K249,IF(K251="COSMADE",PR!$L249,IF(K251="SANCON",PR!$M249,IF(K251="DEVON",PR!$N249,IF(K251="DORTEMAG",PR!$O249,IF(K251="DGF",PR!$P249,IF(K251="DYNAMIC",PR!$Q249,IF(K251="EMZOR",PR!$R249,IF(K251="EUMATT",PR!$S249,IF(K251="FIDSON",PR!$T249,IF(K251="FCGLOBAL",PR!$U249,IF(K251="GENEITH",PR!$V249,IF(K251="GINOS",PR!$W249,IF(K251="GSK",PR!$X249,IF(K251="GLOBORG",PR!$Y249,IF(K251="GOODNEWS",PR!$Z249,IF(K251="GREENLIFE",PR!$AA249,IF(K251="HLINE",PR!$AB249,IF(K251="ROTECH",PR!$AC249,IF(K251="ISN",PR!$AD249,IF(K251="JAWA",PR!$AE249,IF(K251="LAYO",PR!$AF249,IF(K251="LEADWAY",PR!$AG249,IF(K251="LHV",PR!$AH249,IF(K251="MANOLA",PR!$AI249,IF(K251="MARCSON",PR!$AJ249,IF(K251="M&amp;B",PR!$AK249,IF(K251="MTRUST",PR!$AL249,IF(K251="MWORLD",PR!$AM249,IF(K251="MEGA",PR!$AN249,IF(K251="MICRONOVA",PR!$AO249,IF(K251="MFLASH",PR!$AP249,IF(K251="MORISON",PR!$AQ249,IF(K251="NEMEL",PR!$AR249,IF(K251="NHP",PR!$AS249,IF(K251="NHC",PR!$AT249,IF(K251="OLEAF",PR!$AU249,IF(K251="OCULUS",PR!$AV249,IF(K251="PACIFIC",PR!$AW249,IF(K251="PHAMATEX",PR!$AX249,IF(K251="PETHICS",PR!$AY249,IF(K251="PHILIPS",PR!$AZ249,IF(K251="RANBAXY",PR!$BA249,IF(K251="REALS",PR!$BB249,IF(K251="ROYAL",PR!$BC249,IF(K251="SAM",PR!$BD249,IF(K251="SEAGREEN",PR!$BE249,IF(K251="SKG",PR!$BF249,IF(K251="TAH",PR!$BG249,IF(K251="TAYLEK",PR!$BH249,IF(K251="TEMITA",PR!$BI249,IF(K251="THL",PR!$BJ249,IF(K251="UBASTIC",PR!$BK249,IF(K251="UNION",PR!$BL249,IF(K251="UNIQUE",PR!$BM249,IF(K251="VIXA",PR!$BN249,IF(K251="WWCV",PR!$BO249,IF(K251="ZOLON",PR!$BP249,"-")))))))))))))))))))))))))))))))))))))))))))))))))))))))))))))))))</f>
        <v>-</v>
      </c>
    </row>
    <row r="252" spans="1:12" ht="18.75" x14ac:dyDescent="0.3">
      <c r="A252" s="430">
        <f>PR!A250</f>
        <v>226</v>
      </c>
      <c r="B252" s="15" t="str">
        <f>PR!B250</f>
        <v>CEFPODOXIME SUSPENSION  (100ML)</v>
      </c>
      <c r="C252" s="113" t="str">
        <f>PR!D250</f>
        <v>BOTT</v>
      </c>
      <c r="D252" s="113">
        <f>PR!C250</f>
        <v>200</v>
      </c>
      <c r="E252" s="108">
        <f>IF(F252="ALPHA",PR!$E250,IF(F252="ASSENE",PR!$F250,IF(F252="BIOFEM",PR!$G250,IF(F252="BIOMED",PR!$H250,IF(F252="CHI",PR!$I250,IF(F252="CLARION",PR!$J250,IF(F252="CODIX",PR!$K250,IF(F252="COSMADE",PR!$L250,IF(F252="SANCON",PR!$M250,IF(F252="DEVON",PR!$N250,IF(F252="DORTEMAG",PR!$O250,IF(F252="DGF",PR!$P250,IF(F252="DYNAMIC",PR!$Q250,IF(F252="EMZOR",PR!$R250,IF(F252="EUMATT",PR!$S250,IF(F252="FIDSON",PR!$T250,IF(F252="FCGLOBAL",PR!$U250,IF(F252="GENEITH",PR!$V250,IF(F252="GINOS",PR!$W250,IF(F252="GSK",PR!$X250,IF(F252="GLOBORG",PR!$Y250,IF(F252="GOODNEWS",PR!$Z250,IF(F252="GREENLIFE",PR!$AA250,IF(F252="HLINE",PR!$AB250,IF(F252="ROTECH",PR!$AC250,IF(F252="ISN",PR!$AD250,IF(F252="JAWA",PR!$AE250,IF(F252="LAYO",PR!$AF250,IF(F252="LEADWAY",PR!$AG250,IF(F252="LHV",PR!$AH250,IF(F252="MANOLA",PR!$AI250,IF(F252="MARCSON",PR!$AJ250,IF(F252="M&amp;B",PR!$AK250,IF(F252="MTRUST",PR!$AL250,IF(F252="MWORLD",PR!$AM250,IF(F252="MEGA",PR!$AN250,IF(F252="MICRONOVA",PR!$AO250,IF(F252="MFLASH",PR!$AP250,IF(F252="MORISON",PR!$AQ250,IF(F252="NEMEL",PR!$AR250,IF(F252="NHP",PR!$AS250,IF(F252="NHC",PR!$AT250,IF(F252="OLEAF",PR!$AU250,IF(F252="OCULUS",PR!$AV250,IF(F252="PACIFIC",PR!$AW250,IF(F252="PHAMATEX",PR!$AX250,IF(F252="PETHICS",PR!$AY250,IF(F252="PHILIPS",PR!$AZ250,IF(F252="RANBAXY",PR!$BA250,IF(F252="REALS",PR!$BB250,IF(F252="ROYAL",PR!$BC250,IF(F252="SAM",PR!$BD250,IF(F252="SEAGREEN",PR!$BE250,IF(F252="SKG",PR!$BF250,IF(F252="TAH",PR!$BG250,IF(F252="TAYLEK",PR!$BH250,IF(F252="TEMITA",PR!$BI250,IF(F252="THL",PR!$BJ250,IF(F252="UBASTIC",PR!$BK250,IF(F252="UNION",PR!$BL250,IF(F252="UNIQUE",PR!$BM250,IF(F252="VIXA",PR!$BN250,IF(F252="WWCV",PR!$BO250,IF(F252="ZOLON",PR!$BP250,"-"))))))))))))))))))))))))))))))))))))))))))))))))))))))))))))))))</f>
        <v>1590</v>
      </c>
      <c r="F252" s="102" t="str">
        <f>EV!L314</f>
        <v>MFLASH</v>
      </c>
      <c r="G252" s="108">
        <f>IF(H252="ALPHA",PR!$E250,IF(H252="ASSENE",PR!$F250,IF(H252="BIOFEM",PR!$G250,IF(H252="BIOMED",PR!$H250,IF(H252="CHI",PR!$I250,IF(H252="CLARION",PR!$J250,IF(H252="CODIX",PR!$K250,IF(H252="COSMADE",PR!$L250,IF(H252="SANCON",PR!$M250,IF(H252="DEVON",PR!$N250,IF(H252="DORTEMAG",PR!$O250,IF(H252="DGF",PR!$P250,IF(H252="DYNAMIC",PR!$Q250,IF(H252="EMZOR",PR!$R250,IF(H252="EUMATT",PR!$S250,IF(H252="FIDSON",PR!$T250,IF(H252="FCGLOBAL",PR!$U250,IF(H252="GENEITH",PR!$V250,IF(H252="GINOS",PR!$W250,IF(H252="GSK",PR!$X250,IF(H252="GLOBORG",PR!$Y250,IF(H252="GOODNEWS",PR!$Z250,IF(H252="GREENLIFE",PR!$AA250,IF(H252="HLINE",PR!$AB250,IF(H252="ROTECH",PR!$AC250,IF(H252="ISN",PR!$AD250,IF(H252="JAWA",PR!$AE250,IF(H252="LAYO",PR!$AF250,IF(H252="LEADWAY",PR!$AG250,IF(H252="LHV",PR!$AH250,IF(H252="MANOLA",PR!$AI250,IF(H252="MARCSON",PR!$AJ250,IF(H252="M&amp;B",PR!$AK250,IF(H252="MTRUST",PR!$AL250,IF(H252="MWORLD",PR!$AM250,IF(H252="MEGA",PR!$AN250,IF(H252="MICRONOVA",PR!$AO250,IF(H252="MFLASH",PR!$AP250,IF(H252="MORISON",PR!$AQ250,IF(H252="NEMEL",PR!$AR250,IF(H252="NHP",PR!$AS250,IF(H252="NHC",PR!$AT250,IF(H252="OLEAF",PR!$AU250,IF(H252="OCULUS",PR!$AV250,IF(H252="PACIFIC",PR!$AW250,IF(H252="PHAMATEX",PR!$AX250,IF(H252="PETHICS",PR!$AY250,IF(H252="PHILIPS",PR!$AZ250,IF(H252="RANBAXY",PR!$BA250,IF(H252="REALS",PR!$BB250,IF(H252="ROYAL",PR!$BC250,IF(H252="SAM",PR!$BD250,IF(H252="SEAGREEN",PR!$BE250,IF(H252="SKG",PR!$BF250,IF(H252="TAH",PR!$BG250,IF(H252="TAYLEK",PR!$BH250,IF(H252="TEMITA",PR!$BI250,IF(H252="THL",PR!$BJ250,IF(H252="UBASTIC",PR!$BK250,IF(H252="UNION",PR!$BL250,IF(H252="UNIQUE",PR!$BM250,IF(H252="VIXA",PR!$BN250,IF(H252="WWCV",PR!$BO250,IF(H252="ZOLON",PR!$BP250,"-"))))))))))))))))))))))))))))))))))))))))))))))))))))))))))))))))</f>
        <v>2200</v>
      </c>
      <c r="H252" s="102" t="str">
        <f>EV!M314</f>
        <v>CHI</v>
      </c>
      <c r="I252" s="108">
        <f>IF(J252="ALPHA",PR!$E250,IF(J252="ASSENE",PR!$F250,IF(J252="BIOFEM",PR!$G250,IF(J252="BIOMED",PR!$H250,IF(J252="CHI",PR!$I250,IF(J252="CLARION",PR!$J250,IF(J252="CODIX",PR!$K250,IF(J252="COSMADE",PR!$L250,IF(J252="SANCON",PR!$M250,IF(J252="DEVON",PR!$N250,IF(J252="DORTEMAG",PR!$O250,IF(J252="DGF",PR!$P250,IF(J252="DYNAMIC",PR!$Q250,IF(J252="EMZOR",PR!$R250,IF(J252="EUMATT",PR!$S250,IF(J252="FIDSON",PR!$T250,IF(J252="FCGLOBAL",PR!$U250,IF(J252="GENEITH",PR!$V250,IF(J252="GINOS",PR!$W250,IF(J252="GSK",PR!$X250,IF(J252="GLOBORG",PR!$Y250,IF(J252="GOODNEWS",PR!$Z250,IF(J252="GREENLIFE",PR!$AA250,IF(J252="HLINE",PR!$AB250,IF(J252="ROTECH",PR!$AC250,IF(J252="ISN",PR!$AD250,IF(J252="JAWA",PR!$AE250,IF(J252="LAYO",PR!$AF250,IF(J252="LEADWAY",PR!$AG250,IF(J252="LHV",PR!$AH250,IF(J252="MANOLA",PR!$AI250,IF(J252="MARCSON",PR!$AJ250,IF(J252="M&amp;B",PR!$AK250,IF(J252="MTRUST",PR!$AL250,IF(J252="MWORLD",PR!$AM250,IF(J252="MEGA",PR!$AN250,IF(J252="MICRONOVA",PR!$AO250,IF(J252="MFLASH",PR!$AP250,IF(J252="MORISON",PR!$AQ250,IF(J252="NEMEL",PR!$AR250,IF(J252="NHP",PR!$AS250,IF(J252="NHC",PR!$AT250,IF(J252="OLEAF",PR!$AU250,IF(J252="OCULUS",PR!$AV250,IF(J252="PACIFIC",PR!$AW250,IF(J252="PHAMATEX",PR!$AX250,IF(J252="PETHICS",PR!$AY250,IF(J252="PHILIPS",PR!$AZ250,IF(J252="RANBAXY",PR!$BA250,IF(J252="REALS",PR!$BB250,IF(J252="ROYAL",PR!$BC250,IF(J252="SAM",PR!$BD250,IF(J252="SEAGREEN",PR!$BE250,IF(J252="SKG",PR!$BF250,IF(J252="TAH",PR!$BG250,IF(J252="TAYLEK",PR!$BH250,IF(J252="TEMITA",PR!$BI250,IF(J252="THL",PR!$BJ250,IF(J252="UBASTIC",PR!$BK250,IF(J252="UNION",PR!$BL250,IF(J252="UNIQUE",PR!$BM250,IF(J252="VIXA",PR!$BN250,IF(J252="WWCV",PR!$BO250,IF(J252="ZOLON",PR!$BP250,"-"))))))))))))))))))))))))))))))))))))))))))))))))))))))))))))))))</f>
        <v>2700</v>
      </c>
      <c r="J252" s="102" t="str">
        <f>EV!N314</f>
        <v>EUMATT</v>
      </c>
      <c r="K252" s="433" t="s">
        <v>1446</v>
      </c>
      <c r="L252" s="183">
        <f>IF(K252&gt;0,IF(K252="ALPHA",PR!$E250,IF(K252="ASSENE",PR!$F250,IF(K252="BIOFEM",PR!$G250,IF(K252="BIOMED",PR!$H250,IF(K252="CHI",PR!$I250,IF(K252="CLARION",PR!$J250,IF(K252="CODIX",PR!$K250,IF(K252="COSMADE",PR!$L250,IF(K252="SANCON",PR!$M250,IF(K252="DEVON",PR!$N250,IF(K252="DORTEMAG",PR!$O250,IF(K252="DGF",PR!$P250,IF(K252="DYNAMIC",PR!$Q250,IF(K252="EMZOR",PR!$R250,IF(K252="EUMATT",PR!$S250,IF(K252="FIDSON",PR!$T250,IF(K252="FCGLOBAL",PR!$U250,IF(K252="GENEITH",PR!$V250,IF(K252="GINOS",PR!$W250,IF(K252="GSK",PR!$X250,IF(K252="GLOBORG",PR!$Y250,IF(K252="GOODNEWS",PR!$Z250,IF(K252="GREENLIFE",PR!$AA250,IF(K252="HLINE",PR!$AB250,IF(K252="ROTECH",PR!$AC250,IF(K252="ISN",PR!$AD250,IF(K252="JAWA",PR!$AE250,IF(K252="LAYO",PR!$AF250,IF(K252="LEADWAY",PR!$AG250,IF(K252="LHV",PR!$AH250,IF(K252="MANOLA",PR!$AI250,IF(K252="MARCSON",PR!$AJ250,IF(K252="M&amp;B",PR!$AK250,IF(K252="MTRUST",PR!$AL250,IF(K252="MWORLD",PR!$AM250,IF(K252="MEGA",PR!$AN250,IF(K252="MICRONOVA",PR!$AO250,IF(K252="MFLASH",PR!$AP250,IF(K252="MORISON",PR!$AQ250,IF(K252="NEMEL",PR!$AR250,IF(K252="NHP",PR!$AS250,IF(K252="NHC",PR!$AT250,IF(K252="OLEAF",PR!$AU250,IF(K252="OCULUS",PR!$AV250,IF(K252="PACIFIC",PR!$AW250,IF(K252="PHAMATEX",PR!$AX250,IF(K252="PETHICS",PR!$AY250,IF(K252="PHILIPS",PR!$AZ250,IF(K252="RANBAXY",PR!$BA250,IF(K252="REALS",PR!$BB250,IF(K252="ROYAL",PR!$BC250,IF(K252="SAM",PR!$BD250,IF(K252="SEAGREEN",PR!$BE250,IF(K252="SKG",PR!$BF250,IF(K252="TAH",PR!$BG250,IF(K252="TAYLEK",PR!$BH250,IF(K252="TEMITA",PR!$BI250,IF(K252="THL",PR!$BJ250,IF(K252="UBASTIC",PR!$BK250,IF(K252="UNION",PR!$BL250,IF(K252="UNIQUE",PR!$BM250,IF(K252="VIXA",PR!$BN250,IF(K252="WWCV",PR!$BO250,IF(K252="ZOLON",PR!$BP250,"-")))))))))))))))))))))))))))))))))))))))))))))))))))))))))))))))))</f>
        <v>2200</v>
      </c>
    </row>
    <row r="253" spans="1:12" ht="18.75" x14ac:dyDescent="0.3">
      <c r="A253" s="430">
        <f>PR!A251</f>
        <v>227</v>
      </c>
      <c r="B253" s="15" t="str">
        <f>PR!B251</f>
        <v>CEFTAZIDIME 1G INJ</v>
      </c>
      <c r="C253" s="113" t="str">
        <f>PR!D251</f>
        <v>VIAL</v>
      </c>
      <c r="D253" s="113">
        <f>PR!C251</f>
        <v>3000</v>
      </c>
      <c r="E253" s="108">
        <f>IF(F253="ALPHA",PR!$E251,IF(F253="ASSENE",PR!$F251,IF(F253="BIOFEM",PR!$G251,IF(F253="BIOMED",PR!$H251,IF(F253="CHI",PR!$I251,IF(F253="CLARION",PR!$J251,IF(F253="CODIX",PR!$K251,IF(F253="COSMADE",PR!$L251,IF(F253="SANCON",PR!$M251,IF(F253="DEVON",PR!$N251,IF(F253="DORTEMAG",PR!$O251,IF(F253="DGF",PR!$P251,IF(F253="DYNAMIC",PR!$Q251,IF(F253="EMZOR",PR!$R251,IF(F253="EUMATT",PR!$S251,IF(F253="FIDSON",PR!$T251,IF(F253="FCGLOBAL",PR!$U251,IF(F253="GENEITH",PR!$V251,IF(F253="GINOS",PR!$W251,IF(F253="GSK",PR!$X251,IF(F253="GLOBORG",PR!$Y251,IF(F253="GOODNEWS",PR!$Z251,IF(F253="GREENLIFE",PR!$AA251,IF(F253="HLINE",PR!$AB251,IF(F253="ROTECH",PR!$AC251,IF(F253="ISN",PR!$AD251,IF(F253="JAWA",PR!$AE251,IF(F253="LAYO",PR!$AF251,IF(F253="LEADWAY",PR!$AG251,IF(F253="LHV",PR!$AH251,IF(F253="MANOLA",PR!$AI251,IF(F253="MARCSON",PR!$AJ251,IF(F253="M&amp;B",PR!$AK251,IF(F253="MTRUST",PR!$AL251,IF(F253="MWORLD",PR!$AM251,IF(F253="MEGA",PR!$AN251,IF(F253="MICRONOVA",PR!$AO251,IF(F253="MFLASH",PR!$AP251,IF(F253="MORISON",PR!$AQ251,IF(F253="NEMEL",PR!$AR251,IF(F253="NHP",PR!$AS251,IF(F253="NHC",PR!$AT251,IF(F253="OLEAF",PR!$AU251,IF(F253="OCULUS",PR!$AV251,IF(F253="PACIFIC",PR!$AW251,IF(F253="PHAMATEX",PR!$AX251,IF(F253="PETHICS",PR!$AY251,IF(F253="PHILIPS",PR!$AZ251,IF(F253="RANBAXY",PR!$BA251,IF(F253="REALS",PR!$BB251,IF(F253="ROYAL",PR!$BC251,IF(F253="SAM",PR!$BD251,IF(F253="SEAGREEN",PR!$BE251,IF(F253="SKG",PR!$BF251,IF(F253="TAH",PR!$BG251,IF(F253="TAYLEK",PR!$BH251,IF(F253="TEMITA",PR!$BI251,IF(F253="THL",PR!$BJ251,IF(F253="UBASTIC",PR!$BK251,IF(F253="UNION",PR!$BL251,IF(F253="UNIQUE",PR!$BM251,IF(F253="VIXA",PR!$BN251,IF(F253="WWCV",PR!$BO251,IF(F253="ZOLON",PR!$BP251,"-"))))))))))))))))))))))))))))))))))))))))))))))))))))))))))))))))</f>
        <v>550</v>
      </c>
      <c r="F253" s="102" t="str">
        <f>EV!L315</f>
        <v>EUMATT</v>
      </c>
      <c r="G253" s="108">
        <f>IF(H253="ALPHA",PR!$E251,IF(H253="ASSENE",PR!$F251,IF(H253="BIOFEM",PR!$G251,IF(H253="BIOMED",PR!$H251,IF(H253="CHI",PR!$I251,IF(H253="CLARION",PR!$J251,IF(H253="CODIX",PR!$K251,IF(H253="COSMADE",PR!$L251,IF(H253="SANCON",PR!$M251,IF(H253="DEVON",PR!$N251,IF(H253="DORTEMAG",PR!$O251,IF(H253="DGF",PR!$P251,IF(H253="DYNAMIC",PR!$Q251,IF(H253="EMZOR",PR!$R251,IF(H253="EUMATT",PR!$S251,IF(H253="FIDSON",PR!$T251,IF(H253="FCGLOBAL",PR!$U251,IF(H253="GENEITH",PR!$V251,IF(H253="GINOS",PR!$W251,IF(H253="GSK",PR!$X251,IF(H253="GLOBORG",PR!$Y251,IF(H253="GOODNEWS",PR!$Z251,IF(H253="GREENLIFE",PR!$AA251,IF(H253="HLINE",PR!$AB251,IF(H253="ROTECH",PR!$AC251,IF(H253="ISN",PR!$AD251,IF(H253="JAWA",PR!$AE251,IF(H253="LAYO",PR!$AF251,IF(H253="LEADWAY",PR!$AG251,IF(H253="LHV",PR!$AH251,IF(H253="MANOLA",PR!$AI251,IF(H253="MARCSON",PR!$AJ251,IF(H253="M&amp;B",PR!$AK251,IF(H253="MTRUST",PR!$AL251,IF(H253="MWORLD",PR!$AM251,IF(H253="MEGA",PR!$AN251,IF(H253="MICRONOVA",PR!$AO251,IF(H253="MFLASH",PR!$AP251,IF(H253="MORISON",PR!$AQ251,IF(H253="NEMEL",PR!$AR251,IF(H253="NHP",PR!$AS251,IF(H253="NHC",PR!$AT251,IF(H253="OLEAF",PR!$AU251,IF(H253="OCULUS",PR!$AV251,IF(H253="PACIFIC",PR!$AW251,IF(H253="PHAMATEX",PR!$AX251,IF(H253="PETHICS",PR!$AY251,IF(H253="PHILIPS",PR!$AZ251,IF(H253="RANBAXY",PR!$BA251,IF(H253="REALS",PR!$BB251,IF(H253="ROYAL",PR!$BC251,IF(H253="SAM",PR!$BD251,IF(H253="SEAGREEN",PR!$BE251,IF(H253="SKG",PR!$BF251,IF(H253="TAH",PR!$BG251,IF(H253="TAYLEK",PR!$BH251,IF(H253="TEMITA",PR!$BI251,IF(H253="THL",PR!$BJ251,IF(H253="UBASTIC",PR!$BK251,IF(H253="UNION",PR!$BL251,IF(H253="UNIQUE",PR!$BM251,IF(H253="VIXA",PR!$BN251,IF(H253="WWCV",PR!$BO251,IF(H253="ZOLON",PR!$BP251,"-"))))))))))))))))))))))))))))))))))))))))))))))))))))))))))))))))</f>
        <v>1850</v>
      </c>
      <c r="H253" s="102" t="str">
        <f>EV!M315</f>
        <v>DORTEMAG</v>
      </c>
      <c r="I253" s="108">
        <f>IF(J253="ALPHA",PR!$E251,IF(J253="ASSENE",PR!$F251,IF(J253="BIOFEM",PR!$G251,IF(J253="BIOMED",PR!$H251,IF(J253="CHI",PR!$I251,IF(J253="CLARION",PR!$J251,IF(J253="CODIX",PR!$K251,IF(J253="COSMADE",PR!$L251,IF(J253="SANCON",PR!$M251,IF(J253="DEVON",PR!$N251,IF(J253="DORTEMAG",PR!$O251,IF(J253="DGF",PR!$P251,IF(J253="DYNAMIC",PR!$Q251,IF(J253="EMZOR",PR!$R251,IF(J253="EUMATT",PR!$S251,IF(J253="FIDSON",PR!$T251,IF(J253="FCGLOBAL",PR!$U251,IF(J253="GENEITH",PR!$V251,IF(J253="GINOS",PR!$W251,IF(J253="GSK",PR!$X251,IF(J253="GLOBORG",PR!$Y251,IF(J253="GOODNEWS",PR!$Z251,IF(J253="GREENLIFE",PR!$AA251,IF(J253="HLINE",PR!$AB251,IF(J253="ROTECH",PR!$AC251,IF(J253="ISN",PR!$AD251,IF(J253="JAWA",PR!$AE251,IF(J253="LAYO",PR!$AF251,IF(J253="LEADWAY",PR!$AG251,IF(J253="LHV",PR!$AH251,IF(J253="MANOLA",PR!$AI251,IF(J253="MARCSON",PR!$AJ251,IF(J253="M&amp;B",PR!$AK251,IF(J253="MTRUST",PR!$AL251,IF(J253="MWORLD",PR!$AM251,IF(J253="MEGA",PR!$AN251,IF(J253="MICRONOVA",PR!$AO251,IF(J253="MFLASH",PR!$AP251,IF(J253="MORISON",PR!$AQ251,IF(J253="NEMEL",PR!$AR251,IF(J253="NHP",PR!$AS251,IF(J253="NHC",PR!$AT251,IF(J253="OLEAF",PR!$AU251,IF(J253="OCULUS",PR!$AV251,IF(J253="PACIFIC",PR!$AW251,IF(J253="PHAMATEX",PR!$AX251,IF(J253="PETHICS",PR!$AY251,IF(J253="PHILIPS",PR!$AZ251,IF(J253="RANBAXY",PR!$BA251,IF(J253="REALS",PR!$BB251,IF(J253="ROYAL",PR!$BC251,IF(J253="SAM",PR!$BD251,IF(J253="SEAGREEN",PR!$BE251,IF(J253="SKG",PR!$BF251,IF(J253="TAH",PR!$BG251,IF(J253="TAYLEK",PR!$BH251,IF(J253="TEMITA",PR!$BI251,IF(J253="THL",PR!$BJ251,IF(J253="UBASTIC",PR!$BK251,IF(J253="UNION",PR!$BL251,IF(J253="UNIQUE",PR!$BM251,IF(J253="VIXA",PR!$BN251,IF(J253="WWCV",PR!$BO251,IF(J253="ZOLON",PR!$BP251,"-"))))))))))))))))))))))))))))))))))))))))))))))))))))))))))))))))</f>
        <v>2419</v>
      </c>
      <c r="J253" s="102" t="str">
        <f>EV!N315</f>
        <v>WWCV</v>
      </c>
      <c r="K253" s="433" t="s">
        <v>2146</v>
      </c>
      <c r="L253" s="183" t="str">
        <f>IF(K253&gt;0,IF(K253="ALPHA",PR!$E251,IF(K253="ASSENE",PR!$F251,IF(K253="BIOFEM",PR!$G251,IF(K253="BIOMED",PR!$H251,IF(K253="CHI",PR!$I251,IF(K253="CLARION",PR!$J251,IF(K253="CODIX",PR!$K251,IF(K253="COSMADE",PR!$L251,IF(K253="SANCON",PR!$M251,IF(K253="DEVON",PR!$N251,IF(K253="DORTEMAG",PR!$O251,IF(K253="DGF",PR!$P251,IF(K253="DYNAMIC",PR!$Q251,IF(K253="EMZOR",PR!$R251,IF(K253="EUMATT",PR!$S251,IF(K253="FIDSON",PR!$T251,IF(K253="FCGLOBAL",PR!$U251,IF(K253="GENEITH",PR!$V251,IF(K253="GINOS",PR!$W251,IF(K253="GSK",PR!$X251,IF(K253="GLOBORG",PR!$Y251,IF(K253="GOODNEWS",PR!$Z251,IF(K253="GREENLIFE",PR!$AA251,IF(K253="HLINE",PR!$AB251,IF(K253="ROTECH",PR!$AC251,IF(K253="ISN",PR!$AD251,IF(K253="JAWA",PR!$AE251,IF(K253="LAYO",PR!$AF251,IF(K253="LEADWAY",PR!$AG251,IF(K253="LHV",PR!$AH251,IF(K253="MANOLA",PR!$AI251,IF(K253="MARCSON",PR!$AJ251,IF(K253="M&amp;B",PR!$AK251,IF(K253="MTRUST",PR!$AL251,IF(K253="MWORLD",PR!$AM251,IF(K253="MEGA",PR!$AN251,IF(K253="MICRONOVA",PR!$AO251,IF(K253="MFLASH",PR!$AP251,IF(K253="MORISON",PR!$AQ251,IF(K253="NEMEL",PR!$AR251,IF(K253="NHP",PR!$AS251,IF(K253="NHC",PR!$AT251,IF(K253="OLEAF",PR!$AU251,IF(K253="OCULUS",PR!$AV251,IF(K253="PACIFIC",PR!$AW251,IF(K253="PHAMATEX",PR!$AX251,IF(K253="PETHICS",PR!$AY251,IF(K253="PHILIPS",PR!$AZ251,IF(K253="RANBAXY",PR!$BA251,IF(K253="REALS",PR!$BB251,IF(K253="ROYAL",PR!$BC251,IF(K253="SAM",PR!$BD251,IF(K253="SEAGREEN",PR!$BE251,IF(K253="SKG",PR!$BF251,IF(K253="TAH",PR!$BG251,IF(K253="TAYLEK",PR!$BH251,IF(K253="TEMITA",PR!$BI251,IF(K253="THL",PR!$BJ251,IF(K253="UBASTIC",PR!$BK251,IF(K253="UNION",PR!$BL251,IF(K253="UNIQUE",PR!$BM251,IF(K253="VIXA",PR!$BN251,IF(K253="WWCV",PR!$BO251,IF(K253="ZOLON",PR!$BP251,"-")))))))))))))))))))))))))))))))))))))))))))))))))))))))))))))))))</f>
        <v>-</v>
      </c>
    </row>
    <row r="254" spans="1:12" ht="18.75" x14ac:dyDescent="0.3">
      <c r="A254" s="430">
        <f>PR!A252</f>
        <v>228</v>
      </c>
      <c r="B254" s="15" t="str">
        <f>PR!B252</f>
        <v>CEFTRIAXONE 1G INJ</v>
      </c>
      <c r="C254" s="113" t="str">
        <f>PR!D252</f>
        <v>VIAL</v>
      </c>
      <c r="D254" s="113">
        <f>PR!C252</f>
        <v>30000</v>
      </c>
      <c r="E254" s="108">
        <f>IF(F254="ALPHA",PR!$E252,IF(F254="ASSENE",PR!$F252,IF(F254="BIOFEM",PR!$G252,IF(F254="BIOMED",PR!$H252,IF(F254="CHI",PR!$I252,IF(F254="CLARION",PR!$J252,IF(F254="CODIX",PR!$K252,IF(F254="COSMADE",PR!$L252,IF(F254="SANCON",PR!$M252,IF(F254="DEVON",PR!$N252,IF(F254="DORTEMAG",PR!$O252,IF(F254="DGF",PR!$P252,IF(F254="DYNAMIC",PR!$Q252,IF(F254="EMZOR",PR!$R252,IF(F254="EUMATT",PR!$S252,IF(F254="FIDSON",PR!$T252,IF(F254="FCGLOBAL",PR!$U252,IF(F254="GENEITH",PR!$V252,IF(F254="GINOS",PR!$W252,IF(F254="GSK",PR!$X252,IF(F254="GLOBORG",PR!$Y252,IF(F254="GOODNEWS",PR!$Z252,IF(F254="GREENLIFE",PR!$AA252,IF(F254="HLINE",PR!$AB252,IF(F254="ROTECH",PR!$AC252,IF(F254="ISN",PR!$AD252,IF(F254="JAWA",PR!$AE252,IF(F254="LAYO",PR!$AF252,IF(F254="LEADWAY",PR!$AG252,IF(F254="LHV",PR!$AH252,IF(F254="MANOLA",PR!$AI252,IF(F254="MARCSON",PR!$AJ252,IF(F254="M&amp;B",PR!$AK252,IF(F254="MTRUST",PR!$AL252,IF(F254="MWORLD",PR!$AM252,IF(F254="MEGA",PR!$AN252,IF(F254="MICRONOVA",PR!$AO252,IF(F254="MFLASH",PR!$AP252,IF(F254="MORISON",PR!$AQ252,IF(F254="NEMEL",PR!$AR252,IF(F254="NHP",PR!$AS252,IF(F254="NHC",PR!$AT252,IF(F254="OLEAF",PR!$AU252,IF(F254="OCULUS",PR!$AV252,IF(F254="PACIFIC",PR!$AW252,IF(F254="PHAMATEX",PR!$AX252,IF(F254="PETHICS",PR!$AY252,IF(F254="PHILIPS",PR!$AZ252,IF(F254="RANBAXY",PR!$BA252,IF(F254="REALS",PR!$BB252,IF(F254="ROYAL",PR!$BC252,IF(F254="SAM",PR!$BD252,IF(F254="SEAGREEN",PR!$BE252,IF(F254="SKG",PR!$BF252,IF(F254="TAH",PR!$BG252,IF(F254="TAYLEK",PR!$BH252,IF(F254="TEMITA",PR!$BI252,IF(F254="THL",PR!$BJ252,IF(F254="UBASTIC",PR!$BK252,IF(F254="UNION",PR!$BL252,IF(F254="UNIQUE",PR!$BM252,IF(F254="VIXA",PR!$BN252,IF(F254="WWCV",PR!$BO252,IF(F254="ZOLON",PR!$BP252,"-"))))))))))))))))))))))))))))))))))))))))))))))))))))))))))))))))</f>
        <v>180</v>
      </c>
      <c r="F254" s="102" t="str">
        <f>EV!L316</f>
        <v>SEAGREEN</v>
      </c>
      <c r="G254" s="108">
        <f>IF(H254="ALPHA",PR!$E252,IF(H254="ASSENE",PR!$F252,IF(H254="BIOFEM",PR!$G252,IF(H254="BIOMED",PR!$H252,IF(H254="CHI",PR!$I252,IF(H254="CLARION",PR!$J252,IF(H254="CODIX",PR!$K252,IF(H254="COSMADE",PR!$L252,IF(H254="SANCON",PR!$M252,IF(H254="DEVON",PR!$N252,IF(H254="DORTEMAG",PR!$O252,IF(H254="DGF",PR!$P252,IF(H254="DYNAMIC",PR!$Q252,IF(H254="EMZOR",PR!$R252,IF(H254="EUMATT",PR!$S252,IF(H254="FIDSON",PR!$T252,IF(H254="FCGLOBAL",PR!$U252,IF(H254="GENEITH",PR!$V252,IF(H254="GINOS",PR!$W252,IF(H254="GSK",PR!$X252,IF(H254="GLOBORG",PR!$Y252,IF(H254="GOODNEWS",PR!$Z252,IF(H254="GREENLIFE",PR!$AA252,IF(H254="HLINE",PR!$AB252,IF(H254="ROTECH",PR!$AC252,IF(H254="ISN",PR!$AD252,IF(H254="JAWA",PR!$AE252,IF(H254="LAYO",PR!$AF252,IF(H254="LEADWAY",PR!$AG252,IF(H254="LHV",PR!$AH252,IF(H254="MANOLA",PR!$AI252,IF(H254="MARCSON",PR!$AJ252,IF(H254="M&amp;B",PR!$AK252,IF(H254="MTRUST",PR!$AL252,IF(H254="MWORLD",PR!$AM252,IF(H254="MEGA",PR!$AN252,IF(H254="MICRONOVA",PR!$AO252,IF(H254="MFLASH",PR!$AP252,IF(H254="MORISON",PR!$AQ252,IF(H254="NEMEL",PR!$AR252,IF(H254="NHP",PR!$AS252,IF(H254="NHC",PR!$AT252,IF(H254="OLEAF",PR!$AU252,IF(H254="OCULUS",PR!$AV252,IF(H254="PACIFIC",PR!$AW252,IF(H254="PHAMATEX",PR!$AX252,IF(H254="PETHICS",PR!$AY252,IF(H254="PHILIPS",PR!$AZ252,IF(H254="RANBAXY",PR!$BA252,IF(H254="REALS",PR!$BB252,IF(H254="ROYAL",PR!$BC252,IF(H254="SAM",PR!$BD252,IF(H254="SEAGREEN",PR!$BE252,IF(H254="SKG",PR!$BF252,IF(H254="TAH",PR!$BG252,IF(H254="TAYLEK",PR!$BH252,IF(H254="TEMITA",PR!$BI252,IF(H254="THL",PR!$BJ252,IF(H254="UBASTIC",PR!$BK252,IF(H254="UNION",PR!$BL252,IF(H254="UNIQUE",PR!$BM252,IF(H254="VIXA",PR!$BN252,IF(H254="WWCV",PR!$BO252,IF(H254="ZOLON",PR!$BP252,"-"))))))))))))))))))))))))))))))))))))))))))))))))))))))))))))))))</f>
        <v>180</v>
      </c>
      <c r="H254" s="102" t="str">
        <f>EV!M316</f>
        <v>EUMATT</v>
      </c>
      <c r="I254" s="108">
        <f>IF(J254="ALPHA",PR!$E252,IF(J254="ASSENE",PR!$F252,IF(J254="BIOFEM",PR!$G252,IF(J254="BIOMED",PR!$H252,IF(J254="CHI",PR!$I252,IF(J254="CLARION",PR!$J252,IF(J254="CODIX",PR!$K252,IF(J254="COSMADE",PR!$L252,IF(J254="SANCON",PR!$M252,IF(J254="DEVON",PR!$N252,IF(J254="DORTEMAG",PR!$O252,IF(J254="DGF",PR!$P252,IF(J254="DYNAMIC",PR!$Q252,IF(J254="EMZOR",PR!$R252,IF(J254="EUMATT",PR!$S252,IF(J254="FIDSON",PR!$T252,IF(J254="FCGLOBAL",PR!$U252,IF(J254="GENEITH",PR!$V252,IF(J254="GINOS",PR!$W252,IF(J254="GSK",PR!$X252,IF(J254="GLOBORG",PR!$Y252,IF(J254="GOODNEWS",PR!$Z252,IF(J254="GREENLIFE",PR!$AA252,IF(J254="HLINE",PR!$AB252,IF(J254="ROTECH",PR!$AC252,IF(J254="ISN",PR!$AD252,IF(J254="JAWA",PR!$AE252,IF(J254="LAYO",PR!$AF252,IF(J254="LEADWAY",PR!$AG252,IF(J254="LHV",PR!$AH252,IF(J254="MANOLA",PR!$AI252,IF(J254="MARCSON",PR!$AJ252,IF(J254="M&amp;B",PR!$AK252,IF(J254="MTRUST",PR!$AL252,IF(J254="MWORLD",PR!$AM252,IF(J254="MEGA",PR!$AN252,IF(J254="MICRONOVA",PR!$AO252,IF(J254="MFLASH",PR!$AP252,IF(J254="MORISON",PR!$AQ252,IF(J254="NEMEL",PR!$AR252,IF(J254="NHP",PR!$AS252,IF(J254="NHC",PR!$AT252,IF(J254="OLEAF",PR!$AU252,IF(J254="OCULUS",PR!$AV252,IF(J254="PACIFIC",PR!$AW252,IF(J254="PHAMATEX",PR!$AX252,IF(J254="PETHICS",PR!$AY252,IF(J254="PHILIPS",PR!$AZ252,IF(J254="RANBAXY",PR!$BA252,IF(J254="REALS",PR!$BB252,IF(J254="ROYAL",PR!$BC252,IF(J254="SAM",PR!$BD252,IF(J254="SEAGREEN",PR!$BE252,IF(J254="SKG",PR!$BF252,IF(J254="TAH",PR!$BG252,IF(J254="TAYLEK",PR!$BH252,IF(J254="TEMITA",PR!$BI252,IF(J254="THL",PR!$BJ252,IF(J254="UBASTIC",PR!$BK252,IF(J254="UNION",PR!$BL252,IF(J254="UNIQUE",PR!$BM252,IF(J254="VIXA",PR!$BN252,IF(J254="WWCV",PR!$BO252,IF(J254="ZOLON",PR!$BP252,"-"))))))))))))))))))))))))))))))))))))))))))))))))))))))))))))))))</f>
        <v>185</v>
      </c>
      <c r="J254" s="102" t="str">
        <f>EV!N316</f>
        <v>LEADWAY</v>
      </c>
      <c r="K254" s="433" t="s">
        <v>2121</v>
      </c>
      <c r="L254" s="183" t="str">
        <f>IF(K254&gt;0,IF(K254="ALPHA",PR!$E252,IF(K254="ASSENE",PR!$F252,IF(K254="BIOFEM",PR!$G252,IF(K254="BIOMED",PR!$H252,IF(K254="CHI",PR!$I252,IF(K254="CLARION",PR!$J252,IF(K254="CODIX",PR!$K252,IF(K254="COSMADE",PR!$L252,IF(K254="SANCON",PR!$M252,IF(K254="DEVON",PR!$N252,IF(K254="DORTEMAG",PR!$O252,IF(K254="DGF",PR!$P252,IF(K254="DYNAMIC",PR!$Q252,IF(K254="EMZOR",PR!$R252,IF(K254="EUMATT",PR!$S252,IF(K254="FIDSON",PR!$T252,IF(K254="FCGLOBAL",PR!$U252,IF(K254="GENEITH",PR!$V252,IF(K254="GINOS",PR!$W252,IF(K254="GSK",PR!$X252,IF(K254="GLOBORG",PR!$Y252,IF(K254="GOODNEWS",PR!$Z252,IF(K254="GREENLIFE",PR!$AA252,IF(K254="HLINE",PR!$AB252,IF(K254="ROTECH",PR!$AC252,IF(K254="ISN",PR!$AD252,IF(K254="JAWA",PR!$AE252,IF(K254="LAYO",PR!$AF252,IF(K254="LEADWAY",PR!$AG252,IF(K254="LHV",PR!$AH252,IF(K254="MANOLA",PR!$AI252,IF(K254="MARCSON",PR!$AJ252,IF(K254="M&amp;B",PR!$AK252,IF(K254="MTRUST",PR!$AL252,IF(K254="MWORLD",PR!$AM252,IF(K254="MEGA",PR!$AN252,IF(K254="MICRONOVA",PR!$AO252,IF(K254="MFLASH",PR!$AP252,IF(K254="MORISON",PR!$AQ252,IF(K254="NEMEL",PR!$AR252,IF(K254="NHP",PR!$AS252,IF(K254="NHC",PR!$AT252,IF(K254="OLEAF",PR!$AU252,IF(K254="OCULUS",PR!$AV252,IF(K254="PACIFIC",PR!$AW252,IF(K254="PHAMATEX",PR!$AX252,IF(K254="PETHICS",PR!$AY252,IF(K254="PHILIPS",PR!$AZ252,IF(K254="RANBAXY",PR!$BA252,IF(K254="REALS",PR!$BB252,IF(K254="ROYAL",PR!$BC252,IF(K254="SAM",PR!$BD252,IF(K254="SEAGREEN",PR!$BE252,IF(K254="SKG",PR!$BF252,IF(K254="TAH",PR!$BG252,IF(K254="TAYLEK",PR!$BH252,IF(K254="TEMITA",PR!$BI252,IF(K254="THL",PR!$BJ252,IF(K254="UBASTIC",PR!$BK252,IF(K254="UNION",PR!$BL252,IF(K254="UNIQUE",PR!$BM252,IF(K254="VIXA",PR!$BN252,IF(K254="WWCV",PR!$BO252,IF(K254="ZOLON",PR!$BP252,"-")))))))))))))))))))))))))))))))))))))))))))))))))))))))))))))))))</f>
        <v>-</v>
      </c>
    </row>
    <row r="255" spans="1:12" ht="18.75" x14ac:dyDescent="0.3">
      <c r="A255" s="430">
        <f>PR!A253</f>
        <v>229</v>
      </c>
      <c r="B255" s="15" t="str">
        <f>PR!B253</f>
        <v>CEFTRIAXONE+SULBACTAM INJ</v>
      </c>
      <c r="C255" s="113" t="str">
        <f>PR!D253</f>
        <v>VIAL</v>
      </c>
      <c r="D255" s="113">
        <f>PR!C253</f>
        <v>2500</v>
      </c>
      <c r="E255" s="108">
        <f>IF(F255="ALPHA",PR!$E253,IF(F255="ASSENE",PR!$F253,IF(F255="BIOFEM",PR!$G253,IF(F255="BIOMED",PR!$H253,IF(F255="CHI",PR!$I253,IF(F255="CLARION",PR!$J253,IF(F255="CODIX",PR!$K253,IF(F255="COSMADE",PR!$L253,IF(F255="SANCON",PR!$M253,IF(F255="DEVON",PR!$N253,IF(F255="DORTEMAG",PR!$O253,IF(F255="DGF",PR!$P253,IF(F255="DYNAMIC",PR!$Q253,IF(F255="EMZOR",PR!$R253,IF(F255="EUMATT",PR!$S253,IF(F255="FIDSON",PR!$T253,IF(F255="FCGLOBAL",PR!$U253,IF(F255="GENEITH",PR!$V253,IF(F255="GINOS",PR!$W253,IF(F255="GSK",PR!$X253,IF(F255="GLOBORG",PR!$Y253,IF(F255="GOODNEWS",PR!$Z253,IF(F255="GREENLIFE",PR!$AA253,IF(F255="HLINE",PR!$AB253,IF(F255="ROTECH",PR!$AC253,IF(F255="ISN",PR!$AD253,IF(F255="JAWA",PR!$AE253,IF(F255="LAYO",PR!$AF253,IF(F255="LEADWAY",PR!$AG253,IF(F255="LHV",PR!$AH253,IF(F255="MANOLA",PR!$AI253,IF(F255="MARCSON",PR!$AJ253,IF(F255="M&amp;B",PR!$AK253,IF(F255="MTRUST",PR!$AL253,IF(F255="MWORLD",PR!$AM253,IF(F255="MEGA",PR!$AN253,IF(F255="MICRONOVA",PR!$AO253,IF(F255="MFLASH",PR!$AP253,IF(F255="MORISON",PR!$AQ253,IF(F255="NEMEL",PR!$AR253,IF(F255="NHP",PR!$AS253,IF(F255="NHC",PR!$AT253,IF(F255="OLEAF",PR!$AU253,IF(F255="OCULUS",PR!$AV253,IF(F255="PACIFIC",PR!$AW253,IF(F255="PHAMATEX",PR!$AX253,IF(F255="PETHICS",PR!$AY253,IF(F255="PHILIPS",PR!$AZ253,IF(F255="RANBAXY",PR!$BA253,IF(F255="REALS",PR!$BB253,IF(F255="ROYAL",PR!$BC253,IF(F255="SAM",PR!$BD253,IF(F255="SEAGREEN",PR!$BE253,IF(F255="SKG",PR!$BF253,IF(F255="TAH",PR!$BG253,IF(F255="TAYLEK",PR!$BH253,IF(F255="TEMITA",PR!$BI253,IF(F255="THL",PR!$BJ253,IF(F255="UBASTIC",PR!$BK253,IF(F255="UNION",PR!$BL253,IF(F255="UNIQUE",PR!$BM253,IF(F255="VIXA",PR!$BN253,IF(F255="WWCV",PR!$BO253,IF(F255="ZOLON",PR!$BP253,"-"))))))))))))))))))))))))))))))))))))))))))))))))))))))))))))))))</f>
        <v>350</v>
      </c>
      <c r="F255" s="102" t="str">
        <f>EV!L317</f>
        <v>TAH</v>
      </c>
      <c r="G255" s="108">
        <f>IF(H255="ALPHA",PR!$E253,IF(H255="ASSENE",PR!$F253,IF(H255="BIOFEM",PR!$G253,IF(H255="BIOMED",PR!$H253,IF(H255="CHI",PR!$I253,IF(H255="CLARION",PR!$J253,IF(H255="CODIX",PR!$K253,IF(H255="COSMADE",PR!$L253,IF(H255="SANCON",PR!$M253,IF(H255="DEVON",PR!$N253,IF(H255="DORTEMAG",PR!$O253,IF(H255="DGF",PR!$P253,IF(H255="DYNAMIC",PR!$Q253,IF(H255="EMZOR",PR!$R253,IF(H255="EUMATT",PR!$S253,IF(H255="FIDSON",PR!$T253,IF(H255="FCGLOBAL",PR!$U253,IF(H255="GENEITH",PR!$V253,IF(H255="GINOS",PR!$W253,IF(H255="GSK",PR!$X253,IF(H255="GLOBORG",PR!$Y253,IF(H255="GOODNEWS",PR!$Z253,IF(H255="GREENLIFE",PR!$AA253,IF(H255="HLINE",PR!$AB253,IF(H255="ROTECH",PR!$AC253,IF(H255="ISN",PR!$AD253,IF(H255="JAWA",PR!$AE253,IF(H255="LAYO",PR!$AF253,IF(H255="LEADWAY",PR!$AG253,IF(H255="LHV",PR!$AH253,IF(H255="MANOLA",PR!$AI253,IF(H255="MARCSON",PR!$AJ253,IF(H255="M&amp;B",PR!$AK253,IF(H255="MTRUST",PR!$AL253,IF(H255="MWORLD",PR!$AM253,IF(H255="MEGA",PR!$AN253,IF(H255="MICRONOVA",PR!$AO253,IF(H255="MFLASH",PR!$AP253,IF(H255="MORISON",PR!$AQ253,IF(H255="NEMEL",PR!$AR253,IF(H255="NHP",PR!$AS253,IF(H255="NHC",PR!$AT253,IF(H255="OLEAF",PR!$AU253,IF(H255="OCULUS",PR!$AV253,IF(H255="PACIFIC",PR!$AW253,IF(H255="PHAMATEX",PR!$AX253,IF(H255="PETHICS",PR!$AY253,IF(H255="PHILIPS",PR!$AZ253,IF(H255="RANBAXY",PR!$BA253,IF(H255="REALS",PR!$BB253,IF(H255="ROYAL",PR!$BC253,IF(H255="SAM",PR!$BD253,IF(H255="SEAGREEN",PR!$BE253,IF(H255="SKG",PR!$BF253,IF(H255="TAH",PR!$BG253,IF(H255="TAYLEK",PR!$BH253,IF(H255="TEMITA",PR!$BI253,IF(H255="THL",PR!$BJ253,IF(H255="UBASTIC",PR!$BK253,IF(H255="UNION",PR!$BL253,IF(H255="UNIQUE",PR!$BM253,IF(H255="VIXA",PR!$BN253,IF(H255="WWCV",PR!$BO253,IF(H255="ZOLON",PR!$BP253,"-"))))))))))))))))))))))))))))))))))))))))))))))))))))))))))))))))</f>
        <v>400</v>
      </c>
      <c r="H255" s="102" t="str">
        <f>EV!M317</f>
        <v>EUMATT</v>
      </c>
      <c r="I255" s="108">
        <f>IF(J255="ALPHA",PR!$E253,IF(J255="ASSENE",PR!$F253,IF(J255="BIOFEM",PR!$G253,IF(J255="BIOMED",PR!$H253,IF(J255="CHI",PR!$I253,IF(J255="CLARION",PR!$J253,IF(J255="CODIX",PR!$K253,IF(J255="COSMADE",PR!$L253,IF(J255="SANCON",PR!$M253,IF(J255="DEVON",PR!$N253,IF(J255="DORTEMAG",PR!$O253,IF(J255="DGF",PR!$P253,IF(J255="DYNAMIC",PR!$Q253,IF(J255="EMZOR",PR!$R253,IF(J255="EUMATT",PR!$S253,IF(J255="FIDSON",PR!$T253,IF(J255="FCGLOBAL",PR!$U253,IF(J255="GENEITH",PR!$V253,IF(J255="GINOS",PR!$W253,IF(J255="GSK",PR!$X253,IF(J255="GLOBORG",PR!$Y253,IF(J255="GOODNEWS",PR!$Z253,IF(J255="GREENLIFE",PR!$AA253,IF(J255="HLINE",PR!$AB253,IF(J255="ROTECH",PR!$AC253,IF(J255="ISN",PR!$AD253,IF(J255="JAWA",PR!$AE253,IF(J255="LAYO",PR!$AF253,IF(J255="LEADWAY",PR!$AG253,IF(J255="LHV",PR!$AH253,IF(J255="MANOLA",PR!$AI253,IF(J255="MARCSON",PR!$AJ253,IF(J255="M&amp;B",PR!$AK253,IF(J255="MTRUST",PR!$AL253,IF(J255="MWORLD",PR!$AM253,IF(J255="MEGA",PR!$AN253,IF(J255="MICRONOVA",PR!$AO253,IF(J255="MFLASH",PR!$AP253,IF(J255="MORISON",PR!$AQ253,IF(J255="NEMEL",PR!$AR253,IF(J255="NHP",PR!$AS253,IF(J255="NHC",PR!$AT253,IF(J255="OLEAF",PR!$AU253,IF(J255="OCULUS",PR!$AV253,IF(J255="PACIFIC",PR!$AW253,IF(J255="PHAMATEX",PR!$AX253,IF(J255="PETHICS",PR!$AY253,IF(J255="PHILIPS",PR!$AZ253,IF(J255="RANBAXY",PR!$BA253,IF(J255="REALS",PR!$BB253,IF(J255="ROYAL",PR!$BC253,IF(J255="SAM",PR!$BD253,IF(J255="SEAGREEN",PR!$BE253,IF(J255="SKG",PR!$BF253,IF(J255="TAH",PR!$BG253,IF(J255="TAYLEK",PR!$BH253,IF(J255="TEMITA",PR!$BI253,IF(J255="THL",PR!$BJ253,IF(J255="UBASTIC",PR!$BK253,IF(J255="UNION",PR!$BL253,IF(J255="UNIQUE",PR!$BM253,IF(J255="VIXA",PR!$BN253,IF(J255="WWCV",PR!$BO253,IF(J255="ZOLON",PR!$BP253,"-"))))))))))))))))))))))))))))))))))))))))))))))))))))))))))))))))</f>
        <v>500</v>
      </c>
      <c r="J255" s="102" t="str">
        <f>EV!N317</f>
        <v>NHC</v>
      </c>
      <c r="K255" s="433" t="s">
        <v>823</v>
      </c>
      <c r="L255" s="183">
        <f>IF(K255&gt;0,IF(K255="ALPHA",PR!$E253,IF(K255="ASSENE",PR!$F253,IF(K255="BIOFEM",PR!$G253,IF(K255="BIOMED",PR!$H253,IF(K255="CHI",PR!$I253,IF(K255="CLARION",PR!$J253,IF(K255="CODIX",PR!$K253,IF(K255="COSMADE",PR!$L253,IF(K255="SANCON",PR!$M253,IF(K255="DEVON",PR!$N253,IF(K255="DORTEMAG",PR!$O253,IF(K255="DGF",PR!$P253,IF(K255="DYNAMIC",PR!$Q253,IF(K255="EMZOR",PR!$R253,IF(K255="EUMATT",PR!$S253,IF(K255="FIDSON",PR!$T253,IF(K255="FCGLOBAL",PR!$U253,IF(K255="GENEITH",PR!$V253,IF(K255="GINOS",PR!$W253,IF(K255="GSK",PR!$X253,IF(K255="GLOBORG",PR!$Y253,IF(K255="GOODNEWS",PR!$Z253,IF(K255="GREENLIFE",PR!$AA253,IF(K255="HLINE",PR!$AB253,IF(K255="ROTECH",PR!$AC253,IF(K255="ISN",PR!$AD253,IF(K255="JAWA",PR!$AE253,IF(K255="LAYO",PR!$AF253,IF(K255="LEADWAY",PR!$AG253,IF(K255="LHV",PR!$AH253,IF(K255="MANOLA",PR!$AI253,IF(K255="MARCSON",PR!$AJ253,IF(K255="M&amp;B",PR!$AK253,IF(K255="MTRUST",PR!$AL253,IF(K255="MWORLD",PR!$AM253,IF(K255="MEGA",PR!$AN253,IF(K255="MICRONOVA",PR!$AO253,IF(K255="MFLASH",PR!$AP253,IF(K255="MORISON",PR!$AQ253,IF(K255="NEMEL",PR!$AR253,IF(K255="NHP",PR!$AS253,IF(K255="NHC",PR!$AT253,IF(K255="OLEAF",PR!$AU253,IF(K255="OCULUS",PR!$AV253,IF(K255="PACIFIC",PR!$AW253,IF(K255="PHAMATEX",PR!$AX253,IF(K255="PETHICS",PR!$AY253,IF(K255="PHILIPS",PR!$AZ253,IF(K255="RANBAXY",PR!$BA253,IF(K255="REALS",PR!$BB253,IF(K255="ROYAL",PR!$BC253,IF(K255="SAM",PR!$BD253,IF(K255="SEAGREEN",PR!$BE253,IF(K255="SKG",PR!$BF253,IF(K255="TAH",PR!$BG253,IF(K255="TAYLEK",PR!$BH253,IF(K255="TEMITA",PR!$BI253,IF(K255="THL",PR!$BJ253,IF(K255="UBASTIC",PR!$BK253,IF(K255="UNION",PR!$BL253,IF(K255="UNIQUE",PR!$BM253,IF(K255="VIXA",PR!$BN253,IF(K255="WWCV",PR!$BO253,IF(K255="ZOLON",PR!$BP253,"-")))))))))))))))))))))))))))))))))))))))))))))))))))))))))))))))))</f>
        <v>900</v>
      </c>
    </row>
    <row r="256" spans="1:12" ht="18.75" x14ac:dyDescent="0.3">
      <c r="A256" s="430">
        <f>PR!A254</f>
        <v>230</v>
      </c>
      <c r="B256" s="15" t="str">
        <f>PR!B254</f>
        <v>CEFUROXIME 250MG TAB</v>
      </c>
      <c r="C256" s="113">
        <f>PR!D254</f>
        <v>10</v>
      </c>
      <c r="D256" s="113">
        <f>PR!C254</f>
        <v>1000</v>
      </c>
      <c r="E256" s="108">
        <f>IF(F256="ALPHA",PR!$E254,IF(F256="ASSENE",PR!$F254,IF(F256="BIOFEM",PR!$G254,IF(F256="BIOMED",PR!$H254,IF(F256="CHI",PR!$I254,IF(F256="CLARION",PR!$J254,IF(F256="CODIX",PR!$K254,IF(F256="COSMADE",PR!$L254,IF(F256="SANCON",PR!$M254,IF(F256="DEVON",PR!$N254,IF(F256="DORTEMAG",PR!$O254,IF(F256="DGF",PR!$P254,IF(F256="DYNAMIC",PR!$Q254,IF(F256="EMZOR",PR!$R254,IF(F256="EUMATT",PR!$S254,IF(F256="FIDSON",PR!$T254,IF(F256="FCGLOBAL",PR!$U254,IF(F256="GENEITH",PR!$V254,IF(F256="GINOS",PR!$W254,IF(F256="GSK",PR!$X254,IF(F256="GLOBORG",PR!$Y254,IF(F256="GOODNEWS",PR!$Z254,IF(F256="GREENLIFE",PR!$AA254,IF(F256="HLINE",PR!$AB254,IF(F256="ROTECH",PR!$AC254,IF(F256="ISN",PR!$AD254,IF(F256="JAWA",PR!$AE254,IF(F256="LAYO",PR!$AF254,IF(F256="LEADWAY",PR!$AG254,IF(F256="LHV",PR!$AH254,IF(F256="MANOLA",PR!$AI254,IF(F256="MARCSON",PR!$AJ254,IF(F256="M&amp;B",PR!$AK254,IF(F256="MTRUST",PR!$AL254,IF(F256="MWORLD",PR!$AM254,IF(F256="MEGA",PR!$AN254,IF(F256="MICRONOVA",PR!$AO254,IF(F256="MFLASH",PR!$AP254,IF(F256="MORISON",PR!$AQ254,IF(F256="NEMEL",PR!$AR254,IF(F256="NHP",PR!$AS254,IF(F256="NHC",PR!$AT254,IF(F256="OLEAF",PR!$AU254,IF(F256="OCULUS",PR!$AV254,IF(F256="PACIFIC",PR!$AW254,IF(F256="PHAMATEX",PR!$AX254,IF(F256="PETHICS",PR!$AY254,IF(F256="PHILIPS",PR!$AZ254,IF(F256="RANBAXY",PR!$BA254,IF(F256="REALS",PR!$BB254,IF(F256="ROYAL",PR!$BC254,IF(F256="SAM",PR!$BD254,IF(F256="SEAGREEN",PR!$BE254,IF(F256="SKG",PR!$BF254,IF(F256="TAH",PR!$BG254,IF(F256="TAYLEK",PR!$BH254,IF(F256="TEMITA",PR!$BI254,IF(F256="THL",PR!$BJ254,IF(F256="UBASTIC",PR!$BK254,IF(F256="UNION",PR!$BL254,IF(F256="UNIQUE",PR!$BM254,IF(F256="VIXA",PR!$BN254,IF(F256="WWCV",PR!$BO254,IF(F256="ZOLON",PR!$BP254,"-"))))))))))))))))))))))))))))))))))))))))))))))))))))))))))))))))</f>
        <v>580</v>
      </c>
      <c r="F256" s="102" t="str">
        <f>EV!L318</f>
        <v>EUMATT</v>
      </c>
      <c r="G256" s="108">
        <f>IF(H256="ALPHA",PR!$E254,IF(H256="ASSENE",PR!$F254,IF(H256="BIOFEM",PR!$G254,IF(H256="BIOMED",PR!$H254,IF(H256="CHI",PR!$I254,IF(H256="CLARION",PR!$J254,IF(H256="CODIX",PR!$K254,IF(H256="COSMADE",PR!$L254,IF(H256="SANCON",PR!$M254,IF(H256="DEVON",PR!$N254,IF(H256="DORTEMAG",PR!$O254,IF(H256="DGF",PR!$P254,IF(H256="DYNAMIC",PR!$Q254,IF(H256="EMZOR",PR!$R254,IF(H256="EUMATT",PR!$S254,IF(H256="FIDSON",PR!$T254,IF(H256="FCGLOBAL",PR!$U254,IF(H256="GENEITH",PR!$V254,IF(H256="GINOS",PR!$W254,IF(H256="GSK",PR!$X254,IF(H256="GLOBORG",PR!$Y254,IF(H256="GOODNEWS",PR!$Z254,IF(H256="GREENLIFE",PR!$AA254,IF(H256="HLINE",PR!$AB254,IF(H256="ROTECH",PR!$AC254,IF(H256="ISN",PR!$AD254,IF(H256="JAWA",PR!$AE254,IF(H256="LAYO",PR!$AF254,IF(H256="LEADWAY",PR!$AG254,IF(H256="LHV",PR!$AH254,IF(H256="MANOLA",PR!$AI254,IF(H256="MARCSON",PR!$AJ254,IF(H256="M&amp;B",PR!$AK254,IF(H256="MTRUST",PR!$AL254,IF(H256="MWORLD",PR!$AM254,IF(H256="MEGA",PR!$AN254,IF(H256="MICRONOVA",PR!$AO254,IF(H256="MFLASH",PR!$AP254,IF(H256="MORISON",PR!$AQ254,IF(H256="NEMEL",PR!$AR254,IF(H256="NHP",PR!$AS254,IF(H256="NHC",PR!$AT254,IF(H256="OLEAF",PR!$AU254,IF(H256="OCULUS",PR!$AV254,IF(H256="PACIFIC",PR!$AW254,IF(H256="PHAMATEX",PR!$AX254,IF(H256="PETHICS",PR!$AY254,IF(H256="PHILIPS",PR!$AZ254,IF(H256="RANBAXY",PR!$BA254,IF(H256="REALS",PR!$BB254,IF(H256="ROYAL",PR!$BC254,IF(H256="SAM",PR!$BD254,IF(H256="SEAGREEN",PR!$BE254,IF(H256="SKG",PR!$BF254,IF(H256="TAH",PR!$BG254,IF(H256="TAYLEK",PR!$BH254,IF(H256="TEMITA",PR!$BI254,IF(H256="THL",PR!$BJ254,IF(H256="UBASTIC",PR!$BK254,IF(H256="UNION",PR!$BL254,IF(H256="UNIQUE",PR!$BM254,IF(H256="VIXA",PR!$BN254,IF(H256="WWCV",PR!$BO254,IF(H256="ZOLON",PR!$BP254,"-"))))))))))))))))))))))))))))))))))))))))))))))))))))))))))))))))</f>
        <v>600</v>
      </c>
      <c r="H256" s="102" t="str">
        <f>EV!M318</f>
        <v>MFLASH</v>
      </c>
      <c r="I256" s="108">
        <f>IF(J256="ALPHA",PR!$E254,IF(J256="ASSENE",PR!$F254,IF(J256="BIOFEM",PR!$G254,IF(J256="BIOMED",PR!$H254,IF(J256="CHI",PR!$I254,IF(J256="CLARION",PR!$J254,IF(J256="CODIX",PR!$K254,IF(J256="COSMADE",PR!$L254,IF(J256="SANCON",PR!$M254,IF(J256="DEVON",PR!$N254,IF(J256="DORTEMAG",PR!$O254,IF(J256="DGF",PR!$P254,IF(J256="DYNAMIC",PR!$Q254,IF(J256="EMZOR",PR!$R254,IF(J256="EUMATT",PR!$S254,IF(J256="FIDSON",PR!$T254,IF(J256="FCGLOBAL",PR!$U254,IF(J256="GENEITH",PR!$V254,IF(J256="GINOS",PR!$W254,IF(J256="GSK",PR!$X254,IF(J256="GLOBORG",PR!$Y254,IF(J256="GOODNEWS",PR!$Z254,IF(J256="GREENLIFE",PR!$AA254,IF(J256="HLINE",PR!$AB254,IF(J256="ROTECH",PR!$AC254,IF(J256="ISN",PR!$AD254,IF(J256="JAWA",PR!$AE254,IF(J256="LAYO",PR!$AF254,IF(J256="LEADWAY",PR!$AG254,IF(J256="LHV",PR!$AH254,IF(J256="MANOLA",PR!$AI254,IF(J256="MARCSON",PR!$AJ254,IF(J256="M&amp;B",PR!$AK254,IF(J256="MTRUST",PR!$AL254,IF(J256="MWORLD",PR!$AM254,IF(J256="MEGA",PR!$AN254,IF(J256="MICRONOVA",PR!$AO254,IF(J256="MFLASH",PR!$AP254,IF(J256="MORISON",PR!$AQ254,IF(J256="NEMEL",PR!$AR254,IF(J256="NHP",PR!$AS254,IF(J256="NHC",PR!$AT254,IF(J256="OLEAF",PR!$AU254,IF(J256="OCULUS",PR!$AV254,IF(J256="PACIFIC",PR!$AW254,IF(J256="PHAMATEX",PR!$AX254,IF(J256="PETHICS",PR!$AY254,IF(J256="PHILIPS",PR!$AZ254,IF(J256="RANBAXY",PR!$BA254,IF(J256="REALS",PR!$BB254,IF(J256="ROYAL",PR!$BC254,IF(J256="SAM",PR!$BD254,IF(J256="SEAGREEN",PR!$BE254,IF(J256="SKG",PR!$BF254,IF(J256="TAH",PR!$BG254,IF(J256="TAYLEK",PR!$BH254,IF(J256="TEMITA",PR!$BI254,IF(J256="THL",PR!$BJ254,IF(J256="UBASTIC",PR!$BK254,IF(J256="UNION",PR!$BL254,IF(J256="UNIQUE",PR!$BM254,IF(J256="VIXA",PR!$BN254,IF(J256="WWCV",PR!$BO254,IF(J256="ZOLON",PR!$BP254,"-"))))))))))))))))))))))))))))))))))))))))))))))))))))))))))))))))</f>
        <v>600</v>
      </c>
      <c r="J256" s="102" t="str">
        <f>EV!N318</f>
        <v>HLINE</v>
      </c>
      <c r="K256" s="433" t="s">
        <v>862</v>
      </c>
      <c r="L256" s="183">
        <f>IF(K256&gt;0,IF(K256="ALPHA",PR!$E254,IF(K256="ASSENE",PR!$F254,IF(K256="BIOFEM",PR!$G254,IF(K256="BIOMED",PR!$H254,IF(K256="CHI",PR!$I254,IF(K256="CLARION",PR!$J254,IF(K256="CODIX",PR!$K254,IF(K256="COSMADE",PR!$L254,IF(K256="SANCON",PR!$M254,IF(K256="DEVON",PR!$N254,IF(K256="DORTEMAG",PR!$O254,IF(K256="DGF",PR!$P254,IF(K256="DYNAMIC",PR!$Q254,IF(K256="EMZOR",PR!$R254,IF(K256="EUMATT",PR!$S254,IF(K256="FIDSON",PR!$T254,IF(K256="FCGLOBAL",PR!$U254,IF(K256="GENEITH",PR!$V254,IF(K256="GINOS",PR!$W254,IF(K256="GSK",PR!$X254,IF(K256="GLOBORG",PR!$Y254,IF(K256="GOODNEWS",PR!$Z254,IF(K256="GREENLIFE",PR!$AA254,IF(K256="HLINE",PR!$AB254,IF(K256="ROTECH",PR!$AC254,IF(K256="ISN",PR!$AD254,IF(K256="JAWA",PR!$AE254,IF(K256="LAYO",PR!$AF254,IF(K256="LEADWAY",PR!$AG254,IF(K256="LHV",PR!$AH254,IF(K256="MANOLA",PR!$AI254,IF(K256="MARCSON",PR!$AJ254,IF(K256="M&amp;B",PR!$AK254,IF(K256="MTRUST",PR!$AL254,IF(K256="MWORLD",PR!$AM254,IF(K256="MEGA",PR!$AN254,IF(K256="MICRONOVA",PR!$AO254,IF(K256="MFLASH",PR!$AP254,IF(K256="MORISON",PR!$AQ254,IF(K256="NEMEL",PR!$AR254,IF(K256="NHP",PR!$AS254,IF(K256="NHC",PR!$AT254,IF(K256="OLEAF",PR!$AU254,IF(K256="OCULUS",PR!$AV254,IF(K256="PACIFIC",PR!$AW254,IF(K256="PHAMATEX",PR!$AX254,IF(K256="PETHICS",PR!$AY254,IF(K256="PHILIPS",PR!$AZ254,IF(K256="RANBAXY",PR!$BA254,IF(K256="REALS",PR!$BB254,IF(K256="ROYAL",PR!$BC254,IF(K256="SAM",PR!$BD254,IF(K256="SEAGREEN",PR!$BE254,IF(K256="SKG",PR!$BF254,IF(K256="TAH",PR!$BG254,IF(K256="TAYLEK",PR!$BH254,IF(K256="TEMITA",PR!$BI254,IF(K256="THL",PR!$BJ254,IF(K256="UBASTIC",PR!$BK254,IF(K256="UNION",PR!$BL254,IF(K256="UNIQUE",PR!$BM254,IF(K256="VIXA",PR!$BN254,IF(K256="WWCV",PR!$BO254,IF(K256="ZOLON",PR!$BP254,"-")))))))))))))))))))))))))))))))))))))))))))))))))))))))))))))))))</f>
        <v>600</v>
      </c>
    </row>
    <row r="257" spans="1:12" ht="18.75" x14ac:dyDescent="0.3">
      <c r="A257" s="430">
        <f>PR!A255</f>
        <v>231</v>
      </c>
      <c r="B257" s="15" t="str">
        <f>PR!B255</f>
        <v>CEFUROXIME 500MG TAB</v>
      </c>
      <c r="C257" s="113">
        <f>PR!D255</f>
        <v>10</v>
      </c>
      <c r="D257" s="113">
        <f>PR!C255</f>
        <v>4000</v>
      </c>
      <c r="E257" s="108">
        <f>IF(F257="ALPHA",PR!$E255,IF(F257="ASSENE",PR!$F255,IF(F257="BIOFEM",PR!$G255,IF(F257="BIOMED",PR!$H255,IF(F257="CHI",PR!$I255,IF(F257="CLARION",PR!$J255,IF(F257="CODIX",PR!$K255,IF(F257="COSMADE",PR!$L255,IF(F257="SANCON",PR!$M255,IF(F257="DEVON",PR!$N255,IF(F257="DORTEMAG",PR!$O255,IF(F257="DGF",PR!$P255,IF(F257="DYNAMIC",PR!$Q255,IF(F257="EMZOR",PR!$R255,IF(F257="EUMATT",PR!$S255,IF(F257="FIDSON",PR!$T255,IF(F257="FCGLOBAL",PR!$U255,IF(F257="GENEITH",PR!$V255,IF(F257="GINOS",PR!$W255,IF(F257="GSK",PR!$X255,IF(F257="GLOBORG",PR!$Y255,IF(F257="GOODNEWS",PR!$Z255,IF(F257="GREENLIFE",PR!$AA255,IF(F257="HLINE",PR!$AB255,IF(F257="ROTECH",PR!$AC255,IF(F257="ISN",PR!$AD255,IF(F257="JAWA",PR!$AE255,IF(F257="LAYO",PR!$AF255,IF(F257="LEADWAY",PR!$AG255,IF(F257="LHV",PR!$AH255,IF(F257="MANOLA",PR!$AI255,IF(F257="MARCSON",PR!$AJ255,IF(F257="M&amp;B",PR!$AK255,IF(F257="MTRUST",PR!$AL255,IF(F257="MWORLD",PR!$AM255,IF(F257="MEGA",PR!$AN255,IF(F257="MICRONOVA",PR!$AO255,IF(F257="MFLASH",PR!$AP255,IF(F257="MORISON",PR!$AQ255,IF(F257="NEMEL",PR!$AR255,IF(F257="NHP",PR!$AS255,IF(F257="NHC",PR!$AT255,IF(F257="OLEAF",PR!$AU255,IF(F257="OCULUS",PR!$AV255,IF(F257="PACIFIC",PR!$AW255,IF(F257="PHAMATEX",PR!$AX255,IF(F257="PETHICS",PR!$AY255,IF(F257="PHILIPS",PR!$AZ255,IF(F257="RANBAXY",PR!$BA255,IF(F257="REALS",PR!$BB255,IF(F257="ROYAL",PR!$BC255,IF(F257="SAM",PR!$BD255,IF(F257="SEAGREEN",PR!$BE255,IF(F257="SKG",PR!$BF255,IF(F257="TAH",PR!$BG255,IF(F257="TAYLEK",PR!$BH255,IF(F257="TEMITA",PR!$BI255,IF(F257="THL",PR!$BJ255,IF(F257="UBASTIC",PR!$BK255,IF(F257="UNION",PR!$BL255,IF(F257="UNIQUE",PR!$BM255,IF(F257="VIXA",PR!$BN255,IF(F257="WWCV",PR!$BO255,IF(F257="ZOLON",PR!$BP255,"-"))))))))))))))))))))))))))))))))))))))))))))))))))))))))))))))))</f>
        <v>750</v>
      </c>
      <c r="F257" s="102" t="str">
        <f>EV!L319</f>
        <v>PHILIPS</v>
      </c>
      <c r="G257" s="108">
        <f>IF(H257="ALPHA",PR!$E255,IF(H257="ASSENE",PR!$F255,IF(H257="BIOFEM",PR!$G255,IF(H257="BIOMED",PR!$H255,IF(H257="CHI",PR!$I255,IF(H257="CLARION",PR!$J255,IF(H257="CODIX",PR!$K255,IF(H257="COSMADE",PR!$L255,IF(H257="SANCON",PR!$M255,IF(H257="DEVON",PR!$N255,IF(H257="DORTEMAG",PR!$O255,IF(H257="DGF",PR!$P255,IF(H257="DYNAMIC",PR!$Q255,IF(H257="EMZOR",PR!$R255,IF(H257="EUMATT",PR!$S255,IF(H257="FIDSON",PR!$T255,IF(H257="FCGLOBAL",PR!$U255,IF(H257="GENEITH",PR!$V255,IF(H257="GINOS",PR!$W255,IF(H257="GSK",PR!$X255,IF(H257="GLOBORG",PR!$Y255,IF(H257="GOODNEWS",PR!$Z255,IF(H257="GREENLIFE",PR!$AA255,IF(H257="HLINE",PR!$AB255,IF(H257="ROTECH",PR!$AC255,IF(H257="ISN",PR!$AD255,IF(H257="JAWA",PR!$AE255,IF(H257="LAYO",PR!$AF255,IF(H257="LEADWAY",PR!$AG255,IF(H257="LHV",PR!$AH255,IF(H257="MANOLA",PR!$AI255,IF(H257="MARCSON",PR!$AJ255,IF(H257="M&amp;B",PR!$AK255,IF(H257="MTRUST",PR!$AL255,IF(H257="MWORLD",PR!$AM255,IF(H257="MEGA",PR!$AN255,IF(H257="MICRONOVA",PR!$AO255,IF(H257="MFLASH",PR!$AP255,IF(H257="MORISON",PR!$AQ255,IF(H257="NEMEL",PR!$AR255,IF(H257="NHP",PR!$AS255,IF(H257="NHC",PR!$AT255,IF(H257="OLEAF",PR!$AU255,IF(H257="OCULUS",PR!$AV255,IF(H257="PACIFIC",PR!$AW255,IF(H257="PHAMATEX",PR!$AX255,IF(H257="PETHICS",PR!$AY255,IF(H257="PHILIPS",PR!$AZ255,IF(H257="RANBAXY",PR!$BA255,IF(H257="REALS",PR!$BB255,IF(H257="ROYAL",PR!$BC255,IF(H257="SAM",PR!$BD255,IF(H257="SEAGREEN",PR!$BE255,IF(H257="SKG",PR!$BF255,IF(H257="TAH",PR!$BG255,IF(H257="TAYLEK",PR!$BH255,IF(H257="TEMITA",PR!$BI255,IF(H257="THL",PR!$BJ255,IF(H257="UBASTIC",PR!$BK255,IF(H257="UNION",PR!$BL255,IF(H257="UNIQUE",PR!$BM255,IF(H257="VIXA",PR!$BN255,IF(H257="WWCV",PR!$BO255,IF(H257="ZOLON",PR!$BP255,"-"))))))))))))))))))))))))))))))))))))))))))))))))))))))))))))))))</f>
        <v>770</v>
      </c>
      <c r="H257" s="102" t="str">
        <f>EV!M319</f>
        <v>EUMATT</v>
      </c>
      <c r="I257" s="108">
        <f>IF(J257="ALPHA",PR!$E255,IF(J257="ASSENE",PR!$F255,IF(J257="BIOFEM",PR!$G255,IF(J257="BIOMED",PR!$H255,IF(J257="CHI",PR!$I255,IF(J257="CLARION",PR!$J255,IF(J257="CODIX",PR!$K255,IF(J257="COSMADE",PR!$L255,IF(J257="SANCON",PR!$M255,IF(J257="DEVON",PR!$N255,IF(J257="DORTEMAG",PR!$O255,IF(J257="DGF",PR!$P255,IF(J257="DYNAMIC",PR!$Q255,IF(J257="EMZOR",PR!$R255,IF(J257="EUMATT",PR!$S255,IF(J257="FIDSON",PR!$T255,IF(J257="FCGLOBAL",PR!$U255,IF(J257="GENEITH",PR!$V255,IF(J257="GINOS",PR!$W255,IF(J257="GSK",PR!$X255,IF(J257="GLOBORG",PR!$Y255,IF(J257="GOODNEWS",PR!$Z255,IF(J257="GREENLIFE",PR!$AA255,IF(J257="HLINE",PR!$AB255,IF(J257="ROTECH",PR!$AC255,IF(J257="ISN",PR!$AD255,IF(J257="JAWA",PR!$AE255,IF(J257="LAYO",PR!$AF255,IF(J257="LEADWAY",PR!$AG255,IF(J257="LHV",PR!$AH255,IF(J257="MANOLA",PR!$AI255,IF(J257="MARCSON",PR!$AJ255,IF(J257="M&amp;B",PR!$AK255,IF(J257="MTRUST",PR!$AL255,IF(J257="MWORLD",PR!$AM255,IF(J257="MEGA",PR!$AN255,IF(J257="MICRONOVA",PR!$AO255,IF(J257="MFLASH",PR!$AP255,IF(J257="MORISON",PR!$AQ255,IF(J257="NEMEL",PR!$AR255,IF(J257="NHP",PR!$AS255,IF(J257="NHC",PR!$AT255,IF(J257="OLEAF",PR!$AU255,IF(J257="OCULUS",PR!$AV255,IF(J257="PACIFIC",PR!$AW255,IF(J257="PHAMATEX",PR!$AX255,IF(J257="PETHICS",PR!$AY255,IF(J257="PHILIPS",PR!$AZ255,IF(J257="RANBAXY",PR!$BA255,IF(J257="REALS",PR!$BB255,IF(J257="ROYAL",PR!$BC255,IF(J257="SAM",PR!$BD255,IF(J257="SEAGREEN",PR!$BE255,IF(J257="SKG",PR!$BF255,IF(J257="TAH",PR!$BG255,IF(J257="TAYLEK",PR!$BH255,IF(J257="TEMITA",PR!$BI255,IF(J257="THL",PR!$BJ255,IF(J257="UBASTIC",PR!$BK255,IF(J257="UNION",PR!$BL255,IF(J257="UNIQUE",PR!$BM255,IF(J257="VIXA",PR!$BN255,IF(J257="WWCV",PR!$BO255,IF(J257="ZOLON",PR!$BP255,"-"))))))))))))))))))))))))))))))))))))))))))))))))))))))))))))))))</f>
        <v>900</v>
      </c>
      <c r="J257" s="102" t="str">
        <f>EV!N319</f>
        <v>HLINE</v>
      </c>
      <c r="K257" s="433" t="s">
        <v>2122</v>
      </c>
      <c r="L257" s="183" t="str">
        <f>IF(K257&gt;0,IF(K257="ALPHA",PR!$E255,IF(K257="ASSENE",PR!$F255,IF(K257="BIOFEM",PR!$G255,IF(K257="BIOMED",PR!$H255,IF(K257="CHI",PR!$I255,IF(K257="CLARION",PR!$J255,IF(K257="CODIX",PR!$K255,IF(K257="COSMADE",PR!$L255,IF(K257="SANCON",PR!$M255,IF(K257="DEVON",PR!$N255,IF(K257="DORTEMAG",PR!$O255,IF(K257="DGF",PR!$P255,IF(K257="DYNAMIC",PR!$Q255,IF(K257="EMZOR",PR!$R255,IF(K257="EUMATT",PR!$S255,IF(K257="FIDSON",PR!$T255,IF(K257="FCGLOBAL",PR!$U255,IF(K257="GENEITH",PR!$V255,IF(K257="GINOS",PR!$W255,IF(K257="GSK",PR!$X255,IF(K257="GLOBORG",PR!$Y255,IF(K257="GOODNEWS",PR!$Z255,IF(K257="GREENLIFE",PR!$AA255,IF(K257="HLINE",PR!$AB255,IF(K257="ROTECH",PR!$AC255,IF(K257="ISN",PR!$AD255,IF(K257="JAWA",PR!$AE255,IF(K257="LAYO",PR!$AF255,IF(K257="LEADWAY",PR!$AG255,IF(K257="LHV",PR!$AH255,IF(K257="MANOLA",PR!$AI255,IF(K257="MARCSON",PR!$AJ255,IF(K257="M&amp;B",PR!$AK255,IF(K257="MTRUST",PR!$AL255,IF(K257="MWORLD",PR!$AM255,IF(K257="MEGA",PR!$AN255,IF(K257="MICRONOVA",PR!$AO255,IF(K257="MFLASH",PR!$AP255,IF(K257="MORISON",PR!$AQ255,IF(K257="NEMEL",PR!$AR255,IF(K257="NHP",PR!$AS255,IF(K257="NHC",PR!$AT255,IF(K257="OLEAF",PR!$AU255,IF(K257="OCULUS",PR!$AV255,IF(K257="PACIFIC",PR!$AW255,IF(K257="PHAMATEX",PR!$AX255,IF(K257="PETHICS",PR!$AY255,IF(K257="PHILIPS",PR!$AZ255,IF(K257="RANBAXY",PR!$BA255,IF(K257="REALS",PR!$BB255,IF(K257="ROYAL",PR!$BC255,IF(K257="SAM",PR!$BD255,IF(K257="SEAGREEN",PR!$BE255,IF(K257="SKG",PR!$BF255,IF(K257="TAH",PR!$BG255,IF(K257="TAYLEK",PR!$BH255,IF(K257="TEMITA",PR!$BI255,IF(K257="THL",PR!$BJ255,IF(K257="UBASTIC",PR!$BK255,IF(K257="UNION",PR!$BL255,IF(K257="UNIQUE",PR!$BM255,IF(K257="VIXA",PR!$BN255,IF(K257="WWCV",PR!$BO255,IF(K257="ZOLON",PR!$BP255,"-")))))))))))))))))))))))))))))))))))))))))))))))))))))))))))))))))</f>
        <v>-</v>
      </c>
    </row>
    <row r="258" spans="1:12" ht="18.75" x14ac:dyDescent="0.3">
      <c r="A258" s="430">
        <f>PR!A256</f>
        <v>232</v>
      </c>
      <c r="B258" s="15" t="str">
        <f>PR!B256</f>
        <v>CEFUROXIME 750MG INJ</v>
      </c>
      <c r="C258" s="113" t="str">
        <f>PR!D256</f>
        <v>VIAL</v>
      </c>
      <c r="D258" s="113">
        <f>PR!C256</f>
        <v>10000</v>
      </c>
      <c r="E258" s="108">
        <f>IF(F258="ALPHA",PR!$E256,IF(F258="ASSENE",PR!$F256,IF(F258="BIOFEM",PR!$G256,IF(F258="BIOMED",PR!$H256,IF(F258="CHI",PR!$I256,IF(F258="CLARION",PR!$J256,IF(F258="CODIX",PR!$K256,IF(F258="COSMADE",PR!$L256,IF(F258="SANCON",PR!$M256,IF(F258="DEVON",PR!$N256,IF(F258="DORTEMAG",PR!$O256,IF(F258="DGF",PR!$P256,IF(F258="DYNAMIC",PR!$Q256,IF(F258="EMZOR",PR!$R256,IF(F258="EUMATT",PR!$S256,IF(F258="FIDSON",PR!$T256,IF(F258="FCGLOBAL",PR!$U256,IF(F258="GENEITH",PR!$V256,IF(F258="GINOS",PR!$W256,IF(F258="GSK",PR!$X256,IF(F258="GLOBORG",PR!$Y256,IF(F258="GOODNEWS",PR!$Z256,IF(F258="GREENLIFE",PR!$AA256,IF(F258="HLINE",PR!$AB256,IF(F258="ROTECH",PR!$AC256,IF(F258="ISN",PR!$AD256,IF(F258="JAWA",PR!$AE256,IF(F258="LAYO",PR!$AF256,IF(F258="LEADWAY",PR!$AG256,IF(F258="LHV",PR!$AH256,IF(F258="MANOLA",PR!$AI256,IF(F258="MARCSON",PR!$AJ256,IF(F258="M&amp;B",PR!$AK256,IF(F258="MTRUST",PR!$AL256,IF(F258="MWORLD",PR!$AM256,IF(F258="MEGA",PR!$AN256,IF(F258="MICRONOVA",PR!$AO256,IF(F258="MFLASH",PR!$AP256,IF(F258="MORISON",PR!$AQ256,IF(F258="NEMEL",PR!$AR256,IF(F258="NHP",PR!$AS256,IF(F258="NHC",PR!$AT256,IF(F258="OLEAF",PR!$AU256,IF(F258="OCULUS",PR!$AV256,IF(F258="PACIFIC",PR!$AW256,IF(F258="PHAMATEX",PR!$AX256,IF(F258="PETHICS",PR!$AY256,IF(F258="PHILIPS",PR!$AZ256,IF(F258="RANBAXY",PR!$BA256,IF(F258="REALS",PR!$BB256,IF(F258="ROYAL",PR!$BC256,IF(F258="SAM",PR!$BD256,IF(F258="SEAGREEN",PR!$BE256,IF(F258="SKG",PR!$BF256,IF(F258="TAH",PR!$BG256,IF(F258="TAYLEK",PR!$BH256,IF(F258="TEMITA",PR!$BI256,IF(F258="THL",PR!$BJ256,IF(F258="UBASTIC",PR!$BK256,IF(F258="UNION",PR!$BL256,IF(F258="UNIQUE",PR!$BM256,IF(F258="VIXA",PR!$BN256,IF(F258="WWCV",PR!$BO256,IF(F258="ZOLON",PR!$BP256,"-"))))))))))))))))))))))))))))))))))))))))))))))))))))))))))))))))</f>
        <v>300</v>
      </c>
      <c r="F258" s="102" t="str">
        <f>EV!L320</f>
        <v>GREENLIFE</v>
      </c>
      <c r="G258" s="108">
        <f>IF(H258="ALPHA",PR!$E256,IF(H258="ASSENE",PR!$F256,IF(H258="BIOFEM",PR!$G256,IF(H258="BIOMED",PR!$H256,IF(H258="CHI",PR!$I256,IF(H258="CLARION",PR!$J256,IF(H258="CODIX",PR!$K256,IF(H258="COSMADE",PR!$L256,IF(H258="SANCON",PR!$M256,IF(H258="DEVON",PR!$N256,IF(H258="DORTEMAG",PR!$O256,IF(H258="DGF",PR!$P256,IF(H258="DYNAMIC",PR!$Q256,IF(H258="EMZOR",PR!$R256,IF(H258="EUMATT",PR!$S256,IF(H258="FIDSON",PR!$T256,IF(H258="FCGLOBAL",PR!$U256,IF(H258="GENEITH",PR!$V256,IF(H258="GINOS",PR!$W256,IF(H258="GSK",PR!$X256,IF(H258="GLOBORG",PR!$Y256,IF(H258="GOODNEWS",PR!$Z256,IF(H258="GREENLIFE",PR!$AA256,IF(H258="HLINE",PR!$AB256,IF(H258="ROTECH",PR!$AC256,IF(H258="ISN",PR!$AD256,IF(H258="JAWA",PR!$AE256,IF(H258="LAYO",PR!$AF256,IF(H258="LEADWAY",PR!$AG256,IF(H258="LHV",PR!$AH256,IF(H258="MANOLA",PR!$AI256,IF(H258="MARCSON",PR!$AJ256,IF(H258="M&amp;B",PR!$AK256,IF(H258="MTRUST",PR!$AL256,IF(H258="MWORLD",PR!$AM256,IF(H258="MEGA",PR!$AN256,IF(H258="MICRONOVA",PR!$AO256,IF(H258="MFLASH",PR!$AP256,IF(H258="MORISON",PR!$AQ256,IF(H258="NEMEL",PR!$AR256,IF(H258="NHP",PR!$AS256,IF(H258="NHC",PR!$AT256,IF(H258="OLEAF",PR!$AU256,IF(H258="OCULUS",PR!$AV256,IF(H258="PACIFIC",PR!$AW256,IF(H258="PHAMATEX",PR!$AX256,IF(H258="PETHICS",PR!$AY256,IF(H258="PHILIPS",PR!$AZ256,IF(H258="RANBAXY",PR!$BA256,IF(H258="REALS",PR!$BB256,IF(H258="ROYAL",PR!$BC256,IF(H258="SAM",PR!$BD256,IF(H258="SEAGREEN",PR!$BE256,IF(H258="SKG",PR!$BF256,IF(H258="TAH",PR!$BG256,IF(H258="TAYLEK",PR!$BH256,IF(H258="TEMITA",PR!$BI256,IF(H258="THL",PR!$BJ256,IF(H258="UBASTIC",PR!$BK256,IF(H258="UNION",PR!$BL256,IF(H258="UNIQUE",PR!$BM256,IF(H258="VIXA",PR!$BN256,IF(H258="WWCV",PR!$BO256,IF(H258="ZOLON",PR!$BP256,"-"))))))))))))))))))))))))))))))))))))))))))))))))))))))))))))))))</f>
        <v>366</v>
      </c>
      <c r="H258" s="102" t="str">
        <f>EV!M320</f>
        <v>CHI</v>
      </c>
      <c r="I258" s="108">
        <f>IF(J258="ALPHA",PR!$E256,IF(J258="ASSENE",PR!$F256,IF(J258="BIOFEM",PR!$G256,IF(J258="BIOMED",PR!$H256,IF(J258="CHI",PR!$I256,IF(J258="CLARION",PR!$J256,IF(J258="CODIX",PR!$K256,IF(J258="COSMADE",PR!$L256,IF(J258="SANCON",PR!$M256,IF(J258="DEVON",PR!$N256,IF(J258="DORTEMAG",PR!$O256,IF(J258="DGF",PR!$P256,IF(J258="DYNAMIC",PR!$Q256,IF(J258="EMZOR",PR!$R256,IF(J258="EUMATT",PR!$S256,IF(J258="FIDSON",PR!$T256,IF(J258="FCGLOBAL",PR!$U256,IF(J258="GENEITH",PR!$V256,IF(J258="GINOS",PR!$W256,IF(J258="GSK",PR!$X256,IF(J258="GLOBORG",PR!$Y256,IF(J258="GOODNEWS",PR!$Z256,IF(J258="GREENLIFE",PR!$AA256,IF(J258="HLINE",PR!$AB256,IF(J258="ROTECH",PR!$AC256,IF(J258="ISN",PR!$AD256,IF(J258="JAWA",PR!$AE256,IF(J258="LAYO",PR!$AF256,IF(J258="LEADWAY",PR!$AG256,IF(J258="LHV",PR!$AH256,IF(J258="MANOLA",PR!$AI256,IF(J258="MARCSON",PR!$AJ256,IF(J258="M&amp;B",PR!$AK256,IF(J258="MTRUST",PR!$AL256,IF(J258="MWORLD",PR!$AM256,IF(J258="MEGA",PR!$AN256,IF(J258="MICRONOVA",PR!$AO256,IF(J258="MFLASH",PR!$AP256,IF(J258="MORISON",PR!$AQ256,IF(J258="NEMEL",PR!$AR256,IF(J258="NHP",PR!$AS256,IF(J258="NHC",PR!$AT256,IF(J258="OLEAF",PR!$AU256,IF(J258="OCULUS",PR!$AV256,IF(J258="PACIFIC",PR!$AW256,IF(J258="PHAMATEX",PR!$AX256,IF(J258="PETHICS",PR!$AY256,IF(J258="PHILIPS",PR!$AZ256,IF(J258="RANBAXY",PR!$BA256,IF(J258="REALS",PR!$BB256,IF(J258="ROYAL",PR!$BC256,IF(J258="SAM",PR!$BD256,IF(J258="SEAGREEN",PR!$BE256,IF(J258="SKG",PR!$BF256,IF(J258="TAH",PR!$BG256,IF(J258="TAYLEK",PR!$BH256,IF(J258="TEMITA",PR!$BI256,IF(J258="THL",PR!$BJ256,IF(J258="UBASTIC",PR!$BK256,IF(J258="UNION",PR!$BL256,IF(J258="UNIQUE",PR!$BM256,IF(J258="VIXA",PR!$BN256,IF(J258="WWCV",PR!$BO256,IF(J258="ZOLON",PR!$BP256,"-"))))))))))))))))))))))))))))))))))))))))))))))))))))))))))))))))</f>
        <v>366</v>
      </c>
      <c r="J258" s="102" t="str">
        <f>EV!N320</f>
        <v>WWCV</v>
      </c>
      <c r="K258" s="433" t="s">
        <v>2123</v>
      </c>
      <c r="L258" s="183" t="str">
        <f>IF(K258&gt;0,IF(K258="ALPHA",PR!$E256,IF(K258="ASSENE",PR!$F256,IF(K258="BIOFEM",PR!$G256,IF(K258="BIOMED",PR!$H256,IF(K258="CHI",PR!$I256,IF(K258="CLARION",PR!$J256,IF(K258="CODIX",PR!$K256,IF(K258="COSMADE",PR!$L256,IF(K258="SANCON",PR!$M256,IF(K258="DEVON",PR!$N256,IF(K258="DORTEMAG",PR!$O256,IF(K258="DGF",PR!$P256,IF(K258="DYNAMIC",PR!$Q256,IF(K258="EMZOR",PR!$R256,IF(K258="EUMATT",PR!$S256,IF(K258="FIDSON",PR!$T256,IF(K258="FCGLOBAL",PR!$U256,IF(K258="GENEITH",PR!$V256,IF(K258="GINOS",PR!$W256,IF(K258="GSK",PR!$X256,IF(K258="GLOBORG",PR!$Y256,IF(K258="GOODNEWS",PR!$Z256,IF(K258="GREENLIFE",PR!$AA256,IF(K258="HLINE",PR!$AB256,IF(K258="ROTECH",PR!$AC256,IF(K258="ISN",PR!$AD256,IF(K258="JAWA",PR!$AE256,IF(K258="LAYO",PR!$AF256,IF(K258="LEADWAY",PR!$AG256,IF(K258="LHV",PR!$AH256,IF(K258="MANOLA",PR!$AI256,IF(K258="MARCSON",PR!$AJ256,IF(K258="M&amp;B",PR!$AK256,IF(K258="MTRUST",PR!$AL256,IF(K258="MWORLD",PR!$AM256,IF(K258="MEGA",PR!$AN256,IF(K258="MICRONOVA",PR!$AO256,IF(K258="MFLASH",PR!$AP256,IF(K258="MORISON",PR!$AQ256,IF(K258="NEMEL",PR!$AR256,IF(K258="NHP",PR!$AS256,IF(K258="NHC",PR!$AT256,IF(K258="OLEAF",PR!$AU256,IF(K258="OCULUS",PR!$AV256,IF(K258="PACIFIC",PR!$AW256,IF(K258="PHAMATEX",PR!$AX256,IF(K258="PETHICS",PR!$AY256,IF(K258="PHILIPS",PR!$AZ256,IF(K258="RANBAXY",PR!$BA256,IF(K258="REALS",PR!$BB256,IF(K258="ROYAL",PR!$BC256,IF(K258="SAM",PR!$BD256,IF(K258="SEAGREEN",PR!$BE256,IF(K258="SKG",PR!$BF256,IF(K258="TAH",PR!$BG256,IF(K258="TAYLEK",PR!$BH256,IF(K258="TEMITA",PR!$BI256,IF(K258="THL",PR!$BJ256,IF(K258="UBASTIC",PR!$BK256,IF(K258="UNION",PR!$BL256,IF(K258="UNIQUE",PR!$BM256,IF(K258="VIXA",PR!$BN256,IF(K258="WWCV",PR!$BO256,IF(K258="ZOLON",PR!$BP256,"-")))))))))))))))))))))))))))))))))))))))))))))))))))))))))))))))))</f>
        <v>-</v>
      </c>
    </row>
    <row r="259" spans="1:12" ht="18.75" x14ac:dyDescent="0.3">
      <c r="A259" s="430">
        <f>PR!A257</f>
        <v>233</v>
      </c>
      <c r="B259" s="15" t="str">
        <f>PR!B257</f>
        <v>CEFUROXIME SUSPENSION 125MG/5ML (100ML)</v>
      </c>
      <c r="C259" s="113" t="str">
        <f>PR!D257</f>
        <v>BOTT</v>
      </c>
      <c r="D259" s="113">
        <f>PR!C257</f>
        <v>2000</v>
      </c>
      <c r="E259" s="108">
        <f>IF(F259="ALPHA",PR!$E257,IF(F259="ASSENE",PR!$F257,IF(F259="BIOFEM",PR!$G257,IF(F259="BIOMED",PR!$H257,IF(F259="CHI",PR!$I257,IF(F259="CLARION",PR!$J257,IF(F259="CODIX",PR!$K257,IF(F259="COSMADE",PR!$L257,IF(F259="SANCON",PR!$M257,IF(F259="DEVON",PR!$N257,IF(F259="DORTEMAG",PR!$O257,IF(F259="DGF",PR!$P257,IF(F259="DYNAMIC",PR!$Q257,IF(F259="EMZOR",PR!$R257,IF(F259="EUMATT",PR!$S257,IF(F259="FIDSON",PR!$T257,IF(F259="FCGLOBAL",PR!$U257,IF(F259="GENEITH",PR!$V257,IF(F259="GINOS",PR!$W257,IF(F259="GSK",PR!$X257,IF(F259="GLOBORG",PR!$Y257,IF(F259="GOODNEWS",PR!$Z257,IF(F259="GREENLIFE",PR!$AA257,IF(F259="HLINE",PR!$AB257,IF(F259="ROTECH",PR!$AC257,IF(F259="ISN",PR!$AD257,IF(F259="JAWA",PR!$AE257,IF(F259="LAYO",PR!$AF257,IF(F259="LEADWAY",PR!$AG257,IF(F259="LHV",PR!$AH257,IF(F259="MANOLA",PR!$AI257,IF(F259="MARCSON",PR!$AJ257,IF(F259="M&amp;B",PR!$AK257,IF(F259="MTRUST",PR!$AL257,IF(F259="MWORLD",PR!$AM257,IF(F259="MEGA",PR!$AN257,IF(F259="MICRONOVA",PR!$AO257,IF(F259="MFLASH",PR!$AP257,IF(F259="MORISON",PR!$AQ257,IF(F259="NEMEL",PR!$AR257,IF(F259="NHP",PR!$AS257,IF(F259="NHC",PR!$AT257,IF(F259="OLEAF",PR!$AU257,IF(F259="OCULUS",PR!$AV257,IF(F259="PACIFIC",PR!$AW257,IF(F259="PHAMATEX",PR!$AX257,IF(F259="PETHICS",PR!$AY257,IF(F259="PHILIPS",PR!$AZ257,IF(F259="RANBAXY",PR!$BA257,IF(F259="REALS",PR!$BB257,IF(F259="ROYAL",PR!$BC257,IF(F259="SAM",PR!$BD257,IF(F259="SEAGREEN",PR!$BE257,IF(F259="SKG",PR!$BF257,IF(F259="TAH",PR!$BG257,IF(F259="TAYLEK",PR!$BH257,IF(F259="TEMITA",PR!$BI257,IF(F259="THL",PR!$BJ257,IF(F259="UBASTIC",PR!$BK257,IF(F259="UNION",PR!$BL257,IF(F259="UNIQUE",PR!$BM257,IF(F259="VIXA",PR!$BN257,IF(F259="WWCV",PR!$BO257,IF(F259="ZOLON",PR!$BP257,"-"))))))))))))))))))))))))))))))))))))))))))))))))))))))))))))))))</f>
        <v>750</v>
      </c>
      <c r="F259" s="102" t="str">
        <f>EV!L321</f>
        <v>EUMATT</v>
      </c>
      <c r="G259" s="108">
        <f>IF(H259="ALPHA",PR!$E257,IF(H259="ASSENE",PR!$F257,IF(H259="BIOFEM",PR!$G257,IF(H259="BIOMED",PR!$H257,IF(H259="CHI",PR!$I257,IF(H259="CLARION",PR!$J257,IF(H259="CODIX",PR!$K257,IF(H259="COSMADE",PR!$L257,IF(H259="SANCON",PR!$M257,IF(H259="DEVON",PR!$N257,IF(H259="DORTEMAG",PR!$O257,IF(H259="DGF",PR!$P257,IF(H259="DYNAMIC",PR!$Q257,IF(H259="EMZOR",PR!$R257,IF(H259="EUMATT",PR!$S257,IF(H259="FIDSON",PR!$T257,IF(H259="FCGLOBAL",PR!$U257,IF(H259="GENEITH",PR!$V257,IF(H259="GINOS",PR!$W257,IF(H259="GSK",PR!$X257,IF(H259="GLOBORG",PR!$Y257,IF(H259="GOODNEWS",PR!$Z257,IF(H259="GREENLIFE",PR!$AA257,IF(H259="HLINE",PR!$AB257,IF(H259="ROTECH",PR!$AC257,IF(H259="ISN",PR!$AD257,IF(H259="JAWA",PR!$AE257,IF(H259="LAYO",PR!$AF257,IF(H259="LEADWAY",PR!$AG257,IF(H259="LHV",PR!$AH257,IF(H259="MANOLA",PR!$AI257,IF(H259="MARCSON",PR!$AJ257,IF(H259="M&amp;B",PR!$AK257,IF(H259="MTRUST",PR!$AL257,IF(H259="MWORLD",PR!$AM257,IF(H259="MEGA",PR!$AN257,IF(H259="MICRONOVA",PR!$AO257,IF(H259="MFLASH",PR!$AP257,IF(H259="MORISON",PR!$AQ257,IF(H259="NEMEL",PR!$AR257,IF(H259="NHP",PR!$AS257,IF(H259="NHC",PR!$AT257,IF(H259="OLEAF",PR!$AU257,IF(H259="OCULUS",PR!$AV257,IF(H259="PACIFIC",PR!$AW257,IF(H259="PHAMATEX",PR!$AX257,IF(H259="PETHICS",PR!$AY257,IF(H259="PHILIPS",PR!$AZ257,IF(H259="RANBAXY",PR!$BA257,IF(H259="REALS",PR!$BB257,IF(H259="ROYAL",PR!$BC257,IF(H259="SAM",PR!$BD257,IF(H259="SEAGREEN",PR!$BE257,IF(H259="SKG",PR!$BF257,IF(H259="TAH",PR!$BG257,IF(H259="TAYLEK",PR!$BH257,IF(H259="TEMITA",PR!$BI257,IF(H259="THL",PR!$BJ257,IF(H259="UBASTIC",PR!$BK257,IF(H259="UNION",PR!$BL257,IF(H259="UNIQUE",PR!$BM257,IF(H259="VIXA",PR!$BN257,IF(H259="WWCV",PR!$BO257,IF(H259="ZOLON",PR!$BP257,"-"))))))))))))))))))))))))))))))))))))))))))))))))))))))))))))))))</f>
        <v>900</v>
      </c>
      <c r="H259" s="102" t="str">
        <f>EV!M321</f>
        <v>FIDSON</v>
      </c>
      <c r="I259" s="108">
        <f>IF(J259="ALPHA",PR!$E257,IF(J259="ASSENE",PR!$F257,IF(J259="BIOFEM",PR!$G257,IF(J259="BIOMED",PR!$H257,IF(J259="CHI",PR!$I257,IF(J259="CLARION",PR!$J257,IF(J259="CODIX",PR!$K257,IF(J259="COSMADE",PR!$L257,IF(J259="SANCON",PR!$M257,IF(J259="DEVON",PR!$N257,IF(J259="DORTEMAG",PR!$O257,IF(J259="DGF",PR!$P257,IF(J259="DYNAMIC",PR!$Q257,IF(J259="EMZOR",PR!$R257,IF(J259="EUMATT",PR!$S257,IF(J259="FIDSON",PR!$T257,IF(J259="FCGLOBAL",PR!$U257,IF(J259="GENEITH",PR!$V257,IF(J259="GINOS",PR!$W257,IF(J259="GSK",PR!$X257,IF(J259="GLOBORG",PR!$Y257,IF(J259="GOODNEWS",PR!$Z257,IF(J259="GREENLIFE",PR!$AA257,IF(J259="HLINE",PR!$AB257,IF(J259="ROTECH",PR!$AC257,IF(J259="ISN",PR!$AD257,IF(J259="JAWA",PR!$AE257,IF(J259="LAYO",PR!$AF257,IF(J259="LEADWAY",PR!$AG257,IF(J259="LHV",PR!$AH257,IF(J259="MANOLA",PR!$AI257,IF(J259="MARCSON",PR!$AJ257,IF(J259="M&amp;B",PR!$AK257,IF(J259="MTRUST",PR!$AL257,IF(J259="MWORLD",PR!$AM257,IF(J259="MEGA",PR!$AN257,IF(J259="MICRONOVA",PR!$AO257,IF(J259="MFLASH",PR!$AP257,IF(J259="MORISON",PR!$AQ257,IF(J259="NEMEL",PR!$AR257,IF(J259="NHP",PR!$AS257,IF(J259="NHC",PR!$AT257,IF(J259="OLEAF",PR!$AU257,IF(J259="OCULUS",PR!$AV257,IF(J259="PACIFIC",PR!$AW257,IF(J259="PHAMATEX",PR!$AX257,IF(J259="PETHICS",PR!$AY257,IF(J259="PHILIPS",PR!$AZ257,IF(J259="RANBAXY",PR!$BA257,IF(J259="REALS",PR!$BB257,IF(J259="ROYAL",PR!$BC257,IF(J259="SAM",PR!$BD257,IF(J259="SEAGREEN",PR!$BE257,IF(J259="SKG",PR!$BF257,IF(J259="TAH",PR!$BG257,IF(J259="TAYLEK",PR!$BH257,IF(J259="TEMITA",PR!$BI257,IF(J259="THL",PR!$BJ257,IF(J259="UBASTIC",PR!$BK257,IF(J259="UNION",PR!$BL257,IF(J259="UNIQUE",PR!$BM257,IF(J259="VIXA",PR!$BN257,IF(J259="WWCV",PR!$BO257,IF(J259="ZOLON",PR!$BP257,"-"))))))))))))))))))))))))))))))))))))))))))))))))))))))))))))))))</f>
        <v>1097.3599999999999</v>
      </c>
      <c r="J259" s="102" t="str">
        <f>EV!N321</f>
        <v>GSK</v>
      </c>
      <c r="K259" s="433" t="s">
        <v>2124</v>
      </c>
      <c r="L259" s="183" t="str">
        <f>IF(K259&gt;0,IF(K259="ALPHA",PR!$E257,IF(K259="ASSENE",PR!$F257,IF(K259="BIOFEM",PR!$G257,IF(K259="BIOMED",PR!$H257,IF(K259="CHI",PR!$I257,IF(K259="CLARION",PR!$J257,IF(K259="CODIX",PR!$K257,IF(K259="COSMADE",PR!$L257,IF(K259="SANCON",PR!$M257,IF(K259="DEVON",PR!$N257,IF(K259="DORTEMAG",PR!$O257,IF(K259="DGF",PR!$P257,IF(K259="DYNAMIC",PR!$Q257,IF(K259="EMZOR",PR!$R257,IF(K259="EUMATT",PR!$S257,IF(K259="FIDSON",PR!$T257,IF(K259="FCGLOBAL",PR!$U257,IF(K259="GENEITH",PR!$V257,IF(K259="GINOS",PR!$W257,IF(K259="GSK",PR!$X257,IF(K259="GLOBORG",PR!$Y257,IF(K259="GOODNEWS",PR!$Z257,IF(K259="GREENLIFE",PR!$AA257,IF(K259="HLINE",PR!$AB257,IF(K259="ROTECH",PR!$AC257,IF(K259="ISN",PR!$AD257,IF(K259="JAWA",PR!$AE257,IF(K259="LAYO",PR!$AF257,IF(K259="LEADWAY",PR!$AG257,IF(K259="LHV",PR!$AH257,IF(K259="MANOLA",PR!$AI257,IF(K259="MARCSON",PR!$AJ257,IF(K259="M&amp;B",PR!$AK257,IF(K259="MTRUST",PR!$AL257,IF(K259="MWORLD",PR!$AM257,IF(K259="MEGA",PR!$AN257,IF(K259="MICRONOVA",PR!$AO257,IF(K259="MFLASH",PR!$AP257,IF(K259="MORISON",PR!$AQ257,IF(K259="NEMEL",PR!$AR257,IF(K259="NHP",PR!$AS257,IF(K259="NHC",PR!$AT257,IF(K259="OLEAF",PR!$AU257,IF(K259="OCULUS",PR!$AV257,IF(K259="PACIFIC",PR!$AW257,IF(K259="PHAMATEX",PR!$AX257,IF(K259="PETHICS",PR!$AY257,IF(K259="PHILIPS",PR!$AZ257,IF(K259="RANBAXY",PR!$BA257,IF(K259="REALS",PR!$BB257,IF(K259="ROYAL",PR!$BC257,IF(K259="SAM",PR!$BD257,IF(K259="SEAGREEN",PR!$BE257,IF(K259="SKG",PR!$BF257,IF(K259="TAH",PR!$BG257,IF(K259="TAYLEK",PR!$BH257,IF(K259="TEMITA",PR!$BI257,IF(K259="THL",PR!$BJ257,IF(K259="UBASTIC",PR!$BK257,IF(K259="UNION",PR!$BL257,IF(K259="UNIQUE",PR!$BM257,IF(K259="VIXA",PR!$BN257,IF(K259="WWCV",PR!$BO257,IF(K259="ZOLON",PR!$BP257,"-")))))))))))))))))))))))))))))))))))))))))))))))))))))))))))))))))</f>
        <v>-</v>
      </c>
    </row>
    <row r="260" spans="1:12" ht="18.75" x14ac:dyDescent="0.3">
      <c r="A260" s="430">
        <f>PR!A258</f>
        <v>234</v>
      </c>
      <c r="B260" s="15" t="str">
        <f>PR!B258</f>
        <v>CEFUROXIME SUSPENSION 250MG/5ML (100ML)</v>
      </c>
      <c r="C260" s="113" t="str">
        <f>PR!D258</f>
        <v>BOTT</v>
      </c>
      <c r="D260" s="113">
        <f>PR!C258</f>
        <v>300</v>
      </c>
      <c r="E260" s="108">
        <f>IF(F260="ALPHA",PR!$E258,IF(F260="ASSENE",PR!$F258,IF(F260="BIOFEM",PR!$G258,IF(F260="BIOMED",PR!$H258,IF(F260="CHI",PR!$I258,IF(F260="CLARION",PR!$J258,IF(F260="CODIX",PR!$K258,IF(F260="COSMADE",PR!$L258,IF(F260="SANCON",PR!$M258,IF(F260="DEVON",PR!$N258,IF(F260="DORTEMAG",PR!$O258,IF(F260="DGF",PR!$P258,IF(F260="DYNAMIC",PR!$Q258,IF(F260="EMZOR",PR!$R258,IF(F260="EUMATT",PR!$S258,IF(F260="FIDSON",PR!$T258,IF(F260="FCGLOBAL",PR!$U258,IF(F260="GENEITH",PR!$V258,IF(F260="GINOS",PR!$W258,IF(F260="GSK",PR!$X258,IF(F260="GLOBORG",PR!$Y258,IF(F260="GOODNEWS",PR!$Z258,IF(F260="GREENLIFE",PR!$AA258,IF(F260="HLINE",PR!$AB258,IF(F260="ROTECH",PR!$AC258,IF(F260="ISN",PR!$AD258,IF(F260="JAWA",PR!$AE258,IF(F260="LAYO",PR!$AF258,IF(F260="LEADWAY",PR!$AG258,IF(F260="LHV",PR!$AH258,IF(F260="MANOLA",PR!$AI258,IF(F260="MARCSON",PR!$AJ258,IF(F260="M&amp;B",PR!$AK258,IF(F260="MTRUST",PR!$AL258,IF(F260="MWORLD",PR!$AM258,IF(F260="MEGA",PR!$AN258,IF(F260="MICRONOVA",PR!$AO258,IF(F260="MFLASH",PR!$AP258,IF(F260="MORISON",PR!$AQ258,IF(F260="NEMEL",PR!$AR258,IF(F260="NHP",PR!$AS258,IF(F260="NHC",PR!$AT258,IF(F260="OLEAF",PR!$AU258,IF(F260="OCULUS",PR!$AV258,IF(F260="PACIFIC",PR!$AW258,IF(F260="PHAMATEX",PR!$AX258,IF(F260="PETHICS",PR!$AY258,IF(F260="PHILIPS",PR!$AZ258,IF(F260="RANBAXY",PR!$BA258,IF(F260="REALS",PR!$BB258,IF(F260="ROYAL",PR!$BC258,IF(F260="SAM",PR!$BD258,IF(F260="SEAGREEN",PR!$BE258,IF(F260="SKG",PR!$BF258,IF(F260="TAH",PR!$BG258,IF(F260="TAYLEK",PR!$BH258,IF(F260="TEMITA",PR!$BI258,IF(F260="THL",PR!$BJ258,IF(F260="UBASTIC",PR!$BK258,IF(F260="UNION",PR!$BL258,IF(F260="UNIQUE",PR!$BM258,IF(F260="VIXA",PR!$BN258,IF(F260="WWCV",PR!$BO258,IF(F260="ZOLON",PR!$BP258,"-"))))))))))))))))))))))))))))))))))))))))))))))))))))))))))))))))</f>
        <v>900</v>
      </c>
      <c r="F260" s="102" t="str">
        <f>EV!L322</f>
        <v>EUMATT</v>
      </c>
      <c r="G260" s="108">
        <f>IF(H260="ALPHA",PR!$E258,IF(H260="ASSENE",PR!$F258,IF(H260="BIOFEM",PR!$G258,IF(H260="BIOMED",PR!$H258,IF(H260="CHI",PR!$I258,IF(H260="CLARION",PR!$J258,IF(H260="CODIX",PR!$K258,IF(H260="COSMADE",PR!$L258,IF(H260="SANCON",PR!$M258,IF(H260="DEVON",PR!$N258,IF(H260="DORTEMAG",PR!$O258,IF(H260="DGF",PR!$P258,IF(H260="DYNAMIC",PR!$Q258,IF(H260="EMZOR",PR!$R258,IF(H260="EUMATT",PR!$S258,IF(H260="FIDSON",PR!$T258,IF(H260="FCGLOBAL",PR!$U258,IF(H260="GENEITH",PR!$V258,IF(H260="GINOS",PR!$W258,IF(H260="GSK",PR!$X258,IF(H260="GLOBORG",PR!$Y258,IF(H260="GOODNEWS",PR!$Z258,IF(H260="GREENLIFE",PR!$AA258,IF(H260="HLINE",PR!$AB258,IF(H260="ROTECH",PR!$AC258,IF(H260="ISN",PR!$AD258,IF(H260="JAWA",PR!$AE258,IF(H260="LAYO",PR!$AF258,IF(H260="LEADWAY",PR!$AG258,IF(H260="LHV",PR!$AH258,IF(H260="MANOLA",PR!$AI258,IF(H260="MARCSON",PR!$AJ258,IF(H260="M&amp;B",PR!$AK258,IF(H260="MTRUST",PR!$AL258,IF(H260="MWORLD",PR!$AM258,IF(H260="MEGA",PR!$AN258,IF(H260="MICRONOVA",PR!$AO258,IF(H260="MFLASH",PR!$AP258,IF(H260="MORISON",PR!$AQ258,IF(H260="NEMEL",PR!$AR258,IF(H260="NHP",PR!$AS258,IF(H260="NHC",PR!$AT258,IF(H260="OLEAF",PR!$AU258,IF(H260="OCULUS",PR!$AV258,IF(H260="PACIFIC",PR!$AW258,IF(H260="PHAMATEX",PR!$AX258,IF(H260="PETHICS",PR!$AY258,IF(H260="PHILIPS",PR!$AZ258,IF(H260="RANBAXY",PR!$BA258,IF(H260="REALS",PR!$BB258,IF(H260="ROYAL",PR!$BC258,IF(H260="SAM",PR!$BD258,IF(H260="SEAGREEN",PR!$BE258,IF(H260="SKG",PR!$BF258,IF(H260="TAH",PR!$BG258,IF(H260="TAYLEK",PR!$BH258,IF(H260="TEMITA",PR!$BI258,IF(H260="THL",PR!$BJ258,IF(H260="UBASTIC",PR!$BK258,IF(H260="UNION",PR!$BL258,IF(H260="UNIQUE",PR!$BM258,IF(H260="VIXA",PR!$BN258,IF(H260="WWCV",PR!$BO258,IF(H260="ZOLON",PR!$BP258,"-"))))))))))))))))))))))))))))))))))))))))))))))))))))))))))))))))</f>
        <v>1097.3599999999999</v>
      </c>
      <c r="H260" s="102" t="str">
        <f>EV!M322</f>
        <v>GSK</v>
      </c>
      <c r="I260" s="108">
        <f>IF(J260="ALPHA",PR!$E258,IF(J260="ASSENE",PR!$F258,IF(J260="BIOFEM",PR!$G258,IF(J260="BIOMED",PR!$H258,IF(J260="CHI",PR!$I258,IF(J260="CLARION",PR!$J258,IF(J260="CODIX",PR!$K258,IF(J260="COSMADE",PR!$L258,IF(J260="SANCON",PR!$M258,IF(J260="DEVON",PR!$N258,IF(J260="DORTEMAG",PR!$O258,IF(J260="DGF",PR!$P258,IF(J260="DYNAMIC",PR!$Q258,IF(J260="EMZOR",PR!$R258,IF(J260="EUMATT",PR!$S258,IF(J260="FIDSON",PR!$T258,IF(J260="FCGLOBAL",PR!$U258,IF(J260="GENEITH",PR!$V258,IF(J260="GINOS",PR!$W258,IF(J260="GSK",PR!$X258,IF(J260="GLOBORG",PR!$Y258,IF(J260="GOODNEWS",PR!$Z258,IF(J260="GREENLIFE",PR!$AA258,IF(J260="HLINE",PR!$AB258,IF(J260="ROTECH",PR!$AC258,IF(J260="ISN",PR!$AD258,IF(J260="JAWA",PR!$AE258,IF(J260="LAYO",PR!$AF258,IF(J260="LEADWAY",PR!$AG258,IF(J260="LHV",PR!$AH258,IF(J260="MANOLA",PR!$AI258,IF(J260="MARCSON",PR!$AJ258,IF(J260="M&amp;B",PR!$AK258,IF(J260="MTRUST",PR!$AL258,IF(J260="MWORLD",PR!$AM258,IF(J260="MEGA",PR!$AN258,IF(J260="MICRONOVA",PR!$AO258,IF(J260="MFLASH",PR!$AP258,IF(J260="MORISON",PR!$AQ258,IF(J260="NEMEL",PR!$AR258,IF(J260="NHP",PR!$AS258,IF(J260="NHC",PR!$AT258,IF(J260="OLEAF",PR!$AU258,IF(J260="OCULUS",PR!$AV258,IF(J260="PACIFIC",PR!$AW258,IF(J260="PHAMATEX",PR!$AX258,IF(J260="PETHICS",PR!$AY258,IF(J260="PHILIPS",PR!$AZ258,IF(J260="RANBAXY",PR!$BA258,IF(J260="REALS",PR!$BB258,IF(J260="ROYAL",PR!$BC258,IF(J260="SAM",PR!$BD258,IF(J260="SEAGREEN",PR!$BE258,IF(J260="SKG",PR!$BF258,IF(J260="TAH",PR!$BG258,IF(J260="TAYLEK",PR!$BH258,IF(J260="TEMITA",PR!$BI258,IF(J260="THL",PR!$BJ258,IF(J260="UBASTIC",PR!$BK258,IF(J260="UNION",PR!$BL258,IF(J260="UNIQUE",PR!$BM258,IF(J260="VIXA",PR!$BN258,IF(J260="WWCV",PR!$BO258,IF(J260="ZOLON",PR!$BP258,"-"))))))))))))))))))))))))))))))))))))))))))))))))))))))))))))))))</f>
        <v>1244.26</v>
      </c>
      <c r="J260" s="102" t="str">
        <f>EV!N322</f>
        <v>ZOLON</v>
      </c>
      <c r="K260" s="433" t="s">
        <v>837</v>
      </c>
      <c r="L260" s="183">
        <f>IF(K260&gt;0,IF(K260="ALPHA",PR!$E258,IF(K260="ASSENE",PR!$F258,IF(K260="BIOFEM",PR!$G258,IF(K260="BIOMED",PR!$H258,IF(K260="CHI",PR!$I258,IF(K260="CLARION",PR!$J258,IF(K260="CODIX",PR!$K258,IF(K260="COSMADE",PR!$L258,IF(K260="SANCON",PR!$M258,IF(K260="DEVON",PR!$N258,IF(K260="DORTEMAG",PR!$O258,IF(K260="DGF",PR!$P258,IF(K260="DYNAMIC",PR!$Q258,IF(K260="EMZOR",PR!$R258,IF(K260="EUMATT",PR!$S258,IF(K260="FIDSON",PR!$T258,IF(K260="FCGLOBAL",PR!$U258,IF(K260="GENEITH",PR!$V258,IF(K260="GINOS",PR!$W258,IF(K260="GSK",PR!$X258,IF(K260="GLOBORG",PR!$Y258,IF(K260="GOODNEWS",PR!$Z258,IF(K260="GREENLIFE",PR!$AA258,IF(K260="HLINE",PR!$AB258,IF(K260="ROTECH",PR!$AC258,IF(K260="ISN",PR!$AD258,IF(K260="JAWA",PR!$AE258,IF(K260="LAYO",PR!$AF258,IF(K260="LEADWAY",PR!$AG258,IF(K260="LHV",PR!$AH258,IF(K260="MANOLA",PR!$AI258,IF(K260="MARCSON",PR!$AJ258,IF(K260="M&amp;B",PR!$AK258,IF(K260="MTRUST",PR!$AL258,IF(K260="MWORLD",PR!$AM258,IF(K260="MEGA",PR!$AN258,IF(K260="MICRONOVA",PR!$AO258,IF(K260="MFLASH",PR!$AP258,IF(K260="MORISON",PR!$AQ258,IF(K260="NEMEL",PR!$AR258,IF(K260="NHP",PR!$AS258,IF(K260="NHC",PR!$AT258,IF(K260="OLEAF",PR!$AU258,IF(K260="OCULUS",PR!$AV258,IF(K260="PACIFIC",PR!$AW258,IF(K260="PHAMATEX",PR!$AX258,IF(K260="PETHICS",PR!$AY258,IF(K260="PHILIPS",PR!$AZ258,IF(K260="RANBAXY",PR!$BA258,IF(K260="REALS",PR!$BB258,IF(K260="ROYAL",PR!$BC258,IF(K260="SAM",PR!$BD258,IF(K260="SEAGREEN",PR!$BE258,IF(K260="SKG",PR!$BF258,IF(K260="TAH",PR!$BG258,IF(K260="TAYLEK",PR!$BH258,IF(K260="TEMITA",PR!$BI258,IF(K260="THL",PR!$BJ258,IF(K260="UBASTIC",PR!$BK258,IF(K260="UNION",PR!$BL258,IF(K260="UNIQUE",PR!$BM258,IF(K260="VIXA",PR!$BN258,IF(K260="WWCV",PR!$BO258,IF(K260="ZOLON",PR!$BP258,"-")))))))))))))))))))))))))))))))))))))))))))))))))))))))))))))))))</f>
        <v>1097.3599999999999</v>
      </c>
    </row>
    <row r="261" spans="1:12" ht="18.75" x14ac:dyDescent="0.3">
      <c r="A261" s="430">
        <f>PR!A259</f>
        <v>235</v>
      </c>
      <c r="B261" s="15" t="str">
        <f>PR!B259</f>
        <v>CEPHALEXIN SUSP 125MG/5ML</v>
      </c>
      <c r="C261" s="113" t="str">
        <f>PR!D259</f>
        <v>BOTT</v>
      </c>
      <c r="D261" s="113">
        <f>PR!C259</f>
        <v>200</v>
      </c>
      <c r="E261" s="108">
        <f>IF(F261="ALPHA",PR!$E259,IF(F261="ASSENE",PR!$F259,IF(F261="BIOFEM",PR!$G259,IF(F261="BIOMED",PR!$H259,IF(F261="CHI",PR!$I259,IF(F261="CLARION",PR!$J259,IF(F261="CODIX",PR!$K259,IF(F261="COSMADE",PR!$L259,IF(F261="SANCON",PR!$M259,IF(F261="DEVON",PR!$N259,IF(F261="DORTEMAG",PR!$O259,IF(F261="DGF",PR!$P259,IF(F261="DYNAMIC",PR!$Q259,IF(F261="EMZOR",PR!$R259,IF(F261="EUMATT",PR!$S259,IF(F261="FIDSON",PR!$T259,IF(F261="FCGLOBAL",PR!$U259,IF(F261="GENEITH",PR!$V259,IF(F261="GINOS",PR!$W259,IF(F261="GSK",PR!$X259,IF(F261="GLOBORG",PR!$Y259,IF(F261="GOODNEWS",PR!$Z259,IF(F261="GREENLIFE",PR!$AA259,IF(F261="HLINE",PR!$AB259,IF(F261="ROTECH",PR!$AC259,IF(F261="ISN",PR!$AD259,IF(F261="JAWA",PR!$AE259,IF(F261="LAYO",PR!$AF259,IF(F261="LEADWAY",PR!$AG259,IF(F261="LHV",PR!$AH259,IF(F261="MANOLA",PR!$AI259,IF(F261="MARCSON",PR!$AJ259,IF(F261="M&amp;B",PR!$AK259,IF(F261="MTRUST",PR!$AL259,IF(F261="MWORLD",PR!$AM259,IF(F261="MEGA",PR!$AN259,IF(F261="MICRONOVA",PR!$AO259,IF(F261="MFLASH",PR!$AP259,IF(F261="MORISON",PR!$AQ259,IF(F261="NEMEL",PR!$AR259,IF(F261="NHP",PR!$AS259,IF(F261="NHC",PR!$AT259,IF(F261="OLEAF",PR!$AU259,IF(F261="OCULUS",PR!$AV259,IF(F261="PACIFIC",PR!$AW259,IF(F261="PHAMATEX",PR!$AX259,IF(F261="PETHICS",PR!$AY259,IF(F261="PHILIPS",PR!$AZ259,IF(F261="RANBAXY",PR!$BA259,IF(F261="REALS",PR!$BB259,IF(F261="ROYAL",PR!$BC259,IF(F261="SAM",PR!$BD259,IF(F261="SEAGREEN",PR!$BE259,IF(F261="SKG",PR!$BF259,IF(F261="TAH",PR!$BG259,IF(F261="TAYLEK",PR!$BH259,IF(F261="TEMITA",PR!$BI259,IF(F261="THL",PR!$BJ259,IF(F261="UBASTIC",PR!$BK259,IF(F261="UNION",PR!$BL259,IF(F261="UNIQUE",PR!$BM259,IF(F261="VIXA",PR!$BN259,IF(F261="WWCV",PR!$BO259,IF(F261="ZOLON",PR!$BP259,"-"))))))))))))))))))))))))))))))))))))))))))))))))))))))))))))))))</f>
        <v>350</v>
      </c>
      <c r="F261" s="102" t="str">
        <f>EV!L323</f>
        <v>MFLASH</v>
      </c>
      <c r="G261" s="108">
        <f>IF(H261="ALPHA",PR!$E259,IF(H261="ASSENE",PR!$F259,IF(H261="BIOFEM",PR!$G259,IF(H261="BIOMED",PR!$H259,IF(H261="CHI",PR!$I259,IF(H261="CLARION",PR!$J259,IF(H261="CODIX",PR!$K259,IF(H261="COSMADE",PR!$L259,IF(H261="SANCON",PR!$M259,IF(H261="DEVON",PR!$N259,IF(H261="DORTEMAG",PR!$O259,IF(H261="DGF",PR!$P259,IF(H261="DYNAMIC",PR!$Q259,IF(H261="EMZOR",PR!$R259,IF(H261="EUMATT",PR!$S259,IF(H261="FIDSON",PR!$T259,IF(H261="FCGLOBAL",PR!$U259,IF(H261="GENEITH",PR!$V259,IF(H261="GINOS",PR!$W259,IF(H261="GSK",PR!$X259,IF(H261="GLOBORG",PR!$Y259,IF(H261="GOODNEWS",PR!$Z259,IF(H261="GREENLIFE",PR!$AA259,IF(H261="HLINE",PR!$AB259,IF(H261="ROTECH",PR!$AC259,IF(H261="ISN",PR!$AD259,IF(H261="JAWA",PR!$AE259,IF(H261="LAYO",PR!$AF259,IF(H261="LEADWAY",PR!$AG259,IF(H261="LHV",PR!$AH259,IF(H261="MANOLA",PR!$AI259,IF(H261="MARCSON",PR!$AJ259,IF(H261="M&amp;B",PR!$AK259,IF(H261="MTRUST",PR!$AL259,IF(H261="MWORLD",PR!$AM259,IF(H261="MEGA",PR!$AN259,IF(H261="MICRONOVA",PR!$AO259,IF(H261="MFLASH",PR!$AP259,IF(H261="MORISON",PR!$AQ259,IF(H261="NEMEL",PR!$AR259,IF(H261="NHP",PR!$AS259,IF(H261="NHC",PR!$AT259,IF(H261="OLEAF",PR!$AU259,IF(H261="OCULUS",PR!$AV259,IF(H261="PACIFIC",PR!$AW259,IF(H261="PHAMATEX",PR!$AX259,IF(H261="PETHICS",PR!$AY259,IF(H261="PHILIPS",PR!$AZ259,IF(H261="RANBAXY",PR!$BA259,IF(H261="REALS",PR!$BB259,IF(H261="ROYAL",PR!$BC259,IF(H261="SAM",PR!$BD259,IF(H261="SEAGREEN",PR!$BE259,IF(H261="SKG",PR!$BF259,IF(H261="TAH",PR!$BG259,IF(H261="TAYLEK",PR!$BH259,IF(H261="TEMITA",PR!$BI259,IF(H261="THL",PR!$BJ259,IF(H261="UBASTIC",PR!$BK259,IF(H261="UNION",PR!$BL259,IF(H261="UNIQUE",PR!$BM259,IF(H261="VIXA",PR!$BN259,IF(H261="WWCV",PR!$BO259,IF(H261="ZOLON",PR!$BP259,"-"))))))))))))))))))))))))))))))))))))))))))))))))))))))))))))))))</f>
        <v>450</v>
      </c>
      <c r="H261" s="102" t="str">
        <f>EV!M323</f>
        <v>DORTEMAG</v>
      </c>
      <c r="I261" s="108">
        <f>IF(J261="ALPHA",PR!$E259,IF(J261="ASSENE",PR!$F259,IF(J261="BIOFEM",PR!$G259,IF(J261="BIOMED",PR!$H259,IF(J261="CHI",PR!$I259,IF(J261="CLARION",PR!$J259,IF(J261="CODIX",PR!$K259,IF(J261="COSMADE",PR!$L259,IF(J261="SANCON",PR!$M259,IF(J261="DEVON",PR!$N259,IF(J261="DORTEMAG",PR!$O259,IF(J261="DGF",PR!$P259,IF(J261="DYNAMIC",PR!$Q259,IF(J261="EMZOR",PR!$R259,IF(J261="EUMATT",PR!$S259,IF(J261="FIDSON",PR!$T259,IF(J261="FCGLOBAL",PR!$U259,IF(J261="GENEITH",PR!$V259,IF(J261="GINOS",PR!$W259,IF(J261="GSK",PR!$X259,IF(J261="GLOBORG",PR!$Y259,IF(J261="GOODNEWS",PR!$Z259,IF(J261="GREENLIFE",PR!$AA259,IF(J261="HLINE",PR!$AB259,IF(J261="ROTECH",PR!$AC259,IF(J261="ISN",PR!$AD259,IF(J261="JAWA",PR!$AE259,IF(J261="LAYO",PR!$AF259,IF(J261="LEADWAY",PR!$AG259,IF(J261="LHV",PR!$AH259,IF(J261="MANOLA",PR!$AI259,IF(J261="MARCSON",PR!$AJ259,IF(J261="M&amp;B",PR!$AK259,IF(J261="MTRUST",PR!$AL259,IF(J261="MWORLD",PR!$AM259,IF(J261="MEGA",PR!$AN259,IF(J261="MICRONOVA",PR!$AO259,IF(J261="MFLASH",PR!$AP259,IF(J261="MORISON",PR!$AQ259,IF(J261="NEMEL",PR!$AR259,IF(J261="NHP",PR!$AS259,IF(J261="NHC",PR!$AT259,IF(J261="OLEAF",PR!$AU259,IF(J261="OCULUS",PR!$AV259,IF(J261="PACIFIC",PR!$AW259,IF(J261="PHAMATEX",PR!$AX259,IF(J261="PETHICS",PR!$AY259,IF(J261="PHILIPS",PR!$AZ259,IF(J261="RANBAXY",PR!$BA259,IF(J261="REALS",PR!$BB259,IF(J261="ROYAL",PR!$BC259,IF(J261="SAM",PR!$BD259,IF(J261="SEAGREEN",PR!$BE259,IF(J261="SKG",PR!$BF259,IF(J261="TAH",PR!$BG259,IF(J261="TAYLEK",PR!$BH259,IF(J261="TEMITA",PR!$BI259,IF(J261="THL",PR!$BJ259,IF(J261="UBASTIC",PR!$BK259,IF(J261="UNION",PR!$BL259,IF(J261="UNIQUE",PR!$BM259,IF(J261="VIXA",PR!$BN259,IF(J261="WWCV",PR!$BO259,IF(J261="ZOLON",PR!$BP259,"-"))))))))))))))))))))))))))))))))))))))))))))))))))))))))))))))))</f>
        <v>460</v>
      </c>
      <c r="J261" s="102" t="str">
        <f>EV!N323</f>
        <v>RANBAXY</v>
      </c>
      <c r="K261" s="433" t="s">
        <v>862</v>
      </c>
      <c r="L261" s="183">
        <f>IF(K261&gt;0,IF(K261="ALPHA",PR!$E259,IF(K261="ASSENE",PR!$F259,IF(K261="BIOFEM",PR!$G259,IF(K261="BIOMED",PR!$H259,IF(K261="CHI",PR!$I259,IF(K261="CLARION",PR!$J259,IF(K261="CODIX",PR!$K259,IF(K261="COSMADE",PR!$L259,IF(K261="SANCON",PR!$M259,IF(K261="DEVON",PR!$N259,IF(K261="DORTEMAG",PR!$O259,IF(K261="DGF",PR!$P259,IF(K261="DYNAMIC",PR!$Q259,IF(K261="EMZOR",PR!$R259,IF(K261="EUMATT",PR!$S259,IF(K261="FIDSON",PR!$T259,IF(K261="FCGLOBAL",PR!$U259,IF(K261="GENEITH",PR!$V259,IF(K261="GINOS",PR!$W259,IF(K261="GSK",PR!$X259,IF(K261="GLOBORG",PR!$Y259,IF(K261="GOODNEWS",PR!$Z259,IF(K261="GREENLIFE",PR!$AA259,IF(K261="HLINE",PR!$AB259,IF(K261="ROTECH",PR!$AC259,IF(K261="ISN",PR!$AD259,IF(K261="JAWA",PR!$AE259,IF(K261="LAYO",PR!$AF259,IF(K261="LEADWAY",PR!$AG259,IF(K261="LHV",PR!$AH259,IF(K261="MANOLA",PR!$AI259,IF(K261="MARCSON",PR!$AJ259,IF(K261="M&amp;B",PR!$AK259,IF(K261="MTRUST",PR!$AL259,IF(K261="MWORLD",PR!$AM259,IF(K261="MEGA",PR!$AN259,IF(K261="MICRONOVA",PR!$AO259,IF(K261="MFLASH",PR!$AP259,IF(K261="MORISON",PR!$AQ259,IF(K261="NEMEL",PR!$AR259,IF(K261="NHP",PR!$AS259,IF(K261="NHC",PR!$AT259,IF(K261="OLEAF",PR!$AU259,IF(K261="OCULUS",PR!$AV259,IF(K261="PACIFIC",PR!$AW259,IF(K261="PHAMATEX",PR!$AX259,IF(K261="PETHICS",PR!$AY259,IF(K261="PHILIPS",PR!$AZ259,IF(K261="RANBAXY",PR!$BA259,IF(K261="REALS",PR!$BB259,IF(K261="ROYAL",PR!$BC259,IF(K261="SAM",PR!$BD259,IF(K261="SEAGREEN",PR!$BE259,IF(K261="SKG",PR!$BF259,IF(K261="TAH",PR!$BG259,IF(K261="TAYLEK",PR!$BH259,IF(K261="TEMITA",PR!$BI259,IF(K261="THL",PR!$BJ259,IF(K261="UBASTIC",PR!$BK259,IF(K261="UNION",PR!$BL259,IF(K261="UNIQUE",PR!$BM259,IF(K261="VIXA",PR!$BN259,IF(K261="WWCV",PR!$BO259,IF(K261="ZOLON",PR!$BP259,"-")))))))))))))))))))))))))))))))))))))))))))))))))))))))))))))))))</f>
        <v>350</v>
      </c>
    </row>
    <row r="262" spans="1:12" ht="18.75" x14ac:dyDescent="0.3">
      <c r="A262" s="430">
        <f>PR!A260</f>
        <v>236</v>
      </c>
      <c r="B262" s="15" t="str">
        <f>PR!B260</f>
        <v>CIPROFLOXACIN 500MG TAB</v>
      </c>
      <c r="C262" s="113">
        <f>PR!D260</f>
        <v>10</v>
      </c>
      <c r="D262" s="113">
        <f>PR!C260</f>
        <v>8000</v>
      </c>
      <c r="E262" s="108">
        <f>IF(F262="ALPHA",PR!$E260,IF(F262="ASSENE",PR!$F260,IF(F262="BIOFEM",PR!$G260,IF(F262="BIOMED",PR!$H260,IF(F262="CHI",PR!$I260,IF(F262="CLARION",PR!$J260,IF(F262="CODIX",PR!$K260,IF(F262="COSMADE",PR!$L260,IF(F262="SANCON",PR!$M260,IF(F262="DEVON",PR!$N260,IF(F262="DORTEMAG",PR!$O260,IF(F262="DGF",PR!$P260,IF(F262="DYNAMIC",PR!$Q260,IF(F262="EMZOR",PR!$R260,IF(F262="EUMATT",PR!$S260,IF(F262="FIDSON",PR!$T260,IF(F262="FCGLOBAL",PR!$U260,IF(F262="GENEITH",PR!$V260,IF(F262="GINOS",PR!$W260,IF(F262="GSK",PR!$X260,IF(F262="GLOBORG",PR!$Y260,IF(F262="GOODNEWS",PR!$Z260,IF(F262="GREENLIFE",PR!$AA260,IF(F262="HLINE",PR!$AB260,IF(F262="ROTECH",PR!$AC260,IF(F262="ISN",PR!$AD260,IF(F262="JAWA",PR!$AE260,IF(F262="LAYO",PR!$AF260,IF(F262="LEADWAY",PR!$AG260,IF(F262="LHV",PR!$AH260,IF(F262="MANOLA",PR!$AI260,IF(F262="MARCSON",PR!$AJ260,IF(F262="M&amp;B",PR!$AK260,IF(F262="MTRUST",PR!$AL260,IF(F262="MWORLD",PR!$AM260,IF(F262="MEGA",PR!$AN260,IF(F262="MICRONOVA",PR!$AO260,IF(F262="MFLASH",PR!$AP260,IF(F262="MORISON",PR!$AQ260,IF(F262="NEMEL",PR!$AR260,IF(F262="NHP",PR!$AS260,IF(F262="NHC",PR!$AT260,IF(F262="OLEAF",PR!$AU260,IF(F262="OCULUS",PR!$AV260,IF(F262="PACIFIC",PR!$AW260,IF(F262="PHAMATEX",PR!$AX260,IF(F262="PETHICS",PR!$AY260,IF(F262="PHILIPS",PR!$AZ260,IF(F262="RANBAXY",PR!$BA260,IF(F262="REALS",PR!$BB260,IF(F262="ROYAL",PR!$BC260,IF(F262="SAM",PR!$BD260,IF(F262="SEAGREEN",PR!$BE260,IF(F262="SKG",PR!$BF260,IF(F262="TAH",PR!$BG260,IF(F262="TAYLEK",PR!$BH260,IF(F262="TEMITA",PR!$BI260,IF(F262="THL",PR!$BJ260,IF(F262="UBASTIC",PR!$BK260,IF(F262="UNION",PR!$BL260,IF(F262="UNIQUE",PR!$BM260,IF(F262="VIXA",PR!$BN260,IF(F262="WWCV",PR!$BO260,IF(F262="ZOLON",PR!$BP260,"-"))))))))))))))))))))))))))))))))))))))))))))))))))))))))))))))))</f>
        <v>120</v>
      </c>
      <c r="F262" s="102" t="str">
        <f>EV!L324</f>
        <v>UNIQUE</v>
      </c>
      <c r="G262" s="108">
        <f>IF(H262="ALPHA",PR!$E260,IF(H262="ASSENE",PR!$F260,IF(H262="BIOFEM",PR!$G260,IF(H262="BIOMED",PR!$H260,IF(H262="CHI",PR!$I260,IF(H262="CLARION",PR!$J260,IF(H262="CODIX",PR!$K260,IF(H262="COSMADE",PR!$L260,IF(H262="SANCON",PR!$M260,IF(H262="DEVON",PR!$N260,IF(H262="DORTEMAG",PR!$O260,IF(H262="DGF",PR!$P260,IF(H262="DYNAMIC",PR!$Q260,IF(H262="EMZOR",PR!$R260,IF(H262="EUMATT",PR!$S260,IF(H262="FIDSON",PR!$T260,IF(H262="FCGLOBAL",PR!$U260,IF(H262="GENEITH",PR!$V260,IF(H262="GINOS",PR!$W260,IF(H262="GSK",PR!$X260,IF(H262="GLOBORG",PR!$Y260,IF(H262="GOODNEWS",PR!$Z260,IF(H262="GREENLIFE",PR!$AA260,IF(H262="HLINE",PR!$AB260,IF(H262="ROTECH",PR!$AC260,IF(H262="ISN",PR!$AD260,IF(H262="JAWA",PR!$AE260,IF(H262="LAYO",PR!$AF260,IF(H262="LEADWAY",PR!$AG260,IF(H262="LHV",PR!$AH260,IF(H262="MANOLA",PR!$AI260,IF(H262="MARCSON",PR!$AJ260,IF(H262="M&amp;B",PR!$AK260,IF(H262="MTRUST",PR!$AL260,IF(H262="MWORLD",PR!$AM260,IF(H262="MEGA",PR!$AN260,IF(H262="MICRONOVA",PR!$AO260,IF(H262="MFLASH",PR!$AP260,IF(H262="MORISON",PR!$AQ260,IF(H262="NEMEL",PR!$AR260,IF(H262="NHP",PR!$AS260,IF(H262="NHC",PR!$AT260,IF(H262="OLEAF",PR!$AU260,IF(H262="OCULUS",PR!$AV260,IF(H262="PACIFIC",PR!$AW260,IF(H262="PHAMATEX",PR!$AX260,IF(H262="PETHICS",PR!$AY260,IF(H262="PHILIPS",PR!$AZ260,IF(H262="RANBAXY",PR!$BA260,IF(H262="REALS",PR!$BB260,IF(H262="ROYAL",PR!$BC260,IF(H262="SAM",PR!$BD260,IF(H262="SEAGREEN",PR!$BE260,IF(H262="SKG",PR!$BF260,IF(H262="TAH",PR!$BG260,IF(H262="TAYLEK",PR!$BH260,IF(H262="TEMITA",PR!$BI260,IF(H262="THL",PR!$BJ260,IF(H262="UBASTIC",PR!$BK260,IF(H262="UNION",PR!$BL260,IF(H262="UNIQUE",PR!$BM260,IF(H262="VIXA",PR!$BN260,IF(H262="WWCV",PR!$BO260,IF(H262="ZOLON",PR!$BP260,"-"))))))))))))))))))))))))))))))))))))))))))))))))))))))))))))))))</f>
        <v>130</v>
      </c>
      <c r="H262" s="102" t="str">
        <f>EV!M324</f>
        <v>NEMEL</v>
      </c>
      <c r="I262" s="108">
        <f>IF(J262="ALPHA",PR!$E260,IF(J262="ASSENE",PR!$F260,IF(J262="BIOFEM",PR!$G260,IF(J262="BIOMED",PR!$H260,IF(J262="CHI",PR!$I260,IF(J262="CLARION",PR!$J260,IF(J262="CODIX",PR!$K260,IF(J262="COSMADE",PR!$L260,IF(J262="SANCON",PR!$M260,IF(J262="DEVON",PR!$N260,IF(J262="DORTEMAG",PR!$O260,IF(J262="DGF",PR!$P260,IF(J262="DYNAMIC",PR!$Q260,IF(J262="EMZOR",PR!$R260,IF(J262="EUMATT",PR!$S260,IF(J262="FIDSON",PR!$T260,IF(J262="FCGLOBAL",PR!$U260,IF(J262="GENEITH",PR!$V260,IF(J262="GINOS",PR!$W260,IF(J262="GSK",PR!$X260,IF(J262="GLOBORG",PR!$Y260,IF(J262="GOODNEWS",PR!$Z260,IF(J262="GREENLIFE",PR!$AA260,IF(J262="HLINE",PR!$AB260,IF(J262="ROTECH",PR!$AC260,IF(J262="ISN",PR!$AD260,IF(J262="JAWA",PR!$AE260,IF(J262="LAYO",PR!$AF260,IF(J262="LEADWAY",PR!$AG260,IF(J262="LHV",PR!$AH260,IF(J262="MANOLA",PR!$AI260,IF(J262="MARCSON",PR!$AJ260,IF(J262="M&amp;B",PR!$AK260,IF(J262="MTRUST",PR!$AL260,IF(J262="MWORLD",PR!$AM260,IF(J262="MEGA",PR!$AN260,IF(J262="MICRONOVA",PR!$AO260,IF(J262="MFLASH",PR!$AP260,IF(J262="MORISON",PR!$AQ260,IF(J262="NEMEL",PR!$AR260,IF(J262="NHP",PR!$AS260,IF(J262="NHC",PR!$AT260,IF(J262="OLEAF",PR!$AU260,IF(J262="OCULUS",PR!$AV260,IF(J262="PACIFIC",PR!$AW260,IF(J262="PHAMATEX",PR!$AX260,IF(J262="PETHICS",PR!$AY260,IF(J262="PHILIPS",PR!$AZ260,IF(J262="RANBAXY",PR!$BA260,IF(J262="REALS",PR!$BB260,IF(J262="ROYAL",PR!$BC260,IF(J262="SAM",PR!$BD260,IF(J262="SEAGREEN",PR!$BE260,IF(J262="SKG",PR!$BF260,IF(J262="TAH",PR!$BG260,IF(J262="TAYLEK",PR!$BH260,IF(J262="TEMITA",PR!$BI260,IF(J262="THL",PR!$BJ260,IF(J262="UBASTIC",PR!$BK260,IF(J262="UNION",PR!$BL260,IF(J262="UNIQUE",PR!$BM260,IF(J262="VIXA",PR!$BN260,IF(J262="WWCV",PR!$BO260,IF(J262="ZOLON",PR!$BP260,"-"))))))))))))))))))))))))))))))))))))))))))))))))))))))))))))))))</f>
        <v>148</v>
      </c>
      <c r="J262" s="102" t="str">
        <f>EV!N324</f>
        <v>THL</v>
      </c>
      <c r="K262" s="433" t="s">
        <v>2125</v>
      </c>
      <c r="L262" s="183" t="str">
        <f>IF(K262&gt;0,IF(K262="ALPHA",PR!$E260,IF(K262="ASSENE",PR!$F260,IF(K262="BIOFEM",PR!$G260,IF(K262="BIOMED",PR!$H260,IF(K262="CHI",PR!$I260,IF(K262="CLARION",PR!$J260,IF(K262="CODIX",PR!$K260,IF(K262="COSMADE",PR!$L260,IF(K262="SANCON",PR!$M260,IF(K262="DEVON",PR!$N260,IF(K262="DORTEMAG",PR!$O260,IF(K262="DGF",PR!$P260,IF(K262="DYNAMIC",PR!$Q260,IF(K262="EMZOR",PR!$R260,IF(K262="EUMATT",PR!$S260,IF(K262="FIDSON",PR!$T260,IF(K262="FCGLOBAL",PR!$U260,IF(K262="GENEITH",PR!$V260,IF(K262="GINOS",PR!$W260,IF(K262="GSK",PR!$X260,IF(K262="GLOBORG",PR!$Y260,IF(K262="GOODNEWS",PR!$Z260,IF(K262="GREENLIFE",PR!$AA260,IF(K262="HLINE",PR!$AB260,IF(K262="ROTECH",PR!$AC260,IF(K262="ISN",PR!$AD260,IF(K262="JAWA",PR!$AE260,IF(K262="LAYO",PR!$AF260,IF(K262="LEADWAY",PR!$AG260,IF(K262="LHV",PR!$AH260,IF(K262="MANOLA",PR!$AI260,IF(K262="MARCSON",PR!$AJ260,IF(K262="M&amp;B",PR!$AK260,IF(K262="MTRUST",PR!$AL260,IF(K262="MWORLD",PR!$AM260,IF(K262="MEGA",PR!$AN260,IF(K262="MICRONOVA",PR!$AO260,IF(K262="MFLASH",PR!$AP260,IF(K262="MORISON",PR!$AQ260,IF(K262="NEMEL",PR!$AR260,IF(K262="NHP",PR!$AS260,IF(K262="NHC",PR!$AT260,IF(K262="OLEAF",PR!$AU260,IF(K262="OCULUS",PR!$AV260,IF(K262="PACIFIC",PR!$AW260,IF(K262="PHAMATEX",PR!$AX260,IF(K262="PETHICS",PR!$AY260,IF(K262="PHILIPS",PR!$AZ260,IF(K262="RANBAXY",PR!$BA260,IF(K262="REALS",PR!$BB260,IF(K262="ROYAL",PR!$BC260,IF(K262="SAM",PR!$BD260,IF(K262="SEAGREEN",PR!$BE260,IF(K262="SKG",PR!$BF260,IF(K262="TAH",PR!$BG260,IF(K262="TAYLEK",PR!$BH260,IF(K262="TEMITA",PR!$BI260,IF(K262="THL",PR!$BJ260,IF(K262="UBASTIC",PR!$BK260,IF(K262="UNION",PR!$BL260,IF(K262="UNIQUE",PR!$BM260,IF(K262="VIXA",PR!$BN260,IF(K262="WWCV",PR!$BO260,IF(K262="ZOLON",PR!$BP260,"-")))))))))))))))))))))))))))))))))))))))))))))))))))))))))))))))))</f>
        <v>-</v>
      </c>
    </row>
    <row r="263" spans="1:12" ht="18.75" x14ac:dyDescent="0.3">
      <c r="A263" s="430">
        <f>PR!A261</f>
        <v>237</v>
      </c>
      <c r="B263" s="15" t="str">
        <f>PR!B261</f>
        <v>CIPROFLOXACIN INJ</v>
      </c>
      <c r="C263" s="113" t="str">
        <f>PR!D261</f>
        <v>BOTT</v>
      </c>
      <c r="D263" s="113">
        <f>PR!C261</f>
        <v>6000</v>
      </c>
      <c r="E263" s="108">
        <f>IF(F263="ALPHA",PR!$E261,IF(F263="ASSENE",PR!$F261,IF(F263="BIOFEM",PR!$G261,IF(F263="BIOMED",PR!$H261,IF(F263="CHI",PR!$I261,IF(F263="CLARION",PR!$J261,IF(F263="CODIX",PR!$K261,IF(F263="COSMADE",PR!$L261,IF(F263="SANCON",PR!$M261,IF(F263="DEVON",PR!$N261,IF(F263="DORTEMAG",PR!$O261,IF(F263="DGF",PR!$P261,IF(F263="DYNAMIC",PR!$Q261,IF(F263="EMZOR",PR!$R261,IF(F263="EUMATT",PR!$S261,IF(F263="FIDSON",PR!$T261,IF(F263="FCGLOBAL",PR!$U261,IF(F263="GENEITH",PR!$V261,IF(F263="GINOS",PR!$W261,IF(F263="GSK",PR!$X261,IF(F263="GLOBORG",PR!$Y261,IF(F263="GOODNEWS",PR!$Z261,IF(F263="GREENLIFE",PR!$AA261,IF(F263="HLINE",PR!$AB261,IF(F263="ROTECH",PR!$AC261,IF(F263="ISN",PR!$AD261,IF(F263="JAWA",PR!$AE261,IF(F263="LAYO",PR!$AF261,IF(F263="LEADWAY",PR!$AG261,IF(F263="LHV",PR!$AH261,IF(F263="MANOLA",PR!$AI261,IF(F263="MARCSON",PR!$AJ261,IF(F263="M&amp;B",PR!$AK261,IF(F263="MTRUST",PR!$AL261,IF(F263="MWORLD",PR!$AM261,IF(F263="MEGA",PR!$AN261,IF(F263="MICRONOVA",PR!$AO261,IF(F263="MFLASH",PR!$AP261,IF(F263="MORISON",PR!$AQ261,IF(F263="NEMEL",PR!$AR261,IF(F263="NHP",PR!$AS261,IF(F263="NHC",PR!$AT261,IF(F263="OLEAF",PR!$AU261,IF(F263="OCULUS",PR!$AV261,IF(F263="PACIFIC",PR!$AW261,IF(F263="PHAMATEX",PR!$AX261,IF(F263="PETHICS",PR!$AY261,IF(F263="PHILIPS",PR!$AZ261,IF(F263="RANBAXY",PR!$BA261,IF(F263="REALS",PR!$BB261,IF(F263="ROYAL",PR!$BC261,IF(F263="SAM",PR!$BD261,IF(F263="SEAGREEN",PR!$BE261,IF(F263="SKG",PR!$BF261,IF(F263="TAH",PR!$BG261,IF(F263="TAYLEK",PR!$BH261,IF(F263="TEMITA",PR!$BI261,IF(F263="THL",PR!$BJ261,IF(F263="UBASTIC",PR!$BK261,IF(F263="UNION",PR!$BL261,IF(F263="UNIQUE",PR!$BM261,IF(F263="VIXA",PR!$BN261,IF(F263="WWCV",PR!$BO261,IF(F263="ZOLON",PR!$BP261,"-"))))))))))))))))))))))))))))))))))))))))))))))))))))))))))))))))</f>
        <v>90</v>
      </c>
      <c r="F263" s="102" t="str">
        <f>EV!L325</f>
        <v>DEVON</v>
      </c>
      <c r="G263" s="108">
        <f>IF(H263="ALPHA",PR!$E261,IF(H263="ASSENE",PR!$F261,IF(H263="BIOFEM",PR!$G261,IF(H263="BIOMED",PR!$H261,IF(H263="CHI",PR!$I261,IF(H263="CLARION",PR!$J261,IF(H263="CODIX",PR!$K261,IF(H263="COSMADE",PR!$L261,IF(H263="SANCON",PR!$M261,IF(H263="DEVON",PR!$N261,IF(H263="DORTEMAG",PR!$O261,IF(H263="DGF",PR!$P261,IF(H263="DYNAMIC",PR!$Q261,IF(H263="EMZOR",PR!$R261,IF(H263="EUMATT",PR!$S261,IF(H263="FIDSON",PR!$T261,IF(H263="FCGLOBAL",PR!$U261,IF(H263="GENEITH",PR!$V261,IF(H263="GINOS",PR!$W261,IF(H263="GSK",PR!$X261,IF(H263="GLOBORG",PR!$Y261,IF(H263="GOODNEWS",PR!$Z261,IF(H263="GREENLIFE",PR!$AA261,IF(H263="HLINE",PR!$AB261,IF(H263="ROTECH",PR!$AC261,IF(H263="ISN",PR!$AD261,IF(H263="JAWA",PR!$AE261,IF(H263="LAYO",PR!$AF261,IF(H263="LEADWAY",PR!$AG261,IF(H263="LHV",PR!$AH261,IF(H263="MANOLA",PR!$AI261,IF(H263="MARCSON",PR!$AJ261,IF(H263="M&amp;B",PR!$AK261,IF(H263="MTRUST",PR!$AL261,IF(H263="MWORLD",PR!$AM261,IF(H263="MEGA",PR!$AN261,IF(H263="MICRONOVA",PR!$AO261,IF(H263="MFLASH",PR!$AP261,IF(H263="MORISON",PR!$AQ261,IF(H263="NEMEL",PR!$AR261,IF(H263="NHP",PR!$AS261,IF(H263="NHC",PR!$AT261,IF(H263="OLEAF",PR!$AU261,IF(H263="OCULUS",PR!$AV261,IF(H263="PACIFIC",PR!$AW261,IF(H263="PHAMATEX",PR!$AX261,IF(H263="PETHICS",PR!$AY261,IF(H263="PHILIPS",PR!$AZ261,IF(H263="RANBAXY",PR!$BA261,IF(H263="REALS",PR!$BB261,IF(H263="ROYAL",PR!$BC261,IF(H263="SAM",PR!$BD261,IF(H263="SEAGREEN",PR!$BE261,IF(H263="SKG",PR!$BF261,IF(H263="TAH",PR!$BG261,IF(H263="TAYLEK",PR!$BH261,IF(H263="TEMITA",PR!$BI261,IF(H263="THL",PR!$BJ261,IF(H263="UBASTIC",PR!$BK261,IF(H263="UNION",PR!$BL261,IF(H263="UNIQUE",PR!$BM261,IF(H263="VIXA",PR!$BN261,IF(H263="WWCV",PR!$BO261,IF(H263="ZOLON",PR!$BP261,"-"))))))))))))))))))))))))))))))))))))))))))))))))))))))))))))))))</f>
        <v>102</v>
      </c>
      <c r="H263" s="102" t="str">
        <f>EV!M325</f>
        <v>GLOBORG</v>
      </c>
      <c r="I263" s="108">
        <f>IF(J263="ALPHA",PR!$E261,IF(J263="ASSENE",PR!$F261,IF(J263="BIOFEM",PR!$G261,IF(J263="BIOMED",PR!$H261,IF(J263="CHI",PR!$I261,IF(J263="CLARION",PR!$J261,IF(J263="CODIX",PR!$K261,IF(J263="COSMADE",PR!$L261,IF(J263="SANCON",PR!$M261,IF(J263="DEVON",PR!$N261,IF(J263="DORTEMAG",PR!$O261,IF(J263="DGF",PR!$P261,IF(J263="DYNAMIC",PR!$Q261,IF(J263="EMZOR",PR!$R261,IF(J263="EUMATT",PR!$S261,IF(J263="FIDSON",PR!$T261,IF(J263="FCGLOBAL",PR!$U261,IF(J263="GENEITH",PR!$V261,IF(J263="GINOS",PR!$W261,IF(J263="GSK",PR!$X261,IF(J263="GLOBORG",PR!$Y261,IF(J263="GOODNEWS",PR!$Z261,IF(J263="GREENLIFE",PR!$AA261,IF(J263="HLINE",PR!$AB261,IF(J263="ROTECH",PR!$AC261,IF(J263="ISN",PR!$AD261,IF(J263="JAWA",PR!$AE261,IF(J263="LAYO",PR!$AF261,IF(J263="LEADWAY",PR!$AG261,IF(J263="LHV",PR!$AH261,IF(J263="MANOLA",PR!$AI261,IF(J263="MARCSON",PR!$AJ261,IF(J263="M&amp;B",PR!$AK261,IF(J263="MTRUST",PR!$AL261,IF(J263="MWORLD",PR!$AM261,IF(J263="MEGA",PR!$AN261,IF(J263="MICRONOVA",PR!$AO261,IF(J263="MFLASH",PR!$AP261,IF(J263="MORISON",PR!$AQ261,IF(J263="NEMEL",PR!$AR261,IF(J263="NHP",PR!$AS261,IF(J263="NHC",PR!$AT261,IF(J263="OLEAF",PR!$AU261,IF(J263="OCULUS",PR!$AV261,IF(J263="PACIFIC",PR!$AW261,IF(J263="PHAMATEX",PR!$AX261,IF(J263="PETHICS",PR!$AY261,IF(J263="PHILIPS",PR!$AZ261,IF(J263="RANBAXY",PR!$BA261,IF(J263="REALS",PR!$BB261,IF(J263="ROYAL",PR!$BC261,IF(J263="SAM",PR!$BD261,IF(J263="SEAGREEN",PR!$BE261,IF(J263="SKG",PR!$BF261,IF(J263="TAH",PR!$BG261,IF(J263="TAYLEK",PR!$BH261,IF(J263="TEMITA",PR!$BI261,IF(J263="THL",PR!$BJ261,IF(J263="UBASTIC",PR!$BK261,IF(J263="UNION",PR!$BL261,IF(J263="UNIQUE",PR!$BM261,IF(J263="VIXA",PR!$BN261,IF(J263="WWCV",PR!$BO261,IF(J263="ZOLON",PR!$BP261,"-"))))))))))))))))))))))))))))))))))))))))))))))))))))))))))))))))</f>
        <v>110</v>
      </c>
      <c r="J263" s="102" t="str">
        <f>EV!N325</f>
        <v>TAH</v>
      </c>
      <c r="K263" s="433" t="s">
        <v>2126</v>
      </c>
      <c r="L263" s="183" t="str">
        <f>IF(K263&gt;0,IF(K263="ALPHA",PR!$E261,IF(K263="ASSENE",PR!$F261,IF(K263="BIOFEM",PR!$G261,IF(K263="BIOMED",PR!$H261,IF(K263="CHI",PR!$I261,IF(K263="CLARION",PR!$J261,IF(K263="CODIX",PR!$K261,IF(K263="COSMADE",PR!$L261,IF(K263="SANCON",PR!$M261,IF(K263="DEVON",PR!$N261,IF(K263="DORTEMAG",PR!$O261,IF(K263="DGF",PR!$P261,IF(K263="DYNAMIC",PR!$Q261,IF(K263="EMZOR",PR!$R261,IF(K263="EUMATT",PR!$S261,IF(K263="FIDSON",PR!$T261,IF(K263="FCGLOBAL",PR!$U261,IF(K263="GENEITH",PR!$V261,IF(K263="GINOS",PR!$W261,IF(K263="GSK",PR!$X261,IF(K263="GLOBORG",PR!$Y261,IF(K263="GOODNEWS",PR!$Z261,IF(K263="GREENLIFE",PR!$AA261,IF(K263="HLINE",PR!$AB261,IF(K263="ROTECH",PR!$AC261,IF(K263="ISN",PR!$AD261,IF(K263="JAWA",PR!$AE261,IF(K263="LAYO",PR!$AF261,IF(K263="LEADWAY",PR!$AG261,IF(K263="LHV",PR!$AH261,IF(K263="MANOLA",PR!$AI261,IF(K263="MARCSON",PR!$AJ261,IF(K263="M&amp;B",PR!$AK261,IF(K263="MTRUST",PR!$AL261,IF(K263="MWORLD",PR!$AM261,IF(K263="MEGA",PR!$AN261,IF(K263="MICRONOVA",PR!$AO261,IF(K263="MFLASH",PR!$AP261,IF(K263="MORISON",PR!$AQ261,IF(K263="NEMEL",PR!$AR261,IF(K263="NHP",PR!$AS261,IF(K263="NHC",PR!$AT261,IF(K263="OLEAF",PR!$AU261,IF(K263="OCULUS",PR!$AV261,IF(K263="PACIFIC",PR!$AW261,IF(K263="PHAMATEX",PR!$AX261,IF(K263="PETHICS",PR!$AY261,IF(K263="PHILIPS",PR!$AZ261,IF(K263="RANBAXY",PR!$BA261,IF(K263="REALS",PR!$BB261,IF(K263="ROYAL",PR!$BC261,IF(K263="SAM",PR!$BD261,IF(K263="SEAGREEN",PR!$BE261,IF(K263="SKG",PR!$BF261,IF(K263="TAH",PR!$BG261,IF(K263="TAYLEK",PR!$BH261,IF(K263="TEMITA",PR!$BI261,IF(K263="THL",PR!$BJ261,IF(K263="UBASTIC",PR!$BK261,IF(K263="UNION",PR!$BL261,IF(K263="UNIQUE",PR!$BM261,IF(K263="VIXA",PR!$BN261,IF(K263="WWCV",PR!$BO261,IF(K263="ZOLON",PR!$BP261,"-")))))))))))))))))))))))))))))))))))))))))))))))))))))))))))))))))</f>
        <v>-</v>
      </c>
    </row>
    <row r="264" spans="1:12" ht="18.75" x14ac:dyDescent="0.3">
      <c r="A264" s="430">
        <f>PR!A262</f>
        <v>238</v>
      </c>
      <c r="B264" s="15" t="str">
        <f>PR!B262</f>
        <v>CLARITHROMYCIN 500MG</v>
      </c>
      <c r="C264" s="113">
        <f>PR!D262</f>
        <v>10</v>
      </c>
      <c r="D264" s="113">
        <f>PR!C262</f>
        <v>200</v>
      </c>
      <c r="E264" s="108">
        <f>IF(F264="ALPHA",PR!$E262,IF(F264="ASSENE",PR!$F262,IF(F264="BIOFEM",PR!$G262,IF(F264="BIOMED",PR!$H262,IF(F264="CHI",PR!$I262,IF(F264="CLARION",PR!$J262,IF(F264="CODIX",PR!$K262,IF(F264="COSMADE",PR!$L262,IF(F264="SANCON",PR!$M262,IF(F264="DEVON",PR!$N262,IF(F264="DORTEMAG",PR!$O262,IF(F264="DGF",PR!$P262,IF(F264="DYNAMIC",PR!$Q262,IF(F264="EMZOR",PR!$R262,IF(F264="EUMATT",PR!$S262,IF(F264="FIDSON",PR!$T262,IF(F264="FCGLOBAL",PR!$U262,IF(F264="GENEITH",PR!$V262,IF(F264="GINOS",PR!$W262,IF(F264="GSK",PR!$X262,IF(F264="GLOBORG",PR!$Y262,IF(F264="GOODNEWS",PR!$Z262,IF(F264="GREENLIFE",PR!$AA262,IF(F264="HLINE",PR!$AB262,IF(F264="ROTECH",PR!$AC262,IF(F264="ISN",PR!$AD262,IF(F264="JAWA",PR!$AE262,IF(F264="LAYO",PR!$AF262,IF(F264="LEADWAY",PR!$AG262,IF(F264="LHV",PR!$AH262,IF(F264="MANOLA",PR!$AI262,IF(F264="MARCSON",PR!$AJ262,IF(F264="M&amp;B",PR!$AK262,IF(F264="MTRUST",PR!$AL262,IF(F264="MWORLD",PR!$AM262,IF(F264="MEGA",PR!$AN262,IF(F264="MICRONOVA",PR!$AO262,IF(F264="MFLASH",PR!$AP262,IF(F264="MORISON",PR!$AQ262,IF(F264="NEMEL",PR!$AR262,IF(F264="NHP",PR!$AS262,IF(F264="NHC",PR!$AT262,IF(F264="OLEAF",PR!$AU262,IF(F264="OCULUS",PR!$AV262,IF(F264="PACIFIC",PR!$AW262,IF(F264="PHAMATEX",PR!$AX262,IF(F264="PETHICS",PR!$AY262,IF(F264="PHILIPS",PR!$AZ262,IF(F264="RANBAXY",PR!$BA262,IF(F264="REALS",PR!$BB262,IF(F264="ROYAL",PR!$BC262,IF(F264="SAM",PR!$BD262,IF(F264="SEAGREEN",PR!$BE262,IF(F264="SKG",PR!$BF262,IF(F264="TAH",PR!$BG262,IF(F264="TAYLEK",PR!$BH262,IF(F264="TEMITA",PR!$BI262,IF(F264="THL",PR!$BJ262,IF(F264="UBASTIC",PR!$BK262,IF(F264="UNION",PR!$BL262,IF(F264="UNIQUE",PR!$BM262,IF(F264="VIXA",PR!$BN262,IF(F264="WWCV",PR!$BO262,IF(F264="ZOLON",PR!$BP262,"-"))))))))))))))))))))))))))))))))))))))))))))))))))))))))))))))))</f>
        <v>900</v>
      </c>
      <c r="F264" s="102" t="str">
        <f>EV!L326</f>
        <v>EUMATT</v>
      </c>
      <c r="G264" s="108">
        <f>IF(H264="ALPHA",PR!$E262,IF(H264="ASSENE",PR!$F262,IF(H264="BIOFEM",PR!$G262,IF(H264="BIOMED",PR!$H262,IF(H264="CHI",PR!$I262,IF(H264="CLARION",PR!$J262,IF(H264="CODIX",PR!$K262,IF(H264="COSMADE",PR!$L262,IF(H264="SANCON",PR!$M262,IF(H264="DEVON",PR!$N262,IF(H264="DORTEMAG",PR!$O262,IF(H264="DGF",PR!$P262,IF(H264="DYNAMIC",PR!$Q262,IF(H264="EMZOR",PR!$R262,IF(H264="EUMATT",PR!$S262,IF(H264="FIDSON",PR!$T262,IF(H264="FCGLOBAL",PR!$U262,IF(H264="GENEITH",PR!$V262,IF(H264="GINOS",PR!$W262,IF(H264="GSK",PR!$X262,IF(H264="GLOBORG",PR!$Y262,IF(H264="GOODNEWS",PR!$Z262,IF(H264="GREENLIFE",PR!$AA262,IF(H264="HLINE",PR!$AB262,IF(H264="ROTECH",PR!$AC262,IF(H264="ISN",PR!$AD262,IF(H264="JAWA",PR!$AE262,IF(H264="LAYO",PR!$AF262,IF(H264="LEADWAY",PR!$AG262,IF(H264="LHV",PR!$AH262,IF(H264="MANOLA",PR!$AI262,IF(H264="MARCSON",PR!$AJ262,IF(H264="M&amp;B",PR!$AK262,IF(H264="MTRUST",PR!$AL262,IF(H264="MWORLD",PR!$AM262,IF(H264="MEGA",PR!$AN262,IF(H264="MICRONOVA",PR!$AO262,IF(H264="MFLASH",PR!$AP262,IF(H264="MORISON",PR!$AQ262,IF(H264="NEMEL",PR!$AR262,IF(H264="NHP",PR!$AS262,IF(H264="NHC",PR!$AT262,IF(H264="OLEAF",PR!$AU262,IF(H264="OCULUS",PR!$AV262,IF(H264="PACIFIC",PR!$AW262,IF(H264="PHAMATEX",PR!$AX262,IF(H264="PETHICS",PR!$AY262,IF(H264="PHILIPS",PR!$AZ262,IF(H264="RANBAXY",PR!$BA262,IF(H264="REALS",PR!$BB262,IF(H264="ROYAL",PR!$BC262,IF(H264="SAM",PR!$BD262,IF(H264="SEAGREEN",PR!$BE262,IF(H264="SKG",PR!$BF262,IF(H264="TAH",PR!$BG262,IF(H264="TAYLEK",PR!$BH262,IF(H264="TEMITA",PR!$BI262,IF(H264="THL",PR!$BJ262,IF(H264="UBASTIC",PR!$BK262,IF(H264="UNION",PR!$BL262,IF(H264="UNIQUE",PR!$BM262,IF(H264="VIXA",PR!$BN262,IF(H264="WWCV",PR!$BO262,IF(H264="ZOLON",PR!$BP262,"-"))))))))))))))))))))))))))))))))))))))))))))))))))))))))))))))))</f>
        <v>954</v>
      </c>
      <c r="H264" s="102" t="str">
        <f>EV!M326</f>
        <v>MICRONOVA</v>
      </c>
      <c r="I264" s="108" t="str">
        <f>IF(J264="ALPHA",PR!$E262,IF(J264="ASSENE",PR!$F262,IF(J264="BIOFEM",PR!$G262,IF(J264="BIOMED",PR!$H262,IF(J264="CHI",PR!$I262,IF(J264="CLARION",PR!$J262,IF(J264="CODIX",PR!$K262,IF(J264="COSMADE",PR!$L262,IF(J264="SANCON",PR!$M262,IF(J264="DEVON",PR!$N262,IF(J264="DORTEMAG",PR!$O262,IF(J264="DGF",PR!$P262,IF(J264="DYNAMIC",PR!$Q262,IF(J264="EMZOR",PR!$R262,IF(J264="EUMATT",PR!$S262,IF(J264="FIDSON",PR!$T262,IF(J264="FCGLOBAL",PR!$U262,IF(J264="GENEITH",PR!$V262,IF(J264="GINOS",PR!$W262,IF(J264="GSK",PR!$X262,IF(J264="GLOBORG",PR!$Y262,IF(J264="GOODNEWS",PR!$Z262,IF(J264="GREENLIFE",PR!$AA262,IF(J264="HLINE",PR!$AB262,IF(J264="ROTECH",PR!$AC262,IF(J264="ISN",PR!$AD262,IF(J264="JAWA",PR!$AE262,IF(J264="LAYO",PR!$AF262,IF(J264="LEADWAY",PR!$AG262,IF(J264="LHV",PR!$AH262,IF(J264="MANOLA",PR!$AI262,IF(J264="MARCSON",PR!$AJ262,IF(J264="M&amp;B",PR!$AK262,IF(J264="MTRUST",PR!$AL262,IF(J264="MWORLD",PR!$AM262,IF(J264="MEGA",PR!$AN262,IF(J264="MICRONOVA",PR!$AO262,IF(J264="MFLASH",PR!$AP262,IF(J264="MORISON",PR!$AQ262,IF(J264="NEMEL",PR!$AR262,IF(J264="NHP",PR!$AS262,IF(J264="NHC",PR!$AT262,IF(J264="OLEAF",PR!$AU262,IF(J264="OCULUS",PR!$AV262,IF(J264="PACIFIC",PR!$AW262,IF(J264="PHAMATEX",PR!$AX262,IF(J264="PETHICS",PR!$AY262,IF(J264="PHILIPS",PR!$AZ262,IF(J264="RANBAXY",PR!$BA262,IF(J264="REALS",PR!$BB262,IF(J264="ROYAL",PR!$BC262,IF(J264="SAM",PR!$BD262,IF(J264="SEAGREEN",PR!$BE262,IF(J264="SKG",PR!$BF262,IF(J264="TAH",PR!$BG262,IF(J264="TAYLEK",PR!$BH262,IF(J264="TEMITA",PR!$BI262,IF(J264="THL",PR!$BJ262,IF(J264="UBASTIC",PR!$BK262,IF(J264="UNION",PR!$BL262,IF(J264="UNIQUE",PR!$BM262,IF(J264="VIXA",PR!$BN262,IF(J264="WWCV",PR!$BO262,IF(J264="ZOLON",PR!$BP262,"-"))))))))))))))))))))))))))))))))))))))))))))))))))))))))))))))))</f>
        <v>-</v>
      </c>
      <c r="J264" s="102">
        <f>EV!N326</f>
        <v>0</v>
      </c>
      <c r="K264" s="433" t="s">
        <v>821</v>
      </c>
      <c r="L264" s="183">
        <f>IF(K264&gt;0,IF(K264="ALPHA",PR!$E262,IF(K264="ASSENE",PR!$F262,IF(K264="BIOFEM",PR!$G262,IF(K264="BIOMED",PR!$H262,IF(K264="CHI",PR!$I262,IF(K264="CLARION",PR!$J262,IF(K264="CODIX",PR!$K262,IF(K264="COSMADE",PR!$L262,IF(K264="SANCON",PR!$M262,IF(K264="DEVON",PR!$N262,IF(K264="DORTEMAG",PR!$O262,IF(K264="DGF",PR!$P262,IF(K264="DYNAMIC",PR!$Q262,IF(K264="EMZOR",PR!$R262,IF(K264="EUMATT",PR!$S262,IF(K264="FIDSON",PR!$T262,IF(K264="FCGLOBAL",PR!$U262,IF(K264="GENEITH",PR!$V262,IF(K264="GINOS",PR!$W262,IF(K264="GSK",PR!$X262,IF(K264="GLOBORG",PR!$Y262,IF(K264="GOODNEWS",PR!$Z262,IF(K264="GREENLIFE",PR!$AA262,IF(K264="HLINE",PR!$AB262,IF(K264="ROTECH",PR!$AC262,IF(K264="ISN",PR!$AD262,IF(K264="JAWA",PR!$AE262,IF(K264="LAYO",PR!$AF262,IF(K264="LEADWAY",PR!$AG262,IF(K264="LHV",PR!$AH262,IF(K264="MANOLA",PR!$AI262,IF(K264="MARCSON",PR!$AJ262,IF(K264="M&amp;B",PR!$AK262,IF(K264="MTRUST",PR!$AL262,IF(K264="MWORLD",PR!$AM262,IF(K264="MEGA",PR!$AN262,IF(K264="MICRONOVA",PR!$AO262,IF(K264="MFLASH",PR!$AP262,IF(K264="MORISON",PR!$AQ262,IF(K264="NEMEL",PR!$AR262,IF(K264="NHP",PR!$AS262,IF(K264="NHC",PR!$AT262,IF(K264="OLEAF",PR!$AU262,IF(K264="OCULUS",PR!$AV262,IF(K264="PACIFIC",PR!$AW262,IF(K264="PHAMATEX",PR!$AX262,IF(K264="PETHICS",PR!$AY262,IF(K264="PHILIPS",PR!$AZ262,IF(K264="RANBAXY",PR!$BA262,IF(K264="REALS",PR!$BB262,IF(K264="ROYAL",PR!$BC262,IF(K264="SAM",PR!$BD262,IF(K264="SEAGREEN",PR!$BE262,IF(K264="SKG",PR!$BF262,IF(K264="TAH",PR!$BG262,IF(K264="TAYLEK",PR!$BH262,IF(K264="TEMITA",PR!$BI262,IF(K264="THL",PR!$BJ262,IF(K264="UBASTIC",PR!$BK262,IF(K264="UNION",PR!$BL262,IF(K264="UNIQUE",PR!$BM262,IF(K264="VIXA",PR!$BN262,IF(K264="WWCV",PR!$BO262,IF(K264="ZOLON",PR!$BP262,"-")))))))))))))))))))))))))))))))))))))))))))))))))))))))))))))))))</f>
        <v>900</v>
      </c>
    </row>
    <row r="265" spans="1:12" ht="18.75" x14ac:dyDescent="0.3">
      <c r="A265" s="430">
        <f>PR!A263</f>
        <v>239</v>
      </c>
      <c r="B265" s="15" t="str">
        <f>PR!B263</f>
        <v>CLINDAMYCIN 300MG CAP</v>
      </c>
      <c r="C265" s="113">
        <f>PR!D263</f>
        <v>16</v>
      </c>
      <c r="D265" s="113">
        <f>PR!C263</f>
        <v>300</v>
      </c>
      <c r="E265" s="108">
        <f>IF(F265="ALPHA",PR!$E263,IF(F265="ASSENE",PR!$F263,IF(F265="BIOFEM",PR!$G263,IF(F265="BIOMED",PR!$H263,IF(F265="CHI",PR!$I263,IF(F265="CLARION",PR!$J263,IF(F265="CODIX",PR!$K263,IF(F265="COSMADE",PR!$L263,IF(F265="SANCON",PR!$M263,IF(F265="DEVON",PR!$N263,IF(F265="DORTEMAG",PR!$O263,IF(F265="DGF",PR!$P263,IF(F265="DYNAMIC",PR!$Q263,IF(F265="EMZOR",PR!$R263,IF(F265="EUMATT",PR!$S263,IF(F265="FIDSON",PR!$T263,IF(F265="FCGLOBAL",PR!$U263,IF(F265="GENEITH",PR!$V263,IF(F265="GINOS",PR!$W263,IF(F265="GSK",PR!$X263,IF(F265="GLOBORG",PR!$Y263,IF(F265="GOODNEWS",PR!$Z263,IF(F265="GREENLIFE",PR!$AA263,IF(F265="HLINE",PR!$AB263,IF(F265="ROTECH",PR!$AC263,IF(F265="ISN",PR!$AD263,IF(F265="JAWA",PR!$AE263,IF(F265="LAYO",PR!$AF263,IF(F265="LEADWAY",PR!$AG263,IF(F265="LHV",PR!$AH263,IF(F265="MANOLA",PR!$AI263,IF(F265="MARCSON",PR!$AJ263,IF(F265="M&amp;B",PR!$AK263,IF(F265="MTRUST",PR!$AL263,IF(F265="MWORLD",PR!$AM263,IF(F265="MEGA",PR!$AN263,IF(F265="MICRONOVA",PR!$AO263,IF(F265="MFLASH",PR!$AP263,IF(F265="MORISON",PR!$AQ263,IF(F265="NEMEL",PR!$AR263,IF(F265="NHP",PR!$AS263,IF(F265="NHC",PR!$AT263,IF(F265="OLEAF",PR!$AU263,IF(F265="OCULUS",PR!$AV263,IF(F265="PACIFIC",PR!$AW263,IF(F265="PHAMATEX",PR!$AX263,IF(F265="PETHICS",PR!$AY263,IF(F265="PHILIPS",PR!$AZ263,IF(F265="RANBAXY",PR!$BA263,IF(F265="REALS",PR!$BB263,IF(F265="ROYAL",PR!$BC263,IF(F265="SAM",PR!$BD263,IF(F265="SEAGREEN",PR!$BE263,IF(F265="SKG",PR!$BF263,IF(F265="TAH",PR!$BG263,IF(F265="TAYLEK",PR!$BH263,IF(F265="TEMITA",PR!$BI263,IF(F265="THL",PR!$BJ263,IF(F265="UBASTIC",PR!$BK263,IF(F265="UNION",PR!$BL263,IF(F265="UNIQUE",PR!$BM263,IF(F265="VIXA",PR!$BN263,IF(F265="WWCV",PR!$BO263,IF(F265="ZOLON",PR!$BP263,"-"))))))))))))))))))))))))))))))))))))))))))))))))))))))))))))))))</f>
        <v>2579</v>
      </c>
      <c r="F265" s="102" t="str">
        <f>EV!L327</f>
        <v>NHC</v>
      </c>
      <c r="G265" s="108">
        <f>IF(H265="ALPHA",PR!$E263,IF(H265="ASSENE",PR!$F263,IF(H265="BIOFEM",PR!$G263,IF(H265="BIOMED",PR!$H263,IF(H265="CHI",PR!$I263,IF(H265="CLARION",PR!$J263,IF(H265="CODIX",PR!$K263,IF(H265="COSMADE",PR!$L263,IF(H265="SANCON",PR!$M263,IF(H265="DEVON",PR!$N263,IF(H265="DORTEMAG",PR!$O263,IF(H265="DGF",PR!$P263,IF(H265="DYNAMIC",PR!$Q263,IF(H265="EMZOR",PR!$R263,IF(H265="EUMATT",PR!$S263,IF(H265="FIDSON",PR!$T263,IF(H265="FCGLOBAL",PR!$U263,IF(H265="GENEITH",PR!$V263,IF(H265="GINOS",PR!$W263,IF(H265="GSK",PR!$X263,IF(H265="GLOBORG",PR!$Y263,IF(H265="GOODNEWS",PR!$Z263,IF(H265="GREENLIFE",PR!$AA263,IF(H265="HLINE",PR!$AB263,IF(H265="ROTECH",PR!$AC263,IF(H265="ISN",PR!$AD263,IF(H265="JAWA",PR!$AE263,IF(H265="LAYO",PR!$AF263,IF(H265="LEADWAY",PR!$AG263,IF(H265="LHV",PR!$AH263,IF(H265="MANOLA",PR!$AI263,IF(H265="MARCSON",PR!$AJ263,IF(H265="M&amp;B",PR!$AK263,IF(H265="MTRUST",PR!$AL263,IF(H265="MWORLD",PR!$AM263,IF(H265="MEGA",PR!$AN263,IF(H265="MICRONOVA",PR!$AO263,IF(H265="MFLASH",PR!$AP263,IF(H265="MORISON",PR!$AQ263,IF(H265="NEMEL",PR!$AR263,IF(H265="NHP",PR!$AS263,IF(H265="NHC",PR!$AT263,IF(H265="OLEAF",PR!$AU263,IF(H265="OCULUS",PR!$AV263,IF(H265="PACIFIC",PR!$AW263,IF(H265="PHAMATEX",PR!$AX263,IF(H265="PETHICS",PR!$AY263,IF(H265="PHILIPS",PR!$AZ263,IF(H265="RANBAXY",PR!$BA263,IF(H265="REALS",PR!$BB263,IF(H265="ROYAL",PR!$BC263,IF(H265="SAM",PR!$BD263,IF(H265="SEAGREEN",PR!$BE263,IF(H265="SKG",PR!$BF263,IF(H265="TAH",PR!$BG263,IF(H265="TAYLEK",PR!$BH263,IF(H265="TEMITA",PR!$BI263,IF(H265="THL",PR!$BJ263,IF(H265="UBASTIC",PR!$BK263,IF(H265="UNION",PR!$BL263,IF(H265="UNIQUE",PR!$BM263,IF(H265="VIXA",PR!$BN263,IF(H265="WWCV",PR!$BO263,IF(H265="ZOLON",PR!$BP263,"-"))))))))))))))))))))))))))))))))))))))))))))))))))))))))))))))))</f>
        <v>2579</v>
      </c>
      <c r="H265" s="102" t="str">
        <f>EV!M327</f>
        <v>WWCV</v>
      </c>
      <c r="I265" s="108" t="str">
        <f>IF(J265="ALPHA",PR!$E263,IF(J265="ASSENE",PR!$F263,IF(J265="BIOFEM",PR!$G263,IF(J265="BIOMED",PR!$H263,IF(J265="CHI",PR!$I263,IF(J265="CLARION",PR!$J263,IF(J265="CODIX",PR!$K263,IF(J265="COSMADE",PR!$L263,IF(J265="SANCON",PR!$M263,IF(J265="DEVON",PR!$N263,IF(J265="DORTEMAG",PR!$O263,IF(J265="DGF",PR!$P263,IF(J265="DYNAMIC",PR!$Q263,IF(J265="EMZOR",PR!$R263,IF(J265="EUMATT",PR!$S263,IF(J265="FIDSON",PR!$T263,IF(J265="FCGLOBAL",PR!$U263,IF(J265="GENEITH",PR!$V263,IF(J265="GINOS",PR!$W263,IF(J265="GSK",PR!$X263,IF(J265="GLOBORG",PR!$Y263,IF(J265="GOODNEWS",PR!$Z263,IF(J265="GREENLIFE",PR!$AA263,IF(J265="HLINE",PR!$AB263,IF(J265="ROTECH",PR!$AC263,IF(J265="ISN",PR!$AD263,IF(J265="JAWA",PR!$AE263,IF(J265="LAYO",PR!$AF263,IF(J265="LEADWAY",PR!$AG263,IF(J265="LHV",PR!$AH263,IF(J265="MANOLA",PR!$AI263,IF(J265="MARCSON",PR!$AJ263,IF(J265="M&amp;B",PR!$AK263,IF(J265="MTRUST",PR!$AL263,IF(J265="MWORLD",PR!$AM263,IF(J265="MEGA",PR!$AN263,IF(J265="MICRONOVA",PR!$AO263,IF(J265="MFLASH",PR!$AP263,IF(J265="MORISON",PR!$AQ263,IF(J265="NEMEL",PR!$AR263,IF(J265="NHP",PR!$AS263,IF(J265="NHC",PR!$AT263,IF(J265="OLEAF",PR!$AU263,IF(J265="OCULUS",PR!$AV263,IF(J265="PACIFIC",PR!$AW263,IF(J265="PHAMATEX",PR!$AX263,IF(J265="PETHICS",PR!$AY263,IF(J265="PHILIPS",PR!$AZ263,IF(J265="RANBAXY",PR!$BA263,IF(J265="REALS",PR!$BB263,IF(J265="ROYAL",PR!$BC263,IF(J265="SAM",PR!$BD263,IF(J265="SEAGREEN",PR!$BE263,IF(J265="SKG",PR!$BF263,IF(J265="TAH",PR!$BG263,IF(J265="TAYLEK",PR!$BH263,IF(J265="TEMITA",PR!$BI263,IF(J265="THL",PR!$BJ263,IF(J265="UBASTIC",PR!$BK263,IF(J265="UNION",PR!$BL263,IF(J265="UNIQUE",PR!$BM263,IF(J265="VIXA",PR!$BN263,IF(J265="WWCV",PR!$BO263,IF(J265="ZOLON",PR!$BP263,"-"))))))))))))))))))))))))))))))))))))))))))))))))))))))))))))))))</f>
        <v>-</v>
      </c>
      <c r="J265" s="102">
        <f>EV!N327</f>
        <v>0</v>
      </c>
      <c r="K265" s="433" t="s">
        <v>1246</v>
      </c>
      <c r="L265" s="183">
        <f>IF(K265&gt;0,IF(K265="ALPHA",PR!$E263,IF(K265="ASSENE",PR!$F263,IF(K265="BIOFEM",PR!$G263,IF(K265="BIOMED",PR!$H263,IF(K265="CHI",PR!$I263,IF(K265="CLARION",PR!$J263,IF(K265="CODIX",PR!$K263,IF(K265="COSMADE",PR!$L263,IF(K265="SANCON",PR!$M263,IF(K265="DEVON",PR!$N263,IF(K265="DORTEMAG",PR!$O263,IF(K265="DGF",PR!$P263,IF(K265="DYNAMIC",PR!$Q263,IF(K265="EMZOR",PR!$R263,IF(K265="EUMATT",PR!$S263,IF(K265="FIDSON",PR!$T263,IF(K265="FCGLOBAL",PR!$U263,IF(K265="GENEITH",PR!$V263,IF(K265="GINOS",PR!$W263,IF(K265="GSK",PR!$X263,IF(K265="GLOBORG",PR!$Y263,IF(K265="GOODNEWS",PR!$Z263,IF(K265="GREENLIFE",PR!$AA263,IF(K265="HLINE",PR!$AB263,IF(K265="ROTECH",PR!$AC263,IF(K265="ISN",PR!$AD263,IF(K265="JAWA",PR!$AE263,IF(K265="LAYO",PR!$AF263,IF(K265="LEADWAY",PR!$AG263,IF(K265="LHV",PR!$AH263,IF(K265="MANOLA",PR!$AI263,IF(K265="MARCSON",PR!$AJ263,IF(K265="M&amp;B",PR!$AK263,IF(K265="MTRUST",PR!$AL263,IF(K265="MWORLD",PR!$AM263,IF(K265="MEGA",PR!$AN263,IF(K265="MICRONOVA",PR!$AO263,IF(K265="MFLASH",PR!$AP263,IF(K265="MORISON",PR!$AQ263,IF(K265="NEMEL",PR!$AR263,IF(K265="NHP",PR!$AS263,IF(K265="NHC",PR!$AT263,IF(K265="OLEAF",PR!$AU263,IF(K265="OCULUS",PR!$AV263,IF(K265="PACIFIC",PR!$AW263,IF(K265="PHAMATEX",PR!$AX263,IF(K265="PETHICS",PR!$AY263,IF(K265="PHILIPS",PR!$AZ263,IF(K265="RANBAXY",PR!$BA263,IF(K265="REALS",PR!$BB263,IF(K265="ROYAL",PR!$BC263,IF(K265="SAM",PR!$BD263,IF(K265="SEAGREEN",PR!$BE263,IF(K265="SKG",PR!$BF263,IF(K265="TAH",PR!$BG263,IF(K265="TAYLEK",PR!$BH263,IF(K265="TEMITA",PR!$BI263,IF(K265="THL",PR!$BJ263,IF(K265="UBASTIC",PR!$BK263,IF(K265="UNION",PR!$BL263,IF(K265="UNIQUE",PR!$BM263,IF(K265="VIXA",PR!$BN263,IF(K265="WWCV",PR!$BO263,IF(K265="ZOLON",PR!$BP263,"-")))))))))))))))))))))))))))))))))))))))))))))))))))))))))))))))))</f>
        <v>2579</v>
      </c>
    </row>
    <row r="266" spans="1:12" ht="18.75" x14ac:dyDescent="0.3">
      <c r="A266" s="430">
        <f>PR!A264</f>
        <v>240</v>
      </c>
      <c r="B266" s="15" t="str">
        <f>PR!B264</f>
        <v>CLOTRIMAZOLE 1% CREAM 20g</v>
      </c>
      <c r="C266" s="113" t="str">
        <f>PR!D264</f>
        <v>TUBE</v>
      </c>
      <c r="D266" s="113">
        <f>PR!C264</f>
        <v>1000</v>
      </c>
      <c r="E266" s="108">
        <f>IF(F266="ALPHA",PR!$E264,IF(F266="ASSENE",PR!$F264,IF(F266="BIOFEM",PR!$G264,IF(F266="BIOMED",PR!$H264,IF(F266="CHI",PR!$I264,IF(F266="CLARION",PR!$J264,IF(F266="CODIX",PR!$K264,IF(F266="COSMADE",PR!$L264,IF(F266="SANCON",PR!$M264,IF(F266="DEVON",PR!$N264,IF(F266="DORTEMAG",PR!$O264,IF(F266="DGF",PR!$P264,IF(F266="DYNAMIC",PR!$Q264,IF(F266="EMZOR",PR!$R264,IF(F266="EUMATT",PR!$S264,IF(F266="FIDSON",PR!$T264,IF(F266="FCGLOBAL",PR!$U264,IF(F266="GENEITH",PR!$V264,IF(F266="GINOS",PR!$W264,IF(F266="GSK",PR!$X264,IF(F266="GLOBORG",PR!$Y264,IF(F266="GOODNEWS",PR!$Z264,IF(F266="GREENLIFE",PR!$AA264,IF(F266="HLINE",PR!$AB264,IF(F266="ROTECH",PR!$AC264,IF(F266="ISN",PR!$AD264,IF(F266="JAWA",PR!$AE264,IF(F266="LAYO",PR!$AF264,IF(F266="LEADWAY",PR!$AG264,IF(F266="LHV",PR!$AH264,IF(F266="MANOLA",PR!$AI264,IF(F266="MARCSON",PR!$AJ264,IF(F266="M&amp;B",PR!$AK264,IF(F266="MTRUST",PR!$AL264,IF(F266="MWORLD",PR!$AM264,IF(F266="MEGA",PR!$AN264,IF(F266="MICRONOVA",PR!$AO264,IF(F266="MFLASH",PR!$AP264,IF(F266="MORISON",PR!$AQ264,IF(F266="NEMEL",PR!$AR264,IF(F266="NHP",PR!$AS264,IF(F266="NHC",PR!$AT264,IF(F266="OLEAF",PR!$AU264,IF(F266="OCULUS",PR!$AV264,IF(F266="PACIFIC",PR!$AW264,IF(F266="PHAMATEX",PR!$AX264,IF(F266="PETHICS",PR!$AY264,IF(F266="PHILIPS",PR!$AZ264,IF(F266="RANBAXY",PR!$BA264,IF(F266="REALS",PR!$BB264,IF(F266="ROYAL",PR!$BC264,IF(F266="SAM",PR!$BD264,IF(F266="SEAGREEN",PR!$BE264,IF(F266="SKG",PR!$BF264,IF(F266="TAH",PR!$BG264,IF(F266="TAYLEK",PR!$BH264,IF(F266="TEMITA",PR!$BI264,IF(F266="THL",PR!$BJ264,IF(F266="UBASTIC",PR!$BK264,IF(F266="UNION",PR!$BL264,IF(F266="UNIQUE",PR!$BM264,IF(F266="VIXA",PR!$BN264,IF(F266="WWCV",PR!$BO264,IF(F266="ZOLON",PR!$BP264,"-"))))))))))))))))))))))))))))))))))))))))))))))))))))))))))))))))</f>
        <v>115</v>
      </c>
      <c r="F266" s="102" t="str">
        <f>EV!L328</f>
        <v>FIDSON</v>
      </c>
      <c r="G266" s="108">
        <f>IF(H266="ALPHA",PR!$E264,IF(H266="ASSENE",PR!$F264,IF(H266="BIOFEM",PR!$G264,IF(H266="BIOMED",PR!$H264,IF(H266="CHI",PR!$I264,IF(H266="CLARION",PR!$J264,IF(H266="CODIX",PR!$K264,IF(H266="COSMADE",PR!$L264,IF(H266="SANCON",PR!$M264,IF(H266="DEVON",PR!$N264,IF(H266="DORTEMAG",PR!$O264,IF(H266="DGF",PR!$P264,IF(H266="DYNAMIC",PR!$Q264,IF(H266="EMZOR",PR!$R264,IF(H266="EUMATT",PR!$S264,IF(H266="FIDSON",PR!$T264,IF(H266="FCGLOBAL",PR!$U264,IF(H266="GENEITH",PR!$V264,IF(H266="GINOS",PR!$W264,IF(H266="GSK",PR!$X264,IF(H266="GLOBORG",PR!$Y264,IF(H266="GOODNEWS",PR!$Z264,IF(H266="GREENLIFE",PR!$AA264,IF(H266="HLINE",PR!$AB264,IF(H266="ROTECH",PR!$AC264,IF(H266="ISN",PR!$AD264,IF(H266="JAWA",PR!$AE264,IF(H266="LAYO",PR!$AF264,IF(H266="LEADWAY",PR!$AG264,IF(H266="LHV",PR!$AH264,IF(H266="MANOLA",PR!$AI264,IF(H266="MARCSON",PR!$AJ264,IF(H266="M&amp;B",PR!$AK264,IF(H266="MTRUST",PR!$AL264,IF(H266="MWORLD",PR!$AM264,IF(H266="MEGA",PR!$AN264,IF(H266="MICRONOVA",PR!$AO264,IF(H266="MFLASH",PR!$AP264,IF(H266="MORISON",PR!$AQ264,IF(H266="NEMEL",PR!$AR264,IF(H266="NHP",PR!$AS264,IF(H266="NHC",PR!$AT264,IF(H266="OLEAF",PR!$AU264,IF(H266="OCULUS",PR!$AV264,IF(H266="PACIFIC",PR!$AW264,IF(H266="PHAMATEX",PR!$AX264,IF(H266="PETHICS",PR!$AY264,IF(H266="PHILIPS",PR!$AZ264,IF(H266="RANBAXY",PR!$BA264,IF(H266="REALS",PR!$BB264,IF(H266="ROYAL",PR!$BC264,IF(H266="SAM",PR!$BD264,IF(H266="SEAGREEN",PR!$BE264,IF(H266="SKG",PR!$BF264,IF(H266="TAH",PR!$BG264,IF(H266="TAYLEK",PR!$BH264,IF(H266="TEMITA",PR!$BI264,IF(H266="THL",PR!$BJ264,IF(H266="UBASTIC",PR!$BK264,IF(H266="UNION",PR!$BL264,IF(H266="UNIQUE",PR!$BM264,IF(H266="VIXA",PR!$BN264,IF(H266="WWCV",PR!$BO264,IF(H266="ZOLON",PR!$BP264,"-"))))))))))))))))))))))))))))))))))))))))))))))))))))))))))))))))</f>
        <v>115</v>
      </c>
      <c r="H266" s="102" t="str">
        <f>EV!M328</f>
        <v>UNIQUE</v>
      </c>
      <c r="I266" s="108">
        <f>IF(J266="ALPHA",PR!$E264,IF(J266="ASSENE",PR!$F264,IF(J266="BIOFEM",PR!$G264,IF(J266="BIOMED",PR!$H264,IF(J266="CHI",PR!$I264,IF(J266="CLARION",PR!$J264,IF(J266="CODIX",PR!$K264,IF(J266="COSMADE",PR!$L264,IF(J266="SANCON",PR!$M264,IF(J266="DEVON",PR!$N264,IF(J266="DORTEMAG",PR!$O264,IF(J266="DGF",PR!$P264,IF(J266="DYNAMIC",PR!$Q264,IF(J266="EMZOR",PR!$R264,IF(J266="EUMATT",PR!$S264,IF(J266="FIDSON",PR!$T264,IF(J266="FCGLOBAL",PR!$U264,IF(J266="GENEITH",PR!$V264,IF(J266="GINOS",PR!$W264,IF(J266="GSK",PR!$X264,IF(J266="GLOBORG",PR!$Y264,IF(J266="GOODNEWS",PR!$Z264,IF(J266="GREENLIFE",PR!$AA264,IF(J266="HLINE",PR!$AB264,IF(J266="ROTECH",PR!$AC264,IF(J266="ISN",PR!$AD264,IF(J266="JAWA",PR!$AE264,IF(J266="LAYO",PR!$AF264,IF(J266="LEADWAY",PR!$AG264,IF(J266="LHV",PR!$AH264,IF(J266="MANOLA",PR!$AI264,IF(J266="MARCSON",PR!$AJ264,IF(J266="M&amp;B",PR!$AK264,IF(J266="MTRUST",PR!$AL264,IF(J266="MWORLD",PR!$AM264,IF(J266="MEGA",PR!$AN264,IF(J266="MICRONOVA",PR!$AO264,IF(J266="MFLASH",PR!$AP264,IF(J266="MORISON",PR!$AQ264,IF(J266="NEMEL",PR!$AR264,IF(J266="NHP",PR!$AS264,IF(J266="NHC",PR!$AT264,IF(J266="OLEAF",PR!$AU264,IF(J266="OCULUS",PR!$AV264,IF(J266="PACIFIC",PR!$AW264,IF(J266="PHAMATEX",PR!$AX264,IF(J266="PETHICS",PR!$AY264,IF(J266="PHILIPS",PR!$AZ264,IF(J266="RANBAXY",PR!$BA264,IF(J266="REALS",PR!$BB264,IF(J266="ROYAL",PR!$BC264,IF(J266="SAM",PR!$BD264,IF(J266="SEAGREEN",PR!$BE264,IF(J266="SKG",PR!$BF264,IF(J266="TAH",PR!$BG264,IF(J266="TAYLEK",PR!$BH264,IF(J266="TEMITA",PR!$BI264,IF(J266="THL",PR!$BJ264,IF(J266="UBASTIC",PR!$BK264,IF(J266="UNION",PR!$BL264,IF(J266="UNIQUE",PR!$BM264,IF(J266="VIXA",PR!$BN264,IF(J266="WWCV",PR!$BO264,IF(J266="ZOLON",PR!$BP264,"-"))))))))))))))))))))))))))))))))))))))))))))))))))))))))))))))))</f>
        <v>165</v>
      </c>
      <c r="J266" s="102" t="str">
        <f>EV!N328</f>
        <v>JAWA</v>
      </c>
      <c r="K266" s="433" t="s">
        <v>2127</v>
      </c>
      <c r="L266" s="183" t="str">
        <f>IF(K266&gt;0,IF(K266="ALPHA",PR!$E264,IF(K266="ASSENE",PR!$F264,IF(K266="BIOFEM",PR!$G264,IF(K266="BIOMED",PR!$H264,IF(K266="CHI",PR!$I264,IF(K266="CLARION",PR!$J264,IF(K266="CODIX",PR!$K264,IF(K266="COSMADE",PR!$L264,IF(K266="SANCON",PR!$M264,IF(K266="DEVON",PR!$N264,IF(K266="DORTEMAG",PR!$O264,IF(K266="DGF",PR!$P264,IF(K266="DYNAMIC",PR!$Q264,IF(K266="EMZOR",PR!$R264,IF(K266="EUMATT",PR!$S264,IF(K266="FIDSON",PR!$T264,IF(K266="FCGLOBAL",PR!$U264,IF(K266="GENEITH",PR!$V264,IF(K266="GINOS",PR!$W264,IF(K266="GSK",PR!$X264,IF(K266="GLOBORG",PR!$Y264,IF(K266="GOODNEWS",PR!$Z264,IF(K266="GREENLIFE",PR!$AA264,IF(K266="HLINE",PR!$AB264,IF(K266="ROTECH",PR!$AC264,IF(K266="ISN",PR!$AD264,IF(K266="JAWA",PR!$AE264,IF(K266="LAYO",PR!$AF264,IF(K266="LEADWAY",PR!$AG264,IF(K266="LHV",PR!$AH264,IF(K266="MANOLA",PR!$AI264,IF(K266="MARCSON",PR!$AJ264,IF(K266="M&amp;B",PR!$AK264,IF(K266="MTRUST",PR!$AL264,IF(K266="MWORLD",PR!$AM264,IF(K266="MEGA",PR!$AN264,IF(K266="MICRONOVA",PR!$AO264,IF(K266="MFLASH",PR!$AP264,IF(K266="MORISON",PR!$AQ264,IF(K266="NEMEL",PR!$AR264,IF(K266="NHP",PR!$AS264,IF(K266="NHC",PR!$AT264,IF(K266="OLEAF",PR!$AU264,IF(K266="OCULUS",PR!$AV264,IF(K266="PACIFIC",PR!$AW264,IF(K266="PHAMATEX",PR!$AX264,IF(K266="PETHICS",PR!$AY264,IF(K266="PHILIPS",PR!$AZ264,IF(K266="RANBAXY",PR!$BA264,IF(K266="REALS",PR!$BB264,IF(K266="ROYAL",PR!$BC264,IF(K266="SAM",PR!$BD264,IF(K266="SEAGREEN",PR!$BE264,IF(K266="SKG",PR!$BF264,IF(K266="TAH",PR!$BG264,IF(K266="TAYLEK",PR!$BH264,IF(K266="TEMITA",PR!$BI264,IF(K266="THL",PR!$BJ264,IF(K266="UBASTIC",PR!$BK264,IF(K266="UNION",PR!$BL264,IF(K266="UNIQUE",PR!$BM264,IF(K266="VIXA",PR!$BN264,IF(K266="WWCV",PR!$BO264,IF(K266="ZOLON",PR!$BP264,"-")))))))))))))))))))))))))))))))))))))))))))))))))))))))))))))))))</f>
        <v>-</v>
      </c>
    </row>
    <row r="267" spans="1:12" ht="18.75" x14ac:dyDescent="0.3">
      <c r="A267" s="430">
        <f>PR!A265</f>
        <v>241</v>
      </c>
      <c r="B267" s="15" t="str">
        <f>PR!B265</f>
        <v>CLOTRIMAZOLE PESSARY</v>
      </c>
      <c r="C267" s="113">
        <f>PR!D265</f>
        <v>6</v>
      </c>
      <c r="D267" s="113">
        <f>PR!C265</f>
        <v>200</v>
      </c>
      <c r="E267" s="108">
        <f>IF(F267="ALPHA",PR!$E265,IF(F267="ASSENE",PR!$F265,IF(F267="BIOFEM",PR!$G265,IF(F267="BIOMED",PR!$H265,IF(F267="CHI",PR!$I265,IF(F267="CLARION",PR!$J265,IF(F267="CODIX",PR!$K265,IF(F267="COSMADE",PR!$L265,IF(F267="SANCON",PR!$M265,IF(F267="DEVON",PR!$N265,IF(F267="DORTEMAG",PR!$O265,IF(F267="DGF",PR!$P265,IF(F267="DYNAMIC",PR!$Q265,IF(F267="EMZOR",PR!$R265,IF(F267="EUMATT",PR!$S265,IF(F267="FIDSON",PR!$T265,IF(F267="FCGLOBAL",PR!$U265,IF(F267="GENEITH",PR!$V265,IF(F267="GINOS",PR!$W265,IF(F267="GSK",PR!$X265,IF(F267="GLOBORG",PR!$Y265,IF(F267="GOODNEWS",PR!$Z265,IF(F267="GREENLIFE",PR!$AA265,IF(F267="HLINE",PR!$AB265,IF(F267="ROTECH",PR!$AC265,IF(F267="ISN",PR!$AD265,IF(F267="JAWA",PR!$AE265,IF(F267="LAYO",PR!$AF265,IF(F267="LEADWAY",PR!$AG265,IF(F267="LHV",PR!$AH265,IF(F267="MANOLA",PR!$AI265,IF(F267="MARCSON",PR!$AJ265,IF(F267="M&amp;B",PR!$AK265,IF(F267="MTRUST",PR!$AL265,IF(F267="MWORLD",PR!$AM265,IF(F267="MEGA",PR!$AN265,IF(F267="MICRONOVA",PR!$AO265,IF(F267="MFLASH",PR!$AP265,IF(F267="MORISON",PR!$AQ265,IF(F267="NEMEL",PR!$AR265,IF(F267="NHP",PR!$AS265,IF(F267="NHC",PR!$AT265,IF(F267="OLEAF",PR!$AU265,IF(F267="OCULUS",PR!$AV265,IF(F267="PACIFIC",PR!$AW265,IF(F267="PHAMATEX",PR!$AX265,IF(F267="PETHICS",PR!$AY265,IF(F267="PHILIPS",PR!$AZ265,IF(F267="RANBAXY",PR!$BA265,IF(F267="REALS",PR!$BB265,IF(F267="ROYAL",PR!$BC265,IF(F267="SAM",PR!$BD265,IF(F267="SEAGREEN",PR!$BE265,IF(F267="SKG",PR!$BF265,IF(F267="TAH",PR!$BG265,IF(F267="TAYLEK",PR!$BH265,IF(F267="TEMITA",PR!$BI265,IF(F267="THL",PR!$BJ265,IF(F267="UBASTIC",PR!$BK265,IF(F267="UNION",PR!$BL265,IF(F267="UNIQUE",PR!$BM265,IF(F267="VIXA",PR!$BN265,IF(F267="WWCV",PR!$BO265,IF(F267="ZOLON",PR!$BP265,"-"))))))))))))))))))))))))))))))))))))))))))))))))))))))))))))))))</f>
        <v>200</v>
      </c>
      <c r="F267" s="102" t="str">
        <f>EV!L352</f>
        <v>ZOLON</v>
      </c>
      <c r="G267" s="108">
        <f>IF(H267="ALPHA",PR!$E265,IF(H267="ASSENE",PR!$F265,IF(H267="BIOFEM",PR!$G265,IF(H267="BIOMED",PR!$H265,IF(H267="CHI",PR!$I265,IF(H267="CLARION",PR!$J265,IF(H267="CODIX",PR!$K265,IF(H267="COSMADE",PR!$L265,IF(H267="SANCON",PR!$M265,IF(H267="DEVON",PR!$N265,IF(H267="DORTEMAG",PR!$O265,IF(H267="DGF",PR!$P265,IF(H267="DYNAMIC",PR!$Q265,IF(H267="EMZOR",PR!$R265,IF(H267="EUMATT",PR!$S265,IF(H267="FIDSON",PR!$T265,IF(H267="FCGLOBAL",PR!$U265,IF(H267="GENEITH",PR!$V265,IF(H267="GINOS",PR!$W265,IF(H267="GSK",PR!$X265,IF(H267="GLOBORG",PR!$Y265,IF(H267="GOODNEWS",PR!$Z265,IF(H267="GREENLIFE",PR!$AA265,IF(H267="HLINE",PR!$AB265,IF(H267="ROTECH",PR!$AC265,IF(H267="ISN",PR!$AD265,IF(H267="JAWA",PR!$AE265,IF(H267="LAYO",PR!$AF265,IF(H267="LEADWAY",PR!$AG265,IF(H267="LHV",PR!$AH265,IF(H267="MANOLA",PR!$AI265,IF(H267="MARCSON",PR!$AJ265,IF(H267="M&amp;B",PR!$AK265,IF(H267="MTRUST",PR!$AL265,IF(H267="MWORLD",PR!$AM265,IF(H267="MEGA",PR!$AN265,IF(H267="MICRONOVA",PR!$AO265,IF(H267="MFLASH",PR!$AP265,IF(H267="MORISON",PR!$AQ265,IF(H267="NEMEL",PR!$AR265,IF(H267="NHP",PR!$AS265,IF(H267="NHC",PR!$AT265,IF(H267="OLEAF",PR!$AU265,IF(H267="OCULUS",PR!$AV265,IF(H267="PACIFIC",PR!$AW265,IF(H267="PHAMATEX",PR!$AX265,IF(H267="PETHICS",PR!$AY265,IF(H267="PHILIPS",PR!$AZ265,IF(H267="RANBAXY",PR!$BA265,IF(H267="REALS",PR!$BB265,IF(H267="ROYAL",PR!$BC265,IF(H267="SAM",PR!$BD265,IF(H267="SEAGREEN",PR!$BE265,IF(H267="SKG",PR!$BF265,IF(H267="TAH",PR!$BG265,IF(H267="TAYLEK",PR!$BH265,IF(H267="TEMITA",PR!$BI265,IF(H267="THL",PR!$BJ265,IF(H267="UBASTIC",PR!$BK265,IF(H267="UNION",PR!$BL265,IF(H267="UNIQUE",PR!$BM265,IF(H267="VIXA",PR!$BN265,IF(H267="WWCV",PR!$BO265,IF(H267="ZOLON",PR!$BP265,"-"))))))))))))))))))))))))))))))))))))))))))))))))))))))))))))))))</f>
        <v>258.70949999999999</v>
      </c>
      <c r="H267" s="102" t="str">
        <f>EV!M352</f>
        <v>EMZOR</v>
      </c>
      <c r="I267" s="108">
        <f>IF(J267="ALPHA",PR!$E265,IF(J267="ASSENE",PR!$F265,IF(J267="BIOFEM",PR!$G265,IF(J267="BIOMED",PR!$H265,IF(J267="CHI",PR!$I265,IF(J267="CLARION",PR!$J265,IF(J267="CODIX",PR!$K265,IF(J267="COSMADE",PR!$L265,IF(J267="SANCON",PR!$M265,IF(J267="DEVON",PR!$N265,IF(J267="DORTEMAG",PR!$O265,IF(J267="DGF",PR!$P265,IF(J267="DYNAMIC",PR!$Q265,IF(J267="EMZOR",PR!$R265,IF(J267="EUMATT",PR!$S265,IF(J267="FIDSON",PR!$T265,IF(J267="FCGLOBAL",PR!$U265,IF(J267="GENEITH",PR!$V265,IF(J267="GINOS",PR!$W265,IF(J267="GSK",PR!$X265,IF(J267="GLOBORG",PR!$Y265,IF(J267="GOODNEWS",PR!$Z265,IF(J267="GREENLIFE",PR!$AA265,IF(J267="HLINE",PR!$AB265,IF(J267="ROTECH",PR!$AC265,IF(J267="ISN",PR!$AD265,IF(J267="JAWA",PR!$AE265,IF(J267="LAYO",PR!$AF265,IF(J267="LEADWAY",PR!$AG265,IF(J267="LHV",PR!$AH265,IF(J267="MANOLA",PR!$AI265,IF(J267="MARCSON",PR!$AJ265,IF(J267="M&amp;B",PR!$AK265,IF(J267="MTRUST",PR!$AL265,IF(J267="MWORLD",PR!$AM265,IF(J267="MEGA",PR!$AN265,IF(J267="MICRONOVA",PR!$AO265,IF(J267="MFLASH",PR!$AP265,IF(J267="MORISON",PR!$AQ265,IF(J267="NEMEL",PR!$AR265,IF(J267="NHP",PR!$AS265,IF(J267="NHC",PR!$AT265,IF(J267="OLEAF",PR!$AU265,IF(J267="OCULUS",PR!$AV265,IF(J267="PACIFIC",PR!$AW265,IF(J267="PHAMATEX",PR!$AX265,IF(J267="PETHICS",PR!$AY265,IF(J267="PHILIPS",PR!$AZ265,IF(J267="RANBAXY",PR!$BA265,IF(J267="REALS",PR!$BB265,IF(J267="ROYAL",PR!$BC265,IF(J267="SAM",PR!$BD265,IF(J267="SEAGREEN",PR!$BE265,IF(J267="SKG",PR!$BF265,IF(J267="TAH",PR!$BG265,IF(J267="TAYLEK",PR!$BH265,IF(J267="TEMITA",PR!$BI265,IF(J267="THL",PR!$BJ265,IF(J267="UBASTIC",PR!$BK265,IF(J267="UNION",PR!$BL265,IF(J267="UNIQUE",PR!$BM265,IF(J267="VIXA",PR!$BN265,IF(J267="WWCV",PR!$BO265,IF(J267="ZOLON",PR!$BP265,"-"))))))))))))))))))))))))))))))))))))))))))))))))))))))))))))))))</f>
        <v>600</v>
      </c>
      <c r="J267" s="102" t="str">
        <f>EV!N352</f>
        <v>HLINE</v>
      </c>
      <c r="K267" s="433" t="s">
        <v>615</v>
      </c>
      <c r="L267" s="183">
        <f>IF(K267&gt;0,IF(K267="ALPHA",PR!$E265,IF(K267="ASSENE",PR!$F265,IF(K267="BIOFEM",PR!$G265,IF(K267="BIOMED",PR!$H265,IF(K267="CHI",PR!$I265,IF(K267="CLARION",PR!$J265,IF(K267="CODIX",PR!$K265,IF(K267="COSMADE",PR!$L265,IF(K267="SANCON",PR!$M265,IF(K267="DEVON",PR!$N265,IF(K267="DORTEMAG",PR!$O265,IF(K267="DGF",PR!$P265,IF(K267="DYNAMIC",PR!$Q265,IF(K267="EMZOR",PR!$R265,IF(K267="EUMATT",PR!$S265,IF(K267="FIDSON",PR!$T265,IF(K267="FCGLOBAL",PR!$U265,IF(K267="GENEITH",PR!$V265,IF(K267="GINOS",PR!$W265,IF(K267="GSK",PR!$X265,IF(K267="GLOBORG",PR!$Y265,IF(K267="GOODNEWS",PR!$Z265,IF(K267="GREENLIFE",PR!$AA265,IF(K267="HLINE",PR!$AB265,IF(K267="ROTECH",PR!$AC265,IF(K267="ISN",PR!$AD265,IF(K267="JAWA",PR!$AE265,IF(K267="LAYO",PR!$AF265,IF(K267="LEADWAY",PR!$AG265,IF(K267="LHV",PR!$AH265,IF(K267="MANOLA",PR!$AI265,IF(K267="MARCSON",PR!$AJ265,IF(K267="M&amp;B",PR!$AK265,IF(K267="MTRUST",PR!$AL265,IF(K267="MWORLD",PR!$AM265,IF(K267="MEGA",PR!$AN265,IF(K267="MICRONOVA",PR!$AO265,IF(K267="MFLASH",PR!$AP265,IF(K267="MORISON",PR!$AQ265,IF(K267="NEMEL",PR!$AR265,IF(K267="NHP",PR!$AS265,IF(K267="NHC",PR!$AT265,IF(K267="OLEAF",PR!$AU265,IF(K267="OCULUS",PR!$AV265,IF(K267="PACIFIC",PR!$AW265,IF(K267="PHAMATEX",PR!$AX265,IF(K267="PETHICS",PR!$AY265,IF(K267="PHILIPS",PR!$AZ265,IF(K267="RANBAXY",PR!$BA265,IF(K267="REALS",PR!$BB265,IF(K267="ROYAL",PR!$BC265,IF(K267="SAM",PR!$BD265,IF(K267="SEAGREEN",PR!$BE265,IF(K267="SKG",PR!$BF265,IF(K267="TAH",PR!$BG265,IF(K267="TAYLEK",PR!$BH265,IF(K267="TEMITA",PR!$BI265,IF(K267="THL",PR!$BJ265,IF(K267="UBASTIC",PR!$BK265,IF(K267="UNION",PR!$BL265,IF(K267="UNIQUE",PR!$BM265,IF(K267="VIXA",PR!$BN265,IF(K267="WWCV",PR!$BO265,IF(K267="ZOLON",PR!$BP265,"-")))))))))))))))))))))))))))))))))))))))))))))))))))))))))))))))))</f>
        <v>200</v>
      </c>
    </row>
    <row r="268" spans="1:12" ht="18.75" x14ac:dyDescent="0.3">
      <c r="A268" s="430">
        <f>PR!A266</f>
        <v>242</v>
      </c>
      <c r="B268" s="15" t="str">
        <f>PR!B266</f>
        <v>CO-TRIMOXAZOLE 480MG TAB</v>
      </c>
      <c r="C268" s="113">
        <f>PR!D266</f>
        <v>100</v>
      </c>
      <c r="D268" s="113">
        <f>PR!C266</f>
        <v>120</v>
      </c>
      <c r="E268" s="108">
        <f>IF(F268="ALPHA",PR!$E266,IF(F268="ASSENE",PR!$F266,IF(F268="BIOFEM",PR!$G266,IF(F268="BIOMED",PR!$H266,IF(F268="CHI",PR!$I266,IF(F268="CLARION",PR!$J266,IF(F268="CODIX",PR!$K266,IF(F268="COSMADE",PR!$L266,IF(F268="SANCON",PR!$M266,IF(F268="DEVON",PR!$N266,IF(F268="DORTEMAG",PR!$O266,IF(F268="DGF",PR!$P266,IF(F268="DYNAMIC",PR!$Q266,IF(F268="EMZOR",PR!$R266,IF(F268="EUMATT",PR!$S266,IF(F268="FIDSON",PR!$T266,IF(F268="FCGLOBAL",PR!$U266,IF(F268="GENEITH",PR!$V266,IF(F268="GINOS",PR!$W266,IF(F268="GSK",PR!$X266,IF(F268="GLOBORG",PR!$Y266,IF(F268="GOODNEWS",PR!$Z266,IF(F268="GREENLIFE",PR!$AA266,IF(F268="HLINE",PR!$AB266,IF(F268="ROTECH",PR!$AC266,IF(F268="ISN",PR!$AD266,IF(F268="JAWA",PR!$AE266,IF(F268="LAYO",PR!$AF266,IF(F268="LEADWAY",PR!$AG266,IF(F268="LHV",PR!$AH266,IF(F268="MANOLA",PR!$AI266,IF(F268="MARCSON",PR!$AJ266,IF(F268="M&amp;B",PR!$AK266,IF(F268="MTRUST",PR!$AL266,IF(F268="MWORLD",PR!$AM266,IF(F268="MEGA",PR!$AN266,IF(F268="MICRONOVA",PR!$AO266,IF(F268="MFLASH",PR!$AP266,IF(F268="MORISON",PR!$AQ266,IF(F268="NEMEL",PR!$AR266,IF(F268="NHP",PR!$AS266,IF(F268="NHC",PR!$AT266,IF(F268="OLEAF",PR!$AU266,IF(F268="OCULUS",PR!$AV266,IF(F268="PACIFIC",PR!$AW266,IF(F268="PHAMATEX",PR!$AX266,IF(F268="PETHICS",PR!$AY266,IF(F268="PHILIPS",PR!$AZ266,IF(F268="RANBAXY",PR!$BA266,IF(F268="REALS",PR!$BB266,IF(F268="ROYAL",PR!$BC266,IF(F268="SAM",PR!$BD266,IF(F268="SEAGREEN",PR!$BE266,IF(F268="SKG",PR!$BF266,IF(F268="TAH",PR!$BG266,IF(F268="TAYLEK",PR!$BH266,IF(F268="TEMITA",PR!$BI266,IF(F268="THL",PR!$BJ266,IF(F268="UBASTIC",PR!$BK266,IF(F268="UNION",PR!$BL266,IF(F268="UNIQUE",PR!$BM266,IF(F268="VIXA",PR!$BN266,IF(F268="WWCV",PR!$BO266,IF(F268="ZOLON",PR!$BP266,"-"))))))))))))))))))))))))))))))))))))))))))))))))))))))))))))))))</f>
        <v>340</v>
      </c>
      <c r="F268" s="102" t="str">
        <f>EV!L353</f>
        <v>UNIQUE</v>
      </c>
      <c r="G268" s="108">
        <f>IF(H268="ALPHA",PR!$E266,IF(H268="ASSENE",PR!$F266,IF(H268="BIOFEM",PR!$G266,IF(H268="BIOMED",PR!$H266,IF(H268="CHI",PR!$I266,IF(H268="CLARION",PR!$J266,IF(H268="CODIX",PR!$K266,IF(H268="COSMADE",PR!$L266,IF(H268="SANCON",PR!$M266,IF(H268="DEVON",PR!$N266,IF(H268="DORTEMAG",PR!$O266,IF(H268="DGF",PR!$P266,IF(H268="DYNAMIC",PR!$Q266,IF(H268="EMZOR",PR!$R266,IF(H268="EUMATT",PR!$S266,IF(H268="FIDSON",PR!$T266,IF(H268="FCGLOBAL",PR!$U266,IF(H268="GENEITH",PR!$V266,IF(H268="GINOS",PR!$W266,IF(H268="GSK",PR!$X266,IF(H268="GLOBORG",PR!$Y266,IF(H268="GOODNEWS",PR!$Z266,IF(H268="GREENLIFE",PR!$AA266,IF(H268="HLINE",PR!$AB266,IF(H268="ROTECH",PR!$AC266,IF(H268="ISN",PR!$AD266,IF(H268="JAWA",PR!$AE266,IF(H268="LAYO",PR!$AF266,IF(H268="LEADWAY",PR!$AG266,IF(H268="LHV",PR!$AH266,IF(H268="MANOLA",PR!$AI266,IF(H268="MARCSON",PR!$AJ266,IF(H268="M&amp;B",PR!$AK266,IF(H268="MTRUST",PR!$AL266,IF(H268="MWORLD",PR!$AM266,IF(H268="MEGA",PR!$AN266,IF(H268="MICRONOVA",PR!$AO266,IF(H268="MFLASH",PR!$AP266,IF(H268="MORISON",PR!$AQ266,IF(H268="NEMEL",PR!$AR266,IF(H268="NHP",PR!$AS266,IF(H268="NHC",PR!$AT266,IF(H268="OLEAF",PR!$AU266,IF(H268="OCULUS",PR!$AV266,IF(H268="PACIFIC",PR!$AW266,IF(H268="PHAMATEX",PR!$AX266,IF(H268="PETHICS",PR!$AY266,IF(H268="PHILIPS",PR!$AZ266,IF(H268="RANBAXY",PR!$BA266,IF(H268="REALS",PR!$BB266,IF(H268="ROYAL",PR!$BC266,IF(H268="SAM",PR!$BD266,IF(H268="SEAGREEN",PR!$BE266,IF(H268="SKG",PR!$BF266,IF(H268="TAH",PR!$BG266,IF(H268="TAYLEK",PR!$BH266,IF(H268="TEMITA",PR!$BI266,IF(H268="THL",PR!$BJ266,IF(H268="UBASTIC",PR!$BK266,IF(H268="UNION",PR!$BL266,IF(H268="UNIQUE",PR!$BM266,IF(H268="VIXA",PR!$BN266,IF(H268="WWCV",PR!$BO266,IF(H268="ZOLON",PR!$BP266,"-"))))))))))))))))))))))))))))))))))))))))))))))))))))))))))))))))</f>
        <v>385</v>
      </c>
      <c r="H268" s="102" t="str">
        <f>EV!M353</f>
        <v>PHAMATEX</v>
      </c>
      <c r="I268" s="108">
        <f>IF(J268="ALPHA",PR!$E266,IF(J268="ASSENE",PR!$F266,IF(J268="BIOFEM",PR!$G266,IF(J268="BIOMED",PR!$H266,IF(J268="CHI",PR!$I266,IF(J268="CLARION",PR!$J266,IF(J268="CODIX",PR!$K266,IF(J268="COSMADE",PR!$L266,IF(J268="SANCON",PR!$M266,IF(J268="DEVON",PR!$N266,IF(J268="DORTEMAG",PR!$O266,IF(J268="DGF",PR!$P266,IF(J268="DYNAMIC",PR!$Q266,IF(J268="EMZOR",PR!$R266,IF(J268="EUMATT",PR!$S266,IF(J268="FIDSON",PR!$T266,IF(J268="FCGLOBAL",PR!$U266,IF(J268="GENEITH",PR!$V266,IF(J268="GINOS",PR!$W266,IF(J268="GSK",PR!$X266,IF(J268="GLOBORG",PR!$Y266,IF(J268="GOODNEWS",PR!$Z266,IF(J268="GREENLIFE",PR!$AA266,IF(J268="HLINE",PR!$AB266,IF(J268="ROTECH",PR!$AC266,IF(J268="ISN",PR!$AD266,IF(J268="JAWA",PR!$AE266,IF(J268="LAYO",PR!$AF266,IF(J268="LEADWAY",PR!$AG266,IF(J268="LHV",PR!$AH266,IF(J268="MANOLA",PR!$AI266,IF(J268="MARCSON",PR!$AJ266,IF(J268="M&amp;B",PR!$AK266,IF(J268="MTRUST",PR!$AL266,IF(J268="MWORLD",PR!$AM266,IF(J268="MEGA",PR!$AN266,IF(J268="MICRONOVA",PR!$AO266,IF(J268="MFLASH",PR!$AP266,IF(J268="MORISON",PR!$AQ266,IF(J268="NEMEL",PR!$AR266,IF(J268="NHP",PR!$AS266,IF(J268="NHC",PR!$AT266,IF(J268="OLEAF",PR!$AU266,IF(J268="OCULUS",PR!$AV266,IF(J268="PACIFIC",PR!$AW266,IF(J268="PHAMATEX",PR!$AX266,IF(J268="PETHICS",PR!$AY266,IF(J268="PHILIPS",PR!$AZ266,IF(J268="RANBAXY",PR!$BA266,IF(J268="REALS",PR!$BB266,IF(J268="ROYAL",PR!$BC266,IF(J268="SAM",PR!$BD266,IF(J268="SEAGREEN",PR!$BE266,IF(J268="SKG",PR!$BF266,IF(J268="TAH",PR!$BG266,IF(J268="TAYLEK",PR!$BH266,IF(J268="TEMITA",PR!$BI266,IF(J268="THL",PR!$BJ266,IF(J268="UBASTIC",PR!$BK266,IF(J268="UNION",PR!$BL266,IF(J268="UNIQUE",PR!$BM266,IF(J268="VIXA",PR!$BN266,IF(J268="WWCV",PR!$BO266,IF(J268="ZOLON",PR!$BP266,"-"))))))))))))))))))))))))))))))))))))))))))))))))))))))))))))))))</f>
        <v>400</v>
      </c>
      <c r="J268" s="102" t="str">
        <f>EV!N353</f>
        <v>EUMATT</v>
      </c>
      <c r="K268" s="433" t="s">
        <v>627</v>
      </c>
      <c r="L268" s="183">
        <f>IF(K268&gt;0,IF(K268="ALPHA",PR!$E266,IF(K268="ASSENE",PR!$F266,IF(K268="BIOFEM",PR!$G266,IF(K268="BIOMED",PR!$H266,IF(K268="CHI",PR!$I266,IF(K268="CLARION",PR!$J266,IF(K268="CODIX",PR!$K266,IF(K268="COSMADE",PR!$L266,IF(K268="SANCON",PR!$M266,IF(K268="DEVON",PR!$N266,IF(K268="DORTEMAG",PR!$O266,IF(K268="DGF",PR!$P266,IF(K268="DYNAMIC",PR!$Q266,IF(K268="EMZOR",PR!$R266,IF(K268="EUMATT",PR!$S266,IF(K268="FIDSON",PR!$T266,IF(K268="FCGLOBAL",PR!$U266,IF(K268="GENEITH",PR!$V266,IF(K268="GINOS",PR!$W266,IF(K268="GSK",PR!$X266,IF(K268="GLOBORG",PR!$Y266,IF(K268="GOODNEWS",PR!$Z266,IF(K268="GREENLIFE",PR!$AA266,IF(K268="HLINE",PR!$AB266,IF(K268="ROTECH",PR!$AC266,IF(K268="ISN",PR!$AD266,IF(K268="JAWA",PR!$AE266,IF(K268="LAYO",PR!$AF266,IF(K268="LEADWAY",PR!$AG266,IF(K268="LHV",PR!$AH266,IF(K268="MANOLA",PR!$AI266,IF(K268="MARCSON",PR!$AJ266,IF(K268="M&amp;B",PR!$AK266,IF(K268="MTRUST",PR!$AL266,IF(K268="MWORLD",PR!$AM266,IF(K268="MEGA",PR!$AN266,IF(K268="MICRONOVA",PR!$AO266,IF(K268="MFLASH",PR!$AP266,IF(K268="MORISON",PR!$AQ266,IF(K268="NEMEL",PR!$AR266,IF(K268="NHP",PR!$AS266,IF(K268="NHC",PR!$AT266,IF(K268="OLEAF",PR!$AU266,IF(K268="OCULUS",PR!$AV266,IF(K268="PACIFIC",PR!$AW266,IF(K268="PHAMATEX",PR!$AX266,IF(K268="PETHICS",PR!$AY266,IF(K268="PHILIPS",PR!$AZ266,IF(K268="RANBAXY",PR!$BA266,IF(K268="REALS",PR!$BB266,IF(K268="ROYAL",PR!$BC266,IF(K268="SAM",PR!$BD266,IF(K268="SEAGREEN",PR!$BE266,IF(K268="SKG",PR!$BF266,IF(K268="TAH",PR!$BG266,IF(K268="TAYLEK",PR!$BH266,IF(K268="TEMITA",PR!$BI266,IF(K268="THL",PR!$BJ266,IF(K268="UBASTIC",PR!$BK266,IF(K268="UNION",PR!$BL266,IF(K268="UNIQUE",PR!$BM266,IF(K268="VIXA",PR!$BN266,IF(K268="WWCV",PR!$BO266,IF(K268="ZOLON",PR!$BP266,"-")))))))))))))))))))))))))))))))))))))))))))))))))))))))))))))))))</f>
        <v>385</v>
      </c>
    </row>
    <row r="269" spans="1:12" ht="18.75" x14ac:dyDescent="0.3">
      <c r="A269" s="430">
        <f>PR!A267</f>
        <v>243</v>
      </c>
      <c r="B269" s="15" t="str">
        <f>PR!B267</f>
        <v>CO-TRIMOXAZOLE 960MG TAB</v>
      </c>
      <c r="C269" s="113">
        <f>PR!D267</f>
        <v>10</v>
      </c>
      <c r="D269" s="113">
        <f>PR!C267</f>
        <v>1200</v>
      </c>
      <c r="E269" s="108">
        <f>IF(F269="ALPHA",PR!$E267,IF(F269="ASSENE",PR!$F267,IF(F269="BIOFEM",PR!$G267,IF(F269="BIOMED",PR!$H267,IF(F269="CHI",PR!$I267,IF(F269="CLARION",PR!$J267,IF(F269="CODIX",PR!$K267,IF(F269="COSMADE",PR!$L267,IF(F269="SANCON",PR!$M267,IF(F269="DEVON",PR!$N267,IF(F269="DORTEMAG",PR!$O267,IF(F269="DGF",PR!$P267,IF(F269="DYNAMIC",PR!$Q267,IF(F269="EMZOR",PR!$R267,IF(F269="EUMATT",PR!$S267,IF(F269="FIDSON",PR!$T267,IF(F269="FCGLOBAL",PR!$U267,IF(F269="GENEITH",PR!$V267,IF(F269="GINOS",PR!$W267,IF(F269="GSK",PR!$X267,IF(F269="GLOBORG",PR!$Y267,IF(F269="GOODNEWS",PR!$Z267,IF(F269="GREENLIFE",PR!$AA267,IF(F269="HLINE",PR!$AB267,IF(F269="ROTECH",PR!$AC267,IF(F269="ISN",PR!$AD267,IF(F269="JAWA",PR!$AE267,IF(F269="LAYO",PR!$AF267,IF(F269="LEADWAY",PR!$AG267,IF(F269="LHV",PR!$AH267,IF(F269="MANOLA",PR!$AI267,IF(F269="MARCSON",PR!$AJ267,IF(F269="M&amp;B",PR!$AK267,IF(F269="MTRUST",PR!$AL267,IF(F269="MWORLD",PR!$AM267,IF(F269="MEGA",PR!$AN267,IF(F269="MICRONOVA",PR!$AO267,IF(F269="MFLASH",PR!$AP267,IF(F269="MORISON",PR!$AQ267,IF(F269="NEMEL",PR!$AR267,IF(F269="NHP",PR!$AS267,IF(F269="NHC",PR!$AT267,IF(F269="OLEAF",PR!$AU267,IF(F269="OCULUS",PR!$AV267,IF(F269="PACIFIC",PR!$AW267,IF(F269="PHAMATEX",PR!$AX267,IF(F269="PETHICS",PR!$AY267,IF(F269="PHILIPS",PR!$AZ267,IF(F269="RANBAXY",PR!$BA267,IF(F269="REALS",PR!$BB267,IF(F269="ROYAL",PR!$BC267,IF(F269="SAM",PR!$BD267,IF(F269="SEAGREEN",PR!$BE267,IF(F269="SKG",PR!$BF267,IF(F269="TAH",PR!$BG267,IF(F269="TAYLEK",PR!$BH267,IF(F269="TEMITA",PR!$BI267,IF(F269="THL",PR!$BJ267,IF(F269="UBASTIC",PR!$BK267,IF(F269="UNION",PR!$BL267,IF(F269="UNIQUE",PR!$BM267,IF(F269="VIXA",PR!$BN267,IF(F269="WWCV",PR!$BO267,IF(F269="ZOLON",PR!$BP267,"-"))))))))))))))))))))))))))))))))))))))))))))))))))))))))))))))))</f>
        <v>150</v>
      </c>
      <c r="F269" s="102" t="str">
        <f>EV!L354</f>
        <v>PHAMATEX</v>
      </c>
      <c r="G269" s="108">
        <f>IF(H269="ALPHA",PR!$E267,IF(H269="ASSENE",PR!$F267,IF(H269="BIOFEM",PR!$G267,IF(H269="BIOMED",PR!$H267,IF(H269="CHI",PR!$I267,IF(H269="CLARION",PR!$J267,IF(H269="CODIX",PR!$K267,IF(H269="COSMADE",PR!$L267,IF(H269="SANCON",PR!$M267,IF(H269="DEVON",PR!$N267,IF(H269="DORTEMAG",PR!$O267,IF(H269="DGF",PR!$P267,IF(H269="DYNAMIC",PR!$Q267,IF(H269="EMZOR",PR!$R267,IF(H269="EUMATT",PR!$S267,IF(H269="FIDSON",PR!$T267,IF(H269="FCGLOBAL",PR!$U267,IF(H269="GENEITH",PR!$V267,IF(H269="GINOS",PR!$W267,IF(H269="GSK",PR!$X267,IF(H269="GLOBORG",PR!$Y267,IF(H269="GOODNEWS",PR!$Z267,IF(H269="GREENLIFE",PR!$AA267,IF(H269="HLINE",PR!$AB267,IF(H269="ROTECH",PR!$AC267,IF(H269="ISN",PR!$AD267,IF(H269="JAWA",PR!$AE267,IF(H269="LAYO",PR!$AF267,IF(H269="LEADWAY",PR!$AG267,IF(H269="LHV",PR!$AH267,IF(H269="MANOLA",PR!$AI267,IF(H269="MARCSON",PR!$AJ267,IF(H269="M&amp;B",PR!$AK267,IF(H269="MTRUST",PR!$AL267,IF(H269="MWORLD",PR!$AM267,IF(H269="MEGA",PR!$AN267,IF(H269="MICRONOVA",PR!$AO267,IF(H269="MFLASH",PR!$AP267,IF(H269="MORISON",PR!$AQ267,IF(H269="NEMEL",PR!$AR267,IF(H269="NHP",PR!$AS267,IF(H269="NHC",PR!$AT267,IF(H269="OLEAF",PR!$AU267,IF(H269="OCULUS",PR!$AV267,IF(H269="PACIFIC",PR!$AW267,IF(H269="PHAMATEX",PR!$AX267,IF(H269="PETHICS",PR!$AY267,IF(H269="PHILIPS",PR!$AZ267,IF(H269="RANBAXY",PR!$BA267,IF(H269="REALS",PR!$BB267,IF(H269="ROYAL",PR!$BC267,IF(H269="SAM",PR!$BD267,IF(H269="SEAGREEN",PR!$BE267,IF(H269="SKG",PR!$BF267,IF(H269="TAH",PR!$BG267,IF(H269="TAYLEK",PR!$BH267,IF(H269="TEMITA",PR!$BI267,IF(H269="THL",PR!$BJ267,IF(H269="UBASTIC",PR!$BK267,IF(H269="UNION",PR!$BL267,IF(H269="UNIQUE",PR!$BM267,IF(H269="VIXA",PR!$BN267,IF(H269="WWCV",PR!$BO267,IF(H269="ZOLON",PR!$BP267,"-"))))))))))))))))))))))))))))))))))))))))))))))))))))))))))))))))</f>
        <v>220</v>
      </c>
      <c r="H269" s="102" t="str">
        <f>EV!M354</f>
        <v>EUMATT</v>
      </c>
      <c r="I269" s="108">
        <f>IF(J269="ALPHA",PR!$E267,IF(J269="ASSENE",PR!$F267,IF(J269="BIOFEM",PR!$G267,IF(J269="BIOMED",PR!$H267,IF(J269="CHI",PR!$I267,IF(J269="CLARION",PR!$J267,IF(J269="CODIX",PR!$K267,IF(J269="COSMADE",PR!$L267,IF(J269="SANCON",PR!$M267,IF(J269="DEVON",PR!$N267,IF(J269="DORTEMAG",PR!$O267,IF(J269="DGF",PR!$P267,IF(J269="DYNAMIC",PR!$Q267,IF(J269="EMZOR",PR!$R267,IF(J269="EUMATT",PR!$S267,IF(J269="FIDSON",PR!$T267,IF(J269="FCGLOBAL",PR!$U267,IF(J269="GENEITH",PR!$V267,IF(J269="GINOS",PR!$W267,IF(J269="GSK",PR!$X267,IF(J269="GLOBORG",PR!$Y267,IF(J269="GOODNEWS",PR!$Z267,IF(J269="GREENLIFE",PR!$AA267,IF(J269="HLINE",PR!$AB267,IF(J269="ROTECH",PR!$AC267,IF(J269="ISN",PR!$AD267,IF(J269="JAWA",PR!$AE267,IF(J269="LAYO",PR!$AF267,IF(J269="LEADWAY",PR!$AG267,IF(J269="LHV",PR!$AH267,IF(J269="MANOLA",PR!$AI267,IF(J269="MARCSON",PR!$AJ267,IF(J269="M&amp;B",PR!$AK267,IF(J269="MTRUST",PR!$AL267,IF(J269="MWORLD",PR!$AM267,IF(J269="MEGA",PR!$AN267,IF(J269="MICRONOVA",PR!$AO267,IF(J269="MFLASH",PR!$AP267,IF(J269="MORISON",PR!$AQ267,IF(J269="NEMEL",PR!$AR267,IF(J269="NHP",PR!$AS267,IF(J269="NHC",PR!$AT267,IF(J269="OLEAF",PR!$AU267,IF(J269="OCULUS",PR!$AV267,IF(J269="PACIFIC",PR!$AW267,IF(J269="PHAMATEX",PR!$AX267,IF(J269="PETHICS",PR!$AY267,IF(J269="PHILIPS",PR!$AZ267,IF(J269="RANBAXY",PR!$BA267,IF(J269="REALS",PR!$BB267,IF(J269="ROYAL",PR!$BC267,IF(J269="SAM",PR!$BD267,IF(J269="SEAGREEN",PR!$BE267,IF(J269="SKG",PR!$BF267,IF(J269="TAH",PR!$BG267,IF(J269="TAYLEK",PR!$BH267,IF(J269="TEMITA",PR!$BI267,IF(J269="THL",PR!$BJ267,IF(J269="UBASTIC",PR!$BK267,IF(J269="UNION",PR!$BL267,IF(J269="UNIQUE",PR!$BM267,IF(J269="VIXA",PR!$BN267,IF(J269="WWCV",PR!$BO267,IF(J269="ZOLON",PR!$BP267,"-"))))))))))))))))))))))))))))))))))))))))))))))))))))))))))))))))</f>
        <v>258.41000000000003</v>
      </c>
      <c r="J269" s="102" t="str">
        <f>EV!N354</f>
        <v>SKG</v>
      </c>
      <c r="K269" s="433" t="s">
        <v>627</v>
      </c>
      <c r="L269" s="183">
        <f>IF(K269&gt;0,IF(K269="ALPHA",PR!$E267,IF(K269="ASSENE",PR!$F267,IF(K269="BIOFEM",PR!$G267,IF(K269="BIOMED",PR!$H267,IF(K269="CHI",PR!$I267,IF(K269="CLARION",PR!$J267,IF(K269="CODIX",PR!$K267,IF(K269="COSMADE",PR!$L267,IF(K269="SANCON",PR!$M267,IF(K269="DEVON",PR!$N267,IF(K269="DORTEMAG",PR!$O267,IF(K269="DGF",PR!$P267,IF(K269="DYNAMIC",PR!$Q267,IF(K269="EMZOR",PR!$R267,IF(K269="EUMATT",PR!$S267,IF(K269="FIDSON",PR!$T267,IF(K269="FCGLOBAL",PR!$U267,IF(K269="GENEITH",PR!$V267,IF(K269="GINOS",PR!$W267,IF(K269="GSK",PR!$X267,IF(K269="GLOBORG",PR!$Y267,IF(K269="GOODNEWS",PR!$Z267,IF(K269="GREENLIFE",PR!$AA267,IF(K269="HLINE",PR!$AB267,IF(K269="ROTECH",PR!$AC267,IF(K269="ISN",PR!$AD267,IF(K269="JAWA",PR!$AE267,IF(K269="LAYO",PR!$AF267,IF(K269="LEADWAY",PR!$AG267,IF(K269="LHV",PR!$AH267,IF(K269="MANOLA",PR!$AI267,IF(K269="MARCSON",PR!$AJ267,IF(K269="M&amp;B",PR!$AK267,IF(K269="MTRUST",PR!$AL267,IF(K269="MWORLD",PR!$AM267,IF(K269="MEGA",PR!$AN267,IF(K269="MICRONOVA",PR!$AO267,IF(K269="MFLASH",PR!$AP267,IF(K269="MORISON",PR!$AQ267,IF(K269="NEMEL",PR!$AR267,IF(K269="NHP",PR!$AS267,IF(K269="NHC",PR!$AT267,IF(K269="OLEAF",PR!$AU267,IF(K269="OCULUS",PR!$AV267,IF(K269="PACIFIC",PR!$AW267,IF(K269="PHAMATEX",PR!$AX267,IF(K269="PETHICS",PR!$AY267,IF(K269="PHILIPS",PR!$AZ267,IF(K269="RANBAXY",PR!$BA267,IF(K269="REALS",PR!$BB267,IF(K269="ROYAL",PR!$BC267,IF(K269="SAM",PR!$BD267,IF(K269="SEAGREEN",PR!$BE267,IF(K269="SKG",PR!$BF267,IF(K269="TAH",PR!$BG267,IF(K269="TAYLEK",PR!$BH267,IF(K269="TEMITA",PR!$BI267,IF(K269="THL",PR!$BJ267,IF(K269="UBASTIC",PR!$BK267,IF(K269="UNION",PR!$BL267,IF(K269="UNIQUE",PR!$BM267,IF(K269="VIXA",PR!$BN267,IF(K269="WWCV",PR!$BO267,IF(K269="ZOLON",PR!$BP267,"-")))))))))))))))))))))))))))))))))))))))))))))))))))))))))))))))))</f>
        <v>150</v>
      </c>
    </row>
    <row r="270" spans="1:12" ht="18.75" x14ac:dyDescent="0.3">
      <c r="A270" s="430">
        <f>PR!A268</f>
        <v>244</v>
      </c>
      <c r="B270" s="15" t="str">
        <f>PR!B268</f>
        <v>CO-TRIMOXAZOLE SUSP.</v>
      </c>
      <c r="C270" s="113" t="str">
        <f>PR!D268</f>
        <v>BOTT</v>
      </c>
      <c r="D270" s="113">
        <f>PR!C268</f>
        <v>200</v>
      </c>
      <c r="E270" s="108">
        <f>IF(F270="ALPHA",PR!$E268,IF(F270="ASSENE",PR!$F268,IF(F270="BIOFEM",PR!$G268,IF(F270="BIOMED",PR!$H268,IF(F270="CHI",PR!$I268,IF(F270="CLARION",PR!$J268,IF(F270="CODIX",PR!$K268,IF(F270="COSMADE",PR!$L268,IF(F270="SANCON",PR!$M268,IF(F270="DEVON",PR!$N268,IF(F270="DORTEMAG",PR!$O268,IF(F270="DGF",PR!$P268,IF(F270="DYNAMIC",PR!$Q268,IF(F270="EMZOR",PR!$R268,IF(F270="EUMATT",PR!$S268,IF(F270="FIDSON",PR!$T268,IF(F270="FCGLOBAL",PR!$U268,IF(F270="GENEITH",PR!$V268,IF(F270="GINOS",PR!$W268,IF(F270="GSK",PR!$X268,IF(F270="GLOBORG",PR!$Y268,IF(F270="GOODNEWS",PR!$Z268,IF(F270="GREENLIFE",PR!$AA268,IF(F270="HLINE",PR!$AB268,IF(F270="ROTECH",PR!$AC268,IF(F270="ISN",PR!$AD268,IF(F270="JAWA",PR!$AE268,IF(F270="LAYO",PR!$AF268,IF(F270="LEADWAY",PR!$AG268,IF(F270="LHV",PR!$AH268,IF(F270="MANOLA",PR!$AI268,IF(F270="MARCSON",PR!$AJ268,IF(F270="M&amp;B",PR!$AK268,IF(F270="MTRUST",PR!$AL268,IF(F270="MWORLD",PR!$AM268,IF(F270="MEGA",PR!$AN268,IF(F270="MICRONOVA",PR!$AO268,IF(F270="MFLASH",PR!$AP268,IF(F270="MORISON",PR!$AQ268,IF(F270="NEMEL",PR!$AR268,IF(F270="NHP",PR!$AS268,IF(F270="NHC",PR!$AT268,IF(F270="OLEAF",PR!$AU268,IF(F270="OCULUS",PR!$AV268,IF(F270="PACIFIC",PR!$AW268,IF(F270="PHAMATEX",PR!$AX268,IF(F270="PETHICS",PR!$AY268,IF(F270="PHILIPS",PR!$AZ268,IF(F270="RANBAXY",PR!$BA268,IF(F270="REALS",PR!$BB268,IF(F270="ROYAL",PR!$BC268,IF(F270="SAM",PR!$BD268,IF(F270="SEAGREEN",PR!$BE268,IF(F270="SKG",PR!$BF268,IF(F270="TAH",PR!$BG268,IF(F270="TAYLEK",PR!$BH268,IF(F270="TEMITA",PR!$BI268,IF(F270="THL",PR!$BJ268,IF(F270="UBASTIC",PR!$BK268,IF(F270="UNION",PR!$BL268,IF(F270="UNIQUE",PR!$BM268,IF(F270="VIXA",PR!$BN268,IF(F270="WWCV",PR!$BO268,IF(F270="ZOLON",PR!$BP268,"-"))))))))))))))))))))))))))))))))))))))))))))))))))))))))))))))))</f>
        <v>100</v>
      </c>
      <c r="F270" s="102" t="str">
        <f>EV!L355</f>
        <v>M&amp;B</v>
      </c>
      <c r="G270" s="108">
        <f>IF(H270="ALPHA",PR!$E268,IF(H270="ASSENE",PR!$F268,IF(H270="BIOFEM",PR!$G268,IF(H270="BIOMED",PR!$H268,IF(H270="CHI",PR!$I268,IF(H270="CLARION",PR!$J268,IF(H270="CODIX",PR!$K268,IF(H270="COSMADE",PR!$L268,IF(H270="SANCON",PR!$M268,IF(H270="DEVON",PR!$N268,IF(H270="DORTEMAG",PR!$O268,IF(H270="DGF",PR!$P268,IF(H270="DYNAMIC",PR!$Q268,IF(H270="EMZOR",PR!$R268,IF(H270="EUMATT",PR!$S268,IF(H270="FIDSON",PR!$T268,IF(H270="FCGLOBAL",PR!$U268,IF(H270="GENEITH",PR!$V268,IF(H270="GINOS",PR!$W268,IF(H270="GSK",PR!$X268,IF(H270="GLOBORG",PR!$Y268,IF(H270="GOODNEWS",PR!$Z268,IF(H270="GREENLIFE",PR!$AA268,IF(H270="HLINE",PR!$AB268,IF(H270="ROTECH",PR!$AC268,IF(H270="ISN",PR!$AD268,IF(H270="JAWA",PR!$AE268,IF(H270="LAYO",PR!$AF268,IF(H270="LEADWAY",PR!$AG268,IF(H270="LHV",PR!$AH268,IF(H270="MANOLA",PR!$AI268,IF(H270="MARCSON",PR!$AJ268,IF(H270="M&amp;B",PR!$AK268,IF(H270="MTRUST",PR!$AL268,IF(H270="MWORLD",PR!$AM268,IF(H270="MEGA",PR!$AN268,IF(H270="MICRONOVA",PR!$AO268,IF(H270="MFLASH",PR!$AP268,IF(H270="MORISON",PR!$AQ268,IF(H270="NEMEL",PR!$AR268,IF(H270="NHP",PR!$AS268,IF(H270="NHC",PR!$AT268,IF(H270="OLEAF",PR!$AU268,IF(H270="OCULUS",PR!$AV268,IF(H270="PACIFIC",PR!$AW268,IF(H270="PHAMATEX",PR!$AX268,IF(H270="PETHICS",PR!$AY268,IF(H270="PHILIPS",PR!$AZ268,IF(H270="RANBAXY",PR!$BA268,IF(H270="REALS",PR!$BB268,IF(H270="ROYAL",PR!$BC268,IF(H270="SAM",PR!$BD268,IF(H270="SEAGREEN",PR!$BE268,IF(H270="SKG",PR!$BF268,IF(H270="TAH",PR!$BG268,IF(H270="TAYLEK",PR!$BH268,IF(H270="TEMITA",PR!$BI268,IF(H270="THL",PR!$BJ268,IF(H270="UBASTIC",PR!$BK268,IF(H270="UNION",PR!$BL268,IF(H270="UNIQUE",PR!$BM268,IF(H270="VIXA",PR!$BN268,IF(H270="WWCV",PR!$BO268,IF(H270="ZOLON",PR!$BP268,"-"))))))))))))))))))))))))))))))))))))))))))))))))))))))))))))))))</f>
        <v>105</v>
      </c>
      <c r="H270" s="102" t="str">
        <f>EV!M355</f>
        <v>UNIQUE</v>
      </c>
      <c r="I270" s="108">
        <f>IF(J270="ALPHA",PR!$E268,IF(J270="ASSENE",PR!$F268,IF(J270="BIOFEM",PR!$G268,IF(J270="BIOMED",PR!$H268,IF(J270="CHI",PR!$I268,IF(J270="CLARION",PR!$J268,IF(J270="CODIX",PR!$K268,IF(J270="COSMADE",PR!$L268,IF(J270="SANCON",PR!$M268,IF(J270="DEVON",PR!$N268,IF(J270="DORTEMAG",PR!$O268,IF(J270="DGF",PR!$P268,IF(J270="DYNAMIC",PR!$Q268,IF(J270="EMZOR",PR!$R268,IF(J270="EUMATT",PR!$S268,IF(J270="FIDSON",PR!$T268,IF(J270="FCGLOBAL",PR!$U268,IF(J270="GENEITH",PR!$V268,IF(J270="GINOS",PR!$W268,IF(J270="GSK",PR!$X268,IF(J270="GLOBORG",PR!$Y268,IF(J270="GOODNEWS",PR!$Z268,IF(J270="GREENLIFE",PR!$AA268,IF(J270="HLINE",PR!$AB268,IF(J270="ROTECH",PR!$AC268,IF(J270="ISN",PR!$AD268,IF(J270="JAWA",PR!$AE268,IF(J270="LAYO",PR!$AF268,IF(J270="LEADWAY",PR!$AG268,IF(J270="LHV",PR!$AH268,IF(J270="MANOLA",PR!$AI268,IF(J270="MARCSON",PR!$AJ268,IF(J270="M&amp;B",PR!$AK268,IF(J270="MTRUST",PR!$AL268,IF(J270="MWORLD",PR!$AM268,IF(J270="MEGA",PR!$AN268,IF(J270="MICRONOVA",PR!$AO268,IF(J270="MFLASH",PR!$AP268,IF(J270="MORISON",PR!$AQ268,IF(J270="NEMEL",PR!$AR268,IF(J270="NHP",PR!$AS268,IF(J270="NHC",PR!$AT268,IF(J270="OLEAF",PR!$AU268,IF(J270="OCULUS",PR!$AV268,IF(J270="PACIFIC",PR!$AW268,IF(J270="PHAMATEX",PR!$AX268,IF(J270="PETHICS",PR!$AY268,IF(J270="PHILIPS",PR!$AZ268,IF(J270="RANBAXY",PR!$BA268,IF(J270="REALS",PR!$BB268,IF(J270="ROYAL",PR!$BC268,IF(J270="SAM",PR!$BD268,IF(J270="SEAGREEN",PR!$BE268,IF(J270="SKG",PR!$BF268,IF(J270="TAH",PR!$BG268,IF(J270="TAYLEK",PR!$BH268,IF(J270="TEMITA",PR!$BI268,IF(J270="THL",PR!$BJ268,IF(J270="UBASTIC",PR!$BK268,IF(J270="UNION",PR!$BL268,IF(J270="UNIQUE",PR!$BM268,IF(J270="VIXA",PR!$BN268,IF(J270="WWCV",PR!$BO268,IF(J270="ZOLON",PR!$BP268,"-"))))))))))))))))))))))))))))))))))))))))))))))))))))))))))))))))</f>
        <v>110</v>
      </c>
      <c r="J270" s="102" t="str">
        <f>EV!N355</f>
        <v>EUMATT</v>
      </c>
      <c r="K270" s="433" t="s">
        <v>616</v>
      </c>
      <c r="L270" s="183">
        <f>IF(K270&gt;0,IF(K270="ALPHA",PR!$E268,IF(K270="ASSENE",PR!$F268,IF(K270="BIOFEM",PR!$G268,IF(K270="BIOMED",PR!$H268,IF(K270="CHI",PR!$I268,IF(K270="CLARION",PR!$J268,IF(K270="CODIX",PR!$K268,IF(K270="COSMADE",PR!$L268,IF(K270="SANCON",PR!$M268,IF(K270="DEVON",PR!$N268,IF(K270="DORTEMAG",PR!$O268,IF(K270="DGF",PR!$P268,IF(K270="DYNAMIC",PR!$Q268,IF(K270="EMZOR",PR!$R268,IF(K270="EUMATT",PR!$S268,IF(K270="FIDSON",PR!$T268,IF(K270="FCGLOBAL",PR!$U268,IF(K270="GENEITH",PR!$V268,IF(K270="GINOS",PR!$W268,IF(K270="GSK",PR!$X268,IF(K270="GLOBORG",PR!$Y268,IF(K270="GOODNEWS",PR!$Z268,IF(K270="GREENLIFE",PR!$AA268,IF(K270="HLINE",PR!$AB268,IF(K270="ROTECH",PR!$AC268,IF(K270="ISN",PR!$AD268,IF(K270="JAWA",PR!$AE268,IF(K270="LAYO",PR!$AF268,IF(K270="LEADWAY",PR!$AG268,IF(K270="LHV",PR!$AH268,IF(K270="MANOLA",PR!$AI268,IF(K270="MARCSON",PR!$AJ268,IF(K270="M&amp;B",PR!$AK268,IF(K270="MTRUST",PR!$AL268,IF(K270="MWORLD",PR!$AM268,IF(K270="MEGA",PR!$AN268,IF(K270="MICRONOVA",PR!$AO268,IF(K270="MFLASH",PR!$AP268,IF(K270="MORISON",PR!$AQ268,IF(K270="NEMEL",PR!$AR268,IF(K270="NHP",PR!$AS268,IF(K270="NHC",PR!$AT268,IF(K270="OLEAF",PR!$AU268,IF(K270="OCULUS",PR!$AV268,IF(K270="PACIFIC",PR!$AW268,IF(K270="PHAMATEX",PR!$AX268,IF(K270="PETHICS",PR!$AY268,IF(K270="PHILIPS",PR!$AZ268,IF(K270="RANBAXY",PR!$BA268,IF(K270="REALS",PR!$BB268,IF(K270="ROYAL",PR!$BC268,IF(K270="SAM",PR!$BD268,IF(K270="SEAGREEN",PR!$BE268,IF(K270="SKG",PR!$BF268,IF(K270="TAH",PR!$BG268,IF(K270="TAYLEK",PR!$BH268,IF(K270="TEMITA",PR!$BI268,IF(K270="THL",PR!$BJ268,IF(K270="UBASTIC",PR!$BK268,IF(K270="UNION",PR!$BL268,IF(K270="UNIQUE",PR!$BM268,IF(K270="VIXA",PR!$BN268,IF(K270="WWCV",PR!$BO268,IF(K270="ZOLON",PR!$BP268,"-")))))))))))))))))))))))))))))))))))))))))))))))))))))))))))))))))</f>
        <v>100</v>
      </c>
    </row>
    <row r="271" spans="1:12" ht="18.75" x14ac:dyDescent="0.3">
      <c r="A271" s="430">
        <f>PR!A269</f>
        <v>245</v>
      </c>
      <c r="B271" s="15" t="str">
        <f>PR!B269</f>
        <v>CHLORHEXIDINE HCL/LIDOCAINE LOZENGES</v>
      </c>
      <c r="C271" s="113">
        <f>PR!D269</f>
        <v>36</v>
      </c>
      <c r="D271" s="113">
        <f>PR!C269</f>
        <v>300</v>
      </c>
      <c r="E271" s="108" t="str">
        <f>IF(F271="ALPHA",PR!$E269,IF(F271="ASSENE",PR!$F269,IF(F271="BIOFEM",PR!$G269,IF(F271="BIOMED",PR!$H269,IF(F271="CHI",PR!$I269,IF(F271="CLARION",PR!$J269,IF(F271="CODIX",PR!$K269,IF(F271="COSMADE",PR!$L269,IF(F271="SANCON",PR!$M269,IF(F271="DEVON",PR!$N269,IF(F271="DORTEMAG",PR!$O269,IF(F271="DGF",PR!$P269,IF(F271="DYNAMIC",PR!$Q269,IF(F271="EMZOR",PR!$R269,IF(F271="EUMATT",PR!$S269,IF(F271="FIDSON",PR!$T269,IF(F271="FCGLOBAL",PR!$U269,IF(F271="GENEITH",PR!$V269,IF(F271="GINOS",PR!$W269,IF(F271="GSK",PR!$X269,IF(F271="GLOBORG",PR!$Y269,IF(F271="GOODNEWS",PR!$Z269,IF(F271="GREENLIFE",PR!$AA269,IF(F271="HLINE",PR!$AB269,IF(F271="ROTECH",PR!$AC269,IF(F271="ISN",PR!$AD269,IF(F271="JAWA",PR!$AE269,IF(F271="LAYO",PR!$AF269,IF(F271="LEADWAY",PR!$AG269,IF(F271="LHV",PR!$AH269,IF(F271="MANOLA",PR!$AI269,IF(F271="MARCSON",PR!$AJ269,IF(F271="M&amp;B",PR!$AK269,IF(F271="MTRUST",PR!$AL269,IF(F271="MWORLD",PR!$AM269,IF(F271="MEGA",PR!$AN269,IF(F271="MICRONOVA",PR!$AO269,IF(F271="MFLASH",PR!$AP269,IF(F271="MORISON",PR!$AQ269,IF(F271="NEMEL",PR!$AR269,IF(F271="NHP",PR!$AS269,IF(F271="NHC",PR!$AT269,IF(F271="OLEAF",PR!$AU269,IF(F271="OCULUS",PR!$AV269,IF(F271="PACIFIC",PR!$AW269,IF(F271="PHAMATEX",PR!$AX269,IF(F271="PETHICS",PR!$AY269,IF(F271="PHILIPS",PR!$AZ269,IF(F271="RANBAXY",PR!$BA269,IF(F271="REALS",PR!$BB269,IF(F271="ROYAL",PR!$BC269,IF(F271="SAM",PR!$BD269,IF(F271="SEAGREEN",PR!$BE269,IF(F271="SKG",PR!$BF269,IF(F271="TAH",PR!$BG269,IF(F271="TAYLEK",PR!$BH269,IF(F271="TEMITA",PR!$BI269,IF(F271="THL",PR!$BJ269,IF(F271="UBASTIC",PR!$BK269,IF(F271="UNION",PR!$BL269,IF(F271="UNIQUE",PR!$BM269,IF(F271="VIXA",PR!$BN269,IF(F271="WWCV",PR!$BO269,IF(F271="ZOLON",PR!$BP269,"-"))))))))))))))))))))))))))))))))))))))))))))))))))))))))))))))))</f>
        <v>-</v>
      </c>
      <c r="F271" s="102">
        <f>EV!L356</f>
        <v>0</v>
      </c>
      <c r="G271" s="108" t="str">
        <f>IF(H271="ALPHA",PR!$E269,IF(H271="ASSENE",PR!$F269,IF(H271="BIOFEM",PR!$G269,IF(H271="BIOMED",PR!$H269,IF(H271="CHI",PR!$I269,IF(H271="CLARION",PR!$J269,IF(H271="CODIX",PR!$K269,IF(H271="COSMADE",PR!$L269,IF(H271="SANCON",PR!$M269,IF(H271="DEVON",PR!$N269,IF(H271="DORTEMAG",PR!$O269,IF(H271="DGF",PR!$P269,IF(H271="DYNAMIC",PR!$Q269,IF(H271="EMZOR",PR!$R269,IF(H271="EUMATT",PR!$S269,IF(H271="FIDSON",PR!$T269,IF(H271="FCGLOBAL",PR!$U269,IF(H271="GENEITH",PR!$V269,IF(H271="GINOS",PR!$W269,IF(H271="GSK",PR!$X269,IF(H271="GLOBORG",PR!$Y269,IF(H271="GOODNEWS",PR!$Z269,IF(H271="GREENLIFE",PR!$AA269,IF(H271="HLINE",PR!$AB269,IF(H271="ROTECH",PR!$AC269,IF(H271="ISN",PR!$AD269,IF(H271="JAWA",PR!$AE269,IF(H271="LAYO",PR!$AF269,IF(H271="LEADWAY",PR!$AG269,IF(H271="LHV",PR!$AH269,IF(H271="MANOLA",PR!$AI269,IF(H271="MARCSON",PR!$AJ269,IF(H271="M&amp;B",PR!$AK269,IF(H271="MTRUST",PR!$AL269,IF(H271="MWORLD",PR!$AM269,IF(H271="MEGA",PR!$AN269,IF(H271="MICRONOVA",PR!$AO269,IF(H271="MFLASH",PR!$AP269,IF(H271="MORISON",PR!$AQ269,IF(H271="NEMEL",PR!$AR269,IF(H271="NHP",PR!$AS269,IF(H271="NHC",PR!$AT269,IF(H271="OLEAF",PR!$AU269,IF(H271="OCULUS",PR!$AV269,IF(H271="PACIFIC",PR!$AW269,IF(H271="PHAMATEX",PR!$AX269,IF(H271="PETHICS",PR!$AY269,IF(H271="PHILIPS",PR!$AZ269,IF(H271="RANBAXY",PR!$BA269,IF(H271="REALS",PR!$BB269,IF(H271="ROYAL",PR!$BC269,IF(H271="SAM",PR!$BD269,IF(H271="SEAGREEN",PR!$BE269,IF(H271="SKG",PR!$BF269,IF(H271="TAH",PR!$BG269,IF(H271="TAYLEK",PR!$BH269,IF(H271="TEMITA",PR!$BI269,IF(H271="THL",PR!$BJ269,IF(H271="UBASTIC",PR!$BK269,IF(H271="UNION",PR!$BL269,IF(H271="UNIQUE",PR!$BM269,IF(H271="VIXA",PR!$BN269,IF(H271="WWCV",PR!$BO269,IF(H271="ZOLON",PR!$BP269,"-"))))))))))))))))))))))))))))))))))))))))))))))))))))))))))))))))</f>
        <v>-</v>
      </c>
      <c r="H271" s="102">
        <f>EV!M356</f>
        <v>0</v>
      </c>
      <c r="I271" s="108" t="str">
        <f>IF(J271="ALPHA",PR!$E269,IF(J271="ASSENE",PR!$F269,IF(J271="BIOFEM",PR!$G269,IF(J271="BIOMED",PR!$H269,IF(J271="CHI",PR!$I269,IF(J271="CLARION",PR!$J269,IF(J271="CODIX",PR!$K269,IF(J271="COSMADE",PR!$L269,IF(J271="SANCON",PR!$M269,IF(J271="DEVON",PR!$N269,IF(J271="DORTEMAG",PR!$O269,IF(J271="DGF",PR!$P269,IF(J271="DYNAMIC",PR!$Q269,IF(J271="EMZOR",PR!$R269,IF(J271="EUMATT",PR!$S269,IF(J271="FIDSON",PR!$T269,IF(J271="FCGLOBAL",PR!$U269,IF(J271="GENEITH",PR!$V269,IF(J271="GINOS",PR!$W269,IF(J271="GSK",PR!$X269,IF(J271="GLOBORG",PR!$Y269,IF(J271="GOODNEWS",PR!$Z269,IF(J271="GREENLIFE",PR!$AA269,IF(J271="HLINE",PR!$AB269,IF(J271="ROTECH",PR!$AC269,IF(J271="ISN",PR!$AD269,IF(J271="JAWA",PR!$AE269,IF(J271="LAYO",PR!$AF269,IF(J271="LEADWAY",PR!$AG269,IF(J271="LHV",PR!$AH269,IF(J271="MANOLA",PR!$AI269,IF(J271="MARCSON",PR!$AJ269,IF(J271="M&amp;B",PR!$AK269,IF(J271="MTRUST",PR!$AL269,IF(J271="MWORLD",PR!$AM269,IF(J271="MEGA",PR!$AN269,IF(J271="MICRONOVA",PR!$AO269,IF(J271="MFLASH",PR!$AP269,IF(J271="MORISON",PR!$AQ269,IF(J271="NEMEL",PR!$AR269,IF(J271="NHP",PR!$AS269,IF(J271="NHC",PR!$AT269,IF(J271="OLEAF",PR!$AU269,IF(J271="OCULUS",PR!$AV269,IF(J271="PACIFIC",PR!$AW269,IF(J271="PHAMATEX",PR!$AX269,IF(J271="PETHICS",PR!$AY269,IF(J271="PHILIPS",PR!$AZ269,IF(J271="RANBAXY",PR!$BA269,IF(J271="REALS",PR!$BB269,IF(J271="ROYAL",PR!$BC269,IF(J271="SAM",PR!$BD269,IF(J271="SEAGREEN",PR!$BE269,IF(J271="SKG",PR!$BF269,IF(J271="TAH",PR!$BG269,IF(J271="TAYLEK",PR!$BH269,IF(J271="TEMITA",PR!$BI269,IF(J271="THL",PR!$BJ269,IF(J271="UBASTIC",PR!$BK269,IF(J271="UNION",PR!$BL269,IF(J271="UNIQUE",PR!$BM269,IF(J271="VIXA",PR!$BN269,IF(J271="WWCV",PR!$BO269,IF(J271="ZOLON",PR!$BP269,"-"))))))))))))))))))))))))))))))))))))))))))))))))))))))))))))))))</f>
        <v>-</v>
      </c>
      <c r="J271" s="102">
        <f>EV!N356</f>
        <v>0</v>
      </c>
      <c r="K271" s="433"/>
      <c r="L271" s="183" t="b">
        <f>IF(K271&gt;0,IF(K271="ALPHA",PR!$E269,IF(K271="ASSENE",PR!$F269,IF(K271="BIOFEM",PR!$G269,IF(K271="BIOMED",PR!$H269,IF(K271="CHI",PR!$I269,IF(K271="CLARION",PR!$J269,IF(K271="CODIX",PR!$K269,IF(K271="COSMADE",PR!$L269,IF(K271="SANCON",PR!$M269,IF(K271="DEVON",PR!$N269,IF(K271="DORTEMAG",PR!$O269,IF(K271="DGF",PR!$P269,IF(K271="DYNAMIC",PR!$Q269,IF(K271="EMZOR",PR!$R269,IF(K271="EUMATT",PR!$S269,IF(K271="FIDSON",PR!$T269,IF(K271="FCGLOBAL",PR!$U269,IF(K271="GENEITH",PR!$V269,IF(K271="GINOS",PR!$W269,IF(K271="GSK",PR!$X269,IF(K271="GLOBORG",PR!$Y269,IF(K271="GOODNEWS",PR!$Z269,IF(K271="GREENLIFE",PR!$AA269,IF(K271="HLINE",PR!$AB269,IF(K271="ROTECH",PR!$AC269,IF(K271="ISN",PR!$AD269,IF(K271="JAWA",PR!$AE269,IF(K271="LAYO",PR!$AF269,IF(K271="LEADWAY",PR!$AG269,IF(K271="LHV",PR!$AH269,IF(K271="MANOLA",PR!$AI269,IF(K271="MARCSON",PR!$AJ269,IF(K271="M&amp;B",PR!$AK269,IF(K271="MTRUST",PR!$AL269,IF(K271="MWORLD",PR!$AM269,IF(K271="MEGA",PR!$AN269,IF(K271="MICRONOVA",PR!$AO269,IF(K271="MFLASH",PR!$AP269,IF(K271="MORISON",PR!$AQ269,IF(K271="NEMEL",PR!$AR269,IF(K271="NHP",PR!$AS269,IF(K271="NHC",PR!$AT269,IF(K271="OLEAF",PR!$AU269,IF(K271="OCULUS",PR!$AV269,IF(K271="PACIFIC",PR!$AW269,IF(K271="PHAMATEX",PR!$AX269,IF(K271="PETHICS",PR!$AY269,IF(K271="PHILIPS",PR!$AZ269,IF(K271="RANBAXY",PR!$BA269,IF(K271="REALS",PR!$BB269,IF(K271="ROYAL",PR!$BC269,IF(K271="SAM",PR!$BD269,IF(K271="SEAGREEN",PR!$BE269,IF(K271="SKG",PR!$BF269,IF(K271="TAH",PR!$BG269,IF(K271="TAYLEK",PR!$BH269,IF(K271="TEMITA",PR!$BI269,IF(K271="THL",PR!$BJ269,IF(K271="UBASTIC",PR!$BK269,IF(K271="UNION",PR!$BL269,IF(K271="UNIQUE",PR!$BM269,IF(K271="VIXA",PR!$BN269,IF(K271="WWCV",PR!$BO269,IF(K271="ZOLON",PR!$BP269,"-")))))))))))))))))))))))))))))))))))))))))))))))))))))))))))))))))</f>
        <v>0</v>
      </c>
    </row>
    <row r="272" spans="1:12" ht="18.75" x14ac:dyDescent="0.3">
      <c r="A272" s="430">
        <f>PR!A270</f>
        <v>246</v>
      </c>
      <c r="B272" s="15" t="str">
        <f>PR!B270</f>
        <v>DOXYCYCLINE 100MG CAP</v>
      </c>
      <c r="C272" s="113">
        <f>PR!D270</f>
        <v>100</v>
      </c>
      <c r="D272" s="113">
        <f>PR!C270</f>
        <v>150</v>
      </c>
      <c r="E272" s="108">
        <f>IF(F272="ALPHA",PR!$E270,IF(F272="ASSENE",PR!$F270,IF(F272="BIOFEM",PR!$G270,IF(F272="BIOMED",PR!$H270,IF(F272="CHI",PR!$I270,IF(F272="CLARION",PR!$J270,IF(F272="CODIX",PR!$K270,IF(F272="COSMADE",PR!$L270,IF(F272="SANCON",PR!$M270,IF(F272="DEVON",PR!$N270,IF(F272="DORTEMAG",PR!$O270,IF(F272="DGF",PR!$P270,IF(F272="DYNAMIC",PR!$Q270,IF(F272="EMZOR",PR!$R270,IF(F272="EUMATT",PR!$S270,IF(F272="FIDSON",PR!$T270,IF(F272="FCGLOBAL",PR!$U270,IF(F272="GENEITH",PR!$V270,IF(F272="GINOS",PR!$W270,IF(F272="GSK",PR!$X270,IF(F272="GLOBORG",PR!$Y270,IF(F272="GOODNEWS",PR!$Z270,IF(F272="GREENLIFE",PR!$AA270,IF(F272="HLINE",PR!$AB270,IF(F272="ROTECH",PR!$AC270,IF(F272="ISN",PR!$AD270,IF(F272="JAWA",PR!$AE270,IF(F272="LAYO",PR!$AF270,IF(F272="LEADWAY",PR!$AG270,IF(F272="LHV",PR!$AH270,IF(F272="MANOLA",PR!$AI270,IF(F272="MARCSON",PR!$AJ270,IF(F272="M&amp;B",PR!$AK270,IF(F272="MTRUST",PR!$AL270,IF(F272="MWORLD",PR!$AM270,IF(F272="MEGA",PR!$AN270,IF(F272="MICRONOVA",PR!$AO270,IF(F272="MFLASH",PR!$AP270,IF(F272="MORISON",PR!$AQ270,IF(F272="NEMEL",PR!$AR270,IF(F272="NHP",PR!$AS270,IF(F272="NHC",PR!$AT270,IF(F272="OLEAF",PR!$AU270,IF(F272="OCULUS",PR!$AV270,IF(F272="PACIFIC",PR!$AW270,IF(F272="PHAMATEX",PR!$AX270,IF(F272="PETHICS",PR!$AY270,IF(F272="PHILIPS",PR!$AZ270,IF(F272="RANBAXY",PR!$BA270,IF(F272="REALS",PR!$BB270,IF(F272="ROYAL",PR!$BC270,IF(F272="SAM",PR!$BD270,IF(F272="SEAGREEN",PR!$BE270,IF(F272="SKG",PR!$BF270,IF(F272="TAH",PR!$BG270,IF(F272="TAYLEK",PR!$BH270,IF(F272="TEMITA",PR!$BI270,IF(F272="THL",PR!$BJ270,IF(F272="UBASTIC",PR!$BK270,IF(F272="UNION",PR!$BL270,IF(F272="UNIQUE",PR!$BM270,IF(F272="VIXA",PR!$BN270,IF(F272="WWCV",PR!$BO270,IF(F272="ZOLON",PR!$BP270,"-"))))))))))))))))))))))))))))))))))))))))))))))))))))))))))))))))</f>
        <v>550</v>
      </c>
      <c r="F272" s="102" t="str">
        <f>EV!L357</f>
        <v>EUMATT</v>
      </c>
      <c r="G272" s="108" t="str">
        <f>IF(H272="ALPHA",PR!$E270,IF(H272="ASSENE",PR!$F270,IF(H272="BIOFEM",PR!$G270,IF(H272="BIOMED",PR!$H270,IF(H272="CHI",PR!$I270,IF(H272="CLARION",PR!$J270,IF(H272="CODIX",PR!$K270,IF(H272="COSMADE",PR!$L270,IF(H272="SANCON",PR!$M270,IF(H272="DEVON",PR!$N270,IF(H272="DORTEMAG",PR!$O270,IF(H272="DGF",PR!$P270,IF(H272="DYNAMIC",PR!$Q270,IF(H272="EMZOR",PR!$R270,IF(H272="EUMATT",PR!$S270,IF(H272="FIDSON",PR!$T270,IF(H272="FCGLOBAL",PR!$U270,IF(H272="GENEITH",PR!$V270,IF(H272="GINOS",PR!$W270,IF(H272="GSK",PR!$X270,IF(H272="GLOBORG",PR!$Y270,IF(H272="GOODNEWS",PR!$Z270,IF(H272="GREENLIFE",PR!$AA270,IF(H272="HLINE",PR!$AB270,IF(H272="ROTECH",PR!$AC270,IF(H272="ISN",PR!$AD270,IF(H272="JAWA",PR!$AE270,IF(H272="LAYO",PR!$AF270,IF(H272="LEADWAY",PR!$AG270,IF(H272="LHV",PR!$AH270,IF(H272="MANOLA",PR!$AI270,IF(H272="MARCSON",PR!$AJ270,IF(H272="M&amp;B",PR!$AK270,IF(H272="MTRUST",PR!$AL270,IF(H272="MWORLD",PR!$AM270,IF(H272="MEGA",PR!$AN270,IF(H272="MICRONOVA",PR!$AO270,IF(H272="MFLASH",PR!$AP270,IF(H272="MORISON",PR!$AQ270,IF(H272="NEMEL",PR!$AR270,IF(H272="NHP",PR!$AS270,IF(H272="NHC",PR!$AT270,IF(H272="OLEAF",PR!$AU270,IF(H272="OCULUS",PR!$AV270,IF(H272="PACIFIC",PR!$AW270,IF(H272="PHAMATEX",PR!$AX270,IF(H272="PETHICS",PR!$AY270,IF(H272="PHILIPS",PR!$AZ270,IF(H272="RANBAXY",PR!$BA270,IF(H272="REALS",PR!$BB270,IF(H272="ROYAL",PR!$BC270,IF(H272="SAM",PR!$BD270,IF(H272="SEAGREEN",PR!$BE270,IF(H272="SKG",PR!$BF270,IF(H272="TAH",PR!$BG270,IF(H272="TAYLEK",PR!$BH270,IF(H272="TEMITA",PR!$BI270,IF(H272="THL",PR!$BJ270,IF(H272="UBASTIC",PR!$BK270,IF(H272="UNION",PR!$BL270,IF(H272="UNIQUE",PR!$BM270,IF(H272="VIXA",PR!$BN270,IF(H272="WWCV",PR!$BO270,IF(H272="ZOLON",PR!$BP270,"-"))))))))))))))))))))))))))))))))))))))))))))))))))))))))))))))))</f>
        <v>-</v>
      </c>
      <c r="H272" s="102">
        <f>EV!M357</f>
        <v>0</v>
      </c>
      <c r="I272" s="108" t="str">
        <f>IF(J272="ALPHA",PR!$E270,IF(J272="ASSENE",PR!$F270,IF(J272="BIOFEM",PR!$G270,IF(J272="BIOMED",PR!$H270,IF(J272="CHI",PR!$I270,IF(J272="CLARION",PR!$J270,IF(J272="CODIX",PR!$K270,IF(J272="COSMADE",PR!$L270,IF(J272="SANCON",PR!$M270,IF(J272="DEVON",PR!$N270,IF(J272="DORTEMAG",PR!$O270,IF(J272="DGF",PR!$P270,IF(J272="DYNAMIC",PR!$Q270,IF(J272="EMZOR",PR!$R270,IF(J272="EUMATT",PR!$S270,IF(J272="FIDSON",PR!$T270,IF(J272="FCGLOBAL",PR!$U270,IF(J272="GENEITH",PR!$V270,IF(J272="GINOS",PR!$W270,IF(J272="GSK",PR!$X270,IF(J272="GLOBORG",PR!$Y270,IF(J272="GOODNEWS",PR!$Z270,IF(J272="GREENLIFE",PR!$AA270,IF(J272="HLINE",PR!$AB270,IF(J272="ROTECH",PR!$AC270,IF(J272="ISN",PR!$AD270,IF(J272="JAWA",PR!$AE270,IF(J272="LAYO",PR!$AF270,IF(J272="LEADWAY",PR!$AG270,IF(J272="LHV",PR!$AH270,IF(J272="MANOLA",PR!$AI270,IF(J272="MARCSON",PR!$AJ270,IF(J272="M&amp;B",PR!$AK270,IF(J272="MTRUST",PR!$AL270,IF(J272="MWORLD",PR!$AM270,IF(J272="MEGA",PR!$AN270,IF(J272="MICRONOVA",PR!$AO270,IF(J272="MFLASH",PR!$AP270,IF(J272="MORISON",PR!$AQ270,IF(J272="NEMEL",PR!$AR270,IF(J272="NHP",PR!$AS270,IF(J272="NHC",PR!$AT270,IF(J272="OLEAF",PR!$AU270,IF(J272="OCULUS",PR!$AV270,IF(J272="PACIFIC",PR!$AW270,IF(J272="PHAMATEX",PR!$AX270,IF(J272="PETHICS",PR!$AY270,IF(J272="PHILIPS",PR!$AZ270,IF(J272="RANBAXY",PR!$BA270,IF(J272="REALS",PR!$BB270,IF(J272="ROYAL",PR!$BC270,IF(J272="SAM",PR!$BD270,IF(J272="SEAGREEN",PR!$BE270,IF(J272="SKG",PR!$BF270,IF(J272="TAH",PR!$BG270,IF(J272="TAYLEK",PR!$BH270,IF(J272="TEMITA",PR!$BI270,IF(J272="THL",PR!$BJ270,IF(J272="UBASTIC",PR!$BK270,IF(J272="UNION",PR!$BL270,IF(J272="UNIQUE",PR!$BM270,IF(J272="VIXA",PR!$BN270,IF(J272="WWCV",PR!$BO270,IF(J272="ZOLON",PR!$BP270,"-"))))))))))))))))))))))))))))))))))))))))))))))))))))))))))))))))</f>
        <v>-</v>
      </c>
      <c r="J272" s="102">
        <f>EV!N357</f>
        <v>0</v>
      </c>
      <c r="K272" s="433"/>
      <c r="L272" s="183" t="b">
        <f>IF(K272&gt;0,IF(K272="ALPHA",PR!$E270,IF(K272="ASSENE",PR!$F270,IF(K272="BIOFEM",PR!$G270,IF(K272="BIOMED",PR!$H270,IF(K272="CHI",PR!$I270,IF(K272="CLARION",PR!$J270,IF(K272="CODIX",PR!$K270,IF(K272="COSMADE",PR!$L270,IF(K272="SANCON",PR!$M270,IF(K272="DEVON",PR!$N270,IF(K272="DORTEMAG",PR!$O270,IF(K272="DGF",PR!$P270,IF(K272="DYNAMIC",PR!$Q270,IF(K272="EMZOR",PR!$R270,IF(K272="EUMATT",PR!$S270,IF(K272="FIDSON",PR!$T270,IF(K272="FCGLOBAL",PR!$U270,IF(K272="GENEITH",PR!$V270,IF(K272="GINOS",PR!$W270,IF(K272="GSK",PR!$X270,IF(K272="GLOBORG",PR!$Y270,IF(K272="GOODNEWS",PR!$Z270,IF(K272="GREENLIFE",PR!$AA270,IF(K272="HLINE",PR!$AB270,IF(K272="ROTECH",PR!$AC270,IF(K272="ISN",PR!$AD270,IF(K272="JAWA",PR!$AE270,IF(K272="LAYO",PR!$AF270,IF(K272="LEADWAY",PR!$AG270,IF(K272="LHV",PR!$AH270,IF(K272="MANOLA",PR!$AI270,IF(K272="MARCSON",PR!$AJ270,IF(K272="M&amp;B",PR!$AK270,IF(K272="MTRUST",PR!$AL270,IF(K272="MWORLD",PR!$AM270,IF(K272="MEGA",PR!$AN270,IF(K272="MICRONOVA",PR!$AO270,IF(K272="MFLASH",PR!$AP270,IF(K272="MORISON",PR!$AQ270,IF(K272="NEMEL",PR!$AR270,IF(K272="NHP",PR!$AS270,IF(K272="NHC",PR!$AT270,IF(K272="OLEAF",PR!$AU270,IF(K272="OCULUS",PR!$AV270,IF(K272="PACIFIC",PR!$AW270,IF(K272="PHAMATEX",PR!$AX270,IF(K272="PETHICS",PR!$AY270,IF(K272="PHILIPS",PR!$AZ270,IF(K272="RANBAXY",PR!$BA270,IF(K272="REALS",PR!$BB270,IF(K272="ROYAL",PR!$BC270,IF(K272="SAM",PR!$BD270,IF(K272="SEAGREEN",PR!$BE270,IF(K272="SKG",PR!$BF270,IF(K272="TAH",PR!$BG270,IF(K272="TAYLEK",PR!$BH270,IF(K272="TEMITA",PR!$BI270,IF(K272="THL",PR!$BJ270,IF(K272="UBASTIC",PR!$BK270,IF(K272="UNION",PR!$BL270,IF(K272="UNIQUE",PR!$BM270,IF(K272="VIXA",PR!$BN270,IF(K272="WWCV",PR!$BO270,IF(K272="ZOLON",PR!$BP270,"-")))))))))))))))))))))))))))))))))))))))))))))))))))))))))))))))))</f>
        <v>0</v>
      </c>
    </row>
    <row r="273" spans="1:12" ht="18.75" x14ac:dyDescent="0.3">
      <c r="A273" s="430">
        <f>PR!A271</f>
        <v>247</v>
      </c>
      <c r="B273" s="15" t="str">
        <f>PR!B271</f>
        <v>ERYTHROMYCIN 125MG/5ML SUSP</v>
      </c>
      <c r="C273" s="113" t="str">
        <f>PR!D271</f>
        <v>BOTT</v>
      </c>
      <c r="D273" s="113">
        <f>PR!C271</f>
        <v>800</v>
      </c>
      <c r="E273" s="108">
        <f>IF(F273="ALPHA",PR!$E271,IF(F273="ASSENE",PR!$F271,IF(F273="BIOFEM",PR!$G271,IF(F273="BIOMED",PR!$H271,IF(F273="CHI",PR!$I271,IF(F273="CLARION",PR!$J271,IF(F273="CODIX",PR!$K271,IF(F273="COSMADE",PR!$L271,IF(F273="SANCON",PR!$M271,IF(F273="DEVON",PR!$N271,IF(F273="DORTEMAG",PR!$O271,IF(F273="DGF",PR!$P271,IF(F273="DYNAMIC",PR!$Q271,IF(F273="EMZOR",PR!$R271,IF(F273="EUMATT",PR!$S271,IF(F273="FIDSON",PR!$T271,IF(F273="FCGLOBAL",PR!$U271,IF(F273="GENEITH",PR!$V271,IF(F273="GINOS",PR!$W271,IF(F273="GSK",PR!$X271,IF(F273="GLOBORG",PR!$Y271,IF(F273="GOODNEWS",PR!$Z271,IF(F273="GREENLIFE",PR!$AA271,IF(F273="HLINE",PR!$AB271,IF(F273="ROTECH",PR!$AC271,IF(F273="ISN",PR!$AD271,IF(F273="JAWA",PR!$AE271,IF(F273="LAYO",PR!$AF271,IF(F273="LEADWAY",PR!$AG271,IF(F273="LHV",PR!$AH271,IF(F273="MANOLA",PR!$AI271,IF(F273="MARCSON",PR!$AJ271,IF(F273="M&amp;B",PR!$AK271,IF(F273="MTRUST",PR!$AL271,IF(F273="MWORLD",PR!$AM271,IF(F273="MEGA",PR!$AN271,IF(F273="MICRONOVA",PR!$AO271,IF(F273="MFLASH",PR!$AP271,IF(F273="MORISON",PR!$AQ271,IF(F273="NEMEL",PR!$AR271,IF(F273="NHP",PR!$AS271,IF(F273="NHC",PR!$AT271,IF(F273="OLEAF",PR!$AU271,IF(F273="OCULUS",PR!$AV271,IF(F273="PACIFIC",PR!$AW271,IF(F273="PHAMATEX",PR!$AX271,IF(F273="PETHICS",PR!$AY271,IF(F273="PHILIPS",PR!$AZ271,IF(F273="RANBAXY",PR!$BA271,IF(F273="REALS",PR!$BB271,IF(F273="ROYAL",PR!$BC271,IF(F273="SAM",PR!$BD271,IF(F273="SEAGREEN",PR!$BE271,IF(F273="SKG",PR!$BF271,IF(F273="TAH",PR!$BG271,IF(F273="TAYLEK",PR!$BH271,IF(F273="TEMITA",PR!$BI271,IF(F273="THL",PR!$BJ271,IF(F273="UBASTIC",PR!$BK271,IF(F273="UNION",PR!$BL271,IF(F273="UNIQUE",PR!$BM271,IF(F273="VIXA",PR!$BN271,IF(F273="WWCV",PR!$BO271,IF(F273="ZOLON",PR!$BP271,"-"))))))))))))))))))))))))))))))))))))))))))))))))))))))))))))))))</f>
        <v>170</v>
      </c>
      <c r="F273" s="102" t="str">
        <f>EV!L358</f>
        <v>EUMATT</v>
      </c>
      <c r="G273" s="108">
        <f>IF(H273="ALPHA",PR!$E271,IF(H273="ASSENE",PR!$F271,IF(H273="BIOFEM",PR!$G271,IF(H273="BIOMED",PR!$H271,IF(H273="CHI",PR!$I271,IF(H273="CLARION",PR!$J271,IF(H273="CODIX",PR!$K271,IF(H273="COSMADE",PR!$L271,IF(H273="SANCON",PR!$M271,IF(H273="DEVON",PR!$N271,IF(H273="DORTEMAG",PR!$O271,IF(H273="DGF",PR!$P271,IF(H273="DYNAMIC",PR!$Q271,IF(H273="EMZOR",PR!$R271,IF(H273="EUMATT",PR!$S271,IF(H273="FIDSON",PR!$T271,IF(H273="FCGLOBAL",PR!$U271,IF(H273="GENEITH",PR!$V271,IF(H273="GINOS",PR!$W271,IF(H273="GSK",PR!$X271,IF(H273="GLOBORG",PR!$Y271,IF(H273="GOODNEWS",PR!$Z271,IF(H273="GREENLIFE",PR!$AA271,IF(H273="HLINE",PR!$AB271,IF(H273="ROTECH",PR!$AC271,IF(H273="ISN",PR!$AD271,IF(H273="JAWA",PR!$AE271,IF(H273="LAYO",PR!$AF271,IF(H273="LEADWAY",PR!$AG271,IF(H273="LHV",PR!$AH271,IF(H273="MANOLA",PR!$AI271,IF(H273="MARCSON",PR!$AJ271,IF(H273="M&amp;B",PR!$AK271,IF(H273="MTRUST",PR!$AL271,IF(H273="MWORLD",PR!$AM271,IF(H273="MEGA",PR!$AN271,IF(H273="MICRONOVA",PR!$AO271,IF(H273="MFLASH",PR!$AP271,IF(H273="MORISON",PR!$AQ271,IF(H273="NEMEL",PR!$AR271,IF(H273="NHP",PR!$AS271,IF(H273="NHC",PR!$AT271,IF(H273="OLEAF",PR!$AU271,IF(H273="OCULUS",PR!$AV271,IF(H273="PACIFIC",PR!$AW271,IF(H273="PHAMATEX",PR!$AX271,IF(H273="PETHICS",PR!$AY271,IF(H273="PHILIPS",PR!$AZ271,IF(H273="RANBAXY",PR!$BA271,IF(H273="REALS",PR!$BB271,IF(H273="ROYAL",PR!$BC271,IF(H273="SAM",PR!$BD271,IF(H273="SEAGREEN",PR!$BE271,IF(H273="SKG",PR!$BF271,IF(H273="TAH",PR!$BG271,IF(H273="TAYLEK",PR!$BH271,IF(H273="TEMITA",PR!$BI271,IF(H273="THL",PR!$BJ271,IF(H273="UBASTIC",PR!$BK271,IF(H273="UNION",PR!$BL271,IF(H273="UNIQUE",PR!$BM271,IF(H273="VIXA",PR!$BN271,IF(H273="WWCV",PR!$BO271,IF(H273="ZOLON",PR!$BP271,"-"))))))))))))))))))))))))))))))))))))))))))))))))))))))))))))))))</f>
        <v>342.10199999999998</v>
      </c>
      <c r="H273" s="102" t="str">
        <f>EV!M358</f>
        <v>EMZOR</v>
      </c>
      <c r="I273" s="108">
        <f>IF(J273="ALPHA",PR!$E271,IF(J273="ASSENE",PR!$F271,IF(J273="BIOFEM",PR!$G271,IF(J273="BIOMED",PR!$H271,IF(J273="CHI",PR!$I271,IF(J273="CLARION",PR!$J271,IF(J273="CODIX",PR!$K271,IF(J273="COSMADE",PR!$L271,IF(J273="SANCON",PR!$M271,IF(J273="DEVON",PR!$N271,IF(J273="DORTEMAG",PR!$O271,IF(J273="DGF",PR!$P271,IF(J273="DYNAMIC",PR!$Q271,IF(J273="EMZOR",PR!$R271,IF(J273="EUMATT",PR!$S271,IF(J273="FIDSON",PR!$T271,IF(J273="FCGLOBAL",PR!$U271,IF(J273="GENEITH",PR!$V271,IF(J273="GINOS",PR!$W271,IF(J273="GSK",PR!$X271,IF(J273="GLOBORG",PR!$Y271,IF(J273="GOODNEWS",PR!$Z271,IF(J273="GREENLIFE",PR!$AA271,IF(J273="HLINE",PR!$AB271,IF(J273="ROTECH",PR!$AC271,IF(J273="ISN",PR!$AD271,IF(J273="JAWA",PR!$AE271,IF(J273="LAYO",PR!$AF271,IF(J273="LEADWAY",PR!$AG271,IF(J273="LHV",PR!$AH271,IF(J273="MANOLA",PR!$AI271,IF(J273="MARCSON",PR!$AJ271,IF(J273="M&amp;B",PR!$AK271,IF(J273="MTRUST",PR!$AL271,IF(J273="MWORLD",PR!$AM271,IF(J273="MEGA",PR!$AN271,IF(J273="MICRONOVA",PR!$AO271,IF(J273="MFLASH",PR!$AP271,IF(J273="MORISON",PR!$AQ271,IF(J273="NEMEL",PR!$AR271,IF(J273="NHP",PR!$AS271,IF(J273="NHC",PR!$AT271,IF(J273="OLEAF",PR!$AU271,IF(J273="OCULUS",PR!$AV271,IF(J273="PACIFIC",PR!$AW271,IF(J273="PHAMATEX",PR!$AX271,IF(J273="PETHICS",PR!$AY271,IF(J273="PHILIPS",PR!$AZ271,IF(J273="RANBAXY",PR!$BA271,IF(J273="REALS",PR!$BB271,IF(J273="ROYAL",PR!$BC271,IF(J273="SAM",PR!$BD271,IF(J273="SEAGREEN",PR!$BE271,IF(J273="SKG",PR!$BF271,IF(J273="TAH",PR!$BG271,IF(J273="TAYLEK",PR!$BH271,IF(J273="TEMITA",PR!$BI271,IF(J273="THL",PR!$BJ271,IF(J273="UBASTIC",PR!$BK271,IF(J273="UNION",PR!$BL271,IF(J273="UNIQUE",PR!$BM271,IF(J273="VIXA",PR!$BN271,IF(J273="WWCV",PR!$BO271,IF(J273="ZOLON",PR!$BP271,"-"))))))))))))))))))))))))))))))))))))))))))))))))))))))))))))))))</f>
        <v>400</v>
      </c>
      <c r="J273" s="102" t="str">
        <f>EV!N358</f>
        <v>GENEITH</v>
      </c>
      <c r="K273" s="433" t="s">
        <v>2128</v>
      </c>
      <c r="L273" s="183" t="str">
        <f>IF(K273&gt;0,IF(K273="ALPHA",PR!$E271,IF(K273="ASSENE",PR!$F271,IF(K273="BIOFEM",PR!$G271,IF(K273="BIOMED",PR!$H271,IF(K273="CHI",PR!$I271,IF(K273="CLARION",PR!$J271,IF(K273="CODIX",PR!$K271,IF(K273="COSMADE",PR!$L271,IF(K273="SANCON",PR!$M271,IF(K273="DEVON",PR!$N271,IF(K273="DORTEMAG",PR!$O271,IF(K273="DGF",PR!$P271,IF(K273="DYNAMIC",PR!$Q271,IF(K273="EMZOR",PR!$R271,IF(K273="EUMATT",PR!$S271,IF(K273="FIDSON",PR!$T271,IF(K273="FCGLOBAL",PR!$U271,IF(K273="GENEITH",PR!$V271,IF(K273="GINOS",PR!$W271,IF(K273="GSK",PR!$X271,IF(K273="GLOBORG",PR!$Y271,IF(K273="GOODNEWS",PR!$Z271,IF(K273="GREENLIFE",PR!$AA271,IF(K273="HLINE",PR!$AB271,IF(K273="ROTECH",PR!$AC271,IF(K273="ISN",PR!$AD271,IF(K273="JAWA",PR!$AE271,IF(K273="LAYO",PR!$AF271,IF(K273="LEADWAY",PR!$AG271,IF(K273="LHV",PR!$AH271,IF(K273="MANOLA",PR!$AI271,IF(K273="MARCSON",PR!$AJ271,IF(K273="M&amp;B",PR!$AK271,IF(K273="MTRUST",PR!$AL271,IF(K273="MWORLD",PR!$AM271,IF(K273="MEGA",PR!$AN271,IF(K273="MICRONOVA",PR!$AO271,IF(K273="MFLASH",PR!$AP271,IF(K273="MORISON",PR!$AQ271,IF(K273="NEMEL",PR!$AR271,IF(K273="NHP",PR!$AS271,IF(K273="NHC",PR!$AT271,IF(K273="OLEAF",PR!$AU271,IF(K273="OCULUS",PR!$AV271,IF(K273="PACIFIC",PR!$AW271,IF(K273="PHAMATEX",PR!$AX271,IF(K273="PETHICS",PR!$AY271,IF(K273="PHILIPS",PR!$AZ271,IF(K273="RANBAXY",PR!$BA271,IF(K273="REALS",PR!$BB271,IF(K273="ROYAL",PR!$BC271,IF(K273="SAM",PR!$BD271,IF(K273="SEAGREEN",PR!$BE271,IF(K273="SKG",PR!$BF271,IF(K273="TAH",PR!$BG271,IF(K273="TAYLEK",PR!$BH271,IF(K273="TEMITA",PR!$BI271,IF(K273="THL",PR!$BJ271,IF(K273="UBASTIC",PR!$BK271,IF(K273="UNION",PR!$BL271,IF(K273="UNIQUE",PR!$BM271,IF(K273="VIXA",PR!$BN271,IF(K273="WWCV",PR!$BO271,IF(K273="ZOLON",PR!$BP271,"-")))))))))))))))))))))))))))))))))))))))))))))))))))))))))))))))))</f>
        <v>-</v>
      </c>
    </row>
    <row r="274" spans="1:12" ht="18.75" x14ac:dyDescent="0.3">
      <c r="A274" s="430">
        <f>PR!A272</f>
        <v>248</v>
      </c>
      <c r="B274" s="15" t="str">
        <f>PR!B272</f>
        <v>ERYTHROMYCIN 250MG TAB</v>
      </c>
      <c r="C274" s="113">
        <f>PR!D272</f>
        <v>100</v>
      </c>
      <c r="D274" s="113">
        <f>PR!C272</f>
        <v>40</v>
      </c>
      <c r="E274" s="108">
        <f>IF(F274="ALPHA",PR!$E272,IF(F274="ASSENE",PR!$F272,IF(F274="BIOFEM",PR!$G272,IF(F274="BIOMED",PR!$H272,IF(F274="CHI",PR!$I272,IF(F274="CLARION",PR!$J272,IF(F274="CODIX",PR!$K272,IF(F274="COSMADE",PR!$L272,IF(F274="SANCON",PR!$M272,IF(F274="DEVON",PR!$N272,IF(F274="DORTEMAG",PR!$O272,IF(F274="DGF",PR!$P272,IF(F274="DYNAMIC",PR!$Q272,IF(F274="EMZOR",PR!$R272,IF(F274="EUMATT",PR!$S272,IF(F274="FIDSON",PR!$T272,IF(F274="FCGLOBAL",PR!$U272,IF(F274="GENEITH",PR!$V272,IF(F274="GINOS",PR!$W272,IF(F274="GSK",PR!$X272,IF(F274="GLOBORG",PR!$Y272,IF(F274="GOODNEWS",PR!$Z272,IF(F274="GREENLIFE",PR!$AA272,IF(F274="HLINE",PR!$AB272,IF(F274="ROTECH",PR!$AC272,IF(F274="ISN",PR!$AD272,IF(F274="JAWA",PR!$AE272,IF(F274="LAYO",PR!$AF272,IF(F274="LEADWAY",PR!$AG272,IF(F274="LHV",PR!$AH272,IF(F274="MANOLA",PR!$AI272,IF(F274="MARCSON",PR!$AJ272,IF(F274="M&amp;B",PR!$AK272,IF(F274="MTRUST",PR!$AL272,IF(F274="MWORLD",PR!$AM272,IF(F274="MEGA",PR!$AN272,IF(F274="MICRONOVA",PR!$AO272,IF(F274="MFLASH",PR!$AP272,IF(F274="MORISON",PR!$AQ272,IF(F274="NEMEL",PR!$AR272,IF(F274="NHP",PR!$AS272,IF(F274="NHC",PR!$AT272,IF(F274="OLEAF",PR!$AU272,IF(F274="OCULUS",PR!$AV272,IF(F274="PACIFIC",PR!$AW272,IF(F274="PHAMATEX",PR!$AX272,IF(F274="PETHICS",PR!$AY272,IF(F274="PHILIPS",PR!$AZ272,IF(F274="RANBAXY",PR!$BA272,IF(F274="REALS",PR!$BB272,IF(F274="ROYAL",PR!$BC272,IF(F274="SAM",PR!$BD272,IF(F274="SEAGREEN",PR!$BE272,IF(F274="SKG",PR!$BF272,IF(F274="TAH",PR!$BG272,IF(F274="TAYLEK",PR!$BH272,IF(F274="TEMITA",PR!$BI272,IF(F274="THL",PR!$BJ272,IF(F274="UBASTIC",PR!$BK272,IF(F274="UNION",PR!$BL272,IF(F274="UNIQUE",PR!$BM272,IF(F274="VIXA",PR!$BN272,IF(F274="WWCV",PR!$BO272,IF(F274="ZOLON",PR!$BP272,"-"))))))))))))))))))))))))))))))))))))))))))))))))))))))))))))))))</f>
        <v>1400</v>
      </c>
      <c r="F274" s="102" t="str">
        <f>EV!L359</f>
        <v>EUMATT</v>
      </c>
      <c r="G274" s="108" t="str">
        <f>IF(H274="ALPHA",PR!$E272,IF(H274="ASSENE",PR!$F272,IF(H274="BIOFEM",PR!$G272,IF(H274="BIOMED",PR!$H272,IF(H274="CHI",PR!$I272,IF(H274="CLARION",PR!$J272,IF(H274="CODIX",PR!$K272,IF(H274="COSMADE",PR!$L272,IF(H274="SANCON",PR!$M272,IF(H274="DEVON",PR!$N272,IF(H274="DORTEMAG",PR!$O272,IF(H274="DGF",PR!$P272,IF(H274="DYNAMIC",PR!$Q272,IF(H274="EMZOR",PR!$R272,IF(H274="EUMATT",PR!$S272,IF(H274="FIDSON",PR!$T272,IF(H274="FCGLOBAL",PR!$U272,IF(H274="GENEITH",PR!$V272,IF(H274="GINOS",PR!$W272,IF(H274="GSK",PR!$X272,IF(H274="GLOBORG",PR!$Y272,IF(H274="GOODNEWS",PR!$Z272,IF(H274="GREENLIFE",PR!$AA272,IF(H274="HLINE",PR!$AB272,IF(H274="ROTECH",PR!$AC272,IF(H274="ISN",PR!$AD272,IF(H274="JAWA",PR!$AE272,IF(H274="LAYO",PR!$AF272,IF(H274="LEADWAY",PR!$AG272,IF(H274="LHV",PR!$AH272,IF(H274="MANOLA",PR!$AI272,IF(H274="MARCSON",PR!$AJ272,IF(H274="M&amp;B",PR!$AK272,IF(H274="MTRUST",PR!$AL272,IF(H274="MWORLD",PR!$AM272,IF(H274="MEGA",PR!$AN272,IF(H274="MICRONOVA",PR!$AO272,IF(H274="MFLASH",PR!$AP272,IF(H274="MORISON",PR!$AQ272,IF(H274="NEMEL",PR!$AR272,IF(H274="NHP",PR!$AS272,IF(H274="NHC",PR!$AT272,IF(H274="OLEAF",PR!$AU272,IF(H274="OCULUS",PR!$AV272,IF(H274="PACIFIC",PR!$AW272,IF(H274="PHAMATEX",PR!$AX272,IF(H274="PETHICS",PR!$AY272,IF(H274="PHILIPS",PR!$AZ272,IF(H274="RANBAXY",PR!$BA272,IF(H274="REALS",PR!$BB272,IF(H274="ROYAL",PR!$BC272,IF(H274="SAM",PR!$BD272,IF(H274="SEAGREEN",PR!$BE272,IF(H274="SKG",PR!$BF272,IF(H274="TAH",PR!$BG272,IF(H274="TAYLEK",PR!$BH272,IF(H274="TEMITA",PR!$BI272,IF(H274="THL",PR!$BJ272,IF(H274="UBASTIC",PR!$BK272,IF(H274="UNION",PR!$BL272,IF(H274="UNIQUE",PR!$BM272,IF(H274="VIXA",PR!$BN272,IF(H274="WWCV",PR!$BO272,IF(H274="ZOLON",PR!$BP272,"-"))))))))))))))))))))))))))))))))))))))))))))))))))))))))))))))))</f>
        <v>-</v>
      </c>
      <c r="H274" s="102">
        <f>EV!M359</f>
        <v>0</v>
      </c>
      <c r="I274" s="108" t="str">
        <f>IF(J274="ALPHA",PR!$E272,IF(J274="ASSENE",PR!$F272,IF(J274="BIOFEM",PR!$G272,IF(J274="BIOMED",PR!$H272,IF(J274="CHI",PR!$I272,IF(J274="CLARION",PR!$J272,IF(J274="CODIX",PR!$K272,IF(J274="COSMADE",PR!$L272,IF(J274="SANCON",PR!$M272,IF(J274="DEVON",PR!$N272,IF(J274="DORTEMAG",PR!$O272,IF(J274="DGF",PR!$P272,IF(J274="DYNAMIC",PR!$Q272,IF(J274="EMZOR",PR!$R272,IF(J274="EUMATT",PR!$S272,IF(J274="FIDSON",PR!$T272,IF(J274="FCGLOBAL",PR!$U272,IF(J274="GENEITH",PR!$V272,IF(J274="GINOS",PR!$W272,IF(J274="GSK",PR!$X272,IF(J274="GLOBORG",PR!$Y272,IF(J274="GOODNEWS",PR!$Z272,IF(J274="GREENLIFE",PR!$AA272,IF(J274="HLINE",PR!$AB272,IF(J274="ROTECH",PR!$AC272,IF(J274="ISN",PR!$AD272,IF(J274="JAWA",PR!$AE272,IF(J274="LAYO",PR!$AF272,IF(J274="LEADWAY",PR!$AG272,IF(J274="LHV",PR!$AH272,IF(J274="MANOLA",PR!$AI272,IF(J274="MARCSON",PR!$AJ272,IF(J274="M&amp;B",PR!$AK272,IF(J274="MTRUST",PR!$AL272,IF(J274="MWORLD",PR!$AM272,IF(J274="MEGA",PR!$AN272,IF(J274="MICRONOVA",PR!$AO272,IF(J274="MFLASH",PR!$AP272,IF(J274="MORISON",PR!$AQ272,IF(J274="NEMEL",PR!$AR272,IF(J274="NHP",PR!$AS272,IF(J274="NHC",PR!$AT272,IF(J274="OLEAF",PR!$AU272,IF(J274="OCULUS",PR!$AV272,IF(J274="PACIFIC",PR!$AW272,IF(J274="PHAMATEX",PR!$AX272,IF(J274="PETHICS",PR!$AY272,IF(J274="PHILIPS",PR!$AZ272,IF(J274="RANBAXY",PR!$BA272,IF(J274="REALS",PR!$BB272,IF(J274="ROYAL",PR!$BC272,IF(J274="SAM",PR!$BD272,IF(J274="SEAGREEN",PR!$BE272,IF(J274="SKG",PR!$BF272,IF(J274="TAH",PR!$BG272,IF(J274="TAYLEK",PR!$BH272,IF(J274="TEMITA",PR!$BI272,IF(J274="THL",PR!$BJ272,IF(J274="UBASTIC",PR!$BK272,IF(J274="UNION",PR!$BL272,IF(J274="UNIQUE",PR!$BM272,IF(J274="VIXA",PR!$BN272,IF(J274="WWCV",PR!$BO272,IF(J274="ZOLON",PR!$BP272,"-"))))))))))))))))))))))))))))))))))))))))))))))))))))))))))))))))</f>
        <v>-</v>
      </c>
      <c r="J274" s="102">
        <f>EV!N359</f>
        <v>0</v>
      </c>
      <c r="K274" s="433" t="s">
        <v>821</v>
      </c>
      <c r="L274" s="183">
        <f>IF(K274&gt;0,IF(K274="ALPHA",PR!$E272,IF(K274="ASSENE",PR!$F272,IF(K274="BIOFEM",PR!$G272,IF(K274="BIOMED",PR!$H272,IF(K274="CHI",PR!$I272,IF(K274="CLARION",PR!$J272,IF(K274="CODIX",PR!$K272,IF(K274="COSMADE",PR!$L272,IF(K274="SANCON",PR!$M272,IF(K274="DEVON",PR!$N272,IF(K274="DORTEMAG",PR!$O272,IF(K274="DGF",PR!$P272,IF(K274="DYNAMIC",PR!$Q272,IF(K274="EMZOR",PR!$R272,IF(K274="EUMATT",PR!$S272,IF(K274="FIDSON",PR!$T272,IF(K274="FCGLOBAL",PR!$U272,IF(K274="GENEITH",PR!$V272,IF(K274="GINOS",PR!$W272,IF(K274="GSK",PR!$X272,IF(K274="GLOBORG",PR!$Y272,IF(K274="GOODNEWS",PR!$Z272,IF(K274="GREENLIFE",PR!$AA272,IF(K274="HLINE",PR!$AB272,IF(K274="ROTECH",PR!$AC272,IF(K274="ISN",PR!$AD272,IF(K274="JAWA",PR!$AE272,IF(K274="LAYO",PR!$AF272,IF(K274="LEADWAY",PR!$AG272,IF(K274="LHV",PR!$AH272,IF(K274="MANOLA",PR!$AI272,IF(K274="MARCSON",PR!$AJ272,IF(K274="M&amp;B",PR!$AK272,IF(K274="MTRUST",PR!$AL272,IF(K274="MWORLD",PR!$AM272,IF(K274="MEGA",PR!$AN272,IF(K274="MICRONOVA",PR!$AO272,IF(K274="MFLASH",PR!$AP272,IF(K274="MORISON",PR!$AQ272,IF(K274="NEMEL",PR!$AR272,IF(K274="NHP",PR!$AS272,IF(K274="NHC",PR!$AT272,IF(K274="OLEAF",PR!$AU272,IF(K274="OCULUS",PR!$AV272,IF(K274="PACIFIC",PR!$AW272,IF(K274="PHAMATEX",PR!$AX272,IF(K274="PETHICS",PR!$AY272,IF(K274="PHILIPS",PR!$AZ272,IF(K274="RANBAXY",PR!$BA272,IF(K274="REALS",PR!$BB272,IF(K274="ROYAL",PR!$BC272,IF(K274="SAM",PR!$BD272,IF(K274="SEAGREEN",PR!$BE272,IF(K274="SKG",PR!$BF272,IF(K274="TAH",PR!$BG272,IF(K274="TAYLEK",PR!$BH272,IF(K274="TEMITA",PR!$BI272,IF(K274="THL",PR!$BJ272,IF(K274="UBASTIC",PR!$BK272,IF(K274="UNION",PR!$BL272,IF(K274="UNIQUE",PR!$BM272,IF(K274="VIXA",PR!$BN272,IF(K274="WWCV",PR!$BO272,IF(K274="ZOLON",PR!$BP272,"-")))))))))))))))))))))))))))))))))))))))))))))))))))))))))))))))))</f>
        <v>1400</v>
      </c>
    </row>
    <row r="275" spans="1:12" ht="18.75" x14ac:dyDescent="0.3">
      <c r="A275" s="430">
        <f>PR!A273</f>
        <v>249</v>
      </c>
      <c r="B275" s="15" t="str">
        <f>PR!B273</f>
        <v>ERYTHROMYCIN 500MG TAB</v>
      </c>
      <c r="C275" s="113">
        <f>PR!D273</f>
        <v>100</v>
      </c>
      <c r="D275" s="113">
        <f>PR!C273</f>
        <v>800</v>
      </c>
      <c r="E275" s="108">
        <f>IF(F275="ALPHA",PR!$E273,IF(F275="ASSENE",PR!$F273,IF(F275="BIOFEM",PR!$G273,IF(F275="BIOMED",PR!$H273,IF(F275="CHI",PR!$I273,IF(F275="CLARION",PR!$J273,IF(F275="CODIX",PR!$K273,IF(F275="COSMADE",PR!$L273,IF(F275="SANCON",PR!$M273,IF(F275="DEVON",PR!$N273,IF(F275="DORTEMAG",PR!$O273,IF(F275="DGF",PR!$P273,IF(F275="DYNAMIC",PR!$Q273,IF(F275="EMZOR",PR!$R273,IF(F275="EUMATT",PR!$S273,IF(F275="FIDSON",PR!$T273,IF(F275="FCGLOBAL",PR!$U273,IF(F275="GENEITH",PR!$V273,IF(F275="GINOS",PR!$W273,IF(F275="GSK",PR!$X273,IF(F275="GLOBORG",PR!$Y273,IF(F275="GOODNEWS",PR!$Z273,IF(F275="GREENLIFE",PR!$AA273,IF(F275="HLINE",PR!$AB273,IF(F275="ROTECH",PR!$AC273,IF(F275="ISN",PR!$AD273,IF(F275="JAWA",PR!$AE273,IF(F275="LAYO",PR!$AF273,IF(F275="LEADWAY",PR!$AG273,IF(F275="LHV",PR!$AH273,IF(F275="MANOLA",PR!$AI273,IF(F275="MARCSON",PR!$AJ273,IF(F275="M&amp;B",PR!$AK273,IF(F275="MTRUST",PR!$AL273,IF(F275="MWORLD",PR!$AM273,IF(F275="MEGA",PR!$AN273,IF(F275="MICRONOVA",PR!$AO273,IF(F275="MFLASH",PR!$AP273,IF(F275="MORISON",PR!$AQ273,IF(F275="NEMEL",PR!$AR273,IF(F275="NHP",PR!$AS273,IF(F275="NHC",PR!$AT273,IF(F275="OLEAF",PR!$AU273,IF(F275="OCULUS",PR!$AV273,IF(F275="PACIFIC",PR!$AW273,IF(F275="PHAMATEX",PR!$AX273,IF(F275="PETHICS",PR!$AY273,IF(F275="PHILIPS",PR!$AZ273,IF(F275="RANBAXY",PR!$BA273,IF(F275="REALS",PR!$BB273,IF(F275="ROYAL",PR!$BC273,IF(F275="SAM",PR!$BD273,IF(F275="SEAGREEN",PR!$BE273,IF(F275="SKG",PR!$BF273,IF(F275="TAH",PR!$BG273,IF(F275="TAYLEK",PR!$BH273,IF(F275="TEMITA",PR!$BI273,IF(F275="THL",PR!$BJ273,IF(F275="UBASTIC",PR!$BK273,IF(F275="UNION",PR!$BL273,IF(F275="UNIQUE",PR!$BM273,IF(F275="VIXA",PR!$BN273,IF(F275="WWCV",PR!$BO273,IF(F275="ZOLON",PR!$BP273,"-"))))))))))))))))))))))))))))))))))))))))))))))))))))))))))))))))</f>
        <v>2300</v>
      </c>
      <c r="F275" s="102" t="str">
        <f>EV!L360</f>
        <v>EUMATT</v>
      </c>
      <c r="G275" s="108">
        <f>IF(H275="ALPHA",PR!$E273,IF(H275="ASSENE",PR!$F273,IF(H275="BIOFEM",PR!$G273,IF(H275="BIOMED",PR!$H273,IF(H275="CHI",PR!$I273,IF(H275="CLARION",PR!$J273,IF(H275="CODIX",PR!$K273,IF(H275="COSMADE",PR!$L273,IF(H275="SANCON",PR!$M273,IF(H275="DEVON",PR!$N273,IF(H275="DORTEMAG",PR!$O273,IF(H275="DGF",PR!$P273,IF(H275="DYNAMIC",PR!$Q273,IF(H275="EMZOR",PR!$R273,IF(H275="EUMATT",PR!$S273,IF(H275="FIDSON",PR!$T273,IF(H275="FCGLOBAL",PR!$U273,IF(H275="GENEITH",PR!$V273,IF(H275="GINOS",PR!$W273,IF(H275="GSK",PR!$X273,IF(H275="GLOBORG",PR!$Y273,IF(H275="GOODNEWS",PR!$Z273,IF(H275="GREENLIFE",PR!$AA273,IF(H275="HLINE",PR!$AB273,IF(H275="ROTECH",PR!$AC273,IF(H275="ISN",PR!$AD273,IF(H275="JAWA",PR!$AE273,IF(H275="LAYO",PR!$AF273,IF(H275="LEADWAY",PR!$AG273,IF(H275="LHV",PR!$AH273,IF(H275="MANOLA",PR!$AI273,IF(H275="MARCSON",PR!$AJ273,IF(H275="M&amp;B",PR!$AK273,IF(H275="MTRUST",PR!$AL273,IF(H275="MWORLD",PR!$AM273,IF(H275="MEGA",PR!$AN273,IF(H275="MICRONOVA",PR!$AO273,IF(H275="MFLASH",PR!$AP273,IF(H275="MORISON",PR!$AQ273,IF(H275="NEMEL",PR!$AR273,IF(H275="NHP",PR!$AS273,IF(H275="NHC",PR!$AT273,IF(H275="OLEAF",PR!$AU273,IF(H275="OCULUS",PR!$AV273,IF(H275="PACIFIC",PR!$AW273,IF(H275="PHAMATEX",PR!$AX273,IF(H275="PETHICS",PR!$AY273,IF(H275="PHILIPS",PR!$AZ273,IF(H275="RANBAXY",PR!$BA273,IF(H275="REALS",PR!$BB273,IF(H275="ROYAL",PR!$BC273,IF(H275="SAM",PR!$BD273,IF(H275="SEAGREEN",PR!$BE273,IF(H275="SKG",PR!$BF273,IF(H275="TAH",PR!$BG273,IF(H275="TAYLEK",PR!$BH273,IF(H275="TEMITA",PR!$BI273,IF(H275="THL",PR!$BJ273,IF(H275="UBASTIC",PR!$BK273,IF(H275="UNION",PR!$BL273,IF(H275="UNIQUE",PR!$BM273,IF(H275="VIXA",PR!$BN273,IF(H275="WWCV",PR!$BO273,IF(H275="ZOLON",PR!$BP273,"-"))))))))))))))))))))))))))))))))))))))))))))))))))))))))))))))))</f>
        <v>2520</v>
      </c>
      <c r="H275" s="102" t="str">
        <f>EV!M360</f>
        <v>PHAMATEX</v>
      </c>
      <c r="I275" s="108">
        <f>IF(J275="ALPHA",PR!$E273,IF(J275="ASSENE",PR!$F273,IF(J275="BIOFEM",PR!$G273,IF(J275="BIOMED",PR!$H273,IF(J275="CHI",PR!$I273,IF(J275="CLARION",PR!$J273,IF(J275="CODIX",PR!$K273,IF(J275="COSMADE",PR!$L273,IF(J275="SANCON",PR!$M273,IF(J275="DEVON",PR!$N273,IF(J275="DORTEMAG",PR!$O273,IF(J275="DGF",PR!$P273,IF(J275="DYNAMIC",PR!$Q273,IF(J275="EMZOR",PR!$R273,IF(J275="EUMATT",PR!$S273,IF(J275="FIDSON",PR!$T273,IF(J275="FCGLOBAL",PR!$U273,IF(J275="GENEITH",PR!$V273,IF(J275="GINOS",PR!$W273,IF(J275="GSK",PR!$X273,IF(J275="GLOBORG",PR!$Y273,IF(J275="GOODNEWS",PR!$Z273,IF(J275="GREENLIFE",PR!$AA273,IF(J275="HLINE",PR!$AB273,IF(J275="ROTECH",PR!$AC273,IF(J275="ISN",PR!$AD273,IF(J275="JAWA",PR!$AE273,IF(J275="LAYO",PR!$AF273,IF(J275="LEADWAY",PR!$AG273,IF(J275="LHV",PR!$AH273,IF(J275="MANOLA",PR!$AI273,IF(J275="MARCSON",PR!$AJ273,IF(J275="M&amp;B",PR!$AK273,IF(J275="MTRUST",PR!$AL273,IF(J275="MWORLD",PR!$AM273,IF(J275="MEGA",PR!$AN273,IF(J275="MICRONOVA",PR!$AO273,IF(J275="MFLASH",PR!$AP273,IF(J275="MORISON",PR!$AQ273,IF(J275="NEMEL",PR!$AR273,IF(J275="NHP",PR!$AS273,IF(J275="NHC",PR!$AT273,IF(J275="OLEAF",PR!$AU273,IF(J275="OCULUS",PR!$AV273,IF(J275="PACIFIC",PR!$AW273,IF(J275="PHAMATEX",PR!$AX273,IF(J275="PETHICS",PR!$AY273,IF(J275="PHILIPS",PR!$AZ273,IF(J275="RANBAXY",PR!$BA273,IF(J275="REALS",PR!$BB273,IF(J275="ROYAL",PR!$BC273,IF(J275="SAM",PR!$BD273,IF(J275="SEAGREEN",PR!$BE273,IF(J275="SKG",PR!$BF273,IF(J275="TAH",PR!$BG273,IF(J275="TAYLEK",PR!$BH273,IF(J275="TEMITA",PR!$BI273,IF(J275="THL",PR!$BJ273,IF(J275="UBASTIC",PR!$BK273,IF(J275="UNION",PR!$BL273,IF(J275="UNIQUE",PR!$BM273,IF(J275="VIXA",PR!$BN273,IF(J275="WWCV",PR!$BO273,IF(J275="ZOLON",PR!$BP273,"-"))))))))))))))))))))))))))))))))))))))))))))))))))))))))))))))))</f>
        <v>3000</v>
      </c>
      <c r="J275" s="102" t="str">
        <f>EV!N360</f>
        <v>GENEITH</v>
      </c>
      <c r="K275" s="433" t="s">
        <v>627</v>
      </c>
      <c r="L275" s="183">
        <f>IF(K275&gt;0,IF(K275="ALPHA",PR!$E273,IF(K275="ASSENE",PR!$F273,IF(K275="BIOFEM",PR!$G273,IF(K275="BIOMED",PR!$H273,IF(K275="CHI",PR!$I273,IF(K275="CLARION",PR!$J273,IF(K275="CODIX",PR!$K273,IF(K275="COSMADE",PR!$L273,IF(K275="SANCON",PR!$M273,IF(K275="DEVON",PR!$N273,IF(K275="DORTEMAG",PR!$O273,IF(K275="DGF",PR!$P273,IF(K275="DYNAMIC",PR!$Q273,IF(K275="EMZOR",PR!$R273,IF(K275="EUMATT",PR!$S273,IF(K275="FIDSON",PR!$T273,IF(K275="FCGLOBAL",PR!$U273,IF(K275="GENEITH",PR!$V273,IF(K275="GINOS",PR!$W273,IF(K275="GSK",PR!$X273,IF(K275="GLOBORG",PR!$Y273,IF(K275="GOODNEWS",PR!$Z273,IF(K275="GREENLIFE",PR!$AA273,IF(K275="HLINE",PR!$AB273,IF(K275="ROTECH",PR!$AC273,IF(K275="ISN",PR!$AD273,IF(K275="JAWA",PR!$AE273,IF(K275="LAYO",PR!$AF273,IF(K275="LEADWAY",PR!$AG273,IF(K275="LHV",PR!$AH273,IF(K275="MANOLA",PR!$AI273,IF(K275="MARCSON",PR!$AJ273,IF(K275="M&amp;B",PR!$AK273,IF(K275="MTRUST",PR!$AL273,IF(K275="MWORLD",PR!$AM273,IF(K275="MEGA",PR!$AN273,IF(K275="MICRONOVA",PR!$AO273,IF(K275="MFLASH",PR!$AP273,IF(K275="MORISON",PR!$AQ273,IF(K275="NEMEL",PR!$AR273,IF(K275="NHP",PR!$AS273,IF(K275="NHC",PR!$AT273,IF(K275="OLEAF",PR!$AU273,IF(K275="OCULUS",PR!$AV273,IF(K275="PACIFIC",PR!$AW273,IF(K275="PHAMATEX",PR!$AX273,IF(K275="PETHICS",PR!$AY273,IF(K275="PHILIPS",PR!$AZ273,IF(K275="RANBAXY",PR!$BA273,IF(K275="REALS",PR!$BB273,IF(K275="ROYAL",PR!$BC273,IF(K275="SAM",PR!$BD273,IF(K275="SEAGREEN",PR!$BE273,IF(K275="SKG",PR!$BF273,IF(K275="TAH",PR!$BG273,IF(K275="TAYLEK",PR!$BH273,IF(K275="TEMITA",PR!$BI273,IF(K275="THL",PR!$BJ273,IF(K275="UBASTIC",PR!$BK273,IF(K275="UNION",PR!$BL273,IF(K275="UNIQUE",PR!$BM273,IF(K275="VIXA",PR!$BN273,IF(K275="WWCV",PR!$BO273,IF(K275="ZOLON",PR!$BP273,"-")))))))))))))))))))))))))))))))))))))))))))))))))))))))))))))))))</f>
        <v>2520</v>
      </c>
    </row>
    <row r="276" spans="1:12" ht="18.75" x14ac:dyDescent="0.3">
      <c r="A276" s="430">
        <f>PR!A274</f>
        <v>250</v>
      </c>
      <c r="B276" s="15" t="str">
        <f>PR!B274</f>
        <v>ETHAMBUTOL 400MG TAB</v>
      </c>
      <c r="C276" s="113">
        <f>PR!D274</f>
        <v>1000</v>
      </c>
      <c r="D276" s="113">
        <f>PR!C274</f>
        <v>6</v>
      </c>
      <c r="E276" s="108">
        <f>IF(F276="ALPHA",PR!$E274,IF(F276="ASSENE",PR!$F274,IF(F276="BIOFEM",PR!$G274,IF(F276="BIOMED",PR!$H274,IF(F276="CHI",PR!$I274,IF(F276="CLARION",PR!$J274,IF(F276="CODIX",PR!$K274,IF(F276="COSMADE",PR!$L274,IF(F276="SANCON",PR!$M274,IF(F276="DEVON",PR!$N274,IF(F276="DORTEMAG",PR!$O274,IF(F276="DGF",PR!$P274,IF(F276="DYNAMIC",PR!$Q274,IF(F276="EMZOR",PR!$R274,IF(F276="EUMATT",PR!$S274,IF(F276="FIDSON",PR!$T274,IF(F276="FCGLOBAL",PR!$U274,IF(F276="GENEITH",PR!$V274,IF(F276="GINOS",PR!$W274,IF(F276="GSK",PR!$X274,IF(F276="GLOBORG",PR!$Y274,IF(F276="GOODNEWS",PR!$Z274,IF(F276="GREENLIFE",PR!$AA274,IF(F276="HLINE",PR!$AB274,IF(F276="ROTECH",PR!$AC274,IF(F276="ISN",PR!$AD274,IF(F276="JAWA",PR!$AE274,IF(F276="LAYO",PR!$AF274,IF(F276="LEADWAY",PR!$AG274,IF(F276="LHV",PR!$AH274,IF(F276="MANOLA",PR!$AI274,IF(F276="MARCSON",PR!$AJ274,IF(F276="M&amp;B",PR!$AK274,IF(F276="MTRUST",PR!$AL274,IF(F276="MWORLD",PR!$AM274,IF(F276="MEGA",PR!$AN274,IF(F276="MICRONOVA",PR!$AO274,IF(F276="MFLASH",PR!$AP274,IF(F276="MORISON",PR!$AQ274,IF(F276="NEMEL",PR!$AR274,IF(F276="NHP",PR!$AS274,IF(F276="NHC",PR!$AT274,IF(F276="OLEAF",PR!$AU274,IF(F276="OCULUS",PR!$AV274,IF(F276="PACIFIC",PR!$AW274,IF(F276="PHAMATEX",PR!$AX274,IF(F276="PETHICS",PR!$AY274,IF(F276="PHILIPS",PR!$AZ274,IF(F276="RANBAXY",PR!$BA274,IF(F276="REALS",PR!$BB274,IF(F276="ROYAL",PR!$BC274,IF(F276="SAM",PR!$BD274,IF(F276="SEAGREEN",PR!$BE274,IF(F276="SKG",PR!$BF274,IF(F276="TAH",PR!$BG274,IF(F276="TAYLEK",PR!$BH274,IF(F276="TEMITA",PR!$BI274,IF(F276="THL",PR!$BJ274,IF(F276="UBASTIC",PR!$BK274,IF(F276="UNION",PR!$BL274,IF(F276="UNIQUE",PR!$BM274,IF(F276="VIXA",PR!$BN274,IF(F276="WWCV",PR!$BO274,IF(F276="ZOLON",PR!$BP274,"-"))))))))))))))))))))))))))))))))))))))))))))))))))))))))))))))))</f>
        <v>240</v>
      </c>
      <c r="F276" s="102" t="str">
        <f>EV!L361</f>
        <v>EUMATT</v>
      </c>
      <c r="G276" s="108" t="str">
        <f>IF(H276="ALPHA",PR!$E274,IF(H276="ASSENE",PR!$F274,IF(H276="BIOFEM",PR!$G274,IF(H276="BIOMED",PR!$H274,IF(H276="CHI",PR!$I274,IF(H276="CLARION",PR!$J274,IF(H276="CODIX",PR!$K274,IF(H276="COSMADE",PR!$L274,IF(H276="SANCON",PR!$M274,IF(H276="DEVON",PR!$N274,IF(H276="DORTEMAG",PR!$O274,IF(H276="DGF",PR!$P274,IF(H276="DYNAMIC",PR!$Q274,IF(H276="EMZOR",PR!$R274,IF(H276="EUMATT",PR!$S274,IF(H276="FIDSON",PR!$T274,IF(H276="FCGLOBAL",PR!$U274,IF(H276="GENEITH",PR!$V274,IF(H276="GINOS",PR!$W274,IF(H276="GSK",PR!$X274,IF(H276="GLOBORG",PR!$Y274,IF(H276="GOODNEWS",PR!$Z274,IF(H276="GREENLIFE",PR!$AA274,IF(H276="HLINE",PR!$AB274,IF(H276="ROTECH",PR!$AC274,IF(H276="ISN",PR!$AD274,IF(H276="JAWA",PR!$AE274,IF(H276="LAYO",PR!$AF274,IF(H276="LEADWAY",PR!$AG274,IF(H276="LHV",PR!$AH274,IF(H276="MANOLA",PR!$AI274,IF(H276="MARCSON",PR!$AJ274,IF(H276="M&amp;B",PR!$AK274,IF(H276="MTRUST",PR!$AL274,IF(H276="MWORLD",PR!$AM274,IF(H276="MEGA",PR!$AN274,IF(H276="MICRONOVA",PR!$AO274,IF(H276="MFLASH",PR!$AP274,IF(H276="MORISON",PR!$AQ274,IF(H276="NEMEL",PR!$AR274,IF(H276="NHP",PR!$AS274,IF(H276="NHC",PR!$AT274,IF(H276="OLEAF",PR!$AU274,IF(H276="OCULUS",PR!$AV274,IF(H276="PACIFIC",PR!$AW274,IF(H276="PHAMATEX",PR!$AX274,IF(H276="PETHICS",PR!$AY274,IF(H276="PHILIPS",PR!$AZ274,IF(H276="RANBAXY",PR!$BA274,IF(H276="REALS",PR!$BB274,IF(H276="ROYAL",PR!$BC274,IF(H276="SAM",PR!$BD274,IF(H276="SEAGREEN",PR!$BE274,IF(H276="SKG",PR!$BF274,IF(H276="TAH",PR!$BG274,IF(H276="TAYLEK",PR!$BH274,IF(H276="TEMITA",PR!$BI274,IF(H276="THL",PR!$BJ274,IF(H276="UBASTIC",PR!$BK274,IF(H276="UNION",PR!$BL274,IF(H276="UNIQUE",PR!$BM274,IF(H276="VIXA",PR!$BN274,IF(H276="WWCV",PR!$BO274,IF(H276="ZOLON",PR!$BP274,"-"))))))))))))))))))))))))))))))))))))))))))))))))))))))))))))))))</f>
        <v>-</v>
      </c>
      <c r="H276" s="102">
        <f>EV!M361</f>
        <v>0</v>
      </c>
      <c r="I276" s="108" t="str">
        <f>IF(J276="ALPHA",PR!$E274,IF(J276="ASSENE",PR!$F274,IF(J276="BIOFEM",PR!$G274,IF(J276="BIOMED",PR!$H274,IF(J276="CHI",PR!$I274,IF(J276="CLARION",PR!$J274,IF(J276="CODIX",PR!$K274,IF(J276="COSMADE",PR!$L274,IF(J276="SANCON",PR!$M274,IF(J276="DEVON",PR!$N274,IF(J276="DORTEMAG",PR!$O274,IF(J276="DGF",PR!$P274,IF(J276="DYNAMIC",PR!$Q274,IF(J276="EMZOR",PR!$R274,IF(J276="EUMATT",PR!$S274,IF(J276="FIDSON",PR!$T274,IF(J276="FCGLOBAL",PR!$U274,IF(J276="GENEITH",PR!$V274,IF(J276="GINOS",PR!$W274,IF(J276="GSK",PR!$X274,IF(J276="GLOBORG",PR!$Y274,IF(J276="GOODNEWS",PR!$Z274,IF(J276="GREENLIFE",PR!$AA274,IF(J276="HLINE",PR!$AB274,IF(J276="ROTECH",PR!$AC274,IF(J276="ISN",PR!$AD274,IF(J276="JAWA",PR!$AE274,IF(J276="LAYO",PR!$AF274,IF(J276="LEADWAY",PR!$AG274,IF(J276="LHV",PR!$AH274,IF(J276="MANOLA",PR!$AI274,IF(J276="MARCSON",PR!$AJ274,IF(J276="M&amp;B",PR!$AK274,IF(J276="MTRUST",PR!$AL274,IF(J276="MWORLD",PR!$AM274,IF(J276="MEGA",PR!$AN274,IF(J276="MICRONOVA",PR!$AO274,IF(J276="MFLASH",PR!$AP274,IF(J276="MORISON",PR!$AQ274,IF(J276="NEMEL",PR!$AR274,IF(J276="NHP",PR!$AS274,IF(J276="NHC",PR!$AT274,IF(J276="OLEAF",PR!$AU274,IF(J276="OCULUS",PR!$AV274,IF(J276="PACIFIC",PR!$AW274,IF(J276="PHAMATEX",PR!$AX274,IF(J276="PETHICS",PR!$AY274,IF(J276="PHILIPS",PR!$AZ274,IF(J276="RANBAXY",PR!$BA274,IF(J276="REALS",PR!$BB274,IF(J276="ROYAL",PR!$BC274,IF(J276="SAM",PR!$BD274,IF(J276="SEAGREEN",PR!$BE274,IF(J276="SKG",PR!$BF274,IF(J276="TAH",PR!$BG274,IF(J276="TAYLEK",PR!$BH274,IF(J276="TEMITA",PR!$BI274,IF(J276="THL",PR!$BJ274,IF(J276="UBASTIC",PR!$BK274,IF(J276="UNION",PR!$BL274,IF(J276="UNIQUE",PR!$BM274,IF(J276="VIXA",PR!$BN274,IF(J276="WWCV",PR!$BO274,IF(J276="ZOLON",PR!$BP274,"-"))))))))))))))))))))))))))))))))))))))))))))))))))))))))))))))))</f>
        <v>-</v>
      </c>
      <c r="J276" s="102">
        <f>EV!N361</f>
        <v>0</v>
      </c>
      <c r="K276" s="433"/>
      <c r="L276" s="183" t="b">
        <f>IF(K276&gt;0,IF(K276="ALPHA",PR!$E274,IF(K276="ASSENE",PR!$F274,IF(K276="BIOFEM",PR!$G274,IF(K276="BIOMED",PR!$H274,IF(K276="CHI",PR!$I274,IF(K276="CLARION",PR!$J274,IF(K276="CODIX",PR!$K274,IF(K276="COSMADE",PR!$L274,IF(K276="SANCON",PR!$M274,IF(K276="DEVON",PR!$N274,IF(K276="DORTEMAG",PR!$O274,IF(K276="DGF",PR!$P274,IF(K276="DYNAMIC",PR!$Q274,IF(K276="EMZOR",PR!$R274,IF(K276="EUMATT",PR!$S274,IF(K276="FIDSON",PR!$T274,IF(K276="FCGLOBAL",PR!$U274,IF(K276="GENEITH",PR!$V274,IF(K276="GINOS",PR!$W274,IF(K276="GSK",PR!$X274,IF(K276="GLOBORG",PR!$Y274,IF(K276="GOODNEWS",PR!$Z274,IF(K276="GREENLIFE",PR!$AA274,IF(K276="HLINE",PR!$AB274,IF(K276="ROTECH",PR!$AC274,IF(K276="ISN",PR!$AD274,IF(K276="JAWA",PR!$AE274,IF(K276="LAYO",PR!$AF274,IF(K276="LEADWAY",PR!$AG274,IF(K276="LHV",PR!$AH274,IF(K276="MANOLA",PR!$AI274,IF(K276="MARCSON",PR!$AJ274,IF(K276="M&amp;B",PR!$AK274,IF(K276="MTRUST",PR!$AL274,IF(K276="MWORLD",PR!$AM274,IF(K276="MEGA",PR!$AN274,IF(K276="MICRONOVA",PR!$AO274,IF(K276="MFLASH",PR!$AP274,IF(K276="MORISON",PR!$AQ274,IF(K276="NEMEL",PR!$AR274,IF(K276="NHP",PR!$AS274,IF(K276="NHC",PR!$AT274,IF(K276="OLEAF",PR!$AU274,IF(K276="OCULUS",PR!$AV274,IF(K276="PACIFIC",PR!$AW274,IF(K276="PHAMATEX",PR!$AX274,IF(K276="PETHICS",PR!$AY274,IF(K276="PHILIPS",PR!$AZ274,IF(K276="RANBAXY",PR!$BA274,IF(K276="REALS",PR!$BB274,IF(K276="ROYAL",PR!$BC274,IF(K276="SAM",PR!$BD274,IF(K276="SEAGREEN",PR!$BE274,IF(K276="SKG",PR!$BF274,IF(K276="TAH",PR!$BG274,IF(K276="TAYLEK",PR!$BH274,IF(K276="TEMITA",PR!$BI274,IF(K276="THL",PR!$BJ274,IF(K276="UBASTIC",PR!$BK274,IF(K276="UNION",PR!$BL274,IF(K276="UNIQUE",PR!$BM274,IF(K276="VIXA",PR!$BN274,IF(K276="WWCV",PR!$BO274,IF(K276="ZOLON",PR!$BP274,"-")))))))))))))))))))))))))))))))))))))))))))))))))))))))))))))))))</f>
        <v>0</v>
      </c>
    </row>
    <row r="277" spans="1:12" ht="18.75" x14ac:dyDescent="0.3">
      <c r="A277" s="430">
        <f>PR!A275</f>
        <v>251</v>
      </c>
      <c r="B277" s="15" t="str">
        <f>PR!B275</f>
        <v>FLUCONAZOLE 150MG CAP</v>
      </c>
      <c r="C277" s="113">
        <f>PR!D275</f>
        <v>10</v>
      </c>
      <c r="D277" s="113">
        <f>PR!C275</f>
        <v>200</v>
      </c>
      <c r="E277" s="108">
        <f>IF(F277="ALPHA",PR!$E275,IF(F277="ASSENE",PR!$F275,IF(F277="BIOFEM",PR!$G275,IF(F277="BIOMED",PR!$H275,IF(F277="CHI",PR!$I275,IF(F277="CLARION",PR!$J275,IF(F277="CODIX",PR!$K275,IF(F277="COSMADE",PR!$L275,IF(F277="SANCON",PR!$M275,IF(F277="DEVON",PR!$N275,IF(F277="DORTEMAG",PR!$O275,IF(F277="DGF",PR!$P275,IF(F277="DYNAMIC",PR!$Q275,IF(F277="EMZOR",PR!$R275,IF(F277="EUMATT",PR!$S275,IF(F277="FIDSON",PR!$T275,IF(F277="FCGLOBAL",PR!$U275,IF(F277="GENEITH",PR!$V275,IF(F277="GINOS",PR!$W275,IF(F277="GSK",PR!$X275,IF(F277="GLOBORG",PR!$Y275,IF(F277="GOODNEWS",PR!$Z275,IF(F277="GREENLIFE",PR!$AA275,IF(F277="HLINE",PR!$AB275,IF(F277="ROTECH",PR!$AC275,IF(F277="ISN",PR!$AD275,IF(F277="JAWA",PR!$AE275,IF(F277="LAYO",PR!$AF275,IF(F277="LEADWAY",PR!$AG275,IF(F277="LHV",PR!$AH275,IF(F277="MANOLA",PR!$AI275,IF(F277="MARCSON",PR!$AJ275,IF(F277="M&amp;B",PR!$AK275,IF(F277="MTRUST",PR!$AL275,IF(F277="MWORLD",PR!$AM275,IF(F277="MEGA",PR!$AN275,IF(F277="MICRONOVA",PR!$AO275,IF(F277="MFLASH",PR!$AP275,IF(F277="MORISON",PR!$AQ275,IF(F277="NEMEL",PR!$AR275,IF(F277="NHP",PR!$AS275,IF(F277="NHC",PR!$AT275,IF(F277="OLEAF",PR!$AU275,IF(F277="OCULUS",PR!$AV275,IF(F277="PACIFIC",PR!$AW275,IF(F277="PHAMATEX",PR!$AX275,IF(F277="PETHICS",PR!$AY275,IF(F277="PHILIPS",PR!$AZ275,IF(F277="RANBAXY",PR!$BA275,IF(F277="REALS",PR!$BB275,IF(F277="ROYAL",PR!$BC275,IF(F277="SAM",PR!$BD275,IF(F277="SEAGREEN",PR!$BE275,IF(F277="SKG",PR!$BF275,IF(F277="TAH",PR!$BG275,IF(F277="TAYLEK",PR!$BH275,IF(F277="TEMITA",PR!$BI275,IF(F277="THL",PR!$BJ275,IF(F277="UBASTIC",PR!$BK275,IF(F277="UNION",PR!$BL275,IF(F277="UNIQUE",PR!$BM275,IF(F277="VIXA",PR!$BN275,IF(F277="WWCV",PR!$BO275,IF(F277="ZOLON",PR!$BP275,"-"))))))))))))))))))))))))))))))))))))))))))))))))))))))))))))))))</f>
        <v>270</v>
      </c>
      <c r="F277" s="102" t="str">
        <f>EV!L362</f>
        <v>EUMATT</v>
      </c>
      <c r="G277" s="108">
        <f>IF(H277="ALPHA",PR!$E275,IF(H277="ASSENE",PR!$F275,IF(H277="BIOFEM",PR!$G275,IF(H277="BIOMED",PR!$H275,IF(H277="CHI",PR!$I275,IF(H277="CLARION",PR!$J275,IF(H277="CODIX",PR!$K275,IF(H277="COSMADE",PR!$L275,IF(H277="SANCON",PR!$M275,IF(H277="DEVON",PR!$N275,IF(H277="DORTEMAG",PR!$O275,IF(H277="DGF",PR!$P275,IF(H277="DYNAMIC",PR!$Q275,IF(H277="EMZOR",PR!$R275,IF(H277="EUMATT",PR!$S275,IF(H277="FIDSON",PR!$T275,IF(H277="FCGLOBAL",PR!$U275,IF(H277="GENEITH",PR!$V275,IF(H277="GINOS",PR!$W275,IF(H277="GSK",PR!$X275,IF(H277="GLOBORG",PR!$Y275,IF(H277="GOODNEWS",PR!$Z275,IF(H277="GREENLIFE",PR!$AA275,IF(H277="HLINE",PR!$AB275,IF(H277="ROTECH",PR!$AC275,IF(H277="ISN",PR!$AD275,IF(H277="JAWA",PR!$AE275,IF(H277="LAYO",PR!$AF275,IF(H277="LEADWAY",PR!$AG275,IF(H277="LHV",PR!$AH275,IF(H277="MANOLA",PR!$AI275,IF(H277="MARCSON",PR!$AJ275,IF(H277="M&amp;B",PR!$AK275,IF(H277="MTRUST",PR!$AL275,IF(H277="MWORLD",PR!$AM275,IF(H277="MEGA",PR!$AN275,IF(H277="MICRONOVA",PR!$AO275,IF(H277="MFLASH",PR!$AP275,IF(H277="MORISON",PR!$AQ275,IF(H277="NEMEL",PR!$AR275,IF(H277="NHP",PR!$AS275,IF(H277="NHC",PR!$AT275,IF(H277="OLEAF",PR!$AU275,IF(H277="OCULUS",PR!$AV275,IF(H277="PACIFIC",PR!$AW275,IF(H277="PHAMATEX",PR!$AX275,IF(H277="PETHICS",PR!$AY275,IF(H277="PHILIPS",PR!$AZ275,IF(H277="RANBAXY",PR!$BA275,IF(H277="REALS",PR!$BB275,IF(H277="ROYAL",PR!$BC275,IF(H277="SAM",PR!$BD275,IF(H277="SEAGREEN",PR!$BE275,IF(H277="SKG",PR!$BF275,IF(H277="TAH",PR!$BG275,IF(H277="TAYLEK",PR!$BH275,IF(H277="TEMITA",PR!$BI275,IF(H277="THL",PR!$BJ275,IF(H277="UBASTIC",PR!$BK275,IF(H277="UNION",PR!$BL275,IF(H277="UNIQUE",PR!$BM275,IF(H277="VIXA",PR!$BN275,IF(H277="WWCV",PR!$BO275,IF(H277="ZOLON",PR!$BP275,"-"))))))))))))))))))))))))))))))))))))))))))))))))))))))))))))))))</f>
        <v>280</v>
      </c>
      <c r="H277" s="102" t="str">
        <f>EV!M362</f>
        <v>PHAMATEX</v>
      </c>
      <c r="I277" s="108" t="str">
        <f>IF(J277="ALPHA",PR!$E275,IF(J277="ASSENE",PR!$F275,IF(J277="BIOFEM",PR!$G275,IF(J277="BIOMED",PR!$H275,IF(J277="CHI",PR!$I275,IF(J277="CLARION",PR!$J275,IF(J277="CODIX",PR!$K275,IF(J277="COSMADE",PR!$L275,IF(J277="SANCON",PR!$M275,IF(J277="DEVON",PR!$N275,IF(J277="DORTEMAG",PR!$O275,IF(J277="DGF",PR!$P275,IF(J277="DYNAMIC",PR!$Q275,IF(J277="EMZOR",PR!$R275,IF(J277="EUMATT",PR!$S275,IF(J277="FIDSON",PR!$T275,IF(J277="FCGLOBAL",PR!$U275,IF(J277="GENEITH",PR!$V275,IF(J277="GINOS",PR!$W275,IF(J277="GSK",PR!$X275,IF(J277="GLOBORG",PR!$Y275,IF(J277="GOODNEWS",PR!$Z275,IF(J277="GREENLIFE",PR!$AA275,IF(J277="HLINE",PR!$AB275,IF(J277="ROTECH",PR!$AC275,IF(J277="ISN",PR!$AD275,IF(J277="JAWA",PR!$AE275,IF(J277="LAYO",PR!$AF275,IF(J277="LEADWAY",PR!$AG275,IF(J277="LHV",PR!$AH275,IF(J277="MANOLA",PR!$AI275,IF(J277="MARCSON",PR!$AJ275,IF(J277="M&amp;B",PR!$AK275,IF(J277="MTRUST",PR!$AL275,IF(J277="MWORLD",PR!$AM275,IF(J277="MEGA",PR!$AN275,IF(J277="MICRONOVA",PR!$AO275,IF(J277="MFLASH",PR!$AP275,IF(J277="MORISON",PR!$AQ275,IF(J277="NEMEL",PR!$AR275,IF(J277="NHP",PR!$AS275,IF(J277="NHC",PR!$AT275,IF(J277="OLEAF",PR!$AU275,IF(J277="OCULUS",PR!$AV275,IF(J277="PACIFIC",PR!$AW275,IF(J277="PHAMATEX",PR!$AX275,IF(J277="PETHICS",PR!$AY275,IF(J277="PHILIPS",PR!$AZ275,IF(J277="RANBAXY",PR!$BA275,IF(J277="REALS",PR!$BB275,IF(J277="ROYAL",PR!$BC275,IF(J277="SAM",PR!$BD275,IF(J277="SEAGREEN",PR!$BE275,IF(J277="SKG",PR!$BF275,IF(J277="TAH",PR!$BG275,IF(J277="TAYLEK",PR!$BH275,IF(J277="TEMITA",PR!$BI275,IF(J277="THL",PR!$BJ275,IF(J277="UBASTIC",PR!$BK275,IF(J277="UNION",PR!$BL275,IF(J277="UNIQUE",PR!$BM275,IF(J277="VIXA",PR!$BN275,IF(J277="WWCV",PR!$BO275,IF(J277="ZOLON",PR!$BP275,"-"))))))))))))))))))))))))))))))))))))))))))))))))))))))))))))))))</f>
        <v>-</v>
      </c>
      <c r="J277" s="102">
        <f>EV!N362</f>
        <v>0</v>
      </c>
      <c r="K277" s="433" t="s">
        <v>2129</v>
      </c>
      <c r="L277" s="183" t="str">
        <f>IF(K277&gt;0,IF(K277="ALPHA",PR!$E275,IF(K277="ASSENE",PR!$F275,IF(K277="BIOFEM",PR!$G275,IF(K277="BIOMED",PR!$H275,IF(K277="CHI",PR!$I275,IF(K277="CLARION",PR!$J275,IF(K277="CODIX",PR!$K275,IF(K277="COSMADE",PR!$L275,IF(K277="SANCON",PR!$M275,IF(K277="DEVON",PR!$N275,IF(K277="DORTEMAG",PR!$O275,IF(K277="DGF",PR!$P275,IF(K277="DYNAMIC",PR!$Q275,IF(K277="EMZOR",PR!$R275,IF(K277="EUMATT",PR!$S275,IF(K277="FIDSON",PR!$T275,IF(K277="FCGLOBAL",PR!$U275,IF(K277="GENEITH",PR!$V275,IF(K277="GINOS",PR!$W275,IF(K277="GSK",PR!$X275,IF(K277="GLOBORG",PR!$Y275,IF(K277="GOODNEWS",PR!$Z275,IF(K277="GREENLIFE",PR!$AA275,IF(K277="HLINE",PR!$AB275,IF(K277="ROTECH",PR!$AC275,IF(K277="ISN",PR!$AD275,IF(K277="JAWA",PR!$AE275,IF(K277="LAYO",PR!$AF275,IF(K277="LEADWAY",PR!$AG275,IF(K277="LHV",PR!$AH275,IF(K277="MANOLA",PR!$AI275,IF(K277="MARCSON",PR!$AJ275,IF(K277="M&amp;B",PR!$AK275,IF(K277="MTRUST",PR!$AL275,IF(K277="MWORLD",PR!$AM275,IF(K277="MEGA",PR!$AN275,IF(K277="MICRONOVA",PR!$AO275,IF(K277="MFLASH",PR!$AP275,IF(K277="MORISON",PR!$AQ275,IF(K277="NEMEL",PR!$AR275,IF(K277="NHP",PR!$AS275,IF(K277="NHC",PR!$AT275,IF(K277="OLEAF",PR!$AU275,IF(K277="OCULUS",PR!$AV275,IF(K277="PACIFIC",PR!$AW275,IF(K277="PHAMATEX",PR!$AX275,IF(K277="PETHICS",PR!$AY275,IF(K277="PHILIPS",PR!$AZ275,IF(K277="RANBAXY",PR!$BA275,IF(K277="REALS",PR!$BB275,IF(K277="ROYAL",PR!$BC275,IF(K277="SAM",PR!$BD275,IF(K277="SEAGREEN",PR!$BE275,IF(K277="SKG",PR!$BF275,IF(K277="TAH",PR!$BG275,IF(K277="TAYLEK",PR!$BH275,IF(K277="TEMITA",PR!$BI275,IF(K277="THL",PR!$BJ275,IF(K277="UBASTIC",PR!$BK275,IF(K277="UNION",PR!$BL275,IF(K277="UNIQUE",PR!$BM275,IF(K277="VIXA",PR!$BN275,IF(K277="WWCV",PR!$BO275,IF(K277="ZOLON",PR!$BP275,"-")))))))))))))))))))))))))))))))))))))))))))))))))))))))))))))))))</f>
        <v>-</v>
      </c>
    </row>
    <row r="278" spans="1:12" ht="18.75" x14ac:dyDescent="0.3">
      <c r="A278" s="430">
        <f>PR!A276</f>
        <v>252</v>
      </c>
      <c r="B278" s="15" t="str">
        <f>PR!B276</f>
        <v>FLUCONAZOLE 200MG CAP</v>
      </c>
      <c r="C278" s="113">
        <f>PR!D276</f>
        <v>10</v>
      </c>
      <c r="D278" s="113">
        <f>PR!C276</f>
        <v>200</v>
      </c>
      <c r="E278" s="108">
        <f>IF(F278="ALPHA",PR!$E276,IF(F278="ASSENE",PR!$F276,IF(F278="BIOFEM",PR!$G276,IF(F278="BIOMED",PR!$H276,IF(F278="CHI",PR!$I276,IF(F278="CLARION",PR!$J276,IF(F278="CODIX",PR!$K276,IF(F278="COSMADE",PR!$L276,IF(F278="SANCON",PR!$M276,IF(F278="DEVON",PR!$N276,IF(F278="DORTEMAG",PR!$O276,IF(F278="DGF",PR!$P276,IF(F278="DYNAMIC",PR!$Q276,IF(F278="EMZOR",PR!$R276,IF(F278="EUMATT",PR!$S276,IF(F278="FIDSON",PR!$T276,IF(F278="FCGLOBAL",PR!$U276,IF(F278="GENEITH",PR!$V276,IF(F278="GINOS",PR!$W276,IF(F278="GSK",PR!$X276,IF(F278="GLOBORG",PR!$Y276,IF(F278="GOODNEWS",PR!$Z276,IF(F278="GREENLIFE",PR!$AA276,IF(F278="HLINE",PR!$AB276,IF(F278="ROTECH",PR!$AC276,IF(F278="ISN",PR!$AD276,IF(F278="JAWA",PR!$AE276,IF(F278="LAYO",PR!$AF276,IF(F278="LEADWAY",PR!$AG276,IF(F278="LHV",PR!$AH276,IF(F278="MANOLA",PR!$AI276,IF(F278="MARCSON",PR!$AJ276,IF(F278="M&amp;B",PR!$AK276,IF(F278="MTRUST",PR!$AL276,IF(F278="MWORLD",PR!$AM276,IF(F278="MEGA",PR!$AN276,IF(F278="MICRONOVA",PR!$AO276,IF(F278="MFLASH",PR!$AP276,IF(F278="MORISON",PR!$AQ276,IF(F278="NEMEL",PR!$AR276,IF(F278="NHP",PR!$AS276,IF(F278="NHC",PR!$AT276,IF(F278="OLEAF",PR!$AU276,IF(F278="OCULUS",PR!$AV276,IF(F278="PACIFIC",PR!$AW276,IF(F278="PHAMATEX",PR!$AX276,IF(F278="PETHICS",PR!$AY276,IF(F278="PHILIPS",PR!$AZ276,IF(F278="RANBAXY",PR!$BA276,IF(F278="REALS",PR!$BB276,IF(F278="ROYAL",PR!$BC276,IF(F278="SAM",PR!$BD276,IF(F278="SEAGREEN",PR!$BE276,IF(F278="SKG",PR!$BF276,IF(F278="TAH",PR!$BG276,IF(F278="TAYLEK",PR!$BH276,IF(F278="TEMITA",PR!$BI276,IF(F278="THL",PR!$BJ276,IF(F278="UBASTIC",PR!$BK276,IF(F278="UNION",PR!$BL276,IF(F278="UNIQUE",PR!$BM276,IF(F278="VIXA",PR!$BN276,IF(F278="WWCV",PR!$BO276,IF(F278="ZOLON",PR!$BP276,"-"))))))))))))))))))))))))))))))))))))))))))))))))))))))))))))))))</f>
        <v>240</v>
      </c>
      <c r="F278" s="102" t="str">
        <f>EV!L363</f>
        <v>EUMATT</v>
      </c>
      <c r="G278" s="108">
        <f>IF(H278="ALPHA",PR!$E276,IF(H278="ASSENE",PR!$F276,IF(H278="BIOFEM",PR!$G276,IF(H278="BIOMED",PR!$H276,IF(H278="CHI",PR!$I276,IF(H278="CLARION",PR!$J276,IF(H278="CODIX",PR!$K276,IF(H278="COSMADE",PR!$L276,IF(H278="SANCON",PR!$M276,IF(H278="DEVON",PR!$N276,IF(H278="DORTEMAG",PR!$O276,IF(H278="DGF",PR!$P276,IF(H278="DYNAMIC",PR!$Q276,IF(H278="EMZOR",PR!$R276,IF(H278="EUMATT",PR!$S276,IF(H278="FIDSON",PR!$T276,IF(H278="FCGLOBAL",PR!$U276,IF(H278="GENEITH",PR!$V276,IF(H278="GINOS",PR!$W276,IF(H278="GSK",PR!$X276,IF(H278="GLOBORG",PR!$Y276,IF(H278="GOODNEWS",PR!$Z276,IF(H278="GREENLIFE",PR!$AA276,IF(H278="HLINE",PR!$AB276,IF(H278="ROTECH",PR!$AC276,IF(H278="ISN",PR!$AD276,IF(H278="JAWA",PR!$AE276,IF(H278="LAYO",PR!$AF276,IF(H278="LEADWAY",PR!$AG276,IF(H278="LHV",PR!$AH276,IF(H278="MANOLA",PR!$AI276,IF(H278="MARCSON",PR!$AJ276,IF(H278="M&amp;B",PR!$AK276,IF(H278="MTRUST",PR!$AL276,IF(H278="MWORLD",PR!$AM276,IF(H278="MEGA",PR!$AN276,IF(H278="MICRONOVA",PR!$AO276,IF(H278="MFLASH",PR!$AP276,IF(H278="MORISON",PR!$AQ276,IF(H278="NEMEL",PR!$AR276,IF(H278="NHP",PR!$AS276,IF(H278="NHC",PR!$AT276,IF(H278="OLEAF",PR!$AU276,IF(H278="OCULUS",PR!$AV276,IF(H278="PACIFIC",PR!$AW276,IF(H278="PHAMATEX",PR!$AX276,IF(H278="PETHICS",PR!$AY276,IF(H278="PHILIPS",PR!$AZ276,IF(H278="RANBAXY",PR!$BA276,IF(H278="REALS",PR!$BB276,IF(H278="ROYAL",PR!$BC276,IF(H278="SAM",PR!$BD276,IF(H278="SEAGREEN",PR!$BE276,IF(H278="SKG",PR!$BF276,IF(H278="TAH",PR!$BG276,IF(H278="TAYLEK",PR!$BH276,IF(H278="TEMITA",PR!$BI276,IF(H278="THL",PR!$BJ276,IF(H278="UBASTIC",PR!$BK276,IF(H278="UNION",PR!$BL276,IF(H278="UNIQUE",PR!$BM276,IF(H278="VIXA",PR!$BN276,IF(H278="WWCV",PR!$BO276,IF(H278="ZOLON",PR!$BP276,"-"))))))))))))))))))))))))))))))))))))))))))))))))))))))))))))))))</f>
        <v>1650</v>
      </c>
      <c r="H278" s="102" t="str">
        <f>EV!M363</f>
        <v>DGF</v>
      </c>
      <c r="I278" s="108" t="str">
        <f>IF(J278="ALPHA",PR!$E276,IF(J278="ASSENE",PR!$F276,IF(J278="BIOFEM",PR!$G276,IF(J278="BIOMED",PR!$H276,IF(J278="CHI",PR!$I276,IF(J278="CLARION",PR!$J276,IF(J278="CODIX",PR!$K276,IF(J278="COSMADE",PR!$L276,IF(J278="SANCON",PR!$M276,IF(J278="DEVON",PR!$N276,IF(J278="DORTEMAG",PR!$O276,IF(J278="DGF",PR!$P276,IF(J278="DYNAMIC",PR!$Q276,IF(J278="EMZOR",PR!$R276,IF(J278="EUMATT",PR!$S276,IF(J278="FIDSON",PR!$T276,IF(J278="FCGLOBAL",PR!$U276,IF(J278="GENEITH",PR!$V276,IF(J278="GINOS",PR!$W276,IF(J278="GSK",PR!$X276,IF(J278="GLOBORG",PR!$Y276,IF(J278="GOODNEWS",PR!$Z276,IF(J278="GREENLIFE",PR!$AA276,IF(J278="HLINE",PR!$AB276,IF(J278="ROTECH",PR!$AC276,IF(J278="ISN",PR!$AD276,IF(J278="JAWA",PR!$AE276,IF(J278="LAYO",PR!$AF276,IF(J278="LEADWAY",PR!$AG276,IF(J278="LHV",PR!$AH276,IF(J278="MANOLA",PR!$AI276,IF(J278="MARCSON",PR!$AJ276,IF(J278="M&amp;B",PR!$AK276,IF(J278="MTRUST",PR!$AL276,IF(J278="MWORLD",PR!$AM276,IF(J278="MEGA",PR!$AN276,IF(J278="MICRONOVA",PR!$AO276,IF(J278="MFLASH",PR!$AP276,IF(J278="MORISON",PR!$AQ276,IF(J278="NEMEL",PR!$AR276,IF(J278="NHP",PR!$AS276,IF(J278="NHC",PR!$AT276,IF(J278="OLEAF",PR!$AU276,IF(J278="OCULUS",PR!$AV276,IF(J278="PACIFIC",PR!$AW276,IF(J278="PHAMATEX",PR!$AX276,IF(J278="PETHICS",PR!$AY276,IF(J278="PHILIPS",PR!$AZ276,IF(J278="RANBAXY",PR!$BA276,IF(J278="REALS",PR!$BB276,IF(J278="ROYAL",PR!$BC276,IF(J278="SAM",PR!$BD276,IF(J278="SEAGREEN",PR!$BE276,IF(J278="SKG",PR!$BF276,IF(J278="TAH",PR!$BG276,IF(J278="TAYLEK",PR!$BH276,IF(J278="TEMITA",PR!$BI276,IF(J278="THL",PR!$BJ276,IF(J278="UBASTIC",PR!$BK276,IF(J278="UNION",PR!$BL276,IF(J278="UNIQUE",PR!$BM276,IF(J278="VIXA",PR!$BN276,IF(J278="WWCV",PR!$BO276,IF(J278="ZOLON",PR!$BP276,"-"))))))))))))))))))))))))))))))))))))))))))))))))))))))))))))))))</f>
        <v>-</v>
      </c>
      <c r="J278" s="102">
        <f>EV!N363</f>
        <v>0</v>
      </c>
      <c r="K278" s="433" t="s">
        <v>821</v>
      </c>
      <c r="L278" s="183">
        <f>IF(K278&gt;0,IF(K278="ALPHA",PR!$E276,IF(K278="ASSENE",PR!$F276,IF(K278="BIOFEM",PR!$G276,IF(K278="BIOMED",PR!$H276,IF(K278="CHI",PR!$I276,IF(K278="CLARION",PR!$J276,IF(K278="CODIX",PR!$K276,IF(K278="COSMADE",PR!$L276,IF(K278="SANCON",PR!$M276,IF(K278="DEVON",PR!$N276,IF(K278="DORTEMAG",PR!$O276,IF(K278="DGF",PR!$P276,IF(K278="DYNAMIC",PR!$Q276,IF(K278="EMZOR",PR!$R276,IF(K278="EUMATT",PR!$S276,IF(K278="FIDSON",PR!$T276,IF(K278="FCGLOBAL",PR!$U276,IF(K278="GENEITH",PR!$V276,IF(K278="GINOS",PR!$W276,IF(K278="GSK",PR!$X276,IF(K278="GLOBORG",PR!$Y276,IF(K278="GOODNEWS",PR!$Z276,IF(K278="GREENLIFE",PR!$AA276,IF(K278="HLINE",PR!$AB276,IF(K278="ROTECH",PR!$AC276,IF(K278="ISN",PR!$AD276,IF(K278="JAWA",PR!$AE276,IF(K278="LAYO",PR!$AF276,IF(K278="LEADWAY",PR!$AG276,IF(K278="LHV",PR!$AH276,IF(K278="MANOLA",PR!$AI276,IF(K278="MARCSON",PR!$AJ276,IF(K278="M&amp;B",PR!$AK276,IF(K278="MTRUST",PR!$AL276,IF(K278="MWORLD",PR!$AM276,IF(K278="MEGA",PR!$AN276,IF(K278="MICRONOVA",PR!$AO276,IF(K278="MFLASH",PR!$AP276,IF(K278="MORISON",PR!$AQ276,IF(K278="NEMEL",PR!$AR276,IF(K278="NHP",PR!$AS276,IF(K278="NHC",PR!$AT276,IF(K278="OLEAF",PR!$AU276,IF(K278="OCULUS",PR!$AV276,IF(K278="PACIFIC",PR!$AW276,IF(K278="PHAMATEX",PR!$AX276,IF(K278="PETHICS",PR!$AY276,IF(K278="PHILIPS",PR!$AZ276,IF(K278="RANBAXY",PR!$BA276,IF(K278="REALS",PR!$BB276,IF(K278="ROYAL",PR!$BC276,IF(K278="SAM",PR!$BD276,IF(K278="SEAGREEN",PR!$BE276,IF(K278="SKG",PR!$BF276,IF(K278="TAH",PR!$BG276,IF(K278="TAYLEK",PR!$BH276,IF(K278="TEMITA",PR!$BI276,IF(K278="THL",PR!$BJ276,IF(K278="UBASTIC",PR!$BK276,IF(K278="UNION",PR!$BL276,IF(K278="UNIQUE",PR!$BM276,IF(K278="VIXA",PR!$BN276,IF(K278="WWCV",PR!$BO276,IF(K278="ZOLON",PR!$BP276,"-")))))))))))))))))))))))))))))))))))))))))))))))))))))))))))))))))</f>
        <v>240</v>
      </c>
    </row>
    <row r="279" spans="1:12" ht="18.75" x14ac:dyDescent="0.3">
      <c r="A279" s="430">
        <f>PR!A277</f>
        <v>253</v>
      </c>
      <c r="B279" s="15" t="str">
        <f>PR!B277</f>
        <v>FLUCONAZOLE 50MG CAP</v>
      </c>
      <c r="C279" s="113">
        <f>PR!D277</f>
        <v>6</v>
      </c>
      <c r="D279" s="113">
        <f>PR!C277</f>
        <v>200</v>
      </c>
      <c r="E279" s="108" t="str">
        <f>IF(F279="ALPHA",PR!$E277,IF(F279="ASSENE",PR!$F277,IF(F279="BIOFEM",PR!$G277,IF(F279="BIOMED",PR!$H277,IF(F279="CHI",PR!$I277,IF(F279="CLARION",PR!$J277,IF(F279="CODIX",PR!$K277,IF(F279="COSMADE",PR!$L277,IF(F279="SANCON",PR!$M277,IF(F279="DEVON",PR!$N277,IF(F279="DORTEMAG",PR!$O277,IF(F279="DGF",PR!$P277,IF(F279="DYNAMIC",PR!$Q277,IF(F279="EMZOR",PR!$R277,IF(F279="EUMATT",PR!$S277,IF(F279="FIDSON",PR!$T277,IF(F279="FCGLOBAL",PR!$U277,IF(F279="GENEITH",PR!$V277,IF(F279="GINOS",PR!$W277,IF(F279="GSK",PR!$X277,IF(F279="GLOBORG",PR!$Y277,IF(F279="GOODNEWS",PR!$Z277,IF(F279="GREENLIFE",PR!$AA277,IF(F279="HLINE",PR!$AB277,IF(F279="ROTECH",PR!$AC277,IF(F279="ISN",PR!$AD277,IF(F279="JAWA",PR!$AE277,IF(F279="LAYO",PR!$AF277,IF(F279="LEADWAY",PR!$AG277,IF(F279="LHV",PR!$AH277,IF(F279="MANOLA",PR!$AI277,IF(F279="MARCSON",PR!$AJ277,IF(F279="M&amp;B",PR!$AK277,IF(F279="MTRUST",PR!$AL277,IF(F279="MWORLD",PR!$AM277,IF(F279="MEGA",PR!$AN277,IF(F279="MICRONOVA",PR!$AO277,IF(F279="MFLASH",PR!$AP277,IF(F279="MORISON",PR!$AQ277,IF(F279="NEMEL",PR!$AR277,IF(F279="NHP",PR!$AS277,IF(F279="NHC",PR!$AT277,IF(F279="OLEAF",PR!$AU277,IF(F279="OCULUS",PR!$AV277,IF(F279="PACIFIC",PR!$AW277,IF(F279="PHAMATEX",PR!$AX277,IF(F279="PETHICS",PR!$AY277,IF(F279="PHILIPS",PR!$AZ277,IF(F279="RANBAXY",PR!$BA277,IF(F279="REALS",PR!$BB277,IF(F279="ROYAL",PR!$BC277,IF(F279="SAM",PR!$BD277,IF(F279="SEAGREEN",PR!$BE277,IF(F279="SKG",PR!$BF277,IF(F279="TAH",PR!$BG277,IF(F279="TAYLEK",PR!$BH277,IF(F279="TEMITA",PR!$BI277,IF(F279="THL",PR!$BJ277,IF(F279="UBASTIC",PR!$BK277,IF(F279="UNION",PR!$BL277,IF(F279="UNIQUE",PR!$BM277,IF(F279="VIXA",PR!$BN277,IF(F279="WWCV",PR!$BO277,IF(F279="ZOLON",PR!$BP277,"-"))))))))))))))))))))))))))))))))))))))))))))))))))))))))))))))))</f>
        <v>-</v>
      </c>
      <c r="F279" s="102">
        <f>EV!L364</f>
        <v>0</v>
      </c>
      <c r="G279" s="108" t="str">
        <f>IF(H279="ALPHA",PR!$E277,IF(H279="ASSENE",PR!$F277,IF(H279="BIOFEM",PR!$G277,IF(H279="BIOMED",PR!$H277,IF(H279="CHI",PR!$I277,IF(H279="CLARION",PR!$J277,IF(H279="CODIX",PR!$K277,IF(H279="COSMADE",PR!$L277,IF(H279="SANCON",PR!$M277,IF(H279="DEVON",PR!$N277,IF(H279="DORTEMAG",PR!$O277,IF(H279="DGF",PR!$P277,IF(H279="DYNAMIC",PR!$Q277,IF(H279="EMZOR",PR!$R277,IF(H279="EUMATT",PR!$S277,IF(H279="FIDSON",PR!$T277,IF(H279="FCGLOBAL",PR!$U277,IF(H279="GENEITH",PR!$V277,IF(H279="GINOS",PR!$W277,IF(H279="GSK",PR!$X277,IF(H279="GLOBORG",PR!$Y277,IF(H279="GOODNEWS",PR!$Z277,IF(H279="GREENLIFE",PR!$AA277,IF(H279="HLINE",PR!$AB277,IF(H279="ROTECH",PR!$AC277,IF(H279="ISN",PR!$AD277,IF(H279="JAWA",PR!$AE277,IF(H279="LAYO",PR!$AF277,IF(H279="LEADWAY",PR!$AG277,IF(H279="LHV",PR!$AH277,IF(H279="MANOLA",PR!$AI277,IF(H279="MARCSON",PR!$AJ277,IF(H279="M&amp;B",PR!$AK277,IF(H279="MTRUST",PR!$AL277,IF(H279="MWORLD",PR!$AM277,IF(H279="MEGA",PR!$AN277,IF(H279="MICRONOVA",PR!$AO277,IF(H279="MFLASH",PR!$AP277,IF(H279="MORISON",PR!$AQ277,IF(H279="NEMEL",PR!$AR277,IF(H279="NHP",PR!$AS277,IF(H279="NHC",PR!$AT277,IF(H279="OLEAF",PR!$AU277,IF(H279="OCULUS",PR!$AV277,IF(H279="PACIFIC",PR!$AW277,IF(H279="PHAMATEX",PR!$AX277,IF(H279="PETHICS",PR!$AY277,IF(H279="PHILIPS",PR!$AZ277,IF(H279="RANBAXY",PR!$BA277,IF(H279="REALS",PR!$BB277,IF(H279="ROYAL",PR!$BC277,IF(H279="SAM",PR!$BD277,IF(H279="SEAGREEN",PR!$BE277,IF(H279="SKG",PR!$BF277,IF(H279="TAH",PR!$BG277,IF(H279="TAYLEK",PR!$BH277,IF(H279="TEMITA",PR!$BI277,IF(H279="THL",PR!$BJ277,IF(H279="UBASTIC",PR!$BK277,IF(H279="UNION",PR!$BL277,IF(H279="UNIQUE",PR!$BM277,IF(H279="VIXA",PR!$BN277,IF(H279="WWCV",PR!$BO277,IF(H279="ZOLON",PR!$BP277,"-"))))))))))))))))))))))))))))))))))))))))))))))))))))))))))))))))</f>
        <v>-</v>
      </c>
      <c r="H279" s="102">
        <f>EV!M364</f>
        <v>0</v>
      </c>
      <c r="I279" s="108" t="str">
        <f>IF(J279="ALPHA",PR!$E277,IF(J279="ASSENE",PR!$F277,IF(J279="BIOFEM",PR!$G277,IF(J279="BIOMED",PR!$H277,IF(J279="CHI",PR!$I277,IF(J279="CLARION",PR!$J277,IF(J279="CODIX",PR!$K277,IF(J279="COSMADE",PR!$L277,IF(J279="SANCON",PR!$M277,IF(J279="DEVON",PR!$N277,IF(J279="DORTEMAG",PR!$O277,IF(J279="DGF",PR!$P277,IF(J279="DYNAMIC",PR!$Q277,IF(J279="EMZOR",PR!$R277,IF(J279="EUMATT",PR!$S277,IF(J279="FIDSON",PR!$T277,IF(J279="FCGLOBAL",PR!$U277,IF(J279="GENEITH",PR!$V277,IF(J279="GINOS",PR!$W277,IF(J279="GSK",PR!$X277,IF(J279="GLOBORG",PR!$Y277,IF(J279="GOODNEWS",PR!$Z277,IF(J279="GREENLIFE",PR!$AA277,IF(J279="HLINE",PR!$AB277,IF(J279="ROTECH",PR!$AC277,IF(J279="ISN",PR!$AD277,IF(J279="JAWA",PR!$AE277,IF(J279="LAYO",PR!$AF277,IF(J279="LEADWAY",PR!$AG277,IF(J279="LHV",PR!$AH277,IF(J279="MANOLA",PR!$AI277,IF(J279="MARCSON",PR!$AJ277,IF(J279="M&amp;B",PR!$AK277,IF(J279="MTRUST",PR!$AL277,IF(J279="MWORLD",PR!$AM277,IF(J279="MEGA",PR!$AN277,IF(J279="MICRONOVA",PR!$AO277,IF(J279="MFLASH",PR!$AP277,IF(J279="MORISON",PR!$AQ277,IF(J279="NEMEL",PR!$AR277,IF(J279="NHP",PR!$AS277,IF(J279="NHC",PR!$AT277,IF(J279="OLEAF",PR!$AU277,IF(J279="OCULUS",PR!$AV277,IF(J279="PACIFIC",PR!$AW277,IF(J279="PHAMATEX",PR!$AX277,IF(J279="PETHICS",PR!$AY277,IF(J279="PHILIPS",PR!$AZ277,IF(J279="RANBAXY",PR!$BA277,IF(J279="REALS",PR!$BB277,IF(J279="ROYAL",PR!$BC277,IF(J279="SAM",PR!$BD277,IF(J279="SEAGREEN",PR!$BE277,IF(J279="SKG",PR!$BF277,IF(J279="TAH",PR!$BG277,IF(J279="TAYLEK",PR!$BH277,IF(J279="TEMITA",PR!$BI277,IF(J279="THL",PR!$BJ277,IF(J279="UBASTIC",PR!$BK277,IF(J279="UNION",PR!$BL277,IF(J279="UNIQUE",PR!$BM277,IF(J279="VIXA",PR!$BN277,IF(J279="WWCV",PR!$BO277,IF(J279="ZOLON",PR!$BP277,"-"))))))))))))))))))))))))))))))))))))))))))))))))))))))))))))))))</f>
        <v>-</v>
      </c>
      <c r="J279" s="102">
        <f>EV!N364</f>
        <v>0</v>
      </c>
      <c r="K279" s="433"/>
      <c r="L279" s="183" t="b">
        <f>IF(K279&gt;0,IF(K279="ALPHA",PR!$E277,IF(K279="ASSENE",PR!$F277,IF(K279="BIOFEM",PR!$G277,IF(K279="BIOMED",PR!$H277,IF(K279="CHI",PR!$I277,IF(K279="CLARION",PR!$J277,IF(K279="CODIX",PR!$K277,IF(K279="COSMADE",PR!$L277,IF(K279="SANCON",PR!$M277,IF(K279="DEVON",PR!$N277,IF(K279="DORTEMAG",PR!$O277,IF(K279="DGF",PR!$P277,IF(K279="DYNAMIC",PR!$Q277,IF(K279="EMZOR",PR!$R277,IF(K279="EUMATT",PR!$S277,IF(K279="FIDSON",PR!$T277,IF(K279="FCGLOBAL",PR!$U277,IF(K279="GENEITH",PR!$V277,IF(K279="GINOS",PR!$W277,IF(K279="GSK",PR!$X277,IF(K279="GLOBORG",PR!$Y277,IF(K279="GOODNEWS",PR!$Z277,IF(K279="GREENLIFE",PR!$AA277,IF(K279="HLINE",PR!$AB277,IF(K279="ROTECH",PR!$AC277,IF(K279="ISN",PR!$AD277,IF(K279="JAWA",PR!$AE277,IF(K279="LAYO",PR!$AF277,IF(K279="LEADWAY",PR!$AG277,IF(K279="LHV",PR!$AH277,IF(K279="MANOLA",PR!$AI277,IF(K279="MARCSON",PR!$AJ277,IF(K279="M&amp;B",PR!$AK277,IF(K279="MTRUST",PR!$AL277,IF(K279="MWORLD",PR!$AM277,IF(K279="MEGA",PR!$AN277,IF(K279="MICRONOVA",PR!$AO277,IF(K279="MFLASH",PR!$AP277,IF(K279="MORISON",PR!$AQ277,IF(K279="NEMEL",PR!$AR277,IF(K279="NHP",PR!$AS277,IF(K279="NHC",PR!$AT277,IF(K279="OLEAF",PR!$AU277,IF(K279="OCULUS",PR!$AV277,IF(K279="PACIFIC",PR!$AW277,IF(K279="PHAMATEX",PR!$AX277,IF(K279="PETHICS",PR!$AY277,IF(K279="PHILIPS",PR!$AZ277,IF(K279="RANBAXY",PR!$BA277,IF(K279="REALS",PR!$BB277,IF(K279="ROYAL",PR!$BC277,IF(K279="SAM",PR!$BD277,IF(K279="SEAGREEN",PR!$BE277,IF(K279="SKG",PR!$BF277,IF(K279="TAH",PR!$BG277,IF(K279="TAYLEK",PR!$BH277,IF(K279="TEMITA",PR!$BI277,IF(K279="THL",PR!$BJ277,IF(K279="UBASTIC",PR!$BK277,IF(K279="UNION",PR!$BL277,IF(K279="UNIQUE",PR!$BM277,IF(K279="VIXA",PR!$BN277,IF(K279="WWCV",PR!$BO277,IF(K279="ZOLON",PR!$BP277,"-")))))))))))))))))))))))))))))))))))))))))))))))))))))))))))))))))</f>
        <v>0</v>
      </c>
    </row>
    <row r="280" spans="1:12" ht="18.75" x14ac:dyDescent="0.3">
      <c r="A280" s="430">
        <f>PR!A278</f>
        <v>254</v>
      </c>
      <c r="B280" s="15" t="str">
        <f>PR!B278</f>
        <v>GENTAMICIN CREAM</v>
      </c>
      <c r="C280" s="113" t="str">
        <f>PR!D278</f>
        <v>20G</v>
      </c>
      <c r="D280" s="113">
        <f>PR!C278</f>
        <v>100</v>
      </c>
      <c r="E280" s="108">
        <f>IF(F280="ALPHA",PR!$E278,IF(F280="ASSENE",PR!$F278,IF(F280="BIOFEM",PR!$G278,IF(F280="BIOMED",PR!$H278,IF(F280="CHI",PR!$I278,IF(F280="CLARION",PR!$J278,IF(F280="CODIX",PR!$K278,IF(F280="COSMADE",PR!$L278,IF(F280="SANCON",PR!$M278,IF(F280="DEVON",PR!$N278,IF(F280="DORTEMAG",PR!$O278,IF(F280="DGF",PR!$P278,IF(F280="DYNAMIC",PR!$Q278,IF(F280="EMZOR",PR!$R278,IF(F280="EUMATT",PR!$S278,IF(F280="FIDSON",PR!$T278,IF(F280="FCGLOBAL",PR!$U278,IF(F280="GENEITH",PR!$V278,IF(F280="GINOS",PR!$W278,IF(F280="GSK",PR!$X278,IF(F280="GLOBORG",PR!$Y278,IF(F280="GOODNEWS",PR!$Z278,IF(F280="GREENLIFE",PR!$AA278,IF(F280="HLINE",PR!$AB278,IF(F280="ROTECH",PR!$AC278,IF(F280="ISN",PR!$AD278,IF(F280="JAWA",PR!$AE278,IF(F280="LAYO",PR!$AF278,IF(F280="LEADWAY",PR!$AG278,IF(F280="LHV",PR!$AH278,IF(F280="MANOLA",PR!$AI278,IF(F280="MARCSON",PR!$AJ278,IF(F280="M&amp;B",PR!$AK278,IF(F280="MTRUST",PR!$AL278,IF(F280="MWORLD",PR!$AM278,IF(F280="MEGA",PR!$AN278,IF(F280="MICRONOVA",PR!$AO278,IF(F280="MFLASH",PR!$AP278,IF(F280="MORISON",PR!$AQ278,IF(F280="NEMEL",PR!$AR278,IF(F280="NHP",PR!$AS278,IF(F280="NHC",PR!$AT278,IF(F280="OLEAF",PR!$AU278,IF(F280="OCULUS",PR!$AV278,IF(F280="PACIFIC",PR!$AW278,IF(F280="PHAMATEX",PR!$AX278,IF(F280="PETHICS",PR!$AY278,IF(F280="PHILIPS",PR!$AZ278,IF(F280="RANBAXY",PR!$BA278,IF(F280="REALS",PR!$BB278,IF(F280="ROYAL",PR!$BC278,IF(F280="SAM",PR!$BD278,IF(F280="SEAGREEN",PR!$BE278,IF(F280="SKG",PR!$BF278,IF(F280="TAH",PR!$BG278,IF(F280="TAYLEK",PR!$BH278,IF(F280="TEMITA",PR!$BI278,IF(F280="THL",PR!$BJ278,IF(F280="UBASTIC",PR!$BK278,IF(F280="UNION",PR!$BL278,IF(F280="UNIQUE",PR!$BM278,IF(F280="VIXA",PR!$BN278,IF(F280="WWCV",PR!$BO278,IF(F280="ZOLON",PR!$BP278,"-"))))))))))))))))))))))))))))))))))))))))))))))))))))))))))))))))</f>
        <v>210</v>
      </c>
      <c r="F280" s="102" t="str">
        <f>EV!L365</f>
        <v>DGF</v>
      </c>
      <c r="G280" s="108" t="str">
        <f>IF(H280="ALPHA",PR!$E278,IF(H280="ASSENE",PR!$F278,IF(H280="BIOFEM",PR!$G278,IF(H280="BIOMED",PR!$H278,IF(H280="CHI",PR!$I278,IF(H280="CLARION",PR!$J278,IF(H280="CODIX",PR!$K278,IF(H280="COSMADE",PR!$L278,IF(H280="SANCON",PR!$M278,IF(H280="DEVON",PR!$N278,IF(H280="DORTEMAG",PR!$O278,IF(H280="DGF",PR!$P278,IF(H280="DYNAMIC",PR!$Q278,IF(H280="EMZOR",PR!$R278,IF(H280="EUMATT",PR!$S278,IF(H280="FIDSON",PR!$T278,IF(H280="FCGLOBAL",PR!$U278,IF(H280="GENEITH",PR!$V278,IF(H280="GINOS",PR!$W278,IF(H280="GSK",PR!$X278,IF(H280="GLOBORG",PR!$Y278,IF(H280="GOODNEWS",PR!$Z278,IF(H280="GREENLIFE",PR!$AA278,IF(H280="HLINE",PR!$AB278,IF(H280="ROTECH",PR!$AC278,IF(H280="ISN",PR!$AD278,IF(H280="JAWA",PR!$AE278,IF(H280="LAYO",PR!$AF278,IF(H280="LEADWAY",PR!$AG278,IF(H280="LHV",PR!$AH278,IF(H280="MANOLA",PR!$AI278,IF(H280="MARCSON",PR!$AJ278,IF(H280="M&amp;B",PR!$AK278,IF(H280="MTRUST",PR!$AL278,IF(H280="MWORLD",PR!$AM278,IF(H280="MEGA",PR!$AN278,IF(H280="MICRONOVA",PR!$AO278,IF(H280="MFLASH",PR!$AP278,IF(H280="MORISON",PR!$AQ278,IF(H280="NEMEL",PR!$AR278,IF(H280="NHP",PR!$AS278,IF(H280="NHC",PR!$AT278,IF(H280="OLEAF",PR!$AU278,IF(H280="OCULUS",PR!$AV278,IF(H280="PACIFIC",PR!$AW278,IF(H280="PHAMATEX",PR!$AX278,IF(H280="PETHICS",PR!$AY278,IF(H280="PHILIPS",PR!$AZ278,IF(H280="RANBAXY",PR!$BA278,IF(H280="REALS",PR!$BB278,IF(H280="ROYAL",PR!$BC278,IF(H280="SAM",PR!$BD278,IF(H280="SEAGREEN",PR!$BE278,IF(H280="SKG",PR!$BF278,IF(H280="TAH",PR!$BG278,IF(H280="TAYLEK",PR!$BH278,IF(H280="TEMITA",PR!$BI278,IF(H280="THL",PR!$BJ278,IF(H280="UBASTIC",PR!$BK278,IF(H280="UNION",PR!$BL278,IF(H280="UNIQUE",PR!$BM278,IF(H280="VIXA",PR!$BN278,IF(H280="WWCV",PR!$BO278,IF(H280="ZOLON",PR!$BP278,"-"))))))))))))))))))))))))))))))))))))))))))))))))))))))))))))))))</f>
        <v>-</v>
      </c>
      <c r="H280" s="102">
        <f>EV!M365</f>
        <v>0</v>
      </c>
      <c r="I280" s="108" t="str">
        <f>IF(J280="ALPHA",PR!$E278,IF(J280="ASSENE",PR!$F278,IF(J280="BIOFEM",PR!$G278,IF(J280="BIOMED",PR!$H278,IF(J280="CHI",PR!$I278,IF(J280="CLARION",PR!$J278,IF(J280="CODIX",PR!$K278,IF(J280="COSMADE",PR!$L278,IF(J280="SANCON",PR!$M278,IF(J280="DEVON",PR!$N278,IF(J280="DORTEMAG",PR!$O278,IF(J280="DGF",PR!$P278,IF(J280="DYNAMIC",PR!$Q278,IF(J280="EMZOR",PR!$R278,IF(J280="EUMATT",PR!$S278,IF(J280="FIDSON",PR!$T278,IF(J280="FCGLOBAL",PR!$U278,IF(J280="GENEITH",PR!$V278,IF(J280="GINOS",PR!$W278,IF(J280="GSK",PR!$X278,IF(J280="GLOBORG",PR!$Y278,IF(J280="GOODNEWS",PR!$Z278,IF(J280="GREENLIFE",PR!$AA278,IF(J280="HLINE",PR!$AB278,IF(J280="ROTECH",PR!$AC278,IF(J280="ISN",PR!$AD278,IF(J280="JAWA",PR!$AE278,IF(J280="LAYO",PR!$AF278,IF(J280="LEADWAY",PR!$AG278,IF(J280="LHV",PR!$AH278,IF(J280="MANOLA",PR!$AI278,IF(J280="MARCSON",PR!$AJ278,IF(J280="M&amp;B",PR!$AK278,IF(J280="MTRUST",PR!$AL278,IF(J280="MWORLD",PR!$AM278,IF(J280="MEGA",PR!$AN278,IF(J280="MICRONOVA",PR!$AO278,IF(J280="MFLASH",PR!$AP278,IF(J280="MORISON",PR!$AQ278,IF(J280="NEMEL",PR!$AR278,IF(J280="NHP",PR!$AS278,IF(J280="NHC",PR!$AT278,IF(J280="OLEAF",PR!$AU278,IF(J280="OCULUS",PR!$AV278,IF(J280="PACIFIC",PR!$AW278,IF(J280="PHAMATEX",PR!$AX278,IF(J280="PETHICS",PR!$AY278,IF(J280="PHILIPS",PR!$AZ278,IF(J280="RANBAXY",PR!$BA278,IF(J280="REALS",PR!$BB278,IF(J280="ROYAL",PR!$BC278,IF(J280="SAM",PR!$BD278,IF(J280="SEAGREEN",PR!$BE278,IF(J280="SKG",PR!$BF278,IF(J280="TAH",PR!$BG278,IF(J280="TAYLEK",PR!$BH278,IF(J280="TEMITA",PR!$BI278,IF(J280="THL",PR!$BJ278,IF(J280="UBASTIC",PR!$BK278,IF(J280="UNION",PR!$BL278,IF(J280="UNIQUE",PR!$BM278,IF(J280="VIXA",PR!$BN278,IF(J280="WWCV",PR!$BO278,IF(J280="ZOLON",PR!$BP278,"-"))))))))))))))))))))))))))))))))))))))))))))))))))))))))))))))))</f>
        <v>-</v>
      </c>
      <c r="J280" s="102">
        <f>EV!N365</f>
        <v>0</v>
      </c>
      <c r="K280" s="433" t="s">
        <v>829</v>
      </c>
      <c r="L280" s="183">
        <f>IF(K280&gt;0,IF(K280="ALPHA",PR!$E278,IF(K280="ASSENE",PR!$F278,IF(K280="BIOFEM",PR!$G278,IF(K280="BIOMED",PR!$H278,IF(K280="CHI",PR!$I278,IF(K280="CLARION",PR!$J278,IF(K280="CODIX",PR!$K278,IF(K280="COSMADE",PR!$L278,IF(K280="SANCON",PR!$M278,IF(K280="DEVON",PR!$N278,IF(K280="DORTEMAG",PR!$O278,IF(K280="DGF",PR!$P278,IF(K280="DYNAMIC",PR!$Q278,IF(K280="EMZOR",PR!$R278,IF(K280="EUMATT",PR!$S278,IF(K280="FIDSON",PR!$T278,IF(K280="FCGLOBAL",PR!$U278,IF(K280="GENEITH",PR!$V278,IF(K280="GINOS",PR!$W278,IF(K280="GSK",PR!$X278,IF(K280="GLOBORG",PR!$Y278,IF(K280="GOODNEWS",PR!$Z278,IF(K280="GREENLIFE",PR!$AA278,IF(K280="HLINE",PR!$AB278,IF(K280="ROTECH",PR!$AC278,IF(K280="ISN",PR!$AD278,IF(K280="JAWA",PR!$AE278,IF(K280="LAYO",PR!$AF278,IF(K280="LEADWAY",PR!$AG278,IF(K280="LHV",PR!$AH278,IF(K280="MANOLA",PR!$AI278,IF(K280="MARCSON",PR!$AJ278,IF(K280="M&amp;B",PR!$AK278,IF(K280="MTRUST",PR!$AL278,IF(K280="MWORLD",PR!$AM278,IF(K280="MEGA",PR!$AN278,IF(K280="MICRONOVA",PR!$AO278,IF(K280="MFLASH",PR!$AP278,IF(K280="MORISON",PR!$AQ278,IF(K280="NEMEL",PR!$AR278,IF(K280="NHP",PR!$AS278,IF(K280="NHC",PR!$AT278,IF(K280="OLEAF",PR!$AU278,IF(K280="OCULUS",PR!$AV278,IF(K280="PACIFIC",PR!$AW278,IF(K280="PHAMATEX",PR!$AX278,IF(K280="PETHICS",PR!$AY278,IF(K280="PHILIPS",PR!$AZ278,IF(K280="RANBAXY",PR!$BA278,IF(K280="REALS",PR!$BB278,IF(K280="ROYAL",PR!$BC278,IF(K280="SAM",PR!$BD278,IF(K280="SEAGREEN",PR!$BE278,IF(K280="SKG",PR!$BF278,IF(K280="TAH",PR!$BG278,IF(K280="TAYLEK",PR!$BH278,IF(K280="TEMITA",PR!$BI278,IF(K280="THL",PR!$BJ278,IF(K280="UBASTIC",PR!$BK278,IF(K280="UNION",PR!$BL278,IF(K280="UNIQUE",PR!$BM278,IF(K280="VIXA",PR!$BN278,IF(K280="WWCV",PR!$BO278,IF(K280="ZOLON",PR!$BP278,"-")))))))))))))))))))))))))))))))))))))))))))))))))))))))))))))))))</f>
        <v>210</v>
      </c>
    </row>
    <row r="281" spans="1:12" ht="18.75" x14ac:dyDescent="0.3">
      <c r="A281" s="430">
        <f>PR!A279</f>
        <v>255</v>
      </c>
      <c r="B281" s="15" t="str">
        <f>PR!B279</f>
        <v>GENTICIN 80MG INJ</v>
      </c>
      <c r="C281" s="113">
        <f>PR!D279</f>
        <v>50</v>
      </c>
      <c r="D281" s="113">
        <f>PR!C279</f>
        <v>300</v>
      </c>
      <c r="E281" s="108">
        <f>IF(F281="ALPHA",PR!$E279,IF(F281="ASSENE",PR!$F279,IF(F281="BIOFEM",PR!$G279,IF(F281="BIOMED",PR!$H279,IF(F281="CHI",PR!$I279,IF(F281="CLARION",PR!$J279,IF(F281="CODIX",PR!$K279,IF(F281="COSMADE",PR!$L279,IF(F281="SANCON",PR!$M279,IF(F281="DEVON",PR!$N279,IF(F281="DORTEMAG",PR!$O279,IF(F281="DGF",PR!$P279,IF(F281="DYNAMIC",PR!$Q279,IF(F281="EMZOR",PR!$R279,IF(F281="EUMATT",PR!$S279,IF(F281="FIDSON",PR!$T279,IF(F281="FCGLOBAL",PR!$U279,IF(F281="GENEITH",PR!$V279,IF(F281="GINOS",PR!$W279,IF(F281="GSK",PR!$X279,IF(F281="GLOBORG",PR!$Y279,IF(F281="GOODNEWS",PR!$Z279,IF(F281="GREENLIFE",PR!$AA279,IF(F281="HLINE",PR!$AB279,IF(F281="ROTECH",PR!$AC279,IF(F281="ISN",PR!$AD279,IF(F281="JAWA",PR!$AE279,IF(F281="LAYO",PR!$AF279,IF(F281="LEADWAY",PR!$AG279,IF(F281="LHV",PR!$AH279,IF(F281="MANOLA",PR!$AI279,IF(F281="MARCSON",PR!$AJ279,IF(F281="M&amp;B",PR!$AK279,IF(F281="MTRUST",PR!$AL279,IF(F281="MWORLD",PR!$AM279,IF(F281="MEGA",PR!$AN279,IF(F281="MICRONOVA",PR!$AO279,IF(F281="MFLASH",PR!$AP279,IF(F281="MORISON",PR!$AQ279,IF(F281="NEMEL",PR!$AR279,IF(F281="NHP",PR!$AS279,IF(F281="NHC",PR!$AT279,IF(F281="OLEAF",PR!$AU279,IF(F281="OCULUS",PR!$AV279,IF(F281="PACIFIC",PR!$AW279,IF(F281="PHAMATEX",PR!$AX279,IF(F281="PETHICS",PR!$AY279,IF(F281="PHILIPS",PR!$AZ279,IF(F281="RANBAXY",PR!$BA279,IF(F281="REALS",PR!$BB279,IF(F281="ROYAL",PR!$BC279,IF(F281="SAM",PR!$BD279,IF(F281="SEAGREEN",PR!$BE279,IF(F281="SKG",PR!$BF279,IF(F281="TAH",PR!$BG279,IF(F281="TAYLEK",PR!$BH279,IF(F281="TEMITA",PR!$BI279,IF(F281="THL",PR!$BJ279,IF(F281="UBASTIC",PR!$BK279,IF(F281="UNION",PR!$BL279,IF(F281="UNIQUE",PR!$BM279,IF(F281="VIXA",PR!$BN279,IF(F281="WWCV",PR!$BO279,IF(F281="ZOLON",PR!$BP279,"-"))))))))))))))))))))))))))))))))))))))))))))))))))))))))))))))))</f>
        <v>8550</v>
      </c>
      <c r="F281" s="102" t="str">
        <f>EV!L366</f>
        <v>TAYLEK</v>
      </c>
      <c r="G281" s="108" t="str">
        <f>IF(H281="ALPHA",PR!$E279,IF(H281="ASSENE",PR!$F279,IF(H281="BIOFEM",PR!$G279,IF(H281="BIOMED",PR!$H279,IF(H281="CHI",PR!$I279,IF(H281="CLARION",PR!$J279,IF(H281="CODIX",PR!$K279,IF(H281="COSMADE",PR!$L279,IF(H281="SANCON",PR!$M279,IF(H281="DEVON",PR!$N279,IF(H281="DORTEMAG",PR!$O279,IF(H281="DGF",PR!$P279,IF(H281="DYNAMIC",PR!$Q279,IF(H281="EMZOR",PR!$R279,IF(H281="EUMATT",PR!$S279,IF(H281="FIDSON",PR!$T279,IF(H281="FCGLOBAL",PR!$U279,IF(H281="GENEITH",PR!$V279,IF(H281="GINOS",PR!$W279,IF(H281="GSK",PR!$X279,IF(H281="GLOBORG",PR!$Y279,IF(H281="GOODNEWS",PR!$Z279,IF(H281="GREENLIFE",PR!$AA279,IF(H281="HLINE",PR!$AB279,IF(H281="ROTECH",PR!$AC279,IF(H281="ISN",PR!$AD279,IF(H281="JAWA",PR!$AE279,IF(H281="LAYO",PR!$AF279,IF(H281="LEADWAY",PR!$AG279,IF(H281="LHV",PR!$AH279,IF(H281="MANOLA",PR!$AI279,IF(H281="MARCSON",PR!$AJ279,IF(H281="M&amp;B",PR!$AK279,IF(H281="MTRUST",PR!$AL279,IF(H281="MWORLD",PR!$AM279,IF(H281="MEGA",PR!$AN279,IF(H281="MICRONOVA",PR!$AO279,IF(H281="MFLASH",PR!$AP279,IF(H281="MORISON",PR!$AQ279,IF(H281="NEMEL",PR!$AR279,IF(H281="NHP",PR!$AS279,IF(H281="NHC",PR!$AT279,IF(H281="OLEAF",PR!$AU279,IF(H281="OCULUS",PR!$AV279,IF(H281="PACIFIC",PR!$AW279,IF(H281="PHAMATEX",PR!$AX279,IF(H281="PETHICS",PR!$AY279,IF(H281="PHILIPS",PR!$AZ279,IF(H281="RANBAXY",PR!$BA279,IF(H281="REALS",PR!$BB279,IF(H281="ROYAL",PR!$BC279,IF(H281="SAM",PR!$BD279,IF(H281="SEAGREEN",PR!$BE279,IF(H281="SKG",PR!$BF279,IF(H281="TAH",PR!$BG279,IF(H281="TAYLEK",PR!$BH279,IF(H281="TEMITA",PR!$BI279,IF(H281="THL",PR!$BJ279,IF(H281="UBASTIC",PR!$BK279,IF(H281="UNION",PR!$BL279,IF(H281="UNIQUE",PR!$BM279,IF(H281="VIXA",PR!$BN279,IF(H281="WWCV",PR!$BO279,IF(H281="ZOLON",PR!$BP279,"-"))))))))))))))))))))))))))))))))))))))))))))))))))))))))))))))))</f>
        <v>-</v>
      </c>
      <c r="H281" s="102">
        <f>EV!M366</f>
        <v>0</v>
      </c>
      <c r="I281" s="108" t="str">
        <f>IF(J281="ALPHA",PR!$E279,IF(J281="ASSENE",PR!$F279,IF(J281="BIOFEM",PR!$G279,IF(J281="BIOMED",PR!$H279,IF(J281="CHI",PR!$I279,IF(J281="CLARION",PR!$J279,IF(J281="CODIX",PR!$K279,IF(J281="COSMADE",PR!$L279,IF(J281="SANCON",PR!$M279,IF(J281="DEVON",PR!$N279,IF(J281="DORTEMAG",PR!$O279,IF(J281="DGF",PR!$P279,IF(J281="DYNAMIC",PR!$Q279,IF(J281="EMZOR",PR!$R279,IF(J281="EUMATT",PR!$S279,IF(J281="FIDSON",PR!$T279,IF(J281="FCGLOBAL",PR!$U279,IF(J281="GENEITH",PR!$V279,IF(J281="GINOS",PR!$W279,IF(J281="GSK",PR!$X279,IF(J281="GLOBORG",PR!$Y279,IF(J281="GOODNEWS",PR!$Z279,IF(J281="GREENLIFE",PR!$AA279,IF(J281="HLINE",PR!$AB279,IF(J281="ROTECH",PR!$AC279,IF(J281="ISN",PR!$AD279,IF(J281="JAWA",PR!$AE279,IF(J281="LAYO",PR!$AF279,IF(J281="LEADWAY",PR!$AG279,IF(J281="LHV",PR!$AH279,IF(J281="MANOLA",PR!$AI279,IF(J281="MARCSON",PR!$AJ279,IF(J281="M&amp;B",PR!$AK279,IF(J281="MTRUST",PR!$AL279,IF(J281="MWORLD",PR!$AM279,IF(J281="MEGA",PR!$AN279,IF(J281="MICRONOVA",PR!$AO279,IF(J281="MFLASH",PR!$AP279,IF(J281="MORISON",PR!$AQ279,IF(J281="NEMEL",PR!$AR279,IF(J281="NHP",PR!$AS279,IF(J281="NHC",PR!$AT279,IF(J281="OLEAF",PR!$AU279,IF(J281="OCULUS",PR!$AV279,IF(J281="PACIFIC",PR!$AW279,IF(J281="PHAMATEX",PR!$AX279,IF(J281="PETHICS",PR!$AY279,IF(J281="PHILIPS",PR!$AZ279,IF(J281="RANBAXY",PR!$BA279,IF(J281="REALS",PR!$BB279,IF(J281="ROYAL",PR!$BC279,IF(J281="SAM",PR!$BD279,IF(J281="SEAGREEN",PR!$BE279,IF(J281="SKG",PR!$BF279,IF(J281="TAH",PR!$BG279,IF(J281="TAYLEK",PR!$BH279,IF(J281="TEMITA",PR!$BI279,IF(J281="THL",PR!$BJ279,IF(J281="UBASTIC",PR!$BK279,IF(J281="UNION",PR!$BL279,IF(J281="UNIQUE",PR!$BM279,IF(J281="VIXA",PR!$BN279,IF(J281="WWCV",PR!$BO279,IF(J281="ZOLON",PR!$BP279,"-"))))))))))))))))))))))))))))))))))))))))))))))))))))))))))))))))</f>
        <v>-</v>
      </c>
      <c r="J281" s="102">
        <f>EV!N366</f>
        <v>0</v>
      </c>
      <c r="K281" s="433" t="s">
        <v>646</v>
      </c>
      <c r="L281" s="183">
        <f>IF(K281&gt;0,IF(K281="ALPHA",PR!$E279,IF(K281="ASSENE",PR!$F279,IF(K281="BIOFEM",PR!$G279,IF(K281="BIOMED",PR!$H279,IF(K281="CHI",PR!$I279,IF(K281="CLARION",PR!$J279,IF(K281="CODIX",PR!$K279,IF(K281="COSMADE",PR!$L279,IF(K281="SANCON",PR!$M279,IF(K281="DEVON",PR!$N279,IF(K281="DORTEMAG",PR!$O279,IF(K281="DGF",PR!$P279,IF(K281="DYNAMIC",PR!$Q279,IF(K281="EMZOR",PR!$R279,IF(K281="EUMATT",PR!$S279,IF(K281="FIDSON",PR!$T279,IF(K281="FCGLOBAL",PR!$U279,IF(K281="GENEITH",PR!$V279,IF(K281="GINOS",PR!$W279,IF(K281="GSK",PR!$X279,IF(K281="GLOBORG",PR!$Y279,IF(K281="GOODNEWS",PR!$Z279,IF(K281="GREENLIFE",PR!$AA279,IF(K281="HLINE",PR!$AB279,IF(K281="ROTECH",PR!$AC279,IF(K281="ISN",PR!$AD279,IF(K281="JAWA",PR!$AE279,IF(K281="LAYO",PR!$AF279,IF(K281="LEADWAY",PR!$AG279,IF(K281="LHV",PR!$AH279,IF(K281="MANOLA",PR!$AI279,IF(K281="MARCSON",PR!$AJ279,IF(K281="M&amp;B",PR!$AK279,IF(K281="MTRUST",PR!$AL279,IF(K281="MWORLD",PR!$AM279,IF(K281="MEGA",PR!$AN279,IF(K281="MICRONOVA",PR!$AO279,IF(K281="MFLASH",PR!$AP279,IF(K281="MORISON",PR!$AQ279,IF(K281="NEMEL",PR!$AR279,IF(K281="NHP",PR!$AS279,IF(K281="NHC",PR!$AT279,IF(K281="OLEAF",PR!$AU279,IF(K281="OCULUS",PR!$AV279,IF(K281="PACIFIC",PR!$AW279,IF(K281="PHAMATEX",PR!$AX279,IF(K281="PETHICS",PR!$AY279,IF(K281="PHILIPS",PR!$AZ279,IF(K281="RANBAXY",PR!$BA279,IF(K281="REALS",PR!$BB279,IF(K281="ROYAL",PR!$BC279,IF(K281="SAM",PR!$BD279,IF(K281="SEAGREEN",PR!$BE279,IF(K281="SKG",PR!$BF279,IF(K281="TAH",PR!$BG279,IF(K281="TAYLEK",PR!$BH279,IF(K281="TEMITA",PR!$BI279,IF(K281="THL",PR!$BJ279,IF(K281="UBASTIC",PR!$BK279,IF(K281="UNION",PR!$BL279,IF(K281="UNIQUE",PR!$BM279,IF(K281="VIXA",PR!$BN279,IF(K281="WWCV",PR!$BO279,IF(K281="ZOLON",PR!$BP279,"-")))))))))))))))))))))))))))))))))))))))))))))))))))))))))))))))))</f>
        <v>8550</v>
      </c>
    </row>
    <row r="282" spans="1:12" ht="18.75" x14ac:dyDescent="0.3">
      <c r="A282" s="430">
        <f>PR!A280</f>
        <v>256</v>
      </c>
      <c r="B282" s="15" t="str">
        <f>PR!B280</f>
        <v>ISONIAZID 300MG TAB</v>
      </c>
      <c r="C282" s="113">
        <f>PR!D280</f>
        <v>1000</v>
      </c>
      <c r="D282" s="113">
        <f>PR!C280</f>
        <v>10</v>
      </c>
      <c r="E282" s="108">
        <f>IF(F282="ALPHA",PR!$E280,IF(F282="ASSENE",PR!$F280,IF(F282="BIOFEM",PR!$G280,IF(F282="BIOMED",PR!$H280,IF(F282="CHI",PR!$I280,IF(F282="CLARION",PR!$J280,IF(F282="CODIX",PR!$K280,IF(F282="COSMADE",PR!$L280,IF(F282="SANCON",PR!$M280,IF(F282="DEVON",PR!$N280,IF(F282="DORTEMAG",PR!$O280,IF(F282="DGF",PR!$P280,IF(F282="DYNAMIC",PR!$Q280,IF(F282="EMZOR",PR!$R280,IF(F282="EUMATT",PR!$S280,IF(F282="FIDSON",PR!$T280,IF(F282="FCGLOBAL",PR!$U280,IF(F282="GENEITH",PR!$V280,IF(F282="GINOS",PR!$W280,IF(F282="GSK",PR!$X280,IF(F282="GLOBORG",PR!$Y280,IF(F282="GOODNEWS",PR!$Z280,IF(F282="GREENLIFE",PR!$AA280,IF(F282="HLINE",PR!$AB280,IF(F282="ROTECH",PR!$AC280,IF(F282="ISN",PR!$AD280,IF(F282="JAWA",PR!$AE280,IF(F282="LAYO",PR!$AF280,IF(F282="LEADWAY",PR!$AG280,IF(F282="LHV",PR!$AH280,IF(F282="MANOLA",PR!$AI280,IF(F282="MARCSON",PR!$AJ280,IF(F282="M&amp;B",PR!$AK280,IF(F282="MTRUST",PR!$AL280,IF(F282="MWORLD",PR!$AM280,IF(F282="MEGA",PR!$AN280,IF(F282="MICRONOVA",PR!$AO280,IF(F282="MFLASH",PR!$AP280,IF(F282="MORISON",PR!$AQ280,IF(F282="NEMEL",PR!$AR280,IF(F282="NHP",PR!$AS280,IF(F282="NHC",PR!$AT280,IF(F282="OLEAF",PR!$AU280,IF(F282="OCULUS",PR!$AV280,IF(F282="PACIFIC",PR!$AW280,IF(F282="PHAMATEX",PR!$AX280,IF(F282="PETHICS",PR!$AY280,IF(F282="PHILIPS",PR!$AZ280,IF(F282="RANBAXY",PR!$BA280,IF(F282="REALS",PR!$BB280,IF(F282="ROYAL",PR!$BC280,IF(F282="SAM",PR!$BD280,IF(F282="SEAGREEN",PR!$BE280,IF(F282="SKG",PR!$BF280,IF(F282="TAH",PR!$BG280,IF(F282="TAYLEK",PR!$BH280,IF(F282="TEMITA",PR!$BI280,IF(F282="THL",PR!$BJ280,IF(F282="UBASTIC",PR!$BK280,IF(F282="UNION",PR!$BL280,IF(F282="UNIQUE",PR!$BM280,IF(F282="VIXA",PR!$BN280,IF(F282="WWCV",PR!$BO280,IF(F282="ZOLON",PR!$BP280,"-"))))))))))))))))))))))))))))))))))))))))))))))))))))))))))))))))</f>
        <v>4500</v>
      </c>
      <c r="F282" s="102" t="str">
        <f>EV!L367</f>
        <v>EUMATT</v>
      </c>
      <c r="G282" s="108" t="str">
        <f>IF(H282="ALPHA",PR!$E280,IF(H282="ASSENE",PR!$F280,IF(H282="BIOFEM",PR!$G280,IF(H282="BIOMED",PR!$H280,IF(H282="CHI",PR!$I280,IF(H282="CLARION",PR!$J280,IF(H282="CODIX",PR!$K280,IF(H282="COSMADE",PR!$L280,IF(H282="SANCON",PR!$M280,IF(H282="DEVON",PR!$N280,IF(H282="DORTEMAG",PR!$O280,IF(H282="DGF",PR!$P280,IF(H282="DYNAMIC",PR!$Q280,IF(H282="EMZOR",PR!$R280,IF(H282="EUMATT",PR!$S280,IF(H282="FIDSON",PR!$T280,IF(H282="FCGLOBAL",PR!$U280,IF(H282="GENEITH",PR!$V280,IF(H282="GINOS",PR!$W280,IF(H282="GSK",PR!$X280,IF(H282="GLOBORG",PR!$Y280,IF(H282="GOODNEWS",PR!$Z280,IF(H282="GREENLIFE",PR!$AA280,IF(H282="HLINE",PR!$AB280,IF(H282="ROTECH",PR!$AC280,IF(H282="ISN",PR!$AD280,IF(H282="JAWA",PR!$AE280,IF(H282="LAYO",PR!$AF280,IF(H282="LEADWAY",PR!$AG280,IF(H282="LHV",PR!$AH280,IF(H282="MANOLA",PR!$AI280,IF(H282="MARCSON",PR!$AJ280,IF(H282="M&amp;B",PR!$AK280,IF(H282="MTRUST",PR!$AL280,IF(H282="MWORLD",PR!$AM280,IF(H282="MEGA",PR!$AN280,IF(H282="MICRONOVA",PR!$AO280,IF(H282="MFLASH",PR!$AP280,IF(H282="MORISON",PR!$AQ280,IF(H282="NEMEL",PR!$AR280,IF(H282="NHP",PR!$AS280,IF(H282="NHC",PR!$AT280,IF(H282="OLEAF",PR!$AU280,IF(H282="OCULUS",PR!$AV280,IF(H282="PACIFIC",PR!$AW280,IF(H282="PHAMATEX",PR!$AX280,IF(H282="PETHICS",PR!$AY280,IF(H282="PHILIPS",PR!$AZ280,IF(H282="RANBAXY",PR!$BA280,IF(H282="REALS",PR!$BB280,IF(H282="ROYAL",PR!$BC280,IF(H282="SAM",PR!$BD280,IF(H282="SEAGREEN",PR!$BE280,IF(H282="SKG",PR!$BF280,IF(H282="TAH",PR!$BG280,IF(H282="TAYLEK",PR!$BH280,IF(H282="TEMITA",PR!$BI280,IF(H282="THL",PR!$BJ280,IF(H282="UBASTIC",PR!$BK280,IF(H282="UNION",PR!$BL280,IF(H282="UNIQUE",PR!$BM280,IF(H282="VIXA",PR!$BN280,IF(H282="WWCV",PR!$BO280,IF(H282="ZOLON",PR!$BP280,"-"))))))))))))))))))))))))))))))))))))))))))))))))))))))))))))))))</f>
        <v>-</v>
      </c>
      <c r="H282" s="102">
        <f>EV!M367</f>
        <v>0</v>
      </c>
      <c r="I282" s="108" t="str">
        <f>IF(J282="ALPHA",PR!$E280,IF(J282="ASSENE",PR!$F280,IF(J282="BIOFEM",PR!$G280,IF(J282="BIOMED",PR!$H280,IF(J282="CHI",PR!$I280,IF(J282="CLARION",PR!$J280,IF(J282="CODIX",PR!$K280,IF(J282="COSMADE",PR!$L280,IF(J282="SANCON",PR!$M280,IF(J282="DEVON",PR!$N280,IF(J282="DORTEMAG",PR!$O280,IF(J282="DGF",PR!$P280,IF(J282="DYNAMIC",PR!$Q280,IF(J282="EMZOR",PR!$R280,IF(J282="EUMATT",PR!$S280,IF(J282="FIDSON",PR!$T280,IF(J282="FCGLOBAL",PR!$U280,IF(J282="GENEITH",PR!$V280,IF(J282="GINOS",PR!$W280,IF(J282="GSK",PR!$X280,IF(J282="GLOBORG",PR!$Y280,IF(J282="GOODNEWS",PR!$Z280,IF(J282="GREENLIFE",PR!$AA280,IF(J282="HLINE",PR!$AB280,IF(J282="ROTECH",PR!$AC280,IF(J282="ISN",PR!$AD280,IF(J282="JAWA",PR!$AE280,IF(J282="LAYO",PR!$AF280,IF(J282="LEADWAY",PR!$AG280,IF(J282="LHV",PR!$AH280,IF(J282="MANOLA",PR!$AI280,IF(J282="MARCSON",PR!$AJ280,IF(J282="M&amp;B",PR!$AK280,IF(J282="MTRUST",PR!$AL280,IF(J282="MWORLD",PR!$AM280,IF(J282="MEGA",PR!$AN280,IF(J282="MICRONOVA",PR!$AO280,IF(J282="MFLASH",PR!$AP280,IF(J282="MORISON",PR!$AQ280,IF(J282="NEMEL",PR!$AR280,IF(J282="NHP",PR!$AS280,IF(J282="NHC",PR!$AT280,IF(J282="OLEAF",PR!$AU280,IF(J282="OCULUS",PR!$AV280,IF(J282="PACIFIC",PR!$AW280,IF(J282="PHAMATEX",PR!$AX280,IF(J282="PETHICS",PR!$AY280,IF(J282="PHILIPS",PR!$AZ280,IF(J282="RANBAXY",PR!$BA280,IF(J282="REALS",PR!$BB280,IF(J282="ROYAL",PR!$BC280,IF(J282="SAM",PR!$BD280,IF(J282="SEAGREEN",PR!$BE280,IF(J282="SKG",PR!$BF280,IF(J282="TAH",PR!$BG280,IF(J282="TAYLEK",PR!$BH280,IF(J282="TEMITA",PR!$BI280,IF(J282="THL",PR!$BJ280,IF(J282="UBASTIC",PR!$BK280,IF(J282="UNION",PR!$BL280,IF(J282="UNIQUE",PR!$BM280,IF(J282="VIXA",PR!$BN280,IF(J282="WWCV",PR!$BO280,IF(J282="ZOLON",PR!$BP280,"-"))))))))))))))))))))))))))))))))))))))))))))))))))))))))))))))))</f>
        <v>-</v>
      </c>
      <c r="J282" s="102">
        <f>EV!N367</f>
        <v>0</v>
      </c>
      <c r="K282" s="433"/>
      <c r="L282" s="183" t="b">
        <f>IF(K282&gt;0,IF(K282="ALPHA",PR!$E280,IF(K282="ASSENE",PR!$F280,IF(K282="BIOFEM",PR!$G280,IF(K282="BIOMED",PR!$H280,IF(K282="CHI",PR!$I280,IF(K282="CLARION",PR!$J280,IF(K282="CODIX",PR!$K280,IF(K282="COSMADE",PR!$L280,IF(K282="SANCON",PR!$M280,IF(K282="DEVON",PR!$N280,IF(K282="DORTEMAG",PR!$O280,IF(K282="DGF",PR!$P280,IF(K282="DYNAMIC",PR!$Q280,IF(K282="EMZOR",PR!$R280,IF(K282="EUMATT",PR!$S280,IF(K282="FIDSON",PR!$T280,IF(K282="FCGLOBAL",PR!$U280,IF(K282="GENEITH",PR!$V280,IF(K282="GINOS",PR!$W280,IF(K282="GSK",PR!$X280,IF(K282="GLOBORG",PR!$Y280,IF(K282="GOODNEWS",PR!$Z280,IF(K282="GREENLIFE",PR!$AA280,IF(K282="HLINE",PR!$AB280,IF(K282="ROTECH",PR!$AC280,IF(K282="ISN",PR!$AD280,IF(K282="JAWA",PR!$AE280,IF(K282="LAYO",PR!$AF280,IF(K282="LEADWAY",PR!$AG280,IF(K282="LHV",PR!$AH280,IF(K282="MANOLA",PR!$AI280,IF(K282="MARCSON",PR!$AJ280,IF(K282="M&amp;B",PR!$AK280,IF(K282="MTRUST",PR!$AL280,IF(K282="MWORLD",PR!$AM280,IF(K282="MEGA",PR!$AN280,IF(K282="MICRONOVA",PR!$AO280,IF(K282="MFLASH",PR!$AP280,IF(K282="MORISON",PR!$AQ280,IF(K282="NEMEL",PR!$AR280,IF(K282="NHP",PR!$AS280,IF(K282="NHC",PR!$AT280,IF(K282="OLEAF",PR!$AU280,IF(K282="OCULUS",PR!$AV280,IF(K282="PACIFIC",PR!$AW280,IF(K282="PHAMATEX",PR!$AX280,IF(K282="PETHICS",PR!$AY280,IF(K282="PHILIPS",PR!$AZ280,IF(K282="RANBAXY",PR!$BA280,IF(K282="REALS",PR!$BB280,IF(K282="ROYAL",PR!$BC280,IF(K282="SAM",PR!$BD280,IF(K282="SEAGREEN",PR!$BE280,IF(K282="SKG",PR!$BF280,IF(K282="TAH",PR!$BG280,IF(K282="TAYLEK",PR!$BH280,IF(K282="TEMITA",PR!$BI280,IF(K282="THL",PR!$BJ280,IF(K282="UBASTIC",PR!$BK280,IF(K282="UNION",PR!$BL280,IF(K282="UNIQUE",PR!$BM280,IF(K282="VIXA",PR!$BN280,IF(K282="WWCV",PR!$BO280,IF(K282="ZOLON",PR!$BP280,"-")))))))))))))))))))))))))))))))))))))))))))))))))))))))))))))))))</f>
        <v>0</v>
      </c>
    </row>
    <row r="283" spans="1:12" ht="18.75" x14ac:dyDescent="0.3">
      <c r="A283" s="430">
        <f>PR!A281</f>
        <v>257</v>
      </c>
      <c r="B283" s="15" t="str">
        <f>PR!B281</f>
        <v>ITRACONAZOLE CAP</v>
      </c>
      <c r="C283" s="113">
        <f>PR!D281</f>
        <v>10</v>
      </c>
      <c r="D283" s="113">
        <f>PR!C281</f>
        <v>100</v>
      </c>
      <c r="E283" s="108">
        <f>IF(F283="ALPHA",PR!$E281,IF(F283="ASSENE",PR!$F281,IF(F283="BIOFEM",PR!$G281,IF(F283="BIOMED",PR!$H281,IF(F283="CHI",PR!$I281,IF(F283="CLARION",PR!$J281,IF(F283="CODIX",PR!$K281,IF(F283="COSMADE",PR!$L281,IF(F283="SANCON",PR!$M281,IF(F283="DEVON",PR!$N281,IF(F283="DORTEMAG",PR!$O281,IF(F283="DGF",PR!$P281,IF(F283="DYNAMIC",PR!$Q281,IF(F283="EMZOR",PR!$R281,IF(F283="EUMATT",PR!$S281,IF(F283="FIDSON",PR!$T281,IF(F283="FCGLOBAL",PR!$U281,IF(F283="GENEITH",PR!$V281,IF(F283="GINOS",PR!$W281,IF(F283="GSK",PR!$X281,IF(F283="GLOBORG",PR!$Y281,IF(F283="GOODNEWS",PR!$Z281,IF(F283="GREENLIFE",PR!$AA281,IF(F283="HLINE",PR!$AB281,IF(F283="ROTECH",PR!$AC281,IF(F283="ISN",PR!$AD281,IF(F283="JAWA",PR!$AE281,IF(F283="LAYO",PR!$AF281,IF(F283="LEADWAY",PR!$AG281,IF(F283="LHV",PR!$AH281,IF(F283="MANOLA",PR!$AI281,IF(F283="MARCSON",PR!$AJ281,IF(F283="M&amp;B",PR!$AK281,IF(F283="MTRUST",PR!$AL281,IF(F283="MWORLD",PR!$AM281,IF(F283="MEGA",PR!$AN281,IF(F283="MICRONOVA",PR!$AO281,IF(F283="MFLASH",PR!$AP281,IF(F283="MORISON",PR!$AQ281,IF(F283="NEMEL",PR!$AR281,IF(F283="NHP",PR!$AS281,IF(F283="NHC",PR!$AT281,IF(F283="OLEAF",PR!$AU281,IF(F283="OCULUS",PR!$AV281,IF(F283="PACIFIC",PR!$AW281,IF(F283="PHAMATEX",PR!$AX281,IF(F283="PETHICS",PR!$AY281,IF(F283="PHILIPS",PR!$AZ281,IF(F283="RANBAXY",PR!$BA281,IF(F283="REALS",PR!$BB281,IF(F283="ROYAL",PR!$BC281,IF(F283="SAM",PR!$BD281,IF(F283="SEAGREEN",PR!$BE281,IF(F283="SKG",PR!$BF281,IF(F283="TAH",PR!$BG281,IF(F283="TAYLEK",PR!$BH281,IF(F283="TEMITA",PR!$BI281,IF(F283="THL",PR!$BJ281,IF(F283="UBASTIC",PR!$BK281,IF(F283="UNION",PR!$BL281,IF(F283="UNIQUE",PR!$BM281,IF(F283="VIXA",PR!$BN281,IF(F283="WWCV",PR!$BO281,IF(F283="ZOLON",PR!$BP281,"-"))))))))))))))))))))))))))))))))))))))))))))))))))))))))))))))))</f>
        <v>900</v>
      </c>
      <c r="F283" s="102" t="str">
        <f>EV!L368</f>
        <v>HLINE</v>
      </c>
      <c r="G283" s="108">
        <f>IF(H283="ALPHA",PR!$E281,IF(H283="ASSENE",PR!$F281,IF(H283="BIOFEM",PR!$G281,IF(H283="BIOMED",PR!$H281,IF(H283="CHI",PR!$I281,IF(H283="CLARION",PR!$J281,IF(H283="CODIX",PR!$K281,IF(H283="COSMADE",PR!$L281,IF(H283="SANCON",PR!$M281,IF(H283="DEVON",PR!$N281,IF(H283="DORTEMAG",PR!$O281,IF(H283="DGF",PR!$P281,IF(H283="DYNAMIC",PR!$Q281,IF(H283="EMZOR",PR!$R281,IF(H283="EUMATT",PR!$S281,IF(H283="FIDSON",PR!$T281,IF(H283="FCGLOBAL",PR!$U281,IF(H283="GENEITH",PR!$V281,IF(H283="GINOS",PR!$W281,IF(H283="GSK",PR!$X281,IF(H283="GLOBORG",PR!$Y281,IF(H283="GOODNEWS",PR!$Z281,IF(H283="GREENLIFE",PR!$AA281,IF(H283="HLINE",PR!$AB281,IF(H283="ROTECH",PR!$AC281,IF(H283="ISN",PR!$AD281,IF(H283="JAWA",PR!$AE281,IF(H283="LAYO",PR!$AF281,IF(H283="LEADWAY",PR!$AG281,IF(H283="LHV",PR!$AH281,IF(H283="MANOLA",PR!$AI281,IF(H283="MARCSON",PR!$AJ281,IF(H283="M&amp;B",PR!$AK281,IF(H283="MTRUST",PR!$AL281,IF(H283="MWORLD",PR!$AM281,IF(H283="MEGA",PR!$AN281,IF(H283="MICRONOVA",PR!$AO281,IF(H283="MFLASH",PR!$AP281,IF(H283="MORISON",PR!$AQ281,IF(H283="NEMEL",PR!$AR281,IF(H283="NHP",PR!$AS281,IF(H283="NHC",PR!$AT281,IF(H283="OLEAF",PR!$AU281,IF(H283="OCULUS",PR!$AV281,IF(H283="PACIFIC",PR!$AW281,IF(H283="PHAMATEX",PR!$AX281,IF(H283="PETHICS",PR!$AY281,IF(H283="PHILIPS",PR!$AZ281,IF(H283="RANBAXY",PR!$BA281,IF(H283="REALS",PR!$BB281,IF(H283="ROYAL",PR!$BC281,IF(H283="SAM",PR!$BD281,IF(H283="SEAGREEN",PR!$BE281,IF(H283="SKG",PR!$BF281,IF(H283="TAH",PR!$BG281,IF(H283="TAYLEK",PR!$BH281,IF(H283="TEMITA",PR!$BI281,IF(H283="THL",PR!$BJ281,IF(H283="UBASTIC",PR!$BK281,IF(H283="UNION",PR!$BL281,IF(H283="UNIQUE",PR!$BM281,IF(H283="VIXA",PR!$BN281,IF(H283="WWCV",PR!$BO281,IF(H283="ZOLON",PR!$BP281,"-"))))))))))))))))))))))))))))))))))))))))))))))))))))))))))))))))</f>
        <v>2300</v>
      </c>
      <c r="H283" s="102" t="str">
        <f>EV!M368</f>
        <v>ALPHA</v>
      </c>
      <c r="I283" s="108" t="str">
        <f>IF(J283="ALPHA",PR!$E281,IF(J283="ASSENE",PR!$F281,IF(J283="BIOFEM",PR!$G281,IF(J283="BIOMED",PR!$H281,IF(J283="CHI",PR!$I281,IF(J283="CLARION",PR!$J281,IF(J283="CODIX",PR!$K281,IF(J283="COSMADE",PR!$L281,IF(J283="SANCON",PR!$M281,IF(J283="DEVON",PR!$N281,IF(J283="DORTEMAG",PR!$O281,IF(J283="DGF",PR!$P281,IF(J283="DYNAMIC",PR!$Q281,IF(J283="EMZOR",PR!$R281,IF(J283="EUMATT",PR!$S281,IF(J283="FIDSON",PR!$T281,IF(J283="FCGLOBAL",PR!$U281,IF(J283="GENEITH",PR!$V281,IF(J283="GINOS",PR!$W281,IF(J283="GSK",PR!$X281,IF(J283="GLOBORG",PR!$Y281,IF(J283="GOODNEWS",PR!$Z281,IF(J283="GREENLIFE",PR!$AA281,IF(J283="HLINE",PR!$AB281,IF(J283="ROTECH",PR!$AC281,IF(J283="ISN",PR!$AD281,IF(J283="JAWA",PR!$AE281,IF(J283="LAYO",PR!$AF281,IF(J283="LEADWAY",PR!$AG281,IF(J283="LHV",PR!$AH281,IF(J283="MANOLA",PR!$AI281,IF(J283="MARCSON",PR!$AJ281,IF(J283="M&amp;B",PR!$AK281,IF(J283="MTRUST",PR!$AL281,IF(J283="MWORLD",PR!$AM281,IF(J283="MEGA",PR!$AN281,IF(J283="MICRONOVA",PR!$AO281,IF(J283="MFLASH",PR!$AP281,IF(J283="MORISON",PR!$AQ281,IF(J283="NEMEL",PR!$AR281,IF(J283="NHP",PR!$AS281,IF(J283="NHC",PR!$AT281,IF(J283="OLEAF",PR!$AU281,IF(J283="OCULUS",PR!$AV281,IF(J283="PACIFIC",PR!$AW281,IF(J283="PHAMATEX",PR!$AX281,IF(J283="PETHICS",PR!$AY281,IF(J283="PHILIPS",PR!$AZ281,IF(J283="RANBAXY",PR!$BA281,IF(J283="REALS",PR!$BB281,IF(J283="ROYAL",PR!$BC281,IF(J283="SAM",PR!$BD281,IF(J283="SEAGREEN",PR!$BE281,IF(J283="SKG",PR!$BF281,IF(J283="TAH",PR!$BG281,IF(J283="TAYLEK",PR!$BH281,IF(J283="TEMITA",PR!$BI281,IF(J283="THL",PR!$BJ281,IF(J283="UBASTIC",PR!$BK281,IF(J283="UNION",PR!$BL281,IF(J283="UNIQUE",PR!$BM281,IF(J283="VIXA",PR!$BN281,IF(J283="WWCV",PR!$BO281,IF(J283="ZOLON",PR!$BP281,"-"))))))))))))))))))))))))))))))))))))))))))))))))))))))))))))))))</f>
        <v>-</v>
      </c>
      <c r="J283" s="102">
        <f>EV!N368</f>
        <v>0</v>
      </c>
      <c r="K283" s="433" t="s">
        <v>634</v>
      </c>
      <c r="L283" s="183">
        <f>IF(K283&gt;0,IF(K283="ALPHA",PR!$E281,IF(K283="ASSENE",PR!$F281,IF(K283="BIOFEM",PR!$G281,IF(K283="BIOMED",PR!$H281,IF(K283="CHI",PR!$I281,IF(K283="CLARION",PR!$J281,IF(K283="CODIX",PR!$K281,IF(K283="COSMADE",PR!$L281,IF(K283="SANCON",PR!$M281,IF(K283="DEVON",PR!$N281,IF(K283="DORTEMAG",PR!$O281,IF(K283="DGF",PR!$P281,IF(K283="DYNAMIC",PR!$Q281,IF(K283="EMZOR",PR!$R281,IF(K283="EUMATT",PR!$S281,IF(K283="FIDSON",PR!$T281,IF(K283="FCGLOBAL",PR!$U281,IF(K283="GENEITH",PR!$V281,IF(K283="GINOS",PR!$W281,IF(K283="GSK",PR!$X281,IF(K283="GLOBORG",PR!$Y281,IF(K283="GOODNEWS",PR!$Z281,IF(K283="GREENLIFE",PR!$AA281,IF(K283="HLINE",PR!$AB281,IF(K283="ROTECH",PR!$AC281,IF(K283="ISN",PR!$AD281,IF(K283="JAWA",PR!$AE281,IF(K283="LAYO",PR!$AF281,IF(K283="LEADWAY",PR!$AG281,IF(K283="LHV",PR!$AH281,IF(K283="MANOLA",PR!$AI281,IF(K283="MARCSON",PR!$AJ281,IF(K283="M&amp;B",PR!$AK281,IF(K283="MTRUST",PR!$AL281,IF(K283="MWORLD",PR!$AM281,IF(K283="MEGA",PR!$AN281,IF(K283="MICRONOVA",PR!$AO281,IF(K283="MFLASH",PR!$AP281,IF(K283="MORISON",PR!$AQ281,IF(K283="NEMEL",PR!$AR281,IF(K283="NHP",PR!$AS281,IF(K283="NHC",PR!$AT281,IF(K283="OLEAF",PR!$AU281,IF(K283="OCULUS",PR!$AV281,IF(K283="PACIFIC",PR!$AW281,IF(K283="PHAMATEX",PR!$AX281,IF(K283="PETHICS",PR!$AY281,IF(K283="PHILIPS",PR!$AZ281,IF(K283="RANBAXY",PR!$BA281,IF(K283="REALS",PR!$BB281,IF(K283="ROYAL",PR!$BC281,IF(K283="SAM",PR!$BD281,IF(K283="SEAGREEN",PR!$BE281,IF(K283="SKG",PR!$BF281,IF(K283="TAH",PR!$BG281,IF(K283="TAYLEK",PR!$BH281,IF(K283="TEMITA",PR!$BI281,IF(K283="THL",PR!$BJ281,IF(K283="UBASTIC",PR!$BK281,IF(K283="UNION",PR!$BL281,IF(K283="UNIQUE",PR!$BM281,IF(K283="VIXA",PR!$BN281,IF(K283="WWCV",PR!$BO281,IF(K283="ZOLON",PR!$BP281,"-")))))))))))))))))))))))))))))))))))))))))))))))))))))))))))))))))</f>
        <v>2300</v>
      </c>
    </row>
    <row r="284" spans="1:12" ht="18.75" x14ac:dyDescent="0.3">
      <c r="A284" s="430">
        <f>PR!A282</f>
        <v>258</v>
      </c>
      <c r="B284" s="15" t="str">
        <f>PR!B282</f>
        <v>KETOCONAZOLE 200MG TAB</v>
      </c>
      <c r="C284" s="113">
        <f>PR!D282</f>
        <v>100</v>
      </c>
      <c r="D284" s="113">
        <f>PR!C282</f>
        <v>100</v>
      </c>
      <c r="E284" s="108">
        <f>IF(F284="ALPHA",PR!$E282,IF(F284="ASSENE",PR!$F282,IF(F284="BIOFEM",PR!$G282,IF(F284="BIOMED",PR!$H282,IF(F284="CHI",PR!$I282,IF(F284="CLARION",PR!$J282,IF(F284="CODIX",PR!$K282,IF(F284="COSMADE",PR!$L282,IF(F284="SANCON",PR!$M282,IF(F284="DEVON",PR!$N282,IF(F284="DORTEMAG",PR!$O282,IF(F284="DGF",PR!$P282,IF(F284="DYNAMIC",PR!$Q282,IF(F284="EMZOR",PR!$R282,IF(F284="EUMATT",PR!$S282,IF(F284="FIDSON",PR!$T282,IF(F284="FCGLOBAL",PR!$U282,IF(F284="GENEITH",PR!$V282,IF(F284="GINOS",PR!$W282,IF(F284="GSK",PR!$X282,IF(F284="GLOBORG",PR!$Y282,IF(F284="GOODNEWS",PR!$Z282,IF(F284="GREENLIFE",PR!$AA282,IF(F284="HLINE",PR!$AB282,IF(F284="ROTECH",PR!$AC282,IF(F284="ISN",PR!$AD282,IF(F284="JAWA",PR!$AE282,IF(F284="LAYO",PR!$AF282,IF(F284="LEADWAY",PR!$AG282,IF(F284="LHV",PR!$AH282,IF(F284="MANOLA",PR!$AI282,IF(F284="MARCSON",PR!$AJ282,IF(F284="M&amp;B",PR!$AK282,IF(F284="MTRUST",PR!$AL282,IF(F284="MWORLD",PR!$AM282,IF(F284="MEGA",PR!$AN282,IF(F284="MICRONOVA",PR!$AO282,IF(F284="MFLASH",PR!$AP282,IF(F284="MORISON",PR!$AQ282,IF(F284="NEMEL",PR!$AR282,IF(F284="NHP",PR!$AS282,IF(F284="NHC",PR!$AT282,IF(F284="OLEAF",PR!$AU282,IF(F284="OCULUS",PR!$AV282,IF(F284="PACIFIC",PR!$AW282,IF(F284="PHAMATEX",PR!$AX282,IF(F284="PETHICS",PR!$AY282,IF(F284="PHILIPS",PR!$AZ282,IF(F284="RANBAXY",PR!$BA282,IF(F284="REALS",PR!$BB282,IF(F284="ROYAL",PR!$BC282,IF(F284="SAM",PR!$BD282,IF(F284="SEAGREEN",PR!$BE282,IF(F284="SKG",PR!$BF282,IF(F284="TAH",PR!$BG282,IF(F284="TAYLEK",PR!$BH282,IF(F284="TEMITA",PR!$BI282,IF(F284="THL",PR!$BJ282,IF(F284="UBASTIC",PR!$BK282,IF(F284="UNION",PR!$BL282,IF(F284="UNIQUE",PR!$BM282,IF(F284="VIXA",PR!$BN282,IF(F284="WWCV",PR!$BO282,IF(F284="ZOLON",PR!$BP282,"-"))))))))))))))))))))))))))))))))))))))))))))))))))))))))))))))))</f>
        <v>1300</v>
      </c>
      <c r="F284" s="102" t="str">
        <f>EV!L369</f>
        <v>PHAMATEX</v>
      </c>
      <c r="G284" s="108">
        <f>IF(H284="ALPHA",PR!$E282,IF(H284="ASSENE",PR!$F282,IF(H284="BIOFEM",PR!$G282,IF(H284="BIOMED",PR!$H282,IF(H284="CHI",PR!$I282,IF(H284="CLARION",PR!$J282,IF(H284="CODIX",PR!$K282,IF(H284="COSMADE",PR!$L282,IF(H284="SANCON",PR!$M282,IF(H284="DEVON",PR!$N282,IF(H284="DORTEMAG",PR!$O282,IF(H284="DGF",PR!$P282,IF(H284="DYNAMIC",PR!$Q282,IF(H284="EMZOR",PR!$R282,IF(H284="EUMATT",PR!$S282,IF(H284="FIDSON",PR!$T282,IF(H284="FCGLOBAL",PR!$U282,IF(H284="GENEITH",PR!$V282,IF(H284="GINOS",PR!$W282,IF(H284="GSK",PR!$X282,IF(H284="GLOBORG",PR!$Y282,IF(H284="GOODNEWS",PR!$Z282,IF(H284="GREENLIFE",PR!$AA282,IF(H284="HLINE",PR!$AB282,IF(H284="ROTECH",PR!$AC282,IF(H284="ISN",PR!$AD282,IF(H284="JAWA",PR!$AE282,IF(H284="LAYO",PR!$AF282,IF(H284="LEADWAY",PR!$AG282,IF(H284="LHV",PR!$AH282,IF(H284="MANOLA",PR!$AI282,IF(H284="MARCSON",PR!$AJ282,IF(H284="M&amp;B",PR!$AK282,IF(H284="MTRUST",PR!$AL282,IF(H284="MWORLD",PR!$AM282,IF(H284="MEGA",PR!$AN282,IF(H284="MICRONOVA",PR!$AO282,IF(H284="MFLASH",PR!$AP282,IF(H284="MORISON",PR!$AQ282,IF(H284="NEMEL",PR!$AR282,IF(H284="NHP",PR!$AS282,IF(H284="NHC",PR!$AT282,IF(H284="OLEAF",PR!$AU282,IF(H284="OCULUS",PR!$AV282,IF(H284="PACIFIC",PR!$AW282,IF(H284="PHAMATEX",PR!$AX282,IF(H284="PETHICS",PR!$AY282,IF(H284="PHILIPS",PR!$AZ282,IF(H284="RANBAXY",PR!$BA282,IF(H284="REALS",PR!$BB282,IF(H284="ROYAL",PR!$BC282,IF(H284="SAM",PR!$BD282,IF(H284="SEAGREEN",PR!$BE282,IF(H284="SKG",PR!$BF282,IF(H284="TAH",PR!$BG282,IF(H284="TAYLEK",PR!$BH282,IF(H284="TEMITA",PR!$BI282,IF(H284="THL",PR!$BJ282,IF(H284="UBASTIC",PR!$BK282,IF(H284="UNION",PR!$BL282,IF(H284="UNIQUE",PR!$BM282,IF(H284="VIXA",PR!$BN282,IF(H284="WWCV",PR!$BO282,IF(H284="ZOLON",PR!$BP282,"-"))))))))))))))))))))))))))))))))))))))))))))))))))))))))))))))))</f>
        <v>2350</v>
      </c>
      <c r="H284" s="102" t="str">
        <f>EV!M369</f>
        <v>SAM</v>
      </c>
      <c r="I284" s="108" t="str">
        <f>IF(J284="ALPHA",PR!$E282,IF(J284="ASSENE",PR!$F282,IF(J284="BIOFEM",PR!$G282,IF(J284="BIOMED",PR!$H282,IF(J284="CHI",PR!$I282,IF(J284="CLARION",PR!$J282,IF(J284="CODIX",PR!$K282,IF(J284="COSMADE",PR!$L282,IF(J284="SANCON",PR!$M282,IF(J284="DEVON",PR!$N282,IF(J284="DORTEMAG",PR!$O282,IF(J284="DGF",PR!$P282,IF(J284="DYNAMIC",PR!$Q282,IF(J284="EMZOR",PR!$R282,IF(J284="EUMATT",PR!$S282,IF(J284="FIDSON",PR!$T282,IF(J284="FCGLOBAL",PR!$U282,IF(J284="GENEITH",PR!$V282,IF(J284="GINOS",PR!$W282,IF(J284="GSK",PR!$X282,IF(J284="GLOBORG",PR!$Y282,IF(J284="GOODNEWS",PR!$Z282,IF(J284="GREENLIFE",PR!$AA282,IF(J284="HLINE",PR!$AB282,IF(J284="ROTECH",PR!$AC282,IF(J284="ISN",PR!$AD282,IF(J284="JAWA",PR!$AE282,IF(J284="LAYO",PR!$AF282,IF(J284="LEADWAY",PR!$AG282,IF(J284="LHV",PR!$AH282,IF(J284="MANOLA",PR!$AI282,IF(J284="MARCSON",PR!$AJ282,IF(J284="M&amp;B",PR!$AK282,IF(J284="MTRUST",PR!$AL282,IF(J284="MWORLD",PR!$AM282,IF(J284="MEGA",PR!$AN282,IF(J284="MICRONOVA",PR!$AO282,IF(J284="MFLASH",PR!$AP282,IF(J284="MORISON",PR!$AQ282,IF(J284="NEMEL",PR!$AR282,IF(J284="NHP",PR!$AS282,IF(J284="NHC",PR!$AT282,IF(J284="OLEAF",PR!$AU282,IF(J284="OCULUS",PR!$AV282,IF(J284="PACIFIC",PR!$AW282,IF(J284="PHAMATEX",PR!$AX282,IF(J284="PETHICS",PR!$AY282,IF(J284="PHILIPS",PR!$AZ282,IF(J284="RANBAXY",PR!$BA282,IF(J284="REALS",PR!$BB282,IF(J284="ROYAL",PR!$BC282,IF(J284="SAM",PR!$BD282,IF(J284="SEAGREEN",PR!$BE282,IF(J284="SKG",PR!$BF282,IF(J284="TAH",PR!$BG282,IF(J284="TAYLEK",PR!$BH282,IF(J284="TEMITA",PR!$BI282,IF(J284="THL",PR!$BJ282,IF(J284="UBASTIC",PR!$BK282,IF(J284="UNION",PR!$BL282,IF(J284="UNIQUE",PR!$BM282,IF(J284="VIXA",PR!$BN282,IF(J284="WWCV",PR!$BO282,IF(J284="ZOLON",PR!$BP282,"-"))))))))))))))))))))))))))))))))))))))))))))))))))))))))))))))))</f>
        <v>-</v>
      </c>
      <c r="J284" s="102">
        <f>EV!N369</f>
        <v>0</v>
      </c>
      <c r="K284" s="433" t="s">
        <v>627</v>
      </c>
      <c r="L284" s="183">
        <f>IF(K284&gt;0,IF(K284="ALPHA",PR!$E282,IF(K284="ASSENE",PR!$F282,IF(K284="BIOFEM",PR!$G282,IF(K284="BIOMED",PR!$H282,IF(K284="CHI",PR!$I282,IF(K284="CLARION",PR!$J282,IF(K284="CODIX",PR!$K282,IF(K284="COSMADE",PR!$L282,IF(K284="SANCON",PR!$M282,IF(K284="DEVON",PR!$N282,IF(K284="DORTEMAG",PR!$O282,IF(K284="DGF",PR!$P282,IF(K284="DYNAMIC",PR!$Q282,IF(K284="EMZOR",PR!$R282,IF(K284="EUMATT",PR!$S282,IF(K284="FIDSON",PR!$T282,IF(K284="FCGLOBAL",PR!$U282,IF(K284="GENEITH",PR!$V282,IF(K284="GINOS",PR!$W282,IF(K284="GSK",PR!$X282,IF(K284="GLOBORG",PR!$Y282,IF(K284="GOODNEWS",PR!$Z282,IF(K284="GREENLIFE",PR!$AA282,IF(K284="HLINE",PR!$AB282,IF(K284="ROTECH",PR!$AC282,IF(K284="ISN",PR!$AD282,IF(K284="JAWA",PR!$AE282,IF(K284="LAYO",PR!$AF282,IF(K284="LEADWAY",PR!$AG282,IF(K284="LHV",PR!$AH282,IF(K284="MANOLA",PR!$AI282,IF(K284="MARCSON",PR!$AJ282,IF(K284="M&amp;B",PR!$AK282,IF(K284="MTRUST",PR!$AL282,IF(K284="MWORLD",PR!$AM282,IF(K284="MEGA",PR!$AN282,IF(K284="MICRONOVA",PR!$AO282,IF(K284="MFLASH",PR!$AP282,IF(K284="MORISON",PR!$AQ282,IF(K284="NEMEL",PR!$AR282,IF(K284="NHP",PR!$AS282,IF(K284="NHC",PR!$AT282,IF(K284="OLEAF",PR!$AU282,IF(K284="OCULUS",PR!$AV282,IF(K284="PACIFIC",PR!$AW282,IF(K284="PHAMATEX",PR!$AX282,IF(K284="PETHICS",PR!$AY282,IF(K284="PHILIPS",PR!$AZ282,IF(K284="RANBAXY",PR!$BA282,IF(K284="REALS",PR!$BB282,IF(K284="ROYAL",PR!$BC282,IF(K284="SAM",PR!$BD282,IF(K284="SEAGREEN",PR!$BE282,IF(K284="SKG",PR!$BF282,IF(K284="TAH",PR!$BG282,IF(K284="TAYLEK",PR!$BH282,IF(K284="TEMITA",PR!$BI282,IF(K284="THL",PR!$BJ282,IF(K284="UBASTIC",PR!$BK282,IF(K284="UNION",PR!$BL282,IF(K284="UNIQUE",PR!$BM282,IF(K284="VIXA",PR!$BN282,IF(K284="WWCV",PR!$BO282,IF(K284="ZOLON",PR!$BP282,"-")))))))))))))))))))))))))))))))))))))))))))))))))))))))))))))))))</f>
        <v>1300</v>
      </c>
    </row>
    <row r="285" spans="1:12" ht="18.75" x14ac:dyDescent="0.3">
      <c r="A285" s="430">
        <f>PR!A283</f>
        <v>259</v>
      </c>
      <c r="B285" s="15" t="str">
        <f>PR!B283</f>
        <v>KETOCONAZOLE SHAMPOO</v>
      </c>
      <c r="C285" s="113" t="str">
        <f>PR!D283</f>
        <v>TUBE</v>
      </c>
      <c r="D285" s="113">
        <f>PR!C283</f>
        <v>20</v>
      </c>
      <c r="E285" s="108">
        <f>IF(F285="ALPHA",PR!$E283,IF(F285="ASSENE",PR!$F283,IF(F285="BIOFEM",PR!$G283,IF(F285="BIOMED",PR!$H283,IF(F285="CHI",PR!$I283,IF(F285="CLARION",PR!$J283,IF(F285="CODIX",PR!$K283,IF(F285="COSMADE",PR!$L283,IF(F285="SANCON",PR!$M283,IF(F285="DEVON",PR!$N283,IF(F285="DORTEMAG",PR!$O283,IF(F285="DGF",PR!$P283,IF(F285="DYNAMIC",PR!$Q283,IF(F285="EMZOR",PR!$R283,IF(F285="EUMATT",PR!$S283,IF(F285="FIDSON",PR!$T283,IF(F285="FCGLOBAL",PR!$U283,IF(F285="GENEITH",PR!$V283,IF(F285="GINOS",PR!$W283,IF(F285="GSK",PR!$X283,IF(F285="GLOBORG",PR!$Y283,IF(F285="GOODNEWS",PR!$Z283,IF(F285="GREENLIFE",PR!$AA283,IF(F285="HLINE",PR!$AB283,IF(F285="ROTECH",PR!$AC283,IF(F285="ISN",PR!$AD283,IF(F285="JAWA",PR!$AE283,IF(F285="LAYO",PR!$AF283,IF(F285="LEADWAY",PR!$AG283,IF(F285="LHV",PR!$AH283,IF(F285="MANOLA",PR!$AI283,IF(F285="MARCSON",PR!$AJ283,IF(F285="M&amp;B",PR!$AK283,IF(F285="MTRUST",PR!$AL283,IF(F285="MWORLD",PR!$AM283,IF(F285="MEGA",PR!$AN283,IF(F285="MICRONOVA",PR!$AO283,IF(F285="MFLASH",PR!$AP283,IF(F285="MORISON",PR!$AQ283,IF(F285="NEMEL",PR!$AR283,IF(F285="NHP",PR!$AS283,IF(F285="NHC",PR!$AT283,IF(F285="OLEAF",PR!$AU283,IF(F285="OCULUS",PR!$AV283,IF(F285="PACIFIC",PR!$AW283,IF(F285="PHAMATEX",PR!$AX283,IF(F285="PETHICS",PR!$AY283,IF(F285="PHILIPS",PR!$AZ283,IF(F285="RANBAXY",PR!$BA283,IF(F285="REALS",PR!$BB283,IF(F285="ROYAL",PR!$BC283,IF(F285="SAM",PR!$BD283,IF(F285="SEAGREEN",PR!$BE283,IF(F285="SKG",PR!$BF283,IF(F285="TAH",PR!$BG283,IF(F285="TAYLEK",PR!$BH283,IF(F285="TEMITA",PR!$BI283,IF(F285="THL",PR!$BJ283,IF(F285="UBASTIC",PR!$BK283,IF(F285="UNION",PR!$BL283,IF(F285="UNIQUE",PR!$BM283,IF(F285="VIXA",PR!$BN283,IF(F285="WWCV",PR!$BO283,IF(F285="ZOLON",PR!$BP283,"-"))))))))))))))))))))))))))))))))))))))))))))))))))))))))))))))))</f>
        <v>1825</v>
      </c>
      <c r="F285" s="102" t="str">
        <f>EV!L370</f>
        <v>NHC</v>
      </c>
      <c r="G285" s="108" t="str">
        <f>IF(H285="ALPHA",PR!$E283,IF(H285="ASSENE",PR!$F283,IF(H285="BIOFEM",PR!$G283,IF(H285="BIOMED",PR!$H283,IF(H285="CHI",PR!$I283,IF(H285="CLARION",PR!$J283,IF(H285="CODIX",PR!$K283,IF(H285="COSMADE",PR!$L283,IF(H285="SANCON",PR!$M283,IF(H285="DEVON",PR!$N283,IF(H285="DORTEMAG",PR!$O283,IF(H285="DGF",PR!$P283,IF(H285="DYNAMIC",PR!$Q283,IF(H285="EMZOR",PR!$R283,IF(H285="EUMATT",PR!$S283,IF(H285="FIDSON",PR!$T283,IF(H285="FCGLOBAL",PR!$U283,IF(H285="GENEITH",PR!$V283,IF(H285="GINOS",PR!$W283,IF(H285="GSK",PR!$X283,IF(H285="GLOBORG",PR!$Y283,IF(H285="GOODNEWS",PR!$Z283,IF(H285="GREENLIFE",PR!$AA283,IF(H285="HLINE",PR!$AB283,IF(H285="ROTECH",PR!$AC283,IF(H285="ISN",PR!$AD283,IF(H285="JAWA",PR!$AE283,IF(H285="LAYO",PR!$AF283,IF(H285="LEADWAY",PR!$AG283,IF(H285="LHV",PR!$AH283,IF(H285="MANOLA",PR!$AI283,IF(H285="MARCSON",PR!$AJ283,IF(H285="M&amp;B",PR!$AK283,IF(H285="MTRUST",PR!$AL283,IF(H285="MWORLD",PR!$AM283,IF(H285="MEGA",PR!$AN283,IF(H285="MICRONOVA",PR!$AO283,IF(H285="MFLASH",PR!$AP283,IF(H285="MORISON",PR!$AQ283,IF(H285="NEMEL",PR!$AR283,IF(H285="NHP",PR!$AS283,IF(H285="NHC",PR!$AT283,IF(H285="OLEAF",PR!$AU283,IF(H285="OCULUS",PR!$AV283,IF(H285="PACIFIC",PR!$AW283,IF(H285="PHAMATEX",PR!$AX283,IF(H285="PETHICS",PR!$AY283,IF(H285="PHILIPS",PR!$AZ283,IF(H285="RANBAXY",PR!$BA283,IF(H285="REALS",PR!$BB283,IF(H285="ROYAL",PR!$BC283,IF(H285="SAM",PR!$BD283,IF(H285="SEAGREEN",PR!$BE283,IF(H285="SKG",PR!$BF283,IF(H285="TAH",PR!$BG283,IF(H285="TAYLEK",PR!$BH283,IF(H285="TEMITA",PR!$BI283,IF(H285="THL",PR!$BJ283,IF(H285="UBASTIC",PR!$BK283,IF(H285="UNION",PR!$BL283,IF(H285="UNIQUE",PR!$BM283,IF(H285="VIXA",PR!$BN283,IF(H285="WWCV",PR!$BO283,IF(H285="ZOLON",PR!$BP283,"-"))))))))))))))))))))))))))))))))))))))))))))))))))))))))))))))))</f>
        <v>-</v>
      </c>
      <c r="H285" s="102">
        <f>EV!M370</f>
        <v>0</v>
      </c>
      <c r="I285" s="108" t="str">
        <f>IF(J285="ALPHA",PR!$E283,IF(J285="ASSENE",PR!$F283,IF(J285="BIOFEM",PR!$G283,IF(J285="BIOMED",PR!$H283,IF(J285="CHI",PR!$I283,IF(J285="CLARION",PR!$J283,IF(J285="CODIX",PR!$K283,IF(J285="COSMADE",PR!$L283,IF(J285="SANCON",PR!$M283,IF(J285="DEVON",PR!$N283,IF(J285="DORTEMAG",PR!$O283,IF(J285="DGF",PR!$P283,IF(J285="DYNAMIC",PR!$Q283,IF(J285="EMZOR",PR!$R283,IF(J285="EUMATT",PR!$S283,IF(J285="FIDSON",PR!$T283,IF(J285="FCGLOBAL",PR!$U283,IF(J285="GENEITH",PR!$V283,IF(J285="GINOS",PR!$W283,IF(J285="GSK",PR!$X283,IF(J285="GLOBORG",PR!$Y283,IF(J285="GOODNEWS",PR!$Z283,IF(J285="GREENLIFE",PR!$AA283,IF(J285="HLINE",PR!$AB283,IF(J285="ROTECH",PR!$AC283,IF(J285="ISN",PR!$AD283,IF(J285="JAWA",PR!$AE283,IF(J285="LAYO",PR!$AF283,IF(J285="LEADWAY",PR!$AG283,IF(J285="LHV",PR!$AH283,IF(J285="MANOLA",PR!$AI283,IF(J285="MARCSON",PR!$AJ283,IF(J285="M&amp;B",PR!$AK283,IF(J285="MTRUST",PR!$AL283,IF(J285="MWORLD",PR!$AM283,IF(J285="MEGA",PR!$AN283,IF(J285="MICRONOVA",PR!$AO283,IF(J285="MFLASH",PR!$AP283,IF(J285="MORISON",PR!$AQ283,IF(J285="NEMEL",PR!$AR283,IF(J285="NHP",PR!$AS283,IF(J285="NHC",PR!$AT283,IF(J285="OLEAF",PR!$AU283,IF(J285="OCULUS",PR!$AV283,IF(J285="PACIFIC",PR!$AW283,IF(J285="PHAMATEX",PR!$AX283,IF(J285="PETHICS",PR!$AY283,IF(J285="PHILIPS",PR!$AZ283,IF(J285="RANBAXY",PR!$BA283,IF(J285="REALS",PR!$BB283,IF(J285="ROYAL",PR!$BC283,IF(J285="SAM",PR!$BD283,IF(J285="SEAGREEN",PR!$BE283,IF(J285="SKG",PR!$BF283,IF(J285="TAH",PR!$BG283,IF(J285="TAYLEK",PR!$BH283,IF(J285="TEMITA",PR!$BI283,IF(J285="THL",PR!$BJ283,IF(J285="UBASTIC",PR!$BK283,IF(J285="UNION",PR!$BL283,IF(J285="UNIQUE",PR!$BM283,IF(J285="VIXA",PR!$BN283,IF(J285="WWCV",PR!$BO283,IF(J285="ZOLON",PR!$BP283,"-"))))))))))))))))))))))))))))))))))))))))))))))))))))))))))))))))</f>
        <v>-</v>
      </c>
      <c r="J285" s="102">
        <f>EV!N370</f>
        <v>0</v>
      </c>
      <c r="K285" s="433" t="s">
        <v>1246</v>
      </c>
      <c r="L285" s="183">
        <f>IF(K285&gt;0,IF(K285="ALPHA",PR!$E283,IF(K285="ASSENE",PR!$F283,IF(K285="BIOFEM",PR!$G283,IF(K285="BIOMED",PR!$H283,IF(K285="CHI",PR!$I283,IF(K285="CLARION",PR!$J283,IF(K285="CODIX",PR!$K283,IF(K285="COSMADE",PR!$L283,IF(K285="SANCON",PR!$M283,IF(K285="DEVON",PR!$N283,IF(K285="DORTEMAG",PR!$O283,IF(K285="DGF",PR!$P283,IF(K285="DYNAMIC",PR!$Q283,IF(K285="EMZOR",PR!$R283,IF(K285="EUMATT",PR!$S283,IF(K285="FIDSON",PR!$T283,IF(K285="FCGLOBAL",PR!$U283,IF(K285="GENEITH",PR!$V283,IF(K285="GINOS",PR!$W283,IF(K285="GSK",PR!$X283,IF(K285="GLOBORG",PR!$Y283,IF(K285="GOODNEWS",PR!$Z283,IF(K285="GREENLIFE",PR!$AA283,IF(K285="HLINE",PR!$AB283,IF(K285="ROTECH",PR!$AC283,IF(K285="ISN",PR!$AD283,IF(K285="JAWA",PR!$AE283,IF(K285="LAYO",PR!$AF283,IF(K285="LEADWAY",PR!$AG283,IF(K285="LHV",PR!$AH283,IF(K285="MANOLA",PR!$AI283,IF(K285="MARCSON",PR!$AJ283,IF(K285="M&amp;B",PR!$AK283,IF(K285="MTRUST",PR!$AL283,IF(K285="MWORLD",PR!$AM283,IF(K285="MEGA",PR!$AN283,IF(K285="MICRONOVA",PR!$AO283,IF(K285="MFLASH",PR!$AP283,IF(K285="MORISON",PR!$AQ283,IF(K285="NEMEL",PR!$AR283,IF(K285="NHP",PR!$AS283,IF(K285="NHC",PR!$AT283,IF(K285="OLEAF",PR!$AU283,IF(K285="OCULUS",PR!$AV283,IF(K285="PACIFIC",PR!$AW283,IF(K285="PHAMATEX",PR!$AX283,IF(K285="PETHICS",PR!$AY283,IF(K285="PHILIPS",PR!$AZ283,IF(K285="RANBAXY",PR!$BA283,IF(K285="REALS",PR!$BB283,IF(K285="ROYAL",PR!$BC283,IF(K285="SAM",PR!$BD283,IF(K285="SEAGREEN",PR!$BE283,IF(K285="SKG",PR!$BF283,IF(K285="TAH",PR!$BG283,IF(K285="TAYLEK",PR!$BH283,IF(K285="TEMITA",PR!$BI283,IF(K285="THL",PR!$BJ283,IF(K285="UBASTIC",PR!$BK283,IF(K285="UNION",PR!$BL283,IF(K285="UNIQUE",PR!$BM283,IF(K285="VIXA",PR!$BN283,IF(K285="WWCV",PR!$BO283,IF(K285="ZOLON",PR!$BP283,"-")))))))))))))))))))))))))))))))))))))))))))))))))))))))))))))))))</f>
        <v>1825</v>
      </c>
    </row>
    <row r="286" spans="1:12" ht="18.75" x14ac:dyDescent="0.3">
      <c r="A286" s="430">
        <f>PR!A284</f>
        <v>260</v>
      </c>
      <c r="B286" s="15" t="str">
        <f>PR!B284</f>
        <v>KETOCONAZOLE CREAM 2% COMPOUND</v>
      </c>
      <c r="C286" s="113" t="str">
        <f>PR!D284</f>
        <v>20g</v>
      </c>
      <c r="D286" s="113">
        <f>PR!C284</f>
        <v>500</v>
      </c>
      <c r="E286" s="108">
        <f>IF(F286="ALPHA",PR!$E284,IF(F286="ASSENE",PR!$F284,IF(F286="BIOFEM",PR!$G284,IF(F286="BIOMED",PR!$H284,IF(F286="CHI",PR!$I284,IF(F286="CLARION",PR!$J284,IF(F286="CODIX",PR!$K284,IF(F286="COSMADE",PR!$L284,IF(F286="SANCON",PR!$M284,IF(F286="DEVON",PR!$N284,IF(F286="DORTEMAG",PR!$O284,IF(F286="DGF",PR!$P284,IF(F286="DYNAMIC",PR!$Q284,IF(F286="EMZOR",PR!$R284,IF(F286="EUMATT",PR!$S284,IF(F286="FIDSON",PR!$T284,IF(F286="FCGLOBAL",PR!$U284,IF(F286="GENEITH",PR!$V284,IF(F286="GINOS",PR!$W284,IF(F286="GSK",PR!$X284,IF(F286="GLOBORG",PR!$Y284,IF(F286="GOODNEWS",PR!$Z284,IF(F286="GREENLIFE",PR!$AA284,IF(F286="HLINE",PR!$AB284,IF(F286="ROTECH",PR!$AC284,IF(F286="ISN",PR!$AD284,IF(F286="JAWA",PR!$AE284,IF(F286="LAYO",PR!$AF284,IF(F286="LEADWAY",PR!$AG284,IF(F286="LHV",PR!$AH284,IF(F286="MANOLA",PR!$AI284,IF(F286="MARCSON",PR!$AJ284,IF(F286="M&amp;B",PR!$AK284,IF(F286="MTRUST",PR!$AL284,IF(F286="MWORLD",PR!$AM284,IF(F286="MEGA",PR!$AN284,IF(F286="MICRONOVA",PR!$AO284,IF(F286="MFLASH",PR!$AP284,IF(F286="MORISON",PR!$AQ284,IF(F286="NEMEL",PR!$AR284,IF(F286="NHP",PR!$AS284,IF(F286="NHC",PR!$AT284,IF(F286="OLEAF",PR!$AU284,IF(F286="OCULUS",PR!$AV284,IF(F286="PACIFIC",PR!$AW284,IF(F286="PHAMATEX",PR!$AX284,IF(F286="PETHICS",PR!$AY284,IF(F286="PHILIPS",PR!$AZ284,IF(F286="RANBAXY",PR!$BA284,IF(F286="REALS",PR!$BB284,IF(F286="ROYAL",PR!$BC284,IF(F286="SAM",PR!$BD284,IF(F286="SEAGREEN",PR!$BE284,IF(F286="SKG",PR!$BF284,IF(F286="TAH",PR!$BG284,IF(F286="TAYLEK",PR!$BH284,IF(F286="TEMITA",PR!$BI284,IF(F286="THL",PR!$BJ284,IF(F286="UBASTIC",PR!$BK284,IF(F286="UNION",PR!$BL284,IF(F286="UNIQUE",PR!$BM284,IF(F286="VIXA",PR!$BN284,IF(F286="WWCV",PR!$BO284,IF(F286="ZOLON",PR!$BP284,"-"))))))))))))))))))))))))))))))))))))))))))))))))))))))))))))))))</f>
        <v>360</v>
      </c>
      <c r="F286" s="102" t="str">
        <f>EV!L371</f>
        <v>DGF</v>
      </c>
      <c r="G286" s="108">
        <f>IF(H286="ALPHA",PR!$E284,IF(H286="ASSENE",PR!$F284,IF(H286="BIOFEM",PR!$G284,IF(H286="BIOMED",PR!$H284,IF(H286="CHI",PR!$I284,IF(H286="CLARION",PR!$J284,IF(H286="CODIX",PR!$K284,IF(H286="COSMADE",PR!$L284,IF(H286="SANCON",PR!$M284,IF(H286="DEVON",PR!$N284,IF(H286="DORTEMAG",PR!$O284,IF(H286="DGF",PR!$P284,IF(H286="DYNAMIC",PR!$Q284,IF(H286="EMZOR",PR!$R284,IF(H286="EUMATT",PR!$S284,IF(H286="FIDSON",PR!$T284,IF(H286="FCGLOBAL",PR!$U284,IF(H286="GENEITH",PR!$V284,IF(H286="GINOS",PR!$W284,IF(H286="GSK",PR!$X284,IF(H286="GLOBORG",PR!$Y284,IF(H286="GOODNEWS",PR!$Z284,IF(H286="GREENLIFE",PR!$AA284,IF(H286="HLINE",PR!$AB284,IF(H286="ROTECH",PR!$AC284,IF(H286="ISN",PR!$AD284,IF(H286="JAWA",PR!$AE284,IF(H286="LAYO",PR!$AF284,IF(H286="LEADWAY",PR!$AG284,IF(H286="LHV",PR!$AH284,IF(H286="MANOLA",PR!$AI284,IF(H286="MARCSON",PR!$AJ284,IF(H286="M&amp;B",PR!$AK284,IF(H286="MTRUST",PR!$AL284,IF(H286="MWORLD",PR!$AM284,IF(H286="MEGA",PR!$AN284,IF(H286="MICRONOVA",PR!$AO284,IF(H286="MFLASH",PR!$AP284,IF(H286="MORISON",PR!$AQ284,IF(H286="NEMEL",PR!$AR284,IF(H286="NHP",PR!$AS284,IF(H286="NHC",PR!$AT284,IF(H286="OLEAF",PR!$AU284,IF(H286="OCULUS",PR!$AV284,IF(H286="PACIFIC",PR!$AW284,IF(H286="PHAMATEX",PR!$AX284,IF(H286="PETHICS",PR!$AY284,IF(H286="PHILIPS",PR!$AZ284,IF(H286="RANBAXY",PR!$BA284,IF(H286="REALS",PR!$BB284,IF(H286="ROYAL",PR!$BC284,IF(H286="SAM",PR!$BD284,IF(H286="SEAGREEN",PR!$BE284,IF(H286="SKG",PR!$BF284,IF(H286="TAH",PR!$BG284,IF(H286="TAYLEK",PR!$BH284,IF(H286="TEMITA",PR!$BI284,IF(H286="THL",PR!$BJ284,IF(H286="UBASTIC",PR!$BK284,IF(H286="UNION",PR!$BL284,IF(H286="UNIQUE",PR!$BM284,IF(H286="VIXA",PR!$BN284,IF(H286="WWCV",PR!$BO284,IF(H286="ZOLON",PR!$BP284,"-"))))))))))))))))))))))))))))))))))))))))))))))))))))))))))))))))</f>
        <v>360</v>
      </c>
      <c r="H286" s="102" t="str">
        <f>EV!M371</f>
        <v>VIXA</v>
      </c>
      <c r="I286" s="108">
        <f>IF(J286="ALPHA",PR!$E284,IF(J286="ASSENE",PR!$F284,IF(J286="BIOFEM",PR!$G284,IF(J286="BIOMED",PR!$H284,IF(J286="CHI",PR!$I284,IF(J286="CLARION",PR!$J284,IF(J286="CODIX",PR!$K284,IF(J286="COSMADE",PR!$L284,IF(J286="SANCON",PR!$M284,IF(J286="DEVON",PR!$N284,IF(J286="DORTEMAG",PR!$O284,IF(J286="DGF",PR!$P284,IF(J286="DYNAMIC",PR!$Q284,IF(J286="EMZOR",PR!$R284,IF(J286="EUMATT",PR!$S284,IF(J286="FIDSON",PR!$T284,IF(J286="FCGLOBAL",PR!$U284,IF(J286="GENEITH",PR!$V284,IF(J286="GINOS",PR!$W284,IF(J286="GSK",PR!$X284,IF(J286="GLOBORG",PR!$Y284,IF(J286="GOODNEWS",PR!$Z284,IF(J286="GREENLIFE",PR!$AA284,IF(J286="HLINE",PR!$AB284,IF(J286="ROTECH",PR!$AC284,IF(J286="ISN",PR!$AD284,IF(J286="JAWA",PR!$AE284,IF(J286="LAYO",PR!$AF284,IF(J286="LEADWAY",PR!$AG284,IF(J286="LHV",PR!$AH284,IF(J286="MANOLA",PR!$AI284,IF(J286="MARCSON",PR!$AJ284,IF(J286="M&amp;B",PR!$AK284,IF(J286="MTRUST",PR!$AL284,IF(J286="MWORLD",PR!$AM284,IF(J286="MEGA",PR!$AN284,IF(J286="MICRONOVA",PR!$AO284,IF(J286="MFLASH",PR!$AP284,IF(J286="MORISON",PR!$AQ284,IF(J286="NEMEL",PR!$AR284,IF(J286="NHP",PR!$AS284,IF(J286="NHC",PR!$AT284,IF(J286="OLEAF",PR!$AU284,IF(J286="OCULUS",PR!$AV284,IF(J286="PACIFIC",PR!$AW284,IF(J286="PHAMATEX",PR!$AX284,IF(J286="PETHICS",PR!$AY284,IF(J286="PHILIPS",PR!$AZ284,IF(J286="RANBAXY",PR!$BA284,IF(J286="REALS",PR!$BB284,IF(J286="ROYAL",PR!$BC284,IF(J286="SAM",PR!$BD284,IF(J286="SEAGREEN",PR!$BE284,IF(J286="SKG",PR!$BF284,IF(J286="TAH",PR!$BG284,IF(J286="TAYLEK",PR!$BH284,IF(J286="TEMITA",PR!$BI284,IF(J286="THL",PR!$BJ284,IF(J286="UBASTIC",PR!$BK284,IF(J286="UNION",PR!$BL284,IF(J286="UNIQUE",PR!$BM284,IF(J286="VIXA",PR!$BN284,IF(J286="WWCV",PR!$BO284,IF(J286="ZOLON",PR!$BP284,"-"))))))))))))))))))))))))))))))))))))))))))))))))))))))))))))))))</f>
        <v>1050</v>
      </c>
      <c r="J286" s="102" t="str">
        <f>EV!N371</f>
        <v>NHC</v>
      </c>
      <c r="K286" s="433" t="s">
        <v>829</v>
      </c>
      <c r="L286" s="183">
        <f>IF(K286&gt;0,IF(K286="ALPHA",PR!$E284,IF(K286="ASSENE",PR!$F284,IF(K286="BIOFEM",PR!$G284,IF(K286="BIOMED",PR!$H284,IF(K286="CHI",PR!$I284,IF(K286="CLARION",PR!$J284,IF(K286="CODIX",PR!$K284,IF(K286="COSMADE",PR!$L284,IF(K286="SANCON",PR!$M284,IF(K286="DEVON",PR!$N284,IF(K286="DORTEMAG",PR!$O284,IF(K286="DGF",PR!$P284,IF(K286="DYNAMIC",PR!$Q284,IF(K286="EMZOR",PR!$R284,IF(K286="EUMATT",PR!$S284,IF(K286="FIDSON",PR!$T284,IF(K286="FCGLOBAL",PR!$U284,IF(K286="GENEITH",PR!$V284,IF(K286="GINOS",PR!$W284,IF(K286="GSK",PR!$X284,IF(K286="GLOBORG",PR!$Y284,IF(K286="GOODNEWS",PR!$Z284,IF(K286="GREENLIFE",PR!$AA284,IF(K286="HLINE",PR!$AB284,IF(K286="ROTECH",PR!$AC284,IF(K286="ISN",PR!$AD284,IF(K286="JAWA",PR!$AE284,IF(K286="LAYO",PR!$AF284,IF(K286="LEADWAY",PR!$AG284,IF(K286="LHV",PR!$AH284,IF(K286="MANOLA",PR!$AI284,IF(K286="MARCSON",PR!$AJ284,IF(K286="M&amp;B",PR!$AK284,IF(K286="MTRUST",PR!$AL284,IF(K286="MWORLD",PR!$AM284,IF(K286="MEGA",PR!$AN284,IF(K286="MICRONOVA",PR!$AO284,IF(K286="MFLASH",PR!$AP284,IF(K286="MORISON",PR!$AQ284,IF(K286="NEMEL",PR!$AR284,IF(K286="NHP",PR!$AS284,IF(K286="NHC",PR!$AT284,IF(K286="OLEAF",PR!$AU284,IF(K286="OCULUS",PR!$AV284,IF(K286="PACIFIC",PR!$AW284,IF(K286="PHAMATEX",PR!$AX284,IF(K286="PETHICS",PR!$AY284,IF(K286="PHILIPS",PR!$AZ284,IF(K286="RANBAXY",PR!$BA284,IF(K286="REALS",PR!$BB284,IF(K286="ROYAL",PR!$BC284,IF(K286="SAM",PR!$BD284,IF(K286="SEAGREEN",PR!$BE284,IF(K286="SKG",PR!$BF284,IF(K286="TAH",PR!$BG284,IF(K286="TAYLEK",PR!$BH284,IF(K286="TEMITA",PR!$BI284,IF(K286="THL",PR!$BJ284,IF(K286="UBASTIC",PR!$BK284,IF(K286="UNION",PR!$BL284,IF(K286="UNIQUE",PR!$BM284,IF(K286="VIXA",PR!$BN284,IF(K286="WWCV",PR!$BO284,IF(K286="ZOLON",PR!$BP284,"-")))))))))))))))))))))))))))))))))))))))))))))))))))))))))))))))))</f>
        <v>360</v>
      </c>
    </row>
    <row r="287" spans="1:12" ht="18.75" x14ac:dyDescent="0.3">
      <c r="A287" s="430">
        <f>PR!A285</f>
        <v>261</v>
      </c>
      <c r="B287" s="15" t="str">
        <f>PR!B285</f>
        <v>LEVOFLOXACIN 500MG TAB</v>
      </c>
      <c r="C287" s="113">
        <f>PR!D285</f>
        <v>10</v>
      </c>
      <c r="D287" s="113">
        <f>PR!C285</f>
        <v>360</v>
      </c>
      <c r="E287" s="108">
        <f>IF(F287="ALPHA",PR!$E285,IF(F287="ASSENE",PR!$F285,IF(F287="BIOFEM",PR!$G285,IF(F287="BIOMED",PR!$H285,IF(F287="CHI",PR!$I285,IF(F287="CLARION",PR!$J285,IF(F287="CODIX",PR!$K285,IF(F287="COSMADE",PR!$L285,IF(F287="SANCON",PR!$M285,IF(F287="DEVON",PR!$N285,IF(F287="DORTEMAG",PR!$O285,IF(F287="DGF",PR!$P285,IF(F287="DYNAMIC",PR!$Q285,IF(F287="EMZOR",PR!$R285,IF(F287="EUMATT",PR!$S285,IF(F287="FIDSON",PR!$T285,IF(F287="FCGLOBAL",PR!$U285,IF(F287="GENEITH",PR!$V285,IF(F287="GINOS",PR!$W285,IF(F287="GSK",PR!$X285,IF(F287="GLOBORG",PR!$Y285,IF(F287="GOODNEWS",PR!$Z285,IF(F287="GREENLIFE",PR!$AA285,IF(F287="HLINE",PR!$AB285,IF(F287="ROTECH",PR!$AC285,IF(F287="ISN",PR!$AD285,IF(F287="JAWA",PR!$AE285,IF(F287="LAYO",PR!$AF285,IF(F287="LEADWAY",PR!$AG285,IF(F287="LHV",PR!$AH285,IF(F287="MANOLA",PR!$AI285,IF(F287="MARCSON",PR!$AJ285,IF(F287="M&amp;B",PR!$AK285,IF(F287="MTRUST",PR!$AL285,IF(F287="MWORLD",PR!$AM285,IF(F287="MEGA",PR!$AN285,IF(F287="MICRONOVA",PR!$AO285,IF(F287="MFLASH",PR!$AP285,IF(F287="MORISON",PR!$AQ285,IF(F287="NEMEL",PR!$AR285,IF(F287="NHP",PR!$AS285,IF(F287="NHC",PR!$AT285,IF(F287="OLEAF",PR!$AU285,IF(F287="OCULUS",PR!$AV285,IF(F287="PACIFIC",PR!$AW285,IF(F287="PHAMATEX",PR!$AX285,IF(F287="PETHICS",PR!$AY285,IF(F287="PHILIPS",PR!$AZ285,IF(F287="RANBAXY",PR!$BA285,IF(F287="REALS",PR!$BB285,IF(F287="ROYAL",PR!$BC285,IF(F287="SAM",PR!$BD285,IF(F287="SEAGREEN",PR!$BE285,IF(F287="SKG",PR!$BF285,IF(F287="TAH",PR!$BG285,IF(F287="TAYLEK",PR!$BH285,IF(F287="TEMITA",PR!$BI285,IF(F287="THL",PR!$BJ285,IF(F287="UBASTIC",PR!$BK285,IF(F287="UNION",PR!$BL285,IF(F287="UNIQUE",PR!$BM285,IF(F287="VIXA",PR!$BN285,IF(F287="WWCV",PR!$BO285,IF(F287="ZOLON",PR!$BP285,"-"))))))))))))))))))))))))))))))))))))))))))))))))))))))))))))))))</f>
        <v>250</v>
      </c>
      <c r="F287" s="102" t="str">
        <f>EV!L372</f>
        <v>EUMATT</v>
      </c>
      <c r="G287" s="108">
        <f>IF(H287="ALPHA",PR!$E285,IF(H287="ASSENE",PR!$F285,IF(H287="BIOFEM",PR!$G285,IF(H287="BIOMED",PR!$H285,IF(H287="CHI",PR!$I285,IF(H287="CLARION",PR!$J285,IF(H287="CODIX",PR!$K285,IF(H287="COSMADE",PR!$L285,IF(H287="SANCON",PR!$M285,IF(H287="DEVON",PR!$N285,IF(H287="DORTEMAG",PR!$O285,IF(H287="DGF",PR!$P285,IF(H287="DYNAMIC",PR!$Q285,IF(H287="EMZOR",PR!$R285,IF(H287="EUMATT",PR!$S285,IF(H287="FIDSON",PR!$T285,IF(H287="FCGLOBAL",PR!$U285,IF(H287="GENEITH",PR!$V285,IF(H287="GINOS",PR!$W285,IF(H287="GSK",PR!$X285,IF(H287="GLOBORG",PR!$Y285,IF(H287="GOODNEWS",PR!$Z285,IF(H287="GREENLIFE",PR!$AA285,IF(H287="HLINE",PR!$AB285,IF(H287="ROTECH",PR!$AC285,IF(H287="ISN",PR!$AD285,IF(H287="JAWA",PR!$AE285,IF(H287="LAYO",PR!$AF285,IF(H287="LEADWAY",PR!$AG285,IF(H287="LHV",PR!$AH285,IF(H287="MANOLA",PR!$AI285,IF(H287="MARCSON",PR!$AJ285,IF(H287="M&amp;B",PR!$AK285,IF(H287="MTRUST",PR!$AL285,IF(H287="MWORLD",PR!$AM285,IF(H287="MEGA",PR!$AN285,IF(H287="MICRONOVA",PR!$AO285,IF(H287="MFLASH",PR!$AP285,IF(H287="MORISON",PR!$AQ285,IF(H287="NEMEL",PR!$AR285,IF(H287="NHP",PR!$AS285,IF(H287="NHC",PR!$AT285,IF(H287="OLEAF",PR!$AU285,IF(H287="OCULUS",PR!$AV285,IF(H287="PACIFIC",PR!$AW285,IF(H287="PHAMATEX",PR!$AX285,IF(H287="PETHICS",PR!$AY285,IF(H287="PHILIPS",PR!$AZ285,IF(H287="RANBAXY",PR!$BA285,IF(H287="REALS",PR!$BB285,IF(H287="ROYAL",PR!$BC285,IF(H287="SAM",PR!$BD285,IF(H287="SEAGREEN",PR!$BE285,IF(H287="SKG",PR!$BF285,IF(H287="TAH",PR!$BG285,IF(H287="TAYLEK",PR!$BH285,IF(H287="TEMITA",PR!$BI285,IF(H287="THL",PR!$BJ285,IF(H287="UBASTIC",PR!$BK285,IF(H287="UNION",PR!$BL285,IF(H287="UNIQUE",PR!$BM285,IF(H287="VIXA",PR!$BN285,IF(H287="WWCV",PR!$BO285,IF(H287="ZOLON",PR!$BP285,"-"))))))))))))))))))))))))))))))))))))))))))))))))))))))))))))))))</f>
        <v>260</v>
      </c>
      <c r="H287" s="102" t="str">
        <f>EV!M372</f>
        <v>NEMEL</v>
      </c>
      <c r="I287" s="108">
        <f>IF(J287="ALPHA",PR!$E285,IF(J287="ASSENE",PR!$F285,IF(J287="BIOFEM",PR!$G285,IF(J287="BIOMED",PR!$H285,IF(J287="CHI",PR!$I285,IF(J287="CLARION",PR!$J285,IF(J287="CODIX",PR!$K285,IF(J287="COSMADE",PR!$L285,IF(J287="SANCON",PR!$M285,IF(J287="DEVON",PR!$N285,IF(J287="DORTEMAG",PR!$O285,IF(J287="DGF",PR!$P285,IF(J287="DYNAMIC",PR!$Q285,IF(J287="EMZOR",PR!$R285,IF(J287="EUMATT",PR!$S285,IF(J287="FIDSON",PR!$T285,IF(J287="FCGLOBAL",PR!$U285,IF(J287="GENEITH",PR!$V285,IF(J287="GINOS",PR!$W285,IF(J287="GSK",PR!$X285,IF(J287="GLOBORG",PR!$Y285,IF(J287="GOODNEWS",PR!$Z285,IF(J287="GREENLIFE",PR!$AA285,IF(J287="HLINE",PR!$AB285,IF(J287="ROTECH",PR!$AC285,IF(J287="ISN",PR!$AD285,IF(J287="JAWA",PR!$AE285,IF(J287="LAYO",PR!$AF285,IF(J287="LEADWAY",PR!$AG285,IF(J287="LHV",PR!$AH285,IF(J287="MANOLA",PR!$AI285,IF(J287="MARCSON",PR!$AJ285,IF(J287="M&amp;B",PR!$AK285,IF(J287="MTRUST",PR!$AL285,IF(J287="MWORLD",PR!$AM285,IF(J287="MEGA",PR!$AN285,IF(J287="MICRONOVA",PR!$AO285,IF(J287="MFLASH",PR!$AP285,IF(J287="MORISON",PR!$AQ285,IF(J287="NEMEL",PR!$AR285,IF(J287="NHP",PR!$AS285,IF(J287="NHC",PR!$AT285,IF(J287="OLEAF",PR!$AU285,IF(J287="OCULUS",PR!$AV285,IF(J287="PACIFIC",PR!$AW285,IF(J287="PHAMATEX",PR!$AX285,IF(J287="PETHICS",PR!$AY285,IF(J287="PHILIPS",PR!$AZ285,IF(J287="RANBAXY",PR!$BA285,IF(J287="REALS",PR!$BB285,IF(J287="ROYAL",PR!$BC285,IF(J287="SAM",PR!$BD285,IF(J287="SEAGREEN",PR!$BE285,IF(J287="SKG",PR!$BF285,IF(J287="TAH",PR!$BG285,IF(J287="TAYLEK",PR!$BH285,IF(J287="TEMITA",PR!$BI285,IF(J287="THL",PR!$BJ285,IF(J287="UBASTIC",PR!$BK285,IF(J287="UNION",PR!$BL285,IF(J287="UNIQUE",PR!$BM285,IF(J287="VIXA",PR!$BN285,IF(J287="WWCV",PR!$BO285,IF(J287="ZOLON",PR!$BP285,"-"))))))))))))))))))))))))))))))))))))))))))))))))))))))))))))))))</f>
        <v>400</v>
      </c>
      <c r="J287" s="102" t="str">
        <f>EV!N372</f>
        <v>DGF</v>
      </c>
      <c r="K287" s="433" t="s">
        <v>2130</v>
      </c>
      <c r="L287" s="183" t="str">
        <f>IF(K287&gt;0,IF(K287="ALPHA",PR!$E285,IF(K287="ASSENE",PR!$F285,IF(K287="BIOFEM",PR!$G285,IF(K287="BIOMED",PR!$H285,IF(K287="CHI",PR!$I285,IF(K287="CLARION",PR!$J285,IF(K287="CODIX",PR!$K285,IF(K287="COSMADE",PR!$L285,IF(K287="SANCON",PR!$M285,IF(K287="DEVON",PR!$N285,IF(K287="DORTEMAG",PR!$O285,IF(K287="DGF",PR!$P285,IF(K287="DYNAMIC",PR!$Q285,IF(K287="EMZOR",PR!$R285,IF(K287="EUMATT",PR!$S285,IF(K287="FIDSON",PR!$T285,IF(K287="FCGLOBAL",PR!$U285,IF(K287="GENEITH",PR!$V285,IF(K287="GINOS",PR!$W285,IF(K287="GSK",PR!$X285,IF(K287="GLOBORG",PR!$Y285,IF(K287="GOODNEWS",PR!$Z285,IF(K287="GREENLIFE",PR!$AA285,IF(K287="HLINE",PR!$AB285,IF(K287="ROTECH",PR!$AC285,IF(K287="ISN",PR!$AD285,IF(K287="JAWA",PR!$AE285,IF(K287="LAYO",PR!$AF285,IF(K287="LEADWAY",PR!$AG285,IF(K287="LHV",PR!$AH285,IF(K287="MANOLA",PR!$AI285,IF(K287="MARCSON",PR!$AJ285,IF(K287="M&amp;B",PR!$AK285,IF(K287="MTRUST",PR!$AL285,IF(K287="MWORLD",PR!$AM285,IF(K287="MEGA",PR!$AN285,IF(K287="MICRONOVA",PR!$AO285,IF(K287="MFLASH",PR!$AP285,IF(K287="MORISON",PR!$AQ285,IF(K287="NEMEL",PR!$AR285,IF(K287="NHP",PR!$AS285,IF(K287="NHC",PR!$AT285,IF(K287="OLEAF",PR!$AU285,IF(K287="OCULUS",PR!$AV285,IF(K287="PACIFIC",PR!$AW285,IF(K287="PHAMATEX",PR!$AX285,IF(K287="PETHICS",PR!$AY285,IF(K287="PHILIPS",PR!$AZ285,IF(K287="RANBAXY",PR!$BA285,IF(K287="REALS",PR!$BB285,IF(K287="ROYAL",PR!$BC285,IF(K287="SAM",PR!$BD285,IF(K287="SEAGREEN",PR!$BE285,IF(K287="SKG",PR!$BF285,IF(K287="TAH",PR!$BG285,IF(K287="TAYLEK",PR!$BH285,IF(K287="TEMITA",PR!$BI285,IF(K287="THL",PR!$BJ285,IF(K287="UBASTIC",PR!$BK285,IF(K287="UNION",PR!$BL285,IF(K287="UNIQUE",PR!$BM285,IF(K287="VIXA",PR!$BN285,IF(K287="WWCV",PR!$BO285,IF(K287="ZOLON",PR!$BP285,"-")))))))))))))))))))))))))))))))))))))))))))))))))))))))))))))))))</f>
        <v>-</v>
      </c>
    </row>
    <row r="288" spans="1:12" ht="18.75" x14ac:dyDescent="0.3">
      <c r="A288" s="430">
        <f>PR!A286</f>
        <v>262</v>
      </c>
      <c r="B288" s="15" t="str">
        <f>PR!B286</f>
        <v>LEVOFLOXACIN IV</v>
      </c>
      <c r="C288" s="113" t="str">
        <f>PR!D286</f>
        <v>BOTT</v>
      </c>
      <c r="D288" s="113">
        <f>PR!C286</f>
        <v>1000</v>
      </c>
      <c r="E288" s="108">
        <f>IF(F288="ALPHA",PR!$E286,IF(F288="ASSENE",PR!$F286,IF(F288="BIOFEM",PR!$G286,IF(F288="BIOMED",PR!$H286,IF(F288="CHI",PR!$I286,IF(F288="CLARION",PR!$J286,IF(F288="CODIX",PR!$K286,IF(F288="COSMADE",PR!$L286,IF(F288="SANCON",PR!$M286,IF(F288="DEVON",PR!$N286,IF(F288="DORTEMAG",PR!$O286,IF(F288="DGF",PR!$P286,IF(F288="DYNAMIC",PR!$Q286,IF(F288="EMZOR",PR!$R286,IF(F288="EUMATT",PR!$S286,IF(F288="FIDSON",PR!$T286,IF(F288="FCGLOBAL",PR!$U286,IF(F288="GENEITH",PR!$V286,IF(F288="GINOS",PR!$W286,IF(F288="GSK",PR!$X286,IF(F288="GLOBORG",PR!$Y286,IF(F288="GOODNEWS",PR!$Z286,IF(F288="GREENLIFE",PR!$AA286,IF(F288="HLINE",PR!$AB286,IF(F288="ROTECH",PR!$AC286,IF(F288="ISN",PR!$AD286,IF(F288="JAWA",PR!$AE286,IF(F288="LAYO",PR!$AF286,IF(F288="LEADWAY",PR!$AG286,IF(F288="LHV",PR!$AH286,IF(F288="MANOLA",PR!$AI286,IF(F288="MARCSON",PR!$AJ286,IF(F288="M&amp;B",PR!$AK286,IF(F288="MTRUST",PR!$AL286,IF(F288="MWORLD",PR!$AM286,IF(F288="MEGA",PR!$AN286,IF(F288="MICRONOVA",PR!$AO286,IF(F288="MFLASH",PR!$AP286,IF(F288="MORISON",PR!$AQ286,IF(F288="NEMEL",PR!$AR286,IF(F288="NHP",PR!$AS286,IF(F288="NHC",PR!$AT286,IF(F288="OLEAF",PR!$AU286,IF(F288="OCULUS",PR!$AV286,IF(F288="PACIFIC",PR!$AW286,IF(F288="PHAMATEX",PR!$AX286,IF(F288="PETHICS",PR!$AY286,IF(F288="PHILIPS",PR!$AZ286,IF(F288="RANBAXY",PR!$BA286,IF(F288="REALS",PR!$BB286,IF(F288="ROYAL",PR!$BC286,IF(F288="SAM",PR!$BD286,IF(F288="SEAGREEN",PR!$BE286,IF(F288="SKG",PR!$BF286,IF(F288="TAH",PR!$BG286,IF(F288="TAYLEK",PR!$BH286,IF(F288="TEMITA",PR!$BI286,IF(F288="THL",PR!$BJ286,IF(F288="UBASTIC",PR!$BK286,IF(F288="UNION",PR!$BL286,IF(F288="UNIQUE",PR!$BM286,IF(F288="VIXA",PR!$BN286,IF(F288="WWCV",PR!$BO286,IF(F288="ZOLON",PR!$BP286,"-"))))))))))))))))))))))))))))))))))))))))))))))))))))))))))))))))</f>
        <v>190</v>
      </c>
      <c r="F288" s="102" t="str">
        <f>EV!L373</f>
        <v>GLOBORG</v>
      </c>
      <c r="G288" s="108">
        <f>IF(H288="ALPHA",PR!$E286,IF(H288="ASSENE",PR!$F286,IF(H288="BIOFEM",PR!$G286,IF(H288="BIOMED",PR!$H286,IF(H288="CHI",PR!$I286,IF(H288="CLARION",PR!$J286,IF(H288="CODIX",PR!$K286,IF(H288="COSMADE",PR!$L286,IF(H288="SANCON",PR!$M286,IF(H288="DEVON",PR!$N286,IF(H288="DORTEMAG",PR!$O286,IF(H288="DGF",PR!$P286,IF(H288="DYNAMIC",PR!$Q286,IF(H288="EMZOR",PR!$R286,IF(H288="EUMATT",PR!$S286,IF(H288="FIDSON",PR!$T286,IF(H288="FCGLOBAL",PR!$U286,IF(H288="GENEITH",PR!$V286,IF(H288="GINOS",PR!$W286,IF(H288="GSK",PR!$X286,IF(H288="GLOBORG",PR!$Y286,IF(H288="GOODNEWS",PR!$Z286,IF(H288="GREENLIFE",PR!$AA286,IF(H288="HLINE",PR!$AB286,IF(H288="ROTECH",PR!$AC286,IF(H288="ISN",PR!$AD286,IF(H288="JAWA",PR!$AE286,IF(H288="LAYO",PR!$AF286,IF(H288="LEADWAY",PR!$AG286,IF(H288="LHV",PR!$AH286,IF(H288="MANOLA",PR!$AI286,IF(H288="MARCSON",PR!$AJ286,IF(H288="M&amp;B",PR!$AK286,IF(H288="MTRUST",PR!$AL286,IF(H288="MWORLD",PR!$AM286,IF(H288="MEGA",PR!$AN286,IF(H288="MICRONOVA",PR!$AO286,IF(H288="MFLASH",PR!$AP286,IF(H288="MORISON",PR!$AQ286,IF(H288="NEMEL",PR!$AR286,IF(H288="NHP",PR!$AS286,IF(H288="NHC",PR!$AT286,IF(H288="OLEAF",PR!$AU286,IF(H288="OCULUS",PR!$AV286,IF(H288="PACIFIC",PR!$AW286,IF(H288="PHAMATEX",PR!$AX286,IF(H288="PETHICS",PR!$AY286,IF(H288="PHILIPS",PR!$AZ286,IF(H288="RANBAXY",PR!$BA286,IF(H288="REALS",PR!$BB286,IF(H288="ROYAL",PR!$BC286,IF(H288="SAM",PR!$BD286,IF(H288="SEAGREEN",PR!$BE286,IF(H288="SKG",PR!$BF286,IF(H288="TAH",PR!$BG286,IF(H288="TAYLEK",PR!$BH286,IF(H288="TEMITA",PR!$BI286,IF(H288="THL",PR!$BJ286,IF(H288="UBASTIC",PR!$BK286,IF(H288="UNION",PR!$BL286,IF(H288="UNIQUE",PR!$BM286,IF(H288="VIXA",PR!$BN286,IF(H288="WWCV",PR!$BO286,IF(H288="ZOLON",PR!$BP286,"-"))))))))))))))))))))))))))))))))))))))))))))))))))))))))))))))))</f>
        <v>230</v>
      </c>
      <c r="H288" s="102" t="str">
        <f>EV!M373</f>
        <v>UNIQUE</v>
      </c>
      <c r="I288" s="108">
        <f>IF(J288="ALPHA",PR!$E286,IF(J288="ASSENE",PR!$F286,IF(J288="BIOFEM",PR!$G286,IF(J288="BIOMED",PR!$H286,IF(J288="CHI",PR!$I286,IF(J288="CLARION",PR!$J286,IF(J288="CODIX",PR!$K286,IF(J288="COSMADE",PR!$L286,IF(J288="SANCON",PR!$M286,IF(J288="DEVON",PR!$N286,IF(J288="DORTEMAG",PR!$O286,IF(J288="DGF",PR!$P286,IF(J288="DYNAMIC",PR!$Q286,IF(J288="EMZOR",PR!$R286,IF(J288="EUMATT",PR!$S286,IF(J288="FIDSON",PR!$T286,IF(J288="FCGLOBAL",PR!$U286,IF(J288="GENEITH",PR!$V286,IF(J288="GINOS",PR!$W286,IF(J288="GSK",PR!$X286,IF(J288="GLOBORG",PR!$Y286,IF(J288="GOODNEWS",PR!$Z286,IF(J288="GREENLIFE",PR!$AA286,IF(J288="HLINE",PR!$AB286,IF(J288="ROTECH",PR!$AC286,IF(J288="ISN",PR!$AD286,IF(J288="JAWA",PR!$AE286,IF(J288="LAYO",PR!$AF286,IF(J288="LEADWAY",PR!$AG286,IF(J288="LHV",PR!$AH286,IF(J288="MANOLA",PR!$AI286,IF(J288="MARCSON",PR!$AJ286,IF(J288="M&amp;B",PR!$AK286,IF(J288="MTRUST",PR!$AL286,IF(J288="MWORLD",PR!$AM286,IF(J288="MEGA",PR!$AN286,IF(J288="MICRONOVA",PR!$AO286,IF(J288="MFLASH",PR!$AP286,IF(J288="MORISON",PR!$AQ286,IF(J288="NEMEL",PR!$AR286,IF(J288="NHP",PR!$AS286,IF(J288="NHC",PR!$AT286,IF(J288="OLEAF",PR!$AU286,IF(J288="OCULUS",PR!$AV286,IF(J288="PACIFIC",PR!$AW286,IF(J288="PHAMATEX",PR!$AX286,IF(J288="PETHICS",PR!$AY286,IF(J288="PHILIPS",PR!$AZ286,IF(J288="RANBAXY",PR!$BA286,IF(J288="REALS",PR!$BB286,IF(J288="ROYAL",PR!$BC286,IF(J288="SAM",PR!$BD286,IF(J288="SEAGREEN",PR!$BE286,IF(J288="SKG",PR!$BF286,IF(J288="TAH",PR!$BG286,IF(J288="TAYLEK",PR!$BH286,IF(J288="TEMITA",PR!$BI286,IF(J288="THL",PR!$BJ286,IF(J288="UBASTIC",PR!$BK286,IF(J288="UNION",PR!$BL286,IF(J288="UNIQUE",PR!$BM286,IF(J288="VIXA",PR!$BN286,IF(J288="WWCV",PR!$BO286,IF(J288="ZOLON",PR!$BP286,"-"))))))))))))))))))))))))))))))))))))))))))))))))))))))))))))))))</f>
        <v>440</v>
      </c>
      <c r="J288" s="102" t="str">
        <f>EV!N373</f>
        <v>MICRONOVA</v>
      </c>
      <c r="K288" s="433" t="s">
        <v>2131</v>
      </c>
      <c r="L288" s="183" t="str">
        <f>IF(K288&gt;0,IF(K288="ALPHA",PR!$E286,IF(K288="ASSENE",PR!$F286,IF(K288="BIOFEM",PR!$G286,IF(K288="BIOMED",PR!$H286,IF(K288="CHI",PR!$I286,IF(K288="CLARION",PR!$J286,IF(K288="CODIX",PR!$K286,IF(K288="COSMADE",PR!$L286,IF(K288="SANCON",PR!$M286,IF(K288="DEVON",PR!$N286,IF(K288="DORTEMAG",PR!$O286,IF(K288="DGF",PR!$P286,IF(K288="DYNAMIC",PR!$Q286,IF(K288="EMZOR",PR!$R286,IF(K288="EUMATT",PR!$S286,IF(K288="FIDSON",PR!$T286,IF(K288="FCGLOBAL",PR!$U286,IF(K288="GENEITH",PR!$V286,IF(K288="GINOS",PR!$W286,IF(K288="GSK",PR!$X286,IF(K288="GLOBORG",PR!$Y286,IF(K288="GOODNEWS",PR!$Z286,IF(K288="GREENLIFE",PR!$AA286,IF(K288="HLINE",PR!$AB286,IF(K288="ROTECH",PR!$AC286,IF(K288="ISN",PR!$AD286,IF(K288="JAWA",PR!$AE286,IF(K288="LAYO",PR!$AF286,IF(K288="LEADWAY",PR!$AG286,IF(K288="LHV",PR!$AH286,IF(K288="MANOLA",PR!$AI286,IF(K288="MARCSON",PR!$AJ286,IF(K288="M&amp;B",PR!$AK286,IF(K288="MTRUST",PR!$AL286,IF(K288="MWORLD",PR!$AM286,IF(K288="MEGA",PR!$AN286,IF(K288="MICRONOVA",PR!$AO286,IF(K288="MFLASH",PR!$AP286,IF(K288="MORISON",PR!$AQ286,IF(K288="NEMEL",PR!$AR286,IF(K288="NHP",PR!$AS286,IF(K288="NHC",PR!$AT286,IF(K288="OLEAF",PR!$AU286,IF(K288="OCULUS",PR!$AV286,IF(K288="PACIFIC",PR!$AW286,IF(K288="PHAMATEX",PR!$AX286,IF(K288="PETHICS",PR!$AY286,IF(K288="PHILIPS",PR!$AZ286,IF(K288="RANBAXY",PR!$BA286,IF(K288="REALS",PR!$BB286,IF(K288="ROYAL",PR!$BC286,IF(K288="SAM",PR!$BD286,IF(K288="SEAGREEN",PR!$BE286,IF(K288="SKG",PR!$BF286,IF(K288="TAH",PR!$BG286,IF(K288="TAYLEK",PR!$BH286,IF(K288="TEMITA",PR!$BI286,IF(K288="THL",PR!$BJ286,IF(K288="UBASTIC",PR!$BK286,IF(K288="UNION",PR!$BL286,IF(K288="UNIQUE",PR!$BM286,IF(K288="VIXA",PR!$BN286,IF(K288="WWCV",PR!$BO286,IF(K288="ZOLON",PR!$BP286,"-")))))))))))))))))))))))))))))))))))))))))))))))))))))))))))))))))</f>
        <v>-</v>
      </c>
    </row>
    <row r="289" spans="1:12" s="90" customFormat="1" ht="18.75" x14ac:dyDescent="0.3">
      <c r="A289" s="430">
        <f>PR!A287</f>
        <v>263</v>
      </c>
      <c r="B289" s="15" t="str">
        <f>PR!B287</f>
        <v>MEROPENEM 1GM INJ</v>
      </c>
      <c r="C289" s="113" t="str">
        <f>PR!D287</f>
        <v>VIAL</v>
      </c>
      <c r="D289" s="113">
        <f>PR!C287</f>
        <v>1000</v>
      </c>
      <c r="E289" s="108">
        <f>IF(F289="ALPHA",PR!$E287,IF(F289="ASSENE",PR!$F287,IF(F289="BIOFEM",PR!$G287,IF(F289="BIOMED",PR!$H287,IF(F289="CHI",PR!$I287,IF(F289="CLARION",PR!$J287,IF(F289="CODIX",PR!$K287,IF(F289="COSMADE",PR!$L287,IF(F289="SANCON",PR!$M287,IF(F289="DEVON",PR!$N287,IF(F289="DORTEMAG",PR!$O287,IF(F289="DGF",PR!$P287,IF(F289="DYNAMIC",PR!$Q287,IF(F289="EMZOR",PR!$R287,IF(F289="EUMATT",PR!$S287,IF(F289="FIDSON",PR!$T287,IF(F289="FCGLOBAL",PR!$U287,IF(F289="GENEITH",PR!$V287,IF(F289="GINOS",PR!$W287,IF(F289="GSK",PR!$X287,IF(F289="GLOBORG",PR!$Y287,IF(F289="GOODNEWS",PR!$Z287,IF(F289="GREENLIFE",PR!$AA287,IF(F289="HLINE",PR!$AB287,IF(F289="ROTECH",PR!$AC287,IF(F289="ISN",PR!$AD287,IF(F289="JAWA",PR!$AE287,IF(F289="LAYO",PR!$AF287,IF(F289="LEADWAY",PR!$AG287,IF(F289="LHV",PR!$AH287,IF(F289="MANOLA",PR!$AI287,IF(F289="MARCSON",PR!$AJ287,IF(F289="M&amp;B",PR!$AK287,IF(F289="MTRUST",PR!$AL287,IF(F289="MWORLD",PR!$AM287,IF(F289="MEGA",PR!$AN287,IF(F289="MICRONOVA",PR!$AO287,IF(F289="MFLASH",PR!$AP287,IF(F289="MORISON",PR!$AQ287,IF(F289="NEMEL",PR!$AR287,IF(F289="NHP",PR!$AS287,IF(F289="NHC",PR!$AT287,IF(F289="OLEAF",PR!$AU287,IF(F289="OCULUS",PR!$AV287,IF(F289="PACIFIC",PR!$AW287,IF(F289="PHAMATEX",PR!$AX287,IF(F289="PETHICS",PR!$AY287,IF(F289="PHILIPS",PR!$AZ287,IF(F289="RANBAXY",PR!$BA287,IF(F289="REALS",PR!$BB287,IF(F289="ROYAL",PR!$BC287,IF(F289="SAM",PR!$BD287,IF(F289="SEAGREEN",PR!$BE287,IF(F289="SKG",PR!$BF287,IF(F289="TAH",PR!$BG287,IF(F289="TAYLEK",PR!$BH287,IF(F289="TEMITA",PR!$BI287,IF(F289="THL",PR!$BJ287,IF(F289="UBASTIC",PR!$BK287,IF(F289="UNION",PR!$BL287,IF(F289="UNIQUE",PR!$BM287,IF(F289="VIXA",PR!$BN287,IF(F289="WWCV",PR!$BO287,IF(F289="ZOLON",PR!$BP287,"-"))))))))))))))))))))))))))))))))))))))))))))))))))))))))))))))))</f>
        <v>3900</v>
      </c>
      <c r="F289" s="102" t="str">
        <f>EV!L374</f>
        <v>JAWA</v>
      </c>
      <c r="G289" s="108">
        <f>IF(H289="ALPHA",PR!$E287,IF(H289="ASSENE",PR!$F287,IF(H289="BIOFEM",PR!$G287,IF(H289="BIOMED",PR!$H287,IF(H289="CHI",PR!$I287,IF(H289="CLARION",PR!$J287,IF(H289="CODIX",PR!$K287,IF(H289="COSMADE",PR!$L287,IF(H289="SANCON",PR!$M287,IF(H289="DEVON",PR!$N287,IF(H289="DORTEMAG",PR!$O287,IF(H289="DGF",PR!$P287,IF(H289="DYNAMIC",PR!$Q287,IF(H289="EMZOR",PR!$R287,IF(H289="EUMATT",PR!$S287,IF(H289="FIDSON",PR!$T287,IF(H289="FCGLOBAL",PR!$U287,IF(H289="GENEITH",PR!$V287,IF(H289="GINOS",PR!$W287,IF(H289="GSK",PR!$X287,IF(H289="GLOBORG",PR!$Y287,IF(H289="GOODNEWS",PR!$Z287,IF(H289="GREENLIFE",PR!$AA287,IF(H289="HLINE",PR!$AB287,IF(H289="ROTECH",PR!$AC287,IF(H289="ISN",PR!$AD287,IF(H289="JAWA",PR!$AE287,IF(H289="LAYO",PR!$AF287,IF(H289="LEADWAY",PR!$AG287,IF(H289="LHV",PR!$AH287,IF(H289="MANOLA",PR!$AI287,IF(H289="MARCSON",PR!$AJ287,IF(H289="M&amp;B",PR!$AK287,IF(H289="MTRUST",PR!$AL287,IF(H289="MWORLD",PR!$AM287,IF(H289="MEGA",PR!$AN287,IF(H289="MICRONOVA",PR!$AO287,IF(H289="MFLASH",PR!$AP287,IF(H289="MORISON",PR!$AQ287,IF(H289="NEMEL",PR!$AR287,IF(H289="NHP",PR!$AS287,IF(H289="NHC",PR!$AT287,IF(H289="OLEAF",PR!$AU287,IF(H289="OCULUS",PR!$AV287,IF(H289="PACIFIC",PR!$AW287,IF(H289="PHAMATEX",PR!$AX287,IF(H289="PETHICS",PR!$AY287,IF(H289="PHILIPS",PR!$AZ287,IF(H289="RANBAXY",PR!$BA287,IF(H289="REALS",PR!$BB287,IF(H289="ROYAL",PR!$BC287,IF(H289="SAM",PR!$BD287,IF(H289="SEAGREEN",PR!$BE287,IF(H289="SKG",PR!$BF287,IF(H289="TAH",PR!$BG287,IF(H289="TAYLEK",PR!$BH287,IF(H289="TEMITA",PR!$BI287,IF(H289="THL",PR!$BJ287,IF(H289="UBASTIC",PR!$BK287,IF(H289="UNION",PR!$BL287,IF(H289="UNIQUE",PR!$BM287,IF(H289="VIXA",PR!$BN287,IF(H289="WWCV",PR!$BO287,IF(H289="ZOLON",PR!$BP287,"-"))))))))))))))))))))))))))))))))))))))))))))))))))))))))))))))))</f>
        <v>3910</v>
      </c>
      <c r="H289" s="102" t="str">
        <f>EV!M374</f>
        <v>RANBAXY</v>
      </c>
      <c r="I289" s="108">
        <f>IF(J289="ALPHA",PR!$E287,IF(J289="ASSENE",PR!$F287,IF(J289="BIOFEM",PR!$G287,IF(J289="BIOMED",PR!$H287,IF(J289="CHI",PR!$I287,IF(J289="CLARION",PR!$J287,IF(J289="CODIX",PR!$K287,IF(J289="COSMADE",PR!$L287,IF(J289="SANCON",PR!$M287,IF(J289="DEVON",PR!$N287,IF(J289="DORTEMAG",PR!$O287,IF(J289="DGF",PR!$P287,IF(J289="DYNAMIC",PR!$Q287,IF(J289="EMZOR",PR!$R287,IF(J289="EUMATT",PR!$S287,IF(J289="FIDSON",PR!$T287,IF(J289="FCGLOBAL",PR!$U287,IF(J289="GENEITH",PR!$V287,IF(J289="GINOS",PR!$W287,IF(J289="GSK",PR!$X287,IF(J289="GLOBORG",PR!$Y287,IF(J289="GOODNEWS",PR!$Z287,IF(J289="GREENLIFE",PR!$AA287,IF(J289="HLINE",PR!$AB287,IF(J289="ROTECH",PR!$AC287,IF(J289="ISN",PR!$AD287,IF(J289="JAWA",PR!$AE287,IF(J289="LAYO",PR!$AF287,IF(J289="LEADWAY",PR!$AG287,IF(J289="LHV",PR!$AH287,IF(J289="MANOLA",PR!$AI287,IF(J289="MARCSON",PR!$AJ287,IF(J289="M&amp;B",PR!$AK287,IF(J289="MTRUST",PR!$AL287,IF(J289="MWORLD",PR!$AM287,IF(J289="MEGA",PR!$AN287,IF(J289="MICRONOVA",PR!$AO287,IF(J289="MFLASH",PR!$AP287,IF(J289="MORISON",PR!$AQ287,IF(J289="NEMEL",PR!$AR287,IF(J289="NHP",PR!$AS287,IF(J289="NHC",PR!$AT287,IF(J289="OLEAF",PR!$AU287,IF(J289="OCULUS",PR!$AV287,IF(J289="PACIFIC",PR!$AW287,IF(J289="PHAMATEX",PR!$AX287,IF(J289="PETHICS",PR!$AY287,IF(J289="PHILIPS",PR!$AZ287,IF(J289="RANBAXY",PR!$BA287,IF(J289="REALS",PR!$BB287,IF(J289="ROYAL",PR!$BC287,IF(J289="SAM",PR!$BD287,IF(J289="SEAGREEN",PR!$BE287,IF(J289="SKG",PR!$BF287,IF(J289="TAH",PR!$BG287,IF(J289="TAYLEK",PR!$BH287,IF(J289="TEMITA",PR!$BI287,IF(J289="THL",PR!$BJ287,IF(J289="UBASTIC",PR!$BK287,IF(J289="UNION",PR!$BL287,IF(J289="UNIQUE",PR!$BM287,IF(J289="VIXA",PR!$BN287,IF(J289="WWCV",PR!$BO287,IF(J289="ZOLON",PR!$BP287,"-"))))))))))))))))))))))))))))))))))))))))))))))))))))))))))))))))</f>
        <v>4000</v>
      </c>
      <c r="J289" s="102" t="str">
        <f>EV!N374</f>
        <v>FIDSON</v>
      </c>
      <c r="K289" s="433" t="s">
        <v>2133</v>
      </c>
      <c r="L289" s="183" t="str">
        <f>IF(K289&gt;0,IF(K289="ALPHA",PR!$E287,IF(K289="ASSENE",PR!$F287,IF(K289="BIOFEM",PR!$G287,IF(K289="BIOMED",PR!$H287,IF(K289="CHI",PR!$I287,IF(K289="CLARION",PR!$J287,IF(K289="CODIX",PR!$K287,IF(K289="COSMADE",PR!$L287,IF(K289="SANCON",PR!$M287,IF(K289="DEVON",PR!$N287,IF(K289="DORTEMAG",PR!$O287,IF(K289="DGF",PR!$P287,IF(K289="DYNAMIC",PR!$Q287,IF(K289="EMZOR",PR!$R287,IF(K289="EUMATT",PR!$S287,IF(K289="FIDSON",PR!$T287,IF(K289="FCGLOBAL",PR!$U287,IF(K289="GENEITH",PR!$V287,IF(K289="GINOS",PR!$W287,IF(K289="GSK",PR!$X287,IF(K289="GLOBORG",PR!$Y287,IF(K289="GOODNEWS",PR!$Z287,IF(K289="GREENLIFE",PR!$AA287,IF(K289="HLINE",PR!$AB287,IF(K289="ROTECH",PR!$AC287,IF(K289="ISN",PR!$AD287,IF(K289="JAWA",PR!$AE287,IF(K289="LAYO",PR!$AF287,IF(K289="LEADWAY",PR!$AG287,IF(K289="LHV",PR!$AH287,IF(K289="MANOLA",PR!$AI287,IF(K289="MARCSON",PR!$AJ287,IF(K289="M&amp;B",PR!$AK287,IF(K289="MTRUST",PR!$AL287,IF(K289="MWORLD",PR!$AM287,IF(K289="MEGA",PR!$AN287,IF(K289="MICRONOVA",PR!$AO287,IF(K289="MFLASH",PR!$AP287,IF(K289="MORISON",PR!$AQ287,IF(K289="NEMEL",PR!$AR287,IF(K289="NHP",PR!$AS287,IF(K289="NHC",PR!$AT287,IF(K289="OLEAF",PR!$AU287,IF(K289="OCULUS",PR!$AV287,IF(K289="PACIFIC",PR!$AW287,IF(K289="PHAMATEX",PR!$AX287,IF(K289="PETHICS",PR!$AY287,IF(K289="PHILIPS",PR!$AZ287,IF(K289="RANBAXY",PR!$BA287,IF(K289="REALS",PR!$BB287,IF(K289="ROYAL",PR!$BC287,IF(K289="SAM",PR!$BD287,IF(K289="SEAGREEN",PR!$BE287,IF(K289="SKG",PR!$BF287,IF(K289="TAH",PR!$BG287,IF(K289="TAYLEK",PR!$BH287,IF(K289="TEMITA",PR!$BI287,IF(K289="THL",PR!$BJ287,IF(K289="UBASTIC",PR!$BK287,IF(K289="UNION",PR!$BL287,IF(K289="UNIQUE",PR!$BM287,IF(K289="VIXA",PR!$BN287,IF(K289="WWCV",PR!$BO287,IF(K289="ZOLON",PR!$BP287,"-")))))))))))))))))))))))))))))))))))))))))))))))))))))))))))))))))</f>
        <v>-</v>
      </c>
    </row>
    <row r="290" spans="1:12" ht="18.75" x14ac:dyDescent="0.3">
      <c r="A290" s="430">
        <f>PR!A288</f>
        <v>264</v>
      </c>
      <c r="B290" s="15" t="str">
        <f>PR!B288</f>
        <v>METRONIDAZOLE 200MG TAB</v>
      </c>
      <c r="C290" s="113">
        <f>PR!D288</f>
        <v>100</v>
      </c>
      <c r="D290" s="113">
        <f>PR!C288</f>
        <v>300</v>
      </c>
      <c r="E290" s="108">
        <f>IF(F290="ALPHA",PR!$E288,IF(F290="ASSENE",PR!$F288,IF(F290="BIOFEM",PR!$G288,IF(F290="BIOMED",PR!$H288,IF(F290="CHI",PR!$I288,IF(F290="CLARION",PR!$J288,IF(F290="CODIX",PR!$K288,IF(F290="COSMADE",PR!$L288,IF(F290="SANCON",PR!$M288,IF(F290="DEVON",PR!$N288,IF(F290="DORTEMAG",PR!$O288,IF(F290="DGF",PR!$P288,IF(F290="DYNAMIC",PR!$Q288,IF(F290="EMZOR",PR!$R288,IF(F290="EUMATT",PR!$S288,IF(F290="FIDSON",PR!$T288,IF(F290="FCGLOBAL",PR!$U288,IF(F290="GENEITH",PR!$V288,IF(F290="GINOS",PR!$W288,IF(F290="GSK",PR!$X288,IF(F290="GLOBORG",PR!$Y288,IF(F290="GOODNEWS",PR!$Z288,IF(F290="GREENLIFE",PR!$AA288,IF(F290="HLINE",PR!$AB288,IF(F290="ROTECH",PR!$AC288,IF(F290="ISN",PR!$AD288,IF(F290="JAWA",PR!$AE288,IF(F290="LAYO",PR!$AF288,IF(F290="LEADWAY",PR!$AG288,IF(F290="LHV",PR!$AH288,IF(F290="MANOLA",PR!$AI288,IF(F290="MARCSON",PR!$AJ288,IF(F290="M&amp;B",PR!$AK288,IF(F290="MTRUST",PR!$AL288,IF(F290="MWORLD",PR!$AM288,IF(F290="MEGA",PR!$AN288,IF(F290="MICRONOVA",PR!$AO288,IF(F290="MFLASH",PR!$AP288,IF(F290="MORISON",PR!$AQ288,IF(F290="NEMEL",PR!$AR288,IF(F290="NHP",PR!$AS288,IF(F290="NHC",PR!$AT288,IF(F290="OLEAF",PR!$AU288,IF(F290="OCULUS",PR!$AV288,IF(F290="PACIFIC",PR!$AW288,IF(F290="PHAMATEX",PR!$AX288,IF(F290="PETHICS",PR!$AY288,IF(F290="PHILIPS",PR!$AZ288,IF(F290="RANBAXY",PR!$BA288,IF(F290="REALS",PR!$BB288,IF(F290="ROYAL",PR!$BC288,IF(F290="SAM",PR!$BD288,IF(F290="SEAGREEN",PR!$BE288,IF(F290="SKG",PR!$BF288,IF(F290="TAH",PR!$BG288,IF(F290="TAYLEK",PR!$BH288,IF(F290="TEMITA",PR!$BI288,IF(F290="THL",PR!$BJ288,IF(F290="UBASTIC",PR!$BK288,IF(F290="UNION",PR!$BL288,IF(F290="UNIQUE",PR!$BM288,IF(F290="VIXA",PR!$BN288,IF(F290="WWCV",PR!$BO288,IF(F290="ZOLON",PR!$BP288,"-"))))))))))))))))))))))))))))))))))))))))))))))))))))))))))))))))</f>
        <v>200</v>
      </c>
      <c r="F290" s="102" t="str">
        <f>EV!L375</f>
        <v>EUMATT</v>
      </c>
      <c r="G290" s="108">
        <f>IF(H290="ALPHA",PR!$E288,IF(H290="ASSENE",PR!$F288,IF(H290="BIOFEM",PR!$G288,IF(H290="BIOMED",PR!$H288,IF(H290="CHI",PR!$I288,IF(H290="CLARION",PR!$J288,IF(H290="CODIX",PR!$K288,IF(H290="COSMADE",PR!$L288,IF(H290="SANCON",PR!$M288,IF(H290="DEVON",PR!$N288,IF(H290="DORTEMAG",PR!$O288,IF(H290="DGF",PR!$P288,IF(H290="DYNAMIC",PR!$Q288,IF(H290="EMZOR",PR!$R288,IF(H290="EUMATT",PR!$S288,IF(H290="FIDSON",PR!$T288,IF(H290="FCGLOBAL",PR!$U288,IF(H290="GENEITH",PR!$V288,IF(H290="GINOS",PR!$W288,IF(H290="GSK",PR!$X288,IF(H290="GLOBORG",PR!$Y288,IF(H290="GOODNEWS",PR!$Z288,IF(H290="GREENLIFE",PR!$AA288,IF(H290="HLINE",PR!$AB288,IF(H290="ROTECH",PR!$AC288,IF(H290="ISN",PR!$AD288,IF(H290="JAWA",PR!$AE288,IF(H290="LAYO",PR!$AF288,IF(H290="LEADWAY",PR!$AG288,IF(H290="LHV",PR!$AH288,IF(H290="MANOLA",PR!$AI288,IF(H290="MARCSON",PR!$AJ288,IF(H290="M&amp;B",PR!$AK288,IF(H290="MTRUST",PR!$AL288,IF(H290="MWORLD",PR!$AM288,IF(H290="MEGA",PR!$AN288,IF(H290="MICRONOVA",PR!$AO288,IF(H290="MFLASH",PR!$AP288,IF(H290="MORISON",PR!$AQ288,IF(H290="NEMEL",PR!$AR288,IF(H290="NHP",PR!$AS288,IF(H290="NHC",PR!$AT288,IF(H290="OLEAF",PR!$AU288,IF(H290="OCULUS",PR!$AV288,IF(H290="PACIFIC",PR!$AW288,IF(H290="PHAMATEX",PR!$AX288,IF(H290="PETHICS",PR!$AY288,IF(H290="PHILIPS",PR!$AZ288,IF(H290="RANBAXY",PR!$BA288,IF(H290="REALS",PR!$BB288,IF(H290="ROYAL",PR!$BC288,IF(H290="SAM",PR!$BD288,IF(H290="SEAGREEN",PR!$BE288,IF(H290="SKG",PR!$BF288,IF(H290="TAH",PR!$BG288,IF(H290="TAYLEK",PR!$BH288,IF(H290="TEMITA",PR!$BI288,IF(H290="THL",PR!$BJ288,IF(H290="UBASTIC",PR!$BK288,IF(H290="UNION",PR!$BL288,IF(H290="UNIQUE",PR!$BM288,IF(H290="VIXA",PR!$BN288,IF(H290="WWCV",PR!$BO288,IF(H290="ZOLON",PR!$BP288,"-"))))))))))))))))))))))))))))))))))))))))))))))))))))))))))))))))</f>
        <v>200</v>
      </c>
      <c r="H290" s="102" t="str">
        <f>EV!M375</f>
        <v>PHAMATEX</v>
      </c>
      <c r="I290" s="108">
        <f>IF(J290="ALPHA",PR!$E288,IF(J290="ASSENE",PR!$F288,IF(J290="BIOFEM",PR!$G288,IF(J290="BIOMED",PR!$H288,IF(J290="CHI",PR!$I288,IF(J290="CLARION",PR!$J288,IF(J290="CODIX",PR!$K288,IF(J290="COSMADE",PR!$L288,IF(J290="SANCON",PR!$M288,IF(J290="DEVON",PR!$N288,IF(J290="DORTEMAG",PR!$O288,IF(J290="DGF",PR!$P288,IF(J290="DYNAMIC",PR!$Q288,IF(J290="EMZOR",PR!$R288,IF(J290="EUMATT",PR!$S288,IF(J290="FIDSON",PR!$T288,IF(J290="FCGLOBAL",PR!$U288,IF(J290="GENEITH",PR!$V288,IF(J290="GINOS",PR!$W288,IF(J290="GSK",PR!$X288,IF(J290="GLOBORG",PR!$Y288,IF(J290="GOODNEWS",PR!$Z288,IF(J290="GREENLIFE",PR!$AA288,IF(J290="HLINE",PR!$AB288,IF(J290="ROTECH",PR!$AC288,IF(J290="ISN",PR!$AD288,IF(J290="JAWA",PR!$AE288,IF(J290="LAYO",PR!$AF288,IF(J290="LEADWAY",PR!$AG288,IF(J290="LHV",PR!$AH288,IF(J290="MANOLA",PR!$AI288,IF(J290="MARCSON",PR!$AJ288,IF(J290="M&amp;B",PR!$AK288,IF(J290="MTRUST",PR!$AL288,IF(J290="MWORLD",PR!$AM288,IF(J290="MEGA",PR!$AN288,IF(J290="MICRONOVA",PR!$AO288,IF(J290="MFLASH",PR!$AP288,IF(J290="MORISON",PR!$AQ288,IF(J290="NEMEL",PR!$AR288,IF(J290="NHP",PR!$AS288,IF(J290="NHC",PR!$AT288,IF(J290="OLEAF",PR!$AU288,IF(J290="OCULUS",PR!$AV288,IF(J290="PACIFIC",PR!$AW288,IF(J290="PHAMATEX",PR!$AX288,IF(J290="PETHICS",PR!$AY288,IF(J290="PHILIPS",PR!$AZ288,IF(J290="RANBAXY",PR!$BA288,IF(J290="REALS",PR!$BB288,IF(J290="ROYAL",PR!$BC288,IF(J290="SAM",PR!$BD288,IF(J290="SEAGREEN",PR!$BE288,IF(J290="SKG",PR!$BF288,IF(J290="TAH",PR!$BG288,IF(J290="TAYLEK",PR!$BH288,IF(J290="TEMITA",PR!$BI288,IF(J290="THL",PR!$BJ288,IF(J290="UBASTIC",PR!$BK288,IF(J290="UNION",PR!$BL288,IF(J290="UNIQUE",PR!$BM288,IF(J290="VIXA",PR!$BN288,IF(J290="WWCV",PR!$BO288,IF(J290="ZOLON",PR!$BP288,"-"))))))))))))))))))))))))))))))))))))))))))))))))))))))))))))))))</f>
        <v>220</v>
      </c>
      <c r="J290" s="102" t="str">
        <f>EV!N375</f>
        <v>FIDSON</v>
      </c>
      <c r="K290" s="433" t="s">
        <v>631</v>
      </c>
      <c r="L290" s="183">
        <f>IF(K290&gt;0,IF(K290="ALPHA",PR!$E288,IF(K290="ASSENE",PR!$F288,IF(K290="BIOFEM",PR!$G288,IF(K290="BIOMED",PR!$H288,IF(K290="CHI",PR!$I288,IF(K290="CLARION",PR!$J288,IF(K290="CODIX",PR!$K288,IF(K290="COSMADE",PR!$L288,IF(K290="SANCON",PR!$M288,IF(K290="DEVON",PR!$N288,IF(K290="DORTEMAG",PR!$O288,IF(K290="DGF",PR!$P288,IF(K290="DYNAMIC",PR!$Q288,IF(K290="EMZOR",PR!$R288,IF(K290="EUMATT",PR!$S288,IF(K290="FIDSON",PR!$T288,IF(K290="FCGLOBAL",PR!$U288,IF(K290="GENEITH",PR!$V288,IF(K290="GINOS",PR!$W288,IF(K290="GSK",PR!$X288,IF(K290="GLOBORG",PR!$Y288,IF(K290="GOODNEWS",PR!$Z288,IF(K290="GREENLIFE",PR!$AA288,IF(K290="HLINE",PR!$AB288,IF(K290="ROTECH",PR!$AC288,IF(K290="ISN",PR!$AD288,IF(K290="JAWA",PR!$AE288,IF(K290="LAYO",PR!$AF288,IF(K290="LEADWAY",PR!$AG288,IF(K290="LHV",PR!$AH288,IF(K290="MANOLA",PR!$AI288,IF(K290="MARCSON",PR!$AJ288,IF(K290="M&amp;B",PR!$AK288,IF(K290="MTRUST",PR!$AL288,IF(K290="MWORLD",PR!$AM288,IF(K290="MEGA",PR!$AN288,IF(K290="MICRONOVA",PR!$AO288,IF(K290="MFLASH",PR!$AP288,IF(K290="MORISON",PR!$AQ288,IF(K290="NEMEL",PR!$AR288,IF(K290="NHP",PR!$AS288,IF(K290="NHC",PR!$AT288,IF(K290="OLEAF",PR!$AU288,IF(K290="OCULUS",PR!$AV288,IF(K290="PACIFIC",PR!$AW288,IF(K290="PHAMATEX",PR!$AX288,IF(K290="PETHICS",PR!$AY288,IF(K290="PHILIPS",PR!$AZ288,IF(K290="RANBAXY",PR!$BA288,IF(K290="REALS",PR!$BB288,IF(K290="ROYAL",PR!$BC288,IF(K290="SAM",PR!$BD288,IF(K290="SEAGREEN",PR!$BE288,IF(K290="SKG",PR!$BF288,IF(K290="TAH",PR!$BG288,IF(K290="TAYLEK",PR!$BH288,IF(K290="TEMITA",PR!$BI288,IF(K290="THL",PR!$BJ288,IF(K290="UBASTIC",PR!$BK288,IF(K290="UNION",PR!$BL288,IF(K290="UNIQUE",PR!$BM288,IF(K290="VIXA",PR!$BN288,IF(K290="WWCV",PR!$BO288,IF(K290="ZOLON",PR!$BP288,"-")))))))))))))))))))))))))))))))))))))))))))))))))))))))))))))))))</f>
        <v>220</v>
      </c>
    </row>
    <row r="291" spans="1:12" ht="18.75" x14ac:dyDescent="0.3">
      <c r="A291" s="430">
        <f>PR!A289</f>
        <v>265</v>
      </c>
      <c r="B291" s="15" t="str">
        <f>PR!B289</f>
        <v>METRONIDAZOLE 400MG TAB</v>
      </c>
      <c r="C291" s="113">
        <f>PR!D289</f>
        <v>100</v>
      </c>
      <c r="D291" s="113">
        <f>PR!C289</f>
        <v>2000</v>
      </c>
      <c r="E291" s="108">
        <f>IF(F291="ALPHA",PR!$E289,IF(F291="ASSENE",PR!$F289,IF(F291="BIOFEM",PR!$G289,IF(F291="BIOMED",PR!$H289,IF(F291="CHI",PR!$I289,IF(F291="CLARION",PR!$J289,IF(F291="CODIX",PR!$K289,IF(F291="COSMADE",PR!$L289,IF(F291="SANCON",PR!$M289,IF(F291="DEVON",PR!$N289,IF(F291="DORTEMAG",PR!$O289,IF(F291="DGF",PR!$P289,IF(F291="DYNAMIC",PR!$Q289,IF(F291="EMZOR",PR!$R289,IF(F291="EUMATT",PR!$S289,IF(F291="FIDSON",PR!$T289,IF(F291="FCGLOBAL",PR!$U289,IF(F291="GENEITH",PR!$V289,IF(F291="GINOS",PR!$W289,IF(F291="GSK",PR!$X289,IF(F291="GLOBORG",PR!$Y289,IF(F291="GOODNEWS",PR!$Z289,IF(F291="GREENLIFE",PR!$AA289,IF(F291="HLINE",PR!$AB289,IF(F291="ROTECH",PR!$AC289,IF(F291="ISN",PR!$AD289,IF(F291="JAWA",PR!$AE289,IF(F291="LAYO",PR!$AF289,IF(F291="LEADWAY",PR!$AG289,IF(F291="LHV",PR!$AH289,IF(F291="MANOLA",PR!$AI289,IF(F291="MARCSON",PR!$AJ289,IF(F291="M&amp;B",PR!$AK289,IF(F291="MTRUST",PR!$AL289,IF(F291="MWORLD",PR!$AM289,IF(F291="MEGA",PR!$AN289,IF(F291="MICRONOVA",PR!$AO289,IF(F291="MFLASH",PR!$AP289,IF(F291="MORISON",PR!$AQ289,IF(F291="NEMEL",PR!$AR289,IF(F291="NHP",PR!$AS289,IF(F291="NHC",PR!$AT289,IF(F291="OLEAF",PR!$AU289,IF(F291="OCULUS",PR!$AV289,IF(F291="PACIFIC",PR!$AW289,IF(F291="PHAMATEX",PR!$AX289,IF(F291="PETHICS",PR!$AY289,IF(F291="PHILIPS",PR!$AZ289,IF(F291="RANBAXY",PR!$BA289,IF(F291="REALS",PR!$BB289,IF(F291="ROYAL",PR!$BC289,IF(F291="SAM",PR!$BD289,IF(F291="SEAGREEN",PR!$BE289,IF(F291="SKG",PR!$BF289,IF(F291="TAH",PR!$BG289,IF(F291="TAYLEK",PR!$BH289,IF(F291="TEMITA",PR!$BI289,IF(F291="THL",PR!$BJ289,IF(F291="UBASTIC",PR!$BK289,IF(F291="UNION",PR!$BL289,IF(F291="UNIQUE",PR!$BM289,IF(F291="VIXA",PR!$BN289,IF(F291="WWCV",PR!$BO289,IF(F291="ZOLON",PR!$BP289,"-"))))))))))))))))))))))))))))))))))))))))))))))))))))))))))))))))</f>
        <v>380</v>
      </c>
      <c r="F291" s="102" t="str">
        <f>EV!L376</f>
        <v>PHAMATEX</v>
      </c>
      <c r="G291" s="108">
        <f>IF(H291="ALPHA",PR!$E289,IF(H291="ASSENE",PR!$F289,IF(H291="BIOFEM",PR!$G289,IF(H291="BIOMED",PR!$H289,IF(H291="CHI",PR!$I289,IF(H291="CLARION",PR!$J289,IF(H291="CODIX",PR!$K289,IF(H291="COSMADE",PR!$L289,IF(H291="SANCON",PR!$M289,IF(H291="DEVON",PR!$N289,IF(H291="DORTEMAG",PR!$O289,IF(H291="DGF",PR!$P289,IF(H291="DYNAMIC",PR!$Q289,IF(H291="EMZOR",PR!$R289,IF(H291="EUMATT",PR!$S289,IF(H291="FIDSON",PR!$T289,IF(H291="FCGLOBAL",PR!$U289,IF(H291="GENEITH",PR!$V289,IF(H291="GINOS",PR!$W289,IF(H291="GSK",PR!$X289,IF(H291="GLOBORG",PR!$Y289,IF(H291="GOODNEWS",PR!$Z289,IF(H291="GREENLIFE",PR!$AA289,IF(H291="HLINE",PR!$AB289,IF(H291="ROTECH",PR!$AC289,IF(H291="ISN",PR!$AD289,IF(H291="JAWA",PR!$AE289,IF(H291="LAYO",PR!$AF289,IF(H291="LEADWAY",PR!$AG289,IF(H291="LHV",PR!$AH289,IF(H291="MANOLA",PR!$AI289,IF(H291="MARCSON",PR!$AJ289,IF(H291="M&amp;B",PR!$AK289,IF(H291="MTRUST",PR!$AL289,IF(H291="MWORLD",PR!$AM289,IF(H291="MEGA",PR!$AN289,IF(H291="MICRONOVA",PR!$AO289,IF(H291="MFLASH",PR!$AP289,IF(H291="MORISON",PR!$AQ289,IF(H291="NEMEL",PR!$AR289,IF(H291="NHP",PR!$AS289,IF(H291="NHC",PR!$AT289,IF(H291="OLEAF",PR!$AU289,IF(H291="OCULUS",PR!$AV289,IF(H291="PACIFIC",PR!$AW289,IF(H291="PHAMATEX",PR!$AX289,IF(H291="PETHICS",PR!$AY289,IF(H291="PHILIPS",PR!$AZ289,IF(H291="RANBAXY",PR!$BA289,IF(H291="REALS",PR!$BB289,IF(H291="ROYAL",PR!$BC289,IF(H291="SAM",PR!$BD289,IF(H291="SEAGREEN",PR!$BE289,IF(H291="SKG",PR!$BF289,IF(H291="TAH",PR!$BG289,IF(H291="TAYLEK",PR!$BH289,IF(H291="TEMITA",PR!$BI289,IF(H291="THL",PR!$BJ289,IF(H291="UBASTIC",PR!$BK289,IF(H291="UNION",PR!$BL289,IF(H291="UNIQUE",PR!$BM289,IF(H291="VIXA",PR!$BN289,IF(H291="WWCV",PR!$BO289,IF(H291="ZOLON",PR!$BP289,"-"))))))))))))))))))))))))))))))))))))))))))))))))))))))))))))))))</f>
        <v>400</v>
      </c>
      <c r="H291" s="102" t="str">
        <f>EV!M376</f>
        <v>FIDSON</v>
      </c>
      <c r="I291" s="108">
        <f>IF(J291="ALPHA",PR!$E289,IF(J291="ASSENE",PR!$F289,IF(J291="BIOFEM",PR!$G289,IF(J291="BIOMED",PR!$H289,IF(J291="CHI",PR!$I289,IF(J291="CLARION",PR!$J289,IF(J291="CODIX",PR!$K289,IF(J291="COSMADE",PR!$L289,IF(J291="SANCON",PR!$M289,IF(J291="DEVON",PR!$N289,IF(J291="DORTEMAG",PR!$O289,IF(J291="DGF",PR!$P289,IF(J291="DYNAMIC",PR!$Q289,IF(J291="EMZOR",PR!$R289,IF(J291="EUMATT",PR!$S289,IF(J291="FIDSON",PR!$T289,IF(J291="FCGLOBAL",PR!$U289,IF(J291="GENEITH",PR!$V289,IF(J291="GINOS",PR!$W289,IF(J291="GSK",PR!$X289,IF(J291="GLOBORG",PR!$Y289,IF(J291="GOODNEWS",PR!$Z289,IF(J291="GREENLIFE",PR!$AA289,IF(J291="HLINE",PR!$AB289,IF(J291="ROTECH",PR!$AC289,IF(J291="ISN",PR!$AD289,IF(J291="JAWA",PR!$AE289,IF(J291="LAYO",PR!$AF289,IF(J291="LEADWAY",PR!$AG289,IF(J291="LHV",PR!$AH289,IF(J291="MANOLA",PR!$AI289,IF(J291="MARCSON",PR!$AJ289,IF(J291="M&amp;B",PR!$AK289,IF(J291="MTRUST",PR!$AL289,IF(J291="MWORLD",PR!$AM289,IF(J291="MEGA",PR!$AN289,IF(J291="MICRONOVA",PR!$AO289,IF(J291="MFLASH",PR!$AP289,IF(J291="MORISON",PR!$AQ289,IF(J291="NEMEL",PR!$AR289,IF(J291="NHP",PR!$AS289,IF(J291="NHC",PR!$AT289,IF(J291="OLEAF",PR!$AU289,IF(J291="OCULUS",PR!$AV289,IF(J291="PACIFIC",PR!$AW289,IF(J291="PHAMATEX",PR!$AX289,IF(J291="PETHICS",PR!$AY289,IF(J291="PHILIPS",PR!$AZ289,IF(J291="RANBAXY",PR!$BA289,IF(J291="REALS",PR!$BB289,IF(J291="ROYAL",PR!$BC289,IF(J291="SAM",PR!$BD289,IF(J291="SEAGREEN",PR!$BE289,IF(J291="SKG",PR!$BF289,IF(J291="TAH",PR!$BG289,IF(J291="TAYLEK",PR!$BH289,IF(J291="TEMITA",PR!$BI289,IF(J291="THL",PR!$BJ289,IF(J291="UBASTIC",PR!$BK289,IF(J291="UNION",PR!$BL289,IF(J291="UNIQUE",PR!$BM289,IF(J291="VIXA",PR!$BN289,IF(J291="WWCV",PR!$BO289,IF(J291="ZOLON",PR!$BP289,"-"))))))))))))))))))))))))))))))))))))))))))))))))))))))))))))))))</f>
        <v>420</v>
      </c>
      <c r="J291" s="102" t="str">
        <f>EV!N376</f>
        <v>EUMATT</v>
      </c>
      <c r="K291" s="433" t="s">
        <v>627</v>
      </c>
      <c r="L291" s="183">
        <f>IF(K291&gt;0,IF(K291="ALPHA",PR!$E289,IF(K291="ASSENE",PR!$F289,IF(K291="BIOFEM",PR!$G289,IF(K291="BIOMED",PR!$H289,IF(K291="CHI",PR!$I289,IF(K291="CLARION",PR!$J289,IF(K291="CODIX",PR!$K289,IF(K291="COSMADE",PR!$L289,IF(K291="SANCON",PR!$M289,IF(K291="DEVON",PR!$N289,IF(K291="DORTEMAG",PR!$O289,IF(K291="DGF",PR!$P289,IF(K291="DYNAMIC",PR!$Q289,IF(K291="EMZOR",PR!$R289,IF(K291="EUMATT",PR!$S289,IF(K291="FIDSON",PR!$T289,IF(K291="FCGLOBAL",PR!$U289,IF(K291="GENEITH",PR!$V289,IF(K291="GINOS",PR!$W289,IF(K291="GSK",PR!$X289,IF(K291="GLOBORG",PR!$Y289,IF(K291="GOODNEWS",PR!$Z289,IF(K291="GREENLIFE",PR!$AA289,IF(K291="HLINE",PR!$AB289,IF(K291="ROTECH",PR!$AC289,IF(K291="ISN",PR!$AD289,IF(K291="JAWA",PR!$AE289,IF(K291="LAYO",PR!$AF289,IF(K291="LEADWAY",PR!$AG289,IF(K291="LHV",PR!$AH289,IF(K291="MANOLA",PR!$AI289,IF(K291="MARCSON",PR!$AJ289,IF(K291="M&amp;B",PR!$AK289,IF(K291="MTRUST",PR!$AL289,IF(K291="MWORLD",PR!$AM289,IF(K291="MEGA",PR!$AN289,IF(K291="MICRONOVA",PR!$AO289,IF(K291="MFLASH",PR!$AP289,IF(K291="MORISON",PR!$AQ289,IF(K291="NEMEL",PR!$AR289,IF(K291="NHP",PR!$AS289,IF(K291="NHC",PR!$AT289,IF(K291="OLEAF",PR!$AU289,IF(K291="OCULUS",PR!$AV289,IF(K291="PACIFIC",PR!$AW289,IF(K291="PHAMATEX",PR!$AX289,IF(K291="PETHICS",PR!$AY289,IF(K291="PHILIPS",PR!$AZ289,IF(K291="RANBAXY",PR!$BA289,IF(K291="REALS",PR!$BB289,IF(K291="ROYAL",PR!$BC289,IF(K291="SAM",PR!$BD289,IF(K291="SEAGREEN",PR!$BE289,IF(K291="SKG",PR!$BF289,IF(K291="TAH",PR!$BG289,IF(K291="TAYLEK",PR!$BH289,IF(K291="TEMITA",PR!$BI289,IF(K291="THL",PR!$BJ289,IF(K291="UBASTIC",PR!$BK289,IF(K291="UNION",PR!$BL289,IF(K291="UNIQUE",PR!$BM289,IF(K291="VIXA",PR!$BN289,IF(K291="WWCV",PR!$BO289,IF(K291="ZOLON",PR!$BP289,"-")))))))))))))))))))))))))))))))))))))))))))))))))))))))))))))))))</f>
        <v>380</v>
      </c>
    </row>
    <row r="292" spans="1:12" ht="18.75" x14ac:dyDescent="0.3">
      <c r="A292" s="430">
        <f>PR!A290</f>
        <v>266</v>
      </c>
      <c r="B292" s="15" t="str">
        <f>PR!B290</f>
        <v xml:space="preserve">METRONIDAZOLE INJ </v>
      </c>
      <c r="C292" s="113" t="str">
        <f>PR!D290</f>
        <v>BOTT</v>
      </c>
      <c r="D292" s="113">
        <f>PR!C290</f>
        <v>44000</v>
      </c>
      <c r="E292" s="108">
        <f>IF(F292="ALPHA",PR!$E290,IF(F292="ASSENE",PR!$F290,IF(F292="BIOFEM",PR!$G290,IF(F292="BIOMED",PR!$H290,IF(F292="CHI",PR!$I290,IF(F292="CLARION",PR!$J290,IF(F292="CODIX",PR!$K290,IF(F292="COSMADE",PR!$L290,IF(F292="SANCON",PR!$M290,IF(F292="DEVON",PR!$N290,IF(F292="DORTEMAG",PR!$O290,IF(F292="DGF",PR!$P290,IF(F292="DYNAMIC",PR!$Q290,IF(F292="EMZOR",PR!$R290,IF(F292="EUMATT",PR!$S290,IF(F292="FIDSON",PR!$T290,IF(F292="FCGLOBAL",PR!$U290,IF(F292="GENEITH",PR!$V290,IF(F292="GINOS",PR!$W290,IF(F292="GSK",PR!$X290,IF(F292="GLOBORG",PR!$Y290,IF(F292="GOODNEWS",PR!$Z290,IF(F292="GREENLIFE",PR!$AA290,IF(F292="HLINE",PR!$AB290,IF(F292="ROTECH",PR!$AC290,IF(F292="ISN",PR!$AD290,IF(F292="JAWA",PR!$AE290,IF(F292="LAYO",PR!$AF290,IF(F292="LEADWAY",PR!$AG290,IF(F292="LHV",PR!$AH290,IF(F292="MANOLA",PR!$AI290,IF(F292="MARCSON",PR!$AJ290,IF(F292="M&amp;B",PR!$AK290,IF(F292="MTRUST",PR!$AL290,IF(F292="MWORLD",PR!$AM290,IF(F292="MEGA",PR!$AN290,IF(F292="MICRONOVA",PR!$AO290,IF(F292="MFLASH",PR!$AP290,IF(F292="MORISON",PR!$AQ290,IF(F292="NEMEL",PR!$AR290,IF(F292="NHP",PR!$AS290,IF(F292="NHC",PR!$AT290,IF(F292="OLEAF",PR!$AU290,IF(F292="OCULUS",PR!$AV290,IF(F292="PACIFIC",PR!$AW290,IF(F292="PHAMATEX",PR!$AX290,IF(F292="PETHICS",PR!$AY290,IF(F292="PHILIPS",PR!$AZ290,IF(F292="RANBAXY",PR!$BA290,IF(F292="REALS",PR!$BB290,IF(F292="ROYAL",PR!$BC290,IF(F292="SAM",PR!$BD290,IF(F292="SEAGREEN",PR!$BE290,IF(F292="SKG",PR!$BF290,IF(F292="TAH",PR!$BG290,IF(F292="TAYLEK",PR!$BH290,IF(F292="TEMITA",PR!$BI290,IF(F292="THL",PR!$BJ290,IF(F292="UBASTIC",PR!$BK290,IF(F292="UNION",PR!$BL290,IF(F292="UNIQUE",PR!$BM290,IF(F292="VIXA",PR!$BN290,IF(F292="WWCV",PR!$BO290,IF(F292="ZOLON",PR!$BP290,"-"))))))))))))))))))))))))))))))))))))))))))))))))))))))))))))))))</f>
        <v>88</v>
      </c>
      <c r="F292" s="102" t="str">
        <f>EV!L377</f>
        <v>GLOBORG</v>
      </c>
      <c r="G292" s="108">
        <f>IF(H292="ALPHA",PR!$E290,IF(H292="ASSENE",PR!$F290,IF(H292="BIOFEM",PR!$G290,IF(H292="BIOMED",PR!$H290,IF(H292="CHI",PR!$I290,IF(H292="CLARION",PR!$J290,IF(H292="CODIX",PR!$K290,IF(H292="COSMADE",PR!$L290,IF(H292="SANCON",PR!$M290,IF(H292="DEVON",PR!$N290,IF(H292="DORTEMAG",PR!$O290,IF(H292="DGF",PR!$P290,IF(H292="DYNAMIC",PR!$Q290,IF(H292="EMZOR",PR!$R290,IF(H292="EUMATT",PR!$S290,IF(H292="FIDSON",PR!$T290,IF(H292="FCGLOBAL",PR!$U290,IF(H292="GENEITH",PR!$V290,IF(H292="GINOS",PR!$W290,IF(H292="GSK",PR!$X290,IF(H292="GLOBORG",PR!$Y290,IF(H292="GOODNEWS",PR!$Z290,IF(H292="GREENLIFE",PR!$AA290,IF(H292="HLINE",PR!$AB290,IF(H292="ROTECH",PR!$AC290,IF(H292="ISN",PR!$AD290,IF(H292="JAWA",PR!$AE290,IF(H292="LAYO",PR!$AF290,IF(H292="LEADWAY",PR!$AG290,IF(H292="LHV",PR!$AH290,IF(H292="MANOLA",PR!$AI290,IF(H292="MARCSON",PR!$AJ290,IF(H292="M&amp;B",PR!$AK290,IF(H292="MTRUST",PR!$AL290,IF(H292="MWORLD",PR!$AM290,IF(H292="MEGA",PR!$AN290,IF(H292="MICRONOVA",PR!$AO290,IF(H292="MFLASH",PR!$AP290,IF(H292="MORISON",PR!$AQ290,IF(H292="NEMEL",PR!$AR290,IF(H292="NHP",PR!$AS290,IF(H292="NHC",PR!$AT290,IF(H292="OLEAF",PR!$AU290,IF(H292="OCULUS",PR!$AV290,IF(H292="PACIFIC",PR!$AW290,IF(H292="PHAMATEX",PR!$AX290,IF(H292="PETHICS",PR!$AY290,IF(H292="PHILIPS",PR!$AZ290,IF(H292="RANBAXY",PR!$BA290,IF(H292="REALS",PR!$BB290,IF(H292="ROYAL",PR!$BC290,IF(H292="SAM",PR!$BD290,IF(H292="SEAGREEN",PR!$BE290,IF(H292="SKG",PR!$BF290,IF(H292="TAH",PR!$BG290,IF(H292="TAYLEK",PR!$BH290,IF(H292="TEMITA",PR!$BI290,IF(H292="THL",PR!$BJ290,IF(H292="UBASTIC",PR!$BK290,IF(H292="UNION",PR!$BL290,IF(H292="UNIQUE",PR!$BM290,IF(H292="VIXA",PR!$BN290,IF(H292="WWCV",PR!$BO290,IF(H292="ZOLON",PR!$BP290,"-"))))))))))))))))))))))))))))))))))))))))))))))))))))))))))))))))</f>
        <v>95</v>
      </c>
      <c r="H292" s="102" t="str">
        <f>EV!M377</f>
        <v>FIDSON</v>
      </c>
      <c r="I292" s="108">
        <f>IF(J292="ALPHA",PR!$E290,IF(J292="ASSENE",PR!$F290,IF(J292="BIOFEM",PR!$G290,IF(J292="BIOMED",PR!$H290,IF(J292="CHI",PR!$I290,IF(J292="CLARION",PR!$J290,IF(J292="CODIX",PR!$K290,IF(J292="COSMADE",PR!$L290,IF(J292="SANCON",PR!$M290,IF(J292="DEVON",PR!$N290,IF(J292="DORTEMAG",PR!$O290,IF(J292="DGF",PR!$P290,IF(J292="DYNAMIC",PR!$Q290,IF(J292="EMZOR",PR!$R290,IF(J292="EUMATT",PR!$S290,IF(J292="FIDSON",PR!$T290,IF(J292="FCGLOBAL",PR!$U290,IF(J292="GENEITH",PR!$V290,IF(J292="GINOS",PR!$W290,IF(J292="GSK",PR!$X290,IF(J292="GLOBORG",PR!$Y290,IF(J292="GOODNEWS",PR!$Z290,IF(J292="GREENLIFE",PR!$AA290,IF(J292="HLINE",PR!$AB290,IF(J292="ROTECH",PR!$AC290,IF(J292="ISN",PR!$AD290,IF(J292="JAWA",PR!$AE290,IF(J292="LAYO",PR!$AF290,IF(J292="LEADWAY",PR!$AG290,IF(J292="LHV",PR!$AH290,IF(J292="MANOLA",PR!$AI290,IF(J292="MARCSON",PR!$AJ290,IF(J292="M&amp;B",PR!$AK290,IF(J292="MTRUST",PR!$AL290,IF(J292="MWORLD",PR!$AM290,IF(J292="MEGA",PR!$AN290,IF(J292="MICRONOVA",PR!$AO290,IF(J292="MFLASH",PR!$AP290,IF(J292="MORISON",PR!$AQ290,IF(J292="NEMEL",PR!$AR290,IF(J292="NHP",PR!$AS290,IF(J292="NHC",PR!$AT290,IF(J292="OLEAF",PR!$AU290,IF(J292="OCULUS",PR!$AV290,IF(J292="PACIFIC",PR!$AW290,IF(J292="PHAMATEX",PR!$AX290,IF(J292="PETHICS",PR!$AY290,IF(J292="PHILIPS",PR!$AZ290,IF(J292="RANBAXY",PR!$BA290,IF(J292="REALS",PR!$BB290,IF(J292="ROYAL",PR!$BC290,IF(J292="SAM",PR!$BD290,IF(J292="SEAGREEN",PR!$BE290,IF(J292="SKG",PR!$BF290,IF(J292="TAH",PR!$BG290,IF(J292="TAYLEK",PR!$BH290,IF(J292="TEMITA",PR!$BI290,IF(J292="THL",PR!$BJ290,IF(J292="UBASTIC",PR!$BK290,IF(J292="UNION",PR!$BL290,IF(J292="UNIQUE",PR!$BM290,IF(J292="VIXA",PR!$BN290,IF(J292="WWCV",PR!$BO290,IF(J292="ZOLON",PR!$BP290,"-"))))))))))))))))))))))))))))))))))))))))))))))))))))))))))))))))</f>
        <v>100</v>
      </c>
      <c r="J292" s="102" t="str">
        <f>EV!N377</f>
        <v>UNIQUE</v>
      </c>
      <c r="K292" s="433" t="s">
        <v>2132</v>
      </c>
      <c r="L292" s="183" t="str">
        <f>IF(K292&gt;0,IF(K292="ALPHA",PR!$E290,IF(K292="ASSENE",PR!$F290,IF(K292="BIOFEM",PR!$G290,IF(K292="BIOMED",PR!$H290,IF(K292="CHI",PR!$I290,IF(K292="CLARION",PR!$J290,IF(K292="CODIX",PR!$K290,IF(K292="COSMADE",PR!$L290,IF(K292="SANCON",PR!$M290,IF(K292="DEVON",PR!$N290,IF(K292="DORTEMAG",PR!$O290,IF(K292="DGF",PR!$P290,IF(K292="DYNAMIC",PR!$Q290,IF(K292="EMZOR",PR!$R290,IF(K292="EUMATT",PR!$S290,IF(K292="FIDSON",PR!$T290,IF(K292="FCGLOBAL",PR!$U290,IF(K292="GENEITH",PR!$V290,IF(K292="GINOS",PR!$W290,IF(K292="GSK",PR!$X290,IF(K292="GLOBORG",PR!$Y290,IF(K292="GOODNEWS",PR!$Z290,IF(K292="GREENLIFE",PR!$AA290,IF(K292="HLINE",PR!$AB290,IF(K292="ROTECH",PR!$AC290,IF(K292="ISN",PR!$AD290,IF(K292="JAWA",PR!$AE290,IF(K292="LAYO",PR!$AF290,IF(K292="LEADWAY",PR!$AG290,IF(K292="LHV",PR!$AH290,IF(K292="MANOLA",PR!$AI290,IF(K292="MARCSON",PR!$AJ290,IF(K292="M&amp;B",PR!$AK290,IF(K292="MTRUST",PR!$AL290,IF(K292="MWORLD",PR!$AM290,IF(K292="MEGA",PR!$AN290,IF(K292="MICRONOVA",PR!$AO290,IF(K292="MFLASH",PR!$AP290,IF(K292="MORISON",PR!$AQ290,IF(K292="NEMEL",PR!$AR290,IF(K292="NHP",PR!$AS290,IF(K292="NHC",PR!$AT290,IF(K292="OLEAF",PR!$AU290,IF(K292="OCULUS",PR!$AV290,IF(K292="PACIFIC",PR!$AW290,IF(K292="PHAMATEX",PR!$AX290,IF(K292="PETHICS",PR!$AY290,IF(K292="PHILIPS",PR!$AZ290,IF(K292="RANBAXY",PR!$BA290,IF(K292="REALS",PR!$BB290,IF(K292="ROYAL",PR!$BC290,IF(K292="SAM",PR!$BD290,IF(K292="SEAGREEN",PR!$BE290,IF(K292="SKG",PR!$BF290,IF(K292="TAH",PR!$BG290,IF(K292="TAYLEK",PR!$BH290,IF(K292="TEMITA",PR!$BI290,IF(K292="THL",PR!$BJ290,IF(K292="UBASTIC",PR!$BK290,IF(K292="UNION",PR!$BL290,IF(K292="UNIQUE",PR!$BM290,IF(K292="VIXA",PR!$BN290,IF(K292="WWCV",PR!$BO290,IF(K292="ZOLON",PR!$BP290,"-")))))))))))))))))))))))))))))))))))))))))))))))))))))))))))))))))</f>
        <v>-</v>
      </c>
    </row>
    <row r="293" spans="1:12" ht="18.75" x14ac:dyDescent="0.3">
      <c r="A293" s="430">
        <f>PR!A291</f>
        <v>267</v>
      </c>
      <c r="B293" s="15" t="str">
        <f>PR!B291</f>
        <v>METRONIDAZOLE SUSP</v>
      </c>
      <c r="C293" s="113" t="str">
        <f>PR!D291</f>
        <v>BOTT</v>
      </c>
      <c r="D293" s="113">
        <f>PR!C291</f>
        <v>300</v>
      </c>
      <c r="E293" s="108">
        <f>IF(F293="ALPHA",PR!$E291,IF(F293="ASSENE",PR!$F291,IF(F293="BIOFEM",PR!$G291,IF(F293="BIOMED",PR!$H291,IF(F293="CHI",PR!$I291,IF(F293="CLARION",PR!$J291,IF(F293="CODIX",PR!$K291,IF(F293="COSMADE",PR!$L291,IF(F293="SANCON",PR!$M291,IF(F293="DEVON",PR!$N291,IF(F293="DORTEMAG",PR!$O291,IF(F293="DGF",PR!$P291,IF(F293="DYNAMIC",PR!$Q291,IF(F293="EMZOR",PR!$R291,IF(F293="EUMATT",PR!$S291,IF(F293="FIDSON",PR!$T291,IF(F293="FCGLOBAL",PR!$U291,IF(F293="GENEITH",PR!$V291,IF(F293="GINOS",PR!$W291,IF(F293="GSK",PR!$X291,IF(F293="GLOBORG",PR!$Y291,IF(F293="GOODNEWS",PR!$Z291,IF(F293="GREENLIFE",PR!$AA291,IF(F293="HLINE",PR!$AB291,IF(F293="ROTECH",PR!$AC291,IF(F293="ISN",PR!$AD291,IF(F293="JAWA",PR!$AE291,IF(F293="LAYO",PR!$AF291,IF(F293="LEADWAY",PR!$AG291,IF(F293="LHV",PR!$AH291,IF(F293="MANOLA",PR!$AI291,IF(F293="MARCSON",PR!$AJ291,IF(F293="M&amp;B",PR!$AK291,IF(F293="MTRUST",PR!$AL291,IF(F293="MWORLD",PR!$AM291,IF(F293="MEGA",PR!$AN291,IF(F293="MICRONOVA",PR!$AO291,IF(F293="MFLASH",PR!$AP291,IF(F293="MORISON",PR!$AQ291,IF(F293="NEMEL",PR!$AR291,IF(F293="NHP",PR!$AS291,IF(F293="NHC",PR!$AT291,IF(F293="OLEAF",PR!$AU291,IF(F293="OCULUS",PR!$AV291,IF(F293="PACIFIC",PR!$AW291,IF(F293="PHAMATEX",PR!$AX291,IF(F293="PETHICS",PR!$AY291,IF(F293="PHILIPS",PR!$AZ291,IF(F293="RANBAXY",PR!$BA291,IF(F293="REALS",PR!$BB291,IF(F293="ROYAL",PR!$BC291,IF(F293="SAM",PR!$BD291,IF(F293="SEAGREEN",PR!$BE291,IF(F293="SKG",PR!$BF291,IF(F293="TAH",PR!$BG291,IF(F293="TAYLEK",PR!$BH291,IF(F293="TEMITA",PR!$BI291,IF(F293="THL",PR!$BJ291,IF(F293="UBASTIC",PR!$BK291,IF(F293="UNION",PR!$BL291,IF(F293="UNIQUE",PR!$BM291,IF(F293="VIXA",PR!$BN291,IF(F293="WWCV",PR!$BO291,IF(F293="ZOLON",PR!$BP291,"-"))))))))))))))))))))))))))))))))))))))))))))))))))))))))))))))))</f>
        <v>100</v>
      </c>
      <c r="F293" s="102" t="str">
        <f>EV!L378</f>
        <v>EUMATT</v>
      </c>
      <c r="G293" s="108">
        <f>IF(H293="ALPHA",PR!$E291,IF(H293="ASSENE",PR!$F291,IF(H293="BIOFEM",PR!$G291,IF(H293="BIOMED",PR!$H291,IF(H293="CHI",PR!$I291,IF(H293="CLARION",PR!$J291,IF(H293="CODIX",PR!$K291,IF(H293="COSMADE",PR!$L291,IF(H293="SANCON",PR!$M291,IF(H293="DEVON",PR!$N291,IF(H293="DORTEMAG",PR!$O291,IF(H293="DGF",PR!$P291,IF(H293="DYNAMIC",PR!$Q291,IF(H293="EMZOR",PR!$R291,IF(H293="EUMATT",PR!$S291,IF(H293="FIDSON",PR!$T291,IF(H293="FCGLOBAL",PR!$U291,IF(H293="GENEITH",PR!$V291,IF(H293="GINOS",PR!$W291,IF(H293="GSK",PR!$X291,IF(H293="GLOBORG",PR!$Y291,IF(H293="GOODNEWS",PR!$Z291,IF(H293="GREENLIFE",PR!$AA291,IF(H293="HLINE",PR!$AB291,IF(H293="ROTECH",PR!$AC291,IF(H293="ISN",PR!$AD291,IF(H293="JAWA",PR!$AE291,IF(H293="LAYO",PR!$AF291,IF(H293="LEADWAY",PR!$AG291,IF(H293="LHV",PR!$AH291,IF(H293="MANOLA",PR!$AI291,IF(H293="MARCSON",PR!$AJ291,IF(H293="M&amp;B",PR!$AK291,IF(H293="MTRUST",PR!$AL291,IF(H293="MWORLD",PR!$AM291,IF(H293="MEGA",PR!$AN291,IF(H293="MICRONOVA",PR!$AO291,IF(H293="MFLASH",PR!$AP291,IF(H293="MORISON",PR!$AQ291,IF(H293="NEMEL",PR!$AR291,IF(H293="NHP",PR!$AS291,IF(H293="NHC",PR!$AT291,IF(H293="OLEAF",PR!$AU291,IF(H293="OCULUS",PR!$AV291,IF(H293="PACIFIC",PR!$AW291,IF(H293="PHAMATEX",PR!$AX291,IF(H293="PETHICS",PR!$AY291,IF(H293="PHILIPS",PR!$AZ291,IF(H293="RANBAXY",PR!$BA291,IF(H293="REALS",PR!$BB291,IF(H293="ROYAL",PR!$BC291,IF(H293="SAM",PR!$BD291,IF(H293="SEAGREEN",PR!$BE291,IF(H293="SKG",PR!$BF291,IF(H293="TAH",PR!$BG291,IF(H293="TAYLEK",PR!$BH291,IF(H293="TEMITA",PR!$BI291,IF(H293="THL",PR!$BJ291,IF(H293="UBASTIC",PR!$BK291,IF(H293="UNION",PR!$BL291,IF(H293="UNIQUE",PR!$BM291,IF(H293="VIXA",PR!$BN291,IF(H293="WWCV",PR!$BO291,IF(H293="ZOLON",PR!$BP291,"-"))))))))))))))))))))))))))))))))))))))))))))))))))))))))))))))))</f>
        <v>105</v>
      </c>
      <c r="H293" s="102" t="str">
        <f>EV!M378</f>
        <v>UNIQUE</v>
      </c>
      <c r="I293" s="108">
        <f>IF(J293="ALPHA",PR!$E291,IF(J293="ASSENE",PR!$F291,IF(J293="BIOFEM",PR!$G291,IF(J293="BIOMED",PR!$H291,IF(J293="CHI",PR!$I291,IF(J293="CLARION",PR!$J291,IF(J293="CODIX",PR!$K291,IF(J293="COSMADE",PR!$L291,IF(J293="SANCON",PR!$M291,IF(J293="DEVON",PR!$N291,IF(J293="DORTEMAG",PR!$O291,IF(J293="DGF",PR!$P291,IF(J293="DYNAMIC",PR!$Q291,IF(J293="EMZOR",PR!$R291,IF(J293="EUMATT",PR!$S291,IF(J293="FIDSON",PR!$T291,IF(J293="FCGLOBAL",PR!$U291,IF(J293="GENEITH",PR!$V291,IF(J293="GINOS",PR!$W291,IF(J293="GSK",PR!$X291,IF(J293="GLOBORG",PR!$Y291,IF(J293="GOODNEWS",PR!$Z291,IF(J293="GREENLIFE",PR!$AA291,IF(J293="HLINE",PR!$AB291,IF(J293="ROTECH",PR!$AC291,IF(J293="ISN",PR!$AD291,IF(J293="JAWA",PR!$AE291,IF(J293="LAYO",PR!$AF291,IF(J293="LEADWAY",PR!$AG291,IF(J293="LHV",PR!$AH291,IF(J293="MANOLA",PR!$AI291,IF(J293="MARCSON",PR!$AJ291,IF(J293="M&amp;B",PR!$AK291,IF(J293="MTRUST",PR!$AL291,IF(J293="MWORLD",PR!$AM291,IF(J293="MEGA",PR!$AN291,IF(J293="MICRONOVA",PR!$AO291,IF(J293="MFLASH",PR!$AP291,IF(J293="MORISON",PR!$AQ291,IF(J293="NEMEL",PR!$AR291,IF(J293="NHP",PR!$AS291,IF(J293="NHC",PR!$AT291,IF(J293="OLEAF",PR!$AU291,IF(J293="OCULUS",PR!$AV291,IF(J293="PACIFIC",PR!$AW291,IF(J293="PHAMATEX",PR!$AX291,IF(J293="PETHICS",PR!$AY291,IF(J293="PHILIPS",PR!$AZ291,IF(J293="RANBAXY",PR!$BA291,IF(J293="REALS",PR!$BB291,IF(J293="ROYAL",PR!$BC291,IF(J293="SAM",PR!$BD291,IF(J293="SEAGREEN",PR!$BE291,IF(J293="SKG",PR!$BF291,IF(J293="TAH",PR!$BG291,IF(J293="TAYLEK",PR!$BH291,IF(J293="TEMITA",PR!$BI291,IF(J293="THL",PR!$BJ291,IF(J293="UBASTIC",PR!$BK291,IF(J293="UNION",PR!$BL291,IF(J293="UNIQUE",PR!$BM291,IF(J293="VIXA",PR!$BN291,IF(J293="WWCV",PR!$BO291,IF(J293="ZOLON",PR!$BP291,"-"))))))))))))))))))))))))))))))))))))))))))))))))))))))))))))))))</f>
        <v>116</v>
      </c>
      <c r="J293" s="102" t="str">
        <f>EV!N378</f>
        <v>REALS</v>
      </c>
      <c r="K293" s="433" t="s">
        <v>821</v>
      </c>
      <c r="L293" s="183">
        <f>IF(K293&gt;0,IF(K293="ALPHA",PR!$E291,IF(K293="ASSENE",PR!$F291,IF(K293="BIOFEM",PR!$G291,IF(K293="BIOMED",PR!$H291,IF(K293="CHI",PR!$I291,IF(K293="CLARION",PR!$J291,IF(K293="CODIX",PR!$K291,IF(K293="COSMADE",PR!$L291,IF(K293="SANCON",PR!$M291,IF(K293="DEVON",PR!$N291,IF(K293="DORTEMAG",PR!$O291,IF(K293="DGF",PR!$P291,IF(K293="DYNAMIC",PR!$Q291,IF(K293="EMZOR",PR!$R291,IF(K293="EUMATT",PR!$S291,IF(K293="FIDSON",PR!$T291,IF(K293="FCGLOBAL",PR!$U291,IF(K293="GENEITH",PR!$V291,IF(K293="GINOS",PR!$W291,IF(K293="GSK",PR!$X291,IF(K293="GLOBORG",PR!$Y291,IF(K293="GOODNEWS",PR!$Z291,IF(K293="GREENLIFE",PR!$AA291,IF(K293="HLINE",PR!$AB291,IF(K293="ROTECH",PR!$AC291,IF(K293="ISN",PR!$AD291,IF(K293="JAWA",PR!$AE291,IF(K293="LAYO",PR!$AF291,IF(K293="LEADWAY",PR!$AG291,IF(K293="LHV",PR!$AH291,IF(K293="MANOLA",PR!$AI291,IF(K293="MARCSON",PR!$AJ291,IF(K293="M&amp;B",PR!$AK291,IF(K293="MTRUST",PR!$AL291,IF(K293="MWORLD",PR!$AM291,IF(K293="MEGA",PR!$AN291,IF(K293="MICRONOVA",PR!$AO291,IF(K293="MFLASH",PR!$AP291,IF(K293="MORISON",PR!$AQ291,IF(K293="NEMEL",PR!$AR291,IF(K293="NHP",PR!$AS291,IF(K293="NHC",PR!$AT291,IF(K293="OLEAF",PR!$AU291,IF(K293="OCULUS",PR!$AV291,IF(K293="PACIFIC",PR!$AW291,IF(K293="PHAMATEX",PR!$AX291,IF(K293="PETHICS",PR!$AY291,IF(K293="PHILIPS",PR!$AZ291,IF(K293="RANBAXY",PR!$BA291,IF(K293="REALS",PR!$BB291,IF(K293="ROYAL",PR!$BC291,IF(K293="SAM",PR!$BD291,IF(K293="SEAGREEN",PR!$BE291,IF(K293="SKG",PR!$BF291,IF(K293="TAH",PR!$BG291,IF(K293="TAYLEK",PR!$BH291,IF(K293="TEMITA",PR!$BI291,IF(K293="THL",PR!$BJ291,IF(K293="UBASTIC",PR!$BK291,IF(K293="UNION",PR!$BL291,IF(K293="UNIQUE",PR!$BM291,IF(K293="VIXA",PR!$BN291,IF(K293="WWCV",PR!$BO291,IF(K293="ZOLON",PR!$BP291,"-")))))))))))))))))))))))))))))))))))))))))))))))))))))))))))))))))</f>
        <v>100</v>
      </c>
    </row>
    <row r="294" spans="1:12" ht="18.75" x14ac:dyDescent="0.3">
      <c r="A294" s="430">
        <f>PR!A292</f>
        <v>268</v>
      </c>
      <c r="B294" s="15" t="str">
        <f>PR!B292</f>
        <v>MICONAZOLE CREAM</v>
      </c>
      <c r="C294" s="113" t="str">
        <f>PR!D292</f>
        <v>TUBE</v>
      </c>
      <c r="D294" s="113">
        <f>PR!C292</f>
        <v>20</v>
      </c>
      <c r="E294" s="108" t="str">
        <f>IF(F294="ALPHA",PR!$E292,IF(F294="ASSENE",PR!$F292,IF(F294="BIOFEM",PR!$G292,IF(F294="BIOMED",PR!$H292,IF(F294="CHI",PR!$I292,IF(F294="CLARION",PR!$J292,IF(F294="CODIX",PR!$K292,IF(F294="COSMADE",PR!$L292,IF(F294="SANCON",PR!$M292,IF(F294="DEVON",PR!$N292,IF(F294="DORTEMAG",PR!$O292,IF(F294="DGF",PR!$P292,IF(F294="DYNAMIC",PR!$Q292,IF(F294="EMZOR",PR!$R292,IF(F294="EUMATT",PR!$S292,IF(F294="FIDSON",PR!$T292,IF(F294="FCGLOBAL",PR!$U292,IF(F294="GENEITH",PR!$V292,IF(F294="GINOS",PR!$W292,IF(F294="GSK",PR!$X292,IF(F294="GLOBORG",PR!$Y292,IF(F294="GOODNEWS",PR!$Z292,IF(F294="GREENLIFE",PR!$AA292,IF(F294="HLINE",PR!$AB292,IF(F294="ROTECH",PR!$AC292,IF(F294="ISN",PR!$AD292,IF(F294="JAWA",PR!$AE292,IF(F294="LAYO",PR!$AF292,IF(F294="LEADWAY",PR!$AG292,IF(F294="LHV",PR!$AH292,IF(F294="MANOLA",PR!$AI292,IF(F294="MARCSON",PR!$AJ292,IF(F294="M&amp;B",PR!$AK292,IF(F294="MTRUST",PR!$AL292,IF(F294="MWORLD",PR!$AM292,IF(F294="MEGA",PR!$AN292,IF(F294="MICRONOVA",PR!$AO292,IF(F294="MFLASH",PR!$AP292,IF(F294="MORISON",PR!$AQ292,IF(F294="NEMEL",PR!$AR292,IF(F294="NHP",PR!$AS292,IF(F294="NHC",PR!$AT292,IF(F294="OLEAF",PR!$AU292,IF(F294="OCULUS",PR!$AV292,IF(F294="PACIFIC",PR!$AW292,IF(F294="PHAMATEX",PR!$AX292,IF(F294="PETHICS",PR!$AY292,IF(F294="PHILIPS",PR!$AZ292,IF(F294="RANBAXY",PR!$BA292,IF(F294="REALS",PR!$BB292,IF(F294="ROYAL",PR!$BC292,IF(F294="SAM",PR!$BD292,IF(F294="SEAGREEN",PR!$BE292,IF(F294="SKG",PR!$BF292,IF(F294="TAH",PR!$BG292,IF(F294="TAYLEK",PR!$BH292,IF(F294="TEMITA",PR!$BI292,IF(F294="THL",PR!$BJ292,IF(F294="UBASTIC",PR!$BK292,IF(F294="UNION",PR!$BL292,IF(F294="UNIQUE",PR!$BM292,IF(F294="VIXA",PR!$BN292,IF(F294="WWCV",PR!$BO292,IF(F294="ZOLON",PR!$BP292,"-"))))))))))))))))))))))))))))))))))))))))))))))))))))))))))))))))</f>
        <v>-</v>
      </c>
      <c r="F294" s="102">
        <f>EV!L379</f>
        <v>0</v>
      </c>
      <c r="G294" s="108" t="str">
        <f>IF(H294="ALPHA",PR!$E292,IF(H294="ASSENE",PR!$F292,IF(H294="BIOFEM",PR!$G292,IF(H294="BIOMED",PR!$H292,IF(H294="CHI",PR!$I292,IF(H294="CLARION",PR!$J292,IF(H294="CODIX",PR!$K292,IF(H294="COSMADE",PR!$L292,IF(H294="SANCON",PR!$M292,IF(H294="DEVON",PR!$N292,IF(H294="DORTEMAG",PR!$O292,IF(H294="DGF",PR!$P292,IF(H294="DYNAMIC",PR!$Q292,IF(H294="EMZOR",PR!$R292,IF(H294="EUMATT",PR!$S292,IF(H294="FIDSON",PR!$T292,IF(H294="FCGLOBAL",PR!$U292,IF(H294="GENEITH",PR!$V292,IF(H294="GINOS",PR!$W292,IF(H294="GSK",PR!$X292,IF(H294="GLOBORG",PR!$Y292,IF(H294="GOODNEWS",PR!$Z292,IF(H294="GREENLIFE",PR!$AA292,IF(H294="HLINE",PR!$AB292,IF(H294="ROTECH",PR!$AC292,IF(H294="ISN",PR!$AD292,IF(H294="JAWA",PR!$AE292,IF(H294="LAYO",PR!$AF292,IF(H294="LEADWAY",PR!$AG292,IF(H294="LHV",PR!$AH292,IF(H294="MANOLA",PR!$AI292,IF(H294="MARCSON",PR!$AJ292,IF(H294="M&amp;B",PR!$AK292,IF(H294="MTRUST",PR!$AL292,IF(H294="MWORLD",PR!$AM292,IF(H294="MEGA",PR!$AN292,IF(H294="MICRONOVA",PR!$AO292,IF(H294="MFLASH",PR!$AP292,IF(H294="MORISON",PR!$AQ292,IF(H294="NEMEL",PR!$AR292,IF(H294="NHP",PR!$AS292,IF(H294="NHC",PR!$AT292,IF(H294="OLEAF",PR!$AU292,IF(H294="OCULUS",PR!$AV292,IF(H294="PACIFIC",PR!$AW292,IF(H294="PHAMATEX",PR!$AX292,IF(H294="PETHICS",PR!$AY292,IF(H294="PHILIPS",PR!$AZ292,IF(H294="RANBAXY",PR!$BA292,IF(H294="REALS",PR!$BB292,IF(H294="ROYAL",PR!$BC292,IF(H294="SAM",PR!$BD292,IF(H294="SEAGREEN",PR!$BE292,IF(H294="SKG",PR!$BF292,IF(H294="TAH",PR!$BG292,IF(H294="TAYLEK",PR!$BH292,IF(H294="TEMITA",PR!$BI292,IF(H294="THL",PR!$BJ292,IF(H294="UBASTIC",PR!$BK292,IF(H294="UNION",PR!$BL292,IF(H294="UNIQUE",PR!$BM292,IF(H294="VIXA",PR!$BN292,IF(H294="WWCV",PR!$BO292,IF(H294="ZOLON",PR!$BP292,"-"))))))))))))))))))))))))))))))))))))))))))))))))))))))))))))))))</f>
        <v>-</v>
      </c>
      <c r="H294" s="102">
        <f>EV!M379</f>
        <v>0</v>
      </c>
      <c r="I294" s="108" t="str">
        <f>IF(J294="ALPHA",PR!$E292,IF(J294="ASSENE",PR!$F292,IF(J294="BIOFEM",PR!$G292,IF(J294="BIOMED",PR!$H292,IF(J294="CHI",PR!$I292,IF(J294="CLARION",PR!$J292,IF(J294="CODIX",PR!$K292,IF(J294="COSMADE",PR!$L292,IF(J294="SANCON",PR!$M292,IF(J294="DEVON",PR!$N292,IF(J294="DORTEMAG",PR!$O292,IF(J294="DGF",PR!$P292,IF(J294="DYNAMIC",PR!$Q292,IF(J294="EMZOR",PR!$R292,IF(J294="EUMATT",PR!$S292,IF(J294="FIDSON",PR!$T292,IF(J294="FCGLOBAL",PR!$U292,IF(J294="GENEITH",PR!$V292,IF(J294="GINOS",PR!$W292,IF(J294="GSK",PR!$X292,IF(J294="GLOBORG",PR!$Y292,IF(J294="GOODNEWS",PR!$Z292,IF(J294="GREENLIFE",PR!$AA292,IF(J294="HLINE",PR!$AB292,IF(J294="ROTECH",PR!$AC292,IF(J294="ISN",PR!$AD292,IF(J294="JAWA",PR!$AE292,IF(J294="LAYO",PR!$AF292,IF(J294="LEADWAY",PR!$AG292,IF(J294="LHV",PR!$AH292,IF(J294="MANOLA",PR!$AI292,IF(J294="MARCSON",PR!$AJ292,IF(J294="M&amp;B",PR!$AK292,IF(J294="MTRUST",PR!$AL292,IF(J294="MWORLD",PR!$AM292,IF(J294="MEGA",PR!$AN292,IF(J294="MICRONOVA",PR!$AO292,IF(J294="MFLASH",PR!$AP292,IF(J294="MORISON",PR!$AQ292,IF(J294="NEMEL",PR!$AR292,IF(J294="NHP",PR!$AS292,IF(J294="NHC",PR!$AT292,IF(J294="OLEAF",PR!$AU292,IF(J294="OCULUS",PR!$AV292,IF(J294="PACIFIC",PR!$AW292,IF(J294="PHAMATEX",PR!$AX292,IF(J294="PETHICS",PR!$AY292,IF(J294="PHILIPS",PR!$AZ292,IF(J294="RANBAXY",PR!$BA292,IF(J294="REALS",PR!$BB292,IF(J294="ROYAL",PR!$BC292,IF(J294="SAM",PR!$BD292,IF(J294="SEAGREEN",PR!$BE292,IF(J294="SKG",PR!$BF292,IF(J294="TAH",PR!$BG292,IF(J294="TAYLEK",PR!$BH292,IF(J294="TEMITA",PR!$BI292,IF(J294="THL",PR!$BJ292,IF(J294="UBASTIC",PR!$BK292,IF(J294="UNION",PR!$BL292,IF(J294="UNIQUE",PR!$BM292,IF(J294="VIXA",PR!$BN292,IF(J294="WWCV",PR!$BO292,IF(J294="ZOLON",PR!$BP292,"-"))))))))))))))))))))))))))))))))))))))))))))))))))))))))))))))))</f>
        <v>-</v>
      </c>
      <c r="J294" s="102">
        <f>EV!N379</f>
        <v>0</v>
      </c>
      <c r="K294" s="433"/>
      <c r="L294" s="183" t="b">
        <f>IF(K294&gt;0,IF(K294="ALPHA",PR!$E292,IF(K294="ASSENE",PR!$F292,IF(K294="BIOFEM",PR!$G292,IF(K294="BIOMED",PR!$H292,IF(K294="CHI",PR!$I292,IF(K294="CLARION",PR!$J292,IF(K294="CODIX",PR!$K292,IF(K294="COSMADE",PR!$L292,IF(K294="SANCON",PR!$M292,IF(K294="DEVON",PR!$N292,IF(K294="DORTEMAG",PR!$O292,IF(K294="DGF",PR!$P292,IF(K294="DYNAMIC",PR!$Q292,IF(K294="EMZOR",PR!$R292,IF(K294="EUMATT",PR!$S292,IF(K294="FIDSON",PR!$T292,IF(K294="FCGLOBAL",PR!$U292,IF(K294="GENEITH",PR!$V292,IF(K294="GINOS",PR!$W292,IF(K294="GSK",PR!$X292,IF(K294="GLOBORG",PR!$Y292,IF(K294="GOODNEWS",PR!$Z292,IF(K294="GREENLIFE",PR!$AA292,IF(K294="HLINE",PR!$AB292,IF(K294="ROTECH",PR!$AC292,IF(K294="ISN",PR!$AD292,IF(K294="JAWA",PR!$AE292,IF(K294="LAYO",PR!$AF292,IF(K294="LEADWAY",PR!$AG292,IF(K294="LHV",PR!$AH292,IF(K294="MANOLA",PR!$AI292,IF(K294="MARCSON",PR!$AJ292,IF(K294="M&amp;B",PR!$AK292,IF(K294="MTRUST",PR!$AL292,IF(K294="MWORLD",PR!$AM292,IF(K294="MEGA",PR!$AN292,IF(K294="MICRONOVA",PR!$AO292,IF(K294="MFLASH",PR!$AP292,IF(K294="MORISON",PR!$AQ292,IF(K294="NEMEL",PR!$AR292,IF(K294="NHP",PR!$AS292,IF(K294="NHC",PR!$AT292,IF(K294="OLEAF",PR!$AU292,IF(K294="OCULUS",PR!$AV292,IF(K294="PACIFIC",PR!$AW292,IF(K294="PHAMATEX",PR!$AX292,IF(K294="PETHICS",PR!$AY292,IF(K294="PHILIPS",PR!$AZ292,IF(K294="RANBAXY",PR!$BA292,IF(K294="REALS",PR!$BB292,IF(K294="ROYAL",PR!$BC292,IF(K294="SAM",PR!$BD292,IF(K294="SEAGREEN",PR!$BE292,IF(K294="SKG",PR!$BF292,IF(K294="TAH",PR!$BG292,IF(K294="TAYLEK",PR!$BH292,IF(K294="TEMITA",PR!$BI292,IF(K294="THL",PR!$BJ292,IF(K294="UBASTIC",PR!$BK292,IF(K294="UNION",PR!$BL292,IF(K294="UNIQUE",PR!$BM292,IF(K294="VIXA",PR!$BN292,IF(K294="WWCV",PR!$BO292,IF(K294="ZOLON",PR!$BP292,"-")))))))))))))))))))))))))))))))))))))))))))))))))))))))))))))))))</f>
        <v>0</v>
      </c>
    </row>
    <row r="295" spans="1:12" ht="18.75" x14ac:dyDescent="0.3">
      <c r="A295" s="430">
        <f>PR!A293</f>
        <v>269</v>
      </c>
      <c r="B295" s="15" t="str">
        <f>PR!B293</f>
        <v>MOXIFLOXACIN 400MG TAB</v>
      </c>
      <c r="C295" s="113">
        <f>PR!D293</f>
        <v>10</v>
      </c>
      <c r="D295" s="113">
        <f>PR!C293</f>
        <v>30</v>
      </c>
      <c r="E295" s="108">
        <f>IF(F295="ALPHA",PR!$E293,IF(F295="ASSENE",PR!$F293,IF(F295="BIOFEM",PR!$G293,IF(F295="BIOMED",PR!$H293,IF(F295="CHI",PR!$I293,IF(F295="CLARION",PR!$J293,IF(F295="CODIX",PR!$K293,IF(F295="COSMADE",PR!$L293,IF(F295="SANCON",PR!$M293,IF(F295="DEVON",PR!$N293,IF(F295="DORTEMAG",PR!$O293,IF(F295="DGF",PR!$P293,IF(F295="DYNAMIC",PR!$Q293,IF(F295="EMZOR",PR!$R293,IF(F295="EUMATT",PR!$S293,IF(F295="FIDSON",PR!$T293,IF(F295="FCGLOBAL",PR!$U293,IF(F295="GENEITH",PR!$V293,IF(F295="GINOS",PR!$W293,IF(F295="GSK",PR!$X293,IF(F295="GLOBORG",PR!$Y293,IF(F295="GOODNEWS",PR!$Z293,IF(F295="GREENLIFE",PR!$AA293,IF(F295="HLINE",PR!$AB293,IF(F295="ROTECH",PR!$AC293,IF(F295="ISN",PR!$AD293,IF(F295="JAWA",PR!$AE293,IF(F295="LAYO",PR!$AF293,IF(F295="LEADWAY",PR!$AG293,IF(F295="LHV",PR!$AH293,IF(F295="MANOLA",PR!$AI293,IF(F295="MARCSON",PR!$AJ293,IF(F295="M&amp;B",PR!$AK293,IF(F295="MTRUST",PR!$AL293,IF(F295="MWORLD",PR!$AM293,IF(F295="MEGA",PR!$AN293,IF(F295="MICRONOVA",PR!$AO293,IF(F295="MFLASH",PR!$AP293,IF(F295="MORISON",PR!$AQ293,IF(F295="NEMEL",PR!$AR293,IF(F295="NHP",PR!$AS293,IF(F295="NHC",PR!$AT293,IF(F295="OLEAF",PR!$AU293,IF(F295="OCULUS",PR!$AV293,IF(F295="PACIFIC",PR!$AW293,IF(F295="PHAMATEX",PR!$AX293,IF(F295="PETHICS",PR!$AY293,IF(F295="PHILIPS",PR!$AZ293,IF(F295="RANBAXY",PR!$BA293,IF(F295="REALS",PR!$BB293,IF(F295="ROYAL",PR!$BC293,IF(F295="SAM",PR!$BD293,IF(F295="SEAGREEN",PR!$BE293,IF(F295="SKG",PR!$BF293,IF(F295="TAH",PR!$BG293,IF(F295="TAYLEK",PR!$BH293,IF(F295="TEMITA",PR!$BI293,IF(F295="THL",PR!$BJ293,IF(F295="UBASTIC",PR!$BK293,IF(F295="UNION",PR!$BL293,IF(F295="UNIQUE",PR!$BM293,IF(F295="VIXA",PR!$BN293,IF(F295="WWCV",PR!$BO293,IF(F295="ZOLON",PR!$BP293,"-"))))))))))))))))))))))))))))))))))))))))))))))))))))))))))))))))</f>
        <v>1550</v>
      </c>
      <c r="F295" s="102" t="str">
        <f>EV!L380</f>
        <v>MICRONOVA</v>
      </c>
      <c r="G295" s="108">
        <f>IF(H295="ALPHA",PR!$E293,IF(H295="ASSENE",PR!$F293,IF(H295="BIOFEM",PR!$G293,IF(H295="BIOMED",PR!$H293,IF(H295="CHI",PR!$I293,IF(H295="CLARION",PR!$J293,IF(H295="CODIX",PR!$K293,IF(H295="COSMADE",PR!$L293,IF(H295="SANCON",PR!$M293,IF(H295="DEVON",PR!$N293,IF(H295="DORTEMAG",PR!$O293,IF(H295="DGF",PR!$P293,IF(H295="DYNAMIC",PR!$Q293,IF(H295="EMZOR",PR!$R293,IF(H295="EUMATT",PR!$S293,IF(H295="FIDSON",PR!$T293,IF(H295="FCGLOBAL",PR!$U293,IF(H295="GENEITH",PR!$V293,IF(H295="GINOS",PR!$W293,IF(H295="GSK",PR!$X293,IF(H295="GLOBORG",PR!$Y293,IF(H295="GOODNEWS",PR!$Z293,IF(H295="GREENLIFE",PR!$AA293,IF(H295="HLINE",PR!$AB293,IF(H295="ROTECH",PR!$AC293,IF(H295="ISN",PR!$AD293,IF(H295="JAWA",PR!$AE293,IF(H295="LAYO",PR!$AF293,IF(H295="LEADWAY",PR!$AG293,IF(H295="LHV",PR!$AH293,IF(H295="MANOLA",PR!$AI293,IF(H295="MARCSON",PR!$AJ293,IF(H295="M&amp;B",PR!$AK293,IF(H295="MTRUST",PR!$AL293,IF(H295="MWORLD",PR!$AM293,IF(H295="MEGA",PR!$AN293,IF(H295="MICRONOVA",PR!$AO293,IF(H295="MFLASH",PR!$AP293,IF(H295="MORISON",PR!$AQ293,IF(H295="NEMEL",PR!$AR293,IF(H295="NHP",PR!$AS293,IF(H295="NHC",PR!$AT293,IF(H295="OLEAF",PR!$AU293,IF(H295="OCULUS",PR!$AV293,IF(H295="PACIFIC",PR!$AW293,IF(H295="PHAMATEX",PR!$AX293,IF(H295="PETHICS",PR!$AY293,IF(H295="PHILIPS",PR!$AZ293,IF(H295="RANBAXY",PR!$BA293,IF(H295="REALS",PR!$BB293,IF(H295="ROYAL",PR!$BC293,IF(H295="SAM",PR!$BD293,IF(H295="SEAGREEN",PR!$BE293,IF(H295="SKG",PR!$BF293,IF(H295="TAH",PR!$BG293,IF(H295="TAYLEK",PR!$BH293,IF(H295="TEMITA",PR!$BI293,IF(H295="THL",PR!$BJ293,IF(H295="UBASTIC",PR!$BK293,IF(H295="UNION",PR!$BL293,IF(H295="UNIQUE",PR!$BM293,IF(H295="VIXA",PR!$BN293,IF(H295="WWCV",PR!$BO293,IF(H295="ZOLON",PR!$BP293,"-"))))))))))))))))))))))))))))))))))))))))))))))))))))))))))))))))</f>
        <v>1700</v>
      </c>
      <c r="H295" s="102" t="str">
        <f>EV!M380</f>
        <v>EUMATT</v>
      </c>
      <c r="I295" s="108">
        <f>IF(J295="ALPHA",PR!$E293,IF(J295="ASSENE",PR!$F293,IF(J295="BIOFEM",PR!$G293,IF(J295="BIOMED",PR!$H293,IF(J295="CHI",PR!$I293,IF(J295="CLARION",PR!$J293,IF(J295="CODIX",PR!$K293,IF(J295="COSMADE",PR!$L293,IF(J295="SANCON",PR!$M293,IF(J295="DEVON",PR!$N293,IF(J295="DORTEMAG",PR!$O293,IF(J295="DGF",PR!$P293,IF(J295="DYNAMIC",PR!$Q293,IF(J295="EMZOR",PR!$R293,IF(J295="EUMATT",PR!$S293,IF(J295="FIDSON",PR!$T293,IF(J295="FCGLOBAL",PR!$U293,IF(J295="GENEITH",PR!$V293,IF(J295="GINOS",PR!$W293,IF(J295="GSK",PR!$X293,IF(J295="GLOBORG",PR!$Y293,IF(J295="GOODNEWS",PR!$Z293,IF(J295="GREENLIFE",PR!$AA293,IF(J295="HLINE",PR!$AB293,IF(J295="ROTECH",PR!$AC293,IF(J295="ISN",PR!$AD293,IF(J295="JAWA",PR!$AE293,IF(J295="LAYO",PR!$AF293,IF(J295="LEADWAY",PR!$AG293,IF(J295="LHV",PR!$AH293,IF(J295="MANOLA",PR!$AI293,IF(J295="MARCSON",PR!$AJ293,IF(J295="M&amp;B",PR!$AK293,IF(J295="MTRUST",PR!$AL293,IF(J295="MWORLD",PR!$AM293,IF(J295="MEGA",PR!$AN293,IF(J295="MICRONOVA",PR!$AO293,IF(J295="MFLASH",PR!$AP293,IF(J295="MORISON",PR!$AQ293,IF(J295="NEMEL",PR!$AR293,IF(J295="NHP",PR!$AS293,IF(J295="NHC",PR!$AT293,IF(J295="OLEAF",PR!$AU293,IF(J295="OCULUS",PR!$AV293,IF(J295="PACIFIC",PR!$AW293,IF(J295="PHAMATEX",PR!$AX293,IF(J295="PETHICS",PR!$AY293,IF(J295="PHILIPS",PR!$AZ293,IF(J295="RANBAXY",PR!$BA293,IF(J295="REALS",PR!$BB293,IF(J295="ROYAL",PR!$BC293,IF(J295="SAM",PR!$BD293,IF(J295="SEAGREEN",PR!$BE293,IF(J295="SKG",PR!$BF293,IF(J295="TAH",PR!$BG293,IF(J295="TAYLEK",PR!$BH293,IF(J295="TEMITA",PR!$BI293,IF(J295="THL",PR!$BJ293,IF(J295="UBASTIC",PR!$BK293,IF(J295="UNION",PR!$BL293,IF(J295="UNIQUE",PR!$BM293,IF(J295="VIXA",PR!$BN293,IF(J295="WWCV",PR!$BO293,IF(J295="ZOLON",PR!$BP293,"-"))))))))))))))))))))))))))))))))))))))))))))))))))))))))))))))))</f>
        <v>2200</v>
      </c>
      <c r="J295" s="102" t="str">
        <f>EV!N380</f>
        <v>PHILIPS</v>
      </c>
      <c r="K295" s="433" t="s">
        <v>632</v>
      </c>
      <c r="L295" s="183">
        <f>IF(K295&gt;0,IF(K295="ALPHA",PR!$E293,IF(K295="ASSENE",PR!$F293,IF(K295="BIOFEM",PR!$G293,IF(K295="BIOMED",PR!$H293,IF(K295="CHI",PR!$I293,IF(K295="CLARION",PR!$J293,IF(K295="CODIX",PR!$K293,IF(K295="COSMADE",PR!$L293,IF(K295="SANCON",PR!$M293,IF(K295="DEVON",PR!$N293,IF(K295="DORTEMAG",PR!$O293,IF(K295="DGF",PR!$P293,IF(K295="DYNAMIC",PR!$Q293,IF(K295="EMZOR",PR!$R293,IF(K295="EUMATT",PR!$S293,IF(K295="FIDSON",PR!$T293,IF(K295="FCGLOBAL",PR!$U293,IF(K295="GENEITH",PR!$V293,IF(K295="GINOS",PR!$W293,IF(K295="GSK",PR!$X293,IF(K295="GLOBORG",PR!$Y293,IF(K295="GOODNEWS",PR!$Z293,IF(K295="GREENLIFE",PR!$AA293,IF(K295="HLINE",PR!$AB293,IF(K295="ROTECH",PR!$AC293,IF(K295="ISN",PR!$AD293,IF(K295="JAWA",PR!$AE293,IF(K295="LAYO",PR!$AF293,IF(K295="LEADWAY",PR!$AG293,IF(K295="LHV",PR!$AH293,IF(K295="MANOLA",PR!$AI293,IF(K295="MARCSON",PR!$AJ293,IF(K295="M&amp;B",PR!$AK293,IF(K295="MTRUST",PR!$AL293,IF(K295="MWORLD",PR!$AM293,IF(K295="MEGA",PR!$AN293,IF(K295="MICRONOVA",PR!$AO293,IF(K295="MFLASH",PR!$AP293,IF(K295="MORISON",PR!$AQ293,IF(K295="NEMEL",PR!$AR293,IF(K295="NHP",PR!$AS293,IF(K295="NHC",PR!$AT293,IF(K295="OLEAF",PR!$AU293,IF(K295="OCULUS",PR!$AV293,IF(K295="PACIFIC",PR!$AW293,IF(K295="PHAMATEX",PR!$AX293,IF(K295="PETHICS",PR!$AY293,IF(K295="PHILIPS",PR!$AZ293,IF(K295="RANBAXY",PR!$BA293,IF(K295="REALS",PR!$BB293,IF(K295="ROYAL",PR!$BC293,IF(K295="SAM",PR!$BD293,IF(K295="SEAGREEN",PR!$BE293,IF(K295="SKG",PR!$BF293,IF(K295="TAH",PR!$BG293,IF(K295="TAYLEK",PR!$BH293,IF(K295="TEMITA",PR!$BI293,IF(K295="THL",PR!$BJ293,IF(K295="UBASTIC",PR!$BK293,IF(K295="UNION",PR!$BL293,IF(K295="UNIQUE",PR!$BM293,IF(K295="VIXA",PR!$BN293,IF(K295="WWCV",PR!$BO293,IF(K295="ZOLON",PR!$BP293,"-")))))))))))))))))))))))))))))))))))))))))))))))))))))))))))))))))</f>
        <v>1550</v>
      </c>
    </row>
    <row r="296" spans="1:12" ht="18.75" x14ac:dyDescent="0.3">
      <c r="A296" s="430">
        <f>PR!A294</f>
        <v>270</v>
      </c>
      <c r="B296" s="15" t="str">
        <f>PR!B294</f>
        <v>NEOMYCIN 500MG TAB</v>
      </c>
      <c r="C296" s="113">
        <f>PR!D294</f>
        <v>100</v>
      </c>
      <c r="D296" s="113">
        <f>PR!C294</f>
        <v>20</v>
      </c>
      <c r="E296" s="108">
        <f>IF(F296="ALPHA",PR!$E294,IF(F296="ASSENE",PR!$F294,IF(F296="BIOFEM",PR!$G294,IF(F296="BIOMED",PR!$H294,IF(F296="CHI",PR!$I294,IF(F296="CLARION",PR!$J294,IF(F296="CODIX",PR!$K294,IF(F296="COSMADE",PR!$L294,IF(F296="SANCON",PR!$M294,IF(F296="DEVON",PR!$N294,IF(F296="DORTEMAG",PR!$O294,IF(F296="DGF",PR!$P294,IF(F296="DYNAMIC",PR!$Q294,IF(F296="EMZOR",PR!$R294,IF(F296="EUMATT",PR!$S294,IF(F296="FIDSON",PR!$T294,IF(F296="FCGLOBAL",PR!$U294,IF(F296="GENEITH",PR!$V294,IF(F296="GINOS",PR!$W294,IF(F296="GSK",PR!$X294,IF(F296="GLOBORG",PR!$Y294,IF(F296="GOODNEWS",PR!$Z294,IF(F296="GREENLIFE",PR!$AA294,IF(F296="HLINE",PR!$AB294,IF(F296="ROTECH",PR!$AC294,IF(F296="ISN",PR!$AD294,IF(F296="JAWA",PR!$AE294,IF(F296="LAYO",PR!$AF294,IF(F296="LEADWAY",PR!$AG294,IF(F296="LHV",PR!$AH294,IF(F296="MANOLA",PR!$AI294,IF(F296="MARCSON",PR!$AJ294,IF(F296="M&amp;B",PR!$AK294,IF(F296="MTRUST",PR!$AL294,IF(F296="MWORLD",PR!$AM294,IF(F296="MEGA",PR!$AN294,IF(F296="MICRONOVA",PR!$AO294,IF(F296="MFLASH",PR!$AP294,IF(F296="MORISON",PR!$AQ294,IF(F296="NEMEL",PR!$AR294,IF(F296="NHP",PR!$AS294,IF(F296="NHC",PR!$AT294,IF(F296="OLEAF",PR!$AU294,IF(F296="OCULUS",PR!$AV294,IF(F296="PACIFIC",PR!$AW294,IF(F296="PHAMATEX",PR!$AX294,IF(F296="PETHICS",PR!$AY294,IF(F296="PHILIPS",PR!$AZ294,IF(F296="RANBAXY",PR!$BA294,IF(F296="REALS",PR!$BB294,IF(F296="ROYAL",PR!$BC294,IF(F296="SAM",PR!$BD294,IF(F296="SEAGREEN",PR!$BE294,IF(F296="SKG",PR!$BF294,IF(F296="TAH",PR!$BG294,IF(F296="TAYLEK",PR!$BH294,IF(F296="TEMITA",PR!$BI294,IF(F296="THL",PR!$BJ294,IF(F296="UBASTIC",PR!$BK294,IF(F296="UNION",PR!$BL294,IF(F296="UNIQUE",PR!$BM294,IF(F296="VIXA",PR!$BN294,IF(F296="WWCV",PR!$BO294,IF(F296="ZOLON",PR!$BP294,"-"))))))))))))))))))))))))))))))))))))))))))))))))))))))))))))))))</f>
        <v>3300</v>
      </c>
      <c r="F296" s="102" t="str">
        <f>EV!L381</f>
        <v>EUMATT</v>
      </c>
      <c r="G296" s="108" t="str">
        <f>IF(H296="ALPHA",PR!$E294,IF(H296="ASSENE",PR!$F294,IF(H296="BIOFEM",PR!$G294,IF(H296="BIOMED",PR!$H294,IF(H296="CHI",PR!$I294,IF(H296="CLARION",PR!$J294,IF(H296="CODIX",PR!$K294,IF(H296="COSMADE",PR!$L294,IF(H296="SANCON",PR!$M294,IF(H296="DEVON",PR!$N294,IF(H296="DORTEMAG",PR!$O294,IF(H296="DGF",PR!$P294,IF(H296="DYNAMIC",PR!$Q294,IF(H296="EMZOR",PR!$R294,IF(H296="EUMATT",PR!$S294,IF(H296="FIDSON",PR!$T294,IF(H296="FCGLOBAL",PR!$U294,IF(H296="GENEITH",PR!$V294,IF(H296="GINOS",PR!$W294,IF(H296="GSK",PR!$X294,IF(H296="GLOBORG",PR!$Y294,IF(H296="GOODNEWS",PR!$Z294,IF(H296="GREENLIFE",PR!$AA294,IF(H296="HLINE",PR!$AB294,IF(H296="ROTECH",PR!$AC294,IF(H296="ISN",PR!$AD294,IF(H296="JAWA",PR!$AE294,IF(H296="LAYO",PR!$AF294,IF(H296="LEADWAY",PR!$AG294,IF(H296="LHV",PR!$AH294,IF(H296="MANOLA",PR!$AI294,IF(H296="MARCSON",PR!$AJ294,IF(H296="M&amp;B",PR!$AK294,IF(H296="MTRUST",PR!$AL294,IF(H296="MWORLD",PR!$AM294,IF(H296="MEGA",PR!$AN294,IF(H296="MICRONOVA",PR!$AO294,IF(H296="MFLASH",PR!$AP294,IF(H296="MORISON",PR!$AQ294,IF(H296="NEMEL",PR!$AR294,IF(H296="NHP",PR!$AS294,IF(H296="NHC",PR!$AT294,IF(H296="OLEAF",PR!$AU294,IF(H296="OCULUS",PR!$AV294,IF(H296="PACIFIC",PR!$AW294,IF(H296="PHAMATEX",PR!$AX294,IF(H296="PETHICS",PR!$AY294,IF(H296="PHILIPS",PR!$AZ294,IF(H296="RANBAXY",PR!$BA294,IF(H296="REALS",PR!$BB294,IF(H296="ROYAL",PR!$BC294,IF(H296="SAM",PR!$BD294,IF(H296="SEAGREEN",PR!$BE294,IF(H296="SKG",PR!$BF294,IF(H296="TAH",PR!$BG294,IF(H296="TAYLEK",PR!$BH294,IF(H296="TEMITA",PR!$BI294,IF(H296="THL",PR!$BJ294,IF(H296="UBASTIC",PR!$BK294,IF(H296="UNION",PR!$BL294,IF(H296="UNIQUE",PR!$BM294,IF(H296="VIXA",PR!$BN294,IF(H296="WWCV",PR!$BO294,IF(H296="ZOLON",PR!$BP294,"-"))))))))))))))))))))))))))))))))))))))))))))))))))))))))))))))))</f>
        <v>-</v>
      </c>
      <c r="H296" s="102">
        <f>EV!M381</f>
        <v>0</v>
      </c>
      <c r="I296" s="108" t="str">
        <f>IF(J296="ALPHA",PR!$E294,IF(J296="ASSENE",PR!$F294,IF(J296="BIOFEM",PR!$G294,IF(J296="BIOMED",PR!$H294,IF(J296="CHI",PR!$I294,IF(J296="CLARION",PR!$J294,IF(J296="CODIX",PR!$K294,IF(J296="COSMADE",PR!$L294,IF(J296="SANCON",PR!$M294,IF(J296="DEVON",PR!$N294,IF(J296="DORTEMAG",PR!$O294,IF(J296="DGF",PR!$P294,IF(J296="DYNAMIC",PR!$Q294,IF(J296="EMZOR",PR!$R294,IF(J296="EUMATT",PR!$S294,IF(J296="FIDSON",PR!$T294,IF(J296="FCGLOBAL",PR!$U294,IF(J296="GENEITH",PR!$V294,IF(J296="GINOS",PR!$W294,IF(J296="GSK",PR!$X294,IF(J296="GLOBORG",PR!$Y294,IF(J296="GOODNEWS",PR!$Z294,IF(J296="GREENLIFE",PR!$AA294,IF(J296="HLINE",PR!$AB294,IF(J296="ROTECH",PR!$AC294,IF(J296="ISN",PR!$AD294,IF(J296="JAWA",PR!$AE294,IF(J296="LAYO",PR!$AF294,IF(J296="LEADWAY",PR!$AG294,IF(J296="LHV",PR!$AH294,IF(J296="MANOLA",PR!$AI294,IF(J296="MARCSON",PR!$AJ294,IF(J296="M&amp;B",PR!$AK294,IF(J296="MTRUST",PR!$AL294,IF(J296="MWORLD",PR!$AM294,IF(J296="MEGA",PR!$AN294,IF(J296="MICRONOVA",PR!$AO294,IF(J296="MFLASH",PR!$AP294,IF(J296="MORISON",PR!$AQ294,IF(J296="NEMEL",PR!$AR294,IF(J296="NHP",PR!$AS294,IF(J296="NHC",PR!$AT294,IF(J296="OLEAF",PR!$AU294,IF(J296="OCULUS",PR!$AV294,IF(J296="PACIFIC",PR!$AW294,IF(J296="PHAMATEX",PR!$AX294,IF(J296="PETHICS",PR!$AY294,IF(J296="PHILIPS",PR!$AZ294,IF(J296="RANBAXY",PR!$BA294,IF(J296="REALS",PR!$BB294,IF(J296="ROYAL",PR!$BC294,IF(J296="SAM",PR!$BD294,IF(J296="SEAGREEN",PR!$BE294,IF(J296="SKG",PR!$BF294,IF(J296="TAH",PR!$BG294,IF(J296="TAYLEK",PR!$BH294,IF(J296="TEMITA",PR!$BI294,IF(J296="THL",PR!$BJ294,IF(J296="UBASTIC",PR!$BK294,IF(J296="UNION",PR!$BL294,IF(J296="UNIQUE",PR!$BM294,IF(J296="VIXA",PR!$BN294,IF(J296="WWCV",PR!$BO294,IF(J296="ZOLON",PR!$BP294,"-"))))))))))))))))))))))))))))))))))))))))))))))))))))))))))))))))</f>
        <v>-</v>
      </c>
      <c r="J296" s="102">
        <f>EV!N381</f>
        <v>0</v>
      </c>
      <c r="K296" s="433" t="s">
        <v>821</v>
      </c>
      <c r="L296" s="183">
        <f>IF(K296&gt;0,IF(K296="ALPHA",PR!$E294,IF(K296="ASSENE",PR!$F294,IF(K296="BIOFEM",PR!$G294,IF(K296="BIOMED",PR!$H294,IF(K296="CHI",PR!$I294,IF(K296="CLARION",PR!$J294,IF(K296="CODIX",PR!$K294,IF(K296="COSMADE",PR!$L294,IF(K296="SANCON",PR!$M294,IF(K296="DEVON",PR!$N294,IF(K296="DORTEMAG",PR!$O294,IF(K296="DGF",PR!$P294,IF(K296="DYNAMIC",PR!$Q294,IF(K296="EMZOR",PR!$R294,IF(K296="EUMATT",PR!$S294,IF(K296="FIDSON",PR!$T294,IF(K296="FCGLOBAL",PR!$U294,IF(K296="GENEITH",PR!$V294,IF(K296="GINOS",PR!$W294,IF(K296="GSK",PR!$X294,IF(K296="GLOBORG",PR!$Y294,IF(K296="GOODNEWS",PR!$Z294,IF(K296="GREENLIFE",PR!$AA294,IF(K296="HLINE",PR!$AB294,IF(K296="ROTECH",PR!$AC294,IF(K296="ISN",PR!$AD294,IF(K296="JAWA",PR!$AE294,IF(K296="LAYO",PR!$AF294,IF(K296="LEADWAY",PR!$AG294,IF(K296="LHV",PR!$AH294,IF(K296="MANOLA",PR!$AI294,IF(K296="MARCSON",PR!$AJ294,IF(K296="M&amp;B",PR!$AK294,IF(K296="MTRUST",PR!$AL294,IF(K296="MWORLD",PR!$AM294,IF(K296="MEGA",PR!$AN294,IF(K296="MICRONOVA",PR!$AO294,IF(K296="MFLASH",PR!$AP294,IF(K296="MORISON",PR!$AQ294,IF(K296="NEMEL",PR!$AR294,IF(K296="NHP",PR!$AS294,IF(K296="NHC",PR!$AT294,IF(K296="OLEAF",PR!$AU294,IF(K296="OCULUS",PR!$AV294,IF(K296="PACIFIC",PR!$AW294,IF(K296="PHAMATEX",PR!$AX294,IF(K296="PETHICS",PR!$AY294,IF(K296="PHILIPS",PR!$AZ294,IF(K296="RANBAXY",PR!$BA294,IF(K296="REALS",PR!$BB294,IF(K296="ROYAL",PR!$BC294,IF(K296="SAM",PR!$BD294,IF(K296="SEAGREEN",PR!$BE294,IF(K296="SKG",PR!$BF294,IF(K296="TAH",PR!$BG294,IF(K296="TAYLEK",PR!$BH294,IF(K296="TEMITA",PR!$BI294,IF(K296="THL",PR!$BJ294,IF(K296="UBASTIC",PR!$BK294,IF(K296="UNION",PR!$BL294,IF(K296="UNIQUE",PR!$BM294,IF(K296="VIXA",PR!$BN294,IF(K296="WWCV",PR!$BO294,IF(K296="ZOLON",PR!$BP294,"-")))))))))))))))))))))))))))))))))))))))))))))))))))))))))))))))))</f>
        <v>3300</v>
      </c>
    </row>
    <row r="297" spans="1:12" ht="18.75" x14ac:dyDescent="0.3">
      <c r="A297" s="430">
        <f>PR!A295</f>
        <v>271</v>
      </c>
      <c r="B297" s="15" t="str">
        <f>PR!B295</f>
        <v>NITROFURANTOIN 100MG TAB</v>
      </c>
      <c r="C297" s="113">
        <f>PR!D295</f>
        <v>1000</v>
      </c>
      <c r="D297" s="113">
        <f>PR!C295</f>
        <v>4</v>
      </c>
      <c r="E297" s="108">
        <f>IF(F297="ALPHA",PR!$E295,IF(F297="ASSENE",PR!$F295,IF(F297="BIOFEM",PR!$G295,IF(F297="BIOMED",PR!$H295,IF(F297="CHI",PR!$I295,IF(F297="CLARION",PR!$J295,IF(F297="CODIX",PR!$K295,IF(F297="COSMADE",PR!$L295,IF(F297="SANCON",PR!$M295,IF(F297="DEVON",PR!$N295,IF(F297="DORTEMAG",PR!$O295,IF(F297="DGF",PR!$P295,IF(F297="DYNAMIC",PR!$Q295,IF(F297="EMZOR",PR!$R295,IF(F297="EUMATT",PR!$S295,IF(F297="FIDSON",PR!$T295,IF(F297="FCGLOBAL",PR!$U295,IF(F297="GENEITH",PR!$V295,IF(F297="GINOS",PR!$W295,IF(F297="GSK",PR!$X295,IF(F297="GLOBORG",PR!$Y295,IF(F297="GOODNEWS",PR!$Z295,IF(F297="GREENLIFE",PR!$AA295,IF(F297="HLINE",PR!$AB295,IF(F297="ROTECH",PR!$AC295,IF(F297="ISN",PR!$AD295,IF(F297="JAWA",PR!$AE295,IF(F297="LAYO",PR!$AF295,IF(F297="LEADWAY",PR!$AG295,IF(F297="LHV",PR!$AH295,IF(F297="MANOLA",PR!$AI295,IF(F297="MARCSON",PR!$AJ295,IF(F297="M&amp;B",PR!$AK295,IF(F297="MTRUST",PR!$AL295,IF(F297="MWORLD",PR!$AM295,IF(F297="MEGA",PR!$AN295,IF(F297="MICRONOVA",PR!$AO295,IF(F297="MFLASH",PR!$AP295,IF(F297="MORISON",PR!$AQ295,IF(F297="NEMEL",PR!$AR295,IF(F297="NHP",PR!$AS295,IF(F297="NHC",PR!$AT295,IF(F297="OLEAF",PR!$AU295,IF(F297="OCULUS",PR!$AV295,IF(F297="PACIFIC",PR!$AW295,IF(F297="PHAMATEX",PR!$AX295,IF(F297="PETHICS",PR!$AY295,IF(F297="PHILIPS",PR!$AZ295,IF(F297="RANBAXY",PR!$BA295,IF(F297="REALS",PR!$BB295,IF(F297="ROYAL",PR!$BC295,IF(F297="SAM",PR!$BD295,IF(F297="SEAGREEN",PR!$BE295,IF(F297="SKG",PR!$BF295,IF(F297="TAH",PR!$BG295,IF(F297="TAYLEK",PR!$BH295,IF(F297="TEMITA",PR!$BI295,IF(F297="THL",PR!$BJ295,IF(F297="UBASTIC",PR!$BK295,IF(F297="UNION",PR!$BL295,IF(F297="UNIQUE",PR!$BM295,IF(F297="VIXA",PR!$BN295,IF(F297="WWCV",PR!$BO295,IF(F297="ZOLON",PR!$BP295,"-"))))))))))))))))))))))))))))))))))))))))))))))))))))))))))))))))</f>
        <v>3200</v>
      </c>
      <c r="F297" s="102" t="str">
        <f>EV!L382</f>
        <v>EUMATT</v>
      </c>
      <c r="G297" s="108" t="str">
        <f>IF(H297="ALPHA",PR!$E295,IF(H297="ASSENE",PR!$F295,IF(H297="BIOFEM",PR!$G295,IF(H297="BIOMED",PR!$H295,IF(H297="CHI",PR!$I295,IF(H297="CLARION",PR!$J295,IF(H297="CODIX",PR!$K295,IF(H297="COSMADE",PR!$L295,IF(H297="SANCON",PR!$M295,IF(H297="DEVON",PR!$N295,IF(H297="DORTEMAG",PR!$O295,IF(H297="DGF",PR!$P295,IF(H297="DYNAMIC",PR!$Q295,IF(H297="EMZOR",PR!$R295,IF(H297="EUMATT",PR!$S295,IF(H297="FIDSON",PR!$T295,IF(H297="FCGLOBAL",PR!$U295,IF(H297="GENEITH",PR!$V295,IF(H297="GINOS",PR!$W295,IF(H297="GSK",PR!$X295,IF(H297="GLOBORG",PR!$Y295,IF(H297="GOODNEWS",PR!$Z295,IF(H297="GREENLIFE",PR!$AA295,IF(H297="HLINE",PR!$AB295,IF(H297="ROTECH",PR!$AC295,IF(H297="ISN",PR!$AD295,IF(H297="JAWA",PR!$AE295,IF(H297="LAYO",PR!$AF295,IF(H297="LEADWAY",PR!$AG295,IF(H297="LHV",PR!$AH295,IF(H297="MANOLA",PR!$AI295,IF(H297="MARCSON",PR!$AJ295,IF(H297="M&amp;B",PR!$AK295,IF(H297="MTRUST",PR!$AL295,IF(H297="MWORLD",PR!$AM295,IF(H297="MEGA",PR!$AN295,IF(H297="MICRONOVA",PR!$AO295,IF(H297="MFLASH",PR!$AP295,IF(H297="MORISON",PR!$AQ295,IF(H297="NEMEL",PR!$AR295,IF(H297="NHP",PR!$AS295,IF(H297="NHC",PR!$AT295,IF(H297="OLEAF",PR!$AU295,IF(H297="OCULUS",PR!$AV295,IF(H297="PACIFIC",PR!$AW295,IF(H297="PHAMATEX",PR!$AX295,IF(H297="PETHICS",PR!$AY295,IF(H297="PHILIPS",PR!$AZ295,IF(H297="RANBAXY",PR!$BA295,IF(H297="REALS",PR!$BB295,IF(H297="ROYAL",PR!$BC295,IF(H297="SAM",PR!$BD295,IF(H297="SEAGREEN",PR!$BE295,IF(H297="SKG",PR!$BF295,IF(H297="TAH",PR!$BG295,IF(H297="TAYLEK",PR!$BH295,IF(H297="TEMITA",PR!$BI295,IF(H297="THL",PR!$BJ295,IF(H297="UBASTIC",PR!$BK295,IF(H297="UNION",PR!$BL295,IF(H297="UNIQUE",PR!$BM295,IF(H297="VIXA",PR!$BN295,IF(H297="WWCV",PR!$BO295,IF(H297="ZOLON",PR!$BP295,"-"))))))))))))))))))))))))))))))))))))))))))))))))))))))))))))))))</f>
        <v>-</v>
      </c>
      <c r="H297" s="102">
        <f>EV!M382</f>
        <v>0</v>
      </c>
      <c r="I297" s="108" t="str">
        <f>IF(J297="ALPHA",PR!$E295,IF(J297="ASSENE",PR!$F295,IF(J297="BIOFEM",PR!$G295,IF(J297="BIOMED",PR!$H295,IF(J297="CHI",PR!$I295,IF(J297="CLARION",PR!$J295,IF(J297="CODIX",PR!$K295,IF(J297="COSMADE",PR!$L295,IF(J297="SANCON",PR!$M295,IF(J297="DEVON",PR!$N295,IF(J297="DORTEMAG",PR!$O295,IF(J297="DGF",PR!$P295,IF(J297="DYNAMIC",PR!$Q295,IF(J297="EMZOR",PR!$R295,IF(J297="EUMATT",PR!$S295,IF(J297="FIDSON",PR!$T295,IF(J297="FCGLOBAL",PR!$U295,IF(J297="GENEITH",PR!$V295,IF(J297="GINOS",PR!$W295,IF(J297="GSK",PR!$X295,IF(J297="GLOBORG",PR!$Y295,IF(J297="GOODNEWS",PR!$Z295,IF(J297="GREENLIFE",PR!$AA295,IF(J297="HLINE",PR!$AB295,IF(J297="ROTECH",PR!$AC295,IF(J297="ISN",PR!$AD295,IF(J297="JAWA",PR!$AE295,IF(J297="LAYO",PR!$AF295,IF(J297="LEADWAY",PR!$AG295,IF(J297="LHV",PR!$AH295,IF(J297="MANOLA",PR!$AI295,IF(J297="MARCSON",PR!$AJ295,IF(J297="M&amp;B",PR!$AK295,IF(J297="MTRUST",PR!$AL295,IF(J297="MWORLD",PR!$AM295,IF(J297="MEGA",PR!$AN295,IF(J297="MICRONOVA",PR!$AO295,IF(J297="MFLASH",PR!$AP295,IF(J297="MORISON",PR!$AQ295,IF(J297="NEMEL",PR!$AR295,IF(J297="NHP",PR!$AS295,IF(J297="NHC",PR!$AT295,IF(J297="OLEAF",PR!$AU295,IF(J297="OCULUS",PR!$AV295,IF(J297="PACIFIC",PR!$AW295,IF(J297="PHAMATEX",PR!$AX295,IF(J297="PETHICS",PR!$AY295,IF(J297="PHILIPS",PR!$AZ295,IF(J297="RANBAXY",PR!$BA295,IF(J297="REALS",PR!$BB295,IF(J297="ROYAL",PR!$BC295,IF(J297="SAM",PR!$BD295,IF(J297="SEAGREEN",PR!$BE295,IF(J297="SKG",PR!$BF295,IF(J297="TAH",PR!$BG295,IF(J297="TAYLEK",PR!$BH295,IF(J297="TEMITA",PR!$BI295,IF(J297="THL",PR!$BJ295,IF(J297="UBASTIC",PR!$BK295,IF(J297="UNION",PR!$BL295,IF(J297="UNIQUE",PR!$BM295,IF(J297="VIXA",PR!$BN295,IF(J297="WWCV",PR!$BO295,IF(J297="ZOLON",PR!$BP295,"-"))))))))))))))))))))))))))))))))))))))))))))))))))))))))))))))))</f>
        <v>-</v>
      </c>
      <c r="J297" s="102">
        <f>EV!N382</f>
        <v>0</v>
      </c>
      <c r="K297" s="433" t="s">
        <v>821</v>
      </c>
      <c r="L297" s="183">
        <f>IF(K297&gt;0,IF(K297="ALPHA",PR!$E295,IF(K297="ASSENE",PR!$F295,IF(K297="BIOFEM",PR!$G295,IF(K297="BIOMED",PR!$H295,IF(K297="CHI",PR!$I295,IF(K297="CLARION",PR!$J295,IF(K297="CODIX",PR!$K295,IF(K297="COSMADE",PR!$L295,IF(K297="SANCON",PR!$M295,IF(K297="DEVON",PR!$N295,IF(K297="DORTEMAG",PR!$O295,IF(K297="DGF",PR!$P295,IF(K297="DYNAMIC",PR!$Q295,IF(K297="EMZOR",PR!$R295,IF(K297="EUMATT",PR!$S295,IF(K297="FIDSON",PR!$T295,IF(K297="FCGLOBAL",PR!$U295,IF(K297="GENEITH",PR!$V295,IF(K297="GINOS",PR!$W295,IF(K297="GSK",PR!$X295,IF(K297="GLOBORG",PR!$Y295,IF(K297="GOODNEWS",PR!$Z295,IF(K297="GREENLIFE",PR!$AA295,IF(K297="HLINE",PR!$AB295,IF(K297="ROTECH",PR!$AC295,IF(K297="ISN",PR!$AD295,IF(K297="JAWA",PR!$AE295,IF(K297="LAYO",PR!$AF295,IF(K297="LEADWAY",PR!$AG295,IF(K297="LHV",PR!$AH295,IF(K297="MANOLA",PR!$AI295,IF(K297="MARCSON",PR!$AJ295,IF(K297="M&amp;B",PR!$AK295,IF(K297="MTRUST",PR!$AL295,IF(K297="MWORLD",PR!$AM295,IF(K297="MEGA",PR!$AN295,IF(K297="MICRONOVA",PR!$AO295,IF(K297="MFLASH",PR!$AP295,IF(K297="MORISON",PR!$AQ295,IF(K297="NEMEL",PR!$AR295,IF(K297="NHP",PR!$AS295,IF(K297="NHC",PR!$AT295,IF(K297="OLEAF",PR!$AU295,IF(K297="OCULUS",PR!$AV295,IF(K297="PACIFIC",PR!$AW295,IF(K297="PHAMATEX",PR!$AX295,IF(K297="PETHICS",PR!$AY295,IF(K297="PHILIPS",PR!$AZ295,IF(K297="RANBAXY",PR!$BA295,IF(K297="REALS",PR!$BB295,IF(K297="ROYAL",PR!$BC295,IF(K297="SAM",PR!$BD295,IF(K297="SEAGREEN",PR!$BE295,IF(K297="SKG",PR!$BF295,IF(K297="TAH",PR!$BG295,IF(K297="TAYLEK",PR!$BH295,IF(K297="TEMITA",PR!$BI295,IF(K297="THL",PR!$BJ295,IF(K297="UBASTIC",PR!$BK295,IF(K297="UNION",PR!$BL295,IF(K297="UNIQUE",PR!$BM295,IF(K297="VIXA",PR!$BN295,IF(K297="WWCV",PR!$BO295,IF(K297="ZOLON",PR!$BP295,"-")))))))))))))))))))))))))))))))))))))))))))))))))))))))))))))))))</f>
        <v>3200</v>
      </c>
    </row>
    <row r="298" spans="1:12" ht="18.75" x14ac:dyDescent="0.3">
      <c r="A298" s="430">
        <f>PR!A296</f>
        <v>272</v>
      </c>
      <c r="B298" s="15" t="str">
        <f>PR!B296</f>
        <v>NYSTATIN ORAL DROPS (100,000 IU/ML)</v>
      </c>
      <c r="C298" s="113" t="str">
        <f>PR!D296</f>
        <v>BOTT</v>
      </c>
      <c r="D298" s="113">
        <f>PR!C296</f>
        <v>100</v>
      </c>
      <c r="E298" s="108">
        <f>IF(F298="ALPHA",PR!$E296,IF(F298="ASSENE",PR!$F296,IF(F298="BIOFEM",PR!$G296,IF(F298="BIOMED",PR!$H296,IF(F298="CHI",PR!$I296,IF(F298="CLARION",PR!$J296,IF(F298="CODIX",PR!$K296,IF(F298="COSMADE",PR!$L296,IF(F298="SANCON",PR!$M296,IF(F298="DEVON",PR!$N296,IF(F298="DORTEMAG",PR!$O296,IF(F298="DGF",PR!$P296,IF(F298="DYNAMIC",PR!$Q296,IF(F298="EMZOR",PR!$R296,IF(F298="EUMATT",PR!$S296,IF(F298="FIDSON",PR!$T296,IF(F298="FCGLOBAL",PR!$U296,IF(F298="GENEITH",PR!$V296,IF(F298="GINOS",PR!$W296,IF(F298="GSK",PR!$X296,IF(F298="GLOBORG",PR!$Y296,IF(F298="GOODNEWS",PR!$Z296,IF(F298="GREENLIFE",PR!$AA296,IF(F298="HLINE",PR!$AB296,IF(F298="ROTECH",PR!$AC296,IF(F298="ISN",PR!$AD296,IF(F298="JAWA",PR!$AE296,IF(F298="LAYO",PR!$AF296,IF(F298="LEADWAY",PR!$AG296,IF(F298="LHV",PR!$AH296,IF(F298="MANOLA",PR!$AI296,IF(F298="MARCSON",PR!$AJ296,IF(F298="M&amp;B",PR!$AK296,IF(F298="MTRUST",PR!$AL296,IF(F298="MWORLD",PR!$AM296,IF(F298="MEGA",PR!$AN296,IF(F298="MICRONOVA",PR!$AO296,IF(F298="MFLASH",PR!$AP296,IF(F298="MORISON",PR!$AQ296,IF(F298="NEMEL",PR!$AR296,IF(F298="NHP",PR!$AS296,IF(F298="NHC",PR!$AT296,IF(F298="OLEAF",PR!$AU296,IF(F298="OCULUS",PR!$AV296,IF(F298="PACIFIC",PR!$AW296,IF(F298="PHAMATEX",PR!$AX296,IF(F298="PETHICS",PR!$AY296,IF(F298="PHILIPS",PR!$AZ296,IF(F298="RANBAXY",PR!$BA296,IF(F298="REALS",PR!$BB296,IF(F298="ROYAL",PR!$BC296,IF(F298="SAM",PR!$BD296,IF(F298="SEAGREEN",PR!$BE296,IF(F298="SKG",PR!$BF296,IF(F298="TAH",PR!$BG296,IF(F298="TAYLEK",PR!$BH296,IF(F298="TEMITA",PR!$BI296,IF(F298="THL",PR!$BJ296,IF(F298="UBASTIC",PR!$BK296,IF(F298="UNION",PR!$BL296,IF(F298="UNIQUE",PR!$BM296,IF(F298="VIXA",PR!$BN296,IF(F298="WWCV",PR!$BO296,IF(F298="ZOLON",PR!$BP296,"-"))))))))))))))))))))))))))))))))))))))))))))))))))))))))))))))))</f>
        <v>300</v>
      </c>
      <c r="F298" s="102" t="str">
        <f>EV!L383</f>
        <v>ALPHA</v>
      </c>
      <c r="G298" s="108" t="str">
        <f>IF(H298="ALPHA",PR!$E296,IF(H298="ASSENE",PR!$F296,IF(H298="BIOFEM",PR!$G296,IF(H298="BIOMED",PR!$H296,IF(H298="CHI",PR!$I296,IF(H298="CLARION",PR!$J296,IF(H298="CODIX",PR!$K296,IF(H298="COSMADE",PR!$L296,IF(H298="SANCON",PR!$M296,IF(H298="DEVON",PR!$N296,IF(H298="DORTEMAG",PR!$O296,IF(H298="DGF",PR!$P296,IF(H298="DYNAMIC",PR!$Q296,IF(H298="EMZOR",PR!$R296,IF(H298="EUMATT",PR!$S296,IF(H298="FIDSON",PR!$T296,IF(H298="FCGLOBAL",PR!$U296,IF(H298="GENEITH",PR!$V296,IF(H298="GINOS",PR!$W296,IF(H298="GSK",PR!$X296,IF(H298="GLOBORG",PR!$Y296,IF(H298="GOODNEWS",PR!$Z296,IF(H298="GREENLIFE",PR!$AA296,IF(H298="HLINE",PR!$AB296,IF(H298="ROTECH",PR!$AC296,IF(H298="ISN",PR!$AD296,IF(H298="JAWA",PR!$AE296,IF(H298="LAYO",PR!$AF296,IF(H298="LEADWAY",PR!$AG296,IF(H298="LHV",PR!$AH296,IF(H298="MANOLA",PR!$AI296,IF(H298="MARCSON",PR!$AJ296,IF(H298="M&amp;B",PR!$AK296,IF(H298="MTRUST",PR!$AL296,IF(H298="MWORLD",PR!$AM296,IF(H298="MEGA",PR!$AN296,IF(H298="MICRONOVA",PR!$AO296,IF(H298="MFLASH",PR!$AP296,IF(H298="MORISON",PR!$AQ296,IF(H298="NEMEL",PR!$AR296,IF(H298="NHP",PR!$AS296,IF(H298="NHC",PR!$AT296,IF(H298="OLEAF",PR!$AU296,IF(H298="OCULUS",PR!$AV296,IF(H298="PACIFIC",PR!$AW296,IF(H298="PHAMATEX",PR!$AX296,IF(H298="PETHICS",PR!$AY296,IF(H298="PHILIPS",PR!$AZ296,IF(H298="RANBAXY",PR!$BA296,IF(H298="REALS",PR!$BB296,IF(H298="ROYAL",PR!$BC296,IF(H298="SAM",PR!$BD296,IF(H298="SEAGREEN",PR!$BE296,IF(H298="SKG",PR!$BF296,IF(H298="TAH",PR!$BG296,IF(H298="TAYLEK",PR!$BH296,IF(H298="TEMITA",PR!$BI296,IF(H298="THL",PR!$BJ296,IF(H298="UBASTIC",PR!$BK296,IF(H298="UNION",PR!$BL296,IF(H298="UNIQUE",PR!$BM296,IF(H298="VIXA",PR!$BN296,IF(H298="WWCV",PR!$BO296,IF(H298="ZOLON",PR!$BP296,"-"))))))))))))))))))))))))))))))))))))))))))))))))))))))))))))))))</f>
        <v>-</v>
      </c>
      <c r="H298" s="102">
        <f>EV!M383</f>
        <v>0</v>
      </c>
      <c r="I298" s="108" t="str">
        <f>IF(J298="ALPHA",PR!$E296,IF(J298="ASSENE",PR!$F296,IF(J298="BIOFEM",PR!$G296,IF(J298="BIOMED",PR!$H296,IF(J298="CHI",PR!$I296,IF(J298="CLARION",PR!$J296,IF(J298="CODIX",PR!$K296,IF(J298="COSMADE",PR!$L296,IF(J298="SANCON",PR!$M296,IF(J298="DEVON",PR!$N296,IF(J298="DORTEMAG",PR!$O296,IF(J298="DGF",PR!$P296,IF(J298="DYNAMIC",PR!$Q296,IF(J298="EMZOR",PR!$R296,IF(J298="EUMATT",PR!$S296,IF(J298="FIDSON",PR!$T296,IF(J298="FCGLOBAL",PR!$U296,IF(J298="GENEITH",PR!$V296,IF(J298="GINOS",PR!$W296,IF(J298="GSK",PR!$X296,IF(J298="GLOBORG",PR!$Y296,IF(J298="GOODNEWS",PR!$Z296,IF(J298="GREENLIFE",PR!$AA296,IF(J298="HLINE",PR!$AB296,IF(J298="ROTECH",PR!$AC296,IF(J298="ISN",PR!$AD296,IF(J298="JAWA",PR!$AE296,IF(J298="LAYO",PR!$AF296,IF(J298="LEADWAY",PR!$AG296,IF(J298="LHV",PR!$AH296,IF(J298="MANOLA",PR!$AI296,IF(J298="MARCSON",PR!$AJ296,IF(J298="M&amp;B",PR!$AK296,IF(J298="MTRUST",PR!$AL296,IF(J298="MWORLD",PR!$AM296,IF(J298="MEGA",PR!$AN296,IF(J298="MICRONOVA",PR!$AO296,IF(J298="MFLASH",PR!$AP296,IF(J298="MORISON",PR!$AQ296,IF(J298="NEMEL",PR!$AR296,IF(J298="NHP",PR!$AS296,IF(J298="NHC",PR!$AT296,IF(J298="OLEAF",PR!$AU296,IF(J298="OCULUS",PR!$AV296,IF(J298="PACIFIC",PR!$AW296,IF(J298="PHAMATEX",PR!$AX296,IF(J298="PETHICS",PR!$AY296,IF(J298="PHILIPS",PR!$AZ296,IF(J298="RANBAXY",PR!$BA296,IF(J298="REALS",PR!$BB296,IF(J298="ROYAL",PR!$BC296,IF(J298="SAM",PR!$BD296,IF(J298="SEAGREEN",PR!$BE296,IF(J298="SKG",PR!$BF296,IF(J298="TAH",PR!$BG296,IF(J298="TAYLEK",PR!$BH296,IF(J298="TEMITA",PR!$BI296,IF(J298="THL",PR!$BJ296,IF(J298="UBASTIC",PR!$BK296,IF(J298="UNION",PR!$BL296,IF(J298="UNIQUE",PR!$BM296,IF(J298="VIXA",PR!$BN296,IF(J298="WWCV",PR!$BO296,IF(J298="ZOLON",PR!$BP296,"-"))))))))))))))))))))))))))))))))))))))))))))))))))))))))))))))))</f>
        <v>-</v>
      </c>
      <c r="J298" s="102">
        <f>EV!N383</f>
        <v>0</v>
      </c>
      <c r="K298" s="433" t="s">
        <v>634</v>
      </c>
      <c r="L298" s="183">
        <f>IF(K298&gt;0,IF(K298="ALPHA",PR!$E296,IF(K298="ASSENE",PR!$F296,IF(K298="BIOFEM",PR!$G296,IF(K298="BIOMED",PR!$H296,IF(K298="CHI",PR!$I296,IF(K298="CLARION",PR!$J296,IF(K298="CODIX",PR!$K296,IF(K298="COSMADE",PR!$L296,IF(K298="SANCON",PR!$M296,IF(K298="DEVON",PR!$N296,IF(K298="DORTEMAG",PR!$O296,IF(K298="DGF",PR!$P296,IF(K298="DYNAMIC",PR!$Q296,IF(K298="EMZOR",PR!$R296,IF(K298="EUMATT",PR!$S296,IF(K298="FIDSON",PR!$T296,IF(K298="FCGLOBAL",PR!$U296,IF(K298="GENEITH",PR!$V296,IF(K298="GINOS",PR!$W296,IF(K298="GSK",PR!$X296,IF(K298="GLOBORG",PR!$Y296,IF(K298="GOODNEWS",PR!$Z296,IF(K298="GREENLIFE",PR!$AA296,IF(K298="HLINE",PR!$AB296,IF(K298="ROTECH",PR!$AC296,IF(K298="ISN",PR!$AD296,IF(K298="JAWA",PR!$AE296,IF(K298="LAYO",PR!$AF296,IF(K298="LEADWAY",PR!$AG296,IF(K298="LHV",PR!$AH296,IF(K298="MANOLA",PR!$AI296,IF(K298="MARCSON",PR!$AJ296,IF(K298="M&amp;B",PR!$AK296,IF(K298="MTRUST",PR!$AL296,IF(K298="MWORLD",PR!$AM296,IF(K298="MEGA",PR!$AN296,IF(K298="MICRONOVA",PR!$AO296,IF(K298="MFLASH",PR!$AP296,IF(K298="MORISON",PR!$AQ296,IF(K298="NEMEL",PR!$AR296,IF(K298="NHP",PR!$AS296,IF(K298="NHC",PR!$AT296,IF(K298="OLEAF",PR!$AU296,IF(K298="OCULUS",PR!$AV296,IF(K298="PACIFIC",PR!$AW296,IF(K298="PHAMATEX",PR!$AX296,IF(K298="PETHICS",PR!$AY296,IF(K298="PHILIPS",PR!$AZ296,IF(K298="RANBAXY",PR!$BA296,IF(K298="REALS",PR!$BB296,IF(K298="ROYAL",PR!$BC296,IF(K298="SAM",PR!$BD296,IF(K298="SEAGREEN",PR!$BE296,IF(K298="SKG",PR!$BF296,IF(K298="TAH",PR!$BG296,IF(K298="TAYLEK",PR!$BH296,IF(K298="TEMITA",PR!$BI296,IF(K298="THL",PR!$BJ296,IF(K298="UBASTIC",PR!$BK296,IF(K298="UNION",PR!$BL296,IF(K298="UNIQUE",PR!$BM296,IF(K298="VIXA",PR!$BN296,IF(K298="WWCV",PR!$BO296,IF(K298="ZOLON",PR!$BP296,"-")))))))))))))))))))))))))))))))))))))))))))))))))))))))))))))))))</f>
        <v>300</v>
      </c>
    </row>
    <row r="299" spans="1:12" ht="18.75" x14ac:dyDescent="0.3">
      <c r="A299" s="430">
        <f>PR!A297</f>
        <v>273</v>
      </c>
      <c r="B299" s="15" t="str">
        <f>PR!B297</f>
        <v>NYSTATIN TAB 500,000IU</v>
      </c>
      <c r="C299" s="113">
        <f>PR!D297</f>
        <v>100</v>
      </c>
      <c r="D299" s="113">
        <f>PR!C297</f>
        <v>10</v>
      </c>
      <c r="E299" s="108" t="str">
        <f>IF(F299="ALPHA",PR!$E297,IF(F299="ASSENE",PR!$F297,IF(F299="BIOFEM",PR!$G297,IF(F299="BIOMED",PR!$H297,IF(F299="CHI",PR!$I297,IF(F299="CLARION",PR!$J297,IF(F299="CODIX",PR!$K297,IF(F299="COSMADE",PR!$L297,IF(F299="SANCON",PR!$M297,IF(F299="DEVON",PR!$N297,IF(F299="DORTEMAG",PR!$O297,IF(F299="DGF",PR!$P297,IF(F299="DYNAMIC",PR!$Q297,IF(F299="EMZOR",PR!$R297,IF(F299="EUMATT",PR!$S297,IF(F299="FIDSON",PR!$T297,IF(F299="FCGLOBAL",PR!$U297,IF(F299="GENEITH",PR!$V297,IF(F299="GINOS",PR!$W297,IF(F299="GSK",PR!$X297,IF(F299="GLOBORG",PR!$Y297,IF(F299="GOODNEWS",PR!$Z297,IF(F299="GREENLIFE",PR!$AA297,IF(F299="HLINE",PR!$AB297,IF(F299="ROTECH",PR!$AC297,IF(F299="ISN",PR!$AD297,IF(F299="JAWA",PR!$AE297,IF(F299="LAYO",PR!$AF297,IF(F299="LEADWAY",PR!$AG297,IF(F299="LHV",PR!$AH297,IF(F299="MANOLA",PR!$AI297,IF(F299="MARCSON",PR!$AJ297,IF(F299="M&amp;B",PR!$AK297,IF(F299="MTRUST",PR!$AL297,IF(F299="MWORLD",PR!$AM297,IF(F299="MEGA",PR!$AN297,IF(F299="MICRONOVA",PR!$AO297,IF(F299="MFLASH",PR!$AP297,IF(F299="MORISON",PR!$AQ297,IF(F299="NEMEL",PR!$AR297,IF(F299="NHP",PR!$AS297,IF(F299="NHC",PR!$AT297,IF(F299="OLEAF",PR!$AU297,IF(F299="OCULUS",PR!$AV297,IF(F299="PACIFIC",PR!$AW297,IF(F299="PHAMATEX",PR!$AX297,IF(F299="PETHICS",PR!$AY297,IF(F299="PHILIPS",PR!$AZ297,IF(F299="RANBAXY",PR!$BA297,IF(F299="REALS",PR!$BB297,IF(F299="ROYAL",PR!$BC297,IF(F299="SAM",PR!$BD297,IF(F299="SEAGREEN",PR!$BE297,IF(F299="SKG",PR!$BF297,IF(F299="TAH",PR!$BG297,IF(F299="TAYLEK",PR!$BH297,IF(F299="TEMITA",PR!$BI297,IF(F299="THL",PR!$BJ297,IF(F299="UBASTIC",PR!$BK297,IF(F299="UNION",PR!$BL297,IF(F299="UNIQUE",PR!$BM297,IF(F299="VIXA",PR!$BN297,IF(F299="WWCV",PR!$BO297,IF(F299="ZOLON",PR!$BP297,"-"))))))))))))))))))))))))))))))))))))))))))))))))))))))))))))))))</f>
        <v>-</v>
      </c>
      <c r="F299" s="102">
        <f>EV!L384</f>
        <v>0</v>
      </c>
      <c r="G299" s="108" t="str">
        <f>IF(H299="ALPHA",PR!$E297,IF(H299="ASSENE",PR!$F297,IF(H299="BIOFEM",PR!$G297,IF(H299="BIOMED",PR!$H297,IF(H299="CHI",PR!$I297,IF(H299="CLARION",PR!$J297,IF(H299="CODIX",PR!$K297,IF(H299="COSMADE",PR!$L297,IF(H299="SANCON",PR!$M297,IF(H299="DEVON",PR!$N297,IF(H299="DORTEMAG",PR!$O297,IF(H299="DGF",PR!$P297,IF(H299="DYNAMIC",PR!$Q297,IF(H299="EMZOR",PR!$R297,IF(H299="EUMATT",PR!$S297,IF(H299="FIDSON",PR!$T297,IF(H299="FCGLOBAL",PR!$U297,IF(H299="GENEITH",PR!$V297,IF(H299="GINOS",PR!$W297,IF(H299="GSK",PR!$X297,IF(H299="GLOBORG",PR!$Y297,IF(H299="GOODNEWS",PR!$Z297,IF(H299="GREENLIFE",PR!$AA297,IF(H299="HLINE",PR!$AB297,IF(H299="ROTECH",PR!$AC297,IF(H299="ISN",PR!$AD297,IF(H299="JAWA",PR!$AE297,IF(H299="LAYO",PR!$AF297,IF(H299="LEADWAY",PR!$AG297,IF(H299="LHV",PR!$AH297,IF(H299="MANOLA",PR!$AI297,IF(H299="MARCSON",PR!$AJ297,IF(H299="M&amp;B",PR!$AK297,IF(H299="MTRUST",PR!$AL297,IF(H299="MWORLD",PR!$AM297,IF(H299="MEGA",PR!$AN297,IF(H299="MICRONOVA",PR!$AO297,IF(H299="MFLASH",PR!$AP297,IF(H299="MORISON",PR!$AQ297,IF(H299="NEMEL",PR!$AR297,IF(H299="NHP",PR!$AS297,IF(H299="NHC",PR!$AT297,IF(H299="OLEAF",PR!$AU297,IF(H299="OCULUS",PR!$AV297,IF(H299="PACIFIC",PR!$AW297,IF(H299="PHAMATEX",PR!$AX297,IF(H299="PETHICS",PR!$AY297,IF(H299="PHILIPS",PR!$AZ297,IF(H299="RANBAXY",PR!$BA297,IF(H299="REALS",PR!$BB297,IF(H299="ROYAL",PR!$BC297,IF(H299="SAM",PR!$BD297,IF(H299="SEAGREEN",PR!$BE297,IF(H299="SKG",PR!$BF297,IF(H299="TAH",PR!$BG297,IF(H299="TAYLEK",PR!$BH297,IF(H299="TEMITA",PR!$BI297,IF(H299="THL",PR!$BJ297,IF(H299="UBASTIC",PR!$BK297,IF(H299="UNION",PR!$BL297,IF(H299="UNIQUE",PR!$BM297,IF(H299="VIXA",PR!$BN297,IF(H299="WWCV",PR!$BO297,IF(H299="ZOLON",PR!$BP297,"-"))))))))))))))))))))))))))))))))))))))))))))))))))))))))))))))))</f>
        <v>-</v>
      </c>
      <c r="H299" s="102">
        <f>EV!M384</f>
        <v>0</v>
      </c>
      <c r="I299" s="108" t="str">
        <f>IF(J299="ALPHA",PR!$E297,IF(J299="ASSENE",PR!$F297,IF(J299="BIOFEM",PR!$G297,IF(J299="BIOMED",PR!$H297,IF(J299="CHI",PR!$I297,IF(J299="CLARION",PR!$J297,IF(J299="CODIX",PR!$K297,IF(J299="COSMADE",PR!$L297,IF(J299="SANCON",PR!$M297,IF(J299="DEVON",PR!$N297,IF(J299="DORTEMAG",PR!$O297,IF(J299="DGF",PR!$P297,IF(J299="DYNAMIC",PR!$Q297,IF(J299="EMZOR",PR!$R297,IF(J299="EUMATT",PR!$S297,IF(J299="FIDSON",PR!$T297,IF(J299="FCGLOBAL",PR!$U297,IF(J299="GENEITH",PR!$V297,IF(J299="GINOS",PR!$W297,IF(J299="GSK",PR!$X297,IF(J299="GLOBORG",PR!$Y297,IF(J299="GOODNEWS",PR!$Z297,IF(J299="GREENLIFE",PR!$AA297,IF(J299="HLINE",PR!$AB297,IF(J299="ROTECH",PR!$AC297,IF(J299="ISN",PR!$AD297,IF(J299="JAWA",PR!$AE297,IF(J299="LAYO",PR!$AF297,IF(J299="LEADWAY",PR!$AG297,IF(J299="LHV",PR!$AH297,IF(J299="MANOLA",PR!$AI297,IF(J299="MARCSON",PR!$AJ297,IF(J299="M&amp;B",PR!$AK297,IF(J299="MTRUST",PR!$AL297,IF(J299="MWORLD",PR!$AM297,IF(J299="MEGA",PR!$AN297,IF(J299="MICRONOVA",PR!$AO297,IF(J299="MFLASH",PR!$AP297,IF(J299="MORISON",PR!$AQ297,IF(J299="NEMEL",PR!$AR297,IF(J299="NHP",PR!$AS297,IF(J299="NHC",PR!$AT297,IF(J299="OLEAF",PR!$AU297,IF(J299="OCULUS",PR!$AV297,IF(J299="PACIFIC",PR!$AW297,IF(J299="PHAMATEX",PR!$AX297,IF(J299="PETHICS",PR!$AY297,IF(J299="PHILIPS",PR!$AZ297,IF(J299="RANBAXY",PR!$BA297,IF(J299="REALS",PR!$BB297,IF(J299="ROYAL",PR!$BC297,IF(J299="SAM",PR!$BD297,IF(J299="SEAGREEN",PR!$BE297,IF(J299="SKG",PR!$BF297,IF(J299="TAH",PR!$BG297,IF(J299="TAYLEK",PR!$BH297,IF(J299="TEMITA",PR!$BI297,IF(J299="THL",PR!$BJ297,IF(J299="UBASTIC",PR!$BK297,IF(J299="UNION",PR!$BL297,IF(J299="UNIQUE",PR!$BM297,IF(J299="VIXA",PR!$BN297,IF(J299="WWCV",PR!$BO297,IF(J299="ZOLON",PR!$BP297,"-"))))))))))))))))))))))))))))))))))))))))))))))))))))))))))))))))</f>
        <v>-</v>
      </c>
      <c r="J299" s="102">
        <f>EV!N384</f>
        <v>0</v>
      </c>
      <c r="K299" s="433"/>
      <c r="L299" s="183" t="b">
        <f>IF(K299&gt;0,IF(K299="ALPHA",PR!$E297,IF(K299="ASSENE",PR!$F297,IF(K299="BIOFEM",PR!$G297,IF(K299="BIOMED",PR!$H297,IF(K299="CHI",PR!$I297,IF(K299="CLARION",PR!$J297,IF(K299="CODIX",PR!$K297,IF(K299="COSMADE",PR!$L297,IF(K299="SANCON",PR!$M297,IF(K299="DEVON",PR!$N297,IF(K299="DORTEMAG",PR!$O297,IF(K299="DGF",PR!$P297,IF(K299="DYNAMIC",PR!$Q297,IF(K299="EMZOR",PR!$R297,IF(K299="EUMATT",PR!$S297,IF(K299="FIDSON",PR!$T297,IF(K299="FCGLOBAL",PR!$U297,IF(K299="GENEITH",PR!$V297,IF(K299="GINOS",PR!$W297,IF(K299="GSK",PR!$X297,IF(K299="GLOBORG",PR!$Y297,IF(K299="GOODNEWS",PR!$Z297,IF(K299="GREENLIFE",PR!$AA297,IF(K299="HLINE",PR!$AB297,IF(K299="ROTECH",PR!$AC297,IF(K299="ISN",PR!$AD297,IF(K299="JAWA",PR!$AE297,IF(K299="LAYO",PR!$AF297,IF(K299="LEADWAY",PR!$AG297,IF(K299="LHV",PR!$AH297,IF(K299="MANOLA",PR!$AI297,IF(K299="MARCSON",PR!$AJ297,IF(K299="M&amp;B",PR!$AK297,IF(K299="MTRUST",PR!$AL297,IF(K299="MWORLD",PR!$AM297,IF(K299="MEGA",PR!$AN297,IF(K299="MICRONOVA",PR!$AO297,IF(K299="MFLASH",PR!$AP297,IF(K299="MORISON",PR!$AQ297,IF(K299="NEMEL",PR!$AR297,IF(K299="NHP",PR!$AS297,IF(K299="NHC",PR!$AT297,IF(K299="OLEAF",PR!$AU297,IF(K299="OCULUS",PR!$AV297,IF(K299="PACIFIC",PR!$AW297,IF(K299="PHAMATEX",PR!$AX297,IF(K299="PETHICS",PR!$AY297,IF(K299="PHILIPS",PR!$AZ297,IF(K299="RANBAXY",PR!$BA297,IF(K299="REALS",PR!$BB297,IF(K299="ROYAL",PR!$BC297,IF(K299="SAM",PR!$BD297,IF(K299="SEAGREEN",PR!$BE297,IF(K299="SKG",PR!$BF297,IF(K299="TAH",PR!$BG297,IF(K299="TAYLEK",PR!$BH297,IF(K299="TEMITA",PR!$BI297,IF(K299="THL",PR!$BJ297,IF(K299="UBASTIC",PR!$BK297,IF(K299="UNION",PR!$BL297,IF(K299="UNIQUE",PR!$BM297,IF(K299="VIXA",PR!$BN297,IF(K299="WWCV",PR!$BO297,IF(K299="ZOLON",PR!$BP297,"-")))))))))))))))))))))))))))))))))))))))))))))))))))))))))))))))))</f>
        <v>0</v>
      </c>
    </row>
    <row r="300" spans="1:12" ht="18.75" x14ac:dyDescent="0.3">
      <c r="A300" s="430">
        <f>PR!A298</f>
        <v>274</v>
      </c>
      <c r="B300" s="15" t="str">
        <f>PR!B298</f>
        <v>OFLOXACIN 200MG TAB</v>
      </c>
      <c r="C300" s="113">
        <f>PR!D298</f>
        <v>10</v>
      </c>
      <c r="D300" s="113">
        <f>PR!C298</f>
        <v>1600</v>
      </c>
      <c r="E300" s="108">
        <f>IF(F300="ALPHA",PR!$E298,IF(F300="ASSENE",PR!$F298,IF(F300="BIOFEM",PR!$G298,IF(F300="BIOMED",PR!$H298,IF(F300="CHI",PR!$I298,IF(F300="CLARION",PR!$J298,IF(F300="CODIX",PR!$K298,IF(F300="COSMADE",PR!$L298,IF(F300="SANCON",PR!$M298,IF(F300="DEVON",PR!$N298,IF(F300="DORTEMAG",PR!$O298,IF(F300="DGF",PR!$P298,IF(F300="DYNAMIC",PR!$Q298,IF(F300="EMZOR",PR!$R298,IF(F300="EUMATT",PR!$S298,IF(F300="FIDSON",PR!$T298,IF(F300="FCGLOBAL",PR!$U298,IF(F300="GENEITH",PR!$V298,IF(F300="GINOS",PR!$W298,IF(F300="GSK",PR!$X298,IF(F300="GLOBORG",PR!$Y298,IF(F300="GOODNEWS",PR!$Z298,IF(F300="GREENLIFE",PR!$AA298,IF(F300="HLINE",PR!$AB298,IF(F300="ROTECH",PR!$AC298,IF(F300="ISN",PR!$AD298,IF(F300="JAWA",PR!$AE298,IF(F300="LAYO",PR!$AF298,IF(F300="LEADWAY",PR!$AG298,IF(F300="LHV",PR!$AH298,IF(F300="MANOLA",PR!$AI298,IF(F300="MARCSON",PR!$AJ298,IF(F300="M&amp;B",PR!$AK298,IF(F300="MTRUST",PR!$AL298,IF(F300="MWORLD",PR!$AM298,IF(F300="MEGA",PR!$AN298,IF(F300="MICRONOVA",PR!$AO298,IF(F300="MFLASH",PR!$AP298,IF(F300="MORISON",PR!$AQ298,IF(F300="NEMEL",PR!$AR298,IF(F300="NHP",PR!$AS298,IF(F300="NHC",PR!$AT298,IF(F300="OLEAF",PR!$AU298,IF(F300="OCULUS",PR!$AV298,IF(F300="PACIFIC",PR!$AW298,IF(F300="PHAMATEX",PR!$AX298,IF(F300="PETHICS",PR!$AY298,IF(F300="PHILIPS",PR!$AZ298,IF(F300="RANBAXY",PR!$BA298,IF(F300="REALS",PR!$BB298,IF(F300="ROYAL",PR!$BC298,IF(F300="SAM",PR!$BD298,IF(F300="SEAGREEN",PR!$BE298,IF(F300="SKG",PR!$BF298,IF(F300="TAH",PR!$BG298,IF(F300="TAYLEK",PR!$BH298,IF(F300="TEMITA",PR!$BI298,IF(F300="THL",PR!$BJ298,IF(F300="UBASTIC",PR!$BK298,IF(F300="UNION",PR!$BL298,IF(F300="UNIQUE",PR!$BM298,IF(F300="VIXA",PR!$BN298,IF(F300="WWCV",PR!$BO298,IF(F300="ZOLON",PR!$BP298,"-"))))))))))))))))))))))))))))))))))))))))))))))))))))))))))))))))</f>
        <v>180</v>
      </c>
      <c r="F300" s="102" t="str">
        <f>EV!L385</f>
        <v>TAH</v>
      </c>
      <c r="G300" s="108">
        <f>IF(H300="ALPHA",PR!$E298,IF(H300="ASSENE",PR!$F298,IF(H300="BIOFEM",PR!$G298,IF(H300="BIOMED",PR!$H298,IF(H300="CHI",PR!$I298,IF(H300="CLARION",PR!$J298,IF(H300="CODIX",PR!$K298,IF(H300="COSMADE",PR!$L298,IF(H300="SANCON",PR!$M298,IF(H300="DEVON",PR!$N298,IF(H300="DORTEMAG",PR!$O298,IF(H300="DGF",PR!$P298,IF(H300="DYNAMIC",PR!$Q298,IF(H300="EMZOR",PR!$R298,IF(H300="EUMATT",PR!$S298,IF(H300="FIDSON",PR!$T298,IF(H300="FCGLOBAL",PR!$U298,IF(H300="GENEITH",PR!$V298,IF(H300="GINOS",PR!$W298,IF(H300="GSK",PR!$X298,IF(H300="GLOBORG",PR!$Y298,IF(H300="GOODNEWS",PR!$Z298,IF(H300="GREENLIFE",PR!$AA298,IF(H300="HLINE",PR!$AB298,IF(H300="ROTECH",PR!$AC298,IF(H300="ISN",PR!$AD298,IF(H300="JAWA",PR!$AE298,IF(H300="LAYO",PR!$AF298,IF(H300="LEADWAY",PR!$AG298,IF(H300="LHV",PR!$AH298,IF(H300="MANOLA",PR!$AI298,IF(H300="MARCSON",PR!$AJ298,IF(H300="M&amp;B",PR!$AK298,IF(H300="MTRUST",PR!$AL298,IF(H300="MWORLD",PR!$AM298,IF(H300="MEGA",PR!$AN298,IF(H300="MICRONOVA",PR!$AO298,IF(H300="MFLASH",PR!$AP298,IF(H300="MORISON",PR!$AQ298,IF(H300="NEMEL",PR!$AR298,IF(H300="NHP",PR!$AS298,IF(H300="NHC",PR!$AT298,IF(H300="OLEAF",PR!$AU298,IF(H300="OCULUS",PR!$AV298,IF(H300="PACIFIC",PR!$AW298,IF(H300="PHAMATEX",PR!$AX298,IF(H300="PETHICS",PR!$AY298,IF(H300="PHILIPS",PR!$AZ298,IF(H300="RANBAXY",PR!$BA298,IF(H300="REALS",PR!$BB298,IF(H300="ROYAL",PR!$BC298,IF(H300="SAM",PR!$BD298,IF(H300="SEAGREEN",PR!$BE298,IF(H300="SKG",PR!$BF298,IF(H300="TAH",PR!$BG298,IF(H300="TAYLEK",PR!$BH298,IF(H300="TEMITA",PR!$BI298,IF(H300="THL",PR!$BJ298,IF(H300="UBASTIC",PR!$BK298,IF(H300="UNION",PR!$BL298,IF(H300="UNIQUE",PR!$BM298,IF(H300="VIXA",PR!$BN298,IF(H300="WWCV",PR!$BO298,IF(H300="ZOLON",PR!$BP298,"-"))))))))))))))))))))))))))))))))))))))))))))))))))))))))))))))))</f>
        <v>200</v>
      </c>
      <c r="H300" s="102" t="str">
        <f>EV!M385</f>
        <v>EUMATT</v>
      </c>
      <c r="I300" s="108">
        <f>IF(J300="ALPHA",PR!$E298,IF(J300="ASSENE",PR!$F298,IF(J300="BIOFEM",PR!$G298,IF(J300="BIOMED",PR!$H298,IF(J300="CHI",PR!$I298,IF(J300="CLARION",PR!$J298,IF(J300="CODIX",PR!$K298,IF(J300="COSMADE",PR!$L298,IF(J300="SANCON",PR!$M298,IF(J300="DEVON",PR!$N298,IF(J300="DORTEMAG",PR!$O298,IF(J300="DGF",PR!$P298,IF(J300="DYNAMIC",PR!$Q298,IF(J300="EMZOR",PR!$R298,IF(J300="EUMATT",PR!$S298,IF(J300="FIDSON",PR!$T298,IF(J300="FCGLOBAL",PR!$U298,IF(J300="GENEITH",PR!$V298,IF(J300="GINOS",PR!$W298,IF(J300="GSK",PR!$X298,IF(J300="GLOBORG",PR!$Y298,IF(J300="GOODNEWS",PR!$Z298,IF(J300="GREENLIFE",PR!$AA298,IF(J300="HLINE",PR!$AB298,IF(J300="ROTECH",PR!$AC298,IF(J300="ISN",PR!$AD298,IF(J300="JAWA",PR!$AE298,IF(J300="LAYO",PR!$AF298,IF(J300="LEADWAY",PR!$AG298,IF(J300="LHV",PR!$AH298,IF(J300="MANOLA",PR!$AI298,IF(J300="MARCSON",PR!$AJ298,IF(J300="M&amp;B",PR!$AK298,IF(J300="MTRUST",PR!$AL298,IF(J300="MWORLD",PR!$AM298,IF(J300="MEGA",PR!$AN298,IF(J300="MICRONOVA",PR!$AO298,IF(J300="MFLASH",PR!$AP298,IF(J300="MORISON",PR!$AQ298,IF(J300="NEMEL",PR!$AR298,IF(J300="NHP",PR!$AS298,IF(J300="NHC",PR!$AT298,IF(J300="OLEAF",PR!$AU298,IF(J300="OCULUS",PR!$AV298,IF(J300="PACIFIC",PR!$AW298,IF(J300="PHAMATEX",PR!$AX298,IF(J300="PETHICS",PR!$AY298,IF(J300="PHILIPS",PR!$AZ298,IF(J300="RANBAXY",PR!$BA298,IF(J300="REALS",PR!$BB298,IF(J300="ROYAL",PR!$BC298,IF(J300="SAM",PR!$BD298,IF(J300="SEAGREEN",PR!$BE298,IF(J300="SKG",PR!$BF298,IF(J300="TAH",PR!$BG298,IF(J300="TAYLEK",PR!$BH298,IF(J300="TEMITA",PR!$BI298,IF(J300="THL",PR!$BJ298,IF(J300="UBASTIC",PR!$BK298,IF(J300="UNION",PR!$BL298,IF(J300="UNIQUE",PR!$BM298,IF(J300="VIXA",PR!$BN298,IF(J300="WWCV",PR!$BO298,IF(J300="ZOLON",PR!$BP298,"-"))))))))))))))))))))))))))))))))))))))))))))))))))))))))))))))))</f>
        <v>280</v>
      </c>
      <c r="J300" s="102" t="str">
        <f>EV!N385</f>
        <v>SEAGREEN</v>
      </c>
      <c r="K300" s="433" t="s">
        <v>616</v>
      </c>
      <c r="L300" s="183">
        <f>IF(K300&gt;0,IF(K300="ALPHA",PR!$E298,IF(K300="ASSENE",PR!$F298,IF(K300="BIOFEM",PR!$G298,IF(K300="BIOMED",PR!$H298,IF(K300="CHI",PR!$I298,IF(K300="CLARION",PR!$J298,IF(K300="CODIX",PR!$K298,IF(K300="COSMADE",PR!$L298,IF(K300="SANCON",PR!$M298,IF(K300="DEVON",PR!$N298,IF(K300="DORTEMAG",PR!$O298,IF(K300="DGF",PR!$P298,IF(K300="DYNAMIC",PR!$Q298,IF(K300="EMZOR",PR!$R298,IF(K300="EUMATT",PR!$S298,IF(K300="FIDSON",PR!$T298,IF(K300="FCGLOBAL",PR!$U298,IF(K300="GENEITH",PR!$V298,IF(K300="GINOS",PR!$W298,IF(K300="GSK",PR!$X298,IF(K300="GLOBORG",PR!$Y298,IF(K300="GOODNEWS",PR!$Z298,IF(K300="GREENLIFE",PR!$AA298,IF(K300="HLINE",PR!$AB298,IF(K300="ROTECH",PR!$AC298,IF(K300="ISN",PR!$AD298,IF(K300="JAWA",PR!$AE298,IF(K300="LAYO",PR!$AF298,IF(K300="LEADWAY",PR!$AG298,IF(K300="LHV",PR!$AH298,IF(K300="MANOLA",PR!$AI298,IF(K300="MARCSON",PR!$AJ298,IF(K300="M&amp;B",PR!$AK298,IF(K300="MTRUST",PR!$AL298,IF(K300="MWORLD",PR!$AM298,IF(K300="MEGA",PR!$AN298,IF(K300="MICRONOVA",PR!$AO298,IF(K300="MFLASH",PR!$AP298,IF(K300="MORISON",PR!$AQ298,IF(K300="NEMEL",PR!$AR298,IF(K300="NHP",PR!$AS298,IF(K300="NHC",PR!$AT298,IF(K300="OLEAF",PR!$AU298,IF(K300="OCULUS",PR!$AV298,IF(K300="PACIFIC",PR!$AW298,IF(K300="PHAMATEX",PR!$AX298,IF(K300="PETHICS",PR!$AY298,IF(K300="PHILIPS",PR!$AZ298,IF(K300="RANBAXY",PR!$BA298,IF(K300="REALS",PR!$BB298,IF(K300="ROYAL",PR!$BC298,IF(K300="SAM",PR!$BD298,IF(K300="SEAGREEN",PR!$BE298,IF(K300="SKG",PR!$BF298,IF(K300="TAH",PR!$BG298,IF(K300="TAYLEK",PR!$BH298,IF(K300="TEMITA",PR!$BI298,IF(K300="THL",PR!$BJ298,IF(K300="UBASTIC",PR!$BK298,IF(K300="UNION",PR!$BL298,IF(K300="UNIQUE",PR!$BM298,IF(K300="VIXA",PR!$BN298,IF(K300="WWCV",PR!$BO298,IF(K300="ZOLON",PR!$BP298,"-")))))))))))))))))))))))))))))))))))))))))))))))))))))))))))))))))</f>
        <v>402.93</v>
      </c>
    </row>
    <row r="301" spans="1:12" ht="18.75" x14ac:dyDescent="0.3">
      <c r="A301" s="430">
        <f>PR!A299</f>
        <v>275</v>
      </c>
      <c r="B301" s="15" t="str">
        <f>PR!B299</f>
        <v>OFLOXACIN INJ</v>
      </c>
      <c r="C301" s="113" t="str">
        <f>PR!D299</f>
        <v>BOTT</v>
      </c>
      <c r="D301" s="113">
        <f>PR!C299</f>
        <v>100</v>
      </c>
      <c r="E301" s="108" t="str">
        <f>IF(F301="ALPHA",PR!$E299,IF(F301="ASSENE",PR!$F299,IF(F301="BIOFEM",PR!$G299,IF(F301="BIOMED",PR!$H299,IF(F301="CHI",PR!$I299,IF(F301="CLARION",PR!$J299,IF(F301="CODIX",PR!$K299,IF(F301="COSMADE",PR!$L299,IF(F301="SANCON",PR!$M299,IF(F301="DEVON",PR!$N299,IF(F301="DORTEMAG",PR!$O299,IF(F301="DGF",PR!$P299,IF(F301="DYNAMIC",PR!$Q299,IF(F301="EMZOR",PR!$R299,IF(F301="EUMATT",PR!$S299,IF(F301="FIDSON",PR!$T299,IF(F301="FCGLOBAL",PR!$U299,IF(F301="GENEITH",PR!$V299,IF(F301="GINOS",PR!$W299,IF(F301="GSK",PR!$X299,IF(F301="GLOBORG",PR!$Y299,IF(F301="GOODNEWS",PR!$Z299,IF(F301="GREENLIFE",PR!$AA299,IF(F301="HLINE",PR!$AB299,IF(F301="ROTECH",PR!$AC299,IF(F301="ISN",PR!$AD299,IF(F301="JAWA",PR!$AE299,IF(F301="LAYO",PR!$AF299,IF(F301="LEADWAY",PR!$AG299,IF(F301="LHV",PR!$AH299,IF(F301="MANOLA",PR!$AI299,IF(F301="MARCSON",PR!$AJ299,IF(F301="M&amp;B",PR!$AK299,IF(F301="MTRUST",PR!$AL299,IF(F301="MWORLD",PR!$AM299,IF(F301="MEGA",PR!$AN299,IF(F301="MICRONOVA",PR!$AO299,IF(F301="MFLASH",PR!$AP299,IF(F301="MORISON",PR!$AQ299,IF(F301="NEMEL",PR!$AR299,IF(F301="NHP",PR!$AS299,IF(F301="NHC",PR!$AT299,IF(F301="OLEAF",PR!$AU299,IF(F301="OCULUS",PR!$AV299,IF(F301="PACIFIC",PR!$AW299,IF(F301="PHAMATEX",PR!$AX299,IF(F301="PETHICS",PR!$AY299,IF(F301="PHILIPS",PR!$AZ299,IF(F301="RANBAXY",PR!$BA299,IF(F301="REALS",PR!$BB299,IF(F301="ROYAL",PR!$BC299,IF(F301="SAM",PR!$BD299,IF(F301="SEAGREEN",PR!$BE299,IF(F301="SKG",PR!$BF299,IF(F301="TAH",PR!$BG299,IF(F301="TAYLEK",PR!$BH299,IF(F301="TEMITA",PR!$BI299,IF(F301="THL",PR!$BJ299,IF(F301="UBASTIC",PR!$BK299,IF(F301="UNION",PR!$BL299,IF(F301="UNIQUE",PR!$BM299,IF(F301="VIXA",PR!$BN299,IF(F301="WWCV",PR!$BO299,IF(F301="ZOLON",PR!$BP299,"-"))))))))))))))))))))))))))))))))))))))))))))))))))))))))))))))))</f>
        <v>-</v>
      </c>
      <c r="F301" s="102">
        <f>EV!L386</f>
        <v>0</v>
      </c>
      <c r="G301" s="108" t="str">
        <f>IF(H301="ALPHA",PR!$E299,IF(H301="ASSENE",PR!$F299,IF(H301="BIOFEM",PR!$G299,IF(H301="BIOMED",PR!$H299,IF(H301="CHI",PR!$I299,IF(H301="CLARION",PR!$J299,IF(H301="CODIX",PR!$K299,IF(H301="COSMADE",PR!$L299,IF(H301="SANCON",PR!$M299,IF(H301="DEVON",PR!$N299,IF(H301="DORTEMAG",PR!$O299,IF(H301="DGF",PR!$P299,IF(H301="DYNAMIC",PR!$Q299,IF(H301="EMZOR",PR!$R299,IF(H301="EUMATT",PR!$S299,IF(H301="FIDSON",PR!$T299,IF(H301="FCGLOBAL",PR!$U299,IF(H301="GENEITH",PR!$V299,IF(H301="GINOS",PR!$W299,IF(H301="GSK",PR!$X299,IF(H301="GLOBORG",PR!$Y299,IF(H301="GOODNEWS",PR!$Z299,IF(H301="GREENLIFE",PR!$AA299,IF(H301="HLINE",PR!$AB299,IF(H301="ROTECH",PR!$AC299,IF(H301="ISN",PR!$AD299,IF(H301="JAWA",PR!$AE299,IF(H301="LAYO",PR!$AF299,IF(H301="LEADWAY",PR!$AG299,IF(H301="LHV",PR!$AH299,IF(H301="MANOLA",PR!$AI299,IF(H301="MARCSON",PR!$AJ299,IF(H301="M&amp;B",PR!$AK299,IF(H301="MTRUST",PR!$AL299,IF(H301="MWORLD",PR!$AM299,IF(H301="MEGA",PR!$AN299,IF(H301="MICRONOVA",PR!$AO299,IF(H301="MFLASH",PR!$AP299,IF(H301="MORISON",PR!$AQ299,IF(H301="NEMEL",PR!$AR299,IF(H301="NHP",PR!$AS299,IF(H301="NHC",PR!$AT299,IF(H301="OLEAF",PR!$AU299,IF(H301="OCULUS",PR!$AV299,IF(H301="PACIFIC",PR!$AW299,IF(H301="PHAMATEX",PR!$AX299,IF(H301="PETHICS",PR!$AY299,IF(H301="PHILIPS",PR!$AZ299,IF(H301="RANBAXY",PR!$BA299,IF(H301="REALS",PR!$BB299,IF(H301="ROYAL",PR!$BC299,IF(H301="SAM",PR!$BD299,IF(H301="SEAGREEN",PR!$BE299,IF(H301="SKG",PR!$BF299,IF(H301="TAH",PR!$BG299,IF(H301="TAYLEK",PR!$BH299,IF(H301="TEMITA",PR!$BI299,IF(H301="THL",PR!$BJ299,IF(H301="UBASTIC",PR!$BK299,IF(H301="UNION",PR!$BL299,IF(H301="UNIQUE",PR!$BM299,IF(H301="VIXA",PR!$BN299,IF(H301="WWCV",PR!$BO299,IF(H301="ZOLON",PR!$BP299,"-"))))))))))))))))))))))))))))))))))))))))))))))))))))))))))))))))</f>
        <v>-</v>
      </c>
      <c r="H301" s="102">
        <f>EV!M386</f>
        <v>0</v>
      </c>
      <c r="I301" s="108" t="str">
        <f>IF(J301="ALPHA",PR!$E299,IF(J301="ASSENE",PR!$F299,IF(J301="BIOFEM",PR!$G299,IF(J301="BIOMED",PR!$H299,IF(J301="CHI",PR!$I299,IF(J301="CLARION",PR!$J299,IF(J301="CODIX",PR!$K299,IF(J301="COSMADE",PR!$L299,IF(J301="SANCON",PR!$M299,IF(J301="DEVON",PR!$N299,IF(J301="DORTEMAG",PR!$O299,IF(J301="DGF",PR!$P299,IF(J301="DYNAMIC",PR!$Q299,IF(J301="EMZOR",PR!$R299,IF(J301="EUMATT",PR!$S299,IF(J301="FIDSON",PR!$T299,IF(J301="FCGLOBAL",PR!$U299,IF(J301="GENEITH",PR!$V299,IF(J301="GINOS",PR!$W299,IF(J301="GSK",PR!$X299,IF(J301="GLOBORG",PR!$Y299,IF(J301="GOODNEWS",PR!$Z299,IF(J301="GREENLIFE",PR!$AA299,IF(J301="HLINE",PR!$AB299,IF(J301="ROTECH",PR!$AC299,IF(J301="ISN",PR!$AD299,IF(J301="JAWA",PR!$AE299,IF(J301="LAYO",PR!$AF299,IF(J301="LEADWAY",PR!$AG299,IF(J301="LHV",PR!$AH299,IF(J301="MANOLA",PR!$AI299,IF(J301="MARCSON",PR!$AJ299,IF(J301="M&amp;B",PR!$AK299,IF(J301="MTRUST",PR!$AL299,IF(J301="MWORLD",PR!$AM299,IF(J301="MEGA",PR!$AN299,IF(J301="MICRONOVA",PR!$AO299,IF(J301="MFLASH",PR!$AP299,IF(J301="MORISON",PR!$AQ299,IF(J301="NEMEL",PR!$AR299,IF(J301="NHP",PR!$AS299,IF(J301="NHC",PR!$AT299,IF(J301="OLEAF",PR!$AU299,IF(J301="OCULUS",PR!$AV299,IF(J301="PACIFIC",PR!$AW299,IF(J301="PHAMATEX",PR!$AX299,IF(J301="PETHICS",PR!$AY299,IF(J301="PHILIPS",PR!$AZ299,IF(J301="RANBAXY",PR!$BA299,IF(J301="REALS",PR!$BB299,IF(J301="ROYAL",PR!$BC299,IF(J301="SAM",PR!$BD299,IF(J301="SEAGREEN",PR!$BE299,IF(J301="SKG",PR!$BF299,IF(J301="TAH",PR!$BG299,IF(J301="TAYLEK",PR!$BH299,IF(J301="TEMITA",PR!$BI299,IF(J301="THL",PR!$BJ299,IF(J301="UBASTIC",PR!$BK299,IF(J301="UNION",PR!$BL299,IF(J301="UNIQUE",PR!$BM299,IF(J301="VIXA",PR!$BN299,IF(J301="WWCV",PR!$BO299,IF(J301="ZOLON",PR!$BP299,"-"))))))))))))))))))))))))))))))))))))))))))))))))))))))))))))))))</f>
        <v>-</v>
      </c>
      <c r="J301" s="102">
        <f>EV!N386</f>
        <v>0</v>
      </c>
      <c r="K301" s="433"/>
      <c r="L301" s="183" t="b">
        <f>IF(K301&gt;0,IF(K301="ALPHA",PR!$E299,IF(K301="ASSENE",PR!$F299,IF(K301="BIOFEM",PR!$G299,IF(K301="BIOMED",PR!$H299,IF(K301="CHI",PR!$I299,IF(K301="CLARION",PR!$J299,IF(K301="CODIX",PR!$K299,IF(K301="COSMADE",PR!$L299,IF(K301="SANCON",PR!$M299,IF(K301="DEVON",PR!$N299,IF(K301="DORTEMAG",PR!$O299,IF(K301="DGF",PR!$P299,IF(K301="DYNAMIC",PR!$Q299,IF(K301="EMZOR",PR!$R299,IF(K301="EUMATT",PR!$S299,IF(K301="FIDSON",PR!$T299,IF(K301="FCGLOBAL",PR!$U299,IF(K301="GENEITH",PR!$V299,IF(K301="GINOS",PR!$W299,IF(K301="GSK",PR!$X299,IF(K301="GLOBORG",PR!$Y299,IF(K301="GOODNEWS",PR!$Z299,IF(K301="GREENLIFE",PR!$AA299,IF(K301="HLINE",PR!$AB299,IF(K301="ROTECH",PR!$AC299,IF(K301="ISN",PR!$AD299,IF(K301="JAWA",PR!$AE299,IF(K301="LAYO",PR!$AF299,IF(K301="LEADWAY",PR!$AG299,IF(K301="LHV",PR!$AH299,IF(K301="MANOLA",PR!$AI299,IF(K301="MARCSON",PR!$AJ299,IF(K301="M&amp;B",PR!$AK299,IF(K301="MTRUST",PR!$AL299,IF(K301="MWORLD",PR!$AM299,IF(K301="MEGA",PR!$AN299,IF(K301="MICRONOVA",PR!$AO299,IF(K301="MFLASH",PR!$AP299,IF(K301="MORISON",PR!$AQ299,IF(K301="NEMEL",PR!$AR299,IF(K301="NHP",PR!$AS299,IF(K301="NHC",PR!$AT299,IF(K301="OLEAF",PR!$AU299,IF(K301="OCULUS",PR!$AV299,IF(K301="PACIFIC",PR!$AW299,IF(K301="PHAMATEX",PR!$AX299,IF(K301="PETHICS",PR!$AY299,IF(K301="PHILIPS",PR!$AZ299,IF(K301="RANBAXY",PR!$BA299,IF(K301="REALS",PR!$BB299,IF(K301="ROYAL",PR!$BC299,IF(K301="SAM",PR!$BD299,IF(K301="SEAGREEN",PR!$BE299,IF(K301="SKG",PR!$BF299,IF(K301="TAH",PR!$BG299,IF(K301="TAYLEK",PR!$BH299,IF(K301="TEMITA",PR!$BI299,IF(K301="THL",PR!$BJ299,IF(K301="UBASTIC",PR!$BK299,IF(K301="UNION",PR!$BL299,IF(K301="UNIQUE",PR!$BM299,IF(K301="VIXA",PR!$BN299,IF(K301="WWCV",PR!$BO299,IF(K301="ZOLON",PR!$BP299,"-")))))))))))))))))))))))))))))))))))))))))))))))))))))))))))))))))</f>
        <v>0</v>
      </c>
    </row>
    <row r="302" spans="1:12" ht="18.75" x14ac:dyDescent="0.3">
      <c r="A302" s="430">
        <f>PR!A300</f>
        <v>276</v>
      </c>
      <c r="B302" s="15" t="str">
        <f>PR!B300</f>
        <v>PYRAZINAMIDE 500MG TAB</v>
      </c>
      <c r="C302" s="113">
        <f>PR!D300</f>
        <v>1000</v>
      </c>
      <c r="D302" s="113">
        <f>PR!C300</f>
        <v>13</v>
      </c>
      <c r="E302" s="108">
        <f>IF(F302="ALPHA",PR!$E300,IF(F302="ASSENE",PR!$F300,IF(F302="BIOFEM",PR!$G300,IF(F302="BIOMED",PR!$H300,IF(F302="CHI",PR!$I300,IF(F302="CLARION",PR!$J300,IF(F302="CODIX",PR!$K300,IF(F302="COSMADE",PR!$L300,IF(F302="SANCON",PR!$M300,IF(F302="DEVON",PR!$N300,IF(F302="DORTEMAG",PR!$O300,IF(F302="DGF",PR!$P300,IF(F302="DYNAMIC",PR!$Q300,IF(F302="EMZOR",PR!$R300,IF(F302="EUMATT",PR!$S300,IF(F302="FIDSON",PR!$T300,IF(F302="FCGLOBAL",PR!$U300,IF(F302="GENEITH",PR!$V300,IF(F302="GINOS",PR!$W300,IF(F302="GSK",PR!$X300,IF(F302="GLOBORG",PR!$Y300,IF(F302="GOODNEWS",PR!$Z300,IF(F302="GREENLIFE",PR!$AA300,IF(F302="HLINE",PR!$AB300,IF(F302="ROTECH",PR!$AC300,IF(F302="ISN",PR!$AD300,IF(F302="JAWA",PR!$AE300,IF(F302="LAYO",PR!$AF300,IF(F302="LEADWAY",PR!$AG300,IF(F302="LHV",PR!$AH300,IF(F302="MANOLA",PR!$AI300,IF(F302="MARCSON",PR!$AJ300,IF(F302="M&amp;B",PR!$AK300,IF(F302="MTRUST",PR!$AL300,IF(F302="MWORLD",PR!$AM300,IF(F302="MEGA",PR!$AN300,IF(F302="MICRONOVA",PR!$AO300,IF(F302="MFLASH",PR!$AP300,IF(F302="MORISON",PR!$AQ300,IF(F302="NEMEL",PR!$AR300,IF(F302="NHP",PR!$AS300,IF(F302="NHC",PR!$AT300,IF(F302="OLEAF",PR!$AU300,IF(F302="OCULUS",PR!$AV300,IF(F302="PACIFIC",PR!$AW300,IF(F302="PHAMATEX",PR!$AX300,IF(F302="PETHICS",PR!$AY300,IF(F302="PHILIPS",PR!$AZ300,IF(F302="RANBAXY",PR!$BA300,IF(F302="REALS",PR!$BB300,IF(F302="ROYAL",PR!$BC300,IF(F302="SAM",PR!$BD300,IF(F302="SEAGREEN",PR!$BE300,IF(F302="SKG",PR!$BF300,IF(F302="TAH",PR!$BG300,IF(F302="TAYLEK",PR!$BH300,IF(F302="TEMITA",PR!$BI300,IF(F302="THL",PR!$BJ300,IF(F302="UBASTIC",PR!$BK300,IF(F302="UNION",PR!$BL300,IF(F302="UNIQUE",PR!$BM300,IF(F302="VIXA",PR!$BN300,IF(F302="WWCV",PR!$BO300,IF(F302="ZOLON",PR!$BP300,"-"))))))))))))))))))))))))))))))))))))))))))))))))))))))))))))))))</f>
        <v>12000</v>
      </c>
      <c r="F302" s="102" t="str">
        <f>EV!L387</f>
        <v>EUMATT</v>
      </c>
      <c r="G302" s="108" t="str">
        <f>IF(H302="ALPHA",PR!$E300,IF(H302="ASSENE",PR!$F300,IF(H302="BIOFEM",PR!$G300,IF(H302="BIOMED",PR!$H300,IF(H302="CHI",PR!$I300,IF(H302="CLARION",PR!$J300,IF(H302="CODIX",PR!$K300,IF(H302="COSMADE",PR!$L300,IF(H302="SANCON",PR!$M300,IF(H302="DEVON",PR!$N300,IF(H302="DORTEMAG",PR!$O300,IF(H302="DGF",PR!$P300,IF(H302="DYNAMIC",PR!$Q300,IF(H302="EMZOR",PR!$R300,IF(H302="EUMATT",PR!$S300,IF(H302="FIDSON",PR!$T300,IF(H302="FCGLOBAL",PR!$U300,IF(H302="GENEITH",PR!$V300,IF(H302="GINOS",PR!$W300,IF(H302="GSK",PR!$X300,IF(H302="GLOBORG",PR!$Y300,IF(H302="GOODNEWS",PR!$Z300,IF(H302="GREENLIFE",PR!$AA300,IF(H302="HLINE",PR!$AB300,IF(H302="ROTECH",PR!$AC300,IF(H302="ISN",PR!$AD300,IF(H302="JAWA",PR!$AE300,IF(H302="LAYO",PR!$AF300,IF(H302="LEADWAY",PR!$AG300,IF(H302="LHV",PR!$AH300,IF(H302="MANOLA",PR!$AI300,IF(H302="MARCSON",PR!$AJ300,IF(H302="M&amp;B",PR!$AK300,IF(H302="MTRUST",PR!$AL300,IF(H302="MWORLD",PR!$AM300,IF(H302="MEGA",PR!$AN300,IF(H302="MICRONOVA",PR!$AO300,IF(H302="MFLASH",PR!$AP300,IF(H302="MORISON",PR!$AQ300,IF(H302="NEMEL",PR!$AR300,IF(H302="NHP",PR!$AS300,IF(H302="NHC",PR!$AT300,IF(H302="OLEAF",PR!$AU300,IF(H302="OCULUS",PR!$AV300,IF(H302="PACIFIC",PR!$AW300,IF(H302="PHAMATEX",PR!$AX300,IF(H302="PETHICS",PR!$AY300,IF(H302="PHILIPS",PR!$AZ300,IF(H302="RANBAXY",PR!$BA300,IF(H302="REALS",PR!$BB300,IF(H302="ROYAL",PR!$BC300,IF(H302="SAM",PR!$BD300,IF(H302="SEAGREEN",PR!$BE300,IF(H302="SKG",PR!$BF300,IF(H302="TAH",PR!$BG300,IF(H302="TAYLEK",PR!$BH300,IF(H302="TEMITA",PR!$BI300,IF(H302="THL",PR!$BJ300,IF(H302="UBASTIC",PR!$BK300,IF(H302="UNION",PR!$BL300,IF(H302="UNIQUE",PR!$BM300,IF(H302="VIXA",PR!$BN300,IF(H302="WWCV",PR!$BO300,IF(H302="ZOLON",PR!$BP300,"-"))))))))))))))))))))))))))))))))))))))))))))))))))))))))))))))))</f>
        <v>-</v>
      </c>
      <c r="H302" s="102">
        <f>EV!M387</f>
        <v>0</v>
      </c>
      <c r="I302" s="108" t="str">
        <f>IF(J302="ALPHA",PR!$E300,IF(J302="ASSENE",PR!$F300,IF(J302="BIOFEM",PR!$G300,IF(J302="BIOMED",PR!$H300,IF(J302="CHI",PR!$I300,IF(J302="CLARION",PR!$J300,IF(J302="CODIX",PR!$K300,IF(J302="COSMADE",PR!$L300,IF(J302="SANCON",PR!$M300,IF(J302="DEVON",PR!$N300,IF(J302="DORTEMAG",PR!$O300,IF(J302="DGF",PR!$P300,IF(J302="DYNAMIC",PR!$Q300,IF(J302="EMZOR",PR!$R300,IF(J302="EUMATT",PR!$S300,IF(J302="FIDSON",PR!$T300,IF(J302="FCGLOBAL",PR!$U300,IF(J302="GENEITH",PR!$V300,IF(J302="GINOS",PR!$W300,IF(J302="GSK",PR!$X300,IF(J302="GLOBORG",PR!$Y300,IF(J302="GOODNEWS",PR!$Z300,IF(J302="GREENLIFE",PR!$AA300,IF(J302="HLINE",PR!$AB300,IF(J302="ROTECH",PR!$AC300,IF(J302="ISN",PR!$AD300,IF(J302="JAWA",PR!$AE300,IF(J302="LAYO",PR!$AF300,IF(J302="LEADWAY",PR!$AG300,IF(J302="LHV",PR!$AH300,IF(J302="MANOLA",PR!$AI300,IF(J302="MARCSON",PR!$AJ300,IF(J302="M&amp;B",PR!$AK300,IF(J302="MTRUST",PR!$AL300,IF(J302="MWORLD",PR!$AM300,IF(J302="MEGA",PR!$AN300,IF(J302="MICRONOVA",PR!$AO300,IF(J302="MFLASH",PR!$AP300,IF(J302="MORISON",PR!$AQ300,IF(J302="NEMEL",PR!$AR300,IF(J302="NHP",PR!$AS300,IF(J302="NHC",PR!$AT300,IF(J302="OLEAF",PR!$AU300,IF(J302="OCULUS",PR!$AV300,IF(J302="PACIFIC",PR!$AW300,IF(J302="PHAMATEX",PR!$AX300,IF(J302="PETHICS",PR!$AY300,IF(J302="PHILIPS",PR!$AZ300,IF(J302="RANBAXY",PR!$BA300,IF(J302="REALS",PR!$BB300,IF(J302="ROYAL",PR!$BC300,IF(J302="SAM",PR!$BD300,IF(J302="SEAGREEN",PR!$BE300,IF(J302="SKG",PR!$BF300,IF(J302="TAH",PR!$BG300,IF(J302="TAYLEK",PR!$BH300,IF(J302="TEMITA",PR!$BI300,IF(J302="THL",PR!$BJ300,IF(J302="UBASTIC",PR!$BK300,IF(J302="UNION",PR!$BL300,IF(J302="UNIQUE",PR!$BM300,IF(J302="VIXA",PR!$BN300,IF(J302="WWCV",PR!$BO300,IF(J302="ZOLON",PR!$BP300,"-"))))))))))))))))))))))))))))))))))))))))))))))))))))))))))))))))</f>
        <v>-</v>
      </c>
      <c r="J302" s="102">
        <f>EV!N387</f>
        <v>0</v>
      </c>
      <c r="K302" s="433"/>
      <c r="L302" s="183" t="b">
        <f>IF(K302&gt;0,IF(K302="ALPHA",PR!$E300,IF(K302="ASSENE",PR!$F300,IF(K302="BIOFEM",PR!$G300,IF(K302="BIOMED",PR!$H300,IF(K302="CHI",PR!$I300,IF(K302="CLARION",PR!$J300,IF(K302="CODIX",PR!$K300,IF(K302="COSMADE",PR!$L300,IF(K302="SANCON",PR!$M300,IF(K302="DEVON",PR!$N300,IF(K302="DORTEMAG",PR!$O300,IF(K302="DGF",PR!$P300,IF(K302="DYNAMIC",PR!$Q300,IF(K302="EMZOR",PR!$R300,IF(K302="EUMATT",PR!$S300,IF(K302="FIDSON",PR!$T300,IF(K302="FCGLOBAL",PR!$U300,IF(K302="GENEITH",PR!$V300,IF(K302="GINOS",PR!$W300,IF(K302="GSK",PR!$X300,IF(K302="GLOBORG",PR!$Y300,IF(K302="GOODNEWS",PR!$Z300,IF(K302="GREENLIFE",PR!$AA300,IF(K302="HLINE",PR!$AB300,IF(K302="ROTECH",PR!$AC300,IF(K302="ISN",PR!$AD300,IF(K302="JAWA",PR!$AE300,IF(K302="LAYO",PR!$AF300,IF(K302="LEADWAY",PR!$AG300,IF(K302="LHV",PR!$AH300,IF(K302="MANOLA",PR!$AI300,IF(K302="MARCSON",PR!$AJ300,IF(K302="M&amp;B",PR!$AK300,IF(K302="MTRUST",PR!$AL300,IF(K302="MWORLD",PR!$AM300,IF(K302="MEGA",PR!$AN300,IF(K302="MICRONOVA",PR!$AO300,IF(K302="MFLASH",PR!$AP300,IF(K302="MORISON",PR!$AQ300,IF(K302="NEMEL",PR!$AR300,IF(K302="NHP",PR!$AS300,IF(K302="NHC",PR!$AT300,IF(K302="OLEAF",PR!$AU300,IF(K302="OCULUS",PR!$AV300,IF(K302="PACIFIC",PR!$AW300,IF(K302="PHAMATEX",PR!$AX300,IF(K302="PETHICS",PR!$AY300,IF(K302="PHILIPS",PR!$AZ300,IF(K302="RANBAXY",PR!$BA300,IF(K302="REALS",PR!$BB300,IF(K302="ROYAL",PR!$BC300,IF(K302="SAM",PR!$BD300,IF(K302="SEAGREEN",PR!$BE300,IF(K302="SKG",PR!$BF300,IF(K302="TAH",PR!$BG300,IF(K302="TAYLEK",PR!$BH300,IF(K302="TEMITA",PR!$BI300,IF(K302="THL",PR!$BJ300,IF(K302="UBASTIC",PR!$BK300,IF(K302="UNION",PR!$BL300,IF(K302="UNIQUE",PR!$BM300,IF(K302="VIXA",PR!$BN300,IF(K302="WWCV",PR!$BO300,IF(K302="ZOLON",PR!$BP300,"-")))))))))))))))))))))))))))))))))))))))))))))))))))))))))))))))))</f>
        <v>0</v>
      </c>
    </row>
    <row r="303" spans="1:12" ht="18.75" x14ac:dyDescent="0.3">
      <c r="A303" s="430">
        <f>PR!A301</f>
        <v>277</v>
      </c>
      <c r="B303" s="15" t="str">
        <f>PR!B301</f>
        <v>RIFABUTIN 300GM TAB</v>
      </c>
      <c r="C303" s="113">
        <f>PR!D301</f>
        <v>100</v>
      </c>
      <c r="D303" s="113">
        <f>PR!C301</f>
        <v>50</v>
      </c>
      <c r="E303" s="108" t="str">
        <f>IF(F303="ALPHA",PR!$E301,IF(F303="ASSENE",PR!$F301,IF(F303="BIOFEM",PR!$G301,IF(F303="BIOMED",PR!$H301,IF(F303="CHI",PR!$I301,IF(F303="CLARION",PR!$J301,IF(F303="CODIX",PR!$K301,IF(F303="COSMADE",PR!$L301,IF(F303="SANCON",PR!$M301,IF(F303="DEVON",PR!$N301,IF(F303="DORTEMAG",PR!$O301,IF(F303="DGF",PR!$P301,IF(F303="DYNAMIC",PR!$Q301,IF(F303="EMZOR",PR!$R301,IF(F303="EUMATT",PR!$S301,IF(F303="FIDSON",PR!$T301,IF(F303="FCGLOBAL",PR!$U301,IF(F303="GENEITH",PR!$V301,IF(F303="GINOS",PR!$W301,IF(F303="GSK",PR!$X301,IF(F303="GLOBORG",PR!$Y301,IF(F303="GOODNEWS",PR!$Z301,IF(F303="GREENLIFE",PR!$AA301,IF(F303="HLINE",PR!$AB301,IF(F303="ROTECH",PR!$AC301,IF(F303="ISN",PR!$AD301,IF(F303="JAWA",PR!$AE301,IF(F303="LAYO",PR!$AF301,IF(F303="LEADWAY",PR!$AG301,IF(F303="LHV",PR!$AH301,IF(F303="MANOLA",PR!$AI301,IF(F303="MARCSON",PR!$AJ301,IF(F303="M&amp;B",PR!$AK301,IF(F303="MTRUST",PR!$AL301,IF(F303="MWORLD",PR!$AM301,IF(F303="MEGA",PR!$AN301,IF(F303="MICRONOVA",PR!$AO301,IF(F303="MFLASH",PR!$AP301,IF(F303="MORISON",PR!$AQ301,IF(F303="NEMEL",PR!$AR301,IF(F303="NHP",PR!$AS301,IF(F303="NHC",PR!$AT301,IF(F303="OLEAF",PR!$AU301,IF(F303="OCULUS",PR!$AV301,IF(F303="PACIFIC",PR!$AW301,IF(F303="PHAMATEX",PR!$AX301,IF(F303="PETHICS",PR!$AY301,IF(F303="PHILIPS",PR!$AZ301,IF(F303="RANBAXY",PR!$BA301,IF(F303="REALS",PR!$BB301,IF(F303="ROYAL",PR!$BC301,IF(F303="SAM",PR!$BD301,IF(F303="SEAGREEN",PR!$BE301,IF(F303="SKG",PR!$BF301,IF(F303="TAH",PR!$BG301,IF(F303="TAYLEK",PR!$BH301,IF(F303="TEMITA",PR!$BI301,IF(F303="THL",PR!$BJ301,IF(F303="UBASTIC",PR!$BK301,IF(F303="UNION",PR!$BL301,IF(F303="UNIQUE",PR!$BM301,IF(F303="VIXA",PR!$BN301,IF(F303="WWCV",PR!$BO301,IF(F303="ZOLON",PR!$BP301,"-"))))))))))))))))))))))))))))))))))))))))))))))))))))))))))))))))</f>
        <v>-</v>
      </c>
      <c r="F303" s="102">
        <f>EV!L388</f>
        <v>0</v>
      </c>
      <c r="G303" s="108" t="str">
        <f>IF(H303="ALPHA",PR!$E301,IF(H303="ASSENE",PR!$F301,IF(H303="BIOFEM",PR!$G301,IF(H303="BIOMED",PR!$H301,IF(H303="CHI",PR!$I301,IF(H303="CLARION",PR!$J301,IF(H303="CODIX",PR!$K301,IF(H303="COSMADE",PR!$L301,IF(H303="SANCON",PR!$M301,IF(H303="DEVON",PR!$N301,IF(H303="DORTEMAG",PR!$O301,IF(H303="DGF",PR!$P301,IF(H303="DYNAMIC",PR!$Q301,IF(H303="EMZOR",PR!$R301,IF(H303="EUMATT",PR!$S301,IF(H303="FIDSON",PR!$T301,IF(H303="FCGLOBAL",PR!$U301,IF(H303="GENEITH",PR!$V301,IF(H303="GINOS",PR!$W301,IF(H303="GSK",PR!$X301,IF(H303="GLOBORG",PR!$Y301,IF(H303="GOODNEWS",PR!$Z301,IF(H303="GREENLIFE",PR!$AA301,IF(H303="HLINE",PR!$AB301,IF(H303="ROTECH",PR!$AC301,IF(H303="ISN",PR!$AD301,IF(H303="JAWA",PR!$AE301,IF(H303="LAYO",PR!$AF301,IF(H303="LEADWAY",PR!$AG301,IF(H303="LHV",PR!$AH301,IF(H303="MANOLA",PR!$AI301,IF(H303="MARCSON",PR!$AJ301,IF(H303="M&amp;B",PR!$AK301,IF(H303="MTRUST",PR!$AL301,IF(H303="MWORLD",PR!$AM301,IF(H303="MEGA",PR!$AN301,IF(H303="MICRONOVA",PR!$AO301,IF(H303="MFLASH",PR!$AP301,IF(H303="MORISON",PR!$AQ301,IF(H303="NEMEL",PR!$AR301,IF(H303="NHP",PR!$AS301,IF(H303="NHC",PR!$AT301,IF(H303="OLEAF",PR!$AU301,IF(H303="OCULUS",PR!$AV301,IF(H303="PACIFIC",PR!$AW301,IF(H303="PHAMATEX",PR!$AX301,IF(H303="PETHICS",PR!$AY301,IF(H303="PHILIPS",PR!$AZ301,IF(H303="RANBAXY",PR!$BA301,IF(H303="REALS",PR!$BB301,IF(H303="ROYAL",PR!$BC301,IF(H303="SAM",PR!$BD301,IF(H303="SEAGREEN",PR!$BE301,IF(H303="SKG",PR!$BF301,IF(H303="TAH",PR!$BG301,IF(H303="TAYLEK",PR!$BH301,IF(H303="TEMITA",PR!$BI301,IF(H303="THL",PR!$BJ301,IF(H303="UBASTIC",PR!$BK301,IF(H303="UNION",PR!$BL301,IF(H303="UNIQUE",PR!$BM301,IF(H303="VIXA",PR!$BN301,IF(H303="WWCV",PR!$BO301,IF(H303="ZOLON",PR!$BP301,"-"))))))))))))))))))))))))))))))))))))))))))))))))))))))))))))))))</f>
        <v>-</v>
      </c>
      <c r="H303" s="102">
        <f>EV!M388</f>
        <v>0</v>
      </c>
      <c r="I303" s="108" t="str">
        <f>IF(J303="ALPHA",PR!$E301,IF(J303="ASSENE",PR!$F301,IF(J303="BIOFEM",PR!$G301,IF(J303="BIOMED",PR!$H301,IF(J303="CHI",PR!$I301,IF(J303="CLARION",PR!$J301,IF(J303="CODIX",PR!$K301,IF(J303="COSMADE",PR!$L301,IF(J303="SANCON",PR!$M301,IF(J303="DEVON",PR!$N301,IF(J303="DORTEMAG",PR!$O301,IF(J303="DGF",PR!$P301,IF(J303="DYNAMIC",PR!$Q301,IF(J303="EMZOR",PR!$R301,IF(J303="EUMATT",PR!$S301,IF(J303="FIDSON",PR!$T301,IF(J303="FCGLOBAL",PR!$U301,IF(J303="GENEITH",PR!$V301,IF(J303="GINOS",PR!$W301,IF(J303="GSK",PR!$X301,IF(J303="GLOBORG",PR!$Y301,IF(J303="GOODNEWS",PR!$Z301,IF(J303="GREENLIFE",PR!$AA301,IF(J303="HLINE",PR!$AB301,IF(J303="ROTECH",PR!$AC301,IF(J303="ISN",PR!$AD301,IF(J303="JAWA",PR!$AE301,IF(J303="LAYO",PR!$AF301,IF(J303="LEADWAY",PR!$AG301,IF(J303="LHV",PR!$AH301,IF(J303="MANOLA",PR!$AI301,IF(J303="MARCSON",PR!$AJ301,IF(J303="M&amp;B",PR!$AK301,IF(J303="MTRUST",PR!$AL301,IF(J303="MWORLD",PR!$AM301,IF(J303="MEGA",PR!$AN301,IF(J303="MICRONOVA",PR!$AO301,IF(J303="MFLASH",PR!$AP301,IF(J303="MORISON",PR!$AQ301,IF(J303="NEMEL",PR!$AR301,IF(J303="NHP",PR!$AS301,IF(J303="NHC",PR!$AT301,IF(J303="OLEAF",PR!$AU301,IF(J303="OCULUS",PR!$AV301,IF(J303="PACIFIC",PR!$AW301,IF(J303="PHAMATEX",PR!$AX301,IF(J303="PETHICS",PR!$AY301,IF(J303="PHILIPS",PR!$AZ301,IF(J303="RANBAXY",PR!$BA301,IF(J303="REALS",PR!$BB301,IF(J303="ROYAL",PR!$BC301,IF(J303="SAM",PR!$BD301,IF(J303="SEAGREEN",PR!$BE301,IF(J303="SKG",PR!$BF301,IF(J303="TAH",PR!$BG301,IF(J303="TAYLEK",PR!$BH301,IF(J303="TEMITA",PR!$BI301,IF(J303="THL",PR!$BJ301,IF(J303="UBASTIC",PR!$BK301,IF(J303="UNION",PR!$BL301,IF(J303="UNIQUE",PR!$BM301,IF(J303="VIXA",PR!$BN301,IF(J303="WWCV",PR!$BO301,IF(J303="ZOLON",PR!$BP301,"-"))))))))))))))))))))))))))))))))))))))))))))))))))))))))))))))))</f>
        <v>-</v>
      </c>
      <c r="J303" s="102">
        <f>EV!N388</f>
        <v>0</v>
      </c>
      <c r="K303" s="433"/>
      <c r="L303" s="183" t="b">
        <f>IF(K303&gt;0,IF(K303="ALPHA",PR!$E301,IF(K303="ASSENE",PR!$F301,IF(K303="BIOFEM",PR!$G301,IF(K303="BIOMED",PR!$H301,IF(K303="CHI",PR!$I301,IF(K303="CLARION",PR!$J301,IF(K303="CODIX",PR!$K301,IF(K303="COSMADE",PR!$L301,IF(K303="SANCON",PR!$M301,IF(K303="DEVON",PR!$N301,IF(K303="DORTEMAG",PR!$O301,IF(K303="DGF",PR!$P301,IF(K303="DYNAMIC",PR!$Q301,IF(K303="EMZOR",PR!$R301,IF(K303="EUMATT",PR!$S301,IF(K303="FIDSON",PR!$T301,IF(K303="FCGLOBAL",PR!$U301,IF(K303="GENEITH",PR!$V301,IF(K303="GINOS",PR!$W301,IF(K303="GSK",PR!$X301,IF(K303="GLOBORG",PR!$Y301,IF(K303="GOODNEWS",PR!$Z301,IF(K303="GREENLIFE",PR!$AA301,IF(K303="HLINE",PR!$AB301,IF(K303="ROTECH",PR!$AC301,IF(K303="ISN",PR!$AD301,IF(K303="JAWA",PR!$AE301,IF(K303="LAYO",PR!$AF301,IF(K303="LEADWAY",PR!$AG301,IF(K303="LHV",PR!$AH301,IF(K303="MANOLA",PR!$AI301,IF(K303="MARCSON",PR!$AJ301,IF(K303="M&amp;B",PR!$AK301,IF(K303="MTRUST",PR!$AL301,IF(K303="MWORLD",PR!$AM301,IF(K303="MEGA",PR!$AN301,IF(K303="MICRONOVA",PR!$AO301,IF(K303="MFLASH",PR!$AP301,IF(K303="MORISON",PR!$AQ301,IF(K303="NEMEL",PR!$AR301,IF(K303="NHP",PR!$AS301,IF(K303="NHC",PR!$AT301,IF(K303="OLEAF",PR!$AU301,IF(K303="OCULUS",PR!$AV301,IF(K303="PACIFIC",PR!$AW301,IF(K303="PHAMATEX",PR!$AX301,IF(K303="PETHICS",PR!$AY301,IF(K303="PHILIPS",PR!$AZ301,IF(K303="RANBAXY",PR!$BA301,IF(K303="REALS",PR!$BB301,IF(K303="ROYAL",PR!$BC301,IF(K303="SAM",PR!$BD301,IF(K303="SEAGREEN",PR!$BE301,IF(K303="SKG",PR!$BF301,IF(K303="TAH",PR!$BG301,IF(K303="TAYLEK",PR!$BH301,IF(K303="TEMITA",PR!$BI301,IF(K303="THL",PR!$BJ301,IF(K303="UBASTIC",PR!$BK301,IF(K303="UNION",PR!$BL301,IF(K303="UNIQUE",PR!$BM301,IF(K303="VIXA",PR!$BN301,IF(K303="WWCV",PR!$BO301,IF(K303="ZOLON",PR!$BP301,"-")))))))))))))))))))))))))))))))))))))))))))))))))))))))))))))))))</f>
        <v>0</v>
      </c>
    </row>
    <row r="304" spans="1:12" ht="18.75" x14ac:dyDescent="0.3">
      <c r="A304" s="430">
        <f>PR!A302</f>
        <v>278</v>
      </c>
      <c r="B304" s="15" t="str">
        <f>PR!B302</f>
        <v>RIFAMPICIN 300MG CAP</v>
      </c>
      <c r="C304" s="113">
        <f>PR!D302</f>
        <v>100</v>
      </c>
      <c r="D304" s="113">
        <f>PR!C302</f>
        <v>100</v>
      </c>
      <c r="E304" s="108">
        <f>IF(F304="ALPHA",PR!$E302,IF(F304="ASSENE",PR!$F302,IF(F304="BIOFEM",PR!$G302,IF(F304="BIOMED",PR!$H302,IF(F304="CHI",PR!$I302,IF(F304="CLARION",PR!$J302,IF(F304="CODIX",PR!$K302,IF(F304="COSMADE",PR!$L302,IF(F304="SANCON",PR!$M302,IF(F304="DEVON",PR!$N302,IF(F304="DORTEMAG",PR!$O302,IF(F304="DGF",PR!$P302,IF(F304="DYNAMIC",PR!$Q302,IF(F304="EMZOR",PR!$R302,IF(F304="EUMATT",PR!$S302,IF(F304="FIDSON",PR!$T302,IF(F304="FCGLOBAL",PR!$U302,IF(F304="GENEITH",PR!$V302,IF(F304="GINOS",PR!$W302,IF(F304="GSK",PR!$X302,IF(F304="GLOBORG",PR!$Y302,IF(F304="GOODNEWS",PR!$Z302,IF(F304="GREENLIFE",PR!$AA302,IF(F304="HLINE",PR!$AB302,IF(F304="ROTECH",PR!$AC302,IF(F304="ISN",PR!$AD302,IF(F304="JAWA",PR!$AE302,IF(F304="LAYO",PR!$AF302,IF(F304="LEADWAY",PR!$AG302,IF(F304="LHV",PR!$AH302,IF(F304="MANOLA",PR!$AI302,IF(F304="MARCSON",PR!$AJ302,IF(F304="M&amp;B",PR!$AK302,IF(F304="MTRUST",PR!$AL302,IF(F304="MWORLD",PR!$AM302,IF(F304="MEGA",PR!$AN302,IF(F304="MICRONOVA",PR!$AO302,IF(F304="MFLASH",PR!$AP302,IF(F304="MORISON",PR!$AQ302,IF(F304="NEMEL",PR!$AR302,IF(F304="NHP",PR!$AS302,IF(F304="NHC",PR!$AT302,IF(F304="OLEAF",PR!$AU302,IF(F304="OCULUS",PR!$AV302,IF(F304="PACIFIC",PR!$AW302,IF(F304="PHAMATEX",PR!$AX302,IF(F304="PETHICS",PR!$AY302,IF(F304="PHILIPS",PR!$AZ302,IF(F304="RANBAXY",PR!$BA302,IF(F304="REALS",PR!$BB302,IF(F304="ROYAL",PR!$BC302,IF(F304="SAM",PR!$BD302,IF(F304="SEAGREEN",PR!$BE302,IF(F304="SKG",PR!$BF302,IF(F304="TAH",PR!$BG302,IF(F304="TAYLEK",PR!$BH302,IF(F304="TEMITA",PR!$BI302,IF(F304="THL",PR!$BJ302,IF(F304="UBASTIC",PR!$BK302,IF(F304="UNION",PR!$BL302,IF(F304="UNIQUE",PR!$BM302,IF(F304="VIXA",PR!$BN302,IF(F304="WWCV",PR!$BO302,IF(F304="ZOLON",PR!$BP302,"-"))))))))))))))))))))))))))))))))))))))))))))))))))))))))))))))))</f>
        <v>3500</v>
      </c>
      <c r="F304" s="102" t="str">
        <f>EV!L389</f>
        <v>EUMATT</v>
      </c>
      <c r="G304" s="108" t="str">
        <f>IF(H304="ALPHA",PR!$E302,IF(H304="ASSENE",PR!$F302,IF(H304="BIOFEM",PR!$G302,IF(H304="BIOMED",PR!$H302,IF(H304="CHI",PR!$I302,IF(H304="CLARION",PR!$J302,IF(H304="CODIX",PR!$K302,IF(H304="COSMADE",PR!$L302,IF(H304="SANCON",PR!$M302,IF(H304="DEVON",PR!$N302,IF(H304="DORTEMAG",PR!$O302,IF(H304="DGF",PR!$P302,IF(H304="DYNAMIC",PR!$Q302,IF(H304="EMZOR",PR!$R302,IF(H304="EUMATT",PR!$S302,IF(H304="FIDSON",PR!$T302,IF(H304="FCGLOBAL",PR!$U302,IF(H304="GENEITH",PR!$V302,IF(H304="GINOS",PR!$W302,IF(H304="GSK",PR!$X302,IF(H304="GLOBORG",PR!$Y302,IF(H304="GOODNEWS",PR!$Z302,IF(H304="GREENLIFE",PR!$AA302,IF(H304="HLINE",PR!$AB302,IF(H304="ROTECH",PR!$AC302,IF(H304="ISN",PR!$AD302,IF(H304="JAWA",PR!$AE302,IF(H304="LAYO",PR!$AF302,IF(H304="LEADWAY",PR!$AG302,IF(H304="LHV",PR!$AH302,IF(H304="MANOLA",PR!$AI302,IF(H304="MARCSON",PR!$AJ302,IF(H304="M&amp;B",PR!$AK302,IF(H304="MTRUST",PR!$AL302,IF(H304="MWORLD",PR!$AM302,IF(H304="MEGA",PR!$AN302,IF(H304="MICRONOVA",PR!$AO302,IF(H304="MFLASH",PR!$AP302,IF(H304="MORISON",PR!$AQ302,IF(H304="NEMEL",PR!$AR302,IF(H304="NHP",PR!$AS302,IF(H304="NHC",PR!$AT302,IF(H304="OLEAF",PR!$AU302,IF(H304="OCULUS",PR!$AV302,IF(H304="PACIFIC",PR!$AW302,IF(H304="PHAMATEX",PR!$AX302,IF(H304="PETHICS",PR!$AY302,IF(H304="PHILIPS",PR!$AZ302,IF(H304="RANBAXY",PR!$BA302,IF(H304="REALS",PR!$BB302,IF(H304="ROYAL",PR!$BC302,IF(H304="SAM",PR!$BD302,IF(H304="SEAGREEN",PR!$BE302,IF(H304="SKG",PR!$BF302,IF(H304="TAH",PR!$BG302,IF(H304="TAYLEK",PR!$BH302,IF(H304="TEMITA",PR!$BI302,IF(H304="THL",PR!$BJ302,IF(H304="UBASTIC",PR!$BK302,IF(H304="UNION",PR!$BL302,IF(H304="UNIQUE",PR!$BM302,IF(H304="VIXA",PR!$BN302,IF(H304="WWCV",PR!$BO302,IF(H304="ZOLON",PR!$BP302,"-"))))))))))))))))))))))))))))))))))))))))))))))))))))))))))))))))</f>
        <v>-</v>
      </c>
      <c r="H304" s="102">
        <f>EV!M389</f>
        <v>0</v>
      </c>
      <c r="I304" s="108" t="str">
        <f>IF(J304="ALPHA",PR!$E302,IF(J304="ASSENE",PR!$F302,IF(J304="BIOFEM",PR!$G302,IF(J304="BIOMED",PR!$H302,IF(J304="CHI",PR!$I302,IF(J304="CLARION",PR!$J302,IF(J304="CODIX",PR!$K302,IF(J304="COSMADE",PR!$L302,IF(J304="SANCON",PR!$M302,IF(J304="DEVON",PR!$N302,IF(J304="DORTEMAG",PR!$O302,IF(J304="DGF",PR!$P302,IF(J304="DYNAMIC",PR!$Q302,IF(J304="EMZOR",PR!$R302,IF(J304="EUMATT",PR!$S302,IF(J304="FIDSON",PR!$T302,IF(J304="FCGLOBAL",PR!$U302,IF(J304="GENEITH",PR!$V302,IF(J304="GINOS",PR!$W302,IF(J304="GSK",PR!$X302,IF(J304="GLOBORG",PR!$Y302,IF(J304="GOODNEWS",PR!$Z302,IF(J304="GREENLIFE",PR!$AA302,IF(J304="HLINE",PR!$AB302,IF(J304="ROTECH",PR!$AC302,IF(J304="ISN",PR!$AD302,IF(J304="JAWA",PR!$AE302,IF(J304="LAYO",PR!$AF302,IF(J304="LEADWAY",PR!$AG302,IF(J304="LHV",PR!$AH302,IF(J304="MANOLA",PR!$AI302,IF(J304="MARCSON",PR!$AJ302,IF(J304="M&amp;B",PR!$AK302,IF(J304="MTRUST",PR!$AL302,IF(J304="MWORLD",PR!$AM302,IF(J304="MEGA",PR!$AN302,IF(J304="MICRONOVA",PR!$AO302,IF(J304="MFLASH",PR!$AP302,IF(J304="MORISON",PR!$AQ302,IF(J304="NEMEL",PR!$AR302,IF(J304="NHP",PR!$AS302,IF(J304="NHC",PR!$AT302,IF(J304="OLEAF",PR!$AU302,IF(J304="OCULUS",PR!$AV302,IF(J304="PACIFIC",PR!$AW302,IF(J304="PHAMATEX",PR!$AX302,IF(J304="PETHICS",PR!$AY302,IF(J304="PHILIPS",PR!$AZ302,IF(J304="RANBAXY",PR!$BA302,IF(J304="REALS",PR!$BB302,IF(J304="ROYAL",PR!$BC302,IF(J304="SAM",PR!$BD302,IF(J304="SEAGREEN",PR!$BE302,IF(J304="SKG",PR!$BF302,IF(J304="TAH",PR!$BG302,IF(J304="TAYLEK",PR!$BH302,IF(J304="TEMITA",PR!$BI302,IF(J304="THL",PR!$BJ302,IF(J304="UBASTIC",PR!$BK302,IF(J304="UNION",PR!$BL302,IF(J304="UNIQUE",PR!$BM302,IF(J304="VIXA",PR!$BN302,IF(J304="WWCV",PR!$BO302,IF(J304="ZOLON",PR!$BP302,"-"))))))))))))))))))))))))))))))))))))))))))))))))))))))))))))))))</f>
        <v>-</v>
      </c>
      <c r="J304" s="102">
        <f>EV!N389</f>
        <v>0</v>
      </c>
      <c r="K304" s="433"/>
      <c r="L304" s="183" t="b">
        <f>IF(K304&gt;0,IF(K304="ALPHA",PR!$E302,IF(K304="ASSENE",PR!$F302,IF(K304="BIOFEM",PR!$G302,IF(K304="BIOMED",PR!$H302,IF(K304="CHI",PR!$I302,IF(K304="CLARION",PR!$J302,IF(K304="CODIX",PR!$K302,IF(K304="COSMADE",PR!$L302,IF(K304="SANCON",PR!$M302,IF(K304="DEVON",PR!$N302,IF(K304="DORTEMAG",PR!$O302,IF(K304="DGF",PR!$P302,IF(K304="DYNAMIC",PR!$Q302,IF(K304="EMZOR",PR!$R302,IF(K304="EUMATT",PR!$S302,IF(K304="FIDSON",PR!$T302,IF(K304="FCGLOBAL",PR!$U302,IF(K304="GENEITH",PR!$V302,IF(K304="GINOS",PR!$W302,IF(K304="GSK",PR!$X302,IF(K304="GLOBORG",PR!$Y302,IF(K304="GOODNEWS",PR!$Z302,IF(K304="GREENLIFE",PR!$AA302,IF(K304="HLINE",PR!$AB302,IF(K304="ROTECH",PR!$AC302,IF(K304="ISN",PR!$AD302,IF(K304="JAWA",PR!$AE302,IF(K304="LAYO",PR!$AF302,IF(K304="LEADWAY",PR!$AG302,IF(K304="LHV",PR!$AH302,IF(K304="MANOLA",PR!$AI302,IF(K304="MARCSON",PR!$AJ302,IF(K304="M&amp;B",PR!$AK302,IF(K304="MTRUST",PR!$AL302,IF(K304="MWORLD",PR!$AM302,IF(K304="MEGA",PR!$AN302,IF(K304="MICRONOVA",PR!$AO302,IF(K304="MFLASH",PR!$AP302,IF(K304="MORISON",PR!$AQ302,IF(K304="NEMEL",PR!$AR302,IF(K304="NHP",PR!$AS302,IF(K304="NHC",PR!$AT302,IF(K304="OLEAF",PR!$AU302,IF(K304="OCULUS",PR!$AV302,IF(K304="PACIFIC",PR!$AW302,IF(K304="PHAMATEX",PR!$AX302,IF(K304="PETHICS",PR!$AY302,IF(K304="PHILIPS",PR!$AZ302,IF(K304="RANBAXY",PR!$BA302,IF(K304="REALS",PR!$BB302,IF(K304="ROYAL",PR!$BC302,IF(K304="SAM",PR!$BD302,IF(K304="SEAGREEN",PR!$BE302,IF(K304="SKG",PR!$BF302,IF(K304="TAH",PR!$BG302,IF(K304="TAYLEK",PR!$BH302,IF(K304="TEMITA",PR!$BI302,IF(K304="THL",PR!$BJ302,IF(K304="UBASTIC",PR!$BK302,IF(K304="UNION",PR!$BL302,IF(K304="UNIQUE",PR!$BM302,IF(K304="VIXA",PR!$BN302,IF(K304="WWCV",PR!$BO302,IF(K304="ZOLON",PR!$BP302,"-")))))))))))))))))))))))))))))))))))))))))))))))))))))))))))))))))</f>
        <v>0</v>
      </c>
    </row>
    <row r="305" spans="1:12" ht="18.75" x14ac:dyDescent="0.3">
      <c r="A305" s="430">
        <f>PR!A303</f>
        <v>279</v>
      </c>
      <c r="B305" s="15" t="str">
        <f>PR!B303</f>
        <v>RIFAMPICIN/ISONIAZID TAB</v>
      </c>
      <c r="C305" s="113">
        <f>PR!D303</f>
        <v>100</v>
      </c>
      <c r="D305" s="113">
        <f>PR!C303</f>
        <v>100</v>
      </c>
      <c r="E305" s="108" t="str">
        <f>IF(F305="ALPHA",PR!$E303,IF(F305="ASSENE",PR!$F303,IF(F305="BIOFEM",PR!$G303,IF(F305="BIOMED",PR!$H303,IF(F305="CHI",PR!$I303,IF(F305="CLARION",PR!$J303,IF(F305="CODIX",PR!$K303,IF(F305="COSMADE",PR!$L303,IF(F305="SANCON",PR!$M303,IF(F305="DEVON",PR!$N303,IF(F305="DORTEMAG",PR!$O303,IF(F305="DGF",PR!$P303,IF(F305="DYNAMIC",PR!$Q303,IF(F305="EMZOR",PR!$R303,IF(F305="EUMATT",PR!$S303,IF(F305="FIDSON",PR!$T303,IF(F305="FCGLOBAL",PR!$U303,IF(F305="GENEITH",PR!$V303,IF(F305="GINOS",PR!$W303,IF(F305="GSK",PR!$X303,IF(F305="GLOBORG",PR!$Y303,IF(F305="GOODNEWS",PR!$Z303,IF(F305="GREENLIFE",PR!$AA303,IF(F305="HLINE",PR!$AB303,IF(F305="ROTECH",PR!$AC303,IF(F305="ISN",PR!$AD303,IF(F305="JAWA",PR!$AE303,IF(F305="LAYO",PR!$AF303,IF(F305="LEADWAY",PR!$AG303,IF(F305="LHV",PR!$AH303,IF(F305="MANOLA",PR!$AI303,IF(F305="MARCSON",PR!$AJ303,IF(F305="M&amp;B",PR!$AK303,IF(F305="MTRUST",PR!$AL303,IF(F305="MWORLD",PR!$AM303,IF(F305="MEGA",PR!$AN303,IF(F305="MICRONOVA",PR!$AO303,IF(F305="MFLASH",PR!$AP303,IF(F305="MORISON",PR!$AQ303,IF(F305="NEMEL",PR!$AR303,IF(F305="NHP",PR!$AS303,IF(F305="NHC",PR!$AT303,IF(F305="OLEAF",PR!$AU303,IF(F305="OCULUS",PR!$AV303,IF(F305="PACIFIC",PR!$AW303,IF(F305="PHAMATEX",PR!$AX303,IF(F305="PETHICS",PR!$AY303,IF(F305="PHILIPS",PR!$AZ303,IF(F305="RANBAXY",PR!$BA303,IF(F305="REALS",PR!$BB303,IF(F305="ROYAL",PR!$BC303,IF(F305="SAM",PR!$BD303,IF(F305="SEAGREEN",PR!$BE303,IF(F305="SKG",PR!$BF303,IF(F305="TAH",PR!$BG303,IF(F305="TAYLEK",PR!$BH303,IF(F305="TEMITA",PR!$BI303,IF(F305="THL",PR!$BJ303,IF(F305="UBASTIC",PR!$BK303,IF(F305="UNION",PR!$BL303,IF(F305="UNIQUE",PR!$BM303,IF(F305="VIXA",PR!$BN303,IF(F305="WWCV",PR!$BO303,IF(F305="ZOLON",PR!$BP303,"-"))))))))))))))))))))))))))))))))))))))))))))))))))))))))))))))))</f>
        <v>-</v>
      </c>
      <c r="F305" s="102">
        <f>EV!L390</f>
        <v>0</v>
      </c>
      <c r="G305" s="108" t="str">
        <f>IF(H305="ALPHA",PR!$E303,IF(H305="ASSENE",PR!$F303,IF(H305="BIOFEM",PR!$G303,IF(H305="BIOMED",PR!$H303,IF(H305="CHI",PR!$I303,IF(H305="CLARION",PR!$J303,IF(H305="CODIX",PR!$K303,IF(H305="COSMADE",PR!$L303,IF(H305="SANCON",PR!$M303,IF(H305="DEVON",PR!$N303,IF(H305="DORTEMAG",PR!$O303,IF(H305="DGF",PR!$P303,IF(H305="DYNAMIC",PR!$Q303,IF(H305="EMZOR",PR!$R303,IF(H305="EUMATT",PR!$S303,IF(H305="FIDSON",PR!$T303,IF(H305="FCGLOBAL",PR!$U303,IF(H305="GENEITH",PR!$V303,IF(H305="GINOS",PR!$W303,IF(H305="GSK",PR!$X303,IF(H305="GLOBORG",PR!$Y303,IF(H305="GOODNEWS",PR!$Z303,IF(H305="GREENLIFE",PR!$AA303,IF(H305="HLINE",PR!$AB303,IF(H305="ROTECH",PR!$AC303,IF(H305="ISN",PR!$AD303,IF(H305="JAWA",PR!$AE303,IF(H305="LAYO",PR!$AF303,IF(H305="LEADWAY",PR!$AG303,IF(H305="LHV",PR!$AH303,IF(H305="MANOLA",PR!$AI303,IF(H305="MARCSON",PR!$AJ303,IF(H305="M&amp;B",PR!$AK303,IF(H305="MTRUST",PR!$AL303,IF(H305="MWORLD",PR!$AM303,IF(H305="MEGA",PR!$AN303,IF(H305="MICRONOVA",PR!$AO303,IF(H305="MFLASH",PR!$AP303,IF(H305="MORISON",PR!$AQ303,IF(H305="NEMEL",PR!$AR303,IF(H305="NHP",PR!$AS303,IF(H305="NHC",PR!$AT303,IF(H305="OLEAF",PR!$AU303,IF(H305="OCULUS",PR!$AV303,IF(H305="PACIFIC",PR!$AW303,IF(H305="PHAMATEX",PR!$AX303,IF(H305="PETHICS",PR!$AY303,IF(H305="PHILIPS",PR!$AZ303,IF(H305="RANBAXY",PR!$BA303,IF(H305="REALS",PR!$BB303,IF(H305="ROYAL",PR!$BC303,IF(H305="SAM",PR!$BD303,IF(H305="SEAGREEN",PR!$BE303,IF(H305="SKG",PR!$BF303,IF(H305="TAH",PR!$BG303,IF(H305="TAYLEK",PR!$BH303,IF(H305="TEMITA",PR!$BI303,IF(H305="THL",PR!$BJ303,IF(H305="UBASTIC",PR!$BK303,IF(H305="UNION",PR!$BL303,IF(H305="UNIQUE",PR!$BM303,IF(H305="VIXA",PR!$BN303,IF(H305="WWCV",PR!$BO303,IF(H305="ZOLON",PR!$BP303,"-"))))))))))))))))))))))))))))))))))))))))))))))))))))))))))))))))</f>
        <v>-</v>
      </c>
      <c r="H305" s="102">
        <f>EV!M390</f>
        <v>0</v>
      </c>
      <c r="I305" s="108" t="str">
        <f>IF(J305="ALPHA",PR!$E303,IF(J305="ASSENE",PR!$F303,IF(J305="BIOFEM",PR!$G303,IF(J305="BIOMED",PR!$H303,IF(J305="CHI",PR!$I303,IF(J305="CLARION",PR!$J303,IF(J305="CODIX",PR!$K303,IF(J305="COSMADE",PR!$L303,IF(J305="SANCON",PR!$M303,IF(J305="DEVON",PR!$N303,IF(J305="DORTEMAG",PR!$O303,IF(J305="DGF",PR!$P303,IF(J305="DYNAMIC",PR!$Q303,IF(J305="EMZOR",PR!$R303,IF(J305="EUMATT",PR!$S303,IF(J305="FIDSON",PR!$T303,IF(J305="FCGLOBAL",PR!$U303,IF(J305="GENEITH",PR!$V303,IF(J305="GINOS",PR!$W303,IF(J305="GSK",PR!$X303,IF(J305="GLOBORG",PR!$Y303,IF(J305="GOODNEWS",PR!$Z303,IF(J305="GREENLIFE",PR!$AA303,IF(J305="HLINE",PR!$AB303,IF(J305="ROTECH",PR!$AC303,IF(J305="ISN",PR!$AD303,IF(J305="JAWA",PR!$AE303,IF(J305="LAYO",PR!$AF303,IF(J305="LEADWAY",PR!$AG303,IF(J305="LHV",PR!$AH303,IF(J305="MANOLA",PR!$AI303,IF(J305="MARCSON",PR!$AJ303,IF(J305="M&amp;B",PR!$AK303,IF(J305="MTRUST",PR!$AL303,IF(J305="MWORLD",PR!$AM303,IF(J305="MEGA",PR!$AN303,IF(J305="MICRONOVA",PR!$AO303,IF(J305="MFLASH",PR!$AP303,IF(J305="MORISON",PR!$AQ303,IF(J305="NEMEL",PR!$AR303,IF(J305="NHP",PR!$AS303,IF(J305="NHC",PR!$AT303,IF(J305="OLEAF",PR!$AU303,IF(J305="OCULUS",PR!$AV303,IF(J305="PACIFIC",PR!$AW303,IF(J305="PHAMATEX",PR!$AX303,IF(J305="PETHICS",PR!$AY303,IF(J305="PHILIPS",PR!$AZ303,IF(J305="RANBAXY",PR!$BA303,IF(J305="REALS",PR!$BB303,IF(J305="ROYAL",PR!$BC303,IF(J305="SAM",PR!$BD303,IF(J305="SEAGREEN",PR!$BE303,IF(J305="SKG",PR!$BF303,IF(J305="TAH",PR!$BG303,IF(J305="TAYLEK",PR!$BH303,IF(J305="TEMITA",PR!$BI303,IF(J305="THL",PR!$BJ303,IF(J305="UBASTIC",PR!$BK303,IF(J305="UNION",PR!$BL303,IF(J305="UNIQUE",PR!$BM303,IF(J305="VIXA",PR!$BN303,IF(J305="WWCV",PR!$BO303,IF(J305="ZOLON",PR!$BP303,"-"))))))))))))))))))))))))))))))))))))))))))))))))))))))))))))))))</f>
        <v>-</v>
      </c>
      <c r="J305" s="102">
        <f>EV!N390</f>
        <v>0</v>
      </c>
      <c r="K305" s="433"/>
      <c r="L305" s="183" t="b">
        <f>IF(K305&gt;0,IF(K305="ALPHA",PR!$E303,IF(K305="ASSENE",PR!$F303,IF(K305="BIOFEM",PR!$G303,IF(K305="BIOMED",PR!$H303,IF(K305="CHI",PR!$I303,IF(K305="CLARION",PR!$J303,IF(K305="CODIX",PR!$K303,IF(K305="COSMADE",PR!$L303,IF(K305="SANCON",PR!$M303,IF(K305="DEVON",PR!$N303,IF(K305="DORTEMAG",PR!$O303,IF(K305="DGF",PR!$P303,IF(K305="DYNAMIC",PR!$Q303,IF(K305="EMZOR",PR!$R303,IF(K305="EUMATT",PR!$S303,IF(K305="FIDSON",PR!$T303,IF(K305="FCGLOBAL",PR!$U303,IF(K305="GENEITH",PR!$V303,IF(K305="GINOS",PR!$W303,IF(K305="GSK",PR!$X303,IF(K305="GLOBORG",PR!$Y303,IF(K305="GOODNEWS",PR!$Z303,IF(K305="GREENLIFE",PR!$AA303,IF(K305="HLINE",PR!$AB303,IF(K305="ROTECH",PR!$AC303,IF(K305="ISN",PR!$AD303,IF(K305="JAWA",PR!$AE303,IF(K305="LAYO",PR!$AF303,IF(K305="LEADWAY",PR!$AG303,IF(K305="LHV",PR!$AH303,IF(K305="MANOLA",PR!$AI303,IF(K305="MARCSON",PR!$AJ303,IF(K305="M&amp;B",PR!$AK303,IF(K305="MTRUST",PR!$AL303,IF(K305="MWORLD",PR!$AM303,IF(K305="MEGA",PR!$AN303,IF(K305="MICRONOVA",PR!$AO303,IF(K305="MFLASH",PR!$AP303,IF(K305="MORISON",PR!$AQ303,IF(K305="NEMEL",PR!$AR303,IF(K305="NHP",PR!$AS303,IF(K305="NHC",PR!$AT303,IF(K305="OLEAF",PR!$AU303,IF(K305="OCULUS",PR!$AV303,IF(K305="PACIFIC",PR!$AW303,IF(K305="PHAMATEX",PR!$AX303,IF(K305="PETHICS",PR!$AY303,IF(K305="PHILIPS",PR!$AZ303,IF(K305="RANBAXY",PR!$BA303,IF(K305="REALS",PR!$BB303,IF(K305="ROYAL",PR!$BC303,IF(K305="SAM",PR!$BD303,IF(K305="SEAGREEN",PR!$BE303,IF(K305="SKG",PR!$BF303,IF(K305="TAH",PR!$BG303,IF(K305="TAYLEK",PR!$BH303,IF(K305="TEMITA",PR!$BI303,IF(K305="THL",PR!$BJ303,IF(K305="UBASTIC",PR!$BK303,IF(K305="UNION",PR!$BL303,IF(K305="UNIQUE",PR!$BM303,IF(K305="VIXA",PR!$BN303,IF(K305="WWCV",PR!$BO303,IF(K305="ZOLON",PR!$BP303,"-")))))))))))))))))))))))))))))))))))))))))))))))))))))))))))))))))</f>
        <v>0</v>
      </c>
    </row>
    <row r="306" spans="1:12" ht="18.75" x14ac:dyDescent="0.3">
      <c r="A306" s="430">
        <f>PR!A304</f>
        <v>280</v>
      </c>
      <c r="B306" s="15" t="str">
        <f>PR!B304</f>
        <v>SECNIDAZOLE 500MG TAB</v>
      </c>
      <c r="C306" s="113">
        <f>PR!D304</f>
        <v>4</v>
      </c>
      <c r="D306" s="113">
        <f>PR!C304</f>
        <v>60</v>
      </c>
      <c r="E306" s="108">
        <f>IF(F306="ALPHA",PR!$E304,IF(F306="ASSENE",PR!$F304,IF(F306="BIOFEM",PR!$G304,IF(F306="BIOMED",PR!$H304,IF(F306="CHI",PR!$I304,IF(F306="CLARION",PR!$J304,IF(F306="CODIX",PR!$K304,IF(F306="COSMADE",PR!$L304,IF(F306="SANCON",PR!$M304,IF(F306="DEVON",PR!$N304,IF(F306="DORTEMAG",PR!$O304,IF(F306="DGF",PR!$P304,IF(F306="DYNAMIC",PR!$Q304,IF(F306="EMZOR",PR!$R304,IF(F306="EUMATT",PR!$S304,IF(F306="FIDSON",PR!$T304,IF(F306="FCGLOBAL",PR!$U304,IF(F306="GENEITH",PR!$V304,IF(F306="GINOS",PR!$W304,IF(F306="GSK",PR!$X304,IF(F306="GLOBORG",PR!$Y304,IF(F306="GOODNEWS",PR!$Z304,IF(F306="GREENLIFE",PR!$AA304,IF(F306="HLINE",PR!$AB304,IF(F306="ROTECH",PR!$AC304,IF(F306="ISN",PR!$AD304,IF(F306="JAWA",PR!$AE304,IF(F306="LAYO",PR!$AF304,IF(F306="LEADWAY",PR!$AG304,IF(F306="LHV",PR!$AH304,IF(F306="MANOLA",PR!$AI304,IF(F306="MARCSON",PR!$AJ304,IF(F306="M&amp;B",PR!$AK304,IF(F306="MTRUST",PR!$AL304,IF(F306="MWORLD",PR!$AM304,IF(F306="MEGA",PR!$AN304,IF(F306="MICRONOVA",PR!$AO304,IF(F306="MFLASH",PR!$AP304,IF(F306="MORISON",PR!$AQ304,IF(F306="NEMEL",PR!$AR304,IF(F306="NHP",PR!$AS304,IF(F306="NHC",PR!$AT304,IF(F306="OLEAF",PR!$AU304,IF(F306="OCULUS",PR!$AV304,IF(F306="PACIFIC",PR!$AW304,IF(F306="PHAMATEX",PR!$AX304,IF(F306="PETHICS",PR!$AY304,IF(F306="PHILIPS",PR!$AZ304,IF(F306="RANBAXY",PR!$BA304,IF(F306="REALS",PR!$BB304,IF(F306="ROYAL",PR!$BC304,IF(F306="SAM",PR!$BD304,IF(F306="SEAGREEN",PR!$BE304,IF(F306="SKG",PR!$BF304,IF(F306="TAH",PR!$BG304,IF(F306="TAYLEK",PR!$BH304,IF(F306="TEMITA",PR!$BI304,IF(F306="THL",PR!$BJ304,IF(F306="UBASTIC",PR!$BK304,IF(F306="UNION",PR!$BL304,IF(F306="UNIQUE",PR!$BM304,IF(F306="VIXA",PR!$BN304,IF(F306="WWCV",PR!$BO304,IF(F306="ZOLON",PR!$BP304,"-"))))))))))))))))))))))))))))))))))))))))))))))))))))))))))))))))</f>
        <v>100</v>
      </c>
      <c r="F306" s="102" t="str">
        <f>EV!L391</f>
        <v>GREENLIFE</v>
      </c>
      <c r="G306" s="108">
        <f>IF(H306="ALPHA",PR!$E304,IF(H306="ASSENE",PR!$F304,IF(H306="BIOFEM",PR!$G304,IF(H306="BIOMED",PR!$H304,IF(H306="CHI",PR!$I304,IF(H306="CLARION",PR!$J304,IF(H306="CODIX",PR!$K304,IF(H306="COSMADE",PR!$L304,IF(H306="SANCON",PR!$M304,IF(H306="DEVON",PR!$N304,IF(H306="DORTEMAG",PR!$O304,IF(H306="DGF",PR!$P304,IF(H306="DYNAMIC",PR!$Q304,IF(H306="EMZOR",PR!$R304,IF(H306="EUMATT",PR!$S304,IF(H306="FIDSON",PR!$T304,IF(H306="FCGLOBAL",PR!$U304,IF(H306="GENEITH",PR!$V304,IF(H306="GINOS",PR!$W304,IF(H306="GSK",PR!$X304,IF(H306="GLOBORG",PR!$Y304,IF(H306="GOODNEWS",PR!$Z304,IF(H306="GREENLIFE",PR!$AA304,IF(H306="HLINE",PR!$AB304,IF(H306="ROTECH",PR!$AC304,IF(H306="ISN",PR!$AD304,IF(H306="JAWA",PR!$AE304,IF(H306="LAYO",PR!$AF304,IF(H306="LEADWAY",PR!$AG304,IF(H306="LHV",PR!$AH304,IF(H306="MANOLA",PR!$AI304,IF(H306="MARCSON",PR!$AJ304,IF(H306="M&amp;B",PR!$AK304,IF(H306="MTRUST",PR!$AL304,IF(H306="MWORLD",PR!$AM304,IF(H306="MEGA",PR!$AN304,IF(H306="MICRONOVA",PR!$AO304,IF(H306="MFLASH",PR!$AP304,IF(H306="MORISON",PR!$AQ304,IF(H306="NEMEL",PR!$AR304,IF(H306="NHP",PR!$AS304,IF(H306="NHC",PR!$AT304,IF(H306="OLEAF",PR!$AU304,IF(H306="OCULUS",PR!$AV304,IF(H306="PACIFIC",PR!$AW304,IF(H306="PHAMATEX",PR!$AX304,IF(H306="PETHICS",PR!$AY304,IF(H306="PHILIPS",PR!$AZ304,IF(H306="RANBAXY",PR!$BA304,IF(H306="REALS",PR!$BB304,IF(H306="ROYAL",PR!$BC304,IF(H306="SAM",PR!$BD304,IF(H306="SEAGREEN",PR!$BE304,IF(H306="SKG",PR!$BF304,IF(H306="TAH",PR!$BG304,IF(H306="TAYLEK",PR!$BH304,IF(H306="TEMITA",PR!$BI304,IF(H306="THL",PR!$BJ304,IF(H306="UBASTIC",PR!$BK304,IF(H306="UNION",PR!$BL304,IF(H306="UNIQUE",PR!$BM304,IF(H306="VIXA",PR!$BN304,IF(H306="WWCV",PR!$BO304,IF(H306="ZOLON",PR!$BP304,"-"))))))))))))))))))))))))))))))))))))))))))))))))))))))))))))))))</f>
        <v>275</v>
      </c>
      <c r="H306" s="102" t="str">
        <f>EV!M391</f>
        <v>M&amp;B</v>
      </c>
      <c r="I306" s="108">
        <f>IF(J306="ALPHA",PR!$E304,IF(J306="ASSENE",PR!$F304,IF(J306="BIOFEM",PR!$G304,IF(J306="BIOMED",PR!$H304,IF(J306="CHI",PR!$I304,IF(J306="CLARION",PR!$J304,IF(J306="CODIX",PR!$K304,IF(J306="COSMADE",PR!$L304,IF(J306="SANCON",PR!$M304,IF(J306="DEVON",PR!$N304,IF(J306="DORTEMAG",PR!$O304,IF(J306="DGF",PR!$P304,IF(J306="DYNAMIC",PR!$Q304,IF(J306="EMZOR",PR!$R304,IF(J306="EUMATT",PR!$S304,IF(J306="FIDSON",PR!$T304,IF(J306="FCGLOBAL",PR!$U304,IF(J306="GENEITH",PR!$V304,IF(J306="GINOS",PR!$W304,IF(J306="GSK",PR!$X304,IF(J306="GLOBORG",PR!$Y304,IF(J306="GOODNEWS",PR!$Z304,IF(J306="GREENLIFE",PR!$AA304,IF(J306="HLINE",PR!$AB304,IF(J306="ROTECH",PR!$AC304,IF(J306="ISN",PR!$AD304,IF(J306="JAWA",PR!$AE304,IF(J306="LAYO",PR!$AF304,IF(J306="LEADWAY",PR!$AG304,IF(J306="LHV",PR!$AH304,IF(J306="MANOLA",PR!$AI304,IF(J306="MARCSON",PR!$AJ304,IF(J306="M&amp;B",PR!$AK304,IF(J306="MTRUST",PR!$AL304,IF(J306="MWORLD",PR!$AM304,IF(J306="MEGA",PR!$AN304,IF(J306="MICRONOVA",PR!$AO304,IF(J306="MFLASH",PR!$AP304,IF(J306="MORISON",PR!$AQ304,IF(J306="NEMEL",PR!$AR304,IF(J306="NHP",PR!$AS304,IF(J306="NHC",PR!$AT304,IF(J306="OLEAF",PR!$AU304,IF(J306="OCULUS",PR!$AV304,IF(J306="PACIFIC",PR!$AW304,IF(J306="PHAMATEX",PR!$AX304,IF(J306="PETHICS",PR!$AY304,IF(J306="PHILIPS",PR!$AZ304,IF(J306="RANBAXY",PR!$BA304,IF(J306="REALS",PR!$BB304,IF(J306="ROYAL",PR!$BC304,IF(J306="SAM",PR!$BD304,IF(J306="SEAGREEN",PR!$BE304,IF(J306="SKG",PR!$BF304,IF(J306="TAH",PR!$BG304,IF(J306="TAYLEK",PR!$BH304,IF(J306="TEMITA",PR!$BI304,IF(J306="THL",PR!$BJ304,IF(J306="UBASTIC",PR!$BK304,IF(J306="UNION",PR!$BL304,IF(J306="UNIQUE",PR!$BM304,IF(J306="VIXA",PR!$BN304,IF(J306="WWCV",PR!$BO304,IF(J306="ZOLON",PR!$BP304,"-"))))))))))))))))))))))))))))))))))))))))))))))))))))))))))))))))</f>
        <v>315</v>
      </c>
      <c r="J306" s="102" t="str">
        <f>EV!N391</f>
        <v>PHILIPS</v>
      </c>
      <c r="K306" s="433" t="s">
        <v>635</v>
      </c>
      <c r="L306" s="183">
        <f>IF(K306&gt;0,IF(K306="ALPHA",PR!$E304,IF(K306="ASSENE",PR!$F304,IF(K306="BIOFEM",PR!$G304,IF(K306="BIOMED",PR!$H304,IF(K306="CHI",PR!$I304,IF(K306="CLARION",PR!$J304,IF(K306="CODIX",PR!$K304,IF(K306="COSMADE",PR!$L304,IF(K306="SANCON",PR!$M304,IF(K306="DEVON",PR!$N304,IF(K306="DORTEMAG",PR!$O304,IF(K306="DGF",PR!$P304,IF(K306="DYNAMIC",PR!$Q304,IF(K306="EMZOR",PR!$R304,IF(K306="EUMATT",PR!$S304,IF(K306="FIDSON",PR!$T304,IF(K306="FCGLOBAL",PR!$U304,IF(K306="GENEITH",PR!$V304,IF(K306="GINOS",PR!$W304,IF(K306="GSK",PR!$X304,IF(K306="GLOBORG",PR!$Y304,IF(K306="GOODNEWS",PR!$Z304,IF(K306="GREENLIFE",PR!$AA304,IF(K306="HLINE",PR!$AB304,IF(K306="ROTECH",PR!$AC304,IF(K306="ISN",PR!$AD304,IF(K306="JAWA",PR!$AE304,IF(K306="LAYO",PR!$AF304,IF(K306="LEADWAY",PR!$AG304,IF(K306="LHV",PR!$AH304,IF(K306="MANOLA",PR!$AI304,IF(K306="MARCSON",PR!$AJ304,IF(K306="M&amp;B",PR!$AK304,IF(K306="MTRUST",PR!$AL304,IF(K306="MWORLD",PR!$AM304,IF(K306="MEGA",PR!$AN304,IF(K306="MICRONOVA",PR!$AO304,IF(K306="MFLASH",PR!$AP304,IF(K306="MORISON",PR!$AQ304,IF(K306="NEMEL",PR!$AR304,IF(K306="NHP",PR!$AS304,IF(K306="NHC",PR!$AT304,IF(K306="OLEAF",PR!$AU304,IF(K306="OCULUS",PR!$AV304,IF(K306="PACIFIC",PR!$AW304,IF(K306="PHAMATEX",PR!$AX304,IF(K306="PETHICS",PR!$AY304,IF(K306="PHILIPS",PR!$AZ304,IF(K306="RANBAXY",PR!$BA304,IF(K306="REALS",PR!$BB304,IF(K306="ROYAL",PR!$BC304,IF(K306="SAM",PR!$BD304,IF(K306="SEAGREEN",PR!$BE304,IF(K306="SKG",PR!$BF304,IF(K306="TAH",PR!$BG304,IF(K306="TAYLEK",PR!$BH304,IF(K306="TEMITA",PR!$BI304,IF(K306="THL",PR!$BJ304,IF(K306="UBASTIC",PR!$BK304,IF(K306="UNION",PR!$BL304,IF(K306="UNIQUE",PR!$BM304,IF(K306="VIXA",PR!$BN304,IF(K306="WWCV",PR!$BO304,IF(K306="ZOLON",PR!$BP304,"-")))))))))))))))))))))))))))))))))))))))))))))))))))))))))))))))))</f>
        <v>100</v>
      </c>
    </row>
    <row r="307" spans="1:12" ht="18.75" x14ac:dyDescent="0.3">
      <c r="A307" s="430">
        <f>PR!A305</f>
        <v>281</v>
      </c>
      <c r="B307" s="15" t="str">
        <f>PR!B305</f>
        <v>SILVER SULPHADIAZINE 25G CREAM</v>
      </c>
      <c r="C307" s="113" t="str">
        <f>PR!D305</f>
        <v>TUBE</v>
      </c>
      <c r="D307" s="113">
        <f>PR!C305</f>
        <v>400</v>
      </c>
      <c r="E307" s="108" t="str">
        <f>IF(F307="ALPHA",PR!$E305,IF(F307="ASSENE",PR!$F305,IF(F307="BIOFEM",PR!$G305,IF(F307="BIOMED",PR!$H305,IF(F307="CHI",PR!$I305,IF(F307="CLARION",PR!$J305,IF(F307="CODIX",PR!$K305,IF(F307="COSMADE",PR!$L305,IF(F307="SANCON",PR!$M305,IF(F307="DEVON",PR!$N305,IF(F307="DORTEMAG",PR!$O305,IF(F307="DGF",PR!$P305,IF(F307="DYNAMIC",PR!$Q305,IF(F307="EMZOR",PR!$R305,IF(F307="EUMATT",PR!$S305,IF(F307="FIDSON",PR!$T305,IF(F307="FCGLOBAL",PR!$U305,IF(F307="GENEITH",PR!$V305,IF(F307="GINOS",PR!$W305,IF(F307="GSK",PR!$X305,IF(F307="GLOBORG",PR!$Y305,IF(F307="GOODNEWS",PR!$Z305,IF(F307="GREENLIFE",PR!$AA305,IF(F307="HLINE",PR!$AB305,IF(F307="ROTECH",PR!$AC305,IF(F307="ISN",PR!$AD305,IF(F307="JAWA",PR!$AE305,IF(F307="LAYO",PR!$AF305,IF(F307="LEADWAY",PR!$AG305,IF(F307="LHV",PR!$AH305,IF(F307="MANOLA",PR!$AI305,IF(F307="MARCSON",PR!$AJ305,IF(F307="M&amp;B",PR!$AK305,IF(F307="MTRUST",PR!$AL305,IF(F307="MWORLD",PR!$AM305,IF(F307="MEGA",PR!$AN305,IF(F307="MICRONOVA",PR!$AO305,IF(F307="MFLASH",PR!$AP305,IF(F307="MORISON",PR!$AQ305,IF(F307="NEMEL",PR!$AR305,IF(F307="NHP",PR!$AS305,IF(F307="NHC",PR!$AT305,IF(F307="OLEAF",PR!$AU305,IF(F307="OCULUS",PR!$AV305,IF(F307="PACIFIC",PR!$AW305,IF(F307="PHAMATEX",PR!$AX305,IF(F307="PETHICS",PR!$AY305,IF(F307="PHILIPS",PR!$AZ305,IF(F307="RANBAXY",PR!$BA305,IF(F307="REALS",PR!$BB305,IF(F307="ROYAL",PR!$BC305,IF(F307="SAM",PR!$BD305,IF(F307="SEAGREEN",PR!$BE305,IF(F307="SKG",PR!$BF305,IF(F307="TAH",PR!$BG305,IF(F307="TAYLEK",PR!$BH305,IF(F307="TEMITA",PR!$BI305,IF(F307="THL",PR!$BJ305,IF(F307="UBASTIC",PR!$BK305,IF(F307="UNION",PR!$BL305,IF(F307="UNIQUE",PR!$BM305,IF(F307="VIXA",PR!$BN305,IF(F307="WWCV",PR!$BO305,IF(F307="ZOLON",PR!$BP305,"-"))))))))))))))))))))))))))))))))))))))))))))))))))))))))))))))))</f>
        <v>-</v>
      </c>
      <c r="F307" s="102">
        <f>EV!L392</f>
        <v>0</v>
      </c>
      <c r="G307" s="108" t="str">
        <f>IF(H307="ALPHA",PR!$E305,IF(H307="ASSENE",PR!$F305,IF(H307="BIOFEM",PR!$G305,IF(H307="BIOMED",PR!$H305,IF(H307="CHI",PR!$I305,IF(H307="CLARION",PR!$J305,IF(H307="CODIX",PR!$K305,IF(H307="COSMADE",PR!$L305,IF(H307="SANCON",PR!$M305,IF(H307="DEVON",PR!$N305,IF(H307="DORTEMAG",PR!$O305,IF(H307="DGF",PR!$P305,IF(H307="DYNAMIC",PR!$Q305,IF(H307="EMZOR",PR!$R305,IF(H307="EUMATT",PR!$S305,IF(H307="FIDSON",PR!$T305,IF(H307="FCGLOBAL",PR!$U305,IF(H307="GENEITH",PR!$V305,IF(H307="GINOS",PR!$W305,IF(H307="GSK",PR!$X305,IF(H307="GLOBORG",PR!$Y305,IF(H307="GOODNEWS",PR!$Z305,IF(H307="GREENLIFE",PR!$AA305,IF(H307="HLINE",PR!$AB305,IF(H307="ROTECH",PR!$AC305,IF(H307="ISN",PR!$AD305,IF(H307="JAWA",PR!$AE305,IF(H307="LAYO",PR!$AF305,IF(H307="LEADWAY",PR!$AG305,IF(H307="LHV",PR!$AH305,IF(H307="MANOLA",PR!$AI305,IF(H307="MARCSON",PR!$AJ305,IF(H307="M&amp;B",PR!$AK305,IF(H307="MTRUST",PR!$AL305,IF(H307="MWORLD",PR!$AM305,IF(H307="MEGA",PR!$AN305,IF(H307="MICRONOVA",PR!$AO305,IF(H307="MFLASH",PR!$AP305,IF(H307="MORISON",PR!$AQ305,IF(H307="NEMEL",PR!$AR305,IF(H307="NHP",PR!$AS305,IF(H307="NHC",PR!$AT305,IF(H307="OLEAF",PR!$AU305,IF(H307="OCULUS",PR!$AV305,IF(H307="PACIFIC",PR!$AW305,IF(H307="PHAMATEX",PR!$AX305,IF(H307="PETHICS",PR!$AY305,IF(H307="PHILIPS",PR!$AZ305,IF(H307="RANBAXY",PR!$BA305,IF(H307="REALS",PR!$BB305,IF(H307="ROYAL",PR!$BC305,IF(H307="SAM",PR!$BD305,IF(H307="SEAGREEN",PR!$BE305,IF(H307="SKG",PR!$BF305,IF(H307="TAH",PR!$BG305,IF(H307="TAYLEK",PR!$BH305,IF(H307="TEMITA",PR!$BI305,IF(H307="THL",PR!$BJ305,IF(H307="UBASTIC",PR!$BK305,IF(H307="UNION",PR!$BL305,IF(H307="UNIQUE",PR!$BM305,IF(H307="VIXA",PR!$BN305,IF(H307="WWCV",PR!$BO305,IF(H307="ZOLON",PR!$BP305,"-"))))))))))))))))))))))))))))))))))))))))))))))))))))))))))))))))</f>
        <v>-</v>
      </c>
      <c r="H307" s="102">
        <f>EV!M392</f>
        <v>0</v>
      </c>
      <c r="I307" s="108" t="str">
        <f>IF(J307="ALPHA",PR!$E305,IF(J307="ASSENE",PR!$F305,IF(J307="BIOFEM",PR!$G305,IF(J307="BIOMED",PR!$H305,IF(J307="CHI",PR!$I305,IF(J307="CLARION",PR!$J305,IF(J307="CODIX",PR!$K305,IF(J307="COSMADE",PR!$L305,IF(J307="SANCON",PR!$M305,IF(J307="DEVON",PR!$N305,IF(J307="DORTEMAG",PR!$O305,IF(J307="DGF",PR!$P305,IF(J307="DYNAMIC",PR!$Q305,IF(J307="EMZOR",PR!$R305,IF(J307="EUMATT",PR!$S305,IF(J307="FIDSON",PR!$T305,IF(J307="FCGLOBAL",PR!$U305,IF(J307="GENEITH",PR!$V305,IF(J307="GINOS",PR!$W305,IF(J307="GSK",PR!$X305,IF(J307="GLOBORG",PR!$Y305,IF(J307="GOODNEWS",PR!$Z305,IF(J307="GREENLIFE",PR!$AA305,IF(J307="HLINE",PR!$AB305,IF(J307="ROTECH",PR!$AC305,IF(J307="ISN",PR!$AD305,IF(J307="JAWA",PR!$AE305,IF(J307="LAYO",PR!$AF305,IF(J307="LEADWAY",PR!$AG305,IF(J307="LHV",PR!$AH305,IF(J307="MANOLA",PR!$AI305,IF(J307="MARCSON",PR!$AJ305,IF(J307="M&amp;B",PR!$AK305,IF(J307="MTRUST",PR!$AL305,IF(J307="MWORLD",PR!$AM305,IF(J307="MEGA",PR!$AN305,IF(J307="MICRONOVA",PR!$AO305,IF(J307="MFLASH",PR!$AP305,IF(J307="MORISON",PR!$AQ305,IF(J307="NEMEL",PR!$AR305,IF(J307="NHP",PR!$AS305,IF(J307="NHC",PR!$AT305,IF(J307="OLEAF",PR!$AU305,IF(J307="OCULUS",PR!$AV305,IF(J307="PACIFIC",PR!$AW305,IF(J307="PHAMATEX",PR!$AX305,IF(J307="PETHICS",PR!$AY305,IF(J307="PHILIPS",PR!$AZ305,IF(J307="RANBAXY",PR!$BA305,IF(J307="REALS",PR!$BB305,IF(J307="ROYAL",PR!$BC305,IF(J307="SAM",PR!$BD305,IF(J307="SEAGREEN",PR!$BE305,IF(J307="SKG",PR!$BF305,IF(J307="TAH",PR!$BG305,IF(J307="TAYLEK",PR!$BH305,IF(J307="TEMITA",PR!$BI305,IF(J307="THL",PR!$BJ305,IF(J307="UBASTIC",PR!$BK305,IF(J307="UNION",PR!$BL305,IF(J307="UNIQUE",PR!$BM305,IF(J307="VIXA",PR!$BN305,IF(J307="WWCV",PR!$BO305,IF(J307="ZOLON",PR!$BP305,"-"))))))))))))))))))))))))))))))))))))))))))))))))))))))))))))))))</f>
        <v>-</v>
      </c>
      <c r="J307" s="102">
        <f>EV!N392</f>
        <v>0</v>
      </c>
      <c r="K307" s="433" t="s">
        <v>646</v>
      </c>
      <c r="L307" s="183">
        <f>IF(K307&gt;0,IF(K307="ALPHA",PR!$E305,IF(K307="ASSENE",PR!$F305,IF(K307="BIOFEM",PR!$G305,IF(K307="BIOMED",PR!$H305,IF(K307="CHI",PR!$I305,IF(K307="CLARION",PR!$J305,IF(K307="CODIX",PR!$K305,IF(K307="COSMADE",PR!$L305,IF(K307="SANCON",PR!$M305,IF(K307="DEVON",PR!$N305,IF(K307="DORTEMAG",PR!$O305,IF(K307="DGF",PR!$P305,IF(K307="DYNAMIC",PR!$Q305,IF(K307="EMZOR",PR!$R305,IF(K307="EUMATT",PR!$S305,IF(K307="FIDSON",PR!$T305,IF(K307="FCGLOBAL",PR!$U305,IF(K307="GENEITH",PR!$V305,IF(K307="GINOS",PR!$W305,IF(K307="GSK",PR!$X305,IF(K307="GLOBORG",PR!$Y305,IF(K307="GOODNEWS",PR!$Z305,IF(K307="GREENLIFE",PR!$AA305,IF(K307="HLINE",PR!$AB305,IF(K307="ROTECH",PR!$AC305,IF(K307="ISN",PR!$AD305,IF(K307="JAWA",PR!$AE305,IF(K307="LAYO",PR!$AF305,IF(K307="LEADWAY",PR!$AG305,IF(K307="LHV",PR!$AH305,IF(K307="MANOLA",PR!$AI305,IF(K307="MARCSON",PR!$AJ305,IF(K307="M&amp;B",PR!$AK305,IF(K307="MTRUST",PR!$AL305,IF(K307="MWORLD",PR!$AM305,IF(K307="MEGA",PR!$AN305,IF(K307="MICRONOVA",PR!$AO305,IF(K307="MFLASH",PR!$AP305,IF(K307="MORISON",PR!$AQ305,IF(K307="NEMEL",PR!$AR305,IF(K307="NHP",PR!$AS305,IF(K307="NHC",PR!$AT305,IF(K307="OLEAF",PR!$AU305,IF(K307="OCULUS",PR!$AV305,IF(K307="PACIFIC",PR!$AW305,IF(K307="PHAMATEX",PR!$AX305,IF(K307="PETHICS",PR!$AY305,IF(K307="PHILIPS",PR!$AZ305,IF(K307="RANBAXY",PR!$BA305,IF(K307="REALS",PR!$BB305,IF(K307="ROYAL",PR!$BC305,IF(K307="SAM",PR!$BD305,IF(K307="SEAGREEN",PR!$BE305,IF(K307="SKG",PR!$BF305,IF(K307="TAH",PR!$BG305,IF(K307="TAYLEK",PR!$BH305,IF(K307="TEMITA",PR!$BI305,IF(K307="THL",PR!$BJ305,IF(K307="UBASTIC",PR!$BK305,IF(K307="UNION",PR!$BL305,IF(K307="UNIQUE",PR!$BM305,IF(K307="VIXA",PR!$BN305,IF(K307="WWCV",PR!$BO305,IF(K307="ZOLON",PR!$BP305,"-")))))))))))))))))))))))))))))))))))))))))))))))))))))))))))))))))</f>
        <v>786</v>
      </c>
    </row>
    <row r="308" spans="1:12" ht="18.75" x14ac:dyDescent="0.3">
      <c r="A308" s="430">
        <f>PR!A306</f>
        <v>282</v>
      </c>
      <c r="B308" s="15" t="str">
        <f>PR!B306</f>
        <v>SILVER SULPHADIAZINE 50G CREAM</v>
      </c>
      <c r="C308" s="113" t="str">
        <f>PR!D306</f>
        <v>TUBE</v>
      </c>
      <c r="D308" s="113">
        <f>PR!C306</f>
        <v>500</v>
      </c>
      <c r="E308" s="108">
        <f>IF(F308="ALPHA",PR!$E306,IF(F308="ASSENE",PR!$F306,IF(F308="BIOFEM",PR!$G306,IF(F308="BIOMED",PR!$H306,IF(F308="CHI",PR!$I306,IF(F308="CLARION",PR!$J306,IF(F308="CODIX",PR!$K306,IF(F308="COSMADE",PR!$L306,IF(F308="SANCON",PR!$M306,IF(F308="DEVON",PR!$N306,IF(F308="DORTEMAG",PR!$O306,IF(F308="DGF",PR!$P306,IF(F308="DYNAMIC",PR!$Q306,IF(F308="EMZOR",PR!$R306,IF(F308="EUMATT",PR!$S306,IF(F308="FIDSON",PR!$T306,IF(F308="FCGLOBAL",PR!$U306,IF(F308="GENEITH",PR!$V306,IF(F308="GINOS",PR!$W306,IF(F308="GSK",PR!$X306,IF(F308="GLOBORG",PR!$Y306,IF(F308="GOODNEWS",PR!$Z306,IF(F308="GREENLIFE",PR!$AA306,IF(F308="HLINE",PR!$AB306,IF(F308="ROTECH",PR!$AC306,IF(F308="ISN",PR!$AD306,IF(F308="JAWA",PR!$AE306,IF(F308="LAYO",PR!$AF306,IF(F308="LEADWAY",PR!$AG306,IF(F308="LHV",PR!$AH306,IF(F308="MANOLA",PR!$AI306,IF(F308="MARCSON",PR!$AJ306,IF(F308="M&amp;B",PR!$AK306,IF(F308="MTRUST",PR!$AL306,IF(F308="MWORLD",PR!$AM306,IF(F308="MEGA",PR!$AN306,IF(F308="MICRONOVA",PR!$AO306,IF(F308="MFLASH",PR!$AP306,IF(F308="MORISON",PR!$AQ306,IF(F308="NEMEL",PR!$AR306,IF(F308="NHP",PR!$AS306,IF(F308="NHC",PR!$AT306,IF(F308="OLEAF",PR!$AU306,IF(F308="OCULUS",PR!$AV306,IF(F308="PACIFIC",PR!$AW306,IF(F308="PHAMATEX",PR!$AX306,IF(F308="PETHICS",PR!$AY306,IF(F308="PHILIPS",PR!$AZ306,IF(F308="RANBAXY",PR!$BA306,IF(F308="REALS",PR!$BB306,IF(F308="ROYAL",PR!$BC306,IF(F308="SAM",PR!$BD306,IF(F308="SEAGREEN",PR!$BE306,IF(F308="SKG",PR!$BF306,IF(F308="TAH",PR!$BG306,IF(F308="TAYLEK",PR!$BH306,IF(F308="TEMITA",PR!$BI306,IF(F308="THL",PR!$BJ306,IF(F308="UBASTIC",PR!$BK306,IF(F308="UNION",PR!$BL306,IF(F308="UNIQUE",PR!$BM306,IF(F308="VIXA",PR!$BN306,IF(F308="WWCV",PR!$BO306,IF(F308="ZOLON",PR!$BP306,"-"))))))))))))))))))))))))))))))))))))))))))))))))))))))))))))))))</f>
        <v>375</v>
      </c>
      <c r="F308" s="102" t="str">
        <f>EV!L393</f>
        <v>JAWA</v>
      </c>
      <c r="G308" s="108">
        <f>IF(H308="ALPHA",PR!$E306,IF(H308="ASSENE",PR!$F306,IF(H308="BIOFEM",PR!$G306,IF(H308="BIOMED",PR!$H306,IF(H308="CHI",PR!$I306,IF(H308="CLARION",PR!$J306,IF(H308="CODIX",PR!$K306,IF(H308="COSMADE",PR!$L306,IF(H308="SANCON",PR!$M306,IF(H308="DEVON",PR!$N306,IF(H308="DORTEMAG",PR!$O306,IF(H308="DGF",PR!$P306,IF(H308="DYNAMIC",PR!$Q306,IF(H308="EMZOR",PR!$R306,IF(H308="EUMATT",PR!$S306,IF(H308="FIDSON",PR!$T306,IF(H308="FCGLOBAL",PR!$U306,IF(H308="GENEITH",PR!$V306,IF(H308="GINOS",PR!$W306,IF(H308="GSK",PR!$X306,IF(H308="GLOBORG",PR!$Y306,IF(H308="GOODNEWS",PR!$Z306,IF(H308="GREENLIFE",PR!$AA306,IF(H308="HLINE",PR!$AB306,IF(H308="ROTECH",PR!$AC306,IF(H308="ISN",PR!$AD306,IF(H308="JAWA",PR!$AE306,IF(H308="LAYO",PR!$AF306,IF(H308="LEADWAY",PR!$AG306,IF(H308="LHV",PR!$AH306,IF(H308="MANOLA",PR!$AI306,IF(H308="MARCSON",PR!$AJ306,IF(H308="M&amp;B",PR!$AK306,IF(H308="MTRUST",PR!$AL306,IF(H308="MWORLD",PR!$AM306,IF(H308="MEGA",PR!$AN306,IF(H308="MICRONOVA",PR!$AO306,IF(H308="MFLASH",PR!$AP306,IF(H308="MORISON",PR!$AQ306,IF(H308="NEMEL",PR!$AR306,IF(H308="NHP",PR!$AS306,IF(H308="NHC",PR!$AT306,IF(H308="OLEAF",PR!$AU306,IF(H308="OCULUS",PR!$AV306,IF(H308="PACIFIC",PR!$AW306,IF(H308="PHAMATEX",PR!$AX306,IF(H308="PETHICS",PR!$AY306,IF(H308="PHILIPS",PR!$AZ306,IF(H308="RANBAXY",PR!$BA306,IF(H308="REALS",PR!$BB306,IF(H308="ROYAL",PR!$BC306,IF(H308="SAM",PR!$BD306,IF(H308="SEAGREEN",PR!$BE306,IF(H308="SKG",PR!$BF306,IF(H308="TAH",PR!$BG306,IF(H308="TAYLEK",PR!$BH306,IF(H308="TEMITA",PR!$BI306,IF(H308="THL",PR!$BJ306,IF(H308="UBASTIC",PR!$BK306,IF(H308="UNION",PR!$BL306,IF(H308="UNIQUE",PR!$BM306,IF(H308="VIXA",PR!$BN306,IF(H308="WWCV",PR!$BO306,IF(H308="ZOLON",PR!$BP306,"-"))))))))))))))))))))))))))))))))))))))))))))))))))))))))))))))))</f>
        <v>900</v>
      </c>
      <c r="H308" s="102" t="str">
        <f>EV!M393</f>
        <v>TAH</v>
      </c>
      <c r="I308" s="108" t="str">
        <f>IF(J308="ALPHA",PR!$E306,IF(J308="ASSENE",PR!$F306,IF(J308="BIOFEM",PR!$G306,IF(J308="BIOMED",PR!$H306,IF(J308="CHI",PR!$I306,IF(J308="CLARION",PR!$J306,IF(J308="CODIX",PR!$K306,IF(J308="COSMADE",PR!$L306,IF(J308="SANCON",PR!$M306,IF(J308="DEVON",PR!$N306,IF(J308="DORTEMAG",PR!$O306,IF(J308="DGF",PR!$P306,IF(J308="DYNAMIC",PR!$Q306,IF(J308="EMZOR",PR!$R306,IF(J308="EUMATT",PR!$S306,IF(J308="FIDSON",PR!$T306,IF(J308="FCGLOBAL",PR!$U306,IF(J308="GENEITH",PR!$V306,IF(J308="GINOS",PR!$W306,IF(J308="GSK",PR!$X306,IF(J308="GLOBORG",PR!$Y306,IF(J308="GOODNEWS",PR!$Z306,IF(J308="GREENLIFE",PR!$AA306,IF(J308="HLINE",PR!$AB306,IF(J308="ROTECH",PR!$AC306,IF(J308="ISN",PR!$AD306,IF(J308="JAWA",PR!$AE306,IF(J308="LAYO",PR!$AF306,IF(J308="LEADWAY",PR!$AG306,IF(J308="LHV",PR!$AH306,IF(J308="MANOLA",PR!$AI306,IF(J308="MARCSON",PR!$AJ306,IF(J308="M&amp;B",PR!$AK306,IF(J308="MTRUST",PR!$AL306,IF(J308="MWORLD",PR!$AM306,IF(J308="MEGA",PR!$AN306,IF(J308="MICRONOVA",PR!$AO306,IF(J308="MFLASH",PR!$AP306,IF(J308="MORISON",PR!$AQ306,IF(J308="NEMEL",PR!$AR306,IF(J308="NHP",PR!$AS306,IF(J308="NHC",PR!$AT306,IF(J308="OLEAF",PR!$AU306,IF(J308="OCULUS",PR!$AV306,IF(J308="PACIFIC",PR!$AW306,IF(J308="PHAMATEX",PR!$AX306,IF(J308="PETHICS",PR!$AY306,IF(J308="PHILIPS",PR!$AZ306,IF(J308="RANBAXY",PR!$BA306,IF(J308="REALS",PR!$BB306,IF(J308="ROYAL",PR!$BC306,IF(J308="SAM",PR!$BD306,IF(J308="SEAGREEN",PR!$BE306,IF(J308="SKG",PR!$BF306,IF(J308="TAH",PR!$BG306,IF(J308="TAYLEK",PR!$BH306,IF(J308="TEMITA",PR!$BI306,IF(J308="THL",PR!$BJ306,IF(J308="UBASTIC",PR!$BK306,IF(J308="UNION",PR!$BL306,IF(J308="UNIQUE",PR!$BM306,IF(J308="VIXA",PR!$BN306,IF(J308="WWCV",PR!$BO306,IF(J308="ZOLON",PR!$BP306,"-"))))))))))))))))))))))))))))))))))))))))))))))))))))))))))))))))</f>
        <v>-</v>
      </c>
      <c r="J308" s="102">
        <f>EV!N393</f>
        <v>0</v>
      </c>
      <c r="K308" s="433" t="s">
        <v>646</v>
      </c>
      <c r="L308" s="183">
        <f>IF(K308&gt;0,IF(K308="ALPHA",PR!$E306,IF(K308="ASSENE",PR!$F306,IF(K308="BIOFEM",PR!$G306,IF(K308="BIOMED",PR!$H306,IF(K308="CHI",PR!$I306,IF(K308="CLARION",PR!$J306,IF(K308="CODIX",PR!$K306,IF(K308="COSMADE",PR!$L306,IF(K308="SANCON",PR!$M306,IF(K308="DEVON",PR!$N306,IF(K308="DORTEMAG",PR!$O306,IF(K308="DGF",PR!$P306,IF(K308="DYNAMIC",PR!$Q306,IF(K308="EMZOR",PR!$R306,IF(K308="EUMATT",PR!$S306,IF(K308="FIDSON",PR!$T306,IF(K308="FCGLOBAL",PR!$U306,IF(K308="GENEITH",PR!$V306,IF(K308="GINOS",PR!$W306,IF(K308="GSK",PR!$X306,IF(K308="GLOBORG",PR!$Y306,IF(K308="GOODNEWS",PR!$Z306,IF(K308="GREENLIFE",PR!$AA306,IF(K308="HLINE",PR!$AB306,IF(K308="ROTECH",PR!$AC306,IF(K308="ISN",PR!$AD306,IF(K308="JAWA",PR!$AE306,IF(K308="LAYO",PR!$AF306,IF(K308="LEADWAY",PR!$AG306,IF(K308="LHV",PR!$AH306,IF(K308="MANOLA",PR!$AI306,IF(K308="MARCSON",PR!$AJ306,IF(K308="M&amp;B",PR!$AK306,IF(K308="MTRUST",PR!$AL306,IF(K308="MWORLD",PR!$AM306,IF(K308="MEGA",PR!$AN306,IF(K308="MICRONOVA",PR!$AO306,IF(K308="MFLASH",PR!$AP306,IF(K308="MORISON",PR!$AQ306,IF(K308="NEMEL",PR!$AR306,IF(K308="NHP",PR!$AS306,IF(K308="NHC",PR!$AT306,IF(K308="OLEAF",PR!$AU306,IF(K308="OCULUS",PR!$AV306,IF(K308="PACIFIC",PR!$AW306,IF(K308="PHAMATEX",PR!$AX306,IF(K308="PETHICS",PR!$AY306,IF(K308="PHILIPS",PR!$AZ306,IF(K308="RANBAXY",PR!$BA306,IF(K308="REALS",PR!$BB306,IF(K308="ROYAL",PR!$BC306,IF(K308="SAM",PR!$BD306,IF(K308="SEAGREEN",PR!$BE306,IF(K308="SKG",PR!$BF306,IF(K308="TAH",PR!$BG306,IF(K308="TAYLEK",PR!$BH306,IF(K308="TEMITA",PR!$BI306,IF(K308="THL",PR!$BJ306,IF(K308="UBASTIC",PR!$BK306,IF(K308="UNION",PR!$BL306,IF(K308="UNIQUE",PR!$BM306,IF(K308="VIXA",PR!$BN306,IF(K308="WWCV",PR!$BO306,IF(K308="ZOLON",PR!$BP306,"-")))))))))))))))))))))))))))))))))))))))))))))))))))))))))))))))))</f>
        <v>1185</v>
      </c>
    </row>
    <row r="309" spans="1:12" ht="18.75" x14ac:dyDescent="0.3">
      <c r="A309" s="430">
        <f>PR!A307</f>
        <v>283</v>
      </c>
      <c r="B309" s="15" t="str">
        <f>PR!B307</f>
        <v>TINIDAZOLE 500MG TAB</v>
      </c>
      <c r="C309" s="113">
        <f>PR!D307</f>
        <v>10</v>
      </c>
      <c r="D309" s="113">
        <f>PR!C307</f>
        <v>20</v>
      </c>
      <c r="E309" s="108" t="str">
        <f>IF(F309="ALPHA",PR!$E307,IF(F309="ASSENE",PR!$F307,IF(F309="BIOFEM",PR!$G307,IF(F309="BIOMED",PR!$H307,IF(F309="CHI",PR!$I307,IF(F309="CLARION",PR!$J307,IF(F309="CODIX",PR!$K307,IF(F309="COSMADE",PR!$L307,IF(F309="SANCON",PR!$M307,IF(F309="DEVON",PR!$N307,IF(F309="DORTEMAG",PR!$O307,IF(F309="DGF",PR!$P307,IF(F309="DYNAMIC",PR!$Q307,IF(F309="EMZOR",PR!$R307,IF(F309="EUMATT",PR!$S307,IF(F309="FIDSON",PR!$T307,IF(F309="FCGLOBAL",PR!$U307,IF(F309="GENEITH",PR!$V307,IF(F309="GINOS",PR!$W307,IF(F309="GSK",PR!$X307,IF(F309="GLOBORG",PR!$Y307,IF(F309="GOODNEWS",PR!$Z307,IF(F309="GREENLIFE",PR!$AA307,IF(F309="HLINE",PR!$AB307,IF(F309="ROTECH",PR!$AC307,IF(F309="ISN",PR!$AD307,IF(F309="JAWA",PR!$AE307,IF(F309="LAYO",PR!$AF307,IF(F309="LEADWAY",PR!$AG307,IF(F309="LHV",PR!$AH307,IF(F309="MANOLA",PR!$AI307,IF(F309="MARCSON",PR!$AJ307,IF(F309="M&amp;B",PR!$AK307,IF(F309="MTRUST",PR!$AL307,IF(F309="MWORLD",PR!$AM307,IF(F309="MEGA",PR!$AN307,IF(F309="MICRONOVA",PR!$AO307,IF(F309="MFLASH",PR!$AP307,IF(F309="MORISON",PR!$AQ307,IF(F309="NEMEL",PR!$AR307,IF(F309="NHP",PR!$AS307,IF(F309="NHC",PR!$AT307,IF(F309="OLEAF",PR!$AU307,IF(F309="OCULUS",PR!$AV307,IF(F309="PACIFIC",PR!$AW307,IF(F309="PHAMATEX",PR!$AX307,IF(F309="PETHICS",PR!$AY307,IF(F309="PHILIPS",PR!$AZ307,IF(F309="RANBAXY",PR!$BA307,IF(F309="REALS",PR!$BB307,IF(F309="ROYAL",PR!$BC307,IF(F309="SAM",PR!$BD307,IF(F309="SEAGREEN",PR!$BE307,IF(F309="SKG",PR!$BF307,IF(F309="TAH",PR!$BG307,IF(F309="TAYLEK",PR!$BH307,IF(F309="TEMITA",PR!$BI307,IF(F309="THL",PR!$BJ307,IF(F309="UBASTIC",PR!$BK307,IF(F309="UNION",PR!$BL307,IF(F309="UNIQUE",PR!$BM307,IF(F309="VIXA",PR!$BN307,IF(F309="WWCV",PR!$BO307,IF(F309="ZOLON",PR!$BP307,"-"))))))))))))))))))))))))))))))))))))))))))))))))))))))))))))))))</f>
        <v>-</v>
      </c>
      <c r="F309" s="102">
        <f>EV!L394</f>
        <v>0</v>
      </c>
      <c r="G309" s="108" t="str">
        <f>IF(H309="ALPHA",PR!$E307,IF(H309="ASSENE",PR!$F307,IF(H309="BIOFEM",PR!$G307,IF(H309="BIOMED",PR!$H307,IF(H309="CHI",PR!$I307,IF(H309="CLARION",PR!$J307,IF(H309="CODIX",PR!$K307,IF(H309="COSMADE",PR!$L307,IF(H309="SANCON",PR!$M307,IF(H309="DEVON",PR!$N307,IF(H309="DORTEMAG",PR!$O307,IF(H309="DGF",PR!$P307,IF(H309="DYNAMIC",PR!$Q307,IF(H309="EMZOR",PR!$R307,IF(H309="EUMATT",PR!$S307,IF(H309="FIDSON",PR!$T307,IF(H309="FCGLOBAL",PR!$U307,IF(H309="GENEITH",PR!$V307,IF(H309="GINOS",PR!$W307,IF(H309="GSK",PR!$X307,IF(H309="GLOBORG",PR!$Y307,IF(H309="GOODNEWS",PR!$Z307,IF(H309="GREENLIFE",PR!$AA307,IF(H309="HLINE",PR!$AB307,IF(H309="ROTECH",PR!$AC307,IF(H309="ISN",PR!$AD307,IF(H309="JAWA",PR!$AE307,IF(H309="LAYO",PR!$AF307,IF(H309="LEADWAY",PR!$AG307,IF(H309="LHV",PR!$AH307,IF(H309="MANOLA",PR!$AI307,IF(H309="MARCSON",PR!$AJ307,IF(H309="M&amp;B",PR!$AK307,IF(H309="MTRUST",PR!$AL307,IF(H309="MWORLD",PR!$AM307,IF(H309="MEGA",PR!$AN307,IF(H309="MICRONOVA",PR!$AO307,IF(H309="MFLASH",PR!$AP307,IF(H309="MORISON",PR!$AQ307,IF(H309="NEMEL",PR!$AR307,IF(H309="NHP",PR!$AS307,IF(H309="NHC",PR!$AT307,IF(H309="OLEAF",PR!$AU307,IF(H309="OCULUS",PR!$AV307,IF(H309="PACIFIC",PR!$AW307,IF(H309="PHAMATEX",PR!$AX307,IF(H309="PETHICS",PR!$AY307,IF(H309="PHILIPS",PR!$AZ307,IF(H309="RANBAXY",PR!$BA307,IF(H309="REALS",PR!$BB307,IF(H309="ROYAL",PR!$BC307,IF(H309="SAM",PR!$BD307,IF(H309="SEAGREEN",PR!$BE307,IF(H309="SKG",PR!$BF307,IF(H309="TAH",PR!$BG307,IF(H309="TAYLEK",PR!$BH307,IF(H309="TEMITA",PR!$BI307,IF(H309="THL",PR!$BJ307,IF(H309="UBASTIC",PR!$BK307,IF(H309="UNION",PR!$BL307,IF(H309="UNIQUE",PR!$BM307,IF(H309="VIXA",PR!$BN307,IF(H309="WWCV",PR!$BO307,IF(H309="ZOLON",PR!$BP307,"-"))))))))))))))))))))))))))))))))))))))))))))))))))))))))))))))))</f>
        <v>-</v>
      </c>
      <c r="H309" s="102">
        <f>EV!M394</f>
        <v>0</v>
      </c>
      <c r="I309" s="108" t="str">
        <f>IF(J309="ALPHA",PR!$E307,IF(J309="ASSENE",PR!$F307,IF(J309="BIOFEM",PR!$G307,IF(J309="BIOMED",PR!$H307,IF(J309="CHI",PR!$I307,IF(J309="CLARION",PR!$J307,IF(J309="CODIX",PR!$K307,IF(J309="COSMADE",PR!$L307,IF(J309="SANCON",PR!$M307,IF(J309="DEVON",PR!$N307,IF(J309="DORTEMAG",PR!$O307,IF(J309="DGF",PR!$P307,IF(J309="DYNAMIC",PR!$Q307,IF(J309="EMZOR",PR!$R307,IF(J309="EUMATT",PR!$S307,IF(J309="FIDSON",PR!$T307,IF(J309="FCGLOBAL",PR!$U307,IF(J309="GENEITH",PR!$V307,IF(J309="GINOS",PR!$W307,IF(J309="GSK",PR!$X307,IF(J309="GLOBORG",PR!$Y307,IF(J309="GOODNEWS",PR!$Z307,IF(J309="GREENLIFE",PR!$AA307,IF(J309="HLINE",PR!$AB307,IF(J309="ROTECH",PR!$AC307,IF(J309="ISN",PR!$AD307,IF(J309="JAWA",PR!$AE307,IF(J309="LAYO",PR!$AF307,IF(J309="LEADWAY",PR!$AG307,IF(J309="LHV",PR!$AH307,IF(J309="MANOLA",PR!$AI307,IF(J309="MARCSON",PR!$AJ307,IF(J309="M&amp;B",PR!$AK307,IF(J309="MTRUST",PR!$AL307,IF(J309="MWORLD",PR!$AM307,IF(J309="MEGA",PR!$AN307,IF(J309="MICRONOVA",PR!$AO307,IF(J309="MFLASH",PR!$AP307,IF(J309="MORISON",PR!$AQ307,IF(J309="NEMEL",PR!$AR307,IF(J309="NHP",PR!$AS307,IF(J309="NHC",PR!$AT307,IF(J309="OLEAF",PR!$AU307,IF(J309="OCULUS",PR!$AV307,IF(J309="PACIFIC",PR!$AW307,IF(J309="PHAMATEX",PR!$AX307,IF(J309="PETHICS",PR!$AY307,IF(J309="PHILIPS",PR!$AZ307,IF(J309="RANBAXY",PR!$BA307,IF(J309="REALS",PR!$BB307,IF(J309="ROYAL",PR!$BC307,IF(J309="SAM",PR!$BD307,IF(J309="SEAGREEN",PR!$BE307,IF(J309="SKG",PR!$BF307,IF(J309="TAH",PR!$BG307,IF(J309="TAYLEK",PR!$BH307,IF(J309="TEMITA",PR!$BI307,IF(J309="THL",PR!$BJ307,IF(J309="UBASTIC",PR!$BK307,IF(J309="UNION",PR!$BL307,IF(J309="UNIQUE",PR!$BM307,IF(J309="VIXA",PR!$BN307,IF(J309="WWCV",PR!$BO307,IF(J309="ZOLON",PR!$BP307,"-"))))))))))))))))))))))))))))))))))))))))))))))))))))))))))))))))</f>
        <v>-</v>
      </c>
      <c r="J309" s="102">
        <f>EV!N394</f>
        <v>0</v>
      </c>
      <c r="K309" s="433"/>
      <c r="L309" s="183" t="b">
        <f>IF(K309&gt;0,IF(K309="ALPHA",PR!$E307,IF(K309="ASSENE",PR!$F307,IF(K309="BIOFEM",PR!$G307,IF(K309="BIOMED",PR!$H307,IF(K309="CHI",PR!$I307,IF(K309="CLARION",PR!$J307,IF(K309="CODIX",PR!$K307,IF(K309="COSMADE",PR!$L307,IF(K309="SANCON",PR!$M307,IF(K309="DEVON",PR!$N307,IF(K309="DORTEMAG",PR!$O307,IF(K309="DGF",PR!$P307,IF(K309="DYNAMIC",PR!$Q307,IF(K309="EMZOR",PR!$R307,IF(K309="EUMATT",PR!$S307,IF(K309="FIDSON",PR!$T307,IF(K309="FCGLOBAL",PR!$U307,IF(K309="GENEITH",PR!$V307,IF(K309="GINOS",PR!$W307,IF(K309="GSK",PR!$X307,IF(K309="GLOBORG",PR!$Y307,IF(K309="GOODNEWS",PR!$Z307,IF(K309="GREENLIFE",PR!$AA307,IF(K309="HLINE",PR!$AB307,IF(K309="ROTECH",PR!$AC307,IF(K309="ISN",PR!$AD307,IF(K309="JAWA",PR!$AE307,IF(K309="LAYO",PR!$AF307,IF(K309="LEADWAY",PR!$AG307,IF(K309="LHV",PR!$AH307,IF(K309="MANOLA",PR!$AI307,IF(K309="MARCSON",PR!$AJ307,IF(K309="M&amp;B",PR!$AK307,IF(K309="MTRUST",PR!$AL307,IF(K309="MWORLD",PR!$AM307,IF(K309="MEGA",PR!$AN307,IF(K309="MICRONOVA",PR!$AO307,IF(K309="MFLASH",PR!$AP307,IF(K309="MORISON",PR!$AQ307,IF(K309="NEMEL",PR!$AR307,IF(K309="NHP",PR!$AS307,IF(K309="NHC",PR!$AT307,IF(K309="OLEAF",PR!$AU307,IF(K309="OCULUS",PR!$AV307,IF(K309="PACIFIC",PR!$AW307,IF(K309="PHAMATEX",PR!$AX307,IF(K309="PETHICS",PR!$AY307,IF(K309="PHILIPS",PR!$AZ307,IF(K309="RANBAXY",PR!$BA307,IF(K309="REALS",PR!$BB307,IF(K309="ROYAL",PR!$BC307,IF(K309="SAM",PR!$BD307,IF(K309="SEAGREEN",PR!$BE307,IF(K309="SKG",PR!$BF307,IF(K309="TAH",PR!$BG307,IF(K309="TAYLEK",PR!$BH307,IF(K309="TEMITA",PR!$BI307,IF(K309="THL",PR!$BJ307,IF(K309="UBASTIC",PR!$BK307,IF(K309="UNION",PR!$BL307,IF(K309="UNIQUE",PR!$BM307,IF(K309="VIXA",PR!$BN307,IF(K309="WWCV",PR!$BO307,IF(K309="ZOLON",PR!$BP307,"-")))))))))))))))))))))))))))))))))))))))))))))))))))))))))))))))))</f>
        <v>0</v>
      </c>
    </row>
    <row r="310" spans="1:12" ht="18.75" x14ac:dyDescent="0.3">
      <c r="A310" s="430">
        <f>PR!A308</f>
        <v>284</v>
      </c>
      <c r="B310" s="15" t="str">
        <f>PR!B308</f>
        <v>VANCOMYCIN 1GM INJ</v>
      </c>
      <c r="C310" s="113" t="str">
        <f>PR!D308</f>
        <v>VIAL</v>
      </c>
      <c r="D310" s="113">
        <f>PR!C308</f>
        <v>10</v>
      </c>
      <c r="E310" s="108">
        <f>IF(F310="ALPHA",PR!$E308,IF(F310="ASSENE",PR!$F308,IF(F310="BIOFEM",PR!$G308,IF(F310="BIOMED",PR!$H308,IF(F310="CHI",PR!$I308,IF(F310="CLARION",PR!$J308,IF(F310="CODIX",PR!$K308,IF(F310="COSMADE",PR!$L308,IF(F310="SANCON",PR!$M308,IF(F310="DEVON",PR!$N308,IF(F310="DORTEMAG",PR!$O308,IF(F310="DGF",PR!$P308,IF(F310="DYNAMIC",PR!$Q308,IF(F310="EMZOR",PR!$R308,IF(F310="EUMATT",PR!$S308,IF(F310="FIDSON",PR!$T308,IF(F310="FCGLOBAL",PR!$U308,IF(F310="GENEITH",PR!$V308,IF(F310="GINOS",PR!$W308,IF(F310="GSK",PR!$X308,IF(F310="GLOBORG",PR!$Y308,IF(F310="GOODNEWS",PR!$Z308,IF(F310="GREENLIFE",PR!$AA308,IF(F310="HLINE",PR!$AB308,IF(F310="ROTECH",PR!$AC308,IF(F310="ISN",PR!$AD308,IF(F310="JAWA",PR!$AE308,IF(F310="LAYO",PR!$AF308,IF(F310="LEADWAY",PR!$AG308,IF(F310="LHV",PR!$AH308,IF(F310="MANOLA",PR!$AI308,IF(F310="MARCSON",PR!$AJ308,IF(F310="M&amp;B",PR!$AK308,IF(F310="MTRUST",PR!$AL308,IF(F310="MWORLD",PR!$AM308,IF(F310="MEGA",PR!$AN308,IF(F310="MICRONOVA",PR!$AO308,IF(F310="MFLASH",PR!$AP308,IF(F310="MORISON",PR!$AQ308,IF(F310="NEMEL",PR!$AR308,IF(F310="NHP",PR!$AS308,IF(F310="NHC",PR!$AT308,IF(F310="OLEAF",PR!$AU308,IF(F310="OCULUS",PR!$AV308,IF(F310="PACIFIC",PR!$AW308,IF(F310="PHAMATEX",PR!$AX308,IF(F310="PETHICS",PR!$AY308,IF(F310="PHILIPS",PR!$AZ308,IF(F310="RANBAXY",PR!$BA308,IF(F310="REALS",PR!$BB308,IF(F310="ROYAL",PR!$BC308,IF(F310="SAM",PR!$BD308,IF(F310="SEAGREEN",PR!$BE308,IF(F310="SKG",PR!$BF308,IF(F310="TAH",PR!$BG308,IF(F310="TAYLEK",PR!$BH308,IF(F310="TEMITA",PR!$BI308,IF(F310="THL",PR!$BJ308,IF(F310="UBASTIC",PR!$BK308,IF(F310="UNION",PR!$BL308,IF(F310="UNIQUE",PR!$BM308,IF(F310="VIXA",PR!$BN308,IF(F310="WWCV",PR!$BO308,IF(F310="ZOLON",PR!$BP308,"-"))))))))))))))))))))))))))))))))))))))))))))))))))))))))))))))))</f>
        <v>2500</v>
      </c>
      <c r="F310" s="102" t="str">
        <f>EV!L395</f>
        <v>EUMATT</v>
      </c>
      <c r="G310" s="108" t="str">
        <f>IF(H310="ALPHA",PR!$E308,IF(H310="ASSENE",PR!$F308,IF(H310="BIOFEM",PR!$G308,IF(H310="BIOMED",PR!$H308,IF(H310="CHI",PR!$I308,IF(H310="CLARION",PR!$J308,IF(H310="CODIX",PR!$K308,IF(H310="COSMADE",PR!$L308,IF(H310="SANCON",PR!$M308,IF(H310="DEVON",PR!$N308,IF(H310="DORTEMAG",PR!$O308,IF(H310="DGF",PR!$P308,IF(H310="DYNAMIC",PR!$Q308,IF(H310="EMZOR",PR!$R308,IF(H310="EUMATT",PR!$S308,IF(H310="FIDSON",PR!$T308,IF(H310="FCGLOBAL",PR!$U308,IF(H310="GENEITH",PR!$V308,IF(H310="GINOS",PR!$W308,IF(H310="GSK",PR!$X308,IF(H310="GLOBORG",PR!$Y308,IF(H310="GOODNEWS",PR!$Z308,IF(H310="GREENLIFE",PR!$AA308,IF(H310="HLINE",PR!$AB308,IF(H310="ROTECH",PR!$AC308,IF(H310="ISN",PR!$AD308,IF(H310="JAWA",PR!$AE308,IF(H310="LAYO",PR!$AF308,IF(H310="LEADWAY",PR!$AG308,IF(H310="LHV",PR!$AH308,IF(H310="MANOLA",PR!$AI308,IF(H310="MARCSON",PR!$AJ308,IF(H310="M&amp;B",PR!$AK308,IF(H310="MTRUST",PR!$AL308,IF(H310="MWORLD",PR!$AM308,IF(H310="MEGA",PR!$AN308,IF(H310="MICRONOVA",PR!$AO308,IF(H310="MFLASH",PR!$AP308,IF(H310="MORISON",PR!$AQ308,IF(H310="NEMEL",PR!$AR308,IF(H310="NHP",PR!$AS308,IF(H310="NHC",PR!$AT308,IF(H310="OLEAF",PR!$AU308,IF(H310="OCULUS",PR!$AV308,IF(H310="PACIFIC",PR!$AW308,IF(H310="PHAMATEX",PR!$AX308,IF(H310="PETHICS",PR!$AY308,IF(H310="PHILIPS",PR!$AZ308,IF(H310="RANBAXY",PR!$BA308,IF(H310="REALS",PR!$BB308,IF(H310="ROYAL",PR!$BC308,IF(H310="SAM",PR!$BD308,IF(H310="SEAGREEN",PR!$BE308,IF(H310="SKG",PR!$BF308,IF(H310="TAH",PR!$BG308,IF(H310="TAYLEK",PR!$BH308,IF(H310="TEMITA",PR!$BI308,IF(H310="THL",PR!$BJ308,IF(H310="UBASTIC",PR!$BK308,IF(H310="UNION",PR!$BL308,IF(H310="UNIQUE",PR!$BM308,IF(H310="VIXA",PR!$BN308,IF(H310="WWCV",PR!$BO308,IF(H310="ZOLON",PR!$BP308,"-"))))))))))))))))))))))))))))))))))))))))))))))))))))))))))))))))</f>
        <v>-</v>
      </c>
      <c r="H310" s="102">
        <f>EV!M395</f>
        <v>0</v>
      </c>
      <c r="I310" s="108" t="str">
        <f>IF(J310="ALPHA",PR!$E308,IF(J310="ASSENE",PR!$F308,IF(J310="BIOFEM",PR!$G308,IF(J310="BIOMED",PR!$H308,IF(J310="CHI",PR!$I308,IF(J310="CLARION",PR!$J308,IF(J310="CODIX",PR!$K308,IF(J310="COSMADE",PR!$L308,IF(J310="SANCON",PR!$M308,IF(J310="DEVON",PR!$N308,IF(J310="DORTEMAG",PR!$O308,IF(J310="DGF",PR!$P308,IF(J310="DYNAMIC",PR!$Q308,IF(J310="EMZOR",PR!$R308,IF(J310="EUMATT",PR!$S308,IF(J310="FIDSON",PR!$T308,IF(J310="FCGLOBAL",PR!$U308,IF(J310="GENEITH",PR!$V308,IF(J310="GINOS",PR!$W308,IF(J310="GSK",PR!$X308,IF(J310="GLOBORG",PR!$Y308,IF(J310="GOODNEWS",PR!$Z308,IF(J310="GREENLIFE",PR!$AA308,IF(J310="HLINE",PR!$AB308,IF(J310="ROTECH",PR!$AC308,IF(J310="ISN",PR!$AD308,IF(J310="JAWA",PR!$AE308,IF(J310="LAYO",PR!$AF308,IF(J310="LEADWAY",PR!$AG308,IF(J310="LHV",PR!$AH308,IF(J310="MANOLA",PR!$AI308,IF(J310="MARCSON",PR!$AJ308,IF(J310="M&amp;B",PR!$AK308,IF(J310="MTRUST",PR!$AL308,IF(J310="MWORLD",PR!$AM308,IF(J310="MEGA",PR!$AN308,IF(J310="MICRONOVA",PR!$AO308,IF(J310="MFLASH",PR!$AP308,IF(J310="MORISON",PR!$AQ308,IF(J310="NEMEL",PR!$AR308,IF(J310="NHP",PR!$AS308,IF(J310="NHC",PR!$AT308,IF(J310="OLEAF",PR!$AU308,IF(J310="OCULUS",PR!$AV308,IF(J310="PACIFIC",PR!$AW308,IF(J310="PHAMATEX",PR!$AX308,IF(J310="PETHICS",PR!$AY308,IF(J310="PHILIPS",PR!$AZ308,IF(J310="RANBAXY",PR!$BA308,IF(J310="REALS",PR!$BB308,IF(J310="ROYAL",PR!$BC308,IF(J310="SAM",PR!$BD308,IF(J310="SEAGREEN",PR!$BE308,IF(J310="SKG",PR!$BF308,IF(J310="TAH",PR!$BG308,IF(J310="TAYLEK",PR!$BH308,IF(J310="TEMITA",PR!$BI308,IF(J310="THL",PR!$BJ308,IF(J310="UBASTIC",PR!$BK308,IF(J310="UNION",PR!$BL308,IF(J310="UNIQUE",PR!$BM308,IF(J310="VIXA",PR!$BN308,IF(J310="WWCV",PR!$BO308,IF(J310="ZOLON",PR!$BP308,"-"))))))))))))))))))))))))))))))))))))))))))))))))))))))))))))))))</f>
        <v>-</v>
      </c>
      <c r="J310" s="102">
        <f>EV!N395</f>
        <v>0</v>
      </c>
      <c r="K310" s="433" t="s">
        <v>821</v>
      </c>
      <c r="L310" s="183">
        <f>IF(K310&gt;0,IF(K310="ALPHA",PR!$E308,IF(K310="ASSENE",PR!$F308,IF(K310="BIOFEM",PR!$G308,IF(K310="BIOMED",PR!$H308,IF(K310="CHI",PR!$I308,IF(K310="CLARION",PR!$J308,IF(K310="CODIX",PR!$K308,IF(K310="COSMADE",PR!$L308,IF(K310="SANCON",PR!$M308,IF(K310="DEVON",PR!$N308,IF(K310="DORTEMAG",PR!$O308,IF(K310="DGF",PR!$P308,IF(K310="DYNAMIC",PR!$Q308,IF(K310="EMZOR",PR!$R308,IF(K310="EUMATT",PR!$S308,IF(K310="FIDSON",PR!$T308,IF(K310="FCGLOBAL",PR!$U308,IF(K310="GENEITH",PR!$V308,IF(K310="GINOS",PR!$W308,IF(K310="GSK",PR!$X308,IF(K310="GLOBORG",PR!$Y308,IF(K310="GOODNEWS",PR!$Z308,IF(K310="GREENLIFE",PR!$AA308,IF(K310="HLINE",PR!$AB308,IF(K310="ROTECH",PR!$AC308,IF(K310="ISN",PR!$AD308,IF(K310="JAWA",PR!$AE308,IF(K310="LAYO",PR!$AF308,IF(K310="LEADWAY",PR!$AG308,IF(K310="LHV",PR!$AH308,IF(K310="MANOLA",PR!$AI308,IF(K310="MARCSON",PR!$AJ308,IF(K310="M&amp;B",PR!$AK308,IF(K310="MTRUST",PR!$AL308,IF(K310="MWORLD",PR!$AM308,IF(K310="MEGA",PR!$AN308,IF(K310="MICRONOVA",PR!$AO308,IF(K310="MFLASH",PR!$AP308,IF(K310="MORISON",PR!$AQ308,IF(K310="NEMEL",PR!$AR308,IF(K310="NHP",PR!$AS308,IF(K310="NHC",PR!$AT308,IF(K310="OLEAF",PR!$AU308,IF(K310="OCULUS",PR!$AV308,IF(K310="PACIFIC",PR!$AW308,IF(K310="PHAMATEX",PR!$AX308,IF(K310="PETHICS",PR!$AY308,IF(K310="PHILIPS",PR!$AZ308,IF(K310="RANBAXY",PR!$BA308,IF(K310="REALS",PR!$BB308,IF(K310="ROYAL",PR!$BC308,IF(K310="SAM",PR!$BD308,IF(K310="SEAGREEN",PR!$BE308,IF(K310="SKG",PR!$BF308,IF(K310="TAH",PR!$BG308,IF(K310="TAYLEK",PR!$BH308,IF(K310="TEMITA",PR!$BI308,IF(K310="THL",PR!$BJ308,IF(K310="UBASTIC",PR!$BK308,IF(K310="UNION",PR!$BL308,IF(K310="UNIQUE",PR!$BM308,IF(K310="VIXA",PR!$BN308,IF(K310="WWCV",PR!$BO308,IF(K310="ZOLON",PR!$BP308,"-")))))))))))))))))))))))))))))))))))))))))))))))))))))))))))))))))</f>
        <v>2500</v>
      </c>
    </row>
    <row r="311" spans="1:12" ht="18.75" x14ac:dyDescent="0.3">
      <c r="A311" s="430">
        <f>PR!A309</f>
        <v>0</v>
      </c>
      <c r="B311" s="15">
        <f>PR!B309</f>
        <v>0</v>
      </c>
      <c r="C311" s="113">
        <f>PR!D309</f>
        <v>0</v>
      </c>
      <c r="D311" s="113">
        <f>PR!C309</f>
        <v>0</v>
      </c>
      <c r="E311" s="108" t="str">
        <f>IF(F311="ALPHA",PR!$E309,IF(F311="ASSENE",PR!$F309,IF(F311="BIOFEM",PR!$G309,IF(F311="BIOMED",PR!$H309,IF(F311="CHI",PR!$I309,IF(F311="CLARION",PR!$J309,IF(F311="CODIX",PR!$K309,IF(F311="COSMADE",PR!$L309,IF(F311="SANCON",PR!$M309,IF(F311="DEVON",PR!$N309,IF(F311="DORTEMAG",PR!$O309,IF(F311="DGF",PR!$P309,IF(F311="DYNAMIC",PR!$Q309,IF(F311="EMZOR",PR!$R309,IF(F311="EUMATT",PR!$S309,IF(F311="FIDSON",PR!$T309,IF(F311="FCGLOBAL",PR!$U309,IF(F311="GENEITH",PR!$V309,IF(F311="GINOS",PR!$W309,IF(F311="GSK",PR!$X309,IF(F311="GLOBORG",PR!$Y309,IF(F311="GOODNEWS",PR!$Z309,IF(F311="GREENLIFE",PR!$AA309,IF(F311="HLINE",PR!$AB309,IF(F311="ROTECH",PR!$AC309,IF(F311="ISN",PR!$AD309,IF(F311="JAWA",PR!$AE309,IF(F311="LAYO",PR!$AF309,IF(F311="LEADWAY",PR!$AG309,IF(F311="LHV",PR!$AH309,IF(F311="MANOLA",PR!$AI309,IF(F311="MARCSON",PR!$AJ309,IF(F311="M&amp;B",PR!$AK309,IF(F311="MTRUST",PR!$AL309,IF(F311="MWORLD",PR!$AM309,IF(F311="MEGA",PR!$AN309,IF(F311="MICRONOVA",PR!$AO309,IF(F311="MFLASH",PR!$AP309,IF(F311="MORISON",PR!$AQ309,IF(F311="NEMEL",PR!$AR309,IF(F311="NHP",PR!$AS309,IF(F311="NHC",PR!$AT309,IF(F311="OLEAF",PR!$AU309,IF(F311="OCULUS",PR!$AV309,IF(F311="PACIFIC",PR!$AW309,IF(F311="PHAMATEX",PR!$AX309,IF(F311="PETHICS",PR!$AY309,IF(F311="PHILIPS",PR!$AZ309,IF(F311="RANBAXY",PR!$BA309,IF(F311="REALS",PR!$BB309,IF(F311="ROYAL",PR!$BC309,IF(F311="SAM",PR!$BD309,IF(F311="SEAGREEN",PR!$BE309,IF(F311="SKG",PR!$BF309,IF(F311="TAH",PR!$BG309,IF(F311="TAYLEK",PR!$BH309,IF(F311="TEMITA",PR!$BI309,IF(F311="THL",PR!$BJ309,IF(F311="UBASTIC",PR!$BK309,IF(F311="UNION",PR!$BL309,IF(F311="UNIQUE",PR!$BM309,IF(F311="VIXA",PR!$BN309,IF(F311="WWCV",PR!$BO309,IF(F311="ZOLON",PR!$BP309,"-"))))))))))))))))))))))))))))))))))))))))))))))))))))))))))))))))</f>
        <v>-</v>
      </c>
      <c r="F311" s="102"/>
      <c r="G311" s="108" t="str">
        <f>IF(H311="ALPHA",PR!$E309,IF(H311="ASSENE",PR!$F309,IF(H311="BIOFEM",PR!$G309,IF(H311="BIOMED",PR!$H309,IF(H311="CHI",PR!$I309,IF(H311="CLARION",PR!$J309,IF(H311="CODIX",PR!$K309,IF(H311="COSMADE",PR!$L309,IF(H311="SANCON",PR!$M309,IF(H311="DEVON",PR!$N309,IF(H311="DORTEMAG",PR!$O309,IF(H311="DGF",PR!$P309,IF(H311="DYNAMIC",PR!$Q309,IF(H311="EMZOR",PR!$R309,IF(H311="EUMATT",PR!$S309,IF(H311="FIDSON",PR!$T309,IF(H311="FCGLOBAL",PR!$U309,IF(H311="GENEITH",PR!$V309,IF(H311="GINOS",PR!$W309,IF(H311="GSK",PR!$X309,IF(H311="GLOBORG",PR!$Y309,IF(H311="GOODNEWS",PR!$Z309,IF(H311="GREENLIFE",PR!$AA309,IF(H311="HLINE",PR!$AB309,IF(H311="ROTECH",PR!$AC309,IF(H311="ISN",PR!$AD309,IF(H311="JAWA",PR!$AE309,IF(H311="LAYO",PR!$AF309,IF(H311="LEADWAY",PR!$AG309,IF(H311="LHV",PR!$AH309,IF(H311="MANOLA",PR!$AI309,IF(H311="MARCSON",PR!$AJ309,IF(H311="M&amp;B",PR!$AK309,IF(H311="MTRUST",PR!$AL309,IF(H311="MWORLD",PR!$AM309,IF(H311="MEGA",PR!$AN309,IF(H311="MICRONOVA",PR!$AO309,IF(H311="MFLASH",PR!$AP309,IF(H311="MORISON",PR!$AQ309,IF(H311="NEMEL",PR!$AR309,IF(H311="NHP",PR!$AS309,IF(H311="NHC",PR!$AT309,IF(H311="OLEAF",PR!$AU309,IF(H311="OCULUS",PR!$AV309,IF(H311="PACIFIC",PR!$AW309,IF(H311="PHAMATEX",PR!$AX309,IF(H311="PETHICS",PR!$AY309,IF(H311="PHILIPS",PR!$AZ309,IF(H311="RANBAXY",PR!$BA309,IF(H311="REALS",PR!$BB309,IF(H311="ROYAL",PR!$BC309,IF(H311="SAM",PR!$BD309,IF(H311="SEAGREEN",PR!$BE309,IF(H311="SKG",PR!$BF309,IF(H311="TAH",PR!$BG309,IF(H311="TAYLEK",PR!$BH309,IF(H311="TEMITA",PR!$BI309,IF(H311="THL",PR!$BJ309,IF(H311="UBASTIC",PR!$BK309,IF(H311="UNION",PR!$BL309,IF(H311="UNIQUE",PR!$BM309,IF(H311="VIXA",PR!$BN309,IF(H311="WWCV",PR!$BO309,IF(H311="ZOLON",PR!$BP309,"-"))))))))))))))))))))))))))))))))))))))))))))))))))))))))))))))))</f>
        <v>-</v>
      </c>
      <c r="H311" s="102"/>
      <c r="I311" s="108" t="str">
        <f>IF(J311="ALPHA",PR!$E309,IF(J311="ASSENE",PR!$F309,IF(J311="BIOFEM",PR!$G309,IF(J311="BIOMED",PR!$H309,IF(J311="CHI",PR!$I309,IF(J311="CLARION",PR!$J309,IF(J311="CODIX",PR!$K309,IF(J311="COSMADE",PR!$L309,IF(J311="SANCON",PR!$M309,IF(J311="DEVON",PR!$N309,IF(J311="DORTEMAG",PR!$O309,IF(J311="DGF",PR!$P309,IF(J311="DYNAMIC",PR!$Q309,IF(J311="EMZOR",PR!$R309,IF(J311="EUMATT",PR!$S309,IF(J311="FIDSON",PR!$T309,IF(J311="FCGLOBAL",PR!$U309,IF(J311="GENEITH",PR!$V309,IF(J311="GINOS",PR!$W309,IF(J311="GSK",PR!$X309,IF(J311="GLOBORG",PR!$Y309,IF(J311="GOODNEWS",PR!$Z309,IF(J311="GREENLIFE",PR!$AA309,IF(J311="HLINE",PR!$AB309,IF(J311="ROTECH",PR!$AC309,IF(J311="ISN",PR!$AD309,IF(J311="JAWA",PR!$AE309,IF(J311="LAYO",PR!$AF309,IF(J311="LEADWAY",PR!$AG309,IF(J311="LHV",PR!$AH309,IF(J311="MANOLA",PR!$AI309,IF(J311="MARCSON",PR!$AJ309,IF(J311="M&amp;B",PR!$AK309,IF(J311="MTRUST",PR!$AL309,IF(J311="MWORLD",PR!$AM309,IF(J311="MEGA",PR!$AN309,IF(J311="MICRONOVA",PR!$AO309,IF(J311="MFLASH",PR!$AP309,IF(J311="MORISON",PR!$AQ309,IF(J311="NEMEL",PR!$AR309,IF(J311="NHP",PR!$AS309,IF(J311="NHC",PR!$AT309,IF(J311="OLEAF",PR!$AU309,IF(J311="OCULUS",PR!$AV309,IF(J311="PACIFIC",PR!$AW309,IF(J311="PHAMATEX",PR!$AX309,IF(J311="PETHICS",PR!$AY309,IF(J311="PHILIPS",PR!$AZ309,IF(J311="RANBAXY",PR!$BA309,IF(J311="REALS",PR!$BB309,IF(J311="ROYAL",PR!$BC309,IF(J311="SAM",PR!$BD309,IF(J311="SEAGREEN",PR!$BE309,IF(J311="SKG",PR!$BF309,IF(J311="TAH",PR!$BG309,IF(J311="TAYLEK",PR!$BH309,IF(J311="TEMITA",PR!$BI309,IF(J311="THL",PR!$BJ309,IF(J311="UBASTIC",PR!$BK309,IF(J311="UNION",PR!$BL309,IF(J311="UNIQUE",PR!$BM309,IF(J311="VIXA",PR!$BN309,IF(J311="WWCV",PR!$BO309,IF(J311="ZOLON",PR!$BP309,"-"))))))))))))))))))))))))))))))))))))))))))))))))))))))))))))))))</f>
        <v>-</v>
      </c>
      <c r="J311" s="102"/>
      <c r="K311" s="433"/>
      <c r="L311" s="183" t="b">
        <f>IF(K311&gt;0,IF(K311="ALPHA",PR!$E309,IF(K311="ASSENE",PR!$F309,IF(K311="BIOFEM",PR!$G309,IF(K311="BIOMED",PR!$H309,IF(K311="CHI",PR!$I309,IF(K311="CLARION",PR!$J309,IF(K311="CODIX",PR!$K309,IF(K311="COSMADE",PR!$L309,IF(K311="SANCON",PR!$M309,IF(K311="DEVON",PR!$N309,IF(K311="DORTEMAG",PR!$O309,IF(K311="DGF",PR!$P309,IF(K311="DYNAMIC",PR!$Q309,IF(K311="EMZOR",PR!$R309,IF(K311="EUMATT",PR!$S309,IF(K311="FIDSON",PR!$T309,IF(K311="FCGLOBAL",PR!$U309,IF(K311="GENEITH",PR!$V309,IF(K311="GINOS",PR!$W309,IF(K311="GSK",PR!$X309,IF(K311="GLOBORG",PR!$Y309,IF(K311="GOODNEWS",PR!$Z309,IF(K311="GREENLIFE",PR!$AA309,IF(K311="HLINE",PR!$AB309,IF(K311="ROTECH",PR!$AC309,IF(K311="ISN",PR!$AD309,IF(K311="JAWA",PR!$AE309,IF(K311="LAYO",PR!$AF309,IF(K311="LEADWAY",PR!$AG309,IF(K311="LHV",PR!$AH309,IF(K311="MANOLA",PR!$AI309,IF(K311="MARCSON",PR!$AJ309,IF(K311="M&amp;B",PR!$AK309,IF(K311="MTRUST",PR!$AL309,IF(K311="MWORLD",PR!$AM309,IF(K311="MEGA",PR!$AN309,IF(K311="MICRONOVA",PR!$AO309,IF(K311="MFLASH",PR!$AP309,IF(K311="MORISON",PR!$AQ309,IF(K311="NEMEL",PR!$AR309,IF(K311="NHP",PR!$AS309,IF(K311="NHC",PR!$AT309,IF(K311="OLEAF",PR!$AU309,IF(K311="OCULUS",PR!$AV309,IF(K311="PACIFIC",PR!$AW309,IF(K311="PHAMATEX",PR!$AX309,IF(K311="PETHICS",PR!$AY309,IF(K311="PHILIPS",PR!$AZ309,IF(K311="RANBAXY",PR!$BA309,IF(K311="REALS",PR!$BB309,IF(K311="ROYAL",PR!$BC309,IF(K311="SAM",PR!$BD309,IF(K311="SEAGREEN",PR!$BE309,IF(K311="SKG",PR!$BF309,IF(K311="TAH",PR!$BG309,IF(K311="TAYLEK",PR!$BH309,IF(K311="TEMITA",PR!$BI309,IF(K311="THL",PR!$BJ309,IF(K311="UBASTIC",PR!$BK309,IF(K311="UNION",PR!$BL309,IF(K311="UNIQUE",PR!$BM309,IF(K311="VIXA",PR!$BN309,IF(K311="WWCV",PR!$BO309,IF(K311="ZOLON",PR!$BP309,"-")))))))))))))))))))))))))))))))))))))))))))))))))))))))))))))))))</f>
        <v>0</v>
      </c>
    </row>
    <row r="312" spans="1:12" ht="18.75" x14ac:dyDescent="0.3">
      <c r="A312" s="430">
        <f>PR!A310</f>
        <v>0</v>
      </c>
      <c r="B312" s="15">
        <f>PR!B310</f>
        <v>0</v>
      </c>
      <c r="C312" s="113">
        <f>PR!D310</f>
        <v>0</v>
      </c>
      <c r="D312" s="113">
        <f>PR!C310</f>
        <v>0</v>
      </c>
      <c r="E312" s="108" t="str">
        <f>IF(F312="ALPHA",PR!$E310,IF(F312="ASSENE",PR!$F310,IF(F312="BIOFEM",PR!$G310,IF(F312="BIOMED",PR!$H310,IF(F312="CHI",PR!$I310,IF(F312="CLARION",PR!$J310,IF(F312="CODIX",PR!$K310,IF(F312="COSMADE",PR!$L310,IF(F312="SANCON",PR!$M310,IF(F312="DEVON",PR!$N310,IF(F312="DORTEMAG",PR!$O310,IF(F312="DGF",PR!$P310,IF(F312="DYNAMIC",PR!$Q310,IF(F312="EMZOR",PR!$R310,IF(F312="EUMATT",PR!$S310,IF(F312="FIDSON",PR!$T310,IF(F312="FCGLOBAL",PR!$U310,IF(F312="GENEITH",PR!$V310,IF(F312="GINOS",PR!$W310,IF(F312="GSK",PR!$X310,IF(F312="GLOBORG",PR!$Y310,IF(F312="GOODNEWS",PR!$Z310,IF(F312="GREENLIFE",PR!$AA310,IF(F312="HLINE",PR!$AB310,IF(F312="ROTECH",PR!$AC310,IF(F312="ISN",PR!$AD310,IF(F312="JAWA",PR!$AE310,IF(F312="LAYO",PR!$AF310,IF(F312="LEADWAY",PR!$AG310,IF(F312="LHV",PR!$AH310,IF(F312="MANOLA",PR!$AI310,IF(F312="MARCSON",PR!$AJ310,IF(F312="M&amp;B",PR!$AK310,IF(F312="MTRUST",PR!$AL310,IF(F312="MWORLD",PR!$AM310,IF(F312="MEGA",PR!$AN310,IF(F312="MICRONOVA",PR!$AO310,IF(F312="MFLASH",PR!$AP310,IF(F312="MORISON",PR!$AQ310,IF(F312="NEMEL",PR!$AR310,IF(F312="NHP",PR!$AS310,IF(F312="NHC",PR!$AT310,IF(F312="OLEAF",PR!$AU310,IF(F312="OCULUS",PR!$AV310,IF(F312="PACIFIC",PR!$AW310,IF(F312="PHAMATEX",PR!$AX310,IF(F312="PETHICS",PR!$AY310,IF(F312="PHILIPS",PR!$AZ310,IF(F312="RANBAXY",PR!$BA310,IF(F312="REALS",PR!$BB310,IF(F312="ROYAL",PR!$BC310,IF(F312="SAM",PR!$BD310,IF(F312="SEAGREEN",PR!$BE310,IF(F312="SKG",PR!$BF310,IF(F312="TAH",PR!$BG310,IF(F312="TAYLEK",PR!$BH310,IF(F312="TEMITA",PR!$BI310,IF(F312="THL",PR!$BJ310,IF(F312="UBASTIC",PR!$BK310,IF(F312="UNION",PR!$BL310,IF(F312="UNIQUE",PR!$BM310,IF(F312="VIXA",PR!$BN310,IF(F312="WWCV",PR!$BO310,IF(F312="ZOLON",PR!$BP310,"-"))))))))))))))))))))))))))))))))))))))))))))))))))))))))))))))))</f>
        <v>-</v>
      </c>
      <c r="F312" s="102"/>
      <c r="G312" s="108" t="str">
        <f>IF(H312="ALPHA",PR!$E310,IF(H312="ASSENE",PR!$F310,IF(H312="BIOFEM",PR!$G310,IF(H312="BIOMED",PR!$H310,IF(H312="CHI",PR!$I310,IF(H312="CLARION",PR!$J310,IF(H312="CODIX",PR!$K310,IF(H312="COSMADE",PR!$L310,IF(H312="SANCON",PR!$M310,IF(H312="DEVON",PR!$N310,IF(H312="DORTEMAG",PR!$O310,IF(H312="DGF",PR!$P310,IF(H312="DYNAMIC",PR!$Q310,IF(H312="EMZOR",PR!$R310,IF(H312="EUMATT",PR!$S310,IF(H312="FIDSON",PR!$T310,IF(H312="FCGLOBAL",PR!$U310,IF(H312="GENEITH",PR!$V310,IF(H312="GINOS",PR!$W310,IF(H312="GSK",PR!$X310,IF(H312="GLOBORG",PR!$Y310,IF(H312="GOODNEWS",PR!$Z310,IF(H312="GREENLIFE",PR!$AA310,IF(H312="HLINE",PR!$AB310,IF(H312="ROTECH",PR!$AC310,IF(H312="ISN",PR!$AD310,IF(H312="JAWA",PR!$AE310,IF(H312="LAYO",PR!$AF310,IF(H312="LEADWAY",PR!$AG310,IF(H312="LHV",PR!$AH310,IF(H312="MANOLA",PR!$AI310,IF(H312="MARCSON",PR!$AJ310,IF(H312="M&amp;B",PR!$AK310,IF(H312="MTRUST",PR!$AL310,IF(H312="MWORLD",PR!$AM310,IF(H312="MEGA",PR!$AN310,IF(H312="MICRONOVA",PR!$AO310,IF(H312="MFLASH",PR!$AP310,IF(H312="MORISON",PR!$AQ310,IF(H312="NEMEL",PR!$AR310,IF(H312="NHP",PR!$AS310,IF(H312="NHC",PR!$AT310,IF(H312="OLEAF",PR!$AU310,IF(H312="OCULUS",PR!$AV310,IF(H312="PACIFIC",PR!$AW310,IF(H312="PHAMATEX",PR!$AX310,IF(H312="PETHICS",PR!$AY310,IF(H312="PHILIPS",PR!$AZ310,IF(H312="RANBAXY",PR!$BA310,IF(H312="REALS",PR!$BB310,IF(H312="ROYAL",PR!$BC310,IF(H312="SAM",PR!$BD310,IF(H312="SEAGREEN",PR!$BE310,IF(H312="SKG",PR!$BF310,IF(H312="TAH",PR!$BG310,IF(H312="TAYLEK",PR!$BH310,IF(H312="TEMITA",PR!$BI310,IF(H312="THL",PR!$BJ310,IF(H312="UBASTIC",PR!$BK310,IF(H312="UNION",PR!$BL310,IF(H312="UNIQUE",PR!$BM310,IF(H312="VIXA",PR!$BN310,IF(H312="WWCV",PR!$BO310,IF(H312="ZOLON",PR!$BP310,"-"))))))))))))))))))))))))))))))))))))))))))))))))))))))))))))))))</f>
        <v>-</v>
      </c>
      <c r="H312" s="102"/>
      <c r="I312" s="108" t="str">
        <f>IF(J312="ALPHA",PR!$E310,IF(J312="ASSENE",PR!$F310,IF(J312="BIOFEM",PR!$G310,IF(J312="BIOMED",PR!$H310,IF(J312="CHI",PR!$I310,IF(J312="CLARION",PR!$J310,IF(J312="CODIX",PR!$K310,IF(J312="COSMADE",PR!$L310,IF(J312="SANCON",PR!$M310,IF(J312="DEVON",PR!$N310,IF(J312="DORTEMAG",PR!$O310,IF(J312="DGF",PR!$P310,IF(J312="DYNAMIC",PR!$Q310,IF(J312="EMZOR",PR!$R310,IF(J312="EUMATT",PR!$S310,IF(J312="FIDSON",PR!$T310,IF(J312="FCGLOBAL",PR!$U310,IF(J312="GENEITH",PR!$V310,IF(J312="GINOS",PR!$W310,IF(J312="GSK",PR!$X310,IF(J312="GLOBORG",PR!$Y310,IF(J312="GOODNEWS",PR!$Z310,IF(J312="GREENLIFE",PR!$AA310,IF(J312="HLINE",PR!$AB310,IF(J312="ROTECH",PR!$AC310,IF(J312="ISN",PR!$AD310,IF(J312="JAWA",PR!$AE310,IF(J312="LAYO",PR!$AF310,IF(J312="LEADWAY",PR!$AG310,IF(J312="LHV",PR!$AH310,IF(J312="MANOLA",PR!$AI310,IF(J312="MARCSON",PR!$AJ310,IF(J312="M&amp;B",PR!$AK310,IF(J312="MTRUST",PR!$AL310,IF(J312="MWORLD",PR!$AM310,IF(J312="MEGA",PR!$AN310,IF(J312="MICRONOVA",PR!$AO310,IF(J312="MFLASH",PR!$AP310,IF(J312="MORISON",PR!$AQ310,IF(J312="NEMEL",PR!$AR310,IF(J312="NHP",PR!$AS310,IF(J312="NHC",PR!$AT310,IF(J312="OLEAF",PR!$AU310,IF(J312="OCULUS",PR!$AV310,IF(J312="PACIFIC",PR!$AW310,IF(J312="PHAMATEX",PR!$AX310,IF(J312="PETHICS",PR!$AY310,IF(J312="PHILIPS",PR!$AZ310,IF(J312="RANBAXY",PR!$BA310,IF(J312="REALS",PR!$BB310,IF(J312="ROYAL",PR!$BC310,IF(J312="SAM",PR!$BD310,IF(J312="SEAGREEN",PR!$BE310,IF(J312="SKG",PR!$BF310,IF(J312="TAH",PR!$BG310,IF(J312="TAYLEK",PR!$BH310,IF(J312="TEMITA",PR!$BI310,IF(J312="THL",PR!$BJ310,IF(J312="UBASTIC",PR!$BK310,IF(J312="UNION",PR!$BL310,IF(J312="UNIQUE",PR!$BM310,IF(J312="VIXA",PR!$BN310,IF(J312="WWCV",PR!$BO310,IF(J312="ZOLON",PR!$BP310,"-"))))))))))))))))))))))))))))))))))))))))))))))))))))))))))))))))</f>
        <v>-</v>
      </c>
      <c r="J312" s="102"/>
      <c r="K312" s="433"/>
      <c r="L312" s="183" t="b">
        <f>IF(K312&gt;0,IF(K312="ALPHA",PR!$E310,IF(K312="ASSENE",PR!$F310,IF(K312="BIOFEM",PR!$G310,IF(K312="BIOMED",PR!$H310,IF(K312="CHI",PR!$I310,IF(K312="CLARION",PR!$J310,IF(K312="CODIX",PR!$K310,IF(K312="COSMADE",PR!$L310,IF(K312="SANCON",PR!$M310,IF(K312="DEVON",PR!$N310,IF(K312="DORTEMAG",PR!$O310,IF(K312="DGF",PR!$P310,IF(K312="DYNAMIC",PR!$Q310,IF(K312="EMZOR",PR!$R310,IF(K312="EUMATT",PR!$S310,IF(K312="FIDSON",PR!$T310,IF(K312="FCGLOBAL",PR!$U310,IF(K312="GENEITH",PR!$V310,IF(K312="GINOS",PR!$W310,IF(K312="GSK",PR!$X310,IF(K312="GLOBORG",PR!$Y310,IF(K312="GOODNEWS",PR!$Z310,IF(K312="GREENLIFE",PR!$AA310,IF(K312="HLINE",PR!$AB310,IF(K312="ROTECH",PR!$AC310,IF(K312="ISN",PR!$AD310,IF(K312="JAWA",PR!$AE310,IF(K312="LAYO",PR!$AF310,IF(K312="LEADWAY",PR!$AG310,IF(K312="LHV",PR!$AH310,IF(K312="MANOLA",PR!$AI310,IF(K312="MARCSON",PR!$AJ310,IF(K312="M&amp;B",PR!$AK310,IF(K312="MTRUST",PR!$AL310,IF(K312="MWORLD",PR!$AM310,IF(K312="MEGA",PR!$AN310,IF(K312="MICRONOVA",PR!$AO310,IF(K312="MFLASH",PR!$AP310,IF(K312="MORISON",PR!$AQ310,IF(K312="NEMEL",PR!$AR310,IF(K312="NHP",PR!$AS310,IF(K312="NHC",PR!$AT310,IF(K312="OLEAF",PR!$AU310,IF(K312="OCULUS",PR!$AV310,IF(K312="PACIFIC",PR!$AW310,IF(K312="PHAMATEX",PR!$AX310,IF(K312="PETHICS",PR!$AY310,IF(K312="PHILIPS",PR!$AZ310,IF(K312="RANBAXY",PR!$BA310,IF(K312="REALS",PR!$BB310,IF(K312="ROYAL",PR!$BC310,IF(K312="SAM",PR!$BD310,IF(K312="SEAGREEN",PR!$BE310,IF(K312="SKG",PR!$BF310,IF(K312="TAH",PR!$BG310,IF(K312="TAYLEK",PR!$BH310,IF(K312="TEMITA",PR!$BI310,IF(K312="THL",PR!$BJ310,IF(K312="UBASTIC",PR!$BK310,IF(K312="UNION",PR!$BL310,IF(K312="UNIQUE",PR!$BM310,IF(K312="VIXA",PR!$BN310,IF(K312="WWCV",PR!$BO310,IF(K312="ZOLON",PR!$BP310,"-")))))))))))))))))))))))))))))))))))))))))))))))))))))))))))))))))</f>
        <v>0</v>
      </c>
    </row>
    <row r="313" spans="1:12" ht="18.75" x14ac:dyDescent="0.3">
      <c r="A313" s="430">
        <f>PR!A311</f>
        <v>0</v>
      </c>
      <c r="B313" s="15">
        <f>PR!B311</f>
        <v>0</v>
      </c>
      <c r="C313" s="113">
        <f>PR!D311</f>
        <v>0</v>
      </c>
      <c r="D313" s="113">
        <f>PR!C311</f>
        <v>0</v>
      </c>
      <c r="E313" s="108" t="str">
        <f>IF(F313="ALPHA",PR!$E311,IF(F313="ASSENE",PR!$F311,IF(F313="BIOFEM",PR!$G311,IF(F313="BIOMED",PR!$H311,IF(F313="CHI",PR!$I311,IF(F313="CLARION",PR!$J311,IF(F313="CODIX",PR!$K311,IF(F313="COSMADE",PR!$L311,IF(F313="SANCON",PR!$M311,IF(F313="DEVON",PR!$N311,IF(F313="DORTEMAG",PR!$O311,IF(F313="DGF",PR!$P311,IF(F313="DYNAMIC",PR!$Q311,IF(F313="EMZOR",PR!$R311,IF(F313="EUMATT",PR!$S311,IF(F313="FIDSON",PR!$T311,IF(F313="FCGLOBAL",PR!$U311,IF(F313="GENEITH",PR!$V311,IF(F313="GINOS",PR!$W311,IF(F313="GSK",PR!$X311,IF(F313="GLOBORG",PR!$Y311,IF(F313="GOODNEWS",PR!$Z311,IF(F313="GREENLIFE",PR!$AA311,IF(F313="HLINE",PR!$AB311,IF(F313="ROTECH",PR!$AC311,IF(F313="ISN",PR!$AD311,IF(F313="JAWA",PR!$AE311,IF(F313="LAYO",PR!$AF311,IF(F313="LEADWAY",PR!$AG311,IF(F313="LHV",PR!$AH311,IF(F313="MANOLA",PR!$AI311,IF(F313="MARCSON",PR!$AJ311,IF(F313="M&amp;B",PR!$AK311,IF(F313="MTRUST",PR!$AL311,IF(F313="MWORLD",PR!$AM311,IF(F313="MEGA",PR!$AN311,IF(F313="MICRONOVA",PR!$AO311,IF(F313="MFLASH",PR!$AP311,IF(F313="MORISON",PR!$AQ311,IF(F313="NEMEL",PR!$AR311,IF(F313="NHP",PR!$AS311,IF(F313="NHC",PR!$AT311,IF(F313="OLEAF",PR!$AU311,IF(F313="OCULUS",PR!$AV311,IF(F313="PACIFIC",PR!$AW311,IF(F313="PHAMATEX",PR!$AX311,IF(F313="PETHICS",PR!$AY311,IF(F313="PHILIPS",PR!$AZ311,IF(F313="RANBAXY",PR!$BA311,IF(F313="REALS",PR!$BB311,IF(F313="ROYAL",PR!$BC311,IF(F313="SAM",PR!$BD311,IF(F313="SEAGREEN",PR!$BE311,IF(F313="SKG",PR!$BF311,IF(F313="TAH",PR!$BG311,IF(F313="TAYLEK",PR!$BH311,IF(F313="TEMITA",PR!$BI311,IF(F313="THL",PR!$BJ311,IF(F313="UBASTIC",PR!$BK311,IF(F313="UNION",PR!$BL311,IF(F313="UNIQUE",PR!$BM311,IF(F313="VIXA",PR!$BN311,IF(F313="WWCV",PR!$BO311,IF(F313="ZOLON",PR!$BP311,"-"))))))))))))))))))))))))))))))))))))))))))))))))))))))))))))))))</f>
        <v>-</v>
      </c>
      <c r="F313" s="102"/>
      <c r="G313" s="108" t="str">
        <f>IF(H313="ALPHA",PR!$E311,IF(H313="ASSENE",PR!$F311,IF(H313="BIOFEM",PR!$G311,IF(H313="BIOMED",PR!$H311,IF(H313="CHI",PR!$I311,IF(H313="CLARION",PR!$J311,IF(H313="CODIX",PR!$K311,IF(H313="COSMADE",PR!$L311,IF(H313="SANCON",PR!$M311,IF(H313="DEVON",PR!$N311,IF(H313="DORTEMAG",PR!$O311,IF(H313="DGF",PR!$P311,IF(H313="DYNAMIC",PR!$Q311,IF(H313="EMZOR",PR!$R311,IF(H313="EUMATT",PR!$S311,IF(H313="FIDSON",PR!$T311,IF(H313="FCGLOBAL",PR!$U311,IF(H313="GENEITH",PR!$V311,IF(H313="GINOS",PR!$W311,IF(H313="GSK",PR!$X311,IF(H313="GLOBORG",PR!$Y311,IF(H313="GOODNEWS",PR!$Z311,IF(H313="GREENLIFE",PR!$AA311,IF(H313="HLINE",PR!$AB311,IF(H313="ROTECH",PR!$AC311,IF(H313="ISN",PR!$AD311,IF(H313="JAWA",PR!$AE311,IF(H313="LAYO",PR!$AF311,IF(H313="LEADWAY",PR!$AG311,IF(H313="LHV",PR!$AH311,IF(H313="MANOLA",PR!$AI311,IF(H313="MARCSON",PR!$AJ311,IF(H313="M&amp;B",PR!$AK311,IF(H313="MTRUST",PR!$AL311,IF(H313="MWORLD",PR!$AM311,IF(H313="MEGA",PR!$AN311,IF(H313="MICRONOVA",PR!$AO311,IF(H313="MFLASH",PR!$AP311,IF(H313="MORISON",PR!$AQ311,IF(H313="NEMEL",PR!$AR311,IF(H313="NHP",PR!$AS311,IF(H313="NHC",PR!$AT311,IF(H313="OLEAF",PR!$AU311,IF(H313="OCULUS",PR!$AV311,IF(H313="PACIFIC",PR!$AW311,IF(H313="PHAMATEX",PR!$AX311,IF(H313="PETHICS",PR!$AY311,IF(H313="PHILIPS",PR!$AZ311,IF(H313="RANBAXY",PR!$BA311,IF(H313="REALS",PR!$BB311,IF(H313="ROYAL",PR!$BC311,IF(H313="SAM",PR!$BD311,IF(H313="SEAGREEN",PR!$BE311,IF(H313="SKG",PR!$BF311,IF(H313="TAH",PR!$BG311,IF(H313="TAYLEK",PR!$BH311,IF(H313="TEMITA",PR!$BI311,IF(H313="THL",PR!$BJ311,IF(H313="UBASTIC",PR!$BK311,IF(H313="UNION",PR!$BL311,IF(H313="UNIQUE",PR!$BM311,IF(H313="VIXA",PR!$BN311,IF(H313="WWCV",PR!$BO311,IF(H313="ZOLON",PR!$BP311,"-"))))))))))))))))))))))))))))))))))))))))))))))))))))))))))))))))</f>
        <v>-</v>
      </c>
      <c r="H313" s="102"/>
      <c r="I313" s="108" t="str">
        <f>IF(J313="ALPHA",PR!$E311,IF(J313="ASSENE",PR!$F311,IF(J313="BIOFEM",PR!$G311,IF(J313="BIOMED",PR!$H311,IF(J313="CHI",PR!$I311,IF(J313="CLARION",PR!$J311,IF(J313="CODIX",PR!$K311,IF(J313="COSMADE",PR!$L311,IF(J313="SANCON",PR!$M311,IF(J313="DEVON",PR!$N311,IF(J313="DORTEMAG",PR!$O311,IF(J313="DGF",PR!$P311,IF(J313="DYNAMIC",PR!$Q311,IF(J313="EMZOR",PR!$R311,IF(J313="EUMATT",PR!$S311,IF(J313="FIDSON",PR!$T311,IF(J313="FCGLOBAL",PR!$U311,IF(J313="GENEITH",PR!$V311,IF(J313="GINOS",PR!$W311,IF(J313="GSK",PR!$X311,IF(J313="GLOBORG",PR!$Y311,IF(J313="GOODNEWS",PR!$Z311,IF(J313="GREENLIFE",PR!$AA311,IF(J313="HLINE",PR!$AB311,IF(J313="ROTECH",PR!$AC311,IF(J313="ISN",PR!$AD311,IF(J313="JAWA",PR!$AE311,IF(J313="LAYO",PR!$AF311,IF(J313="LEADWAY",PR!$AG311,IF(J313="LHV",PR!$AH311,IF(J313="MANOLA",PR!$AI311,IF(J313="MARCSON",PR!$AJ311,IF(J313="M&amp;B",PR!$AK311,IF(J313="MTRUST",PR!$AL311,IF(J313="MWORLD",PR!$AM311,IF(J313="MEGA",PR!$AN311,IF(J313="MICRONOVA",PR!$AO311,IF(J313="MFLASH",PR!$AP311,IF(J313="MORISON",PR!$AQ311,IF(J313="NEMEL",PR!$AR311,IF(J313="NHP",PR!$AS311,IF(J313="NHC",PR!$AT311,IF(J313="OLEAF",PR!$AU311,IF(J313="OCULUS",PR!$AV311,IF(J313="PACIFIC",PR!$AW311,IF(J313="PHAMATEX",PR!$AX311,IF(J313="PETHICS",PR!$AY311,IF(J313="PHILIPS",PR!$AZ311,IF(J313="RANBAXY",PR!$BA311,IF(J313="REALS",PR!$BB311,IF(J313="ROYAL",PR!$BC311,IF(J313="SAM",PR!$BD311,IF(J313="SEAGREEN",PR!$BE311,IF(J313="SKG",PR!$BF311,IF(J313="TAH",PR!$BG311,IF(J313="TAYLEK",PR!$BH311,IF(J313="TEMITA",PR!$BI311,IF(J313="THL",PR!$BJ311,IF(J313="UBASTIC",PR!$BK311,IF(J313="UNION",PR!$BL311,IF(J313="UNIQUE",PR!$BM311,IF(J313="VIXA",PR!$BN311,IF(J313="WWCV",PR!$BO311,IF(J313="ZOLON",PR!$BP311,"-"))))))))))))))))))))))))))))))))))))))))))))))))))))))))))))))))</f>
        <v>-</v>
      </c>
      <c r="J313" s="102"/>
      <c r="K313" s="433"/>
      <c r="L313" s="183" t="b">
        <f>IF(K313&gt;0,IF(K313="ALPHA",PR!$E311,IF(K313="ASSENE",PR!$F311,IF(K313="BIOFEM",PR!$G311,IF(K313="BIOMED",PR!$H311,IF(K313="CHI",PR!$I311,IF(K313="CLARION",PR!$J311,IF(K313="CODIX",PR!$K311,IF(K313="COSMADE",PR!$L311,IF(K313="SANCON",PR!$M311,IF(K313="DEVON",PR!$N311,IF(K313="DORTEMAG",PR!$O311,IF(K313="DGF",PR!$P311,IF(K313="DYNAMIC",PR!$Q311,IF(K313="EMZOR",PR!$R311,IF(K313="EUMATT",PR!$S311,IF(K313="FIDSON",PR!$T311,IF(K313="FCGLOBAL",PR!$U311,IF(K313="GENEITH",PR!$V311,IF(K313="GINOS",PR!$W311,IF(K313="GSK",PR!$X311,IF(K313="GLOBORG",PR!$Y311,IF(K313="GOODNEWS",PR!$Z311,IF(K313="GREENLIFE",PR!$AA311,IF(K313="HLINE",PR!$AB311,IF(K313="ROTECH",PR!$AC311,IF(K313="ISN",PR!$AD311,IF(K313="JAWA",PR!$AE311,IF(K313="LAYO",PR!$AF311,IF(K313="LEADWAY",PR!$AG311,IF(K313="LHV",PR!$AH311,IF(K313="MANOLA",PR!$AI311,IF(K313="MARCSON",PR!$AJ311,IF(K313="M&amp;B",PR!$AK311,IF(K313="MTRUST",PR!$AL311,IF(K313="MWORLD",PR!$AM311,IF(K313="MEGA",PR!$AN311,IF(K313="MICRONOVA",PR!$AO311,IF(K313="MFLASH",PR!$AP311,IF(K313="MORISON",PR!$AQ311,IF(K313="NEMEL",PR!$AR311,IF(K313="NHP",PR!$AS311,IF(K313="NHC",PR!$AT311,IF(K313="OLEAF",PR!$AU311,IF(K313="OCULUS",PR!$AV311,IF(K313="PACIFIC",PR!$AW311,IF(K313="PHAMATEX",PR!$AX311,IF(K313="PETHICS",PR!$AY311,IF(K313="PHILIPS",PR!$AZ311,IF(K313="RANBAXY",PR!$BA311,IF(K313="REALS",PR!$BB311,IF(K313="ROYAL",PR!$BC311,IF(K313="SAM",PR!$BD311,IF(K313="SEAGREEN",PR!$BE311,IF(K313="SKG",PR!$BF311,IF(K313="TAH",PR!$BG311,IF(K313="TAYLEK",PR!$BH311,IF(K313="TEMITA",PR!$BI311,IF(K313="THL",PR!$BJ311,IF(K313="UBASTIC",PR!$BK311,IF(K313="UNION",PR!$BL311,IF(K313="UNIQUE",PR!$BM311,IF(K313="VIXA",PR!$BN311,IF(K313="WWCV",PR!$BO311,IF(K313="ZOLON",PR!$BP311,"-")))))))))))))))))))))))))))))))))))))))))))))))))))))))))))))))))</f>
        <v>0</v>
      </c>
    </row>
    <row r="314" spans="1:12" ht="18.75" x14ac:dyDescent="0.3">
      <c r="A314" s="430">
        <f>PR!A312</f>
        <v>0</v>
      </c>
      <c r="B314" s="15">
        <f>PR!B312</f>
        <v>0</v>
      </c>
      <c r="C314" s="113">
        <f>PR!D312</f>
        <v>0</v>
      </c>
      <c r="D314" s="113">
        <f>PR!C312</f>
        <v>0</v>
      </c>
      <c r="E314" s="108" t="str">
        <f>IF(F314="ALPHA",PR!$E312,IF(F314="ASSENE",PR!$F312,IF(F314="BIOFEM",PR!$G312,IF(F314="BIOMED",PR!$H312,IF(F314="CHI",PR!$I312,IF(F314="CLARION",PR!$J312,IF(F314="CODIX",PR!$K312,IF(F314="COSMADE",PR!$L312,IF(F314="SANCON",PR!$M312,IF(F314="DEVON",PR!$N312,IF(F314="DORTEMAG",PR!$O312,IF(F314="DGF",PR!$P312,IF(F314="DYNAMIC",PR!$Q312,IF(F314="EMZOR",PR!$R312,IF(F314="EUMATT",PR!$S312,IF(F314="FIDSON",PR!$T312,IF(F314="FCGLOBAL",PR!$U312,IF(F314="GENEITH",PR!$V312,IF(F314="GINOS",PR!$W312,IF(F314="GSK",PR!$X312,IF(F314="GLOBORG",PR!$Y312,IF(F314="GOODNEWS",PR!$Z312,IF(F314="GREENLIFE",PR!$AA312,IF(F314="HLINE",PR!$AB312,IF(F314="ROTECH",PR!$AC312,IF(F314="ISN",PR!$AD312,IF(F314="JAWA",PR!$AE312,IF(F314="LAYO",PR!$AF312,IF(F314="LEADWAY",PR!$AG312,IF(F314="LHV",PR!$AH312,IF(F314="MANOLA",PR!$AI312,IF(F314="MARCSON",PR!$AJ312,IF(F314="M&amp;B",PR!$AK312,IF(F314="MTRUST",PR!$AL312,IF(F314="MWORLD",PR!$AM312,IF(F314="MEGA",PR!$AN312,IF(F314="MICRONOVA",PR!$AO312,IF(F314="MFLASH",PR!$AP312,IF(F314="MORISON",PR!$AQ312,IF(F314="NEMEL",PR!$AR312,IF(F314="NHP",PR!$AS312,IF(F314="NHC",PR!$AT312,IF(F314="OLEAF",PR!$AU312,IF(F314="OCULUS",PR!$AV312,IF(F314="PACIFIC",PR!$AW312,IF(F314="PHAMATEX",PR!$AX312,IF(F314="PETHICS",PR!$AY312,IF(F314="PHILIPS",PR!$AZ312,IF(F314="RANBAXY",PR!$BA312,IF(F314="REALS",PR!$BB312,IF(F314="ROYAL",PR!$BC312,IF(F314="SAM",PR!$BD312,IF(F314="SEAGREEN",PR!$BE312,IF(F314="SKG",PR!$BF312,IF(F314="TAH",PR!$BG312,IF(F314="TAYLEK",PR!$BH312,IF(F314="TEMITA",PR!$BI312,IF(F314="THL",PR!$BJ312,IF(F314="UBASTIC",PR!$BK312,IF(F314="UNION",PR!$BL312,IF(F314="UNIQUE",PR!$BM312,IF(F314="VIXA",PR!$BN312,IF(F314="WWCV",PR!$BO312,IF(F314="ZOLON",PR!$BP312,"-"))))))))))))))))))))))))))))))))))))))))))))))))))))))))))))))))</f>
        <v>-</v>
      </c>
      <c r="F314" s="102"/>
      <c r="G314" s="108" t="str">
        <f>IF(H314="ALPHA",PR!$E312,IF(H314="ASSENE",PR!$F312,IF(H314="BIOFEM",PR!$G312,IF(H314="BIOMED",PR!$H312,IF(H314="CHI",PR!$I312,IF(H314="CLARION",PR!$J312,IF(H314="CODIX",PR!$K312,IF(H314="COSMADE",PR!$L312,IF(H314="SANCON",PR!$M312,IF(H314="DEVON",PR!$N312,IF(H314="DORTEMAG",PR!$O312,IF(H314="DGF",PR!$P312,IF(H314="DYNAMIC",PR!$Q312,IF(H314="EMZOR",PR!$R312,IF(H314="EUMATT",PR!$S312,IF(H314="FIDSON",PR!$T312,IF(H314="FCGLOBAL",PR!$U312,IF(H314="GENEITH",PR!$V312,IF(H314="GINOS",PR!$W312,IF(H314="GSK",PR!$X312,IF(H314="GLOBORG",PR!$Y312,IF(H314="GOODNEWS",PR!$Z312,IF(H314="GREENLIFE",PR!$AA312,IF(H314="HLINE",PR!$AB312,IF(H314="ROTECH",PR!$AC312,IF(H314="ISN",PR!$AD312,IF(H314="JAWA",PR!$AE312,IF(H314="LAYO",PR!$AF312,IF(H314="LEADWAY",PR!$AG312,IF(H314="LHV",PR!$AH312,IF(H314="MANOLA",PR!$AI312,IF(H314="MARCSON",PR!$AJ312,IF(H314="M&amp;B",PR!$AK312,IF(H314="MTRUST",PR!$AL312,IF(H314="MWORLD",PR!$AM312,IF(H314="MEGA",PR!$AN312,IF(H314="MICRONOVA",PR!$AO312,IF(H314="MFLASH",PR!$AP312,IF(H314="MORISON",PR!$AQ312,IF(H314="NEMEL",PR!$AR312,IF(H314="NHP",PR!$AS312,IF(H314="NHC",PR!$AT312,IF(H314="OLEAF",PR!$AU312,IF(H314="OCULUS",PR!$AV312,IF(H314="PACIFIC",PR!$AW312,IF(H314="PHAMATEX",PR!$AX312,IF(H314="PETHICS",PR!$AY312,IF(H314="PHILIPS",PR!$AZ312,IF(H314="RANBAXY",PR!$BA312,IF(H314="REALS",PR!$BB312,IF(H314="ROYAL",PR!$BC312,IF(H314="SAM",PR!$BD312,IF(H314="SEAGREEN",PR!$BE312,IF(H314="SKG",PR!$BF312,IF(H314="TAH",PR!$BG312,IF(H314="TAYLEK",PR!$BH312,IF(H314="TEMITA",PR!$BI312,IF(H314="THL",PR!$BJ312,IF(H314="UBASTIC",PR!$BK312,IF(H314="UNION",PR!$BL312,IF(H314="UNIQUE",PR!$BM312,IF(H314="VIXA",PR!$BN312,IF(H314="WWCV",PR!$BO312,IF(H314="ZOLON",PR!$BP312,"-"))))))))))))))))))))))))))))))))))))))))))))))))))))))))))))))))</f>
        <v>-</v>
      </c>
      <c r="H314" s="102"/>
      <c r="I314" s="108" t="str">
        <f>IF(J314="ALPHA",PR!$E312,IF(J314="ASSENE",PR!$F312,IF(J314="BIOFEM",PR!$G312,IF(J314="BIOMED",PR!$H312,IF(J314="CHI",PR!$I312,IF(J314="CLARION",PR!$J312,IF(J314="CODIX",PR!$K312,IF(J314="COSMADE",PR!$L312,IF(J314="SANCON",PR!$M312,IF(J314="DEVON",PR!$N312,IF(J314="DORTEMAG",PR!$O312,IF(J314="DGF",PR!$P312,IF(J314="DYNAMIC",PR!$Q312,IF(J314="EMZOR",PR!$R312,IF(J314="EUMATT",PR!$S312,IF(J314="FIDSON",PR!$T312,IF(J314="FCGLOBAL",PR!$U312,IF(J314="GENEITH",PR!$V312,IF(J314="GINOS",PR!$W312,IF(J314="GSK",PR!$X312,IF(J314="GLOBORG",PR!$Y312,IF(J314="GOODNEWS",PR!$Z312,IF(J314="GREENLIFE",PR!$AA312,IF(J314="HLINE",PR!$AB312,IF(J314="ROTECH",PR!$AC312,IF(J314="ISN",PR!$AD312,IF(J314="JAWA",PR!$AE312,IF(J314="LAYO",PR!$AF312,IF(J314="LEADWAY",PR!$AG312,IF(J314="LHV",PR!$AH312,IF(J314="MANOLA",PR!$AI312,IF(J314="MARCSON",PR!$AJ312,IF(J314="M&amp;B",PR!$AK312,IF(J314="MTRUST",PR!$AL312,IF(J314="MWORLD",PR!$AM312,IF(J314="MEGA",PR!$AN312,IF(J314="MICRONOVA",PR!$AO312,IF(J314="MFLASH",PR!$AP312,IF(J314="MORISON",PR!$AQ312,IF(J314="NEMEL",PR!$AR312,IF(J314="NHP",PR!$AS312,IF(J314="NHC",PR!$AT312,IF(J314="OLEAF",PR!$AU312,IF(J314="OCULUS",PR!$AV312,IF(J314="PACIFIC",PR!$AW312,IF(J314="PHAMATEX",PR!$AX312,IF(J314="PETHICS",PR!$AY312,IF(J314="PHILIPS",PR!$AZ312,IF(J314="RANBAXY",PR!$BA312,IF(J314="REALS",PR!$BB312,IF(J314="ROYAL",PR!$BC312,IF(J314="SAM",PR!$BD312,IF(J314="SEAGREEN",PR!$BE312,IF(J314="SKG",PR!$BF312,IF(J314="TAH",PR!$BG312,IF(J314="TAYLEK",PR!$BH312,IF(J314="TEMITA",PR!$BI312,IF(J314="THL",PR!$BJ312,IF(J314="UBASTIC",PR!$BK312,IF(J314="UNION",PR!$BL312,IF(J314="UNIQUE",PR!$BM312,IF(J314="VIXA",PR!$BN312,IF(J314="WWCV",PR!$BO312,IF(J314="ZOLON",PR!$BP312,"-"))))))))))))))))))))))))))))))))))))))))))))))))))))))))))))))))</f>
        <v>-</v>
      </c>
      <c r="J314" s="102"/>
      <c r="K314" s="433"/>
      <c r="L314" s="183" t="b">
        <f>IF(K314&gt;0,IF(K314="ALPHA",PR!$E312,IF(K314="ASSENE",PR!$F312,IF(K314="BIOFEM",PR!$G312,IF(K314="BIOMED",PR!$H312,IF(K314="CHI",PR!$I312,IF(K314="CLARION",PR!$J312,IF(K314="CODIX",PR!$K312,IF(K314="COSMADE",PR!$L312,IF(K314="SANCON",PR!$M312,IF(K314="DEVON",PR!$N312,IF(K314="DORTEMAG",PR!$O312,IF(K314="DGF",PR!$P312,IF(K314="DYNAMIC",PR!$Q312,IF(K314="EMZOR",PR!$R312,IF(K314="EUMATT",PR!$S312,IF(K314="FIDSON",PR!$T312,IF(K314="FCGLOBAL",PR!$U312,IF(K314="GENEITH",PR!$V312,IF(K314="GINOS",PR!$W312,IF(K314="GSK",PR!$X312,IF(K314="GLOBORG",PR!$Y312,IF(K314="GOODNEWS",PR!$Z312,IF(K314="GREENLIFE",PR!$AA312,IF(K314="HLINE",PR!$AB312,IF(K314="ROTECH",PR!$AC312,IF(K314="ISN",PR!$AD312,IF(K314="JAWA",PR!$AE312,IF(K314="LAYO",PR!$AF312,IF(K314="LEADWAY",PR!$AG312,IF(K314="LHV",PR!$AH312,IF(K314="MANOLA",PR!$AI312,IF(K314="MARCSON",PR!$AJ312,IF(K314="M&amp;B",PR!$AK312,IF(K314="MTRUST",PR!$AL312,IF(K314="MWORLD",PR!$AM312,IF(K314="MEGA",PR!$AN312,IF(K314="MICRONOVA",PR!$AO312,IF(K314="MFLASH",PR!$AP312,IF(K314="MORISON",PR!$AQ312,IF(K314="NEMEL",PR!$AR312,IF(K314="NHP",PR!$AS312,IF(K314="NHC",PR!$AT312,IF(K314="OLEAF",PR!$AU312,IF(K314="OCULUS",PR!$AV312,IF(K314="PACIFIC",PR!$AW312,IF(K314="PHAMATEX",PR!$AX312,IF(K314="PETHICS",PR!$AY312,IF(K314="PHILIPS",PR!$AZ312,IF(K314="RANBAXY",PR!$BA312,IF(K314="REALS",PR!$BB312,IF(K314="ROYAL",PR!$BC312,IF(K314="SAM",PR!$BD312,IF(K314="SEAGREEN",PR!$BE312,IF(K314="SKG",PR!$BF312,IF(K314="TAH",PR!$BG312,IF(K314="TAYLEK",PR!$BH312,IF(K314="TEMITA",PR!$BI312,IF(K314="THL",PR!$BJ312,IF(K314="UBASTIC",PR!$BK312,IF(K314="UNION",PR!$BL312,IF(K314="UNIQUE",PR!$BM312,IF(K314="VIXA",PR!$BN312,IF(K314="WWCV",PR!$BO312,IF(K314="ZOLON",PR!$BP312,"-")))))))))))))))))))))))))))))))))))))))))))))))))))))))))))))))))</f>
        <v>0</v>
      </c>
    </row>
    <row r="315" spans="1:12" ht="18.75" x14ac:dyDescent="0.3">
      <c r="A315" s="430" t="str">
        <f>PR!A313</f>
        <v>LOT 6</v>
      </c>
      <c r="B315" s="15" t="str">
        <f>PR!B313</f>
        <v>BLOOD &amp; NUTRITIONAL DRUGS</v>
      </c>
      <c r="C315" s="113">
        <f>PR!D313</f>
        <v>0</v>
      </c>
      <c r="D315" s="113">
        <f>PR!C313</f>
        <v>0</v>
      </c>
      <c r="E315" s="108" t="str">
        <f>IF(F315="ALPHA",PR!$E313,IF(F315="ASSENE",PR!$F313,IF(F315="BIOFEM",PR!$G313,IF(F315="BIOMED",PR!$H313,IF(F315="CHI",PR!$I313,IF(F315="CLARION",PR!$J313,IF(F315="CODIX",PR!$K313,IF(F315="COSMADE",PR!$L313,IF(F315="SANCON",PR!$M313,IF(F315="DEVON",PR!$N313,IF(F315="DORTEMAG",PR!$O313,IF(F315="DGF",PR!$P313,IF(F315="DYNAMIC",PR!$Q313,IF(F315="EMZOR",PR!$R313,IF(F315="EUMATT",PR!$S313,IF(F315="FIDSON",PR!$T313,IF(F315="FCGLOBAL",PR!$U313,IF(F315="GENEITH",PR!$V313,IF(F315="GINOS",PR!$W313,IF(F315="GSK",PR!$X313,IF(F315="GLOBORG",PR!$Y313,IF(F315="GOODNEWS",PR!$Z313,IF(F315="GREENLIFE",PR!$AA313,IF(F315="HLINE",PR!$AB313,IF(F315="ROTECH",PR!$AC313,IF(F315="ISN",PR!$AD313,IF(F315="JAWA",PR!$AE313,IF(F315="LAYO",PR!$AF313,IF(F315="LEADWAY",PR!$AG313,IF(F315="LHV",PR!$AH313,IF(F315="MANOLA",PR!$AI313,IF(F315="MARCSON",PR!$AJ313,IF(F315="M&amp;B",PR!$AK313,IF(F315="MTRUST",PR!$AL313,IF(F315="MWORLD",PR!$AM313,IF(F315="MEGA",PR!$AN313,IF(F315="MICRONOVA",PR!$AO313,IF(F315="MFLASH",PR!$AP313,IF(F315="MORISON",PR!$AQ313,IF(F315="NEMEL",PR!$AR313,IF(F315="NHP",PR!$AS313,IF(F315="NHC",PR!$AT313,IF(F315="OLEAF",PR!$AU313,IF(F315="OCULUS",PR!$AV313,IF(F315="PACIFIC",PR!$AW313,IF(F315="PHAMATEX",PR!$AX313,IF(F315="PETHICS",PR!$AY313,IF(F315="PHILIPS",PR!$AZ313,IF(F315="RANBAXY",PR!$BA313,IF(F315="REALS",PR!$BB313,IF(F315="ROYAL",PR!$BC313,IF(F315="SAM",PR!$BD313,IF(F315="SEAGREEN",PR!$BE313,IF(F315="SKG",PR!$BF313,IF(F315="TAH",PR!$BG313,IF(F315="TAYLEK",PR!$BH313,IF(F315="TEMITA",PR!$BI313,IF(F315="THL",PR!$BJ313,IF(F315="UBASTIC",PR!$BK313,IF(F315="UNION",PR!$BL313,IF(F315="UNIQUE",PR!$BM313,IF(F315="VIXA",PR!$BN313,IF(F315="WWCV",PR!$BO313,IF(F315="ZOLON",PR!$BP313,"-"))))))))))))))))))))))))))))))))))))))))))))))))))))))))))))))))</f>
        <v>-</v>
      </c>
      <c r="F315" s="102"/>
      <c r="G315" s="108" t="str">
        <f>IF(H315="ALPHA",PR!$E313,IF(H315="ASSENE",PR!$F313,IF(H315="BIOFEM",PR!$G313,IF(H315="BIOMED",PR!$H313,IF(H315="CHI",PR!$I313,IF(H315="CLARION",PR!$J313,IF(H315="CODIX",PR!$K313,IF(H315="COSMADE",PR!$L313,IF(H315="SANCON",PR!$M313,IF(H315="DEVON",PR!$N313,IF(H315="DORTEMAG",PR!$O313,IF(H315="DGF",PR!$P313,IF(H315="DYNAMIC",PR!$Q313,IF(H315="EMZOR",PR!$R313,IF(H315="EUMATT",PR!$S313,IF(H315="FIDSON",PR!$T313,IF(H315="FCGLOBAL",PR!$U313,IF(H315="GENEITH",PR!$V313,IF(H315="GINOS",PR!$W313,IF(H315="GSK",PR!$X313,IF(H315="GLOBORG",PR!$Y313,IF(H315="GOODNEWS",PR!$Z313,IF(H315="GREENLIFE",PR!$AA313,IF(H315="HLINE",PR!$AB313,IF(H315="ROTECH",PR!$AC313,IF(H315="ISN",PR!$AD313,IF(H315="JAWA",PR!$AE313,IF(H315="LAYO",PR!$AF313,IF(H315="LEADWAY",PR!$AG313,IF(H315="LHV",PR!$AH313,IF(H315="MANOLA",PR!$AI313,IF(H315="MARCSON",PR!$AJ313,IF(H315="M&amp;B",PR!$AK313,IF(H315="MTRUST",PR!$AL313,IF(H315="MWORLD",PR!$AM313,IF(H315="MEGA",PR!$AN313,IF(H315="MICRONOVA",PR!$AO313,IF(H315="MFLASH",PR!$AP313,IF(H315="MORISON",PR!$AQ313,IF(H315="NEMEL",PR!$AR313,IF(H315="NHP",PR!$AS313,IF(H315="NHC",PR!$AT313,IF(H315="OLEAF",PR!$AU313,IF(H315="OCULUS",PR!$AV313,IF(H315="PACIFIC",PR!$AW313,IF(H315="PHAMATEX",PR!$AX313,IF(H315="PETHICS",PR!$AY313,IF(H315="PHILIPS",PR!$AZ313,IF(H315="RANBAXY",PR!$BA313,IF(H315="REALS",PR!$BB313,IF(H315="ROYAL",PR!$BC313,IF(H315="SAM",PR!$BD313,IF(H315="SEAGREEN",PR!$BE313,IF(H315="SKG",PR!$BF313,IF(H315="TAH",PR!$BG313,IF(H315="TAYLEK",PR!$BH313,IF(H315="TEMITA",PR!$BI313,IF(H315="THL",PR!$BJ313,IF(H315="UBASTIC",PR!$BK313,IF(H315="UNION",PR!$BL313,IF(H315="UNIQUE",PR!$BM313,IF(H315="VIXA",PR!$BN313,IF(H315="WWCV",PR!$BO313,IF(H315="ZOLON",PR!$BP313,"-"))))))))))))))))))))))))))))))))))))))))))))))))))))))))))))))))</f>
        <v>-</v>
      </c>
      <c r="H315" s="102"/>
      <c r="I315" s="108" t="str">
        <f>IF(J315="ALPHA",PR!$E313,IF(J315="ASSENE",PR!$F313,IF(J315="BIOFEM",PR!$G313,IF(J315="BIOMED",PR!$H313,IF(J315="CHI",PR!$I313,IF(J315="CLARION",PR!$J313,IF(J315="CODIX",PR!$K313,IF(J315="COSMADE",PR!$L313,IF(J315="SANCON",PR!$M313,IF(J315="DEVON",PR!$N313,IF(J315="DORTEMAG",PR!$O313,IF(J315="DGF",PR!$P313,IF(J315="DYNAMIC",PR!$Q313,IF(J315="EMZOR",PR!$R313,IF(J315="EUMATT",PR!$S313,IF(J315="FIDSON",PR!$T313,IF(J315="FCGLOBAL",PR!$U313,IF(J315="GENEITH",PR!$V313,IF(J315="GINOS",PR!$W313,IF(J315="GSK",PR!$X313,IF(J315="GLOBORG",PR!$Y313,IF(J315="GOODNEWS",PR!$Z313,IF(J315="GREENLIFE",PR!$AA313,IF(J315="HLINE",PR!$AB313,IF(J315="ROTECH",PR!$AC313,IF(J315="ISN",PR!$AD313,IF(J315="JAWA",PR!$AE313,IF(J315="LAYO",PR!$AF313,IF(J315="LEADWAY",PR!$AG313,IF(J315="LHV",PR!$AH313,IF(J315="MANOLA",PR!$AI313,IF(J315="MARCSON",PR!$AJ313,IF(J315="M&amp;B",PR!$AK313,IF(J315="MTRUST",PR!$AL313,IF(J315="MWORLD",PR!$AM313,IF(J315="MEGA",PR!$AN313,IF(J315="MICRONOVA",PR!$AO313,IF(J315="MFLASH",PR!$AP313,IF(J315="MORISON",PR!$AQ313,IF(J315="NEMEL",PR!$AR313,IF(J315="NHP",PR!$AS313,IF(J315="NHC",PR!$AT313,IF(J315="OLEAF",PR!$AU313,IF(J315="OCULUS",PR!$AV313,IF(J315="PACIFIC",PR!$AW313,IF(J315="PHAMATEX",PR!$AX313,IF(J315="PETHICS",PR!$AY313,IF(J315="PHILIPS",PR!$AZ313,IF(J315="RANBAXY",PR!$BA313,IF(J315="REALS",PR!$BB313,IF(J315="ROYAL",PR!$BC313,IF(J315="SAM",PR!$BD313,IF(J315="SEAGREEN",PR!$BE313,IF(J315="SKG",PR!$BF313,IF(J315="TAH",PR!$BG313,IF(J315="TAYLEK",PR!$BH313,IF(J315="TEMITA",PR!$BI313,IF(J315="THL",PR!$BJ313,IF(J315="UBASTIC",PR!$BK313,IF(J315="UNION",PR!$BL313,IF(J315="UNIQUE",PR!$BM313,IF(J315="VIXA",PR!$BN313,IF(J315="WWCV",PR!$BO313,IF(J315="ZOLON",PR!$BP313,"-"))))))))))))))))))))))))))))))))))))))))))))))))))))))))))))))))</f>
        <v>-</v>
      </c>
      <c r="J315" s="102"/>
      <c r="K315" s="433"/>
      <c r="L315" s="183" t="b">
        <f>IF(K315&gt;0,IF(K315="ALPHA",PR!$E313,IF(K315="ASSENE",PR!$F313,IF(K315="BIOFEM",PR!$G313,IF(K315="BIOMED",PR!$H313,IF(K315="CHI",PR!$I313,IF(K315="CLARION",PR!$J313,IF(K315="CODIX",PR!$K313,IF(K315="COSMADE",PR!$L313,IF(K315="SANCON",PR!$M313,IF(K315="DEVON",PR!$N313,IF(K315="DORTEMAG",PR!$O313,IF(K315="DGF",PR!$P313,IF(K315="DYNAMIC",PR!$Q313,IF(K315="EMZOR",PR!$R313,IF(K315="EUMATT",PR!$S313,IF(K315="FIDSON",PR!$T313,IF(K315="FCGLOBAL",PR!$U313,IF(K315="GENEITH",PR!$V313,IF(K315="GINOS",PR!$W313,IF(K315="GSK",PR!$X313,IF(K315="GLOBORG",PR!$Y313,IF(K315="GOODNEWS",PR!$Z313,IF(K315="GREENLIFE",PR!$AA313,IF(K315="HLINE",PR!$AB313,IF(K315="ROTECH",PR!$AC313,IF(K315="ISN",PR!$AD313,IF(K315="JAWA",PR!$AE313,IF(K315="LAYO",PR!$AF313,IF(K315="LEADWAY",PR!$AG313,IF(K315="LHV",PR!$AH313,IF(K315="MANOLA",PR!$AI313,IF(K315="MARCSON",PR!$AJ313,IF(K315="M&amp;B",PR!$AK313,IF(K315="MTRUST",PR!$AL313,IF(K315="MWORLD",PR!$AM313,IF(K315="MEGA",PR!$AN313,IF(K315="MICRONOVA",PR!$AO313,IF(K315="MFLASH",PR!$AP313,IF(K315="MORISON",PR!$AQ313,IF(K315="NEMEL",PR!$AR313,IF(K315="NHP",PR!$AS313,IF(K315="NHC",PR!$AT313,IF(K315="OLEAF",PR!$AU313,IF(K315="OCULUS",PR!$AV313,IF(K315="PACIFIC",PR!$AW313,IF(K315="PHAMATEX",PR!$AX313,IF(K315="PETHICS",PR!$AY313,IF(K315="PHILIPS",PR!$AZ313,IF(K315="RANBAXY",PR!$BA313,IF(K315="REALS",PR!$BB313,IF(K315="ROYAL",PR!$BC313,IF(K315="SAM",PR!$BD313,IF(K315="SEAGREEN",PR!$BE313,IF(K315="SKG",PR!$BF313,IF(K315="TAH",PR!$BG313,IF(K315="TAYLEK",PR!$BH313,IF(K315="TEMITA",PR!$BI313,IF(K315="THL",PR!$BJ313,IF(K315="UBASTIC",PR!$BK313,IF(K315="UNION",PR!$BL313,IF(K315="UNIQUE",PR!$BM313,IF(K315="VIXA",PR!$BN313,IF(K315="WWCV",PR!$BO313,IF(K315="ZOLON",PR!$BP313,"-")))))))))))))))))))))))))))))))))))))))))))))))))))))))))))))))))</f>
        <v>0</v>
      </c>
    </row>
    <row r="316" spans="1:12" ht="18.75" x14ac:dyDescent="0.3">
      <c r="A316" s="430">
        <f>PR!A314</f>
        <v>0</v>
      </c>
      <c r="B316" s="15">
        <f>PR!B314</f>
        <v>0</v>
      </c>
      <c r="C316" s="113">
        <f>PR!D314</f>
        <v>0</v>
      </c>
      <c r="D316" s="113">
        <f>PR!C314</f>
        <v>0</v>
      </c>
      <c r="E316" s="108" t="str">
        <f>IF(F316="ALPHA",PR!$E314,IF(F316="ASSENE",PR!$F314,IF(F316="BIOFEM",PR!$G314,IF(F316="BIOMED",PR!$H314,IF(F316="CHI",PR!$I314,IF(F316="CLARION",PR!$J314,IF(F316="CODIX",PR!$K314,IF(F316="COSMADE",PR!$L314,IF(F316="SANCON",PR!$M314,IF(F316="DEVON",PR!$N314,IF(F316="DORTEMAG",PR!$O314,IF(F316="DGF",PR!$P314,IF(F316="DYNAMIC",PR!$Q314,IF(F316="EMZOR",PR!$R314,IF(F316="EUMATT",PR!$S314,IF(F316="FIDSON",PR!$T314,IF(F316="FCGLOBAL",PR!$U314,IF(F316="GENEITH",PR!$V314,IF(F316="GINOS",PR!$W314,IF(F316="GSK",PR!$X314,IF(F316="GLOBORG",PR!$Y314,IF(F316="GOODNEWS",PR!$Z314,IF(F316="GREENLIFE",PR!$AA314,IF(F316="HLINE",PR!$AB314,IF(F316="ROTECH",PR!$AC314,IF(F316="ISN",PR!$AD314,IF(F316="JAWA",PR!$AE314,IF(F316="LAYO",PR!$AF314,IF(F316="LEADWAY",PR!$AG314,IF(F316="LHV",PR!$AH314,IF(F316="MANOLA",PR!$AI314,IF(F316="MARCSON",PR!$AJ314,IF(F316="M&amp;B",PR!$AK314,IF(F316="MTRUST",PR!$AL314,IF(F316="MWORLD",PR!$AM314,IF(F316="MEGA",PR!$AN314,IF(F316="MICRONOVA",PR!$AO314,IF(F316="MFLASH",PR!$AP314,IF(F316="MORISON",PR!$AQ314,IF(F316="NEMEL",PR!$AR314,IF(F316="NHP",PR!$AS314,IF(F316="NHC",PR!$AT314,IF(F316="OLEAF",PR!$AU314,IF(F316="OCULUS",PR!$AV314,IF(F316="PACIFIC",PR!$AW314,IF(F316="PHAMATEX",PR!$AX314,IF(F316="PETHICS",PR!$AY314,IF(F316="PHILIPS",PR!$AZ314,IF(F316="RANBAXY",PR!$BA314,IF(F316="REALS",PR!$BB314,IF(F316="ROYAL",PR!$BC314,IF(F316="SAM",PR!$BD314,IF(F316="SEAGREEN",PR!$BE314,IF(F316="SKG",PR!$BF314,IF(F316="TAH",PR!$BG314,IF(F316="TAYLEK",PR!$BH314,IF(F316="TEMITA",PR!$BI314,IF(F316="THL",PR!$BJ314,IF(F316="UBASTIC",PR!$BK314,IF(F316="UNION",PR!$BL314,IF(F316="UNIQUE",PR!$BM314,IF(F316="VIXA",PR!$BN314,IF(F316="WWCV",PR!$BO314,IF(F316="ZOLON",PR!$BP314,"-"))))))))))))))))))))))))))))))))))))))))))))))))))))))))))))))))</f>
        <v>-</v>
      </c>
      <c r="F316" s="102"/>
      <c r="G316" s="108" t="str">
        <f>IF(H316="ALPHA",PR!$E314,IF(H316="ASSENE",PR!$F314,IF(H316="BIOFEM",PR!$G314,IF(H316="BIOMED",PR!$H314,IF(H316="CHI",PR!$I314,IF(H316="CLARION",PR!$J314,IF(H316="CODIX",PR!$K314,IF(H316="COSMADE",PR!$L314,IF(H316="SANCON",PR!$M314,IF(H316="DEVON",PR!$N314,IF(H316="DORTEMAG",PR!$O314,IF(H316="DGF",PR!$P314,IF(H316="DYNAMIC",PR!$Q314,IF(H316="EMZOR",PR!$R314,IF(H316="EUMATT",PR!$S314,IF(H316="FIDSON",PR!$T314,IF(H316="FCGLOBAL",PR!$U314,IF(H316="GENEITH",PR!$V314,IF(H316="GINOS",PR!$W314,IF(H316="GSK",PR!$X314,IF(H316="GLOBORG",PR!$Y314,IF(H316="GOODNEWS",PR!$Z314,IF(H316="GREENLIFE",PR!$AA314,IF(H316="HLINE",PR!$AB314,IF(H316="ROTECH",PR!$AC314,IF(H316="ISN",PR!$AD314,IF(H316="JAWA",PR!$AE314,IF(H316="LAYO",PR!$AF314,IF(H316="LEADWAY",PR!$AG314,IF(H316="LHV",PR!$AH314,IF(H316="MANOLA",PR!$AI314,IF(H316="MARCSON",PR!$AJ314,IF(H316="M&amp;B",PR!$AK314,IF(H316="MTRUST",PR!$AL314,IF(H316="MWORLD",PR!$AM314,IF(H316="MEGA",PR!$AN314,IF(H316="MICRONOVA",PR!$AO314,IF(H316="MFLASH",PR!$AP314,IF(H316="MORISON",PR!$AQ314,IF(H316="NEMEL",PR!$AR314,IF(H316="NHP",PR!$AS314,IF(H316="NHC",PR!$AT314,IF(H316="OLEAF",PR!$AU314,IF(H316="OCULUS",PR!$AV314,IF(H316="PACIFIC",PR!$AW314,IF(H316="PHAMATEX",PR!$AX314,IF(H316="PETHICS",PR!$AY314,IF(H316="PHILIPS",PR!$AZ314,IF(H316="RANBAXY",PR!$BA314,IF(H316="REALS",PR!$BB314,IF(H316="ROYAL",PR!$BC314,IF(H316="SAM",PR!$BD314,IF(H316="SEAGREEN",PR!$BE314,IF(H316="SKG",PR!$BF314,IF(H316="TAH",PR!$BG314,IF(H316="TAYLEK",PR!$BH314,IF(H316="TEMITA",PR!$BI314,IF(H316="THL",PR!$BJ314,IF(H316="UBASTIC",PR!$BK314,IF(H316="UNION",PR!$BL314,IF(H316="UNIQUE",PR!$BM314,IF(H316="VIXA",PR!$BN314,IF(H316="WWCV",PR!$BO314,IF(H316="ZOLON",PR!$BP314,"-"))))))))))))))))))))))))))))))))))))))))))))))))))))))))))))))))</f>
        <v>-</v>
      </c>
      <c r="H316" s="102"/>
      <c r="I316" s="108" t="str">
        <f>IF(J316="ALPHA",PR!$E314,IF(J316="ASSENE",PR!$F314,IF(J316="BIOFEM",PR!$G314,IF(J316="BIOMED",PR!$H314,IF(J316="CHI",PR!$I314,IF(J316="CLARION",PR!$J314,IF(J316="CODIX",PR!$K314,IF(J316="COSMADE",PR!$L314,IF(J316="SANCON",PR!$M314,IF(J316="DEVON",PR!$N314,IF(J316="DORTEMAG",PR!$O314,IF(J316="DGF",PR!$P314,IF(J316="DYNAMIC",PR!$Q314,IF(J316="EMZOR",PR!$R314,IF(J316="EUMATT",PR!$S314,IF(J316="FIDSON",PR!$T314,IF(J316="FCGLOBAL",PR!$U314,IF(J316="GENEITH",PR!$V314,IF(J316="GINOS",PR!$W314,IF(J316="GSK",PR!$X314,IF(J316="GLOBORG",PR!$Y314,IF(J316="GOODNEWS",PR!$Z314,IF(J316="GREENLIFE",PR!$AA314,IF(J316="HLINE",PR!$AB314,IF(J316="ROTECH",PR!$AC314,IF(J316="ISN",PR!$AD314,IF(J316="JAWA",PR!$AE314,IF(J316="LAYO",PR!$AF314,IF(J316="LEADWAY",PR!$AG314,IF(J316="LHV",PR!$AH314,IF(J316="MANOLA",PR!$AI314,IF(J316="MARCSON",PR!$AJ314,IF(J316="M&amp;B",PR!$AK314,IF(J316="MTRUST",PR!$AL314,IF(J316="MWORLD",PR!$AM314,IF(J316="MEGA",PR!$AN314,IF(J316="MICRONOVA",PR!$AO314,IF(J316="MFLASH",PR!$AP314,IF(J316="MORISON",PR!$AQ314,IF(J316="NEMEL",PR!$AR314,IF(J316="NHP",PR!$AS314,IF(J316="NHC",PR!$AT314,IF(J316="OLEAF",PR!$AU314,IF(J316="OCULUS",PR!$AV314,IF(J316="PACIFIC",PR!$AW314,IF(J316="PHAMATEX",PR!$AX314,IF(J316="PETHICS",PR!$AY314,IF(J316="PHILIPS",PR!$AZ314,IF(J316="RANBAXY",PR!$BA314,IF(J316="REALS",PR!$BB314,IF(J316="ROYAL",PR!$BC314,IF(J316="SAM",PR!$BD314,IF(J316="SEAGREEN",PR!$BE314,IF(J316="SKG",PR!$BF314,IF(J316="TAH",PR!$BG314,IF(J316="TAYLEK",PR!$BH314,IF(J316="TEMITA",PR!$BI314,IF(J316="THL",PR!$BJ314,IF(J316="UBASTIC",PR!$BK314,IF(J316="UNION",PR!$BL314,IF(J316="UNIQUE",PR!$BM314,IF(J316="VIXA",PR!$BN314,IF(J316="WWCV",PR!$BO314,IF(J316="ZOLON",PR!$BP314,"-"))))))))))))))))))))))))))))))))))))))))))))))))))))))))))))))))</f>
        <v>-</v>
      </c>
      <c r="J316" s="102"/>
      <c r="K316" s="433"/>
      <c r="L316" s="183" t="b">
        <f>IF(K316&gt;0,IF(K316="ALPHA",PR!$E314,IF(K316="ASSENE",PR!$F314,IF(K316="BIOFEM",PR!$G314,IF(K316="BIOMED",PR!$H314,IF(K316="CHI",PR!$I314,IF(K316="CLARION",PR!$J314,IF(K316="CODIX",PR!$K314,IF(K316="COSMADE",PR!$L314,IF(K316="SANCON",PR!$M314,IF(K316="DEVON",PR!$N314,IF(K316="DORTEMAG",PR!$O314,IF(K316="DGF",PR!$P314,IF(K316="DYNAMIC",PR!$Q314,IF(K316="EMZOR",PR!$R314,IF(K316="EUMATT",PR!$S314,IF(K316="FIDSON",PR!$T314,IF(K316="FCGLOBAL",PR!$U314,IF(K316="GENEITH",PR!$V314,IF(K316="GINOS",PR!$W314,IF(K316="GSK",PR!$X314,IF(K316="GLOBORG",PR!$Y314,IF(K316="GOODNEWS",PR!$Z314,IF(K316="GREENLIFE",PR!$AA314,IF(K316="HLINE",PR!$AB314,IF(K316="ROTECH",PR!$AC314,IF(K316="ISN",PR!$AD314,IF(K316="JAWA",PR!$AE314,IF(K316="LAYO",PR!$AF314,IF(K316="LEADWAY",PR!$AG314,IF(K316="LHV",PR!$AH314,IF(K316="MANOLA",PR!$AI314,IF(K316="MARCSON",PR!$AJ314,IF(K316="M&amp;B",PR!$AK314,IF(K316="MTRUST",PR!$AL314,IF(K316="MWORLD",PR!$AM314,IF(K316="MEGA",PR!$AN314,IF(K316="MICRONOVA",PR!$AO314,IF(K316="MFLASH",PR!$AP314,IF(K316="MORISON",PR!$AQ314,IF(K316="NEMEL",PR!$AR314,IF(K316="NHP",PR!$AS314,IF(K316="NHC",PR!$AT314,IF(K316="OLEAF",PR!$AU314,IF(K316="OCULUS",PR!$AV314,IF(K316="PACIFIC",PR!$AW314,IF(K316="PHAMATEX",PR!$AX314,IF(K316="PETHICS",PR!$AY314,IF(K316="PHILIPS",PR!$AZ314,IF(K316="RANBAXY",PR!$BA314,IF(K316="REALS",PR!$BB314,IF(K316="ROYAL",PR!$BC314,IF(K316="SAM",PR!$BD314,IF(K316="SEAGREEN",PR!$BE314,IF(K316="SKG",PR!$BF314,IF(K316="TAH",PR!$BG314,IF(K316="TAYLEK",PR!$BH314,IF(K316="TEMITA",PR!$BI314,IF(K316="THL",PR!$BJ314,IF(K316="UBASTIC",PR!$BK314,IF(K316="UNION",PR!$BL314,IF(K316="UNIQUE",PR!$BM314,IF(K316="VIXA",PR!$BN314,IF(K316="WWCV",PR!$BO314,IF(K316="ZOLON",PR!$BP314,"-")))))))))))))))))))))))))))))))))))))))))))))))))))))))))))))))))</f>
        <v>0</v>
      </c>
    </row>
    <row r="317" spans="1:12" ht="18.75" x14ac:dyDescent="0.3">
      <c r="A317" s="430">
        <f>PR!A315</f>
        <v>285</v>
      </c>
      <c r="B317" s="15" t="str">
        <f>PR!B315</f>
        <v>ALPHA-LIPOIC ACID+THAURINE+LYCOPENE (FEROBIN PLUS)</v>
      </c>
      <c r="C317" s="113">
        <f>PR!D315</f>
        <v>30</v>
      </c>
      <c r="D317" s="113">
        <f>PR!C315</f>
        <v>200</v>
      </c>
      <c r="E317" s="108" t="str">
        <f>IF(F317="ALPHA",PR!$E315,IF(F317="ASSENE",PR!$F315,IF(F317="BIOFEM",PR!$G315,IF(F317="BIOMED",PR!$H315,IF(F317="CHI",PR!$I315,IF(F317="CLARION",PR!$J315,IF(F317="CODIX",PR!$K315,IF(F317="COSMADE",PR!$L315,IF(F317="SANCON",PR!$M315,IF(F317="DEVON",PR!$N315,IF(F317="DORTEMAG",PR!$O315,IF(F317="DGF",PR!$P315,IF(F317="DYNAMIC",PR!$Q315,IF(F317="EMZOR",PR!$R315,IF(F317="EUMATT",PR!$S315,IF(F317="FIDSON",PR!$T315,IF(F317="FCGLOBAL",PR!$U315,IF(F317="GENEITH",PR!$V315,IF(F317="GINOS",PR!$W315,IF(F317="GSK",PR!$X315,IF(F317="GLOBORG",PR!$Y315,IF(F317="GOODNEWS",PR!$Z315,IF(F317="GREENLIFE",PR!$AA315,IF(F317="HLINE",PR!$AB315,IF(F317="ROTECH",PR!$AC315,IF(F317="ISN",PR!$AD315,IF(F317="JAWA",PR!$AE315,IF(F317="LAYO",PR!$AF315,IF(F317="LEADWAY",PR!$AG315,IF(F317="LHV",PR!$AH315,IF(F317="MANOLA",PR!$AI315,IF(F317="MARCSON",PR!$AJ315,IF(F317="M&amp;B",PR!$AK315,IF(F317="MTRUST",PR!$AL315,IF(F317="MWORLD",PR!$AM315,IF(F317="MEGA",PR!$AN315,IF(F317="MICRONOVA",PR!$AO315,IF(F317="MFLASH",PR!$AP315,IF(F317="MORISON",PR!$AQ315,IF(F317="NEMEL",PR!$AR315,IF(F317="NHP",PR!$AS315,IF(F317="NHC",PR!$AT315,IF(F317="OLEAF",PR!$AU315,IF(F317="OCULUS",PR!$AV315,IF(F317="PACIFIC",PR!$AW315,IF(F317="PHAMATEX",PR!$AX315,IF(F317="PETHICS",PR!$AY315,IF(F317="PHILIPS",PR!$AZ315,IF(F317="RANBAXY",PR!$BA315,IF(F317="REALS",PR!$BB315,IF(F317="ROYAL",PR!$BC315,IF(F317="SAM",PR!$BD315,IF(F317="SEAGREEN",PR!$BE315,IF(F317="SKG",PR!$BF315,IF(F317="TAH",PR!$BG315,IF(F317="TAYLEK",PR!$BH315,IF(F317="TEMITA",PR!$BI315,IF(F317="THL",PR!$BJ315,IF(F317="UBASTIC",PR!$BK315,IF(F317="UNION",PR!$BL315,IF(F317="UNIQUE",PR!$BM315,IF(F317="VIXA",PR!$BN315,IF(F317="WWCV",PR!$BO315,IF(F317="ZOLON",PR!$BP315,"-"))))))))))))))))))))))))))))))))))))))))))))))))))))))))))))))))</f>
        <v>-</v>
      </c>
      <c r="F317" s="102">
        <f>EV!L396</f>
        <v>0</v>
      </c>
      <c r="G317" s="108" t="str">
        <f>IF(H317="ALPHA",PR!$E315,IF(H317="ASSENE",PR!$F315,IF(H317="BIOFEM",PR!$G315,IF(H317="BIOMED",PR!$H315,IF(H317="CHI",PR!$I315,IF(H317="CLARION",PR!$J315,IF(H317="CODIX",PR!$K315,IF(H317="COSMADE",PR!$L315,IF(H317="SANCON",PR!$M315,IF(H317="DEVON",PR!$N315,IF(H317="DORTEMAG",PR!$O315,IF(H317="DGF",PR!$P315,IF(H317="DYNAMIC",PR!$Q315,IF(H317="EMZOR",PR!$R315,IF(H317="EUMATT",PR!$S315,IF(H317="FIDSON",PR!$T315,IF(H317="FCGLOBAL",PR!$U315,IF(H317="GENEITH",PR!$V315,IF(H317="GINOS",PR!$W315,IF(H317="GSK",PR!$X315,IF(H317="GLOBORG",PR!$Y315,IF(H317="GOODNEWS",PR!$Z315,IF(H317="GREENLIFE",PR!$AA315,IF(H317="HLINE",PR!$AB315,IF(H317="ROTECH",PR!$AC315,IF(H317="ISN",PR!$AD315,IF(H317="JAWA",PR!$AE315,IF(H317="LAYO",PR!$AF315,IF(H317="LEADWAY",PR!$AG315,IF(H317="LHV",PR!$AH315,IF(H317="MANOLA",PR!$AI315,IF(H317="MARCSON",PR!$AJ315,IF(H317="M&amp;B",PR!$AK315,IF(H317="MTRUST",PR!$AL315,IF(H317="MWORLD",PR!$AM315,IF(H317="MEGA",PR!$AN315,IF(H317="MICRONOVA",PR!$AO315,IF(H317="MFLASH",PR!$AP315,IF(H317="MORISON",PR!$AQ315,IF(H317="NEMEL",PR!$AR315,IF(H317="NHP",PR!$AS315,IF(H317="NHC",PR!$AT315,IF(H317="OLEAF",PR!$AU315,IF(H317="OCULUS",PR!$AV315,IF(H317="PACIFIC",PR!$AW315,IF(H317="PHAMATEX",PR!$AX315,IF(H317="PETHICS",PR!$AY315,IF(H317="PHILIPS",PR!$AZ315,IF(H317="RANBAXY",PR!$BA315,IF(H317="REALS",PR!$BB315,IF(H317="ROYAL",PR!$BC315,IF(H317="SAM",PR!$BD315,IF(H317="SEAGREEN",PR!$BE315,IF(H317="SKG",PR!$BF315,IF(H317="TAH",PR!$BG315,IF(H317="TAYLEK",PR!$BH315,IF(H317="TEMITA",PR!$BI315,IF(H317="THL",PR!$BJ315,IF(H317="UBASTIC",PR!$BK315,IF(H317="UNION",PR!$BL315,IF(H317="UNIQUE",PR!$BM315,IF(H317="VIXA",PR!$BN315,IF(H317="WWCV",PR!$BO315,IF(H317="ZOLON",PR!$BP315,"-"))))))))))))))))))))))))))))))))))))))))))))))))))))))))))))))))</f>
        <v>-</v>
      </c>
      <c r="H317" s="102">
        <f>EV!M396</f>
        <v>0</v>
      </c>
      <c r="I317" s="108" t="str">
        <f>IF(J317="ALPHA",PR!$E315,IF(J317="ASSENE",PR!$F315,IF(J317="BIOFEM",PR!$G315,IF(J317="BIOMED",PR!$H315,IF(J317="CHI",PR!$I315,IF(J317="CLARION",PR!$J315,IF(J317="CODIX",PR!$K315,IF(J317="COSMADE",PR!$L315,IF(J317="SANCON",PR!$M315,IF(J317="DEVON",PR!$N315,IF(J317="DORTEMAG",PR!$O315,IF(J317="DGF",PR!$P315,IF(J317="DYNAMIC",PR!$Q315,IF(J317="EMZOR",PR!$R315,IF(J317="EUMATT",PR!$S315,IF(J317="FIDSON",PR!$T315,IF(J317="FCGLOBAL",PR!$U315,IF(J317="GENEITH",PR!$V315,IF(J317="GINOS",PR!$W315,IF(J317="GSK",PR!$X315,IF(J317="GLOBORG",PR!$Y315,IF(J317="GOODNEWS",PR!$Z315,IF(J317="GREENLIFE",PR!$AA315,IF(J317="HLINE",PR!$AB315,IF(J317="ROTECH",PR!$AC315,IF(J317="ISN",PR!$AD315,IF(J317="JAWA",PR!$AE315,IF(J317="LAYO",PR!$AF315,IF(J317="LEADWAY",PR!$AG315,IF(J317="LHV",PR!$AH315,IF(J317="MANOLA",PR!$AI315,IF(J317="MARCSON",PR!$AJ315,IF(J317="M&amp;B",PR!$AK315,IF(J317="MTRUST",PR!$AL315,IF(J317="MWORLD",PR!$AM315,IF(J317="MEGA",PR!$AN315,IF(J317="MICRONOVA",PR!$AO315,IF(J317="MFLASH",PR!$AP315,IF(J317="MORISON",PR!$AQ315,IF(J317="NEMEL",PR!$AR315,IF(J317="NHP",PR!$AS315,IF(J317="NHC",PR!$AT315,IF(J317="OLEAF",PR!$AU315,IF(J317="OCULUS",PR!$AV315,IF(J317="PACIFIC",PR!$AW315,IF(J317="PHAMATEX",PR!$AX315,IF(J317="PETHICS",PR!$AY315,IF(J317="PHILIPS",PR!$AZ315,IF(J317="RANBAXY",PR!$BA315,IF(J317="REALS",PR!$BB315,IF(J317="ROYAL",PR!$BC315,IF(J317="SAM",PR!$BD315,IF(J317="SEAGREEN",PR!$BE315,IF(J317="SKG",PR!$BF315,IF(J317="TAH",PR!$BG315,IF(J317="TAYLEK",PR!$BH315,IF(J317="TEMITA",PR!$BI315,IF(J317="THL",PR!$BJ315,IF(J317="UBASTIC",PR!$BK315,IF(J317="UNION",PR!$BL315,IF(J317="UNIQUE",PR!$BM315,IF(J317="VIXA",PR!$BN315,IF(J317="WWCV",PR!$BO315,IF(J317="ZOLON",PR!$BP315,"-"))))))))))))))))))))))))))))))))))))))))))))))))))))))))))))))))</f>
        <v>-</v>
      </c>
      <c r="J317" s="102">
        <f>EV!N396</f>
        <v>0</v>
      </c>
      <c r="K317" s="433" t="s">
        <v>631</v>
      </c>
      <c r="L317" s="183">
        <f>IF(K317&gt;0,IF(K317="ALPHA",PR!$E315,IF(K317="ASSENE",PR!$F315,IF(K317="BIOFEM",PR!$G315,IF(K317="BIOMED",PR!$H315,IF(K317="CHI",PR!$I315,IF(K317="CLARION",PR!$J315,IF(K317="CODIX",PR!$K315,IF(K317="COSMADE",PR!$L315,IF(K317="SANCON",PR!$M315,IF(K317="DEVON",PR!$N315,IF(K317="DORTEMAG",PR!$O315,IF(K317="DGF",PR!$P315,IF(K317="DYNAMIC",PR!$Q315,IF(K317="EMZOR",PR!$R315,IF(K317="EUMATT",PR!$S315,IF(K317="FIDSON",PR!$T315,IF(K317="FCGLOBAL",PR!$U315,IF(K317="GENEITH",PR!$V315,IF(K317="GINOS",PR!$W315,IF(K317="GSK",PR!$X315,IF(K317="GLOBORG",PR!$Y315,IF(K317="GOODNEWS",PR!$Z315,IF(K317="GREENLIFE",PR!$AA315,IF(K317="HLINE",PR!$AB315,IF(K317="ROTECH",PR!$AC315,IF(K317="ISN",PR!$AD315,IF(K317="JAWA",PR!$AE315,IF(K317="LAYO",PR!$AF315,IF(K317="LEADWAY",PR!$AG315,IF(K317="LHV",PR!$AH315,IF(K317="MANOLA",PR!$AI315,IF(K317="MARCSON",PR!$AJ315,IF(K317="M&amp;B",PR!$AK315,IF(K317="MTRUST",PR!$AL315,IF(K317="MWORLD",PR!$AM315,IF(K317="MEGA",PR!$AN315,IF(K317="MICRONOVA",PR!$AO315,IF(K317="MFLASH",PR!$AP315,IF(K317="MORISON",PR!$AQ315,IF(K317="NEMEL",PR!$AR315,IF(K317="NHP",PR!$AS315,IF(K317="NHC",PR!$AT315,IF(K317="OLEAF",PR!$AU315,IF(K317="OCULUS",PR!$AV315,IF(K317="PACIFIC",PR!$AW315,IF(K317="PHAMATEX",PR!$AX315,IF(K317="PETHICS",PR!$AY315,IF(K317="PHILIPS",PR!$AZ315,IF(K317="RANBAXY",PR!$BA315,IF(K317="REALS",PR!$BB315,IF(K317="ROYAL",PR!$BC315,IF(K317="SAM",PR!$BD315,IF(K317="SEAGREEN",PR!$BE315,IF(K317="SKG",PR!$BF315,IF(K317="TAH",PR!$BG315,IF(K317="TAYLEK",PR!$BH315,IF(K317="TEMITA",PR!$BI315,IF(K317="THL",PR!$BJ315,IF(K317="UBASTIC",PR!$BK315,IF(K317="UNION",PR!$BL315,IF(K317="UNIQUE",PR!$BM315,IF(K317="VIXA",PR!$BN315,IF(K317="WWCV",PR!$BO315,IF(K317="ZOLON",PR!$BP315,"-")))))))))))))))))))))))))))))))))))))))))))))))))))))))))))))))))</f>
        <v>340</v>
      </c>
    </row>
    <row r="318" spans="1:12" ht="18.75" x14ac:dyDescent="0.3">
      <c r="A318" s="430">
        <f>PR!A316</f>
        <v>286</v>
      </c>
      <c r="B318" s="15" t="str">
        <f>PR!B316</f>
        <v>AMINO ACIDS + IRON CAP</v>
      </c>
      <c r="C318" s="113">
        <f>PR!D316</f>
        <v>30</v>
      </c>
      <c r="D318" s="113">
        <f>PR!C316</f>
        <v>2000</v>
      </c>
      <c r="E318" s="108">
        <f>IF(F318="ALPHA",PR!$E316,IF(F318="ASSENE",PR!$F316,IF(F318="BIOFEM",PR!$G316,IF(F318="BIOMED",PR!$H316,IF(F318="CHI",PR!$I316,IF(F318="CLARION",PR!$J316,IF(F318="CODIX",PR!$K316,IF(F318="COSMADE",PR!$L316,IF(F318="SANCON",PR!$M316,IF(F318="DEVON",PR!$N316,IF(F318="DORTEMAG",PR!$O316,IF(F318="DGF",PR!$P316,IF(F318="DYNAMIC",PR!$Q316,IF(F318="EMZOR",PR!$R316,IF(F318="EUMATT",PR!$S316,IF(F318="FIDSON",PR!$T316,IF(F318="FCGLOBAL",PR!$U316,IF(F318="GENEITH",PR!$V316,IF(F318="GINOS",PR!$W316,IF(F318="GSK",PR!$X316,IF(F318="GLOBORG",PR!$Y316,IF(F318="GOODNEWS",PR!$Z316,IF(F318="GREENLIFE",PR!$AA316,IF(F318="HLINE",PR!$AB316,IF(F318="ROTECH",PR!$AC316,IF(F318="ISN",PR!$AD316,IF(F318="JAWA",PR!$AE316,IF(F318="LAYO",PR!$AF316,IF(F318="LEADWAY",PR!$AG316,IF(F318="LHV",PR!$AH316,IF(F318="MANOLA",PR!$AI316,IF(F318="MARCSON",PR!$AJ316,IF(F318="M&amp;B",PR!$AK316,IF(F318="MTRUST",PR!$AL316,IF(F318="MWORLD",PR!$AM316,IF(F318="MEGA",PR!$AN316,IF(F318="MICRONOVA",PR!$AO316,IF(F318="MFLASH",PR!$AP316,IF(F318="MORISON",PR!$AQ316,IF(F318="NEMEL",PR!$AR316,IF(F318="NHP",PR!$AS316,IF(F318="NHC",PR!$AT316,IF(F318="OLEAF",PR!$AU316,IF(F318="OCULUS",PR!$AV316,IF(F318="PACIFIC",PR!$AW316,IF(F318="PHAMATEX",PR!$AX316,IF(F318="PETHICS",PR!$AY316,IF(F318="PHILIPS",PR!$AZ316,IF(F318="RANBAXY",PR!$BA316,IF(F318="REALS",PR!$BB316,IF(F318="ROYAL",PR!$BC316,IF(F318="SAM",PR!$BD316,IF(F318="SEAGREEN",PR!$BE316,IF(F318="SKG",PR!$BF316,IF(F318="TAH",PR!$BG316,IF(F318="TAYLEK",PR!$BH316,IF(F318="TEMITA",PR!$BI316,IF(F318="THL",PR!$BJ316,IF(F318="UBASTIC",PR!$BK316,IF(F318="UNION",PR!$BL316,IF(F318="UNIQUE",PR!$BM316,IF(F318="VIXA",PR!$BN316,IF(F318="WWCV",PR!$BO316,IF(F318="ZOLON",PR!$BP316,"-"))))))))))))))))))))))))))))))))))))))))))))))))))))))))))))))))</f>
        <v>0</v>
      </c>
      <c r="F318" s="102" t="str">
        <f>EV!L397</f>
        <v>EUMATT</v>
      </c>
      <c r="G318" s="108">
        <f>IF(H318="ALPHA",PR!$E316,IF(H318="ASSENE",PR!$F316,IF(H318="BIOFEM",PR!$G316,IF(H318="BIOMED",PR!$H316,IF(H318="CHI",PR!$I316,IF(H318="CLARION",PR!$J316,IF(H318="CODIX",PR!$K316,IF(H318="COSMADE",PR!$L316,IF(H318="SANCON",PR!$M316,IF(H318="DEVON",PR!$N316,IF(H318="DORTEMAG",PR!$O316,IF(H318="DGF",PR!$P316,IF(H318="DYNAMIC",PR!$Q316,IF(H318="EMZOR",PR!$R316,IF(H318="EUMATT",PR!$S316,IF(H318="FIDSON",PR!$T316,IF(H318="FCGLOBAL",PR!$U316,IF(H318="GENEITH",PR!$V316,IF(H318="GINOS",PR!$W316,IF(H318="GSK",PR!$X316,IF(H318="GLOBORG",PR!$Y316,IF(H318="GOODNEWS",PR!$Z316,IF(H318="GREENLIFE",PR!$AA316,IF(H318="HLINE",PR!$AB316,IF(H318="ROTECH",PR!$AC316,IF(H318="ISN",PR!$AD316,IF(H318="JAWA",PR!$AE316,IF(H318="LAYO",PR!$AF316,IF(H318="LEADWAY",PR!$AG316,IF(H318="LHV",PR!$AH316,IF(H318="MANOLA",PR!$AI316,IF(H318="MARCSON",PR!$AJ316,IF(H318="M&amp;B",PR!$AK316,IF(H318="MTRUST",PR!$AL316,IF(H318="MWORLD",PR!$AM316,IF(H318="MEGA",PR!$AN316,IF(H318="MICRONOVA",PR!$AO316,IF(H318="MFLASH",PR!$AP316,IF(H318="MORISON",PR!$AQ316,IF(H318="NEMEL",PR!$AR316,IF(H318="NHP",PR!$AS316,IF(H318="NHC",PR!$AT316,IF(H318="OLEAF",PR!$AU316,IF(H318="OCULUS",PR!$AV316,IF(H318="PACIFIC",PR!$AW316,IF(H318="PHAMATEX",PR!$AX316,IF(H318="PETHICS",PR!$AY316,IF(H318="PHILIPS",PR!$AZ316,IF(H318="RANBAXY",PR!$BA316,IF(H318="REALS",PR!$BB316,IF(H318="ROYAL",PR!$BC316,IF(H318="SAM",PR!$BD316,IF(H318="SEAGREEN",PR!$BE316,IF(H318="SKG",PR!$BF316,IF(H318="TAH",PR!$BG316,IF(H318="TAYLEK",PR!$BH316,IF(H318="TEMITA",PR!$BI316,IF(H318="THL",PR!$BJ316,IF(H318="UBASTIC",PR!$BK316,IF(H318="UNION",PR!$BL316,IF(H318="UNIQUE",PR!$BM316,IF(H318="VIXA",PR!$BN316,IF(H318="WWCV",PR!$BO316,IF(H318="ZOLON",PR!$BP316,"-"))))))))))))))))))))))))))))))))))))))))))))))))))))))))))))))))</f>
        <v>683</v>
      </c>
      <c r="H318" s="102" t="str">
        <f>EV!M397</f>
        <v>REALS</v>
      </c>
      <c r="I318" s="108">
        <f>IF(J318="ALPHA",PR!$E316,IF(J318="ASSENE",PR!$F316,IF(J318="BIOFEM",PR!$G316,IF(J318="BIOMED",PR!$H316,IF(J318="CHI",PR!$I316,IF(J318="CLARION",PR!$J316,IF(J318="CODIX",PR!$K316,IF(J318="COSMADE",PR!$L316,IF(J318="SANCON",PR!$M316,IF(J318="DEVON",PR!$N316,IF(J318="DORTEMAG",PR!$O316,IF(J318="DGF",PR!$P316,IF(J318="DYNAMIC",PR!$Q316,IF(J318="EMZOR",PR!$R316,IF(J318="EUMATT",PR!$S316,IF(J318="FIDSON",PR!$T316,IF(J318="FCGLOBAL",PR!$U316,IF(J318="GENEITH",PR!$V316,IF(J318="GINOS",PR!$W316,IF(J318="GSK",PR!$X316,IF(J318="GLOBORG",PR!$Y316,IF(J318="GOODNEWS",PR!$Z316,IF(J318="GREENLIFE",PR!$AA316,IF(J318="HLINE",PR!$AB316,IF(J318="ROTECH",PR!$AC316,IF(J318="ISN",PR!$AD316,IF(J318="JAWA",PR!$AE316,IF(J318="LAYO",PR!$AF316,IF(J318="LEADWAY",PR!$AG316,IF(J318="LHV",PR!$AH316,IF(J318="MANOLA",PR!$AI316,IF(J318="MARCSON",PR!$AJ316,IF(J318="M&amp;B",PR!$AK316,IF(J318="MTRUST",PR!$AL316,IF(J318="MWORLD",PR!$AM316,IF(J318="MEGA",PR!$AN316,IF(J318="MICRONOVA",PR!$AO316,IF(J318="MFLASH",PR!$AP316,IF(J318="MORISON",PR!$AQ316,IF(J318="NEMEL",PR!$AR316,IF(J318="NHP",PR!$AS316,IF(J318="NHC",PR!$AT316,IF(J318="OLEAF",PR!$AU316,IF(J318="OCULUS",PR!$AV316,IF(J318="PACIFIC",PR!$AW316,IF(J318="PHAMATEX",PR!$AX316,IF(J318="PETHICS",PR!$AY316,IF(J318="PHILIPS",PR!$AZ316,IF(J318="RANBAXY",PR!$BA316,IF(J318="REALS",PR!$BB316,IF(J318="ROYAL",PR!$BC316,IF(J318="SAM",PR!$BD316,IF(J318="SEAGREEN",PR!$BE316,IF(J318="SKG",PR!$BF316,IF(J318="TAH",PR!$BG316,IF(J318="TAYLEK",PR!$BH316,IF(J318="TEMITA",PR!$BI316,IF(J318="THL",PR!$BJ316,IF(J318="UBASTIC",PR!$BK316,IF(J318="UNION",PR!$BL316,IF(J318="UNIQUE",PR!$BM316,IF(J318="VIXA",PR!$BN316,IF(J318="WWCV",PR!$BO316,IF(J318="ZOLON",PR!$BP316,"-"))))))))))))))))))))))))))))))))))))))))))))))))))))))))))))))))</f>
        <v>1160</v>
      </c>
      <c r="J318" s="102" t="str">
        <f>EV!N397</f>
        <v>FIDSON</v>
      </c>
      <c r="K318" s="433" t="s">
        <v>631</v>
      </c>
      <c r="L318" s="183">
        <f>IF(K318&gt;0,IF(K318="ALPHA",PR!$E316,IF(K318="ASSENE",PR!$F316,IF(K318="BIOFEM",PR!$G316,IF(K318="BIOMED",PR!$H316,IF(K318="CHI",PR!$I316,IF(K318="CLARION",PR!$J316,IF(K318="CODIX",PR!$K316,IF(K318="COSMADE",PR!$L316,IF(K318="SANCON",PR!$M316,IF(K318="DEVON",PR!$N316,IF(K318="DORTEMAG",PR!$O316,IF(K318="DGF",PR!$P316,IF(K318="DYNAMIC",PR!$Q316,IF(K318="EMZOR",PR!$R316,IF(K318="EUMATT",PR!$S316,IF(K318="FIDSON",PR!$T316,IF(K318="FCGLOBAL",PR!$U316,IF(K318="GENEITH",PR!$V316,IF(K318="GINOS",PR!$W316,IF(K318="GSK",PR!$X316,IF(K318="GLOBORG",PR!$Y316,IF(K318="GOODNEWS",PR!$Z316,IF(K318="GREENLIFE",PR!$AA316,IF(K318="HLINE",PR!$AB316,IF(K318="ROTECH",PR!$AC316,IF(K318="ISN",PR!$AD316,IF(K318="JAWA",PR!$AE316,IF(K318="LAYO",PR!$AF316,IF(K318="LEADWAY",PR!$AG316,IF(K318="LHV",PR!$AH316,IF(K318="MANOLA",PR!$AI316,IF(K318="MARCSON",PR!$AJ316,IF(K318="M&amp;B",PR!$AK316,IF(K318="MTRUST",PR!$AL316,IF(K318="MWORLD",PR!$AM316,IF(K318="MEGA",PR!$AN316,IF(K318="MICRONOVA",PR!$AO316,IF(K318="MFLASH",PR!$AP316,IF(K318="MORISON",PR!$AQ316,IF(K318="NEMEL",PR!$AR316,IF(K318="NHP",PR!$AS316,IF(K318="NHC",PR!$AT316,IF(K318="OLEAF",PR!$AU316,IF(K318="OCULUS",PR!$AV316,IF(K318="PACIFIC",PR!$AW316,IF(K318="PHAMATEX",PR!$AX316,IF(K318="PETHICS",PR!$AY316,IF(K318="PHILIPS",PR!$AZ316,IF(K318="RANBAXY",PR!$BA316,IF(K318="REALS",PR!$BB316,IF(K318="ROYAL",PR!$BC316,IF(K318="SAM",PR!$BD316,IF(K318="SEAGREEN",PR!$BE316,IF(K318="SKG",PR!$BF316,IF(K318="TAH",PR!$BG316,IF(K318="TAYLEK",PR!$BH316,IF(K318="TEMITA",PR!$BI316,IF(K318="THL",PR!$BJ316,IF(K318="UBASTIC",PR!$BK316,IF(K318="UNION",PR!$BL316,IF(K318="UNIQUE",PR!$BM316,IF(K318="VIXA",PR!$BN316,IF(K318="WWCV",PR!$BO316,IF(K318="ZOLON",PR!$BP316,"-")))))))))))))))))))))))))))))))))))))))))))))))))))))))))))))))))</f>
        <v>1160</v>
      </c>
    </row>
    <row r="319" spans="1:12" ht="18.75" x14ac:dyDescent="0.3">
      <c r="A319" s="430">
        <f>PR!A317</f>
        <v>287</v>
      </c>
      <c r="B319" s="15" t="str">
        <f>PR!B317</f>
        <v>AMINO ACIDS + IRON SYR</v>
      </c>
      <c r="C319" s="113" t="str">
        <f>PR!D317</f>
        <v>BOTT</v>
      </c>
      <c r="D319" s="113">
        <f>PR!C317</f>
        <v>600</v>
      </c>
      <c r="E319" s="108">
        <f>IF(F319="ALPHA",PR!$E317,IF(F319="ASSENE",PR!$F317,IF(F319="BIOFEM",PR!$G317,IF(F319="BIOMED",PR!$H317,IF(F319="CHI",PR!$I317,IF(F319="CLARION",PR!$J317,IF(F319="CODIX",PR!$K317,IF(F319="COSMADE",PR!$L317,IF(F319="SANCON",PR!$M317,IF(F319="DEVON",PR!$N317,IF(F319="DORTEMAG",PR!$O317,IF(F319="DGF",PR!$P317,IF(F319="DYNAMIC",PR!$Q317,IF(F319="EMZOR",PR!$R317,IF(F319="EUMATT",PR!$S317,IF(F319="FIDSON",PR!$T317,IF(F319="FCGLOBAL",PR!$U317,IF(F319="GENEITH",PR!$V317,IF(F319="GINOS",PR!$W317,IF(F319="GSK",PR!$X317,IF(F319="GLOBORG",PR!$Y317,IF(F319="GOODNEWS",PR!$Z317,IF(F319="GREENLIFE",PR!$AA317,IF(F319="HLINE",PR!$AB317,IF(F319="ROTECH",PR!$AC317,IF(F319="ISN",PR!$AD317,IF(F319="JAWA",PR!$AE317,IF(F319="LAYO",PR!$AF317,IF(F319="LEADWAY",PR!$AG317,IF(F319="LHV",PR!$AH317,IF(F319="MANOLA",PR!$AI317,IF(F319="MARCSON",PR!$AJ317,IF(F319="M&amp;B",PR!$AK317,IF(F319="MTRUST",PR!$AL317,IF(F319="MWORLD",PR!$AM317,IF(F319="MEGA",PR!$AN317,IF(F319="MICRONOVA",PR!$AO317,IF(F319="MFLASH",PR!$AP317,IF(F319="MORISON",PR!$AQ317,IF(F319="NEMEL",PR!$AR317,IF(F319="NHP",PR!$AS317,IF(F319="NHC",PR!$AT317,IF(F319="OLEAF",PR!$AU317,IF(F319="OCULUS",PR!$AV317,IF(F319="PACIFIC",PR!$AW317,IF(F319="PHAMATEX",PR!$AX317,IF(F319="PETHICS",PR!$AY317,IF(F319="PHILIPS",PR!$AZ317,IF(F319="RANBAXY",PR!$BA317,IF(F319="REALS",PR!$BB317,IF(F319="ROYAL",PR!$BC317,IF(F319="SAM",PR!$BD317,IF(F319="SEAGREEN",PR!$BE317,IF(F319="SKG",PR!$BF317,IF(F319="TAH",PR!$BG317,IF(F319="TAYLEK",PR!$BH317,IF(F319="TEMITA",PR!$BI317,IF(F319="THL",PR!$BJ317,IF(F319="UBASTIC",PR!$BK317,IF(F319="UNION",PR!$BL317,IF(F319="UNIQUE",PR!$BM317,IF(F319="VIXA",PR!$BN317,IF(F319="WWCV",PR!$BO317,IF(F319="ZOLON",PR!$BP317,"-"))))))))))))))))))))))))))))))))))))))))))))))))))))))))))))))))</f>
        <v>309.584</v>
      </c>
      <c r="F319" s="102" t="str">
        <f>EV!L398</f>
        <v>EMZOR</v>
      </c>
      <c r="G319" s="108" t="str">
        <f>IF(H319="ALPHA",PR!$E317,IF(H319="ASSENE",PR!$F317,IF(H319="BIOFEM",PR!$G317,IF(H319="BIOMED",PR!$H317,IF(H319="CHI",PR!$I317,IF(H319="CLARION",PR!$J317,IF(H319="CODIX",PR!$K317,IF(H319="COSMADE",PR!$L317,IF(H319="SANCON",PR!$M317,IF(H319="DEVON",PR!$N317,IF(H319="DORTEMAG",PR!$O317,IF(H319="DGF",PR!$P317,IF(H319="DYNAMIC",PR!$Q317,IF(H319="EMZOR",PR!$R317,IF(H319="EUMATT",PR!$S317,IF(H319="FIDSON",PR!$T317,IF(H319="FCGLOBAL",PR!$U317,IF(H319="GENEITH",PR!$V317,IF(H319="GINOS",PR!$W317,IF(H319="GSK",PR!$X317,IF(H319="GLOBORG",PR!$Y317,IF(H319="GOODNEWS",PR!$Z317,IF(H319="GREENLIFE",PR!$AA317,IF(H319="HLINE",PR!$AB317,IF(H319="ROTECH",PR!$AC317,IF(H319="ISN",PR!$AD317,IF(H319="JAWA",PR!$AE317,IF(H319="LAYO",PR!$AF317,IF(H319="LEADWAY",PR!$AG317,IF(H319="LHV",PR!$AH317,IF(H319="MANOLA",PR!$AI317,IF(H319="MARCSON",PR!$AJ317,IF(H319="M&amp;B",PR!$AK317,IF(H319="MTRUST",PR!$AL317,IF(H319="MWORLD",PR!$AM317,IF(H319="MEGA",PR!$AN317,IF(H319="MICRONOVA",PR!$AO317,IF(H319="MFLASH",PR!$AP317,IF(H319="MORISON",PR!$AQ317,IF(H319="NEMEL",PR!$AR317,IF(H319="NHP",PR!$AS317,IF(H319="NHC",PR!$AT317,IF(H319="OLEAF",PR!$AU317,IF(H319="OCULUS",PR!$AV317,IF(H319="PACIFIC",PR!$AW317,IF(H319="PHAMATEX",PR!$AX317,IF(H319="PETHICS",PR!$AY317,IF(H319="PHILIPS",PR!$AZ317,IF(H319="RANBAXY",PR!$BA317,IF(H319="REALS",PR!$BB317,IF(H319="ROYAL",PR!$BC317,IF(H319="SAM",PR!$BD317,IF(H319="SEAGREEN",PR!$BE317,IF(H319="SKG",PR!$BF317,IF(H319="TAH",PR!$BG317,IF(H319="TAYLEK",PR!$BH317,IF(H319="TEMITA",PR!$BI317,IF(H319="THL",PR!$BJ317,IF(H319="UBASTIC",PR!$BK317,IF(H319="UNION",PR!$BL317,IF(H319="UNIQUE",PR!$BM317,IF(H319="VIXA",PR!$BN317,IF(H319="WWCV",PR!$BO317,IF(H319="ZOLON",PR!$BP317,"-"))))))))))))))))))))))))))))))))))))))))))))))))))))))))))))))))</f>
        <v>-</v>
      </c>
      <c r="H319" s="102" t="str">
        <f>EV!M398</f>
        <v>GREELIFE</v>
      </c>
      <c r="I319" s="108">
        <f>IF(J319="ALPHA",PR!$E317,IF(J319="ASSENE",PR!$F317,IF(J319="BIOFEM",PR!$G317,IF(J319="BIOMED",PR!$H317,IF(J319="CHI",PR!$I317,IF(J319="CLARION",PR!$J317,IF(J319="CODIX",PR!$K317,IF(J319="COSMADE",PR!$L317,IF(J319="SANCON",PR!$M317,IF(J319="DEVON",PR!$N317,IF(J319="DORTEMAG",PR!$O317,IF(J319="DGF",PR!$P317,IF(J319="DYNAMIC",PR!$Q317,IF(J319="EMZOR",PR!$R317,IF(J319="EUMATT",PR!$S317,IF(J319="FIDSON",PR!$T317,IF(J319="FCGLOBAL",PR!$U317,IF(J319="GENEITH",PR!$V317,IF(J319="GINOS",PR!$W317,IF(J319="GSK",PR!$X317,IF(J319="GLOBORG",PR!$Y317,IF(J319="GOODNEWS",PR!$Z317,IF(J319="GREENLIFE",PR!$AA317,IF(J319="HLINE",PR!$AB317,IF(J319="ROTECH",PR!$AC317,IF(J319="ISN",PR!$AD317,IF(J319="JAWA",PR!$AE317,IF(J319="LAYO",PR!$AF317,IF(J319="LEADWAY",PR!$AG317,IF(J319="LHV",PR!$AH317,IF(J319="MANOLA",PR!$AI317,IF(J319="MARCSON",PR!$AJ317,IF(J319="M&amp;B",PR!$AK317,IF(J319="MTRUST",PR!$AL317,IF(J319="MWORLD",PR!$AM317,IF(J319="MEGA",PR!$AN317,IF(J319="MICRONOVA",PR!$AO317,IF(J319="MFLASH",PR!$AP317,IF(J319="MORISON",PR!$AQ317,IF(J319="NEMEL",PR!$AR317,IF(J319="NHP",PR!$AS317,IF(J319="NHC",PR!$AT317,IF(J319="OLEAF",PR!$AU317,IF(J319="OCULUS",PR!$AV317,IF(J319="PACIFIC",PR!$AW317,IF(J319="PHAMATEX",PR!$AX317,IF(J319="PETHICS",PR!$AY317,IF(J319="PHILIPS",PR!$AZ317,IF(J319="RANBAXY",PR!$BA317,IF(J319="REALS",PR!$BB317,IF(J319="ROYAL",PR!$BC317,IF(J319="SAM",PR!$BD317,IF(J319="SEAGREEN",PR!$BE317,IF(J319="SKG",PR!$BF317,IF(J319="TAH",PR!$BG317,IF(J319="TAYLEK",PR!$BH317,IF(J319="TEMITA",PR!$BI317,IF(J319="THL",PR!$BJ317,IF(J319="UBASTIC",PR!$BK317,IF(J319="UNION",PR!$BL317,IF(J319="UNIQUE",PR!$BM317,IF(J319="VIXA",PR!$BN317,IF(J319="WWCV",PR!$BO317,IF(J319="ZOLON",PR!$BP317,"-"))))))))))))))))))))))))))))))))))))))))))))))))))))))))))))))))</f>
        <v>1160</v>
      </c>
      <c r="J319" s="102" t="str">
        <f>EV!N398</f>
        <v>FIDSON</v>
      </c>
      <c r="K319" s="433" t="s">
        <v>631</v>
      </c>
      <c r="L319" s="183">
        <f>IF(K319&gt;0,IF(K319="ALPHA",PR!$E317,IF(K319="ASSENE",PR!$F317,IF(K319="BIOFEM",PR!$G317,IF(K319="BIOMED",PR!$H317,IF(K319="CHI",PR!$I317,IF(K319="CLARION",PR!$J317,IF(K319="CODIX",PR!$K317,IF(K319="COSMADE",PR!$L317,IF(K319="SANCON",PR!$M317,IF(K319="DEVON",PR!$N317,IF(K319="DORTEMAG",PR!$O317,IF(K319="DGF",PR!$P317,IF(K319="DYNAMIC",PR!$Q317,IF(K319="EMZOR",PR!$R317,IF(K319="EUMATT",PR!$S317,IF(K319="FIDSON",PR!$T317,IF(K319="FCGLOBAL",PR!$U317,IF(K319="GENEITH",PR!$V317,IF(K319="GINOS",PR!$W317,IF(K319="GSK",PR!$X317,IF(K319="GLOBORG",PR!$Y317,IF(K319="GOODNEWS",PR!$Z317,IF(K319="GREENLIFE",PR!$AA317,IF(K319="HLINE",PR!$AB317,IF(K319="ROTECH",PR!$AC317,IF(K319="ISN",PR!$AD317,IF(K319="JAWA",PR!$AE317,IF(K319="LAYO",PR!$AF317,IF(K319="LEADWAY",PR!$AG317,IF(K319="LHV",PR!$AH317,IF(K319="MANOLA",PR!$AI317,IF(K319="MARCSON",PR!$AJ317,IF(K319="M&amp;B",PR!$AK317,IF(K319="MTRUST",PR!$AL317,IF(K319="MWORLD",PR!$AM317,IF(K319="MEGA",PR!$AN317,IF(K319="MICRONOVA",PR!$AO317,IF(K319="MFLASH",PR!$AP317,IF(K319="MORISON",PR!$AQ317,IF(K319="NEMEL",PR!$AR317,IF(K319="NHP",PR!$AS317,IF(K319="NHC",PR!$AT317,IF(K319="OLEAF",PR!$AU317,IF(K319="OCULUS",PR!$AV317,IF(K319="PACIFIC",PR!$AW317,IF(K319="PHAMATEX",PR!$AX317,IF(K319="PETHICS",PR!$AY317,IF(K319="PHILIPS",PR!$AZ317,IF(K319="RANBAXY",PR!$BA317,IF(K319="REALS",PR!$BB317,IF(K319="ROYAL",PR!$BC317,IF(K319="SAM",PR!$BD317,IF(K319="SEAGREEN",PR!$BE317,IF(K319="SKG",PR!$BF317,IF(K319="TAH",PR!$BG317,IF(K319="TAYLEK",PR!$BH317,IF(K319="TEMITA",PR!$BI317,IF(K319="THL",PR!$BJ317,IF(K319="UBASTIC",PR!$BK317,IF(K319="UNION",PR!$BL317,IF(K319="UNIQUE",PR!$BM317,IF(K319="VIXA",PR!$BN317,IF(K319="WWCV",PR!$BO317,IF(K319="ZOLON",PR!$BP317,"-")))))))))))))))))))))))))))))))))))))))))))))))))))))))))))))))))</f>
        <v>1160</v>
      </c>
    </row>
    <row r="320" spans="1:12" ht="18.75" x14ac:dyDescent="0.3">
      <c r="A320" s="430">
        <f>PR!A318</f>
        <v>288</v>
      </c>
      <c r="B320" s="15" t="str">
        <f>PR!B318</f>
        <v>AMINO ACIDS CAP</v>
      </c>
      <c r="C320" s="113">
        <f>PR!D318</f>
        <v>20</v>
      </c>
      <c r="D320" s="113">
        <f>PR!C318</f>
        <v>1200</v>
      </c>
      <c r="E320" s="108">
        <f>IF(F320="ALPHA",PR!$E318,IF(F320="ASSENE",PR!$F318,IF(F320="BIOFEM",PR!$G318,IF(F320="BIOMED",PR!$H318,IF(F320="CHI",PR!$I318,IF(F320="CLARION",PR!$J318,IF(F320="CODIX",PR!$K318,IF(F320="COSMADE",PR!$L318,IF(F320="SANCON",PR!$M318,IF(F320="DEVON",PR!$N318,IF(F320="DORTEMAG",PR!$O318,IF(F320="DGF",PR!$P318,IF(F320="DYNAMIC",PR!$Q318,IF(F320="EMZOR",PR!$R318,IF(F320="EUMATT",PR!$S318,IF(F320="FIDSON",PR!$T318,IF(F320="FCGLOBAL",PR!$U318,IF(F320="GENEITH",PR!$V318,IF(F320="GINOS",PR!$W318,IF(F320="GSK",PR!$X318,IF(F320="GLOBORG",PR!$Y318,IF(F320="GOODNEWS",PR!$Z318,IF(F320="GREENLIFE",PR!$AA318,IF(F320="HLINE",PR!$AB318,IF(F320="ROTECH",PR!$AC318,IF(F320="ISN",PR!$AD318,IF(F320="JAWA",PR!$AE318,IF(F320="LAYO",PR!$AF318,IF(F320="LEADWAY",PR!$AG318,IF(F320="LHV",PR!$AH318,IF(F320="MANOLA",PR!$AI318,IF(F320="MARCSON",PR!$AJ318,IF(F320="M&amp;B",PR!$AK318,IF(F320="MTRUST",PR!$AL318,IF(F320="MWORLD",PR!$AM318,IF(F320="MEGA",PR!$AN318,IF(F320="MICRONOVA",PR!$AO318,IF(F320="MFLASH",PR!$AP318,IF(F320="MORISON",PR!$AQ318,IF(F320="NEMEL",PR!$AR318,IF(F320="NHP",PR!$AS318,IF(F320="NHC",PR!$AT318,IF(F320="OLEAF",PR!$AU318,IF(F320="OCULUS",PR!$AV318,IF(F320="PACIFIC",PR!$AW318,IF(F320="PHAMATEX",PR!$AX318,IF(F320="PETHICS",PR!$AY318,IF(F320="PHILIPS",PR!$AZ318,IF(F320="RANBAXY",PR!$BA318,IF(F320="REALS",PR!$BB318,IF(F320="ROYAL",PR!$BC318,IF(F320="SAM",PR!$BD318,IF(F320="SEAGREEN",PR!$BE318,IF(F320="SKG",PR!$BF318,IF(F320="TAH",PR!$BG318,IF(F320="TAYLEK",PR!$BH318,IF(F320="TEMITA",PR!$BI318,IF(F320="THL",PR!$BJ318,IF(F320="UBASTIC",PR!$BK318,IF(F320="UNION",PR!$BL318,IF(F320="UNIQUE",PR!$BM318,IF(F320="VIXA",PR!$BN318,IF(F320="WWCV",PR!$BO318,IF(F320="ZOLON",PR!$BP318,"-"))))))))))))))))))))))))))))))))))))))))))))))))))))))))))))))))</f>
        <v>1160</v>
      </c>
      <c r="F320" s="102" t="str">
        <f>EV!L399</f>
        <v>FIDSON</v>
      </c>
      <c r="G320" s="108" t="str">
        <f>IF(H320="ALPHA",PR!$E318,IF(H320="ASSENE",PR!$F318,IF(H320="BIOFEM",PR!$G318,IF(H320="BIOMED",PR!$H318,IF(H320="CHI",PR!$I318,IF(H320="CLARION",PR!$J318,IF(H320="CODIX",PR!$K318,IF(H320="COSMADE",PR!$L318,IF(H320="SANCON",PR!$M318,IF(H320="DEVON",PR!$N318,IF(H320="DORTEMAG",PR!$O318,IF(H320="DGF",PR!$P318,IF(H320="DYNAMIC",PR!$Q318,IF(H320="EMZOR",PR!$R318,IF(H320="EUMATT",PR!$S318,IF(H320="FIDSON",PR!$T318,IF(H320="FCGLOBAL",PR!$U318,IF(H320="GENEITH",PR!$V318,IF(H320="GINOS",PR!$W318,IF(H320="GSK",PR!$X318,IF(H320="GLOBORG",PR!$Y318,IF(H320="GOODNEWS",PR!$Z318,IF(H320="GREENLIFE",PR!$AA318,IF(H320="HLINE",PR!$AB318,IF(H320="ROTECH",PR!$AC318,IF(H320="ISN",PR!$AD318,IF(H320="JAWA",PR!$AE318,IF(H320="LAYO",PR!$AF318,IF(H320="LEADWAY",PR!$AG318,IF(H320="LHV",PR!$AH318,IF(H320="MANOLA",PR!$AI318,IF(H320="MARCSON",PR!$AJ318,IF(H320="M&amp;B",PR!$AK318,IF(H320="MTRUST",PR!$AL318,IF(H320="MWORLD",PR!$AM318,IF(H320="MEGA",PR!$AN318,IF(H320="MICRONOVA",PR!$AO318,IF(H320="MFLASH",PR!$AP318,IF(H320="MORISON",PR!$AQ318,IF(H320="NEMEL",PR!$AR318,IF(H320="NHP",PR!$AS318,IF(H320="NHC",PR!$AT318,IF(H320="OLEAF",PR!$AU318,IF(H320="OCULUS",PR!$AV318,IF(H320="PACIFIC",PR!$AW318,IF(H320="PHAMATEX",PR!$AX318,IF(H320="PETHICS",PR!$AY318,IF(H320="PHILIPS",PR!$AZ318,IF(H320="RANBAXY",PR!$BA318,IF(H320="REALS",PR!$BB318,IF(H320="ROYAL",PR!$BC318,IF(H320="SAM",PR!$BD318,IF(H320="SEAGREEN",PR!$BE318,IF(H320="SKG",PR!$BF318,IF(H320="TAH",PR!$BG318,IF(H320="TAYLEK",PR!$BH318,IF(H320="TEMITA",PR!$BI318,IF(H320="THL",PR!$BJ318,IF(H320="UBASTIC",PR!$BK318,IF(H320="UNION",PR!$BL318,IF(H320="UNIQUE",PR!$BM318,IF(H320="VIXA",PR!$BN318,IF(H320="WWCV",PR!$BO318,IF(H320="ZOLON",PR!$BP318,"-"))))))))))))))))))))))))))))))))))))))))))))))))))))))))))))))))</f>
        <v>-</v>
      </c>
      <c r="H320" s="102">
        <f>EV!M399</f>
        <v>0</v>
      </c>
      <c r="I320" s="108" t="str">
        <f>IF(J320="ALPHA",PR!$E318,IF(J320="ASSENE",PR!$F318,IF(J320="BIOFEM",PR!$G318,IF(J320="BIOMED",PR!$H318,IF(J320="CHI",PR!$I318,IF(J320="CLARION",PR!$J318,IF(J320="CODIX",PR!$K318,IF(J320="COSMADE",PR!$L318,IF(J320="SANCON",PR!$M318,IF(J320="DEVON",PR!$N318,IF(J320="DORTEMAG",PR!$O318,IF(J320="DGF",PR!$P318,IF(J320="DYNAMIC",PR!$Q318,IF(J320="EMZOR",PR!$R318,IF(J320="EUMATT",PR!$S318,IF(J320="FIDSON",PR!$T318,IF(J320="FCGLOBAL",PR!$U318,IF(J320="GENEITH",PR!$V318,IF(J320="GINOS",PR!$W318,IF(J320="GSK",PR!$X318,IF(J320="GLOBORG",PR!$Y318,IF(J320="GOODNEWS",PR!$Z318,IF(J320="GREENLIFE",PR!$AA318,IF(J320="HLINE",PR!$AB318,IF(J320="ROTECH",PR!$AC318,IF(J320="ISN",PR!$AD318,IF(J320="JAWA",PR!$AE318,IF(J320="LAYO",PR!$AF318,IF(J320="LEADWAY",PR!$AG318,IF(J320="LHV",PR!$AH318,IF(J320="MANOLA",PR!$AI318,IF(J320="MARCSON",PR!$AJ318,IF(J320="M&amp;B",PR!$AK318,IF(J320="MTRUST",PR!$AL318,IF(J320="MWORLD",PR!$AM318,IF(J320="MEGA",PR!$AN318,IF(J320="MICRONOVA",PR!$AO318,IF(J320="MFLASH",PR!$AP318,IF(J320="MORISON",PR!$AQ318,IF(J320="NEMEL",PR!$AR318,IF(J320="NHP",PR!$AS318,IF(J320="NHC",PR!$AT318,IF(J320="OLEAF",PR!$AU318,IF(J320="OCULUS",PR!$AV318,IF(J320="PACIFIC",PR!$AW318,IF(J320="PHAMATEX",PR!$AX318,IF(J320="PETHICS",PR!$AY318,IF(J320="PHILIPS",PR!$AZ318,IF(J320="RANBAXY",PR!$BA318,IF(J320="REALS",PR!$BB318,IF(J320="ROYAL",PR!$BC318,IF(J320="SAM",PR!$BD318,IF(J320="SEAGREEN",PR!$BE318,IF(J320="SKG",PR!$BF318,IF(J320="TAH",PR!$BG318,IF(J320="TAYLEK",PR!$BH318,IF(J320="TEMITA",PR!$BI318,IF(J320="THL",PR!$BJ318,IF(J320="UBASTIC",PR!$BK318,IF(J320="UNION",PR!$BL318,IF(J320="UNIQUE",PR!$BM318,IF(J320="VIXA",PR!$BN318,IF(J320="WWCV",PR!$BO318,IF(J320="ZOLON",PR!$BP318,"-"))))))))))))))))))))))))))))))))))))))))))))))))))))))))))))))))</f>
        <v>-</v>
      </c>
      <c r="J320" s="102">
        <f>EV!N399</f>
        <v>0</v>
      </c>
      <c r="K320" s="433" t="s">
        <v>631</v>
      </c>
      <c r="L320" s="183">
        <f>IF(K320&gt;0,IF(K320="ALPHA",PR!$E318,IF(K320="ASSENE",PR!$F318,IF(K320="BIOFEM",PR!$G318,IF(K320="BIOMED",PR!$H318,IF(K320="CHI",PR!$I318,IF(K320="CLARION",PR!$J318,IF(K320="CODIX",PR!$K318,IF(K320="COSMADE",PR!$L318,IF(K320="SANCON",PR!$M318,IF(K320="DEVON",PR!$N318,IF(K320="DORTEMAG",PR!$O318,IF(K320="DGF",PR!$P318,IF(K320="DYNAMIC",PR!$Q318,IF(K320="EMZOR",PR!$R318,IF(K320="EUMATT",PR!$S318,IF(K320="FIDSON",PR!$T318,IF(K320="FCGLOBAL",PR!$U318,IF(K320="GENEITH",PR!$V318,IF(K320="GINOS",PR!$W318,IF(K320="GSK",PR!$X318,IF(K320="GLOBORG",PR!$Y318,IF(K320="GOODNEWS",PR!$Z318,IF(K320="GREENLIFE",PR!$AA318,IF(K320="HLINE",PR!$AB318,IF(K320="ROTECH",PR!$AC318,IF(K320="ISN",PR!$AD318,IF(K320="JAWA",PR!$AE318,IF(K320="LAYO",PR!$AF318,IF(K320="LEADWAY",PR!$AG318,IF(K320="LHV",PR!$AH318,IF(K320="MANOLA",PR!$AI318,IF(K320="MARCSON",PR!$AJ318,IF(K320="M&amp;B",PR!$AK318,IF(K320="MTRUST",PR!$AL318,IF(K320="MWORLD",PR!$AM318,IF(K320="MEGA",PR!$AN318,IF(K320="MICRONOVA",PR!$AO318,IF(K320="MFLASH",PR!$AP318,IF(K320="MORISON",PR!$AQ318,IF(K320="NEMEL",PR!$AR318,IF(K320="NHP",PR!$AS318,IF(K320="NHC",PR!$AT318,IF(K320="OLEAF",PR!$AU318,IF(K320="OCULUS",PR!$AV318,IF(K320="PACIFIC",PR!$AW318,IF(K320="PHAMATEX",PR!$AX318,IF(K320="PETHICS",PR!$AY318,IF(K320="PHILIPS",PR!$AZ318,IF(K320="RANBAXY",PR!$BA318,IF(K320="REALS",PR!$BB318,IF(K320="ROYAL",PR!$BC318,IF(K320="SAM",PR!$BD318,IF(K320="SEAGREEN",PR!$BE318,IF(K320="SKG",PR!$BF318,IF(K320="TAH",PR!$BG318,IF(K320="TAYLEK",PR!$BH318,IF(K320="TEMITA",PR!$BI318,IF(K320="THL",PR!$BJ318,IF(K320="UBASTIC",PR!$BK318,IF(K320="UNION",PR!$BL318,IF(K320="UNIQUE",PR!$BM318,IF(K320="VIXA",PR!$BN318,IF(K320="WWCV",PR!$BO318,IF(K320="ZOLON",PR!$BP318,"-")))))))))))))))))))))))))))))))))))))))))))))))))))))))))))))))))</f>
        <v>1160</v>
      </c>
    </row>
    <row r="321" spans="1:12" ht="18.75" x14ac:dyDescent="0.3">
      <c r="A321" s="430">
        <f>PR!A319</f>
        <v>289</v>
      </c>
      <c r="B321" s="15" t="str">
        <f>PR!B319</f>
        <v>AMINO ACIDS SYR</v>
      </c>
      <c r="C321" s="113" t="str">
        <f>PR!D319</f>
        <v>BOTT</v>
      </c>
      <c r="D321" s="113">
        <f>PR!C319</f>
        <v>600</v>
      </c>
      <c r="E321" s="108">
        <f>IF(F321="ALPHA",PR!$E319,IF(F321="ASSENE",PR!$F319,IF(F321="BIOFEM",PR!$G319,IF(F321="BIOMED",PR!$H319,IF(F321="CHI",PR!$I319,IF(F321="CLARION",PR!$J319,IF(F321="CODIX",PR!$K319,IF(F321="COSMADE",PR!$L319,IF(F321="SANCON",PR!$M319,IF(F321="DEVON",PR!$N319,IF(F321="DORTEMAG",PR!$O319,IF(F321="DGF",PR!$P319,IF(F321="DYNAMIC",PR!$Q319,IF(F321="EMZOR",PR!$R319,IF(F321="EUMATT",PR!$S319,IF(F321="FIDSON",PR!$T319,IF(F321="FCGLOBAL",PR!$U319,IF(F321="GENEITH",PR!$V319,IF(F321="GINOS",PR!$W319,IF(F321="GSK",PR!$X319,IF(F321="GLOBORG",PR!$Y319,IF(F321="GOODNEWS",PR!$Z319,IF(F321="GREENLIFE",PR!$AA319,IF(F321="HLINE",PR!$AB319,IF(F321="ROTECH",PR!$AC319,IF(F321="ISN",PR!$AD319,IF(F321="JAWA",PR!$AE319,IF(F321="LAYO",PR!$AF319,IF(F321="LEADWAY",PR!$AG319,IF(F321="LHV",PR!$AH319,IF(F321="MANOLA",PR!$AI319,IF(F321="MARCSON",PR!$AJ319,IF(F321="M&amp;B",PR!$AK319,IF(F321="MTRUST",PR!$AL319,IF(F321="MWORLD",PR!$AM319,IF(F321="MEGA",PR!$AN319,IF(F321="MICRONOVA",PR!$AO319,IF(F321="MFLASH",PR!$AP319,IF(F321="MORISON",PR!$AQ319,IF(F321="NEMEL",PR!$AR319,IF(F321="NHP",PR!$AS319,IF(F321="NHC",PR!$AT319,IF(F321="OLEAF",PR!$AU319,IF(F321="OCULUS",PR!$AV319,IF(F321="PACIFIC",PR!$AW319,IF(F321="PHAMATEX",PR!$AX319,IF(F321="PETHICS",PR!$AY319,IF(F321="PHILIPS",PR!$AZ319,IF(F321="RANBAXY",PR!$BA319,IF(F321="REALS",PR!$BB319,IF(F321="ROYAL",PR!$BC319,IF(F321="SAM",PR!$BD319,IF(F321="SEAGREEN",PR!$BE319,IF(F321="SKG",PR!$BF319,IF(F321="TAH",PR!$BG319,IF(F321="TAYLEK",PR!$BH319,IF(F321="TEMITA",PR!$BI319,IF(F321="THL",PR!$BJ319,IF(F321="UBASTIC",PR!$BK319,IF(F321="UNION",PR!$BL319,IF(F321="UNIQUE",PR!$BM319,IF(F321="VIXA",PR!$BN319,IF(F321="WWCV",PR!$BO319,IF(F321="ZOLON",PR!$BP319,"-"))))))))))))))))))))))))))))))))))))))))))))))))))))))))))))))))</f>
        <v>1160</v>
      </c>
      <c r="F321" s="102" t="str">
        <f>EV!L400</f>
        <v>FIDSON</v>
      </c>
      <c r="G321" s="108" t="str">
        <f>IF(H321="ALPHA",PR!$E319,IF(H321="ASSENE",PR!$F319,IF(H321="BIOFEM",PR!$G319,IF(H321="BIOMED",PR!$H319,IF(H321="CHI",PR!$I319,IF(H321="CLARION",PR!$J319,IF(H321="CODIX",PR!$K319,IF(H321="COSMADE",PR!$L319,IF(H321="SANCON",PR!$M319,IF(H321="DEVON",PR!$N319,IF(H321="DORTEMAG",PR!$O319,IF(H321="DGF",PR!$P319,IF(H321="DYNAMIC",PR!$Q319,IF(H321="EMZOR",PR!$R319,IF(H321="EUMATT",PR!$S319,IF(H321="FIDSON",PR!$T319,IF(H321="FCGLOBAL",PR!$U319,IF(H321="GENEITH",PR!$V319,IF(H321="GINOS",PR!$W319,IF(H321="GSK",PR!$X319,IF(H321="GLOBORG",PR!$Y319,IF(H321="GOODNEWS",PR!$Z319,IF(H321="GREENLIFE",PR!$AA319,IF(H321="HLINE",PR!$AB319,IF(H321="ROTECH",PR!$AC319,IF(H321="ISN",PR!$AD319,IF(H321="JAWA",PR!$AE319,IF(H321="LAYO",PR!$AF319,IF(H321="LEADWAY",PR!$AG319,IF(H321="LHV",PR!$AH319,IF(H321="MANOLA",PR!$AI319,IF(H321="MARCSON",PR!$AJ319,IF(H321="M&amp;B",PR!$AK319,IF(H321="MTRUST",PR!$AL319,IF(H321="MWORLD",PR!$AM319,IF(H321="MEGA",PR!$AN319,IF(H321="MICRONOVA",PR!$AO319,IF(H321="MFLASH",PR!$AP319,IF(H321="MORISON",PR!$AQ319,IF(H321="NEMEL",PR!$AR319,IF(H321="NHP",PR!$AS319,IF(H321="NHC",PR!$AT319,IF(H321="OLEAF",PR!$AU319,IF(H321="OCULUS",PR!$AV319,IF(H321="PACIFIC",PR!$AW319,IF(H321="PHAMATEX",PR!$AX319,IF(H321="PETHICS",PR!$AY319,IF(H321="PHILIPS",PR!$AZ319,IF(H321="RANBAXY",PR!$BA319,IF(H321="REALS",PR!$BB319,IF(H321="ROYAL",PR!$BC319,IF(H321="SAM",PR!$BD319,IF(H321="SEAGREEN",PR!$BE319,IF(H321="SKG",PR!$BF319,IF(H321="TAH",PR!$BG319,IF(H321="TAYLEK",PR!$BH319,IF(H321="TEMITA",PR!$BI319,IF(H321="THL",PR!$BJ319,IF(H321="UBASTIC",PR!$BK319,IF(H321="UNION",PR!$BL319,IF(H321="UNIQUE",PR!$BM319,IF(H321="VIXA",PR!$BN319,IF(H321="WWCV",PR!$BO319,IF(H321="ZOLON",PR!$BP319,"-"))))))))))))))))))))))))))))))))))))))))))))))))))))))))))))))))</f>
        <v>-</v>
      </c>
      <c r="H321" s="102">
        <f>EV!M400</f>
        <v>0</v>
      </c>
      <c r="I321" s="108" t="str">
        <f>IF(J321="ALPHA",PR!$E319,IF(J321="ASSENE",PR!$F319,IF(J321="BIOFEM",PR!$G319,IF(J321="BIOMED",PR!$H319,IF(J321="CHI",PR!$I319,IF(J321="CLARION",PR!$J319,IF(J321="CODIX",PR!$K319,IF(J321="COSMADE",PR!$L319,IF(J321="SANCON",PR!$M319,IF(J321="DEVON",PR!$N319,IF(J321="DORTEMAG",PR!$O319,IF(J321="DGF",PR!$P319,IF(J321="DYNAMIC",PR!$Q319,IF(J321="EMZOR",PR!$R319,IF(J321="EUMATT",PR!$S319,IF(J321="FIDSON",PR!$T319,IF(J321="FCGLOBAL",PR!$U319,IF(J321="GENEITH",PR!$V319,IF(J321="GINOS",PR!$W319,IF(J321="GSK",PR!$X319,IF(J321="GLOBORG",PR!$Y319,IF(J321="GOODNEWS",PR!$Z319,IF(J321="GREENLIFE",PR!$AA319,IF(J321="HLINE",PR!$AB319,IF(J321="ROTECH",PR!$AC319,IF(J321="ISN",PR!$AD319,IF(J321="JAWA",PR!$AE319,IF(J321="LAYO",PR!$AF319,IF(J321="LEADWAY",PR!$AG319,IF(J321="LHV",PR!$AH319,IF(J321="MANOLA",PR!$AI319,IF(J321="MARCSON",PR!$AJ319,IF(J321="M&amp;B",PR!$AK319,IF(J321="MTRUST",PR!$AL319,IF(J321="MWORLD",PR!$AM319,IF(J321="MEGA",PR!$AN319,IF(J321="MICRONOVA",PR!$AO319,IF(J321="MFLASH",PR!$AP319,IF(J321="MORISON",PR!$AQ319,IF(J321="NEMEL",PR!$AR319,IF(J321="NHP",PR!$AS319,IF(J321="NHC",PR!$AT319,IF(J321="OLEAF",PR!$AU319,IF(J321="OCULUS",PR!$AV319,IF(J321="PACIFIC",PR!$AW319,IF(J321="PHAMATEX",PR!$AX319,IF(J321="PETHICS",PR!$AY319,IF(J321="PHILIPS",PR!$AZ319,IF(J321="RANBAXY",PR!$BA319,IF(J321="REALS",PR!$BB319,IF(J321="ROYAL",PR!$BC319,IF(J321="SAM",PR!$BD319,IF(J321="SEAGREEN",PR!$BE319,IF(J321="SKG",PR!$BF319,IF(J321="TAH",PR!$BG319,IF(J321="TAYLEK",PR!$BH319,IF(J321="TEMITA",PR!$BI319,IF(J321="THL",PR!$BJ319,IF(J321="UBASTIC",PR!$BK319,IF(J321="UNION",PR!$BL319,IF(J321="UNIQUE",PR!$BM319,IF(J321="VIXA",PR!$BN319,IF(J321="WWCV",PR!$BO319,IF(J321="ZOLON",PR!$BP319,"-"))))))))))))))))))))))))))))))))))))))))))))))))))))))))))))))))</f>
        <v>-</v>
      </c>
      <c r="J321" s="102">
        <f>EV!N400</f>
        <v>0</v>
      </c>
      <c r="K321" s="433" t="s">
        <v>631</v>
      </c>
      <c r="L321" s="183">
        <f>IF(K321&gt;0,IF(K321="ALPHA",PR!$E319,IF(K321="ASSENE",PR!$F319,IF(K321="BIOFEM",PR!$G319,IF(K321="BIOMED",PR!$H319,IF(K321="CHI",PR!$I319,IF(K321="CLARION",PR!$J319,IF(K321="CODIX",PR!$K319,IF(K321="COSMADE",PR!$L319,IF(K321="SANCON",PR!$M319,IF(K321="DEVON",PR!$N319,IF(K321="DORTEMAG",PR!$O319,IF(K321="DGF",PR!$P319,IF(K321="DYNAMIC",PR!$Q319,IF(K321="EMZOR",PR!$R319,IF(K321="EUMATT",PR!$S319,IF(K321="FIDSON",PR!$T319,IF(K321="FCGLOBAL",PR!$U319,IF(K321="GENEITH",PR!$V319,IF(K321="GINOS",PR!$W319,IF(K321="GSK",PR!$X319,IF(K321="GLOBORG",PR!$Y319,IF(K321="GOODNEWS",PR!$Z319,IF(K321="GREENLIFE",PR!$AA319,IF(K321="HLINE",PR!$AB319,IF(K321="ROTECH",PR!$AC319,IF(K321="ISN",PR!$AD319,IF(K321="JAWA",PR!$AE319,IF(K321="LAYO",PR!$AF319,IF(K321="LEADWAY",PR!$AG319,IF(K321="LHV",PR!$AH319,IF(K321="MANOLA",PR!$AI319,IF(K321="MARCSON",PR!$AJ319,IF(K321="M&amp;B",PR!$AK319,IF(K321="MTRUST",PR!$AL319,IF(K321="MWORLD",PR!$AM319,IF(K321="MEGA",PR!$AN319,IF(K321="MICRONOVA",PR!$AO319,IF(K321="MFLASH",PR!$AP319,IF(K321="MORISON",PR!$AQ319,IF(K321="NEMEL",PR!$AR319,IF(K321="NHP",PR!$AS319,IF(K321="NHC",PR!$AT319,IF(K321="OLEAF",PR!$AU319,IF(K321="OCULUS",PR!$AV319,IF(K321="PACIFIC",PR!$AW319,IF(K321="PHAMATEX",PR!$AX319,IF(K321="PETHICS",PR!$AY319,IF(K321="PHILIPS",PR!$AZ319,IF(K321="RANBAXY",PR!$BA319,IF(K321="REALS",PR!$BB319,IF(K321="ROYAL",PR!$BC319,IF(K321="SAM",PR!$BD319,IF(K321="SEAGREEN",PR!$BE319,IF(K321="SKG",PR!$BF319,IF(K321="TAH",PR!$BG319,IF(K321="TAYLEK",PR!$BH319,IF(K321="TEMITA",PR!$BI319,IF(K321="THL",PR!$BJ319,IF(K321="UBASTIC",PR!$BK319,IF(K321="UNION",PR!$BL319,IF(K321="UNIQUE",PR!$BM319,IF(K321="VIXA",PR!$BN319,IF(K321="WWCV",PR!$BO319,IF(K321="ZOLON",PR!$BP319,"-")))))))))))))))))))))))))))))))))))))))))))))))))))))))))))))))))</f>
        <v>1160</v>
      </c>
    </row>
    <row r="322" spans="1:12" ht="18.75" x14ac:dyDescent="0.3">
      <c r="A322" s="430">
        <f>PR!A320</f>
        <v>290</v>
      </c>
      <c r="B322" s="15" t="str">
        <f>PR!B320</f>
        <v>BROMELAIN/TRYPSIN TAB</v>
      </c>
      <c r="C322" s="113">
        <f>PR!D320</f>
        <v>100</v>
      </c>
      <c r="D322" s="113">
        <f>PR!C320</f>
        <v>80</v>
      </c>
      <c r="E322" s="108">
        <f>IF(F322="ALPHA",PR!$E320,IF(F322="ASSENE",PR!$F320,IF(F322="BIOFEM",PR!$G320,IF(F322="BIOMED",PR!$H320,IF(F322="CHI",PR!$I320,IF(F322="CLARION",PR!$J320,IF(F322="CODIX",PR!$K320,IF(F322="COSMADE",PR!$L320,IF(F322="SANCON",PR!$M320,IF(F322="DEVON",PR!$N320,IF(F322="DORTEMAG",PR!$O320,IF(F322="DGF",PR!$P320,IF(F322="DYNAMIC",PR!$Q320,IF(F322="EMZOR",PR!$R320,IF(F322="EUMATT",PR!$S320,IF(F322="FIDSON",PR!$T320,IF(F322="FCGLOBAL",PR!$U320,IF(F322="GENEITH",PR!$V320,IF(F322="GINOS",PR!$W320,IF(F322="GSK",PR!$X320,IF(F322="GLOBORG",PR!$Y320,IF(F322="GOODNEWS",PR!$Z320,IF(F322="GREENLIFE",PR!$AA320,IF(F322="HLINE",PR!$AB320,IF(F322="ROTECH",PR!$AC320,IF(F322="ISN",PR!$AD320,IF(F322="JAWA",PR!$AE320,IF(F322="LAYO",PR!$AF320,IF(F322="LEADWAY",PR!$AG320,IF(F322="LHV",PR!$AH320,IF(F322="MANOLA",PR!$AI320,IF(F322="MARCSON",PR!$AJ320,IF(F322="M&amp;B",PR!$AK320,IF(F322="MTRUST",PR!$AL320,IF(F322="MWORLD",PR!$AM320,IF(F322="MEGA",PR!$AN320,IF(F322="MICRONOVA",PR!$AO320,IF(F322="MFLASH",PR!$AP320,IF(F322="MORISON",PR!$AQ320,IF(F322="NEMEL",PR!$AR320,IF(F322="NHP",PR!$AS320,IF(F322="NHC",PR!$AT320,IF(F322="OLEAF",PR!$AU320,IF(F322="OCULUS",PR!$AV320,IF(F322="PACIFIC",PR!$AW320,IF(F322="PHAMATEX",PR!$AX320,IF(F322="PETHICS",PR!$AY320,IF(F322="PHILIPS",PR!$AZ320,IF(F322="RANBAXY",PR!$BA320,IF(F322="REALS",PR!$BB320,IF(F322="ROYAL",PR!$BC320,IF(F322="SAM",PR!$BD320,IF(F322="SEAGREEN",PR!$BE320,IF(F322="SKG",PR!$BF320,IF(F322="TAH",PR!$BG320,IF(F322="TAYLEK",PR!$BH320,IF(F322="TEMITA",PR!$BI320,IF(F322="THL",PR!$BJ320,IF(F322="UBASTIC",PR!$BK320,IF(F322="UNION",PR!$BL320,IF(F322="UNIQUE",PR!$BM320,IF(F322="VIXA",PR!$BN320,IF(F322="WWCV",PR!$BO320,IF(F322="ZOLON",PR!$BP320,"-"))))))))))))))))))))))))))))))))))))))))))))))))))))))))))))))))</f>
        <v>2300</v>
      </c>
      <c r="F322" s="102" t="str">
        <f>EV!L401</f>
        <v>EUMATT</v>
      </c>
      <c r="G322" s="108" t="str">
        <f>IF(H322="ALPHA",PR!$E320,IF(H322="ASSENE",PR!$F320,IF(H322="BIOFEM",PR!$G320,IF(H322="BIOMED",PR!$H320,IF(H322="CHI",PR!$I320,IF(H322="CLARION",PR!$J320,IF(H322="CODIX",PR!$K320,IF(H322="COSMADE",PR!$L320,IF(H322="SANCON",PR!$M320,IF(H322="DEVON",PR!$N320,IF(H322="DORTEMAG",PR!$O320,IF(H322="DGF",PR!$P320,IF(H322="DYNAMIC",PR!$Q320,IF(H322="EMZOR",PR!$R320,IF(H322="EUMATT",PR!$S320,IF(H322="FIDSON",PR!$T320,IF(H322="FCGLOBAL",PR!$U320,IF(H322="GENEITH",PR!$V320,IF(H322="GINOS",PR!$W320,IF(H322="GSK",PR!$X320,IF(H322="GLOBORG",PR!$Y320,IF(H322="GOODNEWS",PR!$Z320,IF(H322="GREENLIFE",PR!$AA320,IF(H322="HLINE",PR!$AB320,IF(H322="ROTECH",PR!$AC320,IF(H322="ISN",PR!$AD320,IF(H322="JAWA",PR!$AE320,IF(H322="LAYO",PR!$AF320,IF(H322="LEADWAY",PR!$AG320,IF(H322="LHV",PR!$AH320,IF(H322="MANOLA",PR!$AI320,IF(H322="MARCSON",PR!$AJ320,IF(H322="M&amp;B",PR!$AK320,IF(H322="MTRUST",PR!$AL320,IF(H322="MWORLD",PR!$AM320,IF(H322="MEGA",PR!$AN320,IF(H322="MICRONOVA",PR!$AO320,IF(H322="MFLASH",PR!$AP320,IF(H322="MORISON",PR!$AQ320,IF(H322="NEMEL",PR!$AR320,IF(H322="NHP",PR!$AS320,IF(H322="NHC",PR!$AT320,IF(H322="OLEAF",PR!$AU320,IF(H322="OCULUS",PR!$AV320,IF(H322="PACIFIC",PR!$AW320,IF(H322="PHAMATEX",PR!$AX320,IF(H322="PETHICS",PR!$AY320,IF(H322="PHILIPS",PR!$AZ320,IF(H322="RANBAXY",PR!$BA320,IF(H322="REALS",PR!$BB320,IF(H322="ROYAL",PR!$BC320,IF(H322="SAM",PR!$BD320,IF(H322="SEAGREEN",PR!$BE320,IF(H322="SKG",PR!$BF320,IF(H322="TAH",PR!$BG320,IF(H322="TAYLEK",PR!$BH320,IF(H322="TEMITA",PR!$BI320,IF(H322="THL",PR!$BJ320,IF(H322="UBASTIC",PR!$BK320,IF(H322="UNION",PR!$BL320,IF(H322="UNIQUE",PR!$BM320,IF(H322="VIXA",PR!$BN320,IF(H322="WWCV",PR!$BO320,IF(H322="ZOLON",PR!$BP320,"-"))))))))))))))))))))))))))))))))))))))))))))))))))))))))))))))))</f>
        <v>-</v>
      </c>
      <c r="H322" s="102">
        <f>EV!M401</f>
        <v>0</v>
      </c>
      <c r="I322" s="108" t="str">
        <f>IF(J322="ALPHA",PR!$E320,IF(J322="ASSENE",PR!$F320,IF(J322="BIOFEM",PR!$G320,IF(J322="BIOMED",PR!$H320,IF(J322="CHI",PR!$I320,IF(J322="CLARION",PR!$J320,IF(J322="CODIX",PR!$K320,IF(J322="COSMADE",PR!$L320,IF(J322="SANCON",PR!$M320,IF(J322="DEVON",PR!$N320,IF(J322="DORTEMAG",PR!$O320,IF(J322="DGF",PR!$P320,IF(J322="DYNAMIC",PR!$Q320,IF(J322="EMZOR",PR!$R320,IF(J322="EUMATT",PR!$S320,IF(J322="FIDSON",PR!$T320,IF(J322="FCGLOBAL",PR!$U320,IF(J322="GENEITH",PR!$V320,IF(J322="GINOS",PR!$W320,IF(J322="GSK",PR!$X320,IF(J322="GLOBORG",PR!$Y320,IF(J322="GOODNEWS",PR!$Z320,IF(J322="GREENLIFE",PR!$AA320,IF(J322="HLINE",PR!$AB320,IF(J322="ROTECH",PR!$AC320,IF(J322="ISN",PR!$AD320,IF(J322="JAWA",PR!$AE320,IF(J322="LAYO",PR!$AF320,IF(J322="LEADWAY",PR!$AG320,IF(J322="LHV",PR!$AH320,IF(J322="MANOLA",PR!$AI320,IF(J322="MARCSON",PR!$AJ320,IF(J322="M&amp;B",PR!$AK320,IF(J322="MTRUST",PR!$AL320,IF(J322="MWORLD",PR!$AM320,IF(J322="MEGA",PR!$AN320,IF(J322="MICRONOVA",PR!$AO320,IF(J322="MFLASH",PR!$AP320,IF(J322="MORISON",PR!$AQ320,IF(J322="NEMEL",PR!$AR320,IF(J322="NHP",PR!$AS320,IF(J322="NHC",PR!$AT320,IF(J322="OLEAF",PR!$AU320,IF(J322="OCULUS",PR!$AV320,IF(J322="PACIFIC",PR!$AW320,IF(J322="PHAMATEX",PR!$AX320,IF(J322="PETHICS",PR!$AY320,IF(J322="PHILIPS",PR!$AZ320,IF(J322="RANBAXY",PR!$BA320,IF(J322="REALS",PR!$BB320,IF(J322="ROYAL",PR!$BC320,IF(J322="SAM",PR!$BD320,IF(J322="SEAGREEN",PR!$BE320,IF(J322="SKG",PR!$BF320,IF(J322="TAH",PR!$BG320,IF(J322="TAYLEK",PR!$BH320,IF(J322="TEMITA",PR!$BI320,IF(J322="THL",PR!$BJ320,IF(J322="UBASTIC",PR!$BK320,IF(J322="UNION",PR!$BL320,IF(J322="UNIQUE",PR!$BM320,IF(J322="VIXA",PR!$BN320,IF(J322="WWCV",PR!$BO320,IF(J322="ZOLON",PR!$BP320,"-"))))))))))))))))))))))))))))))))))))))))))))))))))))))))))))))))</f>
        <v>-</v>
      </c>
      <c r="J322" s="102">
        <f>EV!N401</f>
        <v>0</v>
      </c>
      <c r="K322" s="433" t="s">
        <v>821</v>
      </c>
      <c r="L322" s="183">
        <f>IF(K322&gt;0,IF(K322="ALPHA",PR!$E320,IF(K322="ASSENE",PR!$F320,IF(K322="BIOFEM",PR!$G320,IF(K322="BIOMED",PR!$H320,IF(K322="CHI",PR!$I320,IF(K322="CLARION",PR!$J320,IF(K322="CODIX",PR!$K320,IF(K322="COSMADE",PR!$L320,IF(K322="SANCON",PR!$M320,IF(K322="DEVON",PR!$N320,IF(K322="DORTEMAG",PR!$O320,IF(K322="DGF",PR!$P320,IF(K322="DYNAMIC",PR!$Q320,IF(K322="EMZOR",PR!$R320,IF(K322="EUMATT",PR!$S320,IF(K322="FIDSON",PR!$T320,IF(K322="FCGLOBAL",PR!$U320,IF(K322="GENEITH",PR!$V320,IF(K322="GINOS",PR!$W320,IF(K322="GSK",PR!$X320,IF(K322="GLOBORG",PR!$Y320,IF(K322="GOODNEWS",PR!$Z320,IF(K322="GREENLIFE",PR!$AA320,IF(K322="HLINE",PR!$AB320,IF(K322="ROTECH",PR!$AC320,IF(K322="ISN",PR!$AD320,IF(K322="JAWA",PR!$AE320,IF(K322="LAYO",PR!$AF320,IF(K322="LEADWAY",PR!$AG320,IF(K322="LHV",PR!$AH320,IF(K322="MANOLA",PR!$AI320,IF(K322="MARCSON",PR!$AJ320,IF(K322="M&amp;B",PR!$AK320,IF(K322="MTRUST",PR!$AL320,IF(K322="MWORLD",PR!$AM320,IF(K322="MEGA",PR!$AN320,IF(K322="MICRONOVA",PR!$AO320,IF(K322="MFLASH",PR!$AP320,IF(K322="MORISON",PR!$AQ320,IF(K322="NEMEL",PR!$AR320,IF(K322="NHP",PR!$AS320,IF(K322="NHC",PR!$AT320,IF(K322="OLEAF",PR!$AU320,IF(K322="OCULUS",PR!$AV320,IF(K322="PACIFIC",PR!$AW320,IF(K322="PHAMATEX",PR!$AX320,IF(K322="PETHICS",PR!$AY320,IF(K322="PHILIPS",PR!$AZ320,IF(K322="RANBAXY",PR!$BA320,IF(K322="REALS",PR!$BB320,IF(K322="ROYAL",PR!$BC320,IF(K322="SAM",PR!$BD320,IF(K322="SEAGREEN",PR!$BE320,IF(K322="SKG",PR!$BF320,IF(K322="TAH",PR!$BG320,IF(K322="TAYLEK",PR!$BH320,IF(K322="TEMITA",PR!$BI320,IF(K322="THL",PR!$BJ320,IF(K322="UBASTIC",PR!$BK320,IF(K322="UNION",PR!$BL320,IF(K322="UNIQUE",PR!$BM320,IF(K322="VIXA",PR!$BN320,IF(K322="WWCV",PR!$BO320,IF(K322="ZOLON",PR!$BP320,"-")))))))))))))))))))))))))))))))))))))))))))))))))))))))))))))))))</f>
        <v>2300</v>
      </c>
    </row>
    <row r="323" spans="1:12" ht="18.75" x14ac:dyDescent="0.3">
      <c r="A323" s="430">
        <f>PR!A321</f>
        <v>291</v>
      </c>
      <c r="B323" s="15" t="str">
        <f>PR!B321</f>
        <v>CALCIMAX TAB</v>
      </c>
      <c r="C323" s="113">
        <f>PR!D321</f>
        <v>30</v>
      </c>
      <c r="D323" s="113">
        <f>PR!C321</f>
        <v>600</v>
      </c>
      <c r="E323" s="108">
        <f>IF(F323="ALPHA",PR!$E321,IF(F323="ASSENE",PR!$F321,IF(F323="BIOFEM",PR!$G321,IF(F323="BIOMED",PR!$H321,IF(F323="CHI",PR!$I321,IF(F323="CLARION",PR!$J321,IF(F323="CODIX",PR!$K321,IF(F323="COSMADE",PR!$L321,IF(F323="SANCON",PR!$M321,IF(F323="DEVON",PR!$N321,IF(F323="DORTEMAG",PR!$O321,IF(F323="DGF",PR!$P321,IF(F323="DYNAMIC",PR!$Q321,IF(F323="EMZOR",PR!$R321,IF(F323="EUMATT",PR!$S321,IF(F323="FIDSON",PR!$T321,IF(F323="FCGLOBAL",PR!$U321,IF(F323="GENEITH",PR!$V321,IF(F323="GINOS",PR!$W321,IF(F323="GSK",PR!$X321,IF(F323="GLOBORG",PR!$Y321,IF(F323="GOODNEWS",PR!$Z321,IF(F323="GREENLIFE",PR!$AA321,IF(F323="HLINE",PR!$AB321,IF(F323="ROTECH",PR!$AC321,IF(F323="ISN",PR!$AD321,IF(F323="JAWA",PR!$AE321,IF(F323="LAYO",PR!$AF321,IF(F323="LEADWAY",PR!$AG321,IF(F323="LHV",PR!$AH321,IF(F323="MANOLA",PR!$AI321,IF(F323="MARCSON",PR!$AJ321,IF(F323="M&amp;B",PR!$AK321,IF(F323="MTRUST",PR!$AL321,IF(F323="MWORLD",PR!$AM321,IF(F323="MEGA",PR!$AN321,IF(F323="MICRONOVA",PR!$AO321,IF(F323="MFLASH",PR!$AP321,IF(F323="MORISON",PR!$AQ321,IF(F323="NEMEL",PR!$AR321,IF(F323="NHP",PR!$AS321,IF(F323="NHC",PR!$AT321,IF(F323="OLEAF",PR!$AU321,IF(F323="OCULUS",PR!$AV321,IF(F323="PACIFIC",PR!$AW321,IF(F323="PHAMATEX",PR!$AX321,IF(F323="PETHICS",PR!$AY321,IF(F323="PHILIPS",PR!$AZ321,IF(F323="RANBAXY",PR!$BA321,IF(F323="REALS",PR!$BB321,IF(F323="ROYAL",PR!$BC321,IF(F323="SAM",PR!$BD321,IF(F323="SEAGREEN",PR!$BE321,IF(F323="SKG",PR!$BF321,IF(F323="TAH",PR!$BG321,IF(F323="TAYLEK",PR!$BH321,IF(F323="TEMITA",PR!$BI321,IF(F323="THL",PR!$BJ321,IF(F323="UBASTIC",PR!$BK321,IF(F323="UNION",PR!$BL321,IF(F323="UNIQUE",PR!$BM321,IF(F323="VIXA",PR!$BN321,IF(F323="WWCV",PR!$BO321,IF(F323="ZOLON",PR!$BP321,"-"))))))))))))))))))))))))))))))))))))))))))))))))))))))))))))))))</f>
        <v>290</v>
      </c>
      <c r="F323" s="102" t="str">
        <f>EV!L402</f>
        <v>EUMATT</v>
      </c>
      <c r="G323" s="108">
        <f>IF(H323="ALPHA",PR!$E321,IF(H323="ASSENE",PR!$F321,IF(H323="BIOFEM",PR!$G321,IF(H323="BIOMED",PR!$H321,IF(H323="CHI",PR!$I321,IF(H323="CLARION",PR!$J321,IF(H323="CODIX",PR!$K321,IF(H323="COSMADE",PR!$L321,IF(H323="SANCON",PR!$M321,IF(H323="DEVON",PR!$N321,IF(H323="DORTEMAG",PR!$O321,IF(H323="DGF",PR!$P321,IF(H323="DYNAMIC",PR!$Q321,IF(H323="EMZOR",PR!$R321,IF(H323="EUMATT",PR!$S321,IF(H323="FIDSON",PR!$T321,IF(H323="FCGLOBAL",PR!$U321,IF(H323="GENEITH",PR!$V321,IF(H323="GINOS",PR!$W321,IF(H323="GSK",PR!$X321,IF(H323="GLOBORG",PR!$Y321,IF(H323="GOODNEWS",PR!$Z321,IF(H323="GREENLIFE",PR!$AA321,IF(H323="HLINE",PR!$AB321,IF(H323="ROTECH",PR!$AC321,IF(H323="ISN",PR!$AD321,IF(H323="JAWA",PR!$AE321,IF(H323="LAYO",PR!$AF321,IF(H323="LEADWAY",PR!$AG321,IF(H323="LHV",PR!$AH321,IF(H323="MANOLA",PR!$AI321,IF(H323="MARCSON",PR!$AJ321,IF(H323="M&amp;B",PR!$AK321,IF(H323="MTRUST",PR!$AL321,IF(H323="MWORLD",PR!$AM321,IF(H323="MEGA",PR!$AN321,IF(H323="MICRONOVA",PR!$AO321,IF(H323="MFLASH",PR!$AP321,IF(H323="MORISON",PR!$AQ321,IF(H323="NEMEL",PR!$AR321,IF(H323="NHP",PR!$AS321,IF(H323="NHC",PR!$AT321,IF(H323="OLEAF",PR!$AU321,IF(H323="OCULUS",PR!$AV321,IF(H323="PACIFIC",PR!$AW321,IF(H323="PHAMATEX",PR!$AX321,IF(H323="PETHICS",PR!$AY321,IF(H323="PHILIPS",PR!$AZ321,IF(H323="RANBAXY",PR!$BA321,IF(H323="REALS",PR!$BB321,IF(H323="ROYAL",PR!$BC321,IF(H323="SAM",PR!$BD321,IF(H323="SEAGREEN",PR!$BE321,IF(H323="SKG",PR!$BF321,IF(H323="TAH",PR!$BG321,IF(H323="TAYLEK",PR!$BH321,IF(H323="TEMITA",PR!$BI321,IF(H323="THL",PR!$BJ321,IF(H323="UBASTIC",PR!$BK321,IF(H323="UNION",PR!$BL321,IF(H323="UNIQUE",PR!$BM321,IF(H323="VIXA",PR!$BN321,IF(H323="WWCV",PR!$BO321,IF(H323="ZOLON",PR!$BP321,"-"))))))))))))))))))))))))))))))))))))))))))))))))))))))))))))))))</f>
        <v>330</v>
      </c>
      <c r="H323" s="102" t="str">
        <f>EV!M402</f>
        <v>LEADWAY</v>
      </c>
      <c r="I323" s="108" t="str">
        <f>IF(J323="ALPHA",PR!$E321,IF(J323="ASSENE",PR!$F321,IF(J323="BIOFEM",PR!$G321,IF(J323="BIOMED",PR!$H321,IF(J323="CHI",PR!$I321,IF(J323="CLARION",PR!$J321,IF(J323="CODIX",PR!$K321,IF(J323="COSMADE",PR!$L321,IF(J323="SANCON",PR!$M321,IF(J323="DEVON",PR!$N321,IF(J323="DORTEMAG",PR!$O321,IF(J323="DGF",PR!$P321,IF(J323="DYNAMIC",PR!$Q321,IF(J323="EMZOR",PR!$R321,IF(J323="EUMATT",PR!$S321,IF(J323="FIDSON",PR!$T321,IF(J323="FCGLOBAL",PR!$U321,IF(J323="GENEITH",PR!$V321,IF(J323="GINOS",PR!$W321,IF(J323="GSK",PR!$X321,IF(J323="GLOBORG",PR!$Y321,IF(J323="GOODNEWS",PR!$Z321,IF(J323="GREENLIFE",PR!$AA321,IF(J323="HLINE",PR!$AB321,IF(J323="ROTECH",PR!$AC321,IF(J323="ISN",PR!$AD321,IF(J323="JAWA",PR!$AE321,IF(J323="LAYO",PR!$AF321,IF(J323="LEADWAY",PR!$AG321,IF(J323="LHV",PR!$AH321,IF(J323="MANOLA",PR!$AI321,IF(J323="MARCSON",PR!$AJ321,IF(J323="M&amp;B",PR!$AK321,IF(J323="MTRUST",PR!$AL321,IF(J323="MWORLD",PR!$AM321,IF(J323="MEGA",PR!$AN321,IF(J323="MICRONOVA",PR!$AO321,IF(J323="MFLASH",PR!$AP321,IF(J323="MORISON",PR!$AQ321,IF(J323="NEMEL",PR!$AR321,IF(J323="NHP",PR!$AS321,IF(J323="NHC",PR!$AT321,IF(J323="OLEAF",PR!$AU321,IF(J323="OCULUS",PR!$AV321,IF(J323="PACIFIC",PR!$AW321,IF(J323="PHAMATEX",PR!$AX321,IF(J323="PETHICS",PR!$AY321,IF(J323="PHILIPS",PR!$AZ321,IF(J323="RANBAXY",PR!$BA321,IF(J323="REALS",PR!$BB321,IF(J323="ROYAL",PR!$BC321,IF(J323="SAM",PR!$BD321,IF(J323="SEAGREEN",PR!$BE321,IF(J323="SKG",PR!$BF321,IF(J323="TAH",PR!$BG321,IF(J323="TAYLEK",PR!$BH321,IF(J323="TEMITA",PR!$BI321,IF(J323="THL",PR!$BJ321,IF(J323="UBASTIC",PR!$BK321,IF(J323="UNION",PR!$BL321,IF(J323="UNIQUE",PR!$BM321,IF(J323="VIXA",PR!$BN321,IF(J323="WWCV",PR!$BO321,IF(J323="ZOLON",PR!$BP321,"-"))))))))))))))))))))))))))))))))))))))))))))))))))))))))))))))))</f>
        <v>-</v>
      </c>
      <c r="J323" s="102">
        <f>EV!N402</f>
        <v>0</v>
      </c>
      <c r="K323" s="433" t="s">
        <v>821</v>
      </c>
      <c r="L323" s="183">
        <f>IF(K323&gt;0,IF(K323="ALPHA",PR!$E321,IF(K323="ASSENE",PR!$F321,IF(K323="BIOFEM",PR!$G321,IF(K323="BIOMED",PR!$H321,IF(K323="CHI",PR!$I321,IF(K323="CLARION",PR!$J321,IF(K323="CODIX",PR!$K321,IF(K323="COSMADE",PR!$L321,IF(K323="SANCON",PR!$M321,IF(K323="DEVON",PR!$N321,IF(K323="DORTEMAG",PR!$O321,IF(K323="DGF",PR!$P321,IF(K323="DYNAMIC",PR!$Q321,IF(K323="EMZOR",PR!$R321,IF(K323="EUMATT",PR!$S321,IF(K323="FIDSON",PR!$T321,IF(K323="FCGLOBAL",PR!$U321,IF(K323="GENEITH",PR!$V321,IF(K323="GINOS",PR!$W321,IF(K323="GSK",PR!$X321,IF(K323="GLOBORG",PR!$Y321,IF(K323="GOODNEWS",PR!$Z321,IF(K323="GREENLIFE",PR!$AA321,IF(K323="HLINE",PR!$AB321,IF(K323="ROTECH",PR!$AC321,IF(K323="ISN",PR!$AD321,IF(K323="JAWA",PR!$AE321,IF(K323="LAYO",PR!$AF321,IF(K323="LEADWAY",PR!$AG321,IF(K323="LHV",PR!$AH321,IF(K323="MANOLA",PR!$AI321,IF(K323="MARCSON",PR!$AJ321,IF(K323="M&amp;B",PR!$AK321,IF(K323="MTRUST",PR!$AL321,IF(K323="MWORLD",PR!$AM321,IF(K323="MEGA",PR!$AN321,IF(K323="MICRONOVA",PR!$AO321,IF(K323="MFLASH",PR!$AP321,IF(K323="MORISON",PR!$AQ321,IF(K323="NEMEL",PR!$AR321,IF(K323="NHP",PR!$AS321,IF(K323="NHC",PR!$AT321,IF(K323="OLEAF",PR!$AU321,IF(K323="OCULUS",PR!$AV321,IF(K323="PACIFIC",PR!$AW321,IF(K323="PHAMATEX",PR!$AX321,IF(K323="PETHICS",PR!$AY321,IF(K323="PHILIPS",PR!$AZ321,IF(K323="RANBAXY",PR!$BA321,IF(K323="REALS",PR!$BB321,IF(K323="ROYAL",PR!$BC321,IF(K323="SAM",PR!$BD321,IF(K323="SEAGREEN",PR!$BE321,IF(K323="SKG",PR!$BF321,IF(K323="TAH",PR!$BG321,IF(K323="TAYLEK",PR!$BH321,IF(K323="TEMITA",PR!$BI321,IF(K323="THL",PR!$BJ321,IF(K323="UBASTIC",PR!$BK321,IF(K323="UNION",PR!$BL321,IF(K323="UNIQUE",PR!$BM321,IF(K323="VIXA",PR!$BN321,IF(K323="WWCV",PR!$BO321,IF(K323="ZOLON",PR!$BP321,"-")))))))))))))))))))))))))))))))))))))))))))))))))))))))))))))))))</f>
        <v>290</v>
      </c>
    </row>
    <row r="324" spans="1:12" ht="18.75" x14ac:dyDescent="0.3">
      <c r="A324" s="430">
        <f>PR!A322</f>
        <v>292</v>
      </c>
      <c r="B324" s="15" t="str">
        <f>PR!B322</f>
        <v>CALCITROL 0.25MCG TAB</v>
      </c>
      <c r="C324" s="113">
        <f>PR!D322</f>
        <v>30</v>
      </c>
      <c r="D324" s="113">
        <f>PR!C322</f>
        <v>600</v>
      </c>
      <c r="E324" s="108">
        <f>IF(F324="ALPHA",PR!$E322,IF(F324="ASSENE",PR!$F322,IF(F324="BIOFEM",PR!$G322,IF(F324="BIOMED",PR!$H322,IF(F324="CHI",PR!$I322,IF(F324="CLARION",PR!$J322,IF(F324="CODIX",PR!$K322,IF(F324="COSMADE",PR!$L322,IF(F324="SANCON",PR!$M322,IF(F324="DEVON",PR!$N322,IF(F324="DORTEMAG",PR!$O322,IF(F324="DGF",PR!$P322,IF(F324="DYNAMIC",PR!$Q322,IF(F324="EMZOR",PR!$R322,IF(F324="EUMATT",PR!$S322,IF(F324="FIDSON",PR!$T322,IF(F324="FCGLOBAL",PR!$U322,IF(F324="GENEITH",PR!$V322,IF(F324="GINOS",PR!$W322,IF(F324="GSK",PR!$X322,IF(F324="GLOBORG",PR!$Y322,IF(F324="GOODNEWS",PR!$Z322,IF(F324="GREENLIFE",PR!$AA322,IF(F324="HLINE",PR!$AB322,IF(F324="ROTECH",PR!$AC322,IF(F324="ISN",PR!$AD322,IF(F324="JAWA",PR!$AE322,IF(F324="LAYO",PR!$AF322,IF(F324="LEADWAY",PR!$AG322,IF(F324="LHV",PR!$AH322,IF(F324="MANOLA",PR!$AI322,IF(F324="MARCSON",PR!$AJ322,IF(F324="M&amp;B",PR!$AK322,IF(F324="MTRUST",PR!$AL322,IF(F324="MWORLD",PR!$AM322,IF(F324="MEGA",PR!$AN322,IF(F324="MICRONOVA",PR!$AO322,IF(F324="MFLASH",PR!$AP322,IF(F324="MORISON",PR!$AQ322,IF(F324="NEMEL",PR!$AR322,IF(F324="NHP",PR!$AS322,IF(F324="NHC",PR!$AT322,IF(F324="OLEAF",PR!$AU322,IF(F324="OCULUS",PR!$AV322,IF(F324="PACIFIC",PR!$AW322,IF(F324="PHAMATEX",PR!$AX322,IF(F324="PETHICS",PR!$AY322,IF(F324="PHILIPS",PR!$AZ322,IF(F324="RANBAXY",PR!$BA322,IF(F324="REALS",PR!$BB322,IF(F324="ROYAL",PR!$BC322,IF(F324="SAM",PR!$BD322,IF(F324="SEAGREEN",PR!$BE322,IF(F324="SKG",PR!$BF322,IF(F324="TAH",PR!$BG322,IF(F324="TAYLEK",PR!$BH322,IF(F324="TEMITA",PR!$BI322,IF(F324="THL",PR!$BJ322,IF(F324="UBASTIC",PR!$BK322,IF(F324="UNION",PR!$BL322,IF(F324="UNIQUE",PR!$BM322,IF(F324="VIXA",PR!$BN322,IF(F324="WWCV",PR!$BO322,IF(F324="ZOLON",PR!$BP322,"-"))))))))))))))))))))))))))))))))))))))))))))))))))))))))))))))))</f>
        <v>2600</v>
      </c>
      <c r="F324" s="102" t="str">
        <f>EV!L403</f>
        <v>MEGA</v>
      </c>
      <c r="G324" s="108" t="str">
        <f>IF(H324="ALPHA",PR!$E322,IF(H324="ASSENE",PR!$F322,IF(H324="BIOFEM",PR!$G322,IF(H324="BIOMED",PR!$H322,IF(H324="CHI",PR!$I322,IF(H324="CLARION",PR!$J322,IF(H324="CODIX",PR!$K322,IF(H324="COSMADE",PR!$L322,IF(H324="SANCON",PR!$M322,IF(H324="DEVON",PR!$N322,IF(H324="DORTEMAG",PR!$O322,IF(H324="DGF",PR!$P322,IF(H324="DYNAMIC",PR!$Q322,IF(H324="EMZOR",PR!$R322,IF(H324="EUMATT",PR!$S322,IF(H324="FIDSON",PR!$T322,IF(H324="FCGLOBAL",PR!$U322,IF(H324="GENEITH",PR!$V322,IF(H324="GINOS",PR!$W322,IF(H324="GSK",PR!$X322,IF(H324="GLOBORG",PR!$Y322,IF(H324="GOODNEWS",PR!$Z322,IF(H324="GREENLIFE",PR!$AA322,IF(H324="HLINE",PR!$AB322,IF(H324="ROTECH",PR!$AC322,IF(H324="ISN",PR!$AD322,IF(H324="JAWA",PR!$AE322,IF(H324="LAYO",PR!$AF322,IF(H324="LEADWAY",PR!$AG322,IF(H324="LHV",PR!$AH322,IF(H324="MANOLA",PR!$AI322,IF(H324="MARCSON",PR!$AJ322,IF(H324="M&amp;B",PR!$AK322,IF(H324="MTRUST",PR!$AL322,IF(H324="MWORLD",PR!$AM322,IF(H324="MEGA",PR!$AN322,IF(H324="MICRONOVA",PR!$AO322,IF(H324="MFLASH",PR!$AP322,IF(H324="MORISON",PR!$AQ322,IF(H324="NEMEL",PR!$AR322,IF(H324="NHP",PR!$AS322,IF(H324="NHC",PR!$AT322,IF(H324="OLEAF",PR!$AU322,IF(H324="OCULUS",PR!$AV322,IF(H324="PACIFIC",PR!$AW322,IF(H324="PHAMATEX",PR!$AX322,IF(H324="PETHICS",PR!$AY322,IF(H324="PHILIPS",PR!$AZ322,IF(H324="RANBAXY",PR!$BA322,IF(H324="REALS",PR!$BB322,IF(H324="ROYAL",PR!$BC322,IF(H324="SAM",PR!$BD322,IF(H324="SEAGREEN",PR!$BE322,IF(H324="SKG",PR!$BF322,IF(H324="TAH",PR!$BG322,IF(H324="TAYLEK",PR!$BH322,IF(H324="TEMITA",PR!$BI322,IF(H324="THL",PR!$BJ322,IF(H324="UBASTIC",PR!$BK322,IF(H324="UNION",PR!$BL322,IF(H324="UNIQUE",PR!$BM322,IF(H324="VIXA",PR!$BN322,IF(H324="WWCV",PR!$BO322,IF(H324="ZOLON",PR!$BP322,"-"))))))))))))))))))))))))))))))))))))))))))))))))))))))))))))))))</f>
        <v>-</v>
      </c>
      <c r="H324" s="102">
        <f>EV!M403</f>
        <v>0</v>
      </c>
      <c r="I324" s="108" t="str">
        <f>IF(J324="ALPHA",PR!$E322,IF(J324="ASSENE",PR!$F322,IF(J324="BIOFEM",PR!$G322,IF(J324="BIOMED",PR!$H322,IF(J324="CHI",PR!$I322,IF(J324="CLARION",PR!$J322,IF(J324="CODIX",PR!$K322,IF(J324="COSMADE",PR!$L322,IF(J324="SANCON",PR!$M322,IF(J324="DEVON",PR!$N322,IF(J324="DORTEMAG",PR!$O322,IF(J324="DGF",PR!$P322,IF(J324="DYNAMIC",PR!$Q322,IF(J324="EMZOR",PR!$R322,IF(J324="EUMATT",PR!$S322,IF(J324="FIDSON",PR!$T322,IF(J324="FCGLOBAL",PR!$U322,IF(J324="GENEITH",PR!$V322,IF(J324="GINOS",PR!$W322,IF(J324="GSK",PR!$X322,IF(J324="GLOBORG",PR!$Y322,IF(J324="GOODNEWS",PR!$Z322,IF(J324="GREENLIFE",PR!$AA322,IF(J324="HLINE",PR!$AB322,IF(J324="ROTECH",PR!$AC322,IF(J324="ISN",PR!$AD322,IF(J324="JAWA",PR!$AE322,IF(J324="LAYO",PR!$AF322,IF(J324="LEADWAY",PR!$AG322,IF(J324="LHV",PR!$AH322,IF(J324="MANOLA",PR!$AI322,IF(J324="MARCSON",PR!$AJ322,IF(J324="M&amp;B",PR!$AK322,IF(J324="MTRUST",PR!$AL322,IF(J324="MWORLD",PR!$AM322,IF(J324="MEGA",PR!$AN322,IF(J324="MICRONOVA",PR!$AO322,IF(J324="MFLASH",PR!$AP322,IF(J324="MORISON",PR!$AQ322,IF(J324="NEMEL",PR!$AR322,IF(J324="NHP",PR!$AS322,IF(J324="NHC",PR!$AT322,IF(J324="OLEAF",PR!$AU322,IF(J324="OCULUS",PR!$AV322,IF(J324="PACIFIC",PR!$AW322,IF(J324="PHAMATEX",PR!$AX322,IF(J324="PETHICS",PR!$AY322,IF(J324="PHILIPS",PR!$AZ322,IF(J324="RANBAXY",PR!$BA322,IF(J324="REALS",PR!$BB322,IF(J324="ROYAL",PR!$BC322,IF(J324="SAM",PR!$BD322,IF(J324="SEAGREEN",PR!$BE322,IF(J324="SKG",PR!$BF322,IF(J324="TAH",PR!$BG322,IF(J324="TAYLEK",PR!$BH322,IF(J324="TEMITA",PR!$BI322,IF(J324="THL",PR!$BJ322,IF(J324="UBASTIC",PR!$BK322,IF(J324="UNION",PR!$BL322,IF(J324="UNIQUE",PR!$BM322,IF(J324="VIXA",PR!$BN322,IF(J324="WWCV",PR!$BO322,IF(J324="ZOLON",PR!$BP322,"-"))))))))))))))))))))))))))))))))))))))))))))))))))))))))))))))))</f>
        <v>-</v>
      </c>
      <c r="J324" s="102">
        <f>EV!N403</f>
        <v>0</v>
      </c>
      <c r="K324" s="433" t="s">
        <v>816</v>
      </c>
      <c r="L324" s="183">
        <f>IF(K324&gt;0,IF(K324="ALPHA",PR!$E322,IF(K324="ASSENE",PR!$F322,IF(K324="BIOFEM",PR!$G322,IF(K324="BIOMED",PR!$H322,IF(K324="CHI",PR!$I322,IF(K324="CLARION",PR!$J322,IF(K324="CODIX",PR!$K322,IF(K324="COSMADE",PR!$L322,IF(K324="SANCON",PR!$M322,IF(K324="DEVON",PR!$N322,IF(K324="DORTEMAG",PR!$O322,IF(K324="DGF",PR!$P322,IF(K324="DYNAMIC",PR!$Q322,IF(K324="EMZOR",PR!$R322,IF(K324="EUMATT",PR!$S322,IF(K324="FIDSON",PR!$T322,IF(K324="FCGLOBAL",PR!$U322,IF(K324="GENEITH",PR!$V322,IF(K324="GINOS",PR!$W322,IF(K324="GSK",PR!$X322,IF(K324="GLOBORG",PR!$Y322,IF(K324="GOODNEWS",PR!$Z322,IF(K324="GREENLIFE",PR!$AA322,IF(K324="HLINE",PR!$AB322,IF(K324="ROTECH",PR!$AC322,IF(K324="ISN",PR!$AD322,IF(K324="JAWA",PR!$AE322,IF(K324="LAYO",PR!$AF322,IF(K324="LEADWAY",PR!$AG322,IF(K324="LHV",PR!$AH322,IF(K324="MANOLA",PR!$AI322,IF(K324="MARCSON",PR!$AJ322,IF(K324="M&amp;B",PR!$AK322,IF(K324="MTRUST",PR!$AL322,IF(K324="MWORLD",PR!$AM322,IF(K324="MEGA",PR!$AN322,IF(K324="MICRONOVA",PR!$AO322,IF(K324="MFLASH",PR!$AP322,IF(K324="MORISON",PR!$AQ322,IF(K324="NEMEL",PR!$AR322,IF(K324="NHP",PR!$AS322,IF(K324="NHC",PR!$AT322,IF(K324="OLEAF",PR!$AU322,IF(K324="OCULUS",PR!$AV322,IF(K324="PACIFIC",PR!$AW322,IF(K324="PHAMATEX",PR!$AX322,IF(K324="PETHICS",PR!$AY322,IF(K324="PHILIPS",PR!$AZ322,IF(K324="RANBAXY",PR!$BA322,IF(K324="REALS",PR!$BB322,IF(K324="ROYAL",PR!$BC322,IF(K324="SAM",PR!$BD322,IF(K324="SEAGREEN",PR!$BE322,IF(K324="SKG",PR!$BF322,IF(K324="TAH",PR!$BG322,IF(K324="TAYLEK",PR!$BH322,IF(K324="TEMITA",PR!$BI322,IF(K324="THL",PR!$BJ322,IF(K324="UBASTIC",PR!$BK322,IF(K324="UNION",PR!$BL322,IF(K324="UNIQUE",PR!$BM322,IF(K324="VIXA",PR!$BN322,IF(K324="WWCV",PR!$BO322,IF(K324="ZOLON",PR!$BP322,"-")))))))))))))))))))))))))))))))))))))))))))))))))))))))))))))))))</f>
        <v>2600</v>
      </c>
    </row>
    <row r="325" spans="1:12" ht="18.75" x14ac:dyDescent="0.3">
      <c r="A325" s="430">
        <f>PR!A323</f>
        <v>293</v>
      </c>
      <c r="B325" s="15" t="str">
        <f>PR!B323</f>
        <v>CALCIUM LACTATE 300MG TAB</v>
      </c>
      <c r="C325" s="113">
        <f>PR!D323</f>
        <v>1000</v>
      </c>
      <c r="D325" s="113">
        <f>PR!C323</f>
        <v>50</v>
      </c>
      <c r="E325" s="108">
        <f>IF(F325="ALPHA",PR!$E323,IF(F325="ASSENE",PR!$F323,IF(F325="BIOFEM",PR!$G323,IF(F325="BIOMED",PR!$H323,IF(F325="CHI",PR!$I323,IF(F325="CLARION",PR!$J323,IF(F325="CODIX",PR!$K323,IF(F325="COSMADE",PR!$L323,IF(F325="SANCON",PR!$M323,IF(F325="DEVON",PR!$N323,IF(F325="DORTEMAG",PR!$O323,IF(F325="DGF",PR!$P323,IF(F325="DYNAMIC",PR!$Q323,IF(F325="EMZOR",PR!$R323,IF(F325="EUMATT",PR!$S323,IF(F325="FIDSON",PR!$T323,IF(F325="FCGLOBAL",PR!$U323,IF(F325="GENEITH",PR!$V323,IF(F325="GINOS",PR!$W323,IF(F325="GSK",PR!$X323,IF(F325="GLOBORG",PR!$Y323,IF(F325="GOODNEWS",PR!$Z323,IF(F325="GREENLIFE",PR!$AA323,IF(F325="HLINE",PR!$AB323,IF(F325="ROTECH",PR!$AC323,IF(F325="ISN",PR!$AD323,IF(F325="JAWA",PR!$AE323,IF(F325="LAYO",PR!$AF323,IF(F325="LEADWAY",PR!$AG323,IF(F325="LHV",PR!$AH323,IF(F325="MANOLA",PR!$AI323,IF(F325="MARCSON",PR!$AJ323,IF(F325="M&amp;B",PR!$AK323,IF(F325="MTRUST",PR!$AL323,IF(F325="MWORLD",PR!$AM323,IF(F325="MEGA",PR!$AN323,IF(F325="MICRONOVA",PR!$AO323,IF(F325="MFLASH",PR!$AP323,IF(F325="MORISON",PR!$AQ323,IF(F325="NEMEL",PR!$AR323,IF(F325="NHP",PR!$AS323,IF(F325="NHC",PR!$AT323,IF(F325="OLEAF",PR!$AU323,IF(F325="OCULUS",PR!$AV323,IF(F325="PACIFIC",PR!$AW323,IF(F325="PHAMATEX",PR!$AX323,IF(F325="PETHICS",PR!$AY323,IF(F325="PHILIPS",PR!$AZ323,IF(F325="RANBAXY",PR!$BA323,IF(F325="REALS",PR!$BB323,IF(F325="ROYAL",PR!$BC323,IF(F325="SAM",PR!$BD323,IF(F325="SEAGREEN",PR!$BE323,IF(F325="SKG",PR!$BF323,IF(F325="TAH",PR!$BG323,IF(F325="TAYLEK",PR!$BH323,IF(F325="TEMITA",PR!$BI323,IF(F325="THL",PR!$BJ323,IF(F325="UBASTIC",PR!$BK323,IF(F325="UNION",PR!$BL323,IF(F325="UNIQUE",PR!$BM323,IF(F325="VIXA",PR!$BN323,IF(F325="WWCV",PR!$BO323,IF(F325="ZOLON",PR!$BP323,"-"))))))))))))))))))))))))))))))))))))))))))))))))))))))))))))))))</f>
        <v>750</v>
      </c>
      <c r="F325" s="102" t="str">
        <f>EV!L404</f>
        <v>GREENLIFE</v>
      </c>
      <c r="G325" s="108">
        <f>IF(H325="ALPHA",PR!$E323,IF(H325="ASSENE",PR!$F323,IF(H325="BIOFEM",PR!$G323,IF(H325="BIOMED",PR!$H323,IF(H325="CHI",PR!$I323,IF(H325="CLARION",PR!$J323,IF(H325="CODIX",PR!$K323,IF(H325="COSMADE",PR!$L323,IF(H325="SANCON",PR!$M323,IF(H325="DEVON",PR!$N323,IF(H325="DORTEMAG",PR!$O323,IF(H325="DGF",PR!$P323,IF(H325="DYNAMIC",PR!$Q323,IF(H325="EMZOR",PR!$R323,IF(H325="EUMATT",PR!$S323,IF(H325="FIDSON",PR!$T323,IF(H325="FCGLOBAL",PR!$U323,IF(H325="GENEITH",PR!$V323,IF(H325="GINOS",PR!$W323,IF(H325="GSK",PR!$X323,IF(H325="GLOBORG",PR!$Y323,IF(H325="GOODNEWS",PR!$Z323,IF(H325="GREENLIFE",PR!$AA323,IF(H325="HLINE",PR!$AB323,IF(H325="ROTECH",PR!$AC323,IF(H325="ISN",PR!$AD323,IF(H325="JAWA",PR!$AE323,IF(H325="LAYO",PR!$AF323,IF(H325="LEADWAY",PR!$AG323,IF(H325="LHV",PR!$AH323,IF(H325="MANOLA",PR!$AI323,IF(H325="MARCSON",PR!$AJ323,IF(H325="M&amp;B",PR!$AK323,IF(H325="MTRUST",PR!$AL323,IF(H325="MWORLD",PR!$AM323,IF(H325="MEGA",PR!$AN323,IF(H325="MICRONOVA",PR!$AO323,IF(H325="MFLASH",PR!$AP323,IF(H325="MORISON",PR!$AQ323,IF(H325="NEMEL",PR!$AR323,IF(H325="NHP",PR!$AS323,IF(H325="NHC",PR!$AT323,IF(H325="OLEAF",PR!$AU323,IF(H325="OCULUS",PR!$AV323,IF(H325="PACIFIC",PR!$AW323,IF(H325="PHAMATEX",PR!$AX323,IF(H325="PETHICS",PR!$AY323,IF(H325="PHILIPS",PR!$AZ323,IF(H325="RANBAXY",PR!$BA323,IF(H325="REALS",PR!$BB323,IF(H325="ROYAL",PR!$BC323,IF(H325="SAM",PR!$BD323,IF(H325="SEAGREEN",PR!$BE323,IF(H325="SKG",PR!$BF323,IF(H325="TAH",PR!$BG323,IF(H325="TAYLEK",PR!$BH323,IF(H325="TEMITA",PR!$BI323,IF(H325="THL",PR!$BJ323,IF(H325="UBASTIC",PR!$BK323,IF(H325="UNION",PR!$BL323,IF(H325="UNIQUE",PR!$BM323,IF(H325="VIXA",PR!$BN323,IF(H325="WWCV",PR!$BO323,IF(H325="ZOLON",PR!$BP323,"-"))))))))))))))))))))))))))))))))))))))))))))))))))))))))))))))))</f>
        <v>1000</v>
      </c>
      <c r="H325" s="102" t="str">
        <f>EV!M404</f>
        <v>EUMATT</v>
      </c>
      <c r="I325" s="108" t="str">
        <f>IF(J325="ALPHA",PR!$E323,IF(J325="ASSENE",PR!$F323,IF(J325="BIOFEM",PR!$G323,IF(J325="BIOMED",PR!$H323,IF(J325="CHI",PR!$I323,IF(J325="CLARION",PR!$J323,IF(J325="CODIX",PR!$K323,IF(J325="COSMADE",PR!$L323,IF(J325="SANCON",PR!$M323,IF(J325="DEVON",PR!$N323,IF(J325="DORTEMAG",PR!$O323,IF(J325="DGF",PR!$P323,IF(J325="DYNAMIC",PR!$Q323,IF(J325="EMZOR",PR!$R323,IF(J325="EUMATT",PR!$S323,IF(J325="FIDSON",PR!$T323,IF(J325="FCGLOBAL",PR!$U323,IF(J325="GENEITH",PR!$V323,IF(J325="GINOS",PR!$W323,IF(J325="GSK",PR!$X323,IF(J325="GLOBORG",PR!$Y323,IF(J325="GOODNEWS",PR!$Z323,IF(J325="GREENLIFE",PR!$AA323,IF(J325="HLINE",PR!$AB323,IF(J325="ROTECH",PR!$AC323,IF(J325="ISN",PR!$AD323,IF(J325="JAWA",PR!$AE323,IF(J325="LAYO",PR!$AF323,IF(J325="LEADWAY",PR!$AG323,IF(J325="LHV",PR!$AH323,IF(J325="MANOLA",PR!$AI323,IF(J325="MARCSON",PR!$AJ323,IF(J325="M&amp;B",PR!$AK323,IF(J325="MTRUST",PR!$AL323,IF(J325="MWORLD",PR!$AM323,IF(J325="MEGA",PR!$AN323,IF(J325="MICRONOVA",PR!$AO323,IF(J325="MFLASH",PR!$AP323,IF(J325="MORISON",PR!$AQ323,IF(J325="NEMEL",PR!$AR323,IF(J325="NHP",PR!$AS323,IF(J325="NHC",PR!$AT323,IF(J325="OLEAF",PR!$AU323,IF(J325="OCULUS",PR!$AV323,IF(J325="PACIFIC",PR!$AW323,IF(J325="PHAMATEX",PR!$AX323,IF(J325="PETHICS",PR!$AY323,IF(J325="PHILIPS",PR!$AZ323,IF(J325="RANBAXY",PR!$BA323,IF(J325="REALS",PR!$BB323,IF(J325="ROYAL",PR!$BC323,IF(J325="SAM",PR!$BD323,IF(J325="SEAGREEN",PR!$BE323,IF(J325="SKG",PR!$BF323,IF(J325="TAH",PR!$BG323,IF(J325="TAYLEK",PR!$BH323,IF(J325="TEMITA",PR!$BI323,IF(J325="THL",PR!$BJ323,IF(J325="UBASTIC",PR!$BK323,IF(J325="UNION",PR!$BL323,IF(J325="UNIQUE",PR!$BM323,IF(J325="VIXA",PR!$BN323,IF(J325="WWCV",PR!$BO323,IF(J325="ZOLON",PR!$BP323,"-"))))))))))))))))))))))))))))))))))))))))))))))))))))))))))))))))</f>
        <v>-</v>
      </c>
      <c r="J325" s="102">
        <f>EV!N404</f>
        <v>0</v>
      </c>
      <c r="K325" s="433" t="s">
        <v>635</v>
      </c>
      <c r="L325" s="183">
        <f>IF(K325&gt;0,IF(K325="ALPHA",PR!$E323,IF(K325="ASSENE",PR!$F323,IF(K325="BIOFEM",PR!$G323,IF(K325="BIOMED",PR!$H323,IF(K325="CHI",PR!$I323,IF(K325="CLARION",PR!$J323,IF(K325="CODIX",PR!$K323,IF(K325="COSMADE",PR!$L323,IF(K325="SANCON",PR!$M323,IF(K325="DEVON",PR!$N323,IF(K325="DORTEMAG",PR!$O323,IF(K325="DGF",PR!$P323,IF(K325="DYNAMIC",PR!$Q323,IF(K325="EMZOR",PR!$R323,IF(K325="EUMATT",PR!$S323,IF(K325="FIDSON",PR!$T323,IF(K325="FCGLOBAL",PR!$U323,IF(K325="GENEITH",PR!$V323,IF(K325="GINOS",PR!$W323,IF(K325="GSK",PR!$X323,IF(K325="GLOBORG",PR!$Y323,IF(K325="GOODNEWS",PR!$Z323,IF(K325="GREENLIFE",PR!$AA323,IF(K325="HLINE",PR!$AB323,IF(K325="ROTECH",PR!$AC323,IF(K325="ISN",PR!$AD323,IF(K325="JAWA",PR!$AE323,IF(K325="LAYO",PR!$AF323,IF(K325="LEADWAY",PR!$AG323,IF(K325="LHV",PR!$AH323,IF(K325="MANOLA",PR!$AI323,IF(K325="MARCSON",PR!$AJ323,IF(K325="M&amp;B",PR!$AK323,IF(K325="MTRUST",PR!$AL323,IF(K325="MWORLD",PR!$AM323,IF(K325="MEGA",PR!$AN323,IF(K325="MICRONOVA",PR!$AO323,IF(K325="MFLASH",PR!$AP323,IF(K325="MORISON",PR!$AQ323,IF(K325="NEMEL",PR!$AR323,IF(K325="NHP",PR!$AS323,IF(K325="NHC",PR!$AT323,IF(K325="OLEAF",PR!$AU323,IF(K325="OCULUS",PR!$AV323,IF(K325="PACIFIC",PR!$AW323,IF(K325="PHAMATEX",PR!$AX323,IF(K325="PETHICS",PR!$AY323,IF(K325="PHILIPS",PR!$AZ323,IF(K325="RANBAXY",PR!$BA323,IF(K325="REALS",PR!$BB323,IF(K325="ROYAL",PR!$BC323,IF(K325="SAM",PR!$BD323,IF(K325="SEAGREEN",PR!$BE323,IF(K325="SKG",PR!$BF323,IF(K325="TAH",PR!$BG323,IF(K325="TAYLEK",PR!$BH323,IF(K325="TEMITA",PR!$BI323,IF(K325="THL",PR!$BJ323,IF(K325="UBASTIC",PR!$BK323,IF(K325="UNION",PR!$BL323,IF(K325="UNIQUE",PR!$BM323,IF(K325="VIXA",PR!$BN323,IF(K325="WWCV",PR!$BO323,IF(K325="ZOLON",PR!$BP323,"-")))))))))))))))))))))))))))))))))))))))))))))))))))))))))))))))))</f>
        <v>750</v>
      </c>
    </row>
    <row r="326" spans="1:12" ht="18.75" x14ac:dyDescent="0.3">
      <c r="A326" s="430">
        <f>PR!A324</f>
        <v>294</v>
      </c>
      <c r="B326" s="15" t="str">
        <f>PR!B324</f>
        <v>CALCIUM+VITAMIN C</v>
      </c>
      <c r="C326" s="113">
        <f>PR!D324</f>
        <v>9</v>
      </c>
      <c r="D326" s="113">
        <f>PR!C324</f>
        <v>1000</v>
      </c>
      <c r="E326" s="108">
        <f>IF(F326="ALPHA",PR!$E324,IF(F326="ASSENE",PR!$F324,IF(F326="BIOFEM",PR!$G324,IF(F326="BIOMED",PR!$H324,IF(F326="CHI",PR!$I324,IF(F326="CLARION",PR!$J324,IF(F326="CODIX",PR!$K324,IF(F326="COSMADE",PR!$L324,IF(F326="SANCON",PR!$M324,IF(F326="DEVON",PR!$N324,IF(F326="DORTEMAG",PR!$O324,IF(F326="DGF",PR!$P324,IF(F326="DYNAMIC",PR!$Q324,IF(F326="EMZOR",PR!$R324,IF(F326="EUMATT",PR!$S324,IF(F326="FIDSON",PR!$T324,IF(F326="FCGLOBAL",PR!$U324,IF(F326="GENEITH",PR!$V324,IF(F326="GINOS",PR!$W324,IF(F326="GSK",PR!$X324,IF(F326="GLOBORG",PR!$Y324,IF(F326="GOODNEWS",PR!$Z324,IF(F326="GREENLIFE",PR!$AA324,IF(F326="HLINE",PR!$AB324,IF(F326="ROTECH",PR!$AC324,IF(F326="ISN",PR!$AD324,IF(F326="JAWA",PR!$AE324,IF(F326="LAYO",PR!$AF324,IF(F326="LEADWAY",PR!$AG324,IF(F326="LHV",PR!$AH324,IF(F326="MANOLA",PR!$AI324,IF(F326="MARCSON",PR!$AJ324,IF(F326="M&amp;B",PR!$AK324,IF(F326="MTRUST",PR!$AL324,IF(F326="MWORLD",PR!$AM324,IF(F326="MEGA",PR!$AN324,IF(F326="MICRONOVA",PR!$AO324,IF(F326="MFLASH",PR!$AP324,IF(F326="MORISON",PR!$AQ324,IF(F326="NEMEL",PR!$AR324,IF(F326="NHP",PR!$AS324,IF(F326="NHC",PR!$AT324,IF(F326="OLEAF",PR!$AU324,IF(F326="OCULUS",PR!$AV324,IF(F326="PACIFIC",PR!$AW324,IF(F326="PHAMATEX",PR!$AX324,IF(F326="PETHICS",PR!$AY324,IF(F326="PHILIPS",PR!$AZ324,IF(F326="RANBAXY",PR!$BA324,IF(F326="REALS",PR!$BB324,IF(F326="ROYAL",PR!$BC324,IF(F326="SAM",PR!$BD324,IF(F326="SEAGREEN",PR!$BE324,IF(F326="SKG",PR!$BF324,IF(F326="TAH",PR!$BG324,IF(F326="TAYLEK",PR!$BH324,IF(F326="TEMITA",PR!$BI324,IF(F326="THL",PR!$BJ324,IF(F326="UBASTIC",PR!$BK324,IF(F326="UNION",PR!$BL324,IF(F326="UNIQUE",PR!$BM324,IF(F326="VIXA",PR!$BN324,IF(F326="WWCV",PR!$BO324,IF(F326="ZOLON",PR!$BP324,"-"))))))))))))))))))))))))))))))))))))))))))))))))))))))))))))))))</f>
        <v>990</v>
      </c>
      <c r="F326" s="102" t="str">
        <f>EV!L405</f>
        <v>MEGA</v>
      </c>
      <c r="G326" s="108" t="str">
        <f>IF(H326="ALPHA",PR!$E324,IF(H326="ASSENE",PR!$F324,IF(H326="BIOFEM",PR!$G324,IF(H326="BIOMED",PR!$H324,IF(H326="CHI",PR!$I324,IF(H326="CLARION",PR!$J324,IF(H326="CODIX",PR!$K324,IF(H326="COSMADE",PR!$L324,IF(H326="SANCON",PR!$M324,IF(H326="DEVON",PR!$N324,IF(H326="DORTEMAG",PR!$O324,IF(H326="DGF",PR!$P324,IF(H326="DYNAMIC",PR!$Q324,IF(H326="EMZOR",PR!$R324,IF(H326="EUMATT",PR!$S324,IF(H326="FIDSON",PR!$T324,IF(H326="FCGLOBAL",PR!$U324,IF(H326="GENEITH",PR!$V324,IF(H326="GINOS",PR!$W324,IF(H326="GSK",PR!$X324,IF(H326="GLOBORG",PR!$Y324,IF(H326="GOODNEWS",PR!$Z324,IF(H326="GREENLIFE",PR!$AA324,IF(H326="HLINE",PR!$AB324,IF(H326="ROTECH",PR!$AC324,IF(H326="ISN",PR!$AD324,IF(H326="JAWA",PR!$AE324,IF(H326="LAYO",PR!$AF324,IF(H326="LEADWAY",PR!$AG324,IF(H326="LHV",PR!$AH324,IF(H326="MANOLA",PR!$AI324,IF(H326="MARCSON",PR!$AJ324,IF(H326="M&amp;B",PR!$AK324,IF(H326="MTRUST",PR!$AL324,IF(H326="MWORLD",PR!$AM324,IF(H326="MEGA",PR!$AN324,IF(H326="MICRONOVA",PR!$AO324,IF(H326="MFLASH",PR!$AP324,IF(H326="MORISON",PR!$AQ324,IF(H326="NEMEL",PR!$AR324,IF(H326="NHP",PR!$AS324,IF(H326="NHC",PR!$AT324,IF(H326="OLEAF",PR!$AU324,IF(H326="OCULUS",PR!$AV324,IF(H326="PACIFIC",PR!$AW324,IF(H326="PHAMATEX",PR!$AX324,IF(H326="PETHICS",PR!$AY324,IF(H326="PHILIPS",PR!$AZ324,IF(H326="RANBAXY",PR!$BA324,IF(H326="REALS",PR!$BB324,IF(H326="ROYAL",PR!$BC324,IF(H326="SAM",PR!$BD324,IF(H326="SEAGREEN",PR!$BE324,IF(H326="SKG",PR!$BF324,IF(H326="TAH",PR!$BG324,IF(H326="TAYLEK",PR!$BH324,IF(H326="TEMITA",PR!$BI324,IF(H326="THL",PR!$BJ324,IF(H326="UBASTIC",PR!$BK324,IF(H326="UNION",PR!$BL324,IF(H326="UNIQUE",PR!$BM324,IF(H326="VIXA",PR!$BN324,IF(H326="WWCV",PR!$BO324,IF(H326="ZOLON",PR!$BP324,"-"))))))))))))))))))))))))))))))))))))))))))))))))))))))))))))))))</f>
        <v>-</v>
      </c>
      <c r="H326" s="102">
        <f>EV!M405</f>
        <v>0</v>
      </c>
      <c r="I326" s="108" t="str">
        <f>IF(J326="ALPHA",PR!$E324,IF(J326="ASSENE",PR!$F324,IF(J326="BIOFEM",PR!$G324,IF(J326="BIOMED",PR!$H324,IF(J326="CHI",PR!$I324,IF(J326="CLARION",PR!$J324,IF(J326="CODIX",PR!$K324,IF(J326="COSMADE",PR!$L324,IF(J326="SANCON",PR!$M324,IF(J326="DEVON",PR!$N324,IF(J326="DORTEMAG",PR!$O324,IF(J326="DGF",PR!$P324,IF(J326="DYNAMIC",PR!$Q324,IF(J326="EMZOR",PR!$R324,IF(J326="EUMATT",PR!$S324,IF(J326="FIDSON",PR!$T324,IF(J326="FCGLOBAL",PR!$U324,IF(J326="GENEITH",PR!$V324,IF(J326="GINOS",PR!$W324,IF(J326="GSK",PR!$X324,IF(J326="GLOBORG",PR!$Y324,IF(J326="GOODNEWS",PR!$Z324,IF(J326="GREENLIFE",PR!$AA324,IF(J326="HLINE",PR!$AB324,IF(J326="ROTECH",PR!$AC324,IF(J326="ISN",PR!$AD324,IF(J326="JAWA",PR!$AE324,IF(J326="LAYO",PR!$AF324,IF(J326="LEADWAY",PR!$AG324,IF(J326="LHV",PR!$AH324,IF(J326="MANOLA",PR!$AI324,IF(J326="MARCSON",PR!$AJ324,IF(J326="M&amp;B",PR!$AK324,IF(J326="MTRUST",PR!$AL324,IF(J326="MWORLD",PR!$AM324,IF(J326="MEGA",PR!$AN324,IF(J326="MICRONOVA",PR!$AO324,IF(J326="MFLASH",PR!$AP324,IF(J326="MORISON",PR!$AQ324,IF(J326="NEMEL",PR!$AR324,IF(J326="NHP",PR!$AS324,IF(J326="NHC",PR!$AT324,IF(J326="OLEAF",PR!$AU324,IF(J326="OCULUS",PR!$AV324,IF(J326="PACIFIC",PR!$AW324,IF(J326="PHAMATEX",PR!$AX324,IF(J326="PETHICS",PR!$AY324,IF(J326="PHILIPS",PR!$AZ324,IF(J326="RANBAXY",PR!$BA324,IF(J326="REALS",PR!$BB324,IF(J326="ROYAL",PR!$BC324,IF(J326="SAM",PR!$BD324,IF(J326="SEAGREEN",PR!$BE324,IF(J326="SKG",PR!$BF324,IF(J326="TAH",PR!$BG324,IF(J326="TAYLEK",PR!$BH324,IF(J326="TEMITA",PR!$BI324,IF(J326="THL",PR!$BJ324,IF(J326="UBASTIC",PR!$BK324,IF(J326="UNION",PR!$BL324,IF(J326="UNIQUE",PR!$BM324,IF(J326="VIXA",PR!$BN324,IF(J326="WWCV",PR!$BO324,IF(J326="ZOLON",PR!$BP324,"-"))))))))))))))))))))))))))))))))))))))))))))))))))))))))))))))))</f>
        <v>-</v>
      </c>
      <c r="J326" s="102">
        <f>EV!N405</f>
        <v>0</v>
      </c>
      <c r="K326" s="433"/>
      <c r="L326" s="183" t="b">
        <f>IF(K326&gt;0,IF(K326="ALPHA",PR!$E324,IF(K326="ASSENE",PR!$F324,IF(K326="BIOFEM",PR!$G324,IF(K326="BIOMED",PR!$H324,IF(K326="CHI",PR!$I324,IF(K326="CLARION",PR!$J324,IF(K326="CODIX",PR!$K324,IF(K326="COSMADE",PR!$L324,IF(K326="SANCON",PR!$M324,IF(K326="DEVON",PR!$N324,IF(K326="DORTEMAG",PR!$O324,IF(K326="DGF",PR!$P324,IF(K326="DYNAMIC",PR!$Q324,IF(K326="EMZOR",PR!$R324,IF(K326="EUMATT",PR!$S324,IF(K326="FIDSON",PR!$T324,IF(K326="FCGLOBAL",PR!$U324,IF(K326="GENEITH",PR!$V324,IF(K326="GINOS",PR!$W324,IF(K326="GSK",PR!$X324,IF(K326="GLOBORG",PR!$Y324,IF(K326="GOODNEWS",PR!$Z324,IF(K326="GREENLIFE",PR!$AA324,IF(K326="HLINE",PR!$AB324,IF(K326="ROTECH",PR!$AC324,IF(K326="ISN",PR!$AD324,IF(K326="JAWA",PR!$AE324,IF(K326="LAYO",PR!$AF324,IF(K326="LEADWAY",PR!$AG324,IF(K326="LHV",PR!$AH324,IF(K326="MANOLA",PR!$AI324,IF(K326="MARCSON",PR!$AJ324,IF(K326="M&amp;B",PR!$AK324,IF(K326="MTRUST",PR!$AL324,IF(K326="MWORLD",PR!$AM324,IF(K326="MEGA",PR!$AN324,IF(K326="MICRONOVA",PR!$AO324,IF(K326="MFLASH",PR!$AP324,IF(K326="MORISON",PR!$AQ324,IF(K326="NEMEL",PR!$AR324,IF(K326="NHP",PR!$AS324,IF(K326="NHC",PR!$AT324,IF(K326="OLEAF",PR!$AU324,IF(K326="OCULUS",PR!$AV324,IF(K326="PACIFIC",PR!$AW324,IF(K326="PHAMATEX",PR!$AX324,IF(K326="PETHICS",PR!$AY324,IF(K326="PHILIPS",PR!$AZ324,IF(K326="RANBAXY",PR!$BA324,IF(K326="REALS",PR!$BB324,IF(K326="ROYAL",PR!$BC324,IF(K326="SAM",PR!$BD324,IF(K326="SEAGREEN",PR!$BE324,IF(K326="SKG",PR!$BF324,IF(K326="TAH",PR!$BG324,IF(K326="TAYLEK",PR!$BH324,IF(K326="TEMITA",PR!$BI324,IF(K326="THL",PR!$BJ324,IF(K326="UBASTIC",PR!$BK324,IF(K326="UNION",PR!$BL324,IF(K326="UNIQUE",PR!$BM324,IF(K326="VIXA",PR!$BN324,IF(K326="WWCV",PR!$BO324,IF(K326="ZOLON",PR!$BP324,"-")))))))))))))))))))))))))))))))))))))))))))))))))))))))))))))))))</f>
        <v>0</v>
      </c>
    </row>
    <row r="327" spans="1:12" ht="18.75" x14ac:dyDescent="0.3">
      <c r="A327" s="430">
        <f>PR!A325</f>
        <v>295</v>
      </c>
      <c r="B327" s="15" t="str">
        <f>PR!B325</f>
        <v>CALCIUM+VITAMIN C+VITAMIN D3</v>
      </c>
      <c r="C327" s="113">
        <f>PR!D325</f>
        <v>20</v>
      </c>
      <c r="D327" s="113">
        <f>PR!C325</f>
        <v>2000</v>
      </c>
      <c r="E327" s="108">
        <f>IF(F327="ALPHA",PR!$E325,IF(F327="ASSENE",PR!$F325,IF(F327="BIOFEM",PR!$G325,IF(F327="BIOMED",PR!$H325,IF(F327="CHI",PR!$I325,IF(F327="CLARION",PR!$J325,IF(F327="CODIX",PR!$K325,IF(F327="COSMADE",PR!$L325,IF(F327="SANCON",PR!$M325,IF(F327="DEVON",PR!$N325,IF(F327="DORTEMAG",PR!$O325,IF(F327="DGF",PR!$P325,IF(F327="DYNAMIC",PR!$Q325,IF(F327="EMZOR",PR!$R325,IF(F327="EUMATT",PR!$S325,IF(F327="FIDSON",PR!$T325,IF(F327="FCGLOBAL",PR!$U325,IF(F327="GENEITH",PR!$V325,IF(F327="GINOS",PR!$W325,IF(F327="GSK",PR!$X325,IF(F327="GLOBORG",PR!$Y325,IF(F327="GOODNEWS",PR!$Z325,IF(F327="GREENLIFE",PR!$AA325,IF(F327="HLINE",PR!$AB325,IF(F327="ROTECH",PR!$AC325,IF(F327="ISN",PR!$AD325,IF(F327="JAWA",PR!$AE325,IF(F327="LAYO",PR!$AF325,IF(F327="LEADWAY",PR!$AG325,IF(F327="LHV",PR!$AH325,IF(F327="MANOLA",PR!$AI325,IF(F327="MARCSON",PR!$AJ325,IF(F327="M&amp;B",PR!$AK325,IF(F327="MTRUST",PR!$AL325,IF(F327="MWORLD",PR!$AM325,IF(F327="MEGA",PR!$AN325,IF(F327="MICRONOVA",PR!$AO325,IF(F327="MFLASH",PR!$AP325,IF(F327="MORISON",PR!$AQ325,IF(F327="NEMEL",PR!$AR325,IF(F327="NHP",PR!$AS325,IF(F327="NHC",PR!$AT325,IF(F327="OLEAF",PR!$AU325,IF(F327="OCULUS",PR!$AV325,IF(F327="PACIFIC",PR!$AW325,IF(F327="PHAMATEX",PR!$AX325,IF(F327="PETHICS",PR!$AY325,IF(F327="PHILIPS",PR!$AZ325,IF(F327="RANBAXY",PR!$BA325,IF(F327="REALS",PR!$BB325,IF(F327="ROYAL",PR!$BC325,IF(F327="SAM",PR!$BD325,IF(F327="SEAGREEN",PR!$BE325,IF(F327="SKG",PR!$BF325,IF(F327="TAH",PR!$BG325,IF(F327="TAYLEK",PR!$BH325,IF(F327="TEMITA",PR!$BI325,IF(F327="THL",PR!$BJ325,IF(F327="UBASTIC",PR!$BK325,IF(F327="UNION",PR!$BL325,IF(F327="UNIQUE",PR!$BM325,IF(F327="VIXA",PR!$BN325,IF(F327="WWCV",PR!$BO325,IF(F327="ZOLON",PR!$BP325,"-"))))))))))))))))))))))))))))))))))))))))))))))))))))))))))))))))</f>
        <v>900</v>
      </c>
      <c r="F327" s="102" t="str">
        <f>EV!L406</f>
        <v>OLEAF</v>
      </c>
      <c r="G327" s="108" t="str">
        <f>IF(H327="ALPHA",PR!$E325,IF(H327="ASSENE",PR!$F325,IF(H327="BIOFEM",PR!$G325,IF(H327="BIOMED",PR!$H325,IF(H327="CHI",PR!$I325,IF(H327="CLARION",PR!$J325,IF(H327="CODIX",PR!$K325,IF(H327="COSMADE",PR!$L325,IF(H327="SANCON",PR!$M325,IF(H327="DEVON",PR!$N325,IF(H327="DORTEMAG",PR!$O325,IF(H327="DGF",PR!$P325,IF(H327="DYNAMIC",PR!$Q325,IF(H327="EMZOR",PR!$R325,IF(H327="EUMATT",PR!$S325,IF(H327="FIDSON",PR!$T325,IF(H327="FCGLOBAL",PR!$U325,IF(H327="GENEITH",PR!$V325,IF(H327="GINOS",PR!$W325,IF(H327="GSK",PR!$X325,IF(H327="GLOBORG",PR!$Y325,IF(H327="GOODNEWS",PR!$Z325,IF(H327="GREENLIFE",PR!$AA325,IF(H327="HLINE",PR!$AB325,IF(H327="ROTECH",PR!$AC325,IF(H327="ISN",PR!$AD325,IF(H327="JAWA",PR!$AE325,IF(H327="LAYO",PR!$AF325,IF(H327="LEADWAY",PR!$AG325,IF(H327="LHV",PR!$AH325,IF(H327="MANOLA",PR!$AI325,IF(H327="MARCSON",PR!$AJ325,IF(H327="M&amp;B",PR!$AK325,IF(H327="MTRUST",PR!$AL325,IF(H327="MWORLD",PR!$AM325,IF(H327="MEGA",PR!$AN325,IF(H327="MICRONOVA",PR!$AO325,IF(H327="MFLASH",PR!$AP325,IF(H327="MORISON",PR!$AQ325,IF(H327="NEMEL",PR!$AR325,IF(H327="NHP",PR!$AS325,IF(H327="NHC",PR!$AT325,IF(H327="OLEAF",PR!$AU325,IF(H327="OCULUS",PR!$AV325,IF(H327="PACIFIC",PR!$AW325,IF(H327="PHAMATEX",PR!$AX325,IF(H327="PETHICS",PR!$AY325,IF(H327="PHILIPS",PR!$AZ325,IF(H327="RANBAXY",PR!$BA325,IF(H327="REALS",PR!$BB325,IF(H327="ROYAL",PR!$BC325,IF(H327="SAM",PR!$BD325,IF(H327="SEAGREEN",PR!$BE325,IF(H327="SKG",PR!$BF325,IF(H327="TAH",PR!$BG325,IF(H327="TAYLEK",PR!$BH325,IF(H327="TEMITA",PR!$BI325,IF(H327="THL",PR!$BJ325,IF(H327="UBASTIC",PR!$BK325,IF(H327="UNION",PR!$BL325,IF(H327="UNIQUE",PR!$BM325,IF(H327="VIXA",PR!$BN325,IF(H327="WWCV",PR!$BO325,IF(H327="ZOLON",PR!$BP325,"-"))))))))))))))))))))))))))))))))))))))))))))))))))))))))))))))))</f>
        <v>-</v>
      </c>
      <c r="H327" s="102">
        <f>EV!M406</f>
        <v>0</v>
      </c>
      <c r="I327" s="108" t="str">
        <f>IF(J327="ALPHA",PR!$E325,IF(J327="ASSENE",PR!$F325,IF(J327="BIOFEM",PR!$G325,IF(J327="BIOMED",PR!$H325,IF(J327="CHI",PR!$I325,IF(J327="CLARION",PR!$J325,IF(J327="CODIX",PR!$K325,IF(J327="COSMADE",PR!$L325,IF(J327="SANCON",PR!$M325,IF(J327="DEVON",PR!$N325,IF(J327="DORTEMAG",PR!$O325,IF(J327="DGF",PR!$P325,IF(J327="DYNAMIC",PR!$Q325,IF(J327="EMZOR",PR!$R325,IF(J327="EUMATT",PR!$S325,IF(J327="FIDSON",PR!$T325,IF(J327="FCGLOBAL",PR!$U325,IF(J327="GENEITH",PR!$V325,IF(J327="GINOS",PR!$W325,IF(J327="GSK",PR!$X325,IF(J327="GLOBORG",PR!$Y325,IF(J327="GOODNEWS",PR!$Z325,IF(J327="GREENLIFE",PR!$AA325,IF(J327="HLINE",PR!$AB325,IF(J327="ROTECH",PR!$AC325,IF(J327="ISN",PR!$AD325,IF(J327="JAWA",PR!$AE325,IF(J327="LAYO",PR!$AF325,IF(J327="LEADWAY",PR!$AG325,IF(J327="LHV",PR!$AH325,IF(J327="MANOLA",PR!$AI325,IF(J327="MARCSON",PR!$AJ325,IF(J327="M&amp;B",PR!$AK325,IF(J327="MTRUST",PR!$AL325,IF(J327="MWORLD",PR!$AM325,IF(J327="MEGA",PR!$AN325,IF(J327="MICRONOVA",PR!$AO325,IF(J327="MFLASH",PR!$AP325,IF(J327="MORISON",PR!$AQ325,IF(J327="NEMEL",PR!$AR325,IF(J327="NHP",PR!$AS325,IF(J327="NHC",PR!$AT325,IF(J327="OLEAF",PR!$AU325,IF(J327="OCULUS",PR!$AV325,IF(J327="PACIFIC",PR!$AW325,IF(J327="PHAMATEX",PR!$AX325,IF(J327="PETHICS",PR!$AY325,IF(J327="PHILIPS",PR!$AZ325,IF(J327="RANBAXY",PR!$BA325,IF(J327="REALS",PR!$BB325,IF(J327="ROYAL",PR!$BC325,IF(J327="SAM",PR!$BD325,IF(J327="SEAGREEN",PR!$BE325,IF(J327="SKG",PR!$BF325,IF(J327="TAH",PR!$BG325,IF(J327="TAYLEK",PR!$BH325,IF(J327="TEMITA",PR!$BI325,IF(J327="THL",PR!$BJ325,IF(J327="UBASTIC",PR!$BK325,IF(J327="UNION",PR!$BL325,IF(J327="UNIQUE",PR!$BM325,IF(J327="VIXA",PR!$BN325,IF(J327="WWCV",PR!$BO325,IF(J327="ZOLON",PR!$BP325,"-"))))))))))))))))))))))))))))))))))))))))))))))))))))))))))))))))</f>
        <v>-</v>
      </c>
      <c r="J327" s="102">
        <f>EV!N406</f>
        <v>0</v>
      </c>
      <c r="K327" s="433" t="s">
        <v>1241</v>
      </c>
      <c r="L327" s="183">
        <f>IF(K327&gt;0,IF(K327="ALPHA",PR!$E325,IF(K327="ASSENE",PR!$F325,IF(K327="BIOFEM",PR!$G325,IF(K327="BIOMED",PR!$H325,IF(K327="CHI",PR!$I325,IF(K327="CLARION",PR!$J325,IF(K327="CODIX",PR!$K325,IF(K327="COSMADE",PR!$L325,IF(K327="SANCON",PR!$M325,IF(K327="DEVON",PR!$N325,IF(K327="DORTEMAG",PR!$O325,IF(K327="DGF",PR!$P325,IF(K327="DYNAMIC",PR!$Q325,IF(K327="EMZOR",PR!$R325,IF(K327="EUMATT",PR!$S325,IF(K327="FIDSON",PR!$T325,IF(K327="FCGLOBAL",PR!$U325,IF(K327="GENEITH",PR!$V325,IF(K327="GINOS",PR!$W325,IF(K327="GSK",PR!$X325,IF(K327="GLOBORG",PR!$Y325,IF(K327="GOODNEWS",PR!$Z325,IF(K327="GREENLIFE",PR!$AA325,IF(K327="HLINE",PR!$AB325,IF(K327="ROTECH",PR!$AC325,IF(K327="ISN",PR!$AD325,IF(K327="JAWA",PR!$AE325,IF(K327="LAYO",PR!$AF325,IF(K327="LEADWAY",PR!$AG325,IF(K327="LHV",PR!$AH325,IF(K327="MANOLA",PR!$AI325,IF(K327="MARCSON",PR!$AJ325,IF(K327="M&amp;B",PR!$AK325,IF(K327="MTRUST",PR!$AL325,IF(K327="MWORLD",PR!$AM325,IF(K327="MEGA",PR!$AN325,IF(K327="MICRONOVA",PR!$AO325,IF(K327="MFLASH",PR!$AP325,IF(K327="MORISON",PR!$AQ325,IF(K327="NEMEL",PR!$AR325,IF(K327="NHP",PR!$AS325,IF(K327="NHC",PR!$AT325,IF(K327="OLEAF",PR!$AU325,IF(K327="OCULUS",PR!$AV325,IF(K327="PACIFIC",PR!$AW325,IF(K327="PHAMATEX",PR!$AX325,IF(K327="PETHICS",PR!$AY325,IF(K327="PHILIPS",PR!$AZ325,IF(K327="RANBAXY",PR!$BA325,IF(K327="REALS",PR!$BB325,IF(K327="ROYAL",PR!$BC325,IF(K327="SAM",PR!$BD325,IF(K327="SEAGREEN",PR!$BE325,IF(K327="SKG",PR!$BF325,IF(K327="TAH",PR!$BG325,IF(K327="TAYLEK",PR!$BH325,IF(K327="TEMITA",PR!$BI325,IF(K327="THL",PR!$BJ325,IF(K327="UBASTIC",PR!$BK325,IF(K327="UNION",PR!$BL325,IF(K327="UNIQUE",PR!$BM325,IF(K327="VIXA",PR!$BN325,IF(K327="WWCV",PR!$BO325,IF(K327="ZOLON",PR!$BP325,"-")))))))))))))))))))))))))))))))))))))))))))))))))))))))))))))))))</f>
        <v>900</v>
      </c>
    </row>
    <row r="328" spans="1:12" ht="18.75" x14ac:dyDescent="0.3">
      <c r="A328" s="430">
        <f>PR!A326</f>
        <v>296</v>
      </c>
      <c r="B328" s="15" t="str">
        <f>PR!B326</f>
        <v>CHYMOTRYPSIN/TRYPSIN</v>
      </c>
      <c r="C328" s="113">
        <f>PR!D326</f>
        <v>30</v>
      </c>
      <c r="D328" s="113">
        <f>PR!C326</f>
        <v>400</v>
      </c>
      <c r="E328" s="108">
        <f>IF(F328="ALPHA",PR!$E326,IF(F328="ASSENE",PR!$F326,IF(F328="BIOFEM",PR!$G326,IF(F328="BIOMED",PR!$H326,IF(F328="CHI",PR!$I326,IF(F328="CLARION",PR!$J326,IF(F328="CODIX",PR!$K326,IF(F328="COSMADE",PR!$L326,IF(F328="SANCON",PR!$M326,IF(F328="DEVON",PR!$N326,IF(F328="DORTEMAG",PR!$O326,IF(F328="DGF",PR!$P326,IF(F328="DYNAMIC",PR!$Q326,IF(F328="EMZOR",PR!$R326,IF(F328="EUMATT",PR!$S326,IF(F328="FIDSON",PR!$T326,IF(F328="FCGLOBAL",PR!$U326,IF(F328="GENEITH",PR!$V326,IF(F328="GINOS",PR!$W326,IF(F328="GSK",PR!$X326,IF(F328="GLOBORG",PR!$Y326,IF(F328="GOODNEWS",PR!$Z326,IF(F328="GREENLIFE",PR!$AA326,IF(F328="HLINE",PR!$AB326,IF(F328="ROTECH",PR!$AC326,IF(F328="ISN",PR!$AD326,IF(F328="JAWA",PR!$AE326,IF(F328="LAYO",PR!$AF326,IF(F328="LEADWAY",PR!$AG326,IF(F328="LHV",PR!$AH326,IF(F328="MANOLA",PR!$AI326,IF(F328="MARCSON",PR!$AJ326,IF(F328="M&amp;B",PR!$AK326,IF(F328="MTRUST",PR!$AL326,IF(F328="MWORLD",PR!$AM326,IF(F328="MEGA",PR!$AN326,IF(F328="MICRONOVA",PR!$AO326,IF(F328="MFLASH",PR!$AP326,IF(F328="MORISON",PR!$AQ326,IF(F328="NEMEL",PR!$AR326,IF(F328="NHP",PR!$AS326,IF(F328="NHC",PR!$AT326,IF(F328="OLEAF",PR!$AU326,IF(F328="OCULUS",PR!$AV326,IF(F328="PACIFIC",PR!$AW326,IF(F328="PHAMATEX",PR!$AX326,IF(F328="PETHICS",PR!$AY326,IF(F328="PHILIPS",PR!$AZ326,IF(F328="RANBAXY",PR!$BA326,IF(F328="REALS",PR!$BB326,IF(F328="ROYAL",PR!$BC326,IF(F328="SAM",PR!$BD326,IF(F328="SEAGREEN",PR!$BE326,IF(F328="SKG",PR!$BF326,IF(F328="TAH",PR!$BG326,IF(F328="TAYLEK",PR!$BH326,IF(F328="TEMITA",PR!$BI326,IF(F328="THL",PR!$BJ326,IF(F328="UBASTIC",PR!$BK326,IF(F328="UNION",PR!$BL326,IF(F328="UNIQUE",PR!$BM326,IF(F328="VIXA",PR!$BN326,IF(F328="WWCV",PR!$BO326,IF(F328="ZOLON",PR!$BP326,"-"))))))))))))))))))))))))))))))))))))))))))))))))))))))))))))))))</f>
        <v>220</v>
      </c>
      <c r="F328" s="102" t="str">
        <f>EV!L407</f>
        <v>GREENLIFE</v>
      </c>
      <c r="G328" s="108" t="str">
        <f>IF(H328="ALPHA",PR!$E326,IF(H328="ASSENE",PR!$F326,IF(H328="BIOFEM",PR!$G326,IF(H328="BIOMED",PR!$H326,IF(H328="CHI",PR!$I326,IF(H328="CLARION",PR!$J326,IF(H328="CODIX",PR!$K326,IF(H328="COSMADE",PR!$L326,IF(H328="SANCON",PR!$M326,IF(H328="DEVON",PR!$N326,IF(H328="DORTEMAG",PR!$O326,IF(H328="DGF",PR!$P326,IF(H328="DYNAMIC",PR!$Q326,IF(H328="EMZOR",PR!$R326,IF(H328="EUMATT",PR!$S326,IF(H328="FIDSON",PR!$T326,IF(H328="FCGLOBAL",PR!$U326,IF(H328="GENEITH",PR!$V326,IF(H328="GINOS",PR!$W326,IF(H328="GSK",PR!$X326,IF(H328="GLOBORG",PR!$Y326,IF(H328="GOODNEWS",PR!$Z326,IF(H328="GREENLIFE",PR!$AA326,IF(H328="HLINE",PR!$AB326,IF(H328="ROTECH",PR!$AC326,IF(H328="ISN",PR!$AD326,IF(H328="JAWA",PR!$AE326,IF(H328="LAYO",PR!$AF326,IF(H328="LEADWAY",PR!$AG326,IF(H328="LHV",PR!$AH326,IF(H328="MANOLA",PR!$AI326,IF(H328="MARCSON",PR!$AJ326,IF(H328="M&amp;B",PR!$AK326,IF(H328="MTRUST",PR!$AL326,IF(H328="MWORLD",PR!$AM326,IF(H328="MEGA",PR!$AN326,IF(H328="MICRONOVA",PR!$AO326,IF(H328="MFLASH",PR!$AP326,IF(H328="MORISON",PR!$AQ326,IF(H328="NEMEL",PR!$AR326,IF(H328="NHP",PR!$AS326,IF(H328="NHC",PR!$AT326,IF(H328="OLEAF",PR!$AU326,IF(H328="OCULUS",PR!$AV326,IF(H328="PACIFIC",PR!$AW326,IF(H328="PHAMATEX",PR!$AX326,IF(H328="PETHICS",PR!$AY326,IF(H328="PHILIPS",PR!$AZ326,IF(H328="RANBAXY",PR!$BA326,IF(H328="REALS",PR!$BB326,IF(H328="ROYAL",PR!$BC326,IF(H328="SAM",PR!$BD326,IF(H328="SEAGREEN",PR!$BE326,IF(H328="SKG",PR!$BF326,IF(H328="TAH",PR!$BG326,IF(H328="TAYLEK",PR!$BH326,IF(H328="TEMITA",PR!$BI326,IF(H328="THL",PR!$BJ326,IF(H328="UBASTIC",PR!$BK326,IF(H328="UNION",PR!$BL326,IF(H328="UNIQUE",PR!$BM326,IF(H328="VIXA",PR!$BN326,IF(H328="WWCV",PR!$BO326,IF(H328="ZOLON",PR!$BP326,"-"))))))))))))))))))))))))))))))))))))))))))))))))))))))))))))))))</f>
        <v>-</v>
      </c>
      <c r="H328" s="102">
        <f>EV!M407</f>
        <v>0</v>
      </c>
      <c r="I328" s="108" t="str">
        <f>IF(J328="ALPHA",PR!$E326,IF(J328="ASSENE",PR!$F326,IF(J328="BIOFEM",PR!$G326,IF(J328="BIOMED",PR!$H326,IF(J328="CHI",PR!$I326,IF(J328="CLARION",PR!$J326,IF(J328="CODIX",PR!$K326,IF(J328="COSMADE",PR!$L326,IF(J328="SANCON",PR!$M326,IF(J328="DEVON",PR!$N326,IF(J328="DORTEMAG",PR!$O326,IF(J328="DGF",PR!$P326,IF(J328="DYNAMIC",PR!$Q326,IF(J328="EMZOR",PR!$R326,IF(J328="EUMATT",PR!$S326,IF(J328="FIDSON",PR!$T326,IF(J328="FCGLOBAL",PR!$U326,IF(J328="GENEITH",PR!$V326,IF(J328="GINOS",PR!$W326,IF(J328="GSK",PR!$X326,IF(J328="GLOBORG",PR!$Y326,IF(J328="GOODNEWS",PR!$Z326,IF(J328="GREENLIFE",PR!$AA326,IF(J328="HLINE",PR!$AB326,IF(J328="ROTECH",PR!$AC326,IF(J328="ISN",PR!$AD326,IF(J328="JAWA",PR!$AE326,IF(J328="LAYO",PR!$AF326,IF(J328="LEADWAY",PR!$AG326,IF(J328="LHV",PR!$AH326,IF(J328="MANOLA",PR!$AI326,IF(J328="MARCSON",PR!$AJ326,IF(J328="M&amp;B",PR!$AK326,IF(J328="MTRUST",PR!$AL326,IF(J328="MWORLD",PR!$AM326,IF(J328="MEGA",PR!$AN326,IF(J328="MICRONOVA",PR!$AO326,IF(J328="MFLASH",PR!$AP326,IF(J328="MORISON",PR!$AQ326,IF(J328="NEMEL",PR!$AR326,IF(J328="NHP",PR!$AS326,IF(J328="NHC",PR!$AT326,IF(J328="OLEAF",PR!$AU326,IF(J328="OCULUS",PR!$AV326,IF(J328="PACIFIC",PR!$AW326,IF(J328="PHAMATEX",PR!$AX326,IF(J328="PETHICS",PR!$AY326,IF(J328="PHILIPS",PR!$AZ326,IF(J328="RANBAXY",PR!$BA326,IF(J328="REALS",PR!$BB326,IF(J328="ROYAL",PR!$BC326,IF(J328="SAM",PR!$BD326,IF(J328="SEAGREEN",PR!$BE326,IF(J328="SKG",PR!$BF326,IF(J328="TAH",PR!$BG326,IF(J328="TAYLEK",PR!$BH326,IF(J328="TEMITA",PR!$BI326,IF(J328="THL",PR!$BJ326,IF(J328="UBASTIC",PR!$BK326,IF(J328="UNION",PR!$BL326,IF(J328="UNIQUE",PR!$BM326,IF(J328="VIXA",PR!$BN326,IF(J328="WWCV",PR!$BO326,IF(J328="ZOLON",PR!$BP326,"-"))))))))))))))))))))))))))))))))))))))))))))))))))))))))))))))))</f>
        <v>-</v>
      </c>
      <c r="J328" s="102">
        <f>EV!N407</f>
        <v>0</v>
      </c>
      <c r="K328" s="433" t="s">
        <v>635</v>
      </c>
      <c r="L328" s="183">
        <f>IF(K328&gt;0,IF(K328="ALPHA",PR!$E326,IF(K328="ASSENE",PR!$F326,IF(K328="BIOFEM",PR!$G326,IF(K328="BIOMED",PR!$H326,IF(K328="CHI",PR!$I326,IF(K328="CLARION",PR!$J326,IF(K328="CODIX",PR!$K326,IF(K328="COSMADE",PR!$L326,IF(K328="SANCON",PR!$M326,IF(K328="DEVON",PR!$N326,IF(K328="DORTEMAG",PR!$O326,IF(K328="DGF",PR!$P326,IF(K328="DYNAMIC",PR!$Q326,IF(K328="EMZOR",PR!$R326,IF(K328="EUMATT",PR!$S326,IF(K328="FIDSON",PR!$T326,IF(K328="FCGLOBAL",PR!$U326,IF(K328="GENEITH",PR!$V326,IF(K328="GINOS",PR!$W326,IF(K328="GSK",PR!$X326,IF(K328="GLOBORG",PR!$Y326,IF(K328="GOODNEWS",PR!$Z326,IF(K328="GREENLIFE",PR!$AA326,IF(K328="HLINE",PR!$AB326,IF(K328="ROTECH",PR!$AC326,IF(K328="ISN",PR!$AD326,IF(K328="JAWA",PR!$AE326,IF(K328="LAYO",PR!$AF326,IF(K328="LEADWAY",PR!$AG326,IF(K328="LHV",PR!$AH326,IF(K328="MANOLA",PR!$AI326,IF(K328="MARCSON",PR!$AJ326,IF(K328="M&amp;B",PR!$AK326,IF(K328="MTRUST",PR!$AL326,IF(K328="MWORLD",PR!$AM326,IF(K328="MEGA",PR!$AN326,IF(K328="MICRONOVA",PR!$AO326,IF(K328="MFLASH",PR!$AP326,IF(K328="MORISON",PR!$AQ326,IF(K328="NEMEL",PR!$AR326,IF(K328="NHP",PR!$AS326,IF(K328="NHC",PR!$AT326,IF(K328="OLEAF",PR!$AU326,IF(K328="OCULUS",PR!$AV326,IF(K328="PACIFIC",PR!$AW326,IF(K328="PHAMATEX",PR!$AX326,IF(K328="PETHICS",PR!$AY326,IF(K328="PHILIPS",PR!$AZ326,IF(K328="RANBAXY",PR!$BA326,IF(K328="REALS",PR!$BB326,IF(K328="ROYAL",PR!$BC326,IF(K328="SAM",PR!$BD326,IF(K328="SEAGREEN",PR!$BE326,IF(K328="SKG",PR!$BF326,IF(K328="TAH",PR!$BG326,IF(K328="TAYLEK",PR!$BH326,IF(K328="TEMITA",PR!$BI326,IF(K328="THL",PR!$BJ326,IF(K328="UBASTIC",PR!$BK326,IF(K328="UNION",PR!$BL326,IF(K328="UNIQUE",PR!$BM326,IF(K328="VIXA",PR!$BN326,IF(K328="WWCV",PR!$BO326,IF(K328="ZOLON",PR!$BP326,"-")))))))))))))))))))))))))))))))))))))))))))))))))))))))))))))))))</f>
        <v>220</v>
      </c>
    </row>
    <row r="329" spans="1:12" ht="18.75" x14ac:dyDescent="0.3">
      <c r="A329" s="430">
        <f>PR!A327</f>
        <v>297</v>
      </c>
      <c r="B329" s="15" t="str">
        <f>PR!B327</f>
        <v>COD LIVER OIL (LIQUID)</v>
      </c>
      <c r="C329" s="113" t="str">
        <f>PR!D327</f>
        <v>BOTT</v>
      </c>
      <c r="D329" s="113">
        <f>PR!C327</f>
        <v>100</v>
      </c>
      <c r="E329" s="108">
        <f>IF(F329="ALPHA",PR!$E327,IF(F329="ASSENE",PR!$F327,IF(F329="BIOFEM",PR!$G327,IF(F329="BIOMED",PR!$H327,IF(F329="CHI",PR!$I327,IF(F329="CLARION",PR!$J327,IF(F329="CODIX",PR!$K327,IF(F329="COSMADE",PR!$L327,IF(F329="SANCON",PR!$M327,IF(F329="DEVON",PR!$N327,IF(F329="DORTEMAG",PR!$O327,IF(F329="DGF",PR!$P327,IF(F329="DYNAMIC",PR!$Q327,IF(F329="EMZOR",PR!$R327,IF(F329="EUMATT",PR!$S327,IF(F329="FIDSON",PR!$T327,IF(F329="FCGLOBAL",PR!$U327,IF(F329="GENEITH",PR!$V327,IF(F329="GINOS",PR!$W327,IF(F329="GSK",PR!$X327,IF(F329="GLOBORG",PR!$Y327,IF(F329="GOODNEWS",PR!$Z327,IF(F329="GREENLIFE",PR!$AA327,IF(F329="HLINE",PR!$AB327,IF(F329="ROTECH",PR!$AC327,IF(F329="ISN",PR!$AD327,IF(F329="JAWA",PR!$AE327,IF(F329="LAYO",PR!$AF327,IF(F329="LEADWAY",PR!$AG327,IF(F329="LHV",PR!$AH327,IF(F329="MANOLA",PR!$AI327,IF(F329="MARCSON",PR!$AJ327,IF(F329="M&amp;B",PR!$AK327,IF(F329="MTRUST",PR!$AL327,IF(F329="MWORLD",PR!$AM327,IF(F329="MEGA",PR!$AN327,IF(F329="MICRONOVA",PR!$AO327,IF(F329="MFLASH",PR!$AP327,IF(F329="MORISON",PR!$AQ327,IF(F329="NEMEL",PR!$AR327,IF(F329="NHP",PR!$AS327,IF(F329="NHC",PR!$AT327,IF(F329="OLEAF",PR!$AU327,IF(F329="OCULUS",PR!$AV327,IF(F329="PACIFIC",PR!$AW327,IF(F329="PHAMATEX",PR!$AX327,IF(F329="PETHICS",PR!$AY327,IF(F329="PHILIPS",PR!$AZ327,IF(F329="RANBAXY",PR!$BA327,IF(F329="REALS",PR!$BB327,IF(F329="ROYAL",PR!$BC327,IF(F329="SAM",PR!$BD327,IF(F329="SEAGREEN",PR!$BE327,IF(F329="SKG",PR!$BF327,IF(F329="TAH",PR!$BG327,IF(F329="TAYLEK",PR!$BH327,IF(F329="TEMITA",PR!$BI327,IF(F329="THL",PR!$BJ327,IF(F329="UBASTIC",PR!$BK327,IF(F329="UNION",PR!$BL327,IF(F329="UNIQUE",PR!$BM327,IF(F329="VIXA",PR!$BN327,IF(F329="WWCV",PR!$BO327,IF(F329="ZOLON",PR!$BP327,"-"))))))))))))))))))))))))))))))))))))))))))))))))))))))))))))))))</f>
        <v>1827</v>
      </c>
      <c r="F329" s="102" t="str">
        <f>EV!L408</f>
        <v>BIOFEM</v>
      </c>
      <c r="G329" s="108" t="str">
        <f>IF(H329="ALPHA",PR!$E327,IF(H329="ASSENE",PR!$F327,IF(H329="BIOFEM",PR!$G327,IF(H329="BIOMED",PR!$H327,IF(H329="CHI",PR!$I327,IF(H329="CLARION",PR!$J327,IF(H329="CODIX",PR!$K327,IF(H329="COSMADE",PR!$L327,IF(H329="SANCON",PR!$M327,IF(H329="DEVON",PR!$N327,IF(H329="DORTEMAG",PR!$O327,IF(H329="DGF",PR!$P327,IF(H329="DYNAMIC",PR!$Q327,IF(H329="EMZOR",PR!$R327,IF(H329="EUMATT",PR!$S327,IF(H329="FIDSON",PR!$T327,IF(H329="FCGLOBAL",PR!$U327,IF(H329="GENEITH",PR!$V327,IF(H329="GINOS",PR!$W327,IF(H329="GSK",PR!$X327,IF(H329="GLOBORG",PR!$Y327,IF(H329="GOODNEWS",PR!$Z327,IF(H329="GREENLIFE",PR!$AA327,IF(H329="HLINE",PR!$AB327,IF(H329="ROTECH",PR!$AC327,IF(H329="ISN",PR!$AD327,IF(H329="JAWA",PR!$AE327,IF(H329="LAYO",PR!$AF327,IF(H329="LEADWAY",PR!$AG327,IF(H329="LHV",PR!$AH327,IF(H329="MANOLA",PR!$AI327,IF(H329="MARCSON",PR!$AJ327,IF(H329="M&amp;B",PR!$AK327,IF(H329="MTRUST",PR!$AL327,IF(H329="MWORLD",PR!$AM327,IF(H329="MEGA",PR!$AN327,IF(H329="MICRONOVA",PR!$AO327,IF(H329="MFLASH",PR!$AP327,IF(H329="MORISON",PR!$AQ327,IF(H329="NEMEL",PR!$AR327,IF(H329="NHP",PR!$AS327,IF(H329="NHC",PR!$AT327,IF(H329="OLEAF",PR!$AU327,IF(H329="OCULUS",PR!$AV327,IF(H329="PACIFIC",PR!$AW327,IF(H329="PHAMATEX",PR!$AX327,IF(H329="PETHICS",PR!$AY327,IF(H329="PHILIPS",PR!$AZ327,IF(H329="RANBAXY",PR!$BA327,IF(H329="REALS",PR!$BB327,IF(H329="ROYAL",PR!$BC327,IF(H329="SAM",PR!$BD327,IF(H329="SEAGREEN",PR!$BE327,IF(H329="SKG",PR!$BF327,IF(H329="TAH",PR!$BG327,IF(H329="TAYLEK",PR!$BH327,IF(H329="TEMITA",PR!$BI327,IF(H329="THL",PR!$BJ327,IF(H329="UBASTIC",PR!$BK327,IF(H329="UNION",PR!$BL327,IF(H329="UNIQUE",PR!$BM327,IF(H329="VIXA",PR!$BN327,IF(H329="WWCV",PR!$BO327,IF(H329="ZOLON",PR!$BP327,"-"))))))))))))))))))))))))))))))))))))))))))))))))))))))))))))))))</f>
        <v>-</v>
      </c>
      <c r="H329" s="102">
        <f>EV!M408</f>
        <v>0</v>
      </c>
      <c r="I329" s="108" t="str">
        <f>IF(J329="ALPHA",PR!$E327,IF(J329="ASSENE",PR!$F327,IF(J329="BIOFEM",PR!$G327,IF(J329="BIOMED",PR!$H327,IF(J329="CHI",PR!$I327,IF(J329="CLARION",PR!$J327,IF(J329="CODIX",PR!$K327,IF(J329="COSMADE",PR!$L327,IF(J329="SANCON",PR!$M327,IF(J329="DEVON",PR!$N327,IF(J329="DORTEMAG",PR!$O327,IF(J329="DGF",PR!$P327,IF(J329="DYNAMIC",PR!$Q327,IF(J329="EMZOR",PR!$R327,IF(J329="EUMATT",PR!$S327,IF(J329="FIDSON",PR!$T327,IF(J329="FCGLOBAL",PR!$U327,IF(J329="GENEITH",PR!$V327,IF(J329="GINOS",PR!$W327,IF(J329="GSK",PR!$X327,IF(J329="GLOBORG",PR!$Y327,IF(J329="GOODNEWS",PR!$Z327,IF(J329="GREENLIFE",PR!$AA327,IF(J329="HLINE",PR!$AB327,IF(J329="ROTECH",PR!$AC327,IF(J329="ISN",PR!$AD327,IF(J329="JAWA",PR!$AE327,IF(J329="LAYO",PR!$AF327,IF(J329="LEADWAY",PR!$AG327,IF(J329="LHV",PR!$AH327,IF(J329="MANOLA",PR!$AI327,IF(J329="MARCSON",PR!$AJ327,IF(J329="M&amp;B",PR!$AK327,IF(J329="MTRUST",PR!$AL327,IF(J329="MWORLD",PR!$AM327,IF(J329="MEGA",PR!$AN327,IF(J329="MICRONOVA",PR!$AO327,IF(J329="MFLASH",PR!$AP327,IF(J329="MORISON",PR!$AQ327,IF(J329="NEMEL",PR!$AR327,IF(J329="NHP",PR!$AS327,IF(J329="NHC",PR!$AT327,IF(J329="OLEAF",PR!$AU327,IF(J329="OCULUS",PR!$AV327,IF(J329="PACIFIC",PR!$AW327,IF(J329="PHAMATEX",PR!$AX327,IF(J329="PETHICS",PR!$AY327,IF(J329="PHILIPS",PR!$AZ327,IF(J329="RANBAXY",PR!$BA327,IF(J329="REALS",PR!$BB327,IF(J329="ROYAL",PR!$BC327,IF(J329="SAM",PR!$BD327,IF(J329="SEAGREEN",PR!$BE327,IF(J329="SKG",PR!$BF327,IF(J329="TAH",PR!$BG327,IF(J329="TAYLEK",PR!$BH327,IF(J329="TEMITA",PR!$BI327,IF(J329="THL",PR!$BJ327,IF(J329="UBASTIC",PR!$BK327,IF(J329="UNION",PR!$BL327,IF(J329="UNIQUE",PR!$BM327,IF(J329="VIXA",PR!$BN327,IF(J329="WWCV",PR!$BO327,IF(J329="ZOLON",PR!$BP327,"-"))))))))))))))))))))))))))))))))))))))))))))))))))))))))))))))))</f>
        <v>-</v>
      </c>
      <c r="J329" s="102">
        <f>EV!N408</f>
        <v>0</v>
      </c>
      <c r="K329" s="433" t="s">
        <v>628</v>
      </c>
      <c r="L329" s="183">
        <f>IF(K329&gt;0,IF(K329="ALPHA",PR!$E327,IF(K329="ASSENE",PR!$F327,IF(K329="BIOFEM",PR!$G327,IF(K329="BIOMED",PR!$H327,IF(K329="CHI",PR!$I327,IF(K329="CLARION",PR!$J327,IF(K329="CODIX",PR!$K327,IF(K329="COSMADE",PR!$L327,IF(K329="SANCON",PR!$M327,IF(K329="DEVON",PR!$N327,IF(K329="DORTEMAG",PR!$O327,IF(K329="DGF",PR!$P327,IF(K329="DYNAMIC",PR!$Q327,IF(K329="EMZOR",PR!$R327,IF(K329="EUMATT",PR!$S327,IF(K329="FIDSON",PR!$T327,IF(K329="FCGLOBAL",PR!$U327,IF(K329="GENEITH",PR!$V327,IF(K329="GINOS",PR!$W327,IF(K329="GSK",PR!$X327,IF(K329="GLOBORG",PR!$Y327,IF(K329="GOODNEWS",PR!$Z327,IF(K329="GREENLIFE",PR!$AA327,IF(K329="HLINE",PR!$AB327,IF(K329="ROTECH",PR!$AC327,IF(K329="ISN",PR!$AD327,IF(K329="JAWA",PR!$AE327,IF(K329="LAYO",PR!$AF327,IF(K329="LEADWAY",PR!$AG327,IF(K329="LHV",PR!$AH327,IF(K329="MANOLA",PR!$AI327,IF(K329="MARCSON",PR!$AJ327,IF(K329="M&amp;B",PR!$AK327,IF(K329="MTRUST",PR!$AL327,IF(K329="MWORLD",PR!$AM327,IF(K329="MEGA",PR!$AN327,IF(K329="MICRONOVA",PR!$AO327,IF(K329="MFLASH",PR!$AP327,IF(K329="MORISON",PR!$AQ327,IF(K329="NEMEL",PR!$AR327,IF(K329="NHP",PR!$AS327,IF(K329="NHC",PR!$AT327,IF(K329="OLEAF",PR!$AU327,IF(K329="OCULUS",PR!$AV327,IF(K329="PACIFIC",PR!$AW327,IF(K329="PHAMATEX",PR!$AX327,IF(K329="PETHICS",PR!$AY327,IF(K329="PHILIPS",PR!$AZ327,IF(K329="RANBAXY",PR!$BA327,IF(K329="REALS",PR!$BB327,IF(K329="ROYAL",PR!$BC327,IF(K329="SAM",PR!$BD327,IF(K329="SEAGREEN",PR!$BE327,IF(K329="SKG",PR!$BF327,IF(K329="TAH",PR!$BG327,IF(K329="TAYLEK",PR!$BH327,IF(K329="TEMITA",PR!$BI327,IF(K329="THL",PR!$BJ327,IF(K329="UBASTIC",PR!$BK327,IF(K329="UNION",PR!$BL327,IF(K329="UNIQUE",PR!$BM327,IF(K329="VIXA",PR!$BN327,IF(K329="WWCV",PR!$BO327,IF(K329="ZOLON",PR!$BP327,"-")))))))))))))))))))))))))))))))))))))))))))))))))))))))))))))))))</f>
        <v>1827</v>
      </c>
    </row>
    <row r="330" spans="1:12" ht="18.75" x14ac:dyDescent="0.3">
      <c r="A330" s="430">
        <f>PR!A328</f>
        <v>298</v>
      </c>
      <c r="B330" s="15" t="str">
        <f>PR!B328</f>
        <v>CYANOCOBALAMINE (VITAMIN B12) INJ</v>
      </c>
      <c r="C330" s="113" t="str">
        <f>PR!D328</f>
        <v>AMP</v>
      </c>
      <c r="D330" s="113">
        <f>PR!C328</f>
        <v>50</v>
      </c>
      <c r="E330" s="108" t="str">
        <f>IF(F330="ALPHA",PR!$E328,IF(F330="ASSENE",PR!$F328,IF(F330="BIOFEM",PR!$G328,IF(F330="BIOMED",PR!$H328,IF(F330="CHI",PR!$I328,IF(F330="CLARION",PR!$J328,IF(F330="CODIX",PR!$K328,IF(F330="COSMADE",PR!$L328,IF(F330="SANCON",PR!$M328,IF(F330="DEVON",PR!$N328,IF(F330="DORTEMAG",PR!$O328,IF(F330="DGF",PR!$P328,IF(F330="DYNAMIC",PR!$Q328,IF(F330="EMZOR",PR!$R328,IF(F330="EUMATT",PR!$S328,IF(F330="FIDSON",PR!$T328,IF(F330="FCGLOBAL",PR!$U328,IF(F330="GENEITH",PR!$V328,IF(F330="GINOS",PR!$W328,IF(F330="GSK",PR!$X328,IF(F330="GLOBORG",PR!$Y328,IF(F330="GOODNEWS",PR!$Z328,IF(F330="GREENLIFE",PR!$AA328,IF(F330="HLINE",PR!$AB328,IF(F330="ROTECH",PR!$AC328,IF(F330="ISN",PR!$AD328,IF(F330="JAWA",PR!$AE328,IF(F330="LAYO",PR!$AF328,IF(F330="LEADWAY",PR!$AG328,IF(F330="LHV",PR!$AH328,IF(F330="MANOLA",PR!$AI328,IF(F330="MARCSON",PR!$AJ328,IF(F330="M&amp;B",PR!$AK328,IF(F330="MTRUST",PR!$AL328,IF(F330="MWORLD",PR!$AM328,IF(F330="MEGA",PR!$AN328,IF(F330="MICRONOVA",PR!$AO328,IF(F330="MFLASH",PR!$AP328,IF(F330="MORISON",PR!$AQ328,IF(F330="NEMEL",PR!$AR328,IF(F330="NHP",PR!$AS328,IF(F330="NHC",PR!$AT328,IF(F330="OLEAF",PR!$AU328,IF(F330="OCULUS",PR!$AV328,IF(F330="PACIFIC",PR!$AW328,IF(F330="PHAMATEX",PR!$AX328,IF(F330="PETHICS",PR!$AY328,IF(F330="PHILIPS",PR!$AZ328,IF(F330="RANBAXY",PR!$BA328,IF(F330="REALS",PR!$BB328,IF(F330="ROYAL",PR!$BC328,IF(F330="SAM",PR!$BD328,IF(F330="SEAGREEN",PR!$BE328,IF(F330="SKG",PR!$BF328,IF(F330="TAH",PR!$BG328,IF(F330="TAYLEK",PR!$BH328,IF(F330="TEMITA",PR!$BI328,IF(F330="THL",PR!$BJ328,IF(F330="UBASTIC",PR!$BK328,IF(F330="UNION",PR!$BL328,IF(F330="UNIQUE",PR!$BM328,IF(F330="VIXA",PR!$BN328,IF(F330="WWCV",PR!$BO328,IF(F330="ZOLON",PR!$BP328,"-"))))))))))))))))))))))))))))))))))))))))))))))))))))))))))))))))</f>
        <v>-</v>
      </c>
      <c r="F330" s="102">
        <f>EV!L409</f>
        <v>0</v>
      </c>
      <c r="G330" s="108" t="str">
        <f>IF(H330="ALPHA",PR!$E328,IF(H330="ASSENE",PR!$F328,IF(H330="BIOFEM",PR!$G328,IF(H330="BIOMED",PR!$H328,IF(H330="CHI",PR!$I328,IF(H330="CLARION",PR!$J328,IF(H330="CODIX",PR!$K328,IF(H330="COSMADE",PR!$L328,IF(H330="SANCON",PR!$M328,IF(H330="DEVON",PR!$N328,IF(H330="DORTEMAG",PR!$O328,IF(H330="DGF",PR!$P328,IF(H330="DYNAMIC",PR!$Q328,IF(H330="EMZOR",PR!$R328,IF(H330="EUMATT",PR!$S328,IF(H330="FIDSON",PR!$T328,IF(H330="FCGLOBAL",PR!$U328,IF(H330="GENEITH",PR!$V328,IF(H330="GINOS",PR!$W328,IF(H330="GSK",PR!$X328,IF(H330="GLOBORG",PR!$Y328,IF(H330="GOODNEWS",PR!$Z328,IF(H330="GREENLIFE",PR!$AA328,IF(H330="HLINE",PR!$AB328,IF(H330="ROTECH",PR!$AC328,IF(H330="ISN",PR!$AD328,IF(H330="JAWA",PR!$AE328,IF(H330="LAYO",PR!$AF328,IF(H330="LEADWAY",PR!$AG328,IF(H330="LHV",PR!$AH328,IF(H330="MANOLA",PR!$AI328,IF(H330="MARCSON",PR!$AJ328,IF(H330="M&amp;B",PR!$AK328,IF(H330="MTRUST",PR!$AL328,IF(H330="MWORLD",PR!$AM328,IF(H330="MEGA",PR!$AN328,IF(H330="MICRONOVA",PR!$AO328,IF(H330="MFLASH",PR!$AP328,IF(H330="MORISON",PR!$AQ328,IF(H330="NEMEL",PR!$AR328,IF(H330="NHP",PR!$AS328,IF(H330="NHC",PR!$AT328,IF(H330="OLEAF",PR!$AU328,IF(H330="OCULUS",PR!$AV328,IF(H330="PACIFIC",PR!$AW328,IF(H330="PHAMATEX",PR!$AX328,IF(H330="PETHICS",PR!$AY328,IF(H330="PHILIPS",PR!$AZ328,IF(H330="RANBAXY",PR!$BA328,IF(H330="REALS",PR!$BB328,IF(H330="ROYAL",PR!$BC328,IF(H330="SAM",PR!$BD328,IF(H330="SEAGREEN",PR!$BE328,IF(H330="SKG",PR!$BF328,IF(H330="TAH",PR!$BG328,IF(H330="TAYLEK",PR!$BH328,IF(H330="TEMITA",PR!$BI328,IF(H330="THL",PR!$BJ328,IF(H330="UBASTIC",PR!$BK328,IF(H330="UNION",PR!$BL328,IF(H330="UNIQUE",PR!$BM328,IF(H330="VIXA",PR!$BN328,IF(H330="WWCV",PR!$BO328,IF(H330="ZOLON",PR!$BP328,"-"))))))))))))))))))))))))))))))))))))))))))))))))))))))))))))))))</f>
        <v>-</v>
      </c>
      <c r="H330" s="102">
        <f>EV!M409</f>
        <v>0</v>
      </c>
      <c r="I330" s="108" t="str">
        <f>IF(J330="ALPHA",PR!$E328,IF(J330="ASSENE",PR!$F328,IF(J330="BIOFEM",PR!$G328,IF(J330="BIOMED",PR!$H328,IF(J330="CHI",PR!$I328,IF(J330="CLARION",PR!$J328,IF(J330="CODIX",PR!$K328,IF(J330="COSMADE",PR!$L328,IF(J330="SANCON",PR!$M328,IF(J330="DEVON",PR!$N328,IF(J330="DORTEMAG",PR!$O328,IF(J330="DGF",PR!$P328,IF(J330="DYNAMIC",PR!$Q328,IF(J330="EMZOR",PR!$R328,IF(J330="EUMATT",PR!$S328,IF(J330="FIDSON",PR!$T328,IF(J330="FCGLOBAL",PR!$U328,IF(J330="GENEITH",PR!$V328,IF(J330="GINOS",PR!$W328,IF(J330="GSK",PR!$X328,IF(J330="GLOBORG",PR!$Y328,IF(J330="GOODNEWS",PR!$Z328,IF(J330="GREENLIFE",PR!$AA328,IF(J330="HLINE",PR!$AB328,IF(J330="ROTECH",PR!$AC328,IF(J330="ISN",PR!$AD328,IF(J330="JAWA",PR!$AE328,IF(J330="LAYO",PR!$AF328,IF(J330="LEADWAY",PR!$AG328,IF(J330="LHV",PR!$AH328,IF(J330="MANOLA",PR!$AI328,IF(J330="MARCSON",PR!$AJ328,IF(J330="M&amp;B",PR!$AK328,IF(J330="MTRUST",PR!$AL328,IF(J330="MWORLD",PR!$AM328,IF(J330="MEGA",PR!$AN328,IF(J330="MICRONOVA",PR!$AO328,IF(J330="MFLASH",PR!$AP328,IF(J330="MORISON",PR!$AQ328,IF(J330="NEMEL",PR!$AR328,IF(J330="NHP",PR!$AS328,IF(J330="NHC",PR!$AT328,IF(J330="OLEAF",PR!$AU328,IF(J330="OCULUS",PR!$AV328,IF(J330="PACIFIC",PR!$AW328,IF(J330="PHAMATEX",PR!$AX328,IF(J330="PETHICS",PR!$AY328,IF(J330="PHILIPS",PR!$AZ328,IF(J330="RANBAXY",PR!$BA328,IF(J330="REALS",PR!$BB328,IF(J330="ROYAL",PR!$BC328,IF(J330="SAM",PR!$BD328,IF(J330="SEAGREEN",PR!$BE328,IF(J330="SKG",PR!$BF328,IF(J330="TAH",PR!$BG328,IF(J330="TAYLEK",PR!$BH328,IF(J330="TEMITA",PR!$BI328,IF(J330="THL",PR!$BJ328,IF(J330="UBASTIC",PR!$BK328,IF(J330="UNION",PR!$BL328,IF(J330="UNIQUE",PR!$BM328,IF(J330="VIXA",PR!$BN328,IF(J330="WWCV",PR!$BO328,IF(J330="ZOLON",PR!$BP328,"-"))))))))))))))))))))))))))))))))))))))))))))))))))))))))))))))))</f>
        <v>-</v>
      </c>
      <c r="J330" s="102">
        <f>EV!N409</f>
        <v>0</v>
      </c>
      <c r="K330" s="433"/>
      <c r="L330" s="183" t="b">
        <f>IF(K330&gt;0,IF(K330="ALPHA",PR!$E328,IF(K330="ASSENE",PR!$F328,IF(K330="BIOFEM",PR!$G328,IF(K330="BIOMED",PR!$H328,IF(K330="CHI",PR!$I328,IF(K330="CLARION",PR!$J328,IF(K330="CODIX",PR!$K328,IF(K330="COSMADE",PR!$L328,IF(K330="SANCON",PR!$M328,IF(K330="DEVON",PR!$N328,IF(K330="DORTEMAG",PR!$O328,IF(K330="DGF",PR!$P328,IF(K330="DYNAMIC",PR!$Q328,IF(K330="EMZOR",PR!$R328,IF(K330="EUMATT",PR!$S328,IF(K330="FIDSON",PR!$T328,IF(K330="FCGLOBAL",PR!$U328,IF(K330="GENEITH",PR!$V328,IF(K330="GINOS",PR!$W328,IF(K330="GSK",PR!$X328,IF(K330="GLOBORG",PR!$Y328,IF(K330="GOODNEWS",PR!$Z328,IF(K330="GREENLIFE",PR!$AA328,IF(K330="HLINE",PR!$AB328,IF(K330="ROTECH",PR!$AC328,IF(K330="ISN",PR!$AD328,IF(K330="JAWA",PR!$AE328,IF(K330="LAYO",PR!$AF328,IF(K330="LEADWAY",PR!$AG328,IF(K330="LHV",PR!$AH328,IF(K330="MANOLA",PR!$AI328,IF(K330="MARCSON",PR!$AJ328,IF(K330="M&amp;B",PR!$AK328,IF(K330="MTRUST",PR!$AL328,IF(K330="MWORLD",PR!$AM328,IF(K330="MEGA",PR!$AN328,IF(K330="MICRONOVA",PR!$AO328,IF(K330="MFLASH",PR!$AP328,IF(K330="MORISON",PR!$AQ328,IF(K330="NEMEL",PR!$AR328,IF(K330="NHP",PR!$AS328,IF(K330="NHC",PR!$AT328,IF(K330="OLEAF",PR!$AU328,IF(K330="OCULUS",PR!$AV328,IF(K330="PACIFIC",PR!$AW328,IF(K330="PHAMATEX",PR!$AX328,IF(K330="PETHICS",PR!$AY328,IF(K330="PHILIPS",PR!$AZ328,IF(K330="RANBAXY",PR!$BA328,IF(K330="REALS",PR!$BB328,IF(K330="ROYAL",PR!$BC328,IF(K330="SAM",PR!$BD328,IF(K330="SEAGREEN",PR!$BE328,IF(K330="SKG",PR!$BF328,IF(K330="TAH",PR!$BG328,IF(K330="TAYLEK",PR!$BH328,IF(K330="TEMITA",PR!$BI328,IF(K330="THL",PR!$BJ328,IF(K330="UBASTIC",PR!$BK328,IF(K330="UNION",PR!$BL328,IF(K330="UNIQUE",PR!$BM328,IF(K330="VIXA",PR!$BN328,IF(K330="WWCV",PR!$BO328,IF(K330="ZOLON",PR!$BP328,"-")))))))))))))))))))))))))))))))))))))))))))))))))))))))))))))))))</f>
        <v>0</v>
      </c>
    </row>
    <row r="331" spans="1:12" ht="18.75" x14ac:dyDescent="0.3">
      <c r="A331" s="430">
        <f>PR!A329</f>
        <v>299</v>
      </c>
      <c r="B331" s="15" t="str">
        <f>PR!B329</f>
        <v>DABIGATRAN 75MG CAP</v>
      </c>
      <c r="C331" s="113">
        <f>PR!D329</f>
        <v>60</v>
      </c>
      <c r="D331" s="113">
        <f>PR!C329</f>
        <v>20</v>
      </c>
      <c r="E331" s="108">
        <f>IF(F331="ALPHA",PR!$E329,IF(F331="ASSENE",PR!$F329,IF(F331="BIOFEM",PR!$G329,IF(F331="BIOMED",PR!$H329,IF(F331="CHI",PR!$I329,IF(F331="CLARION",PR!$J329,IF(F331="CODIX",PR!$K329,IF(F331="COSMADE",PR!$L329,IF(F331="SANCON",PR!$M329,IF(F331="DEVON",PR!$N329,IF(F331="DORTEMAG",PR!$O329,IF(F331="DGF",PR!$P329,IF(F331="DYNAMIC",PR!$Q329,IF(F331="EMZOR",PR!$R329,IF(F331="EUMATT",PR!$S329,IF(F331="FIDSON",PR!$T329,IF(F331="FCGLOBAL",PR!$U329,IF(F331="GENEITH",PR!$V329,IF(F331="GINOS",PR!$W329,IF(F331="GSK",PR!$X329,IF(F331="GLOBORG",PR!$Y329,IF(F331="GOODNEWS",PR!$Z329,IF(F331="GREENLIFE",PR!$AA329,IF(F331="HLINE",PR!$AB329,IF(F331="ROTECH",PR!$AC329,IF(F331="ISN",PR!$AD329,IF(F331="JAWA",PR!$AE329,IF(F331="LAYO",PR!$AF329,IF(F331="LEADWAY",PR!$AG329,IF(F331="LHV",PR!$AH329,IF(F331="MANOLA",PR!$AI329,IF(F331="MARCSON",PR!$AJ329,IF(F331="M&amp;B",PR!$AK329,IF(F331="MTRUST",PR!$AL329,IF(F331="MWORLD",PR!$AM329,IF(F331="MEGA",PR!$AN329,IF(F331="MICRONOVA",PR!$AO329,IF(F331="MFLASH",PR!$AP329,IF(F331="MORISON",PR!$AQ329,IF(F331="NEMEL",PR!$AR329,IF(F331="NHP",PR!$AS329,IF(F331="NHC",PR!$AT329,IF(F331="OLEAF",PR!$AU329,IF(F331="OCULUS",PR!$AV329,IF(F331="PACIFIC",PR!$AW329,IF(F331="PHAMATEX",PR!$AX329,IF(F331="PETHICS",PR!$AY329,IF(F331="PHILIPS",PR!$AZ329,IF(F331="RANBAXY",PR!$BA329,IF(F331="REALS",PR!$BB329,IF(F331="ROYAL",PR!$BC329,IF(F331="SAM",PR!$BD329,IF(F331="SEAGREEN",PR!$BE329,IF(F331="SKG",PR!$BF329,IF(F331="TAH",PR!$BG329,IF(F331="TAYLEK",PR!$BH329,IF(F331="TEMITA",PR!$BI329,IF(F331="THL",PR!$BJ329,IF(F331="UBASTIC",PR!$BK329,IF(F331="UNION",PR!$BL329,IF(F331="UNIQUE",PR!$BM329,IF(F331="VIXA",PR!$BN329,IF(F331="WWCV",PR!$BO329,IF(F331="ZOLON",PR!$BP329,"-"))))))))))))))))))))))))))))))))))))))))))))))))))))))))))))))))</f>
        <v>28000</v>
      </c>
      <c r="F331" s="102" t="str">
        <f>EV!L410</f>
        <v>EUMATT</v>
      </c>
      <c r="G331" s="108">
        <f>IF(H331="ALPHA",PR!$E329,IF(H331="ASSENE",PR!$F329,IF(H331="BIOFEM",PR!$G329,IF(H331="BIOMED",PR!$H329,IF(H331="CHI",PR!$I329,IF(H331="CLARION",PR!$J329,IF(H331="CODIX",PR!$K329,IF(H331="COSMADE",PR!$L329,IF(H331="SANCON",PR!$M329,IF(H331="DEVON",PR!$N329,IF(H331="DORTEMAG",PR!$O329,IF(H331="DGF",PR!$P329,IF(H331="DYNAMIC",PR!$Q329,IF(H331="EMZOR",PR!$R329,IF(H331="EUMATT",PR!$S329,IF(H331="FIDSON",PR!$T329,IF(H331="FCGLOBAL",PR!$U329,IF(H331="GENEITH",PR!$V329,IF(H331="GINOS",PR!$W329,IF(H331="GSK",PR!$X329,IF(H331="GLOBORG",PR!$Y329,IF(H331="GOODNEWS",PR!$Z329,IF(H331="GREENLIFE",PR!$AA329,IF(H331="HLINE",PR!$AB329,IF(H331="ROTECH",PR!$AC329,IF(H331="ISN",PR!$AD329,IF(H331="JAWA",PR!$AE329,IF(H331="LAYO",PR!$AF329,IF(H331="LEADWAY",PR!$AG329,IF(H331="LHV",PR!$AH329,IF(H331="MANOLA",PR!$AI329,IF(H331="MARCSON",PR!$AJ329,IF(H331="M&amp;B",PR!$AK329,IF(H331="MTRUST",PR!$AL329,IF(H331="MWORLD",PR!$AM329,IF(H331="MEGA",PR!$AN329,IF(H331="MICRONOVA",PR!$AO329,IF(H331="MFLASH",PR!$AP329,IF(H331="MORISON",PR!$AQ329,IF(H331="NEMEL",PR!$AR329,IF(H331="NHP",PR!$AS329,IF(H331="NHC",PR!$AT329,IF(H331="OLEAF",PR!$AU329,IF(H331="OCULUS",PR!$AV329,IF(H331="PACIFIC",PR!$AW329,IF(H331="PHAMATEX",PR!$AX329,IF(H331="PETHICS",PR!$AY329,IF(H331="PHILIPS",PR!$AZ329,IF(H331="RANBAXY",PR!$BA329,IF(H331="REALS",PR!$BB329,IF(H331="ROYAL",PR!$BC329,IF(H331="SAM",PR!$BD329,IF(H331="SEAGREEN",PR!$BE329,IF(H331="SKG",PR!$BF329,IF(H331="TAH",PR!$BG329,IF(H331="TAYLEK",PR!$BH329,IF(H331="TEMITA",PR!$BI329,IF(H331="THL",PR!$BJ329,IF(H331="UBASTIC",PR!$BK329,IF(H331="UNION",PR!$BL329,IF(H331="UNIQUE",PR!$BM329,IF(H331="VIXA",PR!$BN329,IF(H331="WWCV",PR!$BO329,IF(H331="ZOLON",PR!$BP329,"-"))))))))))))))))))))))))))))))))))))))))))))))))))))))))))))))))</f>
        <v>29240</v>
      </c>
      <c r="H331" s="102" t="str">
        <f>EV!M410</f>
        <v>WWCV</v>
      </c>
      <c r="I331" s="108" t="str">
        <f>IF(J331="ALPHA",PR!$E329,IF(J331="ASSENE",PR!$F329,IF(J331="BIOFEM",PR!$G329,IF(J331="BIOMED",PR!$H329,IF(J331="CHI",PR!$I329,IF(J331="CLARION",PR!$J329,IF(J331="CODIX",PR!$K329,IF(J331="COSMADE",PR!$L329,IF(J331="SANCON",PR!$M329,IF(J331="DEVON",PR!$N329,IF(J331="DORTEMAG",PR!$O329,IF(J331="DGF",PR!$P329,IF(J331="DYNAMIC",PR!$Q329,IF(J331="EMZOR",PR!$R329,IF(J331="EUMATT",PR!$S329,IF(J331="FIDSON",PR!$T329,IF(J331="FCGLOBAL",PR!$U329,IF(J331="GENEITH",PR!$V329,IF(J331="GINOS",PR!$W329,IF(J331="GSK",PR!$X329,IF(J331="GLOBORG",PR!$Y329,IF(J331="GOODNEWS",PR!$Z329,IF(J331="GREENLIFE",PR!$AA329,IF(J331="HLINE",PR!$AB329,IF(J331="ROTECH",PR!$AC329,IF(J331="ISN",PR!$AD329,IF(J331="JAWA",PR!$AE329,IF(J331="LAYO",PR!$AF329,IF(J331="LEADWAY",PR!$AG329,IF(J331="LHV",PR!$AH329,IF(J331="MANOLA",PR!$AI329,IF(J331="MARCSON",PR!$AJ329,IF(J331="M&amp;B",PR!$AK329,IF(J331="MTRUST",PR!$AL329,IF(J331="MWORLD",PR!$AM329,IF(J331="MEGA",PR!$AN329,IF(J331="MICRONOVA",PR!$AO329,IF(J331="MFLASH",PR!$AP329,IF(J331="MORISON",PR!$AQ329,IF(J331="NEMEL",PR!$AR329,IF(J331="NHP",PR!$AS329,IF(J331="NHC",PR!$AT329,IF(J331="OLEAF",PR!$AU329,IF(J331="OCULUS",PR!$AV329,IF(J331="PACIFIC",PR!$AW329,IF(J331="PHAMATEX",PR!$AX329,IF(J331="PETHICS",PR!$AY329,IF(J331="PHILIPS",PR!$AZ329,IF(J331="RANBAXY",PR!$BA329,IF(J331="REALS",PR!$BB329,IF(J331="ROYAL",PR!$BC329,IF(J331="SAM",PR!$BD329,IF(J331="SEAGREEN",PR!$BE329,IF(J331="SKG",PR!$BF329,IF(J331="TAH",PR!$BG329,IF(J331="TAYLEK",PR!$BH329,IF(J331="TEMITA",PR!$BI329,IF(J331="THL",PR!$BJ329,IF(J331="UBASTIC",PR!$BK329,IF(J331="UNION",PR!$BL329,IF(J331="UNIQUE",PR!$BM329,IF(J331="VIXA",PR!$BN329,IF(J331="WWCV",PR!$BO329,IF(J331="ZOLON",PR!$BP329,"-"))))))))))))))))))))))))))))))))))))))))))))))))))))))))))))))))</f>
        <v>-</v>
      </c>
      <c r="J331" s="102">
        <f>EV!N410</f>
        <v>0</v>
      </c>
      <c r="K331" s="433" t="s">
        <v>821</v>
      </c>
      <c r="L331" s="183">
        <f>IF(K331&gt;0,IF(K331="ALPHA",PR!$E329,IF(K331="ASSENE",PR!$F329,IF(K331="BIOFEM",PR!$G329,IF(K331="BIOMED",PR!$H329,IF(K331="CHI",PR!$I329,IF(K331="CLARION",PR!$J329,IF(K331="CODIX",PR!$K329,IF(K331="COSMADE",PR!$L329,IF(K331="SANCON",PR!$M329,IF(K331="DEVON",PR!$N329,IF(K331="DORTEMAG",PR!$O329,IF(K331="DGF",PR!$P329,IF(K331="DYNAMIC",PR!$Q329,IF(K331="EMZOR",PR!$R329,IF(K331="EUMATT",PR!$S329,IF(K331="FIDSON",PR!$T329,IF(K331="FCGLOBAL",PR!$U329,IF(K331="GENEITH",PR!$V329,IF(K331="GINOS",PR!$W329,IF(K331="GSK",PR!$X329,IF(K331="GLOBORG",PR!$Y329,IF(K331="GOODNEWS",PR!$Z329,IF(K331="GREENLIFE",PR!$AA329,IF(K331="HLINE",PR!$AB329,IF(K331="ROTECH",PR!$AC329,IF(K331="ISN",PR!$AD329,IF(K331="JAWA",PR!$AE329,IF(K331="LAYO",PR!$AF329,IF(K331="LEADWAY",PR!$AG329,IF(K331="LHV",PR!$AH329,IF(K331="MANOLA",PR!$AI329,IF(K331="MARCSON",PR!$AJ329,IF(K331="M&amp;B",PR!$AK329,IF(K331="MTRUST",PR!$AL329,IF(K331="MWORLD",PR!$AM329,IF(K331="MEGA",PR!$AN329,IF(K331="MICRONOVA",PR!$AO329,IF(K331="MFLASH",PR!$AP329,IF(K331="MORISON",PR!$AQ329,IF(K331="NEMEL",PR!$AR329,IF(K331="NHP",PR!$AS329,IF(K331="NHC",PR!$AT329,IF(K331="OLEAF",PR!$AU329,IF(K331="OCULUS",PR!$AV329,IF(K331="PACIFIC",PR!$AW329,IF(K331="PHAMATEX",PR!$AX329,IF(K331="PETHICS",PR!$AY329,IF(K331="PHILIPS",PR!$AZ329,IF(K331="RANBAXY",PR!$BA329,IF(K331="REALS",PR!$BB329,IF(K331="ROYAL",PR!$BC329,IF(K331="SAM",PR!$BD329,IF(K331="SEAGREEN",PR!$BE329,IF(K331="SKG",PR!$BF329,IF(K331="TAH",PR!$BG329,IF(K331="TAYLEK",PR!$BH329,IF(K331="TEMITA",PR!$BI329,IF(K331="THL",PR!$BJ329,IF(K331="UBASTIC",PR!$BK329,IF(K331="UNION",PR!$BL329,IF(K331="UNIQUE",PR!$BM329,IF(K331="VIXA",PR!$BN329,IF(K331="WWCV",PR!$BO329,IF(K331="ZOLON",PR!$BP329,"-")))))))))))))))))))))))))))))))))))))))))))))))))))))))))))))))))</f>
        <v>28000</v>
      </c>
    </row>
    <row r="332" spans="1:12" ht="18.75" x14ac:dyDescent="0.3">
      <c r="A332" s="430">
        <f>PR!A330</f>
        <v>300</v>
      </c>
      <c r="B332" s="15" t="str">
        <f>PR!B330</f>
        <v>ENOXAPARIN 40MG INJ</v>
      </c>
      <c r="C332" s="113" t="str">
        <f>PR!D330</f>
        <v>AMP</v>
      </c>
      <c r="D332" s="113">
        <f>PR!C330</f>
        <v>1400</v>
      </c>
      <c r="E332" s="108">
        <f>IF(F332="ALPHA",PR!$E330,IF(F332="ASSENE",PR!$F330,IF(F332="BIOFEM",PR!$G330,IF(F332="BIOMED",PR!$H330,IF(F332="CHI",PR!$I330,IF(F332="CLARION",PR!$J330,IF(F332="CODIX",PR!$K330,IF(F332="COSMADE",PR!$L330,IF(F332="SANCON",PR!$M330,IF(F332="DEVON",PR!$N330,IF(F332="DORTEMAG",PR!$O330,IF(F332="DGF",PR!$P330,IF(F332="DYNAMIC",PR!$Q330,IF(F332="EMZOR",PR!$R330,IF(F332="EUMATT",PR!$S330,IF(F332="FIDSON",PR!$T330,IF(F332="FCGLOBAL",PR!$U330,IF(F332="GENEITH",PR!$V330,IF(F332="GINOS",PR!$W330,IF(F332="GSK",PR!$X330,IF(F332="GLOBORG",PR!$Y330,IF(F332="GOODNEWS",PR!$Z330,IF(F332="GREENLIFE",PR!$AA330,IF(F332="HLINE",PR!$AB330,IF(F332="ROTECH",PR!$AC330,IF(F332="ISN",PR!$AD330,IF(F332="JAWA",PR!$AE330,IF(F332="LAYO",PR!$AF330,IF(F332="LEADWAY",PR!$AG330,IF(F332="LHV",PR!$AH330,IF(F332="MANOLA",PR!$AI330,IF(F332="MARCSON",PR!$AJ330,IF(F332="M&amp;B",PR!$AK330,IF(F332="MTRUST",PR!$AL330,IF(F332="MWORLD",PR!$AM330,IF(F332="MEGA",PR!$AN330,IF(F332="MICRONOVA",PR!$AO330,IF(F332="MFLASH",PR!$AP330,IF(F332="MORISON",PR!$AQ330,IF(F332="NEMEL",PR!$AR330,IF(F332="NHP",PR!$AS330,IF(F332="NHC",PR!$AT330,IF(F332="OLEAF",PR!$AU330,IF(F332="OCULUS",PR!$AV330,IF(F332="PACIFIC",PR!$AW330,IF(F332="PHAMATEX",PR!$AX330,IF(F332="PETHICS",PR!$AY330,IF(F332="PHILIPS",PR!$AZ330,IF(F332="RANBAXY",PR!$BA330,IF(F332="REALS",PR!$BB330,IF(F332="ROYAL",PR!$BC330,IF(F332="SAM",PR!$BD330,IF(F332="SEAGREEN",PR!$BE330,IF(F332="SKG",PR!$BF330,IF(F332="TAH",PR!$BG330,IF(F332="TAYLEK",PR!$BH330,IF(F332="TEMITA",PR!$BI330,IF(F332="THL",PR!$BJ330,IF(F332="UBASTIC",PR!$BK330,IF(F332="UNION",PR!$BL330,IF(F332="UNIQUE",PR!$BM330,IF(F332="VIXA",PR!$BN330,IF(F332="WWCV",PR!$BO330,IF(F332="ZOLON",PR!$BP330,"-"))))))))))))))))))))))))))))))))))))))))))))))))))))))))))))))))</f>
        <v>1670</v>
      </c>
      <c r="F332" s="102" t="str">
        <f>EV!L411</f>
        <v>ALPHA</v>
      </c>
      <c r="G332" s="108">
        <f>IF(H332="ALPHA",PR!$E330,IF(H332="ASSENE",PR!$F330,IF(H332="BIOFEM",PR!$G330,IF(H332="BIOMED",PR!$H330,IF(H332="CHI",PR!$I330,IF(H332="CLARION",PR!$J330,IF(H332="CODIX",PR!$K330,IF(H332="COSMADE",PR!$L330,IF(H332="SANCON",PR!$M330,IF(H332="DEVON",PR!$N330,IF(H332="DORTEMAG",PR!$O330,IF(H332="DGF",PR!$P330,IF(H332="DYNAMIC",PR!$Q330,IF(H332="EMZOR",PR!$R330,IF(H332="EUMATT",PR!$S330,IF(H332="FIDSON",PR!$T330,IF(H332="FCGLOBAL",PR!$U330,IF(H332="GENEITH",PR!$V330,IF(H332="GINOS",PR!$W330,IF(H332="GSK",PR!$X330,IF(H332="GLOBORG",PR!$Y330,IF(H332="GOODNEWS",PR!$Z330,IF(H332="GREENLIFE",PR!$AA330,IF(H332="HLINE",PR!$AB330,IF(H332="ROTECH",PR!$AC330,IF(H332="ISN",PR!$AD330,IF(H332="JAWA",PR!$AE330,IF(H332="LAYO",PR!$AF330,IF(H332="LEADWAY",PR!$AG330,IF(H332="LHV",PR!$AH330,IF(H332="MANOLA",PR!$AI330,IF(H332="MARCSON",PR!$AJ330,IF(H332="M&amp;B",PR!$AK330,IF(H332="MTRUST",PR!$AL330,IF(H332="MWORLD",PR!$AM330,IF(H332="MEGA",PR!$AN330,IF(H332="MICRONOVA",PR!$AO330,IF(H332="MFLASH",PR!$AP330,IF(H332="MORISON",PR!$AQ330,IF(H332="NEMEL",PR!$AR330,IF(H332="NHP",PR!$AS330,IF(H332="NHC",PR!$AT330,IF(H332="OLEAF",PR!$AU330,IF(H332="OCULUS",PR!$AV330,IF(H332="PACIFIC",PR!$AW330,IF(H332="PHAMATEX",PR!$AX330,IF(H332="PETHICS",PR!$AY330,IF(H332="PHILIPS",PR!$AZ330,IF(H332="RANBAXY",PR!$BA330,IF(H332="REALS",PR!$BB330,IF(H332="ROYAL",PR!$BC330,IF(H332="SAM",PR!$BD330,IF(H332="SEAGREEN",PR!$BE330,IF(H332="SKG",PR!$BF330,IF(H332="TAH",PR!$BG330,IF(H332="TAYLEK",PR!$BH330,IF(H332="TEMITA",PR!$BI330,IF(H332="THL",PR!$BJ330,IF(H332="UBASTIC",PR!$BK330,IF(H332="UNION",PR!$BL330,IF(H332="UNIQUE",PR!$BM330,IF(H332="VIXA",PR!$BN330,IF(H332="WWCV",PR!$BO330,IF(H332="ZOLON",PR!$BP330,"-"))))))))))))))))))))))))))))))))))))))))))))))))))))))))))))))))</f>
        <v>1800</v>
      </c>
      <c r="H332" s="102" t="str">
        <f>EV!M411</f>
        <v>FIDSON</v>
      </c>
      <c r="I332" s="108">
        <f>IF(J332="ALPHA",PR!$E330,IF(J332="ASSENE",PR!$F330,IF(J332="BIOFEM",PR!$G330,IF(J332="BIOMED",PR!$H330,IF(J332="CHI",PR!$I330,IF(J332="CLARION",PR!$J330,IF(J332="CODIX",PR!$K330,IF(J332="COSMADE",PR!$L330,IF(J332="SANCON",PR!$M330,IF(J332="DEVON",PR!$N330,IF(J332="DORTEMAG",PR!$O330,IF(J332="DGF",PR!$P330,IF(J332="DYNAMIC",PR!$Q330,IF(J332="EMZOR",PR!$R330,IF(J332="EUMATT",PR!$S330,IF(J332="FIDSON",PR!$T330,IF(J332="FCGLOBAL",PR!$U330,IF(J332="GENEITH",PR!$V330,IF(J332="GINOS",PR!$W330,IF(J332="GSK",PR!$X330,IF(J332="GLOBORG",PR!$Y330,IF(J332="GOODNEWS",PR!$Z330,IF(J332="GREENLIFE",PR!$AA330,IF(J332="HLINE",PR!$AB330,IF(J332="ROTECH",PR!$AC330,IF(J332="ISN",PR!$AD330,IF(J332="JAWA",PR!$AE330,IF(J332="LAYO",PR!$AF330,IF(J332="LEADWAY",PR!$AG330,IF(J332="LHV",PR!$AH330,IF(J332="MANOLA",PR!$AI330,IF(J332="MARCSON",PR!$AJ330,IF(J332="M&amp;B",PR!$AK330,IF(J332="MTRUST",PR!$AL330,IF(J332="MWORLD",PR!$AM330,IF(J332="MEGA",PR!$AN330,IF(J332="MICRONOVA",PR!$AO330,IF(J332="MFLASH",PR!$AP330,IF(J332="MORISON",PR!$AQ330,IF(J332="NEMEL",PR!$AR330,IF(J332="NHP",PR!$AS330,IF(J332="NHC",PR!$AT330,IF(J332="OLEAF",PR!$AU330,IF(J332="OCULUS",PR!$AV330,IF(J332="PACIFIC",PR!$AW330,IF(J332="PHAMATEX",PR!$AX330,IF(J332="PETHICS",PR!$AY330,IF(J332="PHILIPS",PR!$AZ330,IF(J332="RANBAXY",PR!$BA330,IF(J332="REALS",PR!$BB330,IF(J332="ROYAL",PR!$BC330,IF(J332="SAM",PR!$BD330,IF(J332="SEAGREEN",PR!$BE330,IF(J332="SKG",PR!$BF330,IF(J332="TAH",PR!$BG330,IF(J332="TAYLEK",PR!$BH330,IF(J332="TEMITA",PR!$BI330,IF(J332="THL",PR!$BJ330,IF(J332="UBASTIC",PR!$BK330,IF(J332="UNION",PR!$BL330,IF(J332="UNIQUE",PR!$BM330,IF(J332="VIXA",PR!$BN330,IF(J332="WWCV",PR!$BO330,IF(J332="ZOLON",PR!$BP330,"-"))))))))))))))))))))))))))))))))))))))))))))))))))))))))))))))))</f>
        <v>1875</v>
      </c>
      <c r="J332" s="102" t="str">
        <f>EV!N411</f>
        <v>CHI</v>
      </c>
      <c r="K332" s="433" t="s">
        <v>2138</v>
      </c>
      <c r="L332" s="183" t="str">
        <f>IF(K332&gt;0,IF(K332="ALPHA",PR!$E330,IF(K332="ASSENE",PR!$F330,IF(K332="BIOFEM",PR!$G330,IF(K332="BIOMED",PR!$H330,IF(K332="CHI",PR!$I330,IF(K332="CLARION",PR!$J330,IF(K332="CODIX",PR!$K330,IF(K332="COSMADE",PR!$L330,IF(K332="SANCON",PR!$M330,IF(K332="DEVON",PR!$N330,IF(K332="DORTEMAG",PR!$O330,IF(K332="DGF",PR!$P330,IF(K332="DYNAMIC",PR!$Q330,IF(K332="EMZOR",PR!$R330,IF(K332="EUMATT",PR!$S330,IF(K332="FIDSON",PR!$T330,IF(K332="FCGLOBAL",PR!$U330,IF(K332="GENEITH",PR!$V330,IF(K332="GINOS",PR!$W330,IF(K332="GSK",PR!$X330,IF(K332="GLOBORG",PR!$Y330,IF(K332="GOODNEWS",PR!$Z330,IF(K332="GREENLIFE",PR!$AA330,IF(K332="HLINE",PR!$AB330,IF(K332="ROTECH",PR!$AC330,IF(K332="ISN",PR!$AD330,IF(K332="JAWA",PR!$AE330,IF(K332="LAYO",PR!$AF330,IF(K332="LEADWAY",PR!$AG330,IF(K332="LHV",PR!$AH330,IF(K332="MANOLA",PR!$AI330,IF(K332="MARCSON",PR!$AJ330,IF(K332="M&amp;B",PR!$AK330,IF(K332="MTRUST",PR!$AL330,IF(K332="MWORLD",PR!$AM330,IF(K332="MEGA",PR!$AN330,IF(K332="MICRONOVA",PR!$AO330,IF(K332="MFLASH",PR!$AP330,IF(K332="MORISON",PR!$AQ330,IF(K332="NEMEL",PR!$AR330,IF(K332="NHP",PR!$AS330,IF(K332="NHC",PR!$AT330,IF(K332="OLEAF",PR!$AU330,IF(K332="OCULUS",PR!$AV330,IF(K332="PACIFIC",PR!$AW330,IF(K332="PHAMATEX",PR!$AX330,IF(K332="PETHICS",PR!$AY330,IF(K332="PHILIPS",PR!$AZ330,IF(K332="RANBAXY",PR!$BA330,IF(K332="REALS",PR!$BB330,IF(K332="ROYAL",PR!$BC330,IF(K332="SAM",PR!$BD330,IF(K332="SEAGREEN",PR!$BE330,IF(K332="SKG",PR!$BF330,IF(K332="TAH",PR!$BG330,IF(K332="TAYLEK",PR!$BH330,IF(K332="TEMITA",PR!$BI330,IF(K332="THL",PR!$BJ330,IF(K332="UBASTIC",PR!$BK330,IF(K332="UNION",PR!$BL330,IF(K332="UNIQUE",PR!$BM330,IF(K332="VIXA",PR!$BN330,IF(K332="WWCV",PR!$BO330,IF(K332="ZOLON",PR!$BP330,"-")))))))))))))))))))))))))))))))))))))))))))))))))))))))))))))))))</f>
        <v>-</v>
      </c>
    </row>
    <row r="333" spans="1:12" ht="18.75" x14ac:dyDescent="0.3">
      <c r="A333" s="430">
        <f>PR!A331</f>
        <v>301</v>
      </c>
      <c r="B333" s="15" t="str">
        <f>PR!B331</f>
        <v>ETHAMSYLATE  TAB</v>
      </c>
      <c r="C333" s="113">
        <f>PR!D331</f>
        <v>20</v>
      </c>
      <c r="D333" s="113">
        <f>PR!C331</f>
        <v>60</v>
      </c>
      <c r="E333" s="108" t="str">
        <f>IF(F333="ALPHA",PR!$E331,IF(F333="ASSENE",PR!$F331,IF(F333="BIOFEM",PR!$G331,IF(F333="BIOMED",PR!$H331,IF(F333="CHI",PR!$I331,IF(F333="CLARION",PR!$J331,IF(F333="CODIX",PR!$K331,IF(F333="COSMADE",PR!$L331,IF(F333="SANCON",PR!$M331,IF(F333="DEVON",PR!$N331,IF(F333="DORTEMAG",PR!$O331,IF(F333="DGF",PR!$P331,IF(F333="DYNAMIC",PR!$Q331,IF(F333="EMZOR",PR!$R331,IF(F333="EUMATT",PR!$S331,IF(F333="FIDSON",PR!$T331,IF(F333="FCGLOBAL",PR!$U331,IF(F333="GENEITH",PR!$V331,IF(F333="GINOS",PR!$W331,IF(F333="GSK",PR!$X331,IF(F333="GLOBORG",PR!$Y331,IF(F333="GOODNEWS",PR!$Z331,IF(F333="GREENLIFE",PR!$AA331,IF(F333="HLINE",PR!$AB331,IF(F333="ROTECH",PR!$AC331,IF(F333="ISN",PR!$AD331,IF(F333="JAWA",PR!$AE331,IF(F333="LAYO",PR!$AF331,IF(F333="LEADWAY",PR!$AG331,IF(F333="LHV",PR!$AH331,IF(F333="MANOLA",PR!$AI331,IF(F333="MARCSON",PR!$AJ331,IF(F333="M&amp;B",PR!$AK331,IF(F333="MTRUST",PR!$AL331,IF(F333="MWORLD",PR!$AM331,IF(F333="MEGA",PR!$AN331,IF(F333="MICRONOVA",PR!$AO331,IF(F333="MFLASH",PR!$AP331,IF(F333="MORISON",PR!$AQ331,IF(F333="NEMEL",PR!$AR331,IF(F333="NHP",PR!$AS331,IF(F333="NHC",PR!$AT331,IF(F333="OLEAF",PR!$AU331,IF(F333="OCULUS",PR!$AV331,IF(F333="PACIFIC",PR!$AW331,IF(F333="PHAMATEX",PR!$AX331,IF(F333="PETHICS",PR!$AY331,IF(F333="PHILIPS",PR!$AZ331,IF(F333="RANBAXY",PR!$BA331,IF(F333="REALS",PR!$BB331,IF(F333="ROYAL",PR!$BC331,IF(F333="SAM",PR!$BD331,IF(F333="SEAGREEN",PR!$BE331,IF(F333="SKG",PR!$BF331,IF(F333="TAH",PR!$BG331,IF(F333="TAYLEK",PR!$BH331,IF(F333="TEMITA",PR!$BI331,IF(F333="THL",PR!$BJ331,IF(F333="UBASTIC",PR!$BK331,IF(F333="UNION",PR!$BL331,IF(F333="UNIQUE",PR!$BM331,IF(F333="VIXA",PR!$BN331,IF(F333="WWCV",PR!$BO331,IF(F333="ZOLON",PR!$BP331,"-"))))))))))))))))))))))))))))))))))))))))))))))))))))))))))))))))</f>
        <v>-</v>
      </c>
      <c r="F333" s="102">
        <f>EV!L437</f>
        <v>0</v>
      </c>
      <c r="G333" s="108" t="str">
        <f>IF(H333="ALPHA",PR!$E331,IF(H333="ASSENE",PR!$F331,IF(H333="BIOFEM",PR!$G331,IF(H333="BIOMED",PR!$H331,IF(H333="CHI",PR!$I331,IF(H333="CLARION",PR!$J331,IF(H333="CODIX",PR!$K331,IF(H333="COSMADE",PR!$L331,IF(H333="SANCON",PR!$M331,IF(H333="DEVON",PR!$N331,IF(H333="DORTEMAG",PR!$O331,IF(H333="DGF",PR!$P331,IF(H333="DYNAMIC",PR!$Q331,IF(H333="EMZOR",PR!$R331,IF(H333="EUMATT",PR!$S331,IF(H333="FIDSON",PR!$T331,IF(H333="FCGLOBAL",PR!$U331,IF(H333="GENEITH",PR!$V331,IF(H333="GINOS",PR!$W331,IF(H333="GSK",PR!$X331,IF(H333="GLOBORG",PR!$Y331,IF(H333="GOODNEWS",PR!$Z331,IF(H333="GREENLIFE",PR!$AA331,IF(H333="HLINE",PR!$AB331,IF(H333="ROTECH",PR!$AC331,IF(H333="ISN",PR!$AD331,IF(H333="JAWA",PR!$AE331,IF(H333="LAYO",PR!$AF331,IF(H333="LEADWAY",PR!$AG331,IF(H333="LHV",PR!$AH331,IF(H333="MANOLA",PR!$AI331,IF(H333="MARCSON",PR!$AJ331,IF(H333="M&amp;B",PR!$AK331,IF(H333="MTRUST",PR!$AL331,IF(H333="MWORLD",PR!$AM331,IF(H333="MEGA",PR!$AN331,IF(H333="MICRONOVA",PR!$AO331,IF(H333="MFLASH",PR!$AP331,IF(H333="MORISON",PR!$AQ331,IF(H333="NEMEL",PR!$AR331,IF(H333="NHP",PR!$AS331,IF(H333="NHC",PR!$AT331,IF(H333="OLEAF",PR!$AU331,IF(H333="OCULUS",PR!$AV331,IF(H333="PACIFIC",PR!$AW331,IF(H333="PHAMATEX",PR!$AX331,IF(H333="PETHICS",PR!$AY331,IF(H333="PHILIPS",PR!$AZ331,IF(H333="RANBAXY",PR!$BA331,IF(H333="REALS",PR!$BB331,IF(H333="ROYAL",PR!$BC331,IF(H333="SAM",PR!$BD331,IF(H333="SEAGREEN",PR!$BE331,IF(H333="SKG",PR!$BF331,IF(H333="TAH",PR!$BG331,IF(H333="TAYLEK",PR!$BH331,IF(H333="TEMITA",PR!$BI331,IF(H333="THL",PR!$BJ331,IF(H333="UBASTIC",PR!$BK331,IF(H333="UNION",PR!$BL331,IF(H333="UNIQUE",PR!$BM331,IF(H333="VIXA",PR!$BN331,IF(H333="WWCV",PR!$BO331,IF(H333="ZOLON",PR!$BP331,"-"))))))))))))))))))))))))))))))))))))))))))))))))))))))))))))))))</f>
        <v>-</v>
      </c>
      <c r="H333" s="102">
        <f>EV!M437</f>
        <v>0</v>
      </c>
      <c r="I333" s="108" t="str">
        <f>IF(J333="ALPHA",PR!$E331,IF(J333="ASSENE",PR!$F331,IF(J333="BIOFEM",PR!$G331,IF(J333="BIOMED",PR!$H331,IF(J333="CHI",PR!$I331,IF(J333="CLARION",PR!$J331,IF(J333="CODIX",PR!$K331,IF(J333="COSMADE",PR!$L331,IF(J333="SANCON",PR!$M331,IF(J333="DEVON",PR!$N331,IF(J333="DORTEMAG",PR!$O331,IF(J333="DGF",PR!$P331,IF(J333="DYNAMIC",PR!$Q331,IF(J333="EMZOR",PR!$R331,IF(J333="EUMATT",PR!$S331,IF(J333="FIDSON",PR!$T331,IF(J333="FCGLOBAL",PR!$U331,IF(J333="GENEITH",PR!$V331,IF(J333="GINOS",PR!$W331,IF(J333="GSK",PR!$X331,IF(J333="GLOBORG",PR!$Y331,IF(J333="GOODNEWS",PR!$Z331,IF(J333="GREENLIFE",PR!$AA331,IF(J333="HLINE",PR!$AB331,IF(J333="ROTECH",PR!$AC331,IF(J333="ISN",PR!$AD331,IF(J333="JAWA",PR!$AE331,IF(J333="LAYO",PR!$AF331,IF(J333="LEADWAY",PR!$AG331,IF(J333="LHV",PR!$AH331,IF(J333="MANOLA",PR!$AI331,IF(J333="MARCSON",PR!$AJ331,IF(J333="M&amp;B",PR!$AK331,IF(J333="MTRUST",PR!$AL331,IF(J333="MWORLD",PR!$AM331,IF(J333="MEGA",PR!$AN331,IF(J333="MICRONOVA",PR!$AO331,IF(J333="MFLASH",PR!$AP331,IF(J333="MORISON",PR!$AQ331,IF(J333="NEMEL",PR!$AR331,IF(J333="NHP",PR!$AS331,IF(J333="NHC",PR!$AT331,IF(J333="OLEAF",PR!$AU331,IF(J333="OCULUS",PR!$AV331,IF(J333="PACIFIC",PR!$AW331,IF(J333="PHAMATEX",PR!$AX331,IF(J333="PETHICS",PR!$AY331,IF(J333="PHILIPS",PR!$AZ331,IF(J333="RANBAXY",PR!$BA331,IF(J333="REALS",PR!$BB331,IF(J333="ROYAL",PR!$BC331,IF(J333="SAM",PR!$BD331,IF(J333="SEAGREEN",PR!$BE331,IF(J333="SKG",PR!$BF331,IF(J333="TAH",PR!$BG331,IF(J333="TAYLEK",PR!$BH331,IF(J333="TEMITA",PR!$BI331,IF(J333="THL",PR!$BJ331,IF(J333="UBASTIC",PR!$BK331,IF(J333="UNION",PR!$BL331,IF(J333="UNIQUE",PR!$BM331,IF(J333="VIXA",PR!$BN331,IF(J333="WWCV",PR!$BO331,IF(J333="ZOLON",PR!$BP331,"-"))))))))))))))))))))))))))))))))))))))))))))))))))))))))))))))))</f>
        <v>-</v>
      </c>
      <c r="J333" s="102">
        <f>EV!N437</f>
        <v>0</v>
      </c>
      <c r="K333" s="433"/>
      <c r="L333" s="183" t="b">
        <f>IF(K333&gt;0,IF(K333="ALPHA",PR!$E331,IF(K333="ASSENE",PR!$F331,IF(K333="BIOFEM",PR!$G331,IF(K333="BIOMED",PR!$H331,IF(K333="CHI",PR!$I331,IF(K333="CLARION",PR!$J331,IF(K333="CODIX",PR!$K331,IF(K333="COSMADE",PR!$L331,IF(K333="SANCON",PR!$M331,IF(K333="DEVON",PR!$N331,IF(K333="DORTEMAG",PR!$O331,IF(K333="DGF",PR!$P331,IF(K333="DYNAMIC",PR!$Q331,IF(K333="EMZOR",PR!$R331,IF(K333="EUMATT",PR!$S331,IF(K333="FIDSON",PR!$T331,IF(K333="FCGLOBAL",PR!$U331,IF(K333="GENEITH",PR!$V331,IF(K333="GINOS",PR!$W331,IF(K333="GSK",PR!$X331,IF(K333="GLOBORG",PR!$Y331,IF(K333="GOODNEWS",PR!$Z331,IF(K333="GREENLIFE",PR!$AA331,IF(K333="HLINE",PR!$AB331,IF(K333="ROTECH",PR!$AC331,IF(K333="ISN",PR!$AD331,IF(K333="JAWA",PR!$AE331,IF(K333="LAYO",PR!$AF331,IF(K333="LEADWAY",PR!$AG331,IF(K333="LHV",PR!$AH331,IF(K333="MANOLA",PR!$AI331,IF(K333="MARCSON",PR!$AJ331,IF(K333="M&amp;B",PR!$AK331,IF(K333="MTRUST",PR!$AL331,IF(K333="MWORLD",PR!$AM331,IF(K333="MEGA",PR!$AN331,IF(K333="MICRONOVA",PR!$AO331,IF(K333="MFLASH",PR!$AP331,IF(K333="MORISON",PR!$AQ331,IF(K333="NEMEL",PR!$AR331,IF(K333="NHP",PR!$AS331,IF(K333="NHC",PR!$AT331,IF(K333="OLEAF",PR!$AU331,IF(K333="OCULUS",PR!$AV331,IF(K333="PACIFIC",PR!$AW331,IF(K333="PHAMATEX",PR!$AX331,IF(K333="PETHICS",PR!$AY331,IF(K333="PHILIPS",PR!$AZ331,IF(K333="RANBAXY",PR!$BA331,IF(K333="REALS",PR!$BB331,IF(K333="ROYAL",PR!$BC331,IF(K333="SAM",PR!$BD331,IF(K333="SEAGREEN",PR!$BE331,IF(K333="SKG",PR!$BF331,IF(K333="TAH",PR!$BG331,IF(K333="TAYLEK",PR!$BH331,IF(K333="TEMITA",PR!$BI331,IF(K333="THL",PR!$BJ331,IF(K333="UBASTIC",PR!$BK331,IF(K333="UNION",PR!$BL331,IF(K333="UNIQUE",PR!$BM331,IF(K333="VIXA",PR!$BN331,IF(K333="WWCV",PR!$BO331,IF(K333="ZOLON",PR!$BP331,"-")))))))))))))))))))))))))))))))))))))))))))))))))))))))))))))))))</f>
        <v>0</v>
      </c>
    </row>
    <row r="334" spans="1:12" ht="18.75" x14ac:dyDescent="0.3">
      <c r="A334" s="430">
        <f>PR!A332</f>
        <v>302</v>
      </c>
      <c r="B334" s="15" t="str">
        <f>PR!B332</f>
        <v>ETHAMSYLATE 250MG/2ML INJ</v>
      </c>
      <c r="C334" s="113" t="str">
        <f>PR!D332</f>
        <v>AMP</v>
      </c>
      <c r="D334" s="113">
        <f>PR!C332</f>
        <v>100</v>
      </c>
      <c r="E334" s="108" t="str">
        <f>IF(F334="ALPHA",PR!$E332,IF(F334="ASSENE",PR!$F332,IF(F334="BIOFEM",PR!$G332,IF(F334="BIOMED",PR!$H332,IF(F334="CHI",PR!$I332,IF(F334="CLARION",PR!$J332,IF(F334="CODIX",PR!$K332,IF(F334="COSMADE",PR!$L332,IF(F334="SANCON",PR!$M332,IF(F334="DEVON",PR!$N332,IF(F334="DORTEMAG",PR!$O332,IF(F334="DGF",PR!$P332,IF(F334="DYNAMIC",PR!$Q332,IF(F334="EMZOR",PR!$R332,IF(F334="EUMATT",PR!$S332,IF(F334="FIDSON",PR!$T332,IF(F334="FCGLOBAL",PR!$U332,IF(F334="GENEITH",PR!$V332,IF(F334="GINOS",PR!$W332,IF(F334="GSK",PR!$X332,IF(F334="GLOBORG",PR!$Y332,IF(F334="GOODNEWS",PR!$Z332,IF(F334="GREENLIFE",PR!$AA332,IF(F334="HLINE",PR!$AB332,IF(F334="ROTECH",PR!$AC332,IF(F334="ISN",PR!$AD332,IF(F334="JAWA",PR!$AE332,IF(F334="LAYO",PR!$AF332,IF(F334="LEADWAY",PR!$AG332,IF(F334="LHV",PR!$AH332,IF(F334="MANOLA",PR!$AI332,IF(F334="MARCSON",PR!$AJ332,IF(F334="M&amp;B",PR!$AK332,IF(F334="MTRUST",PR!$AL332,IF(F334="MWORLD",PR!$AM332,IF(F334="MEGA",PR!$AN332,IF(F334="MICRONOVA",PR!$AO332,IF(F334="MFLASH",PR!$AP332,IF(F334="MORISON",PR!$AQ332,IF(F334="NEMEL",PR!$AR332,IF(F334="NHP",PR!$AS332,IF(F334="NHC",PR!$AT332,IF(F334="OLEAF",PR!$AU332,IF(F334="OCULUS",PR!$AV332,IF(F334="PACIFIC",PR!$AW332,IF(F334="PHAMATEX",PR!$AX332,IF(F334="PETHICS",PR!$AY332,IF(F334="PHILIPS",PR!$AZ332,IF(F334="RANBAXY",PR!$BA332,IF(F334="REALS",PR!$BB332,IF(F334="ROYAL",PR!$BC332,IF(F334="SAM",PR!$BD332,IF(F334="SEAGREEN",PR!$BE332,IF(F334="SKG",PR!$BF332,IF(F334="TAH",PR!$BG332,IF(F334="TAYLEK",PR!$BH332,IF(F334="TEMITA",PR!$BI332,IF(F334="THL",PR!$BJ332,IF(F334="UBASTIC",PR!$BK332,IF(F334="UNION",PR!$BL332,IF(F334="UNIQUE",PR!$BM332,IF(F334="VIXA",PR!$BN332,IF(F334="WWCV",PR!$BO332,IF(F334="ZOLON",PR!$BP332,"-"))))))))))))))))))))))))))))))))))))))))))))))))))))))))))))))))</f>
        <v>-</v>
      </c>
      <c r="F334" s="102">
        <f>EV!L438</f>
        <v>0</v>
      </c>
      <c r="G334" s="108" t="str">
        <f>IF(H334="ALPHA",PR!$E332,IF(H334="ASSENE",PR!$F332,IF(H334="BIOFEM",PR!$G332,IF(H334="BIOMED",PR!$H332,IF(H334="CHI",PR!$I332,IF(H334="CLARION",PR!$J332,IF(H334="CODIX",PR!$K332,IF(H334="COSMADE",PR!$L332,IF(H334="SANCON",PR!$M332,IF(H334="DEVON",PR!$N332,IF(H334="DORTEMAG",PR!$O332,IF(H334="DGF",PR!$P332,IF(H334="DYNAMIC",PR!$Q332,IF(H334="EMZOR",PR!$R332,IF(H334="EUMATT",PR!$S332,IF(H334="FIDSON",PR!$T332,IF(H334="FCGLOBAL",PR!$U332,IF(H334="GENEITH",PR!$V332,IF(H334="GINOS",PR!$W332,IF(H334="GSK",PR!$X332,IF(H334="GLOBORG",PR!$Y332,IF(H334="GOODNEWS",PR!$Z332,IF(H334="GREENLIFE",PR!$AA332,IF(H334="HLINE",PR!$AB332,IF(H334="ROTECH",PR!$AC332,IF(H334="ISN",PR!$AD332,IF(H334="JAWA",PR!$AE332,IF(H334="LAYO",PR!$AF332,IF(H334="LEADWAY",PR!$AG332,IF(H334="LHV",PR!$AH332,IF(H334="MANOLA",PR!$AI332,IF(H334="MARCSON",PR!$AJ332,IF(H334="M&amp;B",PR!$AK332,IF(H334="MTRUST",PR!$AL332,IF(H334="MWORLD",PR!$AM332,IF(H334="MEGA",PR!$AN332,IF(H334="MICRONOVA",PR!$AO332,IF(H334="MFLASH",PR!$AP332,IF(H334="MORISON",PR!$AQ332,IF(H334="NEMEL",PR!$AR332,IF(H334="NHP",PR!$AS332,IF(H334="NHC",PR!$AT332,IF(H334="OLEAF",PR!$AU332,IF(H334="OCULUS",PR!$AV332,IF(H334="PACIFIC",PR!$AW332,IF(H334="PHAMATEX",PR!$AX332,IF(H334="PETHICS",PR!$AY332,IF(H334="PHILIPS",PR!$AZ332,IF(H334="RANBAXY",PR!$BA332,IF(H334="REALS",PR!$BB332,IF(H334="ROYAL",PR!$BC332,IF(H334="SAM",PR!$BD332,IF(H334="SEAGREEN",PR!$BE332,IF(H334="SKG",PR!$BF332,IF(H334="TAH",PR!$BG332,IF(H334="TAYLEK",PR!$BH332,IF(H334="TEMITA",PR!$BI332,IF(H334="THL",PR!$BJ332,IF(H334="UBASTIC",PR!$BK332,IF(H334="UNION",PR!$BL332,IF(H334="UNIQUE",PR!$BM332,IF(H334="VIXA",PR!$BN332,IF(H334="WWCV",PR!$BO332,IF(H334="ZOLON",PR!$BP332,"-"))))))))))))))))))))))))))))))))))))))))))))))))))))))))))))))))</f>
        <v>-</v>
      </c>
      <c r="H334" s="102">
        <f>EV!M438</f>
        <v>0</v>
      </c>
      <c r="I334" s="108" t="str">
        <f>IF(J334="ALPHA",PR!$E332,IF(J334="ASSENE",PR!$F332,IF(J334="BIOFEM",PR!$G332,IF(J334="BIOMED",PR!$H332,IF(J334="CHI",PR!$I332,IF(J334="CLARION",PR!$J332,IF(J334="CODIX",PR!$K332,IF(J334="COSMADE",PR!$L332,IF(J334="SANCON",PR!$M332,IF(J334="DEVON",PR!$N332,IF(J334="DORTEMAG",PR!$O332,IF(J334="DGF",PR!$P332,IF(J334="DYNAMIC",PR!$Q332,IF(J334="EMZOR",PR!$R332,IF(J334="EUMATT",PR!$S332,IF(J334="FIDSON",PR!$T332,IF(J334="FCGLOBAL",PR!$U332,IF(J334="GENEITH",PR!$V332,IF(J334="GINOS",PR!$W332,IF(J334="GSK",PR!$X332,IF(J334="GLOBORG",PR!$Y332,IF(J334="GOODNEWS",PR!$Z332,IF(J334="GREENLIFE",PR!$AA332,IF(J334="HLINE",PR!$AB332,IF(J334="ROTECH",PR!$AC332,IF(J334="ISN",PR!$AD332,IF(J334="JAWA",PR!$AE332,IF(J334="LAYO",PR!$AF332,IF(J334="LEADWAY",PR!$AG332,IF(J334="LHV",PR!$AH332,IF(J334="MANOLA",PR!$AI332,IF(J334="MARCSON",PR!$AJ332,IF(J334="M&amp;B",PR!$AK332,IF(J334="MTRUST",PR!$AL332,IF(J334="MWORLD",PR!$AM332,IF(J334="MEGA",PR!$AN332,IF(J334="MICRONOVA",PR!$AO332,IF(J334="MFLASH",PR!$AP332,IF(J334="MORISON",PR!$AQ332,IF(J334="NEMEL",PR!$AR332,IF(J334="NHP",PR!$AS332,IF(J334="NHC",PR!$AT332,IF(J334="OLEAF",PR!$AU332,IF(J334="OCULUS",PR!$AV332,IF(J334="PACIFIC",PR!$AW332,IF(J334="PHAMATEX",PR!$AX332,IF(J334="PETHICS",PR!$AY332,IF(J334="PHILIPS",PR!$AZ332,IF(J334="RANBAXY",PR!$BA332,IF(J334="REALS",PR!$BB332,IF(J334="ROYAL",PR!$BC332,IF(J334="SAM",PR!$BD332,IF(J334="SEAGREEN",PR!$BE332,IF(J334="SKG",PR!$BF332,IF(J334="TAH",PR!$BG332,IF(J334="TAYLEK",PR!$BH332,IF(J334="TEMITA",PR!$BI332,IF(J334="THL",PR!$BJ332,IF(J334="UBASTIC",PR!$BK332,IF(J334="UNION",PR!$BL332,IF(J334="UNIQUE",PR!$BM332,IF(J334="VIXA",PR!$BN332,IF(J334="WWCV",PR!$BO332,IF(J334="ZOLON",PR!$BP332,"-"))))))))))))))))))))))))))))))))))))))))))))))))))))))))))))))))</f>
        <v>-</v>
      </c>
      <c r="J334" s="102">
        <f>EV!N438</f>
        <v>0</v>
      </c>
      <c r="K334" s="433"/>
      <c r="L334" s="183" t="b">
        <f>IF(K334&gt;0,IF(K334="ALPHA",PR!$E332,IF(K334="ASSENE",PR!$F332,IF(K334="BIOFEM",PR!$G332,IF(K334="BIOMED",PR!$H332,IF(K334="CHI",PR!$I332,IF(K334="CLARION",PR!$J332,IF(K334="CODIX",PR!$K332,IF(K334="COSMADE",PR!$L332,IF(K334="SANCON",PR!$M332,IF(K334="DEVON",PR!$N332,IF(K334="DORTEMAG",PR!$O332,IF(K334="DGF",PR!$P332,IF(K334="DYNAMIC",PR!$Q332,IF(K334="EMZOR",PR!$R332,IF(K334="EUMATT",PR!$S332,IF(K334="FIDSON",PR!$T332,IF(K334="FCGLOBAL",PR!$U332,IF(K334="GENEITH",PR!$V332,IF(K334="GINOS",PR!$W332,IF(K334="GSK",PR!$X332,IF(K334="GLOBORG",PR!$Y332,IF(K334="GOODNEWS",PR!$Z332,IF(K334="GREENLIFE",PR!$AA332,IF(K334="HLINE",PR!$AB332,IF(K334="ROTECH",PR!$AC332,IF(K334="ISN",PR!$AD332,IF(K334="JAWA",PR!$AE332,IF(K334="LAYO",PR!$AF332,IF(K334="LEADWAY",PR!$AG332,IF(K334="LHV",PR!$AH332,IF(K334="MANOLA",PR!$AI332,IF(K334="MARCSON",PR!$AJ332,IF(K334="M&amp;B",PR!$AK332,IF(K334="MTRUST",PR!$AL332,IF(K334="MWORLD",PR!$AM332,IF(K334="MEGA",PR!$AN332,IF(K334="MICRONOVA",PR!$AO332,IF(K334="MFLASH",PR!$AP332,IF(K334="MORISON",PR!$AQ332,IF(K334="NEMEL",PR!$AR332,IF(K334="NHP",PR!$AS332,IF(K334="NHC",PR!$AT332,IF(K334="OLEAF",PR!$AU332,IF(K334="OCULUS",PR!$AV332,IF(K334="PACIFIC",PR!$AW332,IF(K334="PHAMATEX",PR!$AX332,IF(K334="PETHICS",PR!$AY332,IF(K334="PHILIPS",PR!$AZ332,IF(K334="RANBAXY",PR!$BA332,IF(K334="REALS",PR!$BB332,IF(K334="ROYAL",PR!$BC332,IF(K334="SAM",PR!$BD332,IF(K334="SEAGREEN",PR!$BE332,IF(K334="SKG",PR!$BF332,IF(K334="TAH",PR!$BG332,IF(K334="TAYLEK",PR!$BH332,IF(K334="TEMITA",PR!$BI332,IF(K334="THL",PR!$BJ332,IF(K334="UBASTIC",PR!$BK332,IF(K334="UNION",PR!$BL332,IF(K334="UNIQUE",PR!$BM332,IF(K334="VIXA",PR!$BN332,IF(K334="WWCV",PR!$BO332,IF(K334="ZOLON",PR!$BP332,"-")))))))))))))))))))))))))))))))))))))))))))))))))))))))))))))))))</f>
        <v>0</v>
      </c>
    </row>
    <row r="335" spans="1:12" ht="18.75" x14ac:dyDescent="0.3">
      <c r="A335" s="430">
        <f>PR!A333</f>
        <v>303</v>
      </c>
      <c r="B335" s="15" t="str">
        <f>PR!B333</f>
        <v>EVENING PRIMROSE</v>
      </c>
      <c r="C335" s="113">
        <f>PR!D333</f>
        <v>30</v>
      </c>
      <c r="D335" s="113">
        <f>PR!C333</f>
        <v>80</v>
      </c>
      <c r="E335" s="108">
        <f>IF(F335="ALPHA",PR!$E333,IF(F335="ASSENE",PR!$F333,IF(F335="BIOFEM",PR!$G333,IF(F335="BIOMED",PR!$H333,IF(F335="CHI",PR!$I333,IF(F335="CLARION",PR!$J333,IF(F335="CODIX",PR!$K333,IF(F335="COSMADE",PR!$L333,IF(F335="SANCON",PR!$M333,IF(F335="DEVON",PR!$N333,IF(F335="DORTEMAG",PR!$O333,IF(F335="DGF",PR!$P333,IF(F335="DYNAMIC",PR!$Q333,IF(F335="EMZOR",PR!$R333,IF(F335="EUMATT",PR!$S333,IF(F335="FIDSON",PR!$T333,IF(F335="FCGLOBAL",PR!$U333,IF(F335="GENEITH",PR!$V333,IF(F335="GINOS",PR!$W333,IF(F335="GSK",PR!$X333,IF(F335="GLOBORG",PR!$Y333,IF(F335="GOODNEWS",PR!$Z333,IF(F335="GREENLIFE",PR!$AA333,IF(F335="HLINE",PR!$AB333,IF(F335="ROTECH",PR!$AC333,IF(F335="ISN",PR!$AD333,IF(F335="JAWA",PR!$AE333,IF(F335="LAYO",PR!$AF333,IF(F335="LEADWAY",PR!$AG333,IF(F335="LHV",PR!$AH333,IF(F335="MANOLA",PR!$AI333,IF(F335="MARCSON",PR!$AJ333,IF(F335="M&amp;B",PR!$AK333,IF(F335="MTRUST",PR!$AL333,IF(F335="MWORLD",PR!$AM333,IF(F335="MEGA",PR!$AN333,IF(F335="MICRONOVA",PR!$AO333,IF(F335="MFLASH",PR!$AP333,IF(F335="MORISON",PR!$AQ333,IF(F335="NEMEL",PR!$AR333,IF(F335="NHP",PR!$AS333,IF(F335="NHC",PR!$AT333,IF(F335="OLEAF",PR!$AU333,IF(F335="OCULUS",PR!$AV333,IF(F335="PACIFIC",PR!$AW333,IF(F335="PHAMATEX",PR!$AX333,IF(F335="PETHICS",PR!$AY333,IF(F335="PHILIPS",PR!$AZ333,IF(F335="RANBAXY",PR!$BA333,IF(F335="REALS",PR!$BB333,IF(F335="ROYAL",PR!$BC333,IF(F335="SAM",PR!$BD333,IF(F335="SEAGREEN",PR!$BE333,IF(F335="SKG",PR!$BF333,IF(F335="TAH",PR!$BG333,IF(F335="TAYLEK",PR!$BH333,IF(F335="TEMITA",PR!$BI333,IF(F335="THL",PR!$BJ333,IF(F335="UBASTIC",PR!$BK333,IF(F335="UNION",PR!$BL333,IF(F335="UNIQUE",PR!$BM333,IF(F335="VIXA",PR!$BN333,IF(F335="WWCV",PR!$BO333,IF(F335="ZOLON",PR!$BP333,"-"))))))))))))))))))))))))))))))))))))))))))))))))))))))))))))))))</f>
        <v>670.64400000000001</v>
      </c>
      <c r="F335" s="102" t="str">
        <f>EV!L439</f>
        <v>EMZOR</v>
      </c>
      <c r="G335" s="108" t="str">
        <f>IF(H335="ALPHA",PR!$E333,IF(H335="ASSENE",PR!$F333,IF(H335="BIOFEM",PR!$G333,IF(H335="BIOMED",PR!$H333,IF(H335="CHI",PR!$I333,IF(H335="CLARION",PR!$J333,IF(H335="CODIX",PR!$K333,IF(H335="COSMADE",PR!$L333,IF(H335="SANCON",PR!$M333,IF(H335="DEVON",PR!$N333,IF(H335="DORTEMAG",PR!$O333,IF(H335="DGF",PR!$P333,IF(H335="DYNAMIC",PR!$Q333,IF(H335="EMZOR",PR!$R333,IF(H335="EUMATT",PR!$S333,IF(H335="FIDSON",PR!$T333,IF(H335="FCGLOBAL",PR!$U333,IF(H335="GENEITH",PR!$V333,IF(H335="GINOS",PR!$W333,IF(H335="GSK",PR!$X333,IF(H335="GLOBORG",PR!$Y333,IF(H335="GOODNEWS",PR!$Z333,IF(H335="GREENLIFE",PR!$AA333,IF(H335="HLINE",PR!$AB333,IF(H335="ROTECH",PR!$AC333,IF(H335="ISN",PR!$AD333,IF(H335="JAWA",PR!$AE333,IF(H335="LAYO",PR!$AF333,IF(H335="LEADWAY",PR!$AG333,IF(H335="LHV",PR!$AH333,IF(H335="MANOLA",PR!$AI333,IF(H335="MARCSON",PR!$AJ333,IF(H335="M&amp;B",PR!$AK333,IF(H335="MTRUST",PR!$AL333,IF(H335="MWORLD",PR!$AM333,IF(H335="MEGA",PR!$AN333,IF(H335="MICRONOVA",PR!$AO333,IF(H335="MFLASH",PR!$AP333,IF(H335="MORISON",PR!$AQ333,IF(H335="NEMEL",PR!$AR333,IF(H335="NHP",PR!$AS333,IF(H335="NHC",PR!$AT333,IF(H335="OLEAF",PR!$AU333,IF(H335="OCULUS",PR!$AV333,IF(H335="PACIFIC",PR!$AW333,IF(H335="PHAMATEX",PR!$AX333,IF(H335="PETHICS",PR!$AY333,IF(H335="PHILIPS",PR!$AZ333,IF(H335="RANBAXY",PR!$BA333,IF(H335="REALS",PR!$BB333,IF(H335="ROYAL",PR!$BC333,IF(H335="SAM",PR!$BD333,IF(H335="SEAGREEN",PR!$BE333,IF(H335="SKG",PR!$BF333,IF(H335="TAH",PR!$BG333,IF(H335="TAYLEK",PR!$BH333,IF(H335="TEMITA",PR!$BI333,IF(H335="THL",PR!$BJ333,IF(H335="UBASTIC",PR!$BK333,IF(H335="UNION",PR!$BL333,IF(H335="UNIQUE",PR!$BM333,IF(H335="VIXA",PR!$BN333,IF(H335="WWCV",PR!$BO333,IF(H335="ZOLON",PR!$BP333,"-"))))))))))))))))))))))))))))))))))))))))))))))))))))))))))))))))</f>
        <v>-</v>
      </c>
      <c r="H335" s="102">
        <f>EV!M439</f>
        <v>0</v>
      </c>
      <c r="I335" s="108" t="str">
        <f>IF(J335="ALPHA",PR!$E333,IF(J335="ASSENE",PR!$F333,IF(J335="BIOFEM",PR!$G333,IF(J335="BIOMED",PR!$H333,IF(J335="CHI",PR!$I333,IF(J335="CLARION",PR!$J333,IF(J335="CODIX",PR!$K333,IF(J335="COSMADE",PR!$L333,IF(J335="SANCON",PR!$M333,IF(J335="DEVON",PR!$N333,IF(J335="DORTEMAG",PR!$O333,IF(J335="DGF",PR!$P333,IF(J335="DYNAMIC",PR!$Q333,IF(J335="EMZOR",PR!$R333,IF(J335="EUMATT",PR!$S333,IF(J335="FIDSON",PR!$T333,IF(J335="FCGLOBAL",PR!$U333,IF(J335="GENEITH",PR!$V333,IF(J335="GINOS",PR!$W333,IF(J335="GSK",PR!$X333,IF(J335="GLOBORG",PR!$Y333,IF(J335="GOODNEWS",PR!$Z333,IF(J335="GREENLIFE",PR!$AA333,IF(J335="HLINE",PR!$AB333,IF(J335="ROTECH",PR!$AC333,IF(J335="ISN",PR!$AD333,IF(J335="JAWA",PR!$AE333,IF(J335="LAYO",PR!$AF333,IF(J335="LEADWAY",PR!$AG333,IF(J335="LHV",PR!$AH333,IF(J335="MANOLA",PR!$AI333,IF(J335="MARCSON",PR!$AJ333,IF(J335="M&amp;B",PR!$AK333,IF(J335="MTRUST",PR!$AL333,IF(J335="MWORLD",PR!$AM333,IF(J335="MEGA",PR!$AN333,IF(J335="MICRONOVA",PR!$AO333,IF(J335="MFLASH",PR!$AP333,IF(J335="MORISON",PR!$AQ333,IF(J335="NEMEL",PR!$AR333,IF(J335="NHP",PR!$AS333,IF(J335="NHC",PR!$AT333,IF(J335="OLEAF",PR!$AU333,IF(J335="OCULUS",PR!$AV333,IF(J335="PACIFIC",PR!$AW333,IF(J335="PHAMATEX",PR!$AX333,IF(J335="PETHICS",PR!$AY333,IF(J335="PHILIPS",PR!$AZ333,IF(J335="RANBAXY",PR!$BA333,IF(J335="REALS",PR!$BB333,IF(J335="ROYAL",PR!$BC333,IF(J335="SAM",PR!$BD333,IF(J335="SEAGREEN",PR!$BE333,IF(J335="SKG",PR!$BF333,IF(J335="TAH",PR!$BG333,IF(J335="TAYLEK",PR!$BH333,IF(J335="TEMITA",PR!$BI333,IF(J335="THL",PR!$BJ333,IF(J335="UBASTIC",PR!$BK333,IF(J335="UNION",PR!$BL333,IF(J335="UNIQUE",PR!$BM333,IF(J335="VIXA",PR!$BN333,IF(J335="WWCV",PR!$BO333,IF(J335="ZOLON",PR!$BP333,"-"))))))))))))))))))))))))))))))))))))))))))))))))))))))))))))))))</f>
        <v>-</v>
      </c>
      <c r="J335" s="102">
        <f>EV!N439</f>
        <v>0</v>
      </c>
      <c r="K335" s="433"/>
      <c r="L335" s="183" t="b">
        <f>IF(K335&gt;0,IF(K335="ALPHA",PR!$E333,IF(K335="ASSENE",PR!$F333,IF(K335="BIOFEM",PR!$G333,IF(K335="BIOMED",PR!$H333,IF(K335="CHI",PR!$I333,IF(K335="CLARION",PR!$J333,IF(K335="CODIX",PR!$K333,IF(K335="COSMADE",PR!$L333,IF(K335="SANCON",PR!$M333,IF(K335="DEVON",PR!$N333,IF(K335="DORTEMAG",PR!$O333,IF(K335="DGF",PR!$P333,IF(K335="DYNAMIC",PR!$Q333,IF(K335="EMZOR",PR!$R333,IF(K335="EUMATT",PR!$S333,IF(K335="FIDSON",PR!$T333,IF(K335="FCGLOBAL",PR!$U333,IF(K335="GENEITH",PR!$V333,IF(K335="GINOS",PR!$W333,IF(K335="GSK",PR!$X333,IF(K335="GLOBORG",PR!$Y333,IF(K335="GOODNEWS",PR!$Z333,IF(K335="GREENLIFE",PR!$AA333,IF(K335="HLINE",PR!$AB333,IF(K335="ROTECH",PR!$AC333,IF(K335="ISN",PR!$AD333,IF(K335="JAWA",PR!$AE333,IF(K335="LAYO",PR!$AF333,IF(K335="LEADWAY",PR!$AG333,IF(K335="LHV",PR!$AH333,IF(K335="MANOLA",PR!$AI333,IF(K335="MARCSON",PR!$AJ333,IF(K335="M&amp;B",PR!$AK333,IF(K335="MTRUST",PR!$AL333,IF(K335="MWORLD",PR!$AM333,IF(K335="MEGA",PR!$AN333,IF(K335="MICRONOVA",PR!$AO333,IF(K335="MFLASH",PR!$AP333,IF(K335="MORISON",PR!$AQ333,IF(K335="NEMEL",PR!$AR333,IF(K335="NHP",PR!$AS333,IF(K335="NHC",PR!$AT333,IF(K335="OLEAF",PR!$AU333,IF(K335="OCULUS",PR!$AV333,IF(K335="PACIFIC",PR!$AW333,IF(K335="PHAMATEX",PR!$AX333,IF(K335="PETHICS",PR!$AY333,IF(K335="PHILIPS",PR!$AZ333,IF(K335="RANBAXY",PR!$BA333,IF(K335="REALS",PR!$BB333,IF(K335="ROYAL",PR!$BC333,IF(K335="SAM",PR!$BD333,IF(K335="SEAGREEN",PR!$BE333,IF(K335="SKG",PR!$BF333,IF(K335="TAH",PR!$BG333,IF(K335="TAYLEK",PR!$BH333,IF(K335="TEMITA",PR!$BI333,IF(K335="THL",PR!$BJ333,IF(K335="UBASTIC",PR!$BK333,IF(K335="UNION",PR!$BL333,IF(K335="UNIQUE",PR!$BM333,IF(K335="VIXA",PR!$BN333,IF(K335="WWCV",PR!$BO333,IF(K335="ZOLON",PR!$BP333,"-")))))))))))))))))))))))))))))))))))))))))))))))))))))))))))))))))</f>
        <v>0</v>
      </c>
    </row>
    <row r="336" spans="1:12" ht="18.75" x14ac:dyDescent="0.3">
      <c r="A336" s="430">
        <f>PR!A334</f>
        <v>304</v>
      </c>
      <c r="B336" s="15" t="str">
        <f>PR!B334</f>
        <v>FERRIC SUCROSE COMPLEX INJ</v>
      </c>
      <c r="C336" s="113">
        <f>PR!D334</f>
        <v>5</v>
      </c>
      <c r="D336" s="113">
        <f>PR!C334</f>
        <v>100</v>
      </c>
      <c r="E336" s="108">
        <f>IF(F336="ALPHA",PR!$E334,IF(F336="ASSENE",PR!$F334,IF(F336="BIOFEM",PR!$G334,IF(F336="BIOMED",PR!$H334,IF(F336="CHI",PR!$I334,IF(F336="CLARION",PR!$J334,IF(F336="CODIX",PR!$K334,IF(F336="COSMADE",PR!$L334,IF(F336="SANCON",PR!$M334,IF(F336="DEVON",PR!$N334,IF(F336="DORTEMAG",PR!$O334,IF(F336="DGF",PR!$P334,IF(F336="DYNAMIC",PR!$Q334,IF(F336="EMZOR",PR!$R334,IF(F336="EUMATT",PR!$S334,IF(F336="FIDSON",PR!$T334,IF(F336="FCGLOBAL",PR!$U334,IF(F336="GENEITH",PR!$V334,IF(F336="GINOS",PR!$W334,IF(F336="GSK",PR!$X334,IF(F336="GLOBORG",PR!$Y334,IF(F336="GOODNEWS",PR!$Z334,IF(F336="GREENLIFE",PR!$AA334,IF(F336="HLINE",PR!$AB334,IF(F336="ROTECH",PR!$AC334,IF(F336="ISN",PR!$AD334,IF(F336="JAWA",PR!$AE334,IF(F336="LAYO",PR!$AF334,IF(F336="LEADWAY",PR!$AG334,IF(F336="LHV",PR!$AH334,IF(F336="MANOLA",PR!$AI334,IF(F336="MARCSON",PR!$AJ334,IF(F336="M&amp;B",PR!$AK334,IF(F336="MTRUST",PR!$AL334,IF(F336="MWORLD",PR!$AM334,IF(F336="MEGA",PR!$AN334,IF(F336="MICRONOVA",PR!$AO334,IF(F336="MFLASH",PR!$AP334,IF(F336="MORISON",PR!$AQ334,IF(F336="NEMEL",PR!$AR334,IF(F336="NHP",PR!$AS334,IF(F336="NHC",PR!$AT334,IF(F336="OLEAF",PR!$AU334,IF(F336="OCULUS",PR!$AV334,IF(F336="PACIFIC",PR!$AW334,IF(F336="PHAMATEX",PR!$AX334,IF(F336="PETHICS",PR!$AY334,IF(F336="PHILIPS",PR!$AZ334,IF(F336="RANBAXY",PR!$BA334,IF(F336="REALS",PR!$BB334,IF(F336="ROYAL",PR!$BC334,IF(F336="SAM",PR!$BD334,IF(F336="SEAGREEN",PR!$BE334,IF(F336="SKG",PR!$BF334,IF(F336="TAH",PR!$BG334,IF(F336="TAYLEK",PR!$BH334,IF(F336="TEMITA",PR!$BI334,IF(F336="THL",PR!$BJ334,IF(F336="UBASTIC",PR!$BK334,IF(F336="UNION",PR!$BL334,IF(F336="UNIQUE",PR!$BM334,IF(F336="VIXA",PR!$BN334,IF(F336="WWCV",PR!$BO334,IF(F336="ZOLON",PR!$BP334,"-"))))))))))))))))))))))))))))))))))))))))))))))))))))))))))))))))</f>
        <v>3200</v>
      </c>
      <c r="F336" s="102" t="str">
        <f>EV!L440</f>
        <v>PETHICS</v>
      </c>
      <c r="G336" s="108">
        <f>IF(H336="ALPHA",PR!$E334,IF(H336="ASSENE",PR!$F334,IF(H336="BIOFEM",PR!$G334,IF(H336="BIOMED",PR!$H334,IF(H336="CHI",PR!$I334,IF(H336="CLARION",PR!$J334,IF(H336="CODIX",PR!$K334,IF(H336="COSMADE",PR!$L334,IF(H336="SANCON",PR!$M334,IF(H336="DEVON",PR!$N334,IF(H336="DORTEMAG",PR!$O334,IF(H336="DGF",PR!$P334,IF(H336="DYNAMIC",PR!$Q334,IF(H336="EMZOR",PR!$R334,IF(H336="EUMATT",PR!$S334,IF(H336="FIDSON",PR!$T334,IF(H336="FCGLOBAL",PR!$U334,IF(H336="GENEITH",PR!$V334,IF(H336="GINOS",PR!$W334,IF(H336="GSK",PR!$X334,IF(H336="GLOBORG",PR!$Y334,IF(H336="GOODNEWS",PR!$Z334,IF(H336="GREENLIFE",PR!$AA334,IF(H336="HLINE",PR!$AB334,IF(H336="ROTECH",PR!$AC334,IF(H336="ISN",PR!$AD334,IF(H336="JAWA",PR!$AE334,IF(H336="LAYO",PR!$AF334,IF(H336="LEADWAY",PR!$AG334,IF(H336="LHV",PR!$AH334,IF(H336="MANOLA",PR!$AI334,IF(H336="MARCSON",PR!$AJ334,IF(H336="M&amp;B",PR!$AK334,IF(H336="MTRUST",PR!$AL334,IF(H336="MWORLD",PR!$AM334,IF(H336="MEGA",PR!$AN334,IF(H336="MICRONOVA",PR!$AO334,IF(H336="MFLASH",PR!$AP334,IF(H336="MORISON",PR!$AQ334,IF(H336="NEMEL",PR!$AR334,IF(H336="NHP",PR!$AS334,IF(H336="NHC",PR!$AT334,IF(H336="OLEAF",PR!$AU334,IF(H336="OCULUS",PR!$AV334,IF(H336="PACIFIC",PR!$AW334,IF(H336="PHAMATEX",PR!$AX334,IF(H336="PETHICS",PR!$AY334,IF(H336="PHILIPS",PR!$AZ334,IF(H336="RANBAXY",PR!$BA334,IF(H336="REALS",PR!$BB334,IF(H336="ROYAL",PR!$BC334,IF(H336="SAM",PR!$BD334,IF(H336="SEAGREEN",PR!$BE334,IF(H336="SKG",PR!$BF334,IF(H336="TAH",PR!$BG334,IF(H336="TAYLEK",PR!$BH334,IF(H336="TEMITA",PR!$BI334,IF(H336="THL",PR!$BJ334,IF(H336="UBASTIC",PR!$BK334,IF(H336="UNION",PR!$BL334,IF(H336="UNIQUE",PR!$BM334,IF(H336="VIXA",PR!$BN334,IF(H336="WWCV",PR!$BO334,IF(H336="ZOLON",PR!$BP334,"-"))))))))))))))))))))))))))))))))))))))))))))))))))))))))))))))))</f>
        <v>3400</v>
      </c>
      <c r="H336" s="102" t="str">
        <f>EV!M440</f>
        <v>EUMATT</v>
      </c>
      <c r="I336" s="108">
        <f>IF(J336="ALPHA",PR!$E334,IF(J336="ASSENE",PR!$F334,IF(J336="BIOFEM",PR!$G334,IF(J336="BIOMED",PR!$H334,IF(J336="CHI",PR!$I334,IF(J336="CLARION",PR!$J334,IF(J336="CODIX",PR!$K334,IF(J336="COSMADE",PR!$L334,IF(J336="SANCON",PR!$M334,IF(J336="DEVON",PR!$N334,IF(J336="DORTEMAG",PR!$O334,IF(J336="DGF",PR!$P334,IF(J336="DYNAMIC",PR!$Q334,IF(J336="EMZOR",PR!$R334,IF(J336="EUMATT",PR!$S334,IF(J336="FIDSON",PR!$T334,IF(J336="FCGLOBAL",PR!$U334,IF(J336="GENEITH",PR!$V334,IF(J336="GINOS",PR!$W334,IF(J336="GSK",PR!$X334,IF(J336="GLOBORG",PR!$Y334,IF(J336="GOODNEWS",PR!$Z334,IF(J336="GREENLIFE",PR!$AA334,IF(J336="HLINE",PR!$AB334,IF(J336="ROTECH",PR!$AC334,IF(J336="ISN",PR!$AD334,IF(J336="JAWA",PR!$AE334,IF(J336="LAYO",PR!$AF334,IF(J336="LEADWAY",PR!$AG334,IF(J336="LHV",PR!$AH334,IF(J336="MANOLA",PR!$AI334,IF(J336="MARCSON",PR!$AJ334,IF(J336="M&amp;B",PR!$AK334,IF(J336="MTRUST",PR!$AL334,IF(J336="MWORLD",PR!$AM334,IF(J336="MEGA",PR!$AN334,IF(J336="MICRONOVA",PR!$AO334,IF(J336="MFLASH",PR!$AP334,IF(J336="MORISON",PR!$AQ334,IF(J336="NEMEL",PR!$AR334,IF(J336="NHP",PR!$AS334,IF(J336="NHC",PR!$AT334,IF(J336="OLEAF",PR!$AU334,IF(J336="OCULUS",PR!$AV334,IF(J336="PACIFIC",PR!$AW334,IF(J336="PHAMATEX",PR!$AX334,IF(J336="PETHICS",PR!$AY334,IF(J336="PHILIPS",PR!$AZ334,IF(J336="RANBAXY",PR!$BA334,IF(J336="REALS",PR!$BB334,IF(J336="ROYAL",PR!$BC334,IF(J336="SAM",PR!$BD334,IF(J336="SEAGREEN",PR!$BE334,IF(J336="SKG",PR!$BF334,IF(J336="TAH",PR!$BG334,IF(J336="TAYLEK",PR!$BH334,IF(J336="TEMITA",PR!$BI334,IF(J336="THL",PR!$BJ334,IF(J336="UBASTIC",PR!$BK334,IF(J336="UNION",PR!$BL334,IF(J336="UNIQUE",PR!$BM334,IF(J336="VIXA",PR!$BN334,IF(J336="WWCV",PR!$BO334,IF(J336="ZOLON",PR!$BP334,"-"))))))))))))))))))))))))))))))))))))))))))))))))))))))))))))))))</f>
        <v>4000</v>
      </c>
      <c r="J336" s="102" t="str">
        <f>EV!N440</f>
        <v>HLINE</v>
      </c>
      <c r="K336" s="433" t="s">
        <v>827</v>
      </c>
      <c r="L336" s="183">
        <f>IF(K336&gt;0,IF(K336="ALPHA",PR!$E334,IF(K336="ASSENE",PR!$F334,IF(K336="BIOFEM",PR!$G334,IF(K336="BIOMED",PR!$H334,IF(K336="CHI",PR!$I334,IF(K336="CLARION",PR!$J334,IF(K336="CODIX",PR!$K334,IF(K336="COSMADE",PR!$L334,IF(K336="SANCON",PR!$M334,IF(K336="DEVON",PR!$N334,IF(K336="DORTEMAG",PR!$O334,IF(K336="DGF",PR!$P334,IF(K336="DYNAMIC",PR!$Q334,IF(K336="EMZOR",PR!$R334,IF(K336="EUMATT",PR!$S334,IF(K336="FIDSON",PR!$T334,IF(K336="FCGLOBAL",PR!$U334,IF(K336="GENEITH",PR!$V334,IF(K336="GINOS",PR!$W334,IF(K336="GSK",PR!$X334,IF(K336="GLOBORG",PR!$Y334,IF(K336="GOODNEWS",PR!$Z334,IF(K336="GREENLIFE",PR!$AA334,IF(K336="HLINE",PR!$AB334,IF(K336="ROTECH",PR!$AC334,IF(K336="ISN",PR!$AD334,IF(K336="JAWA",PR!$AE334,IF(K336="LAYO",PR!$AF334,IF(K336="LEADWAY",PR!$AG334,IF(K336="LHV",PR!$AH334,IF(K336="MANOLA",PR!$AI334,IF(K336="MARCSON",PR!$AJ334,IF(K336="M&amp;B",PR!$AK334,IF(K336="MTRUST",PR!$AL334,IF(K336="MWORLD",PR!$AM334,IF(K336="MEGA",PR!$AN334,IF(K336="MICRONOVA",PR!$AO334,IF(K336="MFLASH",PR!$AP334,IF(K336="MORISON",PR!$AQ334,IF(K336="NEMEL",PR!$AR334,IF(K336="NHP",PR!$AS334,IF(K336="NHC",PR!$AT334,IF(K336="OLEAF",PR!$AU334,IF(K336="OCULUS",PR!$AV334,IF(K336="PACIFIC",PR!$AW334,IF(K336="PHAMATEX",PR!$AX334,IF(K336="PETHICS",PR!$AY334,IF(K336="PHILIPS",PR!$AZ334,IF(K336="RANBAXY",PR!$BA334,IF(K336="REALS",PR!$BB334,IF(K336="ROYAL",PR!$BC334,IF(K336="SAM",PR!$BD334,IF(K336="SEAGREEN",PR!$BE334,IF(K336="SKG",PR!$BF334,IF(K336="TAH",PR!$BG334,IF(K336="TAYLEK",PR!$BH334,IF(K336="TEMITA",PR!$BI334,IF(K336="THL",PR!$BJ334,IF(K336="UBASTIC",PR!$BK334,IF(K336="UNION",PR!$BL334,IF(K336="UNIQUE",PR!$BM334,IF(K336="VIXA",PR!$BN334,IF(K336="WWCV",PR!$BO334,IF(K336="ZOLON",PR!$BP334,"-")))))))))))))))))))))))))))))))))))))))))))))))))))))))))))))))))</f>
        <v>3200</v>
      </c>
    </row>
    <row r="337" spans="1:12" ht="18.75" x14ac:dyDescent="0.3">
      <c r="A337" s="430">
        <f>PR!A335</f>
        <v>305</v>
      </c>
      <c r="B337" s="15" t="str">
        <f>PR!B335</f>
        <v>FERROUS SULPHATE 200MG TAB</v>
      </c>
      <c r="C337" s="113">
        <f>PR!D335</f>
        <v>1000</v>
      </c>
      <c r="D337" s="113">
        <f>PR!C335</f>
        <v>500</v>
      </c>
      <c r="E337" s="108">
        <f>IF(F337="ALPHA",PR!$E335,IF(F337="ASSENE",PR!$F335,IF(F337="BIOFEM",PR!$G335,IF(F337="BIOMED",PR!$H335,IF(F337="CHI",PR!$I335,IF(F337="CLARION",PR!$J335,IF(F337="CODIX",PR!$K335,IF(F337="COSMADE",PR!$L335,IF(F337="SANCON",PR!$M335,IF(F337="DEVON",PR!$N335,IF(F337="DORTEMAG",PR!$O335,IF(F337="DGF",PR!$P335,IF(F337="DYNAMIC",PR!$Q335,IF(F337="EMZOR",PR!$R335,IF(F337="EUMATT",PR!$S335,IF(F337="FIDSON",PR!$T335,IF(F337="FCGLOBAL",PR!$U335,IF(F337="GENEITH",PR!$V335,IF(F337="GINOS",PR!$W335,IF(F337="GSK",PR!$X335,IF(F337="GLOBORG",PR!$Y335,IF(F337="GOODNEWS",PR!$Z335,IF(F337="GREENLIFE",PR!$AA335,IF(F337="HLINE",PR!$AB335,IF(F337="ROTECH",PR!$AC335,IF(F337="ISN",PR!$AD335,IF(F337="JAWA",PR!$AE335,IF(F337="LAYO",PR!$AF335,IF(F337="LEADWAY",PR!$AG335,IF(F337="LHV",PR!$AH335,IF(F337="MANOLA",PR!$AI335,IF(F337="MARCSON",PR!$AJ335,IF(F337="M&amp;B",PR!$AK335,IF(F337="MTRUST",PR!$AL335,IF(F337="MWORLD",PR!$AM335,IF(F337="MEGA",PR!$AN335,IF(F337="MICRONOVA",PR!$AO335,IF(F337="MFLASH",PR!$AP335,IF(F337="MORISON",PR!$AQ335,IF(F337="NEMEL",PR!$AR335,IF(F337="NHP",PR!$AS335,IF(F337="NHC",PR!$AT335,IF(F337="OLEAF",PR!$AU335,IF(F337="OCULUS",PR!$AV335,IF(F337="PACIFIC",PR!$AW335,IF(F337="PHAMATEX",PR!$AX335,IF(F337="PETHICS",PR!$AY335,IF(F337="PHILIPS",PR!$AZ335,IF(F337="RANBAXY",PR!$BA335,IF(F337="REALS",PR!$BB335,IF(F337="ROYAL",PR!$BC335,IF(F337="SAM",PR!$BD335,IF(F337="SEAGREEN",PR!$BE335,IF(F337="SKG",PR!$BF335,IF(F337="TAH",PR!$BG335,IF(F337="TAYLEK",PR!$BH335,IF(F337="TEMITA",PR!$BI335,IF(F337="THL",PR!$BJ335,IF(F337="UBASTIC",PR!$BK335,IF(F337="UNION",PR!$BL335,IF(F337="UNIQUE",PR!$BM335,IF(F337="VIXA",PR!$BN335,IF(F337="WWCV",PR!$BO335,IF(F337="ZOLON",PR!$BP335,"-"))))))))))))))))))))))))))))))))))))))))))))))))))))))))))))))))</f>
        <v>600</v>
      </c>
      <c r="F337" s="102" t="str">
        <f>EV!L441</f>
        <v>EUMATT</v>
      </c>
      <c r="G337" s="108">
        <f>IF(H337="ALPHA",PR!$E335,IF(H337="ASSENE",PR!$F335,IF(H337="BIOFEM",PR!$G335,IF(H337="BIOMED",PR!$H335,IF(H337="CHI",PR!$I335,IF(H337="CLARION",PR!$J335,IF(H337="CODIX",PR!$K335,IF(H337="COSMADE",PR!$L335,IF(H337="SANCON",PR!$M335,IF(H337="DEVON",PR!$N335,IF(H337="DORTEMAG",PR!$O335,IF(H337="DGF",PR!$P335,IF(H337="DYNAMIC",PR!$Q335,IF(H337="EMZOR",PR!$R335,IF(H337="EUMATT",PR!$S335,IF(H337="FIDSON",PR!$T335,IF(H337="FCGLOBAL",PR!$U335,IF(H337="GENEITH",PR!$V335,IF(H337="GINOS",PR!$W335,IF(H337="GSK",PR!$X335,IF(H337="GLOBORG",PR!$Y335,IF(H337="GOODNEWS",PR!$Z335,IF(H337="GREENLIFE",PR!$AA335,IF(H337="HLINE",PR!$AB335,IF(H337="ROTECH",PR!$AC335,IF(H337="ISN",PR!$AD335,IF(H337="JAWA",PR!$AE335,IF(H337="LAYO",PR!$AF335,IF(H337="LEADWAY",PR!$AG335,IF(H337="LHV",PR!$AH335,IF(H337="MANOLA",PR!$AI335,IF(H337="MARCSON",PR!$AJ335,IF(H337="M&amp;B",PR!$AK335,IF(H337="MTRUST",PR!$AL335,IF(H337="MWORLD",PR!$AM335,IF(H337="MEGA",PR!$AN335,IF(H337="MICRONOVA",PR!$AO335,IF(H337="MFLASH",PR!$AP335,IF(H337="MORISON",PR!$AQ335,IF(H337="NEMEL",PR!$AR335,IF(H337="NHP",PR!$AS335,IF(H337="NHC",PR!$AT335,IF(H337="OLEAF",PR!$AU335,IF(H337="OCULUS",PR!$AV335,IF(H337="PACIFIC",PR!$AW335,IF(H337="PHAMATEX",PR!$AX335,IF(H337="PETHICS",PR!$AY335,IF(H337="PHILIPS",PR!$AZ335,IF(H337="RANBAXY",PR!$BA335,IF(H337="REALS",PR!$BB335,IF(H337="ROYAL",PR!$BC335,IF(H337="SAM",PR!$BD335,IF(H337="SEAGREEN",PR!$BE335,IF(H337="SKG",PR!$BF335,IF(H337="TAH",PR!$BG335,IF(H337="TAYLEK",PR!$BH335,IF(H337="TEMITA",PR!$BI335,IF(H337="THL",PR!$BJ335,IF(H337="UBASTIC",PR!$BK335,IF(H337="UNION",PR!$BL335,IF(H337="UNIQUE",PR!$BM335,IF(H337="VIXA",PR!$BN335,IF(H337="WWCV",PR!$BO335,IF(H337="ZOLON",PR!$BP335,"-"))))))))))))))))))))))))))))))))))))))))))))))))))))))))))))))))</f>
        <v>700</v>
      </c>
      <c r="H337" s="102" t="str">
        <f>EV!M441</f>
        <v>THL</v>
      </c>
      <c r="I337" s="108" t="str">
        <f>IF(J337="ALPHA",PR!$E335,IF(J337="ASSENE",PR!$F335,IF(J337="BIOFEM",PR!$G335,IF(J337="BIOMED",PR!$H335,IF(J337="CHI",PR!$I335,IF(J337="CLARION",PR!$J335,IF(J337="CODIX",PR!$K335,IF(J337="COSMADE",PR!$L335,IF(J337="SANCON",PR!$M335,IF(J337="DEVON",PR!$N335,IF(J337="DORTEMAG",PR!$O335,IF(J337="DGF",PR!$P335,IF(J337="DYNAMIC",PR!$Q335,IF(J337="EMZOR",PR!$R335,IF(J337="EUMATT",PR!$S335,IF(J337="FIDSON",PR!$T335,IF(J337="FCGLOBAL",PR!$U335,IF(J337="GENEITH",PR!$V335,IF(J337="GINOS",PR!$W335,IF(J337="GSK",PR!$X335,IF(J337="GLOBORG",PR!$Y335,IF(J337="GOODNEWS",PR!$Z335,IF(J337="GREENLIFE",PR!$AA335,IF(J337="HLINE",PR!$AB335,IF(J337="ROTECH",PR!$AC335,IF(J337="ISN",PR!$AD335,IF(J337="JAWA",PR!$AE335,IF(J337="LAYO",PR!$AF335,IF(J337="LEADWAY",PR!$AG335,IF(J337="LHV",PR!$AH335,IF(J337="MANOLA",PR!$AI335,IF(J337="MARCSON",PR!$AJ335,IF(J337="M&amp;B",PR!$AK335,IF(J337="MTRUST",PR!$AL335,IF(J337="MWORLD",PR!$AM335,IF(J337="MEGA",PR!$AN335,IF(J337="MICRONOVA",PR!$AO335,IF(J337="MFLASH",PR!$AP335,IF(J337="MORISON",PR!$AQ335,IF(J337="NEMEL",PR!$AR335,IF(J337="NHP",PR!$AS335,IF(J337="NHC",PR!$AT335,IF(J337="OLEAF",PR!$AU335,IF(J337="OCULUS",PR!$AV335,IF(J337="PACIFIC",PR!$AW335,IF(J337="PHAMATEX",PR!$AX335,IF(J337="PETHICS",PR!$AY335,IF(J337="PHILIPS",PR!$AZ335,IF(J337="RANBAXY",PR!$BA335,IF(J337="REALS",PR!$BB335,IF(J337="ROYAL",PR!$BC335,IF(J337="SAM",PR!$BD335,IF(J337="SEAGREEN",PR!$BE335,IF(J337="SKG",PR!$BF335,IF(J337="TAH",PR!$BG335,IF(J337="TAYLEK",PR!$BH335,IF(J337="TEMITA",PR!$BI335,IF(J337="THL",PR!$BJ335,IF(J337="UBASTIC",PR!$BK335,IF(J337="UNION",PR!$BL335,IF(J337="UNIQUE",PR!$BM335,IF(J337="VIXA",PR!$BN335,IF(J337="WWCV",PR!$BO335,IF(J337="ZOLON",PR!$BP335,"-"))))))))))))))))))))))))))))))))))))))))))))))))))))))))))))))))</f>
        <v>-</v>
      </c>
      <c r="J337" s="102">
        <f>EV!N441</f>
        <v>0</v>
      </c>
      <c r="K337" s="433" t="s">
        <v>1235</v>
      </c>
      <c r="L337" s="183">
        <f>IF(K337&gt;0,IF(K337="ALPHA",PR!$E335,IF(K337="ASSENE",PR!$F335,IF(K337="BIOFEM",PR!$G335,IF(K337="BIOMED",PR!$H335,IF(K337="CHI",PR!$I335,IF(K337="CLARION",PR!$J335,IF(K337="CODIX",PR!$K335,IF(K337="COSMADE",PR!$L335,IF(K337="SANCON",PR!$M335,IF(K337="DEVON",PR!$N335,IF(K337="DORTEMAG",PR!$O335,IF(K337="DGF",PR!$P335,IF(K337="DYNAMIC",PR!$Q335,IF(K337="EMZOR",PR!$R335,IF(K337="EUMATT",PR!$S335,IF(K337="FIDSON",PR!$T335,IF(K337="FCGLOBAL",PR!$U335,IF(K337="GENEITH",PR!$V335,IF(K337="GINOS",PR!$W335,IF(K337="GSK",PR!$X335,IF(K337="GLOBORG",PR!$Y335,IF(K337="GOODNEWS",PR!$Z335,IF(K337="GREENLIFE",PR!$AA335,IF(K337="HLINE",PR!$AB335,IF(K337="ROTECH",PR!$AC335,IF(K337="ISN",PR!$AD335,IF(K337="JAWA",PR!$AE335,IF(K337="LAYO",PR!$AF335,IF(K337="LEADWAY",PR!$AG335,IF(K337="LHV",PR!$AH335,IF(K337="MANOLA",PR!$AI335,IF(K337="MARCSON",PR!$AJ335,IF(K337="M&amp;B",PR!$AK335,IF(K337="MTRUST",PR!$AL335,IF(K337="MWORLD",PR!$AM335,IF(K337="MEGA",PR!$AN335,IF(K337="MICRONOVA",PR!$AO335,IF(K337="MFLASH",PR!$AP335,IF(K337="MORISON",PR!$AQ335,IF(K337="NEMEL",PR!$AR335,IF(K337="NHP",PR!$AS335,IF(K337="NHC",PR!$AT335,IF(K337="OLEAF",PR!$AU335,IF(K337="OCULUS",PR!$AV335,IF(K337="PACIFIC",PR!$AW335,IF(K337="PHAMATEX",PR!$AX335,IF(K337="PETHICS",PR!$AY335,IF(K337="PHILIPS",PR!$AZ335,IF(K337="RANBAXY",PR!$BA335,IF(K337="REALS",PR!$BB335,IF(K337="ROYAL",PR!$BC335,IF(K337="SAM",PR!$BD335,IF(K337="SEAGREEN",PR!$BE335,IF(K337="SKG",PR!$BF335,IF(K337="TAH",PR!$BG335,IF(K337="TAYLEK",PR!$BH335,IF(K337="TEMITA",PR!$BI335,IF(K337="THL",PR!$BJ335,IF(K337="UBASTIC",PR!$BK335,IF(K337="UNION",PR!$BL335,IF(K337="UNIQUE",PR!$BM335,IF(K337="VIXA",PR!$BN335,IF(K337="WWCV",PR!$BO335,IF(K337="ZOLON",PR!$BP335,"-")))))))))))))))))))))))))))))))))))))))))))))))))))))))))))))))))</f>
        <v>700</v>
      </c>
    </row>
    <row r="338" spans="1:12" ht="18.75" x14ac:dyDescent="0.3">
      <c r="A338" s="430">
        <f>PR!A336</f>
        <v>306</v>
      </c>
      <c r="B338" s="15" t="str">
        <f>PR!B336</f>
        <v>FERROUS SULPHATE/FOLIC ACID</v>
      </c>
      <c r="C338" s="113">
        <f>PR!D336</f>
        <v>30</v>
      </c>
      <c r="D338" s="113">
        <f>PR!C336</f>
        <v>2000</v>
      </c>
      <c r="E338" s="108">
        <f>IF(F338="ALPHA",PR!$E336,IF(F338="ASSENE",PR!$F336,IF(F338="BIOFEM",PR!$G336,IF(F338="BIOMED",PR!$H336,IF(F338="CHI",PR!$I336,IF(F338="CLARION",PR!$J336,IF(F338="CODIX",PR!$K336,IF(F338="COSMADE",PR!$L336,IF(F338="SANCON",PR!$M336,IF(F338="DEVON",PR!$N336,IF(F338="DORTEMAG",PR!$O336,IF(F338="DGF",PR!$P336,IF(F338="DYNAMIC",PR!$Q336,IF(F338="EMZOR",PR!$R336,IF(F338="EUMATT",PR!$S336,IF(F338="FIDSON",PR!$T336,IF(F338="FCGLOBAL",PR!$U336,IF(F338="GENEITH",PR!$V336,IF(F338="GINOS",PR!$W336,IF(F338="GSK",PR!$X336,IF(F338="GLOBORG",PR!$Y336,IF(F338="GOODNEWS",PR!$Z336,IF(F338="GREENLIFE",PR!$AA336,IF(F338="HLINE",PR!$AB336,IF(F338="ROTECH",PR!$AC336,IF(F338="ISN",PR!$AD336,IF(F338="JAWA",PR!$AE336,IF(F338="LAYO",PR!$AF336,IF(F338="LEADWAY",PR!$AG336,IF(F338="LHV",PR!$AH336,IF(F338="MANOLA",PR!$AI336,IF(F338="MARCSON",PR!$AJ336,IF(F338="M&amp;B",PR!$AK336,IF(F338="MTRUST",PR!$AL336,IF(F338="MWORLD",PR!$AM336,IF(F338="MEGA",PR!$AN336,IF(F338="MICRONOVA",PR!$AO336,IF(F338="MFLASH",PR!$AP336,IF(F338="MORISON",PR!$AQ336,IF(F338="NEMEL",PR!$AR336,IF(F338="NHP",PR!$AS336,IF(F338="NHC",PR!$AT336,IF(F338="OLEAF",PR!$AU336,IF(F338="OCULUS",PR!$AV336,IF(F338="PACIFIC",PR!$AW336,IF(F338="PHAMATEX",PR!$AX336,IF(F338="PETHICS",PR!$AY336,IF(F338="PHILIPS",PR!$AZ336,IF(F338="RANBAXY",PR!$BA336,IF(F338="REALS",PR!$BB336,IF(F338="ROYAL",PR!$BC336,IF(F338="SAM",PR!$BD336,IF(F338="SEAGREEN",PR!$BE336,IF(F338="SKG",PR!$BF336,IF(F338="TAH",PR!$BG336,IF(F338="TAYLEK",PR!$BH336,IF(F338="TEMITA",PR!$BI336,IF(F338="THL",PR!$BJ336,IF(F338="UBASTIC",PR!$BK336,IF(F338="UNION",PR!$BL336,IF(F338="UNIQUE",PR!$BM336,IF(F338="VIXA",PR!$BN336,IF(F338="WWCV",PR!$BO336,IF(F338="ZOLON",PR!$BP336,"-"))))))))))))))))))))))))))))))))))))))))))))))))))))))))))))))))</f>
        <v>195</v>
      </c>
      <c r="F338" s="102" t="str">
        <f>EV!L442</f>
        <v>SAM</v>
      </c>
      <c r="G338" s="108">
        <f>IF(H338="ALPHA",PR!$E336,IF(H338="ASSENE",PR!$F336,IF(H338="BIOFEM",PR!$G336,IF(H338="BIOMED",PR!$H336,IF(H338="CHI",PR!$I336,IF(H338="CLARION",PR!$J336,IF(H338="CODIX",PR!$K336,IF(H338="COSMADE",PR!$L336,IF(H338="SANCON",PR!$M336,IF(H338="DEVON",PR!$N336,IF(H338="DORTEMAG",PR!$O336,IF(H338="DGF",PR!$P336,IF(H338="DYNAMIC",PR!$Q336,IF(H338="EMZOR",PR!$R336,IF(H338="EUMATT",PR!$S336,IF(H338="FIDSON",PR!$T336,IF(H338="FCGLOBAL",PR!$U336,IF(H338="GENEITH",PR!$V336,IF(H338="GINOS",PR!$W336,IF(H338="GSK",PR!$X336,IF(H338="GLOBORG",PR!$Y336,IF(H338="GOODNEWS",PR!$Z336,IF(H338="GREENLIFE",PR!$AA336,IF(H338="HLINE",PR!$AB336,IF(H338="ROTECH",PR!$AC336,IF(H338="ISN",PR!$AD336,IF(H338="JAWA",PR!$AE336,IF(H338="LAYO",PR!$AF336,IF(H338="LEADWAY",PR!$AG336,IF(H338="LHV",PR!$AH336,IF(H338="MANOLA",PR!$AI336,IF(H338="MARCSON",PR!$AJ336,IF(H338="M&amp;B",PR!$AK336,IF(H338="MTRUST",PR!$AL336,IF(H338="MWORLD",PR!$AM336,IF(H338="MEGA",PR!$AN336,IF(H338="MICRONOVA",PR!$AO336,IF(H338="MFLASH",PR!$AP336,IF(H338="MORISON",PR!$AQ336,IF(H338="NEMEL",PR!$AR336,IF(H338="NHP",PR!$AS336,IF(H338="NHC",PR!$AT336,IF(H338="OLEAF",PR!$AU336,IF(H338="OCULUS",PR!$AV336,IF(H338="PACIFIC",PR!$AW336,IF(H338="PHAMATEX",PR!$AX336,IF(H338="PETHICS",PR!$AY336,IF(H338="PHILIPS",PR!$AZ336,IF(H338="RANBAXY",PR!$BA336,IF(H338="REALS",PR!$BB336,IF(H338="ROYAL",PR!$BC336,IF(H338="SAM",PR!$BD336,IF(H338="SEAGREEN",PR!$BE336,IF(H338="SKG",PR!$BF336,IF(H338="TAH",PR!$BG336,IF(H338="TAYLEK",PR!$BH336,IF(H338="TEMITA",PR!$BI336,IF(H338="THL",PR!$BJ336,IF(H338="UBASTIC",PR!$BK336,IF(H338="UNION",PR!$BL336,IF(H338="UNIQUE",PR!$BM336,IF(H338="VIXA",PR!$BN336,IF(H338="WWCV",PR!$BO336,IF(H338="ZOLON",PR!$BP336,"-"))))))))))))))))))))))))))))))))))))))))))))))))))))))))))))))))</f>
        <v>500</v>
      </c>
      <c r="H338" s="102" t="str">
        <f>EV!M442</f>
        <v>PETHICS</v>
      </c>
      <c r="I338" s="108">
        <f>IF(J338="ALPHA",PR!$E336,IF(J338="ASSENE",PR!$F336,IF(J338="BIOFEM",PR!$G336,IF(J338="BIOMED",PR!$H336,IF(J338="CHI",PR!$I336,IF(J338="CLARION",PR!$J336,IF(J338="CODIX",PR!$K336,IF(J338="COSMADE",PR!$L336,IF(J338="SANCON",PR!$M336,IF(J338="DEVON",PR!$N336,IF(J338="DORTEMAG",PR!$O336,IF(J338="DGF",PR!$P336,IF(J338="DYNAMIC",PR!$Q336,IF(J338="EMZOR",PR!$R336,IF(J338="EUMATT",PR!$S336,IF(J338="FIDSON",PR!$T336,IF(J338="FCGLOBAL",PR!$U336,IF(J338="GENEITH",PR!$V336,IF(J338="GINOS",PR!$W336,IF(J338="GSK",PR!$X336,IF(J338="GLOBORG",PR!$Y336,IF(J338="GOODNEWS",PR!$Z336,IF(J338="GREENLIFE",PR!$AA336,IF(J338="HLINE",PR!$AB336,IF(J338="ROTECH",PR!$AC336,IF(J338="ISN",PR!$AD336,IF(J338="JAWA",PR!$AE336,IF(J338="LAYO",PR!$AF336,IF(J338="LEADWAY",PR!$AG336,IF(J338="LHV",PR!$AH336,IF(J338="MANOLA",PR!$AI336,IF(J338="MARCSON",PR!$AJ336,IF(J338="M&amp;B",PR!$AK336,IF(J338="MTRUST",PR!$AL336,IF(J338="MWORLD",PR!$AM336,IF(J338="MEGA",PR!$AN336,IF(J338="MICRONOVA",PR!$AO336,IF(J338="MFLASH",PR!$AP336,IF(J338="MORISON",PR!$AQ336,IF(J338="NEMEL",PR!$AR336,IF(J338="NHP",PR!$AS336,IF(J338="NHC",PR!$AT336,IF(J338="OLEAF",PR!$AU336,IF(J338="OCULUS",PR!$AV336,IF(J338="PACIFIC",PR!$AW336,IF(J338="PHAMATEX",PR!$AX336,IF(J338="PETHICS",PR!$AY336,IF(J338="PHILIPS",PR!$AZ336,IF(J338="RANBAXY",PR!$BA336,IF(J338="REALS",PR!$BB336,IF(J338="ROYAL",PR!$BC336,IF(J338="SAM",PR!$BD336,IF(J338="SEAGREEN",PR!$BE336,IF(J338="SKG",PR!$BF336,IF(J338="TAH",PR!$BG336,IF(J338="TAYLEK",PR!$BH336,IF(J338="TEMITA",PR!$BI336,IF(J338="THL",PR!$BJ336,IF(J338="UBASTIC",PR!$BK336,IF(J338="UNION",PR!$BL336,IF(J338="UNIQUE",PR!$BM336,IF(J338="VIXA",PR!$BN336,IF(J338="WWCV",PR!$BO336,IF(J338="ZOLON",PR!$BP336,"-"))))))))))))))))))))))))))))))))))))))))))))))))))))))))))))))))</f>
        <v>650</v>
      </c>
      <c r="J338" s="102" t="str">
        <f>EV!N442</f>
        <v>MEGA</v>
      </c>
      <c r="K338" s="433" t="s">
        <v>622</v>
      </c>
      <c r="L338" s="183">
        <f>IF(K338&gt;0,IF(K338="ALPHA",PR!$E336,IF(K338="ASSENE",PR!$F336,IF(K338="BIOFEM",PR!$G336,IF(K338="BIOMED",PR!$H336,IF(K338="CHI",PR!$I336,IF(K338="CLARION",PR!$J336,IF(K338="CODIX",PR!$K336,IF(K338="COSMADE",PR!$L336,IF(K338="SANCON",PR!$M336,IF(K338="DEVON",PR!$N336,IF(K338="DORTEMAG",PR!$O336,IF(K338="DGF",PR!$P336,IF(K338="DYNAMIC",PR!$Q336,IF(K338="EMZOR",PR!$R336,IF(K338="EUMATT",PR!$S336,IF(K338="FIDSON",PR!$T336,IF(K338="FCGLOBAL",PR!$U336,IF(K338="GENEITH",PR!$V336,IF(K338="GINOS",PR!$W336,IF(K338="GSK",PR!$X336,IF(K338="GLOBORG",PR!$Y336,IF(K338="GOODNEWS",PR!$Z336,IF(K338="GREENLIFE",PR!$AA336,IF(K338="HLINE",PR!$AB336,IF(K338="ROTECH",PR!$AC336,IF(K338="ISN",PR!$AD336,IF(K338="JAWA",PR!$AE336,IF(K338="LAYO",PR!$AF336,IF(K338="LEADWAY",PR!$AG336,IF(K338="LHV",PR!$AH336,IF(K338="MANOLA",PR!$AI336,IF(K338="MARCSON",PR!$AJ336,IF(K338="M&amp;B",PR!$AK336,IF(K338="MTRUST",PR!$AL336,IF(K338="MWORLD",PR!$AM336,IF(K338="MEGA",PR!$AN336,IF(K338="MICRONOVA",PR!$AO336,IF(K338="MFLASH",PR!$AP336,IF(K338="MORISON",PR!$AQ336,IF(K338="NEMEL",PR!$AR336,IF(K338="NHP",PR!$AS336,IF(K338="NHC",PR!$AT336,IF(K338="OLEAF",PR!$AU336,IF(K338="OCULUS",PR!$AV336,IF(K338="PACIFIC",PR!$AW336,IF(K338="PHAMATEX",PR!$AX336,IF(K338="PETHICS",PR!$AY336,IF(K338="PHILIPS",PR!$AZ336,IF(K338="RANBAXY",PR!$BA336,IF(K338="REALS",PR!$BB336,IF(K338="ROYAL",PR!$BC336,IF(K338="SAM",PR!$BD336,IF(K338="SEAGREEN",PR!$BE336,IF(K338="SKG",PR!$BF336,IF(K338="TAH",PR!$BG336,IF(K338="TAYLEK",PR!$BH336,IF(K338="TEMITA",PR!$BI336,IF(K338="THL",PR!$BJ336,IF(K338="UBASTIC",PR!$BK336,IF(K338="UNION",PR!$BL336,IF(K338="UNIQUE",PR!$BM336,IF(K338="VIXA",PR!$BN336,IF(K338="WWCV",PR!$BO336,IF(K338="ZOLON",PR!$BP336,"-")))))))))))))))))))))))))))))))))))))))))))))))))))))))))))))))))</f>
        <v>195</v>
      </c>
    </row>
    <row r="339" spans="1:12" ht="18.75" x14ac:dyDescent="0.3">
      <c r="A339" s="430">
        <f>PR!A337</f>
        <v>307</v>
      </c>
      <c r="B339" s="15" t="str">
        <f>PR!B337</f>
        <v>FOLIC ACID SYR</v>
      </c>
      <c r="C339" s="113" t="str">
        <f>PR!D337</f>
        <v>BOTT</v>
      </c>
      <c r="D339" s="113">
        <f>PR!C337</f>
        <v>100</v>
      </c>
      <c r="E339" s="108">
        <f>IF(F339="ALPHA",PR!$E337,IF(F339="ASSENE",PR!$F337,IF(F339="BIOFEM",PR!$G337,IF(F339="BIOMED",PR!$H337,IF(F339="CHI",PR!$I337,IF(F339="CLARION",PR!$J337,IF(F339="CODIX",PR!$K337,IF(F339="COSMADE",PR!$L337,IF(F339="SANCON",PR!$M337,IF(F339="DEVON",PR!$N337,IF(F339="DORTEMAG",PR!$O337,IF(F339="DGF",PR!$P337,IF(F339="DYNAMIC",PR!$Q337,IF(F339="EMZOR",PR!$R337,IF(F339="EUMATT",PR!$S337,IF(F339="FIDSON",PR!$T337,IF(F339="FCGLOBAL",PR!$U337,IF(F339="GENEITH",PR!$V337,IF(F339="GINOS",PR!$W337,IF(F339="GSK",PR!$X337,IF(F339="GLOBORG",PR!$Y337,IF(F339="GOODNEWS",PR!$Z337,IF(F339="GREENLIFE",PR!$AA337,IF(F339="HLINE",PR!$AB337,IF(F339="ROTECH",PR!$AC337,IF(F339="ISN",PR!$AD337,IF(F339="JAWA",PR!$AE337,IF(F339="LAYO",PR!$AF337,IF(F339="LEADWAY",PR!$AG337,IF(F339="LHV",PR!$AH337,IF(F339="MANOLA",PR!$AI337,IF(F339="MARCSON",PR!$AJ337,IF(F339="M&amp;B",PR!$AK337,IF(F339="MTRUST",PR!$AL337,IF(F339="MWORLD",PR!$AM337,IF(F339="MEGA",PR!$AN337,IF(F339="MICRONOVA",PR!$AO337,IF(F339="MFLASH",PR!$AP337,IF(F339="MORISON",PR!$AQ337,IF(F339="NEMEL",PR!$AR337,IF(F339="NHP",PR!$AS337,IF(F339="NHC",PR!$AT337,IF(F339="OLEAF",PR!$AU337,IF(F339="OCULUS",PR!$AV337,IF(F339="PACIFIC",PR!$AW337,IF(F339="PHAMATEX",PR!$AX337,IF(F339="PETHICS",PR!$AY337,IF(F339="PHILIPS",PR!$AZ337,IF(F339="RANBAXY",PR!$BA337,IF(F339="REALS",PR!$BB337,IF(F339="ROYAL",PR!$BC337,IF(F339="SAM",PR!$BD337,IF(F339="SEAGREEN",PR!$BE337,IF(F339="SKG",PR!$BF337,IF(F339="TAH",PR!$BG337,IF(F339="TAYLEK",PR!$BH337,IF(F339="TEMITA",PR!$BI337,IF(F339="THL",PR!$BJ337,IF(F339="UBASTIC",PR!$BK337,IF(F339="UNION",PR!$BL337,IF(F339="UNIQUE",PR!$BM337,IF(F339="VIXA",PR!$BN337,IF(F339="WWCV",PR!$BO337,IF(F339="ZOLON",PR!$BP337,"-"))))))))))))))))))))))))))))))))))))))))))))))))))))))))))))))))</f>
        <v>320</v>
      </c>
      <c r="F339" s="102" t="str">
        <f>EV!L443</f>
        <v>EUMATT</v>
      </c>
      <c r="G339" s="108" t="str">
        <f>IF(H339="ALPHA",PR!$E337,IF(H339="ASSENE",PR!$F337,IF(H339="BIOFEM",PR!$G337,IF(H339="BIOMED",PR!$H337,IF(H339="CHI",PR!$I337,IF(H339="CLARION",PR!$J337,IF(H339="CODIX",PR!$K337,IF(H339="COSMADE",PR!$L337,IF(H339="SANCON",PR!$M337,IF(H339="DEVON",PR!$N337,IF(H339="DORTEMAG",PR!$O337,IF(H339="DGF",PR!$P337,IF(H339="DYNAMIC",PR!$Q337,IF(H339="EMZOR",PR!$R337,IF(H339="EUMATT",PR!$S337,IF(H339="FIDSON",PR!$T337,IF(H339="FCGLOBAL",PR!$U337,IF(H339="GENEITH",PR!$V337,IF(H339="GINOS",PR!$W337,IF(H339="GSK",PR!$X337,IF(H339="GLOBORG",PR!$Y337,IF(H339="GOODNEWS",PR!$Z337,IF(H339="GREENLIFE",PR!$AA337,IF(H339="HLINE",PR!$AB337,IF(H339="ROTECH",PR!$AC337,IF(H339="ISN",PR!$AD337,IF(H339="JAWA",PR!$AE337,IF(H339="LAYO",PR!$AF337,IF(H339="LEADWAY",PR!$AG337,IF(H339="LHV",PR!$AH337,IF(H339="MANOLA",PR!$AI337,IF(H339="MARCSON",PR!$AJ337,IF(H339="M&amp;B",PR!$AK337,IF(H339="MTRUST",PR!$AL337,IF(H339="MWORLD",PR!$AM337,IF(H339="MEGA",PR!$AN337,IF(H339="MICRONOVA",PR!$AO337,IF(H339="MFLASH",PR!$AP337,IF(H339="MORISON",PR!$AQ337,IF(H339="NEMEL",PR!$AR337,IF(H339="NHP",PR!$AS337,IF(H339="NHC",PR!$AT337,IF(H339="OLEAF",PR!$AU337,IF(H339="OCULUS",PR!$AV337,IF(H339="PACIFIC",PR!$AW337,IF(H339="PHAMATEX",PR!$AX337,IF(H339="PETHICS",PR!$AY337,IF(H339="PHILIPS",PR!$AZ337,IF(H339="RANBAXY",PR!$BA337,IF(H339="REALS",PR!$BB337,IF(H339="ROYAL",PR!$BC337,IF(H339="SAM",PR!$BD337,IF(H339="SEAGREEN",PR!$BE337,IF(H339="SKG",PR!$BF337,IF(H339="TAH",PR!$BG337,IF(H339="TAYLEK",PR!$BH337,IF(H339="TEMITA",PR!$BI337,IF(H339="THL",PR!$BJ337,IF(H339="UBASTIC",PR!$BK337,IF(H339="UNION",PR!$BL337,IF(H339="UNIQUE",PR!$BM337,IF(H339="VIXA",PR!$BN337,IF(H339="WWCV",PR!$BO337,IF(H339="ZOLON",PR!$BP337,"-"))))))))))))))))))))))))))))))))))))))))))))))))))))))))))))))))</f>
        <v>-</v>
      </c>
      <c r="H339" s="102">
        <f>EV!M443</f>
        <v>0</v>
      </c>
      <c r="I339" s="108" t="str">
        <f>IF(J339="ALPHA",PR!$E337,IF(J339="ASSENE",PR!$F337,IF(J339="BIOFEM",PR!$G337,IF(J339="BIOMED",PR!$H337,IF(J339="CHI",PR!$I337,IF(J339="CLARION",PR!$J337,IF(J339="CODIX",PR!$K337,IF(J339="COSMADE",PR!$L337,IF(J339="SANCON",PR!$M337,IF(J339="DEVON",PR!$N337,IF(J339="DORTEMAG",PR!$O337,IF(J339="DGF",PR!$P337,IF(J339="DYNAMIC",PR!$Q337,IF(J339="EMZOR",PR!$R337,IF(J339="EUMATT",PR!$S337,IF(J339="FIDSON",PR!$T337,IF(J339="FCGLOBAL",PR!$U337,IF(J339="GENEITH",PR!$V337,IF(J339="GINOS",PR!$W337,IF(J339="GSK",PR!$X337,IF(J339="GLOBORG",PR!$Y337,IF(J339="GOODNEWS",PR!$Z337,IF(J339="GREENLIFE",PR!$AA337,IF(J339="HLINE",PR!$AB337,IF(J339="ROTECH",PR!$AC337,IF(J339="ISN",PR!$AD337,IF(J339="JAWA",PR!$AE337,IF(J339="LAYO",PR!$AF337,IF(J339="LEADWAY",PR!$AG337,IF(J339="LHV",PR!$AH337,IF(J339="MANOLA",PR!$AI337,IF(J339="MARCSON",PR!$AJ337,IF(J339="M&amp;B",PR!$AK337,IF(J339="MTRUST",PR!$AL337,IF(J339="MWORLD",PR!$AM337,IF(J339="MEGA",PR!$AN337,IF(J339="MICRONOVA",PR!$AO337,IF(J339="MFLASH",PR!$AP337,IF(J339="MORISON",PR!$AQ337,IF(J339="NEMEL",PR!$AR337,IF(J339="NHP",PR!$AS337,IF(J339="NHC",PR!$AT337,IF(J339="OLEAF",PR!$AU337,IF(J339="OCULUS",PR!$AV337,IF(J339="PACIFIC",PR!$AW337,IF(J339="PHAMATEX",PR!$AX337,IF(J339="PETHICS",PR!$AY337,IF(J339="PHILIPS",PR!$AZ337,IF(J339="RANBAXY",PR!$BA337,IF(J339="REALS",PR!$BB337,IF(J339="ROYAL",PR!$BC337,IF(J339="SAM",PR!$BD337,IF(J339="SEAGREEN",PR!$BE337,IF(J339="SKG",PR!$BF337,IF(J339="TAH",PR!$BG337,IF(J339="TAYLEK",PR!$BH337,IF(J339="TEMITA",PR!$BI337,IF(J339="THL",PR!$BJ337,IF(J339="UBASTIC",PR!$BK337,IF(J339="UNION",PR!$BL337,IF(J339="UNIQUE",PR!$BM337,IF(J339="VIXA",PR!$BN337,IF(J339="WWCV",PR!$BO337,IF(J339="ZOLON",PR!$BP337,"-"))))))))))))))))))))))))))))))))))))))))))))))))))))))))))))))))</f>
        <v>-</v>
      </c>
      <c r="J339" s="102">
        <f>EV!N443</f>
        <v>0</v>
      </c>
      <c r="K339" s="433" t="s">
        <v>821</v>
      </c>
      <c r="L339" s="183">
        <f>IF(K339&gt;0,IF(K339="ALPHA",PR!$E337,IF(K339="ASSENE",PR!$F337,IF(K339="BIOFEM",PR!$G337,IF(K339="BIOMED",PR!$H337,IF(K339="CHI",PR!$I337,IF(K339="CLARION",PR!$J337,IF(K339="CODIX",PR!$K337,IF(K339="COSMADE",PR!$L337,IF(K339="SANCON",PR!$M337,IF(K339="DEVON",PR!$N337,IF(K339="DORTEMAG",PR!$O337,IF(K339="DGF",PR!$P337,IF(K339="DYNAMIC",PR!$Q337,IF(K339="EMZOR",PR!$R337,IF(K339="EUMATT",PR!$S337,IF(K339="FIDSON",PR!$T337,IF(K339="FCGLOBAL",PR!$U337,IF(K339="GENEITH",PR!$V337,IF(K339="GINOS",PR!$W337,IF(K339="GSK",PR!$X337,IF(K339="GLOBORG",PR!$Y337,IF(K339="GOODNEWS",PR!$Z337,IF(K339="GREENLIFE",PR!$AA337,IF(K339="HLINE",PR!$AB337,IF(K339="ROTECH",PR!$AC337,IF(K339="ISN",PR!$AD337,IF(K339="JAWA",PR!$AE337,IF(K339="LAYO",PR!$AF337,IF(K339="LEADWAY",PR!$AG337,IF(K339="LHV",PR!$AH337,IF(K339="MANOLA",PR!$AI337,IF(K339="MARCSON",PR!$AJ337,IF(K339="M&amp;B",PR!$AK337,IF(K339="MTRUST",PR!$AL337,IF(K339="MWORLD",PR!$AM337,IF(K339="MEGA",PR!$AN337,IF(K339="MICRONOVA",PR!$AO337,IF(K339="MFLASH",PR!$AP337,IF(K339="MORISON",PR!$AQ337,IF(K339="NEMEL",PR!$AR337,IF(K339="NHP",PR!$AS337,IF(K339="NHC",PR!$AT337,IF(K339="OLEAF",PR!$AU337,IF(K339="OCULUS",PR!$AV337,IF(K339="PACIFIC",PR!$AW337,IF(K339="PHAMATEX",PR!$AX337,IF(K339="PETHICS",PR!$AY337,IF(K339="PHILIPS",PR!$AZ337,IF(K339="RANBAXY",PR!$BA337,IF(K339="REALS",PR!$BB337,IF(K339="ROYAL",PR!$BC337,IF(K339="SAM",PR!$BD337,IF(K339="SEAGREEN",PR!$BE337,IF(K339="SKG",PR!$BF337,IF(K339="TAH",PR!$BG337,IF(K339="TAYLEK",PR!$BH337,IF(K339="TEMITA",PR!$BI337,IF(K339="THL",PR!$BJ337,IF(K339="UBASTIC",PR!$BK337,IF(K339="UNION",PR!$BL337,IF(K339="UNIQUE",PR!$BM337,IF(K339="VIXA",PR!$BN337,IF(K339="WWCV",PR!$BO337,IF(K339="ZOLON",PR!$BP337,"-")))))))))))))))))))))))))))))))))))))))))))))))))))))))))))))))))</f>
        <v>320</v>
      </c>
    </row>
    <row r="340" spans="1:12" ht="18.75" x14ac:dyDescent="0.3">
      <c r="A340" s="430">
        <f>PR!A338</f>
        <v>308</v>
      </c>
      <c r="B340" s="15" t="str">
        <f>PR!B338</f>
        <v>FOLIC ACID TAB</v>
      </c>
      <c r="C340" s="113">
        <f>PR!D338</f>
        <v>1000</v>
      </c>
      <c r="D340" s="113">
        <f>PR!C338</f>
        <v>200</v>
      </c>
      <c r="E340" s="108">
        <f>IF(F340="ALPHA",PR!$E338,IF(F340="ASSENE",PR!$F338,IF(F340="BIOFEM",PR!$G338,IF(F340="BIOMED",PR!$H338,IF(F340="CHI",PR!$I338,IF(F340="CLARION",PR!$J338,IF(F340="CODIX",PR!$K338,IF(F340="COSMADE",PR!$L338,IF(F340="SANCON",PR!$M338,IF(F340="DEVON",PR!$N338,IF(F340="DORTEMAG",PR!$O338,IF(F340="DGF",PR!$P338,IF(F340="DYNAMIC",PR!$Q338,IF(F340="EMZOR",PR!$R338,IF(F340="EUMATT",PR!$S338,IF(F340="FIDSON",PR!$T338,IF(F340="FCGLOBAL",PR!$U338,IF(F340="GENEITH",PR!$V338,IF(F340="GINOS",PR!$W338,IF(F340="GSK",PR!$X338,IF(F340="GLOBORG",PR!$Y338,IF(F340="GOODNEWS",PR!$Z338,IF(F340="GREENLIFE",PR!$AA338,IF(F340="HLINE",PR!$AB338,IF(F340="ROTECH",PR!$AC338,IF(F340="ISN",PR!$AD338,IF(F340="JAWA",PR!$AE338,IF(F340="LAYO",PR!$AF338,IF(F340="LEADWAY",PR!$AG338,IF(F340="LHV",PR!$AH338,IF(F340="MANOLA",PR!$AI338,IF(F340="MARCSON",PR!$AJ338,IF(F340="M&amp;B",PR!$AK338,IF(F340="MTRUST",PR!$AL338,IF(F340="MWORLD",PR!$AM338,IF(F340="MEGA",PR!$AN338,IF(F340="MICRONOVA",PR!$AO338,IF(F340="MFLASH",PR!$AP338,IF(F340="MORISON",PR!$AQ338,IF(F340="NEMEL",PR!$AR338,IF(F340="NHP",PR!$AS338,IF(F340="NHC",PR!$AT338,IF(F340="OLEAF",PR!$AU338,IF(F340="OCULUS",PR!$AV338,IF(F340="PACIFIC",PR!$AW338,IF(F340="PHAMATEX",PR!$AX338,IF(F340="PETHICS",PR!$AY338,IF(F340="PHILIPS",PR!$AZ338,IF(F340="RANBAXY",PR!$BA338,IF(F340="REALS",PR!$BB338,IF(F340="ROYAL",PR!$BC338,IF(F340="SAM",PR!$BD338,IF(F340="SEAGREEN",PR!$BE338,IF(F340="SKG",PR!$BF338,IF(F340="TAH",PR!$BG338,IF(F340="TAYLEK",PR!$BH338,IF(F340="TEMITA",PR!$BI338,IF(F340="THL",PR!$BJ338,IF(F340="UBASTIC",PR!$BK338,IF(F340="UNION",PR!$BL338,IF(F340="UNIQUE",PR!$BM338,IF(F340="VIXA",PR!$BN338,IF(F340="WWCV",PR!$BO338,IF(F340="ZOLON",PR!$BP338,"-"))))))))))))))))))))))))))))))))))))))))))))))))))))))))))))))))</f>
        <v>700</v>
      </c>
      <c r="F340" s="102" t="str">
        <f>EV!L444</f>
        <v>EUMATT</v>
      </c>
      <c r="G340" s="108">
        <f>IF(H340="ALPHA",PR!$E338,IF(H340="ASSENE",PR!$F338,IF(H340="BIOFEM",PR!$G338,IF(H340="BIOMED",PR!$H338,IF(H340="CHI",PR!$I338,IF(H340="CLARION",PR!$J338,IF(H340="CODIX",PR!$K338,IF(H340="COSMADE",PR!$L338,IF(H340="SANCON",PR!$M338,IF(H340="DEVON",PR!$N338,IF(H340="DORTEMAG",PR!$O338,IF(H340="DGF",PR!$P338,IF(H340="DYNAMIC",PR!$Q338,IF(H340="EMZOR",PR!$R338,IF(H340="EUMATT",PR!$S338,IF(H340="FIDSON",PR!$T338,IF(H340="FCGLOBAL",PR!$U338,IF(H340="GENEITH",PR!$V338,IF(H340="GINOS",PR!$W338,IF(H340="GSK",PR!$X338,IF(H340="GLOBORG",PR!$Y338,IF(H340="GOODNEWS",PR!$Z338,IF(H340="GREENLIFE",PR!$AA338,IF(H340="HLINE",PR!$AB338,IF(H340="ROTECH",PR!$AC338,IF(H340="ISN",PR!$AD338,IF(H340="JAWA",PR!$AE338,IF(H340="LAYO",PR!$AF338,IF(H340="LEADWAY",PR!$AG338,IF(H340="LHV",PR!$AH338,IF(H340="MANOLA",PR!$AI338,IF(H340="MARCSON",PR!$AJ338,IF(H340="M&amp;B",PR!$AK338,IF(H340="MTRUST",PR!$AL338,IF(H340="MWORLD",PR!$AM338,IF(H340="MEGA",PR!$AN338,IF(H340="MICRONOVA",PR!$AO338,IF(H340="MFLASH",PR!$AP338,IF(H340="MORISON",PR!$AQ338,IF(H340="NEMEL",PR!$AR338,IF(H340="NHP",PR!$AS338,IF(H340="NHC",PR!$AT338,IF(H340="OLEAF",PR!$AU338,IF(H340="OCULUS",PR!$AV338,IF(H340="PACIFIC",PR!$AW338,IF(H340="PHAMATEX",PR!$AX338,IF(H340="PETHICS",PR!$AY338,IF(H340="PHILIPS",PR!$AZ338,IF(H340="RANBAXY",PR!$BA338,IF(H340="REALS",PR!$BB338,IF(H340="ROYAL",PR!$BC338,IF(H340="SAM",PR!$BD338,IF(H340="SEAGREEN",PR!$BE338,IF(H340="SKG",PR!$BF338,IF(H340="TAH",PR!$BG338,IF(H340="TAYLEK",PR!$BH338,IF(H340="TEMITA",PR!$BI338,IF(H340="THL",PR!$BJ338,IF(H340="UBASTIC",PR!$BK338,IF(H340="UNION",PR!$BL338,IF(H340="UNIQUE",PR!$BM338,IF(H340="VIXA",PR!$BN338,IF(H340="WWCV",PR!$BO338,IF(H340="ZOLON",PR!$BP338,"-"))))))))))))))))))))))))))))))))))))))))))))))))))))))))))))))))</f>
        <v>800</v>
      </c>
      <c r="H340" s="102" t="str">
        <f>EV!M444</f>
        <v>EMZOR</v>
      </c>
      <c r="I340" s="108" t="str">
        <f>IF(J340="ALPHA",PR!$E338,IF(J340="ASSENE",PR!$F338,IF(J340="BIOFEM",PR!$G338,IF(J340="BIOMED",PR!$H338,IF(J340="CHI",PR!$I338,IF(J340="CLARION",PR!$J338,IF(J340="CODIX",PR!$K338,IF(J340="COSMADE",PR!$L338,IF(J340="SANCON",PR!$M338,IF(J340="DEVON",PR!$N338,IF(J340="DORTEMAG",PR!$O338,IF(J340="DGF",PR!$P338,IF(J340="DYNAMIC",PR!$Q338,IF(J340="EMZOR",PR!$R338,IF(J340="EUMATT",PR!$S338,IF(J340="FIDSON",PR!$T338,IF(J340="FCGLOBAL",PR!$U338,IF(J340="GENEITH",PR!$V338,IF(J340="GINOS",PR!$W338,IF(J340="GSK",PR!$X338,IF(J340="GLOBORG",PR!$Y338,IF(J340="GOODNEWS",PR!$Z338,IF(J340="GREENLIFE",PR!$AA338,IF(J340="HLINE",PR!$AB338,IF(J340="ROTECH",PR!$AC338,IF(J340="ISN",PR!$AD338,IF(J340="JAWA",PR!$AE338,IF(J340="LAYO",PR!$AF338,IF(J340="LEADWAY",PR!$AG338,IF(J340="LHV",PR!$AH338,IF(J340="MANOLA",PR!$AI338,IF(J340="MARCSON",PR!$AJ338,IF(J340="M&amp;B",PR!$AK338,IF(J340="MTRUST",PR!$AL338,IF(J340="MWORLD",PR!$AM338,IF(J340="MEGA",PR!$AN338,IF(J340="MICRONOVA",PR!$AO338,IF(J340="MFLASH",PR!$AP338,IF(J340="MORISON",PR!$AQ338,IF(J340="NEMEL",PR!$AR338,IF(J340="NHP",PR!$AS338,IF(J340="NHC",PR!$AT338,IF(J340="OLEAF",PR!$AU338,IF(J340="OCULUS",PR!$AV338,IF(J340="PACIFIC",PR!$AW338,IF(J340="PHAMATEX",PR!$AX338,IF(J340="PETHICS",PR!$AY338,IF(J340="PHILIPS",PR!$AZ338,IF(J340="RANBAXY",PR!$BA338,IF(J340="REALS",PR!$BB338,IF(J340="ROYAL",PR!$BC338,IF(J340="SAM",PR!$BD338,IF(J340="SEAGREEN",PR!$BE338,IF(J340="SKG",PR!$BF338,IF(J340="TAH",PR!$BG338,IF(J340="TAYLEK",PR!$BH338,IF(J340="TEMITA",PR!$BI338,IF(J340="THL",PR!$BJ338,IF(J340="UBASTIC",PR!$BK338,IF(J340="UNION",PR!$BL338,IF(J340="UNIQUE",PR!$BM338,IF(J340="VIXA",PR!$BN338,IF(J340="WWCV",PR!$BO338,IF(J340="ZOLON",PR!$BP338,"-"))))))))))))))))))))))))))))))))))))))))))))))))))))))))))))))))</f>
        <v>-</v>
      </c>
      <c r="J340" s="102">
        <f>EV!N444</f>
        <v>0</v>
      </c>
      <c r="K340" s="433" t="s">
        <v>614</v>
      </c>
      <c r="L340" s="183">
        <f>IF(K340&gt;0,IF(K340="ALPHA",PR!$E338,IF(K340="ASSENE",PR!$F338,IF(K340="BIOFEM",PR!$G338,IF(K340="BIOMED",PR!$H338,IF(K340="CHI",PR!$I338,IF(K340="CLARION",PR!$J338,IF(K340="CODIX",PR!$K338,IF(K340="COSMADE",PR!$L338,IF(K340="SANCON",PR!$M338,IF(K340="DEVON",PR!$N338,IF(K340="DORTEMAG",PR!$O338,IF(K340="DGF",PR!$P338,IF(K340="DYNAMIC",PR!$Q338,IF(K340="EMZOR",PR!$R338,IF(K340="EUMATT",PR!$S338,IF(K340="FIDSON",PR!$T338,IF(K340="FCGLOBAL",PR!$U338,IF(K340="GENEITH",PR!$V338,IF(K340="GINOS",PR!$W338,IF(K340="GSK",PR!$X338,IF(K340="GLOBORG",PR!$Y338,IF(K340="GOODNEWS",PR!$Z338,IF(K340="GREENLIFE",PR!$AA338,IF(K340="HLINE",PR!$AB338,IF(K340="ROTECH",PR!$AC338,IF(K340="ISN",PR!$AD338,IF(K340="JAWA",PR!$AE338,IF(K340="LAYO",PR!$AF338,IF(K340="LEADWAY",PR!$AG338,IF(K340="LHV",PR!$AH338,IF(K340="MANOLA",PR!$AI338,IF(K340="MARCSON",PR!$AJ338,IF(K340="M&amp;B",PR!$AK338,IF(K340="MTRUST",PR!$AL338,IF(K340="MWORLD",PR!$AM338,IF(K340="MEGA",PR!$AN338,IF(K340="MICRONOVA",PR!$AO338,IF(K340="MFLASH",PR!$AP338,IF(K340="MORISON",PR!$AQ338,IF(K340="NEMEL",PR!$AR338,IF(K340="NHP",PR!$AS338,IF(K340="NHC",PR!$AT338,IF(K340="OLEAF",PR!$AU338,IF(K340="OCULUS",PR!$AV338,IF(K340="PACIFIC",PR!$AW338,IF(K340="PHAMATEX",PR!$AX338,IF(K340="PETHICS",PR!$AY338,IF(K340="PHILIPS",PR!$AZ338,IF(K340="RANBAXY",PR!$BA338,IF(K340="REALS",PR!$BB338,IF(K340="ROYAL",PR!$BC338,IF(K340="SAM",PR!$BD338,IF(K340="SEAGREEN",PR!$BE338,IF(K340="SKG",PR!$BF338,IF(K340="TAH",PR!$BG338,IF(K340="TAYLEK",PR!$BH338,IF(K340="TEMITA",PR!$BI338,IF(K340="THL",PR!$BJ338,IF(K340="UBASTIC",PR!$BK338,IF(K340="UNION",PR!$BL338,IF(K340="UNIQUE",PR!$BM338,IF(K340="VIXA",PR!$BN338,IF(K340="WWCV",PR!$BO338,IF(K340="ZOLON",PR!$BP338,"-")))))))))))))))))))))))))))))))))))))))))))))))))))))))))))))))))</f>
        <v>800</v>
      </c>
    </row>
    <row r="341" spans="1:12" ht="18.75" x14ac:dyDescent="0.3">
      <c r="A341" s="430">
        <f>PR!A339</f>
        <v>309</v>
      </c>
      <c r="B341" s="15" t="str">
        <f>PR!B339</f>
        <v>HEPARIN INJ</v>
      </c>
      <c r="C341" s="113" t="str">
        <f>PR!D339</f>
        <v>VIAL</v>
      </c>
      <c r="D341" s="113">
        <f>PR!C339</f>
        <v>1000</v>
      </c>
      <c r="E341" s="108">
        <f>IF(F341="ALPHA",PR!$E339,IF(F341="ASSENE",PR!$F339,IF(F341="BIOFEM",PR!$G339,IF(F341="BIOMED",PR!$H339,IF(F341="CHI",PR!$I339,IF(F341="CLARION",PR!$J339,IF(F341="CODIX",PR!$K339,IF(F341="COSMADE",PR!$L339,IF(F341="SANCON",PR!$M339,IF(F341="DEVON",PR!$N339,IF(F341="DORTEMAG",PR!$O339,IF(F341="DGF",PR!$P339,IF(F341="DYNAMIC",PR!$Q339,IF(F341="EMZOR",PR!$R339,IF(F341="EUMATT",PR!$S339,IF(F341="FIDSON",PR!$T339,IF(F341="FCGLOBAL",PR!$U339,IF(F341="GENEITH",PR!$V339,IF(F341="GINOS",PR!$W339,IF(F341="GSK",PR!$X339,IF(F341="GLOBORG",PR!$Y339,IF(F341="GOODNEWS",PR!$Z339,IF(F341="GREENLIFE",PR!$AA339,IF(F341="HLINE",PR!$AB339,IF(F341="ROTECH",PR!$AC339,IF(F341="ISN",PR!$AD339,IF(F341="JAWA",PR!$AE339,IF(F341="LAYO",PR!$AF339,IF(F341="LEADWAY",PR!$AG339,IF(F341="LHV",PR!$AH339,IF(F341="MANOLA",PR!$AI339,IF(F341="MARCSON",PR!$AJ339,IF(F341="M&amp;B",PR!$AK339,IF(F341="MTRUST",PR!$AL339,IF(F341="MWORLD",PR!$AM339,IF(F341="MEGA",PR!$AN339,IF(F341="MICRONOVA",PR!$AO339,IF(F341="MFLASH",PR!$AP339,IF(F341="MORISON",PR!$AQ339,IF(F341="NEMEL",PR!$AR339,IF(F341="NHP",PR!$AS339,IF(F341="NHC",PR!$AT339,IF(F341="OLEAF",PR!$AU339,IF(F341="OCULUS",PR!$AV339,IF(F341="PACIFIC",PR!$AW339,IF(F341="PHAMATEX",PR!$AX339,IF(F341="PETHICS",PR!$AY339,IF(F341="PHILIPS",PR!$AZ339,IF(F341="RANBAXY",PR!$BA339,IF(F341="REALS",PR!$BB339,IF(F341="ROYAL",PR!$BC339,IF(F341="SAM",PR!$BD339,IF(F341="SEAGREEN",PR!$BE339,IF(F341="SKG",PR!$BF339,IF(F341="TAH",PR!$BG339,IF(F341="TAYLEK",PR!$BH339,IF(F341="TEMITA",PR!$BI339,IF(F341="THL",PR!$BJ339,IF(F341="UBASTIC",PR!$BK339,IF(F341="UNION",PR!$BL339,IF(F341="UNIQUE",PR!$BM339,IF(F341="VIXA",PR!$BN339,IF(F341="WWCV",PR!$BO339,IF(F341="ZOLON",PR!$BP339,"-"))))))))))))))))))))))))))))))))))))))))))))))))))))))))))))))))</f>
        <v>1800</v>
      </c>
      <c r="F341" s="102" t="str">
        <f>EV!L445</f>
        <v>EUMATT</v>
      </c>
      <c r="G341" s="108">
        <f>IF(H341="ALPHA",PR!$E339,IF(H341="ASSENE",PR!$F339,IF(H341="BIOFEM",PR!$G339,IF(H341="BIOMED",PR!$H339,IF(H341="CHI",PR!$I339,IF(H341="CLARION",PR!$J339,IF(H341="CODIX",PR!$K339,IF(H341="COSMADE",PR!$L339,IF(H341="SANCON",PR!$M339,IF(H341="DEVON",PR!$N339,IF(H341="DORTEMAG",PR!$O339,IF(H341="DGF",PR!$P339,IF(H341="DYNAMIC",PR!$Q339,IF(H341="EMZOR",PR!$R339,IF(H341="EUMATT",PR!$S339,IF(H341="FIDSON",PR!$T339,IF(H341="FCGLOBAL",PR!$U339,IF(H341="GENEITH",PR!$V339,IF(H341="GINOS",PR!$W339,IF(H341="GSK",PR!$X339,IF(H341="GLOBORG",PR!$Y339,IF(H341="GOODNEWS",PR!$Z339,IF(H341="GREENLIFE",PR!$AA339,IF(H341="HLINE",PR!$AB339,IF(H341="ROTECH",PR!$AC339,IF(H341="ISN",PR!$AD339,IF(H341="JAWA",PR!$AE339,IF(H341="LAYO",PR!$AF339,IF(H341="LEADWAY",PR!$AG339,IF(H341="LHV",PR!$AH339,IF(H341="MANOLA",PR!$AI339,IF(H341="MARCSON",PR!$AJ339,IF(H341="M&amp;B",PR!$AK339,IF(H341="MTRUST",PR!$AL339,IF(H341="MWORLD",PR!$AM339,IF(H341="MEGA",PR!$AN339,IF(H341="MICRONOVA",PR!$AO339,IF(H341="MFLASH",PR!$AP339,IF(H341="MORISON",PR!$AQ339,IF(H341="NEMEL",PR!$AR339,IF(H341="NHP",PR!$AS339,IF(H341="NHC",PR!$AT339,IF(H341="OLEAF",PR!$AU339,IF(H341="OCULUS",PR!$AV339,IF(H341="PACIFIC",PR!$AW339,IF(H341="PHAMATEX",PR!$AX339,IF(H341="PETHICS",PR!$AY339,IF(H341="PHILIPS",PR!$AZ339,IF(H341="RANBAXY",PR!$BA339,IF(H341="REALS",PR!$BB339,IF(H341="ROYAL",PR!$BC339,IF(H341="SAM",PR!$BD339,IF(H341="SEAGREEN",PR!$BE339,IF(H341="SKG",PR!$BF339,IF(H341="TAH",PR!$BG339,IF(H341="TAYLEK",PR!$BH339,IF(H341="TEMITA",PR!$BI339,IF(H341="THL",PR!$BJ339,IF(H341="UBASTIC",PR!$BK339,IF(H341="UNION",PR!$BL339,IF(H341="UNIQUE",PR!$BM339,IF(H341="VIXA",PR!$BN339,IF(H341="WWCV",PR!$BO339,IF(H341="ZOLON",PR!$BP339,"-"))))))))))))))))))))))))))))))))))))))))))))))))))))))))))))))))</f>
        <v>2800</v>
      </c>
      <c r="H341" s="102" t="str">
        <f>EV!M445</f>
        <v>ALPHA</v>
      </c>
      <c r="I341" s="108" t="str">
        <f>IF(J341="ALPHA",PR!$E339,IF(J341="ASSENE",PR!$F339,IF(J341="BIOFEM",PR!$G339,IF(J341="BIOMED",PR!$H339,IF(J341="CHI",PR!$I339,IF(J341="CLARION",PR!$J339,IF(J341="CODIX",PR!$K339,IF(J341="COSMADE",PR!$L339,IF(J341="SANCON",PR!$M339,IF(J341="DEVON",PR!$N339,IF(J341="DORTEMAG",PR!$O339,IF(J341="DGF",PR!$P339,IF(J341="DYNAMIC",PR!$Q339,IF(J341="EMZOR",PR!$R339,IF(J341="EUMATT",PR!$S339,IF(J341="FIDSON",PR!$T339,IF(J341="FCGLOBAL",PR!$U339,IF(J341="GENEITH",PR!$V339,IF(J341="GINOS",PR!$W339,IF(J341="GSK",PR!$X339,IF(J341="GLOBORG",PR!$Y339,IF(J341="GOODNEWS",PR!$Z339,IF(J341="GREENLIFE",PR!$AA339,IF(J341="HLINE",PR!$AB339,IF(J341="ROTECH",PR!$AC339,IF(J341="ISN",PR!$AD339,IF(J341="JAWA",PR!$AE339,IF(J341="LAYO",PR!$AF339,IF(J341="LEADWAY",PR!$AG339,IF(J341="LHV",PR!$AH339,IF(J341="MANOLA",PR!$AI339,IF(J341="MARCSON",PR!$AJ339,IF(J341="M&amp;B",PR!$AK339,IF(J341="MTRUST",PR!$AL339,IF(J341="MWORLD",PR!$AM339,IF(J341="MEGA",PR!$AN339,IF(J341="MICRONOVA",PR!$AO339,IF(J341="MFLASH",PR!$AP339,IF(J341="MORISON",PR!$AQ339,IF(J341="NEMEL",PR!$AR339,IF(J341="NHP",PR!$AS339,IF(J341="NHC",PR!$AT339,IF(J341="OLEAF",PR!$AU339,IF(J341="OCULUS",PR!$AV339,IF(J341="PACIFIC",PR!$AW339,IF(J341="PHAMATEX",PR!$AX339,IF(J341="PETHICS",PR!$AY339,IF(J341="PHILIPS",PR!$AZ339,IF(J341="RANBAXY",PR!$BA339,IF(J341="REALS",PR!$BB339,IF(J341="ROYAL",PR!$BC339,IF(J341="SAM",PR!$BD339,IF(J341="SEAGREEN",PR!$BE339,IF(J341="SKG",PR!$BF339,IF(J341="TAH",PR!$BG339,IF(J341="TAYLEK",PR!$BH339,IF(J341="TEMITA",PR!$BI339,IF(J341="THL",PR!$BJ339,IF(J341="UBASTIC",PR!$BK339,IF(J341="UNION",PR!$BL339,IF(J341="UNIQUE",PR!$BM339,IF(J341="VIXA",PR!$BN339,IF(J341="WWCV",PR!$BO339,IF(J341="ZOLON",PR!$BP339,"-"))))))))))))))))))))))))))))))))))))))))))))))))))))))))))))))))</f>
        <v>-</v>
      </c>
      <c r="J341" s="102">
        <f>EV!N445</f>
        <v>0</v>
      </c>
      <c r="K341" s="433" t="s">
        <v>634</v>
      </c>
      <c r="L341" s="183">
        <f>IF(K341&gt;0,IF(K341="ALPHA",PR!$E339,IF(K341="ASSENE",PR!$F339,IF(K341="BIOFEM",PR!$G339,IF(K341="BIOMED",PR!$H339,IF(K341="CHI",PR!$I339,IF(K341="CLARION",PR!$J339,IF(K341="CODIX",PR!$K339,IF(K341="COSMADE",PR!$L339,IF(K341="SANCON",PR!$M339,IF(K341="DEVON",PR!$N339,IF(K341="DORTEMAG",PR!$O339,IF(K341="DGF",PR!$P339,IF(K341="DYNAMIC",PR!$Q339,IF(K341="EMZOR",PR!$R339,IF(K341="EUMATT",PR!$S339,IF(K341="FIDSON",PR!$T339,IF(K341="FCGLOBAL",PR!$U339,IF(K341="GENEITH",PR!$V339,IF(K341="GINOS",PR!$W339,IF(K341="GSK",PR!$X339,IF(K341="GLOBORG",PR!$Y339,IF(K341="GOODNEWS",PR!$Z339,IF(K341="GREENLIFE",PR!$AA339,IF(K341="HLINE",PR!$AB339,IF(K341="ROTECH",PR!$AC339,IF(K341="ISN",PR!$AD339,IF(K341="JAWA",PR!$AE339,IF(K341="LAYO",PR!$AF339,IF(K341="LEADWAY",PR!$AG339,IF(K341="LHV",PR!$AH339,IF(K341="MANOLA",PR!$AI339,IF(K341="MARCSON",PR!$AJ339,IF(K341="M&amp;B",PR!$AK339,IF(K341="MTRUST",PR!$AL339,IF(K341="MWORLD",PR!$AM339,IF(K341="MEGA",PR!$AN339,IF(K341="MICRONOVA",PR!$AO339,IF(K341="MFLASH",PR!$AP339,IF(K341="MORISON",PR!$AQ339,IF(K341="NEMEL",PR!$AR339,IF(K341="NHP",PR!$AS339,IF(K341="NHC",PR!$AT339,IF(K341="OLEAF",PR!$AU339,IF(K341="OCULUS",PR!$AV339,IF(K341="PACIFIC",PR!$AW339,IF(K341="PHAMATEX",PR!$AX339,IF(K341="PETHICS",PR!$AY339,IF(K341="PHILIPS",PR!$AZ339,IF(K341="RANBAXY",PR!$BA339,IF(K341="REALS",PR!$BB339,IF(K341="ROYAL",PR!$BC339,IF(K341="SAM",PR!$BD339,IF(K341="SEAGREEN",PR!$BE339,IF(K341="SKG",PR!$BF339,IF(K341="TAH",PR!$BG339,IF(K341="TAYLEK",PR!$BH339,IF(K341="TEMITA",PR!$BI339,IF(K341="THL",PR!$BJ339,IF(K341="UBASTIC",PR!$BK339,IF(K341="UNION",PR!$BL339,IF(K341="UNIQUE",PR!$BM339,IF(K341="VIXA",PR!$BN339,IF(K341="WWCV",PR!$BO339,IF(K341="ZOLON",PR!$BP339,"-")))))))))))))))))))))))))))))))))))))))))))))))))))))))))))))))))</f>
        <v>2800</v>
      </c>
    </row>
    <row r="342" spans="1:12" ht="18.75" x14ac:dyDescent="0.3">
      <c r="A342" s="430">
        <f>PR!A340</f>
        <v>310</v>
      </c>
      <c r="B342" s="15" t="str">
        <f>PR!B340</f>
        <v>HIGH POTENCY VITAMIN B FORMULA TAB</v>
      </c>
      <c r="C342" s="113">
        <f>PR!D340</f>
        <v>30</v>
      </c>
      <c r="D342" s="113">
        <f>PR!C340</f>
        <v>1500</v>
      </c>
      <c r="E342" s="108">
        <f>IF(F342="ALPHA",PR!$E340,IF(F342="ASSENE",PR!$F340,IF(F342="BIOFEM",PR!$G340,IF(F342="BIOMED",PR!$H340,IF(F342="CHI",PR!$I340,IF(F342="CLARION",PR!$J340,IF(F342="CODIX",PR!$K340,IF(F342="COSMADE",PR!$L340,IF(F342="SANCON",PR!$M340,IF(F342="DEVON",PR!$N340,IF(F342="DORTEMAG",PR!$O340,IF(F342="DGF",PR!$P340,IF(F342="DYNAMIC",PR!$Q340,IF(F342="EMZOR",PR!$R340,IF(F342="EUMATT",PR!$S340,IF(F342="FIDSON",PR!$T340,IF(F342="FCGLOBAL",PR!$U340,IF(F342="GENEITH",PR!$V340,IF(F342="GINOS",PR!$W340,IF(F342="GSK",PR!$X340,IF(F342="GLOBORG",PR!$Y340,IF(F342="GOODNEWS",PR!$Z340,IF(F342="GREENLIFE",PR!$AA340,IF(F342="HLINE",PR!$AB340,IF(F342="ROTECH",PR!$AC340,IF(F342="ISN",PR!$AD340,IF(F342="JAWA",PR!$AE340,IF(F342="LAYO",PR!$AF340,IF(F342="LEADWAY",PR!$AG340,IF(F342="LHV",PR!$AH340,IF(F342="MANOLA",PR!$AI340,IF(F342="MARCSON",PR!$AJ340,IF(F342="M&amp;B",PR!$AK340,IF(F342="MTRUST",PR!$AL340,IF(F342="MWORLD",PR!$AM340,IF(F342="MEGA",PR!$AN340,IF(F342="MICRONOVA",PR!$AO340,IF(F342="MFLASH",PR!$AP340,IF(F342="MORISON",PR!$AQ340,IF(F342="NEMEL",PR!$AR340,IF(F342="NHP",PR!$AS340,IF(F342="NHC",PR!$AT340,IF(F342="OLEAF",PR!$AU340,IF(F342="OCULUS",PR!$AV340,IF(F342="PACIFIC",PR!$AW340,IF(F342="PHAMATEX",PR!$AX340,IF(F342="PETHICS",PR!$AY340,IF(F342="PHILIPS",PR!$AZ340,IF(F342="RANBAXY",PR!$BA340,IF(F342="REALS",PR!$BB340,IF(F342="ROYAL",PR!$BC340,IF(F342="SAM",PR!$BD340,IF(F342="SEAGREEN",PR!$BE340,IF(F342="SKG",PR!$BF340,IF(F342="TAH",PR!$BG340,IF(F342="TAYLEK",PR!$BH340,IF(F342="TEMITA",PR!$BI340,IF(F342="THL",PR!$BJ340,IF(F342="UBASTIC",PR!$BK340,IF(F342="UNION",PR!$BL340,IF(F342="UNIQUE",PR!$BM340,IF(F342="VIXA",PR!$BN340,IF(F342="WWCV",PR!$BO340,IF(F342="ZOLON",PR!$BP340,"-"))))))))))))))))))))))))))))))))))))))))))))))))))))))))))))))))</f>
        <v>2300</v>
      </c>
      <c r="F342" s="102" t="str">
        <f>EV!L446</f>
        <v>MEGA</v>
      </c>
      <c r="G342" s="108" t="str">
        <f>IF(H342="ALPHA",PR!$E340,IF(H342="ASSENE",PR!$F340,IF(H342="BIOFEM",PR!$G340,IF(H342="BIOMED",PR!$H340,IF(H342="CHI",PR!$I340,IF(H342="CLARION",PR!$J340,IF(H342="CODIX",PR!$K340,IF(H342="COSMADE",PR!$L340,IF(H342="SANCON",PR!$M340,IF(H342="DEVON",PR!$N340,IF(H342="DORTEMAG",PR!$O340,IF(H342="DGF",PR!$P340,IF(H342="DYNAMIC",PR!$Q340,IF(H342="EMZOR",PR!$R340,IF(H342="EUMATT",PR!$S340,IF(H342="FIDSON",PR!$T340,IF(H342="FCGLOBAL",PR!$U340,IF(H342="GENEITH",PR!$V340,IF(H342="GINOS",PR!$W340,IF(H342="GSK",PR!$X340,IF(H342="GLOBORG",PR!$Y340,IF(H342="GOODNEWS",PR!$Z340,IF(H342="GREENLIFE",PR!$AA340,IF(H342="HLINE",PR!$AB340,IF(H342="ROTECH",PR!$AC340,IF(H342="ISN",PR!$AD340,IF(H342="JAWA",PR!$AE340,IF(H342="LAYO",PR!$AF340,IF(H342="LEADWAY",PR!$AG340,IF(H342="LHV",PR!$AH340,IF(H342="MANOLA",PR!$AI340,IF(H342="MARCSON",PR!$AJ340,IF(H342="M&amp;B",PR!$AK340,IF(H342="MTRUST",PR!$AL340,IF(H342="MWORLD",PR!$AM340,IF(H342="MEGA",PR!$AN340,IF(H342="MICRONOVA",PR!$AO340,IF(H342="MFLASH",PR!$AP340,IF(H342="MORISON",PR!$AQ340,IF(H342="NEMEL",PR!$AR340,IF(H342="NHP",PR!$AS340,IF(H342="NHC",PR!$AT340,IF(H342="OLEAF",PR!$AU340,IF(H342="OCULUS",PR!$AV340,IF(H342="PACIFIC",PR!$AW340,IF(H342="PHAMATEX",PR!$AX340,IF(H342="PETHICS",PR!$AY340,IF(H342="PHILIPS",PR!$AZ340,IF(H342="RANBAXY",PR!$BA340,IF(H342="REALS",PR!$BB340,IF(H342="ROYAL",PR!$BC340,IF(H342="SAM",PR!$BD340,IF(H342="SEAGREEN",PR!$BE340,IF(H342="SKG",PR!$BF340,IF(H342="TAH",PR!$BG340,IF(H342="TAYLEK",PR!$BH340,IF(H342="TEMITA",PR!$BI340,IF(H342="THL",PR!$BJ340,IF(H342="UBASTIC",PR!$BK340,IF(H342="UNION",PR!$BL340,IF(H342="UNIQUE",PR!$BM340,IF(H342="VIXA",PR!$BN340,IF(H342="WWCV",PR!$BO340,IF(H342="ZOLON",PR!$BP340,"-"))))))))))))))))))))))))))))))))))))))))))))))))))))))))))))))))</f>
        <v>-</v>
      </c>
      <c r="H342" s="102">
        <f>EV!M446</f>
        <v>0</v>
      </c>
      <c r="I342" s="108" t="str">
        <f>IF(J342="ALPHA",PR!$E340,IF(J342="ASSENE",PR!$F340,IF(J342="BIOFEM",PR!$G340,IF(J342="BIOMED",PR!$H340,IF(J342="CHI",PR!$I340,IF(J342="CLARION",PR!$J340,IF(J342="CODIX",PR!$K340,IF(J342="COSMADE",PR!$L340,IF(J342="SANCON",PR!$M340,IF(J342="DEVON",PR!$N340,IF(J342="DORTEMAG",PR!$O340,IF(J342="DGF",PR!$P340,IF(J342="DYNAMIC",PR!$Q340,IF(J342="EMZOR",PR!$R340,IF(J342="EUMATT",PR!$S340,IF(J342="FIDSON",PR!$T340,IF(J342="FCGLOBAL",PR!$U340,IF(J342="GENEITH",PR!$V340,IF(J342="GINOS",PR!$W340,IF(J342="GSK",PR!$X340,IF(J342="GLOBORG",PR!$Y340,IF(J342="GOODNEWS",PR!$Z340,IF(J342="GREENLIFE",PR!$AA340,IF(J342="HLINE",PR!$AB340,IF(J342="ROTECH",PR!$AC340,IF(J342="ISN",PR!$AD340,IF(J342="JAWA",PR!$AE340,IF(J342="LAYO",PR!$AF340,IF(J342="LEADWAY",PR!$AG340,IF(J342="LHV",PR!$AH340,IF(J342="MANOLA",PR!$AI340,IF(J342="MARCSON",PR!$AJ340,IF(J342="M&amp;B",PR!$AK340,IF(J342="MTRUST",PR!$AL340,IF(J342="MWORLD",PR!$AM340,IF(J342="MEGA",PR!$AN340,IF(J342="MICRONOVA",PR!$AO340,IF(J342="MFLASH",PR!$AP340,IF(J342="MORISON",PR!$AQ340,IF(J342="NEMEL",PR!$AR340,IF(J342="NHP",PR!$AS340,IF(J342="NHC",PR!$AT340,IF(J342="OLEAF",PR!$AU340,IF(J342="OCULUS",PR!$AV340,IF(J342="PACIFIC",PR!$AW340,IF(J342="PHAMATEX",PR!$AX340,IF(J342="PETHICS",PR!$AY340,IF(J342="PHILIPS",PR!$AZ340,IF(J342="RANBAXY",PR!$BA340,IF(J342="REALS",PR!$BB340,IF(J342="ROYAL",PR!$BC340,IF(J342="SAM",PR!$BD340,IF(J342="SEAGREEN",PR!$BE340,IF(J342="SKG",PR!$BF340,IF(J342="TAH",PR!$BG340,IF(J342="TAYLEK",PR!$BH340,IF(J342="TEMITA",PR!$BI340,IF(J342="THL",PR!$BJ340,IF(J342="UBASTIC",PR!$BK340,IF(J342="UNION",PR!$BL340,IF(J342="UNIQUE",PR!$BM340,IF(J342="VIXA",PR!$BN340,IF(J342="WWCV",PR!$BO340,IF(J342="ZOLON",PR!$BP340,"-"))))))))))))))))))))))))))))))))))))))))))))))))))))))))))))))))</f>
        <v>-</v>
      </c>
      <c r="J342" s="102">
        <f>EV!N446</f>
        <v>0</v>
      </c>
      <c r="K342" s="433" t="s">
        <v>816</v>
      </c>
      <c r="L342" s="183">
        <f>IF(K342&gt;0,IF(K342="ALPHA",PR!$E340,IF(K342="ASSENE",PR!$F340,IF(K342="BIOFEM",PR!$G340,IF(K342="BIOMED",PR!$H340,IF(K342="CHI",PR!$I340,IF(K342="CLARION",PR!$J340,IF(K342="CODIX",PR!$K340,IF(K342="COSMADE",PR!$L340,IF(K342="SANCON",PR!$M340,IF(K342="DEVON",PR!$N340,IF(K342="DORTEMAG",PR!$O340,IF(K342="DGF",PR!$P340,IF(K342="DYNAMIC",PR!$Q340,IF(K342="EMZOR",PR!$R340,IF(K342="EUMATT",PR!$S340,IF(K342="FIDSON",PR!$T340,IF(K342="FCGLOBAL",PR!$U340,IF(K342="GENEITH",PR!$V340,IF(K342="GINOS",PR!$W340,IF(K342="GSK",PR!$X340,IF(K342="GLOBORG",PR!$Y340,IF(K342="GOODNEWS",PR!$Z340,IF(K342="GREENLIFE",PR!$AA340,IF(K342="HLINE",PR!$AB340,IF(K342="ROTECH",PR!$AC340,IF(K342="ISN",PR!$AD340,IF(K342="JAWA",PR!$AE340,IF(K342="LAYO",PR!$AF340,IF(K342="LEADWAY",PR!$AG340,IF(K342="LHV",PR!$AH340,IF(K342="MANOLA",PR!$AI340,IF(K342="MARCSON",PR!$AJ340,IF(K342="M&amp;B",PR!$AK340,IF(K342="MTRUST",PR!$AL340,IF(K342="MWORLD",PR!$AM340,IF(K342="MEGA",PR!$AN340,IF(K342="MICRONOVA",PR!$AO340,IF(K342="MFLASH",PR!$AP340,IF(K342="MORISON",PR!$AQ340,IF(K342="NEMEL",PR!$AR340,IF(K342="NHP",PR!$AS340,IF(K342="NHC",PR!$AT340,IF(K342="OLEAF",PR!$AU340,IF(K342="OCULUS",PR!$AV340,IF(K342="PACIFIC",PR!$AW340,IF(K342="PHAMATEX",PR!$AX340,IF(K342="PETHICS",PR!$AY340,IF(K342="PHILIPS",PR!$AZ340,IF(K342="RANBAXY",PR!$BA340,IF(K342="REALS",PR!$BB340,IF(K342="ROYAL",PR!$BC340,IF(K342="SAM",PR!$BD340,IF(K342="SEAGREEN",PR!$BE340,IF(K342="SKG",PR!$BF340,IF(K342="TAH",PR!$BG340,IF(K342="TAYLEK",PR!$BH340,IF(K342="TEMITA",PR!$BI340,IF(K342="THL",PR!$BJ340,IF(K342="UBASTIC",PR!$BK340,IF(K342="UNION",PR!$BL340,IF(K342="UNIQUE",PR!$BM340,IF(K342="VIXA",PR!$BN340,IF(K342="WWCV",PR!$BO340,IF(K342="ZOLON",PR!$BP340,"-")))))))))))))))))))))))))))))))))))))))))))))))))))))))))))))))))</f>
        <v>2300</v>
      </c>
    </row>
    <row r="343" spans="1:12" ht="18.75" x14ac:dyDescent="0.3">
      <c r="A343" s="430">
        <f>PR!A341</f>
        <v>311</v>
      </c>
      <c r="B343" s="15" t="str">
        <f>PR!B341</f>
        <v>IRON (III) HYDROXIDE POLYMALTOSE COMPLEX 50MG STERROP (TOT'HEMA)</v>
      </c>
      <c r="C343" s="113">
        <f>PR!D341</f>
        <v>20</v>
      </c>
      <c r="D343" s="113">
        <f>PR!C341</f>
        <v>600</v>
      </c>
      <c r="E343" s="108">
        <f>IF(F343="ALPHA",PR!$E341,IF(F343="ASSENE",PR!$F341,IF(F343="BIOFEM",PR!$G341,IF(F343="BIOMED",PR!$H341,IF(F343="CHI",PR!$I341,IF(F343="CLARION",PR!$J341,IF(F343="CODIX",PR!$K341,IF(F343="COSMADE",PR!$L341,IF(F343="SANCON",PR!$M341,IF(F343="DEVON",PR!$N341,IF(F343="DORTEMAG",PR!$O341,IF(F343="DGF",PR!$P341,IF(F343="DYNAMIC",PR!$Q341,IF(F343="EMZOR",PR!$R341,IF(F343="EUMATT",PR!$S341,IF(F343="FIDSON",PR!$T341,IF(F343="FCGLOBAL",PR!$U341,IF(F343="GENEITH",PR!$V341,IF(F343="GINOS",PR!$W341,IF(F343="GSK",PR!$X341,IF(F343="GLOBORG",PR!$Y341,IF(F343="GOODNEWS",PR!$Z341,IF(F343="GREENLIFE",PR!$AA341,IF(F343="HLINE",PR!$AB341,IF(F343="ROTECH",PR!$AC341,IF(F343="ISN",PR!$AD341,IF(F343="JAWA",PR!$AE341,IF(F343="LAYO",PR!$AF341,IF(F343="LEADWAY",PR!$AG341,IF(F343="LHV",PR!$AH341,IF(F343="MANOLA",PR!$AI341,IF(F343="MARCSON",PR!$AJ341,IF(F343="M&amp;B",PR!$AK341,IF(F343="MTRUST",PR!$AL341,IF(F343="MWORLD",PR!$AM341,IF(F343="MEGA",PR!$AN341,IF(F343="MICRONOVA",PR!$AO341,IF(F343="MFLASH",PR!$AP341,IF(F343="MORISON",PR!$AQ341,IF(F343="NEMEL",PR!$AR341,IF(F343="NHP",PR!$AS341,IF(F343="NHC",PR!$AT341,IF(F343="OLEAF",PR!$AU341,IF(F343="OCULUS",PR!$AV341,IF(F343="PACIFIC",PR!$AW341,IF(F343="PHAMATEX",PR!$AX341,IF(F343="PETHICS",PR!$AY341,IF(F343="PHILIPS",PR!$AZ341,IF(F343="RANBAXY",PR!$BA341,IF(F343="REALS",PR!$BB341,IF(F343="ROYAL",PR!$BC341,IF(F343="SAM",PR!$BD341,IF(F343="SEAGREEN",PR!$BE341,IF(F343="SKG",PR!$BF341,IF(F343="TAH",PR!$BG341,IF(F343="TAYLEK",PR!$BH341,IF(F343="TEMITA",PR!$BI341,IF(F343="THL",PR!$BJ341,IF(F343="UBASTIC",PR!$BK341,IF(F343="UNION",PR!$BL341,IF(F343="UNIQUE",PR!$BM341,IF(F343="VIXA",PR!$BN341,IF(F343="WWCV",PR!$BO341,IF(F343="ZOLON",PR!$BP341,"-"))))))))))))))))))))))))))))))))))))))))))))))))))))))))))))))))</f>
        <v>410</v>
      </c>
      <c r="F343" s="102" t="str">
        <f>EV!L447</f>
        <v>MICRONOVA</v>
      </c>
      <c r="G343" s="108">
        <f>IF(H343="ALPHA",PR!$E341,IF(H343="ASSENE",PR!$F341,IF(H343="BIOFEM",PR!$G341,IF(H343="BIOMED",PR!$H341,IF(H343="CHI",PR!$I341,IF(H343="CLARION",PR!$J341,IF(H343="CODIX",PR!$K341,IF(H343="COSMADE",PR!$L341,IF(H343="SANCON",PR!$M341,IF(H343="DEVON",PR!$N341,IF(H343="DORTEMAG",PR!$O341,IF(H343="DGF",PR!$P341,IF(H343="DYNAMIC",PR!$Q341,IF(H343="EMZOR",PR!$R341,IF(H343="EUMATT",PR!$S341,IF(H343="FIDSON",PR!$T341,IF(H343="FCGLOBAL",PR!$U341,IF(H343="GENEITH",PR!$V341,IF(H343="GINOS",PR!$W341,IF(H343="GSK",PR!$X341,IF(H343="GLOBORG",PR!$Y341,IF(H343="GOODNEWS",PR!$Z341,IF(H343="GREENLIFE",PR!$AA341,IF(H343="HLINE",PR!$AB341,IF(H343="ROTECH",PR!$AC341,IF(H343="ISN",PR!$AD341,IF(H343="JAWA",PR!$AE341,IF(H343="LAYO",PR!$AF341,IF(H343="LEADWAY",PR!$AG341,IF(H343="LHV",PR!$AH341,IF(H343="MANOLA",PR!$AI341,IF(H343="MARCSON",PR!$AJ341,IF(H343="M&amp;B",PR!$AK341,IF(H343="MTRUST",PR!$AL341,IF(H343="MWORLD",PR!$AM341,IF(H343="MEGA",PR!$AN341,IF(H343="MICRONOVA",PR!$AO341,IF(H343="MFLASH",PR!$AP341,IF(H343="MORISON",PR!$AQ341,IF(H343="NEMEL",PR!$AR341,IF(H343="NHP",PR!$AS341,IF(H343="NHC",PR!$AT341,IF(H343="OLEAF",PR!$AU341,IF(H343="OCULUS",PR!$AV341,IF(H343="PACIFIC",PR!$AW341,IF(H343="PHAMATEX",PR!$AX341,IF(H343="PETHICS",PR!$AY341,IF(H343="PHILIPS",PR!$AZ341,IF(H343="RANBAXY",PR!$BA341,IF(H343="REALS",PR!$BB341,IF(H343="ROYAL",PR!$BC341,IF(H343="SAM",PR!$BD341,IF(H343="SEAGREEN",PR!$BE341,IF(H343="SKG",PR!$BF341,IF(H343="TAH",PR!$BG341,IF(H343="TAYLEK",PR!$BH341,IF(H343="TEMITA",PR!$BI341,IF(H343="THL",PR!$BJ341,IF(H343="UBASTIC",PR!$BK341,IF(H343="UNION",PR!$BL341,IF(H343="UNIQUE",PR!$BM341,IF(H343="VIXA",PR!$BN341,IF(H343="WWCV",PR!$BO341,IF(H343="ZOLON",PR!$BP341,"-"))))))))))))))))))))))))))))))))))))))))))))))))))))))))))))))))</f>
        <v>480</v>
      </c>
      <c r="H343" s="102" t="str">
        <f>EV!M447</f>
        <v>THL</v>
      </c>
      <c r="I343" s="108">
        <f>IF(J343="ALPHA",PR!$E341,IF(J343="ASSENE",PR!$F341,IF(J343="BIOFEM",PR!$G341,IF(J343="BIOMED",PR!$H341,IF(J343="CHI",PR!$I341,IF(J343="CLARION",PR!$J341,IF(J343="CODIX",PR!$K341,IF(J343="COSMADE",PR!$L341,IF(J343="SANCON",PR!$M341,IF(J343="DEVON",PR!$N341,IF(J343="DORTEMAG",PR!$O341,IF(J343="DGF",PR!$P341,IF(J343="DYNAMIC",PR!$Q341,IF(J343="EMZOR",PR!$R341,IF(J343="EUMATT",PR!$S341,IF(J343="FIDSON",PR!$T341,IF(J343="FCGLOBAL",PR!$U341,IF(J343="GENEITH",PR!$V341,IF(J343="GINOS",PR!$W341,IF(J343="GSK",PR!$X341,IF(J343="GLOBORG",PR!$Y341,IF(J343="GOODNEWS",PR!$Z341,IF(J343="GREENLIFE",PR!$AA341,IF(J343="HLINE",PR!$AB341,IF(J343="ROTECH",PR!$AC341,IF(J343="ISN",PR!$AD341,IF(J343="JAWA",PR!$AE341,IF(J343="LAYO",PR!$AF341,IF(J343="LEADWAY",PR!$AG341,IF(J343="LHV",PR!$AH341,IF(J343="MANOLA",PR!$AI341,IF(J343="MARCSON",PR!$AJ341,IF(J343="M&amp;B",PR!$AK341,IF(J343="MTRUST",PR!$AL341,IF(J343="MWORLD",PR!$AM341,IF(J343="MEGA",PR!$AN341,IF(J343="MICRONOVA",PR!$AO341,IF(J343="MFLASH",PR!$AP341,IF(J343="MORISON",PR!$AQ341,IF(J343="NEMEL",PR!$AR341,IF(J343="NHP",PR!$AS341,IF(J343="NHC",PR!$AT341,IF(J343="OLEAF",PR!$AU341,IF(J343="OCULUS",PR!$AV341,IF(J343="PACIFIC",PR!$AW341,IF(J343="PHAMATEX",PR!$AX341,IF(J343="PETHICS",PR!$AY341,IF(J343="PHILIPS",PR!$AZ341,IF(J343="RANBAXY",PR!$BA341,IF(J343="REALS",PR!$BB341,IF(J343="ROYAL",PR!$BC341,IF(J343="SAM",PR!$BD341,IF(J343="SEAGREEN",PR!$BE341,IF(J343="SKG",PR!$BF341,IF(J343="TAH",PR!$BG341,IF(J343="TAYLEK",PR!$BH341,IF(J343="TEMITA",PR!$BI341,IF(J343="THL",PR!$BJ341,IF(J343="UBASTIC",PR!$BK341,IF(J343="UNION",PR!$BL341,IF(J343="UNIQUE",PR!$BM341,IF(J343="VIXA",PR!$BN341,IF(J343="WWCV",PR!$BO341,IF(J343="ZOLON",PR!$BP341,"-"))))))))))))))))))))))))))))))))))))))))))))))))))))))))))))))))</f>
        <v>500</v>
      </c>
      <c r="J343" s="102" t="str">
        <f>EV!N447</f>
        <v>HLINE</v>
      </c>
      <c r="K343" s="433" t="s">
        <v>1235</v>
      </c>
      <c r="L343" s="183">
        <f>IF(K343&gt;0,IF(K343="ALPHA",PR!$E341,IF(K343="ASSENE",PR!$F341,IF(K343="BIOFEM",PR!$G341,IF(K343="BIOMED",PR!$H341,IF(K343="CHI",PR!$I341,IF(K343="CLARION",PR!$J341,IF(K343="CODIX",PR!$K341,IF(K343="COSMADE",PR!$L341,IF(K343="SANCON",PR!$M341,IF(K343="DEVON",PR!$N341,IF(K343="DORTEMAG",PR!$O341,IF(K343="DGF",PR!$P341,IF(K343="DYNAMIC",PR!$Q341,IF(K343="EMZOR",PR!$R341,IF(K343="EUMATT",PR!$S341,IF(K343="FIDSON",PR!$T341,IF(K343="FCGLOBAL",PR!$U341,IF(K343="GENEITH",PR!$V341,IF(K343="GINOS",PR!$W341,IF(K343="GSK",PR!$X341,IF(K343="GLOBORG",PR!$Y341,IF(K343="GOODNEWS",PR!$Z341,IF(K343="GREENLIFE",PR!$AA341,IF(K343="HLINE",PR!$AB341,IF(K343="ROTECH",PR!$AC341,IF(K343="ISN",PR!$AD341,IF(K343="JAWA",PR!$AE341,IF(K343="LAYO",PR!$AF341,IF(K343="LEADWAY",PR!$AG341,IF(K343="LHV",PR!$AH341,IF(K343="MANOLA",PR!$AI341,IF(K343="MARCSON",PR!$AJ341,IF(K343="M&amp;B",PR!$AK341,IF(K343="MTRUST",PR!$AL341,IF(K343="MWORLD",PR!$AM341,IF(K343="MEGA",PR!$AN341,IF(K343="MICRONOVA",PR!$AO341,IF(K343="MFLASH",PR!$AP341,IF(K343="MORISON",PR!$AQ341,IF(K343="NEMEL",PR!$AR341,IF(K343="NHP",PR!$AS341,IF(K343="NHC",PR!$AT341,IF(K343="OLEAF",PR!$AU341,IF(K343="OCULUS",PR!$AV341,IF(K343="PACIFIC",PR!$AW341,IF(K343="PHAMATEX",PR!$AX341,IF(K343="PETHICS",PR!$AY341,IF(K343="PHILIPS",PR!$AZ341,IF(K343="RANBAXY",PR!$BA341,IF(K343="REALS",PR!$BB341,IF(K343="ROYAL",PR!$BC341,IF(K343="SAM",PR!$BD341,IF(K343="SEAGREEN",PR!$BE341,IF(K343="SKG",PR!$BF341,IF(K343="TAH",PR!$BG341,IF(K343="TAYLEK",PR!$BH341,IF(K343="TEMITA",PR!$BI341,IF(K343="THL",PR!$BJ341,IF(K343="UBASTIC",PR!$BK341,IF(K343="UNION",PR!$BL341,IF(K343="UNIQUE",PR!$BM341,IF(K343="VIXA",PR!$BN341,IF(K343="WWCV",PR!$BO341,IF(K343="ZOLON",PR!$BP341,"-")))))))))))))))))))))))))))))))))))))))))))))))))))))))))))))))))</f>
        <v>480</v>
      </c>
    </row>
    <row r="344" spans="1:12" ht="18.75" x14ac:dyDescent="0.3">
      <c r="A344" s="430">
        <f>PR!A342</f>
        <v>312</v>
      </c>
      <c r="B344" s="15" t="str">
        <f>PR!B342</f>
        <v>IRON MINERAL VITAMINS CAP</v>
      </c>
      <c r="C344" s="113">
        <f>PR!D342</f>
        <v>30</v>
      </c>
      <c r="D344" s="113">
        <f>PR!C342</f>
        <v>960</v>
      </c>
      <c r="E344" s="108">
        <f>IF(F344="ALPHA",PR!$E342,IF(F344="ASSENE",PR!$F342,IF(F344="BIOFEM",PR!$G342,IF(F344="BIOMED",PR!$H342,IF(F344="CHI",PR!$I342,IF(F344="CLARION",PR!$J342,IF(F344="CODIX",PR!$K342,IF(F344="COSMADE",PR!$L342,IF(F344="SANCON",PR!$M342,IF(F344="DEVON",PR!$N342,IF(F344="DORTEMAG",PR!$O342,IF(F344="DGF",PR!$P342,IF(F344="DYNAMIC",PR!$Q342,IF(F344="EMZOR",PR!$R342,IF(F344="EUMATT",PR!$S342,IF(F344="FIDSON",PR!$T342,IF(F344="FCGLOBAL",PR!$U342,IF(F344="GENEITH",PR!$V342,IF(F344="GINOS",PR!$W342,IF(F344="GSK",PR!$X342,IF(F344="GLOBORG",PR!$Y342,IF(F344="GOODNEWS",PR!$Z342,IF(F344="GREENLIFE",PR!$AA342,IF(F344="HLINE",PR!$AB342,IF(F344="ROTECH",PR!$AC342,IF(F344="ISN",PR!$AD342,IF(F344="JAWA",PR!$AE342,IF(F344="LAYO",PR!$AF342,IF(F344="LEADWAY",PR!$AG342,IF(F344="LHV",PR!$AH342,IF(F344="MANOLA",PR!$AI342,IF(F344="MARCSON",PR!$AJ342,IF(F344="M&amp;B",PR!$AK342,IF(F344="MTRUST",PR!$AL342,IF(F344="MWORLD",PR!$AM342,IF(F344="MEGA",PR!$AN342,IF(F344="MICRONOVA",PR!$AO342,IF(F344="MFLASH",PR!$AP342,IF(F344="MORISON",PR!$AQ342,IF(F344="NEMEL",PR!$AR342,IF(F344="NHP",PR!$AS342,IF(F344="NHC",PR!$AT342,IF(F344="OLEAF",PR!$AU342,IF(F344="OCULUS",PR!$AV342,IF(F344="PACIFIC",PR!$AW342,IF(F344="PHAMATEX",PR!$AX342,IF(F344="PETHICS",PR!$AY342,IF(F344="PHILIPS",PR!$AZ342,IF(F344="RANBAXY",PR!$BA342,IF(F344="REALS",PR!$BB342,IF(F344="ROYAL",PR!$BC342,IF(F344="SAM",PR!$BD342,IF(F344="SEAGREEN",PR!$BE342,IF(F344="SKG",PR!$BF342,IF(F344="TAH",PR!$BG342,IF(F344="TAYLEK",PR!$BH342,IF(F344="TEMITA",PR!$BI342,IF(F344="THL",PR!$BJ342,IF(F344="UBASTIC",PR!$BK342,IF(F344="UNION",PR!$BL342,IF(F344="UNIQUE",PR!$BM342,IF(F344="VIXA",PR!$BN342,IF(F344="WWCV",PR!$BO342,IF(F344="ZOLON",PR!$BP342,"-"))))))))))))))))))))))))))))))))))))))))))))))))))))))))))))))))</f>
        <v>170</v>
      </c>
      <c r="F344" s="102" t="str">
        <f>EV!L448</f>
        <v>UNIQUE</v>
      </c>
      <c r="G344" s="108">
        <f>IF(H344="ALPHA",PR!$E342,IF(H344="ASSENE",PR!$F342,IF(H344="BIOFEM",PR!$G342,IF(H344="BIOMED",PR!$H342,IF(H344="CHI",PR!$I342,IF(H344="CLARION",PR!$J342,IF(H344="CODIX",PR!$K342,IF(H344="COSMADE",PR!$L342,IF(H344="SANCON",PR!$M342,IF(H344="DEVON",PR!$N342,IF(H344="DORTEMAG",PR!$O342,IF(H344="DGF",PR!$P342,IF(H344="DYNAMIC",PR!$Q342,IF(H344="EMZOR",PR!$R342,IF(H344="EUMATT",PR!$S342,IF(H344="FIDSON",PR!$T342,IF(H344="FCGLOBAL",PR!$U342,IF(H344="GENEITH",PR!$V342,IF(H344="GINOS",PR!$W342,IF(H344="GSK",PR!$X342,IF(H344="GLOBORG",PR!$Y342,IF(H344="GOODNEWS",PR!$Z342,IF(H344="GREENLIFE",PR!$AA342,IF(H344="HLINE",PR!$AB342,IF(H344="ROTECH",PR!$AC342,IF(H344="ISN",PR!$AD342,IF(H344="JAWA",PR!$AE342,IF(H344="LAYO",PR!$AF342,IF(H344="LEADWAY",PR!$AG342,IF(H344="LHV",PR!$AH342,IF(H344="MANOLA",PR!$AI342,IF(H344="MARCSON",PR!$AJ342,IF(H344="M&amp;B",PR!$AK342,IF(H344="MTRUST",PR!$AL342,IF(H344="MWORLD",PR!$AM342,IF(H344="MEGA",PR!$AN342,IF(H344="MICRONOVA",PR!$AO342,IF(H344="MFLASH",PR!$AP342,IF(H344="MORISON",PR!$AQ342,IF(H344="NEMEL",PR!$AR342,IF(H344="NHP",PR!$AS342,IF(H344="NHC",PR!$AT342,IF(H344="OLEAF",PR!$AU342,IF(H344="OCULUS",PR!$AV342,IF(H344="PACIFIC",PR!$AW342,IF(H344="PHAMATEX",PR!$AX342,IF(H344="PETHICS",PR!$AY342,IF(H344="PHILIPS",PR!$AZ342,IF(H344="RANBAXY",PR!$BA342,IF(H344="REALS",PR!$BB342,IF(H344="ROYAL",PR!$BC342,IF(H344="SAM",PR!$BD342,IF(H344="SEAGREEN",PR!$BE342,IF(H344="SKG",PR!$BF342,IF(H344="TAH",PR!$BG342,IF(H344="TAYLEK",PR!$BH342,IF(H344="TEMITA",PR!$BI342,IF(H344="THL",PR!$BJ342,IF(H344="UBASTIC",PR!$BK342,IF(H344="UNION",PR!$BL342,IF(H344="UNIQUE",PR!$BM342,IF(H344="VIXA",PR!$BN342,IF(H344="WWCV",PR!$BO342,IF(H344="ZOLON",PR!$BP342,"-"))))))))))))))))))))))))))))))))))))))))))))))))))))))))))))))))</f>
        <v>304.47000000000003</v>
      </c>
      <c r="H344" s="102" t="str">
        <f>EV!M448</f>
        <v>SKG</v>
      </c>
      <c r="I344" s="108">
        <f>IF(J344="ALPHA",PR!$E342,IF(J344="ASSENE",PR!$F342,IF(J344="BIOFEM",PR!$G342,IF(J344="BIOMED",PR!$H342,IF(J344="CHI",PR!$I342,IF(J344="CLARION",PR!$J342,IF(J344="CODIX",PR!$K342,IF(J344="COSMADE",PR!$L342,IF(J344="SANCON",PR!$M342,IF(J344="DEVON",PR!$N342,IF(J344="DORTEMAG",PR!$O342,IF(J344="DGF",PR!$P342,IF(J344="DYNAMIC",PR!$Q342,IF(J344="EMZOR",PR!$R342,IF(J344="EUMATT",PR!$S342,IF(J344="FIDSON",PR!$T342,IF(J344="FCGLOBAL",PR!$U342,IF(J344="GENEITH",PR!$V342,IF(J344="GINOS",PR!$W342,IF(J344="GSK",PR!$X342,IF(J344="GLOBORG",PR!$Y342,IF(J344="GOODNEWS",PR!$Z342,IF(J344="GREENLIFE",PR!$AA342,IF(J344="HLINE",PR!$AB342,IF(J344="ROTECH",PR!$AC342,IF(J344="ISN",PR!$AD342,IF(J344="JAWA",PR!$AE342,IF(J344="LAYO",PR!$AF342,IF(J344="LEADWAY",PR!$AG342,IF(J344="LHV",PR!$AH342,IF(J344="MANOLA",PR!$AI342,IF(J344="MARCSON",PR!$AJ342,IF(J344="M&amp;B",PR!$AK342,IF(J344="MTRUST",PR!$AL342,IF(J344="MWORLD",PR!$AM342,IF(J344="MEGA",PR!$AN342,IF(J344="MICRONOVA",PR!$AO342,IF(J344="MFLASH",PR!$AP342,IF(J344="MORISON",PR!$AQ342,IF(J344="NEMEL",PR!$AR342,IF(J344="NHP",PR!$AS342,IF(J344="NHC",PR!$AT342,IF(J344="OLEAF",PR!$AU342,IF(J344="OCULUS",PR!$AV342,IF(J344="PACIFIC",PR!$AW342,IF(J344="PHAMATEX",PR!$AX342,IF(J344="PETHICS",PR!$AY342,IF(J344="PHILIPS",PR!$AZ342,IF(J344="RANBAXY",PR!$BA342,IF(J344="REALS",PR!$BB342,IF(J344="ROYAL",PR!$BC342,IF(J344="SAM",PR!$BD342,IF(J344="SEAGREEN",PR!$BE342,IF(J344="SKG",PR!$BF342,IF(J344="TAH",PR!$BG342,IF(J344="TAYLEK",PR!$BH342,IF(J344="TEMITA",PR!$BI342,IF(J344="THL",PR!$BJ342,IF(J344="UBASTIC",PR!$BK342,IF(J344="UNION",PR!$BL342,IF(J344="UNIQUE",PR!$BM342,IF(J344="VIXA",PR!$BN342,IF(J344="WWCV",PR!$BO342,IF(J344="ZOLON",PR!$BP342,"-"))))))))))))))))))))))))))))))))))))))))))))))))))))))))))))))))</f>
        <v>380</v>
      </c>
      <c r="J344" s="102" t="str">
        <f>EV!N448</f>
        <v>THL</v>
      </c>
      <c r="K344" s="433" t="s">
        <v>633</v>
      </c>
      <c r="L344" s="183">
        <f>IF(K344&gt;0,IF(K344="ALPHA",PR!$E342,IF(K344="ASSENE",PR!$F342,IF(K344="BIOFEM",PR!$G342,IF(K344="BIOMED",PR!$H342,IF(K344="CHI",PR!$I342,IF(K344="CLARION",PR!$J342,IF(K344="CODIX",PR!$K342,IF(K344="COSMADE",PR!$L342,IF(K344="SANCON",PR!$M342,IF(K344="DEVON",PR!$N342,IF(K344="DORTEMAG",PR!$O342,IF(K344="DGF",PR!$P342,IF(K344="DYNAMIC",PR!$Q342,IF(K344="EMZOR",PR!$R342,IF(K344="EUMATT",PR!$S342,IF(K344="FIDSON",PR!$T342,IF(K344="FCGLOBAL",PR!$U342,IF(K344="GENEITH",PR!$V342,IF(K344="GINOS",PR!$W342,IF(K344="GSK",PR!$X342,IF(K344="GLOBORG",PR!$Y342,IF(K344="GOODNEWS",PR!$Z342,IF(K344="GREENLIFE",PR!$AA342,IF(K344="HLINE",PR!$AB342,IF(K344="ROTECH",PR!$AC342,IF(K344="ISN",PR!$AD342,IF(K344="JAWA",PR!$AE342,IF(K344="LAYO",PR!$AF342,IF(K344="LEADWAY",PR!$AG342,IF(K344="LHV",PR!$AH342,IF(K344="MANOLA",PR!$AI342,IF(K344="MARCSON",PR!$AJ342,IF(K344="M&amp;B",PR!$AK342,IF(K344="MTRUST",PR!$AL342,IF(K344="MWORLD",PR!$AM342,IF(K344="MEGA",PR!$AN342,IF(K344="MICRONOVA",PR!$AO342,IF(K344="MFLASH",PR!$AP342,IF(K344="MORISON",PR!$AQ342,IF(K344="NEMEL",PR!$AR342,IF(K344="NHP",PR!$AS342,IF(K344="NHC",PR!$AT342,IF(K344="OLEAF",PR!$AU342,IF(K344="OCULUS",PR!$AV342,IF(K344="PACIFIC",PR!$AW342,IF(K344="PHAMATEX",PR!$AX342,IF(K344="PETHICS",PR!$AY342,IF(K344="PHILIPS",PR!$AZ342,IF(K344="RANBAXY",PR!$BA342,IF(K344="REALS",PR!$BB342,IF(K344="ROYAL",PR!$BC342,IF(K344="SAM",PR!$BD342,IF(K344="SEAGREEN",PR!$BE342,IF(K344="SKG",PR!$BF342,IF(K344="TAH",PR!$BG342,IF(K344="TAYLEK",PR!$BH342,IF(K344="TEMITA",PR!$BI342,IF(K344="THL",PR!$BJ342,IF(K344="UBASTIC",PR!$BK342,IF(K344="UNION",PR!$BL342,IF(K344="UNIQUE",PR!$BM342,IF(K344="VIXA",PR!$BN342,IF(K344="WWCV",PR!$BO342,IF(K344="ZOLON",PR!$BP342,"-")))))))))))))))))))))))))))))))))))))))))))))))))))))))))))))))))</f>
        <v>170</v>
      </c>
    </row>
    <row r="345" spans="1:12" ht="18.75" x14ac:dyDescent="0.3">
      <c r="A345" s="430">
        <f>PR!A343</f>
        <v>313</v>
      </c>
      <c r="B345" s="15" t="str">
        <f>PR!B343</f>
        <v>JOBELYN CAP</v>
      </c>
      <c r="C345" s="113">
        <f>PR!D343</f>
        <v>100</v>
      </c>
      <c r="D345" s="113">
        <f>PR!C343</f>
        <v>20</v>
      </c>
      <c r="E345" s="108">
        <f>IF(F345="ALPHA",PR!$E343,IF(F345="ASSENE",PR!$F343,IF(F345="BIOFEM",PR!$G343,IF(F345="BIOMED",PR!$H343,IF(F345="CHI",PR!$I343,IF(F345="CLARION",PR!$J343,IF(F345="CODIX",PR!$K343,IF(F345="COSMADE",PR!$L343,IF(F345="SANCON",PR!$M343,IF(F345="DEVON",PR!$N343,IF(F345="DORTEMAG",PR!$O343,IF(F345="DGF",PR!$P343,IF(F345="DYNAMIC",PR!$Q343,IF(F345="EMZOR",PR!$R343,IF(F345="EUMATT",PR!$S343,IF(F345="FIDSON",PR!$T343,IF(F345="FCGLOBAL",PR!$U343,IF(F345="GENEITH",PR!$V343,IF(F345="GINOS",PR!$W343,IF(F345="GSK",PR!$X343,IF(F345="GLOBORG",PR!$Y343,IF(F345="GOODNEWS",PR!$Z343,IF(F345="GREENLIFE",PR!$AA343,IF(F345="HLINE",PR!$AB343,IF(F345="ROTECH",PR!$AC343,IF(F345="ISN",PR!$AD343,IF(F345="JAWA",PR!$AE343,IF(F345="LAYO",PR!$AF343,IF(F345="LEADWAY",PR!$AG343,IF(F345="LHV",PR!$AH343,IF(F345="MANOLA",PR!$AI343,IF(F345="MARCSON",PR!$AJ343,IF(F345="M&amp;B",PR!$AK343,IF(F345="MTRUST",PR!$AL343,IF(F345="MWORLD",PR!$AM343,IF(F345="MEGA",PR!$AN343,IF(F345="MICRONOVA",PR!$AO343,IF(F345="MFLASH",PR!$AP343,IF(F345="MORISON",PR!$AQ343,IF(F345="NEMEL",PR!$AR343,IF(F345="NHP",PR!$AS343,IF(F345="NHC",PR!$AT343,IF(F345="OLEAF",PR!$AU343,IF(F345="OCULUS",PR!$AV343,IF(F345="PACIFIC",PR!$AW343,IF(F345="PHAMATEX",PR!$AX343,IF(F345="PETHICS",PR!$AY343,IF(F345="PHILIPS",PR!$AZ343,IF(F345="RANBAXY",PR!$BA343,IF(F345="REALS",PR!$BB343,IF(F345="ROYAL",PR!$BC343,IF(F345="SAM",PR!$BD343,IF(F345="SEAGREEN",PR!$BE343,IF(F345="SKG",PR!$BF343,IF(F345="TAH",PR!$BG343,IF(F345="TAYLEK",PR!$BH343,IF(F345="TEMITA",PR!$BI343,IF(F345="THL",PR!$BJ343,IF(F345="UBASTIC",PR!$BK343,IF(F345="UNION",PR!$BL343,IF(F345="UNIQUE",PR!$BM343,IF(F345="VIXA",PR!$BN343,IF(F345="WWCV",PR!$BO343,IF(F345="ZOLON",PR!$BP343,"-"))))))))))))))))))))))))))))))))))))))))))))))))))))))))))))))))</f>
        <v>4450</v>
      </c>
      <c r="F345" s="102" t="str">
        <f>EV!L449</f>
        <v>NHC</v>
      </c>
      <c r="G345" s="108" t="str">
        <f>IF(H345="ALPHA",PR!$E343,IF(H345="ASSENE",PR!$F343,IF(H345="BIOFEM",PR!$G343,IF(H345="BIOMED",PR!$H343,IF(H345="CHI",PR!$I343,IF(H345="CLARION",PR!$J343,IF(H345="CODIX",PR!$K343,IF(H345="COSMADE",PR!$L343,IF(H345="SANCON",PR!$M343,IF(H345="DEVON",PR!$N343,IF(H345="DORTEMAG",PR!$O343,IF(H345="DGF",PR!$P343,IF(H345="DYNAMIC",PR!$Q343,IF(H345="EMZOR",PR!$R343,IF(H345="EUMATT",PR!$S343,IF(H345="FIDSON",PR!$T343,IF(H345="FCGLOBAL",PR!$U343,IF(H345="GENEITH",PR!$V343,IF(H345="GINOS",PR!$W343,IF(H345="GSK",PR!$X343,IF(H345="GLOBORG",PR!$Y343,IF(H345="GOODNEWS",PR!$Z343,IF(H345="GREENLIFE",PR!$AA343,IF(H345="HLINE",PR!$AB343,IF(H345="ROTECH",PR!$AC343,IF(H345="ISN",PR!$AD343,IF(H345="JAWA",PR!$AE343,IF(H345="LAYO",PR!$AF343,IF(H345="LEADWAY",PR!$AG343,IF(H345="LHV",PR!$AH343,IF(H345="MANOLA",PR!$AI343,IF(H345="MARCSON",PR!$AJ343,IF(H345="M&amp;B",PR!$AK343,IF(H345="MTRUST",PR!$AL343,IF(H345="MWORLD",PR!$AM343,IF(H345="MEGA",PR!$AN343,IF(H345="MICRONOVA",PR!$AO343,IF(H345="MFLASH",PR!$AP343,IF(H345="MORISON",PR!$AQ343,IF(H345="NEMEL",PR!$AR343,IF(H345="NHP",PR!$AS343,IF(H345="NHC",PR!$AT343,IF(H345="OLEAF",PR!$AU343,IF(H345="OCULUS",PR!$AV343,IF(H345="PACIFIC",PR!$AW343,IF(H345="PHAMATEX",PR!$AX343,IF(H345="PETHICS",PR!$AY343,IF(H345="PHILIPS",PR!$AZ343,IF(H345="RANBAXY",PR!$BA343,IF(H345="REALS",PR!$BB343,IF(H345="ROYAL",PR!$BC343,IF(H345="SAM",PR!$BD343,IF(H345="SEAGREEN",PR!$BE343,IF(H345="SKG",PR!$BF343,IF(H345="TAH",PR!$BG343,IF(H345="TAYLEK",PR!$BH343,IF(H345="TEMITA",PR!$BI343,IF(H345="THL",PR!$BJ343,IF(H345="UBASTIC",PR!$BK343,IF(H345="UNION",PR!$BL343,IF(H345="UNIQUE",PR!$BM343,IF(H345="VIXA",PR!$BN343,IF(H345="WWCV",PR!$BO343,IF(H345="ZOLON",PR!$BP343,"-"))))))))))))))))))))))))))))))))))))))))))))))))))))))))))))))))</f>
        <v>-</v>
      </c>
      <c r="H345" s="102">
        <f>EV!M449</f>
        <v>0</v>
      </c>
      <c r="I345" s="108" t="str">
        <f>IF(J345="ALPHA",PR!$E343,IF(J345="ASSENE",PR!$F343,IF(J345="BIOFEM",PR!$G343,IF(J345="BIOMED",PR!$H343,IF(J345="CHI",PR!$I343,IF(J345="CLARION",PR!$J343,IF(J345="CODIX",PR!$K343,IF(J345="COSMADE",PR!$L343,IF(J345="SANCON",PR!$M343,IF(J345="DEVON",PR!$N343,IF(J345="DORTEMAG",PR!$O343,IF(J345="DGF",PR!$P343,IF(J345="DYNAMIC",PR!$Q343,IF(J345="EMZOR",PR!$R343,IF(J345="EUMATT",PR!$S343,IF(J345="FIDSON",PR!$T343,IF(J345="FCGLOBAL",PR!$U343,IF(J345="GENEITH",PR!$V343,IF(J345="GINOS",PR!$W343,IF(J345="GSK",PR!$X343,IF(J345="GLOBORG",PR!$Y343,IF(J345="GOODNEWS",PR!$Z343,IF(J345="GREENLIFE",PR!$AA343,IF(J345="HLINE",PR!$AB343,IF(J345="ROTECH",PR!$AC343,IF(J345="ISN",PR!$AD343,IF(J345="JAWA",PR!$AE343,IF(J345="LAYO",PR!$AF343,IF(J345="LEADWAY",PR!$AG343,IF(J345="LHV",PR!$AH343,IF(J345="MANOLA",PR!$AI343,IF(J345="MARCSON",PR!$AJ343,IF(J345="M&amp;B",PR!$AK343,IF(J345="MTRUST",PR!$AL343,IF(J345="MWORLD",PR!$AM343,IF(J345="MEGA",PR!$AN343,IF(J345="MICRONOVA",PR!$AO343,IF(J345="MFLASH",PR!$AP343,IF(J345="MORISON",PR!$AQ343,IF(J345="NEMEL",PR!$AR343,IF(J345="NHP",PR!$AS343,IF(J345="NHC",PR!$AT343,IF(J345="OLEAF",PR!$AU343,IF(J345="OCULUS",PR!$AV343,IF(J345="PACIFIC",PR!$AW343,IF(J345="PHAMATEX",PR!$AX343,IF(J345="PETHICS",PR!$AY343,IF(J345="PHILIPS",PR!$AZ343,IF(J345="RANBAXY",PR!$BA343,IF(J345="REALS",PR!$BB343,IF(J345="ROYAL",PR!$BC343,IF(J345="SAM",PR!$BD343,IF(J345="SEAGREEN",PR!$BE343,IF(J345="SKG",PR!$BF343,IF(J345="TAH",PR!$BG343,IF(J345="TAYLEK",PR!$BH343,IF(J345="TEMITA",PR!$BI343,IF(J345="THL",PR!$BJ343,IF(J345="UBASTIC",PR!$BK343,IF(J345="UNION",PR!$BL343,IF(J345="UNIQUE",PR!$BM343,IF(J345="VIXA",PR!$BN343,IF(J345="WWCV",PR!$BO343,IF(J345="ZOLON",PR!$BP343,"-"))))))))))))))))))))))))))))))))))))))))))))))))))))))))))))))))</f>
        <v>-</v>
      </c>
      <c r="J345" s="102">
        <f>EV!N449</f>
        <v>0</v>
      </c>
      <c r="K345" s="433" t="s">
        <v>1246</v>
      </c>
      <c r="L345" s="183">
        <f>IF(K345&gt;0,IF(K345="ALPHA",PR!$E343,IF(K345="ASSENE",PR!$F343,IF(K345="BIOFEM",PR!$G343,IF(K345="BIOMED",PR!$H343,IF(K345="CHI",PR!$I343,IF(K345="CLARION",PR!$J343,IF(K345="CODIX",PR!$K343,IF(K345="COSMADE",PR!$L343,IF(K345="SANCON",PR!$M343,IF(K345="DEVON",PR!$N343,IF(K345="DORTEMAG",PR!$O343,IF(K345="DGF",PR!$P343,IF(K345="DYNAMIC",PR!$Q343,IF(K345="EMZOR",PR!$R343,IF(K345="EUMATT",PR!$S343,IF(K345="FIDSON",PR!$T343,IF(K345="FCGLOBAL",PR!$U343,IF(K345="GENEITH",PR!$V343,IF(K345="GINOS",PR!$W343,IF(K345="GSK",PR!$X343,IF(K345="GLOBORG",PR!$Y343,IF(K345="GOODNEWS",PR!$Z343,IF(K345="GREENLIFE",PR!$AA343,IF(K345="HLINE",PR!$AB343,IF(K345="ROTECH",PR!$AC343,IF(K345="ISN",PR!$AD343,IF(K345="JAWA",PR!$AE343,IF(K345="LAYO",PR!$AF343,IF(K345="LEADWAY",PR!$AG343,IF(K345="LHV",PR!$AH343,IF(K345="MANOLA",PR!$AI343,IF(K345="MARCSON",PR!$AJ343,IF(K345="M&amp;B",PR!$AK343,IF(K345="MTRUST",PR!$AL343,IF(K345="MWORLD",PR!$AM343,IF(K345="MEGA",PR!$AN343,IF(K345="MICRONOVA",PR!$AO343,IF(K345="MFLASH",PR!$AP343,IF(K345="MORISON",PR!$AQ343,IF(K345="NEMEL",PR!$AR343,IF(K345="NHP",PR!$AS343,IF(K345="NHC",PR!$AT343,IF(K345="OLEAF",PR!$AU343,IF(K345="OCULUS",PR!$AV343,IF(K345="PACIFIC",PR!$AW343,IF(K345="PHAMATEX",PR!$AX343,IF(K345="PETHICS",PR!$AY343,IF(K345="PHILIPS",PR!$AZ343,IF(K345="RANBAXY",PR!$BA343,IF(K345="REALS",PR!$BB343,IF(K345="ROYAL",PR!$BC343,IF(K345="SAM",PR!$BD343,IF(K345="SEAGREEN",PR!$BE343,IF(K345="SKG",PR!$BF343,IF(K345="TAH",PR!$BG343,IF(K345="TAYLEK",PR!$BH343,IF(K345="TEMITA",PR!$BI343,IF(K345="THL",PR!$BJ343,IF(K345="UBASTIC",PR!$BK343,IF(K345="UNION",PR!$BL343,IF(K345="UNIQUE",PR!$BM343,IF(K345="VIXA",PR!$BN343,IF(K345="WWCV",PR!$BO343,IF(K345="ZOLON",PR!$BP343,"-")))))))))))))))))))))))))))))))))))))))))))))))))))))))))))))))))</f>
        <v>4450</v>
      </c>
    </row>
    <row r="346" spans="1:12" ht="18.75" x14ac:dyDescent="0.3">
      <c r="A346" s="430">
        <f>PR!A344</f>
        <v>314</v>
      </c>
      <c r="B346" s="15" t="str">
        <f>PR!B344</f>
        <v>MULTIVITE DROPS  (ABIDEC)</v>
      </c>
      <c r="C346" s="113" t="str">
        <f>PR!D344</f>
        <v>BOTT</v>
      </c>
      <c r="D346" s="113">
        <f>PR!C344</f>
        <v>200</v>
      </c>
      <c r="E346" s="108">
        <f>IF(F346="ALPHA",PR!$E344,IF(F346="ASSENE",PR!$F344,IF(F346="BIOFEM",PR!$G344,IF(F346="BIOMED",PR!$H344,IF(F346="CHI",PR!$I344,IF(F346="CLARION",PR!$J344,IF(F346="CODIX",PR!$K344,IF(F346="COSMADE",PR!$L344,IF(F346="SANCON",PR!$M344,IF(F346="DEVON",PR!$N344,IF(F346="DORTEMAG",PR!$O344,IF(F346="DGF",PR!$P344,IF(F346="DYNAMIC",PR!$Q344,IF(F346="EMZOR",PR!$R344,IF(F346="EUMATT",PR!$S344,IF(F346="FIDSON",PR!$T344,IF(F346="FCGLOBAL",PR!$U344,IF(F346="GENEITH",PR!$V344,IF(F346="GINOS",PR!$W344,IF(F346="GSK",PR!$X344,IF(F346="GLOBORG",PR!$Y344,IF(F346="GOODNEWS",PR!$Z344,IF(F346="GREENLIFE",PR!$AA344,IF(F346="HLINE",PR!$AB344,IF(F346="ROTECH",PR!$AC344,IF(F346="ISN",PR!$AD344,IF(F346="JAWA",PR!$AE344,IF(F346="LAYO",PR!$AF344,IF(F346="LEADWAY",PR!$AG344,IF(F346="LHV",PR!$AH344,IF(F346="MANOLA",PR!$AI344,IF(F346="MARCSON",PR!$AJ344,IF(F346="M&amp;B",PR!$AK344,IF(F346="MTRUST",PR!$AL344,IF(F346="MWORLD",PR!$AM344,IF(F346="MEGA",PR!$AN344,IF(F346="MICRONOVA",PR!$AO344,IF(F346="MFLASH",PR!$AP344,IF(F346="MORISON",PR!$AQ344,IF(F346="NEMEL",PR!$AR344,IF(F346="NHP",PR!$AS344,IF(F346="NHC",PR!$AT344,IF(F346="OLEAF",PR!$AU344,IF(F346="OCULUS",PR!$AV344,IF(F346="PACIFIC",PR!$AW344,IF(F346="PHAMATEX",PR!$AX344,IF(F346="PETHICS",PR!$AY344,IF(F346="PHILIPS",PR!$AZ344,IF(F346="RANBAXY",PR!$BA344,IF(F346="REALS",PR!$BB344,IF(F346="ROYAL",PR!$BC344,IF(F346="SAM",PR!$BD344,IF(F346="SEAGREEN",PR!$BE344,IF(F346="SKG",PR!$BF344,IF(F346="TAH",PR!$BG344,IF(F346="TAYLEK",PR!$BH344,IF(F346="TEMITA",PR!$BI344,IF(F346="THL",PR!$BJ344,IF(F346="UBASTIC",PR!$BK344,IF(F346="UNION",PR!$BL344,IF(F346="UNIQUE",PR!$BM344,IF(F346="VIXA",PR!$BN344,IF(F346="WWCV",PR!$BO344,IF(F346="ZOLON",PR!$BP344,"-"))))))))))))))))))))))))))))))))))))))))))))))))))))))))))))))))</f>
        <v>134.6</v>
      </c>
      <c r="F346" s="102" t="str">
        <f>EV!L450</f>
        <v>EMZOR</v>
      </c>
      <c r="G346" s="108">
        <f>IF(H346="ALPHA",PR!$E344,IF(H346="ASSENE",PR!$F344,IF(H346="BIOFEM",PR!$G344,IF(H346="BIOMED",PR!$H344,IF(H346="CHI",PR!$I344,IF(H346="CLARION",PR!$J344,IF(H346="CODIX",PR!$K344,IF(H346="COSMADE",PR!$L344,IF(H346="SANCON",PR!$M344,IF(H346="DEVON",PR!$N344,IF(H346="DORTEMAG",PR!$O344,IF(H346="DGF",PR!$P344,IF(H346="DYNAMIC",PR!$Q344,IF(H346="EMZOR",PR!$R344,IF(H346="EUMATT",PR!$S344,IF(H346="FIDSON",PR!$T344,IF(H346="FCGLOBAL",PR!$U344,IF(H346="GENEITH",PR!$V344,IF(H346="GINOS",PR!$W344,IF(H346="GSK",PR!$X344,IF(H346="GLOBORG",PR!$Y344,IF(H346="GOODNEWS",PR!$Z344,IF(H346="GREENLIFE",PR!$AA344,IF(H346="HLINE",PR!$AB344,IF(H346="ROTECH",PR!$AC344,IF(H346="ISN",PR!$AD344,IF(H346="JAWA",PR!$AE344,IF(H346="LAYO",PR!$AF344,IF(H346="LEADWAY",PR!$AG344,IF(H346="LHV",PR!$AH344,IF(H346="MANOLA",PR!$AI344,IF(H346="MARCSON",PR!$AJ344,IF(H346="M&amp;B",PR!$AK344,IF(H346="MTRUST",PR!$AL344,IF(H346="MWORLD",PR!$AM344,IF(H346="MEGA",PR!$AN344,IF(H346="MICRONOVA",PR!$AO344,IF(H346="MFLASH",PR!$AP344,IF(H346="MORISON",PR!$AQ344,IF(H346="NEMEL",PR!$AR344,IF(H346="NHP",PR!$AS344,IF(H346="NHC",PR!$AT344,IF(H346="OLEAF",PR!$AU344,IF(H346="OCULUS",PR!$AV344,IF(H346="PACIFIC",PR!$AW344,IF(H346="PHAMATEX",PR!$AX344,IF(H346="PETHICS",PR!$AY344,IF(H346="PHILIPS",PR!$AZ344,IF(H346="RANBAXY",PR!$BA344,IF(H346="REALS",PR!$BB344,IF(H346="ROYAL",PR!$BC344,IF(H346="SAM",PR!$BD344,IF(H346="SEAGREEN",PR!$BE344,IF(H346="SKG",PR!$BF344,IF(H346="TAH",PR!$BG344,IF(H346="TAYLEK",PR!$BH344,IF(H346="TEMITA",PR!$BI344,IF(H346="THL",PR!$BJ344,IF(H346="UBASTIC",PR!$BK344,IF(H346="UNION",PR!$BL344,IF(H346="UNIQUE",PR!$BM344,IF(H346="VIXA",PR!$BN344,IF(H346="WWCV",PR!$BO344,IF(H346="ZOLON",PR!$BP344,"-"))))))))))))))))))))))))))))))))))))))))))))))))))))))))))))))))</f>
        <v>160</v>
      </c>
      <c r="H346" s="102" t="str">
        <f>EV!M450</f>
        <v>THL</v>
      </c>
      <c r="I346" s="108">
        <f>IF(J346="ALPHA",PR!$E344,IF(J346="ASSENE",PR!$F344,IF(J346="BIOFEM",PR!$G344,IF(J346="BIOMED",PR!$H344,IF(J346="CHI",PR!$I344,IF(J346="CLARION",PR!$J344,IF(J346="CODIX",PR!$K344,IF(J346="COSMADE",PR!$L344,IF(J346="SANCON",PR!$M344,IF(J346="DEVON",PR!$N344,IF(J346="DORTEMAG",PR!$O344,IF(J346="DGF",PR!$P344,IF(J346="DYNAMIC",PR!$Q344,IF(J346="EMZOR",PR!$R344,IF(J346="EUMATT",PR!$S344,IF(J346="FIDSON",PR!$T344,IF(J346="FCGLOBAL",PR!$U344,IF(J346="GENEITH",PR!$V344,IF(J346="GINOS",PR!$W344,IF(J346="GSK",PR!$X344,IF(J346="GLOBORG",PR!$Y344,IF(J346="GOODNEWS",PR!$Z344,IF(J346="GREENLIFE",PR!$AA344,IF(J346="HLINE",PR!$AB344,IF(J346="ROTECH",PR!$AC344,IF(J346="ISN",PR!$AD344,IF(J346="JAWA",PR!$AE344,IF(J346="LAYO",PR!$AF344,IF(J346="LEADWAY",PR!$AG344,IF(J346="LHV",PR!$AH344,IF(J346="MANOLA",PR!$AI344,IF(J346="MARCSON",PR!$AJ344,IF(J346="M&amp;B",PR!$AK344,IF(J346="MTRUST",PR!$AL344,IF(J346="MWORLD",PR!$AM344,IF(J346="MEGA",PR!$AN344,IF(J346="MICRONOVA",PR!$AO344,IF(J346="MFLASH",PR!$AP344,IF(J346="MORISON",PR!$AQ344,IF(J346="NEMEL",PR!$AR344,IF(J346="NHP",PR!$AS344,IF(J346="NHC",PR!$AT344,IF(J346="OLEAF",PR!$AU344,IF(J346="OCULUS",PR!$AV344,IF(J346="PACIFIC",PR!$AW344,IF(J346="PHAMATEX",PR!$AX344,IF(J346="PETHICS",PR!$AY344,IF(J346="PHILIPS",PR!$AZ344,IF(J346="RANBAXY",PR!$BA344,IF(J346="REALS",PR!$BB344,IF(J346="ROYAL",PR!$BC344,IF(J346="SAM",PR!$BD344,IF(J346="SEAGREEN",PR!$BE344,IF(J346="SKG",PR!$BF344,IF(J346="TAH",PR!$BG344,IF(J346="TAYLEK",PR!$BH344,IF(J346="TEMITA",PR!$BI344,IF(J346="THL",PR!$BJ344,IF(J346="UBASTIC",PR!$BK344,IF(J346="UNION",PR!$BL344,IF(J346="UNIQUE",PR!$BM344,IF(J346="VIXA",PR!$BN344,IF(J346="WWCV",PR!$BO344,IF(J346="ZOLON",PR!$BP344,"-"))))))))))))))))))))))))))))))))))))))))))))))))))))))))))))))))</f>
        <v>990</v>
      </c>
      <c r="J346" s="102" t="str">
        <f>EV!N450</f>
        <v>EUMATT</v>
      </c>
      <c r="K346" s="433" t="s">
        <v>821</v>
      </c>
      <c r="L346" s="183">
        <f>IF(K346&gt;0,IF(K346="ALPHA",PR!$E344,IF(K346="ASSENE",PR!$F344,IF(K346="BIOFEM",PR!$G344,IF(K346="BIOMED",PR!$H344,IF(K346="CHI",PR!$I344,IF(K346="CLARION",PR!$J344,IF(K346="CODIX",PR!$K344,IF(K346="COSMADE",PR!$L344,IF(K346="SANCON",PR!$M344,IF(K346="DEVON",PR!$N344,IF(K346="DORTEMAG",PR!$O344,IF(K346="DGF",PR!$P344,IF(K346="DYNAMIC",PR!$Q344,IF(K346="EMZOR",PR!$R344,IF(K346="EUMATT",PR!$S344,IF(K346="FIDSON",PR!$T344,IF(K346="FCGLOBAL",PR!$U344,IF(K346="GENEITH",PR!$V344,IF(K346="GINOS",PR!$W344,IF(K346="GSK",PR!$X344,IF(K346="GLOBORG",PR!$Y344,IF(K346="GOODNEWS",PR!$Z344,IF(K346="GREENLIFE",PR!$AA344,IF(K346="HLINE",PR!$AB344,IF(K346="ROTECH",PR!$AC344,IF(K346="ISN",PR!$AD344,IF(K346="JAWA",PR!$AE344,IF(K346="LAYO",PR!$AF344,IF(K346="LEADWAY",PR!$AG344,IF(K346="LHV",PR!$AH344,IF(K346="MANOLA",PR!$AI344,IF(K346="MARCSON",PR!$AJ344,IF(K346="M&amp;B",PR!$AK344,IF(K346="MTRUST",PR!$AL344,IF(K346="MWORLD",PR!$AM344,IF(K346="MEGA",PR!$AN344,IF(K346="MICRONOVA",PR!$AO344,IF(K346="MFLASH",PR!$AP344,IF(K346="MORISON",PR!$AQ344,IF(K346="NEMEL",PR!$AR344,IF(K346="NHP",PR!$AS344,IF(K346="NHC",PR!$AT344,IF(K346="OLEAF",PR!$AU344,IF(K346="OCULUS",PR!$AV344,IF(K346="PACIFIC",PR!$AW344,IF(K346="PHAMATEX",PR!$AX344,IF(K346="PETHICS",PR!$AY344,IF(K346="PHILIPS",PR!$AZ344,IF(K346="RANBAXY",PR!$BA344,IF(K346="REALS",PR!$BB344,IF(K346="ROYAL",PR!$BC344,IF(K346="SAM",PR!$BD344,IF(K346="SEAGREEN",PR!$BE344,IF(K346="SKG",PR!$BF344,IF(K346="TAH",PR!$BG344,IF(K346="TAYLEK",PR!$BH344,IF(K346="TEMITA",PR!$BI344,IF(K346="THL",PR!$BJ344,IF(K346="UBASTIC",PR!$BK344,IF(K346="UNION",PR!$BL344,IF(K346="UNIQUE",PR!$BM344,IF(K346="VIXA",PR!$BN344,IF(K346="WWCV",PR!$BO344,IF(K346="ZOLON",PR!$BP344,"-")))))))))))))))))))))))))))))))))))))))))))))))))))))))))))))))))</f>
        <v>990</v>
      </c>
    </row>
    <row r="347" spans="1:12" ht="18.75" x14ac:dyDescent="0.3">
      <c r="A347" s="430">
        <f>PR!A345</f>
        <v>315</v>
      </c>
      <c r="B347" s="15" t="str">
        <f>PR!B345</f>
        <v>MULTIVITE SYRUP</v>
      </c>
      <c r="C347" s="113" t="str">
        <f>PR!D345</f>
        <v>BOTT</v>
      </c>
      <c r="D347" s="113">
        <f>PR!C345</f>
        <v>800</v>
      </c>
      <c r="E347" s="108">
        <f>IF(F347="ALPHA",PR!$E345,IF(F347="ASSENE",PR!$F345,IF(F347="BIOFEM",PR!$G345,IF(F347="BIOMED",PR!$H345,IF(F347="CHI",PR!$I345,IF(F347="CLARION",PR!$J345,IF(F347="CODIX",PR!$K345,IF(F347="COSMADE",PR!$L345,IF(F347="SANCON",PR!$M345,IF(F347="DEVON",PR!$N345,IF(F347="DORTEMAG",PR!$O345,IF(F347="DGF",PR!$P345,IF(F347="DYNAMIC",PR!$Q345,IF(F347="EMZOR",PR!$R345,IF(F347="EUMATT",PR!$S345,IF(F347="FIDSON",PR!$T345,IF(F347="FCGLOBAL",PR!$U345,IF(F347="GENEITH",PR!$V345,IF(F347="GINOS",PR!$W345,IF(F347="GSK",PR!$X345,IF(F347="GLOBORG",PR!$Y345,IF(F347="GOODNEWS",PR!$Z345,IF(F347="GREENLIFE",PR!$AA345,IF(F347="HLINE",PR!$AB345,IF(F347="ROTECH",PR!$AC345,IF(F347="ISN",PR!$AD345,IF(F347="JAWA",PR!$AE345,IF(F347="LAYO",PR!$AF345,IF(F347="LEADWAY",PR!$AG345,IF(F347="LHV",PR!$AH345,IF(F347="MANOLA",PR!$AI345,IF(F347="MARCSON",PR!$AJ345,IF(F347="M&amp;B",PR!$AK345,IF(F347="MTRUST",PR!$AL345,IF(F347="MWORLD",PR!$AM345,IF(F347="MEGA",PR!$AN345,IF(F347="MICRONOVA",PR!$AO345,IF(F347="MFLASH",PR!$AP345,IF(F347="MORISON",PR!$AQ345,IF(F347="NEMEL",PR!$AR345,IF(F347="NHP",PR!$AS345,IF(F347="NHC",PR!$AT345,IF(F347="OLEAF",PR!$AU345,IF(F347="OCULUS",PR!$AV345,IF(F347="PACIFIC",PR!$AW345,IF(F347="PHAMATEX",PR!$AX345,IF(F347="PETHICS",PR!$AY345,IF(F347="PHILIPS",PR!$AZ345,IF(F347="RANBAXY",PR!$BA345,IF(F347="REALS",PR!$BB345,IF(F347="ROYAL",PR!$BC345,IF(F347="SAM",PR!$BD345,IF(F347="SEAGREEN",PR!$BE345,IF(F347="SKG",PR!$BF345,IF(F347="TAH",PR!$BG345,IF(F347="TAYLEK",PR!$BH345,IF(F347="TEMITA",PR!$BI345,IF(F347="THL",PR!$BJ345,IF(F347="UBASTIC",PR!$BK345,IF(F347="UNION",PR!$BL345,IF(F347="UNIQUE",PR!$BM345,IF(F347="VIXA",PR!$BN345,IF(F347="WWCV",PR!$BO345,IF(F347="ZOLON",PR!$BP345,"-"))))))))))))))))))))))))))))))))))))))))))))))))))))))))))))))))</f>
        <v>100</v>
      </c>
      <c r="F347" s="102" t="str">
        <f>EV!L451</f>
        <v>EUMATT</v>
      </c>
      <c r="G347" s="108">
        <f>IF(H347="ALPHA",PR!$E345,IF(H347="ASSENE",PR!$F345,IF(H347="BIOFEM",PR!$G345,IF(H347="BIOMED",PR!$H345,IF(H347="CHI",PR!$I345,IF(H347="CLARION",PR!$J345,IF(H347="CODIX",PR!$K345,IF(H347="COSMADE",PR!$L345,IF(H347="SANCON",PR!$M345,IF(H347="DEVON",PR!$N345,IF(H347="DORTEMAG",PR!$O345,IF(H347="DGF",PR!$P345,IF(H347="DYNAMIC",PR!$Q345,IF(H347="EMZOR",PR!$R345,IF(H347="EUMATT",PR!$S345,IF(H347="FIDSON",PR!$T345,IF(H347="FCGLOBAL",PR!$U345,IF(H347="GENEITH",PR!$V345,IF(H347="GINOS",PR!$W345,IF(H347="GSK",PR!$X345,IF(H347="GLOBORG",PR!$Y345,IF(H347="GOODNEWS",PR!$Z345,IF(H347="GREENLIFE",PR!$AA345,IF(H347="HLINE",PR!$AB345,IF(H347="ROTECH",PR!$AC345,IF(H347="ISN",PR!$AD345,IF(H347="JAWA",PR!$AE345,IF(H347="LAYO",PR!$AF345,IF(H347="LEADWAY",PR!$AG345,IF(H347="LHV",PR!$AH345,IF(H347="MANOLA",PR!$AI345,IF(H347="MARCSON",PR!$AJ345,IF(H347="M&amp;B",PR!$AK345,IF(H347="MTRUST",PR!$AL345,IF(H347="MWORLD",PR!$AM345,IF(H347="MEGA",PR!$AN345,IF(H347="MICRONOVA",PR!$AO345,IF(H347="MFLASH",PR!$AP345,IF(H347="MORISON",PR!$AQ345,IF(H347="NEMEL",PR!$AR345,IF(H347="NHP",PR!$AS345,IF(H347="NHC",PR!$AT345,IF(H347="OLEAF",PR!$AU345,IF(H347="OCULUS",PR!$AV345,IF(H347="PACIFIC",PR!$AW345,IF(H347="PHAMATEX",PR!$AX345,IF(H347="PETHICS",PR!$AY345,IF(H347="PHILIPS",PR!$AZ345,IF(H347="RANBAXY",PR!$BA345,IF(H347="REALS",PR!$BB345,IF(H347="ROYAL",PR!$BC345,IF(H347="SAM",PR!$BD345,IF(H347="SEAGREEN",PR!$BE345,IF(H347="SKG",PR!$BF345,IF(H347="TAH",PR!$BG345,IF(H347="TAYLEK",PR!$BH345,IF(H347="TEMITA",PR!$BI345,IF(H347="THL",PR!$BJ345,IF(H347="UBASTIC",PR!$BK345,IF(H347="UNION",PR!$BL345,IF(H347="UNIQUE",PR!$BM345,IF(H347="VIXA",PR!$BN345,IF(H347="WWCV",PR!$BO345,IF(H347="ZOLON",PR!$BP345,"-"))))))))))))))))))))))))))))))))))))))))))))))))))))))))))))))))</f>
        <v>100</v>
      </c>
      <c r="H347" s="102" t="str">
        <f>EV!M451</f>
        <v>UNIQUE</v>
      </c>
      <c r="I347" s="108">
        <f>IF(J347="ALPHA",PR!$E345,IF(J347="ASSENE",PR!$F345,IF(J347="BIOFEM",PR!$G345,IF(J347="BIOMED",PR!$H345,IF(J347="CHI",PR!$I345,IF(J347="CLARION",PR!$J345,IF(J347="CODIX",PR!$K345,IF(J347="COSMADE",PR!$L345,IF(J347="SANCON",PR!$M345,IF(J347="DEVON",PR!$N345,IF(J347="DORTEMAG",PR!$O345,IF(J347="DGF",PR!$P345,IF(J347="DYNAMIC",PR!$Q345,IF(J347="EMZOR",PR!$R345,IF(J347="EUMATT",PR!$S345,IF(J347="FIDSON",PR!$T345,IF(J347="FCGLOBAL",PR!$U345,IF(J347="GENEITH",PR!$V345,IF(J347="GINOS",PR!$W345,IF(J347="GSK",PR!$X345,IF(J347="GLOBORG",PR!$Y345,IF(J347="GOODNEWS",PR!$Z345,IF(J347="GREENLIFE",PR!$AA345,IF(J347="HLINE",PR!$AB345,IF(J347="ROTECH",PR!$AC345,IF(J347="ISN",PR!$AD345,IF(J347="JAWA",PR!$AE345,IF(J347="LAYO",PR!$AF345,IF(J347="LEADWAY",PR!$AG345,IF(J347="LHV",PR!$AH345,IF(J347="MANOLA",PR!$AI345,IF(J347="MARCSON",PR!$AJ345,IF(J347="M&amp;B",PR!$AK345,IF(J347="MTRUST",PR!$AL345,IF(J347="MWORLD",PR!$AM345,IF(J347="MEGA",PR!$AN345,IF(J347="MICRONOVA",PR!$AO345,IF(J347="MFLASH",PR!$AP345,IF(J347="MORISON",PR!$AQ345,IF(J347="NEMEL",PR!$AR345,IF(J347="NHP",PR!$AS345,IF(J347="NHC",PR!$AT345,IF(J347="OLEAF",PR!$AU345,IF(J347="OCULUS",PR!$AV345,IF(J347="PACIFIC",PR!$AW345,IF(J347="PHAMATEX",PR!$AX345,IF(J347="PETHICS",PR!$AY345,IF(J347="PHILIPS",PR!$AZ345,IF(J347="RANBAXY",PR!$BA345,IF(J347="REALS",PR!$BB345,IF(J347="ROYAL",PR!$BC345,IF(J347="SAM",PR!$BD345,IF(J347="SEAGREEN",PR!$BE345,IF(J347="SKG",PR!$BF345,IF(J347="TAH",PR!$BG345,IF(J347="TAYLEK",PR!$BH345,IF(J347="TEMITA",PR!$BI345,IF(J347="THL",PR!$BJ345,IF(J347="UBASTIC",PR!$BK345,IF(J347="UNION",PR!$BL345,IF(J347="UNIQUE",PR!$BM345,IF(J347="VIXA",PR!$BN345,IF(J347="WWCV",PR!$BO345,IF(J347="ZOLON",PR!$BP345,"-"))))))))))))))))))))))))))))))))))))))))))))))))))))))))))))))))</f>
        <v>120</v>
      </c>
      <c r="J347" s="102" t="str">
        <f>EV!N451</f>
        <v>FIDSON</v>
      </c>
      <c r="K347" s="433" t="s">
        <v>631</v>
      </c>
      <c r="L347" s="183">
        <f>IF(K347&gt;0,IF(K347="ALPHA",PR!$E345,IF(K347="ASSENE",PR!$F345,IF(K347="BIOFEM",PR!$G345,IF(K347="BIOMED",PR!$H345,IF(K347="CHI",PR!$I345,IF(K347="CLARION",PR!$J345,IF(K347="CODIX",PR!$K345,IF(K347="COSMADE",PR!$L345,IF(K347="SANCON",PR!$M345,IF(K347="DEVON",PR!$N345,IF(K347="DORTEMAG",PR!$O345,IF(K347="DGF",PR!$P345,IF(K347="DYNAMIC",PR!$Q345,IF(K347="EMZOR",PR!$R345,IF(K347="EUMATT",PR!$S345,IF(K347="FIDSON",PR!$T345,IF(K347="FCGLOBAL",PR!$U345,IF(K347="GENEITH",PR!$V345,IF(K347="GINOS",PR!$W345,IF(K347="GSK",PR!$X345,IF(K347="GLOBORG",PR!$Y345,IF(K347="GOODNEWS",PR!$Z345,IF(K347="GREENLIFE",PR!$AA345,IF(K347="HLINE",PR!$AB345,IF(K347="ROTECH",PR!$AC345,IF(K347="ISN",PR!$AD345,IF(K347="JAWA",PR!$AE345,IF(K347="LAYO",PR!$AF345,IF(K347="LEADWAY",PR!$AG345,IF(K347="LHV",PR!$AH345,IF(K347="MANOLA",PR!$AI345,IF(K347="MARCSON",PR!$AJ345,IF(K347="M&amp;B",PR!$AK345,IF(K347="MTRUST",PR!$AL345,IF(K347="MWORLD",PR!$AM345,IF(K347="MEGA",PR!$AN345,IF(K347="MICRONOVA",PR!$AO345,IF(K347="MFLASH",PR!$AP345,IF(K347="MORISON",PR!$AQ345,IF(K347="NEMEL",PR!$AR345,IF(K347="NHP",PR!$AS345,IF(K347="NHC",PR!$AT345,IF(K347="OLEAF",PR!$AU345,IF(K347="OCULUS",PR!$AV345,IF(K347="PACIFIC",PR!$AW345,IF(K347="PHAMATEX",PR!$AX345,IF(K347="PETHICS",PR!$AY345,IF(K347="PHILIPS",PR!$AZ345,IF(K347="RANBAXY",PR!$BA345,IF(K347="REALS",PR!$BB345,IF(K347="ROYAL",PR!$BC345,IF(K347="SAM",PR!$BD345,IF(K347="SEAGREEN",PR!$BE345,IF(K347="SKG",PR!$BF345,IF(K347="TAH",PR!$BG345,IF(K347="TAYLEK",PR!$BH345,IF(K347="TEMITA",PR!$BI345,IF(K347="THL",PR!$BJ345,IF(K347="UBASTIC",PR!$BK345,IF(K347="UNION",PR!$BL345,IF(K347="UNIQUE",PR!$BM345,IF(K347="VIXA",PR!$BN345,IF(K347="WWCV",PR!$BO345,IF(K347="ZOLON",PR!$BP345,"-")))))))))))))))))))))))))))))))))))))))))))))))))))))))))))))))))</f>
        <v>120</v>
      </c>
    </row>
    <row r="348" spans="1:12" ht="18.75" x14ac:dyDescent="0.3">
      <c r="A348" s="430">
        <f>PR!A346</f>
        <v>316</v>
      </c>
      <c r="B348" s="15" t="str">
        <f>PR!B346</f>
        <v>MULTIVITE TAB</v>
      </c>
      <c r="C348" s="113">
        <f>PR!D346</f>
        <v>1000</v>
      </c>
      <c r="D348" s="113">
        <f>PR!C346</f>
        <v>100</v>
      </c>
      <c r="E348" s="108">
        <f>IF(F348="ALPHA",PR!$E346,IF(F348="ASSENE",PR!$F346,IF(F348="BIOFEM",PR!$G346,IF(F348="BIOMED",PR!$H346,IF(F348="CHI",PR!$I346,IF(F348="CLARION",PR!$J346,IF(F348="CODIX",PR!$K346,IF(F348="COSMADE",PR!$L346,IF(F348="SANCON",PR!$M346,IF(F348="DEVON",PR!$N346,IF(F348="DORTEMAG",PR!$O346,IF(F348="DGF",PR!$P346,IF(F348="DYNAMIC",PR!$Q346,IF(F348="EMZOR",PR!$R346,IF(F348="EUMATT",PR!$S346,IF(F348="FIDSON",PR!$T346,IF(F348="FCGLOBAL",PR!$U346,IF(F348="GENEITH",PR!$V346,IF(F348="GINOS",PR!$W346,IF(F348="GSK",PR!$X346,IF(F348="GLOBORG",PR!$Y346,IF(F348="GOODNEWS",PR!$Z346,IF(F348="GREENLIFE",PR!$AA346,IF(F348="HLINE",PR!$AB346,IF(F348="ROTECH",PR!$AC346,IF(F348="ISN",PR!$AD346,IF(F348="JAWA",PR!$AE346,IF(F348="LAYO",PR!$AF346,IF(F348="LEADWAY",PR!$AG346,IF(F348="LHV",PR!$AH346,IF(F348="MANOLA",PR!$AI346,IF(F348="MARCSON",PR!$AJ346,IF(F348="M&amp;B",PR!$AK346,IF(F348="MTRUST",PR!$AL346,IF(F348="MWORLD",PR!$AM346,IF(F348="MEGA",PR!$AN346,IF(F348="MICRONOVA",PR!$AO346,IF(F348="MFLASH",PR!$AP346,IF(F348="MORISON",PR!$AQ346,IF(F348="NEMEL",PR!$AR346,IF(F348="NHP",PR!$AS346,IF(F348="NHC",PR!$AT346,IF(F348="OLEAF",PR!$AU346,IF(F348="OCULUS",PR!$AV346,IF(F348="PACIFIC",PR!$AW346,IF(F348="PHAMATEX",PR!$AX346,IF(F348="PETHICS",PR!$AY346,IF(F348="PHILIPS",PR!$AZ346,IF(F348="RANBAXY",PR!$BA346,IF(F348="REALS",PR!$BB346,IF(F348="ROYAL",PR!$BC346,IF(F348="SAM",PR!$BD346,IF(F348="SEAGREEN",PR!$BE346,IF(F348="SKG",PR!$BF346,IF(F348="TAH",PR!$BG346,IF(F348="TAYLEK",PR!$BH346,IF(F348="TEMITA",PR!$BI346,IF(F348="THL",PR!$BJ346,IF(F348="UBASTIC",PR!$BK346,IF(F348="UNION",PR!$BL346,IF(F348="UNIQUE",PR!$BM346,IF(F348="VIXA",PR!$BN346,IF(F348="WWCV",PR!$BO346,IF(F348="ZOLON",PR!$BP346,"-"))))))))))))))))))))))))))))))))))))))))))))))))))))))))))))))))</f>
        <v>700</v>
      </c>
      <c r="F348" s="102" t="str">
        <f>EV!L452</f>
        <v>EUMATT</v>
      </c>
      <c r="G348" s="108">
        <f>IF(H348="ALPHA",PR!$E346,IF(H348="ASSENE",PR!$F346,IF(H348="BIOFEM",PR!$G346,IF(H348="BIOMED",PR!$H346,IF(H348="CHI",PR!$I346,IF(H348="CLARION",PR!$J346,IF(H348="CODIX",PR!$K346,IF(H348="COSMADE",PR!$L346,IF(H348="SANCON",PR!$M346,IF(H348="DEVON",PR!$N346,IF(H348="DORTEMAG",PR!$O346,IF(H348="DGF",PR!$P346,IF(H348="DYNAMIC",PR!$Q346,IF(H348="EMZOR",PR!$R346,IF(H348="EUMATT",PR!$S346,IF(H348="FIDSON",PR!$T346,IF(H348="FCGLOBAL",PR!$U346,IF(H348="GENEITH",PR!$V346,IF(H348="GINOS",PR!$W346,IF(H348="GSK",PR!$X346,IF(H348="GLOBORG",PR!$Y346,IF(H348="GOODNEWS",PR!$Z346,IF(H348="GREENLIFE",PR!$AA346,IF(H348="HLINE",PR!$AB346,IF(H348="ROTECH",PR!$AC346,IF(H348="ISN",PR!$AD346,IF(H348="JAWA",PR!$AE346,IF(H348="LAYO",PR!$AF346,IF(H348="LEADWAY",PR!$AG346,IF(H348="LHV",PR!$AH346,IF(H348="MANOLA",PR!$AI346,IF(H348="MARCSON",PR!$AJ346,IF(H348="M&amp;B",PR!$AK346,IF(H348="MTRUST",PR!$AL346,IF(H348="MWORLD",PR!$AM346,IF(H348="MEGA",PR!$AN346,IF(H348="MICRONOVA",PR!$AO346,IF(H348="MFLASH",PR!$AP346,IF(H348="MORISON",PR!$AQ346,IF(H348="NEMEL",PR!$AR346,IF(H348="NHP",PR!$AS346,IF(H348="NHC",PR!$AT346,IF(H348="OLEAF",PR!$AU346,IF(H348="OCULUS",PR!$AV346,IF(H348="PACIFIC",PR!$AW346,IF(H348="PHAMATEX",PR!$AX346,IF(H348="PETHICS",PR!$AY346,IF(H348="PHILIPS",PR!$AZ346,IF(H348="RANBAXY",PR!$BA346,IF(H348="REALS",PR!$BB346,IF(H348="ROYAL",PR!$BC346,IF(H348="SAM",PR!$BD346,IF(H348="SEAGREEN",PR!$BE346,IF(H348="SKG",PR!$BF346,IF(H348="TAH",PR!$BG346,IF(H348="TAYLEK",PR!$BH346,IF(H348="TEMITA",PR!$BI346,IF(H348="THL",PR!$BJ346,IF(H348="UBASTIC",PR!$BK346,IF(H348="UNION",PR!$BL346,IF(H348="UNIQUE",PR!$BM346,IF(H348="VIXA",PR!$BN346,IF(H348="WWCV",PR!$BO346,IF(H348="ZOLON",PR!$BP346,"-"))))))))))))))))))))))))))))))))))))))))))))))))))))))))))))))))</f>
        <v>782.08900000000006</v>
      </c>
      <c r="H348" s="102" t="str">
        <f>EV!M452</f>
        <v>EMZOR</v>
      </c>
      <c r="I348" s="108" t="str">
        <f>IF(J348="ALPHA",PR!$E346,IF(J348="ASSENE",PR!$F346,IF(J348="BIOFEM",PR!$G346,IF(J348="BIOMED",PR!$H346,IF(J348="CHI",PR!$I346,IF(J348="CLARION",PR!$J346,IF(J348="CODIX",PR!$K346,IF(J348="COSMADE",PR!$L346,IF(J348="SANCON",PR!$M346,IF(J348="DEVON",PR!$N346,IF(J348="DORTEMAG",PR!$O346,IF(J348="DGF",PR!$P346,IF(J348="DYNAMIC",PR!$Q346,IF(J348="EMZOR",PR!$R346,IF(J348="EUMATT",PR!$S346,IF(J348="FIDSON",PR!$T346,IF(J348="FCGLOBAL",PR!$U346,IF(J348="GENEITH",PR!$V346,IF(J348="GINOS",PR!$W346,IF(J348="GSK",PR!$X346,IF(J348="GLOBORG",PR!$Y346,IF(J348="GOODNEWS",PR!$Z346,IF(J348="GREENLIFE",PR!$AA346,IF(J348="HLINE",PR!$AB346,IF(J348="ROTECH",PR!$AC346,IF(J348="ISN",PR!$AD346,IF(J348="JAWA",PR!$AE346,IF(J348="LAYO",PR!$AF346,IF(J348="LEADWAY",PR!$AG346,IF(J348="LHV",PR!$AH346,IF(J348="MANOLA",PR!$AI346,IF(J348="MARCSON",PR!$AJ346,IF(J348="M&amp;B",PR!$AK346,IF(J348="MTRUST",PR!$AL346,IF(J348="MWORLD",PR!$AM346,IF(J348="MEGA",PR!$AN346,IF(J348="MICRONOVA",PR!$AO346,IF(J348="MFLASH",PR!$AP346,IF(J348="MORISON",PR!$AQ346,IF(J348="NEMEL",PR!$AR346,IF(J348="NHP",PR!$AS346,IF(J348="NHC",PR!$AT346,IF(J348="OLEAF",PR!$AU346,IF(J348="OCULUS",PR!$AV346,IF(J348="PACIFIC",PR!$AW346,IF(J348="PHAMATEX",PR!$AX346,IF(J348="PETHICS",PR!$AY346,IF(J348="PHILIPS",PR!$AZ346,IF(J348="RANBAXY",PR!$BA346,IF(J348="REALS",PR!$BB346,IF(J348="ROYAL",PR!$BC346,IF(J348="SAM",PR!$BD346,IF(J348="SEAGREEN",PR!$BE346,IF(J348="SKG",PR!$BF346,IF(J348="TAH",PR!$BG346,IF(J348="TAYLEK",PR!$BH346,IF(J348="TEMITA",PR!$BI346,IF(J348="THL",PR!$BJ346,IF(J348="UBASTIC",PR!$BK346,IF(J348="UNION",PR!$BL346,IF(J348="UNIQUE",PR!$BM346,IF(J348="VIXA",PR!$BN346,IF(J348="WWCV",PR!$BO346,IF(J348="ZOLON",PR!$BP346,"-"))))))))))))))))))))))))))))))))))))))))))))))))))))))))))))))))</f>
        <v>-</v>
      </c>
      <c r="J348" s="102">
        <f>EV!N452</f>
        <v>0</v>
      </c>
      <c r="K348" s="433" t="s">
        <v>821</v>
      </c>
      <c r="L348" s="183">
        <f>IF(K348&gt;0,IF(K348="ALPHA",PR!$E346,IF(K348="ASSENE",PR!$F346,IF(K348="BIOFEM",PR!$G346,IF(K348="BIOMED",PR!$H346,IF(K348="CHI",PR!$I346,IF(K348="CLARION",PR!$J346,IF(K348="CODIX",PR!$K346,IF(K348="COSMADE",PR!$L346,IF(K348="SANCON",PR!$M346,IF(K348="DEVON",PR!$N346,IF(K348="DORTEMAG",PR!$O346,IF(K348="DGF",PR!$P346,IF(K348="DYNAMIC",PR!$Q346,IF(K348="EMZOR",PR!$R346,IF(K348="EUMATT",PR!$S346,IF(K348="FIDSON",PR!$T346,IF(K348="FCGLOBAL",PR!$U346,IF(K348="GENEITH",PR!$V346,IF(K348="GINOS",PR!$W346,IF(K348="GSK",PR!$X346,IF(K348="GLOBORG",PR!$Y346,IF(K348="GOODNEWS",PR!$Z346,IF(K348="GREENLIFE",PR!$AA346,IF(K348="HLINE",PR!$AB346,IF(K348="ROTECH",PR!$AC346,IF(K348="ISN",PR!$AD346,IF(K348="JAWA",PR!$AE346,IF(K348="LAYO",PR!$AF346,IF(K348="LEADWAY",PR!$AG346,IF(K348="LHV",PR!$AH346,IF(K348="MANOLA",PR!$AI346,IF(K348="MARCSON",PR!$AJ346,IF(K348="M&amp;B",PR!$AK346,IF(K348="MTRUST",PR!$AL346,IF(K348="MWORLD",PR!$AM346,IF(K348="MEGA",PR!$AN346,IF(K348="MICRONOVA",PR!$AO346,IF(K348="MFLASH",PR!$AP346,IF(K348="MORISON",PR!$AQ346,IF(K348="NEMEL",PR!$AR346,IF(K348="NHP",PR!$AS346,IF(K348="NHC",PR!$AT346,IF(K348="OLEAF",PR!$AU346,IF(K348="OCULUS",PR!$AV346,IF(K348="PACIFIC",PR!$AW346,IF(K348="PHAMATEX",PR!$AX346,IF(K348="PETHICS",PR!$AY346,IF(K348="PHILIPS",PR!$AZ346,IF(K348="RANBAXY",PR!$BA346,IF(K348="REALS",PR!$BB346,IF(K348="ROYAL",PR!$BC346,IF(K348="SAM",PR!$BD346,IF(K348="SEAGREEN",PR!$BE346,IF(K348="SKG",PR!$BF346,IF(K348="TAH",PR!$BG346,IF(K348="TAYLEK",PR!$BH346,IF(K348="TEMITA",PR!$BI346,IF(K348="THL",PR!$BJ346,IF(K348="UBASTIC",PR!$BK346,IF(K348="UNION",PR!$BL346,IF(K348="UNIQUE",PR!$BM346,IF(K348="VIXA",PR!$BN346,IF(K348="WWCV",PR!$BO346,IF(K348="ZOLON",PR!$BP346,"-")))))))))))))))))))))))))))))))))))))))))))))))))))))))))))))))))</f>
        <v>700</v>
      </c>
    </row>
    <row r="349" spans="1:12" ht="18.75" x14ac:dyDescent="0.3">
      <c r="A349" s="430">
        <f>PR!A347</f>
        <v>317</v>
      </c>
      <c r="B349" s="15" t="str">
        <f>PR!B347</f>
        <v>NATTOENZYMS</v>
      </c>
      <c r="C349" s="113">
        <f>PR!D347</f>
        <v>30</v>
      </c>
      <c r="D349" s="113">
        <f>PR!C347</f>
        <v>50</v>
      </c>
      <c r="E349" s="108" t="str">
        <f>IF(F349="ALPHA",PR!$E347,IF(F349="ASSENE",PR!$F347,IF(F349="BIOFEM",PR!$G347,IF(F349="BIOMED",PR!$H347,IF(F349="CHI",PR!$I347,IF(F349="CLARION",PR!$J347,IF(F349="CODIX",PR!$K347,IF(F349="COSMADE",PR!$L347,IF(F349="SANCON",PR!$M347,IF(F349="DEVON",PR!$N347,IF(F349="DORTEMAG",PR!$O347,IF(F349="DGF",PR!$P347,IF(F349="DYNAMIC",PR!$Q347,IF(F349="EMZOR",PR!$R347,IF(F349="EUMATT",PR!$S347,IF(F349="FIDSON",PR!$T347,IF(F349="FCGLOBAL",PR!$U347,IF(F349="GENEITH",PR!$V347,IF(F349="GINOS",PR!$W347,IF(F349="GSK",PR!$X347,IF(F349="GLOBORG",PR!$Y347,IF(F349="GOODNEWS",PR!$Z347,IF(F349="GREENLIFE",PR!$AA347,IF(F349="HLINE",PR!$AB347,IF(F349="ROTECH",PR!$AC347,IF(F349="ISN",PR!$AD347,IF(F349="JAWA",PR!$AE347,IF(F349="LAYO",PR!$AF347,IF(F349="LEADWAY",PR!$AG347,IF(F349="LHV",PR!$AH347,IF(F349="MANOLA",PR!$AI347,IF(F349="MARCSON",PR!$AJ347,IF(F349="M&amp;B",PR!$AK347,IF(F349="MTRUST",PR!$AL347,IF(F349="MWORLD",PR!$AM347,IF(F349="MEGA",PR!$AN347,IF(F349="MICRONOVA",PR!$AO347,IF(F349="MFLASH",PR!$AP347,IF(F349="MORISON",PR!$AQ347,IF(F349="NEMEL",PR!$AR347,IF(F349="NHP",PR!$AS347,IF(F349="NHC",PR!$AT347,IF(F349="OLEAF",PR!$AU347,IF(F349="OCULUS",PR!$AV347,IF(F349="PACIFIC",PR!$AW347,IF(F349="PHAMATEX",PR!$AX347,IF(F349="PETHICS",PR!$AY347,IF(F349="PHILIPS",PR!$AZ347,IF(F349="RANBAXY",PR!$BA347,IF(F349="REALS",PR!$BB347,IF(F349="ROYAL",PR!$BC347,IF(F349="SAM",PR!$BD347,IF(F349="SEAGREEN",PR!$BE347,IF(F349="SKG",PR!$BF347,IF(F349="TAH",PR!$BG347,IF(F349="TAYLEK",PR!$BH347,IF(F349="TEMITA",PR!$BI347,IF(F349="THL",PR!$BJ347,IF(F349="UBASTIC",PR!$BK347,IF(F349="UNION",PR!$BL347,IF(F349="UNIQUE",PR!$BM347,IF(F349="VIXA",PR!$BN347,IF(F349="WWCV",PR!$BO347,IF(F349="ZOLON",PR!$BP347,"-"))))))))))))))))))))))))))))))))))))))))))))))))))))))))))))))))</f>
        <v>-</v>
      </c>
      <c r="F349" s="102">
        <f>EV!L453</f>
        <v>0</v>
      </c>
      <c r="G349" s="108" t="str">
        <f>IF(H349="ALPHA",PR!$E347,IF(H349="ASSENE",PR!$F347,IF(H349="BIOFEM",PR!$G347,IF(H349="BIOMED",PR!$H347,IF(H349="CHI",PR!$I347,IF(H349="CLARION",PR!$J347,IF(H349="CODIX",PR!$K347,IF(H349="COSMADE",PR!$L347,IF(H349="SANCON",PR!$M347,IF(H349="DEVON",PR!$N347,IF(H349="DORTEMAG",PR!$O347,IF(H349="DGF",PR!$P347,IF(H349="DYNAMIC",PR!$Q347,IF(H349="EMZOR",PR!$R347,IF(H349="EUMATT",PR!$S347,IF(H349="FIDSON",PR!$T347,IF(H349="FCGLOBAL",PR!$U347,IF(H349="GENEITH",PR!$V347,IF(H349="GINOS",PR!$W347,IF(H349="GSK",PR!$X347,IF(H349="GLOBORG",PR!$Y347,IF(H349="GOODNEWS",PR!$Z347,IF(H349="GREENLIFE",PR!$AA347,IF(H349="HLINE",PR!$AB347,IF(H349="ROTECH",PR!$AC347,IF(H349="ISN",PR!$AD347,IF(H349="JAWA",PR!$AE347,IF(H349="LAYO",PR!$AF347,IF(H349="LEADWAY",PR!$AG347,IF(H349="LHV",PR!$AH347,IF(H349="MANOLA",PR!$AI347,IF(H349="MARCSON",PR!$AJ347,IF(H349="M&amp;B",PR!$AK347,IF(H349="MTRUST",PR!$AL347,IF(H349="MWORLD",PR!$AM347,IF(H349="MEGA",PR!$AN347,IF(H349="MICRONOVA",PR!$AO347,IF(H349="MFLASH",PR!$AP347,IF(H349="MORISON",PR!$AQ347,IF(H349="NEMEL",PR!$AR347,IF(H349="NHP",PR!$AS347,IF(H349="NHC",PR!$AT347,IF(H349="OLEAF",PR!$AU347,IF(H349="OCULUS",PR!$AV347,IF(H349="PACIFIC",PR!$AW347,IF(H349="PHAMATEX",PR!$AX347,IF(H349="PETHICS",PR!$AY347,IF(H349="PHILIPS",PR!$AZ347,IF(H349="RANBAXY",PR!$BA347,IF(H349="REALS",PR!$BB347,IF(H349="ROYAL",PR!$BC347,IF(H349="SAM",PR!$BD347,IF(H349="SEAGREEN",PR!$BE347,IF(H349="SKG",PR!$BF347,IF(H349="TAH",PR!$BG347,IF(H349="TAYLEK",PR!$BH347,IF(H349="TEMITA",PR!$BI347,IF(H349="THL",PR!$BJ347,IF(H349="UBASTIC",PR!$BK347,IF(H349="UNION",PR!$BL347,IF(H349="UNIQUE",PR!$BM347,IF(H349="VIXA",PR!$BN347,IF(H349="WWCV",PR!$BO347,IF(H349="ZOLON",PR!$BP347,"-"))))))))))))))))))))))))))))))))))))))))))))))))))))))))))))))))</f>
        <v>-</v>
      </c>
      <c r="H349" s="102">
        <f>EV!M453</f>
        <v>0</v>
      </c>
      <c r="I349" s="108" t="str">
        <f>IF(J349="ALPHA",PR!$E347,IF(J349="ASSENE",PR!$F347,IF(J349="BIOFEM",PR!$G347,IF(J349="BIOMED",PR!$H347,IF(J349="CHI",PR!$I347,IF(J349="CLARION",PR!$J347,IF(J349="CODIX",PR!$K347,IF(J349="COSMADE",PR!$L347,IF(J349="SANCON",PR!$M347,IF(J349="DEVON",PR!$N347,IF(J349="DORTEMAG",PR!$O347,IF(J349="DGF",PR!$P347,IF(J349="DYNAMIC",PR!$Q347,IF(J349="EMZOR",PR!$R347,IF(J349="EUMATT",PR!$S347,IF(J349="FIDSON",PR!$T347,IF(J349="FCGLOBAL",PR!$U347,IF(J349="GENEITH",PR!$V347,IF(J349="GINOS",PR!$W347,IF(J349="GSK",PR!$X347,IF(J349="GLOBORG",PR!$Y347,IF(J349="GOODNEWS",PR!$Z347,IF(J349="GREENLIFE",PR!$AA347,IF(J349="HLINE",PR!$AB347,IF(J349="ROTECH",PR!$AC347,IF(J349="ISN",PR!$AD347,IF(J349="JAWA",PR!$AE347,IF(J349="LAYO",PR!$AF347,IF(J349="LEADWAY",PR!$AG347,IF(J349="LHV",PR!$AH347,IF(J349="MANOLA",PR!$AI347,IF(J349="MARCSON",PR!$AJ347,IF(J349="M&amp;B",PR!$AK347,IF(J349="MTRUST",PR!$AL347,IF(J349="MWORLD",PR!$AM347,IF(J349="MEGA",PR!$AN347,IF(J349="MICRONOVA",PR!$AO347,IF(J349="MFLASH",PR!$AP347,IF(J349="MORISON",PR!$AQ347,IF(J349="NEMEL",PR!$AR347,IF(J349="NHP",PR!$AS347,IF(J349="NHC",PR!$AT347,IF(J349="OLEAF",PR!$AU347,IF(J349="OCULUS",PR!$AV347,IF(J349="PACIFIC",PR!$AW347,IF(J349="PHAMATEX",PR!$AX347,IF(J349="PETHICS",PR!$AY347,IF(J349="PHILIPS",PR!$AZ347,IF(J349="RANBAXY",PR!$BA347,IF(J349="REALS",PR!$BB347,IF(J349="ROYAL",PR!$BC347,IF(J349="SAM",PR!$BD347,IF(J349="SEAGREEN",PR!$BE347,IF(J349="SKG",PR!$BF347,IF(J349="TAH",PR!$BG347,IF(J349="TAYLEK",PR!$BH347,IF(J349="TEMITA",PR!$BI347,IF(J349="THL",PR!$BJ347,IF(J349="UBASTIC",PR!$BK347,IF(J349="UNION",PR!$BL347,IF(J349="UNIQUE",PR!$BM347,IF(J349="VIXA",PR!$BN347,IF(J349="WWCV",PR!$BO347,IF(J349="ZOLON",PR!$BP347,"-"))))))))))))))))))))))))))))))))))))))))))))))))))))))))))))))))</f>
        <v>-</v>
      </c>
      <c r="J349" s="102">
        <f>EV!N453</f>
        <v>0</v>
      </c>
      <c r="K349" s="433"/>
      <c r="L349" s="183" t="b">
        <f>IF(K349&gt;0,IF(K349="ALPHA",PR!$E347,IF(K349="ASSENE",PR!$F347,IF(K349="BIOFEM",PR!$G347,IF(K349="BIOMED",PR!$H347,IF(K349="CHI",PR!$I347,IF(K349="CLARION",PR!$J347,IF(K349="CODIX",PR!$K347,IF(K349="COSMADE",PR!$L347,IF(K349="SANCON",PR!$M347,IF(K349="DEVON",PR!$N347,IF(K349="DORTEMAG",PR!$O347,IF(K349="DGF",PR!$P347,IF(K349="DYNAMIC",PR!$Q347,IF(K349="EMZOR",PR!$R347,IF(K349="EUMATT",PR!$S347,IF(K349="FIDSON",PR!$T347,IF(K349="FCGLOBAL",PR!$U347,IF(K349="GENEITH",PR!$V347,IF(K349="GINOS",PR!$W347,IF(K349="GSK",PR!$X347,IF(K349="GLOBORG",PR!$Y347,IF(K349="GOODNEWS",PR!$Z347,IF(K349="GREENLIFE",PR!$AA347,IF(K349="HLINE",PR!$AB347,IF(K349="ROTECH",PR!$AC347,IF(K349="ISN",PR!$AD347,IF(K349="JAWA",PR!$AE347,IF(K349="LAYO",PR!$AF347,IF(K349="LEADWAY",PR!$AG347,IF(K349="LHV",PR!$AH347,IF(K349="MANOLA",PR!$AI347,IF(K349="MARCSON",PR!$AJ347,IF(K349="M&amp;B",PR!$AK347,IF(K349="MTRUST",PR!$AL347,IF(K349="MWORLD",PR!$AM347,IF(K349="MEGA",PR!$AN347,IF(K349="MICRONOVA",PR!$AO347,IF(K349="MFLASH",PR!$AP347,IF(K349="MORISON",PR!$AQ347,IF(K349="NEMEL",PR!$AR347,IF(K349="NHP",PR!$AS347,IF(K349="NHC",PR!$AT347,IF(K349="OLEAF",PR!$AU347,IF(K349="OCULUS",PR!$AV347,IF(K349="PACIFIC",PR!$AW347,IF(K349="PHAMATEX",PR!$AX347,IF(K349="PETHICS",PR!$AY347,IF(K349="PHILIPS",PR!$AZ347,IF(K349="RANBAXY",PR!$BA347,IF(K349="REALS",PR!$BB347,IF(K349="ROYAL",PR!$BC347,IF(K349="SAM",PR!$BD347,IF(K349="SEAGREEN",PR!$BE347,IF(K349="SKG",PR!$BF347,IF(K349="TAH",PR!$BG347,IF(K349="TAYLEK",PR!$BH347,IF(K349="TEMITA",PR!$BI347,IF(K349="THL",PR!$BJ347,IF(K349="UBASTIC",PR!$BK347,IF(K349="UNION",PR!$BL347,IF(K349="UNIQUE",PR!$BM347,IF(K349="VIXA",PR!$BN347,IF(K349="WWCV",PR!$BO347,IF(K349="ZOLON",PR!$BP347,"-")))))))))))))))))))))))))))))))))))))))))))))))))))))))))))))))))</f>
        <v>0</v>
      </c>
    </row>
    <row r="350" spans="1:12" ht="18.75" x14ac:dyDescent="0.3">
      <c r="A350" s="430">
        <f>PR!A348</f>
        <v>318</v>
      </c>
      <c r="B350" s="15" t="str">
        <f>PR!B348</f>
        <v xml:space="preserve">NICOTINIC ACID </v>
      </c>
      <c r="C350" s="113">
        <f>PR!D348</f>
        <v>100</v>
      </c>
      <c r="D350" s="113">
        <f>PR!C348</f>
        <v>400</v>
      </c>
      <c r="E350" s="108" t="str">
        <f>IF(F350="ALPHA",PR!$E348,IF(F350="ASSENE",PR!$F348,IF(F350="BIOFEM",PR!$G348,IF(F350="BIOMED",PR!$H348,IF(F350="CHI",PR!$I348,IF(F350="CLARION",PR!$J348,IF(F350="CODIX",PR!$K348,IF(F350="COSMADE",PR!$L348,IF(F350="SANCON",PR!$M348,IF(F350="DEVON",PR!$N348,IF(F350="DORTEMAG",PR!$O348,IF(F350="DGF",PR!$P348,IF(F350="DYNAMIC",PR!$Q348,IF(F350="EMZOR",PR!$R348,IF(F350="EUMATT",PR!$S348,IF(F350="FIDSON",PR!$T348,IF(F350="FCGLOBAL",PR!$U348,IF(F350="GENEITH",PR!$V348,IF(F350="GINOS",PR!$W348,IF(F350="GSK",PR!$X348,IF(F350="GLOBORG",PR!$Y348,IF(F350="GOODNEWS",PR!$Z348,IF(F350="GREENLIFE",PR!$AA348,IF(F350="HLINE",PR!$AB348,IF(F350="ROTECH",PR!$AC348,IF(F350="ISN",PR!$AD348,IF(F350="JAWA",PR!$AE348,IF(F350="LAYO",PR!$AF348,IF(F350="LEADWAY",PR!$AG348,IF(F350="LHV",PR!$AH348,IF(F350="MANOLA",PR!$AI348,IF(F350="MARCSON",PR!$AJ348,IF(F350="M&amp;B",PR!$AK348,IF(F350="MTRUST",PR!$AL348,IF(F350="MWORLD",PR!$AM348,IF(F350="MEGA",PR!$AN348,IF(F350="MICRONOVA",PR!$AO348,IF(F350="MFLASH",PR!$AP348,IF(F350="MORISON",PR!$AQ348,IF(F350="NEMEL",PR!$AR348,IF(F350="NHP",PR!$AS348,IF(F350="NHC",PR!$AT348,IF(F350="OLEAF",PR!$AU348,IF(F350="OCULUS",PR!$AV348,IF(F350="PACIFIC",PR!$AW348,IF(F350="PHAMATEX",PR!$AX348,IF(F350="PETHICS",PR!$AY348,IF(F350="PHILIPS",PR!$AZ348,IF(F350="RANBAXY",PR!$BA348,IF(F350="REALS",PR!$BB348,IF(F350="ROYAL",PR!$BC348,IF(F350="SAM",PR!$BD348,IF(F350="SEAGREEN",PR!$BE348,IF(F350="SKG",PR!$BF348,IF(F350="TAH",PR!$BG348,IF(F350="TAYLEK",PR!$BH348,IF(F350="TEMITA",PR!$BI348,IF(F350="THL",PR!$BJ348,IF(F350="UBASTIC",PR!$BK348,IF(F350="UNION",PR!$BL348,IF(F350="UNIQUE",PR!$BM348,IF(F350="VIXA",PR!$BN348,IF(F350="WWCV",PR!$BO348,IF(F350="ZOLON",PR!$BP348,"-"))))))))))))))))))))))))))))))))))))))))))))))))))))))))))))))))</f>
        <v>-</v>
      </c>
      <c r="F350" s="102">
        <f>EV!L454</f>
        <v>0</v>
      </c>
      <c r="G350" s="108" t="str">
        <f>IF(H350="ALPHA",PR!$E348,IF(H350="ASSENE",PR!$F348,IF(H350="BIOFEM",PR!$G348,IF(H350="BIOMED",PR!$H348,IF(H350="CHI",PR!$I348,IF(H350="CLARION",PR!$J348,IF(H350="CODIX",PR!$K348,IF(H350="COSMADE",PR!$L348,IF(H350="SANCON",PR!$M348,IF(H350="DEVON",PR!$N348,IF(H350="DORTEMAG",PR!$O348,IF(H350="DGF",PR!$P348,IF(H350="DYNAMIC",PR!$Q348,IF(H350="EMZOR",PR!$R348,IF(H350="EUMATT",PR!$S348,IF(H350="FIDSON",PR!$T348,IF(H350="FCGLOBAL",PR!$U348,IF(H350="GENEITH",PR!$V348,IF(H350="GINOS",PR!$W348,IF(H350="GSK",PR!$X348,IF(H350="GLOBORG",PR!$Y348,IF(H350="GOODNEWS",PR!$Z348,IF(H350="GREENLIFE",PR!$AA348,IF(H350="HLINE",PR!$AB348,IF(H350="ROTECH",PR!$AC348,IF(H350="ISN",PR!$AD348,IF(H350="JAWA",PR!$AE348,IF(H350="LAYO",PR!$AF348,IF(H350="LEADWAY",PR!$AG348,IF(H350="LHV",PR!$AH348,IF(H350="MANOLA",PR!$AI348,IF(H350="MARCSON",PR!$AJ348,IF(H350="M&amp;B",PR!$AK348,IF(H350="MTRUST",PR!$AL348,IF(H350="MWORLD",PR!$AM348,IF(H350="MEGA",PR!$AN348,IF(H350="MICRONOVA",PR!$AO348,IF(H350="MFLASH",PR!$AP348,IF(H350="MORISON",PR!$AQ348,IF(H350="NEMEL",PR!$AR348,IF(H350="NHP",PR!$AS348,IF(H350="NHC",PR!$AT348,IF(H350="OLEAF",PR!$AU348,IF(H350="OCULUS",PR!$AV348,IF(H350="PACIFIC",PR!$AW348,IF(H350="PHAMATEX",PR!$AX348,IF(H350="PETHICS",PR!$AY348,IF(H350="PHILIPS",PR!$AZ348,IF(H350="RANBAXY",PR!$BA348,IF(H350="REALS",PR!$BB348,IF(H350="ROYAL",PR!$BC348,IF(H350="SAM",PR!$BD348,IF(H350="SEAGREEN",PR!$BE348,IF(H350="SKG",PR!$BF348,IF(H350="TAH",PR!$BG348,IF(H350="TAYLEK",PR!$BH348,IF(H350="TEMITA",PR!$BI348,IF(H350="THL",PR!$BJ348,IF(H350="UBASTIC",PR!$BK348,IF(H350="UNION",PR!$BL348,IF(H350="UNIQUE",PR!$BM348,IF(H350="VIXA",PR!$BN348,IF(H350="WWCV",PR!$BO348,IF(H350="ZOLON",PR!$BP348,"-"))))))))))))))))))))))))))))))))))))))))))))))))))))))))))))))))</f>
        <v>-</v>
      </c>
      <c r="H350" s="102">
        <f>EV!M454</f>
        <v>0</v>
      </c>
      <c r="I350" s="108" t="str">
        <f>IF(J350="ALPHA",PR!$E348,IF(J350="ASSENE",PR!$F348,IF(J350="BIOFEM",PR!$G348,IF(J350="BIOMED",PR!$H348,IF(J350="CHI",PR!$I348,IF(J350="CLARION",PR!$J348,IF(J350="CODIX",PR!$K348,IF(J350="COSMADE",PR!$L348,IF(J350="SANCON",PR!$M348,IF(J350="DEVON",PR!$N348,IF(J350="DORTEMAG",PR!$O348,IF(J350="DGF",PR!$P348,IF(J350="DYNAMIC",PR!$Q348,IF(J350="EMZOR",PR!$R348,IF(J350="EUMATT",PR!$S348,IF(J350="FIDSON",PR!$T348,IF(J350="FCGLOBAL",PR!$U348,IF(J350="GENEITH",PR!$V348,IF(J350="GINOS",PR!$W348,IF(J350="GSK",PR!$X348,IF(J350="GLOBORG",PR!$Y348,IF(J350="GOODNEWS",PR!$Z348,IF(J350="GREENLIFE",PR!$AA348,IF(J350="HLINE",PR!$AB348,IF(J350="ROTECH",PR!$AC348,IF(J350="ISN",PR!$AD348,IF(J350="JAWA",PR!$AE348,IF(J350="LAYO",PR!$AF348,IF(J350="LEADWAY",PR!$AG348,IF(J350="LHV",PR!$AH348,IF(J350="MANOLA",PR!$AI348,IF(J350="MARCSON",PR!$AJ348,IF(J350="M&amp;B",PR!$AK348,IF(J350="MTRUST",PR!$AL348,IF(J350="MWORLD",PR!$AM348,IF(J350="MEGA",PR!$AN348,IF(J350="MICRONOVA",PR!$AO348,IF(J350="MFLASH",PR!$AP348,IF(J350="MORISON",PR!$AQ348,IF(J350="NEMEL",PR!$AR348,IF(J350="NHP",PR!$AS348,IF(J350="NHC",PR!$AT348,IF(J350="OLEAF",PR!$AU348,IF(J350="OCULUS",PR!$AV348,IF(J350="PACIFIC",PR!$AW348,IF(J350="PHAMATEX",PR!$AX348,IF(J350="PETHICS",PR!$AY348,IF(J350="PHILIPS",PR!$AZ348,IF(J350="RANBAXY",PR!$BA348,IF(J350="REALS",PR!$BB348,IF(J350="ROYAL",PR!$BC348,IF(J350="SAM",PR!$BD348,IF(J350="SEAGREEN",PR!$BE348,IF(J350="SKG",PR!$BF348,IF(J350="TAH",PR!$BG348,IF(J350="TAYLEK",PR!$BH348,IF(J350="TEMITA",PR!$BI348,IF(J350="THL",PR!$BJ348,IF(J350="UBASTIC",PR!$BK348,IF(J350="UNION",PR!$BL348,IF(J350="UNIQUE",PR!$BM348,IF(J350="VIXA",PR!$BN348,IF(J350="WWCV",PR!$BO348,IF(J350="ZOLON",PR!$BP348,"-"))))))))))))))))))))))))))))))))))))))))))))))))))))))))))))))))</f>
        <v>-</v>
      </c>
      <c r="J350" s="102">
        <f>EV!N454</f>
        <v>0</v>
      </c>
      <c r="K350" s="433"/>
      <c r="L350" s="183" t="b">
        <f>IF(K350&gt;0,IF(K350="ALPHA",PR!$E348,IF(K350="ASSENE",PR!$F348,IF(K350="BIOFEM",PR!$G348,IF(K350="BIOMED",PR!$H348,IF(K350="CHI",PR!$I348,IF(K350="CLARION",PR!$J348,IF(K350="CODIX",PR!$K348,IF(K350="COSMADE",PR!$L348,IF(K350="SANCON",PR!$M348,IF(K350="DEVON",PR!$N348,IF(K350="DORTEMAG",PR!$O348,IF(K350="DGF",PR!$P348,IF(K350="DYNAMIC",PR!$Q348,IF(K350="EMZOR",PR!$R348,IF(K350="EUMATT",PR!$S348,IF(K350="FIDSON",PR!$T348,IF(K350="FCGLOBAL",PR!$U348,IF(K350="GENEITH",PR!$V348,IF(K350="GINOS",PR!$W348,IF(K350="GSK",PR!$X348,IF(K350="GLOBORG",PR!$Y348,IF(K350="GOODNEWS",PR!$Z348,IF(K350="GREENLIFE",PR!$AA348,IF(K350="HLINE",PR!$AB348,IF(K350="ROTECH",PR!$AC348,IF(K350="ISN",PR!$AD348,IF(K350="JAWA",PR!$AE348,IF(K350="LAYO",PR!$AF348,IF(K350="LEADWAY",PR!$AG348,IF(K350="LHV",PR!$AH348,IF(K350="MANOLA",PR!$AI348,IF(K350="MARCSON",PR!$AJ348,IF(K350="M&amp;B",PR!$AK348,IF(K350="MTRUST",PR!$AL348,IF(K350="MWORLD",PR!$AM348,IF(K350="MEGA",PR!$AN348,IF(K350="MICRONOVA",PR!$AO348,IF(K350="MFLASH",PR!$AP348,IF(K350="MORISON",PR!$AQ348,IF(K350="NEMEL",PR!$AR348,IF(K350="NHP",PR!$AS348,IF(K350="NHC",PR!$AT348,IF(K350="OLEAF",PR!$AU348,IF(K350="OCULUS",PR!$AV348,IF(K350="PACIFIC",PR!$AW348,IF(K350="PHAMATEX",PR!$AX348,IF(K350="PETHICS",PR!$AY348,IF(K350="PHILIPS",PR!$AZ348,IF(K350="RANBAXY",PR!$BA348,IF(K350="REALS",PR!$BB348,IF(K350="ROYAL",PR!$BC348,IF(K350="SAM",PR!$BD348,IF(K350="SEAGREEN",PR!$BE348,IF(K350="SKG",PR!$BF348,IF(K350="TAH",PR!$BG348,IF(K350="TAYLEK",PR!$BH348,IF(K350="TEMITA",PR!$BI348,IF(K350="THL",PR!$BJ348,IF(K350="UBASTIC",PR!$BK348,IF(K350="UNION",PR!$BL348,IF(K350="UNIQUE",PR!$BM348,IF(K350="VIXA",PR!$BN348,IF(K350="WWCV",PR!$BO348,IF(K350="ZOLON",PR!$BP348,"-")))))))))))))))))))))))))))))))))))))))))))))))))))))))))))))))))</f>
        <v>0</v>
      </c>
    </row>
    <row r="351" spans="1:12" ht="18.75" x14ac:dyDescent="0.3">
      <c r="A351" s="430">
        <f>PR!A349</f>
        <v>319</v>
      </c>
      <c r="B351" s="15" t="str">
        <f>PR!B349</f>
        <v>OMEGA3 FATTY ACIDS  (MARINA 1000)</v>
      </c>
      <c r="C351" s="113">
        <f>PR!D349</f>
        <v>30</v>
      </c>
      <c r="D351" s="113">
        <f>PR!C349</f>
        <v>2000</v>
      </c>
      <c r="E351" s="108">
        <f>IF(F351="ALPHA",PR!$E349,IF(F351="ASSENE",PR!$F349,IF(F351="BIOFEM",PR!$G349,IF(F351="BIOMED",PR!$H349,IF(F351="CHI",PR!$I349,IF(F351="CLARION",PR!$J349,IF(F351="CODIX",PR!$K349,IF(F351="COSMADE",PR!$L349,IF(F351="SANCON",PR!$M349,IF(F351="DEVON",PR!$N349,IF(F351="DORTEMAG",PR!$O349,IF(F351="DGF",PR!$P349,IF(F351="DYNAMIC",PR!$Q349,IF(F351="EMZOR",PR!$R349,IF(F351="EUMATT",PR!$S349,IF(F351="FIDSON",PR!$T349,IF(F351="FCGLOBAL",PR!$U349,IF(F351="GENEITH",PR!$V349,IF(F351="GINOS",PR!$W349,IF(F351="GSK",PR!$X349,IF(F351="GLOBORG",PR!$Y349,IF(F351="GOODNEWS",PR!$Z349,IF(F351="GREENLIFE",PR!$AA349,IF(F351="HLINE",PR!$AB349,IF(F351="ROTECH",PR!$AC349,IF(F351="ISN",PR!$AD349,IF(F351="JAWA",PR!$AE349,IF(F351="LAYO",PR!$AF349,IF(F351="LEADWAY",PR!$AG349,IF(F351="LHV",PR!$AH349,IF(F351="MANOLA",PR!$AI349,IF(F351="MARCSON",PR!$AJ349,IF(F351="M&amp;B",PR!$AK349,IF(F351="MTRUST",PR!$AL349,IF(F351="MWORLD",PR!$AM349,IF(F351="MEGA",PR!$AN349,IF(F351="MICRONOVA",PR!$AO349,IF(F351="MFLASH",PR!$AP349,IF(F351="MORISON",PR!$AQ349,IF(F351="NEMEL",PR!$AR349,IF(F351="NHP",PR!$AS349,IF(F351="NHC",PR!$AT349,IF(F351="OLEAF",PR!$AU349,IF(F351="OCULUS",PR!$AV349,IF(F351="PACIFIC",PR!$AW349,IF(F351="PHAMATEX",PR!$AX349,IF(F351="PETHICS",PR!$AY349,IF(F351="PHILIPS",PR!$AZ349,IF(F351="RANBAXY",PR!$BA349,IF(F351="REALS",PR!$BB349,IF(F351="ROYAL",PR!$BC349,IF(F351="SAM",PR!$BD349,IF(F351="SEAGREEN",PR!$BE349,IF(F351="SKG",PR!$BF349,IF(F351="TAH",PR!$BG349,IF(F351="TAYLEK",PR!$BH349,IF(F351="TEMITA",PR!$BI349,IF(F351="THL",PR!$BJ349,IF(F351="UBASTIC",PR!$BK349,IF(F351="UNION",PR!$BL349,IF(F351="UNIQUE",PR!$BM349,IF(F351="VIXA",PR!$BN349,IF(F351="WWCV",PR!$BO349,IF(F351="ZOLON",PR!$BP349,"-"))))))))))))))))))))))))))))))))))))))))))))))))))))))))))))))))</f>
        <v>897.22</v>
      </c>
      <c r="F351" s="102" t="str">
        <f>EV!L455</f>
        <v>EMZOR</v>
      </c>
      <c r="G351" s="108">
        <f>IF(H351="ALPHA",PR!$E349,IF(H351="ASSENE",PR!$F349,IF(H351="BIOFEM",PR!$G349,IF(H351="BIOMED",PR!$H349,IF(H351="CHI",PR!$I349,IF(H351="CLARION",PR!$J349,IF(H351="CODIX",PR!$K349,IF(H351="COSMADE",PR!$L349,IF(H351="SANCON",PR!$M349,IF(H351="DEVON",PR!$N349,IF(H351="DORTEMAG",PR!$O349,IF(H351="DGF",PR!$P349,IF(H351="DYNAMIC",PR!$Q349,IF(H351="EMZOR",PR!$R349,IF(H351="EUMATT",PR!$S349,IF(H351="FIDSON",PR!$T349,IF(H351="FCGLOBAL",PR!$U349,IF(H351="GENEITH",PR!$V349,IF(H351="GINOS",PR!$W349,IF(H351="GSK",PR!$X349,IF(H351="GLOBORG",PR!$Y349,IF(H351="GOODNEWS",PR!$Z349,IF(H351="GREENLIFE",PR!$AA349,IF(H351="HLINE",PR!$AB349,IF(H351="ROTECH",PR!$AC349,IF(H351="ISN",PR!$AD349,IF(H351="JAWA",PR!$AE349,IF(H351="LAYO",PR!$AF349,IF(H351="LEADWAY",PR!$AG349,IF(H351="LHV",PR!$AH349,IF(H351="MANOLA",PR!$AI349,IF(H351="MARCSON",PR!$AJ349,IF(H351="M&amp;B",PR!$AK349,IF(H351="MTRUST",PR!$AL349,IF(H351="MWORLD",PR!$AM349,IF(H351="MEGA",PR!$AN349,IF(H351="MICRONOVA",PR!$AO349,IF(H351="MFLASH",PR!$AP349,IF(H351="MORISON",PR!$AQ349,IF(H351="NEMEL",PR!$AR349,IF(H351="NHP",PR!$AS349,IF(H351="NHC",PR!$AT349,IF(H351="OLEAF",PR!$AU349,IF(H351="OCULUS",PR!$AV349,IF(H351="PACIFIC",PR!$AW349,IF(H351="PHAMATEX",PR!$AX349,IF(H351="PETHICS",PR!$AY349,IF(H351="PHILIPS",PR!$AZ349,IF(H351="RANBAXY",PR!$BA349,IF(H351="REALS",PR!$BB349,IF(H351="ROYAL",PR!$BC349,IF(H351="SAM",PR!$BD349,IF(H351="SEAGREEN",PR!$BE349,IF(H351="SKG",PR!$BF349,IF(H351="TAH",PR!$BG349,IF(H351="TAYLEK",PR!$BH349,IF(H351="TEMITA",PR!$BI349,IF(H351="THL",PR!$BJ349,IF(H351="UBASTIC",PR!$BK349,IF(H351="UNION",PR!$BL349,IF(H351="UNIQUE",PR!$BM349,IF(H351="VIXA",PR!$BN349,IF(H351="WWCV",PR!$BO349,IF(H351="ZOLON",PR!$BP349,"-"))))))))))))))))))))))))))))))))))))))))))))))))))))))))))))))))</f>
        <v>935</v>
      </c>
      <c r="H351" s="102" t="str">
        <f>EV!M455</f>
        <v>WWCV</v>
      </c>
      <c r="I351" s="108">
        <f>IF(J351="ALPHA",PR!$E349,IF(J351="ASSENE",PR!$F349,IF(J351="BIOFEM",PR!$G349,IF(J351="BIOMED",PR!$H349,IF(J351="CHI",PR!$I349,IF(J351="CLARION",PR!$J349,IF(J351="CODIX",PR!$K349,IF(J351="COSMADE",PR!$L349,IF(J351="SANCON",PR!$M349,IF(J351="DEVON",PR!$N349,IF(J351="DORTEMAG",PR!$O349,IF(J351="DGF",PR!$P349,IF(J351="DYNAMIC",PR!$Q349,IF(J351="EMZOR",PR!$R349,IF(J351="EUMATT",PR!$S349,IF(J351="FIDSON",PR!$T349,IF(J351="FCGLOBAL",PR!$U349,IF(J351="GENEITH",PR!$V349,IF(J351="GINOS",PR!$W349,IF(J351="GSK",PR!$X349,IF(J351="GLOBORG",PR!$Y349,IF(J351="GOODNEWS",PR!$Z349,IF(J351="GREENLIFE",PR!$AA349,IF(J351="HLINE",PR!$AB349,IF(J351="ROTECH",PR!$AC349,IF(J351="ISN",PR!$AD349,IF(J351="JAWA",PR!$AE349,IF(J351="LAYO",PR!$AF349,IF(J351="LEADWAY",PR!$AG349,IF(J351="LHV",PR!$AH349,IF(J351="MANOLA",PR!$AI349,IF(J351="MARCSON",PR!$AJ349,IF(J351="M&amp;B",PR!$AK349,IF(J351="MTRUST",PR!$AL349,IF(J351="MWORLD",PR!$AM349,IF(J351="MEGA",PR!$AN349,IF(J351="MICRONOVA",PR!$AO349,IF(J351="MFLASH",PR!$AP349,IF(J351="MORISON",PR!$AQ349,IF(J351="NEMEL",PR!$AR349,IF(J351="NHP",PR!$AS349,IF(J351="NHC",PR!$AT349,IF(J351="OLEAF",PR!$AU349,IF(J351="OCULUS",PR!$AV349,IF(J351="PACIFIC",PR!$AW349,IF(J351="PHAMATEX",PR!$AX349,IF(J351="PETHICS",PR!$AY349,IF(J351="PHILIPS",PR!$AZ349,IF(J351="RANBAXY",PR!$BA349,IF(J351="REALS",PR!$BB349,IF(J351="ROYAL",PR!$BC349,IF(J351="SAM",PR!$BD349,IF(J351="SEAGREEN",PR!$BE349,IF(J351="SKG",PR!$BF349,IF(J351="TAH",PR!$BG349,IF(J351="TAYLEK",PR!$BH349,IF(J351="TEMITA",PR!$BI349,IF(J351="THL",PR!$BJ349,IF(J351="UBASTIC",PR!$BK349,IF(J351="UNION",PR!$BL349,IF(J351="UNIQUE",PR!$BM349,IF(J351="VIXA",PR!$BN349,IF(J351="WWCV",PR!$BO349,IF(J351="ZOLON",PR!$BP349,"-"))))))))))))))))))))))))))))))))))))))))))))))))))))))))))))))))</f>
        <v>1050</v>
      </c>
      <c r="J351" s="102" t="str">
        <f>EV!N455</f>
        <v>EUMATT</v>
      </c>
      <c r="K351" s="433" t="s">
        <v>821</v>
      </c>
      <c r="L351" s="183">
        <f>IF(K351&gt;0,IF(K351="ALPHA",PR!$E349,IF(K351="ASSENE",PR!$F349,IF(K351="BIOFEM",PR!$G349,IF(K351="BIOMED",PR!$H349,IF(K351="CHI",PR!$I349,IF(K351="CLARION",PR!$J349,IF(K351="CODIX",PR!$K349,IF(K351="COSMADE",PR!$L349,IF(K351="SANCON",PR!$M349,IF(K351="DEVON",PR!$N349,IF(K351="DORTEMAG",PR!$O349,IF(K351="DGF",PR!$P349,IF(K351="DYNAMIC",PR!$Q349,IF(K351="EMZOR",PR!$R349,IF(K351="EUMATT",PR!$S349,IF(K351="FIDSON",PR!$T349,IF(K351="FCGLOBAL",PR!$U349,IF(K351="GENEITH",PR!$V349,IF(K351="GINOS",PR!$W349,IF(K351="GSK",PR!$X349,IF(K351="GLOBORG",PR!$Y349,IF(K351="GOODNEWS",PR!$Z349,IF(K351="GREENLIFE",PR!$AA349,IF(K351="HLINE",PR!$AB349,IF(K351="ROTECH",PR!$AC349,IF(K351="ISN",PR!$AD349,IF(K351="JAWA",PR!$AE349,IF(K351="LAYO",PR!$AF349,IF(K351="LEADWAY",PR!$AG349,IF(K351="LHV",PR!$AH349,IF(K351="MANOLA",PR!$AI349,IF(K351="MARCSON",PR!$AJ349,IF(K351="M&amp;B",PR!$AK349,IF(K351="MTRUST",PR!$AL349,IF(K351="MWORLD",PR!$AM349,IF(K351="MEGA",PR!$AN349,IF(K351="MICRONOVA",PR!$AO349,IF(K351="MFLASH",PR!$AP349,IF(K351="MORISON",PR!$AQ349,IF(K351="NEMEL",PR!$AR349,IF(K351="NHP",PR!$AS349,IF(K351="NHC",PR!$AT349,IF(K351="OLEAF",PR!$AU349,IF(K351="OCULUS",PR!$AV349,IF(K351="PACIFIC",PR!$AW349,IF(K351="PHAMATEX",PR!$AX349,IF(K351="PETHICS",PR!$AY349,IF(K351="PHILIPS",PR!$AZ349,IF(K351="RANBAXY",PR!$BA349,IF(K351="REALS",PR!$BB349,IF(K351="ROYAL",PR!$BC349,IF(K351="SAM",PR!$BD349,IF(K351="SEAGREEN",PR!$BE349,IF(K351="SKG",PR!$BF349,IF(K351="TAH",PR!$BG349,IF(K351="TAYLEK",PR!$BH349,IF(K351="TEMITA",PR!$BI349,IF(K351="THL",PR!$BJ349,IF(K351="UBASTIC",PR!$BK349,IF(K351="UNION",PR!$BL349,IF(K351="UNIQUE",PR!$BM349,IF(K351="VIXA",PR!$BN349,IF(K351="WWCV",PR!$BO349,IF(K351="ZOLON",PR!$BP349,"-")))))))))))))))))))))))))))))))))))))))))))))))))))))))))))))))))</f>
        <v>1050</v>
      </c>
    </row>
    <row r="352" spans="1:12" ht="18.75" x14ac:dyDescent="0.3">
      <c r="A352" s="430">
        <f>PR!A350</f>
        <v>320</v>
      </c>
      <c r="B352" s="15" t="str">
        <f>PR!B350</f>
        <v>ORAL REHYDRATION SALT</v>
      </c>
      <c r="C352" s="113">
        <f>PR!D350</f>
        <v>3</v>
      </c>
      <c r="D352" s="113">
        <f>PR!C350</f>
        <v>2000</v>
      </c>
      <c r="E352" s="108">
        <f>IF(F352="ALPHA",PR!$E350,IF(F352="ASSENE",PR!$F350,IF(F352="BIOFEM",PR!$G350,IF(F352="BIOMED",PR!$H350,IF(F352="CHI",PR!$I350,IF(F352="CLARION",PR!$J350,IF(F352="CODIX",PR!$K350,IF(F352="COSMADE",PR!$L350,IF(F352="SANCON",PR!$M350,IF(F352="DEVON",PR!$N350,IF(F352="DORTEMAG",PR!$O350,IF(F352="DGF",PR!$P350,IF(F352="DYNAMIC",PR!$Q350,IF(F352="EMZOR",PR!$R350,IF(F352="EUMATT",PR!$S350,IF(F352="FIDSON",PR!$T350,IF(F352="FCGLOBAL",PR!$U350,IF(F352="GENEITH",PR!$V350,IF(F352="GINOS",PR!$W350,IF(F352="GSK",PR!$X350,IF(F352="GLOBORG",PR!$Y350,IF(F352="GOODNEWS",PR!$Z350,IF(F352="GREENLIFE",PR!$AA350,IF(F352="HLINE",PR!$AB350,IF(F352="ROTECH",PR!$AC350,IF(F352="ISN",PR!$AD350,IF(F352="JAWA",PR!$AE350,IF(F352="LAYO",PR!$AF350,IF(F352="LEADWAY",PR!$AG350,IF(F352="LHV",PR!$AH350,IF(F352="MANOLA",PR!$AI350,IF(F352="MARCSON",PR!$AJ350,IF(F352="M&amp;B",PR!$AK350,IF(F352="MTRUST",PR!$AL350,IF(F352="MWORLD",PR!$AM350,IF(F352="MEGA",PR!$AN350,IF(F352="MICRONOVA",PR!$AO350,IF(F352="MFLASH",PR!$AP350,IF(F352="MORISON",PR!$AQ350,IF(F352="NEMEL",PR!$AR350,IF(F352="NHP",PR!$AS350,IF(F352="NHC",PR!$AT350,IF(F352="OLEAF",PR!$AU350,IF(F352="OCULUS",PR!$AV350,IF(F352="PACIFIC",PR!$AW350,IF(F352="PHAMATEX",PR!$AX350,IF(F352="PETHICS",PR!$AY350,IF(F352="PHILIPS",PR!$AZ350,IF(F352="RANBAXY",PR!$BA350,IF(F352="REALS",PR!$BB350,IF(F352="ROYAL",PR!$BC350,IF(F352="SAM",PR!$BD350,IF(F352="SEAGREEN",PR!$BE350,IF(F352="SKG",PR!$BF350,IF(F352="TAH",PR!$BG350,IF(F352="TAYLEK",PR!$BH350,IF(F352="TEMITA",PR!$BI350,IF(F352="THL",PR!$BJ350,IF(F352="UBASTIC",PR!$BK350,IF(F352="UNION",PR!$BL350,IF(F352="UNIQUE",PR!$BM350,IF(F352="VIXA",PR!$BN350,IF(F352="WWCV",PR!$BO350,IF(F352="ZOLON",PR!$BP350,"-"))))))))))))))))))))))))))))))))))))))))))))))))))))))))))))))))</f>
        <v>107</v>
      </c>
      <c r="F352" s="102" t="str">
        <f>EV!L456</f>
        <v>GREENLIFE</v>
      </c>
      <c r="G352" s="108">
        <f>IF(H352="ALPHA",PR!$E350,IF(H352="ASSENE",PR!$F350,IF(H352="BIOFEM",PR!$G350,IF(H352="BIOMED",PR!$H350,IF(H352="CHI",PR!$I350,IF(H352="CLARION",PR!$J350,IF(H352="CODIX",PR!$K350,IF(H352="COSMADE",PR!$L350,IF(H352="SANCON",PR!$M350,IF(H352="DEVON",PR!$N350,IF(H352="DORTEMAG",PR!$O350,IF(H352="DGF",PR!$P350,IF(H352="DYNAMIC",PR!$Q350,IF(H352="EMZOR",PR!$R350,IF(H352="EUMATT",PR!$S350,IF(H352="FIDSON",PR!$T350,IF(H352="FCGLOBAL",PR!$U350,IF(H352="GENEITH",PR!$V350,IF(H352="GINOS",PR!$W350,IF(H352="GSK",PR!$X350,IF(H352="GLOBORG",PR!$Y350,IF(H352="GOODNEWS",PR!$Z350,IF(H352="GREENLIFE",PR!$AA350,IF(H352="HLINE",PR!$AB350,IF(H352="ROTECH",PR!$AC350,IF(H352="ISN",PR!$AD350,IF(H352="JAWA",PR!$AE350,IF(H352="LAYO",PR!$AF350,IF(H352="LEADWAY",PR!$AG350,IF(H352="LHV",PR!$AH350,IF(H352="MANOLA",PR!$AI350,IF(H352="MARCSON",PR!$AJ350,IF(H352="M&amp;B",PR!$AK350,IF(H352="MTRUST",PR!$AL350,IF(H352="MWORLD",PR!$AM350,IF(H352="MEGA",PR!$AN350,IF(H352="MICRONOVA",PR!$AO350,IF(H352="MFLASH",PR!$AP350,IF(H352="MORISON",PR!$AQ350,IF(H352="NEMEL",PR!$AR350,IF(H352="NHP",PR!$AS350,IF(H352="NHC",PR!$AT350,IF(H352="OLEAF",PR!$AU350,IF(H352="OCULUS",PR!$AV350,IF(H352="PACIFIC",PR!$AW350,IF(H352="PHAMATEX",PR!$AX350,IF(H352="PETHICS",PR!$AY350,IF(H352="PHILIPS",PR!$AZ350,IF(H352="RANBAXY",PR!$BA350,IF(H352="REALS",PR!$BB350,IF(H352="ROYAL",PR!$BC350,IF(H352="SAM",PR!$BD350,IF(H352="SEAGREEN",PR!$BE350,IF(H352="SKG",PR!$BF350,IF(H352="TAH",PR!$BG350,IF(H352="TAYLEK",PR!$BH350,IF(H352="TEMITA",PR!$BI350,IF(H352="THL",PR!$BJ350,IF(H352="UBASTIC",PR!$BK350,IF(H352="UNION",PR!$BL350,IF(H352="UNIQUE",PR!$BM350,IF(H352="VIXA",PR!$BN350,IF(H352="WWCV",PR!$BO350,IF(H352="ZOLON",PR!$BP350,"-"))))))))))))))))))))))))))))))))))))))))))))))))))))))))))))))))</f>
        <v>128.876</v>
      </c>
      <c r="H352" s="102" t="str">
        <f>EV!M456</f>
        <v>EMZOR</v>
      </c>
      <c r="I352" s="108" t="str">
        <f>IF(J352="ALPHA",PR!$E350,IF(J352="ASSENE",PR!$F350,IF(J352="BIOFEM",PR!$G350,IF(J352="BIOMED",PR!$H350,IF(J352="CHI",PR!$I350,IF(J352="CLARION",PR!$J350,IF(J352="CODIX",PR!$K350,IF(J352="COSMADE",PR!$L350,IF(J352="SANCON",PR!$M350,IF(J352="DEVON",PR!$N350,IF(J352="DORTEMAG",PR!$O350,IF(J352="DGF",PR!$P350,IF(J352="DYNAMIC",PR!$Q350,IF(J352="EMZOR",PR!$R350,IF(J352="EUMATT",PR!$S350,IF(J352="FIDSON",PR!$T350,IF(J352="FCGLOBAL",PR!$U350,IF(J352="GENEITH",PR!$V350,IF(J352="GINOS",PR!$W350,IF(J352="GSK",PR!$X350,IF(J352="GLOBORG",PR!$Y350,IF(J352="GOODNEWS",PR!$Z350,IF(J352="GREENLIFE",PR!$AA350,IF(J352="HLINE",PR!$AB350,IF(J352="ROTECH",PR!$AC350,IF(J352="ISN",PR!$AD350,IF(J352="JAWA",PR!$AE350,IF(J352="LAYO",PR!$AF350,IF(J352="LEADWAY",PR!$AG350,IF(J352="LHV",PR!$AH350,IF(J352="MANOLA",PR!$AI350,IF(J352="MARCSON",PR!$AJ350,IF(J352="M&amp;B",PR!$AK350,IF(J352="MTRUST",PR!$AL350,IF(J352="MWORLD",PR!$AM350,IF(J352="MEGA",PR!$AN350,IF(J352="MICRONOVA",PR!$AO350,IF(J352="MFLASH",PR!$AP350,IF(J352="MORISON",PR!$AQ350,IF(J352="NEMEL",PR!$AR350,IF(J352="NHP",PR!$AS350,IF(J352="NHC",PR!$AT350,IF(J352="OLEAF",PR!$AU350,IF(J352="OCULUS",PR!$AV350,IF(J352="PACIFIC",PR!$AW350,IF(J352="PHAMATEX",PR!$AX350,IF(J352="PETHICS",PR!$AY350,IF(J352="PHILIPS",PR!$AZ350,IF(J352="RANBAXY",PR!$BA350,IF(J352="REALS",PR!$BB350,IF(J352="ROYAL",PR!$BC350,IF(J352="SAM",PR!$BD350,IF(J352="SEAGREEN",PR!$BE350,IF(J352="SKG",PR!$BF350,IF(J352="TAH",PR!$BG350,IF(J352="TAYLEK",PR!$BH350,IF(J352="TEMITA",PR!$BI350,IF(J352="THL",PR!$BJ350,IF(J352="UBASTIC",PR!$BK350,IF(J352="UNION",PR!$BL350,IF(J352="UNIQUE",PR!$BM350,IF(J352="VIXA",PR!$BN350,IF(J352="WWCV",PR!$BO350,IF(J352="ZOLON",PR!$BP350,"-"))))))))))))))))))))))))))))))))))))))))))))))))))))))))))))))))</f>
        <v>-</v>
      </c>
      <c r="J352" s="102">
        <f>EV!N456</f>
        <v>0</v>
      </c>
      <c r="K352" s="433" t="s">
        <v>635</v>
      </c>
      <c r="L352" s="183">
        <f>IF(K352&gt;0,IF(K352="ALPHA",PR!$E350,IF(K352="ASSENE",PR!$F350,IF(K352="BIOFEM",PR!$G350,IF(K352="BIOMED",PR!$H350,IF(K352="CHI",PR!$I350,IF(K352="CLARION",PR!$J350,IF(K352="CODIX",PR!$K350,IF(K352="COSMADE",PR!$L350,IF(K352="SANCON",PR!$M350,IF(K352="DEVON",PR!$N350,IF(K352="DORTEMAG",PR!$O350,IF(K352="DGF",PR!$P350,IF(K352="DYNAMIC",PR!$Q350,IF(K352="EMZOR",PR!$R350,IF(K352="EUMATT",PR!$S350,IF(K352="FIDSON",PR!$T350,IF(K352="FCGLOBAL",PR!$U350,IF(K352="GENEITH",PR!$V350,IF(K352="GINOS",PR!$W350,IF(K352="GSK",PR!$X350,IF(K352="GLOBORG",PR!$Y350,IF(K352="GOODNEWS",PR!$Z350,IF(K352="GREENLIFE",PR!$AA350,IF(K352="HLINE",PR!$AB350,IF(K352="ROTECH",PR!$AC350,IF(K352="ISN",PR!$AD350,IF(K352="JAWA",PR!$AE350,IF(K352="LAYO",PR!$AF350,IF(K352="LEADWAY",PR!$AG350,IF(K352="LHV",PR!$AH350,IF(K352="MANOLA",PR!$AI350,IF(K352="MARCSON",PR!$AJ350,IF(K352="M&amp;B",PR!$AK350,IF(K352="MTRUST",PR!$AL350,IF(K352="MWORLD",PR!$AM350,IF(K352="MEGA",PR!$AN350,IF(K352="MICRONOVA",PR!$AO350,IF(K352="MFLASH",PR!$AP350,IF(K352="MORISON",PR!$AQ350,IF(K352="NEMEL",PR!$AR350,IF(K352="NHP",PR!$AS350,IF(K352="NHC",PR!$AT350,IF(K352="OLEAF",PR!$AU350,IF(K352="OCULUS",PR!$AV350,IF(K352="PACIFIC",PR!$AW350,IF(K352="PHAMATEX",PR!$AX350,IF(K352="PETHICS",PR!$AY350,IF(K352="PHILIPS",PR!$AZ350,IF(K352="RANBAXY",PR!$BA350,IF(K352="REALS",PR!$BB350,IF(K352="ROYAL",PR!$BC350,IF(K352="SAM",PR!$BD350,IF(K352="SEAGREEN",PR!$BE350,IF(K352="SKG",PR!$BF350,IF(K352="TAH",PR!$BG350,IF(K352="TAYLEK",PR!$BH350,IF(K352="TEMITA",PR!$BI350,IF(K352="THL",PR!$BJ350,IF(K352="UBASTIC",PR!$BK350,IF(K352="UNION",PR!$BL350,IF(K352="UNIQUE",PR!$BM350,IF(K352="VIXA",PR!$BN350,IF(K352="WWCV",PR!$BO350,IF(K352="ZOLON",PR!$BP350,"-")))))))))))))))))))))))))))))))))))))))))))))))))))))))))))))))))</f>
        <v>107</v>
      </c>
    </row>
    <row r="353" spans="1:12" ht="18.75" x14ac:dyDescent="0.3">
      <c r="A353" s="430">
        <f>PR!A351</f>
        <v>321</v>
      </c>
      <c r="B353" s="15" t="str">
        <f>PR!B351</f>
        <v>PHOSPHOLIPIDS/VIT E/VIT B COMPLEX</v>
      </c>
      <c r="C353" s="113">
        <f>PR!D351</f>
        <v>30</v>
      </c>
      <c r="D353" s="113">
        <f>PR!C351</f>
        <v>400</v>
      </c>
      <c r="E353" s="108">
        <f>IF(F353="ALPHA",PR!$E351,IF(F353="ASSENE",PR!$F351,IF(F353="BIOFEM",PR!$G351,IF(F353="BIOMED",PR!$H351,IF(F353="CHI",PR!$I351,IF(F353="CLARION",PR!$J351,IF(F353="CODIX",PR!$K351,IF(F353="COSMADE",PR!$L351,IF(F353="SANCON",PR!$M351,IF(F353="DEVON",PR!$N351,IF(F353="DORTEMAG",PR!$O351,IF(F353="DGF",PR!$P351,IF(F353="DYNAMIC",PR!$Q351,IF(F353="EMZOR",PR!$R351,IF(F353="EUMATT",PR!$S351,IF(F353="FIDSON",PR!$T351,IF(F353="FCGLOBAL",PR!$U351,IF(F353="GENEITH",PR!$V351,IF(F353="GINOS",PR!$W351,IF(F353="GSK",PR!$X351,IF(F353="GLOBORG",PR!$Y351,IF(F353="GOODNEWS",PR!$Z351,IF(F353="GREENLIFE",PR!$AA351,IF(F353="HLINE",PR!$AB351,IF(F353="ROTECH",PR!$AC351,IF(F353="ISN",PR!$AD351,IF(F353="JAWA",PR!$AE351,IF(F353="LAYO",PR!$AF351,IF(F353="LEADWAY",PR!$AG351,IF(F353="LHV",PR!$AH351,IF(F353="MANOLA",PR!$AI351,IF(F353="MARCSON",PR!$AJ351,IF(F353="M&amp;B",PR!$AK351,IF(F353="MTRUST",PR!$AL351,IF(F353="MWORLD",PR!$AM351,IF(F353="MEGA",PR!$AN351,IF(F353="MICRONOVA",PR!$AO351,IF(F353="MFLASH",PR!$AP351,IF(F353="MORISON",PR!$AQ351,IF(F353="NEMEL",PR!$AR351,IF(F353="NHP",PR!$AS351,IF(F353="NHC",PR!$AT351,IF(F353="OLEAF",PR!$AU351,IF(F353="OCULUS",PR!$AV351,IF(F353="PACIFIC",PR!$AW351,IF(F353="PHAMATEX",PR!$AX351,IF(F353="PETHICS",PR!$AY351,IF(F353="PHILIPS",PR!$AZ351,IF(F353="RANBAXY",PR!$BA351,IF(F353="REALS",PR!$BB351,IF(F353="ROYAL",PR!$BC351,IF(F353="SAM",PR!$BD351,IF(F353="SEAGREEN",PR!$BE351,IF(F353="SKG",PR!$BF351,IF(F353="TAH",PR!$BG351,IF(F353="TAYLEK",PR!$BH351,IF(F353="TEMITA",PR!$BI351,IF(F353="THL",PR!$BJ351,IF(F353="UBASTIC",PR!$BK351,IF(F353="UNION",PR!$BL351,IF(F353="UNIQUE",PR!$BM351,IF(F353="VIXA",PR!$BN351,IF(F353="WWCV",PR!$BO351,IF(F353="ZOLON",PR!$BP351,"-"))))))))))))))))))))))))))))))))))))))))))))))))))))))))))))))))</f>
        <v>1500</v>
      </c>
      <c r="F353" s="102" t="str">
        <f>EV!L457</f>
        <v>MEGA</v>
      </c>
      <c r="G353" s="108" t="str">
        <f>IF(H353="ALPHA",PR!$E351,IF(H353="ASSENE",PR!$F351,IF(H353="BIOFEM",PR!$G351,IF(H353="BIOMED",PR!$H351,IF(H353="CHI",PR!$I351,IF(H353="CLARION",PR!$J351,IF(H353="CODIX",PR!$K351,IF(H353="COSMADE",PR!$L351,IF(H353="SANCON",PR!$M351,IF(H353="DEVON",PR!$N351,IF(H353="DORTEMAG",PR!$O351,IF(H353="DGF",PR!$P351,IF(H353="DYNAMIC",PR!$Q351,IF(H353="EMZOR",PR!$R351,IF(H353="EUMATT",PR!$S351,IF(H353="FIDSON",PR!$T351,IF(H353="FCGLOBAL",PR!$U351,IF(H353="GENEITH",PR!$V351,IF(H353="GINOS",PR!$W351,IF(H353="GSK",PR!$X351,IF(H353="GLOBORG",PR!$Y351,IF(H353="GOODNEWS",PR!$Z351,IF(H353="GREENLIFE",PR!$AA351,IF(H353="HLINE",PR!$AB351,IF(H353="ROTECH",PR!$AC351,IF(H353="ISN",PR!$AD351,IF(H353="JAWA",PR!$AE351,IF(H353="LAYO",PR!$AF351,IF(H353="LEADWAY",PR!$AG351,IF(H353="LHV",PR!$AH351,IF(H353="MANOLA",PR!$AI351,IF(H353="MARCSON",PR!$AJ351,IF(H353="M&amp;B",PR!$AK351,IF(H353="MTRUST",PR!$AL351,IF(H353="MWORLD",PR!$AM351,IF(H353="MEGA",PR!$AN351,IF(H353="MICRONOVA",PR!$AO351,IF(H353="MFLASH",PR!$AP351,IF(H353="MORISON",PR!$AQ351,IF(H353="NEMEL",PR!$AR351,IF(H353="NHP",PR!$AS351,IF(H353="NHC",PR!$AT351,IF(H353="OLEAF",PR!$AU351,IF(H353="OCULUS",PR!$AV351,IF(H353="PACIFIC",PR!$AW351,IF(H353="PHAMATEX",PR!$AX351,IF(H353="PETHICS",PR!$AY351,IF(H353="PHILIPS",PR!$AZ351,IF(H353="RANBAXY",PR!$BA351,IF(H353="REALS",PR!$BB351,IF(H353="ROYAL",PR!$BC351,IF(H353="SAM",PR!$BD351,IF(H353="SEAGREEN",PR!$BE351,IF(H353="SKG",PR!$BF351,IF(H353="TAH",PR!$BG351,IF(H353="TAYLEK",PR!$BH351,IF(H353="TEMITA",PR!$BI351,IF(H353="THL",PR!$BJ351,IF(H353="UBASTIC",PR!$BK351,IF(H353="UNION",PR!$BL351,IF(H353="UNIQUE",PR!$BM351,IF(H353="VIXA",PR!$BN351,IF(H353="WWCV",PR!$BO351,IF(H353="ZOLON",PR!$BP351,"-"))))))))))))))))))))))))))))))))))))))))))))))))))))))))))))))))</f>
        <v>-</v>
      </c>
      <c r="H353" s="102">
        <f>EV!M457</f>
        <v>0</v>
      </c>
      <c r="I353" s="108" t="str">
        <f>IF(J353="ALPHA",PR!$E351,IF(J353="ASSENE",PR!$F351,IF(J353="BIOFEM",PR!$G351,IF(J353="BIOMED",PR!$H351,IF(J353="CHI",PR!$I351,IF(J353="CLARION",PR!$J351,IF(J353="CODIX",PR!$K351,IF(J353="COSMADE",PR!$L351,IF(J353="SANCON",PR!$M351,IF(J353="DEVON",PR!$N351,IF(J353="DORTEMAG",PR!$O351,IF(J353="DGF",PR!$P351,IF(J353="DYNAMIC",PR!$Q351,IF(J353="EMZOR",PR!$R351,IF(J353="EUMATT",PR!$S351,IF(J353="FIDSON",PR!$T351,IF(J353="FCGLOBAL",PR!$U351,IF(J353="GENEITH",PR!$V351,IF(J353="GINOS",PR!$W351,IF(J353="GSK",PR!$X351,IF(J353="GLOBORG",PR!$Y351,IF(J353="GOODNEWS",PR!$Z351,IF(J353="GREENLIFE",PR!$AA351,IF(J353="HLINE",PR!$AB351,IF(J353="ROTECH",PR!$AC351,IF(J353="ISN",PR!$AD351,IF(J353="JAWA",PR!$AE351,IF(J353="LAYO",PR!$AF351,IF(J353="LEADWAY",PR!$AG351,IF(J353="LHV",PR!$AH351,IF(J353="MANOLA",PR!$AI351,IF(J353="MARCSON",PR!$AJ351,IF(J353="M&amp;B",PR!$AK351,IF(J353="MTRUST",PR!$AL351,IF(J353="MWORLD",PR!$AM351,IF(J353="MEGA",PR!$AN351,IF(J353="MICRONOVA",PR!$AO351,IF(J353="MFLASH",PR!$AP351,IF(J353="MORISON",PR!$AQ351,IF(J353="NEMEL",PR!$AR351,IF(J353="NHP",PR!$AS351,IF(J353="NHC",PR!$AT351,IF(J353="OLEAF",PR!$AU351,IF(J353="OCULUS",PR!$AV351,IF(J353="PACIFIC",PR!$AW351,IF(J353="PHAMATEX",PR!$AX351,IF(J353="PETHICS",PR!$AY351,IF(J353="PHILIPS",PR!$AZ351,IF(J353="RANBAXY",PR!$BA351,IF(J353="REALS",PR!$BB351,IF(J353="ROYAL",PR!$BC351,IF(J353="SAM",PR!$BD351,IF(J353="SEAGREEN",PR!$BE351,IF(J353="SKG",PR!$BF351,IF(J353="TAH",PR!$BG351,IF(J353="TAYLEK",PR!$BH351,IF(J353="TEMITA",PR!$BI351,IF(J353="THL",PR!$BJ351,IF(J353="UBASTIC",PR!$BK351,IF(J353="UNION",PR!$BL351,IF(J353="UNIQUE",PR!$BM351,IF(J353="VIXA",PR!$BN351,IF(J353="WWCV",PR!$BO351,IF(J353="ZOLON",PR!$BP351,"-"))))))))))))))))))))))))))))))))))))))))))))))))))))))))))))))))</f>
        <v>-</v>
      </c>
      <c r="J353" s="102">
        <f>EV!N457</f>
        <v>0</v>
      </c>
      <c r="K353" s="433" t="s">
        <v>816</v>
      </c>
      <c r="L353" s="183">
        <f>IF(K353&gt;0,IF(K353="ALPHA",PR!$E351,IF(K353="ASSENE",PR!$F351,IF(K353="BIOFEM",PR!$G351,IF(K353="BIOMED",PR!$H351,IF(K353="CHI",PR!$I351,IF(K353="CLARION",PR!$J351,IF(K353="CODIX",PR!$K351,IF(K353="COSMADE",PR!$L351,IF(K353="SANCON",PR!$M351,IF(K353="DEVON",PR!$N351,IF(K353="DORTEMAG",PR!$O351,IF(K353="DGF",PR!$P351,IF(K353="DYNAMIC",PR!$Q351,IF(K353="EMZOR",PR!$R351,IF(K353="EUMATT",PR!$S351,IF(K353="FIDSON",PR!$T351,IF(K353="FCGLOBAL",PR!$U351,IF(K353="GENEITH",PR!$V351,IF(K353="GINOS",PR!$W351,IF(K353="GSK",PR!$X351,IF(K353="GLOBORG",PR!$Y351,IF(K353="GOODNEWS",PR!$Z351,IF(K353="GREENLIFE",PR!$AA351,IF(K353="HLINE",PR!$AB351,IF(K353="ROTECH",PR!$AC351,IF(K353="ISN",PR!$AD351,IF(K353="JAWA",PR!$AE351,IF(K353="LAYO",PR!$AF351,IF(K353="LEADWAY",PR!$AG351,IF(K353="LHV",PR!$AH351,IF(K353="MANOLA",PR!$AI351,IF(K353="MARCSON",PR!$AJ351,IF(K353="M&amp;B",PR!$AK351,IF(K353="MTRUST",PR!$AL351,IF(K353="MWORLD",PR!$AM351,IF(K353="MEGA",PR!$AN351,IF(K353="MICRONOVA",PR!$AO351,IF(K353="MFLASH",PR!$AP351,IF(K353="MORISON",PR!$AQ351,IF(K353="NEMEL",PR!$AR351,IF(K353="NHP",PR!$AS351,IF(K353="NHC",PR!$AT351,IF(K353="OLEAF",PR!$AU351,IF(K353="OCULUS",PR!$AV351,IF(K353="PACIFIC",PR!$AW351,IF(K353="PHAMATEX",PR!$AX351,IF(K353="PETHICS",PR!$AY351,IF(K353="PHILIPS",PR!$AZ351,IF(K353="RANBAXY",PR!$BA351,IF(K353="REALS",PR!$BB351,IF(K353="ROYAL",PR!$BC351,IF(K353="SAM",PR!$BD351,IF(K353="SEAGREEN",PR!$BE351,IF(K353="SKG",PR!$BF351,IF(K353="TAH",PR!$BG351,IF(K353="TAYLEK",PR!$BH351,IF(K353="TEMITA",PR!$BI351,IF(K353="THL",PR!$BJ351,IF(K353="UBASTIC",PR!$BK351,IF(K353="UNION",PR!$BL351,IF(K353="UNIQUE",PR!$BM351,IF(K353="VIXA",PR!$BN351,IF(K353="WWCV",PR!$BO351,IF(K353="ZOLON",PR!$BP351,"-")))))))))))))))))))))))))))))))))))))))))))))))))))))))))))))))))</f>
        <v>1500</v>
      </c>
    </row>
    <row r="354" spans="1:12" ht="18.75" x14ac:dyDescent="0.3">
      <c r="A354" s="430">
        <f>PR!A352</f>
        <v>322</v>
      </c>
      <c r="B354" s="15" t="str">
        <f>PR!B352</f>
        <v>PLANT STEROLS/RESVERATROL/LYCOPEINE/ANTIOXIDANTS</v>
      </c>
      <c r="C354" s="113">
        <f>PR!D352</f>
        <v>30</v>
      </c>
      <c r="D354" s="113">
        <f>PR!C352</f>
        <v>50</v>
      </c>
      <c r="E354" s="108">
        <f>IF(F354="ALPHA",PR!$E352,IF(F354="ASSENE",PR!$F352,IF(F354="BIOFEM",PR!$G352,IF(F354="BIOMED",PR!$H352,IF(F354="CHI",PR!$I352,IF(F354="CLARION",PR!$J352,IF(F354="CODIX",PR!$K352,IF(F354="COSMADE",PR!$L352,IF(F354="SANCON",PR!$M352,IF(F354="DEVON",PR!$N352,IF(F354="DORTEMAG",PR!$O352,IF(F354="DGF",PR!$P352,IF(F354="DYNAMIC",PR!$Q352,IF(F354="EMZOR",PR!$R352,IF(F354="EUMATT",PR!$S352,IF(F354="FIDSON",PR!$T352,IF(F354="FCGLOBAL",PR!$U352,IF(F354="GENEITH",PR!$V352,IF(F354="GINOS",PR!$W352,IF(F354="GSK",PR!$X352,IF(F354="GLOBORG",PR!$Y352,IF(F354="GOODNEWS",PR!$Z352,IF(F354="GREENLIFE",PR!$AA352,IF(F354="HLINE",PR!$AB352,IF(F354="ROTECH",PR!$AC352,IF(F354="ISN",PR!$AD352,IF(F354="JAWA",PR!$AE352,IF(F354="LAYO",PR!$AF352,IF(F354="LEADWAY",PR!$AG352,IF(F354="LHV",PR!$AH352,IF(F354="MANOLA",PR!$AI352,IF(F354="MARCSON",PR!$AJ352,IF(F354="M&amp;B",PR!$AK352,IF(F354="MTRUST",PR!$AL352,IF(F354="MWORLD",PR!$AM352,IF(F354="MEGA",PR!$AN352,IF(F354="MICRONOVA",PR!$AO352,IF(F354="MFLASH",PR!$AP352,IF(F354="MORISON",PR!$AQ352,IF(F354="NEMEL",PR!$AR352,IF(F354="NHP",PR!$AS352,IF(F354="NHC",PR!$AT352,IF(F354="OLEAF",PR!$AU352,IF(F354="OCULUS",PR!$AV352,IF(F354="PACIFIC",PR!$AW352,IF(F354="PHAMATEX",PR!$AX352,IF(F354="PETHICS",PR!$AY352,IF(F354="PHILIPS",PR!$AZ352,IF(F354="RANBAXY",PR!$BA352,IF(F354="REALS",PR!$BB352,IF(F354="ROYAL",PR!$BC352,IF(F354="SAM",PR!$BD352,IF(F354="SEAGREEN",PR!$BE352,IF(F354="SKG",PR!$BF352,IF(F354="TAH",PR!$BG352,IF(F354="TAYLEK",PR!$BH352,IF(F354="TEMITA",PR!$BI352,IF(F354="THL",PR!$BJ352,IF(F354="UBASTIC",PR!$BK352,IF(F354="UNION",PR!$BL352,IF(F354="UNIQUE",PR!$BM352,IF(F354="VIXA",PR!$BN352,IF(F354="WWCV",PR!$BO352,IF(F354="ZOLON",PR!$BP352,"-"))))))))))))))))))))))))))))))))))))))))))))))))))))))))))))))))</f>
        <v>1350</v>
      </c>
      <c r="F354" s="102" t="str">
        <f>EV!L458</f>
        <v>PETHICS</v>
      </c>
      <c r="G354" s="108" t="str">
        <f>IF(H354="ALPHA",PR!$E352,IF(H354="ASSENE",PR!$F352,IF(H354="BIOFEM",PR!$G352,IF(H354="BIOMED",PR!$H352,IF(H354="CHI",PR!$I352,IF(H354="CLARION",PR!$J352,IF(H354="CODIX",PR!$K352,IF(H354="COSMADE",PR!$L352,IF(H354="SANCON",PR!$M352,IF(H354="DEVON",PR!$N352,IF(H354="DORTEMAG",PR!$O352,IF(H354="DGF",PR!$P352,IF(H354="DYNAMIC",PR!$Q352,IF(H354="EMZOR",PR!$R352,IF(H354="EUMATT",PR!$S352,IF(H354="FIDSON",PR!$T352,IF(H354="FCGLOBAL",PR!$U352,IF(H354="GENEITH",PR!$V352,IF(H354="GINOS",PR!$W352,IF(H354="GSK",PR!$X352,IF(H354="GLOBORG",PR!$Y352,IF(H354="GOODNEWS",PR!$Z352,IF(H354="GREENLIFE",PR!$AA352,IF(H354="HLINE",PR!$AB352,IF(H354="ROTECH",PR!$AC352,IF(H354="ISN",PR!$AD352,IF(H354="JAWA",PR!$AE352,IF(H354="LAYO",PR!$AF352,IF(H354="LEADWAY",PR!$AG352,IF(H354="LHV",PR!$AH352,IF(H354="MANOLA",PR!$AI352,IF(H354="MARCSON",PR!$AJ352,IF(H354="M&amp;B",PR!$AK352,IF(H354="MTRUST",PR!$AL352,IF(H354="MWORLD",PR!$AM352,IF(H354="MEGA",PR!$AN352,IF(H354="MICRONOVA",PR!$AO352,IF(H354="MFLASH",PR!$AP352,IF(H354="MORISON",PR!$AQ352,IF(H354="NEMEL",PR!$AR352,IF(H354="NHP",PR!$AS352,IF(H354="NHC",PR!$AT352,IF(H354="OLEAF",PR!$AU352,IF(H354="OCULUS",PR!$AV352,IF(H354="PACIFIC",PR!$AW352,IF(H354="PHAMATEX",PR!$AX352,IF(H354="PETHICS",PR!$AY352,IF(H354="PHILIPS",PR!$AZ352,IF(H354="RANBAXY",PR!$BA352,IF(H354="REALS",PR!$BB352,IF(H354="ROYAL",PR!$BC352,IF(H354="SAM",PR!$BD352,IF(H354="SEAGREEN",PR!$BE352,IF(H354="SKG",PR!$BF352,IF(H354="TAH",PR!$BG352,IF(H354="TAYLEK",PR!$BH352,IF(H354="TEMITA",PR!$BI352,IF(H354="THL",PR!$BJ352,IF(H354="UBASTIC",PR!$BK352,IF(H354="UNION",PR!$BL352,IF(H354="UNIQUE",PR!$BM352,IF(H354="VIXA",PR!$BN352,IF(H354="WWCV",PR!$BO352,IF(H354="ZOLON",PR!$BP352,"-"))))))))))))))))))))))))))))))))))))))))))))))))))))))))))))))))</f>
        <v>-</v>
      </c>
      <c r="H354" s="102">
        <f>EV!M458</f>
        <v>0</v>
      </c>
      <c r="I354" s="108" t="str">
        <f>IF(J354="ALPHA",PR!$E352,IF(J354="ASSENE",PR!$F352,IF(J354="BIOFEM",PR!$G352,IF(J354="BIOMED",PR!$H352,IF(J354="CHI",PR!$I352,IF(J354="CLARION",PR!$J352,IF(J354="CODIX",PR!$K352,IF(J354="COSMADE",PR!$L352,IF(J354="SANCON",PR!$M352,IF(J354="DEVON",PR!$N352,IF(J354="DORTEMAG",PR!$O352,IF(J354="DGF",PR!$P352,IF(J354="DYNAMIC",PR!$Q352,IF(J354="EMZOR",PR!$R352,IF(J354="EUMATT",PR!$S352,IF(J354="FIDSON",PR!$T352,IF(J354="FCGLOBAL",PR!$U352,IF(J354="GENEITH",PR!$V352,IF(J354="GINOS",PR!$W352,IF(J354="GSK",PR!$X352,IF(J354="GLOBORG",PR!$Y352,IF(J354="GOODNEWS",PR!$Z352,IF(J354="GREENLIFE",PR!$AA352,IF(J354="HLINE",PR!$AB352,IF(J354="ROTECH",PR!$AC352,IF(J354="ISN",PR!$AD352,IF(J354="JAWA",PR!$AE352,IF(J354="LAYO",PR!$AF352,IF(J354="LEADWAY",PR!$AG352,IF(J354="LHV",PR!$AH352,IF(J354="MANOLA",PR!$AI352,IF(J354="MARCSON",PR!$AJ352,IF(J354="M&amp;B",PR!$AK352,IF(J354="MTRUST",PR!$AL352,IF(J354="MWORLD",PR!$AM352,IF(J354="MEGA",PR!$AN352,IF(J354="MICRONOVA",PR!$AO352,IF(J354="MFLASH",PR!$AP352,IF(J354="MORISON",PR!$AQ352,IF(J354="NEMEL",PR!$AR352,IF(J354="NHP",PR!$AS352,IF(J354="NHC",PR!$AT352,IF(J354="OLEAF",PR!$AU352,IF(J354="OCULUS",PR!$AV352,IF(J354="PACIFIC",PR!$AW352,IF(J354="PHAMATEX",PR!$AX352,IF(J354="PETHICS",PR!$AY352,IF(J354="PHILIPS",PR!$AZ352,IF(J354="RANBAXY",PR!$BA352,IF(J354="REALS",PR!$BB352,IF(J354="ROYAL",PR!$BC352,IF(J354="SAM",PR!$BD352,IF(J354="SEAGREEN",PR!$BE352,IF(J354="SKG",PR!$BF352,IF(J354="TAH",PR!$BG352,IF(J354="TAYLEK",PR!$BH352,IF(J354="TEMITA",PR!$BI352,IF(J354="THL",PR!$BJ352,IF(J354="UBASTIC",PR!$BK352,IF(J354="UNION",PR!$BL352,IF(J354="UNIQUE",PR!$BM352,IF(J354="VIXA",PR!$BN352,IF(J354="WWCV",PR!$BO352,IF(J354="ZOLON",PR!$BP352,"-"))))))))))))))))))))))))))))))))))))))))))))))))))))))))))))))))</f>
        <v>-</v>
      </c>
      <c r="J354" s="102">
        <f>EV!N458</f>
        <v>0</v>
      </c>
      <c r="K354" s="433" t="s">
        <v>827</v>
      </c>
      <c r="L354" s="183">
        <f>IF(K354&gt;0,IF(K354="ALPHA",PR!$E352,IF(K354="ASSENE",PR!$F352,IF(K354="BIOFEM",PR!$G352,IF(K354="BIOMED",PR!$H352,IF(K354="CHI",PR!$I352,IF(K354="CLARION",PR!$J352,IF(K354="CODIX",PR!$K352,IF(K354="COSMADE",PR!$L352,IF(K354="SANCON",PR!$M352,IF(K354="DEVON",PR!$N352,IF(K354="DORTEMAG",PR!$O352,IF(K354="DGF",PR!$P352,IF(K354="DYNAMIC",PR!$Q352,IF(K354="EMZOR",PR!$R352,IF(K354="EUMATT",PR!$S352,IF(K354="FIDSON",PR!$T352,IF(K354="FCGLOBAL",PR!$U352,IF(K354="GENEITH",PR!$V352,IF(K354="GINOS",PR!$W352,IF(K354="GSK",PR!$X352,IF(K354="GLOBORG",PR!$Y352,IF(K354="GOODNEWS",PR!$Z352,IF(K354="GREENLIFE",PR!$AA352,IF(K354="HLINE",PR!$AB352,IF(K354="ROTECH",PR!$AC352,IF(K354="ISN",PR!$AD352,IF(K354="JAWA",PR!$AE352,IF(K354="LAYO",PR!$AF352,IF(K354="LEADWAY",PR!$AG352,IF(K354="LHV",PR!$AH352,IF(K354="MANOLA",PR!$AI352,IF(K354="MARCSON",PR!$AJ352,IF(K354="M&amp;B",PR!$AK352,IF(K354="MTRUST",PR!$AL352,IF(K354="MWORLD",PR!$AM352,IF(K354="MEGA",PR!$AN352,IF(K354="MICRONOVA",PR!$AO352,IF(K354="MFLASH",PR!$AP352,IF(K354="MORISON",PR!$AQ352,IF(K354="NEMEL",PR!$AR352,IF(K354="NHP",PR!$AS352,IF(K354="NHC",PR!$AT352,IF(K354="OLEAF",PR!$AU352,IF(K354="OCULUS",PR!$AV352,IF(K354="PACIFIC",PR!$AW352,IF(K354="PHAMATEX",PR!$AX352,IF(K354="PETHICS",PR!$AY352,IF(K354="PHILIPS",PR!$AZ352,IF(K354="RANBAXY",PR!$BA352,IF(K354="REALS",PR!$BB352,IF(K354="ROYAL",PR!$BC352,IF(K354="SAM",PR!$BD352,IF(K354="SEAGREEN",PR!$BE352,IF(K354="SKG",PR!$BF352,IF(K354="TAH",PR!$BG352,IF(K354="TAYLEK",PR!$BH352,IF(K354="TEMITA",PR!$BI352,IF(K354="THL",PR!$BJ352,IF(K354="UBASTIC",PR!$BK352,IF(K354="UNION",PR!$BL352,IF(K354="UNIQUE",PR!$BM352,IF(K354="VIXA",PR!$BN352,IF(K354="WWCV",PR!$BO352,IF(K354="ZOLON",PR!$BP352,"-")))))))))))))))))))))))))))))))))))))))))))))))))))))))))))))))))</f>
        <v>1350</v>
      </c>
    </row>
    <row r="355" spans="1:12" ht="18.75" x14ac:dyDescent="0.3">
      <c r="A355" s="430">
        <f>PR!A353</f>
        <v>323</v>
      </c>
      <c r="B355" s="15" t="str">
        <f>PR!B353</f>
        <v>POTASSIUM CHLORIDE INJ</v>
      </c>
      <c r="C355" s="113" t="str">
        <f>PR!D353</f>
        <v>AMP</v>
      </c>
      <c r="D355" s="113">
        <f>PR!C353</f>
        <v>2000</v>
      </c>
      <c r="E355" s="108">
        <f>IF(F355="ALPHA",PR!$E353,IF(F355="ASSENE",PR!$F353,IF(F355="BIOFEM",PR!$G353,IF(F355="BIOMED",PR!$H353,IF(F355="CHI",PR!$I353,IF(F355="CLARION",PR!$J353,IF(F355="CODIX",PR!$K353,IF(F355="COSMADE",PR!$L353,IF(F355="SANCON",PR!$M353,IF(F355="DEVON",PR!$N353,IF(F355="DORTEMAG",PR!$O353,IF(F355="DGF",PR!$P353,IF(F355="DYNAMIC",PR!$Q353,IF(F355="EMZOR",PR!$R353,IF(F355="EUMATT",PR!$S353,IF(F355="FIDSON",PR!$T353,IF(F355="FCGLOBAL",PR!$U353,IF(F355="GENEITH",PR!$V353,IF(F355="GINOS",PR!$W353,IF(F355="GSK",PR!$X353,IF(F355="GLOBORG",PR!$Y353,IF(F355="GOODNEWS",PR!$Z353,IF(F355="GREENLIFE",PR!$AA353,IF(F355="HLINE",PR!$AB353,IF(F355="ROTECH",PR!$AC353,IF(F355="ISN",PR!$AD353,IF(F355="JAWA",PR!$AE353,IF(F355="LAYO",PR!$AF353,IF(F355="LEADWAY",PR!$AG353,IF(F355="LHV",PR!$AH353,IF(F355="MANOLA",PR!$AI353,IF(F355="MARCSON",PR!$AJ353,IF(F355="M&amp;B",PR!$AK353,IF(F355="MTRUST",PR!$AL353,IF(F355="MWORLD",PR!$AM353,IF(F355="MEGA",PR!$AN353,IF(F355="MICRONOVA",PR!$AO353,IF(F355="MFLASH",PR!$AP353,IF(F355="MORISON",PR!$AQ353,IF(F355="NEMEL",PR!$AR353,IF(F355="NHP",PR!$AS353,IF(F355="NHC",PR!$AT353,IF(F355="OLEAF",PR!$AU353,IF(F355="OCULUS",PR!$AV353,IF(F355="PACIFIC",PR!$AW353,IF(F355="PHAMATEX",PR!$AX353,IF(F355="PETHICS",PR!$AY353,IF(F355="PHILIPS",PR!$AZ353,IF(F355="RANBAXY",PR!$BA353,IF(F355="REALS",PR!$BB353,IF(F355="ROYAL",PR!$BC353,IF(F355="SAM",PR!$BD353,IF(F355="SEAGREEN",PR!$BE353,IF(F355="SKG",PR!$BF353,IF(F355="TAH",PR!$BG353,IF(F355="TAYLEK",PR!$BH353,IF(F355="TEMITA",PR!$BI353,IF(F355="THL",PR!$BJ353,IF(F355="UBASTIC",PR!$BK353,IF(F355="UNION",PR!$BL353,IF(F355="UNIQUE",PR!$BM353,IF(F355="VIXA",PR!$BN353,IF(F355="WWCV",PR!$BO353,IF(F355="ZOLON",PR!$BP353,"-"))))))))))))))))))))))))))))))))))))))))))))))))))))))))))))))))</f>
        <v>400</v>
      </c>
      <c r="F355" s="102" t="str">
        <f>EV!L459</f>
        <v>EUMATT</v>
      </c>
      <c r="G355" s="108">
        <f>IF(H355="ALPHA",PR!$E353,IF(H355="ASSENE",PR!$F353,IF(H355="BIOFEM",PR!$G353,IF(H355="BIOMED",PR!$H353,IF(H355="CHI",PR!$I353,IF(H355="CLARION",PR!$J353,IF(H355="CODIX",PR!$K353,IF(H355="COSMADE",PR!$L353,IF(H355="SANCON",PR!$M353,IF(H355="DEVON",PR!$N353,IF(H355="DORTEMAG",PR!$O353,IF(H355="DGF",PR!$P353,IF(H355="DYNAMIC",PR!$Q353,IF(H355="EMZOR",PR!$R353,IF(H355="EUMATT",PR!$S353,IF(H355="FIDSON",PR!$T353,IF(H355="FCGLOBAL",PR!$U353,IF(H355="GENEITH",PR!$V353,IF(H355="GINOS",PR!$W353,IF(H355="GSK",PR!$X353,IF(H355="GLOBORG",PR!$Y353,IF(H355="GOODNEWS",PR!$Z353,IF(H355="GREENLIFE",PR!$AA353,IF(H355="HLINE",PR!$AB353,IF(H355="ROTECH",PR!$AC353,IF(H355="ISN",PR!$AD353,IF(H355="JAWA",PR!$AE353,IF(H355="LAYO",PR!$AF353,IF(H355="LEADWAY",PR!$AG353,IF(H355="LHV",PR!$AH353,IF(H355="MANOLA",PR!$AI353,IF(H355="MARCSON",PR!$AJ353,IF(H355="M&amp;B",PR!$AK353,IF(H355="MTRUST",PR!$AL353,IF(H355="MWORLD",PR!$AM353,IF(H355="MEGA",PR!$AN353,IF(H355="MICRONOVA",PR!$AO353,IF(H355="MFLASH",PR!$AP353,IF(H355="MORISON",PR!$AQ353,IF(H355="NEMEL",PR!$AR353,IF(H355="NHP",PR!$AS353,IF(H355="NHC",PR!$AT353,IF(H355="OLEAF",PR!$AU353,IF(H355="OCULUS",PR!$AV353,IF(H355="PACIFIC",PR!$AW353,IF(H355="PHAMATEX",PR!$AX353,IF(H355="PETHICS",PR!$AY353,IF(H355="PHILIPS",PR!$AZ353,IF(H355="RANBAXY",PR!$BA353,IF(H355="REALS",PR!$BB353,IF(H355="ROYAL",PR!$BC353,IF(H355="SAM",PR!$BD353,IF(H355="SEAGREEN",PR!$BE353,IF(H355="SKG",PR!$BF353,IF(H355="TAH",PR!$BG353,IF(H355="TAYLEK",PR!$BH353,IF(H355="TEMITA",PR!$BI353,IF(H355="THL",PR!$BJ353,IF(H355="UBASTIC",PR!$BK353,IF(H355="UNION",PR!$BL353,IF(H355="UNIQUE",PR!$BM353,IF(H355="VIXA",PR!$BN353,IF(H355="WWCV",PR!$BO353,IF(H355="ZOLON",PR!$BP353,"-"))))))))))))))))))))))))))))))))))))))))))))))))))))))))))))))))</f>
        <v>560</v>
      </c>
      <c r="H355" s="102" t="str">
        <f>EV!M459</f>
        <v>ALPHA</v>
      </c>
      <c r="I355" s="108">
        <f>IF(J355="ALPHA",PR!$E353,IF(J355="ASSENE",PR!$F353,IF(J355="BIOFEM",PR!$G353,IF(J355="BIOMED",PR!$H353,IF(J355="CHI",PR!$I353,IF(J355="CLARION",PR!$J353,IF(J355="CODIX",PR!$K353,IF(J355="COSMADE",PR!$L353,IF(J355="SANCON",PR!$M353,IF(J355="DEVON",PR!$N353,IF(J355="DORTEMAG",PR!$O353,IF(J355="DGF",PR!$P353,IF(J355="DYNAMIC",PR!$Q353,IF(J355="EMZOR",PR!$R353,IF(J355="EUMATT",PR!$S353,IF(J355="FIDSON",PR!$T353,IF(J355="FCGLOBAL",PR!$U353,IF(J355="GENEITH",PR!$V353,IF(J355="GINOS",PR!$W353,IF(J355="GSK",PR!$X353,IF(J355="GLOBORG",PR!$Y353,IF(J355="GOODNEWS",PR!$Z353,IF(J355="GREENLIFE",PR!$AA353,IF(J355="HLINE",PR!$AB353,IF(J355="ROTECH",PR!$AC353,IF(J355="ISN",PR!$AD353,IF(J355="JAWA",PR!$AE353,IF(J355="LAYO",PR!$AF353,IF(J355="LEADWAY",PR!$AG353,IF(J355="LHV",PR!$AH353,IF(J355="MANOLA",PR!$AI353,IF(J355="MARCSON",PR!$AJ353,IF(J355="M&amp;B",PR!$AK353,IF(J355="MTRUST",PR!$AL353,IF(J355="MWORLD",PR!$AM353,IF(J355="MEGA",PR!$AN353,IF(J355="MICRONOVA",PR!$AO353,IF(J355="MFLASH",PR!$AP353,IF(J355="MORISON",PR!$AQ353,IF(J355="NEMEL",PR!$AR353,IF(J355="NHP",PR!$AS353,IF(J355="NHC",PR!$AT353,IF(J355="OLEAF",PR!$AU353,IF(J355="OCULUS",PR!$AV353,IF(J355="PACIFIC",PR!$AW353,IF(J355="PHAMATEX",PR!$AX353,IF(J355="PETHICS",PR!$AY353,IF(J355="PHILIPS",PR!$AZ353,IF(J355="RANBAXY",PR!$BA353,IF(J355="REALS",PR!$BB353,IF(J355="ROYAL",PR!$BC353,IF(J355="SAM",PR!$BD353,IF(J355="SEAGREEN",PR!$BE353,IF(J355="SKG",PR!$BF353,IF(J355="TAH",PR!$BG353,IF(J355="TAYLEK",PR!$BH353,IF(J355="TEMITA",PR!$BI353,IF(J355="THL",PR!$BJ353,IF(J355="UBASTIC",PR!$BK353,IF(J355="UNION",PR!$BL353,IF(J355="UNIQUE",PR!$BM353,IF(J355="VIXA",PR!$BN353,IF(J355="WWCV",PR!$BO353,IF(J355="ZOLON",PR!$BP353,"-"))))))))))))))))))))))))))))))))))))))))))))))))))))))))))))))))</f>
        <v>850</v>
      </c>
      <c r="J355" s="102" t="str">
        <f>EV!N459</f>
        <v>LEADWAY</v>
      </c>
      <c r="K355" s="433" t="s">
        <v>634</v>
      </c>
      <c r="L355" s="183">
        <f>IF(K355&gt;0,IF(K355="ALPHA",PR!$E353,IF(K355="ASSENE",PR!$F353,IF(K355="BIOFEM",PR!$G353,IF(K355="BIOMED",PR!$H353,IF(K355="CHI",PR!$I353,IF(K355="CLARION",PR!$J353,IF(K355="CODIX",PR!$K353,IF(K355="COSMADE",PR!$L353,IF(K355="SANCON",PR!$M353,IF(K355="DEVON",PR!$N353,IF(K355="DORTEMAG",PR!$O353,IF(K355="DGF",PR!$P353,IF(K355="DYNAMIC",PR!$Q353,IF(K355="EMZOR",PR!$R353,IF(K355="EUMATT",PR!$S353,IF(K355="FIDSON",PR!$T353,IF(K355="FCGLOBAL",PR!$U353,IF(K355="GENEITH",PR!$V353,IF(K355="GINOS",PR!$W353,IF(K355="GSK",PR!$X353,IF(K355="GLOBORG",PR!$Y353,IF(K355="GOODNEWS",PR!$Z353,IF(K355="GREENLIFE",PR!$AA353,IF(K355="HLINE",PR!$AB353,IF(K355="ROTECH",PR!$AC353,IF(K355="ISN",PR!$AD353,IF(K355="JAWA",PR!$AE353,IF(K355="LAYO",PR!$AF353,IF(K355="LEADWAY",PR!$AG353,IF(K355="LHV",PR!$AH353,IF(K355="MANOLA",PR!$AI353,IF(K355="MARCSON",PR!$AJ353,IF(K355="M&amp;B",PR!$AK353,IF(K355="MTRUST",PR!$AL353,IF(K355="MWORLD",PR!$AM353,IF(K355="MEGA",PR!$AN353,IF(K355="MICRONOVA",PR!$AO353,IF(K355="MFLASH",PR!$AP353,IF(K355="MORISON",PR!$AQ353,IF(K355="NEMEL",PR!$AR353,IF(K355="NHP",PR!$AS353,IF(K355="NHC",PR!$AT353,IF(K355="OLEAF",PR!$AU353,IF(K355="OCULUS",PR!$AV353,IF(K355="PACIFIC",PR!$AW353,IF(K355="PHAMATEX",PR!$AX353,IF(K355="PETHICS",PR!$AY353,IF(K355="PHILIPS",PR!$AZ353,IF(K355="RANBAXY",PR!$BA353,IF(K355="REALS",PR!$BB353,IF(K355="ROYAL",PR!$BC353,IF(K355="SAM",PR!$BD353,IF(K355="SEAGREEN",PR!$BE353,IF(K355="SKG",PR!$BF353,IF(K355="TAH",PR!$BG353,IF(K355="TAYLEK",PR!$BH353,IF(K355="TEMITA",PR!$BI353,IF(K355="THL",PR!$BJ353,IF(K355="UBASTIC",PR!$BK353,IF(K355="UNION",PR!$BL353,IF(K355="UNIQUE",PR!$BM353,IF(K355="VIXA",PR!$BN353,IF(K355="WWCV",PR!$BO353,IF(K355="ZOLON",PR!$BP353,"-")))))))))))))))))))))))))))))))))))))))))))))))))))))))))))))))))</f>
        <v>560</v>
      </c>
    </row>
    <row r="356" spans="1:12" ht="18.75" x14ac:dyDescent="0.3">
      <c r="A356" s="430">
        <f>PR!A354</f>
        <v>324</v>
      </c>
      <c r="B356" s="15" t="str">
        <f>PR!B354</f>
        <v>POTASSIUM CHLORIDE TAB</v>
      </c>
      <c r="C356" s="113">
        <f>PR!D354</f>
        <v>40</v>
      </c>
      <c r="D356" s="113">
        <f>PR!C354</f>
        <v>250</v>
      </c>
      <c r="E356" s="108" t="str">
        <f>IF(F356="ALPHA",PR!$E354,IF(F356="ASSENE",PR!$F354,IF(F356="BIOFEM",PR!$G354,IF(F356="BIOMED",PR!$H354,IF(F356="CHI",PR!$I354,IF(F356="CLARION",PR!$J354,IF(F356="CODIX",PR!$K354,IF(F356="COSMADE",PR!$L354,IF(F356="SANCON",PR!$M354,IF(F356="DEVON",PR!$N354,IF(F356="DORTEMAG",PR!$O354,IF(F356="DGF",PR!$P354,IF(F356="DYNAMIC",PR!$Q354,IF(F356="EMZOR",PR!$R354,IF(F356="EUMATT",PR!$S354,IF(F356="FIDSON",PR!$T354,IF(F356="FCGLOBAL",PR!$U354,IF(F356="GENEITH",PR!$V354,IF(F356="GINOS",PR!$W354,IF(F356="GSK",PR!$X354,IF(F356="GLOBORG",PR!$Y354,IF(F356="GOODNEWS",PR!$Z354,IF(F356="GREENLIFE",PR!$AA354,IF(F356="HLINE",PR!$AB354,IF(F356="ROTECH",PR!$AC354,IF(F356="ISN",PR!$AD354,IF(F356="JAWA",PR!$AE354,IF(F356="LAYO",PR!$AF354,IF(F356="LEADWAY",PR!$AG354,IF(F356="LHV",PR!$AH354,IF(F356="MANOLA",PR!$AI354,IF(F356="MARCSON",PR!$AJ354,IF(F356="M&amp;B",PR!$AK354,IF(F356="MTRUST",PR!$AL354,IF(F356="MWORLD",PR!$AM354,IF(F356="MEGA",PR!$AN354,IF(F356="MICRONOVA",PR!$AO354,IF(F356="MFLASH",PR!$AP354,IF(F356="MORISON",PR!$AQ354,IF(F356="NEMEL",PR!$AR354,IF(F356="NHP",PR!$AS354,IF(F356="NHC",PR!$AT354,IF(F356="OLEAF",PR!$AU354,IF(F356="OCULUS",PR!$AV354,IF(F356="PACIFIC",PR!$AW354,IF(F356="PHAMATEX",PR!$AX354,IF(F356="PETHICS",PR!$AY354,IF(F356="PHILIPS",PR!$AZ354,IF(F356="RANBAXY",PR!$BA354,IF(F356="REALS",PR!$BB354,IF(F356="ROYAL",PR!$BC354,IF(F356="SAM",PR!$BD354,IF(F356="SEAGREEN",PR!$BE354,IF(F356="SKG",PR!$BF354,IF(F356="TAH",PR!$BG354,IF(F356="TAYLEK",PR!$BH354,IF(F356="TEMITA",PR!$BI354,IF(F356="THL",PR!$BJ354,IF(F356="UBASTIC",PR!$BK354,IF(F356="UNION",PR!$BL354,IF(F356="UNIQUE",PR!$BM354,IF(F356="VIXA",PR!$BN354,IF(F356="WWCV",PR!$BO354,IF(F356="ZOLON",PR!$BP354,"-"))))))))))))))))))))))))))))))))))))))))))))))))))))))))))))))))</f>
        <v>-</v>
      </c>
      <c r="F356" s="102">
        <f>EV!L460</f>
        <v>0</v>
      </c>
      <c r="G356" s="108" t="str">
        <f>IF(H356="ALPHA",PR!$E354,IF(H356="ASSENE",PR!$F354,IF(H356="BIOFEM",PR!$G354,IF(H356="BIOMED",PR!$H354,IF(H356="CHI",PR!$I354,IF(H356="CLARION",PR!$J354,IF(H356="CODIX",PR!$K354,IF(H356="COSMADE",PR!$L354,IF(H356="SANCON",PR!$M354,IF(H356="DEVON",PR!$N354,IF(H356="DORTEMAG",PR!$O354,IF(H356="DGF",PR!$P354,IF(H356="DYNAMIC",PR!$Q354,IF(H356="EMZOR",PR!$R354,IF(H356="EUMATT",PR!$S354,IF(H356="FIDSON",PR!$T354,IF(H356="FCGLOBAL",PR!$U354,IF(H356="GENEITH",PR!$V354,IF(H356="GINOS",PR!$W354,IF(H356="GSK",PR!$X354,IF(H356="GLOBORG",PR!$Y354,IF(H356="GOODNEWS",PR!$Z354,IF(H356="GREENLIFE",PR!$AA354,IF(H356="HLINE",PR!$AB354,IF(H356="ROTECH",PR!$AC354,IF(H356="ISN",PR!$AD354,IF(H356="JAWA",PR!$AE354,IF(H356="LAYO",PR!$AF354,IF(H356="LEADWAY",PR!$AG354,IF(H356="LHV",PR!$AH354,IF(H356="MANOLA",PR!$AI354,IF(H356="MARCSON",PR!$AJ354,IF(H356="M&amp;B",PR!$AK354,IF(H356="MTRUST",PR!$AL354,IF(H356="MWORLD",PR!$AM354,IF(H356="MEGA",PR!$AN354,IF(H356="MICRONOVA",PR!$AO354,IF(H356="MFLASH",PR!$AP354,IF(H356="MORISON",PR!$AQ354,IF(H356="NEMEL",PR!$AR354,IF(H356="NHP",PR!$AS354,IF(H356="NHC",PR!$AT354,IF(H356="OLEAF",PR!$AU354,IF(H356="OCULUS",PR!$AV354,IF(H356="PACIFIC",PR!$AW354,IF(H356="PHAMATEX",PR!$AX354,IF(H356="PETHICS",PR!$AY354,IF(H356="PHILIPS",PR!$AZ354,IF(H356="RANBAXY",PR!$BA354,IF(H356="REALS",PR!$BB354,IF(H356="ROYAL",PR!$BC354,IF(H356="SAM",PR!$BD354,IF(H356="SEAGREEN",PR!$BE354,IF(H356="SKG",PR!$BF354,IF(H356="TAH",PR!$BG354,IF(H356="TAYLEK",PR!$BH354,IF(H356="TEMITA",PR!$BI354,IF(H356="THL",PR!$BJ354,IF(H356="UBASTIC",PR!$BK354,IF(H356="UNION",PR!$BL354,IF(H356="UNIQUE",PR!$BM354,IF(H356="VIXA",PR!$BN354,IF(H356="WWCV",PR!$BO354,IF(H356="ZOLON",PR!$BP354,"-"))))))))))))))))))))))))))))))))))))))))))))))))))))))))))))))))</f>
        <v>-</v>
      </c>
      <c r="H356" s="102">
        <f>EV!M460</f>
        <v>0</v>
      </c>
      <c r="I356" s="108" t="str">
        <f>IF(J356="ALPHA",PR!$E354,IF(J356="ASSENE",PR!$F354,IF(J356="BIOFEM",PR!$G354,IF(J356="BIOMED",PR!$H354,IF(J356="CHI",PR!$I354,IF(J356="CLARION",PR!$J354,IF(J356="CODIX",PR!$K354,IF(J356="COSMADE",PR!$L354,IF(J356="SANCON",PR!$M354,IF(J356="DEVON",PR!$N354,IF(J356="DORTEMAG",PR!$O354,IF(J356="DGF",PR!$P354,IF(J356="DYNAMIC",PR!$Q354,IF(J356="EMZOR",PR!$R354,IF(J356="EUMATT",PR!$S354,IF(J356="FIDSON",PR!$T354,IF(J356="FCGLOBAL",PR!$U354,IF(J356="GENEITH",PR!$V354,IF(J356="GINOS",PR!$W354,IF(J356="GSK",PR!$X354,IF(J356="GLOBORG",PR!$Y354,IF(J356="GOODNEWS",PR!$Z354,IF(J356="GREENLIFE",PR!$AA354,IF(J356="HLINE",PR!$AB354,IF(J356="ROTECH",PR!$AC354,IF(J356="ISN",PR!$AD354,IF(J356="JAWA",PR!$AE354,IF(J356="LAYO",PR!$AF354,IF(J356="LEADWAY",PR!$AG354,IF(J356="LHV",PR!$AH354,IF(J356="MANOLA",PR!$AI354,IF(J356="MARCSON",PR!$AJ354,IF(J356="M&amp;B",PR!$AK354,IF(J356="MTRUST",PR!$AL354,IF(J356="MWORLD",PR!$AM354,IF(J356="MEGA",PR!$AN354,IF(J356="MICRONOVA",PR!$AO354,IF(J356="MFLASH",PR!$AP354,IF(J356="MORISON",PR!$AQ354,IF(J356="NEMEL",PR!$AR354,IF(J356="NHP",PR!$AS354,IF(J356="NHC",PR!$AT354,IF(J356="OLEAF",PR!$AU354,IF(J356="OCULUS",PR!$AV354,IF(J356="PACIFIC",PR!$AW354,IF(J356="PHAMATEX",PR!$AX354,IF(J356="PETHICS",PR!$AY354,IF(J356="PHILIPS",PR!$AZ354,IF(J356="RANBAXY",PR!$BA354,IF(J356="REALS",PR!$BB354,IF(J356="ROYAL",PR!$BC354,IF(J356="SAM",PR!$BD354,IF(J356="SEAGREEN",PR!$BE354,IF(J356="SKG",PR!$BF354,IF(J356="TAH",PR!$BG354,IF(J356="TAYLEK",PR!$BH354,IF(J356="TEMITA",PR!$BI354,IF(J356="THL",PR!$BJ354,IF(J356="UBASTIC",PR!$BK354,IF(J356="UNION",PR!$BL354,IF(J356="UNIQUE",PR!$BM354,IF(J356="VIXA",PR!$BN354,IF(J356="WWCV",PR!$BO354,IF(J356="ZOLON",PR!$BP354,"-"))))))))))))))))))))))))))))))))))))))))))))))))))))))))))))))))</f>
        <v>-</v>
      </c>
      <c r="J356" s="102">
        <f>EV!N460</f>
        <v>0</v>
      </c>
      <c r="K356" s="433"/>
      <c r="L356" s="183" t="b">
        <f>IF(K356&gt;0,IF(K356="ALPHA",PR!$E354,IF(K356="ASSENE",PR!$F354,IF(K356="BIOFEM",PR!$G354,IF(K356="BIOMED",PR!$H354,IF(K356="CHI",PR!$I354,IF(K356="CLARION",PR!$J354,IF(K356="CODIX",PR!$K354,IF(K356="COSMADE",PR!$L354,IF(K356="SANCON",PR!$M354,IF(K356="DEVON",PR!$N354,IF(K356="DORTEMAG",PR!$O354,IF(K356="DGF",PR!$P354,IF(K356="DYNAMIC",PR!$Q354,IF(K356="EMZOR",PR!$R354,IF(K356="EUMATT",PR!$S354,IF(K356="FIDSON",PR!$T354,IF(K356="FCGLOBAL",PR!$U354,IF(K356="GENEITH",PR!$V354,IF(K356="GINOS",PR!$W354,IF(K356="GSK",PR!$X354,IF(K356="GLOBORG",PR!$Y354,IF(K356="GOODNEWS",PR!$Z354,IF(K356="GREENLIFE",PR!$AA354,IF(K356="HLINE",PR!$AB354,IF(K356="ROTECH",PR!$AC354,IF(K356="ISN",PR!$AD354,IF(K356="JAWA",PR!$AE354,IF(K356="LAYO",PR!$AF354,IF(K356="LEADWAY",PR!$AG354,IF(K356="LHV",PR!$AH354,IF(K356="MANOLA",PR!$AI354,IF(K356="MARCSON",PR!$AJ354,IF(K356="M&amp;B",PR!$AK354,IF(K356="MTRUST",PR!$AL354,IF(K356="MWORLD",PR!$AM354,IF(K356="MEGA",PR!$AN354,IF(K356="MICRONOVA",PR!$AO354,IF(K356="MFLASH",PR!$AP354,IF(K356="MORISON",PR!$AQ354,IF(K356="NEMEL",PR!$AR354,IF(K356="NHP",PR!$AS354,IF(K356="NHC",PR!$AT354,IF(K356="OLEAF",PR!$AU354,IF(K356="OCULUS",PR!$AV354,IF(K356="PACIFIC",PR!$AW354,IF(K356="PHAMATEX",PR!$AX354,IF(K356="PETHICS",PR!$AY354,IF(K356="PHILIPS",PR!$AZ354,IF(K356="RANBAXY",PR!$BA354,IF(K356="REALS",PR!$BB354,IF(K356="ROYAL",PR!$BC354,IF(K356="SAM",PR!$BD354,IF(K356="SEAGREEN",PR!$BE354,IF(K356="SKG",PR!$BF354,IF(K356="TAH",PR!$BG354,IF(K356="TAYLEK",PR!$BH354,IF(K356="TEMITA",PR!$BI354,IF(K356="THL",PR!$BJ354,IF(K356="UBASTIC",PR!$BK354,IF(K356="UNION",PR!$BL354,IF(K356="UNIQUE",PR!$BM354,IF(K356="VIXA",PR!$BN354,IF(K356="WWCV",PR!$BO354,IF(K356="ZOLON",PR!$BP354,"-")))))))))))))))))))))))))))))))))))))))))))))))))))))))))))))))))</f>
        <v>0</v>
      </c>
    </row>
    <row r="357" spans="1:12" ht="18.75" x14ac:dyDescent="0.3">
      <c r="A357" s="430">
        <f>PR!A355</f>
        <v>325</v>
      </c>
      <c r="B357" s="15" t="str">
        <f>PR!B355</f>
        <v>PYRIDOXINE 50MG</v>
      </c>
      <c r="C357" s="113">
        <f>PR!D355</f>
        <v>1000</v>
      </c>
      <c r="D357" s="113">
        <f>PR!C355</f>
        <v>20</v>
      </c>
      <c r="E357" s="108">
        <f>IF(F357="ALPHA",PR!$E355,IF(F357="ASSENE",PR!$F355,IF(F357="BIOFEM",PR!$G355,IF(F357="BIOMED",PR!$H355,IF(F357="CHI",PR!$I355,IF(F357="CLARION",PR!$J355,IF(F357="CODIX",PR!$K355,IF(F357="COSMADE",PR!$L355,IF(F357="SANCON",PR!$M355,IF(F357="DEVON",PR!$N355,IF(F357="DORTEMAG",PR!$O355,IF(F357="DGF",PR!$P355,IF(F357="DYNAMIC",PR!$Q355,IF(F357="EMZOR",PR!$R355,IF(F357="EUMATT",PR!$S355,IF(F357="FIDSON",PR!$T355,IF(F357="FCGLOBAL",PR!$U355,IF(F357="GENEITH",PR!$V355,IF(F357="GINOS",PR!$W355,IF(F357="GSK",PR!$X355,IF(F357="GLOBORG",PR!$Y355,IF(F357="GOODNEWS",PR!$Z355,IF(F357="GREENLIFE",PR!$AA355,IF(F357="HLINE",PR!$AB355,IF(F357="ROTECH",PR!$AC355,IF(F357="ISN",PR!$AD355,IF(F357="JAWA",PR!$AE355,IF(F357="LAYO",PR!$AF355,IF(F357="LEADWAY",PR!$AG355,IF(F357="LHV",PR!$AH355,IF(F357="MANOLA",PR!$AI355,IF(F357="MARCSON",PR!$AJ355,IF(F357="M&amp;B",PR!$AK355,IF(F357="MTRUST",PR!$AL355,IF(F357="MWORLD",PR!$AM355,IF(F357="MEGA",PR!$AN355,IF(F357="MICRONOVA",PR!$AO355,IF(F357="MFLASH",PR!$AP355,IF(F357="MORISON",PR!$AQ355,IF(F357="NEMEL",PR!$AR355,IF(F357="NHP",PR!$AS355,IF(F357="NHC",PR!$AT355,IF(F357="OLEAF",PR!$AU355,IF(F357="OCULUS",PR!$AV355,IF(F357="PACIFIC",PR!$AW355,IF(F357="PHAMATEX",PR!$AX355,IF(F357="PETHICS",PR!$AY355,IF(F357="PHILIPS",PR!$AZ355,IF(F357="RANBAXY",PR!$BA355,IF(F357="REALS",PR!$BB355,IF(F357="ROYAL",PR!$BC355,IF(F357="SAM",PR!$BD355,IF(F357="SEAGREEN",PR!$BE355,IF(F357="SKG",PR!$BF355,IF(F357="TAH",PR!$BG355,IF(F357="TAYLEK",PR!$BH355,IF(F357="TEMITA",PR!$BI355,IF(F357="THL",PR!$BJ355,IF(F357="UBASTIC",PR!$BK355,IF(F357="UNION",PR!$BL355,IF(F357="UNIQUE",PR!$BM355,IF(F357="VIXA",PR!$BN355,IF(F357="WWCV",PR!$BO355,IF(F357="ZOLON",PR!$BP355,"-"))))))))))))))))))))))))))))))))))))))))))))))))))))))))))))))))</f>
        <v>1100</v>
      </c>
      <c r="F357" s="102" t="str">
        <f>EV!L461</f>
        <v>EUMATT</v>
      </c>
      <c r="G357" s="108" t="str">
        <f>IF(H357="ALPHA",PR!$E355,IF(H357="ASSENE",PR!$F355,IF(H357="BIOFEM",PR!$G355,IF(H357="BIOMED",PR!$H355,IF(H357="CHI",PR!$I355,IF(H357="CLARION",PR!$J355,IF(H357="CODIX",PR!$K355,IF(H357="COSMADE",PR!$L355,IF(H357="SANCON",PR!$M355,IF(H357="DEVON",PR!$N355,IF(H357="DORTEMAG",PR!$O355,IF(H357="DGF",PR!$P355,IF(H357="DYNAMIC",PR!$Q355,IF(H357="EMZOR",PR!$R355,IF(H357="EUMATT",PR!$S355,IF(H357="FIDSON",PR!$T355,IF(H357="FCGLOBAL",PR!$U355,IF(H357="GENEITH",PR!$V355,IF(H357="GINOS",PR!$W355,IF(H357="GSK",PR!$X355,IF(H357="GLOBORG",PR!$Y355,IF(H357="GOODNEWS",PR!$Z355,IF(H357="GREENLIFE",PR!$AA355,IF(H357="HLINE",PR!$AB355,IF(H357="ROTECH",PR!$AC355,IF(H357="ISN",PR!$AD355,IF(H357="JAWA",PR!$AE355,IF(H357="LAYO",PR!$AF355,IF(H357="LEADWAY",PR!$AG355,IF(H357="LHV",PR!$AH355,IF(H357="MANOLA",PR!$AI355,IF(H357="MARCSON",PR!$AJ355,IF(H357="M&amp;B",PR!$AK355,IF(H357="MTRUST",PR!$AL355,IF(H357="MWORLD",PR!$AM355,IF(H357="MEGA",PR!$AN355,IF(H357="MICRONOVA",PR!$AO355,IF(H357="MFLASH",PR!$AP355,IF(H357="MORISON",PR!$AQ355,IF(H357="NEMEL",PR!$AR355,IF(H357="NHP",PR!$AS355,IF(H357="NHC",PR!$AT355,IF(H357="OLEAF",PR!$AU355,IF(H357="OCULUS",PR!$AV355,IF(H357="PACIFIC",PR!$AW355,IF(H357="PHAMATEX",PR!$AX355,IF(H357="PETHICS",PR!$AY355,IF(H357="PHILIPS",PR!$AZ355,IF(H357="RANBAXY",PR!$BA355,IF(H357="REALS",PR!$BB355,IF(H357="ROYAL",PR!$BC355,IF(H357="SAM",PR!$BD355,IF(H357="SEAGREEN",PR!$BE355,IF(H357="SKG",PR!$BF355,IF(H357="TAH",PR!$BG355,IF(H357="TAYLEK",PR!$BH355,IF(H357="TEMITA",PR!$BI355,IF(H357="THL",PR!$BJ355,IF(H357="UBASTIC",PR!$BK355,IF(H357="UNION",PR!$BL355,IF(H357="UNIQUE",PR!$BM355,IF(H357="VIXA",PR!$BN355,IF(H357="WWCV",PR!$BO355,IF(H357="ZOLON",PR!$BP355,"-"))))))))))))))))))))))))))))))))))))))))))))))))))))))))))))))))</f>
        <v>-</v>
      </c>
      <c r="H357" s="102">
        <f>EV!M461</f>
        <v>0</v>
      </c>
      <c r="I357" s="108" t="str">
        <f>IF(J357="ALPHA",PR!$E355,IF(J357="ASSENE",PR!$F355,IF(J357="BIOFEM",PR!$G355,IF(J357="BIOMED",PR!$H355,IF(J357="CHI",PR!$I355,IF(J357="CLARION",PR!$J355,IF(J357="CODIX",PR!$K355,IF(J357="COSMADE",PR!$L355,IF(J357="SANCON",PR!$M355,IF(J357="DEVON",PR!$N355,IF(J357="DORTEMAG",PR!$O355,IF(J357="DGF",PR!$P355,IF(J357="DYNAMIC",PR!$Q355,IF(J357="EMZOR",PR!$R355,IF(J357="EUMATT",PR!$S355,IF(J357="FIDSON",PR!$T355,IF(J357="FCGLOBAL",PR!$U355,IF(J357="GENEITH",PR!$V355,IF(J357="GINOS",PR!$W355,IF(J357="GSK",PR!$X355,IF(J357="GLOBORG",PR!$Y355,IF(J357="GOODNEWS",PR!$Z355,IF(J357="GREENLIFE",PR!$AA355,IF(J357="HLINE",PR!$AB355,IF(J357="ROTECH",PR!$AC355,IF(J357="ISN",PR!$AD355,IF(J357="JAWA",PR!$AE355,IF(J357="LAYO",PR!$AF355,IF(J357="LEADWAY",PR!$AG355,IF(J357="LHV",PR!$AH355,IF(J357="MANOLA",PR!$AI355,IF(J357="MARCSON",PR!$AJ355,IF(J357="M&amp;B",PR!$AK355,IF(J357="MTRUST",PR!$AL355,IF(J357="MWORLD",PR!$AM355,IF(J357="MEGA",PR!$AN355,IF(J357="MICRONOVA",PR!$AO355,IF(J357="MFLASH",PR!$AP355,IF(J357="MORISON",PR!$AQ355,IF(J357="NEMEL",PR!$AR355,IF(J357="NHP",PR!$AS355,IF(J357="NHC",PR!$AT355,IF(J357="OLEAF",PR!$AU355,IF(J357="OCULUS",PR!$AV355,IF(J357="PACIFIC",PR!$AW355,IF(J357="PHAMATEX",PR!$AX355,IF(J357="PETHICS",PR!$AY355,IF(J357="PHILIPS",PR!$AZ355,IF(J357="RANBAXY",PR!$BA355,IF(J357="REALS",PR!$BB355,IF(J357="ROYAL",PR!$BC355,IF(J357="SAM",PR!$BD355,IF(J357="SEAGREEN",PR!$BE355,IF(J357="SKG",PR!$BF355,IF(J357="TAH",PR!$BG355,IF(J357="TAYLEK",PR!$BH355,IF(J357="TEMITA",PR!$BI355,IF(J357="THL",PR!$BJ355,IF(J357="UBASTIC",PR!$BK355,IF(J357="UNION",PR!$BL355,IF(J357="UNIQUE",PR!$BM355,IF(J357="VIXA",PR!$BN355,IF(J357="WWCV",PR!$BO355,IF(J357="ZOLON",PR!$BP355,"-"))))))))))))))))))))))))))))))))))))))))))))))))))))))))))))))))</f>
        <v>-</v>
      </c>
      <c r="J357" s="102">
        <f>EV!N461</f>
        <v>0</v>
      </c>
      <c r="K357" s="433" t="s">
        <v>821</v>
      </c>
      <c r="L357" s="183">
        <f>IF(K357&gt;0,IF(K357="ALPHA",PR!$E355,IF(K357="ASSENE",PR!$F355,IF(K357="BIOFEM",PR!$G355,IF(K357="BIOMED",PR!$H355,IF(K357="CHI",PR!$I355,IF(K357="CLARION",PR!$J355,IF(K357="CODIX",PR!$K355,IF(K357="COSMADE",PR!$L355,IF(K357="SANCON",PR!$M355,IF(K357="DEVON",PR!$N355,IF(K357="DORTEMAG",PR!$O355,IF(K357="DGF",PR!$P355,IF(K357="DYNAMIC",PR!$Q355,IF(K357="EMZOR",PR!$R355,IF(K357="EUMATT",PR!$S355,IF(K357="FIDSON",PR!$T355,IF(K357="FCGLOBAL",PR!$U355,IF(K357="GENEITH",PR!$V355,IF(K357="GINOS",PR!$W355,IF(K357="GSK",PR!$X355,IF(K357="GLOBORG",PR!$Y355,IF(K357="GOODNEWS",PR!$Z355,IF(K357="GREENLIFE",PR!$AA355,IF(K357="HLINE",PR!$AB355,IF(K357="ROTECH",PR!$AC355,IF(K357="ISN",PR!$AD355,IF(K357="JAWA",PR!$AE355,IF(K357="LAYO",PR!$AF355,IF(K357="LEADWAY",PR!$AG355,IF(K357="LHV",PR!$AH355,IF(K357="MANOLA",PR!$AI355,IF(K357="MARCSON",PR!$AJ355,IF(K357="M&amp;B",PR!$AK355,IF(K357="MTRUST",PR!$AL355,IF(K357="MWORLD",PR!$AM355,IF(K357="MEGA",PR!$AN355,IF(K357="MICRONOVA",PR!$AO355,IF(K357="MFLASH",PR!$AP355,IF(K357="MORISON",PR!$AQ355,IF(K357="NEMEL",PR!$AR355,IF(K357="NHP",PR!$AS355,IF(K357="NHC",PR!$AT355,IF(K357="OLEAF",PR!$AU355,IF(K357="OCULUS",PR!$AV355,IF(K357="PACIFIC",PR!$AW355,IF(K357="PHAMATEX",PR!$AX355,IF(K357="PETHICS",PR!$AY355,IF(K357="PHILIPS",PR!$AZ355,IF(K357="RANBAXY",PR!$BA355,IF(K357="REALS",PR!$BB355,IF(K357="ROYAL",PR!$BC355,IF(K357="SAM",PR!$BD355,IF(K357="SEAGREEN",PR!$BE355,IF(K357="SKG",PR!$BF355,IF(K357="TAH",PR!$BG355,IF(K357="TAYLEK",PR!$BH355,IF(K357="TEMITA",PR!$BI355,IF(K357="THL",PR!$BJ355,IF(K357="UBASTIC",PR!$BK355,IF(K357="UNION",PR!$BL355,IF(K357="UNIQUE",PR!$BM355,IF(K357="VIXA",PR!$BN355,IF(K357="WWCV",PR!$BO355,IF(K357="ZOLON",PR!$BP355,"-")))))))))))))))))))))))))))))))))))))))))))))))))))))))))))))))))</f>
        <v>1100</v>
      </c>
    </row>
    <row r="358" spans="1:12" ht="18.75" x14ac:dyDescent="0.3">
      <c r="A358" s="430">
        <f>PR!A356</f>
        <v>326</v>
      </c>
      <c r="B358" s="15" t="str">
        <f>PR!B356</f>
        <v>RIVAROXABAN 15MG TAB</v>
      </c>
      <c r="C358" s="113">
        <f>PR!D356</f>
        <v>30</v>
      </c>
      <c r="D358" s="113">
        <f>PR!C356</f>
        <v>10</v>
      </c>
      <c r="E358" s="108">
        <f>IF(F358="ALPHA",PR!$E356,IF(F358="ASSENE",PR!$F356,IF(F358="BIOFEM",PR!$G356,IF(F358="BIOMED",PR!$H356,IF(F358="CHI",PR!$I356,IF(F358="CLARION",PR!$J356,IF(F358="CODIX",PR!$K356,IF(F358="COSMADE",PR!$L356,IF(F358="SANCON",PR!$M356,IF(F358="DEVON",PR!$N356,IF(F358="DORTEMAG",PR!$O356,IF(F358="DGF",PR!$P356,IF(F358="DYNAMIC",PR!$Q356,IF(F358="EMZOR",PR!$R356,IF(F358="EUMATT",PR!$S356,IF(F358="FIDSON",PR!$T356,IF(F358="FCGLOBAL",PR!$U356,IF(F358="GENEITH",PR!$V356,IF(F358="GINOS",PR!$W356,IF(F358="GSK",PR!$X356,IF(F358="GLOBORG",PR!$Y356,IF(F358="GOODNEWS",PR!$Z356,IF(F358="GREENLIFE",PR!$AA356,IF(F358="HLINE",PR!$AB356,IF(F358="ROTECH",PR!$AC356,IF(F358="ISN",PR!$AD356,IF(F358="JAWA",PR!$AE356,IF(F358="LAYO",PR!$AF356,IF(F358="LEADWAY",PR!$AG356,IF(F358="LHV",PR!$AH356,IF(F358="MANOLA",PR!$AI356,IF(F358="MARCSON",PR!$AJ356,IF(F358="M&amp;B",PR!$AK356,IF(F358="MTRUST",PR!$AL356,IF(F358="MWORLD",PR!$AM356,IF(F358="MEGA",PR!$AN356,IF(F358="MICRONOVA",PR!$AO356,IF(F358="MFLASH",PR!$AP356,IF(F358="MORISON",PR!$AQ356,IF(F358="NEMEL",PR!$AR356,IF(F358="NHP",PR!$AS356,IF(F358="NHC",PR!$AT356,IF(F358="OLEAF",PR!$AU356,IF(F358="OCULUS",PR!$AV356,IF(F358="PACIFIC",PR!$AW356,IF(F358="PHAMATEX",PR!$AX356,IF(F358="PETHICS",PR!$AY356,IF(F358="PHILIPS",PR!$AZ356,IF(F358="RANBAXY",PR!$BA356,IF(F358="REALS",PR!$BB356,IF(F358="ROYAL",PR!$BC356,IF(F358="SAM",PR!$BD356,IF(F358="SEAGREEN",PR!$BE356,IF(F358="SKG",PR!$BF356,IF(F358="TAH",PR!$BG356,IF(F358="TAYLEK",PR!$BH356,IF(F358="TEMITA",PR!$BI356,IF(F358="THL",PR!$BJ356,IF(F358="UBASTIC",PR!$BK356,IF(F358="UNION",PR!$BL356,IF(F358="UNIQUE",PR!$BM356,IF(F358="VIXA",PR!$BN356,IF(F358="WWCV",PR!$BO356,IF(F358="ZOLON",PR!$BP356,"-"))))))))))))))))))))))))))))))))))))))))))))))))))))))))))))))))</f>
        <v>22000</v>
      </c>
      <c r="F358" s="102" t="str">
        <f>EV!L462</f>
        <v>EUMATT</v>
      </c>
      <c r="G358" s="108" t="str">
        <f>IF(H358="ALPHA",PR!$E356,IF(H358="ASSENE",PR!$F356,IF(H358="BIOFEM",PR!$G356,IF(H358="BIOMED",PR!$H356,IF(H358="CHI",PR!$I356,IF(H358="CLARION",PR!$J356,IF(H358="CODIX",PR!$K356,IF(H358="COSMADE",PR!$L356,IF(H358="SANCON",PR!$M356,IF(H358="DEVON",PR!$N356,IF(H358="DORTEMAG",PR!$O356,IF(H358="DGF",PR!$P356,IF(H358="DYNAMIC",PR!$Q356,IF(H358="EMZOR",PR!$R356,IF(H358="EUMATT",PR!$S356,IF(H358="FIDSON",PR!$T356,IF(H358="FCGLOBAL",PR!$U356,IF(H358="GENEITH",PR!$V356,IF(H358="GINOS",PR!$W356,IF(H358="GSK",PR!$X356,IF(H358="GLOBORG",PR!$Y356,IF(H358="GOODNEWS",PR!$Z356,IF(H358="GREENLIFE",PR!$AA356,IF(H358="HLINE",PR!$AB356,IF(H358="ROTECH",PR!$AC356,IF(H358="ISN",PR!$AD356,IF(H358="JAWA",PR!$AE356,IF(H358="LAYO",PR!$AF356,IF(H358="LEADWAY",PR!$AG356,IF(H358="LHV",PR!$AH356,IF(H358="MANOLA",PR!$AI356,IF(H358="MARCSON",PR!$AJ356,IF(H358="M&amp;B",PR!$AK356,IF(H358="MTRUST",PR!$AL356,IF(H358="MWORLD",PR!$AM356,IF(H358="MEGA",PR!$AN356,IF(H358="MICRONOVA",PR!$AO356,IF(H358="MFLASH",PR!$AP356,IF(H358="MORISON",PR!$AQ356,IF(H358="NEMEL",PR!$AR356,IF(H358="NHP",PR!$AS356,IF(H358="NHC",PR!$AT356,IF(H358="OLEAF",PR!$AU356,IF(H358="OCULUS",PR!$AV356,IF(H358="PACIFIC",PR!$AW356,IF(H358="PHAMATEX",PR!$AX356,IF(H358="PETHICS",PR!$AY356,IF(H358="PHILIPS",PR!$AZ356,IF(H358="RANBAXY",PR!$BA356,IF(H358="REALS",PR!$BB356,IF(H358="ROYAL",PR!$BC356,IF(H358="SAM",PR!$BD356,IF(H358="SEAGREEN",PR!$BE356,IF(H358="SKG",PR!$BF356,IF(H358="TAH",PR!$BG356,IF(H358="TAYLEK",PR!$BH356,IF(H358="TEMITA",PR!$BI356,IF(H358="THL",PR!$BJ356,IF(H358="UBASTIC",PR!$BK356,IF(H358="UNION",PR!$BL356,IF(H358="UNIQUE",PR!$BM356,IF(H358="VIXA",PR!$BN356,IF(H358="WWCV",PR!$BO356,IF(H358="ZOLON",PR!$BP356,"-"))))))))))))))))))))))))))))))))))))))))))))))))))))))))))))))))</f>
        <v>-</v>
      </c>
      <c r="H358" s="102">
        <f>EV!M462</f>
        <v>0</v>
      </c>
      <c r="I358" s="108" t="str">
        <f>IF(J358="ALPHA",PR!$E356,IF(J358="ASSENE",PR!$F356,IF(J358="BIOFEM",PR!$G356,IF(J358="BIOMED",PR!$H356,IF(J358="CHI",PR!$I356,IF(J358="CLARION",PR!$J356,IF(J358="CODIX",PR!$K356,IF(J358="COSMADE",PR!$L356,IF(J358="SANCON",PR!$M356,IF(J358="DEVON",PR!$N356,IF(J358="DORTEMAG",PR!$O356,IF(J358="DGF",PR!$P356,IF(J358="DYNAMIC",PR!$Q356,IF(J358="EMZOR",PR!$R356,IF(J358="EUMATT",PR!$S356,IF(J358="FIDSON",PR!$T356,IF(J358="FCGLOBAL",PR!$U356,IF(J358="GENEITH",PR!$V356,IF(J358="GINOS",PR!$W356,IF(J358="GSK",PR!$X356,IF(J358="GLOBORG",PR!$Y356,IF(J358="GOODNEWS",PR!$Z356,IF(J358="GREENLIFE",PR!$AA356,IF(J358="HLINE",PR!$AB356,IF(J358="ROTECH",PR!$AC356,IF(J358="ISN",PR!$AD356,IF(J358="JAWA",PR!$AE356,IF(J358="LAYO",PR!$AF356,IF(J358="LEADWAY",PR!$AG356,IF(J358="LHV",PR!$AH356,IF(J358="MANOLA",PR!$AI356,IF(J358="MARCSON",PR!$AJ356,IF(J358="M&amp;B",PR!$AK356,IF(J358="MTRUST",PR!$AL356,IF(J358="MWORLD",PR!$AM356,IF(J358="MEGA",PR!$AN356,IF(J358="MICRONOVA",PR!$AO356,IF(J358="MFLASH",PR!$AP356,IF(J358="MORISON",PR!$AQ356,IF(J358="NEMEL",PR!$AR356,IF(J358="NHP",PR!$AS356,IF(J358="NHC",PR!$AT356,IF(J358="OLEAF",PR!$AU356,IF(J358="OCULUS",PR!$AV356,IF(J358="PACIFIC",PR!$AW356,IF(J358="PHAMATEX",PR!$AX356,IF(J358="PETHICS",PR!$AY356,IF(J358="PHILIPS",PR!$AZ356,IF(J358="RANBAXY",PR!$BA356,IF(J358="REALS",PR!$BB356,IF(J358="ROYAL",PR!$BC356,IF(J358="SAM",PR!$BD356,IF(J358="SEAGREEN",PR!$BE356,IF(J358="SKG",PR!$BF356,IF(J358="TAH",PR!$BG356,IF(J358="TAYLEK",PR!$BH356,IF(J358="TEMITA",PR!$BI356,IF(J358="THL",PR!$BJ356,IF(J358="UBASTIC",PR!$BK356,IF(J358="UNION",PR!$BL356,IF(J358="UNIQUE",PR!$BM356,IF(J358="VIXA",PR!$BN356,IF(J358="WWCV",PR!$BO356,IF(J358="ZOLON",PR!$BP356,"-"))))))))))))))))))))))))))))))))))))))))))))))))))))))))))))))))</f>
        <v>-</v>
      </c>
      <c r="J358" s="102">
        <f>EV!N462</f>
        <v>0</v>
      </c>
      <c r="K358" s="433" t="s">
        <v>821</v>
      </c>
      <c r="L358" s="183">
        <f>IF(K358&gt;0,IF(K358="ALPHA",PR!$E356,IF(K358="ASSENE",PR!$F356,IF(K358="BIOFEM",PR!$G356,IF(K358="BIOMED",PR!$H356,IF(K358="CHI",PR!$I356,IF(K358="CLARION",PR!$J356,IF(K358="CODIX",PR!$K356,IF(K358="COSMADE",PR!$L356,IF(K358="SANCON",PR!$M356,IF(K358="DEVON",PR!$N356,IF(K358="DORTEMAG",PR!$O356,IF(K358="DGF",PR!$P356,IF(K358="DYNAMIC",PR!$Q356,IF(K358="EMZOR",PR!$R356,IF(K358="EUMATT",PR!$S356,IF(K358="FIDSON",PR!$T356,IF(K358="FCGLOBAL",PR!$U356,IF(K358="GENEITH",PR!$V356,IF(K358="GINOS",PR!$W356,IF(K358="GSK",PR!$X356,IF(K358="GLOBORG",PR!$Y356,IF(K358="GOODNEWS",PR!$Z356,IF(K358="GREENLIFE",PR!$AA356,IF(K358="HLINE",PR!$AB356,IF(K358="ROTECH",PR!$AC356,IF(K358="ISN",PR!$AD356,IF(K358="JAWA",PR!$AE356,IF(K358="LAYO",PR!$AF356,IF(K358="LEADWAY",PR!$AG356,IF(K358="LHV",PR!$AH356,IF(K358="MANOLA",PR!$AI356,IF(K358="MARCSON",PR!$AJ356,IF(K358="M&amp;B",PR!$AK356,IF(K358="MTRUST",PR!$AL356,IF(K358="MWORLD",PR!$AM356,IF(K358="MEGA",PR!$AN356,IF(K358="MICRONOVA",PR!$AO356,IF(K358="MFLASH",PR!$AP356,IF(K358="MORISON",PR!$AQ356,IF(K358="NEMEL",PR!$AR356,IF(K358="NHP",PR!$AS356,IF(K358="NHC",PR!$AT356,IF(K358="OLEAF",PR!$AU356,IF(K358="OCULUS",PR!$AV356,IF(K358="PACIFIC",PR!$AW356,IF(K358="PHAMATEX",PR!$AX356,IF(K358="PETHICS",PR!$AY356,IF(K358="PHILIPS",PR!$AZ356,IF(K358="RANBAXY",PR!$BA356,IF(K358="REALS",PR!$BB356,IF(K358="ROYAL",PR!$BC356,IF(K358="SAM",PR!$BD356,IF(K358="SEAGREEN",PR!$BE356,IF(K358="SKG",PR!$BF356,IF(K358="TAH",PR!$BG356,IF(K358="TAYLEK",PR!$BH356,IF(K358="TEMITA",PR!$BI356,IF(K358="THL",PR!$BJ356,IF(K358="UBASTIC",PR!$BK356,IF(K358="UNION",PR!$BL356,IF(K358="UNIQUE",PR!$BM356,IF(K358="VIXA",PR!$BN356,IF(K358="WWCV",PR!$BO356,IF(K358="ZOLON",PR!$BP356,"-")))))))))))))))))))))))))))))))))))))))))))))))))))))))))))))))))</f>
        <v>22000</v>
      </c>
    </row>
    <row r="359" spans="1:12" ht="18.75" x14ac:dyDescent="0.3">
      <c r="A359" s="430">
        <f>PR!A357</f>
        <v>327</v>
      </c>
      <c r="B359" s="15" t="str">
        <f>PR!B357</f>
        <v>SILYMARIN 140MG TAB</v>
      </c>
      <c r="C359" s="113">
        <f>PR!D357</f>
        <v>30</v>
      </c>
      <c r="D359" s="113">
        <f>PR!C357</f>
        <v>100</v>
      </c>
      <c r="E359" s="108">
        <f>IF(F359="ALPHA",PR!$E357,IF(F359="ASSENE",PR!$F357,IF(F359="BIOFEM",PR!$G357,IF(F359="BIOMED",PR!$H357,IF(F359="CHI",PR!$I357,IF(F359="CLARION",PR!$J357,IF(F359="CODIX",PR!$K357,IF(F359="COSMADE",PR!$L357,IF(F359="SANCON",PR!$M357,IF(F359="DEVON",PR!$N357,IF(F359="DORTEMAG",PR!$O357,IF(F359="DGF",PR!$P357,IF(F359="DYNAMIC",PR!$Q357,IF(F359="EMZOR",PR!$R357,IF(F359="EUMATT",PR!$S357,IF(F359="FIDSON",PR!$T357,IF(F359="FCGLOBAL",PR!$U357,IF(F359="GENEITH",PR!$V357,IF(F359="GINOS",PR!$W357,IF(F359="GSK",PR!$X357,IF(F359="GLOBORG",PR!$Y357,IF(F359="GOODNEWS",PR!$Z357,IF(F359="GREENLIFE",PR!$AA357,IF(F359="HLINE",PR!$AB357,IF(F359="ROTECH",PR!$AC357,IF(F359="ISN",PR!$AD357,IF(F359="JAWA",PR!$AE357,IF(F359="LAYO",PR!$AF357,IF(F359="LEADWAY",PR!$AG357,IF(F359="LHV",PR!$AH357,IF(F359="MANOLA",PR!$AI357,IF(F359="MARCSON",PR!$AJ357,IF(F359="M&amp;B",PR!$AK357,IF(F359="MTRUST",PR!$AL357,IF(F359="MWORLD",PR!$AM357,IF(F359="MEGA",PR!$AN357,IF(F359="MICRONOVA",PR!$AO357,IF(F359="MFLASH",PR!$AP357,IF(F359="MORISON",PR!$AQ357,IF(F359="NEMEL",PR!$AR357,IF(F359="NHP",PR!$AS357,IF(F359="NHC",PR!$AT357,IF(F359="OLEAF",PR!$AU357,IF(F359="OCULUS",PR!$AV357,IF(F359="PACIFIC",PR!$AW357,IF(F359="PHAMATEX",PR!$AX357,IF(F359="PETHICS",PR!$AY357,IF(F359="PHILIPS",PR!$AZ357,IF(F359="RANBAXY",PR!$BA357,IF(F359="REALS",PR!$BB357,IF(F359="ROYAL",PR!$BC357,IF(F359="SAM",PR!$BD357,IF(F359="SEAGREEN",PR!$BE357,IF(F359="SKG",PR!$BF357,IF(F359="TAH",PR!$BG357,IF(F359="TAYLEK",PR!$BH357,IF(F359="TEMITA",PR!$BI357,IF(F359="THL",PR!$BJ357,IF(F359="UBASTIC",PR!$BK357,IF(F359="UNION",PR!$BL357,IF(F359="UNIQUE",PR!$BM357,IF(F359="VIXA",PR!$BN357,IF(F359="WWCV",PR!$BO357,IF(F359="ZOLON",PR!$BP357,"-"))))))))))))))))))))))))))))))))))))))))))))))))))))))))))))))))</f>
        <v>1908</v>
      </c>
      <c r="F359" s="102" t="str">
        <f>EV!L463</f>
        <v>MICRONOVA</v>
      </c>
      <c r="G359" s="108" t="str">
        <f>IF(H359="ALPHA",PR!$E357,IF(H359="ASSENE",PR!$F357,IF(H359="BIOFEM",PR!$G357,IF(H359="BIOMED",PR!$H357,IF(H359="CHI",PR!$I357,IF(H359="CLARION",PR!$J357,IF(H359="CODIX",PR!$K357,IF(H359="COSMADE",PR!$L357,IF(H359="SANCON",PR!$M357,IF(H359="DEVON",PR!$N357,IF(H359="DORTEMAG",PR!$O357,IF(H359="DGF",PR!$P357,IF(H359="DYNAMIC",PR!$Q357,IF(H359="EMZOR",PR!$R357,IF(H359="EUMATT",PR!$S357,IF(H359="FIDSON",PR!$T357,IF(H359="FCGLOBAL",PR!$U357,IF(H359="GENEITH",PR!$V357,IF(H359="GINOS",PR!$W357,IF(H359="GSK",PR!$X357,IF(H359="GLOBORG",PR!$Y357,IF(H359="GOODNEWS",PR!$Z357,IF(H359="GREENLIFE",PR!$AA357,IF(H359="HLINE",PR!$AB357,IF(H359="ROTECH",PR!$AC357,IF(H359="ISN",PR!$AD357,IF(H359="JAWA",PR!$AE357,IF(H359="LAYO",PR!$AF357,IF(H359="LEADWAY",PR!$AG357,IF(H359="LHV",PR!$AH357,IF(H359="MANOLA",PR!$AI357,IF(H359="MARCSON",PR!$AJ357,IF(H359="M&amp;B",PR!$AK357,IF(H359="MTRUST",PR!$AL357,IF(H359="MWORLD",PR!$AM357,IF(H359="MEGA",PR!$AN357,IF(H359="MICRONOVA",PR!$AO357,IF(H359="MFLASH",PR!$AP357,IF(H359="MORISON",PR!$AQ357,IF(H359="NEMEL",PR!$AR357,IF(H359="NHP",PR!$AS357,IF(H359="NHC",PR!$AT357,IF(H359="OLEAF",PR!$AU357,IF(H359="OCULUS",PR!$AV357,IF(H359="PACIFIC",PR!$AW357,IF(H359="PHAMATEX",PR!$AX357,IF(H359="PETHICS",PR!$AY357,IF(H359="PHILIPS",PR!$AZ357,IF(H359="RANBAXY",PR!$BA357,IF(H359="REALS",PR!$BB357,IF(H359="ROYAL",PR!$BC357,IF(H359="SAM",PR!$BD357,IF(H359="SEAGREEN",PR!$BE357,IF(H359="SKG",PR!$BF357,IF(H359="TAH",PR!$BG357,IF(H359="TAYLEK",PR!$BH357,IF(H359="TEMITA",PR!$BI357,IF(H359="THL",PR!$BJ357,IF(H359="UBASTIC",PR!$BK357,IF(H359="UNION",PR!$BL357,IF(H359="UNIQUE",PR!$BM357,IF(H359="VIXA",PR!$BN357,IF(H359="WWCV",PR!$BO357,IF(H359="ZOLON",PR!$BP357,"-"))))))))))))))))))))))))))))))))))))))))))))))))))))))))))))))))</f>
        <v>-</v>
      </c>
      <c r="H359" s="102">
        <f>EV!M463</f>
        <v>0</v>
      </c>
      <c r="I359" s="108" t="str">
        <f>IF(J359="ALPHA",PR!$E357,IF(J359="ASSENE",PR!$F357,IF(J359="BIOFEM",PR!$G357,IF(J359="BIOMED",PR!$H357,IF(J359="CHI",PR!$I357,IF(J359="CLARION",PR!$J357,IF(J359="CODIX",PR!$K357,IF(J359="COSMADE",PR!$L357,IF(J359="SANCON",PR!$M357,IF(J359="DEVON",PR!$N357,IF(J359="DORTEMAG",PR!$O357,IF(J359="DGF",PR!$P357,IF(J359="DYNAMIC",PR!$Q357,IF(J359="EMZOR",PR!$R357,IF(J359="EUMATT",PR!$S357,IF(J359="FIDSON",PR!$T357,IF(J359="FCGLOBAL",PR!$U357,IF(J359="GENEITH",PR!$V357,IF(J359="GINOS",PR!$W357,IF(J359="GSK",PR!$X357,IF(J359="GLOBORG",PR!$Y357,IF(J359="GOODNEWS",PR!$Z357,IF(J359="GREENLIFE",PR!$AA357,IF(J359="HLINE",PR!$AB357,IF(J359="ROTECH",PR!$AC357,IF(J359="ISN",PR!$AD357,IF(J359="JAWA",PR!$AE357,IF(J359="LAYO",PR!$AF357,IF(J359="LEADWAY",PR!$AG357,IF(J359="LHV",PR!$AH357,IF(J359="MANOLA",PR!$AI357,IF(J359="MARCSON",PR!$AJ357,IF(J359="M&amp;B",PR!$AK357,IF(J359="MTRUST",PR!$AL357,IF(J359="MWORLD",PR!$AM357,IF(J359="MEGA",PR!$AN357,IF(J359="MICRONOVA",PR!$AO357,IF(J359="MFLASH",PR!$AP357,IF(J359="MORISON",PR!$AQ357,IF(J359="NEMEL",PR!$AR357,IF(J359="NHP",PR!$AS357,IF(J359="NHC",PR!$AT357,IF(J359="OLEAF",PR!$AU357,IF(J359="OCULUS",PR!$AV357,IF(J359="PACIFIC",PR!$AW357,IF(J359="PHAMATEX",PR!$AX357,IF(J359="PETHICS",PR!$AY357,IF(J359="PHILIPS",PR!$AZ357,IF(J359="RANBAXY",PR!$BA357,IF(J359="REALS",PR!$BB357,IF(J359="ROYAL",PR!$BC357,IF(J359="SAM",PR!$BD357,IF(J359="SEAGREEN",PR!$BE357,IF(J359="SKG",PR!$BF357,IF(J359="TAH",PR!$BG357,IF(J359="TAYLEK",PR!$BH357,IF(J359="TEMITA",PR!$BI357,IF(J359="THL",PR!$BJ357,IF(J359="UBASTIC",PR!$BK357,IF(J359="UNION",PR!$BL357,IF(J359="UNIQUE",PR!$BM357,IF(J359="VIXA",PR!$BN357,IF(J359="WWCV",PR!$BO357,IF(J359="ZOLON",PR!$BP357,"-"))))))))))))))))))))))))))))))))))))))))))))))))))))))))))))))))</f>
        <v>-</v>
      </c>
      <c r="J359" s="102">
        <f>EV!N463</f>
        <v>0</v>
      </c>
      <c r="K359" s="433" t="s">
        <v>632</v>
      </c>
      <c r="L359" s="183">
        <f>IF(K359&gt;0,IF(K359="ALPHA",PR!$E357,IF(K359="ASSENE",PR!$F357,IF(K359="BIOFEM",PR!$G357,IF(K359="BIOMED",PR!$H357,IF(K359="CHI",PR!$I357,IF(K359="CLARION",PR!$J357,IF(K359="CODIX",PR!$K357,IF(K359="COSMADE",PR!$L357,IF(K359="SANCON",PR!$M357,IF(K359="DEVON",PR!$N357,IF(K359="DORTEMAG",PR!$O357,IF(K359="DGF",PR!$P357,IF(K359="DYNAMIC",PR!$Q357,IF(K359="EMZOR",PR!$R357,IF(K359="EUMATT",PR!$S357,IF(K359="FIDSON",PR!$T357,IF(K359="FCGLOBAL",PR!$U357,IF(K359="GENEITH",PR!$V357,IF(K359="GINOS",PR!$W357,IF(K359="GSK",PR!$X357,IF(K359="GLOBORG",PR!$Y357,IF(K359="GOODNEWS",PR!$Z357,IF(K359="GREENLIFE",PR!$AA357,IF(K359="HLINE",PR!$AB357,IF(K359="ROTECH",PR!$AC357,IF(K359="ISN",PR!$AD357,IF(K359="JAWA",PR!$AE357,IF(K359="LAYO",PR!$AF357,IF(K359="LEADWAY",PR!$AG357,IF(K359="LHV",PR!$AH357,IF(K359="MANOLA",PR!$AI357,IF(K359="MARCSON",PR!$AJ357,IF(K359="M&amp;B",PR!$AK357,IF(K359="MTRUST",PR!$AL357,IF(K359="MWORLD",PR!$AM357,IF(K359="MEGA",PR!$AN357,IF(K359="MICRONOVA",PR!$AO357,IF(K359="MFLASH",PR!$AP357,IF(K359="MORISON",PR!$AQ357,IF(K359="NEMEL",PR!$AR357,IF(K359="NHP",PR!$AS357,IF(K359="NHC",PR!$AT357,IF(K359="OLEAF",PR!$AU357,IF(K359="OCULUS",PR!$AV357,IF(K359="PACIFIC",PR!$AW357,IF(K359="PHAMATEX",PR!$AX357,IF(K359="PETHICS",PR!$AY357,IF(K359="PHILIPS",PR!$AZ357,IF(K359="RANBAXY",PR!$BA357,IF(K359="REALS",PR!$BB357,IF(K359="ROYAL",PR!$BC357,IF(K359="SAM",PR!$BD357,IF(K359="SEAGREEN",PR!$BE357,IF(K359="SKG",PR!$BF357,IF(K359="TAH",PR!$BG357,IF(K359="TAYLEK",PR!$BH357,IF(K359="TEMITA",PR!$BI357,IF(K359="THL",PR!$BJ357,IF(K359="UBASTIC",PR!$BK357,IF(K359="UNION",PR!$BL357,IF(K359="UNIQUE",PR!$BM357,IF(K359="VIXA",PR!$BN357,IF(K359="WWCV",PR!$BO357,IF(K359="ZOLON",PR!$BP357,"-")))))))))))))))))))))))))))))))))))))))))))))))))))))))))))))))))</f>
        <v>1908</v>
      </c>
    </row>
    <row r="360" spans="1:12" ht="18.75" x14ac:dyDescent="0.3">
      <c r="A360" s="430">
        <f>PR!A358</f>
        <v>328</v>
      </c>
      <c r="B360" s="15" t="str">
        <f>PR!B358</f>
        <v>SILYMARIN 70MG TAB</v>
      </c>
      <c r="C360" s="113">
        <f>PR!D358</f>
        <v>30</v>
      </c>
      <c r="D360" s="113">
        <f>PR!C358</f>
        <v>50</v>
      </c>
      <c r="E360" s="108">
        <f>IF(F360="ALPHA",PR!$E358,IF(F360="ASSENE",PR!$F358,IF(F360="BIOFEM",PR!$G358,IF(F360="BIOMED",PR!$H358,IF(F360="CHI",PR!$I358,IF(F360="CLARION",PR!$J358,IF(F360="CODIX",PR!$K358,IF(F360="COSMADE",PR!$L358,IF(F360="SANCON",PR!$M358,IF(F360="DEVON",PR!$N358,IF(F360="DORTEMAG",PR!$O358,IF(F360="DGF",PR!$P358,IF(F360="DYNAMIC",PR!$Q358,IF(F360="EMZOR",PR!$R358,IF(F360="EUMATT",PR!$S358,IF(F360="FIDSON",PR!$T358,IF(F360="FCGLOBAL",PR!$U358,IF(F360="GENEITH",PR!$V358,IF(F360="GINOS",PR!$W358,IF(F360="GSK",PR!$X358,IF(F360="GLOBORG",PR!$Y358,IF(F360="GOODNEWS",PR!$Z358,IF(F360="GREENLIFE",PR!$AA358,IF(F360="HLINE",PR!$AB358,IF(F360="ROTECH",PR!$AC358,IF(F360="ISN",PR!$AD358,IF(F360="JAWA",PR!$AE358,IF(F360="LAYO",PR!$AF358,IF(F360="LEADWAY",PR!$AG358,IF(F360="LHV",PR!$AH358,IF(F360="MANOLA",PR!$AI358,IF(F360="MARCSON",PR!$AJ358,IF(F360="M&amp;B",PR!$AK358,IF(F360="MTRUST",PR!$AL358,IF(F360="MWORLD",PR!$AM358,IF(F360="MEGA",PR!$AN358,IF(F360="MICRONOVA",PR!$AO358,IF(F360="MFLASH",PR!$AP358,IF(F360="MORISON",PR!$AQ358,IF(F360="NEMEL",PR!$AR358,IF(F360="NHP",PR!$AS358,IF(F360="NHC",PR!$AT358,IF(F360="OLEAF",PR!$AU358,IF(F360="OCULUS",PR!$AV358,IF(F360="PACIFIC",PR!$AW358,IF(F360="PHAMATEX",PR!$AX358,IF(F360="PETHICS",PR!$AY358,IF(F360="PHILIPS",PR!$AZ358,IF(F360="RANBAXY",PR!$BA358,IF(F360="REALS",PR!$BB358,IF(F360="ROYAL",PR!$BC358,IF(F360="SAM",PR!$BD358,IF(F360="SEAGREEN",PR!$BE358,IF(F360="SKG",PR!$BF358,IF(F360="TAH",PR!$BG358,IF(F360="TAYLEK",PR!$BH358,IF(F360="TEMITA",PR!$BI358,IF(F360="THL",PR!$BJ358,IF(F360="UBASTIC",PR!$BK358,IF(F360="UNION",PR!$BL358,IF(F360="UNIQUE",PR!$BM358,IF(F360="VIXA",PR!$BN358,IF(F360="WWCV",PR!$BO358,IF(F360="ZOLON",PR!$BP358,"-"))))))))))))))))))))))))))))))))))))))))))))))))))))))))))))))))</f>
        <v>1265</v>
      </c>
      <c r="F360" s="102" t="str">
        <f>EV!L464</f>
        <v>MICRONOVA</v>
      </c>
      <c r="G360" s="108" t="str">
        <f>IF(H360="ALPHA",PR!$E358,IF(H360="ASSENE",PR!$F358,IF(H360="BIOFEM",PR!$G358,IF(H360="BIOMED",PR!$H358,IF(H360="CHI",PR!$I358,IF(H360="CLARION",PR!$J358,IF(H360="CODIX",PR!$K358,IF(H360="COSMADE",PR!$L358,IF(H360="SANCON",PR!$M358,IF(H360="DEVON",PR!$N358,IF(H360="DORTEMAG",PR!$O358,IF(H360="DGF",PR!$P358,IF(H360="DYNAMIC",PR!$Q358,IF(H360="EMZOR",PR!$R358,IF(H360="EUMATT",PR!$S358,IF(H360="FIDSON",PR!$T358,IF(H360="FCGLOBAL",PR!$U358,IF(H360="GENEITH",PR!$V358,IF(H360="GINOS",PR!$W358,IF(H360="GSK",PR!$X358,IF(H360="GLOBORG",PR!$Y358,IF(H360="GOODNEWS",PR!$Z358,IF(H360="GREENLIFE",PR!$AA358,IF(H360="HLINE",PR!$AB358,IF(H360="ROTECH",PR!$AC358,IF(H360="ISN",PR!$AD358,IF(H360="JAWA",PR!$AE358,IF(H360="LAYO",PR!$AF358,IF(H360="LEADWAY",PR!$AG358,IF(H360="LHV",PR!$AH358,IF(H360="MANOLA",PR!$AI358,IF(H360="MARCSON",PR!$AJ358,IF(H360="M&amp;B",PR!$AK358,IF(H360="MTRUST",PR!$AL358,IF(H360="MWORLD",PR!$AM358,IF(H360="MEGA",PR!$AN358,IF(H360="MICRONOVA",PR!$AO358,IF(H360="MFLASH",PR!$AP358,IF(H360="MORISON",PR!$AQ358,IF(H360="NEMEL",PR!$AR358,IF(H360="NHP",PR!$AS358,IF(H360="NHC",PR!$AT358,IF(H360="OLEAF",PR!$AU358,IF(H360="OCULUS",PR!$AV358,IF(H360="PACIFIC",PR!$AW358,IF(H360="PHAMATEX",PR!$AX358,IF(H360="PETHICS",PR!$AY358,IF(H360="PHILIPS",PR!$AZ358,IF(H360="RANBAXY",PR!$BA358,IF(H360="REALS",PR!$BB358,IF(H360="ROYAL",PR!$BC358,IF(H360="SAM",PR!$BD358,IF(H360="SEAGREEN",PR!$BE358,IF(H360="SKG",PR!$BF358,IF(H360="TAH",PR!$BG358,IF(H360="TAYLEK",PR!$BH358,IF(H360="TEMITA",PR!$BI358,IF(H360="THL",PR!$BJ358,IF(H360="UBASTIC",PR!$BK358,IF(H360="UNION",PR!$BL358,IF(H360="UNIQUE",PR!$BM358,IF(H360="VIXA",PR!$BN358,IF(H360="WWCV",PR!$BO358,IF(H360="ZOLON",PR!$BP358,"-"))))))))))))))))))))))))))))))))))))))))))))))))))))))))))))))))</f>
        <v>-</v>
      </c>
      <c r="H360" s="102">
        <f>EV!M464</f>
        <v>0</v>
      </c>
      <c r="I360" s="108" t="str">
        <f>IF(J360="ALPHA",PR!$E358,IF(J360="ASSENE",PR!$F358,IF(J360="BIOFEM",PR!$G358,IF(J360="BIOMED",PR!$H358,IF(J360="CHI",PR!$I358,IF(J360="CLARION",PR!$J358,IF(J360="CODIX",PR!$K358,IF(J360="COSMADE",PR!$L358,IF(J360="SANCON",PR!$M358,IF(J360="DEVON",PR!$N358,IF(J360="DORTEMAG",PR!$O358,IF(J360="DGF",PR!$P358,IF(J360="DYNAMIC",PR!$Q358,IF(J360="EMZOR",PR!$R358,IF(J360="EUMATT",PR!$S358,IF(J360="FIDSON",PR!$T358,IF(J360="FCGLOBAL",PR!$U358,IF(J360="GENEITH",PR!$V358,IF(J360="GINOS",PR!$W358,IF(J360="GSK",PR!$X358,IF(J360="GLOBORG",PR!$Y358,IF(J360="GOODNEWS",PR!$Z358,IF(J360="GREENLIFE",PR!$AA358,IF(J360="HLINE",PR!$AB358,IF(J360="ROTECH",PR!$AC358,IF(J360="ISN",PR!$AD358,IF(J360="JAWA",PR!$AE358,IF(J360="LAYO",PR!$AF358,IF(J360="LEADWAY",PR!$AG358,IF(J360="LHV",PR!$AH358,IF(J360="MANOLA",PR!$AI358,IF(J360="MARCSON",PR!$AJ358,IF(J360="M&amp;B",PR!$AK358,IF(J360="MTRUST",PR!$AL358,IF(J360="MWORLD",PR!$AM358,IF(J360="MEGA",PR!$AN358,IF(J360="MICRONOVA",PR!$AO358,IF(J360="MFLASH",PR!$AP358,IF(J360="MORISON",PR!$AQ358,IF(J360="NEMEL",PR!$AR358,IF(J360="NHP",PR!$AS358,IF(J360="NHC",PR!$AT358,IF(J360="OLEAF",PR!$AU358,IF(J360="OCULUS",PR!$AV358,IF(J360="PACIFIC",PR!$AW358,IF(J360="PHAMATEX",PR!$AX358,IF(J360="PETHICS",PR!$AY358,IF(J360="PHILIPS",PR!$AZ358,IF(J360="RANBAXY",PR!$BA358,IF(J360="REALS",PR!$BB358,IF(J360="ROYAL",PR!$BC358,IF(J360="SAM",PR!$BD358,IF(J360="SEAGREEN",PR!$BE358,IF(J360="SKG",PR!$BF358,IF(J360="TAH",PR!$BG358,IF(J360="TAYLEK",PR!$BH358,IF(J360="TEMITA",PR!$BI358,IF(J360="THL",PR!$BJ358,IF(J360="UBASTIC",PR!$BK358,IF(J360="UNION",PR!$BL358,IF(J360="UNIQUE",PR!$BM358,IF(J360="VIXA",PR!$BN358,IF(J360="WWCV",PR!$BO358,IF(J360="ZOLON",PR!$BP358,"-"))))))))))))))))))))))))))))))))))))))))))))))))))))))))))))))))</f>
        <v>-</v>
      </c>
      <c r="J360" s="102">
        <f>EV!N464</f>
        <v>0</v>
      </c>
      <c r="K360" s="433" t="s">
        <v>632</v>
      </c>
      <c r="L360" s="183">
        <f>IF(K360&gt;0,IF(K360="ALPHA",PR!$E358,IF(K360="ASSENE",PR!$F358,IF(K360="BIOFEM",PR!$G358,IF(K360="BIOMED",PR!$H358,IF(K360="CHI",PR!$I358,IF(K360="CLARION",PR!$J358,IF(K360="CODIX",PR!$K358,IF(K360="COSMADE",PR!$L358,IF(K360="SANCON",PR!$M358,IF(K360="DEVON",PR!$N358,IF(K360="DORTEMAG",PR!$O358,IF(K360="DGF",PR!$P358,IF(K360="DYNAMIC",PR!$Q358,IF(K360="EMZOR",PR!$R358,IF(K360="EUMATT",PR!$S358,IF(K360="FIDSON",PR!$T358,IF(K360="FCGLOBAL",PR!$U358,IF(K360="GENEITH",PR!$V358,IF(K360="GINOS",PR!$W358,IF(K360="GSK",PR!$X358,IF(K360="GLOBORG",PR!$Y358,IF(K360="GOODNEWS",PR!$Z358,IF(K360="GREENLIFE",PR!$AA358,IF(K360="HLINE",PR!$AB358,IF(K360="ROTECH",PR!$AC358,IF(K360="ISN",PR!$AD358,IF(K360="JAWA",PR!$AE358,IF(K360="LAYO",PR!$AF358,IF(K360="LEADWAY",PR!$AG358,IF(K360="LHV",PR!$AH358,IF(K360="MANOLA",PR!$AI358,IF(K360="MARCSON",PR!$AJ358,IF(K360="M&amp;B",PR!$AK358,IF(K360="MTRUST",PR!$AL358,IF(K360="MWORLD",PR!$AM358,IF(K360="MEGA",PR!$AN358,IF(K360="MICRONOVA",PR!$AO358,IF(K360="MFLASH",PR!$AP358,IF(K360="MORISON",PR!$AQ358,IF(K360="NEMEL",PR!$AR358,IF(K360="NHP",PR!$AS358,IF(K360="NHC",PR!$AT358,IF(K360="OLEAF",PR!$AU358,IF(K360="OCULUS",PR!$AV358,IF(K360="PACIFIC",PR!$AW358,IF(K360="PHAMATEX",PR!$AX358,IF(K360="PETHICS",PR!$AY358,IF(K360="PHILIPS",PR!$AZ358,IF(K360="RANBAXY",PR!$BA358,IF(K360="REALS",PR!$BB358,IF(K360="ROYAL",PR!$BC358,IF(K360="SAM",PR!$BD358,IF(K360="SEAGREEN",PR!$BE358,IF(K360="SKG",PR!$BF358,IF(K360="TAH",PR!$BG358,IF(K360="TAYLEK",PR!$BH358,IF(K360="TEMITA",PR!$BI358,IF(K360="THL",PR!$BJ358,IF(K360="UBASTIC",PR!$BK358,IF(K360="UNION",PR!$BL358,IF(K360="UNIQUE",PR!$BM358,IF(K360="VIXA",PR!$BN358,IF(K360="WWCV",PR!$BO358,IF(K360="ZOLON",PR!$BP358,"-")))))))))))))))))))))))))))))))))))))))))))))))))))))))))))))))))</f>
        <v>1265</v>
      </c>
    </row>
    <row r="361" spans="1:12" ht="18.75" x14ac:dyDescent="0.3">
      <c r="A361" s="430">
        <f>PR!A359</f>
        <v>329</v>
      </c>
      <c r="B361" s="15" t="str">
        <f>PR!B359</f>
        <v>SODIUM BICARBONATE INJ</v>
      </c>
      <c r="C361" s="113" t="str">
        <f>PR!D359</f>
        <v>AMP</v>
      </c>
      <c r="D361" s="113">
        <f>PR!C359</f>
        <v>50</v>
      </c>
      <c r="E361" s="108">
        <f>IF(F361="ALPHA",PR!$E359,IF(F361="ASSENE",PR!$F359,IF(F361="BIOFEM",PR!$G359,IF(F361="BIOMED",PR!$H359,IF(F361="CHI",PR!$I359,IF(F361="CLARION",PR!$J359,IF(F361="CODIX",PR!$K359,IF(F361="COSMADE",PR!$L359,IF(F361="SANCON",PR!$M359,IF(F361="DEVON",PR!$N359,IF(F361="DORTEMAG",PR!$O359,IF(F361="DGF",PR!$P359,IF(F361="DYNAMIC",PR!$Q359,IF(F361="EMZOR",PR!$R359,IF(F361="EUMATT",PR!$S359,IF(F361="FIDSON",PR!$T359,IF(F361="FCGLOBAL",PR!$U359,IF(F361="GENEITH",PR!$V359,IF(F361="GINOS",PR!$W359,IF(F361="GSK",PR!$X359,IF(F361="GLOBORG",PR!$Y359,IF(F361="GOODNEWS",PR!$Z359,IF(F361="GREENLIFE",PR!$AA359,IF(F361="HLINE",PR!$AB359,IF(F361="ROTECH",PR!$AC359,IF(F361="ISN",PR!$AD359,IF(F361="JAWA",PR!$AE359,IF(F361="LAYO",PR!$AF359,IF(F361="LEADWAY",PR!$AG359,IF(F361="LHV",PR!$AH359,IF(F361="MANOLA",PR!$AI359,IF(F361="MARCSON",PR!$AJ359,IF(F361="M&amp;B",PR!$AK359,IF(F361="MTRUST",PR!$AL359,IF(F361="MWORLD",PR!$AM359,IF(F361="MEGA",PR!$AN359,IF(F361="MICRONOVA",PR!$AO359,IF(F361="MFLASH",PR!$AP359,IF(F361="MORISON",PR!$AQ359,IF(F361="NEMEL",PR!$AR359,IF(F361="NHP",PR!$AS359,IF(F361="NHC",PR!$AT359,IF(F361="OLEAF",PR!$AU359,IF(F361="OCULUS",PR!$AV359,IF(F361="PACIFIC",PR!$AW359,IF(F361="PHAMATEX",PR!$AX359,IF(F361="PETHICS",PR!$AY359,IF(F361="PHILIPS",PR!$AZ359,IF(F361="RANBAXY",PR!$BA359,IF(F361="REALS",PR!$BB359,IF(F361="ROYAL",PR!$BC359,IF(F361="SAM",PR!$BD359,IF(F361="SEAGREEN",PR!$BE359,IF(F361="SKG",PR!$BF359,IF(F361="TAH",PR!$BG359,IF(F361="TAYLEK",PR!$BH359,IF(F361="TEMITA",PR!$BI359,IF(F361="THL",PR!$BJ359,IF(F361="UBASTIC",PR!$BK359,IF(F361="UNION",PR!$BL359,IF(F361="UNIQUE",PR!$BM359,IF(F361="VIXA",PR!$BN359,IF(F361="WWCV",PR!$BO359,IF(F361="ZOLON",PR!$BP359,"-"))))))))))))))))))))))))))))))))))))))))))))))))))))))))))))))))</f>
        <v>460</v>
      </c>
      <c r="F361" s="102" t="str">
        <f>EV!L465</f>
        <v>EUMATT</v>
      </c>
      <c r="G361" s="108">
        <f>IF(H361="ALPHA",PR!$E359,IF(H361="ASSENE",PR!$F359,IF(H361="BIOFEM",PR!$G359,IF(H361="BIOMED",PR!$H359,IF(H361="CHI",PR!$I359,IF(H361="CLARION",PR!$J359,IF(H361="CODIX",PR!$K359,IF(H361="COSMADE",PR!$L359,IF(H361="SANCON",PR!$M359,IF(H361="DEVON",PR!$N359,IF(H361="DORTEMAG",PR!$O359,IF(H361="DGF",PR!$P359,IF(H361="DYNAMIC",PR!$Q359,IF(H361="EMZOR",PR!$R359,IF(H361="EUMATT",PR!$S359,IF(H361="FIDSON",PR!$T359,IF(H361="FCGLOBAL",PR!$U359,IF(H361="GENEITH",PR!$V359,IF(H361="GINOS",PR!$W359,IF(H361="GSK",PR!$X359,IF(H361="GLOBORG",PR!$Y359,IF(H361="GOODNEWS",PR!$Z359,IF(H361="GREENLIFE",PR!$AA359,IF(H361="HLINE",PR!$AB359,IF(H361="ROTECH",PR!$AC359,IF(H361="ISN",PR!$AD359,IF(H361="JAWA",PR!$AE359,IF(H361="LAYO",PR!$AF359,IF(H361="LEADWAY",PR!$AG359,IF(H361="LHV",PR!$AH359,IF(H361="MANOLA",PR!$AI359,IF(H361="MARCSON",PR!$AJ359,IF(H361="M&amp;B",PR!$AK359,IF(H361="MTRUST",PR!$AL359,IF(H361="MWORLD",PR!$AM359,IF(H361="MEGA",PR!$AN359,IF(H361="MICRONOVA",PR!$AO359,IF(H361="MFLASH",PR!$AP359,IF(H361="MORISON",PR!$AQ359,IF(H361="NEMEL",PR!$AR359,IF(H361="NHP",PR!$AS359,IF(H361="NHC",PR!$AT359,IF(H361="OLEAF",PR!$AU359,IF(H361="OCULUS",PR!$AV359,IF(H361="PACIFIC",PR!$AW359,IF(H361="PHAMATEX",PR!$AX359,IF(H361="PETHICS",PR!$AY359,IF(H361="PHILIPS",PR!$AZ359,IF(H361="RANBAXY",PR!$BA359,IF(H361="REALS",PR!$BB359,IF(H361="ROYAL",PR!$BC359,IF(H361="SAM",PR!$BD359,IF(H361="SEAGREEN",PR!$BE359,IF(H361="SKG",PR!$BF359,IF(H361="TAH",PR!$BG359,IF(H361="TAYLEK",PR!$BH359,IF(H361="TEMITA",PR!$BI359,IF(H361="THL",PR!$BJ359,IF(H361="UBASTIC",PR!$BK359,IF(H361="UNION",PR!$BL359,IF(H361="UNIQUE",PR!$BM359,IF(H361="VIXA",PR!$BN359,IF(H361="WWCV",PR!$BO359,IF(H361="ZOLON",PR!$BP359,"-"))))))))))))))))))))))))))))))))))))))))))))))))))))))))))))))))</f>
        <v>520</v>
      </c>
      <c r="H361" s="102" t="str">
        <f>EV!M465</f>
        <v>ALPHA</v>
      </c>
      <c r="I361" s="108" t="str">
        <f>IF(J361="ALPHA",PR!$E359,IF(J361="ASSENE",PR!$F359,IF(J361="BIOFEM",PR!$G359,IF(J361="BIOMED",PR!$H359,IF(J361="CHI",PR!$I359,IF(J361="CLARION",PR!$J359,IF(J361="CODIX",PR!$K359,IF(J361="COSMADE",PR!$L359,IF(J361="SANCON",PR!$M359,IF(J361="DEVON",PR!$N359,IF(J361="DORTEMAG",PR!$O359,IF(J361="DGF",PR!$P359,IF(J361="DYNAMIC",PR!$Q359,IF(J361="EMZOR",PR!$R359,IF(J361="EUMATT",PR!$S359,IF(J361="FIDSON",PR!$T359,IF(J361="FCGLOBAL",PR!$U359,IF(J361="GENEITH",PR!$V359,IF(J361="GINOS",PR!$W359,IF(J361="GSK",PR!$X359,IF(J361="GLOBORG",PR!$Y359,IF(J361="GOODNEWS",PR!$Z359,IF(J361="GREENLIFE",PR!$AA359,IF(J361="HLINE",PR!$AB359,IF(J361="ROTECH",PR!$AC359,IF(J361="ISN",PR!$AD359,IF(J361="JAWA",PR!$AE359,IF(J361="LAYO",PR!$AF359,IF(J361="LEADWAY",PR!$AG359,IF(J361="LHV",PR!$AH359,IF(J361="MANOLA",PR!$AI359,IF(J361="MARCSON",PR!$AJ359,IF(J361="M&amp;B",PR!$AK359,IF(J361="MTRUST",PR!$AL359,IF(J361="MWORLD",PR!$AM359,IF(J361="MEGA",PR!$AN359,IF(J361="MICRONOVA",PR!$AO359,IF(J361="MFLASH",PR!$AP359,IF(J361="MORISON",PR!$AQ359,IF(J361="NEMEL",PR!$AR359,IF(J361="NHP",PR!$AS359,IF(J361="NHC",PR!$AT359,IF(J361="OLEAF",PR!$AU359,IF(J361="OCULUS",PR!$AV359,IF(J361="PACIFIC",PR!$AW359,IF(J361="PHAMATEX",PR!$AX359,IF(J361="PETHICS",PR!$AY359,IF(J361="PHILIPS",PR!$AZ359,IF(J361="RANBAXY",PR!$BA359,IF(J361="REALS",PR!$BB359,IF(J361="ROYAL",PR!$BC359,IF(J361="SAM",PR!$BD359,IF(J361="SEAGREEN",PR!$BE359,IF(J361="SKG",PR!$BF359,IF(J361="TAH",PR!$BG359,IF(J361="TAYLEK",PR!$BH359,IF(J361="TEMITA",PR!$BI359,IF(J361="THL",PR!$BJ359,IF(J361="UBASTIC",PR!$BK359,IF(J361="UNION",PR!$BL359,IF(J361="UNIQUE",PR!$BM359,IF(J361="VIXA",PR!$BN359,IF(J361="WWCV",PR!$BO359,IF(J361="ZOLON",PR!$BP359,"-"))))))))))))))))))))))))))))))))))))))))))))))))))))))))))))))))</f>
        <v>-</v>
      </c>
      <c r="J361" s="102">
        <f>EV!N465</f>
        <v>0</v>
      </c>
      <c r="K361" s="433" t="s">
        <v>821</v>
      </c>
      <c r="L361" s="183">
        <f>IF(K361&gt;0,IF(K361="ALPHA",PR!$E359,IF(K361="ASSENE",PR!$F359,IF(K361="BIOFEM",PR!$G359,IF(K361="BIOMED",PR!$H359,IF(K361="CHI",PR!$I359,IF(K361="CLARION",PR!$J359,IF(K361="CODIX",PR!$K359,IF(K361="COSMADE",PR!$L359,IF(K361="SANCON",PR!$M359,IF(K361="DEVON",PR!$N359,IF(K361="DORTEMAG",PR!$O359,IF(K361="DGF",PR!$P359,IF(K361="DYNAMIC",PR!$Q359,IF(K361="EMZOR",PR!$R359,IF(K361="EUMATT",PR!$S359,IF(K361="FIDSON",PR!$T359,IF(K361="FCGLOBAL",PR!$U359,IF(K361="GENEITH",PR!$V359,IF(K361="GINOS",PR!$W359,IF(K361="GSK",PR!$X359,IF(K361="GLOBORG",PR!$Y359,IF(K361="GOODNEWS",PR!$Z359,IF(K361="GREENLIFE",PR!$AA359,IF(K361="HLINE",PR!$AB359,IF(K361="ROTECH",PR!$AC359,IF(K361="ISN",PR!$AD359,IF(K361="JAWA",PR!$AE359,IF(K361="LAYO",PR!$AF359,IF(K361="LEADWAY",PR!$AG359,IF(K361="LHV",PR!$AH359,IF(K361="MANOLA",PR!$AI359,IF(K361="MARCSON",PR!$AJ359,IF(K361="M&amp;B",PR!$AK359,IF(K361="MTRUST",PR!$AL359,IF(K361="MWORLD",PR!$AM359,IF(K361="MEGA",PR!$AN359,IF(K361="MICRONOVA",PR!$AO359,IF(K361="MFLASH",PR!$AP359,IF(K361="MORISON",PR!$AQ359,IF(K361="NEMEL",PR!$AR359,IF(K361="NHP",PR!$AS359,IF(K361="NHC",PR!$AT359,IF(K361="OLEAF",PR!$AU359,IF(K361="OCULUS",PR!$AV359,IF(K361="PACIFIC",PR!$AW359,IF(K361="PHAMATEX",PR!$AX359,IF(K361="PETHICS",PR!$AY359,IF(K361="PHILIPS",PR!$AZ359,IF(K361="RANBAXY",PR!$BA359,IF(K361="REALS",PR!$BB359,IF(K361="ROYAL",PR!$BC359,IF(K361="SAM",PR!$BD359,IF(K361="SEAGREEN",PR!$BE359,IF(K361="SKG",PR!$BF359,IF(K361="TAH",PR!$BG359,IF(K361="TAYLEK",PR!$BH359,IF(K361="TEMITA",PR!$BI359,IF(K361="THL",PR!$BJ359,IF(K361="UBASTIC",PR!$BK359,IF(K361="UNION",PR!$BL359,IF(K361="UNIQUE",PR!$BM359,IF(K361="VIXA",PR!$BN359,IF(K361="WWCV",PR!$BO359,IF(K361="ZOLON",PR!$BP359,"-")))))))))))))))))))))))))))))))))))))))))))))))))))))))))))))))))</f>
        <v>460</v>
      </c>
    </row>
    <row r="362" spans="1:12" ht="18.75" x14ac:dyDescent="0.3">
      <c r="A362" s="430">
        <f>PR!A360</f>
        <v>330</v>
      </c>
      <c r="B362" s="15" t="str">
        <f>PR!B360</f>
        <v>TOCOTRIENOLS</v>
      </c>
      <c r="C362" s="113">
        <f>PR!D360</f>
        <v>60</v>
      </c>
      <c r="D362" s="113">
        <f>PR!C360</f>
        <v>200</v>
      </c>
      <c r="E362" s="108" t="str">
        <f>IF(F362="ALPHA",PR!$E360,IF(F362="ASSENE",PR!$F360,IF(F362="BIOFEM",PR!$G360,IF(F362="BIOMED",PR!$H360,IF(F362="CHI",PR!$I360,IF(F362="CLARION",PR!$J360,IF(F362="CODIX",PR!$K360,IF(F362="COSMADE",PR!$L360,IF(F362="SANCON",PR!$M360,IF(F362="DEVON",PR!$N360,IF(F362="DORTEMAG",PR!$O360,IF(F362="DGF",PR!$P360,IF(F362="DYNAMIC",PR!$Q360,IF(F362="EMZOR",PR!$R360,IF(F362="EUMATT",PR!$S360,IF(F362="FIDSON",PR!$T360,IF(F362="FCGLOBAL",PR!$U360,IF(F362="GENEITH",PR!$V360,IF(F362="GINOS",PR!$W360,IF(F362="GSK",PR!$X360,IF(F362="GLOBORG",PR!$Y360,IF(F362="GOODNEWS",PR!$Z360,IF(F362="GREENLIFE",PR!$AA360,IF(F362="HLINE",PR!$AB360,IF(F362="ROTECH",PR!$AC360,IF(F362="ISN",PR!$AD360,IF(F362="JAWA",PR!$AE360,IF(F362="LAYO",PR!$AF360,IF(F362="LEADWAY",PR!$AG360,IF(F362="LHV",PR!$AH360,IF(F362="MANOLA",PR!$AI360,IF(F362="MARCSON",PR!$AJ360,IF(F362="M&amp;B",PR!$AK360,IF(F362="MTRUST",PR!$AL360,IF(F362="MWORLD",PR!$AM360,IF(F362="MEGA",PR!$AN360,IF(F362="MICRONOVA",PR!$AO360,IF(F362="MFLASH",PR!$AP360,IF(F362="MORISON",PR!$AQ360,IF(F362="NEMEL",PR!$AR360,IF(F362="NHP",PR!$AS360,IF(F362="NHC",PR!$AT360,IF(F362="OLEAF",PR!$AU360,IF(F362="OCULUS",PR!$AV360,IF(F362="PACIFIC",PR!$AW360,IF(F362="PHAMATEX",PR!$AX360,IF(F362="PETHICS",PR!$AY360,IF(F362="PHILIPS",PR!$AZ360,IF(F362="RANBAXY",PR!$BA360,IF(F362="REALS",PR!$BB360,IF(F362="ROYAL",PR!$BC360,IF(F362="SAM",PR!$BD360,IF(F362="SEAGREEN",PR!$BE360,IF(F362="SKG",PR!$BF360,IF(F362="TAH",PR!$BG360,IF(F362="TAYLEK",PR!$BH360,IF(F362="TEMITA",PR!$BI360,IF(F362="THL",PR!$BJ360,IF(F362="UBASTIC",PR!$BK360,IF(F362="UNION",PR!$BL360,IF(F362="UNIQUE",PR!$BM360,IF(F362="VIXA",PR!$BN360,IF(F362="WWCV",PR!$BO360,IF(F362="ZOLON",PR!$BP360,"-"))))))))))))))))))))))))))))))))))))))))))))))))))))))))))))))))</f>
        <v>-</v>
      </c>
      <c r="F362" s="102">
        <f>EV!L466</f>
        <v>0</v>
      </c>
      <c r="G362" s="108" t="str">
        <f>IF(H362="ALPHA",PR!$E360,IF(H362="ASSENE",PR!$F360,IF(H362="BIOFEM",PR!$G360,IF(H362="BIOMED",PR!$H360,IF(H362="CHI",PR!$I360,IF(H362="CLARION",PR!$J360,IF(H362="CODIX",PR!$K360,IF(H362="COSMADE",PR!$L360,IF(H362="SANCON",PR!$M360,IF(H362="DEVON",PR!$N360,IF(H362="DORTEMAG",PR!$O360,IF(H362="DGF",PR!$P360,IF(H362="DYNAMIC",PR!$Q360,IF(H362="EMZOR",PR!$R360,IF(H362="EUMATT",PR!$S360,IF(H362="FIDSON",PR!$T360,IF(H362="FCGLOBAL",PR!$U360,IF(H362="GENEITH",PR!$V360,IF(H362="GINOS",PR!$W360,IF(H362="GSK",PR!$X360,IF(H362="GLOBORG",PR!$Y360,IF(H362="GOODNEWS",PR!$Z360,IF(H362="GREENLIFE",PR!$AA360,IF(H362="HLINE",PR!$AB360,IF(H362="ROTECH",PR!$AC360,IF(H362="ISN",PR!$AD360,IF(H362="JAWA",PR!$AE360,IF(H362="LAYO",PR!$AF360,IF(H362="LEADWAY",PR!$AG360,IF(H362="LHV",PR!$AH360,IF(H362="MANOLA",PR!$AI360,IF(H362="MARCSON",PR!$AJ360,IF(H362="M&amp;B",PR!$AK360,IF(H362="MTRUST",PR!$AL360,IF(H362="MWORLD",PR!$AM360,IF(H362="MEGA",PR!$AN360,IF(H362="MICRONOVA",PR!$AO360,IF(H362="MFLASH",PR!$AP360,IF(H362="MORISON",PR!$AQ360,IF(H362="NEMEL",PR!$AR360,IF(H362="NHP",PR!$AS360,IF(H362="NHC",PR!$AT360,IF(H362="OLEAF",PR!$AU360,IF(H362="OCULUS",PR!$AV360,IF(H362="PACIFIC",PR!$AW360,IF(H362="PHAMATEX",PR!$AX360,IF(H362="PETHICS",PR!$AY360,IF(H362="PHILIPS",PR!$AZ360,IF(H362="RANBAXY",PR!$BA360,IF(H362="REALS",PR!$BB360,IF(H362="ROYAL",PR!$BC360,IF(H362="SAM",PR!$BD360,IF(H362="SEAGREEN",PR!$BE360,IF(H362="SKG",PR!$BF360,IF(H362="TAH",PR!$BG360,IF(H362="TAYLEK",PR!$BH360,IF(H362="TEMITA",PR!$BI360,IF(H362="THL",PR!$BJ360,IF(H362="UBASTIC",PR!$BK360,IF(H362="UNION",PR!$BL360,IF(H362="UNIQUE",PR!$BM360,IF(H362="VIXA",PR!$BN360,IF(H362="WWCV",PR!$BO360,IF(H362="ZOLON",PR!$BP360,"-"))))))))))))))))))))))))))))))))))))))))))))))))))))))))))))))))</f>
        <v>-</v>
      </c>
      <c r="H362" s="102">
        <f>EV!M466</f>
        <v>0</v>
      </c>
      <c r="I362" s="108" t="str">
        <f>IF(J362="ALPHA",PR!$E360,IF(J362="ASSENE",PR!$F360,IF(J362="BIOFEM",PR!$G360,IF(J362="BIOMED",PR!$H360,IF(J362="CHI",PR!$I360,IF(J362="CLARION",PR!$J360,IF(J362="CODIX",PR!$K360,IF(J362="COSMADE",PR!$L360,IF(J362="SANCON",PR!$M360,IF(J362="DEVON",PR!$N360,IF(J362="DORTEMAG",PR!$O360,IF(J362="DGF",PR!$P360,IF(J362="DYNAMIC",PR!$Q360,IF(J362="EMZOR",PR!$R360,IF(J362="EUMATT",PR!$S360,IF(J362="FIDSON",PR!$T360,IF(J362="FCGLOBAL",PR!$U360,IF(J362="GENEITH",PR!$V360,IF(J362="GINOS",PR!$W360,IF(J362="GSK",PR!$X360,IF(J362="GLOBORG",PR!$Y360,IF(J362="GOODNEWS",PR!$Z360,IF(J362="GREENLIFE",PR!$AA360,IF(J362="HLINE",PR!$AB360,IF(J362="ROTECH",PR!$AC360,IF(J362="ISN",PR!$AD360,IF(J362="JAWA",PR!$AE360,IF(J362="LAYO",PR!$AF360,IF(J362="LEADWAY",PR!$AG360,IF(J362="LHV",PR!$AH360,IF(J362="MANOLA",PR!$AI360,IF(J362="MARCSON",PR!$AJ360,IF(J362="M&amp;B",PR!$AK360,IF(J362="MTRUST",PR!$AL360,IF(J362="MWORLD",PR!$AM360,IF(J362="MEGA",PR!$AN360,IF(J362="MICRONOVA",PR!$AO360,IF(J362="MFLASH",PR!$AP360,IF(J362="MORISON",PR!$AQ360,IF(J362="NEMEL",PR!$AR360,IF(J362="NHP",PR!$AS360,IF(J362="NHC",PR!$AT360,IF(J362="OLEAF",PR!$AU360,IF(J362="OCULUS",PR!$AV360,IF(J362="PACIFIC",PR!$AW360,IF(J362="PHAMATEX",PR!$AX360,IF(J362="PETHICS",PR!$AY360,IF(J362="PHILIPS",PR!$AZ360,IF(J362="RANBAXY",PR!$BA360,IF(J362="REALS",PR!$BB360,IF(J362="ROYAL",PR!$BC360,IF(J362="SAM",PR!$BD360,IF(J362="SEAGREEN",PR!$BE360,IF(J362="SKG",PR!$BF360,IF(J362="TAH",PR!$BG360,IF(J362="TAYLEK",PR!$BH360,IF(J362="TEMITA",PR!$BI360,IF(J362="THL",PR!$BJ360,IF(J362="UBASTIC",PR!$BK360,IF(J362="UNION",PR!$BL360,IF(J362="UNIQUE",PR!$BM360,IF(J362="VIXA",PR!$BN360,IF(J362="WWCV",PR!$BO360,IF(J362="ZOLON",PR!$BP360,"-"))))))))))))))))))))))))))))))))))))))))))))))))))))))))))))))))</f>
        <v>-</v>
      </c>
      <c r="J362" s="102">
        <f>EV!N466</f>
        <v>0</v>
      </c>
      <c r="K362" s="433"/>
      <c r="L362" s="183" t="b">
        <f>IF(K362&gt;0,IF(K362="ALPHA",PR!$E360,IF(K362="ASSENE",PR!$F360,IF(K362="BIOFEM",PR!$G360,IF(K362="BIOMED",PR!$H360,IF(K362="CHI",PR!$I360,IF(K362="CLARION",PR!$J360,IF(K362="CODIX",PR!$K360,IF(K362="COSMADE",PR!$L360,IF(K362="SANCON",PR!$M360,IF(K362="DEVON",PR!$N360,IF(K362="DORTEMAG",PR!$O360,IF(K362="DGF",PR!$P360,IF(K362="DYNAMIC",PR!$Q360,IF(K362="EMZOR",PR!$R360,IF(K362="EUMATT",PR!$S360,IF(K362="FIDSON",PR!$T360,IF(K362="FCGLOBAL",PR!$U360,IF(K362="GENEITH",PR!$V360,IF(K362="GINOS",PR!$W360,IF(K362="GSK",PR!$X360,IF(K362="GLOBORG",PR!$Y360,IF(K362="GOODNEWS",PR!$Z360,IF(K362="GREENLIFE",PR!$AA360,IF(K362="HLINE",PR!$AB360,IF(K362="ROTECH",PR!$AC360,IF(K362="ISN",PR!$AD360,IF(K362="JAWA",PR!$AE360,IF(K362="LAYO",PR!$AF360,IF(K362="LEADWAY",PR!$AG360,IF(K362="LHV",PR!$AH360,IF(K362="MANOLA",PR!$AI360,IF(K362="MARCSON",PR!$AJ360,IF(K362="M&amp;B",PR!$AK360,IF(K362="MTRUST",PR!$AL360,IF(K362="MWORLD",PR!$AM360,IF(K362="MEGA",PR!$AN360,IF(K362="MICRONOVA",PR!$AO360,IF(K362="MFLASH",PR!$AP360,IF(K362="MORISON",PR!$AQ360,IF(K362="NEMEL",PR!$AR360,IF(K362="NHP",PR!$AS360,IF(K362="NHC",PR!$AT360,IF(K362="OLEAF",PR!$AU360,IF(K362="OCULUS",PR!$AV360,IF(K362="PACIFIC",PR!$AW360,IF(K362="PHAMATEX",PR!$AX360,IF(K362="PETHICS",PR!$AY360,IF(K362="PHILIPS",PR!$AZ360,IF(K362="RANBAXY",PR!$BA360,IF(K362="REALS",PR!$BB360,IF(K362="ROYAL",PR!$BC360,IF(K362="SAM",PR!$BD360,IF(K362="SEAGREEN",PR!$BE360,IF(K362="SKG",PR!$BF360,IF(K362="TAH",PR!$BG360,IF(K362="TAYLEK",PR!$BH360,IF(K362="TEMITA",PR!$BI360,IF(K362="THL",PR!$BJ360,IF(K362="UBASTIC",PR!$BK360,IF(K362="UNION",PR!$BL360,IF(K362="UNIQUE",PR!$BM360,IF(K362="VIXA",PR!$BN360,IF(K362="WWCV",PR!$BO360,IF(K362="ZOLON",PR!$BP360,"-")))))))))))))))))))))))))))))))))))))))))))))))))))))))))))))))))</f>
        <v>0</v>
      </c>
    </row>
    <row r="363" spans="1:12" ht="18.75" x14ac:dyDescent="0.3">
      <c r="A363" s="430">
        <f>PR!A361</f>
        <v>331</v>
      </c>
      <c r="B363" s="15" t="str">
        <f>PR!B361</f>
        <v>TRANEXAMIC ACID 500MG CAP</v>
      </c>
      <c r="C363" s="113">
        <f>PR!D361</f>
        <v>20</v>
      </c>
      <c r="D363" s="113">
        <f>PR!C361</f>
        <v>100</v>
      </c>
      <c r="E363" s="108">
        <f>IF(F363="ALPHA",PR!$E361,IF(F363="ASSENE",PR!$F361,IF(F363="BIOFEM",PR!$G361,IF(F363="BIOMED",PR!$H361,IF(F363="CHI",PR!$I361,IF(F363="CLARION",PR!$J361,IF(F363="CODIX",PR!$K361,IF(F363="COSMADE",PR!$L361,IF(F363="SANCON",PR!$M361,IF(F363="DEVON",PR!$N361,IF(F363="DORTEMAG",PR!$O361,IF(F363="DGF",PR!$P361,IF(F363="DYNAMIC",PR!$Q361,IF(F363="EMZOR",PR!$R361,IF(F363="EUMATT",PR!$S361,IF(F363="FIDSON",PR!$T361,IF(F363="FCGLOBAL",PR!$U361,IF(F363="GENEITH",PR!$V361,IF(F363="GINOS",PR!$W361,IF(F363="GSK",PR!$X361,IF(F363="GLOBORG",PR!$Y361,IF(F363="GOODNEWS",PR!$Z361,IF(F363="GREENLIFE",PR!$AA361,IF(F363="HLINE",PR!$AB361,IF(F363="ROTECH",PR!$AC361,IF(F363="ISN",PR!$AD361,IF(F363="JAWA",PR!$AE361,IF(F363="LAYO",PR!$AF361,IF(F363="LEADWAY",PR!$AG361,IF(F363="LHV",PR!$AH361,IF(F363="MANOLA",PR!$AI361,IF(F363="MARCSON",PR!$AJ361,IF(F363="M&amp;B",PR!$AK361,IF(F363="MTRUST",PR!$AL361,IF(F363="MWORLD",PR!$AM361,IF(F363="MEGA",PR!$AN361,IF(F363="MICRONOVA",PR!$AO361,IF(F363="MFLASH",PR!$AP361,IF(F363="MORISON",PR!$AQ361,IF(F363="NEMEL",PR!$AR361,IF(F363="NHP",PR!$AS361,IF(F363="NHC",PR!$AT361,IF(F363="OLEAF",PR!$AU361,IF(F363="OCULUS",PR!$AV361,IF(F363="PACIFIC",PR!$AW361,IF(F363="PHAMATEX",PR!$AX361,IF(F363="PETHICS",PR!$AY361,IF(F363="PHILIPS",PR!$AZ361,IF(F363="RANBAXY",PR!$BA361,IF(F363="REALS",PR!$BB361,IF(F363="ROYAL",PR!$BC361,IF(F363="SAM",PR!$BD361,IF(F363="SEAGREEN",PR!$BE361,IF(F363="SKG",PR!$BF361,IF(F363="TAH",PR!$BG361,IF(F363="TAYLEK",PR!$BH361,IF(F363="TEMITA",PR!$BI361,IF(F363="THL",PR!$BJ361,IF(F363="UBASTIC",PR!$BK361,IF(F363="UNION",PR!$BL361,IF(F363="UNIQUE",PR!$BM361,IF(F363="VIXA",PR!$BN361,IF(F363="WWCV",PR!$BO361,IF(F363="ZOLON",PR!$BP361,"-"))))))))))))))))))))))))))))))))))))))))))))))))))))))))))))))))</f>
        <v>1666.6666666666667</v>
      </c>
      <c r="F363" s="102" t="str">
        <f>EV!L467</f>
        <v>HLINE</v>
      </c>
      <c r="G363" s="108">
        <f>IF(H363="ALPHA",PR!$E361,IF(H363="ASSENE",PR!$F361,IF(H363="BIOFEM",PR!$G361,IF(H363="BIOMED",PR!$H361,IF(H363="CHI",PR!$I361,IF(H363="CLARION",PR!$J361,IF(H363="CODIX",PR!$K361,IF(H363="COSMADE",PR!$L361,IF(H363="SANCON",PR!$M361,IF(H363="DEVON",PR!$N361,IF(H363="DORTEMAG",PR!$O361,IF(H363="DGF",PR!$P361,IF(H363="DYNAMIC",PR!$Q361,IF(H363="EMZOR",PR!$R361,IF(H363="EUMATT",PR!$S361,IF(H363="FIDSON",PR!$T361,IF(H363="FCGLOBAL",PR!$U361,IF(H363="GENEITH",PR!$V361,IF(H363="GINOS",PR!$W361,IF(H363="GSK",PR!$X361,IF(H363="GLOBORG",PR!$Y361,IF(H363="GOODNEWS",PR!$Z361,IF(H363="GREENLIFE",PR!$AA361,IF(H363="HLINE",PR!$AB361,IF(H363="ROTECH",PR!$AC361,IF(H363="ISN",PR!$AD361,IF(H363="JAWA",PR!$AE361,IF(H363="LAYO",PR!$AF361,IF(H363="LEADWAY",PR!$AG361,IF(H363="LHV",PR!$AH361,IF(H363="MANOLA",PR!$AI361,IF(H363="MARCSON",PR!$AJ361,IF(H363="M&amp;B",PR!$AK361,IF(H363="MTRUST",PR!$AL361,IF(H363="MWORLD",PR!$AM361,IF(H363="MEGA",PR!$AN361,IF(H363="MICRONOVA",PR!$AO361,IF(H363="MFLASH",PR!$AP361,IF(H363="MORISON",PR!$AQ361,IF(H363="NEMEL",PR!$AR361,IF(H363="NHP",PR!$AS361,IF(H363="NHC",PR!$AT361,IF(H363="OLEAF",PR!$AU361,IF(H363="OCULUS",PR!$AV361,IF(H363="PACIFIC",PR!$AW361,IF(H363="PHAMATEX",PR!$AX361,IF(H363="PETHICS",PR!$AY361,IF(H363="PHILIPS",PR!$AZ361,IF(H363="RANBAXY",PR!$BA361,IF(H363="REALS",PR!$BB361,IF(H363="ROYAL",PR!$BC361,IF(H363="SAM",PR!$BD361,IF(H363="SEAGREEN",PR!$BE361,IF(H363="SKG",PR!$BF361,IF(H363="TAH",PR!$BG361,IF(H363="TAYLEK",PR!$BH361,IF(H363="TEMITA",PR!$BI361,IF(H363="THL",PR!$BJ361,IF(H363="UBASTIC",PR!$BK361,IF(H363="UNION",PR!$BL361,IF(H363="UNIQUE",PR!$BM361,IF(H363="VIXA",PR!$BN361,IF(H363="WWCV",PR!$BO361,IF(H363="ZOLON",PR!$BP361,"-"))))))))))))))))))))))))))))))))))))))))))))))))))))))))))))))))</f>
        <v>2100</v>
      </c>
      <c r="H363" s="102" t="str">
        <f>EV!M467</f>
        <v>EUMATT</v>
      </c>
      <c r="I363" s="108" t="str">
        <f>IF(J363="ALPHA",PR!$E361,IF(J363="ASSENE",PR!$F361,IF(J363="BIOFEM",PR!$G361,IF(J363="BIOMED",PR!$H361,IF(J363="CHI",PR!$I361,IF(J363="CLARION",PR!$J361,IF(J363="CODIX",PR!$K361,IF(J363="COSMADE",PR!$L361,IF(J363="SANCON",PR!$M361,IF(J363="DEVON",PR!$N361,IF(J363="DORTEMAG",PR!$O361,IF(J363="DGF",PR!$P361,IF(J363="DYNAMIC",PR!$Q361,IF(J363="EMZOR",PR!$R361,IF(J363="EUMATT",PR!$S361,IF(J363="FIDSON",PR!$T361,IF(J363="FCGLOBAL",PR!$U361,IF(J363="GENEITH",PR!$V361,IF(J363="GINOS",PR!$W361,IF(J363="GSK",PR!$X361,IF(J363="GLOBORG",PR!$Y361,IF(J363="GOODNEWS",PR!$Z361,IF(J363="GREENLIFE",PR!$AA361,IF(J363="HLINE",PR!$AB361,IF(J363="ROTECH",PR!$AC361,IF(J363="ISN",PR!$AD361,IF(J363="JAWA",PR!$AE361,IF(J363="LAYO",PR!$AF361,IF(J363="LEADWAY",PR!$AG361,IF(J363="LHV",PR!$AH361,IF(J363="MANOLA",PR!$AI361,IF(J363="MARCSON",PR!$AJ361,IF(J363="M&amp;B",PR!$AK361,IF(J363="MTRUST",PR!$AL361,IF(J363="MWORLD",PR!$AM361,IF(J363="MEGA",PR!$AN361,IF(J363="MICRONOVA",PR!$AO361,IF(J363="MFLASH",PR!$AP361,IF(J363="MORISON",PR!$AQ361,IF(J363="NEMEL",PR!$AR361,IF(J363="NHP",PR!$AS361,IF(J363="NHC",PR!$AT361,IF(J363="OLEAF",PR!$AU361,IF(J363="OCULUS",PR!$AV361,IF(J363="PACIFIC",PR!$AW361,IF(J363="PHAMATEX",PR!$AX361,IF(J363="PETHICS",PR!$AY361,IF(J363="PHILIPS",PR!$AZ361,IF(J363="RANBAXY",PR!$BA361,IF(J363="REALS",PR!$BB361,IF(J363="ROYAL",PR!$BC361,IF(J363="SAM",PR!$BD361,IF(J363="SEAGREEN",PR!$BE361,IF(J363="SKG",PR!$BF361,IF(J363="TAH",PR!$BG361,IF(J363="TAYLEK",PR!$BH361,IF(J363="TEMITA",PR!$BI361,IF(J363="THL",PR!$BJ361,IF(J363="UBASTIC",PR!$BK361,IF(J363="UNION",PR!$BL361,IF(J363="UNIQUE",PR!$BM361,IF(J363="VIXA",PR!$BN361,IF(J363="WWCV",PR!$BO361,IF(J363="ZOLON",PR!$BP361,"-"))))))))))))))))))))))))))))))))))))))))))))))))))))))))))))))))</f>
        <v>-</v>
      </c>
      <c r="J363" s="102">
        <f>EV!N467</f>
        <v>0</v>
      </c>
      <c r="K363" s="433" t="s">
        <v>1243</v>
      </c>
      <c r="L363" s="183">
        <f>IF(K363&gt;0,IF(K363="ALPHA",PR!$E361,IF(K363="ASSENE",PR!$F361,IF(K363="BIOFEM",PR!$G361,IF(K363="BIOMED",PR!$H361,IF(K363="CHI",PR!$I361,IF(K363="CLARION",PR!$J361,IF(K363="CODIX",PR!$K361,IF(K363="COSMADE",PR!$L361,IF(K363="SANCON",PR!$M361,IF(K363="DEVON",PR!$N361,IF(K363="DORTEMAG",PR!$O361,IF(K363="DGF",PR!$P361,IF(K363="DYNAMIC",PR!$Q361,IF(K363="EMZOR",PR!$R361,IF(K363="EUMATT",PR!$S361,IF(K363="FIDSON",PR!$T361,IF(K363="FCGLOBAL",PR!$U361,IF(K363="GENEITH",PR!$V361,IF(K363="GINOS",PR!$W361,IF(K363="GSK",PR!$X361,IF(K363="GLOBORG",PR!$Y361,IF(K363="GOODNEWS",PR!$Z361,IF(K363="GREENLIFE",PR!$AA361,IF(K363="HLINE",PR!$AB361,IF(K363="ROTECH",PR!$AC361,IF(K363="ISN",PR!$AD361,IF(K363="JAWA",PR!$AE361,IF(K363="LAYO",PR!$AF361,IF(K363="LEADWAY",PR!$AG361,IF(K363="LHV",PR!$AH361,IF(K363="MANOLA",PR!$AI361,IF(K363="MARCSON",PR!$AJ361,IF(K363="M&amp;B",PR!$AK361,IF(K363="MTRUST",PR!$AL361,IF(K363="MWORLD",PR!$AM361,IF(K363="MEGA",PR!$AN361,IF(K363="MICRONOVA",PR!$AO361,IF(K363="MFLASH",PR!$AP361,IF(K363="MORISON",PR!$AQ361,IF(K363="NEMEL",PR!$AR361,IF(K363="NHP",PR!$AS361,IF(K363="NHC",PR!$AT361,IF(K363="OLEAF",PR!$AU361,IF(K363="OCULUS",PR!$AV361,IF(K363="PACIFIC",PR!$AW361,IF(K363="PHAMATEX",PR!$AX361,IF(K363="PETHICS",PR!$AY361,IF(K363="PHILIPS",PR!$AZ361,IF(K363="RANBAXY",PR!$BA361,IF(K363="REALS",PR!$BB361,IF(K363="ROYAL",PR!$BC361,IF(K363="SAM",PR!$BD361,IF(K363="SEAGREEN",PR!$BE361,IF(K363="SKG",PR!$BF361,IF(K363="TAH",PR!$BG361,IF(K363="TAYLEK",PR!$BH361,IF(K363="TEMITA",PR!$BI361,IF(K363="THL",PR!$BJ361,IF(K363="UBASTIC",PR!$BK361,IF(K363="UNION",PR!$BL361,IF(K363="UNIQUE",PR!$BM361,IF(K363="VIXA",PR!$BN361,IF(K363="WWCV",PR!$BO361,IF(K363="ZOLON",PR!$BP361,"-")))))))))))))))))))))))))))))))))))))))))))))))))))))))))))))))))</f>
        <v>1666.6666666666667</v>
      </c>
    </row>
    <row r="364" spans="1:12" ht="18.75" x14ac:dyDescent="0.3">
      <c r="A364" s="430">
        <f>PR!A362</f>
        <v>332</v>
      </c>
      <c r="B364" s="15" t="str">
        <f>PR!B362</f>
        <v>TRANEXAMIC ACID INJ</v>
      </c>
      <c r="C364" s="113">
        <f>PR!D362</f>
        <v>5</v>
      </c>
      <c r="D364" s="113">
        <f>PR!C362</f>
        <v>320</v>
      </c>
      <c r="E364" s="108">
        <f>IF(F364="ALPHA",PR!$E362,IF(F364="ASSENE",PR!$F362,IF(F364="BIOFEM",PR!$G362,IF(F364="BIOMED",PR!$H362,IF(F364="CHI",PR!$I362,IF(F364="CLARION",PR!$J362,IF(F364="CODIX",PR!$K362,IF(F364="COSMADE",PR!$L362,IF(F364="SANCON",PR!$M362,IF(F364="DEVON",PR!$N362,IF(F364="DORTEMAG",PR!$O362,IF(F364="DGF",PR!$P362,IF(F364="DYNAMIC",PR!$Q362,IF(F364="EMZOR",PR!$R362,IF(F364="EUMATT",PR!$S362,IF(F364="FIDSON",PR!$T362,IF(F364="FCGLOBAL",PR!$U362,IF(F364="GENEITH",PR!$V362,IF(F364="GINOS",PR!$W362,IF(F364="GSK",PR!$X362,IF(F364="GLOBORG",PR!$Y362,IF(F364="GOODNEWS",PR!$Z362,IF(F364="GREENLIFE",PR!$AA362,IF(F364="HLINE",PR!$AB362,IF(F364="ROTECH",PR!$AC362,IF(F364="ISN",PR!$AD362,IF(F364="JAWA",PR!$AE362,IF(F364="LAYO",PR!$AF362,IF(F364="LEADWAY",PR!$AG362,IF(F364="LHV",PR!$AH362,IF(F364="MANOLA",PR!$AI362,IF(F364="MARCSON",PR!$AJ362,IF(F364="M&amp;B",PR!$AK362,IF(F364="MTRUST",PR!$AL362,IF(F364="MWORLD",PR!$AM362,IF(F364="MEGA",PR!$AN362,IF(F364="MICRONOVA",PR!$AO362,IF(F364="MFLASH",PR!$AP362,IF(F364="MORISON",PR!$AQ362,IF(F364="NEMEL",PR!$AR362,IF(F364="NHP",PR!$AS362,IF(F364="NHC",PR!$AT362,IF(F364="OLEAF",PR!$AU362,IF(F364="OCULUS",PR!$AV362,IF(F364="PACIFIC",PR!$AW362,IF(F364="PHAMATEX",PR!$AX362,IF(F364="PETHICS",PR!$AY362,IF(F364="PHILIPS",PR!$AZ362,IF(F364="RANBAXY",PR!$BA362,IF(F364="REALS",PR!$BB362,IF(F364="ROYAL",PR!$BC362,IF(F364="SAM",PR!$BD362,IF(F364="SEAGREEN",PR!$BE362,IF(F364="SKG",PR!$BF362,IF(F364="TAH",PR!$BG362,IF(F364="TAYLEK",PR!$BH362,IF(F364="TEMITA",PR!$BI362,IF(F364="THL",PR!$BJ362,IF(F364="UBASTIC",PR!$BK362,IF(F364="UNION",PR!$BL362,IF(F364="UNIQUE",PR!$BM362,IF(F364="VIXA",PR!$BN362,IF(F364="WWCV",PR!$BO362,IF(F364="ZOLON",PR!$BP362,"-"))))))))))))))))))))))))))))))))))))))))))))))))))))))))))))))))</f>
        <v>1380</v>
      </c>
      <c r="F364" s="102" t="str">
        <f>EV!L468</f>
        <v>EUMATT</v>
      </c>
      <c r="G364" s="108" t="str">
        <f>IF(H364="ALPHA",PR!$E362,IF(H364="ASSENE",PR!$F362,IF(H364="BIOFEM",PR!$G362,IF(H364="BIOMED",PR!$H362,IF(H364="CHI",PR!$I362,IF(H364="CLARION",PR!$J362,IF(H364="CODIX",PR!$K362,IF(H364="COSMADE",PR!$L362,IF(H364="SANCON",PR!$M362,IF(H364="DEVON",PR!$N362,IF(H364="DORTEMAG",PR!$O362,IF(H364="DGF",PR!$P362,IF(H364="DYNAMIC",PR!$Q362,IF(H364="EMZOR",PR!$R362,IF(H364="EUMATT",PR!$S362,IF(H364="FIDSON",PR!$T362,IF(H364="FCGLOBAL",PR!$U362,IF(H364="GENEITH",PR!$V362,IF(H364="GINOS",PR!$W362,IF(H364="GSK",PR!$X362,IF(H364="GLOBORG",PR!$Y362,IF(H364="GOODNEWS",PR!$Z362,IF(H364="GREENLIFE",PR!$AA362,IF(H364="HLINE",PR!$AB362,IF(H364="ROTECH",PR!$AC362,IF(H364="ISN",PR!$AD362,IF(H364="JAWA",PR!$AE362,IF(H364="LAYO",PR!$AF362,IF(H364="LEADWAY",PR!$AG362,IF(H364="LHV",PR!$AH362,IF(H364="MANOLA",PR!$AI362,IF(H364="MARCSON",PR!$AJ362,IF(H364="M&amp;B",PR!$AK362,IF(H364="MTRUST",PR!$AL362,IF(H364="MWORLD",PR!$AM362,IF(H364="MEGA",PR!$AN362,IF(H364="MICRONOVA",PR!$AO362,IF(H364="MFLASH",PR!$AP362,IF(H364="MORISON",PR!$AQ362,IF(H364="NEMEL",PR!$AR362,IF(H364="NHP",PR!$AS362,IF(H364="NHC",PR!$AT362,IF(H364="OLEAF",PR!$AU362,IF(H364="OCULUS",PR!$AV362,IF(H364="PACIFIC",PR!$AW362,IF(H364="PHAMATEX",PR!$AX362,IF(H364="PETHICS",PR!$AY362,IF(H364="PHILIPS",PR!$AZ362,IF(H364="RANBAXY",PR!$BA362,IF(H364="REALS",PR!$BB362,IF(H364="ROYAL",PR!$BC362,IF(H364="SAM",PR!$BD362,IF(H364="SEAGREEN",PR!$BE362,IF(H364="SKG",PR!$BF362,IF(H364="TAH",PR!$BG362,IF(H364="TAYLEK",PR!$BH362,IF(H364="TEMITA",PR!$BI362,IF(H364="THL",PR!$BJ362,IF(H364="UBASTIC",PR!$BK362,IF(H364="UNION",PR!$BL362,IF(H364="UNIQUE",PR!$BM362,IF(H364="VIXA",PR!$BN362,IF(H364="WWCV",PR!$BO362,IF(H364="ZOLON",PR!$BP362,"-"))))))))))))))))))))))))))))))))))))))))))))))))))))))))))))))))</f>
        <v>-</v>
      </c>
      <c r="H364" s="102">
        <f>EV!M468</f>
        <v>0</v>
      </c>
      <c r="I364" s="108" t="str">
        <f>IF(J364="ALPHA",PR!$E362,IF(J364="ASSENE",PR!$F362,IF(J364="BIOFEM",PR!$G362,IF(J364="BIOMED",PR!$H362,IF(J364="CHI",PR!$I362,IF(J364="CLARION",PR!$J362,IF(J364="CODIX",PR!$K362,IF(J364="COSMADE",PR!$L362,IF(J364="SANCON",PR!$M362,IF(J364="DEVON",PR!$N362,IF(J364="DORTEMAG",PR!$O362,IF(J364="DGF",PR!$P362,IF(J364="DYNAMIC",PR!$Q362,IF(J364="EMZOR",PR!$R362,IF(J364="EUMATT",PR!$S362,IF(J364="FIDSON",PR!$T362,IF(J364="FCGLOBAL",PR!$U362,IF(J364="GENEITH",PR!$V362,IF(J364="GINOS",PR!$W362,IF(J364="GSK",PR!$X362,IF(J364="GLOBORG",PR!$Y362,IF(J364="GOODNEWS",PR!$Z362,IF(J364="GREENLIFE",PR!$AA362,IF(J364="HLINE",PR!$AB362,IF(J364="ROTECH",PR!$AC362,IF(J364="ISN",PR!$AD362,IF(J364="JAWA",PR!$AE362,IF(J364="LAYO",PR!$AF362,IF(J364="LEADWAY",PR!$AG362,IF(J364="LHV",PR!$AH362,IF(J364="MANOLA",PR!$AI362,IF(J364="MARCSON",PR!$AJ362,IF(J364="M&amp;B",PR!$AK362,IF(J364="MTRUST",PR!$AL362,IF(J364="MWORLD",PR!$AM362,IF(J364="MEGA",PR!$AN362,IF(J364="MICRONOVA",PR!$AO362,IF(J364="MFLASH",PR!$AP362,IF(J364="MORISON",PR!$AQ362,IF(J364="NEMEL",PR!$AR362,IF(J364="NHP",PR!$AS362,IF(J364="NHC",PR!$AT362,IF(J364="OLEAF",PR!$AU362,IF(J364="OCULUS",PR!$AV362,IF(J364="PACIFIC",PR!$AW362,IF(J364="PHAMATEX",PR!$AX362,IF(J364="PETHICS",PR!$AY362,IF(J364="PHILIPS",PR!$AZ362,IF(J364="RANBAXY",PR!$BA362,IF(J364="REALS",PR!$BB362,IF(J364="ROYAL",PR!$BC362,IF(J364="SAM",PR!$BD362,IF(J364="SEAGREEN",PR!$BE362,IF(J364="SKG",PR!$BF362,IF(J364="TAH",PR!$BG362,IF(J364="TAYLEK",PR!$BH362,IF(J364="TEMITA",PR!$BI362,IF(J364="THL",PR!$BJ362,IF(J364="UBASTIC",PR!$BK362,IF(J364="UNION",PR!$BL362,IF(J364="UNIQUE",PR!$BM362,IF(J364="VIXA",PR!$BN362,IF(J364="WWCV",PR!$BO362,IF(J364="ZOLON",PR!$BP362,"-"))))))))))))))))))))))))))))))))))))))))))))))))))))))))))))))))</f>
        <v>-</v>
      </c>
      <c r="J364" s="102">
        <f>EV!N468</f>
        <v>0</v>
      </c>
      <c r="K364" s="433" t="s">
        <v>821</v>
      </c>
      <c r="L364" s="183">
        <f>IF(K364&gt;0,IF(K364="ALPHA",PR!$E362,IF(K364="ASSENE",PR!$F362,IF(K364="BIOFEM",PR!$G362,IF(K364="BIOMED",PR!$H362,IF(K364="CHI",PR!$I362,IF(K364="CLARION",PR!$J362,IF(K364="CODIX",PR!$K362,IF(K364="COSMADE",PR!$L362,IF(K364="SANCON",PR!$M362,IF(K364="DEVON",PR!$N362,IF(K364="DORTEMAG",PR!$O362,IF(K364="DGF",PR!$P362,IF(K364="DYNAMIC",PR!$Q362,IF(K364="EMZOR",PR!$R362,IF(K364="EUMATT",PR!$S362,IF(K364="FIDSON",PR!$T362,IF(K364="FCGLOBAL",PR!$U362,IF(K364="GENEITH",PR!$V362,IF(K364="GINOS",PR!$W362,IF(K364="GSK",PR!$X362,IF(K364="GLOBORG",PR!$Y362,IF(K364="GOODNEWS",PR!$Z362,IF(K364="GREENLIFE",PR!$AA362,IF(K364="HLINE",PR!$AB362,IF(K364="ROTECH",PR!$AC362,IF(K364="ISN",PR!$AD362,IF(K364="JAWA",PR!$AE362,IF(K364="LAYO",PR!$AF362,IF(K364="LEADWAY",PR!$AG362,IF(K364="LHV",PR!$AH362,IF(K364="MANOLA",PR!$AI362,IF(K364="MARCSON",PR!$AJ362,IF(K364="M&amp;B",PR!$AK362,IF(K364="MTRUST",PR!$AL362,IF(K364="MWORLD",PR!$AM362,IF(K364="MEGA",PR!$AN362,IF(K364="MICRONOVA",PR!$AO362,IF(K364="MFLASH",PR!$AP362,IF(K364="MORISON",PR!$AQ362,IF(K364="NEMEL",PR!$AR362,IF(K364="NHP",PR!$AS362,IF(K364="NHC",PR!$AT362,IF(K364="OLEAF",PR!$AU362,IF(K364="OCULUS",PR!$AV362,IF(K364="PACIFIC",PR!$AW362,IF(K364="PHAMATEX",PR!$AX362,IF(K364="PETHICS",PR!$AY362,IF(K364="PHILIPS",PR!$AZ362,IF(K364="RANBAXY",PR!$BA362,IF(K364="REALS",PR!$BB362,IF(K364="ROYAL",PR!$BC362,IF(K364="SAM",PR!$BD362,IF(K364="SEAGREEN",PR!$BE362,IF(K364="SKG",PR!$BF362,IF(K364="TAH",PR!$BG362,IF(K364="TAYLEK",PR!$BH362,IF(K364="TEMITA",PR!$BI362,IF(K364="THL",PR!$BJ362,IF(K364="UBASTIC",PR!$BK362,IF(K364="UNION",PR!$BL362,IF(K364="UNIQUE",PR!$BM362,IF(K364="VIXA",PR!$BN362,IF(K364="WWCV",PR!$BO362,IF(K364="ZOLON",PR!$BP362,"-")))))))))))))))))))))))))))))))))))))))))))))))))))))))))))))))))</f>
        <v>1380</v>
      </c>
    </row>
    <row r="365" spans="1:12" ht="18.75" x14ac:dyDescent="0.3">
      <c r="A365" s="430">
        <f>PR!A363</f>
        <v>333</v>
      </c>
      <c r="B365" s="15" t="str">
        <f>PR!B363</f>
        <v>URSODEOXYCHOLIC ACID 150MG TAB</v>
      </c>
      <c r="C365" s="113">
        <f>PR!D363</f>
        <v>30</v>
      </c>
      <c r="D365" s="113">
        <f>PR!C363</f>
        <v>20</v>
      </c>
      <c r="E365" s="108" t="str">
        <f>IF(F365="ALPHA",PR!$E363,IF(F365="ASSENE",PR!$F363,IF(F365="BIOFEM",PR!$G363,IF(F365="BIOMED",PR!$H363,IF(F365="CHI",PR!$I363,IF(F365="CLARION",PR!$J363,IF(F365="CODIX",PR!$K363,IF(F365="COSMADE",PR!$L363,IF(F365="SANCON",PR!$M363,IF(F365="DEVON",PR!$N363,IF(F365="DORTEMAG",PR!$O363,IF(F365="DGF",PR!$P363,IF(F365="DYNAMIC",PR!$Q363,IF(F365="EMZOR",PR!$R363,IF(F365="EUMATT",PR!$S363,IF(F365="FIDSON",PR!$T363,IF(F365="FCGLOBAL",PR!$U363,IF(F365="GENEITH",PR!$V363,IF(F365="GINOS",PR!$W363,IF(F365="GSK",PR!$X363,IF(F365="GLOBORG",PR!$Y363,IF(F365="GOODNEWS",PR!$Z363,IF(F365="GREENLIFE",PR!$AA363,IF(F365="HLINE",PR!$AB363,IF(F365="ROTECH",PR!$AC363,IF(F365="ISN",PR!$AD363,IF(F365="JAWA",PR!$AE363,IF(F365="LAYO",PR!$AF363,IF(F365="LEADWAY",PR!$AG363,IF(F365="LHV",PR!$AH363,IF(F365="MANOLA",PR!$AI363,IF(F365="MARCSON",PR!$AJ363,IF(F365="M&amp;B",PR!$AK363,IF(F365="MTRUST",PR!$AL363,IF(F365="MWORLD",PR!$AM363,IF(F365="MEGA",PR!$AN363,IF(F365="MICRONOVA",PR!$AO363,IF(F365="MFLASH",PR!$AP363,IF(F365="MORISON",PR!$AQ363,IF(F365="NEMEL",PR!$AR363,IF(F365="NHP",PR!$AS363,IF(F365="NHC",PR!$AT363,IF(F365="OLEAF",PR!$AU363,IF(F365="OCULUS",PR!$AV363,IF(F365="PACIFIC",PR!$AW363,IF(F365="PHAMATEX",PR!$AX363,IF(F365="PETHICS",PR!$AY363,IF(F365="PHILIPS",PR!$AZ363,IF(F365="RANBAXY",PR!$BA363,IF(F365="REALS",PR!$BB363,IF(F365="ROYAL",PR!$BC363,IF(F365="SAM",PR!$BD363,IF(F365="SEAGREEN",PR!$BE363,IF(F365="SKG",PR!$BF363,IF(F365="TAH",PR!$BG363,IF(F365="TAYLEK",PR!$BH363,IF(F365="TEMITA",PR!$BI363,IF(F365="THL",PR!$BJ363,IF(F365="UBASTIC",PR!$BK363,IF(F365="UNION",PR!$BL363,IF(F365="UNIQUE",PR!$BM363,IF(F365="VIXA",PR!$BN363,IF(F365="WWCV",PR!$BO363,IF(F365="ZOLON",PR!$BP363,"-"))))))))))))))))))))))))))))))))))))))))))))))))))))))))))))))))</f>
        <v>-</v>
      </c>
      <c r="F365" s="102">
        <f>EV!L469</f>
        <v>0</v>
      </c>
      <c r="G365" s="108" t="str">
        <f>IF(H365="ALPHA",PR!$E363,IF(H365="ASSENE",PR!$F363,IF(H365="BIOFEM",PR!$G363,IF(H365="BIOMED",PR!$H363,IF(H365="CHI",PR!$I363,IF(H365="CLARION",PR!$J363,IF(H365="CODIX",PR!$K363,IF(H365="COSMADE",PR!$L363,IF(H365="SANCON",PR!$M363,IF(H365="DEVON",PR!$N363,IF(H365="DORTEMAG",PR!$O363,IF(H365="DGF",PR!$P363,IF(H365="DYNAMIC",PR!$Q363,IF(H365="EMZOR",PR!$R363,IF(H365="EUMATT",PR!$S363,IF(H365="FIDSON",PR!$T363,IF(H365="FCGLOBAL",PR!$U363,IF(H365="GENEITH",PR!$V363,IF(H365="GINOS",PR!$W363,IF(H365="GSK",PR!$X363,IF(H365="GLOBORG",PR!$Y363,IF(H365="GOODNEWS",PR!$Z363,IF(H365="GREENLIFE",PR!$AA363,IF(H365="HLINE",PR!$AB363,IF(H365="ROTECH",PR!$AC363,IF(H365="ISN",PR!$AD363,IF(H365="JAWA",PR!$AE363,IF(H365="LAYO",PR!$AF363,IF(H365="LEADWAY",PR!$AG363,IF(H365="LHV",PR!$AH363,IF(H365="MANOLA",PR!$AI363,IF(H365="MARCSON",PR!$AJ363,IF(H365="M&amp;B",PR!$AK363,IF(H365="MTRUST",PR!$AL363,IF(H365="MWORLD",PR!$AM363,IF(H365="MEGA",PR!$AN363,IF(H365="MICRONOVA",PR!$AO363,IF(H365="MFLASH",PR!$AP363,IF(H365="MORISON",PR!$AQ363,IF(H365="NEMEL",PR!$AR363,IF(H365="NHP",PR!$AS363,IF(H365="NHC",PR!$AT363,IF(H365="OLEAF",PR!$AU363,IF(H365="OCULUS",PR!$AV363,IF(H365="PACIFIC",PR!$AW363,IF(H365="PHAMATEX",PR!$AX363,IF(H365="PETHICS",PR!$AY363,IF(H365="PHILIPS",PR!$AZ363,IF(H365="RANBAXY",PR!$BA363,IF(H365="REALS",PR!$BB363,IF(H365="ROYAL",PR!$BC363,IF(H365="SAM",PR!$BD363,IF(H365="SEAGREEN",PR!$BE363,IF(H365="SKG",PR!$BF363,IF(H365="TAH",PR!$BG363,IF(H365="TAYLEK",PR!$BH363,IF(H365="TEMITA",PR!$BI363,IF(H365="THL",PR!$BJ363,IF(H365="UBASTIC",PR!$BK363,IF(H365="UNION",PR!$BL363,IF(H365="UNIQUE",PR!$BM363,IF(H365="VIXA",PR!$BN363,IF(H365="WWCV",PR!$BO363,IF(H365="ZOLON",PR!$BP363,"-"))))))))))))))))))))))))))))))))))))))))))))))))))))))))))))))))</f>
        <v>-</v>
      </c>
      <c r="H365" s="102">
        <f>EV!M469</f>
        <v>0</v>
      </c>
      <c r="I365" s="108" t="str">
        <f>IF(J365="ALPHA",PR!$E363,IF(J365="ASSENE",PR!$F363,IF(J365="BIOFEM",PR!$G363,IF(J365="BIOMED",PR!$H363,IF(J365="CHI",PR!$I363,IF(J365="CLARION",PR!$J363,IF(J365="CODIX",PR!$K363,IF(J365="COSMADE",PR!$L363,IF(J365="SANCON",PR!$M363,IF(J365="DEVON",PR!$N363,IF(J365="DORTEMAG",PR!$O363,IF(J365="DGF",PR!$P363,IF(J365="DYNAMIC",PR!$Q363,IF(J365="EMZOR",PR!$R363,IF(J365="EUMATT",PR!$S363,IF(J365="FIDSON",PR!$T363,IF(J365="FCGLOBAL",PR!$U363,IF(J365="GENEITH",PR!$V363,IF(J365="GINOS",PR!$W363,IF(J365="GSK",PR!$X363,IF(J365="GLOBORG",PR!$Y363,IF(J365="GOODNEWS",PR!$Z363,IF(J365="GREENLIFE",PR!$AA363,IF(J365="HLINE",PR!$AB363,IF(J365="ROTECH",PR!$AC363,IF(J365="ISN",PR!$AD363,IF(J365="JAWA",PR!$AE363,IF(J365="LAYO",PR!$AF363,IF(J365="LEADWAY",PR!$AG363,IF(J365="LHV",PR!$AH363,IF(J365="MANOLA",PR!$AI363,IF(J365="MARCSON",PR!$AJ363,IF(J365="M&amp;B",PR!$AK363,IF(J365="MTRUST",PR!$AL363,IF(J365="MWORLD",PR!$AM363,IF(J365="MEGA",PR!$AN363,IF(J365="MICRONOVA",PR!$AO363,IF(J365="MFLASH",PR!$AP363,IF(J365="MORISON",PR!$AQ363,IF(J365="NEMEL",PR!$AR363,IF(J365="NHP",PR!$AS363,IF(J365="NHC",PR!$AT363,IF(J365="OLEAF",PR!$AU363,IF(J365="OCULUS",PR!$AV363,IF(J365="PACIFIC",PR!$AW363,IF(J365="PHAMATEX",PR!$AX363,IF(J365="PETHICS",PR!$AY363,IF(J365="PHILIPS",PR!$AZ363,IF(J365="RANBAXY",PR!$BA363,IF(J365="REALS",PR!$BB363,IF(J365="ROYAL",PR!$BC363,IF(J365="SAM",PR!$BD363,IF(J365="SEAGREEN",PR!$BE363,IF(J365="SKG",PR!$BF363,IF(J365="TAH",PR!$BG363,IF(J365="TAYLEK",PR!$BH363,IF(J365="TEMITA",PR!$BI363,IF(J365="THL",PR!$BJ363,IF(J365="UBASTIC",PR!$BK363,IF(J365="UNION",PR!$BL363,IF(J365="UNIQUE",PR!$BM363,IF(J365="VIXA",PR!$BN363,IF(J365="WWCV",PR!$BO363,IF(J365="ZOLON",PR!$BP363,"-"))))))))))))))))))))))))))))))))))))))))))))))))))))))))))))))))</f>
        <v>-</v>
      </c>
      <c r="J365" s="102">
        <f>EV!N469</f>
        <v>0</v>
      </c>
      <c r="K365" s="433"/>
      <c r="L365" s="183" t="b">
        <f>IF(K365&gt;0,IF(K365="ALPHA",PR!$E363,IF(K365="ASSENE",PR!$F363,IF(K365="BIOFEM",PR!$G363,IF(K365="BIOMED",PR!$H363,IF(K365="CHI",PR!$I363,IF(K365="CLARION",PR!$J363,IF(K365="CODIX",PR!$K363,IF(K365="COSMADE",PR!$L363,IF(K365="SANCON",PR!$M363,IF(K365="DEVON",PR!$N363,IF(K365="DORTEMAG",PR!$O363,IF(K365="DGF",PR!$P363,IF(K365="DYNAMIC",PR!$Q363,IF(K365="EMZOR",PR!$R363,IF(K365="EUMATT",PR!$S363,IF(K365="FIDSON",PR!$T363,IF(K365="FCGLOBAL",PR!$U363,IF(K365="GENEITH",PR!$V363,IF(K365="GINOS",PR!$W363,IF(K365="GSK",PR!$X363,IF(K365="GLOBORG",PR!$Y363,IF(K365="GOODNEWS",PR!$Z363,IF(K365="GREENLIFE",PR!$AA363,IF(K365="HLINE",PR!$AB363,IF(K365="ROTECH",PR!$AC363,IF(K365="ISN",PR!$AD363,IF(K365="JAWA",PR!$AE363,IF(K365="LAYO",PR!$AF363,IF(K365="LEADWAY",PR!$AG363,IF(K365="LHV",PR!$AH363,IF(K365="MANOLA",PR!$AI363,IF(K365="MARCSON",PR!$AJ363,IF(K365="M&amp;B",PR!$AK363,IF(K365="MTRUST",PR!$AL363,IF(K365="MWORLD",PR!$AM363,IF(K365="MEGA",PR!$AN363,IF(K365="MICRONOVA",PR!$AO363,IF(K365="MFLASH",PR!$AP363,IF(K365="MORISON",PR!$AQ363,IF(K365="NEMEL",PR!$AR363,IF(K365="NHP",PR!$AS363,IF(K365="NHC",PR!$AT363,IF(K365="OLEAF",PR!$AU363,IF(K365="OCULUS",PR!$AV363,IF(K365="PACIFIC",PR!$AW363,IF(K365="PHAMATEX",PR!$AX363,IF(K365="PETHICS",PR!$AY363,IF(K365="PHILIPS",PR!$AZ363,IF(K365="RANBAXY",PR!$BA363,IF(K365="REALS",PR!$BB363,IF(K365="ROYAL",PR!$BC363,IF(K365="SAM",PR!$BD363,IF(K365="SEAGREEN",PR!$BE363,IF(K365="SKG",PR!$BF363,IF(K365="TAH",PR!$BG363,IF(K365="TAYLEK",PR!$BH363,IF(K365="TEMITA",PR!$BI363,IF(K365="THL",PR!$BJ363,IF(K365="UBASTIC",PR!$BK363,IF(K365="UNION",PR!$BL363,IF(K365="UNIQUE",PR!$BM363,IF(K365="VIXA",PR!$BN363,IF(K365="WWCV",PR!$BO363,IF(K365="ZOLON",PR!$BP363,"-")))))))))))))))))))))))))))))))))))))))))))))))))))))))))))))))))</f>
        <v>0</v>
      </c>
    </row>
    <row r="366" spans="1:12" ht="18.75" x14ac:dyDescent="0.3">
      <c r="A366" s="430">
        <f>PR!A364</f>
        <v>334</v>
      </c>
      <c r="B366" s="15" t="str">
        <f>PR!B364</f>
        <v>URSODEOXYCHOLIC ACID 300MG TAB</v>
      </c>
      <c r="C366" s="113">
        <f>PR!D364</f>
        <v>30</v>
      </c>
      <c r="D366" s="113">
        <f>PR!C364</f>
        <v>20</v>
      </c>
      <c r="E366" s="108">
        <f>IF(F366="ALPHA",PR!$E364,IF(F366="ASSENE",PR!$F364,IF(F366="BIOFEM",PR!$G364,IF(F366="BIOMED",PR!$H364,IF(F366="CHI",PR!$I364,IF(F366="CLARION",PR!$J364,IF(F366="CODIX",PR!$K364,IF(F366="COSMADE",PR!$L364,IF(F366="SANCON",PR!$M364,IF(F366="DEVON",PR!$N364,IF(F366="DORTEMAG",PR!$O364,IF(F366="DGF",PR!$P364,IF(F366="DYNAMIC",PR!$Q364,IF(F366="EMZOR",PR!$R364,IF(F366="EUMATT",PR!$S364,IF(F366="FIDSON",PR!$T364,IF(F366="FCGLOBAL",PR!$U364,IF(F366="GENEITH",PR!$V364,IF(F366="GINOS",PR!$W364,IF(F366="GSK",PR!$X364,IF(F366="GLOBORG",PR!$Y364,IF(F366="GOODNEWS",PR!$Z364,IF(F366="GREENLIFE",PR!$AA364,IF(F366="HLINE",PR!$AB364,IF(F366="ROTECH",PR!$AC364,IF(F366="ISN",PR!$AD364,IF(F366="JAWA",PR!$AE364,IF(F366="LAYO",PR!$AF364,IF(F366="LEADWAY",PR!$AG364,IF(F366="LHV",PR!$AH364,IF(F366="MANOLA",PR!$AI364,IF(F366="MARCSON",PR!$AJ364,IF(F366="M&amp;B",PR!$AK364,IF(F366="MTRUST",PR!$AL364,IF(F366="MWORLD",PR!$AM364,IF(F366="MEGA",PR!$AN364,IF(F366="MICRONOVA",PR!$AO364,IF(F366="MFLASH",PR!$AP364,IF(F366="MORISON",PR!$AQ364,IF(F366="NEMEL",PR!$AR364,IF(F366="NHP",PR!$AS364,IF(F366="NHC",PR!$AT364,IF(F366="OLEAF",PR!$AU364,IF(F366="OCULUS",PR!$AV364,IF(F366="PACIFIC",PR!$AW364,IF(F366="PHAMATEX",PR!$AX364,IF(F366="PETHICS",PR!$AY364,IF(F366="PHILIPS",PR!$AZ364,IF(F366="RANBAXY",PR!$BA364,IF(F366="REALS",PR!$BB364,IF(F366="ROYAL",PR!$BC364,IF(F366="SAM",PR!$BD364,IF(F366="SEAGREEN",PR!$BE364,IF(F366="SKG",PR!$BF364,IF(F366="TAH",PR!$BG364,IF(F366="TAYLEK",PR!$BH364,IF(F366="TEMITA",PR!$BI364,IF(F366="THL",PR!$BJ364,IF(F366="UBASTIC",PR!$BK364,IF(F366="UNION",PR!$BL364,IF(F366="UNIQUE",PR!$BM364,IF(F366="VIXA",PR!$BN364,IF(F366="WWCV",PR!$BO364,IF(F366="ZOLON",PR!$BP364,"-"))))))))))))))))))))))))))))))))))))))))))))))))))))))))))))))))</f>
        <v>7900</v>
      </c>
      <c r="F366" s="102" t="str">
        <f>EV!L470</f>
        <v>MEGA</v>
      </c>
      <c r="G366" s="108" t="str">
        <f>IF(H366="ALPHA",PR!$E364,IF(H366="ASSENE",PR!$F364,IF(H366="BIOFEM",PR!$G364,IF(H366="BIOMED",PR!$H364,IF(H366="CHI",PR!$I364,IF(H366="CLARION",PR!$J364,IF(H366="CODIX",PR!$K364,IF(H366="COSMADE",PR!$L364,IF(H366="SANCON",PR!$M364,IF(H366="DEVON",PR!$N364,IF(H366="DORTEMAG",PR!$O364,IF(H366="DGF",PR!$P364,IF(H366="DYNAMIC",PR!$Q364,IF(H366="EMZOR",PR!$R364,IF(H366="EUMATT",PR!$S364,IF(H366="FIDSON",PR!$T364,IF(H366="FCGLOBAL",PR!$U364,IF(H366="GENEITH",PR!$V364,IF(H366="GINOS",PR!$W364,IF(H366="GSK",PR!$X364,IF(H366="GLOBORG",PR!$Y364,IF(H366="GOODNEWS",PR!$Z364,IF(H366="GREENLIFE",PR!$AA364,IF(H366="HLINE",PR!$AB364,IF(H366="ROTECH",PR!$AC364,IF(H366="ISN",PR!$AD364,IF(H366="JAWA",PR!$AE364,IF(H366="LAYO",PR!$AF364,IF(H366="LEADWAY",PR!$AG364,IF(H366="LHV",PR!$AH364,IF(H366="MANOLA",PR!$AI364,IF(H366="MARCSON",PR!$AJ364,IF(H366="M&amp;B",PR!$AK364,IF(H366="MTRUST",PR!$AL364,IF(H366="MWORLD",PR!$AM364,IF(H366="MEGA",PR!$AN364,IF(H366="MICRONOVA",PR!$AO364,IF(H366="MFLASH",PR!$AP364,IF(H366="MORISON",PR!$AQ364,IF(H366="NEMEL",PR!$AR364,IF(H366="NHP",PR!$AS364,IF(H366="NHC",PR!$AT364,IF(H366="OLEAF",PR!$AU364,IF(H366="OCULUS",PR!$AV364,IF(H366="PACIFIC",PR!$AW364,IF(H366="PHAMATEX",PR!$AX364,IF(H366="PETHICS",PR!$AY364,IF(H366="PHILIPS",PR!$AZ364,IF(H366="RANBAXY",PR!$BA364,IF(H366="REALS",PR!$BB364,IF(H366="ROYAL",PR!$BC364,IF(H366="SAM",PR!$BD364,IF(H366="SEAGREEN",PR!$BE364,IF(H366="SKG",PR!$BF364,IF(H366="TAH",PR!$BG364,IF(H366="TAYLEK",PR!$BH364,IF(H366="TEMITA",PR!$BI364,IF(H366="THL",PR!$BJ364,IF(H366="UBASTIC",PR!$BK364,IF(H366="UNION",PR!$BL364,IF(H366="UNIQUE",PR!$BM364,IF(H366="VIXA",PR!$BN364,IF(H366="WWCV",PR!$BO364,IF(H366="ZOLON",PR!$BP364,"-"))))))))))))))))))))))))))))))))))))))))))))))))))))))))))))))))</f>
        <v>-</v>
      </c>
      <c r="H366" s="102">
        <f>EV!M470</f>
        <v>0</v>
      </c>
      <c r="I366" s="108" t="str">
        <f>IF(J366="ALPHA",PR!$E364,IF(J366="ASSENE",PR!$F364,IF(J366="BIOFEM",PR!$G364,IF(J366="BIOMED",PR!$H364,IF(J366="CHI",PR!$I364,IF(J366="CLARION",PR!$J364,IF(J366="CODIX",PR!$K364,IF(J366="COSMADE",PR!$L364,IF(J366="SANCON",PR!$M364,IF(J366="DEVON",PR!$N364,IF(J366="DORTEMAG",PR!$O364,IF(J366="DGF",PR!$P364,IF(J366="DYNAMIC",PR!$Q364,IF(J366="EMZOR",PR!$R364,IF(J366="EUMATT",PR!$S364,IF(J366="FIDSON",PR!$T364,IF(J366="FCGLOBAL",PR!$U364,IF(J366="GENEITH",PR!$V364,IF(J366="GINOS",PR!$W364,IF(J366="GSK",PR!$X364,IF(J366="GLOBORG",PR!$Y364,IF(J366="GOODNEWS",PR!$Z364,IF(J366="GREENLIFE",PR!$AA364,IF(J366="HLINE",PR!$AB364,IF(J366="ROTECH",PR!$AC364,IF(J366="ISN",PR!$AD364,IF(J366="JAWA",PR!$AE364,IF(J366="LAYO",PR!$AF364,IF(J366="LEADWAY",PR!$AG364,IF(J366="LHV",PR!$AH364,IF(J366="MANOLA",PR!$AI364,IF(J366="MARCSON",PR!$AJ364,IF(J366="M&amp;B",PR!$AK364,IF(J366="MTRUST",PR!$AL364,IF(J366="MWORLD",PR!$AM364,IF(J366="MEGA",PR!$AN364,IF(J366="MICRONOVA",PR!$AO364,IF(J366="MFLASH",PR!$AP364,IF(J366="MORISON",PR!$AQ364,IF(J366="NEMEL",PR!$AR364,IF(J366="NHP",PR!$AS364,IF(J366="NHC",PR!$AT364,IF(J366="OLEAF",PR!$AU364,IF(J366="OCULUS",PR!$AV364,IF(J366="PACIFIC",PR!$AW364,IF(J366="PHAMATEX",PR!$AX364,IF(J366="PETHICS",PR!$AY364,IF(J366="PHILIPS",PR!$AZ364,IF(J366="RANBAXY",PR!$BA364,IF(J366="REALS",PR!$BB364,IF(J366="ROYAL",PR!$BC364,IF(J366="SAM",PR!$BD364,IF(J366="SEAGREEN",PR!$BE364,IF(J366="SKG",PR!$BF364,IF(J366="TAH",PR!$BG364,IF(J366="TAYLEK",PR!$BH364,IF(J366="TEMITA",PR!$BI364,IF(J366="THL",PR!$BJ364,IF(J366="UBASTIC",PR!$BK364,IF(J366="UNION",PR!$BL364,IF(J366="UNIQUE",PR!$BM364,IF(J366="VIXA",PR!$BN364,IF(J366="WWCV",PR!$BO364,IF(J366="ZOLON",PR!$BP364,"-"))))))))))))))))))))))))))))))))))))))))))))))))))))))))))))))))</f>
        <v>-</v>
      </c>
      <c r="J366" s="102">
        <f>EV!N470</f>
        <v>0</v>
      </c>
      <c r="K366" s="433" t="s">
        <v>816</v>
      </c>
      <c r="L366" s="183">
        <f>IF(K366&gt;0,IF(K366="ALPHA",PR!$E364,IF(K366="ASSENE",PR!$F364,IF(K366="BIOFEM",PR!$G364,IF(K366="BIOMED",PR!$H364,IF(K366="CHI",PR!$I364,IF(K366="CLARION",PR!$J364,IF(K366="CODIX",PR!$K364,IF(K366="COSMADE",PR!$L364,IF(K366="SANCON",PR!$M364,IF(K366="DEVON",PR!$N364,IF(K366="DORTEMAG",PR!$O364,IF(K366="DGF",PR!$P364,IF(K366="DYNAMIC",PR!$Q364,IF(K366="EMZOR",PR!$R364,IF(K366="EUMATT",PR!$S364,IF(K366="FIDSON",PR!$T364,IF(K366="FCGLOBAL",PR!$U364,IF(K366="GENEITH",PR!$V364,IF(K366="GINOS",PR!$W364,IF(K366="GSK",PR!$X364,IF(K366="GLOBORG",PR!$Y364,IF(K366="GOODNEWS",PR!$Z364,IF(K366="GREENLIFE",PR!$AA364,IF(K366="HLINE",PR!$AB364,IF(K366="ROTECH",PR!$AC364,IF(K366="ISN",PR!$AD364,IF(K366="JAWA",PR!$AE364,IF(K366="LAYO",PR!$AF364,IF(K366="LEADWAY",PR!$AG364,IF(K366="LHV",PR!$AH364,IF(K366="MANOLA",PR!$AI364,IF(K366="MARCSON",PR!$AJ364,IF(K366="M&amp;B",PR!$AK364,IF(K366="MTRUST",PR!$AL364,IF(K366="MWORLD",PR!$AM364,IF(K366="MEGA",PR!$AN364,IF(K366="MICRONOVA",PR!$AO364,IF(K366="MFLASH",PR!$AP364,IF(K366="MORISON",PR!$AQ364,IF(K366="NEMEL",PR!$AR364,IF(K366="NHP",PR!$AS364,IF(K366="NHC",PR!$AT364,IF(K366="OLEAF",PR!$AU364,IF(K366="OCULUS",PR!$AV364,IF(K366="PACIFIC",PR!$AW364,IF(K366="PHAMATEX",PR!$AX364,IF(K366="PETHICS",PR!$AY364,IF(K366="PHILIPS",PR!$AZ364,IF(K366="RANBAXY",PR!$BA364,IF(K366="REALS",PR!$BB364,IF(K366="ROYAL",PR!$BC364,IF(K366="SAM",PR!$BD364,IF(K366="SEAGREEN",PR!$BE364,IF(K366="SKG",PR!$BF364,IF(K366="TAH",PR!$BG364,IF(K366="TAYLEK",PR!$BH364,IF(K366="TEMITA",PR!$BI364,IF(K366="THL",PR!$BJ364,IF(K366="UBASTIC",PR!$BK364,IF(K366="UNION",PR!$BL364,IF(K366="UNIQUE",PR!$BM364,IF(K366="VIXA",PR!$BN364,IF(K366="WWCV",PR!$BO364,IF(K366="ZOLON",PR!$BP364,"-")))))))))))))))))))))))))))))))))))))))))))))))))))))))))))))))))</f>
        <v>7900</v>
      </c>
    </row>
    <row r="367" spans="1:12" ht="18.75" x14ac:dyDescent="0.3">
      <c r="A367" s="430">
        <f>PR!A365</f>
        <v>335</v>
      </c>
      <c r="B367" s="15" t="str">
        <f>PR!B365</f>
        <v>VIT B1/VIT B2/VIT B6 TAB</v>
      </c>
      <c r="C367" s="113">
        <f>PR!D365</f>
        <v>100</v>
      </c>
      <c r="D367" s="113">
        <f>PR!C365</f>
        <v>2000</v>
      </c>
      <c r="E367" s="108">
        <f>IF(F367="ALPHA",PR!$E365,IF(F367="ASSENE",PR!$F365,IF(F367="BIOFEM",PR!$G365,IF(F367="BIOMED",PR!$H365,IF(F367="CHI",PR!$I365,IF(F367="CLARION",PR!$J365,IF(F367="CODIX",PR!$K365,IF(F367="COSMADE",PR!$L365,IF(F367="SANCON",PR!$M365,IF(F367="DEVON",PR!$N365,IF(F367="DORTEMAG",PR!$O365,IF(F367="DGF",PR!$P365,IF(F367="DYNAMIC",PR!$Q365,IF(F367="EMZOR",PR!$R365,IF(F367="EUMATT",PR!$S365,IF(F367="FIDSON",PR!$T365,IF(F367="FCGLOBAL",PR!$U365,IF(F367="GENEITH",PR!$V365,IF(F367="GINOS",PR!$W365,IF(F367="GSK",PR!$X365,IF(F367="GLOBORG",PR!$Y365,IF(F367="GOODNEWS",PR!$Z365,IF(F367="GREENLIFE",PR!$AA365,IF(F367="HLINE",PR!$AB365,IF(F367="ROTECH",PR!$AC365,IF(F367="ISN",PR!$AD365,IF(F367="JAWA",PR!$AE365,IF(F367="LAYO",PR!$AF365,IF(F367="LEADWAY",PR!$AG365,IF(F367="LHV",PR!$AH365,IF(F367="MANOLA",PR!$AI365,IF(F367="MARCSON",PR!$AJ365,IF(F367="M&amp;B",PR!$AK365,IF(F367="MTRUST",PR!$AL365,IF(F367="MWORLD",PR!$AM365,IF(F367="MEGA",PR!$AN365,IF(F367="MICRONOVA",PR!$AO365,IF(F367="MFLASH",PR!$AP365,IF(F367="MORISON",PR!$AQ365,IF(F367="NEMEL",PR!$AR365,IF(F367="NHP",PR!$AS365,IF(F367="NHC",PR!$AT365,IF(F367="OLEAF",PR!$AU365,IF(F367="OCULUS",PR!$AV365,IF(F367="PACIFIC",PR!$AW365,IF(F367="PHAMATEX",PR!$AX365,IF(F367="PETHICS",PR!$AY365,IF(F367="PHILIPS",PR!$AZ365,IF(F367="RANBAXY",PR!$BA365,IF(F367="REALS",PR!$BB365,IF(F367="ROYAL",PR!$BC365,IF(F367="SAM",PR!$BD365,IF(F367="SEAGREEN",PR!$BE365,IF(F367="SKG",PR!$BF365,IF(F367="TAH",PR!$BG365,IF(F367="TAYLEK",PR!$BH365,IF(F367="TEMITA",PR!$BI365,IF(F367="THL",PR!$BJ365,IF(F367="UBASTIC",PR!$BK365,IF(F367="UNION",PR!$BL365,IF(F367="UNIQUE",PR!$BM365,IF(F367="VIXA",PR!$BN365,IF(F367="WWCV",PR!$BO365,IF(F367="ZOLON",PR!$BP365,"-"))))))))))))))))))))))))))))))))))))))))))))))))))))))))))))))))</f>
        <v>3750</v>
      </c>
      <c r="F367" s="102" t="str">
        <f>EV!L471</f>
        <v>PHAMATEX</v>
      </c>
      <c r="G367" s="108" t="str">
        <f>IF(H367="ALPHA",PR!$E365,IF(H367="ASSENE",PR!$F365,IF(H367="BIOFEM",PR!$G365,IF(H367="BIOMED",PR!$H365,IF(H367="CHI",PR!$I365,IF(H367="CLARION",PR!$J365,IF(H367="CODIX",PR!$K365,IF(H367="COSMADE",PR!$L365,IF(H367="SANCON",PR!$M365,IF(H367="DEVON",PR!$N365,IF(H367="DORTEMAG",PR!$O365,IF(H367="DGF",PR!$P365,IF(H367="DYNAMIC",PR!$Q365,IF(H367="EMZOR",PR!$R365,IF(H367="EUMATT",PR!$S365,IF(H367="FIDSON",PR!$T365,IF(H367="FCGLOBAL",PR!$U365,IF(H367="GENEITH",PR!$V365,IF(H367="GINOS",PR!$W365,IF(H367="GSK",PR!$X365,IF(H367="GLOBORG",PR!$Y365,IF(H367="GOODNEWS",PR!$Z365,IF(H367="GREENLIFE",PR!$AA365,IF(H367="HLINE",PR!$AB365,IF(H367="ROTECH",PR!$AC365,IF(H367="ISN",PR!$AD365,IF(H367="JAWA",PR!$AE365,IF(H367="LAYO",PR!$AF365,IF(H367="LEADWAY",PR!$AG365,IF(H367="LHV",PR!$AH365,IF(H367="MANOLA",PR!$AI365,IF(H367="MARCSON",PR!$AJ365,IF(H367="M&amp;B",PR!$AK365,IF(H367="MTRUST",PR!$AL365,IF(H367="MWORLD",PR!$AM365,IF(H367="MEGA",PR!$AN365,IF(H367="MICRONOVA",PR!$AO365,IF(H367="MFLASH",PR!$AP365,IF(H367="MORISON",PR!$AQ365,IF(H367="NEMEL",PR!$AR365,IF(H367="NHP",PR!$AS365,IF(H367="NHC",PR!$AT365,IF(H367="OLEAF",PR!$AU365,IF(H367="OCULUS",PR!$AV365,IF(H367="PACIFIC",PR!$AW365,IF(H367="PHAMATEX",PR!$AX365,IF(H367="PETHICS",PR!$AY365,IF(H367="PHILIPS",PR!$AZ365,IF(H367="RANBAXY",PR!$BA365,IF(H367="REALS",PR!$BB365,IF(H367="ROYAL",PR!$BC365,IF(H367="SAM",PR!$BD365,IF(H367="SEAGREEN",PR!$BE365,IF(H367="SKG",PR!$BF365,IF(H367="TAH",PR!$BG365,IF(H367="TAYLEK",PR!$BH365,IF(H367="TEMITA",PR!$BI365,IF(H367="THL",PR!$BJ365,IF(H367="UBASTIC",PR!$BK365,IF(H367="UNION",PR!$BL365,IF(H367="UNIQUE",PR!$BM365,IF(H367="VIXA",PR!$BN365,IF(H367="WWCV",PR!$BO365,IF(H367="ZOLON",PR!$BP365,"-"))))))))))))))))))))))))))))))))))))))))))))))))))))))))))))))))</f>
        <v>-</v>
      </c>
      <c r="H367" s="102">
        <f>EV!M471</f>
        <v>0</v>
      </c>
      <c r="I367" s="108" t="str">
        <f>IF(J367="ALPHA",PR!$E365,IF(J367="ASSENE",PR!$F365,IF(J367="BIOFEM",PR!$G365,IF(J367="BIOMED",PR!$H365,IF(J367="CHI",PR!$I365,IF(J367="CLARION",PR!$J365,IF(J367="CODIX",PR!$K365,IF(J367="COSMADE",PR!$L365,IF(J367="SANCON",PR!$M365,IF(J367="DEVON",PR!$N365,IF(J367="DORTEMAG",PR!$O365,IF(J367="DGF",PR!$P365,IF(J367="DYNAMIC",PR!$Q365,IF(J367="EMZOR",PR!$R365,IF(J367="EUMATT",PR!$S365,IF(J367="FIDSON",PR!$T365,IF(J367="FCGLOBAL",PR!$U365,IF(J367="GENEITH",PR!$V365,IF(J367="GINOS",PR!$W365,IF(J367="GSK",PR!$X365,IF(J367="GLOBORG",PR!$Y365,IF(J367="GOODNEWS",PR!$Z365,IF(J367="GREENLIFE",PR!$AA365,IF(J367="HLINE",PR!$AB365,IF(J367="ROTECH",PR!$AC365,IF(J367="ISN",PR!$AD365,IF(J367="JAWA",PR!$AE365,IF(J367="LAYO",PR!$AF365,IF(J367="LEADWAY",PR!$AG365,IF(J367="LHV",PR!$AH365,IF(J367="MANOLA",PR!$AI365,IF(J367="MARCSON",PR!$AJ365,IF(J367="M&amp;B",PR!$AK365,IF(J367="MTRUST",PR!$AL365,IF(J367="MWORLD",PR!$AM365,IF(J367="MEGA",PR!$AN365,IF(J367="MICRONOVA",PR!$AO365,IF(J367="MFLASH",PR!$AP365,IF(J367="MORISON",PR!$AQ365,IF(J367="NEMEL",PR!$AR365,IF(J367="NHP",PR!$AS365,IF(J367="NHC",PR!$AT365,IF(J367="OLEAF",PR!$AU365,IF(J367="OCULUS",PR!$AV365,IF(J367="PACIFIC",PR!$AW365,IF(J367="PHAMATEX",PR!$AX365,IF(J367="PETHICS",PR!$AY365,IF(J367="PHILIPS",PR!$AZ365,IF(J367="RANBAXY",PR!$BA365,IF(J367="REALS",PR!$BB365,IF(J367="ROYAL",PR!$BC365,IF(J367="SAM",PR!$BD365,IF(J367="SEAGREEN",PR!$BE365,IF(J367="SKG",PR!$BF365,IF(J367="TAH",PR!$BG365,IF(J367="TAYLEK",PR!$BH365,IF(J367="TEMITA",PR!$BI365,IF(J367="THL",PR!$BJ365,IF(J367="UBASTIC",PR!$BK365,IF(J367="UNION",PR!$BL365,IF(J367="UNIQUE",PR!$BM365,IF(J367="VIXA",PR!$BN365,IF(J367="WWCV",PR!$BO365,IF(J367="ZOLON",PR!$BP365,"-"))))))))))))))))))))))))))))))))))))))))))))))))))))))))))))))))</f>
        <v>-</v>
      </c>
      <c r="J367" s="102">
        <f>EV!N471</f>
        <v>0</v>
      </c>
      <c r="K367" s="433" t="s">
        <v>627</v>
      </c>
      <c r="L367" s="183">
        <f>IF(K367&gt;0,IF(K367="ALPHA",PR!$E365,IF(K367="ASSENE",PR!$F365,IF(K367="BIOFEM",PR!$G365,IF(K367="BIOMED",PR!$H365,IF(K367="CHI",PR!$I365,IF(K367="CLARION",PR!$J365,IF(K367="CODIX",PR!$K365,IF(K367="COSMADE",PR!$L365,IF(K367="SANCON",PR!$M365,IF(K367="DEVON",PR!$N365,IF(K367="DORTEMAG",PR!$O365,IF(K367="DGF",PR!$P365,IF(K367="DYNAMIC",PR!$Q365,IF(K367="EMZOR",PR!$R365,IF(K367="EUMATT",PR!$S365,IF(K367="FIDSON",PR!$T365,IF(K367="FCGLOBAL",PR!$U365,IF(K367="GENEITH",PR!$V365,IF(K367="GINOS",PR!$W365,IF(K367="GSK",PR!$X365,IF(K367="GLOBORG",PR!$Y365,IF(K367="GOODNEWS",PR!$Z365,IF(K367="GREENLIFE",PR!$AA365,IF(K367="HLINE",PR!$AB365,IF(K367="ROTECH",PR!$AC365,IF(K367="ISN",PR!$AD365,IF(K367="JAWA",PR!$AE365,IF(K367="LAYO",PR!$AF365,IF(K367="LEADWAY",PR!$AG365,IF(K367="LHV",PR!$AH365,IF(K367="MANOLA",PR!$AI365,IF(K367="MARCSON",PR!$AJ365,IF(K367="M&amp;B",PR!$AK365,IF(K367="MTRUST",PR!$AL365,IF(K367="MWORLD",PR!$AM365,IF(K367="MEGA",PR!$AN365,IF(K367="MICRONOVA",PR!$AO365,IF(K367="MFLASH",PR!$AP365,IF(K367="MORISON",PR!$AQ365,IF(K367="NEMEL",PR!$AR365,IF(K367="NHP",PR!$AS365,IF(K367="NHC",PR!$AT365,IF(K367="OLEAF",PR!$AU365,IF(K367="OCULUS",PR!$AV365,IF(K367="PACIFIC",PR!$AW365,IF(K367="PHAMATEX",PR!$AX365,IF(K367="PETHICS",PR!$AY365,IF(K367="PHILIPS",PR!$AZ365,IF(K367="RANBAXY",PR!$BA365,IF(K367="REALS",PR!$BB365,IF(K367="ROYAL",PR!$BC365,IF(K367="SAM",PR!$BD365,IF(K367="SEAGREEN",PR!$BE365,IF(K367="SKG",PR!$BF365,IF(K367="TAH",PR!$BG365,IF(K367="TAYLEK",PR!$BH365,IF(K367="TEMITA",PR!$BI365,IF(K367="THL",PR!$BJ365,IF(K367="UBASTIC",PR!$BK365,IF(K367="UNION",PR!$BL365,IF(K367="UNIQUE",PR!$BM365,IF(K367="VIXA",PR!$BN365,IF(K367="WWCV",PR!$BO365,IF(K367="ZOLON",PR!$BP365,"-")))))))))))))))))))))))))))))))))))))))))))))))))))))))))))))))))</f>
        <v>3750</v>
      </c>
    </row>
    <row r="368" spans="1:12" ht="18.75" x14ac:dyDescent="0.3">
      <c r="A368" s="430">
        <f>PR!A366</f>
        <v>336</v>
      </c>
      <c r="B368" s="15" t="str">
        <f>PR!B366</f>
        <v>VITAMIN A 50,000IU</v>
      </c>
      <c r="C368" s="113">
        <f>PR!D366</f>
        <v>30</v>
      </c>
      <c r="D368" s="113">
        <f>PR!C366</f>
        <v>50</v>
      </c>
      <c r="E368" s="108" t="str">
        <f>IF(F368="ALPHA",PR!$E366,IF(F368="ASSENE",PR!$F366,IF(F368="BIOFEM",PR!$G366,IF(F368="BIOMED",PR!$H366,IF(F368="CHI",PR!$I366,IF(F368="CLARION",PR!$J366,IF(F368="CODIX",PR!$K366,IF(F368="COSMADE",PR!$L366,IF(F368="SANCON",PR!$M366,IF(F368="DEVON",PR!$N366,IF(F368="DORTEMAG",PR!$O366,IF(F368="DGF",PR!$P366,IF(F368="DYNAMIC",PR!$Q366,IF(F368="EMZOR",PR!$R366,IF(F368="EUMATT",PR!$S366,IF(F368="FIDSON",PR!$T366,IF(F368="FCGLOBAL",PR!$U366,IF(F368="GENEITH",PR!$V366,IF(F368="GINOS",PR!$W366,IF(F368="GSK",PR!$X366,IF(F368="GLOBORG",PR!$Y366,IF(F368="GOODNEWS",PR!$Z366,IF(F368="GREENLIFE",PR!$AA366,IF(F368="HLINE",PR!$AB366,IF(F368="ROTECH",PR!$AC366,IF(F368="ISN",PR!$AD366,IF(F368="JAWA",PR!$AE366,IF(F368="LAYO",PR!$AF366,IF(F368="LEADWAY",PR!$AG366,IF(F368="LHV",PR!$AH366,IF(F368="MANOLA",PR!$AI366,IF(F368="MARCSON",PR!$AJ366,IF(F368="M&amp;B",PR!$AK366,IF(F368="MTRUST",PR!$AL366,IF(F368="MWORLD",PR!$AM366,IF(F368="MEGA",PR!$AN366,IF(F368="MICRONOVA",PR!$AO366,IF(F368="MFLASH",PR!$AP366,IF(F368="MORISON",PR!$AQ366,IF(F368="NEMEL",PR!$AR366,IF(F368="NHP",PR!$AS366,IF(F368="NHC",PR!$AT366,IF(F368="OLEAF",PR!$AU366,IF(F368="OCULUS",PR!$AV366,IF(F368="PACIFIC",PR!$AW366,IF(F368="PHAMATEX",PR!$AX366,IF(F368="PETHICS",PR!$AY366,IF(F368="PHILIPS",PR!$AZ366,IF(F368="RANBAXY",PR!$BA366,IF(F368="REALS",PR!$BB366,IF(F368="ROYAL",PR!$BC366,IF(F368="SAM",PR!$BD366,IF(F368="SEAGREEN",PR!$BE366,IF(F368="SKG",PR!$BF366,IF(F368="TAH",PR!$BG366,IF(F368="TAYLEK",PR!$BH366,IF(F368="TEMITA",PR!$BI366,IF(F368="THL",PR!$BJ366,IF(F368="UBASTIC",PR!$BK366,IF(F368="UNION",PR!$BL366,IF(F368="UNIQUE",PR!$BM366,IF(F368="VIXA",PR!$BN366,IF(F368="WWCV",PR!$BO366,IF(F368="ZOLON",PR!$BP366,"-"))))))))))))))))))))))))))))))))))))))))))))))))))))))))))))))))</f>
        <v>-</v>
      </c>
      <c r="F368" s="102">
        <f>EV!L472</f>
        <v>0</v>
      </c>
      <c r="G368" s="108" t="str">
        <f>IF(H368="ALPHA",PR!$E366,IF(H368="ASSENE",PR!$F366,IF(H368="BIOFEM",PR!$G366,IF(H368="BIOMED",PR!$H366,IF(H368="CHI",PR!$I366,IF(H368="CLARION",PR!$J366,IF(H368="CODIX",PR!$K366,IF(H368="COSMADE",PR!$L366,IF(H368="SANCON",PR!$M366,IF(H368="DEVON",PR!$N366,IF(H368="DORTEMAG",PR!$O366,IF(H368="DGF",PR!$P366,IF(H368="DYNAMIC",PR!$Q366,IF(H368="EMZOR",PR!$R366,IF(H368="EUMATT",PR!$S366,IF(H368="FIDSON",PR!$T366,IF(H368="FCGLOBAL",PR!$U366,IF(H368="GENEITH",PR!$V366,IF(H368="GINOS",PR!$W366,IF(H368="GSK",PR!$X366,IF(H368="GLOBORG",PR!$Y366,IF(H368="GOODNEWS",PR!$Z366,IF(H368="GREENLIFE",PR!$AA366,IF(H368="HLINE",PR!$AB366,IF(H368="ROTECH",PR!$AC366,IF(H368="ISN",PR!$AD366,IF(H368="JAWA",PR!$AE366,IF(H368="LAYO",PR!$AF366,IF(H368="LEADWAY",PR!$AG366,IF(H368="LHV",PR!$AH366,IF(H368="MANOLA",PR!$AI366,IF(H368="MARCSON",PR!$AJ366,IF(H368="M&amp;B",PR!$AK366,IF(H368="MTRUST",PR!$AL366,IF(H368="MWORLD",PR!$AM366,IF(H368="MEGA",PR!$AN366,IF(H368="MICRONOVA",PR!$AO366,IF(H368="MFLASH",PR!$AP366,IF(H368="MORISON",PR!$AQ366,IF(H368="NEMEL",PR!$AR366,IF(H368="NHP",PR!$AS366,IF(H368="NHC",PR!$AT366,IF(H368="OLEAF",PR!$AU366,IF(H368="OCULUS",PR!$AV366,IF(H368="PACIFIC",PR!$AW366,IF(H368="PHAMATEX",PR!$AX366,IF(H368="PETHICS",PR!$AY366,IF(H368="PHILIPS",PR!$AZ366,IF(H368="RANBAXY",PR!$BA366,IF(H368="REALS",PR!$BB366,IF(H368="ROYAL",PR!$BC366,IF(H368="SAM",PR!$BD366,IF(H368="SEAGREEN",PR!$BE366,IF(H368="SKG",PR!$BF366,IF(H368="TAH",PR!$BG366,IF(H368="TAYLEK",PR!$BH366,IF(H368="TEMITA",PR!$BI366,IF(H368="THL",PR!$BJ366,IF(H368="UBASTIC",PR!$BK366,IF(H368="UNION",PR!$BL366,IF(H368="UNIQUE",PR!$BM366,IF(H368="VIXA",PR!$BN366,IF(H368="WWCV",PR!$BO366,IF(H368="ZOLON",PR!$BP366,"-"))))))))))))))))))))))))))))))))))))))))))))))))))))))))))))))))</f>
        <v>-</v>
      </c>
      <c r="H368" s="102">
        <f>EV!M472</f>
        <v>0</v>
      </c>
      <c r="I368" s="108" t="str">
        <f>IF(J368="ALPHA",PR!$E366,IF(J368="ASSENE",PR!$F366,IF(J368="BIOFEM",PR!$G366,IF(J368="BIOMED",PR!$H366,IF(J368="CHI",PR!$I366,IF(J368="CLARION",PR!$J366,IF(J368="CODIX",PR!$K366,IF(J368="COSMADE",PR!$L366,IF(J368="SANCON",PR!$M366,IF(J368="DEVON",PR!$N366,IF(J368="DORTEMAG",PR!$O366,IF(J368="DGF",PR!$P366,IF(J368="DYNAMIC",PR!$Q366,IF(J368="EMZOR",PR!$R366,IF(J368="EUMATT",PR!$S366,IF(J368="FIDSON",PR!$T366,IF(J368="FCGLOBAL",PR!$U366,IF(J368="GENEITH",PR!$V366,IF(J368="GINOS",PR!$W366,IF(J368="GSK",PR!$X366,IF(J368="GLOBORG",PR!$Y366,IF(J368="GOODNEWS",PR!$Z366,IF(J368="GREENLIFE",PR!$AA366,IF(J368="HLINE",PR!$AB366,IF(J368="ROTECH",PR!$AC366,IF(J368="ISN",PR!$AD366,IF(J368="JAWA",PR!$AE366,IF(J368="LAYO",PR!$AF366,IF(J368="LEADWAY",PR!$AG366,IF(J368="LHV",PR!$AH366,IF(J368="MANOLA",PR!$AI366,IF(J368="MARCSON",PR!$AJ366,IF(J368="M&amp;B",PR!$AK366,IF(J368="MTRUST",PR!$AL366,IF(J368="MWORLD",PR!$AM366,IF(J368="MEGA",PR!$AN366,IF(J368="MICRONOVA",PR!$AO366,IF(J368="MFLASH",PR!$AP366,IF(J368="MORISON",PR!$AQ366,IF(J368="NEMEL",PR!$AR366,IF(J368="NHP",PR!$AS366,IF(J368="NHC",PR!$AT366,IF(J368="OLEAF",PR!$AU366,IF(J368="OCULUS",PR!$AV366,IF(J368="PACIFIC",PR!$AW366,IF(J368="PHAMATEX",PR!$AX366,IF(J368="PETHICS",PR!$AY366,IF(J368="PHILIPS",PR!$AZ366,IF(J368="RANBAXY",PR!$BA366,IF(J368="REALS",PR!$BB366,IF(J368="ROYAL",PR!$BC366,IF(J368="SAM",PR!$BD366,IF(J368="SEAGREEN",PR!$BE366,IF(J368="SKG",PR!$BF366,IF(J368="TAH",PR!$BG366,IF(J368="TAYLEK",PR!$BH366,IF(J368="TEMITA",PR!$BI366,IF(J368="THL",PR!$BJ366,IF(J368="UBASTIC",PR!$BK366,IF(J368="UNION",PR!$BL366,IF(J368="UNIQUE",PR!$BM366,IF(J368="VIXA",PR!$BN366,IF(J368="WWCV",PR!$BO366,IF(J368="ZOLON",PR!$BP366,"-"))))))))))))))))))))))))))))))))))))))))))))))))))))))))))))))))</f>
        <v>-</v>
      </c>
      <c r="J368" s="102">
        <f>EV!N472</f>
        <v>0</v>
      </c>
      <c r="K368" s="433"/>
      <c r="L368" s="183" t="b">
        <f>IF(K368&gt;0,IF(K368="ALPHA",PR!$E366,IF(K368="ASSENE",PR!$F366,IF(K368="BIOFEM",PR!$G366,IF(K368="BIOMED",PR!$H366,IF(K368="CHI",PR!$I366,IF(K368="CLARION",PR!$J366,IF(K368="CODIX",PR!$K366,IF(K368="COSMADE",PR!$L366,IF(K368="SANCON",PR!$M366,IF(K368="DEVON",PR!$N366,IF(K368="DORTEMAG",PR!$O366,IF(K368="DGF",PR!$P366,IF(K368="DYNAMIC",PR!$Q366,IF(K368="EMZOR",PR!$R366,IF(K368="EUMATT",PR!$S366,IF(K368="FIDSON",PR!$T366,IF(K368="FCGLOBAL",PR!$U366,IF(K368="GENEITH",PR!$V366,IF(K368="GINOS",PR!$W366,IF(K368="GSK",PR!$X366,IF(K368="GLOBORG",PR!$Y366,IF(K368="GOODNEWS",PR!$Z366,IF(K368="GREENLIFE",PR!$AA366,IF(K368="HLINE",PR!$AB366,IF(K368="ROTECH",PR!$AC366,IF(K368="ISN",PR!$AD366,IF(K368="JAWA",PR!$AE366,IF(K368="LAYO",PR!$AF366,IF(K368="LEADWAY",PR!$AG366,IF(K368="LHV",PR!$AH366,IF(K368="MANOLA",PR!$AI366,IF(K368="MARCSON",PR!$AJ366,IF(K368="M&amp;B",PR!$AK366,IF(K368="MTRUST",PR!$AL366,IF(K368="MWORLD",PR!$AM366,IF(K368="MEGA",PR!$AN366,IF(K368="MICRONOVA",PR!$AO366,IF(K368="MFLASH",PR!$AP366,IF(K368="MORISON",PR!$AQ366,IF(K368="NEMEL",PR!$AR366,IF(K368="NHP",PR!$AS366,IF(K368="NHC",PR!$AT366,IF(K368="OLEAF",PR!$AU366,IF(K368="OCULUS",PR!$AV366,IF(K368="PACIFIC",PR!$AW366,IF(K368="PHAMATEX",PR!$AX366,IF(K368="PETHICS",PR!$AY366,IF(K368="PHILIPS",PR!$AZ366,IF(K368="RANBAXY",PR!$BA366,IF(K368="REALS",PR!$BB366,IF(K368="ROYAL",PR!$BC366,IF(K368="SAM",PR!$BD366,IF(K368="SEAGREEN",PR!$BE366,IF(K368="SKG",PR!$BF366,IF(K368="TAH",PR!$BG366,IF(K368="TAYLEK",PR!$BH366,IF(K368="TEMITA",PR!$BI366,IF(K368="THL",PR!$BJ366,IF(K368="UBASTIC",PR!$BK366,IF(K368="UNION",PR!$BL366,IF(K368="UNIQUE",PR!$BM366,IF(K368="VIXA",PR!$BN366,IF(K368="WWCV",PR!$BO366,IF(K368="ZOLON",PR!$BP366,"-")))))))))))))))))))))))))))))))))))))))))))))))))))))))))))))))))</f>
        <v>0</v>
      </c>
    </row>
    <row r="369" spans="1:12" ht="18.75" x14ac:dyDescent="0.3">
      <c r="A369" s="430">
        <f>PR!A367</f>
        <v>337</v>
      </c>
      <c r="B369" s="15" t="str">
        <f>PR!B367</f>
        <v>VITAMIN B COMPLEX TAB</v>
      </c>
      <c r="C369" s="113">
        <f>PR!D367</f>
        <v>1000</v>
      </c>
      <c r="D369" s="113">
        <f>PR!C367</f>
        <v>800</v>
      </c>
      <c r="E369" s="108">
        <f>IF(F369="ALPHA",PR!$E367,IF(F369="ASSENE",PR!$F367,IF(F369="BIOFEM",PR!$G367,IF(F369="BIOMED",PR!$H367,IF(F369="CHI",PR!$I367,IF(F369="CLARION",PR!$J367,IF(F369="CODIX",PR!$K367,IF(F369="COSMADE",PR!$L367,IF(F369="SANCON",PR!$M367,IF(F369="DEVON",PR!$N367,IF(F369="DORTEMAG",PR!$O367,IF(F369="DGF",PR!$P367,IF(F369="DYNAMIC",PR!$Q367,IF(F369="EMZOR",PR!$R367,IF(F369="EUMATT",PR!$S367,IF(F369="FIDSON",PR!$T367,IF(F369="FCGLOBAL",PR!$U367,IF(F369="GENEITH",PR!$V367,IF(F369="GINOS",PR!$W367,IF(F369="GSK",PR!$X367,IF(F369="GLOBORG",PR!$Y367,IF(F369="GOODNEWS",PR!$Z367,IF(F369="GREENLIFE",PR!$AA367,IF(F369="HLINE",PR!$AB367,IF(F369="ROTECH",PR!$AC367,IF(F369="ISN",PR!$AD367,IF(F369="JAWA",PR!$AE367,IF(F369="LAYO",PR!$AF367,IF(F369="LEADWAY",PR!$AG367,IF(F369="LHV",PR!$AH367,IF(F369="MANOLA",PR!$AI367,IF(F369="MARCSON",PR!$AJ367,IF(F369="M&amp;B",PR!$AK367,IF(F369="MTRUST",PR!$AL367,IF(F369="MWORLD",PR!$AM367,IF(F369="MEGA",PR!$AN367,IF(F369="MICRONOVA",PR!$AO367,IF(F369="MFLASH",PR!$AP367,IF(F369="MORISON",PR!$AQ367,IF(F369="NEMEL",PR!$AR367,IF(F369="NHP",PR!$AS367,IF(F369="NHC",PR!$AT367,IF(F369="OLEAF",PR!$AU367,IF(F369="OCULUS",PR!$AV367,IF(F369="PACIFIC",PR!$AW367,IF(F369="PHAMATEX",PR!$AX367,IF(F369="PETHICS",PR!$AY367,IF(F369="PHILIPS",PR!$AZ367,IF(F369="RANBAXY",PR!$BA367,IF(F369="REALS",PR!$BB367,IF(F369="ROYAL",PR!$BC367,IF(F369="SAM",PR!$BD367,IF(F369="SEAGREEN",PR!$BE367,IF(F369="SKG",PR!$BF367,IF(F369="TAH",PR!$BG367,IF(F369="TAYLEK",PR!$BH367,IF(F369="TEMITA",PR!$BI367,IF(F369="THL",PR!$BJ367,IF(F369="UBASTIC",PR!$BK367,IF(F369="UNION",PR!$BL367,IF(F369="UNIQUE",PR!$BM367,IF(F369="VIXA",PR!$BN367,IF(F369="WWCV",PR!$BO367,IF(F369="ZOLON",PR!$BP367,"-"))))))))))))))))))))))))))))))))))))))))))))))))))))))))))))))))</f>
        <v>380</v>
      </c>
      <c r="F369" s="102" t="str">
        <f>EV!L473</f>
        <v>SAM</v>
      </c>
      <c r="G369" s="108">
        <f>IF(H369="ALPHA",PR!$E367,IF(H369="ASSENE",PR!$F367,IF(H369="BIOFEM",PR!$G367,IF(H369="BIOMED",PR!$H367,IF(H369="CHI",PR!$I367,IF(H369="CLARION",PR!$J367,IF(H369="CODIX",PR!$K367,IF(H369="COSMADE",PR!$L367,IF(H369="SANCON",PR!$M367,IF(H369="DEVON",PR!$N367,IF(H369="DORTEMAG",PR!$O367,IF(H369="DGF",PR!$P367,IF(H369="DYNAMIC",PR!$Q367,IF(H369="EMZOR",PR!$R367,IF(H369="EUMATT",PR!$S367,IF(H369="FIDSON",PR!$T367,IF(H369="FCGLOBAL",PR!$U367,IF(H369="GENEITH",PR!$V367,IF(H369="GINOS",PR!$W367,IF(H369="GSK",PR!$X367,IF(H369="GLOBORG",PR!$Y367,IF(H369="GOODNEWS",PR!$Z367,IF(H369="GREENLIFE",PR!$AA367,IF(H369="HLINE",PR!$AB367,IF(H369="ROTECH",PR!$AC367,IF(H369="ISN",PR!$AD367,IF(H369="JAWA",PR!$AE367,IF(H369="LAYO",PR!$AF367,IF(H369="LEADWAY",PR!$AG367,IF(H369="LHV",PR!$AH367,IF(H369="MANOLA",PR!$AI367,IF(H369="MARCSON",PR!$AJ367,IF(H369="M&amp;B",PR!$AK367,IF(H369="MTRUST",PR!$AL367,IF(H369="MWORLD",PR!$AM367,IF(H369="MEGA",PR!$AN367,IF(H369="MICRONOVA",PR!$AO367,IF(H369="MFLASH",PR!$AP367,IF(H369="MORISON",PR!$AQ367,IF(H369="NEMEL",PR!$AR367,IF(H369="NHP",PR!$AS367,IF(H369="NHC",PR!$AT367,IF(H369="OLEAF",PR!$AU367,IF(H369="OCULUS",PR!$AV367,IF(H369="PACIFIC",PR!$AW367,IF(H369="PHAMATEX",PR!$AX367,IF(H369="PETHICS",PR!$AY367,IF(H369="PHILIPS",PR!$AZ367,IF(H369="RANBAXY",PR!$BA367,IF(H369="REALS",PR!$BB367,IF(H369="ROYAL",PR!$BC367,IF(H369="SAM",PR!$BD367,IF(H369="SEAGREEN",PR!$BE367,IF(H369="SKG",PR!$BF367,IF(H369="TAH",PR!$BG367,IF(H369="TAYLEK",PR!$BH367,IF(H369="TEMITA",PR!$BI367,IF(H369="THL",PR!$BJ367,IF(H369="UBASTIC",PR!$BK367,IF(H369="UNION",PR!$BL367,IF(H369="UNIQUE",PR!$BM367,IF(H369="VIXA",PR!$BN367,IF(H369="WWCV",PR!$BO367,IF(H369="ZOLON",PR!$BP367,"-"))))))))))))))))))))))))))))))))))))))))))))))))))))))))))))))))</f>
        <v>400</v>
      </c>
      <c r="H369" s="102" t="str">
        <f>EV!M473</f>
        <v>EUMATT</v>
      </c>
      <c r="I369" s="108">
        <f>IF(J369="ALPHA",PR!$E367,IF(J369="ASSENE",PR!$F367,IF(J369="BIOFEM",PR!$G367,IF(J369="BIOMED",PR!$H367,IF(J369="CHI",PR!$I367,IF(J369="CLARION",PR!$J367,IF(J369="CODIX",PR!$K367,IF(J369="COSMADE",PR!$L367,IF(J369="SANCON",PR!$M367,IF(J369="DEVON",PR!$N367,IF(J369="DORTEMAG",PR!$O367,IF(J369="DGF",PR!$P367,IF(J369="DYNAMIC",PR!$Q367,IF(J369="EMZOR",PR!$R367,IF(J369="EUMATT",PR!$S367,IF(J369="FIDSON",PR!$T367,IF(J369="FCGLOBAL",PR!$U367,IF(J369="GENEITH",PR!$V367,IF(J369="GINOS",PR!$W367,IF(J369="GSK",PR!$X367,IF(J369="GLOBORG",PR!$Y367,IF(J369="GOODNEWS",PR!$Z367,IF(J369="GREENLIFE",PR!$AA367,IF(J369="HLINE",PR!$AB367,IF(J369="ROTECH",PR!$AC367,IF(J369="ISN",PR!$AD367,IF(J369="JAWA",PR!$AE367,IF(J369="LAYO",PR!$AF367,IF(J369="LEADWAY",PR!$AG367,IF(J369="LHV",PR!$AH367,IF(J369="MANOLA",PR!$AI367,IF(J369="MARCSON",PR!$AJ367,IF(J369="M&amp;B",PR!$AK367,IF(J369="MTRUST",PR!$AL367,IF(J369="MWORLD",PR!$AM367,IF(J369="MEGA",PR!$AN367,IF(J369="MICRONOVA",PR!$AO367,IF(J369="MFLASH",PR!$AP367,IF(J369="MORISON",PR!$AQ367,IF(J369="NEMEL",PR!$AR367,IF(J369="NHP",PR!$AS367,IF(J369="NHC",PR!$AT367,IF(J369="OLEAF",PR!$AU367,IF(J369="OCULUS",PR!$AV367,IF(J369="PACIFIC",PR!$AW367,IF(J369="PHAMATEX",PR!$AX367,IF(J369="PETHICS",PR!$AY367,IF(J369="PHILIPS",PR!$AZ367,IF(J369="RANBAXY",PR!$BA367,IF(J369="REALS",PR!$BB367,IF(J369="ROYAL",PR!$BC367,IF(J369="SAM",PR!$BD367,IF(J369="SEAGREEN",PR!$BE367,IF(J369="SKG",PR!$BF367,IF(J369="TAH",PR!$BG367,IF(J369="TAYLEK",PR!$BH367,IF(J369="TEMITA",PR!$BI367,IF(J369="THL",PR!$BJ367,IF(J369="UBASTIC",PR!$BK367,IF(J369="UNION",PR!$BL367,IF(J369="UNIQUE",PR!$BM367,IF(J369="VIXA",PR!$BN367,IF(J369="WWCV",PR!$BO367,IF(J369="ZOLON",PR!$BP367,"-"))))))))))))))))))))))))))))))))))))))))))))))))))))))))))))))))</f>
        <v>488.72</v>
      </c>
      <c r="J369" s="102" t="str">
        <f>EV!N473</f>
        <v>SKG</v>
      </c>
      <c r="K369" s="433" t="s">
        <v>2197</v>
      </c>
      <c r="L369" s="183" t="str">
        <f>IF(K369&gt;0,IF(K369="ALPHA",PR!$E367,IF(K369="ASSENE",PR!$F367,IF(K369="BIOFEM",PR!$G367,IF(K369="BIOMED",PR!$H367,IF(K369="CHI",PR!$I367,IF(K369="CLARION",PR!$J367,IF(K369="CODIX",PR!$K367,IF(K369="COSMADE",PR!$L367,IF(K369="SANCON",PR!$M367,IF(K369="DEVON",PR!$N367,IF(K369="DORTEMAG",PR!$O367,IF(K369="DGF",PR!$P367,IF(K369="DYNAMIC",PR!$Q367,IF(K369="EMZOR",PR!$R367,IF(K369="EUMATT",PR!$S367,IF(K369="FIDSON",PR!$T367,IF(K369="FCGLOBAL",PR!$U367,IF(K369="GENEITH",PR!$V367,IF(K369="GINOS",PR!$W367,IF(K369="GSK",PR!$X367,IF(K369="GLOBORG",PR!$Y367,IF(K369="GOODNEWS",PR!$Z367,IF(K369="GREENLIFE",PR!$AA367,IF(K369="HLINE",PR!$AB367,IF(K369="ROTECH",PR!$AC367,IF(K369="ISN",PR!$AD367,IF(K369="JAWA",PR!$AE367,IF(K369="LAYO",PR!$AF367,IF(K369="LEADWAY",PR!$AG367,IF(K369="LHV",PR!$AH367,IF(K369="MANOLA",PR!$AI367,IF(K369="MARCSON",PR!$AJ367,IF(K369="M&amp;B",PR!$AK367,IF(K369="MTRUST",PR!$AL367,IF(K369="MWORLD",PR!$AM367,IF(K369="MEGA",PR!$AN367,IF(K369="MICRONOVA",PR!$AO367,IF(K369="MFLASH",PR!$AP367,IF(K369="MORISON",PR!$AQ367,IF(K369="NEMEL",PR!$AR367,IF(K369="NHP",PR!$AS367,IF(K369="NHC",PR!$AT367,IF(K369="OLEAF",PR!$AU367,IF(K369="OCULUS",PR!$AV367,IF(K369="PACIFIC",PR!$AW367,IF(K369="PHAMATEX",PR!$AX367,IF(K369="PETHICS",PR!$AY367,IF(K369="PHILIPS",PR!$AZ367,IF(K369="RANBAXY",PR!$BA367,IF(K369="REALS",PR!$BB367,IF(K369="ROYAL",PR!$BC367,IF(K369="SAM",PR!$BD367,IF(K369="SEAGREEN",PR!$BE367,IF(K369="SKG",PR!$BF367,IF(K369="TAH",PR!$BG367,IF(K369="TAYLEK",PR!$BH367,IF(K369="TEMITA",PR!$BI367,IF(K369="THL",PR!$BJ367,IF(K369="UBASTIC",PR!$BK367,IF(K369="UNION",PR!$BL367,IF(K369="UNIQUE",PR!$BM367,IF(K369="VIXA",PR!$BN367,IF(K369="WWCV",PR!$BO367,IF(K369="ZOLON",PR!$BP367,"-")))))))))))))))))))))))))))))))))))))))))))))))))))))))))))))))))</f>
        <v>-</v>
      </c>
    </row>
    <row r="370" spans="1:12" ht="18.75" x14ac:dyDescent="0.3">
      <c r="A370" s="430">
        <f>PR!A368</f>
        <v>338</v>
      </c>
      <c r="B370" s="15" t="str">
        <f>PR!B368</f>
        <v>VITAMIN B COMPLEX INJ</v>
      </c>
      <c r="C370" s="113" t="str">
        <f>PR!D368</f>
        <v>VIAL</v>
      </c>
      <c r="D370" s="113">
        <f>PR!C368</f>
        <v>3500</v>
      </c>
      <c r="E370" s="108">
        <f>IF(F370="ALPHA",PR!$E368,IF(F370="ASSENE",PR!$F368,IF(F370="BIOFEM",PR!$G368,IF(F370="BIOMED",PR!$H368,IF(F370="CHI",PR!$I368,IF(F370="CLARION",PR!$J368,IF(F370="CODIX",PR!$K368,IF(F370="COSMADE",PR!$L368,IF(F370="SANCON",PR!$M368,IF(F370="DEVON",PR!$N368,IF(F370="DORTEMAG",PR!$O368,IF(F370="DGF",PR!$P368,IF(F370="DYNAMIC",PR!$Q368,IF(F370="EMZOR",PR!$R368,IF(F370="EUMATT",PR!$S368,IF(F370="FIDSON",PR!$T368,IF(F370="FCGLOBAL",PR!$U368,IF(F370="GENEITH",PR!$V368,IF(F370="GINOS",PR!$W368,IF(F370="GSK",PR!$X368,IF(F370="GLOBORG",PR!$Y368,IF(F370="GOODNEWS",PR!$Z368,IF(F370="GREENLIFE",PR!$AA368,IF(F370="HLINE",PR!$AB368,IF(F370="ROTECH",PR!$AC368,IF(F370="ISN",PR!$AD368,IF(F370="JAWA",PR!$AE368,IF(F370="LAYO",PR!$AF368,IF(F370="LEADWAY",PR!$AG368,IF(F370="LHV",PR!$AH368,IF(F370="MANOLA",PR!$AI368,IF(F370="MARCSON",PR!$AJ368,IF(F370="M&amp;B",PR!$AK368,IF(F370="MTRUST",PR!$AL368,IF(F370="MWORLD",PR!$AM368,IF(F370="MEGA",PR!$AN368,IF(F370="MICRONOVA",PR!$AO368,IF(F370="MFLASH",PR!$AP368,IF(F370="MORISON",PR!$AQ368,IF(F370="NEMEL",PR!$AR368,IF(F370="NHP",PR!$AS368,IF(F370="NHC",PR!$AT368,IF(F370="OLEAF",PR!$AU368,IF(F370="OCULUS",PR!$AV368,IF(F370="PACIFIC",PR!$AW368,IF(F370="PHAMATEX",PR!$AX368,IF(F370="PETHICS",PR!$AY368,IF(F370="PHILIPS",PR!$AZ368,IF(F370="RANBAXY",PR!$BA368,IF(F370="REALS",PR!$BB368,IF(F370="ROYAL",PR!$BC368,IF(F370="SAM",PR!$BD368,IF(F370="SEAGREEN",PR!$BE368,IF(F370="SKG",PR!$BF368,IF(F370="TAH",PR!$BG368,IF(F370="TAYLEK",PR!$BH368,IF(F370="TEMITA",PR!$BI368,IF(F370="THL",PR!$BJ368,IF(F370="UBASTIC",PR!$BK368,IF(F370="UNION",PR!$BL368,IF(F370="UNIQUE",PR!$BM368,IF(F370="VIXA",PR!$BN368,IF(F370="WWCV",PR!$BO368,IF(F370="ZOLON",PR!$BP368,"-"))))))))))))))))))))))))))))))))))))))))))))))))))))))))))))))))</f>
        <v>85</v>
      </c>
      <c r="F370" s="102" t="str">
        <f>EV!L474</f>
        <v>JAWA</v>
      </c>
      <c r="G370" s="108">
        <f>IF(H370="ALPHA",PR!$E368,IF(H370="ASSENE",PR!$F368,IF(H370="BIOFEM",PR!$G368,IF(H370="BIOMED",PR!$H368,IF(H370="CHI",PR!$I368,IF(H370="CLARION",PR!$J368,IF(H370="CODIX",PR!$K368,IF(H370="COSMADE",PR!$L368,IF(H370="SANCON",PR!$M368,IF(H370="DEVON",PR!$N368,IF(H370="DORTEMAG",PR!$O368,IF(H370="DGF",PR!$P368,IF(H370="DYNAMIC",PR!$Q368,IF(H370="EMZOR",PR!$R368,IF(H370="EUMATT",PR!$S368,IF(H370="FIDSON",PR!$T368,IF(H370="FCGLOBAL",PR!$U368,IF(H370="GENEITH",PR!$V368,IF(H370="GINOS",PR!$W368,IF(H370="GSK",PR!$X368,IF(H370="GLOBORG",PR!$Y368,IF(H370="GOODNEWS",PR!$Z368,IF(H370="GREENLIFE",PR!$AA368,IF(H370="HLINE",PR!$AB368,IF(H370="ROTECH",PR!$AC368,IF(H370="ISN",PR!$AD368,IF(H370="JAWA",PR!$AE368,IF(H370="LAYO",PR!$AF368,IF(H370="LEADWAY",PR!$AG368,IF(H370="LHV",PR!$AH368,IF(H370="MANOLA",PR!$AI368,IF(H370="MARCSON",PR!$AJ368,IF(H370="M&amp;B",PR!$AK368,IF(H370="MTRUST",PR!$AL368,IF(H370="MWORLD",PR!$AM368,IF(H370="MEGA",PR!$AN368,IF(H370="MICRONOVA",PR!$AO368,IF(H370="MFLASH",PR!$AP368,IF(H370="MORISON",PR!$AQ368,IF(H370="NEMEL",PR!$AR368,IF(H370="NHP",PR!$AS368,IF(H370="NHC",PR!$AT368,IF(H370="OLEAF",PR!$AU368,IF(H370="OCULUS",PR!$AV368,IF(H370="PACIFIC",PR!$AW368,IF(H370="PHAMATEX",PR!$AX368,IF(H370="PETHICS",PR!$AY368,IF(H370="PHILIPS",PR!$AZ368,IF(H370="RANBAXY",PR!$BA368,IF(H370="REALS",PR!$BB368,IF(H370="ROYAL",PR!$BC368,IF(H370="SAM",PR!$BD368,IF(H370="SEAGREEN",PR!$BE368,IF(H370="SKG",PR!$BF368,IF(H370="TAH",PR!$BG368,IF(H370="TAYLEK",PR!$BH368,IF(H370="TEMITA",PR!$BI368,IF(H370="THL",PR!$BJ368,IF(H370="UBASTIC",PR!$BK368,IF(H370="UNION",PR!$BL368,IF(H370="UNIQUE",PR!$BM368,IF(H370="VIXA",PR!$BN368,IF(H370="WWCV",PR!$BO368,IF(H370="ZOLON",PR!$BP368,"-"))))))))))))))))))))))))))))))))))))))))))))))))))))))))))))))))</f>
        <v>85</v>
      </c>
      <c r="H370" s="102" t="str">
        <f>EV!M474</f>
        <v>LEADWAY</v>
      </c>
      <c r="I370" s="108">
        <f>IF(J370="ALPHA",PR!$E368,IF(J370="ASSENE",PR!$F368,IF(J370="BIOFEM",PR!$G368,IF(J370="BIOMED",PR!$H368,IF(J370="CHI",PR!$I368,IF(J370="CLARION",PR!$J368,IF(J370="CODIX",PR!$K368,IF(J370="COSMADE",PR!$L368,IF(J370="SANCON",PR!$M368,IF(J370="DEVON",PR!$N368,IF(J370="DORTEMAG",PR!$O368,IF(J370="DGF",PR!$P368,IF(J370="DYNAMIC",PR!$Q368,IF(J370="EMZOR",PR!$R368,IF(J370="EUMATT",PR!$S368,IF(J370="FIDSON",PR!$T368,IF(J370="FCGLOBAL",PR!$U368,IF(J370="GENEITH",PR!$V368,IF(J370="GINOS",PR!$W368,IF(J370="GSK",PR!$X368,IF(J370="GLOBORG",PR!$Y368,IF(J370="GOODNEWS",PR!$Z368,IF(J370="GREENLIFE",PR!$AA368,IF(J370="HLINE",PR!$AB368,IF(J370="ROTECH",PR!$AC368,IF(J370="ISN",PR!$AD368,IF(J370="JAWA",PR!$AE368,IF(J370="LAYO",PR!$AF368,IF(J370="LEADWAY",PR!$AG368,IF(J370="LHV",PR!$AH368,IF(J370="MANOLA",PR!$AI368,IF(J370="MARCSON",PR!$AJ368,IF(J370="M&amp;B",PR!$AK368,IF(J370="MTRUST",PR!$AL368,IF(J370="MWORLD",PR!$AM368,IF(J370="MEGA",PR!$AN368,IF(J370="MICRONOVA",PR!$AO368,IF(J370="MFLASH",PR!$AP368,IF(J370="MORISON",PR!$AQ368,IF(J370="NEMEL",PR!$AR368,IF(J370="NHP",PR!$AS368,IF(J370="NHC",PR!$AT368,IF(J370="OLEAF",PR!$AU368,IF(J370="OCULUS",PR!$AV368,IF(J370="PACIFIC",PR!$AW368,IF(J370="PHAMATEX",PR!$AX368,IF(J370="PETHICS",PR!$AY368,IF(J370="PHILIPS",PR!$AZ368,IF(J370="RANBAXY",PR!$BA368,IF(J370="REALS",PR!$BB368,IF(J370="ROYAL",PR!$BC368,IF(J370="SAM",PR!$BD368,IF(J370="SEAGREEN",PR!$BE368,IF(J370="SKG",PR!$BF368,IF(J370="TAH",PR!$BG368,IF(J370="TAYLEK",PR!$BH368,IF(J370="TEMITA",PR!$BI368,IF(J370="THL",PR!$BJ368,IF(J370="UBASTIC",PR!$BK368,IF(J370="UNION",PR!$BL368,IF(J370="UNIQUE",PR!$BM368,IF(J370="VIXA",PR!$BN368,IF(J370="WWCV",PR!$BO368,IF(J370="ZOLON",PR!$BP368,"-"))))))))))))))))))))))))))))))))))))))))))))))))))))))))))))))))</f>
        <v>130</v>
      </c>
      <c r="J370" s="102" t="str">
        <f>EV!N474</f>
        <v>EUMATT</v>
      </c>
      <c r="K370" s="433" t="s">
        <v>623</v>
      </c>
      <c r="L370" s="183">
        <f>IF(K370&gt;0,IF(K370="ALPHA",PR!$E368,IF(K370="ASSENE",PR!$F368,IF(K370="BIOFEM",PR!$G368,IF(K370="BIOMED",PR!$H368,IF(K370="CHI",PR!$I368,IF(K370="CLARION",PR!$J368,IF(K370="CODIX",PR!$K368,IF(K370="COSMADE",PR!$L368,IF(K370="SANCON",PR!$M368,IF(K370="DEVON",PR!$N368,IF(K370="DORTEMAG",PR!$O368,IF(K370="DGF",PR!$P368,IF(K370="DYNAMIC",PR!$Q368,IF(K370="EMZOR",PR!$R368,IF(K370="EUMATT",PR!$S368,IF(K370="FIDSON",PR!$T368,IF(K370="FCGLOBAL",PR!$U368,IF(K370="GENEITH",PR!$V368,IF(K370="GINOS",PR!$W368,IF(K370="GSK",PR!$X368,IF(K370="GLOBORG",PR!$Y368,IF(K370="GOODNEWS",PR!$Z368,IF(K370="GREENLIFE",PR!$AA368,IF(K370="HLINE",PR!$AB368,IF(K370="ROTECH",PR!$AC368,IF(K370="ISN",PR!$AD368,IF(K370="JAWA",PR!$AE368,IF(K370="LAYO",PR!$AF368,IF(K370="LEADWAY",PR!$AG368,IF(K370="LHV",PR!$AH368,IF(K370="MANOLA",PR!$AI368,IF(K370="MARCSON",PR!$AJ368,IF(K370="M&amp;B",PR!$AK368,IF(K370="MTRUST",PR!$AL368,IF(K370="MWORLD",PR!$AM368,IF(K370="MEGA",PR!$AN368,IF(K370="MICRONOVA",PR!$AO368,IF(K370="MFLASH",PR!$AP368,IF(K370="MORISON",PR!$AQ368,IF(K370="NEMEL",PR!$AR368,IF(K370="NHP",PR!$AS368,IF(K370="NHC",PR!$AT368,IF(K370="OLEAF",PR!$AU368,IF(K370="OCULUS",PR!$AV368,IF(K370="PACIFIC",PR!$AW368,IF(K370="PHAMATEX",PR!$AX368,IF(K370="PETHICS",PR!$AY368,IF(K370="PHILIPS",PR!$AZ368,IF(K370="RANBAXY",PR!$BA368,IF(K370="REALS",PR!$BB368,IF(K370="ROYAL",PR!$BC368,IF(K370="SAM",PR!$BD368,IF(K370="SEAGREEN",PR!$BE368,IF(K370="SKG",PR!$BF368,IF(K370="TAH",PR!$BG368,IF(K370="TAYLEK",PR!$BH368,IF(K370="TEMITA",PR!$BI368,IF(K370="THL",PR!$BJ368,IF(K370="UBASTIC",PR!$BK368,IF(K370="UNION",PR!$BL368,IF(K370="UNIQUE",PR!$BM368,IF(K370="VIXA",PR!$BN368,IF(K370="WWCV",PR!$BO368,IF(K370="ZOLON",PR!$BP368,"-")))))))))))))))))))))))))))))))))))))))))))))))))))))))))))))))))</f>
        <v>85</v>
      </c>
    </row>
    <row r="371" spans="1:12" ht="18.75" x14ac:dyDescent="0.3">
      <c r="A371" s="430">
        <f>PR!A369</f>
        <v>339</v>
      </c>
      <c r="B371" s="15" t="str">
        <f>PR!B369</f>
        <v>VITAMIN B COMPLEX SYRUP</v>
      </c>
      <c r="C371" s="113" t="str">
        <f>PR!D369</f>
        <v>BOTT</v>
      </c>
      <c r="D371" s="113">
        <f>PR!C369</f>
        <v>800</v>
      </c>
      <c r="E371" s="108">
        <f>IF(F371="ALPHA",PR!$E369,IF(F371="ASSENE",PR!$F369,IF(F371="BIOFEM",PR!$G369,IF(F371="BIOMED",PR!$H369,IF(F371="CHI",PR!$I369,IF(F371="CLARION",PR!$J369,IF(F371="CODIX",PR!$K369,IF(F371="COSMADE",PR!$L369,IF(F371="SANCON",PR!$M369,IF(F371="DEVON",PR!$N369,IF(F371="DORTEMAG",PR!$O369,IF(F371="DGF",PR!$P369,IF(F371="DYNAMIC",PR!$Q369,IF(F371="EMZOR",PR!$R369,IF(F371="EUMATT",PR!$S369,IF(F371="FIDSON",PR!$T369,IF(F371="FCGLOBAL",PR!$U369,IF(F371="GENEITH",PR!$V369,IF(F371="GINOS",PR!$W369,IF(F371="GSK",PR!$X369,IF(F371="GLOBORG",PR!$Y369,IF(F371="GOODNEWS",PR!$Z369,IF(F371="GREENLIFE",PR!$AA369,IF(F371="HLINE",PR!$AB369,IF(F371="ROTECH",PR!$AC369,IF(F371="ISN",PR!$AD369,IF(F371="JAWA",PR!$AE369,IF(F371="LAYO",PR!$AF369,IF(F371="LEADWAY",PR!$AG369,IF(F371="LHV",PR!$AH369,IF(F371="MANOLA",PR!$AI369,IF(F371="MARCSON",PR!$AJ369,IF(F371="M&amp;B",PR!$AK369,IF(F371="MTRUST",PR!$AL369,IF(F371="MWORLD",PR!$AM369,IF(F371="MEGA",PR!$AN369,IF(F371="MICRONOVA",PR!$AO369,IF(F371="MFLASH",PR!$AP369,IF(F371="MORISON",PR!$AQ369,IF(F371="NEMEL",PR!$AR369,IF(F371="NHP",PR!$AS369,IF(F371="NHC",PR!$AT369,IF(F371="OLEAF",PR!$AU369,IF(F371="OCULUS",PR!$AV369,IF(F371="PACIFIC",PR!$AW369,IF(F371="PHAMATEX",PR!$AX369,IF(F371="PETHICS",PR!$AY369,IF(F371="PHILIPS",PR!$AZ369,IF(F371="RANBAXY",PR!$BA369,IF(F371="REALS",PR!$BB369,IF(F371="ROYAL",PR!$BC369,IF(F371="SAM",PR!$BD369,IF(F371="SEAGREEN",PR!$BE369,IF(F371="SKG",PR!$BF369,IF(F371="TAH",PR!$BG369,IF(F371="TAYLEK",PR!$BH369,IF(F371="TEMITA",PR!$BI369,IF(F371="THL",PR!$BJ369,IF(F371="UBASTIC",PR!$BK369,IF(F371="UNION",PR!$BL369,IF(F371="UNIQUE",PR!$BM369,IF(F371="VIXA",PR!$BN369,IF(F371="WWCV",PR!$BO369,IF(F371="ZOLON",PR!$BP369,"-"))))))))))))))))))))))))))))))))))))))))))))))))))))))))))))))))</f>
        <v>95</v>
      </c>
      <c r="F371" s="102" t="str">
        <f>EV!L475</f>
        <v>EUMATT</v>
      </c>
      <c r="G371" s="108">
        <f>IF(H371="ALPHA",PR!$E369,IF(H371="ASSENE",PR!$F369,IF(H371="BIOFEM",PR!$G369,IF(H371="BIOMED",PR!$H369,IF(H371="CHI",PR!$I369,IF(H371="CLARION",PR!$J369,IF(H371="CODIX",PR!$K369,IF(H371="COSMADE",PR!$L369,IF(H371="SANCON",PR!$M369,IF(H371="DEVON",PR!$N369,IF(H371="DORTEMAG",PR!$O369,IF(H371="DGF",PR!$P369,IF(H371="DYNAMIC",PR!$Q369,IF(H371="EMZOR",PR!$R369,IF(H371="EUMATT",PR!$S369,IF(H371="FIDSON",PR!$T369,IF(H371="FCGLOBAL",PR!$U369,IF(H371="GENEITH",PR!$V369,IF(H371="GINOS",PR!$W369,IF(H371="GSK",PR!$X369,IF(H371="GLOBORG",PR!$Y369,IF(H371="GOODNEWS",PR!$Z369,IF(H371="GREENLIFE",PR!$AA369,IF(H371="HLINE",PR!$AB369,IF(H371="ROTECH",PR!$AC369,IF(H371="ISN",PR!$AD369,IF(H371="JAWA",PR!$AE369,IF(H371="LAYO",PR!$AF369,IF(H371="LEADWAY",PR!$AG369,IF(H371="LHV",PR!$AH369,IF(H371="MANOLA",PR!$AI369,IF(H371="MARCSON",PR!$AJ369,IF(H371="M&amp;B",PR!$AK369,IF(H371="MTRUST",PR!$AL369,IF(H371="MWORLD",PR!$AM369,IF(H371="MEGA",PR!$AN369,IF(H371="MICRONOVA",PR!$AO369,IF(H371="MFLASH",PR!$AP369,IF(H371="MORISON",PR!$AQ369,IF(H371="NEMEL",PR!$AR369,IF(H371="NHP",PR!$AS369,IF(H371="NHC",PR!$AT369,IF(H371="OLEAF",PR!$AU369,IF(H371="OCULUS",PR!$AV369,IF(H371="PACIFIC",PR!$AW369,IF(H371="PHAMATEX",PR!$AX369,IF(H371="PETHICS",PR!$AY369,IF(H371="PHILIPS",PR!$AZ369,IF(H371="RANBAXY",PR!$BA369,IF(H371="REALS",PR!$BB369,IF(H371="ROYAL",PR!$BC369,IF(H371="SAM",PR!$BD369,IF(H371="SEAGREEN",PR!$BE369,IF(H371="SKG",PR!$BF369,IF(H371="TAH",PR!$BG369,IF(H371="TAYLEK",PR!$BH369,IF(H371="TEMITA",PR!$BI369,IF(H371="THL",PR!$BJ369,IF(H371="UBASTIC",PR!$BK369,IF(H371="UNION",PR!$BL369,IF(H371="UNIQUE",PR!$BM369,IF(H371="VIXA",PR!$BN369,IF(H371="WWCV",PR!$BO369,IF(H371="ZOLON",PR!$BP369,"-"))))))))))))))))))))))))))))))))))))))))))))))))))))))))))))))))</f>
        <v>107</v>
      </c>
      <c r="H371" s="102" t="str">
        <f>EV!M475</f>
        <v>UNIQUE</v>
      </c>
      <c r="I371" s="108">
        <f>IF(J371="ALPHA",PR!$E369,IF(J371="ASSENE",PR!$F369,IF(J371="BIOFEM",PR!$G369,IF(J371="BIOMED",PR!$H369,IF(J371="CHI",PR!$I369,IF(J371="CLARION",PR!$J369,IF(J371="CODIX",PR!$K369,IF(J371="COSMADE",PR!$L369,IF(J371="SANCON",PR!$M369,IF(J371="DEVON",PR!$N369,IF(J371="DORTEMAG",PR!$O369,IF(J371="DGF",PR!$P369,IF(J371="DYNAMIC",PR!$Q369,IF(J371="EMZOR",PR!$R369,IF(J371="EUMATT",PR!$S369,IF(J371="FIDSON",PR!$T369,IF(J371="FCGLOBAL",PR!$U369,IF(J371="GENEITH",PR!$V369,IF(J371="GINOS",PR!$W369,IF(J371="GSK",PR!$X369,IF(J371="GLOBORG",PR!$Y369,IF(J371="GOODNEWS",PR!$Z369,IF(J371="GREENLIFE",PR!$AA369,IF(J371="HLINE",PR!$AB369,IF(J371="ROTECH",PR!$AC369,IF(J371="ISN",PR!$AD369,IF(J371="JAWA",PR!$AE369,IF(J371="LAYO",PR!$AF369,IF(J371="LEADWAY",PR!$AG369,IF(J371="LHV",PR!$AH369,IF(J371="MANOLA",PR!$AI369,IF(J371="MARCSON",PR!$AJ369,IF(J371="M&amp;B",PR!$AK369,IF(J371="MTRUST",PR!$AL369,IF(J371="MWORLD",PR!$AM369,IF(J371="MEGA",PR!$AN369,IF(J371="MICRONOVA",PR!$AO369,IF(J371="MFLASH",PR!$AP369,IF(J371="MORISON",PR!$AQ369,IF(J371="NEMEL",PR!$AR369,IF(J371="NHP",PR!$AS369,IF(J371="NHC",PR!$AT369,IF(J371="OLEAF",PR!$AU369,IF(J371="OCULUS",PR!$AV369,IF(J371="PACIFIC",PR!$AW369,IF(J371="PHAMATEX",PR!$AX369,IF(J371="PETHICS",PR!$AY369,IF(J371="PHILIPS",PR!$AZ369,IF(J371="RANBAXY",PR!$BA369,IF(J371="REALS",PR!$BB369,IF(J371="ROYAL",PR!$BC369,IF(J371="SAM",PR!$BD369,IF(J371="SEAGREEN",PR!$BE369,IF(J371="SKG",PR!$BF369,IF(J371="TAH",PR!$BG369,IF(J371="TAYLEK",PR!$BH369,IF(J371="TEMITA",PR!$BI369,IF(J371="THL",PR!$BJ369,IF(J371="UBASTIC",PR!$BK369,IF(J371="UNION",PR!$BL369,IF(J371="UNIQUE",PR!$BM369,IF(J371="VIXA",PR!$BN369,IF(J371="WWCV",PR!$BO369,IF(J371="ZOLON",PR!$BP369,"-"))))))))))))))))))))))))))))))))))))))))))))))))))))))))))))))))</f>
        <v>125</v>
      </c>
      <c r="J371" s="102" t="str">
        <f>EV!N475</f>
        <v>FIDSON</v>
      </c>
      <c r="K371" s="433" t="s">
        <v>821</v>
      </c>
      <c r="L371" s="183">
        <f>IF(K371&gt;0,IF(K371="ALPHA",PR!$E369,IF(K371="ASSENE",PR!$F369,IF(K371="BIOFEM",PR!$G369,IF(K371="BIOMED",PR!$H369,IF(K371="CHI",PR!$I369,IF(K371="CLARION",PR!$J369,IF(K371="CODIX",PR!$K369,IF(K371="COSMADE",PR!$L369,IF(K371="SANCON",PR!$M369,IF(K371="DEVON",PR!$N369,IF(K371="DORTEMAG",PR!$O369,IF(K371="DGF",PR!$P369,IF(K371="DYNAMIC",PR!$Q369,IF(K371="EMZOR",PR!$R369,IF(K371="EUMATT",PR!$S369,IF(K371="FIDSON",PR!$T369,IF(K371="FCGLOBAL",PR!$U369,IF(K371="GENEITH",PR!$V369,IF(K371="GINOS",PR!$W369,IF(K371="GSK",PR!$X369,IF(K371="GLOBORG",PR!$Y369,IF(K371="GOODNEWS",PR!$Z369,IF(K371="GREENLIFE",PR!$AA369,IF(K371="HLINE",PR!$AB369,IF(K371="ROTECH",PR!$AC369,IF(K371="ISN",PR!$AD369,IF(K371="JAWA",PR!$AE369,IF(K371="LAYO",PR!$AF369,IF(K371="LEADWAY",PR!$AG369,IF(K371="LHV",PR!$AH369,IF(K371="MANOLA",PR!$AI369,IF(K371="MARCSON",PR!$AJ369,IF(K371="M&amp;B",PR!$AK369,IF(K371="MTRUST",PR!$AL369,IF(K371="MWORLD",PR!$AM369,IF(K371="MEGA",PR!$AN369,IF(K371="MICRONOVA",PR!$AO369,IF(K371="MFLASH",PR!$AP369,IF(K371="MORISON",PR!$AQ369,IF(K371="NEMEL",PR!$AR369,IF(K371="NHP",PR!$AS369,IF(K371="NHC",PR!$AT369,IF(K371="OLEAF",PR!$AU369,IF(K371="OCULUS",PR!$AV369,IF(K371="PACIFIC",PR!$AW369,IF(K371="PHAMATEX",PR!$AX369,IF(K371="PETHICS",PR!$AY369,IF(K371="PHILIPS",PR!$AZ369,IF(K371="RANBAXY",PR!$BA369,IF(K371="REALS",PR!$BB369,IF(K371="ROYAL",PR!$BC369,IF(K371="SAM",PR!$BD369,IF(K371="SEAGREEN",PR!$BE369,IF(K371="SKG",PR!$BF369,IF(K371="TAH",PR!$BG369,IF(K371="TAYLEK",PR!$BH369,IF(K371="TEMITA",PR!$BI369,IF(K371="THL",PR!$BJ369,IF(K371="UBASTIC",PR!$BK369,IF(K371="UNION",PR!$BL369,IF(K371="UNIQUE",PR!$BM369,IF(K371="VIXA",PR!$BN369,IF(K371="WWCV",PR!$BO369,IF(K371="ZOLON",PR!$BP369,"-")))))))))))))))))))))))))))))))))))))))))))))))))))))))))))))))))</f>
        <v>95</v>
      </c>
    </row>
    <row r="372" spans="1:12" ht="18.75" x14ac:dyDescent="0.3">
      <c r="A372" s="430">
        <f>PR!A370</f>
        <v>340</v>
      </c>
      <c r="B372" s="15" t="str">
        <f>PR!B370</f>
        <v>VITAMIN C 100MG (CHEWABLE)</v>
      </c>
      <c r="C372" s="113">
        <f>PR!D370</f>
        <v>1000</v>
      </c>
      <c r="D372" s="113">
        <f>PR!C370</f>
        <v>400</v>
      </c>
      <c r="E372" s="108">
        <f>IF(F372="ALPHA",PR!$E370,IF(F372="ASSENE",PR!$F370,IF(F372="BIOFEM",PR!$G370,IF(F372="BIOMED",PR!$H370,IF(F372="CHI",PR!$I370,IF(F372="CLARION",PR!$J370,IF(F372="CODIX",PR!$K370,IF(F372="COSMADE",PR!$L370,IF(F372="SANCON",PR!$M370,IF(F372="DEVON",PR!$N370,IF(F372="DORTEMAG",PR!$O370,IF(F372="DGF",PR!$P370,IF(F372="DYNAMIC",PR!$Q370,IF(F372="EMZOR",PR!$R370,IF(F372="EUMATT",PR!$S370,IF(F372="FIDSON",PR!$T370,IF(F372="FCGLOBAL",PR!$U370,IF(F372="GENEITH",PR!$V370,IF(F372="GINOS",PR!$W370,IF(F372="GSK",PR!$X370,IF(F372="GLOBORG",PR!$Y370,IF(F372="GOODNEWS",PR!$Z370,IF(F372="GREENLIFE",PR!$AA370,IF(F372="HLINE",PR!$AB370,IF(F372="ROTECH",PR!$AC370,IF(F372="ISN",PR!$AD370,IF(F372="JAWA",PR!$AE370,IF(F372="LAYO",PR!$AF370,IF(F372="LEADWAY",PR!$AG370,IF(F372="LHV",PR!$AH370,IF(F372="MANOLA",PR!$AI370,IF(F372="MARCSON",PR!$AJ370,IF(F372="M&amp;B",PR!$AK370,IF(F372="MTRUST",PR!$AL370,IF(F372="MWORLD",PR!$AM370,IF(F372="MEGA",PR!$AN370,IF(F372="MICRONOVA",PR!$AO370,IF(F372="MFLASH",PR!$AP370,IF(F372="MORISON",PR!$AQ370,IF(F372="NEMEL",PR!$AR370,IF(F372="NHP",PR!$AS370,IF(F372="NHC",PR!$AT370,IF(F372="OLEAF",PR!$AU370,IF(F372="OCULUS",PR!$AV370,IF(F372="PACIFIC",PR!$AW370,IF(F372="PHAMATEX",PR!$AX370,IF(F372="PETHICS",PR!$AY370,IF(F372="PHILIPS",PR!$AZ370,IF(F372="RANBAXY",PR!$BA370,IF(F372="REALS",PR!$BB370,IF(F372="ROYAL",PR!$BC370,IF(F372="SAM",PR!$BD370,IF(F372="SEAGREEN",PR!$BE370,IF(F372="SKG",PR!$BF370,IF(F372="TAH",PR!$BG370,IF(F372="TAYLEK",PR!$BH370,IF(F372="TEMITA",PR!$BI370,IF(F372="THL",PR!$BJ370,IF(F372="UBASTIC",PR!$BK370,IF(F372="UNION",PR!$BL370,IF(F372="UNIQUE",PR!$BM370,IF(F372="VIXA",PR!$BN370,IF(F372="WWCV",PR!$BO370,IF(F372="ZOLON",PR!$BP370,"-"))))))))))))))))))))))))))))))))))))))))))))))))))))))))))))))))</f>
        <v>650</v>
      </c>
      <c r="F372" s="102" t="str">
        <f>EV!L476</f>
        <v>EUMATT</v>
      </c>
      <c r="G372" s="108">
        <f>IF(H372="ALPHA",PR!$E370,IF(H372="ASSENE",PR!$F370,IF(H372="BIOFEM",PR!$G370,IF(H372="BIOMED",PR!$H370,IF(H372="CHI",PR!$I370,IF(H372="CLARION",PR!$J370,IF(H372="CODIX",PR!$K370,IF(H372="COSMADE",PR!$L370,IF(H372="SANCON",PR!$M370,IF(H372="DEVON",PR!$N370,IF(H372="DORTEMAG",PR!$O370,IF(H372="DGF",PR!$P370,IF(H372="DYNAMIC",PR!$Q370,IF(H372="EMZOR",PR!$R370,IF(H372="EUMATT",PR!$S370,IF(H372="FIDSON",PR!$T370,IF(H372="FCGLOBAL",PR!$U370,IF(H372="GENEITH",PR!$V370,IF(H372="GINOS",PR!$W370,IF(H372="GSK",PR!$X370,IF(H372="GLOBORG",PR!$Y370,IF(H372="GOODNEWS",PR!$Z370,IF(H372="GREENLIFE",PR!$AA370,IF(H372="HLINE",PR!$AB370,IF(H372="ROTECH",PR!$AC370,IF(H372="ISN",PR!$AD370,IF(H372="JAWA",PR!$AE370,IF(H372="LAYO",PR!$AF370,IF(H372="LEADWAY",PR!$AG370,IF(H372="LHV",PR!$AH370,IF(H372="MANOLA",PR!$AI370,IF(H372="MARCSON",PR!$AJ370,IF(H372="M&amp;B",PR!$AK370,IF(H372="MTRUST",PR!$AL370,IF(H372="MWORLD",PR!$AM370,IF(H372="MEGA",PR!$AN370,IF(H372="MICRONOVA",PR!$AO370,IF(H372="MFLASH",PR!$AP370,IF(H372="MORISON",PR!$AQ370,IF(H372="NEMEL",PR!$AR370,IF(H372="NHP",PR!$AS370,IF(H372="NHC",PR!$AT370,IF(H372="OLEAF",PR!$AU370,IF(H372="OCULUS",PR!$AV370,IF(H372="PACIFIC",PR!$AW370,IF(H372="PHAMATEX",PR!$AX370,IF(H372="PETHICS",PR!$AY370,IF(H372="PHILIPS",PR!$AZ370,IF(H372="RANBAXY",PR!$BA370,IF(H372="REALS",PR!$BB370,IF(H372="ROYAL",PR!$BC370,IF(H372="SAM",PR!$BD370,IF(H372="SEAGREEN",PR!$BE370,IF(H372="SKG",PR!$BF370,IF(H372="TAH",PR!$BG370,IF(H372="TAYLEK",PR!$BH370,IF(H372="TEMITA",PR!$BI370,IF(H372="THL",PR!$BJ370,IF(H372="UBASTIC",PR!$BK370,IF(H372="UNION",PR!$BL370,IF(H372="UNIQUE",PR!$BM370,IF(H372="VIXA",PR!$BN370,IF(H372="WWCV",PR!$BO370,IF(H372="ZOLON",PR!$BP370,"-"))))))))))))))))))))))))))))))))))))))))))))))))))))))))))))))))</f>
        <v>700</v>
      </c>
      <c r="H372" s="102" t="str">
        <f>EV!M476</f>
        <v>NHC</v>
      </c>
      <c r="I372" s="108">
        <f>IF(J372="ALPHA",PR!$E370,IF(J372="ASSENE",PR!$F370,IF(J372="BIOFEM",PR!$G370,IF(J372="BIOMED",PR!$H370,IF(J372="CHI",PR!$I370,IF(J372="CLARION",PR!$J370,IF(J372="CODIX",PR!$K370,IF(J372="COSMADE",PR!$L370,IF(J372="SANCON",PR!$M370,IF(J372="DEVON",PR!$N370,IF(J372="DORTEMAG",PR!$O370,IF(J372="DGF",PR!$P370,IF(J372="DYNAMIC",PR!$Q370,IF(J372="EMZOR",PR!$R370,IF(J372="EUMATT",PR!$S370,IF(J372="FIDSON",PR!$T370,IF(J372="FCGLOBAL",PR!$U370,IF(J372="GENEITH",PR!$V370,IF(J372="GINOS",PR!$W370,IF(J372="GSK",PR!$X370,IF(J372="GLOBORG",PR!$Y370,IF(J372="GOODNEWS",PR!$Z370,IF(J372="GREENLIFE",PR!$AA370,IF(J372="HLINE",PR!$AB370,IF(J372="ROTECH",PR!$AC370,IF(J372="ISN",PR!$AD370,IF(J372="JAWA",PR!$AE370,IF(J372="LAYO",PR!$AF370,IF(J372="LEADWAY",PR!$AG370,IF(J372="LHV",PR!$AH370,IF(J372="MANOLA",PR!$AI370,IF(J372="MARCSON",PR!$AJ370,IF(J372="M&amp;B",PR!$AK370,IF(J372="MTRUST",PR!$AL370,IF(J372="MWORLD",PR!$AM370,IF(J372="MEGA",PR!$AN370,IF(J372="MICRONOVA",PR!$AO370,IF(J372="MFLASH",PR!$AP370,IF(J372="MORISON",PR!$AQ370,IF(J372="NEMEL",PR!$AR370,IF(J372="NHP",PR!$AS370,IF(J372="NHC",PR!$AT370,IF(J372="OLEAF",PR!$AU370,IF(J372="OCULUS",PR!$AV370,IF(J372="PACIFIC",PR!$AW370,IF(J372="PHAMATEX",PR!$AX370,IF(J372="PETHICS",PR!$AY370,IF(J372="PHILIPS",PR!$AZ370,IF(J372="RANBAXY",PR!$BA370,IF(J372="REALS",PR!$BB370,IF(J372="ROYAL",PR!$BC370,IF(J372="SAM",PR!$BD370,IF(J372="SEAGREEN",PR!$BE370,IF(J372="SKG",PR!$BF370,IF(J372="TAH",PR!$BG370,IF(J372="TAYLEK",PR!$BH370,IF(J372="TEMITA",PR!$BI370,IF(J372="THL",PR!$BJ370,IF(J372="UBASTIC",PR!$BK370,IF(J372="UNION",PR!$BL370,IF(J372="UNIQUE",PR!$BM370,IF(J372="VIXA",PR!$BN370,IF(J372="WWCV",PR!$BO370,IF(J372="ZOLON",PR!$BP370,"-"))))))))))))))))))))))))))))))))))))))))))))))))))))))))))))))))</f>
        <v>730</v>
      </c>
      <c r="J372" s="102" t="str">
        <f>EV!N476</f>
        <v>SAM</v>
      </c>
      <c r="K372" s="433" t="s">
        <v>622</v>
      </c>
      <c r="L372" s="183">
        <f>IF(K372&gt;0,IF(K372="ALPHA",PR!$E370,IF(K372="ASSENE",PR!$F370,IF(K372="BIOFEM",PR!$G370,IF(K372="BIOMED",PR!$H370,IF(K372="CHI",PR!$I370,IF(K372="CLARION",PR!$J370,IF(K372="CODIX",PR!$K370,IF(K372="COSMADE",PR!$L370,IF(K372="SANCON",PR!$M370,IF(K372="DEVON",PR!$N370,IF(K372="DORTEMAG",PR!$O370,IF(K372="DGF",PR!$P370,IF(K372="DYNAMIC",PR!$Q370,IF(K372="EMZOR",PR!$R370,IF(K372="EUMATT",PR!$S370,IF(K372="FIDSON",PR!$T370,IF(K372="FCGLOBAL",PR!$U370,IF(K372="GENEITH",PR!$V370,IF(K372="GINOS",PR!$W370,IF(K372="GSK",PR!$X370,IF(K372="GLOBORG",PR!$Y370,IF(K372="GOODNEWS",PR!$Z370,IF(K372="GREENLIFE",PR!$AA370,IF(K372="HLINE",PR!$AB370,IF(K372="ROTECH",PR!$AC370,IF(K372="ISN",PR!$AD370,IF(K372="JAWA",PR!$AE370,IF(K372="LAYO",PR!$AF370,IF(K372="LEADWAY",PR!$AG370,IF(K372="LHV",PR!$AH370,IF(K372="MANOLA",PR!$AI370,IF(K372="MARCSON",PR!$AJ370,IF(K372="M&amp;B",PR!$AK370,IF(K372="MTRUST",PR!$AL370,IF(K372="MWORLD",PR!$AM370,IF(K372="MEGA",PR!$AN370,IF(K372="MICRONOVA",PR!$AO370,IF(K372="MFLASH",PR!$AP370,IF(K372="MORISON",PR!$AQ370,IF(K372="NEMEL",PR!$AR370,IF(K372="NHP",PR!$AS370,IF(K372="NHC",PR!$AT370,IF(K372="OLEAF",PR!$AU370,IF(K372="OCULUS",PR!$AV370,IF(K372="PACIFIC",PR!$AW370,IF(K372="PHAMATEX",PR!$AX370,IF(K372="PETHICS",PR!$AY370,IF(K372="PHILIPS",PR!$AZ370,IF(K372="RANBAXY",PR!$BA370,IF(K372="REALS",PR!$BB370,IF(K372="ROYAL",PR!$BC370,IF(K372="SAM",PR!$BD370,IF(K372="SEAGREEN",PR!$BE370,IF(K372="SKG",PR!$BF370,IF(K372="TAH",PR!$BG370,IF(K372="TAYLEK",PR!$BH370,IF(K372="TEMITA",PR!$BI370,IF(K372="THL",PR!$BJ370,IF(K372="UBASTIC",PR!$BK370,IF(K372="UNION",PR!$BL370,IF(K372="UNIQUE",PR!$BM370,IF(K372="VIXA",PR!$BN370,IF(K372="WWCV",PR!$BO370,IF(K372="ZOLON",PR!$BP370,"-")))))))))))))))))))))))))))))))))))))))))))))))))))))))))))))))))</f>
        <v>730</v>
      </c>
    </row>
    <row r="373" spans="1:12" ht="18.75" x14ac:dyDescent="0.3">
      <c r="A373" s="430">
        <f>PR!A371</f>
        <v>341</v>
      </c>
      <c r="B373" s="15" t="str">
        <f>PR!B371</f>
        <v>VITAMIN C 100MG (WHITE)</v>
      </c>
      <c r="C373" s="113">
        <f>PR!D371</f>
        <v>1000</v>
      </c>
      <c r="D373" s="113">
        <f>PR!C371</f>
        <v>800</v>
      </c>
      <c r="E373" s="108">
        <f>IF(F373="ALPHA",PR!$E371,IF(F373="ASSENE",PR!$F371,IF(F373="BIOFEM",PR!$G371,IF(F373="BIOMED",PR!$H371,IF(F373="CHI",PR!$I371,IF(F373="CLARION",PR!$J371,IF(F373="CODIX",PR!$K371,IF(F373="COSMADE",PR!$L371,IF(F373="SANCON",PR!$M371,IF(F373="DEVON",PR!$N371,IF(F373="DORTEMAG",PR!$O371,IF(F373="DGF",PR!$P371,IF(F373="DYNAMIC",PR!$Q371,IF(F373="EMZOR",PR!$R371,IF(F373="EUMATT",PR!$S371,IF(F373="FIDSON",PR!$T371,IF(F373="FCGLOBAL",PR!$U371,IF(F373="GENEITH",PR!$V371,IF(F373="GINOS",PR!$W371,IF(F373="GSK",PR!$X371,IF(F373="GLOBORG",PR!$Y371,IF(F373="GOODNEWS",PR!$Z371,IF(F373="GREENLIFE",PR!$AA371,IF(F373="HLINE",PR!$AB371,IF(F373="ROTECH",PR!$AC371,IF(F373="ISN",PR!$AD371,IF(F373="JAWA",PR!$AE371,IF(F373="LAYO",PR!$AF371,IF(F373="LEADWAY",PR!$AG371,IF(F373="LHV",PR!$AH371,IF(F373="MANOLA",PR!$AI371,IF(F373="MARCSON",PR!$AJ371,IF(F373="M&amp;B",PR!$AK371,IF(F373="MTRUST",PR!$AL371,IF(F373="MWORLD",PR!$AM371,IF(F373="MEGA",PR!$AN371,IF(F373="MICRONOVA",PR!$AO371,IF(F373="MFLASH",PR!$AP371,IF(F373="MORISON",PR!$AQ371,IF(F373="NEMEL",PR!$AR371,IF(F373="NHP",PR!$AS371,IF(F373="NHC",PR!$AT371,IF(F373="OLEAF",PR!$AU371,IF(F373="OCULUS",PR!$AV371,IF(F373="PACIFIC",PR!$AW371,IF(F373="PHAMATEX",PR!$AX371,IF(F373="PETHICS",PR!$AY371,IF(F373="PHILIPS",PR!$AZ371,IF(F373="RANBAXY",PR!$BA371,IF(F373="REALS",PR!$BB371,IF(F373="ROYAL",PR!$BC371,IF(F373="SAM",PR!$BD371,IF(F373="SEAGREEN",PR!$BE371,IF(F373="SKG",PR!$BF371,IF(F373="TAH",PR!$BG371,IF(F373="TAYLEK",PR!$BH371,IF(F373="TEMITA",PR!$BI371,IF(F373="THL",PR!$BJ371,IF(F373="UBASTIC",PR!$BK371,IF(F373="UNION",PR!$BL371,IF(F373="UNIQUE",PR!$BM371,IF(F373="VIXA",PR!$BN371,IF(F373="WWCV",PR!$BO371,IF(F373="ZOLON",PR!$BP371,"-"))))))))))))))))))))))))))))))))))))))))))))))))))))))))))))))))</f>
        <v>650</v>
      </c>
      <c r="F373" s="102" t="str">
        <f>EV!L477</f>
        <v>EUMATT</v>
      </c>
      <c r="G373" s="108">
        <f>IF(H373="ALPHA",PR!$E371,IF(H373="ASSENE",PR!$F371,IF(H373="BIOFEM",PR!$G371,IF(H373="BIOMED",PR!$H371,IF(H373="CHI",PR!$I371,IF(H373="CLARION",PR!$J371,IF(H373="CODIX",PR!$K371,IF(H373="COSMADE",PR!$L371,IF(H373="SANCON",PR!$M371,IF(H373="DEVON",PR!$N371,IF(H373="DORTEMAG",PR!$O371,IF(H373="DGF",PR!$P371,IF(H373="DYNAMIC",PR!$Q371,IF(H373="EMZOR",PR!$R371,IF(H373="EUMATT",PR!$S371,IF(H373="FIDSON",PR!$T371,IF(H373="FCGLOBAL",PR!$U371,IF(H373="GENEITH",PR!$V371,IF(H373="GINOS",PR!$W371,IF(H373="GSK",PR!$X371,IF(H373="GLOBORG",PR!$Y371,IF(H373="GOODNEWS",PR!$Z371,IF(H373="GREENLIFE",PR!$AA371,IF(H373="HLINE",PR!$AB371,IF(H373="ROTECH",PR!$AC371,IF(H373="ISN",PR!$AD371,IF(H373="JAWA",PR!$AE371,IF(H373="LAYO",PR!$AF371,IF(H373="LEADWAY",PR!$AG371,IF(H373="LHV",PR!$AH371,IF(H373="MANOLA",PR!$AI371,IF(H373="MARCSON",PR!$AJ371,IF(H373="M&amp;B",PR!$AK371,IF(H373="MTRUST",PR!$AL371,IF(H373="MWORLD",PR!$AM371,IF(H373="MEGA",PR!$AN371,IF(H373="MICRONOVA",PR!$AO371,IF(H373="MFLASH",PR!$AP371,IF(H373="MORISON",PR!$AQ371,IF(H373="NEMEL",PR!$AR371,IF(H373="NHP",PR!$AS371,IF(H373="NHC",PR!$AT371,IF(H373="OLEAF",PR!$AU371,IF(H373="OCULUS",PR!$AV371,IF(H373="PACIFIC",PR!$AW371,IF(H373="PHAMATEX",PR!$AX371,IF(H373="PETHICS",PR!$AY371,IF(H373="PHILIPS",PR!$AZ371,IF(H373="RANBAXY",PR!$BA371,IF(H373="REALS",PR!$BB371,IF(H373="ROYAL",PR!$BC371,IF(H373="SAM",PR!$BD371,IF(H373="SEAGREEN",PR!$BE371,IF(H373="SKG",PR!$BF371,IF(H373="TAH",PR!$BG371,IF(H373="TAYLEK",PR!$BH371,IF(H373="TEMITA",PR!$BI371,IF(H373="THL",PR!$BJ371,IF(H373="UBASTIC",PR!$BK371,IF(H373="UNION",PR!$BL371,IF(H373="UNIQUE",PR!$BM371,IF(H373="VIXA",PR!$BN371,IF(H373="WWCV",PR!$BO371,IF(H373="ZOLON",PR!$BP371,"-"))))))))))))))))))))))))))))))))))))))))))))))))))))))))))))))))</f>
        <v>700</v>
      </c>
      <c r="H373" s="102" t="str">
        <f>EV!M477</f>
        <v>NHC</v>
      </c>
      <c r="I373" s="108">
        <f>IF(J373="ALPHA",PR!$E371,IF(J373="ASSENE",PR!$F371,IF(J373="BIOFEM",PR!$G371,IF(J373="BIOMED",PR!$H371,IF(J373="CHI",PR!$I371,IF(J373="CLARION",PR!$J371,IF(J373="CODIX",PR!$K371,IF(J373="COSMADE",PR!$L371,IF(J373="SANCON",PR!$M371,IF(J373="DEVON",PR!$N371,IF(J373="DORTEMAG",PR!$O371,IF(J373="DGF",PR!$P371,IF(J373="DYNAMIC",PR!$Q371,IF(J373="EMZOR",PR!$R371,IF(J373="EUMATT",PR!$S371,IF(J373="FIDSON",PR!$T371,IF(J373="FCGLOBAL",PR!$U371,IF(J373="GENEITH",PR!$V371,IF(J373="GINOS",PR!$W371,IF(J373="GSK",PR!$X371,IF(J373="GLOBORG",PR!$Y371,IF(J373="GOODNEWS",PR!$Z371,IF(J373="GREENLIFE",PR!$AA371,IF(J373="HLINE",PR!$AB371,IF(J373="ROTECH",PR!$AC371,IF(J373="ISN",PR!$AD371,IF(J373="JAWA",PR!$AE371,IF(J373="LAYO",PR!$AF371,IF(J373="LEADWAY",PR!$AG371,IF(J373="LHV",PR!$AH371,IF(J373="MANOLA",PR!$AI371,IF(J373="MARCSON",PR!$AJ371,IF(J373="M&amp;B",PR!$AK371,IF(J373="MTRUST",PR!$AL371,IF(J373="MWORLD",PR!$AM371,IF(J373="MEGA",PR!$AN371,IF(J373="MICRONOVA",PR!$AO371,IF(J373="MFLASH",PR!$AP371,IF(J373="MORISON",PR!$AQ371,IF(J373="NEMEL",PR!$AR371,IF(J373="NHP",PR!$AS371,IF(J373="NHC",PR!$AT371,IF(J373="OLEAF",PR!$AU371,IF(J373="OCULUS",PR!$AV371,IF(J373="PACIFIC",PR!$AW371,IF(J373="PHAMATEX",PR!$AX371,IF(J373="PETHICS",PR!$AY371,IF(J373="PHILIPS",PR!$AZ371,IF(J373="RANBAXY",PR!$BA371,IF(J373="REALS",PR!$BB371,IF(J373="ROYAL",PR!$BC371,IF(J373="SAM",PR!$BD371,IF(J373="SEAGREEN",PR!$BE371,IF(J373="SKG",PR!$BF371,IF(J373="TAH",PR!$BG371,IF(J373="TAYLEK",PR!$BH371,IF(J373="TEMITA",PR!$BI371,IF(J373="THL",PR!$BJ371,IF(J373="UBASTIC",PR!$BK371,IF(J373="UNION",PR!$BL371,IF(J373="UNIQUE",PR!$BM371,IF(J373="VIXA",PR!$BN371,IF(J373="WWCV",PR!$BO371,IF(J373="ZOLON",PR!$BP371,"-"))))))))))))))))))))))))))))))))))))))))))))))))))))))))))))))))</f>
        <v>758.91200000000003</v>
      </c>
      <c r="J373" s="102" t="str">
        <f>EV!N477</f>
        <v>EMZOR</v>
      </c>
      <c r="K373" s="433" t="s">
        <v>614</v>
      </c>
      <c r="L373" s="183">
        <f>IF(K373&gt;0,IF(K373="ALPHA",PR!$E371,IF(K373="ASSENE",PR!$F371,IF(K373="BIOFEM",PR!$G371,IF(K373="BIOMED",PR!$H371,IF(K373="CHI",PR!$I371,IF(K373="CLARION",PR!$J371,IF(K373="CODIX",PR!$K371,IF(K373="COSMADE",PR!$L371,IF(K373="SANCON",PR!$M371,IF(K373="DEVON",PR!$N371,IF(K373="DORTEMAG",PR!$O371,IF(K373="DGF",PR!$P371,IF(K373="DYNAMIC",PR!$Q371,IF(K373="EMZOR",PR!$R371,IF(K373="EUMATT",PR!$S371,IF(K373="FIDSON",PR!$T371,IF(K373="FCGLOBAL",PR!$U371,IF(K373="GENEITH",PR!$V371,IF(K373="GINOS",PR!$W371,IF(K373="GSK",PR!$X371,IF(K373="GLOBORG",PR!$Y371,IF(K373="GOODNEWS",PR!$Z371,IF(K373="GREENLIFE",PR!$AA371,IF(K373="HLINE",PR!$AB371,IF(K373="ROTECH",PR!$AC371,IF(K373="ISN",PR!$AD371,IF(K373="JAWA",PR!$AE371,IF(K373="LAYO",PR!$AF371,IF(K373="LEADWAY",PR!$AG371,IF(K373="LHV",PR!$AH371,IF(K373="MANOLA",PR!$AI371,IF(K373="MARCSON",PR!$AJ371,IF(K373="M&amp;B",PR!$AK371,IF(K373="MTRUST",PR!$AL371,IF(K373="MWORLD",PR!$AM371,IF(K373="MEGA",PR!$AN371,IF(K373="MICRONOVA",PR!$AO371,IF(K373="MFLASH",PR!$AP371,IF(K373="MORISON",PR!$AQ371,IF(K373="NEMEL",PR!$AR371,IF(K373="NHP",PR!$AS371,IF(K373="NHC",PR!$AT371,IF(K373="OLEAF",PR!$AU371,IF(K373="OCULUS",PR!$AV371,IF(K373="PACIFIC",PR!$AW371,IF(K373="PHAMATEX",PR!$AX371,IF(K373="PETHICS",PR!$AY371,IF(K373="PHILIPS",PR!$AZ371,IF(K373="RANBAXY",PR!$BA371,IF(K373="REALS",PR!$BB371,IF(K373="ROYAL",PR!$BC371,IF(K373="SAM",PR!$BD371,IF(K373="SEAGREEN",PR!$BE371,IF(K373="SKG",PR!$BF371,IF(K373="TAH",PR!$BG371,IF(K373="TAYLEK",PR!$BH371,IF(K373="TEMITA",PR!$BI371,IF(K373="THL",PR!$BJ371,IF(K373="UBASTIC",PR!$BK371,IF(K373="UNION",PR!$BL371,IF(K373="UNIQUE",PR!$BM371,IF(K373="VIXA",PR!$BN371,IF(K373="WWCV",PR!$BO371,IF(K373="ZOLON",PR!$BP371,"-")))))))))))))))))))))))))))))))))))))))))))))))))))))))))))))))))</f>
        <v>758.91200000000003</v>
      </c>
    </row>
    <row r="374" spans="1:12" ht="18.75" x14ac:dyDescent="0.3">
      <c r="A374" s="430">
        <f>PR!A372</f>
        <v>342</v>
      </c>
      <c r="B374" s="15" t="str">
        <f>PR!B372</f>
        <v>VITAMIN C 500MG TAB</v>
      </c>
      <c r="C374" s="113">
        <f>PR!D372</f>
        <v>100</v>
      </c>
      <c r="D374" s="113">
        <f>PR!C372</f>
        <v>60</v>
      </c>
      <c r="E374" s="108" t="str">
        <f>IF(F374="ALPHA",PR!$E372,IF(F374="ASSENE",PR!$F372,IF(F374="BIOFEM",PR!$G372,IF(F374="BIOMED",PR!$H372,IF(F374="CHI",PR!$I372,IF(F374="CLARION",PR!$J372,IF(F374="CODIX",PR!$K372,IF(F374="COSMADE",PR!$L372,IF(F374="SANCON",PR!$M372,IF(F374="DEVON",PR!$N372,IF(F374="DORTEMAG",PR!$O372,IF(F374="DGF",PR!$P372,IF(F374="DYNAMIC",PR!$Q372,IF(F374="EMZOR",PR!$R372,IF(F374="EUMATT",PR!$S372,IF(F374="FIDSON",PR!$T372,IF(F374="FCGLOBAL",PR!$U372,IF(F374="GENEITH",PR!$V372,IF(F374="GINOS",PR!$W372,IF(F374="GSK",PR!$X372,IF(F374="GLOBORG",PR!$Y372,IF(F374="GOODNEWS",PR!$Z372,IF(F374="GREENLIFE",PR!$AA372,IF(F374="HLINE",PR!$AB372,IF(F374="ROTECH",PR!$AC372,IF(F374="ISN",PR!$AD372,IF(F374="JAWA",PR!$AE372,IF(F374="LAYO",PR!$AF372,IF(F374="LEADWAY",PR!$AG372,IF(F374="LHV",PR!$AH372,IF(F374="MANOLA",PR!$AI372,IF(F374="MARCSON",PR!$AJ372,IF(F374="M&amp;B",PR!$AK372,IF(F374="MTRUST",PR!$AL372,IF(F374="MWORLD",PR!$AM372,IF(F374="MEGA",PR!$AN372,IF(F374="MICRONOVA",PR!$AO372,IF(F374="MFLASH",PR!$AP372,IF(F374="MORISON",PR!$AQ372,IF(F374="NEMEL",PR!$AR372,IF(F374="NHP",PR!$AS372,IF(F374="NHC",PR!$AT372,IF(F374="OLEAF",PR!$AU372,IF(F374="OCULUS",PR!$AV372,IF(F374="PACIFIC",PR!$AW372,IF(F374="PHAMATEX",PR!$AX372,IF(F374="PETHICS",PR!$AY372,IF(F374="PHILIPS",PR!$AZ372,IF(F374="RANBAXY",PR!$BA372,IF(F374="REALS",PR!$BB372,IF(F374="ROYAL",PR!$BC372,IF(F374="SAM",PR!$BD372,IF(F374="SEAGREEN",PR!$BE372,IF(F374="SKG",PR!$BF372,IF(F374="TAH",PR!$BG372,IF(F374="TAYLEK",PR!$BH372,IF(F374="TEMITA",PR!$BI372,IF(F374="THL",PR!$BJ372,IF(F374="UBASTIC",PR!$BK372,IF(F374="UNION",PR!$BL372,IF(F374="UNIQUE",PR!$BM372,IF(F374="VIXA",PR!$BN372,IF(F374="WWCV",PR!$BO372,IF(F374="ZOLON",PR!$BP372,"-"))))))))))))))))))))))))))))))))))))))))))))))))))))))))))))))))</f>
        <v>-</v>
      </c>
      <c r="F374" s="102">
        <f>EV!L478</f>
        <v>0</v>
      </c>
      <c r="G374" s="108" t="str">
        <f>IF(H374="ALPHA",PR!$E372,IF(H374="ASSENE",PR!$F372,IF(H374="BIOFEM",PR!$G372,IF(H374="BIOMED",PR!$H372,IF(H374="CHI",PR!$I372,IF(H374="CLARION",PR!$J372,IF(H374="CODIX",PR!$K372,IF(H374="COSMADE",PR!$L372,IF(H374="SANCON",PR!$M372,IF(H374="DEVON",PR!$N372,IF(H374="DORTEMAG",PR!$O372,IF(H374="DGF",PR!$P372,IF(H374="DYNAMIC",PR!$Q372,IF(H374="EMZOR",PR!$R372,IF(H374="EUMATT",PR!$S372,IF(H374="FIDSON",PR!$T372,IF(H374="FCGLOBAL",PR!$U372,IF(H374="GENEITH",PR!$V372,IF(H374="GINOS",PR!$W372,IF(H374="GSK",PR!$X372,IF(H374="GLOBORG",PR!$Y372,IF(H374="GOODNEWS",PR!$Z372,IF(H374="GREENLIFE",PR!$AA372,IF(H374="HLINE",PR!$AB372,IF(H374="ROTECH",PR!$AC372,IF(H374="ISN",PR!$AD372,IF(H374="JAWA",PR!$AE372,IF(H374="LAYO",PR!$AF372,IF(H374="LEADWAY",PR!$AG372,IF(H374="LHV",PR!$AH372,IF(H374="MANOLA",PR!$AI372,IF(H374="MARCSON",PR!$AJ372,IF(H374="M&amp;B",PR!$AK372,IF(H374="MTRUST",PR!$AL372,IF(H374="MWORLD",PR!$AM372,IF(H374="MEGA",PR!$AN372,IF(H374="MICRONOVA",PR!$AO372,IF(H374="MFLASH",PR!$AP372,IF(H374="MORISON",PR!$AQ372,IF(H374="NEMEL",PR!$AR372,IF(H374="NHP",PR!$AS372,IF(H374="NHC",PR!$AT372,IF(H374="OLEAF",PR!$AU372,IF(H374="OCULUS",PR!$AV372,IF(H374="PACIFIC",PR!$AW372,IF(H374="PHAMATEX",PR!$AX372,IF(H374="PETHICS",PR!$AY372,IF(H374="PHILIPS",PR!$AZ372,IF(H374="RANBAXY",PR!$BA372,IF(H374="REALS",PR!$BB372,IF(H374="ROYAL",PR!$BC372,IF(H374="SAM",PR!$BD372,IF(H374="SEAGREEN",PR!$BE372,IF(H374="SKG",PR!$BF372,IF(H374="TAH",PR!$BG372,IF(H374="TAYLEK",PR!$BH372,IF(H374="TEMITA",PR!$BI372,IF(H374="THL",PR!$BJ372,IF(H374="UBASTIC",PR!$BK372,IF(H374="UNION",PR!$BL372,IF(H374="UNIQUE",PR!$BM372,IF(H374="VIXA",PR!$BN372,IF(H374="WWCV",PR!$BO372,IF(H374="ZOLON",PR!$BP372,"-"))))))))))))))))))))))))))))))))))))))))))))))))))))))))))))))))</f>
        <v>-</v>
      </c>
      <c r="H374" s="102">
        <f>EV!M478</f>
        <v>0</v>
      </c>
      <c r="I374" s="108" t="str">
        <f>IF(J374="ALPHA",PR!$E372,IF(J374="ASSENE",PR!$F372,IF(J374="BIOFEM",PR!$G372,IF(J374="BIOMED",PR!$H372,IF(J374="CHI",PR!$I372,IF(J374="CLARION",PR!$J372,IF(J374="CODIX",PR!$K372,IF(J374="COSMADE",PR!$L372,IF(J374="SANCON",PR!$M372,IF(J374="DEVON",PR!$N372,IF(J374="DORTEMAG",PR!$O372,IF(J374="DGF",PR!$P372,IF(J374="DYNAMIC",PR!$Q372,IF(J374="EMZOR",PR!$R372,IF(J374="EUMATT",PR!$S372,IF(J374="FIDSON",PR!$T372,IF(J374="FCGLOBAL",PR!$U372,IF(J374="GENEITH",PR!$V372,IF(J374="GINOS",PR!$W372,IF(J374="GSK",PR!$X372,IF(J374="GLOBORG",PR!$Y372,IF(J374="GOODNEWS",PR!$Z372,IF(J374="GREENLIFE",PR!$AA372,IF(J374="HLINE",PR!$AB372,IF(J374="ROTECH",PR!$AC372,IF(J374="ISN",PR!$AD372,IF(J374="JAWA",PR!$AE372,IF(J374="LAYO",PR!$AF372,IF(J374="LEADWAY",PR!$AG372,IF(J374="LHV",PR!$AH372,IF(J374="MANOLA",PR!$AI372,IF(J374="MARCSON",PR!$AJ372,IF(J374="M&amp;B",PR!$AK372,IF(J374="MTRUST",PR!$AL372,IF(J374="MWORLD",PR!$AM372,IF(J374="MEGA",PR!$AN372,IF(J374="MICRONOVA",PR!$AO372,IF(J374="MFLASH",PR!$AP372,IF(J374="MORISON",PR!$AQ372,IF(J374="NEMEL",PR!$AR372,IF(J374="NHP",PR!$AS372,IF(J374="NHC",PR!$AT372,IF(J374="OLEAF",PR!$AU372,IF(J374="OCULUS",PR!$AV372,IF(J374="PACIFIC",PR!$AW372,IF(J374="PHAMATEX",PR!$AX372,IF(J374="PETHICS",PR!$AY372,IF(J374="PHILIPS",PR!$AZ372,IF(J374="RANBAXY",PR!$BA372,IF(J374="REALS",PR!$BB372,IF(J374="ROYAL",PR!$BC372,IF(J374="SAM",PR!$BD372,IF(J374="SEAGREEN",PR!$BE372,IF(J374="SKG",PR!$BF372,IF(J374="TAH",PR!$BG372,IF(J374="TAYLEK",PR!$BH372,IF(J374="TEMITA",PR!$BI372,IF(J374="THL",PR!$BJ372,IF(J374="UBASTIC",PR!$BK372,IF(J374="UNION",PR!$BL372,IF(J374="UNIQUE",PR!$BM372,IF(J374="VIXA",PR!$BN372,IF(J374="WWCV",PR!$BO372,IF(J374="ZOLON",PR!$BP372,"-"))))))))))))))))))))))))))))))))))))))))))))))))))))))))))))))))</f>
        <v>-</v>
      </c>
      <c r="J374" s="102">
        <f>EV!N478</f>
        <v>0</v>
      </c>
      <c r="K374" s="433"/>
      <c r="L374" s="183" t="b">
        <f>IF(K374&gt;0,IF(K374="ALPHA",PR!$E372,IF(K374="ASSENE",PR!$F372,IF(K374="BIOFEM",PR!$G372,IF(K374="BIOMED",PR!$H372,IF(K374="CHI",PR!$I372,IF(K374="CLARION",PR!$J372,IF(K374="CODIX",PR!$K372,IF(K374="COSMADE",PR!$L372,IF(K374="SANCON",PR!$M372,IF(K374="DEVON",PR!$N372,IF(K374="DORTEMAG",PR!$O372,IF(K374="DGF",PR!$P372,IF(K374="DYNAMIC",PR!$Q372,IF(K374="EMZOR",PR!$R372,IF(K374="EUMATT",PR!$S372,IF(K374="FIDSON",PR!$T372,IF(K374="FCGLOBAL",PR!$U372,IF(K374="GENEITH",PR!$V372,IF(K374="GINOS",PR!$W372,IF(K374="GSK",PR!$X372,IF(K374="GLOBORG",PR!$Y372,IF(K374="GOODNEWS",PR!$Z372,IF(K374="GREENLIFE",PR!$AA372,IF(K374="HLINE",PR!$AB372,IF(K374="ROTECH",PR!$AC372,IF(K374="ISN",PR!$AD372,IF(K374="JAWA",PR!$AE372,IF(K374="LAYO",PR!$AF372,IF(K374="LEADWAY",PR!$AG372,IF(K374="LHV",PR!$AH372,IF(K374="MANOLA",PR!$AI372,IF(K374="MARCSON",PR!$AJ372,IF(K374="M&amp;B",PR!$AK372,IF(K374="MTRUST",PR!$AL372,IF(K374="MWORLD",PR!$AM372,IF(K374="MEGA",PR!$AN372,IF(K374="MICRONOVA",PR!$AO372,IF(K374="MFLASH",PR!$AP372,IF(K374="MORISON",PR!$AQ372,IF(K374="NEMEL",PR!$AR372,IF(K374="NHP",PR!$AS372,IF(K374="NHC",PR!$AT372,IF(K374="OLEAF",PR!$AU372,IF(K374="OCULUS",PR!$AV372,IF(K374="PACIFIC",PR!$AW372,IF(K374="PHAMATEX",PR!$AX372,IF(K374="PETHICS",PR!$AY372,IF(K374="PHILIPS",PR!$AZ372,IF(K374="RANBAXY",PR!$BA372,IF(K374="REALS",PR!$BB372,IF(K374="ROYAL",PR!$BC372,IF(K374="SAM",PR!$BD372,IF(K374="SEAGREEN",PR!$BE372,IF(K374="SKG",PR!$BF372,IF(K374="TAH",PR!$BG372,IF(K374="TAYLEK",PR!$BH372,IF(K374="TEMITA",PR!$BI372,IF(K374="THL",PR!$BJ372,IF(K374="UBASTIC",PR!$BK372,IF(K374="UNION",PR!$BL372,IF(K374="UNIQUE",PR!$BM372,IF(K374="VIXA",PR!$BN372,IF(K374="WWCV",PR!$BO372,IF(K374="ZOLON",PR!$BP372,"-")))))))))))))))))))))))))))))))))))))))))))))))))))))))))))))))))</f>
        <v>0</v>
      </c>
    </row>
    <row r="375" spans="1:12" ht="18.75" x14ac:dyDescent="0.3">
      <c r="A375" s="430">
        <f>PR!A373</f>
        <v>343</v>
      </c>
      <c r="B375" s="15" t="str">
        <f>PR!B373</f>
        <v>VITAMIN C INJ</v>
      </c>
      <c r="C375" s="113" t="str">
        <f>PR!D373</f>
        <v>AMP</v>
      </c>
      <c r="D375" s="113">
        <f>PR!C373</f>
        <v>500</v>
      </c>
      <c r="E375" s="108">
        <f>IF(F375="ALPHA",PR!$E373,IF(F375="ASSENE",PR!$F373,IF(F375="BIOFEM",PR!$G373,IF(F375="BIOMED",PR!$H373,IF(F375="CHI",PR!$I373,IF(F375="CLARION",PR!$J373,IF(F375="CODIX",PR!$K373,IF(F375="COSMADE",PR!$L373,IF(F375="SANCON",PR!$M373,IF(F375="DEVON",PR!$N373,IF(F375="DORTEMAG",PR!$O373,IF(F375="DGF",PR!$P373,IF(F375="DYNAMIC",PR!$Q373,IF(F375="EMZOR",PR!$R373,IF(F375="EUMATT",PR!$S373,IF(F375="FIDSON",PR!$T373,IF(F375="FCGLOBAL",PR!$U373,IF(F375="GENEITH",PR!$V373,IF(F375="GINOS",PR!$W373,IF(F375="GSK",PR!$X373,IF(F375="GLOBORG",PR!$Y373,IF(F375="GOODNEWS",PR!$Z373,IF(F375="GREENLIFE",PR!$AA373,IF(F375="HLINE",PR!$AB373,IF(F375="ROTECH",PR!$AC373,IF(F375="ISN",PR!$AD373,IF(F375="JAWA",PR!$AE373,IF(F375="LAYO",PR!$AF373,IF(F375="LEADWAY",PR!$AG373,IF(F375="LHV",PR!$AH373,IF(F375="MANOLA",PR!$AI373,IF(F375="MARCSON",PR!$AJ373,IF(F375="M&amp;B",PR!$AK373,IF(F375="MTRUST",PR!$AL373,IF(F375="MWORLD",PR!$AM373,IF(F375="MEGA",PR!$AN373,IF(F375="MICRONOVA",PR!$AO373,IF(F375="MFLASH",PR!$AP373,IF(F375="MORISON",PR!$AQ373,IF(F375="NEMEL",PR!$AR373,IF(F375="NHP",PR!$AS373,IF(F375="NHC",PR!$AT373,IF(F375="OLEAF",PR!$AU373,IF(F375="OCULUS",PR!$AV373,IF(F375="PACIFIC",PR!$AW373,IF(F375="PHAMATEX",PR!$AX373,IF(F375="PETHICS",PR!$AY373,IF(F375="PHILIPS",PR!$AZ373,IF(F375="RANBAXY",PR!$BA373,IF(F375="REALS",PR!$BB373,IF(F375="ROYAL",PR!$BC373,IF(F375="SAM",PR!$BD373,IF(F375="SEAGREEN",PR!$BE373,IF(F375="SKG",PR!$BF373,IF(F375="TAH",PR!$BG373,IF(F375="TAYLEK",PR!$BH373,IF(F375="TEMITA",PR!$BI373,IF(F375="THL",PR!$BJ373,IF(F375="UBASTIC",PR!$BK373,IF(F375="UNION",PR!$BL373,IF(F375="UNIQUE",PR!$BM373,IF(F375="VIXA",PR!$BN373,IF(F375="WWCV",PR!$BO373,IF(F375="ZOLON",PR!$BP373,"-"))))))))))))))))))))))))))))))))))))))))))))))))))))))))))))))))</f>
        <v>30</v>
      </c>
      <c r="F375" s="102" t="str">
        <f>EV!L479</f>
        <v>EUMATT</v>
      </c>
      <c r="G375" s="108" t="str">
        <f>IF(H375="ALPHA",PR!$E373,IF(H375="ASSENE",PR!$F373,IF(H375="BIOFEM",PR!$G373,IF(H375="BIOMED",PR!$H373,IF(H375="CHI",PR!$I373,IF(H375="CLARION",PR!$J373,IF(H375="CODIX",PR!$K373,IF(H375="COSMADE",PR!$L373,IF(H375="SANCON",PR!$M373,IF(H375="DEVON",PR!$N373,IF(H375="DORTEMAG",PR!$O373,IF(H375="DGF",PR!$P373,IF(H375="DYNAMIC",PR!$Q373,IF(H375="EMZOR",PR!$R373,IF(H375="EUMATT",PR!$S373,IF(H375="FIDSON",PR!$T373,IF(H375="FCGLOBAL",PR!$U373,IF(H375="GENEITH",PR!$V373,IF(H375="GINOS",PR!$W373,IF(H375="GSK",PR!$X373,IF(H375="GLOBORG",PR!$Y373,IF(H375="GOODNEWS",PR!$Z373,IF(H375="GREENLIFE",PR!$AA373,IF(H375="HLINE",PR!$AB373,IF(H375="ROTECH",PR!$AC373,IF(H375="ISN",PR!$AD373,IF(H375="JAWA",PR!$AE373,IF(H375="LAYO",PR!$AF373,IF(H375="LEADWAY",PR!$AG373,IF(H375="LHV",PR!$AH373,IF(H375="MANOLA",PR!$AI373,IF(H375="MARCSON",PR!$AJ373,IF(H375="M&amp;B",PR!$AK373,IF(H375="MTRUST",PR!$AL373,IF(H375="MWORLD",PR!$AM373,IF(H375="MEGA",PR!$AN373,IF(H375="MICRONOVA",PR!$AO373,IF(H375="MFLASH",PR!$AP373,IF(H375="MORISON",PR!$AQ373,IF(H375="NEMEL",PR!$AR373,IF(H375="NHP",PR!$AS373,IF(H375="NHC",PR!$AT373,IF(H375="OLEAF",PR!$AU373,IF(H375="OCULUS",PR!$AV373,IF(H375="PACIFIC",PR!$AW373,IF(H375="PHAMATEX",PR!$AX373,IF(H375="PETHICS",PR!$AY373,IF(H375="PHILIPS",PR!$AZ373,IF(H375="RANBAXY",PR!$BA373,IF(H375="REALS",PR!$BB373,IF(H375="ROYAL",PR!$BC373,IF(H375="SAM",PR!$BD373,IF(H375="SEAGREEN",PR!$BE373,IF(H375="SKG",PR!$BF373,IF(H375="TAH",PR!$BG373,IF(H375="TAYLEK",PR!$BH373,IF(H375="TEMITA",PR!$BI373,IF(H375="THL",PR!$BJ373,IF(H375="UBASTIC",PR!$BK373,IF(H375="UNION",PR!$BL373,IF(H375="UNIQUE",PR!$BM373,IF(H375="VIXA",PR!$BN373,IF(H375="WWCV",PR!$BO373,IF(H375="ZOLON",PR!$BP373,"-"))))))))))))))))))))))))))))))))))))))))))))))))))))))))))))))))</f>
        <v>-</v>
      </c>
      <c r="H375" s="102">
        <f>EV!M479</f>
        <v>0</v>
      </c>
      <c r="I375" s="108" t="str">
        <f>IF(J375="ALPHA",PR!$E373,IF(J375="ASSENE",PR!$F373,IF(J375="BIOFEM",PR!$G373,IF(J375="BIOMED",PR!$H373,IF(J375="CHI",PR!$I373,IF(J375="CLARION",PR!$J373,IF(J375="CODIX",PR!$K373,IF(J375="COSMADE",PR!$L373,IF(J375="SANCON",PR!$M373,IF(J375="DEVON",PR!$N373,IF(J375="DORTEMAG",PR!$O373,IF(J375="DGF",PR!$P373,IF(J375="DYNAMIC",PR!$Q373,IF(J375="EMZOR",PR!$R373,IF(J375="EUMATT",PR!$S373,IF(J375="FIDSON",PR!$T373,IF(J375="FCGLOBAL",PR!$U373,IF(J375="GENEITH",PR!$V373,IF(J375="GINOS",PR!$W373,IF(J375="GSK",PR!$X373,IF(J375="GLOBORG",PR!$Y373,IF(J375="GOODNEWS",PR!$Z373,IF(J375="GREENLIFE",PR!$AA373,IF(J375="HLINE",PR!$AB373,IF(J375="ROTECH",PR!$AC373,IF(J375="ISN",PR!$AD373,IF(J375="JAWA",PR!$AE373,IF(J375="LAYO",PR!$AF373,IF(J375="LEADWAY",PR!$AG373,IF(J375="LHV",PR!$AH373,IF(J375="MANOLA",PR!$AI373,IF(J375="MARCSON",PR!$AJ373,IF(J375="M&amp;B",PR!$AK373,IF(J375="MTRUST",PR!$AL373,IF(J375="MWORLD",PR!$AM373,IF(J375="MEGA",PR!$AN373,IF(J375="MICRONOVA",PR!$AO373,IF(J375="MFLASH",PR!$AP373,IF(J375="MORISON",PR!$AQ373,IF(J375="NEMEL",PR!$AR373,IF(J375="NHP",PR!$AS373,IF(J375="NHC",PR!$AT373,IF(J375="OLEAF",PR!$AU373,IF(J375="OCULUS",PR!$AV373,IF(J375="PACIFIC",PR!$AW373,IF(J375="PHAMATEX",PR!$AX373,IF(J375="PETHICS",PR!$AY373,IF(J375="PHILIPS",PR!$AZ373,IF(J375="RANBAXY",PR!$BA373,IF(J375="REALS",PR!$BB373,IF(J375="ROYAL",PR!$BC373,IF(J375="SAM",PR!$BD373,IF(J375="SEAGREEN",PR!$BE373,IF(J375="SKG",PR!$BF373,IF(J375="TAH",PR!$BG373,IF(J375="TAYLEK",PR!$BH373,IF(J375="TEMITA",PR!$BI373,IF(J375="THL",PR!$BJ373,IF(J375="UBASTIC",PR!$BK373,IF(J375="UNION",PR!$BL373,IF(J375="UNIQUE",PR!$BM373,IF(J375="VIXA",PR!$BN373,IF(J375="WWCV",PR!$BO373,IF(J375="ZOLON",PR!$BP373,"-"))))))))))))))))))))))))))))))))))))))))))))))))))))))))))))))))</f>
        <v>-</v>
      </c>
      <c r="J375" s="102">
        <f>EV!N479</f>
        <v>0</v>
      </c>
      <c r="K375" s="433" t="s">
        <v>821</v>
      </c>
      <c r="L375" s="183">
        <f>IF(K375&gt;0,IF(K375="ALPHA",PR!$E373,IF(K375="ASSENE",PR!$F373,IF(K375="BIOFEM",PR!$G373,IF(K375="BIOMED",PR!$H373,IF(K375="CHI",PR!$I373,IF(K375="CLARION",PR!$J373,IF(K375="CODIX",PR!$K373,IF(K375="COSMADE",PR!$L373,IF(K375="SANCON",PR!$M373,IF(K375="DEVON",PR!$N373,IF(K375="DORTEMAG",PR!$O373,IF(K375="DGF",PR!$P373,IF(K375="DYNAMIC",PR!$Q373,IF(K375="EMZOR",PR!$R373,IF(K375="EUMATT",PR!$S373,IF(K375="FIDSON",PR!$T373,IF(K375="FCGLOBAL",PR!$U373,IF(K375="GENEITH",PR!$V373,IF(K375="GINOS",PR!$W373,IF(K375="GSK",PR!$X373,IF(K375="GLOBORG",PR!$Y373,IF(K375="GOODNEWS",PR!$Z373,IF(K375="GREENLIFE",PR!$AA373,IF(K375="HLINE",PR!$AB373,IF(K375="ROTECH",PR!$AC373,IF(K375="ISN",PR!$AD373,IF(K375="JAWA",PR!$AE373,IF(K375="LAYO",PR!$AF373,IF(K375="LEADWAY",PR!$AG373,IF(K375="LHV",PR!$AH373,IF(K375="MANOLA",PR!$AI373,IF(K375="MARCSON",PR!$AJ373,IF(K375="M&amp;B",PR!$AK373,IF(K375="MTRUST",PR!$AL373,IF(K375="MWORLD",PR!$AM373,IF(K375="MEGA",PR!$AN373,IF(K375="MICRONOVA",PR!$AO373,IF(K375="MFLASH",PR!$AP373,IF(K375="MORISON",PR!$AQ373,IF(K375="NEMEL",PR!$AR373,IF(K375="NHP",PR!$AS373,IF(K375="NHC",PR!$AT373,IF(K375="OLEAF",PR!$AU373,IF(K375="OCULUS",PR!$AV373,IF(K375="PACIFIC",PR!$AW373,IF(K375="PHAMATEX",PR!$AX373,IF(K375="PETHICS",PR!$AY373,IF(K375="PHILIPS",PR!$AZ373,IF(K375="RANBAXY",PR!$BA373,IF(K375="REALS",PR!$BB373,IF(K375="ROYAL",PR!$BC373,IF(K375="SAM",PR!$BD373,IF(K375="SEAGREEN",PR!$BE373,IF(K375="SKG",PR!$BF373,IF(K375="TAH",PR!$BG373,IF(K375="TAYLEK",PR!$BH373,IF(K375="TEMITA",PR!$BI373,IF(K375="THL",PR!$BJ373,IF(K375="UBASTIC",PR!$BK373,IF(K375="UNION",PR!$BL373,IF(K375="UNIQUE",PR!$BM373,IF(K375="VIXA",PR!$BN373,IF(K375="WWCV",PR!$BO373,IF(K375="ZOLON",PR!$BP373,"-")))))))))))))))))))))))))))))))))))))))))))))))))))))))))))))))))</f>
        <v>30</v>
      </c>
    </row>
    <row r="376" spans="1:12" ht="18.75" x14ac:dyDescent="0.3">
      <c r="A376" s="430">
        <f>PR!A374</f>
        <v>344</v>
      </c>
      <c r="B376" s="15" t="str">
        <f>PR!B374</f>
        <v>VITAMIN C SYRUP</v>
      </c>
      <c r="C376" s="113" t="str">
        <f>PR!D374</f>
        <v>BOTT</v>
      </c>
      <c r="D376" s="113">
        <f>PR!C374</f>
        <v>3000</v>
      </c>
      <c r="E376" s="108">
        <f>IF(F376="ALPHA",PR!$E374,IF(F376="ASSENE",PR!$F374,IF(F376="BIOFEM",PR!$G374,IF(F376="BIOMED",PR!$H374,IF(F376="CHI",PR!$I374,IF(F376="CLARION",PR!$J374,IF(F376="CODIX",PR!$K374,IF(F376="COSMADE",PR!$L374,IF(F376="SANCON",PR!$M374,IF(F376="DEVON",PR!$N374,IF(F376="DORTEMAG",PR!$O374,IF(F376="DGF",PR!$P374,IF(F376="DYNAMIC",PR!$Q374,IF(F376="EMZOR",PR!$R374,IF(F376="EUMATT",PR!$S374,IF(F376="FIDSON",PR!$T374,IF(F376="FCGLOBAL",PR!$U374,IF(F376="GENEITH",PR!$V374,IF(F376="GINOS",PR!$W374,IF(F376="GSK",PR!$X374,IF(F376="GLOBORG",PR!$Y374,IF(F376="GOODNEWS",PR!$Z374,IF(F376="GREENLIFE",PR!$AA374,IF(F376="HLINE",PR!$AB374,IF(F376="ROTECH",PR!$AC374,IF(F376="ISN",PR!$AD374,IF(F376="JAWA",PR!$AE374,IF(F376="LAYO",PR!$AF374,IF(F376="LEADWAY",PR!$AG374,IF(F376="LHV",PR!$AH374,IF(F376="MANOLA",PR!$AI374,IF(F376="MARCSON",PR!$AJ374,IF(F376="M&amp;B",PR!$AK374,IF(F376="MTRUST",PR!$AL374,IF(F376="MWORLD",PR!$AM374,IF(F376="MEGA",PR!$AN374,IF(F376="MICRONOVA",PR!$AO374,IF(F376="MFLASH",PR!$AP374,IF(F376="MORISON",PR!$AQ374,IF(F376="NEMEL",PR!$AR374,IF(F376="NHP",PR!$AS374,IF(F376="NHC",PR!$AT374,IF(F376="OLEAF",PR!$AU374,IF(F376="OCULUS",PR!$AV374,IF(F376="PACIFIC",PR!$AW374,IF(F376="PHAMATEX",PR!$AX374,IF(F376="PETHICS",PR!$AY374,IF(F376="PHILIPS",PR!$AZ374,IF(F376="RANBAXY",PR!$BA374,IF(F376="REALS",PR!$BB374,IF(F376="ROYAL",PR!$BC374,IF(F376="SAM",PR!$BD374,IF(F376="SEAGREEN",PR!$BE374,IF(F376="SKG",PR!$BF374,IF(F376="TAH",PR!$BG374,IF(F376="TAYLEK",PR!$BH374,IF(F376="TEMITA",PR!$BI374,IF(F376="THL",PR!$BJ374,IF(F376="UBASTIC",PR!$BK374,IF(F376="UNION",PR!$BL374,IF(F376="UNIQUE",PR!$BM374,IF(F376="VIXA",PR!$BN374,IF(F376="WWCV",PR!$BO374,IF(F376="ZOLON",PR!$BP374,"-"))))))))))))))))))))))))))))))))))))))))))))))))))))))))))))))))</f>
        <v>98</v>
      </c>
      <c r="F376" s="102" t="str">
        <f>EV!L480</f>
        <v>PHAMATEX</v>
      </c>
      <c r="G376" s="108">
        <f>IF(H376="ALPHA",PR!$E374,IF(H376="ASSENE",PR!$F374,IF(H376="BIOFEM",PR!$G374,IF(H376="BIOMED",PR!$H374,IF(H376="CHI",PR!$I374,IF(H376="CLARION",PR!$J374,IF(H376="CODIX",PR!$K374,IF(H376="COSMADE",PR!$L374,IF(H376="SANCON",PR!$M374,IF(H376="DEVON",PR!$N374,IF(H376="DORTEMAG",PR!$O374,IF(H376="DGF",PR!$P374,IF(H376="DYNAMIC",PR!$Q374,IF(H376="EMZOR",PR!$R374,IF(H376="EUMATT",PR!$S374,IF(H376="FIDSON",PR!$T374,IF(H376="FCGLOBAL",PR!$U374,IF(H376="GENEITH",PR!$V374,IF(H376="GINOS",PR!$W374,IF(H376="GSK",PR!$X374,IF(H376="GLOBORG",PR!$Y374,IF(H376="GOODNEWS",PR!$Z374,IF(H376="GREENLIFE",PR!$AA374,IF(H376="HLINE",PR!$AB374,IF(H376="ROTECH",PR!$AC374,IF(H376="ISN",PR!$AD374,IF(H376="JAWA",PR!$AE374,IF(H376="LAYO",PR!$AF374,IF(H376="LEADWAY",PR!$AG374,IF(H376="LHV",PR!$AH374,IF(H376="MANOLA",PR!$AI374,IF(H376="MARCSON",PR!$AJ374,IF(H376="M&amp;B",PR!$AK374,IF(H376="MTRUST",PR!$AL374,IF(H376="MWORLD",PR!$AM374,IF(H376="MEGA",PR!$AN374,IF(H376="MICRONOVA",PR!$AO374,IF(H376="MFLASH",PR!$AP374,IF(H376="MORISON",PR!$AQ374,IF(H376="NEMEL",PR!$AR374,IF(H376="NHP",PR!$AS374,IF(H376="NHC",PR!$AT374,IF(H376="OLEAF",PR!$AU374,IF(H376="OCULUS",PR!$AV374,IF(H376="PACIFIC",PR!$AW374,IF(H376="PHAMATEX",PR!$AX374,IF(H376="PETHICS",PR!$AY374,IF(H376="PHILIPS",PR!$AZ374,IF(H376="RANBAXY",PR!$BA374,IF(H376="REALS",PR!$BB374,IF(H376="ROYAL",PR!$BC374,IF(H376="SAM",PR!$BD374,IF(H376="SEAGREEN",PR!$BE374,IF(H376="SKG",PR!$BF374,IF(H376="TAH",PR!$BG374,IF(H376="TAYLEK",PR!$BH374,IF(H376="TEMITA",PR!$BI374,IF(H376="THL",PR!$BJ374,IF(H376="UBASTIC",PR!$BK374,IF(H376="UNION",PR!$BL374,IF(H376="UNIQUE",PR!$BM374,IF(H376="VIXA",PR!$BN374,IF(H376="WWCV",PR!$BO374,IF(H376="ZOLON",PR!$BP374,"-"))))))))))))))))))))))))))))))))))))))))))))))))))))))))))))))))</f>
        <v>100</v>
      </c>
      <c r="H376" s="102" t="str">
        <f>EV!M480</f>
        <v>EUMATT</v>
      </c>
      <c r="I376" s="108">
        <f>IF(J376="ALPHA",PR!$E374,IF(J376="ASSENE",PR!$F374,IF(J376="BIOFEM",PR!$G374,IF(J376="BIOMED",PR!$H374,IF(J376="CHI",PR!$I374,IF(J376="CLARION",PR!$J374,IF(J376="CODIX",PR!$K374,IF(J376="COSMADE",PR!$L374,IF(J376="SANCON",PR!$M374,IF(J376="DEVON",PR!$N374,IF(J376="DORTEMAG",PR!$O374,IF(J376="DGF",PR!$P374,IF(J376="DYNAMIC",PR!$Q374,IF(J376="EMZOR",PR!$R374,IF(J376="EUMATT",PR!$S374,IF(J376="FIDSON",PR!$T374,IF(J376="FCGLOBAL",PR!$U374,IF(J376="GENEITH",PR!$V374,IF(J376="GINOS",PR!$W374,IF(J376="GSK",PR!$X374,IF(J376="GLOBORG",PR!$Y374,IF(J376="GOODNEWS",PR!$Z374,IF(J376="GREENLIFE",PR!$AA374,IF(J376="HLINE",PR!$AB374,IF(J376="ROTECH",PR!$AC374,IF(J376="ISN",PR!$AD374,IF(J376="JAWA",PR!$AE374,IF(J376="LAYO",PR!$AF374,IF(J376="LEADWAY",PR!$AG374,IF(J376="LHV",PR!$AH374,IF(J376="MANOLA",PR!$AI374,IF(J376="MARCSON",PR!$AJ374,IF(J376="M&amp;B",PR!$AK374,IF(J376="MTRUST",PR!$AL374,IF(J376="MWORLD",PR!$AM374,IF(J376="MEGA",PR!$AN374,IF(J376="MICRONOVA",PR!$AO374,IF(J376="MFLASH",PR!$AP374,IF(J376="MORISON",PR!$AQ374,IF(J376="NEMEL",PR!$AR374,IF(J376="NHP",PR!$AS374,IF(J376="NHC",PR!$AT374,IF(J376="OLEAF",PR!$AU374,IF(J376="OCULUS",PR!$AV374,IF(J376="PACIFIC",PR!$AW374,IF(J376="PHAMATEX",PR!$AX374,IF(J376="PETHICS",PR!$AY374,IF(J376="PHILIPS",PR!$AZ374,IF(J376="RANBAXY",PR!$BA374,IF(J376="REALS",PR!$BB374,IF(J376="ROYAL",PR!$BC374,IF(J376="SAM",PR!$BD374,IF(J376="SEAGREEN",PR!$BE374,IF(J376="SKG",PR!$BF374,IF(J376="TAH",PR!$BG374,IF(J376="TAYLEK",PR!$BH374,IF(J376="TEMITA",PR!$BI374,IF(J376="THL",PR!$BJ374,IF(J376="UBASTIC",PR!$BK374,IF(J376="UNION",PR!$BL374,IF(J376="UNIQUE",PR!$BM374,IF(J376="VIXA",PR!$BN374,IF(J376="WWCV",PR!$BO374,IF(J376="ZOLON",PR!$BP374,"-"))))))))))))))))))))))))))))))))))))))))))))))))))))))))))))))))</f>
        <v>130</v>
      </c>
      <c r="J376" s="102" t="str">
        <f>EV!N480</f>
        <v>FIDSON</v>
      </c>
      <c r="K376" s="433" t="s">
        <v>2090</v>
      </c>
      <c r="L376" s="183" t="str">
        <f>IF(K376&gt;0,IF(K376="ALPHA",PR!$E374,IF(K376="ASSENE",PR!$F374,IF(K376="BIOFEM",PR!$G374,IF(K376="BIOMED",PR!$H374,IF(K376="CHI",PR!$I374,IF(K376="CLARION",PR!$J374,IF(K376="CODIX",PR!$K374,IF(K376="COSMADE",PR!$L374,IF(K376="SANCON",PR!$M374,IF(K376="DEVON",PR!$N374,IF(K376="DORTEMAG",PR!$O374,IF(K376="DGF",PR!$P374,IF(K376="DYNAMIC",PR!$Q374,IF(K376="EMZOR",PR!$R374,IF(K376="EUMATT",PR!$S374,IF(K376="FIDSON",PR!$T374,IF(K376="FCGLOBAL",PR!$U374,IF(K376="GENEITH",PR!$V374,IF(K376="GINOS",PR!$W374,IF(K376="GSK",PR!$X374,IF(K376="GLOBORG",PR!$Y374,IF(K376="GOODNEWS",PR!$Z374,IF(K376="GREENLIFE",PR!$AA374,IF(K376="HLINE",PR!$AB374,IF(K376="ROTECH",PR!$AC374,IF(K376="ISN",PR!$AD374,IF(K376="JAWA",PR!$AE374,IF(K376="LAYO",PR!$AF374,IF(K376="LEADWAY",PR!$AG374,IF(K376="LHV",PR!$AH374,IF(K376="MANOLA",PR!$AI374,IF(K376="MARCSON",PR!$AJ374,IF(K376="M&amp;B",PR!$AK374,IF(K376="MTRUST",PR!$AL374,IF(K376="MWORLD",PR!$AM374,IF(K376="MEGA",PR!$AN374,IF(K376="MICRONOVA",PR!$AO374,IF(K376="MFLASH",PR!$AP374,IF(K376="MORISON",PR!$AQ374,IF(K376="NEMEL",PR!$AR374,IF(K376="NHP",PR!$AS374,IF(K376="NHC",PR!$AT374,IF(K376="OLEAF",PR!$AU374,IF(K376="OCULUS",PR!$AV374,IF(K376="PACIFIC",PR!$AW374,IF(K376="PHAMATEX",PR!$AX374,IF(K376="PETHICS",PR!$AY374,IF(K376="PHILIPS",PR!$AZ374,IF(K376="RANBAXY",PR!$BA374,IF(K376="REALS",PR!$BB374,IF(K376="ROYAL",PR!$BC374,IF(K376="SAM",PR!$BD374,IF(K376="SEAGREEN",PR!$BE374,IF(K376="SKG",PR!$BF374,IF(K376="TAH",PR!$BG374,IF(K376="TAYLEK",PR!$BH374,IF(K376="TEMITA",PR!$BI374,IF(K376="THL",PR!$BJ374,IF(K376="UBASTIC",PR!$BK374,IF(K376="UNION",PR!$BL374,IF(K376="UNIQUE",PR!$BM374,IF(K376="VIXA",PR!$BN374,IF(K376="WWCV",PR!$BO374,IF(K376="ZOLON",PR!$BP374,"-")))))))))))))))))))))))))))))))))))))))))))))))))))))))))))))))))</f>
        <v>-</v>
      </c>
    </row>
    <row r="377" spans="1:12" ht="18.75" x14ac:dyDescent="0.3">
      <c r="A377" s="430">
        <f>PR!A375</f>
        <v>345</v>
      </c>
      <c r="B377" s="15" t="str">
        <f>PR!B375</f>
        <v>VITAMIN E 300IU INJ</v>
      </c>
      <c r="C377" s="113" t="str">
        <f>PR!D375</f>
        <v>AMP</v>
      </c>
      <c r="D377" s="113">
        <f>PR!C375</f>
        <v>50</v>
      </c>
      <c r="E377" s="108" t="str">
        <f>IF(F377="ALPHA",PR!$E375,IF(F377="ASSENE",PR!$F375,IF(F377="BIOFEM",PR!$G375,IF(F377="BIOMED",PR!$H375,IF(F377="CHI",PR!$I375,IF(F377="CLARION",PR!$J375,IF(F377="CODIX",PR!$K375,IF(F377="COSMADE",PR!$L375,IF(F377="SANCON",PR!$M375,IF(F377="DEVON",PR!$N375,IF(F377="DORTEMAG",PR!$O375,IF(F377="DGF",PR!$P375,IF(F377="DYNAMIC",PR!$Q375,IF(F377="EMZOR",PR!$R375,IF(F377="EUMATT",PR!$S375,IF(F377="FIDSON",PR!$T375,IF(F377="FCGLOBAL",PR!$U375,IF(F377="GENEITH",PR!$V375,IF(F377="GINOS",PR!$W375,IF(F377="GSK",PR!$X375,IF(F377="GLOBORG",PR!$Y375,IF(F377="GOODNEWS",PR!$Z375,IF(F377="GREENLIFE",PR!$AA375,IF(F377="HLINE",PR!$AB375,IF(F377="ROTECH",PR!$AC375,IF(F377="ISN",PR!$AD375,IF(F377="JAWA",PR!$AE375,IF(F377="LAYO",PR!$AF375,IF(F377="LEADWAY",PR!$AG375,IF(F377="LHV",PR!$AH375,IF(F377="MANOLA",PR!$AI375,IF(F377="MARCSON",PR!$AJ375,IF(F377="M&amp;B",PR!$AK375,IF(F377="MTRUST",PR!$AL375,IF(F377="MWORLD",PR!$AM375,IF(F377="MEGA",PR!$AN375,IF(F377="MICRONOVA",PR!$AO375,IF(F377="MFLASH",PR!$AP375,IF(F377="MORISON",PR!$AQ375,IF(F377="NEMEL",PR!$AR375,IF(F377="NHP",PR!$AS375,IF(F377="NHC",PR!$AT375,IF(F377="OLEAF",PR!$AU375,IF(F377="OCULUS",PR!$AV375,IF(F377="PACIFIC",PR!$AW375,IF(F377="PHAMATEX",PR!$AX375,IF(F377="PETHICS",PR!$AY375,IF(F377="PHILIPS",PR!$AZ375,IF(F377="RANBAXY",PR!$BA375,IF(F377="REALS",PR!$BB375,IF(F377="ROYAL",PR!$BC375,IF(F377="SAM",PR!$BD375,IF(F377="SEAGREEN",PR!$BE375,IF(F377="SKG",PR!$BF375,IF(F377="TAH",PR!$BG375,IF(F377="TAYLEK",PR!$BH375,IF(F377="TEMITA",PR!$BI375,IF(F377="THL",PR!$BJ375,IF(F377="UBASTIC",PR!$BK375,IF(F377="UNION",PR!$BL375,IF(F377="UNIQUE",PR!$BM375,IF(F377="VIXA",PR!$BN375,IF(F377="WWCV",PR!$BO375,IF(F377="ZOLON",PR!$BP375,"-"))))))))))))))))))))))))))))))))))))))))))))))))))))))))))))))))</f>
        <v>-</v>
      </c>
      <c r="F377" s="102">
        <f>EV!L481</f>
        <v>0</v>
      </c>
      <c r="G377" s="108" t="str">
        <f>IF(H377="ALPHA",PR!$E375,IF(H377="ASSENE",PR!$F375,IF(H377="BIOFEM",PR!$G375,IF(H377="BIOMED",PR!$H375,IF(H377="CHI",PR!$I375,IF(H377="CLARION",PR!$J375,IF(H377="CODIX",PR!$K375,IF(H377="COSMADE",PR!$L375,IF(H377="SANCON",PR!$M375,IF(H377="DEVON",PR!$N375,IF(H377="DORTEMAG",PR!$O375,IF(H377="DGF",PR!$P375,IF(H377="DYNAMIC",PR!$Q375,IF(H377="EMZOR",PR!$R375,IF(H377="EUMATT",PR!$S375,IF(H377="FIDSON",PR!$T375,IF(H377="FCGLOBAL",PR!$U375,IF(H377="GENEITH",PR!$V375,IF(H377="GINOS",PR!$W375,IF(H377="GSK",PR!$X375,IF(H377="GLOBORG",PR!$Y375,IF(H377="GOODNEWS",PR!$Z375,IF(H377="GREENLIFE",PR!$AA375,IF(H377="HLINE",PR!$AB375,IF(H377="ROTECH",PR!$AC375,IF(H377="ISN",PR!$AD375,IF(H377="JAWA",PR!$AE375,IF(H377="LAYO",PR!$AF375,IF(H377="LEADWAY",PR!$AG375,IF(H377="LHV",PR!$AH375,IF(H377="MANOLA",PR!$AI375,IF(H377="MARCSON",PR!$AJ375,IF(H377="M&amp;B",PR!$AK375,IF(H377="MTRUST",PR!$AL375,IF(H377="MWORLD",PR!$AM375,IF(H377="MEGA",PR!$AN375,IF(H377="MICRONOVA",PR!$AO375,IF(H377="MFLASH",PR!$AP375,IF(H377="MORISON",PR!$AQ375,IF(H377="NEMEL",PR!$AR375,IF(H377="NHP",PR!$AS375,IF(H377="NHC",PR!$AT375,IF(H377="OLEAF",PR!$AU375,IF(H377="OCULUS",PR!$AV375,IF(H377="PACIFIC",PR!$AW375,IF(H377="PHAMATEX",PR!$AX375,IF(H377="PETHICS",PR!$AY375,IF(H377="PHILIPS",PR!$AZ375,IF(H377="RANBAXY",PR!$BA375,IF(H377="REALS",PR!$BB375,IF(H377="ROYAL",PR!$BC375,IF(H377="SAM",PR!$BD375,IF(H377="SEAGREEN",PR!$BE375,IF(H377="SKG",PR!$BF375,IF(H377="TAH",PR!$BG375,IF(H377="TAYLEK",PR!$BH375,IF(H377="TEMITA",PR!$BI375,IF(H377="THL",PR!$BJ375,IF(H377="UBASTIC",PR!$BK375,IF(H377="UNION",PR!$BL375,IF(H377="UNIQUE",PR!$BM375,IF(H377="VIXA",PR!$BN375,IF(H377="WWCV",PR!$BO375,IF(H377="ZOLON",PR!$BP375,"-"))))))))))))))))))))))))))))))))))))))))))))))))))))))))))))))))</f>
        <v>-</v>
      </c>
      <c r="H377" s="102">
        <f>EV!M481</f>
        <v>0</v>
      </c>
      <c r="I377" s="108" t="str">
        <f>IF(J377="ALPHA",PR!$E375,IF(J377="ASSENE",PR!$F375,IF(J377="BIOFEM",PR!$G375,IF(J377="BIOMED",PR!$H375,IF(J377="CHI",PR!$I375,IF(J377="CLARION",PR!$J375,IF(J377="CODIX",PR!$K375,IF(J377="COSMADE",PR!$L375,IF(J377="SANCON",PR!$M375,IF(J377="DEVON",PR!$N375,IF(J377="DORTEMAG",PR!$O375,IF(J377="DGF",PR!$P375,IF(J377="DYNAMIC",PR!$Q375,IF(J377="EMZOR",PR!$R375,IF(J377="EUMATT",PR!$S375,IF(J377="FIDSON",PR!$T375,IF(J377="FCGLOBAL",PR!$U375,IF(J377="GENEITH",PR!$V375,IF(J377="GINOS",PR!$W375,IF(J377="GSK",PR!$X375,IF(J377="GLOBORG",PR!$Y375,IF(J377="GOODNEWS",PR!$Z375,IF(J377="GREENLIFE",PR!$AA375,IF(J377="HLINE",PR!$AB375,IF(J377="ROTECH",PR!$AC375,IF(J377="ISN",PR!$AD375,IF(J377="JAWA",PR!$AE375,IF(J377="LAYO",PR!$AF375,IF(J377="LEADWAY",PR!$AG375,IF(J377="LHV",PR!$AH375,IF(J377="MANOLA",PR!$AI375,IF(J377="MARCSON",PR!$AJ375,IF(J377="M&amp;B",PR!$AK375,IF(J377="MTRUST",PR!$AL375,IF(J377="MWORLD",PR!$AM375,IF(J377="MEGA",PR!$AN375,IF(J377="MICRONOVA",PR!$AO375,IF(J377="MFLASH",PR!$AP375,IF(J377="MORISON",PR!$AQ375,IF(J377="NEMEL",PR!$AR375,IF(J377="NHP",PR!$AS375,IF(J377="NHC",PR!$AT375,IF(J377="OLEAF",PR!$AU375,IF(J377="OCULUS",PR!$AV375,IF(J377="PACIFIC",PR!$AW375,IF(J377="PHAMATEX",PR!$AX375,IF(J377="PETHICS",PR!$AY375,IF(J377="PHILIPS",PR!$AZ375,IF(J377="RANBAXY",PR!$BA375,IF(J377="REALS",PR!$BB375,IF(J377="ROYAL",PR!$BC375,IF(J377="SAM",PR!$BD375,IF(J377="SEAGREEN",PR!$BE375,IF(J377="SKG",PR!$BF375,IF(J377="TAH",PR!$BG375,IF(J377="TAYLEK",PR!$BH375,IF(J377="TEMITA",PR!$BI375,IF(J377="THL",PR!$BJ375,IF(J377="UBASTIC",PR!$BK375,IF(J377="UNION",PR!$BL375,IF(J377="UNIQUE",PR!$BM375,IF(J377="VIXA",PR!$BN375,IF(J377="WWCV",PR!$BO375,IF(J377="ZOLON",PR!$BP375,"-"))))))))))))))))))))))))))))))))))))))))))))))))))))))))))))))))</f>
        <v>-</v>
      </c>
      <c r="J377" s="102">
        <f>EV!N481</f>
        <v>0</v>
      </c>
      <c r="K377" s="433"/>
      <c r="L377" s="183" t="b">
        <f>IF(K377&gt;0,IF(K377="ALPHA",PR!$E375,IF(K377="ASSENE",PR!$F375,IF(K377="BIOFEM",PR!$G375,IF(K377="BIOMED",PR!$H375,IF(K377="CHI",PR!$I375,IF(K377="CLARION",PR!$J375,IF(K377="CODIX",PR!$K375,IF(K377="COSMADE",PR!$L375,IF(K377="SANCON",PR!$M375,IF(K377="DEVON",PR!$N375,IF(K377="DORTEMAG",PR!$O375,IF(K377="DGF",PR!$P375,IF(K377="DYNAMIC",PR!$Q375,IF(K377="EMZOR",PR!$R375,IF(K377="EUMATT",PR!$S375,IF(K377="FIDSON",PR!$T375,IF(K377="FCGLOBAL",PR!$U375,IF(K377="GENEITH",PR!$V375,IF(K377="GINOS",PR!$W375,IF(K377="GSK",PR!$X375,IF(K377="GLOBORG",PR!$Y375,IF(K377="GOODNEWS",PR!$Z375,IF(K377="GREENLIFE",PR!$AA375,IF(K377="HLINE",PR!$AB375,IF(K377="ROTECH",PR!$AC375,IF(K377="ISN",PR!$AD375,IF(K377="JAWA",PR!$AE375,IF(K377="LAYO",PR!$AF375,IF(K377="LEADWAY",PR!$AG375,IF(K377="LHV",PR!$AH375,IF(K377="MANOLA",PR!$AI375,IF(K377="MARCSON",PR!$AJ375,IF(K377="M&amp;B",PR!$AK375,IF(K377="MTRUST",PR!$AL375,IF(K377="MWORLD",PR!$AM375,IF(K377="MEGA",PR!$AN375,IF(K377="MICRONOVA",PR!$AO375,IF(K377="MFLASH",PR!$AP375,IF(K377="MORISON",PR!$AQ375,IF(K377="NEMEL",PR!$AR375,IF(K377="NHP",PR!$AS375,IF(K377="NHC",PR!$AT375,IF(K377="OLEAF",PR!$AU375,IF(K377="OCULUS",PR!$AV375,IF(K377="PACIFIC",PR!$AW375,IF(K377="PHAMATEX",PR!$AX375,IF(K377="PETHICS",PR!$AY375,IF(K377="PHILIPS",PR!$AZ375,IF(K377="RANBAXY",PR!$BA375,IF(K377="REALS",PR!$BB375,IF(K377="ROYAL",PR!$BC375,IF(K377="SAM",PR!$BD375,IF(K377="SEAGREEN",PR!$BE375,IF(K377="SKG",PR!$BF375,IF(K377="TAH",PR!$BG375,IF(K377="TAYLEK",PR!$BH375,IF(K377="TEMITA",PR!$BI375,IF(K377="THL",PR!$BJ375,IF(K377="UBASTIC",PR!$BK375,IF(K377="UNION",PR!$BL375,IF(K377="UNIQUE",PR!$BM375,IF(K377="VIXA",PR!$BN375,IF(K377="WWCV",PR!$BO375,IF(K377="ZOLON",PR!$BP375,"-")))))))))))))))))))))))))))))))))))))))))))))))))))))))))))))))))</f>
        <v>0</v>
      </c>
    </row>
    <row r="378" spans="1:12" ht="18.75" x14ac:dyDescent="0.3">
      <c r="A378" s="430">
        <f>PR!A376</f>
        <v>346</v>
      </c>
      <c r="B378" s="15" t="str">
        <f>PR!B376</f>
        <v>VITAMIN E 400IU</v>
      </c>
      <c r="C378" s="113">
        <f>PR!D376</f>
        <v>30</v>
      </c>
      <c r="D378" s="113">
        <f>PR!C376</f>
        <v>1200</v>
      </c>
      <c r="E378" s="108">
        <f>IF(F378="ALPHA",PR!$E376,IF(F378="ASSENE",PR!$F376,IF(F378="BIOFEM",PR!$G376,IF(F378="BIOMED",PR!$H376,IF(F378="CHI",PR!$I376,IF(F378="CLARION",PR!$J376,IF(F378="CODIX",PR!$K376,IF(F378="COSMADE",PR!$L376,IF(F378="SANCON",PR!$M376,IF(F378="DEVON",PR!$N376,IF(F378="DORTEMAG",PR!$O376,IF(F378="DGF",PR!$P376,IF(F378="DYNAMIC",PR!$Q376,IF(F378="EMZOR",PR!$R376,IF(F378="EUMATT",PR!$S376,IF(F378="FIDSON",PR!$T376,IF(F378="FCGLOBAL",PR!$U376,IF(F378="GENEITH",PR!$V376,IF(F378="GINOS",PR!$W376,IF(F378="GSK",PR!$X376,IF(F378="GLOBORG",PR!$Y376,IF(F378="GOODNEWS",PR!$Z376,IF(F378="GREENLIFE",PR!$AA376,IF(F378="HLINE",PR!$AB376,IF(F378="ROTECH",PR!$AC376,IF(F378="ISN",PR!$AD376,IF(F378="JAWA",PR!$AE376,IF(F378="LAYO",PR!$AF376,IF(F378="LEADWAY",PR!$AG376,IF(F378="LHV",PR!$AH376,IF(F378="MANOLA",PR!$AI376,IF(F378="MARCSON",PR!$AJ376,IF(F378="M&amp;B",PR!$AK376,IF(F378="MTRUST",PR!$AL376,IF(F378="MWORLD",PR!$AM376,IF(F378="MEGA",PR!$AN376,IF(F378="MICRONOVA",PR!$AO376,IF(F378="MFLASH",PR!$AP376,IF(F378="MORISON",PR!$AQ376,IF(F378="NEMEL",PR!$AR376,IF(F378="NHP",PR!$AS376,IF(F378="NHC",PR!$AT376,IF(F378="OLEAF",PR!$AU376,IF(F378="OCULUS",PR!$AV376,IF(F378="PACIFIC",PR!$AW376,IF(F378="PHAMATEX",PR!$AX376,IF(F378="PETHICS",PR!$AY376,IF(F378="PHILIPS",PR!$AZ376,IF(F378="RANBAXY",PR!$BA376,IF(F378="REALS",PR!$BB376,IF(F378="ROYAL",PR!$BC376,IF(F378="SAM",PR!$BD376,IF(F378="SEAGREEN",PR!$BE376,IF(F378="SKG",PR!$BF376,IF(F378="TAH",PR!$BG376,IF(F378="TAYLEK",PR!$BH376,IF(F378="TEMITA",PR!$BI376,IF(F378="THL",PR!$BJ376,IF(F378="UBASTIC",PR!$BK376,IF(F378="UNION",PR!$BL376,IF(F378="UNIQUE",PR!$BM376,IF(F378="VIXA",PR!$BN376,IF(F378="WWCV",PR!$BO376,IF(F378="ZOLON",PR!$BP376,"-"))))))))))))))))))))))))))))))))))))))))))))))))))))))))))))))))</f>
        <v>678.92000000000007</v>
      </c>
      <c r="F378" s="102" t="str">
        <f>EV!L482</f>
        <v>EMZOR</v>
      </c>
      <c r="G378" s="108">
        <f>IF(H378="ALPHA",PR!$E376,IF(H378="ASSENE",PR!$F376,IF(H378="BIOFEM",PR!$G376,IF(H378="BIOMED",PR!$H376,IF(H378="CHI",PR!$I376,IF(H378="CLARION",PR!$J376,IF(H378="CODIX",PR!$K376,IF(H378="COSMADE",PR!$L376,IF(H378="SANCON",PR!$M376,IF(H378="DEVON",PR!$N376,IF(H378="DORTEMAG",PR!$O376,IF(H378="DGF",PR!$P376,IF(H378="DYNAMIC",PR!$Q376,IF(H378="EMZOR",PR!$R376,IF(H378="EUMATT",PR!$S376,IF(H378="FIDSON",PR!$T376,IF(H378="FCGLOBAL",PR!$U376,IF(H378="GENEITH",PR!$V376,IF(H378="GINOS",PR!$W376,IF(H378="GSK",PR!$X376,IF(H378="GLOBORG",PR!$Y376,IF(H378="GOODNEWS",PR!$Z376,IF(H378="GREENLIFE",PR!$AA376,IF(H378="HLINE",PR!$AB376,IF(H378="ROTECH",PR!$AC376,IF(H378="ISN",PR!$AD376,IF(H378="JAWA",PR!$AE376,IF(H378="LAYO",PR!$AF376,IF(H378="LEADWAY",PR!$AG376,IF(H378="LHV",PR!$AH376,IF(H378="MANOLA",PR!$AI376,IF(H378="MARCSON",PR!$AJ376,IF(H378="M&amp;B",PR!$AK376,IF(H378="MTRUST",PR!$AL376,IF(H378="MWORLD",PR!$AM376,IF(H378="MEGA",PR!$AN376,IF(H378="MICRONOVA",PR!$AO376,IF(H378="MFLASH",PR!$AP376,IF(H378="MORISON",PR!$AQ376,IF(H378="NEMEL",PR!$AR376,IF(H378="NHP",PR!$AS376,IF(H378="NHC",PR!$AT376,IF(H378="OLEAF",PR!$AU376,IF(H378="OCULUS",PR!$AV376,IF(H378="PACIFIC",PR!$AW376,IF(H378="PHAMATEX",PR!$AX376,IF(H378="PETHICS",PR!$AY376,IF(H378="PHILIPS",PR!$AZ376,IF(H378="RANBAXY",PR!$BA376,IF(H378="REALS",PR!$BB376,IF(H378="ROYAL",PR!$BC376,IF(H378="SAM",PR!$BD376,IF(H378="SEAGREEN",PR!$BE376,IF(H378="SKG",PR!$BF376,IF(H378="TAH",PR!$BG376,IF(H378="TAYLEK",PR!$BH376,IF(H378="TEMITA",PR!$BI376,IF(H378="THL",PR!$BJ376,IF(H378="UBASTIC",PR!$BK376,IF(H378="UNION",PR!$BL376,IF(H378="UNIQUE",PR!$BM376,IF(H378="VIXA",PR!$BN376,IF(H378="WWCV",PR!$BO376,IF(H378="ZOLON",PR!$BP376,"-"))))))))))))))))))))))))))))))))))))))))))))))))))))))))))))))))</f>
        <v>1100</v>
      </c>
      <c r="H378" s="102" t="str">
        <f>EV!M482</f>
        <v>CHI</v>
      </c>
      <c r="I378" s="108">
        <f>IF(J378="ALPHA",PR!$E376,IF(J378="ASSENE",PR!$F376,IF(J378="BIOFEM",PR!$G376,IF(J378="BIOMED",PR!$H376,IF(J378="CHI",PR!$I376,IF(J378="CLARION",PR!$J376,IF(J378="CODIX",PR!$K376,IF(J378="COSMADE",PR!$L376,IF(J378="SANCON",PR!$M376,IF(J378="DEVON",PR!$N376,IF(J378="DORTEMAG",PR!$O376,IF(J378="DGF",PR!$P376,IF(J378="DYNAMIC",PR!$Q376,IF(J378="EMZOR",PR!$R376,IF(J378="EUMATT",PR!$S376,IF(J378="FIDSON",PR!$T376,IF(J378="FCGLOBAL",PR!$U376,IF(J378="GENEITH",PR!$V376,IF(J378="GINOS",PR!$W376,IF(J378="GSK",PR!$X376,IF(J378="GLOBORG",PR!$Y376,IF(J378="GOODNEWS",PR!$Z376,IF(J378="GREENLIFE",PR!$AA376,IF(J378="HLINE",PR!$AB376,IF(J378="ROTECH",PR!$AC376,IF(J378="ISN",PR!$AD376,IF(J378="JAWA",PR!$AE376,IF(J378="LAYO",PR!$AF376,IF(J378="LEADWAY",PR!$AG376,IF(J378="LHV",PR!$AH376,IF(J378="MANOLA",PR!$AI376,IF(J378="MARCSON",PR!$AJ376,IF(J378="M&amp;B",PR!$AK376,IF(J378="MTRUST",PR!$AL376,IF(J378="MWORLD",PR!$AM376,IF(J378="MEGA",PR!$AN376,IF(J378="MICRONOVA",PR!$AO376,IF(J378="MFLASH",PR!$AP376,IF(J378="MORISON",PR!$AQ376,IF(J378="NEMEL",PR!$AR376,IF(J378="NHP",PR!$AS376,IF(J378="NHC",PR!$AT376,IF(J378="OLEAF",PR!$AU376,IF(J378="OCULUS",PR!$AV376,IF(J378="PACIFIC",PR!$AW376,IF(J378="PHAMATEX",PR!$AX376,IF(J378="PETHICS",PR!$AY376,IF(J378="PHILIPS",PR!$AZ376,IF(J378="RANBAXY",PR!$BA376,IF(J378="REALS",PR!$BB376,IF(J378="ROYAL",PR!$BC376,IF(J378="SAM",PR!$BD376,IF(J378="SEAGREEN",PR!$BE376,IF(J378="SKG",PR!$BF376,IF(J378="TAH",PR!$BG376,IF(J378="TAYLEK",PR!$BH376,IF(J378="TEMITA",PR!$BI376,IF(J378="THL",PR!$BJ376,IF(J378="UBASTIC",PR!$BK376,IF(J378="UNION",PR!$BL376,IF(J378="UNIQUE",PR!$BM376,IF(J378="VIXA",PR!$BN376,IF(J378="WWCV",PR!$BO376,IF(J378="ZOLON",PR!$BP376,"-"))))))))))))))))))))))))))))))))))))))))))))))))))))))))))))))))</f>
        <v>1500</v>
      </c>
      <c r="J378" s="102" t="str">
        <f>EV!N482</f>
        <v>MEGA</v>
      </c>
      <c r="K378" s="433"/>
      <c r="L378" s="183" t="b">
        <f>IF(K378&gt;0,IF(K378="ALPHA",PR!$E376,IF(K378="ASSENE",PR!$F376,IF(K378="BIOFEM",PR!$G376,IF(K378="BIOMED",PR!$H376,IF(K378="CHI",PR!$I376,IF(K378="CLARION",PR!$J376,IF(K378="CODIX",PR!$K376,IF(K378="COSMADE",PR!$L376,IF(K378="SANCON",PR!$M376,IF(K378="DEVON",PR!$N376,IF(K378="DORTEMAG",PR!$O376,IF(K378="DGF",PR!$P376,IF(K378="DYNAMIC",PR!$Q376,IF(K378="EMZOR",PR!$R376,IF(K378="EUMATT",PR!$S376,IF(K378="FIDSON",PR!$T376,IF(K378="FCGLOBAL",PR!$U376,IF(K378="GENEITH",PR!$V376,IF(K378="GINOS",PR!$W376,IF(K378="GSK",PR!$X376,IF(K378="GLOBORG",PR!$Y376,IF(K378="GOODNEWS",PR!$Z376,IF(K378="GREENLIFE",PR!$AA376,IF(K378="HLINE",PR!$AB376,IF(K378="ROTECH",PR!$AC376,IF(K378="ISN",PR!$AD376,IF(K378="JAWA",PR!$AE376,IF(K378="LAYO",PR!$AF376,IF(K378="LEADWAY",PR!$AG376,IF(K378="LHV",PR!$AH376,IF(K378="MANOLA",PR!$AI376,IF(K378="MARCSON",PR!$AJ376,IF(K378="M&amp;B",PR!$AK376,IF(K378="MTRUST",PR!$AL376,IF(K378="MWORLD",PR!$AM376,IF(K378="MEGA",PR!$AN376,IF(K378="MICRONOVA",PR!$AO376,IF(K378="MFLASH",PR!$AP376,IF(K378="MORISON",PR!$AQ376,IF(K378="NEMEL",PR!$AR376,IF(K378="NHP",PR!$AS376,IF(K378="NHC",PR!$AT376,IF(K378="OLEAF",PR!$AU376,IF(K378="OCULUS",PR!$AV376,IF(K378="PACIFIC",PR!$AW376,IF(K378="PHAMATEX",PR!$AX376,IF(K378="PETHICS",PR!$AY376,IF(K378="PHILIPS",PR!$AZ376,IF(K378="RANBAXY",PR!$BA376,IF(K378="REALS",PR!$BB376,IF(K378="ROYAL",PR!$BC376,IF(K378="SAM",PR!$BD376,IF(K378="SEAGREEN",PR!$BE376,IF(K378="SKG",PR!$BF376,IF(K378="TAH",PR!$BG376,IF(K378="TAYLEK",PR!$BH376,IF(K378="TEMITA",PR!$BI376,IF(K378="THL",PR!$BJ376,IF(K378="UBASTIC",PR!$BK376,IF(K378="UNION",PR!$BL376,IF(K378="UNIQUE",PR!$BM376,IF(K378="VIXA",PR!$BN376,IF(K378="WWCV",PR!$BO376,IF(K378="ZOLON",PR!$BP376,"-")))))))))))))))))))))))))))))))))))))))))))))))))))))))))))))))))</f>
        <v>0</v>
      </c>
    </row>
    <row r="379" spans="1:12" ht="18.75" x14ac:dyDescent="0.3">
      <c r="A379" s="430">
        <f>PR!A377</f>
        <v>347</v>
      </c>
      <c r="B379" s="15" t="str">
        <f>PR!B377</f>
        <v>VITAMIN E 1000IU</v>
      </c>
      <c r="C379" s="113">
        <f>PR!D377</f>
        <v>30</v>
      </c>
      <c r="D379" s="113">
        <f>PR!C377</f>
        <v>100</v>
      </c>
      <c r="E379" s="108">
        <f>IF(F379="ALPHA",PR!$E377,IF(F379="ASSENE",PR!$F377,IF(F379="BIOFEM",PR!$G377,IF(F379="BIOMED",PR!$H377,IF(F379="CHI",PR!$I377,IF(F379="CLARION",PR!$J377,IF(F379="CODIX",PR!$K377,IF(F379="COSMADE",PR!$L377,IF(F379="SANCON",PR!$M377,IF(F379="DEVON",PR!$N377,IF(F379="DORTEMAG",PR!$O377,IF(F379="DGF",PR!$P377,IF(F379="DYNAMIC",PR!$Q377,IF(F379="EMZOR",PR!$R377,IF(F379="EUMATT",PR!$S377,IF(F379="FIDSON",PR!$T377,IF(F379="FCGLOBAL",PR!$U377,IF(F379="GENEITH",PR!$V377,IF(F379="GINOS",PR!$W377,IF(F379="GSK",PR!$X377,IF(F379="GLOBORG",PR!$Y377,IF(F379="GOODNEWS",PR!$Z377,IF(F379="GREENLIFE",PR!$AA377,IF(F379="HLINE",PR!$AB377,IF(F379="ROTECH",PR!$AC377,IF(F379="ISN",PR!$AD377,IF(F379="JAWA",PR!$AE377,IF(F379="LAYO",PR!$AF377,IF(F379="LEADWAY",PR!$AG377,IF(F379="LHV",PR!$AH377,IF(F379="MANOLA",PR!$AI377,IF(F379="MARCSON",PR!$AJ377,IF(F379="M&amp;B",PR!$AK377,IF(F379="MTRUST",PR!$AL377,IF(F379="MWORLD",PR!$AM377,IF(F379="MEGA",PR!$AN377,IF(F379="MICRONOVA",PR!$AO377,IF(F379="MFLASH",PR!$AP377,IF(F379="MORISON",PR!$AQ377,IF(F379="NEMEL",PR!$AR377,IF(F379="NHP",PR!$AS377,IF(F379="NHC",PR!$AT377,IF(F379="OLEAF",PR!$AU377,IF(F379="OCULUS",PR!$AV377,IF(F379="PACIFIC",PR!$AW377,IF(F379="PHAMATEX",PR!$AX377,IF(F379="PETHICS",PR!$AY377,IF(F379="PHILIPS",PR!$AZ377,IF(F379="RANBAXY",PR!$BA377,IF(F379="REALS",PR!$BB377,IF(F379="ROYAL",PR!$BC377,IF(F379="SAM",PR!$BD377,IF(F379="SEAGREEN",PR!$BE377,IF(F379="SKG",PR!$BF377,IF(F379="TAH",PR!$BG377,IF(F379="TAYLEK",PR!$BH377,IF(F379="TEMITA",PR!$BI377,IF(F379="THL",PR!$BJ377,IF(F379="UBASTIC",PR!$BK377,IF(F379="UNION",PR!$BL377,IF(F379="UNIQUE",PR!$BM377,IF(F379="VIXA",PR!$BN377,IF(F379="WWCV",PR!$BO377,IF(F379="ZOLON",PR!$BP377,"-"))))))))))))))))))))))))))))))))))))))))))))))))))))))))))))))))</f>
        <v>1360</v>
      </c>
      <c r="F379" s="102" t="str">
        <f>EV!L483</f>
        <v>CLARION</v>
      </c>
      <c r="G379" s="108">
        <f>IF(H379="ALPHA",PR!$E377,IF(H379="ASSENE",PR!$F377,IF(H379="BIOFEM",PR!$G377,IF(H379="BIOMED",PR!$H377,IF(H379="CHI",PR!$I377,IF(H379="CLARION",PR!$J377,IF(H379="CODIX",PR!$K377,IF(H379="COSMADE",PR!$L377,IF(H379="SANCON",PR!$M377,IF(H379="DEVON",PR!$N377,IF(H379="DORTEMAG",PR!$O377,IF(H379="DGF",PR!$P377,IF(H379="DYNAMIC",PR!$Q377,IF(H379="EMZOR",PR!$R377,IF(H379="EUMATT",PR!$S377,IF(H379="FIDSON",PR!$T377,IF(H379="FCGLOBAL",PR!$U377,IF(H379="GENEITH",PR!$V377,IF(H379="GINOS",PR!$W377,IF(H379="GSK",PR!$X377,IF(H379="GLOBORG",PR!$Y377,IF(H379="GOODNEWS",PR!$Z377,IF(H379="GREENLIFE",PR!$AA377,IF(H379="HLINE",PR!$AB377,IF(H379="ROTECH",PR!$AC377,IF(H379="ISN",PR!$AD377,IF(H379="JAWA",PR!$AE377,IF(H379="LAYO",PR!$AF377,IF(H379="LEADWAY",PR!$AG377,IF(H379="LHV",PR!$AH377,IF(H379="MANOLA",PR!$AI377,IF(H379="MARCSON",PR!$AJ377,IF(H379="M&amp;B",PR!$AK377,IF(H379="MTRUST",PR!$AL377,IF(H379="MWORLD",PR!$AM377,IF(H379="MEGA",PR!$AN377,IF(H379="MICRONOVA",PR!$AO377,IF(H379="MFLASH",PR!$AP377,IF(H379="MORISON",PR!$AQ377,IF(H379="NEMEL",PR!$AR377,IF(H379="NHP",PR!$AS377,IF(H379="NHC",PR!$AT377,IF(H379="OLEAF",PR!$AU377,IF(H379="OCULUS",PR!$AV377,IF(H379="PACIFIC",PR!$AW377,IF(H379="PHAMATEX",PR!$AX377,IF(H379="PETHICS",PR!$AY377,IF(H379="PHILIPS",PR!$AZ377,IF(H379="RANBAXY",PR!$BA377,IF(H379="REALS",PR!$BB377,IF(H379="ROYAL",PR!$BC377,IF(H379="SAM",PR!$BD377,IF(H379="SEAGREEN",PR!$BE377,IF(H379="SKG",PR!$BF377,IF(H379="TAH",PR!$BG377,IF(H379="TAYLEK",PR!$BH377,IF(H379="TEMITA",PR!$BI377,IF(H379="THL",PR!$BJ377,IF(H379="UBASTIC",PR!$BK377,IF(H379="UNION",PR!$BL377,IF(H379="UNIQUE",PR!$BM377,IF(H379="VIXA",PR!$BN377,IF(H379="WWCV",PR!$BO377,IF(H379="ZOLON",PR!$BP377,"-"))))))))))))))))))))))))))))))))))))))))))))))))))))))))))))))))</f>
        <v>1378.09</v>
      </c>
      <c r="H379" s="102" t="str">
        <f>EV!M483</f>
        <v>EMZOR</v>
      </c>
      <c r="I379" s="108">
        <f>IF(J379="ALPHA",PR!$E377,IF(J379="ASSENE",PR!$F377,IF(J379="BIOFEM",PR!$G377,IF(J379="BIOMED",PR!$H377,IF(J379="CHI",PR!$I377,IF(J379="CLARION",PR!$J377,IF(J379="CODIX",PR!$K377,IF(J379="COSMADE",PR!$L377,IF(J379="SANCON",PR!$M377,IF(J379="DEVON",PR!$N377,IF(J379="DORTEMAG",PR!$O377,IF(J379="DGF",PR!$P377,IF(J379="DYNAMIC",PR!$Q377,IF(J379="EMZOR",PR!$R377,IF(J379="EUMATT",PR!$S377,IF(J379="FIDSON",PR!$T377,IF(J379="FCGLOBAL",PR!$U377,IF(J379="GENEITH",PR!$V377,IF(J379="GINOS",PR!$W377,IF(J379="GSK",PR!$X377,IF(J379="GLOBORG",PR!$Y377,IF(J379="GOODNEWS",PR!$Z377,IF(J379="GREENLIFE",PR!$AA377,IF(J379="HLINE",PR!$AB377,IF(J379="ROTECH",PR!$AC377,IF(J379="ISN",PR!$AD377,IF(J379="JAWA",PR!$AE377,IF(J379="LAYO",PR!$AF377,IF(J379="LEADWAY",PR!$AG377,IF(J379="LHV",PR!$AH377,IF(J379="MANOLA",PR!$AI377,IF(J379="MARCSON",PR!$AJ377,IF(J379="M&amp;B",PR!$AK377,IF(J379="MTRUST",PR!$AL377,IF(J379="MWORLD",PR!$AM377,IF(J379="MEGA",PR!$AN377,IF(J379="MICRONOVA",PR!$AO377,IF(J379="MFLASH",PR!$AP377,IF(J379="MORISON",PR!$AQ377,IF(J379="NEMEL",PR!$AR377,IF(J379="NHP",PR!$AS377,IF(J379="NHC",PR!$AT377,IF(J379="OLEAF",PR!$AU377,IF(J379="OCULUS",PR!$AV377,IF(J379="PACIFIC",PR!$AW377,IF(J379="PHAMATEX",PR!$AX377,IF(J379="PETHICS",PR!$AY377,IF(J379="PHILIPS",PR!$AZ377,IF(J379="RANBAXY",PR!$BA377,IF(J379="REALS",PR!$BB377,IF(J379="ROYAL",PR!$BC377,IF(J379="SAM",PR!$BD377,IF(J379="SEAGREEN",PR!$BE377,IF(J379="SKG",PR!$BF377,IF(J379="TAH",PR!$BG377,IF(J379="TAYLEK",PR!$BH377,IF(J379="TEMITA",PR!$BI377,IF(J379="THL",PR!$BJ377,IF(J379="UBASTIC",PR!$BK377,IF(J379="UNION",PR!$BL377,IF(J379="UNIQUE",PR!$BM377,IF(J379="VIXA",PR!$BN377,IF(J379="WWCV",PR!$BO377,IF(J379="ZOLON",PR!$BP377,"-"))))))))))))))))))))))))))))))))))))))))))))))))))))))))))))))))</f>
        <v>2000</v>
      </c>
      <c r="J379" s="102" t="str">
        <f>EV!N483</f>
        <v>EUMATT</v>
      </c>
      <c r="K379" s="433"/>
      <c r="L379" s="183" t="b">
        <f>IF(K379&gt;0,IF(K379="ALPHA",PR!$E377,IF(K379="ASSENE",PR!$F377,IF(K379="BIOFEM",PR!$G377,IF(K379="BIOMED",PR!$H377,IF(K379="CHI",PR!$I377,IF(K379="CLARION",PR!$J377,IF(K379="CODIX",PR!$K377,IF(K379="COSMADE",PR!$L377,IF(K379="SANCON",PR!$M377,IF(K379="DEVON",PR!$N377,IF(K379="DORTEMAG",PR!$O377,IF(K379="DGF",PR!$P377,IF(K379="DYNAMIC",PR!$Q377,IF(K379="EMZOR",PR!$R377,IF(K379="EUMATT",PR!$S377,IF(K379="FIDSON",PR!$T377,IF(K379="FCGLOBAL",PR!$U377,IF(K379="GENEITH",PR!$V377,IF(K379="GINOS",PR!$W377,IF(K379="GSK",PR!$X377,IF(K379="GLOBORG",PR!$Y377,IF(K379="GOODNEWS",PR!$Z377,IF(K379="GREENLIFE",PR!$AA377,IF(K379="HLINE",PR!$AB377,IF(K379="ROTECH",PR!$AC377,IF(K379="ISN",PR!$AD377,IF(K379="JAWA",PR!$AE377,IF(K379="LAYO",PR!$AF377,IF(K379="LEADWAY",PR!$AG377,IF(K379="LHV",PR!$AH377,IF(K379="MANOLA",PR!$AI377,IF(K379="MARCSON",PR!$AJ377,IF(K379="M&amp;B",PR!$AK377,IF(K379="MTRUST",PR!$AL377,IF(K379="MWORLD",PR!$AM377,IF(K379="MEGA",PR!$AN377,IF(K379="MICRONOVA",PR!$AO377,IF(K379="MFLASH",PR!$AP377,IF(K379="MORISON",PR!$AQ377,IF(K379="NEMEL",PR!$AR377,IF(K379="NHP",PR!$AS377,IF(K379="NHC",PR!$AT377,IF(K379="OLEAF",PR!$AU377,IF(K379="OCULUS",PR!$AV377,IF(K379="PACIFIC",PR!$AW377,IF(K379="PHAMATEX",PR!$AX377,IF(K379="PETHICS",PR!$AY377,IF(K379="PHILIPS",PR!$AZ377,IF(K379="RANBAXY",PR!$BA377,IF(K379="REALS",PR!$BB377,IF(K379="ROYAL",PR!$BC377,IF(K379="SAM",PR!$BD377,IF(K379="SEAGREEN",PR!$BE377,IF(K379="SKG",PR!$BF377,IF(K379="TAH",PR!$BG377,IF(K379="TAYLEK",PR!$BH377,IF(K379="TEMITA",PR!$BI377,IF(K379="THL",PR!$BJ377,IF(K379="UBASTIC",PR!$BK377,IF(K379="UNION",PR!$BL377,IF(K379="UNIQUE",PR!$BM377,IF(K379="VIXA",PR!$BN377,IF(K379="WWCV",PR!$BO377,IF(K379="ZOLON",PR!$BP377,"-")))))))))))))))))))))))))))))))))))))))))))))))))))))))))))))))))</f>
        <v>0</v>
      </c>
    </row>
    <row r="380" spans="1:12" ht="18.75" x14ac:dyDescent="0.3">
      <c r="A380" s="430">
        <f>PR!A378</f>
        <v>348</v>
      </c>
      <c r="B380" s="15" t="str">
        <f>PR!B378</f>
        <v>VITAMIN K1</v>
      </c>
      <c r="C380" s="113" t="str">
        <f>PR!D378</f>
        <v>AMP</v>
      </c>
      <c r="D380" s="113">
        <f>PR!C378</f>
        <v>2000</v>
      </c>
      <c r="E380" s="108">
        <f>IF(F380="ALPHA",PR!$E378,IF(F380="ASSENE",PR!$F378,IF(F380="BIOFEM",PR!$G378,IF(F380="BIOMED",PR!$H378,IF(F380="CHI",PR!$I378,IF(F380="CLARION",PR!$J378,IF(F380="CODIX",PR!$K378,IF(F380="COSMADE",PR!$L378,IF(F380="SANCON",PR!$M378,IF(F380="DEVON",PR!$N378,IF(F380="DORTEMAG",PR!$O378,IF(F380="DGF",PR!$P378,IF(F380="DYNAMIC",PR!$Q378,IF(F380="EMZOR",PR!$R378,IF(F380="EUMATT",PR!$S378,IF(F380="FIDSON",PR!$T378,IF(F380="FCGLOBAL",PR!$U378,IF(F380="GENEITH",PR!$V378,IF(F380="GINOS",PR!$W378,IF(F380="GSK",PR!$X378,IF(F380="GLOBORG",PR!$Y378,IF(F380="GOODNEWS",PR!$Z378,IF(F380="GREENLIFE",PR!$AA378,IF(F380="HLINE",PR!$AB378,IF(F380="ROTECH",PR!$AC378,IF(F380="ISN",PR!$AD378,IF(F380="JAWA",PR!$AE378,IF(F380="LAYO",PR!$AF378,IF(F380="LEADWAY",PR!$AG378,IF(F380="LHV",PR!$AH378,IF(F380="MANOLA",PR!$AI378,IF(F380="MARCSON",PR!$AJ378,IF(F380="M&amp;B",PR!$AK378,IF(F380="MTRUST",PR!$AL378,IF(F380="MWORLD",PR!$AM378,IF(F380="MEGA",PR!$AN378,IF(F380="MICRONOVA",PR!$AO378,IF(F380="MFLASH",PR!$AP378,IF(F380="MORISON",PR!$AQ378,IF(F380="NEMEL",PR!$AR378,IF(F380="NHP",PR!$AS378,IF(F380="NHC",PR!$AT378,IF(F380="OLEAF",PR!$AU378,IF(F380="OCULUS",PR!$AV378,IF(F380="PACIFIC",PR!$AW378,IF(F380="PHAMATEX",PR!$AX378,IF(F380="PETHICS",PR!$AY378,IF(F380="PHILIPS",PR!$AZ378,IF(F380="RANBAXY",PR!$BA378,IF(F380="REALS",PR!$BB378,IF(F380="ROYAL",PR!$BC378,IF(F380="SAM",PR!$BD378,IF(F380="SEAGREEN",PR!$BE378,IF(F380="SKG",PR!$BF378,IF(F380="TAH",PR!$BG378,IF(F380="TAYLEK",PR!$BH378,IF(F380="TEMITA",PR!$BI378,IF(F380="THL",PR!$BJ378,IF(F380="UBASTIC",PR!$BK378,IF(F380="UNION",PR!$BL378,IF(F380="UNIQUE",PR!$BM378,IF(F380="VIXA",PR!$BN378,IF(F380="WWCV",PR!$BO378,IF(F380="ZOLON",PR!$BP378,"-"))))))))))))))))))))))))))))))))))))))))))))))))))))))))))))))))</f>
        <v>52</v>
      </c>
      <c r="F380" s="102" t="str">
        <f>EV!L484</f>
        <v>EUMATT</v>
      </c>
      <c r="G380" s="108">
        <f>IF(H380="ALPHA",PR!$E378,IF(H380="ASSENE",PR!$F378,IF(H380="BIOFEM",PR!$G378,IF(H380="BIOMED",PR!$H378,IF(H380="CHI",PR!$I378,IF(H380="CLARION",PR!$J378,IF(H380="CODIX",PR!$K378,IF(H380="COSMADE",PR!$L378,IF(H380="SANCON",PR!$M378,IF(H380="DEVON",PR!$N378,IF(H380="DORTEMAG",PR!$O378,IF(H380="DGF",PR!$P378,IF(H380="DYNAMIC",PR!$Q378,IF(H380="EMZOR",PR!$R378,IF(H380="EUMATT",PR!$S378,IF(H380="FIDSON",PR!$T378,IF(H380="FCGLOBAL",PR!$U378,IF(H380="GENEITH",PR!$V378,IF(H380="GINOS",PR!$W378,IF(H380="GSK",PR!$X378,IF(H380="GLOBORG",PR!$Y378,IF(H380="GOODNEWS",PR!$Z378,IF(H380="GREENLIFE",PR!$AA378,IF(H380="HLINE",PR!$AB378,IF(H380="ROTECH",PR!$AC378,IF(H380="ISN",PR!$AD378,IF(H380="JAWA",PR!$AE378,IF(H380="LAYO",PR!$AF378,IF(H380="LEADWAY",PR!$AG378,IF(H380="LHV",PR!$AH378,IF(H380="MANOLA",PR!$AI378,IF(H380="MARCSON",PR!$AJ378,IF(H380="M&amp;B",PR!$AK378,IF(H380="MTRUST",PR!$AL378,IF(H380="MWORLD",PR!$AM378,IF(H380="MEGA",PR!$AN378,IF(H380="MICRONOVA",PR!$AO378,IF(H380="MFLASH",PR!$AP378,IF(H380="MORISON",PR!$AQ378,IF(H380="NEMEL",PR!$AR378,IF(H380="NHP",PR!$AS378,IF(H380="NHC",PR!$AT378,IF(H380="OLEAF",PR!$AU378,IF(H380="OCULUS",PR!$AV378,IF(H380="PACIFIC",PR!$AW378,IF(H380="PHAMATEX",PR!$AX378,IF(H380="PETHICS",PR!$AY378,IF(H380="PHILIPS",PR!$AZ378,IF(H380="RANBAXY",PR!$BA378,IF(H380="REALS",PR!$BB378,IF(H380="ROYAL",PR!$BC378,IF(H380="SAM",PR!$BD378,IF(H380="SEAGREEN",PR!$BE378,IF(H380="SKG",PR!$BF378,IF(H380="TAH",PR!$BG378,IF(H380="TAYLEK",PR!$BH378,IF(H380="TEMITA",PR!$BI378,IF(H380="THL",PR!$BJ378,IF(H380="UBASTIC",PR!$BK378,IF(H380="UNION",PR!$BL378,IF(H380="UNIQUE",PR!$BM378,IF(H380="VIXA",PR!$BN378,IF(H380="WWCV",PR!$BO378,IF(H380="ZOLON",PR!$BP378,"-"))))))))))))))))))))))))))))))))))))))))))))))))))))))))))))))))</f>
        <v>75</v>
      </c>
      <c r="H380" s="102" t="str">
        <f>EV!M484</f>
        <v>LEADWAY</v>
      </c>
      <c r="I380" s="108" t="str">
        <f>IF(J380="ALPHA",PR!$E378,IF(J380="ASSENE",PR!$F378,IF(J380="BIOFEM",PR!$G378,IF(J380="BIOMED",PR!$H378,IF(J380="CHI",PR!$I378,IF(J380="CLARION",PR!$J378,IF(J380="CODIX",PR!$K378,IF(J380="COSMADE",PR!$L378,IF(J380="SANCON",PR!$M378,IF(J380="DEVON",PR!$N378,IF(J380="DORTEMAG",PR!$O378,IF(J380="DGF",PR!$P378,IF(J380="DYNAMIC",PR!$Q378,IF(J380="EMZOR",PR!$R378,IF(J380="EUMATT",PR!$S378,IF(J380="FIDSON",PR!$T378,IF(J380="FCGLOBAL",PR!$U378,IF(J380="GENEITH",PR!$V378,IF(J380="GINOS",PR!$W378,IF(J380="GSK",PR!$X378,IF(J380="GLOBORG",PR!$Y378,IF(J380="GOODNEWS",PR!$Z378,IF(J380="GREENLIFE",PR!$AA378,IF(J380="HLINE",PR!$AB378,IF(J380="ROTECH",PR!$AC378,IF(J380="ISN",PR!$AD378,IF(J380="JAWA",PR!$AE378,IF(J380="LAYO",PR!$AF378,IF(J380="LEADWAY",PR!$AG378,IF(J380="LHV",PR!$AH378,IF(J380="MANOLA",PR!$AI378,IF(J380="MARCSON",PR!$AJ378,IF(J380="M&amp;B",PR!$AK378,IF(J380="MTRUST",PR!$AL378,IF(J380="MWORLD",PR!$AM378,IF(J380="MEGA",PR!$AN378,IF(J380="MICRONOVA",PR!$AO378,IF(J380="MFLASH",PR!$AP378,IF(J380="MORISON",PR!$AQ378,IF(J380="NEMEL",PR!$AR378,IF(J380="NHP",PR!$AS378,IF(J380="NHC",PR!$AT378,IF(J380="OLEAF",PR!$AU378,IF(J380="OCULUS",PR!$AV378,IF(J380="PACIFIC",PR!$AW378,IF(J380="PHAMATEX",PR!$AX378,IF(J380="PETHICS",PR!$AY378,IF(J380="PHILIPS",PR!$AZ378,IF(J380="RANBAXY",PR!$BA378,IF(J380="REALS",PR!$BB378,IF(J380="ROYAL",PR!$BC378,IF(J380="SAM",PR!$BD378,IF(J380="SEAGREEN",PR!$BE378,IF(J380="SKG",PR!$BF378,IF(J380="TAH",PR!$BG378,IF(J380="TAYLEK",PR!$BH378,IF(J380="TEMITA",PR!$BI378,IF(J380="THL",PR!$BJ378,IF(J380="UBASTIC",PR!$BK378,IF(J380="UNION",PR!$BL378,IF(J380="UNIQUE",PR!$BM378,IF(J380="VIXA",PR!$BN378,IF(J380="WWCV",PR!$BO378,IF(J380="ZOLON",PR!$BP378,"-"))))))))))))))))))))))))))))))))))))))))))))))))))))))))))))))))</f>
        <v>-</v>
      </c>
      <c r="J380" s="102">
        <f>EV!N484</f>
        <v>0</v>
      </c>
      <c r="K380" s="433" t="s">
        <v>821</v>
      </c>
      <c r="L380" s="183">
        <f>IF(K380&gt;0,IF(K380="ALPHA",PR!$E378,IF(K380="ASSENE",PR!$F378,IF(K380="BIOFEM",PR!$G378,IF(K380="BIOMED",PR!$H378,IF(K380="CHI",PR!$I378,IF(K380="CLARION",PR!$J378,IF(K380="CODIX",PR!$K378,IF(K380="COSMADE",PR!$L378,IF(K380="SANCON",PR!$M378,IF(K380="DEVON",PR!$N378,IF(K380="DORTEMAG",PR!$O378,IF(K380="DGF",PR!$P378,IF(K380="DYNAMIC",PR!$Q378,IF(K380="EMZOR",PR!$R378,IF(K380="EUMATT",PR!$S378,IF(K380="FIDSON",PR!$T378,IF(K380="FCGLOBAL",PR!$U378,IF(K380="GENEITH",PR!$V378,IF(K380="GINOS",PR!$W378,IF(K380="GSK",PR!$X378,IF(K380="GLOBORG",PR!$Y378,IF(K380="GOODNEWS",PR!$Z378,IF(K380="GREENLIFE",PR!$AA378,IF(K380="HLINE",PR!$AB378,IF(K380="ROTECH",PR!$AC378,IF(K380="ISN",PR!$AD378,IF(K380="JAWA",PR!$AE378,IF(K380="LAYO",PR!$AF378,IF(K380="LEADWAY",PR!$AG378,IF(K380="LHV",PR!$AH378,IF(K380="MANOLA",PR!$AI378,IF(K380="MARCSON",PR!$AJ378,IF(K380="M&amp;B",PR!$AK378,IF(K380="MTRUST",PR!$AL378,IF(K380="MWORLD",PR!$AM378,IF(K380="MEGA",PR!$AN378,IF(K380="MICRONOVA",PR!$AO378,IF(K380="MFLASH",PR!$AP378,IF(K380="MORISON",PR!$AQ378,IF(K380="NEMEL",PR!$AR378,IF(K380="NHP",PR!$AS378,IF(K380="NHC",PR!$AT378,IF(K380="OLEAF",PR!$AU378,IF(K380="OCULUS",PR!$AV378,IF(K380="PACIFIC",PR!$AW378,IF(K380="PHAMATEX",PR!$AX378,IF(K380="PETHICS",PR!$AY378,IF(K380="PHILIPS",PR!$AZ378,IF(K380="RANBAXY",PR!$BA378,IF(K380="REALS",PR!$BB378,IF(K380="ROYAL",PR!$BC378,IF(K380="SAM",PR!$BD378,IF(K380="SEAGREEN",PR!$BE378,IF(K380="SKG",PR!$BF378,IF(K380="TAH",PR!$BG378,IF(K380="TAYLEK",PR!$BH378,IF(K380="TEMITA",PR!$BI378,IF(K380="THL",PR!$BJ378,IF(K380="UBASTIC",PR!$BK378,IF(K380="UNION",PR!$BL378,IF(K380="UNIQUE",PR!$BM378,IF(K380="VIXA",PR!$BN378,IF(K380="WWCV",PR!$BO378,IF(K380="ZOLON",PR!$BP378,"-")))))))))))))))))))))))))))))))))))))))))))))))))))))))))))))))))</f>
        <v>52</v>
      </c>
    </row>
    <row r="381" spans="1:12" ht="18.75" x14ac:dyDescent="0.3">
      <c r="A381" s="430">
        <f>PR!A379</f>
        <v>349</v>
      </c>
      <c r="B381" s="15" t="str">
        <f>PR!B379</f>
        <v>WARFARIN 3MG TAB</v>
      </c>
      <c r="C381" s="113">
        <f>PR!D379</f>
        <v>28</v>
      </c>
      <c r="D381" s="113">
        <f>PR!C379</f>
        <v>200</v>
      </c>
      <c r="E381" s="108">
        <f>IF(F381="ALPHA",PR!$E379,IF(F381="ASSENE",PR!$F379,IF(F381="BIOFEM",PR!$G379,IF(F381="BIOMED",PR!$H379,IF(F381="CHI",PR!$I379,IF(F381="CLARION",PR!$J379,IF(F381="CODIX",PR!$K379,IF(F381="COSMADE",PR!$L379,IF(F381="SANCON",PR!$M379,IF(F381="DEVON",PR!$N379,IF(F381="DORTEMAG",PR!$O379,IF(F381="DGF",PR!$P379,IF(F381="DYNAMIC",PR!$Q379,IF(F381="EMZOR",PR!$R379,IF(F381="EUMATT",PR!$S379,IF(F381="FIDSON",PR!$T379,IF(F381="FCGLOBAL",PR!$U379,IF(F381="GENEITH",PR!$V379,IF(F381="GINOS",PR!$W379,IF(F381="GSK",PR!$X379,IF(F381="GLOBORG",PR!$Y379,IF(F381="GOODNEWS",PR!$Z379,IF(F381="GREENLIFE",PR!$AA379,IF(F381="HLINE",PR!$AB379,IF(F381="ROTECH",PR!$AC379,IF(F381="ISN",PR!$AD379,IF(F381="JAWA",PR!$AE379,IF(F381="LAYO",PR!$AF379,IF(F381="LEADWAY",PR!$AG379,IF(F381="LHV",PR!$AH379,IF(F381="MANOLA",PR!$AI379,IF(F381="MARCSON",PR!$AJ379,IF(F381="M&amp;B",PR!$AK379,IF(F381="MTRUST",PR!$AL379,IF(F381="MWORLD",PR!$AM379,IF(F381="MEGA",PR!$AN379,IF(F381="MICRONOVA",PR!$AO379,IF(F381="MFLASH",PR!$AP379,IF(F381="MORISON",PR!$AQ379,IF(F381="NEMEL",PR!$AR379,IF(F381="NHP",PR!$AS379,IF(F381="NHC",PR!$AT379,IF(F381="OLEAF",PR!$AU379,IF(F381="OCULUS",PR!$AV379,IF(F381="PACIFIC",PR!$AW379,IF(F381="PHAMATEX",PR!$AX379,IF(F381="PETHICS",PR!$AY379,IF(F381="PHILIPS",PR!$AZ379,IF(F381="RANBAXY",PR!$BA379,IF(F381="REALS",PR!$BB379,IF(F381="ROYAL",PR!$BC379,IF(F381="SAM",PR!$BD379,IF(F381="SEAGREEN",PR!$BE379,IF(F381="SKG",PR!$BF379,IF(F381="TAH",PR!$BG379,IF(F381="TAYLEK",PR!$BH379,IF(F381="TEMITA",PR!$BI379,IF(F381="THL",PR!$BJ379,IF(F381="UBASTIC",PR!$BK379,IF(F381="UNION",PR!$BL379,IF(F381="UNIQUE",PR!$BM379,IF(F381="VIXA",PR!$BN379,IF(F381="WWCV",PR!$BO379,IF(F381="ZOLON",PR!$BP379,"-"))))))))))))))))))))))))))))))))))))))))))))))))))))))))))))))))</f>
        <v>420</v>
      </c>
      <c r="F381" s="102" t="str">
        <f>EV!L485</f>
        <v>EUMATT</v>
      </c>
      <c r="G381" s="108" t="str">
        <f>IF(H381="ALPHA",PR!$E379,IF(H381="ASSENE",PR!$F379,IF(H381="BIOFEM",PR!$G379,IF(H381="BIOMED",PR!$H379,IF(H381="CHI",PR!$I379,IF(H381="CLARION",PR!$J379,IF(H381="CODIX",PR!$K379,IF(H381="COSMADE",PR!$L379,IF(H381="SANCON",PR!$M379,IF(H381="DEVON",PR!$N379,IF(H381="DORTEMAG",PR!$O379,IF(H381="DGF",PR!$P379,IF(H381="DYNAMIC",PR!$Q379,IF(H381="EMZOR",PR!$R379,IF(H381="EUMATT",PR!$S379,IF(H381="FIDSON",PR!$T379,IF(H381="FCGLOBAL",PR!$U379,IF(H381="GENEITH",PR!$V379,IF(H381="GINOS",PR!$W379,IF(H381="GSK",PR!$X379,IF(H381="GLOBORG",PR!$Y379,IF(H381="GOODNEWS",PR!$Z379,IF(H381="GREENLIFE",PR!$AA379,IF(H381="HLINE",PR!$AB379,IF(H381="ROTECH",PR!$AC379,IF(H381="ISN",PR!$AD379,IF(H381="JAWA",PR!$AE379,IF(H381="LAYO",PR!$AF379,IF(H381="LEADWAY",PR!$AG379,IF(H381="LHV",PR!$AH379,IF(H381="MANOLA",PR!$AI379,IF(H381="MARCSON",PR!$AJ379,IF(H381="M&amp;B",PR!$AK379,IF(H381="MTRUST",PR!$AL379,IF(H381="MWORLD",PR!$AM379,IF(H381="MEGA",PR!$AN379,IF(H381="MICRONOVA",PR!$AO379,IF(H381="MFLASH",PR!$AP379,IF(H381="MORISON",PR!$AQ379,IF(H381="NEMEL",PR!$AR379,IF(H381="NHP",PR!$AS379,IF(H381="NHC",PR!$AT379,IF(H381="OLEAF",PR!$AU379,IF(H381="OCULUS",PR!$AV379,IF(H381="PACIFIC",PR!$AW379,IF(H381="PHAMATEX",PR!$AX379,IF(H381="PETHICS",PR!$AY379,IF(H381="PHILIPS",PR!$AZ379,IF(H381="RANBAXY",PR!$BA379,IF(H381="REALS",PR!$BB379,IF(H381="ROYAL",PR!$BC379,IF(H381="SAM",PR!$BD379,IF(H381="SEAGREEN",PR!$BE379,IF(H381="SKG",PR!$BF379,IF(H381="TAH",PR!$BG379,IF(H381="TAYLEK",PR!$BH379,IF(H381="TEMITA",PR!$BI379,IF(H381="THL",PR!$BJ379,IF(H381="UBASTIC",PR!$BK379,IF(H381="UNION",PR!$BL379,IF(H381="UNIQUE",PR!$BM379,IF(H381="VIXA",PR!$BN379,IF(H381="WWCV",PR!$BO379,IF(H381="ZOLON",PR!$BP379,"-"))))))))))))))))))))))))))))))))))))))))))))))))))))))))))))))))</f>
        <v>-</v>
      </c>
      <c r="H381" s="102">
        <f>EV!M485</f>
        <v>0</v>
      </c>
      <c r="I381" s="108" t="str">
        <f>IF(J381="ALPHA",PR!$E379,IF(J381="ASSENE",PR!$F379,IF(J381="BIOFEM",PR!$G379,IF(J381="BIOMED",PR!$H379,IF(J381="CHI",PR!$I379,IF(J381="CLARION",PR!$J379,IF(J381="CODIX",PR!$K379,IF(J381="COSMADE",PR!$L379,IF(J381="SANCON",PR!$M379,IF(J381="DEVON",PR!$N379,IF(J381="DORTEMAG",PR!$O379,IF(J381="DGF",PR!$P379,IF(J381="DYNAMIC",PR!$Q379,IF(J381="EMZOR",PR!$R379,IF(J381="EUMATT",PR!$S379,IF(J381="FIDSON",PR!$T379,IF(J381="FCGLOBAL",PR!$U379,IF(J381="GENEITH",PR!$V379,IF(J381="GINOS",PR!$W379,IF(J381="GSK",PR!$X379,IF(J381="GLOBORG",PR!$Y379,IF(J381="GOODNEWS",PR!$Z379,IF(J381="GREENLIFE",PR!$AA379,IF(J381="HLINE",PR!$AB379,IF(J381="ROTECH",PR!$AC379,IF(J381="ISN",PR!$AD379,IF(J381="JAWA",PR!$AE379,IF(J381="LAYO",PR!$AF379,IF(J381="LEADWAY",PR!$AG379,IF(J381="LHV",PR!$AH379,IF(J381="MANOLA",PR!$AI379,IF(J381="MARCSON",PR!$AJ379,IF(J381="M&amp;B",PR!$AK379,IF(J381="MTRUST",PR!$AL379,IF(J381="MWORLD",PR!$AM379,IF(J381="MEGA",PR!$AN379,IF(J381="MICRONOVA",PR!$AO379,IF(J381="MFLASH",PR!$AP379,IF(J381="MORISON",PR!$AQ379,IF(J381="NEMEL",PR!$AR379,IF(J381="NHP",PR!$AS379,IF(J381="NHC",PR!$AT379,IF(J381="OLEAF",PR!$AU379,IF(J381="OCULUS",PR!$AV379,IF(J381="PACIFIC",PR!$AW379,IF(J381="PHAMATEX",PR!$AX379,IF(J381="PETHICS",PR!$AY379,IF(J381="PHILIPS",PR!$AZ379,IF(J381="RANBAXY",PR!$BA379,IF(J381="REALS",PR!$BB379,IF(J381="ROYAL",PR!$BC379,IF(J381="SAM",PR!$BD379,IF(J381="SEAGREEN",PR!$BE379,IF(J381="SKG",PR!$BF379,IF(J381="TAH",PR!$BG379,IF(J381="TAYLEK",PR!$BH379,IF(J381="TEMITA",PR!$BI379,IF(J381="THL",PR!$BJ379,IF(J381="UBASTIC",PR!$BK379,IF(J381="UNION",PR!$BL379,IF(J381="UNIQUE",PR!$BM379,IF(J381="VIXA",PR!$BN379,IF(J381="WWCV",PR!$BO379,IF(J381="ZOLON",PR!$BP379,"-"))))))))))))))))))))))))))))))))))))))))))))))))))))))))))))))))</f>
        <v>-</v>
      </c>
      <c r="J381" s="102">
        <f>EV!N485</f>
        <v>0</v>
      </c>
      <c r="K381" s="433" t="s">
        <v>821</v>
      </c>
      <c r="L381" s="183">
        <f>IF(K381&gt;0,IF(K381="ALPHA",PR!$E379,IF(K381="ASSENE",PR!$F379,IF(K381="BIOFEM",PR!$G379,IF(K381="BIOMED",PR!$H379,IF(K381="CHI",PR!$I379,IF(K381="CLARION",PR!$J379,IF(K381="CODIX",PR!$K379,IF(K381="COSMADE",PR!$L379,IF(K381="SANCON",PR!$M379,IF(K381="DEVON",PR!$N379,IF(K381="DORTEMAG",PR!$O379,IF(K381="DGF",PR!$P379,IF(K381="DYNAMIC",PR!$Q379,IF(K381="EMZOR",PR!$R379,IF(K381="EUMATT",PR!$S379,IF(K381="FIDSON",PR!$T379,IF(K381="FCGLOBAL",PR!$U379,IF(K381="GENEITH",PR!$V379,IF(K381="GINOS",PR!$W379,IF(K381="GSK",PR!$X379,IF(K381="GLOBORG",PR!$Y379,IF(K381="GOODNEWS",PR!$Z379,IF(K381="GREENLIFE",PR!$AA379,IF(K381="HLINE",PR!$AB379,IF(K381="ROTECH",PR!$AC379,IF(K381="ISN",PR!$AD379,IF(K381="JAWA",PR!$AE379,IF(K381="LAYO",PR!$AF379,IF(K381="LEADWAY",PR!$AG379,IF(K381="LHV",PR!$AH379,IF(K381="MANOLA",PR!$AI379,IF(K381="MARCSON",PR!$AJ379,IF(K381="M&amp;B",PR!$AK379,IF(K381="MTRUST",PR!$AL379,IF(K381="MWORLD",PR!$AM379,IF(K381="MEGA",PR!$AN379,IF(K381="MICRONOVA",PR!$AO379,IF(K381="MFLASH",PR!$AP379,IF(K381="MORISON",PR!$AQ379,IF(K381="NEMEL",PR!$AR379,IF(K381="NHP",PR!$AS379,IF(K381="NHC",PR!$AT379,IF(K381="OLEAF",PR!$AU379,IF(K381="OCULUS",PR!$AV379,IF(K381="PACIFIC",PR!$AW379,IF(K381="PHAMATEX",PR!$AX379,IF(K381="PETHICS",PR!$AY379,IF(K381="PHILIPS",PR!$AZ379,IF(K381="RANBAXY",PR!$BA379,IF(K381="REALS",PR!$BB379,IF(K381="ROYAL",PR!$BC379,IF(K381="SAM",PR!$BD379,IF(K381="SEAGREEN",PR!$BE379,IF(K381="SKG",PR!$BF379,IF(K381="TAH",PR!$BG379,IF(K381="TAYLEK",PR!$BH379,IF(K381="TEMITA",PR!$BI379,IF(K381="THL",PR!$BJ379,IF(K381="UBASTIC",PR!$BK379,IF(K381="UNION",PR!$BL379,IF(K381="UNIQUE",PR!$BM379,IF(K381="VIXA",PR!$BN379,IF(K381="WWCV",PR!$BO379,IF(K381="ZOLON",PR!$BP379,"-")))))))))))))))))))))))))))))))))))))))))))))))))))))))))))))))))</f>
        <v>420</v>
      </c>
    </row>
    <row r="382" spans="1:12" ht="18.75" x14ac:dyDescent="0.3">
      <c r="A382" s="430">
        <f>PR!A380</f>
        <v>350</v>
      </c>
      <c r="B382" s="15" t="str">
        <f>PR!B380</f>
        <v>WARFARIN 5MG TAB</v>
      </c>
      <c r="C382" s="113">
        <f>PR!D380</f>
        <v>28</v>
      </c>
      <c r="D382" s="113">
        <f>PR!C380</f>
        <v>120</v>
      </c>
      <c r="E382" s="108">
        <f>IF(F382="ALPHA",PR!$E380,IF(F382="ASSENE",PR!$F380,IF(F382="BIOFEM",PR!$G380,IF(F382="BIOMED",PR!$H380,IF(F382="CHI",PR!$I380,IF(F382="CLARION",PR!$J380,IF(F382="CODIX",PR!$K380,IF(F382="COSMADE",PR!$L380,IF(F382="SANCON",PR!$M380,IF(F382="DEVON",PR!$N380,IF(F382="DORTEMAG",PR!$O380,IF(F382="DGF",PR!$P380,IF(F382="DYNAMIC",PR!$Q380,IF(F382="EMZOR",PR!$R380,IF(F382="EUMATT",PR!$S380,IF(F382="FIDSON",PR!$T380,IF(F382="FCGLOBAL",PR!$U380,IF(F382="GENEITH",PR!$V380,IF(F382="GINOS",PR!$W380,IF(F382="GSK",PR!$X380,IF(F382="GLOBORG",PR!$Y380,IF(F382="GOODNEWS",PR!$Z380,IF(F382="GREENLIFE",PR!$AA380,IF(F382="HLINE",PR!$AB380,IF(F382="ROTECH",PR!$AC380,IF(F382="ISN",PR!$AD380,IF(F382="JAWA",PR!$AE380,IF(F382="LAYO",PR!$AF380,IF(F382="LEADWAY",PR!$AG380,IF(F382="LHV",PR!$AH380,IF(F382="MANOLA",PR!$AI380,IF(F382="MARCSON",PR!$AJ380,IF(F382="M&amp;B",PR!$AK380,IF(F382="MTRUST",PR!$AL380,IF(F382="MWORLD",PR!$AM380,IF(F382="MEGA",PR!$AN380,IF(F382="MICRONOVA",PR!$AO380,IF(F382="MFLASH",PR!$AP380,IF(F382="MORISON",PR!$AQ380,IF(F382="NEMEL",PR!$AR380,IF(F382="NHP",PR!$AS380,IF(F382="NHC",PR!$AT380,IF(F382="OLEAF",PR!$AU380,IF(F382="OCULUS",PR!$AV380,IF(F382="PACIFIC",PR!$AW380,IF(F382="PHAMATEX",PR!$AX380,IF(F382="PETHICS",PR!$AY380,IF(F382="PHILIPS",PR!$AZ380,IF(F382="RANBAXY",PR!$BA380,IF(F382="REALS",PR!$BB380,IF(F382="ROYAL",PR!$BC380,IF(F382="SAM",PR!$BD380,IF(F382="SEAGREEN",PR!$BE380,IF(F382="SKG",PR!$BF380,IF(F382="TAH",PR!$BG380,IF(F382="TAYLEK",PR!$BH380,IF(F382="TEMITA",PR!$BI380,IF(F382="THL",PR!$BJ380,IF(F382="UBASTIC",PR!$BK380,IF(F382="UNION",PR!$BL380,IF(F382="UNIQUE",PR!$BM380,IF(F382="VIXA",PR!$BN380,IF(F382="WWCV",PR!$BO380,IF(F382="ZOLON",PR!$BP380,"-"))))))))))))))))))))))))))))))))))))))))))))))))))))))))))))))))</f>
        <v>470</v>
      </c>
      <c r="F382" s="102" t="str">
        <f>EV!L486</f>
        <v>EUMATT</v>
      </c>
      <c r="G382" s="108" t="str">
        <f>IF(H382="ALPHA",PR!$E380,IF(H382="ASSENE",PR!$F380,IF(H382="BIOFEM",PR!$G380,IF(H382="BIOMED",PR!$H380,IF(H382="CHI",PR!$I380,IF(H382="CLARION",PR!$J380,IF(H382="CODIX",PR!$K380,IF(H382="COSMADE",PR!$L380,IF(H382="SANCON",PR!$M380,IF(H382="DEVON",PR!$N380,IF(H382="DORTEMAG",PR!$O380,IF(H382="DGF",PR!$P380,IF(H382="DYNAMIC",PR!$Q380,IF(H382="EMZOR",PR!$R380,IF(H382="EUMATT",PR!$S380,IF(H382="FIDSON",PR!$T380,IF(H382="FCGLOBAL",PR!$U380,IF(H382="GENEITH",PR!$V380,IF(H382="GINOS",PR!$W380,IF(H382="GSK",PR!$X380,IF(H382="GLOBORG",PR!$Y380,IF(H382="GOODNEWS",PR!$Z380,IF(H382="GREENLIFE",PR!$AA380,IF(H382="HLINE",PR!$AB380,IF(H382="ROTECH",PR!$AC380,IF(H382="ISN",PR!$AD380,IF(H382="JAWA",PR!$AE380,IF(H382="LAYO",PR!$AF380,IF(H382="LEADWAY",PR!$AG380,IF(H382="LHV",PR!$AH380,IF(H382="MANOLA",PR!$AI380,IF(H382="MARCSON",PR!$AJ380,IF(H382="M&amp;B",PR!$AK380,IF(H382="MTRUST",PR!$AL380,IF(H382="MWORLD",PR!$AM380,IF(H382="MEGA",PR!$AN380,IF(H382="MICRONOVA",PR!$AO380,IF(H382="MFLASH",PR!$AP380,IF(H382="MORISON",PR!$AQ380,IF(H382="NEMEL",PR!$AR380,IF(H382="NHP",PR!$AS380,IF(H382="NHC",PR!$AT380,IF(H382="OLEAF",PR!$AU380,IF(H382="OCULUS",PR!$AV380,IF(H382="PACIFIC",PR!$AW380,IF(H382="PHAMATEX",PR!$AX380,IF(H382="PETHICS",PR!$AY380,IF(H382="PHILIPS",PR!$AZ380,IF(H382="RANBAXY",PR!$BA380,IF(H382="REALS",PR!$BB380,IF(H382="ROYAL",PR!$BC380,IF(H382="SAM",PR!$BD380,IF(H382="SEAGREEN",PR!$BE380,IF(H382="SKG",PR!$BF380,IF(H382="TAH",PR!$BG380,IF(H382="TAYLEK",PR!$BH380,IF(H382="TEMITA",PR!$BI380,IF(H382="THL",PR!$BJ380,IF(H382="UBASTIC",PR!$BK380,IF(H382="UNION",PR!$BL380,IF(H382="UNIQUE",PR!$BM380,IF(H382="VIXA",PR!$BN380,IF(H382="WWCV",PR!$BO380,IF(H382="ZOLON",PR!$BP380,"-"))))))))))))))))))))))))))))))))))))))))))))))))))))))))))))))))</f>
        <v>-</v>
      </c>
      <c r="H382" s="102">
        <f>EV!M486</f>
        <v>0</v>
      </c>
      <c r="I382" s="108" t="str">
        <f>IF(J382="ALPHA",PR!$E380,IF(J382="ASSENE",PR!$F380,IF(J382="BIOFEM",PR!$G380,IF(J382="BIOMED",PR!$H380,IF(J382="CHI",PR!$I380,IF(J382="CLARION",PR!$J380,IF(J382="CODIX",PR!$K380,IF(J382="COSMADE",PR!$L380,IF(J382="SANCON",PR!$M380,IF(J382="DEVON",PR!$N380,IF(J382="DORTEMAG",PR!$O380,IF(J382="DGF",PR!$P380,IF(J382="DYNAMIC",PR!$Q380,IF(J382="EMZOR",PR!$R380,IF(J382="EUMATT",PR!$S380,IF(J382="FIDSON",PR!$T380,IF(J382="FCGLOBAL",PR!$U380,IF(J382="GENEITH",PR!$V380,IF(J382="GINOS",PR!$W380,IF(J382="GSK",PR!$X380,IF(J382="GLOBORG",PR!$Y380,IF(J382="GOODNEWS",PR!$Z380,IF(J382="GREENLIFE",PR!$AA380,IF(J382="HLINE",PR!$AB380,IF(J382="ROTECH",PR!$AC380,IF(J382="ISN",PR!$AD380,IF(J382="JAWA",PR!$AE380,IF(J382="LAYO",PR!$AF380,IF(J382="LEADWAY",PR!$AG380,IF(J382="LHV",PR!$AH380,IF(J382="MANOLA",PR!$AI380,IF(J382="MARCSON",PR!$AJ380,IF(J382="M&amp;B",PR!$AK380,IF(J382="MTRUST",PR!$AL380,IF(J382="MWORLD",PR!$AM380,IF(J382="MEGA",PR!$AN380,IF(J382="MICRONOVA",PR!$AO380,IF(J382="MFLASH",PR!$AP380,IF(J382="MORISON",PR!$AQ380,IF(J382="NEMEL",PR!$AR380,IF(J382="NHP",PR!$AS380,IF(J382="NHC",PR!$AT380,IF(J382="OLEAF",PR!$AU380,IF(J382="OCULUS",PR!$AV380,IF(J382="PACIFIC",PR!$AW380,IF(J382="PHAMATEX",PR!$AX380,IF(J382="PETHICS",PR!$AY380,IF(J382="PHILIPS",PR!$AZ380,IF(J382="RANBAXY",PR!$BA380,IF(J382="REALS",PR!$BB380,IF(J382="ROYAL",PR!$BC380,IF(J382="SAM",PR!$BD380,IF(J382="SEAGREEN",PR!$BE380,IF(J382="SKG",PR!$BF380,IF(J382="TAH",PR!$BG380,IF(J382="TAYLEK",PR!$BH380,IF(J382="TEMITA",PR!$BI380,IF(J382="THL",PR!$BJ380,IF(J382="UBASTIC",PR!$BK380,IF(J382="UNION",PR!$BL380,IF(J382="UNIQUE",PR!$BM380,IF(J382="VIXA",PR!$BN380,IF(J382="WWCV",PR!$BO380,IF(J382="ZOLON",PR!$BP380,"-"))))))))))))))))))))))))))))))))))))))))))))))))))))))))))))))))</f>
        <v>-</v>
      </c>
      <c r="J382" s="102">
        <f>EV!N486</f>
        <v>0</v>
      </c>
      <c r="K382" s="433" t="s">
        <v>821</v>
      </c>
      <c r="L382" s="183">
        <f>IF(K382&gt;0,IF(K382="ALPHA",PR!$E380,IF(K382="ASSENE",PR!$F380,IF(K382="BIOFEM",PR!$G380,IF(K382="BIOMED",PR!$H380,IF(K382="CHI",PR!$I380,IF(K382="CLARION",PR!$J380,IF(K382="CODIX",PR!$K380,IF(K382="COSMADE",PR!$L380,IF(K382="SANCON",PR!$M380,IF(K382="DEVON",PR!$N380,IF(K382="DORTEMAG",PR!$O380,IF(K382="DGF",PR!$P380,IF(K382="DYNAMIC",PR!$Q380,IF(K382="EMZOR",PR!$R380,IF(K382="EUMATT",PR!$S380,IF(K382="FIDSON",PR!$T380,IF(K382="FCGLOBAL",PR!$U380,IF(K382="GENEITH",PR!$V380,IF(K382="GINOS",PR!$W380,IF(K382="GSK",PR!$X380,IF(K382="GLOBORG",PR!$Y380,IF(K382="GOODNEWS",PR!$Z380,IF(K382="GREENLIFE",PR!$AA380,IF(K382="HLINE",PR!$AB380,IF(K382="ROTECH",PR!$AC380,IF(K382="ISN",PR!$AD380,IF(K382="JAWA",PR!$AE380,IF(K382="LAYO",PR!$AF380,IF(K382="LEADWAY",PR!$AG380,IF(K382="LHV",PR!$AH380,IF(K382="MANOLA",PR!$AI380,IF(K382="MARCSON",PR!$AJ380,IF(K382="M&amp;B",PR!$AK380,IF(K382="MTRUST",PR!$AL380,IF(K382="MWORLD",PR!$AM380,IF(K382="MEGA",PR!$AN380,IF(K382="MICRONOVA",PR!$AO380,IF(K382="MFLASH",PR!$AP380,IF(K382="MORISON",PR!$AQ380,IF(K382="NEMEL",PR!$AR380,IF(K382="NHP",PR!$AS380,IF(K382="NHC",PR!$AT380,IF(K382="OLEAF",PR!$AU380,IF(K382="OCULUS",PR!$AV380,IF(K382="PACIFIC",PR!$AW380,IF(K382="PHAMATEX",PR!$AX380,IF(K382="PETHICS",PR!$AY380,IF(K382="PHILIPS",PR!$AZ380,IF(K382="RANBAXY",PR!$BA380,IF(K382="REALS",PR!$BB380,IF(K382="ROYAL",PR!$BC380,IF(K382="SAM",PR!$BD380,IF(K382="SEAGREEN",PR!$BE380,IF(K382="SKG",PR!$BF380,IF(K382="TAH",PR!$BG380,IF(K382="TAYLEK",PR!$BH380,IF(K382="TEMITA",PR!$BI380,IF(K382="THL",PR!$BJ380,IF(K382="UBASTIC",PR!$BK380,IF(K382="UNION",PR!$BL380,IF(K382="UNIQUE",PR!$BM380,IF(K382="VIXA",PR!$BN380,IF(K382="WWCV",PR!$BO380,IF(K382="ZOLON",PR!$BP380,"-")))))))))))))))))))))))))))))))))))))))))))))))))))))))))))))))))</f>
        <v>470</v>
      </c>
    </row>
    <row r="383" spans="1:12" ht="18.75" x14ac:dyDescent="0.3">
      <c r="A383" s="430">
        <f>PR!A381</f>
        <v>0</v>
      </c>
      <c r="B383" s="15">
        <f>PR!B381</f>
        <v>0</v>
      </c>
      <c r="C383" s="113">
        <f>PR!D381</f>
        <v>0</v>
      </c>
      <c r="D383" s="113">
        <f>PR!C381</f>
        <v>0</v>
      </c>
      <c r="E383" s="108" t="str">
        <f>IF(F383="ALPHA",PR!$E381,IF(F383="ASSENE",PR!$F381,IF(F383="BIOFEM",PR!$G381,IF(F383="BIOMED",PR!$H381,IF(F383="CHI",PR!$I381,IF(F383="CLARION",PR!$J381,IF(F383="CODIX",PR!$K381,IF(F383="COSMADE",PR!$L381,IF(F383="SANCON",PR!$M381,IF(F383="DEVON",PR!$N381,IF(F383="DORTEMAG",PR!$O381,IF(F383="DGF",PR!$P381,IF(F383="DYNAMIC",PR!$Q381,IF(F383="EMZOR",PR!$R381,IF(F383="EUMATT",PR!$S381,IF(F383="FIDSON",PR!$T381,IF(F383="FCGLOBAL",PR!$U381,IF(F383="GENEITH",PR!$V381,IF(F383="GINOS",PR!$W381,IF(F383="GSK",PR!$X381,IF(F383="GLOBORG",PR!$Y381,IF(F383="GOODNEWS",PR!$Z381,IF(F383="GREENLIFE",PR!$AA381,IF(F383="HLINE",PR!$AB381,IF(F383="ROTECH",PR!$AC381,IF(F383="ISN",PR!$AD381,IF(F383="JAWA",PR!$AE381,IF(F383="LAYO",PR!$AF381,IF(F383="LEADWAY",PR!$AG381,IF(F383="LHV",PR!$AH381,IF(F383="MANOLA",PR!$AI381,IF(F383="MARCSON",PR!$AJ381,IF(F383="M&amp;B",PR!$AK381,IF(F383="MTRUST",PR!$AL381,IF(F383="MWORLD",PR!$AM381,IF(F383="MEGA",PR!$AN381,IF(F383="MICRONOVA",PR!$AO381,IF(F383="MFLASH",PR!$AP381,IF(F383="MORISON",PR!$AQ381,IF(F383="NEMEL",PR!$AR381,IF(F383="NHP",PR!$AS381,IF(F383="NHC",PR!$AT381,IF(F383="OLEAF",PR!$AU381,IF(F383="OCULUS",PR!$AV381,IF(F383="PACIFIC",PR!$AW381,IF(F383="PHAMATEX",PR!$AX381,IF(F383="PETHICS",PR!$AY381,IF(F383="PHILIPS",PR!$AZ381,IF(F383="RANBAXY",PR!$BA381,IF(F383="REALS",PR!$BB381,IF(F383="ROYAL",PR!$BC381,IF(F383="SAM",PR!$BD381,IF(F383="SEAGREEN",PR!$BE381,IF(F383="SKG",PR!$BF381,IF(F383="TAH",PR!$BG381,IF(F383="TAYLEK",PR!$BH381,IF(F383="TEMITA",PR!$BI381,IF(F383="THL",PR!$BJ381,IF(F383="UBASTIC",PR!$BK381,IF(F383="UNION",PR!$BL381,IF(F383="UNIQUE",PR!$BM381,IF(F383="VIXA",PR!$BN381,IF(F383="WWCV",PR!$BO381,IF(F383="ZOLON",PR!$BP381,"-"))))))))))))))))))))))))))))))))))))))))))))))))))))))))))))))))</f>
        <v>-</v>
      </c>
      <c r="F383" s="102"/>
      <c r="G383" s="108" t="str">
        <f>IF(H383="ALPHA",PR!$E381,IF(H383="ASSENE",PR!$F381,IF(H383="BIOFEM",PR!$G381,IF(H383="BIOMED",PR!$H381,IF(H383="CHI",PR!$I381,IF(H383="CLARION",PR!$J381,IF(H383="CODIX",PR!$K381,IF(H383="COSMADE",PR!$L381,IF(H383="SANCON",PR!$M381,IF(H383="DEVON",PR!$N381,IF(H383="DORTEMAG",PR!$O381,IF(H383="DGF",PR!$P381,IF(H383="DYNAMIC",PR!$Q381,IF(H383="EMZOR",PR!$R381,IF(H383="EUMATT",PR!$S381,IF(H383="FIDSON",PR!$T381,IF(H383="FCGLOBAL",PR!$U381,IF(H383="GENEITH",PR!$V381,IF(H383="GINOS",PR!$W381,IF(H383="GSK",PR!$X381,IF(H383="GLOBORG",PR!$Y381,IF(H383="GOODNEWS",PR!$Z381,IF(H383="GREENLIFE",PR!$AA381,IF(H383="HLINE",PR!$AB381,IF(H383="ROTECH",PR!$AC381,IF(H383="ISN",PR!$AD381,IF(H383="JAWA",PR!$AE381,IF(H383="LAYO",PR!$AF381,IF(H383="LEADWAY",PR!$AG381,IF(H383="LHV",PR!$AH381,IF(H383="MANOLA",PR!$AI381,IF(H383="MARCSON",PR!$AJ381,IF(H383="M&amp;B",PR!$AK381,IF(H383="MTRUST",PR!$AL381,IF(H383="MWORLD",PR!$AM381,IF(H383="MEGA",PR!$AN381,IF(H383="MICRONOVA",PR!$AO381,IF(H383="MFLASH",PR!$AP381,IF(H383="MORISON",PR!$AQ381,IF(H383="NEMEL",PR!$AR381,IF(H383="NHP",PR!$AS381,IF(H383="NHC",PR!$AT381,IF(H383="OLEAF",PR!$AU381,IF(H383="OCULUS",PR!$AV381,IF(H383="PACIFIC",PR!$AW381,IF(H383="PHAMATEX",PR!$AX381,IF(H383="PETHICS",PR!$AY381,IF(H383="PHILIPS",PR!$AZ381,IF(H383="RANBAXY",PR!$BA381,IF(H383="REALS",PR!$BB381,IF(H383="ROYAL",PR!$BC381,IF(H383="SAM",PR!$BD381,IF(H383="SEAGREEN",PR!$BE381,IF(H383="SKG",PR!$BF381,IF(H383="TAH",PR!$BG381,IF(H383="TAYLEK",PR!$BH381,IF(H383="TEMITA",PR!$BI381,IF(H383="THL",PR!$BJ381,IF(H383="UBASTIC",PR!$BK381,IF(H383="UNION",PR!$BL381,IF(H383="UNIQUE",PR!$BM381,IF(H383="VIXA",PR!$BN381,IF(H383="WWCV",PR!$BO381,IF(H383="ZOLON",PR!$BP381,"-"))))))))))))))))))))))))))))))))))))))))))))))))))))))))))))))))</f>
        <v>-</v>
      </c>
      <c r="H383" s="102"/>
      <c r="I383" s="108" t="str">
        <f>IF(J383="ALPHA",PR!$E381,IF(J383="ASSENE",PR!$F381,IF(J383="BIOFEM",PR!$G381,IF(J383="BIOMED",PR!$H381,IF(J383="CHI",PR!$I381,IF(J383="CLARION",PR!$J381,IF(J383="CODIX",PR!$K381,IF(J383="COSMADE",PR!$L381,IF(J383="SANCON",PR!$M381,IF(J383="DEVON",PR!$N381,IF(J383="DORTEMAG",PR!$O381,IF(J383="DGF",PR!$P381,IF(J383="DYNAMIC",PR!$Q381,IF(J383="EMZOR",PR!$R381,IF(J383="EUMATT",PR!$S381,IF(J383="FIDSON",PR!$T381,IF(J383="FCGLOBAL",PR!$U381,IF(J383="GENEITH",PR!$V381,IF(J383="GINOS",PR!$W381,IF(J383="GSK",PR!$X381,IF(J383="GLOBORG",PR!$Y381,IF(J383="GOODNEWS",PR!$Z381,IF(J383="GREENLIFE",PR!$AA381,IF(J383="HLINE",PR!$AB381,IF(J383="ROTECH",PR!$AC381,IF(J383="ISN",PR!$AD381,IF(J383="JAWA",PR!$AE381,IF(J383="LAYO",PR!$AF381,IF(J383="LEADWAY",PR!$AG381,IF(J383="LHV",PR!$AH381,IF(J383="MANOLA",PR!$AI381,IF(J383="MARCSON",PR!$AJ381,IF(J383="M&amp;B",PR!$AK381,IF(J383="MTRUST",PR!$AL381,IF(J383="MWORLD",PR!$AM381,IF(J383="MEGA",PR!$AN381,IF(J383="MICRONOVA",PR!$AO381,IF(J383="MFLASH",PR!$AP381,IF(J383="MORISON",PR!$AQ381,IF(J383="NEMEL",PR!$AR381,IF(J383="NHP",PR!$AS381,IF(J383="NHC",PR!$AT381,IF(J383="OLEAF",PR!$AU381,IF(J383="OCULUS",PR!$AV381,IF(J383="PACIFIC",PR!$AW381,IF(J383="PHAMATEX",PR!$AX381,IF(J383="PETHICS",PR!$AY381,IF(J383="PHILIPS",PR!$AZ381,IF(J383="RANBAXY",PR!$BA381,IF(J383="REALS",PR!$BB381,IF(J383="ROYAL",PR!$BC381,IF(J383="SAM",PR!$BD381,IF(J383="SEAGREEN",PR!$BE381,IF(J383="SKG",PR!$BF381,IF(J383="TAH",PR!$BG381,IF(J383="TAYLEK",PR!$BH381,IF(J383="TEMITA",PR!$BI381,IF(J383="THL",PR!$BJ381,IF(J383="UBASTIC",PR!$BK381,IF(J383="UNION",PR!$BL381,IF(J383="UNIQUE",PR!$BM381,IF(J383="VIXA",PR!$BN381,IF(J383="WWCV",PR!$BO381,IF(J383="ZOLON",PR!$BP381,"-"))))))))))))))))))))))))))))))))))))))))))))))))))))))))))))))))</f>
        <v>-</v>
      </c>
      <c r="J383" s="102"/>
      <c r="K383" s="433"/>
      <c r="L383" s="183" t="b">
        <f>IF(K383&gt;0,IF(K383="ALPHA",PR!$E381,IF(K383="ASSENE",PR!$F381,IF(K383="BIOFEM",PR!$G381,IF(K383="BIOMED",PR!$H381,IF(K383="CHI",PR!$I381,IF(K383="CLARION",PR!$J381,IF(K383="CODIX",PR!$K381,IF(K383="COSMADE",PR!$L381,IF(K383="SANCON",PR!$M381,IF(K383="DEVON",PR!$N381,IF(K383="DORTEMAG",PR!$O381,IF(K383="DGF",PR!$P381,IF(K383="DYNAMIC",PR!$Q381,IF(K383="EMZOR",PR!$R381,IF(K383="EUMATT",PR!$S381,IF(K383="FIDSON",PR!$T381,IF(K383="FCGLOBAL",PR!$U381,IF(K383="GENEITH",PR!$V381,IF(K383="GINOS",PR!$W381,IF(K383="GSK",PR!$X381,IF(K383="GLOBORG",PR!$Y381,IF(K383="GOODNEWS",PR!$Z381,IF(K383="GREENLIFE",PR!$AA381,IF(K383="HLINE",PR!$AB381,IF(K383="ROTECH",PR!$AC381,IF(K383="ISN",PR!$AD381,IF(K383="JAWA",PR!$AE381,IF(K383="LAYO",PR!$AF381,IF(K383="LEADWAY",PR!$AG381,IF(K383="LHV",PR!$AH381,IF(K383="MANOLA",PR!$AI381,IF(K383="MARCSON",PR!$AJ381,IF(K383="M&amp;B",PR!$AK381,IF(K383="MTRUST",PR!$AL381,IF(K383="MWORLD",PR!$AM381,IF(K383="MEGA",PR!$AN381,IF(K383="MICRONOVA",PR!$AO381,IF(K383="MFLASH",PR!$AP381,IF(K383="MORISON",PR!$AQ381,IF(K383="NEMEL",PR!$AR381,IF(K383="NHP",PR!$AS381,IF(K383="NHC",PR!$AT381,IF(K383="OLEAF",PR!$AU381,IF(K383="OCULUS",PR!$AV381,IF(K383="PACIFIC",PR!$AW381,IF(K383="PHAMATEX",PR!$AX381,IF(K383="PETHICS",PR!$AY381,IF(K383="PHILIPS",PR!$AZ381,IF(K383="RANBAXY",PR!$BA381,IF(K383="REALS",PR!$BB381,IF(K383="ROYAL",PR!$BC381,IF(K383="SAM",PR!$BD381,IF(K383="SEAGREEN",PR!$BE381,IF(K383="SKG",PR!$BF381,IF(K383="TAH",PR!$BG381,IF(K383="TAYLEK",PR!$BH381,IF(K383="TEMITA",PR!$BI381,IF(K383="THL",PR!$BJ381,IF(K383="UBASTIC",PR!$BK381,IF(K383="UNION",PR!$BL381,IF(K383="UNIQUE",PR!$BM381,IF(K383="VIXA",PR!$BN381,IF(K383="WWCV",PR!$BO381,IF(K383="ZOLON",PR!$BP381,"-")))))))))))))))))))))))))))))))))))))))))))))))))))))))))))))))))</f>
        <v>0</v>
      </c>
    </row>
    <row r="384" spans="1:12" ht="18.75" x14ac:dyDescent="0.3">
      <c r="A384" s="430">
        <f>PR!A382</f>
        <v>0</v>
      </c>
      <c r="B384" s="15">
        <f>PR!B382</f>
        <v>0</v>
      </c>
      <c r="C384" s="113">
        <f>PR!D382</f>
        <v>0</v>
      </c>
      <c r="D384" s="113">
        <f>PR!C382</f>
        <v>0</v>
      </c>
      <c r="E384" s="108" t="str">
        <f>IF(F384="ALPHA",PR!$E382,IF(F384="ASSENE",PR!$F382,IF(F384="BIOFEM",PR!$G382,IF(F384="BIOMED",PR!$H382,IF(F384="CHI",PR!$I382,IF(F384="CLARION",PR!$J382,IF(F384="CODIX",PR!$K382,IF(F384="COSMADE",PR!$L382,IF(F384="SANCON",PR!$M382,IF(F384="DEVON",PR!$N382,IF(F384="DORTEMAG",PR!$O382,IF(F384="DGF",PR!$P382,IF(F384="DYNAMIC",PR!$Q382,IF(F384="EMZOR",PR!$R382,IF(F384="EUMATT",PR!$S382,IF(F384="FIDSON",PR!$T382,IF(F384="FCGLOBAL",PR!$U382,IF(F384="GENEITH",PR!$V382,IF(F384="GINOS",PR!$W382,IF(F384="GSK",PR!$X382,IF(F384="GLOBORG",PR!$Y382,IF(F384="GOODNEWS",PR!$Z382,IF(F384="GREENLIFE",PR!$AA382,IF(F384="HLINE",PR!$AB382,IF(F384="ROTECH",PR!$AC382,IF(F384="ISN",PR!$AD382,IF(F384="JAWA",PR!$AE382,IF(F384="LAYO",PR!$AF382,IF(F384="LEADWAY",PR!$AG382,IF(F384="LHV",PR!$AH382,IF(F384="MANOLA",PR!$AI382,IF(F384="MARCSON",PR!$AJ382,IF(F384="M&amp;B",PR!$AK382,IF(F384="MTRUST",PR!$AL382,IF(F384="MWORLD",PR!$AM382,IF(F384="MEGA",PR!$AN382,IF(F384="MICRONOVA",PR!$AO382,IF(F384="MFLASH",PR!$AP382,IF(F384="MORISON",PR!$AQ382,IF(F384="NEMEL",PR!$AR382,IF(F384="NHP",PR!$AS382,IF(F384="NHC",PR!$AT382,IF(F384="OLEAF",PR!$AU382,IF(F384="OCULUS",PR!$AV382,IF(F384="PACIFIC",PR!$AW382,IF(F384="PHAMATEX",PR!$AX382,IF(F384="PETHICS",PR!$AY382,IF(F384="PHILIPS",PR!$AZ382,IF(F384="RANBAXY",PR!$BA382,IF(F384="REALS",PR!$BB382,IF(F384="ROYAL",PR!$BC382,IF(F384="SAM",PR!$BD382,IF(F384="SEAGREEN",PR!$BE382,IF(F384="SKG",PR!$BF382,IF(F384="TAH",PR!$BG382,IF(F384="TAYLEK",PR!$BH382,IF(F384="TEMITA",PR!$BI382,IF(F384="THL",PR!$BJ382,IF(F384="UBASTIC",PR!$BK382,IF(F384="UNION",PR!$BL382,IF(F384="UNIQUE",PR!$BM382,IF(F384="VIXA",PR!$BN382,IF(F384="WWCV",PR!$BO382,IF(F384="ZOLON",PR!$BP382,"-"))))))))))))))))))))))))))))))))))))))))))))))))))))))))))))))))</f>
        <v>-</v>
      </c>
      <c r="F384" s="102"/>
      <c r="G384" s="108" t="str">
        <f>IF(H384="ALPHA",PR!$E382,IF(H384="ASSENE",PR!$F382,IF(H384="BIOFEM",PR!$G382,IF(H384="BIOMED",PR!$H382,IF(H384="CHI",PR!$I382,IF(H384="CLARION",PR!$J382,IF(H384="CODIX",PR!$K382,IF(H384="COSMADE",PR!$L382,IF(H384="SANCON",PR!$M382,IF(H384="DEVON",PR!$N382,IF(H384="DORTEMAG",PR!$O382,IF(H384="DGF",PR!$P382,IF(H384="DYNAMIC",PR!$Q382,IF(H384="EMZOR",PR!$R382,IF(H384="EUMATT",PR!$S382,IF(H384="FIDSON",PR!$T382,IF(H384="FCGLOBAL",PR!$U382,IF(H384="GENEITH",PR!$V382,IF(H384="GINOS",PR!$W382,IF(H384="GSK",PR!$X382,IF(H384="GLOBORG",PR!$Y382,IF(H384="GOODNEWS",PR!$Z382,IF(H384="GREENLIFE",PR!$AA382,IF(H384="HLINE",PR!$AB382,IF(H384="ROTECH",PR!$AC382,IF(H384="ISN",PR!$AD382,IF(H384="JAWA",PR!$AE382,IF(H384="LAYO",PR!$AF382,IF(H384="LEADWAY",PR!$AG382,IF(H384="LHV",PR!$AH382,IF(H384="MANOLA",PR!$AI382,IF(H384="MARCSON",PR!$AJ382,IF(H384="M&amp;B",PR!$AK382,IF(H384="MTRUST",PR!$AL382,IF(H384="MWORLD",PR!$AM382,IF(H384="MEGA",PR!$AN382,IF(H384="MICRONOVA",PR!$AO382,IF(H384="MFLASH",PR!$AP382,IF(H384="MORISON",PR!$AQ382,IF(H384="NEMEL",PR!$AR382,IF(H384="NHP",PR!$AS382,IF(H384="NHC",PR!$AT382,IF(H384="OLEAF",PR!$AU382,IF(H384="OCULUS",PR!$AV382,IF(H384="PACIFIC",PR!$AW382,IF(H384="PHAMATEX",PR!$AX382,IF(H384="PETHICS",PR!$AY382,IF(H384="PHILIPS",PR!$AZ382,IF(H384="RANBAXY",PR!$BA382,IF(H384="REALS",PR!$BB382,IF(H384="ROYAL",PR!$BC382,IF(H384="SAM",PR!$BD382,IF(H384="SEAGREEN",PR!$BE382,IF(H384="SKG",PR!$BF382,IF(H384="TAH",PR!$BG382,IF(H384="TAYLEK",PR!$BH382,IF(H384="TEMITA",PR!$BI382,IF(H384="THL",PR!$BJ382,IF(H384="UBASTIC",PR!$BK382,IF(H384="UNION",PR!$BL382,IF(H384="UNIQUE",PR!$BM382,IF(H384="VIXA",PR!$BN382,IF(H384="WWCV",PR!$BO382,IF(H384="ZOLON",PR!$BP382,"-"))))))))))))))))))))))))))))))))))))))))))))))))))))))))))))))))</f>
        <v>-</v>
      </c>
      <c r="H384" s="102"/>
      <c r="I384" s="108" t="str">
        <f>IF(J384="ALPHA",PR!$E382,IF(J384="ASSENE",PR!$F382,IF(J384="BIOFEM",PR!$G382,IF(J384="BIOMED",PR!$H382,IF(J384="CHI",PR!$I382,IF(J384="CLARION",PR!$J382,IF(J384="CODIX",PR!$K382,IF(J384="COSMADE",PR!$L382,IF(J384="SANCON",PR!$M382,IF(J384="DEVON",PR!$N382,IF(J384="DORTEMAG",PR!$O382,IF(J384="DGF",PR!$P382,IF(J384="DYNAMIC",PR!$Q382,IF(J384="EMZOR",PR!$R382,IF(J384="EUMATT",PR!$S382,IF(J384="FIDSON",PR!$T382,IF(J384="FCGLOBAL",PR!$U382,IF(J384="GENEITH",PR!$V382,IF(J384="GINOS",PR!$W382,IF(J384="GSK",PR!$X382,IF(J384="GLOBORG",PR!$Y382,IF(J384="GOODNEWS",PR!$Z382,IF(J384="GREENLIFE",PR!$AA382,IF(J384="HLINE",PR!$AB382,IF(J384="ROTECH",PR!$AC382,IF(J384="ISN",PR!$AD382,IF(J384="JAWA",PR!$AE382,IF(J384="LAYO",PR!$AF382,IF(J384="LEADWAY",PR!$AG382,IF(J384="LHV",PR!$AH382,IF(J384="MANOLA",PR!$AI382,IF(J384="MARCSON",PR!$AJ382,IF(J384="M&amp;B",PR!$AK382,IF(J384="MTRUST",PR!$AL382,IF(J384="MWORLD",PR!$AM382,IF(J384="MEGA",PR!$AN382,IF(J384="MICRONOVA",PR!$AO382,IF(J384="MFLASH",PR!$AP382,IF(J384="MORISON",PR!$AQ382,IF(J384="NEMEL",PR!$AR382,IF(J384="NHP",PR!$AS382,IF(J384="NHC",PR!$AT382,IF(J384="OLEAF",PR!$AU382,IF(J384="OCULUS",PR!$AV382,IF(J384="PACIFIC",PR!$AW382,IF(J384="PHAMATEX",PR!$AX382,IF(J384="PETHICS",PR!$AY382,IF(J384="PHILIPS",PR!$AZ382,IF(J384="RANBAXY",PR!$BA382,IF(J384="REALS",PR!$BB382,IF(J384="ROYAL",PR!$BC382,IF(J384="SAM",PR!$BD382,IF(J384="SEAGREEN",PR!$BE382,IF(J384="SKG",PR!$BF382,IF(J384="TAH",PR!$BG382,IF(J384="TAYLEK",PR!$BH382,IF(J384="TEMITA",PR!$BI382,IF(J384="THL",PR!$BJ382,IF(J384="UBASTIC",PR!$BK382,IF(J384="UNION",PR!$BL382,IF(J384="UNIQUE",PR!$BM382,IF(J384="VIXA",PR!$BN382,IF(J384="WWCV",PR!$BO382,IF(J384="ZOLON",PR!$BP382,"-"))))))))))))))))))))))))))))))))))))))))))))))))))))))))))))))))</f>
        <v>-</v>
      </c>
      <c r="J384" s="102"/>
      <c r="K384" s="433"/>
      <c r="L384" s="183" t="b">
        <f>IF(K384&gt;0,IF(K384="ALPHA",PR!$E382,IF(K384="ASSENE",PR!$F382,IF(K384="BIOFEM",PR!$G382,IF(K384="BIOMED",PR!$H382,IF(K384="CHI",PR!$I382,IF(K384="CLARION",PR!$J382,IF(K384="CODIX",PR!$K382,IF(K384="COSMADE",PR!$L382,IF(K384="SANCON",PR!$M382,IF(K384="DEVON",PR!$N382,IF(K384="DORTEMAG",PR!$O382,IF(K384="DGF",PR!$P382,IF(K384="DYNAMIC",PR!$Q382,IF(K384="EMZOR",PR!$R382,IF(K384="EUMATT",PR!$S382,IF(K384="FIDSON",PR!$T382,IF(K384="FCGLOBAL",PR!$U382,IF(K384="GENEITH",PR!$V382,IF(K384="GINOS",PR!$W382,IF(K384="GSK",PR!$X382,IF(K384="GLOBORG",PR!$Y382,IF(K384="GOODNEWS",PR!$Z382,IF(K384="GREENLIFE",PR!$AA382,IF(K384="HLINE",PR!$AB382,IF(K384="ROTECH",PR!$AC382,IF(K384="ISN",PR!$AD382,IF(K384="JAWA",PR!$AE382,IF(K384="LAYO",PR!$AF382,IF(K384="LEADWAY",PR!$AG382,IF(K384="LHV",PR!$AH382,IF(K384="MANOLA",PR!$AI382,IF(K384="MARCSON",PR!$AJ382,IF(K384="M&amp;B",PR!$AK382,IF(K384="MTRUST",PR!$AL382,IF(K384="MWORLD",PR!$AM382,IF(K384="MEGA",PR!$AN382,IF(K384="MICRONOVA",PR!$AO382,IF(K384="MFLASH",PR!$AP382,IF(K384="MORISON",PR!$AQ382,IF(K384="NEMEL",PR!$AR382,IF(K384="NHP",PR!$AS382,IF(K384="NHC",PR!$AT382,IF(K384="OLEAF",PR!$AU382,IF(K384="OCULUS",PR!$AV382,IF(K384="PACIFIC",PR!$AW382,IF(K384="PHAMATEX",PR!$AX382,IF(K384="PETHICS",PR!$AY382,IF(K384="PHILIPS",PR!$AZ382,IF(K384="RANBAXY",PR!$BA382,IF(K384="REALS",PR!$BB382,IF(K384="ROYAL",PR!$BC382,IF(K384="SAM",PR!$BD382,IF(K384="SEAGREEN",PR!$BE382,IF(K384="SKG",PR!$BF382,IF(K384="TAH",PR!$BG382,IF(K384="TAYLEK",PR!$BH382,IF(K384="TEMITA",PR!$BI382,IF(K384="THL",PR!$BJ382,IF(K384="UBASTIC",PR!$BK382,IF(K384="UNION",PR!$BL382,IF(K384="UNIQUE",PR!$BM382,IF(K384="VIXA",PR!$BN382,IF(K384="WWCV",PR!$BO382,IF(K384="ZOLON",PR!$BP382,"-")))))))))))))))))))))))))))))))))))))))))))))))))))))))))))))))))</f>
        <v>0</v>
      </c>
    </row>
    <row r="385" spans="1:12" ht="18.75" x14ac:dyDescent="0.3">
      <c r="A385" s="430" t="str">
        <f>PR!A383</f>
        <v>LOT 7</v>
      </c>
      <c r="B385" s="15" t="str">
        <f>PR!B383</f>
        <v>HYPNOTICS/SEDATIVES/TRANQUILIZERS/ANTI-DEPRESSANTS</v>
      </c>
      <c r="C385" s="113">
        <f>PR!D383</f>
        <v>0</v>
      </c>
      <c r="D385" s="113">
        <f>PR!C383</f>
        <v>0</v>
      </c>
      <c r="E385" s="108" t="str">
        <f>IF(F385="ALPHA",PR!$E383,IF(F385="ASSENE",PR!$F383,IF(F385="BIOFEM",PR!$G383,IF(F385="BIOMED",PR!$H383,IF(F385="CHI",PR!$I383,IF(F385="CLARION",PR!$J383,IF(F385="CODIX",PR!$K383,IF(F385="COSMADE",PR!$L383,IF(F385="SANCON",PR!$M383,IF(F385="DEVON",PR!$N383,IF(F385="DORTEMAG",PR!$O383,IF(F385="DGF",PR!$P383,IF(F385="DYNAMIC",PR!$Q383,IF(F385="EMZOR",PR!$R383,IF(F385="EUMATT",PR!$S383,IF(F385="FIDSON",PR!$T383,IF(F385="FCGLOBAL",PR!$U383,IF(F385="GENEITH",PR!$V383,IF(F385="GINOS",PR!$W383,IF(F385="GSK",PR!$X383,IF(F385="GLOBORG",PR!$Y383,IF(F385="GOODNEWS",PR!$Z383,IF(F385="GREENLIFE",PR!$AA383,IF(F385="HLINE",PR!$AB383,IF(F385="ROTECH",PR!$AC383,IF(F385="ISN",PR!$AD383,IF(F385="JAWA",PR!$AE383,IF(F385="LAYO",PR!$AF383,IF(F385="LEADWAY",PR!$AG383,IF(F385="LHV",PR!$AH383,IF(F385="MANOLA",PR!$AI383,IF(F385="MARCSON",PR!$AJ383,IF(F385="M&amp;B",PR!$AK383,IF(F385="MTRUST",PR!$AL383,IF(F385="MWORLD",PR!$AM383,IF(F385="MEGA",PR!$AN383,IF(F385="MICRONOVA",PR!$AO383,IF(F385="MFLASH",PR!$AP383,IF(F385="MORISON",PR!$AQ383,IF(F385="NEMEL",PR!$AR383,IF(F385="NHP",PR!$AS383,IF(F385="NHC",PR!$AT383,IF(F385="OLEAF",PR!$AU383,IF(F385="OCULUS",PR!$AV383,IF(F385="PACIFIC",PR!$AW383,IF(F385="PHAMATEX",PR!$AX383,IF(F385="PETHICS",PR!$AY383,IF(F385="PHILIPS",PR!$AZ383,IF(F385="RANBAXY",PR!$BA383,IF(F385="REALS",PR!$BB383,IF(F385="ROYAL",PR!$BC383,IF(F385="SAM",PR!$BD383,IF(F385="SEAGREEN",PR!$BE383,IF(F385="SKG",PR!$BF383,IF(F385="TAH",PR!$BG383,IF(F385="TAYLEK",PR!$BH383,IF(F385="TEMITA",PR!$BI383,IF(F385="THL",PR!$BJ383,IF(F385="UBASTIC",PR!$BK383,IF(F385="UNION",PR!$BL383,IF(F385="UNIQUE",PR!$BM383,IF(F385="VIXA",PR!$BN383,IF(F385="WWCV",PR!$BO383,IF(F385="ZOLON",PR!$BP383,"-"))))))))))))))))))))))))))))))))))))))))))))))))))))))))))))))))</f>
        <v>-</v>
      </c>
      <c r="F385" s="102"/>
      <c r="G385" s="108" t="str">
        <f>IF(H385="ALPHA",PR!$E383,IF(H385="ASSENE",PR!$F383,IF(H385="BIOFEM",PR!$G383,IF(H385="BIOMED",PR!$H383,IF(H385="CHI",PR!$I383,IF(H385="CLARION",PR!$J383,IF(H385="CODIX",PR!$K383,IF(H385="COSMADE",PR!$L383,IF(H385="SANCON",PR!$M383,IF(H385="DEVON",PR!$N383,IF(H385="DORTEMAG",PR!$O383,IF(H385="DGF",PR!$P383,IF(H385="DYNAMIC",PR!$Q383,IF(H385="EMZOR",PR!$R383,IF(H385="EUMATT",PR!$S383,IF(H385="FIDSON",PR!$T383,IF(H385="FCGLOBAL",PR!$U383,IF(H385="GENEITH",PR!$V383,IF(H385="GINOS",PR!$W383,IF(H385="GSK",PR!$X383,IF(H385="GLOBORG",PR!$Y383,IF(H385="GOODNEWS",PR!$Z383,IF(H385="GREENLIFE",PR!$AA383,IF(H385="HLINE",PR!$AB383,IF(H385="ROTECH",PR!$AC383,IF(H385="ISN",PR!$AD383,IF(H385="JAWA",PR!$AE383,IF(H385="LAYO",PR!$AF383,IF(H385="LEADWAY",PR!$AG383,IF(H385="LHV",PR!$AH383,IF(H385="MANOLA",PR!$AI383,IF(H385="MARCSON",PR!$AJ383,IF(H385="M&amp;B",PR!$AK383,IF(H385="MTRUST",PR!$AL383,IF(H385="MWORLD",PR!$AM383,IF(H385="MEGA",PR!$AN383,IF(H385="MICRONOVA",PR!$AO383,IF(H385="MFLASH",PR!$AP383,IF(H385="MORISON",PR!$AQ383,IF(H385="NEMEL",PR!$AR383,IF(H385="NHP",PR!$AS383,IF(H385="NHC",PR!$AT383,IF(H385="OLEAF",PR!$AU383,IF(H385="OCULUS",PR!$AV383,IF(H385="PACIFIC",PR!$AW383,IF(H385="PHAMATEX",PR!$AX383,IF(H385="PETHICS",PR!$AY383,IF(H385="PHILIPS",PR!$AZ383,IF(H385="RANBAXY",PR!$BA383,IF(H385="REALS",PR!$BB383,IF(H385="ROYAL",PR!$BC383,IF(H385="SAM",PR!$BD383,IF(H385="SEAGREEN",PR!$BE383,IF(H385="SKG",PR!$BF383,IF(H385="TAH",PR!$BG383,IF(H385="TAYLEK",PR!$BH383,IF(H385="TEMITA",PR!$BI383,IF(H385="THL",PR!$BJ383,IF(H385="UBASTIC",PR!$BK383,IF(H385="UNION",PR!$BL383,IF(H385="UNIQUE",PR!$BM383,IF(H385="VIXA",PR!$BN383,IF(H385="WWCV",PR!$BO383,IF(H385="ZOLON",PR!$BP383,"-"))))))))))))))))))))))))))))))))))))))))))))))))))))))))))))))))</f>
        <v>-</v>
      </c>
      <c r="H385" s="102"/>
      <c r="I385" s="108" t="str">
        <f>IF(J385="ALPHA",PR!$E383,IF(J385="ASSENE",PR!$F383,IF(J385="BIOFEM",PR!$G383,IF(J385="BIOMED",PR!$H383,IF(J385="CHI",PR!$I383,IF(J385="CLARION",PR!$J383,IF(J385="CODIX",PR!$K383,IF(J385="COSMADE",PR!$L383,IF(J385="SANCON",PR!$M383,IF(J385="DEVON",PR!$N383,IF(J385="DORTEMAG",PR!$O383,IF(J385="DGF",PR!$P383,IF(J385="DYNAMIC",PR!$Q383,IF(J385="EMZOR",PR!$R383,IF(J385="EUMATT",PR!$S383,IF(J385="FIDSON",PR!$T383,IF(J385="FCGLOBAL",PR!$U383,IF(J385="GENEITH",PR!$V383,IF(J385="GINOS",PR!$W383,IF(J385="GSK",PR!$X383,IF(J385="GLOBORG",PR!$Y383,IF(J385="GOODNEWS",PR!$Z383,IF(J385="GREENLIFE",PR!$AA383,IF(J385="HLINE",PR!$AB383,IF(J385="ROTECH",PR!$AC383,IF(J385="ISN",PR!$AD383,IF(J385="JAWA",PR!$AE383,IF(J385="LAYO",PR!$AF383,IF(J385="LEADWAY",PR!$AG383,IF(J385="LHV",PR!$AH383,IF(J385="MANOLA",PR!$AI383,IF(J385="MARCSON",PR!$AJ383,IF(J385="M&amp;B",PR!$AK383,IF(J385="MTRUST",PR!$AL383,IF(J385="MWORLD",PR!$AM383,IF(J385="MEGA",PR!$AN383,IF(J385="MICRONOVA",PR!$AO383,IF(J385="MFLASH",PR!$AP383,IF(J385="MORISON",PR!$AQ383,IF(J385="NEMEL",PR!$AR383,IF(J385="NHP",PR!$AS383,IF(J385="NHC",PR!$AT383,IF(J385="OLEAF",PR!$AU383,IF(J385="OCULUS",PR!$AV383,IF(J385="PACIFIC",PR!$AW383,IF(J385="PHAMATEX",PR!$AX383,IF(J385="PETHICS",PR!$AY383,IF(J385="PHILIPS",PR!$AZ383,IF(J385="RANBAXY",PR!$BA383,IF(J385="REALS",PR!$BB383,IF(J385="ROYAL",PR!$BC383,IF(J385="SAM",PR!$BD383,IF(J385="SEAGREEN",PR!$BE383,IF(J385="SKG",PR!$BF383,IF(J385="TAH",PR!$BG383,IF(J385="TAYLEK",PR!$BH383,IF(J385="TEMITA",PR!$BI383,IF(J385="THL",PR!$BJ383,IF(J385="UBASTIC",PR!$BK383,IF(J385="UNION",PR!$BL383,IF(J385="UNIQUE",PR!$BM383,IF(J385="VIXA",PR!$BN383,IF(J385="WWCV",PR!$BO383,IF(J385="ZOLON",PR!$BP383,"-"))))))))))))))))))))))))))))))))))))))))))))))))))))))))))))))))</f>
        <v>-</v>
      </c>
      <c r="J385" s="102"/>
      <c r="K385" s="433"/>
      <c r="L385" s="183" t="b">
        <f>IF(K385&gt;0,IF(K385="ALPHA",PR!$E383,IF(K385="ASSENE",PR!$F383,IF(K385="BIOFEM",PR!$G383,IF(K385="BIOMED",PR!$H383,IF(K385="CHI",PR!$I383,IF(K385="CLARION",PR!$J383,IF(K385="CODIX",PR!$K383,IF(K385="COSMADE",PR!$L383,IF(K385="SANCON",PR!$M383,IF(K385="DEVON",PR!$N383,IF(K385="DORTEMAG",PR!$O383,IF(K385="DGF",PR!$P383,IF(K385="DYNAMIC",PR!$Q383,IF(K385="EMZOR",PR!$R383,IF(K385="EUMATT",PR!$S383,IF(K385="FIDSON",PR!$T383,IF(K385="FCGLOBAL",PR!$U383,IF(K385="GENEITH",PR!$V383,IF(K385="GINOS",PR!$W383,IF(K385="GSK",PR!$X383,IF(K385="GLOBORG",PR!$Y383,IF(K385="GOODNEWS",PR!$Z383,IF(K385="GREENLIFE",PR!$AA383,IF(K385="HLINE",PR!$AB383,IF(K385="ROTECH",PR!$AC383,IF(K385="ISN",PR!$AD383,IF(K385="JAWA",PR!$AE383,IF(K385="LAYO",PR!$AF383,IF(K385="LEADWAY",PR!$AG383,IF(K385="LHV",PR!$AH383,IF(K385="MANOLA",PR!$AI383,IF(K385="MARCSON",PR!$AJ383,IF(K385="M&amp;B",PR!$AK383,IF(K385="MTRUST",PR!$AL383,IF(K385="MWORLD",PR!$AM383,IF(K385="MEGA",PR!$AN383,IF(K385="MICRONOVA",PR!$AO383,IF(K385="MFLASH",PR!$AP383,IF(K385="MORISON",PR!$AQ383,IF(K385="NEMEL",PR!$AR383,IF(K385="NHP",PR!$AS383,IF(K385="NHC",PR!$AT383,IF(K385="OLEAF",PR!$AU383,IF(K385="OCULUS",PR!$AV383,IF(K385="PACIFIC",PR!$AW383,IF(K385="PHAMATEX",PR!$AX383,IF(K385="PETHICS",PR!$AY383,IF(K385="PHILIPS",PR!$AZ383,IF(K385="RANBAXY",PR!$BA383,IF(K385="REALS",PR!$BB383,IF(K385="ROYAL",PR!$BC383,IF(K385="SAM",PR!$BD383,IF(K385="SEAGREEN",PR!$BE383,IF(K385="SKG",PR!$BF383,IF(K385="TAH",PR!$BG383,IF(K385="TAYLEK",PR!$BH383,IF(K385="TEMITA",PR!$BI383,IF(K385="THL",PR!$BJ383,IF(K385="UBASTIC",PR!$BK383,IF(K385="UNION",PR!$BL383,IF(K385="UNIQUE",PR!$BM383,IF(K385="VIXA",PR!$BN383,IF(K385="WWCV",PR!$BO383,IF(K385="ZOLON",PR!$BP383,"-")))))))))))))))))))))))))))))))))))))))))))))))))))))))))))))))))</f>
        <v>0</v>
      </c>
    </row>
    <row r="386" spans="1:12" ht="18.75" x14ac:dyDescent="0.3">
      <c r="A386" s="430">
        <f>PR!A384</f>
        <v>0</v>
      </c>
      <c r="B386" s="15">
        <f>PR!B384</f>
        <v>0</v>
      </c>
      <c r="C386" s="113">
        <f>PR!D384</f>
        <v>0</v>
      </c>
      <c r="D386" s="113">
        <f>PR!C384</f>
        <v>0</v>
      </c>
      <c r="E386" s="108" t="str">
        <f>IF(F386="ALPHA",PR!$E384,IF(F386="ASSENE",PR!$F384,IF(F386="BIOFEM",PR!$G384,IF(F386="BIOMED",PR!$H384,IF(F386="CHI",PR!$I384,IF(F386="CLARION",PR!$J384,IF(F386="CODIX",PR!$K384,IF(F386="COSMADE",PR!$L384,IF(F386="SANCON",PR!$M384,IF(F386="DEVON",PR!$N384,IF(F386="DORTEMAG",PR!$O384,IF(F386="DGF",PR!$P384,IF(F386="DYNAMIC",PR!$Q384,IF(F386="EMZOR",PR!$R384,IF(F386="EUMATT",PR!$S384,IF(F386="FIDSON",PR!$T384,IF(F386="FCGLOBAL",PR!$U384,IF(F386="GENEITH",PR!$V384,IF(F386="GINOS",PR!$W384,IF(F386="GSK",PR!$X384,IF(F386="GLOBORG",PR!$Y384,IF(F386="GOODNEWS",PR!$Z384,IF(F386="GREENLIFE",PR!$AA384,IF(F386="HLINE",PR!$AB384,IF(F386="ROTECH",PR!$AC384,IF(F386="ISN",PR!$AD384,IF(F386="JAWA",PR!$AE384,IF(F386="LAYO",PR!$AF384,IF(F386="LEADWAY",PR!$AG384,IF(F386="LHV",PR!$AH384,IF(F386="MANOLA",PR!$AI384,IF(F386="MARCSON",PR!$AJ384,IF(F386="M&amp;B",PR!$AK384,IF(F386="MTRUST",PR!$AL384,IF(F386="MWORLD",PR!$AM384,IF(F386="MEGA",PR!$AN384,IF(F386="MICRONOVA",PR!$AO384,IF(F386="MFLASH",PR!$AP384,IF(F386="MORISON",PR!$AQ384,IF(F386="NEMEL",PR!$AR384,IF(F386="NHP",PR!$AS384,IF(F386="NHC",PR!$AT384,IF(F386="OLEAF",PR!$AU384,IF(F386="OCULUS",PR!$AV384,IF(F386="PACIFIC",PR!$AW384,IF(F386="PHAMATEX",PR!$AX384,IF(F386="PETHICS",PR!$AY384,IF(F386="PHILIPS",PR!$AZ384,IF(F386="RANBAXY",PR!$BA384,IF(F386="REALS",PR!$BB384,IF(F386="ROYAL",PR!$BC384,IF(F386="SAM",PR!$BD384,IF(F386="SEAGREEN",PR!$BE384,IF(F386="SKG",PR!$BF384,IF(F386="TAH",PR!$BG384,IF(F386="TAYLEK",PR!$BH384,IF(F386="TEMITA",PR!$BI384,IF(F386="THL",PR!$BJ384,IF(F386="UBASTIC",PR!$BK384,IF(F386="UNION",PR!$BL384,IF(F386="UNIQUE",PR!$BM384,IF(F386="VIXA",PR!$BN384,IF(F386="WWCV",PR!$BO384,IF(F386="ZOLON",PR!$BP384,"-"))))))))))))))))))))))))))))))))))))))))))))))))))))))))))))))))</f>
        <v>-</v>
      </c>
      <c r="F386" s="102"/>
      <c r="G386" s="108" t="str">
        <f>IF(H386="ALPHA",PR!$E384,IF(H386="ASSENE",PR!$F384,IF(H386="BIOFEM",PR!$G384,IF(H386="BIOMED",PR!$H384,IF(H386="CHI",PR!$I384,IF(H386="CLARION",PR!$J384,IF(H386="CODIX",PR!$K384,IF(H386="COSMADE",PR!$L384,IF(H386="SANCON",PR!$M384,IF(H386="DEVON",PR!$N384,IF(H386="DORTEMAG",PR!$O384,IF(H386="DGF",PR!$P384,IF(H386="DYNAMIC",PR!$Q384,IF(H386="EMZOR",PR!$R384,IF(H386="EUMATT",PR!$S384,IF(H386="FIDSON",PR!$T384,IF(H386="FCGLOBAL",PR!$U384,IF(H386="GENEITH",PR!$V384,IF(H386="GINOS",PR!$W384,IF(H386="GSK",PR!$X384,IF(H386="GLOBORG",PR!$Y384,IF(H386="GOODNEWS",PR!$Z384,IF(H386="GREENLIFE",PR!$AA384,IF(H386="HLINE",PR!$AB384,IF(H386="ROTECH",PR!$AC384,IF(H386="ISN",PR!$AD384,IF(H386="JAWA",PR!$AE384,IF(H386="LAYO",PR!$AF384,IF(H386="LEADWAY",PR!$AG384,IF(H386="LHV",PR!$AH384,IF(H386="MANOLA",PR!$AI384,IF(H386="MARCSON",PR!$AJ384,IF(H386="M&amp;B",PR!$AK384,IF(H386="MTRUST",PR!$AL384,IF(H386="MWORLD",PR!$AM384,IF(H386="MEGA",PR!$AN384,IF(H386="MICRONOVA",PR!$AO384,IF(H386="MFLASH",PR!$AP384,IF(H386="MORISON",PR!$AQ384,IF(H386="NEMEL",PR!$AR384,IF(H386="NHP",PR!$AS384,IF(H386="NHC",PR!$AT384,IF(H386="OLEAF",PR!$AU384,IF(H386="OCULUS",PR!$AV384,IF(H386="PACIFIC",PR!$AW384,IF(H386="PHAMATEX",PR!$AX384,IF(H386="PETHICS",PR!$AY384,IF(H386="PHILIPS",PR!$AZ384,IF(H386="RANBAXY",PR!$BA384,IF(H386="REALS",PR!$BB384,IF(H386="ROYAL",PR!$BC384,IF(H386="SAM",PR!$BD384,IF(H386="SEAGREEN",PR!$BE384,IF(H386="SKG",PR!$BF384,IF(H386="TAH",PR!$BG384,IF(H386="TAYLEK",PR!$BH384,IF(H386="TEMITA",PR!$BI384,IF(H386="THL",PR!$BJ384,IF(H386="UBASTIC",PR!$BK384,IF(H386="UNION",PR!$BL384,IF(H386="UNIQUE",PR!$BM384,IF(H386="VIXA",PR!$BN384,IF(H386="WWCV",PR!$BO384,IF(H386="ZOLON",PR!$BP384,"-"))))))))))))))))))))))))))))))))))))))))))))))))))))))))))))))))</f>
        <v>-</v>
      </c>
      <c r="H386" s="102"/>
      <c r="I386" s="108" t="str">
        <f>IF(J386="ALPHA",PR!$E384,IF(J386="ASSENE",PR!$F384,IF(J386="BIOFEM",PR!$G384,IF(J386="BIOMED",PR!$H384,IF(J386="CHI",PR!$I384,IF(J386="CLARION",PR!$J384,IF(J386="CODIX",PR!$K384,IF(J386="COSMADE",PR!$L384,IF(J386="SANCON",PR!$M384,IF(J386="DEVON",PR!$N384,IF(J386="DORTEMAG",PR!$O384,IF(J386="DGF",PR!$P384,IF(J386="DYNAMIC",PR!$Q384,IF(J386="EMZOR",PR!$R384,IF(J386="EUMATT",PR!$S384,IF(J386="FIDSON",PR!$T384,IF(J386="FCGLOBAL",PR!$U384,IF(J386="GENEITH",PR!$V384,IF(J386="GINOS",PR!$W384,IF(J386="GSK",PR!$X384,IF(J386="GLOBORG",PR!$Y384,IF(J386="GOODNEWS",PR!$Z384,IF(J386="GREENLIFE",PR!$AA384,IF(J386="HLINE",PR!$AB384,IF(J386="ROTECH",PR!$AC384,IF(J386="ISN",PR!$AD384,IF(J386="JAWA",PR!$AE384,IF(J386="LAYO",PR!$AF384,IF(J386="LEADWAY",PR!$AG384,IF(J386="LHV",PR!$AH384,IF(J386="MANOLA",PR!$AI384,IF(J386="MARCSON",PR!$AJ384,IF(J386="M&amp;B",PR!$AK384,IF(J386="MTRUST",PR!$AL384,IF(J386="MWORLD",PR!$AM384,IF(J386="MEGA",PR!$AN384,IF(J386="MICRONOVA",PR!$AO384,IF(J386="MFLASH",PR!$AP384,IF(J386="MORISON",PR!$AQ384,IF(J386="NEMEL",PR!$AR384,IF(J386="NHP",PR!$AS384,IF(J386="NHC",PR!$AT384,IF(J386="OLEAF",PR!$AU384,IF(J386="OCULUS",PR!$AV384,IF(J386="PACIFIC",PR!$AW384,IF(J386="PHAMATEX",PR!$AX384,IF(J386="PETHICS",PR!$AY384,IF(J386="PHILIPS",PR!$AZ384,IF(J386="RANBAXY",PR!$BA384,IF(J386="REALS",PR!$BB384,IF(J386="ROYAL",PR!$BC384,IF(J386="SAM",PR!$BD384,IF(J386="SEAGREEN",PR!$BE384,IF(J386="SKG",PR!$BF384,IF(J386="TAH",PR!$BG384,IF(J386="TAYLEK",PR!$BH384,IF(J386="TEMITA",PR!$BI384,IF(J386="THL",PR!$BJ384,IF(J386="UBASTIC",PR!$BK384,IF(J386="UNION",PR!$BL384,IF(J386="UNIQUE",PR!$BM384,IF(J386="VIXA",PR!$BN384,IF(J386="WWCV",PR!$BO384,IF(J386="ZOLON",PR!$BP384,"-"))))))))))))))))))))))))))))))))))))))))))))))))))))))))))))))))</f>
        <v>-</v>
      </c>
      <c r="J386" s="102"/>
      <c r="K386" s="433"/>
      <c r="L386" s="183" t="b">
        <f>IF(K386&gt;0,IF(K386="ALPHA",PR!$E384,IF(K386="ASSENE",PR!$F384,IF(K386="BIOFEM",PR!$G384,IF(K386="BIOMED",PR!$H384,IF(K386="CHI",PR!$I384,IF(K386="CLARION",PR!$J384,IF(K386="CODIX",PR!$K384,IF(K386="COSMADE",PR!$L384,IF(K386="SANCON",PR!$M384,IF(K386="DEVON",PR!$N384,IF(K386="DORTEMAG",PR!$O384,IF(K386="DGF",PR!$P384,IF(K386="DYNAMIC",PR!$Q384,IF(K386="EMZOR",PR!$R384,IF(K386="EUMATT",PR!$S384,IF(K386="FIDSON",PR!$T384,IF(K386="FCGLOBAL",PR!$U384,IF(K386="GENEITH",PR!$V384,IF(K386="GINOS",PR!$W384,IF(K386="GSK",PR!$X384,IF(K386="GLOBORG",PR!$Y384,IF(K386="GOODNEWS",PR!$Z384,IF(K386="GREENLIFE",PR!$AA384,IF(K386="HLINE",PR!$AB384,IF(K386="ROTECH",PR!$AC384,IF(K386="ISN",PR!$AD384,IF(K386="JAWA",PR!$AE384,IF(K386="LAYO",PR!$AF384,IF(K386="LEADWAY",PR!$AG384,IF(K386="LHV",PR!$AH384,IF(K386="MANOLA",PR!$AI384,IF(K386="MARCSON",PR!$AJ384,IF(K386="M&amp;B",PR!$AK384,IF(K386="MTRUST",PR!$AL384,IF(K386="MWORLD",PR!$AM384,IF(K386="MEGA",PR!$AN384,IF(K386="MICRONOVA",PR!$AO384,IF(K386="MFLASH",PR!$AP384,IF(K386="MORISON",PR!$AQ384,IF(K386="NEMEL",PR!$AR384,IF(K386="NHP",PR!$AS384,IF(K386="NHC",PR!$AT384,IF(K386="OLEAF",PR!$AU384,IF(K386="OCULUS",PR!$AV384,IF(K386="PACIFIC",PR!$AW384,IF(K386="PHAMATEX",PR!$AX384,IF(K386="PETHICS",PR!$AY384,IF(K386="PHILIPS",PR!$AZ384,IF(K386="RANBAXY",PR!$BA384,IF(K386="REALS",PR!$BB384,IF(K386="ROYAL",PR!$BC384,IF(K386="SAM",PR!$BD384,IF(K386="SEAGREEN",PR!$BE384,IF(K386="SKG",PR!$BF384,IF(K386="TAH",PR!$BG384,IF(K386="TAYLEK",PR!$BH384,IF(K386="TEMITA",PR!$BI384,IF(K386="THL",PR!$BJ384,IF(K386="UBASTIC",PR!$BK384,IF(K386="UNION",PR!$BL384,IF(K386="UNIQUE",PR!$BM384,IF(K386="VIXA",PR!$BN384,IF(K386="WWCV",PR!$BO384,IF(K386="ZOLON",PR!$BP384,"-")))))))))))))))))))))))))))))))))))))))))))))))))))))))))))))))))</f>
        <v>0</v>
      </c>
    </row>
    <row r="387" spans="1:12" ht="18.75" x14ac:dyDescent="0.3">
      <c r="A387" s="430">
        <f>PR!A385</f>
        <v>351</v>
      </c>
      <c r="B387" s="15" t="str">
        <f>PR!B385</f>
        <v>AMITRYPTILLINE 25MG</v>
      </c>
      <c r="C387" s="113">
        <f>PR!D385</f>
        <v>500</v>
      </c>
      <c r="D387" s="113">
        <f>PR!C385</f>
        <v>200</v>
      </c>
      <c r="E387" s="108">
        <f>IF(F387="ALPHA",PR!$E385,IF(F387="ASSENE",PR!$F385,IF(F387="BIOFEM",PR!$G385,IF(F387="BIOMED",PR!$H385,IF(F387="CHI",PR!$I385,IF(F387="CLARION",PR!$J385,IF(F387="CODIX",PR!$K385,IF(F387="COSMADE",PR!$L385,IF(F387="SANCON",PR!$M385,IF(F387="DEVON",PR!$N385,IF(F387="DORTEMAG",PR!$O385,IF(F387="DGF",PR!$P385,IF(F387="DYNAMIC",PR!$Q385,IF(F387="EMZOR",PR!$R385,IF(F387="EUMATT",PR!$S385,IF(F387="FIDSON",PR!$T385,IF(F387="FCGLOBAL",PR!$U385,IF(F387="GENEITH",PR!$V385,IF(F387="GINOS",PR!$W385,IF(F387="GSK",PR!$X385,IF(F387="GLOBORG",PR!$Y385,IF(F387="GOODNEWS",PR!$Z385,IF(F387="GREENLIFE",PR!$AA385,IF(F387="HLINE",PR!$AB385,IF(F387="ROTECH",PR!$AC385,IF(F387="ISN",PR!$AD385,IF(F387="JAWA",PR!$AE385,IF(F387="LAYO",PR!$AF385,IF(F387="LEADWAY",PR!$AG385,IF(F387="LHV",PR!$AH385,IF(F387="MANOLA",PR!$AI385,IF(F387="MARCSON",PR!$AJ385,IF(F387="M&amp;B",PR!$AK385,IF(F387="MTRUST",PR!$AL385,IF(F387="MWORLD",PR!$AM385,IF(F387="MEGA",PR!$AN385,IF(F387="MICRONOVA",PR!$AO385,IF(F387="MFLASH",PR!$AP385,IF(F387="MORISON",PR!$AQ385,IF(F387="NEMEL",PR!$AR385,IF(F387="NHP",PR!$AS385,IF(F387="NHC",PR!$AT385,IF(F387="OLEAF",PR!$AU385,IF(F387="OCULUS",PR!$AV385,IF(F387="PACIFIC",PR!$AW385,IF(F387="PHAMATEX",PR!$AX385,IF(F387="PETHICS",PR!$AY385,IF(F387="PHILIPS",PR!$AZ385,IF(F387="RANBAXY",PR!$BA385,IF(F387="REALS",PR!$BB385,IF(F387="ROYAL",PR!$BC385,IF(F387="SAM",PR!$BD385,IF(F387="SEAGREEN",PR!$BE385,IF(F387="SKG",PR!$BF385,IF(F387="TAH",PR!$BG385,IF(F387="TAYLEK",PR!$BH385,IF(F387="TEMITA",PR!$BI385,IF(F387="THL",PR!$BJ385,IF(F387="UBASTIC",PR!$BK385,IF(F387="UNION",PR!$BL385,IF(F387="UNIQUE",PR!$BM385,IF(F387="VIXA",PR!$BN385,IF(F387="WWCV",PR!$BO385,IF(F387="ZOLON",PR!$BP385,"-"))))))))))))))))))))))))))))))))))))))))))))))))))))))))))))))))</f>
        <v>800</v>
      </c>
      <c r="F387" s="102" t="str">
        <f>EV!L487</f>
        <v>ZOLON</v>
      </c>
      <c r="G387" s="108">
        <f>IF(H387="ALPHA",PR!$E385,IF(H387="ASSENE",PR!$F385,IF(H387="BIOFEM",PR!$G385,IF(H387="BIOMED",PR!$H385,IF(H387="CHI",PR!$I385,IF(H387="CLARION",PR!$J385,IF(H387="CODIX",PR!$K385,IF(H387="COSMADE",PR!$L385,IF(H387="SANCON",PR!$M385,IF(H387="DEVON",PR!$N385,IF(H387="DORTEMAG",PR!$O385,IF(H387="DGF",PR!$P385,IF(H387="DYNAMIC",PR!$Q385,IF(H387="EMZOR",PR!$R385,IF(H387="EUMATT",PR!$S385,IF(H387="FIDSON",PR!$T385,IF(H387="FCGLOBAL",PR!$U385,IF(H387="GENEITH",PR!$V385,IF(H387="GINOS",PR!$W385,IF(H387="GSK",PR!$X385,IF(H387="GLOBORG",PR!$Y385,IF(H387="GOODNEWS",PR!$Z385,IF(H387="GREENLIFE",PR!$AA385,IF(H387="HLINE",PR!$AB385,IF(H387="ROTECH",PR!$AC385,IF(H387="ISN",PR!$AD385,IF(H387="JAWA",PR!$AE385,IF(H387="LAYO",PR!$AF385,IF(H387="LEADWAY",PR!$AG385,IF(H387="LHV",PR!$AH385,IF(H387="MANOLA",PR!$AI385,IF(H387="MARCSON",PR!$AJ385,IF(H387="M&amp;B",PR!$AK385,IF(H387="MTRUST",PR!$AL385,IF(H387="MWORLD",PR!$AM385,IF(H387="MEGA",PR!$AN385,IF(H387="MICRONOVA",PR!$AO385,IF(H387="MFLASH",PR!$AP385,IF(H387="MORISON",PR!$AQ385,IF(H387="NEMEL",PR!$AR385,IF(H387="NHP",PR!$AS385,IF(H387="NHC",PR!$AT385,IF(H387="OLEAF",PR!$AU385,IF(H387="OCULUS",PR!$AV385,IF(H387="PACIFIC",PR!$AW385,IF(H387="PHAMATEX",PR!$AX385,IF(H387="PETHICS",PR!$AY385,IF(H387="PHILIPS",PR!$AZ385,IF(H387="RANBAXY",PR!$BA385,IF(H387="REALS",PR!$BB385,IF(H387="ROYAL",PR!$BC385,IF(H387="SAM",PR!$BD385,IF(H387="SEAGREEN",PR!$BE385,IF(H387="SKG",PR!$BF385,IF(H387="TAH",PR!$BG385,IF(H387="TAYLEK",PR!$BH385,IF(H387="TEMITA",PR!$BI385,IF(H387="THL",PR!$BJ385,IF(H387="UBASTIC",PR!$BK385,IF(H387="UNION",PR!$BL385,IF(H387="UNIQUE",PR!$BM385,IF(H387="VIXA",PR!$BN385,IF(H387="WWCV",PR!$BO385,IF(H387="ZOLON",PR!$BP385,"-"))))))))))))))))))))))))))))))))))))))))))))))))))))))))))))))))</f>
        <v>2200</v>
      </c>
      <c r="H387" s="102" t="str">
        <f>EV!M487</f>
        <v>LEADWAY</v>
      </c>
      <c r="I387" s="108">
        <f>IF(J387="ALPHA",PR!$E385,IF(J387="ASSENE",PR!$F385,IF(J387="BIOFEM",PR!$G385,IF(J387="BIOMED",PR!$H385,IF(J387="CHI",PR!$I385,IF(J387="CLARION",PR!$J385,IF(J387="CODIX",PR!$K385,IF(J387="COSMADE",PR!$L385,IF(J387="SANCON",PR!$M385,IF(J387="DEVON",PR!$N385,IF(J387="DORTEMAG",PR!$O385,IF(J387="DGF",PR!$P385,IF(J387="DYNAMIC",PR!$Q385,IF(J387="EMZOR",PR!$R385,IF(J387="EUMATT",PR!$S385,IF(J387="FIDSON",PR!$T385,IF(J387="FCGLOBAL",PR!$U385,IF(J387="GENEITH",PR!$V385,IF(J387="GINOS",PR!$W385,IF(J387="GSK",PR!$X385,IF(J387="GLOBORG",PR!$Y385,IF(J387="GOODNEWS",PR!$Z385,IF(J387="GREENLIFE",PR!$AA385,IF(J387="HLINE",PR!$AB385,IF(J387="ROTECH",PR!$AC385,IF(J387="ISN",PR!$AD385,IF(J387="JAWA",PR!$AE385,IF(J387="LAYO",PR!$AF385,IF(J387="LEADWAY",PR!$AG385,IF(J387="LHV",PR!$AH385,IF(J387="MANOLA",PR!$AI385,IF(J387="MARCSON",PR!$AJ385,IF(J387="M&amp;B",PR!$AK385,IF(J387="MTRUST",PR!$AL385,IF(J387="MWORLD",PR!$AM385,IF(J387="MEGA",PR!$AN385,IF(J387="MICRONOVA",PR!$AO385,IF(J387="MFLASH",PR!$AP385,IF(J387="MORISON",PR!$AQ385,IF(J387="NEMEL",PR!$AR385,IF(J387="NHP",PR!$AS385,IF(J387="NHC",PR!$AT385,IF(J387="OLEAF",PR!$AU385,IF(J387="OCULUS",PR!$AV385,IF(J387="PACIFIC",PR!$AW385,IF(J387="PHAMATEX",PR!$AX385,IF(J387="PETHICS",PR!$AY385,IF(J387="PHILIPS",PR!$AZ385,IF(J387="RANBAXY",PR!$BA385,IF(J387="REALS",PR!$BB385,IF(J387="ROYAL",PR!$BC385,IF(J387="SAM",PR!$BD385,IF(J387="SEAGREEN",PR!$BE385,IF(J387="SKG",PR!$BF385,IF(J387="TAH",PR!$BG385,IF(J387="TAYLEK",PR!$BH385,IF(J387="TEMITA",PR!$BI385,IF(J387="THL",PR!$BJ385,IF(J387="UBASTIC",PR!$BK385,IF(J387="UNION",PR!$BL385,IF(J387="UNIQUE",PR!$BM385,IF(J387="VIXA",PR!$BN385,IF(J387="WWCV",PR!$BO385,IF(J387="ZOLON",PR!$BP385,"-"))))))))))))))))))))))))))))))))))))))))))))))))))))))))))))))))</f>
        <v>2200</v>
      </c>
      <c r="J387" s="102" t="str">
        <f>EV!N487</f>
        <v>EUMATT</v>
      </c>
      <c r="K387" s="433" t="s">
        <v>2139</v>
      </c>
      <c r="L387" s="183" t="str">
        <f>IF(K387&gt;0,IF(K387="ALPHA",PR!$E385,IF(K387="ASSENE",PR!$F385,IF(K387="BIOFEM",PR!$G385,IF(K387="BIOMED",PR!$H385,IF(K387="CHI",PR!$I385,IF(K387="CLARION",PR!$J385,IF(K387="CODIX",PR!$K385,IF(K387="COSMADE",PR!$L385,IF(K387="SANCON",PR!$M385,IF(K387="DEVON",PR!$N385,IF(K387="DORTEMAG",PR!$O385,IF(K387="DGF",PR!$P385,IF(K387="DYNAMIC",PR!$Q385,IF(K387="EMZOR",PR!$R385,IF(K387="EUMATT",PR!$S385,IF(K387="FIDSON",PR!$T385,IF(K387="FCGLOBAL",PR!$U385,IF(K387="GENEITH",PR!$V385,IF(K387="GINOS",PR!$W385,IF(K387="GSK",PR!$X385,IF(K387="GLOBORG",PR!$Y385,IF(K387="GOODNEWS",PR!$Z385,IF(K387="GREENLIFE",PR!$AA385,IF(K387="HLINE",PR!$AB385,IF(K387="ROTECH",PR!$AC385,IF(K387="ISN",PR!$AD385,IF(K387="JAWA",PR!$AE385,IF(K387="LAYO",PR!$AF385,IF(K387="LEADWAY",PR!$AG385,IF(K387="LHV",PR!$AH385,IF(K387="MANOLA",PR!$AI385,IF(K387="MARCSON",PR!$AJ385,IF(K387="M&amp;B",PR!$AK385,IF(K387="MTRUST",PR!$AL385,IF(K387="MWORLD",PR!$AM385,IF(K387="MEGA",PR!$AN385,IF(K387="MICRONOVA",PR!$AO385,IF(K387="MFLASH",PR!$AP385,IF(K387="MORISON",PR!$AQ385,IF(K387="NEMEL",PR!$AR385,IF(K387="NHP",PR!$AS385,IF(K387="NHC",PR!$AT385,IF(K387="OLEAF",PR!$AU385,IF(K387="OCULUS",PR!$AV385,IF(K387="PACIFIC",PR!$AW385,IF(K387="PHAMATEX",PR!$AX385,IF(K387="PETHICS",PR!$AY385,IF(K387="PHILIPS",PR!$AZ385,IF(K387="RANBAXY",PR!$BA385,IF(K387="REALS",PR!$BB385,IF(K387="ROYAL",PR!$BC385,IF(K387="SAM",PR!$BD385,IF(K387="SEAGREEN",PR!$BE385,IF(K387="SKG",PR!$BF385,IF(K387="TAH",PR!$BG385,IF(K387="TAYLEK",PR!$BH385,IF(K387="TEMITA",PR!$BI385,IF(K387="THL",PR!$BJ385,IF(K387="UBASTIC",PR!$BK385,IF(K387="UNION",PR!$BL385,IF(K387="UNIQUE",PR!$BM385,IF(K387="VIXA",PR!$BN385,IF(K387="WWCV",PR!$BO385,IF(K387="ZOLON",PR!$BP385,"-")))))))))))))))))))))))))))))))))))))))))))))))))))))))))))))))))</f>
        <v>-</v>
      </c>
    </row>
    <row r="388" spans="1:12" ht="18.75" x14ac:dyDescent="0.3">
      <c r="A388" s="430">
        <f>PR!A386</f>
        <v>352</v>
      </c>
      <c r="B388" s="15" t="str">
        <f>PR!B386</f>
        <v>BENZHEXOL 5MG</v>
      </c>
      <c r="C388" s="113">
        <f>PR!D386</f>
        <v>500</v>
      </c>
      <c r="D388" s="113">
        <f>PR!C386</f>
        <v>20</v>
      </c>
      <c r="E388" s="108">
        <f>IF(F388="ALPHA",PR!$E386,IF(F388="ASSENE",PR!$F386,IF(F388="BIOFEM",PR!$G386,IF(F388="BIOMED",PR!$H386,IF(F388="CHI",PR!$I386,IF(F388="CLARION",PR!$J386,IF(F388="CODIX",PR!$K386,IF(F388="COSMADE",PR!$L386,IF(F388="SANCON",PR!$M386,IF(F388="DEVON",PR!$N386,IF(F388="DORTEMAG",PR!$O386,IF(F388="DGF",PR!$P386,IF(F388="DYNAMIC",PR!$Q386,IF(F388="EMZOR",PR!$R386,IF(F388="EUMATT",PR!$S386,IF(F388="FIDSON",PR!$T386,IF(F388="FCGLOBAL",PR!$U386,IF(F388="GENEITH",PR!$V386,IF(F388="GINOS",PR!$W386,IF(F388="GSK",PR!$X386,IF(F388="GLOBORG",PR!$Y386,IF(F388="GOODNEWS",PR!$Z386,IF(F388="GREENLIFE",PR!$AA386,IF(F388="HLINE",PR!$AB386,IF(F388="ROTECH",PR!$AC386,IF(F388="ISN",PR!$AD386,IF(F388="JAWA",PR!$AE386,IF(F388="LAYO",PR!$AF386,IF(F388="LEADWAY",PR!$AG386,IF(F388="LHV",PR!$AH386,IF(F388="MANOLA",PR!$AI386,IF(F388="MARCSON",PR!$AJ386,IF(F388="M&amp;B",PR!$AK386,IF(F388="MTRUST",PR!$AL386,IF(F388="MWORLD",PR!$AM386,IF(F388="MEGA",PR!$AN386,IF(F388="MICRONOVA",PR!$AO386,IF(F388="MFLASH",PR!$AP386,IF(F388="MORISON",PR!$AQ386,IF(F388="NEMEL",PR!$AR386,IF(F388="NHP",PR!$AS386,IF(F388="NHC",PR!$AT386,IF(F388="OLEAF",PR!$AU386,IF(F388="OCULUS",PR!$AV386,IF(F388="PACIFIC",PR!$AW386,IF(F388="PHAMATEX",PR!$AX386,IF(F388="PETHICS",PR!$AY386,IF(F388="PHILIPS",PR!$AZ386,IF(F388="RANBAXY",PR!$BA386,IF(F388="REALS",PR!$BB386,IF(F388="ROYAL",PR!$BC386,IF(F388="SAM",PR!$BD386,IF(F388="SEAGREEN",PR!$BE386,IF(F388="SKG",PR!$BF386,IF(F388="TAH",PR!$BG386,IF(F388="TAYLEK",PR!$BH386,IF(F388="TEMITA",PR!$BI386,IF(F388="THL",PR!$BJ386,IF(F388="UBASTIC",PR!$BK386,IF(F388="UNION",PR!$BL386,IF(F388="UNIQUE",PR!$BM386,IF(F388="VIXA",PR!$BN386,IF(F388="WWCV",PR!$BO386,IF(F388="ZOLON",PR!$BP386,"-"))))))))))))))))))))))))))))))))))))))))))))))))))))))))))))))))</f>
        <v>1800</v>
      </c>
      <c r="F388" s="102" t="str">
        <f>EV!L488</f>
        <v>EUMATT</v>
      </c>
      <c r="G388" s="108">
        <f>IF(H388="ALPHA",PR!$E386,IF(H388="ASSENE",PR!$F386,IF(H388="BIOFEM",PR!$G386,IF(H388="BIOMED",PR!$H386,IF(H388="CHI",PR!$I386,IF(H388="CLARION",PR!$J386,IF(H388="CODIX",PR!$K386,IF(H388="COSMADE",PR!$L386,IF(H388="SANCON",PR!$M386,IF(H388="DEVON",PR!$N386,IF(H388="DORTEMAG",PR!$O386,IF(H388="DGF",PR!$P386,IF(H388="DYNAMIC",PR!$Q386,IF(H388="EMZOR",PR!$R386,IF(H388="EUMATT",PR!$S386,IF(H388="FIDSON",PR!$T386,IF(H388="FCGLOBAL",PR!$U386,IF(H388="GENEITH",PR!$V386,IF(H388="GINOS",PR!$W386,IF(H388="GSK",PR!$X386,IF(H388="GLOBORG",PR!$Y386,IF(H388="GOODNEWS",PR!$Z386,IF(H388="GREENLIFE",PR!$AA386,IF(H388="HLINE",PR!$AB386,IF(H388="ROTECH",PR!$AC386,IF(H388="ISN",PR!$AD386,IF(H388="JAWA",PR!$AE386,IF(H388="LAYO",PR!$AF386,IF(H388="LEADWAY",PR!$AG386,IF(H388="LHV",PR!$AH386,IF(H388="MANOLA",PR!$AI386,IF(H388="MARCSON",PR!$AJ386,IF(H388="M&amp;B",PR!$AK386,IF(H388="MTRUST",PR!$AL386,IF(H388="MWORLD",PR!$AM386,IF(H388="MEGA",PR!$AN386,IF(H388="MICRONOVA",PR!$AO386,IF(H388="MFLASH",PR!$AP386,IF(H388="MORISON",PR!$AQ386,IF(H388="NEMEL",PR!$AR386,IF(H388="NHP",PR!$AS386,IF(H388="NHC",PR!$AT386,IF(H388="OLEAF",PR!$AU386,IF(H388="OCULUS",PR!$AV386,IF(H388="PACIFIC",PR!$AW386,IF(H388="PHAMATEX",PR!$AX386,IF(H388="PETHICS",PR!$AY386,IF(H388="PHILIPS",PR!$AZ386,IF(H388="RANBAXY",PR!$BA386,IF(H388="REALS",PR!$BB386,IF(H388="ROYAL",PR!$BC386,IF(H388="SAM",PR!$BD386,IF(H388="SEAGREEN",PR!$BE386,IF(H388="SKG",PR!$BF386,IF(H388="TAH",PR!$BG386,IF(H388="TAYLEK",PR!$BH386,IF(H388="TEMITA",PR!$BI386,IF(H388="THL",PR!$BJ386,IF(H388="UBASTIC",PR!$BK386,IF(H388="UNION",PR!$BL386,IF(H388="UNIQUE",PR!$BM386,IF(H388="VIXA",PR!$BN386,IF(H388="WWCV",PR!$BO386,IF(H388="ZOLON",PR!$BP386,"-"))))))))))))))))))))))))))))))))))))))))))))))))))))))))))))))))</f>
        <v>2100</v>
      </c>
      <c r="H388" s="102" t="str">
        <f>EV!M488</f>
        <v>LEADWAY</v>
      </c>
      <c r="I388" s="108" t="str">
        <f>IF(J388="ALPHA",PR!$E386,IF(J388="ASSENE",PR!$F386,IF(J388="BIOFEM",PR!$G386,IF(J388="BIOMED",PR!$H386,IF(J388="CHI",PR!$I386,IF(J388="CLARION",PR!$J386,IF(J388="CODIX",PR!$K386,IF(J388="COSMADE",PR!$L386,IF(J388="SANCON",PR!$M386,IF(J388="DEVON",PR!$N386,IF(J388="DORTEMAG",PR!$O386,IF(J388="DGF",PR!$P386,IF(J388="DYNAMIC",PR!$Q386,IF(J388="EMZOR",PR!$R386,IF(J388="EUMATT",PR!$S386,IF(J388="FIDSON",PR!$T386,IF(J388="FCGLOBAL",PR!$U386,IF(J388="GENEITH",PR!$V386,IF(J388="GINOS",PR!$W386,IF(J388="GSK",PR!$X386,IF(J388="GLOBORG",PR!$Y386,IF(J388="GOODNEWS",PR!$Z386,IF(J388="GREENLIFE",PR!$AA386,IF(J388="HLINE",PR!$AB386,IF(J388="ROTECH",PR!$AC386,IF(J388="ISN",PR!$AD386,IF(J388="JAWA",PR!$AE386,IF(J388="LAYO",PR!$AF386,IF(J388="LEADWAY",PR!$AG386,IF(J388="LHV",PR!$AH386,IF(J388="MANOLA",PR!$AI386,IF(J388="MARCSON",PR!$AJ386,IF(J388="M&amp;B",PR!$AK386,IF(J388="MTRUST",PR!$AL386,IF(J388="MWORLD",PR!$AM386,IF(J388="MEGA",PR!$AN386,IF(J388="MICRONOVA",PR!$AO386,IF(J388="MFLASH",PR!$AP386,IF(J388="MORISON",PR!$AQ386,IF(J388="NEMEL",PR!$AR386,IF(J388="NHP",PR!$AS386,IF(J388="NHC",PR!$AT386,IF(J388="OLEAF",PR!$AU386,IF(J388="OCULUS",PR!$AV386,IF(J388="PACIFIC",PR!$AW386,IF(J388="PHAMATEX",PR!$AX386,IF(J388="PETHICS",PR!$AY386,IF(J388="PHILIPS",PR!$AZ386,IF(J388="RANBAXY",PR!$BA386,IF(J388="REALS",PR!$BB386,IF(J388="ROYAL",PR!$BC386,IF(J388="SAM",PR!$BD386,IF(J388="SEAGREEN",PR!$BE386,IF(J388="SKG",PR!$BF386,IF(J388="TAH",PR!$BG386,IF(J388="TAYLEK",PR!$BH386,IF(J388="TEMITA",PR!$BI386,IF(J388="THL",PR!$BJ386,IF(J388="UBASTIC",PR!$BK386,IF(J388="UNION",PR!$BL386,IF(J388="UNIQUE",PR!$BM386,IF(J388="VIXA",PR!$BN386,IF(J388="WWCV",PR!$BO386,IF(J388="ZOLON",PR!$BP386,"-"))))))))))))))))))))))))))))))))))))))))))))))))))))))))))))))))</f>
        <v>-</v>
      </c>
      <c r="J388" s="102">
        <f>EV!N488</f>
        <v>0</v>
      </c>
      <c r="K388" s="433" t="s">
        <v>821</v>
      </c>
      <c r="L388" s="183">
        <f>IF(K388&gt;0,IF(K388="ALPHA",PR!$E386,IF(K388="ASSENE",PR!$F386,IF(K388="BIOFEM",PR!$G386,IF(K388="BIOMED",PR!$H386,IF(K388="CHI",PR!$I386,IF(K388="CLARION",PR!$J386,IF(K388="CODIX",PR!$K386,IF(K388="COSMADE",PR!$L386,IF(K388="SANCON",PR!$M386,IF(K388="DEVON",PR!$N386,IF(K388="DORTEMAG",PR!$O386,IF(K388="DGF",PR!$P386,IF(K388="DYNAMIC",PR!$Q386,IF(K388="EMZOR",PR!$R386,IF(K388="EUMATT",PR!$S386,IF(K388="FIDSON",PR!$T386,IF(K388="FCGLOBAL",PR!$U386,IF(K388="GENEITH",PR!$V386,IF(K388="GINOS",PR!$W386,IF(K388="GSK",PR!$X386,IF(K388="GLOBORG",PR!$Y386,IF(K388="GOODNEWS",PR!$Z386,IF(K388="GREENLIFE",PR!$AA386,IF(K388="HLINE",PR!$AB386,IF(K388="ROTECH",PR!$AC386,IF(K388="ISN",PR!$AD386,IF(K388="JAWA",PR!$AE386,IF(K388="LAYO",PR!$AF386,IF(K388="LEADWAY",PR!$AG386,IF(K388="LHV",PR!$AH386,IF(K388="MANOLA",PR!$AI386,IF(K388="MARCSON",PR!$AJ386,IF(K388="M&amp;B",PR!$AK386,IF(K388="MTRUST",PR!$AL386,IF(K388="MWORLD",PR!$AM386,IF(K388="MEGA",PR!$AN386,IF(K388="MICRONOVA",PR!$AO386,IF(K388="MFLASH",PR!$AP386,IF(K388="MORISON",PR!$AQ386,IF(K388="NEMEL",PR!$AR386,IF(K388="NHP",PR!$AS386,IF(K388="NHC",PR!$AT386,IF(K388="OLEAF",PR!$AU386,IF(K388="OCULUS",PR!$AV386,IF(K388="PACIFIC",PR!$AW386,IF(K388="PHAMATEX",PR!$AX386,IF(K388="PETHICS",PR!$AY386,IF(K388="PHILIPS",PR!$AZ386,IF(K388="RANBAXY",PR!$BA386,IF(K388="REALS",PR!$BB386,IF(K388="ROYAL",PR!$BC386,IF(K388="SAM",PR!$BD386,IF(K388="SEAGREEN",PR!$BE386,IF(K388="SKG",PR!$BF386,IF(K388="TAH",PR!$BG386,IF(K388="TAYLEK",PR!$BH386,IF(K388="TEMITA",PR!$BI386,IF(K388="THL",PR!$BJ386,IF(K388="UBASTIC",PR!$BK386,IF(K388="UNION",PR!$BL386,IF(K388="UNIQUE",PR!$BM386,IF(K388="VIXA",PR!$BN386,IF(K388="WWCV",PR!$BO386,IF(K388="ZOLON",PR!$BP386,"-")))))))))))))))))))))))))))))))))))))))))))))))))))))))))))))))))</f>
        <v>1800</v>
      </c>
    </row>
    <row r="389" spans="1:12" ht="18.75" x14ac:dyDescent="0.3">
      <c r="A389" s="430">
        <f>PR!A387</f>
        <v>353</v>
      </c>
      <c r="B389" s="15" t="str">
        <f>PR!B387</f>
        <v>BROMAZEPAM 1.5MG</v>
      </c>
      <c r="C389" s="113">
        <f>PR!D387</f>
        <v>30</v>
      </c>
      <c r="D389" s="113">
        <f>PR!C387</f>
        <v>800</v>
      </c>
      <c r="E389" s="108">
        <f>IF(F389="ALPHA",PR!$E387,IF(F389="ASSENE",PR!$F387,IF(F389="BIOFEM",PR!$G387,IF(F389="BIOMED",PR!$H387,IF(F389="CHI",PR!$I387,IF(F389="CLARION",PR!$J387,IF(F389="CODIX",PR!$K387,IF(F389="COSMADE",PR!$L387,IF(F389="SANCON",PR!$M387,IF(F389="DEVON",PR!$N387,IF(F389="DORTEMAG",PR!$O387,IF(F389="DGF",PR!$P387,IF(F389="DYNAMIC",PR!$Q387,IF(F389="EMZOR",PR!$R387,IF(F389="EUMATT",PR!$S387,IF(F389="FIDSON",PR!$T387,IF(F389="FCGLOBAL",PR!$U387,IF(F389="GENEITH",PR!$V387,IF(F389="GINOS",PR!$W387,IF(F389="GSK",PR!$X387,IF(F389="GLOBORG",PR!$Y387,IF(F389="GOODNEWS",PR!$Z387,IF(F389="GREENLIFE",PR!$AA387,IF(F389="HLINE",PR!$AB387,IF(F389="ROTECH",PR!$AC387,IF(F389="ISN",PR!$AD387,IF(F389="JAWA",PR!$AE387,IF(F389="LAYO",PR!$AF387,IF(F389="LEADWAY",PR!$AG387,IF(F389="LHV",PR!$AH387,IF(F389="MANOLA",PR!$AI387,IF(F389="MARCSON",PR!$AJ387,IF(F389="M&amp;B",PR!$AK387,IF(F389="MTRUST",PR!$AL387,IF(F389="MWORLD",PR!$AM387,IF(F389="MEGA",PR!$AN387,IF(F389="MICRONOVA",PR!$AO387,IF(F389="MFLASH",PR!$AP387,IF(F389="MORISON",PR!$AQ387,IF(F389="NEMEL",PR!$AR387,IF(F389="NHP",PR!$AS387,IF(F389="NHC",PR!$AT387,IF(F389="OLEAF",PR!$AU387,IF(F389="OCULUS",PR!$AV387,IF(F389="PACIFIC",PR!$AW387,IF(F389="PHAMATEX",PR!$AX387,IF(F389="PETHICS",PR!$AY387,IF(F389="PHILIPS",PR!$AZ387,IF(F389="RANBAXY",PR!$BA387,IF(F389="REALS",PR!$BB387,IF(F389="ROYAL",PR!$BC387,IF(F389="SAM",PR!$BD387,IF(F389="SEAGREEN",PR!$BE387,IF(F389="SKG",PR!$BF387,IF(F389="TAH",PR!$BG387,IF(F389="TAYLEK",PR!$BH387,IF(F389="TEMITA",PR!$BI387,IF(F389="THL",PR!$BJ387,IF(F389="UBASTIC",PR!$BK387,IF(F389="UNION",PR!$BL387,IF(F389="UNIQUE",PR!$BM387,IF(F389="VIXA",PR!$BN387,IF(F389="WWCV",PR!$BO387,IF(F389="ZOLON",PR!$BP387,"-"))))))))))))))))))))))))))))))))))))))))))))))))))))))))))))))))</f>
        <v>170</v>
      </c>
      <c r="F389" s="102" t="str">
        <f>EV!L489</f>
        <v>M&amp;B</v>
      </c>
      <c r="G389" s="108">
        <f>IF(H389="ALPHA",PR!$E387,IF(H389="ASSENE",PR!$F387,IF(H389="BIOFEM",PR!$G387,IF(H389="BIOMED",PR!$H387,IF(H389="CHI",PR!$I387,IF(H389="CLARION",PR!$J387,IF(H389="CODIX",PR!$K387,IF(H389="COSMADE",PR!$L387,IF(H389="SANCON",PR!$M387,IF(H389="DEVON",PR!$N387,IF(H389="DORTEMAG",PR!$O387,IF(H389="DGF",PR!$P387,IF(H389="DYNAMIC",PR!$Q387,IF(H389="EMZOR",PR!$R387,IF(H389="EUMATT",PR!$S387,IF(H389="FIDSON",PR!$T387,IF(H389="FCGLOBAL",PR!$U387,IF(H389="GENEITH",PR!$V387,IF(H389="GINOS",PR!$W387,IF(H389="GSK",PR!$X387,IF(H389="GLOBORG",PR!$Y387,IF(H389="GOODNEWS",PR!$Z387,IF(H389="GREENLIFE",PR!$AA387,IF(H389="HLINE",PR!$AB387,IF(H389="ROTECH",PR!$AC387,IF(H389="ISN",PR!$AD387,IF(H389="JAWA",PR!$AE387,IF(H389="LAYO",PR!$AF387,IF(H389="LEADWAY",PR!$AG387,IF(H389="LHV",PR!$AH387,IF(H389="MANOLA",PR!$AI387,IF(H389="MARCSON",PR!$AJ387,IF(H389="M&amp;B",PR!$AK387,IF(H389="MTRUST",PR!$AL387,IF(H389="MWORLD",PR!$AM387,IF(H389="MEGA",PR!$AN387,IF(H389="MICRONOVA",PR!$AO387,IF(H389="MFLASH",PR!$AP387,IF(H389="MORISON",PR!$AQ387,IF(H389="NEMEL",PR!$AR387,IF(H389="NHP",PR!$AS387,IF(H389="NHC",PR!$AT387,IF(H389="OLEAF",PR!$AU387,IF(H389="OCULUS",PR!$AV387,IF(H389="PACIFIC",PR!$AW387,IF(H389="PHAMATEX",PR!$AX387,IF(H389="PETHICS",PR!$AY387,IF(H389="PHILIPS",PR!$AZ387,IF(H389="RANBAXY",PR!$BA387,IF(H389="REALS",PR!$BB387,IF(H389="ROYAL",PR!$BC387,IF(H389="SAM",PR!$BD387,IF(H389="SEAGREEN",PR!$BE387,IF(H389="SKG",PR!$BF387,IF(H389="TAH",PR!$BG387,IF(H389="TAYLEK",PR!$BH387,IF(H389="TEMITA",PR!$BI387,IF(H389="THL",PR!$BJ387,IF(H389="UBASTIC",PR!$BK387,IF(H389="UNION",PR!$BL387,IF(H389="UNIQUE",PR!$BM387,IF(H389="VIXA",PR!$BN387,IF(H389="WWCV",PR!$BO387,IF(H389="ZOLON",PR!$BP387,"-"))))))))))))))))))))))))))))))))))))))))))))))))))))))))))))))))</f>
        <v>210</v>
      </c>
      <c r="H389" s="102" t="str">
        <f>EV!M489</f>
        <v>FIDSON</v>
      </c>
      <c r="I389" s="108" t="str">
        <f>IF(J389="ALPHA",PR!$E387,IF(J389="ASSENE",PR!$F387,IF(J389="BIOFEM",PR!$G387,IF(J389="BIOMED",PR!$H387,IF(J389="CHI",PR!$I387,IF(J389="CLARION",PR!$J387,IF(J389="CODIX",PR!$K387,IF(J389="COSMADE",PR!$L387,IF(J389="SANCON",PR!$M387,IF(J389="DEVON",PR!$N387,IF(J389="DORTEMAG",PR!$O387,IF(J389="DGF",PR!$P387,IF(J389="DYNAMIC",PR!$Q387,IF(J389="EMZOR",PR!$R387,IF(J389="EUMATT",PR!$S387,IF(J389="FIDSON",PR!$T387,IF(J389="FCGLOBAL",PR!$U387,IF(J389="GENEITH",PR!$V387,IF(J389="GINOS",PR!$W387,IF(J389="GSK",PR!$X387,IF(J389="GLOBORG",PR!$Y387,IF(J389="GOODNEWS",PR!$Z387,IF(J389="GREENLIFE",PR!$AA387,IF(J389="HLINE",PR!$AB387,IF(J389="ROTECH",PR!$AC387,IF(J389="ISN",PR!$AD387,IF(J389="JAWA",PR!$AE387,IF(J389="LAYO",PR!$AF387,IF(J389="LEADWAY",PR!$AG387,IF(J389="LHV",PR!$AH387,IF(J389="MANOLA",PR!$AI387,IF(J389="MARCSON",PR!$AJ387,IF(J389="M&amp;B",PR!$AK387,IF(J389="MTRUST",PR!$AL387,IF(J389="MWORLD",PR!$AM387,IF(J389="MEGA",PR!$AN387,IF(J389="MICRONOVA",PR!$AO387,IF(J389="MFLASH",PR!$AP387,IF(J389="MORISON",PR!$AQ387,IF(J389="NEMEL",PR!$AR387,IF(J389="NHP",PR!$AS387,IF(J389="NHC",PR!$AT387,IF(J389="OLEAF",PR!$AU387,IF(J389="OCULUS",PR!$AV387,IF(J389="PACIFIC",PR!$AW387,IF(J389="PHAMATEX",PR!$AX387,IF(J389="PETHICS",PR!$AY387,IF(J389="PHILIPS",PR!$AZ387,IF(J389="RANBAXY",PR!$BA387,IF(J389="REALS",PR!$BB387,IF(J389="ROYAL",PR!$BC387,IF(J389="SAM",PR!$BD387,IF(J389="SEAGREEN",PR!$BE387,IF(J389="SKG",PR!$BF387,IF(J389="TAH",PR!$BG387,IF(J389="TAYLEK",PR!$BH387,IF(J389="TEMITA",PR!$BI387,IF(J389="THL",PR!$BJ387,IF(J389="UBASTIC",PR!$BK387,IF(J389="UNION",PR!$BL387,IF(J389="UNIQUE",PR!$BM387,IF(J389="VIXA",PR!$BN387,IF(J389="WWCV",PR!$BO387,IF(J389="ZOLON",PR!$BP387,"-"))))))))))))))))))))))))))))))))))))))))))))))))))))))))))))))))</f>
        <v>-</v>
      </c>
      <c r="J389" s="102">
        <f>EV!N489</f>
        <v>0</v>
      </c>
      <c r="K389" s="433" t="s">
        <v>616</v>
      </c>
      <c r="L389" s="183">
        <f>IF(K389&gt;0,IF(K389="ALPHA",PR!$E387,IF(K389="ASSENE",PR!$F387,IF(K389="BIOFEM",PR!$G387,IF(K389="BIOMED",PR!$H387,IF(K389="CHI",PR!$I387,IF(K389="CLARION",PR!$J387,IF(K389="CODIX",PR!$K387,IF(K389="COSMADE",PR!$L387,IF(K389="SANCON",PR!$M387,IF(K389="DEVON",PR!$N387,IF(K389="DORTEMAG",PR!$O387,IF(K389="DGF",PR!$P387,IF(K389="DYNAMIC",PR!$Q387,IF(K389="EMZOR",PR!$R387,IF(K389="EUMATT",PR!$S387,IF(K389="FIDSON",PR!$T387,IF(K389="FCGLOBAL",PR!$U387,IF(K389="GENEITH",PR!$V387,IF(K389="GINOS",PR!$W387,IF(K389="GSK",PR!$X387,IF(K389="GLOBORG",PR!$Y387,IF(K389="GOODNEWS",PR!$Z387,IF(K389="GREENLIFE",PR!$AA387,IF(K389="HLINE",PR!$AB387,IF(K389="ROTECH",PR!$AC387,IF(K389="ISN",PR!$AD387,IF(K389="JAWA",PR!$AE387,IF(K389="LAYO",PR!$AF387,IF(K389="LEADWAY",PR!$AG387,IF(K389="LHV",PR!$AH387,IF(K389="MANOLA",PR!$AI387,IF(K389="MARCSON",PR!$AJ387,IF(K389="M&amp;B",PR!$AK387,IF(K389="MTRUST",PR!$AL387,IF(K389="MWORLD",PR!$AM387,IF(K389="MEGA",PR!$AN387,IF(K389="MICRONOVA",PR!$AO387,IF(K389="MFLASH",PR!$AP387,IF(K389="MORISON",PR!$AQ387,IF(K389="NEMEL",PR!$AR387,IF(K389="NHP",PR!$AS387,IF(K389="NHC",PR!$AT387,IF(K389="OLEAF",PR!$AU387,IF(K389="OCULUS",PR!$AV387,IF(K389="PACIFIC",PR!$AW387,IF(K389="PHAMATEX",PR!$AX387,IF(K389="PETHICS",PR!$AY387,IF(K389="PHILIPS",PR!$AZ387,IF(K389="RANBAXY",PR!$BA387,IF(K389="REALS",PR!$BB387,IF(K389="ROYAL",PR!$BC387,IF(K389="SAM",PR!$BD387,IF(K389="SEAGREEN",PR!$BE387,IF(K389="SKG",PR!$BF387,IF(K389="TAH",PR!$BG387,IF(K389="TAYLEK",PR!$BH387,IF(K389="TEMITA",PR!$BI387,IF(K389="THL",PR!$BJ387,IF(K389="UBASTIC",PR!$BK387,IF(K389="UNION",PR!$BL387,IF(K389="UNIQUE",PR!$BM387,IF(K389="VIXA",PR!$BN387,IF(K389="WWCV",PR!$BO387,IF(K389="ZOLON",PR!$BP387,"-")))))))))))))))))))))))))))))))))))))))))))))))))))))))))))))))))</f>
        <v>170</v>
      </c>
    </row>
    <row r="390" spans="1:12" ht="18.75" x14ac:dyDescent="0.3">
      <c r="A390" s="430">
        <f>PR!A388</f>
        <v>354</v>
      </c>
      <c r="B390" s="15" t="str">
        <f>PR!B388</f>
        <v>BROMAZEPAM 3MG</v>
      </c>
      <c r="C390" s="113">
        <f>PR!D388</f>
        <v>30</v>
      </c>
      <c r="D390" s="113">
        <f>PR!C388</f>
        <v>1000</v>
      </c>
      <c r="E390" s="108">
        <f>IF(F390="ALPHA",PR!$E388,IF(F390="ASSENE",PR!$F388,IF(F390="BIOFEM",PR!$G388,IF(F390="BIOMED",PR!$H388,IF(F390="CHI",PR!$I388,IF(F390="CLARION",PR!$J388,IF(F390="CODIX",PR!$K388,IF(F390="COSMADE",PR!$L388,IF(F390="SANCON",PR!$M388,IF(F390="DEVON",PR!$N388,IF(F390="DORTEMAG",PR!$O388,IF(F390="DGF",PR!$P388,IF(F390="DYNAMIC",PR!$Q388,IF(F390="EMZOR",PR!$R388,IF(F390="EUMATT",PR!$S388,IF(F390="FIDSON",PR!$T388,IF(F390="FCGLOBAL",PR!$U388,IF(F390="GENEITH",PR!$V388,IF(F390="GINOS",PR!$W388,IF(F390="GSK",PR!$X388,IF(F390="GLOBORG",PR!$Y388,IF(F390="GOODNEWS",PR!$Z388,IF(F390="GREENLIFE",PR!$AA388,IF(F390="HLINE",PR!$AB388,IF(F390="ROTECH",PR!$AC388,IF(F390="ISN",PR!$AD388,IF(F390="JAWA",PR!$AE388,IF(F390="LAYO",PR!$AF388,IF(F390="LEADWAY",PR!$AG388,IF(F390="LHV",PR!$AH388,IF(F390="MANOLA",PR!$AI388,IF(F390="MARCSON",PR!$AJ388,IF(F390="M&amp;B",PR!$AK388,IF(F390="MTRUST",PR!$AL388,IF(F390="MWORLD",PR!$AM388,IF(F390="MEGA",PR!$AN388,IF(F390="MICRONOVA",PR!$AO388,IF(F390="MFLASH",PR!$AP388,IF(F390="MORISON",PR!$AQ388,IF(F390="NEMEL",PR!$AR388,IF(F390="NHP",PR!$AS388,IF(F390="NHC",PR!$AT388,IF(F390="OLEAF",PR!$AU388,IF(F390="OCULUS",PR!$AV388,IF(F390="PACIFIC",PR!$AW388,IF(F390="PHAMATEX",PR!$AX388,IF(F390="PETHICS",PR!$AY388,IF(F390="PHILIPS",PR!$AZ388,IF(F390="RANBAXY",PR!$BA388,IF(F390="REALS",PR!$BB388,IF(F390="ROYAL",PR!$BC388,IF(F390="SAM",PR!$BD388,IF(F390="SEAGREEN",PR!$BE388,IF(F390="SKG",PR!$BF388,IF(F390="TAH",PR!$BG388,IF(F390="TAYLEK",PR!$BH388,IF(F390="TEMITA",PR!$BI388,IF(F390="THL",PR!$BJ388,IF(F390="UBASTIC",PR!$BK388,IF(F390="UNION",PR!$BL388,IF(F390="UNIQUE",PR!$BM388,IF(F390="VIXA",PR!$BN388,IF(F390="WWCV",PR!$BO388,IF(F390="ZOLON",PR!$BP388,"-"))))))))))))))))))))))))))))))))))))))))))))))))))))))))))))))))</f>
        <v>340</v>
      </c>
      <c r="F390" s="102" t="str">
        <f>EV!L490</f>
        <v>M&amp;B</v>
      </c>
      <c r="G390" s="108">
        <f>IF(H390="ALPHA",PR!$E388,IF(H390="ASSENE",PR!$F388,IF(H390="BIOFEM",PR!$G388,IF(H390="BIOMED",PR!$H388,IF(H390="CHI",PR!$I388,IF(H390="CLARION",PR!$J388,IF(H390="CODIX",PR!$K388,IF(H390="COSMADE",PR!$L388,IF(H390="SANCON",PR!$M388,IF(H390="DEVON",PR!$N388,IF(H390="DORTEMAG",PR!$O388,IF(H390="DGF",PR!$P388,IF(H390="DYNAMIC",PR!$Q388,IF(H390="EMZOR",PR!$R388,IF(H390="EUMATT",PR!$S388,IF(H390="FIDSON",PR!$T388,IF(H390="FCGLOBAL",PR!$U388,IF(H390="GENEITH",PR!$V388,IF(H390="GINOS",PR!$W388,IF(H390="GSK",PR!$X388,IF(H390="GLOBORG",PR!$Y388,IF(H390="GOODNEWS",PR!$Z388,IF(H390="GREENLIFE",PR!$AA388,IF(H390="HLINE",PR!$AB388,IF(H390="ROTECH",PR!$AC388,IF(H390="ISN",PR!$AD388,IF(H390="JAWA",PR!$AE388,IF(H390="LAYO",PR!$AF388,IF(H390="LEADWAY",PR!$AG388,IF(H390="LHV",PR!$AH388,IF(H390="MANOLA",PR!$AI388,IF(H390="MARCSON",PR!$AJ388,IF(H390="M&amp;B",PR!$AK388,IF(H390="MTRUST",PR!$AL388,IF(H390="MWORLD",PR!$AM388,IF(H390="MEGA",PR!$AN388,IF(H390="MICRONOVA",PR!$AO388,IF(H390="MFLASH",PR!$AP388,IF(H390="MORISON",PR!$AQ388,IF(H390="NEMEL",PR!$AR388,IF(H390="NHP",PR!$AS388,IF(H390="NHC",PR!$AT388,IF(H390="OLEAF",PR!$AU388,IF(H390="OCULUS",PR!$AV388,IF(H390="PACIFIC",PR!$AW388,IF(H390="PHAMATEX",PR!$AX388,IF(H390="PETHICS",PR!$AY388,IF(H390="PHILIPS",PR!$AZ388,IF(H390="RANBAXY",PR!$BA388,IF(H390="REALS",PR!$BB388,IF(H390="ROYAL",PR!$BC388,IF(H390="SAM",PR!$BD388,IF(H390="SEAGREEN",PR!$BE388,IF(H390="SKG",PR!$BF388,IF(H390="TAH",PR!$BG388,IF(H390="TAYLEK",PR!$BH388,IF(H390="TEMITA",PR!$BI388,IF(H390="THL",PR!$BJ388,IF(H390="UBASTIC",PR!$BK388,IF(H390="UNION",PR!$BL388,IF(H390="UNIQUE",PR!$BM388,IF(H390="VIXA",PR!$BN388,IF(H390="WWCV",PR!$BO388,IF(H390="ZOLON",PR!$BP388,"-"))))))))))))))))))))))))))))))))))))))))))))))))))))))))))))))))</f>
        <v>390</v>
      </c>
      <c r="H390" s="102" t="str">
        <f>EV!M490</f>
        <v>FIDSON</v>
      </c>
      <c r="I390" s="108">
        <f>IF(J390="ALPHA",PR!$E388,IF(J390="ASSENE",PR!$F388,IF(J390="BIOFEM",PR!$G388,IF(J390="BIOMED",PR!$H388,IF(J390="CHI",PR!$I388,IF(J390="CLARION",PR!$J388,IF(J390="CODIX",PR!$K388,IF(J390="COSMADE",PR!$L388,IF(J390="SANCON",PR!$M388,IF(J390="DEVON",PR!$N388,IF(J390="DORTEMAG",PR!$O388,IF(J390="DGF",PR!$P388,IF(J390="DYNAMIC",PR!$Q388,IF(J390="EMZOR",PR!$R388,IF(J390="EUMATT",PR!$S388,IF(J390="FIDSON",PR!$T388,IF(J390="FCGLOBAL",PR!$U388,IF(J390="GENEITH",PR!$V388,IF(J390="GINOS",PR!$W388,IF(J390="GSK",PR!$X388,IF(J390="GLOBORG",PR!$Y388,IF(J390="GOODNEWS",PR!$Z388,IF(J390="GREENLIFE",PR!$AA388,IF(J390="HLINE",PR!$AB388,IF(J390="ROTECH",PR!$AC388,IF(J390="ISN",PR!$AD388,IF(J390="JAWA",PR!$AE388,IF(J390="LAYO",PR!$AF388,IF(J390="LEADWAY",PR!$AG388,IF(J390="LHV",PR!$AH388,IF(J390="MANOLA",PR!$AI388,IF(J390="MARCSON",PR!$AJ388,IF(J390="M&amp;B",PR!$AK388,IF(J390="MTRUST",PR!$AL388,IF(J390="MWORLD",PR!$AM388,IF(J390="MEGA",PR!$AN388,IF(J390="MICRONOVA",PR!$AO388,IF(J390="MFLASH",PR!$AP388,IF(J390="MORISON",PR!$AQ388,IF(J390="NEMEL",PR!$AR388,IF(J390="NHP",PR!$AS388,IF(J390="NHC",PR!$AT388,IF(J390="OLEAF",PR!$AU388,IF(J390="OCULUS",PR!$AV388,IF(J390="PACIFIC",PR!$AW388,IF(J390="PHAMATEX",PR!$AX388,IF(J390="PETHICS",PR!$AY388,IF(J390="PHILIPS",PR!$AZ388,IF(J390="RANBAXY",PR!$BA388,IF(J390="REALS",PR!$BB388,IF(J390="ROYAL",PR!$BC388,IF(J390="SAM",PR!$BD388,IF(J390="SEAGREEN",PR!$BE388,IF(J390="SKG",PR!$BF388,IF(J390="TAH",PR!$BG388,IF(J390="TAYLEK",PR!$BH388,IF(J390="TEMITA",PR!$BI388,IF(J390="THL",PR!$BJ388,IF(J390="UBASTIC",PR!$BK388,IF(J390="UNION",PR!$BL388,IF(J390="UNIQUE",PR!$BM388,IF(J390="VIXA",PR!$BN388,IF(J390="WWCV",PR!$BO388,IF(J390="ZOLON",PR!$BP388,"-"))))))))))))))))))))))))))))))))))))))))))))))))))))))))))))))))</f>
        <v>450</v>
      </c>
      <c r="J390" s="102" t="str">
        <f>EV!N490</f>
        <v>EUMATT</v>
      </c>
      <c r="K390" s="433" t="s">
        <v>616</v>
      </c>
      <c r="L390" s="183">
        <f>IF(K390&gt;0,IF(K390="ALPHA",PR!$E388,IF(K390="ASSENE",PR!$F388,IF(K390="BIOFEM",PR!$G388,IF(K390="BIOMED",PR!$H388,IF(K390="CHI",PR!$I388,IF(K390="CLARION",PR!$J388,IF(K390="CODIX",PR!$K388,IF(K390="COSMADE",PR!$L388,IF(K390="SANCON",PR!$M388,IF(K390="DEVON",PR!$N388,IF(K390="DORTEMAG",PR!$O388,IF(K390="DGF",PR!$P388,IF(K390="DYNAMIC",PR!$Q388,IF(K390="EMZOR",PR!$R388,IF(K390="EUMATT",PR!$S388,IF(K390="FIDSON",PR!$T388,IF(K390="FCGLOBAL",PR!$U388,IF(K390="GENEITH",PR!$V388,IF(K390="GINOS",PR!$W388,IF(K390="GSK",PR!$X388,IF(K390="GLOBORG",PR!$Y388,IF(K390="GOODNEWS",PR!$Z388,IF(K390="GREENLIFE",PR!$AA388,IF(K390="HLINE",PR!$AB388,IF(K390="ROTECH",PR!$AC388,IF(K390="ISN",PR!$AD388,IF(K390="JAWA",PR!$AE388,IF(K390="LAYO",PR!$AF388,IF(K390="LEADWAY",PR!$AG388,IF(K390="LHV",PR!$AH388,IF(K390="MANOLA",PR!$AI388,IF(K390="MARCSON",PR!$AJ388,IF(K390="M&amp;B",PR!$AK388,IF(K390="MTRUST",PR!$AL388,IF(K390="MWORLD",PR!$AM388,IF(K390="MEGA",PR!$AN388,IF(K390="MICRONOVA",PR!$AO388,IF(K390="MFLASH",PR!$AP388,IF(K390="MORISON",PR!$AQ388,IF(K390="NEMEL",PR!$AR388,IF(K390="NHP",PR!$AS388,IF(K390="NHC",PR!$AT388,IF(K390="OLEAF",PR!$AU388,IF(K390="OCULUS",PR!$AV388,IF(K390="PACIFIC",PR!$AW388,IF(K390="PHAMATEX",PR!$AX388,IF(K390="PETHICS",PR!$AY388,IF(K390="PHILIPS",PR!$AZ388,IF(K390="RANBAXY",PR!$BA388,IF(K390="REALS",PR!$BB388,IF(K390="ROYAL",PR!$BC388,IF(K390="SAM",PR!$BD388,IF(K390="SEAGREEN",PR!$BE388,IF(K390="SKG",PR!$BF388,IF(K390="TAH",PR!$BG388,IF(K390="TAYLEK",PR!$BH388,IF(K390="TEMITA",PR!$BI388,IF(K390="THL",PR!$BJ388,IF(K390="UBASTIC",PR!$BK388,IF(K390="UNION",PR!$BL388,IF(K390="UNIQUE",PR!$BM388,IF(K390="VIXA",PR!$BN388,IF(K390="WWCV",PR!$BO388,IF(K390="ZOLON",PR!$BP388,"-")))))))))))))))))))))))))))))))))))))))))))))))))))))))))))))))))</f>
        <v>340</v>
      </c>
    </row>
    <row r="391" spans="1:12" ht="18.75" x14ac:dyDescent="0.3">
      <c r="A391" s="430">
        <f>PR!A389</f>
        <v>355</v>
      </c>
      <c r="B391" s="15" t="str">
        <f>PR!B389</f>
        <v>CARBAMAZEPINE 200MG</v>
      </c>
      <c r="C391" s="113">
        <f>PR!D389</f>
        <v>100</v>
      </c>
      <c r="D391" s="113">
        <f>PR!C389</f>
        <v>1200</v>
      </c>
      <c r="E391" s="108">
        <f>IF(F391="ALPHA",PR!$E389,IF(F391="ASSENE",PR!$F389,IF(F391="BIOFEM",PR!$G389,IF(F391="BIOMED",PR!$H389,IF(F391="CHI",PR!$I389,IF(F391="CLARION",PR!$J389,IF(F391="CODIX",PR!$K389,IF(F391="COSMADE",PR!$L389,IF(F391="SANCON",PR!$M389,IF(F391="DEVON",PR!$N389,IF(F391="DORTEMAG",PR!$O389,IF(F391="DGF",PR!$P389,IF(F391="DYNAMIC",PR!$Q389,IF(F391="EMZOR",PR!$R389,IF(F391="EUMATT",PR!$S389,IF(F391="FIDSON",PR!$T389,IF(F391="FCGLOBAL",PR!$U389,IF(F391="GENEITH",PR!$V389,IF(F391="GINOS",PR!$W389,IF(F391="GSK",PR!$X389,IF(F391="GLOBORG",PR!$Y389,IF(F391="GOODNEWS",PR!$Z389,IF(F391="GREENLIFE",PR!$AA389,IF(F391="HLINE",PR!$AB389,IF(F391="ROTECH",PR!$AC389,IF(F391="ISN",PR!$AD389,IF(F391="JAWA",PR!$AE389,IF(F391="LAYO",PR!$AF389,IF(F391="LEADWAY",PR!$AG389,IF(F391="LHV",PR!$AH389,IF(F391="MANOLA",PR!$AI389,IF(F391="MARCSON",PR!$AJ389,IF(F391="M&amp;B",PR!$AK389,IF(F391="MTRUST",PR!$AL389,IF(F391="MWORLD",PR!$AM389,IF(F391="MEGA",PR!$AN389,IF(F391="MICRONOVA",PR!$AO389,IF(F391="MFLASH",PR!$AP389,IF(F391="MORISON",PR!$AQ389,IF(F391="NEMEL",PR!$AR389,IF(F391="NHP",PR!$AS389,IF(F391="NHC",PR!$AT389,IF(F391="OLEAF",PR!$AU389,IF(F391="OCULUS",PR!$AV389,IF(F391="PACIFIC",PR!$AW389,IF(F391="PHAMATEX",PR!$AX389,IF(F391="PETHICS",PR!$AY389,IF(F391="PHILIPS",PR!$AZ389,IF(F391="RANBAXY",PR!$BA389,IF(F391="REALS",PR!$BB389,IF(F391="ROYAL",PR!$BC389,IF(F391="SAM",PR!$BD389,IF(F391="SEAGREEN",PR!$BE389,IF(F391="SKG",PR!$BF389,IF(F391="TAH",PR!$BG389,IF(F391="TAYLEK",PR!$BH389,IF(F391="TEMITA",PR!$BI389,IF(F391="THL",PR!$BJ389,IF(F391="UBASTIC",PR!$BK389,IF(F391="UNION",PR!$BL389,IF(F391="UNIQUE",PR!$BM389,IF(F391="VIXA",PR!$BN389,IF(F391="WWCV",PR!$BO389,IF(F391="ZOLON",PR!$BP389,"-"))))))))))))))))))))))))))))))))))))))))))))))))))))))))))))))))</f>
        <v>1300</v>
      </c>
      <c r="F391" s="102" t="str">
        <f>EV!L491</f>
        <v>VIXA</v>
      </c>
      <c r="G391" s="108" t="str">
        <f>IF(H391="ALPHA",PR!$E389,IF(H391="ASSENE",PR!$F389,IF(H391="BIOFEM",PR!$G389,IF(H391="BIOMED",PR!$H389,IF(H391="CHI",PR!$I389,IF(H391="CLARION",PR!$J389,IF(H391="CODIX",PR!$K389,IF(H391="COSMADE",PR!$L389,IF(H391="SANCON",PR!$M389,IF(H391="DEVON",PR!$N389,IF(H391="DORTEMAG",PR!$O389,IF(H391="DGF",PR!$P389,IF(H391="DYNAMIC",PR!$Q389,IF(H391="EMZOR",PR!$R389,IF(H391="EUMATT",PR!$S389,IF(H391="FIDSON",PR!$T389,IF(H391="FCGLOBAL",PR!$U389,IF(H391="GENEITH",PR!$V389,IF(H391="GINOS",PR!$W389,IF(H391="GSK",PR!$X389,IF(H391="GLOBORG",PR!$Y389,IF(H391="GOODNEWS",PR!$Z389,IF(H391="GREENLIFE",PR!$AA389,IF(H391="HLINE",PR!$AB389,IF(H391="ROTECH",PR!$AC389,IF(H391="ISN",PR!$AD389,IF(H391="JAWA",PR!$AE389,IF(H391="LAYO",PR!$AF389,IF(H391="LEADWAY",PR!$AG389,IF(H391="LHV",PR!$AH389,IF(H391="MANOLA",PR!$AI389,IF(H391="MARCSON",PR!$AJ389,IF(H391="M&amp;B",PR!$AK389,IF(H391="MTRUST",PR!$AL389,IF(H391="MWORLD",PR!$AM389,IF(H391="MEGA",PR!$AN389,IF(H391="MICRONOVA",PR!$AO389,IF(H391="MFLASH",PR!$AP389,IF(H391="MORISON",PR!$AQ389,IF(H391="NEMEL",PR!$AR389,IF(H391="NHP",PR!$AS389,IF(H391="NHC",PR!$AT389,IF(H391="OLEAF",PR!$AU389,IF(H391="OCULUS",PR!$AV389,IF(H391="PACIFIC",PR!$AW389,IF(H391="PHAMATEX",PR!$AX389,IF(H391="PETHICS",PR!$AY389,IF(H391="PHILIPS",PR!$AZ389,IF(H391="RANBAXY",PR!$BA389,IF(H391="REALS",PR!$BB389,IF(H391="ROYAL",PR!$BC389,IF(H391="SAM",PR!$BD389,IF(H391="SEAGREEN",PR!$BE389,IF(H391="SKG",PR!$BF389,IF(H391="TAH",PR!$BG389,IF(H391="TAYLEK",PR!$BH389,IF(H391="TEMITA",PR!$BI389,IF(H391="THL",PR!$BJ389,IF(H391="UBASTIC",PR!$BK389,IF(H391="UNION",PR!$BL389,IF(H391="UNIQUE",PR!$BM389,IF(H391="VIXA",PR!$BN389,IF(H391="WWCV",PR!$BO389,IF(H391="ZOLON",PR!$BP389,"-"))))))))))))))))))))))))))))))))))))))))))))))))))))))))))))))))</f>
        <v>-</v>
      </c>
      <c r="H391" s="102">
        <f>EV!M491</f>
        <v>0</v>
      </c>
      <c r="I391" s="108" t="str">
        <f>IF(J391="ALPHA",PR!$E389,IF(J391="ASSENE",PR!$F389,IF(J391="BIOFEM",PR!$G389,IF(J391="BIOMED",PR!$H389,IF(J391="CHI",PR!$I389,IF(J391="CLARION",PR!$J389,IF(J391="CODIX",PR!$K389,IF(J391="COSMADE",PR!$L389,IF(J391="SANCON",PR!$M389,IF(J391="DEVON",PR!$N389,IF(J391="DORTEMAG",PR!$O389,IF(J391="DGF",PR!$P389,IF(J391="DYNAMIC",PR!$Q389,IF(J391="EMZOR",PR!$R389,IF(J391="EUMATT",PR!$S389,IF(J391="FIDSON",PR!$T389,IF(J391="FCGLOBAL",PR!$U389,IF(J391="GENEITH",PR!$V389,IF(J391="GINOS",PR!$W389,IF(J391="GSK",PR!$X389,IF(J391="GLOBORG",PR!$Y389,IF(J391="GOODNEWS",PR!$Z389,IF(J391="GREENLIFE",PR!$AA389,IF(J391="HLINE",PR!$AB389,IF(J391="ROTECH",PR!$AC389,IF(J391="ISN",PR!$AD389,IF(J391="JAWA",PR!$AE389,IF(J391="LAYO",PR!$AF389,IF(J391="LEADWAY",PR!$AG389,IF(J391="LHV",PR!$AH389,IF(J391="MANOLA",PR!$AI389,IF(J391="MARCSON",PR!$AJ389,IF(J391="M&amp;B",PR!$AK389,IF(J391="MTRUST",PR!$AL389,IF(J391="MWORLD",PR!$AM389,IF(J391="MEGA",PR!$AN389,IF(J391="MICRONOVA",PR!$AO389,IF(J391="MFLASH",PR!$AP389,IF(J391="MORISON",PR!$AQ389,IF(J391="NEMEL",PR!$AR389,IF(J391="NHP",PR!$AS389,IF(J391="NHC",PR!$AT389,IF(J391="OLEAF",PR!$AU389,IF(J391="OCULUS",PR!$AV389,IF(J391="PACIFIC",PR!$AW389,IF(J391="PHAMATEX",PR!$AX389,IF(J391="PETHICS",PR!$AY389,IF(J391="PHILIPS",PR!$AZ389,IF(J391="RANBAXY",PR!$BA389,IF(J391="REALS",PR!$BB389,IF(J391="ROYAL",PR!$BC389,IF(J391="SAM",PR!$BD389,IF(J391="SEAGREEN",PR!$BE389,IF(J391="SKG",PR!$BF389,IF(J391="TAH",PR!$BG389,IF(J391="TAYLEK",PR!$BH389,IF(J391="TEMITA",PR!$BI389,IF(J391="THL",PR!$BJ389,IF(J391="UBASTIC",PR!$BK389,IF(J391="UNION",PR!$BL389,IF(J391="UNIQUE",PR!$BM389,IF(J391="VIXA",PR!$BN389,IF(J391="WWCV",PR!$BO389,IF(J391="ZOLON",PR!$BP389,"-"))))))))))))))))))))))))))))))))))))))))))))))))))))))))))))))))</f>
        <v>-</v>
      </c>
      <c r="J391" s="102">
        <f>EV!N491</f>
        <v>0</v>
      </c>
      <c r="K391" s="433" t="s">
        <v>620</v>
      </c>
      <c r="L391" s="183">
        <f>IF(K391&gt;0,IF(K391="ALPHA",PR!$E389,IF(K391="ASSENE",PR!$F389,IF(K391="BIOFEM",PR!$G389,IF(K391="BIOMED",PR!$H389,IF(K391="CHI",PR!$I389,IF(K391="CLARION",PR!$J389,IF(K391="CODIX",PR!$K389,IF(K391="COSMADE",PR!$L389,IF(K391="SANCON",PR!$M389,IF(K391="DEVON",PR!$N389,IF(K391="DORTEMAG",PR!$O389,IF(K391="DGF",PR!$P389,IF(K391="DYNAMIC",PR!$Q389,IF(K391="EMZOR",PR!$R389,IF(K391="EUMATT",PR!$S389,IF(K391="FIDSON",PR!$T389,IF(K391="FCGLOBAL",PR!$U389,IF(K391="GENEITH",PR!$V389,IF(K391="GINOS",PR!$W389,IF(K391="GSK",PR!$X389,IF(K391="GLOBORG",PR!$Y389,IF(K391="GOODNEWS",PR!$Z389,IF(K391="GREENLIFE",PR!$AA389,IF(K391="HLINE",PR!$AB389,IF(K391="ROTECH",PR!$AC389,IF(K391="ISN",PR!$AD389,IF(K391="JAWA",PR!$AE389,IF(K391="LAYO",PR!$AF389,IF(K391="LEADWAY",PR!$AG389,IF(K391="LHV",PR!$AH389,IF(K391="MANOLA",PR!$AI389,IF(K391="MARCSON",PR!$AJ389,IF(K391="M&amp;B",PR!$AK389,IF(K391="MTRUST",PR!$AL389,IF(K391="MWORLD",PR!$AM389,IF(K391="MEGA",PR!$AN389,IF(K391="MICRONOVA",PR!$AO389,IF(K391="MFLASH",PR!$AP389,IF(K391="MORISON",PR!$AQ389,IF(K391="NEMEL",PR!$AR389,IF(K391="NHP",PR!$AS389,IF(K391="NHC",PR!$AT389,IF(K391="OLEAF",PR!$AU389,IF(K391="OCULUS",PR!$AV389,IF(K391="PACIFIC",PR!$AW389,IF(K391="PHAMATEX",PR!$AX389,IF(K391="PETHICS",PR!$AY389,IF(K391="PHILIPS",PR!$AZ389,IF(K391="RANBAXY",PR!$BA389,IF(K391="REALS",PR!$BB389,IF(K391="ROYAL",PR!$BC389,IF(K391="SAM",PR!$BD389,IF(K391="SEAGREEN",PR!$BE389,IF(K391="SKG",PR!$BF389,IF(K391="TAH",PR!$BG389,IF(K391="TAYLEK",PR!$BH389,IF(K391="TEMITA",PR!$BI389,IF(K391="THL",PR!$BJ389,IF(K391="UBASTIC",PR!$BK389,IF(K391="UNION",PR!$BL389,IF(K391="UNIQUE",PR!$BM389,IF(K391="VIXA",PR!$BN389,IF(K391="WWCV",PR!$BO389,IF(K391="ZOLON",PR!$BP389,"-")))))))))))))))))))))))))))))))))))))))))))))))))))))))))))))))))</f>
        <v>1300</v>
      </c>
    </row>
    <row r="392" spans="1:12" ht="18.75" x14ac:dyDescent="0.3">
      <c r="A392" s="430">
        <f>PR!A390</f>
        <v>356</v>
      </c>
      <c r="B392" s="15" t="str">
        <f>PR!B390</f>
        <v>CARBAMAZEPINE 200MG CR</v>
      </c>
      <c r="C392" s="113">
        <f>PR!D390</f>
        <v>50</v>
      </c>
      <c r="D392" s="113">
        <f>PR!C390</f>
        <v>100</v>
      </c>
      <c r="E392" s="108">
        <f>IF(F392="ALPHA",PR!$E390,IF(F392="ASSENE",PR!$F390,IF(F392="BIOFEM",PR!$G390,IF(F392="BIOMED",PR!$H390,IF(F392="CHI",PR!$I390,IF(F392="CLARION",PR!$J390,IF(F392="CODIX",PR!$K390,IF(F392="COSMADE",PR!$L390,IF(F392="SANCON",PR!$M390,IF(F392="DEVON",PR!$N390,IF(F392="DORTEMAG",PR!$O390,IF(F392="DGF",PR!$P390,IF(F392="DYNAMIC",PR!$Q390,IF(F392="EMZOR",PR!$R390,IF(F392="EUMATT",PR!$S390,IF(F392="FIDSON",PR!$T390,IF(F392="FCGLOBAL",PR!$U390,IF(F392="GENEITH",PR!$V390,IF(F392="GINOS",PR!$W390,IF(F392="GSK",PR!$X390,IF(F392="GLOBORG",PR!$Y390,IF(F392="GOODNEWS",PR!$Z390,IF(F392="GREENLIFE",PR!$AA390,IF(F392="HLINE",PR!$AB390,IF(F392="ROTECH",PR!$AC390,IF(F392="ISN",PR!$AD390,IF(F392="JAWA",PR!$AE390,IF(F392="LAYO",PR!$AF390,IF(F392="LEADWAY",PR!$AG390,IF(F392="LHV",PR!$AH390,IF(F392="MANOLA",PR!$AI390,IF(F392="MARCSON",PR!$AJ390,IF(F392="M&amp;B",PR!$AK390,IF(F392="MTRUST",PR!$AL390,IF(F392="MWORLD",PR!$AM390,IF(F392="MEGA",PR!$AN390,IF(F392="MICRONOVA",PR!$AO390,IF(F392="MFLASH",PR!$AP390,IF(F392="MORISON",PR!$AQ390,IF(F392="NEMEL",PR!$AR390,IF(F392="NHP",PR!$AS390,IF(F392="NHC",PR!$AT390,IF(F392="OLEAF",PR!$AU390,IF(F392="OCULUS",PR!$AV390,IF(F392="PACIFIC",PR!$AW390,IF(F392="PHAMATEX",PR!$AX390,IF(F392="PETHICS",PR!$AY390,IF(F392="PHILIPS",PR!$AZ390,IF(F392="RANBAXY",PR!$BA390,IF(F392="REALS",PR!$BB390,IF(F392="ROYAL",PR!$BC390,IF(F392="SAM",PR!$BD390,IF(F392="SEAGREEN",PR!$BE390,IF(F392="SKG",PR!$BF390,IF(F392="TAH",PR!$BG390,IF(F392="TAYLEK",PR!$BH390,IF(F392="TEMITA",PR!$BI390,IF(F392="THL",PR!$BJ390,IF(F392="UBASTIC",PR!$BK390,IF(F392="UNION",PR!$BL390,IF(F392="UNIQUE",PR!$BM390,IF(F392="VIXA",PR!$BN390,IF(F392="WWCV",PR!$BO390,IF(F392="ZOLON",PR!$BP390,"-"))))))))))))))))))))))))))))))))))))))))))))))))))))))))))))))))</f>
        <v>3000</v>
      </c>
      <c r="F392" s="102" t="str">
        <f>EV!L492</f>
        <v>EUMATT</v>
      </c>
      <c r="G392" s="108" t="str">
        <f>IF(H392="ALPHA",PR!$E390,IF(H392="ASSENE",PR!$F390,IF(H392="BIOFEM",PR!$G390,IF(H392="BIOMED",PR!$H390,IF(H392="CHI",PR!$I390,IF(H392="CLARION",PR!$J390,IF(H392="CODIX",PR!$K390,IF(H392="COSMADE",PR!$L390,IF(H392="SANCON",PR!$M390,IF(H392="DEVON",PR!$N390,IF(H392="DORTEMAG",PR!$O390,IF(H392="DGF",PR!$P390,IF(H392="DYNAMIC",PR!$Q390,IF(H392="EMZOR",PR!$R390,IF(H392="EUMATT",PR!$S390,IF(H392="FIDSON",PR!$T390,IF(H392="FCGLOBAL",PR!$U390,IF(H392="GENEITH",PR!$V390,IF(H392="GINOS",PR!$W390,IF(H392="GSK",PR!$X390,IF(H392="GLOBORG",PR!$Y390,IF(H392="GOODNEWS",PR!$Z390,IF(H392="GREENLIFE",PR!$AA390,IF(H392="HLINE",PR!$AB390,IF(H392="ROTECH",PR!$AC390,IF(H392="ISN",PR!$AD390,IF(H392="JAWA",PR!$AE390,IF(H392="LAYO",PR!$AF390,IF(H392="LEADWAY",PR!$AG390,IF(H392="LHV",PR!$AH390,IF(H392="MANOLA",PR!$AI390,IF(H392="MARCSON",PR!$AJ390,IF(H392="M&amp;B",PR!$AK390,IF(H392="MTRUST",PR!$AL390,IF(H392="MWORLD",PR!$AM390,IF(H392="MEGA",PR!$AN390,IF(H392="MICRONOVA",PR!$AO390,IF(H392="MFLASH",PR!$AP390,IF(H392="MORISON",PR!$AQ390,IF(H392="NEMEL",PR!$AR390,IF(H392="NHP",PR!$AS390,IF(H392="NHC",PR!$AT390,IF(H392="OLEAF",PR!$AU390,IF(H392="OCULUS",PR!$AV390,IF(H392="PACIFIC",PR!$AW390,IF(H392="PHAMATEX",PR!$AX390,IF(H392="PETHICS",PR!$AY390,IF(H392="PHILIPS",PR!$AZ390,IF(H392="RANBAXY",PR!$BA390,IF(H392="REALS",PR!$BB390,IF(H392="ROYAL",PR!$BC390,IF(H392="SAM",PR!$BD390,IF(H392="SEAGREEN",PR!$BE390,IF(H392="SKG",PR!$BF390,IF(H392="TAH",PR!$BG390,IF(H392="TAYLEK",PR!$BH390,IF(H392="TEMITA",PR!$BI390,IF(H392="THL",PR!$BJ390,IF(H392="UBASTIC",PR!$BK390,IF(H392="UNION",PR!$BL390,IF(H392="UNIQUE",PR!$BM390,IF(H392="VIXA",PR!$BN390,IF(H392="WWCV",PR!$BO390,IF(H392="ZOLON",PR!$BP390,"-"))))))))))))))))))))))))))))))))))))))))))))))))))))))))))))))))</f>
        <v>-</v>
      </c>
      <c r="H392" s="102">
        <f>EV!M492</f>
        <v>0</v>
      </c>
      <c r="I392" s="108" t="str">
        <f>IF(J392="ALPHA",PR!$E390,IF(J392="ASSENE",PR!$F390,IF(J392="BIOFEM",PR!$G390,IF(J392="BIOMED",PR!$H390,IF(J392="CHI",PR!$I390,IF(J392="CLARION",PR!$J390,IF(J392="CODIX",PR!$K390,IF(J392="COSMADE",PR!$L390,IF(J392="SANCON",PR!$M390,IF(J392="DEVON",PR!$N390,IF(J392="DORTEMAG",PR!$O390,IF(J392="DGF",PR!$P390,IF(J392="DYNAMIC",PR!$Q390,IF(J392="EMZOR",PR!$R390,IF(J392="EUMATT",PR!$S390,IF(J392="FIDSON",PR!$T390,IF(J392="FCGLOBAL",PR!$U390,IF(J392="GENEITH",PR!$V390,IF(J392="GINOS",PR!$W390,IF(J392="GSK",PR!$X390,IF(J392="GLOBORG",PR!$Y390,IF(J392="GOODNEWS",PR!$Z390,IF(J392="GREENLIFE",PR!$AA390,IF(J392="HLINE",PR!$AB390,IF(J392="ROTECH",PR!$AC390,IF(J392="ISN",PR!$AD390,IF(J392="JAWA",PR!$AE390,IF(J392="LAYO",PR!$AF390,IF(J392="LEADWAY",PR!$AG390,IF(J392="LHV",PR!$AH390,IF(J392="MANOLA",PR!$AI390,IF(J392="MARCSON",PR!$AJ390,IF(J392="M&amp;B",PR!$AK390,IF(J392="MTRUST",PR!$AL390,IF(J392="MWORLD",PR!$AM390,IF(J392="MEGA",PR!$AN390,IF(J392="MICRONOVA",PR!$AO390,IF(J392="MFLASH",PR!$AP390,IF(J392="MORISON",PR!$AQ390,IF(J392="NEMEL",PR!$AR390,IF(J392="NHP",PR!$AS390,IF(J392="NHC",PR!$AT390,IF(J392="OLEAF",PR!$AU390,IF(J392="OCULUS",PR!$AV390,IF(J392="PACIFIC",PR!$AW390,IF(J392="PHAMATEX",PR!$AX390,IF(J392="PETHICS",PR!$AY390,IF(J392="PHILIPS",PR!$AZ390,IF(J392="RANBAXY",PR!$BA390,IF(J392="REALS",PR!$BB390,IF(J392="ROYAL",PR!$BC390,IF(J392="SAM",PR!$BD390,IF(J392="SEAGREEN",PR!$BE390,IF(J392="SKG",PR!$BF390,IF(J392="TAH",PR!$BG390,IF(J392="TAYLEK",PR!$BH390,IF(J392="TEMITA",PR!$BI390,IF(J392="THL",PR!$BJ390,IF(J392="UBASTIC",PR!$BK390,IF(J392="UNION",PR!$BL390,IF(J392="UNIQUE",PR!$BM390,IF(J392="VIXA",PR!$BN390,IF(J392="WWCV",PR!$BO390,IF(J392="ZOLON",PR!$BP390,"-"))))))))))))))))))))))))))))))))))))))))))))))))))))))))))))))))</f>
        <v>-</v>
      </c>
      <c r="J392" s="102">
        <f>EV!N492</f>
        <v>0</v>
      </c>
      <c r="K392" s="433" t="s">
        <v>821</v>
      </c>
      <c r="L392" s="183">
        <f>IF(K392&gt;0,IF(K392="ALPHA",PR!$E390,IF(K392="ASSENE",PR!$F390,IF(K392="BIOFEM",PR!$G390,IF(K392="BIOMED",PR!$H390,IF(K392="CHI",PR!$I390,IF(K392="CLARION",PR!$J390,IF(K392="CODIX",PR!$K390,IF(K392="COSMADE",PR!$L390,IF(K392="SANCON",PR!$M390,IF(K392="DEVON",PR!$N390,IF(K392="DORTEMAG",PR!$O390,IF(K392="DGF",PR!$P390,IF(K392="DYNAMIC",PR!$Q390,IF(K392="EMZOR",PR!$R390,IF(K392="EUMATT",PR!$S390,IF(K392="FIDSON",PR!$T390,IF(K392="FCGLOBAL",PR!$U390,IF(K392="GENEITH",PR!$V390,IF(K392="GINOS",PR!$W390,IF(K392="GSK",PR!$X390,IF(K392="GLOBORG",PR!$Y390,IF(K392="GOODNEWS",PR!$Z390,IF(K392="GREENLIFE",PR!$AA390,IF(K392="HLINE",PR!$AB390,IF(K392="ROTECH",PR!$AC390,IF(K392="ISN",PR!$AD390,IF(K392="JAWA",PR!$AE390,IF(K392="LAYO",PR!$AF390,IF(K392="LEADWAY",PR!$AG390,IF(K392="LHV",PR!$AH390,IF(K392="MANOLA",PR!$AI390,IF(K392="MARCSON",PR!$AJ390,IF(K392="M&amp;B",PR!$AK390,IF(K392="MTRUST",PR!$AL390,IF(K392="MWORLD",PR!$AM390,IF(K392="MEGA",PR!$AN390,IF(K392="MICRONOVA",PR!$AO390,IF(K392="MFLASH",PR!$AP390,IF(K392="MORISON",PR!$AQ390,IF(K392="NEMEL",PR!$AR390,IF(K392="NHP",PR!$AS390,IF(K392="NHC",PR!$AT390,IF(K392="OLEAF",PR!$AU390,IF(K392="OCULUS",PR!$AV390,IF(K392="PACIFIC",PR!$AW390,IF(K392="PHAMATEX",PR!$AX390,IF(K392="PETHICS",PR!$AY390,IF(K392="PHILIPS",PR!$AZ390,IF(K392="RANBAXY",PR!$BA390,IF(K392="REALS",PR!$BB390,IF(K392="ROYAL",PR!$BC390,IF(K392="SAM",PR!$BD390,IF(K392="SEAGREEN",PR!$BE390,IF(K392="SKG",PR!$BF390,IF(K392="TAH",PR!$BG390,IF(K392="TAYLEK",PR!$BH390,IF(K392="TEMITA",PR!$BI390,IF(K392="THL",PR!$BJ390,IF(K392="UBASTIC",PR!$BK390,IF(K392="UNION",PR!$BL390,IF(K392="UNIQUE",PR!$BM390,IF(K392="VIXA",PR!$BN390,IF(K392="WWCV",PR!$BO390,IF(K392="ZOLON",PR!$BP390,"-")))))))))))))))))))))))))))))))))))))))))))))))))))))))))))))))))</f>
        <v>3000</v>
      </c>
    </row>
    <row r="393" spans="1:12" ht="18.75" x14ac:dyDescent="0.3">
      <c r="A393" s="430">
        <f>PR!A391</f>
        <v>357</v>
      </c>
      <c r="B393" s="15" t="str">
        <f>PR!B391</f>
        <v>CARBAMAZEPINE SYR</v>
      </c>
      <c r="C393" s="113" t="str">
        <f>PR!D391</f>
        <v>200ML</v>
      </c>
      <c r="D393" s="113">
        <f>PR!C391</f>
        <v>12</v>
      </c>
      <c r="E393" s="108">
        <f>IF(F393="ALPHA",PR!$E391,IF(F393="ASSENE",PR!$F391,IF(F393="BIOFEM",PR!$G391,IF(F393="BIOMED",PR!$H391,IF(F393="CHI",PR!$I391,IF(F393="CLARION",PR!$J391,IF(F393="CODIX",PR!$K391,IF(F393="COSMADE",PR!$L391,IF(F393="SANCON",PR!$M391,IF(F393="DEVON",PR!$N391,IF(F393="DORTEMAG",PR!$O391,IF(F393="DGF",PR!$P391,IF(F393="DYNAMIC",PR!$Q391,IF(F393="EMZOR",PR!$R391,IF(F393="EUMATT",PR!$S391,IF(F393="FIDSON",PR!$T391,IF(F393="FCGLOBAL",PR!$U391,IF(F393="GENEITH",PR!$V391,IF(F393="GINOS",PR!$W391,IF(F393="GSK",PR!$X391,IF(F393="GLOBORG",PR!$Y391,IF(F393="GOODNEWS",PR!$Z391,IF(F393="GREENLIFE",PR!$AA391,IF(F393="HLINE",PR!$AB391,IF(F393="ROTECH",PR!$AC391,IF(F393="ISN",PR!$AD391,IF(F393="JAWA",PR!$AE391,IF(F393="LAYO",PR!$AF391,IF(F393="LEADWAY",PR!$AG391,IF(F393="LHV",PR!$AH391,IF(F393="MANOLA",PR!$AI391,IF(F393="MARCSON",PR!$AJ391,IF(F393="M&amp;B",PR!$AK391,IF(F393="MTRUST",PR!$AL391,IF(F393="MWORLD",PR!$AM391,IF(F393="MEGA",PR!$AN391,IF(F393="MICRONOVA",PR!$AO391,IF(F393="MFLASH",PR!$AP391,IF(F393="MORISON",PR!$AQ391,IF(F393="NEMEL",PR!$AR391,IF(F393="NHP",PR!$AS391,IF(F393="NHC",PR!$AT391,IF(F393="OLEAF",PR!$AU391,IF(F393="OCULUS",PR!$AV391,IF(F393="PACIFIC",PR!$AW391,IF(F393="PHAMATEX",PR!$AX391,IF(F393="PETHICS",PR!$AY391,IF(F393="PHILIPS",PR!$AZ391,IF(F393="RANBAXY",PR!$BA391,IF(F393="REALS",PR!$BB391,IF(F393="ROYAL",PR!$BC391,IF(F393="SAM",PR!$BD391,IF(F393="SEAGREEN",PR!$BE391,IF(F393="SKG",PR!$BF391,IF(F393="TAH",PR!$BG391,IF(F393="TAYLEK",PR!$BH391,IF(F393="TEMITA",PR!$BI391,IF(F393="THL",PR!$BJ391,IF(F393="UBASTIC",PR!$BK391,IF(F393="UNION",PR!$BL391,IF(F393="UNIQUE",PR!$BM391,IF(F393="VIXA",PR!$BN391,IF(F393="WWCV",PR!$BO391,IF(F393="ZOLON",PR!$BP391,"-"))))))))))))))))))))))))))))))))))))))))))))))))))))))))))))))))</f>
        <v>2500</v>
      </c>
      <c r="F393" s="102" t="str">
        <f>EV!L493</f>
        <v>EUMATT</v>
      </c>
      <c r="G393" s="108">
        <f>IF(H393="ALPHA",PR!$E391,IF(H393="ASSENE",PR!$F391,IF(H393="BIOFEM",PR!$G391,IF(H393="BIOMED",PR!$H391,IF(H393="CHI",PR!$I391,IF(H393="CLARION",PR!$J391,IF(H393="CODIX",PR!$K391,IF(H393="COSMADE",PR!$L391,IF(H393="SANCON",PR!$M391,IF(H393="DEVON",PR!$N391,IF(H393="DORTEMAG",PR!$O391,IF(H393="DGF",PR!$P391,IF(H393="DYNAMIC",PR!$Q391,IF(H393="EMZOR",PR!$R391,IF(H393="EUMATT",PR!$S391,IF(H393="FIDSON",PR!$T391,IF(H393="FCGLOBAL",PR!$U391,IF(H393="GENEITH",PR!$V391,IF(H393="GINOS",PR!$W391,IF(H393="GSK",PR!$X391,IF(H393="GLOBORG",PR!$Y391,IF(H393="GOODNEWS",PR!$Z391,IF(H393="GREENLIFE",PR!$AA391,IF(H393="HLINE",PR!$AB391,IF(H393="ROTECH",PR!$AC391,IF(H393="ISN",PR!$AD391,IF(H393="JAWA",PR!$AE391,IF(H393="LAYO",PR!$AF391,IF(H393="LEADWAY",PR!$AG391,IF(H393="LHV",PR!$AH391,IF(H393="MANOLA",PR!$AI391,IF(H393="MARCSON",PR!$AJ391,IF(H393="M&amp;B",PR!$AK391,IF(H393="MTRUST",PR!$AL391,IF(H393="MWORLD",PR!$AM391,IF(H393="MEGA",PR!$AN391,IF(H393="MICRONOVA",PR!$AO391,IF(H393="MFLASH",PR!$AP391,IF(H393="MORISON",PR!$AQ391,IF(H393="NEMEL",PR!$AR391,IF(H393="NHP",PR!$AS391,IF(H393="NHC",PR!$AT391,IF(H393="OLEAF",PR!$AU391,IF(H393="OCULUS",PR!$AV391,IF(H393="PACIFIC",PR!$AW391,IF(H393="PHAMATEX",PR!$AX391,IF(H393="PETHICS",PR!$AY391,IF(H393="PHILIPS",PR!$AZ391,IF(H393="RANBAXY",PR!$BA391,IF(H393="REALS",PR!$BB391,IF(H393="ROYAL",PR!$BC391,IF(H393="SAM",PR!$BD391,IF(H393="SEAGREEN",PR!$BE391,IF(H393="SKG",PR!$BF391,IF(H393="TAH",PR!$BG391,IF(H393="TAYLEK",PR!$BH391,IF(H393="TEMITA",PR!$BI391,IF(H393="THL",PR!$BJ391,IF(H393="UBASTIC",PR!$BK391,IF(H393="UNION",PR!$BL391,IF(H393="UNIQUE",PR!$BM391,IF(H393="VIXA",PR!$BN391,IF(H393="WWCV",PR!$BO391,IF(H393="ZOLON",PR!$BP391,"-"))))))))))))))))))))))))))))))))))))))))))))))))))))))))))))))))</f>
        <v>2743</v>
      </c>
      <c r="H393" s="102" t="str">
        <f>EV!M493</f>
        <v>WWCV</v>
      </c>
      <c r="I393" s="108" t="str">
        <f>IF(J393="ALPHA",PR!$E391,IF(J393="ASSENE",PR!$F391,IF(J393="BIOFEM",PR!$G391,IF(J393="BIOMED",PR!$H391,IF(J393="CHI",PR!$I391,IF(J393="CLARION",PR!$J391,IF(J393="CODIX",PR!$K391,IF(J393="COSMADE",PR!$L391,IF(J393="SANCON",PR!$M391,IF(J393="DEVON",PR!$N391,IF(J393="DORTEMAG",PR!$O391,IF(J393="DGF",PR!$P391,IF(J393="DYNAMIC",PR!$Q391,IF(J393="EMZOR",PR!$R391,IF(J393="EUMATT",PR!$S391,IF(J393="FIDSON",PR!$T391,IF(J393="FCGLOBAL",PR!$U391,IF(J393="GENEITH",PR!$V391,IF(J393="GINOS",PR!$W391,IF(J393="GSK",PR!$X391,IF(J393="GLOBORG",PR!$Y391,IF(J393="GOODNEWS",PR!$Z391,IF(J393="GREENLIFE",PR!$AA391,IF(J393="HLINE",PR!$AB391,IF(J393="ROTECH",PR!$AC391,IF(J393="ISN",PR!$AD391,IF(J393="JAWA",PR!$AE391,IF(J393="LAYO",PR!$AF391,IF(J393="LEADWAY",PR!$AG391,IF(J393="LHV",PR!$AH391,IF(J393="MANOLA",PR!$AI391,IF(J393="MARCSON",PR!$AJ391,IF(J393="M&amp;B",PR!$AK391,IF(J393="MTRUST",PR!$AL391,IF(J393="MWORLD",PR!$AM391,IF(J393="MEGA",PR!$AN391,IF(J393="MICRONOVA",PR!$AO391,IF(J393="MFLASH",PR!$AP391,IF(J393="MORISON",PR!$AQ391,IF(J393="NEMEL",PR!$AR391,IF(J393="NHP",PR!$AS391,IF(J393="NHC",PR!$AT391,IF(J393="OLEAF",PR!$AU391,IF(J393="OCULUS",PR!$AV391,IF(J393="PACIFIC",PR!$AW391,IF(J393="PHAMATEX",PR!$AX391,IF(J393="PETHICS",PR!$AY391,IF(J393="PHILIPS",PR!$AZ391,IF(J393="RANBAXY",PR!$BA391,IF(J393="REALS",PR!$BB391,IF(J393="ROYAL",PR!$BC391,IF(J393="SAM",PR!$BD391,IF(J393="SEAGREEN",PR!$BE391,IF(J393="SKG",PR!$BF391,IF(J393="TAH",PR!$BG391,IF(J393="TAYLEK",PR!$BH391,IF(J393="TEMITA",PR!$BI391,IF(J393="THL",PR!$BJ391,IF(J393="UBASTIC",PR!$BK391,IF(J393="UNION",PR!$BL391,IF(J393="UNIQUE",PR!$BM391,IF(J393="VIXA",PR!$BN391,IF(J393="WWCV",PR!$BO391,IF(J393="ZOLON",PR!$BP391,"-"))))))))))))))))))))))))))))))))))))))))))))))))))))))))))))))))</f>
        <v>-</v>
      </c>
      <c r="J393" s="102">
        <f>EV!N493</f>
        <v>0</v>
      </c>
      <c r="K393" s="433" t="s">
        <v>821</v>
      </c>
      <c r="L393" s="183">
        <f>IF(K393&gt;0,IF(K393="ALPHA",PR!$E391,IF(K393="ASSENE",PR!$F391,IF(K393="BIOFEM",PR!$G391,IF(K393="BIOMED",PR!$H391,IF(K393="CHI",PR!$I391,IF(K393="CLARION",PR!$J391,IF(K393="CODIX",PR!$K391,IF(K393="COSMADE",PR!$L391,IF(K393="SANCON",PR!$M391,IF(K393="DEVON",PR!$N391,IF(K393="DORTEMAG",PR!$O391,IF(K393="DGF",PR!$P391,IF(K393="DYNAMIC",PR!$Q391,IF(K393="EMZOR",PR!$R391,IF(K393="EUMATT",PR!$S391,IF(K393="FIDSON",PR!$T391,IF(K393="FCGLOBAL",PR!$U391,IF(K393="GENEITH",PR!$V391,IF(K393="GINOS",PR!$W391,IF(K393="GSK",PR!$X391,IF(K393="GLOBORG",PR!$Y391,IF(K393="GOODNEWS",PR!$Z391,IF(K393="GREENLIFE",PR!$AA391,IF(K393="HLINE",PR!$AB391,IF(K393="ROTECH",PR!$AC391,IF(K393="ISN",PR!$AD391,IF(K393="JAWA",PR!$AE391,IF(K393="LAYO",PR!$AF391,IF(K393="LEADWAY",PR!$AG391,IF(K393="LHV",PR!$AH391,IF(K393="MANOLA",PR!$AI391,IF(K393="MARCSON",PR!$AJ391,IF(K393="M&amp;B",PR!$AK391,IF(K393="MTRUST",PR!$AL391,IF(K393="MWORLD",PR!$AM391,IF(K393="MEGA",PR!$AN391,IF(K393="MICRONOVA",PR!$AO391,IF(K393="MFLASH",PR!$AP391,IF(K393="MORISON",PR!$AQ391,IF(K393="NEMEL",PR!$AR391,IF(K393="NHP",PR!$AS391,IF(K393="NHC",PR!$AT391,IF(K393="OLEAF",PR!$AU391,IF(K393="OCULUS",PR!$AV391,IF(K393="PACIFIC",PR!$AW391,IF(K393="PHAMATEX",PR!$AX391,IF(K393="PETHICS",PR!$AY391,IF(K393="PHILIPS",PR!$AZ391,IF(K393="RANBAXY",PR!$BA391,IF(K393="REALS",PR!$BB391,IF(K393="ROYAL",PR!$BC391,IF(K393="SAM",PR!$BD391,IF(K393="SEAGREEN",PR!$BE391,IF(K393="SKG",PR!$BF391,IF(K393="TAH",PR!$BG391,IF(K393="TAYLEK",PR!$BH391,IF(K393="TEMITA",PR!$BI391,IF(K393="THL",PR!$BJ391,IF(K393="UBASTIC",PR!$BK391,IF(K393="UNION",PR!$BL391,IF(K393="UNIQUE",PR!$BM391,IF(K393="VIXA",PR!$BN391,IF(K393="WWCV",PR!$BO391,IF(K393="ZOLON",PR!$BP391,"-")))))))))))))))))))))))))))))))))))))))))))))))))))))))))))))))))</f>
        <v>2500</v>
      </c>
    </row>
    <row r="394" spans="1:12" ht="18.75" x14ac:dyDescent="0.3">
      <c r="A394" s="430">
        <f>PR!A392</f>
        <v>358</v>
      </c>
      <c r="B394" s="15" t="str">
        <f>PR!B392</f>
        <v>CARBIDOPA+L-DOPA</v>
      </c>
      <c r="C394" s="113">
        <f>PR!D392</f>
        <v>50</v>
      </c>
      <c r="D394" s="113">
        <f>PR!C392</f>
        <v>60</v>
      </c>
      <c r="E394" s="108">
        <f>IF(F394="ALPHA",PR!$E392,IF(F394="ASSENE",PR!$F392,IF(F394="BIOFEM",PR!$G392,IF(F394="BIOMED",PR!$H392,IF(F394="CHI",PR!$I392,IF(F394="CLARION",PR!$J392,IF(F394="CODIX",PR!$K392,IF(F394="COSMADE",PR!$L392,IF(F394="SANCON",PR!$M392,IF(F394="DEVON",PR!$N392,IF(F394="DORTEMAG",PR!$O392,IF(F394="DGF",PR!$P392,IF(F394="DYNAMIC",PR!$Q392,IF(F394="EMZOR",PR!$R392,IF(F394="EUMATT",PR!$S392,IF(F394="FIDSON",PR!$T392,IF(F394="FCGLOBAL",PR!$U392,IF(F394="GENEITH",PR!$V392,IF(F394="GINOS",PR!$W392,IF(F394="GSK",PR!$X392,IF(F394="GLOBORG",PR!$Y392,IF(F394="GOODNEWS",PR!$Z392,IF(F394="GREENLIFE",PR!$AA392,IF(F394="HLINE",PR!$AB392,IF(F394="ROTECH",PR!$AC392,IF(F394="ISN",PR!$AD392,IF(F394="JAWA",PR!$AE392,IF(F394="LAYO",PR!$AF392,IF(F394="LEADWAY",PR!$AG392,IF(F394="LHV",PR!$AH392,IF(F394="MANOLA",PR!$AI392,IF(F394="MARCSON",PR!$AJ392,IF(F394="M&amp;B",PR!$AK392,IF(F394="MTRUST",PR!$AL392,IF(F394="MWORLD",PR!$AM392,IF(F394="MEGA",PR!$AN392,IF(F394="MICRONOVA",PR!$AO392,IF(F394="MFLASH",PR!$AP392,IF(F394="MORISON",PR!$AQ392,IF(F394="NEMEL",PR!$AR392,IF(F394="NHP",PR!$AS392,IF(F394="NHC",PR!$AT392,IF(F394="OLEAF",PR!$AU392,IF(F394="OCULUS",PR!$AV392,IF(F394="PACIFIC",PR!$AW392,IF(F394="PHAMATEX",PR!$AX392,IF(F394="PETHICS",PR!$AY392,IF(F394="PHILIPS",PR!$AZ392,IF(F394="RANBAXY",PR!$BA392,IF(F394="REALS",PR!$BB392,IF(F394="ROYAL",PR!$BC392,IF(F394="SAM",PR!$BD392,IF(F394="SEAGREEN",PR!$BE392,IF(F394="SKG",PR!$BF392,IF(F394="TAH",PR!$BG392,IF(F394="TAYLEK",PR!$BH392,IF(F394="TEMITA",PR!$BI392,IF(F394="THL",PR!$BJ392,IF(F394="UBASTIC",PR!$BK392,IF(F394="UNION",PR!$BL392,IF(F394="UNIQUE",PR!$BM392,IF(F394="VIXA",PR!$BN392,IF(F394="WWCV",PR!$BO392,IF(F394="ZOLON",PR!$BP392,"-"))))))))))))))))))))))))))))))))))))))))))))))))))))))))))))))))</f>
        <v>6000</v>
      </c>
      <c r="F394" s="102" t="str">
        <f>EV!L494</f>
        <v>EUMATT</v>
      </c>
      <c r="G394" s="108" t="str">
        <f>IF(H394="ALPHA",PR!$E392,IF(H394="ASSENE",PR!$F392,IF(H394="BIOFEM",PR!$G392,IF(H394="BIOMED",PR!$H392,IF(H394="CHI",PR!$I392,IF(H394="CLARION",PR!$J392,IF(H394="CODIX",PR!$K392,IF(H394="COSMADE",PR!$L392,IF(H394="SANCON",PR!$M392,IF(H394="DEVON",PR!$N392,IF(H394="DORTEMAG",PR!$O392,IF(H394="DGF",PR!$P392,IF(H394="DYNAMIC",PR!$Q392,IF(H394="EMZOR",PR!$R392,IF(H394="EUMATT",PR!$S392,IF(H394="FIDSON",PR!$T392,IF(H394="FCGLOBAL",PR!$U392,IF(H394="GENEITH",PR!$V392,IF(H394="GINOS",PR!$W392,IF(H394="GSK",PR!$X392,IF(H394="GLOBORG",PR!$Y392,IF(H394="GOODNEWS",PR!$Z392,IF(H394="GREENLIFE",PR!$AA392,IF(H394="HLINE",PR!$AB392,IF(H394="ROTECH",PR!$AC392,IF(H394="ISN",PR!$AD392,IF(H394="JAWA",PR!$AE392,IF(H394="LAYO",PR!$AF392,IF(H394="LEADWAY",PR!$AG392,IF(H394="LHV",PR!$AH392,IF(H394="MANOLA",PR!$AI392,IF(H394="MARCSON",PR!$AJ392,IF(H394="M&amp;B",PR!$AK392,IF(H394="MTRUST",PR!$AL392,IF(H394="MWORLD",PR!$AM392,IF(H394="MEGA",PR!$AN392,IF(H394="MICRONOVA",PR!$AO392,IF(H394="MFLASH",PR!$AP392,IF(H394="MORISON",PR!$AQ392,IF(H394="NEMEL",PR!$AR392,IF(H394="NHP",PR!$AS392,IF(H394="NHC",PR!$AT392,IF(H394="OLEAF",PR!$AU392,IF(H394="OCULUS",PR!$AV392,IF(H394="PACIFIC",PR!$AW392,IF(H394="PHAMATEX",PR!$AX392,IF(H394="PETHICS",PR!$AY392,IF(H394="PHILIPS",PR!$AZ392,IF(H394="RANBAXY",PR!$BA392,IF(H394="REALS",PR!$BB392,IF(H394="ROYAL",PR!$BC392,IF(H394="SAM",PR!$BD392,IF(H394="SEAGREEN",PR!$BE392,IF(H394="SKG",PR!$BF392,IF(H394="TAH",PR!$BG392,IF(H394="TAYLEK",PR!$BH392,IF(H394="TEMITA",PR!$BI392,IF(H394="THL",PR!$BJ392,IF(H394="UBASTIC",PR!$BK392,IF(H394="UNION",PR!$BL392,IF(H394="UNIQUE",PR!$BM392,IF(H394="VIXA",PR!$BN392,IF(H394="WWCV",PR!$BO392,IF(H394="ZOLON",PR!$BP392,"-"))))))))))))))))))))))))))))))))))))))))))))))))))))))))))))))))</f>
        <v>-</v>
      </c>
      <c r="H394" s="102">
        <f>EV!M494</f>
        <v>0</v>
      </c>
      <c r="I394" s="108" t="str">
        <f>IF(J394="ALPHA",PR!$E392,IF(J394="ASSENE",PR!$F392,IF(J394="BIOFEM",PR!$G392,IF(J394="BIOMED",PR!$H392,IF(J394="CHI",PR!$I392,IF(J394="CLARION",PR!$J392,IF(J394="CODIX",PR!$K392,IF(J394="COSMADE",PR!$L392,IF(J394="SANCON",PR!$M392,IF(J394="DEVON",PR!$N392,IF(J394="DORTEMAG",PR!$O392,IF(J394="DGF",PR!$P392,IF(J394="DYNAMIC",PR!$Q392,IF(J394="EMZOR",PR!$R392,IF(J394="EUMATT",PR!$S392,IF(J394="FIDSON",PR!$T392,IF(J394="FCGLOBAL",PR!$U392,IF(J394="GENEITH",PR!$V392,IF(J394="GINOS",PR!$W392,IF(J394="GSK",PR!$X392,IF(J394="GLOBORG",PR!$Y392,IF(J394="GOODNEWS",PR!$Z392,IF(J394="GREENLIFE",PR!$AA392,IF(J394="HLINE",PR!$AB392,IF(J394="ROTECH",PR!$AC392,IF(J394="ISN",PR!$AD392,IF(J394="JAWA",PR!$AE392,IF(J394="LAYO",PR!$AF392,IF(J394="LEADWAY",PR!$AG392,IF(J394="LHV",PR!$AH392,IF(J394="MANOLA",PR!$AI392,IF(J394="MARCSON",PR!$AJ392,IF(J394="M&amp;B",PR!$AK392,IF(J394="MTRUST",PR!$AL392,IF(J394="MWORLD",PR!$AM392,IF(J394="MEGA",PR!$AN392,IF(J394="MICRONOVA",PR!$AO392,IF(J394="MFLASH",PR!$AP392,IF(J394="MORISON",PR!$AQ392,IF(J394="NEMEL",PR!$AR392,IF(J394="NHP",PR!$AS392,IF(J394="NHC",PR!$AT392,IF(J394="OLEAF",PR!$AU392,IF(J394="OCULUS",PR!$AV392,IF(J394="PACIFIC",PR!$AW392,IF(J394="PHAMATEX",PR!$AX392,IF(J394="PETHICS",PR!$AY392,IF(J394="PHILIPS",PR!$AZ392,IF(J394="RANBAXY",PR!$BA392,IF(J394="REALS",PR!$BB392,IF(J394="ROYAL",PR!$BC392,IF(J394="SAM",PR!$BD392,IF(J394="SEAGREEN",PR!$BE392,IF(J394="SKG",PR!$BF392,IF(J394="TAH",PR!$BG392,IF(J394="TAYLEK",PR!$BH392,IF(J394="TEMITA",PR!$BI392,IF(J394="THL",PR!$BJ392,IF(J394="UBASTIC",PR!$BK392,IF(J394="UNION",PR!$BL392,IF(J394="UNIQUE",PR!$BM392,IF(J394="VIXA",PR!$BN392,IF(J394="WWCV",PR!$BO392,IF(J394="ZOLON",PR!$BP392,"-"))))))))))))))))))))))))))))))))))))))))))))))))))))))))))))))))</f>
        <v>-</v>
      </c>
      <c r="J394" s="102">
        <f>EV!N494</f>
        <v>0</v>
      </c>
      <c r="K394" s="433" t="s">
        <v>821</v>
      </c>
      <c r="L394" s="183">
        <f>IF(K394&gt;0,IF(K394="ALPHA",PR!$E392,IF(K394="ASSENE",PR!$F392,IF(K394="BIOFEM",PR!$G392,IF(K394="BIOMED",PR!$H392,IF(K394="CHI",PR!$I392,IF(K394="CLARION",PR!$J392,IF(K394="CODIX",PR!$K392,IF(K394="COSMADE",PR!$L392,IF(K394="SANCON",PR!$M392,IF(K394="DEVON",PR!$N392,IF(K394="DORTEMAG",PR!$O392,IF(K394="DGF",PR!$P392,IF(K394="DYNAMIC",PR!$Q392,IF(K394="EMZOR",PR!$R392,IF(K394="EUMATT",PR!$S392,IF(K394="FIDSON",PR!$T392,IF(K394="FCGLOBAL",PR!$U392,IF(K394="GENEITH",PR!$V392,IF(K394="GINOS",PR!$W392,IF(K394="GSK",PR!$X392,IF(K394="GLOBORG",PR!$Y392,IF(K394="GOODNEWS",PR!$Z392,IF(K394="GREENLIFE",PR!$AA392,IF(K394="HLINE",PR!$AB392,IF(K394="ROTECH",PR!$AC392,IF(K394="ISN",PR!$AD392,IF(K394="JAWA",PR!$AE392,IF(K394="LAYO",PR!$AF392,IF(K394="LEADWAY",PR!$AG392,IF(K394="LHV",PR!$AH392,IF(K394="MANOLA",PR!$AI392,IF(K394="MARCSON",PR!$AJ392,IF(K394="M&amp;B",PR!$AK392,IF(K394="MTRUST",PR!$AL392,IF(K394="MWORLD",PR!$AM392,IF(K394="MEGA",PR!$AN392,IF(K394="MICRONOVA",PR!$AO392,IF(K394="MFLASH",PR!$AP392,IF(K394="MORISON",PR!$AQ392,IF(K394="NEMEL",PR!$AR392,IF(K394="NHP",PR!$AS392,IF(K394="NHC",PR!$AT392,IF(K394="OLEAF",PR!$AU392,IF(K394="OCULUS",PR!$AV392,IF(K394="PACIFIC",PR!$AW392,IF(K394="PHAMATEX",PR!$AX392,IF(K394="PETHICS",PR!$AY392,IF(K394="PHILIPS",PR!$AZ392,IF(K394="RANBAXY",PR!$BA392,IF(K394="REALS",PR!$BB392,IF(K394="ROYAL",PR!$BC392,IF(K394="SAM",PR!$BD392,IF(K394="SEAGREEN",PR!$BE392,IF(K394="SKG",PR!$BF392,IF(K394="TAH",PR!$BG392,IF(K394="TAYLEK",PR!$BH392,IF(K394="TEMITA",PR!$BI392,IF(K394="THL",PR!$BJ392,IF(K394="UBASTIC",PR!$BK392,IF(K394="UNION",PR!$BL392,IF(K394="UNIQUE",PR!$BM392,IF(K394="VIXA",PR!$BN392,IF(K394="WWCV",PR!$BO392,IF(K394="ZOLON",PR!$BP392,"-")))))))))))))))))))))))))))))))))))))))))))))))))))))))))))))))))</f>
        <v>6000</v>
      </c>
    </row>
    <row r="395" spans="1:12" ht="18.75" x14ac:dyDescent="0.3">
      <c r="A395" s="430">
        <f>PR!A393</f>
        <v>359</v>
      </c>
      <c r="B395" s="15" t="str">
        <f>PR!B393</f>
        <v>CHLORPROMAZINE 50MG INJ</v>
      </c>
      <c r="C395" s="113">
        <f>PR!D393</f>
        <v>100</v>
      </c>
      <c r="D395" s="113">
        <f>PR!C393</f>
        <v>10</v>
      </c>
      <c r="E395" s="108" t="str">
        <f>IF(F395="ALPHA",PR!$E393,IF(F395="ASSENE",PR!$F393,IF(F395="BIOFEM",PR!$G393,IF(F395="BIOMED",PR!$H393,IF(F395="CHI",PR!$I393,IF(F395="CLARION",PR!$J393,IF(F395="CODIX",PR!$K393,IF(F395="COSMADE",PR!$L393,IF(F395="SANCON",PR!$M393,IF(F395="DEVON",PR!$N393,IF(F395="DORTEMAG",PR!$O393,IF(F395="DGF",PR!$P393,IF(F395="DYNAMIC",PR!$Q393,IF(F395="EMZOR",PR!$R393,IF(F395="EUMATT",PR!$S393,IF(F395="FIDSON",PR!$T393,IF(F395="FCGLOBAL",PR!$U393,IF(F395="GENEITH",PR!$V393,IF(F395="GINOS",PR!$W393,IF(F395="GSK",PR!$X393,IF(F395="GLOBORG",PR!$Y393,IF(F395="GOODNEWS",PR!$Z393,IF(F395="GREENLIFE",PR!$AA393,IF(F395="HLINE",PR!$AB393,IF(F395="ROTECH",PR!$AC393,IF(F395="ISN",PR!$AD393,IF(F395="JAWA",PR!$AE393,IF(F395="LAYO",PR!$AF393,IF(F395="LEADWAY",PR!$AG393,IF(F395="LHV",PR!$AH393,IF(F395="MANOLA",PR!$AI393,IF(F395="MARCSON",PR!$AJ393,IF(F395="M&amp;B",PR!$AK393,IF(F395="MTRUST",PR!$AL393,IF(F395="MWORLD",PR!$AM393,IF(F395="MEGA",PR!$AN393,IF(F395="MICRONOVA",PR!$AO393,IF(F395="MFLASH",PR!$AP393,IF(F395="MORISON",PR!$AQ393,IF(F395="NEMEL",PR!$AR393,IF(F395="NHP",PR!$AS393,IF(F395="NHC",PR!$AT393,IF(F395="OLEAF",PR!$AU393,IF(F395="OCULUS",PR!$AV393,IF(F395="PACIFIC",PR!$AW393,IF(F395="PHAMATEX",PR!$AX393,IF(F395="PETHICS",PR!$AY393,IF(F395="PHILIPS",PR!$AZ393,IF(F395="RANBAXY",PR!$BA393,IF(F395="REALS",PR!$BB393,IF(F395="ROYAL",PR!$BC393,IF(F395="SAM",PR!$BD393,IF(F395="SEAGREEN",PR!$BE393,IF(F395="SKG",PR!$BF393,IF(F395="TAH",PR!$BG393,IF(F395="TAYLEK",PR!$BH393,IF(F395="TEMITA",PR!$BI393,IF(F395="THL",PR!$BJ393,IF(F395="UBASTIC",PR!$BK393,IF(F395="UNION",PR!$BL393,IF(F395="UNIQUE",PR!$BM393,IF(F395="VIXA",PR!$BN393,IF(F395="WWCV",PR!$BO393,IF(F395="ZOLON",PR!$BP393,"-"))))))))))))))))))))))))))))))))))))))))))))))))))))))))))))))))</f>
        <v>-</v>
      </c>
      <c r="F395" s="102">
        <f>EV!L495</f>
        <v>0</v>
      </c>
      <c r="G395" s="108" t="str">
        <f>IF(H395="ALPHA",PR!$E393,IF(H395="ASSENE",PR!$F393,IF(H395="BIOFEM",PR!$G393,IF(H395="BIOMED",PR!$H393,IF(H395="CHI",PR!$I393,IF(H395="CLARION",PR!$J393,IF(H395="CODIX",PR!$K393,IF(H395="COSMADE",PR!$L393,IF(H395="SANCON",PR!$M393,IF(H395="DEVON",PR!$N393,IF(H395="DORTEMAG",PR!$O393,IF(H395="DGF",PR!$P393,IF(H395="DYNAMIC",PR!$Q393,IF(H395="EMZOR",PR!$R393,IF(H395="EUMATT",PR!$S393,IF(H395="FIDSON",PR!$T393,IF(H395="FCGLOBAL",PR!$U393,IF(H395="GENEITH",PR!$V393,IF(H395="GINOS",PR!$W393,IF(H395="GSK",PR!$X393,IF(H395="GLOBORG",PR!$Y393,IF(H395="GOODNEWS",PR!$Z393,IF(H395="GREENLIFE",PR!$AA393,IF(H395="HLINE",PR!$AB393,IF(H395="ROTECH",PR!$AC393,IF(H395="ISN",PR!$AD393,IF(H395="JAWA",PR!$AE393,IF(H395="LAYO",PR!$AF393,IF(H395="LEADWAY",PR!$AG393,IF(H395="LHV",PR!$AH393,IF(H395="MANOLA",PR!$AI393,IF(H395="MARCSON",PR!$AJ393,IF(H395="M&amp;B",PR!$AK393,IF(H395="MTRUST",PR!$AL393,IF(H395="MWORLD",PR!$AM393,IF(H395="MEGA",PR!$AN393,IF(H395="MICRONOVA",PR!$AO393,IF(H395="MFLASH",PR!$AP393,IF(H395="MORISON",PR!$AQ393,IF(H395="NEMEL",PR!$AR393,IF(H395="NHP",PR!$AS393,IF(H395="NHC",PR!$AT393,IF(H395="OLEAF",PR!$AU393,IF(H395="OCULUS",PR!$AV393,IF(H395="PACIFIC",PR!$AW393,IF(H395="PHAMATEX",PR!$AX393,IF(H395="PETHICS",PR!$AY393,IF(H395="PHILIPS",PR!$AZ393,IF(H395="RANBAXY",PR!$BA393,IF(H395="REALS",PR!$BB393,IF(H395="ROYAL",PR!$BC393,IF(H395="SAM",PR!$BD393,IF(H395="SEAGREEN",PR!$BE393,IF(H395="SKG",PR!$BF393,IF(H395="TAH",PR!$BG393,IF(H395="TAYLEK",PR!$BH393,IF(H395="TEMITA",PR!$BI393,IF(H395="THL",PR!$BJ393,IF(H395="UBASTIC",PR!$BK393,IF(H395="UNION",PR!$BL393,IF(H395="UNIQUE",PR!$BM393,IF(H395="VIXA",PR!$BN393,IF(H395="WWCV",PR!$BO393,IF(H395="ZOLON",PR!$BP393,"-"))))))))))))))))))))))))))))))))))))))))))))))))))))))))))))))))</f>
        <v>-</v>
      </c>
      <c r="H395" s="102">
        <f>EV!M495</f>
        <v>0</v>
      </c>
      <c r="I395" s="108" t="str">
        <f>IF(J395="ALPHA",PR!$E393,IF(J395="ASSENE",PR!$F393,IF(J395="BIOFEM",PR!$G393,IF(J395="BIOMED",PR!$H393,IF(J395="CHI",PR!$I393,IF(J395="CLARION",PR!$J393,IF(J395="CODIX",PR!$K393,IF(J395="COSMADE",PR!$L393,IF(J395="SANCON",PR!$M393,IF(J395="DEVON",PR!$N393,IF(J395="DORTEMAG",PR!$O393,IF(J395="DGF",PR!$P393,IF(J395="DYNAMIC",PR!$Q393,IF(J395="EMZOR",PR!$R393,IF(J395="EUMATT",PR!$S393,IF(J395="FIDSON",PR!$T393,IF(J395="FCGLOBAL",PR!$U393,IF(J395="GENEITH",PR!$V393,IF(J395="GINOS",PR!$W393,IF(J395="GSK",PR!$X393,IF(J395="GLOBORG",PR!$Y393,IF(J395="GOODNEWS",PR!$Z393,IF(J395="GREENLIFE",PR!$AA393,IF(J395="HLINE",PR!$AB393,IF(J395="ROTECH",PR!$AC393,IF(J395="ISN",PR!$AD393,IF(J395="JAWA",PR!$AE393,IF(J395="LAYO",PR!$AF393,IF(J395="LEADWAY",PR!$AG393,IF(J395="LHV",PR!$AH393,IF(J395="MANOLA",PR!$AI393,IF(J395="MARCSON",PR!$AJ393,IF(J395="M&amp;B",PR!$AK393,IF(J395="MTRUST",PR!$AL393,IF(J395="MWORLD",PR!$AM393,IF(J395="MEGA",PR!$AN393,IF(J395="MICRONOVA",PR!$AO393,IF(J395="MFLASH",PR!$AP393,IF(J395="MORISON",PR!$AQ393,IF(J395="NEMEL",PR!$AR393,IF(J395="NHP",PR!$AS393,IF(J395="NHC",PR!$AT393,IF(J395="OLEAF",PR!$AU393,IF(J395="OCULUS",PR!$AV393,IF(J395="PACIFIC",PR!$AW393,IF(J395="PHAMATEX",PR!$AX393,IF(J395="PETHICS",PR!$AY393,IF(J395="PHILIPS",PR!$AZ393,IF(J395="RANBAXY",PR!$BA393,IF(J395="REALS",PR!$BB393,IF(J395="ROYAL",PR!$BC393,IF(J395="SAM",PR!$BD393,IF(J395="SEAGREEN",PR!$BE393,IF(J395="SKG",PR!$BF393,IF(J395="TAH",PR!$BG393,IF(J395="TAYLEK",PR!$BH393,IF(J395="TEMITA",PR!$BI393,IF(J395="THL",PR!$BJ393,IF(J395="UBASTIC",PR!$BK393,IF(J395="UNION",PR!$BL393,IF(J395="UNIQUE",PR!$BM393,IF(J395="VIXA",PR!$BN393,IF(J395="WWCV",PR!$BO393,IF(J395="ZOLON",PR!$BP393,"-"))))))))))))))))))))))))))))))))))))))))))))))))))))))))))))))))</f>
        <v>-</v>
      </c>
      <c r="J395" s="102">
        <f>EV!N495</f>
        <v>0</v>
      </c>
      <c r="K395" s="433"/>
      <c r="L395" s="183" t="b">
        <f>IF(K395&gt;0,IF(K395="ALPHA",PR!$E393,IF(K395="ASSENE",PR!$F393,IF(K395="BIOFEM",PR!$G393,IF(K395="BIOMED",PR!$H393,IF(K395="CHI",PR!$I393,IF(K395="CLARION",PR!$J393,IF(K395="CODIX",PR!$K393,IF(K395="COSMADE",PR!$L393,IF(K395="SANCON",PR!$M393,IF(K395="DEVON",PR!$N393,IF(K395="DORTEMAG",PR!$O393,IF(K395="DGF",PR!$P393,IF(K395="DYNAMIC",PR!$Q393,IF(K395="EMZOR",PR!$R393,IF(K395="EUMATT",PR!$S393,IF(K395="FIDSON",PR!$T393,IF(K395="FCGLOBAL",PR!$U393,IF(K395="GENEITH",PR!$V393,IF(K395="GINOS",PR!$W393,IF(K395="GSK",PR!$X393,IF(K395="GLOBORG",PR!$Y393,IF(K395="GOODNEWS",PR!$Z393,IF(K395="GREENLIFE",PR!$AA393,IF(K395="HLINE",PR!$AB393,IF(K395="ROTECH",PR!$AC393,IF(K395="ISN",PR!$AD393,IF(K395="JAWA",PR!$AE393,IF(K395="LAYO",PR!$AF393,IF(K395="LEADWAY",PR!$AG393,IF(K395="LHV",PR!$AH393,IF(K395="MANOLA",PR!$AI393,IF(K395="MARCSON",PR!$AJ393,IF(K395="M&amp;B",PR!$AK393,IF(K395="MTRUST",PR!$AL393,IF(K395="MWORLD",PR!$AM393,IF(K395="MEGA",PR!$AN393,IF(K395="MICRONOVA",PR!$AO393,IF(K395="MFLASH",PR!$AP393,IF(K395="MORISON",PR!$AQ393,IF(K395="NEMEL",PR!$AR393,IF(K395="NHP",PR!$AS393,IF(K395="NHC",PR!$AT393,IF(K395="OLEAF",PR!$AU393,IF(K395="OCULUS",PR!$AV393,IF(K395="PACIFIC",PR!$AW393,IF(K395="PHAMATEX",PR!$AX393,IF(K395="PETHICS",PR!$AY393,IF(K395="PHILIPS",PR!$AZ393,IF(K395="RANBAXY",PR!$BA393,IF(K395="REALS",PR!$BB393,IF(K395="ROYAL",PR!$BC393,IF(K395="SAM",PR!$BD393,IF(K395="SEAGREEN",PR!$BE393,IF(K395="SKG",PR!$BF393,IF(K395="TAH",PR!$BG393,IF(K395="TAYLEK",PR!$BH393,IF(K395="TEMITA",PR!$BI393,IF(K395="THL",PR!$BJ393,IF(K395="UBASTIC",PR!$BK393,IF(K395="UNION",PR!$BL393,IF(K395="UNIQUE",PR!$BM393,IF(K395="VIXA",PR!$BN393,IF(K395="WWCV",PR!$BO393,IF(K395="ZOLON",PR!$BP393,"-")))))))))))))))))))))))))))))))))))))))))))))))))))))))))))))))))</f>
        <v>0</v>
      </c>
    </row>
    <row r="396" spans="1:12" ht="18.75" x14ac:dyDescent="0.3">
      <c r="A396" s="430">
        <f>PR!A394</f>
        <v>360</v>
      </c>
      <c r="B396" s="15" t="str">
        <f>PR!B394</f>
        <v>CHLORPROMAZINE 50MG TAB</v>
      </c>
      <c r="C396" s="113">
        <f>PR!D394</f>
        <v>1000</v>
      </c>
      <c r="D396" s="113">
        <f>PR!C394</f>
        <v>4</v>
      </c>
      <c r="E396" s="108">
        <f>IF(F396="ALPHA",PR!$E394,IF(F396="ASSENE",PR!$F394,IF(F396="BIOFEM",PR!$G394,IF(F396="BIOMED",PR!$H394,IF(F396="CHI",PR!$I394,IF(F396="CLARION",PR!$J394,IF(F396="CODIX",PR!$K394,IF(F396="COSMADE",PR!$L394,IF(F396="SANCON",PR!$M394,IF(F396="DEVON",PR!$N394,IF(F396="DORTEMAG",PR!$O394,IF(F396="DGF",PR!$P394,IF(F396="DYNAMIC",PR!$Q394,IF(F396="EMZOR",PR!$R394,IF(F396="EUMATT",PR!$S394,IF(F396="FIDSON",PR!$T394,IF(F396="FCGLOBAL",PR!$U394,IF(F396="GENEITH",PR!$V394,IF(F396="GINOS",PR!$W394,IF(F396="GSK",PR!$X394,IF(F396="GLOBORG",PR!$Y394,IF(F396="GOODNEWS",PR!$Z394,IF(F396="GREENLIFE",PR!$AA394,IF(F396="HLINE",PR!$AB394,IF(F396="ROTECH",PR!$AC394,IF(F396="ISN",PR!$AD394,IF(F396="JAWA",PR!$AE394,IF(F396="LAYO",PR!$AF394,IF(F396="LEADWAY",PR!$AG394,IF(F396="LHV",PR!$AH394,IF(F396="MANOLA",PR!$AI394,IF(F396="MARCSON",PR!$AJ394,IF(F396="M&amp;B",PR!$AK394,IF(F396="MTRUST",PR!$AL394,IF(F396="MWORLD",PR!$AM394,IF(F396="MEGA",PR!$AN394,IF(F396="MICRONOVA",PR!$AO394,IF(F396="MFLASH",PR!$AP394,IF(F396="MORISON",PR!$AQ394,IF(F396="NEMEL",PR!$AR394,IF(F396="NHP",PR!$AS394,IF(F396="NHC",PR!$AT394,IF(F396="OLEAF",PR!$AU394,IF(F396="OCULUS",PR!$AV394,IF(F396="PACIFIC",PR!$AW394,IF(F396="PHAMATEX",PR!$AX394,IF(F396="PETHICS",PR!$AY394,IF(F396="PHILIPS",PR!$AZ394,IF(F396="RANBAXY",PR!$BA394,IF(F396="REALS",PR!$BB394,IF(F396="ROYAL",PR!$BC394,IF(F396="SAM",PR!$BD394,IF(F396="SEAGREEN",PR!$BE394,IF(F396="SKG",PR!$BF394,IF(F396="TAH",PR!$BG394,IF(F396="TAYLEK",PR!$BH394,IF(F396="TEMITA",PR!$BI394,IF(F396="THL",PR!$BJ394,IF(F396="UBASTIC",PR!$BK394,IF(F396="UNION",PR!$BL394,IF(F396="UNIQUE",PR!$BM394,IF(F396="VIXA",PR!$BN394,IF(F396="WWCV",PR!$BO394,IF(F396="ZOLON",PR!$BP394,"-"))))))))))))))))))))))))))))))))))))))))))))))))))))))))))))))))</f>
        <v>5400</v>
      </c>
      <c r="F396" s="102" t="str">
        <f>EV!L496</f>
        <v>EUMATT</v>
      </c>
      <c r="G396" s="108" t="str">
        <f>IF(H396="ALPHA",PR!$E394,IF(H396="ASSENE",PR!$F394,IF(H396="BIOFEM",PR!$G394,IF(H396="BIOMED",PR!$H394,IF(H396="CHI",PR!$I394,IF(H396="CLARION",PR!$J394,IF(H396="CODIX",PR!$K394,IF(H396="COSMADE",PR!$L394,IF(H396="SANCON",PR!$M394,IF(H396="DEVON",PR!$N394,IF(H396="DORTEMAG",PR!$O394,IF(H396="DGF",PR!$P394,IF(H396="DYNAMIC",PR!$Q394,IF(H396="EMZOR",PR!$R394,IF(H396="EUMATT",PR!$S394,IF(H396="FIDSON",PR!$T394,IF(H396="FCGLOBAL",PR!$U394,IF(H396="GENEITH",PR!$V394,IF(H396="GINOS",PR!$W394,IF(H396="GSK",PR!$X394,IF(H396="GLOBORG",PR!$Y394,IF(H396="GOODNEWS",PR!$Z394,IF(H396="GREENLIFE",PR!$AA394,IF(H396="HLINE",PR!$AB394,IF(H396="ROTECH",PR!$AC394,IF(H396="ISN",PR!$AD394,IF(H396="JAWA",PR!$AE394,IF(H396="LAYO",PR!$AF394,IF(H396="LEADWAY",PR!$AG394,IF(H396="LHV",PR!$AH394,IF(H396="MANOLA",PR!$AI394,IF(H396="MARCSON",PR!$AJ394,IF(H396="M&amp;B",PR!$AK394,IF(H396="MTRUST",PR!$AL394,IF(H396="MWORLD",PR!$AM394,IF(H396="MEGA",PR!$AN394,IF(H396="MICRONOVA",PR!$AO394,IF(H396="MFLASH",PR!$AP394,IF(H396="MORISON",PR!$AQ394,IF(H396="NEMEL",PR!$AR394,IF(H396="NHP",PR!$AS394,IF(H396="NHC",PR!$AT394,IF(H396="OLEAF",PR!$AU394,IF(H396="OCULUS",PR!$AV394,IF(H396="PACIFIC",PR!$AW394,IF(H396="PHAMATEX",PR!$AX394,IF(H396="PETHICS",PR!$AY394,IF(H396="PHILIPS",PR!$AZ394,IF(H396="RANBAXY",PR!$BA394,IF(H396="REALS",PR!$BB394,IF(H396="ROYAL",PR!$BC394,IF(H396="SAM",PR!$BD394,IF(H396="SEAGREEN",PR!$BE394,IF(H396="SKG",PR!$BF394,IF(H396="TAH",PR!$BG394,IF(H396="TAYLEK",PR!$BH394,IF(H396="TEMITA",PR!$BI394,IF(H396="THL",PR!$BJ394,IF(H396="UBASTIC",PR!$BK394,IF(H396="UNION",PR!$BL394,IF(H396="UNIQUE",PR!$BM394,IF(H396="VIXA",PR!$BN394,IF(H396="WWCV",PR!$BO394,IF(H396="ZOLON",PR!$BP394,"-"))))))))))))))))))))))))))))))))))))))))))))))))))))))))))))))))</f>
        <v>-</v>
      </c>
      <c r="H396" s="102">
        <f>EV!M496</f>
        <v>0</v>
      </c>
      <c r="I396" s="108" t="str">
        <f>IF(J396="ALPHA",PR!$E394,IF(J396="ASSENE",PR!$F394,IF(J396="BIOFEM",PR!$G394,IF(J396="BIOMED",PR!$H394,IF(J396="CHI",PR!$I394,IF(J396="CLARION",PR!$J394,IF(J396="CODIX",PR!$K394,IF(J396="COSMADE",PR!$L394,IF(J396="SANCON",PR!$M394,IF(J396="DEVON",PR!$N394,IF(J396="DORTEMAG",PR!$O394,IF(J396="DGF",PR!$P394,IF(J396="DYNAMIC",PR!$Q394,IF(J396="EMZOR",PR!$R394,IF(J396="EUMATT",PR!$S394,IF(J396="FIDSON",PR!$T394,IF(J396="FCGLOBAL",PR!$U394,IF(J396="GENEITH",PR!$V394,IF(J396="GINOS",PR!$W394,IF(J396="GSK",PR!$X394,IF(J396="GLOBORG",PR!$Y394,IF(J396="GOODNEWS",PR!$Z394,IF(J396="GREENLIFE",PR!$AA394,IF(J396="HLINE",PR!$AB394,IF(J396="ROTECH",PR!$AC394,IF(J396="ISN",PR!$AD394,IF(J396="JAWA",PR!$AE394,IF(J396="LAYO",PR!$AF394,IF(J396="LEADWAY",PR!$AG394,IF(J396="LHV",PR!$AH394,IF(J396="MANOLA",PR!$AI394,IF(J396="MARCSON",PR!$AJ394,IF(J396="M&amp;B",PR!$AK394,IF(J396="MTRUST",PR!$AL394,IF(J396="MWORLD",PR!$AM394,IF(J396="MEGA",PR!$AN394,IF(J396="MICRONOVA",PR!$AO394,IF(J396="MFLASH",PR!$AP394,IF(J396="MORISON",PR!$AQ394,IF(J396="NEMEL",PR!$AR394,IF(J396="NHP",PR!$AS394,IF(J396="NHC",PR!$AT394,IF(J396="OLEAF",PR!$AU394,IF(J396="OCULUS",PR!$AV394,IF(J396="PACIFIC",PR!$AW394,IF(J396="PHAMATEX",PR!$AX394,IF(J396="PETHICS",PR!$AY394,IF(J396="PHILIPS",PR!$AZ394,IF(J396="RANBAXY",PR!$BA394,IF(J396="REALS",PR!$BB394,IF(J396="ROYAL",PR!$BC394,IF(J396="SAM",PR!$BD394,IF(J396="SEAGREEN",PR!$BE394,IF(J396="SKG",PR!$BF394,IF(J396="TAH",PR!$BG394,IF(J396="TAYLEK",PR!$BH394,IF(J396="TEMITA",PR!$BI394,IF(J396="THL",PR!$BJ394,IF(J396="UBASTIC",PR!$BK394,IF(J396="UNION",PR!$BL394,IF(J396="UNIQUE",PR!$BM394,IF(J396="VIXA",PR!$BN394,IF(J396="WWCV",PR!$BO394,IF(J396="ZOLON",PR!$BP394,"-"))))))))))))))))))))))))))))))))))))))))))))))))))))))))))))))))</f>
        <v>-</v>
      </c>
      <c r="J396" s="102">
        <f>EV!N496</f>
        <v>0</v>
      </c>
      <c r="K396" s="433" t="s">
        <v>821</v>
      </c>
      <c r="L396" s="183">
        <f>IF(K396&gt;0,IF(K396="ALPHA",PR!$E394,IF(K396="ASSENE",PR!$F394,IF(K396="BIOFEM",PR!$G394,IF(K396="BIOMED",PR!$H394,IF(K396="CHI",PR!$I394,IF(K396="CLARION",PR!$J394,IF(K396="CODIX",PR!$K394,IF(K396="COSMADE",PR!$L394,IF(K396="SANCON",PR!$M394,IF(K396="DEVON",PR!$N394,IF(K396="DORTEMAG",PR!$O394,IF(K396="DGF",PR!$P394,IF(K396="DYNAMIC",PR!$Q394,IF(K396="EMZOR",PR!$R394,IF(K396="EUMATT",PR!$S394,IF(K396="FIDSON",PR!$T394,IF(K396="FCGLOBAL",PR!$U394,IF(K396="GENEITH",PR!$V394,IF(K396="GINOS",PR!$W394,IF(K396="GSK",PR!$X394,IF(K396="GLOBORG",PR!$Y394,IF(K396="GOODNEWS",PR!$Z394,IF(K396="GREENLIFE",PR!$AA394,IF(K396="HLINE",PR!$AB394,IF(K396="ROTECH",PR!$AC394,IF(K396="ISN",PR!$AD394,IF(K396="JAWA",PR!$AE394,IF(K396="LAYO",PR!$AF394,IF(K396="LEADWAY",PR!$AG394,IF(K396="LHV",PR!$AH394,IF(K396="MANOLA",PR!$AI394,IF(K396="MARCSON",PR!$AJ394,IF(K396="M&amp;B",PR!$AK394,IF(K396="MTRUST",PR!$AL394,IF(K396="MWORLD",PR!$AM394,IF(K396="MEGA",PR!$AN394,IF(K396="MICRONOVA",PR!$AO394,IF(K396="MFLASH",PR!$AP394,IF(K396="MORISON",PR!$AQ394,IF(K396="NEMEL",PR!$AR394,IF(K396="NHP",PR!$AS394,IF(K396="NHC",PR!$AT394,IF(K396="OLEAF",PR!$AU394,IF(K396="OCULUS",PR!$AV394,IF(K396="PACIFIC",PR!$AW394,IF(K396="PHAMATEX",PR!$AX394,IF(K396="PETHICS",PR!$AY394,IF(K396="PHILIPS",PR!$AZ394,IF(K396="RANBAXY",PR!$BA394,IF(K396="REALS",PR!$BB394,IF(K396="ROYAL",PR!$BC394,IF(K396="SAM",PR!$BD394,IF(K396="SEAGREEN",PR!$BE394,IF(K396="SKG",PR!$BF394,IF(K396="TAH",PR!$BG394,IF(K396="TAYLEK",PR!$BH394,IF(K396="TEMITA",PR!$BI394,IF(K396="THL",PR!$BJ394,IF(K396="UBASTIC",PR!$BK394,IF(K396="UNION",PR!$BL394,IF(K396="UNIQUE",PR!$BM394,IF(K396="VIXA",PR!$BN394,IF(K396="WWCV",PR!$BO394,IF(K396="ZOLON",PR!$BP394,"-")))))))))))))))))))))))))))))))))))))))))))))))))))))))))))))))))</f>
        <v>5400</v>
      </c>
    </row>
    <row r="397" spans="1:12" ht="18.75" x14ac:dyDescent="0.3">
      <c r="A397" s="430">
        <f>PR!A395</f>
        <v>361</v>
      </c>
      <c r="B397" s="15" t="str">
        <f>PR!B395</f>
        <v>DIAZEPAM 10MG INJ  ROCHE</v>
      </c>
      <c r="C397" s="113">
        <f>PR!D395</f>
        <v>10</v>
      </c>
      <c r="D397" s="113">
        <f>PR!C395</f>
        <v>600</v>
      </c>
      <c r="E397" s="108">
        <f>IF(F397="ALPHA",PR!$E395,IF(F397="ASSENE",PR!$F395,IF(F397="BIOFEM",PR!$G395,IF(F397="BIOMED",PR!$H395,IF(F397="CHI",PR!$I395,IF(F397="CLARION",PR!$J395,IF(F397="CODIX",PR!$K395,IF(F397="COSMADE",PR!$L395,IF(F397="SANCON",PR!$M395,IF(F397="DEVON",PR!$N395,IF(F397="DORTEMAG",PR!$O395,IF(F397="DGF",PR!$P395,IF(F397="DYNAMIC",PR!$Q395,IF(F397="EMZOR",PR!$R395,IF(F397="EUMATT",PR!$S395,IF(F397="FIDSON",PR!$T395,IF(F397="FCGLOBAL",PR!$U395,IF(F397="GENEITH",PR!$V395,IF(F397="GINOS",PR!$W395,IF(F397="GSK",PR!$X395,IF(F397="GLOBORG",PR!$Y395,IF(F397="GOODNEWS",PR!$Z395,IF(F397="GREENLIFE",PR!$AA395,IF(F397="HLINE",PR!$AB395,IF(F397="ROTECH",PR!$AC395,IF(F397="ISN",PR!$AD395,IF(F397="JAWA",PR!$AE395,IF(F397="LAYO",PR!$AF395,IF(F397="LEADWAY",PR!$AG395,IF(F397="LHV",PR!$AH395,IF(F397="MANOLA",PR!$AI395,IF(F397="MARCSON",PR!$AJ395,IF(F397="M&amp;B",PR!$AK395,IF(F397="MTRUST",PR!$AL395,IF(F397="MWORLD",PR!$AM395,IF(F397="MEGA",PR!$AN395,IF(F397="MICRONOVA",PR!$AO395,IF(F397="MFLASH",PR!$AP395,IF(F397="MORISON",PR!$AQ395,IF(F397="NEMEL",PR!$AR395,IF(F397="NHP",PR!$AS395,IF(F397="NHC",PR!$AT395,IF(F397="OLEAF",PR!$AU395,IF(F397="OCULUS",PR!$AV395,IF(F397="PACIFIC",PR!$AW395,IF(F397="PHAMATEX",PR!$AX395,IF(F397="PETHICS",PR!$AY395,IF(F397="PHILIPS",PR!$AZ395,IF(F397="RANBAXY",PR!$BA395,IF(F397="REALS",PR!$BB395,IF(F397="ROYAL",PR!$BC395,IF(F397="SAM",PR!$BD395,IF(F397="SEAGREEN",PR!$BE395,IF(F397="SKG",PR!$BF395,IF(F397="TAH",PR!$BG395,IF(F397="TAYLEK",PR!$BH395,IF(F397="TEMITA",PR!$BI395,IF(F397="THL",PR!$BJ395,IF(F397="UBASTIC",PR!$BK395,IF(F397="UNION",PR!$BL395,IF(F397="UNIQUE",PR!$BM395,IF(F397="VIXA",PR!$BN395,IF(F397="WWCV",PR!$BO395,IF(F397="ZOLON",PR!$BP395,"-"))))))))))))))))))))))))))))))))))))))))))))))))))))))))))))))))</f>
        <v>6000</v>
      </c>
      <c r="F397" s="102" t="str">
        <f>EV!L521</f>
        <v>WWCV</v>
      </c>
      <c r="G397" s="108" t="str">
        <f>IF(H397="ALPHA",PR!$E395,IF(H397="ASSENE",PR!$F395,IF(H397="BIOFEM",PR!$G395,IF(H397="BIOMED",PR!$H395,IF(H397="CHI",PR!$I395,IF(H397="CLARION",PR!$J395,IF(H397="CODIX",PR!$K395,IF(H397="COSMADE",PR!$L395,IF(H397="SANCON",PR!$M395,IF(H397="DEVON",PR!$N395,IF(H397="DORTEMAG",PR!$O395,IF(H397="DGF",PR!$P395,IF(H397="DYNAMIC",PR!$Q395,IF(H397="EMZOR",PR!$R395,IF(H397="EUMATT",PR!$S395,IF(H397="FIDSON",PR!$T395,IF(H397="FCGLOBAL",PR!$U395,IF(H397="GENEITH",PR!$V395,IF(H397="GINOS",PR!$W395,IF(H397="GSK",PR!$X395,IF(H397="GLOBORG",PR!$Y395,IF(H397="GOODNEWS",PR!$Z395,IF(H397="GREENLIFE",PR!$AA395,IF(H397="HLINE",PR!$AB395,IF(H397="ROTECH",PR!$AC395,IF(H397="ISN",PR!$AD395,IF(H397="JAWA",PR!$AE395,IF(H397="LAYO",PR!$AF395,IF(H397="LEADWAY",PR!$AG395,IF(H397="LHV",PR!$AH395,IF(H397="MANOLA",PR!$AI395,IF(H397="MARCSON",PR!$AJ395,IF(H397="M&amp;B",PR!$AK395,IF(H397="MTRUST",PR!$AL395,IF(H397="MWORLD",PR!$AM395,IF(H397="MEGA",PR!$AN395,IF(H397="MICRONOVA",PR!$AO395,IF(H397="MFLASH",PR!$AP395,IF(H397="MORISON",PR!$AQ395,IF(H397="NEMEL",PR!$AR395,IF(H397="NHP",PR!$AS395,IF(H397="NHC",PR!$AT395,IF(H397="OLEAF",PR!$AU395,IF(H397="OCULUS",PR!$AV395,IF(H397="PACIFIC",PR!$AW395,IF(H397="PHAMATEX",PR!$AX395,IF(H397="PETHICS",PR!$AY395,IF(H397="PHILIPS",PR!$AZ395,IF(H397="RANBAXY",PR!$BA395,IF(H397="REALS",PR!$BB395,IF(H397="ROYAL",PR!$BC395,IF(H397="SAM",PR!$BD395,IF(H397="SEAGREEN",PR!$BE395,IF(H397="SKG",PR!$BF395,IF(H397="TAH",PR!$BG395,IF(H397="TAYLEK",PR!$BH395,IF(H397="TEMITA",PR!$BI395,IF(H397="THL",PR!$BJ395,IF(H397="UBASTIC",PR!$BK395,IF(H397="UNION",PR!$BL395,IF(H397="UNIQUE",PR!$BM395,IF(H397="VIXA",PR!$BN395,IF(H397="WWCV",PR!$BO395,IF(H397="ZOLON",PR!$BP395,"-"))))))))))))))))))))))))))))))))))))))))))))))))))))))))))))))))</f>
        <v>-</v>
      </c>
      <c r="H397" s="102">
        <f>EV!M521</f>
        <v>0</v>
      </c>
      <c r="I397" s="108" t="str">
        <f>IF(J397="ALPHA",PR!$E395,IF(J397="ASSENE",PR!$F395,IF(J397="BIOFEM",PR!$G395,IF(J397="BIOMED",PR!$H395,IF(J397="CHI",PR!$I395,IF(J397="CLARION",PR!$J395,IF(J397="CODIX",PR!$K395,IF(J397="COSMADE",PR!$L395,IF(J397="SANCON",PR!$M395,IF(J397="DEVON",PR!$N395,IF(J397="DORTEMAG",PR!$O395,IF(J397="DGF",PR!$P395,IF(J397="DYNAMIC",PR!$Q395,IF(J397="EMZOR",PR!$R395,IF(J397="EUMATT",PR!$S395,IF(J397="FIDSON",PR!$T395,IF(J397="FCGLOBAL",PR!$U395,IF(J397="GENEITH",PR!$V395,IF(J397="GINOS",PR!$W395,IF(J397="GSK",PR!$X395,IF(J397="GLOBORG",PR!$Y395,IF(J397="GOODNEWS",PR!$Z395,IF(J397="GREENLIFE",PR!$AA395,IF(J397="HLINE",PR!$AB395,IF(J397="ROTECH",PR!$AC395,IF(J397="ISN",PR!$AD395,IF(J397="JAWA",PR!$AE395,IF(J397="LAYO",PR!$AF395,IF(J397="LEADWAY",PR!$AG395,IF(J397="LHV",PR!$AH395,IF(J397="MANOLA",PR!$AI395,IF(J397="MARCSON",PR!$AJ395,IF(J397="M&amp;B",PR!$AK395,IF(J397="MTRUST",PR!$AL395,IF(J397="MWORLD",PR!$AM395,IF(J397="MEGA",PR!$AN395,IF(J397="MICRONOVA",PR!$AO395,IF(J397="MFLASH",PR!$AP395,IF(J397="MORISON",PR!$AQ395,IF(J397="NEMEL",PR!$AR395,IF(J397="NHP",PR!$AS395,IF(J397="NHC",PR!$AT395,IF(J397="OLEAF",PR!$AU395,IF(J397="OCULUS",PR!$AV395,IF(J397="PACIFIC",PR!$AW395,IF(J397="PHAMATEX",PR!$AX395,IF(J397="PETHICS",PR!$AY395,IF(J397="PHILIPS",PR!$AZ395,IF(J397="RANBAXY",PR!$BA395,IF(J397="REALS",PR!$BB395,IF(J397="ROYAL",PR!$BC395,IF(J397="SAM",PR!$BD395,IF(J397="SEAGREEN",PR!$BE395,IF(J397="SKG",PR!$BF395,IF(J397="TAH",PR!$BG395,IF(J397="TAYLEK",PR!$BH395,IF(J397="TEMITA",PR!$BI395,IF(J397="THL",PR!$BJ395,IF(J397="UBASTIC",PR!$BK395,IF(J397="UNION",PR!$BL395,IF(J397="UNIQUE",PR!$BM395,IF(J397="VIXA",PR!$BN395,IF(J397="WWCV",PR!$BO395,IF(J397="ZOLON",PR!$BP395,"-"))))))))))))))))))))))))))))))))))))))))))))))))))))))))))))))))</f>
        <v>-</v>
      </c>
      <c r="J397" s="102">
        <f>EV!N521</f>
        <v>0</v>
      </c>
      <c r="K397" s="645" t="s">
        <v>2140</v>
      </c>
      <c r="L397" s="183" t="str">
        <f>IF(K397&gt;0,IF(K397="ALPHA",PR!$E395,IF(K397="ASSENE",PR!$F395,IF(K397="BIOFEM",PR!$G395,IF(K397="BIOMED",PR!$H395,IF(K397="CHI",PR!$I395,IF(K397="CLARION",PR!$J395,IF(K397="CODIX",PR!$K395,IF(K397="COSMADE",PR!$L395,IF(K397="SANCON",PR!$M395,IF(K397="DEVON",PR!$N395,IF(K397="DORTEMAG",PR!$O395,IF(K397="DGF",PR!$P395,IF(K397="DYNAMIC",PR!$Q395,IF(K397="EMZOR",PR!$R395,IF(K397="EUMATT",PR!$S395,IF(K397="FIDSON",PR!$T395,IF(K397="FCGLOBAL",PR!$U395,IF(K397="GENEITH",PR!$V395,IF(K397="GINOS",PR!$W395,IF(K397="GSK",PR!$X395,IF(K397="GLOBORG",PR!$Y395,IF(K397="GOODNEWS",PR!$Z395,IF(K397="GREENLIFE",PR!$AA395,IF(K397="HLINE",PR!$AB395,IF(K397="ROTECH",PR!$AC395,IF(K397="ISN",PR!$AD395,IF(K397="JAWA",PR!$AE395,IF(K397="LAYO",PR!$AF395,IF(K397="LEADWAY",PR!$AG395,IF(K397="LHV",PR!$AH395,IF(K397="MANOLA",PR!$AI395,IF(K397="MARCSON",PR!$AJ395,IF(K397="M&amp;B",PR!$AK395,IF(K397="MTRUST",PR!$AL395,IF(K397="MWORLD",PR!$AM395,IF(K397="MEGA",PR!$AN395,IF(K397="MICRONOVA",PR!$AO395,IF(K397="MFLASH",PR!$AP395,IF(K397="MORISON",PR!$AQ395,IF(K397="NEMEL",PR!$AR395,IF(K397="NHP",PR!$AS395,IF(K397="NHC",PR!$AT395,IF(K397="OLEAF",PR!$AU395,IF(K397="OCULUS",PR!$AV395,IF(K397="PACIFIC",PR!$AW395,IF(K397="PHAMATEX",PR!$AX395,IF(K397="PETHICS",PR!$AY395,IF(K397="PHILIPS",PR!$AZ395,IF(K397="RANBAXY",PR!$BA395,IF(K397="REALS",PR!$BB395,IF(K397="ROYAL",PR!$BC395,IF(K397="SAM",PR!$BD395,IF(K397="SEAGREEN",PR!$BE395,IF(K397="SKG",PR!$BF395,IF(K397="TAH",PR!$BG395,IF(K397="TAYLEK",PR!$BH395,IF(K397="TEMITA",PR!$BI395,IF(K397="THL",PR!$BJ395,IF(K397="UBASTIC",PR!$BK395,IF(K397="UNION",PR!$BL395,IF(K397="UNIQUE",PR!$BM395,IF(K397="VIXA",PR!$BN395,IF(K397="WWCV",PR!$BO395,IF(K397="ZOLON",PR!$BP395,"-")))))))))))))))))))))))))))))))))))))))))))))))))))))))))))))))))</f>
        <v>-</v>
      </c>
    </row>
    <row r="398" spans="1:12" ht="18.75" x14ac:dyDescent="0.3">
      <c r="A398" s="430">
        <f>PR!A396</f>
        <v>362</v>
      </c>
      <c r="B398" s="15" t="str">
        <f>PR!B396</f>
        <v>DIAZEPAM 5MG TAB (X1000)</v>
      </c>
      <c r="C398" s="113">
        <f>PR!D396</f>
        <v>1000</v>
      </c>
      <c r="D398" s="113">
        <f>PR!C396</f>
        <v>12</v>
      </c>
      <c r="E398" s="108">
        <f>IF(F398="ALPHA",PR!$E396,IF(F398="ASSENE",PR!$F396,IF(F398="BIOFEM",PR!$G396,IF(F398="BIOMED",PR!$H396,IF(F398="CHI",PR!$I396,IF(F398="CLARION",PR!$J396,IF(F398="CODIX",PR!$K396,IF(F398="COSMADE",PR!$L396,IF(F398="SANCON",PR!$M396,IF(F398="DEVON",PR!$N396,IF(F398="DORTEMAG",PR!$O396,IF(F398="DGF",PR!$P396,IF(F398="DYNAMIC",PR!$Q396,IF(F398="EMZOR",PR!$R396,IF(F398="EUMATT",PR!$S396,IF(F398="FIDSON",PR!$T396,IF(F398="FCGLOBAL",PR!$U396,IF(F398="GENEITH",PR!$V396,IF(F398="GINOS",PR!$W396,IF(F398="GSK",PR!$X396,IF(F398="GLOBORG",PR!$Y396,IF(F398="GOODNEWS",PR!$Z396,IF(F398="GREENLIFE",PR!$AA396,IF(F398="HLINE",PR!$AB396,IF(F398="ROTECH",PR!$AC396,IF(F398="ISN",PR!$AD396,IF(F398="JAWA",PR!$AE396,IF(F398="LAYO",PR!$AF396,IF(F398="LEADWAY",PR!$AG396,IF(F398="LHV",PR!$AH396,IF(F398="MANOLA",PR!$AI396,IF(F398="MARCSON",PR!$AJ396,IF(F398="M&amp;B",PR!$AK396,IF(F398="MTRUST",PR!$AL396,IF(F398="MWORLD",PR!$AM396,IF(F398="MEGA",PR!$AN396,IF(F398="MICRONOVA",PR!$AO396,IF(F398="MFLASH",PR!$AP396,IF(F398="MORISON",PR!$AQ396,IF(F398="NEMEL",PR!$AR396,IF(F398="NHP",PR!$AS396,IF(F398="NHC",PR!$AT396,IF(F398="OLEAF",PR!$AU396,IF(F398="OCULUS",PR!$AV396,IF(F398="PACIFIC",PR!$AW396,IF(F398="PHAMATEX",PR!$AX396,IF(F398="PETHICS",PR!$AY396,IF(F398="PHILIPS",PR!$AZ396,IF(F398="RANBAXY",PR!$BA396,IF(F398="REALS",PR!$BB396,IF(F398="ROYAL",PR!$BC396,IF(F398="SAM",PR!$BD396,IF(F398="SEAGREEN",PR!$BE396,IF(F398="SKG",PR!$BF396,IF(F398="TAH",PR!$BG396,IF(F398="TAYLEK",PR!$BH396,IF(F398="TEMITA",PR!$BI396,IF(F398="THL",PR!$BJ396,IF(F398="UBASTIC",PR!$BK396,IF(F398="UNION",PR!$BL396,IF(F398="UNIQUE",PR!$BM396,IF(F398="VIXA",PR!$BN396,IF(F398="WWCV",PR!$BO396,IF(F398="ZOLON",PR!$BP396,"-"))))))))))))))))))))))))))))))))))))))))))))))))))))))))))))))))</f>
        <v>3000</v>
      </c>
      <c r="F398" s="102" t="str">
        <f>EV!L522</f>
        <v>EUMATT</v>
      </c>
      <c r="G398" s="108" t="str">
        <f>IF(H398="ALPHA",PR!$E396,IF(H398="ASSENE",PR!$F396,IF(H398="BIOFEM",PR!$G396,IF(H398="BIOMED",PR!$H396,IF(H398="CHI",PR!$I396,IF(H398="CLARION",PR!$J396,IF(H398="CODIX",PR!$K396,IF(H398="COSMADE",PR!$L396,IF(H398="SANCON",PR!$M396,IF(H398="DEVON",PR!$N396,IF(H398="DORTEMAG",PR!$O396,IF(H398="DGF",PR!$P396,IF(H398="DYNAMIC",PR!$Q396,IF(H398="EMZOR",PR!$R396,IF(H398="EUMATT",PR!$S396,IF(H398="FIDSON",PR!$T396,IF(H398="FCGLOBAL",PR!$U396,IF(H398="GENEITH",PR!$V396,IF(H398="GINOS",PR!$W396,IF(H398="GSK",PR!$X396,IF(H398="GLOBORG",PR!$Y396,IF(H398="GOODNEWS",PR!$Z396,IF(H398="GREENLIFE",PR!$AA396,IF(H398="HLINE",PR!$AB396,IF(H398="ROTECH",PR!$AC396,IF(H398="ISN",PR!$AD396,IF(H398="JAWA",PR!$AE396,IF(H398="LAYO",PR!$AF396,IF(H398="LEADWAY",PR!$AG396,IF(H398="LHV",PR!$AH396,IF(H398="MANOLA",PR!$AI396,IF(H398="MARCSON",PR!$AJ396,IF(H398="M&amp;B",PR!$AK396,IF(H398="MTRUST",PR!$AL396,IF(H398="MWORLD",PR!$AM396,IF(H398="MEGA",PR!$AN396,IF(H398="MICRONOVA",PR!$AO396,IF(H398="MFLASH",PR!$AP396,IF(H398="MORISON",PR!$AQ396,IF(H398="NEMEL",PR!$AR396,IF(H398="NHP",PR!$AS396,IF(H398="NHC",PR!$AT396,IF(H398="OLEAF",PR!$AU396,IF(H398="OCULUS",PR!$AV396,IF(H398="PACIFIC",PR!$AW396,IF(H398="PHAMATEX",PR!$AX396,IF(H398="PETHICS",PR!$AY396,IF(H398="PHILIPS",PR!$AZ396,IF(H398="RANBAXY",PR!$BA396,IF(H398="REALS",PR!$BB396,IF(H398="ROYAL",PR!$BC396,IF(H398="SAM",PR!$BD396,IF(H398="SEAGREEN",PR!$BE396,IF(H398="SKG",PR!$BF396,IF(H398="TAH",PR!$BG396,IF(H398="TAYLEK",PR!$BH396,IF(H398="TEMITA",PR!$BI396,IF(H398="THL",PR!$BJ396,IF(H398="UBASTIC",PR!$BK396,IF(H398="UNION",PR!$BL396,IF(H398="UNIQUE",PR!$BM396,IF(H398="VIXA",PR!$BN396,IF(H398="WWCV",PR!$BO396,IF(H398="ZOLON",PR!$BP396,"-"))))))))))))))))))))))))))))))))))))))))))))))))))))))))))))))))</f>
        <v>-</v>
      </c>
      <c r="H398" s="102">
        <f>EV!M522</f>
        <v>0</v>
      </c>
      <c r="I398" s="108" t="str">
        <f>IF(J398="ALPHA",PR!$E396,IF(J398="ASSENE",PR!$F396,IF(J398="BIOFEM",PR!$G396,IF(J398="BIOMED",PR!$H396,IF(J398="CHI",PR!$I396,IF(J398="CLARION",PR!$J396,IF(J398="CODIX",PR!$K396,IF(J398="COSMADE",PR!$L396,IF(J398="SANCON",PR!$M396,IF(J398="DEVON",PR!$N396,IF(J398="DORTEMAG",PR!$O396,IF(J398="DGF",PR!$P396,IF(J398="DYNAMIC",PR!$Q396,IF(J398="EMZOR",PR!$R396,IF(J398="EUMATT",PR!$S396,IF(J398="FIDSON",PR!$T396,IF(J398="FCGLOBAL",PR!$U396,IF(J398="GENEITH",PR!$V396,IF(J398="GINOS",PR!$W396,IF(J398="GSK",PR!$X396,IF(J398="GLOBORG",PR!$Y396,IF(J398="GOODNEWS",PR!$Z396,IF(J398="GREENLIFE",PR!$AA396,IF(J398="HLINE",PR!$AB396,IF(J398="ROTECH",PR!$AC396,IF(J398="ISN",PR!$AD396,IF(J398="JAWA",PR!$AE396,IF(J398="LAYO",PR!$AF396,IF(J398="LEADWAY",PR!$AG396,IF(J398="LHV",PR!$AH396,IF(J398="MANOLA",PR!$AI396,IF(J398="MARCSON",PR!$AJ396,IF(J398="M&amp;B",PR!$AK396,IF(J398="MTRUST",PR!$AL396,IF(J398="MWORLD",PR!$AM396,IF(J398="MEGA",PR!$AN396,IF(J398="MICRONOVA",PR!$AO396,IF(J398="MFLASH",PR!$AP396,IF(J398="MORISON",PR!$AQ396,IF(J398="NEMEL",PR!$AR396,IF(J398="NHP",PR!$AS396,IF(J398="NHC",PR!$AT396,IF(J398="OLEAF",PR!$AU396,IF(J398="OCULUS",PR!$AV396,IF(J398="PACIFIC",PR!$AW396,IF(J398="PHAMATEX",PR!$AX396,IF(J398="PETHICS",PR!$AY396,IF(J398="PHILIPS",PR!$AZ396,IF(J398="RANBAXY",PR!$BA396,IF(J398="REALS",PR!$BB396,IF(J398="ROYAL",PR!$BC396,IF(J398="SAM",PR!$BD396,IF(J398="SEAGREEN",PR!$BE396,IF(J398="SKG",PR!$BF396,IF(J398="TAH",PR!$BG396,IF(J398="TAYLEK",PR!$BH396,IF(J398="TEMITA",PR!$BI396,IF(J398="THL",PR!$BJ396,IF(J398="UBASTIC",PR!$BK396,IF(J398="UNION",PR!$BL396,IF(J398="UNIQUE",PR!$BM396,IF(J398="VIXA",PR!$BN396,IF(J398="WWCV",PR!$BO396,IF(J398="ZOLON",PR!$BP396,"-"))))))))))))))))))))))))))))))))))))))))))))))))))))))))))))))))</f>
        <v>-</v>
      </c>
      <c r="J398" s="102">
        <f>EV!N522</f>
        <v>0</v>
      </c>
      <c r="K398" s="433" t="s">
        <v>821</v>
      </c>
      <c r="L398" s="183">
        <f>IF(K398&gt;0,IF(K398="ALPHA",PR!$E396,IF(K398="ASSENE",PR!$F396,IF(K398="BIOFEM",PR!$G396,IF(K398="BIOMED",PR!$H396,IF(K398="CHI",PR!$I396,IF(K398="CLARION",PR!$J396,IF(K398="CODIX",PR!$K396,IF(K398="COSMADE",PR!$L396,IF(K398="SANCON",PR!$M396,IF(K398="DEVON",PR!$N396,IF(K398="DORTEMAG",PR!$O396,IF(K398="DGF",PR!$P396,IF(K398="DYNAMIC",PR!$Q396,IF(K398="EMZOR",PR!$R396,IF(K398="EUMATT",PR!$S396,IF(K398="FIDSON",PR!$T396,IF(K398="FCGLOBAL",PR!$U396,IF(K398="GENEITH",PR!$V396,IF(K398="GINOS",PR!$W396,IF(K398="GSK",PR!$X396,IF(K398="GLOBORG",PR!$Y396,IF(K398="GOODNEWS",PR!$Z396,IF(K398="GREENLIFE",PR!$AA396,IF(K398="HLINE",PR!$AB396,IF(K398="ROTECH",PR!$AC396,IF(K398="ISN",PR!$AD396,IF(K398="JAWA",PR!$AE396,IF(K398="LAYO",PR!$AF396,IF(K398="LEADWAY",PR!$AG396,IF(K398="LHV",PR!$AH396,IF(K398="MANOLA",PR!$AI396,IF(K398="MARCSON",PR!$AJ396,IF(K398="M&amp;B",PR!$AK396,IF(K398="MTRUST",PR!$AL396,IF(K398="MWORLD",PR!$AM396,IF(K398="MEGA",PR!$AN396,IF(K398="MICRONOVA",PR!$AO396,IF(K398="MFLASH",PR!$AP396,IF(K398="MORISON",PR!$AQ396,IF(K398="NEMEL",PR!$AR396,IF(K398="NHP",PR!$AS396,IF(K398="NHC",PR!$AT396,IF(K398="OLEAF",PR!$AU396,IF(K398="OCULUS",PR!$AV396,IF(K398="PACIFIC",PR!$AW396,IF(K398="PHAMATEX",PR!$AX396,IF(K398="PETHICS",PR!$AY396,IF(K398="PHILIPS",PR!$AZ396,IF(K398="RANBAXY",PR!$BA396,IF(K398="REALS",PR!$BB396,IF(K398="ROYAL",PR!$BC396,IF(K398="SAM",PR!$BD396,IF(K398="SEAGREEN",PR!$BE396,IF(K398="SKG",PR!$BF396,IF(K398="TAH",PR!$BG396,IF(K398="TAYLEK",PR!$BH396,IF(K398="TEMITA",PR!$BI396,IF(K398="THL",PR!$BJ396,IF(K398="UBASTIC",PR!$BK396,IF(K398="UNION",PR!$BL396,IF(K398="UNIQUE",PR!$BM396,IF(K398="VIXA",PR!$BN396,IF(K398="WWCV",PR!$BO396,IF(K398="ZOLON",PR!$BP396,"-")))))))))))))))))))))))))))))))))))))))))))))))))))))))))))))))))</f>
        <v>3000</v>
      </c>
    </row>
    <row r="399" spans="1:12" ht="18.75" x14ac:dyDescent="0.3">
      <c r="A399" s="430">
        <f>PR!A397</f>
        <v>363</v>
      </c>
      <c r="B399" s="15" t="str">
        <f>PR!B397</f>
        <v>DIAZEPAM 5MG TAB (X96)</v>
      </c>
      <c r="C399" s="113">
        <f>PR!D397</f>
        <v>1000</v>
      </c>
      <c r="D399" s="113">
        <f>PR!C397</f>
        <v>12</v>
      </c>
      <c r="E399" s="108" t="str">
        <f>IF(F399="ALPHA",PR!$E397,IF(F399="ASSENE",PR!$F397,IF(F399="BIOFEM",PR!$G397,IF(F399="BIOMED",PR!$H397,IF(F399="CHI",PR!$I397,IF(F399="CLARION",PR!$J397,IF(F399="CODIX",PR!$K397,IF(F399="COSMADE",PR!$L397,IF(F399="SANCON",PR!$M397,IF(F399="DEVON",PR!$N397,IF(F399="DORTEMAG",PR!$O397,IF(F399="DGF",PR!$P397,IF(F399="DYNAMIC",PR!$Q397,IF(F399="EMZOR",PR!$R397,IF(F399="EUMATT",PR!$S397,IF(F399="FIDSON",PR!$T397,IF(F399="FCGLOBAL",PR!$U397,IF(F399="GENEITH",PR!$V397,IF(F399="GINOS",PR!$W397,IF(F399="GSK",PR!$X397,IF(F399="GLOBORG",PR!$Y397,IF(F399="GOODNEWS",PR!$Z397,IF(F399="GREENLIFE",PR!$AA397,IF(F399="HLINE",PR!$AB397,IF(F399="ROTECH",PR!$AC397,IF(F399="ISN",PR!$AD397,IF(F399="JAWA",PR!$AE397,IF(F399="LAYO",PR!$AF397,IF(F399="LEADWAY",PR!$AG397,IF(F399="LHV",PR!$AH397,IF(F399="MANOLA",PR!$AI397,IF(F399="MARCSON",PR!$AJ397,IF(F399="M&amp;B",PR!$AK397,IF(F399="MTRUST",PR!$AL397,IF(F399="MWORLD",PR!$AM397,IF(F399="MEGA",PR!$AN397,IF(F399="MICRONOVA",PR!$AO397,IF(F399="MFLASH",PR!$AP397,IF(F399="MORISON",PR!$AQ397,IF(F399="NEMEL",PR!$AR397,IF(F399="NHP",PR!$AS397,IF(F399="NHC",PR!$AT397,IF(F399="OLEAF",PR!$AU397,IF(F399="OCULUS",PR!$AV397,IF(F399="PACIFIC",PR!$AW397,IF(F399="PHAMATEX",PR!$AX397,IF(F399="PETHICS",PR!$AY397,IF(F399="PHILIPS",PR!$AZ397,IF(F399="RANBAXY",PR!$BA397,IF(F399="REALS",PR!$BB397,IF(F399="ROYAL",PR!$BC397,IF(F399="SAM",PR!$BD397,IF(F399="SEAGREEN",PR!$BE397,IF(F399="SKG",PR!$BF397,IF(F399="TAH",PR!$BG397,IF(F399="TAYLEK",PR!$BH397,IF(F399="TEMITA",PR!$BI397,IF(F399="THL",PR!$BJ397,IF(F399="UBASTIC",PR!$BK397,IF(F399="UNION",PR!$BL397,IF(F399="UNIQUE",PR!$BM397,IF(F399="VIXA",PR!$BN397,IF(F399="WWCV",PR!$BO397,IF(F399="ZOLON",PR!$BP397,"-"))))))))))))))))))))))))))))))))))))))))))))))))))))))))))))))))</f>
        <v>-</v>
      </c>
      <c r="F399" s="102">
        <f>EV!L523</f>
        <v>0</v>
      </c>
      <c r="G399" s="108" t="str">
        <f>IF(H399="ALPHA",PR!$E397,IF(H399="ASSENE",PR!$F397,IF(H399="BIOFEM",PR!$G397,IF(H399="BIOMED",PR!$H397,IF(H399="CHI",PR!$I397,IF(H399="CLARION",PR!$J397,IF(H399="CODIX",PR!$K397,IF(H399="COSMADE",PR!$L397,IF(H399="SANCON",PR!$M397,IF(H399="DEVON",PR!$N397,IF(H399="DORTEMAG",PR!$O397,IF(H399="DGF",PR!$P397,IF(H399="DYNAMIC",PR!$Q397,IF(H399="EMZOR",PR!$R397,IF(H399="EUMATT",PR!$S397,IF(H399="FIDSON",PR!$T397,IF(H399="FCGLOBAL",PR!$U397,IF(H399="GENEITH",PR!$V397,IF(H399="GINOS",PR!$W397,IF(H399="GSK",PR!$X397,IF(H399="GLOBORG",PR!$Y397,IF(H399="GOODNEWS",PR!$Z397,IF(H399="GREENLIFE",PR!$AA397,IF(H399="HLINE",PR!$AB397,IF(H399="ROTECH",PR!$AC397,IF(H399="ISN",PR!$AD397,IF(H399="JAWA",PR!$AE397,IF(H399="LAYO",PR!$AF397,IF(H399="LEADWAY",PR!$AG397,IF(H399="LHV",PR!$AH397,IF(H399="MANOLA",PR!$AI397,IF(H399="MARCSON",PR!$AJ397,IF(H399="M&amp;B",PR!$AK397,IF(H399="MTRUST",PR!$AL397,IF(H399="MWORLD",PR!$AM397,IF(H399="MEGA",PR!$AN397,IF(H399="MICRONOVA",PR!$AO397,IF(H399="MFLASH",PR!$AP397,IF(H399="MORISON",PR!$AQ397,IF(H399="NEMEL",PR!$AR397,IF(H399="NHP",PR!$AS397,IF(H399="NHC",PR!$AT397,IF(H399="OLEAF",PR!$AU397,IF(H399="OCULUS",PR!$AV397,IF(H399="PACIFIC",PR!$AW397,IF(H399="PHAMATEX",PR!$AX397,IF(H399="PETHICS",PR!$AY397,IF(H399="PHILIPS",PR!$AZ397,IF(H399="RANBAXY",PR!$BA397,IF(H399="REALS",PR!$BB397,IF(H399="ROYAL",PR!$BC397,IF(H399="SAM",PR!$BD397,IF(H399="SEAGREEN",PR!$BE397,IF(H399="SKG",PR!$BF397,IF(H399="TAH",PR!$BG397,IF(H399="TAYLEK",PR!$BH397,IF(H399="TEMITA",PR!$BI397,IF(H399="THL",PR!$BJ397,IF(H399="UBASTIC",PR!$BK397,IF(H399="UNION",PR!$BL397,IF(H399="UNIQUE",PR!$BM397,IF(H399="VIXA",PR!$BN397,IF(H399="WWCV",PR!$BO397,IF(H399="ZOLON",PR!$BP397,"-"))))))))))))))))))))))))))))))))))))))))))))))))))))))))))))))))</f>
        <v>-</v>
      </c>
      <c r="H399" s="102">
        <f>EV!M523</f>
        <v>0</v>
      </c>
      <c r="I399" s="108" t="str">
        <f>IF(J399="ALPHA",PR!$E397,IF(J399="ASSENE",PR!$F397,IF(J399="BIOFEM",PR!$G397,IF(J399="BIOMED",PR!$H397,IF(J399="CHI",PR!$I397,IF(J399="CLARION",PR!$J397,IF(J399="CODIX",PR!$K397,IF(J399="COSMADE",PR!$L397,IF(J399="SANCON",PR!$M397,IF(J399="DEVON",PR!$N397,IF(J399="DORTEMAG",PR!$O397,IF(J399="DGF",PR!$P397,IF(J399="DYNAMIC",PR!$Q397,IF(J399="EMZOR",PR!$R397,IF(J399="EUMATT",PR!$S397,IF(J399="FIDSON",PR!$T397,IF(J399="FCGLOBAL",PR!$U397,IF(J399="GENEITH",PR!$V397,IF(J399="GINOS",PR!$W397,IF(J399="GSK",PR!$X397,IF(J399="GLOBORG",PR!$Y397,IF(J399="GOODNEWS",PR!$Z397,IF(J399="GREENLIFE",PR!$AA397,IF(J399="HLINE",PR!$AB397,IF(J399="ROTECH",PR!$AC397,IF(J399="ISN",PR!$AD397,IF(J399="JAWA",PR!$AE397,IF(J399="LAYO",PR!$AF397,IF(J399="LEADWAY",PR!$AG397,IF(J399="LHV",PR!$AH397,IF(J399="MANOLA",PR!$AI397,IF(J399="MARCSON",PR!$AJ397,IF(J399="M&amp;B",PR!$AK397,IF(J399="MTRUST",PR!$AL397,IF(J399="MWORLD",PR!$AM397,IF(J399="MEGA",PR!$AN397,IF(J399="MICRONOVA",PR!$AO397,IF(J399="MFLASH",PR!$AP397,IF(J399="MORISON",PR!$AQ397,IF(J399="NEMEL",PR!$AR397,IF(J399="NHP",PR!$AS397,IF(J399="NHC",PR!$AT397,IF(J399="OLEAF",PR!$AU397,IF(J399="OCULUS",PR!$AV397,IF(J399="PACIFIC",PR!$AW397,IF(J399="PHAMATEX",PR!$AX397,IF(J399="PETHICS",PR!$AY397,IF(J399="PHILIPS",PR!$AZ397,IF(J399="RANBAXY",PR!$BA397,IF(J399="REALS",PR!$BB397,IF(J399="ROYAL",PR!$BC397,IF(J399="SAM",PR!$BD397,IF(J399="SEAGREEN",PR!$BE397,IF(J399="SKG",PR!$BF397,IF(J399="TAH",PR!$BG397,IF(J399="TAYLEK",PR!$BH397,IF(J399="TEMITA",PR!$BI397,IF(J399="THL",PR!$BJ397,IF(J399="UBASTIC",PR!$BK397,IF(J399="UNION",PR!$BL397,IF(J399="UNIQUE",PR!$BM397,IF(J399="VIXA",PR!$BN397,IF(J399="WWCV",PR!$BO397,IF(J399="ZOLON",PR!$BP397,"-"))))))))))))))))))))))))))))))))))))))))))))))))))))))))))))))))</f>
        <v>-</v>
      </c>
      <c r="J399" s="102">
        <f>EV!N523</f>
        <v>0</v>
      </c>
      <c r="K399" s="433"/>
      <c r="L399" s="183" t="b">
        <f>IF(K399&gt;0,IF(K399="ALPHA",PR!$E397,IF(K399="ASSENE",PR!$F397,IF(K399="BIOFEM",PR!$G397,IF(K399="BIOMED",PR!$H397,IF(K399="CHI",PR!$I397,IF(K399="CLARION",PR!$J397,IF(K399="CODIX",PR!$K397,IF(K399="COSMADE",PR!$L397,IF(K399="SANCON",PR!$M397,IF(K399="DEVON",PR!$N397,IF(K399="DORTEMAG",PR!$O397,IF(K399="DGF",PR!$P397,IF(K399="DYNAMIC",PR!$Q397,IF(K399="EMZOR",PR!$R397,IF(K399="EUMATT",PR!$S397,IF(K399="FIDSON",PR!$T397,IF(K399="FCGLOBAL",PR!$U397,IF(K399="GENEITH",PR!$V397,IF(K399="GINOS",PR!$W397,IF(K399="GSK",PR!$X397,IF(K399="GLOBORG",PR!$Y397,IF(K399="GOODNEWS",PR!$Z397,IF(K399="GREENLIFE",PR!$AA397,IF(K399="HLINE",PR!$AB397,IF(K399="ROTECH",PR!$AC397,IF(K399="ISN",PR!$AD397,IF(K399="JAWA",PR!$AE397,IF(K399="LAYO",PR!$AF397,IF(K399="LEADWAY",PR!$AG397,IF(K399="LHV",PR!$AH397,IF(K399="MANOLA",PR!$AI397,IF(K399="MARCSON",PR!$AJ397,IF(K399="M&amp;B",PR!$AK397,IF(K399="MTRUST",PR!$AL397,IF(K399="MWORLD",PR!$AM397,IF(K399="MEGA",PR!$AN397,IF(K399="MICRONOVA",PR!$AO397,IF(K399="MFLASH",PR!$AP397,IF(K399="MORISON",PR!$AQ397,IF(K399="NEMEL",PR!$AR397,IF(K399="NHP",PR!$AS397,IF(K399="NHC",PR!$AT397,IF(K399="OLEAF",PR!$AU397,IF(K399="OCULUS",PR!$AV397,IF(K399="PACIFIC",PR!$AW397,IF(K399="PHAMATEX",PR!$AX397,IF(K399="PETHICS",PR!$AY397,IF(K399="PHILIPS",PR!$AZ397,IF(K399="RANBAXY",PR!$BA397,IF(K399="REALS",PR!$BB397,IF(K399="ROYAL",PR!$BC397,IF(K399="SAM",PR!$BD397,IF(K399="SEAGREEN",PR!$BE397,IF(K399="SKG",PR!$BF397,IF(K399="TAH",PR!$BG397,IF(K399="TAYLEK",PR!$BH397,IF(K399="TEMITA",PR!$BI397,IF(K399="THL",PR!$BJ397,IF(K399="UBASTIC",PR!$BK397,IF(K399="UNION",PR!$BL397,IF(K399="UNIQUE",PR!$BM397,IF(K399="VIXA",PR!$BN397,IF(K399="WWCV",PR!$BO397,IF(K399="ZOLON",PR!$BP397,"-")))))))))))))))))))))))))))))))))))))))))))))))))))))))))))))))))</f>
        <v>0</v>
      </c>
    </row>
    <row r="400" spans="1:12" ht="18.75" x14ac:dyDescent="0.3">
      <c r="A400" s="430">
        <f>PR!A398</f>
        <v>364</v>
      </c>
      <c r="B400" s="15" t="str">
        <f>PR!B398</f>
        <v>FLUPENTHIXOL DECANOATE 20MG</v>
      </c>
      <c r="C400" s="113" t="str">
        <f>PR!D398</f>
        <v>AMP</v>
      </c>
      <c r="D400" s="113">
        <f>PR!C398</f>
        <v>200</v>
      </c>
      <c r="E400" s="108">
        <f>IF(F400="ALPHA",PR!$E398,IF(F400="ASSENE",PR!$F398,IF(F400="BIOFEM",PR!$G398,IF(F400="BIOMED",PR!$H398,IF(F400="CHI",PR!$I398,IF(F400="CLARION",PR!$J398,IF(F400="CODIX",PR!$K398,IF(F400="COSMADE",PR!$L398,IF(F400="SANCON",PR!$M398,IF(F400="DEVON",PR!$N398,IF(F400="DORTEMAG",PR!$O398,IF(F400="DGF",PR!$P398,IF(F400="DYNAMIC",PR!$Q398,IF(F400="EMZOR",PR!$R398,IF(F400="EUMATT",PR!$S398,IF(F400="FIDSON",PR!$T398,IF(F400="FCGLOBAL",PR!$U398,IF(F400="GENEITH",PR!$V398,IF(F400="GINOS",PR!$W398,IF(F400="GSK",PR!$X398,IF(F400="GLOBORG",PR!$Y398,IF(F400="GOODNEWS",PR!$Z398,IF(F400="GREENLIFE",PR!$AA398,IF(F400="HLINE",PR!$AB398,IF(F400="ROTECH",PR!$AC398,IF(F400="ISN",PR!$AD398,IF(F400="JAWA",PR!$AE398,IF(F400="LAYO",PR!$AF398,IF(F400="LEADWAY",PR!$AG398,IF(F400="LHV",PR!$AH398,IF(F400="MANOLA",PR!$AI398,IF(F400="MARCSON",PR!$AJ398,IF(F400="M&amp;B",PR!$AK398,IF(F400="MTRUST",PR!$AL398,IF(F400="MWORLD",PR!$AM398,IF(F400="MEGA",PR!$AN398,IF(F400="MICRONOVA",PR!$AO398,IF(F400="MFLASH",PR!$AP398,IF(F400="MORISON",PR!$AQ398,IF(F400="NEMEL",PR!$AR398,IF(F400="NHP",PR!$AS398,IF(F400="NHC",PR!$AT398,IF(F400="OLEAF",PR!$AU398,IF(F400="OCULUS",PR!$AV398,IF(F400="PACIFIC",PR!$AW398,IF(F400="PHAMATEX",PR!$AX398,IF(F400="PETHICS",PR!$AY398,IF(F400="PHILIPS",PR!$AZ398,IF(F400="RANBAXY",PR!$BA398,IF(F400="REALS",PR!$BB398,IF(F400="ROYAL",PR!$BC398,IF(F400="SAM",PR!$BD398,IF(F400="SEAGREEN",PR!$BE398,IF(F400="SKG",PR!$BF398,IF(F400="TAH",PR!$BG398,IF(F400="TAYLEK",PR!$BH398,IF(F400="TEMITA",PR!$BI398,IF(F400="THL",PR!$BJ398,IF(F400="UBASTIC",PR!$BK398,IF(F400="UNION",PR!$BL398,IF(F400="UNIQUE",PR!$BM398,IF(F400="VIXA",PR!$BN398,IF(F400="WWCV",PR!$BO398,IF(F400="ZOLON",PR!$BP398,"-"))))))))))))))))))))))))))))))))))))))))))))))))))))))))))))))))</f>
        <v>1350</v>
      </c>
      <c r="F400" s="102" t="str">
        <f>EV!L524</f>
        <v>EUMATT</v>
      </c>
      <c r="G400" s="108" t="str">
        <f>IF(H400="ALPHA",PR!$E398,IF(H400="ASSENE",PR!$F398,IF(H400="BIOFEM",PR!$G398,IF(H400="BIOMED",PR!$H398,IF(H400="CHI",PR!$I398,IF(H400="CLARION",PR!$J398,IF(H400="CODIX",PR!$K398,IF(H400="COSMADE",PR!$L398,IF(H400="SANCON",PR!$M398,IF(H400="DEVON",PR!$N398,IF(H400="DORTEMAG",PR!$O398,IF(H400="DGF",PR!$P398,IF(H400="DYNAMIC",PR!$Q398,IF(H400="EMZOR",PR!$R398,IF(H400="EUMATT",PR!$S398,IF(H400="FIDSON",PR!$T398,IF(H400="FCGLOBAL",PR!$U398,IF(H400="GENEITH",PR!$V398,IF(H400="GINOS",PR!$W398,IF(H400="GSK",PR!$X398,IF(H400="GLOBORG",PR!$Y398,IF(H400="GOODNEWS",PR!$Z398,IF(H400="GREENLIFE",PR!$AA398,IF(H400="HLINE",PR!$AB398,IF(H400="ROTECH",PR!$AC398,IF(H400="ISN",PR!$AD398,IF(H400="JAWA",PR!$AE398,IF(H400="LAYO",PR!$AF398,IF(H400="LEADWAY",PR!$AG398,IF(H400="LHV",PR!$AH398,IF(H400="MANOLA",PR!$AI398,IF(H400="MARCSON",PR!$AJ398,IF(H400="M&amp;B",PR!$AK398,IF(H400="MTRUST",PR!$AL398,IF(H400="MWORLD",PR!$AM398,IF(H400="MEGA",PR!$AN398,IF(H400="MICRONOVA",PR!$AO398,IF(H400="MFLASH",PR!$AP398,IF(H400="MORISON",PR!$AQ398,IF(H400="NEMEL",PR!$AR398,IF(H400="NHP",PR!$AS398,IF(H400="NHC",PR!$AT398,IF(H400="OLEAF",PR!$AU398,IF(H400="OCULUS",PR!$AV398,IF(H400="PACIFIC",PR!$AW398,IF(H400="PHAMATEX",PR!$AX398,IF(H400="PETHICS",PR!$AY398,IF(H400="PHILIPS",PR!$AZ398,IF(H400="RANBAXY",PR!$BA398,IF(H400="REALS",PR!$BB398,IF(H400="ROYAL",PR!$BC398,IF(H400="SAM",PR!$BD398,IF(H400="SEAGREEN",PR!$BE398,IF(H400="SKG",PR!$BF398,IF(H400="TAH",PR!$BG398,IF(H400="TAYLEK",PR!$BH398,IF(H400="TEMITA",PR!$BI398,IF(H400="THL",PR!$BJ398,IF(H400="UBASTIC",PR!$BK398,IF(H400="UNION",PR!$BL398,IF(H400="UNIQUE",PR!$BM398,IF(H400="VIXA",PR!$BN398,IF(H400="WWCV",PR!$BO398,IF(H400="ZOLON",PR!$BP398,"-"))))))))))))))))))))))))))))))))))))))))))))))))))))))))))))))))</f>
        <v>-</v>
      </c>
      <c r="H400" s="102">
        <f>EV!M524</f>
        <v>0</v>
      </c>
      <c r="I400" s="108" t="str">
        <f>IF(J400="ALPHA",PR!$E398,IF(J400="ASSENE",PR!$F398,IF(J400="BIOFEM",PR!$G398,IF(J400="BIOMED",PR!$H398,IF(J400="CHI",PR!$I398,IF(J400="CLARION",PR!$J398,IF(J400="CODIX",PR!$K398,IF(J400="COSMADE",PR!$L398,IF(J400="SANCON",PR!$M398,IF(J400="DEVON",PR!$N398,IF(J400="DORTEMAG",PR!$O398,IF(J400="DGF",PR!$P398,IF(J400="DYNAMIC",PR!$Q398,IF(J400="EMZOR",PR!$R398,IF(J400="EUMATT",PR!$S398,IF(J400="FIDSON",PR!$T398,IF(J400="FCGLOBAL",PR!$U398,IF(J400="GENEITH",PR!$V398,IF(J400="GINOS",PR!$W398,IF(J400="GSK",PR!$X398,IF(J400="GLOBORG",PR!$Y398,IF(J400="GOODNEWS",PR!$Z398,IF(J400="GREENLIFE",PR!$AA398,IF(J400="HLINE",PR!$AB398,IF(J400="ROTECH",PR!$AC398,IF(J400="ISN",PR!$AD398,IF(J400="JAWA",PR!$AE398,IF(J400="LAYO",PR!$AF398,IF(J400="LEADWAY",PR!$AG398,IF(J400="LHV",PR!$AH398,IF(J400="MANOLA",PR!$AI398,IF(J400="MARCSON",PR!$AJ398,IF(J400="M&amp;B",PR!$AK398,IF(J400="MTRUST",PR!$AL398,IF(J400="MWORLD",PR!$AM398,IF(J400="MEGA",PR!$AN398,IF(J400="MICRONOVA",PR!$AO398,IF(J400="MFLASH",PR!$AP398,IF(J400="MORISON",PR!$AQ398,IF(J400="NEMEL",PR!$AR398,IF(J400="NHP",PR!$AS398,IF(J400="NHC",PR!$AT398,IF(J400="OLEAF",PR!$AU398,IF(J400="OCULUS",PR!$AV398,IF(J400="PACIFIC",PR!$AW398,IF(J400="PHAMATEX",PR!$AX398,IF(J400="PETHICS",PR!$AY398,IF(J400="PHILIPS",PR!$AZ398,IF(J400="RANBAXY",PR!$BA398,IF(J400="REALS",PR!$BB398,IF(J400="ROYAL",PR!$BC398,IF(J400="SAM",PR!$BD398,IF(J400="SEAGREEN",PR!$BE398,IF(J400="SKG",PR!$BF398,IF(J400="TAH",PR!$BG398,IF(J400="TAYLEK",PR!$BH398,IF(J400="TEMITA",PR!$BI398,IF(J400="THL",PR!$BJ398,IF(J400="UBASTIC",PR!$BK398,IF(J400="UNION",PR!$BL398,IF(J400="UNIQUE",PR!$BM398,IF(J400="VIXA",PR!$BN398,IF(J400="WWCV",PR!$BO398,IF(J400="ZOLON",PR!$BP398,"-"))))))))))))))))))))))))))))))))))))))))))))))))))))))))))))))))</f>
        <v>-</v>
      </c>
      <c r="J400" s="102">
        <f>EV!N524</f>
        <v>0</v>
      </c>
      <c r="K400" s="433" t="s">
        <v>821</v>
      </c>
      <c r="L400" s="183">
        <f>IF(K400&gt;0,IF(K400="ALPHA",PR!$E398,IF(K400="ASSENE",PR!$F398,IF(K400="BIOFEM",PR!$G398,IF(K400="BIOMED",PR!$H398,IF(K400="CHI",PR!$I398,IF(K400="CLARION",PR!$J398,IF(K400="CODIX",PR!$K398,IF(K400="COSMADE",PR!$L398,IF(K400="SANCON",PR!$M398,IF(K400="DEVON",PR!$N398,IF(K400="DORTEMAG",PR!$O398,IF(K400="DGF",PR!$P398,IF(K400="DYNAMIC",PR!$Q398,IF(K400="EMZOR",PR!$R398,IF(K400="EUMATT",PR!$S398,IF(K400="FIDSON",PR!$T398,IF(K400="FCGLOBAL",PR!$U398,IF(K400="GENEITH",PR!$V398,IF(K400="GINOS",PR!$W398,IF(K400="GSK",PR!$X398,IF(K400="GLOBORG",PR!$Y398,IF(K400="GOODNEWS",PR!$Z398,IF(K400="GREENLIFE",PR!$AA398,IF(K400="HLINE",PR!$AB398,IF(K400="ROTECH",PR!$AC398,IF(K400="ISN",PR!$AD398,IF(K400="JAWA",PR!$AE398,IF(K400="LAYO",PR!$AF398,IF(K400="LEADWAY",PR!$AG398,IF(K400="LHV",PR!$AH398,IF(K400="MANOLA",PR!$AI398,IF(K400="MARCSON",PR!$AJ398,IF(K400="M&amp;B",PR!$AK398,IF(K400="MTRUST",PR!$AL398,IF(K400="MWORLD",PR!$AM398,IF(K400="MEGA",PR!$AN398,IF(K400="MICRONOVA",PR!$AO398,IF(K400="MFLASH",PR!$AP398,IF(K400="MORISON",PR!$AQ398,IF(K400="NEMEL",PR!$AR398,IF(K400="NHP",PR!$AS398,IF(K400="NHC",PR!$AT398,IF(K400="OLEAF",PR!$AU398,IF(K400="OCULUS",PR!$AV398,IF(K400="PACIFIC",PR!$AW398,IF(K400="PHAMATEX",PR!$AX398,IF(K400="PETHICS",PR!$AY398,IF(K400="PHILIPS",PR!$AZ398,IF(K400="RANBAXY",PR!$BA398,IF(K400="REALS",PR!$BB398,IF(K400="ROYAL",PR!$BC398,IF(K400="SAM",PR!$BD398,IF(K400="SEAGREEN",PR!$BE398,IF(K400="SKG",PR!$BF398,IF(K400="TAH",PR!$BG398,IF(K400="TAYLEK",PR!$BH398,IF(K400="TEMITA",PR!$BI398,IF(K400="THL",PR!$BJ398,IF(K400="UBASTIC",PR!$BK398,IF(K400="UNION",PR!$BL398,IF(K400="UNIQUE",PR!$BM398,IF(K400="VIXA",PR!$BN398,IF(K400="WWCV",PR!$BO398,IF(K400="ZOLON",PR!$BP398,"-")))))))))))))))))))))))))))))))))))))))))))))))))))))))))))))))))</f>
        <v>1350</v>
      </c>
    </row>
    <row r="401" spans="1:12" ht="18.75" x14ac:dyDescent="0.3">
      <c r="A401" s="430">
        <f>PR!A399</f>
        <v>365</v>
      </c>
      <c r="B401" s="15" t="str">
        <f>PR!B399</f>
        <v>FLUPENTHIXOL DECANOATE 40MG</v>
      </c>
      <c r="C401" s="113" t="str">
        <f>PR!D399</f>
        <v>AMP</v>
      </c>
      <c r="D401" s="113">
        <f>PR!C399</f>
        <v>100</v>
      </c>
      <c r="E401" s="108">
        <f>IF(F401="ALPHA",PR!$E399,IF(F401="ASSENE",PR!$F399,IF(F401="BIOFEM",PR!$G399,IF(F401="BIOMED",PR!$H399,IF(F401="CHI",PR!$I399,IF(F401="CLARION",PR!$J399,IF(F401="CODIX",PR!$K399,IF(F401="COSMADE",PR!$L399,IF(F401="SANCON",PR!$M399,IF(F401="DEVON",PR!$N399,IF(F401="DORTEMAG",PR!$O399,IF(F401="DGF",PR!$P399,IF(F401="DYNAMIC",PR!$Q399,IF(F401="EMZOR",PR!$R399,IF(F401="EUMATT",PR!$S399,IF(F401="FIDSON",PR!$T399,IF(F401="FCGLOBAL",PR!$U399,IF(F401="GENEITH",PR!$V399,IF(F401="GINOS",PR!$W399,IF(F401="GSK",PR!$X399,IF(F401="GLOBORG",PR!$Y399,IF(F401="GOODNEWS",PR!$Z399,IF(F401="GREENLIFE",PR!$AA399,IF(F401="HLINE",PR!$AB399,IF(F401="ROTECH",PR!$AC399,IF(F401="ISN",PR!$AD399,IF(F401="JAWA",PR!$AE399,IF(F401="LAYO",PR!$AF399,IF(F401="LEADWAY",PR!$AG399,IF(F401="LHV",PR!$AH399,IF(F401="MANOLA",PR!$AI399,IF(F401="MARCSON",PR!$AJ399,IF(F401="M&amp;B",PR!$AK399,IF(F401="MTRUST",PR!$AL399,IF(F401="MWORLD",PR!$AM399,IF(F401="MEGA",PR!$AN399,IF(F401="MICRONOVA",PR!$AO399,IF(F401="MFLASH",PR!$AP399,IF(F401="MORISON",PR!$AQ399,IF(F401="NEMEL",PR!$AR399,IF(F401="NHP",PR!$AS399,IF(F401="NHC",PR!$AT399,IF(F401="OLEAF",PR!$AU399,IF(F401="OCULUS",PR!$AV399,IF(F401="PACIFIC",PR!$AW399,IF(F401="PHAMATEX",PR!$AX399,IF(F401="PETHICS",PR!$AY399,IF(F401="PHILIPS",PR!$AZ399,IF(F401="RANBAXY",PR!$BA399,IF(F401="REALS",PR!$BB399,IF(F401="ROYAL",PR!$BC399,IF(F401="SAM",PR!$BD399,IF(F401="SEAGREEN",PR!$BE399,IF(F401="SKG",PR!$BF399,IF(F401="TAH",PR!$BG399,IF(F401="TAYLEK",PR!$BH399,IF(F401="TEMITA",PR!$BI399,IF(F401="THL",PR!$BJ399,IF(F401="UBASTIC",PR!$BK399,IF(F401="UNION",PR!$BL399,IF(F401="UNIQUE",PR!$BM399,IF(F401="VIXA",PR!$BN399,IF(F401="WWCV",PR!$BO399,IF(F401="ZOLON",PR!$BP399,"-"))))))))))))))))))))))))))))))))))))))))))))))))))))))))))))))))</f>
        <v>2200</v>
      </c>
      <c r="F401" s="102" t="str">
        <f>EV!L525</f>
        <v>EUMATT</v>
      </c>
      <c r="G401" s="108" t="str">
        <f>IF(H401="ALPHA",PR!$E399,IF(H401="ASSENE",PR!$F399,IF(H401="BIOFEM",PR!$G399,IF(H401="BIOMED",PR!$H399,IF(H401="CHI",PR!$I399,IF(H401="CLARION",PR!$J399,IF(H401="CODIX",PR!$K399,IF(H401="COSMADE",PR!$L399,IF(H401="SANCON",PR!$M399,IF(H401="DEVON",PR!$N399,IF(H401="DORTEMAG",PR!$O399,IF(H401="DGF",PR!$P399,IF(H401="DYNAMIC",PR!$Q399,IF(H401="EMZOR",PR!$R399,IF(H401="EUMATT",PR!$S399,IF(H401="FIDSON",PR!$T399,IF(H401="FCGLOBAL",PR!$U399,IF(H401="GENEITH",PR!$V399,IF(H401="GINOS",PR!$W399,IF(H401="GSK",PR!$X399,IF(H401="GLOBORG",PR!$Y399,IF(H401="GOODNEWS",PR!$Z399,IF(H401="GREENLIFE",PR!$AA399,IF(H401="HLINE",PR!$AB399,IF(H401="ROTECH",PR!$AC399,IF(H401="ISN",PR!$AD399,IF(H401="JAWA",PR!$AE399,IF(H401="LAYO",PR!$AF399,IF(H401="LEADWAY",PR!$AG399,IF(H401="LHV",PR!$AH399,IF(H401="MANOLA",PR!$AI399,IF(H401="MARCSON",PR!$AJ399,IF(H401="M&amp;B",PR!$AK399,IF(H401="MTRUST",PR!$AL399,IF(H401="MWORLD",PR!$AM399,IF(H401="MEGA",PR!$AN399,IF(H401="MICRONOVA",PR!$AO399,IF(H401="MFLASH",PR!$AP399,IF(H401="MORISON",PR!$AQ399,IF(H401="NEMEL",PR!$AR399,IF(H401="NHP",PR!$AS399,IF(H401="NHC",PR!$AT399,IF(H401="OLEAF",PR!$AU399,IF(H401="OCULUS",PR!$AV399,IF(H401="PACIFIC",PR!$AW399,IF(H401="PHAMATEX",PR!$AX399,IF(H401="PETHICS",PR!$AY399,IF(H401="PHILIPS",PR!$AZ399,IF(H401="RANBAXY",PR!$BA399,IF(H401="REALS",PR!$BB399,IF(H401="ROYAL",PR!$BC399,IF(H401="SAM",PR!$BD399,IF(H401="SEAGREEN",PR!$BE399,IF(H401="SKG",PR!$BF399,IF(H401="TAH",PR!$BG399,IF(H401="TAYLEK",PR!$BH399,IF(H401="TEMITA",PR!$BI399,IF(H401="THL",PR!$BJ399,IF(H401="UBASTIC",PR!$BK399,IF(H401="UNION",PR!$BL399,IF(H401="UNIQUE",PR!$BM399,IF(H401="VIXA",PR!$BN399,IF(H401="WWCV",PR!$BO399,IF(H401="ZOLON",PR!$BP399,"-"))))))))))))))))))))))))))))))))))))))))))))))))))))))))))))))))</f>
        <v>-</v>
      </c>
      <c r="H401" s="102">
        <f>EV!M525</f>
        <v>0</v>
      </c>
      <c r="I401" s="108" t="str">
        <f>IF(J401="ALPHA",PR!$E399,IF(J401="ASSENE",PR!$F399,IF(J401="BIOFEM",PR!$G399,IF(J401="BIOMED",PR!$H399,IF(J401="CHI",PR!$I399,IF(J401="CLARION",PR!$J399,IF(J401="CODIX",PR!$K399,IF(J401="COSMADE",PR!$L399,IF(J401="SANCON",PR!$M399,IF(J401="DEVON",PR!$N399,IF(J401="DORTEMAG",PR!$O399,IF(J401="DGF",PR!$P399,IF(J401="DYNAMIC",PR!$Q399,IF(J401="EMZOR",PR!$R399,IF(J401="EUMATT",PR!$S399,IF(J401="FIDSON",PR!$T399,IF(J401="FCGLOBAL",PR!$U399,IF(J401="GENEITH",PR!$V399,IF(J401="GINOS",PR!$W399,IF(J401="GSK",PR!$X399,IF(J401="GLOBORG",PR!$Y399,IF(J401="GOODNEWS",PR!$Z399,IF(J401="GREENLIFE",PR!$AA399,IF(J401="HLINE",PR!$AB399,IF(J401="ROTECH",PR!$AC399,IF(J401="ISN",PR!$AD399,IF(J401="JAWA",PR!$AE399,IF(J401="LAYO",PR!$AF399,IF(J401="LEADWAY",PR!$AG399,IF(J401="LHV",PR!$AH399,IF(J401="MANOLA",PR!$AI399,IF(J401="MARCSON",PR!$AJ399,IF(J401="M&amp;B",PR!$AK399,IF(J401="MTRUST",PR!$AL399,IF(J401="MWORLD",PR!$AM399,IF(J401="MEGA",PR!$AN399,IF(J401="MICRONOVA",PR!$AO399,IF(J401="MFLASH",PR!$AP399,IF(J401="MORISON",PR!$AQ399,IF(J401="NEMEL",PR!$AR399,IF(J401="NHP",PR!$AS399,IF(J401="NHC",PR!$AT399,IF(J401="OLEAF",PR!$AU399,IF(J401="OCULUS",PR!$AV399,IF(J401="PACIFIC",PR!$AW399,IF(J401="PHAMATEX",PR!$AX399,IF(J401="PETHICS",PR!$AY399,IF(J401="PHILIPS",PR!$AZ399,IF(J401="RANBAXY",PR!$BA399,IF(J401="REALS",PR!$BB399,IF(J401="ROYAL",PR!$BC399,IF(J401="SAM",PR!$BD399,IF(J401="SEAGREEN",PR!$BE399,IF(J401="SKG",PR!$BF399,IF(J401="TAH",PR!$BG399,IF(J401="TAYLEK",PR!$BH399,IF(J401="TEMITA",PR!$BI399,IF(J401="THL",PR!$BJ399,IF(J401="UBASTIC",PR!$BK399,IF(J401="UNION",PR!$BL399,IF(J401="UNIQUE",PR!$BM399,IF(J401="VIXA",PR!$BN399,IF(J401="WWCV",PR!$BO399,IF(J401="ZOLON",PR!$BP399,"-"))))))))))))))))))))))))))))))))))))))))))))))))))))))))))))))))</f>
        <v>-</v>
      </c>
      <c r="J401" s="102">
        <f>EV!N525</f>
        <v>0</v>
      </c>
      <c r="K401" s="433" t="s">
        <v>821</v>
      </c>
      <c r="L401" s="183">
        <f>IF(K401&gt;0,IF(K401="ALPHA",PR!$E399,IF(K401="ASSENE",PR!$F399,IF(K401="BIOFEM",PR!$G399,IF(K401="BIOMED",PR!$H399,IF(K401="CHI",PR!$I399,IF(K401="CLARION",PR!$J399,IF(K401="CODIX",PR!$K399,IF(K401="COSMADE",PR!$L399,IF(K401="SANCON",PR!$M399,IF(K401="DEVON",PR!$N399,IF(K401="DORTEMAG",PR!$O399,IF(K401="DGF",PR!$P399,IF(K401="DYNAMIC",PR!$Q399,IF(K401="EMZOR",PR!$R399,IF(K401="EUMATT",PR!$S399,IF(K401="FIDSON",PR!$T399,IF(K401="FCGLOBAL",PR!$U399,IF(K401="GENEITH",PR!$V399,IF(K401="GINOS",PR!$W399,IF(K401="GSK",PR!$X399,IF(K401="GLOBORG",PR!$Y399,IF(K401="GOODNEWS",PR!$Z399,IF(K401="GREENLIFE",PR!$AA399,IF(K401="HLINE",PR!$AB399,IF(K401="ROTECH",PR!$AC399,IF(K401="ISN",PR!$AD399,IF(K401="JAWA",PR!$AE399,IF(K401="LAYO",PR!$AF399,IF(K401="LEADWAY",PR!$AG399,IF(K401="LHV",PR!$AH399,IF(K401="MANOLA",PR!$AI399,IF(K401="MARCSON",PR!$AJ399,IF(K401="M&amp;B",PR!$AK399,IF(K401="MTRUST",PR!$AL399,IF(K401="MWORLD",PR!$AM399,IF(K401="MEGA",PR!$AN399,IF(K401="MICRONOVA",PR!$AO399,IF(K401="MFLASH",PR!$AP399,IF(K401="MORISON",PR!$AQ399,IF(K401="NEMEL",PR!$AR399,IF(K401="NHP",PR!$AS399,IF(K401="NHC",PR!$AT399,IF(K401="OLEAF",PR!$AU399,IF(K401="OCULUS",PR!$AV399,IF(K401="PACIFIC",PR!$AW399,IF(K401="PHAMATEX",PR!$AX399,IF(K401="PETHICS",PR!$AY399,IF(K401="PHILIPS",PR!$AZ399,IF(K401="RANBAXY",PR!$BA399,IF(K401="REALS",PR!$BB399,IF(K401="ROYAL",PR!$BC399,IF(K401="SAM",PR!$BD399,IF(K401="SEAGREEN",PR!$BE399,IF(K401="SKG",PR!$BF399,IF(K401="TAH",PR!$BG399,IF(K401="TAYLEK",PR!$BH399,IF(K401="TEMITA",PR!$BI399,IF(K401="THL",PR!$BJ399,IF(K401="UBASTIC",PR!$BK399,IF(K401="UNION",PR!$BL399,IF(K401="UNIQUE",PR!$BM399,IF(K401="VIXA",PR!$BN399,IF(K401="WWCV",PR!$BO399,IF(K401="ZOLON",PR!$BP399,"-")))))))))))))))))))))))))))))))))))))))))))))))))))))))))))))))))</f>
        <v>2200</v>
      </c>
    </row>
    <row r="402" spans="1:12" ht="18.75" x14ac:dyDescent="0.3">
      <c r="A402" s="430">
        <f>PR!A400</f>
        <v>366</v>
      </c>
      <c r="B402" s="15" t="str">
        <f>PR!B400</f>
        <v>GABAPENTIN+METHYLCOBALAMIN (500MCG/300MG)</v>
      </c>
      <c r="C402" s="113">
        <f>PR!D400</f>
        <v>100</v>
      </c>
      <c r="D402" s="113">
        <f>PR!C400</f>
        <v>500</v>
      </c>
      <c r="E402" s="108">
        <f>IF(F402="ALPHA",PR!$E400,IF(F402="ASSENE",PR!$F400,IF(F402="BIOFEM",PR!$G400,IF(F402="BIOMED",PR!$H400,IF(F402="CHI",PR!$I400,IF(F402="CLARION",PR!$J400,IF(F402="CODIX",PR!$K400,IF(F402="COSMADE",PR!$L400,IF(F402="SANCON",PR!$M400,IF(F402="DEVON",PR!$N400,IF(F402="DORTEMAG",PR!$O400,IF(F402="DGF",PR!$P400,IF(F402="DYNAMIC",PR!$Q400,IF(F402="EMZOR",PR!$R400,IF(F402="EUMATT",PR!$S400,IF(F402="FIDSON",PR!$T400,IF(F402="FCGLOBAL",PR!$U400,IF(F402="GENEITH",PR!$V400,IF(F402="GINOS",PR!$W400,IF(F402="GSK",PR!$X400,IF(F402="GLOBORG",PR!$Y400,IF(F402="GOODNEWS",PR!$Z400,IF(F402="GREENLIFE",PR!$AA400,IF(F402="HLINE",PR!$AB400,IF(F402="ROTECH",PR!$AC400,IF(F402="ISN",PR!$AD400,IF(F402="JAWA",PR!$AE400,IF(F402="LAYO",PR!$AF400,IF(F402="LEADWAY",PR!$AG400,IF(F402="LHV",PR!$AH400,IF(F402="MANOLA",PR!$AI400,IF(F402="MARCSON",PR!$AJ400,IF(F402="M&amp;B",PR!$AK400,IF(F402="MTRUST",PR!$AL400,IF(F402="MWORLD",PR!$AM400,IF(F402="MEGA",PR!$AN400,IF(F402="MICRONOVA",PR!$AO400,IF(F402="MFLASH",PR!$AP400,IF(F402="MORISON",PR!$AQ400,IF(F402="NEMEL",PR!$AR400,IF(F402="NHP",PR!$AS400,IF(F402="NHC",PR!$AT400,IF(F402="OLEAF",PR!$AU400,IF(F402="OCULUS",PR!$AV400,IF(F402="PACIFIC",PR!$AW400,IF(F402="PHAMATEX",PR!$AX400,IF(F402="PETHICS",PR!$AY400,IF(F402="PHILIPS",PR!$AZ400,IF(F402="RANBAXY",PR!$BA400,IF(F402="REALS",PR!$BB400,IF(F402="ROYAL",PR!$BC400,IF(F402="SAM",PR!$BD400,IF(F402="SEAGREEN",PR!$BE400,IF(F402="SKG",PR!$BF400,IF(F402="TAH",PR!$BG400,IF(F402="TAYLEK",PR!$BH400,IF(F402="TEMITA",PR!$BI400,IF(F402="THL",PR!$BJ400,IF(F402="UBASTIC",PR!$BK400,IF(F402="UNION",PR!$BL400,IF(F402="UNIQUE",PR!$BM400,IF(F402="VIXA",PR!$BN400,IF(F402="WWCV",PR!$BO400,IF(F402="ZOLON",PR!$BP400,"-"))))))))))))))))))))))))))))))))))))))))))))))))))))))))))))))))</f>
        <v>1800</v>
      </c>
      <c r="F402" s="102" t="str">
        <f>EV!L526</f>
        <v>MICRONOVA</v>
      </c>
      <c r="G402" s="108">
        <f>IF(H402="ALPHA",PR!$E400,IF(H402="ASSENE",PR!$F400,IF(H402="BIOFEM",PR!$G400,IF(H402="BIOMED",PR!$H400,IF(H402="CHI",PR!$I400,IF(H402="CLARION",PR!$J400,IF(H402="CODIX",PR!$K400,IF(H402="COSMADE",PR!$L400,IF(H402="SANCON",PR!$M400,IF(H402="DEVON",PR!$N400,IF(H402="DORTEMAG",PR!$O400,IF(H402="DGF",PR!$P400,IF(H402="DYNAMIC",PR!$Q400,IF(H402="EMZOR",PR!$R400,IF(H402="EUMATT",PR!$S400,IF(H402="FIDSON",PR!$T400,IF(H402="FCGLOBAL",PR!$U400,IF(H402="GENEITH",PR!$V400,IF(H402="GINOS",PR!$W400,IF(H402="GSK",PR!$X400,IF(H402="GLOBORG",PR!$Y400,IF(H402="GOODNEWS",PR!$Z400,IF(H402="GREENLIFE",PR!$AA400,IF(H402="HLINE",PR!$AB400,IF(H402="ROTECH",PR!$AC400,IF(H402="ISN",PR!$AD400,IF(H402="JAWA",PR!$AE400,IF(H402="LAYO",PR!$AF400,IF(H402="LEADWAY",PR!$AG400,IF(H402="LHV",PR!$AH400,IF(H402="MANOLA",PR!$AI400,IF(H402="MARCSON",PR!$AJ400,IF(H402="M&amp;B",PR!$AK400,IF(H402="MTRUST",PR!$AL400,IF(H402="MWORLD",PR!$AM400,IF(H402="MEGA",PR!$AN400,IF(H402="MICRONOVA",PR!$AO400,IF(H402="MFLASH",PR!$AP400,IF(H402="MORISON",PR!$AQ400,IF(H402="NEMEL",PR!$AR400,IF(H402="NHP",PR!$AS400,IF(H402="NHC",PR!$AT400,IF(H402="OLEAF",PR!$AU400,IF(H402="OCULUS",PR!$AV400,IF(H402="PACIFIC",PR!$AW400,IF(H402="PHAMATEX",PR!$AX400,IF(H402="PETHICS",PR!$AY400,IF(H402="PHILIPS",PR!$AZ400,IF(H402="RANBAXY",PR!$BA400,IF(H402="REALS",PR!$BB400,IF(H402="ROYAL",PR!$BC400,IF(H402="SAM",PR!$BD400,IF(H402="SEAGREEN",PR!$BE400,IF(H402="SKG",PR!$BF400,IF(H402="TAH",PR!$BG400,IF(H402="TAYLEK",PR!$BH400,IF(H402="TEMITA",PR!$BI400,IF(H402="THL",PR!$BJ400,IF(H402="UBASTIC",PR!$BK400,IF(H402="UNION",PR!$BL400,IF(H402="UNIQUE",PR!$BM400,IF(H402="VIXA",PR!$BN400,IF(H402="WWCV",PR!$BO400,IF(H402="ZOLON",PR!$BP400,"-"))))))))))))))))))))))))))))))))))))))))))))))))))))))))))))))))</f>
        <v>6800</v>
      </c>
      <c r="H402" s="102" t="str">
        <f>EV!M526</f>
        <v>BIOFEM</v>
      </c>
      <c r="I402" s="108" t="str">
        <f>IF(J402="ALPHA",PR!$E400,IF(J402="ASSENE",PR!$F400,IF(J402="BIOFEM",PR!$G400,IF(J402="BIOMED",PR!$H400,IF(J402="CHI",PR!$I400,IF(J402="CLARION",PR!$J400,IF(J402="CODIX",PR!$K400,IF(J402="COSMADE",PR!$L400,IF(J402="SANCON",PR!$M400,IF(J402="DEVON",PR!$N400,IF(J402="DORTEMAG",PR!$O400,IF(J402="DGF",PR!$P400,IF(J402="DYNAMIC",PR!$Q400,IF(J402="EMZOR",PR!$R400,IF(J402="EUMATT",PR!$S400,IF(J402="FIDSON",PR!$T400,IF(J402="FCGLOBAL",PR!$U400,IF(J402="GENEITH",PR!$V400,IF(J402="GINOS",PR!$W400,IF(J402="GSK",PR!$X400,IF(J402="GLOBORG",PR!$Y400,IF(J402="GOODNEWS",PR!$Z400,IF(J402="GREENLIFE",PR!$AA400,IF(J402="HLINE",PR!$AB400,IF(J402="ROTECH",PR!$AC400,IF(J402="ISN",PR!$AD400,IF(J402="JAWA",PR!$AE400,IF(J402="LAYO",PR!$AF400,IF(J402="LEADWAY",PR!$AG400,IF(J402="LHV",PR!$AH400,IF(J402="MANOLA",PR!$AI400,IF(J402="MARCSON",PR!$AJ400,IF(J402="M&amp;B",PR!$AK400,IF(J402="MTRUST",PR!$AL400,IF(J402="MWORLD",PR!$AM400,IF(J402="MEGA",PR!$AN400,IF(J402="MICRONOVA",PR!$AO400,IF(J402="MFLASH",PR!$AP400,IF(J402="MORISON",PR!$AQ400,IF(J402="NEMEL",PR!$AR400,IF(J402="NHP",PR!$AS400,IF(J402="NHC",PR!$AT400,IF(J402="OLEAF",PR!$AU400,IF(J402="OCULUS",PR!$AV400,IF(J402="PACIFIC",PR!$AW400,IF(J402="PHAMATEX",PR!$AX400,IF(J402="PETHICS",PR!$AY400,IF(J402="PHILIPS",PR!$AZ400,IF(J402="RANBAXY",PR!$BA400,IF(J402="REALS",PR!$BB400,IF(J402="ROYAL",PR!$BC400,IF(J402="SAM",PR!$BD400,IF(J402="SEAGREEN",PR!$BE400,IF(J402="SKG",PR!$BF400,IF(J402="TAH",PR!$BG400,IF(J402="TAYLEK",PR!$BH400,IF(J402="TEMITA",PR!$BI400,IF(J402="THL",PR!$BJ400,IF(J402="UBASTIC",PR!$BK400,IF(J402="UNION",PR!$BL400,IF(J402="UNIQUE",PR!$BM400,IF(J402="VIXA",PR!$BN400,IF(J402="WWCV",PR!$BO400,IF(J402="ZOLON",PR!$BP400,"-"))))))))))))))))))))))))))))))))))))))))))))))))))))))))))))))))</f>
        <v>-</v>
      </c>
      <c r="J402" s="102">
        <f>EV!N526</f>
        <v>0</v>
      </c>
      <c r="K402" s="433" t="s">
        <v>628</v>
      </c>
      <c r="L402" s="183">
        <f>IF(K402&gt;0,IF(K402="ALPHA",PR!$E400,IF(K402="ASSENE",PR!$F400,IF(K402="BIOFEM",PR!$G400,IF(K402="BIOMED",PR!$H400,IF(K402="CHI",PR!$I400,IF(K402="CLARION",PR!$J400,IF(K402="CODIX",PR!$K400,IF(K402="COSMADE",PR!$L400,IF(K402="SANCON",PR!$M400,IF(K402="DEVON",PR!$N400,IF(K402="DORTEMAG",PR!$O400,IF(K402="DGF",PR!$P400,IF(K402="DYNAMIC",PR!$Q400,IF(K402="EMZOR",PR!$R400,IF(K402="EUMATT",PR!$S400,IF(K402="FIDSON",PR!$T400,IF(K402="FCGLOBAL",PR!$U400,IF(K402="GENEITH",PR!$V400,IF(K402="GINOS",PR!$W400,IF(K402="GSK",PR!$X400,IF(K402="GLOBORG",PR!$Y400,IF(K402="GOODNEWS",PR!$Z400,IF(K402="GREENLIFE",PR!$AA400,IF(K402="HLINE",PR!$AB400,IF(K402="ROTECH",PR!$AC400,IF(K402="ISN",PR!$AD400,IF(K402="JAWA",PR!$AE400,IF(K402="LAYO",PR!$AF400,IF(K402="LEADWAY",PR!$AG400,IF(K402="LHV",PR!$AH400,IF(K402="MANOLA",PR!$AI400,IF(K402="MARCSON",PR!$AJ400,IF(K402="M&amp;B",PR!$AK400,IF(K402="MTRUST",PR!$AL400,IF(K402="MWORLD",PR!$AM400,IF(K402="MEGA",PR!$AN400,IF(K402="MICRONOVA",PR!$AO400,IF(K402="MFLASH",PR!$AP400,IF(K402="MORISON",PR!$AQ400,IF(K402="NEMEL",PR!$AR400,IF(K402="NHP",PR!$AS400,IF(K402="NHC",PR!$AT400,IF(K402="OLEAF",PR!$AU400,IF(K402="OCULUS",PR!$AV400,IF(K402="PACIFIC",PR!$AW400,IF(K402="PHAMATEX",PR!$AX400,IF(K402="PETHICS",PR!$AY400,IF(K402="PHILIPS",PR!$AZ400,IF(K402="RANBAXY",PR!$BA400,IF(K402="REALS",PR!$BB400,IF(K402="ROYAL",PR!$BC400,IF(K402="SAM",PR!$BD400,IF(K402="SEAGREEN",PR!$BE400,IF(K402="SKG",PR!$BF400,IF(K402="TAH",PR!$BG400,IF(K402="TAYLEK",PR!$BH400,IF(K402="TEMITA",PR!$BI400,IF(K402="THL",PR!$BJ400,IF(K402="UBASTIC",PR!$BK400,IF(K402="UNION",PR!$BL400,IF(K402="UNIQUE",PR!$BM400,IF(K402="VIXA",PR!$BN400,IF(K402="WWCV",PR!$BO400,IF(K402="ZOLON",PR!$BP400,"-")))))))))))))))))))))))))))))))))))))))))))))))))))))))))))))))))</f>
        <v>6800</v>
      </c>
    </row>
    <row r="403" spans="1:12" ht="18.75" x14ac:dyDescent="0.3">
      <c r="A403" s="430">
        <f>PR!A401</f>
        <v>367</v>
      </c>
      <c r="B403" s="15" t="str">
        <f>PR!B401</f>
        <v>HALOPERIDOL 5MG TAB</v>
      </c>
      <c r="C403" s="113">
        <f>PR!D401</f>
        <v>1000</v>
      </c>
      <c r="D403" s="113">
        <f>PR!C401</f>
        <v>2</v>
      </c>
      <c r="E403" s="108">
        <f>IF(F403="ALPHA",PR!$E401,IF(F403="ASSENE",PR!$F401,IF(F403="BIOFEM",PR!$G401,IF(F403="BIOMED",PR!$H401,IF(F403="CHI",PR!$I401,IF(F403="CLARION",PR!$J401,IF(F403="CODIX",PR!$K401,IF(F403="COSMADE",PR!$L401,IF(F403="SANCON",PR!$M401,IF(F403="DEVON",PR!$N401,IF(F403="DORTEMAG",PR!$O401,IF(F403="DGF",PR!$P401,IF(F403="DYNAMIC",PR!$Q401,IF(F403="EMZOR",PR!$R401,IF(F403="EUMATT",PR!$S401,IF(F403="FIDSON",PR!$T401,IF(F403="FCGLOBAL",PR!$U401,IF(F403="GENEITH",PR!$V401,IF(F403="GINOS",PR!$W401,IF(F403="GSK",PR!$X401,IF(F403="GLOBORG",PR!$Y401,IF(F403="GOODNEWS",PR!$Z401,IF(F403="GREENLIFE",PR!$AA401,IF(F403="HLINE",PR!$AB401,IF(F403="ROTECH",PR!$AC401,IF(F403="ISN",PR!$AD401,IF(F403="JAWA",PR!$AE401,IF(F403="LAYO",PR!$AF401,IF(F403="LEADWAY",PR!$AG401,IF(F403="LHV",PR!$AH401,IF(F403="MANOLA",PR!$AI401,IF(F403="MARCSON",PR!$AJ401,IF(F403="M&amp;B",PR!$AK401,IF(F403="MTRUST",PR!$AL401,IF(F403="MWORLD",PR!$AM401,IF(F403="MEGA",PR!$AN401,IF(F403="MICRONOVA",PR!$AO401,IF(F403="MFLASH",PR!$AP401,IF(F403="MORISON",PR!$AQ401,IF(F403="NEMEL",PR!$AR401,IF(F403="NHP",PR!$AS401,IF(F403="NHC",PR!$AT401,IF(F403="OLEAF",PR!$AU401,IF(F403="OCULUS",PR!$AV401,IF(F403="PACIFIC",PR!$AW401,IF(F403="PHAMATEX",PR!$AX401,IF(F403="PETHICS",PR!$AY401,IF(F403="PHILIPS",PR!$AZ401,IF(F403="RANBAXY",PR!$BA401,IF(F403="REALS",PR!$BB401,IF(F403="ROYAL",PR!$BC401,IF(F403="SAM",PR!$BD401,IF(F403="SEAGREEN",PR!$BE401,IF(F403="SKG",PR!$BF401,IF(F403="TAH",PR!$BG401,IF(F403="TAYLEK",PR!$BH401,IF(F403="TEMITA",PR!$BI401,IF(F403="THL",PR!$BJ401,IF(F403="UBASTIC",PR!$BK401,IF(F403="UNION",PR!$BL401,IF(F403="UNIQUE",PR!$BM401,IF(F403="VIXA",PR!$BN401,IF(F403="WWCV",PR!$BO401,IF(F403="ZOLON",PR!$BP401,"-"))))))))))))))))))))))))))))))))))))))))))))))))))))))))))))))))</f>
        <v>2900</v>
      </c>
      <c r="F403" s="102" t="str">
        <f>EV!L527</f>
        <v>EUMATT</v>
      </c>
      <c r="G403" s="108" t="str">
        <f>IF(H403="ALPHA",PR!$E401,IF(H403="ASSENE",PR!$F401,IF(H403="BIOFEM",PR!$G401,IF(H403="BIOMED",PR!$H401,IF(H403="CHI",PR!$I401,IF(H403="CLARION",PR!$J401,IF(H403="CODIX",PR!$K401,IF(H403="COSMADE",PR!$L401,IF(H403="SANCON",PR!$M401,IF(H403="DEVON",PR!$N401,IF(H403="DORTEMAG",PR!$O401,IF(H403="DGF",PR!$P401,IF(H403="DYNAMIC",PR!$Q401,IF(H403="EMZOR",PR!$R401,IF(H403="EUMATT",PR!$S401,IF(H403="FIDSON",PR!$T401,IF(H403="FCGLOBAL",PR!$U401,IF(H403="GENEITH",PR!$V401,IF(H403="GINOS",PR!$W401,IF(H403="GSK",PR!$X401,IF(H403="GLOBORG",PR!$Y401,IF(H403="GOODNEWS",PR!$Z401,IF(H403="GREENLIFE",PR!$AA401,IF(H403="HLINE",PR!$AB401,IF(H403="ROTECH",PR!$AC401,IF(H403="ISN",PR!$AD401,IF(H403="JAWA",PR!$AE401,IF(H403="LAYO",PR!$AF401,IF(H403="LEADWAY",PR!$AG401,IF(H403="LHV",PR!$AH401,IF(H403="MANOLA",PR!$AI401,IF(H403="MARCSON",PR!$AJ401,IF(H403="M&amp;B",PR!$AK401,IF(H403="MTRUST",PR!$AL401,IF(H403="MWORLD",PR!$AM401,IF(H403="MEGA",PR!$AN401,IF(H403="MICRONOVA",PR!$AO401,IF(H403="MFLASH",PR!$AP401,IF(H403="MORISON",PR!$AQ401,IF(H403="NEMEL",PR!$AR401,IF(H403="NHP",PR!$AS401,IF(H403="NHC",PR!$AT401,IF(H403="OLEAF",PR!$AU401,IF(H403="OCULUS",PR!$AV401,IF(H403="PACIFIC",PR!$AW401,IF(H403="PHAMATEX",PR!$AX401,IF(H403="PETHICS",PR!$AY401,IF(H403="PHILIPS",PR!$AZ401,IF(H403="RANBAXY",PR!$BA401,IF(H403="REALS",PR!$BB401,IF(H403="ROYAL",PR!$BC401,IF(H403="SAM",PR!$BD401,IF(H403="SEAGREEN",PR!$BE401,IF(H403="SKG",PR!$BF401,IF(H403="TAH",PR!$BG401,IF(H403="TAYLEK",PR!$BH401,IF(H403="TEMITA",PR!$BI401,IF(H403="THL",PR!$BJ401,IF(H403="UBASTIC",PR!$BK401,IF(H403="UNION",PR!$BL401,IF(H403="UNIQUE",PR!$BM401,IF(H403="VIXA",PR!$BN401,IF(H403="WWCV",PR!$BO401,IF(H403="ZOLON",PR!$BP401,"-"))))))))))))))))))))))))))))))))))))))))))))))))))))))))))))))))</f>
        <v>-</v>
      </c>
      <c r="H403" s="102">
        <f>EV!M527</f>
        <v>0</v>
      </c>
      <c r="I403" s="108" t="str">
        <f>IF(J403="ALPHA",PR!$E401,IF(J403="ASSENE",PR!$F401,IF(J403="BIOFEM",PR!$G401,IF(J403="BIOMED",PR!$H401,IF(J403="CHI",PR!$I401,IF(J403="CLARION",PR!$J401,IF(J403="CODIX",PR!$K401,IF(J403="COSMADE",PR!$L401,IF(J403="SANCON",PR!$M401,IF(J403="DEVON",PR!$N401,IF(J403="DORTEMAG",PR!$O401,IF(J403="DGF",PR!$P401,IF(J403="DYNAMIC",PR!$Q401,IF(J403="EMZOR",PR!$R401,IF(J403="EUMATT",PR!$S401,IF(J403="FIDSON",PR!$T401,IF(J403="FCGLOBAL",PR!$U401,IF(J403="GENEITH",PR!$V401,IF(J403="GINOS",PR!$W401,IF(J403="GSK",PR!$X401,IF(J403="GLOBORG",PR!$Y401,IF(J403="GOODNEWS",PR!$Z401,IF(J403="GREENLIFE",PR!$AA401,IF(J403="HLINE",PR!$AB401,IF(J403="ROTECH",PR!$AC401,IF(J403="ISN",PR!$AD401,IF(J403="JAWA",PR!$AE401,IF(J403="LAYO",PR!$AF401,IF(J403="LEADWAY",PR!$AG401,IF(J403="LHV",PR!$AH401,IF(J403="MANOLA",PR!$AI401,IF(J403="MARCSON",PR!$AJ401,IF(J403="M&amp;B",PR!$AK401,IF(J403="MTRUST",PR!$AL401,IF(J403="MWORLD",PR!$AM401,IF(J403="MEGA",PR!$AN401,IF(J403="MICRONOVA",PR!$AO401,IF(J403="MFLASH",PR!$AP401,IF(J403="MORISON",PR!$AQ401,IF(J403="NEMEL",PR!$AR401,IF(J403="NHP",PR!$AS401,IF(J403="NHC",PR!$AT401,IF(J403="OLEAF",PR!$AU401,IF(J403="OCULUS",PR!$AV401,IF(J403="PACIFIC",PR!$AW401,IF(J403="PHAMATEX",PR!$AX401,IF(J403="PETHICS",PR!$AY401,IF(J403="PHILIPS",PR!$AZ401,IF(J403="RANBAXY",PR!$BA401,IF(J403="REALS",PR!$BB401,IF(J403="ROYAL",PR!$BC401,IF(J403="SAM",PR!$BD401,IF(J403="SEAGREEN",PR!$BE401,IF(J403="SKG",PR!$BF401,IF(J403="TAH",PR!$BG401,IF(J403="TAYLEK",PR!$BH401,IF(J403="TEMITA",PR!$BI401,IF(J403="THL",PR!$BJ401,IF(J403="UBASTIC",PR!$BK401,IF(J403="UNION",PR!$BL401,IF(J403="UNIQUE",PR!$BM401,IF(J403="VIXA",PR!$BN401,IF(J403="WWCV",PR!$BO401,IF(J403="ZOLON",PR!$BP401,"-"))))))))))))))))))))))))))))))))))))))))))))))))))))))))))))))))</f>
        <v>-</v>
      </c>
      <c r="J403" s="102">
        <f>EV!N527</f>
        <v>0</v>
      </c>
      <c r="K403" s="433" t="s">
        <v>821</v>
      </c>
      <c r="L403" s="183">
        <f>IF(K403&gt;0,IF(K403="ALPHA",PR!$E401,IF(K403="ASSENE",PR!$F401,IF(K403="BIOFEM",PR!$G401,IF(K403="BIOMED",PR!$H401,IF(K403="CHI",PR!$I401,IF(K403="CLARION",PR!$J401,IF(K403="CODIX",PR!$K401,IF(K403="COSMADE",PR!$L401,IF(K403="SANCON",PR!$M401,IF(K403="DEVON",PR!$N401,IF(K403="DORTEMAG",PR!$O401,IF(K403="DGF",PR!$P401,IF(K403="DYNAMIC",PR!$Q401,IF(K403="EMZOR",PR!$R401,IF(K403="EUMATT",PR!$S401,IF(K403="FIDSON",PR!$T401,IF(K403="FCGLOBAL",PR!$U401,IF(K403="GENEITH",PR!$V401,IF(K403="GINOS",PR!$W401,IF(K403="GSK",PR!$X401,IF(K403="GLOBORG",PR!$Y401,IF(K403="GOODNEWS",PR!$Z401,IF(K403="GREENLIFE",PR!$AA401,IF(K403="HLINE",PR!$AB401,IF(K403="ROTECH",PR!$AC401,IF(K403="ISN",PR!$AD401,IF(K403="JAWA",PR!$AE401,IF(K403="LAYO",PR!$AF401,IF(K403="LEADWAY",PR!$AG401,IF(K403="LHV",PR!$AH401,IF(K403="MANOLA",PR!$AI401,IF(K403="MARCSON",PR!$AJ401,IF(K403="M&amp;B",PR!$AK401,IF(K403="MTRUST",PR!$AL401,IF(K403="MWORLD",PR!$AM401,IF(K403="MEGA",PR!$AN401,IF(K403="MICRONOVA",PR!$AO401,IF(K403="MFLASH",PR!$AP401,IF(K403="MORISON",PR!$AQ401,IF(K403="NEMEL",PR!$AR401,IF(K403="NHP",PR!$AS401,IF(K403="NHC",PR!$AT401,IF(K403="OLEAF",PR!$AU401,IF(K403="OCULUS",PR!$AV401,IF(K403="PACIFIC",PR!$AW401,IF(K403="PHAMATEX",PR!$AX401,IF(K403="PETHICS",PR!$AY401,IF(K403="PHILIPS",PR!$AZ401,IF(K403="RANBAXY",PR!$BA401,IF(K403="REALS",PR!$BB401,IF(K403="ROYAL",PR!$BC401,IF(K403="SAM",PR!$BD401,IF(K403="SEAGREEN",PR!$BE401,IF(K403="SKG",PR!$BF401,IF(K403="TAH",PR!$BG401,IF(K403="TAYLEK",PR!$BH401,IF(K403="TEMITA",PR!$BI401,IF(K403="THL",PR!$BJ401,IF(K403="UBASTIC",PR!$BK401,IF(K403="UNION",PR!$BL401,IF(K403="UNIQUE",PR!$BM401,IF(K403="VIXA",PR!$BN401,IF(K403="WWCV",PR!$BO401,IF(K403="ZOLON",PR!$BP401,"-")))))))))))))))))))))))))))))))))))))))))))))))))))))))))))))))))</f>
        <v>2900</v>
      </c>
    </row>
    <row r="404" spans="1:12" ht="18.75" x14ac:dyDescent="0.3">
      <c r="A404" s="430">
        <f>PR!A402</f>
        <v>368</v>
      </c>
      <c r="B404" s="15" t="str">
        <f>PR!B402</f>
        <v>NEFOPAM INJ</v>
      </c>
      <c r="C404" s="113">
        <f>PR!D402</f>
        <v>5</v>
      </c>
      <c r="D404" s="113">
        <f>PR!C402</f>
        <v>100</v>
      </c>
      <c r="E404" s="108">
        <f>IF(F404="ALPHA",PR!$E402,IF(F404="ASSENE",PR!$F402,IF(F404="BIOFEM",PR!$G402,IF(F404="BIOMED",PR!$H402,IF(F404="CHI",PR!$I402,IF(F404="CLARION",PR!$J402,IF(F404="CODIX",PR!$K402,IF(F404="COSMADE",PR!$L402,IF(F404="SANCON",PR!$M402,IF(F404="DEVON",PR!$N402,IF(F404="DORTEMAG",PR!$O402,IF(F404="DGF",PR!$P402,IF(F404="DYNAMIC",PR!$Q402,IF(F404="EMZOR",PR!$R402,IF(F404="EUMATT",PR!$S402,IF(F404="FIDSON",PR!$T402,IF(F404="FCGLOBAL",PR!$U402,IF(F404="GENEITH",PR!$V402,IF(F404="GINOS",PR!$W402,IF(F404="GSK",PR!$X402,IF(F404="GLOBORG",PR!$Y402,IF(F404="GOODNEWS",PR!$Z402,IF(F404="GREENLIFE",PR!$AA402,IF(F404="HLINE",PR!$AB402,IF(F404="ROTECH",PR!$AC402,IF(F404="ISN",PR!$AD402,IF(F404="JAWA",PR!$AE402,IF(F404="LAYO",PR!$AF402,IF(F404="LEADWAY",PR!$AG402,IF(F404="LHV",PR!$AH402,IF(F404="MANOLA",PR!$AI402,IF(F404="MARCSON",PR!$AJ402,IF(F404="M&amp;B",PR!$AK402,IF(F404="MTRUST",PR!$AL402,IF(F404="MWORLD",PR!$AM402,IF(F404="MEGA",PR!$AN402,IF(F404="MICRONOVA",PR!$AO402,IF(F404="MFLASH",PR!$AP402,IF(F404="MORISON",PR!$AQ402,IF(F404="NEMEL",PR!$AR402,IF(F404="NHP",PR!$AS402,IF(F404="NHC",PR!$AT402,IF(F404="OLEAF",PR!$AU402,IF(F404="OCULUS",PR!$AV402,IF(F404="PACIFIC",PR!$AW402,IF(F404="PHAMATEX",PR!$AX402,IF(F404="PETHICS",PR!$AY402,IF(F404="PHILIPS",PR!$AZ402,IF(F404="RANBAXY",PR!$BA402,IF(F404="REALS",PR!$BB402,IF(F404="ROYAL",PR!$BC402,IF(F404="SAM",PR!$BD402,IF(F404="SEAGREEN",PR!$BE402,IF(F404="SKG",PR!$BF402,IF(F404="TAH",PR!$BG402,IF(F404="TAYLEK",PR!$BH402,IF(F404="TEMITA",PR!$BI402,IF(F404="THL",PR!$BJ402,IF(F404="UBASTIC",PR!$BK402,IF(F404="UNION",PR!$BL402,IF(F404="UNIQUE",PR!$BM402,IF(F404="VIXA",PR!$BN402,IF(F404="WWCV",PR!$BO402,IF(F404="ZOLON",PR!$BP402,"-"))))))))))))))))))))))))))))))))))))))))))))))))))))))))))))))))</f>
        <v>3000</v>
      </c>
      <c r="F404" s="102" t="str">
        <f>EV!L528</f>
        <v>EUMATT</v>
      </c>
      <c r="G404" s="108" t="str">
        <f>IF(H404="ALPHA",PR!$E402,IF(H404="ASSENE",PR!$F402,IF(H404="BIOFEM",PR!$G402,IF(H404="BIOMED",PR!$H402,IF(H404="CHI",PR!$I402,IF(H404="CLARION",PR!$J402,IF(H404="CODIX",PR!$K402,IF(H404="COSMADE",PR!$L402,IF(H404="SANCON",PR!$M402,IF(H404="DEVON",PR!$N402,IF(H404="DORTEMAG",PR!$O402,IF(H404="DGF",PR!$P402,IF(H404="DYNAMIC",PR!$Q402,IF(H404="EMZOR",PR!$R402,IF(H404="EUMATT",PR!$S402,IF(H404="FIDSON",PR!$T402,IF(H404="FCGLOBAL",PR!$U402,IF(H404="GENEITH",PR!$V402,IF(H404="GINOS",PR!$W402,IF(H404="GSK",PR!$X402,IF(H404="GLOBORG",PR!$Y402,IF(H404="GOODNEWS",PR!$Z402,IF(H404="GREENLIFE",PR!$AA402,IF(H404="HLINE",PR!$AB402,IF(H404="ROTECH",PR!$AC402,IF(H404="ISN",PR!$AD402,IF(H404="JAWA",PR!$AE402,IF(H404="LAYO",PR!$AF402,IF(H404="LEADWAY",PR!$AG402,IF(H404="LHV",PR!$AH402,IF(H404="MANOLA",PR!$AI402,IF(H404="MARCSON",PR!$AJ402,IF(H404="M&amp;B",PR!$AK402,IF(H404="MTRUST",PR!$AL402,IF(H404="MWORLD",PR!$AM402,IF(H404="MEGA",PR!$AN402,IF(H404="MICRONOVA",PR!$AO402,IF(H404="MFLASH",PR!$AP402,IF(H404="MORISON",PR!$AQ402,IF(H404="NEMEL",PR!$AR402,IF(H404="NHP",PR!$AS402,IF(H404="NHC",PR!$AT402,IF(H404="OLEAF",PR!$AU402,IF(H404="OCULUS",PR!$AV402,IF(H404="PACIFIC",PR!$AW402,IF(H404="PHAMATEX",PR!$AX402,IF(H404="PETHICS",PR!$AY402,IF(H404="PHILIPS",PR!$AZ402,IF(H404="RANBAXY",PR!$BA402,IF(H404="REALS",PR!$BB402,IF(H404="ROYAL",PR!$BC402,IF(H404="SAM",PR!$BD402,IF(H404="SEAGREEN",PR!$BE402,IF(H404="SKG",PR!$BF402,IF(H404="TAH",PR!$BG402,IF(H404="TAYLEK",PR!$BH402,IF(H404="TEMITA",PR!$BI402,IF(H404="THL",PR!$BJ402,IF(H404="UBASTIC",PR!$BK402,IF(H404="UNION",PR!$BL402,IF(H404="UNIQUE",PR!$BM402,IF(H404="VIXA",PR!$BN402,IF(H404="WWCV",PR!$BO402,IF(H404="ZOLON",PR!$BP402,"-"))))))))))))))))))))))))))))))))))))))))))))))))))))))))))))))))</f>
        <v>-</v>
      </c>
      <c r="H404" s="102">
        <f>EV!M528</f>
        <v>0</v>
      </c>
      <c r="I404" s="108" t="str">
        <f>IF(J404="ALPHA",PR!$E402,IF(J404="ASSENE",PR!$F402,IF(J404="BIOFEM",PR!$G402,IF(J404="BIOMED",PR!$H402,IF(J404="CHI",PR!$I402,IF(J404="CLARION",PR!$J402,IF(J404="CODIX",PR!$K402,IF(J404="COSMADE",PR!$L402,IF(J404="SANCON",PR!$M402,IF(J404="DEVON",PR!$N402,IF(J404="DORTEMAG",PR!$O402,IF(J404="DGF",PR!$P402,IF(J404="DYNAMIC",PR!$Q402,IF(J404="EMZOR",PR!$R402,IF(J404="EUMATT",PR!$S402,IF(J404="FIDSON",PR!$T402,IF(J404="FCGLOBAL",PR!$U402,IF(J404="GENEITH",PR!$V402,IF(J404="GINOS",PR!$W402,IF(J404="GSK",PR!$X402,IF(J404="GLOBORG",PR!$Y402,IF(J404="GOODNEWS",PR!$Z402,IF(J404="GREENLIFE",PR!$AA402,IF(J404="HLINE",PR!$AB402,IF(J404="ROTECH",PR!$AC402,IF(J404="ISN",PR!$AD402,IF(J404="JAWA",PR!$AE402,IF(J404="LAYO",PR!$AF402,IF(J404="LEADWAY",PR!$AG402,IF(J404="LHV",PR!$AH402,IF(J404="MANOLA",PR!$AI402,IF(J404="MARCSON",PR!$AJ402,IF(J404="M&amp;B",PR!$AK402,IF(J404="MTRUST",PR!$AL402,IF(J404="MWORLD",PR!$AM402,IF(J404="MEGA",PR!$AN402,IF(J404="MICRONOVA",PR!$AO402,IF(J404="MFLASH",PR!$AP402,IF(J404="MORISON",PR!$AQ402,IF(J404="NEMEL",PR!$AR402,IF(J404="NHP",PR!$AS402,IF(J404="NHC",PR!$AT402,IF(J404="OLEAF",PR!$AU402,IF(J404="OCULUS",PR!$AV402,IF(J404="PACIFIC",PR!$AW402,IF(J404="PHAMATEX",PR!$AX402,IF(J404="PETHICS",PR!$AY402,IF(J404="PHILIPS",PR!$AZ402,IF(J404="RANBAXY",PR!$BA402,IF(J404="REALS",PR!$BB402,IF(J404="ROYAL",PR!$BC402,IF(J404="SAM",PR!$BD402,IF(J404="SEAGREEN",PR!$BE402,IF(J404="SKG",PR!$BF402,IF(J404="TAH",PR!$BG402,IF(J404="TAYLEK",PR!$BH402,IF(J404="TEMITA",PR!$BI402,IF(J404="THL",PR!$BJ402,IF(J404="UBASTIC",PR!$BK402,IF(J404="UNION",PR!$BL402,IF(J404="UNIQUE",PR!$BM402,IF(J404="VIXA",PR!$BN402,IF(J404="WWCV",PR!$BO402,IF(J404="ZOLON",PR!$BP402,"-"))))))))))))))))))))))))))))))))))))))))))))))))))))))))))))))))</f>
        <v>-</v>
      </c>
      <c r="J404" s="102">
        <f>EV!N528</f>
        <v>0</v>
      </c>
      <c r="K404" s="433" t="s">
        <v>821</v>
      </c>
      <c r="L404" s="183">
        <f>IF(K404&gt;0,IF(K404="ALPHA",PR!$E402,IF(K404="ASSENE",PR!$F402,IF(K404="BIOFEM",PR!$G402,IF(K404="BIOMED",PR!$H402,IF(K404="CHI",PR!$I402,IF(K404="CLARION",PR!$J402,IF(K404="CODIX",PR!$K402,IF(K404="COSMADE",PR!$L402,IF(K404="SANCON",PR!$M402,IF(K404="DEVON",PR!$N402,IF(K404="DORTEMAG",PR!$O402,IF(K404="DGF",PR!$P402,IF(K404="DYNAMIC",PR!$Q402,IF(K404="EMZOR",PR!$R402,IF(K404="EUMATT",PR!$S402,IF(K404="FIDSON",PR!$T402,IF(K404="FCGLOBAL",PR!$U402,IF(K404="GENEITH",PR!$V402,IF(K404="GINOS",PR!$W402,IF(K404="GSK",PR!$X402,IF(K404="GLOBORG",PR!$Y402,IF(K404="GOODNEWS",PR!$Z402,IF(K404="GREENLIFE",PR!$AA402,IF(K404="HLINE",PR!$AB402,IF(K404="ROTECH",PR!$AC402,IF(K404="ISN",PR!$AD402,IF(K404="JAWA",PR!$AE402,IF(K404="LAYO",PR!$AF402,IF(K404="LEADWAY",PR!$AG402,IF(K404="LHV",PR!$AH402,IF(K404="MANOLA",PR!$AI402,IF(K404="MARCSON",PR!$AJ402,IF(K404="M&amp;B",PR!$AK402,IF(K404="MTRUST",PR!$AL402,IF(K404="MWORLD",PR!$AM402,IF(K404="MEGA",PR!$AN402,IF(K404="MICRONOVA",PR!$AO402,IF(K404="MFLASH",PR!$AP402,IF(K404="MORISON",PR!$AQ402,IF(K404="NEMEL",PR!$AR402,IF(K404="NHP",PR!$AS402,IF(K404="NHC",PR!$AT402,IF(K404="OLEAF",PR!$AU402,IF(K404="OCULUS",PR!$AV402,IF(K404="PACIFIC",PR!$AW402,IF(K404="PHAMATEX",PR!$AX402,IF(K404="PETHICS",PR!$AY402,IF(K404="PHILIPS",PR!$AZ402,IF(K404="RANBAXY",PR!$BA402,IF(K404="REALS",PR!$BB402,IF(K404="ROYAL",PR!$BC402,IF(K404="SAM",PR!$BD402,IF(K404="SEAGREEN",PR!$BE402,IF(K404="SKG",PR!$BF402,IF(K404="TAH",PR!$BG402,IF(K404="TAYLEK",PR!$BH402,IF(K404="TEMITA",PR!$BI402,IF(K404="THL",PR!$BJ402,IF(K404="UBASTIC",PR!$BK402,IF(K404="UNION",PR!$BL402,IF(K404="UNIQUE",PR!$BM402,IF(K404="VIXA",PR!$BN402,IF(K404="WWCV",PR!$BO402,IF(K404="ZOLON",PR!$BP402,"-")))))))))))))))))))))))))))))))))))))))))))))))))))))))))))))))))</f>
        <v>3000</v>
      </c>
    </row>
    <row r="405" spans="1:12" ht="18.75" x14ac:dyDescent="0.3">
      <c r="A405" s="430">
        <f>PR!A403</f>
        <v>369</v>
      </c>
      <c r="B405" s="15" t="str">
        <f>PR!B403</f>
        <v>NITRAZEPAM 5MG</v>
      </c>
      <c r="C405" s="113">
        <f>PR!D403</f>
        <v>500</v>
      </c>
      <c r="D405" s="113">
        <f>PR!C403</f>
        <v>8</v>
      </c>
      <c r="E405" s="108">
        <f>IF(F405="ALPHA",PR!$E403,IF(F405="ASSENE",PR!$F403,IF(F405="BIOFEM",PR!$G403,IF(F405="BIOMED",PR!$H403,IF(F405="CHI",PR!$I403,IF(F405="CLARION",PR!$J403,IF(F405="CODIX",PR!$K403,IF(F405="COSMADE",PR!$L403,IF(F405="SANCON",PR!$M403,IF(F405="DEVON",PR!$N403,IF(F405="DORTEMAG",PR!$O403,IF(F405="DGF",PR!$P403,IF(F405="DYNAMIC",PR!$Q403,IF(F405="EMZOR",PR!$R403,IF(F405="EUMATT",PR!$S403,IF(F405="FIDSON",PR!$T403,IF(F405="FCGLOBAL",PR!$U403,IF(F405="GENEITH",PR!$V403,IF(F405="GINOS",PR!$W403,IF(F405="GSK",PR!$X403,IF(F405="GLOBORG",PR!$Y403,IF(F405="GOODNEWS",PR!$Z403,IF(F405="GREENLIFE",PR!$AA403,IF(F405="HLINE",PR!$AB403,IF(F405="ROTECH",PR!$AC403,IF(F405="ISN",PR!$AD403,IF(F405="JAWA",PR!$AE403,IF(F405="LAYO",PR!$AF403,IF(F405="LEADWAY",PR!$AG403,IF(F405="LHV",PR!$AH403,IF(F405="MANOLA",PR!$AI403,IF(F405="MARCSON",PR!$AJ403,IF(F405="M&amp;B",PR!$AK403,IF(F405="MTRUST",PR!$AL403,IF(F405="MWORLD",PR!$AM403,IF(F405="MEGA",PR!$AN403,IF(F405="MICRONOVA",PR!$AO403,IF(F405="MFLASH",PR!$AP403,IF(F405="MORISON",PR!$AQ403,IF(F405="NEMEL",PR!$AR403,IF(F405="NHP",PR!$AS403,IF(F405="NHC",PR!$AT403,IF(F405="OLEAF",PR!$AU403,IF(F405="OCULUS",PR!$AV403,IF(F405="PACIFIC",PR!$AW403,IF(F405="PHAMATEX",PR!$AX403,IF(F405="PETHICS",PR!$AY403,IF(F405="PHILIPS",PR!$AZ403,IF(F405="RANBAXY",PR!$BA403,IF(F405="REALS",PR!$BB403,IF(F405="ROYAL",PR!$BC403,IF(F405="SAM",PR!$BD403,IF(F405="SEAGREEN",PR!$BE403,IF(F405="SKG",PR!$BF403,IF(F405="TAH",PR!$BG403,IF(F405="TAYLEK",PR!$BH403,IF(F405="TEMITA",PR!$BI403,IF(F405="THL",PR!$BJ403,IF(F405="UBASTIC",PR!$BK403,IF(F405="UNION",PR!$BL403,IF(F405="UNIQUE",PR!$BM403,IF(F405="VIXA",PR!$BN403,IF(F405="WWCV",PR!$BO403,IF(F405="ZOLON",PR!$BP403,"-"))))))))))))))))))))))))))))))))))))))))))))))))))))))))))))))))</f>
        <v>700</v>
      </c>
      <c r="F405" s="102" t="str">
        <f>EV!L529</f>
        <v>FIDSON</v>
      </c>
      <c r="G405" s="108">
        <f>IF(H405="ALPHA",PR!$E403,IF(H405="ASSENE",PR!$F403,IF(H405="BIOFEM",PR!$G403,IF(H405="BIOMED",PR!$H403,IF(H405="CHI",PR!$I403,IF(H405="CLARION",PR!$J403,IF(H405="CODIX",PR!$K403,IF(H405="COSMADE",PR!$L403,IF(H405="SANCON",PR!$M403,IF(H405="DEVON",PR!$N403,IF(H405="DORTEMAG",PR!$O403,IF(H405="DGF",PR!$P403,IF(H405="DYNAMIC",PR!$Q403,IF(H405="EMZOR",PR!$R403,IF(H405="EUMATT",PR!$S403,IF(H405="FIDSON",PR!$T403,IF(H405="FCGLOBAL",PR!$U403,IF(H405="GENEITH",PR!$V403,IF(H405="GINOS",PR!$W403,IF(H405="GSK",PR!$X403,IF(H405="GLOBORG",PR!$Y403,IF(H405="GOODNEWS",PR!$Z403,IF(H405="GREENLIFE",PR!$AA403,IF(H405="HLINE",PR!$AB403,IF(H405="ROTECH",PR!$AC403,IF(H405="ISN",PR!$AD403,IF(H405="JAWA",PR!$AE403,IF(H405="LAYO",PR!$AF403,IF(H405="LEADWAY",PR!$AG403,IF(H405="LHV",PR!$AH403,IF(H405="MANOLA",PR!$AI403,IF(H405="MARCSON",PR!$AJ403,IF(H405="M&amp;B",PR!$AK403,IF(H405="MTRUST",PR!$AL403,IF(H405="MWORLD",PR!$AM403,IF(H405="MEGA",PR!$AN403,IF(H405="MICRONOVA",PR!$AO403,IF(H405="MFLASH",PR!$AP403,IF(H405="MORISON",PR!$AQ403,IF(H405="NEMEL",PR!$AR403,IF(H405="NHP",PR!$AS403,IF(H405="NHC",PR!$AT403,IF(H405="OLEAF",PR!$AU403,IF(H405="OCULUS",PR!$AV403,IF(H405="PACIFIC",PR!$AW403,IF(H405="PHAMATEX",PR!$AX403,IF(H405="PETHICS",PR!$AY403,IF(H405="PHILIPS",PR!$AZ403,IF(H405="RANBAXY",PR!$BA403,IF(H405="REALS",PR!$BB403,IF(H405="ROYAL",PR!$BC403,IF(H405="SAM",PR!$BD403,IF(H405="SEAGREEN",PR!$BE403,IF(H405="SKG",PR!$BF403,IF(H405="TAH",PR!$BG403,IF(H405="TAYLEK",PR!$BH403,IF(H405="TEMITA",PR!$BI403,IF(H405="THL",PR!$BJ403,IF(H405="UBASTIC",PR!$BK403,IF(H405="UNION",PR!$BL403,IF(H405="UNIQUE",PR!$BM403,IF(H405="VIXA",PR!$BN403,IF(H405="WWCV",PR!$BO403,IF(H405="ZOLON",PR!$BP403,"-"))))))))))))))))))))))))))))))))))))))))))))))))))))))))))))))))</f>
        <v>9800</v>
      </c>
      <c r="H405" s="102" t="str">
        <f>EV!M529</f>
        <v>EUMATT</v>
      </c>
      <c r="I405" s="108" t="str">
        <f>IF(J405="ALPHA",PR!$E403,IF(J405="ASSENE",PR!$F403,IF(J405="BIOFEM",PR!$G403,IF(J405="BIOMED",PR!$H403,IF(J405="CHI",PR!$I403,IF(J405="CLARION",PR!$J403,IF(J405="CODIX",PR!$K403,IF(J405="COSMADE",PR!$L403,IF(J405="SANCON",PR!$M403,IF(J405="DEVON",PR!$N403,IF(J405="DORTEMAG",PR!$O403,IF(J405="DGF",PR!$P403,IF(J405="DYNAMIC",PR!$Q403,IF(J405="EMZOR",PR!$R403,IF(J405="EUMATT",PR!$S403,IF(J405="FIDSON",PR!$T403,IF(J405="FCGLOBAL",PR!$U403,IF(J405="GENEITH",PR!$V403,IF(J405="GINOS",PR!$W403,IF(J405="GSK",PR!$X403,IF(J405="GLOBORG",PR!$Y403,IF(J405="GOODNEWS",PR!$Z403,IF(J405="GREENLIFE",PR!$AA403,IF(J405="HLINE",PR!$AB403,IF(J405="ROTECH",PR!$AC403,IF(J405="ISN",PR!$AD403,IF(J405="JAWA",PR!$AE403,IF(J405="LAYO",PR!$AF403,IF(J405="LEADWAY",PR!$AG403,IF(J405="LHV",PR!$AH403,IF(J405="MANOLA",PR!$AI403,IF(J405="MARCSON",PR!$AJ403,IF(J405="M&amp;B",PR!$AK403,IF(J405="MTRUST",PR!$AL403,IF(J405="MWORLD",PR!$AM403,IF(J405="MEGA",PR!$AN403,IF(J405="MICRONOVA",PR!$AO403,IF(J405="MFLASH",PR!$AP403,IF(J405="MORISON",PR!$AQ403,IF(J405="NEMEL",PR!$AR403,IF(J405="NHP",PR!$AS403,IF(J405="NHC",PR!$AT403,IF(J405="OLEAF",PR!$AU403,IF(J405="OCULUS",PR!$AV403,IF(J405="PACIFIC",PR!$AW403,IF(J405="PHAMATEX",PR!$AX403,IF(J405="PETHICS",PR!$AY403,IF(J405="PHILIPS",PR!$AZ403,IF(J405="RANBAXY",PR!$BA403,IF(J405="REALS",PR!$BB403,IF(J405="ROYAL",PR!$BC403,IF(J405="SAM",PR!$BD403,IF(J405="SEAGREEN",PR!$BE403,IF(J405="SKG",PR!$BF403,IF(J405="TAH",PR!$BG403,IF(J405="TAYLEK",PR!$BH403,IF(J405="TEMITA",PR!$BI403,IF(J405="THL",PR!$BJ403,IF(J405="UBASTIC",PR!$BK403,IF(J405="UNION",PR!$BL403,IF(J405="UNIQUE",PR!$BM403,IF(J405="VIXA",PR!$BN403,IF(J405="WWCV",PR!$BO403,IF(J405="ZOLON",PR!$BP403,"-"))))))))))))))))))))))))))))))))))))))))))))))))))))))))))))))))</f>
        <v>-</v>
      </c>
      <c r="J405" s="102">
        <f>EV!N529</f>
        <v>0</v>
      </c>
      <c r="K405" s="433" t="s">
        <v>821</v>
      </c>
      <c r="L405" s="183">
        <f>IF(K405&gt;0,IF(K405="ALPHA",PR!$E403,IF(K405="ASSENE",PR!$F403,IF(K405="BIOFEM",PR!$G403,IF(K405="BIOMED",PR!$H403,IF(K405="CHI",PR!$I403,IF(K405="CLARION",PR!$J403,IF(K405="CODIX",PR!$K403,IF(K405="COSMADE",PR!$L403,IF(K405="SANCON",PR!$M403,IF(K405="DEVON",PR!$N403,IF(K405="DORTEMAG",PR!$O403,IF(K405="DGF",PR!$P403,IF(K405="DYNAMIC",PR!$Q403,IF(K405="EMZOR",PR!$R403,IF(K405="EUMATT",PR!$S403,IF(K405="FIDSON",PR!$T403,IF(K405="FCGLOBAL",PR!$U403,IF(K405="GENEITH",PR!$V403,IF(K405="GINOS",PR!$W403,IF(K405="GSK",PR!$X403,IF(K405="GLOBORG",PR!$Y403,IF(K405="GOODNEWS",PR!$Z403,IF(K405="GREENLIFE",PR!$AA403,IF(K405="HLINE",PR!$AB403,IF(K405="ROTECH",PR!$AC403,IF(K405="ISN",PR!$AD403,IF(K405="JAWA",PR!$AE403,IF(K405="LAYO",PR!$AF403,IF(K405="LEADWAY",PR!$AG403,IF(K405="LHV",PR!$AH403,IF(K405="MANOLA",PR!$AI403,IF(K405="MARCSON",PR!$AJ403,IF(K405="M&amp;B",PR!$AK403,IF(K405="MTRUST",PR!$AL403,IF(K405="MWORLD",PR!$AM403,IF(K405="MEGA",PR!$AN403,IF(K405="MICRONOVA",PR!$AO403,IF(K405="MFLASH",PR!$AP403,IF(K405="MORISON",PR!$AQ403,IF(K405="NEMEL",PR!$AR403,IF(K405="NHP",PR!$AS403,IF(K405="NHC",PR!$AT403,IF(K405="OLEAF",PR!$AU403,IF(K405="OCULUS",PR!$AV403,IF(K405="PACIFIC",PR!$AW403,IF(K405="PHAMATEX",PR!$AX403,IF(K405="PETHICS",PR!$AY403,IF(K405="PHILIPS",PR!$AZ403,IF(K405="RANBAXY",PR!$BA403,IF(K405="REALS",PR!$BB403,IF(K405="ROYAL",PR!$BC403,IF(K405="SAM",PR!$BD403,IF(K405="SEAGREEN",PR!$BE403,IF(K405="SKG",PR!$BF403,IF(K405="TAH",PR!$BG403,IF(K405="TAYLEK",PR!$BH403,IF(K405="TEMITA",PR!$BI403,IF(K405="THL",PR!$BJ403,IF(K405="UBASTIC",PR!$BK403,IF(K405="UNION",PR!$BL403,IF(K405="UNIQUE",PR!$BM403,IF(K405="VIXA",PR!$BN403,IF(K405="WWCV",PR!$BO403,IF(K405="ZOLON",PR!$BP403,"-")))))))))))))))))))))))))))))))))))))))))))))))))))))))))))))))))</f>
        <v>9800</v>
      </c>
    </row>
    <row r="406" spans="1:12" ht="18.75" x14ac:dyDescent="0.3">
      <c r="A406" s="430">
        <f>PR!A404</f>
        <v>370</v>
      </c>
      <c r="B406" s="15" t="str">
        <f>PR!B404</f>
        <v>OLANZEPINE 10MG</v>
      </c>
      <c r="C406" s="113">
        <f>PR!D404</f>
        <v>30</v>
      </c>
      <c r="D406" s="113">
        <f>PR!C404</f>
        <v>208</v>
      </c>
      <c r="E406" s="108">
        <f>IF(F406="ALPHA",PR!$E404,IF(F406="ASSENE",PR!$F404,IF(F406="BIOFEM",PR!$G404,IF(F406="BIOMED",PR!$H404,IF(F406="CHI",PR!$I404,IF(F406="CLARION",PR!$J404,IF(F406="CODIX",PR!$K404,IF(F406="COSMADE",PR!$L404,IF(F406="SANCON",PR!$M404,IF(F406="DEVON",PR!$N404,IF(F406="DORTEMAG",PR!$O404,IF(F406="DGF",PR!$P404,IF(F406="DYNAMIC",PR!$Q404,IF(F406="EMZOR",PR!$R404,IF(F406="EUMATT",PR!$S404,IF(F406="FIDSON",PR!$T404,IF(F406="FCGLOBAL",PR!$U404,IF(F406="GENEITH",PR!$V404,IF(F406="GINOS",PR!$W404,IF(F406="GSK",PR!$X404,IF(F406="GLOBORG",PR!$Y404,IF(F406="GOODNEWS",PR!$Z404,IF(F406="GREENLIFE",PR!$AA404,IF(F406="HLINE",PR!$AB404,IF(F406="ROTECH",PR!$AC404,IF(F406="ISN",PR!$AD404,IF(F406="JAWA",PR!$AE404,IF(F406="LAYO",PR!$AF404,IF(F406="LEADWAY",PR!$AG404,IF(F406="LHV",PR!$AH404,IF(F406="MANOLA",PR!$AI404,IF(F406="MARCSON",PR!$AJ404,IF(F406="M&amp;B",PR!$AK404,IF(F406="MTRUST",PR!$AL404,IF(F406="MWORLD",PR!$AM404,IF(F406="MEGA",PR!$AN404,IF(F406="MICRONOVA",PR!$AO404,IF(F406="MFLASH",PR!$AP404,IF(F406="MORISON",PR!$AQ404,IF(F406="NEMEL",PR!$AR404,IF(F406="NHP",PR!$AS404,IF(F406="NHC",PR!$AT404,IF(F406="OLEAF",PR!$AU404,IF(F406="OCULUS",PR!$AV404,IF(F406="PACIFIC",PR!$AW404,IF(F406="PHAMATEX",PR!$AX404,IF(F406="PETHICS",PR!$AY404,IF(F406="PHILIPS",PR!$AZ404,IF(F406="RANBAXY",PR!$BA404,IF(F406="REALS",PR!$BB404,IF(F406="ROYAL",PR!$BC404,IF(F406="SAM",PR!$BD404,IF(F406="SEAGREEN",PR!$BE404,IF(F406="SKG",PR!$BF404,IF(F406="TAH",PR!$BG404,IF(F406="TAYLEK",PR!$BH404,IF(F406="TEMITA",PR!$BI404,IF(F406="THL",PR!$BJ404,IF(F406="UBASTIC",PR!$BK404,IF(F406="UNION",PR!$BL404,IF(F406="UNIQUE",PR!$BM404,IF(F406="VIXA",PR!$BN404,IF(F406="WWCV",PR!$BO404,IF(F406="ZOLON",PR!$BP404,"-"))))))))))))))))))))))))))))))))))))))))))))))))))))))))))))))))</f>
        <v>2000</v>
      </c>
      <c r="F406" s="102" t="str">
        <f>EV!L530</f>
        <v>EUMATT</v>
      </c>
      <c r="G406" s="108" t="str">
        <f>IF(H406="ALPHA",PR!$E404,IF(H406="ASSENE",PR!$F404,IF(H406="BIOFEM",PR!$G404,IF(H406="BIOMED",PR!$H404,IF(H406="CHI",PR!$I404,IF(H406="CLARION",PR!$J404,IF(H406="CODIX",PR!$K404,IF(H406="COSMADE",PR!$L404,IF(H406="SANCON",PR!$M404,IF(H406="DEVON",PR!$N404,IF(H406="DORTEMAG",PR!$O404,IF(H406="DGF",PR!$P404,IF(H406="DYNAMIC",PR!$Q404,IF(H406="EMZOR",PR!$R404,IF(H406="EUMATT",PR!$S404,IF(H406="FIDSON",PR!$T404,IF(H406="FCGLOBAL",PR!$U404,IF(H406="GENEITH",PR!$V404,IF(H406="GINOS",PR!$W404,IF(H406="GSK",PR!$X404,IF(H406="GLOBORG",PR!$Y404,IF(H406="GOODNEWS",PR!$Z404,IF(H406="GREENLIFE",PR!$AA404,IF(H406="HLINE",PR!$AB404,IF(H406="ROTECH",PR!$AC404,IF(H406="ISN",PR!$AD404,IF(H406="JAWA",PR!$AE404,IF(H406="LAYO",PR!$AF404,IF(H406="LEADWAY",PR!$AG404,IF(H406="LHV",PR!$AH404,IF(H406="MANOLA",PR!$AI404,IF(H406="MARCSON",PR!$AJ404,IF(H406="M&amp;B",PR!$AK404,IF(H406="MTRUST",PR!$AL404,IF(H406="MWORLD",PR!$AM404,IF(H406="MEGA",PR!$AN404,IF(H406="MICRONOVA",PR!$AO404,IF(H406="MFLASH",PR!$AP404,IF(H406="MORISON",PR!$AQ404,IF(H406="NEMEL",PR!$AR404,IF(H406="NHP",PR!$AS404,IF(H406="NHC",PR!$AT404,IF(H406="OLEAF",PR!$AU404,IF(H406="OCULUS",PR!$AV404,IF(H406="PACIFIC",PR!$AW404,IF(H406="PHAMATEX",PR!$AX404,IF(H406="PETHICS",PR!$AY404,IF(H406="PHILIPS",PR!$AZ404,IF(H406="RANBAXY",PR!$BA404,IF(H406="REALS",PR!$BB404,IF(H406="ROYAL",PR!$BC404,IF(H406="SAM",PR!$BD404,IF(H406="SEAGREEN",PR!$BE404,IF(H406="SKG",PR!$BF404,IF(H406="TAH",PR!$BG404,IF(H406="TAYLEK",PR!$BH404,IF(H406="TEMITA",PR!$BI404,IF(H406="THL",PR!$BJ404,IF(H406="UBASTIC",PR!$BK404,IF(H406="UNION",PR!$BL404,IF(H406="UNIQUE",PR!$BM404,IF(H406="VIXA",PR!$BN404,IF(H406="WWCV",PR!$BO404,IF(H406="ZOLON",PR!$BP404,"-"))))))))))))))))))))))))))))))))))))))))))))))))))))))))))))))))</f>
        <v>-</v>
      </c>
      <c r="H406" s="102">
        <f>EV!M530</f>
        <v>0</v>
      </c>
      <c r="I406" s="108" t="str">
        <f>IF(J406="ALPHA",PR!$E404,IF(J406="ASSENE",PR!$F404,IF(J406="BIOFEM",PR!$G404,IF(J406="BIOMED",PR!$H404,IF(J406="CHI",PR!$I404,IF(J406="CLARION",PR!$J404,IF(J406="CODIX",PR!$K404,IF(J406="COSMADE",PR!$L404,IF(J406="SANCON",PR!$M404,IF(J406="DEVON",PR!$N404,IF(J406="DORTEMAG",PR!$O404,IF(J406="DGF",PR!$P404,IF(J406="DYNAMIC",PR!$Q404,IF(J406="EMZOR",PR!$R404,IF(J406="EUMATT",PR!$S404,IF(J406="FIDSON",PR!$T404,IF(J406="FCGLOBAL",PR!$U404,IF(J406="GENEITH",PR!$V404,IF(J406="GINOS",PR!$W404,IF(J406="GSK",PR!$X404,IF(J406="GLOBORG",PR!$Y404,IF(J406="GOODNEWS",PR!$Z404,IF(J406="GREENLIFE",PR!$AA404,IF(J406="HLINE",PR!$AB404,IF(J406="ROTECH",PR!$AC404,IF(J406="ISN",PR!$AD404,IF(J406="JAWA",PR!$AE404,IF(J406="LAYO",PR!$AF404,IF(J406="LEADWAY",PR!$AG404,IF(J406="LHV",PR!$AH404,IF(J406="MANOLA",PR!$AI404,IF(J406="MARCSON",PR!$AJ404,IF(J406="M&amp;B",PR!$AK404,IF(J406="MTRUST",PR!$AL404,IF(J406="MWORLD",PR!$AM404,IF(J406="MEGA",PR!$AN404,IF(J406="MICRONOVA",PR!$AO404,IF(J406="MFLASH",PR!$AP404,IF(J406="MORISON",PR!$AQ404,IF(J406="NEMEL",PR!$AR404,IF(J406="NHP",PR!$AS404,IF(J406="NHC",PR!$AT404,IF(J406="OLEAF",PR!$AU404,IF(J406="OCULUS",PR!$AV404,IF(J406="PACIFIC",PR!$AW404,IF(J406="PHAMATEX",PR!$AX404,IF(J406="PETHICS",PR!$AY404,IF(J406="PHILIPS",PR!$AZ404,IF(J406="RANBAXY",PR!$BA404,IF(J406="REALS",PR!$BB404,IF(J406="ROYAL",PR!$BC404,IF(J406="SAM",PR!$BD404,IF(J406="SEAGREEN",PR!$BE404,IF(J406="SKG",PR!$BF404,IF(J406="TAH",PR!$BG404,IF(J406="TAYLEK",PR!$BH404,IF(J406="TEMITA",PR!$BI404,IF(J406="THL",PR!$BJ404,IF(J406="UBASTIC",PR!$BK404,IF(J406="UNION",PR!$BL404,IF(J406="UNIQUE",PR!$BM404,IF(J406="VIXA",PR!$BN404,IF(J406="WWCV",PR!$BO404,IF(J406="ZOLON",PR!$BP404,"-"))))))))))))))))))))))))))))))))))))))))))))))))))))))))))))))))</f>
        <v>-</v>
      </c>
      <c r="J406" s="102">
        <f>EV!N530</f>
        <v>0</v>
      </c>
      <c r="K406" s="433" t="s">
        <v>821</v>
      </c>
      <c r="L406" s="183">
        <f>IF(K406&gt;0,IF(K406="ALPHA",PR!$E404,IF(K406="ASSENE",PR!$F404,IF(K406="BIOFEM",PR!$G404,IF(K406="BIOMED",PR!$H404,IF(K406="CHI",PR!$I404,IF(K406="CLARION",PR!$J404,IF(K406="CODIX",PR!$K404,IF(K406="COSMADE",PR!$L404,IF(K406="SANCON",PR!$M404,IF(K406="DEVON",PR!$N404,IF(K406="DORTEMAG",PR!$O404,IF(K406="DGF",PR!$P404,IF(K406="DYNAMIC",PR!$Q404,IF(K406="EMZOR",PR!$R404,IF(K406="EUMATT",PR!$S404,IF(K406="FIDSON",PR!$T404,IF(K406="FCGLOBAL",PR!$U404,IF(K406="GENEITH",PR!$V404,IF(K406="GINOS",PR!$W404,IF(K406="GSK",PR!$X404,IF(K406="GLOBORG",PR!$Y404,IF(K406="GOODNEWS",PR!$Z404,IF(K406="GREENLIFE",PR!$AA404,IF(K406="HLINE",PR!$AB404,IF(K406="ROTECH",PR!$AC404,IF(K406="ISN",PR!$AD404,IF(K406="JAWA",PR!$AE404,IF(K406="LAYO",PR!$AF404,IF(K406="LEADWAY",PR!$AG404,IF(K406="LHV",PR!$AH404,IF(K406="MANOLA",PR!$AI404,IF(K406="MARCSON",PR!$AJ404,IF(K406="M&amp;B",PR!$AK404,IF(K406="MTRUST",PR!$AL404,IF(K406="MWORLD",PR!$AM404,IF(K406="MEGA",PR!$AN404,IF(K406="MICRONOVA",PR!$AO404,IF(K406="MFLASH",PR!$AP404,IF(K406="MORISON",PR!$AQ404,IF(K406="NEMEL",PR!$AR404,IF(K406="NHP",PR!$AS404,IF(K406="NHC",PR!$AT404,IF(K406="OLEAF",PR!$AU404,IF(K406="OCULUS",PR!$AV404,IF(K406="PACIFIC",PR!$AW404,IF(K406="PHAMATEX",PR!$AX404,IF(K406="PETHICS",PR!$AY404,IF(K406="PHILIPS",PR!$AZ404,IF(K406="RANBAXY",PR!$BA404,IF(K406="REALS",PR!$BB404,IF(K406="ROYAL",PR!$BC404,IF(K406="SAM",PR!$BD404,IF(K406="SEAGREEN",PR!$BE404,IF(K406="SKG",PR!$BF404,IF(K406="TAH",PR!$BG404,IF(K406="TAYLEK",PR!$BH404,IF(K406="TEMITA",PR!$BI404,IF(K406="THL",PR!$BJ404,IF(K406="UBASTIC",PR!$BK404,IF(K406="UNION",PR!$BL404,IF(K406="UNIQUE",PR!$BM404,IF(K406="VIXA",PR!$BN404,IF(K406="WWCV",PR!$BO404,IF(K406="ZOLON",PR!$BP404,"-")))))))))))))))))))))))))))))))))))))))))))))))))))))))))))))))))</f>
        <v>2000</v>
      </c>
    </row>
    <row r="407" spans="1:12" ht="18.75" x14ac:dyDescent="0.3">
      <c r="A407" s="430">
        <f>PR!A405</f>
        <v>371</v>
      </c>
      <c r="B407" s="15" t="str">
        <f>PR!B405</f>
        <v>OLANZEPINE 5MG</v>
      </c>
      <c r="C407" s="113">
        <f>PR!D405</f>
        <v>30</v>
      </c>
      <c r="D407" s="113">
        <f>PR!C405</f>
        <v>140</v>
      </c>
      <c r="E407" s="108">
        <f>IF(F407="ALPHA",PR!$E405,IF(F407="ASSENE",PR!$F405,IF(F407="BIOFEM",PR!$G405,IF(F407="BIOMED",PR!$H405,IF(F407="CHI",PR!$I405,IF(F407="CLARION",PR!$J405,IF(F407="CODIX",PR!$K405,IF(F407="COSMADE",PR!$L405,IF(F407="SANCON",PR!$M405,IF(F407="DEVON",PR!$N405,IF(F407="DORTEMAG",PR!$O405,IF(F407="DGF",PR!$P405,IF(F407="DYNAMIC",PR!$Q405,IF(F407="EMZOR",PR!$R405,IF(F407="EUMATT",PR!$S405,IF(F407="FIDSON",PR!$T405,IF(F407="FCGLOBAL",PR!$U405,IF(F407="GENEITH",PR!$V405,IF(F407="GINOS",PR!$W405,IF(F407="GSK",PR!$X405,IF(F407="GLOBORG",PR!$Y405,IF(F407="GOODNEWS",PR!$Z405,IF(F407="GREENLIFE",PR!$AA405,IF(F407="HLINE",PR!$AB405,IF(F407="ROTECH",PR!$AC405,IF(F407="ISN",PR!$AD405,IF(F407="JAWA",PR!$AE405,IF(F407="LAYO",PR!$AF405,IF(F407="LEADWAY",PR!$AG405,IF(F407="LHV",PR!$AH405,IF(F407="MANOLA",PR!$AI405,IF(F407="MARCSON",PR!$AJ405,IF(F407="M&amp;B",PR!$AK405,IF(F407="MTRUST",PR!$AL405,IF(F407="MWORLD",PR!$AM405,IF(F407="MEGA",PR!$AN405,IF(F407="MICRONOVA",PR!$AO405,IF(F407="MFLASH",PR!$AP405,IF(F407="MORISON",PR!$AQ405,IF(F407="NEMEL",PR!$AR405,IF(F407="NHP",PR!$AS405,IF(F407="NHC",PR!$AT405,IF(F407="OLEAF",PR!$AU405,IF(F407="OCULUS",PR!$AV405,IF(F407="PACIFIC",PR!$AW405,IF(F407="PHAMATEX",PR!$AX405,IF(F407="PETHICS",PR!$AY405,IF(F407="PHILIPS",PR!$AZ405,IF(F407="RANBAXY",PR!$BA405,IF(F407="REALS",PR!$BB405,IF(F407="ROYAL",PR!$BC405,IF(F407="SAM",PR!$BD405,IF(F407="SEAGREEN",PR!$BE405,IF(F407="SKG",PR!$BF405,IF(F407="TAH",PR!$BG405,IF(F407="TAYLEK",PR!$BH405,IF(F407="TEMITA",PR!$BI405,IF(F407="THL",PR!$BJ405,IF(F407="UBASTIC",PR!$BK405,IF(F407="UNION",PR!$BL405,IF(F407="UNIQUE",PR!$BM405,IF(F407="VIXA",PR!$BN405,IF(F407="WWCV",PR!$BO405,IF(F407="ZOLON",PR!$BP405,"-"))))))))))))))))))))))))))))))))))))))))))))))))))))))))))))))))</f>
        <v>1600</v>
      </c>
      <c r="F407" s="102" t="str">
        <f>EV!L531</f>
        <v>EUMATT</v>
      </c>
      <c r="G407" s="108" t="str">
        <f>IF(H407="ALPHA",PR!$E405,IF(H407="ASSENE",PR!$F405,IF(H407="BIOFEM",PR!$G405,IF(H407="BIOMED",PR!$H405,IF(H407="CHI",PR!$I405,IF(H407="CLARION",PR!$J405,IF(H407="CODIX",PR!$K405,IF(H407="COSMADE",PR!$L405,IF(H407="SANCON",PR!$M405,IF(H407="DEVON",PR!$N405,IF(H407="DORTEMAG",PR!$O405,IF(H407="DGF",PR!$P405,IF(H407="DYNAMIC",PR!$Q405,IF(H407="EMZOR",PR!$R405,IF(H407="EUMATT",PR!$S405,IF(H407="FIDSON",PR!$T405,IF(H407="FCGLOBAL",PR!$U405,IF(H407="GENEITH",PR!$V405,IF(H407="GINOS",PR!$W405,IF(H407="GSK",PR!$X405,IF(H407="GLOBORG",PR!$Y405,IF(H407="GOODNEWS",PR!$Z405,IF(H407="GREENLIFE",PR!$AA405,IF(H407="HLINE",PR!$AB405,IF(H407="ROTECH",PR!$AC405,IF(H407="ISN",PR!$AD405,IF(H407="JAWA",PR!$AE405,IF(H407="LAYO",PR!$AF405,IF(H407="LEADWAY",PR!$AG405,IF(H407="LHV",PR!$AH405,IF(H407="MANOLA",PR!$AI405,IF(H407="MARCSON",PR!$AJ405,IF(H407="M&amp;B",PR!$AK405,IF(H407="MTRUST",PR!$AL405,IF(H407="MWORLD",PR!$AM405,IF(H407="MEGA",PR!$AN405,IF(H407="MICRONOVA",PR!$AO405,IF(H407="MFLASH",PR!$AP405,IF(H407="MORISON",PR!$AQ405,IF(H407="NEMEL",PR!$AR405,IF(H407="NHP",PR!$AS405,IF(H407="NHC",PR!$AT405,IF(H407="OLEAF",PR!$AU405,IF(H407="OCULUS",PR!$AV405,IF(H407="PACIFIC",PR!$AW405,IF(H407="PHAMATEX",PR!$AX405,IF(H407="PETHICS",PR!$AY405,IF(H407="PHILIPS",PR!$AZ405,IF(H407="RANBAXY",PR!$BA405,IF(H407="REALS",PR!$BB405,IF(H407="ROYAL",PR!$BC405,IF(H407="SAM",PR!$BD405,IF(H407="SEAGREEN",PR!$BE405,IF(H407="SKG",PR!$BF405,IF(H407="TAH",PR!$BG405,IF(H407="TAYLEK",PR!$BH405,IF(H407="TEMITA",PR!$BI405,IF(H407="THL",PR!$BJ405,IF(H407="UBASTIC",PR!$BK405,IF(H407="UNION",PR!$BL405,IF(H407="UNIQUE",PR!$BM405,IF(H407="VIXA",PR!$BN405,IF(H407="WWCV",PR!$BO405,IF(H407="ZOLON",PR!$BP405,"-"))))))))))))))))))))))))))))))))))))))))))))))))))))))))))))))))</f>
        <v>-</v>
      </c>
      <c r="H407" s="102">
        <f>EV!M531</f>
        <v>0</v>
      </c>
      <c r="I407" s="108" t="str">
        <f>IF(J407="ALPHA",PR!$E405,IF(J407="ASSENE",PR!$F405,IF(J407="BIOFEM",PR!$G405,IF(J407="BIOMED",PR!$H405,IF(J407="CHI",PR!$I405,IF(J407="CLARION",PR!$J405,IF(J407="CODIX",PR!$K405,IF(J407="COSMADE",PR!$L405,IF(J407="SANCON",PR!$M405,IF(J407="DEVON",PR!$N405,IF(J407="DORTEMAG",PR!$O405,IF(J407="DGF",PR!$P405,IF(J407="DYNAMIC",PR!$Q405,IF(J407="EMZOR",PR!$R405,IF(J407="EUMATT",PR!$S405,IF(J407="FIDSON",PR!$T405,IF(J407="FCGLOBAL",PR!$U405,IF(J407="GENEITH",PR!$V405,IF(J407="GINOS",PR!$W405,IF(J407="GSK",PR!$X405,IF(J407="GLOBORG",PR!$Y405,IF(J407="GOODNEWS",PR!$Z405,IF(J407="GREENLIFE",PR!$AA405,IF(J407="HLINE",PR!$AB405,IF(J407="ROTECH",PR!$AC405,IF(J407="ISN",PR!$AD405,IF(J407="JAWA",PR!$AE405,IF(J407="LAYO",PR!$AF405,IF(J407="LEADWAY",PR!$AG405,IF(J407="LHV",PR!$AH405,IF(J407="MANOLA",PR!$AI405,IF(J407="MARCSON",PR!$AJ405,IF(J407="M&amp;B",PR!$AK405,IF(J407="MTRUST",PR!$AL405,IF(J407="MWORLD",PR!$AM405,IF(J407="MEGA",PR!$AN405,IF(J407="MICRONOVA",PR!$AO405,IF(J407="MFLASH",PR!$AP405,IF(J407="MORISON",PR!$AQ405,IF(J407="NEMEL",PR!$AR405,IF(J407="NHP",PR!$AS405,IF(J407="NHC",PR!$AT405,IF(J407="OLEAF",PR!$AU405,IF(J407="OCULUS",PR!$AV405,IF(J407="PACIFIC",PR!$AW405,IF(J407="PHAMATEX",PR!$AX405,IF(J407="PETHICS",PR!$AY405,IF(J407="PHILIPS",PR!$AZ405,IF(J407="RANBAXY",PR!$BA405,IF(J407="REALS",PR!$BB405,IF(J407="ROYAL",PR!$BC405,IF(J407="SAM",PR!$BD405,IF(J407="SEAGREEN",PR!$BE405,IF(J407="SKG",PR!$BF405,IF(J407="TAH",PR!$BG405,IF(J407="TAYLEK",PR!$BH405,IF(J407="TEMITA",PR!$BI405,IF(J407="THL",PR!$BJ405,IF(J407="UBASTIC",PR!$BK405,IF(J407="UNION",PR!$BL405,IF(J407="UNIQUE",PR!$BM405,IF(J407="VIXA",PR!$BN405,IF(J407="WWCV",PR!$BO405,IF(J407="ZOLON",PR!$BP405,"-"))))))))))))))))))))))))))))))))))))))))))))))))))))))))))))))))</f>
        <v>-</v>
      </c>
      <c r="J407" s="102">
        <f>EV!N531</f>
        <v>0</v>
      </c>
      <c r="K407" s="433" t="s">
        <v>821</v>
      </c>
      <c r="L407" s="183">
        <f>IF(K407&gt;0,IF(K407="ALPHA",PR!$E405,IF(K407="ASSENE",PR!$F405,IF(K407="BIOFEM",PR!$G405,IF(K407="BIOMED",PR!$H405,IF(K407="CHI",PR!$I405,IF(K407="CLARION",PR!$J405,IF(K407="CODIX",PR!$K405,IF(K407="COSMADE",PR!$L405,IF(K407="SANCON",PR!$M405,IF(K407="DEVON",PR!$N405,IF(K407="DORTEMAG",PR!$O405,IF(K407="DGF",PR!$P405,IF(K407="DYNAMIC",PR!$Q405,IF(K407="EMZOR",PR!$R405,IF(K407="EUMATT",PR!$S405,IF(K407="FIDSON",PR!$T405,IF(K407="FCGLOBAL",PR!$U405,IF(K407="GENEITH",PR!$V405,IF(K407="GINOS",PR!$W405,IF(K407="GSK",PR!$X405,IF(K407="GLOBORG",PR!$Y405,IF(K407="GOODNEWS",PR!$Z405,IF(K407="GREENLIFE",PR!$AA405,IF(K407="HLINE",PR!$AB405,IF(K407="ROTECH",PR!$AC405,IF(K407="ISN",PR!$AD405,IF(K407="JAWA",PR!$AE405,IF(K407="LAYO",PR!$AF405,IF(K407="LEADWAY",PR!$AG405,IF(K407="LHV",PR!$AH405,IF(K407="MANOLA",PR!$AI405,IF(K407="MARCSON",PR!$AJ405,IF(K407="M&amp;B",PR!$AK405,IF(K407="MTRUST",PR!$AL405,IF(K407="MWORLD",PR!$AM405,IF(K407="MEGA",PR!$AN405,IF(K407="MICRONOVA",PR!$AO405,IF(K407="MFLASH",PR!$AP405,IF(K407="MORISON",PR!$AQ405,IF(K407="NEMEL",PR!$AR405,IF(K407="NHP",PR!$AS405,IF(K407="NHC",PR!$AT405,IF(K407="OLEAF",PR!$AU405,IF(K407="OCULUS",PR!$AV405,IF(K407="PACIFIC",PR!$AW405,IF(K407="PHAMATEX",PR!$AX405,IF(K407="PETHICS",PR!$AY405,IF(K407="PHILIPS",PR!$AZ405,IF(K407="RANBAXY",PR!$BA405,IF(K407="REALS",PR!$BB405,IF(K407="ROYAL",PR!$BC405,IF(K407="SAM",PR!$BD405,IF(K407="SEAGREEN",PR!$BE405,IF(K407="SKG",PR!$BF405,IF(K407="TAH",PR!$BG405,IF(K407="TAYLEK",PR!$BH405,IF(K407="TEMITA",PR!$BI405,IF(K407="THL",PR!$BJ405,IF(K407="UBASTIC",PR!$BK405,IF(K407="UNION",PR!$BL405,IF(K407="UNIQUE",PR!$BM405,IF(K407="VIXA",PR!$BN405,IF(K407="WWCV",PR!$BO405,IF(K407="ZOLON",PR!$BP405,"-")))))))))))))))))))))))))))))))))))))))))))))))))))))))))))))))))</f>
        <v>1600</v>
      </c>
    </row>
    <row r="408" spans="1:12" ht="18.75" x14ac:dyDescent="0.3">
      <c r="A408" s="430">
        <f>PR!A406</f>
        <v>372</v>
      </c>
      <c r="B408" s="15" t="str">
        <f>PR!B406</f>
        <v>PARALDEHYDE INJ</v>
      </c>
      <c r="C408" s="113">
        <f>PR!D406</f>
        <v>5</v>
      </c>
      <c r="D408" s="113">
        <f>PR!C406</f>
        <v>60</v>
      </c>
      <c r="E408" s="108">
        <f>IF(F408="ALPHA",PR!$E406,IF(F408="ASSENE",PR!$F406,IF(F408="BIOFEM",PR!$G406,IF(F408="BIOMED",PR!$H406,IF(F408="CHI",PR!$I406,IF(F408="CLARION",PR!$J406,IF(F408="CODIX",PR!$K406,IF(F408="COSMADE",PR!$L406,IF(F408="SANCON",PR!$M406,IF(F408="DEVON",PR!$N406,IF(F408="DORTEMAG",PR!$O406,IF(F408="DGF",PR!$P406,IF(F408="DYNAMIC",PR!$Q406,IF(F408="EMZOR",PR!$R406,IF(F408="EUMATT",PR!$S406,IF(F408="FIDSON",PR!$T406,IF(F408="FCGLOBAL",PR!$U406,IF(F408="GENEITH",PR!$V406,IF(F408="GINOS",PR!$W406,IF(F408="GSK",PR!$X406,IF(F408="GLOBORG",PR!$Y406,IF(F408="GOODNEWS",PR!$Z406,IF(F408="GREENLIFE",PR!$AA406,IF(F408="HLINE",PR!$AB406,IF(F408="ROTECH",PR!$AC406,IF(F408="ISN",PR!$AD406,IF(F408="JAWA",PR!$AE406,IF(F408="LAYO",PR!$AF406,IF(F408="LEADWAY",PR!$AG406,IF(F408="LHV",PR!$AH406,IF(F408="MANOLA",PR!$AI406,IF(F408="MARCSON",PR!$AJ406,IF(F408="M&amp;B",PR!$AK406,IF(F408="MTRUST",PR!$AL406,IF(F408="MWORLD",PR!$AM406,IF(F408="MEGA",PR!$AN406,IF(F408="MICRONOVA",PR!$AO406,IF(F408="MFLASH",PR!$AP406,IF(F408="MORISON",PR!$AQ406,IF(F408="NEMEL",PR!$AR406,IF(F408="NHP",PR!$AS406,IF(F408="NHC",PR!$AT406,IF(F408="OLEAF",PR!$AU406,IF(F408="OCULUS",PR!$AV406,IF(F408="PACIFIC",PR!$AW406,IF(F408="PHAMATEX",PR!$AX406,IF(F408="PETHICS",PR!$AY406,IF(F408="PHILIPS",PR!$AZ406,IF(F408="RANBAXY",PR!$BA406,IF(F408="REALS",PR!$BB406,IF(F408="ROYAL",PR!$BC406,IF(F408="SAM",PR!$BD406,IF(F408="SEAGREEN",PR!$BE406,IF(F408="SKG",PR!$BF406,IF(F408="TAH",PR!$BG406,IF(F408="TAYLEK",PR!$BH406,IF(F408="TEMITA",PR!$BI406,IF(F408="THL",PR!$BJ406,IF(F408="UBASTIC",PR!$BK406,IF(F408="UNION",PR!$BL406,IF(F408="UNIQUE",PR!$BM406,IF(F408="VIXA",PR!$BN406,IF(F408="WWCV",PR!$BO406,IF(F408="ZOLON",PR!$BP406,"-"))))))))))))))))))))))))))))))))))))))))))))))))))))))))))))))))</f>
        <v>1500</v>
      </c>
      <c r="F408" s="102" t="str">
        <f>EV!L532</f>
        <v>EUMATT</v>
      </c>
      <c r="G408" s="108" t="str">
        <f>IF(H408="ALPHA",PR!$E406,IF(H408="ASSENE",PR!$F406,IF(H408="BIOFEM",PR!$G406,IF(H408="BIOMED",PR!$H406,IF(H408="CHI",PR!$I406,IF(H408="CLARION",PR!$J406,IF(H408="CODIX",PR!$K406,IF(H408="COSMADE",PR!$L406,IF(H408="SANCON",PR!$M406,IF(H408="DEVON",PR!$N406,IF(H408="DORTEMAG",PR!$O406,IF(H408="DGF",PR!$P406,IF(H408="DYNAMIC",PR!$Q406,IF(H408="EMZOR",PR!$R406,IF(H408="EUMATT",PR!$S406,IF(H408="FIDSON",PR!$T406,IF(H408="FCGLOBAL",PR!$U406,IF(H408="GENEITH",PR!$V406,IF(H408="GINOS",PR!$W406,IF(H408="GSK",PR!$X406,IF(H408="GLOBORG",PR!$Y406,IF(H408="GOODNEWS",PR!$Z406,IF(H408="GREENLIFE",PR!$AA406,IF(H408="HLINE",PR!$AB406,IF(H408="ROTECH",PR!$AC406,IF(H408="ISN",PR!$AD406,IF(H408="JAWA",PR!$AE406,IF(H408="LAYO",PR!$AF406,IF(H408="LEADWAY",PR!$AG406,IF(H408="LHV",PR!$AH406,IF(H408="MANOLA",PR!$AI406,IF(H408="MARCSON",PR!$AJ406,IF(H408="M&amp;B",PR!$AK406,IF(H408="MTRUST",PR!$AL406,IF(H408="MWORLD",PR!$AM406,IF(H408="MEGA",PR!$AN406,IF(H408="MICRONOVA",PR!$AO406,IF(H408="MFLASH",PR!$AP406,IF(H408="MORISON",PR!$AQ406,IF(H408="NEMEL",PR!$AR406,IF(H408="NHP",PR!$AS406,IF(H408="NHC",PR!$AT406,IF(H408="OLEAF",PR!$AU406,IF(H408="OCULUS",PR!$AV406,IF(H408="PACIFIC",PR!$AW406,IF(H408="PHAMATEX",PR!$AX406,IF(H408="PETHICS",PR!$AY406,IF(H408="PHILIPS",PR!$AZ406,IF(H408="RANBAXY",PR!$BA406,IF(H408="REALS",PR!$BB406,IF(H408="ROYAL",PR!$BC406,IF(H408="SAM",PR!$BD406,IF(H408="SEAGREEN",PR!$BE406,IF(H408="SKG",PR!$BF406,IF(H408="TAH",PR!$BG406,IF(H408="TAYLEK",PR!$BH406,IF(H408="TEMITA",PR!$BI406,IF(H408="THL",PR!$BJ406,IF(H408="UBASTIC",PR!$BK406,IF(H408="UNION",PR!$BL406,IF(H408="UNIQUE",PR!$BM406,IF(H408="VIXA",PR!$BN406,IF(H408="WWCV",PR!$BO406,IF(H408="ZOLON",PR!$BP406,"-"))))))))))))))))))))))))))))))))))))))))))))))))))))))))))))))))</f>
        <v>-</v>
      </c>
      <c r="H408" s="102">
        <f>EV!M532</f>
        <v>0</v>
      </c>
      <c r="I408" s="108" t="str">
        <f>IF(J408="ALPHA",PR!$E406,IF(J408="ASSENE",PR!$F406,IF(J408="BIOFEM",PR!$G406,IF(J408="BIOMED",PR!$H406,IF(J408="CHI",PR!$I406,IF(J408="CLARION",PR!$J406,IF(J408="CODIX",PR!$K406,IF(J408="COSMADE",PR!$L406,IF(J408="SANCON",PR!$M406,IF(J408="DEVON",PR!$N406,IF(J408="DORTEMAG",PR!$O406,IF(J408="DGF",PR!$P406,IF(J408="DYNAMIC",PR!$Q406,IF(J408="EMZOR",PR!$R406,IF(J408="EUMATT",PR!$S406,IF(J408="FIDSON",PR!$T406,IF(J408="FCGLOBAL",PR!$U406,IF(J408="GENEITH",PR!$V406,IF(J408="GINOS",PR!$W406,IF(J408="GSK",PR!$X406,IF(J408="GLOBORG",PR!$Y406,IF(J408="GOODNEWS",PR!$Z406,IF(J408="GREENLIFE",PR!$AA406,IF(J408="HLINE",PR!$AB406,IF(J408="ROTECH",PR!$AC406,IF(J408="ISN",PR!$AD406,IF(J408="JAWA",PR!$AE406,IF(J408="LAYO",PR!$AF406,IF(J408="LEADWAY",PR!$AG406,IF(J408="LHV",PR!$AH406,IF(J408="MANOLA",PR!$AI406,IF(J408="MARCSON",PR!$AJ406,IF(J408="M&amp;B",PR!$AK406,IF(J408="MTRUST",PR!$AL406,IF(J408="MWORLD",PR!$AM406,IF(J408="MEGA",PR!$AN406,IF(J408="MICRONOVA",PR!$AO406,IF(J408="MFLASH",PR!$AP406,IF(J408="MORISON",PR!$AQ406,IF(J408="NEMEL",PR!$AR406,IF(J408="NHP",PR!$AS406,IF(J408="NHC",PR!$AT406,IF(J408="OLEAF",PR!$AU406,IF(J408="OCULUS",PR!$AV406,IF(J408="PACIFIC",PR!$AW406,IF(J408="PHAMATEX",PR!$AX406,IF(J408="PETHICS",PR!$AY406,IF(J408="PHILIPS",PR!$AZ406,IF(J408="RANBAXY",PR!$BA406,IF(J408="REALS",PR!$BB406,IF(J408="ROYAL",PR!$BC406,IF(J408="SAM",PR!$BD406,IF(J408="SEAGREEN",PR!$BE406,IF(J408="SKG",PR!$BF406,IF(J408="TAH",PR!$BG406,IF(J408="TAYLEK",PR!$BH406,IF(J408="TEMITA",PR!$BI406,IF(J408="THL",PR!$BJ406,IF(J408="UBASTIC",PR!$BK406,IF(J408="UNION",PR!$BL406,IF(J408="UNIQUE",PR!$BM406,IF(J408="VIXA",PR!$BN406,IF(J408="WWCV",PR!$BO406,IF(J408="ZOLON",PR!$BP406,"-"))))))))))))))))))))))))))))))))))))))))))))))))))))))))))))))))</f>
        <v>-</v>
      </c>
      <c r="J408" s="102">
        <f>EV!N532</f>
        <v>0</v>
      </c>
      <c r="K408" s="433" t="s">
        <v>821</v>
      </c>
      <c r="L408" s="183">
        <f>IF(K408&gt;0,IF(K408="ALPHA",PR!$E406,IF(K408="ASSENE",PR!$F406,IF(K408="BIOFEM",PR!$G406,IF(K408="BIOMED",PR!$H406,IF(K408="CHI",PR!$I406,IF(K408="CLARION",PR!$J406,IF(K408="CODIX",PR!$K406,IF(K408="COSMADE",PR!$L406,IF(K408="SANCON",PR!$M406,IF(K408="DEVON",PR!$N406,IF(K408="DORTEMAG",PR!$O406,IF(K408="DGF",PR!$P406,IF(K408="DYNAMIC",PR!$Q406,IF(K408="EMZOR",PR!$R406,IF(K408="EUMATT",PR!$S406,IF(K408="FIDSON",PR!$T406,IF(K408="FCGLOBAL",PR!$U406,IF(K408="GENEITH",PR!$V406,IF(K408="GINOS",PR!$W406,IF(K408="GSK",PR!$X406,IF(K408="GLOBORG",PR!$Y406,IF(K408="GOODNEWS",PR!$Z406,IF(K408="GREENLIFE",PR!$AA406,IF(K408="HLINE",PR!$AB406,IF(K408="ROTECH",PR!$AC406,IF(K408="ISN",PR!$AD406,IF(K408="JAWA",PR!$AE406,IF(K408="LAYO",PR!$AF406,IF(K408="LEADWAY",PR!$AG406,IF(K408="LHV",PR!$AH406,IF(K408="MANOLA",PR!$AI406,IF(K408="MARCSON",PR!$AJ406,IF(K408="M&amp;B",PR!$AK406,IF(K408="MTRUST",PR!$AL406,IF(K408="MWORLD",PR!$AM406,IF(K408="MEGA",PR!$AN406,IF(K408="MICRONOVA",PR!$AO406,IF(K408="MFLASH",PR!$AP406,IF(K408="MORISON",PR!$AQ406,IF(K408="NEMEL",PR!$AR406,IF(K408="NHP",PR!$AS406,IF(K408="NHC",PR!$AT406,IF(K408="OLEAF",PR!$AU406,IF(K408="OCULUS",PR!$AV406,IF(K408="PACIFIC",PR!$AW406,IF(K408="PHAMATEX",PR!$AX406,IF(K408="PETHICS",PR!$AY406,IF(K408="PHILIPS",PR!$AZ406,IF(K408="RANBAXY",PR!$BA406,IF(K408="REALS",PR!$BB406,IF(K408="ROYAL",PR!$BC406,IF(K408="SAM",PR!$BD406,IF(K408="SEAGREEN",PR!$BE406,IF(K408="SKG",PR!$BF406,IF(K408="TAH",PR!$BG406,IF(K408="TAYLEK",PR!$BH406,IF(K408="TEMITA",PR!$BI406,IF(K408="THL",PR!$BJ406,IF(K408="UBASTIC",PR!$BK406,IF(K408="UNION",PR!$BL406,IF(K408="UNIQUE",PR!$BM406,IF(K408="VIXA",PR!$BN406,IF(K408="WWCV",PR!$BO406,IF(K408="ZOLON",PR!$BP406,"-")))))))))))))))))))))))))))))))))))))))))))))))))))))))))))))))))</f>
        <v>1500</v>
      </c>
    </row>
    <row r="409" spans="1:12" ht="18.75" x14ac:dyDescent="0.3">
      <c r="A409" s="430">
        <f>PR!A407</f>
        <v>373</v>
      </c>
      <c r="B409" s="15" t="str">
        <f>PR!B407</f>
        <v>PAROXETIN 20MG</v>
      </c>
      <c r="C409" s="113">
        <f>PR!D407</f>
        <v>30</v>
      </c>
      <c r="D409" s="113">
        <f>PR!C407</f>
        <v>20</v>
      </c>
      <c r="E409" s="108" t="str">
        <f>IF(F409="ALPHA",PR!$E407,IF(F409="ASSENE",PR!$F407,IF(F409="BIOFEM",PR!$G407,IF(F409="BIOMED",PR!$H407,IF(F409="CHI",PR!$I407,IF(F409="CLARION",PR!$J407,IF(F409="CODIX",PR!$K407,IF(F409="COSMADE",PR!$L407,IF(F409="SANCON",PR!$M407,IF(F409="DEVON",PR!$N407,IF(F409="DORTEMAG",PR!$O407,IF(F409="DGF",PR!$P407,IF(F409="DYNAMIC",PR!$Q407,IF(F409="EMZOR",PR!$R407,IF(F409="EUMATT",PR!$S407,IF(F409="FIDSON",PR!$T407,IF(F409="FCGLOBAL",PR!$U407,IF(F409="GENEITH",PR!$V407,IF(F409="GINOS",PR!$W407,IF(F409="GSK",PR!$X407,IF(F409="GLOBORG",PR!$Y407,IF(F409="GOODNEWS",PR!$Z407,IF(F409="GREENLIFE",PR!$AA407,IF(F409="HLINE",PR!$AB407,IF(F409="ROTECH",PR!$AC407,IF(F409="ISN",PR!$AD407,IF(F409="JAWA",PR!$AE407,IF(F409="LAYO",PR!$AF407,IF(F409="LEADWAY",PR!$AG407,IF(F409="LHV",PR!$AH407,IF(F409="MANOLA",PR!$AI407,IF(F409="MARCSON",PR!$AJ407,IF(F409="M&amp;B",PR!$AK407,IF(F409="MTRUST",PR!$AL407,IF(F409="MWORLD",PR!$AM407,IF(F409="MEGA",PR!$AN407,IF(F409="MICRONOVA",PR!$AO407,IF(F409="MFLASH",PR!$AP407,IF(F409="MORISON",PR!$AQ407,IF(F409="NEMEL",PR!$AR407,IF(F409="NHP",PR!$AS407,IF(F409="NHC",PR!$AT407,IF(F409="OLEAF",PR!$AU407,IF(F409="OCULUS",PR!$AV407,IF(F409="PACIFIC",PR!$AW407,IF(F409="PHAMATEX",PR!$AX407,IF(F409="PETHICS",PR!$AY407,IF(F409="PHILIPS",PR!$AZ407,IF(F409="RANBAXY",PR!$BA407,IF(F409="REALS",PR!$BB407,IF(F409="ROYAL",PR!$BC407,IF(F409="SAM",PR!$BD407,IF(F409="SEAGREEN",PR!$BE407,IF(F409="SKG",PR!$BF407,IF(F409="TAH",PR!$BG407,IF(F409="TAYLEK",PR!$BH407,IF(F409="TEMITA",PR!$BI407,IF(F409="THL",PR!$BJ407,IF(F409="UBASTIC",PR!$BK407,IF(F409="UNION",PR!$BL407,IF(F409="UNIQUE",PR!$BM407,IF(F409="VIXA",PR!$BN407,IF(F409="WWCV",PR!$BO407,IF(F409="ZOLON",PR!$BP407,"-"))))))))))))))))))))))))))))))))))))))))))))))))))))))))))))))))</f>
        <v>-</v>
      </c>
      <c r="F409" s="102">
        <f>EV!L533</f>
        <v>0</v>
      </c>
      <c r="G409" s="108" t="str">
        <f>IF(H409="ALPHA",PR!$E407,IF(H409="ASSENE",PR!$F407,IF(H409="BIOFEM",PR!$G407,IF(H409="BIOMED",PR!$H407,IF(H409="CHI",PR!$I407,IF(H409="CLARION",PR!$J407,IF(H409="CODIX",PR!$K407,IF(H409="COSMADE",PR!$L407,IF(H409="SANCON",PR!$M407,IF(H409="DEVON",PR!$N407,IF(H409="DORTEMAG",PR!$O407,IF(H409="DGF",PR!$P407,IF(H409="DYNAMIC",PR!$Q407,IF(H409="EMZOR",PR!$R407,IF(H409="EUMATT",PR!$S407,IF(H409="FIDSON",PR!$T407,IF(H409="FCGLOBAL",PR!$U407,IF(H409="GENEITH",PR!$V407,IF(H409="GINOS",PR!$W407,IF(H409="GSK",PR!$X407,IF(H409="GLOBORG",PR!$Y407,IF(H409="GOODNEWS",PR!$Z407,IF(H409="GREENLIFE",PR!$AA407,IF(H409="HLINE",PR!$AB407,IF(H409="ROTECH",PR!$AC407,IF(H409="ISN",PR!$AD407,IF(H409="JAWA",PR!$AE407,IF(H409="LAYO",PR!$AF407,IF(H409="LEADWAY",PR!$AG407,IF(H409="LHV",PR!$AH407,IF(H409="MANOLA",PR!$AI407,IF(H409="MARCSON",PR!$AJ407,IF(H409="M&amp;B",PR!$AK407,IF(H409="MTRUST",PR!$AL407,IF(H409="MWORLD",PR!$AM407,IF(H409="MEGA",PR!$AN407,IF(H409="MICRONOVA",PR!$AO407,IF(H409="MFLASH",PR!$AP407,IF(H409="MORISON",PR!$AQ407,IF(H409="NEMEL",PR!$AR407,IF(H409="NHP",PR!$AS407,IF(H409="NHC",PR!$AT407,IF(H409="OLEAF",PR!$AU407,IF(H409="OCULUS",PR!$AV407,IF(H409="PACIFIC",PR!$AW407,IF(H409="PHAMATEX",PR!$AX407,IF(H409="PETHICS",PR!$AY407,IF(H409="PHILIPS",PR!$AZ407,IF(H409="RANBAXY",PR!$BA407,IF(H409="REALS",PR!$BB407,IF(H409="ROYAL",PR!$BC407,IF(H409="SAM",PR!$BD407,IF(H409="SEAGREEN",PR!$BE407,IF(H409="SKG",PR!$BF407,IF(H409="TAH",PR!$BG407,IF(H409="TAYLEK",PR!$BH407,IF(H409="TEMITA",PR!$BI407,IF(H409="THL",PR!$BJ407,IF(H409="UBASTIC",PR!$BK407,IF(H409="UNION",PR!$BL407,IF(H409="UNIQUE",PR!$BM407,IF(H409="VIXA",PR!$BN407,IF(H409="WWCV",PR!$BO407,IF(H409="ZOLON",PR!$BP407,"-"))))))))))))))))))))))))))))))))))))))))))))))))))))))))))))))))</f>
        <v>-</v>
      </c>
      <c r="H409" s="102">
        <f>EV!M533</f>
        <v>0</v>
      </c>
      <c r="I409" s="108" t="str">
        <f>IF(J409="ALPHA",PR!$E407,IF(J409="ASSENE",PR!$F407,IF(J409="BIOFEM",PR!$G407,IF(J409="BIOMED",PR!$H407,IF(J409="CHI",PR!$I407,IF(J409="CLARION",PR!$J407,IF(J409="CODIX",PR!$K407,IF(J409="COSMADE",PR!$L407,IF(J409="SANCON",PR!$M407,IF(J409="DEVON",PR!$N407,IF(J409="DORTEMAG",PR!$O407,IF(J409="DGF",PR!$P407,IF(J409="DYNAMIC",PR!$Q407,IF(J409="EMZOR",PR!$R407,IF(J409="EUMATT",PR!$S407,IF(J409="FIDSON",PR!$T407,IF(J409="FCGLOBAL",PR!$U407,IF(J409="GENEITH",PR!$V407,IF(J409="GINOS",PR!$W407,IF(J409="GSK",PR!$X407,IF(J409="GLOBORG",PR!$Y407,IF(J409="GOODNEWS",PR!$Z407,IF(J409="GREENLIFE",PR!$AA407,IF(J409="HLINE",PR!$AB407,IF(J409="ROTECH",PR!$AC407,IF(J409="ISN",PR!$AD407,IF(J409="JAWA",PR!$AE407,IF(J409="LAYO",PR!$AF407,IF(J409="LEADWAY",PR!$AG407,IF(J409="LHV",PR!$AH407,IF(J409="MANOLA",PR!$AI407,IF(J409="MARCSON",PR!$AJ407,IF(J409="M&amp;B",PR!$AK407,IF(J409="MTRUST",PR!$AL407,IF(J409="MWORLD",PR!$AM407,IF(J409="MEGA",PR!$AN407,IF(J409="MICRONOVA",PR!$AO407,IF(J409="MFLASH",PR!$AP407,IF(J409="MORISON",PR!$AQ407,IF(J409="NEMEL",PR!$AR407,IF(J409="NHP",PR!$AS407,IF(J409="NHC",PR!$AT407,IF(J409="OLEAF",PR!$AU407,IF(J409="OCULUS",PR!$AV407,IF(J409="PACIFIC",PR!$AW407,IF(J409="PHAMATEX",PR!$AX407,IF(J409="PETHICS",PR!$AY407,IF(J409="PHILIPS",PR!$AZ407,IF(J409="RANBAXY",PR!$BA407,IF(J409="REALS",PR!$BB407,IF(J409="ROYAL",PR!$BC407,IF(J409="SAM",PR!$BD407,IF(J409="SEAGREEN",PR!$BE407,IF(J409="SKG",PR!$BF407,IF(J409="TAH",PR!$BG407,IF(J409="TAYLEK",PR!$BH407,IF(J409="TEMITA",PR!$BI407,IF(J409="THL",PR!$BJ407,IF(J409="UBASTIC",PR!$BK407,IF(J409="UNION",PR!$BL407,IF(J409="UNIQUE",PR!$BM407,IF(J409="VIXA",PR!$BN407,IF(J409="WWCV",PR!$BO407,IF(J409="ZOLON",PR!$BP407,"-"))))))))))))))))))))))))))))))))))))))))))))))))))))))))))))))))</f>
        <v>-</v>
      </c>
      <c r="J409" s="102">
        <f>EV!N533</f>
        <v>0</v>
      </c>
      <c r="K409" s="433"/>
      <c r="L409" s="183" t="b">
        <f>IF(K409&gt;0,IF(K409="ALPHA",PR!$E407,IF(K409="ASSENE",PR!$F407,IF(K409="BIOFEM",PR!$G407,IF(K409="BIOMED",PR!$H407,IF(K409="CHI",PR!$I407,IF(K409="CLARION",PR!$J407,IF(K409="CODIX",PR!$K407,IF(K409="COSMADE",PR!$L407,IF(K409="SANCON",PR!$M407,IF(K409="DEVON",PR!$N407,IF(K409="DORTEMAG",PR!$O407,IF(K409="DGF",PR!$P407,IF(K409="DYNAMIC",PR!$Q407,IF(K409="EMZOR",PR!$R407,IF(K409="EUMATT",PR!$S407,IF(K409="FIDSON",PR!$T407,IF(K409="FCGLOBAL",PR!$U407,IF(K409="GENEITH",PR!$V407,IF(K409="GINOS",PR!$W407,IF(K409="GSK",PR!$X407,IF(K409="GLOBORG",PR!$Y407,IF(K409="GOODNEWS",PR!$Z407,IF(K409="GREENLIFE",PR!$AA407,IF(K409="HLINE",PR!$AB407,IF(K409="ROTECH",PR!$AC407,IF(K409="ISN",PR!$AD407,IF(K409="JAWA",PR!$AE407,IF(K409="LAYO",PR!$AF407,IF(K409="LEADWAY",PR!$AG407,IF(K409="LHV",PR!$AH407,IF(K409="MANOLA",PR!$AI407,IF(K409="MARCSON",PR!$AJ407,IF(K409="M&amp;B",PR!$AK407,IF(K409="MTRUST",PR!$AL407,IF(K409="MWORLD",PR!$AM407,IF(K409="MEGA",PR!$AN407,IF(K409="MICRONOVA",PR!$AO407,IF(K409="MFLASH",PR!$AP407,IF(K409="MORISON",PR!$AQ407,IF(K409="NEMEL",PR!$AR407,IF(K409="NHP",PR!$AS407,IF(K409="NHC",PR!$AT407,IF(K409="OLEAF",PR!$AU407,IF(K409="OCULUS",PR!$AV407,IF(K409="PACIFIC",PR!$AW407,IF(K409="PHAMATEX",PR!$AX407,IF(K409="PETHICS",PR!$AY407,IF(K409="PHILIPS",PR!$AZ407,IF(K409="RANBAXY",PR!$BA407,IF(K409="REALS",PR!$BB407,IF(K409="ROYAL",PR!$BC407,IF(K409="SAM",PR!$BD407,IF(K409="SEAGREEN",PR!$BE407,IF(K409="SKG",PR!$BF407,IF(K409="TAH",PR!$BG407,IF(K409="TAYLEK",PR!$BH407,IF(K409="TEMITA",PR!$BI407,IF(K409="THL",PR!$BJ407,IF(K409="UBASTIC",PR!$BK407,IF(K409="UNION",PR!$BL407,IF(K409="UNIQUE",PR!$BM407,IF(K409="VIXA",PR!$BN407,IF(K409="WWCV",PR!$BO407,IF(K409="ZOLON",PR!$BP407,"-")))))))))))))))))))))))))))))))))))))))))))))))))))))))))))))))))</f>
        <v>0</v>
      </c>
    </row>
    <row r="410" spans="1:12" ht="18.75" x14ac:dyDescent="0.3">
      <c r="A410" s="430">
        <f>PR!A408</f>
        <v>374</v>
      </c>
      <c r="B410" s="15" t="str">
        <f>PR!B408</f>
        <v>PHENOBARBITONE 200MG INJ</v>
      </c>
      <c r="C410" s="113">
        <f>PR!D408</f>
        <v>100</v>
      </c>
      <c r="D410" s="113">
        <f>PR!C408</f>
        <v>8</v>
      </c>
      <c r="E410" s="108">
        <f>IF(F410="ALPHA",PR!$E408,IF(F410="ASSENE",PR!$F408,IF(F410="BIOFEM",PR!$G408,IF(F410="BIOMED",PR!$H408,IF(F410="CHI",PR!$I408,IF(F410="CLARION",PR!$J408,IF(F410="CODIX",PR!$K408,IF(F410="COSMADE",PR!$L408,IF(F410="SANCON",PR!$M408,IF(F410="DEVON",PR!$N408,IF(F410="DORTEMAG",PR!$O408,IF(F410="DGF",PR!$P408,IF(F410="DYNAMIC",PR!$Q408,IF(F410="EMZOR",PR!$R408,IF(F410="EUMATT",PR!$S408,IF(F410="FIDSON",PR!$T408,IF(F410="FCGLOBAL",PR!$U408,IF(F410="GENEITH",PR!$V408,IF(F410="GINOS",PR!$W408,IF(F410="GSK",PR!$X408,IF(F410="GLOBORG",PR!$Y408,IF(F410="GOODNEWS",PR!$Z408,IF(F410="GREENLIFE",PR!$AA408,IF(F410="HLINE",PR!$AB408,IF(F410="ROTECH",PR!$AC408,IF(F410="ISN",PR!$AD408,IF(F410="JAWA",PR!$AE408,IF(F410="LAYO",PR!$AF408,IF(F410="LEADWAY",PR!$AG408,IF(F410="LHV",PR!$AH408,IF(F410="MANOLA",PR!$AI408,IF(F410="MARCSON",PR!$AJ408,IF(F410="M&amp;B",PR!$AK408,IF(F410="MTRUST",PR!$AL408,IF(F410="MWORLD",PR!$AM408,IF(F410="MEGA",PR!$AN408,IF(F410="MICRONOVA",PR!$AO408,IF(F410="MFLASH",PR!$AP408,IF(F410="MORISON",PR!$AQ408,IF(F410="NEMEL",PR!$AR408,IF(F410="NHP",PR!$AS408,IF(F410="NHC",PR!$AT408,IF(F410="OLEAF",PR!$AU408,IF(F410="OCULUS",PR!$AV408,IF(F410="PACIFIC",PR!$AW408,IF(F410="PHAMATEX",PR!$AX408,IF(F410="PETHICS",PR!$AY408,IF(F410="PHILIPS",PR!$AZ408,IF(F410="RANBAXY",PR!$BA408,IF(F410="REALS",PR!$BB408,IF(F410="ROYAL",PR!$BC408,IF(F410="SAM",PR!$BD408,IF(F410="SEAGREEN",PR!$BE408,IF(F410="SKG",PR!$BF408,IF(F410="TAH",PR!$BG408,IF(F410="TAYLEK",PR!$BH408,IF(F410="TEMITA",PR!$BI408,IF(F410="THL",PR!$BJ408,IF(F410="UBASTIC",PR!$BK408,IF(F410="UNION",PR!$BL408,IF(F410="UNIQUE",PR!$BM408,IF(F410="VIXA",PR!$BN408,IF(F410="WWCV",PR!$BO408,IF(F410="ZOLON",PR!$BP408,"-"))))))))))))))))))))))))))))))))))))))))))))))))))))))))))))))))</f>
        <v>70000</v>
      </c>
      <c r="F410" s="102" t="str">
        <f>EV!L534</f>
        <v>EUMATT</v>
      </c>
      <c r="G410" s="108" t="str">
        <f>IF(H410="ALPHA",PR!$E408,IF(H410="ASSENE",PR!$F408,IF(H410="BIOFEM",PR!$G408,IF(H410="BIOMED",PR!$H408,IF(H410="CHI",PR!$I408,IF(H410="CLARION",PR!$J408,IF(H410="CODIX",PR!$K408,IF(H410="COSMADE",PR!$L408,IF(H410="SANCON",PR!$M408,IF(H410="DEVON",PR!$N408,IF(H410="DORTEMAG",PR!$O408,IF(H410="DGF",PR!$P408,IF(H410="DYNAMIC",PR!$Q408,IF(H410="EMZOR",PR!$R408,IF(H410="EUMATT",PR!$S408,IF(H410="FIDSON",PR!$T408,IF(H410="FCGLOBAL",PR!$U408,IF(H410="GENEITH",PR!$V408,IF(H410="GINOS",PR!$W408,IF(H410="GSK",PR!$X408,IF(H410="GLOBORG",PR!$Y408,IF(H410="GOODNEWS",PR!$Z408,IF(H410="GREENLIFE",PR!$AA408,IF(H410="HLINE",PR!$AB408,IF(H410="ROTECH",PR!$AC408,IF(H410="ISN",PR!$AD408,IF(H410="JAWA",PR!$AE408,IF(H410="LAYO",PR!$AF408,IF(H410="LEADWAY",PR!$AG408,IF(H410="LHV",PR!$AH408,IF(H410="MANOLA",PR!$AI408,IF(H410="MARCSON",PR!$AJ408,IF(H410="M&amp;B",PR!$AK408,IF(H410="MTRUST",PR!$AL408,IF(H410="MWORLD",PR!$AM408,IF(H410="MEGA",PR!$AN408,IF(H410="MICRONOVA",PR!$AO408,IF(H410="MFLASH",PR!$AP408,IF(H410="MORISON",PR!$AQ408,IF(H410="NEMEL",PR!$AR408,IF(H410="NHP",PR!$AS408,IF(H410="NHC",PR!$AT408,IF(H410="OLEAF",PR!$AU408,IF(H410="OCULUS",PR!$AV408,IF(H410="PACIFIC",PR!$AW408,IF(H410="PHAMATEX",PR!$AX408,IF(H410="PETHICS",PR!$AY408,IF(H410="PHILIPS",PR!$AZ408,IF(H410="RANBAXY",PR!$BA408,IF(H410="REALS",PR!$BB408,IF(H410="ROYAL",PR!$BC408,IF(H410="SAM",PR!$BD408,IF(H410="SEAGREEN",PR!$BE408,IF(H410="SKG",PR!$BF408,IF(H410="TAH",PR!$BG408,IF(H410="TAYLEK",PR!$BH408,IF(H410="TEMITA",PR!$BI408,IF(H410="THL",PR!$BJ408,IF(H410="UBASTIC",PR!$BK408,IF(H410="UNION",PR!$BL408,IF(H410="UNIQUE",PR!$BM408,IF(H410="VIXA",PR!$BN408,IF(H410="WWCV",PR!$BO408,IF(H410="ZOLON",PR!$BP408,"-"))))))))))))))))))))))))))))))))))))))))))))))))))))))))))))))))</f>
        <v>-</v>
      </c>
      <c r="H410" s="102">
        <f>EV!M534</f>
        <v>0</v>
      </c>
      <c r="I410" s="108" t="str">
        <f>IF(J410="ALPHA",PR!$E408,IF(J410="ASSENE",PR!$F408,IF(J410="BIOFEM",PR!$G408,IF(J410="BIOMED",PR!$H408,IF(J410="CHI",PR!$I408,IF(J410="CLARION",PR!$J408,IF(J410="CODIX",PR!$K408,IF(J410="COSMADE",PR!$L408,IF(J410="SANCON",PR!$M408,IF(J410="DEVON",PR!$N408,IF(J410="DORTEMAG",PR!$O408,IF(J410="DGF",PR!$P408,IF(J410="DYNAMIC",PR!$Q408,IF(J410="EMZOR",PR!$R408,IF(J410="EUMATT",PR!$S408,IF(J410="FIDSON",PR!$T408,IF(J410="FCGLOBAL",PR!$U408,IF(J410="GENEITH",PR!$V408,IF(J410="GINOS",PR!$W408,IF(J410="GSK",PR!$X408,IF(J410="GLOBORG",PR!$Y408,IF(J410="GOODNEWS",PR!$Z408,IF(J410="GREENLIFE",PR!$AA408,IF(J410="HLINE",PR!$AB408,IF(J410="ROTECH",PR!$AC408,IF(J410="ISN",PR!$AD408,IF(J410="JAWA",PR!$AE408,IF(J410="LAYO",PR!$AF408,IF(J410="LEADWAY",PR!$AG408,IF(J410="LHV",PR!$AH408,IF(J410="MANOLA",PR!$AI408,IF(J410="MARCSON",PR!$AJ408,IF(J410="M&amp;B",PR!$AK408,IF(J410="MTRUST",PR!$AL408,IF(J410="MWORLD",PR!$AM408,IF(J410="MEGA",PR!$AN408,IF(J410="MICRONOVA",PR!$AO408,IF(J410="MFLASH",PR!$AP408,IF(J410="MORISON",PR!$AQ408,IF(J410="NEMEL",PR!$AR408,IF(J410="NHP",PR!$AS408,IF(J410="NHC",PR!$AT408,IF(J410="OLEAF",PR!$AU408,IF(J410="OCULUS",PR!$AV408,IF(J410="PACIFIC",PR!$AW408,IF(J410="PHAMATEX",PR!$AX408,IF(J410="PETHICS",PR!$AY408,IF(J410="PHILIPS",PR!$AZ408,IF(J410="RANBAXY",PR!$BA408,IF(J410="REALS",PR!$BB408,IF(J410="ROYAL",PR!$BC408,IF(J410="SAM",PR!$BD408,IF(J410="SEAGREEN",PR!$BE408,IF(J410="SKG",PR!$BF408,IF(J410="TAH",PR!$BG408,IF(J410="TAYLEK",PR!$BH408,IF(J410="TEMITA",PR!$BI408,IF(J410="THL",PR!$BJ408,IF(J410="UBASTIC",PR!$BK408,IF(J410="UNION",PR!$BL408,IF(J410="UNIQUE",PR!$BM408,IF(J410="VIXA",PR!$BN408,IF(J410="WWCV",PR!$BO408,IF(J410="ZOLON",PR!$BP408,"-"))))))))))))))))))))))))))))))))))))))))))))))))))))))))))))))))</f>
        <v>-</v>
      </c>
      <c r="J410" s="102">
        <f>EV!N534</f>
        <v>0</v>
      </c>
      <c r="K410" s="433" t="s">
        <v>821</v>
      </c>
      <c r="L410" s="183">
        <f>IF(K410&gt;0,IF(K410="ALPHA",PR!$E408,IF(K410="ASSENE",PR!$F408,IF(K410="BIOFEM",PR!$G408,IF(K410="BIOMED",PR!$H408,IF(K410="CHI",PR!$I408,IF(K410="CLARION",PR!$J408,IF(K410="CODIX",PR!$K408,IF(K410="COSMADE",PR!$L408,IF(K410="SANCON",PR!$M408,IF(K410="DEVON",PR!$N408,IF(K410="DORTEMAG",PR!$O408,IF(K410="DGF",PR!$P408,IF(K410="DYNAMIC",PR!$Q408,IF(K410="EMZOR",PR!$R408,IF(K410="EUMATT",PR!$S408,IF(K410="FIDSON",PR!$T408,IF(K410="FCGLOBAL",PR!$U408,IF(K410="GENEITH",PR!$V408,IF(K410="GINOS",PR!$W408,IF(K410="GSK",PR!$X408,IF(K410="GLOBORG",PR!$Y408,IF(K410="GOODNEWS",PR!$Z408,IF(K410="GREENLIFE",PR!$AA408,IF(K410="HLINE",PR!$AB408,IF(K410="ROTECH",PR!$AC408,IF(K410="ISN",PR!$AD408,IF(K410="JAWA",PR!$AE408,IF(K410="LAYO",PR!$AF408,IF(K410="LEADWAY",PR!$AG408,IF(K410="LHV",PR!$AH408,IF(K410="MANOLA",PR!$AI408,IF(K410="MARCSON",PR!$AJ408,IF(K410="M&amp;B",PR!$AK408,IF(K410="MTRUST",PR!$AL408,IF(K410="MWORLD",PR!$AM408,IF(K410="MEGA",PR!$AN408,IF(K410="MICRONOVA",PR!$AO408,IF(K410="MFLASH",PR!$AP408,IF(K410="MORISON",PR!$AQ408,IF(K410="NEMEL",PR!$AR408,IF(K410="NHP",PR!$AS408,IF(K410="NHC",PR!$AT408,IF(K410="OLEAF",PR!$AU408,IF(K410="OCULUS",PR!$AV408,IF(K410="PACIFIC",PR!$AW408,IF(K410="PHAMATEX",PR!$AX408,IF(K410="PETHICS",PR!$AY408,IF(K410="PHILIPS",PR!$AZ408,IF(K410="RANBAXY",PR!$BA408,IF(K410="REALS",PR!$BB408,IF(K410="ROYAL",PR!$BC408,IF(K410="SAM",PR!$BD408,IF(K410="SEAGREEN",PR!$BE408,IF(K410="SKG",PR!$BF408,IF(K410="TAH",PR!$BG408,IF(K410="TAYLEK",PR!$BH408,IF(K410="TEMITA",PR!$BI408,IF(K410="THL",PR!$BJ408,IF(K410="UBASTIC",PR!$BK408,IF(K410="UNION",PR!$BL408,IF(K410="UNIQUE",PR!$BM408,IF(K410="VIXA",PR!$BN408,IF(K410="WWCV",PR!$BO408,IF(K410="ZOLON",PR!$BP408,"-")))))))))))))))))))))))))))))))))))))))))))))))))))))))))))))))))</f>
        <v>70000</v>
      </c>
    </row>
    <row r="411" spans="1:12" ht="18.75" x14ac:dyDescent="0.3">
      <c r="A411" s="430">
        <f>PR!A409</f>
        <v>375</v>
      </c>
      <c r="B411" s="15" t="str">
        <f>PR!B409</f>
        <v>PHENOBARBITONE 30MG TAB</v>
      </c>
      <c r="C411" s="113">
        <f>PR!D409</f>
        <v>1000</v>
      </c>
      <c r="D411" s="113">
        <f>PR!C409</f>
        <v>12</v>
      </c>
      <c r="E411" s="108">
        <f>IF(F411="ALPHA",PR!$E409,IF(F411="ASSENE",PR!$F409,IF(F411="BIOFEM",PR!$G409,IF(F411="BIOMED",PR!$H409,IF(F411="CHI",PR!$I409,IF(F411="CLARION",PR!$J409,IF(F411="CODIX",PR!$K409,IF(F411="COSMADE",PR!$L409,IF(F411="SANCON",PR!$M409,IF(F411="DEVON",PR!$N409,IF(F411="DORTEMAG",PR!$O409,IF(F411="DGF",PR!$P409,IF(F411="DYNAMIC",PR!$Q409,IF(F411="EMZOR",PR!$R409,IF(F411="EUMATT",PR!$S409,IF(F411="FIDSON",PR!$T409,IF(F411="FCGLOBAL",PR!$U409,IF(F411="GENEITH",PR!$V409,IF(F411="GINOS",PR!$W409,IF(F411="GSK",PR!$X409,IF(F411="GLOBORG",PR!$Y409,IF(F411="GOODNEWS",PR!$Z409,IF(F411="GREENLIFE",PR!$AA409,IF(F411="HLINE",PR!$AB409,IF(F411="ROTECH",PR!$AC409,IF(F411="ISN",PR!$AD409,IF(F411="JAWA",PR!$AE409,IF(F411="LAYO",PR!$AF409,IF(F411="LEADWAY",PR!$AG409,IF(F411="LHV",PR!$AH409,IF(F411="MANOLA",PR!$AI409,IF(F411="MARCSON",PR!$AJ409,IF(F411="M&amp;B",PR!$AK409,IF(F411="MTRUST",PR!$AL409,IF(F411="MWORLD",PR!$AM409,IF(F411="MEGA",PR!$AN409,IF(F411="MICRONOVA",PR!$AO409,IF(F411="MFLASH",PR!$AP409,IF(F411="MORISON",PR!$AQ409,IF(F411="NEMEL",PR!$AR409,IF(F411="NHP",PR!$AS409,IF(F411="NHC",PR!$AT409,IF(F411="OLEAF",PR!$AU409,IF(F411="OCULUS",PR!$AV409,IF(F411="PACIFIC",PR!$AW409,IF(F411="PHAMATEX",PR!$AX409,IF(F411="PETHICS",PR!$AY409,IF(F411="PHILIPS",PR!$AZ409,IF(F411="RANBAXY",PR!$BA409,IF(F411="REALS",PR!$BB409,IF(F411="ROYAL",PR!$BC409,IF(F411="SAM",PR!$BD409,IF(F411="SEAGREEN",PR!$BE409,IF(F411="SKG",PR!$BF409,IF(F411="TAH",PR!$BG409,IF(F411="TAYLEK",PR!$BH409,IF(F411="TEMITA",PR!$BI409,IF(F411="THL",PR!$BJ409,IF(F411="UBASTIC",PR!$BK409,IF(F411="UNION",PR!$BL409,IF(F411="UNIQUE",PR!$BM409,IF(F411="VIXA",PR!$BN409,IF(F411="WWCV",PR!$BO409,IF(F411="ZOLON",PR!$BP409,"-"))))))))))))))))))))))))))))))))))))))))))))))))))))))))))))))))</f>
        <v>6000</v>
      </c>
      <c r="F411" s="102" t="str">
        <f>EV!L535</f>
        <v>EUMATT</v>
      </c>
      <c r="G411" s="108" t="str">
        <f>IF(H411="ALPHA",PR!$E409,IF(H411="ASSENE",PR!$F409,IF(H411="BIOFEM",PR!$G409,IF(H411="BIOMED",PR!$H409,IF(H411="CHI",PR!$I409,IF(H411="CLARION",PR!$J409,IF(H411="CODIX",PR!$K409,IF(H411="COSMADE",PR!$L409,IF(H411="SANCON",PR!$M409,IF(H411="DEVON",PR!$N409,IF(H411="DORTEMAG",PR!$O409,IF(H411="DGF",PR!$P409,IF(H411="DYNAMIC",PR!$Q409,IF(H411="EMZOR",PR!$R409,IF(H411="EUMATT",PR!$S409,IF(H411="FIDSON",PR!$T409,IF(H411="FCGLOBAL",PR!$U409,IF(H411="GENEITH",PR!$V409,IF(H411="GINOS",PR!$W409,IF(H411="GSK",PR!$X409,IF(H411="GLOBORG",PR!$Y409,IF(H411="GOODNEWS",PR!$Z409,IF(H411="GREENLIFE",PR!$AA409,IF(H411="HLINE",PR!$AB409,IF(H411="ROTECH",PR!$AC409,IF(H411="ISN",PR!$AD409,IF(H411="JAWA",PR!$AE409,IF(H411="LAYO",PR!$AF409,IF(H411="LEADWAY",PR!$AG409,IF(H411="LHV",PR!$AH409,IF(H411="MANOLA",PR!$AI409,IF(H411="MARCSON",PR!$AJ409,IF(H411="M&amp;B",PR!$AK409,IF(H411="MTRUST",PR!$AL409,IF(H411="MWORLD",PR!$AM409,IF(H411="MEGA",PR!$AN409,IF(H411="MICRONOVA",PR!$AO409,IF(H411="MFLASH",PR!$AP409,IF(H411="MORISON",PR!$AQ409,IF(H411="NEMEL",PR!$AR409,IF(H411="NHP",PR!$AS409,IF(H411="NHC",PR!$AT409,IF(H411="OLEAF",PR!$AU409,IF(H411="OCULUS",PR!$AV409,IF(H411="PACIFIC",PR!$AW409,IF(H411="PHAMATEX",PR!$AX409,IF(H411="PETHICS",PR!$AY409,IF(H411="PHILIPS",PR!$AZ409,IF(H411="RANBAXY",PR!$BA409,IF(H411="REALS",PR!$BB409,IF(H411="ROYAL",PR!$BC409,IF(H411="SAM",PR!$BD409,IF(H411="SEAGREEN",PR!$BE409,IF(H411="SKG",PR!$BF409,IF(H411="TAH",PR!$BG409,IF(H411="TAYLEK",PR!$BH409,IF(H411="TEMITA",PR!$BI409,IF(H411="THL",PR!$BJ409,IF(H411="UBASTIC",PR!$BK409,IF(H411="UNION",PR!$BL409,IF(H411="UNIQUE",PR!$BM409,IF(H411="VIXA",PR!$BN409,IF(H411="WWCV",PR!$BO409,IF(H411="ZOLON",PR!$BP409,"-"))))))))))))))))))))))))))))))))))))))))))))))))))))))))))))))))</f>
        <v>-</v>
      </c>
      <c r="H411" s="102">
        <f>EV!M535</f>
        <v>0</v>
      </c>
      <c r="I411" s="108" t="str">
        <f>IF(J411="ALPHA",PR!$E409,IF(J411="ASSENE",PR!$F409,IF(J411="BIOFEM",PR!$G409,IF(J411="BIOMED",PR!$H409,IF(J411="CHI",PR!$I409,IF(J411="CLARION",PR!$J409,IF(J411="CODIX",PR!$K409,IF(J411="COSMADE",PR!$L409,IF(J411="SANCON",PR!$M409,IF(J411="DEVON",PR!$N409,IF(J411="DORTEMAG",PR!$O409,IF(J411="DGF",PR!$P409,IF(J411="DYNAMIC",PR!$Q409,IF(J411="EMZOR",PR!$R409,IF(J411="EUMATT",PR!$S409,IF(J411="FIDSON",PR!$T409,IF(J411="FCGLOBAL",PR!$U409,IF(J411="GENEITH",PR!$V409,IF(J411="GINOS",PR!$W409,IF(J411="GSK",PR!$X409,IF(J411="GLOBORG",PR!$Y409,IF(J411="GOODNEWS",PR!$Z409,IF(J411="GREENLIFE",PR!$AA409,IF(J411="HLINE",PR!$AB409,IF(J411="ROTECH",PR!$AC409,IF(J411="ISN",PR!$AD409,IF(J411="JAWA",PR!$AE409,IF(J411="LAYO",PR!$AF409,IF(J411="LEADWAY",PR!$AG409,IF(J411="LHV",PR!$AH409,IF(J411="MANOLA",PR!$AI409,IF(J411="MARCSON",PR!$AJ409,IF(J411="M&amp;B",PR!$AK409,IF(J411="MTRUST",PR!$AL409,IF(J411="MWORLD",PR!$AM409,IF(J411="MEGA",PR!$AN409,IF(J411="MICRONOVA",PR!$AO409,IF(J411="MFLASH",PR!$AP409,IF(J411="MORISON",PR!$AQ409,IF(J411="NEMEL",PR!$AR409,IF(J411="NHP",PR!$AS409,IF(J411="NHC",PR!$AT409,IF(J411="OLEAF",PR!$AU409,IF(J411="OCULUS",PR!$AV409,IF(J411="PACIFIC",PR!$AW409,IF(J411="PHAMATEX",PR!$AX409,IF(J411="PETHICS",PR!$AY409,IF(J411="PHILIPS",PR!$AZ409,IF(J411="RANBAXY",PR!$BA409,IF(J411="REALS",PR!$BB409,IF(J411="ROYAL",PR!$BC409,IF(J411="SAM",PR!$BD409,IF(J411="SEAGREEN",PR!$BE409,IF(J411="SKG",PR!$BF409,IF(J411="TAH",PR!$BG409,IF(J411="TAYLEK",PR!$BH409,IF(J411="TEMITA",PR!$BI409,IF(J411="THL",PR!$BJ409,IF(J411="UBASTIC",PR!$BK409,IF(J411="UNION",PR!$BL409,IF(J411="UNIQUE",PR!$BM409,IF(J411="VIXA",PR!$BN409,IF(J411="WWCV",PR!$BO409,IF(J411="ZOLON",PR!$BP409,"-"))))))))))))))))))))))))))))))))))))))))))))))))))))))))))))))))</f>
        <v>-</v>
      </c>
      <c r="J411" s="102">
        <f>EV!N535</f>
        <v>0</v>
      </c>
      <c r="K411" s="635" t="s">
        <v>821</v>
      </c>
      <c r="L411" s="183">
        <f>IF(K411&gt;0,IF(K411="ALPHA",PR!$E409,IF(K411="ASSENE",PR!$F409,IF(K411="BIOFEM",PR!$G409,IF(K411="BIOMED",PR!$H409,IF(K411="CHI",PR!$I409,IF(K411="CLARION",PR!$J409,IF(K411="CODIX",PR!$K409,IF(K411="COSMADE",PR!$L409,IF(K411="SANCON",PR!$M409,IF(K411="DEVON",PR!$N409,IF(K411="DORTEMAG",PR!$O409,IF(K411="DGF",PR!$P409,IF(K411="DYNAMIC",PR!$Q409,IF(K411="EMZOR",PR!$R409,IF(K411="EUMATT",PR!$S409,IF(K411="FIDSON",PR!$T409,IF(K411="FCGLOBAL",PR!$U409,IF(K411="GENEITH",PR!$V409,IF(K411="GINOS",PR!$W409,IF(K411="GSK",PR!$X409,IF(K411="GLOBORG",PR!$Y409,IF(K411="GOODNEWS",PR!$Z409,IF(K411="GREENLIFE",PR!$AA409,IF(K411="HLINE",PR!$AB409,IF(K411="ROTECH",PR!$AC409,IF(K411="ISN",PR!$AD409,IF(K411="JAWA",PR!$AE409,IF(K411="LAYO",PR!$AF409,IF(K411="LEADWAY",PR!$AG409,IF(K411="LHV",PR!$AH409,IF(K411="MANOLA",PR!$AI409,IF(K411="MARCSON",PR!$AJ409,IF(K411="M&amp;B",PR!$AK409,IF(K411="MTRUST",PR!$AL409,IF(K411="MWORLD",PR!$AM409,IF(K411="MEGA",PR!$AN409,IF(K411="MICRONOVA",PR!$AO409,IF(K411="MFLASH",PR!$AP409,IF(K411="MORISON",PR!$AQ409,IF(K411="NEMEL",PR!$AR409,IF(K411="NHP",PR!$AS409,IF(K411="NHC",PR!$AT409,IF(K411="OLEAF",PR!$AU409,IF(K411="OCULUS",PR!$AV409,IF(K411="PACIFIC",PR!$AW409,IF(K411="PHAMATEX",PR!$AX409,IF(K411="PETHICS",PR!$AY409,IF(K411="PHILIPS",PR!$AZ409,IF(K411="RANBAXY",PR!$BA409,IF(K411="REALS",PR!$BB409,IF(K411="ROYAL",PR!$BC409,IF(K411="SAM",PR!$BD409,IF(K411="SEAGREEN",PR!$BE409,IF(K411="SKG",PR!$BF409,IF(K411="TAH",PR!$BG409,IF(K411="TAYLEK",PR!$BH409,IF(K411="TEMITA",PR!$BI409,IF(K411="THL",PR!$BJ409,IF(K411="UBASTIC",PR!$BK409,IF(K411="UNION",PR!$BL409,IF(K411="UNIQUE",PR!$BM409,IF(K411="VIXA",PR!$BN409,IF(K411="WWCV",PR!$BO409,IF(K411="ZOLON",PR!$BP409,"-")))))))))))))))))))))))))))))))))))))))))))))))))))))))))))))))))</f>
        <v>6000</v>
      </c>
    </row>
    <row r="412" spans="1:12" ht="18.75" x14ac:dyDescent="0.3">
      <c r="A412" s="430">
        <f>PR!A410</f>
        <v>376</v>
      </c>
      <c r="B412" s="15" t="str">
        <f>PR!B410</f>
        <v>PHENYTOIN CAP</v>
      </c>
      <c r="C412" s="113">
        <f>PR!D410</f>
        <v>100</v>
      </c>
      <c r="D412" s="113">
        <f>PR!C410</f>
        <v>2</v>
      </c>
      <c r="E412" s="108">
        <f>IF(F412="ALPHA",PR!$E410,IF(F412="ASSENE",PR!$F410,IF(F412="BIOFEM",PR!$G410,IF(F412="BIOMED",PR!$H410,IF(F412="CHI",PR!$I410,IF(F412="CLARION",PR!$J410,IF(F412="CODIX",PR!$K410,IF(F412="COSMADE",PR!$L410,IF(F412="SANCON",PR!$M410,IF(F412="DEVON",PR!$N410,IF(F412="DORTEMAG",PR!$O410,IF(F412="DGF",PR!$P410,IF(F412="DYNAMIC",PR!$Q410,IF(F412="EMZOR",PR!$R410,IF(F412="EUMATT",PR!$S410,IF(F412="FIDSON",PR!$T410,IF(F412="FCGLOBAL",PR!$U410,IF(F412="GENEITH",PR!$V410,IF(F412="GINOS",PR!$W410,IF(F412="GSK",PR!$X410,IF(F412="GLOBORG",PR!$Y410,IF(F412="GOODNEWS",PR!$Z410,IF(F412="GREENLIFE",PR!$AA410,IF(F412="HLINE",PR!$AB410,IF(F412="ROTECH",PR!$AC410,IF(F412="ISN",PR!$AD410,IF(F412="JAWA",PR!$AE410,IF(F412="LAYO",PR!$AF410,IF(F412="LEADWAY",PR!$AG410,IF(F412="LHV",PR!$AH410,IF(F412="MANOLA",PR!$AI410,IF(F412="MARCSON",PR!$AJ410,IF(F412="M&amp;B",PR!$AK410,IF(F412="MTRUST",PR!$AL410,IF(F412="MWORLD",PR!$AM410,IF(F412="MEGA",PR!$AN410,IF(F412="MICRONOVA",PR!$AO410,IF(F412="MFLASH",PR!$AP410,IF(F412="MORISON",PR!$AQ410,IF(F412="NEMEL",PR!$AR410,IF(F412="NHP",PR!$AS410,IF(F412="NHC",PR!$AT410,IF(F412="OLEAF",PR!$AU410,IF(F412="OCULUS",PR!$AV410,IF(F412="PACIFIC",PR!$AW410,IF(F412="PHAMATEX",PR!$AX410,IF(F412="PETHICS",PR!$AY410,IF(F412="PHILIPS",PR!$AZ410,IF(F412="RANBAXY",PR!$BA410,IF(F412="REALS",PR!$BB410,IF(F412="ROYAL",PR!$BC410,IF(F412="SAM",PR!$BD410,IF(F412="SEAGREEN",PR!$BE410,IF(F412="SKG",PR!$BF410,IF(F412="TAH",PR!$BG410,IF(F412="TAYLEK",PR!$BH410,IF(F412="TEMITA",PR!$BI410,IF(F412="THL",PR!$BJ410,IF(F412="UBASTIC",PR!$BK410,IF(F412="UNION",PR!$BL410,IF(F412="UNIQUE",PR!$BM410,IF(F412="VIXA",PR!$BN410,IF(F412="WWCV",PR!$BO410,IF(F412="ZOLON",PR!$BP410,"-"))))))))))))))))))))))))))))))))))))))))))))))))))))))))))))))))</f>
        <v>5800</v>
      </c>
      <c r="F412" s="102" t="str">
        <f>EV!L536</f>
        <v>EUMATT</v>
      </c>
      <c r="G412" s="108" t="str">
        <f>IF(H412="ALPHA",PR!$E410,IF(H412="ASSENE",PR!$F410,IF(H412="BIOFEM",PR!$G410,IF(H412="BIOMED",PR!$H410,IF(H412="CHI",PR!$I410,IF(H412="CLARION",PR!$J410,IF(H412="CODIX",PR!$K410,IF(H412="COSMADE",PR!$L410,IF(H412="SANCON",PR!$M410,IF(H412="DEVON",PR!$N410,IF(H412="DORTEMAG",PR!$O410,IF(H412="DGF",PR!$P410,IF(H412="DYNAMIC",PR!$Q410,IF(H412="EMZOR",PR!$R410,IF(H412="EUMATT",PR!$S410,IF(H412="FIDSON",PR!$T410,IF(H412="FCGLOBAL",PR!$U410,IF(H412="GENEITH",PR!$V410,IF(H412="GINOS",PR!$W410,IF(H412="GSK",PR!$X410,IF(H412="GLOBORG",PR!$Y410,IF(H412="GOODNEWS",PR!$Z410,IF(H412="GREENLIFE",PR!$AA410,IF(H412="HLINE",PR!$AB410,IF(H412="ROTECH",PR!$AC410,IF(H412="ISN",PR!$AD410,IF(H412="JAWA",PR!$AE410,IF(H412="LAYO",PR!$AF410,IF(H412="LEADWAY",PR!$AG410,IF(H412="LHV",PR!$AH410,IF(H412="MANOLA",PR!$AI410,IF(H412="MARCSON",PR!$AJ410,IF(H412="M&amp;B",PR!$AK410,IF(H412="MTRUST",PR!$AL410,IF(H412="MWORLD",PR!$AM410,IF(H412="MEGA",PR!$AN410,IF(H412="MICRONOVA",PR!$AO410,IF(H412="MFLASH",PR!$AP410,IF(H412="MORISON",PR!$AQ410,IF(H412="NEMEL",PR!$AR410,IF(H412="NHP",PR!$AS410,IF(H412="NHC",PR!$AT410,IF(H412="OLEAF",PR!$AU410,IF(H412="OCULUS",PR!$AV410,IF(H412="PACIFIC",PR!$AW410,IF(H412="PHAMATEX",PR!$AX410,IF(H412="PETHICS",PR!$AY410,IF(H412="PHILIPS",PR!$AZ410,IF(H412="RANBAXY",PR!$BA410,IF(H412="REALS",PR!$BB410,IF(H412="ROYAL",PR!$BC410,IF(H412="SAM",PR!$BD410,IF(H412="SEAGREEN",PR!$BE410,IF(H412="SKG",PR!$BF410,IF(H412="TAH",PR!$BG410,IF(H412="TAYLEK",PR!$BH410,IF(H412="TEMITA",PR!$BI410,IF(H412="THL",PR!$BJ410,IF(H412="UBASTIC",PR!$BK410,IF(H412="UNION",PR!$BL410,IF(H412="UNIQUE",PR!$BM410,IF(H412="VIXA",PR!$BN410,IF(H412="WWCV",PR!$BO410,IF(H412="ZOLON",PR!$BP410,"-"))))))))))))))))))))))))))))))))))))))))))))))))))))))))))))))))</f>
        <v>-</v>
      </c>
      <c r="H412" s="102">
        <f>EV!M536</f>
        <v>0</v>
      </c>
      <c r="I412" s="108" t="str">
        <f>IF(J412="ALPHA",PR!$E410,IF(J412="ASSENE",PR!$F410,IF(J412="BIOFEM",PR!$G410,IF(J412="BIOMED",PR!$H410,IF(J412="CHI",PR!$I410,IF(J412="CLARION",PR!$J410,IF(J412="CODIX",PR!$K410,IF(J412="COSMADE",PR!$L410,IF(J412="SANCON",PR!$M410,IF(J412="DEVON",PR!$N410,IF(J412="DORTEMAG",PR!$O410,IF(J412="DGF",PR!$P410,IF(J412="DYNAMIC",PR!$Q410,IF(J412="EMZOR",PR!$R410,IF(J412="EUMATT",PR!$S410,IF(J412="FIDSON",PR!$T410,IF(J412="FCGLOBAL",PR!$U410,IF(J412="GENEITH",PR!$V410,IF(J412="GINOS",PR!$W410,IF(J412="GSK",PR!$X410,IF(J412="GLOBORG",PR!$Y410,IF(J412="GOODNEWS",PR!$Z410,IF(J412="GREENLIFE",PR!$AA410,IF(J412="HLINE",PR!$AB410,IF(J412="ROTECH",PR!$AC410,IF(J412="ISN",PR!$AD410,IF(J412="JAWA",PR!$AE410,IF(J412="LAYO",PR!$AF410,IF(J412="LEADWAY",PR!$AG410,IF(J412="LHV",PR!$AH410,IF(J412="MANOLA",PR!$AI410,IF(J412="MARCSON",PR!$AJ410,IF(J412="M&amp;B",PR!$AK410,IF(J412="MTRUST",PR!$AL410,IF(J412="MWORLD",PR!$AM410,IF(J412="MEGA",PR!$AN410,IF(J412="MICRONOVA",PR!$AO410,IF(J412="MFLASH",PR!$AP410,IF(J412="MORISON",PR!$AQ410,IF(J412="NEMEL",PR!$AR410,IF(J412="NHP",PR!$AS410,IF(J412="NHC",PR!$AT410,IF(J412="OLEAF",PR!$AU410,IF(J412="OCULUS",PR!$AV410,IF(J412="PACIFIC",PR!$AW410,IF(J412="PHAMATEX",PR!$AX410,IF(J412="PETHICS",PR!$AY410,IF(J412="PHILIPS",PR!$AZ410,IF(J412="RANBAXY",PR!$BA410,IF(J412="REALS",PR!$BB410,IF(J412="ROYAL",PR!$BC410,IF(J412="SAM",PR!$BD410,IF(J412="SEAGREEN",PR!$BE410,IF(J412="SKG",PR!$BF410,IF(J412="TAH",PR!$BG410,IF(J412="TAYLEK",PR!$BH410,IF(J412="TEMITA",PR!$BI410,IF(J412="THL",PR!$BJ410,IF(J412="UBASTIC",PR!$BK410,IF(J412="UNION",PR!$BL410,IF(J412="UNIQUE",PR!$BM410,IF(J412="VIXA",PR!$BN410,IF(J412="WWCV",PR!$BO410,IF(J412="ZOLON",PR!$BP410,"-"))))))))))))))))))))))))))))))))))))))))))))))))))))))))))))))))</f>
        <v>-</v>
      </c>
      <c r="J412" s="102">
        <f>EV!N536</f>
        <v>0</v>
      </c>
      <c r="K412" s="635" t="s">
        <v>821</v>
      </c>
      <c r="L412" s="183">
        <f>IF(K412&gt;0,IF(K412="ALPHA",PR!$E410,IF(K412="ASSENE",PR!$F410,IF(K412="BIOFEM",PR!$G410,IF(K412="BIOMED",PR!$H410,IF(K412="CHI",PR!$I410,IF(K412="CLARION",PR!$J410,IF(K412="CODIX",PR!$K410,IF(K412="COSMADE",PR!$L410,IF(K412="SANCON",PR!$M410,IF(K412="DEVON",PR!$N410,IF(K412="DORTEMAG",PR!$O410,IF(K412="DGF",PR!$P410,IF(K412="DYNAMIC",PR!$Q410,IF(K412="EMZOR",PR!$R410,IF(K412="EUMATT",PR!$S410,IF(K412="FIDSON",PR!$T410,IF(K412="FCGLOBAL",PR!$U410,IF(K412="GENEITH",PR!$V410,IF(K412="GINOS",PR!$W410,IF(K412="GSK",PR!$X410,IF(K412="GLOBORG",PR!$Y410,IF(K412="GOODNEWS",PR!$Z410,IF(K412="GREENLIFE",PR!$AA410,IF(K412="HLINE",PR!$AB410,IF(K412="ROTECH",PR!$AC410,IF(K412="ISN",PR!$AD410,IF(K412="JAWA",PR!$AE410,IF(K412="LAYO",PR!$AF410,IF(K412="LEADWAY",PR!$AG410,IF(K412="LHV",PR!$AH410,IF(K412="MANOLA",PR!$AI410,IF(K412="MARCSON",PR!$AJ410,IF(K412="M&amp;B",PR!$AK410,IF(K412="MTRUST",PR!$AL410,IF(K412="MWORLD",PR!$AM410,IF(K412="MEGA",PR!$AN410,IF(K412="MICRONOVA",PR!$AO410,IF(K412="MFLASH",PR!$AP410,IF(K412="MORISON",PR!$AQ410,IF(K412="NEMEL",PR!$AR410,IF(K412="NHP",PR!$AS410,IF(K412="NHC",PR!$AT410,IF(K412="OLEAF",PR!$AU410,IF(K412="OCULUS",PR!$AV410,IF(K412="PACIFIC",PR!$AW410,IF(K412="PHAMATEX",PR!$AX410,IF(K412="PETHICS",PR!$AY410,IF(K412="PHILIPS",PR!$AZ410,IF(K412="RANBAXY",PR!$BA410,IF(K412="REALS",PR!$BB410,IF(K412="ROYAL",PR!$BC410,IF(K412="SAM",PR!$BD410,IF(K412="SEAGREEN",PR!$BE410,IF(K412="SKG",PR!$BF410,IF(K412="TAH",PR!$BG410,IF(K412="TAYLEK",PR!$BH410,IF(K412="TEMITA",PR!$BI410,IF(K412="THL",PR!$BJ410,IF(K412="UBASTIC",PR!$BK410,IF(K412="UNION",PR!$BL410,IF(K412="UNIQUE",PR!$BM410,IF(K412="VIXA",PR!$BN410,IF(K412="WWCV",PR!$BO410,IF(K412="ZOLON",PR!$BP410,"-")))))))))))))))))))))))))))))))))))))))))))))))))))))))))))))))))</f>
        <v>5800</v>
      </c>
    </row>
    <row r="413" spans="1:12" ht="18.75" x14ac:dyDescent="0.3">
      <c r="A413" s="430">
        <f>PR!A411</f>
        <v>377</v>
      </c>
      <c r="B413" s="15" t="str">
        <f>PR!B411</f>
        <v>PHENYTOIN INJ</v>
      </c>
      <c r="C413" s="113">
        <f>PR!D411</f>
        <v>5</v>
      </c>
      <c r="D413" s="113">
        <f>PR!C411</f>
        <v>16</v>
      </c>
      <c r="E413" s="108">
        <f>IF(F413="ALPHA",PR!$E411,IF(F413="ASSENE",PR!$F411,IF(F413="BIOFEM",PR!$G411,IF(F413="BIOMED",PR!$H411,IF(F413="CHI",PR!$I411,IF(F413="CLARION",PR!$J411,IF(F413="CODIX",PR!$K411,IF(F413="COSMADE",PR!$L411,IF(F413="SANCON",PR!$M411,IF(F413="DEVON",PR!$N411,IF(F413="DORTEMAG",PR!$O411,IF(F413="DGF",PR!$P411,IF(F413="DYNAMIC",PR!$Q411,IF(F413="EMZOR",PR!$R411,IF(F413="EUMATT",PR!$S411,IF(F413="FIDSON",PR!$T411,IF(F413="FCGLOBAL",PR!$U411,IF(F413="GENEITH",PR!$V411,IF(F413="GINOS",PR!$W411,IF(F413="GSK",PR!$X411,IF(F413="GLOBORG",PR!$Y411,IF(F413="GOODNEWS",PR!$Z411,IF(F413="GREENLIFE",PR!$AA411,IF(F413="HLINE",PR!$AB411,IF(F413="ROTECH",PR!$AC411,IF(F413="ISN",PR!$AD411,IF(F413="JAWA",PR!$AE411,IF(F413="LAYO",PR!$AF411,IF(F413="LEADWAY",PR!$AG411,IF(F413="LHV",PR!$AH411,IF(F413="MANOLA",PR!$AI411,IF(F413="MARCSON",PR!$AJ411,IF(F413="M&amp;B",PR!$AK411,IF(F413="MTRUST",PR!$AL411,IF(F413="MWORLD",PR!$AM411,IF(F413="MEGA",PR!$AN411,IF(F413="MICRONOVA",PR!$AO411,IF(F413="MFLASH",PR!$AP411,IF(F413="MORISON",PR!$AQ411,IF(F413="NEMEL",PR!$AR411,IF(F413="NHP",PR!$AS411,IF(F413="NHC",PR!$AT411,IF(F413="OLEAF",PR!$AU411,IF(F413="OCULUS",PR!$AV411,IF(F413="PACIFIC",PR!$AW411,IF(F413="PHAMATEX",PR!$AX411,IF(F413="PETHICS",PR!$AY411,IF(F413="PHILIPS",PR!$AZ411,IF(F413="RANBAXY",PR!$BA411,IF(F413="REALS",PR!$BB411,IF(F413="ROYAL",PR!$BC411,IF(F413="SAM",PR!$BD411,IF(F413="SEAGREEN",PR!$BE411,IF(F413="SKG",PR!$BF411,IF(F413="TAH",PR!$BG411,IF(F413="TAYLEK",PR!$BH411,IF(F413="TEMITA",PR!$BI411,IF(F413="THL",PR!$BJ411,IF(F413="UBASTIC",PR!$BK411,IF(F413="UNION",PR!$BL411,IF(F413="UNIQUE",PR!$BM411,IF(F413="VIXA",PR!$BN411,IF(F413="WWCV",PR!$BO411,IF(F413="ZOLON",PR!$BP411,"-"))))))))))))))))))))))))))))))))))))))))))))))))))))))))))))))))</f>
        <v>4200</v>
      </c>
      <c r="F413" s="102" t="str">
        <f>EV!L537</f>
        <v>EUMATT</v>
      </c>
      <c r="G413" s="108" t="str">
        <f>IF(H413="ALPHA",PR!$E411,IF(H413="ASSENE",PR!$F411,IF(H413="BIOFEM",PR!$G411,IF(H413="BIOMED",PR!$H411,IF(H413="CHI",PR!$I411,IF(H413="CLARION",PR!$J411,IF(H413="CODIX",PR!$K411,IF(H413="COSMADE",PR!$L411,IF(H413="SANCON",PR!$M411,IF(H413="DEVON",PR!$N411,IF(H413="DORTEMAG",PR!$O411,IF(H413="DGF",PR!$P411,IF(H413="DYNAMIC",PR!$Q411,IF(H413="EMZOR",PR!$R411,IF(H413="EUMATT",PR!$S411,IF(H413="FIDSON",PR!$T411,IF(H413="FCGLOBAL",PR!$U411,IF(H413="GENEITH",PR!$V411,IF(H413="GINOS",PR!$W411,IF(H413="GSK",PR!$X411,IF(H413="GLOBORG",PR!$Y411,IF(H413="GOODNEWS",PR!$Z411,IF(H413="GREENLIFE",PR!$AA411,IF(H413="HLINE",PR!$AB411,IF(H413="ROTECH",PR!$AC411,IF(H413="ISN",PR!$AD411,IF(H413="JAWA",PR!$AE411,IF(H413="LAYO",PR!$AF411,IF(H413="LEADWAY",PR!$AG411,IF(H413="LHV",PR!$AH411,IF(H413="MANOLA",PR!$AI411,IF(H413="MARCSON",PR!$AJ411,IF(H413="M&amp;B",PR!$AK411,IF(H413="MTRUST",PR!$AL411,IF(H413="MWORLD",PR!$AM411,IF(H413="MEGA",PR!$AN411,IF(H413="MICRONOVA",PR!$AO411,IF(H413="MFLASH",PR!$AP411,IF(H413="MORISON",PR!$AQ411,IF(H413="NEMEL",PR!$AR411,IF(H413="NHP",PR!$AS411,IF(H413="NHC",PR!$AT411,IF(H413="OLEAF",PR!$AU411,IF(H413="OCULUS",PR!$AV411,IF(H413="PACIFIC",PR!$AW411,IF(H413="PHAMATEX",PR!$AX411,IF(H413="PETHICS",PR!$AY411,IF(H413="PHILIPS",PR!$AZ411,IF(H413="RANBAXY",PR!$BA411,IF(H413="REALS",PR!$BB411,IF(H413="ROYAL",PR!$BC411,IF(H413="SAM",PR!$BD411,IF(H413="SEAGREEN",PR!$BE411,IF(H413="SKG",PR!$BF411,IF(H413="TAH",PR!$BG411,IF(H413="TAYLEK",PR!$BH411,IF(H413="TEMITA",PR!$BI411,IF(H413="THL",PR!$BJ411,IF(H413="UBASTIC",PR!$BK411,IF(H413="UNION",PR!$BL411,IF(H413="UNIQUE",PR!$BM411,IF(H413="VIXA",PR!$BN411,IF(H413="WWCV",PR!$BO411,IF(H413="ZOLON",PR!$BP411,"-"))))))))))))))))))))))))))))))))))))))))))))))))))))))))))))))))</f>
        <v>-</v>
      </c>
      <c r="H413" s="102">
        <f>EV!M537</f>
        <v>0</v>
      </c>
      <c r="I413" s="108" t="str">
        <f>IF(J413="ALPHA",PR!$E411,IF(J413="ASSENE",PR!$F411,IF(J413="BIOFEM",PR!$G411,IF(J413="BIOMED",PR!$H411,IF(J413="CHI",PR!$I411,IF(J413="CLARION",PR!$J411,IF(J413="CODIX",PR!$K411,IF(J413="COSMADE",PR!$L411,IF(J413="SANCON",PR!$M411,IF(J413="DEVON",PR!$N411,IF(J413="DORTEMAG",PR!$O411,IF(J413="DGF",PR!$P411,IF(J413="DYNAMIC",PR!$Q411,IF(J413="EMZOR",PR!$R411,IF(J413="EUMATT",PR!$S411,IF(J413="FIDSON",PR!$T411,IF(J413="FCGLOBAL",PR!$U411,IF(J413="GENEITH",PR!$V411,IF(J413="GINOS",PR!$W411,IF(J413="GSK",PR!$X411,IF(J413="GLOBORG",PR!$Y411,IF(J413="GOODNEWS",PR!$Z411,IF(J413="GREENLIFE",PR!$AA411,IF(J413="HLINE",PR!$AB411,IF(J413="ROTECH",PR!$AC411,IF(J413="ISN",PR!$AD411,IF(J413="JAWA",PR!$AE411,IF(J413="LAYO",PR!$AF411,IF(J413="LEADWAY",PR!$AG411,IF(J413="LHV",PR!$AH411,IF(J413="MANOLA",PR!$AI411,IF(J413="MARCSON",PR!$AJ411,IF(J413="M&amp;B",PR!$AK411,IF(J413="MTRUST",PR!$AL411,IF(J413="MWORLD",PR!$AM411,IF(J413="MEGA",PR!$AN411,IF(J413="MICRONOVA",PR!$AO411,IF(J413="MFLASH",PR!$AP411,IF(J413="MORISON",PR!$AQ411,IF(J413="NEMEL",PR!$AR411,IF(J413="NHP",PR!$AS411,IF(J413="NHC",PR!$AT411,IF(J413="OLEAF",PR!$AU411,IF(J413="OCULUS",PR!$AV411,IF(J413="PACIFIC",PR!$AW411,IF(J413="PHAMATEX",PR!$AX411,IF(J413="PETHICS",PR!$AY411,IF(J413="PHILIPS",PR!$AZ411,IF(J413="RANBAXY",PR!$BA411,IF(J413="REALS",PR!$BB411,IF(J413="ROYAL",PR!$BC411,IF(J413="SAM",PR!$BD411,IF(J413="SEAGREEN",PR!$BE411,IF(J413="SKG",PR!$BF411,IF(J413="TAH",PR!$BG411,IF(J413="TAYLEK",PR!$BH411,IF(J413="TEMITA",PR!$BI411,IF(J413="THL",PR!$BJ411,IF(J413="UBASTIC",PR!$BK411,IF(J413="UNION",PR!$BL411,IF(J413="UNIQUE",PR!$BM411,IF(J413="VIXA",PR!$BN411,IF(J413="WWCV",PR!$BO411,IF(J413="ZOLON",PR!$BP411,"-"))))))))))))))))))))))))))))))))))))))))))))))))))))))))))))))))</f>
        <v>-</v>
      </c>
      <c r="J413" s="102">
        <f>EV!N537</f>
        <v>0</v>
      </c>
      <c r="K413" s="635" t="s">
        <v>821</v>
      </c>
      <c r="L413" s="183">
        <f>IF(K413&gt;0,IF(K413="ALPHA",PR!$E411,IF(K413="ASSENE",PR!$F411,IF(K413="BIOFEM",PR!$G411,IF(K413="BIOMED",PR!$H411,IF(K413="CHI",PR!$I411,IF(K413="CLARION",PR!$J411,IF(K413="CODIX",PR!$K411,IF(K413="COSMADE",PR!$L411,IF(K413="SANCON",PR!$M411,IF(K413="DEVON",PR!$N411,IF(K413="DORTEMAG",PR!$O411,IF(K413="DGF",PR!$P411,IF(K413="DYNAMIC",PR!$Q411,IF(K413="EMZOR",PR!$R411,IF(K413="EUMATT",PR!$S411,IF(K413="FIDSON",PR!$T411,IF(K413="FCGLOBAL",PR!$U411,IF(K413="GENEITH",PR!$V411,IF(K413="GINOS",PR!$W411,IF(K413="GSK",PR!$X411,IF(K413="GLOBORG",PR!$Y411,IF(K413="GOODNEWS",PR!$Z411,IF(K413="GREENLIFE",PR!$AA411,IF(K413="HLINE",PR!$AB411,IF(K413="ROTECH",PR!$AC411,IF(K413="ISN",PR!$AD411,IF(K413="JAWA",PR!$AE411,IF(K413="LAYO",PR!$AF411,IF(K413="LEADWAY",PR!$AG411,IF(K413="LHV",PR!$AH411,IF(K413="MANOLA",PR!$AI411,IF(K413="MARCSON",PR!$AJ411,IF(K413="M&amp;B",PR!$AK411,IF(K413="MTRUST",PR!$AL411,IF(K413="MWORLD",PR!$AM411,IF(K413="MEGA",PR!$AN411,IF(K413="MICRONOVA",PR!$AO411,IF(K413="MFLASH",PR!$AP411,IF(K413="MORISON",PR!$AQ411,IF(K413="NEMEL",PR!$AR411,IF(K413="NHP",PR!$AS411,IF(K413="NHC",PR!$AT411,IF(K413="OLEAF",PR!$AU411,IF(K413="OCULUS",PR!$AV411,IF(K413="PACIFIC",PR!$AW411,IF(K413="PHAMATEX",PR!$AX411,IF(K413="PETHICS",PR!$AY411,IF(K413="PHILIPS",PR!$AZ411,IF(K413="RANBAXY",PR!$BA411,IF(K413="REALS",PR!$BB411,IF(K413="ROYAL",PR!$BC411,IF(K413="SAM",PR!$BD411,IF(K413="SEAGREEN",PR!$BE411,IF(K413="SKG",PR!$BF411,IF(K413="TAH",PR!$BG411,IF(K413="TAYLEK",PR!$BH411,IF(K413="TEMITA",PR!$BI411,IF(K413="THL",PR!$BJ411,IF(K413="UBASTIC",PR!$BK411,IF(K413="UNION",PR!$BL411,IF(K413="UNIQUE",PR!$BM411,IF(K413="VIXA",PR!$BN411,IF(K413="WWCV",PR!$BO411,IF(K413="ZOLON",PR!$BP411,"-")))))))))))))))))))))))))))))))))))))))))))))))))))))))))))))))))</f>
        <v>4200</v>
      </c>
    </row>
    <row r="414" spans="1:12" ht="18.75" x14ac:dyDescent="0.3">
      <c r="A414" s="430">
        <f>PR!A412</f>
        <v>378</v>
      </c>
      <c r="B414" s="15" t="str">
        <f>PR!B412</f>
        <v>RISPERIDONE 2MG</v>
      </c>
      <c r="C414" s="113">
        <f>PR!D412</f>
        <v>30</v>
      </c>
      <c r="D414" s="113">
        <f>PR!C412</f>
        <v>74</v>
      </c>
      <c r="E414" s="108">
        <f>IF(F414="ALPHA",PR!$E412,IF(F414="ASSENE",PR!$F412,IF(F414="BIOFEM",PR!$G412,IF(F414="BIOMED",PR!$H412,IF(F414="CHI",PR!$I412,IF(F414="CLARION",PR!$J412,IF(F414="CODIX",PR!$K412,IF(F414="COSMADE",PR!$L412,IF(F414="SANCON",PR!$M412,IF(F414="DEVON",PR!$N412,IF(F414="DORTEMAG",PR!$O412,IF(F414="DGF",PR!$P412,IF(F414="DYNAMIC",PR!$Q412,IF(F414="EMZOR",PR!$R412,IF(F414="EUMATT",PR!$S412,IF(F414="FIDSON",PR!$T412,IF(F414="FCGLOBAL",PR!$U412,IF(F414="GENEITH",PR!$V412,IF(F414="GINOS",PR!$W412,IF(F414="GSK",PR!$X412,IF(F414="GLOBORG",PR!$Y412,IF(F414="GOODNEWS",PR!$Z412,IF(F414="GREENLIFE",PR!$AA412,IF(F414="HLINE",PR!$AB412,IF(F414="ROTECH",PR!$AC412,IF(F414="ISN",PR!$AD412,IF(F414="JAWA",PR!$AE412,IF(F414="LAYO",PR!$AF412,IF(F414="LEADWAY",PR!$AG412,IF(F414="LHV",PR!$AH412,IF(F414="MANOLA",PR!$AI412,IF(F414="MARCSON",PR!$AJ412,IF(F414="M&amp;B",PR!$AK412,IF(F414="MTRUST",PR!$AL412,IF(F414="MWORLD",PR!$AM412,IF(F414="MEGA",PR!$AN412,IF(F414="MICRONOVA",PR!$AO412,IF(F414="MFLASH",PR!$AP412,IF(F414="MORISON",PR!$AQ412,IF(F414="NEMEL",PR!$AR412,IF(F414="NHP",PR!$AS412,IF(F414="NHC",PR!$AT412,IF(F414="OLEAF",PR!$AU412,IF(F414="OCULUS",PR!$AV412,IF(F414="PACIFIC",PR!$AW412,IF(F414="PHAMATEX",PR!$AX412,IF(F414="PETHICS",PR!$AY412,IF(F414="PHILIPS",PR!$AZ412,IF(F414="RANBAXY",PR!$BA412,IF(F414="REALS",PR!$BB412,IF(F414="ROYAL",PR!$BC412,IF(F414="SAM",PR!$BD412,IF(F414="SEAGREEN",PR!$BE412,IF(F414="SKG",PR!$BF412,IF(F414="TAH",PR!$BG412,IF(F414="TAYLEK",PR!$BH412,IF(F414="TEMITA",PR!$BI412,IF(F414="THL",PR!$BJ412,IF(F414="UBASTIC",PR!$BK412,IF(F414="UNION",PR!$BL412,IF(F414="UNIQUE",PR!$BM412,IF(F414="VIXA",PR!$BN412,IF(F414="WWCV",PR!$BO412,IF(F414="ZOLON",PR!$BP412,"-"))))))))))))))))))))))))))))))))))))))))))))))))))))))))))))))))</f>
        <v>1700</v>
      </c>
      <c r="F414" s="102" t="str">
        <f>EV!L538</f>
        <v>EUMATT</v>
      </c>
      <c r="G414" s="108" t="str">
        <f>IF(H414="ALPHA",PR!$E412,IF(H414="ASSENE",PR!$F412,IF(H414="BIOFEM",PR!$G412,IF(H414="BIOMED",PR!$H412,IF(H414="CHI",PR!$I412,IF(H414="CLARION",PR!$J412,IF(H414="CODIX",PR!$K412,IF(H414="COSMADE",PR!$L412,IF(H414="SANCON",PR!$M412,IF(H414="DEVON",PR!$N412,IF(H414="DORTEMAG",PR!$O412,IF(H414="DGF",PR!$P412,IF(H414="DYNAMIC",PR!$Q412,IF(H414="EMZOR",PR!$R412,IF(H414="EUMATT",PR!$S412,IF(H414="FIDSON",PR!$T412,IF(H414="FCGLOBAL",PR!$U412,IF(H414="GENEITH",PR!$V412,IF(H414="GINOS",PR!$W412,IF(H414="GSK",PR!$X412,IF(H414="GLOBORG",PR!$Y412,IF(H414="GOODNEWS",PR!$Z412,IF(H414="GREENLIFE",PR!$AA412,IF(H414="HLINE",PR!$AB412,IF(H414="ROTECH",PR!$AC412,IF(H414="ISN",PR!$AD412,IF(H414="JAWA",PR!$AE412,IF(H414="LAYO",PR!$AF412,IF(H414="LEADWAY",PR!$AG412,IF(H414="LHV",PR!$AH412,IF(H414="MANOLA",PR!$AI412,IF(H414="MARCSON",PR!$AJ412,IF(H414="M&amp;B",PR!$AK412,IF(H414="MTRUST",PR!$AL412,IF(H414="MWORLD",PR!$AM412,IF(H414="MEGA",PR!$AN412,IF(H414="MICRONOVA",PR!$AO412,IF(H414="MFLASH",PR!$AP412,IF(H414="MORISON",PR!$AQ412,IF(H414="NEMEL",PR!$AR412,IF(H414="NHP",PR!$AS412,IF(H414="NHC",PR!$AT412,IF(H414="OLEAF",PR!$AU412,IF(H414="OCULUS",PR!$AV412,IF(H414="PACIFIC",PR!$AW412,IF(H414="PHAMATEX",PR!$AX412,IF(H414="PETHICS",PR!$AY412,IF(H414="PHILIPS",PR!$AZ412,IF(H414="RANBAXY",PR!$BA412,IF(H414="REALS",PR!$BB412,IF(H414="ROYAL",PR!$BC412,IF(H414="SAM",PR!$BD412,IF(H414="SEAGREEN",PR!$BE412,IF(H414="SKG",PR!$BF412,IF(H414="TAH",PR!$BG412,IF(H414="TAYLEK",PR!$BH412,IF(H414="TEMITA",PR!$BI412,IF(H414="THL",PR!$BJ412,IF(H414="UBASTIC",PR!$BK412,IF(H414="UNION",PR!$BL412,IF(H414="UNIQUE",PR!$BM412,IF(H414="VIXA",PR!$BN412,IF(H414="WWCV",PR!$BO412,IF(H414="ZOLON",PR!$BP412,"-"))))))))))))))))))))))))))))))))))))))))))))))))))))))))))))))))</f>
        <v>-</v>
      </c>
      <c r="H414" s="102">
        <f>EV!M538</f>
        <v>0</v>
      </c>
      <c r="I414" s="108" t="str">
        <f>IF(J414="ALPHA",PR!$E412,IF(J414="ASSENE",PR!$F412,IF(J414="BIOFEM",PR!$G412,IF(J414="BIOMED",PR!$H412,IF(J414="CHI",PR!$I412,IF(J414="CLARION",PR!$J412,IF(J414="CODIX",PR!$K412,IF(J414="COSMADE",PR!$L412,IF(J414="SANCON",PR!$M412,IF(J414="DEVON",PR!$N412,IF(J414="DORTEMAG",PR!$O412,IF(J414="DGF",PR!$P412,IF(J414="DYNAMIC",PR!$Q412,IF(J414="EMZOR",PR!$R412,IF(J414="EUMATT",PR!$S412,IF(J414="FIDSON",PR!$T412,IF(J414="FCGLOBAL",PR!$U412,IF(J414="GENEITH",PR!$V412,IF(J414="GINOS",PR!$W412,IF(J414="GSK",PR!$X412,IF(J414="GLOBORG",PR!$Y412,IF(J414="GOODNEWS",PR!$Z412,IF(J414="GREENLIFE",PR!$AA412,IF(J414="HLINE",PR!$AB412,IF(J414="ROTECH",PR!$AC412,IF(J414="ISN",PR!$AD412,IF(J414="JAWA",PR!$AE412,IF(J414="LAYO",PR!$AF412,IF(J414="LEADWAY",PR!$AG412,IF(J414="LHV",PR!$AH412,IF(J414="MANOLA",PR!$AI412,IF(J414="MARCSON",PR!$AJ412,IF(J414="M&amp;B",PR!$AK412,IF(J414="MTRUST",PR!$AL412,IF(J414="MWORLD",PR!$AM412,IF(J414="MEGA",PR!$AN412,IF(J414="MICRONOVA",PR!$AO412,IF(J414="MFLASH",PR!$AP412,IF(J414="MORISON",PR!$AQ412,IF(J414="NEMEL",PR!$AR412,IF(J414="NHP",PR!$AS412,IF(J414="NHC",PR!$AT412,IF(J414="OLEAF",PR!$AU412,IF(J414="OCULUS",PR!$AV412,IF(J414="PACIFIC",PR!$AW412,IF(J414="PHAMATEX",PR!$AX412,IF(J414="PETHICS",PR!$AY412,IF(J414="PHILIPS",PR!$AZ412,IF(J414="RANBAXY",PR!$BA412,IF(J414="REALS",PR!$BB412,IF(J414="ROYAL",PR!$BC412,IF(J414="SAM",PR!$BD412,IF(J414="SEAGREEN",PR!$BE412,IF(J414="SKG",PR!$BF412,IF(J414="TAH",PR!$BG412,IF(J414="TAYLEK",PR!$BH412,IF(J414="TEMITA",PR!$BI412,IF(J414="THL",PR!$BJ412,IF(J414="UBASTIC",PR!$BK412,IF(J414="UNION",PR!$BL412,IF(J414="UNIQUE",PR!$BM412,IF(J414="VIXA",PR!$BN412,IF(J414="WWCV",PR!$BO412,IF(J414="ZOLON",PR!$BP412,"-"))))))))))))))))))))))))))))))))))))))))))))))))))))))))))))))))</f>
        <v>-</v>
      </c>
      <c r="J414" s="102">
        <f>EV!N538</f>
        <v>0</v>
      </c>
      <c r="K414" s="635" t="s">
        <v>821</v>
      </c>
      <c r="L414" s="183">
        <f>IF(K414&gt;0,IF(K414="ALPHA",PR!$E412,IF(K414="ASSENE",PR!$F412,IF(K414="BIOFEM",PR!$G412,IF(K414="BIOMED",PR!$H412,IF(K414="CHI",PR!$I412,IF(K414="CLARION",PR!$J412,IF(K414="CODIX",PR!$K412,IF(K414="COSMADE",PR!$L412,IF(K414="SANCON",PR!$M412,IF(K414="DEVON",PR!$N412,IF(K414="DORTEMAG",PR!$O412,IF(K414="DGF",PR!$P412,IF(K414="DYNAMIC",PR!$Q412,IF(K414="EMZOR",PR!$R412,IF(K414="EUMATT",PR!$S412,IF(K414="FIDSON",PR!$T412,IF(K414="FCGLOBAL",PR!$U412,IF(K414="GENEITH",PR!$V412,IF(K414="GINOS",PR!$W412,IF(K414="GSK",PR!$X412,IF(K414="GLOBORG",PR!$Y412,IF(K414="GOODNEWS",PR!$Z412,IF(K414="GREENLIFE",PR!$AA412,IF(K414="HLINE",PR!$AB412,IF(K414="ROTECH",PR!$AC412,IF(K414="ISN",PR!$AD412,IF(K414="JAWA",PR!$AE412,IF(K414="LAYO",PR!$AF412,IF(K414="LEADWAY",PR!$AG412,IF(K414="LHV",PR!$AH412,IF(K414="MANOLA",PR!$AI412,IF(K414="MARCSON",PR!$AJ412,IF(K414="M&amp;B",PR!$AK412,IF(K414="MTRUST",PR!$AL412,IF(K414="MWORLD",PR!$AM412,IF(K414="MEGA",PR!$AN412,IF(K414="MICRONOVA",PR!$AO412,IF(K414="MFLASH",PR!$AP412,IF(K414="MORISON",PR!$AQ412,IF(K414="NEMEL",PR!$AR412,IF(K414="NHP",PR!$AS412,IF(K414="NHC",PR!$AT412,IF(K414="OLEAF",PR!$AU412,IF(K414="OCULUS",PR!$AV412,IF(K414="PACIFIC",PR!$AW412,IF(K414="PHAMATEX",PR!$AX412,IF(K414="PETHICS",PR!$AY412,IF(K414="PHILIPS",PR!$AZ412,IF(K414="RANBAXY",PR!$BA412,IF(K414="REALS",PR!$BB412,IF(K414="ROYAL",PR!$BC412,IF(K414="SAM",PR!$BD412,IF(K414="SEAGREEN",PR!$BE412,IF(K414="SKG",PR!$BF412,IF(K414="TAH",PR!$BG412,IF(K414="TAYLEK",PR!$BH412,IF(K414="TEMITA",PR!$BI412,IF(K414="THL",PR!$BJ412,IF(K414="UBASTIC",PR!$BK412,IF(K414="UNION",PR!$BL412,IF(K414="UNIQUE",PR!$BM412,IF(K414="VIXA",PR!$BN412,IF(K414="WWCV",PR!$BO412,IF(K414="ZOLON",PR!$BP412,"-")))))))))))))))))))))))))))))))))))))))))))))))))))))))))))))))))</f>
        <v>1700</v>
      </c>
    </row>
    <row r="415" spans="1:12" ht="18.75" x14ac:dyDescent="0.3">
      <c r="A415" s="430">
        <f>PR!A413</f>
        <v>379</v>
      </c>
      <c r="B415" s="15" t="str">
        <f>PR!B413</f>
        <v>SODIUM VALPROATE INJ</v>
      </c>
      <c r="C415" s="113">
        <f>PR!D413</f>
        <v>10</v>
      </c>
      <c r="D415" s="113">
        <f>PR!C413</f>
        <v>1</v>
      </c>
      <c r="E415" s="108" t="str">
        <f>IF(F415="ALPHA",PR!$E413,IF(F415="ASSENE",PR!$F413,IF(F415="BIOFEM",PR!$G413,IF(F415="BIOMED",PR!$H413,IF(F415="CHI",PR!$I413,IF(F415="CLARION",PR!$J413,IF(F415="CODIX",PR!$K413,IF(F415="COSMADE",PR!$L413,IF(F415="SANCON",PR!$M413,IF(F415="DEVON",PR!$N413,IF(F415="DORTEMAG",PR!$O413,IF(F415="DGF",PR!$P413,IF(F415="DYNAMIC",PR!$Q413,IF(F415="EMZOR",PR!$R413,IF(F415="EUMATT",PR!$S413,IF(F415="FIDSON",PR!$T413,IF(F415="FCGLOBAL",PR!$U413,IF(F415="GENEITH",PR!$V413,IF(F415="GINOS",PR!$W413,IF(F415="GSK",PR!$X413,IF(F415="GLOBORG",PR!$Y413,IF(F415="GOODNEWS",PR!$Z413,IF(F415="GREENLIFE",PR!$AA413,IF(F415="HLINE",PR!$AB413,IF(F415="ROTECH",PR!$AC413,IF(F415="ISN",PR!$AD413,IF(F415="JAWA",PR!$AE413,IF(F415="LAYO",PR!$AF413,IF(F415="LEADWAY",PR!$AG413,IF(F415="LHV",PR!$AH413,IF(F415="MANOLA",PR!$AI413,IF(F415="MARCSON",PR!$AJ413,IF(F415="M&amp;B",PR!$AK413,IF(F415="MTRUST",PR!$AL413,IF(F415="MWORLD",PR!$AM413,IF(F415="MEGA",PR!$AN413,IF(F415="MICRONOVA",PR!$AO413,IF(F415="MFLASH",PR!$AP413,IF(F415="MORISON",PR!$AQ413,IF(F415="NEMEL",PR!$AR413,IF(F415="NHP",PR!$AS413,IF(F415="NHC",PR!$AT413,IF(F415="OLEAF",PR!$AU413,IF(F415="OCULUS",PR!$AV413,IF(F415="PACIFIC",PR!$AW413,IF(F415="PHAMATEX",PR!$AX413,IF(F415="PETHICS",PR!$AY413,IF(F415="PHILIPS",PR!$AZ413,IF(F415="RANBAXY",PR!$BA413,IF(F415="REALS",PR!$BB413,IF(F415="ROYAL",PR!$BC413,IF(F415="SAM",PR!$BD413,IF(F415="SEAGREEN",PR!$BE413,IF(F415="SKG",PR!$BF413,IF(F415="TAH",PR!$BG413,IF(F415="TAYLEK",PR!$BH413,IF(F415="TEMITA",PR!$BI413,IF(F415="THL",PR!$BJ413,IF(F415="UBASTIC",PR!$BK413,IF(F415="UNION",PR!$BL413,IF(F415="UNIQUE",PR!$BM413,IF(F415="VIXA",PR!$BN413,IF(F415="WWCV",PR!$BO413,IF(F415="ZOLON",PR!$BP413,"-"))))))))))))))))))))))))))))))))))))))))))))))))))))))))))))))))</f>
        <v>-</v>
      </c>
      <c r="F415" s="102">
        <f>EV!L539</f>
        <v>0</v>
      </c>
      <c r="G415" s="108" t="str">
        <f>IF(H415="ALPHA",PR!$E413,IF(H415="ASSENE",PR!$F413,IF(H415="BIOFEM",PR!$G413,IF(H415="BIOMED",PR!$H413,IF(H415="CHI",PR!$I413,IF(H415="CLARION",PR!$J413,IF(H415="CODIX",PR!$K413,IF(H415="COSMADE",PR!$L413,IF(H415="SANCON",PR!$M413,IF(H415="DEVON",PR!$N413,IF(H415="DORTEMAG",PR!$O413,IF(H415="DGF",PR!$P413,IF(H415="DYNAMIC",PR!$Q413,IF(H415="EMZOR",PR!$R413,IF(H415="EUMATT",PR!$S413,IF(H415="FIDSON",PR!$T413,IF(H415="FCGLOBAL",PR!$U413,IF(H415="GENEITH",PR!$V413,IF(H415="GINOS",PR!$W413,IF(H415="GSK",PR!$X413,IF(H415="GLOBORG",PR!$Y413,IF(H415="GOODNEWS",PR!$Z413,IF(H415="GREENLIFE",PR!$AA413,IF(H415="HLINE",PR!$AB413,IF(H415="ROTECH",PR!$AC413,IF(H415="ISN",PR!$AD413,IF(H415="JAWA",PR!$AE413,IF(H415="LAYO",PR!$AF413,IF(H415="LEADWAY",PR!$AG413,IF(H415="LHV",PR!$AH413,IF(H415="MANOLA",PR!$AI413,IF(H415="MARCSON",PR!$AJ413,IF(H415="M&amp;B",PR!$AK413,IF(H415="MTRUST",PR!$AL413,IF(H415="MWORLD",PR!$AM413,IF(H415="MEGA",PR!$AN413,IF(H415="MICRONOVA",PR!$AO413,IF(H415="MFLASH",PR!$AP413,IF(H415="MORISON",PR!$AQ413,IF(H415="NEMEL",PR!$AR413,IF(H415="NHP",PR!$AS413,IF(H415="NHC",PR!$AT413,IF(H415="OLEAF",PR!$AU413,IF(H415="OCULUS",PR!$AV413,IF(H415="PACIFIC",PR!$AW413,IF(H415="PHAMATEX",PR!$AX413,IF(H415="PETHICS",PR!$AY413,IF(H415="PHILIPS",PR!$AZ413,IF(H415="RANBAXY",PR!$BA413,IF(H415="REALS",PR!$BB413,IF(H415="ROYAL",PR!$BC413,IF(H415="SAM",PR!$BD413,IF(H415="SEAGREEN",PR!$BE413,IF(H415="SKG",PR!$BF413,IF(H415="TAH",PR!$BG413,IF(H415="TAYLEK",PR!$BH413,IF(H415="TEMITA",PR!$BI413,IF(H415="THL",PR!$BJ413,IF(H415="UBASTIC",PR!$BK413,IF(H415="UNION",PR!$BL413,IF(H415="UNIQUE",PR!$BM413,IF(H415="VIXA",PR!$BN413,IF(H415="WWCV",PR!$BO413,IF(H415="ZOLON",PR!$BP413,"-"))))))))))))))))))))))))))))))))))))))))))))))))))))))))))))))))</f>
        <v>-</v>
      </c>
      <c r="H415" s="102">
        <f>EV!M539</f>
        <v>0</v>
      </c>
      <c r="I415" s="108" t="str">
        <f>IF(J415="ALPHA",PR!$E413,IF(J415="ASSENE",PR!$F413,IF(J415="BIOFEM",PR!$G413,IF(J415="BIOMED",PR!$H413,IF(J415="CHI",PR!$I413,IF(J415="CLARION",PR!$J413,IF(J415="CODIX",PR!$K413,IF(J415="COSMADE",PR!$L413,IF(J415="SANCON",PR!$M413,IF(J415="DEVON",PR!$N413,IF(J415="DORTEMAG",PR!$O413,IF(J415="DGF",PR!$P413,IF(J415="DYNAMIC",PR!$Q413,IF(J415="EMZOR",PR!$R413,IF(J415="EUMATT",PR!$S413,IF(J415="FIDSON",PR!$T413,IF(J415="FCGLOBAL",PR!$U413,IF(J415="GENEITH",PR!$V413,IF(J415="GINOS",PR!$W413,IF(J415="GSK",PR!$X413,IF(J415="GLOBORG",PR!$Y413,IF(J415="GOODNEWS",PR!$Z413,IF(J415="GREENLIFE",PR!$AA413,IF(J415="HLINE",PR!$AB413,IF(J415="ROTECH",PR!$AC413,IF(J415="ISN",PR!$AD413,IF(J415="JAWA",PR!$AE413,IF(J415="LAYO",PR!$AF413,IF(J415="LEADWAY",PR!$AG413,IF(J415="LHV",PR!$AH413,IF(J415="MANOLA",PR!$AI413,IF(J415="MARCSON",PR!$AJ413,IF(J415="M&amp;B",PR!$AK413,IF(J415="MTRUST",PR!$AL413,IF(J415="MWORLD",PR!$AM413,IF(J415="MEGA",PR!$AN413,IF(J415="MICRONOVA",PR!$AO413,IF(J415="MFLASH",PR!$AP413,IF(J415="MORISON",PR!$AQ413,IF(J415="NEMEL",PR!$AR413,IF(J415="NHP",PR!$AS413,IF(J415="NHC",PR!$AT413,IF(J415="OLEAF",PR!$AU413,IF(J415="OCULUS",PR!$AV413,IF(J415="PACIFIC",PR!$AW413,IF(J415="PHAMATEX",PR!$AX413,IF(J415="PETHICS",PR!$AY413,IF(J415="PHILIPS",PR!$AZ413,IF(J415="RANBAXY",PR!$BA413,IF(J415="REALS",PR!$BB413,IF(J415="ROYAL",PR!$BC413,IF(J415="SAM",PR!$BD413,IF(J415="SEAGREEN",PR!$BE413,IF(J415="SKG",PR!$BF413,IF(J415="TAH",PR!$BG413,IF(J415="TAYLEK",PR!$BH413,IF(J415="TEMITA",PR!$BI413,IF(J415="THL",PR!$BJ413,IF(J415="UBASTIC",PR!$BK413,IF(J415="UNION",PR!$BL413,IF(J415="UNIQUE",PR!$BM413,IF(J415="VIXA",PR!$BN413,IF(J415="WWCV",PR!$BO413,IF(J415="ZOLON",PR!$BP413,"-"))))))))))))))))))))))))))))))))))))))))))))))))))))))))))))))))</f>
        <v>-</v>
      </c>
      <c r="J415" s="102">
        <f>EV!N539</f>
        <v>0</v>
      </c>
      <c r="K415" s="433"/>
      <c r="L415" s="183" t="b">
        <f>IF(K415&gt;0,IF(K415="ALPHA",PR!$E413,IF(K415="ASSENE",PR!$F413,IF(K415="BIOFEM",PR!$G413,IF(K415="BIOMED",PR!$H413,IF(K415="CHI",PR!$I413,IF(K415="CLARION",PR!$J413,IF(K415="CODIX",PR!$K413,IF(K415="COSMADE",PR!$L413,IF(K415="SANCON",PR!$M413,IF(K415="DEVON",PR!$N413,IF(K415="DORTEMAG",PR!$O413,IF(K415="DGF",PR!$P413,IF(K415="DYNAMIC",PR!$Q413,IF(K415="EMZOR",PR!$R413,IF(K415="EUMATT",PR!$S413,IF(K415="FIDSON",PR!$T413,IF(K415="FCGLOBAL",PR!$U413,IF(K415="GENEITH",PR!$V413,IF(K415="GINOS",PR!$W413,IF(K415="GSK",PR!$X413,IF(K415="GLOBORG",PR!$Y413,IF(K415="GOODNEWS",PR!$Z413,IF(K415="GREENLIFE",PR!$AA413,IF(K415="HLINE",PR!$AB413,IF(K415="ROTECH",PR!$AC413,IF(K415="ISN",PR!$AD413,IF(K415="JAWA",PR!$AE413,IF(K415="LAYO",PR!$AF413,IF(K415="LEADWAY",PR!$AG413,IF(K415="LHV",PR!$AH413,IF(K415="MANOLA",PR!$AI413,IF(K415="MARCSON",PR!$AJ413,IF(K415="M&amp;B",PR!$AK413,IF(K415="MTRUST",PR!$AL413,IF(K415="MWORLD",PR!$AM413,IF(K415="MEGA",PR!$AN413,IF(K415="MICRONOVA",PR!$AO413,IF(K415="MFLASH",PR!$AP413,IF(K415="MORISON",PR!$AQ413,IF(K415="NEMEL",PR!$AR413,IF(K415="NHP",PR!$AS413,IF(K415="NHC",PR!$AT413,IF(K415="OLEAF",PR!$AU413,IF(K415="OCULUS",PR!$AV413,IF(K415="PACIFIC",PR!$AW413,IF(K415="PHAMATEX",PR!$AX413,IF(K415="PETHICS",PR!$AY413,IF(K415="PHILIPS",PR!$AZ413,IF(K415="RANBAXY",PR!$BA413,IF(K415="REALS",PR!$BB413,IF(K415="ROYAL",PR!$BC413,IF(K415="SAM",PR!$BD413,IF(K415="SEAGREEN",PR!$BE413,IF(K415="SKG",PR!$BF413,IF(K415="TAH",PR!$BG413,IF(K415="TAYLEK",PR!$BH413,IF(K415="TEMITA",PR!$BI413,IF(K415="THL",PR!$BJ413,IF(K415="UBASTIC",PR!$BK413,IF(K415="UNION",PR!$BL413,IF(K415="UNIQUE",PR!$BM413,IF(K415="VIXA",PR!$BN413,IF(K415="WWCV",PR!$BO413,IF(K415="ZOLON",PR!$BP413,"-")))))))))))))))))))))))))))))))))))))))))))))))))))))))))))))))))</f>
        <v>0</v>
      </c>
    </row>
    <row r="416" spans="1:12" ht="18.75" x14ac:dyDescent="0.3">
      <c r="A416" s="430">
        <f>PR!A414</f>
        <v>380</v>
      </c>
      <c r="B416" s="15" t="str">
        <f>PR!B414</f>
        <v>TRIFLUOPERAZINE 5MG TAB</v>
      </c>
      <c r="C416" s="113">
        <f>PR!D414</f>
        <v>1000</v>
      </c>
      <c r="D416" s="113">
        <f>PR!C414</f>
        <v>2</v>
      </c>
      <c r="E416" s="108">
        <f>IF(F416="ALPHA",PR!$E414,IF(F416="ASSENE",PR!$F414,IF(F416="BIOFEM",PR!$G414,IF(F416="BIOMED",PR!$H414,IF(F416="CHI",PR!$I414,IF(F416="CLARION",PR!$J414,IF(F416="CODIX",PR!$K414,IF(F416="COSMADE",PR!$L414,IF(F416="SANCON",PR!$M414,IF(F416="DEVON",PR!$N414,IF(F416="DORTEMAG",PR!$O414,IF(F416="DGF",PR!$P414,IF(F416="DYNAMIC",PR!$Q414,IF(F416="EMZOR",PR!$R414,IF(F416="EUMATT",PR!$S414,IF(F416="FIDSON",PR!$T414,IF(F416="FCGLOBAL",PR!$U414,IF(F416="GENEITH",PR!$V414,IF(F416="GINOS",PR!$W414,IF(F416="GSK",PR!$X414,IF(F416="GLOBORG",PR!$Y414,IF(F416="GOODNEWS",PR!$Z414,IF(F416="GREENLIFE",PR!$AA414,IF(F416="HLINE",PR!$AB414,IF(F416="ROTECH",PR!$AC414,IF(F416="ISN",PR!$AD414,IF(F416="JAWA",PR!$AE414,IF(F416="LAYO",PR!$AF414,IF(F416="LEADWAY",PR!$AG414,IF(F416="LHV",PR!$AH414,IF(F416="MANOLA",PR!$AI414,IF(F416="MARCSON",PR!$AJ414,IF(F416="M&amp;B",PR!$AK414,IF(F416="MTRUST",PR!$AL414,IF(F416="MWORLD",PR!$AM414,IF(F416="MEGA",PR!$AN414,IF(F416="MICRONOVA",PR!$AO414,IF(F416="MFLASH",PR!$AP414,IF(F416="MORISON",PR!$AQ414,IF(F416="NEMEL",PR!$AR414,IF(F416="NHP",PR!$AS414,IF(F416="NHC",PR!$AT414,IF(F416="OLEAF",PR!$AU414,IF(F416="OCULUS",PR!$AV414,IF(F416="PACIFIC",PR!$AW414,IF(F416="PHAMATEX",PR!$AX414,IF(F416="PETHICS",PR!$AY414,IF(F416="PHILIPS",PR!$AZ414,IF(F416="RANBAXY",PR!$BA414,IF(F416="REALS",PR!$BB414,IF(F416="ROYAL",PR!$BC414,IF(F416="SAM",PR!$BD414,IF(F416="SEAGREEN",PR!$BE414,IF(F416="SKG",PR!$BF414,IF(F416="TAH",PR!$BG414,IF(F416="TAYLEK",PR!$BH414,IF(F416="TEMITA",PR!$BI414,IF(F416="THL",PR!$BJ414,IF(F416="UBASTIC",PR!$BK414,IF(F416="UNION",PR!$BL414,IF(F416="UNIQUE",PR!$BM414,IF(F416="VIXA",PR!$BN414,IF(F416="WWCV",PR!$BO414,IF(F416="ZOLON",PR!$BP414,"-"))))))))))))))))))))))))))))))))))))))))))))))))))))))))))))))))</f>
        <v>3500</v>
      </c>
      <c r="F416" s="102" t="str">
        <f>EV!L540</f>
        <v>EUMATT</v>
      </c>
      <c r="G416" s="108" t="str">
        <f>IF(H416="ALPHA",PR!$E414,IF(H416="ASSENE",PR!$F414,IF(H416="BIOFEM",PR!$G414,IF(H416="BIOMED",PR!$H414,IF(H416="CHI",PR!$I414,IF(H416="CLARION",PR!$J414,IF(H416="CODIX",PR!$K414,IF(H416="COSMADE",PR!$L414,IF(H416="SANCON",PR!$M414,IF(H416="DEVON",PR!$N414,IF(H416="DORTEMAG",PR!$O414,IF(H416="DGF",PR!$P414,IF(H416="DYNAMIC",PR!$Q414,IF(H416="EMZOR",PR!$R414,IF(H416="EUMATT",PR!$S414,IF(H416="FIDSON",PR!$T414,IF(H416="FCGLOBAL",PR!$U414,IF(H416="GENEITH",PR!$V414,IF(H416="GINOS",PR!$W414,IF(H416="GSK",PR!$X414,IF(H416="GLOBORG",PR!$Y414,IF(H416="GOODNEWS",PR!$Z414,IF(H416="GREENLIFE",PR!$AA414,IF(H416="HLINE",PR!$AB414,IF(H416="ROTECH",PR!$AC414,IF(H416="ISN",PR!$AD414,IF(H416="JAWA",PR!$AE414,IF(H416="LAYO",PR!$AF414,IF(H416="LEADWAY",PR!$AG414,IF(H416="LHV",PR!$AH414,IF(H416="MANOLA",PR!$AI414,IF(H416="MARCSON",PR!$AJ414,IF(H416="M&amp;B",PR!$AK414,IF(H416="MTRUST",PR!$AL414,IF(H416="MWORLD",PR!$AM414,IF(H416="MEGA",PR!$AN414,IF(H416="MICRONOVA",PR!$AO414,IF(H416="MFLASH",PR!$AP414,IF(H416="MORISON",PR!$AQ414,IF(H416="NEMEL",PR!$AR414,IF(H416="NHP",PR!$AS414,IF(H416="NHC",PR!$AT414,IF(H416="OLEAF",PR!$AU414,IF(H416="OCULUS",PR!$AV414,IF(H416="PACIFIC",PR!$AW414,IF(H416="PHAMATEX",PR!$AX414,IF(H416="PETHICS",PR!$AY414,IF(H416="PHILIPS",PR!$AZ414,IF(H416="RANBAXY",PR!$BA414,IF(H416="REALS",PR!$BB414,IF(H416="ROYAL",PR!$BC414,IF(H416="SAM",PR!$BD414,IF(H416="SEAGREEN",PR!$BE414,IF(H416="SKG",PR!$BF414,IF(H416="TAH",PR!$BG414,IF(H416="TAYLEK",PR!$BH414,IF(H416="TEMITA",PR!$BI414,IF(H416="THL",PR!$BJ414,IF(H416="UBASTIC",PR!$BK414,IF(H416="UNION",PR!$BL414,IF(H416="UNIQUE",PR!$BM414,IF(H416="VIXA",PR!$BN414,IF(H416="WWCV",PR!$BO414,IF(H416="ZOLON",PR!$BP414,"-"))))))))))))))))))))))))))))))))))))))))))))))))))))))))))))))))</f>
        <v>-</v>
      </c>
      <c r="H416" s="102">
        <f>EV!M540</f>
        <v>0</v>
      </c>
      <c r="I416" s="108" t="str">
        <f>IF(J416="ALPHA",PR!$E414,IF(J416="ASSENE",PR!$F414,IF(J416="BIOFEM",PR!$G414,IF(J416="BIOMED",PR!$H414,IF(J416="CHI",PR!$I414,IF(J416="CLARION",PR!$J414,IF(J416="CODIX",PR!$K414,IF(J416="COSMADE",PR!$L414,IF(J416="SANCON",PR!$M414,IF(J416="DEVON",PR!$N414,IF(J416="DORTEMAG",PR!$O414,IF(J416="DGF",PR!$P414,IF(J416="DYNAMIC",PR!$Q414,IF(J416="EMZOR",PR!$R414,IF(J416="EUMATT",PR!$S414,IF(J416="FIDSON",PR!$T414,IF(J416="FCGLOBAL",PR!$U414,IF(J416="GENEITH",PR!$V414,IF(J416="GINOS",PR!$W414,IF(J416="GSK",PR!$X414,IF(J416="GLOBORG",PR!$Y414,IF(J416="GOODNEWS",PR!$Z414,IF(J416="GREENLIFE",PR!$AA414,IF(J416="HLINE",PR!$AB414,IF(J416="ROTECH",PR!$AC414,IF(J416="ISN",PR!$AD414,IF(J416="JAWA",PR!$AE414,IF(J416="LAYO",PR!$AF414,IF(J416="LEADWAY",PR!$AG414,IF(J416="LHV",PR!$AH414,IF(J416="MANOLA",PR!$AI414,IF(J416="MARCSON",PR!$AJ414,IF(J416="M&amp;B",PR!$AK414,IF(J416="MTRUST",PR!$AL414,IF(J416="MWORLD",PR!$AM414,IF(J416="MEGA",PR!$AN414,IF(J416="MICRONOVA",PR!$AO414,IF(J416="MFLASH",PR!$AP414,IF(J416="MORISON",PR!$AQ414,IF(J416="NEMEL",PR!$AR414,IF(J416="NHP",PR!$AS414,IF(J416="NHC",PR!$AT414,IF(J416="OLEAF",PR!$AU414,IF(J416="OCULUS",PR!$AV414,IF(J416="PACIFIC",PR!$AW414,IF(J416="PHAMATEX",PR!$AX414,IF(J416="PETHICS",PR!$AY414,IF(J416="PHILIPS",PR!$AZ414,IF(J416="RANBAXY",PR!$BA414,IF(J416="REALS",PR!$BB414,IF(J416="ROYAL",PR!$BC414,IF(J416="SAM",PR!$BD414,IF(J416="SEAGREEN",PR!$BE414,IF(J416="SKG",PR!$BF414,IF(J416="TAH",PR!$BG414,IF(J416="TAYLEK",PR!$BH414,IF(J416="TEMITA",PR!$BI414,IF(J416="THL",PR!$BJ414,IF(J416="UBASTIC",PR!$BK414,IF(J416="UNION",PR!$BL414,IF(J416="UNIQUE",PR!$BM414,IF(J416="VIXA",PR!$BN414,IF(J416="WWCV",PR!$BO414,IF(J416="ZOLON",PR!$BP414,"-"))))))))))))))))))))))))))))))))))))))))))))))))))))))))))))))))</f>
        <v>-</v>
      </c>
      <c r="J416" s="102">
        <f>EV!N540</f>
        <v>0</v>
      </c>
      <c r="K416" s="433" t="s">
        <v>821</v>
      </c>
      <c r="L416" s="183">
        <f>IF(K416&gt;0,IF(K416="ALPHA",PR!$E414,IF(K416="ASSENE",PR!$F414,IF(K416="BIOFEM",PR!$G414,IF(K416="BIOMED",PR!$H414,IF(K416="CHI",PR!$I414,IF(K416="CLARION",PR!$J414,IF(K416="CODIX",PR!$K414,IF(K416="COSMADE",PR!$L414,IF(K416="SANCON",PR!$M414,IF(K416="DEVON",PR!$N414,IF(K416="DORTEMAG",PR!$O414,IF(K416="DGF",PR!$P414,IF(K416="DYNAMIC",PR!$Q414,IF(K416="EMZOR",PR!$R414,IF(K416="EUMATT",PR!$S414,IF(K416="FIDSON",PR!$T414,IF(K416="FCGLOBAL",PR!$U414,IF(K416="GENEITH",PR!$V414,IF(K416="GINOS",PR!$W414,IF(K416="GSK",PR!$X414,IF(K416="GLOBORG",PR!$Y414,IF(K416="GOODNEWS",PR!$Z414,IF(K416="GREENLIFE",PR!$AA414,IF(K416="HLINE",PR!$AB414,IF(K416="ROTECH",PR!$AC414,IF(K416="ISN",PR!$AD414,IF(K416="JAWA",PR!$AE414,IF(K416="LAYO",PR!$AF414,IF(K416="LEADWAY",PR!$AG414,IF(K416="LHV",PR!$AH414,IF(K416="MANOLA",PR!$AI414,IF(K416="MARCSON",PR!$AJ414,IF(K416="M&amp;B",PR!$AK414,IF(K416="MTRUST",PR!$AL414,IF(K416="MWORLD",PR!$AM414,IF(K416="MEGA",PR!$AN414,IF(K416="MICRONOVA",PR!$AO414,IF(K416="MFLASH",PR!$AP414,IF(K416="MORISON",PR!$AQ414,IF(K416="NEMEL",PR!$AR414,IF(K416="NHP",PR!$AS414,IF(K416="NHC",PR!$AT414,IF(K416="OLEAF",PR!$AU414,IF(K416="OCULUS",PR!$AV414,IF(K416="PACIFIC",PR!$AW414,IF(K416="PHAMATEX",PR!$AX414,IF(K416="PETHICS",PR!$AY414,IF(K416="PHILIPS",PR!$AZ414,IF(K416="RANBAXY",PR!$BA414,IF(K416="REALS",PR!$BB414,IF(K416="ROYAL",PR!$BC414,IF(K416="SAM",PR!$BD414,IF(K416="SEAGREEN",PR!$BE414,IF(K416="SKG",PR!$BF414,IF(K416="TAH",PR!$BG414,IF(K416="TAYLEK",PR!$BH414,IF(K416="TEMITA",PR!$BI414,IF(K416="THL",PR!$BJ414,IF(K416="UBASTIC",PR!$BK414,IF(K416="UNION",PR!$BL414,IF(K416="UNIQUE",PR!$BM414,IF(K416="VIXA",PR!$BN414,IF(K416="WWCV",PR!$BO414,IF(K416="ZOLON",PR!$BP414,"-")))))))))))))))))))))))))))))))))))))))))))))))))))))))))))))))))</f>
        <v>3500</v>
      </c>
    </row>
    <row r="417" spans="1:12" ht="18.75" x14ac:dyDescent="0.3">
      <c r="A417" s="430">
        <f>PR!A415</f>
        <v>0</v>
      </c>
      <c r="B417" s="15">
        <f>PR!B415</f>
        <v>0</v>
      </c>
      <c r="C417" s="113">
        <f>PR!D415</f>
        <v>0</v>
      </c>
      <c r="D417" s="113">
        <f>PR!C415</f>
        <v>0</v>
      </c>
      <c r="E417" s="108" t="str">
        <f>IF(F417="ALPHA",PR!$E415,IF(F417="ASSENE",PR!$F415,IF(F417="BIOFEM",PR!$G415,IF(F417="BIOMED",PR!$H415,IF(F417="CHI",PR!$I415,IF(F417="CLARION",PR!$J415,IF(F417="CODIX",PR!$K415,IF(F417="COSMADE",PR!$L415,IF(F417="SANCON",PR!$M415,IF(F417="DEVON",PR!$N415,IF(F417="DORTEMAG",PR!$O415,IF(F417="DGF",PR!$P415,IF(F417="DYNAMIC",PR!$Q415,IF(F417="EMZOR",PR!$R415,IF(F417="EUMATT",PR!$S415,IF(F417="FIDSON",PR!$T415,IF(F417="FCGLOBAL",PR!$U415,IF(F417="GENEITH",PR!$V415,IF(F417="GINOS",PR!$W415,IF(F417="GSK",PR!$X415,IF(F417="GLOBORG",PR!$Y415,IF(F417="GOODNEWS",PR!$Z415,IF(F417="GREENLIFE",PR!$AA415,IF(F417="HLINE",PR!$AB415,IF(F417="ROTECH",PR!$AC415,IF(F417="ISN",PR!$AD415,IF(F417="JAWA",PR!$AE415,IF(F417="LAYO",PR!$AF415,IF(F417="LEADWAY",PR!$AG415,IF(F417="LHV",PR!$AH415,IF(F417="MANOLA",PR!$AI415,IF(F417="MARCSON",PR!$AJ415,IF(F417="M&amp;B",PR!$AK415,IF(F417="MTRUST",PR!$AL415,IF(F417="MWORLD",PR!$AM415,IF(F417="MEGA",PR!$AN415,IF(F417="MICRONOVA",PR!$AO415,IF(F417="MFLASH",PR!$AP415,IF(F417="MORISON",PR!$AQ415,IF(F417="NEMEL",PR!$AR415,IF(F417="NHP",PR!$AS415,IF(F417="NHC",PR!$AT415,IF(F417="OLEAF",PR!$AU415,IF(F417="OCULUS",PR!$AV415,IF(F417="PACIFIC",PR!$AW415,IF(F417="PHAMATEX",PR!$AX415,IF(F417="PETHICS",PR!$AY415,IF(F417="PHILIPS",PR!$AZ415,IF(F417="RANBAXY",PR!$BA415,IF(F417="REALS",PR!$BB415,IF(F417="ROYAL",PR!$BC415,IF(F417="SAM",PR!$BD415,IF(F417="SEAGREEN",PR!$BE415,IF(F417="SKG",PR!$BF415,IF(F417="TAH",PR!$BG415,IF(F417="TAYLEK",PR!$BH415,IF(F417="TEMITA",PR!$BI415,IF(F417="THL",PR!$BJ415,IF(F417="UBASTIC",PR!$BK415,IF(F417="UNION",PR!$BL415,IF(F417="UNIQUE",PR!$BM415,IF(F417="VIXA",PR!$BN415,IF(F417="WWCV",PR!$BO415,IF(F417="ZOLON",PR!$BP415,"-"))))))))))))))))))))))))))))))))))))))))))))))))))))))))))))))))</f>
        <v>-</v>
      </c>
      <c r="F417" s="102"/>
      <c r="G417" s="108" t="str">
        <f>IF(H417="ALPHA",PR!$E415,IF(H417="ASSENE",PR!$F415,IF(H417="BIOFEM",PR!$G415,IF(H417="BIOMED",PR!$H415,IF(H417="CHI",PR!$I415,IF(H417="CLARION",PR!$J415,IF(H417="CODIX",PR!$K415,IF(H417="COSMADE",PR!$L415,IF(H417="SANCON",PR!$M415,IF(H417="DEVON",PR!$N415,IF(H417="DORTEMAG",PR!$O415,IF(H417="DGF",PR!$P415,IF(H417="DYNAMIC",PR!$Q415,IF(H417="EMZOR",PR!$R415,IF(H417="EUMATT",PR!$S415,IF(H417="FIDSON",PR!$T415,IF(H417="FCGLOBAL",PR!$U415,IF(H417="GENEITH",PR!$V415,IF(H417="GINOS",PR!$W415,IF(H417="GSK",PR!$X415,IF(H417="GLOBORG",PR!$Y415,IF(H417="GOODNEWS",PR!$Z415,IF(H417="GREENLIFE",PR!$AA415,IF(H417="HLINE",PR!$AB415,IF(H417="ROTECH",PR!$AC415,IF(H417="ISN",PR!$AD415,IF(H417="JAWA",PR!$AE415,IF(H417="LAYO",PR!$AF415,IF(H417="LEADWAY",PR!$AG415,IF(H417="LHV",PR!$AH415,IF(H417="MANOLA",PR!$AI415,IF(H417="MARCSON",PR!$AJ415,IF(H417="M&amp;B",PR!$AK415,IF(H417="MTRUST",PR!$AL415,IF(H417="MWORLD",PR!$AM415,IF(H417="MEGA",PR!$AN415,IF(H417="MICRONOVA",PR!$AO415,IF(H417="MFLASH",PR!$AP415,IF(H417="MORISON",PR!$AQ415,IF(H417="NEMEL",PR!$AR415,IF(H417="NHP",PR!$AS415,IF(H417="NHC",PR!$AT415,IF(H417="OLEAF",PR!$AU415,IF(H417="OCULUS",PR!$AV415,IF(H417="PACIFIC",PR!$AW415,IF(H417="PHAMATEX",PR!$AX415,IF(H417="PETHICS",PR!$AY415,IF(H417="PHILIPS",PR!$AZ415,IF(H417="RANBAXY",PR!$BA415,IF(H417="REALS",PR!$BB415,IF(H417="ROYAL",PR!$BC415,IF(H417="SAM",PR!$BD415,IF(H417="SEAGREEN",PR!$BE415,IF(H417="SKG",PR!$BF415,IF(H417="TAH",PR!$BG415,IF(H417="TAYLEK",PR!$BH415,IF(H417="TEMITA",PR!$BI415,IF(H417="THL",PR!$BJ415,IF(H417="UBASTIC",PR!$BK415,IF(H417="UNION",PR!$BL415,IF(H417="UNIQUE",PR!$BM415,IF(H417="VIXA",PR!$BN415,IF(H417="WWCV",PR!$BO415,IF(H417="ZOLON",PR!$BP415,"-"))))))))))))))))))))))))))))))))))))))))))))))))))))))))))))))))</f>
        <v>-</v>
      </c>
      <c r="H417" s="102"/>
      <c r="I417" s="108" t="str">
        <f>IF(J417="ALPHA",PR!$E415,IF(J417="ASSENE",PR!$F415,IF(J417="BIOFEM",PR!$G415,IF(J417="BIOMED",PR!$H415,IF(J417="CHI",PR!$I415,IF(J417="CLARION",PR!$J415,IF(J417="CODIX",PR!$K415,IF(J417="COSMADE",PR!$L415,IF(J417="SANCON",PR!$M415,IF(J417="DEVON",PR!$N415,IF(J417="DORTEMAG",PR!$O415,IF(J417="DGF",PR!$P415,IF(J417="DYNAMIC",PR!$Q415,IF(J417="EMZOR",PR!$R415,IF(J417="EUMATT",PR!$S415,IF(J417="FIDSON",PR!$T415,IF(J417="FCGLOBAL",PR!$U415,IF(J417="GENEITH",PR!$V415,IF(J417="GINOS",PR!$W415,IF(J417="GSK",PR!$X415,IF(J417="GLOBORG",PR!$Y415,IF(J417="GOODNEWS",PR!$Z415,IF(J417="GREENLIFE",PR!$AA415,IF(J417="HLINE",PR!$AB415,IF(J417="ROTECH",PR!$AC415,IF(J417="ISN",PR!$AD415,IF(J417="JAWA",PR!$AE415,IF(J417="LAYO",PR!$AF415,IF(J417="LEADWAY",PR!$AG415,IF(J417="LHV",PR!$AH415,IF(J417="MANOLA",PR!$AI415,IF(J417="MARCSON",PR!$AJ415,IF(J417="M&amp;B",PR!$AK415,IF(J417="MTRUST",PR!$AL415,IF(J417="MWORLD",PR!$AM415,IF(J417="MEGA",PR!$AN415,IF(J417="MICRONOVA",PR!$AO415,IF(J417="MFLASH",PR!$AP415,IF(J417="MORISON",PR!$AQ415,IF(J417="NEMEL",PR!$AR415,IF(J417="NHP",PR!$AS415,IF(J417="NHC",PR!$AT415,IF(J417="OLEAF",PR!$AU415,IF(J417="OCULUS",PR!$AV415,IF(J417="PACIFIC",PR!$AW415,IF(J417="PHAMATEX",PR!$AX415,IF(J417="PETHICS",PR!$AY415,IF(J417="PHILIPS",PR!$AZ415,IF(J417="RANBAXY",PR!$BA415,IF(J417="REALS",PR!$BB415,IF(J417="ROYAL",PR!$BC415,IF(J417="SAM",PR!$BD415,IF(J417="SEAGREEN",PR!$BE415,IF(J417="SKG",PR!$BF415,IF(J417="TAH",PR!$BG415,IF(J417="TAYLEK",PR!$BH415,IF(J417="TEMITA",PR!$BI415,IF(J417="THL",PR!$BJ415,IF(J417="UBASTIC",PR!$BK415,IF(J417="UNION",PR!$BL415,IF(J417="UNIQUE",PR!$BM415,IF(J417="VIXA",PR!$BN415,IF(J417="WWCV",PR!$BO415,IF(J417="ZOLON",PR!$BP415,"-"))))))))))))))))))))))))))))))))))))))))))))))))))))))))))))))))</f>
        <v>-</v>
      </c>
      <c r="J417" s="102"/>
      <c r="K417" s="433"/>
      <c r="L417" s="183" t="b">
        <f>IF(K417&gt;0,IF(K417="ALPHA",PR!$E415,IF(K417="ASSENE",PR!$F415,IF(K417="BIOFEM",PR!$G415,IF(K417="BIOMED",PR!$H415,IF(K417="CHI",PR!$I415,IF(K417="CLARION",PR!$J415,IF(K417="CODIX",PR!$K415,IF(K417="COSMADE",PR!$L415,IF(K417="SANCON",PR!$M415,IF(K417="DEVON",PR!$N415,IF(K417="DORTEMAG",PR!$O415,IF(K417="DGF",PR!$P415,IF(K417="DYNAMIC",PR!$Q415,IF(K417="EMZOR",PR!$R415,IF(K417="EUMATT",PR!$S415,IF(K417="FIDSON",PR!$T415,IF(K417="FCGLOBAL",PR!$U415,IF(K417="GENEITH",PR!$V415,IF(K417="GINOS",PR!$W415,IF(K417="GSK",PR!$X415,IF(K417="GLOBORG",PR!$Y415,IF(K417="GOODNEWS",PR!$Z415,IF(K417="GREENLIFE",PR!$AA415,IF(K417="HLINE",PR!$AB415,IF(K417="ROTECH",PR!$AC415,IF(K417="ISN",PR!$AD415,IF(K417="JAWA",PR!$AE415,IF(K417="LAYO",PR!$AF415,IF(K417="LEADWAY",PR!$AG415,IF(K417="LHV",PR!$AH415,IF(K417="MANOLA",PR!$AI415,IF(K417="MARCSON",PR!$AJ415,IF(K417="M&amp;B",PR!$AK415,IF(K417="MTRUST",PR!$AL415,IF(K417="MWORLD",PR!$AM415,IF(K417="MEGA",PR!$AN415,IF(K417="MICRONOVA",PR!$AO415,IF(K417="MFLASH",PR!$AP415,IF(K417="MORISON",PR!$AQ415,IF(K417="NEMEL",PR!$AR415,IF(K417="NHP",PR!$AS415,IF(K417="NHC",PR!$AT415,IF(K417="OLEAF",PR!$AU415,IF(K417="OCULUS",PR!$AV415,IF(K417="PACIFIC",PR!$AW415,IF(K417="PHAMATEX",PR!$AX415,IF(K417="PETHICS",PR!$AY415,IF(K417="PHILIPS",PR!$AZ415,IF(K417="RANBAXY",PR!$BA415,IF(K417="REALS",PR!$BB415,IF(K417="ROYAL",PR!$BC415,IF(K417="SAM",PR!$BD415,IF(K417="SEAGREEN",PR!$BE415,IF(K417="SKG",PR!$BF415,IF(K417="TAH",PR!$BG415,IF(K417="TAYLEK",PR!$BH415,IF(K417="TEMITA",PR!$BI415,IF(K417="THL",PR!$BJ415,IF(K417="UBASTIC",PR!$BK415,IF(K417="UNION",PR!$BL415,IF(K417="UNIQUE",PR!$BM415,IF(K417="VIXA",PR!$BN415,IF(K417="WWCV",PR!$BO415,IF(K417="ZOLON",PR!$BP415,"-")))))))))))))))))))))))))))))))))))))))))))))))))))))))))))))))))</f>
        <v>0</v>
      </c>
    </row>
    <row r="418" spans="1:12" ht="18.75" x14ac:dyDescent="0.3">
      <c r="A418" s="430">
        <f>PR!A416</f>
        <v>0</v>
      </c>
      <c r="B418" s="15">
        <f>PR!B416</f>
        <v>0</v>
      </c>
      <c r="C418" s="113">
        <f>PR!D416</f>
        <v>0</v>
      </c>
      <c r="D418" s="113">
        <f>PR!C416</f>
        <v>0</v>
      </c>
      <c r="E418" s="108" t="str">
        <f>IF(F418="ALPHA",PR!$E416,IF(F418="ASSENE",PR!$F416,IF(F418="BIOFEM",PR!$G416,IF(F418="BIOMED",PR!$H416,IF(F418="CHI",PR!$I416,IF(F418="CLARION",PR!$J416,IF(F418="CODIX",PR!$K416,IF(F418="COSMADE",PR!$L416,IF(F418="SANCON",PR!$M416,IF(F418="DEVON",PR!$N416,IF(F418="DORTEMAG",PR!$O416,IF(F418="DGF",PR!$P416,IF(F418="DYNAMIC",PR!$Q416,IF(F418="EMZOR",PR!$R416,IF(F418="EUMATT",PR!$S416,IF(F418="FIDSON",PR!$T416,IF(F418="FCGLOBAL",PR!$U416,IF(F418="GENEITH",PR!$V416,IF(F418="GINOS",PR!$W416,IF(F418="GSK",PR!$X416,IF(F418="GLOBORG",PR!$Y416,IF(F418="GOODNEWS",PR!$Z416,IF(F418="GREENLIFE",PR!$AA416,IF(F418="HLINE",PR!$AB416,IF(F418="ROTECH",PR!$AC416,IF(F418="ISN",PR!$AD416,IF(F418="JAWA",PR!$AE416,IF(F418="LAYO",PR!$AF416,IF(F418="LEADWAY",PR!$AG416,IF(F418="LHV",PR!$AH416,IF(F418="MANOLA",PR!$AI416,IF(F418="MARCSON",PR!$AJ416,IF(F418="M&amp;B",PR!$AK416,IF(F418="MTRUST",PR!$AL416,IF(F418="MWORLD",PR!$AM416,IF(F418="MEGA",PR!$AN416,IF(F418="MICRONOVA",PR!$AO416,IF(F418="MFLASH",PR!$AP416,IF(F418="MORISON",PR!$AQ416,IF(F418="NEMEL",PR!$AR416,IF(F418="NHP",PR!$AS416,IF(F418="NHC",PR!$AT416,IF(F418="OLEAF",PR!$AU416,IF(F418="OCULUS",PR!$AV416,IF(F418="PACIFIC",PR!$AW416,IF(F418="PHAMATEX",PR!$AX416,IF(F418="PETHICS",PR!$AY416,IF(F418="PHILIPS",PR!$AZ416,IF(F418="RANBAXY",PR!$BA416,IF(F418="REALS",PR!$BB416,IF(F418="ROYAL",PR!$BC416,IF(F418="SAM",PR!$BD416,IF(F418="SEAGREEN",PR!$BE416,IF(F418="SKG",PR!$BF416,IF(F418="TAH",PR!$BG416,IF(F418="TAYLEK",PR!$BH416,IF(F418="TEMITA",PR!$BI416,IF(F418="THL",PR!$BJ416,IF(F418="UBASTIC",PR!$BK416,IF(F418="UNION",PR!$BL416,IF(F418="UNIQUE",PR!$BM416,IF(F418="VIXA",PR!$BN416,IF(F418="WWCV",PR!$BO416,IF(F418="ZOLON",PR!$BP416,"-"))))))))))))))))))))))))))))))))))))))))))))))))))))))))))))))))</f>
        <v>-</v>
      </c>
      <c r="F418" s="102"/>
      <c r="G418" s="108" t="str">
        <f>IF(H418="ALPHA",PR!$E416,IF(H418="ASSENE",PR!$F416,IF(H418="BIOFEM",PR!$G416,IF(H418="BIOMED",PR!$H416,IF(H418="CHI",PR!$I416,IF(H418="CLARION",PR!$J416,IF(H418="CODIX",PR!$K416,IF(H418="COSMADE",PR!$L416,IF(H418="SANCON",PR!$M416,IF(H418="DEVON",PR!$N416,IF(H418="DORTEMAG",PR!$O416,IF(H418="DGF",PR!$P416,IF(H418="DYNAMIC",PR!$Q416,IF(H418="EMZOR",PR!$R416,IF(H418="EUMATT",PR!$S416,IF(H418="FIDSON",PR!$T416,IF(H418="FCGLOBAL",PR!$U416,IF(H418="GENEITH",PR!$V416,IF(H418="GINOS",PR!$W416,IF(H418="GSK",PR!$X416,IF(H418="GLOBORG",PR!$Y416,IF(H418="GOODNEWS",PR!$Z416,IF(H418="GREENLIFE",PR!$AA416,IF(H418="HLINE",PR!$AB416,IF(H418="ROTECH",PR!$AC416,IF(H418="ISN",PR!$AD416,IF(H418="JAWA",PR!$AE416,IF(H418="LAYO",PR!$AF416,IF(H418="LEADWAY",PR!$AG416,IF(H418="LHV",PR!$AH416,IF(H418="MANOLA",PR!$AI416,IF(H418="MARCSON",PR!$AJ416,IF(H418="M&amp;B",PR!$AK416,IF(H418="MTRUST",PR!$AL416,IF(H418="MWORLD",PR!$AM416,IF(H418="MEGA",PR!$AN416,IF(H418="MICRONOVA",PR!$AO416,IF(H418="MFLASH",PR!$AP416,IF(H418="MORISON",PR!$AQ416,IF(H418="NEMEL",PR!$AR416,IF(H418="NHP",PR!$AS416,IF(H418="NHC",PR!$AT416,IF(H418="OLEAF",PR!$AU416,IF(H418="OCULUS",PR!$AV416,IF(H418="PACIFIC",PR!$AW416,IF(H418="PHAMATEX",PR!$AX416,IF(H418="PETHICS",PR!$AY416,IF(H418="PHILIPS",PR!$AZ416,IF(H418="RANBAXY",PR!$BA416,IF(H418="REALS",PR!$BB416,IF(H418="ROYAL",PR!$BC416,IF(H418="SAM",PR!$BD416,IF(H418="SEAGREEN",PR!$BE416,IF(H418="SKG",PR!$BF416,IF(H418="TAH",PR!$BG416,IF(H418="TAYLEK",PR!$BH416,IF(H418="TEMITA",PR!$BI416,IF(H418="THL",PR!$BJ416,IF(H418="UBASTIC",PR!$BK416,IF(H418="UNION",PR!$BL416,IF(H418="UNIQUE",PR!$BM416,IF(H418="VIXA",PR!$BN416,IF(H418="WWCV",PR!$BO416,IF(H418="ZOLON",PR!$BP416,"-"))))))))))))))))))))))))))))))))))))))))))))))))))))))))))))))))</f>
        <v>-</v>
      </c>
      <c r="H418" s="102"/>
      <c r="I418" s="108" t="str">
        <f>IF(J418="ALPHA",PR!$E416,IF(J418="ASSENE",PR!$F416,IF(J418="BIOFEM",PR!$G416,IF(J418="BIOMED",PR!$H416,IF(J418="CHI",PR!$I416,IF(J418="CLARION",PR!$J416,IF(J418="CODIX",PR!$K416,IF(J418="COSMADE",PR!$L416,IF(J418="SANCON",PR!$M416,IF(J418="DEVON",PR!$N416,IF(J418="DORTEMAG",PR!$O416,IF(J418="DGF",PR!$P416,IF(J418="DYNAMIC",PR!$Q416,IF(J418="EMZOR",PR!$R416,IF(J418="EUMATT",PR!$S416,IF(J418="FIDSON",PR!$T416,IF(J418="FCGLOBAL",PR!$U416,IF(J418="GENEITH",PR!$V416,IF(J418="GINOS",PR!$W416,IF(J418="GSK",PR!$X416,IF(J418="GLOBORG",PR!$Y416,IF(J418="GOODNEWS",PR!$Z416,IF(J418="GREENLIFE",PR!$AA416,IF(J418="HLINE",PR!$AB416,IF(J418="ROTECH",PR!$AC416,IF(J418="ISN",PR!$AD416,IF(J418="JAWA",PR!$AE416,IF(J418="LAYO",PR!$AF416,IF(J418="LEADWAY",PR!$AG416,IF(J418="LHV",PR!$AH416,IF(J418="MANOLA",PR!$AI416,IF(J418="MARCSON",PR!$AJ416,IF(J418="M&amp;B",PR!$AK416,IF(J418="MTRUST",PR!$AL416,IF(J418="MWORLD",PR!$AM416,IF(J418="MEGA",PR!$AN416,IF(J418="MICRONOVA",PR!$AO416,IF(J418="MFLASH",PR!$AP416,IF(J418="MORISON",PR!$AQ416,IF(J418="NEMEL",PR!$AR416,IF(J418="NHP",PR!$AS416,IF(J418="NHC",PR!$AT416,IF(J418="OLEAF",PR!$AU416,IF(J418="OCULUS",PR!$AV416,IF(J418="PACIFIC",PR!$AW416,IF(J418="PHAMATEX",PR!$AX416,IF(J418="PETHICS",PR!$AY416,IF(J418="PHILIPS",PR!$AZ416,IF(J418="RANBAXY",PR!$BA416,IF(J418="REALS",PR!$BB416,IF(J418="ROYAL",PR!$BC416,IF(J418="SAM",PR!$BD416,IF(J418="SEAGREEN",PR!$BE416,IF(J418="SKG",PR!$BF416,IF(J418="TAH",PR!$BG416,IF(J418="TAYLEK",PR!$BH416,IF(J418="TEMITA",PR!$BI416,IF(J418="THL",PR!$BJ416,IF(J418="UBASTIC",PR!$BK416,IF(J418="UNION",PR!$BL416,IF(J418="UNIQUE",PR!$BM416,IF(J418="VIXA",PR!$BN416,IF(J418="WWCV",PR!$BO416,IF(J418="ZOLON",PR!$BP416,"-"))))))))))))))))))))))))))))))))))))))))))))))))))))))))))))))))</f>
        <v>-</v>
      </c>
      <c r="J418" s="102"/>
      <c r="K418" s="433"/>
      <c r="L418" s="183" t="b">
        <f>IF(K418&gt;0,IF(K418="ALPHA",PR!$E416,IF(K418="ASSENE",PR!$F416,IF(K418="BIOFEM",PR!$G416,IF(K418="BIOMED",PR!$H416,IF(K418="CHI",PR!$I416,IF(K418="CLARION",PR!$J416,IF(K418="CODIX",PR!$K416,IF(K418="COSMADE",PR!$L416,IF(K418="SANCON",PR!$M416,IF(K418="DEVON",PR!$N416,IF(K418="DORTEMAG",PR!$O416,IF(K418="DGF",PR!$P416,IF(K418="DYNAMIC",PR!$Q416,IF(K418="EMZOR",PR!$R416,IF(K418="EUMATT",PR!$S416,IF(K418="FIDSON",PR!$T416,IF(K418="FCGLOBAL",PR!$U416,IF(K418="GENEITH",PR!$V416,IF(K418="GINOS",PR!$W416,IF(K418="GSK",PR!$X416,IF(K418="GLOBORG",PR!$Y416,IF(K418="GOODNEWS",PR!$Z416,IF(K418="GREENLIFE",PR!$AA416,IF(K418="HLINE",PR!$AB416,IF(K418="ROTECH",PR!$AC416,IF(K418="ISN",PR!$AD416,IF(K418="JAWA",PR!$AE416,IF(K418="LAYO",PR!$AF416,IF(K418="LEADWAY",PR!$AG416,IF(K418="LHV",PR!$AH416,IF(K418="MANOLA",PR!$AI416,IF(K418="MARCSON",PR!$AJ416,IF(K418="M&amp;B",PR!$AK416,IF(K418="MTRUST",PR!$AL416,IF(K418="MWORLD",PR!$AM416,IF(K418="MEGA",PR!$AN416,IF(K418="MICRONOVA",PR!$AO416,IF(K418="MFLASH",PR!$AP416,IF(K418="MORISON",PR!$AQ416,IF(K418="NEMEL",PR!$AR416,IF(K418="NHP",PR!$AS416,IF(K418="NHC",PR!$AT416,IF(K418="OLEAF",PR!$AU416,IF(K418="OCULUS",PR!$AV416,IF(K418="PACIFIC",PR!$AW416,IF(K418="PHAMATEX",PR!$AX416,IF(K418="PETHICS",PR!$AY416,IF(K418="PHILIPS",PR!$AZ416,IF(K418="RANBAXY",PR!$BA416,IF(K418="REALS",PR!$BB416,IF(K418="ROYAL",PR!$BC416,IF(K418="SAM",PR!$BD416,IF(K418="SEAGREEN",PR!$BE416,IF(K418="SKG",PR!$BF416,IF(K418="TAH",PR!$BG416,IF(K418="TAYLEK",PR!$BH416,IF(K418="TEMITA",PR!$BI416,IF(K418="THL",PR!$BJ416,IF(K418="UBASTIC",PR!$BK416,IF(K418="UNION",PR!$BL416,IF(K418="UNIQUE",PR!$BM416,IF(K418="VIXA",PR!$BN416,IF(K418="WWCV",PR!$BO416,IF(K418="ZOLON",PR!$BP416,"-")))))))))))))))))))))))))))))))))))))))))))))))))))))))))))))))))</f>
        <v>0</v>
      </c>
    </row>
    <row r="419" spans="1:12" ht="18.75" x14ac:dyDescent="0.3">
      <c r="A419" s="430" t="str">
        <f>PR!A417</f>
        <v>LOT 8</v>
      </c>
      <c r="B419" s="15" t="str">
        <f>PR!B417</f>
        <v>OXYTOCICS/ANAESTHETICS/IMMUNOLOGICALS</v>
      </c>
      <c r="C419" s="113">
        <f>PR!D417</f>
        <v>0</v>
      </c>
      <c r="D419" s="113">
        <f>PR!C417</f>
        <v>0</v>
      </c>
      <c r="E419" s="108" t="str">
        <f>IF(F419="ALPHA",PR!$E417,IF(F419="ASSENE",PR!$F417,IF(F419="BIOFEM",PR!$G417,IF(F419="BIOMED",PR!$H417,IF(F419="CHI",PR!$I417,IF(F419="CLARION",PR!$J417,IF(F419="CODIX",PR!$K417,IF(F419="COSMADE",PR!$L417,IF(F419="SANCON",PR!$M417,IF(F419="DEVON",PR!$N417,IF(F419="DORTEMAG",PR!$O417,IF(F419="DGF",PR!$P417,IF(F419="DYNAMIC",PR!$Q417,IF(F419="EMZOR",PR!$R417,IF(F419="EUMATT",PR!$S417,IF(F419="FIDSON",PR!$T417,IF(F419="FCGLOBAL",PR!$U417,IF(F419="GENEITH",PR!$V417,IF(F419="GINOS",PR!$W417,IF(F419="GSK",PR!$X417,IF(F419="GLOBORG",PR!$Y417,IF(F419="GOODNEWS",PR!$Z417,IF(F419="GREENLIFE",PR!$AA417,IF(F419="HLINE",PR!$AB417,IF(F419="ROTECH",PR!$AC417,IF(F419="ISN",PR!$AD417,IF(F419="JAWA",PR!$AE417,IF(F419="LAYO",PR!$AF417,IF(F419="LEADWAY",PR!$AG417,IF(F419="LHV",PR!$AH417,IF(F419="MANOLA",PR!$AI417,IF(F419="MARCSON",PR!$AJ417,IF(F419="M&amp;B",PR!$AK417,IF(F419="MTRUST",PR!$AL417,IF(F419="MWORLD",PR!$AM417,IF(F419="MEGA",PR!$AN417,IF(F419="MICRONOVA",PR!$AO417,IF(F419="MFLASH",PR!$AP417,IF(F419="MORISON",PR!$AQ417,IF(F419="NEMEL",PR!$AR417,IF(F419="NHP",PR!$AS417,IF(F419="NHC",PR!$AT417,IF(F419="OLEAF",PR!$AU417,IF(F419="OCULUS",PR!$AV417,IF(F419="PACIFIC",PR!$AW417,IF(F419="PHAMATEX",PR!$AX417,IF(F419="PETHICS",PR!$AY417,IF(F419="PHILIPS",PR!$AZ417,IF(F419="RANBAXY",PR!$BA417,IF(F419="REALS",PR!$BB417,IF(F419="ROYAL",PR!$BC417,IF(F419="SAM",PR!$BD417,IF(F419="SEAGREEN",PR!$BE417,IF(F419="SKG",PR!$BF417,IF(F419="TAH",PR!$BG417,IF(F419="TAYLEK",PR!$BH417,IF(F419="TEMITA",PR!$BI417,IF(F419="THL",PR!$BJ417,IF(F419="UBASTIC",PR!$BK417,IF(F419="UNION",PR!$BL417,IF(F419="UNIQUE",PR!$BM417,IF(F419="VIXA",PR!$BN417,IF(F419="WWCV",PR!$BO417,IF(F419="ZOLON",PR!$BP417,"-"))))))))))))))))))))))))))))))))))))))))))))))))))))))))))))))))</f>
        <v>-</v>
      </c>
      <c r="F419" s="102"/>
      <c r="G419" s="108" t="str">
        <f>IF(H419="ALPHA",PR!$E417,IF(H419="ASSENE",PR!$F417,IF(H419="BIOFEM",PR!$G417,IF(H419="BIOMED",PR!$H417,IF(H419="CHI",PR!$I417,IF(H419="CLARION",PR!$J417,IF(H419="CODIX",PR!$K417,IF(H419="COSMADE",PR!$L417,IF(H419="SANCON",PR!$M417,IF(H419="DEVON",PR!$N417,IF(H419="DORTEMAG",PR!$O417,IF(H419="DGF",PR!$P417,IF(H419="DYNAMIC",PR!$Q417,IF(H419="EMZOR",PR!$R417,IF(H419="EUMATT",PR!$S417,IF(H419="FIDSON",PR!$T417,IF(H419="FCGLOBAL",PR!$U417,IF(H419="GENEITH",PR!$V417,IF(H419="GINOS",PR!$W417,IF(H419="GSK",PR!$X417,IF(H419="GLOBORG",PR!$Y417,IF(H419="GOODNEWS",PR!$Z417,IF(H419="GREENLIFE",PR!$AA417,IF(H419="HLINE",PR!$AB417,IF(H419="ROTECH",PR!$AC417,IF(H419="ISN",PR!$AD417,IF(H419="JAWA",PR!$AE417,IF(H419="LAYO",PR!$AF417,IF(H419="LEADWAY",PR!$AG417,IF(H419="LHV",PR!$AH417,IF(H419="MANOLA",PR!$AI417,IF(H419="MARCSON",PR!$AJ417,IF(H419="M&amp;B",PR!$AK417,IF(H419="MTRUST",PR!$AL417,IF(H419="MWORLD",PR!$AM417,IF(H419="MEGA",PR!$AN417,IF(H419="MICRONOVA",PR!$AO417,IF(H419="MFLASH",PR!$AP417,IF(H419="MORISON",PR!$AQ417,IF(H419="NEMEL",PR!$AR417,IF(H419="NHP",PR!$AS417,IF(H419="NHC",PR!$AT417,IF(H419="OLEAF",PR!$AU417,IF(H419="OCULUS",PR!$AV417,IF(H419="PACIFIC",PR!$AW417,IF(H419="PHAMATEX",PR!$AX417,IF(H419="PETHICS",PR!$AY417,IF(H419="PHILIPS",PR!$AZ417,IF(H419="RANBAXY",PR!$BA417,IF(H419="REALS",PR!$BB417,IF(H419="ROYAL",PR!$BC417,IF(H419="SAM",PR!$BD417,IF(H419="SEAGREEN",PR!$BE417,IF(H419="SKG",PR!$BF417,IF(H419="TAH",PR!$BG417,IF(H419="TAYLEK",PR!$BH417,IF(H419="TEMITA",PR!$BI417,IF(H419="THL",PR!$BJ417,IF(H419="UBASTIC",PR!$BK417,IF(H419="UNION",PR!$BL417,IF(H419="UNIQUE",PR!$BM417,IF(H419="VIXA",PR!$BN417,IF(H419="WWCV",PR!$BO417,IF(H419="ZOLON",PR!$BP417,"-"))))))))))))))))))))))))))))))))))))))))))))))))))))))))))))))))</f>
        <v>-</v>
      </c>
      <c r="H419" s="102"/>
      <c r="I419" s="108" t="str">
        <f>IF(J419="ALPHA",PR!$E417,IF(J419="ASSENE",PR!$F417,IF(J419="BIOFEM",PR!$G417,IF(J419="BIOMED",PR!$H417,IF(J419="CHI",PR!$I417,IF(J419="CLARION",PR!$J417,IF(J419="CODIX",PR!$K417,IF(J419="COSMADE",PR!$L417,IF(J419="SANCON",PR!$M417,IF(J419="DEVON",PR!$N417,IF(J419="DORTEMAG",PR!$O417,IF(J419="DGF",PR!$P417,IF(J419="DYNAMIC",PR!$Q417,IF(J419="EMZOR",PR!$R417,IF(J419="EUMATT",PR!$S417,IF(J419="FIDSON",PR!$T417,IF(J419="FCGLOBAL",PR!$U417,IF(J419="GENEITH",PR!$V417,IF(J419="GINOS",PR!$W417,IF(J419="GSK",PR!$X417,IF(J419="GLOBORG",PR!$Y417,IF(J419="GOODNEWS",PR!$Z417,IF(J419="GREENLIFE",PR!$AA417,IF(J419="HLINE",PR!$AB417,IF(J419="ROTECH",PR!$AC417,IF(J419="ISN",PR!$AD417,IF(J419="JAWA",PR!$AE417,IF(J419="LAYO",PR!$AF417,IF(J419="LEADWAY",PR!$AG417,IF(J419="LHV",PR!$AH417,IF(J419="MANOLA",PR!$AI417,IF(J419="MARCSON",PR!$AJ417,IF(J419="M&amp;B",PR!$AK417,IF(J419="MTRUST",PR!$AL417,IF(J419="MWORLD",PR!$AM417,IF(J419="MEGA",PR!$AN417,IF(J419="MICRONOVA",PR!$AO417,IF(J419="MFLASH",PR!$AP417,IF(J419="MORISON",PR!$AQ417,IF(J419="NEMEL",PR!$AR417,IF(J419="NHP",PR!$AS417,IF(J419="NHC",PR!$AT417,IF(J419="OLEAF",PR!$AU417,IF(J419="OCULUS",PR!$AV417,IF(J419="PACIFIC",PR!$AW417,IF(J419="PHAMATEX",PR!$AX417,IF(J419="PETHICS",PR!$AY417,IF(J419="PHILIPS",PR!$AZ417,IF(J419="RANBAXY",PR!$BA417,IF(J419="REALS",PR!$BB417,IF(J419="ROYAL",PR!$BC417,IF(J419="SAM",PR!$BD417,IF(J419="SEAGREEN",PR!$BE417,IF(J419="SKG",PR!$BF417,IF(J419="TAH",PR!$BG417,IF(J419="TAYLEK",PR!$BH417,IF(J419="TEMITA",PR!$BI417,IF(J419="THL",PR!$BJ417,IF(J419="UBASTIC",PR!$BK417,IF(J419="UNION",PR!$BL417,IF(J419="UNIQUE",PR!$BM417,IF(J419="VIXA",PR!$BN417,IF(J419="WWCV",PR!$BO417,IF(J419="ZOLON",PR!$BP417,"-"))))))))))))))))))))))))))))))))))))))))))))))))))))))))))))))))</f>
        <v>-</v>
      </c>
      <c r="J419" s="102"/>
      <c r="K419" s="433"/>
      <c r="L419" s="183" t="b">
        <f>IF(K419&gt;0,IF(K419="ALPHA",PR!$E417,IF(K419="ASSENE",PR!$F417,IF(K419="BIOFEM",PR!$G417,IF(K419="BIOMED",PR!$H417,IF(K419="CHI",PR!$I417,IF(K419="CLARION",PR!$J417,IF(K419="CODIX",PR!$K417,IF(K419="COSMADE",PR!$L417,IF(K419="SANCON",PR!$M417,IF(K419="DEVON",PR!$N417,IF(K419="DORTEMAG",PR!$O417,IF(K419="DGF",PR!$P417,IF(K419="DYNAMIC",PR!$Q417,IF(K419="EMZOR",PR!$R417,IF(K419="EUMATT",PR!$S417,IF(K419="FIDSON",PR!$T417,IF(K419="FCGLOBAL",PR!$U417,IF(K419="GENEITH",PR!$V417,IF(K419="GINOS",PR!$W417,IF(K419="GSK",PR!$X417,IF(K419="GLOBORG",PR!$Y417,IF(K419="GOODNEWS",PR!$Z417,IF(K419="GREENLIFE",PR!$AA417,IF(K419="HLINE",PR!$AB417,IF(K419="ROTECH",PR!$AC417,IF(K419="ISN",PR!$AD417,IF(K419="JAWA",PR!$AE417,IF(K419="LAYO",PR!$AF417,IF(K419="LEADWAY",PR!$AG417,IF(K419="LHV",PR!$AH417,IF(K419="MANOLA",PR!$AI417,IF(K419="MARCSON",PR!$AJ417,IF(K419="M&amp;B",PR!$AK417,IF(K419="MTRUST",PR!$AL417,IF(K419="MWORLD",PR!$AM417,IF(K419="MEGA",PR!$AN417,IF(K419="MICRONOVA",PR!$AO417,IF(K419="MFLASH",PR!$AP417,IF(K419="MORISON",PR!$AQ417,IF(K419="NEMEL",PR!$AR417,IF(K419="NHP",PR!$AS417,IF(K419="NHC",PR!$AT417,IF(K419="OLEAF",PR!$AU417,IF(K419="OCULUS",PR!$AV417,IF(K419="PACIFIC",PR!$AW417,IF(K419="PHAMATEX",PR!$AX417,IF(K419="PETHICS",PR!$AY417,IF(K419="PHILIPS",PR!$AZ417,IF(K419="RANBAXY",PR!$BA417,IF(K419="REALS",PR!$BB417,IF(K419="ROYAL",PR!$BC417,IF(K419="SAM",PR!$BD417,IF(K419="SEAGREEN",PR!$BE417,IF(K419="SKG",PR!$BF417,IF(K419="TAH",PR!$BG417,IF(K419="TAYLEK",PR!$BH417,IF(K419="TEMITA",PR!$BI417,IF(K419="THL",PR!$BJ417,IF(K419="UBASTIC",PR!$BK417,IF(K419="UNION",PR!$BL417,IF(K419="UNIQUE",PR!$BM417,IF(K419="VIXA",PR!$BN417,IF(K419="WWCV",PR!$BO417,IF(K419="ZOLON",PR!$BP417,"-")))))))))))))))))))))))))))))))))))))))))))))))))))))))))))))))))</f>
        <v>0</v>
      </c>
    </row>
    <row r="420" spans="1:12" ht="18.75" x14ac:dyDescent="0.3">
      <c r="A420" s="430">
        <f>PR!A418</f>
        <v>0</v>
      </c>
      <c r="B420" s="15" t="str">
        <f>PR!B418</f>
        <v>OBSTETRICS/GYNAECOLOGICAL DRUGS</v>
      </c>
      <c r="C420" s="113">
        <f>PR!D418</f>
        <v>0</v>
      </c>
      <c r="D420" s="113">
        <f>PR!C418</f>
        <v>0</v>
      </c>
      <c r="E420" s="108" t="str">
        <f>IF(F420="ALPHA",PR!$E418,IF(F420="ASSENE",PR!$F418,IF(F420="BIOFEM",PR!$G418,IF(F420="BIOMED",PR!$H418,IF(F420="CHI",PR!$I418,IF(F420="CLARION",PR!$J418,IF(F420="CODIX",PR!$K418,IF(F420="COSMADE",PR!$L418,IF(F420="SANCON",PR!$M418,IF(F420="DEVON",PR!$N418,IF(F420="DORTEMAG",PR!$O418,IF(F420="DGF",PR!$P418,IF(F420="DYNAMIC",PR!$Q418,IF(F420="EMZOR",PR!$R418,IF(F420="EUMATT",PR!$S418,IF(F420="FIDSON",PR!$T418,IF(F420="FCGLOBAL",PR!$U418,IF(F420="GENEITH",PR!$V418,IF(F420="GINOS",PR!$W418,IF(F420="GSK",PR!$X418,IF(F420="GLOBORG",PR!$Y418,IF(F420="GOODNEWS",PR!$Z418,IF(F420="GREENLIFE",PR!$AA418,IF(F420="HLINE",PR!$AB418,IF(F420="ROTECH",PR!$AC418,IF(F420="ISN",PR!$AD418,IF(F420="JAWA",PR!$AE418,IF(F420="LAYO",PR!$AF418,IF(F420="LEADWAY",PR!$AG418,IF(F420="LHV",PR!$AH418,IF(F420="MANOLA",PR!$AI418,IF(F420="MARCSON",PR!$AJ418,IF(F420="M&amp;B",PR!$AK418,IF(F420="MTRUST",PR!$AL418,IF(F420="MWORLD",PR!$AM418,IF(F420="MEGA",PR!$AN418,IF(F420="MICRONOVA",PR!$AO418,IF(F420="MFLASH",PR!$AP418,IF(F420="MORISON",PR!$AQ418,IF(F420="NEMEL",PR!$AR418,IF(F420="NHP",PR!$AS418,IF(F420="NHC",PR!$AT418,IF(F420="OLEAF",PR!$AU418,IF(F420="OCULUS",PR!$AV418,IF(F420="PACIFIC",PR!$AW418,IF(F420="PHAMATEX",PR!$AX418,IF(F420="PETHICS",PR!$AY418,IF(F420="PHILIPS",PR!$AZ418,IF(F420="RANBAXY",PR!$BA418,IF(F420="REALS",PR!$BB418,IF(F420="ROYAL",PR!$BC418,IF(F420="SAM",PR!$BD418,IF(F420="SEAGREEN",PR!$BE418,IF(F420="SKG",PR!$BF418,IF(F420="TAH",PR!$BG418,IF(F420="TAYLEK",PR!$BH418,IF(F420="TEMITA",PR!$BI418,IF(F420="THL",PR!$BJ418,IF(F420="UBASTIC",PR!$BK418,IF(F420="UNION",PR!$BL418,IF(F420="UNIQUE",PR!$BM418,IF(F420="VIXA",PR!$BN418,IF(F420="WWCV",PR!$BO418,IF(F420="ZOLON",PR!$BP418,"-"))))))))))))))))))))))))))))))))))))))))))))))))))))))))))))))))</f>
        <v>-</v>
      </c>
      <c r="F420" s="102"/>
      <c r="G420" s="108" t="str">
        <f>IF(H420="ALPHA",PR!$E418,IF(H420="ASSENE",PR!$F418,IF(H420="BIOFEM",PR!$G418,IF(H420="BIOMED",PR!$H418,IF(H420="CHI",PR!$I418,IF(H420="CLARION",PR!$J418,IF(H420="CODIX",PR!$K418,IF(H420="COSMADE",PR!$L418,IF(H420="SANCON",PR!$M418,IF(H420="DEVON",PR!$N418,IF(H420="DORTEMAG",PR!$O418,IF(H420="DGF",PR!$P418,IF(H420="DYNAMIC",PR!$Q418,IF(H420="EMZOR",PR!$R418,IF(H420="EUMATT",PR!$S418,IF(H420="FIDSON",PR!$T418,IF(H420="FCGLOBAL",PR!$U418,IF(H420="GENEITH",PR!$V418,IF(H420="GINOS",PR!$W418,IF(H420="GSK",PR!$X418,IF(H420="GLOBORG",PR!$Y418,IF(H420="GOODNEWS",PR!$Z418,IF(H420="GREENLIFE",PR!$AA418,IF(H420="HLINE",PR!$AB418,IF(H420="ROTECH",PR!$AC418,IF(H420="ISN",PR!$AD418,IF(H420="JAWA",PR!$AE418,IF(H420="LAYO",PR!$AF418,IF(H420="LEADWAY",PR!$AG418,IF(H420="LHV",PR!$AH418,IF(H420="MANOLA",PR!$AI418,IF(H420="MARCSON",PR!$AJ418,IF(H420="M&amp;B",PR!$AK418,IF(H420="MTRUST",PR!$AL418,IF(H420="MWORLD",PR!$AM418,IF(H420="MEGA",PR!$AN418,IF(H420="MICRONOVA",PR!$AO418,IF(H420="MFLASH",PR!$AP418,IF(H420="MORISON",PR!$AQ418,IF(H420="NEMEL",PR!$AR418,IF(H420="NHP",PR!$AS418,IF(H420="NHC",PR!$AT418,IF(H420="OLEAF",PR!$AU418,IF(H420="OCULUS",PR!$AV418,IF(H420="PACIFIC",PR!$AW418,IF(H420="PHAMATEX",PR!$AX418,IF(H420="PETHICS",PR!$AY418,IF(H420="PHILIPS",PR!$AZ418,IF(H420="RANBAXY",PR!$BA418,IF(H420="REALS",PR!$BB418,IF(H420="ROYAL",PR!$BC418,IF(H420="SAM",PR!$BD418,IF(H420="SEAGREEN",PR!$BE418,IF(H420="SKG",PR!$BF418,IF(H420="TAH",PR!$BG418,IF(H420="TAYLEK",PR!$BH418,IF(H420="TEMITA",PR!$BI418,IF(H420="THL",PR!$BJ418,IF(H420="UBASTIC",PR!$BK418,IF(H420="UNION",PR!$BL418,IF(H420="UNIQUE",PR!$BM418,IF(H420="VIXA",PR!$BN418,IF(H420="WWCV",PR!$BO418,IF(H420="ZOLON",PR!$BP418,"-"))))))))))))))))))))))))))))))))))))))))))))))))))))))))))))))))</f>
        <v>-</v>
      </c>
      <c r="H420" s="102"/>
      <c r="I420" s="108" t="str">
        <f>IF(J420="ALPHA",PR!$E418,IF(J420="ASSENE",PR!$F418,IF(J420="BIOFEM",PR!$G418,IF(J420="BIOMED",PR!$H418,IF(J420="CHI",PR!$I418,IF(J420="CLARION",PR!$J418,IF(J420="CODIX",PR!$K418,IF(J420="COSMADE",PR!$L418,IF(J420="SANCON",PR!$M418,IF(J420="DEVON",PR!$N418,IF(J420="DORTEMAG",PR!$O418,IF(J420="DGF",PR!$P418,IF(J420="DYNAMIC",PR!$Q418,IF(J420="EMZOR",PR!$R418,IF(J420="EUMATT",PR!$S418,IF(J420="FIDSON",PR!$T418,IF(J420="FCGLOBAL",PR!$U418,IF(J420="GENEITH",PR!$V418,IF(J420="GINOS",PR!$W418,IF(J420="GSK",PR!$X418,IF(J420="GLOBORG",PR!$Y418,IF(J420="GOODNEWS",PR!$Z418,IF(J420="GREENLIFE",PR!$AA418,IF(J420="HLINE",PR!$AB418,IF(J420="ROTECH",PR!$AC418,IF(J420="ISN",PR!$AD418,IF(J420="JAWA",PR!$AE418,IF(J420="LAYO",PR!$AF418,IF(J420="LEADWAY",PR!$AG418,IF(J420="LHV",PR!$AH418,IF(J420="MANOLA",PR!$AI418,IF(J420="MARCSON",PR!$AJ418,IF(J420="M&amp;B",PR!$AK418,IF(J420="MTRUST",PR!$AL418,IF(J420="MWORLD",PR!$AM418,IF(J420="MEGA",PR!$AN418,IF(J420="MICRONOVA",PR!$AO418,IF(J420="MFLASH",PR!$AP418,IF(J420="MORISON",PR!$AQ418,IF(J420="NEMEL",PR!$AR418,IF(J420="NHP",PR!$AS418,IF(J420="NHC",PR!$AT418,IF(J420="OLEAF",PR!$AU418,IF(J420="OCULUS",PR!$AV418,IF(J420="PACIFIC",PR!$AW418,IF(J420="PHAMATEX",PR!$AX418,IF(J420="PETHICS",PR!$AY418,IF(J420="PHILIPS",PR!$AZ418,IF(J420="RANBAXY",PR!$BA418,IF(J420="REALS",PR!$BB418,IF(J420="ROYAL",PR!$BC418,IF(J420="SAM",PR!$BD418,IF(J420="SEAGREEN",PR!$BE418,IF(J420="SKG",PR!$BF418,IF(J420="TAH",PR!$BG418,IF(J420="TAYLEK",PR!$BH418,IF(J420="TEMITA",PR!$BI418,IF(J420="THL",PR!$BJ418,IF(J420="UBASTIC",PR!$BK418,IF(J420="UNION",PR!$BL418,IF(J420="UNIQUE",PR!$BM418,IF(J420="VIXA",PR!$BN418,IF(J420="WWCV",PR!$BO418,IF(J420="ZOLON",PR!$BP418,"-"))))))))))))))))))))))))))))))))))))))))))))))))))))))))))))))))</f>
        <v>-</v>
      </c>
      <c r="J420" s="102"/>
      <c r="K420" s="433"/>
      <c r="L420" s="183" t="b">
        <f>IF(K420&gt;0,IF(K420="ALPHA",PR!$E418,IF(K420="ASSENE",PR!$F418,IF(K420="BIOFEM",PR!$G418,IF(K420="BIOMED",PR!$H418,IF(K420="CHI",PR!$I418,IF(K420="CLARION",PR!$J418,IF(K420="CODIX",PR!$K418,IF(K420="COSMADE",PR!$L418,IF(K420="SANCON",PR!$M418,IF(K420="DEVON",PR!$N418,IF(K420="DORTEMAG",PR!$O418,IF(K420="DGF",PR!$P418,IF(K420="DYNAMIC",PR!$Q418,IF(K420="EMZOR",PR!$R418,IF(K420="EUMATT",PR!$S418,IF(K420="FIDSON",PR!$T418,IF(K420="FCGLOBAL",PR!$U418,IF(K420="GENEITH",PR!$V418,IF(K420="GINOS",PR!$W418,IF(K420="GSK",PR!$X418,IF(K420="GLOBORG",PR!$Y418,IF(K420="GOODNEWS",PR!$Z418,IF(K420="GREENLIFE",PR!$AA418,IF(K420="HLINE",PR!$AB418,IF(K420="ROTECH",PR!$AC418,IF(K420="ISN",PR!$AD418,IF(K420="JAWA",PR!$AE418,IF(K420="LAYO",PR!$AF418,IF(K420="LEADWAY",PR!$AG418,IF(K420="LHV",PR!$AH418,IF(K420="MANOLA",PR!$AI418,IF(K420="MARCSON",PR!$AJ418,IF(K420="M&amp;B",PR!$AK418,IF(K420="MTRUST",PR!$AL418,IF(K420="MWORLD",PR!$AM418,IF(K420="MEGA",PR!$AN418,IF(K420="MICRONOVA",PR!$AO418,IF(K420="MFLASH",PR!$AP418,IF(K420="MORISON",PR!$AQ418,IF(K420="NEMEL",PR!$AR418,IF(K420="NHP",PR!$AS418,IF(K420="NHC",PR!$AT418,IF(K420="OLEAF",PR!$AU418,IF(K420="OCULUS",PR!$AV418,IF(K420="PACIFIC",PR!$AW418,IF(K420="PHAMATEX",PR!$AX418,IF(K420="PETHICS",PR!$AY418,IF(K420="PHILIPS",PR!$AZ418,IF(K420="RANBAXY",PR!$BA418,IF(K420="REALS",PR!$BB418,IF(K420="ROYAL",PR!$BC418,IF(K420="SAM",PR!$BD418,IF(K420="SEAGREEN",PR!$BE418,IF(K420="SKG",PR!$BF418,IF(K420="TAH",PR!$BG418,IF(K420="TAYLEK",PR!$BH418,IF(K420="TEMITA",PR!$BI418,IF(K420="THL",PR!$BJ418,IF(K420="UBASTIC",PR!$BK418,IF(K420="UNION",PR!$BL418,IF(K420="UNIQUE",PR!$BM418,IF(K420="VIXA",PR!$BN418,IF(K420="WWCV",PR!$BO418,IF(K420="ZOLON",PR!$BP418,"-")))))))))))))))))))))))))))))))))))))))))))))))))))))))))))))))))</f>
        <v>0</v>
      </c>
    </row>
    <row r="421" spans="1:12" ht="18.75" x14ac:dyDescent="0.3">
      <c r="A421" s="430">
        <f>PR!A419</f>
        <v>381</v>
      </c>
      <c r="B421" s="15" t="str">
        <f>PR!B419</f>
        <v>ADDYZOA CAP</v>
      </c>
      <c r="C421" s="113">
        <f>PR!D419</f>
        <v>20</v>
      </c>
      <c r="D421" s="113">
        <f>PR!C419</f>
        <v>80</v>
      </c>
      <c r="E421" s="108">
        <f>IF(F421="ALPHA",PR!$E419,IF(F421="ASSENE",PR!$F419,IF(F421="BIOFEM",PR!$G419,IF(F421="BIOMED",PR!$H419,IF(F421="CHI",PR!$I419,IF(F421="CLARION",PR!$J419,IF(F421="CODIX",PR!$K419,IF(F421="COSMADE",PR!$L419,IF(F421="SANCON",PR!$M419,IF(F421="DEVON",PR!$N419,IF(F421="DORTEMAG",PR!$O419,IF(F421="DGF",PR!$P419,IF(F421="DYNAMIC",PR!$Q419,IF(F421="EMZOR",PR!$R419,IF(F421="EUMATT",PR!$S419,IF(F421="FIDSON",PR!$T419,IF(F421="FCGLOBAL",PR!$U419,IF(F421="GENEITH",PR!$V419,IF(F421="GINOS",PR!$W419,IF(F421="GSK",PR!$X419,IF(F421="GLOBORG",PR!$Y419,IF(F421="GOODNEWS",PR!$Z419,IF(F421="GREENLIFE",PR!$AA419,IF(F421="HLINE",PR!$AB419,IF(F421="ROTECH",PR!$AC419,IF(F421="ISN",PR!$AD419,IF(F421="JAWA",PR!$AE419,IF(F421="LAYO",PR!$AF419,IF(F421="LEADWAY",PR!$AG419,IF(F421="LHV",PR!$AH419,IF(F421="MANOLA",PR!$AI419,IF(F421="MARCSON",PR!$AJ419,IF(F421="M&amp;B",PR!$AK419,IF(F421="MTRUST",PR!$AL419,IF(F421="MWORLD",PR!$AM419,IF(F421="MEGA",PR!$AN419,IF(F421="MICRONOVA",PR!$AO419,IF(F421="MFLASH",PR!$AP419,IF(F421="MORISON",PR!$AQ419,IF(F421="NEMEL",PR!$AR419,IF(F421="NHP",PR!$AS419,IF(F421="NHC",PR!$AT419,IF(F421="OLEAF",PR!$AU419,IF(F421="OCULUS",PR!$AV419,IF(F421="PACIFIC",PR!$AW419,IF(F421="PHAMATEX",PR!$AX419,IF(F421="PETHICS",PR!$AY419,IF(F421="PHILIPS",PR!$AZ419,IF(F421="RANBAXY",PR!$BA419,IF(F421="REALS",PR!$BB419,IF(F421="ROYAL",PR!$BC419,IF(F421="SAM",PR!$BD419,IF(F421="SEAGREEN",PR!$BE419,IF(F421="SKG",PR!$BF419,IF(F421="TAH",PR!$BG419,IF(F421="TAYLEK",PR!$BH419,IF(F421="TEMITA",PR!$BI419,IF(F421="THL",PR!$BJ419,IF(F421="UBASTIC",PR!$BK419,IF(F421="UNION",PR!$BL419,IF(F421="UNIQUE",PR!$BM419,IF(F421="VIXA",PR!$BN419,IF(F421="WWCV",PR!$BO419,IF(F421="ZOLON",PR!$BP419,"-"))))))))))))))))))))))))))))))))))))))))))))))))))))))))))))))))</f>
        <v>2500</v>
      </c>
      <c r="F421" s="102" t="str">
        <f>EV!L541</f>
        <v>EUMATT</v>
      </c>
      <c r="G421" s="108">
        <f>IF(H421="ALPHA",PR!$E419,IF(H421="ASSENE",PR!$F419,IF(H421="BIOFEM",PR!$G419,IF(H421="BIOMED",PR!$H419,IF(H421="CHI",PR!$I419,IF(H421="CLARION",PR!$J419,IF(H421="CODIX",PR!$K419,IF(H421="COSMADE",PR!$L419,IF(H421="SANCON",PR!$M419,IF(H421="DEVON",PR!$N419,IF(H421="DORTEMAG",PR!$O419,IF(H421="DGF",PR!$P419,IF(H421="DYNAMIC",PR!$Q419,IF(H421="EMZOR",PR!$R419,IF(H421="EUMATT",PR!$S419,IF(H421="FIDSON",PR!$T419,IF(H421="FCGLOBAL",PR!$U419,IF(H421="GENEITH",PR!$V419,IF(H421="GINOS",PR!$W419,IF(H421="GSK",PR!$X419,IF(H421="GLOBORG",PR!$Y419,IF(H421="GOODNEWS",PR!$Z419,IF(H421="GREENLIFE",PR!$AA419,IF(H421="HLINE",PR!$AB419,IF(H421="ROTECH",PR!$AC419,IF(H421="ISN",PR!$AD419,IF(H421="JAWA",PR!$AE419,IF(H421="LAYO",PR!$AF419,IF(H421="LEADWAY",PR!$AG419,IF(H421="LHV",PR!$AH419,IF(H421="MANOLA",PR!$AI419,IF(H421="MARCSON",PR!$AJ419,IF(H421="M&amp;B",PR!$AK419,IF(H421="MTRUST",PR!$AL419,IF(H421="MWORLD",PR!$AM419,IF(H421="MEGA",PR!$AN419,IF(H421="MICRONOVA",PR!$AO419,IF(H421="MFLASH",PR!$AP419,IF(H421="MORISON",PR!$AQ419,IF(H421="NEMEL",PR!$AR419,IF(H421="NHP",PR!$AS419,IF(H421="NHC",PR!$AT419,IF(H421="OLEAF",PR!$AU419,IF(H421="OCULUS",PR!$AV419,IF(H421="PACIFIC",PR!$AW419,IF(H421="PHAMATEX",PR!$AX419,IF(H421="PETHICS",PR!$AY419,IF(H421="PHILIPS",PR!$AZ419,IF(H421="RANBAXY",PR!$BA419,IF(H421="REALS",PR!$BB419,IF(H421="ROYAL",PR!$BC419,IF(H421="SAM",PR!$BD419,IF(H421="SEAGREEN",PR!$BE419,IF(H421="SKG",PR!$BF419,IF(H421="TAH",PR!$BG419,IF(H421="TAYLEK",PR!$BH419,IF(H421="TEMITA",PR!$BI419,IF(H421="THL",PR!$BJ419,IF(H421="UBASTIC",PR!$BK419,IF(H421="UNION",PR!$BL419,IF(H421="UNIQUE",PR!$BM419,IF(H421="VIXA",PR!$BN419,IF(H421="WWCV",PR!$BO419,IF(H421="ZOLON",PR!$BP419,"-"))))))))))))))))))))))))))))))))))))))))))))))))))))))))))))))))</f>
        <v>2500</v>
      </c>
      <c r="H421" s="102" t="str">
        <f>EV!M541</f>
        <v>FIDSON</v>
      </c>
      <c r="I421" s="108" t="str">
        <f>IF(J421="ALPHA",PR!$E419,IF(J421="ASSENE",PR!$F419,IF(J421="BIOFEM",PR!$G419,IF(J421="BIOMED",PR!$H419,IF(J421="CHI",PR!$I419,IF(J421="CLARION",PR!$J419,IF(J421="CODIX",PR!$K419,IF(J421="COSMADE",PR!$L419,IF(J421="SANCON",PR!$M419,IF(J421="DEVON",PR!$N419,IF(J421="DORTEMAG",PR!$O419,IF(J421="DGF",PR!$P419,IF(J421="DYNAMIC",PR!$Q419,IF(J421="EMZOR",PR!$R419,IF(J421="EUMATT",PR!$S419,IF(J421="FIDSON",PR!$T419,IF(J421="FCGLOBAL",PR!$U419,IF(J421="GENEITH",PR!$V419,IF(J421="GINOS",PR!$W419,IF(J421="GSK",PR!$X419,IF(J421="GLOBORG",PR!$Y419,IF(J421="GOODNEWS",PR!$Z419,IF(J421="GREENLIFE",PR!$AA419,IF(J421="HLINE",PR!$AB419,IF(J421="ROTECH",PR!$AC419,IF(J421="ISN",PR!$AD419,IF(J421="JAWA",PR!$AE419,IF(J421="LAYO",PR!$AF419,IF(J421="LEADWAY",PR!$AG419,IF(J421="LHV",PR!$AH419,IF(J421="MANOLA",PR!$AI419,IF(J421="MARCSON",PR!$AJ419,IF(J421="M&amp;B",PR!$AK419,IF(J421="MTRUST",PR!$AL419,IF(J421="MWORLD",PR!$AM419,IF(J421="MEGA",PR!$AN419,IF(J421="MICRONOVA",PR!$AO419,IF(J421="MFLASH",PR!$AP419,IF(J421="MORISON",PR!$AQ419,IF(J421="NEMEL",PR!$AR419,IF(J421="NHP",PR!$AS419,IF(J421="NHC",PR!$AT419,IF(J421="OLEAF",PR!$AU419,IF(J421="OCULUS",PR!$AV419,IF(J421="PACIFIC",PR!$AW419,IF(J421="PHAMATEX",PR!$AX419,IF(J421="PETHICS",PR!$AY419,IF(J421="PHILIPS",PR!$AZ419,IF(J421="RANBAXY",PR!$BA419,IF(J421="REALS",PR!$BB419,IF(J421="ROYAL",PR!$BC419,IF(J421="SAM",PR!$BD419,IF(J421="SEAGREEN",PR!$BE419,IF(J421="SKG",PR!$BF419,IF(J421="TAH",PR!$BG419,IF(J421="TAYLEK",PR!$BH419,IF(J421="TEMITA",PR!$BI419,IF(J421="THL",PR!$BJ419,IF(J421="UBASTIC",PR!$BK419,IF(J421="UNION",PR!$BL419,IF(J421="UNIQUE",PR!$BM419,IF(J421="VIXA",PR!$BN419,IF(J421="WWCV",PR!$BO419,IF(J421="ZOLON",PR!$BP419,"-"))))))))))))))))))))))))))))))))))))))))))))))))))))))))))))))))</f>
        <v>-</v>
      </c>
      <c r="J421" s="102">
        <f>EV!N541</f>
        <v>0</v>
      </c>
      <c r="K421" s="433" t="s">
        <v>631</v>
      </c>
      <c r="L421" s="183">
        <f>IF(K421&gt;0,IF(K421="ALPHA",PR!$E419,IF(K421="ASSENE",PR!$F419,IF(K421="BIOFEM",PR!$G419,IF(K421="BIOMED",PR!$H419,IF(K421="CHI",PR!$I419,IF(K421="CLARION",PR!$J419,IF(K421="CODIX",PR!$K419,IF(K421="COSMADE",PR!$L419,IF(K421="SANCON",PR!$M419,IF(K421="DEVON",PR!$N419,IF(K421="DORTEMAG",PR!$O419,IF(K421="DGF",PR!$P419,IF(K421="DYNAMIC",PR!$Q419,IF(K421="EMZOR",PR!$R419,IF(K421="EUMATT",PR!$S419,IF(K421="FIDSON",PR!$T419,IF(K421="FCGLOBAL",PR!$U419,IF(K421="GENEITH",PR!$V419,IF(K421="GINOS",PR!$W419,IF(K421="GSK",PR!$X419,IF(K421="GLOBORG",PR!$Y419,IF(K421="GOODNEWS",PR!$Z419,IF(K421="GREENLIFE",PR!$AA419,IF(K421="HLINE",PR!$AB419,IF(K421="ROTECH",PR!$AC419,IF(K421="ISN",PR!$AD419,IF(K421="JAWA",PR!$AE419,IF(K421="LAYO",PR!$AF419,IF(K421="LEADWAY",PR!$AG419,IF(K421="LHV",PR!$AH419,IF(K421="MANOLA",PR!$AI419,IF(K421="MARCSON",PR!$AJ419,IF(K421="M&amp;B",PR!$AK419,IF(K421="MTRUST",PR!$AL419,IF(K421="MWORLD",PR!$AM419,IF(K421="MEGA",PR!$AN419,IF(K421="MICRONOVA",PR!$AO419,IF(K421="MFLASH",PR!$AP419,IF(K421="MORISON",PR!$AQ419,IF(K421="NEMEL",PR!$AR419,IF(K421="NHP",PR!$AS419,IF(K421="NHC",PR!$AT419,IF(K421="OLEAF",PR!$AU419,IF(K421="OCULUS",PR!$AV419,IF(K421="PACIFIC",PR!$AW419,IF(K421="PHAMATEX",PR!$AX419,IF(K421="PETHICS",PR!$AY419,IF(K421="PHILIPS",PR!$AZ419,IF(K421="RANBAXY",PR!$BA419,IF(K421="REALS",PR!$BB419,IF(K421="ROYAL",PR!$BC419,IF(K421="SAM",PR!$BD419,IF(K421="SEAGREEN",PR!$BE419,IF(K421="SKG",PR!$BF419,IF(K421="TAH",PR!$BG419,IF(K421="TAYLEK",PR!$BH419,IF(K421="TEMITA",PR!$BI419,IF(K421="THL",PR!$BJ419,IF(K421="UBASTIC",PR!$BK419,IF(K421="UNION",PR!$BL419,IF(K421="UNIQUE",PR!$BM419,IF(K421="VIXA",PR!$BN419,IF(K421="WWCV",PR!$BO419,IF(K421="ZOLON",PR!$BP419,"-")))))))))))))))))))))))))))))))))))))))))))))))))))))))))))))))))</f>
        <v>2500</v>
      </c>
    </row>
    <row r="422" spans="1:12" ht="18.75" x14ac:dyDescent="0.3">
      <c r="A422" s="430">
        <f>PR!A420</f>
        <v>382</v>
      </c>
      <c r="B422" s="15" t="str">
        <f>PR!B420</f>
        <v>BROMOCRYPTINE 2.5MG TAB</v>
      </c>
      <c r="C422" s="113">
        <f>PR!D420</f>
        <v>30</v>
      </c>
      <c r="D422" s="113">
        <f>PR!C420</f>
        <v>52</v>
      </c>
      <c r="E422" s="108">
        <f>IF(F422="ALPHA",PR!$E420,IF(F422="ASSENE",PR!$F420,IF(F422="BIOFEM",PR!$G420,IF(F422="BIOMED",PR!$H420,IF(F422="CHI",PR!$I420,IF(F422="CLARION",PR!$J420,IF(F422="CODIX",PR!$K420,IF(F422="COSMADE",PR!$L420,IF(F422="SANCON",PR!$M420,IF(F422="DEVON",PR!$N420,IF(F422="DORTEMAG",PR!$O420,IF(F422="DGF",PR!$P420,IF(F422="DYNAMIC",PR!$Q420,IF(F422="EMZOR",PR!$R420,IF(F422="EUMATT",PR!$S420,IF(F422="FIDSON",PR!$T420,IF(F422="FCGLOBAL",PR!$U420,IF(F422="GENEITH",PR!$V420,IF(F422="GINOS",PR!$W420,IF(F422="GSK",PR!$X420,IF(F422="GLOBORG",PR!$Y420,IF(F422="GOODNEWS",PR!$Z420,IF(F422="GREENLIFE",PR!$AA420,IF(F422="HLINE",PR!$AB420,IF(F422="ROTECH",PR!$AC420,IF(F422="ISN",PR!$AD420,IF(F422="JAWA",PR!$AE420,IF(F422="LAYO",PR!$AF420,IF(F422="LEADWAY",PR!$AG420,IF(F422="LHV",PR!$AH420,IF(F422="MANOLA",PR!$AI420,IF(F422="MARCSON",PR!$AJ420,IF(F422="M&amp;B",PR!$AK420,IF(F422="MTRUST",PR!$AL420,IF(F422="MWORLD",PR!$AM420,IF(F422="MEGA",PR!$AN420,IF(F422="MICRONOVA",PR!$AO420,IF(F422="MFLASH",PR!$AP420,IF(F422="MORISON",PR!$AQ420,IF(F422="NEMEL",PR!$AR420,IF(F422="NHP",PR!$AS420,IF(F422="NHC",PR!$AT420,IF(F422="OLEAF",PR!$AU420,IF(F422="OCULUS",PR!$AV420,IF(F422="PACIFIC",PR!$AW420,IF(F422="PHAMATEX",PR!$AX420,IF(F422="PETHICS",PR!$AY420,IF(F422="PHILIPS",PR!$AZ420,IF(F422="RANBAXY",PR!$BA420,IF(F422="REALS",PR!$BB420,IF(F422="ROYAL",PR!$BC420,IF(F422="SAM",PR!$BD420,IF(F422="SEAGREEN",PR!$BE420,IF(F422="SKG",PR!$BF420,IF(F422="TAH",PR!$BG420,IF(F422="TAYLEK",PR!$BH420,IF(F422="TEMITA",PR!$BI420,IF(F422="THL",PR!$BJ420,IF(F422="UBASTIC",PR!$BK420,IF(F422="UNION",PR!$BL420,IF(F422="UNIQUE",PR!$BM420,IF(F422="VIXA",PR!$BN420,IF(F422="WWCV",PR!$BO420,IF(F422="ZOLON",PR!$BP420,"-"))))))))))))))))))))))))))))))))))))))))))))))))))))))))))))))))</f>
        <v>1760</v>
      </c>
      <c r="F422" s="102" t="str">
        <f>EV!L542</f>
        <v>WWCV</v>
      </c>
      <c r="G422" s="108">
        <f>IF(H422="ALPHA",PR!$E420,IF(H422="ASSENE",PR!$F420,IF(H422="BIOFEM",PR!$G420,IF(H422="BIOMED",PR!$H420,IF(H422="CHI",PR!$I420,IF(H422="CLARION",PR!$J420,IF(H422="CODIX",PR!$K420,IF(H422="COSMADE",PR!$L420,IF(H422="SANCON",PR!$M420,IF(H422="DEVON",PR!$N420,IF(H422="DORTEMAG",PR!$O420,IF(H422="DGF",PR!$P420,IF(H422="DYNAMIC",PR!$Q420,IF(H422="EMZOR",PR!$R420,IF(H422="EUMATT",PR!$S420,IF(H422="FIDSON",PR!$T420,IF(H422="FCGLOBAL",PR!$U420,IF(H422="GENEITH",PR!$V420,IF(H422="GINOS",PR!$W420,IF(H422="GSK",PR!$X420,IF(H422="GLOBORG",PR!$Y420,IF(H422="GOODNEWS",PR!$Z420,IF(H422="GREENLIFE",PR!$AA420,IF(H422="HLINE",PR!$AB420,IF(H422="ROTECH",PR!$AC420,IF(H422="ISN",PR!$AD420,IF(H422="JAWA",PR!$AE420,IF(H422="LAYO",PR!$AF420,IF(H422="LEADWAY",PR!$AG420,IF(H422="LHV",PR!$AH420,IF(H422="MANOLA",PR!$AI420,IF(H422="MARCSON",PR!$AJ420,IF(H422="M&amp;B",PR!$AK420,IF(H422="MTRUST",PR!$AL420,IF(H422="MWORLD",PR!$AM420,IF(H422="MEGA",PR!$AN420,IF(H422="MICRONOVA",PR!$AO420,IF(H422="MFLASH",PR!$AP420,IF(H422="MORISON",PR!$AQ420,IF(H422="NEMEL",PR!$AR420,IF(H422="NHP",PR!$AS420,IF(H422="NHC",PR!$AT420,IF(H422="OLEAF",PR!$AU420,IF(H422="OCULUS",PR!$AV420,IF(H422="PACIFIC",PR!$AW420,IF(H422="PHAMATEX",PR!$AX420,IF(H422="PETHICS",PR!$AY420,IF(H422="PHILIPS",PR!$AZ420,IF(H422="RANBAXY",PR!$BA420,IF(H422="REALS",PR!$BB420,IF(H422="ROYAL",PR!$BC420,IF(H422="SAM",PR!$BD420,IF(H422="SEAGREEN",PR!$BE420,IF(H422="SKG",PR!$BF420,IF(H422="TAH",PR!$BG420,IF(H422="TAYLEK",PR!$BH420,IF(H422="TEMITA",PR!$BI420,IF(H422="THL",PR!$BJ420,IF(H422="UBASTIC",PR!$BK420,IF(H422="UNION",PR!$BL420,IF(H422="UNIQUE",PR!$BM420,IF(H422="VIXA",PR!$BN420,IF(H422="WWCV",PR!$BO420,IF(H422="ZOLON",PR!$BP420,"-"))))))))))))))))))))))))))))))))))))))))))))))))))))))))))))))))</f>
        <v>2280</v>
      </c>
      <c r="H422" s="102" t="str">
        <f>EV!M542</f>
        <v>TAYLEK</v>
      </c>
      <c r="I422" s="108" t="str">
        <f>IF(J422="ALPHA",PR!$E420,IF(J422="ASSENE",PR!$F420,IF(J422="BIOFEM",PR!$G420,IF(J422="BIOMED",PR!$H420,IF(J422="CHI",PR!$I420,IF(J422="CLARION",PR!$J420,IF(J422="CODIX",PR!$K420,IF(J422="COSMADE",PR!$L420,IF(J422="SANCON",PR!$M420,IF(J422="DEVON",PR!$N420,IF(J422="DORTEMAG",PR!$O420,IF(J422="DGF",PR!$P420,IF(J422="DYNAMIC",PR!$Q420,IF(J422="EMZOR",PR!$R420,IF(J422="EUMATT",PR!$S420,IF(J422="FIDSON",PR!$T420,IF(J422="FCGLOBAL",PR!$U420,IF(J422="GENEITH",PR!$V420,IF(J422="GINOS",PR!$W420,IF(J422="GSK",PR!$X420,IF(J422="GLOBORG",PR!$Y420,IF(J422="GOODNEWS",PR!$Z420,IF(J422="GREENLIFE",PR!$AA420,IF(J422="HLINE",PR!$AB420,IF(J422="ROTECH",PR!$AC420,IF(J422="ISN",PR!$AD420,IF(J422="JAWA",PR!$AE420,IF(J422="LAYO",PR!$AF420,IF(J422="LEADWAY",PR!$AG420,IF(J422="LHV",PR!$AH420,IF(J422="MANOLA",PR!$AI420,IF(J422="MARCSON",PR!$AJ420,IF(J422="M&amp;B",PR!$AK420,IF(J422="MTRUST",PR!$AL420,IF(J422="MWORLD",PR!$AM420,IF(J422="MEGA",PR!$AN420,IF(J422="MICRONOVA",PR!$AO420,IF(J422="MFLASH",PR!$AP420,IF(J422="MORISON",PR!$AQ420,IF(J422="NEMEL",PR!$AR420,IF(J422="NHP",PR!$AS420,IF(J422="NHC",PR!$AT420,IF(J422="OLEAF",PR!$AU420,IF(J422="OCULUS",PR!$AV420,IF(J422="PACIFIC",PR!$AW420,IF(J422="PHAMATEX",PR!$AX420,IF(J422="PETHICS",PR!$AY420,IF(J422="PHILIPS",PR!$AZ420,IF(J422="RANBAXY",PR!$BA420,IF(J422="REALS",PR!$BB420,IF(J422="ROYAL",PR!$BC420,IF(J422="SAM",PR!$BD420,IF(J422="SEAGREEN",PR!$BE420,IF(J422="SKG",PR!$BF420,IF(J422="TAH",PR!$BG420,IF(J422="TAYLEK",PR!$BH420,IF(J422="TEMITA",PR!$BI420,IF(J422="THL",PR!$BJ420,IF(J422="UBASTIC",PR!$BK420,IF(J422="UNION",PR!$BL420,IF(J422="UNIQUE",PR!$BM420,IF(J422="VIXA",PR!$BN420,IF(J422="WWCV",PR!$BO420,IF(J422="ZOLON",PR!$BP420,"-"))))))))))))))))))))))))))))))))))))))))))))))))))))))))))))))))</f>
        <v>-</v>
      </c>
      <c r="J422" s="102">
        <f>EV!N542</f>
        <v>0</v>
      </c>
      <c r="K422" s="433" t="s">
        <v>646</v>
      </c>
      <c r="L422" s="183">
        <f>IF(K422&gt;0,IF(K422="ALPHA",PR!$E420,IF(K422="ASSENE",PR!$F420,IF(K422="BIOFEM",PR!$G420,IF(K422="BIOMED",PR!$H420,IF(K422="CHI",PR!$I420,IF(K422="CLARION",PR!$J420,IF(K422="CODIX",PR!$K420,IF(K422="COSMADE",PR!$L420,IF(K422="SANCON",PR!$M420,IF(K422="DEVON",PR!$N420,IF(K422="DORTEMAG",PR!$O420,IF(K422="DGF",PR!$P420,IF(K422="DYNAMIC",PR!$Q420,IF(K422="EMZOR",PR!$R420,IF(K422="EUMATT",PR!$S420,IF(K422="FIDSON",PR!$T420,IF(K422="FCGLOBAL",PR!$U420,IF(K422="GENEITH",PR!$V420,IF(K422="GINOS",PR!$W420,IF(K422="GSK",PR!$X420,IF(K422="GLOBORG",PR!$Y420,IF(K422="GOODNEWS",PR!$Z420,IF(K422="GREENLIFE",PR!$AA420,IF(K422="HLINE",PR!$AB420,IF(K422="ROTECH",PR!$AC420,IF(K422="ISN",PR!$AD420,IF(K422="JAWA",PR!$AE420,IF(K422="LAYO",PR!$AF420,IF(K422="LEADWAY",PR!$AG420,IF(K422="LHV",PR!$AH420,IF(K422="MANOLA",PR!$AI420,IF(K422="MARCSON",PR!$AJ420,IF(K422="M&amp;B",PR!$AK420,IF(K422="MTRUST",PR!$AL420,IF(K422="MWORLD",PR!$AM420,IF(K422="MEGA",PR!$AN420,IF(K422="MICRONOVA",PR!$AO420,IF(K422="MFLASH",PR!$AP420,IF(K422="MORISON",PR!$AQ420,IF(K422="NEMEL",PR!$AR420,IF(K422="NHP",PR!$AS420,IF(K422="NHC",PR!$AT420,IF(K422="OLEAF",PR!$AU420,IF(K422="OCULUS",PR!$AV420,IF(K422="PACIFIC",PR!$AW420,IF(K422="PHAMATEX",PR!$AX420,IF(K422="PETHICS",PR!$AY420,IF(K422="PHILIPS",PR!$AZ420,IF(K422="RANBAXY",PR!$BA420,IF(K422="REALS",PR!$BB420,IF(K422="ROYAL",PR!$BC420,IF(K422="SAM",PR!$BD420,IF(K422="SEAGREEN",PR!$BE420,IF(K422="SKG",PR!$BF420,IF(K422="TAH",PR!$BG420,IF(K422="TAYLEK",PR!$BH420,IF(K422="TEMITA",PR!$BI420,IF(K422="THL",PR!$BJ420,IF(K422="UBASTIC",PR!$BK420,IF(K422="UNION",PR!$BL420,IF(K422="UNIQUE",PR!$BM420,IF(K422="VIXA",PR!$BN420,IF(K422="WWCV",PR!$BO420,IF(K422="ZOLON",PR!$BP420,"-")))))))))))))))))))))))))))))))))))))))))))))))))))))))))))))))))</f>
        <v>2280</v>
      </c>
    </row>
    <row r="423" spans="1:12" ht="18.75" x14ac:dyDescent="0.3">
      <c r="A423" s="430">
        <f>PR!A421</f>
        <v>383</v>
      </c>
      <c r="B423" s="15" t="str">
        <f>PR!B421</f>
        <v>CLOMIPHENE CITRATE TAB</v>
      </c>
      <c r="C423" s="113">
        <f>PR!D421</f>
        <v>10</v>
      </c>
      <c r="D423" s="113">
        <f>PR!C421</f>
        <v>20</v>
      </c>
      <c r="E423" s="108">
        <f>IF(F423="ALPHA",PR!$E421,IF(F423="ASSENE",PR!$F421,IF(F423="BIOFEM",PR!$G421,IF(F423="BIOMED",PR!$H421,IF(F423="CHI",PR!$I421,IF(F423="CLARION",PR!$J421,IF(F423="CODIX",PR!$K421,IF(F423="COSMADE",PR!$L421,IF(F423="SANCON",PR!$M421,IF(F423="DEVON",PR!$N421,IF(F423="DORTEMAG",PR!$O421,IF(F423="DGF",PR!$P421,IF(F423="DYNAMIC",PR!$Q421,IF(F423="EMZOR",PR!$R421,IF(F423="EUMATT",PR!$S421,IF(F423="FIDSON",PR!$T421,IF(F423="FCGLOBAL",PR!$U421,IF(F423="GENEITH",PR!$V421,IF(F423="GINOS",PR!$W421,IF(F423="GSK",PR!$X421,IF(F423="GLOBORG",PR!$Y421,IF(F423="GOODNEWS",PR!$Z421,IF(F423="GREENLIFE",PR!$AA421,IF(F423="HLINE",PR!$AB421,IF(F423="ROTECH",PR!$AC421,IF(F423="ISN",PR!$AD421,IF(F423="JAWA",PR!$AE421,IF(F423="LAYO",PR!$AF421,IF(F423="LEADWAY",PR!$AG421,IF(F423="LHV",PR!$AH421,IF(F423="MANOLA",PR!$AI421,IF(F423="MARCSON",PR!$AJ421,IF(F423="M&amp;B",PR!$AK421,IF(F423="MTRUST",PR!$AL421,IF(F423="MWORLD",PR!$AM421,IF(F423="MEGA",PR!$AN421,IF(F423="MICRONOVA",PR!$AO421,IF(F423="MFLASH",PR!$AP421,IF(F423="MORISON",PR!$AQ421,IF(F423="NEMEL",PR!$AR421,IF(F423="NHP",PR!$AS421,IF(F423="NHC",PR!$AT421,IF(F423="OLEAF",PR!$AU421,IF(F423="OCULUS",PR!$AV421,IF(F423="PACIFIC",PR!$AW421,IF(F423="PHAMATEX",PR!$AX421,IF(F423="PETHICS",PR!$AY421,IF(F423="PHILIPS",PR!$AZ421,IF(F423="RANBAXY",PR!$BA421,IF(F423="REALS",PR!$BB421,IF(F423="ROYAL",PR!$BC421,IF(F423="SAM",PR!$BD421,IF(F423="SEAGREEN",PR!$BE421,IF(F423="SKG",PR!$BF421,IF(F423="TAH",PR!$BG421,IF(F423="TAYLEK",PR!$BH421,IF(F423="TEMITA",PR!$BI421,IF(F423="THL",PR!$BJ421,IF(F423="UBASTIC",PR!$BK421,IF(F423="UNION",PR!$BL421,IF(F423="UNIQUE",PR!$BM421,IF(F423="VIXA",PR!$BN421,IF(F423="WWCV",PR!$BO421,IF(F423="ZOLON",PR!$BP421,"-"))))))))))))))))))))))))))))))))))))))))))))))))))))))))))))))))</f>
        <v>600</v>
      </c>
      <c r="F423" s="102" t="str">
        <f>EV!L543</f>
        <v>EUMATT</v>
      </c>
      <c r="G423" s="108" t="str">
        <f>IF(H423="ALPHA",PR!$E421,IF(H423="ASSENE",PR!$F421,IF(H423="BIOFEM",PR!$G421,IF(H423="BIOMED",PR!$H421,IF(H423="CHI",PR!$I421,IF(H423="CLARION",PR!$J421,IF(H423="CODIX",PR!$K421,IF(H423="COSMADE",PR!$L421,IF(H423="SANCON",PR!$M421,IF(H423="DEVON",PR!$N421,IF(H423="DORTEMAG",PR!$O421,IF(H423="DGF",PR!$P421,IF(H423="DYNAMIC",PR!$Q421,IF(H423="EMZOR",PR!$R421,IF(H423="EUMATT",PR!$S421,IF(H423="FIDSON",PR!$T421,IF(H423="FCGLOBAL",PR!$U421,IF(H423="GENEITH",PR!$V421,IF(H423="GINOS",PR!$W421,IF(H423="GSK",PR!$X421,IF(H423="GLOBORG",PR!$Y421,IF(H423="GOODNEWS",PR!$Z421,IF(H423="GREENLIFE",PR!$AA421,IF(H423="HLINE",PR!$AB421,IF(H423="ROTECH",PR!$AC421,IF(H423="ISN",PR!$AD421,IF(H423="JAWA",PR!$AE421,IF(H423="LAYO",PR!$AF421,IF(H423="LEADWAY",PR!$AG421,IF(H423="LHV",PR!$AH421,IF(H423="MANOLA",PR!$AI421,IF(H423="MARCSON",PR!$AJ421,IF(H423="M&amp;B",PR!$AK421,IF(H423="MTRUST",PR!$AL421,IF(H423="MWORLD",PR!$AM421,IF(H423="MEGA",PR!$AN421,IF(H423="MICRONOVA",PR!$AO421,IF(H423="MFLASH",PR!$AP421,IF(H423="MORISON",PR!$AQ421,IF(H423="NEMEL",PR!$AR421,IF(H423="NHP",PR!$AS421,IF(H423="NHC",PR!$AT421,IF(H423="OLEAF",PR!$AU421,IF(H423="OCULUS",PR!$AV421,IF(H423="PACIFIC",PR!$AW421,IF(H423="PHAMATEX",PR!$AX421,IF(H423="PETHICS",PR!$AY421,IF(H423="PHILIPS",PR!$AZ421,IF(H423="RANBAXY",PR!$BA421,IF(H423="REALS",PR!$BB421,IF(H423="ROYAL",PR!$BC421,IF(H423="SAM",PR!$BD421,IF(H423="SEAGREEN",PR!$BE421,IF(H423="SKG",PR!$BF421,IF(H423="TAH",PR!$BG421,IF(H423="TAYLEK",PR!$BH421,IF(H423="TEMITA",PR!$BI421,IF(H423="THL",PR!$BJ421,IF(H423="UBASTIC",PR!$BK421,IF(H423="UNION",PR!$BL421,IF(H423="UNIQUE",PR!$BM421,IF(H423="VIXA",PR!$BN421,IF(H423="WWCV",PR!$BO421,IF(H423="ZOLON",PR!$BP421,"-"))))))))))))))))))))))))))))))))))))))))))))))))))))))))))))))))</f>
        <v>-</v>
      </c>
      <c r="H423" s="102">
        <f>EV!M543</f>
        <v>0</v>
      </c>
      <c r="I423" s="108" t="str">
        <f>IF(J423="ALPHA",PR!$E421,IF(J423="ASSENE",PR!$F421,IF(J423="BIOFEM",PR!$G421,IF(J423="BIOMED",PR!$H421,IF(J423="CHI",PR!$I421,IF(J423="CLARION",PR!$J421,IF(J423="CODIX",PR!$K421,IF(J423="COSMADE",PR!$L421,IF(J423="SANCON",PR!$M421,IF(J423="DEVON",PR!$N421,IF(J423="DORTEMAG",PR!$O421,IF(J423="DGF",PR!$P421,IF(J423="DYNAMIC",PR!$Q421,IF(J423="EMZOR",PR!$R421,IF(J423="EUMATT",PR!$S421,IF(J423="FIDSON",PR!$T421,IF(J423="FCGLOBAL",PR!$U421,IF(J423="GENEITH",PR!$V421,IF(J423="GINOS",PR!$W421,IF(J423="GSK",PR!$X421,IF(J423="GLOBORG",PR!$Y421,IF(J423="GOODNEWS",PR!$Z421,IF(J423="GREENLIFE",PR!$AA421,IF(J423="HLINE",PR!$AB421,IF(J423="ROTECH",PR!$AC421,IF(J423="ISN",PR!$AD421,IF(J423="JAWA",PR!$AE421,IF(J423="LAYO",PR!$AF421,IF(J423="LEADWAY",PR!$AG421,IF(J423="LHV",PR!$AH421,IF(J423="MANOLA",PR!$AI421,IF(J423="MARCSON",PR!$AJ421,IF(J423="M&amp;B",PR!$AK421,IF(J423="MTRUST",PR!$AL421,IF(J423="MWORLD",PR!$AM421,IF(J423="MEGA",PR!$AN421,IF(J423="MICRONOVA",PR!$AO421,IF(J423="MFLASH",PR!$AP421,IF(J423="MORISON",PR!$AQ421,IF(J423="NEMEL",PR!$AR421,IF(J423="NHP",PR!$AS421,IF(J423="NHC",PR!$AT421,IF(J423="OLEAF",PR!$AU421,IF(J423="OCULUS",PR!$AV421,IF(J423="PACIFIC",PR!$AW421,IF(J423="PHAMATEX",PR!$AX421,IF(J423="PETHICS",PR!$AY421,IF(J423="PHILIPS",PR!$AZ421,IF(J423="RANBAXY",PR!$BA421,IF(J423="REALS",PR!$BB421,IF(J423="ROYAL",PR!$BC421,IF(J423="SAM",PR!$BD421,IF(J423="SEAGREEN",PR!$BE421,IF(J423="SKG",PR!$BF421,IF(J423="TAH",PR!$BG421,IF(J423="TAYLEK",PR!$BH421,IF(J423="TEMITA",PR!$BI421,IF(J423="THL",PR!$BJ421,IF(J423="UBASTIC",PR!$BK421,IF(J423="UNION",PR!$BL421,IF(J423="UNIQUE",PR!$BM421,IF(J423="VIXA",PR!$BN421,IF(J423="WWCV",PR!$BO421,IF(J423="ZOLON",PR!$BP421,"-"))))))))))))))))))))))))))))))))))))))))))))))))))))))))))))))))</f>
        <v>-</v>
      </c>
      <c r="J423" s="102">
        <f>EV!N543</f>
        <v>0</v>
      </c>
      <c r="K423" s="433" t="s">
        <v>821</v>
      </c>
      <c r="L423" s="183">
        <f>IF(K423&gt;0,IF(K423="ALPHA",PR!$E421,IF(K423="ASSENE",PR!$F421,IF(K423="BIOFEM",PR!$G421,IF(K423="BIOMED",PR!$H421,IF(K423="CHI",PR!$I421,IF(K423="CLARION",PR!$J421,IF(K423="CODIX",PR!$K421,IF(K423="COSMADE",PR!$L421,IF(K423="SANCON",PR!$M421,IF(K423="DEVON",PR!$N421,IF(K423="DORTEMAG",PR!$O421,IF(K423="DGF",PR!$P421,IF(K423="DYNAMIC",PR!$Q421,IF(K423="EMZOR",PR!$R421,IF(K423="EUMATT",PR!$S421,IF(K423="FIDSON",PR!$T421,IF(K423="FCGLOBAL",PR!$U421,IF(K423="GENEITH",PR!$V421,IF(K423="GINOS",PR!$W421,IF(K423="GSK",PR!$X421,IF(K423="GLOBORG",PR!$Y421,IF(K423="GOODNEWS",PR!$Z421,IF(K423="GREENLIFE",PR!$AA421,IF(K423="HLINE",PR!$AB421,IF(K423="ROTECH",PR!$AC421,IF(K423="ISN",PR!$AD421,IF(K423="JAWA",PR!$AE421,IF(K423="LAYO",PR!$AF421,IF(K423="LEADWAY",PR!$AG421,IF(K423="LHV",PR!$AH421,IF(K423="MANOLA",PR!$AI421,IF(K423="MARCSON",PR!$AJ421,IF(K423="M&amp;B",PR!$AK421,IF(K423="MTRUST",PR!$AL421,IF(K423="MWORLD",PR!$AM421,IF(K423="MEGA",PR!$AN421,IF(K423="MICRONOVA",PR!$AO421,IF(K423="MFLASH",PR!$AP421,IF(K423="MORISON",PR!$AQ421,IF(K423="NEMEL",PR!$AR421,IF(K423="NHP",PR!$AS421,IF(K423="NHC",PR!$AT421,IF(K423="OLEAF",PR!$AU421,IF(K423="OCULUS",PR!$AV421,IF(K423="PACIFIC",PR!$AW421,IF(K423="PHAMATEX",PR!$AX421,IF(K423="PETHICS",PR!$AY421,IF(K423="PHILIPS",PR!$AZ421,IF(K423="RANBAXY",PR!$BA421,IF(K423="REALS",PR!$BB421,IF(K423="ROYAL",PR!$BC421,IF(K423="SAM",PR!$BD421,IF(K423="SEAGREEN",PR!$BE421,IF(K423="SKG",PR!$BF421,IF(K423="TAH",PR!$BG421,IF(K423="TAYLEK",PR!$BH421,IF(K423="TEMITA",PR!$BI421,IF(K423="THL",PR!$BJ421,IF(K423="UBASTIC",PR!$BK421,IF(K423="UNION",PR!$BL421,IF(K423="UNIQUE",PR!$BM421,IF(K423="VIXA",PR!$BN421,IF(K423="WWCV",PR!$BO421,IF(K423="ZOLON",PR!$BP421,"-")))))))))))))))))))))))))))))))))))))))))))))))))))))))))))))))))</f>
        <v>600</v>
      </c>
    </row>
    <row r="424" spans="1:12" ht="18.75" x14ac:dyDescent="0.3">
      <c r="A424" s="430">
        <f>PR!A422</f>
        <v>384</v>
      </c>
      <c r="B424" s="15" t="str">
        <f>PR!B422</f>
        <v>DYDROSTERONE TAB</v>
      </c>
      <c r="C424" s="113">
        <f>PR!D422</f>
        <v>20</v>
      </c>
      <c r="D424" s="113">
        <f>PR!C422</f>
        <v>200</v>
      </c>
      <c r="E424" s="108">
        <f>IF(F424="ALPHA",PR!$E422,IF(F424="ASSENE",PR!$F422,IF(F424="BIOFEM",PR!$G422,IF(F424="BIOMED",PR!$H422,IF(F424="CHI",PR!$I422,IF(F424="CLARION",PR!$J422,IF(F424="CODIX",PR!$K422,IF(F424="COSMADE",PR!$L422,IF(F424="SANCON",PR!$M422,IF(F424="DEVON",PR!$N422,IF(F424="DORTEMAG",PR!$O422,IF(F424="DGF",PR!$P422,IF(F424="DYNAMIC",PR!$Q422,IF(F424="EMZOR",PR!$R422,IF(F424="EUMATT",PR!$S422,IF(F424="FIDSON",PR!$T422,IF(F424="FCGLOBAL",PR!$U422,IF(F424="GENEITH",PR!$V422,IF(F424="GINOS",PR!$W422,IF(F424="GSK",PR!$X422,IF(F424="GLOBORG",PR!$Y422,IF(F424="GOODNEWS",PR!$Z422,IF(F424="GREENLIFE",PR!$AA422,IF(F424="HLINE",PR!$AB422,IF(F424="ROTECH",PR!$AC422,IF(F424="ISN",PR!$AD422,IF(F424="JAWA",PR!$AE422,IF(F424="LAYO",PR!$AF422,IF(F424="LEADWAY",PR!$AG422,IF(F424="LHV",PR!$AH422,IF(F424="MANOLA",PR!$AI422,IF(F424="MARCSON",PR!$AJ422,IF(F424="M&amp;B",PR!$AK422,IF(F424="MTRUST",PR!$AL422,IF(F424="MWORLD",PR!$AM422,IF(F424="MEGA",PR!$AN422,IF(F424="MICRONOVA",PR!$AO422,IF(F424="MFLASH",PR!$AP422,IF(F424="MORISON",PR!$AQ422,IF(F424="NEMEL",PR!$AR422,IF(F424="NHP",PR!$AS422,IF(F424="NHC",PR!$AT422,IF(F424="OLEAF",PR!$AU422,IF(F424="OCULUS",PR!$AV422,IF(F424="PACIFIC",PR!$AW422,IF(F424="PHAMATEX",PR!$AX422,IF(F424="PETHICS",PR!$AY422,IF(F424="PHILIPS",PR!$AZ422,IF(F424="RANBAXY",PR!$BA422,IF(F424="REALS",PR!$BB422,IF(F424="ROYAL",PR!$BC422,IF(F424="SAM",PR!$BD422,IF(F424="SEAGREEN",PR!$BE422,IF(F424="SKG",PR!$BF422,IF(F424="TAH",PR!$BG422,IF(F424="TAYLEK",PR!$BH422,IF(F424="TEMITA",PR!$BI422,IF(F424="THL",PR!$BJ422,IF(F424="UBASTIC",PR!$BK422,IF(F424="UNION",PR!$BL422,IF(F424="UNIQUE",PR!$BM422,IF(F424="VIXA",PR!$BN422,IF(F424="WWCV",PR!$BO422,IF(F424="ZOLON",PR!$BP422,"-"))))))))))))))))))))))))))))))))))))))))))))))))))))))))))))))))</f>
        <v>3000</v>
      </c>
      <c r="F424" s="102" t="str">
        <f>EV!L544</f>
        <v>PETHICS</v>
      </c>
      <c r="G424" s="108" t="str">
        <f>IF(H424="ALPHA",PR!$E422,IF(H424="ASSENE",PR!$F422,IF(H424="BIOFEM",PR!$G422,IF(H424="BIOMED",PR!$H422,IF(H424="CHI",PR!$I422,IF(H424="CLARION",PR!$J422,IF(H424="CODIX",PR!$K422,IF(H424="COSMADE",PR!$L422,IF(H424="SANCON",PR!$M422,IF(H424="DEVON",PR!$N422,IF(H424="DORTEMAG",PR!$O422,IF(H424="DGF",PR!$P422,IF(H424="DYNAMIC",PR!$Q422,IF(H424="EMZOR",PR!$R422,IF(H424="EUMATT",PR!$S422,IF(H424="FIDSON",PR!$T422,IF(H424="FCGLOBAL",PR!$U422,IF(H424="GENEITH",PR!$V422,IF(H424="GINOS",PR!$W422,IF(H424="GSK",PR!$X422,IF(H424="GLOBORG",PR!$Y422,IF(H424="GOODNEWS",PR!$Z422,IF(H424="GREENLIFE",PR!$AA422,IF(H424="HLINE",PR!$AB422,IF(H424="ROTECH",PR!$AC422,IF(H424="ISN",PR!$AD422,IF(H424="JAWA",PR!$AE422,IF(H424="LAYO",PR!$AF422,IF(H424="LEADWAY",PR!$AG422,IF(H424="LHV",PR!$AH422,IF(H424="MANOLA",PR!$AI422,IF(H424="MARCSON",PR!$AJ422,IF(H424="M&amp;B",PR!$AK422,IF(H424="MTRUST",PR!$AL422,IF(H424="MWORLD",PR!$AM422,IF(H424="MEGA",PR!$AN422,IF(H424="MICRONOVA",PR!$AO422,IF(H424="MFLASH",PR!$AP422,IF(H424="MORISON",PR!$AQ422,IF(H424="NEMEL",PR!$AR422,IF(H424="NHP",PR!$AS422,IF(H424="NHC",PR!$AT422,IF(H424="OLEAF",PR!$AU422,IF(H424="OCULUS",PR!$AV422,IF(H424="PACIFIC",PR!$AW422,IF(H424="PHAMATEX",PR!$AX422,IF(H424="PETHICS",PR!$AY422,IF(H424="PHILIPS",PR!$AZ422,IF(H424="RANBAXY",PR!$BA422,IF(H424="REALS",PR!$BB422,IF(H424="ROYAL",PR!$BC422,IF(H424="SAM",PR!$BD422,IF(H424="SEAGREEN",PR!$BE422,IF(H424="SKG",PR!$BF422,IF(H424="TAH",PR!$BG422,IF(H424="TAYLEK",PR!$BH422,IF(H424="TEMITA",PR!$BI422,IF(H424="THL",PR!$BJ422,IF(H424="UBASTIC",PR!$BK422,IF(H424="UNION",PR!$BL422,IF(H424="UNIQUE",PR!$BM422,IF(H424="VIXA",PR!$BN422,IF(H424="WWCV",PR!$BO422,IF(H424="ZOLON",PR!$BP422,"-"))))))))))))))))))))))))))))))))))))))))))))))))))))))))))))))))</f>
        <v>-</v>
      </c>
      <c r="H424" s="102">
        <f>EV!M544</f>
        <v>0</v>
      </c>
      <c r="I424" s="108" t="str">
        <f>IF(J424="ALPHA",PR!$E422,IF(J424="ASSENE",PR!$F422,IF(J424="BIOFEM",PR!$G422,IF(J424="BIOMED",PR!$H422,IF(J424="CHI",PR!$I422,IF(J424="CLARION",PR!$J422,IF(J424="CODIX",PR!$K422,IF(J424="COSMADE",PR!$L422,IF(J424="SANCON",PR!$M422,IF(J424="DEVON",PR!$N422,IF(J424="DORTEMAG",PR!$O422,IF(J424="DGF",PR!$P422,IF(J424="DYNAMIC",PR!$Q422,IF(J424="EMZOR",PR!$R422,IF(J424="EUMATT",PR!$S422,IF(J424="FIDSON",PR!$T422,IF(J424="FCGLOBAL",PR!$U422,IF(J424="GENEITH",PR!$V422,IF(J424="GINOS",PR!$W422,IF(J424="GSK",PR!$X422,IF(J424="GLOBORG",PR!$Y422,IF(J424="GOODNEWS",PR!$Z422,IF(J424="GREENLIFE",PR!$AA422,IF(J424="HLINE",PR!$AB422,IF(J424="ROTECH",PR!$AC422,IF(J424="ISN",PR!$AD422,IF(J424="JAWA",PR!$AE422,IF(J424="LAYO",PR!$AF422,IF(J424="LEADWAY",PR!$AG422,IF(J424="LHV",PR!$AH422,IF(J424="MANOLA",PR!$AI422,IF(J424="MARCSON",PR!$AJ422,IF(J424="M&amp;B",PR!$AK422,IF(J424="MTRUST",PR!$AL422,IF(J424="MWORLD",PR!$AM422,IF(J424="MEGA",PR!$AN422,IF(J424="MICRONOVA",PR!$AO422,IF(J424="MFLASH",PR!$AP422,IF(J424="MORISON",PR!$AQ422,IF(J424="NEMEL",PR!$AR422,IF(J424="NHP",PR!$AS422,IF(J424="NHC",PR!$AT422,IF(J424="OLEAF",PR!$AU422,IF(J424="OCULUS",PR!$AV422,IF(J424="PACIFIC",PR!$AW422,IF(J424="PHAMATEX",PR!$AX422,IF(J424="PETHICS",PR!$AY422,IF(J424="PHILIPS",PR!$AZ422,IF(J424="RANBAXY",PR!$BA422,IF(J424="REALS",PR!$BB422,IF(J424="ROYAL",PR!$BC422,IF(J424="SAM",PR!$BD422,IF(J424="SEAGREEN",PR!$BE422,IF(J424="SKG",PR!$BF422,IF(J424="TAH",PR!$BG422,IF(J424="TAYLEK",PR!$BH422,IF(J424="TEMITA",PR!$BI422,IF(J424="THL",PR!$BJ422,IF(J424="UBASTIC",PR!$BK422,IF(J424="UNION",PR!$BL422,IF(J424="UNIQUE",PR!$BM422,IF(J424="VIXA",PR!$BN422,IF(J424="WWCV",PR!$BO422,IF(J424="ZOLON",PR!$BP422,"-"))))))))))))))))))))))))))))))))))))))))))))))))))))))))))))))))</f>
        <v>-</v>
      </c>
      <c r="J424" s="102">
        <f>EV!N544</f>
        <v>0</v>
      </c>
      <c r="K424" s="433" t="s">
        <v>827</v>
      </c>
      <c r="L424" s="183">
        <f>IF(K424&gt;0,IF(K424="ALPHA",PR!$E422,IF(K424="ASSENE",PR!$F422,IF(K424="BIOFEM",PR!$G422,IF(K424="BIOMED",PR!$H422,IF(K424="CHI",PR!$I422,IF(K424="CLARION",PR!$J422,IF(K424="CODIX",PR!$K422,IF(K424="COSMADE",PR!$L422,IF(K424="SANCON",PR!$M422,IF(K424="DEVON",PR!$N422,IF(K424="DORTEMAG",PR!$O422,IF(K424="DGF",PR!$P422,IF(K424="DYNAMIC",PR!$Q422,IF(K424="EMZOR",PR!$R422,IF(K424="EUMATT",PR!$S422,IF(K424="FIDSON",PR!$T422,IF(K424="FCGLOBAL",PR!$U422,IF(K424="GENEITH",PR!$V422,IF(K424="GINOS",PR!$W422,IF(K424="GSK",PR!$X422,IF(K424="GLOBORG",PR!$Y422,IF(K424="GOODNEWS",PR!$Z422,IF(K424="GREENLIFE",PR!$AA422,IF(K424="HLINE",PR!$AB422,IF(K424="ROTECH",PR!$AC422,IF(K424="ISN",PR!$AD422,IF(K424="JAWA",PR!$AE422,IF(K424="LAYO",PR!$AF422,IF(K424="LEADWAY",PR!$AG422,IF(K424="LHV",PR!$AH422,IF(K424="MANOLA",PR!$AI422,IF(K424="MARCSON",PR!$AJ422,IF(K424="M&amp;B",PR!$AK422,IF(K424="MTRUST",PR!$AL422,IF(K424="MWORLD",PR!$AM422,IF(K424="MEGA",PR!$AN422,IF(K424="MICRONOVA",PR!$AO422,IF(K424="MFLASH",PR!$AP422,IF(K424="MORISON",PR!$AQ422,IF(K424="NEMEL",PR!$AR422,IF(K424="NHP",PR!$AS422,IF(K424="NHC",PR!$AT422,IF(K424="OLEAF",PR!$AU422,IF(K424="OCULUS",PR!$AV422,IF(K424="PACIFIC",PR!$AW422,IF(K424="PHAMATEX",PR!$AX422,IF(K424="PETHICS",PR!$AY422,IF(K424="PHILIPS",PR!$AZ422,IF(K424="RANBAXY",PR!$BA422,IF(K424="REALS",PR!$BB422,IF(K424="ROYAL",PR!$BC422,IF(K424="SAM",PR!$BD422,IF(K424="SEAGREEN",PR!$BE422,IF(K424="SKG",PR!$BF422,IF(K424="TAH",PR!$BG422,IF(K424="TAYLEK",PR!$BH422,IF(K424="TEMITA",PR!$BI422,IF(K424="THL",PR!$BJ422,IF(K424="UBASTIC",PR!$BK422,IF(K424="UNION",PR!$BL422,IF(K424="UNIQUE",PR!$BM422,IF(K424="VIXA",PR!$BN422,IF(K424="WWCV",PR!$BO422,IF(K424="ZOLON",PR!$BP422,"-")))))))))))))))))))))))))))))))))))))))))))))))))))))))))))))))))</f>
        <v>3000</v>
      </c>
    </row>
    <row r="425" spans="1:12" ht="18.75" x14ac:dyDescent="0.3">
      <c r="A425" s="430">
        <f>PR!A423</f>
        <v>385</v>
      </c>
      <c r="B425" s="15" t="str">
        <f>PR!B423</f>
        <v>ERGOMETRINE 500MCG INJ</v>
      </c>
      <c r="C425" s="113">
        <f>PR!D423</f>
        <v>100</v>
      </c>
      <c r="D425" s="113">
        <f>PR!C423</f>
        <v>20</v>
      </c>
      <c r="E425" s="108">
        <f>IF(F425="ALPHA",PR!$E423,IF(F425="ASSENE",PR!$F423,IF(F425="BIOFEM",PR!$G423,IF(F425="BIOMED",PR!$H423,IF(F425="CHI",PR!$I423,IF(F425="CLARION",PR!$J423,IF(F425="CODIX",PR!$K423,IF(F425="COSMADE",PR!$L423,IF(F425="SANCON",PR!$M423,IF(F425="DEVON",PR!$N423,IF(F425="DORTEMAG",PR!$O423,IF(F425="DGF",PR!$P423,IF(F425="DYNAMIC",PR!$Q423,IF(F425="EMZOR",PR!$R423,IF(F425="EUMATT",PR!$S423,IF(F425="FIDSON",PR!$T423,IF(F425="FCGLOBAL",PR!$U423,IF(F425="GENEITH",PR!$V423,IF(F425="GINOS",PR!$W423,IF(F425="GSK",PR!$X423,IF(F425="GLOBORG",PR!$Y423,IF(F425="GOODNEWS",PR!$Z423,IF(F425="GREENLIFE",PR!$AA423,IF(F425="HLINE",PR!$AB423,IF(F425="ROTECH",PR!$AC423,IF(F425="ISN",PR!$AD423,IF(F425="JAWA",PR!$AE423,IF(F425="LAYO",PR!$AF423,IF(F425="LEADWAY",PR!$AG423,IF(F425="LHV",PR!$AH423,IF(F425="MANOLA",PR!$AI423,IF(F425="MARCSON",PR!$AJ423,IF(F425="M&amp;B",PR!$AK423,IF(F425="MTRUST",PR!$AL423,IF(F425="MWORLD",PR!$AM423,IF(F425="MEGA",PR!$AN423,IF(F425="MICRONOVA",PR!$AO423,IF(F425="MFLASH",PR!$AP423,IF(F425="MORISON",PR!$AQ423,IF(F425="NEMEL",PR!$AR423,IF(F425="NHP",PR!$AS423,IF(F425="NHC",PR!$AT423,IF(F425="OLEAF",PR!$AU423,IF(F425="OCULUS",PR!$AV423,IF(F425="PACIFIC",PR!$AW423,IF(F425="PHAMATEX",PR!$AX423,IF(F425="PETHICS",PR!$AY423,IF(F425="PHILIPS",PR!$AZ423,IF(F425="RANBAXY",PR!$BA423,IF(F425="REALS",PR!$BB423,IF(F425="ROYAL",PR!$BC423,IF(F425="SAM",PR!$BD423,IF(F425="SEAGREEN",PR!$BE423,IF(F425="SKG",PR!$BF423,IF(F425="TAH",PR!$BG423,IF(F425="TAYLEK",PR!$BH423,IF(F425="TEMITA",PR!$BI423,IF(F425="THL",PR!$BJ423,IF(F425="UBASTIC",PR!$BK423,IF(F425="UNION",PR!$BL423,IF(F425="UNIQUE",PR!$BM423,IF(F425="VIXA",PR!$BN423,IF(F425="WWCV",PR!$BO423,IF(F425="ZOLON",PR!$BP423,"-"))))))))))))))))))))))))))))))))))))))))))))))))))))))))))))))))</f>
        <v>6500</v>
      </c>
      <c r="F425" s="102" t="str">
        <f>EV!L545</f>
        <v>EUMATT</v>
      </c>
      <c r="G425" s="108">
        <f>IF(H425="ALPHA",PR!$E423,IF(H425="ASSENE",PR!$F423,IF(H425="BIOFEM",PR!$G423,IF(H425="BIOMED",PR!$H423,IF(H425="CHI",PR!$I423,IF(H425="CLARION",PR!$J423,IF(H425="CODIX",PR!$K423,IF(H425="COSMADE",PR!$L423,IF(H425="SANCON",PR!$M423,IF(H425="DEVON",PR!$N423,IF(H425="DORTEMAG",PR!$O423,IF(H425="DGF",PR!$P423,IF(H425="DYNAMIC",PR!$Q423,IF(H425="EMZOR",PR!$R423,IF(H425="EUMATT",PR!$S423,IF(H425="FIDSON",PR!$T423,IF(H425="FCGLOBAL",PR!$U423,IF(H425="GENEITH",PR!$V423,IF(H425="GINOS",PR!$W423,IF(H425="GSK",PR!$X423,IF(H425="GLOBORG",PR!$Y423,IF(H425="GOODNEWS",PR!$Z423,IF(H425="GREENLIFE",PR!$AA423,IF(H425="HLINE",PR!$AB423,IF(H425="ROTECH",PR!$AC423,IF(H425="ISN",PR!$AD423,IF(H425="JAWA",PR!$AE423,IF(H425="LAYO",PR!$AF423,IF(H425="LEADWAY",PR!$AG423,IF(H425="LHV",PR!$AH423,IF(H425="MANOLA",PR!$AI423,IF(H425="MARCSON",PR!$AJ423,IF(H425="M&amp;B",PR!$AK423,IF(H425="MTRUST",PR!$AL423,IF(H425="MWORLD",PR!$AM423,IF(H425="MEGA",PR!$AN423,IF(H425="MICRONOVA",PR!$AO423,IF(H425="MFLASH",PR!$AP423,IF(H425="MORISON",PR!$AQ423,IF(H425="NEMEL",PR!$AR423,IF(H425="NHP",PR!$AS423,IF(H425="NHC",PR!$AT423,IF(H425="OLEAF",PR!$AU423,IF(H425="OCULUS",PR!$AV423,IF(H425="PACIFIC",PR!$AW423,IF(H425="PHAMATEX",PR!$AX423,IF(H425="PETHICS",PR!$AY423,IF(H425="PHILIPS",PR!$AZ423,IF(H425="RANBAXY",PR!$BA423,IF(H425="REALS",PR!$BB423,IF(H425="ROYAL",PR!$BC423,IF(H425="SAM",PR!$BD423,IF(H425="SEAGREEN",PR!$BE423,IF(H425="SKG",PR!$BF423,IF(H425="TAH",PR!$BG423,IF(H425="TAYLEK",PR!$BH423,IF(H425="TEMITA",PR!$BI423,IF(H425="THL",PR!$BJ423,IF(H425="UBASTIC",PR!$BK423,IF(H425="UNION",PR!$BL423,IF(H425="UNIQUE",PR!$BM423,IF(H425="VIXA",PR!$BN423,IF(H425="WWCV",PR!$BO423,IF(H425="ZOLON",PR!$BP423,"-"))))))))))))))))))))))))))))))))))))))))))))))))))))))))))))))))</f>
        <v>25000</v>
      </c>
      <c r="H425" s="102" t="str">
        <f>EV!M545</f>
        <v>ALPHA</v>
      </c>
      <c r="I425" s="108" t="str">
        <f>IF(J425="ALPHA",PR!$E423,IF(J425="ASSENE",PR!$F423,IF(J425="BIOFEM",PR!$G423,IF(J425="BIOMED",PR!$H423,IF(J425="CHI",PR!$I423,IF(J425="CLARION",PR!$J423,IF(J425="CODIX",PR!$K423,IF(J425="COSMADE",PR!$L423,IF(J425="SANCON",PR!$M423,IF(J425="DEVON",PR!$N423,IF(J425="DORTEMAG",PR!$O423,IF(J425="DGF",PR!$P423,IF(J425="DYNAMIC",PR!$Q423,IF(J425="EMZOR",PR!$R423,IF(J425="EUMATT",PR!$S423,IF(J425="FIDSON",PR!$T423,IF(J425="FCGLOBAL",PR!$U423,IF(J425="GENEITH",PR!$V423,IF(J425="GINOS",PR!$W423,IF(J425="GSK",PR!$X423,IF(J425="GLOBORG",PR!$Y423,IF(J425="GOODNEWS",PR!$Z423,IF(J425="GREENLIFE",PR!$AA423,IF(J425="HLINE",PR!$AB423,IF(J425="ROTECH",PR!$AC423,IF(J425="ISN",PR!$AD423,IF(J425="JAWA",PR!$AE423,IF(J425="LAYO",PR!$AF423,IF(J425="LEADWAY",PR!$AG423,IF(J425="LHV",PR!$AH423,IF(J425="MANOLA",PR!$AI423,IF(J425="MARCSON",PR!$AJ423,IF(J425="M&amp;B",PR!$AK423,IF(J425="MTRUST",PR!$AL423,IF(J425="MWORLD",PR!$AM423,IF(J425="MEGA",PR!$AN423,IF(J425="MICRONOVA",PR!$AO423,IF(J425="MFLASH",PR!$AP423,IF(J425="MORISON",PR!$AQ423,IF(J425="NEMEL",PR!$AR423,IF(J425="NHP",PR!$AS423,IF(J425="NHC",PR!$AT423,IF(J425="OLEAF",PR!$AU423,IF(J425="OCULUS",PR!$AV423,IF(J425="PACIFIC",PR!$AW423,IF(J425="PHAMATEX",PR!$AX423,IF(J425="PETHICS",PR!$AY423,IF(J425="PHILIPS",PR!$AZ423,IF(J425="RANBAXY",PR!$BA423,IF(J425="REALS",PR!$BB423,IF(J425="ROYAL",PR!$BC423,IF(J425="SAM",PR!$BD423,IF(J425="SEAGREEN",PR!$BE423,IF(J425="SKG",PR!$BF423,IF(J425="TAH",PR!$BG423,IF(J425="TAYLEK",PR!$BH423,IF(J425="TEMITA",PR!$BI423,IF(J425="THL",PR!$BJ423,IF(J425="UBASTIC",PR!$BK423,IF(J425="UNION",PR!$BL423,IF(J425="UNIQUE",PR!$BM423,IF(J425="VIXA",PR!$BN423,IF(J425="WWCV",PR!$BO423,IF(J425="ZOLON",PR!$BP423,"-"))))))))))))))))))))))))))))))))))))))))))))))))))))))))))))))))</f>
        <v>-</v>
      </c>
      <c r="J425" s="102">
        <f>EV!N545</f>
        <v>0</v>
      </c>
      <c r="K425" s="433" t="s">
        <v>634</v>
      </c>
      <c r="L425" s="183">
        <f>IF(K425&gt;0,IF(K425="ALPHA",PR!$E423,IF(K425="ASSENE",PR!$F423,IF(K425="BIOFEM",PR!$G423,IF(K425="BIOMED",PR!$H423,IF(K425="CHI",PR!$I423,IF(K425="CLARION",PR!$J423,IF(K425="CODIX",PR!$K423,IF(K425="COSMADE",PR!$L423,IF(K425="SANCON",PR!$M423,IF(K425="DEVON",PR!$N423,IF(K425="DORTEMAG",PR!$O423,IF(K425="DGF",PR!$P423,IF(K425="DYNAMIC",PR!$Q423,IF(K425="EMZOR",PR!$R423,IF(K425="EUMATT",PR!$S423,IF(K425="FIDSON",PR!$T423,IF(K425="FCGLOBAL",PR!$U423,IF(K425="GENEITH",PR!$V423,IF(K425="GINOS",PR!$W423,IF(K425="GSK",PR!$X423,IF(K425="GLOBORG",PR!$Y423,IF(K425="GOODNEWS",PR!$Z423,IF(K425="GREENLIFE",PR!$AA423,IF(K425="HLINE",PR!$AB423,IF(K425="ROTECH",PR!$AC423,IF(K425="ISN",PR!$AD423,IF(K425="JAWA",PR!$AE423,IF(K425="LAYO",PR!$AF423,IF(K425="LEADWAY",PR!$AG423,IF(K425="LHV",PR!$AH423,IF(K425="MANOLA",PR!$AI423,IF(K425="MARCSON",PR!$AJ423,IF(K425="M&amp;B",PR!$AK423,IF(K425="MTRUST",PR!$AL423,IF(K425="MWORLD",PR!$AM423,IF(K425="MEGA",PR!$AN423,IF(K425="MICRONOVA",PR!$AO423,IF(K425="MFLASH",PR!$AP423,IF(K425="MORISON",PR!$AQ423,IF(K425="NEMEL",PR!$AR423,IF(K425="NHP",PR!$AS423,IF(K425="NHC",PR!$AT423,IF(K425="OLEAF",PR!$AU423,IF(K425="OCULUS",PR!$AV423,IF(K425="PACIFIC",PR!$AW423,IF(K425="PHAMATEX",PR!$AX423,IF(K425="PETHICS",PR!$AY423,IF(K425="PHILIPS",PR!$AZ423,IF(K425="RANBAXY",PR!$BA423,IF(K425="REALS",PR!$BB423,IF(K425="ROYAL",PR!$BC423,IF(K425="SAM",PR!$BD423,IF(K425="SEAGREEN",PR!$BE423,IF(K425="SKG",PR!$BF423,IF(K425="TAH",PR!$BG423,IF(K425="TAYLEK",PR!$BH423,IF(K425="TEMITA",PR!$BI423,IF(K425="THL",PR!$BJ423,IF(K425="UBASTIC",PR!$BK423,IF(K425="UNION",PR!$BL423,IF(K425="UNIQUE",PR!$BM423,IF(K425="VIXA",PR!$BN423,IF(K425="WWCV",PR!$BO423,IF(K425="ZOLON",PR!$BP423,"-")))))))))))))))))))))))))))))))))))))))))))))))))))))))))))))))))</f>
        <v>25000</v>
      </c>
    </row>
    <row r="426" spans="1:12" ht="18.75" x14ac:dyDescent="0.3">
      <c r="A426" s="430">
        <f>PR!A424</f>
        <v>386</v>
      </c>
      <c r="B426" s="15" t="str">
        <f>PR!B424</f>
        <v>HYDROXYPROGESTERONE INJ</v>
      </c>
      <c r="C426" s="113">
        <f>PR!D424</f>
        <v>1</v>
      </c>
      <c r="D426" s="113">
        <f>PR!C424</f>
        <v>48</v>
      </c>
      <c r="E426" s="108">
        <f>IF(F426="ALPHA",PR!$E424,IF(F426="ASSENE",PR!$F424,IF(F426="BIOFEM",PR!$G424,IF(F426="BIOMED",PR!$H424,IF(F426="CHI",PR!$I424,IF(F426="CLARION",PR!$J424,IF(F426="CODIX",PR!$K424,IF(F426="COSMADE",PR!$L424,IF(F426="SANCON",PR!$M424,IF(F426="DEVON",PR!$N424,IF(F426="DORTEMAG",PR!$O424,IF(F426="DGF",PR!$P424,IF(F426="DYNAMIC",PR!$Q424,IF(F426="EMZOR",PR!$R424,IF(F426="EUMATT",PR!$S424,IF(F426="FIDSON",PR!$T424,IF(F426="FCGLOBAL",PR!$U424,IF(F426="GENEITH",PR!$V424,IF(F426="GINOS",PR!$W424,IF(F426="GSK",PR!$X424,IF(F426="GLOBORG",PR!$Y424,IF(F426="GOODNEWS",PR!$Z424,IF(F426="GREENLIFE",PR!$AA424,IF(F426="HLINE",PR!$AB424,IF(F426="ROTECH",PR!$AC424,IF(F426="ISN",PR!$AD424,IF(F426="JAWA",PR!$AE424,IF(F426="LAYO",PR!$AF424,IF(F426="LEADWAY",PR!$AG424,IF(F426="LHV",PR!$AH424,IF(F426="MANOLA",PR!$AI424,IF(F426="MARCSON",PR!$AJ424,IF(F426="M&amp;B",PR!$AK424,IF(F426="MTRUST",PR!$AL424,IF(F426="MWORLD",PR!$AM424,IF(F426="MEGA",PR!$AN424,IF(F426="MICRONOVA",PR!$AO424,IF(F426="MFLASH",PR!$AP424,IF(F426="MORISON",PR!$AQ424,IF(F426="NEMEL",PR!$AR424,IF(F426="NHP",PR!$AS424,IF(F426="NHC",PR!$AT424,IF(F426="OLEAF",PR!$AU424,IF(F426="OCULUS",PR!$AV424,IF(F426="PACIFIC",PR!$AW424,IF(F426="PHAMATEX",PR!$AX424,IF(F426="PETHICS",PR!$AY424,IF(F426="PHILIPS",PR!$AZ424,IF(F426="RANBAXY",PR!$BA424,IF(F426="REALS",PR!$BB424,IF(F426="ROYAL",PR!$BC424,IF(F426="SAM",PR!$BD424,IF(F426="SEAGREEN",PR!$BE424,IF(F426="SKG",PR!$BF424,IF(F426="TAH",PR!$BG424,IF(F426="TAYLEK",PR!$BH424,IF(F426="TEMITA",PR!$BI424,IF(F426="THL",PR!$BJ424,IF(F426="UBASTIC",PR!$BK424,IF(F426="UNION",PR!$BL424,IF(F426="UNIQUE",PR!$BM424,IF(F426="VIXA",PR!$BN424,IF(F426="WWCV",PR!$BO424,IF(F426="ZOLON",PR!$BP424,"-"))))))))))))))))))))))))))))))))))))))))))))))))))))))))))))))))</f>
        <v>1200</v>
      </c>
      <c r="F426" s="102" t="str">
        <f>EV!L546</f>
        <v>EUMATT</v>
      </c>
      <c r="G426" s="108">
        <f>IF(H426="ALPHA",PR!$E424,IF(H426="ASSENE",PR!$F424,IF(H426="BIOFEM",PR!$G424,IF(H426="BIOMED",PR!$H424,IF(H426="CHI",PR!$I424,IF(H426="CLARION",PR!$J424,IF(H426="CODIX",PR!$K424,IF(H426="COSMADE",PR!$L424,IF(H426="SANCON",PR!$M424,IF(H426="DEVON",PR!$N424,IF(H426="DORTEMAG",PR!$O424,IF(H426="DGF",PR!$P424,IF(H426="DYNAMIC",PR!$Q424,IF(H426="EMZOR",PR!$R424,IF(H426="EUMATT",PR!$S424,IF(H426="FIDSON",PR!$T424,IF(H426="FCGLOBAL",PR!$U424,IF(H426="GENEITH",PR!$V424,IF(H426="GINOS",PR!$W424,IF(H426="GSK",PR!$X424,IF(H426="GLOBORG",PR!$Y424,IF(H426="GOODNEWS",PR!$Z424,IF(H426="GREENLIFE",PR!$AA424,IF(H426="HLINE",PR!$AB424,IF(H426="ROTECH",PR!$AC424,IF(H426="ISN",PR!$AD424,IF(H426="JAWA",PR!$AE424,IF(H426="LAYO",PR!$AF424,IF(H426="LEADWAY",PR!$AG424,IF(H426="LHV",PR!$AH424,IF(H426="MANOLA",PR!$AI424,IF(H426="MARCSON",PR!$AJ424,IF(H426="M&amp;B",PR!$AK424,IF(H426="MTRUST",PR!$AL424,IF(H426="MWORLD",PR!$AM424,IF(H426="MEGA",PR!$AN424,IF(H426="MICRONOVA",PR!$AO424,IF(H426="MFLASH",PR!$AP424,IF(H426="MORISON",PR!$AQ424,IF(H426="NEMEL",PR!$AR424,IF(H426="NHP",PR!$AS424,IF(H426="NHC",PR!$AT424,IF(H426="OLEAF",PR!$AU424,IF(H426="OCULUS",PR!$AV424,IF(H426="PACIFIC",PR!$AW424,IF(H426="PHAMATEX",PR!$AX424,IF(H426="PETHICS",PR!$AY424,IF(H426="PHILIPS",PR!$AZ424,IF(H426="RANBAXY",PR!$BA424,IF(H426="REALS",PR!$BB424,IF(H426="ROYAL",PR!$BC424,IF(H426="SAM",PR!$BD424,IF(H426="SEAGREEN",PR!$BE424,IF(H426="SKG",PR!$BF424,IF(H426="TAH",PR!$BG424,IF(H426="TAYLEK",PR!$BH424,IF(H426="TEMITA",PR!$BI424,IF(H426="THL",PR!$BJ424,IF(H426="UBASTIC",PR!$BK424,IF(H426="UNION",PR!$BL424,IF(H426="UNIQUE",PR!$BM424,IF(H426="VIXA",PR!$BN424,IF(H426="WWCV",PR!$BO424,IF(H426="ZOLON",PR!$BP424,"-"))))))))))))))))))))))))))))))))))))))))))))))))))))))))))))))))</f>
        <v>1500</v>
      </c>
      <c r="H426" s="102" t="str">
        <f>EV!M546</f>
        <v>PETHICS</v>
      </c>
      <c r="I426" s="108" t="str">
        <f>IF(J426="ALPHA",PR!$E424,IF(J426="ASSENE",PR!$F424,IF(J426="BIOFEM",PR!$G424,IF(J426="BIOMED",PR!$H424,IF(J426="CHI",PR!$I424,IF(J426="CLARION",PR!$J424,IF(J426="CODIX",PR!$K424,IF(J426="COSMADE",PR!$L424,IF(J426="SANCON",PR!$M424,IF(J426="DEVON",PR!$N424,IF(J426="DORTEMAG",PR!$O424,IF(J426="DGF",PR!$P424,IF(J426="DYNAMIC",PR!$Q424,IF(J426="EMZOR",PR!$R424,IF(J426="EUMATT",PR!$S424,IF(J426="FIDSON",PR!$T424,IF(J426="FCGLOBAL",PR!$U424,IF(J426="GENEITH",PR!$V424,IF(J426="GINOS",PR!$W424,IF(J426="GSK",PR!$X424,IF(J426="GLOBORG",PR!$Y424,IF(J426="GOODNEWS",PR!$Z424,IF(J426="GREENLIFE",PR!$AA424,IF(J426="HLINE",PR!$AB424,IF(J426="ROTECH",PR!$AC424,IF(J426="ISN",PR!$AD424,IF(J426="JAWA",PR!$AE424,IF(J426="LAYO",PR!$AF424,IF(J426="LEADWAY",PR!$AG424,IF(J426="LHV",PR!$AH424,IF(J426="MANOLA",PR!$AI424,IF(J426="MARCSON",PR!$AJ424,IF(J426="M&amp;B",PR!$AK424,IF(J426="MTRUST",PR!$AL424,IF(J426="MWORLD",PR!$AM424,IF(J426="MEGA",PR!$AN424,IF(J426="MICRONOVA",PR!$AO424,IF(J426="MFLASH",PR!$AP424,IF(J426="MORISON",PR!$AQ424,IF(J426="NEMEL",PR!$AR424,IF(J426="NHP",PR!$AS424,IF(J426="NHC",PR!$AT424,IF(J426="OLEAF",PR!$AU424,IF(J426="OCULUS",PR!$AV424,IF(J426="PACIFIC",PR!$AW424,IF(J426="PHAMATEX",PR!$AX424,IF(J426="PETHICS",PR!$AY424,IF(J426="PHILIPS",PR!$AZ424,IF(J426="RANBAXY",PR!$BA424,IF(J426="REALS",PR!$BB424,IF(J426="ROYAL",PR!$BC424,IF(J426="SAM",PR!$BD424,IF(J426="SEAGREEN",PR!$BE424,IF(J426="SKG",PR!$BF424,IF(J426="TAH",PR!$BG424,IF(J426="TAYLEK",PR!$BH424,IF(J426="TEMITA",PR!$BI424,IF(J426="THL",PR!$BJ424,IF(J426="UBASTIC",PR!$BK424,IF(J426="UNION",PR!$BL424,IF(J426="UNIQUE",PR!$BM424,IF(J426="VIXA",PR!$BN424,IF(J426="WWCV",PR!$BO424,IF(J426="ZOLON",PR!$BP424,"-"))))))))))))))))))))))))))))))))))))))))))))))))))))))))))))))))</f>
        <v>-</v>
      </c>
      <c r="J426" s="102">
        <f>EV!N546</f>
        <v>0</v>
      </c>
      <c r="K426" s="433" t="s">
        <v>827</v>
      </c>
      <c r="L426" s="183">
        <f>IF(K426&gt;0,IF(K426="ALPHA",PR!$E424,IF(K426="ASSENE",PR!$F424,IF(K426="BIOFEM",PR!$G424,IF(K426="BIOMED",PR!$H424,IF(K426="CHI",PR!$I424,IF(K426="CLARION",PR!$J424,IF(K426="CODIX",PR!$K424,IF(K426="COSMADE",PR!$L424,IF(K426="SANCON",PR!$M424,IF(K426="DEVON",PR!$N424,IF(K426="DORTEMAG",PR!$O424,IF(K426="DGF",PR!$P424,IF(K426="DYNAMIC",PR!$Q424,IF(K426="EMZOR",PR!$R424,IF(K426="EUMATT",PR!$S424,IF(K426="FIDSON",PR!$T424,IF(K426="FCGLOBAL",PR!$U424,IF(K426="GENEITH",PR!$V424,IF(K426="GINOS",PR!$W424,IF(K426="GSK",PR!$X424,IF(K426="GLOBORG",PR!$Y424,IF(K426="GOODNEWS",PR!$Z424,IF(K426="GREENLIFE",PR!$AA424,IF(K426="HLINE",PR!$AB424,IF(K426="ROTECH",PR!$AC424,IF(K426="ISN",PR!$AD424,IF(K426="JAWA",PR!$AE424,IF(K426="LAYO",PR!$AF424,IF(K426="LEADWAY",PR!$AG424,IF(K426="LHV",PR!$AH424,IF(K426="MANOLA",PR!$AI424,IF(K426="MARCSON",PR!$AJ424,IF(K426="M&amp;B",PR!$AK424,IF(K426="MTRUST",PR!$AL424,IF(K426="MWORLD",PR!$AM424,IF(K426="MEGA",PR!$AN424,IF(K426="MICRONOVA",PR!$AO424,IF(K426="MFLASH",PR!$AP424,IF(K426="MORISON",PR!$AQ424,IF(K426="NEMEL",PR!$AR424,IF(K426="NHP",PR!$AS424,IF(K426="NHC",PR!$AT424,IF(K426="OLEAF",PR!$AU424,IF(K426="OCULUS",PR!$AV424,IF(K426="PACIFIC",PR!$AW424,IF(K426="PHAMATEX",PR!$AX424,IF(K426="PETHICS",PR!$AY424,IF(K426="PHILIPS",PR!$AZ424,IF(K426="RANBAXY",PR!$BA424,IF(K426="REALS",PR!$BB424,IF(K426="ROYAL",PR!$BC424,IF(K426="SAM",PR!$BD424,IF(K426="SEAGREEN",PR!$BE424,IF(K426="SKG",PR!$BF424,IF(K426="TAH",PR!$BG424,IF(K426="TAYLEK",PR!$BH424,IF(K426="TEMITA",PR!$BI424,IF(K426="THL",PR!$BJ424,IF(K426="UBASTIC",PR!$BK424,IF(K426="UNION",PR!$BL424,IF(K426="UNIQUE",PR!$BM424,IF(K426="VIXA",PR!$BN424,IF(K426="WWCV",PR!$BO424,IF(K426="ZOLON",PR!$BP424,"-")))))))))))))))))))))))))))))))))))))))))))))))))))))))))))))))))</f>
        <v>1500</v>
      </c>
    </row>
    <row r="427" spans="1:12" ht="18.75" x14ac:dyDescent="0.3">
      <c r="A427" s="430">
        <f>PR!A425</f>
        <v>387</v>
      </c>
      <c r="B427" s="15" t="str">
        <f>PR!B425</f>
        <v>LEUPROLIDE ACETATE 3.75MG INJ</v>
      </c>
      <c r="C427" s="113">
        <f>PR!D425</f>
        <v>1</v>
      </c>
      <c r="D427" s="113">
        <f>PR!C425</f>
        <v>20</v>
      </c>
      <c r="E427" s="108">
        <f>IF(F427="ALPHA",PR!$E425,IF(F427="ASSENE",PR!$F425,IF(F427="BIOFEM",PR!$G425,IF(F427="BIOMED",PR!$H425,IF(F427="CHI",PR!$I425,IF(F427="CLARION",PR!$J425,IF(F427="CODIX",PR!$K425,IF(F427="COSMADE",PR!$L425,IF(F427="SANCON",PR!$M425,IF(F427="DEVON",PR!$N425,IF(F427="DORTEMAG",PR!$O425,IF(F427="DGF",PR!$P425,IF(F427="DYNAMIC",PR!$Q425,IF(F427="EMZOR",PR!$R425,IF(F427="EUMATT",PR!$S425,IF(F427="FIDSON",PR!$T425,IF(F427="FCGLOBAL",PR!$U425,IF(F427="GENEITH",PR!$V425,IF(F427="GINOS",PR!$W425,IF(F427="GSK",PR!$X425,IF(F427="GLOBORG",PR!$Y425,IF(F427="GOODNEWS",PR!$Z425,IF(F427="GREENLIFE",PR!$AA425,IF(F427="HLINE",PR!$AB425,IF(F427="ROTECH",PR!$AC425,IF(F427="ISN",PR!$AD425,IF(F427="JAWA",PR!$AE425,IF(F427="LAYO",PR!$AF425,IF(F427="LEADWAY",PR!$AG425,IF(F427="LHV",PR!$AH425,IF(F427="MANOLA",PR!$AI425,IF(F427="MARCSON",PR!$AJ425,IF(F427="M&amp;B",PR!$AK425,IF(F427="MTRUST",PR!$AL425,IF(F427="MWORLD",PR!$AM425,IF(F427="MEGA",PR!$AN425,IF(F427="MICRONOVA",PR!$AO425,IF(F427="MFLASH",PR!$AP425,IF(F427="MORISON",PR!$AQ425,IF(F427="NEMEL",PR!$AR425,IF(F427="NHP",PR!$AS425,IF(F427="NHC",PR!$AT425,IF(F427="OLEAF",PR!$AU425,IF(F427="OCULUS",PR!$AV425,IF(F427="PACIFIC",PR!$AW425,IF(F427="PHAMATEX",PR!$AX425,IF(F427="PETHICS",PR!$AY425,IF(F427="PHILIPS",PR!$AZ425,IF(F427="RANBAXY",PR!$BA425,IF(F427="REALS",PR!$BB425,IF(F427="ROYAL",PR!$BC425,IF(F427="SAM",PR!$BD425,IF(F427="SEAGREEN",PR!$BE425,IF(F427="SKG",PR!$BF425,IF(F427="TAH",PR!$BG425,IF(F427="TAYLEK",PR!$BH425,IF(F427="TEMITA",PR!$BI425,IF(F427="THL",PR!$BJ425,IF(F427="UBASTIC",PR!$BK425,IF(F427="UNION",PR!$BL425,IF(F427="UNIQUE",PR!$BM425,IF(F427="VIXA",PR!$BN425,IF(F427="WWCV",PR!$BO425,IF(F427="ZOLON",PR!$BP425,"-"))))))))))))))))))))))))))))))))))))))))))))))))))))))))))))))))</f>
        <v>24000</v>
      </c>
      <c r="F427" s="102" t="str">
        <f>EV!L547</f>
        <v>ALPHA</v>
      </c>
      <c r="G427" s="108" t="str">
        <f>IF(H427="ALPHA",PR!$E425,IF(H427="ASSENE",PR!$F425,IF(H427="BIOFEM",PR!$G425,IF(H427="BIOMED",PR!$H425,IF(H427="CHI",PR!$I425,IF(H427="CLARION",PR!$J425,IF(H427="CODIX",PR!$K425,IF(H427="COSMADE",PR!$L425,IF(H427="SANCON",PR!$M425,IF(H427="DEVON",PR!$N425,IF(H427="DORTEMAG",PR!$O425,IF(H427="DGF",PR!$P425,IF(H427="DYNAMIC",PR!$Q425,IF(H427="EMZOR",PR!$R425,IF(H427="EUMATT",PR!$S425,IF(H427="FIDSON",PR!$T425,IF(H427="FCGLOBAL",PR!$U425,IF(H427="GENEITH",PR!$V425,IF(H427="GINOS",PR!$W425,IF(H427="GSK",PR!$X425,IF(H427="GLOBORG",PR!$Y425,IF(H427="GOODNEWS",PR!$Z425,IF(H427="GREENLIFE",PR!$AA425,IF(H427="HLINE",PR!$AB425,IF(H427="ROTECH",PR!$AC425,IF(H427="ISN",PR!$AD425,IF(H427="JAWA",PR!$AE425,IF(H427="LAYO",PR!$AF425,IF(H427="LEADWAY",PR!$AG425,IF(H427="LHV",PR!$AH425,IF(H427="MANOLA",PR!$AI425,IF(H427="MARCSON",PR!$AJ425,IF(H427="M&amp;B",PR!$AK425,IF(H427="MTRUST",PR!$AL425,IF(H427="MWORLD",PR!$AM425,IF(H427="MEGA",PR!$AN425,IF(H427="MICRONOVA",PR!$AO425,IF(H427="MFLASH",PR!$AP425,IF(H427="MORISON",PR!$AQ425,IF(H427="NEMEL",PR!$AR425,IF(H427="NHP",PR!$AS425,IF(H427="NHC",PR!$AT425,IF(H427="OLEAF",PR!$AU425,IF(H427="OCULUS",PR!$AV425,IF(H427="PACIFIC",PR!$AW425,IF(H427="PHAMATEX",PR!$AX425,IF(H427="PETHICS",PR!$AY425,IF(H427="PHILIPS",PR!$AZ425,IF(H427="RANBAXY",PR!$BA425,IF(H427="REALS",PR!$BB425,IF(H427="ROYAL",PR!$BC425,IF(H427="SAM",PR!$BD425,IF(H427="SEAGREEN",PR!$BE425,IF(H427="SKG",PR!$BF425,IF(H427="TAH",PR!$BG425,IF(H427="TAYLEK",PR!$BH425,IF(H427="TEMITA",PR!$BI425,IF(H427="THL",PR!$BJ425,IF(H427="UBASTIC",PR!$BK425,IF(H427="UNION",PR!$BL425,IF(H427="UNIQUE",PR!$BM425,IF(H427="VIXA",PR!$BN425,IF(H427="WWCV",PR!$BO425,IF(H427="ZOLON",PR!$BP425,"-"))))))))))))))))))))))))))))))))))))))))))))))))))))))))))))))))</f>
        <v>-</v>
      </c>
      <c r="H427" s="102">
        <f>EV!M547</f>
        <v>0</v>
      </c>
      <c r="I427" s="108" t="str">
        <f>IF(J427="ALPHA",PR!$E425,IF(J427="ASSENE",PR!$F425,IF(J427="BIOFEM",PR!$G425,IF(J427="BIOMED",PR!$H425,IF(J427="CHI",PR!$I425,IF(J427="CLARION",PR!$J425,IF(J427="CODIX",PR!$K425,IF(J427="COSMADE",PR!$L425,IF(J427="SANCON",PR!$M425,IF(J427="DEVON",PR!$N425,IF(J427="DORTEMAG",PR!$O425,IF(J427="DGF",PR!$P425,IF(J427="DYNAMIC",PR!$Q425,IF(J427="EMZOR",PR!$R425,IF(J427="EUMATT",PR!$S425,IF(J427="FIDSON",PR!$T425,IF(J427="FCGLOBAL",PR!$U425,IF(J427="GENEITH",PR!$V425,IF(J427="GINOS",PR!$W425,IF(J427="GSK",PR!$X425,IF(J427="GLOBORG",PR!$Y425,IF(J427="GOODNEWS",PR!$Z425,IF(J427="GREENLIFE",PR!$AA425,IF(J427="HLINE",PR!$AB425,IF(J427="ROTECH",PR!$AC425,IF(J427="ISN",PR!$AD425,IF(J427="JAWA",PR!$AE425,IF(J427="LAYO",PR!$AF425,IF(J427="LEADWAY",PR!$AG425,IF(J427="LHV",PR!$AH425,IF(J427="MANOLA",PR!$AI425,IF(J427="MARCSON",PR!$AJ425,IF(J427="M&amp;B",PR!$AK425,IF(J427="MTRUST",PR!$AL425,IF(J427="MWORLD",PR!$AM425,IF(J427="MEGA",PR!$AN425,IF(J427="MICRONOVA",PR!$AO425,IF(J427="MFLASH",PR!$AP425,IF(J427="MORISON",PR!$AQ425,IF(J427="NEMEL",PR!$AR425,IF(J427="NHP",PR!$AS425,IF(J427="NHC",PR!$AT425,IF(J427="OLEAF",PR!$AU425,IF(J427="OCULUS",PR!$AV425,IF(J427="PACIFIC",PR!$AW425,IF(J427="PHAMATEX",PR!$AX425,IF(J427="PETHICS",PR!$AY425,IF(J427="PHILIPS",PR!$AZ425,IF(J427="RANBAXY",PR!$BA425,IF(J427="REALS",PR!$BB425,IF(J427="ROYAL",PR!$BC425,IF(J427="SAM",PR!$BD425,IF(J427="SEAGREEN",PR!$BE425,IF(J427="SKG",PR!$BF425,IF(J427="TAH",PR!$BG425,IF(J427="TAYLEK",PR!$BH425,IF(J427="TEMITA",PR!$BI425,IF(J427="THL",PR!$BJ425,IF(J427="UBASTIC",PR!$BK425,IF(J427="UNION",PR!$BL425,IF(J427="UNIQUE",PR!$BM425,IF(J427="VIXA",PR!$BN425,IF(J427="WWCV",PR!$BO425,IF(J427="ZOLON",PR!$BP425,"-"))))))))))))))))))))))))))))))))))))))))))))))))))))))))))))))))</f>
        <v>-</v>
      </c>
      <c r="J427" s="102">
        <f>EV!N547</f>
        <v>0</v>
      </c>
      <c r="K427" s="433" t="s">
        <v>634</v>
      </c>
      <c r="L427" s="183">
        <f>IF(K427&gt;0,IF(K427="ALPHA",PR!$E425,IF(K427="ASSENE",PR!$F425,IF(K427="BIOFEM",PR!$G425,IF(K427="BIOMED",PR!$H425,IF(K427="CHI",PR!$I425,IF(K427="CLARION",PR!$J425,IF(K427="CODIX",PR!$K425,IF(K427="COSMADE",PR!$L425,IF(K427="SANCON",PR!$M425,IF(K427="DEVON",PR!$N425,IF(K427="DORTEMAG",PR!$O425,IF(K427="DGF",PR!$P425,IF(K427="DYNAMIC",PR!$Q425,IF(K427="EMZOR",PR!$R425,IF(K427="EUMATT",PR!$S425,IF(K427="FIDSON",PR!$T425,IF(K427="FCGLOBAL",PR!$U425,IF(K427="GENEITH",PR!$V425,IF(K427="GINOS",PR!$W425,IF(K427="GSK",PR!$X425,IF(K427="GLOBORG",PR!$Y425,IF(K427="GOODNEWS",PR!$Z425,IF(K427="GREENLIFE",PR!$AA425,IF(K427="HLINE",PR!$AB425,IF(K427="ROTECH",PR!$AC425,IF(K427="ISN",PR!$AD425,IF(K427="JAWA",PR!$AE425,IF(K427="LAYO",PR!$AF425,IF(K427="LEADWAY",PR!$AG425,IF(K427="LHV",PR!$AH425,IF(K427="MANOLA",PR!$AI425,IF(K427="MARCSON",PR!$AJ425,IF(K427="M&amp;B",PR!$AK425,IF(K427="MTRUST",PR!$AL425,IF(K427="MWORLD",PR!$AM425,IF(K427="MEGA",PR!$AN425,IF(K427="MICRONOVA",PR!$AO425,IF(K427="MFLASH",PR!$AP425,IF(K427="MORISON",PR!$AQ425,IF(K427="NEMEL",PR!$AR425,IF(K427="NHP",PR!$AS425,IF(K427="NHC",PR!$AT425,IF(K427="OLEAF",PR!$AU425,IF(K427="OCULUS",PR!$AV425,IF(K427="PACIFIC",PR!$AW425,IF(K427="PHAMATEX",PR!$AX425,IF(K427="PETHICS",PR!$AY425,IF(K427="PHILIPS",PR!$AZ425,IF(K427="RANBAXY",PR!$BA425,IF(K427="REALS",PR!$BB425,IF(K427="ROYAL",PR!$BC425,IF(K427="SAM",PR!$BD425,IF(K427="SEAGREEN",PR!$BE425,IF(K427="SKG",PR!$BF425,IF(K427="TAH",PR!$BG425,IF(K427="TAYLEK",PR!$BH425,IF(K427="TEMITA",PR!$BI425,IF(K427="THL",PR!$BJ425,IF(K427="UBASTIC",PR!$BK425,IF(K427="UNION",PR!$BL425,IF(K427="UNIQUE",PR!$BM425,IF(K427="VIXA",PR!$BN425,IF(K427="WWCV",PR!$BO425,IF(K427="ZOLON",PR!$BP425,"-")))))))))))))))))))))))))))))))))))))))))))))))))))))))))))))))))</f>
        <v>24000</v>
      </c>
    </row>
    <row r="428" spans="1:12" ht="18.75" x14ac:dyDescent="0.3">
      <c r="A428" s="430">
        <f>PR!A426</f>
        <v>388</v>
      </c>
      <c r="B428" s="15" t="str">
        <f>PR!B426</f>
        <v>M2TONE TAB</v>
      </c>
      <c r="C428" s="113">
        <f>PR!D426</f>
        <v>20</v>
      </c>
      <c r="D428" s="113">
        <f>PR!C426</f>
        <v>20</v>
      </c>
      <c r="E428" s="108">
        <f>IF(F428="ALPHA",PR!$E426,IF(F428="ASSENE",PR!$F426,IF(F428="BIOFEM",PR!$G426,IF(F428="BIOMED",PR!$H426,IF(F428="CHI",PR!$I426,IF(F428="CLARION",PR!$J426,IF(F428="CODIX",PR!$K426,IF(F428="COSMADE",PR!$L426,IF(F428="SANCON",PR!$M426,IF(F428="DEVON",PR!$N426,IF(F428="DORTEMAG",PR!$O426,IF(F428="DGF",PR!$P426,IF(F428="DYNAMIC",PR!$Q426,IF(F428="EMZOR",PR!$R426,IF(F428="EUMATT",PR!$S426,IF(F428="FIDSON",PR!$T426,IF(F428="FCGLOBAL",PR!$U426,IF(F428="GENEITH",PR!$V426,IF(F428="GINOS",PR!$W426,IF(F428="GSK",PR!$X426,IF(F428="GLOBORG",PR!$Y426,IF(F428="GOODNEWS",PR!$Z426,IF(F428="GREENLIFE",PR!$AA426,IF(F428="HLINE",PR!$AB426,IF(F428="ROTECH",PR!$AC426,IF(F428="ISN",PR!$AD426,IF(F428="JAWA",PR!$AE426,IF(F428="LAYO",PR!$AF426,IF(F428="LEADWAY",PR!$AG426,IF(F428="LHV",PR!$AH426,IF(F428="MANOLA",PR!$AI426,IF(F428="MARCSON",PR!$AJ426,IF(F428="M&amp;B",PR!$AK426,IF(F428="MTRUST",PR!$AL426,IF(F428="MWORLD",PR!$AM426,IF(F428="MEGA",PR!$AN426,IF(F428="MICRONOVA",PR!$AO426,IF(F428="MFLASH",PR!$AP426,IF(F428="MORISON",PR!$AQ426,IF(F428="NEMEL",PR!$AR426,IF(F428="NHP",PR!$AS426,IF(F428="NHC",PR!$AT426,IF(F428="OLEAF",PR!$AU426,IF(F428="OCULUS",PR!$AV426,IF(F428="PACIFIC",PR!$AW426,IF(F428="PHAMATEX",PR!$AX426,IF(F428="PETHICS",PR!$AY426,IF(F428="PHILIPS",PR!$AZ426,IF(F428="RANBAXY",PR!$BA426,IF(F428="REALS",PR!$BB426,IF(F428="ROYAL",PR!$BC426,IF(F428="SAM",PR!$BD426,IF(F428="SEAGREEN",PR!$BE426,IF(F428="SKG",PR!$BF426,IF(F428="TAH",PR!$BG426,IF(F428="TAYLEK",PR!$BH426,IF(F428="TEMITA",PR!$BI426,IF(F428="THL",PR!$BJ426,IF(F428="UBASTIC",PR!$BK426,IF(F428="UNION",PR!$BL426,IF(F428="UNIQUE",PR!$BM426,IF(F428="VIXA",PR!$BN426,IF(F428="WWCV",PR!$BO426,IF(F428="ZOLON",PR!$BP426,"-"))))))))))))))))))))))))))))))))))))))))))))))))))))))))))))))))</f>
        <v>1600</v>
      </c>
      <c r="F428" s="102" t="str">
        <f>EV!L548</f>
        <v>FIDSON</v>
      </c>
      <c r="G428" s="108" t="str">
        <f>IF(H428="ALPHA",PR!$E426,IF(H428="ASSENE",PR!$F426,IF(H428="BIOFEM",PR!$G426,IF(H428="BIOMED",PR!$H426,IF(H428="CHI",PR!$I426,IF(H428="CLARION",PR!$J426,IF(H428="CODIX",PR!$K426,IF(H428="COSMADE",PR!$L426,IF(H428="SANCON",PR!$M426,IF(H428="DEVON",PR!$N426,IF(H428="DORTEMAG",PR!$O426,IF(H428="DGF",PR!$P426,IF(H428="DYNAMIC",PR!$Q426,IF(H428="EMZOR",PR!$R426,IF(H428="EUMATT",PR!$S426,IF(H428="FIDSON",PR!$T426,IF(H428="FCGLOBAL",PR!$U426,IF(H428="GENEITH",PR!$V426,IF(H428="GINOS",PR!$W426,IF(H428="GSK",PR!$X426,IF(H428="GLOBORG",PR!$Y426,IF(H428="GOODNEWS",PR!$Z426,IF(H428="GREENLIFE",PR!$AA426,IF(H428="HLINE",PR!$AB426,IF(H428="ROTECH",PR!$AC426,IF(H428="ISN",PR!$AD426,IF(H428="JAWA",PR!$AE426,IF(H428="LAYO",PR!$AF426,IF(H428="LEADWAY",PR!$AG426,IF(H428="LHV",PR!$AH426,IF(H428="MANOLA",PR!$AI426,IF(H428="MARCSON",PR!$AJ426,IF(H428="M&amp;B",PR!$AK426,IF(H428="MTRUST",PR!$AL426,IF(H428="MWORLD",PR!$AM426,IF(H428="MEGA",PR!$AN426,IF(H428="MICRONOVA",PR!$AO426,IF(H428="MFLASH",PR!$AP426,IF(H428="MORISON",PR!$AQ426,IF(H428="NEMEL",PR!$AR426,IF(H428="NHP",PR!$AS426,IF(H428="NHC",PR!$AT426,IF(H428="OLEAF",PR!$AU426,IF(H428="OCULUS",PR!$AV426,IF(H428="PACIFIC",PR!$AW426,IF(H428="PHAMATEX",PR!$AX426,IF(H428="PETHICS",PR!$AY426,IF(H428="PHILIPS",PR!$AZ426,IF(H428="RANBAXY",PR!$BA426,IF(H428="REALS",PR!$BB426,IF(H428="ROYAL",PR!$BC426,IF(H428="SAM",PR!$BD426,IF(H428="SEAGREEN",PR!$BE426,IF(H428="SKG",PR!$BF426,IF(H428="TAH",PR!$BG426,IF(H428="TAYLEK",PR!$BH426,IF(H428="TEMITA",PR!$BI426,IF(H428="THL",PR!$BJ426,IF(H428="UBASTIC",PR!$BK426,IF(H428="UNION",PR!$BL426,IF(H428="UNIQUE",PR!$BM426,IF(H428="VIXA",PR!$BN426,IF(H428="WWCV",PR!$BO426,IF(H428="ZOLON",PR!$BP426,"-"))))))))))))))))))))))))))))))))))))))))))))))))))))))))))))))))</f>
        <v>-</v>
      </c>
      <c r="H428" s="102">
        <f>EV!M548</f>
        <v>0</v>
      </c>
      <c r="I428" s="108" t="str">
        <f>IF(J428="ALPHA",PR!$E426,IF(J428="ASSENE",PR!$F426,IF(J428="BIOFEM",PR!$G426,IF(J428="BIOMED",PR!$H426,IF(J428="CHI",PR!$I426,IF(J428="CLARION",PR!$J426,IF(J428="CODIX",PR!$K426,IF(J428="COSMADE",PR!$L426,IF(J428="SANCON",PR!$M426,IF(J428="DEVON",PR!$N426,IF(J428="DORTEMAG",PR!$O426,IF(J428="DGF",PR!$P426,IF(J428="DYNAMIC",PR!$Q426,IF(J428="EMZOR",PR!$R426,IF(J428="EUMATT",PR!$S426,IF(J428="FIDSON",PR!$T426,IF(J428="FCGLOBAL",PR!$U426,IF(J428="GENEITH",PR!$V426,IF(J428="GINOS",PR!$W426,IF(J428="GSK",PR!$X426,IF(J428="GLOBORG",PR!$Y426,IF(J428="GOODNEWS",PR!$Z426,IF(J428="GREENLIFE",PR!$AA426,IF(J428="HLINE",PR!$AB426,IF(J428="ROTECH",PR!$AC426,IF(J428="ISN",PR!$AD426,IF(J428="JAWA",PR!$AE426,IF(J428="LAYO",PR!$AF426,IF(J428="LEADWAY",PR!$AG426,IF(J428="LHV",PR!$AH426,IF(J428="MANOLA",PR!$AI426,IF(J428="MARCSON",PR!$AJ426,IF(J428="M&amp;B",PR!$AK426,IF(J428="MTRUST",PR!$AL426,IF(J428="MWORLD",PR!$AM426,IF(J428="MEGA",PR!$AN426,IF(J428="MICRONOVA",PR!$AO426,IF(J428="MFLASH",PR!$AP426,IF(J428="MORISON",PR!$AQ426,IF(J428="NEMEL",PR!$AR426,IF(J428="NHP",PR!$AS426,IF(J428="NHC",PR!$AT426,IF(J428="OLEAF",PR!$AU426,IF(J428="OCULUS",PR!$AV426,IF(J428="PACIFIC",PR!$AW426,IF(J428="PHAMATEX",PR!$AX426,IF(J428="PETHICS",PR!$AY426,IF(J428="PHILIPS",PR!$AZ426,IF(J428="RANBAXY",PR!$BA426,IF(J428="REALS",PR!$BB426,IF(J428="ROYAL",PR!$BC426,IF(J428="SAM",PR!$BD426,IF(J428="SEAGREEN",PR!$BE426,IF(J428="SKG",PR!$BF426,IF(J428="TAH",PR!$BG426,IF(J428="TAYLEK",PR!$BH426,IF(J428="TEMITA",PR!$BI426,IF(J428="THL",PR!$BJ426,IF(J428="UBASTIC",PR!$BK426,IF(J428="UNION",PR!$BL426,IF(J428="UNIQUE",PR!$BM426,IF(J428="VIXA",PR!$BN426,IF(J428="WWCV",PR!$BO426,IF(J428="ZOLON",PR!$BP426,"-"))))))))))))))))))))))))))))))))))))))))))))))))))))))))))))))))</f>
        <v>-</v>
      </c>
      <c r="J428" s="102">
        <f>EV!N548</f>
        <v>0</v>
      </c>
      <c r="K428" s="433" t="s">
        <v>631</v>
      </c>
      <c r="L428" s="183">
        <f>IF(K428&gt;0,IF(K428="ALPHA",PR!$E426,IF(K428="ASSENE",PR!$F426,IF(K428="BIOFEM",PR!$G426,IF(K428="BIOMED",PR!$H426,IF(K428="CHI",PR!$I426,IF(K428="CLARION",PR!$J426,IF(K428="CODIX",PR!$K426,IF(K428="COSMADE",PR!$L426,IF(K428="SANCON",PR!$M426,IF(K428="DEVON",PR!$N426,IF(K428="DORTEMAG",PR!$O426,IF(K428="DGF",PR!$P426,IF(K428="DYNAMIC",PR!$Q426,IF(K428="EMZOR",PR!$R426,IF(K428="EUMATT",PR!$S426,IF(K428="FIDSON",PR!$T426,IF(K428="FCGLOBAL",PR!$U426,IF(K428="GENEITH",PR!$V426,IF(K428="GINOS",PR!$W426,IF(K428="GSK",PR!$X426,IF(K428="GLOBORG",PR!$Y426,IF(K428="GOODNEWS",PR!$Z426,IF(K428="GREENLIFE",PR!$AA426,IF(K428="HLINE",PR!$AB426,IF(K428="ROTECH",PR!$AC426,IF(K428="ISN",PR!$AD426,IF(K428="JAWA",PR!$AE426,IF(K428="LAYO",PR!$AF426,IF(K428="LEADWAY",PR!$AG426,IF(K428="LHV",PR!$AH426,IF(K428="MANOLA",PR!$AI426,IF(K428="MARCSON",PR!$AJ426,IF(K428="M&amp;B",PR!$AK426,IF(K428="MTRUST",PR!$AL426,IF(K428="MWORLD",PR!$AM426,IF(K428="MEGA",PR!$AN426,IF(K428="MICRONOVA",PR!$AO426,IF(K428="MFLASH",PR!$AP426,IF(K428="MORISON",PR!$AQ426,IF(K428="NEMEL",PR!$AR426,IF(K428="NHP",PR!$AS426,IF(K428="NHC",PR!$AT426,IF(K428="OLEAF",PR!$AU426,IF(K428="OCULUS",PR!$AV426,IF(K428="PACIFIC",PR!$AW426,IF(K428="PHAMATEX",PR!$AX426,IF(K428="PETHICS",PR!$AY426,IF(K428="PHILIPS",PR!$AZ426,IF(K428="RANBAXY",PR!$BA426,IF(K428="REALS",PR!$BB426,IF(K428="ROYAL",PR!$BC426,IF(K428="SAM",PR!$BD426,IF(K428="SEAGREEN",PR!$BE426,IF(K428="SKG",PR!$BF426,IF(K428="TAH",PR!$BG426,IF(K428="TAYLEK",PR!$BH426,IF(K428="TEMITA",PR!$BI426,IF(K428="THL",PR!$BJ426,IF(K428="UBASTIC",PR!$BK426,IF(K428="UNION",PR!$BL426,IF(K428="UNIQUE",PR!$BM426,IF(K428="VIXA",PR!$BN426,IF(K428="WWCV",PR!$BO426,IF(K428="ZOLON",PR!$BP426,"-")))))))))))))))))))))))))))))))))))))))))))))))))))))))))))))))))</f>
        <v>1600</v>
      </c>
    </row>
    <row r="429" spans="1:12" ht="18.75" x14ac:dyDescent="0.3">
      <c r="A429" s="430">
        <f>PR!A427</f>
        <v>389</v>
      </c>
      <c r="B429" s="15" t="str">
        <f>PR!B427</f>
        <v>MAGNESIUM SULPHATE INJ</v>
      </c>
      <c r="C429" s="113">
        <f>PR!D427</f>
        <v>5</v>
      </c>
      <c r="D429" s="113">
        <f>PR!C427</f>
        <v>200</v>
      </c>
      <c r="E429" s="108">
        <f>IF(F429="ALPHA",PR!$E427,IF(F429="ASSENE",PR!$F427,IF(F429="BIOFEM",PR!$G427,IF(F429="BIOMED",PR!$H427,IF(F429="CHI",PR!$I427,IF(F429="CLARION",PR!$J427,IF(F429="CODIX",PR!$K427,IF(F429="COSMADE",PR!$L427,IF(F429="SANCON",PR!$M427,IF(F429="DEVON",PR!$N427,IF(F429="DORTEMAG",PR!$O427,IF(F429="DGF",PR!$P427,IF(F429="DYNAMIC",PR!$Q427,IF(F429="EMZOR",PR!$R427,IF(F429="EUMATT",PR!$S427,IF(F429="FIDSON",PR!$T427,IF(F429="FCGLOBAL",PR!$U427,IF(F429="GENEITH",PR!$V427,IF(F429="GINOS",PR!$W427,IF(F429="GSK",PR!$X427,IF(F429="GLOBORG",PR!$Y427,IF(F429="GOODNEWS",PR!$Z427,IF(F429="GREENLIFE",PR!$AA427,IF(F429="HLINE",PR!$AB427,IF(F429="ROTECH",PR!$AC427,IF(F429="ISN",PR!$AD427,IF(F429="JAWA",PR!$AE427,IF(F429="LAYO",PR!$AF427,IF(F429="LEADWAY",PR!$AG427,IF(F429="LHV",PR!$AH427,IF(F429="MANOLA",PR!$AI427,IF(F429="MARCSON",PR!$AJ427,IF(F429="M&amp;B",PR!$AK427,IF(F429="MTRUST",PR!$AL427,IF(F429="MWORLD",PR!$AM427,IF(F429="MEGA",PR!$AN427,IF(F429="MICRONOVA",PR!$AO427,IF(F429="MFLASH",PR!$AP427,IF(F429="MORISON",PR!$AQ427,IF(F429="NEMEL",PR!$AR427,IF(F429="NHP",PR!$AS427,IF(F429="NHC",PR!$AT427,IF(F429="OLEAF",PR!$AU427,IF(F429="OCULUS",PR!$AV427,IF(F429="PACIFIC",PR!$AW427,IF(F429="PHAMATEX",PR!$AX427,IF(F429="PETHICS",PR!$AY427,IF(F429="PHILIPS",PR!$AZ427,IF(F429="RANBAXY",PR!$BA427,IF(F429="REALS",PR!$BB427,IF(F429="ROYAL",PR!$BC427,IF(F429="SAM",PR!$BD427,IF(F429="SEAGREEN",PR!$BE427,IF(F429="SKG",PR!$BF427,IF(F429="TAH",PR!$BG427,IF(F429="TAYLEK",PR!$BH427,IF(F429="TEMITA",PR!$BI427,IF(F429="THL",PR!$BJ427,IF(F429="UBASTIC",PR!$BK427,IF(F429="UNION",PR!$BL427,IF(F429="UNIQUE",PR!$BM427,IF(F429="VIXA",PR!$BN427,IF(F429="WWCV",PR!$BO427,IF(F429="ZOLON",PR!$BP427,"-"))))))))))))))))))))))))))))))))))))))))))))))))))))))))))))))))</f>
        <v>900</v>
      </c>
      <c r="F429" s="102" t="str">
        <f>EV!L549</f>
        <v>ZOLON</v>
      </c>
      <c r="G429" s="108">
        <f>IF(H429="ALPHA",PR!$E427,IF(H429="ASSENE",PR!$F427,IF(H429="BIOFEM",PR!$G427,IF(H429="BIOMED",PR!$H427,IF(H429="CHI",PR!$I427,IF(H429="CLARION",PR!$J427,IF(H429="CODIX",PR!$K427,IF(H429="COSMADE",PR!$L427,IF(H429="SANCON",PR!$M427,IF(H429="DEVON",PR!$N427,IF(H429="DORTEMAG",PR!$O427,IF(H429="DGF",PR!$P427,IF(H429="DYNAMIC",PR!$Q427,IF(H429="EMZOR",PR!$R427,IF(H429="EUMATT",PR!$S427,IF(H429="FIDSON",PR!$T427,IF(H429="FCGLOBAL",PR!$U427,IF(H429="GENEITH",PR!$V427,IF(H429="GINOS",PR!$W427,IF(H429="GSK",PR!$X427,IF(H429="GLOBORG",PR!$Y427,IF(H429="GOODNEWS",PR!$Z427,IF(H429="GREENLIFE",PR!$AA427,IF(H429="HLINE",PR!$AB427,IF(H429="ROTECH",PR!$AC427,IF(H429="ISN",PR!$AD427,IF(H429="JAWA",PR!$AE427,IF(H429="LAYO",PR!$AF427,IF(H429="LEADWAY",PR!$AG427,IF(H429="LHV",PR!$AH427,IF(H429="MANOLA",PR!$AI427,IF(H429="MARCSON",PR!$AJ427,IF(H429="M&amp;B",PR!$AK427,IF(H429="MTRUST",PR!$AL427,IF(H429="MWORLD",PR!$AM427,IF(H429="MEGA",PR!$AN427,IF(H429="MICRONOVA",PR!$AO427,IF(H429="MFLASH",PR!$AP427,IF(H429="MORISON",PR!$AQ427,IF(H429="NEMEL",PR!$AR427,IF(H429="NHP",PR!$AS427,IF(H429="NHC",PR!$AT427,IF(H429="OLEAF",PR!$AU427,IF(H429="OCULUS",PR!$AV427,IF(H429="PACIFIC",PR!$AW427,IF(H429="PHAMATEX",PR!$AX427,IF(H429="PETHICS",PR!$AY427,IF(H429="PHILIPS",PR!$AZ427,IF(H429="RANBAXY",PR!$BA427,IF(H429="REALS",PR!$BB427,IF(H429="ROYAL",PR!$BC427,IF(H429="SAM",PR!$BD427,IF(H429="SEAGREEN",PR!$BE427,IF(H429="SKG",PR!$BF427,IF(H429="TAH",PR!$BG427,IF(H429="TAYLEK",PR!$BH427,IF(H429="TEMITA",PR!$BI427,IF(H429="THL",PR!$BJ427,IF(H429="UBASTIC",PR!$BK427,IF(H429="UNION",PR!$BL427,IF(H429="UNIQUE",PR!$BM427,IF(H429="VIXA",PR!$BN427,IF(H429="WWCV",PR!$BO427,IF(H429="ZOLON",PR!$BP427,"-"))))))))))))))))))))))))))))))))))))))))))))))))))))))))))))))))</f>
        <v>1500</v>
      </c>
      <c r="H429" s="102" t="str">
        <f>EV!M549</f>
        <v>EUMATT</v>
      </c>
      <c r="I429" s="108">
        <f>IF(J429="ALPHA",PR!$E427,IF(J429="ASSENE",PR!$F427,IF(J429="BIOFEM",PR!$G427,IF(J429="BIOMED",PR!$H427,IF(J429="CHI",PR!$I427,IF(J429="CLARION",PR!$J427,IF(J429="CODIX",PR!$K427,IF(J429="COSMADE",PR!$L427,IF(J429="SANCON",PR!$M427,IF(J429="DEVON",PR!$N427,IF(J429="DORTEMAG",PR!$O427,IF(J429="DGF",PR!$P427,IF(J429="DYNAMIC",PR!$Q427,IF(J429="EMZOR",PR!$R427,IF(J429="EUMATT",PR!$S427,IF(J429="FIDSON",PR!$T427,IF(J429="FCGLOBAL",PR!$U427,IF(J429="GENEITH",PR!$V427,IF(J429="GINOS",PR!$W427,IF(J429="GSK",PR!$X427,IF(J429="GLOBORG",PR!$Y427,IF(J429="GOODNEWS",PR!$Z427,IF(J429="GREENLIFE",PR!$AA427,IF(J429="HLINE",PR!$AB427,IF(J429="ROTECH",PR!$AC427,IF(J429="ISN",PR!$AD427,IF(J429="JAWA",PR!$AE427,IF(J429="LAYO",PR!$AF427,IF(J429="LEADWAY",PR!$AG427,IF(J429="LHV",PR!$AH427,IF(J429="MANOLA",PR!$AI427,IF(J429="MARCSON",PR!$AJ427,IF(J429="M&amp;B",PR!$AK427,IF(J429="MTRUST",PR!$AL427,IF(J429="MWORLD",PR!$AM427,IF(J429="MEGA",PR!$AN427,IF(J429="MICRONOVA",PR!$AO427,IF(J429="MFLASH",PR!$AP427,IF(J429="MORISON",PR!$AQ427,IF(J429="NEMEL",PR!$AR427,IF(J429="NHP",PR!$AS427,IF(J429="NHC",PR!$AT427,IF(J429="OLEAF",PR!$AU427,IF(J429="OCULUS",PR!$AV427,IF(J429="PACIFIC",PR!$AW427,IF(J429="PHAMATEX",PR!$AX427,IF(J429="PETHICS",PR!$AY427,IF(J429="PHILIPS",PR!$AZ427,IF(J429="RANBAXY",PR!$BA427,IF(J429="REALS",PR!$BB427,IF(J429="ROYAL",PR!$BC427,IF(J429="SAM",PR!$BD427,IF(J429="SEAGREEN",PR!$BE427,IF(J429="SKG",PR!$BF427,IF(J429="TAH",PR!$BG427,IF(J429="TAYLEK",PR!$BH427,IF(J429="TEMITA",PR!$BI427,IF(J429="THL",PR!$BJ427,IF(J429="UBASTIC",PR!$BK427,IF(J429="UNION",PR!$BL427,IF(J429="UNIQUE",PR!$BM427,IF(J429="VIXA",PR!$BN427,IF(J429="WWCV",PR!$BO427,IF(J429="ZOLON",PR!$BP427,"-"))))))))))))))))))))))))))))))))))))))))))))))))))))))))))))))))</f>
        <v>3500</v>
      </c>
      <c r="J429" s="102" t="str">
        <f>EV!N549</f>
        <v>ALPHA</v>
      </c>
      <c r="K429" s="433" t="s">
        <v>615</v>
      </c>
      <c r="L429" s="183">
        <f>IF(K429&gt;0,IF(K429="ALPHA",PR!$E427,IF(K429="ASSENE",PR!$F427,IF(K429="BIOFEM",PR!$G427,IF(K429="BIOMED",PR!$H427,IF(K429="CHI",PR!$I427,IF(K429="CLARION",PR!$J427,IF(K429="CODIX",PR!$K427,IF(K429="COSMADE",PR!$L427,IF(K429="SANCON",PR!$M427,IF(K429="DEVON",PR!$N427,IF(K429="DORTEMAG",PR!$O427,IF(K429="DGF",PR!$P427,IF(K429="DYNAMIC",PR!$Q427,IF(K429="EMZOR",PR!$R427,IF(K429="EUMATT",PR!$S427,IF(K429="FIDSON",PR!$T427,IF(K429="FCGLOBAL",PR!$U427,IF(K429="GENEITH",PR!$V427,IF(K429="GINOS",PR!$W427,IF(K429="GSK",PR!$X427,IF(K429="GLOBORG",PR!$Y427,IF(K429="GOODNEWS",PR!$Z427,IF(K429="GREENLIFE",PR!$AA427,IF(K429="HLINE",PR!$AB427,IF(K429="ROTECH",PR!$AC427,IF(K429="ISN",PR!$AD427,IF(K429="JAWA",PR!$AE427,IF(K429="LAYO",PR!$AF427,IF(K429="LEADWAY",PR!$AG427,IF(K429="LHV",PR!$AH427,IF(K429="MANOLA",PR!$AI427,IF(K429="MARCSON",PR!$AJ427,IF(K429="M&amp;B",PR!$AK427,IF(K429="MTRUST",PR!$AL427,IF(K429="MWORLD",PR!$AM427,IF(K429="MEGA",PR!$AN427,IF(K429="MICRONOVA",PR!$AO427,IF(K429="MFLASH",PR!$AP427,IF(K429="MORISON",PR!$AQ427,IF(K429="NEMEL",PR!$AR427,IF(K429="NHP",PR!$AS427,IF(K429="NHC",PR!$AT427,IF(K429="OLEAF",PR!$AU427,IF(K429="OCULUS",PR!$AV427,IF(K429="PACIFIC",PR!$AW427,IF(K429="PHAMATEX",PR!$AX427,IF(K429="PETHICS",PR!$AY427,IF(K429="PHILIPS",PR!$AZ427,IF(K429="RANBAXY",PR!$BA427,IF(K429="REALS",PR!$BB427,IF(K429="ROYAL",PR!$BC427,IF(K429="SAM",PR!$BD427,IF(K429="SEAGREEN",PR!$BE427,IF(K429="SKG",PR!$BF427,IF(K429="TAH",PR!$BG427,IF(K429="TAYLEK",PR!$BH427,IF(K429="TEMITA",PR!$BI427,IF(K429="THL",PR!$BJ427,IF(K429="UBASTIC",PR!$BK427,IF(K429="UNION",PR!$BL427,IF(K429="UNIQUE",PR!$BM427,IF(K429="VIXA",PR!$BN427,IF(K429="WWCV",PR!$BO427,IF(K429="ZOLON",PR!$BP427,"-")))))))))))))))))))))))))))))))))))))))))))))))))))))))))))))))))</f>
        <v>900</v>
      </c>
    </row>
    <row r="430" spans="1:12" ht="18.75" x14ac:dyDescent="0.3">
      <c r="A430" s="430">
        <f>PR!A428</f>
        <v>390</v>
      </c>
      <c r="B430" s="15" t="str">
        <f>PR!B428</f>
        <v>MISOPROSTOL200MCG TAB</v>
      </c>
      <c r="C430" s="113">
        <f>PR!D428</f>
        <v>60</v>
      </c>
      <c r="D430" s="113">
        <f>PR!C428</f>
        <v>200</v>
      </c>
      <c r="E430" s="108">
        <f>IF(F430="ALPHA",PR!$E428,IF(F430="ASSENE",PR!$F428,IF(F430="BIOFEM",PR!$G428,IF(F430="BIOMED",PR!$H428,IF(F430="CHI",PR!$I428,IF(F430="CLARION",PR!$J428,IF(F430="CODIX",PR!$K428,IF(F430="COSMADE",PR!$L428,IF(F430="SANCON",PR!$M428,IF(F430="DEVON",PR!$N428,IF(F430="DORTEMAG",PR!$O428,IF(F430="DGF",PR!$P428,IF(F430="DYNAMIC",PR!$Q428,IF(F430="EMZOR",PR!$R428,IF(F430="EUMATT",PR!$S428,IF(F430="FIDSON",PR!$T428,IF(F430="FCGLOBAL",PR!$U428,IF(F430="GENEITH",PR!$V428,IF(F430="GINOS",PR!$W428,IF(F430="GSK",PR!$X428,IF(F430="GLOBORG",PR!$Y428,IF(F430="GOODNEWS",PR!$Z428,IF(F430="GREENLIFE",PR!$AA428,IF(F430="HLINE",PR!$AB428,IF(F430="ROTECH",PR!$AC428,IF(F430="ISN",PR!$AD428,IF(F430="JAWA",PR!$AE428,IF(F430="LAYO",PR!$AF428,IF(F430="LEADWAY",PR!$AG428,IF(F430="LHV",PR!$AH428,IF(F430="MANOLA",PR!$AI428,IF(F430="MARCSON",PR!$AJ428,IF(F430="M&amp;B",PR!$AK428,IF(F430="MTRUST",PR!$AL428,IF(F430="MWORLD",PR!$AM428,IF(F430="MEGA",PR!$AN428,IF(F430="MICRONOVA",PR!$AO428,IF(F430="MFLASH",PR!$AP428,IF(F430="MORISON",PR!$AQ428,IF(F430="NEMEL",PR!$AR428,IF(F430="NHP",PR!$AS428,IF(F430="NHC",PR!$AT428,IF(F430="OLEAF",PR!$AU428,IF(F430="OCULUS",PR!$AV428,IF(F430="PACIFIC",PR!$AW428,IF(F430="PHAMATEX",PR!$AX428,IF(F430="PETHICS",PR!$AY428,IF(F430="PHILIPS",PR!$AZ428,IF(F430="RANBAXY",PR!$BA428,IF(F430="REALS",PR!$BB428,IF(F430="ROYAL",PR!$BC428,IF(F430="SAM",PR!$BD428,IF(F430="SEAGREEN",PR!$BE428,IF(F430="SKG",PR!$BF428,IF(F430="TAH",PR!$BG428,IF(F430="TAYLEK",PR!$BH428,IF(F430="TEMITA",PR!$BI428,IF(F430="THL",PR!$BJ428,IF(F430="UBASTIC",PR!$BK428,IF(F430="UNION",PR!$BL428,IF(F430="UNIQUE",PR!$BM428,IF(F430="VIXA",PR!$BN428,IF(F430="WWCV",PR!$BO428,IF(F430="ZOLON",PR!$BP428,"-"))))))))))))))))))))))))))))))))))))))))))))))))))))))))))))))))</f>
        <v>2579</v>
      </c>
      <c r="F430" s="102" t="str">
        <f>EV!L550</f>
        <v>NHC</v>
      </c>
      <c r="G430" s="108">
        <f>IF(H430="ALPHA",PR!$E428,IF(H430="ASSENE",PR!$F428,IF(H430="BIOFEM",PR!$G428,IF(H430="BIOMED",PR!$H428,IF(H430="CHI",PR!$I428,IF(H430="CLARION",PR!$J428,IF(H430="CODIX",PR!$K428,IF(H430="COSMADE",PR!$L428,IF(H430="SANCON",PR!$M428,IF(H430="DEVON",PR!$N428,IF(H430="DORTEMAG",PR!$O428,IF(H430="DGF",PR!$P428,IF(H430="DYNAMIC",PR!$Q428,IF(H430="EMZOR",PR!$R428,IF(H430="EUMATT",PR!$S428,IF(H430="FIDSON",PR!$T428,IF(H430="FCGLOBAL",PR!$U428,IF(H430="GENEITH",PR!$V428,IF(H430="GINOS",PR!$W428,IF(H430="GSK",PR!$X428,IF(H430="GLOBORG",PR!$Y428,IF(H430="GOODNEWS",PR!$Z428,IF(H430="GREENLIFE",PR!$AA428,IF(H430="HLINE",PR!$AB428,IF(H430="ROTECH",PR!$AC428,IF(H430="ISN",PR!$AD428,IF(H430="JAWA",PR!$AE428,IF(H430="LAYO",PR!$AF428,IF(H430="LEADWAY",PR!$AG428,IF(H430="LHV",PR!$AH428,IF(H430="MANOLA",PR!$AI428,IF(H430="MARCSON",PR!$AJ428,IF(H430="M&amp;B",PR!$AK428,IF(H430="MTRUST",PR!$AL428,IF(H430="MWORLD",PR!$AM428,IF(H430="MEGA",PR!$AN428,IF(H430="MICRONOVA",PR!$AO428,IF(H430="MFLASH",PR!$AP428,IF(H430="MORISON",PR!$AQ428,IF(H430="NEMEL",PR!$AR428,IF(H430="NHP",PR!$AS428,IF(H430="NHC",PR!$AT428,IF(H430="OLEAF",PR!$AU428,IF(H430="OCULUS",PR!$AV428,IF(H430="PACIFIC",PR!$AW428,IF(H430="PHAMATEX",PR!$AX428,IF(H430="PETHICS",PR!$AY428,IF(H430="PHILIPS",PR!$AZ428,IF(H430="RANBAXY",PR!$BA428,IF(H430="REALS",PR!$BB428,IF(H430="ROYAL",PR!$BC428,IF(H430="SAM",PR!$BD428,IF(H430="SEAGREEN",PR!$BE428,IF(H430="SKG",PR!$BF428,IF(H430="TAH",PR!$BG428,IF(H430="TAYLEK",PR!$BH428,IF(H430="TEMITA",PR!$BI428,IF(H430="THL",PR!$BJ428,IF(H430="UBASTIC",PR!$BK428,IF(H430="UNION",PR!$BL428,IF(H430="UNIQUE",PR!$BM428,IF(H430="VIXA",PR!$BN428,IF(H430="WWCV",PR!$BO428,IF(H430="ZOLON",PR!$BP428,"-"))))))))))))))))))))))))))))))))))))))))))))))))))))))))))))))))</f>
        <v>5300</v>
      </c>
      <c r="H430" s="102" t="str">
        <f>EV!M550</f>
        <v>EUMATT</v>
      </c>
      <c r="I430" s="108" t="str">
        <f>IF(J430="ALPHA",PR!$E428,IF(J430="ASSENE",PR!$F428,IF(J430="BIOFEM",PR!$G428,IF(J430="BIOMED",PR!$H428,IF(J430="CHI",PR!$I428,IF(J430="CLARION",PR!$J428,IF(J430="CODIX",PR!$K428,IF(J430="COSMADE",PR!$L428,IF(J430="SANCON",PR!$M428,IF(J430="DEVON",PR!$N428,IF(J430="DORTEMAG",PR!$O428,IF(J430="DGF",PR!$P428,IF(J430="DYNAMIC",PR!$Q428,IF(J430="EMZOR",PR!$R428,IF(J430="EUMATT",PR!$S428,IF(J430="FIDSON",PR!$T428,IF(J430="FCGLOBAL",PR!$U428,IF(J430="GENEITH",PR!$V428,IF(J430="GINOS",PR!$W428,IF(J430="GSK",PR!$X428,IF(J430="GLOBORG",PR!$Y428,IF(J430="GOODNEWS",PR!$Z428,IF(J430="GREENLIFE",PR!$AA428,IF(J430="HLINE",PR!$AB428,IF(J430="ROTECH",PR!$AC428,IF(J430="ISN",PR!$AD428,IF(J430="JAWA",PR!$AE428,IF(J430="LAYO",PR!$AF428,IF(J430="LEADWAY",PR!$AG428,IF(J430="LHV",PR!$AH428,IF(J430="MANOLA",PR!$AI428,IF(J430="MARCSON",PR!$AJ428,IF(J430="M&amp;B",PR!$AK428,IF(J430="MTRUST",PR!$AL428,IF(J430="MWORLD",PR!$AM428,IF(J430="MEGA",PR!$AN428,IF(J430="MICRONOVA",PR!$AO428,IF(J430="MFLASH",PR!$AP428,IF(J430="MORISON",PR!$AQ428,IF(J430="NEMEL",PR!$AR428,IF(J430="NHP",PR!$AS428,IF(J430="NHC",PR!$AT428,IF(J430="OLEAF",PR!$AU428,IF(J430="OCULUS",PR!$AV428,IF(J430="PACIFIC",PR!$AW428,IF(J430="PHAMATEX",PR!$AX428,IF(J430="PETHICS",PR!$AY428,IF(J430="PHILIPS",PR!$AZ428,IF(J430="RANBAXY",PR!$BA428,IF(J430="REALS",PR!$BB428,IF(J430="ROYAL",PR!$BC428,IF(J430="SAM",PR!$BD428,IF(J430="SEAGREEN",PR!$BE428,IF(J430="SKG",PR!$BF428,IF(J430="TAH",PR!$BG428,IF(J430="TAYLEK",PR!$BH428,IF(J430="TEMITA",PR!$BI428,IF(J430="THL",PR!$BJ428,IF(J430="UBASTIC",PR!$BK428,IF(J430="UNION",PR!$BL428,IF(J430="UNIQUE",PR!$BM428,IF(J430="VIXA",PR!$BN428,IF(J430="WWCV",PR!$BO428,IF(J430="ZOLON",PR!$BP428,"-"))))))))))))))))))))))))))))))))))))))))))))))))))))))))))))))))</f>
        <v>-</v>
      </c>
      <c r="J430" s="102">
        <f>EV!N550</f>
        <v>0</v>
      </c>
      <c r="K430" s="433" t="s">
        <v>2141</v>
      </c>
      <c r="L430" s="183" t="str">
        <f>IF(K430&gt;0,IF(K430="ALPHA",PR!$E428,IF(K430="ASSENE",PR!$F428,IF(K430="BIOFEM",PR!$G428,IF(K430="BIOMED",PR!$H428,IF(K430="CHI",PR!$I428,IF(K430="CLARION",PR!$J428,IF(K430="CODIX",PR!$K428,IF(K430="COSMADE",PR!$L428,IF(K430="SANCON",PR!$M428,IF(K430="DEVON",PR!$N428,IF(K430="DORTEMAG",PR!$O428,IF(K430="DGF",PR!$P428,IF(K430="DYNAMIC",PR!$Q428,IF(K430="EMZOR",PR!$R428,IF(K430="EUMATT",PR!$S428,IF(K430="FIDSON",PR!$T428,IF(K430="FCGLOBAL",PR!$U428,IF(K430="GENEITH",PR!$V428,IF(K430="GINOS",PR!$W428,IF(K430="GSK",PR!$X428,IF(K430="GLOBORG",PR!$Y428,IF(K430="GOODNEWS",PR!$Z428,IF(K430="GREENLIFE",PR!$AA428,IF(K430="HLINE",PR!$AB428,IF(K430="ROTECH",PR!$AC428,IF(K430="ISN",PR!$AD428,IF(K430="JAWA",PR!$AE428,IF(K430="LAYO",PR!$AF428,IF(K430="LEADWAY",PR!$AG428,IF(K430="LHV",PR!$AH428,IF(K430="MANOLA",PR!$AI428,IF(K430="MARCSON",PR!$AJ428,IF(K430="M&amp;B",PR!$AK428,IF(K430="MTRUST",PR!$AL428,IF(K430="MWORLD",PR!$AM428,IF(K430="MEGA",PR!$AN428,IF(K430="MICRONOVA",PR!$AO428,IF(K430="MFLASH",PR!$AP428,IF(K430="MORISON",PR!$AQ428,IF(K430="NEMEL",PR!$AR428,IF(K430="NHP",PR!$AS428,IF(K430="NHC",PR!$AT428,IF(K430="OLEAF",PR!$AU428,IF(K430="OCULUS",PR!$AV428,IF(K430="PACIFIC",PR!$AW428,IF(K430="PHAMATEX",PR!$AX428,IF(K430="PETHICS",PR!$AY428,IF(K430="PHILIPS",PR!$AZ428,IF(K430="RANBAXY",PR!$BA428,IF(K430="REALS",PR!$BB428,IF(K430="ROYAL",PR!$BC428,IF(K430="SAM",PR!$BD428,IF(K430="SEAGREEN",PR!$BE428,IF(K430="SKG",PR!$BF428,IF(K430="TAH",PR!$BG428,IF(K430="TAYLEK",PR!$BH428,IF(K430="TEMITA",PR!$BI428,IF(K430="THL",PR!$BJ428,IF(K430="UBASTIC",PR!$BK428,IF(K430="UNION",PR!$BL428,IF(K430="UNIQUE",PR!$BM428,IF(K430="VIXA",PR!$BN428,IF(K430="WWCV",PR!$BO428,IF(K430="ZOLON",PR!$BP428,"-")))))))))))))))))))))))))))))))))))))))))))))))))))))))))))))))))</f>
        <v>-</v>
      </c>
    </row>
    <row r="431" spans="1:12" ht="18.75" x14ac:dyDescent="0.3">
      <c r="A431" s="430">
        <f>PR!A429</f>
        <v>391</v>
      </c>
      <c r="B431" s="15" t="str">
        <f>PR!B429</f>
        <v>MIFEPRESTONE200MG/MISOPROSTOL 800MCG</v>
      </c>
      <c r="C431" s="113">
        <f>PR!D429</f>
        <v>100</v>
      </c>
      <c r="D431" s="113">
        <f>PR!C429</f>
        <v>20</v>
      </c>
      <c r="E431" s="108" t="str">
        <f>IF(F431="ALPHA",PR!$E429,IF(F431="ASSENE",PR!$F429,IF(F431="BIOFEM",PR!$G429,IF(F431="BIOMED",PR!$H429,IF(F431="CHI",PR!$I429,IF(F431="CLARION",PR!$J429,IF(F431="CODIX",PR!$K429,IF(F431="COSMADE",PR!$L429,IF(F431="SANCON",PR!$M429,IF(F431="DEVON",PR!$N429,IF(F431="DORTEMAG",PR!$O429,IF(F431="DGF",PR!$P429,IF(F431="DYNAMIC",PR!$Q429,IF(F431="EMZOR",PR!$R429,IF(F431="EUMATT",PR!$S429,IF(F431="FIDSON",PR!$T429,IF(F431="FCGLOBAL",PR!$U429,IF(F431="GENEITH",PR!$V429,IF(F431="GINOS",PR!$W429,IF(F431="GSK",PR!$X429,IF(F431="GLOBORG",PR!$Y429,IF(F431="GOODNEWS",PR!$Z429,IF(F431="GREENLIFE",PR!$AA429,IF(F431="HLINE",PR!$AB429,IF(F431="ROTECH",PR!$AC429,IF(F431="ISN",PR!$AD429,IF(F431="JAWA",PR!$AE429,IF(F431="LAYO",PR!$AF429,IF(F431="LEADWAY",PR!$AG429,IF(F431="LHV",PR!$AH429,IF(F431="MANOLA",PR!$AI429,IF(F431="MARCSON",PR!$AJ429,IF(F431="M&amp;B",PR!$AK429,IF(F431="MTRUST",PR!$AL429,IF(F431="MWORLD",PR!$AM429,IF(F431="MEGA",PR!$AN429,IF(F431="MICRONOVA",PR!$AO429,IF(F431="MFLASH",PR!$AP429,IF(F431="MORISON",PR!$AQ429,IF(F431="NEMEL",PR!$AR429,IF(F431="NHP",PR!$AS429,IF(F431="NHC",PR!$AT429,IF(F431="OLEAF",PR!$AU429,IF(F431="OCULUS",PR!$AV429,IF(F431="PACIFIC",PR!$AW429,IF(F431="PHAMATEX",PR!$AX429,IF(F431="PETHICS",PR!$AY429,IF(F431="PHILIPS",PR!$AZ429,IF(F431="RANBAXY",PR!$BA429,IF(F431="REALS",PR!$BB429,IF(F431="ROYAL",PR!$BC429,IF(F431="SAM",PR!$BD429,IF(F431="SEAGREEN",PR!$BE429,IF(F431="SKG",PR!$BF429,IF(F431="TAH",PR!$BG429,IF(F431="TAYLEK",PR!$BH429,IF(F431="TEMITA",PR!$BI429,IF(F431="THL",PR!$BJ429,IF(F431="UBASTIC",PR!$BK429,IF(F431="UNION",PR!$BL429,IF(F431="UNIQUE",PR!$BM429,IF(F431="VIXA",PR!$BN429,IF(F431="WWCV",PR!$BO429,IF(F431="ZOLON",PR!$BP429,"-"))))))))))))))))))))))))))))))))))))))))))))))))))))))))))))))))</f>
        <v>-</v>
      </c>
      <c r="F431" s="102">
        <f>EV!L551</f>
        <v>0</v>
      </c>
      <c r="G431" s="108" t="str">
        <f>IF(H431="ALPHA",PR!$E429,IF(H431="ASSENE",PR!$F429,IF(H431="BIOFEM",PR!$G429,IF(H431="BIOMED",PR!$H429,IF(H431="CHI",PR!$I429,IF(H431="CLARION",PR!$J429,IF(H431="CODIX",PR!$K429,IF(H431="COSMADE",PR!$L429,IF(H431="SANCON",PR!$M429,IF(H431="DEVON",PR!$N429,IF(H431="DORTEMAG",PR!$O429,IF(H431="DGF",PR!$P429,IF(H431="DYNAMIC",PR!$Q429,IF(H431="EMZOR",PR!$R429,IF(H431="EUMATT",PR!$S429,IF(H431="FIDSON",PR!$T429,IF(H431="FCGLOBAL",PR!$U429,IF(H431="GENEITH",PR!$V429,IF(H431="GINOS",PR!$W429,IF(H431="GSK",PR!$X429,IF(H431="GLOBORG",PR!$Y429,IF(H431="GOODNEWS",PR!$Z429,IF(H431="GREENLIFE",PR!$AA429,IF(H431="HLINE",PR!$AB429,IF(H431="ROTECH",PR!$AC429,IF(H431="ISN",PR!$AD429,IF(H431="JAWA",PR!$AE429,IF(H431="LAYO",PR!$AF429,IF(H431="LEADWAY",PR!$AG429,IF(H431="LHV",PR!$AH429,IF(H431="MANOLA",PR!$AI429,IF(H431="MARCSON",PR!$AJ429,IF(H431="M&amp;B",PR!$AK429,IF(H431="MTRUST",PR!$AL429,IF(H431="MWORLD",PR!$AM429,IF(H431="MEGA",PR!$AN429,IF(H431="MICRONOVA",PR!$AO429,IF(H431="MFLASH",PR!$AP429,IF(H431="MORISON",PR!$AQ429,IF(H431="NEMEL",PR!$AR429,IF(H431="NHP",PR!$AS429,IF(H431="NHC",PR!$AT429,IF(H431="OLEAF",PR!$AU429,IF(H431="OCULUS",PR!$AV429,IF(H431="PACIFIC",PR!$AW429,IF(H431="PHAMATEX",PR!$AX429,IF(H431="PETHICS",PR!$AY429,IF(H431="PHILIPS",PR!$AZ429,IF(H431="RANBAXY",PR!$BA429,IF(H431="REALS",PR!$BB429,IF(H431="ROYAL",PR!$BC429,IF(H431="SAM",PR!$BD429,IF(H431="SEAGREEN",PR!$BE429,IF(H431="SKG",PR!$BF429,IF(H431="TAH",PR!$BG429,IF(H431="TAYLEK",PR!$BH429,IF(H431="TEMITA",PR!$BI429,IF(H431="THL",PR!$BJ429,IF(H431="UBASTIC",PR!$BK429,IF(H431="UNION",PR!$BL429,IF(H431="UNIQUE",PR!$BM429,IF(H431="VIXA",PR!$BN429,IF(H431="WWCV",PR!$BO429,IF(H431="ZOLON",PR!$BP429,"-"))))))))))))))))))))))))))))))))))))))))))))))))))))))))))))))))</f>
        <v>-</v>
      </c>
      <c r="H431" s="102">
        <f>EV!M551</f>
        <v>0</v>
      </c>
      <c r="I431" s="108" t="str">
        <f>IF(J431="ALPHA",PR!$E429,IF(J431="ASSENE",PR!$F429,IF(J431="BIOFEM",PR!$G429,IF(J431="BIOMED",PR!$H429,IF(J431="CHI",PR!$I429,IF(J431="CLARION",PR!$J429,IF(J431="CODIX",PR!$K429,IF(J431="COSMADE",PR!$L429,IF(J431="SANCON",PR!$M429,IF(J431="DEVON",PR!$N429,IF(J431="DORTEMAG",PR!$O429,IF(J431="DGF",PR!$P429,IF(J431="DYNAMIC",PR!$Q429,IF(J431="EMZOR",PR!$R429,IF(J431="EUMATT",PR!$S429,IF(J431="FIDSON",PR!$T429,IF(J431="FCGLOBAL",PR!$U429,IF(J431="GENEITH",PR!$V429,IF(J431="GINOS",PR!$W429,IF(J431="GSK",PR!$X429,IF(J431="GLOBORG",PR!$Y429,IF(J431="GOODNEWS",PR!$Z429,IF(J431="GREENLIFE",PR!$AA429,IF(J431="HLINE",PR!$AB429,IF(J431="ROTECH",PR!$AC429,IF(J431="ISN",PR!$AD429,IF(J431="JAWA",PR!$AE429,IF(J431="LAYO",PR!$AF429,IF(J431="LEADWAY",PR!$AG429,IF(J431="LHV",PR!$AH429,IF(J431="MANOLA",PR!$AI429,IF(J431="MARCSON",PR!$AJ429,IF(J431="M&amp;B",PR!$AK429,IF(J431="MTRUST",PR!$AL429,IF(J431="MWORLD",PR!$AM429,IF(J431="MEGA",PR!$AN429,IF(J431="MICRONOVA",PR!$AO429,IF(J431="MFLASH",PR!$AP429,IF(J431="MORISON",PR!$AQ429,IF(J431="NEMEL",PR!$AR429,IF(J431="NHP",PR!$AS429,IF(J431="NHC",PR!$AT429,IF(J431="OLEAF",PR!$AU429,IF(J431="OCULUS",PR!$AV429,IF(J431="PACIFIC",PR!$AW429,IF(J431="PHAMATEX",PR!$AX429,IF(J431="PETHICS",PR!$AY429,IF(J431="PHILIPS",PR!$AZ429,IF(J431="RANBAXY",PR!$BA429,IF(J431="REALS",PR!$BB429,IF(J431="ROYAL",PR!$BC429,IF(J431="SAM",PR!$BD429,IF(J431="SEAGREEN",PR!$BE429,IF(J431="SKG",PR!$BF429,IF(J431="TAH",PR!$BG429,IF(J431="TAYLEK",PR!$BH429,IF(J431="TEMITA",PR!$BI429,IF(J431="THL",PR!$BJ429,IF(J431="UBASTIC",PR!$BK429,IF(J431="UNION",PR!$BL429,IF(J431="UNIQUE",PR!$BM429,IF(J431="VIXA",PR!$BN429,IF(J431="WWCV",PR!$BO429,IF(J431="ZOLON",PR!$BP429,"-"))))))))))))))))))))))))))))))))))))))))))))))))))))))))))))))))</f>
        <v>-</v>
      </c>
      <c r="J431" s="102">
        <f>EV!N551</f>
        <v>0</v>
      </c>
      <c r="K431" s="433"/>
      <c r="L431" s="183" t="b">
        <f>IF(K431&gt;0,IF(K431="ALPHA",PR!$E429,IF(K431="ASSENE",PR!$F429,IF(K431="BIOFEM",PR!$G429,IF(K431="BIOMED",PR!$H429,IF(K431="CHI",PR!$I429,IF(K431="CLARION",PR!$J429,IF(K431="CODIX",PR!$K429,IF(K431="COSMADE",PR!$L429,IF(K431="SANCON",PR!$M429,IF(K431="DEVON",PR!$N429,IF(K431="DORTEMAG",PR!$O429,IF(K431="DGF",PR!$P429,IF(K431="DYNAMIC",PR!$Q429,IF(K431="EMZOR",PR!$R429,IF(K431="EUMATT",PR!$S429,IF(K431="FIDSON",PR!$T429,IF(K431="FCGLOBAL",PR!$U429,IF(K431="GENEITH",PR!$V429,IF(K431="GINOS",PR!$W429,IF(K431="GSK",PR!$X429,IF(K431="GLOBORG",PR!$Y429,IF(K431="GOODNEWS",PR!$Z429,IF(K431="GREENLIFE",PR!$AA429,IF(K431="HLINE",PR!$AB429,IF(K431="ROTECH",PR!$AC429,IF(K431="ISN",PR!$AD429,IF(K431="JAWA",PR!$AE429,IF(K431="LAYO",PR!$AF429,IF(K431="LEADWAY",PR!$AG429,IF(K431="LHV",PR!$AH429,IF(K431="MANOLA",PR!$AI429,IF(K431="MARCSON",PR!$AJ429,IF(K431="M&amp;B",PR!$AK429,IF(K431="MTRUST",PR!$AL429,IF(K431="MWORLD",PR!$AM429,IF(K431="MEGA",PR!$AN429,IF(K431="MICRONOVA",PR!$AO429,IF(K431="MFLASH",PR!$AP429,IF(K431="MORISON",PR!$AQ429,IF(K431="NEMEL",PR!$AR429,IF(K431="NHP",PR!$AS429,IF(K431="NHC",PR!$AT429,IF(K431="OLEAF",PR!$AU429,IF(K431="OCULUS",PR!$AV429,IF(K431="PACIFIC",PR!$AW429,IF(K431="PHAMATEX",PR!$AX429,IF(K431="PETHICS",PR!$AY429,IF(K431="PHILIPS",PR!$AZ429,IF(K431="RANBAXY",PR!$BA429,IF(K431="REALS",PR!$BB429,IF(K431="ROYAL",PR!$BC429,IF(K431="SAM",PR!$BD429,IF(K431="SEAGREEN",PR!$BE429,IF(K431="SKG",PR!$BF429,IF(K431="TAH",PR!$BG429,IF(K431="TAYLEK",PR!$BH429,IF(K431="TEMITA",PR!$BI429,IF(K431="THL",PR!$BJ429,IF(K431="UBASTIC",PR!$BK429,IF(K431="UNION",PR!$BL429,IF(K431="UNIQUE",PR!$BM429,IF(K431="VIXA",PR!$BN429,IF(K431="WWCV",PR!$BO429,IF(K431="ZOLON",PR!$BP429,"-")))))))))))))))))))))))))))))))))))))))))))))))))))))))))))))))))</f>
        <v>0</v>
      </c>
    </row>
    <row r="432" spans="1:12" ht="18.75" x14ac:dyDescent="0.3">
      <c r="A432" s="430">
        <f>PR!A430</f>
        <v>392</v>
      </c>
      <c r="B432" s="15" t="str">
        <f>PR!B430</f>
        <v>NORETHISTERONE</v>
      </c>
      <c r="C432" s="113">
        <f>PR!D430</f>
        <v>30</v>
      </c>
      <c r="D432" s="113">
        <f>PR!C430</f>
        <v>40</v>
      </c>
      <c r="E432" s="108" t="str">
        <f>IF(F432="ALPHA",PR!$E430,IF(F432="ASSENE",PR!$F430,IF(F432="BIOFEM",PR!$G430,IF(F432="BIOMED",PR!$H430,IF(F432="CHI",PR!$I430,IF(F432="CLARION",PR!$J430,IF(F432="CODIX",PR!$K430,IF(F432="COSMADE",PR!$L430,IF(F432="SANCON",PR!$M430,IF(F432="DEVON",PR!$N430,IF(F432="DORTEMAG",PR!$O430,IF(F432="DGF",PR!$P430,IF(F432="DYNAMIC",PR!$Q430,IF(F432="EMZOR",PR!$R430,IF(F432="EUMATT",PR!$S430,IF(F432="FIDSON",PR!$T430,IF(F432="FCGLOBAL",PR!$U430,IF(F432="GENEITH",PR!$V430,IF(F432="GINOS",PR!$W430,IF(F432="GSK",PR!$X430,IF(F432="GLOBORG",PR!$Y430,IF(F432="GOODNEWS",PR!$Z430,IF(F432="GREENLIFE",PR!$AA430,IF(F432="HLINE",PR!$AB430,IF(F432="ROTECH",PR!$AC430,IF(F432="ISN",PR!$AD430,IF(F432="JAWA",PR!$AE430,IF(F432="LAYO",PR!$AF430,IF(F432="LEADWAY",PR!$AG430,IF(F432="LHV",PR!$AH430,IF(F432="MANOLA",PR!$AI430,IF(F432="MARCSON",PR!$AJ430,IF(F432="M&amp;B",PR!$AK430,IF(F432="MTRUST",PR!$AL430,IF(F432="MWORLD",PR!$AM430,IF(F432="MEGA",PR!$AN430,IF(F432="MICRONOVA",PR!$AO430,IF(F432="MFLASH",PR!$AP430,IF(F432="MORISON",PR!$AQ430,IF(F432="NEMEL",PR!$AR430,IF(F432="NHP",PR!$AS430,IF(F432="NHC",PR!$AT430,IF(F432="OLEAF",PR!$AU430,IF(F432="OCULUS",PR!$AV430,IF(F432="PACIFIC",PR!$AW430,IF(F432="PHAMATEX",PR!$AX430,IF(F432="PETHICS",PR!$AY430,IF(F432="PHILIPS",PR!$AZ430,IF(F432="RANBAXY",PR!$BA430,IF(F432="REALS",PR!$BB430,IF(F432="ROYAL",PR!$BC430,IF(F432="SAM",PR!$BD430,IF(F432="SEAGREEN",PR!$BE430,IF(F432="SKG",PR!$BF430,IF(F432="TAH",PR!$BG430,IF(F432="TAYLEK",PR!$BH430,IF(F432="TEMITA",PR!$BI430,IF(F432="THL",PR!$BJ430,IF(F432="UBASTIC",PR!$BK430,IF(F432="UNION",PR!$BL430,IF(F432="UNIQUE",PR!$BM430,IF(F432="VIXA",PR!$BN430,IF(F432="WWCV",PR!$BO430,IF(F432="ZOLON",PR!$BP430,"-"))))))))))))))))))))))))))))))))))))))))))))))))))))))))))))))))</f>
        <v>-</v>
      </c>
      <c r="F432" s="102">
        <f>EV!L552</f>
        <v>0</v>
      </c>
      <c r="G432" s="108" t="str">
        <f>IF(H432="ALPHA",PR!$E430,IF(H432="ASSENE",PR!$F430,IF(H432="BIOFEM",PR!$G430,IF(H432="BIOMED",PR!$H430,IF(H432="CHI",PR!$I430,IF(H432="CLARION",PR!$J430,IF(H432="CODIX",PR!$K430,IF(H432="COSMADE",PR!$L430,IF(H432="SANCON",PR!$M430,IF(H432="DEVON",PR!$N430,IF(H432="DORTEMAG",PR!$O430,IF(H432="DGF",PR!$P430,IF(H432="DYNAMIC",PR!$Q430,IF(H432="EMZOR",PR!$R430,IF(H432="EUMATT",PR!$S430,IF(H432="FIDSON",PR!$T430,IF(H432="FCGLOBAL",PR!$U430,IF(H432="GENEITH",PR!$V430,IF(H432="GINOS",PR!$W430,IF(H432="GSK",PR!$X430,IF(H432="GLOBORG",PR!$Y430,IF(H432="GOODNEWS",PR!$Z430,IF(H432="GREENLIFE",PR!$AA430,IF(H432="HLINE",PR!$AB430,IF(H432="ROTECH",PR!$AC430,IF(H432="ISN",PR!$AD430,IF(H432="JAWA",PR!$AE430,IF(H432="LAYO",PR!$AF430,IF(H432="LEADWAY",PR!$AG430,IF(H432="LHV",PR!$AH430,IF(H432="MANOLA",PR!$AI430,IF(H432="MARCSON",PR!$AJ430,IF(H432="M&amp;B",PR!$AK430,IF(H432="MTRUST",PR!$AL430,IF(H432="MWORLD",PR!$AM430,IF(H432="MEGA",PR!$AN430,IF(H432="MICRONOVA",PR!$AO430,IF(H432="MFLASH",PR!$AP430,IF(H432="MORISON",PR!$AQ430,IF(H432="NEMEL",PR!$AR430,IF(H432="NHP",PR!$AS430,IF(H432="NHC",PR!$AT430,IF(H432="OLEAF",PR!$AU430,IF(H432="OCULUS",PR!$AV430,IF(H432="PACIFIC",PR!$AW430,IF(H432="PHAMATEX",PR!$AX430,IF(H432="PETHICS",PR!$AY430,IF(H432="PHILIPS",PR!$AZ430,IF(H432="RANBAXY",PR!$BA430,IF(H432="REALS",PR!$BB430,IF(H432="ROYAL",PR!$BC430,IF(H432="SAM",PR!$BD430,IF(H432="SEAGREEN",PR!$BE430,IF(H432="SKG",PR!$BF430,IF(H432="TAH",PR!$BG430,IF(H432="TAYLEK",PR!$BH430,IF(H432="TEMITA",PR!$BI430,IF(H432="THL",PR!$BJ430,IF(H432="UBASTIC",PR!$BK430,IF(H432="UNION",PR!$BL430,IF(H432="UNIQUE",PR!$BM430,IF(H432="VIXA",PR!$BN430,IF(H432="WWCV",PR!$BO430,IF(H432="ZOLON",PR!$BP430,"-"))))))))))))))))))))))))))))))))))))))))))))))))))))))))))))))))</f>
        <v>-</v>
      </c>
      <c r="H432" s="102">
        <f>EV!M552</f>
        <v>0</v>
      </c>
      <c r="I432" s="108" t="str">
        <f>IF(J432="ALPHA",PR!$E430,IF(J432="ASSENE",PR!$F430,IF(J432="BIOFEM",PR!$G430,IF(J432="BIOMED",PR!$H430,IF(J432="CHI",PR!$I430,IF(J432="CLARION",PR!$J430,IF(J432="CODIX",PR!$K430,IF(J432="COSMADE",PR!$L430,IF(J432="SANCON",PR!$M430,IF(J432="DEVON",PR!$N430,IF(J432="DORTEMAG",PR!$O430,IF(J432="DGF",PR!$P430,IF(J432="DYNAMIC",PR!$Q430,IF(J432="EMZOR",PR!$R430,IF(J432="EUMATT",PR!$S430,IF(J432="FIDSON",PR!$T430,IF(J432="FCGLOBAL",PR!$U430,IF(J432="GENEITH",PR!$V430,IF(J432="GINOS",PR!$W430,IF(J432="GSK",PR!$X430,IF(J432="GLOBORG",PR!$Y430,IF(J432="GOODNEWS",PR!$Z430,IF(J432="GREENLIFE",PR!$AA430,IF(J432="HLINE",PR!$AB430,IF(J432="ROTECH",PR!$AC430,IF(J432="ISN",PR!$AD430,IF(J432="JAWA",PR!$AE430,IF(J432="LAYO",PR!$AF430,IF(J432="LEADWAY",PR!$AG430,IF(J432="LHV",PR!$AH430,IF(J432="MANOLA",PR!$AI430,IF(J432="MARCSON",PR!$AJ430,IF(J432="M&amp;B",PR!$AK430,IF(J432="MTRUST",PR!$AL430,IF(J432="MWORLD",PR!$AM430,IF(J432="MEGA",PR!$AN430,IF(J432="MICRONOVA",PR!$AO430,IF(J432="MFLASH",PR!$AP430,IF(J432="MORISON",PR!$AQ430,IF(J432="NEMEL",PR!$AR430,IF(J432="NHP",PR!$AS430,IF(J432="NHC",PR!$AT430,IF(J432="OLEAF",PR!$AU430,IF(J432="OCULUS",PR!$AV430,IF(J432="PACIFIC",PR!$AW430,IF(J432="PHAMATEX",PR!$AX430,IF(J432="PETHICS",PR!$AY430,IF(J432="PHILIPS",PR!$AZ430,IF(J432="RANBAXY",PR!$BA430,IF(J432="REALS",PR!$BB430,IF(J432="ROYAL",PR!$BC430,IF(J432="SAM",PR!$BD430,IF(J432="SEAGREEN",PR!$BE430,IF(J432="SKG",PR!$BF430,IF(J432="TAH",PR!$BG430,IF(J432="TAYLEK",PR!$BH430,IF(J432="TEMITA",PR!$BI430,IF(J432="THL",PR!$BJ430,IF(J432="UBASTIC",PR!$BK430,IF(J432="UNION",PR!$BL430,IF(J432="UNIQUE",PR!$BM430,IF(J432="VIXA",PR!$BN430,IF(J432="WWCV",PR!$BO430,IF(J432="ZOLON",PR!$BP430,"-"))))))))))))))))))))))))))))))))))))))))))))))))))))))))))))))))</f>
        <v>-</v>
      </c>
      <c r="J432" s="102">
        <f>EV!N552</f>
        <v>0</v>
      </c>
      <c r="K432" s="433"/>
      <c r="L432" s="183" t="b">
        <f>IF(K432&gt;0,IF(K432="ALPHA",PR!$E430,IF(K432="ASSENE",PR!$F430,IF(K432="BIOFEM",PR!$G430,IF(K432="BIOMED",PR!$H430,IF(K432="CHI",PR!$I430,IF(K432="CLARION",PR!$J430,IF(K432="CODIX",PR!$K430,IF(K432="COSMADE",PR!$L430,IF(K432="SANCON",PR!$M430,IF(K432="DEVON",PR!$N430,IF(K432="DORTEMAG",PR!$O430,IF(K432="DGF",PR!$P430,IF(K432="DYNAMIC",PR!$Q430,IF(K432="EMZOR",PR!$R430,IF(K432="EUMATT",PR!$S430,IF(K432="FIDSON",PR!$T430,IF(K432="FCGLOBAL",PR!$U430,IF(K432="GENEITH",PR!$V430,IF(K432="GINOS",PR!$W430,IF(K432="GSK",PR!$X430,IF(K432="GLOBORG",PR!$Y430,IF(K432="GOODNEWS",PR!$Z430,IF(K432="GREENLIFE",PR!$AA430,IF(K432="HLINE",PR!$AB430,IF(K432="ROTECH",PR!$AC430,IF(K432="ISN",PR!$AD430,IF(K432="JAWA",PR!$AE430,IF(K432="LAYO",PR!$AF430,IF(K432="LEADWAY",PR!$AG430,IF(K432="LHV",PR!$AH430,IF(K432="MANOLA",PR!$AI430,IF(K432="MARCSON",PR!$AJ430,IF(K432="M&amp;B",PR!$AK430,IF(K432="MTRUST",PR!$AL430,IF(K432="MWORLD",PR!$AM430,IF(K432="MEGA",PR!$AN430,IF(K432="MICRONOVA",PR!$AO430,IF(K432="MFLASH",PR!$AP430,IF(K432="MORISON",PR!$AQ430,IF(K432="NEMEL",PR!$AR430,IF(K432="NHP",PR!$AS430,IF(K432="NHC",PR!$AT430,IF(K432="OLEAF",PR!$AU430,IF(K432="OCULUS",PR!$AV430,IF(K432="PACIFIC",PR!$AW430,IF(K432="PHAMATEX",PR!$AX430,IF(K432="PETHICS",PR!$AY430,IF(K432="PHILIPS",PR!$AZ430,IF(K432="RANBAXY",PR!$BA430,IF(K432="REALS",PR!$BB430,IF(K432="ROYAL",PR!$BC430,IF(K432="SAM",PR!$BD430,IF(K432="SEAGREEN",PR!$BE430,IF(K432="SKG",PR!$BF430,IF(K432="TAH",PR!$BG430,IF(K432="TAYLEK",PR!$BH430,IF(K432="TEMITA",PR!$BI430,IF(K432="THL",PR!$BJ430,IF(K432="UBASTIC",PR!$BK430,IF(K432="UNION",PR!$BL430,IF(K432="UNIQUE",PR!$BM430,IF(K432="VIXA",PR!$BN430,IF(K432="WWCV",PR!$BO430,IF(K432="ZOLON",PR!$BP430,"-")))))))))))))))))))))))))))))))))))))))))))))))))))))))))))))))))</f>
        <v>0</v>
      </c>
    </row>
    <row r="433" spans="1:12" ht="18.75" x14ac:dyDescent="0.3">
      <c r="A433" s="430">
        <f>PR!A431</f>
        <v>393</v>
      </c>
      <c r="B433" s="15" t="str">
        <f>PR!B431</f>
        <v>OXYTOCIN INJ</v>
      </c>
      <c r="C433" s="113">
        <f>PR!D431</f>
        <v>100</v>
      </c>
      <c r="D433" s="113">
        <f>PR!C431</f>
        <v>144</v>
      </c>
      <c r="E433" s="108">
        <f>IF(F433="ALPHA",PR!$E431,IF(F433="ASSENE",PR!$F431,IF(F433="BIOFEM",PR!$G431,IF(F433="BIOMED",PR!$H431,IF(F433="CHI",PR!$I431,IF(F433="CLARION",PR!$J431,IF(F433="CODIX",PR!$K431,IF(F433="COSMADE",PR!$L431,IF(F433="SANCON",PR!$M431,IF(F433="DEVON",PR!$N431,IF(F433="DORTEMAG",PR!$O431,IF(F433="DGF",PR!$P431,IF(F433="DYNAMIC",PR!$Q431,IF(F433="EMZOR",PR!$R431,IF(F433="EUMATT",PR!$S431,IF(F433="FIDSON",PR!$T431,IF(F433="FCGLOBAL",PR!$U431,IF(F433="GENEITH",PR!$V431,IF(F433="GINOS",PR!$W431,IF(F433="GSK",PR!$X431,IF(F433="GLOBORG",PR!$Y431,IF(F433="GOODNEWS",PR!$Z431,IF(F433="GREENLIFE",PR!$AA431,IF(F433="HLINE",PR!$AB431,IF(F433="ROTECH",PR!$AC431,IF(F433="ISN",PR!$AD431,IF(F433="JAWA",PR!$AE431,IF(F433="LAYO",PR!$AF431,IF(F433="LEADWAY",PR!$AG431,IF(F433="LHV",PR!$AH431,IF(F433="MANOLA",PR!$AI431,IF(F433="MARCSON",PR!$AJ431,IF(F433="M&amp;B",PR!$AK431,IF(F433="MTRUST",PR!$AL431,IF(F433="MWORLD",PR!$AM431,IF(F433="MEGA",PR!$AN431,IF(F433="MICRONOVA",PR!$AO431,IF(F433="MFLASH",PR!$AP431,IF(F433="MORISON",PR!$AQ431,IF(F433="NEMEL",PR!$AR431,IF(F433="NHP",PR!$AS431,IF(F433="NHC",PR!$AT431,IF(F433="OLEAF",PR!$AU431,IF(F433="OCULUS",PR!$AV431,IF(F433="PACIFIC",PR!$AW431,IF(F433="PHAMATEX",PR!$AX431,IF(F433="PETHICS",PR!$AY431,IF(F433="PHILIPS",PR!$AZ431,IF(F433="RANBAXY",PR!$BA431,IF(F433="REALS",PR!$BB431,IF(F433="ROYAL",PR!$BC431,IF(F433="SAM",PR!$BD431,IF(F433="SEAGREEN",PR!$BE431,IF(F433="SKG",PR!$BF431,IF(F433="TAH",PR!$BG431,IF(F433="TAYLEK",PR!$BH431,IF(F433="TEMITA",PR!$BI431,IF(F433="THL",PR!$BJ431,IF(F433="UBASTIC",PR!$BK431,IF(F433="UNION",PR!$BL431,IF(F433="UNIQUE",PR!$BM431,IF(F433="VIXA",PR!$BN431,IF(F433="WWCV",PR!$BO431,IF(F433="ZOLON",PR!$BP431,"-"))))))))))))))))))))))))))))))))))))))))))))))))))))))))))))))))</f>
        <v>24000</v>
      </c>
      <c r="F433" s="102" t="str">
        <f>EV!L553</f>
        <v>ALPHA</v>
      </c>
      <c r="G433" s="108" t="str">
        <f>IF(H433="ALPHA",PR!$E431,IF(H433="ASSENE",PR!$F431,IF(H433="BIOFEM",PR!$G431,IF(H433="BIOMED",PR!$H431,IF(H433="CHI",PR!$I431,IF(H433="CLARION",PR!$J431,IF(H433="CODIX",PR!$K431,IF(H433="COSMADE",PR!$L431,IF(H433="SANCON",PR!$M431,IF(H433="DEVON",PR!$N431,IF(H433="DORTEMAG",PR!$O431,IF(H433="DGF",PR!$P431,IF(H433="DYNAMIC",PR!$Q431,IF(H433="EMZOR",PR!$R431,IF(H433="EUMATT",PR!$S431,IF(H433="FIDSON",PR!$T431,IF(H433="FCGLOBAL",PR!$U431,IF(H433="GENEITH",PR!$V431,IF(H433="GINOS",PR!$W431,IF(H433="GSK",PR!$X431,IF(H433="GLOBORG",PR!$Y431,IF(H433="GOODNEWS",PR!$Z431,IF(H433="GREENLIFE",PR!$AA431,IF(H433="HLINE",PR!$AB431,IF(H433="ROTECH",PR!$AC431,IF(H433="ISN",PR!$AD431,IF(H433="JAWA",PR!$AE431,IF(H433="LAYO",PR!$AF431,IF(H433="LEADWAY",PR!$AG431,IF(H433="LHV",PR!$AH431,IF(H433="MANOLA",PR!$AI431,IF(H433="MARCSON",PR!$AJ431,IF(H433="M&amp;B",PR!$AK431,IF(H433="MTRUST",PR!$AL431,IF(H433="MWORLD",PR!$AM431,IF(H433="MEGA",PR!$AN431,IF(H433="MICRONOVA",PR!$AO431,IF(H433="MFLASH",PR!$AP431,IF(H433="MORISON",PR!$AQ431,IF(H433="NEMEL",PR!$AR431,IF(H433="NHP",PR!$AS431,IF(H433="NHC",PR!$AT431,IF(H433="OLEAF",PR!$AU431,IF(H433="OCULUS",PR!$AV431,IF(H433="PACIFIC",PR!$AW431,IF(H433="PHAMATEX",PR!$AX431,IF(H433="PETHICS",PR!$AY431,IF(H433="PHILIPS",PR!$AZ431,IF(H433="RANBAXY",PR!$BA431,IF(H433="REALS",PR!$BB431,IF(H433="ROYAL",PR!$BC431,IF(H433="SAM",PR!$BD431,IF(H433="SEAGREEN",PR!$BE431,IF(H433="SKG",PR!$BF431,IF(H433="TAH",PR!$BG431,IF(H433="TAYLEK",PR!$BH431,IF(H433="TEMITA",PR!$BI431,IF(H433="THL",PR!$BJ431,IF(H433="UBASTIC",PR!$BK431,IF(H433="UNION",PR!$BL431,IF(H433="UNIQUE",PR!$BM431,IF(H433="VIXA",PR!$BN431,IF(H433="WWCV",PR!$BO431,IF(H433="ZOLON",PR!$BP431,"-"))))))))))))))))))))))))))))))))))))))))))))))))))))))))))))))))</f>
        <v>-</v>
      </c>
      <c r="H433" s="102">
        <f>EV!M553</f>
        <v>0</v>
      </c>
      <c r="I433" s="108" t="str">
        <f>IF(J433="ALPHA",PR!$E431,IF(J433="ASSENE",PR!$F431,IF(J433="BIOFEM",PR!$G431,IF(J433="BIOMED",PR!$H431,IF(J433="CHI",PR!$I431,IF(J433="CLARION",PR!$J431,IF(J433="CODIX",PR!$K431,IF(J433="COSMADE",PR!$L431,IF(J433="SANCON",PR!$M431,IF(J433="DEVON",PR!$N431,IF(J433="DORTEMAG",PR!$O431,IF(J433="DGF",PR!$P431,IF(J433="DYNAMIC",PR!$Q431,IF(J433="EMZOR",PR!$R431,IF(J433="EUMATT",PR!$S431,IF(J433="FIDSON",PR!$T431,IF(J433="FCGLOBAL",PR!$U431,IF(J433="GENEITH",PR!$V431,IF(J433="GINOS",PR!$W431,IF(J433="GSK",PR!$X431,IF(J433="GLOBORG",PR!$Y431,IF(J433="GOODNEWS",PR!$Z431,IF(J433="GREENLIFE",PR!$AA431,IF(J433="HLINE",PR!$AB431,IF(J433="ROTECH",PR!$AC431,IF(J433="ISN",PR!$AD431,IF(J433="JAWA",PR!$AE431,IF(J433="LAYO",PR!$AF431,IF(J433="LEADWAY",PR!$AG431,IF(J433="LHV",PR!$AH431,IF(J433="MANOLA",PR!$AI431,IF(J433="MARCSON",PR!$AJ431,IF(J433="M&amp;B",PR!$AK431,IF(J433="MTRUST",PR!$AL431,IF(J433="MWORLD",PR!$AM431,IF(J433="MEGA",PR!$AN431,IF(J433="MICRONOVA",PR!$AO431,IF(J433="MFLASH",PR!$AP431,IF(J433="MORISON",PR!$AQ431,IF(J433="NEMEL",PR!$AR431,IF(J433="NHP",PR!$AS431,IF(J433="NHC",PR!$AT431,IF(J433="OLEAF",PR!$AU431,IF(J433="OCULUS",PR!$AV431,IF(J433="PACIFIC",PR!$AW431,IF(J433="PHAMATEX",PR!$AX431,IF(J433="PETHICS",PR!$AY431,IF(J433="PHILIPS",PR!$AZ431,IF(J433="RANBAXY",PR!$BA431,IF(J433="REALS",PR!$BB431,IF(J433="ROYAL",PR!$BC431,IF(J433="SAM",PR!$BD431,IF(J433="SEAGREEN",PR!$BE431,IF(J433="SKG",PR!$BF431,IF(J433="TAH",PR!$BG431,IF(J433="TAYLEK",PR!$BH431,IF(J433="TEMITA",PR!$BI431,IF(J433="THL",PR!$BJ431,IF(J433="UBASTIC",PR!$BK431,IF(J433="UNION",PR!$BL431,IF(J433="UNIQUE",PR!$BM431,IF(J433="VIXA",PR!$BN431,IF(J433="WWCV",PR!$BO431,IF(J433="ZOLON",PR!$BP431,"-"))))))))))))))))))))))))))))))))))))))))))))))))))))))))))))))))</f>
        <v>-</v>
      </c>
      <c r="J433" s="102">
        <f>EV!N553</f>
        <v>0</v>
      </c>
      <c r="K433" s="433" t="s">
        <v>634</v>
      </c>
      <c r="L433" s="183">
        <f>IF(K433&gt;0,IF(K433="ALPHA",PR!$E431,IF(K433="ASSENE",PR!$F431,IF(K433="BIOFEM",PR!$G431,IF(K433="BIOMED",PR!$H431,IF(K433="CHI",PR!$I431,IF(K433="CLARION",PR!$J431,IF(K433="CODIX",PR!$K431,IF(K433="COSMADE",PR!$L431,IF(K433="SANCON",PR!$M431,IF(K433="DEVON",PR!$N431,IF(K433="DORTEMAG",PR!$O431,IF(K433="DGF",PR!$P431,IF(K433="DYNAMIC",PR!$Q431,IF(K433="EMZOR",PR!$R431,IF(K433="EUMATT",PR!$S431,IF(K433="FIDSON",PR!$T431,IF(K433="FCGLOBAL",PR!$U431,IF(K433="GENEITH",PR!$V431,IF(K433="GINOS",PR!$W431,IF(K433="GSK",PR!$X431,IF(K433="GLOBORG",PR!$Y431,IF(K433="GOODNEWS",PR!$Z431,IF(K433="GREENLIFE",PR!$AA431,IF(K433="HLINE",PR!$AB431,IF(K433="ROTECH",PR!$AC431,IF(K433="ISN",PR!$AD431,IF(K433="JAWA",PR!$AE431,IF(K433="LAYO",PR!$AF431,IF(K433="LEADWAY",PR!$AG431,IF(K433="LHV",PR!$AH431,IF(K433="MANOLA",PR!$AI431,IF(K433="MARCSON",PR!$AJ431,IF(K433="M&amp;B",PR!$AK431,IF(K433="MTRUST",PR!$AL431,IF(K433="MWORLD",PR!$AM431,IF(K433="MEGA",PR!$AN431,IF(K433="MICRONOVA",PR!$AO431,IF(K433="MFLASH",PR!$AP431,IF(K433="MORISON",PR!$AQ431,IF(K433="NEMEL",PR!$AR431,IF(K433="NHP",PR!$AS431,IF(K433="NHC",PR!$AT431,IF(K433="OLEAF",PR!$AU431,IF(K433="OCULUS",PR!$AV431,IF(K433="PACIFIC",PR!$AW431,IF(K433="PHAMATEX",PR!$AX431,IF(K433="PETHICS",PR!$AY431,IF(K433="PHILIPS",PR!$AZ431,IF(K433="RANBAXY",PR!$BA431,IF(K433="REALS",PR!$BB431,IF(K433="ROYAL",PR!$BC431,IF(K433="SAM",PR!$BD431,IF(K433="SEAGREEN",PR!$BE431,IF(K433="SKG",PR!$BF431,IF(K433="TAH",PR!$BG431,IF(K433="TAYLEK",PR!$BH431,IF(K433="TEMITA",PR!$BI431,IF(K433="THL",PR!$BJ431,IF(K433="UBASTIC",PR!$BK431,IF(K433="UNION",PR!$BL431,IF(K433="UNIQUE",PR!$BM431,IF(K433="VIXA",PR!$BN431,IF(K433="WWCV",PR!$BO431,IF(K433="ZOLON",PR!$BP431,"-")))))))))))))))))))))))))))))))))))))))))))))))))))))))))))))))))</f>
        <v>24000</v>
      </c>
    </row>
    <row r="434" spans="1:12" ht="18.75" x14ac:dyDescent="0.3">
      <c r="A434" s="430">
        <f>PR!A432</f>
        <v>394</v>
      </c>
      <c r="B434" s="15" t="str">
        <f>PR!B432</f>
        <v>TADALAFIL</v>
      </c>
      <c r="C434" s="113">
        <f>PR!D432</f>
        <v>4</v>
      </c>
      <c r="D434" s="113">
        <f>PR!C432</f>
        <v>100</v>
      </c>
      <c r="E434" s="108">
        <f>IF(F434="ALPHA",PR!$E432,IF(F434="ASSENE",PR!$F432,IF(F434="BIOFEM",PR!$G432,IF(F434="BIOMED",PR!$H432,IF(F434="CHI",PR!$I432,IF(F434="CLARION",PR!$J432,IF(F434="CODIX",PR!$K432,IF(F434="COSMADE",PR!$L432,IF(F434="SANCON",PR!$M432,IF(F434="DEVON",PR!$N432,IF(F434="DORTEMAG",PR!$O432,IF(F434="DGF",PR!$P432,IF(F434="DYNAMIC",PR!$Q432,IF(F434="EMZOR",PR!$R432,IF(F434="EUMATT",PR!$S432,IF(F434="FIDSON",PR!$T432,IF(F434="FCGLOBAL",PR!$U432,IF(F434="GENEITH",PR!$V432,IF(F434="GINOS",PR!$W432,IF(F434="GSK",PR!$X432,IF(F434="GLOBORG",PR!$Y432,IF(F434="GOODNEWS",PR!$Z432,IF(F434="GREENLIFE",PR!$AA432,IF(F434="HLINE",PR!$AB432,IF(F434="ROTECH",PR!$AC432,IF(F434="ISN",PR!$AD432,IF(F434="JAWA",PR!$AE432,IF(F434="LAYO",PR!$AF432,IF(F434="LEADWAY",PR!$AG432,IF(F434="LHV",PR!$AH432,IF(F434="MANOLA",PR!$AI432,IF(F434="MARCSON",PR!$AJ432,IF(F434="M&amp;B",PR!$AK432,IF(F434="MTRUST",PR!$AL432,IF(F434="MWORLD",PR!$AM432,IF(F434="MEGA",PR!$AN432,IF(F434="MICRONOVA",PR!$AO432,IF(F434="MFLASH",PR!$AP432,IF(F434="MORISON",PR!$AQ432,IF(F434="NEMEL",PR!$AR432,IF(F434="NHP",PR!$AS432,IF(F434="NHC",PR!$AT432,IF(F434="OLEAF",PR!$AU432,IF(F434="OCULUS",PR!$AV432,IF(F434="PACIFIC",PR!$AW432,IF(F434="PHAMATEX",PR!$AX432,IF(F434="PETHICS",PR!$AY432,IF(F434="PHILIPS",PR!$AZ432,IF(F434="RANBAXY",PR!$BA432,IF(F434="REALS",PR!$BB432,IF(F434="ROYAL",PR!$BC432,IF(F434="SAM",PR!$BD432,IF(F434="SEAGREEN",PR!$BE432,IF(F434="SKG",PR!$BF432,IF(F434="TAH",PR!$BG432,IF(F434="TAYLEK",PR!$BH432,IF(F434="TEMITA",PR!$BI432,IF(F434="THL",PR!$BJ432,IF(F434="UBASTIC",PR!$BK432,IF(F434="UNION",PR!$BL432,IF(F434="UNIQUE",PR!$BM432,IF(F434="VIXA",PR!$BN432,IF(F434="WWCV",PR!$BO432,IF(F434="ZOLON",PR!$BP432,"-"))))))))))))))))))))))))))))))))))))))))))))))))))))))))))))))))</f>
        <v>495</v>
      </c>
      <c r="F434" s="102" t="str">
        <f>EV!L554</f>
        <v>GENEITH</v>
      </c>
      <c r="G434" s="108">
        <f>IF(H434="ALPHA",PR!$E432,IF(H434="ASSENE",PR!$F432,IF(H434="BIOFEM",PR!$G432,IF(H434="BIOMED",PR!$H432,IF(H434="CHI",PR!$I432,IF(H434="CLARION",PR!$J432,IF(H434="CODIX",PR!$K432,IF(H434="COSMADE",PR!$L432,IF(H434="SANCON",PR!$M432,IF(H434="DEVON",PR!$N432,IF(H434="DORTEMAG",PR!$O432,IF(H434="DGF",PR!$P432,IF(H434="DYNAMIC",PR!$Q432,IF(H434="EMZOR",PR!$R432,IF(H434="EUMATT",PR!$S432,IF(H434="FIDSON",PR!$T432,IF(H434="FCGLOBAL",PR!$U432,IF(H434="GENEITH",PR!$V432,IF(H434="GINOS",PR!$W432,IF(H434="GSK",PR!$X432,IF(H434="GLOBORG",PR!$Y432,IF(H434="GOODNEWS",PR!$Z432,IF(H434="GREENLIFE",PR!$AA432,IF(H434="HLINE",PR!$AB432,IF(H434="ROTECH",PR!$AC432,IF(H434="ISN",PR!$AD432,IF(H434="JAWA",PR!$AE432,IF(H434="LAYO",PR!$AF432,IF(H434="LEADWAY",PR!$AG432,IF(H434="LHV",PR!$AH432,IF(H434="MANOLA",PR!$AI432,IF(H434="MARCSON",PR!$AJ432,IF(H434="M&amp;B",PR!$AK432,IF(H434="MTRUST",PR!$AL432,IF(H434="MWORLD",PR!$AM432,IF(H434="MEGA",PR!$AN432,IF(H434="MICRONOVA",PR!$AO432,IF(H434="MFLASH",PR!$AP432,IF(H434="MORISON",PR!$AQ432,IF(H434="NEMEL",PR!$AR432,IF(H434="NHP",PR!$AS432,IF(H434="NHC",PR!$AT432,IF(H434="OLEAF",PR!$AU432,IF(H434="OCULUS",PR!$AV432,IF(H434="PACIFIC",PR!$AW432,IF(H434="PHAMATEX",PR!$AX432,IF(H434="PETHICS",PR!$AY432,IF(H434="PHILIPS",PR!$AZ432,IF(H434="RANBAXY",PR!$BA432,IF(H434="REALS",PR!$BB432,IF(H434="ROYAL",PR!$BC432,IF(H434="SAM",PR!$BD432,IF(H434="SEAGREEN",PR!$BE432,IF(H434="SKG",PR!$BF432,IF(H434="TAH",PR!$BG432,IF(H434="TAYLEK",PR!$BH432,IF(H434="TEMITA",PR!$BI432,IF(H434="THL",PR!$BJ432,IF(H434="UBASTIC",PR!$BK432,IF(H434="UNION",PR!$BL432,IF(H434="UNIQUE",PR!$BM432,IF(H434="VIXA",PR!$BN432,IF(H434="WWCV",PR!$BO432,IF(H434="ZOLON",PR!$BP432,"-"))))))))))))))))))))))))))))))))))))))))))))))))))))))))))))))))</f>
        <v>900</v>
      </c>
      <c r="H434" s="102" t="str">
        <f>EV!M554</f>
        <v>EUMATT</v>
      </c>
      <c r="I434" s="108">
        <f>IF(J434="ALPHA",PR!$E432,IF(J434="ASSENE",PR!$F432,IF(J434="BIOFEM",PR!$G432,IF(J434="BIOMED",PR!$H432,IF(J434="CHI",PR!$I432,IF(J434="CLARION",PR!$J432,IF(J434="CODIX",PR!$K432,IF(J434="COSMADE",PR!$L432,IF(J434="SANCON",PR!$M432,IF(J434="DEVON",PR!$N432,IF(J434="DORTEMAG",PR!$O432,IF(J434="DGF",PR!$P432,IF(J434="DYNAMIC",PR!$Q432,IF(J434="EMZOR",PR!$R432,IF(J434="EUMATT",PR!$S432,IF(J434="FIDSON",PR!$T432,IF(J434="FCGLOBAL",PR!$U432,IF(J434="GENEITH",PR!$V432,IF(J434="GINOS",PR!$W432,IF(J434="GSK",PR!$X432,IF(J434="GLOBORG",PR!$Y432,IF(J434="GOODNEWS",PR!$Z432,IF(J434="GREENLIFE",PR!$AA432,IF(J434="HLINE",PR!$AB432,IF(J434="ROTECH",PR!$AC432,IF(J434="ISN",PR!$AD432,IF(J434="JAWA",PR!$AE432,IF(J434="LAYO",PR!$AF432,IF(J434="LEADWAY",PR!$AG432,IF(J434="LHV",PR!$AH432,IF(J434="MANOLA",PR!$AI432,IF(J434="MARCSON",PR!$AJ432,IF(J434="M&amp;B",PR!$AK432,IF(J434="MTRUST",PR!$AL432,IF(J434="MWORLD",PR!$AM432,IF(J434="MEGA",PR!$AN432,IF(J434="MICRONOVA",PR!$AO432,IF(J434="MFLASH",PR!$AP432,IF(J434="MORISON",PR!$AQ432,IF(J434="NEMEL",PR!$AR432,IF(J434="NHP",PR!$AS432,IF(J434="NHC",PR!$AT432,IF(J434="OLEAF",PR!$AU432,IF(J434="OCULUS",PR!$AV432,IF(J434="PACIFIC",PR!$AW432,IF(J434="PHAMATEX",PR!$AX432,IF(J434="PETHICS",PR!$AY432,IF(J434="PHILIPS",PR!$AZ432,IF(J434="RANBAXY",PR!$BA432,IF(J434="REALS",PR!$BB432,IF(J434="ROYAL",PR!$BC432,IF(J434="SAM",PR!$BD432,IF(J434="SEAGREEN",PR!$BE432,IF(J434="SKG",PR!$BF432,IF(J434="TAH",PR!$BG432,IF(J434="TAYLEK",PR!$BH432,IF(J434="TEMITA",PR!$BI432,IF(J434="THL",PR!$BJ432,IF(J434="UBASTIC",PR!$BK432,IF(J434="UNION",PR!$BL432,IF(J434="UNIQUE",PR!$BM432,IF(J434="VIXA",PR!$BN432,IF(J434="WWCV",PR!$BO432,IF(J434="ZOLON",PR!$BP432,"-"))))))))))))))))))))))))))))))))))))))))))))))))))))))))))))))))</f>
        <v>13800</v>
      </c>
      <c r="J434" s="102" t="str">
        <f>EV!N554</f>
        <v>CHI</v>
      </c>
      <c r="K434" s="433" t="s">
        <v>619</v>
      </c>
      <c r="L434" s="183">
        <f>IF(K434&gt;0,IF(K434="ALPHA",PR!$E432,IF(K434="ASSENE",PR!$F432,IF(K434="BIOFEM",PR!$G432,IF(K434="BIOMED",PR!$H432,IF(K434="CHI",PR!$I432,IF(K434="CLARION",PR!$J432,IF(K434="CODIX",PR!$K432,IF(K434="COSMADE",PR!$L432,IF(K434="SANCON",PR!$M432,IF(K434="DEVON",PR!$N432,IF(K434="DORTEMAG",PR!$O432,IF(K434="DGF",PR!$P432,IF(K434="DYNAMIC",PR!$Q432,IF(K434="EMZOR",PR!$R432,IF(K434="EUMATT",PR!$S432,IF(K434="FIDSON",PR!$T432,IF(K434="FCGLOBAL",PR!$U432,IF(K434="GENEITH",PR!$V432,IF(K434="GINOS",PR!$W432,IF(K434="GSK",PR!$X432,IF(K434="GLOBORG",PR!$Y432,IF(K434="GOODNEWS",PR!$Z432,IF(K434="GREENLIFE",PR!$AA432,IF(K434="HLINE",PR!$AB432,IF(K434="ROTECH",PR!$AC432,IF(K434="ISN",PR!$AD432,IF(K434="JAWA",PR!$AE432,IF(K434="LAYO",PR!$AF432,IF(K434="LEADWAY",PR!$AG432,IF(K434="LHV",PR!$AH432,IF(K434="MANOLA",PR!$AI432,IF(K434="MARCSON",PR!$AJ432,IF(K434="M&amp;B",PR!$AK432,IF(K434="MTRUST",PR!$AL432,IF(K434="MWORLD",PR!$AM432,IF(K434="MEGA",PR!$AN432,IF(K434="MICRONOVA",PR!$AO432,IF(K434="MFLASH",PR!$AP432,IF(K434="MORISON",PR!$AQ432,IF(K434="NEMEL",PR!$AR432,IF(K434="NHP",PR!$AS432,IF(K434="NHC",PR!$AT432,IF(K434="OLEAF",PR!$AU432,IF(K434="OCULUS",PR!$AV432,IF(K434="PACIFIC",PR!$AW432,IF(K434="PHAMATEX",PR!$AX432,IF(K434="PETHICS",PR!$AY432,IF(K434="PHILIPS",PR!$AZ432,IF(K434="RANBAXY",PR!$BA432,IF(K434="REALS",PR!$BB432,IF(K434="ROYAL",PR!$BC432,IF(K434="SAM",PR!$BD432,IF(K434="SEAGREEN",PR!$BE432,IF(K434="SKG",PR!$BF432,IF(K434="TAH",PR!$BG432,IF(K434="TAYLEK",PR!$BH432,IF(K434="TEMITA",PR!$BI432,IF(K434="THL",PR!$BJ432,IF(K434="UBASTIC",PR!$BK432,IF(K434="UNION",PR!$BL432,IF(K434="UNIQUE",PR!$BM432,IF(K434="VIXA",PR!$BN432,IF(K434="WWCV",PR!$BO432,IF(K434="ZOLON",PR!$BP432,"-")))))))))))))))))))))))))))))))))))))))))))))))))))))))))))))))))</f>
        <v>495</v>
      </c>
    </row>
    <row r="435" spans="1:12" ht="18.75" x14ac:dyDescent="0.3">
      <c r="A435" s="430">
        <f>PR!A433</f>
        <v>395</v>
      </c>
      <c r="B435" s="15" t="str">
        <f>PR!B433</f>
        <v>VIGOMAX TAB</v>
      </c>
      <c r="C435" s="113">
        <f>PR!D433</f>
        <v>20</v>
      </c>
      <c r="D435" s="113">
        <f>PR!C433</f>
        <v>50</v>
      </c>
      <c r="E435" s="108">
        <f>IF(F435="ALPHA",PR!$E433,IF(F435="ASSENE",PR!$F433,IF(F435="BIOFEM",PR!$G433,IF(F435="BIOMED",PR!$H433,IF(F435="CHI",PR!$I433,IF(F435="CLARION",PR!$J433,IF(F435="CODIX",PR!$K433,IF(F435="COSMADE",PR!$L433,IF(F435="SANCON",PR!$M433,IF(F435="DEVON",PR!$N433,IF(F435="DORTEMAG",PR!$O433,IF(F435="DGF",PR!$P433,IF(F435="DYNAMIC",PR!$Q433,IF(F435="EMZOR",PR!$R433,IF(F435="EUMATT",PR!$S433,IF(F435="FIDSON",PR!$T433,IF(F435="FCGLOBAL",PR!$U433,IF(F435="GENEITH",PR!$V433,IF(F435="GINOS",PR!$W433,IF(F435="GSK",PR!$X433,IF(F435="GLOBORG",PR!$Y433,IF(F435="GOODNEWS",PR!$Z433,IF(F435="GREENLIFE",PR!$AA433,IF(F435="HLINE",PR!$AB433,IF(F435="ROTECH",PR!$AC433,IF(F435="ISN",PR!$AD433,IF(F435="JAWA",PR!$AE433,IF(F435="LAYO",PR!$AF433,IF(F435="LEADWAY",PR!$AG433,IF(F435="LHV",PR!$AH433,IF(F435="MANOLA",PR!$AI433,IF(F435="MARCSON",PR!$AJ433,IF(F435="M&amp;B",PR!$AK433,IF(F435="MTRUST",PR!$AL433,IF(F435="MWORLD",PR!$AM433,IF(F435="MEGA",PR!$AN433,IF(F435="MICRONOVA",PR!$AO433,IF(F435="MFLASH",PR!$AP433,IF(F435="MORISON",PR!$AQ433,IF(F435="NEMEL",PR!$AR433,IF(F435="NHP",PR!$AS433,IF(F435="NHC",PR!$AT433,IF(F435="OLEAF",PR!$AU433,IF(F435="OCULUS",PR!$AV433,IF(F435="PACIFIC",PR!$AW433,IF(F435="PHAMATEX",PR!$AX433,IF(F435="PETHICS",PR!$AY433,IF(F435="PHILIPS",PR!$AZ433,IF(F435="RANBAXY",PR!$BA433,IF(F435="REALS",PR!$BB433,IF(F435="ROYAL",PR!$BC433,IF(F435="SAM",PR!$BD433,IF(F435="SEAGREEN",PR!$BE433,IF(F435="SKG",PR!$BF433,IF(F435="TAH",PR!$BG433,IF(F435="TAYLEK",PR!$BH433,IF(F435="TEMITA",PR!$BI433,IF(F435="THL",PR!$BJ433,IF(F435="UBASTIC",PR!$BK433,IF(F435="UNION",PR!$BL433,IF(F435="UNIQUE",PR!$BM433,IF(F435="VIXA",PR!$BN433,IF(F435="WWCV",PR!$BO433,IF(F435="ZOLON",PR!$BP433,"-"))))))))))))))))))))))))))))))))))))))))))))))))))))))))))))))))</f>
        <v>2300</v>
      </c>
      <c r="F435" s="102" t="str">
        <f>EV!L555</f>
        <v>FIDSON</v>
      </c>
      <c r="G435" s="108" t="str">
        <f>IF(H435="ALPHA",PR!$E433,IF(H435="ASSENE",PR!$F433,IF(H435="BIOFEM",PR!$G433,IF(H435="BIOMED",PR!$H433,IF(H435="CHI",PR!$I433,IF(H435="CLARION",PR!$J433,IF(H435="CODIX",PR!$K433,IF(H435="COSMADE",PR!$L433,IF(H435="SANCON",PR!$M433,IF(H435="DEVON",PR!$N433,IF(H435="DORTEMAG",PR!$O433,IF(H435="DGF",PR!$P433,IF(H435="DYNAMIC",PR!$Q433,IF(H435="EMZOR",PR!$R433,IF(H435="EUMATT",PR!$S433,IF(H435="FIDSON",PR!$T433,IF(H435="FCGLOBAL",PR!$U433,IF(H435="GENEITH",PR!$V433,IF(H435="GINOS",PR!$W433,IF(H435="GSK",PR!$X433,IF(H435="GLOBORG",PR!$Y433,IF(H435="GOODNEWS",PR!$Z433,IF(H435="GREENLIFE",PR!$AA433,IF(H435="HLINE",PR!$AB433,IF(H435="ROTECH",PR!$AC433,IF(H435="ISN",PR!$AD433,IF(H435="JAWA",PR!$AE433,IF(H435="LAYO",PR!$AF433,IF(H435="LEADWAY",PR!$AG433,IF(H435="LHV",PR!$AH433,IF(H435="MANOLA",PR!$AI433,IF(H435="MARCSON",PR!$AJ433,IF(H435="M&amp;B",PR!$AK433,IF(H435="MTRUST",PR!$AL433,IF(H435="MWORLD",PR!$AM433,IF(H435="MEGA",PR!$AN433,IF(H435="MICRONOVA",PR!$AO433,IF(H435="MFLASH",PR!$AP433,IF(H435="MORISON",PR!$AQ433,IF(H435="NEMEL",PR!$AR433,IF(H435="NHP",PR!$AS433,IF(H435="NHC",PR!$AT433,IF(H435="OLEAF",PR!$AU433,IF(H435="OCULUS",PR!$AV433,IF(H435="PACIFIC",PR!$AW433,IF(H435="PHAMATEX",PR!$AX433,IF(H435="PETHICS",PR!$AY433,IF(H435="PHILIPS",PR!$AZ433,IF(H435="RANBAXY",PR!$BA433,IF(H435="REALS",PR!$BB433,IF(H435="ROYAL",PR!$BC433,IF(H435="SAM",PR!$BD433,IF(H435="SEAGREEN",PR!$BE433,IF(H435="SKG",PR!$BF433,IF(H435="TAH",PR!$BG433,IF(H435="TAYLEK",PR!$BH433,IF(H435="TEMITA",PR!$BI433,IF(H435="THL",PR!$BJ433,IF(H435="UBASTIC",PR!$BK433,IF(H435="UNION",PR!$BL433,IF(H435="UNIQUE",PR!$BM433,IF(H435="VIXA",PR!$BN433,IF(H435="WWCV",PR!$BO433,IF(H435="ZOLON",PR!$BP433,"-"))))))))))))))))))))))))))))))))))))))))))))))))))))))))))))))))</f>
        <v>-</v>
      </c>
      <c r="H435" s="102">
        <f>EV!M555</f>
        <v>0</v>
      </c>
      <c r="I435" s="108" t="str">
        <f>IF(J435="ALPHA",PR!$E433,IF(J435="ASSENE",PR!$F433,IF(J435="BIOFEM",PR!$G433,IF(J435="BIOMED",PR!$H433,IF(J435="CHI",PR!$I433,IF(J435="CLARION",PR!$J433,IF(J435="CODIX",PR!$K433,IF(J435="COSMADE",PR!$L433,IF(J435="SANCON",PR!$M433,IF(J435="DEVON",PR!$N433,IF(J435="DORTEMAG",PR!$O433,IF(J435="DGF",PR!$P433,IF(J435="DYNAMIC",PR!$Q433,IF(J435="EMZOR",PR!$R433,IF(J435="EUMATT",PR!$S433,IF(J435="FIDSON",PR!$T433,IF(J435="FCGLOBAL",PR!$U433,IF(J435="GENEITH",PR!$V433,IF(J435="GINOS",PR!$W433,IF(J435="GSK",PR!$X433,IF(J435="GLOBORG",PR!$Y433,IF(J435="GOODNEWS",PR!$Z433,IF(J435="GREENLIFE",PR!$AA433,IF(J435="HLINE",PR!$AB433,IF(J435="ROTECH",PR!$AC433,IF(J435="ISN",PR!$AD433,IF(J435="JAWA",PR!$AE433,IF(J435="LAYO",PR!$AF433,IF(J435="LEADWAY",PR!$AG433,IF(J435="LHV",PR!$AH433,IF(J435="MANOLA",PR!$AI433,IF(J435="MARCSON",PR!$AJ433,IF(J435="M&amp;B",PR!$AK433,IF(J435="MTRUST",PR!$AL433,IF(J435="MWORLD",PR!$AM433,IF(J435="MEGA",PR!$AN433,IF(J435="MICRONOVA",PR!$AO433,IF(J435="MFLASH",PR!$AP433,IF(J435="MORISON",PR!$AQ433,IF(J435="NEMEL",PR!$AR433,IF(J435="NHP",PR!$AS433,IF(J435="NHC",PR!$AT433,IF(J435="OLEAF",PR!$AU433,IF(J435="OCULUS",PR!$AV433,IF(J435="PACIFIC",PR!$AW433,IF(J435="PHAMATEX",PR!$AX433,IF(J435="PETHICS",PR!$AY433,IF(J435="PHILIPS",PR!$AZ433,IF(J435="RANBAXY",PR!$BA433,IF(J435="REALS",PR!$BB433,IF(J435="ROYAL",PR!$BC433,IF(J435="SAM",PR!$BD433,IF(J435="SEAGREEN",PR!$BE433,IF(J435="SKG",PR!$BF433,IF(J435="TAH",PR!$BG433,IF(J435="TAYLEK",PR!$BH433,IF(J435="TEMITA",PR!$BI433,IF(J435="THL",PR!$BJ433,IF(J435="UBASTIC",PR!$BK433,IF(J435="UNION",PR!$BL433,IF(J435="UNIQUE",PR!$BM433,IF(J435="VIXA",PR!$BN433,IF(J435="WWCV",PR!$BO433,IF(J435="ZOLON",PR!$BP433,"-"))))))))))))))))))))))))))))))))))))))))))))))))))))))))))))))))</f>
        <v>-</v>
      </c>
      <c r="J435" s="102">
        <f>EV!N555</f>
        <v>0</v>
      </c>
      <c r="K435" s="433" t="s">
        <v>631</v>
      </c>
      <c r="L435" s="183">
        <f>IF(K435&gt;0,IF(K435="ALPHA",PR!$E433,IF(K435="ASSENE",PR!$F433,IF(K435="BIOFEM",PR!$G433,IF(K435="BIOMED",PR!$H433,IF(K435="CHI",PR!$I433,IF(K435="CLARION",PR!$J433,IF(K435="CODIX",PR!$K433,IF(K435="COSMADE",PR!$L433,IF(K435="SANCON",PR!$M433,IF(K435="DEVON",PR!$N433,IF(K435="DORTEMAG",PR!$O433,IF(K435="DGF",PR!$P433,IF(K435="DYNAMIC",PR!$Q433,IF(K435="EMZOR",PR!$R433,IF(K435="EUMATT",PR!$S433,IF(K435="FIDSON",PR!$T433,IF(K435="FCGLOBAL",PR!$U433,IF(K435="GENEITH",PR!$V433,IF(K435="GINOS",PR!$W433,IF(K435="GSK",PR!$X433,IF(K435="GLOBORG",PR!$Y433,IF(K435="GOODNEWS",PR!$Z433,IF(K435="GREENLIFE",PR!$AA433,IF(K435="HLINE",PR!$AB433,IF(K435="ROTECH",PR!$AC433,IF(K435="ISN",PR!$AD433,IF(K435="JAWA",PR!$AE433,IF(K435="LAYO",PR!$AF433,IF(K435="LEADWAY",PR!$AG433,IF(K435="LHV",PR!$AH433,IF(K435="MANOLA",PR!$AI433,IF(K435="MARCSON",PR!$AJ433,IF(K435="M&amp;B",PR!$AK433,IF(K435="MTRUST",PR!$AL433,IF(K435="MWORLD",PR!$AM433,IF(K435="MEGA",PR!$AN433,IF(K435="MICRONOVA",PR!$AO433,IF(K435="MFLASH",PR!$AP433,IF(K435="MORISON",PR!$AQ433,IF(K435="NEMEL",PR!$AR433,IF(K435="NHP",PR!$AS433,IF(K435="NHC",PR!$AT433,IF(K435="OLEAF",PR!$AU433,IF(K435="OCULUS",PR!$AV433,IF(K435="PACIFIC",PR!$AW433,IF(K435="PHAMATEX",PR!$AX433,IF(K435="PETHICS",PR!$AY433,IF(K435="PHILIPS",PR!$AZ433,IF(K435="RANBAXY",PR!$BA433,IF(K435="REALS",PR!$BB433,IF(K435="ROYAL",PR!$BC433,IF(K435="SAM",PR!$BD433,IF(K435="SEAGREEN",PR!$BE433,IF(K435="SKG",PR!$BF433,IF(K435="TAH",PR!$BG433,IF(K435="TAYLEK",PR!$BH433,IF(K435="TEMITA",PR!$BI433,IF(K435="THL",PR!$BJ433,IF(K435="UBASTIC",PR!$BK433,IF(K435="UNION",PR!$BL433,IF(K435="UNIQUE",PR!$BM433,IF(K435="VIXA",PR!$BN433,IF(K435="WWCV",PR!$BO433,IF(K435="ZOLON",PR!$BP433,"-")))))))))))))))))))))))))))))))))))))))))))))))))))))))))))))))))</f>
        <v>2300</v>
      </c>
    </row>
    <row r="436" spans="1:12" ht="18.75" x14ac:dyDescent="0.3">
      <c r="A436" s="430">
        <f>PR!A434</f>
        <v>0</v>
      </c>
      <c r="B436" s="15">
        <f>PR!B434</f>
        <v>0</v>
      </c>
      <c r="C436" s="113">
        <f>PR!D434</f>
        <v>0</v>
      </c>
      <c r="D436" s="113">
        <f>PR!C434</f>
        <v>0</v>
      </c>
      <c r="E436" s="108" t="str">
        <f>IF(F436="ALPHA",PR!$E434,IF(F436="ASSENE",PR!$F434,IF(F436="BIOFEM",PR!$G434,IF(F436="BIOMED",PR!$H434,IF(F436="CHI",PR!$I434,IF(F436="CLARION",PR!$J434,IF(F436="CODIX",PR!$K434,IF(F436="COSMADE",PR!$L434,IF(F436="SANCON",PR!$M434,IF(F436="DEVON",PR!$N434,IF(F436="DORTEMAG",PR!$O434,IF(F436="DGF",PR!$P434,IF(F436="DYNAMIC",PR!$Q434,IF(F436="EMZOR",PR!$R434,IF(F436="EUMATT",PR!$S434,IF(F436="FIDSON",PR!$T434,IF(F436="FCGLOBAL",PR!$U434,IF(F436="GENEITH",PR!$V434,IF(F436="GINOS",PR!$W434,IF(F436="GSK",PR!$X434,IF(F436="GLOBORG",PR!$Y434,IF(F436="GOODNEWS",PR!$Z434,IF(F436="GREENLIFE",PR!$AA434,IF(F436="HLINE",PR!$AB434,IF(F436="ROTECH",PR!$AC434,IF(F436="ISN",PR!$AD434,IF(F436="JAWA",PR!$AE434,IF(F436="LAYO",PR!$AF434,IF(F436="LEADWAY",PR!$AG434,IF(F436="LHV",PR!$AH434,IF(F436="MANOLA",PR!$AI434,IF(F436="MARCSON",PR!$AJ434,IF(F436="M&amp;B",PR!$AK434,IF(F436="MTRUST",PR!$AL434,IF(F436="MWORLD",PR!$AM434,IF(F436="MEGA",PR!$AN434,IF(F436="MICRONOVA",PR!$AO434,IF(F436="MFLASH",PR!$AP434,IF(F436="MORISON",PR!$AQ434,IF(F436="NEMEL",PR!$AR434,IF(F436="NHP",PR!$AS434,IF(F436="NHC",PR!$AT434,IF(F436="OLEAF",PR!$AU434,IF(F436="OCULUS",PR!$AV434,IF(F436="PACIFIC",PR!$AW434,IF(F436="PHAMATEX",PR!$AX434,IF(F436="PETHICS",PR!$AY434,IF(F436="PHILIPS",PR!$AZ434,IF(F436="RANBAXY",PR!$BA434,IF(F436="REALS",PR!$BB434,IF(F436="ROYAL",PR!$BC434,IF(F436="SAM",PR!$BD434,IF(F436="SEAGREEN",PR!$BE434,IF(F436="SKG",PR!$BF434,IF(F436="TAH",PR!$BG434,IF(F436="TAYLEK",PR!$BH434,IF(F436="TEMITA",PR!$BI434,IF(F436="THL",PR!$BJ434,IF(F436="UBASTIC",PR!$BK434,IF(F436="UNION",PR!$BL434,IF(F436="UNIQUE",PR!$BM434,IF(F436="VIXA",PR!$BN434,IF(F436="WWCV",PR!$BO434,IF(F436="ZOLON",PR!$BP434,"-"))))))))))))))))))))))))))))))))))))))))))))))))))))))))))))))))</f>
        <v>-</v>
      </c>
      <c r="F436" s="102"/>
      <c r="G436" s="108" t="str">
        <f>IF(H436="ALPHA",PR!$E434,IF(H436="ASSENE",PR!$F434,IF(H436="BIOFEM",PR!$G434,IF(H436="BIOMED",PR!$H434,IF(H436="CHI",PR!$I434,IF(H436="CLARION",PR!$J434,IF(H436="CODIX",PR!$K434,IF(H436="COSMADE",PR!$L434,IF(H436="SANCON",PR!$M434,IF(H436="DEVON",PR!$N434,IF(H436="DORTEMAG",PR!$O434,IF(H436="DGF",PR!$P434,IF(H436="DYNAMIC",PR!$Q434,IF(H436="EMZOR",PR!$R434,IF(H436="EUMATT",PR!$S434,IF(H436="FIDSON",PR!$T434,IF(H436="FCGLOBAL",PR!$U434,IF(H436="GENEITH",PR!$V434,IF(H436="GINOS",PR!$W434,IF(H436="GSK",PR!$X434,IF(H436="GLOBORG",PR!$Y434,IF(H436="GOODNEWS",PR!$Z434,IF(H436="GREENLIFE",PR!$AA434,IF(H436="HLINE",PR!$AB434,IF(H436="ROTECH",PR!$AC434,IF(H436="ISN",PR!$AD434,IF(H436="JAWA",PR!$AE434,IF(H436="LAYO",PR!$AF434,IF(H436="LEADWAY",PR!$AG434,IF(H436="LHV",PR!$AH434,IF(H436="MANOLA",PR!$AI434,IF(H436="MARCSON",PR!$AJ434,IF(H436="M&amp;B",PR!$AK434,IF(H436="MTRUST",PR!$AL434,IF(H436="MWORLD",PR!$AM434,IF(H436="MEGA",PR!$AN434,IF(H436="MICRONOVA",PR!$AO434,IF(H436="MFLASH",PR!$AP434,IF(H436="MORISON",PR!$AQ434,IF(H436="NEMEL",PR!$AR434,IF(H436="NHP",PR!$AS434,IF(H436="NHC",PR!$AT434,IF(H436="OLEAF",PR!$AU434,IF(H436="OCULUS",PR!$AV434,IF(H436="PACIFIC",PR!$AW434,IF(H436="PHAMATEX",PR!$AX434,IF(H436="PETHICS",PR!$AY434,IF(H436="PHILIPS",PR!$AZ434,IF(H436="RANBAXY",PR!$BA434,IF(H436="REALS",PR!$BB434,IF(H436="ROYAL",PR!$BC434,IF(H436="SAM",PR!$BD434,IF(H436="SEAGREEN",PR!$BE434,IF(H436="SKG",PR!$BF434,IF(H436="TAH",PR!$BG434,IF(H436="TAYLEK",PR!$BH434,IF(H436="TEMITA",PR!$BI434,IF(H436="THL",PR!$BJ434,IF(H436="UBASTIC",PR!$BK434,IF(H436="UNION",PR!$BL434,IF(H436="UNIQUE",PR!$BM434,IF(H436="VIXA",PR!$BN434,IF(H436="WWCV",PR!$BO434,IF(H436="ZOLON",PR!$BP434,"-"))))))))))))))))))))))))))))))))))))))))))))))))))))))))))))))))</f>
        <v>-</v>
      </c>
      <c r="H436" s="102"/>
      <c r="I436" s="108" t="str">
        <f>IF(J436="ALPHA",PR!$E434,IF(J436="ASSENE",PR!$F434,IF(J436="BIOFEM",PR!$G434,IF(J436="BIOMED",PR!$H434,IF(J436="CHI",PR!$I434,IF(J436="CLARION",PR!$J434,IF(J436="CODIX",PR!$K434,IF(J436="COSMADE",PR!$L434,IF(J436="SANCON",PR!$M434,IF(J436="DEVON",PR!$N434,IF(J436="DORTEMAG",PR!$O434,IF(J436="DGF",PR!$P434,IF(J436="DYNAMIC",PR!$Q434,IF(J436="EMZOR",PR!$R434,IF(J436="EUMATT",PR!$S434,IF(J436="FIDSON",PR!$T434,IF(J436="FCGLOBAL",PR!$U434,IF(J436="GENEITH",PR!$V434,IF(J436="GINOS",PR!$W434,IF(J436="GSK",PR!$X434,IF(J436="GLOBORG",PR!$Y434,IF(J436="GOODNEWS",PR!$Z434,IF(J436="GREENLIFE",PR!$AA434,IF(J436="HLINE",PR!$AB434,IF(J436="ROTECH",PR!$AC434,IF(J436="ISN",PR!$AD434,IF(J436="JAWA",PR!$AE434,IF(J436="LAYO",PR!$AF434,IF(J436="LEADWAY",PR!$AG434,IF(J436="LHV",PR!$AH434,IF(J436="MANOLA",PR!$AI434,IF(J436="MARCSON",PR!$AJ434,IF(J436="M&amp;B",PR!$AK434,IF(J436="MTRUST",PR!$AL434,IF(J436="MWORLD",PR!$AM434,IF(J436="MEGA",PR!$AN434,IF(J436="MICRONOVA",PR!$AO434,IF(J436="MFLASH",PR!$AP434,IF(J436="MORISON",PR!$AQ434,IF(J436="NEMEL",PR!$AR434,IF(J436="NHP",PR!$AS434,IF(J436="NHC",PR!$AT434,IF(J436="OLEAF",PR!$AU434,IF(J436="OCULUS",PR!$AV434,IF(J436="PACIFIC",PR!$AW434,IF(J436="PHAMATEX",PR!$AX434,IF(J436="PETHICS",PR!$AY434,IF(J436="PHILIPS",PR!$AZ434,IF(J436="RANBAXY",PR!$BA434,IF(J436="REALS",PR!$BB434,IF(J436="ROYAL",PR!$BC434,IF(J436="SAM",PR!$BD434,IF(J436="SEAGREEN",PR!$BE434,IF(J436="SKG",PR!$BF434,IF(J436="TAH",PR!$BG434,IF(J436="TAYLEK",PR!$BH434,IF(J436="TEMITA",PR!$BI434,IF(J436="THL",PR!$BJ434,IF(J436="UBASTIC",PR!$BK434,IF(J436="UNION",PR!$BL434,IF(J436="UNIQUE",PR!$BM434,IF(J436="VIXA",PR!$BN434,IF(J436="WWCV",PR!$BO434,IF(J436="ZOLON",PR!$BP434,"-"))))))))))))))))))))))))))))))))))))))))))))))))))))))))))))))))</f>
        <v>-</v>
      </c>
      <c r="J436" s="102"/>
      <c r="K436" s="433"/>
      <c r="L436" s="183" t="b">
        <f>IF(K436&gt;0,IF(K436="ALPHA",PR!$E434,IF(K436="ASSENE",PR!$F434,IF(K436="BIOFEM",PR!$G434,IF(K436="BIOMED",PR!$H434,IF(K436="CHI",PR!$I434,IF(K436="CLARION",PR!$J434,IF(K436="CODIX",PR!$K434,IF(K436="COSMADE",PR!$L434,IF(K436="SANCON",PR!$M434,IF(K436="DEVON",PR!$N434,IF(K436="DORTEMAG",PR!$O434,IF(K436="DGF",PR!$P434,IF(K436="DYNAMIC",PR!$Q434,IF(K436="EMZOR",PR!$R434,IF(K436="EUMATT",PR!$S434,IF(K436="FIDSON",PR!$T434,IF(K436="FCGLOBAL",PR!$U434,IF(K436="GENEITH",PR!$V434,IF(K436="GINOS",PR!$W434,IF(K436="GSK",PR!$X434,IF(K436="GLOBORG",PR!$Y434,IF(K436="GOODNEWS",PR!$Z434,IF(K436="GREENLIFE",PR!$AA434,IF(K436="HLINE",PR!$AB434,IF(K436="ROTECH",PR!$AC434,IF(K436="ISN",PR!$AD434,IF(K436="JAWA",PR!$AE434,IF(K436="LAYO",PR!$AF434,IF(K436="LEADWAY",PR!$AG434,IF(K436="LHV",PR!$AH434,IF(K436="MANOLA",PR!$AI434,IF(K436="MARCSON",PR!$AJ434,IF(K436="M&amp;B",PR!$AK434,IF(K436="MTRUST",PR!$AL434,IF(K436="MWORLD",PR!$AM434,IF(K436="MEGA",PR!$AN434,IF(K436="MICRONOVA",PR!$AO434,IF(K436="MFLASH",PR!$AP434,IF(K436="MORISON",PR!$AQ434,IF(K436="NEMEL",PR!$AR434,IF(K436="NHP",PR!$AS434,IF(K436="NHC",PR!$AT434,IF(K436="OLEAF",PR!$AU434,IF(K436="OCULUS",PR!$AV434,IF(K436="PACIFIC",PR!$AW434,IF(K436="PHAMATEX",PR!$AX434,IF(K436="PETHICS",PR!$AY434,IF(K436="PHILIPS",PR!$AZ434,IF(K436="RANBAXY",PR!$BA434,IF(K436="REALS",PR!$BB434,IF(K436="ROYAL",PR!$BC434,IF(K436="SAM",PR!$BD434,IF(K436="SEAGREEN",PR!$BE434,IF(K436="SKG",PR!$BF434,IF(K436="TAH",PR!$BG434,IF(K436="TAYLEK",PR!$BH434,IF(K436="TEMITA",PR!$BI434,IF(K436="THL",PR!$BJ434,IF(K436="UBASTIC",PR!$BK434,IF(K436="UNION",PR!$BL434,IF(K436="UNIQUE",PR!$BM434,IF(K436="VIXA",PR!$BN434,IF(K436="WWCV",PR!$BO434,IF(K436="ZOLON",PR!$BP434,"-")))))))))))))))))))))))))))))))))))))))))))))))))))))))))))))))))</f>
        <v>0</v>
      </c>
    </row>
    <row r="437" spans="1:12" ht="18.75" x14ac:dyDescent="0.3">
      <c r="A437" s="430">
        <f>PR!A435</f>
        <v>0</v>
      </c>
      <c r="B437" s="15">
        <f>PR!B435</f>
        <v>0</v>
      </c>
      <c r="C437" s="113">
        <f>PR!D435</f>
        <v>0</v>
      </c>
      <c r="D437" s="113">
        <f>PR!C435</f>
        <v>0</v>
      </c>
      <c r="E437" s="108" t="str">
        <f>IF(F437="ALPHA",PR!$E435,IF(F437="ASSENE",PR!$F435,IF(F437="BIOFEM",PR!$G435,IF(F437="BIOMED",PR!$H435,IF(F437="CHI",PR!$I435,IF(F437="CLARION",PR!$J435,IF(F437="CODIX",PR!$K435,IF(F437="COSMADE",PR!$L435,IF(F437="SANCON",PR!$M435,IF(F437="DEVON",PR!$N435,IF(F437="DORTEMAG",PR!$O435,IF(F437="DGF",PR!$P435,IF(F437="DYNAMIC",PR!$Q435,IF(F437="EMZOR",PR!$R435,IF(F437="EUMATT",PR!$S435,IF(F437="FIDSON",PR!$T435,IF(F437="FCGLOBAL",PR!$U435,IF(F437="GENEITH",PR!$V435,IF(F437="GINOS",PR!$W435,IF(F437="GSK",PR!$X435,IF(F437="GLOBORG",PR!$Y435,IF(F437="GOODNEWS",PR!$Z435,IF(F437="GREENLIFE",PR!$AA435,IF(F437="HLINE",PR!$AB435,IF(F437="ROTECH",PR!$AC435,IF(F437="ISN",PR!$AD435,IF(F437="JAWA",PR!$AE435,IF(F437="LAYO",PR!$AF435,IF(F437="LEADWAY",PR!$AG435,IF(F437="LHV",PR!$AH435,IF(F437="MANOLA",PR!$AI435,IF(F437="MARCSON",PR!$AJ435,IF(F437="M&amp;B",PR!$AK435,IF(F437="MTRUST",PR!$AL435,IF(F437="MWORLD",PR!$AM435,IF(F437="MEGA",PR!$AN435,IF(F437="MICRONOVA",PR!$AO435,IF(F437="MFLASH",PR!$AP435,IF(F437="MORISON",PR!$AQ435,IF(F437="NEMEL",PR!$AR435,IF(F437="NHP",PR!$AS435,IF(F437="NHC",PR!$AT435,IF(F437="OLEAF",PR!$AU435,IF(F437="OCULUS",PR!$AV435,IF(F437="PACIFIC",PR!$AW435,IF(F437="PHAMATEX",PR!$AX435,IF(F437="PETHICS",PR!$AY435,IF(F437="PHILIPS",PR!$AZ435,IF(F437="RANBAXY",PR!$BA435,IF(F437="REALS",PR!$BB435,IF(F437="ROYAL",PR!$BC435,IF(F437="SAM",PR!$BD435,IF(F437="SEAGREEN",PR!$BE435,IF(F437="SKG",PR!$BF435,IF(F437="TAH",PR!$BG435,IF(F437="TAYLEK",PR!$BH435,IF(F437="TEMITA",PR!$BI435,IF(F437="THL",PR!$BJ435,IF(F437="UBASTIC",PR!$BK435,IF(F437="UNION",PR!$BL435,IF(F437="UNIQUE",PR!$BM435,IF(F437="VIXA",PR!$BN435,IF(F437="WWCV",PR!$BO435,IF(F437="ZOLON",PR!$BP435,"-"))))))))))))))))))))))))))))))))))))))))))))))))))))))))))))))))</f>
        <v>-</v>
      </c>
      <c r="F437" s="102"/>
      <c r="G437" s="108" t="str">
        <f>IF(H437="ALPHA",PR!$E435,IF(H437="ASSENE",PR!$F435,IF(H437="BIOFEM",PR!$G435,IF(H437="BIOMED",PR!$H435,IF(H437="CHI",PR!$I435,IF(H437="CLARION",PR!$J435,IF(H437="CODIX",PR!$K435,IF(H437="COSMADE",PR!$L435,IF(H437="SANCON",PR!$M435,IF(H437="DEVON",PR!$N435,IF(H437="DORTEMAG",PR!$O435,IF(H437="DGF",PR!$P435,IF(H437="DYNAMIC",PR!$Q435,IF(H437="EMZOR",PR!$R435,IF(H437="EUMATT",PR!$S435,IF(H437="FIDSON",PR!$T435,IF(H437="FCGLOBAL",PR!$U435,IF(H437="GENEITH",PR!$V435,IF(H437="GINOS",PR!$W435,IF(H437="GSK",PR!$X435,IF(H437="GLOBORG",PR!$Y435,IF(H437="GOODNEWS",PR!$Z435,IF(H437="GREENLIFE",PR!$AA435,IF(H437="HLINE",PR!$AB435,IF(H437="ROTECH",PR!$AC435,IF(H437="ISN",PR!$AD435,IF(H437="JAWA",PR!$AE435,IF(H437="LAYO",PR!$AF435,IF(H437="LEADWAY",PR!$AG435,IF(H437="LHV",PR!$AH435,IF(H437="MANOLA",PR!$AI435,IF(H437="MARCSON",PR!$AJ435,IF(H437="M&amp;B",PR!$AK435,IF(H437="MTRUST",PR!$AL435,IF(H437="MWORLD",PR!$AM435,IF(H437="MEGA",PR!$AN435,IF(H437="MICRONOVA",PR!$AO435,IF(H437="MFLASH",PR!$AP435,IF(H437="MORISON",PR!$AQ435,IF(H437="NEMEL",PR!$AR435,IF(H437="NHP",PR!$AS435,IF(H437="NHC",PR!$AT435,IF(H437="OLEAF",PR!$AU435,IF(H437="OCULUS",PR!$AV435,IF(H437="PACIFIC",PR!$AW435,IF(H437="PHAMATEX",PR!$AX435,IF(H437="PETHICS",PR!$AY435,IF(H437="PHILIPS",PR!$AZ435,IF(H437="RANBAXY",PR!$BA435,IF(H437="REALS",PR!$BB435,IF(H437="ROYAL",PR!$BC435,IF(H437="SAM",PR!$BD435,IF(H437="SEAGREEN",PR!$BE435,IF(H437="SKG",PR!$BF435,IF(H437="TAH",PR!$BG435,IF(H437="TAYLEK",PR!$BH435,IF(H437="TEMITA",PR!$BI435,IF(H437="THL",PR!$BJ435,IF(H437="UBASTIC",PR!$BK435,IF(H437="UNION",PR!$BL435,IF(H437="UNIQUE",PR!$BM435,IF(H437="VIXA",PR!$BN435,IF(H437="WWCV",PR!$BO435,IF(H437="ZOLON",PR!$BP435,"-"))))))))))))))))))))))))))))))))))))))))))))))))))))))))))))))))</f>
        <v>-</v>
      </c>
      <c r="H437" s="102"/>
      <c r="I437" s="108" t="str">
        <f>IF(J437="ALPHA",PR!$E435,IF(J437="ASSENE",PR!$F435,IF(J437="BIOFEM",PR!$G435,IF(J437="BIOMED",PR!$H435,IF(J437="CHI",PR!$I435,IF(J437="CLARION",PR!$J435,IF(J437="CODIX",PR!$K435,IF(J437="COSMADE",PR!$L435,IF(J437="SANCON",PR!$M435,IF(J437="DEVON",PR!$N435,IF(J437="DORTEMAG",PR!$O435,IF(J437="DGF",PR!$P435,IF(J437="DYNAMIC",PR!$Q435,IF(J437="EMZOR",PR!$R435,IF(J437="EUMATT",PR!$S435,IF(J437="FIDSON",PR!$T435,IF(J437="FCGLOBAL",PR!$U435,IF(J437="GENEITH",PR!$V435,IF(J437="GINOS",PR!$W435,IF(J437="GSK",PR!$X435,IF(J437="GLOBORG",PR!$Y435,IF(J437="GOODNEWS",PR!$Z435,IF(J437="GREENLIFE",PR!$AA435,IF(J437="HLINE",PR!$AB435,IF(J437="ROTECH",PR!$AC435,IF(J437="ISN",PR!$AD435,IF(J437="JAWA",PR!$AE435,IF(J437="LAYO",PR!$AF435,IF(J437="LEADWAY",PR!$AG435,IF(J437="LHV",PR!$AH435,IF(J437="MANOLA",PR!$AI435,IF(J437="MARCSON",PR!$AJ435,IF(J437="M&amp;B",PR!$AK435,IF(J437="MTRUST",PR!$AL435,IF(J437="MWORLD",PR!$AM435,IF(J437="MEGA",PR!$AN435,IF(J437="MICRONOVA",PR!$AO435,IF(J437="MFLASH",PR!$AP435,IF(J437="MORISON",PR!$AQ435,IF(J437="NEMEL",PR!$AR435,IF(J437="NHP",PR!$AS435,IF(J437="NHC",PR!$AT435,IF(J437="OLEAF",PR!$AU435,IF(J437="OCULUS",PR!$AV435,IF(J437="PACIFIC",PR!$AW435,IF(J437="PHAMATEX",PR!$AX435,IF(J437="PETHICS",PR!$AY435,IF(J437="PHILIPS",PR!$AZ435,IF(J437="RANBAXY",PR!$BA435,IF(J437="REALS",PR!$BB435,IF(J437="ROYAL",PR!$BC435,IF(J437="SAM",PR!$BD435,IF(J437="SEAGREEN",PR!$BE435,IF(J437="SKG",PR!$BF435,IF(J437="TAH",PR!$BG435,IF(J437="TAYLEK",PR!$BH435,IF(J437="TEMITA",PR!$BI435,IF(J437="THL",PR!$BJ435,IF(J437="UBASTIC",PR!$BK435,IF(J437="UNION",PR!$BL435,IF(J437="UNIQUE",PR!$BM435,IF(J437="VIXA",PR!$BN435,IF(J437="WWCV",PR!$BO435,IF(J437="ZOLON",PR!$BP435,"-"))))))))))))))))))))))))))))))))))))))))))))))))))))))))))))))))</f>
        <v>-</v>
      </c>
      <c r="J437" s="102"/>
      <c r="K437" s="433"/>
      <c r="L437" s="183" t="b">
        <f>IF(K437&gt;0,IF(K437="ALPHA",PR!$E435,IF(K437="ASSENE",PR!$F435,IF(K437="BIOFEM",PR!$G435,IF(K437="BIOMED",PR!$H435,IF(K437="CHI",PR!$I435,IF(K437="CLARION",PR!$J435,IF(K437="CODIX",PR!$K435,IF(K437="COSMADE",PR!$L435,IF(K437="SANCON",PR!$M435,IF(K437="DEVON",PR!$N435,IF(K437="DORTEMAG",PR!$O435,IF(K437="DGF",PR!$P435,IF(K437="DYNAMIC",PR!$Q435,IF(K437="EMZOR",PR!$R435,IF(K437="EUMATT",PR!$S435,IF(K437="FIDSON",PR!$T435,IF(K437="FCGLOBAL",PR!$U435,IF(K437="GENEITH",PR!$V435,IF(K437="GINOS",PR!$W435,IF(K437="GSK",PR!$X435,IF(K437="GLOBORG",PR!$Y435,IF(K437="GOODNEWS",PR!$Z435,IF(K437="GREENLIFE",PR!$AA435,IF(K437="HLINE",PR!$AB435,IF(K437="ROTECH",PR!$AC435,IF(K437="ISN",PR!$AD435,IF(K437="JAWA",PR!$AE435,IF(K437="LAYO",PR!$AF435,IF(K437="LEADWAY",PR!$AG435,IF(K437="LHV",PR!$AH435,IF(K437="MANOLA",PR!$AI435,IF(K437="MARCSON",PR!$AJ435,IF(K437="M&amp;B",PR!$AK435,IF(K437="MTRUST",PR!$AL435,IF(K437="MWORLD",PR!$AM435,IF(K437="MEGA",PR!$AN435,IF(K437="MICRONOVA",PR!$AO435,IF(K437="MFLASH",PR!$AP435,IF(K437="MORISON",PR!$AQ435,IF(K437="NEMEL",PR!$AR435,IF(K437="NHP",PR!$AS435,IF(K437="NHC",PR!$AT435,IF(K437="OLEAF",PR!$AU435,IF(K437="OCULUS",PR!$AV435,IF(K437="PACIFIC",PR!$AW435,IF(K437="PHAMATEX",PR!$AX435,IF(K437="PETHICS",PR!$AY435,IF(K437="PHILIPS",PR!$AZ435,IF(K437="RANBAXY",PR!$BA435,IF(K437="REALS",PR!$BB435,IF(K437="ROYAL",PR!$BC435,IF(K437="SAM",PR!$BD435,IF(K437="SEAGREEN",PR!$BE435,IF(K437="SKG",PR!$BF435,IF(K437="TAH",PR!$BG435,IF(K437="TAYLEK",PR!$BH435,IF(K437="TEMITA",PR!$BI435,IF(K437="THL",PR!$BJ435,IF(K437="UBASTIC",PR!$BK435,IF(K437="UNION",PR!$BL435,IF(K437="UNIQUE",PR!$BM435,IF(K437="VIXA",PR!$BN435,IF(K437="WWCV",PR!$BO435,IF(K437="ZOLON",PR!$BP435,"-")))))))))))))))))))))))))))))))))))))))))))))))))))))))))))))))))</f>
        <v>0</v>
      </c>
    </row>
    <row r="438" spans="1:12" ht="18.75" x14ac:dyDescent="0.3">
      <c r="A438" s="430">
        <f>PR!A436</f>
        <v>0</v>
      </c>
      <c r="B438" s="15" t="str">
        <f>PR!B436</f>
        <v>ANAESTHETIC AGENTS</v>
      </c>
      <c r="C438" s="113">
        <f>PR!D436</f>
        <v>0</v>
      </c>
      <c r="D438" s="113">
        <f>PR!C436</f>
        <v>0</v>
      </c>
      <c r="E438" s="108" t="str">
        <f>IF(F438="ALPHA",PR!$E436,IF(F438="ASSENE",PR!$F436,IF(F438="BIOFEM",PR!$G436,IF(F438="BIOMED",PR!$H436,IF(F438="CHI",PR!$I436,IF(F438="CLARION",PR!$J436,IF(F438="CODIX",PR!$K436,IF(F438="COSMADE",PR!$L436,IF(F438="SANCON",PR!$M436,IF(F438="DEVON",PR!$N436,IF(F438="DORTEMAG",PR!$O436,IF(F438="DGF",PR!$P436,IF(F438="DYNAMIC",PR!$Q436,IF(F438="EMZOR",PR!$R436,IF(F438="EUMATT",PR!$S436,IF(F438="FIDSON",PR!$T436,IF(F438="FCGLOBAL",PR!$U436,IF(F438="GENEITH",PR!$V436,IF(F438="GINOS",PR!$W436,IF(F438="GSK",PR!$X436,IF(F438="GLOBORG",PR!$Y436,IF(F438="GOODNEWS",PR!$Z436,IF(F438="GREENLIFE",PR!$AA436,IF(F438="HLINE",PR!$AB436,IF(F438="ROTECH",PR!$AC436,IF(F438="ISN",PR!$AD436,IF(F438="JAWA",PR!$AE436,IF(F438="LAYO",PR!$AF436,IF(F438="LEADWAY",PR!$AG436,IF(F438="LHV",PR!$AH436,IF(F438="MANOLA",PR!$AI436,IF(F438="MARCSON",PR!$AJ436,IF(F438="M&amp;B",PR!$AK436,IF(F438="MTRUST",PR!$AL436,IF(F438="MWORLD",PR!$AM436,IF(F438="MEGA",PR!$AN436,IF(F438="MICRONOVA",PR!$AO436,IF(F438="MFLASH",PR!$AP436,IF(F438="MORISON",PR!$AQ436,IF(F438="NEMEL",PR!$AR436,IF(F438="NHP",PR!$AS436,IF(F438="NHC",PR!$AT436,IF(F438="OLEAF",PR!$AU436,IF(F438="OCULUS",PR!$AV436,IF(F438="PACIFIC",PR!$AW436,IF(F438="PHAMATEX",PR!$AX436,IF(F438="PETHICS",PR!$AY436,IF(F438="PHILIPS",PR!$AZ436,IF(F438="RANBAXY",PR!$BA436,IF(F438="REALS",PR!$BB436,IF(F438="ROYAL",PR!$BC436,IF(F438="SAM",PR!$BD436,IF(F438="SEAGREEN",PR!$BE436,IF(F438="SKG",PR!$BF436,IF(F438="TAH",PR!$BG436,IF(F438="TAYLEK",PR!$BH436,IF(F438="TEMITA",PR!$BI436,IF(F438="THL",PR!$BJ436,IF(F438="UBASTIC",PR!$BK436,IF(F438="UNION",PR!$BL436,IF(F438="UNIQUE",PR!$BM436,IF(F438="VIXA",PR!$BN436,IF(F438="WWCV",PR!$BO436,IF(F438="ZOLON",PR!$BP436,"-"))))))))))))))))))))))))))))))))))))))))))))))))))))))))))))))))</f>
        <v>-</v>
      </c>
      <c r="F438" s="102"/>
      <c r="G438" s="108" t="str">
        <f>IF(H438="ALPHA",PR!$E436,IF(H438="ASSENE",PR!$F436,IF(H438="BIOFEM",PR!$G436,IF(H438="BIOMED",PR!$H436,IF(H438="CHI",PR!$I436,IF(H438="CLARION",PR!$J436,IF(H438="CODIX",PR!$K436,IF(H438="COSMADE",PR!$L436,IF(H438="SANCON",PR!$M436,IF(H438="DEVON",PR!$N436,IF(H438="DORTEMAG",PR!$O436,IF(H438="DGF",PR!$P436,IF(H438="DYNAMIC",PR!$Q436,IF(H438="EMZOR",PR!$R436,IF(H438="EUMATT",PR!$S436,IF(H438="FIDSON",PR!$T436,IF(H438="FCGLOBAL",PR!$U436,IF(H438="GENEITH",PR!$V436,IF(H438="GINOS",PR!$W436,IF(H438="GSK",PR!$X436,IF(H438="GLOBORG",PR!$Y436,IF(H438="GOODNEWS",PR!$Z436,IF(H438="GREENLIFE",PR!$AA436,IF(H438="HLINE",PR!$AB436,IF(H438="ROTECH",PR!$AC436,IF(H438="ISN",PR!$AD436,IF(H438="JAWA",PR!$AE436,IF(H438="LAYO",PR!$AF436,IF(H438="LEADWAY",PR!$AG436,IF(H438="LHV",PR!$AH436,IF(H438="MANOLA",PR!$AI436,IF(H438="MARCSON",PR!$AJ436,IF(H438="M&amp;B",PR!$AK436,IF(H438="MTRUST",PR!$AL436,IF(H438="MWORLD",PR!$AM436,IF(H438="MEGA",PR!$AN436,IF(H438="MICRONOVA",PR!$AO436,IF(H438="MFLASH",PR!$AP436,IF(H438="MORISON",PR!$AQ436,IF(H438="NEMEL",PR!$AR436,IF(H438="NHP",PR!$AS436,IF(H438="NHC",PR!$AT436,IF(H438="OLEAF",PR!$AU436,IF(H438="OCULUS",PR!$AV436,IF(H438="PACIFIC",PR!$AW436,IF(H438="PHAMATEX",PR!$AX436,IF(H438="PETHICS",PR!$AY436,IF(H438="PHILIPS",PR!$AZ436,IF(H438="RANBAXY",PR!$BA436,IF(H438="REALS",PR!$BB436,IF(H438="ROYAL",PR!$BC436,IF(H438="SAM",PR!$BD436,IF(H438="SEAGREEN",PR!$BE436,IF(H438="SKG",PR!$BF436,IF(H438="TAH",PR!$BG436,IF(H438="TAYLEK",PR!$BH436,IF(H438="TEMITA",PR!$BI436,IF(H438="THL",PR!$BJ436,IF(H438="UBASTIC",PR!$BK436,IF(H438="UNION",PR!$BL436,IF(H438="UNIQUE",PR!$BM436,IF(H438="VIXA",PR!$BN436,IF(H438="WWCV",PR!$BO436,IF(H438="ZOLON",PR!$BP436,"-"))))))))))))))))))))))))))))))))))))))))))))))))))))))))))))))))</f>
        <v>-</v>
      </c>
      <c r="H438" s="102"/>
      <c r="I438" s="108" t="str">
        <f>IF(J438="ALPHA",PR!$E436,IF(J438="ASSENE",PR!$F436,IF(J438="BIOFEM",PR!$G436,IF(J438="BIOMED",PR!$H436,IF(J438="CHI",PR!$I436,IF(J438="CLARION",PR!$J436,IF(J438="CODIX",PR!$K436,IF(J438="COSMADE",PR!$L436,IF(J438="SANCON",PR!$M436,IF(J438="DEVON",PR!$N436,IF(J438="DORTEMAG",PR!$O436,IF(J438="DGF",PR!$P436,IF(J438="DYNAMIC",PR!$Q436,IF(J438="EMZOR",PR!$R436,IF(J438="EUMATT",PR!$S436,IF(J438="FIDSON",PR!$T436,IF(J438="FCGLOBAL",PR!$U436,IF(J438="GENEITH",PR!$V436,IF(J438="GINOS",PR!$W436,IF(J438="GSK",PR!$X436,IF(J438="GLOBORG",PR!$Y436,IF(J438="GOODNEWS",PR!$Z436,IF(J438="GREENLIFE",PR!$AA436,IF(J438="HLINE",PR!$AB436,IF(J438="ROTECH",PR!$AC436,IF(J438="ISN",PR!$AD436,IF(J438="JAWA",PR!$AE436,IF(J438="LAYO",PR!$AF436,IF(J438="LEADWAY",PR!$AG436,IF(J438="LHV",PR!$AH436,IF(J438="MANOLA",PR!$AI436,IF(J438="MARCSON",PR!$AJ436,IF(J438="M&amp;B",PR!$AK436,IF(J438="MTRUST",PR!$AL436,IF(J438="MWORLD",PR!$AM436,IF(J438="MEGA",PR!$AN436,IF(J438="MICRONOVA",PR!$AO436,IF(J438="MFLASH",PR!$AP436,IF(J438="MORISON",PR!$AQ436,IF(J438="NEMEL",PR!$AR436,IF(J438="NHP",PR!$AS436,IF(J438="NHC",PR!$AT436,IF(J438="OLEAF",PR!$AU436,IF(J438="OCULUS",PR!$AV436,IF(J438="PACIFIC",PR!$AW436,IF(J438="PHAMATEX",PR!$AX436,IF(J438="PETHICS",PR!$AY436,IF(J438="PHILIPS",PR!$AZ436,IF(J438="RANBAXY",PR!$BA436,IF(J438="REALS",PR!$BB436,IF(J438="ROYAL",PR!$BC436,IF(J438="SAM",PR!$BD436,IF(J438="SEAGREEN",PR!$BE436,IF(J438="SKG",PR!$BF436,IF(J438="TAH",PR!$BG436,IF(J438="TAYLEK",PR!$BH436,IF(J438="TEMITA",PR!$BI436,IF(J438="THL",PR!$BJ436,IF(J438="UBASTIC",PR!$BK436,IF(J438="UNION",PR!$BL436,IF(J438="UNIQUE",PR!$BM436,IF(J438="VIXA",PR!$BN436,IF(J438="WWCV",PR!$BO436,IF(J438="ZOLON",PR!$BP436,"-"))))))))))))))))))))))))))))))))))))))))))))))))))))))))))))))))</f>
        <v>-</v>
      </c>
      <c r="J438" s="102"/>
      <c r="K438" s="433"/>
      <c r="L438" s="183" t="b">
        <f>IF(K438&gt;0,IF(K438="ALPHA",PR!$E436,IF(K438="ASSENE",PR!$F436,IF(K438="BIOFEM",PR!$G436,IF(K438="BIOMED",PR!$H436,IF(K438="CHI",PR!$I436,IF(K438="CLARION",PR!$J436,IF(K438="CODIX",PR!$K436,IF(K438="COSMADE",PR!$L436,IF(K438="SANCON",PR!$M436,IF(K438="DEVON",PR!$N436,IF(K438="DORTEMAG",PR!$O436,IF(K438="DGF",PR!$P436,IF(K438="DYNAMIC",PR!$Q436,IF(K438="EMZOR",PR!$R436,IF(K438="EUMATT",PR!$S436,IF(K438="FIDSON",PR!$T436,IF(K438="FCGLOBAL",PR!$U436,IF(K438="GENEITH",PR!$V436,IF(K438="GINOS",PR!$W436,IF(K438="GSK",PR!$X436,IF(K438="GLOBORG",PR!$Y436,IF(K438="GOODNEWS",PR!$Z436,IF(K438="GREENLIFE",PR!$AA436,IF(K438="HLINE",PR!$AB436,IF(K438="ROTECH",PR!$AC436,IF(K438="ISN",PR!$AD436,IF(K438="JAWA",PR!$AE436,IF(K438="LAYO",PR!$AF436,IF(K438="LEADWAY",PR!$AG436,IF(K438="LHV",PR!$AH436,IF(K438="MANOLA",PR!$AI436,IF(K438="MARCSON",PR!$AJ436,IF(K438="M&amp;B",PR!$AK436,IF(K438="MTRUST",PR!$AL436,IF(K438="MWORLD",PR!$AM436,IF(K438="MEGA",PR!$AN436,IF(K438="MICRONOVA",PR!$AO436,IF(K438="MFLASH",PR!$AP436,IF(K438="MORISON",PR!$AQ436,IF(K438="NEMEL",PR!$AR436,IF(K438="NHP",PR!$AS436,IF(K438="NHC",PR!$AT436,IF(K438="OLEAF",PR!$AU436,IF(K438="OCULUS",PR!$AV436,IF(K438="PACIFIC",PR!$AW436,IF(K438="PHAMATEX",PR!$AX436,IF(K438="PETHICS",PR!$AY436,IF(K438="PHILIPS",PR!$AZ436,IF(K438="RANBAXY",PR!$BA436,IF(K438="REALS",PR!$BB436,IF(K438="ROYAL",PR!$BC436,IF(K438="SAM",PR!$BD436,IF(K438="SEAGREEN",PR!$BE436,IF(K438="SKG",PR!$BF436,IF(K438="TAH",PR!$BG436,IF(K438="TAYLEK",PR!$BH436,IF(K438="TEMITA",PR!$BI436,IF(K438="THL",PR!$BJ436,IF(K438="UBASTIC",PR!$BK436,IF(K438="UNION",PR!$BL436,IF(K438="UNIQUE",PR!$BM436,IF(K438="VIXA",PR!$BN436,IF(K438="WWCV",PR!$BO436,IF(K438="ZOLON",PR!$BP436,"-")))))))))))))))))))))))))))))))))))))))))))))))))))))))))))))))))</f>
        <v>0</v>
      </c>
    </row>
    <row r="439" spans="1:12" ht="18.75" x14ac:dyDescent="0.3">
      <c r="A439" s="430">
        <f>PR!A437</f>
        <v>396</v>
      </c>
      <c r="B439" s="15" t="str">
        <f>PR!B437</f>
        <v>ATRACURIUM INJ</v>
      </c>
      <c r="C439" s="113">
        <f>PR!D437</f>
        <v>5</v>
      </c>
      <c r="D439" s="113">
        <f>PR!C437</f>
        <v>120</v>
      </c>
      <c r="E439" s="108">
        <f>IF(F439="ALPHA",PR!$E437,IF(F439="ASSENE",PR!$F437,IF(F439="BIOFEM",PR!$G437,IF(F439="BIOMED",PR!$H437,IF(F439="CHI",PR!$I437,IF(F439="CLARION",PR!$J437,IF(F439="CODIX",PR!$K437,IF(F439="COSMADE",PR!$L437,IF(F439="SANCON",PR!$M437,IF(F439="DEVON",PR!$N437,IF(F439="DORTEMAG",PR!$O437,IF(F439="DGF",PR!$P437,IF(F439="DYNAMIC",PR!$Q437,IF(F439="EMZOR",PR!$R437,IF(F439="EUMATT",PR!$S437,IF(F439="FIDSON",PR!$T437,IF(F439="FCGLOBAL",PR!$U437,IF(F439="GENEITH",PR!$V437,IF(F439="GINOS",PR!$W437,IF(F439="GSK",PR!$X437,IF(F439="GLOBORG",PR!$Y437,IF(F439="GOODNEWS",PR!$Z437,IF(F439="GREENLIFE",PR!$AA437,IF(F439="HLINE",PR!$AB437,IF(F439="ROTECH",PR!$AC437,IF(F439="ISN",PR!$AD437,IF(F439="JAWA",PR!$AE437,IF(F439="LAYO",PR!$AF437,IF(F439="LEADWAY",PR!$AG437,IF(F439="LHV",PR!$AH437,IF(F439="MANOLA",PR!$AI437,IF(F439="MARCSON",PR!$AJ437,IF(F439="M&amp;B",PR!$AK437,IF(F439="MTRUST",PR!$AL437,IF(F439="MWORLD",PR!$AM437,IF(F439="MEGA",PR!$AN437,IF(F439="MICRONOVA",PR!$AO437,IF(F439="MFLASH",PR!$AP437,IF(F439="MORISON",PR!$AQ437,IF(F439="NEMEL",PR!$AR437,IF(F439="NHP",PR!$AS437,IF(F439="NHC",PR!$AT437,IF(F439="OLEAF",PR!$AU437,IF(F439="OCULUS",PR!$AV437,IF(F439="PACIFIC",PR!$AW437,IF(F439="PHAMATEX",PR!$AX437,IF(F439="PETHICS",PR!$AY437,IF(F439="PHILIPS",PR!$AZ437,IF(F439="RANBAXY",PR!$BA437,IF(F439="REALS",PR!$BB437,IF(F439="ROYAL",PR!$BC437,IF(F439="SAM",PR!$BD437,IF(F439="SEAGREEN",PR!$BE437,IF(F439="SKG",PR!$BF437,IF(F439="TAH",PR!$BG437,IF(F439="TAYLEK",PR!$BH437,IF(F439="TEMITA",PR!$BI437,IF(F439="THL",PR!$BJ437,IF(F439="UBASTIC",PR!$BK437,IF(F439="UNION",PR!$BL437,IF(F439="UNIQUE",PR!$BM437,IF(F439="VIXA",PR!$BN437,IF(F439="WWCV",PR!$BO437,IF(F439="ZOLON",PR!$BP437,"-"))))))))))))))))))))))))))))))))))))))))))))))))))))))))))))))))</f>
        <v>9000</v>
      </c>
      <c r="F439" s="102" t="str">
        <f>EV!L556</f>
        <v>ALPHA</v>
      </c>
      <c r="G439" s="108" t="str">
        <f>IF(H439="ALPHA",PR!$E437,IF(H439="ASSENE",PR!$F437,IF(H439="BIOFEM",PR!$G437,IF(H439="BIOMED",PR!$H437,IF(H439="CHI",PR!$I437,IF(H439="CLARION",PR!$J437,IF(H439="CODIX",PR!$K437,IF(H439="COSMADE",PR!$L437,IF(H439="SANCON",PR!$M437,IF(H439="DEVON",PR!$N437,IF(H439="DORTEMAG",PR!$O437,IF(H439="DGF",PR!$P437,IF(H439="DYNAMIC",PR!$Q437,IF(H439="EMZOR",PR!$R437,IF(H439="EUMATT",PR!$S437,IF(H439="FIDSON",PR!$T437,IF(H439="FCGLOBAL",PR!$U437,IF(H439="GENEITH",PR!$V437,IF(H439="GINOS",PR!$W437,IF(H439="GSK",PR!$X437,IF(H439="GLOBORG",PR!$Y437,IF(H439="GOODNEWS",PR!$Z437,IF(H439="GREENLIFE",PR!$AA437,IF(H439="HLINE",PR!$AB437,IF(H439="ROTECH",PR!$AC437,IF(H439="ISN",PR!$AD437,IF(H439="JAWA",PR!$AE437,IF(H439="LAYO",PR!$AF437,IF(H439="LEADWAY",PR!$AG437,IF(H439="LHV",PR!$AH437,IF(H439="MANOLA",PR!$AI437,IF(H439="MARCSON",PR!$AJ437,IF(H439="M&amp;B",PR!$AK437,IF(H439="MTRUST",PR!$AL437,IF(H439="MWORLD",PR!$AM437,IF(H439="MEGA",PR!$AN437,IF(H439="MICRONOVA",PR!$AO437,IF(H439="MFLASH",PR!$AP437,IF(H439="MORISON",PR!$AQ437,IF(H439="NEMEL",PR!$AR437,IF(H439="NHP",PR!$AS437,IF(H439="NHC",PR!$AT437,IF(H439="OLEAF",PR!$AU437,IF(H439="OCULUS",PR!$AV437,IF(H439="PACIFIC",PR!$AW437,IF(H439="PHAMATEX",PR!$AX437,IF(H439="PETHICS",PR!$AY437,IF(H439="PHILIPS",PR!$AZ437,IF(H439="RANBAXY",PR!$BA437,IF(H439="REALS",PR!$BB437,IF(H439="ROYAL",PR!$BC437,IF(H439="SAM",PR!$BD437,IF(H439="SEAGREEN",PR!$BE437,IF(H439="SKG",PR!$BF437,IF(H439="TAH",PR!$BG437,IF(H439="TAYLEK",PR!$BH437,IF(H439="TEMITA",PR!$BI437,IF(H439="THL",PR!$BJ437,IF(H439="UBASTIC",PR!$BK437,IF(H439="UNION",PR!$BL437,IF(H439="UNIQUE",PR!$BM437,IF(H439="VIXA",PR!$BN437,IF(H439="WWCV",PR!$BO437,IF(H439="ZOLON",PR!$BP437,"-"))))))))))))))))))))))))))))))))))))))))))))))))))))))))))))))))</f>
        <v>-</v>
      </c>
      <c r="H439" s="102">
        <f>EV!M556</f>
        <v>0</v>
      </c>
      <c r="I439" s="108" t="str">
        <f>IF(J439="ALPHA",PR!$E437,IF(J439="ASSENE",PR!$F437,IF(J439="BIOFEM",PR!$G437,IF(J439="BIOMED",PR!$H437,IF(J439="CHI",PR!$I437,IF(J439="CLARION",PR!$J437,IF(J439="CODIX",PR!$K437,IF(J439="COSMADE",PR!$L437,IF(J439="SANCON",PR!$M437,IF(J439="DEVON",PR!$N437,IF(J439="DORTEMAG",PR!$O437,IF(J439="DGF",PR!$P437,IF(J439="DYNAMIC",PR!$Q437,IF(J439="EMZOR",PR!$R437,IF(J439="EUMATT",PR!$S437,IF(J439="FIDSON",PR!$T437,IF(J439="FCGLOBAL",PR!$U437,IF(J439="GENEITH",PR!$V437,IF(J439="GINOS",PR!$W437,IF(J439="GSK",PR!$X437,IF(J439="GLOBORG",PR!$Y437,IF(J439="GOODNEWS",PR!$Z437,IF(J439="GREENLIFE",PR!$AA437,IF(J439="HLINE",PR!$AB437,IF(J439="ROTECH",PR!$AC437,IF(J439="ISN",PR!$AD437,IF(J439="JAWA",PR!$AE437,IF(J439="LAYO",PR!$AF437,IF(J439="LEADWAY",PR!$AG437,IF(J439="LHV",PR!$AH437,IF(J439="MANOLA",PR!$AI437,IF(J439="MARCSON",PR!$AJ437,IF(J439="M&amp;B",PR!$AK437,IF(J439="MTRUST",PR!$AL437,IF(J439="MWORLD",PR!$AM437,IF(J439="MEGA",PR!$AN437,IF(J439="MICRONOVA",PR!$AO437,IF(J439="MFLASH",PR!$AP437,IF(J439="MORISON",PR!$AQ437,IF(J439="NEMEL",PR!$AR437,IF(J439="NHP",PR!$AS437,IF(J439="NHC",PR!$AT437,IF(J439="OLEAF",PR!$AU437,IF(J439="OCULUS",PR!$AV437,IF(J439="PACIFIC",PR!$AW437,IF(J439="PHAMATEX",PR!$AX437,IF(J439="PETHICS",PR!$AY437,IF(J439="PHILIPS",PR!$AZ437,IF(J439="RANBAXY",PR!$BA437,IF(J439="REALS",PR!$BB437,IF(J439="ROYAL",PR!$BC437,IF(J439="SAM",PR!$BD437,IF(J439="SEAGREEN",PR!$BE437,IF(J439="SKG",PR!$BF437,IF(J439="TAH",PR!$BG437,IF(J439="TAYLEK",PR!$BH437,IF(J439="TEMITA",PR!$BI437,IF(J439="THL",PR!$BJ437,IF(J439="UBASTIC",PR!$BK437,IF(J439="UNION",PR!$BL437,IF(J439="UNIQUE",PR!$BM437,IF(J439="VIXA",PR!$BN437,IF(J439="WWCV",PR!$BO437,IF(J439="ZOLON",PR!$BP437,"-"))))))))))))))))))))))))))))))))))))))))))))))))))))))))))))))))</f>
        <v>-</v>
      </c>
      <c r="J439" s="102">
        <f>EV!N556</f>
        <v>0</v>
      </c>
      <c r="K439" s="433" t="s">
        <v>634</v>
      </c>
      <c r="L439" s="183">
        <f>IF(K439&gt;0,IF(K439="ALPHA",PR!$E437,IF(K439="ASSENE",PR!$F437,IF(K439="BIOFEM",PR!$G437,IF(K439="BIOMED",PR!$H437,IF(K439="CHI",PR!$I437,IF(K439="CLARION",PR!$J437,IF(K439="CODIX",PR!$K437,IF(K439="COSMADE",PR!$L437,IF(K439="SANCON",PR!$M437,IF(K439="DEVON",PR!$N437,IF(K439="DORTEMAG",PR!$O437,IF(K439="DGF",PR!$P437,IF(K439="DYNAMIC",PR!$Q437,IF(K439="EMZOR",PR!$R437,IF(K439="EUMATT",PR!$S437,IF(K439="FIDSON",PR!$T437,IF(K439="FCGLOBAL",PR!$U437,IF(K439="GENEITH",PR!$V437,IF(K439="GINOS",PR!$W437,IF(K439="GSK",PR!$X437,IF(K439="GLOBORG",PR!$Y437,IF(K439="GOODNEWS",PR!$Z437,IF(K439="GREENLIFE",PR!$AA437,IF(K439="HLINE",PR!$AB437,IF(K439="ROTECH",PR!$AC437,IF(K439="ISN",PR!$AD437,IF(K439="JAWA",PR!$AE437,IF(K439="LAYO",PR!$AF437,IF(K439="LEADWAY",PR!$AG437,IF(K439="LHV",PR!$AH437,IF(K439="MANOLA",PR!$AI437,IF(K439="MARCSON",PR!$AJ437,IF(K439="M&amp;B",PR!$AK437,IF(K439="MTRUST",PR!$AL437,IF(K439="MWORLD",PR!$AM437,IF(K439="MEGA",PR!$AN437,IF(K439="MICRONOVA",PR!$AO437,IF(K439="MFLASH",PR!$AP437,IF(K439="MORISON",PR!$AQ437,IF(K439="NEMEL",PR!$AR437,IF(K439="NHP",PR!$AS437,IF(K439="NHC",PR!$AT437,IF(K439="OLEAF",PR!$AU437,IF(K439="OCULUS",PR!$AV437,IF(K439="PACIFIC",PR!$AW437,IF(K439="PHAMATEX",PR!$AX437,IF(K439="PETHICS",PR!$AY437,IF(K439="PHILIPS",PR!$AZ437,IF(K439="RANBAXY",PR!$BA437,IF(K439="REALS",PR!$BB437,IF(K439="ROYAL",PR!$BC437,IF(K439="SAM",PR!$BD437,IF(K439="SEAGREEN",PR!$BE437,IF(K439="SKG",PR!$BF437,IF(K439="TAH",PR!$BG437,IF(K439="TAYLEK",PR!$BH437,IF(K439="TEMITA",PR!$BI437,IF(K439="THL",PR!$BJ437,IF(K439="UBASTIC",PR!$BK437,IF(K439="UNION",PR!$BL437,IF(K439="UNIQUE",PR!$BM437,IF(K439="VIXA",PR!$BN437,IF(K439="WWCV",PR!$BO437,IF(K439="ZOLON",PR!$BP437,"-")))))))))))))))))))))))))))))))))))))))))))))))))))))))))))))))))</f>
        <v>9000</v>
      </c>
    </row>
    <row r="440" spans="1:12" ht="18.75" x14ac:dyDescent="0.3">
      <c r="A440" s="430">
        <f>PR!A438</f>
        <v>397</v>
      </c>
      <c r="B440" s="15" t="str">
        <f>PR!B438</f>
        <v>ATROPINE INJ</v>
      </c>
      <c r="C440" s="113">
        <f>PR!D438</f>
        <v>10</v>
      </c>
      <c r="D440" s="113">
        <f>PR!C438</f>
        <v>300</v>
      </c>
      <c r="E440" s="108">
        <f>IF(F440="ALPHA",PR!$E438,IF(F440="ASSENE",PR!$F438,IF(F440="BIOFEM",PR!$G438,IF(F440="BIOMED",PR!$H438,IF(F440="CHI",PR!$I438,IF(F440="CLARION",PR!$J438,IF(F440="CODIX",PR!$K438,IF(F440="COSMADE",PR!$L438,IF(F440="SANCON",PR!$M438,IF(F440="DEVON",PR!$N438,IF(F440="DORTEMAG",PR!$O438,IF(F440="DGF",PR!$P438,IF(F440="DYNAMIC",PR!$Q438,IF(F440="EMZOR",PR!$R438,IF(F440="EUMATT",PR!$S438,IF(F440="FIDSON",PR!$T438,IF(F440="FCGLOBAL",PR!$U438,IF(F440="GENEITH",PR!$V438,IF(F440="GINOS",PR!$W438,IF(F440="GSK",PR!$X438,IF(F440="GLOBORG",PR!$Y438,IF(F440="GOODNEWS",PR!$Z438,IF(F440="GREENLIFE",PR!$AA438,IF(F440="HLINE",PR!$AB438,IF(F440="ROTECH",PR!$AC438,IF(F440="ISN",PR!$AD438,IF(F440="JAWA",PR!$AE438,IF(F440="LAYO",PR!$AF438,IF(F440="LEADWAY",PR!$AG438,IF(F440="LHV",PR!$AH438,IF(F440="MANOLA",PR!$AI438,IF(F440="MARCSON",PR!$AJ438,IF(F440="M&amp;B",PR!$AK438,IF(F440="MTRUST",PR!$AL438,IF(F440="MWORLD",PR!$AM438,IF(F440="MEGA",PR!$AN438,IF(F440="MICRONOVA",PR!$AO438,IF(F440="MFLASH",PR!$AP438,IF(F440="MORISON",PR!$AQ438,IF(F440="NEMEL",PR!$AR438,IF(F440="NHP",PR!$AS438,IF(F440="NHC",PR!$AT438,IF(F440="OLEAF",PR!$AU438,IF(F440="OCULUS",PR!$AV438,IF(F440="PACIFIC",PR!$AW438,IF(F440="PHAMATEX",PR!$AX438,IF(F440="PETHICS",PR!$AY438,IF(F440="PHILIPS",PR!$AZ438,IF(F440="RANBAXY",PR!$BA438,IF(F440="REALS",PR!$BB438,IF(F440="ROYAL",PR!$BC438,IF(F440="SAM",PR!$BD438,IF(F440="SEAGREEN",PR!$BE438,IF(F440="SKG",PR!$BF438,IF(F440="TAH",PR!$BG438,IF(F440="TAYLEK",PR!$BH438,IF(F440="TEMITA",PR!$BI438,IF(F440="THL",PR!$BJ438,IF(F440="UBASTIC",PR!$BK438,IF(F440="UNION",PR!$BL438,IF(F440="UNIQUE",PR!$BM438,IF(F440="VIXA",PR!$BN438,IF(F440="WWCV",PR!$BO438,IF(F440="ZOLON",PR!$BP438,"-"))))))))))))))))))))))))))))))))))))))))))))))))))))))))))))))))</f>
        <v>3000</v>
      </c>
      <c r="F440" s="102" t="str">
        <f>EV!L557</f>
        <v>ALPHA</v>
      </c>
      <c r="G440" s="108" t="str">
        <f>IF(H440="ALPHA",PR!$E438,IF(H440="ASSENE",PR!$F438,IF(H440="BIOFEM",PR!$G438,IF(H440="BIOMED",PR!$H438,IF(H440="CHI",PR!$I438,IF(H440="CLARION",PR!$J438,IF(H440="CODIX",PR!$K438,IF(H440="COSMADE",PR!$L438,IF(H440="SANCON",PR!$M438,IF(H440="DEVON",PR!$N438,IF(H440="DORTEMAG",PR!$O438,IF(H440="DGF",PR!$P438,IF(H440="DYNAMIC",PR!$Q438,IF(H440="EMZOR",PR!$R438,IF(H440="EUMATT",PR!$S438,IF(H440="FIDSON",PR!$T438,IF(H440="FCGLOBAL",PR!$U438,IF(H440="GENEITH",PR!$V438,IF(H440="GINOS",PR!$W438,IF(H440="GSK",PR!$X438,IF(H440="GLOBORG",PR!$Y438,IF(H440="GOODNEWS",PR!$Z438,IF(H440="GREENLIFE",PR!$AA438,IF(H440="HLINE",PR!$AB438,IF(H440="ROTECH",PR!$AC438,IF(H440="ISN",PR!$AD438,IF(H440="JAWA",PR!$AE438,IF(H440="LAYO",PR!$AF438,IF(H440="LEADWAY",PR!$AG438,IF(H440="LHV",PR!$AH438,IF(H440="MANOLA",PR!$AI438,IF(H440="MARCSON",PR!$AJ438,IF(H440="M&amp;B",PR!$AK438,IF(H440="MTRUST",PR!$AL438,IF(H440="MWORLD",PR!$AM438,IF(H440="MEGA",PR!$AN438,IF(H440="MICRONOVA",PR!$AO438,IF(H440="MFLASH",PR!$AP438,IF(H440="MORISON",PR!$AQ438,IF(H440="NEMEL",PR!$AR438,IF(H440="NHP",PR!$AS438,IF(H440="NHC",PR!$AT438,IF(H440="OLEAF",PR!$AU438,IF(H440="OCULUS",PR!$AV438,IF(H440="PACIFIC",PR!$AW438,IF(H440="PHAMATEX",PR!$AX438,IF(H440="PETHICS",PR!$AY438,IF(H440="PHILIPS",PR!$AZ438,IF(H440="RANBAXY",PR!$BA438,IF(H440="REALS",PR!$BB438,IF(H440="ROYAL",PR!$BC438,IF(H440="SAM",PR!$BD438,IF(H440="SEAGREEN",PR!$BE438,IF(H440="SKG",PR!$BF438,IF(H440="TAH",PR!$BG438,IF(H440="TAYLEK",PR!$BH438,IF(H440="TEMITA",PR!$BI438,IF(H440="THL",PR!$BJ438,IF(H440="UBASTIC",PR!$BK438,IF(H440="UNION",PR!$BL438,IF(H440="UNIQUE",PR!$BM438,IF(H440="VIXA",PR!$BN438,IF(H440="WWCV",PR!$BO438,IF(H440="ZOLON",PR!$BP438,"-"))))))))))))))))))))))))))))))))))))))))))))))))))))))))))))))))</f>
        <v>-</v>
      </c>
      <c r="H440" s="102">
        <f>EV!M557</f>
        <v>0</v>
      </c>
      <c r="I440" s="108" t="str">
        <f>IF(J440="ALPHA",PR!$E438,IF(J440="ASSENE",PR!$F438,IF(J440="BIOFEM",PR!$G438,IF(J440="BIOMED",PR!$H438,IF(J440="CHI",PR!$I438,IF(J440="CLARION",PR!$J438,IF(J440="CODIX",PR!$K438,IF(J440="COSMADE",PR!$L438,IF(J440="SANCON",PR!$M438,IF(J440="DEVON",PR!$N438,IF(J440="DORTEMAG",PR!$O438,IF(J440="DGF",PR!$P438,IF(J440="DYNAMIC",PR!$Q438,IF(J440="EMZOR",PR!$R438,IF(J440="EUMATT",PR!$S438,IF(J440="FIDSON",PR!$T438,IF(J440="FCGLOBAL",PR!$U438,IF(J440="GENEITH",PR!$V438,IF(J440="GINOS",PR!$W438,IF(J440="GSK",PR!$X438,IF(J440="GLOBORG",PR!$Y438,IF(J440="GOODNEWS",PR!$Z438,IF(J440="GREENLIFE",PR!$AA438,IF(J440="HLINE",PR!$AB438,IF(J440="ROTECH",PR!$AC438,IF(J440="ISN",PR!$AD438,IF(J440="JAWA",PR!$AE438,IF(J440="LAYO",PR!$AF438,IF(J440="LEADWAY",PR!$AG438,IF(J440="LHV",PR!$AH438,IF(J440="MANOLA",PR!$AI438,IF(J440="MARCSON",PR!$AJ438,IF(J440="M&amp;B",PR!$AK438,IF(J440="MTRUST",PR!$AL438,IF(J440="MWORLD",PR!$AM438,IF(J440="MEGA",PR!$AN438,IF(J440="MICRONOVA",PR!$AO438,IF(J440="MFLASH",PR!$AP438,IF(J440="MORISON",PR!$AQ438,IF(J440="NEMEL",PR!$AR438,IF(J440="NHP",PR!$AS438,IF(J440="NHC",PR!$AT438,IF(J440="OLEAF",PR!$AU438,IF(J440="OCULUS",PR!$AV438,IF(J440="PACIFIC",PR!$AW438,IF(J440="PHAMATEX",PR!$AX438,IF(J440="PETHICS",PR!$AY438,IF(J440="PHILIPS",PR!$AZ438,IF(J440="RANBAXY",PR!$BA438,IF(J440="REALS",PR!$BB438,IF(J440="ROYAL",PR!$BC438,IF(J440="SAM",PR!$BD438,IF(J440="SEAGREEN",PR!$BE438,IF(J440="SKG",PR!$BF438,IF(J440="TAH",PR!$BG438,IF(J440="TAYLEK",PR!$BH438,IF(J440="TEMITA",PR!$BI438,IF(J440="THL",PR!$BJ438,IF(J440="UBASTIC",PR!$BK438,IF(J440="UNION",PR!$BL438,IF(J440="UNIQUE",PR!$BM438,IF(J440="VIXA",PR!$BN438,IF(J440="WWCV",PR!$BO438,IF(J440="ZOLON",PR!$BP438,"-"))))))))))))))))))))))))))))))))))))))))))))))))))))))))))))))))</f>
        <v>-</v>
      </c>
      <c r="J440" s="102">
        <f>EV!N557</f>
        <v>0</v>
      </c>
      <c r="K440" s="433" t="s">
        <v>634</v>
      </c>
      <c r="L440" s="183">
        <f>IF(K440&gt;0,IF(K440="ALPHA",PR!$E438,IF(K440="ASSENE",PR!$F438,IF(K440="BIOFEM",PR!$G438,IF(K440="BIOMED",PR!$H438,IF(K440="CHI",PR!$I438,IF(K440="CLARION",PR!$J438,IF(K440="CODIX",PR!$K438,IF(K440="COSMADE",PR!$L438,IF(K440="SANCON",PR!$M438,IF(K440="DEVON",PR!$N438,IF(K440="DORTEMAG",PR!$O438,IF(K440="DGF",PR!$P438,IF(K440="DYNAMIC",PR!$Q438,IF(K440="EMZOR",PR!$R438,IF(K440="EUMATT",PR!$S438,IF(K440="FIDSON",PR!$T438,IF(K440="FCGLOBAL",PR!$U438,IF(K440="GENEITH",PR!$V438,IF(K440="GINOS",PR!$W438,IF(K440="GSK",PR!$X438,IF(K440="GLOBORG",PR!$Y438,IF(K440="GOODNEWS",PR!$Z438,IF(K440="GREENLIFE",PR!$AA438,IF(K440="HLINE",PR!$AB438,IF(K440="ROTECH",PR!$AC438,IF(K440="ISN",PR!$AD438,IF(K440="JAWA",PR!$AE438,IF(K440="LAYO",PR!$AF438,IF(K440="LEADWAY",PR!$AG438,IF(K440="LHV",PR!$AH438,IF(K440="MANOLA",PR!$AI438,IF(K440="MARCSON",PR!$AJ438,IF(K440="M&amp;B",PR!$AK438,IF(K440="MTRUST",PR!$AL438,IF(K440="MWORLD",PR!$AM438,IF(K440="MEGA",PR!$AN438,IF(K440="MICRONOVA",PR!$AO438,IF(K440="MFLASH",PR!$AP438,IF(K440="MORISON",PR!$AQ438,IF(K440="NEMEL",PR!$AR438,IF(K440="NHP",PR!$AS438,IF(K440="NHC",PR!$AT438,IF(K440="OLEAF",PR!$AU438,IF(K440="OCULUS",PR!$AV438,IF(K440="PACIFIC",PR!$AW438,IF(K440="PHAMATEX",PR!$AX438,IF(K440="PETHICS",PR!$AY438,IF(K440="PHILIPS",PR!$AZ438,IF(K440="RANBAXY",PR!$BA438,IF(K440="REALS",PR!$BB438,IF(K440="ROYAL",PR!$BC438,IF(K440="SAM",PR!$BD438,IF(K440="SEAGREEN",PR!$BE438,IF(K440="SKG",PR!$BF438,IF(K440="TAH",PR!$BG438,IF(K440="TAYLEK",PR!$BH438,IF(K440="TEMITA",PR!$BI438,IF(K440="THL",PR!$BJ438,IF(K440="UBASTIC",PR!$BK438,IF(K440="UNION",PR!$BL438,IF(K440="UNIQUE",PR!$BM438,IF(K440="VIXA",PR!$BN438,IF(K440="WWCV",PR!$BO438,IF(K440="ZOLON",PR!$BP438,"-")))))))))))))))))))))))))))))))))))))))))))))))))))))))))))))))))</f>
        <v>3000</v>
      </c>
    </row>
    <row r="441" spans="1:12" ht="18.75" x14ac:dyDescent="0.3">
      <c r="A441" s="430">
        <f>PR!A439</f>
        <v>398</v>
      </c>
      <c r="B441" s="15" t="str">
        <f>PR!B439</f>
        <v>DOPAMINE INJ</v>
      </c>
      <c r="C441" s="113">
        <f>PR!D439</f>
        <v>5</v>
      </c>
      <c r="D441" s="113">
        <f>PR!C439</f>
        <v>40</v>
      </c>
      <c r="E441" s="108" t="str">
        <f>IF(F441="ALPHA",PR!$E439,IF(F441="ASSENE",PR!$F439,IF(F441="BIOFEM",PR!$G439,IF(F441="BIOMED",PR!$H439,IF(F441="CHI",PR!$I439,IF(F441="CLARION",PR!$J439,IF(F441="CODIX",PR!$K439,IF(F441="COSMADE",PR!$L439,IF(F441="SANCON",PR!$M439,IF(F441="DEVON",PR!$N439,IF(F441="DORTEMAG",PR!$O439,IF(F441="DGF",PR!$P439,IF(F441="DYNAMIC",PR!$Q439,IF(F441="EMZOR",PR!$R439,IF(F441="EUMATT",PR!$S439,IF(F441="FIDSON",PR!$T439,IF(F441="FCGLOBAL",PR!$U439,IF(F441="GENEITH",PR!$V439,IF(F441="GINOS",PR!$W439,IF(F441="GSK",PR!$X439,IF(F441="GLOBORG",PR!$Y439,IF(F441="GOODNEWS",PR!$Z439,IF(F441="GREENLIFE",PR!$AA439,IF(F441="HLINE",PR!$AB439,IF(F441="ROTECH",PR!$AC439,IF(F441="ISN",PR!$AD439,IF(F441="JAWA",PR!$AE439,IF(F441="LAYO",PR!$AF439,IF(F441="LEADWAY",PR!$AG439,IF(F441="LHV",PR!$AH439,IF(F441="MANOLA",PR!$AI439,IF(F441="MARCSON",PR!$AJ439,IF(F441="M&amp;B",PR!$AK439,IF(F441="MTRUST",PR!$AL439,IF(F441="MWORLD",PR!$AM439,IF(F441="MEGA",PR!$AN439,IF(F441="MICRONOVA",PR!$AO439,IF(F441="MFLASH",PR!$AP439,IF(F441="MORISON",PR!$AQ439,IF(F441="NEMEL",PR!$AR439,IF(F441="NHP",PR!$AS439,IF(F441="NHC",PR!$AT439,IF(F441="OLEAF",PR!$AU439,IF(F441="OCULUS",PR!$AV439,IF(F441="PACIFIC",PR!$AW439,IF(F441="PHAMATEX",PR!$AX439,IF(F441="PETHICS",PR!$AY439,IF(F441="PHILIPS",PR!$AZ439,IF(F441="RANBAXY",PR!$BA439,IF(F441="REALS",PR!$BB439,IF(F441="ROYAL",PR!$BC439,IF(F441="SAM",PR!$BD439,IF(F441="SEAGREEN",PR!$BE439,IF(F441="SKG",PR!$BF439,IF(F441="TAH",PR!$BG439,IF(F441="TAYLEK",PR!$BH439,IF(F441="TEMITA",PR!$BI439,IF(F441="THL",PR!$BJ439,IF(F441="UBASTIC",PR!$BK439,IF(F441="UNION",PR!$BL439,IF(F441="UNIQUE",PR!$BM439,IF(F441="VIXA",PR!$BN439,IF(F441="WWCV",PR!$BO439,IF(F441="ZOLON",PR!$BP439,"-"))))))))))))))))))))))))))))))))))))))))))))))))))))))))))))))))</f>
        <v>-</v>
      </c>
      <c r="F441" s="102">
        <f>EV!L558</f>
        <v>0</v>
      </c>
      <c r="G441" s="108" t="str">
        <f>IF(H441="ALPHA",PR!$E439,IF(H441="ASSENE",PR!$F439,IF(H441="BIOFEM",PR!$G439,IF(H441="BIOMED",PR!$H439,IF(H441="CHI",PR!$I439,IF(H441="CLARION",PR!$J439,IF(H441="CODIX",PR!$K439,IF(H441="COSMADE",PR!$L439,IF(H441="SANCON",PR!$M439,IF(H441="DEVON",PR!$N439,IF(H441="DORTEMAG",PR!$O439,IF(H441="DGF",PR!$P439,IF(H441="DYNAMIC",PR!$Q439,IF(H441="EMZOR",PR!$R439,IF(H441="EUMATT",PR!$S439,IF(H441="FIDSON",PR!$T439,IF(H441="FCGLOBAL",PR!$U439,IF(H441="GENEITH",PR!$V439,IF(H441="GINOS",PR!$W439,IF(H441="GSK",PR!$X439,IF(H441="GLOBORG",PR!$Y439,IF(H441="GOODNEWS",PR!$Z439,IF(H441="GREENLIFE",PR!$AA439,IF(H441="HLINE",PR!$AB439,IF(H441="ROTECH",PR!$AC439,IF(H441="ISN",PR!$AD439,IF(H441="JAWA",PR!$AE439,IF(H441="LAYO",PR!$AF439,IF(H441="LEADWAY",PR!$AG439,IF(H441="LHV",PR!$AH439,IF(H441="MANOLA",PR!$AI439,IF(H441="MARCSON",PR!$AJ439,IF(H441="M&amp;B",PR!$AK439,IF(H441="MTRUST",PR!$AL439,IF(H441="MWORLD",PR!$AM439,IF(H441="MEGA",PR!$AN439,IF(H441="MICRONOVA",PR!$AO439,IF(H441="MFLASH",PR!$AP439,IF(H441="MORISON",PR!$AQ439,IF(H441="NEMEL",PR!$AR439,IF(H441="NHP",PR!$AS439,IF(H441="NHC",PR!$AT439,IF(H441="OLEAF",PR!$AU439,IF(H441="OCULUS",PR!$AV439,IF(H441="PACIFIC",PR!$AW439,IF(H441="PHAMATEX",PR!$AX439,IF(H441="PETHICS",PR!$AY439,IF(H441="PHILIPS",PR!$AZ439,IF(H441="RANBAXY",PR!$BA439,IF(H441="REALS",PR!$BB439,IF(H441="ROYAL",PR!$BC439,IF(H441="SAM",PR!$BD439,IF(H441="SEAGREEN",PR!$BE439,IF(H441="SKG",PR!$BF439,IF(H441="TAH",PR!$BG439,IF(H441="TAYLEK",PR!$BH439,IF(H441="TEMITA",PR!$BI439,IF(H441="THL",PR!$BJ439,IF(H441="UBASTIC",PR!$BK439,IF(H441="UNION",PR!$BL439,IF(H441="UNIQUE",PR!$BM439,IF(H441="VIXA",PR!$BN439,IF(H441="WWCV",PR!$BO439,IF(H441="ZOLON",PR!$BP439,"-"))))))))))))))))))))))))))))))))))))))))))))))))))))))))))))))))</f>
        <v>-</v>
      </c>
      <c r="H441" s="102">
        <f>EV!M558</f>
        <v>0</v>
      </c>
      <c r="I441" s="108" t="str">
        <f>IF(J441="ALPHA",PR!$E439,IF(J441="ASSENE",PR!$F439,IF(J441="BIOFEM",PR!$G439,IF(J441="BIOMED",PR!$H439,IF(J441="CHI",PR!$I439,IF(J441="CLARION",PR!$J439,IF(J441="CODIX",PR!$K439,IF(J441="COSMADE",PR!$L439,IF(J441="SANCON",PR!$M439,IF(J441="DEVON",PR!$N439,IF(J441="DORTEMAG",PR!$O439,IF(J441="DGF",PR!$P439,IF(J441="DYNAMIC",PR!$Q439,IF(J441="EMZOR",PR!$R439,IF(J441="EUMATT",PR!$S439,IF(J441="FIDSON",PR!$T439,IF(J441="FCGLOBAL",PR!$U439,IF(J441="GENEITH",PR!$V439,IF(J441="GINOS",PR!$W439,IF(J441="GSK",PR!$X439,IF(J441="GLOBORG",PR!$Y439,IF(J441="GOODNEWS",PR!$Z439,IF(J441="GREENLIFE",PR!$AA439,IF(J441="HLINE",PR!$AB439,IF(J441="ROTECH",PR!$AC439,IF(J441="ISN",PR!$AD439,IF(J441="JAWA",PR!$AE439,IF(J441="LAYO",PR!$AF439,IF(J441="LEADWAY",PR!$AG439,IF(J441="LHV",PR!$AH439,IF(J441="MANOLA",PR!$AI439,IF(J441="MARCSON",PR!$AJ439,IF(J441="M&amp;B",PR!$AK439,IF(J441="MTRUST",PR!$AL439,IF(J441="MWORLD",PR!$AM439,IF(J441="MEGA",PR!$AN439,IF(J441="MICRONOVA",PR!$AO439,IF(J441="MFLASH",PR!$AP439,IF(J441="MORISON",PR!$AQ439,IF(J441="NEMEL",PR!$AR439,IF(J441="NHP",PR!$AS439,IF(J441="NHC",PR!$AT439,IF(J441="OLEAF",PR!$AU439,IF(J441="OCULUS",PR!$AV439,IF(J441="PACIFIC",PR!$AW439,IF(J441="PHAMATEX",PR!$AX439,IF(J441="PETHICS",PR!$AY439,IF(J441="PHILIPS",PR!$AZ439,IF(J441="RANBAXY",PR!$BA439,IF(J441="REALS",PR!$BB439,IF(J441="ROYAL",PR!$BC439,IF(J441="SAM",PR!$BD439,IF(J441="SEAGREEN",PR!$BE439,IF(J441="SKG",PR!$BF439,IF(J441="TAH",PR!$BG439,IF(J441="TAYLEK",PR!$BH439,IF(J441="TEMITA",PR!$BI439,IF(J441="THL",PR!$BJ439,IF(J441="UBASTIC",PR!$BK439,IF(J441="UNION",PR!$BL439,IF(J441="UNIQUE",PR!$BM439,IF(J441="VIXA",PR!$BN439,IF(J441="WWCV",PR!$BO439,IF(J441="ZOLON",PR!$BP439,"-"))))))))))))))))))))))))))))))))))))))))))))))))))))))))))))))))</f>
        <v>-</v>
      </c>
      <c r="J441" s="102">
        <f>EV!N558</f>
        <v>0</v>
      </c>
      <c r="K441" s="433"/>
      <c r="L441" s="183" t="b">
        <f>IF(K441&gt;0,IF(K441="ALPHA",PR!$E439,IF(K441="ASSENE",PR!$F439,IF(K441="BIOFEM",PR!$G439,IF(K441="BIOMED",PR!$H439,IF(K441="CHI",PR!$I439,IF(K441="CLARION",PR!$J439,IF(K441="CODIX",PR!$K439,IF(K441="COSMADE",PR!$L439,IF(K441="SANCON",PR!$M439,IF(K441="DEVON",PR!$N439,IF(K441="DORTEMAG",PR!$O439,IF(K441="DGF",PR!$P439,IF(K441="DYNAMIC",PR!$Q439,IF(K441="EMZOR",PR!$R439,IF(K441="EUMATT",PR!$S439,IF(K441="FIDSON",PR!$T439,IF(K441="FCGLOBAL",PR!$U439,IF(K441="GENEITH",PR!$V439,IF(K441="GINOS",PR!$W439,IF(K441="GSK",PR!$X439,IF(K441="GLOBORG",PR!$Y439,IF(K441="GOODNEWS",PR!$Z439,IF(K441="GREENLIFE",PR!$AA439,IF(K441="HLINE",PR!$AB439,IF(K441="ROTECH",PR!$AC439,IF(K441="ISN",PR!$AD439,IF(K441="JAWA",PR!$AE439,IF(K441="LAYO",PR!$AF439,IF(K441="LEADWAY",PR!$AG439,IF(K441="LHV",PR!$AH439,IF(K441="MANOLA",PR!$AI439,IF(K441="MARCSON",PR!$AJ439,IF(K441="M&amp;B",PR!$AK439,IF(K441="MTRUST",PR!$AL439,IF(K441="MWORLD",PR!$AM439,IF(K441="MEGA",PR!$AN439,IF(K441="MICRONOVA",PR!$AO439,IF(K441="MFLASH",PR!$AP439,IF(K441="MORISON",PR!$AQ439,IF(K441="NEMEL",PR!$AR439,IF(K441="NHP",PR!$AS439,IF(K441="NHC",PR!$AT439,IF(K441="OLEAF",PR!$AU439,IF(K441="OCULUS",PR!$AV439,IF(K441="PACIFIC",PR!$AW439,IF(K441="PHAMATEX",PR!$AX439,IF(K441="PETHICS",PR!$AY439,IF(K441="PHILIPS",PR!$AZ439,IF(K441="RANBAXY",PR!$BA439,IF(K441="REALS",PR!$BB439,IF(K441="ROYAL",PR!$BC439,IF(K441="SAM",PR!$BD439,IF(K441="SEAGREEN",PR!$BE439,IF(K441="SKG",PR!$BF439,IF(K441="TAH",PR!$BG439,IF(K441="TAYLEK",PR!$BH439,IF(K441="TEMITA",PR!$BI439,IF(K441="THL",PR!$BJ439,IF(K441="UBASTIC",PR!$BK439,IF(K441="UNION",PR!$BL439,IF(K441="UNIQUE",PR!$BM439,IF(K441="VIXA",PR!$BN439,IF(K441="WWCV",PR!$BO439,IF(K441="ZOLON",PR!$BP439,"-")))))))))))))))))))))))))))))))))))))))))))))))))))))))))))))))))</f>
        <v>0</v>
      </c>
    </row>
    <row r="442" spans="1:12" ht="18.75" x14ac:dyDescent="0.3">
      <c r="A442" s="430">
        <f>PR!A440</f>
        <v>399</v>
      </c>
      <c r="B442" s="15" t="str">
        <f>PR!B440</f>
        <v>EPHEDRINE INJ (STEROP)</v>
      </c>
      <c r="C442" s="113">
        <f>PR!D440</f>
        <v>100</v>
      </c>
      <c r="D442" s="113">
        <f>PR!C440</f>
        <v>4</v>
      </c>
      <c r="E442" s="108">
        <f>IF(F442="ALPHA",PR!$E440,IF(F442="ASSENE",PR!$F440,IF(F442="BIOFEM",PR!$G440,IF(F442="BIOMED",PR!$H440,IF(F442="CHI",PR!$I440,IF(F442="CLARION",PR!$J440,IF(F442="CODIX",PR!$K440,IF(F442="COSMADE",PR!$L440,IF(F442="SANCON",PR!$M440,IF(F442="DEVON",PR!$N440,IF(F442="DORTEMAG",PR!$O440,IF(F442="DGF",PR!$P440,IF(F442="DYNAMIC",PR!$Q440,IF(F442="EMZOR",PR!$R440,IF(F442="EUMATT",PR!$S440,IF(F442="FIDSON",PR!$T440,IF(F442="FCGLOBAL",PR!$U440,IF(F442="GENEITH",PR!$V440,IF(F442="GINOS",PR!$W440,IF(F442="GSK",PR!$X440,IF(F442="GLOBORG",PR!$Y440,IF(F442="GOODNEWS",PR!$Z440,IF(F442="GREENLIFE",PR!$AA440,IF(F442="HLINE",PR!$AB440,IF(F442="ROTECH",PR!$AC440,IF(F442="ISN",PR!$AD440,IF(F442="JAWA",PR!$AE440,IF(F442="LAYO",PR!$AF440,IF(F442="LEADWAY",PR!$AG440,IF(F442="LHV",PR!$AH440,IF(F442="MANOLA",PR!$AI440,IF(F442="MARCSON",PR!$AJ440,IF(F442="M&amp;B",PR!$AK440,IF(F442="MTRUST",PR!$AL440,IF(F442="MWORLD",PR!$AM440,IF(F442="MEGA",PR!$AN440,IF(F442="MICRONOVA",PR!$AO440,IF(F442="MFLASH",PR!$AP440,IF(F442="MORISON",PR!$AQ440,IF(F442="NEMEL",PR!$AR440,IF(F442="NHP",PR!$AS440,IF(F442="NHC",PR!$AT440,IF(F442="OLEAF",PR!$AU440,IF(F442="OCULUS",PR!$AV440,IF(F442="PACIFIC",PR!$AW440,IF(F442="PHAMATEX",PR!$AX440,IF(F442="PETHICS",PR!$AY440,IF(F442="PHILIPS",PR!$AZ440,IF(F442="RANBAXY",PR!$BA440,IF(F442="REALS",PR!$BB440,IF(F442="ROYAL",PR!$BC440,IF(F442="SAM",PR!$BD440,IF(F442="SEAGREEN",PR!$BE440,IF(F442="SKG",PR!$BF440,IF(F442="TAH",PR!$BG440,IF(F442="TAYLEK",PR!$BH440,IF(F442="TEMITA",PR!$BI440,IF(F442="THL",PR!$BJ440,IF(F442="UBASTIC",PR!$BK440,IF(F442="UNION",PR!$BL440,IF(F442="UNIQUE",PR!$BM440,IF(F442="VIXA",PR!$BN440,IF(F442="WWCV",PR!$BO440,IF(F442="ZOLON",PR!$BP440,"-"))))))))))))))))))))))))))))))))))))))))))))))))))))))))))))))))</f>
        <v>80000</v>
      </c>
      <c r="F442" s="102" t="str">
        <f>EV!L559</f>
        <v>EUMATT</v>
      </c>
      <c r="G442" s="108" t="str">
        <f>IF(H442="ALPHA",PR!$E440,IF(H442="ASSENE",PR!$F440,IF(H442="BIOFEM",PR!$G440,IF(H442="BIOMED",PR!$H440,IF(H442="CHI",PR!$I440,IF(H442="CLARION",PR!$J440,IF(H442="CODIX",PR!$K440,IF(H442="COSMADE",PR!$L440,IF(H442="SANCON",PR!$M440,IF(H442="DEVON",PR!$N440,IF(H442="DORTEMAG",PR!$O440,IF(H442="DGF",PR!$P440,IF(H442="DYNAMIC",PR!$Q440,IF(H442="EMZOR",PR!$R440,IF(H442="EUMATT",PR!$S440,IF(H442="FIDSON",PR!$T440,IF(H442="FCGLOBAL",PR!$U440,IF(H442="GENEITH",PR!$V440,IF(H442="GINOS",PR!$W440,IF(H442="GSK",PR!$X440,IF(H442="GLOBORG",PR!$Y440,IF(H442="GOODNEWS",PR!$Z440,IF(H442="GREENLIFE",PR!$AA440,IF(H442="HLINE",PR!$AB440,IF(H442="ROTECH",PR!$AC440,IF(H442="ISN",PR!$AD440,IF(H442="JAWA",PR!$AE440,IF(H442="LAYO",PR!$AF440,IF(H442="LEADWAY",PR!$AG440,IF(H442="LHV",PR!$AH440,IF(H442="MANOLA",PR!$AI440,IF(H442="MARCSON",PR!$AJ440,IF(H442="M&amp;B",PR!$AK440,IF(H442="MTRUST",PR!$AL440,IF(H442="MWORLD",PR!$AM440,IF(H442="MEGA",PR!$AN440,IF(H442="MICRONOVA",PR!$AO440,IF(H442="MFLASH",PR!$AP440,IF(H442="MORISON",PR!$AQ440,IF(H442="NEMEL",PR!$AR440,IF(H442="NHP",PR!$AS440,IF(H442="NHC",PR!$AT440,IF(H442="OLEAF",PR!$AU440,IF(H442="OCULUS",PR!$AV440,IF(H442="PACIFIC",PR!$AW440,IF(H442="PHAMATEX",PR!$AX440,IF(H442="PETHICS",PR!$AY440,IF(H442="PHILIPS",PR!$AZ440,IF(H442="RANBAXY",PR!$BA440,IF(H442="REALS",PR!$BB440,IF(H442="ROYAL",PR!$BC440,IF(H442="SAM",PR!$BD440,IF(H442="SEAGREEN",PR!$BE440,IF(H442="SKG",PR!$BF440,IF(H442="TAH",PR!$BG440,IF(H442="TAYLEK",PR!$BH440,IF(H442="TEMITA",PR!$BI440,IF(H442="THL",PR!$BJ440,IF(H442="UBASTIC",PR!$BK440,IF(H442="UNION",PR!$BL440,IF(H442="UNIQUE",PR!$BM440,IF(H442="VIXA",PR!$BN440,IF(H442="WWCV",PR!$BO440,IF(H442="ZOLON",PR!$BP440,"-"))))))))))))))))))))))))))))))))))))))))))))))))))))))))))))))))</f>
        <v>-</v>
      </c>
      <c r="H442" s="102">
        <f>EV!M559</f>
        <v>0</v>
      </c>
      <c r="I442" s="108" t="str">
        <f>IF(J442="ALPHA",PR!$E440,IF(J442="ASSENE",PR!$F440,IF(J442="BIOFEM",PR!$G440,IF(J442="BIOMED",PR!$H440,IF(J442="CHI",PR!$I440,IF(J442="CLARION",PR!$J440,IF(J442="CODIX",PR!$K440,IF(J442="COSMADE",PR!$L440,IF(J442="SANCON",PR!$M440,IF(J442="DEVON",PR!$N440,IF(J442="DORTEMAG",PR!$O440,IF(J442="DGF",PR!$P440,IF(J442="DYNAMIC",PR!$Q440,IF(J442="EMZOR",PR!$R440,IF(J442="EUMATT",PR!$S440,IF(J442="FIDSON",PR!$T440,IF(J442="FCGLOBAL",PR!$U440,IF(J442="GENEITH",PR!$V440,IF(J442="GINOS",PR!$W440,IF(J442="GSK",PR!$X440,IF(J442="GLOBORG",PR!$Y440,IF(J442="GOODNEWS",PR!$Z440,IF(J442="GREENLIFE",PR!$AA440,IF(J442="HLINE",PR!$AB440,IF(J442="ROTECH",PR!$AC440,IF(J442="ISN",PR!$AD440,IF(J442="JAWA",PR!$AE440,IF(J442="LAYO",PR!$AF440,IF(J442="LEADWAY",PR!$AG440,IF(J442="LHV",PR!$AH440,IF(J442="MANOLA",PR!$AI440,IF(J442="MARCSON",PR!$AJ440,IF(J442="M&amp;B",PR!$AK440,IF(J442="MTRUST",PR!$AL440,IF(J442="MWORLD",PR!$AM440,IF(J442="MEGA",PR!$AN440,IF(J442="MICRONOVA",PR!$AO440,IF(J442="MFLASH",PR!$AP440,IF(J442="MORISON",PR!$AQ440,IF(J442="NEMEL",PR!$AR440,IF(J442="NHP",PR!$AS440,IF(J442="NHC",PR!$AT440,IF(J442="OLEAF",PR!$AU440,IF(J442="OCULUS",PR!$AV440,IF(J442="PACIFIC",PR!$AW440,IF(J442="PHAMATEX",PR!$AX440,IF(J442="PETHICS",PR!$AY440,IF(J442="PHILIPS",PR!$AZ440,IF(J442="RANBAXY",PR!$BA440,IF(J442="REALS",PR!$BB440,IF(J442="ROYAL",PR!$BC440,IF(J442="SAM",PR!$BD440,IF(J442="SEAGREEN",PR!$BE440,IF(J442="SKG",PR!$BF440,IF(J442="TAH",PR!$BG440,IF(J442="TAYLEK",PR!$BH440,IF(J442="TEMITA",PR!$BI440,IF(J442="THL",PR!$BJ440,IF(J442="UBASTIC",PR!$BK440,IF(J442="UNION",PR!$BL440,IF(J442="UNIQUE",PR!$BM440,IF(J442="VIXA",PR!$BN440,IF(J442="WWCV",PR!$BO440,IF(J442="ZOLON",PR!$BP440,"-"))))))))))))))))))))))))))))))))))))))))))))))))))))))))))))))))</f>
        <v>-</v>
      </c>
      <c r="J442" s="102">
        <f>EV!N559</f>
        <v>0</v>
      </c>
      <c r="K442" s="433" t="s">
        <v>821</v>
      </c>
      <c r="L442" s="183">
        <f>IF(K442&gt;0,IF(K442="ALPHA",PR!$E440,IF(K442="ASSENE",PR!$F440,IF(K442="BIOFEM",PR!$G440,IF(K442="BIOMED",PR!$H440,IF(K442="CHI",PR!$I440,IF(K442="CLARION",PR!$J440,IF(K442="CODIX",PR!$K440,IF(K442="COSMADE",PR!$L440,IF(K442="SANCON",PR!$M440,IF(K442="DEVON",PR!$N440,IF(K442="DORTEMAG",PR!$O440,IF(K442="DGF",PR!$P440,IF(K442="DYNAMIC",PR!$Q440,IF(K442="EMZOR",PR!$R440,IF(K442="EUMATT",PR!$S440,IF(K442="FIDSON",PR!$T440,IF(K442="FCGLOBAL",PR!$U440,IF(K442="GENEITH",PR!$V440,IF(K442="GINOS",PR!$W440,IF(K442="GSK",PR!$X440,IF(K442="GLOBORG",PR!$Y440,IF(K442="GOODNEWS",PR!$Z440,IF(K442="GREENLIFE",PR!$AA440,IF(K442="HLINE",PR!$AB440,IF(K442="ROTECH",PR!$AC440,IF(K442="ISN",PR!$AD440,IF(K442="JAWA",PR!$AE440,IF(K442="LAYO",PR!$AF440,IF(K442="LEADWAY",PR!$AG440,IF(K442="LHV",PR!$AH440,IF(K442="MANOLA",PR!$AI440,IF(K442="MARCSON",PR!$AJ440,IF(K442="M&amp;B",PR!$AK440,IF(K442="MTRUST",PR!$AL440,IF(K442="MWORLD",PR!$AM440,IF(K442="MEGA",PR!$AN440,IF(K442="MICRONOVA",PR!$AO440,IF(K442="MFLASH",PR!$AP440,IF(K442="MORISON",PR!$AQ440,IF(K442="NEMEL",PR!$AR440,IF(K442="NHP",PR!$AS440,IF(K442="NHC",PR!$AT440,IF(K442="OLEAF",PR!$AU440,IF(K442="OCULUS",PR!$AV440,IF(K442="PACIFIC",PR!$AW440,IF(K442="PHAMATEX",PR!$AX440,IF(K442="PETHICS",PR!$AY440,IF(K442="PHILIPS",PR!$AZ440,IF(K442="RANBAXY",PR!$BA440,IF(K442="REALS",PR!$BB440,IF(K442="ROYAL",PR!$BC440,IF(K442="SAM",PR!$BD440,IF(K442="SEAGREEN",PR!$BE440,IF(K442="SKG",PR!$BF440,IF(K442="TAH",PR!$BG440,IF(K442="TAYLEK",PR!$BH440,IF(K442="TEMITA",PR!$BI440,IF(K442="THL",PR!$BJ440,IF(K442="UBASTIC",PR!$BK440,IF(K442="UNION",PR!$BL440,IF(K442="UNIQUE",PR!$BM440,IF(K442="VIXA",PR!$BN440,IF(K442="WWCV",PR!$BO440,IF(K442="ZOLON",PR!$BP440,"-")))))))))))))))))))))))))))))))))))))))))))))))))))))))))))))))))</f>
        <v>80000</v>
      </c>
    </row>
    <row r="443" spans="1:12" ht="18.75" x14ac:dyDescent="0.3">
      <c r="A443" s="430">
        <f>PR!A441</f>
        <v>400</v>
      </c>
      <c r="B443" s="15" t="str">
        <f>PR!B441</f>
        <v>FENTANYL INJ</v>
      </c>
      <c r="C443" s="113">
        <f>PR!D441</f>
        <v>10</v>
      </c>
      <c r="D443" s="113">
        <f>PR!C441</f>
        <v>30</v>
      </c>
      <c r="E443" s="108" t="str">
        <f>IF(F443="ALPHA",PR!$E441,IF(F443="ASSENE",PR!$F441,IF(F443="BIOFEM",PR!$G441,IF(F443="BIOMED",PR!$H441,IF(F443="CHI",PR!$I441,IF(F443="CLARION",PR!$J441,IF(F443="CODIX",PR!$K441,IF(F443="COSMADE",PR!$L441,IF(F443="SANCON",PR!$M441,IF(F443="DEVON",PR!$N441,IF(F443="DORTEMAG",PR!$O441,IF(F443="DGF",PR!$P441,IF(F443="DYNAMIC",PR!$Q441,IF(F443="EMZOR",PR!$R441,IF(F443="EUMATT",PR!$S441,IF(F443="FIDSON",PR!$T441,IF(F443="FCGLOBAL",PR!$U441,IF(F443="GENEITH",PR!$V441,IF(F443="GINOS",PR!$W441,IF(F443="GSK",PR!$X441,IF(F443="GLOBORG",PR!$Y441,IF(F443="GOODNEWS",PR!$Z441,IF(F443="GREENLIFE",PR!$AA441,IF(F443="HLINE",PR!$AB441,IF(F443="ROTECH",PR!$AC441,IF(F443="ISN",PR!$AD441,IF(F443="JAWA",PR!$AE441,IF(F443="LAYO",PR!$AF441,IF(F443="LEADWAY",PR!$AG441,IF(F443="LHV",PR!$AH441,IF(F443="MANOLA",PR!$AI441,IF(F443="MARCSON",PR!$AJ441,IF(F443="M&amp;B",PR!$AK441,IF(F443="MTRUST",PR!$AL441,IF(F443="MWORLD",PR!$AM441,IF(F443="MEGA",PR!$AN441,IF(F443="MICRONOVA",PR!$AO441,IF(F443="MFLASH",PR!$AP441,IF(F443="MORISON",PR!$AQ441,IF(F443="NEMEL",PR!$AR441,IF(F443="NHP",PR!$AS441,IF(F443="NHC",PR!$AT441,IF(F443="OLEAF",PR!$AU441,IF(F443="OCULUS",PR!$AV441,IF(F443="PACIFIC",PR!$AW441,IF(F443="PHAMATEX",PR!$AX441,IF(F443="PETHICS",PR!$AY441,IF(F443="PHILIPS",PR!$AZ441,IF(F443="RANBAXY",PR!$BA441,IF(F443="REALS",PR!$BB441,IF(F443="ROYAL",PR!$BC441,IF(F443="SAM",PR!$BD441,IF(F443="SEAGREEN",PR!$BE441,IF(F443="SKG",PR!$BF441,IF(F443="TAH",PR!$BG441,IF(F443="TAYLEK",PR!$BH441,IF(F443="TEMITA",PR!$BI441,IF(F443="THL",PR!$BJ441,IF(F443="UBASTIC",PR!$BK441,IF(F443="UNION",PR!$BL441,IF(F443="UNIQUE",PR!$BM441,IF(F443="VIXA",PR!$BN441,IF(F443="WWCV",PR!$BO441,IF(F443="ZOLON",PR!$BP441,"-"))))))))))))))))))))))))))))))))))))))))))))))))))))))))))))))))</f>
        <v>-</v>
      </c>
      <c r="F443" s="102">
        <f>EV!L560</f>
        <v>0</v>
      </c>
      <c r="G443" s="108" t="str">
        <f>IF(H443="ALPHA",PR!$E441,IF(H443="ASSENE",PR!$F441,IF(H443="BIOFEM",PR!$G441,IF(H443="BIOMED",PR!$H441,IF(H443="CHI",PR!$I441,IF(H443="CLARION",PR!$J441,IF(H443="CODIX",PR!$K441,IF(H443="COSMADE",PR!$L441,IF(H443="SANCON",PR!$M441,IF(H443="DEVON",PR!$N441,IF(H443="DORTEMAG",PR!$O441,IF(H443="DGF",PR!$P441,IF(H443="DYNAMIC",PR!$Q441,IF(H443="EMZOR",PR!$R441,IF(H443="EUMATT",PR!$S441,IF(H443="FIDSON",PR!$T441,IF(H443="FCGLOBAL",PR!$U441,IF(H443="GENEITH",PR!$V441,IF(H443="GINOS",PR!$W441,IF(H443="GSK",PR!$X441,IF(H443="GLOBORG",PR!$Y441,IF(H443="GOODNEWS",PR!$Z441,IF(H443="GREENLIFE",PR!$AA441,IF(H443="HLINE",PR!$AB441,IF(H443="ROTECH",PR!$AC441,IF(H443="ISN",PR!$AD441,IF(H443="JAWA",PR!$AE441,IF(H443="LAYO",PR!$AF441,IF(H443="LEADWAY",PR!$AG441,IF(H443="LHV",PR!$AH441,IF(H443="MANOLA",PR!$AI441,IF(H443="MARCSON",PR!$AJ441,IF(H443="M&amp;B",PR!$AK441,IF(H443="MTRUST",PR!$AL441,IF(H443="MWORLD",PR!$AM441,IF(H443="MEGA",PR!$AN441,IF(H443="MICRONOVA",PR!$AO441,IF(H443="MFLASH",PR!$AP441,IF(H443="MORISON",PR!$AQ441,IF(H443="NEMEL",PR!$AR441,IF(H443="NHP",PR!$AS441,IF(H443="NHC",PR!$AT441,IF(H443="OLEAF",PR!$AU441,IF(H443="OCULUS",PR!$AV441,IF(H443="PACIFIC",PR!$AW441,IF(H443="PHAMATEX",PR!$AX441,IF(H443="PETHICS",PR!$AY441,IF(H443="PHILIPS",PR!$AZ441,IF(H443="RANBAXY",PR!$BA441,IF(H443="REALS",PR!$BB441,IF(H443="ROYAL",PR!$BC441,IF(H443="SAM",PR!$BD441,IF(H443="SEAGREEN",PR!$BE441,IF(H443="SKG",PR!$BF441,IF(H443="TAH",PR!$BG441,IF(H443="TAYLEK",PR!$BH441,IF(H443="TEMITA",PR!$BI441,IF(H443="THL",PR!$BJ441,IF(H443="UBASTIC",PR!$BK441,IF(H443="UNION",PR!$BL441,IF(H443="UNIQUE",PR!$BM441,IF(H443="VIXA",PR!$BN441,IF(H443="WWCV",PR!$BO441,IF(H443="ZOLON",PR!$BP441,"-"))))))))))))))))))))))))))))))))))))))))))))))))))))))))))))))))</f>
        <v>-</v>
      </c>
      <c r="H443" s="102">
        <f>EV!M560</f>
        <v>0</v>
      </c>
      <c r="I443" s="108" t="str">
        <f>IF(J443="ALPHA",PR!$E441,IF(J443="ASSENE",PR!$F441,IF(J443="BIOFEM",PR!$G441,IF(J443="BIOMED",PR!$H441,IF(J443="CHI",PR!$I441,IF(J443="CLARION",PR!$J441,IF(J443="CODIX",PR!$K441,IF(J443="COSMADE",PR!$L441,IF(J443="SANCON",PR!$M441,IF(J443="DEVON",PR!$N441,IF(J443="DORTEMAG",PR!$O441,IF(J443="DGF",PR!$P441,IF(J443="DYNAMIC",PR!$Q441,IF(J443="EMZOR",PR!$R441,IF(J443="EUMATT",PR!$S441,IF(J443="FIDSON",PR!$T441,IF(J443="FCGLOBAL",PR!$U441,IF(J443="GENEITH",PR!$V441,IF(J443="GINOS",PR!$W441,IF(J443="GSK",PR!$X441,IF(J443="GLOBORG",PR!$Y441,IF(J443="GOODNEWS",PR!$Z441,IF(J443="GREENLIFE",PR!$AA441,IF(J443="HLINE",PR!$AB441,IF(J443="ROTECH",PR!$AC441,IF(J443="ISN",PR!$AD441,IF(J443="JAWA",PR!$AE441,IF(J443="LAYO",PR!$AF441,IF(J443="LEADWAY",PR!$AG441,IF(J443="LHV",PR!$AH441,IF(J443="MANOLA",PR!$AI441,IF(J443="MARCSON",PR!$AJ441,IF(J443="M&amp;B",PR!$AK441,IF(J443="MTRUST",PR!$AL441,IF(J443="MWORLD",PR!$AM441,IF(J443="MEGA",PR!$AN441,IF(J443="MICRONOVA",PR!$AO441,IF(J443="MFLASH",PR!$AP441,IF(J443="MORISON",PR!$AQ441,IF(J443="NEMEL",PR!$AR441,IF(J443="NHP",PR!$AS441,IF(J443="NHC",PR!$AT441,IF(J443="OLEAF",PR!$AU441,IF(J443="OCULUS",PR!$AV441,IF(J443="PACIFIC",PR!$AW441,IF(J443="PHAMATEX",PR!$AX441,IF(J443="PETHICS",PR!$AY441,IF(J443="PHILIPS",PR!$AZ441,IF(J443="RANBAXY",PR!$BA441,IF(J443="REALS",PR!$BB441,IF(J443="ROYAL",PR!$BC441,IF(J443="SAM",PR!$BD441,IF(J443="SEAGREEN",PR!$BE441,IF(J443="SKG",PR!$BF441,IF(J443="TAH",PR!$BG441,IF(J443="TAYLEK",PR!$BH441,IF(J443="TEMITA",PR!$BI441,IF(J443="THL",PR!$BJ441,IF(J443="UBASTIC",PR!$BK441,IF(J443="UNION",PR!$BL441,IF(J443="UNIQUE",PR!$BM441,IF(J443="VIXA",PR!$BN441,IF(J443="WWCV",PR!$BO441,IF(J443="ZOLON",PR!$BP441,"-"))))))))))))))))))))))))))))))))))))))))))))))))))))))))))))))))</f>
        <v>-</v>
      </c>
      <c r="J443" s="102">
        <f>EV!N560</f>
        <v>0</v>
      </c>
      <c r="K443" s="433"/>
      <c r="L443" s="183" t="b">
        <f>IF(K443&gt;0,IF(K443="ALPHA",PR!$E441,IF(K443="ASSENE",PR!$F441,IF(K443="BIOFEM",PR!$G441,IF(K443="BIOMED",PR!$H441,IF(K443="CHI",PR!$I441,IF(K443="CLARION",PR!$J441,IF(K443="CODIX",PR!$K441,IF(K443="COSMADE",PR!$L441,IF(K443="SANCON",PR!$M441,IF(K443="DEVON",PR!$N441,IF(K443="DORTEMAG",PR!$O441,IF(K443="DGF",PR!$P441,IF(K443="DYNAMIC",PR!$Q441,IF(K443="EMZOR",PR!$R441,IF(K443="EUMATT",PR!$S441,IF(K443="FIDSON",PR!$T441,IF(K443="FCGLOBAL",PR!$U441,IF(K443="GENEITH",PR!$V441,IF(K443="GINOS",PR!$W441,IF(K443="GSK",PR!$X441,IF(K443="GLOBORG",PR!$Y441,IF(K443="GOODNEWS",PR!$Z441,IF(K443="GREENLIFE",PR!$AA441,IF(K443="HLINE",PR!$AB441,IF(K443="ROTECH",PR!$AC441,IF(K443="ISN",PR!$AD441,IF(K443="JAWA",PR!$AE441,IF(K443="LAYO",PR!$AF441,IF(K443="LEADWAY",PR!$AG441,IF(K443="LHV",PR!$AH441,IF(K443="MANOLA",PR!$AI441,IF(K443="MARCSON",PR!$AJ441,IF(K443="M&amp;B",PR!$AK441,IF(K443="MTRUST",PR!$AL441,IF(K443="MWORLD",PR!$AM441,IF(K443="MEGA",PR!$AN441,IF(K443="MICRONOVA",PR!$AO441,IF(K443="MFLASH",PR!$AP441,IF(K443="MORISON",PR!$AQ441,IF(K443="NEMEL",PR!$AR441,IF(K443="NHP",PR!$AS441,IF(K443="NHC",PR!$AT441,IF(K443="OLEAF",PR!$AU441,IF(K443="OCULUS",PR!$AV441,IF(K443="PACIFIC",PR!$AW441,IF(K443="PHAMATEX",PR!$AX441,IF(K443="PETHICS",PR!$AY441,IF(K443="PHILIPS",PR!$AZ441,IF(K443="RANBAXY",PR!$BA441,IF(K443="REALS",PR!$BB441,IF(K443="ROYAL",PR!$BC441,IF(K443="SAM",PR!$BD441,IF(K443="SEAGREEN",PR!$BE441,IF(K443="SKG",PR!$BF441,IF(K443="TAH",PR!$BG441,IF(K443="TAYLEK",PR!$BH441,IF(K443="TEMITA",PR!$BI441,IF(K443="THL",PR!$BJ441,IF(K443="UBASTIC",PR!$BK441,IF(K443="UNION",PR!$BL441,IF(K443="UNIQUE",PR!$BM441,IF(K443="VIXA",PR!$BN441,IF(K443="WWCV",PR!$BO441,IF(K443="ZOLON",PR!$BP441,"-")))))))))))))))))))))))))))))))))))))))))))))))))))))))))))))))))</f>
        <v>0</v>
      </c>
    </row>
    <row r="444" spans="1:12" ht="18.75" x14ac:dyDescent="0.3">
      <c r="A444" s="430">
        <f>PR!A442</f>
        <v>401</v>
      </c>
      <c r="B444" s="15" t="str">
        <f>PR!B442</f>
        <v>GLYCOPYRULLATE INJ</v>
      </c>
      <c r="C444" s="113">
        <f>PR!D442</f>
        <v>100</v>
      </c>
      <c r="D444" s="113">
        <f>PR!C442</f>
        <v>4</v>
      </c>
      <c r="E444" s="108">
        <f>IF(F444="ALPHA",PR!$E442,IF(F444="ASSENE",PR!$F442,IF(F444="BIOFEM",PR!$G442,IF(F444="BIOMED",PR!$H442,IF(F444="CHI",PR!$I442,IF(F444="CLARION",PR!$J442,IF(F444="CODIX",PR!$K442,IF(F444="COSMADE",PR!$L442,IF(F444="SANCON",PR!$M442,IF(F444="DEVON",PR!$N442,IF(F444="DORTEMAG",PR!$O442,IF(F444="DGF",PR!$P442,IF(F444="DYNAMIC",PR!$Q442,IF(F444="EMZOR",PR!$R442,IF(F444="EUMATT",PR!$S442,IF(F444="FIDSON",PR!$T442,IF(F444="FCGLOBAL",PR!$U442,IF(F444="GENEITH",PR!$V442,IF(F444="GINOS",PR!$W442,IF(F444="GSK",PR!$X442,IF(F444="GLOBORG",PR!$Y442,IF(F444="GOODNEWS",PR!$Z442,IF(F444="GREENLIFE",PR!$AA442,IF(F444="HLINE",PR!$AB442,IF(F444="ROTECH",PR!$AC442,IF(F444="ISN",PR!$AD442,IF(F444="JAWA",PR!$AE442,IF(F444="LAYO",PR!$AF442,IF(F444="LEADWAY",PR!$AG442,IF(F444="LHV",PR!$AH442,IF(F444="MANOLA",PR!$AI442,IF(F444="MARCSON",PR!$AJ442,IF(F444="M&amp;B",PR!$AK442,IF(F444="MTRUST",PR!$AL442,IF(F444="MWORLD",PR!$AM442,IF(F444="MEGA",PR!$AN442,IF(F444="MICRONOVA",PR!$AO442,IF(F444="MFLASH",PR!$AP442,IF(F444="MORISON",PR!$AQ442,IF(F444="NEMEL",PR!$AR442,IF(F444="NHP",PR!$AS442,IF(F444="NHC",PR!$AT442,IF(F444="OLEAF",PR!$AU442,IF(F444="OCULUS",PR!$AV442,IF(F444="PACIFIC",PR!$AW442,IF(F444="PHAMATEX",PR!$AX442,IF(F444="PETHICS",PR!$AY442,IF(F444="PHILIPS",PR!$AZ442,IF(F444="RANBAXY",PR!$BA442,IF(F444="REALS",PR!$BB442,IF(F444="ROYAL",PR!$BC442,IF(F444="SAM",PR!$BD442,IF(F444="SEAGREEN",PR!$BE442,IF(F444="SKG",PR!$BF442,IF(F444="TAH",PR!$BG442,IF(F444="TAYLEK",PR!$BH442,IF(F444="TEMITA",PR!$BI442,IF(F444="THL",PR!$BJ442,IF(F444="UBASTIC",PR!$BK442,IF(F444="UNION",PR!$BL442,IF(F444="UNIQUE",PR!$BM442,IF(F444="VIXA",PR!$BN442,IF(F444="WWCV",PR!$BO442,IF(F444="ZOLON",PR!$BP442,"-"))))))))))))))))))))))))))))))))))))))))))))))))))))))))))))))))</f>
        <v>80000</v>
      </c>
      <c r="F444" s="102" t="str">
        <f>EV!L561</f>
        <v>ALPHA</v>
      </c>
      <c r="G444" s="108" t="str">
        <f>IF(H444="ALPHA",PR!$E442,IF(H444="ASSENE",PR!$F442,IF(H444="BIOFEM",PR!$G442,IF(H444="BIOMED",PR!$H442,IF(H444="CHI",PR!$I442,IF(H444="CLARION",PR!$J442,IF(H444="CODIX",PR!$K442,IF(H444="COSMADE",PR!$L442,IF(H444="SANCON",PR!$M442,IF(H444="DEVON",PR!$N442,IF(H444="DORTEMAG",PR!$O442,IF(H444="DGF",PR!$P442,IF(H444="DYNAMIC",PR!$Q442,IF(H444="EMZOR",PR!$R442,IF(H444="EUMATT",PR!$S442,IF(H444="FIDSON",PR!$T442,IF(H444="FCGLOBAL",PR!$U442,IF(H444="GENEITH",PR!$V442,IF(H444="GINOS",PR!$W442,IF(H444="GSK",PR!$X442,IF(H444="GLOBORG",PR!$Y442,IF(H444="GOODNEWS",PR!$Z442,IF(H444="GREENLIFE",PR!$AA442,IF(H444="HLINE",PR!$AB442,IF(H444="ROTECH",PR!$AC442,IF(H444="ISN",PR!$AD442,IF(H444="JAWA",PR!$AE442,IF(H444="LAYO",PR!$AF442,IF(H444="LEADWAY",PR!$AG442,IF(H444="LHV",PR!$AH442,IF(H444="MANOLA",PR!$AI442,IF(H444="MARCSON",PR!$AJ442,IF(H444="M&amp;B",PR!$AK442,IF(H444="MTRUST",PR!$AL442,IF(H444="MWORLD",PR!$AM442,IF(H444="MEGA",PR!$AN442,IF(H444="MICRONOVA",PR!$AO442,IF(H444="MFLASH",PR!$AP442,IF(H444="MORISON",PR!$AQ442,IF(H444="NEMEL",PR!$AR442,IF(H444="NHP",PR!$AS442,IF(H444="NHC",PR!$AT442,IF(H444="OLEAF",PR!$AU442,IF(H444="OCULUS",PR!$AV442,IF(H444="PACIFIC",PR!$AW442,IF(H444="PHAMATEX",PR!$AX442,IF(H444="PETHICS",PR!$AY442,IF(H444="PHILIPS",PR!$AZ442,IF(H444="RANBAXY",PR!$BA442,IF(H444="REALS",PR!$BB442,IF(H444="ROYAL",PR!$BC442,IF(H444="SAM",PR!$BD442,IF(H444="SEAGREEN",PR!$BE442,IF(H444="SKG",PR!$BF442,IF(H444="TAH",PR!$BG442,IF(H444="TAYLEK",PR!$BH442,IF(H444="TEMITA",PR!$BI442,IF(H444="THL",PR!$BJ442,IF(H444="UBASTIC",PR!$BK442,IF(H444="UNION",PR!$BL442,IF(H444="UNIQUE",PR!$BM442,IF(H444="VIXA",PR!$BN442,IF(H444="WWCV",PR!$BO442,IF(H444="ZOLON",PR!$BP442,"-"))))))))))))))))))))))))))))))))))))))))))))))))))))))))))))))))</f>
        <v>-</v>
      </c>
      <c r="H444" s="102">
        <f>EV!M561</f>
        <v>0</v>
      </c>
      <c r="I444" s="108" t="str">
        <f>IF(J444="ALPHA",PR!$E442,IF(J444="ASSENE",PR!$F442,IF(J444="BIOFEM",PR!$G442,IF(J444="BIOMED",PR!$H442,IF(J444="CHI",PR!$I442,IF(J444="CLARION",PR!$J442,IF(J444="CODIX",PR!$K442,IF(J444="COSMADE",PR!$L442,IF(J444="SANCON",PR!$M442,IF(J444="DEVON",PR!$N442,IF(J444="DORTEMAG",PR!$O442,IF(J444="DGF",PR!$P442,IF(J444="DYNAMIC",PR!$Q442,IF(J444="EMZOR",PR!$R442,IF(J444="EUMATT",PR!$S442,IF(J444="FIDSON",PR!$T442,IF(J444="FCGLOBAL",PR!$U442,IF(J444="GENEITH",PR!$V442,IF(J444="GINOS",PR!$W442,IF(J444="GSK",PR!$X442,IF(J444="GLOBORG",PR!$Y442,IF(J444="GOODNEWS",PR!$Z442,IF(J444="GREENLIFE",PR!$AA442,IF(J444="HLINE",PR!$AB442,IF(J444="ROTECH",PR!$AC442,IF(J444="ISN",PR!$AD442,IF(J444="JAWA",PR!$AE442,IF(J444="LAYO",PR!$AF442,IF(J444="LEADWAY",PR!$AG442,IF(J444="LHV",PR!$AH442,IF(J444="MANOLA",PR!$AI442,IF(J444="MARCSON",PR!$AJ442,IF(J444="M&amp;B",PR!$AK442,IF(J444="MTRUST",PR!$AL442,IF(J444="MWORLD",PR!$AM442,IF(J444="MEGA",PR!$AN442,IF(J444="MICRONOVA",PR!$AO442,IF(J444="MFLASH",PR!$AP442,IF(J444="MORISON",PR!$AQ442,IF(J444="NEMEL",PR!$AR442,IF(J444="NHP",PR!$AS442,IF(J444="NHC",PR!$AT442,IF(J444="OLEAF",PR!$AU442,IF(J444="OCULUS",PR!$AV442,IF(J444="PACIFIC",PR!$AW442,IF(J444="PHAMATEX",PR!$AX442,IF(J444="PETHICS",PR!$AY442,IF(J444="PHILIPS",PR!$AZ442,IF(J444="RANBAXY",PR!$BA442,IF(J444="REALS",PR!$BB442,IF(J444="ROYAL",PR!$BC442,IF(J444="SAM",PR!$BD442,IF(J444="SEAGREEN",PR!$BE442,IF(J444="SKG",PR!$BF442,IF(J444="TAH",PR!$BG442,IF(J444="TAYLEK",PR!$BH442,IF(J444="TEMITA",PR!$BI442,IF(J444="THL",PR!$BJ442,IF(J444="UBASTIC",PR!$BK442,IF(J444="UNION",PR!$BL442,IF(J444="UNIQUE",PR!$BM442,IF(J444="VIXA",PR!$BN442,IF(J444="WWCV",PR!$BO442,IF(J444="ZOLON",PR!$BP442,"-"))))))))))))))))))))))))))))))))))))))))))))))))))))))))))))))))</f>
        <v>-</v>
      </c>
      <c r="J444" s="102">
        <f>EV!N561</f>
        <v>0</v>
      </c>
      <c r="K444" s="433" t="s">
        <v>634</v>
      </c>
      <c r="L444" s="183">
        <f>IF(K444&gt;0,IF(K444="ALPHA",PR!$E442,IF(K444="ASSENE",PR!$F442,IF(K444="BIOFEM",PR!$G442,IF(K444="BIOMED",PR!$H442,IF(K444="CHI",PR!$I442,IF(K444="CLARION",PR!$J442,IF(K444="CODIX",PR!$K442,IF(K444="COSMADE",PR!$L442,IF(K444="SANCON",PR!$M442,IF(K444="DEVON",PR!$N442,IF(K444="DORTEMAG",PR!$O442,IF(K444="DGF",PR!$P442,IF(K444="DYNAMIC",PR!$Q442,IF(K444="EMZOR",PR!$R442,IF(K444="EUMATT",PR!$S442,IF(K444="FIDSON",PR!$T442,IF(K444="FCGLOBAL",PR!$U442,IF(K444="GENEITH",PR!$V442,IF(K444="GINOS",PR!$W442,IF(K444="GSK",PR!$X442,IF(K444="GLOBORG",PR!$Y442,IF(K444="GOODNEWS",PR!$Z442,IF(K444="GREENLIFE",PR!$AA442,IF(K444="HLINE",PR!$AB442,IF(K444="ROTECH",PR!$AC442,IF(K444="ISN",PR!$AD442,IF(K444="JAWA",PR!$AE442,IF(K444="LAYO",PR!$AF442,IF(K444="LEADWAY",PR!$AG442,IF(K444="LHV",PR!$AH442,IF(K444="MANOLA",PR!$AI442,IF(K444="MARCSON",PR!$AJ442,IF(K444="M&amp;B",PR!$AK442,IF(K444="MTRUST",PR!$AL442,IF(K444="MWORLD",PR!$AM442,IF(K444="MEGA",PR!$AN442,IF(K444="MICRONOVA",PR!$AO442,IF(K444="MFLASH",PR!$AP442,IF(K444="MORISON",PR!$AQ442,IF(K444="NEMEL",PR!$AR442,IF(K444="NHP",PR!$AS442,IF(K444="NHC",PR!$AT442,IF(K444="OLEAF",PR!$AU442,IF(K444="OCULUS",PR!$AV442,IF(K444="PACIFIC",PR!$AW442,IF(K444="PHAMATEX",PR!$AX442,IF(K444="PETHICS",PR!$AY442,IF(K444="PHILIPS",PR!$AZ442,IF(K444="RANBAXY",PR!$BA442,IF(K444="REALS",PR!$BB442,IF(K444="ROYAL",PR!$BC442,IF(K444="SAM",PR!$BD442,IF(K444="SEAGREEN",PR!$BE442,IF(K444="SKG",PR!$BF442,IF(K444="TAH",PR!$BG442,IF(K444="TAYLEK",PR!$BH442,IF(K444="TEMITA",PR!$BI442,IF(K444="THL",PR!$BJ442,IF(K444="UBASTIC",PR!$BK442,IF(K444="UNION",PR!$BL442,IF(K444="UNIQUE",PR!$BM442,IF(K444="VIXA",PR!$BN442,IF(K444="WWCV",PR!$BO442,IF(K444="ZOLON",PR!$BP442,"-")))))))))))))))))))))))))))))))))))))))))))))))))))))))))))))))))</f>
        <v>80000</v>
      </c>
    </row>
    <row r="445" spans="1:12" ht="18.75" x14ac:dyDescent="0.3">
      <c r="A445" s="430">
        <f>PR!A443</f>
        <v>402</v>
      </c>
      <c r="B445" s="15" t="str">
        <f>PR!B443</f>
        <v>HALOTHANE</v>
      </c>
      <c r="C445" s="113" t="str">
        <f>PR!D443</f>
        <v>250ML</v>
      </c>
      <c r="D445" s="113">
        <f>PR!C443</f>
        <v>12</v>
      </c>
      <c r="E445" s="108">
        <f>IF(F445="ALPHA",PR!$E443,IF(F445="ASSENE",PR!$F443,IF(F445="BIOFEM",PR!$G443,IF(F445="BIOMED",PR!$H443,IF(F445="CHI",PR!$I443,IF(F445="CLARION",PR!$J443,IF(F445="CODIX",PR!$K443,IF(F445="COSMADE",PR!$L443,IF(F445="SANCON",PR!$M443,IF(F445="DEVON",PR!$N443,IF(F445="DORTEMAG",PR!$O443,IF(F445="DGF",PR!$P443,IF(F445="DYNAMIC",PR!$Q443,IF(F445="EMZOR",PR!$R443,IF(F445="EUMATT",PR!$S443,IF(F445="FIDSON",PR!$T443,IF(F445="FCGLOBAL",PR!$U443,IF(F445="GENEITH",PR!$V443,IF(F445="GINOS",PR!$W443,IF(F445="GSK",PR!$X443,IF(F445="GLOBORG",PR!$Y443,IF(F445="GOODNEWS",PR!$Z443,IF(F445="GREENLIFE",PR!$AA443,IF(F445="HLINE",PR!$AB443,IF(F445="ROTECH",PR!$AC443,IF(F445="ISN",PR!$AD443,IF(F445="JAWA",PR!$AE443,IF(F445="LAYO",PR!$AF443,IF(F445="LEADWAY",PR!$AG443,IF(F445="LHV",PR!$AH443,IF(F445="MANOLA",PR!$AI443,IF(F445="MARCSON",PR!$AJ443,IF(F445="M&amp;B",PR!$AK443,IF(F445="MTRUST",PR!$AL443,IF(F445="MWORLD",PR!$AM443,IF(F445="MEGA",PR!$AN443,IF(F445="MICRONOVA",PR!$AO443,IF(F445="MFLASH",PR!$AP443,IF(F445="MORISON",PR!$AQ443,IF(F445="NEMEL",PR!$AR443,IF(F445="NHP",PR!$AS443,IF(F445="NHC",PR!$AT443,IF(F445="OLEAF",PR!$AU443,IF(F445="OCULUS",PR!$AV443,IF(F445="PACIFIC",PR!$AW443,IF(F445="PHAMATEX",PR!$AX443,IF(F445="PETHICS",PR!$AY443,IF(F445="PHILIPS",PR!$AZ443,IF(F445="RANBAXY",PR!$BA443,IF(F445="REALS",PR!$BB443,IF(F445="ROYAL",PR!$BC443,IF(F445="SAM",PR!$BD443,IF(F445="SEAGREEN",PR!$BE443,IF(F445="SKG",PR!$BF443,IF(F445="TAH",PR!$BG443,IF(F445="TAYLEK",PR!$BH443,IF(F445="TEMITA",PR!$BI443,IF(F445="THL",PR!$BJ443,IF(F445="UBASTIC",PR!$BK443,IF(F445="UNION",PR!$BL443,IF(F445="UNIQUE",PR!$BM443,IF(F445="VIXA",PR!$BN443,IF(F445="WWCV",PR!$BO443,IF(F445="ZOLON",PR!$BP443,"-"))))))))))))))))))))))))))))))))))))))))))))))))))))))))))))))))</f>
        <v>16500</v>
      </c>
      <c r="F445" s="102" t="str">
        <f>EV!L562</f>
        <v>ALPHA</v>
      </c>
      <c r="G445" s="108" t="str">
        <f>IF(H445="ALPHA",PR!$E443,IF(H445="ASSENE",PR!$F443,IF(H445="BIOFEM",PR!$G443,IF(H445="BIOMED",PR!$H443,IF(H445="CHI",PR!$I443,IF(H445="CLARION",PR!$J443,IF(H445="CODIX",PR!$K443,IF(H445="COSMADE",PR!$L443,IF(H445="SANCON",PR!$M443,IF(H445="DEVON",PR!$N443,IF(H445="DORTEMAG",PR!$O443,IF(H445="DGF",PR!$P443,IF(H445="DYNAMIC",PR!$Q443,IF(H445="EMZOR",PR!$R443,IF(H445="EUMATT",PR!$S443,IF(H445="FIDSON",PR!$T443,IF(H445="FCGLOBAL",PR!$U443,IF(H445="GENEITH",PR!$V443,IF(H445="GINOS",PR!$W443,IF(H445="GSK",PR!$X443,IF(H445="GLOBORG",PR!$Y443,IF(H445="GOODNEWS",PR!$Z443,IF(H445="GREENLIFE",PR!$AA443,IF(H445="HLINE",PR!$AB443,IF(H445="ROTECH",PR!$AC443,IF(H445="ISN",PR!$AD443,IF(H445="JAWA",PR!$AE443,IF(H445="LAYO",PR!$AF443,IF(H445="LEADWAY",PR!$AG443,IF(H445="LHV",PR!$AH443,IF(H445="MANOLA",PR!$AI443,IF(H445="MARCSON",PR!$AJ443,IF(H445="M&amp;B",PR!$AK443,IF(H445="MTRUST",PR!$AL443,IF(H445="MWORLD",PR!$AM443,IF(H445="MEGA",PR!$AN443,IF(H445="MICRONOVA",PR!$AO443,IF(H445="MFLASH",PR!$AP443,IF(H445="MORISON",PR!$AQ443,IF(H445="NEMEL",PR!$AR443,IF(H445="NHP",PR!$AS443,IF(H445="NHC",PR!$AT443,IF(H445="OLEAF",PR!$AU443,IF(H445="OCULUS",PR!$AV443,IF(H445="PACIFIC",PR!$AW443,IF(H445="PHAMATEX",PR!$AX443,IF(H445="PETHICS",PR!$AY443,IF(H445="PHILIPS",PR!$AZ443,IF(H445="RANBAXY",PR!$BA443,IF(H445="REALS",PR!$BB443,IF(H445="ROYAL",PR!$BC443,IF(H445="SAM",PR!$BD443,IF(H445="SEAGREEN",PR!$BE443,IF(H445="SKG",PR!$BF443,IF(H445="TAH",PR!$BG443,IF(H445="TAYLEK",PR!$BH443,IF(H445="TEMITA",PR!$BI443,IF(H445="THL",PR!$BJ443,IF(H445="UBASTIC",PR!$BK443,IF(H445="UNION",PR!$BL443,IF(H445="UNIQUE",PR!$BM443,IF(H445="VIXA",PR!$BN443,IF(H445="WWCV",PR!$BO443,IF(H445="ZOLON",PR!$BP443,"-"))))))))))))))))))))))))))))))))))))))))))))))))))))))))))))))))</f>
        <v>-</v>
      </c>
      <c r="H445" s="102" t="str">
        <f>EV!M562</f>
        <v xml:space="preserve"> EUMATT</v>
      </c>
      <c r="I445" s="108" t="str">
        <f>IF(J445="ALPHA",PR!$E443,IF(J445="ASSENE",PR!$F443,IF(J445="BIOFEM",PR!$G443,IF(J445="BIOMED",PR!$H443,IF(J445="CHI",PR!$I443,IF(J445="CLARION",PR!$J443,IF(J445="CODIX",PR!$K443,IF(J445="COSMADE",PR!$L443,IF(J445="SANCON",PR!$M443,IF(J445="DEVON",PR!$N443,IF(J445="DORTEMAG",PR!$O443,IF(J445="DGF",PR!$P443,IF(J445="DYNAMIC",PR!$Q443,IF(J445="EMZOR",PR!$R443,IF(J445="EUMATT",PR!$S443,IF(J445="FIDSON",PR!$T443,IF(J445="FCGLOBAL",PR!$U443,IF(J445="GENEITH",PR!$V443,IF(J445="GINOS",PR!$W443,IF(J445="GSK",PR!$X443,IF(J445="GLOBORG",PR!$Y443,IF(J445="GOODNEWS",PR!$Z443,IF(J445="GREENLIFE",PR!$AA443,IF(J445="HLINE",PR!$AB443,IF(J445="ROTECH",PR!$AC443,IF(J445="ISN",PR!$AD443,IF(J445="JAWA",PR!$AE443,IF(J445="LAYO",PR!$AF443,IF(J445="LEADWAY",PR!$AG443,IF(J445="LHV",PR!$AH443,IF(J445="MANOLA",PR!$AI443,IF(J445="MARCSON",PR!$AJ443,IF(J445="M&amp;B",PR!$AK443,IF(J445="MTRUST",PR!$AL443,IF(J445="MWORLD",PR!$AM443,IF(J445="MEGA",PR!$AN443,IF(J445="MICRONOVA",PR!$AO443,IF(J445="MFLASH",PR!$AP443,IF(J445="MORISON",PR!$AQ443,IF(J445="NEMEL",PR!$AR443,IF(J445="NHP",PR!$AS443,IF(J445="NHC",PR!$AT443,IF(J445="OLEAF",PR!$AU443,IF(J445="OCULUS",PR!$AV443,IF(J445="PACIFIC",PR!$AW443,IF(J445="PHAMATEX",PR!$AX443,IF(J445="PETHICS",PR!$AY443,IF(J445="PHILIPS",PR!$AZ443,IF(J445="RANBAXY",PR!$BA443,IF(J445="REALS",PR!$BB443,IF(J445="ROYAL",PR!$BC443,IF(J445="SAM",PR!$BD443,IF(J445="SEAGREEN",PR!$BE443,IF(J445="SKG",PR!$BF443,IF(J445="TAH",PR!$BG443,IF(J445="TAYLEK",PR!$BH443,IF(J445="TEMITA",PR!$BI443,IF(J445="THL",PR!$BJ443,IF(J445="UBASTIC",PR!$BK443,IF(J445="UNION",PR!$BL443,IF(J445="UNIQUE",PR!$BM443,IF(J445="VIXA",PR!$BN443,IF(J445="WWCV",PR!$BO443,IF(J445="ZOLON",PR!$BP443,"-"))))))))))))))))))))))))))))))))))))))))))))))))))))))))))))))))</f>
        <v>-</v>
      </c>
      <c r="J445" s="102">
        <f>EV!N562</f>
        <v>0</v>
      </c>
      <c r="K445" s="433" t="s">
        <v>634</v>
      </c>
      <c r="L445" s="183">
        <f>IF(K445&gt;0,IF(K445="ALPHA",PR!$E443,IF(K445="ASSENE",PR!$F443,IF(K445="BIOFEM",PR!$G443,IF(K445="BIOMED",PR!$H443,IF(K445="CHI",PR!$I443,IF(K445="CLARION",PR!$J443,IF(K445="CODIX",PR!$K443,IF(K445="COSMADE",PR!$L443,IF(K445="SANCON",PR!$M443,IF(K445="DEVON",PR!$N443,IF(K445="DORTEMAG",PR!$O443,IF(K445="DGF",PR!$P443,IF(K445="DYNAMIC",PR!$Q443,IF(K445="EMZOR",PR!$R443,IF(K445="EUMATT",PR!$S443,IF(K445="FIDSON",PR!$T443,IF(K445="FCGLOBAL",PR!$U443,IF(K445="GENEITH",PR!$V443,IF(K445="GINOS",PR!$W443,IF(K445="GSK",PR!$X443,IF(K445="GLOBORG",PR!$Y443,IF(K445="GOODNEWS",PR!$Z443,IF(K445="GREENLIFE",PR!$AA443,IF(K445="HLINE",PR!$AB443,IF(K445="ROTECH",PR!$AC443,IF(K445="ISN",PR!$AD443,IF(K445="JAWA",PR!$AE443,IF(K445="LAYO",PR!$AF443,IF(K445="LEADWAY",PR!$AG443,IF(K445="LHV",PR!$AH443,IF(K445="MANOLA",PR!$AI443,IF(K445="MARCSON",PR!$AJ443,IF(K445="M&amp;B",PR!$AK443,IF(K445="MTRUST",PR!$AL443,IF(K445="MWORLD",PR!$AM443,IF(K445="MEGA",PR!$AN443,IF(K445="MICRONOVA",PR!$AO443,IF(K445="MFLASH",PR!$AP443,IF(K445="MORISON",PR!$AQ443,IF(K445="NEMEL",PR!$AR443,IF(K445="NHP",PR!$AS443,IF(K445="NHC",PR!$AT443,IF(K445="OLEAF",PR!$AU443,IF(K445="OCULUS",PR!$AV443,IF(K445="PACIFIC",PR!$AW443,IF(K445="PHAMATEX",PR!$AX443,IF(K445="PETHICS",PR!$AY443,IF(K445="PHILIPS",PR!$AZ443,IF(K445="RANBAXY",PR!$BA443,IF(K445="REALS",PR!$BB443,IF(K445="ROYAL",PR!$BC443,IF(K445="SAM",PR!$BD443,IF(K445="SEAGREEN",PR!$BE443,IF(K445="SKG",PR!$BF443,IF(K445="TAH",PR!$BG443,IF(K445="TAYLEK",PR!$BH443,IF(K445="TEMITA",PR!$BI443,IF(K445="THL",PR!$BJ443,IF(K445="UBASTIC",PR!$BK443,IF(K445="UNION",PR!$BL443,IF(K445="UNIQUE",PR!$BM443,IF(K445="VIXA",PR!$BN443,IF(K445="WWCV",PR!$BO443,IF(K445="ZOLON",PR!$BP443,"-")))))))))))))))))))))))))))))))))))))))))))))))))))))))))))))))))</f>
        <v>16500</v>
      </c>
    </row>
    <row r="446" spans="1:12" ht="18.75" x14ac:dyDescent="0.3">
      <c r="A446" s="430">
        <f>PR!A444</f>
        <v>403</v>
      </c>
      <c r="B446" s="15" t="str">
        <f>PR!B444</f>
        <v>HEAVY MARCAINE INJ</v>
      </c>
      <c r="C446" s="113">
        <f>PR!D444</f>
        <v>10</v>
      </c>
      <c r="D446" s="113">
        <f>PR!C444</f>
        <v>108</v>
      </c>
      <c r="E446" s="108">
        <f>IF(F446="ALPHA",PR!$E444,IF(F446="ASSENE",PR!$F444,IF(F446="BIOFEM",PR!$G444,IF(F446="BIOMED",PR!$H444,IF(F446="CHI",PR!$I444,IF(F446="CLARION",PR!$J444,IF(F446="CODIX",PR!$K444,IF(F446="COSMADE",PR!$L444,IF(F446="SANCON",PR!$M444,IF(F446="DEVON",PR!$N444,IF(F446="DORTEMAG",PR!$O444,IF(F446="DGF",PR!$P444,IF(F446="DYNAMIC",PR!$Q444,IF(F446="EMZOR",PR!$R444,IF(F446="EUMATT",PR!$S444,IF(F446="FIDSON",PR!$T444,IF(F446="FCGLOBAL",PR!$U444,IF(F446="GENEITH",PR!$V444,IF(F446="GINOS",PR!$W444,IF(F446="GSK",PR!$X444,IF(F446="GLOBORG",PR!$Y444,IF(F446="GOODNEWS",PR!$Z444,IF(F446="GREENLIFE",PR!$AA444,IF(F446="HLINE",PR!$AB444,IF(F446="ROTECH",PR!$AC444,IF(F446="ISN",PR!$AD444,IF(F446="JAWA",PR!$AE444,IF(F446="LAYO",PR!$AF444,IF(F446="LEADWAY",PR!$AG444,IF(F446="LHV",PR!$AH444,IF(F446="MANOLA",PR!$AI444,IF(F446="MARCSON",PR!$AJ444,IF(F446="M&amp;B",PR!$AK444,IF(F446="MTRUST",PR!$AL444,IF(F446="MWORLD",PR!$AM444,IF(F446="MEGA",PR!$AN444,IF(F446="MICRONOVA",PR!$AO444,IF(F446="MFLASH",PR!$AP444,IF(F446="MORISON",PR!$AQ444,IF(F446="NEMEL",PR!$AR444,IF(F446="NHP",PR!$AS444,IF(F446="NHC",PR!$AT444,IF(F446="OLEAF",PR!$AU444,IF(F446="OCULUS",PR!$AV444,IF(F446="PACIFIC",PR!$AW444,IF(F446="PHAMATEX",PR!$AX444,IF(F446="PETHICS",PR!$AY444,IF(F446="PHILIPS",PR!$AZ444,IF(F446="RANBAXY",PR!$BA444,IF(F446="REALS",PR!$BB444,IF(F446="ROYAL",PR!$BC444,IF(F446="SAM",PR!$BD444,IF(F446="SEAGREEN",PR!$BE444,IF(F446="SKG",PR!$BF444,IF(F446="TAH",PR!$BG444,IF(F446="TAYLEK",PR!$BH444,IF(F446="TEMITA",PR!$BI444,IF(F446="THL",PR!$BJ444,IF(F446="UBASTIC",PR!$BK444,IF(F446="UNION",PR!$BL444,IF(F446="UNIQUE",PR!$BM444,IF(F446="VIXA",PR!$BN444,IF(F446="WWCV",PR!$BO444,IF(F446="ZOLON",PR!$BP444,"-"))))))))))))))))))))))))))))))))))))))))))))))))))))))))))))))))</f>
        <v>3000</v>
      </c>
      <c r="F446" s="102" t="str">
        <f>EV!L563</f>
        <v>TAH</v>
      </c>
      <c r="G446" s="108">
        <f>IF(H446="ALPHA",PR!$E444,IF(H446="ASSENE",PR!$F444,IF(H446="BIOFEM",PR!$G444,IF(H446="BIOMED",PR!$H444,IF(H446="CHI",PR!$I444,IF(H446="CLARION",PR!$J444,IF(H446="CODIX",PR!$K444,IF(H446="COSMADE",PR!$L444,IF(H446="SANCON",PR!$M444,IF(H446="DEVON",PR!$N444,IF(H446="DORTEMAG",PR!$O444,IF(H446="DGF",PR!$P444,IF(H446="DYNAMIC",PR!$Q444,IF(H446="EMZOR",PR!$R444,IF(H446="EUMATT",PR!$S444,IF(H446="FIDSON",PR!$T444,IF(H446="FCGLOBAL",PR!$U444,IF(H446="GENEITH",PR!$V444,IF(H446="GINOS",PR!$W444,IF(H446="GSK",PR!$X444,IF(H446="GLOBORG",PR!$Y444,IF(H446="GOODNEWS",PR!$Z444,IF(H446="GREENLIFE",PR!$AA444,IF(H446="HLINE",PR!$AB444,IF(H446="ROTECH",PR!$AC444,IF(H446="ISN",PR!$AD444,IF(H446="JAWA",PR!$AE444,IF(H446="LAYO",PR!$AF444,IF(H446="LEADWAY",PR!$AG444,IF(H446="LHV",PR!$AH444,IF(H446="MANOLA",PR!$AI444,IF(H446="MARCSON",PR!$AJ444,IF(H446="M&amp;B",PR!$AK444,IF(H446="MTRUST",PR!$AL444,IF(H446="MWORLD",PR!$AM444,IF(H446="MEGA",PR!$AN444,IF(H446="MICRONOVA",PR!$AO444,IF(H446="MFLASH",PR!$AP444,IF(H446="MORISON",PR!$AQ444,IF(H446="NEMEL",PR!$AR444,IF(H446="NHP",PR!$AS444,IF(H446="NHC",PR!$AT444,IF(H446="OLEAF",PR!$AU444,IF(H446="OCULUS",PR!$AV444,IF(H446="PACIFIC",PR!$AW444,IF(H446="PHAMATEX",PR!$AX444,IF(H446="PETHICS",PR!$AY444,IF(H446="PHILIPS",PR!$AZ444,IF(H446="RANBAXY",PR!$BA444,IF(H446="REALS",PR!$BB444,IF(H446="ROYAL",PR!$BC444,IF(H446="SAM",PR!$BD444,IF(H446="SEAGREEN",PR!$BE444,IF(H446="SKG",PR!$BF444,IF(H446="TAH",PR!$BG444,IF(H446="TAYLEK",PR!$BH444,IF(H446="TEMITA",PR!$BI444,IF(H446="THL",PR!$BJ444,IF(H446="UBASTIC",PR!$BK444,IF(H446="UNION",PR!$BL444,IF(H446="UNIQUE",PR!$BM444,IF(H446="VIXA",PR!$BN444,IF(H446="WWCV",PR!$BO444,IF(H446="ZOLON",PR!$BP444,"-"))))))))))))))))))))))))))))))))))))))))))))))))))))))))))))))))</f>
        <v>10000</v>
      </c>
      <c r="H446" s="102" t="str">
        <f>EV!M563</f>
        <v>ALPHA</v>
      </c>
      <c r="I446" s="108" t="str">
        <f>IF(J446="ALPHA",PR!$E444,IF(J446="ASSENE",PR!$F444,IF(J446="BIOFEM",PR!$G444,IF(J446="BIOMED",PR!$H444,IF(J446="CHI",PR!$I444,IF(J446="CLARION",PR!$J444,IF(J446="CODIX",PR!$K444,IF(J446="COSMADE",PR!$L444,IF(J446="SANCON",PR!$M444,IF(J446="DEVON",PR!$N444,IF(J446="DORTEMAG",PR!$O444,IF(J446="DGF",PR!$P444,IF(J446="DYNAMIC",PR!$Q444,IF(J446="EMZOR",PR!$R444,IF(J446="EUMATT",PR!$S444,IF(J446="FIDSON",PR!$T444,IF(J446="FCGLOBAL",PR!$U444,IF(J446="GENEITH",PR!$V444,IF(J446="GINOS",PR!$W444,IF(J446="GSK",PR!$X444,IF(J446="GLOBORG",PR!$Y444,IF(J446="GOODNEWS",PR!$Z444,IF(J446="GREENLIFE",PR!$AA444,IF(J446="HLINE",PR!$AB444,IF(J446="ROTECH",PR!$AC444,IF(J446="ISN",PR!$AD444,IF(J446="JAWA",PR!$AE444,IF(J446="LAYO",PR!$AF444,IF(J446="LEADWAY",PR!$AG444,IF(J446="LHV",PR!$AH444,IF(J446="MANOLA",PR!$AI444,IF(J446="MARCSON",PR!$AJ444,IF(J446="M&amp;B",PR!$AK444,IF(J446="MTRUST",PR!$AL444,IF(J446="MWORLD",PR!$AM444,IF(J446="MEGA",PR!$AN444,IF(J446="MICRONOVA",PR!$AO444,IF(J446="MFLASH",PR!$AP444,IF(J446="MORISON",PR!$AQ444,IF(J446="NEMEL",PR!$AR444,IF(J446="NHP",PR!$AS444,IF(J446="NHC",PR!$AT444,IF(J446="OLEAF",PR!$AU444,IF(J446="OCULUS",PR!$AV444,IF(J446="PACIFIC",PR!$AW444,IF(J446="PHAMATEX",PR!$AX444,IF(J446="PETHICS",PR!$AY444,IF(J446="PHILIPS",PR!$AZ444,IF(J446="RANBAXY",PR!$BA444,IF(J446="REALS",PR!$BB444,IF(J446="ROYAL",PR!$BC444,IF(J446="SAM",PR!$BD444,IF(J446="SEAGREEN",PR!$BE444,IF(J446="SKG",PR!$BF444,IF(J446="TAH",PR!$BG444,IF(J446="TAYLEK",PR!$BH444,IF(J446="TEMITA",PR!$BI444,IF(J446="THL",PR!$BJ444,IF(J446="UBASTIC",PR!$BK444,IF(J446="UNION",PR!$BL444,IF(J446="UNIQUE",PR!$BM444,IF(J446="VIXA",PR!$BN444,IF(J446="WWCV",PR!$BO444,IF(J446="ZOLON",PR!$BP444,"-"))))))))))))))))))))))))))))))))))))))))))))))))))))))))))))))))</f>
        <v>-</v>
      </c>
      <c r="J446" s="102">
        <f>EV!N563</f>
        <v>0</v>
      </c>
      <c r="K446" s="433" t="s">
        <v>2142</v>
      </c>
      <c r="L446" s="183" t="str">
        <f>IF(K446&gt;0,IF(K446="ALPHA",PR!$E444,IF(K446="ASSENE",PR!$F444,IF(K446="BIOFEM",PR!$G444,IF(K446="BIOMED",PR!$H444,IF(K446="CHI",PR!$I444,IF(K446="CLARION",PR!$J444,IF(K446="CODIX",PR!$K444,IF(K446="COSMADE",PR!$L444,IF(K446="SANCON",PR!$M444,IF(K446="DEVON",PR!$N444,IF(K446="DORTEMAG",PR!$O444,IF(K446="DGF",PR!$P444,IF(K446="DYNAMIC",PR!$Q444,IF(K446="EMZOR",PR!$R444,IF(K446="EUMATT",PR!$S444,IF(K446="FIDSON",PR!$T444,IF(K446="FCGLOBAL",PR!$U444,IF(K446="GENEITH",PR!$V444,IF(K446="GINOS",PR!$W444,IF(K446="GSK",PR!$X444,IF(K446="GLOBORG",PR!$Y444,IF(K446="GOODNEWS",PR!$Z444,IF(K446="GREENLIFE",PR!$AA444,IF(K446="HLINE",PR!$AB444,IF(K446="ROTECH",PR!$AC444,IF(K446="ISN",PR!$AD444,IF(K446="JAWA",PR!$AE444,IF(K446="LAYO",PR!$AF444,IF(K446="LEADWAY",PR!$AG444,IF(K446="LHV",PR!$AH444,IF(K446="MANOLA",PR!$AI444,IF(K446="MARCSON",PR!$AJ444,IF(K446="M&amp;B",PR!$AK444,IF(K446="MTRUST",PR!$AL444,IF(K446="MWORLD",PR!$AM444,IF(K446="MEGA",PR!$AN444,IF(K446="MICRONOVA",PR!$AO444,IF(K446="MFLASH",PR!$AP444,IF(K446="MORISON",PR!$AQ444,IF(K446="NEMEL",PR!$AR444,IF(K446="NHP",PR!$AS444,IF(K446="NHC",PR!$AT444,IF(K446="OLEAF",PR!$AU444,IF(K446="OCULUS",PR!$AV444,IF(K446="PACIFIC",PR!$AW444,IF(K446="PHAMATEX",PR!$AX444,IF(K446="PETHICS",PR!$AY444,IF(K446="PHILIPS",PR!$AZ444,IF(K446="RANBAXY",PR!$BA444,IF(K446="REALS",PR!$BB444,IF(K446="ROYAL",PR!$BC444,IF(K446="SAM",PR!$BD444,IF(K446="SEAGREEN",PR!$BE444,IF(K446="SKG",PR!$BF444,IF(K446="TAH",PR!$BG444,IF(K446="TAYLEK",PR!$BH444,IF(K446="TEMITA",PR!$BI444,IF(K446="THL",PR!$BJ444,IF(K446="UBASTIC",PR!$BK444,IF(K446="UNION",PR!$BL444,IF(K446="UNIQUE",PR!$BM444,IF(K446="VIXA",PR!$BN444,IF(K446="WWCV",PR!$BO444,IF(K446="ZOLON",PR!$BP444,"-")))))))))))))))))))))))))))))))))))))))))))))))))))))))))))))))))</f>
        <v>-</v>
      </c>
    </row>
    <row r="447" spans="1:12" ht="18.75" x14ac:dyDescent="0.3">
      <c r="A447" s="430">
        <f>PR!A445</f>
        <v>404</v>
      </c>
      <c r="B447" s="15" t="str">
        <f>PR!B445</f>
        <v>ISOFLUORANE</v>
      </c>
      <c r="C447" s="113" t="str">
        <f>PR!D445</f>
        <v>250ML</v>
      </c>
      <c r="D447" s="113">
        <f>PR!C445</f>
        <v>120</v>
      </c>
      <c r="E447" s="108">
        <f>IF(F447="ALPHA",PR!$E445,IF(F447="ASSENE",PR!$F445,IF(F447="BIOFEM",PR!$G445,IF(F447="BIOMED",PR!$H445,IF(F447="CHI",PR!$I445,IF(F447="CLARION",PR!$J445,IF(F447="CODIX",PR!$K445,IF(F447="COSMADE",PR!$L445,IF(F447="SANCON",PR!$M445,IF(F447="DEVON",PR!$N445,IF(F447="DORTEMAG",PR!$O445,IF(F447="DGF",PR!$P445,IF(F447="DYNAMIC",PR!$Q445,IF(F447="EMZOR",PR!$R445,IF(F447="EUMATT",PR!$S445,IF(F447="FIDSON",PR!$T445,IF(F447="FCGLOBAL",PR!$U445,IF(F447="GENEITH",PR!$V445,IF(F447="GINOS",PR!$W445,IF(F447="GSK",PR!$X445,IF(F447="GLOBORG",PR!$Y445,IF(F447="GOODNEWS",PR!$Z445,IF(F447="GREENLIFE",PR!$AA445,IF(F447="HLINE",PR!$AB445,IF(F447="ROTECH",PR!$AC445,IF(F447="ISN",PR!$AD445,IF(F447="JAWA",PR!$AE445,IF(F447="LAYO",PR!$AF445,IF(F447="LEADWAY",PR!$AG445,IF(F447="LHV",PR!$AH445,IF(F447="MANOLA",PR!$AI445,IF(F447="MARCSON",PR!$AJ445,IF(F447="M&amp;B",PR!$AK445,IF(F447="MTRUST",PR!$AL445,IF(F447="MWORLD",PR!$AM445,IF(F447="MEGA",PR!$AN445,IF(F447="MICRONOVA",PR!$AO445,IF(F447="MFLASH",PR!$AP445,IF(F447="MORISON",PR!$AQ445,IF(F447="NEMEL",PR!$AR445,IF(F447="NHP",PR!$AS445,IF(F447="NHC",PR!$AT445,IF(F447="OLEAF",PR!$AU445,IF(F447="OCULUS",PR!$AV445,IF(F447="PACIFIC",PR!$AW445,IF(F447="PHAMATEX",PR!$AX445,IF(F447="PETHICS",PR!$AY445,IF(F447="PHILIPS",PR!$AZ445,IF(F447="RANBAXY",PR!$BA445,IF(F447="REALS",PR!$BB445,IF(F447="ROYAL",PR!$BC445,IF(F447="SAM",PR!$BD445,IF(F447="SEAGREEN",PR!$BE445,IF(F447="SKG",PR!$BF445,IF(F447="TAH",PR!$BG445,IF(F447="TAYLEK",PR!$BH445,IF(F447="TEMITA",PR!$BI445,IF(F447="THL",PR!$BJ445,IF(F447="UBASTIC",PR!$BK445,IF(F447="UNION",PR!$BL445,IF(F447="UNIQUE",PR!$BM445,IF(F447="VIXA",PR!$BN445,IF(F447="WWCV",PR!$BO445,IF(F447="ZOLON",PR!$BP445,"-"))))))))))))))))))))))))))))))))))))))))))))))))))))))))))))))))</f>
        <v>18000</v>
      </c>
      <c r="F447" s="102" t="str">
        <f>EV!L564</f>
        <v>EUMATT</v>
      </c>
      <c r="G447" s="108" t="str">
        <f>IF(H447="ALPHA",PR!$E445,IF(H447="ASSENE",PR!$F445,IF(H447="BIOFEM",PR!$G445,IF(H447="BIOMED",PR!$H445,IF(H447="CHI",PR!$I445,IF(H447="CLARION",PR!$J445,IF(H447="CODIX",PR!$K445,IF(H447="COSMADE",PR!$L445,IF(H447="SANCON",PR!$M445,IF(H447="DEVON",PR!$N445,IF(H447="DORTEMAG",PR!$O445,IF(H447="DGF",PR!$P445,IF(H447="DYNAMIC",PR!$Q445,IF(H447="EMZOR",PR!$R445,IF(H447="EUMATT",PR!$S445,IF(H447="FIDSON",PR!$T445,IF(H447="FCGLOBAL",PR!$U445,IF(H447="GENEITH",PR!$V445,IF(H447="GINOS",PR!$W445,IF(H447="GSK",PR!$X445,IF(H447="GLOBORG",PR!$Y445,IF(H447="GOODNEWS",PR!$Z445,IF(H447="GREENLIFE",PR!$AA445,IF(H447="HLINE",PR!$AB445,IF(H447="ROTECH",PR!$AC445,IF(H447="ISN",PR!$AD445,IF(H447="JAWA",PR!$AE445,IF(H447="LAYO",PR!$AF445,IF(H447="LEADWAY",PR!$AG445,IF(H447="LHV",PR!$AH445,IF(H447="MANOLA",PR!$AI445,IF(H447="MARCSON",PR!$AJ445,IF(H447="M&amp;B",PR!$AK445,IF(H447="MTRUST",PR!$AL445,IF(H447="MWORLD",PR!$AM445,IF(H447="MEGA",PR!$AN445,IF(H447="MICRONOVA",PR!$AO445,IF(H447="MFLASH",PR!$AP445,IF(H447="MORISON",PR!$AQ445,IF(H447="NEMEL",PR!$AR445,IF(H447="NHP",PR!$AS445,IF(H447="NHC",PR!$AT445,IF(H447="OLEAF",PR!$AU445,IF(H447="OCULUS",PR!$AV445,IF(H447="PACIFIC",PR!$AW445,IF(H447="PHAMATEX",PR!$AX445,IF(H447="PETHICS",PR!$AY445,IF(H447="PHILIPS",PR!$AZ445,IF(H447="RANBAXY",PR!$BA445,IF(H447="REALS",PR!$BB445,IF(H447="ROYAL",PR!$BC445,IF(H447="SAM",PR!$BD445,IF(H447="SEAGREEN",PR!$BE445,IF(H447="SKG",PR!$BF445,IF(H447="TAH",PR!$BG445,IF(H447="TAYLEK",PR!$BH445,IF(H447="TEMITA",PR!$BI445,IF(H447="THL",PR!$BJ445,IF(H447="UBASTIC",PR!$BK445,IF(H447="UNION",PR!$BL445,IF(H447="UNIQUE",PR!$BM445,IF(H447="VIXA",PR!$BN445,IF(H447="WWCV",PR!$BO445,IF(H447="ZOLON",PR!$BP445,"-"))))))))))))))))))))))))))))))))))))))))))))))))))))))))))))))))</f>
        <v>-</v>
      </c>
      <c r="H447" s="102" t="str">
        <f>EV!M564</f>
        <v>PHILLIPS</v>
      </c>
      <c r="I447" s="108">
        <f>IF(J447="ALPHA",PR!$E445,IF(J447="ASSENE",PR!$F445,IF(J447="BIOFEM",PR!$G445,IF(J447="BIOMED",PR!$H445,IF(J447="CHI",PR!$I445,IF(J447="CLARION",PR!$J445,IF(J447="CODIX",PR!$K445,IF(J447="COSMADE",PR!$L445,IF(J447="SANCON",PR!$M445,IF(J447="DEVON",PR!$N445,IF(J447="DORTEMAG",PR!$O445,IF(J447="DGF",PR!$P445,IF(J447="DYNAMIC",PR!$Q445,IF(J447="EMZOR",PR!$R445,IF(J447="EUMATT",PR!$S445,IF(J447="FIDSON",PR!$T445,IF(J447="FCGLOBAL",PR!$U445,IF(J447="GENEITH",PR!$V445,IF(J447="GINOS",PR!$W445,IF(J447="GSK",PR!$X445,IF(J447="GLOBORG",PR!$Y445,IF(J447="GOODNEWS",PR!$Z445,IF(J447="GREENLIFE",PR!$AA445,IF(J447="HLINE",PR!$AB445,IF(J447="ROTECH",PR!$AC445,IF(J447="ISN",PR!$AD445,IF(J447="JAWA",PR!$AE445,IF(J447="LAYO",PR!$AF445,IF(J447="LEADWAY",PR!$AG445,IF(J447="LHV",PR!$AH445,IF(J447="MANOLA",PR!$AI445,IF(J447="MARCSON",PR!$AJ445,IF(J447="M&amp;B",PR!$AK445,IF(J447="MTRUST",PR!$AL445,IF(J447="MWORLD",PR!$AM445,IF(J447="MEGA",PR!$AN445,IF(J447="MICRONOVA",PR!$AO445,IF(J447="MFLASH",PR!$AP445,IF(J447="MORISON",PR!$AQ445,IF(J447="NEMEL",PR!$AR445,IF(J447="NHP",PR!$AS445,IF(J447="NHC",PR!$AT445,IF(J447="OLEAF",PR!$AU445,IF(J447="OCULUS",PR!$AV445,IF(J447="PACIFIC",PR!$AW445,IF(J447="PHAMATEX",PR!$AX445,IF(J447="PETHICS",PR!$AY445,IF(J447="PHILIPS",PR!$AZ445,IF(J447="RANBAXY",PR!$BA445,IF(J447="REALS",PR!$BB445,IF(J447="ROYAL",PR!$BC445,IF(J447="SAM",PR!$BD445,IF(J447="SEAGREEN",PR!$BE445,IF(J447="SKG",PR!$BF445,IF(J447="TAH",PR!$BG445,IF(J447="TAYLEK",PR!$BH445,IF(J447="TEMITA",PR!$BI445,IF(J447="THL",PR!$BJ445,IF(J447="UBASTIC",PR!$BK445,IF(J447="UNION",PR!$BL445,IF(J447="UNIQUE",PR!$BM445,IF(J447="VIXA",PR!$BN445,IF(J447="WWCV",PR!$BO445,IF(J447="ZOLON",PR!$BP445,"-"))))))))))))))))))))))))))))))))))))))))))))))))))))))))))))))))</f>
        <v>19500</v>
      </c>
      <c r="J447" s="102" t="str">
        <f>EV!N564</f>
        <v>ALPHA</v>
      </c>
      <c r="K447" s="433" t="s">
        <v>634</v>
      </c>
      <c r="L447" s="183">
        <f>IF(K447&gt;0,IF(K447="ALPHA",PR!$E445,IF(K447="ASSENE",PR!$F445,IF(K447="BIOFEM",PR!$G445,IF(K447="BIOMED",PR!$H445,IF(K447="CHI",PR!$I445,IF(K447="CLARION",PR!$J445,IF(K447="CODIX",PR!$K445,IF(K447="COSMADE",PR!$L445,IF(K447="SANCON",PR!$M445,IF(K447="DEVON",PR!$N445,IF(K447="DORTEMAG",PR!$O445,IF(K447="DGF",PR!$P445,IF(K447="DYNAMIC",PR!$Q445,IF(K447="EMZOR",PR!$R445,IF(K447="EUMATT",PR!$S445,IF(K447="FIDSON",PR!$T445,IF(K447="FCGLOBAL",PR!$U445,IF(K447="GENEITH",PR!$V445,IF(K447="GINOS",PR!$W445,IF(K447="GSK",PR!$X445,IF(K447="GLOBORG",PR!$Y445,IF(K447="GOODNEWS",PR!$Z445,IF(K447="GREENLIFE",PR!$AA445,IF(K447="HLINE",PR!$AB445,IF(K447="ROTECH",PR!$AC445,IF(K447="ISN",PR!$AD445,IF(K447="JAWA",PR!$AE445,IF(K447="LAYO",PR!$AF445,IF(K447="LEADWAY",PR!$AG445,IF(K447="LHV",PR!$AH445,IF(K447="MANOLA",PR!$AI445,IF(K447="MARCSON",PR!$AJ445,IF(K447="M&amp;B",PR!$AK445,IF(K447="MTRUST",PR!$AL445,IF(K447="MWORLD",PR!$AM445,IF(K447="MEGA",PR!$AN445,IF(K447="MICRONOVA",PR!$AO445,IF(K447="MFLASH",PR!$AP445,IF(K447="MORISON",PR!$AQ445,IF(K447="NEMEL",PR!$AR445,IF(K447="NHP",PR!$AS445,IF(K447="NHC",PR!$AT445,IF(K447="OLEAF",PR!$AU445,IF(K447="OCULUS",PR!$AV445,IF(K447="PACIFIC",PR!$AW445,IF(K447="PHAMATEX",PR!$AX445,IF(K447="PETHICS",PR!$AY445,IF(K447="PHILIPS",PR!$AZ445,IF(K447="RANBAXY",PR!$BA445,IF(K447="REALS",PR!$BB445,IF(K447="ROYAL",PR!$BC445,IF(K447="SAM",PR!$BD445,IF(K447="SEAGREEN",PR!$BE445,IF(K447="SKG",PR!$BF445,IF(K447="TAH",PR!$BG445,IF(K447="TAYLEK",PR!$BH445,IF(K447="TEMITA",PR!$BI445,IF(K447="THL",PR!$BJ445,IF(K447="UBASTIC",PR!$BK445,IF(K447="UNION",PR!$BL445,IF(K447="UNIQUE",PR!$BM445,IF(K447="VIXA",PR!$BN445,IF(K447="WWCV",PR!$BO445,IF(K447="ZOLON",PR!$BP445,"-")))))))))))))))))))))))))))))))))))))))))))))))))))))))))))))))))</f>
        <v>19500</v>
      </c>
    </row>
    <row r="448" spans="1:12" ht="18.75" x14ac:dyDescent="0.3">
      <c r="A448" s="430">
        <f>PR!A446</f>
        <v>405</v>
      </c>
      <c r="B448" s="15" t="str">
        <f>PR!B446</f>
        <v>KETAMINE HCL 50MG/ML INJ</v>
      </c>
      <c r="C448" s="113">
        <f>PR!D446</f>
        <v>25</v>
      </c>
      <c r="D448" s="113">
        <f>PR!C446</f>
        <v>12</v>
      </c>
      <c r="E448" s="108">
        <f>IF(F448="ALPHA",PR!$E446,IF(F448="ASSENE",PR!$F446,IF(F448="BIOFEM",PR!$G446,IF(F448="BIOMED",PR!$H446,IF(F448="CHI",PR!$I446,IF(F448="CLARION",PR!$J446,IF(F448="CODIX",PR!$K446,IF(F448="COSMADE",PR!$L446,IF(F448="SANCON",PR!$M446,IF(F448="DEVON",PR!$N446,IF(F448="DORTEMAG",PR!$O446,IF(F448="DGF",PR!$P446,IF(F448="DYNAMIC",PR!$Q446,IF(F448="EMZOR",PR!$R446,IF(F448="EUMATT",PR!$S446,IF(F448="FIDSON",PR!$T446,IF(F448="FCGLOBAL",PR!$U446,IF(F448="GENEITH",PR!$V446,IF(F448="GINOS",PR!$W446,IF(F448="GSK",PR!$X446,IF(F448="GLOBORG",PR!$Y446,IF(F448="GOODNEWS",PR!$Z446,IF(F448="GREENLIFE",PR!$AA446,IF(F448="HLINE",PR!$AB446,IF(F448="ROTECH",PR!$AC446,IF(F448="ISN",PR!$AD446,IF(F448="JAWA",PR!$AE446,IF(F448="LAYO",PR!$AF446,IF(F448="LEADWAY",PR!$AG446,IF(F448="LHV",PR!$AH446,IF(F448="MANOLA",PR!$AI446,IF(F448="MARCSON",PR!$AJ446,IF(F448="M&amp;B",PR!$AK446,IF(F448="MTRUST",PR!$AL446,IF(F448="MWORLD",PR!$AM446,IF(F448="MEGA",PR!$AN446,IF(F448="MICRONOVA",PR!$AO446,IF(F448="MFLASH",PR!$AP446,IF(F448="MORISON",PR!$AQ446,IF(F448="NEMEL",PR!$AR446,IF(F448="NHP",PR!$AS446,IF(F448="NHC",PR!$AT446,IF(F448="OLEAF",PR!$AU446,IF(F448="OCULUS",PR!$AV446,IF(F448="PACIFIC",PR!$AW446,IF(F448="PHAMATEX",PR!$AX446,IF(F448="PETHICS",PR!$AY446,IF(F448="PHILIPS",PR!$AZ446,IF(F448="RANBAXY",PR!$BA446,IF(F448="REALS",PR!$BB446,IF(F448="ROYAL",PR!$BC446,IF(F448="SAM",PR!$BD446,IF(F448="SEAGREEN",PR!$BE446,IF(F448="SKG",PR!$BF446,IF(F448="TAH",PR!$BG446,IF(F448="TAYLEK",PR!$BH446,IF(F448="TEMITA",PR!$BI446,IF(F448="THL",PR!$BJ446,IF(F448="UBASTIC",PR!$BK446,IF(F448="UNION",PR!$BL446,IF(F448="UNIQUE",PR!$BM446,IF(F448="VIXA",PR!$BN446,IF(F448="WWCV",PR!$BO446,IF(F448="ZOLON",PR!$BP446,"-"))))))))))))))))))))))))))))))))))))))))))))))))))))))))))))))))</f>
        <v>5400</v>
      </c>
      <c r="F448" s="102" t="str">
        <f>EV!L565</f>
        <v>EUMATT</v>
      </c>
      <c r="G448" s="108">
        <f>IF(H448="ALPHA",PR!$E446,IF(H448="ASSENE",PR!$F446,IF(H448="BIOFEM",PR!$G446,IF(H448="BIOMED",PR!$H446,IF(H448="CHI",PR!$I446,IF(H448="CLARION",PR!$J446,IF(H448="CODIX",PR!$K446,IF(H448="COSMADE",PR!$L446,IF(H448="SANCON",PR!$M446,IF(H448="DEVON",PR!$N446,IF(H448="DORTEMAG",PR!$O446,IF(H448="DGF",PR!$P446,IF(H448="DYNAMIC",PR!$Q446,IF(H448="EMZOR",PR!$R446,IF(H448="EUMATT",PR!$S446,IF(H448="FIDSON",PR!$T446,IF(H448="FCGLOBAL",PR!$U446,IF(H448="GENEITH",PR!$V446,IF(H448="GINOS",PR!$W446,IF(H448="GSK",PR!$X446,IF(H448="GLOBORG",PR!$Y446,IF(H448="GOODNEWS",PR!$Z446,IF(H448="GREENLIFE",PR!$AA446,IF(H448="HLINE",PR!$AB446,IF(H448="ROTECH",PR!$AC446,IF(H448="ISN",PR!$AD446,IF(H448="JAWA",PR!$AE446,IF(H448="LAYO",PR!$AF446,IF(H448="LEADWAY",PR!$AG446,IF(H448="LHV",PR!$AH446,IF(H448="MANOLA",PR!$AI446,IF(H448="MARCSON",PR!$AJ446,IF(H448="M&amp;B",PR!$AK446,IF(H448="MTRUST",PR!$AL446,IF(H448="MWORLD",PR!$AM446,IF(H448="MEGA",PR!$AN446,IF(H448="MICRONOVA",PR!$AO446,IF(H448="MFLASH",PR!$AP446,IF(H448="MORISON",PR!$AQ446,IF(H448="NEMEL",PR!$AR446,IF(H448="NHP",PR!$AS446,IF(H448="NHC",PR!$AT446,IF(H448="OLEAF",PR!$AU446,IF(H448="OCULUS",PR!$AV446,IF(H448="PACIFIC",PR!$AW446,IF(H448="PHAMATEX",PR!$AX446,IF(H448="PETHICS",PR!$AY446,IF(H448="PHILIPS",PR!$AZ446,IF(H448="RANBAXY",PR!$BA446,IF(H448="REALS",PR!$BB446,IF(H448="ROYAL",PR!$BC446,IF(H448="SAM",PR!$BD446,IF(H448="SEAGREEN",PR!$BE446,IF(H448="SKG",PR!$BF446,IF(H448="TAH",PR!$BG446,IF(H448="TAYLEK",PR!$BH446,IF(H448="TEMITA",PR!$BI446,IF(H448="THL",PR!$BJ446,IF(H448="UBASTIC",PR!$BK446,IF(H448="UNION",PR!$BL446,IF(H448="UNIQUE",PR!$BM446,IF(H448="VIXA",PR!$BN446,IF(H448="WWCV",PR!$BO446,IF(H448="ZOLON",PR!$BP446,"-"))))))))))))))))))))))))))))))))))))))))))))))))))))))))))))))))</f>
        <v>15375</v>
      </c>
      <c r="H448" s="102" t="str">
        <f>EV!M565</f>
        <v>JAWA</v>
      </c>
      <c r="I448" s="108">
        <f>IF(J448="ALPHA",PR!$E446,IF(J448="ASSENE",PR!$F446,IF(J448="BIOFEM",PR!$G446,IF(J448="BIOMED",PR!$H446,IF(J448="CHI",PR!$I446,IF(J448="CLARION",PR!$J446,IF(J448="CODIX",PR!$K446,IF(J448="COSMADE",PR!$L446,IF(J448="SANCON",PR!$M446,IF(J448="DEVON",PR!$N446,IF(J448="DORTEMAG",PR!$O446,IF(J448="DGF",PR!$P446,IF(J448="DYNAMIC",PR!$Q446,IF(J448="EMZOR",PR!$R446,IF(J448="EUMATT",PR!$S446,IF(J448="FIDSON",PR!$T446,IF(J448="FCGLOBAL",PR!$U446,IF(J448="GENEITH",PR!$V446,IF(J448="GINOS",PR!$W446,IF(J448="GSK",PR!$X446,IF(J448="GLOBORG",PR!$Y446,IF(J448="GOODNEWS",PR!$Z446,IF(J448="GREENLIFE",PR!$AA446,IF(J448="HLINE",PR!$AB446,IF(J448="ROTECH",PR!$AC446,IF(J448="ISN",PR!$AD446,IF(J448="JAWA",PR!$AE446,IF(J448="LAYO",PR!$AF446,IF(J448="LEADWAY",PR!$AG446,IF(J448="LHV",PR!$AH446,IF(J448="MANOLA",PR!$AI446,IF(J448="MARCSON",PR!$AJ446,IF(J448="M&amp;B",PR!$AK446,IF(J448="MTRUST",PR!$AL446,IF(J448="MWORLD",PR!$AM446,IF(J448="MEGA",PR!$AN446,IF(J448="MICRONOVA",PR!$AO446,IF(J448="MFLASH",PR!$AP446,IF(J448="MORISON",PR!$AQ446,IF(J448="NEMEL",PR!$AR446,IF(J448="NHP",PR!$AS446,IF(J448="NHC",PR!$AT446,IF(J448="OLEAF",PR!$AU446,IF(J448="OCULUS",PR!$AV446,IF(J448="PACIFIC",PR!$AW446,IF(J448="PHAMATEX",PR!$AX446,IF(J448="PETHICS",PR!$AY446,IF(J448="PHILIPS",PR!$AZ446,IF(J448="RANBAXY",PR!$BA446,IF(J448="REALS",PR!$BB446,IF(J448="ROYAL",PR!$BC446,IF(J448="SAM",PR!$BD446,IF(J448="SEAGREEN",PR!$BE446,IF(J448="SKG",PR!$BF446,IF(J448="TAH",PR!$BG446,IF(J448="TAYLEK",PR!$BH446,IF(J448="TEMITA",PR!$BI446,IF(J448="THL",PR!$BJ446,IF(J448="UBASTIC",PR!$BK446,IF(J448="UNION",PR!$BL446,IF(J448="UNIQUE",PR!$BM446,IF(J448="VIXA",PR!$BN446,IF(J448="WWCV",PR!$BO446,IF(J448="ZOLON",PR!$BP446,"-"))))))))))))))))))))))))))))))))))))))))))))))))))))))))))))))))</f>
        <v>30000</v>
      </c>
      <c r="J448" s="102" t="str">
        <f>EV!N565</f>
        <v>ALPHA</v>
      </c>
      <c r="K448" s="433" t="s">
        <v>634</v>
      </c>
      <c r="L448" s="183">
        <f>IF(K448&gt;0,IF(K448="ALPHA",PR!$E446,IF(K448="ASSENE",PR!$F446,IF(K448="BIOFEM",PR!$G446,IF(K448="BIOMED",PR!$H446,IF(K448="CHI",PR!$I446,IF(K448="CLARION",PR!$J446,IF(K448="CODIX",PR!$K446,IF(K448="COSMADE",PR!$L446,IF(K448="SANCON",PR!$M446,IF(K448="DEVON",PR!$N446,IF(K448="DORTEMAG",PR!$O446,IF(K448="DGF",PR!$P446,IF(K448="DYNAMIC",PR!$Q446,IF(K448="EMZOR",PR!$R446,IF(K448="EUMATT",PR!$S446,IF(K448="FIDSON",PR!$T446,IF(K448="FCGLOBAL",PR!$U446,IF(K448="GENEITH",PR!$V446,IF(K448="GINOS",PR!$W446,IF(K448="GSK",PR!$X446,IF(K448="GLOBORG",PR!$Y446,IF(K448="GOODNEWS",PR!$Z446,IF(K448="GREENLIFE",PR!$AA446,IF(K448="HLINE",PR!$AB446,IF(K448="ROTECH",PR!$AC446,IF(K448="ISN",PR!$AD446,IF(K448="JAWA",PR!$AE446,IF(K448="LAYO",PR!$AF446,IF(K448="LEADWAY",PR!$AG446,IF(K448="LHV",PR!$AH446,IF(K448="MANOLA",PR!$AI446,IF(K448="MARCSON",PR!$AJ446,IF(K448="M&amp;B",PR!$AK446,IF(K448="MTRUST",PR!$AL446,IF(K448="MWORLD",PR!$AM446,IF(K448="MEGA",PR!$AN446,IF(K448="MICRONOVA",PR!$AO446,IF(K448="MFLASH",PR!$AP446,IF(K448="MORISON",PR!$AQ446,IF(K448="NEMEL",PR!$AR446,IF(K448="NHP",PR!$AS446,IF(K448="NHC",PR!$AT446,IF(K448="OLEAF",PR!$AU446,IF(K448="OCULUS",PR!$AV446,IF(K448="PACIFIC",PR!$AW446,IF(K448="PHAMATEX",PR!$AX446,IF(K448="PETHICS",PR!$AY446,IF(K448="PHILIPS",PR!$AZ446,IF(K448="RANBAXY",PR!$BA446,IF(K448="REALS",PR!$BB446,IF(K448="ROYAL",PR!$BC446,IF(K448="SAM",PR!$BD446,IF(K448="SEAGREEN",PR!$BE446,IF(K448="SKG",PR!$BF446,IF(K448="TAH",PR!$BG446,IF(K448="TAYLEK",PR!$BH446,IF(K448="TEMITA",PR!$BI446,IF(K448="THL",PR!$BJ446,IF(K448="UBASTIC",PR!$BK446,IF(K448="UNION",PR!$BL446,IF(K448="UNIQUE",PR!$BM446,IF(K448="VIXA",PR!$BN446,IF(K448="WWCV",PR!$BO446,IF(K448="ZOLON",PR!$BP446,"-")))))))))))))))))))))))))))))))))))))))))))))))))))))))))))))))))</f>
        <v>30000</v>
      </c>
    </row>
    <row r="449" spans="1:12" ht="18.75" x14ac:dyDescent="0.3">
      <c r="A449" s="430">
        <f>PR!A447</f>
        <v>406</v>
      </c>
      <c r="B449" s="15" t="str">
        <f>PR!B447</f>
        <v>LIGHT MARCAINE INJ</v>
      </c>
      <c r="C449" s="113">
        <f>PR!D447</f>
        <v>10</v>
      </c>
      <c r="D449" s="113">
        <f>PR!C447</f>
        <v>40</v>
      </c>
      <c r="E449" s="108">
        <f>IF(F449="ALPHA",PR!$E447,IF(F449="ASSENE",PR!$F447,IF(F449="BIOFEM",PR!$G447,IF(F449="BIOMED",PR!$H447,IF(F449="CHI",PR!$I447,IF(F449="CLARION",PR!$J447,IF(F449="CODIX",PR!$K447,IF(F449="COSMADE",PR!$L447,IF(F449="SANCON",PR!$M447,IF(F449="DEVON",PR!$N447,IF(F449="DORTEMAG",PR!$O447,IF(F449="DGF",PR!$P447,IF(F449="DYNAMIC",PR!$Q447,IF(F449="EMZOR",PR!$R447,IF(F449="EUMATT",PR!$S447,IF(F449="FIDSON",PR!$T447,IF(F449="FCGLOBAL",PR!$U447,IF(F449="GENEITH",PR!$V447,IF(F449="GINOS",PR!$W447,IF(F449="GSK",PR!$X447,IF(F449="GLOBORG",PR!$Y447,IF(F449="GOODNEWS",PR!$Z447,IF(F449="GREENLIFE",PR!$AA447,IF(F449="HLINE",PR!$AB447,IF(F449="ROTECH",PR!$AC447,IF(F449="ISN",PR!$AD447,IF(F449="JAWA",PR!$AE447,IF(F449="LAYO",PR!$AF447,IF(F449="LEADWAY",PR!$AG447,IF(F449="LHV",PR!$AH447,IF(F449="MANOLA",PR!$AI447,IF(F449="MARCSON",PR!$AJ447,IF(F449="M&amp;B",PR!$AK447,IF(F449="MTRUST",PR!$AL447,IF(F449="MWORLD",PR!$AM447,IF(F449="MEGA",PR!$AN447,IF(F449="MICRONOVA",PR!$AO447,IF(F449="MFLASH",PR!$AP447,IF(F449="MORISON",PR!$AQ447,IF(F449="NEMEL",PR!$AR447,IF(F449="NHP",PR!$AS447,IF(F449="NHC",PR!$AT447,IF(F449="OLEAF",PR!$AU447,IF(F449="OCULUS",PR!$AV447,IF(F449="PACIFIC",PR!$AW447,IF(F449="PHAMATEX",PR!$AX447,IF(F449="PETHICS",PR!$AY447,IF(F449="PHILIPS",PR!$AZ447,IF(F449="RANBAXY",PR!$BA447,IF(F449="REALS",PR!$BB447,IF(F449="ROYAL",PR!$BC447,IF(F449="SAM",PR!$BD447,IF(F449="SEAGREEN",PR!$BE447,IF(F449="SKG",PR!$BF447,IF(F449="TAH",PR!$BG447,IF(F449="TAYLEK",PR!$BH447,IF(F449="TEMITA",PR!$BI447,IF(F449="THL",PR!$BJ447,IF(F449="UBASTIC",PR!$BK447,IF(F449="UNION",PR!$BL447,IF(F449="UNIQUE",PR!$BM447,IF(F449="VIXA",PR!$BN447,IF(F449="WWCV",PR!$BO447,IF(F449="ZOLON",PR!$BP447,"-"))))))))))))))))))))))))))))))))))))))))))))))))))))))))))))))))</f>
        <v>9500</v>
      </c>
      <c r="F449" s="102" t="str">
        <f>EV!L566</f>
        <v>ALPHA</v>
      </c>
      <c r="G449" s="108" t="str">
        <f>IF(H449="ALPHA",PR!$E447,IF(H449="ASSENE",PR!$F447,IF(H449="BIOFEM",PR!$G447,IF(H449="BIOMED",PR!$H447,IF(H449="CHI",PR!$I447,IF(H449="CLARION",PR!$J447,IF(H449="CODIX",PR!$K447,IF(H449="COSMADE",PR!$L447,IF(H449="SANCON",PR!$M447,IF(H449="DEVON",PR!$N447,IF(H449="DORTEMAG",PR!$O447,IF(H449="DGF",PR!$P447,IF(H449="DYNAMIC",PR!$Q447,IF(H449="EMZOR",PR!$R447,IF(H449="EUMATT",PR!$S447,IF(H449="FIDSON",PR!$T447,IF(H449="FCGLOBAL",PR!$U447,IF(H449="GENEITH",PR!$V447,IF(H449="GINOS",PR!$W447,IF(H449="GSK",PR!$X447,IF(H449="GLOBORG",PR!$Y447,IF(H449="GOODNEWS",PR!$Z447,IF(H449="GREENLIFE",PR!$AA447,IF(H449="HLINE",PR!$AB447,IF(H449="ROTECH",PR!$AC447,IF(H449="ISN",PR!$AD447,IF(H449="JAWA",PR!$AE447,IF(H449="LAYO",PR!$AF447,IF(H449="LEADWAY",PR!$AG447,IF(H449="LHV",PR!$AH447,IF(H449="MANOLA",PR!$AI447,IF(H449="MARCSON",PR!$AJ447,IF(H449="M&amp;B",PR!$AK447,IF(H449="MTRUST",PR!$AL447,IF(H449="MWORLD",PR!$AM447,IF(H449="MEGA",PR!$AN447,IF(H449="MICRONOVA",PR!$AO447,IF(H449="MFLASH",PR!$AP447,IF(H449="MORISON",PR!$AQ447,IF(H449="NEMEL",PR!$AR447,IF(H449="NHP",PR!$AS447,IF(H449="NHC",PR!$AT447,IF(H449="OLEAF",PR!$AU447,IF(H449="OCULUS",PR!$AV447,IF(H449="PACIFIC",PR!$AW447,IF(H449="PHAMATEX",PR!$AX447,IF(H449="PETHICS",PR!$AY447,IF(H449="PHILIPS",PR!$AZ447,IF(H449="RANBAXY",PR!$BA447,IF(H449="REALS",PR!$BB447,IF(H449="ROYAL",PR!$BC447,IF(H449="SAM",PR!$BD447,IF(H449="SEAGREEN",PR!$BE447,IF(H449="SKG",PR!$BF447,IF(H449="TAH",PR!$BG447,IF(H449="TAYLEK",PR!$BH447,IF(H449="TEMITA",PR!$BI447,IF(H449="THL",PR!$BJ447,IF(H449="UBASTIC",PR!$BK447,IF(H449="UNION",PR!$BL447,IF(H449="UNIQUE",PR!$BM447,IF(H449="VIXA",PR!$BN447,IF(H449="WWCV",PR!$BO447,IF(H449="ZOLON",PR!$BP447,"-"))))))))))))))))))))))))))))))))))))))))))))))))))))))))))))))))</f>
        <v>-</v>
      </c>
      <c r="H449" s="102">
        <f>EV!M566</f>
        <v>0</v>
      </c>
      <c r="I449" s="108" t="str">
        <f>IF(J449="ALPHA",PR!$E447,IF(J449="ASSENE",PR!$F447,IF(J449="BIOFEM",PR!$G447,IF(J449="BIOMED",PR!$H447,IF(J449="CHI",PR!$I447,IF(J449="CLARION",PR!$J447,IF(J449="CODIX",PR!$K447,IF(J449="COSMADE",PR!$L447,IF(J449="SANCON",PR!$M447,IF(J449="DEVON",PR!$N447,IF(J449="DORTEMAG",PR!$O447,IF(J449="DGF",PR!$P447,IF(J449="DYNAMIC",PR!$Q447,IF(J449="EMZOR",PR!$R447,IF(J449="EUMATT",PR!$S447,IF(J449="FIDSON",PR!$T447,IF(J449="FCGLOBAL",PR!$U447,IF(J449="GENEITH",PR!$V447,IF(J449="GINOS",PR!$W447,IF(J449="GSK",PR!$X447,IF(J449="GLOBORG",PR!$Y447,IF(J449="GOODNEWS",PR!$Z447,IF(J449="GREENLIFE",PR!$AA447,IF(J449="HLINE",PR!$AB447,IF(J449="ROTECH",PR!$AC447,IF(J449="ISN",PR!$AD447,IF(J449="JAWA",PR!$AE447,IF(J449="LAYO",PR!$AF447,IF(J449="LEADWAY",PR!$AG447,IF(J449="LHV",PR!$AH447,IF(J449="MANOLA",PR!$AI447,IF(J449="MARCSON",PR!$AJ447,IF(J449="M&amp;B",PR!$AK447,IF(J449="MTRUST",PR!$AL447,IF(J449="MWORLD",PR!$AM447,IF(J449="MEGA",PR!$AN447,IF(J449="MICRONOVA",PR!$AO447,IF(J449="MFLASH",PR!$AP447,IF(J449="MORISON",PR!$AQ447,IF(J449="NEMEL",PR!$AR447,IF(J449="NHP",PR!$AS447,IF(J449="NHC",PR!$AT447,IF(J449="OLEAF",PR!$AU447,IF(J449="OCULUS",PR!$AV447,IF(J449="PACIFIC",PR!$AW447,IF(J449="PHAMATEX",PR!$AX447,IF(J449="PETHICS",PR!$AY447,IF(J449="PHILIPS",PR!$AZ447,IF(J449="RANBAXY",PR!$BA447,IF(J449="REALS",PR!$BB447,IF(J449="ROYAL",PR!$BC447,IF(J449="SAM",PR!$BD447,IF(J449="SEAGREEN",PR!$BE447,IF(J449="SKG",PR!$BF447,IF(J449="TAH",PR!$BG447,IF(J449="TAYLEK",PR!$BH447,IF(J449="TEMITA",PR!$BI447,IF(J449="THL",PR!$BJ447,IF(J449="UBASTIC",PR!$BK447,IF(J449="UNION",PR!$BL447,IF(J449="UNIQUE",PR!$BM447,IF(J449="VIXA",PR!$BN447,IF(J449="WWCV",PR!$BO447,IF(J449="ZOLON",PR!$BP447,"-"))))))))))))))))))))))))))))))))))))))))))))))))))))))))))))))))</f>
        <v>-</v>
      </c>
      <c r="J449" s="102">
        <f>EV!N566</f>
        <v>0</v>
      </c>
      <c r="K449" s="433" t="s">
        <v>634</v>
      </c>
      <c r="L449" s="183">
        <f>IF(K449&gt;0,IF(K449="ALPHA",PR!$E447,IF(K449="ASSENE",PR!$F447,IF(K449="BIOFEM",PR!$G447,IF(K449="BIOMED",PR!$H447,IF(K449="CHI",PR!$I447,IF(K449="CLARION",PR!$J447,IF(K449="CODIX",PR!$K447,IF(K449="COSMADE",PR!$L447,IF(K449="SANCON",PR!$M447,IF(K449="DEVON",PR!$N447,IF(K449="DORTEMAG",PR!$O447,IF(K449="DGF",PR!$P447,IF(K449="DYNAMIC",PR!$Q447,IF(K449="EMZOR",PR!$R447,IF(K449="EUMATT",PR!$S447,IF(K449="FIDSON",PR!$T447,IF(K449="FCGLOBAL",PR!$U447,IF(K449="GENEITH",PR!$V447,IF(K449="GINOS",PR!$W447,IF(K449="GSK",PR!$X447,IF(K449="GLOBORG",PR!$Y447,IF(K449="GOODNEWS",PR!$Z447,IF(K449="GREENLIFE",PR!$AA447,IF(K449="HLINE",PR!$AB447,IF(K449="ROTECH",PR!$AC447,IF(K449="ISN",PR!$AD447,IF(K449="JAWA",PR!$AE447,IF(K449="LAYO",PR!$AF447,IF(K449="LEADWAY",PR!$AG447,IF(K449="LHV",PR!$AH447,IF(K449="MANOLA",PR!$AI447,IF(K449="MARCSON",PR!$AJ447,IF(K449="M&amp;B",PR!$AK447,IF(K449="MTRUST",PR!$AL447,IF(K449="MWORLD",PR!$AM447,IF(K449="MEGA",PR!$AN447,IF(K449="MICRONOVA",PR!$AO447,IF(K449="MFLASH",PR!$AP447,IF(K449="MORISON",PR!$AQ447,IF(K449="NEMEL",PR!$AR447,IF(K449="NHP",PR!$AS447,IF(K449="NHC",PR!$AT447,IF(K449="OLEAF",PR!$AU447,IF(K449="OCULUS",PR!$AV447,IF(K449="PACIFIC",PR!$AW447,IF(K449="PHAMATEX",PR!$AX447,IF(K449="PETHICS",PR!$AY447,IF(K449="PHILIPS",PR!$AZ447,IF(K449="RANBAXY",PR!$BA447,IF(K449="REALS",PR!$BB447,IF(K449="ROYAL",PR!$BC447,IF(K449="SAM",PR!$BD447,IF(K449="SEAGREEN",PR!$BE447,IF(K449="SKG",PR!$BF447,IF(K449="TAH",PR!$BG447,IF(K449="TAYLEK",PR!$BH447,IF(K449="TEMITA",PR!$BI447,IF(K449="THL",PR!$BJ447,IF(K449="UBASTIC",PR!$BK447,IF(K449="UNION",PR!$BL447,IF(K449="UNIQUE",PR!$BM447,IF(K449="VIXA",PR!$BN447,IF(K449="WWCV",PR!$BO447,IF(K449="ZOLON",PR!$BP447,"-")))))))))))))))))))))))))))))))))))))))))))))))))))))))))))))))))</f>
        <v>9500</v>
      </c>
    </row>
    <row r="450" spans="1:12" ht="18.75" x14ac:dyDescent="0.3">
      <c r="A450" s="430">
        <f>PR!A448</f>
        <v>407</v>
      </c>
      <c r="B450" s="15" t="str">
        <f>PR!B448</f>
        <v>MIDAZOLAM INJ</v>
      </c>
      <c r="C450" s="113">
        <f>PR!D448</f>
        <v>10</v>
      </c>
      <c r="D450" s="113">
        <f>PR!C448</f>
        <v>50</v>
      </c>
      <c r="E450" s="108">
        <f>IF(F450="ALPHA",PR!$E448,IF(F450="ASSENE",PR!$F448,IF(F450="BIOFEM",PR!$G448,IF(F450="BIOMED",PR!$H448,IF(F450="CHI",PR!$I448,IF(F450="CLARION",PR!$J448,IF(F450="CODIX",PR!$K448,IF(F450="COSMADE",PR!$L448,IF(F450="SANCON",PR!$M448,IF(F450="DEVON",PR!$N448,IF(F450="DORTEMAG",PR!$O448,IF(F450="DGF",PR!$P448,IF(F450="DYNAMIC",PR!$Q448,IF(F450="EMZOR",PR!$R448,IF(F450="EUMATT",PR!$S448,IF(F450="FIDSON",PR!$T448,IF(F450="FCGLOBAL",PR!$U448,IF(F450="GENEITH",PR!$V448,IF(F450="GINOS",PR!$W448,IF(F450="GSK",PR!$X448,IF(F450="GLOBORG",PR!$Y448,IF(F450="GOODNEWS",PR!$Z448,IF(F450="GREENLIFE",PR!$AA448,IF(F450="HLINE",PR!$AB448,IF(F450="ROTECH",PR!$AC448,IF(F450="ISN",PR!$AD448,IF(F450="JAWA",PR!$AE448,IF(F450="LAYO",PR!$AF448,IF(F450="LEADWAY",PR!$AG448,IF(F450="LHV",PR!$AH448,IF(F450="MANOLA",PR!$AI448,IF(F450="MARCSON",PR!$AJ448,IF(F450="M&amp;B",PR!$AK448,IF(F450="MTRUST",PR!$AL448,IF(F450="MWORLD",PR!$AM448,IF(F450="MEGA",PR!$AN448,IF(F450="MICRONOVA",PR!$AO448,IF(F450="MFLASH",PR!$AP448,IF(F450="MORISON",PR!$AQ448,IF(F450="NEMEL",PR!$AR448,IF(F450="NHP",PR!$AS448,IF(F450="NHC",PR!$AT448,IF(F450="OLEAF",PR!$AU448,IF(F450="OCULUS",PR!$AV448,IF(F450="PACIFIC",PR!$AW448,IF(F450="PHAMATEX",PR!$AX448,IF(F450="PETHICS",PR!$AY448,IF(F450="PHILIPS",PR!$AZ448,IF(F450="RANBAXY",PR!$BA448,IF(F450="REALS",PR!$BB448,IF(F450="ROYAL",PR!$BC448,IF(F450="SAM",PR!$BD448,IF(F450="SEAGREEN",PR!$BE448,IF(F450="SKG",PR!$BF448,IF(F450="TAH",PR!$BG448,IF(F450="TAYLEK",PR!$BH448,IF(F450="TEMITA",PR!$BI448,IF(F450="THL",PR!$BJ448,IF(F450="UBASTIC",PR!$BK448,IF(F450="UNION",PR!$BL448,IF(F450="UNIQUE",PR!$BM448,IF(F450="VIXA",PR!$BN448,IF(F450="WWCV",PR!$BO448,IF(F450="ZOLON",PR!$BP448,"-"))))))))))))))))))))))))))))))))))))))))))))))))))))))))))))))))</f>
        <v>16900</v>
      </c>
      <c r="F450" s="102" t="str">
        <f>EV!L567</f>
        <v>EUMATT</v>
      </c>
      <c r="G450" s="108">
        <f>IF(H450="ALPHA",PR!$E448,IF(H450="ASSENE",PR!$F448,IF(H450="BIOFEM",PR!$G448,IF(H450="BIOMED",PR!$H448,IF(H450="CHI",PR!$I448,IF(H450="CLARION",PR!$J448,IF(H450="CODIX",PR!$K448,IF(H450="COSMADE",PR!$L448,IF(H450="SANCON",PR!$M448,IF(H450="DEVON",PR!$N448,IF(H450="DORTEMAG",PR!$O448,IF(H450="DGF",PR!$P448,IF(H450="DYNAMIC",PR!$Q448,IF(H450="EMZOR",PR!$R448,IF(H450="EUMATT",PR!$S448,IF(H450="FIDSON",PR!$T448,IF(H450="FCGLOBAL",PR!$U448,IF(H450="GENEITH",PR!$V448,IF(H450="GINOS",PR!$W448,IF(H450="GSK",PR!$X448,IF(H450="GLOBORG",PR!$Y448,IF(H450="GOODNEWS",PR!$Z448,IF(H450="GREENLIFE",PR!$AA448,IF(H450="HLINE",PR!$AB448,IF(H450="ROTECH",PR!$AC448,IF(H450="ISN",PR!$AD448,IF(H450="JAWA",PR!$AE448,IF(H450="LAYO",PR!$AF448,IF(H450="LEADWAY",PR!$AG448,IF(H450="LHV",PR!$AH448,IF(H450="MANOLA",PR!$AI448,IF(H450="MARCSON",PR!$AJ448,IF(H450="M&amp;B",PR!$AK448,IF(H450="MTRUST",PR!$AL448,IF(H450="MWORLD",PR!$AM448,IF(H450="MEGA",PR!$AN448,IF(H450="MICRONOVA",PR!$AO448,IF(H450="MFLASH",PR!$AP448,IF(H450="MORISON",PR!$AQ448,IF(H450="NEMEL",PR!$AR448,IF(H450="NHP",PR!$AS448,IF(H450="NHC",PR!$AT448,IF(H450="OLEAF",PR!$AU448,IF(H450="OCULUS",PR!$AV448,IF(H450="PACIFIC",PR!$AW448,IF(H450="PHAMATEX",PR!$AX448,IF(H450="PETHICS",PR!$AY448,IF(H450="PHILIPS",PR!$AZ448,IF(H450="RANBAXY",PR!$BA448,IF(H450="REALS",PR!$BB448,IF(H450="ROYAL",PR!$BC448,IF(H450="SAM",PR!$BD448,IF(H450="SEAGREEN",PR!$BE448,IF(H450="SKG",PR!$BF448,IF(H450="TAH",PR!$BG448,IF(H450="TAYLEK",PR!$BH448,IF(H450="TEMITA",PR!$BI448,IF(H450="THL",PR!$BJ448,IF(H450="UBASTIC",PR!$BK448,IF(H450="UNION",PR!$BL448,IF(H450="UNIQUE",PR!$BM448,IF(H450="VIXA",PR!$BN448,IF(H450="WWCV",PR!$BO448,IF(H450="ZOLON",PR!$BP448,"-"))))))))))))))))))))))))))))))))))))))))))))))))))))))))))))))))</f>
        <v>18000</v>
      </c>
      <c r="H450" s="102" t="str">
        <f>EV!M567</f>
        <v>ALPHA</v>
      </c>
      <c r="I450" s="108" t="str">
        <f>IF(J450="ALPHA",PR!$E448,IF(J450="ASSENE",PR!$F448,IF(J450="BIOFEM",PR!$G448,IF(J450="BIOMED",PR!$H448,IF(J450="CHI",PR!$I448,IF(J450="CLARION",PR!$J448,IF(J450="CODIX",PR!$K448,IF(J450="COSMADE",PR!$L448,IF(J450="SANCON",PR!$M448,IF(J450="DEVON",PR!$N448,IF(J450="DORTEMAG",PR!$O448,IF(J450="DGF",PR!$P448,IF(J450="DYNAMIC",PR!$Q448,IF(J450="EMZOR",PR!$R448,IF(J450="EUMATT",PR!$S448,IF(J450="FIDSON",PR!$T448,IF(J450="FCGLOBAL",PR!$U448,IF(J450="GENEITH",PR!$V448,IF(J450="GINOS",PR!$W448,IF(J450="GSK",PR!$X448,IF(J450="GLOBORG",PR!$Y448,IF(J450="GOODNEWS",PR!$Z448,IF(J450="GREENLIFE",PR!$AA448,IF(J450="HLINE",PR!$AB448,IF(J450="ROTECH",PR!$AC448,IF(J450="ISN",PR!$AD448,IF(J450="JAWA",PR!$AE448,IF(J450="LAYO",PR!$AF448,IF(J450="LEADWAY",PR!$AG448,IF(J450="LHV",PR!$AH448,IF(J450="MANOLA",PR!$AI448,IF(J450="MARCSON",PR!$AJ448,IF(J450="M&amp;B",PR!$AK448,IF(J450="MTRUST",PR!$AL448,IF(J450="MWORLD",PR!$AM448,IF(J450="MEGA",PR!$AN448,IF(J450="MICRONOVA",PR!$AO448,IF(J450="MFLASH",PR!$AP448,IF(J450="MORISON",PR!$AQ448,IF(J450="NEMEL",PR!$AR448,IF(J450="NHP",PR!$AS448,IF(J450="NHC",PR!$AT448,IF(J450="OLEAF",PR!$AU448,IF(J450="OCULUS",PR!$AV448,IF(J450="PACIFIC",PR!$AW448,IF(J450="PHAMATEX",PR!$AX448,IF(J450="PETHICS",PR!$AY448,IF(J450="PHILIPS",PR!$AZ448,IF(J450="RANBAXY",PR!$BA448,IF(J450="REALS",PR!$BB448,IF(J450="ROYAL",PR!$BC448,IF(J450="SAM",PR!$BD448,IF(J450="SEAGREEN",PR!$BE448,IF(J450="SKG",PR!$BF448,IF(J450="TAH",PR!$BG448,IF(J450="TAYLEK",PR!$BH448,IF(J450="TEMITA",PR!$BI448,IF(J450="THL",PR!$BJ448,IF(J450="UBASTIC",PR!$BK448,IF(J450="UNION",PR!$BL448,IF(J450="UNIQUE",PR!$BM448,IF(J450="VIXA",PR!$BN448,IF(J450="WWCV",PR!$BO448,IF(J450="ZOLON",PR!$BP448,"-"))))))))))))))))))))))))))))))))))))))))))))))))))))))))))))))))</f>
        <v>-</v>
      </c>
      <c r="J450" s="102">
        <f>EV!N567</f>
        <v>0</v>
      </c>
      <c r="K450" s="433" t="s">
        <v>2143</v>
      </c>
      <c r="L450" s="183" t="str">
        <f>IF(K450&gt;0,IF(K450="ALPHA",PR!$E448,IF(K450="ASSENE",PR!$F448,IF(K450="BIOFEM",PR!$G448,IF(K450="BIOMED",PR!$H448,IF(K450="CHI",PR!$I448,IF(K450="CLARION",PR!$J448,IF(K450="CODIX",PR!$K448,IF(K450="COSMADE",PR!$L448,IF(K450="SANCON",PR!$M448,IF(K450="DEVON",PR!$N448,IF(K450="DORTEMAG",PR!$O448,IF(K450="DGF",PR!$P448,IF(K450="DYNAMIC",PR!$Q448,IF(K450="EMZOR",PR!$R448,IF(K450="EUMATT",PR!$S448,IF(K450="FIDSON",PR!$T448,IF(K450="FCGLOBAL",PR!$U448,IF(K450="GENEITH",PR!$V448,IF(K450="GINOS",PR!$W448,IF(K450="GSK",PR!$X448,IF(K450="GLOBORG",PR!$Y448,IF(K450="GOODNEWS",PR!$Z448,IF(K450="GREENLIFE",PR!$AA448,IF(K450="HLINE",PR!$AB448,IF(K450="ROTECH",PR!$AC448,IF(K450="ISN",PR!$AD448,IF(K450="JAWA",PR!$AE448,IF(K450="LAYO",PR!$AF448,IF(K450="LEADWAY",PR!$AG448,IF(K450="LHV",PR!$AH448,IF(K450="MANOLA",PR!$AI448,IF(K450="MARCSON",PR!$AJ448,IF(K450="M&amp;B",PR!$AK448,IF(K450="MTRUST",PR!$AL448,IF(K450="MWORLD",PR!$AM448,IF(K450="MEGA",PR!$AN448,IF(K450="MICRONOVA",PR!$AO448,IF(K450="MFLASH",PR!$AP448,IF(K450="MORISON",PR!$AQ448,IF(K450="NEMEL",PR!$AR448,IF(K450="NHP",PR!$AS448,IF(K450="NHC",PR!$AT448,IF(K450="OLEAF",PR!$AU448,IF(K450="OCULUS",PR!$AV448,IF(K450="PACIFIC",PR!$AW448,IF(K450="PHAMATEX",PR!$AX448,IF(K450="PETHICS",PR!$AY448,IF(K450="PHILIPS",PR!$AZ448,IF(K450="RANBAXY",PR!$BA448,IF(K450="REALS",PR!$BB448,IF(K450="ROYAL",PR!$BC448,IF(K450="SAM",PR!$BD448,IF(K450="SEAGREEN",PR!$BE448,IF(K450="SKG",PR!$BF448,IF(K450="TAH",PR!$BG448,IF(K450="TAYLEK",PR!$BH448,IF(K450="TEMITA",PR!$BI448,IF(K450="THL",PR!$BJ448,IF(K450="UBASTIC",PR!$BK448,IF(K450="UNION",PR!$BL448,IF(K450="UNIQUE",PR!$BM448,IF(K450="VIXA",PR!$BN448,IF(K450="WWCV",PR!$BO448,IF(K450="ZOLON",PR!$BP448,"-")))))))))))))))))))))))))))))))))))))))))))))))))))))))))))))))))</f>
        <v>-</v>
      </c>
    </row>
    <row r="451" spans="1:12" ht="18.75" x14ac:dyDescent="0.3">
      <c r="A451" s="430">
        <f>PR!A449</f>
        <v>408</v>
      </c>
      <c r="B451" s="15" t="str">
        <f>PR!B449</f>
        <v>NEOSTIGMINE INJ</v>
      </c>
      <c r="C451" s="113">
        <f>PR!D449</f>
        <v>100</v>
      </c>
      <c r="D451" s="113">
        <f>PR!C449</f>
        <v>12</v>
      </c>
      <c r="E451" s="108">
        <f>IF(F451="ALPHA",PR!$E449,IF(F451="ASSENE",PR!$F449,IF(F451="BIOFEM",PR!$G449,IF(F451="BIOMED",PR!$H449,IF(F451="CHI",PR!$I449,IF(F451="CLARION",PR!$J449,IF(F451="CODIX",PR!$K449,IF(F451="COSMADE",PR!$L449,IF(F451="SANCON",PR!$M449,IF(F451="DEVON",PR!$N449,IF(F451="DORTEMAG",PR!$O449,IF(F451="DGF",PR!$P449,IF(F451="DYNAMIC",PR!$Q449,IF(F451="EMZOR",PR!$R449,IF(F451="EUMATT",PR!$S449,IF(F451="FIDSON",PR!$T449,IF(F451="FCGLOBAL",PR!$U449,IF(F451="GENEITH",PR!$V449,IF(F451="GINOS",PR!$W449,IF(F451="GSK",PR!$X449,IF(F451="GLOBORG",PR!$Y449,IF(F451="GOODNEWS",PR!$Z449,IF(F451="GREENLIFE",PR!$AA449,IF(F451="HLINE",PR!$AB449,IF(F451="ROTECH",PR!$AC449,IF(F451="ISN",PR!$AD449,IF(F451="JAWA",PR!$AE449,IF(F451="LAYO",PR!$AF449,IF(F451="LEADWAY",PR!$AG449,IF(F451="LHV",PR!$AH449,IF(F451="MANOLA",PR!$AI449,IF(F451="MARCSON",PR!$AJ449,IF(F451="M&amp;B",PR!$AK449,IF(F451="MTRUST",PR!$AL449,IF(F451="MWORLD",PR!$AM449,IF(F451="MEGA",PR!$AN449,IF(F451="MICRONOVA",PR!$AO449,IF(F451="MFLASH",PR!$AP449,IF(F451="MORISON",PR!$AQ449,IF(F451="NEMEL",PR!$AR449,IF(F451="NHP",PR!$AS449,IF(F451="NHC",PR!$AT449,IF(F451="OLEAF",PR!$AU449,IF(F451="OCULUS",PR!$AV449,IF(F451="PACIFIC",PR!$AW449,IF(F451="PHAMATEX",PR!$AX449,IF(F451="PETHICS",PR!$AY449,IF(F451="PHILIPS",PR!$AZ449,IF(F451="RANBAXY",PR!$BA449,IF(F451="REALS",PR!$BB449,IF(F451="ROYAL",PR!$BC449,IF(F451="SAM",PR!$BD449,IF(F451="SEAGREEN",PR!$BE449,IF(F451="SKG",PR!$BF449,IF(F451="TAH",PR!$BG449,IF(F451="TAYLEK",PR!$BH449,IF(F451="TEMITA",PR!$BI449,IF(F451="THL",PR!$BJ449,IF(F451="UBASTIC",PR!$BK449,IF(F451="UNION",PR!$BL449,IF(F451="UNIQUE",PR!$BM449,IF(F451="VIXA",PR!$BN449,IF(F451="WWCV",PR!$BO449,IF(F451="ZOLON",PR!$BP449,"-"))))))))))))))))))))))))))))))))))))))))))))))))))))))))))))))))</f>
        <v>19500</v>
      </c>
      <c r="F451" s="102" t="str">
        <f>EV!L568</f>
        <v>EUMATT</v>
      </c>
      <c r="G451" s="108">
        <f>IF(H451="ALPHA",PR!$E449,IF(H451="ASSENE",PR!$F449,IF(H451="BIOFEM",PR!$G449,IF(H451="BIOMED",PR!$H449,IF(H451="CHI",PR!$I449,IF(H451="CLARION",PR!$J449,IF(H451="CODIX",PR!$K449,IF(H451="COSMADE",PR!$L449,IF(H451="SANCON",PR!$M449,IF(H451="DEVON",PR!$N449,IF(H451="DORTEMAG",PR!$O449,IF(H451="DGF",PR!$P449,IF(H451="DYNAMIC",PR!$Q449,IF(H451="EMZOR",PR!$R449,IF(H451="EUMATT",PR!$S449,IF(H451="FIDSON",PR!$T449,IF(H451="FCGLOBAL",PR!$U449,IF(H451="GENEITH",PR!$V449,IF(H451="GINOS",PR!$W449,IF(H451="GSK",PR!$X449,IF(H451="GLOBORG",PR!$Y449,IF(H451="GOODNEWS",PR!$Z449,IF(H451="GREENLIFE",PR!$AA449,IF(H451="HLINE",PR!$AB449,IF(H451="ROTECH",PR!$AC449,IF(H451="ISN",PR!$AD449,IF(H451="JAWA",PR!$AE449,IF(H451="LAYO",PR!$AF449,IF(H451="LEADWAY",PR!$AG449,IF(H451="LHV",PR!$AH449,IF(H451="MANOLA",PR!$AI449,IF(H451="MARCSON",PR!$AJ449,IF(H451="M&amp;B",PR!$AK449,IF(H451="MTRUST",PR!$AL449,IF(H451="MWORLD",PR!$AM449,IF(H451="MEGA",PR!$AN449,IF(H451="MICRONOVA",PR!$AO449,IF(H451="MFLASH",PR!$AP449,IF(H451="MORISON",PR!$AQ449,IF(H451="NEMEL",PR!$AR449,IF(H451="NHP",PR!$AS449,IF(H451="NHC",PR!$AT449,IF(H451="OLEAF",PR!$AU449,IF(H451="OCULUS",PR!$AV449,IF(H451="PACIFIC",PR!$AW449,IF(H451="PHAMATEX",PR!$AX449,IF(H451="PETHICS",PR!$AY449,IF(H451="PHILIPS",PR!$AZ449,IF(H451="RANBAXY",PR!$BA449,IF(H451="REALS",PR!$BB449,IF(H451="ROYAL",PR!$BC449,IF(H451="SAM",PR!$BD449,IF(H451="SEAGREEN",PR!$BE449,IF(H451="SKG",PR!$BF449,IF(H451="TAH",PR!$BG449,IF(H451="TAYLEK",PR!$BH449,IF(H451="TEMITA",PR!$BI449,IF(H451="THL",PR!$BJ449,IF(H451="UBASTIC",PR!$BK449,IF(H451="UNION",PR!$BL449,IF(H451="UNIQUE",PR!$BM449,IF(H451="VIXA",PR!$BN449,IF(H451="WWCV",PR!$BO449,IF(H451="ZOLON",PR!$BP449,"-"))))))))))))))))))))))))))))))))))))))))))))))))))))))))))))))))</f>
        <v>65000</v>
      </c>
      <c r="H451" s="102" t="str">
        <f>EV!M568</f>
        <v>ALPHA</v>
      </c>
      <c r="I451" s="108" t="str">
        <f>IF(J451="ALPHA",PR!$E449,IF(J451="ASSENE",PR!$F449,IF(J451="BIOFEM",PR!$G449,IF(J451="BIOMED",PR!$H449,IF(J451="CHI",PR!$I449,IF(J451="CLARION",PR!$J449,IF(J451="CODIX",PR!$K449,IF(J451="COSMADE",PR!$L449,IF(J451="SANCON",PR!$M449,IF(J451="DEVON",PR!$N449,IF(J451="DORTEMAG",PR!$O449,IF(J451="DGF",PR!$P449,IF(J451="DYNAMIC",PR!$Q449,IF(J451="EMZOR",PR!$R449,IF(J451="EUMATT",PR!$S449,IF(J451="FIDSON",PR!$T449,IF(J451="FCGLOBAL",PR!$U449,IF(J451="GENEITH",PR!$V449,IF(J451="GINOS",PR!$W449,IF(J451="GSK",PR!$X449,IF(J451="GLOBORG",PR!$Y449,IF(J451="GOODNEWS",PR!$Z449,IF(J451="GREENLIFE",PR!$AA449,IF(J451="HLINE",PR!$AB449,IF(J451="ROTECH",PR!$AC449,IF(J451="ISN",PR!$AD449,IF(J451="JAWA",PR!$AE449,IF(J451="LAYO",PR!$AF449,IF(J451="LEADWAY",PR!$AG449,IF(J451="LHV",PR!$AH449,IF(J451="MANOLA",PR!$AI449,IF(J451="MARCSON",PR!$AJ449,IF(J451="M&amp;B",PR!$AK449,IF(J451="MTRUST",PR!$AL449,IF(J451="MWORLD",PR!$AM449,IF(J451="MEGA",PR!$AN449,IF(J451="MICRONOVA",PR!$AO449,IF(J451="MFLASH",PR!$AP449,IF(J451="MORISON",PR!$AQ449,IF(J451="NEMEL",PR!$AR449,IF(J451="NHP",PR!$AS449,IF(J451="NHC",PR!$AT449,IF(J451="OLEAF",PR!$AU449,IF(J451="OCULUS",PR!$AV449,IF(J451="PACIFIC",PR!$AW449,IF(J451="PHAMATEX",PR!$AX449,IF(J451="PETHICS",PR!$AY449,IF(J451="PHILIPS",PR!$AZ449,IF(J451="RANBAXY",PR!$BA449,IF(J451="REALS",PR!$BB449,IF(J451="ROYAL",PR!$BC449,IF(J451="SAM",PR!$BD449,IF(J451="SEAGREEN",PR!$BE449,IF(J451="SKG",PR!$BF449,IF(J451="TAH",PR!$BG449,IF(J451="TAYLEK",PR!$BH449,IF(J451="TEMITA",PR!$BI449,IF(J451="THL",PR!$BJ449,IF(J451="UBASTIC",PR!$BK449,IF(J451="UNION",PR!$BL449,IF(J451="UNIQUE",PR!$BM449,IF(J451="VIXA",PR!$BN449,IF(J451="WWCV",PR!$BO449,IF(J451="ZOLON",PR!$BP449,"-"))))))))))))))))))))))))))))))))))))))))))))))))))))))))))))))))</f>
        <v>-</v>
      </c>
      <c r="J451" s="102">
        <f>EV!N568</f>
        <v>0</v>
      </c>
      <c r="K451" s="635" t="s">
        <v>2143</v>
      </c>
      <c r="L451" s="183" t="str">
        <f>IF(K451&gt;0,IF(K451="ALPHA",PR!$E449,IF(K451="ASSENE",PR!$F449,IF(K451="BIOFEM",PR!$G449,IF(K451="BIOMED",PR!$H449,IF(K451="CHI",PR!$I449,IF(K451="CLARION",PR!$J449,IF(K451="CODIX",PR!$K449,IF(K451="COSMADE",PR!$L449,IF(K451="SANCON",PR!$M449,IF(K451="DEVON",PR!$N449,IF(K451="DORTEMAG",PR!$O449,IF(K451="DGF",PR!$P449,IF(K451="DYNAMIC",PR!$Q449,IF(K451="EMZOR",PR!$R449,IF(K451="EUMATT",PR!$S449,IF(K451="FIDSON",PR!$T449,IF(K451="FCGLOBAL",PR!$U449,IF(K451="GENEITH",PR!$V449,IF(K451="GINOS",PR!$W449,IF(K451="GSK",PR!$X449,IF(K451="GLOBORG",PR!$Y449,IF(K451="GOODNEWS",PR!$Z449,IF(K451="GREENLIFE",PR!$AA449,IF(K451="HLINE",PR!$AB449,IF(K451="ROTECH",PR!$AC449,IF(K451="ISN",PR!$AD449,IF(K451="JAWA",PR!$AE449,IF(K451="LAYO",PR!$AF449,IF(K451="LEADWAY",PR!$AG449,IF(K451="LHV",PR!$AH449,IF(K451="MANOLA",PR!$AI449,IF(K451="MARCSON",PR!$AJ449,IF(K451="M&amp;B",PR!$AK449,IF(K451="MTRUST",PR!$AL449,IF(K451="MWORLD",PR!$AM449,IF(K451="MEGA",PR!$AN449,IF(K451="MICRONOVA",PR!$AO449,IF(K451="MFLASH",PR!$AP449,IF(K451="MORISON",PR!$AQ449,IF(K451="NEMEL",PR!$AR449,IF(K451="NHP",PR!$AS449,IF(K451="NHC",PR!$AT449,IF(K451="OLEAF",PR!$AU449,IF(K451="OCULUS",PR!$AV449,IF(K451="PACIFIC",PR!$AW449,IF(K451="PHAMATEX",PR!$AX449,IF(K451="PETHICS",PR!$AY449,IF(K451="PHILIPS",PR!$AZ449,IF(K451="RANBAXY",PR!$BA449,IF(K451="REALS",PR!$BB449,IF(K451="ROYAL",PR!$BC449,IF(K451="SAM",PR!$BD449,IF(K451="SEAGREEN",PR!$BE449,IF(K451="SKG",PR!$BF449,IF(K451="TAH",PR!$BG449,IF(K451="TAYLEK",PR!$BH449,IF(K451="TEMITA",PR!$BI449,IF(K451="THL",PR!$BJ449,IF(K451="UBASTIC",PR!$BK449,IF(K451="UNION",PR!$BL449,IF(K451="UNIQUE",PR!$BM449,IF(K451="VIXA",PR!$BN449,IF(K451="WWCV",PR!$BO449,IF(K451="ZOLON",PR!$BP449,"-")))))))))))))))))))))))))))))))))))))))))))))))))))))))))))))))))</f>
        <v>-</v>
      </c>
    </row>
    <row r="452" spans="1:12" ht="18.75" x14ac:dyDescent="0.3">
      <c r="A452" s="430">
        <f>PR!A450</f>
        <v>409</v>
      </c>
      <c r="B452" s="15" t="str">
        <f>PR!B450</f>
        <v>PANCURONIUM INJ</v>
      </c>
      <c r="C452" s="113" t="str">
        <f>PR!D450</f>
        <v>AMP</v>
      </c>
      <c r="D452" s="113">
        <f>PR!C450</f>
        <v>800</v>
      </c>
      <c r="E452" s="108">
        <f>IF(F452="ALPHA",PR!$E450,IF(F452="ASSENE",PR!$F450,IF(F452="BIOFEM",PR!$G450,IF(F452="BIOMED",PR!$H450,IF(F452="CHI",PR!$I450,IF(F452="CLARION",PR!$J450,IF(F452="CODIX",PR!$K450,IF(F452="COSMADE",PR!$L450,IF(F452="SANCON",PR!$M450,IF(F452="DEVON",PR!$N450,IF(F452="DORTEMAG",PR!$O450,IF(F452="DGF",PR!$P450,IF(F452="DYNAMIC",PR!$Q450,IF(F452="EMZOR",PR!$R450,IF(F452="EUMATT",PR!$S450,IF(F452="FIDSON",PR!$T450,IF(F452="FCGLOBAL",PR!$U450,IF(F452="GENEITH",PR!$V450,IF(F452="GINOS",PR!$W450,IF(F452="GSK",PR!$X450,IF(F452="GLOBORG",PR!$Y450,IF(F452="GOODNEWS",PR!$Z450,IF(F452="GREENLIFE",PR!$AA450,IF(F452="HLINE",PR!$AB450,IF(F452="ROTECH",PR!$AC450,IF(F452="ISN",PR!$AD450,IF(F452="JAWA",PR!$AE450,IF(F452="LAYO",PR!$AF450,IF(F452="LEADWAY",PR!$AG450,IF(F452="LHV",PR!$AH450,IF(F452="MANOLA",PR!$AI450,IF(F452="MARCSON",PR!$AJ450,IF(F452="M&amp;B",PR!$AK450,IF(F452="MTRUST",PR!$AL450,IF(F452="MWORLD",PR!$AM450,IF(F452="MEGA",PR!$AN450,IF(F452="MICRONOVA",PR!$AO450,IF(F452="MFLASH",PR!$AP450,IF(F452="MORISON",PR!$AQ450,IF(F452="NEMEL",PR!$AR450,IF(F452="NHP",PR!$AS450,IF(F452="NHC",PR!$AT450,IF(F452="OLEAF",PR!$AU450,IF(F452="OCULUS",PR!$AV450,IF(F452="PACIFIC",PR!$AW450,IF(F452="PHAMATEX",PR!$AX450,IF(F452="PETHICS",PR!$AY450,IF(F452="PHILIPS",PR!$AZ450,IF(F452="RANBAXY",PR!$BA450,IF(F452="REALS",PR!$BB450,IF(F452="ROYAL",PR!$BC450,IF(F452="SAM",PR!$BD450,IF(F452="SEAGREEN",PR!$BE450,IF(F452="SKG",PR!$BF450,IF(F452="TAH",PR!$BG450,IF(F452="TAYLEK",PR!$BH450,IF(F452="TEMITA",PR!$BI450,IF(F452="THL",PR!$BJ450,IF(F452="UBASTIC",PR!$BK450,IF(F452="UNION",PR!$BL450,IF(F452="UNIQUE",PR!$BM450,IF(F452="VIXA",PR!$BN450,IF(F452="WWCV",PR!$BO450,IF(F452="ZOLON",PR!$BP450,"-"))))))))))))))))))))))))))))))))))))))))))))))))))))))))))))))))</f>
        <v>580</v>
      </c>
      <c r="F452" s="102" t="str">
        <f>EV!L569</f>
        <v>EUMATT</v>
      </c>
      <c r="G452" s="108">
        <f>IF(H452="ALPHA",PR!$E450,IF(H452="ASSENE",PR!$F450,IF(H452="BIOFEM",PR!$G450,IF(H452="BIOMED",PR!$H450,IF(H452="CHI",PR!$I450,IF(H452="CLARION",PR!$J450,IF(H452="CODIX",PR!$K450,IF(H452="COSMADE",PR!$L450,IF(H452="SANCON",PR!$M450,IF(H452="DEVON",PR!$N450,IF(H452="DORTEMAG",PR!$O450,IF(H452="DGF",PR!$P450,IF(H452="DYNAMIC",PR!$Q450,IF(H452="EMZOR",PR!$R450,IF(H452="EUMATT",PR!$S450,IF(H452="FIDSON",PR!$T450,IF(H452="FCGLOBAL",PR!$U450,IF(H452="GENEITH",PR!$V450,IF(H452="GINOS",PR!$W450,IF(H452="GSK",PR!$X450,IF(H452="GLOBORG",PR!$Y450,IF(H452="GOODNEWS",PR!$Z450,IF(H452="GREENLIFE",PR!$AA450,IF(H452="HLINE",PR!$AB450,IF(H452="ROTECH",PR!$AC450,IF(H452="ISN",PR!$AD450,IF(H452="JAWA",PR!$AE450,IF(H452="LAYO",PR!$AF450,IF(H452="LEADWAY",PR!$AG450,IF(H452="LHV",PR!$AH450,IF(H452="MANOLA",PR!$AI450,IF(H452="MARCSON",PR!$AJ450,IF(H452="M&amp;B",PR!$AK450,IF(H452="MTRUST",PR!$AL450,IF(H452="MWORLD",PR!$AM450,IF(H452="MEGA",PR!$AN450,IF(H452="MICRONOVA",PR!$AO450,IF(H452="MFLASH",PR!$AP450,IF(H452="MORISON",PR!$AQ450,IF(H452="NEMEL",PR!$AR450,IF(H452="NHP",PR!$AS450,IF(H452="NHC",PR!$AT450,IF(H452="OLEAF",PR!$AU450,IF(H452="OCULUS",PR!$AV450,IF(H452="PACIFIC",PR!$AW450,IF(H452="PHAMATEX",PR!$AX450,IF(H452="PETHICS",PR!$AY450,IF(H452="PHILIPS",PR!$AZ450,IF(H452="RANBAXY",PR!$BA450,IF(H452="REALS",PR!$BB450,IF(H452="ROYAL",PR!$BC450,IF(H452="SAM",PR!$BD450,IF(H452="SEAGREEN",PR!$BE450,IF(H452="SKG",PR!$BF450,IF(H452="TAH",PR!$BG450,IF(H452="TAYLEK",PR!$BH450,IF(H452="TEMITA",PR!$BI450,IF(H452="THL",PR!$BJ450,IF(H452="UBASTIC",PR!$BK450,IF(H452="UNION",PR!$BL450,IF(H452="UNIQUE",PR!$BM450,IF(H452="VIXA",PR!$BN450,IF(H452="WWCV",PR!$BO450,IF(H452="ZOLON",PR!$BP450,"-"))))))))))))))))))))))))))))))))))))))))))))))))))))))))))))))))</f>
        <v>650</v>
      </c>
      <c r="H452" s="102" t="str">
        <f>EV!M569</f>
        <v>ALPHA</v>
      </c>
      <c r="I452" s="108" t="str">
        <f>IF(J452="ALPHA",PR!$E450,IF(J452="ASSENE",PR!$F450,IF(J452="BIOFEM",PR!$G450,IF(J452="BIOMED",PR!$H450,IF(J452="CHI",PR!$I450,IF(J452="CLARION",PR!$J450,IF(J452="CODIX",PR!$K450,IF(J452="COSMADE",PR!$L450,IF(J452="SANCON",PR!$M450,IF(J452="DEVON",PR!$N450,IF(J452="DORTEMAG",PR!$O450,IF(J452="DGF",PR!$P450,IF(J452="DYNAMIC",PR!$Q450,IF(J452="EMZOR",PR!$R450,IF(J452="EUMATT",PR!$S450,IF(J452="FIDSON",PR!$T450,IF(J452="FCGLOBAL",PR!$U450,IF(J452="GENEITH",PR!$V450,IF(J452="GINOS",PR!$W450,IF(J452="GSK",PR!$X450,IF(J452="GLOBORG",PR!$Y450,IF(J452="GOODNEWS",PR!$Z450,IF(J452="GREENLIFE",PR!$AA450,IF(J452="HLINE",PR!$AB450,IF(J452="ROTECH",PR!$AC450,IF(J452="ISN",PR!$AD450,IF(J452="JAWA",PR!$AE450,IF(J452="LAYO",PR!$AF450,IF(J452="LEADWAY",PR!$AG450,IF(J452="LHV",PR!$AH450,IF(J452="MANOLA",PR!$AI450,IF(J452="MARCSON",PR!$AJ450,IF(J452="M&amp;B",PR!$AK450,IF(J452="MTRUST",PR!$AL450,IF(J452="MWORLD",PR!$AM450,IF(J452="MEGA",PR!$AN450,IF(J452="MICRONOVA",PR!$AO450,IF(J452="MFLASH",PR!$AP450,IF(J452="MORISON",PR!$AQ450,IF(J452="NEMEL",PR!$AR450,IF(J452="NHP",PR!$AS450,IF(J452="NHC",PR!$AT450,IF(J452="OLEAF",PR!$AU450,IF(J452="OCULUS",PR!$AV450,IF(J452="PACIFIC",PR!$AW450,IF(J452="PHAMATEX",PR!$AX450,IF(J452="PETHICS",PR!$AY450,IF(J452="PHILIPS",PR!$AZ450,IF(J452="RANBAXY",PR!$BA450,IF(J452="REALS",PR!$BB450,IF(J452="ROYAL",PR!$BC450,IF(J452="SAM",PR!$BD450,IF(J452="SEAGREEN",PR!$BE450,IF(J452="SKG",PR!$BF450,IF(J452="TAH",PR!$BG450,IF(J452="TAYLEK",PR!$BH450,IF(J452="TEMITA",PR!$BI450,IF(J452="THL",PR!$BJ450,IF(J452="UBASTIC",PR!$BK450,IF(J452="UNION",PR!$BL450,IF(J452="UNIQUE",PR!$BM450,IF(J452="VIXA",PR!$BN450,IF(J452="WWCV",PR!$BO450,IF(J452="ZOLON",PR!$BP450,"-"))))))))))))))))))))))))))))))))))))))))))))))))))))))))))))))))</f>
        <v>-</v>
      </c>
      <c r="J452" s="102">
        <f>EV!N569</f>
        <v>0</v>
      </c>
      <c r="K452" s="433" t="s">
        <v>634</v>
      </c>
      <c r="L452" s="183">
        <f>IF(K452&gt;0,IF(K452="ALPHA",PR!$E450,IF(K452="ASSENE",PR!$F450,IF(K452="BIOFEM",PR!$G450,IF(K452="BIOMED",PR!$H450,IF(K452="CHI",PR!$I450,IF(K452="CLARION",PR!$J450,IF(K452="CODIX",PR!$K450,IF(K452="COSMADE",PR!$L450,IF(K452="SANCON",PR!$M450,IF(K452="DEVON",PR!$N450,IF(K452="DORTEMAG",PR!$O450,IF(K452="DGF",PR!$P450,IF(K452="DYNAMIC",PR!$Q450,IF(K452="EMZOR",PR!$R450,IF(K452="EUMATT",PR!$S450,IF(K452="FIDSON",PR!$T450,IF(K452="FCGLOBAL",PR!$U450,IF(K452="GENEITH",PR!$V450,IF(K452="GINOS",PR!$W450,IF(K452="GSK",PR!$X450,IF(K452="GLOBORG",PR!$Y450,IF(K452="GOODNEWS",PR!$Z450,IF(K452="GREENLIFE",PR!$AA450,IF(K452="HLINE",PR!$AB450,IF(K452="ROTECH",PR!$AC450,IF(K452="ISN",PR!$AD450,IF(K452="JAWA",PR!$AE450,IF(K452="LAYO",PR!$AF450,IF(K452="LEADWAY",PR!$AG450,IF(K452="LHV",PR!$AH450,IF(K452="MANOLA",PR!$AI450,IF(K452="MARCSON",PR!$AJ450,IF(K452="M&amp;B",PR!$AK450,IF(K452="MTRUST",PR!$AL450,IF(K452="MWORLD",PR!$AM450,IF(K452="MEGA",PR!$AN450,IF(K452="MICRONOVA",PR!$AO450,IF(K452="MFLASH",PR!$AP450,IF(K452="MORISON",PR!$AQ450,IF(K452="NEMEL",PR!$AR450,IF(K452="NHP",PR!$AS450,IF(K452="NHC",PR!$AT450,IF(K452="OLEAF",PR!$AU450,IF(K452="OCULUS",PR!$AV450,IF(K452="PACIFIC",PR!$AW450,IF(K452="PHAMATEX",PR!$AX450,IF(K452="PETHICS",PR!$AY450,IF(K452="PHILIPS",PR!$AZ450,IF(K452="RANBAXY",PR!$BA450,IF(K452="REALS",PR!$BB450,IF(K452="ROYAL",PR!$BC450,IF(K452="SAM",PR!$BD450,IF(K452="SEAGREEN",PR!$BE450,IF(K452="SKG",PR!$BF450,IF(K452="TAH",PR!$BG450,IF(K452="TAYLEK",PR!$BH450,IF(K452="TEMITA",PR!$BI450,IF(K452="THL",PR!$BJ450,IF(K452="UBASTIC",PR!$BK450,IF(K452="UNION",PR!$BL450,IF(K452="UNIQUE",PR!$BM450,IF(K452="VIXA",PR!$BN450,IF(K452="WWCV",PR!$BO450,IF(K452="ZOLON",PR!$BP450,"-")))))))))))))))))))))))))))))))))))))))))))))))))))))))))))))))))</f>
        <v>650</v>
      </c>
    </row>
    <row r="453" spans="1:12" ht="18.75" x14ac:dyDescent="0.3">
      <c r="A453" s="430">
        <f>PR!A451</f>
        <v>410</v>
      </c>
      <c r="B453" s="15" t="str">
        <f>PR!B451</f>
        <v>PROPOFOL 1%</v>
      </c>
      <c r="C453" s="113" t="str">
        <f>PR!D451</f>
        <v>VIAL</v>
      </c>
      <c r="D453" s="113">
        <f>PR!C451</f>
        <v>800</v>
      </c>
      <c r="E453" s="108">
        <f>IF(F453="ALPHA",PR!$E451,IF(F453="ASSENE",PR!$F451,IF(F453="BIOFEM",PR!$G451,IF(F453="BIOMED",PR!$H451,IF(F453="CHI",PR!$I451,IF(F453="CLARION",PR!$J451,IF(F453="CODIX",PR!$K451,IF(F453="COSMADE",PR!$L451,IF(F453="SANCON",PR!$M451,IF(F453="DEVON",PR!$N451,IF(F453="DORTEMAG",PR!$O451,IF(F453="DGF",PR!$P451,IF(F453="DYNAMIC",PR!$Q451,IF(F453="EMZOR",PR!$R451,IF(F453="EUMATT",PR!$S451,IF(F453="FIDSON",PR!$T451,IF(F453="FCGLOBAL",PR!$U451,IF(F453="GENEITH",PR!$V451,IF(F453="GINOS",PR!$W451,IF(F453="GSK",PR!$X451,IF(F453="GLOBORG",PR!$Y451,IF(F453="GOODNEWS",PR!$Z451,IF(F453="GREENLIFE",PR!$AA451,IF(F453="HLINE",PR!$AB451,IF(F453="ROTECH",PR!$AC451,IF(F453="ISN",PR!$AD451,IF(F453="JAWA",PR!$AE451,IF(F453="LAYO",PR!$AF451,IF(F453="LEADWAY",PR!$AG451,IF(F453="LHV",PR!$AH451,IF(F453="MANOLA",PR!$AI451,IF(F453="MARCSON",PR!$AJ451,IF(F453="M&amp;B",PR!$AK451,IF(F453="MTRUST",PR!$AL451,IF(F453="MWORLD",PR!$AM451,IF(F453="MEGA",PR!$AN451,IF(F453="MICRONOVA",PR!$AO451,IF(F453="MFLASH",PR!$AP451,IF(F453="MORISON",PR!$AQ451,IF(F453="NEMEL",PR!$AR451,IF(F453="NHP",PR!$AS451,IF(F453="NHC",PR!$AT451,IF(F453="OLEAF",PR!$AU451,IF(F453="OCULUS",PR!$AV451,IF(F453="PACIFIC",PR!$AW451,IF(F453="PHAMATEX",PR!$AX451,IF(F453="PETHICS",PR!$AY451,IF(F453="PHILIPS",PR!$AZ451,IF(F453="RANBAXY",PR!$BA451,IF(F453="REALS",PR!$BB451,IF(F453="ROYAL",PR!$BC451,IF(F453="SAM",PR!$BD451,IF(F453="SEAGREEN",PR!$BE451,IF(F453="SKG",PR!$BF451,IF(F453="TAH",PR!$BG451,IF(F453="TAYLEK",PR!$BH451,IF(F453="TEMITA",PR!$BI451,IF(F453="THL",PR!$BJ451,IF(F453="UBASTIC",PR!$BK451,IF(F453="UNION",PR!$BL451,IF(F453="UNIQUE",PR!$BM451,IF(F453="VIXA",PR!$BN451,IF(F453="WWCV",PR!$BO451,IF(F453="ZOLON",PR!$BP451,"-"))))))))))))))))))))))))))))))))))))))))))))))))))))))))))))))))</f>
        <v>800</v>
      </c>
      <c r="F453" s="102" t="str">
        <f>EV!L570</f>
        <v>TAH</v>
      </c>
      <c r="G453" s="108">
        <f>IF(H453="ALPHA",PR!$E451,IF(H453="ASSENE",PR!$F451,IF(H453="BIOFEM",PR!$G451,IF(H453="BIOMED",PR!$H451,IF(H453="CHI",PR!$I451,IF(H453="CLARION",PR!$J451,IF(H453="CODIX",PR!$K451,IF(H453="COSMADE",PR!$L451,IF(H453="SANCON",PR!$M451,IF(H453="DEVON",PR!$N451,IF(H453="DORTEMAG",PR!$O451,IF(H453="DGF",PR!$P451,IF(H453="DYNAMIC",PR!$Q451,IF(H453="EMZOR",PR!$R451,IF(H453="EUMATT",PR!$S451,IF(H453="FIDSON",PR!$T451,IF(H453="FCGLOBAL",PR!$U451,IF(H453="GENEITH",PR!$V451,IF(H453="GINOS",PR!$W451,IF(H453="GSK",PR!$X451,IF(H453="GLOBORG",PR!$Y451,IF(H453="GOODNEWS",PR!$Z451,IF(H453="GREENLIFE",PR!$AA451,IF(H453="HLINE",PR!$AB451,IF(H453="ROTECH",PR!$AC451,IF(H453="ISN",PR!$AD451,IF(H453="JAWA",PR!$AE451,IF(H453="LAYO",PR!$AF451,IF(H453="LEADWAY",PR!$AG451,IF(H453="LHV",PR!$AH451,IF(H453="MANOLA",PR!$AI451,IF(H453="MARCSON",PR!$AJ451,IF(H453="M&amp;B",PR!$AK451,IF(H453="MTRUST",PR!$AL451,IF(H453="MWORLD",PR!$AM451,IF(H453="MEGA",PR!$AN451,IF(H453="MICRONOVA",PR!$AO451,IF(H453="MFLASH",PR!$AP451,IF(H453="MORISON",PR!$AQ451,IF(H453="NEMEL",PR!$AR451,IF(H453="NHP",PR!$AS451,IF(H453="NHC",PR!$AT451,IF(H453="OLEAF",PR!$AU451,IF(H453="OCULUS",PR!$AV451,IF(H453="PACIFIC",PR!$AW451,IF(H453="PHAMATEX",PR!$AX451,IF(H453="PETHICS",PR!$AY451,IF(H453="PHILIPS",PR!$AZ451,IF(H453="RANBAXY",PR!$BA451,IF(H453="REALS",PR!$BB451,IF(H453="ROYAL",PR!$BC451,IF(H453="SAM",PR!$BD451,IF(H453="SEAGREEN",PR!$BE451,IF(H453="SKG",PR!$BF451,IF(H453="TAH",PR!$BG451,IF(H453="TAYLEK",PR!$BH451,IF(H453="TEMITA",PR!$BI451,IF(H453="THL",PR!$BJ451,IF(H453="UBASTIC",PR!$BK451,IF(H453="UNION",PR!$BL451,IF(H453="UNIQUE",PR!$BM451,IF(H453="VIXA",PR!$BN451,IF(H453="WWCV",PR!$BO451,IF(H453="ZOLON",PR!$BP451,"-"))))))))))))))))))))))))))))))))))))))))))))))))))))))))))))))))</f>
        <v>1008</v>
      </c>
      <c r="H453" s="102" t="str">
        <f>EV!M570</f>
        <v>JAWA</v>
      </c>
      <c r="I453" s="108">
        <f>IF(J453="ALPHA",PR!$E451,IF(J453="ASSENE",PR!$F451,IF(J453="BIOFEM",PR!$G451,IF(J453="BIOMED",PR!$H451,IF(J453="CHI",PR!$I451,IF(J453="CLARION",PR!$J451,IF(J453="CODIX",PR!$K451,IF(J453="COSMADE",PR!$L451,IF(J453="SANCON",PR!$M451,IF(J453="DEVON",PR!$N451,IF(J453="DORTEMAG",PR!$O451,IF(J453="DGF",PR!$P451,IF(J453="DYNAMIC",PR!$Q451,IF(J453="EMZOR",PR!$R451,IF(J453="EUMATT",PR!$S451,IF(J453="FIDSON",PR!$T451,IF(J453="FCGLOBAL",PR!$U451,IF(J453="GENEITH",PR!$V451,IF(J453="GINOS",PR!$W451,IF(J453="GSK",PR!$X451,IF(J453="GLOBORG",PR!$Y451,IF(J453="GOODNEWS",PR!$Z451,IF(J453="GREENLIFE",PR!$AA451,IF(J453="HLINE",PR!$AB451,IF(J453="ROTECH",PR!$AC451,IF(J453="ISN",PR!$AD451,IF(J453="JAWA",PR!$AE451,IF(J453="LAYO",PR!$AF451,IF(J453="LEADWAY",PR!$AG451,IF(J453="LHV",PR!$AH451,IF(J453="MANOLA",PR!$AI451,IF(J453="MARCSON",PR!$AJ451,IF(J453="M&amp;B",PR!$AK451,IF(J453="MTRUST",PR!$AL451,IF(J453="MWORLD",PR!$AM451,IF(J453="MEGA",PR!$AN451,IF(J453="MICRONOVA",PR!$AO451,IF(J453="MFLASH",PR!$AP451,IF(J453="MORISON",PR!$AQ451,IF(J453="NEMEL",PR!$AR451,IF(J453="NHP",PR!$AS451,IF(J453="NHC",PR!$AT451,IF(J453="OLEAF",PR!$AU451,IF(J453="OCULUS",PR!$AV451,IF(J453="PACIFIC",PR!$AW451,IF(J453="PHAMATEX",PR!$AX451,IF(J453="PETHICS",PR!$AY451,IF(J453="PHILIPS",PR!$AZ451,IF(J453="RANBAXY",PR!$BA451,IF(J453="REALS",PR!$BB451,IF(J453="ROYAL",PR!$BC451,IF(J453="SAM",PR!$BD451,IF(J453="SEAGREEN",PR!$BE451,IF(J453="SKG",PR!$BF451,IF(J453="TAH",PR!$BG451,IF(J453="TAYLEK",PR!$BH451,IF(J453="TEMITA",PR!$BI451,IF(J453="THL",PR!$BJ451,IF(J453="UBASTIC",PR!$BK451,IF(J453="UNION",PR!$BL451,IF(J453="UNIQUE",PR!$BM451,IF(J453="VIXA",PR!$BN451,IF(J453="WWCV",PR!$BO451,IF(J453="ZOLON",PR!$BP451,"-"))))))))))))))))))))))))))))))))))))))))))))))))))))))))))))))))</f>
        <v>1850</v>
      </c>
      <c r="J453" s="102" t="str">
        <f>EV!N570</f>
        <v>ALPHA</v>
      </c>
      <c r="K453" s="433" t="s">
        <v>2144</v>
      </c>
      <c r="L453" s="183" t="str">
        <f>IF(K453&gt;0,IF(K453="ALPHA",PR!$E451,IF(K453="ASSENE",PR!$F451,IF(K453="BIOFEM",PR!$G451,IF(K453="BIOMED",PR!$H451,IF(K453="CHI",PR!$I451,IF(K453="CLARION",PR!$J451,IF(K453="CODIX",PR!$K451,IF(K453="COSMADE",PR!$L451,IF(K453="SANCON",PR!$M451,IF(K453="DEVON",PR!$N451,IF(K453="DORTEMAG",PR!$O451,IF(K453="DGF",PR!$P451,IF(K453="DYNAMIC",PR!$Q451,IF(K453="EMZOR",PR!$R451,IF(K453="EUMATT",PR!$S451,IF(K453="FIDSON",PR!$T451,IF(K453="FCGLOBAL",PR!$U451,IF(K453="GENEITH",PR!$V451,IF(K453="GINOS",PR!$W451,IF(K453="GSK",PR!$X451,IF(K453="GLOBORG",PR!$Y451,IF(K453="GOODNEWS",PR!$Z451,IF(K453="GREENLIFE",PR!$AA451,IF(K453="HLINE",PR!$AB451,IF(K453="ROTECH",PR!$AC451,IF(K453="ISN",PR!$AD451,IF(K453="JAWA",PR!$AE451,IF(K453="LAYO",PR!$AF451,IF(K453="LEADWAY",PR!$AG451,IF(K453="LHV",PR!$AH451,IF(K453="MANOLA",PR!$AI451,IF(K453="MARCSON",PR!$AJ451,IF(K453="M&amp;B",PR!$AK451,IF(K453="MTRUST",PR!$AL451,IF(K453="MWORLD",PR!$AM451,IF(K453="MEGA",PR!$AN451,IF(K453="MICRONOVA",PR!$AO451,IF(K453="MFLASH",PR!$AP451,IF(K453="MORISON",PR!$AQ451,IF(K453="NEMEL",PR!$AR451,IF(K453="NHP",PR!$AS451,IF(K453="NHC",PR!$AT451,IF(K453="OLEAF",PR!$AU451,IF(K453="OCULUS",PR!$AV451,IF(K453="PACIFIC",PR!$AW451,IF(K453="PHAMATEX",PR!$AX451,IF(K453="PETHICS",PR!$AY451,IF(K453="PHILIPS",PR!$AZ451,IF(K453="RANBAXY",PR!$BA451,IF(K453="REALS",PR!$BB451,IF(K453="ROYAL",PR!$BC451,IF(K453="SAM",PR!$BD451,IF(K453="SEAGREEN",PR!$BE451,IF(K453="SKG",PR!$BF451,IF(K453="TAH",PR!$BG451,IF(K453="TAYLEK",PR!$BH451,IF(K453="TEMITA",PR!$BI451,IF(K453="THL",PR!$BJ451,IF(K453="UBASTIC",PR!$BK451,IF(K453="UNION",PR!$BL451,IF(K453="UNIQUE",PR!$BM451,IF(K453="VIXA",PR!$BN451,IF(K453="WWCV",PR!$BO451,IF(K453="ZOLON",PR!$BP451,"-")))))))))))))))))))))))))))))))))))))))))))))))))))))))))))))))))</f>
        <v>-</v>
      </c>
    </row>
    <row r="454" spans="1:12" ht="18.75" x14ac:dyDescent="0.3">
      <c r="A454" s="430">
        <f>PR!A452</f>
        <v>411</v>
      </c>
      <c r="B454" s="15" t="str">
        <f>PR!B452</f>
        <v>SEVOFLUORANE</v>
      </c>
      <c r="C454" s="113" t="str">
        <f>PR!D452</f>
        <v>250ML</v>
      </c>
      <c r="D454" s="113">
        <f>PR!C452</f>
        <v>60</v>
      </c>
      <c r="E454" s="108">
        <f>IF(F454="ALPHA",PR!$E452,IF(F454="ASSENE",PR!$F452,IF(F454="BIOFEM",PR!$G452,IF(F454="BIOMED",PR!$H452,IF(F454="CHI",PR!$I452,IF(F454="CLARION",PR!$J452,IF(F454="CODIX",PR!$K452,IF(F454="COSMADE",PR!$L452,IF(F454="SANCON",PR!$M452,IF(F454="DEVON",PR!$N452,IF(F454="DORTEMAG",PR!$O452,IF(F454="DGF",PR!$P452,IF(F454="DYNAMIC",PR!$Q452,IF(F454="EMZOR",PR!$R452,IF(F454="EUMATT",PR!$S452,IF(F454="FIDSON",PR!$T452,IF(F454="FCGLOBAL",PR!$U452,IF(F454="GENEITH",PR!$V452,IF(F454="GINOS",PR!$W452,IF(F454="GSK",PR!$X452,IF(F454="GLOBORG",PR!$Y452,IF(F454="GOODNEWS",PR!$Z452,IF(F454="GREENLIFE",PR!$AA452,IF(F454="HLINE",PR!$AB452,IF(F454="ROTECH",PR!$AC452,IF(F454="ISN",PR!$AD452,IF(F454="JAWA",PR!$AE452,IF(F454="LAYO",PR!$AF452,IF(F454="LEADWAY",PR!$AG452,IF(F454="LHV",PR!$AH452,IF(F454="MANOLA",PR!$AI452,IF(F454="MARCSON",PR!$AJ452,IF(F454="M&amp;B",PR!$AK452,IF(F454="MTRUST",PR!$AL452,IF(F454="MWORLD",PR!$AM452,IF(F454="MEGA",PR!$AN452,IF(F454="MICRONOVA",PR!$AO452,IF(F454="MFLASH",PR!$AP452,IF(F454="MORISON",PR!$AQ452,IF(F454="NEMEL",PR!$AR452,IF(F454="NHP",PR!$AS452,IF(F454="NHC",PR!$AT452,IF(F454="OLEAF",PR!$AU452,IF(F454="OCULUS",PR!$AV452,IF(F454="PACIFIC",PR!$AW452,IF(F454="PHAMATEX",PR!$AX452,IF(F454="PETHICS",PR!$AY452,IF(F454="PHILIPS",PR!$AZ452,IF(F454="RANBAXY",PR!$BA452,IF(F454="REALS",PR!$BB452,IF(F454="ROYAL",PR!$BC452,IF(F454="SAM",PR!$BD452,IF(F454="SEAGREEN",PR!$BE452,IF(F454="SKG",PR!$BF452,IF(F454="TAH",PR!$BG452,IF(F454="TAYLEK",PR!$BH452,IF(F454="TEMITA",PR!$BI452,IF(F454="THL",PR!$BJ452,IF(F454="UBASTIC",PR!$BK452,IF(F454="UNION",PR!$BL452,IF(F454="UNIQUE",PR!$BM452,IF(F454="VIXA",PR!$BN452,IF(F454="WWCV",PR!$BO452,IF(F454="ZOLON",PR!$BP452,"-"))))))))))))))))))))))))))))))))))))))))))))))))))))))))))))))))</f>
        <v>60000</v>
      </c>
      <c r="F454" s="102" t="str">
        <f>EV!L571</f>
        <v>ALPHA</v>
      </c>
      <c r="G454" s="108">
        <f>IF(H454="ALPHA",PR!$E452,IF(H454="ASSENE",PR!$F452,IF(H454="BIOFEM",PR!$G452,IF(H454="BIOMED",PR!$H452,IF(H454="CHI",PR!$I452,IF(H454="CLARION",PR!$J452,IF(H454="CODIX",PR!$K452,IF(H454="COSMADE",PR!$L452,IF(H454="SANCON",PR!$M452,IF(H454="DEVON",PR!$N452,IF(H454="DORTEMAG",PR!$O452,IF(H454="DGF",PR!$P452,IF(H454="DYNAMIC",PR!$Q452,IF(H454="EMZOR",PR!$R452,IF(H454="EUMATT",PR!$S452,IF(H454="FIDSON",PR!$T452,IF(H454="FCGLOBAL",PR!$U452,IF(H454="GENEITH",PR!$V452,IF(H454="GINOS",PR!$W452,IF(H454="GSK",PR!$X452,IF(H454="GLOBORG",PR!$Y452,IF(H454="GOODNEWS",PR!$Z452,IF(H454="GREENLIFE",PR!$AA452,IF(H454="HLINE",PR!$AB452,IF(H454="ROTECH",PR!$AC452,IF(H454="ISN",PR!$AD452,IF(H454="JAWA",PR!$AE452,IF(H454="LAYO",PR!$AF452,IF(H454="LEADWAY",PR!$AG452,IF(H454="LHV",PR!$AH452,IF(H454="MANOLA",PR!$AI452,IF(H454="MARCSON",PR!$AJ452,IF(H454="M&amp;B",PR!$AK452,IF(H454="MTRUST",PR!$AL452,IF(H454="MWORLD",PR!$AM452,IF(H454="MEGA",PR!$AN452,IF(H454="MICRONOVA",PR!$AO452,IF(H454="MFLASH",PR!$AP452,IF(H454="MORISON",PR!$AQ452,IF(H454="NEMEL",PR!$AR452,IF(H454="NHP",PR!$AS452,IF(H454="NHC",PR!$AT452,IF(H454="OLEAF",PR!$AU452,IF(H454="OCULUS",PR!$AV452,IF(H454="PACIFIC",PR!$AW452,IF(H454="PHAMATEX",PR!$AX452,IF(H454="PETHICS",PR!$AY452,IF(H454="PHILIPS",PR!$AZ452,IF(H454="RANBAXY",PR!$BA452,IF(H454="REALS",PR!$BB452,IF(H454="ROYAL",PR!$BC452,IF(H454="SAM",PR!$BD452,IF(H454="SEAGREEN",PR!$BE452,IF(H454="SKG",PR!$BF452,IF(H454="TAH",PR!$BG452,IF(H454="TAYLEK",PR!$BH452,IF(H454="TEMITA",PR!$BI452,IF(H454="THL",PR!$BJ452,IF(H454="UBASTIC",PR!$BK452,IF(H454="UNION",PR!$BL452,IF(H454="UNIQUE",PR!$BM452,IF(H454="VIXA",PR!$BN452,IF(H454="WWCV",PR!$BO452,IF(H454="ZOLON",PR!$BP452,"-"))))))))))))))))))))))))))))))))))))))))))))))))))))))))))))))))</f>
        <v>60000</v>
      </c>
      <c r="H454" s="102" t="str">
        <f>EV!M571</f>
        <v>PHILIPS</v>
      </c>
      <c r="I454" s="108" t="str">
        <f>IF(J454="ALPHA",PR!$E452,IF(J454="ASSENE",PR!$F452,IF(J454="BIOFEM",PR!$G452,IF(J454="BIOMED",PR!$H452,IF(J454="CHI",PR!$I452,IF(J454="CLARION",PR!$J452,IF(J454="CODIX",PR!$K452,IF(J454="COSMADE",PR!$L452,IF(J454="SANCON",PR!$M452,IF(J454="DEVON",PR!$N452,IF(J454="DORTEMAG",PR!$O452,IF(J454="DGF",PR!$P452,IF(J454="DYNAMIC",PR!$Q452,IF(J454="EMZOR",PR!$R452,IF(J454="EUMATT",PR!$S452,IF(J454="FIDSON",PR!$T452,IF(J454="FCGLOBAL",PR!$U452,IF(J454="GENEITH",PR!$V452,IF(J454="GINOS",PR!$W452,IF(J454="GSK",PR!$X452,IF(J454="GLOBORG",PR!$Y452,IF(J454="GOODNEWS",PR!$Z452,IF(J454="GREENLIFE",PR!$AA452,IF(J454="HLINE",PR!$AB452,IF(J454="ROTECH",PR!$AC452,IF(J454="ISN",PR!$AD452,IF(J454="JAWA",PR!$AE452,IF(J454="LAYO",PR!$AF452,IF(J454="LEADWAY",PR!$AG452,IF(J454="LHV",PR!$AH452,IF(J454="MANOLA",PR!$AI452,IF(J454="MARCSON",PR!$AJ452,IF(J454="M&amp;B",PR!$AK452,IF(J454="MTRUST",PR!$AL452,IF(J454="MWORLD",PR!$AM452,IF(J454="MEGA",PR!$AN452,IF(J454="MICRONOVA",PR!$AO452,IF(J454="MFLASH",PR!$AP452,IF(J454="MORISON",PR!$AQ452,IF(J454="NEMEL",PR!$AR452,IF(J454="NHP",PR!$AS452,IF(J454="NHC",PR!$AT452,IF(J454="OLEAF",PR!$AU452,IF(J454="OCULUS",PR!$AV452,IF(J454="PACIFIC",PR!$AW452,IF(J454="PHAMATEX",PR!$AX452,IF(J454="PETHICS",PR!$AY452,IF(J454="PHILIPS",PR!$AZ452,IF(J454="RANBAXY",PR!$BA452,IF(J454="REALS",PR!$BB452,IF(J454="ROYAL",PR!$BC452,IF(J454="SAM",PR!$BD452,IF(J454="SEAGREEN",PR!$BE452,IF(J454="SKG",PR!$BF452,IF(J454="TAH",PR!$BG452,IF(J454="TAYLEK",PR!$BH452,IF(J454="TEMITA",PR!$BI452,IF(J454="THL",PR!$BJ452,IF(J454="UBASTIC",PR!$BK452,IF(J454="UNION",PR!$BL452,IF(J454="UNIQUE",PR!$BM452,IF(J454="VIXA",PR!$BN452,IF(J454="WWCV",PR!$BO452,IF(J454="ZOLON",PR!$BP452,"-"))))))))))))))))))))))))))))))))))))))))))))))))))))))))))))))))</f>
        <v>-</v>
      </c>
      <c r="J454" s="102">
        <f>EV!N571</f>
        <v>0</v>
      </c>
      <c r="K454" s="433" t="s">
        <v>634</v>
      </c>
      <c r="L454" s="183">
        <f>IF(K454&gt;0,IF(K454="ALPHA",PR!$E452,IF(K454="ASSENE",PR!$F452,IF(K454="BIOFEM",PR!$G452,IF(K454="BIOMED",PR!$H452,IF(K454="CHI",PR!$I452,IF(K454="CLARION",PR!$J452,IF(K454="CODIX",PR!$K452,IF(K454="COSMADE",PR!$L452,IF(K454="SANCON",PR!$M452,IF(K454="DEVON",PR!$N452,IF(K454="DORTEMAG",PR!$O452,IF(K454="DGF",PR!$P452,IF(K454="DYNAMIC",PR!$Q452,IF(K454="EMZOR",PR!$R452,IF(K454="EUMATT",PR!$S452,IF(K454="FIDSON",PR!$T452,IF(K454="FCGLOBAL",PR!$U452,IF(K454="GENEITH",PR!$V452,IF(K454="GINOS",PR!$W452,IF(K454="GSK",PR!$X452,IF(K454="GLOBORG",PR!$Y452,IF(K454="GOODNEWS",PR!$Z452,IF(K454="GREENLIFE",PR!$AA452,IF(K454="HLINE",PR!$AB452,IF(K454="ROTECH",PR!$AC452,IF(K454="ISN",PR!$AD452,IF(K454="JAWA",PR!$AE452,IF(K454="LAYO",PR!$AF452,IF(K454="LEADWAY",PR!$AG452,IF(K454="LHV",PR!$AH452,IF(K454="MANOLA",PR!$AI452,IF(K454="MARCSON",PR!$AJ452,IF(K454="M&amp;B",PR!$AK452,IF(K454="MTRUST",PR!$AL452,IF(K454="MWORLD",PR!$AM452,IF(K454="MEGA",PR!$AN452,IF(K454="MICRONOVA",PR!$AO452,IF(K454="MFLASH",PR!$AP452,IF(K454="MORISON",PR!$AQ452,IF(K454="NEMEL",PR!$AR452,IF(K454="NHP",PR!$AS452,IF(K454="NHC",PR!$AT452,IF(K454="OLEAF",PR!$AU452,IF(K454="OCULUS",PR!$AV452,IF(K454="PACIFIC",PR!$AW452,IF(K454="PHAMATEX",PR!$AX452,IF(K454="PETHICS",PR!$AY452,IF(K454="PHILIPS",PR!$AZ452,IF(K454="RANBAXY",PR!$BA452,IF(K454="REALS",PR!$BB452,IF(K454="ROYAL",PR!$BC452,IF(K454="SAM",PR!$BD452,IF(K454="SEAGREEN",PR!$BE452,IF(K454="SKG",PR!$BF452,IF(K454="TAH",PR!$BG452,IF(K454="TAYLEK",PR!$BH452,IF(K454="TEMITA",PR!$BI452,IF(K454="THL",PR!$BJ452,IF(K454="UBASTIC",PR!$BK452,IF(K454="UNION",PR!$BL452,IF(K454="UNIQUE",PR!$BM452,IF(K454="VIXA",PR!$BN452,IF(K454="WWCV",PR!$BO452,IF(K454="ZOLON",PR!$BP452,"-")))))))))))))))))))))))))))))))))))))))))))))))))))))))))))))))))</f>
        <v>60000</v>
      </c>
    </row>
    <row r="455" spans="1:12" ht="18.75" x14ac:dyDescent="0.3">
      <c r="A455" s="430">
        <f>PR!A453</f>
        <v>412</v>
      </c>
      <c r="B455" s="15" t="str">
        <f>PR!B453</f>
        <v>SODIUM THIOPENTONE 1GM</v>
      </c>
      <c r="C455" s="113" t="str">
        <f>PR!D453</f>
        <v>VIAL</v>
      </c>
      <c r="D455" s="113">
        <f>PR!C453</f>
        <v>300</v>
      </c>
      <c r="E455" s="108">
        <f>IF(F455="ALPHA",PR!$E453,IF(F455="ASSENE",PR!$F453,IF(F455="BIOFEM",PR!$G453,IF(F455="BIOMED",PR!$H453,IF(F455="CHI",PR!$I453,IF(F455="CLARION",PR!$J453,IF(F455="CODIX",PR!$K453,IF(F455="COSMADE",PR!$L453,IF(F455="SANCON",PR!$M453,IF(F455="DEVON",PR!$N453,IF(F455="DORTEMAG",PR!$O453,IF(F455="DGF",PR!$P453,IF(F455="DYNAMIC",PR!$Q453,IF(F455="EMZOR",PR!$R453,IF(F455="EUMATT",PR!$S453,IF(F455="FIDSON",PR!$T453,IF(F455="FCGLOBAL",PR!$U453,IF(F455="GENEITH",PR!$V453,IF(F455="GINOS",PR!$W453,IF(F455="GSK",PR!$X453,IF(F455="GLOBORG",PR!$Y453,IF(F455="GOODNEWS",PR!$Z453,IF(F455="GREENLIFE",PR!$AA453,IF(F455="HLINE",PR!$AB453,IF(F455="ROTECH",PR!$AC453,IF(F455="ISN",PR!$AD453,IF(F455="JAWA",PR!$AE453,IF(F455="LAYO",PR!$AF453,IF(F455="LEADWAY",PR!$AG453,IF(F455="LHV",PR!$AH453,IF(F455="MANOLA",PR!$AI453,IF(F455="MARCSON",PR!$AJ453,IF(F455="M&amp;B",PR!$AK453,IF(F455="MTRUST",PR!$AL453,IF(F455="MWORLD",PR!$AM453,IF(F455="MEGA",PR!$AN453,IF(F455="MICRONOVA",PR!$AO453,IF(F455="MFLASH",PR!$AP453,IF(F455="MORISON",PR!$AQ453,IF(F455="NEMEL",PR!$AR453,IF(F455="NHP",PR!$AS453,IF(F455="NHC",PR!$AT453,IF(F455="OLEAF",PR!$AU453,IF(F455="OCULUS",PR!$AV453,IF(F455="PACIFIC",PR!$AW453,IF(F455="PHAMATEX",PR!$AX453,IF(F455="PETHICS",PR!$AY453,IF(F455="PHILIPS",PR!$AZ453,IF(F455="RANBAXY",PR!$BA453,IF(F455="REALS",PR!$BB453,IF(F455="ROYAL",PR!$BC453,IF(F455="SAM",PR!$BD453,IF(F455="SEAGREEN",PR!$BE453,IF(F455="SKG",PR!$BF453,IF(F455="TAH",PR!$BG453,IF(F455="TAYLEK",PR!$BH453,IF(F455="TEMITA",PR!$BI453,IF(F455="THL",PR!$BJ453,IF(F455="UBASTIC",PR!$BK453,IF(F455="UNION",PR!$BL453,IF(F455="UNIQUE",PR!$BM453,IF(F455="VIXA",PR!$BN453,IF(F455="WWCV",PR!$BO453,IF(F455="ZOLON",PR!$BP453,"-"))))))))))))))))))))))))))))))))))))))))))))))))))))))))))))))))</f>
        <v>800</v>
      </c>
      <c r="F455" s="102" t="str">
        <f>EV!L572</f>
        <v>EUMATT</v>
      </c>
      <c r="G455" s="108" t="str">
        <f>IF(H455="ALPHA",PR!$E453,IF(H455="ASSENE",PR!$F453,IF(H455="BIOFEM",PR!$G453,IF(H455="BIOMED",PR!$H453,IF(H455="CHI",PR!$I453,IF(H455="CLARION",PR!$J453,IF(H455="CODIX",PR!$K453,IF(H455="COSMADE",PR!$L453,IF(H455="SANCON",PR!$M453,IF(H455="DEVON",PR!$N453,IF(H455="DORTEMAG",PR!$O453,IF(H455="DGF",PR!$P453,IF(H455="DYNAMIC",PR!$Q453,IF(H455="EMZOR",PR!$R453,IF(H455="EUMATT",PR!$S453,IF(H455="FIDSON",PR!$T453,IF(H455="FCGLOBAL",PR!$U453,IF(H455="GENEITH",PR!$V453,IF(H455="GINOS",PR!$W453,IF(H455="GSK",PR!$X453,IF(H455="GLOBORG",PR!$Y453,IF(H455="GOODNEWS",PR!$Z453,IF(H455="GREENLIFE",PR!$AA453,IF(H455="HLINE",PR!$AB453,IF(H455="ROTECH",PR!$AC453,IF(H455="ISN",PR!$AD453,IF(H455="JAWA",PR!$AE453,IF(H455="LAYO",PR!$AF453,IF(H455="LEADWAY",PR!$AG453,IF(H455="LHV",PR!$AH453,IF(H455="MANOLA",PR!$AI453,IF(H455="MARCSON",PR!$AJ453,IF(H455="M&amp;B",PR!$AK453,IF(H455="MTRUST",PR!$AL453,IF(H455="MWORLD",PR!$AM453,IF(H455="MEGA",PR!$AN453,IF(H455="MICRONOVA",PR!$AO453,IF(H455="MFLASH",PR!$AP453,IF(H455="MORISON",PR!$AQ453,IF(H455="NEMEL",PR!$AR453,IF(H455="NHP",PR!$AS453,IF(H455="NHC",PR!$AT453,IF(H455="OLEAF",PR!$AU453,IF(H455="OCULUS",PR!$AV453,IF(H455="PACIFIC",PR!$AW453,IF(H455="PHAMATEX",PR!$AX453,IF(H455="PETHICS",PR!$AY453,IF(H455="PHILIPS",PR!$AZ453,IF(H455="RANBAXY",PR!$BA453,IF(H455="REALS",PR!$BB453,IF(H455="ROYAL",PR!$BC453,IF(H455="SAM",PR!$BD453,IF(H455="SEAGREEN",PR!$BE453,IF(H455="SKG",PR!$BF453,IF(H455="TAH",PR!$BG453,IF(H455="TAYLEK",PR!$BH453,IF(H455="TEMITA",PR!$BI453,IF(H455="THL",PR!$BJ453,IF(H455="UBASTIC",PR!$BK453,IF(H455="UNION",PR!$BL453,IF(H455="UNIQUE",PR!$BM453,IF(H455="VIXA",PR!$BN453,IF(H455="WWCV",PR!$BO453,IF(H455="ZOLON",PR!$BP453,"-"))))))))))))))))))))))))))))))))))))))))))))))))))))))))))))))))</f>
        <v>-</v>
      </c>
      <c r="H455" s="102">
        <f>EV!M572</f>
        <v>0</v>
      </c>
      <c r="I455" s="108" t="str">
        <f>IF(J455="ALPHA",PR!$E453,IF(J455="ASSENE",PR!$F453,IF(J455="BIOFEM",PR!$G453,IF(J455="BIOMED",PR!$H453,IF(J455="CHI",PR!$I453,IF(J455="CLARION",PR!$J453,IF(J455="CODIX",PR!$K453,IF(J455="COSMADE",PR!$L453,IF(J455="SANCON",PR!$M453,IF(J455="DEVON",PR!$N453,IF(J455="DORTEMAG",PR!$O453,IF(J455="DGF",PR!$P453,IF(J455="DYNAMIC",PR!$Q453,IF(J455="EMZOR",PR!$R453,IF(J455="EUMATT",PR!$S453,IF(J455="FIDSON",PR!$T453,IF(J455="FCGLOBAL",PR!$U453,IF(J455="GENEITH",PR!$V453,IF(J455="GINOS",PR!$W453,IF(J455="GSK",PR!$X453,IF(J455="GLOBORG",PR!$Y453,IF(J455="GOODNEWS",PR!$Z453,IF(J455="GREENLIFE",PR!$AA453,IF(J455="HLINE",PR!$AB453,IF(J455="ROTECH",PR!$AC453,IF(J455="ISN",PR!$AD453,IF(J455="JAWA",PR!$AE453,IF(J455="LAYO",PR!$AF453,IF(J455="LEADWAY",PR!$AG453,IF(J455="LHV",PR!$AH453,IF(J455="MANOLA",PR!$AI453,IF(J455="MARCSON",PR!$AJ453,IF(J455="M&amp;B",PR!$AK453,IF(J455="MTRUST",PR!$AL453,IF(J455="MWORLD",PR!$AM453,IF(J455="MEGA",PR!$AN453,IF(J455="MICRONOVA",PR!$AO453,IF(J455="MFLASH",PR!$AP453,IF(J455="MORISON",PR!$AQ453,IF(J455="NEMEL",PR!$AR453,IF(J455="NHP",PR!$AS453,IF(J455="NHC",PR!$AT453,IF(J455="OLEAF",PR!$AU453,IF(J455="OCULUS",PR!$AV453,IF(J455="PACIFIC",PR!$AW453,IF(J455="PHAMATEX",PR!$AX453,IF(J455="PETHICS",PR!$AY453,IF(J455="PHILIPS",PR!$AZ453,IF(J455="RANBAXY",PR!$BA453,IF(J455="REALS",PR!$BB453,IF(J455="ROYAL",PR!$BC453,IF(J455="SAM",PR!$BD453,IF(J455="SEAGREEN",PR!$BE453,IF(J455="SKG",PR!$BF453,IF(J455="TAH",PR!$BG453,IF(J455="TAYLEK",PR!$BH453,IF(J455="TEMITA",PR!$BI453,IF(J455="THL",PR!$BJ453,IF(J455="UBASTIC",PR!$BK453,IF(J455="UNION",PR!$BL453,IF(J455="UNIQUE",PR!$BM453,IF(J455="VIXA",PR!$BN453,IF(J455="WWCV",PR!$BO453,IF(J455="ZOLON",PR!$BP453,"-"))))))))))))))))))))))))))))))))))))))))))))))))))))))))))))))))</f>
        <v>-</v>
      </c>
      <c r="J455" s="102">
        <f>EV!N572</f>
        <v>0</v>
      </c>
      <c r="K455" s="433" t="s">
        <v>821</v>
      </c>
      <c r="L455" s="183">
        <f>IF(K455&gt;0,IF(K455="ALPHA",PR!$E453,IF(K455="ASSENE",PR!$F453,IF(K455="BIOFEM",PR!$G453,IF(K455="BIOMED",PR!$H453,IF(K455="CHI",PR!$I453,IF(K455="CLARION",PR!$J453,IF(K455="CODIX",PR!$K453,IF(K455="COSMADE",PR!$L453,IF(K455="SANCON",PR!$M453,IF(K455="DEVON",PR!$N453,IF(K455="DORTEMAG",PR!$O453,IF(K455="DGF",PR!$P453,IF(K455="DYNAMIC",PR!$Q453,IF(K455="EMZOR",PR!$R453,IF(K455="EUMATT",PR!$S453,IF(K455="FIDSON",PR!$T453,IF(K455="FCGLOBAL",PR!$U453,IF(K455="GENEITH",PR!$V453,IF(K455="GINOS",PR!$W453,IF(K455="GSK",PR!$X453,IF(K455="GLOBORG",PR!$Y453,IF(K455="GOODNEWS",PR!$Z453,IF(K455="GREENLIFE",PR!$AA453,IF(K455="HLINE",PR!$AB453,IF(K455="ROTECH",PR!$AC453,IF(K455="ISN",PR!$AD453,IF(K455="JAWA",PR!$AE453,IF(K455="LAYO",PR!$AF453,IF(K455="LEADWAY",PR!$AG453,IF(K455="LHV",PR!$AH453,IF(K455="MANOLA",PR!$AI453,IF(K455="MARCSON",PR!$AJ453,IF(K455="M&amp;B",PR!$AK453,IF(K455="MTRUST",PR!$AL453,IF(K455="MWORLD",PR!$AM453,IF(K455="MEGA",PR!$AN453,IF(K455="MICRONOVA",PR!$AO453,IF(K455="MFLASH",PR!$AP453,IF(K455="MORISON",PR!$AQ453,IF(K455="NEMEL",PR!$AR453,IF(K455="NHP",PR!$AS453,IF(K455="NHC",PR!$AT453,IF(K455="OLEAF",PR!$AU453,IF(K455="OCULUS",PR!$AV453,IF(K455="PACIFIC",PR!$AW453,IF(K455="PHAMATEX",PR!$AX453,IF(K455="PETHICS",PR!$AY453,IF(K455="PHILIPS",PR!$AZ453,IF(K455="RANBAXY",PR!$BA453,IF(K455="REALS",PR!$BB453,IF(K455="ROYAL",PR!$BC453,IF(K455="SAM",PR!$BD453,IF(K455="SEAGREEN",PR!$BE453,IF(K455="SKG",PR!$BF453,IF(K455="TAH",PR!$BG453,IF(K455="TAYLEK",PR!$BH453,IF(K455="TEMITA",PR!$BI453,IF(K455="THL",PR!$BJ453,IF(K455="UBASTIC",PR!$BK453,IF(K455="UNION",PR!$BL453,IF(K455="UNIQUE",PR!$BM453,IF(K455="VIXA",PR!$BN453,IF(K455="WWCV",PR!$BO453,IF(K455="ZOLON",PR!$BP453,"-")))))))))))))))))))))))))))))))))))))))))))))))))))))))))))))))))</f>
        <v>800</v>
      </c>
    </row>
    <row r="456" spans="1:12" ht="18.75" x14ac:dyDescent="0.3">
      <c r="A456" s="430">
        <f>PR!A454</f>
        <v>413</v>
      </c>
      <c r="B456" s="15" t="str">
        <f>PR!B454</f>
        <v>SUXAMETHONIUM INJ</v>
      </c>
      <c r="C456" s="113" t="str">
        <f>PR!D454</f>
        <v>AMP</v>
      </c>
      <c r="D456" s="113">
        <f>PR!C454</f>
        <v>600</v>
      </c>
      <c r="E456" s="108">
        <f>IF(F456="ALPHA",PR!$E454,IF(F456="ASSENE",PR!$F454,IF(F456="BIOFEM",PR!$G454,IF(F456="BIOMED",PR!$H454,IF(F456="CHI",PR!$I454,IF(F456="CLARION",PR!$J454,IF(F456="CODIX",PR!$K454,IF(F456="COSMADE",PR!$L454,IF(F456="SANCON",PR!$M454,IF(F456="DEVON",PR!$N454,IF(F456="DORTEMAG",PR!$O454,IF(F456="DGF",PR!$P454,IF(F456="DYNAMIC",PR!$Q454,IF(F456="EMZOR",PR!$R454,IF(F456="EUMATT",PR!$S454,IF(F456="FIDSON",PR!$T454,IF(F456="FCGLOBAL",PR!$U454,IF(F456="GENEITH",PR!$V454,IF(F456="GINOS",PR!$W454,IF(F456="GSK",PR!$X454,IF(F456="GLOBORG",PR!$Y454,IF(F456="GOODNEWS",PR!$Z454,IF(F456="GREENLIFE",PR!$AA454,IF(F456="HLINE",PR!$AB454,IF(F456="ROTECH",PR!$AC454,IF(F456="ISN",PR!$AD454,IF(F456="JAWA",PR!$AE454,IF(F456="LAYO",PR!$AF454,IF(F456="LEADWAY",PR!$AG454,IF(F456="LHV",PR!$AH454,IF(F456="MANOLA",PR!$AI454,IF(F456="MARCSON",PR!$AJ454,IF(F456="M&amp;B",PR!$AK454,IF(F456="MTRUST",PR!$AL454,IF(F456="MWORLD",PR!$AM454,IF(F456="MEGA",PR!$AN454,IF(F456="MICRONOVA",PR!$AO454,IF(F456="MFLASH",PR!$AP454,IF(F456="MORISON",PR!$AQ454,IF(F456="NEMEL",PR!$AR454,IF(F456="NHP",PR!$AS454,IF(F456="NHC",PR!$AT454,IF(F456="OLEAF",PR!$AU454,IF(F456="OCULUS",PR!$AV454,IF(F456="PACIFIC",PR!$AW454,IF(F456="PHAMATEX",PR!$AX454,IF(F456="PETHICS",PR!$AY454,IF(F456="PHILIPS",PR!$AZ454,IF(F456="RANBAXY",PR!$BA454,IF(F456="REALS",PR!$BB454,IF(F456="ROYAL",PR!$BC454,IF(F456="SAM",PR!$BD454,IF(F456="SEAGREEN",PR!$BE454,IF(F456="SKG",PR!$BF454,IF(F456="TAH",PR!$BG454,IF(F456="TAYLEK",PR!$BH454,IF(F456="TEMITA",PR!$BI454,IF(F456="THL",PR!$BJ454,IF(F456="UBASTIC",PR!$BK454,IF(F456="UNION",PR!$BL454,IF(F456="UNIQUE",PR!$BM454,IF(F456="VIXA",PR!$BN454,IF(F456="WWCV",PR!$BO454,IF(F456="ZOLON",PR!$BP454,"-"))))))))))))))))))))))))))))))))))))))))))))))))))))))))))))))))</f>
        <v>600</v>
      </c>
      <c r="F456" s="102" t="str">
        <f>EV!L573</f>
        <v>ALPHA</v>
      </c>
      <c r="G456" s="108">
        <f>IF(H456="ALPHA",PR!$E454,IF(H456="ASSENE",PR!$F454,IF(H456="BIOFEM",PR!$G454,IF(H456="BIOMED",PR!$H454,IF(H456="CHI",PR!$I454,IF(H456="CLARION",PR!$J454,IF(H456="CODIX",PR!$K454,IF(H456="COSMADE",PR!$L454,IF(H456="SANCON",PR!$M454,IF(H456="DEVON",PR!$N454,IF(H456="DORTEMAG",PR!$O454,IF(H456="DGF",PR!$P454,IF(H456="DYNAMIC",PR!$Q454,IF(H456="EMZOR",PR!$R454,IF(H456="EUMATT",PR!$S454,IF(H456="FIDSON",PR!$T454,IF(H456="FCGLOBAL",PR!$U454,IF(H456="GENEITH",PR!$V454,IF(H456="GINOS",PR!$W454,IF(H456="GSK",PR!$X454,IF(H456="GLOBORG",PR!$Y454,IF(H456="GOODNEWS",PR!$Z454,IF(H456="GREENLIFE",PR!$AA454,IF(H456="HLINE",PR!$AB454,IF(H456="ROTECH",PR!$AC454,IF(H456="ISN",PR!$AD454,IF(H456="JAWA",PR!$AE454,IF(H456="LAYO",PR!$AF454,IF(H456="LEADWAY",PR!$AG454,IF(H456="LHV",PR!$AH454,IF(H456="MANOLA",PR!$AI454,IF(H456="MARCSON",PR!$AJ454,IF(H456="M&amp;B",PR!$AK454,IF(H456="MTRUST",PR!$AL454,IF(H456="MWORLD",PR!$AM454,IF(H456="MEGA",PR!$AN454,IF(H456="MICRONOVA",PR!$AO454,IF(H456="MFLASH",PR!$AP454,IF(H456="MORISON",PR!$AQ454,IF(H456="NEMEL",PR!$AR454,IF(H456="NHP",PR!$AS454,IF(H456="NHC",PR!$AT454,IF(H456="OLEAF",PR!$AU454,IF(H456="OCULUS",PR!$AV454,IF(H456="PACIFIC",PR!$AW454,IF(H456="PHAMATEX",PR!$AX454,IF(H456="PETHICS",PR!$AY454,IF(H456="PHILIPS",PR!$AZ454,IF(H456="RANBAXY",PR!$BA454,IF(H456="REALS",PR!$BB454,IF(H456="ROYAL",PR!$BC454,IF(H456="SAM",PR!$BD454,IF(H456="SEAGREEN",PR!$BE454,IF(H456="SKG",PR!$BF454,IF(H456="TAH",PR!$BG454,IF(H456="TAYLEK",PR!$BH454,IF(H456="TEMITA",PR!$BI454,IF(H456="THL",PR!$BJ454,IF(H456="UBASTIC",PR!$BK454,IF(H456="UNION",PR!$BL454,IF(H456="UNIQUE",PR!$BM454,IF(H456="VIXA",PR!$BN454,IF(H456="WWCV",PR!$BO454,IF(H456="ZOLON",PR!$BP454,"-"))))))))))))))))))))))))))))))))))))))))))))))))))))))))))))))))</f>
        <v>600</v>
      </c>
      <c r="H456" s="102" t="str">
        <f>EV!M573</f>
        <v>EUMATT</v>
      </c>
      <c r="I456" s="108" t="str">
        <f>IF(J456="ALPHA",PR!$E454,IF(J456="ASSENE",PR!$F454,IF(J456="BIOFEM",PR!$G454,IF(J456="BIOMED",PR!$H454,IF(J456="CHI",PR!$I454,IF(J456="CLARION",PR!$J454,IF(J456="CODIX",PR!$K454,IF(J456="COSMADE",PR!$L454,IF(J456="SANCON",PR!$M454,IF(J456="DEVON",PR!$N454,IF(J456="DORTEMAG",PR!$O454,IF(J456="DGF",PR!$P454,IF(J456="DYNAMIC",PR!$Q454,IF(J456="EMZOR",PR!$R454,IF(J456="EUMATT",PR!$S454,IF(J456="FIDSON",PR!$T454,IF(J456="FCGLOBAL",PR!$U454,IF(J456="GENEITH",PR!$V454,IF(J456="GINOS",PR!$W454,IF(J456="GSK",PR!$X454,IF(J456="GLOBORG",PR!$Y454,IF(J456="GOODNEWS",PR!$Z454,IF(J456="GREENLIFE",PR!$AA454,IF(J456="HLINE",PR!$AB454,IF(J456="ROTECH",PR!$AC454,IF(J456="ISN",PR!$AD454,IF(J456="JAWA",PR!$AE454,IF(J456="LAYO",PR!$AF454,IF(J456="LEADWAY",PR!$AG454,IF(J456="LHV",PR!$AH454,IF(J456="MANOLA",PR!$AI454,IF(J456="MARCSON",PR!$AJ454,IF(J456="M&amp;B",PR!$AK454,IF(J456="MTRUST",PR!$AL454,IF(J456="MWORLD",PR!$AM454,IF(J456="MEGA",PR!$AN454,IF(J456="MICRONOVA",PR!$AO454,IF(J456="MFLASH",PR!$AP454,IF(J456="MORISON",PR!$AQ454,IF(J456="NEMEL",PR!$AR454,IF(J456="NHP",PR!$AS454,IF(J456="NHC",PR!$AT454,IF(J456="OLEAF",PR!$AU454,IF(J456="OCULUS",PR!$AV454,IF(J456="PACIFIC",PR!$AW454,IF(J456="PHAMATEX",PR!$AX454,IF(J456="PETHICS",PR!$AY454,IF(J456="PHILIPS",PR!$AZ454,IF(J456="RANBAXY",PR!$BA454,IF(J456="REALS",PR!$BB454,IF(J456="ROYAL",PR!$BC454,IF(J456="SAM",PR!$BD454,IF(J456="SEAGREEN",PR!$BE454,IF(J456="SKG",PR!$BF454,IF(J456="TAH",PR!$BG454,IF(J456="TAYLEK",PR!$BH454,IF(J456="TEMITA",PR!$BI454,IF(J456="THL",PR!$BJ454,IF(J456="UBASTIC",PR!$BK454,IF(J456="UNION",PR!$BL454,IF(J456="UNIQUE",PR!$BM454,IF(J456="VIXA",PR!$BN454,IF(J456="WWCV",PR!$BO454,IF(J456="ZOLON",PR!$BP454,"-"))))))))))))))))))))))))))))))))))))))))))))))))))))))))))))))))</f>
        <v>-</v>
      </c>
      <c r="J456" s="102">
        <f>EV!N573</f>
        <v>0</v>
      </c>
      <c r="K456" s="433" t="s">
        <v>2145</v>
      </c>
      <c r="L456" s="183" t="str">
        <f>IF(K456&gt;0,IF(K456="ALPHA",PR!$E454,IF(K456="ASSENE",PR!$F454,IF(K456="BIOFEM",PR!$G454,IF(K456="BIOMED",PR!$H454,IF(K456="CHI",PR!$I454,IF(K456="CLARION",PR!$J454,IF(K456="CODIX",PR!$K454,IF(K456="COSMADE",PR!$L454,IF(K456="SANCON",PR!$M454,IF(K456="DEVON",PR!$N454,IF(K456="DORTEMAG",PR!$O454,IF(K456="DGF",PR!$P454,IF(K456="DYNAMIC",PR!$Q454,IF(K456="EMZOR",PR!$R454,IF(K456="EUMATT",PR!$S454,IF(K456="FIDSON",PR!$T454,IF(K456="FCGLOBAL",PR!$U454,IF(K456="GENEITH",PR!$V454,IF(K456="GINOS",PR!$W454,IF(K456="GSK",PR!$X454,IF(K456="GLOBORG",PR!$Y454,IF(K456="GOODNEWS",PR!$Z454,IF(K456="GREENLIFE",PR!$AA454,IF(K456="HLINE",PR!$AB454,IF(K456="ROTECH",PR!$AC454,IF(K456="ISN",PR!$AD454,IF(K456="JAWA",PR!$AE454,IF(K456="LAYO",PR!$AF454,IF(K456="LEADWAY",PR!$AG454,IF(K456="LHV",PR!$AH454,IF(K456="MANOLA",PR!$AI454,IF(K456="MARCSON",PR!$AJ454,IF(K456="M&amp;B",PR!$AK454,IF(K456="MTRUST",PR!$AL454,IF(K456="MWORLD",PR!$AM454,IF(K456="MEGA",PR!$AN454,IF(K456="MICRONOVA",PR!$AO454,IF(K456="MFLASH",PR!$AP454,IF(K456="MORISON",PR!$AQ454,IF(K456="NEMEL",PR!$AR454,IF(K456="NHP",PR!$AS454,IF(K456="NHC",PR!$AT454,IF(K456="OLEAF",PR!$AU454,IF(K456="OCULUS",PR!$AV454,IF(K456="PACIFIC",PR!$AW454,IF(K456="PHAMATEX",PR!$AX454,IF(K456="PETHICS",PR!$AY454,IF(K456="PHILIPS",PR!$AZ454,IF(K456="RANBAXY",PR!$BA454,IF(K456="REALS",PR!$BB454,IF(K456="ROYAL",PR!$BC454,IF(K456="SAM",PR!$BD454,IF(K456="SEAGREEN",PR!$BE454,IF(K456="SKG",PR!$BF454,IF(K456="TAH",PR!$BG454,IF(K456="TAYLEK",PR!$BH454,IF(K456="TEMITA",PR!$BI454,IF(K456="THL",PR!$BJ454,IF(K456="UBASTIC",PR!$BK454,IF(K456="UNION",PR!$BL454,IF(K456="UNIQUE",PR!$BM454,IF(K456="VIXA",PR!$BN454,IF(K456="WWCV",PR!$BO454,IF(K456="ZOLON",PR!$BP454,"-")))))))))))))))))))))))))))))))))))))))))))))))))))))))))))))))))</f>
        <v>-</v>
      </c>
    </row>
    <row r="457" spans="1:12" ht="18.75" x14ac:dyDescent="0.3">
      <c r="A457" s="430">
        <f>PR!A455</f>
        <v>414</v>
      </c>
      <c r="B457" s="15" t="str">
        <f>PR!B455</f>
        <v>XYLOCAINE 2% INJ</v>
      </c>
      <c r="C457" s="113" t="str">
        <f>PR!D455</f>
        <v>VIAL</v>
      </c>
      <c r="D457" s="113">
        <f>PR!C455</f>
        <v>1200</v>
      </c>
      <c r="E457" s="108">
        <f>IF(F457="ALPHA",PR!$E455,IF(F457="ASSENE",PR!$F455,IF(F457="BIOFEM",PR!$G455,IF(F457="BIOMED",PR!$H455,IF(F457="CHI",PR!$I455,IF(F457="CLARION",PR!$J455,IF(F457="CODIX",PR!$K455,IF(F457="COSMADE",PR!$L455,IF(F457="SANCON",PR!$M455,IF(F457="DEVON",PR!$N455,IF(F457="DORTEMAG",PR!$O455,IF(F457="DGF",PR!$P455,IF(F457="DYNAMIC",PR!$Q455,IF(F457="EMZOR",PR!$R455,IF(F457="EUMATT",PR!$S455,IF(F457="FIDSON",PR!$T455,IF(F457="FCGLOBAL",PR!$U455,IF(F457="GENEITH",PR!$V455,IF(F457="GINOS",PR!$W455,IF(F457="GSK",PR!$X455,IF(F457="GLOBORG",PR!$Y455,IF(F457="GOODNEWS",PR!$Z455,IF(F457="GREENLIFE",PR!$AA455,IF(F457="HLINE",PR!$AB455,IF(F457="ROTECH",PR!$AC455,IF(F457="ISN",PR!$AD455,IF(F457="JAWA",PR!$AE455,IF(F457="LAYO",PR!$AF455,IF(F457="LEADWAY",PR!$AG455,IF(F457="LHV",PR!$AH455,IF(F457="MANOLA",PR!$AI455,IF(F457="MARCSON",PR!$AJ455,IF(F457="M&amp;B",PR!$AK455,IF(F457="MTRUST",PR!$AL455,IF(F457="MWORLD",PR!$AM455,IF(F457="MEGA",PR!$AN455,IF(F457="MICRONOVA",PR!$AO455,IF(F457="MFLASH",PR!$AP455,IF(F457="MORISON",PR!$AQ455,IF(F457="NEMEL",PR!$AR455,IF(F457="NHP",PR!$AS455,IF(F457="NHC",PR!$AT455,IF(F457="OLEAF",PR!$AU455,IF(F457="OCULUS",PR!$AV455,IF(F457="PACIFIC",PR!$AW455,IF(F457="PHAMATEX",PR!$AX455,IF(F457="PETHICS",PR!$AY455,IF(F457="PHILIPS",PR!$AZ455,IF(F457="RANBAXY",PR!$BA455,IF(F457="REALS",PR!$BB455,IF(F457="ROYAL",PR!$BC455,IF(F457="SAM",PR!$BD455,IF(F457="SEAGREEN",PR!$BE455,IF(F457="SKG",PR!$BF455,IF(F457="TAH",PR!$BG455,IF(F457="TAYLEK",PR!$BH455,IF(F457="TEMITA",PR!$BI455,IF(F457="THL",PR!$BJ455,IF(F457="UBASTIC",PR!$BK455,IF(F457="UNION",PR!$BL455,IF(F457="UNIQUE",PR!$BM455,IF(F457="VIXA",PR!$BN455,IF(F457="WWCV",PR!$BO455,IF(F457="ZOLON",PR!$BP455,"-"))))))))))))))))))))))))))))))))))))))))))))))))))))))))))))))))</f>
        <v>290</v>
      </c>
      <c r="F457" s="102" t="str">
        <f>EV!L574</f>
        <v>JAWA</v>
      </c>
      <c r="G457" s="108">
        <f>IF(H457="ALPHA",PR!$E455,IF(H457="ASSENE",PR!$F455,IF(H457="BIOFEM",PR!$G455,IF(H457="BIOMED",PR!$H455,IF(H457="CHI",PR!$I455,IF(H457="CLARION",PR!$J455,IF(H457="CODIX",PR!$K455,IF(H457="COSMADE",PR!$L455,IF(H457="SANCON",PR!$M455,IF(H457="DEVON",PR!$N455,IF(H457="DORTEMAG",PR!$O455,IF(H457="DGF",PR!$P455,IF(H457="DYNAMIC",PR!$Q455,IF(H457="EMZOR",PR!$R455,IF(H457="EUMATT",PR!$S455,IF(H457="FIDSON",PR!$T455,IF(H457="FCGLOBAL",PR!$U455,IF(H457="GENEITH",PR!$V455,IF(H457="GINOS",PR!$W455,IF(H457="GSK",PR!$X455,IF(H457="GLOBORG",PR!$Y455,IF(H457="GOODNEWS",PR!$Z455,IF(H457="GREENLIFE",PR!$AA455,IF(H457="HLINE",PR!$AB455,IF(H457="ROTECH",PR!$AC455,IF(H457="ISN",PR!$AD455,IF(H457="JAWA",PR!$AE455,IF(H457="LAYO",PR!$AF455,IF(H457="LEADWAY",PR!$AG455,IF(H457="LHV",PR!$AH455,IF(H457="MANOLA",PR!$AI455,IF(H457="MARCSON",PR!$AJ455,IF(H457="M&amp;B",PR!$AK455,IF(H457="MTRUST",PR!$AL455,IF(H457="MWORLD",PR!$AM455,IF(H457="MEGA",PR!$AN455,IF(H457="MICRONOVA",PR!$AO455,IF(H457="MFLASH",PR!$AP455,IF(H457="MORISON",PR!$AQ455,IF(H457="NEMEL",PR!$AR455,IF(H457="NHP",PR!$AS455,IF(H457="NHC",PR!$AT455,IF(H457="OLEAF",PR!$AU455,IF(H457="OCULUS",PR!$AV455,IF(H457="PACIFIC",PR!$AW455,IF(H457="PHAMATEX",PR!$AX455,IF(H457="PETHICS",PR!$AY455,IF(H457="PHILIPS",PR!$AZ455,IF(H457="RANBAXY",PR!$BA455,IF(H457="REALS",PR!$BB455,IF(H457="ROYAL",PR!$BC455,IF(H457="SAM",PR!$BD455,IF(H457="SEAGREEN",PR!$BE455,IF(H457="SKG",PR!$BF455,IF(H457="TAH",PR!$BG455,IF(H457="TAYLEK",PR!$BH455,IF(H457="TEMITA",PR!$BI455,IF(H457="THL",PR!$BJ455,IF(H457="UBASTIC",PR!$BK455,IF(H457="UNION",PR!$BL455,IF(H457="UNIQUE",PR!$BM455,IF(H457="VIXA",PR!$BN455,IF(H457="WWCV",PR!$BO455,IF(H457="ZOLON",PR!$BP455,"-"))))))))))))))))))))))))))))))))))))))))))))))))))))))))))))))))</f>
        <v>1000</v>
      </c>
      <c r="H457" s="102" t="str">
        <f>EV!M574</f>
        <v>ALPHA</v>
      </c>
      <c r="I457" s="108">
        <f>IF(J457="ALPHA",PR!$E455,IF(J457="ASSENE",PR!$F455,IF(J457="BIOFEM",PR!$G455,IF(J457="BIOMED",PR!$H455,IF(J457="CHI",PR!$I455,IF(J457="CLARION",PR!$J455,IF(J457="CODIX",PR!$K455,IF(J457="COSMADE",PR!$L455,IF(J457="SANCON",PR!$M455,IF(J457="DEVON",PR!$N455,IF(J457="DORTEMAG",PR!$O455,IF(J457="DGF",PR!$P455,IF(J457="DYNAMIC",PR!$Q455,IF(J457="EMZOR",PR!$R455,IF(J457="EUMATT",PR!$S455,IF(J457="FIDSON",PR!$T455,IF(J457="FCGLOBAL",PR!$U455,IF(J457="GENEITH",PR!$V455,IF(J457="GINOS",PR!$W455,IF(J457="GSK",PR!$X455,IF(J457="GLOBORG",PR!$Y455,IF(J457="GOODNEWS",PR!$Z455,IF(J457="GREENLIFE",PR!$AA455,IF(J457="HLINE",PR!$AB455,IF(J457="ROTECH",PR!$AC455,IF(J457="ISN",PR!$AD455,IF(J457="JAWA",PR!$AE455,IF(J457="LAYO",PR!$AF455,IF(J457="LEADWAY",PR!$AG455,IF(J457="LHV",PR!$AH455,IF(J457="MANOLA",PR!$AI455,IF(J457="MARCSON",PR!$AJ455,IF(J457="M&amp;B",PR!$AK455,IF(J457="MTRUST",PR!$AL455,IF(J457="MWORLD",PR!$AM455,IF(J457="MEGA",PR!$AN455,IF(J457="MICRONOVA",PR!$AO455,IF(J457="MFLASH",PR!$AP455,IF(J457="MORISON",PR!$AQ455,IF(J457="NEMEL",PR!$AR455,IF(J457="NHP",PR!$AS455,IF(J457="NHC",PR!$AT455,IF(J457="OLEAF",PR!$AU455,IF(J457="OCULUS",PR!$AV455,IF(J457="PACIFIC",PR!$AW455,IF(J457="PHAMATEX",PR!$AX455,IF(J457="PETHICS",PR!$AY455,IF(J457="PHILIPS",PR!$AZ455,IF(J457="RANBAXY",PR!$BA455,IF(J457="REALS",PR!$BB455,IF(J457="ROYAL",PR!$BC455,IF(J457="SAM",PR!$BD455,IF(J457="SEAGREEN",PR!$BE455,IF(J457="SKG",PR!$BF455,IF(J457="TAH",PR!$BG455,IF(J457="TAYLEK",PR!$BH455,IF(J457="TEMITA",PR!$BI455,IF(J457="THL",PR!$BJ455,IF(J457="UBASTIC",PR!$BK455,IF(J457="UNION",PR!$BL455,IF(J457="UNIQUE",PR!$BM455,IF(J457="VIXA",PR!$BN455,IF(J457="WWCV",PR!$BO455,IF(J457="ZOLON",PR!$BP455,"-"))))))))))))))))))))))))))))))))))))))))))))))))))))))))))))))))</f>
        <v>1200</v>
      </c>
      <c r="J457" s="102" t="str">
        <f>EV!N574</f>
        <v>EUMATT</v>
      </c>
      <c r="K457" s="433" t="s">
        <v>630</v>
      </c>
      <c r="L457" s="183">
        <f>IF(K457&gt;0,IF(K457="ALPHA",PR!$E455,IF(K457="ASSENE",PR!$F455,IF(K457="BIOFEM",PR!$G455,IF(K457="BIOMED",PR!$H455,IF(K457="CHI",PR!$I455,IF(K457="CLARION",PR!$J455,IF(K457="CODIX",PR!$K455,IF(K457="COSMADE",PR!$L455,IF(K457="SANCON",PR!$M455,IF(K457="DEVON",PR!$N455,IF(K457="DORTEMAG",PR!$O455,IF(K457="DGF",PR!$P455,IF(K457="DYNAMIC",PR!$Q455,IF(K457="EMZOR",PR!$R455,IF(K457="EUMATT",PR!$S455,IF(K457="FIDSON",PR!$T455,IF(K457="FCGLOBAL",PR!$U455,IF(K457="GENEITH",PR!$V455,IF(K457="GINOS",PR!$W455,IF(K457="GSK",PR!$X455,IF(K457="GLOBORG",PR!$Y455,IF(K457="GOODNEWS",PR!$Z455,IF(K457="GREENLIFE",PR!$AA455,IF(K457="HLINE",PR!$AB455,IF(K457="ROTECH",PR!$AC455,IF(K457="ISN",PR!$AD455,IF(K457="JAWA",PR!$AE455,IF(K457="LAYO",PR!$AF455,IF(K457="LEADWAY",PR!$AG455,IF(K457="LHV",PR!$AH455,IF(K457="MANOLA",PR!$AI455,IF(K457="MARCSON",PR!$AJ455,IF(K457="M&amp;B",PR!$AK455,IF(K457="MTRUST",PR!$AL455,IF(K457="MWORLD",PR!$AM455,IF(K457="MEGA",PR!$AN455,IF(K457="MICRONOVA",PR!$AO455,IF(K457="MFLASH",PR!$AP455,IF(K457="MORISON",PR!$AQ455,IF(K457="NEMEL",PR!$AR455,IF(K457="NHP",PR!$AS455,IF(K457="NHC",PR!$AT455,IF(K457="OLEAF",PR!$AU455,IF(K457="OCULUS",PR!$AV455,IF(K457="PACIFIC",PR!$AW455,IF(K457="PHAMATEX",PR!$AX455,IF(K457="PETHICS",PR!$AY455,IF(K457="PHILIPS",PR!$AZ455,IF(K457="RANBAXY",PR!$BA455,IF(K457="REALS",PR!$BB455,IF(K457="ROYAL",PR!$BC455,IF(K457="SAM",PR!$BD455,IF(K457="SEAGREEN",PR!$BE455,IF(K457="SKG",PR!$BF455,IF(K457="TAH",PR!$BG455,IF(K457="TAYLEK",PR!$BH455,IF(K457="TEMITA",PR!$BI455,IF(K457="THL",PR!$BJ455,IF(K457="UBASTIC",PR!$BK455,IF(K457="UNION",PR!$BL455,IF(K457="UNIQUE",PR!$BM455,IF(K457="VIXA",PR!$BN455,IF(K457="WWCV",PR!$BO455,IF(K457="ZOLON",PR!$BP455,"-")))))))))))))))))))))))))))))))))))))))))))))))))))))))))))))))))</f>
        <v>290</v>
      </c>
    </row>
    <row r="458" spans="1:12" ht="18.75" x14ac:dyDescent="0.3">
      <c r="A458" s="430">
        <f>PR!A456</f>
        <v>415</v>
      </c>
      <c r="B458" s="15" t="str">
        <f>PR!B456</f>
        <v>XYLOCAINE/ADRENALINE INJ</v>
      </c>
      <c r="C458" s="113" t="str">
        <f>PR!D456</f>
        <v>VIAL</v>
      </c>
      <c r="D458" s="113">
        <f>PR!C456</f>
        <v>400</v>
      </c>
      <c r="E458" s="108" t="str">
        <f>IF(F458="ALPHA",PR!$E456,IF(F458="ASSENE",PR!$F456,IF(F458="BIOFEM",PR!$G456,IF(F458="BIOMED",PR!$H456,IF(F458="CHI",PR!$I456,IF(F458="CLARION",PR!$J456,IF(F458="CODIX",PR!$K456,IF(F458="COSMADE",PR!$L456,IF(F458="SANCON",PR!$M456,IF(F458="DEVON",PR!$N456,IF(F458="DORTEMAG",PR!$O456,IF(F458="DGF",PR!$P456,IF(F458="DYNAMIC",PR!$Q456,IF(F458="EMZOR",PR!$R456,IF(F458="EUMATT",PR!$S456,IF(F458="FIDSON",PR!$T456,IF(F458="FCGLOBAL",PR!$U456,IF(F458="GENEITH",PR!$V456,IF(F458="GINOS",PR!$W456,IF(F458="GSK",PR!$X456,IF(F458="GLOBORG",PR!$Y456,IF(F458="GOODNEWS",PR!$Z456,IF(F458="GREENLIFE",PR!$AA456,IF(F458="HLINE",PR!$AB456,IF(F458="ROTECH",PR!$AC456,IF(F458="ISN",PR!$AD456,IF(F458="JAWA",PR!$AE456,IF(F458="LAYO",PR!$AF456,IF(F458="LEADWAY",PR!$AG456,IF(F458="LHV",PR!$AH456,IF(F458="MANOLA",PR!$AI456,IF(F458="MARCSON",PR!$AJ456,IF(F458="M&amp;B",PR!$AK456,IF(F458="MTRUST",PR!$AL456,IF(F458="MWORLD",PR!$AM456,IF(F458="MEGA",PR!$AN456,IF(F458="MICRONOVA",PR!$AO456,IF(F458="MFLASH",PR!$AP456,IF(F458="MORISON",PR!$AQ456,IF(F458="NEMEL",PR!$AR456,IF(F458="NHP",PR!$AS456,IF(F458="NHC",PR!$AT456,IF(F458="OLEAF",PR!$AU456,IF(F458="OCULUS",PR!$AV456,IF(F458="PACIFIC",PR!$AW456,IF(F458="PHAMATEX",PR!$AX456,IF(F458="PETHICS",PR!$AY456,IF(F458="PHILIPS",PR!$AZ456,IF(F458="RANBAXY",PR!$BA456,IF(F458="REALS",PR!$BB456,IF(F458="ROYAL",PR!$BC456,IF(F458="SAM",PR!$BD456,IF(F458="SEAGREEN",PR!$BE456,IF(F458="SKG",PR!$BF456,IF(F458="TAH",PR!$BG456,IF(F458="TAYLEK",PR!$BH456,IF(F458="TEMITA",PR!$BI456,IF(F458="THL",PR!$BJ456,IF(F458="UBASTIC",PR!$BK456,IF(F458="UNION",PR!$BL456,IF(F458="UNIQUE",PR!$BM456,IF(F458="VIXA",PR!$BN456,IF(F458="WWCV",PR!$BO456,IF(F458="ZOLON",PR!$BP456,"-"))))))))))))))))))))))))))))))))))))))))))))))))))))))))))))))))</f>
        <v>-</v>
      </c>
      <c r="F458" s="102">
        <f>EV!L575</f>
        <v>0</v>
      </c>
      <c r="G458" s="108" t="str">
        <f>IF(H458="ALPHA",PR!$E456,IF(H458="ASSENE",PR!$F456,IF(H458="BIOFEM",PR!$G456,IF(H458="BIOMED",PR!$H456,IF(H458="CHI",PR!$I456,IF(H458="CLARION",PR!$J456,IF(H458="CODIX",PR!$K456,IF(H458="COSMADE",PR!$L456,IF(H458="SANCON",PR!$M456,IF(H458="DEVON",PR!$N456,IF(H458="DORTEMAG",PR!$O456,IF(H458="DGF",PR!$P456,IF(H458="DYNAMIC",PR!$Q456,IF(H458="EMZOR",PR!$R456,IF(H458="EUMATT",PR!$S456,IF(H458="FIDSON",PR!$T456,IF(H458="FCGLOBAL",PR!$U456,IF(H458="GENEITH",PR!$V456,IF(H458="GINOS",PR!$W456,IF(H458="GSK",PR!$X456,IF(H458="GLOBORG",PR!$Y456,IF(H458="GOODNEWS",PR!$Z456,IF(H458="GREENLIFE",PR!$AA456,IF(H458="HLINE",PR!$AB456,IF(H458="ROTECH",PR!$AC456,IF(H458="ISN",PR!$AD456,IF(H458="JAWA",PR!$AE456,IF(H458="LAYO",PR!$AF456,IF(H458="LEADWAY",PR!$AG456,IF(H458="LHV",PR!$AH456,IF(H458="MANOLA",PR!$AI456,IF(H458="MARCSON",PR!$AJ456,IF(H458="M&amp;B",PR!$AK456,IF(H458="MTRUST",PR!$AL456,IF(H458="MWORLD",PR!$AM456,IF(H458="MEGA",PR!$AN456,IF(H458="MICRONOVA",PR!$AO456,IF(H458="MFLASH",PR!$AP456,IF(H458="MORISON",PR!$AQ456,IF(H458="NEMEL",PR!$AR456,IF(H458="NHP",PR!$AS456,IF(H458="NHC",PR!$AT456,IF(H458="OLEAF",PR!$AU456,IF(H458="OCULUS",PR!$AV456,IF(H458="PACIFIC",PR!$AW456,IF(H458="PHAMATEX",PR!$AX456,IF(H458="PETHICS",PR!$AY456,IF(H458="PHILIPS",PR!$AZ456,IF(H458="RANBAXY",PR!$BA456,IF(H458="REALS",PR!$BB456,IF(H458="ROYAL",PR!$BC456,IF(H458="SAM",PR!$BD456,IF(H458="SEAGREEN",PR!$BE456,IF(H458="SKG",PR!$BF456,IF(H458="TAH",PR!$BG456,IF(H458="TAYLEK",PR!$BH456,IF(H458="TEMITA",PR!$BI456,IF(H458="THL",PR!$BJ456,IF(H458="UBASTIC",PR!$BK456,IF(H458="UNION",PR!$BL456,IF(H458="UNIQUE",PR!$BM456,IF(H458="VIXA",PR!$BN456,IF(H458="WWCV",PR!$BO456,IF(H458="ZOLON",PR!$BP456,"-"))))))))))))))))))))))))))))))))))))))))))))))))))))))))))))))))</f>
        <v>-</v>
      </c>
      <c r="H458" s="102">
        <f>EV!M575</f>
        <v>0</v>
      </c>
      <c r="I458" s="108" t="str">
        <f>IF(J458="ALPHA",PR!$E456,IF(J458="ASSENE",PR!$F456,IF(J458="BIOFEM",PR!$G456,IF(J458="BIOMED",PR!$H456,IF(J458="CHI",PR!$I456,IF(J458="CLARION",PR!$J456,IF(J458="CODIX",PR!$K456,IF(J458="COSMADE",PR!$L456,IF(J458="SANCON",PR!$M456,IF(J458="DEVON",PR!$N456,IF(J458="DORTEMAG",PR!$O456,IF(J458="DGF",PR!$P456,IF(J458="DYNAMIC",PR!$Q456,IF(J458="EMZOR",PR!$R456,IF(J458="EUMATT",PR!$S456,IF(J458="FIDSON",PR!$T456,IF(J458="FCGLOBAL",PR!$U456,IF(J458="GENEITH",PR!$V456,IF(J458="GINOS",PR!$W456,IF(J458="GSK",PR!$X456,IF(J458="GLOBORG",PR!$Y456,IF(J458="GOODNEWS",PR!$Z456,IF(J458="GREENLIFE",PR!$AA456,IF(J458="HLINE",PR!$AB456,IF(J458="ROTECH",PR!$AC456,IF(J458="ISN",PR!$AD456,IF(J458="JAWA",PR!$AE456,IF(J458="LAYO",PR!$AF456,IF(J458="LEADWAY",PR!$AG456,IF(J458="LHV",PR!$AH456,IF(J458="MANOLA",PR!$AI456,IF(J458="MARCSON",PR!$AJ456,IF(J458="M&amp;B",PR!$AK456,IF(J458="MTRUST",PR!$AL456,IF(J458="MWORLD",PR!$AM456,IF(J458="MEGA",PR!$AN456,IF(J458="MICRONOVA",PR!$AO456,IF(J458="MFLASH",PR!$AP456,IF(J458="MORISON",PR!$AQ456,IF(J458="NEMEL",PR!$AR456,IF(J458="NHP",PR!$AS456,IF(J458="NHC",PR!$AT456,IF(J458="OLEAF",PR!$AU456,IF(J458="OCULUS",PR!$AV456,IF(J458="PACIFIC",PR!$AW456,IF(J458="PHAMATEX",PR!$AX456,IF(J458="PETHICS",PR!$AY456,IF(J458="PHILIPS",PR!$AZ456,IF(J458="RANBAXY",PR!$BA456,IF(J458="REALS",PR!$BB456,IF(J458="ROYAL",PR!$BC456,IF(J458="SAM",PR!$BD456,IF(J458="SEAGREEN",PR!$BE456,IF(J458="SKG",PR!$BF456,IF(J458="TAH",PR!$BG456,IF(J458="TAYLEK",PR!$BH456,IF(J458="TEMITA",PR!$BI456,IF(J458="THL",PR!$BJ456,IF(J458="UBASTIC",PR!$BK456,IF(J458="UNION",PR!$BL456,IF(J458="UNIQUE",PR!$BM456,IF(J458="VIXA",PR!$BN456,IF(J458="WWCV",PR!$BO456,IF(J458="ZOLON",PR!$BP456,"-"))))))))))))))))))))))))))))))))))))))))))))))))))))))))))))))))</f>
        <v>-</v>
      </c>
      <c r="J458" s="102">
        <f>EV!N575</f>
        <v>0</v>
      </c>
      <c r="K458" s="433"/>
      <c r="L458" s="183" t="b">
        <f>IF(K458&gt;0,IF(K458="ALPHA",PR!$E456,IF(K458="ASSENE",PR!$F456,IF(K458="BIOFEM",PR!$G456,IF(K458="BIOMED",PR!$H456,IF(K458="CHI",PR!$I456,IF(K458="CLARION",PR!$J456,IF(K458="CODIX",PR!$K456,IF(K458="COSMADE",PR!$L456,IF(K458="SANCON",PR!$M456,IF(K458="DEVON",PR!$N456,IF(K458="DORTEMAG",PR!$O456,IF(K458="DGF",PR!$P456,IF(K458="DYNAMIC",PR!$Q456,IF(K458="EMZOR",PR!$R456,IF(K458="EUMATT",PR!$S456,IF(K458="FIDSON",PR!$T456,IF(K458="FCGLOBAL",PR!$U456,IF(K458="GENEITH",PR!$V456,IF(K458="GINOS",PR!$W456,IF(K458="GSK",PR!$X456,IF(K458="GLOBORG",PR!$Y456,IF(K458="GOODNEWS",PR!$Z456,IF(K458="GREENLIFE",PR!$AA456,IF(K458="HLINE",PR!$AB456,IF(K458="ROTECH",PR!$AC456,IF(K458="ISN",PR!$AD456,IF(K458="JAWA",PR!$AE456,IF(K458="LAYO",PR!$AF456,IF(K458="LEADWAY",PR!$AG456,IF(K458="LHV",PR!$AH456,IF(K458="MANOLA",PR!$AI456,IF(K458="MARCSON",PR!$AJ456,IF(K458="M&amp;B",PR!$AK456,IF(K458="MTRUST",PR!$AL456,IF(K458="MWORLD",PR!$AM456,IF(K458="MEGA",PR!$AN456,IF(K458="MICRONOVA",PR!$AO456,IF(K458="MFLASH",PR!$AP456,IF(K458="MORISON",PR!$AQ456,IF(K458="NEMEL",PR!$AR456,IF(K458="NHP",PR!$AS456,IF(K458="NHC",PR!$AT456,IF(K458="OLEAF",PR!$AU456,IF(K458="OCULUS",PR!$AV456,IF(K458="PACIFIC",PR!$AW456,IF(K458="PHAMATEX",PR!$AX456,IF(K458="PETHICS",PR!$AY456,IF(K458="PHILIPS",PR!$AZ456,IF(K458="RANBAXY",PR!$BA456,IF(K458="REALS",PR!$BB456,IF(K458="ROYAL",PR!$BC456,IF(K458="SAM",PR!$BD456,IF(K458="SEAGREEN",PR!$BE456,IF(K458="SKG",PR!$BF456,IF(K458="TAH",PR!$BG456,IF(K458="TAYLEK",PR!$BH456,IF(K458="TEMITA",PR!$BI456,IF(K458="THL",PR!$BJ456,IF(K458="UBASTIC",PR!$BK456,IF(K458="UNION",PR!$BL456,IF(K458="UNIQUE",PR!$BM456,IF(K458="VIXA",PR!$BN456,IF(K458="WWCV",PR!$BO456,IF(K458="ZOLON",PR!$BP456,"-")))))))))))))))))))))))))))))))))))))))))))))))))))))))))))))))))</f>
        <v>0</v>
      </c>
    </row>
    <row r="459" spans="1:12" ht="18.75" x14ac:dyDescent="0.3">
      <c r="A459" s="430">
        <f>PR!A457</f>
        <v>0</v>
      </c>
      <c r="B459" s="15">
        <f>PR!B457</f>
        <v>0</v>
      </c>
      <c r="C459" s="113">
        <f>PR!D457</f>
        <v>0</v>
      </c>
      <c r="D459" s="113">
        <f>PR!C457</f>
        <v>0</v>
      </c>
      <c r="E459" s="108" t="str">
        <f>IF(F459="ALPHA",PR!$E457,IF(F459="ASSENE",PR!$F457,IF(F459="BIOFEM",PR!$G457,IF(F459="BIOMED",PR!$H457,IF(F459="CHI",PR!$I457,IF(F459="CLARION",PR!$J457,IF(F459="CODIX",PR!$K457,IF(F459="COSMADE",PR!$L457,IF(F459="SANCON",PR!$M457,IF(F459="DEVON",PR!$N457,IF(F459="DORTEMAG",PR!$O457,IF(F459="DGF",PR!$P457,IF(F459="DYNAMIC",PR!$Q457,IF(F459="EMZOR",PR!$R457,IF(F459="EUMATT",PR!$S457,IF(F459="FIDSON",PR!$T457,IF(F459="FCGLOBAL",PR!$U457,IF(F459="GENEITH",PR!$V457,IF(F459="GINOS",PR!$W457,IF(F459="GSK",PR!$X457,IF(F459="GLOBORG",PR!$Y457,IF(F459="GOODNEWS",PR!$Z457,IF(F459="GREENLIFE",PR!$AA457,IF(F459="HLINE",PR!$AB457,IF(F459="ROTECH",PR!$AC457,IF(F459="ISN",PR!$AD457,IF(F459="JAWA",PR!$AE457,IF(F459="LAYO",PR!$AF457,IF(F459="LEADWAY",PR!$AG457,IF(F459="LHV",PR!$AH457,IF(F459="MANOLA",PR!$AI457,IF(F459="MARCSON",PR!$AJ457,IF(F459="M&amp;B",PR!$AK457,IF(F459="MTRUST",PR!$AL457,IF(F459="MWORLD",PR!$AM457,IF(F459="MEGA",PR!$AN457,IF(F459="MICRONOVA",PR!$AO457,IF(F459="MFLASH",PR!$AP457,IF(F459="MORISON",PR!$AQ457,IF(F459="NEMEL",PR!$AR457,IF(F459="NHP",PR!$AS457,IF(F459="NHC",PR!$AT457,IF(F459="OLEAF",PR!$AU457,IF(F459="OCULUS",PR!$AV457,IF(F459="PACIFIC",PR!$AW457,IF(F459="PHAMATEX",PR!$AX457,IF(F459="PETHICS",PR!$AY457,IF(F459="PHILIPS",PR!$AZ457,IF(F459="RANBAXY",PR!$BA457,IF(F459="REALS",PR!$BB457,IF(F459="ROYAL",PR!$BC457,IF(F459="SAM",PR!$BD457,IF(F459="SEAGREEN",PR!$BE457,IF(F459="SKG",PR!$BF457,IF(F459="TAH",PR!$BG457,IF(F459="TAYLEK",PR!$BH457,IF(F459="TEMITA",PR!$BI457,IF(F459="THL",PR!$BJ457,IF(F459="UBASTIC",PR!$BK457,IF(F459="UNION",PR!$BL457,IF(F459="UNIQUE",PR!$BM457,IF(F459="VIXA",PR!$BN457,IF(F459="WWCV",PR!$BO457,IF(F459="ZOLON",PR!$BP457,"-"))))))))))))))))))))))))))))))))))))))))))))))))))))))))))))))))</f>
        <v>-</v>
      </c>
      <c r="F459" s="102"/>
      <c r="G459" s="108" t="str">
        <f>IF(H459="ALPHA",PR!$E457,IF(H459="ASSENE",PR!$F457,IF(H459="BIOFEM",PR!$G457,IF(H459="BIOMED",PR!$H457,IF(H459="CHI",PR!$I457,IF(H459="CLARION",PR!$J457,IF(H459="CODIX",PR!$K457,IF(H459="COSMADE",PR!$L457,IF(H459="SANCON",PR!$M457,IF(H459="DEVON",PR!$N457,IF(H459="DORTEMAG",PR!$O457,IF(H459="DGF",PR!$P457,IF(H459="DYNAMIC",PR!$Q457,IF(H459="EMZOR",PR!$R457,IF(H459="EUMATT",PR!$S457,IF(H459="FIDSON",PR!$T457,IF(H459="FCGLOBAL",PR!$U457,IF(H459="GENEITH",PR!$V457,IF(H459="GINOS",PR!$W457,IF(H459="GSK",PR!$X457,IF(H459="GLOBORG",PR!$Y457,IF(H459="GOODNEWS",PR!$Z457,IF(H459="GREENLIFE",PR!$AA457,IF(H459="HLINE",PR!$AB457,IF(H459="ROTECH",PR!$AC457,IF(H459="ISN",PR!$AD457,IF(H459="JAWA",PR!$AE457,IF(H459="LAYO",PR!$AF457,IF(H459="LEADWAY",PR!$AG457,IF(H459="LHV",PR!$AH457,IF(H459="MANOLA",PR!$AI457,IF(H459="MARCSON",PR!$AJ457,IF(H459="M&amp;B",PR!$AK457,IF(H459="MTRUST",PR!$AL457,IF(H459="MWORLD",PR!$AM457,IF(H459="MEGA",PR!$AN457,IF(H459="MICRONOVA",PR!$AO457,IF(H459="MFLASH",PR!$AP457,IF(H459="MORISON",PR!$AQ457,IF(H459="NEMEL",PR!$AR457,IF(H459="NHP",PR!$AS457,IF(H459="NHC",PR!$AT457,IF(H459="OLEAF",PR!$AU457,IF(H459="OCULUS",PR!$AV457,IF(H459="PACIFIC",PR!$AW457,IF(H459="PHAMATEX",PR!$AX457,IF(H459="PETHICS",PR!$AY457,IF(H459="PHILIPS",PR!$AZ457,IF(H459="RANBAXY",PR!$BA457,IF(H459="REALS",PR!$BB457,IF(H459="ROYAL",PR!$BC457,IF(H459="SAM",PR!$BD457,IF(H459="SEAGREEN",PR!$BE457,IF(H459="SKG",PR!$BF457,IF(H459="TAH",PR!$BG457,IF(H459="TAYLEK",PR!$BH457,IF(H459="TEMITA",PR!$BI457,IF(H459="THL",PR!$BJ457,IF(H459="UBASTIC",PR!$BK457,IF(H459="UNION",PR!$BL457,IF(H459="UNIQUE",PR!$BM457,IF(H459="VIXA",PR!$BN457,IF(H459="WWCV",PR!$BO457,IF(H459="ZOLON",PR!$BP457,"-"))))))))))))))))))))))))))))))))))))))))))))))))))))))))))))))))</f>
        <v>-</v>
      </c>
      <c r="H459" s="102"/>
      <c r="I459" s="108" t="str">
        <f>IF(J459="ALPHA",PR!$E457,IF(J459="ASSENE",PR!$F457,IF(J459="BIOFEM",PR!$G457,IF(J459="BIOMED",PR!$H457,IF(J459="CHI",PR!$I457,IF(J459="CLARION",PR!$J457,IF(J459="CODIX",PR!$K457,IF(J459="COSMADE",PR!$L457,IF(J459="SANCON",PR!$M457,IF(J459="DEVON",PR!$N457,IF(J459="DORTEMAG",PR!$O457,IF(J459="DGF",PR!$P457,IF(J459="DYNAMIC",PR!$Q457,IF(J459="EMZOR",PR!$R457,IF(J459="EUMATT",PR!$S457,IF(J459="FIDSON",PR!$T457,IF(J459="FCGLOBAL",PR!$U457,IF(J459="GENEITH",PR!$V457,IF(J459="GINOS",PR!$W457,IF(J459="GSK",PR!$X457,IF(J459="GLOBORG",PR!$Y457,IF(J459="GOODNEWS",PR!$Z457,IF(J459="GREENLIFE",PR!$AA457,IF(J459="HLINE",PR!$AB457,IF(J459="ROTECH",PR!$AC457,IF(J459="ISN",PR!$AD457,IF(J459="JAWA",PR!$AE457,IF(J459="LAYO",PR!$AF457,IF(J459="LEADWAY",PR!$AG457,IF(J459="LHV",PR!$AH457,IF(J459="MANOLA",PR!$AI457,IF(J459="MARCSON",PR!$AJ457,IF(J459="M&amp;B",PR!$AK457,IF(J459="MTRUST",PR!$AL457,IF(J459="MWORLD",PR!$AM457,IF(J459="MEGA",PR!$AN457,IF(J459="MICRONOVA",PR!$AO457,IF(J459="MFLASH",PR!$AP457,IF(J459="MORISON",PR!$AQ457,IF(J459="NEMEL",PR!$AR457,IF(J459="NHP",PR!$AS457,IF(J459="NHC",PR!$AT457,IF(J459="OLEAF",PR!$AU457,IF(J459="OCULUS",PR!$AV457,IF(J459="PACIFIC",PR!$AW457,IF(J459="PHAMATEX",PR!$AX457,IF(J459="PETHICS",PR!$AY457,IF(J459="PHILIPS",PR!$AZ457,IF(J459="RANBAXY",PR!$BA457,IF(J459="REALS",PR!$BB457,IF(J459="ROYAL",PR!$BC457,IF(J459="SAM",PR!$BD457,IF(J459="SEAGREEN",PR!$BE457,IF(J459="SKG",PR!$BF457,IF(J459="TAH",PR!$BG457,IF(J459="TAYLEK",PR!$BH457,IF(J459="TEMITA",PR!$BI457,IF(J459="THL",PR!$BJ457,IF(J459="UBASTIC",PR!$BK457,IF(J459="UNION",PR!$BL457,IF(J459="UNIQUE",PR!$BM457,IF(J459="VIXA",PR!$BN457,IF(J459="WWCV",PR!$BO457,IF(J459="ZOLON",PR!$BP457,"-"))))))))))))))))))))))))))))))))))))))))))))))))))))))))))))))))</f>
        <v>-</v>
      </c>
      <c r="J459" s="102"/>
      <c r="K459" s="433"/>
      <c r="L459" s="183" t="b">
        <f>IF(K459&gt;0,IF(K459="ALPHA",PR!$E457,IF(K459="ASSENE",PR!$F457,IF(K459="BIOFEM",PR!$G457,IF(K459="BIOMED",PR!$H457,IF(K459="CHI",PR!$I457,IF(K459="CLARION",PR!$J457,IF(K459="CODIX",PR!$K457,IF(K459="COSMADE",PR!$L457,IF(K459="SANCON",PR!$M457,IF(K459="DEVON",PR!$N457,IF(K459="DORTEMAG",PR!$O457,IF(K459="DGF",PR!$P457,IF(K459="DYNAMIC",PR!$Q457,IF(K459="EMZOR",PR!$R457,IF(K459="EUMATT",PR!$S457,IF(K459="FIDSON",PR!$T457,IF(K459="FCGLOBAL",PR!$U457,IF(K459="GENEITH",PR!$V457,IF(K459="GINOS",PR!$W457,IF(K459="GSK",PR!$X457,IF(K459="GLOBORG",PR!$Y457,IF(K459="GOODNEWS",PR!$Z457,IF(K459="GREENLIFE",PR!$AA457,IF(K459="HLINE",PR!$AB457,IF(K459="ROTECH",PR!$AC457,IF(K459="ISN",PR!$AD457,IF(K459="JAWA",PR!$AE457,IF(K459="LAYO",PR!$AF457,IF(K459="LEADWAY",PR!$AG457,IF(K459="LHV",PR!$AH457,IF(K459="MANOLA",PR!$AI457,IF(K459="MARCSON",PR!$AJ457,IF(K459="M&amp;B",PR!$AK457,IF(K459="MTRUST",PR!$AL457,IF(K459="MWORLD",PR!$AM457,IF(K459="MEGA",PR!$AN457,IF(K459="MICRONOVA",PR!$AO457,IF(K459="MFLASH",PR!$AP457,IF(K459="MORISON",PR!$AQ457,IF(K459="NEMEL",PR!$AR457,IF(K459="NHP",PR!$AS457,IF(K459="NHC",PR!$AT457,IF(K459="OLEAF",PR!$AU457,IF(K459="OCULUS",PR!$AV457,IF(K459="PACIFIC",PR!$AW457,IF(K459="PHAMATEX",PR!$AX457,IF(K459="PETHICS",PR!$AY457,IF(K459="PHILIPS",PR!$AZ457,IF(K459="RANBAXY",PR!$BA457,IF(K459="REALS",PR!$BB457,IF(K459="ROYAL",PR!$BC457,IF(K459="SAM",PR!$BD457,IF(K459="SEAGREEN",PR!$BE457,IF(K459="SKG",PR!$BF457,IF(K459="TAH",PR!$BG457,IF(K459="TAYLEK",PR!$BH457,IF(K459="TEMITA",PR!$BI457,IF(K459="THL",PR!$BJ457,IF(K459="UBASTIC",PR!$BK457,IF(K459="UNION",PR!$BL457,IF(K459="UNIQUE",PR!$BM457,IF(K459="VIXA",PR!$BN457,IF(K459="WWCV",PR!$BO457,IF(K459="ZOLON",PR!$BP457,"-")))))))))))))))))))))))))))))))))))))))))))))))))))))))))))))))))</f>
        <v>0</v>
      </c>
    </row>
    <row r="460" spans="1:12" ht="18.75" x14ac:dyDescent="0.3">
      <c r="A460" s="430">
        <f>PR!A458</f>
        <v>0</v>
      </c>
      <c r="B460" s="15" t="str">
        <f>PR!B458</f>
        <v>IMMUNOLOGICALS</v>
      </c>
      <c r="C460" s="113">
        <f>PR!D458</f>
        <v>0</v>
      </c>
      <c r="D460" s="113">
        <f>PR!C458</f>
        <v>0</v>
      </c>
      <c r="E460" s="108" t="str">
        <f>IF(F460="ALPHA",PR!$E458,IF(F460="ASSENE",PR!$F458,IF(F460="BIOFEM",PR!$G458,IF(F460="BIOMED",PR!$H458,IF(F460="CHI",PR!$I458,IF(F460="CLARION",PR!$J458,IF(F460="CODIX",PR!$K458,IF(F460="COSMADE",PR!$L458,IF(F460="SANCON",PR!$M458,IF(F460="DEVON",PR!$N458,IF(F460="DORTEMAG",PR!$O458,IF(F460="DGF",PR!$P458,IF(F460="DYNAMIC",PR!$Q458,IF(F460="EMZOR",PR!$R458,IF(F460="EUMATT",PR!$S458,IF(F460="FIDSON",PR!$T458,IF(F460="FCGLOBAL",PR!$U458,IF(F460="GENEITH",PR!$V458,IF(F460="GINOS",PR!$W458,IF(F460="GSK",PR!$X458,IF(F460="GLOBORG",PR!$Y458,IF(F460="GOODNEWS",PR!$Z458,IF(F460="GREENLIFE",PR!$AA458,IF(F460="HLINE",PR!$AB458,IF(F460="ROTECH",PR!$AC458,IF(F460="ISN",PR!$AD458,IF(F460="JAWA",PR!$AE458,IF(F460="LAYO",PR!$AF458,IF(F460="LEADWAY",PR!$AG458,IF(F460="LHV",PR!$AH458,IF(F460="MANOLA",PR!$AI458,IF(F460="MARCSON",PR!$AJ458,IF(F460="M&amp;B",PR!$AK458,IF(F460="MTRUST",PR!$AL458,IF(F460="MWORLD",PR!$AM458,IF(F460="MEGA",PR!$AN458,IF(F460="MICRONOVA",PR!$AO458,IF(F460="MFLASH",PR!$AP458,IF(F460="MORISON",PR!$AQ458,IF(F460="NEMEL",PR!$AR458,IF(F460="NHP",PR!$AS458,IF(F460="NHC",PR!$AT458,IF(F460="OLEAF",PR!$AU458,IF(F460="OCULUS",PR!$AV458,IF(F460="PACIFIC",PR!$AW458,IF(F460="PHAMATEX",PR!$AX458,IF(F460="PETHICS",PR!$AY458,IF(F460="PHILIPS",PR!$AZ458,IF(F460="RANBAXY",PR!$BA458,IF(F460="REALS",PR!$BB458,IF(F460="ROYAL",PR!$BC458,IF(F460="SAM",PR!$BD458,IF(F460="SEAGREEN",PR!$BE458,IF(F460="SKG",PR!$BF458,IF(F460="TAH",PR!$BG458,IF(F460="TAYLEK",PR!$BH458,IF(F460="TEMITA",PR!$BI458,IF(F460="THL",PR!$BJ458,IF(F460="UBASTIC",PR!$BK458,IF(F460="UNION",PR!$BL458,IF(F460="UNIQUE",PR!$BM458,IF(F460="VIXA",PR!$BN458,IF(F460="WWCV",PR!$BO458,IF(F460="ZOLON",PR!$BP458,"-"))))))))))))))))))))))))))))))))))))))))))))))))))))))))))))))))</f>
        <v>-</v>
      </c>
      <c r="F460" s="102"/>
      <c r="G460" s="108" t="str">
        <f>IF(H460="ALPHA",PR!$E458,IF(H460="ASSENE",PR!$F458,IF(H460="BIOFEM",PR!$G458,IF(H460="BIOMED",PR!$H458,IF(H460="CHI",PR!$I458,IF(H460="CLARION",PR!$J458,IF(H460="CODIX",PR!$K458,IF(H460="COSMADE",PR!$L458,IF(H460="SANCON",PR!$M458,IF(H460="DEVON",PR!$N458,IF(H460="DORTEMAG",PR!$O458,IF(H460="DGF",PR!$P458,IF(H460="DYNAMIC",PR!$Q458,IF(H460="EMZOR",PR!$R458,IF(H460="EUMATT",PR!$S458,IF(H460="FIDSON",PR!$T458,IF(H460="FCGLOBAL",PR!$U458,IF(H460="GENEITH",PR!$V458,IF(H460="GINOS",PR!$W458,IF(H460="GSK",PR!$X458,IF(H460="GLOBORG",PR!$Y458,IF(H460="GOODNEWS",PR!$Z458,IF(H460="GREENLIFE",PR!$AA458,IF(H460="HLINE",PR!$AB458,IF(H460="ROTECH",PR!$AC458,IF(H460="ISN",PR!$AD458,IF(H460="JAWA",PR!$AE458,IF(H460="LAYO",PR!$AF458,IF(H460="LEADWAY",PR!$AG458,IF(H460="LHV",PR!$AH458,IF(H460="MANOLA",PR!$AI458,IF(H460="MARCSON",PR!$AJ458,IF(H460="M&amp;B",PR!$AK458,IF(H460="MTRUST",PR!$AL458,IF(H460="MWORLD",PR!$AM458,IF(H460="MEGA",PR!$AN458,IF(H460="MICRONOVA",PR!$AO458,IF(H460="MFLASH",PR!$AP458,IF(H460="MORISON",PR!$AQ458,IF(H460="NEMEL",PR!$AR458,IF(H460="NHP",PR!$AS458,IF(H460="NHC",PR!$AT458,IF(H460="OLEAF",PR!$AU458,IF(H460="OCULUS",PR!$AV458,IF(H460="PACIFIC",PR!$AW458,IF(H460="PHAMATEX",PR!$AX458,IF(H460="PETHICS",PR!$AY458,IF(H460="PHILIPS",PR!$AZ458,IF(H460="RANBAXY",PR!$BA458,IF(H460="REALS",PR!$BB458,IF(H460="ROYAL",PR!$BC458,IF(H460="SAM",PR!$BD458,IF(H460="SEAGREEN",PR!$BE458,IF(H460="SKG",PR!$BF458,IF(H460="TAH",PR!$BG458,IF(H460="TAYLEK",PR!$BH458,IF(H460="TEMITA",PR!$BI458,IF(H460="THL",PR!$BJ458,IF(H460="UBASTIC",PR!$BK458,IF(H460="UNION",PR!$BL458,IF(H460="UNIQUE",PR!$BM458,IF(H460="VIXA",PR!$BN458,IF(H460="WWCV",PR!$BO458,IF(H460="ZOLON",PR!$BP458,"-"))))))))))))))))))))))))))))))))))))))))))))))))))))))))))))))))</f>
        <v>-</v>
      </c>
      <c r="H460" s="102"/>
      <c r="I460" s="108" t="str">
        <f>IF(J460="ALPHA",PR!$E458,IF(J460="ASSENE",PR!$F458,IF(J460="BIOFEM",PR!$G458,IF(J460="BIOMED",PR!$H458,IF(J460="CHI",PR!$I458,IF(J460="CLARION",PR!$J458,IF(J460="CODIX",PR!$K458,IF(J460="COSMADE",PR!$L458,IF(J460="SANCON",PR!$M458,IF(J460="DEVON",PR!$N458,IF(J460="DORTEMAG",PR!$O458,IF(J460="DGF",PR!$P458,IF(J460="DYNAMIC",PR!$Q458,IF(J460="EMZOR",PR!$R458,IF(J460="EUMATT",PR!$S458,IF(J460="FIDSON",PR!$T458,IF(J460="FCGLOBAL",PR!$U458,IF(J460="GENEITH",PR!$V458,IF(J460="GINOS",PR!$W458,IF(J460="GSK",PR!$X458,IF(J460="GLOBORG",PR!$Y458,IF(J460="GOODNEWS",PR!$Z458,IF(J460="GREENLIFE",PR!$AA458,IF(J460="HLINE",PR!$AB458,IF(J460="ROTECH",PR!$AC458,IF(J460="ISN",PR!$AD458,IF(J460="JAWA",PR!$AE458,IF(J460="LAYO",PR!$AF458,IF(J460="LEADWAY",PR!$AG458,IF(J460="LHV",PR!$AH458,IF(J460="MANOLA",PR!$AI458,IF(J460="MARCSON",PR!$AJ458,IF(J460="M&amp;B",PR!$AK458,IF(J460="MTRUST",PR!$AL458,IF(J460="MWORLD",PR!$AM458,IF(J460="MEGA",PR!$AN458,IF(J460="MICRONOVA",PR!$AO458,IF(J460="MFLASH",PR!$AP458,IF(J460="MORISON",PR!$AQ458,IF(J460="NEMEL",PR!$AR458,IF(J460="NHP",PR!$AS458,IF(J460="NHC",PR!$AT458,IF(J460="OLEAF",PR!$AU458,IF(J460="OCULUS",PR!$AV458,IF(J460="PACIFIC",PR!$AW458,IF(J460="PHAMATEX",PR!$AX458,IF(J460="PETHICS",PR!$AY458,IF(J460="PHILIPS",PR!$AZ458,IF(J460="RANBAXY",PR!$BA458,IF(J460="REALS",PR!$BB458,IF(J460="ROYAL",PR!$BC458,IF(J460="SAM",PR!$BD458,IF(J460="SEAGREEN",PR!$BE458,IF(J460="SKG",PR!$BF458,IF(J460="TAH",PR!$BG458,IF(J460="TAYLEK",PR!$BH458,IF(J460="TEMITA",PR!$BI458,IF(J460="THL",PR!$BJ458,IF(J460="UBASTIC",PR!$BK458,IF(J460="UNION",PR!$BL458,IF(J460="UNIQUE",PR!$BM458,IF(J460="VIXA",PR!$BN458,IF(J460="WWCV",PR!$BO458,IF(J460="ZOLON",PR!$BP458,"-"))))))))))))))))))))))))))))))))))))))))))))))))))))))))))))))))</f>
        <v>-</v>
      </c>
      <c r="J460" s="102"/>
      <c r="K460" s="433"/>
      <c r="L460" s="183" t="b">
        <f>IF(K460&gt;0,IF(K460="ALPHA",PR!$E458,IF(K460="ASSENE",PR!$F458,IF(K460="BIOFEM",PR!$G458,IF(K460="BIOMED",PR!$H458,IF(K460="CHI",PR!$I458,IF(K460="CLARION",PR!$J458,IF(K460="CODIX",PR!$K458,IF(K460="COSMADE",PR!$L458,IF(K460="SANCON",PR!$M458,IF(K460="DEVON",PR!$N458,IF(K460="DORTEMAG",PR!$O458,IF(K460="DGF",PR!$P458,IF(K460="DYNAMIC",PR!$Q458,IF(K460="EMZOR",PR!$R458,IF(K460="EUMATT",PR!$S458,IF(K460="FIDSON",PR!$T458,IF(K460="FCGLOBAL",PR!$U458,IF(K460="GENEITH",PR!$V458,IF(K460="GINOS",PR!$W458,IF(K460="GSK",PR!$X458,IF(K460="GLOBORG",PR!$Y458,IF(K460="GOODNEWS",PR!$Z458,IF(K460="GREENLIFE",PR!$AA458,IF(K460="HLINE",PR!$AB458,IF(K460="ROTECH",PR!$AC458,IF(K460="ISN",PR!$AD458,IF(K460="JAWA",PR!$AE458,IF(K460="LAYO",PR!$AF458,IF(K460="LEADWAY",PR!$AG458,IF(K460="LHV",PR!$AH458,IF(K460="MANOLA",PR!$AI458,IF(K460="MARCSON",PR!$AJ458,IF(K460="M&amp;B",PR!$AK458,IF(K460="MTRUST",PR!$AL458,IF(K460="MWORLD",PR!$AM458,IF(K460="MEGA",PR!$AN458,IF(K460="MICRONOVA",PR!$AO458,IF(K460="MFLASH",PR!$AP458,IF(K460="MORISON",PR!$AQ458,IF(K460="NEMEL",PR!$AR458,IF(K460="NHP",PR!$AS458,IF(K460="NHC",PR!$AT458,IF(K460="OLEAF",PR!$AU458,IF(K460="OCULUS",PR!$AV458,IF(K460="PACIFIC",PR!$AW458,IF(K460="PHAMATEX",PR!$AX458,IF(K460="PETHICS",PR!$AY458,IF(K460="PHILIPS",PR!$AZ458,IF(K460="RANBAXY",PR!$BA458,IF(K460="REALS",PR!$BB458,IF(K460="ROYAL",PR!$BC458,IF(K460="SAM",PR!$BD458,IF(K460="SEAGREEN",PR!$BE458,IF(K460="SKG",PR!$BF458,IF(K460="TAH",PR!$BG458,IF(K460="TAYLEK",PR!$BH458,IF(K460="TEMITA",PR!$BI458,IF(K460="THL",PR!$BJ458,IF(K460="UBASTIC",PR!$BK458,IF(K460="UNION",PR!$BL458,IF(K460="UNIQUE",PR!$BM458,IF(K460="VIXA",PR!$BN458,IF(K460="WWCV",PR!$BO458,IF(K460="ZOLON",PR!$BP458,"-")))))))))))))))))))))))))))))))))))))))))))))))))))))))))))))))))</f>
        <v>0</v>
      </c>
    </row>
    <row r="461" spans="1:12" ht="18.75" x14ac:dyDescent="0.3">
      <c r="A461" s="430">
        <f>PR!A459</f>
        <v>416</v>
      </c>
      <c r="B461" s="15" t="str">
        <f>PR!B459</f>
        <v>ANTI D IMMUNOGLOBULIN</v>
      </c>
      <c r="C461" s="113" t="str">
        <f>PR!D459</f>
        <v>VIAL</v>
      </c>
      <c r="D461" s="113">
        <f>PR!C459</f>
        <v>40</v>
      </c>
      <c r="E461" s="108">
        <f>IF(F461="ALPHA",PR!$E459,IF(F461="ASSENE",PR!$F459,IF(F461="BIOFEM",PR!$G459,IF(F461="BIOMED",PR!$H459,IF(F461="CHI",PR!$I459,IF(F461="CLARION",PR!$J459,IF(F461="CODIX",PR!$K459,IF(F461="COSMADE",PR!$L459,IF(F461="SANCON",PR!$M459,IF(F461="DEVON",PR!$N459,IF(F461="DORTEMAG",PR!$O459,IF(F461="DGF",PR!$P459,IF(F461="DYNAMIC",PR!$Q459,IF(F461="EMZOR",PR!$R459,IF(F461="EUMATT",PR!$S459,IF(F461="FIDSON",PR!$T459,IF(F461="FCGLOBAL",PR!$U459,IF(F461="GENEITH",PR!$V459,IF(F461="GINOS",PR!$W459,IF(F461="GSK",PR!$X459,IF(F461="GLOBORG",PR!$Y459,IF(F461="GOODNEWS",PR!$Z459,IF(F461="GREENLIFE",PR!$AA459,IF(F461="HLINE",PR!$AB459,IF(F461="ROTECH",PR!$AC459,IF(F461="ISN",PR!$AD459,IF(F461="JAWA",PR!$AE459,IF(F461="LAYO",PR!$AF459,IF(F461="LEADWAY",PR!$AG459,IF(F461="LHV",PR!$AH459,IF(F461="MANOLA",PR!$AI459,IF(F461="MARCSON",PR!$AJ459,IF(F461="M&amp;B",PR!$AK459,IF(F461="MTRUST",PR!$AL459,IF(F461="MWORLD",PR!$AM459,IF(F461="MEGA",PR!$AN459,IF(F461="MICRONOVA",PR!$AO459,IF(F461="MFLASH",PR!$AP459,IF(F461="MORISON",PR!$AQ459,IF(F461="NEMEL",PR!$AR459,IF(F461="NHP",PR!$AS459,IF(F461="NHC",PR!$AT459,IF(F461="OLEAF",PR!$AU459,IF(F461="OCULUS",PR!$AV459,IF(F461="PACIFIC",PR!$AW459,IF(F461="PHAMATEX",PR!$AX459,IF(F461="PETHICS",PR!$AY459,IF(F461="PHILIPS",PR!$AZ459,IF(F461="RANBAXY",PR!$BA459,IF(F461="REALS",PR!$BB459,IF(F461="ROYAL",PR!$BC459,IF(F461="SAM",PR!$BD459,IF(F461="SEAGREEN",PR!$BE459,IF(F461="SKG",PR!$BF459,IF(F461="TAH",PR!$BG459,IF(F461="TAYLEK",PR!$BH459,IF(F461="TEMITA",PR!$BI459,IF(F461="THL",PR!$BJ459,IF(F461="UBASTIC",PR!$BK459,IF(F461="UNION",PR!$BL459,IF(F461="UNIQUE",PR!$BM459,IF(F461="VIXA",PR!$BN459,IF(F461="WWCV",PR!$BO459,IF(F461="ZOLON",PR!$BP459,"-"))))))))))))))))))))))))))))))))))))))))))))))))))))))))))))))))</f>
        <v>19500</v>
      </c>
      <c r="F461" s="102" t="str">
        <f>EV!L576</f>
        <v>BIOFEM</v>
      </c>
      <c r="G461" s="108">
        <f>IF(H461="ALPHA",PR!$E459,IF(H461="ASSENE",PR!$F459,IF(H461="BIOFEM",PR!$G459,IF(H461="BIOMED",PR!$H459,IF(H461="CHI",PR!$I459,IF(H461="CLARION",PR!$J459,IF(H461="CODIX",PR!$K459,IF(H461="COSMADE",PR!$L459,IF(H461="SANCON",PR!$M459,IF(H461="DEVON",PR!$N459,IF(H461="DORTEMAG",PR!$O459,IF(H461="DGF",PR!$P459,IF(H461="DYNAMIC",PR!$Q459,IF(H461="EMZOR",PR!$R459,IF(H461="EUMATT",PR!$S459,IF(H461="FIDSON",PR!$T459,IF(H461="FCGLOBAL",PR!$U459,IF(H461="GENEITH",PR!$V459,IF(H461="GINOS",PR!$W459,IF(H461="GSK",PR!$X459,IF(H461="GLOBORG",PR!$Y459,IF(H461="GOODNEWS",PR!$Z459,IF(H461="GREENLIFE",PR!$AA459,IF(H461="HLINE",PR!$AB459,IF(H461="ROTECH",PR!$AC459,IF(H461="ISN",PR!$AD459,IF(H461="JAWA",PR!$AE459,IF(H461="LAYO",PR!$AF459,IF(H461="LEADWAY",PR!$AG459,IF(H461="LHV",PR!$AH459,IF(H461="MANOLA",PR!$AI459,IF(H461="MARCSON",PR!$AJ459,IF(H461="M&amp;B",PR!$AK459,IF(H461="MTRUST",PR!$AL459,IF(H461="MWORLD",PR!$AM459,IF(H461="MEGA",PR!$AN459,IF(H461="MICRONOVA",PR!$AO459,IF(H461="MFLASH",PR!$AP459,IF(H461="MORISON",PR!$AQ459,IF(H461="NEMEL",PR!$AR459,IF(H461="NHP",PR!$AS459,IF(H461="NHC",PR!$AT459,IF(H461="OLEAF",PR!$AU459,IF(H461="OCULUS",PR!$AV459,IF(H461="PACIFIC",PR!$AW459,IF(H461="PHAMATEX",PR!$AX459,IF(H461="PETHICS",PR!$AY459,IF(H461="PHILIPS",PR!$AZ459,IF(H461="RANBAXY",PR!$BA459,IF(H461="REALS",PR!$BB459,IF(H461="ROYAL",PR!$BC459,IF(H461="SAM",PR!$BD459,IF(H461="SEAGREEN",PR!$BE459,IF(H461="SKG",PR!$BF459,IF(H461="TAH",PR!$BG459,IF(H461="TAYLEK",PR!$BH459,IF(H461="TEMITA",PR!$BI459,IF(H461="THL",PR!$BJ459,IF(H461="UBASTIC",PR!$BK459,IF(H461="UNION",PR!$BL459,IF(H461="UNIQUE",PR!$BM459,IF(H461="VIXA",PR!$BN459,IF(H461="WWCV",PR!$BO459,IF(H461="ZOLON",PR!$BP459,"-"))))))))))))))))))))))))))))))))))))))))))))))))))))))))))))))))</f>
        <v>23500</v>
      </c>
      <c r="H461" s="102" t="str">
        <f>EV!M576</f>
        <v>ALPHA</v>
      </c>
      <c r="I461" s="108" t="str">
        <f>IF(J461="ALPHA",PR!$E459,IF(J461="ASSENE",PR!$F459,IF(J461="BIOFEM",PR!$G459,IF(J461="BIOMED",PR!$H459,IF(J461="CHI",PR!$I459,IF(J461="CLARION",PR!$J459,IF(J461="CODIX",PR!$K459,IF(J461="COSMADE",PR!$L459,IF(J461="SANCON",PR!$M459,IF(J461="DEVON",PR!$N459,IF(J461="DORTEMAG",PR!$O459,IF(J461="DGF",PR!$P459,IF(J461="DYNAMIC",PR!$Q459,IF(J461="EMZOR",PR!$R459,IF(J461="EUMATT",PR!$S459,IF(J461="FIDSON",PR!$T459,IF(J461="FCGLOBAL",PR!$U459,IF(J461="GENEITH",PR!$V459,IF(J461="GINOS",PR!$W459,IF(J461="GSK",PR!$X459,IF(J461="GLOBORG",PR!$Y459,IF(J461="GOODNEWS",PR!$Z459,IF(J461="GREENLIFE",PR!$AA459,IF(J461="HLINE",PR!$AB459,IF(J461="ROTECH",PR!$AC459,IF(J461="ISN",PR!$AD459,IF(J461="JAWA",PR!$AE459,IF(J461="LAYO",PR!$AF459,IF(J461="LEADWAY",PR!$AG459,IF(J461="LHV",PR!$AH459,IF(J461="MANOLA",PR!$AI459,IF(J461="MARCSON",PR!$AJ459,IF(J461="M&amp;B",PR!$AK459,IF(J461="MTRUST",PR!$AL459,IF(J461="MWORLD",PR!$AM459,IF(J461="MEGA",PR!$AN459,IF(J461="MICRONOVA",PR!$AO459,IF(J461="MFLASH",PR!$AP459,IF(J461="MORISON",PR!$AQ459,IF(J461="NEMEL",PR!$AR459,IF(J461="NHP",PR!$AS459,IF(J461="NHC",PR!$AT459,IF(J461="OLEAF",PR!$AU459,IF(J461="OCULUS",PR!$AV459,IF(J461="PACIFIC",PR!$AW459,IF(J461="PHAMATEX",PR!$AX459,IF(J461="PETHICS",PR!$AY459,IF(J461="PHILIPS",PR!$AZ459,IF(J461="RANBAXY",PR!$BA459,IF(J461="REALS",PR!$BB459,IF(J461="ROYAL",PR!$BC459,IF(J461="SAM",PR!$BD459,IF(J461="SEAGREEN",PR!$BE459,IF(J461="SKG",PR!$BF459,IF(J461="TAH",PR!$BG459,IF(J461="TAYLEK",PR!$BH459,IF(J461="TEMITA",PR!$BI459,IF(J461="THL",PR!$BJ459,IF(J461="UBASTIC",PR!$BK459,IF(J461="UNION",PR!$BL459,IF(J461="UNIQUE",PR!$BM459,IF(J461="VIXA",PR!$BN459,IF(J461="WWCV",PR!$BO459,IF(J461="ZOLON",PR!$BP459,"-"))))))))))))))))))))))))))))))))))))))))))))))))))))))))))))))))</f>
        <v>-</v>
      </c>
      <c r="J461" s="102">
        <f>EV!N576</f>
        <v>0</v>
      </c>
      <c r="K461" s="433" t="s">
        <v>628</v>
      </c>
      <c r="L461" s="183">
        <f>IF(K461&gt;0,IF(K461="ALPHA",PR!$E459,IF(K461="ASSENE",PR!$F459,IF(K461="BIOFEM",PR!$G459,IF(K461="BIOMED",PR!$H459,IF(K461="CHI",PR!$I459,IF(K461="CLARION",PR!$J459,IF(K461="CODIX",PR!$K459,IF(K461="COSMADE",PR!$L459,IF(K461="SANCON",PR!$M459,IF(K461="DEVON",PR!$N459,IF(K461="DORTEMAG",PR!$O459,IF(K461="DGF",PR!$P459,IF(K461="DYNAMIC",PR!$Q459,IF(K461="EMZOR",PR!$R459,IF(K461="EUMATT",PR!$S459,IF(K461="FIDSON",PR!$T459,IF(K461="FCGLOBAL",PR!$U459,IF(K461="GENEITH",PR!$V459,IF(K461="GINOS",PR!$W459,IF(K461="GSK",PR!$X459,IF(K461="GLOBORG",PR!$Y459,IF(K461="GOODNEWS",PR!$Z459,IF(K461="GREENLIFE",PR!$AA459,IF(K461="HLINE",PR!$AB459,IF(K461="ROTECH",PR!$AC459,IF(K461="ISN",PR!$AD459,IF(K461="JAWA",PR!$AE459,IF(K461="LAYO",PR!$AF459,IF(K461="LEADWAY",PR!$AG459,IF(K461="LHV",PR!$AH459,IF(K461="MANOLA",PR!$AI459,IF(K461="MARCSON",PR!$AJ459,IF(K461="M&amp;B",PR!$AK459,IF(K461="MTRUST",PR!$AL459,IF(K461="MWORLD",PR!$AM459,IF(K461="MEGA",PR!$AN459,IF(K461="MICRONOVA",PR!$AO459,IF(K461="MFLASH",PR!$AP459,IF(K461="MORISON",PR!$AQ459,IF(K461="NEMEL",PR!$AR459,IF(K461="NHP",PR!$AS459,IF(K461="NHC",PR!$AT459,IF(K461="OLEAF",PR!$AU459,IF(K461="OCULUS",PR!$AV459,IF(K461="PACIFIC",PR!$AW459,IF(K461="PHAMATEX",PR!$AX459,IF(K461="PETHICS",PR!$AY459,IF(K461="PHILIPS",PR!$AZ459,IF(K461="RANBAXY",PR!$BA459,IF(K461="REALS",PR!$BB459,IF(K461="ROYAL",PR!$BC459,IF(K461="SAM",PR!$BD459,IF(K461="SEAGREEN",PR!$BE459,IF(K461="SKG",PR!$BF459,IF(K461="TAH",PR!$BG459,IF(K461="TAYLEK",PR!$BH459,IF(K461="TEMITA",PR!$BI459,IF(K461="THL",PR!$BJ459,IF(K461="UBASTIC",PR!$BK459,IF(K461="UNION",PR!$BL459,IF(K461="UNIQUE",PR!$BM459,IF(K461="VIXA",PR!$BN459,IF(K461="WWCV",PR!$BO459,IF(K461="ZOLON",PR!$BP459,"-")))))))))))))))))))))))))))))))))))))))))))))))))))))))))))))))))</f>
        <v>19500</v>
      </c>
    </row>
    <row r="462" spans="1:12" ht="18.75" x14ac:dyDescent="0.3">
      <c r="A462" s="430">
        <f>PR!A460</f>
        <v>417</v>
      </c>
      <c r="B462" s="15" t="str">
        <f>PR!B460</f>
        <v>ANTI-SNAKE VENOM INJ</v>
      </c>
      <c r="C462" s="113" t="str">
        <f>PR!D460</f>
        <v>VIAL</v>
      </c>
      <c r="D462" s="113">
        <f>PR!C460</f>
        <v>24</v>
      </c>
      <c r="E462" s="108">
        <f>IF(F462="ALPHA",PR!$E460,IF(F462="ASSENE",PR!$F460,IF(F462="BIOFEM",PR!$G460,IF(F462="BIOMED",PR!$H460,IF(F462="CHI",PR!$I460,IF(F462="CLARION",PR!$J460,IF(F462="CODIX",PR!$K460,IF(F462="COSMADE",PR!$L460,IF(F462="SANCON",PR!$M460,IF(F462="DEVON",PR!$N460,IF(F462="DORTEMAG",PR!$O460,IF(F462="DGF",PR!$P460,IF(F462="DYNAMIC",PR!$Q460,IF(F462="EMZOR",PR!$R460,IF(F462="EUMATT",PR!$S460,IF(F462="FIDSON",PR!$T460,IF(F462="FCGLOBAL",PR!$U460,IF(F462="GENEITH",PR!$V460,IF(F462="GINOS",PR!$W460,IF(F462="GSK",PR!$X460,IF(F462="GLOBORG",PR!$Y460,IF(F462="GOODNEWS",PR!$Z460,IF(F462="GREENLIFE",PR!$AA460,IF(F462="HLINE",PR!$AB460,IF(F462="ROTECH",PR!$AC460,IF(F462="ISN",PR!$AD460,IF(F462="JAWA",PR!$AE460,IF(F462="LAYO",PR!$AF460,IF(F462="LEADWAY",PR!$AG460,IF(F462="LHV",PR!$AH460,IF(F462="MANOLA",PR!$AI460,IF(F462="MARCSON",PR!$AJ460,IF(F462="M&amp;B",PR!$AK460,IF(F462="MTRUST",PR!$AL460,IF(F462="MWORLD",PR!$AM460,IF(F462="MEGA",PR!$AN460,IF(F462="MICRONOVA",PR!$AO460,IF(F462="MFLASH",PR!$AP460,IF(F462="MORISON",PR!$AQ460,IF(F462="NEMEL",PR!$AR460,IF(F462="NHP",PR!$AS460,IF(F462="NHC",PR!$AT460,IF(F462="OLEAF",PR!$AU460,IF(F462="OCULUS",PR!$AV460,IF(F462="PACIFIC",PR!$AW460,IF(F462="PHAMATEX",PR!$AX460,IF(F462="PETHICS",PR!$AY460,IF(F462="PHILIPS",PR!$AZ460,IF(F462="RANBAXY",PR!$BA460,IF(F462="REALS",PR!$BB460,IF(F462="ROYAL",PR!$BC460,IF(F462="SAM",PR!$BD460,IF(F462="SEAGREEN",PR!$BE460,IF(F462="SKG",PR!$BF460,IF(F462="TAH",PR!$BG460,IF(F462="TAYLEK",PR!$BH460,IF(F462="TEMITA",PR!$BI460,IF(F462="THL",PR!$BJ460,IF(F462="UBASTIC",PR!$BK460,IF(F462="UNION",PR!$BL460,IF(F462="UNIQUE",PR!$BM460,IF(F462="VIXA",PR!$BN460,IF(F462="WWCV",PR!$BO460,IF(F462="ZOLON",PR!$BP460,"-"))))))))))))))))))))))))))))))))))))))))))))))))))))))))))))))))</f>
        <v>25000</v>
      </c>
      <c r="F462" s="102" t="str">
        <f>EV!L577</f>
        <v>PHILIPS</v>
      </c>
      <c r="G462" s="108" t="str">
        <f>IF(H462="ALPHA",PR!$E460,IF(H462="ASSENE",PR!$F460,IF(H462="BIOFEM",PR!$G460,IF(H462="BIOMED",PR!$H460,IF(H462="CHI",PR!$I460,IF(H462="CLARION",PR!$J460,IF(H462="CODIX",PR!$K460,IF(H462="COSMADE",PR!$L460,IF(H462="SANCON",PR!$M460,IF(H462="DEVON",PR!$N460,IF(H462="DORTEMAG",PR!$O460,IF(H462="DGF",PR!$P460,IF(H462="DYNAMIC",PR!$Q460,IF(H462="EMZOR",PR!$R460,IF(H462="EUMATT",PR!$S460,IF(H462="FIDSON",PR!$T460,IF(H462="FCGLOBAL",PR!$U460,IF(H462="GENEITH",PR!$V460,IF(H462="GINOS",PR!$W460,IF(H462="GSK",PR!$X460,IF(H462="GLOBORG",PR!$Y460,IF(H462="GOODNEWS",PR!$Z460,IF(H462="GREENLIFE",PR!$AA460,IF(H462="HLINE",PR!$AB460,IF(H462="ROTECH",PR!$AC460,IF(H462="ISN",PR!$AD460,IF(H462="JAWA",PR!$AE460,IF(H462="LAYO",PR!$AF460,IF(H462="LEADWAY",PR!$AG460,IF(H462="LHV",PR!$AH460,IF(H462="MANOLA",PR!$AI460,IF(H462="MARCSON",PR!$AJ460,IF(H462="M&amp;B",PR!$AK460,IF(H462="MTRUST",PR!$AL460,IF(H462="MWORLD",PR!$AM460,IF(H462="MEGA",PR!$AN460,IF(H462="MICRONOVA",PR!$AO460,IF(H462="MFLASH",PR!$AP460,IF(H462="MORISON",PR!$AQ460,IF(H462="NEMEL",PR!$AR460,IF(H462="NHP",PR!$AS460,IF(H462="NHC",PR!$AT460,IF(H462="OLEAF",PR!$AU460,IF(H462="OCULUS",PR!$AV460,IF(H462="PACIFIC",PR!$AW460,IF(H462="PHAMATEX",PR!$AX460,IF(H462="PETHICS",PR!$AY460,IF(H462="PHILIPS",PR!$AZ460,IF(H462="RANBAXY",PR!$BA460,IF(H462="REALS",PR!$BB460,IF(H462="ROYAL",PR!$BC460,IF(H462="SAM",PR!$BD460,IF(H462="SEAGREEN",PR!$BE460,IF(H462="SKG",PR!$BF460,IF(H462="TAH",PR!$BG460,IF(H462="TAYLEK",PR!$BH460,IF(H462="TEMITA",PR!$BI460,IF(H462="THL",PR!$BJ460,IF(H462="UBASTIC",PR!$BK460,IF(H462="UNION",PR!$BL460,IF(H462="UNIQUE",PR!$BM460,IF(H462="VIXA",PR!$BN460,IF(H462="WWCV",PR!$BO460,IF(H462="ZOLON",PR!$BP460,"-"))))))))))))))))))))))))))))))))))))))))))))))))))))))))))))))))</f>
        <v>-</v>
      </c>
      <c r="H462" s="102">
        <f>EV!M577</f>
        <v>0</v>
      </c>
      <c r="I462" s="108" t="str">
        <f>IF(J462="ALPHA",PR!$E460,IF(J462="ASSENE",PR!$F460,IF(J462="BIOFEM",PR!$G460,IF(J462="BIOMED",PR!$H460,IF(J462="CHI",PR!$I460,IF(J462="CLARION",PR!$J460,IF(J462="CODIX",PR!$K460,IF(J462="COSMADE",PR!$L460,IF(J462="SANCON",PR!$M460,IF(J462="DEVON",PR!$N460,IF(J462="DORTEMAG",PR!$O460,IF(J462="DGF",PR!$P460,IF(J462="DYNAMIC",PR!$Q460,IF(J462="EMZOR",PR!$R460,IF(J462="EUMATT",PR!$S460,IF(J462="FIDSON",PR!$T460,IF(J462="FCGLOBAL",PR!$U460,IF(J462="GENEITH",PR!$V460,IF(J462="GINOS",PR!$W460,IF(J462="GSK",PR!$X460,IF(J462="GLOBORG",PR!$Y460,IF(J462="GOODNEWS",PR!$Z460,IF(J462="GREENLIFE",PR!$AA460,IF(J462="HLINE",PR!$AB460,IF(J462="ROTECH",PR!$AC460,IF(J462="ISN",PR!$AD460,IF(J462="JAWA",PR!$AE460,IF(J462="LAYO",PR!$AF460,IF(J462="LEADWAY",PR!$AG460,IF(J462="LHV",PR!$AH460,IF(J462="MANOLA",PR!$AI460,IF(J462="MARCSON",PR!$AJ460,IF(J462="M&amp;B",PR!$AK460,IF(J462="MTRUST",PR!$AL460,IF(J462="MWORLD",PR!$AM460,IF(J462="MEGA",PR!$AN460,IF(J462="MICRONOVA",PR!$AO460,IF(J462="MFLASH",PR!$AP460,IF(J462="MORISON",PR!$AQ460,IF(J462="NEMEL",PR!$AR460,IF(J462="NHP",PR!$AS460,IF(J462="NHC",PR!$AT460,IF(J462="OLEAF",PR!$AU460,IF(J462="OCULUS",PR!$AV460,IF(J462="PACIFIC",PR!$AW460,IF(J462="PHAMATEX",PR!$AX460,IF(J462="PETHICS",PR!$AY460,IF(J462="PHILIPS",PR!$AZ460,IF(J462="RANBAXY",PR!$BA460,IF(J462="REALS",PR!$BB460,IF(J462="ROYAL",PR!$BC460,IF(J462="SAM",PR!$BD460,IF(J462="SEAGREEN",PR!$BE460,IF(J462="SKG",PR!$BF460,IF(J462="TAH",PR!$BG460,IF(J462="TAYLEK",PR!$BH460,IF(J462="TEMITA",PR!$BI460,IF(J462="THL",PR!$BJ460,IF(J462="UBASTIC",PR!$BK460,IF(J462="UNION",PR!$BL460,IF(J462="UNIQUE",PR!$BM460,IF(J462="VIXA",PR!$BN460,IF(J462="WWCV",PR!$BO460,IF(J462="ZOLON",PR!$BP460,"-"))))))))))))))))))))))))))))))))))))))))))))))))))))))))))))))))</f>
        <v>-</v>
      </c>
      <c r="J462" s="102">
        <f>EV!N577</f>
        <v>0</v>
      </c>
      <c r="K462" s="433" t="s">
        <v>618</v>
      </c>
      <c r="L462" s="183">
        <f>IF(K462&gt;0,IF(K462="ALPHA",PR!$E460,IF(K462="ASSENE",PR!$F460,IF(K462="BIOFEM",PR!$G460,IF(K462="BIOMED",PR!$H460,IF(K462="CHI",PR!$I460,IF(K462="CLARION",PR!$J460,IF(K462="CODIX",PR!$K460,IF(K462="COSMADE",PR!$L460,IF(K462="SANCON",PR!$M460,IF(K462="DEVON",PR!$N460,IF(K462="DORTEMAG",PR!$O460,IF(K462="DGF",PR!$P460,IF(K462="DYNAMIC",PR!$Q460,IF(K462="EMZOR",PR!$R460,IF(K462="EUMATT",PR!$S460,IF(K462="FIDSON",PR!$T460,IF(K462="FCGLOBAL",PR!$U460,IF(K462="GENEITH",PR!$V460,IF(K462="GINOS",PR!$W460,IF(K462="GSK",PR!$X460,IF(K462="GLOBORG",PR!$Y460,IF(K462="GOODNEWS",PR!$Z460,IF(K462="GREENLIFE",PR!$AA460,IF(K462="HLINE",PR!$AB460,IF(K462="ROTECH",PR!$AC460,IF(K462="ISN",PR!$AD460,IF(K462="JAWA",PR!$AE460,IF(K462="LAYO",PR!$AF460,IF(K462="LEADWAY",PR!$AG460,IF(K462="LHV",PR!$AH460,IF(K462="MANOLA",PR!$AI460,IF(K462="MARCSON",PR!$AJ460,IF(K462="M&amp;B",PR!$AK460,IF(K462="MTRUST",PR!$AL460,IF(K462="MWORLD",PR!$AM460,IF(K462="MEGA",PR!$AN460,IF(K462="MICRONOVA",PR!$AO460,IF(K462="MFLASH",PR!$AP460,IF(K462="MORISON",PR!$AQ460,IF(K462="NEMEL",PR!$AR460,IF(K462="NHP",PR!$AS460,IF(K462="NHC",PR!$AT460,IF(K462="OLEAF",PR!$AU460,IF(K462="OCULUS",PR!$AV460,IF(K462="PACIFIC",PR!$AW460,IF(K462="PHAMATEX",PR!$AX460,IF(K462="PETHICS",PR!$AY460,IF(K462="PHILIPS",PR!$AZ460,IF(K462="RANBAXY",PR!$BA460,IF(K462="REALS",PR!$BB460,IF(K462="ROYAL",PR!$BC460,IF(K462="SAM",PR!$BD460,IF(K462="SEAGREEN",PR!$BE460,IF(K462="SKG",PR!$BF460,IF(K462="TAH",PR!$BG460,IF(K462="TAYLEK",PR!$BH460,IF(K462="TEMITA",PR!$BI460,IF(K462="THL",PR!$BJ460,IF(K462="UBASTIC",PR!$BK460,IF(K462="UNION",PR!$BL460,IF(K462="UNIQUE",PR!$BM460,IF(K462="VIXA",PR!$BN460,IF(K462="WWCV",PR!$BO460,IF(K462="ZOLON",PR!$BP460,"-")))))))))))))))))))))))))))))))))))))))))))))))))))))))))))))))))</f>
        <v>25000</v>
      </c>
    </row>
    <row r="463" spans="1:12" ht="18.75" x14ac:dyDescent="0.3">
      <c r="A463" s="430">
        <f>PR!A461</f>
        <v>418</v>
      </c>
      <c r="B463" s="15" t="str">
        <f>PR!B461</f>
        <v>ATS 10,000 IU INJ</v>
      </c>
      <c r="C463" s="113">
        <f>PR!D461</f>
        <v>10</v>
      </c>
      <c r="D463" s="113">
        <f>PR!C461</f>
        <v>10</v>
      </c>
      <c r="E463" s="108" t="str">
        <f>IF(F463="ALPHA",PR!$E461,IF(F463="ASSENE",PR!$F461,IF(F463="BIOFEM",PR!$G461,IF(F463="BIOMED",PR!$H461,IF(F463="CHI",PR!$I461,IF(F463="CLARION",PR!$J461,IF(F463="CODIX",PR!$K461,IF(F463="COSMADE",PR!$L461,IF(F463="SANCON",PR!$M461,IF(F463="DEVON",PR!$N461,IF(F463="DORTEMAG",PR!$O461,IF(F463="DGF",PR!$P461,IF(F463="DYNAMIC",PR!$Q461,IF(F463="EMZOR",PR!$R461,IF(F463="EUMATT",PR!$S461,IF(F463="FIDSON",PR!$T461,IF(F463="FCGLOBAL",PR!$U461,IF(F463="GENEITH",PR!$V461,IF(F463="GINOS",PR!$W461,IF(F463="GSK",PR!$X461,IF(F463="GLOBORG",PR!$Y461,IF(F463="GOODNEWS",PR!$Z461,IF(F463="GREENLIFE",PR!$AA461,IF(F463="HLINE",PR!$AB461,IF(F463="ROTECH",PR!$AC461,IF(F463="ISN",PR!$AD461,IF(F463="JAWA",PR!$AE461,IF(F463="LAYO",PR!$AF461,IF(F463="LEADWAY",PR!$AG461,IF(F463="LHV",PR!$AH461,IF(F463="MANOLA",PR!$AI461,IF(F463="MARCSON",PR!$AJ461,IF(F463="M&amp;B",PR!$AK461,IF(F463="MTRUST",PR!$AL461,IF(F463="MWORLD",PR!$AM461,IF(F463="MEGA",PR!$AN461,IF(F463="MICRONOVA",PR!$AO461,IF(F463="MFLASH",PR!$AP461,IF(F463="MORISON",PR!$AQ461,IF(F463="NEMEL",PR!$AR461,IF(F463="NHP",PR!$AS461,IF(F463="NHC",PR!$AT461,IF(F463="OLEAF",PR!$AU461,IF(F463="OCULUS",PR!$AV461,IF(F463="PACIFIC",PR!$AW461,IF(F463="PHAMATEX",PR!$AX461,IF(F463="PETHICS",PR!$AY461,IF(F463="PHILIPS",PR!$AZ461,IF(F463="RANBAXY",PR!$BA461,IF(F463="REALS",PR!$BB461,IF(F463="ROYAL",PR!$BC461,IF(F463="SAM",PR!$BD461,IF(F463="SEAGREEN",PR!$BE461,IF(F463="SKG",PR!$BF461,IF(F463="TAH",PR!$BG461,IF(F463="TAYLEK",PR!$BH461,IF(F463="TEMITA",PR!$BI461,IF(F463="THL",PR!$BJ461,IF(F463="UBASTIC",PR!$BK461,IF(F463="UNION",PR!$BL461,IF(F463="UNIQUE",PR!$BM461,IF(F463="VIXA",PR!$BN461,IF(F463="WWCV",PR!$BO461,IF(F463="ZOLON",PR!$BP461,"-"))))))))))))))))))))))))))))))))))))))))))))))))))))))))))))))))</f>
        <v>-</v>
      </c>
      <c r="F463" s="102">
        <f>EV!L578</f>
        <v>0</v>
      </c>
      <c r="G463" s="108" t="str">
        <f>IF(H463="ALPHA",PR!$E461,IF(H463="ASSENE",PR!$F461,IF(H463="BIOFEM",PR!$G461,IF(H463="BIOMED",PR!$H461,IF(H463="CHI",PR!$I461,IF(H463="CLARION",PR!$J461,IF(H463="CODIX",PR!$K461,IF(H463="COSMADE",PR!$L461,IF(H463="SANCON",PR!$M461,IF(H463="DEVON",PR!$N461,IF(H463="DORTEMAG",PR!$O461,IF(H463="DGF",PR!$P461,IF(H463="DYNAMIC",PR!$Q461,IF(H463="EMZOR",PR!$R461,IF(H463="EUMATT",PR!$S461,IF(H463="FIDSON",PR!$T461,IF(H463="FCGLOBAL",PR!$U461,IF(H463="GENEITH",PR!$V461,IF(H463="GINOS",PR!$W461,IF(H463="GSK",PR!$X461,IF(H463="GLOBORG",PR!$Y461,IF(H463="GOODNEWS",PR!$Z461,IF(H463="GREENLIFE",PR!$AA461,IF(H463="HLINE",PR!$AB461,IF(H463="ROTECH",PR!$AC461,IF(H463="ISN",PR!$AD461,IF(H463="JAWA",PR!$AE461,IF(H463="LAYO",PR!$AF461,IF(H463="LEADWAY",PR!$AG461,IF(H463="LHV",PR!$AH461,IF(H463="MANOLA",PR!$AI461,IF(H463="MARCSON",PR!$AJ461,IF(H463="M&amp;B",PR!$AK461,IF(H463="MTRUST",PR!$AL461,IF(H463="MWORLD",PR!$AM461,IF(H463="MEGA",PR!$AN461,IF(H463="MICRONOVA",PR!$AO461,IF(H463="MFLASH",PR!$AP461,IF(H463="MORISON",PR!$AQ461,IF(H463="NEMEL",PR!$AR461,IF(H463="NHP",PR!$AS461,IF(H463="NHC",PR!$AT461,IF(H463="OLEAF",PR!$AU461,IF(H463="OCULUS",PR!$AV461,IF(H463="PACIFIC",PR!$AW461,IF(H463="PHAMATEX",PR!$AX461,IF(H463="PETHICS",PR!$AY461,IF(H463="PHILIPS",PR!$AZ461,IF(H463="RANBAXY",PR!$BA461,IF(H463="REALS",PR!$BB461,IF(H463="ROYAL",PR!$BC461,IF(H463="SAM",PR!$BD461,IF(H463="SEAGREEN",PR!$BE461,IF(H463="SKG",PR!$BF461,IF(H463="TAH",PR!$BG461,IF(H463="TAYLEK",PR!$BH461,IF(H463="TEMITA",PR!$BI461,IF(H463="THL",PR!$BJ461,IF(H463="UBASTIC",PR!$BK461,IF(H463="UNION",PR!$BL461,IF(H463="UNIQUE",PR!$BM461,IF(H463="VIXA",PR!$BN461,IF(H463="WWCV",PR!$BO461,IF(H463="ZOLON",PR!$BP461,"-"))))))))))))))))))))))))))))))))))))))))))))))))))))))))))))))))</f>
        <v>-</v>
      </c>
      <c r="H463" s="102">
        <f>EV!M578</f>
        <v>0</v>
      </c>
      <c r="I463" s="108" t="str">
        <f>IF(J463="ALPHA",PR!$E461,IF(J463="ASSENE",PR!$F461,IF(J463="BIOFEM",PR!$G461,IF(J463="BIOMED",PR!$H461,IF(J463="CHI",PR!$I461,IF(J463="CLARION",PR!$J461,IF(J463="CODIX",PR!$K461,IF(J463="COSMADE",PR!$L461,IF(J463="SANCON",PR!$M461,IF(J463="DEVON",PR!$N461,IF(J463="DORTEMAG",PR!$O461,IF(J463="DGF",PR!$P461,IF(J463="DYNAMIC",PR!$Q461,IF(J463="EMZOR",PR!$R461,IF(J463="EUMATT",PR!$S461,IF(J463="FIDSON",PR!$T461,IF(J463="FCGLOBAL",PR!$U461,IF(J463="GENEITH",PR!$V461,IF(J463="GINOS",PR!$W461,IF(J463="GSK",PR!$X461,IF(J463="GLOBORG",PR!$Y461,IF(J463="GOODNEWS",PR!$Z461,IF(J463="GREENLIFE",PR!$AA461,IF(J463="HLINE",PR!$AB461,IF(J463="ROTECH",PR!$AC461,IF(J463="ISN",PR!$AD461,IF(J463="JAWA",PR!$AE461,IF(J463="LAYO",PR!$AF461,IF(J463="LEADWAY",PR!$AG461,IF(J463="LHV",PR!$AH461,IF(J463="MANOLA",PR!$AI461,IF(J463="MARCSON",PR!$AJ461,IF(J463="M&amp;B",PR!$AK461,IF(J463="MTRUST",PR!$AL461,IF(J463="MWORLD",PR!$AM461,IF(J463="MEGA",PR!$AN461,IF(J463="MICRONOVA",PR!$AO461,IF(J463="MFLASH",PR!$AP461,IF(J463="MORISON",PR!$AQ461,IF(J463="NEMEL",PR!$AR461,IF(J463="NHP",PR!$AS461,IF(J463="NHC",PR!$AT461,IF(J463="OLEAF",PR!$AU461,IF(J463="OCULUS",PR!$AV461,IF(J463="PACIFIC",PR!$AW461,IF(J463="PHAMATEX",PR!$AX461,IF(J463="PETHICS",PR!$AY461,IF(J463="PHILIPS",PR!$AZ461,IF(J463="RANBAXY",PR!$BA461,IF(J463="REALS",PR!$BB461,IF(J463="ROYAL",PR!$BC461,IF(J463="SAM",PR!$BD461,IF(J463="SEAGREEN",PR!$BE461,IF(J463="SKG",PR!$BF461,IF(J463="TAH",PR!$BG461,IF(J463="TAYLEK",PR!$BH461,IF(J463="TEMITA",PR!$BI461,IF(J463="THL",PR!$BJ461,IF(J463="UBASTIC",PR!$BK461,IF(J463="UNION",PR!$BL461,IF(J463="UNIQUE",PR!$BM461,IF(J463="VIXA",PR!$BN461,IF(J463="WWCV",PR!$BO461,IF(J463="ZOLON",PR!$BP461,"-"))))))))))))))))))))))))))))))))))))))))))))))))))))))))))))))))</f>
        <v>-</v>
      </c>
      <c r="J463" s="102">
        <f>EV!N578</f>
        <v>0</v>
      </c>
      <c r="K463" s="433"/>
      <c r="L463" s="183" t="b">
        <f>IF(K463&gt;0,IF(K463="ALPHA",PR!$E461,IF(K463="ASSENE",PR!$F461,IF(K463="BIOFEM",PR!$G461,IF(K463="BIOMED",PR!$H461,IF(K463="CHI",PR!$I461,IF(K463="CLARION",PR!$J461,IF(K463="CODIX",PR!$K461,IF(K463="COSMADE",PR!$L461,IF(K463="SANCON",PR!$M461,IF(K463="DEVON",PR!$N461,IF(K463="DORTEMAG",PR!$O461,IF(K463="DGF",PR!$P461,IF(K463="DYNAMIC",PR!$Q461,IF(K463="EMZOR",PR!$R461,IF(K463="EUMATT",PR!$S461,IF(K463="FIDSON",PR!$T461,IF(K463="FCGLOBAL",PR!$U461,IF(K463="GENEITH",PR!$V461,IF(K463="GINOS",PR!$W461,IF(K463="GSK",PR!$X461,IF(K463="GLOBORG",PR!$Y461,IF(K463="GOODNEWS",PR!$Z461,IF(K463="GREENLIFE",PR!$AA461,IF(K463="HLINE",PR!$AB461,IF(K463="ROTECH",PR!$AC461,IF(K463="ISN",PR!$AD461,IF(K463="JAWA",PR!$AE461,IF(K463="LAYO",PR!$AF461,IF(K463="LEADWAY",PR!$AG461,IF(K463="LHV",PR!$AH461,IF(K463="MANOLA",PR!$AI461,IF(K463="MARCSON",PR!$AJ461,IF(K463="M&amp;B",PR!$AK461,IF(K463="MTRUST",PR!$AL461,IF(K463="MWORLD",PR!$AM461,IF(K463="MEGA",PR!$AN461,IF(K463="MICRONOVA",PR!$AO461,IF(K463="MFLASH",PR!$AP461,IF(K463="MORISON",PR!$AQ461,IF(K463="NEMEL",PR!$AR461,IF(K463="NHP",PR!$AS461,IF(K463="NHC",PR!$AT461,IF(K463="OLEAF",PR!$AU461,IF(K463="OCULUS",PR!$AV461,IF(K463="PACIFIC",PR!$AW461,IF(K463="PHAMATEX",PR!$AX461,IF(K463="PETHICS",PR!$AY461,IF(K463="PHILIPS",PR!$AZ461,IF(K463="RANBAXY",PR!$BA461,IF(K463="REALS",PR!$BB461,IF(K463="ROYAL",PR!$BC461,IF(K463="SAM",PR!$BD461,IF(K463="SEAGREEN",PR!$BE461,IF(K463="SKG",PR!$BF461,IF(K463="TAH",PR!$BG461,IF(K463="TAYLEK",PR!$BH461,IF(K463="TEMITA",PR!$BI461,IF(K463="THL",PR!$BJ461,IF(K463="UBASTIC",PR!$BK461,IF(K463="UNION",PR!$BL461,IF(K463="UNIQUE",PR!$BM461,IF(K463="VIXA",PR!$BN461,IF(K463="WWCV",PR!$BO461,IF(K463="ZOLON",PR!$BP461,"-")))))))))))))))))))))))))))))))))))))))))))))))))))))))))))))))))</f>
        <v>0</v>
      </c>
    </row>
    <row r="464" spans="1:12" ht="18.75" x14ac:dyDescent="0.3">
      <c r="A464" s="430">
        <f>PR!A462</f>
        <v>419</v>
      </c>
      <c r="B464" s="15" t="str">
        <f>PR!B462</f>
        <v>ATS 1500 IU INJ</v>
      </c>
      <c r="C464" s="113">
        <f>PR!D462</f>
        <v>100</v>
      </c>
      <c r="D464" s="113">
        <f>PR!C462</f>
        <v>20</v>
      </c>
      <c r="E464" s="108">
        <f>IF(F464="ALPHA",PR!$E462,IF(F464="ASSENE",PR!$F462,IF(F464="BIOFEM",PR!$G462,IF(F464="BIOMED",PR!$H462,IF(F464="CHI",PR!$I462,IF(F464="CLARION",PR!$J462,IF(F464="CODIX",PR!$K462,IF(F464="COSMADE",PR!$L462,IF(F464="SANCON",PR!$M462,IF(F464="DEVON",PR!$N462,IF(F464="DORTEMAG",PR!$O462,IF(F464="DGF",PR!$P462,IF(F464="DYNAMIC",PR!$Q462,IF(F464="EMZOR",PR!$R462,IF(F464="EUMATT",PR!$S462,IF(F464="FIDSON",PR!$T462,IF(F464="FCGLOBAL",PR!$U462,IF(F464="GENEITH",PR!$V462,IF(F464="GINOS",PR!$W462,IF(F464="GSK",PR!$X462,IF(F464="GLOBORG",PR!$Y462,IF(F464="GOODNEWS",PR!$Z462,IF(F464="GREENLIFE",PR!$AA462,IF(F464="HLINE",PR!$AB462,IF(F464="ROTECH",PR!$AC462,IF(F464="ISN",PR!$AD462,IF(F464="JAWA",PR!$AE462,IF(F464="LAYO",PR!$AF462,IF(F464="LEADWAY",PR!$AG462,IF(F464="LHV",PR!$AH462,IF(F464="MANOLA",PR!$AI462,IF(F464="MARCSON",PR!$AJ462,IF(F464="M&amp;B",PR!$AK462,IF(F464="MTRUST",PR!$AL462,IF(F464="MWORLD",PR!$AM462,IF(F464="MEGA",PR!$AN462,IF(F464="MICRONOVA",PR!$AO462,IF(F464="MFLASH",PR!$AP462,IF(F464="MORISON",PR!$AQ462,IF(F464="NEMEL",PR!$AR462,IF(F464="NHP",PR!$AS462,IF(F464="NHC",PR!$AT462,IF(F464="OLEAF",PR!$AU462,IF(F464="OCULUS",PR!$AV462,IF(F464="PACIFIC",PR!$AW462,IF(F464="PHAMATEX",PR!$AX462,IF(F464="PETHICS",PR!$AY462,IF(F464="PHILIPS",PR!$AZ462,IF(F464="RANBAXY",PR!$BA462,IF(F464="REALS",PR!$BB462,IF(F464="ROYAL",PR!$BC462,IF(F464="SAM",PR!$BD462,IF(F464="SEAGREEN",PR!$BE462,IF(F464="SKG",PR!$BF462,IF(F464="TAH",PR!$BG462,IF(F464="TAYLEK",PR!$BH462,IF(F464="TEMITA",PR!$BI462,IF(F464="THL",PR!$BJ462,IF(F464="UBASTIC",PR!$BK462,IF(F464="UNION",PR!$BL462,IF(F464="UNIQUE",PR!$BM462,IF(F464="VIXA",PR!$BN462,IF(F464="WWCV",PR!$BO462,IF(F464="ZOLON",PR!$BP462,"-"))))))))))))))))))))))))))))))))))))))))))))))))))))))))))))))))</f>
        <v>20000</v>
      </c>
      <c r="F464" s="102" t="str">
        <f>EV!L579</f>
        <v>EUMATT</v>
      </c>
      <c r="G464" s="108" t="str">
        <f>IF(H464="ALPHA",PR!$E462,IF(H464="ASSENE",PR!$F462,IF(H464="BIOFEM",PR!$G462,IF(H464="BIOMED",PR!$H462,IF(H464="CHI",PR!$I462,IF(H464="CLARION",PR!$J462,IF(H464="CODIX",PR!$K462,IF(H464="COSMADE",PR!$L462,IF(H464="SANCON",PR!$M462,IF(H464="DEVON",PR!$N462,IF(H464="DORTEMAG",PR!$O462,IF(H464="DGF",PR!$P462,IF(H464="DYNAMIC",PR!$Q462,IF(H464="EMZOR",PR!$R462,IF(H464="EUMATT",PR!$S462,IF(H464="FIDSON",PR!$T462,IF(H464="FCGLOBAL",PR!$U462,IF(H464="GENEITH",PR!$V462,IF(H464="GINOS",PR!$W462,IF(H464="GSK",PR!$X462,IF(H464="GLOBORG",PR!$Y462,IF(H464="GOODNEWS",PR!$Z462,IF(H464="GREENLIFE",PR!$AA462,IF(H464="HLINE",PR!$AB462,IF(H464="ROTECH",PR!$AC462,IF(H464="ISN",PR!$AD462,IF(H464="JAWA",PR!$AE462,IF(H464="LAYO",PR!$AF462,IF(H464="LEADWAY",PR!$AG462,IF(H464="LHV",PR!$AH462,IF(H464="MANOLA",PR!$AI462,IF(H464="MARCSON",PR!$AJ462,IF(H464="M&amp;B",PR!$AK462,IF(H464="MTRUST",PR!$AL462,IF(H464="MWORLD",PR!$AM462,IF(H464="MEGA",PR!$AN462,IF(H464="MICRONOVA",PR!$AO462,IF(H464="MFLASH",PR!$AP462,IF(H464="MORISON",PR!$AQ462,IF(H464="NEMEL",PR!$AR462,IF(H464="NHP",PR!$AS462,IF(H464="NHC",PR!$AT462,IF(H464="OLEAF",PR!$AU462,IF(H464="OCULUS",PR!$AV462,IF(H464="PACIFIC",PR!$AW462,IF(H464="PHAMATEX",PR!$AX462,IF(H464="PETHICS",PR!$AY462,IF(H464="PHILIPS",PR!$AZ462,IF(H464="RANBAXY",PR!$BA462,IF(H464="REALS",PR!$BB462,IF(H464="ROYAL",PR!$BC462,IF(H464="SAM",PR!$BD462,IF(H464="SEAGREEN",PR!$BE462,IF(H464="SKG",PR!$BF462,IF(H464="TAH",PR!$BG462,IF(H464="TAYLEK",PR!$BH462,IF(H464="TEMITA",PR!$BI462,IF(H464="THL",PR!$BJ462,IF(H464="UBASTIC",PR!$BK462,IF(H464="UNION",PR!$BL462,IF(H464="UNIQUE",PR!$BM462,IF(H464="VIXA",PR!$BN462,IF(H464="WWCV",PR!$BO462,IF(H464="ZOLON",PR!$BP462,"-"))))))))))))))))))))))))))))))))))))))))))))))))))))))))))))))))</f>
        <v>-</v>
      </c>
      <c r="H464" s="102">
        <f>EV!M579</f>
        <v>0</v>
      </c>
      <c r="I464" s="108" t="str">
        <f>IF(J464="ALPHA",PR!$E462,IF(J464="ASSENE",PR!$F462,IF(J464="BIOFEM",PR!$G462,IF(J464="BIOMED",PR!$H462,IF(J464="CHI",PR!$I462,IF(J464="CLARION",PR!$J462,IF(J464="CODIX",PR!$K462,IF(J464="COSMADE",PR!$L462,IF(J464="SANCON",PR!$M462,IF(J464="DEVON",PR!$N462,IF(J464="DORTEMAG",PR!$O462,IF(J464="DGF",PR!$P462,IF(J464="DYNAMIC",PR!$Q462,IF(J464="EMZOR",PR!$R462,IF(J464="EUMATT",PR!$S462,IF(J464="FIDSON",PR!$T462,IF(J464="FCGLOBAL",PR!$U462,IF(J464="GENEITH",PR!$V462,IF(J464="GINOS",PR!$W462,IF(J464="GSK",PR!$X462,IF(J464="GLOBORG",PR!$Y462,IF(J464="GOODNEWS",PR!$Z462,IF(J464="GREENLIFE",PR!$AA462,IF(J464="HLINE",PR!$AB462,IF(J464="ROTECH",PR!$AC462,IF(J464="ISN",PR!$AD462,IF(J464="JAWA",PR!$AE462,IF(J464="LAYO",PR!$AF462,IF(J464="LEADWAY",PR!$AG462,IF(J464="LHV",PR!$AH462,IF(J464="MANOLA",PR!$AI462,IF(J464="MARCSON",PR!$AJ462,IF(J464="M&amp;B",PR!$AK462,IF(J464="MTRUST",PR!$AL462,IF(J464="MWORLD",PR!$AM462,IF(J464="MEGA",PR!$AN462,IF(J464="MICRONOVA",PR!$AO462,IF(J464="MFLASH",PR!$AP462,IF(J464="MORISON",PR!$AQ462,IF(J464="NEMEL",PR!$AR462,IF(J464="NHP",PR!$AS462,IF(J464="NHC",PR!$AT462,IF(J464="OLEAF",PR!$AU462,IF(J464="OCULUS",PR!$AV462,IF(J464="PACIFIC",PR!$AW462,IF(J464="PHAMATEX",PR!$AX462,IF(J464="PETHICS",PR!$AY462,IF(J464="PHILIPS",PR!$AZ462,IF(J464="RANBAXY",PR!$BA462,IF(J464="REALS",PR!$BB462,IF(J464="ROYAL",PR!$BC462,IF(J464="SAM",PR!$BD462,IF(J464="SEAGREEN",PR!$BE462,IF(J464="SKG",PR!$BF462,IF(J464="TAH",PR!$BG462,IF(J464="TAYLEK",PR!$BH462,IF(J464="TEMITA",PR!$BI462,IF(J464="THL",PR!$BJ462,IF(J464="UBASTIC",PR!$BK462,IF(J464="UNION",PR!$BL462,IF(J464="UNIQUE",PR!$BM462,IF(J464="VIXA",PR!$BN462,IF(J464="WWCV",PR!$BO462,IF(J464="ZOLON",PR!$BP462,"-"))))))))))))))))))))))))))))))))))))))))))))))))))))))))))))))))</f>
        <v>-</v>
      </c>
      <c r="J464" s="102">
        <f>EV!N579</f>
        <v>0</v>
      </c>
      <c r="K464" s="433" t="s">
        <v>821</v>
      </c>
      <c r="L464" s="183">
        <f>IF(K464&gt;0,IF(K464="ALPHA",PR!$E462,IF(K464="ASSENE",PR!$F462,IF(K464="BIOFEM",PR!$G462,IF(K464="BIOMED",PR!$H462,IF(K464="CHI",PR!$I462,IF(K464="CLARION",PR!$J462,IF(K464="CODIX",PR!$K462,IF(K464="COSMADE",PR!$L462,IF(K464="SANCON",PR!$M462,IF(K464="DEVON",PR!$N462,IF(K464="DORTEMAG",PR!$O462,IF(K464="DGF",PR!$P462,IF(K464="DYNAMIC",PR!$Q462,IF(K464="EMZOR",PR!$R462,IF(K464="EUMATT",PR!$S462,IF(K464="FIDSON",PR!$T462,IF(K464="FCGLOBAL",PR!$U462,IF(K464="GENEITH",PR!$V462,IF(K464="GINOS",PR!$W462,IF(K464="GSK",PR!$X462,IF(K464="GLOBORG",PR!$Y462,IF(K464="GOODNEWS",PR!$Z462,IF(K464="GREENLIFE",PR!$AA462,IF(K464="HLINE",PR!$AB462,IF(K464="ROTECH",PR!$AC462,IF(K464="ISN",PR!$AD462,IF(K464="JAWA",PR!$AE462,IF(K464="LAYO",PR!$AF462,IF(K464="LEADWAY",PR!$AG462,IF(K464="LHV",PR!$AH462,IF(K464="MANOLA",PR!$AI462,IF(K464="MARCSON",PR!$AJ462,IF(K464="M&amp;B",PR!$AK462,IF(K464="MTRUST",PR!$AL462,IF(K464="MWORLD",PR!$AM462,IF(K464="MEGA",PR!$AN462,IF(K464="MICRONOVA",PR!$AO462,IF(K464="MFLASH",PR!$AP462,IF(K464="MORISON",PR!$AQ462,IF(K464="NEMEL",PR!$AR462,IF(K464="NHP",PR!$AS462,IF(K464="NHC",PR!$AT462,IF(K464="OLEAF",PR!$AU462,IF(K464="OCULUS",PR!$AV462,IF(K464="PACIFIC",PR!$AW462,IF(K464="PHAMATEX",PR!$AX462,IF(K464="PETHICS",PR!$AY462,IF(K464="PHILIPS",PR!$AZ462,IF(K464="RANBAXY",PR!$BA462,IF(K464="REALS",PR!$BB462,IF(K464="ROYAL",PR!$BC462,IF(K464="SAM",PR!$BD462,IF(K464="SEAGREEN",PR!$BE462,IF(K464="SKG",PR!$BF462,IF(K464="TAH",PR!$BG462,IF(K464="TAYLEK",PR!$BH462,IF(K464="TEMITA",PR!$BI462,IF(K464="THL",PR!$BJ462,IF(K464="UBASTIC",PR!$BK462,IF(K464="UNION",PR!$BL462,IF(K464="UNIQUE",PR!$BM462,IF(K464="VIXA",PR!$BN462,IF(K464="WWCV",PR!$BO462,IF(K464="ZOLON",PR!$BP462,"-")))))))))))))))))))))))))))))))))))))))))))))))))))))))))))))))))</f>
        <v>20000</v>
      </c>
    </row>
    <row r="465" spans="1:12" ht="18.75" x14ac:dyDescent="0.3">
      <c r="A465" s="430">
        <f>PR!A463</f>
        <v>420</v>
      </c>
      <c r="B465" s="15" t="str">
        <f>PR!B463</f>
        <v xml:space="preserve">HEPATITIS B IMMUNOGLOBULIN </v>
      </c>
      <c r="C465" s="113" t="str">
        <f>PR!D463</f>
        <v>VIAL</v>
      </c>
      <c r="D465" s="113">
        <f>PR!C463</f>
        <v>8</v>
      </c>
      <c r="E465" s="108">
        <f>IF(F465="ALPHA",PR!$E463,IF(F465="ASSENE",PR!$F463,IF(F465="BIOFEM",PR!$G463,IF(F465="BIOMED",PR!$H463,IF(F465="CHI",PR!$I463,IF(F465="CLARION",PR!$J463,IF(F465="CODIX",PR!$K463,IF(F465="COSMADE",PR!$L463,IF(F465="SANCON",PR!$M463,IF(F465="DEVON",PR!$N463,IF(F465="DORTEMAG",PR!$O463,IF(F465="DGF",PR!$P463,IF(F465="DYNAMIC",PR!$Q463,IF(F465="EMZOR",PR!$R463,IF(F465="EUMATT",PR!$S463,IF(F465="FIDSON",PR!$T463,IF(F465="FCGLOBAL",PR!$U463,IF(F465="GENEITH",PR!$V463,IF(F465="GINOS",PR!$W463,IF(F465="GSK",PR!$X463,IF(F465="GLOBORG",PR!$Y463,IF(F465="GOODNEWS",PR!$Z463,IF(F465="GREENLIFE",PR!$AA463,IF(F465="HLINE",PR!$AB463,IF(F465="ROTECH",PR!$AC463,IF(F465="ISN",PR!$AD463,IF(F465="JAWA",PR!$AE463,IF(F465="LAYO",PR!$AF463,IF(F465="LEADWAY",PR!$AG463,IF(F465="LHV",PR!$AH463,IF(F465="MANOLA",PR!$AI463,IF(F465="MARCSON",PR!$AJ463,IF(F465="M&amp;B",PR!$AK463,IF(F465="MTRUST",PR!$AL463,IF(F465="MWORLD",PR!$AM463,IF(F465="MEGA",PR!$AN463,IF(F465="MICRONOVA",PR!$AO463,IF(F465="MFLASH",PR!$AP463,IF(F465="MORISON",PR!$AQ463,IF(F465="NEMEL",PR!$AR463,IF(F465="NHP",PR!$AS463,IF(F465="NHC",PR!$AT463,IF(F465="OLEAF",PR!$AU463,IF(F465="OCULUS",PR!$AV463,IF(F465="PACIFIC",PR!$AW463,IF(F465="PHAMATEX",PR!$AX463,IF(F465="PETHICS",PR!$AY463,IF(F465="PHILIPS",PR!$AZ463,IF(F465="RANBAXY",PR!$BA463,IF(F465="REALS",PR!$BB463,IF(F465="ROYAL",PR!$BC463,IF(F465="SAM",PR!$BD463,IF(F465="SEAGREEN",PR!$BE463,IF(F465="SKG",PR!$BF463,IF(F465="TAH",PR!$BG463,IF(F465="TAYLEK",PR!$BH463,IF(F465="TEMITA",PR!$BI463,IF(F465="THL",PR!$BJ463,IF(F465="UBASTIC",PR!$BK463,IF(F465="UNION",PR!$BL463,IF(F465="UNIQUE",PR!$BM463,IF(F465="VIXA",PR!$BN463,IF(F465="WWCV",PR!$BO463,IF(F465="ZOLON",PR!$BP463,"-"))))))))))))))))))))))))))))))))))))))))))))))))))))))))))))))))</f>
        <v>8000</v>
      </c>
      <c r="F465" s="102" t="str">
        <f>EV!L580</f>
        <v>ZOLON</v>
      </c>
      <c r="G465" s="108">
        <f>IF(H465="ALPHA",PR!$E463,IF(H465="ASSENE",PR!$F463,IF(H465="BIOFEM",PR!$G463,IF(H465="BIOMED",PR!$H463,IF(H465="CHI",PR!$I463,IF(H465="CLARION",PR!$J463,IF(H465="CODIX",PR!$K463,IF(H465="COSMADE",PR!$L463,IF(H465="SANCON",PR!$M463,IF(H465="DEVON",PR!$N463,IF(H465="DORTEMAG",PR!$O463,IF(H465="DGF",PR!$P463,IF(H465="DYNAMIC",PR!$Q463,IF(H465="EMZOR",PR!$R463,IF(H465="EUMATT",PR!$S463,IF(H465="FIDSON",PR!$T463,IF(H465="FCGLOBAL",PR!$U463,IF(H465="GENEITH",PR!$V463,IF(H465="GINOS",PR!$W463,IF(H465="GSK",PR!$X463,IF(H465="GLOBORG",PR!$Y463,IF(H465="GOODNEWS",PR!$Z463,IF(H465="GREENLIFE",PR!$AA463,IF(H465="HLINE",PR!$AB463,IF(H465="ROTECH",PR!$AC463,IF(H465="ISN",PR!$AD463,IF(H465="JAWA",PR!$AE463,IF(H465="LAYO",PR!$AF463,IF(H465="LEADWAY",PR!$AG463,IF(H465="LHV",PR!$AH463,IF(H465="MANOLA",PR!$AI463,IF(H465="MARCSON",PR!$AJ463,IF(H465="M&amp;B",PR!$AK463,IF(H465="MTRUST",PR!$AL463,IF(H465="MWORLD",PR!$AM463,IF(H465="MEGA",PR!$AN463,IF(H465="MICRONOVA",PR!$AO463,IF(H465="MFLASH",PR!$AP463,IF(H465="MORISON",PR!$AQ463,IF(H465="NEMEL",PR!$AR463,IF(H465="NHP",PR!$AS463,IF(H465="NHC",PR!$AT463,IF(H465="OLEAF",PR!$AU463,IF(H465="OCULUS",PR!$AV463,IF(H465="PACIFIC",PR!$AW463,IF(H465="PHAMATEX",PR!$AX463,IF(H465="PETHICS",PR!$AY463,IF(H465="PHILIPS",PR!$AZ463,IF(H465="RANBAXY",PR!$BA463,IF(H465="REALS",PR!$BB463,IF(H465="ROYAL",PR!$BC463,IF(H465="SAM",PR!$BD463,IF(H465="SEAGREEN",PR!$BE463,IF(H465="SKG",PR!$BF463,IF(H465="TAH",PR!$BG463,IF(H465="TAYLEK",PR!$BH463,IF(H465="TEMITA",PR!$BI463,IF(H465="THL",PR!$BJ463,IF(H465="UBASTIC",PR!$BK463,IF(H465="UNION",PR!$BL463,IF(H465="UNIQUE",PR!$BM463,IF(H465="VIXA",PR!$BN463,IF(H465="WWCV",PR!$BO463,IF(H465="ZOLON",PR!$BP463,"-"))))))))))))))))))))))))))))))))))))))))))))))))))))))))))))))))</f>
        <v>50000</v>
      </c>
      <c r="H465" s="102" t="str">
        <f>EV!M580</f>
        <v>PHILIPS</v>
      </c>
      <c r="I465" s="108" t="str">
        <f>IF(J465="ALPHA",PR!$E463,IF(J465="ASSENE",PR!$F463,IF(J465="BIOFEM",PR!$G463,IF(J465="BIOMED",PR!$H463,IF(J465="CHI",PR!$I463,IF(J465="CLARION",PR!$J463,IF(J465="CODIX",PR!$K463,IF(J465="COSMADE",PR!$L463,IF(J465="SANCON",PR!$M463,IF(J465="DEVON",PR!$N463,IF(J465="DORTEMAG",PR!$O463,IF(J465="DGF",PR!$P463,IF(J465="DYNAMIC",PR!$Q463,IF(J465="EMZOR",PR!$R463,IF(J465="EUMATT",PR!$S463,IF(J465="FIDSON",PR!$T463,IF(J465="FCGLOBAL",PR!$U463,IF(J465="GENEITH",PR!$V463,IF(J465="GINOS",PR!$W463,IF(J465="GSK",PR!$X463,IF(J465="GLOBORG",PR!$Y463,IF(J465="GOODNEWS",PR!$Z463,IF(J465="GREENLIFE",PR!$AA463,IF(J465="HLINE",PR!$AB463,IF(J465="ROTECH",PR!$AC463,IF(J465="ISN",PR!$AD463,IF(J465="JAWA",PR!$AE463,IF(J465="LAYO",PR!$AF463,IF(J465="LEADWAY",PR!$AG463,IF(J465="LHV",PR!$AH463,IF(J465="MANOLA",PR!$AI463,IF(J465="MARCSON",PR!$AJ463,IF(J465="M&amp;B",PR!$AK463,IF(J465="MTRUST",PR!$AL463,IF(J465="MWORLD",PR!$AM463,IF(J465="MEGA",PR!$AN463,IF(J465="MICRONOVA",PR!$AO463,IF(J465="MFLASH",PR!$AP463,IF(J465="MORISON",PR!$AQ463,IF(J465="NEMEL",PR!$AR463,IF(J465="NHP",PR!$AS463,IF(J465="NHC",PR!$AT463,IF(J465="OLEAF",PR!$AU463,IF(J465="OCULUS",PR!$AV463,IF(J465="PACIFIC",PR!$AW463,IF(J465="PHAMATEX",PR!$AX463,IF(J465="PETHICS",PR!$AY463,IF(J465="PHILIPS",PR!$AZ463,IF(J465="RANBAXY",PR!$BA463,IF(J465="REALS",PR!$BB463,IF(J465="ROYAL",PR!$BC463,IF(J465="SAM",PR!$BD463,IF(J465="SEAGREEN",PR!$BE463,IF(J465="SKG",PR!$BF463,IF(J465="TAH",PR!$BG463,IF(J465="TAYLEK",PR!$BH463,IF(J465="TEMITA",PR!$BI463,IF(J465="THL",PR!$BJ463,IF(J465="UBASTIC",PR!$BK463,IF(J465="UNION",PR!$BL463,IF(J465="UNIQUE",PR!$BM463,IF(J465="VIXA",PR!$BN463,IF(J465="WWCV",PR!$BO463,IF(J465="ZOLON",PR!$BP463,"-"))))))))))))))))))))))))))))))))))))))))))))))))))))))))))))))))</f>
        <v>-</v>
      </c>
      <c r="J465" s="102">
        <f>EV!N580</f>
        <v>0</v>
      </c>
      <c r="K465" s="433" t="s">
        <v>615</v>
      </c>
      <c r="L465" s="183">
        <f>IF(K465&gt;0,IF(K465="ALPHA",PR!$E463,IF(K465="ASSENE",PR!$F463,IF(K465="BIOFEM",PR!$G463,IF(K465="BIOMED",PR!$H463,IF(K465="CHI",PR!$I463,IF(K465="CLARION",PR!$J463,IF(K465="CODIX",PR!$K463,IF(K465="COSMADE",PR!$L463,IF(K465="SANCON",PR!$M463,IF(K465="DEVON",PR!$N463,IF(K465="DORTEMAG",PR!$O463,IF(K465="DGF",PR!$P463,IF(K465="DYNAMIC",PR!$Q463,IF(K465="EMZOR",PR!$R463,IF(K465="EUMATT",PR!$S463,IF(K465="FIDSON",PR!$T463,IF(K465="FCGLOBAL",PR!$U463,IF(K465="GENEITH",PR!$V463,IF(K465="GINOS",PR!$W463,IF(K465="GSK",PR!$X463,IF(K465="GLOBORG",PR!$Y463,IF(K465="GOODNEWS",PR!$Z463,IF(K465="GREENLIFE",PR!$AA463,IF(K465="HLINE",PR!$AB463,IF(K465="ROTECH",PR!$AC463,IF(K465="ISN",PR!$AD463,IF(K465="JAWA",PR!$AE463,IF(K465="LAYO",PR!$AF463,IF(K465="LEADWAY",PR!$AG463,IF(K465="LHV",PR!$AH463,IF(K465="MANOLA",PR!$AI463,IF(K465="MARCSON",PR!$AJ463,IF(K465="M&amp;B",PR!$AK463,IF(K465="MTRUST",PR!$AL463,IF(K465="MWORLD",PR!$AM463,IF(K465="MEGA",PR!$AN463,IF(K465="MICRONOVA",PR!$AO463,IF(K465="MFLASH",PR!$AP463,IF(K465="MORISON",PR!$AQ463,IF(K465="NEMEL",PR!$AR463,IF(K465="NHP",PR!$AS463,IF(K465="NHC",PR!$AT463,IF(K465="OLEAF",PR!$AU463,IF(K465="OCULUS",PR!$AV463,IF(K465="PACIFIC",PR!$AW463,IF(K465="PHAMATEX",PR!$AX463,IF(K465="PETHICS",PR!$AY463,IF(K465="PHILIPS",PR!$AZ463,IF(K465="RANBAXY",PR!$BA463,IF(K465="REALS",PR!$BB463,IF(K465="ROYAL",PR!$BC463,IF(K465="SAM",PR!$BD463,IF(K465="SEAGREEN",PR!$BE463,IF(K465="SKG",PR!$BF463,IF(K465="TAH",PR!$BG463,IF(K465="TAYLEK",PR!$BH463,IF(K465="TEMITA",PR!$BI463,IF(K465="THL",PR!$BJ463,IF(K465="UBASTIC",PR!$BK463,IF(K465="UNION",PR!$BL463,IF(K465="UNIQUE",PR!$BM463,IF(K465="VIXA",PR!$BN463,IF(K465="WWCV",PR!$BO463,IF(K465="ZOLON",PR!$BP463,"-")))))))))))))))))))))))))))))))))))))))))))))))))))))))))))))))))</f>
        <v>8000</v>
      </c>
    </row>
    <row r="466" spans="1:12" ht="18.75" x14ac:dyDescent="0.3">
      <c r="A466" s="430">
        <f>PR!A464</f>
        <v>421</v>
      </c>
      <c r="B466" s="15" t="str">
        <f>PR!B464</f>
        <v>RABBIES VACCINE INJ</v>
      </c>
      <c r="C466" s="113" t="str">
        <f>PR!D464</f>
        <v>VIAL</v>
      </c>
      <c r="D466" s="113">
        <f>PR!C464</f>
        <v>120</v>
      </c>
      <c r="E466" s="108">
        <f>IF(F466="ALPHA",PR!$E464,IF(F466="ASSENE",PR!$F464,IF(F466="BIOFEM",PR!$G464,IF(F466="BIOMED",PR!$H464,IF(F466="CHI",PR!$I464,IF(F466="CLARION",PR!$J464,IF(F466="CODIX",PR!$K464,IF(F466="COSMADE",PR!$L464,IF(F466="SANCON",PR!$M464,IF(F466="DEVON",PR!$N464,IF(F466="DORTEMAG",PR!$O464,IF(F466="DGF",PR!$P464,IF(F466="DYNAMIC",PR!$Q464,IF(F466="EMZOR",PR!$R464,IF(F466="EUMATT",PR!$S464,IF(F466="FIDSON",PR!$T464,IF(F466="FCGLOBAL",PR!$U464,IF(F466="GENEITH",PR!$V464,IF(F466="GINOS",PR!$W464,IF(F466="GSK",PR!$X464,IF(F466="GLOBORG",PR!$Y464,IF(F466="GOODNEWS",PR!$Z464,IF(F466="GREENLIFE",PR!$AA464,IF(F466="HLINE",PR!$AB464,IF(F466="ROTECH",PR!$AC464,IF(F466="ISN",PR!$AD464,IF(F466="JAWA",PR!$AE464,IF(F466="LAYO",PR!$AF464,IF(F466="LEADWAY",PR!$AG464,IF(F466="LHV",PR!$AH464,IF(F466="MANOLA",PR!$AI464,IF(F466="MARCSON",PR!$AJ464,IF(F466="M&amp;B",PR!$AK464,IF(F466="MTRUST",PR!$AL464,IF(F466="MWORLD",PR!$AM464,IF(F466="MEGA",PR!$AN464,IF(F466="MICRONOVA",PR!$AO464,IF(F466="MFLASH",PR!$AP464,IF(F466="MORISON",PR!$AQ464,IF(F466="NEMEL",PR!$AR464,IF(F466="NHP",PR!$AS464,IF(F466="NHC",PR!$AT464,IF(F466="OLEAF",PR!$AU464,IF(F466="OCULUS",PR!$AV464,IF(F466="PACIFIC",PR!$AW464,IF(F466="PHAMATEX",PR!$AX464,IF(F466="PETHICS",PR!$AY464,IF(F466="PHILIPS",PR!$AZ464,IF(F466="RANBAXY",PR!$BA464,IF(F466="REALS",PR!$BB464,IF(F466="ROYAL",PR!$BC464,IF(F466="SAM",PR!$BD464,IF(F466="SEAGREEN",PR!$BE464,IF(F466="SKG",PR!$BF464,IF(F466="TAH",PR!$BG464,IF(F466="TAYLEK",PR!$BH464,IF(F466="TEMITA",PR!$BI464,IF(F466="THL",PR!$BJ464,IF(F466="UBASTIC",PR!$BK464,IF(F466="UNION",PR!$BL464,IF(F466="UNIQUE",PR!$BM464,IF(F466="VIXA",PR!$BN464,IF(F466="WWCV",PR!$BO464,IF(F466="ZOLON",PR!$BP464,"-"))))))))))))))))))))))))))))))))))))))))))))))))))))))))))))))))</f>
        <v>2400</v>
      </c>
      <c r="F466" s="102" t="str">
        <f>EV!L605</f>
        <v>EUMATT</v>
      </c>
      <c r="G466" s="108">
        <f>IF(H466="ALPHA",PR!$E464,IF(H466="ASSENE",PR!$F464,IF(H466="BIOFEM",PR!$G464,IF(H466="BIOMED",PR!$H464,IF(H466="CHI",PR!$I464,IF(H466="CLARION",PR!$J464,IF(H466="CODIX",PR!$K464,IF(H466="COSMADE",PR!$L464,IF(H466="SANCON",PR!$M464,IF(H466="DEVON",PR!$N464,IF(H466="DORTEMAG",PR!$O464,IF(H466="DGF",PR!$P464,IF(H466="DYNAMIC",PR!$Q464,IF(H466="EMZOR",PR!$R464,IF(H466="EUMATT",PR!$S464,IF(H466="FIDSON",PR!$T464,IF(H466="FCGLOBAL",PR!$U464,IF(H466="GENEITH",PR!$V464,IF(H466="GINOS",PR!$W464,IF(H466="GSK",PR!$X464,IF(H466="GLOBORG",PR!$Y464,IF(H466="GOODNEWS",PR!$Z464,IF(H466="GREENLIFE",PR!$AA464,IF(H466="HLINE",PR!$AB464,IF(H466="ROTECH",PR!$AC464,IF(H466="ISN",PR!$AD464,IF(H466="JAWA",PR!$AE464,IF(H466="LAYO",PR!$AF464,IF(H466="LEADWAY",PR!$AG464,IF(H466="LHV",PR!$AH464,IF(H466="MANOLA",PR!$AI464,IF(H466="MARCSON",PR!$AJ464,IF(H466="M&amp;B",PR!$AK464,IF(H466="MTRUST",PR!$AL464,IF(H466="MWORLD",PR!$AM464,IF(H466="MEGA",PR!$AN464,IF(H466="MICRONOVA",PR!$AO464,IF(H466="MFLASH",PR!$AP464,IF(H466="MORISON",PR!$AQ464,IF(H466="NEMEL",PR!$AR464,IF(H466="NHP",PR!$AS464,IF(H466="NHC",PR!$AT464,IF(H466="OLEAF",PR!$AU464,IF(H466="OCULUS",PR!$AV464,IF(H466="PACIFIC",PR!$AW464,IF(H466="PHAMATEX",PR!$AX464,IF(H466="PETHICS",PR!$AY464,IF(H466="PHILIPS",PR!$AZ464,IF(H466="RANBAXY",PR!$BA464,IF(H466="REALS",PR!$BB464,IF(H466="ROYAL",PR!$BC464,IF(H466="SAM",PR!$BD464,IF(H466="SEAGREEN",PR!$BE464,IF(H466="SKG",PR!$BF464,IF(H466="TAH",PR!$BG464,IF(H466="TAYLEK",PR!$BH464,IF(H466="TEMITA",PR!$BI464,IF(H466="THL",PR!$BJ464,IF(H466="UBASTIC",PR!$BK464,IF(H466="UNION",PR!$BL464,IF(H466="UNIQUE",PR!$BM464,IF(H466="VIXA",PR!$BN464,IF(H466="WWCV",PR!$BO464,IF(H466="ZOLON",PR!$BP464,"-"))))))))))))))))))))))))))))))))))))))))))))))))))))))))))))))))</f>
        <v>4400</v>
      </c>
      <c r="H466" s="102" t="str">
        <f>EV!M605</f>
        <v>PHILIPS</v>
      </c>
      <c r="I466" s="108" t="str">
        <f>IF(J466="ALPHA",PR!$E464,IF(J466="ASSENE",PR!$F464,IF(J466="BIOFEM",PR!$G464,IF(J466="BIOMED",PR!$H464,IF(J466="CHI",PR!$I464,IF(J466="CLARION",PR!$J464,IF(J466="CODIX",PR!$K464,IF(J466="COSMADE",PR!$L464,IF(J466="SANCON",PR!$M464,IF(J466="DEVON",PR!$N464,IF(J466="DORTEMAG",PR!$O464,IF(J466="DGF",PR!$P464,IF(J466="DYNAMIC",PR!$Q464,IF(J466="EMZOR",PR!$R464,IF(J466="EUMATT",PR!$S464,IF(J466="FIDSON",PR!$T464,IF(J466="FCGLOBAL",PR!$U464,IF(J466="GENEITH",PR!$V464,IF(J466="GINOS",PR!$W464,IF(J466="GSK",PR!$X464,IF(J466="GLOBORG",PR!$Y464,IF(J466="GOODNEWS",PR!$Z464,IF(J466="GREENLIFE",PR!$AA464,IF(J466="HLINE",PR!$AB464,IF(J466="ROTECH",PR!$AC464,IF(J466="ISN",PR!$AD464,IF(J466="JAWA",PR!$AE464,IF(J466="LAYO",PR!$AF464,IF(J466="LEADWAY",PR!$AG464,IF(J466="LHV",PR!$AH464,IF(J466="MANOLA",PR!$AI464,IF(J466="MARCSON",PR!$AJ464,IF(J466="M&amp;B",PR!$AK464,IF(J466="MTRUST",PR!$AL464,IF(J466="MWORLD",PR!$AM464,IF(J466="MEGA",PR!$AN464,IF(J466="MICRONOVA",PR!$AO464,IF(J466="MFLASH",PR!$AP464,IF(J466="MORISON",PR!$AQ464,IF(J466="NEMEL",PR!$AR464,IF(J466="NHP",PR!$AS464,IF(J466="NHC",PR!$AT464,IF(J466="OLEAF",PR!$AU464,IF(J466="OCULUS",PR!$AV464,IF(J466="PACIFIC",PR!$AW464,IF(J466="PHAMATEX",PR!$AX464,IF(J466="PETHICS",PR!$AY464,IF(J466="PHILIPS",PR!$AZ464,IF(J466="RANBAXY",PR!$BA464,IF(J466="REALS",PR!$BB464,IF(J466="ROYAL",PR!$BC464,IF(J466="SAM",PR!$BD464,IF(J466="SEAGREEN",PR!$BE464,IF(J466="SKG",PR!$BF464,IF(J466="TAH",PR!$BG464,IF(J466="TAYLEK",PR!$BH464,IF(J466="TEMITA",PR!$BI464,IF(J466="THL",PR!$BJ464,IF(J466="UBASTIC",PR!$BK464,IF(J466="UNION",PR!$BL464,IF(J466="UNIQUE",PR!$BM464,IF(J466="VIXA",PR!$BN464,IF(J466="WWCV",PR!$BO464,IF(J466="ZOLON",PR!$BP464,"-"))))))))))))))))))))))))))))))))))))))))))))))))))))))))))))))))</f>
        <v>-</v>
      </c>
      <c r="J466" s="102">
        <f>EV!N605</f>
        <v>0</v>
      </c>
      <c r="K466" s="433" t="s">
        <v>618</v>
      </c>
      <c r="L466" s="183">
        <f>IF(K466&gt;0,IF(K466="ALPHA",PR!$E464,IF(K466="ASSENE",PR!$F464,IF(K466="BIOFEM",PR!$G464,IF(K466="BIOMED",PR!$H464,IF(K466="CHI",PR!$I464,IF(K466="CLARION",PR!$J464,IF(K466="CODIX",PR!$K464,IF(K466="COSMADE",PR!$L464,IF(K466="SANCON",PR!$M464,IF(K466="DEVON",PR!$N464,IF(K466="DORTEMAG",PR!$O464,IF(K466="DGF",PR!$P464,IF(K466="DYNAMIC",PR!$Q464,IF(K466="EMZOR",PR!$R464,IF(K466="EUMATT",PR!$S464,IF(K466="FIDSON",PR!$T464,IF(K466="FCGLOBAL",PR!$U464,IF(K466="GENEITH",PR!$V464,IF(K466="GINOS",PR!$W464,IF(K466="GSK",PR!$X464,IF(K466="GLOBORG",PR!$Y464,IF(K466="GOODNEWS",PR!$Z464,IF(K466="GREENLIFE",PR!$AA464,IF(K466="HLINE",PR!$AB464,IF(K466="ROTECH",PR!$AC464,IF(K466="ISN",PR!$AD464,IF(K466="JAWA",PR!$AE464,IF(K466="LAYO",PR!$AF464,IF(K466="LEADWAY",PR!$AG464,IF(K466="LHV",PR!$AH464,IF(K466="MANOLA",PR!$AI464,IF(K466="MARCSON",PR!$AJ464,IF(K466="M&amp;B",PR!$AK464,IF(K466="MTRUST",PR!$AL464,IF(K466="MWORLD",PR!$AM464,IF(K466="MEGA",PR!$AN464,IF(K466="MICRONOVA",PR!$AO464,IF(K466="MFLASH",PR!$AP464,IF(K466="MORISON",PR!$AQ464,IF(K466="NEMEL",PR!$AR464,IF(K466="NHP",PR!$AS464,IF(K466="NHC",PR!$AT464,IF(K466="OLEAF",PR!$AU464,IF(K466="OCULUS",PR!$AV464,IF(K466="PACIFIC",PR!$AW464,IF(K466="PHAMATEX",PR!$AX464,IF(K466="PETHICS",PR!$AY464,IF(K466="PHILIPS",PR!$AZ464,IF(K466="RANBAXY",PR!$BA464,IF(K466="REALS",PR!$BB464,IF(K466="ROYAL",PR!$BC464,IF(K466="SAM",PR!$BD464,IF(K466="SEAGREEN",PR!$BE464,IF(K466="SKG",PR!$BF464,IF(K466="TAH",PR!$BG464,IF(K466="TAYLEK",PR!$BH464,IF(K466="TEMITA",PR!$BI464,IF(K466="THL",PR!$BJ464,IF(K466="UBASTIC",PR!$BK464,IF(K466="UNION",PR!$BL464,IF(K466="UNIQUE",PR!$BM464,IF(K466="VIXA",PR!$BN464,IF(K466="WWCV",PR!$BO464,IF(K466="ZOLON",PR!$BP464,"-")))))))))))))))))))))))))))))))))))))))))))))))))))))))))))))))))</f>
        <v>4400</v>
      </c>
    </row>
    <row r="467" spans="1:12" ht="18.75" x14ac:dyDescent="0.3">
      <c r="A467" s="430">
        <f>PR!A465</f>
        <v>422</v>
      </c>
      <c r="B467" s="15" t="str">
        <f>PR!B465</f>
        <v>TETANUS IMMUNOGLOBULIN INJ</v>
      </c>
      <c r="C467" s="113" t="str">
        <f>PR!D465</f>
        <v>VIAL</v>
      </c>
      <c r="D467" s="113">
        <f>PR!C465</f>
        <v>10</v>
      </c>
      <c r="E467" s="108" t="str">
        <f>IF(F467="ALPHA",PR!$E465,IF(F467="ASSENE",PR!$F465,IF(F467="BIOFEM",PR!$G465,IF(F467="BIOMED",PR!$H465,IF(F467="CHI",PR!$I465,IF(F467="CLARION",PR!$J465,IF(F467="CODIX",PR!$K465,IF(F467="COSMADE",PR!$L465,IF(F467="SANCON",PR!$M465,IF(F467="DEVON",PR!$N465,IF(F467="DORTEMAG",PR!$O465,IF(F467="DGF",PR!$P465,IF(F467="DYNAMIC",PR!$Q465,IF(F467="EMZOR",PR!$R465,IF(F467="EUMATT",PR!$S465,IF(F467="FIDSON",PR!$T465,IF(F467="FCGLOBAL",PR!$U465,IF(F467="GENEITH",PR!$V465,IF(F467="GINOS",PR!$W465,IF(F467="GSK",PR!$X465,IF(F467="GLOBORG",PR!$Y465,IF(F467="GOODNEWS",PR!$Z465,IF(F467="GREENLIFE",PR!$AA465,IF(F467="HLINE",PR!$AB465,IF(F467="ROTECH",PR!$AC465,IF(F467="ISN",PR!$AD465,IF(F467="JAWA",PR!$AE465,IF(F467="LAYO",PR!$AF465,IF(F467="LEADWAY",PR!$AG465,IF(F467="LHV",PR!$AH465,IF(F467="MANOLA",PR!$AI465,IF(F467="MARCSON",PR!$AJ465,IF(F467="M&amp;B",PR!$AK465,IF(F467="MTRUST",PR!$AL465,IF(F467="MWORLD",PR!$AM465,IF(F467="MEGA",PR!$AN465,IF(F467="MICRONOVA",PR!$AO465,IF(F467="MFLASH",PR!$AP465,IF(F467="MORISON",PR!$AQ465,IF(F467="NEMEL",PR!$AR465,IF(F467="NHP",PR!$AS465,IF(F467="NHC",PR!$AT465,IF(F467="OLEAF",PR!$AU465,IF(F467="OCULUS",PR!$AV465,IF(F467="PACIFIC",PR!$AW465,IF(F467="PHAMATEX",PR!$AX465,IF(F467="PETHICS",PR!$AY465,IF(F467="PHILIPS",PR!$AZ465,IF(F467="RANBAXY",PR!$BA465,IF(F467="REALS",PR!$BB465,IF(F467="ROYAL",PR!$BC465,IF(F467="SAM",PR!$BD465,IF(F467="SEAGREEN",PR!$BE465,IF(F467="SKG",PR!$BF465,IF(F467="TAH",PR!$BG465,IF(F467="TAYLEK",PR!$BH465,IF(F467="TEMITA",PR!$BI465,IF(F467="THL",PR!$BJ465,IF(F467="UBASTIC",PR!$BK465,IF(F467="UNION",PR!$BL465,IF(F467="UNIQUE",PR!$BM465,IF(F467="VIXA",PR!$BN465,IF(F467="WWCV",PR!$BO465,IF(F467="ZOLON",PR!$BP465,"-"))))))))))))))))))))))))))))))))))))))))))))))))))))))))))))))))</f>
        <v>-</v>
      </c>
      <c r="F467" s="102">
        <f>EV!L606</f>
        <v>0</v>
      </c>
      <c r="G467" s="108" t="str">
        <f>IF(H467="ALPHA",PR!$E465,IF(H467="ASSENE",PR!$F465,IF(H467="BIOFEM",PR!$G465,IF(H467="BIOMED",PR!$H465,IF(H467="CHI",PR!$I465,IF(H467="CLARION",PR!$J465,IF(H467="CODIX",PR!$K465,IF(H467="COSMADE",PR!$L465,IF(H467="SANCON",PR!$M465,IF(H467="DEVON",PR!$N465,IF(H467="DORTEMAG",PR!$O465,IF(H467="DGF",PR!$P465,IF(H467="DYNAMIC",PR!$Q465,IF(H467="EMZOR",PR!$R465,IF(H467="EUMATT",PR!$S465,IF(H467="FIDSON",PR!$T465,IF(H467="FCGLOBAL",PR!$U465,IF(H467="GENEITH",PR!$V465,IF(H467="GINOS",PR!$W465,IF(H467="GSK",PR!$X465,IF(H467="GLOBORG",PR!$Y465,IF(H467="GOODNEWS",PR!$Z465,IF(H467="GREENLIFE",PR!$AA465,IF(H467="HLINE",PR!$AB465,IF(H467="ROTECH",PR!$AC465,IF(H467="ISN",PR!$AD465,IF(H467="JAWA",PR!$AE465,IF(H467="LAYO",PR!$AF465,IF(H467="LEADWAY",PR!$AG465,IF(H467="LHV",PR!$AH465,IF(H467="MANOLA",PR!$AI465,IF(H467="MARCSON",PR!$AJ465,IF(H467="M&amp;B",PR!$AK465,IF(H467="MTRUST",PR!$AL465,IF(H467="MWORLD",PR!$AM465,IF(H467="MEGA",PR!$AN465,IF(H467="MICRONOVA",PR!$AO465,IF(H467="MFLASH",PR!$AP465,IF(H467="MORISON",PR!$AQ465,IF(H467="NEMEL",PR!$AR465,IF(H467="NHP",PR!$AS465,IF(H467="NHC",PR!$AT465,IF(H467="OLEAF",PR!$AU465,IF(H467="OCULUS",PR!$AV465,IF(H467="PACIFIC",PR!$AW465,IF(H467="PHAMATEX",PR!$AX465,IF(H467="PETHICS",PR!$AY465,IF(H467="PHILIPS",PR!$AZ465,IF(H467="RANBAXY",PR!$BA465,IF(H467="REALS",PR!$BB465,IF(H467="ROYAL",PR!$BC465,IF(H467="SAM",PR!$BD465,IF(H467="SEAGREEN",PR!$BE465,IF(H467="SKG",PR!$BF465,IF(H467="TAH",PR!$BG465,IF(H467="TAYLEK",PR!$BH465,IF(H467="TEMITA",PR!$BI465,IF(H467="THL",PR!$BJ465,IF(H467="UBASTIC",PR!$BK465,IF(H467="UNION",PR!$BL465,IF(H467="UNIQUE",PR!$BM465,IF(H467="VIXA",PR!$BN465,IF(H467="WWCV",PR!$BO465,IF(H467="ZOLON",PR!$BP465,"-"))))))))))))))))))))))))))))))))))))))))))))))))))))))))))))))))</f>
        <v>-</v>
      </c>
      <c r="H467" s="102">
        <f>EV!M606</f>
        <v>0</v>
      </c>
      <c r="I467" s="108" t="str">
        <f>IF(J467="ALPHA",PR!$E465,IF(J467="ASSENE",PR!$F465,IF(J467="BIOFEM",PR!$G465,IF(J467="BIOMED",PR!$H465,IF(J467="CHI",PR!$I465,IF(J467="CLARION",PR!$J465,IF(J467="CODIX",PR!$K465,IF(J467="COSMADE",PR!$L465,IF(J467="SANCON",PR!$M465,IF(J467="DEVON",PR!$N465,IF(J467="DORTEMAG",PR!$O465,IF(J467="DGF",PR!$P465,IF(J467="DYNAMIC",PR!$Q465,IF(J467="EMZOR",PR!$R465,IF(J467="EUMATT",PR!$S465,IF(J467="FIDSON",PR!$T465,IF(J467="FCGLOBAL",PR!$U465,IF(J467="GENEITH",PR!$V465,IF(J467="GINOS",PR!$W465,IF(J467="GSK",PR!$X465,IF(J467="GLOBORG",PR!$Y465,IF(J467="GOODNEWS",PR!$Z465,IF(J467="GREENLIFE",PR!$AA465,IF(J467="HLINE",PR!$AB465,IF(J467="ROTECH",PR!$AC465,IF(J467="ISN",PR!$AD465,IF(J467="JAWA",PR!$AE465,IF(J467="LAYO",PR!$AF465,IF(J467="LEADWAY",PR!$AG465,IF(J467="LHV",PR!$AH465,IF(J467="MANOLA",PR!$AI465,IF(J467="MARCSON",PR!$AJ465,IF(J467="M&amp;B",PR!$AK465,IF(J467="MTRUST",PR!$AL465,IF(J467="MWORLD",PR!$AM465,IF(J467="MEGA",PR!$AN465,IF(J467="MICRONOVA",PR!$AO465,IF(J467="MFLASH",PR!$AP465,IF(J467="MORISON",PR!$AQ465,IF(J467="NEMEL",PR!$AR465,IF(J467="NHP",PR!$AS465,IF(J467="NHC",PR!$AT465,IF(J467="OLEAF",PR!$AU465,IF(J467="OCULUS",PR!$AV465,IF(J467="PACIFIC",PR!$AW465,IF(J467="PHAMATEX",PR!$AX465,IF(J467="PETHICS",PR!$AY465,IF(J467="PHILIPS",PR!$AZ465,IF(J467="RANBAXY",PR!$BA465,IF(J467="REALS",PR!$BB465,IF(J467="ROYAL",PR!$BC465,IF(J467="SAM",PR!$BD465,IF(J467="SEAGREEN",PR!$BE465,IF(J467="SKG",PR!$BF465,IF(J467="TAH",PR!$BG465,IF(J467="TAYLEK",PR!$BH465,IF(J467="TEMITA",PR!$BI465,IF(J467="THL",PR!$BJ465,IF(J467="UBASTIC",PR!$BK465,IF(J467="UNION",PR!$BL465,IF(J467="UNIQUE",PR!$BM465,IF(J467="VIXA",PR!$BN465,IF(J467="WWCV",PR!$BO465,IF(J467="ZOLON",PR!$BP465,"-"))))))))))))))))))))))))))))))))))))))))))))))))))))))))))))))))</f>
        <v>-</v>
      </c>
      <c r="J467" s="102">
        <f>EV!N606</f>
        <v>0</v>
      </c>
      <c r="K467" s="433"/>
      <c r="L467" s="183" t="b">
        <f>IF(K467&gt;0,IF(K467="ALPHA",PR!$E465,IF(K467="ASSENE",PR!$F465,IF(K467="BIOFEM",PR!$G465,IF(K467="BIOMED",PR!$H465,IF(K467="CHI",PR!$I465,IF(K467="CLARION",PR!$J465,IF(K467="CODIX",PR!$K465,IF(K467="COSMADE",PR!$L465,IF(K467="SANCON",PR!$M465,IF(K467="DEVON",PR!$N465,IF(K467="DORTEMAG",PR!$O465,IF(K467="DGF",PR!$P465,IF(K467="DYNAMIC",PR!$Q465,IF(K467="EMZOR",PR!$R465,IF(K467="EUMATT",PR!$S465,IF(K467="FIDSON",PR!$T465,IF(K467="FCGLOBAL",PR!$U465,IF(K467="GENEITH",PR!$V465,IF(K467="GINOS",PR!$W465,IF(K467="GSK",PR!$X465,IF(K467="GLOBORG",PR!$Y465,IF(K467="GOODNEWS",PR!$Z465,IF(K467="GREENLIFE",PR!$AA465,IF(K467="HLINE",PR!$AB465,IF(K467="ROTECH",PR!$AC465,IF(K467="ISN",PR!$AD465,IF(K467="JAWA",PR!$AE465,IF(K467="LAYO",PR!$AF465,IF(K467="LEADWAY",PR!$AG465,IF(K467="LHV",PR!$AH465,IF(K467="MANOLA",PR!$AI465,IF(K467="MARCSON",PR!$AJ465,IF(K467="M&amp;B",PR!$AK465,IF(K467="MTRUST",PR!$AL465,IF(K467="MWORLD",PR!$AM465,IF(K467="MEGA",PR!$AN465,IF(K467="MICRONOVA",PR!$AO465,IF(K467="MFLASH",PR!$AP465,IF(K467="MORISON",PR!$AQ465,IF(K467="NEMEL",PR!$AR465,IF(K467="NHP",PR!$AS465,IF(K467="NHC",PR!$AT465,IF(K467="OLEAF",PR!$AU465,IF(K467="OCULUS",PR!$AV465,IF(K467="PACIFIC",PR!$AW465,IF(K467="PHAMATEX",PR!$AX465,IF(K467="PETHICS",PR!$AY465,IF(K467="PHILIPS",PR!$AZ465,IF(K467="RANBAXY",PR!$BA465,IF(K467="REALS",PR!$BB465,IF(K467="ROYAL",PR!$BC465,IF(K467="SAM",PR!$BD465,IF(K467="SEAGREEN",PR!$BE465,IF(K467="SKG",PR!$BF465,IF(K467="TAH",PR!$BG465,IF(K467="TAYLEK",PR!$BH465,IF(K467="TEMITA",PR!$BI465,IF(K467="THL",PR!$BJ465,IF(K467="UBASTIC",PR!$BK465,IF(K467="UNION",PR!$BL465,IF(K467="UNIQUE",PR!$BM465,IF(K467="VIXA",PR!$BN465,IF(K467="WWCV",PR!$BO465,IF(K467="ZOLON",PR!$BP465,"-")))))))))))))))))))))))))))))))))))))))))))))))))))))))))))))))))</f>
        <v>0</v>
      </c>
    </row>
    <row r="468" spans="1:12" ht="18.75" x14ac:dyDescent="0.3">
      <c r="A468" s="430">
        <f>PR!A466</f>
        <v>423</v>
      </c>
      <c r="B468" s="15" t="str">
        <f>PR!B466</f>
        <v>TETANUS TOXOID 0.5ML INJ</v>
      </c>
      <c r="C468" s="113">
        <f>PR!D466</f>
        <v>100</v>
      </c>
      <c r="D468" s="113">
        <f>PR!C466</f>
        <v>24</v>
      </c>
      <c r="E468" s="108">
        <f>IF(F468="ALPHA",PR!$E466,IF(F468="ASSENE",PR!$F466,IF(F468="BIOFEM",PR!$G466,IF(F468="BIOMED",PR!$H466,IF(F468="CHI",PR!$I466,IF(F468="CLARION",PR!$J466,IF(F468="CODIX",PR!$K466,IF(F468="COSMADE",PR!$L466,IF(F468="SANCON",PR!$M466,IF(F468="DEVON",PR!$N466,IF(F468="DORTEMAG",PR!$O466,IF(F468="DGF",PR!$P466,IF(F468="DYNAMIC",PR!$Q466,IF(F468="EMZOR",PR!$R466,IF(F468="EUMATT",PR!$S466,IF(F468="FIDSON",PR!$T466,IF(F468="FCGLOBAL",PR!$U466,IF(F468="GENEITH",PR!$V466,IF(F468="GINOS",PR!$W466,IF(F468="GSK",PR!$X466,IF(F468="GLOBORG",PR!$Y466,IF(F468="GOODNEWS",PR!$Z466,IF(F468="GREENLIFE",PR!$AA466,IF(F468="HLINE",PR!$AB466,IF(F468="ROTECH",PR!$AC466,IF(F468="ISN",PR!$AD466,IF(F468="JAWA",PR!$AE466,IF(F468="LAYO",PR!$AF466,IF(F468="LEADWAY",PR!$AG466,IF(F468="LHV",PR!$AH466,IF(F468="MANOLA",PR!$AI466,IF(F468="MARCSON",PR!$AJ466,IF(F468="M&amp;B",PR!$AK466,IF(F468="MTRUST",PR!$AL466,IF(F468="MWORLD",PR!$AM466,IF(F468="MEGA",PR!$AN466,IF(F468="MICRONOVA",PR!$AO466,IF(F468="MFLASH",PR!$AP466,IF(F468="MORISON",PR!$AQ466,IF(F468="NEMEL",PR!$AR466,IF(F468="NHP",PR!$AS466,IF(F468="NHC",PR!$AT466,IF(F468="OLEAF",PR!$AU466,IF(F468="OCULUS",PR!$AV466,IF(F468="PACIFIC",PR!$AW466,IF(F468="PHAMATEX",PR!$AX466,IF(F468="PETHICS",PR!$AY466,IF(F468="PHILIPS",PR!$AZ466,IF(F468="RANBAXY",PR!$BA466,IF(F468="REALS",PR!$BB466,IF(F468="ROYAL",PR!$BC466,IF(F468="SAM",PR!$BD466,IF(F468="SEAGREEN",PR!$BE466,IF(F468="SKG",PR!$BF466,IF(F468="TAH",PR!$BG466,IF(F468="TAYLEK",PR!$BH466,IF(F468="TEMITA",PR!$BI466,IF(F468="THL",PR!$BJ466,IF(F468="UBASTIC",PR!$BK466,IF(F468="UNION",PR!$BL466,IF(F468="UNIQUE",PR!$BM466,IF(F468="VIXA",PR!$BN466,IF(F468="WWCV",PR!$BO466,IF(F468="ZOLON",PR!$BP466,"-"))))))))))))))))))))))))))))))))))))))))))))))))))))))))))))))))</f>
        <v>14000</v>
      </c>
      <c r="F468" s="102" t="str">
        <f>EV!L607</f>
        <v>EUMATT</v>
      </c>
      <c r="G468" s="108">
        <f>IF(H468="ALPHA",PR!$E466,IF(H468="ASSENE",PR!$F466,IF(H468="BIOFEM",PR!$G466,IF(H468="BIOMED",PR!$H466,IF(H468="CHI",PR!$I466,IF(H468="CLARION",PR!$J466,IF(H468="CODIX",PR!$K466,IF(H468="COSMADE",PR!$L466,IF(H468="SANCON",PR!$M466,IF(H468="DEVON",PR!$N466,IF(H468="DORTEMAG",PR!$O466,IF(H468="DGF",PR!$P466,IF(H468="DYNAMIC",PR!$Q466,IF(H468="EMZOR",PR!$R466,IF(H468="EUMATT",PR!$S466,IF(H468="FIDSON",PR!$T466,IF(H468="FCGLOBAL",PR!$U466,IF(H468="GENEITH",PR!$V466,IF(H468="GINOS",PR!$W466,IF(H468="GSK",PR!$X466,IF(H468="GLOBORG",PR!$Y466,IF(H468="GOODNEWS",PR!$Z466,IF(H468="GREENLIFE",PR!$AA466,IF(H468="HLINE",PR!$AB466,IF(H468="ROTECH",PR!$AC466,IF(H468="ISN",PR!$AD466,IF(H468="JAWA",PR!$AE466,IF(H468="LAYO",PR!$AF466,IF(H468="LEADWAY",PR!$AG466,IF(H468="LHV",PR!$AH466,IF(H468="MANOLA",PR!$AI466,IF(H468="MARCSON",PR!$AJ466,IF(H468="M&amp;B",PR!$AK466,IF(H468="MTRUST",PR!$AL466,IF(H468="MWORLD",PR!$AM466,IF(H468="MEGA",PR!$AN466,IF(H468="MICRONOVA",PR!$AO466,IF(H468="MFLASH",PR!$AP466,IF(H468="MORISON",PR!$AQ466,IF(H468="NEMEL",PR!$AR466,IF(H468="NHP",PR!$AS466,IF(H468="NHC",PR!$AT466,IF(H468="OLEAF",PR!$AU466,IF(H468="OCULUS",PR!$AV466,IF(H468="PACIFIC",PR!$AW466,IF(H468="PHAMATEX",PR!$AX466,IF(H468="PETHICS",PR!$AY466,IF(H468="PHILIPS",PR!$AZ466,IF(H468="RANBAXY",PR!$BA466,IF(H468="REALS",PR!$BB466,IF(H468="ROYAL",PR!$BC466,IF(H468="SAM",PR!$BD466,IF(H468="SEAGREEN",PR!$BE466,IF(H468="SKG",PR!$BF466,IF(H468="TAH",PR!$BG466,IF(H468="TAYLEK",PR!$BH466,IF(H468="TEMITA",PR!$BI466,IF(H468="THL",PR!$BJ466,IF(H468="UBASTIC",PR!$BK466,IF(H468="UNION",PR!$BL466,IF(H468="UNIQUE",PR!$BM466,IF(H468="VIXA",PR!$BN466,IF(H468="WWCV",PR!$BO466,IF(H468="ZOLON",PR!$BP466,"-"))))))))))))))))))))))))))))))))))))))))))))))))))))))))))))))))</f>
        <v>18000</v>
      </c>
      <c r="H468" s="102" t="str">
        <f>EV!M607</f>
        <v>ZOLON</v>
      </c>
      <c r="I468" s="108" t="str">
        <f>IF(J468="ALPHA",PR!$E466,IF(J468="ASSENE",PR!$F466,IF(J468="BIOFEM",PR!$G466,IF(J468="BIOMED",PR!$H466,IF(J468="CHI",PR!$I466,IF(J468="CLARION",PR!$J466,IF(J468="CODIX",PR!$K466,IF(J468="COSMADE",PR!$L466,IF(J468="SANCON",PR!$M466,IF(J468="DEVON",PR!$N466,IF(J468="DORTEMAG",PR!$O466,IF(J468="DGF",PR!$P466,IF(J468="DYNAMIC",PR!$Q466,IF(J468="EMZOR",PR!$R466,IF(J468="EUMATT",PR!$S466,IF(J468="FIDSON",PR!$T466,IF(J468="FCGLOBAL",PR!$U466,IF(J468="GENEITH",PR!$V466,IF(J468="GINOS",PR!$W466,IF(J468="GSK",PR!$X466,IF(J468="GLOBORG",PR!$Y466,IF(J468="GOODNEWS",PR!$Z466,IF(J468="GREENLIFE",PR!$AA466,IF(J468="HLINE",PR!$AB466,IF(J468="ROTECH",PR!$AC466,IF(J468="ISN",PR!$AD466,IF(J468="JAWA",PR!$AE466,IF(J468="LAYO",PR!$AF466,IF(J468="LEADWAY",PR!$AG466,IF(J468="LHV",PR!$AH466,IF(J468="MANOLA",PR!$AI466,IF(J468="MARCSON",PR!$AJ466,IF(J468="M&amp;B",PR!$AK466,IF(J468="MTRUST",PR!$AL466,IF(J468="MWORLD",PR!$AM466,IF(J468="MEGA",PR!$AN466,IF(J468="MICRONOVA",PR!$AO466,IF(J468="MFLASH",PR!$AP466,IF(J468="MORISON",PR!$AQ466,IF(J468="NEMEL",PR!$AR466,IF(J468="NHP",PR!$AS466,IF(J468="NHC",PR!$AT466,IF(J468="OLEAF",PR!$AU466,IF(J468="OCULUS",PR!$AV466,IF(J468="PACIFIC",PR!$AW466,IF(J468="PHAMATEX",PR!$AX466,IF(J468="PETHICS",PR!$AY466,IF(J468="PHILIPS",PR!$AZ466,IF(J468="RANBAXY",PR!$BA466,IF(J468="REALS",PR!$BB466,IF(J468="ROYAL",PR!$BC466,IF(J468="SAM",PR!$BD466,IF(J468="SEAGREEN",PR!$BE466,IF(J468="SKG",PR!$BF466,IF(J468="TAH",PR!$BG466,IF(J468="TAYLEK",PR!$BH466,IF(J468="TEMITA",PR!$BI466,IF(J468="THL",PR!$BJ466,IF(J468="UBASTIC",PR!$BK466,IF(J468="UNION",PR!$BL466,IF(J468="UNIQUE",PR!$BM466,IF(J468="VIXA",PR!$BN466,IF(J468="WWCV",PR!$BO466,IF(J468="ZOLON",PR!$BP466,"-"))))))))))))))))))))))))))))))))))))))))))))))))))))))))))))))))</f>
        <v>-</v>
      </c>
      <c r="J468" s="102">
        <f>EV!N607</f>
        <v>0</v>
      </c>
      <c r="K468" s="433" t="s">
        <v>821</v>
      </c>
      <c r="L468" s="183">
        <f>IF(K468&gt;0,IF(K468="ALPHA",PR!$E466,IF(K468="ASSENE",PR!$F466,IF(K468="BIOFEM",PR!$G466,IF(K468="BIOMED",PR!$H466,IF(K468="CHI",PR!$I466,IF(K468="CLARION",PR!$J466,IF(K468="CODIX",PR!$K466,IF(K468="COSMADE",PR!$L466,IF(K468="SANCON",PR!$M466,IF(K468="DEVON",PR!$N466,IF(K468="DORTEMAG",PR!$O466,IF(K468="DGF",PR!$P466,IF(K468="DYNAMIC",PR!$Q466,IF(K468="EMZOR",PR!$R466,IF(K468="EUMATT",PR!$S466,IF(K468="FIDSON",PR!$T466,IF(K468="FCGLOBAL",PR!$U466,IF(K468="GENEITH",PR!$V466,IF(K468="GINOS",PR!$W466,IF(K468="GSK",PR!$X466,IF(K468="GLOBORG",PR!$Y466,IF(K468="GOODNEWS",PR!$Z466,IF(K468="GREENLIFE",PR!$AA466,IF(K468="HLINE",PR!$AB466,IF(K468="ROTECH",PR!$AC466,IF(K468="ISN",PR!$AD466,IF(K468="JAWA",PR!$AE466,IF(K468="LAYO",PR!$AF466,IF(K468="LEADWAY",PR!$AG466,IF(K468="LHV",PR!$AH466,IF(K468="MANOLA",PR!$AI466,IF(K468="MARCSON",PR!$AJ466,IF(K468="M&amp;B",PR!$AK466,IF(K468="MTRUST",PR!$AL466,IF(K468="MWORLD",PR!$AM466,IF(K468="MEGA",PR!$AN466,IF(K468="MICRONOVA",PR!$AO466,IF(K468="MFLASH",PR!$AP466,IF(K468="MORISON",PR!$AQ466,IF(K468="NEMEL",PR!$AR466,IF(K468="NHP",PR!$AS466,IF(K468="NHC",PR!$AT466,IF(K468="OLEAF",PR!$AU466,IF(K468="OCULUS",PR!$AV466,IF(K468="PACIFIC",PR!$AW466,IF(K468="PHAMATEX",PR!$AX466,IF(K468="PETHICS",PR!$AY466,IF(K468="PHILIPS",PR!$AZ466,IF(K468="RANBAXY",PR!$BA466,IF(K468="REALS",PR!$BB466,IF(K468="ROYAL",PR!$BC466,IF(K468="SAM",PR!$BD466,IF(K468="SEAGREEN",PR!$BE466,IF(K468="SKG",PR!$BF466,IF(K468="TAH",PR!$BG466,IF(K468="TAYLEK",PR!$BH466,IF(K468="TEMITA",PR!$BI466,IF(K468="THL",PR!$BJ466,IF(K468="UBASTIC",PR!$BK466,IF(K468="UNION",PR!$BL466,IF(K468="UNIQUE",PR!$BM466,IF(K468="VIXA",PR!$BN466,IF(K468="WWCV",PR!$BO466,IF(K468="ZOLON",PR!$BP466,"-")))))))))))))))))))))))))))))))))))))))))))))))))))))))))))))))))</f>
        <v>14000</v>
      </c>
    </row>
    <row r="469" spans="1:12" ht="18.75" x14ac:dyDescent="0.3">
      <c r="A469" s="430">
        <f>PR!A467</f>
        <v>0</v>
      </c>
      <c r="B469" s="15">
        <f>PR!B467</f>
        <v>0</v>
      </c>
      <c r="C469" s="113">
        <f>PR!D467</f>
        <v>0</v>
      </c>
      <c r="D469" s="113">
        <f>PR!C467</f>
        <v>0</v>
      </c>
      <c r="E469" s="108" t="str">
        <f>IF(F469="ALPHA",PR!$E467,IF(F469="ASSENE",PR!$F467,IF(F469="BIOFEM",PR!$G467,IF(F469="BIOMED",PR!$H467,IF(F469="CHI",PR!$I467,IF(F469="CLARION",PR!$J467,IF(F469="CODIX",PR!$K467,IF(F469="COSMADE",PR!$L467,IF(F469="SANCON",PR!$M467,IF(F469="DEVON",PR!$N467,IF(F469="DORTEMAG",PR!$O467,IF(F469="DGF",PR!$P467,IF(F469="DYNAMIC",PR!$Q467,IF(F469="EMZOR",PR!$R467,IF(F469="EUMATT",PR!$S467,IF(F469="FIDSON",PR!$T467,IF(F469="FCGLOBAL",PR!$U467,IF(F469="GENEITH",PR!$V467,IF(F469="GINOS",PR!$W467,IF(F469="GSK",PR!$X467,IF(F469="GLOBORG",PR!$Y467,IF(F469="GOODNEWS",PR!$Z467,IF(F469="GREENLIFE",PR!$AA467,IF(F469="HLINE",PR!$AB467,IF(F469="ROTECH",PR!$AC467,IF(F469="ISN",PR!$AD467,IF(F469="JAWA",PR!$AE467,IF(F469="LAYO",PR!$AF467,IF(F469="LEADWAY",PR!$AG467,IF(F469="LHV",PR!$AH467,IF(F469="MANOLA",PR!$AI467,IF(F469="MARCSON",PR!$AJ467,IF(F469="M&amp;B",PR!$AK467,IF(F469="MTRUST",PR!$AL467,IF(F469="MWORLD",PR!$AM467,IF(F469="MEGA",PR!$AN467,IF(F469="MICRONOVA",PR!$AO467,IF(F469="MFLASH",PR!$AP467,IF(F469="MORISON",PR!$AQ467,IF(F469="NEMEL",PR!$AR467,IF(F469="NHP",PR!$AS467,IF(F469="NHC",PR!$AT467,IF(F469="OLEAF",PR!$AU467,IF(F469="OCULUS",PR!$AV467,IF(F469="PACIFIC",PR!$AW467,IF(F469="PHAMATEX",PR!$AX467,IF(F469="PETHICS",PR!$AY467,IF(F469="PHILIPS",PR!$AZ467,IF(F469="RANBAXY",PR!$BA467,IF(F469="REALS",PR!$BB467,IF(F469="ROYAL",PR!$BC467,IF(F469="SAM",PR!$BD467,IF(F469="SEAGREEN",PR!$BE467,IF(F469="SKG",PR!$BF467,IF(F469="TAH",PR!$BG467,IF(F469="TAYLEK",PR!$BH467,IF(F469="TEMITA",PR!$BI467,IF(F469="THL",PR!$BJ467,IF(F469="UBASTIC",PR!$BK467,IF(F469="UNION",PR!$BL467,IF(F469="UNIQUE",PR!$BM467,IF(F469="VIXA",PR!$BN467,IF(F469="WWCV",PR!$BO467,IF(F469="ZOLON",PR!$BP467,"-"))))))))))))))))))))))))))))))))))))))))))))))))))))))))))))))))</f>
        <v>-</v>
      </c>
      <c r="F469" s="102"/>
      <c r="G469" s="108" t="str">
        <f>IF(H469="ALPHA",PR!$E467,IF(H469="ASSENE",PR!$F467,IF(H469="BIOFEM",PR!$G467,IF(H469="BIOMED",PR!$H467,IF(H469="CHI",PR!$I467,IF(H469="CLARION",PR!$J467,IF(H469="CODIX",PR!$K467,IF(H469="COSMADE",PR!$L467,IF(H469="SANCON",PR!$M467,IF(H469="DEVON",PR!$N467,IF(H469="DORTEMAG",PR!$O467,IF(H469="DGF",PR!$P467,IF(H469="DYNAMIC",PR!$Q467,IF(H469="EMZOR",PR!$R467,IF(H469="EUMATT",PR!$S467,IF(H469="FIDSON",PR!$T467,IF(H469="FCGLOBAL",PR!$U467,IF(H469="GENEITH",PR!$V467,IF(H469="GINOS",PR!$W467,IF(H469="GSK",PR!$X467,IF(H469="GLOBORG",PR!$Y467,IF(H469="GOODNEWS",PR!$Z467,IF(H469="GREENLIFE",PR!$AA467,IF(H469="HLINE",PR!$AB467,IF(H469="ROTECH",PR!$AC467,IF(H469="ISN",PR!$AD467,IF(H469="JAWA",PR!$AE467,IF(H469="LAYO",PR!$AF467,IF(H469="LEADWAY",PR!$AG467,IF(H469="LHV",PR!$AH467,IF(H469="MANOLA",PR!$AI467,IF(H469="MARCSON",PR!$AJ467,IF(H469="M&amp;B",PR!$AK467,IF(H469="MTRUST",PR!$AL467,IF(H469="MWORLD",PR!$AM467,IF(H469="MEGA",PR!$AN467,IF(H469="MICRONOVA",PR!$AO467,IF(H469="MFLASH",PR!$AP467,IF(H469="MORISON",PR!$AQ467,IF(H469="NEMEL",PR!$AR467,IF(H469="NHP",PR!$AS467,IF(H469="NHC",PR!$AT467,IF(H469="OLEAF",PR!$AU467,IF(H469="OCULUS",PR!$AV467,IF(H469="PACIFIC",PR!$AW467,IF(H469="PHAMATEX",PR!$AX467,IF(H469="PETHICS",PR!$AY467,IF(H469="PHILIPS",PR!$AZ467,IF(H469="RANBAXY",PR!$BA467,IF(H469="REALS",PR!$BB467,IF(H469="ROYAL",PR!$BC467,IF(H469="SAM",PR!$BD467,IF(H469="SEAGREEN",PR!$BE467,IF(H469="SKG",PR!$BF467,IF(H469="TAH",PR!$BG467,IF(H469="TAYLEK",PR!$BH467,IF(H469="TEMITA",PR!$BI467,IF(H469="THL",PR!$BJ467,IF(H469="UBASTIC",PR!$BK467,IF(H469="UNION",PR!$BL467,IF(H469="UNIQUE",PR!$BM467,IF(H469="VIXA",PR!$BN467,IF(H469="WWCV",PR!$BO467,IF(H469="ZOLON",PR!$BP467,"-"))))))))))))))))))))))))))))))))))))))))))))))))))))))))))))))))</f>
        <v>-</v>
      </c>
      <c r="H469" s="102"/>
      <c r="I469" s="108" t="str">
        <f>IF(J469="ALPHA",PR!$E467,IF(J469="ASSENE",PR!$F467,IF(J469="BIOFEM",PR!$G467,IF(J469="BIOMED",PR!$H467,IF(J469="CHI",PR!$I467,IF(J469="CLARION",PR!$J467,IF(J469="CODIX",PR!$K467,IF(J469="COSMADE",PR!$L467,IF(J469="SANCON",PR!$M467,IF(J469="DEVON",PR!$N467,IF(J469="DORTEMAG",PR!$O467,IF(J469="DGF",PR!$P467,IF(J469="DYNAMIC",PR!$Q467,IF(J469="EMZOR",PR!$R467,IF(J469="EUMATT",PR!$S467,IF(J469="FIDSON",PR!$T467,IF(J469="FCGLOBAL",PR!$U467,IF(J469="GENEITH",PR!$V467,IF(J469="GINOS",PR!$W467,IF(J469="GSK",PR!$X467,IF(J469="GLOBORG",PR!$Y467,IF(J469="GOODNEWS",PR!$Z467,IF(J469="GREENLIFE",PR!$AA467,IF(J469="HLINE",PR!$AB467,IF(J469="ROTECH",PR!$AC467,IF(J469="ISN",PR!$AD467,IF(J469="JAWA",PR!$AE467,IF(J469="LAYO",PR!$AF467,IF(J469="LEADWAY",PR!$AG467,IF(J469="LHV",PR!$AH467,IF(J469="MANOLA",PR!$AI467,IF(J469="MARCSON",PR!$AJ467,IF(J469="M&amp;B",PR!$AK467,IF(J469="MTRUST",PR!$AL467,IF(J469="MWORLD",PR!$AM467,IF(J469="MEGA",PR!$AN467,IF(J469="MICRONOVA",PR!$AO467,IF(J469="MFLASH",PR!$AP467,IF(J469="MORISON",PR!$AQ467,IF(J469="NEMEL",PR!$AR467,IF(J469="NHP",PR!$AS467,IF(J469="NHC",PR!$AT467,IF(J469="OLEAF",PR!$AU467,IF(J469="OCULUS",PR!$AV467,IF(J469="PACIFIC",PR!$AW467,IF(J469="PHAMATEX",PR!$AX467,IF(J469="PETHICS",PR!$AY467,IF(J469="PHILIPS",PR!$AZ467,IF(J469="RANBAXY",PR!$BA467,IF(J469="REALS",PR!$BB467,IF(J469="ROYAL",PR!$BC467,IF(J469="SAM",PR!$BD467,IF(J469="SEAGREEN",PR!$BE467,IF(J469="SKG",PR!$BF467,IF(J469="TAH",PR!$BG467,IF(J469="TAYLEK",PR!$BH467,IF(J469="TEMITA",PR!$BI467,IF(J469="THL",PR!$BJ467,IF(J469="UBASTIC",PR!$BK467,IF(J469="UNION",PR!$BL467,IF(J469="UNIQUE",PR!$BM467,IF(J469="VIXA",PR!$BN467,IF(J469="WWCV",PR!$BO467,IF(J469="ZOLON",PR!$BP467,"-"))))))))))))))))))))))))))))))))))))))))))))))))))))))))))))))))</f>
        <v>-</v>
      </c>
      <c r="J469" s="102"/>
      <c r="K469" s="433"/>
      <c r="L469" s="183" t="b">
        <f>IF(K469&gt;0,IF(K469="ALPHA",PR!$E467,IF(K469="ASSENE",PR!$F467,IF(K469="BIOFEM",PR!$G467,IF(K469="BIOMED",PR!$H467,IF(K469="CHI",PR!$I467,IF(K469="CLARION",PR!$J467,IF(K469="CODIX",PR!$K467,IF(K469="COSMADE",PR!$L467,IF(K469="SANCON",PR!$M467,IF(K469="DEVON",PR!$N467,IF(K469="DORTEMAG",PR!$O467,IF(K469="DGF",PR!$P467,IF(K469="DYNAMIC",PR!$Q467,IF(K469="EMZOR",PR!$R467,IF(K469="EUMATT",PR!$S467,IF(K469="FIDSON",PR!$T467,IF(K469="FCGLOBAL",PR!$U467,IF(K469="GENEITH",PR!$V467,IF(K469="GINOS",PR!$W467,IF(K469="GSK",PR!$X467,IF(K469="GLOBORG",PR!$Y467,IF(K469="GOODNEWS",PR!$Z467,IF(K469="GREENLIFE",PR!$AA467,IF(K469="HLINE",PR!$AB467,IF(K469="ROTECH",PR!$AC467,IF(K469="ISN",PR!$AD467,IF(K469="JAWA",PR!$AE467,IF(K469="LAYO",PR!$AF467,IF(K469="LEADWAY",PR!$AG467,IF(K469="LHV",PR!$AH467,IF(K469="MANOLA",PR!$AI467,IF(K469="MARCSON",PR!$AJ467,IF(K469="M&amp;B",PR!$AK467,IF(K469="MTRUST",PR!$AL467,IF(K469="MWORLD",PR!$AM467,IF(K469="MEGA",PR!$AN467,IF(K469="MICRONOVA",PR!$AO467,IF(K469="MFLASH",PR!$AP467,IF(K469="MORISON",PR!$AQ467,IF(K469="NEMEL",PR!$AR467,IF(K469="NHP",PR!$AS467,IF(K469="NHC",PR!$AT467,IF(K469="OLEAF",PR!$AU467,IF(K469="OCULUS",PR!$AV467,IF(K469="PACIFIC",PR!$AW467,IF(K469="PHAMATEX",PR!$AX467,IF(K469="PETHICS",PR!$AY467,IF(K469="PHILIPS",PR!$AZ467,IF(K469="RANBAXY",PR!$BA467,IF(K469="REALS",PR!$BB467,IF(K469="ROYAL",PR!$BC467,IF(K469="SAM",PR!$BD467,IF(K469="SEAGREEN",PR!$BE467,IF(K469="SKG",PR!$BF467,IF(K469="TAH",PR!$BG467,IF(K469="TAYLEK",PR!$BH467,IF(K469="TEMITA",PR!$BI467,IF(K469="THL",PR!$BJ467,IF(K469="UBASTIC",PR!$BK467,IF(K469="UNION",PR!$BL467,IF(K469="UNIQUE",PR!$BM467,IF(K469="VIXA",PR!$BN467,IF(K469="WWCV",PR!$BO467,IF(K469="ZOLON",PR!$BP467,"-")))))))))))))))))))))))))))))))))))))))))))))))))))))))))))))))))</f>
        <v>0</v>
      </c>
    </row>
    <row r="470" spans="1:12" ht="18.75" x14ac:dyDescent="0.3">
      <c r="A470" s="430">
        <f>PR!A468</f>
        <v>0</v>
      </c>
      <c r="B470" s="15">
        <f>PR!B468</f>
        <v>0</v>
      </c>
      <c r="C470" s="113">
        <f>PR!D468</f>
        <v>0</v>
      </c>
      <c r="D470" s="113">
        <f>PR!C468</f>
        <v>0</v>
      </c>
      <c r="E470" s="108" t="str">
        <f>IF(F470="ALPHA",PR!$E468,IF(F470="ASSENE",PR!$F468,IF(F470="BIOFEM",PR!$G468,IF(F470="BIOMED",PR!$H468,IF(F470="CHI",PR!$I468,IF(F470="CLARION",PR!$J468,IF(F470="CODIX",PR!$K468,IF(F470="COSMADE",PR!$L468,IF(F470="SANCON",PR!$M468,IF(F470="DEVON",PR!$N468,IF(F470="DORTEMAG",PR!$O468,IF(F470="DGF",PR!$P468,IF(F470="DYNAMIC",PR!$Q468,IF(F470="EMZOR",PR!$R468,IF(F470="EUMATT",PR!$S468,IF(F470="FIDSON",PR!$T468,IF(F470="FCGLOBAL",PR!$U468,IF(F470="GENEITH",PR!$V468,IF(F470="GINOS",PR!$W468,IF(F470="GSK",PR!$X468,IF(F470="GLOBORG",PR!$Y468,IF(F470="GOODNEWS",PR!$Z468,IF(F470="GREENLIFE",PR!$AA468,IF(F470="HLINE",PR!$AB468,IF(F470="ROTECH",PR!$AC468,IF(F470="ISN",PR!$AD468,IF(F470="JAWA",PR!$AE468,IF(F470="LAYO",PR!$AF468,IF(F470="LEADWAY",PR!$AG468,IF(F470="LHV",PR!$AH468,IF(F470="MANOLA",PR!$AI468,IF(F470="MARCSON",PR!$AJ468,IF(F470="M&amp;B",PR!$AK468,IF(F470="MTRUST",PR!$AL468,IF(F470="MWORLD",PR!$AM468,IF(F470="MEGA",PR!$AN468,IF(F470="MICRONOVA",PR!$AO468,IF(F470="MFLASH",PR!$AP468,IF(F470="MORISON",PR!$AQ468,IF(F470="NEMEL",PR!$AR468,IF(F470="NHP",PR!$AS468,IF(F470="NHC",PR!$AT468,IF(F470="OLEAF",PR!$AU468,IF(F470="OCULUS",PR!$AV468,IF(F470="PACIFIC",PR!$AW468,IF(F470="PHAMATEX",PR!$AX468,IF(F470="PETHICS",PR!$AY468,IF(F470="PHILIPS",PR!$AZ468,IF(F470="RANBAXY",PR!$BA468,IF(F470="REALS",PR!$BB468,IF(F470="ROYAL",PR!$BC468,IF(F470="SAM",PR!$BD468,IF(F470="SEAGREEN",PR!$BE468,IF(F470="SKG",PR!$BF468,IF(F470="TAH",PR!$BG468,IF(F470="TAYLEK",PR!$BH468,IF(F470="TEMITA",PR!$BI468,IF(F470="THL",PR!$BJ468,IF(F470="UBASTIC",PR!$BK468,IF(F470="UNION",PR!$BL468,IF(F470="UNIQUE",PR!$BM468,IF(F470="VIXA",PR!$BN468,IF(F470="WWCV",PR!$BO468,IF(F470="ZOLON",PR!$BP468,"-"))))))))))))))))))))))))))))))))))))))))))))))))))))))))))))))))</f>
        <v>-</v>
      </c>
      <c r="F470" s="102"/>
      <c r="G470" s="108" t="str">
        <f>IF(H470="ALPHA",PR!$E468,IF(H470="ASSENE",PR!$F468,IF(H470="BIOFEM",PR!$G468,IF(H470="BIOMED",PR!$H468,IF(H470="CHI",PR!$I468,IF(H470="CLARION",PR!$J468,IF(H470="CODIX",PR!$K468,IF(H470="COSMADE",PR!$L468,IF(H470="SANCON",PR!$M468,IF(H470="DEVON",PR!$N468,IF(H470="DORTEMAG",PR!$O468,IF(H470="DGF",PR!$P468,IF(H470="DYNAMIC",PR!$Q468,IF(H470="EMZOR",PR!$R468,IF(H470="EUMATT",PR!$S468,IF(H470="FIDSON",PR!$T468,IF(H470="FCGLOBAL",PR!$U468,IF(H470="GENEITH",PR!$V468,IF(H470="GINOS",PR!$W468,IF(H470="GSK",PR!$X468,IF(H470="GLOBORG",PR!$Y468,IF(H470="GOODNEWS",PR!$Z468,IF(H470="GREENLIFE",PR!$AA468,IF(H470="HLINE",PR!$AB468,IF(H470="ROTECH",PR!$AC468,IF(H470="ISN",PR!$AD468,IF(H470="JAWA",PR!$AE468,IF(H470="LAYO",PR!$AF468,IF(H470="LEADWAY",PR!$AG468,IF(H470="LHV",PR!$AH468,IF(H470="MANOLA",PR!$AI468,IF(H470="MARCSON",PR!$AJ468,IF(H470="M&amp;B",PR!$AK468,IF(H470="MTRUST",PR!$AL468,IF(H470="MWORLD",PR!$AM468,IF(H470="MEGA",PR!$AN468,IF(H470="MICRONOVA",PR!$AO468,IF(H470="MFLASH",PR!$AP468,IF(H470="MORISON",PR!$AQ468,IF(H470="NEMEL",PR!$AR468,IF(H470="NHP",PR!$AS468,IF(H470="NHC",PR!$AT468,IF(H470="OLEAF",PR!$AU468,IF(H470="OCULUS",PR!$AV468,IF(H470="PACIFIC",PR!$AW468,IF(H470="PHAMATEX",PR!$AX468,IF(H470="PETHICS",PR!$AY468,IF(H470="PHILIPS",PR!$AZ468,IF(H470="RANBAXY",PR!$BA468,IF(H470="REALS",PR!$BB468,IF(H470="ROYAL",PR!$BC468,IF(H470="SAM",PR!$BD468,IF(H470="SEAGREEN",PR!$BE468,IF(H470="SKG",PR!$BF468,IF(H470="TAH",PR!$BG468,IF(H470="TAYLEK",PR!$BH468,IF(H470="TEMITA",PR!$BI468,IF(H470="THL",PR!$BJ468,IF(H470="UBASTIC",PR!$BK468,IF(H470="UNION",PR!$BL468,IF(H470="UNIQUE",PR!$BM468,IF(H470="VIXA",PR!$BN468,IF(H470="WWCV",PR!$BO468,IF(H470="ZOLON",PR!$BP468,"-"))))))))))))))))))))))))))))))))))))))))))))))))))))))))))))))))</f>
        <v>-</v>
      </c>
      <c r="H470" s="102"/>
      <c r="I470" s="108" t="str">
        <f>IF(J470="ALPHA",PR!$E468,IF(J470="ASSENE",PR!$F468,IF(J470="BIOFEM",PR!$G468,IF(J470="BIOMED",PR!$H468,IF(J470="CHI",PR!$I468,IF(J470="CLARION",PR!$J468,IF(J470="CODIX",PR!$K468,IF(J470="COSMADE",PR!$L468,IF(J470="SANCON",PR!$M468,IF(J470="DEVON",PR!$N468,IF(J470="DORTEMAG",PR!$O468,IF(J470="DGF",PR!$P468,IF(J470="DYNAMIC",PR!$Q468,IF(J470="EMZOR",PR!$R468,IF(J470="EUMATT",PR!$S468,IF(J470="FIDSON",PR!$T468,IF(J470="FCGLOBAL",PR!$U468,IF(J470="GENEITH",PR!$V468,IF(J470="GINOS",PR!$W468,IF(J470="GSK",PR!$X468,IF(J470="GLOBORG",PR!$Y468,IF(J470="GOODNEWS",PR!$Z468,IF(J470="GREENLIFE",PR!$AA468,IF(J470="HLINE",PR!$AB468,IF(J470="ROTECH",PR!$AC468,IF(J470="ISN",PR!$AD468,IF(J470="JAWA",PR!$AE468,IF(J470="LAYO",PR!$AF468,IF(J470="LEADWAY",PR!$AG468,IF(J470="LHV",PR!$AH468,IF(J470="MANOLA",PR!$AI468,IF(J470="MARCSON",PR!$AJ468,IF(J470="M&amp;B",PR!$AK468,IF(J470="MTRUST",PR!$AL468,IF(J470="MWORLD",PR!$AM468,IF(J470="MEGA",PR!$AN468,IF(J470="MICRONOVA",PR!$AO468,IF(J470="MFLASH",PR!$AP468,IF(J470="MORISON",PR!$AQ468,IF(J470="NEMEL",PR!$AR468,IF(J470="NHP",PR!$AS468,IF(J470="NHC",PR!$AT468,IF(J470="OLEAF",PR!$AU468,IF(J470="OCULUS",PR!$AV468,IF(J470="PACIFIC",PR!$AW468,IF(J470="PHAMATEX",PR!$AX468,IF(J470="PETHICS",PR!$AY468,IF(J470="PHILIPS",PR!$AZ468,IF(J470="RANBAXY",PR!$BA468,IF(J470="REALS",PR!$BB468,IF(J470="ROYAL",PR!$BC468,IF(J470="SAM",PR!$BD468,IF(J470="SEAGREEN",PR!$BE468,IF(J470="SKG",PR!$BF468,IF(J470="TAH",PR!$BG468,IF(J470="TAYLEK",PR!$BH468,IF(J470="TEMITA",PR!$BI468,IF(J470="THL",PR!$BJ468,IF(J470="UBASTIC",PR!$BK468,IF(J470="UNION",PR!$BL468,IF(J470="UNIQUE",PR!$BM468,IF(J470="VIXA",PR!$BN468,IF(J470="WWCV",PR!$BO468,IF(J470="ZOLON",PR!$BP468,"-"))))))))))))))))))))))))))))))))))))))))))))))))))))))))))))))))</f>
        <v>-</v>
      </c>
      <c r="J470" s="102"/>
      <c r="K470" s="433"/>
      <c r="L470" s="183" t="b">
        <f>IF(K470&gt;0,IF(K470="ALPHA",PR!$E468,IF(K470="ASSENE",PR!$F468,IF(K470="BIOFEM",PR!$G468,IF(K470="BIOMED",PR!$H468,IF(K470="CHI",PR!$I468,IF(K470="CLARION",PR!$J468,IF(K470="CODIX",PR!$K468,IF(K470="COSMADE",PR!$L468,IF(K470="SANCON",PR!$M468,IF(K470="DEVON",PR!$N468,IF(K470="DORTEMAG",PR!$O468,IF(K470="DGF",PR!$P468,IF(K470="DYNAMIC",PR!$Q468,IF(K470="EMZOR",PR!$R468,IF(K470="EUMATT",PR!$S468,IF(K470="FIDSON",PR!$T468,IF(K470="FCGLOBAL",PR!$U468,IF(K470="GENEITH",PR!$V468,IF(K470="GINOS",PR!$W468,IF(K470="GSK",PR!$X468,IF(K470="GLOBORG",PR!$Y468,IF(K470="GOODNEWS",PR!$Z468,IF(K470="GREENLIFE",PR!$AA468,IF(K470="HLINE",PR!$AB468,IF(K470="ROTECH",PR!$AC468,IF(K470="ISN",PR!$AD468,IF(K470="JAWA",PR!$AE468,IF(K470="LAYO",PR!$AF468,IF(K470="LEADWAY",PR!$AG468,IF(K470="LHV",PR!$AH468,IF(K470="MANOLA",PR!$AI468,IF(K470="MARCSON",PR!$AJ468,IF(K470="M&amp;B",PR!$AK468,IF(K470="MTRUST",PR!$AL468,IF(K470="MWORLD",PR!$AM468,IF(K470="MEGA",PR!$AN468,IF(K470="MICRONOVA",PR!$AO468,IF(K470="MFLASH",PR!$AP468,IF(K470="MORISON",PR!$AQ468,IF(K470="NEMEL",PR!$AR468,IF(K470="NHP",PR!$AS468,IF(K470="NHC",PR!$AT468,IF(K470="OLEAF",PR!$AU468,IF(K470="OCULUS",PR!$AV468,IF(K470="PACIFIC",PR!$AW468,IF(K470="PHAMATEX",PR!$AX468,IF(K470="PETHICS",PR!$AY468,IF(K470="PHILIPS",PR!$AZ468,IF(K470="RANBAXY",PR!$BA468,IF(K470="REALS",PR!$BB468,IF(K470="ROYAL",PR!$BC468,IF(K470="SAM",PR!$BD468,IF(K470="SEAGREEN",PR!$BE468,IF(K470="SKG",PR!$BF468,IF(K470="TAH",PR!$BG468,IF(K470="TAYLEK",PR!$BH468,IF(K470="TEMITA",PR!$BI468,IF(K470="THL",PR!$BJ468,IF(K470="UBASTIC",PR!$BK468,IF(K470="UNION",PR!$BL468,IF(K470="UNIQUE",PR!$BM468,IF(K470="VIXA",PR!$BN468,IF(K470="WWCV",PR!$BO468,IF(K470="ZOLON",PR!$BP468,"-")))))))))))))))))))))))))))))))))))))))))))))))))))))))))))))))))</f>
        <v>0</v>
      </c>
    </row>
    <row r="471" spans="1:12" ht="18.75" x14ac:dyDescent="0.3">
      <c r="A471" s="430" t="str">
        <f>PR!A469</f>
        <v>LOT 9</v>
      </c>
      <c r="B471" s="15" t="str">
        <f>PR!B469</f>
        <v>ANTACIDS/GASTRO-INTESTINAL AGENTS</v>
      </c>
      <c r="C471" s="113">
        <f>PR!D469</f>
        <v>0</v>
      </c>
      <c r="D471" s="113">
        <f>PR!C469</f>
        <v>0</v>
      </c>
      <c r="E471" s="108" t="str">
        <f>IF(F471="ALPHA",PR!$E469,IF(F471="ASSENE",PR!$F469,IF(F471="BIOFEM",PR!$G469,IF(F471="BIOMED",PR!$H469,IF(F471="CHI",PR!$I469,IF(F471="CLARION",PR!$J469,IF(F471="CODIX",PR!$K469,IF(F471="COSMADE",PR!$L469,IF(F471="SANCON",PR!$M469,IF(F471="DEVON",PR!$N469,IF(F471="DORTEMAG",PR!$O469,IF(F471="DGF",PR!$P469,IF(F471="DYNAMIC",PR!$Q469,IF(F471="EMZOR",PR!$R469,IF(F471="EUMATT",PR!$S469,IF(F471="FIDSON",PR!$T469,IF(F471="FCGLOBAL",PR!$U469,IF(F471="GENEITH",PR!$V469,IF(F471="GINOS",PR!$W469,IF(F471="GSK",PR!$X469,IF(F471="GLOBORG",PR!$Y469,IF(F471="GOODNEWS",PR!$Z469,IF(F471="GREENLIFE",PR!$AA469,IF(F471="HLINE",PR!$AB469,IF(F471="ROTECH",PR!$AC469,IF(F471="ISN",PR!$AD469,IF(F471="JAWA",PR!$AE469,IF(F471="LAYO",PR!$AF469,IF(F471="LEADWAY",PR!$AG469,IF(F471="LHV",PR!$AH469,IF(F471="MANOLA",PR!$AI469,IF(F471="MARCSON",PR!$AJ469,IF(F471="M&amp;B",PR!$AK469,IF(F471="MTRUST",PR!$AL469,IF(F471="MWORLD",PR!$AM469,IF(F471="MEGA",PR!$AN469,IF(F471="MICRONOVA",PR!$AO469,IF(F471="MFLASH",PR!$AP469,IF(F471="MORISON",PR!$AQ469,IF(F471="NEMEL",PR!$AR469,IF(F471="NHP",PR!$AS469,IF(F471="NHC",PR!$AT469,IF(F471="OLEAF",PR!$AU469,IF(F471="OCULUS",PR!$AV469,IF(F471="PACIFIC",PR!$AW469,IF(F471="PHAMATEX",PR!$AX469,IF(F471="PETHICS",PR!$AY469,IF(F471="PHILIPS",PR!$AZ469,IF(F471="RANBAXY",PR!$BA469,IF(F471="REALS",PR!$BB469,IF(F471="ROYAL",PR!$BC469,IF(F471="SAM",PR!$BD469,IF(F471="SEAGREEN",PR!$BE469,IF(F471="SKG",PR!$BF469,IF(F471="TAH",PR!$BG469,IF(F471="TAYLEK",PR!$BH469,IF(F471="TEMITA",PR!$BI469,IF(F471="THL",PR!$BJ469,IF(F471="UBASTIC",PR!$BK469,IF(F471="UNION",PR!$BL469,IF(F471="UNIQUE",PR!$BM469,IF(F471="VIXA",PR!$BN469,IF(F471="WWCV",PR!$BO469,IF(F471="ZOLON",PR!$BP469,"-"))))))))))))))))))))))))))))))))))))))))))))))))))))))))))))))))</f>
        <v>-</v>
      </c>
      <c r="F471" s="102"/>
      <c r="G471" s="108" t="str">
        <f>IF(H471="ALPHA",PR!$E469,IF(H471="ASSENE",PR!$F469,IF(H471="BIOFEM",PR!$G469,IF(H471="BIOMED",PR!$H469,IF(H471="CHI",PR!$I469,IF(H471="CLARION",PR!$J469,IF(H471="CODIX",PR!$K469,IF(H471="COSMADE",PR!$L469,IF(H471="SANCON",PR!$M469,IF(H471="DEVON",PR!$N469,IF(H471="DORTEMAG",PR!$O469,IF(H471="DGF",PR!$P469,IF(H471="DYNAMIC",PR!$Q469,IF(H471="EMZOR",PR!$R469,IF(H471="EUMATT",PR!$S469,IF(H471="FIDSON",PR!$T469,IF(H471="FCGLOBAL",PR!$U469,IF(H471="GENEITH",PR!$V469,IF(H471="GINOS",PR!$W469,IF(H471="GSK",PR!$X469,IF(H471="GLOBORG",PR!$Y469,IF(H471="GOODNEWS",PR!$Z469,IF(H471="GREENLIFE",PR!$AA469,IF(H471="HLINE",PR!$AB469,IF(H471="ROTECH",PR!$AC469,IF(H471="ISN",PR!$AD469,IF(H471="JAWA",PR!$AE469,IF(H471="LAYO",PR!$AF469,IF(H471="LEADWAY",PR!$AG469,IF(H471="LHV",PR!$AH469,IF(H471="MANOLA",PR!$AI469,IF(H471="MARCSON",PR!$AJ469,IF(H471="M&amp;B",PR!$AK469,IF(H471="MTRUST",PR!$AL469,IF(H471="MWORLD",PR!$AM469,IF(H471="MEGA",PR!$AN469,IF(H471="MICRONOVA",PR!$AO469,IF(H471="MFLASH",PR!$AP469,IF(H471="MORISON",PR!$AQ469,IF(H471="NEMEL",PR!$AR469,IF(H471="NHP",PR!$AS469,IF(H471="NHC",PR!$AT469,IF(H471="OLEAF",PR!$AU469,IF(H471="OCULUS",PR!$AV469,IF(H471="PACIFIC",PR!$AW469,IF(H471="PHAMATEX",PR!$AX469,IF(H471="PETHICS",PR!$AY469,IF(H471="PHILIPS",PR!$AZ469,IF(H471="RANBAXY",PR!$BA469,IF(H471="REALS",PR!$BB469,IF(H471="ROYAL",PR!$BC469,IF(H471="SAM",PR!$BD469,IF(H471="SEAGREEN",PR!$BE469,IF(H471="SKG",PR!$BF469,IF(H471="TAH",PR!$BG469,IF(H471="TAYLEK",PR!$BH469,IF(H471="TEMITA",PR!$BI469,IF(H471="THL",PR!$BJ469,IF(H471="UBASTIC",PR!$BK469,IF(H471="UNION",PR!$BL469,IF(H471="UNIQUE",PR!$BM469,IF(H471="VIXA",PR!$BN469,IF(H471="WWCV",PR!$BO469,IF(H471="ZOLON",PR!$BP469,"-"))))))))))))))))))))))))))))))))))))))))))))))))))))))))))))))))</f>
        <v>-</v>
      </c>
      <c r="H471" s="102"/>
      <c r="I471" s="108" t="str">
        <f>IF(J471="ALPHA",PR!$E469,IF(J471="ASSENE",PR!$F469,IF(J471="BIOFEM",PR!$G469,IF(J471="BIOMED",PR!$H469,IF(J471="CHI",PR!$I469,IF(J471="CLARION",PR!$J469,IF(J471="CODIX",PR!$K469,IF(J471="COSMADE",PR!$L469,IF(J471="SANCON",PR!$M469,IF(J471="DEVON",PR!$N469,IF(J471="DORTEMAG",PR!$O469,IF(J471="DGF",PR!$P469,IF(J471="DYNAMIC",PR!$Q469,IF(J471="EMZOR",PR!$R469,IF(J471="EUMATT",PR!$S469,IF(J471="FIDSON",PR!$T469,IF(J471="FCGLOBAL",PR!$U469,IF(J471="GENEITH",PR!$V469,IF(J471="GINOS",PR!$W469,IF(J471="GSK",PR!$X469,IF(J471="GLOBORG",PR!$Y469,IF(J471="GOODNEWS",PR!$Z469,IF(J471="GREENLIFE",PR!$AA469,IF(J471="HLINE",PR!$AB469,IF(J471="ROTECH",PR!$AC469,IF(J471="ISN",PR!$AD469,IF(J471="JAWA",PR!$AE469,IF(J471="LAYO",PR!$AF469,IF(J471="LEADWAY",PR!$AG469,IF(J471="LHV",PR!$AH469,IF(J471="MANOLA",PR!$AI469,IF(J471="MARCSON",PR!$AJ469,IF(J471="M&amp;B",PR!$AK469,IF(J471="MTRUST",PR!$AL469,IF(J471="MWORLD",PR!$AM469,IF(J471="MEGA",PR!$AN469,IF(J471="MICRONOVA",PR!$AO469,IF(J471="MFLASH",PR!$AP469,IF(J471="MORISON",PR!$AQ469,IF(J471="NEMEL",PR!$AR469,IF(J471="NHP",PR!$AS469,IF(J471="NHC",PR!$AT469,IF(J471="OLEAF",PR!$AU469,IF(J471="OCULUS",PR!$AV469,IF(J471="PACIFIC",PR!$AW469,IF(J471="PHAMATEX",PR!$AX469,IF(J471="PETHICS",PR!$AY469,IF(J471="PHILIPS",PR!$AZ469,IF(J471="RANBAXY",PR!$BA469,IF(J471="REALS",PR!$BB469,IF(J471="ROYAL",PR!$BC469,IF(J471="SAM",PR!$BD469,IF(J471="SEAGREEN",PR!$BE469,IF(J471="SKG",PR!$BF469,IF(J471="TAH",PR!$BG469,IF(J471="TAYLEK",PR!$BH469,IF(J471="TEMITA",PR!$BI469,IF(J471="THL",PR!$BJ469,IF(J471="UBASTIC",PR!$BK469,IF(J471="UNION",PR!$BL469,IF(J471="UNIQUE",PR!$BM469,IF(J471="VIXA",PR!$BN469,IF(J471="WWCV",PR!$BO469,IF(J471="ZOLON",PR!$BP469,"-"))))))))))))))))))))))))))))))))))))))))))))))))))))))))))))))))</f>
        <v>-</v>
      </c>
      <c r="J471" s="102"/>
      <c r="K471" s="433"/>
      <c r="L471" s="183" t="b">
        <f>IF(K471&gt;0,IF(K471="ALPHA",PR!$E469,IF(K471="ASSENE",PR!$F469,IF(K471="BIOFEM",PR!$G469,IF(K471="BIOMED",PR!$H469,IF(K471="CHI",PR!$I469,IF(K471="CLARION",PR!$J469,IF(K471="CODIX",PR!$K469,IF(K471="COSMADE",PR!$L469,IF(K471="SANCON",PR!$M469,IF(K471="DEVON",PR!$N469,IF(K471="DORTEMAG",PR!$O469,IF(K471="DGF",PR!$P469,IF(K471="DYNAMIC",PR!$Q469,IF(K471="EMZOR",PR!$R469,IF(K471="EUMATT",PR!$S469,IF(K471="FIDSON",PR!$T469,IF(K471="FCGLOBAL",PR!$U469,IF(K471="GENEITH",PR!$V469,IF(K471="GINOS",PR!$W469,IF(K471="GSK",PR!$X469,IF(K471="GLOBORG",PR!$Y469,IF(K471="GOODNEWS",PR!$Z469,IF(K471="GREENLIFE",PR!$AA469,IF(K471="HLINE",PR!$AB469,IF(K471="ROTECH",PR!$AC469,IF(K471="ISN",PR!$AD469,IF(K471="JAWA",PR!$AE469,IF(K471="LAYO",PR!$AF469,IF(K471="LEADWAY",PR!$AG469,IF(K471="LHV",PR!$AH469,IF(K471="MANOLA",PR!$AI469,IF(K471="MARCSON",PR!$AJ469,IF(K471="M&amp;B",PR!$AK469,IF(K471="MTRUST",PR!$AL469,IF(K471="MWORLD",PR!$AM469,IF(K471="MEGA",PR!$AN469,IF(K471="MICRONOVA",PR!$AO469,IF(K471="MFLASH",PR!$AP469,IF(K471="MORISON",PR!$AQ469,IF(K471="NEMEL",PR!$AR469,IF(K471="NHP",PR!$AS469,IF(K471="NHC",PR!$AT469,IF(K471="OLEAF",PR!$AU469,IF(K471="OCULUS",PR!$AV469,IF(K471="PACIFIC",PR!$AW469,IF(K471="PHAMATEX",PR!$AX469,IF(K471="PETHICS",PR!$AY469,IF(K471="PHILIPS",PR!$AZ469,IF(K471="RANBAXY",PR!$BA469,IF(K471="REALS",PR!$BB469,IF(K471="ROYAL",PR!$BC469,IF(K471="SAM",PR!$BD469,IF(K471="SEAGREEN",PR!$BE469,IF(K471="SKG",PR!$BF469,IF(K471="TAH",PR!$BG469,IF(K471="TAYLEK",PR!$BH469,IF(K471="TEMITA",PR!$BI469,IF(K471="THL",PR!$BJ469,IF(K471="UBASTIC",PR!$BK469,IF(K471="UNION",PR!$BL469,IF(K471="UNIQUE",PR!$BM469,IF(K471="VIXA",PR!$BN469,IF(K471="WWCV",PR!$BO469,IF(K471="ZOLON",PR!$BP469,"-")))))))))))))))))))))))))))))))))))))))))))))))))))))))))))))))))</f>
        <v>0</v>
      </c>
    </row>
    <row r="472" spans="1:12" ht="18.75" x14ac:dyDescent="0.3">
      <c r="A472" s="430">
        <f>PR!A470</f>
        <v>424</v>
      </c>
      <c r="B472" s="15" t="str">
        <f>PR!B470</f>
        <v>ANUSOL SUPP</v>
      </c>
      <c r="C472" s="113">
        <f>PR!D470</f>
        <v>10</v>
      </c>
      <c r="D472" s="113">
        <f>PR!C470</f>
        <v>50</v>
      </c>
      <c r="E472" s="108">
        <f>IF(F472="ALPHA",PR!$E470,IF(F472="ASSENE",PR!$F470,IF(F472="BIOFEM",PR!$G470,IF(F472="BIOMED",PR!$H470,IF(F472="CHI",PR!$I470,IF(F472="CLARION",PR!$J470,IF(F472="CODIX",PR!$K470,IF(F472="COSMADE",PR!$L470,IF(F472="SANCON",PR!$M470,IF(F472="DEVON",PR!$N470,IF(F472="DORTEMAG",PR!$O470,IF(F472="DGF",PR!$P470,IF(F472="DYNAMIC",PR!$Q470,IF(F472="EMZOR",PR!$R470,IF(F472="EUMATT",PR!$S470,IF(F472="FIDSON",PR!$T470,IF(F472="FCGLOBAL",PR!$U470,IF(F472="GENEITH",PR!$V470,IF(F472="GINOS",PR!$W470,IF(F472="GSK",PR!$X470,IF(F472="GLOBORG",PR!$Y470,IF(F472="GOODNEWS",PR!$Z470,IF(F472="GREENLIFE",PR!$AA470,IF(F472="HLINE",PR!$AB470,IF(F472="ROTECH",PR!$AC470,IF(F472="ISN",PR!$AD470,IF(F472="JAWA",PR!$AE470,IF(F472="LAYO",PR!$AF470,IF(F472="LEADWAY",PR!$AG470,IF(F472="LHV",PR!$AH470,IF(F472="MANOLA",PR!$AI470,IF(F472="MARCSON",PR!$AJ470,IF(F472="M&amp;B",PR!$AK470,IF(F472="MTRUST",PR!$AL470,IF(F472="MWORLD",PR!$AM470,IF(F472="MEGA",PR!$AN470,IF(F472="MICRONOVA",PR!$AO470,IF(F472="MFLASH",PR!$AP470,IF(F472="MORISON",PR!$AQ470,IF(F472="NEMEL",PR!$AR470,IF(F472="NHP",PR!$AS470,IF(F472="NHC",PR!$AT470,IF(F472="OLEAF",PR!$AU470,IF(F472="OCULUS",PR!$AV470,IF(F472="PACIFIC",PR!$AW470,IF(F472="PHAMATEX",PR!$AX470,IF(F472="PETHICS",PR!$AY470,IF(F472="PHILIPS",PR!$AZ470,IF(F472="RANBAXY",PR!$BA470,IF(F472="REALS",PR!$BB470,IF(F472="ROYAL",PR!$BC470,IF(F472="SAM",PR!$BD470,IF(F472="SEAGREEN",PR!$BE470,IF(F472="SKG",PR!$BF470,IF(F472="TAH",PR!$BG470,IF(F472="TAYLEK",PR!$BH470,IF(F472="TEMITA",PR!$BI470,IF(F472="THL",PR!$BJ470,IF(F472="UBASTIC",PR!$BK470,IF(F472="UNION",PR!$BL470,IF(F472="UNIQUE",PR!$BM470,IF(F472="VIXA",PR!$BN470,IF(F472="WWCV",PR!$BO470,IF(F472="ZOLON",PR!$BP470,"-"))))))))))))))))))))))))))))))))))))))))))))))))))))))))))))))))</f>
        <v>1800</v>
      </c>
      <c r="F472" s="102" t="str">
        <f>EV!L608</f>
        <v>EUMATT</v>
      </c>
      <c r="G472" s="108" t="str">
        <f>IF(H472="ALPHA",PR!$E470,IF(H472="ASSENE",PR!$F470,IF(H472="BIOFEM",PR!$G470,IF(H472="BIOMED",PR!$H470,IF(H472="CHI",PR!$I470,IF(H472="CLARION",PR!$J470,IF(H472="CODIX",PR!$K470,IF(H472="COSMADE",PR!$L470,IF(H472="SANCON",PR!$M470,IF(H472="DEVON",PR!$N470,IF(H472="DORTEMAG",PR!$O470,IF(H472="DGF",PR!$P470,IF(H472="DYNAMIC",PR!$Q470,IF(H472="EMZOR",PR!$R470,IF(H472="EUMATT",PR!$S470,IF(H472="FIDSON",PR!$T470,IF(H472="FCGLOBAL",PR!$U470,IF(H472="GENEITH",PR!$V470,IF(H472="GINOS",PR!$W470,IF(H472="GSK",PR!$X470,IF(H472="GLOBORG",PR!$Y470,IF(H472="GOODNEWS",PR!$Z470,IF(H472="GREENLIFE",PR!$AA470,IF(H472="HLINE",PR!$AB470,IF(H472="ROTECH",PR!$AC470,IF(H472="ISN",PR!$AD470,IF(H472="JAWA",PR!$AE470,IF(H472="LAYO",PR!$AF470,IF(H472="LEADWAY",PR!$AG470,IF(H472="LHV",PR!$AH470,IF(H472="MANOLA",PR!$AI470,IF(H472="MARCSON",PR!$AJ470,IF(H472="M&amp;B",PR!$AK470,IF(H472="MTRUST",PR!$AL470,IF(H472="MWORLD",PR!$AM470,IF(H472="MEGA",PR!$AN470,IF(H472="MICRONOVA",PR!$AO470,IF(H472="MFLASH",PR!$AP470,IF(H472="MORISON",PR!$AQ470,IF(H472="NEMEL",PR!$AR470,IF(H472="NHP",PR!$AS470,IF(H472="NHC",PR!$AT470,IF(H472="OLEAF",PR!$AU470,IF(H472="OCULUS",PR!$AV470,IF(H472="PACIFIC",PR!$AW470,IF(H472="PHAMATEX",PR!$AX470,IF(H472="PETHICS",PR!$AY470,IF(H472="PHILIPS",PR!$AZ470,IF(H472="RANBAXY",PR!$BA470,IF(H472="REALS",PR!$BB470,IF(H472="ROYAL",PR!$BC470,IF(H472="SAM",PR!$BD470,IF(H472="SEAGREEN",PR!$BE470,IF(H472="SKG",PR!$BF470,IF(H472="TAH",PR!$BG470,IF(H472="TAYLEK",PR!$BH470,IF(H472="TEMITA",PR!$BI470,IF(H472="THL",PR!$BJ470,IF(H472="UBASTIC",PR!$BK470,IF(H472="UNION",PR!$BL470,IF(H472="UNIQUE",PR!$BM470,IF(H472="VIXA",PR!$BN470,IF(H472="WWCV",PR!$BO470,IF(H472="ZOLON",PR!$BP470,"-"))))))))))))))))))))))))))))))))))))))))))))))))))))))))))))))))</f>
        <v>-</v>
      </c>
      <c r="H472" s="102">
        <f>EV!M608</f>
        <v>0</v>
      </c>
      <c r="I472" s="108" t="str">
        <f>IF(J472="ALPHA",PR!$E470,IF(J472="ASSENE",PR!$F470,IF(J472="BIOFEM",PR!$G470,IF(J472="BIOMED",PR!$H470,IF(J472="CHI",PR!$I470,IF(J472="CLARION",PR!$J470,IF(J472="CODIX",PR!$K470,IF(J472="COSMADE",PR!$L470,IF(J472="SANCON",PR!$M470,IF(J472="DEVON",PR!$N470,IF(J472="DORTEMAG",PR!$O470,IF(J472="DGF",PR!$P470,IF(J472="DYNAMIC",PR!$Q470,IF(J472="EMZOR",PR!$R470,IF(J472="EUMATT",PR!$S470,IF(J472="FIDSON",PR!$T470,IF(J472="FCGLOBAL",PR!$U470,IF(J472="GENEITH",PR!$V470,IF(J472="GINOS",PR!$W470,IF(J472="GSK",PR!$X470,IF(J472="GLOBORG",PR!$Y470,IF(J472="GOODNEWS",PR!$Z470,IF(J472="GREENLIFE",PR!$AA470,IF(J472="HLINE",PR!$AB470,IF(J472="ROTECH",PR!$AC470,IF(J472="ISN",PR!$AD470,IF(J472="JAWA",PR!$AE470,IF(J472="LAYO",PR!$AF470,IF(J472="LEADWAY",PR!$AG470,IF(J472="LHV",PR!$AH470,IF(J472="MANOLA",PR!$AI470,IF(J472="MARCSON",PR!$AJ470,IF(J472="M&amp;B",PR!$AK470,IF(J472="MTRUST",PR!$AL470,IF(J472="MWORLD",PR!$AM470,IF(J472="MEGA",PR!$AN470,IF(J472="MICRONOVA",PR!$AO470,IF(J472="MFLASH",PR!$AP470,IF(J472="MORISON",PR!$AQ470,IF(J472="NEMEL",PR!$AR470,IF(J472="NHP",PR!$AS470,IF(J472="NHC",PR!$AT470,IF(J472="OLEAF",PR!$AU470,IF(J472="OCULUS",PR!$AV470,IF(J472="PACIFIC",PR!$AW470,IF(J472="PHAMATEX",PR!$AX470,IF(J472="PETHICS",PR!$AY470,IF(J472="PHILIPS",PR!$AZ470,IF(J472="RANBAXY",PR!$BA470,IF(J472="REALS",PR!$BB470,IF(J472="ROYAL",PR!$BC470,IF(J472="SAM",PR!$BD470,IF(J472="SEAGREEN",PR!$BE470,IF(J472="SKG",PR!$BF470,IF(J472="TAH",PR!$BG470,IF(J472="TAYLEK",PR!$BH470,IF(J472="TEMITA",PR!$BI470,IF(J472="THL",PR!$BJ470,IF(J472="UBASTIC",PR!$BK470,IF(J472="UNION",PR!$BL470,IF(J472="UNIQUE",PR!$BM470,IF(J472="VIXA",PR!$BN470,IF(J472="WWCV",PR!$BO470,IF(J472="ZOLON",PR!$BP470,"-"))))))))))))))))))))))))))))))))))))))))))))))))))))))))))))))))</f>
        <v>-</v>
      </c>
      <c r="J472" s="102">
        <f>EV!N608</f>
        <v>0</v>
      </c>
      <c r="K472" s="433" t="s">
        <v>821</v>
      </c>
      <c r="L472" s="183">
        <f>IF(K472&gt;0,IF(K472="ALPHA",PR!$E470,IF(K472="ASSENE",PR!$F470,IF(K472="BIOFEM",PR!$G470,IF(K472="BIOMED",PR!$H470,IF(K472="CHI",PR!$I470,IF(K472="CLARION",PR!$J470,IF(K472="CODIX",PR!$K470,IF(K472="COSMADE",PR!$L470,IF(K472="SANCON",PR!$M470,IF(K472="DEVON",PR!$N470,IF(K472="DORTEMAG",PR!$O470,IF(K472="DGF",PR!$P470,IF(K472="DYNAMIC",PR!$Q470,IF(K472="EMZOR",PR!$R470,IF(K472="EUMATT",PR!$S470,IF(K472="FIDSON",PR!$T470,IF(K472="FCGLOBAL",PR!$U470,IF(K472="GENEITH",PR!$V470,IF(K472="GINOS",PR!$W470,IF(K472="GSK",PR!$X470,IF(K472="GLOBORG",PR!$Y470,IF(K472="GOODNEWS",PR!$Z470,IF(K472="GREENLIFE",PR!$AA470,IF(K472="HLINE",PR!$AB470,IF(K472="ROTECH",PR!$AC470,IF(K472="ISN",PR!$AD470,IF(K472="JAWA",PR!$AE470,IF(K472="LAYO",PR!$AF470,IF(K472="LEADWAY",PR!$AG470,IF(K472="LHV",PR!$AH470,IF(K472="MANOLA",PR!$AI470,IF(K472="MARCSON",PR!$AJ470,IF(K472="M&amp;B",PR!$AK470,IF(K472="MTRUST",PR!$AL470,IF(K472="MWORLD",PR!$AM470,IF(K472="MEGA",PR!$AN470,IF(K472="MICRONOVA",PR!$AO470,IF(K472="MFLASH",PR!$AP470,IF(K472="MORISON",PR!$AQ470,IF(K472="NEMEL",PR!$AR470,IF(K472="NHP",PR!$AS470,IF(K472="NHC",PR!$AT470,IF(K472="OLEAF",PR!$AU470,IF(K472="OCULUS",PR!$AV470,IF(K472="PACIFIC",PR!$AW470,IF(K472="PHAMATEX",PR!$AX470,IF(K472="PETHICS",PR!$AY470,IF(K472="PHILIPS",PR!$AZ470,IF(K472="RANBAXY",PR!$BA470,IF(K472="REALS",PR!$BB470,IF(K472="ROYAL",PR!$BC470,IF(K472="SAM",PR!$BD470,IF(K472="SEAGREEN",PR!$BE470,IF(K472="SKG",PR!$BF470,IF(K472="TAH",PR!$BG470,IF(K472="TAYLEK",PR!$BH470,IF(K472="TEMITA",PR!$BI470,IF(K472="THL",PR!$BJ470,IF(K472="UBASTIC",PR!$BK470,IF(K472="UNION",PR!$BL470,IF(K472="UNIQUE",PR!$BM470,IF(K472="VIXA",PR!$BN470,IF(K472="WWCV",PR!$BO470,IF(K472="ZOLON",PR!$BP470,"-")))))))))))))))))))))))))))))))))))))))))))))))))))))))))))))))))</f>
        <v>1800</v>
      </c>
    </row>
    <row r="473" spans="1:12" ht="18.75" x14ac:dyDescent="0.3">
      <c r="A473" s="430">
        <f>PR!A471</f>
        <v>425</v>
      </c>
      <c r="B473" s="15" t="str">
        <f>PR!B471</f>
        <v>BISACODYL TAB</v>
      </c>
      <c r="C473" s="113">
        <f>PR!D471</f>
        <v>105</v>
      </c>
      <c r="D473" s="113">
        <f>PR!C471</f>
        <v>45</v>
      </c>
      <c r="E473" s="108" t="str">
        <f>IF(F473="ALPHA",PR!$E471,IF(F473="ASSENE",PR!$F471,IF(F473="BIOFEM",PR!$G471,IF(F473="BIOMED",PR!$H471,IF(F473="CHI",PR!$I471,IF(F473="CLARION",PR!$J471,IF(F473="CODIX",PR!$K471,IF(F473="COSMADE",PR!$L471,IF(F473="SANCON",PR!$M471,IF(F473="DEVON",PR!$N471,IF(F473="DORTEMAG",PR!$O471,IF(F473="DGF",PR!$P471,IF(F473="DYNAMIC",PR!$Q471,IF(F473="EMZOR",PR!$R471,IF(F473="EUMATT",PR!$S471,IF(F473="FIDSON",PR!$T471,IF(F473="FCGLOBAL",PR!$U471,IF(F473="GENEITH",PR!$V471,IF(F473="GINOS",PR!$W471,IF(F473="GSK",PR!$X471,IF(F473="GLOBORG",PR!$Y471,IF(F473="GOODNEWS",PR!$Z471,IF(F473="GREENLIFE",PR!$AA471,IF(F473="HLINE",PR!$AB471,IF(F473="ROTECH",PR!$AC471,IF(F473="ISN",PR!$AD471,IF(F473="JAWA",PR!$AE471,IF(F473="LAYO",PR!$AF471,IF(F473="LEADWAY",PR!$AG471,IF(F473="LHV",PR!$AH471,IF(F473="MANOLA",PR!$AI471,IF(F473="MARCSON",PR!$AJ471,IF(F473="M&amp;B",PR!$AK471,IF(F473="MTRUST",PR!$AL471,IF(F473="MWORLD",PR!$AM471,IF(F473="MEGA",PR!$AN471,IF(F473="MICRONOVA",PR!$AO471,IF(F473="MFLASH",PR!$AP471,IF(F473="MORISON",PR!$AQ471,IF(F473="NEMEL",PR!$AR471,IF(F473="NHP",PR!$AS471,IF(F473="NHC",PR!$AT471,IF(F473="OLEAF",PR!$AU471,IF(F473="OCULUS",PR!$AV471,IF(F473="PACIFIC",PR!$AW471,IF(F473="PHAMATEX",PR!$AX471,IF(F473="PETHICS",PR!$AY471,IF(F473="PHILIPS",PR!$AZ471,IF(F473="RANBAXY",PR!$BA471,IF(F473="REALS",PR!$BB471,IF(F473="ROYAL",PR!$BC471,IF(F473="SAM",PR!$BD471,IF(F473="SEAGREEN",PR!$BE471,IF(F473="SKG",PR!$BF471,IF(F473="TAH",PR!$BG471,IF(F473="TAYLEK",PR!$BH471,IF(F473="TEMITA",PR!$BI471,IF(F473="THL",PR!$BJ471,IF(F473="UBASTIC",PR!$BK471,IF(F473="UNION",PR!$BL471,IF(F473="UNIQUE",PR!$BM471,IF(F473="VIXA",PR!$BN471,IF(F473="WWCV",PR!$BO471,IF(F473="ZOLON",PR!$BP471,"-"))))))))))))))))))))))))))))))))))))))))))))))))))))))))))))))))</f>
        <v>-</v>
      </c>
      <c r="F473" s="102">
        <f>EV!L609</f>
        <v>0</v>
      </c>
      <c r="G473" s="108" t="str">
        <f>IF(H473="ALPHA",PR!$E471,IF(H473="ASSENE",PR!$F471,IF(H473="BIOFEM",PR!$G471,IF(H473="BIOMED",PR!$H471,IF(H473="CHI",PR!$I471,IF(H473="CLARION",PR!$J471,IF(H473="CODIX",PR!$K471,IF(H473="COSMADE",PR!$L471,IF(H473="SANCON",PR!$M471,IF(H473="DEVON",PR!$N471,IF(H473="DORTEMAG",PR!$O471,IF(H473="DGF",PR!$P471,IF(H473="DYNAMIC",PR!$Q471,IF(H473="EMZOR",PR!$R471,IF(H473="EUMATT",PR!$S471,IF(H473="FIDSON",PR!$T471,IF(H473="FCGLOBAL",PR!$U471,IF(H473="GENEITH",PR!$V471,IF(H473="GINOS",PR!$W471,IF(H473="GSK",PR!$X471,IF(H473="GLOBORG",PR!$Y471,IF(H473="GOODNEWS",PR!$Z471,IF(H473="GREENLIFE",PR!$AA471,IF(H473="HLINE",PR!$AB471,IF(H473="ROTECH",PR!$AC471,IF(H473="ISN",PR!$AD471,IF(H473="JAWA",PR!$AE471,IF(H473="LAYO",PR!$AF471,IF(H473="LEADWAY",PR!$AG471,IF(H473="LHV",PR!$AH471,IF(H473="MANOLA",PR!$AI471,IF(H473="MARCSON",PR!$AJ471,IF(H473="M&amp;B",PR!$AK471,IF(H473="MTRUST",PR!$AL471,IF(H473="MWORLD",PR!$AM471,IF(H473="MEGA",PR!$AN471,IF(H473="MICRONOVA",PR!$AO471,IF(H473="MFLASH",PR!$AP471,IF(H473="MORISON",PR!$AQ471,IF(H473="NEMEL",PR!$AR471,IF(H473="NHP",PR!$AS471,IF(H473="NHC",PR!$AT471,IF(H473="OLEAF",PR!$AU471,IF(H473="OCULUS",PR!$AV471,IF(H473="PACIFIC",PR!$AW471,IF(H473="PHAMATEX",PR!$AX471,IF(H473="PETHICS",PR!$AY471,IF(H473="PHILIPS",PR!$AZ471,IF(H473="RANBAXY",PR!$BA471,IF(H473="REALS",PR!$BB471,IF(H473="ROYAL",PR!$BC471,IF(H473="SAM",PR!$BD471,IF(H473="SEAGREEN",PR!$BE471,IF(H473="SKG",PR!$BF471,IF(H473="TAH",PR!$BG471,IF(H473="TAYLEK",PR!$BH471,IF(H473="TEMITA",PR!$BI471,IF(H473="THL",PR!$BJ471,IF(H473="UBASTIC",PR!$BK471,IF(H473="UNION",PR!$BL471,IF(H473="UNIQUE",PR!$BM471,IF(H473="VIXA",PR!$BN471,IF(H473="WWCV",PR!$BO471,IF(H473="ZOLON",PR!$BP471,"-"))))))))))))))))))))))))))))))))))))))))))))))))))))))))))))))))</f>
        <v>-</v>
      </c>
      <c r="H473" s="102">
        <f>EV!M609</f>
        <v>0</v>
      </c>
      <c r="I473" s="108" t="str">
        <f>IF(J473="ALPHA",PR!$E471,IF(J473="ASSENE",PR!$F471,IF(J473="BIOFEM",PR!$G471,IF(J473="BIOMED",PR!$H471,IF(J473="CHI",PR!$I471,IF(J473="CLARION",PR!$J471,IF(J473="CODIX",PR!$K471,IF(J473="COSMADE",PR!$L471,IF(J473="SANCON",PR!$M471,IF(J473="DEVON",PR!$N471,IF(J473="DORTEMAG",PR!$O471,IF(J473="DGF",PR!$P471,IF(J473="DYNAMIC",PR!$Q471,IF(J473="EMZOR",PR!$R471,IF(J473="EUMATT",PR!$S471,IF(J473="FIDSON",PR!$T471,IF(J473="FCGLOBAL",PR!$U471,IF(J473="GENEITH",PR!$V471,IF(J473="GINOS",PR!$W471,IF(J473="GSK",PR!$X471,IF(J473="GLOBORG",PR!$Y471,IF(J473="GOODNEWS",PR!$Z471,IF(J473="GREENLIFE",PR!$AA471,IF(J473="HLINE",PR!$AB471,IF(J473="ROTECH",PR!$AC471,IF(J473="ISN",PR!$AD471,IF(J473="JAWA",PR!$AE471,IF(J473="LAYO",PR!$AF471,IF(J473="LEADWAY",PR!$AG471,IF(J473="LHV",PR!$AH471,IF(J473="MANOLA",PR!$AI471,IF(J473="MARCSON",PR!$AJ471,IF(J473="M&amp;B",PR!$AK471,IF(J473="MTRUST",PR!$AL471,IF(J473="MWORLD",PR!$AM471,IF(J473="MEGA",PR!$AN471,IF(J473="MICRONOVA",PR!$AO471,IF(J473="MFLASH",PR!$AP471,IF(J473="MORISON",PR!$AQ471,IF(J473="NEMEL",PR!$AR471,IF(J473="NHP",PR!$AS471,IF(J473="NHC",PR!$AT471,IF(J473="OLEAF",PR!$AU471,IF(J473="OCULUS",PR!$AV471,IF(J473="PACIFIC",PR!$AW471,IF(J473="PHAMATEX",PR!$AX471,IF(J473="PETHICS",PR!$AY471,IF(J473="PHILIPS",PR!$AZ471,IF(J473="RANBAXY",PR!$BA471,IF(J473="REALS",PR!$BB471,IF(J473="ROYAL",PR!$BC471,IF(J473="SAM",PR!$BD471,IF(J473="SEAGREEN",PR!$BE471,IF(J473="SKG",PR!$BF471,IF(J473="TAH",PR!$BG471,IF(J473="TAYLEK",PR!$BH471,IF(J473="TEMITA",PR!$BI471,IF(J473="THL",PR!$BJ471,IF(J473="UBASTIC",PR!$BK471,IF(J473="UNION",PR!$BL471,IF(J473="UNIQUE",PR!$BM471,IF(J473="VIXA",PR!$BN471,IF(J473="WWCV",PR!$BO471,IF(J473="ZOLON",PR!$BP471,"-"))))))))))))))))))))))))))))))))))))))))))))))))))))))))))))))))</f>
        <v>-</v>
      </c>
      <c r="J473" s="102">
        <f>EV!N609</f>
        <v>0</v>
      </c>
      <c r="K473" s="433"/>
      <c r="L473" s="183" t="b">
        <f>IF(K473&gt;0,IF(K473="ALPHA",PR!$E471,IF(K473="ASSENE",PR!$F471,IF(K473="BIOFEM",PR!$G471,IF(K473="BIOMED",PR!$H471,IF(K473="CHI",PR!$I471,IF(K473="CLARION",PR!$J471,IF(K473="CODIX",PR!$K471,IF(K473="COSMADE",PR!$L471,IF(K473="SANCON",PR!$M471,IF(K473="DEVON",PR!$N471,IF(K473="DORTEMAG",PR!$O471,IF(K473="DGF",PR!$P471,IF(K473="DYNAMIC",PR!$Q471,IF(K473="EMZOR",PR!$R471,IF(K473="EUMATT",PR!$S471,IF(K473="FIDSON",PR!$T471,IF(K473="FCGLOBAL",PR!$U471,IF(K473="GENEITH",PR!$V471,IF(K473="GINOS",PR!$W471,IF(K473="GSK",PR!$X471,IF(K473="GLOBORG",PR!$Y471,IF(K473="GOODNEWS",PR!$Z471,IF(K473="GREENLIFE",PR!$AA471,IF(K473="HLINE",PR!$AB471,IF(K473="ROTECH",PR!$AC471,IF(K473="ISN",PR!$AD471,IF(K473="JAWA",PR!$AE471,IF(K473="LAYO",PR!$AF471,IF(K473="LEADWAY",PR!$AG471,IF(K473="LHV",PR!$AH471,IF(K473="MANOLA",PR!$AI471,IF(K473="MARCSON",PR!$AJ471,IF(K473="M&amp;B",PR!$AK471,IF(K473="MTRUST",PR!$AL471,IF(K473="MWORLD",PR!$AM471,IF(K473="MEGA",PR!$AN471,IF(K473="MICRONOVA",PR!$AO471,IF(K473="MFLASH",PR!$AP471,IF(K473="MORISON",PR!$AQ471,IF(K473="NEMEL",PR!$AR471,IF(K473="NHP",PR!$AS471,IF(K473="NHC",PR!$AT471,IF(K473="OLEAF",PR!$AU471,IF(K473="OCULUS",PR!$AV471,IF(K473="PACIFIC",PR!$AW471,IF(K473="PHAMATEX",PR!$AX471,IF(K473="PETHICS",PR!$AY471,IF(K473="PHILIPS",PR!$AZ471,IF(K473="RANBAXY",PR!$BA471,IF(K473="REALS",PR!$BB471,IF(K473="ROYAL",PR!$BC471,IF(K473="SAM",PR!$BD471,IF(K473="SEAGREEN",PR!$BE471,IF(K473="SKG",PR!$BF471,IF(K473="TAH",PR!$BG471,IF(K473="TAYLEK",PR!$BH471,IF(K473="TEMITA",PR!$BI471,IF(K473="THL",PR!$BJ471,IF(K473="UBASTIC",PR!$BK471,IF(K473="UNION",PR!$BL471,IF(K473="UNIQUE",PR!$BM471,IF(K473="VIXA",PR!$BN471,IF(K473="WWCV",PR!$BO471,IF(K473="ZOLON",PR!$BP471,"-")))))))))))))))))))))))))))))))))))))))))))))))))))))))))))))))))</f>
        <v>0</v>
      </c>
    </row>
    <row r="474" spans="1:12" ht="18.75" x14ac:dyDescent="0.3">
      <c r="A474" s="430">
        <f>PR!A472</f>
        <v>426</v>
      </c>
      <c r="B474" s="15" t="str">
        <f>PR!B472</f>
        <v>CIMETIDINE 200MG TAB</v>
      </c>
      <c r="C474" s="113">
        <f>PR!D472</f>
        <v>100</v>
      </c>
      <c r="D474" s="113">
        <f>PR!C472</f>
        <v>20</v>
      </c>
      <c r="E474" s="108">
        <f>IF(F474="ALPHA",PR!$E472,IF(F474="ASSENE",PR!$F472,IF(F474="BIOFEM",PR!$G472,IF(F474="BIOMED",PR!$H472,IF(F474="CHI",PR!$I472,IF(F474="CLARION",PR!$J472,IF(F474="CODIX",PR!$K472,IF(F474="COSMADE",PR!$L472,IF(F474="SANCON",PR!$M472,IF(F474="DEVON",PR!$N472,IF(F474="DORTEMAG",PR!$O472,IF(F474="DGF",PR!$P472,IF(F474="DYNAMIC",PR!$Q472,IF(F474="EMZOR",PR!$R472,IF(F474="EUMATT",PR!$S472,IF(F474="FIDSON",PR!$T472,IF(F474="FCGLOBAL",PR!$U472,IF(F474="GENEITH",PR!$V472,IF(F474="GINOS",PR!$W472,IF(F474="GSK",PR!$X472,IF(F474="GLOBORG",PR!$Y472,IF(F474="GOODNEWS",PR!$Z472,IF(F474="GREENLIFE",PR!$AA472,IF(F474="HLINE",PR!$AB472,IF(F474="ROTECH",PR!$AC472,IF(F474="ISN",PR!$AD472,IF(F474="JAWA",PR!$AE472,IF(F474="LAYO",PR!$AF472,IF(F474="LEADWAY",PR!$AG472,IF(F474="LHV",PR!$AH472,IF(F474="MANOLA",PR!$AI472,IF(F474="MARCSON",PR!$AJ472,IF(F474="M&amp;B",PR!$AK472,IF(F474="MTRUST",PR!$AL472,IF(F474="MWORLD",PR!$AM472,IF(F474="MEGA",PR!$AN472,IF(F474="MICRONOVA",PR!$AO472,IF(F474="MFLASH",PR!$AP472,IF(F474="MORISON",PR!$AQ472,IF(F474="NEMEL",PR!$AR472,IF(F474="NHP",PR!$AS472,IF(F474="NHC",PR!$AT472,IF(F474="OLEAF",PR!$AU472,IF(F474="OCULUS",PR!$AV472,IF(F474="PACIFIC",PR!$AW472,IF(F474="PHAMATEX",PR!$AX472,IF(F474="PETHICS",PR!$AY472,IF(F474="PHILIPS",PR!$AZ472,IF(F474="RANBAXY",PR!$BA472,IF(F474="REALS",PR!$BB472,IF(F474="ROYAL",PR!$BC472,IF(F474="SAM",PR!$BD472,IF(F474="SEAGREEN",PR!$BE472,IF(F474="SKG",PR!$BF472,IF(F474="TAH",PR!$BG472,IF(F474="TAYLEK",PR!$BH472,IF(F474="TEMITA",PR!$BI472,IF(F474="THL",PR!$BJ472,IF(F474="UBASTIC",PR!$BK472,IF(F474="UNION",PR!$BL472,IF(F474="UNIQUE",PR!$BM472,IF(F474="VIXA",PR!$BN472,IF(F474="WWCV",PR!$BO472,IF(F474="ZOLON",PR!$BP472,"-"))))))))))))))))))))))))))))))))))))))))))))))))))))))))))))))))</f>
        <v>600</v>
      </c>
      <c r="F474" s="102" t="str">
        <f>EV!L610</f>
        <v>SAM</v>
      </c>
      <c r="G474" s="108">
        <f>IF(H474="ALPHA",PR!$E472,IF(H474="ASSENE",PR!$F472,IF(H474="BIOFEM",PR!$G472,IF(H474="BIOMED",PR!$H472,IF(H474="CHI",PR!$I472,IF(H474="CLARION",PR!$J472,IF(H474="CODIX",PR!$K472,IF(H474="COSMADE",PR!$L472,IF(H474="SANCON",PR!$M472,IF(H474="DEVON",PR!$N472,IF(H474="DORTEMAG",PR!$O472,IF(H474="DGF",PR!$P472,IF(H474="DYNAMIC",PR!$Q472,IF(H474="EMZOR",PR!$R472,IF(H474="EUMATT",PR!$S472,IF(H474="FIDSON",PR!$T472,IF(H474="FCGLOBAL",PR!$U472,IF(H474="GENEITH",PR!$V472,IF(H474="GINOS",PR!$W472,IF(H474="GSK",PR!$X472,IF(H474="GLOBORG",PR!$Y472,IF(H474="GOODNEWS",PR!$Z472,IF(H474="GREENLIFE",PR!$AA472,IF(H474="HLINE",PR!$AB472,IF(H474="ROTECH",PR!$AC472,IF(H474="ISN",PR!$AD472,IF(H474="JAWA",PR!$AE472,IF(H474="LAYO",PR!$AF472,IF(H474="LEADWAY",PR!$AG472,IF(H474="LHV",PR!$AH472,IF(H474="MANOLA",PR!$AI472,IF(H474="MARCSON",PR!$AJ472,IF(H474="M&amp;B",PR!$AK472,IF(H474="MTRUST",PR!$AL472,IF(H474="MWORLD",PR!$AM472,IF(H474="MEGA",PR!$AN472,IF(H474="MICRONOVA",PR!$AO472,IF(H474="MFLASH",PR!$AP472,IF(H474="MORISON",PR!$AQ472,IF(H474="NEMEL",PR!$AR472,IF(H474="NHP",PR!$AS472,IF(H474="NHC",PR!$AT472,IF(H474="OLEAF",PR!$AU472,IF(H474="OCULUS",PR!$AV472,IF(H474="PACIFIC",PR!$AW472,IF(H474="PHAMATEX",PR!$AX472,IF(H474="PETHICS",PR!$AY472,IF(H474="PHILIPS",PR!$AZ472,IF(H474="RANBAXY",PR!$BA472,IF(H474="REALS",PR!$BB472,IF(H474="ROYAL",PR!$BC472,IF(H474="SAM",PR!$BD472,IF(H474="SEAGREEN",PR!$BE472,IF(H474="SKG",PR!$BF472,IF(H474="TAH",PR!$BG472,IF(H474="TAYLEK",PR!$BH472,IF(H474="TEMITA",PR!$BI472,IF(H474="THL",PR!$BJ472,IF(H474="UBASTIC",PR!$BK472,IF(H474="UNION",PR!$BL472,IF(H474="UNIQUE",PR!$BM472,IF(H474="VIXA",PR!$BN472,IF(H474="WWCV",PR!$BO472,IF(H474="ZOLON",PR!$BP472,"-"))))))))))))))))))))))))))))))))))))))))))))))))))))))))))))))))</f>
        <v>2000</v>
      </c>
      <c r="H474" s="102" t="str">
        <f>EV!M610</f>
        <v>EUMATT</v>
      </c>
      <c r="I474" s="108" t="str">
        <f>IF(J474="ALPHA",PR!$E472,IF(J474="ASSENE",PR!$F472,IF(J474="BIOFEM",PR!$G472,IF(J474="BIOMED",PR!$H472,IF(J474="CHI",PR!$I472,IF(J474="CLARION",PR!$J472,IF(J474="CODIX",PR!$K472,IF(J474="COSMADE",PR!$L472,IF(J474="SANCON",PR!$M472,IF(J474="DEVON",PR!$N472,IF(J474="DORTEMAG",PR!$O472,IF(J474="DGF",PR!$P472,IF(J474="DYNAMIC",PR!$Q472,IF(J474="EMZOR",PR!$R472,IF(J474="EUMATT",PR!$S472,IF(J474="FIDSON",PR!$T472,IF(J474="FCGLOBAL",PR!$U472,IF(J474="GENEITH",PR!$V472,IF(J474="GINOS",PR!$W472,IF(J474="GSK",PR!$X472,IF(J474="GLOBORG",PR!$Y472,IF(J474="GOODNEWS",PR!$Z472,IF(J474="GREENLIFE",PR!$AA472,IF(J474="HLINE",PR!$AB472,IF(J474="ROTECH",PR!$AC472,IF(J474="ISN",PR!$AD472,IF(J474="JAWA",PR!$AE472,IF(J474="LAYO",PR!$AF472,IF(J474="LEADWAY",PR!$AG472,IF(J474="LHV",PR!$AH472,IF(J474="MANOLA",PR!$AI472,IF(J474="MARCSON",PR!$AJ472,IF(J474="M&amp;B",PR!$AK472,IF(J474="MTRUST",PR!$AL472,IF(J474="MWORLD",PR!$AM472,IF(J474="MEGA",PR!$AN472,IF(J474="MICRONOVA",PR!$AO472,IF(J474="MFLASH",PR!$AP472,IF(J474="MORISON",PR!$AQ472,IF(J474="NEMEL",PR!$AR472,IF(J474="NHP",PR!$AS472,IF(J474="NHC",PR!$AT472,IF(J474="OLEAF",PR!$AU472,IF(J474="OCULUS",PR!$AV472,IF(J474="PACIFIC",PR!$AW472,IF(J474="PHAMATEX",PR!$AX472,IF(J474="PETHICS",PR!$AY472,IF(J474="PHILIPS",PR!$AZ472,IF(J474="RANBAXY",PR!$BA472,IF(J474="REALS",PR!$BB472,IF(J474="ROYAL",PR!$BC472,IF(J474="SAM",PR!$BD472,IF(J474="SEAGREEN",PR!$BE472,IF(J474="SKG",PR!$BF472,IF(J474="TAH",PR!$BG472,IF(J474="TAYLEK",PR!$BH472,IF(J474="TEMITA",PR!$BI472,IF(J474="THL",PR!$BJ472,IF(J474="UBASTIC",PR!$BK472,IF(J474="UNION",PR!$BL472,IF(J474="UNIQUE",PR!$BM472,IF(J474="VIXA",PR!$BN472,IF(J474="WWCV",PR!$BO472,IF(J474="ZOLON",PR!$BP472,"-"))))))))))))))))))))))))))))))))))))))))))))))))))))))))))))))))</f>
        <v>-</v>
      </c>
      <c r="J474" s="102">
        <f>EV!N610</f>
        <v>0</v>
      </c>
      <c r="K474" s="433" t="s">
        <v>622</v>
      </c>
      <c r="L474" s="183">
        <f>IF(K474&gt;0,IF(K474="ALPHA",PR!$E472,IF(K474="ASSENE",PR!$F472,IF(K474="BIOFEM",PR!$G472,IF(K474="BIOMED",PR!$H472,IF(K474="CHI",PR!$I472,IF(K474="CLARION",PR!$J472,IF(K474="CODIX",PR!$K472,IF(K474="COSMADE",PR!$L472,IF(K474="SANCON",PR!$M472,IF(K474="DEVON",PR!$N472,IF(K474="DORTEMAG",PR!$O472,IF(K474="DGF",PR!$P472,IF(K474="DYNAMIC",PR!$Q472,IF(K474="EMZOR",PR!$R472,IF(K474="EUMATT",PR!$S472,IF(K474="FIDSON",PR!$T472,IF(K474="FCGLOBAL",PR!$U472,IF(K474="GENEITH",PR!$V472,IF(K474="GINOS",PR!$W472,IF(K474="GSK",PR!$X472,IF(K474="GLOBORG",PR!$Y472,IF(K474="GOODNEWS",PR!$Z472,IF(K474="GREENLIFE",PR!$AA472,IF(K474="HLINE",PR!$AB472,IF(K474="ROTECH",PR!$AC472,IF(K474="ISN",PR!$AD472,IF(K474="JAWA",PR!$AE472,IF(K474="LAYO",PR!$AF472,IF(K474="LEADWAY",PR!$AG472,IF(K474="LHV",PR!$AH472,IF(K474="MANOLA",PR!$AI472,IF(K474="MARCSON",PR!$AJ472,IF(K474="M&amp;B",PR!$AK472,IF(K474="MTRUST",PR!$AL472,IF(K474="MWORLD",PR!$AM472,IF(K474="MEGA",PR!$AN472,IF(K474="MICRONOVA",PR!$AO472,IF(K474="MFLASH",PR!$AP472,IF(K474="MORISON",PR!$AQ472,IF(K474="NEMEL",PR!$AR472,IF(K474="NHP",PR!$AS472,IF(K474="NHC",PR!$AT472,IF(K474="OLEAF",PR!$AU472,IF(K474="OCULUS",PR!$AV472,IF(K474="PACIFIC",PR!$AW472,IF(K474="PHAMATEX",PR!$AX472,IF(K474="PETHICS",PR!$AY472,IF(K474="PHILIPS",PR!$AZ472,IF(K474="RANBAXY",PR!$BA472,IF(K474="REALS",PR!$BB472,IF(K474="ROYAL",PR!$BC472,IF(K474="SAM",PR!$BD472,IF(K474="SEAGREEN",PR!$BE472,IF(K474="SKG",PR!$BF472,IF(K474="TAH",PR!$BG472,IF(K474="TAYLEK",PR!$BH472,IF(K474="TEMITA",PR!$BI472,IF(K474="THL",PR!$BJ472,IF(K474="UBASTIC",PR!$BK472,IF(K474="UNION",PR!$BL472,IF(K474="UNIQUE",PR!$BM472,IF(K474="VIXA",PR!$BN472,IF(K474="WWCV",PR!$BO472,IF(K474="ZOLON",PR!$BP472,"-")))))))))))))))))))))))))))))))))))))))))))))))))))))))))))))))))</f>
        <v>600</v>
      </c>
    </row>
    <row r="475" spans="1:12" ht="18.75" x14ac:dyDescent="0.3">
      <c r="A475" s="430">
        <f>PR!A473</f>
        <v>427</v>
      </c>
      <c r="B475" s="15" t="str">
        <f>PR!B473</f>
        <v>DIOSMINE 500MG TAB</v>
      </c>
      <c r="C475" s="113">
        <f>PR!D473</f>
        <v>30</v>
      </c>
      <c r="D475" s="113">
        <f>PR!C473</f>
        <v>20</v>
      </c>
      <c r="E475" s="108">
        <f>IF(F475="ALPHA",PR!$E473,IF(F475="ASSENE",PR!$F473,IF(F475="BIOFEM",PR!$G473,IF(F475="BIOMED",PR!$H473,IF(F475="CHI",PR!$I473,IF(F475="CLARION",PR!$J473,IF(F475="CODIX",PR!$K473,IF(F475="COSMADE",PR!$L473,IF(F475="SANCON",PR!$M473,IF(F475="DEVON",PR!$N473,IF(F475="DORTEMAG",PR!$O473,IF(F475="DGF",PR!$P473,IF(F475="DYNAMIC",PR!$Q473,IF(F475="EMZOR",PR!$R473,IF(F475="EUMATT",PR!$S473,IF(F475="FIDSON",PR!$T473,IF(F475="FCGLOBAL",PR!$U473,IF(F475="GENEITH",PR!$V473,IF(F475="GINOS",PR!$W473,IF(F475="GSK",PR!$X473,IF(F475="GLOBORG",PR!$Y473,IF(F475="GOODNEWS",PR!$Z473,IF(F475="GREENLIFE",PR!$AA473,IF(F475="HLINE",PR!$AB473,IF(F475="ROTECH",PR!$AC473,IF(F475="ISN",PR!$AD473,IF(F475="JAWA",PR!$AE473,IF(F475="LAYO",PR!$AF473,IF(F475="LEADWAY",PR!$AG473,IF(F475="LHV",PR!$AH473,IF(F475="MANOLA",PR!$AI473,IF(F475="MARCSON",PR!$AJ473,IF(F475="M&amp;B",PR!$AK473,IF(F475="MTRUST",PR!$AL473,IF(F475="MWORLD",PR!$AM473,IF(F475="MEGA",PR!$AN473,IF(F475="MICRONOVA",PR!$AO473,IF(F475="MFLASH",PR!$AP473,IF(F475="MORISON",PR!$AQ473,IF(F475="NEMEL",PR!$AR473,IF(F475="NHP",PR!$AS473,IF(F475="NHC",PR!$AT473,IF(F475="OLEAF",PR!$AU473,IF(F475="OCULUS",PR!$AV473,IF(F475="PACIFIC",PR!$AW473,IF(F475="PHAMATEX",PR!$AX473,IF(F475="PETHICS",PR!$AY473,IF(F475="PHILIPS",PR!$AZ473,IF(F475="RANBAXY",PR!$BA473,IF(F475="REALS",PR!$BB473,IF(F475="ROYAL",PR!$BC473,IF(F475="SAM",PR!$BD473,IF(F475="SEAGREEN",PR!$BE473,IF(F475="SKG",PR!$BF473,IF(F475="TAH",PR!$BG473,IF(F475="TAYLEK",PR!$BH473,IF(F475="TEMITA",PR!$BI473,IF(F475="THL",PR!$BJ473,IF(F475="UBASTIC",PR!$BK473,IF(F475="UNION",PR!$BL473,IF(F475="UNIQUE",PR!$BM473,IF(F475="VIXA",PR!$BN473,IF(F475="WWCV",PR!$BO473,IF(F475="ZOLON",PR!$BP473,"-"))))))))))))))))))))))))))))))))))))))))))))))))))))))))))))))))</f>
        <v>250</v>
      </c>
      <c r="F475" s="102" t="str">
        <f>EV!L611</f>
        <v>THL</v>
      </c>
      <c r="G475" s="108">
        <f>IF(H475="ALPHA",PR!$E473,IF(H475="ASSENE",PR!$F473,IF(H475="BIOFEM",PR!$G473,IF(H475="BIOMED",PR!$H473,IF(H475="CHI",PR!$I473,IF(H475="CLARION",PR!$J473,IF(H475="CODIX",PR!$K473,IF(H475="COSMADE",PR!$L473,IF(H475="SANCON",PR!$M473,IF(H475="DEVON",PR!$N473,IF(H475="DORTEMAG",PR!$O473,IF(H475="DGF",PR!$P473,IF(H475="DYNAMIC",PR!$Q473,IF(H475="EMZOR",PR!$R473,IF(H475="EUMATT",PR!$S473,IF(H475="FIDSON",PR!$T473,IF(H475="FCGLOBAL",PR!$U473,IF(H475="GENEITH",PR!$V473,IF(H475="GINOS",PR!$W473,IF(H475="GSK",PR!$X473,IF(H475="GLOBORG",PR!$Y473,IF(H475="GOODNEWS",PR!$Z473,IF(H475="GREENLIFE",PR!$AA473,IF(H475="HLINE",PR!$AB473,IF(H475="ROTECH",PR!$AC473,IF(H475="ISN",PR!$AD473,IF(H475="JAWA",PR!$AE473,IF(H475="LAYO",PR!$AF473,IF(H475="LEADWAY",PR!$AG473,IF(H475="LHV",PR!$AH473,IF(H475="MANOLA",PR!$AI473,IF(H475="MARCSON",PR!$AJ473,IF(H475="M&amp;B",PR!$AK473,IF(H475="MTRUST",PR!$AL473,IF(H475="MWORLD",PR!$AM473,IF(H475="MEGA",PR!$AN473,IF(H475="MICRONOVA",PR!$AO473,IF(H475="MFLASH",PR!$AP473,IF(H475="MORISON",PR!$AQ473,IF(H475="NEMEL",PR!$AR473,IF(H475="NHP",PR!$AS473,IF(H475="NHC",PR!$AT473,IF(H475="OLEAF",PR!$AU473,IF(H475="OCULUS",PR!$AV473,IF(H475="PACIFIC",PR!$AW473,IF(H475="PHAMATEX",PR!$AX473,IF(H475="PETHICS",PR!$AY473,IF(H475="PHILIPS",PR!$AZ473,IF(H475="RANBAXY",PR!$BA473,IF(H475="REALS",PR!$BB473,IF(H475="ROYAL",PR!$BC473,IF(H475="SAM",PR!$BD473,IF(H475="SEAGREEN",PR!$BE473,IF(H475="SKG",PR!$BF473,IF(H475="TAH",PR!$BG473,IF(H475="TAYLEK",PR!$BH473,IF(H475="TEMITA",PR!$BI473,IF(H475="THL",PR!$BJ473,IF(H475="UBASTIC",PR!$BK473,IF(H475="UNION",PR!$BL473,IF(H475="UNIQUE",PR!$BM473,IF(H475="VIXA",PR!$BN473,IF(H475="WWCV",PR!$BO473,IF(H475="ZOLON",PR!$BP473,"-"))))))))))))))))))))))))))))))))))))))))))))))))))))))))))))))))</f>
        <v>2990</v>
      </c>
      <c r="H475" s="102" t="str">
        <f>EV!M611</f>
        <v>CHI</v>
      </c>
      <c r="I475" s="108" t="str">
        <f>IF(J475="ALPHA",PR!$E473,IF(J475="ASSENE",PR!$F473,IF(J475="BIOFEM",PR!$G473,IF(J475="BIOMED",PR!$H473,IF(J475="CHI",PR!$I473,IF(J475="CLARION",PR!$J473,IF(J475="CODIX",PR!$K473,IF(J475="COSMADE",PR!$L473,IF(J475="SANCON",PR!$M473,IF(J475="DEVON",PR!$N473,IF(J475="DORTEMAG",PR!$O473,IF(J475="DGF",PR!$P473,IF(J475="DYNAMIC",PR!$Q473,IF(J475="EMZOR",PR!$R473,IF(J475="EUMATT",PR!$S473,IF(J475="FIDSON",PR!$T473,IF(J475="FCGLOBAL",PR!$U473,IF(J475="GENEITH",PR!$V473,IF(J475="GINOS",PR!$W473,IF(J475="GSK",PR!$X473,IF(J475="GLOBORG",PR!$Y473,IF(J475="GOODNEWS",PR!$Z473,IF(J475="GREENLIFE",PR!$AA473,IF(J475="HLINE",PR!$AB473,IF(J475="ROTECH",PR!$AC473,IF(J475="ISN",PR!$AD473,IF(J475="JAWA",PR!$AE473,IF(J475="LAYO",PR!$AF473,IF(J475="LEADWAY",PR!$AG473,IF(J475="LHV",PR!$AH473,IF(J475="MANOLA",PR!$AI473,IF(J475="MARCSON",PR!$AJ473,IF(J475="M&amp;B",PR!$AK473,IF(J475="MTRUST",PR!$AL473,IF(J475="MWORLD",PR!$AM473,IF(J475="MEGA",PR!$AN473,IF(J475="MICRONOVA",PR!$AO473,IF(J475="MFLASH",PR!$AP473,IF(J475="MORISON",PR!$AQ473,IF(J475="NEMEL",PR!$AR473,IF(J475="NHP",PR!$AS473,IF(J475="NHC",PR!$AT473,IF(J475="OLEAF",PR!$AU473,IF(J475="OCULUS",PR!$AV473,IF(J475="PACIFIC",PR!$AW473,IF(J475="PHAMATEX",PR!$AX473,IF(J475="PETHICS",PR!$AY473,IF(J475="PHILIPS",PR!$AZ473,IF(J475="RANBAXY",PR!$BA473,IF(J475="REALS",PR!$BB473,IF(J475="ROYAL",PR!$BC473,IF(J475="SAM",PR!$BD473,IF(J475="SEAGREEN",PR!$BE473,IF(J475="SKG",PR!$BF473,IF(J475="TAH",PR!$BG473,IF(J475="TAYLEK",PR!$BH473,IF(J475="TEMITA",PR!$BI473,IF(J475="THL",PR!$BJ473,IF(J475="UBASTIC",PR!$BK473,IF(J475="UNION",PR!$BL473,IF(J475="UNIQUE",PR!$BM473,IF(J475="VIXA",PR!$BN473,IF(J475="WWCV",PR!$BO473,IF(J475="ZOLON",PR!$BP473,"-"))))))))))))))))))))))))))))))))))))))))))))))))))))))))))))))))</f>
        <v>-</v>
      </c>
      <c r="J475" s="102">
        <f>EV!N611</f>
        <v>0</v>
      </c>
      <c r="K475" s="433" t="s">
        <v>1446</v>
      </c>
      <c r="L475" s="183">
        <f>IF(K475&gt;0,IF(K475="ALPHA",PR!$E473,IF(K475="ASSENE",PR!$F473,IF(K475="BIOFEM",PR!$G473,IF(K475="BIOMED",PR!$H473,IF(K475="CHI",PR!$I473,IF(K475="CLARION",PR!$J473,IF(K475="CODIX",PR!$K473,IF(K475="COSMADE",PR!$L473,IF(K475="SANCON",PR!$M473,IF(K475="DEVON",PR!$N473,IF(K475="DORTEMAG",PR!$O473,IF(K475="DGF",PR!$P473,IF(K475="DYNAMIC",PR!$Q473,IF(K475="EMZOR",PR!$R473,IF(K475="EUMATT",PR!$S473,IF(K475="FIDSON",PR!$T473,IF(K475="FCGLOBAL",PR!$U473,IF(K475="GENEITH",PR!$V473,IF(K475="GINOS",PR!$W473,IF(K475="GSK",PR!$X473,IF(K475="GLOBORG",PR!$Y473,IF(K475="GOODNEWS",PR!$Z473,IF(K475="GREENLIFE",PR!$AA473,IF(K475="HLINE",PR!$AB473,IF(K475="ROTECH",PR!$AC473,IF(K475="ISN",PR!$AD473,IF(K475="JAWA",PR!$AE473,IF(K475="LAYO",PR!$AF473,IF(K475="LEADWAY",PR!$AG473,IF(K475="LHV",PR!$AH473,IF(K475="MANOLA",PR!$AI473,IF(K475="MARCSON",PR!$AJ473,IF(K475="M&amp;B",PR!$AK473,IF(K475="MTRUST",PR!$AL473,IF(K475="MWORLD",PR!$AM473,IF(K475="MEGA",PR!$AN473,IF(K475="MICRONOVA",PR!$AO473,IF(K475="MFLASH",PR!$AP473,IF(K475="MORISON",PR!$AQ473,IF(K475="NEMEL",PR!$AR473,IF(K475="NHP",PR!$AS473,IF(K475="NHC",PR!$AT473,IF(K475="OLEAF",PR!$AU473,IF(K475="OCULUS",PR!$AV473,IF(K475="PACIFIC",PR!$AW473,IF(K475="PHAMATEX",PR!$AX473,IF(K475="PETHICS",PR!$AY473,IF(K475="PHILIPS",PR!$AZ473,IF(K475="RANBAXY",PR!$BA473,IF(K475="REALS",PR!$BB473,IF(K475="ROYAL",PR!$BC473,IF(K475="SAM",PR!$BD473,IF(K475="SEAGREEN",PR!$BE473,IF(K475="SKG",PR!$BF473,IF(K475="TAH",PR!$BG473,IF(K475="TAYLEK",PR!$BH473,IF(K475="TEMITA",PR!$BI473,IF(K475="THL",PR!$BJ473,IF(K475="UBASTIC",PR!$BK473,IF(K475="UNION",PR!$BL473,IF(K475="UNIQUE",PR!$BM473,IF(K475="VIXA",PR!$BN473,IF(K475="WWCV",PR!$BO473,IF(K475="ZOLON",PR!$BP473,"-")))))))))))))))))))))))))))))))))))))))))))))))))))))))))))))))))</f>
        <v>2990</v>
      </c>
    </row>
    <row r="476" spans="1:12" ht="18.75" x14ac:dyDescent="0.3">
      <c r="A476" s="430">
        <f>PR!A474</f>
        <v>428</v>
      </c>
      <c r="B476" s="15" t="str">
        <f>PR!B474</f>
        <v>DIOSMINE GEL</v>
      </c>
      <c r="C476" s="113" t="str">
        <f>PR!D474</f>
        <v>TUBE</v>
      </c>
      <c r="D476" s="113">
        <f>PR!C474</f>
        <v>52</v>
      </c>
      <c r="E476" s="108">
        <f>IF(F476="ALPHA",PR!$E474,IF(F476="ASSENE",PR!$F474,IF(F476="BIOFEM",PR!$G474,IF(F476="BIOMED",PR!$H474,IF(F476="CHI",PR!$I474,IF(F476="CLARION",PR!$J474,IF(F476="CODIX",PR!$K474,IF(F476="COSMADE",PR!$L474,IF(F476="SANCON",PR!$M474,IF(F476="DEVON",PR!$N474,IF(F476="DORTEMAG",PR!$O474,IF(F476="DGF",PR!$P474,IF(F476="DYNAMIC",PR!$Q474,IF(F476="EMZOR",PR!$R474,IF(F476="EUMATT",PR!$S474,IF(F476="FIDSON",PR!$T474,IF(F476="FCGLOBAL",PR!$U474,IF(F476="GENEITH",PR!$V474,IF(F476="GINOS",PR!$W474,IF(F476="GSK",PR!$X474,IF(F476="GLOBORG",PR!$Y474,IF(F476="GOODNEWS",PR!$Z474,IF(F476="GREENLIFE",PR!$AA474,IF(F476="HLINE",PR!$AB474,IF(F476="ROTECH",PR!$AC474,IF(F476="ISN",PR!$AD474,IF(F476="JAWA",PR!$AE474,IF(F476="LAYO",PR!$AF474,IF(F476="LEADWAY",PR!$AG474,IF(F476="LHV",PR!$AH474,IF(F476="MANOLA",PR!$AI474,IF(F476="MARCSON",PR!$AJ474,IF(F476="M&amp;B",PR!$AK474,IF(F476="MTRUST",PR!$AL474,IF(F476="MWORLD",PR!$AM474,IF(F476="MEGA",PR!$AN474,IF(F476="MICRONOVA",PR!$AO474,IF(F476="MFLASH",PR!$AP474,IF(F476="MORISON",PR!$AQ474,IF(F476="NEMEL",PR!$AR474,IF(F476="NHP",PR!$AS474,IF(F476="NHC",PR!$AT474,IF(F476="OLEAF",PR!$AU474,IF(F476="OCULUS",PR!$AV474,IF(F476="PACIFIC",PR!$AW474,IF(F476="PHAMATEX",PR!$AX474,IF(F476="PETHICS",PR!$AY474,IF(F476="PHILIPS",PR!$AZ474,IF(F476="RANBAXY",PR!$BA474,IF(F476="REALS",PR!$BB474,IF(F476="ROYAL",PR!$BC474,IF(F476="SAM",PR!$BD474,IF(F476="SEAGREEN",PR!$BE474,IF(F476="SKG",PR!$BF474,IF(F476="TAH",PR!$BG474,IF(F476="TAYLEK",PR!$BH474,IF(F476="TEMITA",PR!$BI474,IF(F476="THL",PR!$BJ474,IF(F476="UBASTIC",PR!$BK474,IF(F476="UNION",PR!$BL474,IF(F476="UNIQUE",PR!$BM474,IF(F476="VIXA",PR!$BN474,IF(F476="WWCV",PR!$BO474,IF(F476="ZOLON",PR!$BP474,"-"))))))))))))))))))))))))))))))))))))))))))))))))))))))))))))))))</f>
        <v>300</v>
      </c>
      <c r="F476" s="102" t="str">
        <f>EV!L612</f>
        <v>THL</v>
      </c>
      <c r="G476" s="108" t="str">
        <f>IF(H476="ALPHA",PR!$E474,IF(H476="ASSENE",PR!$F474,IF(H476="BIOFEM",PR!$G474,IF(H476="BIOMED",PR!$H474,IF(H476="CHI",PR!$I474,IF(H476="CLARION",PR!$J474,IF(H476="CODIX",PR!$K474,IF(H476="COSMADE",PR!$L474,IF(H476="SANCON",PR!$M474,IF(H476="DEVON",PR!$N474,IF(H476="DORTEMAG",PR!$O474,IF(H476="DGF",PR!$P474,IF(H476="DYNAMIC",PR!$Q474,IF(H476="EMZOR",PR!$R474,IF(H476="EUMATT",PR!$S474,IF(H476="FIDSON",PR!$T474,IF(H476="FCGLOBAL",PR!$U474,IF(H476="GENEITH",PR!$V474,IF(H476="GINOS",PR!$W474,IF(H476="GSK",PR!$X474,IF(H476="GLOBORG",PR!$Y474,IF(H476="GOODNEWS",PR!$Z474,IF(H476="GREENLIFE",PR!$AA474,IF(H476="HLINE",PR!$AB474,IF(H476="ROTECH",PR!$AC474,IF(H476="ISN",PR!$AD474,IF(H476="JAWA",PR!$AE474,IF(H476="LAYO",PR!$AF474,IF(H476="LEADWAY",PR!$AG474,IF(H476="LHV",PR!$AH474,IF(H476="MANOLA",PR!$AI474,IF(H476="MARCSON",PR!$AJ474,IF(H476="M&amp;B",PR!$AK474,IF(H476="MTRUST",PR!$AL474,IF(H476="MWORLD",PR!$AM474,IF(H476="MEGA",PR!$AN474,IF(H476="MICRONOVA",PR!$AO474,IF(H476="MFLASH",PR!$AP474,IF(H476="MORISON",PR!$AQ474,IF(H476="NEMEL",PR!$AR474,IF(H476="NHP",PR!$AS474,IF(H476="NHC",PR!$AT474,IF(H476="OLEAF",PR!$AU474,IF(H476="OCULUS",PR!$AV474,IF(H476="PACIFIC",PR!$AW474,IF(H476="PHAMATEX",PR!$AX474,IF(H476="PETHICS",PR!$AY474,IF(H476="PHILIPS",PR!$AZ474,IF(H476="RANBAXY",PR!$BA474,IF(H476="REALS",PR!$BB474,IF(H476="ROYAL",PR!$BC474,IF(H476="SAM",PR!$BD474,IF(H476="SEAGREEN",PR!$BE474,IF(H476="SKG",PR!$BF474,IF(H476="TAH",PR!$BG474,IF(H476="TAYLEK",PR!$BH474,IF(H476="TEMITA",PR!$BI474,IF(H476="THL",PR!$BJ474,IF(H476="UBASTIC",PR!$BK474,IF(H476="UNION",PR!$BL474,IF(H476="UNIQUE",PR!$BM474,IF(H476="VIXA",PR!$BN474,IF(H476="WWCV",PR!$BO474,IF(H476="ZOLON",PR!$BP474,"-"))))))))))))))))))))))))))))))))))))))))))))))))))))))))))))))))</f>
        <v>-</v>
      </c>
      <c r="H476" s="102">
        <f>EV!M612</f>
        <v>0</v>
      </c>
      <c r="I476" s="108" t="str">
        <f>IF(J476="ALPHA",PR!$E474,IF(J476="ASSENE",PR!$F474,IF(J476="BIOFEM",PR!$G474,IF(J476="BIOMED",PR!$H474,IF(J476="CHI",PR!$I474,IF(J476="CLARION",PR!$J474,IF(J476="CODIX",PR!$K474,IF(J476="COSMADE",PR!$L474,IF(J476="SANCON",PR!$M474,IF(J476="DEVON",PR!$N474,IF(J476="DORTEMAG",PR!$O474,IF(J476="DGF",PR!$P474,IF(J476="DYNAMIC",PR!$Q474,IF(J476="EMZOR",PR!$R474,IF(J476="EUMATT",PR!$S474,IF(J476="FIDSON",PR!$T474,IF(J476="FCGLOBAL",PR!$U474,IF(J476="GENEITH",PR!$V474,IF(J476="GINOS",PR!$W474,IF(J476="GSK",PR!$X474,IF(J476="GLOBORG",PR!$Y474,IF(J476="GOODNEWS",PR!$Z474,IF(J476="GREENLIFE",PR!$AA474,IF(J476="HLINE",PR!$AB474,IF(J476="ROTECH",PR!$AC474,IF(J476="ISN",PR!$AD474,IF(J476="JAWA",PR!$AE474,IF(J476="LAYO",PR!$AF474,IF(J476="LEADWAY",PR!$AG474,IF(J476="LHV",PR!$AH474,IF(J476="MANOLA",PR!$AI474,IF(J476="MARCSON",PR!$AJ474,IF(J476="M&amp;B",PR!$AK474,IF(J476="MTRUST",PR!$AL474,IF(J476="MWORLD",PR!$AM474,IF(J476="MEGA",PR!$AN474,IF(J476="MICRONOVA",PR!$AO474,IF(J476="MFLASH",PR!$AP474,IF(J476="MORISON",PR!$AQ474,IF(J476="NEMEL",PR!$AR474,IF(J476="NHP",PR!$AS474,IF(J476="NHC",PR!$AT474,IF(J476="OLEAF",PR!$AU474,IF(J476="OCULUS",PR!$AV474,IF(J476="PACIFIC",PR!$AW474,IF(J476="PHAMATEX",PR!$AX474,IF(J476="PETHICS",PR!$AY474,IF(J476="PHILIPS",PR!$AZ474,IF(J476="RANBAXY",PR!$BA474,IF(J476="REALS",PR!$BB474,IF(J476="ROYAL",PR!$BC474,IF(J476="SAM",PR!$BD474,IF(J476="SEAGREEN",PR!$BE474,IF(J476="SKG",PR!$BF474,IF(J476="TAH",PR!$BG474,IF(J476="TAYLEK",PR!$BH474,IF(J476="TEMITA",PR!$BI474,IF(J476="THL",PR!$BJ474,IF(J476="UBASTIC",PR!$BK474,IF(J476="UNION",PR!$BL474,IF(J476="UNIQUE",PR!$BM474,IF(J476="VIXA",PR!$BN474,IF(J476="WWCV",PR!$BO474,IF(J476="ZOLON",PR!$BP474,"-"))))))))))))))))))))))))))))))))))))))))))))))))))))))))))))))))</f>
        <v>-</v>
      </c>
      <c r="J476" s="102">
        <f>EV!N612</f>
        <v>0</v>
      </c>
      <c r="K476" s="433"/>
      <c r="L476" s="183" t="b">
        <f>IF(K476&gt;0,IF(K476="ALPHA",PR!$E474,IF(K476="ASSENE",PR!$F474,IF(K476="BIOFEM",PR!$G474,IF(K476="BIOMED",PR!$H474,IF(K476="CHI",PR!$I474,IF(K476="CLARION",PR!$J474,IF(K476="CODIX",PR!$K474,IF(K476="COSMADE",PR!$L474,IF(K476="SANCON",PR!$M474,IF(K476="DEVON",PR!$N474,IF(K476="DORTEMAG",PR!$O474,IF(K476="DGF",PR!$P474,IF(K476="DYNAMIC",PR!$Q474,IF(K476="EMZOR",PR!$R474,IF(K476="EUMATT",PR!$S474,IF(K476="FIDSON",PR!$T474,IF(K476="FCGLOBAL",PR!$U474,IF(K476="GENEITH",PR!$V474,IF(K476="GINOS",PR!$W474,IF(K476="GSK",PR!$X474,IF(K476="GLOBORG",PR!$Y474,IF(K476="GOODNEWS",PR!$Z474,IF(K476="GREENLIFE",PR!$AA474,IF(K476="HLINE",PR!$AB474,IF(K476="ROTECH",PR!$AC474,IF(K476="ISN",PR!$AD474,IF(K476="JAWA",PR!$AE474,IF(K476="LAYO",PR!$AF474,IF(K476="LEADWAY",PR!$AG474,IF(K476="LHV",PR!$AH474,IF(K476="MANOLA",PR!$AI474,IF(K476="MARCSON",PR!$AJ474,IF(K476="M&amp;B",PR!$AK474,IF(K476="MTRUST",PR!$AL474,IF(K476="MWORLD",PR!$AM474,IF(K476="MEGA",PR!$AN474,IF(K476="MICRONOVA",PR!$AO474,IF(K476="MFLASH",PR!$AP474,IF(K476="MORISON",PR!$AQ474,IF(K476="NEMEL",PR!$AR474,IF(K476="NHP",PR!$AS474,IF(K476="NHC",PR!$AT474,IF(K476="OLEAF",PR!$AU474,IF(K476="OCULUS",PR!$AV474,IF(K476="PACIFIC",PR!$AW474,IF(K476="PHAMATEX",PR!$AX474,IF(K476="PETHICS",PR!$AY474,IF(K476="PHILIPS",PR!$AZ474,IF(K476="RANBAXY",PR!$BA474,IF(K476="REALS",PR!$BB474,IF(K476="ROYAL",PR!$BC474,IF(K476="SAM",PR!$BD474,IF(K476="SEAGREEN",PR!$BE474,IF(K476="SKG",PR!$BF474,IF(K476="TAH",PR!$BG474,IF(K476="TAYLEK",PR!$BH474,IF(K476="TEMITA",PR!$BI474,IF(K476="THL",PR!$BJ474,IF(K476="UBASTIC",PR!$BK474,IF(K476="UNION",PR!$BL474,IF(K476="UNIQUE",PR!$BM474,IF(K476="VIXA",PR!$BN474,IF(K476="WWCV",PR!$BO474,IF(K476="ZOLON",PR!$BP474,"-")))))))))))))))))))))))))))))))))))))))))))))))))))))))))))))))))</f>
        <v>0</v>
      </c>
    </row>
    <row r="477" spans="1:12" ht="18.75" x14ac:dyDescent="0.3">
      <c r="A477" s="430">
        <f>PR!A475</f>
        <v>429</v>
      </c>
      <c r="B477" s="15" t="str">
        <f>PR!B475</f>
        <v>ESOMEPRAZOLE 20MG CAP</v>
      </c>
      <c r="C477" s="113">
        <f>PR!D475</f>
        <v>14</v>
      </c>
      <c r="D477" s="113">
        <f>PR!C475</f>
        <v>32</v>
      </c>
      <c r="E477" s="108">
        <f>IF(F477="ALPHA",PR!$E475,IF(F477="ASSENE",PR!$F475,IF(F477="BIOFEM",PR!$G475,IF(F477="BIOMED",PR!$H475,IF(F477="CHI",PR!$I475,IF(F477="CLARION",PR!$J475,IF(F477="CODIX",PR!$K475,IF(F477="COSMADE",PR!$L475,IF(F477="SANCON",PR!$M475,IF(F477="DEVON",PR!$N475,IF(F477="DORTEMAG",PR!$O475,IF(F477="DGF",PR!$P475,IF(F477="DYNAMIC",PR!$Q475,IF(F477="EMZOR",PR!$R475,IF(F477="EUMATT",PR!$S475,IF(F477="FIDSON",PR!$T475,IF(F477="FCGLOBAL",PR!$U475,IF(F477="GENEITH",PR!$V475,IF(F477="GINOS",PR!$W475,IF(F477="GSK",PR!$X475,IF(F477="GLOBORG",PR!$Y475,IF(F477="GOODNEWS",PR!$Z475,IF(F477="GREENLIFE",PR!$AA475,IF(F477="HLINE",PR!$AB475,IF(F477="ROTECH",PR!$AC475,IF(F477="ISN",PR!$AD475,IF(F477="JAWA",PR!$AE475,IF(F477="LAYO",PR!$AF475,IF(F477="LEADWAY",PR!$AG475,IF(F477="LHV",PR!$AH475,IF(F477="MANOLA",PR!$AI475,IF(F477="MARCSON",PR!$AJ475,IF(F477="M&amp;B",PR!$AK475,IF(F477="MTRUST",PR!$AL475,IF(F477="MWORLD",PR!$AM475,IF(F477="MEGA",PR!$AN475,IF(F477="MICRONOVA",PR!$AO475,IF(F477="MFLASH",PR!$AP475,IF(F477="MORISON",PR!$AQ475,IF(F477="NEMEL",PR!$AR475,IF(F477="NHP",PR!$AS475,IF(F477="NHC",PR!$AT475,IF(F477="OLEAF",PR!$AU475,IF(F477="OCULUS",PR!$AV475,IF(F477="PACIFIC",PR!$AW475,IF(F477="PHAMATEX",PR!$AX475,IF(F477="PETHICS",PR!$AY475,IF(F477="PHILIPS",PR!$AZ475,IF(F477="RANBAXY",PR!$BA475,IF(F477="REALS",PR!$BB475,IF(F477="ROYAL",PR!$BC475,IF(F477="SAM",PR!$BD475,IF(F477="SEAGREEN",PR!$BE475,IF(F477="SKG",PR!$BF475,IF(F477="TAH",PR!$BG475,IF(F477="TAYLEK",PR!$BH475,IF(F477="TEMITA",PR!$BI475,IF(F477="THL",PR!$BJ475,IF(F477="UBASTIC",PR!$BK475,IF(F477="UNION",PR!$BL475,IF(F477="UNIQUE",PR!$BM475,IF(F477="VIXA",PR!$BN475,IF(F477="WWCV",PR!$BO475,IF(F477="ZOLON",PR!$BP475,"-"))))))))))))))))))))))))))))))))))))))))))))))))))))))))))))))))</f>
        <v>336</v>
      </c>
      <c r="F477" s="102" t="str">
        <f>EV!L613</f>
        <v>TAH</v>
      </c>
      <c r="G477" s="108">
        <f>IF(H477="ALPHA",PR!$E475,IF(H477="ASSENE",PR!$F475,IF(H477="BIOFEM",PR!$G475,IF(H477="BIOMED",PR!$H475,IF(H477="CHI",PR!$I475,IF(H477="CLARION",PR!$J475,IF(H477="CODIX",PR!$K475,IF(H477="COSMADE",PR!$L475,IF(H477="SANCON",PR!$M475,IF(H477="DEVON",PR!$N475,IF(H477="DORTEMAG",PR!$O475,IF(H477="DGF",PR!$P475,IF(H477="DYNAMIC",PR!$Q475,IF(H477="EMZOR",PR!$R475,IF(H477="EUMATT",PR!$S475,IF(H477="FIDSON",PR!$T475,IF(H477="FCGLOBAL",PR!$U475,IF(H477="GENEITH",PR!$V475,IF(H477="GINOS",PR!$W475,IF(H477="GSK",PR!$X475,IF(H477="GLOBORG",PR!$Y475,IF(H477="GOODNEWS",PR!$Z475,IF(H477="GREENLIFE",PR!$AA475,IF(H477="HLINE",PR!$AB475,IF(H477="ROTECH",PR!$AC475,IF(H477="ISN",PR!$AD475,IF(H477="JAWA",PR!$AE475,IF(H477="LAYO",PR!$AF475,IF(H477="LEADWAY",PR!$AG475,IF(H477="LHV",PR!$AH475,IF(H477="MANOLA",PR!$AI475,IF(H477="MARCSON",PR!$AJ475,IF(H477="M&amp;B",PR!$AK475,IF(H477="MTRUST",PR!$AL475,IF(H477="MWORLD",PR!$AM475,IF(H477="MEGA",PR!$AN475,IF(H477="MICRONOVA",PR!$AO475,IF(H477="MFLASH",PR!$AP475,IF(H477="MORISON",PR!$AQ475,IF(H477="NEMEL",PR!$AR475,IF(H477="NHP",PR!$AS475,IF(H477="NHC",PR!$AT475,IF(H477="OLEAF",PR!$AU475,IF(H477="OCULUS",PR!$AV475,IF(H477="PACIFIC",PR!$AW475,IF(H477="PHAMATEX",PR!$AX475,IF(H477="PETHICS",PR!$AY475,IF(H477="PHILIPS",PR!$AZ475,IF(H477="RANBAXY",PR!$BA475,IF(H477="REALS",PR!$BB475,IF(H477="ROYAL",PR!$BC475,IF(H477="SAM",PR!$BD475,IF(H477="SEAGREEN",PR!$BE475,IF(H477="SKG",PR!$BF475,IF(H477="TAH",PR!$BG475,IF(H477="TAYLEK",PR!$BH475,IF(H477="TEMITA",PR!$BI475,IF(H477="THL",PR!$BJ475,IF(H477="UBASTIC",PR!$BK475,IF(H477="UNION",PR!$BL475,IF(H477="UNIQUE",PR!$BM475,IF(H477="VIXA",PR!$BN475,IF(H477="WWCV",PR!$BO475,IF(H477="ZOLON",PR!$BP475,"-"))))))))))))))))))))))))))))))))))))))))))))))))))))))))))))))))</f>
        <v>495</v>
      </c>
      <c r="H477" s="102" t="str">
        <f>EV!M613</f>
        <v>NEMEL</v>
      </c>
      <c r="I477" s="108">
        <f>IF(J477="ALPHA",PR!$E475,IF(J477="ASSENE",PR!$F475,IF(J477="BIOFEM",PR!$G475,IF(J477="BIOMED",PR!$H475,IF(J477="CHI",PR!$I475,IF(J477="CLARION",PR!$J475,IF(J477="CODIX",PR!$K475,IF(J477="COSMADE",PR!$L475,IF(J477="SANCON",PR!$M475,IF(J477="DEVON",PR!$N475,IF(J477="DORTEMAG",PR!$O475,IF(J477="DGF",PR!$P475,IF(J477="DYNAMIC",PR!$Q475,IF(J477="EMZOR",PR!$R475,IF(J477="EUMATT",PR!$S475,IF(J477="FIDSON",PR!$T475,IF(J477="FCGLOBAL",PR!$U475,IF(J477="GENEITH",PR!$V475,IF(J477="GINOS",PR!$W475,IF(J477="GSK",PR!$X475,IF(J477="GLOBORG",PR!$Y475,IF(J477="GOODNEWS",PR!$Z475,IF(J477="GREENLIFE",PR!$AA475,IF(J477="HLINE",PR!$AB475,IF(J477="ROTECH",PR!$AC475,IF(J477="ISN",PR!$AD475,IF(J477="JAWA",PR!$AE475,IF(J477="LAYO",PR!$AF475,IF(J477="LEADWAY",PR!$AG475,IF(J477="LHV",PR!$AH475,IF(J477="MANOLA",PR!$AI475,IF(J477="MARCSON",PR!$AJ475,IF(J477="M&amp;B",PR!$AK475,IF(J477="MTRUST",PR!$AL475,IF(J477="MWORLD",PR!$AM475,IF(J477="MEGA",PR!$AN475,IF(J477="MICRONOVA",PR!$AO475,IF(J477="MFLASH",PR!$AP475,IF(J477="MORISON",PR!$AQ475,IF(J477="NEMEL",PR!$AR475,IF(J477="NHP",PR!$AS475,IF(J477="NHC",PR!$AT475,IF(J477="OLEAF",PR!$AU475,IF(J477="OCULUS",PR!$AV475,IF(J477="PACIFIC",PR!$AW475,IF(J477="PHAMATEX",PR!$AX475,IF(J477="PETHICS",PR!$AY475,IF(J477="PHILIPS",PR!$AZ475,IF(J477="RANBAXY",PR!$BA475,IF(J477="REALS",PR!$BB475,IF(J477="ROYAL",PR!$BC475,IF(J477="SAM",PR!$BD475,IF(J477="SEAGREEN",PR!$BE475,IF(J477="SKG",PR!$BF475,IF(J477="TAH",PR!$BG475,IF(J477="TAYLEK",PR!$BH475,IF(J477="TEMITA",PR!$BI475,IF(J477="THL",PR!$BJ475,IF(J477="UBASTIC",PR!$BK475,IF(J477="UNION",PR!$BL475,IF(J477="UNIQUE",PR!$BM475,IF(J477="VIXA",PR!$BN475,IF(J477="WWCV",PR!$BO475,IF(J477="ZOLON",PR!$BP475,"-"))))))))))))))))))))))))))))))))))))))))))))))))))))))))))))))))</f>
        <v>580</v>
      </c>
      <c r="J477" s="102" t="str">
        <f>EV!N613</f>
        <v>EUMATT</v>
      </c>
      <c r="K477" s="433" t="s">
        <v>621</v>
      </c>
      <c r="L477" s="183">
        <f>IF(K477&gt;0,IF(K477="ALPHA",PR!$E475,IF(K477="ASSENE",PR!$F475,IF(K477="BIOFEM",PR!$G475,IF(K477="BIOMED",PR!$H475,IF(K477="CHI",PR!$I475,IF(K477="CLARION",PR!$J475,IF(K477="CODIX",PR!$K475,IF(K477="COSMADE",PR!$L475,IF(K477="SANCON",PR!$M475,IF(K477="DEVON",PR!$N475,IF(K477="DORTEMAG",PR!$O475,IF(K477="DGF",PR!$P475,IF(K477="DYNAMIC",PR!$Q475,IF(K477="EMZOR",PR!$R475,IF(K477="EUMATT",PR!$S475,IF(K477="FIDSON",PR!$T475,IF(K477="FCGLOBAL",PR!$U475,IF(K477="GENEITH",PR!$V475,IF(K477="GINOS",PR!$W475,IF(K477="GSK",PR!$X475,IF(K477="GLOBORG",PR!$Y475,IF(K477="GOODNEWS",PR!$Z475,IF(K477="GREENLIFE",PR!$AA475,IF(K477="HLINE",PR!$AB475,IF(K477="ROTECH",PR!$AC475,IF(K477="ISN",PR!$AD475,IF(K477="JAWA",PR!$AE475,IF(K477="LAYO",PR!$AF475,IF(K477="LEADWAY",PR!$AG475,IF(K477="LHV",PR!$AH475,IF(K477="MANOLA",PR!$AI475,IF(K477="MARCSON",PR!$AJ475,IF(K477="M&amp;B",PR!$AK475,IF(K477="MTRUST",PR!$AL475,IF(K477="MWORLD",PR!$AM475,IF(K477="MEGA",PR!$AN475,IF(K477="MICRONOVA",PR!$AO475,IF(K477="MFLASH",PR!$AP475,IF(K477="MORISON",PR!$AQ475,IF(K477="NEMEL",PR!$AR475,IF(K477="NHP",PR!$AS475,IF(K477="NHC",PR!$AT475,IF(K477="OLEAF",PR!$AU475,IF(K477="OCULUS",PR!$AV475,IF(K477="PACIFIC",PR!$AW475,IF(K477="PHAMATEX",PR!$AX475,IF(K477="PETHICS",PR!$AY475,IF(K477="PHILIPS",PR!$AZ475,IF(K477="RANBAXY",PR!$BA475,IF(K477="REALS",PR!$BB475,IF(K477="ROYAL",PR!$BC475,IF(K477="SAM",PR!$BD475,IF(K477="SEAGREEN",PR!$BE475,IF(K477="SKG",PR!$BF475,IF(K477="TAH",PR!$BG475,IF(K477="TAYLEK",PR!$BH475,IF(K477="TEMITA",PR!$BI475,IF(K477="THL",PR!$BJ475,IF(K477="UBASTIC",PR!$BK475,IF(K477="UNION",PR!$BL475,IF(K477="UNIQUE",PR!$BM475,IF(K477="VIXA",PR!$BN475,IF(K477="WWCV",PR!$BO475,IF(K477="ZOLON",PR!$BP475,"-")))))))))))))))))))))))))))))))))))))))))))))))))))))))))))))))))</f>
        <v>336</v>
      </c>
    </row>
    <row r="478" spans="1:12" ht="18.75" x14ac:dyDescent="0.3">
      <c r="A478" s="430">
        <f>PR!A476</f>
        <v>430</v>
      </c>
      <c r="B478" s="15" t="str">
        <f>PR!B476</f>
        <v>ESOMEPRAZOLE 40MG CAP</v>
      </c>
      <c r="C478" s="113">
        <f>PR!D476</f>
        <v>14</v>
      </c>
      <c r="D478" s="113">
        <f>PR!C476</f>
        <v>20</v>
      </c>
      <c r="E478" s="108">
        <f>IF(F478="ALPHA",PR!$E476,IF(F478="ASSENE",PR!$F476,IF(F478="BIOFEM",PR!$G476,IF(F478="BIOMED",PR!$H476,IF(F478="CHI",PR!$I476,IF(F478="CLARION",PR!$J476,IF(F478="CODIX",PR!$K476,IF(F478="COSMADE",PR!$L476,IF(F478="SANCON",PR!$M476,IF(F478="DEVON",PR!$N476,IF(F478="DORTEMAG",PR!$O476,IF(F478="DGF",PR!$P476,IF(F478="DYNAMIC",PR!$Q476,IF(F478="EMZOR",PR!$R476,IF(F478="EUMATT",PR!$S476,IF(F478="FIDSON",PR!$T476,IF(F478="FCGLOBAL",PR!$U476,IF(F478="GENEITH",PR!$V476,IF(F478="GINOS",PR!$W476,IF(F478="GSK",PR!$X476,IF(F478="GLOBORG",PR!$Y476,IF(F478="GOODNEWS",PR!$Z476,IF(F478="GREENLIFE",PR!$AA476,IF(F478="HLINE",PR!$AB476,IF(F478="ROTECH",PR!$AC476,IF(F478="ISN",PR!$AD476,IF(F478="JAWA",PR!$AE476,IF(F478="LAYO",PR!$AF476,IF(F478="LEADWAY",PR!$AG476,IF(F478="LHV",PR!$AH476,IF(F478="MANOLA",PR!$AI476,IF(F478="MARCSON",PR!$AJ476,IF(F478="M&amp;B",PR!$AK476,IF(F478="MTRUST",PR!$AL476,IF(F478="MWORLD",PR!$AM476,IF(F478="MEGA",PR!$AN476,IF(F478="MICRONOVA",PR!$AO476,IF(F478="MFLASH",PR!$AP476,IF(F478="MORISON",PR!$AQ476,IF(F478="NEMEL",PR!$AR476,IF(F478="NHP",PR!$AS476,IF(F478="NHC",PR!$AT476,IF(F478="OLEAF",PR!$AU476,IF(F478="OCULUS",PR!$AV476,IF(F478="PACIFIC",PR!$AW476,IF(F478="PHAMATEX",PR!$AX476,IF(F478="PETHICS",PR!$AY476,IF(F478="PHILIPS",PR!$AZ476,IF(F478="RANBAXY",PR!$BA476,IF(F478="REALS",PR!$BB476,IF(F478="ROYAL",PR!$BC476,IF(F478="SAM",PR!$BD476,IF(F478="SEAGREEN",PR!$BE476,IF(F478="SKG",PR!$BF476,IF(F478="TAH",PR!$BG476,IF(F478="TAYLEK",PR!$BH476,IF(F478="TEMITA",PR!$BI476,IF(F478="THL",PR!$BJ476,IF(F478="UBASTIC",PR!$BK476,IF(F478="UNION",PR!$BL476,IF(F478="UNIQUE",PR!$BM476,IF(F478="VIXA",PR!$BN476,IF(F478="WWCV",PR!$BO476,IF(F478="ZOLON",PR!$BP476,"-"))))))))))))))))))))))))))))))))))))))))))))))))))))))))))))))))</f>
        <v>336</v>
      </c>
      <c r="F478" s="102" t="str">
        <f>EV!L614</f>
        <v>TAH</v>
      </c>
      <c r="G478" s="108">
        <f>IF(H478="ALPHA",PR!$E476,IF(H478="ASSENE",PR!$F476,IF(H478="BIOFEM",PR!$G476,IF(H478="BIOMED",PR!$H476,IF(H478="CHI",PR!$I476,IF(H478="CLARION",PR!$J476,IF(H478="CODIX",PR!$K476,IF(H478="COSMADE",PR!$L476,IF(H478="SANCON",PR!$M476,IF(H478="DEVON",PR!$N476,IF(H478="DORTEMAG",PR!$O476,IF(H478="DGF",PR!$P476,IF(H478="DYNAMIC",PR!$Q476,IF(H478="EMZOR",PR!$R476,IF(H478="EUMATT",PR!$S476,IF(H478="FIDSON",PR!$T476,IF(H478="FCGLOBAL",PR!$U476,IF(H478="GENEITH",PR!$V476,IF(H478="GINOS",PR!$W476,IF(H478="GSK",PR!$X476,IF(H478="GLOBORG",PR!$Y476,IF(H478="GOODNEWS",PR!$Z476,IF(H478="GREENLIFE",PR!$AA476,IF(H478="HLINE",PR!$AB476,IF(H478="ROTECH",PR!$AC476,IF(H478="ISN",PR!$AD476,IF(H478="JAWA",PR!$AE476,IF(H478="LAYO",PR!$AF476,IF(H478="LEADWAY",PR!$AG476,IF(H478="LHV",PR!$AH476,IF(H478="MANOLA",PR!$AI476,IF(H478="MARCSON",PR!$AJ476,IF(H478="M&amp;B",PR!$AK476,IF(H478="MTRUST",PR!$AL476,IF(H478="MWORLD",PR!$AM476,IF(H478="MEGA",PR!$AN476,IF(H478="MICRONOVA",PR!$AO476,IF(H478="MFLASH",PR!$AP476,IF(H478="MORISON",PR!$AQ476,IF(H478="NEMEL",PR!$AR476,IF(H478="NHP",PR!$AS476,IF(H478="NHC",PR!$AT476,IF(H478="OLEAF",PR!$AU476,IF(H478="OCULUS",PR!$AV476,IF(H478="PACIFIC",PR!$AW476,IF(H478="PHAMATEX",PR!$AX476,IF(H478="PETHICS",PR!$AY476,IF(H478="PHILIPS",PR!$AZ476,IF(H478="RANBAXY",PR!$BA476,IF(H478="REALS",PR!$BB476,IF(H478="ROYAL",PR!$BC476,IF(H478="SAM",PR!$BD476,IF(H478="SEAGREEN",PR!$BE476,IF(H478="SKG",PR!$BF476,IF(H478="TAH",PR!$BG476,IF(H478="TAYLEK",PR!$BH476,IF(H478="TEMITA",PR!$BI476,IF(H478="THL",PR!$BJ476,IF(H478="UBASTIC",PR!$BK476,IF(H478="UNION",PR!$BL476,IF(H478="UNIQUE",PR!$BM476,IF(H478="VIXA",PR!$BN476,IF(H478="WWCV",PR!$BO476,IF(H478="ZOLON",PR!$BP476,"-"))))))))))))))))))))))))))))))))))))))))))))))))))))))))))))))))</f>
        <v>1050</v>
      </c>
      <c r="H478" s="102" t="str">
        <f>EV!M614</f>
        <v>HLINE</v>
      </c>
      <c r="I478" s="108">
        <f>IF(J478="ALPHA",PR!$E476,IF(J478="ASSENE",PR!$F476,IF(J478="BIOFEM",PR!$G476,IF(J478="BIOMED",PR!$H476,IF(J478="CHI",PR!$I476,IF(J478="CLARION",PR!$J476,IF(J478="CODIX",PR!$K476,IF(J478="COSMADE",PR!$L476,IF(J478="SANCON",PR!$M476,IF(J478="DEVON",PR!$N476,IF(J478="DORTEMAG",PR!$O476,IF(J478="DGF",PR!$P476,IF(J478="DYNAMIC",PR!$Q476,IF(J478="EMZOR",PR!$R476,IF(J478="EUMATT",PR!$S476,IF(J478="FIDSON",PR!$T476,IF(J478="FCGLOBAL",PR!$U476,IF(J478="GENEITH",PR!$V476,IF(J478="GINOS",PR!$W476,IF(J478="GSK",PR!$X476,IF(J478="GLOBORG",PR!$Y476,IF(J478="GOODNEWS",PR!$Z476,IF(J478="GREENLIFE",PR!$AA476,IF(J478="HLINE",PR!$AB476,IF(J478="ROTECH",PR!$AC476,IF(J478="ISN",PR!$AD476,IF(J478="JAWA",PR!$AE476,IF(J478="LAYO",PR!$AF476,IF(J478="LEADWAY",PR!$AG476,IF(J478="LHV",PR!$AH476,IF(J478="MANOLA",PR!$AI476,IF(J478="MARCSON",PR!$AJ476,IF(J478="M&amp;B",PR!$AK476,IF(J478="MTRUST",PR!$AL476,IF(J478="MWORLD",PR!$AM476,IF(J478="MEGA",PR!$AN476,IF(J478="MICRONOVA",PR!$AO476,IF(J478="MFLASH",PR!$AP476,IF(J478="MORISON",PR!$AQ476,IF(J478="NEMEL",PR!$AR476,IF(J478="NHP",PR!$AS476,IF(J478="NHC",PR!$AT476,IF(J478="OLEAF",PR!$AU476,IF(J478="OCULUS",PR!$AV476,IF(J478="PACIFIC",PR!$AW476,IF(J478="PHAMATEX",PR!$AX476,IF(J478="PETHICS",PR!$AY476,IF(J478="PHILIPS",PR!$AZ476,IF(J478="RANBAXY",PR!$BA476,IF(J478="REALS",PR!$BB476,IF(J478="ROYAL",PR!$BC476,IF(J478="SAM",PR!$BD476,IF(J478="SEAGREEN",PR!$BE476,IF(J478="SKG",PR!$BF476,IF(J478="TAH",PR!$BG476,IF(J478="TAYLEK",PR!$BH476,IF(J478="TEMITA",PR!$BI476,IF(J478="THL",PR!$BJ476,IF(J478="UBASTIC",PR!$BK476,IF(J478="UNION",PR!$BL476,IF(J478="UNIQUE",PR!$BM476,IF(J478="VIXA",PR!$BN476,IF(J478="WWCV",PR!$BO476,IF(J478="ZOLON",PR!$BP476,"-"))))))))))))))))))))))))))))))))))))))))))))))))))))))))))))))))</f>
        <v>2274</v>
      </c>
      <c r="J478" s="102" t="str">
        <f>EV!N614</f>
        <v>MICRONOVA</v>
      </c>
      <c r="K478" s="433" t="s">
        <v>621</v>
      </c>
      <c r="L478" s="183">
        <f>IF(K478&gt;0,IF(K478="ALPHA",PR!$E476,IF(K478="ASSENE",PR!$F476,IF(K478="BIOFEM",PR!$G476,IF(K478="BIOMED",PR!$H476,IF(K478="CHI",PR!$I476,IF(K478="CLARION",PR!$J476,IF(K478="CODIX",PR!$K476,IF(K478="COSMADE",PR!$L476,IF(K478="SANCON",PR!$M476,IF(K478="DEVON",PR!$N476,IF(K478="DORTEMAG",PR!$O476,IF(K478="DGF",PR!$P476,IF(K478="DYNAMIC",PR!$Q476,IF(K478="EMZOR",PR!$R476,IF(K478="EUMATT",PR!$S476,IF(K478="FIDSON",PR!$T476,IF(K478="FCGLOBAL",PR!$U476,IF(K478="GENEITH",PR!$V476,IF(K478="GINOS",PR!$W476,IF(K478="GSK",PR!$X476,IF(K478="GLOBORG",PR!$Y476,IF(K478="GOODNEWS",PR!$Z476,IF(K478="GREENLIFE",PR!$AA476,IF(K478="HLINE",PR!$AB476,IF(K478="ROTECH",PR!$AC476,IF(K478="ISN",PR!$AD476,IF(K478="JAWA",PR!$AE476,IF(K478="LAYO",PR!$AF476,IF(K478="LEADWAY",PR!$AG476,IF(K478="LHV",PR!$AH476,IF(K478="MANOLA",PR!$AI476,IF(K478="MARCSON",PR!$AJ476,IF(K478="M&amp;B",PR!$AK476,IF(K478="MTRUST",PR!$AL476,IF(K478="MWORLD",PR!$AM476,IF(K478="MEGA",PR!$AN476,IF(K478="MICRONOVA",PR!$AO476,IF(K478="MFLASH",PR!$AP476,IF(K478="MORISON",PR!$AQ476,IF(K478="NEMEL",PR!$AR476,IF(K478="NHP",PR!$AS476,IF(K478="NHC",PR!$AT476,IF(K478="OLEAF",PR!$AU476,IF(K478="OCULUS",PR!$AV476,IF(K478="PACIFIC",PR!$AW476,IF(K478="PHAMATEX",PR!$AX476,IF(K478="PETHICS",PR!$AY476,IF(K478="PHILIPS",PR!$AZ476,IF(K478="RANBAXY",PR!$BA476,IF(K478="REALS",PR!$BB476,IF(K478="ROYAL",PR!$BC476,IF(K478="SAM",PR!$BD476,IF(K478="SEAGREEN",PR!$BE476,IF(K478="SKG",PR!$BF476,IF(K478="TAH",PR!$BG476,IF(K478="TAYLEK",PR!$BH476,IF(K478="TEMITA",PR!$BI476,IF(K478="THL",PR!$BJ476,IF(K478="UBASTIC",PR!$BK476,IF(K478="UNION",PR!$BL476,IF(K478="UNIQUE",PR!$BM476,IF(K478="VIXA",PR!$BN476,IF(K478="WWCV",PR!$BO476,IF(K478="ZOLON",PR!$BP476,"-")))))))))))))))))))))))))))))))))))))))))))))))))))))))))))))))))</f>
        <v>336</v>
      </c>
    </row>
    <row r="479" spans="1:12" ht="18.75" x14ac:dyDescent="0.3">
      <c r="A479" s="430">
        <f>PR!A477</f>
        <v>431</v>
      </c>
      <c r="B479" s="15" t="str">
        <f>PR!B477</f>
        <v>ESOMEPRAZOLE 40MG/CLARITHROMYCIN 500MG/AMOXICILLIN 1GM</v>
      </c>
      <c r="C479" s="113">
        <f>PR!D477</f>
        <v>42</v>
      </c>
      <c r="D479" s="113">
        <f>PR!C477</f>
        <v>20</v>
      </c>
      <c r="E479" s="108">
        <f>IF(F479="ALPHA",PR!$E477,IF(F479="ASSENE",PR!$F477,IF(F479="BIOFEM",PR!$G477,IF(F479="BIOMED",PR!$H477,IF(F479="CHI",PR!$I477,IF(F479="CLARION",PR!$J477,IF(F479="CODIX",PR!$K477,IF(F479="COSMADE",PR!$L477,IF(F479="SANCON",PR!$M477,IF(F479="DEVON",PR!$N477,IF(F479="DORTEMAG",PR!$O477,IF(F479="DGF",PR!$P477,IF(F479="DYNAMIC",PR!$Q477,IF(F479="EMZOR",PR!$R477,IF(F479="EUMATT",PR!$S477,IF(F479="FIDSON",PR!$T477,IF(F479="FCGLOBAL",PR!$U477,IF(F479="GENEITH",PR!$V477,IF(F479="GINOS",PR!$W477,IF(F479="GSK",PR!$X477,IF(F479="GLOBORG",PR!$Y477,IF(F479="GOODNEWS",PR!$Z477,IF(F479="GREENLIFE",PR!$AA477,IF(F479="HLINE",PR!$AB477,IF(F479="ROTECH",PR!$AC477,IF(F479="ISN",PR!$AD477,IF(F479="JAWA",PR!$AE477,IF(F479="LAYO",PR!$AF477,IF(F479="LEADWAY",PR!$AG477,IF(F479="LHV",PR!$AH477,IF(F479="MANOLA",PR!$AI477,IF(F479="MARCSON",PR!$AJ477,IF(F479="M&amp;B",PR!$AK477,IF(F479="MTRUST",PR!$AL477,IF(F479="MWORLD",PR!$AM477,IF(F479="MEGA",PR!$AN477,IF(F479="MICRONOVA",PR!$AO477,IF(F479="MFLASH",PR!$AP477,IF(F479="MORISON",PR!$AQ477,IF(F479="NEMEL",PR!$AR477,IF(F479="NHP",PR!$AS477,IF(F479="NHC",PR!$AT477,IF(F479="OLEAF",PR!$AU477,IF(F479="OCULUS",PR!$AV477,IF(F479="PACIFIC",PR!$AW477,IF(F479="PHAMATEX",PR!$AX477,IF(F479="PETHICS",PR!$AY477,IF(F479="PHILIPS",PR!$AZ477,IF(F479="RANBAXY",PR!$BA477,IF(F479="REALS",PR!$BB477,IF(F479="ROYAL",PR!$BC477,IF(F479="SAM",PR!$BD477,IF(F479="SEAGREEN",PR!$BE477,IF(F479="SKG",PR!$BF477,IF(F479="TAH",PR!$BG477,IF(F479="TAYLEK",PR!$BH477,IF(F479="TEMITA",PR!$BI477,IF(F479="THL",PR!$BJ477,IF(F479="UBASTIC",PR!$BK477,IF(F479="UNION",PR!$BL477,IF(F479="UNIQUE",PR!$BM477,IF(F479="VIXA",PR!$BN477,IF(F479="WWCV",PR!$BO477,IF(F479="ZOLON",PR!$BP477,"-"))))))))))))))))))))))))))))))))))))))))))))))))))))))))))))))))</f>
        <v>2400</v>
      </c>
      <c r="F479" s="102" t="str">
        <f>EV!L615</f>
        <v>MICRONOVA</v>
      </c>
      <c r="G479" s="108" t="str">
        <f>IF(H479="ALPHA",PR!$E477,IF(H479="ASSENE",PR!$F477,IF(H479="BIOFEM",PR!$G477,IF(H479="BIOMED",PR!$H477,IF(H479="CHI",PR!$I477,IF(H479="CLARION",PR!$J477,IF(H479="CODIX",PR!$K477,IF(H479="COSMADE",PR!$L477,IF(H479="SANCON",PR!$M477,IF(H479="DEVON",PR!$N477,IF(H479="DORTEMAG",PR!$O477,IF(H479="DGF",PR!$P477,IF(H479="DYNAMIC",PR!$Q477,IF(H479="EMZOR",PR!$R477,IF(H479="EUMATT",PR!$S477,IF(H479="FIDSON",PR!$T477,IF(H479="FCGLOBAL",PR!$U477,IF(H479="GENEITH",PR!$V477,IF(H479="GINOS",PR!$W477,IF(H479="GSK",PR!$X477,IF(H479="GLOBORG",PR!$Y477,IF(H479="GOODNEWS",PR!$Z477,IF(H479="GREENLIFE",PR!$AA477,IF(H479="HLINE",PR!$AB477,IF(H479="ROTECH",PR!$AC477,IF(H479="ISN",PR!$AD477,IF(H479="JAWA",PR!$AE477,IF(H479="LAYO",PR!$AF477,IF(H479="LEADWAY",PR!$AG477,IF(H479="LHV",PR!$AH477,IF(H479="MANOLA",PR!$AI477,IF(H479="MARCSON",PR!$AJ477,IF(H479="M&amp;B",PR!$AK477,IF(H479="MTRUST",PR!$AL477,IF(H479="MWORLD",PR!$AM477,IF(H479="MEGA",PR!$AN477,IF(H479="MICRONOVA",PR!$AO477,IF(H479="MFLASH",PR!$AP477,IF(H479="MORISON",PR!$AQ477,IF(H479="NEMEL",PR!$AR477,IF(H479="NHP",PR!$AS477,IF(H479="NHC",PR!$AT477,IF(H479="OLEAF",PR!$AU477,IF(H479="OCULUS",PR!$AV477,IF(H479="PACIFIC",PR!$AW477,IF(H479="PHAMATEX",PR!$AX477,IF(H479="PETHICS",PR!$AY477,IF(H479="PHILIPS",PR!$AZ477,IF(H479="RANBAXY",PR!$BA477,IF(H479="REALS",PR!$BB477,IF(H479="ROYAL",PR!$BC477,IF(H479="SAM",PR!$BD477,IF(H479="SEAGREEN",PR!$BE477,IF(H479="SKG",PR!$BF477,IF(H479="TAH",PR!$BG477,IF(H479="TAYLEK",PR!$BH477,IF(H479="TEMITA",PR!$BI477,IF(H479="THL",PR!$BJ477,IF(H479="UBASTIC",PR!$BK477,IF(H479="UNION",PR!$BL477,IF(H479="UNIQUE",PR!$BM477,IF(H479="VIXA",PR!$BN477,IF(H479="WWCV",PR!$BO477,IF(H479="ZOLON",PR!$BP477,"-"))))))))))))))))))))))))))))))))))))))))))))))))))))))))))))))))</f>
        <v>-</v>
      </c>
      <c r="H479" s="102">
        <f>EV!M615</f>
        <v>0</v>
      </c>
      <c r="I479" s="108" t="str">
        <f>IF(J479="ALPHA",PR!$E477,IF(J479="ASSENE",PR!$F477,IF(J479="BIOFEM",PR!$G477,IF(J479="BIOMED",PR!$H477,IF(J479="CHI",PR!$I477,IF(J479="CLARION",PR!$J477,IF(J479="CODIX",PR!$K477,IF(J479="COSMADE",PR!$L477,IF(J479="SANCON",PR!$M477,IF(J479="DEVON",PR!$N477,IF(J479="DORTEMAG",PR!$O477,IF(J479="DGF",PR!$P477,IF(J479="DYNAMIC",PR!$Q477,IF(J479="EMZOR",PR!$R477,IF(J479="EUMATT",PR!$S477,IF(J479="FIDSON",PR!$T477,IF(J479="FCGLOBAL",PR!$U477,IF(J479="GENEITH",PR!$V477,IF(J479="GINOS",PR!$W477,IF(J479="GSK",PR!$X477,IF(J479="GLOBORG",PR!$Y477,IF(J479="GOODNEWS",PR!$Z477,IF(J479="GREENLIFE",PR!$AA477,IF(J479="HLINE",PR!$AB477,IF(J479="ROTECH",PR!$AC477,IF(J479="ISN",PR!$AD477,IF(J479="JAWA",PR!$AE477,IF(J479="LAYO",PR!$AF477,IF(J479="LEADWAY",PR!$AG477,IF(J479="LHV",PR!$AH477,IF(J479="MANOLA",PR!$AI477,IF(J479="MARCSON",PR!$AJ477,IF(J479="M&amp;B",PR!$AK477,IF(J479="MTRUST",PR!$AL477,IF(J479="MWORLD",PR!$AM477,IF(J479="MEGA",PR!$AN477,IF(J479="MICRONOVA",PR!$AO477,IF(J479="MFLASH",PR!$AP477,IF(J479="MORISON",PR!$AQ477,IF(J479="NEMEL",PR!$AR477,IF(J479="NHP",PR!$AS477,IF(J479="NHC",PR!$AT477,IF(J479="OLEAF",PR!$AU477,IF(J479="OCULUS",PR!$AV477,IF(J479="PACIFIC",PR!$AW477,IF(J479="PHAMATEX",PR!$AX477,IF(J479="PETHICS",PR!$AY477,IF(J479="PHILIPS",PR!$AZ477,IF(J479="RANBAXY",PR!$BA477,IF(J479="REALS",PR!$BB477,IF(J479="ROYAL",PR!$BC477,IF(J479="SAM",PR!$BD477,IF(J479="SEAGREEN",PR!$BE477,IF(J479="SKG",PR!$BF477,IF(J479="TAH",PR!$BG477,IF(J479="TAYLEK",PR!$BH477,IF(J479="TEMITA",PR!$BI477,IF(J479="THL",PR!$BJ477,IF(J479="UBASTIC",PR!$BK477,IF(J479="UNION",PR!$BL477,IF(J479="UNIQUE",PR!$BM477,IF(J479="VIXA",PR!$BN477,IF(J479="WWCV",PR!$BO477,IF(J479="ZOLON",PR!$BP477,"-"))))))))))))))))))))))))))))))))))))))))))))))))))))))))))))))))</f>
        <v>-</v>
      </c>
      <c r="J479" s="102">
        <f>EV!N615</f>
        <v>0</v>
      </c>
      <c r="K479" s="433"/>
      <c r="L479" s="183" t="b">
        <f>IF(K479&gt;0,IF(K479="ALPHA",PR!$E477,IF(K479="ASSENE",PR!$F477,IF(K479="BIOFEM",PR!$G477,IF(K479="BIOMED",PR!$H477,IF(K479="CHI",PR!$I477,IF(K479="CLARION",PR!$J477,IF(K479="CODIX",PR!$K477,IF(K479="COSMADE",PR!$L477,IF(K479="SANCON",PR!$M477,IF(K479="DEVON",PR!$N477,IF(K479="DORTEMAG",PR!$O477,IF(K479="DGF",PR!$P477,IF(K479="DYNAMIC",PR!$Q477,IF(K479="EMZOR",PR!$R477,IF(K479="EUMATT",PR!$S477,IF(K479="FIDSON",PR!$T477,IF(K479="FCGLOBAL",PR!$U477,IF(K479="GENEITH",PR!$V477,IF(K479="GINOS",PR!$W477,IF(K479="GSK",PR!$X477,IF(K479="GLOBORG",PR!$Y477,IF(K479="GOODNEWS",PR!$Z477,IF(K479="GREENLIFE",PR!$AA477,IF(K479="HLINE",PR!$AB477,IF(K479="ROTECH",PR!$AC477,IF(K479="ISN",PR!$AD477,IF(K479="JAWA",PR!$AE477,IF(K479="LAYO",PR!$AF477,IF(K479="LEADWAY",PR!$AG477,IF(K479="LHV",PR!$AH477,IF(K479="MANOLA",PR!$AI477,IF(K479="MARCSON",PR!$AJ477,IF(K479="M&amp;B",PR!$AK477,IF(K479="MTRUST",PR!$AL477,IF(K479="MWORLD",PR!$AM477,IF(K479="MEGA",PR!$AN477,IF(K479="MICRONOVA",PR!$AO477,IF(K479="MFLASH",PR!$AP477,IF(K479="MORISON",PR!$AQ477,IF(K479="NEMEL",PR!$AR477,IF(K479="NHP",PR!$AS477,IF(K479="NHC",PR!$AT477,IF(K479="OLEAF",PR!$AU477,IF(K479="OCULUS",PR!$AV477,IF(K479="PACIFIC",PR!$AW477,IF(K479="PHAMATEX",PR!$AX477,IF(K479="PETHICS",PR!$AY477,IF(K479="PHILIPS",PR!$AZ477,IF(K479="RANBAXY",PR!$BA477,IF(K479="REALS",PR!$BB477,IF(K479="ROYAL",PR!$BC477,IF(K479="SAM",PR!$BD477,IF(K479="SEAGREEN",PR!$BE477,IF(K479="SKG",PR!$BF477,IF(K479="TAH",PR!$BG477,IF(K479="TAYLEK",PR!$BH477,IF(K479="TEMITA",PR!$BI477,IF(K479="THL",PR!$BJ477,IF(K479="UBASTIC",PR!$BK477,IF(K479="UNION",PR!$BL477,IF(K479="UNIQUE",PR!$BM477,IF(K479="VIXA",PR!$BN477,IF(K479="WWCV",PR!$BO477,IF(K479="ZOLON",PR!$BP477,"-")))))))))))))))))))))))))))))))))))))))))))))))))))))))))))))))))</f>
        <v>0</v>
      </c>
    </row>
    <row r="480" spans="1:12" s="179" customFormat="1" ht="18.75" x14ac:dyDescent="0.3">
      <c r="A480" s="430">
        <f>PR!A478</f>
        <v>432</v>
      </c>
      <c r="B480" s="15" t="str">
        <f>PR!B478</f>
        <v>LACTULOSE 100mls</v>
      </c>
      <c r="C480" s="113" t="str">
        <f>PR!D478</f>
        <v>BOTT</v>
      </c>
      <c r="D480" s="113">
        <f>PR!C478</f>
        <v>400</v>
      </c>
      <c r="E480" s="108">
        <f>IF(F480="ALPHA",PR!$E478,IF(F480="ASSENE",PR!$F478,IF(F480="BIOFEM",PR!$G478,IF(F480="BIOMED",PR!$H478,IF(F480="CHI",PR!$I478,IF(F480="CLARION",PR!$J478,IF(F480="CODIX",PR!$K478,IF(F480="COSMADE",PR!$L478,IF(F480="SANCON",PR!$M478,IF(F480="DEVON",PR!$N478,IF(F480="DORTEMAG",PR!$O478,IF(F480="DGF",PR!$P478,IF(F480="DYNAMIC",PR!$Q478,IF(F480="EMZOR",PR!$R478,IF(F480="EUMATT",PR!$S478,IF(F480="FIDSON",PR!$T478,IF(F480="FCGLOBAL",PR!$U478,IF(F480="GENEITH",PR!$V478,IF(F480="GINOS",PR!$W478,IF(F480="GSK",PR!$X478,IF(F480="GLOBORG",PR!$Y478,IF(F480="GOODNEWS",PR!$Z478,IF(F480="GREENLIFE",PR!$AA478,IF(F480="HLINE",PR!$AB478,IF(F480="ROTECH",PR!$AC478,IF(F480="ISN",PR!$AD478,IF(F480="JAWA",PR!$AE478,IF(F480="LAYO",PR!$AF478,IF(F480="LEADWAY",PR!$AG478,IF(F480="LHV",PR!$AH478,IF(F480="MANOLA",PR!$AI478,IF(F480="MARCSON",PR!$AJ478,IF(F480="M&amp;B",PR!$AK478,IF(F480="MTRUST",PR!$AL478,IF(F480="MWORLD",PR!$AM478,IF(F480="MEGA",PR!$AN478,IF(F480="MICRONOVA",PR!$AO478,IF(F480="MFLASH",PR!$AP478,IF(F480="MORISON",PR!$AQ478,IF(F480="NEMEL",PR!$AR478,IF(F480="NHP",PR!$AS478,IF(F480="NHC",PR!$AT478,IF(F480="OLEAF",PR!$AU478,IF(F480="OCULUS",PR!$AV478,IF(F480="PACIFIC",PR!$AW478,IF(F480="PHAMATEX",PR!$AX478,IF(F480="PETHICS",PR!$AY478,IF(F480="PHILIPS",PR!$AZ478,IF(F480="RANBAXY",PR!$BA478,IF(F480="REALS",PR!$BB478,IF(F480="ROYAL",PR!$BC478,IF(F480="SAM",PR!$BD478,IF(F480="SEAGREEN",PR!$BE478,IF(F480="SKG",PR!$BF478,IF(F480="TAH",PR!$BG478,IF(F480="TAYLEK",PR!$BH478,IF(F480="TEMITA",PR!$BI478,IF(F480="THL",PR!$BJ478,IF(F480="UBASTIC",PR!$BK478,IF(F480="UNION",PR!$BL478,IF(F480="UNIQUE",PR!$BM478,IF(F480="VIXA",PR!$BN478,IF(F480="WWCV",PR!$BO478,IF(F480="ZOLON",PR!$BP478,"-"))))))))))))))))))))))))))))))))))))))))))))))))))))))))))))))))</f>
        <v>500</v>
      </c>
      <c r="F480" s="102" t="str">
        <f>EV!L616</f>
        <v>JAWA</v>
      </c>
      <c r="G480" s="108" t="str">
        <f>IF(H480="ALPHA",PR!$E478,IF(H480="ASSENE",PR!$F478,IF(H480="BIOFEM",PR!$G478,IF(H480="BIOMED",PR!$H478,IF(H480="CHI",PR!$I478,IF(H480="CLARION",PR!$J478,IF(H480="CODIX",PR!$K478,IF(H480="COSMADE",PR!$L478,IF(H480="SANCON",PR!$M478,IF(H480="DEVON",PR!$N478,IF(H480="DORTEMAG",PR!$O478,IF(H480="DGF",PR!$P478,IF(H480="DYNAMIC",PR!$Q478,IF(H480="EMZOR",PR!$R478,IF(H480="EUMATT",PR!$S478,IF(H480="FIDSON",PR!$T478,IF(H480="FCGLOBAL",PR!$U478,IF(H480="GENEITH",PR!$V478,IF(H480="GINOS",PR!$W478,IF(H480="GSK",PR!$X478,IF(H480="GLOBORG",PR!$Y478,IF(H480="GOODNEWS",PR!$Z478,IF(H480="GREENLIFE",PR!$AA478,IF(H480="HLINE",PR!$AB478,IF(H480="ROTECH",PR!$AC478,IF(H480="ISN",PR!$AD478,IF(H480="JAWA",PR!$AE478,IF(H480="LAYO",PR!$AF478,IF(H480="LEADWAY",PR!$AG478,IF(H480="LHV",PR!$AH478,IF(H480="MANOLA",PR!$AI478,IF(H480="MARCSON",PR!$AJ478,IF(H480="M&amp;B",PR!$AK478,IF(H480="MTRUST",PR!$AL478,IF(H480="MWORLD",PR!$AM478,IF(H480="MEGA",PR!$AN478,IF(H480="MICRONOVA",PR!$AO478,IF(H480="MFLASH",PR!$AP478,IF(H480="MORISON",PR!$AQ478,IF(H480="NEMEL",PR!$AR478,IF(H480="NHP",PR!$AS478,IF(H480="NHC",PR!$AT478,IF(H480="OLEAF",PR!$AU478,IF(H480="OCULUS",PR!$AV478,IF(H480="PACIFIC",PR!$AW478,IF(H480="PHAMATEX",PR!$AX478,IF(H480="PETHICS",PR!$AY478,IF(H480="PHILIPS",PR!$AZ478,IF(H480="RANBAXY",PR!$BA478,IF(H480="REALS",PR!$BB478,IF(H480="ROYAL",PR!$BC478,IF(H480="SAM",PR!$BD478,IF(H480="SEAGREEN",PR!$BE478,IF(H480="SKG",PR!$BF478,IF(H480="TAH",PR!$BG478,IF(H480="TAYLEK",PR!$BH478,IF(H480="TEMITA",PR!$BI478,IF(H480="THL",PR!$BJ478,IF(H480="UBASTIC",PR!$BK478,IF(H480="UNION",PR!$BL478,IF(H480="UNIQUE",PR!$BM478,IF(H480="VIXA",PR!$BN478,IF(H480="WWCV",PR!$BO478,IF(H480="ZOLON",PR!$BP478,"-"))))))))))))))))))))))))))))))))))))))))))))))))))))))))))))))))</f>
        <v>-</v>
      </c>
      <c r="H480" s="102" t="str">
        <f>EV!M616</f>
        <v>PHILLIPS</v>
      </c>
      <c r="I480" s="108">
        <f>IF(J480="ALPHA",PR!$E478,IF(J480="ASSENE",PR!$F478,IF(J480="BIOFEM",PR!$G478,IF(J480="BIOMED",PR!$H478,IF(J480="CHI",PR!$I478,IF(J480="CLARION",PR!$J478,IF(J480="CODIX",PR!$K478,IF(J480="COSMADE",PR!$L478,IF(J480="SANCON",PR!$M478,IF(J480="DEVON",PR!$N478,IF(J480="DORTEMAG",PR!$O478,IF(J480="DGF",PR!$P478,IF(J480="DYNAMIC",PR!$Q478,IF(J480="EMZOR",PR!$R478,IF(J480="EUMATT",PR!$S478,IF(J480="FIDSON",PR!$T478,IF(J480="FCGLOBAL",PR!$U478,IF(J480="GENEITH",PR!$V478,IF(J480="GINOS",PR!$W478,IF(J480="GSK",PR!$X478,IF(J480="GLOBORG",PR!$Y478,IF(J480="GOODNEWS",PR!$Z478,IF(J480="GREENLIFE",PR!$AA478,IF(J480="HLINE",PR!$AB478,IF(J480="ROTECH",PR!$AC478,IF(J480="ISN",PR!$AD478,IF(J480="JAWA",PR!$AE478,IF(J480="LAYO",PR!$AF478,IF(J480="LEADWAY",PR!$AG478,IF(J480="LHV",PR!$AH478,IF(J480="MANOLA",PR!$AI478,IF(J480="MARCSON",PR!$AJ478,IF(J480="M&amp;B",PR!$AK478,IF(J480="MTRUST",PR!$AL478,IF(J480="MWORLD",PR!$AM478,IF(J480="MEGA",PR!$AN478,IF(J480="MICRONOVA",PR!$AO478,IF(J480="MFLASH",PR!$AP478,IF(J480="MORISON",PR!$AQ478,IF(J480="NEMEL",PR!$AR478,IF(J480="NHP",PR!$AS478,IF(J480="NHC",PR!$AT478,IF(J480="OLEAF",PR!$AU478,IF(J480="OCULUS",PR!$AV478,IF(J480="PACIFIC",PR!$AW478,IF(J480="PHAMATEX",PR!$AX478,IF(J480="PETHICS",PR!$AY478,IF(J480="PHILIPS",PR!$AZ478,IF(J480="RANBAXY",PR!$BA478,IF(J480="REALS",PR!$BB478,IF(J480="ROYAL",PR!$BC478,IF(J480="SAM",PR!$BD478,IF(J480="SEAGREEN",PR!$BE478,IF(J480="SKG",PR!$BF478,IF(J480="TAH",PR!$BG478,IF(J480="TAYLEK",PR!$BH478,IF(J480="TEMITA",PR!$BI478,IF(J480="THL",PR!$BJ478,IF(J480="UBASTIC",PR!$BK478,IF(J480="UNION",PR!$BL478,IF(J480="UNIQUE",PR!$BM478,IF(J480="VIXA",PR!$BN478,IF(J480="WWCV",PR!$BO478,IF(J480="ZOLON",PR!$BP478,"-"))))))))))))))))))))))))))))))))))))))))))))))))))))))))))))))))</f>
        <v>1450</v>
      </c>
      <c r="J480" s="102" t="str">
        <f>EV!N616</f>
        <v>EUMATT</v>
      </c>
      <c r="K480" s="433" t="s">
        <v>630</v>
      </c>
      <c r="L480" s="183">
        <f>IF(K480&gt;0,IF(K480="ALPHA",PR!$E478,IF(K480="ASSENE",PR!$F478,IF(K480="BIOFEM",PR!$G478,IF(K480="BIOMED",PR!$H478,IF(K480="CHI",PR!$I478,IF(K480="CLARION",PR!$J478,IF(K480="CODIX",PR!$K478,IF(K480="COSMADE",PR!$L478,IF(K480="SANCON",PR!$M478,IF(K480="DEVON",PR!$N478,IF(K480="DORTEMAG",PR!$O478,IF(K480="DGF",PR!$P478,IF(K480="DYNAMIC",PR!$Q478,IF(K480="EMZOR",PR!$R478,IF(K480="EUMATT",PR!$S478,IF(K480="FIDSON",PR!$T478,IF(K480="FCGLOBAL",PR!$U478,IF(K480="GENEITH",PR!$V478,IF(K480="GINOS",PR!$W478,IF(K480="GSK",PR!$X478,IF(K480="GLOBORG",PR!$Y478,IF(K480="GOODNEWS",PR!$Z478,IF(K480="GREENLIFE",PR!$AA478,IF(K480="HLINE",PR!$AB478,IF(K480="ROTECH",PR!$AC478,IF(K480="ISN",PR!$AD478,IF(K480="JAWA",PR!$AE478,IF(K480="LAYO",PR!$AF478,IF(K480="LEADWAY",PR!$AG478,IF(K480="LHV",PR!$AH478,IF(K480="MANOLA",PR!$AI478,IF(K480="MARCSON",PR!$AJ478,IF(K480="M&amp;B",PR!$AK478,IF(K480="MTRUST",PR!$AL478,IF(K480="MWORLD",PR!$AM478,IF(K480="MEGA",PR!$AN478,IF(K480="MICRONOVA",PR!$AO478,IF(K480="MFLASH",PR!$AP478,IF(K480="MORISON",PR!$AQ478,IF(K480="NEMEL",PR!$AR478,IF(K480="NHP",PR!$AS478,IF(K480="NHC",PR!$AT478,IF(K480="OLEAF",PR!$AU478,IF(K480="OCULUS",PR!$AV478,IF(K480="PACIFIC",PR!$AW478,IF(K480="PHAMATEX",PR!$AX478,IF(K480="PETHICS",PR!$AY478,IF(K480="PHILIPS",PR!$AZ478,IF(K480="RANBAXY",PR!$BA478,IF(K480="REALS",PR!$BB478,IF(K480="ROYAL",PR!$BC478,IF(K480="SAM",PR!$BD478,IF(K480="SEAGREEN",PR!$BE478,IF(K480="SKG",PR!$BF478,IF(K480="TAH",PR!$BG478,IF(K480="TAYLEK",PR!$BH478,IF(K480="TEMITA",PR!$BI478,IF(K480="THL",PR!$BJ478,IF(K480="UBASTIC",PR!$BK478,IF(K480="UNION",PR!$BL478,IF(K480="UNIQUE",PR!$BM478,IF(K480="VIXA",PR!$BN478,IF(K480="WWCV",PR!$BO478,IF(K480="ZOLON",PR!$BP478,"-")))))))))))))))))))))))))))))))))))))))))))))))))))))))))))))))))</f>
        <v>500</v>
      </c>
    </row>
    <row r="481" spans="1:12" s="179" customFormat="1" ht="18.75" x14ac:dyDescent="0.3">
      <c r="A481" s="430">
        <f>PR!A479</f>
        <v>433</v>
      </c>
      <c r="B481" s="15" t="str">
        <f>PR!B479</f>
        <v>LIQUID PARAFFIN</v>
      </c>
      <c r="C481" s="113" t="str">
        <f>PR!D479</f>
        <v>BOTT</v>
      </c>
      <c r="D481" s="113">
        <f>PR!C479</f>
        <v>600</v>
      </c>
      <c r="E481" s="108">
        <f>IF(F481="ALPHA",PR!$E479,IF(F481="ASSENE",PR!$F479,IF(F481="BIOFEM",PR!$G479,IF(F481="BIOMED",PR!$H479,IF(F481="CHI",PR!$I479,IF(F481="CLARION",PR!$J479,IF(F481="CODIX",PR!$K479,IF(F481="COSMADE",PR!$L479,IF(F481="SANCON",PR!$M479,IF(F481="DEVON",PR!$N479,IF(F481="DORTEMAG",PR!$O479,IF(F481="DGF",PR!$P479,IF(F481="DYNAMIC",PR!$Q479,IF(F481="EMZOR",PR!$R479,IF(F481="EUMATT",PR!$S479,IF(F481="FIDSON",PR!$T479,IF(F481="FCGLOBAL",PR!$U479,IF(F481="GENEITH",PR!$V479,IF(F481="GINOS",PR!$W479,IF(F481="GSK",PR!$X479,IF(F481="GLOBORG",PR!$Y479,IF(F481="GOODNEWS",PR!$Z479,IF(F481="GREENLIFE",PR!$AA479,IF(F481="HLINE",PR!$AB479,IF(F481="ROTECH",PR!$AC479,IF(F481="ISN",PR!$AD479,IF(F481="JAWA",PR!$AE479,IF(F481="LAYO",PR!$AF479,IF(F481="LEADWAY",PR!$AG479,IF(F481="LHV",PR!$AH479,IF(F481="MANOLA",PR!$AI479,IF(F481="MARCSON",PR!$AJ479,IF(F481="M&amp;B",PR!$AK479,IF(F481="MTRUST",PR!$AL479,IF(F481="MWORLD",PR!$AM479,IF(F481="MEGA",PR!$AN479,IF(F481="MICRONOVA",PR!$AO479,IF(F481="MFLASH",PR!$AP479,IF(F481="MORISON",PR!$AQ479,IF(F481="NEMEL",PR!$AR479,IF(F481="NHP",PR!$AS479,IF(F481="NHC",PR!$AT479,IF(F481="OLEAF",PR!$AU479,IF(F481="OCULUS",PR!$AV479,IF(F481="PACIFIC",PR!$AW479,IF(F481="PHAMATEX",PR!$AX479,IF(F481="PETHICS",PR!$AY479,IF(F481="PHILIPS",PR!$AZ479,IF(F481="RANBAXY",PR!$BA479,IF(F481="REALS",PR!$BB479,IF(F481="ROYAL",PR!$BC479,IF(F481="SAM",PR!$BD479,IF(F481="SEAGREEN",PR!$BE479,IF(F481="SKG",PR!$BF479,IF(F481="TAH",PR!$BG479,IF(F481="TAYLEK",PR!$BH479,IF(F481="TEMITA",PR!$BI479,IF(F481="THL",PR!$BJ479,IF(F481="UBASTIC",PR!$BK479,IF(F481="UNION",PR!$BL479,IF(F481="UNIQUE",PR!$BM479,IF(F481="VIXA",PR!$BN479,IF(F481="WWCV",PR!$BO479,IF(F481="ZOLON",PR!$BP479,"-"))))))))))))))))))))))))))))))))))))))))))))))))))))))))))))))))</f>
        <v>350</v>
      </c>
      <c r="F481" s="102" t="str">
        <f>EV!L617</f>
        <v>EUMATT</v>
      </c>
      <c r="G481" s="108">
        <f>IF(H481="ALPHA",PR!$E479,IF(H481="ASSENE",PR!$F479,IF(H481="BIOFEM",PR!$G479,IF(H481="BIOMED",PR!$H479,IF(H481="CHI",PR!$I479,IF(H481="CLARION",PR!$J479,IF(H481="CODIX",PR!$K479,IF(H481="COSMADE",PR!$L479,IF(H481="SANCON",PR!$M479,IF(H481="DEVON",PR!$N479,IF(H481="DORTEMAG",PR!$O479,IF(H481="DGF",PR!$P479,IF(H481="DYNAMIC",PR!$Q479,IF(H481="EMZOR",PR!$R479,IF(H481="EUMATT",PR!$S479,IF(H481="FIDSON",PR!$T479,IF(H481="FCGLOBAL",PR!$U479,IF(H481="GENEITH",PR!$V479,IF(H481="GINOS",PR!$W479,IF(H481="GSK",PR!$X479,IF(H481="GLOBORG",PR!$Y479,IF(H481="GOODNEWS",PR!$Z479,IF(H481="GREENLIFE",PR!$AA479,IF(H481="HLINE",PR!$AB479,IF(H481="ROTECH",PR!$AC479,IF(H481="ISN",PR!$AD479,IF(H481="JAWA",PR!$AE479,IF(H481="LAYO",PR!$AF479,IF(H481="LEADWAY",PR!$AG479,IF(H481="LHV",PR!$AH479,IF(H481="MANOLA",PR!$AI479,IF(H481="MARCSON",PR!$AJ479,IF(H481="M&amp;B",PR!$AK479,IF(H481="MTRUST",PR!$AL479,IF(H481="MWORLD",PR!$AM479,IF(H481="MEGA",PR!$AN479,IF(H481="MICRONOVA",PR!$AO479,IF(H481="MFLASH",PR!$AP479,IF(H481="MORISON",PR!$AQ479,IF(H481="NEMEL",PR!$AR479,IF(H481="NHP",PR!$AS479,IF(H481="NHC",PR!$AT479,IF(H481="OLEAF",PR!$AU479,IF(H481="OCULUS",PR!$AV479,IF(H481="PACIFIC",PR!$AW479,IF(H481="PHAMATEX",PR!$AX479,IF(H481="PETHICS",PR!$AY479,IF(H481="PHILIPS",PR!$AZ479,IF(H481="RANBAXY",PR!$BA479,IF(H481="REALS",PR!$BB479,IF(H481="ROYAL",PR!$BC479,IF(H481="SAM",PR!$BD479,IF(H481="SEAGREEN",PR!$BE479,IF(H481="SKG",PR!$BF479,IF(H481="TAH",PR!$BG479,IF(H481="TAYLEK",PR!$BH479,IF(H481="TEMITA",PR!$BI479,IF(H481="THL",PR!$BJ479,IF(H481="UBASTIC",PR!$BK479,IF(H481="UNION",PR!$BL479,IF(H481="UNIQUE",PR!$BM479,IF(H481="VIXA",PR!$BN479,IF(H481="WWCV",PR!$BO479,IF(H481="ZOLON",PR!$BP479,"-"))))))))))))))))))))))))))))))))))))))))))))))))))))))))))))))))</f>
        <v>350.53</v>
      </c>
      <c r="H481" s="102" t="str">
        <f>EV!M617</f>
        <v>SKG</v>
      </c>
      <c r="I481" s="108" t="str">
        <f>IF(J481="ALPHA",PR!$E479,IF(J481="ASSENE",PR!$F479,IF(J481="BIOFEM",PR!$G479,IF(J481="BIOMED",PR!$H479,IF(J481="CHI",PR!$I479,IF(J481="CLARION",PR!$J479,IF(J481="CODIX",PR!$K479,IF(J481="COSMADE",PR!$L479,IF(J481="SANCON",PR!$M479,IF(J481="DEVON",PR!$N479,IF(J481="DORTEMAG",PR!$O479,IF(J481="DGF",PR!$P479,IF(J481="DYNAMIC",PR!$Q479,IF(J481="EMZOR",PR!$R479,IF(J481="EUMATT",PR!$S479,IF(J481="FIDSON",PR!$T479,IF(J481="FCGLOBAL",PR!$U479,IF(J481="GENEITH",PR!$V479,IF(J481="GINOS",PR!$W479,IF(J481="GSK",PR!$X479,IF(J481="GLOBORG",PR!$Y479,IF(J481="GOODNEWS",PR!$Z479,IF(J481="GREENLIFE",PR!$AA479,IF(J481="HLINE",PR!$AB479,IF(J481="ROTECH",PR!$AC479,IF(J481="ISN",PR!$AD479,IF(J481="JAWA",PR!$AE479,IF(J481="LAYO",PR!$AF479,IF(J481="LEADWAY",PR!$AG479,IF(J481="LHV",PR!$AH479,IF(J481="MANOLA",PR!$AI479,IF(J481="MARCSON",PR!$AJ479,IF(J481="M&amp;B",PR!$AK479,IF(J481="MTRUST",PR!$AL479,IF(J481="MWORLD",PR!$AM479,IF(J481="MEGA",PR!$AN479,IF(J481="MICRONOVA",PR!$AO479,IF(J481="MFLASH",PR!$AP479,IF(J481="MORISON",PR!$AQ479,IF(J481="NEMEL",PR!$AR479,IF(J481="NHP",PR!$AS479,IF(J481="NHC",PR!$AT479,IF(J481="OLEAF",PR!$AU479,IF(J481="OCULUS",PR!$AV479,IF(J481="PACIFIC",PR!$AW479,IF(J481="PHAMATEX",PR!$AX479,IF(J481="PETHICS",PR!$AY479,IF(J481="PHILIPS",PR!$AZ479,IF(J481="RANBAXY",PR!$BA479,IF(J481="REALS",PR!$BB479,IF(J481="ROYAL",PR!$BC479,IF(J481="SAM",PR!$BD479,IF(J481="SEAGREEN",PR!$BE479,IF(J481="SKG",PR!$BF479,IF(J481="TAH",PR!$BG479,IF(J481="TAYLEK",PR!$BH479,IF(J481="TEMITA",PR!$BI479,IF(J481="THL",PR!$BJ479,IF(J481="UBASTIC",PR!$BK479,IF(J481="UNION",PR!$BL479,IF(J481="UNIQUE",PR!$BM479,IF(J481="VIXA",PR!$BN479,IF(J481="WWCV",PR!$BO479,IF(J481="ZOLON",PR!$BP479,"-"))))))))))))))))))))))))))))))))))))))))))))))))))))))))))))))))</f>
        <v>-</v>
      </c>
      <c r="J481" s="102">
        <f>EV!N617</f>
        <v>0</v>
      </c>
      <c r="K481" s="433" t="s">
        <v>387</v>
      </c>
      <c r="L481" s="183">
        <f>IF(K481&gt;0,IF(K481="ALPHA",PR!$E479,IF(K481="ASSENE",PR!$F479,IF(K481="BIOFEM",PR!$G479,IF(K481="BIOMED",PR!$H479,IF(K481="CHI",PR!$I479,IF(K481="CLARION",PR!$J479,IF(K481="CODIX",PR!$K479,IF(K481="COSMADE",PR!$L479,IF(K481="SANCON",PR!$M479,IF(K481="DEVON",PR!$N479,IF(K481="DORTEMAG",PR!$O479,IF(K481="DGF",PR!$P479,IF(K481="DYNAMIC",PR!$Q479,IF(K481="EMZOR",PR!$R479,IF(K481="EUMATT",PR!$S479,IF(K481="FIDSON",PR!$T479,IF(K481="FCGLOBAL",PR!$U479,IF(K481="GENEITH",PR!$V479,IF(K481="GINOS",PR!$W479,IF(K481="GSK",PR!$X479,IF(K481="GLOBORG",PR!$Y479,IF(K481="GOODNEWS",PR!$Z479,IF(K481="GREENLIFE",PR!$AA479,IF(K481="HLINE",PR!$AB479,IF(K481="ROTECH",PR!$AC479,IF(K481="ISN",PR!$AD479,IF(K481="JAWA",PR!$AE479,IF(K481="LAYO",PR!$AF479,IF(K481="LEADWAY",PR!$AG479,IF(K481="LHV",PR!$AH479,IF(K481="MANOLA",PR!$AI479,IF(K481="MARCSON",PR!$AJ479,IF(K481="M&amp;B",PR!$AK479,IF(K481="MTRUST",PR!$AL479,IF(K481="MWORLD",PR!$AM479,IF(K481="MEGA",PR!$AN479,IF(K481="MICRONOVA",PR!$AO479,IF(K481="MFLASH",PR!$AP479,IF(K481="MORISON",PR!$AQ479,IF(K481="NEMEL",PR!$AR479,IF(K481="NHP",PR!$AS479,IF(K481="NHC",PR!$AT479,IF(K481="OLEAF",PR!$AU479,IF(K481="OCULUS",PR!$AV479,IF(K481="PACIFIC",PR!$AW479,IF(K481="PHAMATEX",PR!$AX479,IF(K481="PETHICS",PR!$AY479,IF(K481="PHILIPS",PR!$AZ479,IF(K481="RANBAXY",PR!$BA479,IF(K481="REALS",PR!$BB479,IF(K481="ROYAL",PR!$BC479,IF(K481="SAM",PR!$BD479,IF(K481="SEAGREEN",PR!$BE479,IF(K481="SKG",PR!$BF479,IF(K481="TAH",PR!$BG479,IF(K481="TAYLEK",PR!$BH479,IF(K481="TEMITA",PR!$BI479,IF(K481="THL",PR!$BJ479,IF(K481="UBASTIC",PR!$BK479,IF(K481="UNION",PR!$BL479,IF(K481="UNIQUE",PR!$BM479,IF(K481="VIXA",PR!$BN479,IF(K481="WWCV",PR!$BO479,IF(K481="ZOLON",PR!$BP479,"-")))))))))))))))))))))))))))))))))))))))))))))))))))))))))))))))))</f>
        <v>350.53</v>
      </c>
    </row>
    <row r="482" spans="1:12" ht="18.75" x14ac:dyDescent="0.3">
      <c r="A482" s="430">
        <f>PR!A480</f>
        <v>434</v>
      </c>
      <c r="B482" s="15" t="str">
        <f>PR!B480</f>
        <v>LOPERAMIDE CAP</v>
      </c>
      <c r="C482" s="113">
        <f>PR!D480</f>
        <v>10</v>
      </c>
      <c r="D482" s="113">
        <f>PR!C480</f>
        <v>200</v>
      </c>
      <c r="E482" s="108">
        <f>IF(F482="ALPHA",PR!$E480,IF(F482="ASSENE",PR!$F480,IF(F482="BIOFEM",PR!$G480,IF(F482="BIOMED",PR!$H480,IF(F482="CHI",PR!$I480,IF(F482="CLARION",PR!$J480,IF(F482="CODIX",PR!$K480,IF(F482="COSMADE",PR!$L480,IF(F482="SANCON",PR!$M480,IF(F482="DEVON",PR!$N480,IF(F482="DORTEMAG",PR!$O480,IF(F482="DGF",PR!$P480,IF(F482="DYNAMIC",PR!$Q480,IF(F482="EMZOR",PR!$R480,IF(F482="EUMATT",PR!$S480,IF(F482="FIDSON",PR!$T480,IF(F482="FCGLOBAL",PR!$U480,IF(F482="GENEITH",PR!$V480,IF(F482="GINOS",PR!$W480,IF(F482="GSK",PR!$X480,IF(F482="GLOBORG",PR!$Y480,IF(F482="GOODNEWS",PR!$Z480,IF(F482="GREENLIFE",PR!$AA480,IF(F482="HLINE",PR!$AB480,IF(F482="ROTECH",PR!$AC480,IF(F482="ISN",PR!$AD480,IF(F482="JAWA",PR!$AE480,IF(F482="LAYO",PR!$AF480,IF(F482="LEADWAY",PR!$AG480,IF(F482="LHV",PR!$AH480,IF(F482="MANOLA",PR!$AI480,IF(F482="MARCSON",PR!$AJ480,IF(F482="M&amp;B",PR!$AK480,IF(F482="MTRUST",PR!$AL480,IF(F482="MWORLD",PR!$AM480,IF(F482="MEGA",PR!$AN480,IF(F482="MICRONOVA",PR!$AO480,IF(F482="MFLASH",PR!$AP480,IF(F482="MORISON",PR!$AQ480,IF(F482="NEMEL",PR!$AR480,IF(F482="NHP",PR!$AS480,IF(F482="NHC",PR!$AT480,IF(F482="OLEAF",PR!$AU480,IF(F482="OCULUS",PR!$AV480,IF(F482="PACIFIC",PR!$AW480,IF(F482="PHAMATEX",PR!$AX480,IF(F482="PETHICS",PR!$AY480,IF(F482="PHILIPS",PR!$AZ480,IF(F482="RANBAXY",PR!$BA480,IF(F482="REALS",PR!$BB480,IF(F482="ROYAL",PR!$BC480,IF(F482="SAM",PR!$BD480,IF(F482="SEAGREEN",PR!$BE480,IF(F482="SKG",PR!$BF480,IF(F482="TAH",PR!$BG480,IF(F482="TAYLEK",PR!$BH480,IF(F482="TEMITA",PR!$BI480,IF(F482="THL",PR!$BJ480,IF(F482="UBASTIC",PR!$BK480,IF(F482="UNION",PR!$BL480,IF(F482="UNIQUE",PR!$BM480,IF(F482="VIXA",PR!$BN480,IF(F482="WWCV",PR!$BO480,IF(F482="ZOLON",PR!$BP480,"-"))))))))))))))))))))))))))))))))))))))))))))))))))))))))))))))))</f>
        <v>40</v>
      </c>
      <c r="F482" s="102" t="str">
        <f>EV!L618</f>
        <v>EUMATT</v>
      </c>
      <c r="G482" s="108">
        <f>IF(H482="ALPHA",PR!$E480,IF(H482="ASSENE",PR!$F480,IF(H482="BIOFEM",PR!$G480,IF(H482="BIOMED",PR!$H480,IF(H482="CHI",PR!$I480,IF(H482="CLARION",PR!$J480,IF(H482="CODIX",PR!$K480,IF(H482="COSMADE",PR!$L480,IF(H482="SANCON",PR!$M480,IF(H482="DEVON",PR!$N480,IF(H482="DORTEMAG",PR!$O480,IF(H482="DGF",PR!$P480,IF(H482="DYNAMIC",PR!$Q480,IF(H482="EMZOR",PR!$R480,IF(H482="EUMATT",PR!$S480,IF(H482="FIDSON",PR!$T480,IF(H482="FCGLOBAL",PR!$U480,IF(H482="GENEITH",PR!$V480,IF(H482="GINOS",PR!$W480,IF(H482="GSK",PR!$X480,IF(H482="GLOBORG",PR!$Y480,IF(H482="GOODNEWS",PR!$Z480,IF(H482="GREENLIFE",PR!$AA480,IF(H482="HLINE",PR!$AB480,IF(H482="ROTECH",PR!$AC480,IF(H482="ISN",PR!$AD480,IF(H482="JAWA",PR!$AE480,IF(H482="LAYO",PR!$AF480,IF(H482="LEADWAY",PR!$AG480,IF(H482="LHV",PR!$AH480,IF(H482="MANOLA",PR!$AI480,IF(H482="MARCSON",PR!$AJ480,IF(H482="M&amp;B",PR!$AK480,IF(H482="MTRUST",PR!$AL480,IF(H482="MWORLD",PR!$AM480,IF(H482="MEGA",PR!$AN480,IF(H482="MICRONOVA",PR!$AO480,IF(H482="MFLASH",PR!$AP480,IF(H482="MORISON",PR!$AQ480,IF(H482="NEMEL",PR!$AR480,IF(H482="NHP",PR!$AS480,IF(H482="NHC",PR!$AT480,IF(H482="OLEAF",PR!$AU480,IF(H482="OCULUS",PR!$AV480,IF(H482="PACIFIC",PR!$AW480,IF(H482="PHAMATEX",PR!$AX480,IF(H482="PETHICS",PR!$AY480,IF(H482="PHILIPS",PR!$AZ480,IF(H482="RANBAXY",PR!$BA480,IF(H482="REALS",PR!$BB480,IF(H482="ROYAL",PR!$BC480,IF(H482="SAM",PR!$BD480,IF(H482="SEAGREEN",PR!$BE480,IF(H482="SKG",PR!$BF480,IF(H482="TAH",PR!$BG480,IF(H482="TAYLEK",PR!$BH480,IF(H482="TEMITA",PR!$BI480,IF(H482="THL",PR!$BJ480,IF(H482="UBASTIC",PR!$BK480,IF(H482="UNION",PR!$BL480,IF(H482="UNIQUE",PR!$BM480,IF(H482="VIXA",PR!$BN480,IF(H482="WWCV",PR!$BO480,IF(H482="ZOLON",PR!$BP480,"-"))))))))))))))))))))))))))))))))))))))))))))))))))))))))))))))))</f>
        <v>50</v>
      </c>
      <c r="H482" s="102" t="str">
        <f>EV!M618</f>
        <v>SEAGREEN</v>
      </c>
      <c r="I482" s="108">
        <f>IF(J482="ALPHA",PR!$E480,IF(J482="ASSENE",PR!$F480,IF(J482="BIOFEM",PR!$G480,IF(J482="BIOMED",PR!$H480,IF(J482="CHI",PR!$I480,IF(J482="CLARION",PR!$J480,IF(J482="CODIX",PR!$K480,IF(J482="COSMADE",PR!$L480,IF(J482="SANCON",PR!$M480,IF(J482="DEVON",PR!$N480,IF(J482="DORTEMAG",PR!$O480,IF(J482="DGF",PR!$P480,IF(J482="DYNAMIC",PR!$Q480,IF(J482="EMZOR",PR!$R480,IF(J482="EUMATT",PR!$S480,IF(J482="FIDSON",PR!$T480,IF(J482="FCGLOBAL",PR!$U480,IF(J482="GENEITH",PR!$V480,IF(J482="GINOS",PR!$W480,IF(J482="GSK",PR!$X480,IF(J482="GLOBORG",PR!$Y480,IF(J482="GOODNEWS",PR!$Z480,IF(J482="GREENLIFE",PR!$AA480,IF(J482="HLINE",PR!$AB480,IF(J482="ROTECH",PR!$AC480,IF(J482="ISN",PR!$AD480,IF(J482="JAWA",PR!$AE480,IF(J482="LAYO",PR!$AF480,IF(J482="LEADWAY",PR!$AG480,IF(J482="LHV",PR!$AH480,IF(J482="MANOLA",PR!$AI480,IF(J482="MARCSON",PR!$AJ480,IF(J482="M&amp;B",PR!$AK480,IF(J482="MTRUST",PR!$AL480,IF(J482="MWORLD",PR!$AM480,IF(J482="MEGA",PR!$AN480,IF(J482="MICRONOVA",PR!$AO480,IF(J482="MFLASH",PR!$AP480,IF(J482="MORISON",PR!$AQ480,IF(J482="NEMEL",PR!$AR480,IF(J482="NHP",PR!$AS480,IF(J482="NHC",PR!$AT480,IF(J482="OLEAF",PR!$AU480,IF(J482="OCULUS",PR!$AV480,IF(J482="PACIFIC",PR!$AW480,IF(J482="PHAMATEX",PR!$AX480,IF(J482="PETHICS",PR!$AY480,IF(J482="PHILIPS",PR!$AZ480,IF(J482="RANBAXY",PR!$BA480,IF(J482="REALS",PR!$BB480,IF(J482="ROYAL",PR!$BC480,IF(J482="SAM",PR!$BD480,IF(J482="SEAGREEN",PR!$BE480,IF(J482="SKG",PR!$BF480,IF(J482="TAH",PR!$BG480,IF(J482="TAYLEK",PR!$BH480,IF(J482="TEMITA",PR!$BI480,IF(J482="THL",PR!$BJ480,IF(J482="UBASTIC",PR!$BK480,IF(J482="UNION",PR!$BL480,IF(J482="UNIQUE",PR!$BM480,IF(J482="VIXA",PR!$BN480,IF(J482="WWCV",PR!$BO480,IF(J482="ZOLON",PR!$BP480,"-"))))))))))))))))))))))))))))))))))))))))))))))))))))))))))))))))</f>
        <v>165</v>
      </c>
      <c r="J482" s="102" t="str">
        <f>EV!N618</f>
        <v>VIXA</v>
      </c>
      <c r="K482" s="433" t="s">
        <v>821</v>
      </c>
      <c r="L482" s="183">
        <f>IF(K482&gt;0,IF(K482="ALPHA",PR!$E480,IF(K482="ASSENE",PR!$F480,IF(K482="BIOFEM",PR!$G480,IF(K482="BIOMED",PR!$H480,IF(K482="CHI",PR!$I480,IF(K482="CLARION",PR!$J480,IF(K482="CODIX",PR!$K480,IF(K482="COSMADE",PR!$L480,IF(K482="SANCON",PR!$M480,IF(K482="DEVON",PR!$N480,IF(K482="DORTEMAG",PR!$O480,IF(K482="DGF",PR!$P480,IF(K482="DYNAMIC",PR!$Q480,IF(K482="EMZOR",PR!$R480,IF(K482="EUMATT",PR!$S480,IF(K482="FIDSON",PR!$T480,IF(K482="FCGLOBAL",PR!$U480,IF(K482="GENEITH",PR!$V480,IF(K482="GINOS",PR!$W480,IF(K482="GSK",PR!$X480,IF(K482="GLOBORG",PR!$Y480,IF(K482="GOODNEWS",PR!$Z480,IF(K482="GREENLIFE",PR!$AA480,IF(K482="HLINE",PR!$AB480,IF(K482="ROTECH",PR!$AC480,IF(K482="ISN",PR!$AD480,IF(K482="JAWA",PR!$AE480,IF(K482="LAYO",PR!$AF480,IF(K482="LEADWAY",PR!$AG480,IF(K482="LHV",PR!$AH480,IF(K482="MANOLA",PR!$AI480,IF(K482="MARCSON",PR!$AJ480,IF(K482="M&amp;B",PR!$AK480,IF(K482="MTRUST",PR!$AL480,IF(K482="MWORLD",PR!$AM480,IF(K482="MEGA",PR!$AN480,IF(K482="MICRONOVA",PR!$AO480,IF(K482="MFLASH",PR!$AP480,IF(K482="MORISON",PR!$AQ480,IF(K482="NEMEL",PR!$AR480,IF(K482="NHP",PR!$AS480,IF(K482="NHC",PR!$AT480,IF(K482="OLEAF",PR!$AU480,IF(K482="OCULUS",PR!$AV480,IF(K482="PACIFIC",PR!$AW480,IF(K482="PHAMATEX",PR!$AX480,IF(K482="PETHICS",PR!$AY480,IF(K482="PHILIPS",PR!$AZ480,IF(K482="RANBAXY",PR!$BA480,IF(K482="REALS",PR!$BB480,IF(K482="ROYAL",PR!$BC480,IF(K482="SAM",PR!$BD480,IF(K482="SEAGREEN",PR!$BE480,IF(K482="SKG",PR!$BF480,IF(K482="TAH",PR!$BG480,IF(K482="TAYLEK",PR!$BH480,IF(K482="TEMITA",PR!$BI480,IF(K482="THL",PR!$BJ480,IF(K482="UBASTIC",PR!$BK480,IF(K482="UNION",PR!$BL480,IF(K482="UNIQUE",PR!$BM480,IF(K482="VIXA",PR!$BN480,IF(K482="WWCV",PR!$BO480,IF(K482="ZOLON",PR!$BP480,"-")))))))))))))))))))))))))))))))))))))))))))))))))))))))))))))))))</f>
        <v>40</v>
      </c>
    </row>
    <row r="483" spans="1:12" ht="18.75" x14ac:dyDescent="0.3">
      <c r="A483" s="430">
        <f>PR!A481</f>
        <v>435</v>
      </c>
      <c r="B483" s="15" t="str">
        <f>PR!B481</f>
        <v>MAGNESIUM HYDROXIDE/ALUMINIUM HYDROXIDE+ DIMETHICONE SUSP</v>
      </c>
      <c r="C483" s="113" t="str">
        <f>PR!D481</f>
        <v>BOTT</v>
      </c>
      <c r="D483" s="113">
        <f>PR!C481</f>
        <v>4000</v>
      </c>
      <c r="E483" s="108">
        <f>IF(F483="ALPHA",PR!$E481,IF(F483="ASSENE",PR!$F481,IF(F483="BIOFEM",PR!$G481,IF(F483="BIOMED",PR!$H481,IF(F483="CHI",PR!$I481,IF(F483="CLARION",PR!$J481,IF(F483="CODIX",PR!$K481,IF(F483="COSMADE",PR!$L481,IF(F483="SANCON",PR!$M481,IF(F483="DEVON",PR!$N481,IF(F483="DORTEMAG",PR!$O481,IF(F483="DGF",PR!$P481,IF(F483="DYNAMIC",PR!$Q481,IF(F483="EMZOR",PR!$R481,IF(F483="EUMATT",PR!$S481,IF(F483="FIDSON",PR!$T481,IF(F483="FCGLOBAL",PR!$U481,IF(F483="GENEITH",PR!$V481,IF(F483="GINOS",PR!$W481,IF(F483="GSK",PR!$X481,IF(F483="GLOBORG",PR!$Y481,IF(F483="GOODNEWS",PR!$Z481,IF(F483="GREENLIFE",PR!$AA481,IF(F483="HLINE",PR!$AB481,IF(F483="ROTECH",PR!$AC481,IF(F483="ISN",PR!$AD481,IF(F483="JAWA",PR!$AE481,IF(F483="LAYO",PR!$AF481,IF(F483="LEADWAY",PR!$AG481,IF(F483="LHV",PR!$AH481,IF(F483="MANOLA",PR!$AI481,IF(F483="MARCSON",PR!$AJ481,IF(F483="M&amp;B",PR!$AK481,IF(F483="MTRUST",PR!$AL481,IF(F483="MWORLD",PR!$AM481,IF(F483="MEGA",PR!$AN481,IF(F483="MICRONOVA",PR!$AO481,IF(F483="MFLASH",PR!$AP481,IF(F483="MORISON",PR!$AQ481,IF(F483="NEMEL",PR!$AR481,IF(F483="NHP",PR!$AS481,IF(F483="NHC",PR!$AT481,IF(F483="OLEAF",PR!$AU481,IF(F483="OCULUS",PR!$AV481,IF(F483="PACIFIC",PR!$AW481,IF(F483="PHAMATEX",PR!$AX481,IF(F483="PETHICS",PR!$AY481,IF(F483="PHILIPS",PR!$AZ481,IF(F483="RANBAXY",PR!$BA481,IF(F483="REALS",PR!$BB481,IF(F483="ROYAL",PR!$BC481,IF(F483="SAM",PR!$BD481,IF(F483="SEAGREEN",PR!$BE481,IF(F483="SKG",PR!$BF481,IF(F483="TAH",PR!$BG481,IF(F483="TAYLEK",PR!$BH481,IF(F483="TEMITA",PR!$BI481,IF(F483="THL",PR!$BJ481,IF(F483="UBASTIC",PR!$BK481,IF(F483="UNION",PR!$BL481,IF(F483="UNIQUE",PR!$BM481,IF(F483="VIXA",PR!$BN481,IF(F483="WWCV",PR!$BO481,IF(F483="ZOLON",PR!$BP481,"-"))))))))))))))))))))))))))))))))))))))))))))))))))))))))))))))))</f>
        <v>200</v>
      </c>
      <c r="F483" s="102" t="str">
        <f>EV!L619</f>
        <v>EUMATT</v>
      </c>
      <c r="G483" s="108">
        <f>IF(H483="ALPHA",PR!$E481,IF(H483="ASSENE",PR!$F481,IF(H483="BIOFEM",PR!$G481,IF(H483="BIOMED",PR!$H481,IF(H483="CHI",PR!$I481,IF(H483="CLARION",PR!$J481,IF(H483="CODIX",PR!$K481,IF(H483="COSMADE",PR!$L481,IF(H483="SANCON",PR!$M481,IF(H483="DEVON",PR!$N481,IF(H483="DORTEMAG",PR!$O481,IF(H483="DGF",PR!$P481,IF(H483="DYNAMIC",PR!$Q481,IF(H483="EMZOR",PR!$R481,IF(H483="EUMATT",PR!$S481,IF(H483="FIDSON",PR!$T481,IF(H483="FCGLOBAL",PR!$U481,IF(H483="GENEITH",PR!$V481,IF(H483="GINOS",PR!$W481,IF(H483="GSK",PR!$X481,IF(H483="GLOBORG",PR!$Y481,IF(H483="GOODNEWS",PR!$Z481,IF(H483="GREENLIFE",PR!$AA481,IF(H483="HLINE",PR!$AB481,IF(H483="ROTECH",PR!$AC481,IF(H483="ISN",PR!$AD481,IF(H483="JAWA",PR!$AE481,IF(H483="LAYO",PR!$AF481,IF(H483="LEADWAY",PR!$AG481,IF(H483="LHV",PR!$AH481,IF(H483="MANOLA",PR!$AI481,IF(H483="MARCSON",PR!$AJ481,IF(H483="M&amp;B",PR!$AK481,IF(H483="MTRUST",PR!$AL481,IF(H483="MWORLD",PR!$AM481,IF(H483="MEGA",PR!$AN481,IF(H483="MICRONOVA",PR!$AO481,IF(H483="MFLASH",PR!$AP481,IF(H483="MORISON",PR!$AQ481,IF(H483="NEMEL",PR!$AR481,IF(H483="NHP",PR!$AS481,IF(H483="NHC",PR!$AT481,IF(H483="OLEAF",PR!$AU481,IF(H483="OCULUS",PR!$AV481,IF(H483="PACIFIC",PR!$AW481,IF(H483="PHAMATEX",PR!$AX481,IF(H483="PETHICS",PR!$AY481,IF(H483="PHILIPS",PR!$AZ481,IF(H483="RANBAXY",PR!$BA481,IF(H483="REALS",PR!$BB481,IF(H483="ROYAL",PR!$BC481,IF(H483="SAM",PR!$BD481,IF(H483="SEAGREEN",PR!$BE481,IF(H483="SKG",PR!$BF481,IF(H483="TAH",PR!$BG481,IF(H483="TAYLEK",PR!$BH481,IF(H483="TEMITA",PR!$BI481,IF(H483="THL",PR!$BJ481,IF(H483="UBASTIC",PR!$BK481,IF(H483="UNION",PR!$BL481,IF(H483="UNIQUE",PR!$BM481,IF(H483="VIXA",PR!$BN481,IF(H483="WWCV",PR!$BO481,IF(H483="ZOLON",PR!$BP481,"-"))))))))))))))))))))))))))))))))))))))))))))))))))))))))))))))))</f>
        <v>260</v>
      </c>
      <c r="H483" s="102" t="str">
        <f>EV!M619</f>
        <v>THL</v>
      </c>
      <c r="I483" s="108">
        <f>IF(J483="ALPHA",PR!$E481,IF(J483="ASSENE",PR!$F481,IF(J483="BIOFEM",PR!$G481,IF(J483="BIOMED",PR!$H481,IF(J483="CHI",PR!$I481,IF(J483="CLARION",PR!$J481,IF(J483="CODIX",PR!$K481,IF(J483="COSMADE",PR!$L481,IF(J483="SANCON",PR!$M481,IF(J483="DEVON",PR!$N481,IF(J483="DORTEMAG",PR!$O481,IF(J483="DGF",PR!$P481,IF(J483="DYNAMIC",PR!$Q481,IF(J483="EMZOR",PR!$R481,IF(J483="EUMATT",PR!$S481,IF(J483="FIDSON",PR!$T481,IF(J483="FCGLOBAL",PR!$U481,IF(J483="GENEITH",PR!$V481,IF(J483="GINOS",PR!$W481,IF(J483="GSK",PR!$X481,IF(J483="GLOBORG",PR!$Y481,IF(J483="GOODNEWS",PR!$Z481,IF(J483="GREENLIFE",PR!$AA481,IF(J483="HLINE",PR!$AB481,IF(J483="ROTECH",PR!$AC481,IF(J483="ISN",PR!$AD481,IF(J483="JAWA",PR!$AE481,IF(J483="LAYO",PR!$AF481,IF(J483="LEADWAY",PR!$AG481,IF(J483="LHV",PR!$AH481,IF(J483="MANOLA",PR!$AI481,IF(J483="MARCSON",PR!$AJ481,IF(J483="M&amp;B",PR!$AK481,IF(J483="MTRUST",PR!$AL481,IF(J483="MWORLD",PR!$AM481,IF(J483="MEGA",PR!$AN481,IF(J483="MICRONOVA",PR!$AO481,IF(J483="MFLASH",PR!$AP481,IF(J483="MORISON",PR!$AQ481,IF(J483="NEMEL",PR!$AR481,IF(J483="NHP",PR!$AS481,IF(J483="NHC",PR!$AT481,IF(J483="OLEAF",PR!$AU481,IF(J483="OCULUS",PR!$AV481,IF(J483="PACIFIC",PR!$AW481,IF(J483="PHAMATEX",PR!$AX481,IF(J483="PETHICS",PR!$AY481,IF(J483="PHILIPS",PR!$AZ481,IF(J483="RANBAXY",PR!$BA481,IF(J483="REALS",PR!$BB481,IF(J483="ROYAL",PR!$BC481,IF(J483="SAM",PR!$BD481,IF(J483="SEAGREEN",PR!$BE481,IF(J483="SKG",PR!$BF481,IF(J483="TAH",PR!$BG481,IF(J483="TAYLEK",PR!$BH481,IF(J483="TEMITA",PR!$BI481,IF(J483="THL",PR!$BJ481,IF(J483="UBASTIC",PR!$BK481,IF(J483="UNION",PR!$BL481,IF(J483="UNIQUE",PR!$BM481,IF(J483="VIXA",PR!$BN481,IF(J483="WWCV",PR!$BO481,IF(J483="ZOLON",PR!$BP481,"-"))))))))))))))))))))))))))))))))))))))))))))))))))))))))))))))))</f>
        <v>350</v>
      </c>
      <c r="J483" s="102" t="str">
        <f>EV!N619</f>
        <v>EMZOR</v>
      </c>
      <c r="K483" s="433" t="s">
        <v>2157</v>
      </c>
      <c r="L483" s="183" t="str">
        <f>IF(K483&gt;0,IF(K483="ALPHA",PR!$E481,IF(K483="ASSENE",PR!$F481,IF(K483="BIOFEM",PR!$G481,IF(K483="BIOMED",PR!$H481,IF(K483="CHI",PR!$I481,IF(K483="CLARION",PR!$J481,IF(K483="CODIX",PR!$K481,IF(K483="COSMADE",PR!$L481,IF(K483="SANCON",PR!$M481,IF(K483="DEVON",PR!$N481,IF(K483="DORTEMAG",PR!$O481,IF(K483="DGF",PR!$P481,IF(K483="DYNAMIC",PR!$Q481,IF(K483="EMZOR",PR!$R481,IF(K483="EUMATT",PR!$S481,IF(K483="FIDSON",PR!$T481,IF(K483="FCGLOBAL",PR!$U481,IF(K483="GENEITH",PR!$V481,IF(K483="GINOS",PR!$W481,IF(K483="GSK",PR!$X481,IF(K483="GLOBORG",PR!$Y481,IF(K483="GOODNEWS",PR!$Z481,IF(K483="GREENLIFE",PR!$AA481,IF(K483="HLINE",PR!$AB481,IF(K483="ROTECH",PR!$AC481,IF(K483="ISN",PR!$AD481,IF(K483="JAWA",PR!$AE481,IF(K483="LAYO",PR!$AF481,IF(K483="LEADWAY",PR!$AG481,IF(K483="LHV",PR!$AH481,IF(K483="MANOLA",PR!$AI481,IF(K483="MARCSON",PR!$AJ481,IF(K483="M&amp;B",PR!$AK481,IF(K483="MTRUST",PR!$AL481,IF(K483="MWORLD",PR!$AM481,IF(K483="MEGA",PR!$AN481,IF(K483="MICRONOVA",PR!$AO481,IF(K483="MFLASH",PR!$AP481,IF(K483="MORISON",PR!$AQ481,IF(K483="NEMEL",PR!$AR481,IF(K483="NHP",PR!$AS481,IF(K483="NHC",PR!$AT481,IF(K483="OLEAF",PR!$AU481,IF(K483="OCULUS",PR!$AV481,IF(K483="PACIFIC",PR!$AW481,IF(K483="PHAMATEX",PR!$AX481,IF(K483="PETHICS",PR!$AY481,IF(K483="PHILIPS",PR!$AZ481,IF(K483="RANBAXY",PR!$BA481,IF(K483="REALS",PR!$BB481,IF(K483="ROYAL",PR!$BC481,IF(K483="SAM",PR!$BD481,IF(K483="SEAGREEN",PR!$BE481,IF(K483="SKG",PR!$BF481,IF(K483="TAH",PR!$BG481,IF(K483="TAYLEK",PR!$BH481,IF(K483="TEMITA",PR!$BI481,IF(K483="THL",PR!$BJ481,IF(K483="UBASTIC",PR!$BK481,IF(K483="UNION",PR!$BL481,IF(K483="UNIQUE",PR!$BM481,IF(K483="VIXA",PR!$BN481,IF(K483="WWCV",PR!$BO481,IF(K483="ZOLON",PR!$BP481,"-")))))))))))))))))))))))))))))))))))))))))))))))))))))))))))))))))</f>
        <v>-</v>
      </c>
    </row>
    <row r="484" spans="1:12" ht="18.75" x14ac:dyDescent="0.3">
      <c r="A484" s="430">
        <f>PR!A482</f>
        <v>436</v>
      </c>
      <c r="B484" s="15" t="str">
        <f>PR!B482</f>
        <v>METOCLOPRAMIDE 10MG INJ</v>
      </c>
      <c r="C484" s="113">
        <f>PR!D482</f>
        <v>100</v>
      </c>
      <c r="D484" s="113">
        <f>PR!C482</f>
        <v>60</v>
      </c>
      <c r="E484" s="108">
        <f>IF(F484="ALPHA",PR!$E482,IF(F484="ASSENE",PR!$F482,IF(F484="BIOFEM",PR!$G482,IF(F484="BIOMED",PR!$H482,IF(F484="CHI",PR!$I482,IF(F484="CLARION",PR!$J482,IF(F484="CODIX",PR!$K482,IF(F484="COSMADE",PR!$L482,IF(F484="SANCON",PR!$M482,IF(F484="DEVON",PR!$N482,IF(F484="DORTEMAG",PR!$O482,IF(F484="DGF",PR!$P482,IF(F484="DYNAMIC",PR!$Q482,IF(F484="EMZOR",PR!$R482,IF(F484="EUMATT",PR!$S482,IF(F484="FIDSON",PR!$T482,IF(F484="FCGLOBAL",PR!$U482,IF(F484="GENEITH",PR!$V482,IF(F484="GINOS",PR!$W482,IF(F484="GSK",PR!$X482,IF(F484="GLOBORG",PR!$Y482,IF(F484="GOODNEWS",PR!$Z482,IF(F484="GREENLIFE",PR!$AA482,IF(F484="HLINE",PR!$AB482,IF(F484="ROTECH",PR!$AC482,IF(F484="ISN",PR!$AD482,IF(F484="JAWA",PR!$AE482,IF(F484="LAYO",PR!$AF482,IF(F484="LEADWAY",PR!$AG482,IF(F484="LHV",PR!$AH482,IF(F484="MANOLA",PR!$AI482,IF(F484="MARCSON",PR!$AJ482,IF(F484="M&amp;B",PR!$AK482,IF(F484="MTRUST",PR!$AL482,IF(F484="MWORLD",PR!$AM482,IF(F484="MEGA",PR!$AN482,IF(F484="MICRONOVA",PR!$AO482,IF(F484="MFLASH",PR!$AP482,IF(F484="MORISON",PR!$AQ482,IF(F484="NEMEL",PR!$AR482,IF(F484="NHP",PR!$AS482,IF(F484="NHC",PR!$AT482,IF(F484="OLEAF",PR!$AU482,IF(F484="OCULUS",PR!$AV482,IF(F484="PACIFIC",PR!$AW482,IF(F484="PHAMATEX",PR!$AX482,IF(F484="PETHICS",PR!$AY482,IF(F484="PHILIPS",PR!$AZ482,IF(F484="RANBAXY",PR!$BA482,IF(F484="REALS",PR!$BB482,IF(F484="ROYAL",PR!$BC482,IF(F484="SAM",PR!$BD482,IF(F484="SEAGREEN",PR!$BE482,IF(F484="SKG",PR!$BF482,IF(F484="TAH",PR!$BG482,IF(F484="TAYLEK",PR!$BH482,IF(F484="TEMITA",PR!$BI482,IF(F484="THL",PR!$BJ482,IF(F484="UBASTIC",PR!$BK482,IF(F484="UNION",PR!$BL482,IF(F484="UNIQUE",PR!$BM482,IF(F484="VIXA",PR!$BN482,IF(F484="WWCV",PR!$BO482,IF(F484="ZOLON",PR!$BP482,"-"))))))))))))))))))))))))))))))))))))))))))))))))))))))))))))))))</f>
        <v>1500</v>
      </c>
      <c r="F484" s="102" t="str">
        <f>EV!L620</f>
        <v>EUMATT</v>
      </c>
      <c r="G484" s="108" t="str">
        <f>IF(H484="ALPHA",PR!$E482,IF(H484="ASSENE",PR!$F482,IF(H484="BIOFEM",PR!$G482,IF(H484="BIOMED",PR!$H482,IF(H484="CHI",PR!$I482,IF(H484="CLARION",PR!$J482,IF(H484="CODIX",PR!$K482,IF(H484="COSMADE",PR!$L482,IF(H484="SANCON",PR!$M482,IF(H484="DEVON",PR!$N482,IF(H484="DORTEMAG",PR!$O482,IF(H484="DGF",PR!$P482,IF(H484="DYNAMIC",PR!$Q482,IF(H484="EMZOR",PR!$R482,IF(H484="EUMATT",PR!$S482,IF(H484="FIDSON",PR!$T482,IF(H484="FCGLOBAL",PR!$U482,IF(H484="GENEITH",PR!$V482,IF(H484="GINOS",PR!$W482,IF(H484="GSK",PR!$X482,IF(H484="GLOBORG",PR!$Y482,IF(H484="GOODNEWS",PR!$Z482,IF(H484="GREENLIFE",PR!$AA482,IF(H484="HLINE",PR!$AB482,IF(H484="ROTECH",PR!$AC482,IF(H484="ISN",PR!$AD482,IF(H484="JAWA",PR!$AE482,IF(H484="LAYO",PR!$AF482,IF(H484="LEADWAY",PR!$AG482,IF(H484="LHV",PR!$AH482,IF(H484="MANOLA",PR!$AI482,IF(H484="MARCSON",PR!$AJ482,IF(H484="M&amp;B",PR!$AK482,IF(H484="MTRUST",PR!$AL482,IF(H484="MWORLD",PR!$AM482,IF(H484="MEGA",PR!$AN482,IF(H484="MICRONOVA",PR!$AO482,IF(H484="MFLASH",PR!$AP482,IF(H484="MORISON",PR!$AQ482,IF(H484="NEMEL",PR!$AR482,IF(H484="NHP",PR!$AS482,IF(H484="NHC",PR!$AT482,IF(H484="OLEAF",PR!$AU482,IF(H484="OCULUS",PR!$AV482,IF(H484="PACIFIC",PR!$AW482,IF(H484="PHAMATEX",PR!$AX482,IF(H484="PETHICS",PR!$AY482,IF(H484="PHILIPS",PR!$AZ482,IF(H484="RANBAXY",PR!$BA482,IF(H484="REALS",PR!$BB482,IF(H484="ROYAL",PR!$BC482,IF(H484="SAM",PR!$BD482,IF(H484="SEAGREEN",PR!$BE482,IF(H484="SKG",PR!$BF482,IF(H484="TAH",PR!$BG482,IF(H484="TAYLEK",PR!$BH482,IF(H484="TEMITA",PR!$BI482,IF(H484="THL",PR!$BJ482,IF(H484="UBASTIC",PR!$BK482,IF(H484="UNION",PR!$BL482,IF(H484="UNIQUE",PR!$BM482,IF(H484="VIXA",PR!$BN482,IF(H484="WWCV",PR!$BO482,IF(H484="ZOLON",PR!$BP482,"-"))))))))))))))))))))))))))))))))))))))))))))))))))))))))))))))))</f>
        <v>-</v>
      </c>
      <c r="H484" s="102">
        <f>EV!M620</f>
        <v>0</v>
      </c>
      <c r="I484" s="108" t="str">
        <f>IF(J484="ALPHA",PR!$E482,IF(J484="ASSENE",PR!$F482,IF(J484="BIOFEM",PR!$G482,IF(J484="BIOMED",PR!$H482,IF(J484="CHI",PR!$I482,IF(J484="CLARION",PR!$J482,IF(J484="CODIX",PR!$K482,IF(J484="COSMADE",PR!$L482,IF(J484="SANCON",PR!$M482,IF(J484="DEVON",PR!$N482,IF(J484="DORTEMAG",PR!$O482,IF(J484="DGF",PR!$P482,IF(J484="DYNAMIC",PR!$Q482,IF(J484="EMZOR",PR!$R482,IF(J484="EUMATT",PR!$S482,IF(J484="FIDSON",PR!$T482,IF(J484="FCGLOBAL",PR!$U482,IF(J484="GENEITH",PR!$V482,IF(J484="GINOS",PR!$W482,IF(J484="GSK",PR!$X482,IF(J484="GLOBORG",PR!$Y482,IF(J484="GOODNEWS",PR!$Z482,IF(J484="GREENLIFE",PR!$AA482,IF(J484="HLINE",PR!$AB482,IF(J484="ROTECH",PR!$AC482,IF(J484="ISN",PR!$AD482,IF(J484="JAWA",PR!$AE482,IF(J484="LAYO",PR!$AF482,IF(J484="LEADWAY",PR!$AG482,IF(J484="LHV",PR!$AH482,IF(J484="MANOLA",PR!$AI482,IF(J484="MARCSON",PR!$AJ482,IF(J484="M&amp;B",PR!$AK482,IF(J484="MTRUST",PR!$AL482,IF(J484="MWORLD",PR!$AM482,IF(J484="MEGA",PR!$AN482,IF(J484="MICRONOVA",PR!$AO482,IF(J484="MFLASH",PR!$AP482,IF(J484="MORISON",PR!$AQ482,IF(J484="NEMEL",PR!$AR482,IF(J484="NHP",PR!$AS482,IF(J484="NHC",PR!$AT482,IF(J484="OLEAF",PR!$AU482,IF(J484="OCULUS",PR!$AV482,IF(J484="PACIFIC",PR!$AW482,IF(J484="PHAMATEX",PR!$AX482,IF(J484="PETHICS",PR!$AY482,IF(J484="PHILIPS",PR!$AZ482,IF(J484="RANBAXY",PR!$BA482,IF(J484="REALS",PR!$BB482,IF(J484="ROYAL",PR!$BC482,IF(J484="SAM",PR!$BD482,IF(J484="SEAGREEN",PR!$BE482,IF(J484="SKG",PR!$BF482,IF(J484="TAH",PR!$BG482,IF(J484="TAYLEK",PR!$BH482,IF(J484="TEMITA",PR!$BI482,IF(J484="THL",PR!$BJ482,IF(J484="UBASTIC",PR!$BK482,IF(J484="UNION",PR!$BL482,IF(J484="UNIQUE",PR!$BM482,IF(J484="VIXA",PR!$BN482,IF(J484="WWCV",PR!$BO482,IF(J484="ZOLON",PR!$BP482,"-"))))))))))))))))))))))))))))))))))))))))))))))))))))))))))))))))</f>
        <v>-</v>
      </c>
      <c r="J484" s="102">
        <f>EV!N620</f>
        <v>0</v>
      </c>
      <c r="K484" s="433" t="s">
        <v>821</v>
      </c>
      <c r="L484" s="183">
        <f>IF(K484&gt;0,IF(K484="ALPHA",PR!$E482,IF(K484="ASSENE",PR!$F482,IF(K484="BIOFEM",PR!$G482,IF(K484="BIOMED",PR!$H482,IF(K484="CHI",PR!$I482,IF(K484="CLARION",PR!$J482,IF(K484="CODIX",PR!$K482,IF(K484="COSMADE",PR!$L482,IF(K484="SANCON",PR!$M482,IF(K484="DEVON",PR!$N482,IF(K484="DORTEMAG",PR!$O482,IF(K484="DGF",PR!$P482,IF(K484="DYNAMIC",PR!$Q482,IF(K484="EMZOR",PR!$R482,IF(K484="EUMATT",PR!$S482,IF(K484="FIDSON",PR!$T482,IF(K484="FCGLOBAL",PR!$U482,IF(K484="GENEITH",PR!$V482,IF(K484="GINOS",PR!$W482,IF(K484="GSK",PR!$X482,IF(K484="GLOBORG",PR!$Y482,IF(K484="GOODNEWS",PR!$Z482,IF(K484="GREENLIFE",PR!$AA482,IF(K484="HLINE",PR!$AB482,IF(K484="ROTECH",PR!$AC482,IF(K484="ISN",PR!$AD482,IF(K484="JAWA",PR!$AE482,IF(K484="LAYO",PR!$AF482,IF(K484="LEADWAY",PR!$AG482,IF(K484="LHV",PR!$AH482,IF(K484="MANOLA",PR!$AI482,IF(K484="MARCSON",PR!$AJ482,IF(K484="M&amp;B",PR!$AK482,IF(K484="MTRUST",PR!$AL482,IF(K484="MWORLD",PR!$AM482,IF(K484="MEGA",PR!$AN482,IF(K484="MICRONOVA",PR!$AO482,IF(K484="MFLASH",PR!$AP482,IF(K484="MORISON",PR!$AQ482,IF(K484="NEMEL",PR!$AR482,IF(K484="NHP",PR!$AS482,IF(K484="NHC",PR!$AT482,IF(K484="OLEAF",PR!$AU482,IF(K484="OCULUS",PR!$AV482,IF(K484="PACIFIC",PR!$AW482,IF(K484="PHAMATEX",PR!$AX482,IF(K484="PETHICS",PR!$AY482,IF(K484="PHILIPS",PR!$AZ482,IF(K484="RANBAXY",PR!$BA482,IF(K484="REALS",PR!$BB482,IF(K484="ROYAL",PR!$BC482,IF(K484="SAM",PR!$BD482,IF(K484="SEAGREEN",PR!$BE482,IF(K484="SKG",PR!$BF482,IF(K484="TAH",PR!$BG482,IF(K484="TAYLEK",PR!$BH482,IF(K484="TEMITA",PR!$BI482,IF(K484="THL",PR!$BJ482,IF(K484="UBASTIC",PR!$BK482,IF(K484="UNION",PR!$BL482,IF(K484="UNIQUE",PR!$BM482,IF(K484="VIXA",PR!$BN482,IF(K484="WWCV",PR!$BO482,IF(K484="ZOLON",PR!$BP482,"-")))))))))))))))))))))))))))))))))))))))))))))))))))))))))))))))))</f>
        <v>1500</v>
      </c>
    </row>
    <row r="485" spans="1:12" ht="18.75" x14ac:dyDescent="0.3">
      <c r="A485" s="430">
        <f>PR!A483</f>
        <v>437</v>
      </c>
      <c r="B485" s="15" t="str">
        <f>PR!B483</f>
        <v>METOCLOPRAMIDE 10MG TAB</v>
      </c>
      <c r="C485" s="113">
        <f>PR!D483</f>
        <v>100</v>
      </c>
      <c r="D485" s="113">
        <f>PR!C483</f>
        <v>64</v>
      </c>
      <c r="E485" s="108">
        <f>IF(F485="ALPHA",PR!$E483,IF(F485="ASSENE",PR!$F483,IF(F485="BIOFEM",PR!$G483,IF(F485="BIOMED",PR!$H483,IF(F485="CHI",PR!$I483,IF(F485="CLARION",PR!$J483,IF(F485="CODIX",PR!$K483,IF(F485="COSMADE",PR!$L483,IF(F485="SANCON",PR!$M483,IF(F485="DEVON",PR!$N483,IF(F485="DORTEMAG",PR!$O483,IF(F485="DGF",PR!$P483,IF(F485="DYNAMIC",PR!$Q483,IF(F485="EMZOR",PR!$R483,IF(F485="EUMATT",PR!$S483,IF(F485="FIDSON",PR!$T483,IF(F485="FCGLOBAL",PR!$U483,IF(F485="GENEITH",PR!$V483,IF(F485="GINOS",PR!$W483,IF(F485="GSK",PR!$X483,IF(F485="GLOBORG",PR!$Y483,IF(F485="GOODNEWS",PR!$Z483,IF(F485="GREENLIFE",PR!$AA483,IF(F485="HLINE",PR!$AB483,IF(F485="ROTECH",PR!$AC483,IF(F485="ISN",PR!$AD483,IF(F485="JAWA",PR!$AE483,IF(F485="LAYO",PR!$AF483,IF(F485="LEADWAY",PR!$AG483,IF(F485="LHV",PR!$AH483,IF(F485="MANOLA",PR!$AI483,IF(F485="MARCSON",PR!$AJ483,IF(F485="M&amp;B",PR!$AK483,IF(F485="MTRUST",PR!$AL483,IF(F485="MWORLD",PR!$AM483,IF(F485="MEGA",PR!$AN483,IF(F485="MICRONOVA",PR!$AO483,IF(F485="MFLASH",PR!$AP483,IF(F485="MORISON",PR!$AQ483,IF(F485="NEMEL",PR!$AR483,IF(F485="NHP",PR!$AS483,IF(F485="NHC",PR!$AT483,IF(F485="OLEAF",PR!$AU483,IF(F485="OCULUS",PR!$AV483,IF(F485="PACIFIC",PR!$AW483,IF(F485="PHAMATEX",PR!$AX483,IF(F485="PETHICS",PR!$AY483,IF(F485="PHILIPS",PR!$AZ483,IF(F485="RANBAXY",PR!$BA483,IF(F485="REALS",PR!$BB483,IF(F485="ROYAL",PR!$BC483,IF(F485="SAM",PR!$BD483,IF(F485="SEAGREEN",PR!$BE483,IF(F485="SKG",PR!$BF483,IF(F485="TAH",PR!$BG483,IF(F485="TAYLEK",PR!$BH483,IF(F485="TEMITA",PR!$BI483,IF(F485="THL",PR!$BJ483,IF(F485="UBASTIC",PR!$BK483,IF(F485="UNION",PR!$BL483,IF(F485="UNIQUE",PR!$BM483,IF(F485="VIXA",PR!$BN483,IF(F485="WWCV",PR!$BO483,IF(F485="ZOLON",PR!$BP483,"-"))))))))))))))))))))))))))))))))))))))))))))))))))))))))))))))))</f>
        <v>330</v>
      </c>
      <c r="F485" s="102" t="str">
        <f>EV!L621</f>
        <v>VIXA</v>
      </c>
      <c r="G485" s="108" t="str">
        <f>IF(H485="ALPHA",PR!$E483,IF(H485="ASSENE",PR!$F483,IF(H485="BIOFEM",PR!$G483,IF(H485="BIOMED",PR!$H483,IF(H485="CHI",PR!$I483,IF(H485="CLARION",PR!$J483,IF(H485="CODIX",PR!$K483,IF(H485="COSMADE",PR!$L483,IF(H485="SANCON",PR!$M483,IF(H485="DEVON",PR!$N483,IF(H485="DORTEMAG",PR!$O483,IF(H485="DGF",PR!$P483,IF(H485="DYNAMIC",PR!$Q483,IF(H485="EMZOR",PR!$R483,IF(H485="EUMATT",PR!$S483,IF(H485="FIDSON",PR!$T483,IF(H485="FCGLOBAL",PR!$U483,IF(H485="GENEITH",PR!$V483,IF(H485="GINOS",PR!$W483,IF(H485="GSK",PR!$X483,IF(H485="GLOBORG",PR!$Y483,IF(H485="GOODNEWS",PR!$Z483,IF(H485="GREENLIFE",PR!$AA483,IF(H485="HLINE",PR!$AB483,IF(H485="ROTECH",PR!$AC483,IF(H485="ISN",PR!$AD483,IF(H485="JAWA",PR!$AE483,IF(H485="LAYO",PR!$AF483,IF(H485="LEADWAY",PR!$AG483,IF(H485="LHV",PR!$AH483,IF(H485="MANOLA",PR!$AI483,IF(H485="MARCSON",PR!$AJ483,IF(H485="M&amp;B",PR!$AK483,IF(H485="MTRUST",PR!$AL483,IF(H485="MWORLD",PR!$AM483,IF(H485="MEGA",PR!$AN483,IF(H485="MICRONOVA",PR!$AO483,IF(H485="MFLASH",PR!$AP483,IF(H485="MORISON",PR!$AQ483,IF(H485="NEMEL",PR!$AR483,IF(H485="NHP",PR!$AS483,IF(H485="NHC",PR!$AT483,IF(H485="OLEAF",PR!$AU483,IF(H485="OCULUS",PR!$AV483,IF(H485="PACIFIC",PR!$AW483,IF(H485="PHAMATEX",PR!$AX483,IF(H485="PETHICS",PR!$AY483,IF(H485="PHILIPS",PR!$AZ483,IF(H485="RANBAXY",PR!$BA483,IF(H485="REALS",PR!$BB483,IF(H485="ROYAL",PR!$BC483,IF(H485="SAM",PR!$BD483,IF(H485="SEAGREEN",PR!$BE483,IF(H485="SKG",PR!$BF483,IF(H485="TAH",PR!$BG483,IF(H485="TAYLEK",PR!$BH483,IF(H485="TEMITA",PR!$BI483,IF(H485="THL",PR!$BJ483,IF(H485="UBASTIC",PR!$BK483,IF(H485="UNION",PR!$BL483,IF(H485="UNIQUE",PR!$BM483,IF(H485="VIXA",PR!$BN483,IF(H485="WWCV",PR!$BO483,IF(H485="ZOLON",PR!$BP483,"-"))))))))))))))))))))))))))))))))))))))))))))))))))))))))))))))))</f>
        <v>-</v>
      </c>
      <c r="H485" s="102">
        <f>EV!M621</f>
        <v>0</v>
      </c>
      <c r="I485" s="108" t="str">
        <f>IF(J485="ALPHA",PR!$E483,IF(J485="ASSENE",PR!$F483,IF(J485="BIOFEM",PR!$G483,IF(J485="BIOMED",PR!$H483,IF(J485="CHI",PR!$I483,IF(J485="CLARION",PR!$J483,IF(J485="CODIX",PR!$K483,IF(J485="COSMADE",PR!$L483,IF(J485="SANCON",PR!$M483,IF(J485="DEVON",PR!$N483,IF(J485="DORTEMAG",PR!$O483,IF(J485="DGF",PR!$P483,IF(J485="DYNAMIC",PR!$Q483,IF(J485="EMZOR",PR!$R483,IF(J485="EUMATT",PR!$S483,IF(J485="FIDSON",PR!$T483,IF(J485="FCGLOBAL",PR!$U483,IF(J485="GENEITH",PR!$V483,IF(J485="GINOS",PR!$W483,IF(J485="GSK",PR!$X483,IF(J485="GLOBORG",PR!$Y483,IF(J485="GOODNEWS",PR!$Z483,IF(J485="GREENLIFE",PR!$AA483,IF(J485="HLINE",PR!$AB483,IF(J485="ROTECH",PR!$AC483,IF(J485="ISN",PR!$AD483,IF(J485="JAWA",PR!$AE483,IF(J485="LAYO",PR!$AF483,IF(J485="LEADWAY",PR!$AG483,IF(J485="LHV",PR!$AH483,IF(J485="MANOLA",PR!$AI483,IF(J485="MARCSON",PR!$AJ483,IF(J485="M&amp;B",PR!$AK483,IF(J485="MTRUST",PR!$AL483,IF(J485="MWORLD",PR!$AM483,IF(J485="MEGA",PR!$AN483,IF(J485="MICRONOVA",PR!$AO483,IF(J485="MFLASH",PR!$AP483,IF(J485="MORISON",PR!$AQ483,IF(J485="NEMEL",PR!$AR483,IF(J485="NHP",PR!$AS483,IF(J485="NHC",PR!$AT483,IF(J485="OLEAF",PR!$AU483,IF(J485="OCULUS",PR!$AV483,IF(J485="PACIFIC",PR!$AW483,IF(J485="PHAMATEX",PR!$AX483,IF(J485="PETHICS",PR!$AY483,IF(J485="PHILIPS",PR!$AZ483,IF(J485="RANBAXY",PR!$BA483,IF(J485="REALS",PR!$BB483,IF(J485="ROYAL",PR!$BC483,IF(J485="SAM",PR!$BD483,IF(J485="SEAGREEN",PR!$BE483,IF(J485="SKG",PR!$BF483,IF(J485="TAH",PR!$BG483,IF(J485="TAYLEK",PR!$BH483,IF(J485="TEMITA",PR!$BI483,IF(J485="THL",PR!$BJ483,IF(J485="UBASTIC",PR!$BK483,IF(J485="UNION",PR!$BL483,IF(J485="UNIQUE",PR!$BM483,IF(J485="VIXA",PR!$BN483,IF(J485="WWCV",PR!$BO483,IF(J485="ZOLON",PR!$BP483,"-"))))))))))))))))))))))))))))))))))))))))))))))))))))))))))))))))</f>
        <v>-</v>
      </c>
      <c r="J485" s="102">
        <f>EV!N621</f>
        <v>0</v>
      </c>
      <c r="K485" s="433" t="s">
        <v>620</v>
      </c>
      <c r="L485" s="183">
        <f>IF(K485&gt;0,IF(K485="ALPHA",PR!$E483,IF(K485="ASSENE",PR!$F483,IF(K485="BIOFEM",PR!$G483,IF(K485="BIOMED",PR!$H483,IF(K485="CHI",PR!$I483,IF(K485="CLARION",PR!$J483,IF(K485="CODIX",PR!$K483,IF(K485="COSMADE",PR!$L483,IF(K485="SANCON",PR!$M483,IF(K485="DEVON",PR!$N483,IF(K485="DORTEMAG",PR!$O483,IF(K485="DGF",PR!$P483,IF(K485="DYNAMIC",PR!$Q483,IF(K485="EMZOR",PR!$R483,IF(K485="EUMATT",PR!$S483,IF(K485="FIDSON",PR!$T483,IF(K485="FCGLOBAL",PR!$U483,IF(K485="GENEITH",PR!$V483,IF(K485="GINOS",PR!$W483,IF(K485="GSK",PR!$X483,IF(K485="GLOBORG",PR!$Y483,IF(K485="GOODNEWS",PR!$Z483,IF(K485="GREENLIFE",PR!$AA483,IF(K485="HLINE",PR!$AB483,IF(K485="ROTECH",PR!$AC483,IF(K485="ISN",PR!$AD483,IF(K485="JAWA",PR!$AE483,IF(K485="LAYO",PR!$AF483,IF(K485="LEADWAY",PR!$AG483,IF(K485="LHV",PR!$AH483,IF(K485="MANOLA",PR!$AI483,IF(K485="MARCSON",PR!$AJ483,IF(K485="M&amp;B",PR!$AK483,IF(K485="MTRUST",PR!$AL483,IF(K485="MWORLD",PR!$AM483,IF(K485="MEGA",PR!$AN483,IF(K485="MICRONOVA",PR!$AO483,IF(K485="MFLASH",PR!$AP483,IF(K485="MORISON",PR!$AQ483,IF(K485="NEMEL",PR!$AR483,IF(K485="NHP",PR!$AS483,IF(K485="NHC",PR!$AT483,IF(K485="OLEAF",PR!$AU483,IF(K485="OCULUS",PR!$AV483,IF(K485="PACIFIC",PR!$AW483,IF(K485="PHAMATEX",PR!$AX483,IF(K485="PETHICS",PR!$AY483,IF(K485="PHILIPS",PR!$AZ483,IF(K485="RANBAXY",PR!$BA483,IF(K485="REALS",PR!$BB483,IF(K485="ROYAL",PR!$BC483,IF(K485="SAM",PR!$BD483,IF(K485="SEAGREEN",PR!$BE483,IF(K485="SKG",PR!$BF483,IF(K485="TAH",PR!$BG483,IF(K485="TAYLEK",PR!$BH483,IF(K485="TEMITA",PR!$BI483,IF(K485="THL",PR!$BJ483,IF(K485="UBASTIC",PR!$BK483,IF(K485="UNION",PR!$BL483,IF(K485="UNIQUE",PR!$BM483,IF(K485="VIXA",PR!$BN483,IF(K485="WWCV",PR!$BO483,IF(K485="ZOLON",PR!$BP483,"-")))))))))))))))))))))))))))))))))))))))))))))))))))))))))))))))))</f>
        <v>330</v>
      </c>
    </row>
    <row r="486" spans="1:12" ht="18.75" x14ac:dyDescent="0.3">
      <c r="A486" s="430">
        <f>PR!A484</f>
        <v>438</v>
      </c>
      <c r="B486" s="15" t="str">
        <f>PR!B484</f>
        <v>N-BUTYL HYOSCINE HYDROBROMIDE 10MG/ML INJ</v>
      </c>
      <c r="C486" s="113">
        <f>PR!D484</f>
        <v>100</v>
      </c>
      <c r="D486" s="113">
        <f>PR!C484</f>
        <v>9</v>
      </c>
      <c r="E486" s="108">
        <f>IF(F486="ALPHA",PR!$E484,IF(F486="ASSENE",PR!$F484,IF(F486="BIOFEM",PR!$G484,IF(F486="BIOMED",PR!$H484,IF(F486="CHI",PR!$I484,IF(F486="CLARION",PR!$J484,IF(F486="CODIX",PR!$K484,IF(F486="COSMADE",PR!$L484,IF(F486="SANCON",PR!$M484,IF(F486="DEVON",PR!$N484,IF(F486="DORTEMAG",PR!$O484,IF(F486="DGF",PR!$P484,IF(F486="DYNAMIC",PR!$Q484,IF(F486="EMZOR",PR!$R484,IF(F486="EUMATT",PR!$S484,IF(F486="FIDSON",PR!$T484,IF(F486="FCGLOBAL",PR!$U484,IF(F486="GENEITH",PR!$V484,IF(F486="GINOS",PR!$W484,IF(F486="GSK",PR!$X484,IF(F486="GLOBORG",PR!$Y484,IF(F486="GOODNEWS",PR!$Z484,IF(F486="GREENLIFE",PR!$AA484,IF(F486="HLINE",PR!$AB484,IF(F486="ROTECH",PR!$AC484,IF(F486="ISN",PR!$AD484,IF(F486="JAWA",PR!$AE484,IF(F486="LAYO",PR!$AF484,IF(F486="LEADWAY",PR!$AG484,IF(F486="LHV",PR!$AH484,IF(F486="MANOLA",PR!$AI484,IF(F486="MARCSON",PR!$AJ484,IF(F486="M&amp;B",PR!$AK484,IF(F486="MTRUST",PR!$AL484,IF(F486="MWORLD",PR!$AM484,IF(F486="MEGA",PR!$AN484,IF(F486="MICRONOVA",PR!$AO484,IF(F486="MFLASH",PR!$AP484,IF(F486="MORISON",PR!$AQ484,IF(F486="NEMEL",PR!$AR484,IF(F486="NHP",PR!$AS484,IF(F486="NHC",PR!$AT484,IF(F486="OLEAF",PR!$AU484,IF(F486="OCULUS",PR!$AV484,IF(F486="PACIFIC",PR!$AW484,IF(F486="PHAMATEX",PR!$AX484,IF(F486="PETHICS",PR!$AY484,IF(F486="PHILIPS",PR!$AZ484,IF(F486="RANBAXY",PR!$BA484,IF(F486="REALS",PR!$BB484,IF(F486="ROYAL",PR!$BC484,IF(F486="SAM",PR!$BD484,IF(F486="SEAGREEN",PR!$BE484,IF(F486="SKG",PR!$BF484,IF(F486="TAH",PR!$BG484,IF(F486="TAYLEK",PR!$BH484,IF(F486="TEMITA",PR!$BI484,IF(F486="THL",PR!$BJ484,IF(F486="UBASTIC",PR!$BK484,IF(F486="UNION",PR!$BL484,IF(F486="UNIQUE",PR!$BM484,IF(F486="VIXA",PR!$BN484,IF(F486="WWCV",PR!$BO484,IF(F486="ZOLON",PR!$BP484,"-"))))))))))))))))))))))))))))))))))))))))))))))))))))))))))))))))</f>
        <v>4500</v>
      </c>
      <c r="F486" s="102" t="str">
        <f>EV!L622</f>
        <v>EUMATT</v>
      </c>
      <c r="G486" s="108" t="str">
        <f>IF(H486="ALPHA",PR!$E484,IF(H486="ASSENE",PR!$F484,IF(H486="BIOFEM",PR!$G484,IF(H486="BIOMED",PR!$H484,IF(H486="CHI",PR!$I484,IF(H486="CLARION",PR!$J484,IF(H486="CODIX",PR!$K484,IF(H486="COSMADE",PR!$L484,IF(H486="SANCON",PR!$M484,IF(H486="DEVON",PR!$N484,IF(H486="DORTEMAG",PR!$O484,IF(H486="DGF",PR!$P484,IF(H486="DYNAMIC",PR!$Q484,IF(H486="EMZOR",PR!$R484,IF(H486="EUMATT",PR!$S484,IF(H486="FIDSON",PR!$T484,IF(H486="FCGLOBAL",PR!$U484,IF(H486="GENEITH",PR!$V484,IF(H486="GINOS",PR!$W484,IF(H486="GSK",PR!$X484,IF(H486="GLOBORG",PR!$Y484,IF(H486="GOODNEWS",PR!$Z484,IF(H486="GREENLIFE",PR!$AA484,IF(H486="HLINE",PR!$AB484,IF(H486="ROTECH",PR!$AC484,IF(H486="ISN",PR!$AD484,IF(H486="JAWA",PR!$AE484,IF(H486="LAYO",PR!$AF484,IF(H486="LEADWAY",PR!$AG484,IF(H486="LHV",PR!$AH484,IF(H486="MANOLA",PR!$AI484,IF(H486="MARCSON",PR!$AJ484,IF(H486="M&amp;B",PR!$AK484,IF(H486="MTRUST",PR!$AL484,IF(H486="MWORLD",PR!$AM484,IF(H486="MEGA",PR!$AN484,IF(H486="MICRONOVA",PR!$AO484,IF(H486="MFLASH",PR!$AP484,IF(H486="MORISON",PR!$AQ484,IF(H486="NEMEL",PR!$AR484,IF(H486="NHP",PR!$AS484,IF(H486="NHC",PR!$AT484,IF(H486="OLEAF",PR!$AU484,IF(H486="OCULUS",PR!$AV484,IF(H486="PACIFIC",PR!$AW484,IF(H486="PHAMATEX",PR!$AX484,IF(H486="PETHICS",PR!$AY484,IF(H486="PHILIPS",PR!$AZ484,IF(H486="RANBAXY",PR!$BA484,IF(H486="REALS",PR!$BB484,IF(H486="ROYAL",PR!$BC484,IF(H486="SAM",PR!$BD484,IF(H486="SEAGREEN",PR!$BE484,IF(H486="SKG",PR!$BF484,IF(H486="TAH",PR!$BG484,IF(H486="TAYLEK",PR!$BH484,IF(H486="TEMITA",PR!$BI484,IF(H486="THL",PR!$BJ484,IF(H486="UBASTIC",PR!$BK484,IF(H486="UNION",PR!$BL484,IF(H486="UNIQUE",PR!$BM484,IF(H486="VIXA",PR!$BN484,IF(H486="WWCV",PR!$BO484,IF(H486="ZOLON",PR!$BP484,"-"))))))))))))))))))))))))))))))))))))))))))))))))))))))))))))))))</f>
        <v>-</v>
      </c>
      <c r="H486" s="102">
        <f>EV!M622</f>
        <v>0</v>
      </c>
      <c r="I486" s="108" t="str">
        <f>IF(J486="ALPHA",PR!$E484,IF(J486="ASSENE",PR!$F484,IF(J486="BIOFEM",PR!$G484,IF(J486="BIOMED",PR!$H484,IF(J486="CHI",PR!$I484,IF(J486="CLARION",PR!$J484,IF(J486="CODIX",PR!$K484,IF(J486="COSMADE",PR!$L484,IF(J486="SANCON",PR!$M484,IF(J486="DEVON",PR!$N484,IF(J486="DORTEMAG",PR!$O484,IF(J486="DGF",PR!$P484,IF(J486="DYNAMIC",PR!$Q484,IF(J486="EMZOR",PR!$R484,IF(J486="EUMATT",PR!$S484,IF(J486="FIDSON",PR!$T484,IF(J486="FCGLOBAL",PR!$U484,IF(J486="GENEITH",PR!$V484,IF(J486="GINOS",PR!$W484,IF(J486="GSK",PR!$X484,IF(J486="GLOBORG",PR!$Y484,IF(J486="GOODNEWS",PR!$Z484,IF(J486="GREENLIFE",PR!$AA484,IF(J486="HLINE",PR!$AB484,IF(J486="ROTECH",PR!$AC484,IF(J486="ISN",PR!$AD484,IF(J486="JAWA",PR!$AE484,IF(J486="LAYO",PR!$AF484,IF(J486="LEADWAY",PR!$AG484,IF(J486="LHV",PR!$AH484,IF(J486="MANOLA",PR!$AI484,IF(J486="MARCSON",PR!$AJ484,IF(J486="M&amp;B",PR!$AK484,IF(J486="MTRUST",PR!$AL484,IF(J486="MWORLD",PR!$AM484,IF(J486="MEGA",PR!$AN484,IF(J486="MICRONOVA",PR!$AO484,IF(J486="MFLASH",PR!$AP484,IF(J486="MORISON",PR!$AQ484,IF(J486="NEMEL",PR!$AR484,IF(J486="NHP",PR!$AS484,IF(J486="NHC",PR!$AT484,IF(J486="OLEAF",PR!$AU484,IF(J486="OCULUS",PR!$AV484,IF(J486="PACIFIC",PR!$AW484,IF(J486="PHAMATEX",PR!$AX484,IF(J486="PETHICS",PR!$AY484,IF(J486="PHILIPS",PR!$AZ484,IF(J486="RANBAXY",PR!$BA484,IF(J486="REALS",PR!$BB484,IF(J486="ROYAL",PR!$BC484,IF(J486="SAM",PR!$BD484,IF(J486="SEAGREEN",PR!$BE484,IF(J486="SKG",PR!$BF484,IF(J486="TAH",PR!$BG484,IF(J486="TAYLEK",PR!$BH484,IF(J486="TEMITA",PR!$BI484,IF(J486="THL",PR!$BJ484,IF(J486="UBASTIC",PR!$BK484,IF(J486="UNION",PR!$BL484,IF(J486="UNIQUE",PR!$BM484,IF(J486="VIXA",PR!$BN484,IF(J486="WWCV",PR!$BO484,IF(J486="ZOLON",PR!$BP484,"-"))))))))))))))))))))))))))))))))))))))))))))))))))))))))))))))))</f>
        <v>-</v>
      </c>
      <c r="J486" s="102">
        <f>EV!N622</f>
        <v>0</v>
      </c>
      <c r="K486" s="433" t="s">
        <v>821</v>
      </c>
      <c r="L486" s="183">
        <f>IF(K486&gt;0,IF(K486="ALPHA",PR!$E484,IF(K486="ASSENE",PR!$F484,IF(K486="BIOFEM",PR!$G484,IF(K486="BIOMED",PR!$H484,IF(K486="CHI",PR!$I484,IF(K486="CLARION",PR!$J484,IF(K486="CODIX",PR!$K484,IF(K486="COSMADE",PR!$L484,IF(K486="SANCON",PR!$M484,IF(K486="DEVON",PR!$N484,IF(K486="DORTEMAG",PR!$O484,IF(K486="DGF",PR!$P484,IF(K486="DYNAMIC",PR!$Q484,IF(K486="EMZOR",PR!$R484,IF(K486="EUMATT",PR!$S484,IF(K486="FIDSON",PR!$T484,IF(K486="FCGLOBAL",PR!$U484,IF(K486="GENEITH",PR!$V484,IF(K486="GINOS",PR!$W484,IF(K486="GSK",PR!$X484,IF(K486="GLOBORG",PR!$Y484,IF(K486="GOODNEWS",PR!$Z484,IF(K486="GREENLIFE",PR!$AA484,IF(K486="HLINE",PR!$AB484,IF(K486="ROTECH",PR!$AC484,IF(K486="ISN",PR!$AD484,IF(K486="JAWA",PR!$AE484,IF(K486="LAYO",PR!$AF484,IF(K486="LEADWAY",PR!$AG484,IF(K486="LHV",PR!$AH484,IF(K486="MANOLA",PR!$AI484,IF(K486="MARCSON",PR!$AJ484,IF(K486="M&amp;B",PR!$AK484,IF(K486="MTRUST",PR!$AL484,IF(K486="MWORLD",PR!$AM484,IF(K486="MEGA",PR!$AN484,IF(K486="MICRONOVA",PR!$AO484,IF(K486="MFLASH",PR!$AP484,IF(K486="MORISON",PR!$AQ484,IF(K486="NEMEL",PR!$AR484,IF(K486="NHP",PR!$AS484,IF(K486="NHC",PR!$AT484,IF(K486="OLEAF",PR!$AU484,IF(K486="OCULUS",PR!$AV484,IF(K486="PACIFIC",PR!$AW484,IF(K486="PHAMATEX",PR!$AX484,IF(K486="PETHICS",PR!$AY484,IF(K486="PHILIPS",PR!$AZ484,IF(K486="RANBAXY",PR!$BA484,IF(K486="REALS",PR!$BB484,IF(K486="ROYAL",PR!$BC484,IF(K486="SAM",PR!$BD484,IF(K486="SEAGREEN",PR!$BE484,IF(K486="SKG",PR!$BF484,IF(K486="TAH",PR!$BG484,IF(K486="TAYLEK",PR!$BH484,IF(K486="TEMITA",PR!$BI484,IF(K486="THL",PR!$BJ484,IF(K486="UBASTIC",PR!$BK484,IF(K486="UNION",PR!$BL484,IF(K486="UNIQUE",PR!$BM484,IF(K486="VIXA",PR!$BN484,IF(K486="WWCV",PR!$BO484,IF(K486="ZOLON",PR!$BP484,"-")))))))))))))))))))))))))))))))))))))))))))))))))))))))))))))))))</f>
        <v>4500</v>
      </c>
    </row>
    <row r="487" spans="1:12" ht="18.75" x14ac:dyDescent="0.3">
      <c r="A487" s="430">
        <f>PR!A485</f>
        <v>439</v>
      </c>
      <c r="B487" s="15" t="str">
        <f>PR!B485</f>
        <v>N-BUTYL HYOSCINE HYDROBROMIDE TAB</v>
      </c>
      <c r="C487" s="113">
        <f>PR!D485</f>
        <v>100</v>
      </c>
      <c r="D487" s="113">
        <f>PR!C485</f>
        <v>100</v>
      </c>
      <c r="E487" s="108">
        <f>IF(F487="ALPHA",PR!$E485,IF(F487="ASSENE",PR!$F485,IF(F487="BIOFEM",PR!$G485,IF(F487="BIOMED",PR!$H485,IF(F487="CHI",PR!$I485,IF(F487="CLARION",PR!$J485,IF(F487="CODIX",PR!$K485,IF(F487="COSMADE",PR!$L485,IF(F487="SANCON",PR!$M485,IF(F487="DEVON",PR!$N485,IF(F487="DORTEMAG",PR!$O485,IF(F487="DGF",PR!$P485,IF(F487="DYNAMIC",PR!$Q485,IF(F487="EMZOR",PR!$R485,IF(F487="EUMATT",PR!$S485,IF(F487="FIDSON",PR!$T485,IF(F487="FCGLOBAL",PR!$U485,IF(F487="GENEITH",PR!$V485,IF(F487="GINOS",PR!$W485,IF(F487="GSK",PR!$X485,IF(F487="GLOBORG",PR!$Y485,IF(F487="GOODNEWS",PR!$Z485,IF(F487="GREENLIFE",PR!$AA485,IF(F487="HLINE",PR!$AB485,IF(F487="ROTECH",PR!$AC485,IF(F487="ISN",PR!$AD485,IF(F487="JAWA",PR!$AE485,IF(F487="LAYO",PR!$AF485,IF(F487="LEADWAY",PR!$AG485,IF(F487="LHV",PR!$AH485,IF(F487="MANOLA",PR!$AI485,IF(F487="MARCSON",PR!$AJ485,IF(F487="M&amp;B",PR!$AK485,IF(F487="MTRUST",PR!$AL485,IF(F487="MWORLD",PR!$AM485,IF(F487="MEGA",PR!$AN485,IF(F487="MICRONOVA",PR!$AO485,IF(F487="MFLASH",PR!$AP485,IF(F487="MORISON",PR!$AQ485,IF(F487="NEMEL",PR!$AR485,IF(F487="NHP",PR!$AS485,IF(F487="NHC",PR!$AT485,IF(F487="OLEAF",PR!$AU485,IF(F487="OCULUS",PR!$AV485,IF(F487="PACIFIC",PR!$AW485,IF(F487="PHAMATEX",PR!$AX485,IF(F487="PETHICS",PR!$AY485,IF(F487="PHILIPS",PR!$AZ485,IF(F487="RANBAXY",PR!$BA485,IF(F487="REALS",PR!$BB485,IF(F487="ROYAL",PR!$BC485,IF(F487="SAM",PR!$BD485,IF(F487="SEAGREEN",PR!$BE485,IF(F487="SKG",PR!$BF485,IF(F487="TAH",PR!$BG485,IF(F487="TAYLEK",PR!$BH485,IF(F487="TEMITA",PR!$BI485,IF(F487="THL",PR!$BJ485,IF(F487="UBASTIC",PR!$BK485,IF(F487="UNION",PR!$BL485,IF(F487="UNIQUE",PR!$BM485,IF(F487="VIXA",PR!$BN485,IF(F487="WWCV",PR!$BO485,IF(F487="ZOLON",PR!$BP485,"-"))))))))))))))))))))))))))))))))))))))))))))))))))))))))))))))))</f>
        <v>761</v>
      </c>
      <c r="F487" s="102" t="str">
        <f>EV!L623</f>
        <v>WWCV</v>
      </c>
      <c r="G487" s="108">
        <f>IF(H487="ALPHA",PR!$E485,IF(H487="ASSENE",PR!$F485,IF(H487="BIOFEM",PR!$G485,IF(H487="BIOMED",PR!$H485,IF(H487="CHI",PR!$I485,IF(H487="CLARION",PR!$J485,IF(H487="CODIX",PR!$K485,IF(H487="COSMADE",PR!$L485,IF(H487="SANCON",PR!$M485,IF(H487="DEVON",PR!$N485,IF(H487="DORTEMAG",PR!$O485,IF(H487="DGF",PR!$P485,IF(H487="DYNAMIC",PR!$Q485,IF(H487="EMZOR",PR!$R485,IF(H487="EUMATT",PR!$S485,IF(H487="FIDSON",PR!$T485,IF(H487="FCGLOBAL",PR!$U485,IF(H487="GENEITH",PR!$V485,IF(H487="GINOS",PR!$W485,IF(H487="GSK",PR!$X485,IF(H487="GLOBORG",PR!$Y485,IF(H487="GOODNEWS",PR!$Z485,IF(H487="GREENLIFE",PR!$AA485,IF(H487="HLINE",PR!$AB485,IF(H487="ROTECH",PR!$AC485,IF(H487="ISN",PR!$AD485,IF(H487="JAWA",PR!$AE485,IF(H487="LAYO",PR!$AF485,IF(H487="LEADWAY",PR!$AG485,IF(H487="LHV",PR!$AH485,IF(H487="MANOLA",PR!$AI485,IF(H487="MARCSON",PR!$AJ485,IF(H487="M&amp;B",PR!$AK485,IF(H487="MTRUST",PR!$AL485,IF(H487="MWORLD",PR!$AM485,IF(H487="MEGA",PR!$AN485,IF(H487="MICRONOVA",PR!$AO485,IF(H487="MFLASH",PR!$AP485,IF(H487="MORISON",PR!$AQ485,IF(H487="NEMEL",PR!$AR485,IF(H487="NHP",PR!$AS485,IF(H487="NHC",PR!$AT485,IF(H487="OLEAF",PR!$AU485,IF(H487="OCULUS",PR!$AV485,IF(H487="PACIFIC",PR!$AW485,IF(H487="PHAMATEX",PR!$AX485,IF(H487="PETHICS",PR!$AY485,IF(H487="PHILIPS",PR!$AZ485,IF(H487="RANBAXY",PR!$BA485,IF(H487="REALS",PR!$BB485,IF(H487="ROYAL",PR!$BC485,IF(H487="SAM",PR!$BD485,IF(H487="SEAGREEN",PR!$BE485,IF(H487="SKG",PR!$BF485,IF(H487="TAH",PR!$BG485,IF(H487="TAYLEK",PR!$BH485,IF(H487="TEMITA",PR!$BI485,IF(H487="THL",PR!$BJ485,IF(H487="UBASTIC",PR!$BK485,IF(H487="UNION",PR!$BL485,IF(H487="UNIQUE",PR!$BM485,IF(H487="VIXA",PR!$BN485,IF(H487="WWCV",PR!$BO485,IF(H487="ZOLON",PR!$BP485,"-"))))))))))))))))))))))))))))))))))))))))))))))))))))))))))))))))</f>
        <v>1200</v>
      </c>
      <c r="H487" s="102" t="str">
        <f>EV!M623</f>
        <v>EUMATT</v>
      </c>
      <c r="I487" s="108" t="str">
        <f>IF(J487="ALPHA",PR!$E485,IF(J487="ASSENE",PR!$F485,IF(J487="BIOFEM",PR!$G485,IF(J487="BIOMED",PR!$H485,IF(J487="CHI",PR!$I485,IF(J487="CLARION",PR!$J485,IF(J487="CODIX",PR!$K485,IF(J487="COSMADE",PR!$L485,IF(J487="SANCON",PR!$M485,IF(J487="DEVON",PR!$N485,IF(J487="DORTEMAG",PR!$O485,IF(J487="DGF",PR!$P485,IF(J487="DYNAMIC",PR!$Q485,IF(J487="EMZOR",PR!$R485,IF(J487="EUMATT",PR!$S485,IF(J487="FIDSON",PR!$T485,IF(J487="FCGLOBAL",PR!$U485,IF(J487="GENEITH",PR!$V485,IF(J487="GINOS",PR!$W485,IF(J487="GSK",PR!$X485,IF(J487="GLOBORG",PR!$Y485,IF(J487="GOODNEWS",PR!$Z485,IF(J487="GREENLIFE",PR!$AA485,IF(J487="HLINE",PR!$AB485,IF(J487="ROTECH",PR!$AC485,IF(J487="ISN",PR!$AD485,IF(J487="JAWA",PR!$AE485,IF(J487="LAYO",PR!$AF485,IF(J487="LEADWAY",PR!$AG485,IF(J487="LHV",PR!$AH485,IF(J487="MANOLA",PR!$AI485,IF(J487="MARCSON",PR!$AJ485,IF(J487="M&amp;B",PR!$AK485,IF(J487="MTRUST",PR!$AL485,IF(J487="MWORLD",PR!$AM485,IF(J487="MEGA",PR!$AN485,IF(J487="MICRONOVA",PR!$AO485,IF(J487="MFLASH",PR!$AP485,IF(J487="MORISON",PR!$AQ485,IF(J487="NEMEL",PR!$AR485,IF(J487="NHP",PR!$AS485,IF(J487="NHC",PR!$AT485,IF(J487="OLEAF",PR!$AU485,IF(J487="OCULUS",PR!$AV485,IF(J487="PACIFIC",PR!$AW485,IF(J487="PHAMATEX",PR!$AX485,IF(J487="PETHICS",PR!$AY485,IF(J487="PHILIPS",PR!$AZ485,IF(J487="RANBAXY",PR!$BA485,IF(J487="REALS",PR!$BB485,IF(J487="ROYAL",PR!$BC485,IF(J487="SAM",PR!$BD485,IF(J487="SEAGREEN",PR!$BE485,IF(J487="SKG",PR!$BF485,IF(J487="TAH",PR!$BG485,IF(J487="TAYLEK",PR!$BH485,IF(J487="TEMITA",PR!$BI485,IF(J487="THL",PR!$BJ485,IF(J487="UBASTIC",PR!$BK485,IF(J487="UNION",PR!$BL485,IF(J487="UNIQUE",PR!$BM485,IF(J487="VIXA",PR!$BN485,IF(J487="WWCV",PR!$BO485,IF(J487="ZOLON",PR!$BP485,"-"))))))))))))))))))))))))))))))))))))))))))))))))))))))))))))))))</f>
        <v>-</v>
      </c>
      <c r="J487" s="102">
        <f>EV!N623</f>
        <v>0</v>
      </c>
      <c r="K487" s="433" t="s">
        <v>821</v>
      </c>
      <c r="L487" s="183">
        <f>IF(K487&gt;0,IF(K487="ALPHA",PR!$E485,IF(K487="ASSENE",PR!$F485,IF(K487="BIOFEM",PR!$G485,IF(K487="BIOMED",PR!$H485,IF(K487="CHI",PR!$I485,IF(K487="CLARION",PR!$J485,IF(K487="CODIX",PR!$K485,IF(K487="COSMADE",PR!$L485,IF(K487="SANCON",PR!$M485,IF(K487="DEVON",PR!$N485,IF(K487="DORTEMAG",PR!$O485,IF(K487="DGF",PR!$P485,IF(K487="DYNAMIC",PR!$Q485,IF(K487="EMZOR",PR!$R485,IF(K487="EUMATT",PR!$S485,IF(K487="FIDSON",PR!$T485,IF(K487="FCGLOBAL",PR!$U485,IF(K487="GENEITH",PR!$V485,IF(K487="GINOS",PR!$W485,IF(K487="GSK",PR!$X485,IF(K487="GLOBORG",PR!$Y485,IF(K487="GOODNEWS",PR!$Z485,IF(K487="GREENLIFE",PR!$AA485,IF(K487="HLINE",PR!$AB485,IF(K487="ROTECH",PR!$AC485,IF(K487="ISN",PR!$AD485,IF(K487="JAWA",PR!$AE485,IF(K487="LAYO",PR!$AF485,IF(K487="LEADWAY",PR!$AG485,IF(K487="LHV",PR!$AH485,IF(K487="MANOLA",PR!$AI485,IF(K487="MARCSON",PR!$AJ485,IF(K487="M&amp;B",PR!$AK485,IF(K487="MTRUST",PR!$AL485,IF(K487="MWORLD",PR!$AM485,IF(K487="MEGA",PR!$AN485,IF(K487="MICRONOVA",PR!$AO485,IF(K487="MFLASH",PR!$AP485,IF(K487="MORISON",PR!$AQ485,IF(K487="NEMEL",PR!$AR485,IF(K487="NHP",PR!$AS485,IF(K487="NHC",PR!$AT485,IF(K487="OLEAF",PR!$AU485,IF(K487="OCULUS",PR!$AV485,IF(K487="PACIFIC",PR!$AW485,IF(K487="PHAMATEX",PR!$AX485,IF(K487="PETHICS",PR!$AY485,IF(K487="PHILIPS",PR!$AZ485,IF(K487="RANBAXY",PR!$BA485,IF(K487="REALS",PR!$BB485,IF(K487="ROYAL",PR!$BC485,IF(K487="SAM",PR!$BD485,IF(K487="SEAGREEN",PR!$BE485,IF(K487="SKG",PR!$BF485,IF(K487="TAH",PR!$BG485,IF(K487="TAYLEK",PR!$BH485,IF(K487="TEMITA",PR!$BI485,IF(K487="THL",PR!$BJ485,IF(K487="UBASTIC",PR!$BK485,IF(K487="UNION",PR!$BL485,IF(K487="UNIQUE",PR!$BM485,IF(K487="VIXA",PR!$BN485,IF(K487="WWCV",PR!$BO485,IF(K487="ZOLON",PR!$BP485,"-")))))))))))))))))))))))))))))))))))))))))))))))))))))))))))))))))</f>
        <v>1200</v>
      </c>
    </row>
    <row r="488" spans="1:12" ht="18.75" x14ac:dyDescent="0.3">
      <c r="A488" s="430">
        <f>PR!A486</f>
        <v>440</v>
      </c>
      <c r="B488" s="15" t="str">
        <f>PR!B486</f>
        <v>OMEPRAZOLE 20MG CAP</v>
      </c>
      <c r="C488" s="113">
        <f>PR!D486</f>
        <v>14</v>
      </c>
      <c r="D488" s="113">
        <f>PR!C486</f>
        <v>8000</v>
      </c>
      <c r="E488" s="108">
        <f>IF(F488="ALPHA",PR!$E486,IF(F488="ASSENE",PR!$F486,IF(F488="BIOFEM",PR!$G486,IF(F488="BIOMED",PR!$H486,IF(F488="CHI",PR!$I486,IF(F488="CLARION",PR!$J486,IF(F488="CODIX",PR!$K486,IF(F488="COSMADE",PR!$L486,IF(F488="SANCON",PR!$M486,IF(F488="DEVON",PR!$N486,IF(F488="DORTEMAG",PR!$O486,IF(F488="DGF",PR!$P486,IF(F488="DYNAMIC",PR!$Q486,IF(F488="EMZOR",PR!$R486,IF(F488="EUMATT",PR!$S486,IF(F488="FIDSON",PR!$T486,IF(F488="FCGLOBAL",PR!$U486,IF(F488="GENEITH",PR!$V486,IF(F488="GINOS",PR!$W486,IF(F488="GSK",PR!$X486,IF(F488="GLOBORG",PR!$Y486,IF(F488="GOODNEWS",PR!$Z486,IF(F488="GREENLIFE",PR!$AA486,IF(F488="HLINE",PR!$AB486,IF(F488="ROTECH",PR!$AC486,IF(F488="ISN",PR!$AD486,IF(F488="JAWA",PR!$AE486,IF(F488="LAYO",PR!$AF486,IF(F488="LEADWAY",PR!$AG486,IF(F488="LHV",PR!$AH486,IF(F488="MANOLA",PR!$AI486,IF(F488="MARCSON",PR!$AJ486,IF(F488="M&amp;B",PR!$AK486,IF(F488="MTRUST",PR!$AL486,IF(F488="MWORLD",PR!$AM486,IF(F488="MEGA",PR!$AN486,IF(F488="MICRONOVA",PR!$AO486,IF(F488="MFLASH",PR!$AP486,IF(F488="MORISON",PR!$AQ486,IF(F488="NEMEL",PR!$AR486,IF(F488="NHP",PR!$AS486,IF(F488="NHC",PR!$AT486,IF(F488="OLEAF",PR!$AU486,IF(F488="OCULUS",PR!$AV486,IF(F488="PACIFIC",PR!$AW486,IF(F488="PHAMATEX",PR!$AX486,IF(F488="PETHICS",PR!$AY486,IF(F488="PHILIPS",PR!$AZ486,IF(F488="RANBAXY",PR!$BA486,IF(F488="REALS",PR!$BB486,IF(F488="ROYAL",PR!$BC486,IF(F488="SAM",PR!$BD486,IF(F488="SEAGREEN",PR!$BE486,IF(F488="SKG",PR!$BF486,IF(F488="TAH",PR!$BG486,IF(F488="TAYLEK",PR!$BH486,IF(F488="TEMITA",PR!$BI486,IF(F488="THL",PR!$BJ486,IF(F488="UBASTIC",PR!$BK486,IF(F488="UNION",PR!$BL486,IF(F488="UNIQUE",PR!$BM486,IF(F488="VIXA",PR!$BN486,IF(F488="WWCV",PR!$BO486,IF(F488="ZOLON",PR!$BP486,"-"))))))))))))))))))))))))))))))))))))))))))))))))))))))))))))))))</f>
        <v>100</v>
      </c>
      <c r="F488" s="102" t="str">
        <f>EV!L624</f>
        <v>EUMATT</v>
      </c>
      <c r="G488" s="108">
        <f>IF(H488="ALPHA",PR!$E486,IF(H488="ASSENE",PR!$F486,IF(H488="BIOFEM",PR!$G486,IF(H488="BIOMED",PR!$H486,IF(H488="CHI",PR!$I486,IF(H488="CLARION",PR!$J486,IF(H488="CODIX",PR!$K486,IF(H488="COSMADE",PR!$L486,IF(H488="SANCON",PR!$M486,IF(H488="DEVON",PR!$N486,IF(H488="DORTEMAG",PR!$O486,IF(H488="DGF",PR!$P486,IF(H488="DYNAMIC",PR!$Q486,IF(H488="EMZOR",PR!$R486,IF(H488="EUMATT",PR!$S486,IF(H488="FIDSON",PR!$T486,IF(H488="FCGLOBAL",PR!$U486,IF(H488="GENEITH",PR!$V486,IF(H488="GINOS",PR!$W486,IF(H488="GSK",PR!$X486,IF(H488="GLOBORG",PR!$Y486,IF(H488="GOODNEWS",PR!$Z486,IF(H488="GREENLIFE",PR!$AA486,IF(H488="HLINE",PR!$AB486,IF(H488="ROTECH",PR!$AC486,IF(H488="ISN",PR!$AD486,IF(H488="JAWA",PR!$AE486,IF(H488="LAYO",PR!$AF486,IF(H488="LEADWAY",PR!$AG486,IF(H488="LHV",PR!$AH486,IF(H488="MANOLA",PR!$AI486,IF(H488="MARCSON",PR!$AJ486,IF(H488="M&amp;B",PR!$AK486,IF(H488="MTRUST",PR!$AL486,IF(H488="MWORLD",PR!$AM486,IF(H488="MEGA",PR!$AN486,IF(H488="MICRONOVA",PR!$AO486,IF(H488="MFLASH",PR!$AP486,IF(H488="MORISON",PR!$AQ486,IF(H488="NEMEL",PR!$AR486,IF(H488="NHP",PR!$AS486,IF(H488="NHC",PR!$AT486,IF(H488="OLEAF",PR!$AU486,IF(H488="OCULUS",PR!$AV486,IF(H488="PACIFIC",PR!$AW486,IF(H488="PHAMATEX",PR!$AX486,IF(H488="PETHICS",PR!$AY486,IF(H488="PHILIPS",PR!$AZ486,IF(H488="RANBAXY",PR!$BA486,IF(H488="REALS",PR!$BB486,IF(H488="ROYAL",PR!$BC486,IF(H488="SAM",PR!$BD486,IF(H488="SEAGREEN",PR!$BE486,IF(H488="SKG",PR!$BF486,IF(H488="TAH",PR!$BG486,IF(H488="TAYLEK",PR!$BH486,IF(H488="TEMITA",PR!$BI486,IF(H488="THL",PR!$BJ486,IF(H488="UBASTIC",PR!$BK486,IF(H488="UNION",PR!$BL486,IF(H488="UNIQUE",PR!$BM486,IF(H488="VIXA",PR!$BN486,IF(H488="WWCV",PR!$BO486,IF(H488="ZOLON",PR!$BP486,"-"))))))))))))))))))))))))))))))))))))))))))))))))))))))))))))))))</f>
        <v>100</v>
      </c>
      <c r="H488" s="102" t="str">
        <f>EV!M624</f>
        <v>NEMEL</v>
      </c>
      <c r="I488" s="108">
        <f>IF(J488="ALPHA",PR!$E486,IF(J488="ASSENE",PR!$F486,IF(J488="BIOFEM",PR!$G486,IF(J488="BIOMED",PR!$H486,IF(J488="CHI",PR!$I486,IF(J488="CLARION",PR!$J486,IF(J488="CODIX",PR!$K486,IF(J488="COSMADE",PR!$L486,IF(J488="SANCON",PR!$M486,IF(J488="DEVON",PR!$N486,IF(J488="DORTEMAG",PR!$O486,IF(J488="DGF",PR!$P486,IF(J488="DYNAMIC",PR!$Q486,IF(J488="EMZOR",PR!$R486,IF(J488="EUMATT",PR!$S486,IF(J488="FIDSON",PR!$T486,IF(J488="FCGLOBAL",PR!$U486,IF(J488="GENEITH",PR!$V486,IF(J488="GINOS",PR!$W486,IF(J488="GSK",PR!$X486,IF(J488="GLOBORG",PR!$Y486,IF(J488="GOODNEWS",PR!$Z486,IF(J488="GREENLIFE",PR!$AA486,IF(J488="HLINE",PR!$AB486,IF(J488="ROTECH",PR!$AC486,IF(J488="ISN",PR!$AD486,IF(J488="JAWA",PR!$AE486,IF(J488="LAYO",PR!$AF486,IF(J488="LEADWAY",PR!$AG486,IF(J488="LHV",PR!$AH486,IF(J488="MANOLA",PR!$AI486,IF(J488="MARCSON",PR!$AJ486,IF(J488="M&amp;B",PR!$AK486,IF(J488="MTRUST",PR!$AL486,IF(J488="MWORLD",PR!$AM486,IF(J488="MEGA",PR!$AN486,IF(J488="MICRONOVA",PR!$AO486,IF(J488="MFLASH",PR!$AP486,IF(J488="MORISON",PR!$AQ486,IF(J488="NEMEL",PR!$AR486,IF(J488="NHP",PR!$AS486,IF(J488="NHC",PR!$AT486,IF(J488="OLEAF",PR!$AU486,IF(J488="OCULUS",PR!$AV486,IF(J488="PACIFIC",PR!$AW486,IF(J488="PHAMATEX",PR!$AX486,IF(J488="PETHICS",PR!$AY486,IF(J488="PHILIPS",PR!$AZ486,IF(J488="RANBAXY",PR!$BA486,IF(J488="REALS",PR!$BB486,IF(J488="ROYAL",PR!$BC486,IF(J488="SAM",PR!$BD486,IF(J488="SEAGREEN",PR!$BE486,IF(J488="SKG",PR!$BF486,IF(J488="TAH",PR!$BG486,IF(J488="TAYLEK",PR!$BH486,IF(J488="TEMITA",PR!$BI486,IF(J488="THL",PR!$BJ486,IF(J488="UBASTIC",PR!$BK486,IF(J488="UNION",PR!$BL486,IF(J488="UNIQUE",PR!$BM486,IF(J488="VIXA",PR!$BN486,IF(J488="WWCV",PR!$BO486,IF(J488="ZOLON",PR!$BP486,"-"))))))))))))))))))))))))))))))))))))))))))))))))))))))))))))))))</f>
        <v>120</v>
      </c>
      <c r="J488" s="102" t="str">
        <f>EV!N624</f>
        <v>GLOBORG</v>
      </c>
      <c r="K488" s="433" t="s">
        <v>818</v>
      </c>
      <c r="L488" s="183">
        <f>IF(K488&gt;0,IF(K488="ALPHA",PR!$E486,IF(K488="ASSENE",PR!$F486,IF(K488="BIOFEM",PR!$G486,IF(K488="BIOMED",PR!$H486,IF(K488="CHI",PR!$I486,IF(K488="CLARION",PR!$J486,IF(K488="CODIX",PR!$K486,IF(K488="COSMADE",PR!$L486,IF(K488="SANCON",PR!$M486,IF(K488="DEVON",PR!$N486,IF(K488="DORTEMAG",PR!$O486,IF(K488="DGF",PR!$P486,IF(K488="DYNAMIC",PR!$Q486,IF(K488="EMZOR",PR!$R486,IF(K488="EUMATT",PR!$S486,IF(K488="FIDSON",PR!$T486,IF(K488="FCGLOBAL",PR!$U486,IF(K488="GENEITH",PR!$V486,IF(K488="GINOS",PR!$W486,IF(K488="GSK",PR!$X486,IF(K488="GLOBORG",PR!$Y486,IF(K488="GOODNEWS",PR!$Z486,IF(K488="GREENLIFE",PR!$AA486,IF(K488="HLINE",PR!$AB486,IF(K488="ROTECH",PR!$AC486,IF(K488="ISN",PR!$AD486,IF(K488="JAWA",PR!$AE486,IF(K488="LAYO",PR!$AF486,IF(K488="LEADWAY",PR!$AG486,IF(K488="LHV",PR!$AH486,IF(K488="MANOLA",PR!$AI486,IF(K488="MARCSON",PR!$AJ486,IF(K488="M&amp;B",PR!$AK486,IF(K488="MTRUST",PR!$AL486,IF(K488="MWORLD",PR!$AM486,IF(K488="MEGA",PR!$AN486,IF(K488="MICRONOVA",PR!$AO486,IF(K488="MFLASH",PR!$AP486,IF(K488="MORISON",PR!$AQ486,IF(K488="NEMEL",PR!$AR486,IF(K488="NHP",PR!$AS486,IF(K488="NHC",PR!$AT486,IF(K488="OLEAF",PR!$AU486,IF(K488="OCULUS",PR!$AV486,IF(K488="PACIFIC",PR!$AW486,IF(K488="PHAMATEX",PR!$AX486,IF(K488="PETHICS",PR!$AY486,IF(K488="PHILIPS",PR!$AZ486,IF(K488="RANBAXY",PR!$BA486,IF(K488="REALS",PR!$BB486,IF(K488="ROYAL",PR!$BC486,IF(K488="SAM",PR!$BD486,IF(K488="SEAGREEN",PR!$BE486,IF(K488="SKG",PR!$BF486,IF(K488="TAH",PR!$BG486,IF(K488="TAYLEK",PR!$BH486,IF(K488="TEMITA",PR!$BI486,IF(K488="THL",PR!$BJ486,IF(K488="UBASTIC",PR!$BK486,IF(K488="UNION",PR!$BL486,IF(K488="UNIQUE",PR!$BM486,IF(K488="VIXA",PR!$BN486,IF(K488="WWCV",PR!$BO486,IF(K488="ZOLON",PR!$BP486,"-")))))))))))))))))))))))))))))))))))))))))))))))))))))))))))))))))</f>
        <v>120</v>
      </c>
    </row>
    <row r="489" spans="1:12" ht="18.75" x14ac:dyDescent="0.3">
      <c r="A489" s="430">
        <f>PR!A487</f>
        <v>441</v>
      </c>
      <c r="B489" s="15" t="str">
        <f>PR!B487</f>
        <v>OMEPRAZOLE 20MG/DOMPERIDONE 10MG</v>
      </c>
      <c r="C489" s="113">
        <f>PR!D487</f>
        <v>10</v>
      </c>
      <c r="D489" s="113">
        <f>PR!C487</f>
        <v>100</v>
      </c>
      <c r="E489" s="108">
        <f>IF(F489="ALPHA",PR!$E487,IF(F489="ASSENE",PR!$F487,IF(F489="BIOFEM",PR!$G487,IF(F489="BIOMED",PR!$H487,IF(F489="CHI",PR!$I487,IF(F489="CLARION",PR!$J487,IF(F489="CODIX",PR!$K487,IF(F489="COSMADE",PR!$L487,IF(F489="SANCON",PR!$M487,IF(F489="DEVON",PR!$N487,IF(F489="DORTEMAG",PR!$O487,IF(F489="DGF",PR!$P487,IF(F489="DYNAMIC",PR!$Q487,IF(F489="EMZOR",PR!$R487,IF(F489="EUMATT",PR!$S487,IF(F489="FIDSON",PR!$T487,IF(F489="FCGLOBAL",PR!$U487,IF(F489="GENEITH",PR!$V487,IF(F489="GINOS",PR!$W487,IF(F489="GSK",PR!$X487,IF(F489="GLOBORG",PR!$Y487,IF(F489="GOODNEWS",PR!$Z487,IF(F489="GREENLIFE",PR!$AA487,IF(F489="HLINE",PR!$AB487,IF(F489="ROTECH",PR!$AC487,IF(F489="ISN",PR!$AD487,IF(F489="JAWA",PR!$AE487,IF(F489="LAYO",PR!$AF487,IF(F489="LEADWAY",PR!$AG487,IF(F489="LHV",PR!$AH487,IF(F489="MANOLA",PR!$AI487,IF(F489="MARCSON",PR!$AJ487,IF(F489="M&amp;B",PR!$AK487,IF(F489="MTRUST",PR!$AL487,IF(F489="MWORLD",PR!$AM487,IF(F489="MEGA",PR!$AN487,IF(F489="MICRONOVA",PR!$AO487,IF(F489="MFLASH",PR!$AP487,IF(F489="MORISON",PR!$AQ487,IF(F489="NEMEL",PR!$AR487,IF(F489="NHP",PR!$AS487,IF(F489="NHC",PR!$AT487,IF(F489="OLEAF",PR!$AU487,IF(F489="OCULUS",PR!$AV487,IF(F489="PACIFIC",PR!$AW487,IF(F489="PHAMATEX",PR!$AX487,IF(F489="PETHICS",PR!$AY487,IF(F489="PHILIPS",PR!$AZ487,IF(F489="RANBAXY",PR!$BA487,IF(F489="REALS",PR!$BB487,IF(F489="ROYAL",PR!$BC487,IF(F489="SAM",PR!$BD487,IF(F489="SEAGREEN",PR!$BE487,IF(F489="SKG",PR!$BF487,IF(F489="TAH",PR!$BG487,IF(F489="TAYLEK",PR!$BH487,IF(F489="TEMITA",PR!$BI487,IF(F489="THL",PR!$BJ487,IF(F489="UBASTIC",PR!$BK487,IF(F489="UNION",PR!$BL487,IF(F489="UNIQUE",PR!$BM487,IF(F489="VIXA",PR!$BN487,IF(F489="WWCV",PR!$BO487,IF(F489="ZOLON",PR!$BP487,"-"))))))))))))))))))))))))))))))))))))))))))))))))))))))))))))))))</f>
        <v>900</v>
      </c>
      <c r="F489" s="102" t="str">
        <f>EV!L625</f>
        <v>MICRONOVA</v>
      </c>
      <c r="G489" s="108" t="str">
        <f>IF(H489="ALPHA",PR!$E487,IF(H489="ASSENE",PR!$F487,IF(H489="BIOFEM",PR!$G487,IF(H489="BIOMED",PR!$H487,IF(H489="CHI",PR!$I487,IF(H489="CLARION",PR!$J487,IF(H489="CODIX",PR!$K487,IF(H489="COSMADE",PR!$L487,IF(H489="SANCON",PR!$M487,IF(H489="DEVON",PR!$N487,IF(H489="DORTEMAG",PR!$O487,IF(H489="DGF",PR!$P487,IF(H489="DYNAMIC",PR!$Q487,IF(H489="EMZOR",PR!$R487,IF(H489="EUMATT",PR!$S487,IF(H489="FIDSON",PR!$T487,IF(H489="FCGLOBAL",PR!$U487,IF(H489="GENEITH",PR!$V487,IF(H489="GINOS",PR!$W487,IF(H489="GSK",PR!$X487,IF(H489="GLOBORG",PR!$Y487,IF(H489="GOODNEWS",PR!$Z487,IF(H489="GREENLIFE",PR!$AA487,IF(H489="HLINE",PR!$AB487,IF(H489="ROTECH",PR!$AC487,IF(H489="ISN",PR!$AD487,IF(H489="JAWA",PR!$AE487,IF(H489="LAYO",PR!$AF487,IF(H489="LEADWAY",PR!$AG487,IF(H489="LHV",PR!$AH487,IF(H489="MANOLA",PR!$AI487,IF(H489="MARCSON",PR!$AJ487,IF(H489="M&amp;B",PR!$AK487,IF(H489="MTRUST",PR!$AL487,IF(H489="MWORLD",PR!$AM487,IF(H489="MEGA",PR!$AN487,IF(H489="MICRONOVA",PR!$AO487,IF(H489="MFLASH",PR!$AP487,IF(H489="MORISON",PR!$AQ487,IF(H489="NEMEL",PR!$AR487,IF(H489="NHP",PR!$AS487,IF(H489="NHC",PR!$AT487,IF(H489="OLEAF",PR!$AU487,IF(H489="OCULUS",PR!$AV487,IF(H489="PACIFIC",PR!$AW487,IF(H489="PHAMATEX",PR!$AX487,IF(H489="PETHICS",PR!$AY487,IF(H489="PHILIPS",PR!$AZ487,IF(H489="RANBAXY",PR!$BA487,IF(H489="REALS",PR!$BB487,IF(H489="ROYAL",PR!$BC487,IF(H489="SAM",PR!$BD487,IF(H489="SEAGREEN",PR!$BE487,IF(H489="SKG",PR!$BF487,IF(H489="TAH",PR!$BG487,IF(H489="TAYLEK",PR!$BH487,IF(H489="TEMITA",PR!$BI487,IF(H489="THL",PR!$BJ487,IF(H489="UBASTIC",PR!$BK487,IF(H489="UNION",PR!$BL487,IF(H489="UNIQUE",PR!$BM487,IF(H489="VIXA",PR!$BN487,IF(H489="WWCV",PR!$BO487,IF(H489="ZOLON",PR!$BP487,"-"))))))))))))))))))))))))))))))))))))))))))))))))))))))))))))))))</f>
        <v>-</v>
      </c>
      <c r="H489" s="102">
        <f>EV!M625</f>
        <v>0</v>
      </c>
      <c r="I489" s="108" t="str">
        <f>IF(J489="ALPHA",PR!$E487,IF(J489="ASSENE",PR!$F487,IF(J489="BIOFEM",PR!$G487,IF(J489="BIOMED",PR!$H487,IF(J489="CHI",PR!$I487,IF(J489="CLARION",PR!$J487,IF(J489="CODIX",PR!$K487,IF(J489="COSMADE",PR!$L487,IF(J489="SANCON",PR!$M487,IF(J489="DEVON",PR!$N487,IF(J489="DORTEMAG",PR!$O487,IF(J489="DGF",PR!$P487,IF(J489="DYNAMIC",PR!$Q487,IF(J489="EMZOR",PR!$R487,IF(J489="EUMATT",PR!$S487,IF(J489="FIDSON",PR!$T487,IF(J489="FCGLOBAL",PR!$U487,IF(J489="GENEITH",PR!$V487,IF(J489="GINOS",PR!$W487,IF(J489="GSK",PR!$X487,IF(J489="GLOBORG",PR!$Y487,IF(J489="GOODNEWS",PR!$Z487,IF(J489="GREENLIFE",PR!$AA487,IF(J489="HLINE",PR!$AB487,IF(J489="ROTECH",PR!$AC487,IF(J489="ISN",PR!$AD487,IF(J489="JAWA",PR!$AE487,IF(J489="LAYO",PR!$AF487,IF(J489="LEADWAY",PR!$AG487,IF(J489="LHV",PR!$AH487,IF(J489="MANOLA",PR!$AI487,IF(J489="MARCSON",PR!$AJ487,IF(J489="M&amp;B",PR!$AK487,IF(J489="MTRUST",PR!$AL487,IF(J489="MWORLD",PR!$AM487,IF(J489="MEGA",PR!$AN487,IF(J489="MICRONOVA",PR!$AO487,IF(J489="MFLASH",PR!$AP487,IF(J489="MORISON",PR!$AQ487,IF(J489="NEMEL",PR!$AR487,IF(J489="NHP",PR!$AS487,IF(J489="NHC",PR!$AT487,IF(J489="OLEAF",PR!$AU487,IF(J489="OCULUS",PR!$AV487,IF(J489="PACIFIC",PR!$AW487,IF(J489="PHAMATEX",PR!$AX487,IF(J489="PETHICS",PR!$AY487,IF(J489="PHILIPS",PR!$AZ487,IF(J489="RANBAXY",PR!$BA487,IF(J489="REALS",PR!$BB487,IF(J489="ROYAL",PR!$BC487,IF(J489="SAM",PR!$BD487,IF(J489="SEAGREEN",PR!$BE487,IF(J489="SKG",PR!$BF487,IF(J489="TAH",PR!$BG487,IF(J489="TAYLEK",PR!$BH487,IF(J489="TEMITA",PR!$BI487,IF(J489="THL",PR!$BJ487,IF(J489="UBASTIC",PR!$BK487,IF(J489="UNION",PR!$BL487,IF(J489="UNIQUE",PR!$BM487,IF(J489="VIXA",PR!$BN487,IF(J489="WWCV",PR!$BO487,IF(J489="ZOLON",PR!$BP487,"-"))))))))))))))))))))))))))))))))))))))))))))))))))))))))))))))))</f>
        <v>-</v>
      </c>
      <c r="J489" s="102">
        <f>EV!N625</f>
        <v>0</v>
      </c>
      <c r="K489" s="433" t="s">
        <v>632</v>
      </c>
      <c r="L489" s="183">
        <f>IF(K489&gt;0,IF(K489="ALPHA",PR!$E487,IF(K489="ASSENE",PR!$F487,IF(K489="BIOFEM",PR!$G487,IF(K489="BIOMED",PR!$H487,IF(K489="CHI",PR!$I487,IF(K489="CLARION",PR!$J487,IF(K489="CODIX",PR!$K487,IF(K489="COSMADE",PR!$L487,IF(K489="SANCON",PR!$M487,IF(K489="DEVON",PR!$N487,IF(K489="DORTEMAG",PR!$O487,IF(K489="DGF",PR!$P487,IF(K489="DYNAMIC",PR!$Q487,IF(K489="EMZOR",PR!$R487,IF(K489="EUMATT",PR!$S487,IF(K489="FIDSON",PR!$T487,IF(K489="FCGLOBAL",PR!$U487,IF(K489="GENEITH",PR!$V487,IF(K489="GINOS",PR!$W487,IF(K489="GSK",PR!$X487,IF(K489="GLOBORG",PR!$Y487,IF(K489="GOODNEWS",PR!$Z487,IF(K489="GREENLIFE",PR!$AA487,IF(K489="HLINE",PR!$AB487,IF(K489="ROTECH",PR!$AC487,IF(K489="ISN",PR!$AD487,IF(K489="JAWA",PR!$AE487,IF(K489="LAYO",PR!$AF487,IF(K489="LEADWAY",PR!$AG487,IF(K489="LHV",PR!$AH487,IF(K489="MANOLA",PR!$AI487,IF(K489="MARCSON",PR!$AJ487,IF(K489="M&amp;B",PR!$AK487,IF(K489="MTRUST",PR!$AL487,IF(K489="MWORLD",PR!$AM487,IF(K489="MEGA",PR!$AN487,IF(K489="MICRONOVA",PR!$AO487,IF(K489="MFLASH",PR!$AP487,IF(K489="MORISON",PR!$AQ487,IF(K489="NEMEL",PR!$AR487,IF(K489="NHP",PR!$AS487,IF(K489="NHC",PR!$AT487,IF(K489="OLEAF",PR!$AU487,IF(K489="OCULUS",PR!$AV487,IF(K489="PACIFIC",PR!$AW487,IF(K489="PHAMATEX",PR!$AX487,IF(K489="PETHICS",PR!$AY487,IF(K489="PHILIPS",PR!$AZ487,IF(K489="RANBAXY",PR!$BA487,IF(K489="REALS",PR!$BB487,IF(K489="ROYAL",PR!$BC487,IF(K489="SAM",PR!$BD487,IF(K489="SEAGREEN",PR!$BE487,IF(K489="SKG",PR!$BF487,IF(K489="TAH",PR!$BG487,IF(K489="TAYLEK",PR!$BH487,IF(K489="TEMITA",PR!$BI487,IF(K489="THL",PR!$BJ487,IF(K489="UBASTIC",PR!$BK487,IF(K489="UNION",PR!$BL487,IF(K489="UNIQUE",PR!$BM487,IF(K489="VIXA",PR!$BN487,IF(K489="WWCV",PR!$BO487,IF(K489="ZOLON",PR!$BP487,"-")))))))))))))))))))))))))))))))))))))))))))))))))))))))))))))))))</f>
        <v>900</v>
      </c>
    </row>
    <row r="490" spans="1:12" ht="18.75" x14ac:dyDescent="0.3">
      <c r="A490" s="430">
        <f>PR!A488</f>
        <v>442</v>
      </c>
      <c r="B490" s="15" t="str">
        <f>PR!B488</f>
        <v>OMEPRAZOLE IV</v>
      </c>
      <c r="C490" s="113" t="str">
        <f>PR!D488</f>
        <v xml:space="preserve">VIAL </v>
      </c>
      <c r="D490" s="113">
        <f>PR!C488</f>
        <v>8000</v>
      </c>
      <c r="E490" s="108">
        <f>IF(F490="ALPHA",PR!$E488,IF(F490="ASSENE",PR!$F488,IF(F490="BIOFEM",PR!$G488,IF(F490="BIOMED",PR!$H488,IF(F490="CHI",PR!$I488,IF(F490="CLARION",PR!$J488,IF(F490="CODIX",PR!$K488,IF(F490="COSMADE",PR!$L488,IF(F490="SANCON",PR!$M488,IF(F490="DEVON",PR!$N488,IF(F490="DORTEMAG",PR!$O488,IF(F490="DGF",PR!$P488,IF(F490="DYNAMIC",PR!$Q488,IF(F490="EMZOR",PR!$R488,IF(F490="EUMATT",PR!$S488,IF(F490="FIDSON",PR!$T488,IF(F490="FCGLOBAL",PR!$U488,IF(F490="GENEITH",PR!$V488,IF(F490="GINOS",PR!$W488,IF(F490="GSK",PR!$X488,IF(F490="GLOBORG",PR!$Y488,IF(F490="GOODNEWS",PR!$Z488,IF(F490="GREENLIFE",PR!$AA488,IF(F490="HLINE",PR!$AB488,IF(F490="ROTECH",PR!$AC488,IF(F490="ISN",PR!$AD488,IF(F490="JAWA",PR!$AE488,IF(F490="LAYO",PR!$AF488,IF(F490="LEADWAY",PR!$AG488,IF(F490="LHV",PR!$AH488,IF(F490="MANOLA",PR!$AI488,IF(F490="MARCSON",PR!$AJ488,IF(F490="M&amp;B",PR!$AK488,IF(F490="MTRUST",PR!$AL488,IF(F490="MWORLD",PR!$AM488,IF(F490="MEGA",PR!$AN488,IF(F490="MICRONOVA",PR!$AO488,IF(F490="MFLASH",PR!$AP488,IF(F490="MORISON",PR!$AQ488,IF(F490="NEMEL",PR!$AR488,IF(F490="NHP",PR!$AS488,IF(F490="NHC",PR!$AT488,IF(F490="OLEAF",PR!$AU488,IF(F490="OCULUS",PR!$AV488,IF(F490="PACIFIC",PR!$AW488,IF(F490="PHAMATEX",PR!$AX488,IF(F490="PETHICS",PR!$AY488,IF(F490="PHILIPS",PR!$AZ488,IF(F490="RANBAXY",PR!$BA488,IF(F490="REALS",PR!$BB488,IF(F490="ROYAL",PR!$BC488,IF(F490="SAM",PR!$BD488,IF(F490="SEAGREEN",PR!$BE488,IF(F490="SKG",PR!$BF488,IF(F490="TAH",PR!$BG488,IF(F490="TAYLEK",PR!$BH488,IF(F490="TEMITA",PR!$BI488,IF(F490="THL",PR!$BJ488,IF(F490="UBASTIC",PR!$BK488,IF(F490="UNION",PR!$BL488,IF(F490="UNIQUE",PR!$BM488,IF(F490="VIXA",PR!$BN488,IF(F490="WWCV",PR!$BO488,IF(F490="ZOLON",PR!$BP488,"-"))))))))))))))))))))))))))))))))))))))))))))))))))))))))))))))))</f>
        <v>250</v>
      </c>
      <c r="F490" s="102" t="str">
        <f>EV!L626</f>
        <v>EUMATT</v>
      </c>
      <c r="G490" s="108">
        <f>IF(H490="ALPHA",PR!$E488,IF(H490="ASSENE",PR!$F488,IF(H490="BIOFEM",PR!$G488,IF(H490="BIOMED",PR!$H488,IF(H490="CHI",PR!$I488,IF(H490="CLARION",PR!$J488,IF(H490="CODIX",PR!$K488,IF(H490="COSMADE",PR!$L488,IF(H490="SANCON",PR!$M488,IF(H490="DEVON",PR!$N488,IF(H490="DORTEMAG",PR!$O488,IF(H490="DGF",PR!$P488,IF(H490="DYNAMIC",PR!$Q488,IF(H490="EMZOR",PR!$R488,IF(H490="EUMATT",PR!$S488,IF(H490="FIDSON",PR!$T488,IF(H490="FCGLOBAL",PR!$U488,IF(H490="GENEITH",PR!$V488,IF(H490="GINOS",PR!$W488,IF(H490="GSK",PR!$X488,IF(H490="GLOBORG",PR!$Y488,IF(H490="GOODNEWS",PR!$Z488,IF(H490="GREENLIFE",PR!$AA488,IF(H490="HLINE",PR!$AB488,IF(H490="ROTECH",PR!$AC488,IF(H490="ISN",PR!$AD488,IF(H490="JAWA",PR!$AE488,IF(H490="LAYO",PR!$AF488,IF(H490="LEADWAY",PR!$AG488,IF(H490="LHV",PR!$AH488,IF(H490="MANOLA",PR!$AI488,IF(H490="MARCSON",PR!$AJ488,IF(H490="M&amp;B",PR!$AK488,IF(H490="MTRUST",PR!$AL488,IF(H490="MWORLD",PR!$AM488,IF(H490="MEGA",PR!$AN488,IF(H490="MICRONOVA",PR!$AO488,IF(H490="MFLASH",PR!$AP488,IF(H490="MORISON",PR!$AQ488,IF(H490="NEMEL",PR!$AR488,IF(H490="NHP",PR!$AS488,IF(H490="NHC",PR!$AT488,IF(H490="OLEAF",PR!$AU488,IF(H490="OCULUS",PR!$AV488,IF(H490="PACIFIC",PR!$AW488,IF(H490="PHAMATEX",PR!$AX488,IF(H490="PETHICS",PR!$AY488,IF(H490="PHILIPS",PR!$AZ488,IF(H490="RANBAXY",PR!$BA488,IF(H490="REALS",PR!$BB488,IF(H490="ROYAL",PR!$BC488,IF(H490="SAM",PR!$BD488,IF(H490="SEAGREEN",PR!$BE488,IF(H490="SKG",PR!$BF488,IF(H490="TAH",PR!$BG488,IF(H490="TAYLEK",PR!$BH488,IF(H490="TEMITA",PR!$BI488,IF(H490="THL",PR!$BJ488,IF(H490="UBASTIC",PR!$BK488,IF(H490="UNION",PR!$BL488,IF(H490="UNIQUE",PR!$BM488,IF(H490="VIXA",PR!$BN488,IF(H490="WWCV",PR!$BO488,IF(H490="ZOLON",PR!$BP488,"-"))))))))))))))))))))))))))))))))))))))))))))))))))))))))))))))))</f>
        <v>350</v>
      </c>
      <c r="H490" s="102" t="str">
        <f>EV!M626</f>
        <v>FIDSON</v>
      </c>
      <c r="I490" s="108">
        <f>IF(J490="ALPHA",PR!$E488,IF(J490="ASSENE",PR!$F488,IF(J490="BIOFEM",PR!$G488,IF(J490="BIOMED",PR!$H488,IF(J490="CHI",PR!$I488,IF(J490="CLARION",PR!$J488,IF(J490="CODIX",PR!$K488,IF(J490="COSMADE",PR!$L488,IF(J490="SANCON",PR!$M488,IF(J490="DEVON",PR!$N488,IF(J490="DORTEMAG",PR!$O488,IF(J490="DGF",PR!$P488,IF(J490="DYNAMIC",PR!$Q488,IF(J490="EMZOR",PR!$R488,IF(J490="EUMATT",PR!$S488,IF(J490="FIDSON",PR!$T488,IF(J490="FCGLOBAL",PR!$U488,IF(J490="GENEITH",PR!$V488,IF(J490="GINOS",PR!$W488,IF(J490="GSK",PR!$X488,IF(J490="GLOBORG",PR!$Y488,IF(J490="GOODNEWS",PR!$Z488,IF(J490="GREENLIFE",PR!$AA488,IF(J490="HLINE",PR!$AB488,IF(J490="ROTECH",PR!$AC488,IF(J490="ISN",PR!$AD488,IF(J490="JAWA",PR!$AE488,IF(J490="LAYO",PR!$AF488,IF(J490="LEADWAY",PR!$AG488,IF(J490="LHV",PR!$AH488,IF(J490="MANOLA",PR!$AI488,IF(J490="MARCSON",PR!$AJ488,IF(J490="M&amp;B",PR!$AK488,IF(J490="MTRUST",PR!$AL488,IF(J490="MWORLD",PR!$AM488,IF(J490="MEGA",PR!$AN488,IF(J490="MICRONOVA",PR!$AO488,IF(J490="MFLASH",PR!$AP488,IF(J490="MORISON",PR!$AQ488,IF(J490="NEMEL",PR!$AR488,IF(J490="NHP",PR!$AS488,IF(J490="NHC",PR!$AT488,IF(J490="OLEAF",PR!$AU488,IF(J490="OCULUS",PR!$AV488,IF(J490="PACIFIC",PR!$AW488,IF(J490="PHAMATEX",PR!$AX488,IF(J490="PETHICS",PR!$AY488,IF(J490="PHILIPS",PR!$AZ488,IF(J490="RANBAXY",PR!$BA488,IF(J490="REALS",PR!$BB488,IF(J490="ROYAL",PR!$BC488,IF(J490="SAM",PR!$BD488,IF(J490="SEAGREEN",PR!$BE488,IF(J490="SKG",PR!$BF488,IF(J490="TAH",PR!$BG488,IF(J490="TAYLEK",PR!$BH488,IF(J490="TEMITA",PR!$BI488,IF(J490="THL",PR!$BJ488,IF(J490="UBASTIC",PR!$BK488,IF(J490="UNION",PR!$BL488,IF(J490="UNIQUE",PR!$BM488,IF(J490="VIXA",PR!$BN488,IF(J490="WWCV",PR!$BO488,IF(J490="ZOLON",PR!$BP488,"-"))))))))))))))))))))))))))))))))))))))))))))))))))))))))))))))))</f>
        <v>420</v>
      </c>
      <c r="J490" s="102" t="str">
        <f>EV!N626</f>
        <v>VIXA</v>
      </c>
      <c r="K490" s="433" t="s">
        <v>821</v>
      </c>
      <c r="L490" s="183">
        <f>IF(K490&gt;0,IF(K490="ALPHA",PR!$E488,IF(K490="ASSENE",PR!$F488,IF(K490="BIOFEM",PR!$G488,IF(K490="BIOMED",PR!$H488,IF(K490="CHI",PR!$I488,IF(K490="CLARION",PR!$J488,IF(K490="CODIX",PR!$K488,IF(K490="COSMADE",PR!$L488,IF(K490="SANCON",PR!$M488,IF(K490="DEVON",PR!$N488,IF(K490="DORTEMAG",PR!$O488,IF(K490="DGF",PR!$P488,IF(K490="DYNAMIC",PR!$Q488,IF(K490="EMZOR",PR!$R488,IF(K490="EUMATT",PR!$S488,IF(K490="FIDSON",PR!$T488,IF(K490="FCGLOBAL",PR!$U488,IF(K490="GENEITH",PR!$V488,IF(K490="GINOS",PR!$W488,IF(K490="GSK",PR!$X488,IF(K490="GLOBORG",PR!$Y488,IF(K490="GOODNEWS",PR!$Z488,IF(K490="GREENLIFE",PR!$AA488,IF(K490="HLINE",PR!$AB488,IF(K490="ROTECH",PR!$AC488,IF(K490="ISN",PR!$AD488,IF(K490="JAWA",PR!$AE488,IF(K490="LAYO",PR!$AF488,IF(K490="LEADWAY",PR!$AG488,IF(K490="LHV",PR!$AH488,IF(K490="MANOLA",PR!$AI488,IF(K490="MARCSON",PR!$AJ488,IF(K490="M&amp;B",PR!$AK488,IF(K490="MTRUST",PR!$AL488,IF(K490="MWORLD",PR!$AM488,IF(K490="MEGA",PR!$AN488,IF(K490="MICRONOVA",PR!$AO488,IF(K490="MFLASH",PR!$AP488,IF(K490="MORISON",PR!$AQ488,IF(K490="NEMEL",PR!$AR488,IF(K490="NHP",PR!$AS488,IF(K490="NHC",PR!$AT488,IF(K490="OLEAF",PR!$AU488,IF(K490="OCULUS",PR!$AV488,IF(K490="PACIFIC",PR!$AW488,IF(K490="PHAMATEX",PR!$AX488,IF(K490="PETHICS",PR!$AY488,IF(K490="PHILIPS",PR!$AZ488,IF(K490="RANBAXY",PR!$BA488,IF(K490="REALS",PR!$BB488,IF(K490="ROYAL",PR!$BC488,IF(K490="SAM",PR!$BD488,IF(K490="SEAGREEN",PR!$BE488,IF(K490="SKG",PR!$BF488,IF(K490="TAH",PR!$BG488,IF(K490="TAYLEK",PR!$BH488,IF(K490="TEMITA",PR!$BI488,IF(K490="THL",PR!$BJ488,IF(K490="UBASTIC",PR!$BK488,IF(K490="UNION",PR!$BL488,IF(K490="UNIQUE",PR!$BM488,IF(K490="VIXA",PR!$BN488,IF(K490="WWCV",PR!$BO488,IF(K490="ZOLON",PR!$BP488,"-")))))))))))))))))))))))))))))))))))))))))))))))))))))))))))))))))</f>
        <v>250</v>
      </c>
    </row>
    <row r="491" spans="1:12" ht="18.75" x14ac:dyDescent="0.3">
      <c r="A491" s="430">
        <f>PR!A489</f>
        <v>443</v>
      </c>
      <c r="B491" s="15" t="str">
        <f>PR!B489</f>
        <v>OMEPRAZOLE/CLARITHROMYCIN+TINIDAZOLE CAP</v>
      </c>
      <c r="C491" s="113">
        <f>PR!D489</f>
        <v>42</v>
      </c>
      <c r="D491" s="113">
        <f>PR!C489</f>
        <v>208</v>
      </c>
      <c r="E491" s="108">
        <f>IF(F491="ALPHA",PR!$E489,IF(F491="ASSENE",PR!$F489,IF(F491="BIOFEM",PR!$G489,IF(F491="BIOMED",PR!$H489,IF(F491="CHI",PR!$I489,IF(F491="CLARION",PR!$J489,IF(F491="CODIX",PR!$K489,IF(F491="COSMADE",PR!$L489,IF(F491="SANCON",PR!$M489,IF(F491="DEVON",PR!$N489,IF(F491="DORTEMAG",PR!$O489,IF(F491="DGF",PR!$P489,IF(F491="DYNAMIC",PR!$Q489,IF(F491="EMZOR",PR!$R489,IF(F491="EUMATT",PR!$S489,IF(F491="FIDSON",PR!$T489,IF(F491="FCGLOBAL",PR!$U489,IF(F491="GENEITH",PR!$V489,IF(F491="GINOS",PR!$W489,IF(F491="GSK",PR!$X489,IF(F491="GLOBORG",PR!$Y489,IF(F491="GOODNEWS",PR!$Z489,IF(F491="GREENLIFE",PR!$AA489,IF(F491="HLINE",PR!$AB489,IF(F491="ROTECH",PR!$AC489,IF(F491="ISN",PR!$AD489,IF(F491="JAWA",PR!$AE489,IF(F491="LAYO",PR!$AF489,IF(F491="LEADWAY",PR!$AG489,IF(F491="LHV",PR!$AH489,IF(F491="MANOLA",PR!$AI489,IF(F491="MARCSON",PR!$AJ489,IF(F491="M&amp;B",PR!$AK489,IF(F491="MTRUST",PR!$AL489,IF(F491="MWORLD",PR!$AM489,IF(F491="MEGA",PR!$AN489,IF(F491="MICRONOVA",PR!$AO489,IF(F491="MFLASH",PR!$AP489,IF(F491="MORISON",PR!$AQ489,IF(F491="NEMEL",PR!$AR489,IF(F491="NHP",PR!$AS489,IF(F491="NHC",PR!$AT489,IF(F491="OLEAF",PR!$AU489,IF(F491="OCULUS",PR!$AV489,IF(F491="PACIFIC",PR!$AW489,IF(F491="PHAMATEX",PR!$AX489,IF(F491="PETHICS",PR!$AY489,IF(F491="PHILIPS",PR!$AZ489,IF(F491="RANBAXY",PR!$BA489,IF(F491="REALS",PR!$BB489,IF(F491="ROYAL",PR!$BC489,IF(F491="SAM",PR!$BD489,IF(F491="SEAGREEN",PR!$BE489,IF(F491="SKG",PR!$BF489,IF(F491="TAH",PR!$BG489,IF(F491="TAYLEK",PR!$BH489,IF(F491="TEMITA",PR!$BI489,IF(F491="THL",PR!$BJ489,IF(F491="UBASTIC",PR!$BK489,IF(F491="UNION",PR!$BL489,IF(F491="UNIQUE",PR!$BM489,IF(F491="VIXA",PR!$BN489,IF(F491="WWCV",PR!$BO489,IF(F491="ZOLON",PR!$BP489,"-"))))))))))))))))))))))))))))))))))))))))))))))))))))))))))))))))</f>
        <v>1900</v>
      </c>
      <c r="F491" s="102" t="str">
        <f>EV!L627</f>
        <v>ZOLON</v>
      </c>
      <c r="G491" s="108">
        <f>IF(H491="ALPHA",PR!$E489,IF(H491="ASSENE",PR!$F489,IF(H491="BIOFEM",PR!$G489,IF(H491="BIOMED",PR!$H489,IF(H491="CHI",PR!$I489,IF(H491="CLARION",PR!$J489,IF(H491="CODIX",PR!$K489,IF(H491="COSMADE",PR!$L489,IF(H491="SANCON",PR!$M489,IF(H491="DEVON",PR!$N489,IF(H491="DORTEMAG",PR!$O489,IF(H491="DGF",PR!$P489,IF(H491="DYNAMIC",PR!$Q489,IF(H491="EMZOR",PR!$R489,IF(H491="EUMATT",PR!$S489,IF(H491="FIDSON",PR!$T489,IF(H491="FCGLOBAL",PR!$U489,IF(H491="GENEITH",PR!$V489,IF(H491="GINOS",PR!$W489,IF(H491="GSK",PR!$X489,IF(H491="GLOBORG",PR!$Y489,IF(H491="GOODNEWS",PR!$Z489,IF(H491="GREENLIFE",PR!$AA489,IF(H491="HLINE",PR!$AB489,IF(H491="ROTECH",PR!$AC489,IF(H491="ISN",PR!$AD489,IF(H491="JAWA",PR!$AE489,IF(H491="LAYO",PR!$AF489,IF(H491="LEADWAY",PR!$AG489,IF(H491="LHV",PR!$AH489,IF(H491="MANOLA",PR!$AI489,IF(H491="MARCSON",PR!$AJ489,IF(H491="M&amp;B",PR!$AK489,IF(H491="MTRUST",PR!$AL489,IF(H491="MWORLD",PR!$AM489,IF(H491="MEGA",PR!$AN489,IF(H491="MICRONOVA",PR!$AO489,IF(H491="MFLASH",PR!$AP489,IF(H491="MORISON",PR!$AQ489,IF(H491="NEMEL",PR!$AR489,IF(H491="NHP",PR!$AS489,IF(H491="NHC",PR!$AT489,IF(H491="OLEAF",PR!$AU489,IF(H491="OCULUS",PR!$AV489,IF(H491="PACIFIC",PR!$AW489,IF(H491="PHAMATEX",PR!$AX489,IF(H491="PETHICS",PR!$AY489,IF(H491="PHILIPS",PR!$AZ489,IF(H491="RANBAXY",PR!$BA489,IF(H491="REALS",PR!$BB489,IF(H491="ROYAL",PR!$BC489,IF(H491="SAM",PR!$BD489,IF(H491="SEAGREEN",PR!$BE489,IF(H491="SKG",PR!$BF489,IF(H491="TAH",PR!$BG489,IF(H491="TAYLEK",PR!$BH489,IF(H491="TEMITA",PR!$BI489,IF(H491="THL",PR!$BJ489,IF(H491="UBASTIC",PR!$BK489,IF(H491="UNION",PR!$BL489,IF(H491="UNIQUE",PR!$BM489,IF(H491="VIXA",PR!$BN489,IF(H491="WWCV",PR!$BO489,IF(H491="ZOLON",PR!$BP489,"-"))))))))))))))))))))))))))))))))))))))))))))))))))))))))))))))))</f>
        <v>2000</v>
      </c>
      <c r="H491" s="102" t="str">
        <f>EV!M627</f>
        <v>GREENLIFE</v>
      </c>
      <c r="I491" s="108" t="str">
        <f>IF(J491="ALPHA",PR!$E489,IF(J491="ASSENE",PR!$F489,IF(J491="BIOFEM",PR!$G489,IF(J491="BIOMED",PR!$H489,IF(J491="CHI",PR!$I489,IF(J491="CLARION",PR!$J489,IF(J491="CODIX",PR!$K489,IF(J491="COSMADE",PR!$L489,IF(J491="SANCON",PR!$M489,IF(J491="DEVON",PR!$N489,IF(J491="DORTEMAG",PR!$O489,IF(J491="DGF",PR!$P489,IF(J491="DYNAMIC",PR!$Q489,IF(J491="EMZOR",PR!$R489,IF(J491="EUMATT",PR!$S489,IF(J491="FIDSON",PR!$T489,IF(J491="FCGLOBAL",PR!$U489,IF(J491="GENEITH",PR!$V489,IF(J491="GINOS",PR!$W489,IF(J491="GSK",PR!$X489,IF(J491="GLOBORG",PR!$Y489,IF(J491="GOODNEWS",PR!$Z489,IF(J491="GREENLIFE",PR!$AA489,IF(J491="HLINE",PR!$AB489,IF(J491="ROTECH",PR!$AC489,IF(J491="ISN",PR!$AD489,IF(J491="JAWA",PR!$AE489,IF(J491="LAYO",PR!$AF489,IF(J491="LEADWAY",PR!$AG489,IF(J491="LHV",PR!$AH489,IF(J491="MANOLA",PR!$AI489,IF(J491="MARCSON",PR!$AJ489,IF(J491="M&amp;B",PR!$AK489,IF(J491="MTRUST",PR!$AL489,IF(J491="MWORLD",PR!$AM489,IF(J491="MEGA",PR!$AN489,IF(J491="MICRONOVA",PR!$AO489,IF(J491="MFLASH",PR!$AP489,IF(J491="MORISON",PR!$AQ489,IF(J491="NEMEL",PR!$AR489,IF(J491="NHP",PR!$AS489,IF(J491="NHC",PR!$AT489,IF(J491="OLEAF",PR!$AU489,IF(J491="OCULUS",PR!$AV489,IF(J491="PACIFIC",PR!$AW489,IF(J491="PHAMATEX",PR!$AX489,IF(J491="PETHICS",PR!$AY489,IF(J491="PHILIPS",PR!$AZ489,IF(J491="RANBAXY",PR!$BA489,IF(J491="REALS",PR!$BB489,IF(J491="ROYAL",PR!$BC489,IF(J491="SAM",PR!$BD489,IF(J491="SEAGREEN",PR!$BE489,IF(J491="SKG",PR!$BF489,IF(J491="TAH",PR!$BG489,IF(J491="TAYLEK",PR!$BH489,IF(J491="TEMITA",PR!$BI489,IF(J491="THL",PR!$BJ489,IF(J491="UBASTIC",PR!$BK489,IF(J491="UNION",PR!$BL489,IF(J491="UNIQUE",PR!$BM489,IF(J491="VIXA",PR!$BN489,IF(J491="WWCV",PR!$BO489,IF(J491="ZOLON",PR!$BP489,"-"))))))))))))))))))))))))))))))))))))))))))))))))))))))))))))))))</f>
        <v>-</v>
      </c>
      <c r="J491" s="102">
        <f>EV!N627</f>
        <v>0</v>
      </c>
      <c r="K491" s="433" t="s">
        <v>615</v>
      </c>
      <c r="L491" s="183">
        <f>IF(K491&gt;0,IF(K491="ALPHA",PR!$E489,IF(K491="ASSENE",PR!$F489,IF(K491="BIOFEM",PR!$G489,IF(K491="BIOMED",PR!$H489,IF(K491="CHI",PR!$I489,IF(K491="CLARION",PR!$J489,IF(K491="CODIX",PR!$K489,IF(K491="COSMADE",PR!$L489,IF(K491="SANCON",PR!$M489,IF(K491="DEVON",PR!$N489,IF(K491="DORTEMAG",PR!$O489,IF(K491="DGF",PR!$P489,IF(K491="DYNAMIC",PR!$Q489,IF(K491="EMZOR",PR!$R489,IF(K491="EUMATT",PR!$S489,IF(K491="FIDSON",PR!$T489,IF(K491="FCGLOBAL",PR!$U489,IF(K491="GENEITH",PR!$V489,IF(K491="GINOS",PR!$W489,IF(K491="GSK",PR!$X489,IF(K491="GLOBORG",PR!$Y489,IF(K491="GOODNEWS",PR!$Z489,IF(K491="GREENLIFE",PR!$AA489,IF(K491="HLINE",PR!$AB489,IF(K491="ROTECH",PR!$AC489,IF(K491="ISN",PR!$AD489,IF(K491="JAWA",PR!$AE489,IF(K491="LAYO",PR!$AF489,IF(K491="LEADWAY",PR!$AG489,IF(K491="LHV",PR!$AH489,IF(K491="MANOLA",PR!$AI489,IF(K491="MARCSON",PR!$AJ489,IF(K491="M&amp;B",PR!$AK489,IF(K491="MTRUST",PR!$AL489,IF(K491="MWORLD",PR!$AM489,IF(K491="MEGA",PR!$AN489,IF(K491="MICRONOVA",PR!$AO489,IF(K491="MFLASH",PR!$AP489,IF(K491="MORISON",PR!$AQ489,IF(K491="NEMEL",PR!$AR489,IF(K491="NHP",PR!$AS489,IF(K491="NHC",PR!$AT489,IF(K491="OLEAF",PR!$AU489,IF(K491="OCULUS",PR!$AV489,IF(K491="PACIFIC",PR!$AW489,IF(K491="PHAMATEX",PR!$AX489,IF(K491="PETHICS",PR!$AY489,IF(K491="PHILIPS",PR!$AZ489,IF(K491="RANBAXY",PR!$BA489,IF(K491="REALS",PR!$BB489,IF(K491="ROYAL",PR!$BC489,IF(K491="SAM",PR!$BD489,IF(K491="SEAGREEN",PR!$BE489,IF(K491="SKG",PR!$BF489,IF(K491="TAH",PR!$BG489,IF(K491="TAYLEK",PR!$BH489,IF(K491="TEMITA",PR!$BI489,IF(K491="THL",PR!$BJ489,IF(K491="UBASTIC",PR!$BK489,IF(K491="UNION",PR!$BL489,IF(K491="UNIQUE",PR!$BM489,IF(K491="VIXA",PR!$BN489,IF(K491="WWCV",PR!$BO489,IF(K491="ZOLON",PR!$BP489,"-")))))))))))))))))))))))))))))))))))))))))))))))))))))))))))))))))</f>
        <v>1900</v>
      </c>
    </row>
    <row r="492" spans="1:12" ht="18.75" x14ac:dyDescent="0.3">
      <c r="A492" s="430">
        <f>PR!A490</f>
        <v>444</v>
      </c>
      <c r="B492" s="15" t="str">
        <f>PR!B490</f>
        <v>ONDASETRON INJ</v>
      </c>
      <c r="C492" s="113" t="str">
        <f>PR!D490</f>
        <v>AMP</v>
      </c>
      <c r="D492" s="113">
        <f>PR!C490</f>
        <v>1600</v>
      </c>
      <c r="E492" s="108">
        <f>IF(F492="ALPHA",PR!$E490,IF(F492="ASSENE",PR!$F490,IF(F492="BIOFEM",PR!$G490,IF(F492="BIOMED",PR!$H490,IF(F492="CHI",PR!$I490,IF(F492="CLARION",PR!$J490,IF(F492="CODIX",PR!$K490,IF(F492="COSMADE",PR!$L490,IF(F492="SANCON",PR!$M490,IF(F492="DEVON",PR!$N490,IF(F492="DORTEMAG",PR!$O490,IF(F492="DGF",PR!$P490,IF(F492="DYNAMIC",PR!$Q490,IF(F492="EMZOR",PR!$R490,IF(F492="EUMATT",PR!$S490,IF(F492="FIDSON",PR!$T490,IF(F492="FCGLOBAL",PR!$U490,IF(F492="GENEITH",PR!$V490,IF(F492="GINOS",PR!$W490,IF(F492="GSK",PR!$X490,IF(F492="GLOBORG",PR!$Y490,IF(F492="GOODNEWS",PR!$Z490,IF(F492="GREENLIFE",PR!$AA490,IF(F492="HLINE",PR!$AB490,IF(F492="ROTECH",PR!$AC490,IF(F492="ISN",PR!$AD490,IF(F492="JAWA",PR!$AE490,IF(F492="LAYO",PR!$AF490,IF(F492="LEADWAY",PR!$AG490,IF(F492="LHV",PR!$AH490,IF(F492="MANOLA",PR!$AI490,IF(F492="MARCSON",PR!$AJ490,IF(F492="M&amp;B",PR!$AK490,IF(F492="MTRUST",PR!$AL490,IF(F492="MWORLD",PR!$AM490,IF(F492="MEGA",PR!$AN490,IF(F492="MICRONOVA",PR!$AO490,IF(F492="MFLASH",PR!$AP490,IF(F492="MORISON",PR!$AQ490,IF(F492="NEMEL",PR!$AR490,IF(F492="NHP",PR!$AS490,IF(F492="NHC",PR!$AT490,IF(F492="OLEAF",PR!$AU490,IF(F492="OCULUS",PR!$AV490,IF(F492="PACIFIC",PR!$AW490,IF(F492="PHAMATEX",PR!$AX490,IF(F492="PETHICS",PR!$AY490,IF(F492="PHILIPS",PR!$AZ490,IF(F492="RANBAXY",PR!$BA490,IF(F492="REALS",PR!$BB490,IF(F492="ROYAL",PR!$BC490,IF(F492="SAM",PR!$BD490,IF(F492="SEAGREEN",PR!$BE490,IF(F492="SKG",PR!$BF490,IF(F492="TAH",PR!$BG490,IF(F492="TAYLEK",PR!$BH490,IF(F492="TEMITA",PR!$BI490,IF(F492="THL",PR!$BJ490,IF(F492="UBASTIC",PR!$BK490,IF(F492="UNION",PR!$BL490,IF(F492="UNIQUE",PR!$BM490,IF(F492="VIXA",PR!$BN490,IF(F492="WWCV",PR!$BO490,IF(F492="ZOLON",PR!$BP490,"-"))))))))))))))))))))))))))))))))))))))))))))))))))))))))))))))))</f>
        <v>300</v>
      </c>
      <c r="F492" s="102" t="str">
        <f>EV!L628</f>
        <v>EUMATT</v>
      </c>
      <c r="G492" s="108">
        <f>IF(H492="ALPHA",PR!$E490,IF(H492="ASSENE",PR!$F490,IF(H492="BIOFEM",PR!$G490,IF(H492="BIOMED",PR!$H490,IF(H492="CHI",PR!$I490,IF(H492="CLARION",PR!$J490,IF(H492="CODIX",PR!$K490,IF(H492="COSMADE",PR!$L490,IF(H492="SANCON",PR!$M490,IF(H492="DEVON",PR!$N490,IF(H492="DORTEMAG",PR!$O490,IF(H492="DGF",PR!$P490,IF(H492="DYNAMIC",PR!$Q490,IF(H492="EMZOR",PR!$R490,IF(H492="EUMATT",PR!$S490,IF(H492="FIDSON",PR!$T490,IF(H492="FCGLOBAL",PR!$U490,IF(H492="GENEITH",PR!$V490,IF(H492="GINOS",PR!$W490,IF(H492="GSK",PR!$X490,IF(H492="GLOBORG",PR!$Y490,IF(H492="GOODNEWS",PR!$Z490,IF(H492="GREENLIFE",PR!$AA490,IF(H492="HLINE",PR!$AB490,IF(H492="ROTECH",PR!$AC490,IF(H492="ISN",PR!$AD490,IF(H492="JAWA",PR!$AE490,IF(H492="LAYO",PR!$AF490,IF(H492="LEADWAY",PR!$AG490,IF(H492="LHV",PR!$AH490,IF(H492="MANOLA",PR!$AI490,IF(H492="MARCSON",PR!$AJ490,IF(H492="M&amp;B",PR!$AK490,IF(H492="MTRUST",PR!$AL490,IF(H492="MWORLD",PR!$AM490,IF(H492="MEGA",PR!$AN490,IF(H492="MICRONOVA",PR!$AO490,IF(H492="MFLASH",PR!$AP490,IF(H492="MORISON",PR!$AQ490,IF(H492="NEMEL",PR!$AR490,IF(H492="NHP",PR!$AS490,IF(H492="NHC",PR!$AT490,IF(H492="OLEAF",PR!$AU490,IF(H492="OCULUS",PR!$AV490,IF(H492="PACIFIC",PR!$AW490,IF(H492="PHAMATEX",PR!$AX490,IF(H492="PETHICS",PR!$AY490,IF(H492="PHILIPS",PR!$AZ490,IF(H492="RANBAXY",PR!$BA490,IF(H492="REALS",PR!$BB490,IF(H492="ROYAL",PR!$BC490,IF(H492="SAM",PR!$BD490,IF(H492="SEAGREEN",PR!$BE490,IF(H492="SKG",PR!$BF490,IF(H492="TAH",PR!$BG490,IF(H492="TAYLEK",PR!$BH490,IF(H492="TEMITA",PR!$BI490,IF(H492="THL",PR!$BJ490,IF(H492="UBASTIC",PR!$BK490,IF(H492="UNION",PR!$BL490,IF(H492="UNIQUE",PR!$BM490,IF(H492="VIXA",PR!$BN490,IF(H492="WWCV",PR!$BO490,IF(H492="ZOLON",PR!$BP490,"-"))))))))))))))))))))))))))))))))))))))))))))))))))))))))))))))))</f>
        <v>410</v>
      </c>
      <c r="H492" s="102" t="str">
        <f>EV!M628</f>
        <v>MANOLA</v>
      </c>
      <c r="I492" s="108" t="str">
        <f>IF(J492="ALPHA",PR!$E490,IF(J492="ASSENE",PR!$F490,IF(J492="BIOFEM",PR!$G490,IF(J492="BIOMED",PR!$H490,IF(J492="CHI",PR!$I490,IF(J492="CLARION",PR!$J490,IF(J492="CODIX",PR!$K490,IF(J492="COSMADE",PR!$L490,IF(J492="SANCON",PR!$M490,IF(J492="DEVON",PR!$N490,IF(J492="DORTEMAG",PR!$O490,IF(J492="DGF",PR!$P490,IF(J492="DYNAMIC",PR!$Q490,IF(J492="EMZOR",PR!$R490,IF(J492="EUMATT",PR!$S490,IF(J492="FIDSON",PR!$T490,IF(J492="FCGLOBAL",PR!$U490,IF(J492="GENEITH",PR!$V490,IF(J492="GINOS",PR!$W490,IF(J492="GSK",PR!$X490,IF(J492="GLOBORG",PR!$Y490,IF(J492="GOODNEWS",PR!$Z490,IF(J492="GREENLIFE",PR!$AA490,IF(J492="HLINE",PR!$AB490,IF(J492="ROTECH",PR!$AC490,IF(J492="ISN",PR!$AD490,IF(J492="JAWA",PR!$AE490,IF(J492="LAYO",PR!$AF490,IF(J492="LEADWAY",PR!$AG490,IF(J492="LHV",PR!$AH490,IF(J492="MANOLA",PR!$AI490,IF(J492="MARCSON",PR!$AJ490,IF(J492="M&amp;B",PR!$AK490,IF(J492="MTRUST",PR!$AL490,IF(J492="MWORLD",PR!$AM490,IF(J492="MEGA",PR!$AN490,IF(J492="MICRONOVA",PR!$AO490,IF(J492="MFLASH",PR!$AP490,IF(J492="MORISON",PR!$AQ490,IF(J492="NEMEL",PR!$AR490,IF(J492="NHP",PR!$AS490,IF(J492="NHC",PR!$AT490,IF(J492="OLEAF",PR!$AU490,IF(J492="OCULUS",PR!$AV490,IF(J492="PACIFIC",PR!$AW490,IF(J492="PHAMATEX",PR!$AX490,IF(J492="PETHICS",PR!$AY490,IF(J492="PHILIPS",PR!$AZ490,IF(J492="RANBAXY",PR!$BA490,IF(J492="REALS",PR!$BB490,IF(J492="ROYAL",PR!$BC490,IF(J492="SAM",PR!$BD490,IF(J492="SEAGREEN",PR!$BE490,IF(J492="SKG",PR!$BF490,IF(J492="TAH",PR!$BG490,IF(J492="TAYLEK",PR!$BH490,IF(J492="TEMITA",PR!$BI490,IF(J492="THL",PR!$BJ490,IF(J492="UBASTIC",PR!$BK490,IF(J492="UNION",PR!$BL490,IF(J492="UNIQUE",PR!$BM490,IF(J492="VIXA",PR!$BN490,IF(J492="WWCV",PR!$BO490,IF(J492="ZOLON",PR!$BP490,"-"))))))))))))))))))))))))))))))))))))))))))))))))))))))))))))))))</f>
        <v>-</v>
      </c>
      <c r="J492" s="102">
        <f>EV!N628</f>
        <v>0</v>
      </c>
      <c r="K492" s="433" t="s">
        <v>821</v>
      </c>
      <c r="L492" s="183">
        <f>IF(K492&gt;0,IF(K492="ALPHA",PR!$E490,IF(K492="ASSENE",PR!$F490,IF(K492="BIOFEM",PR!$G490,IF(K492="BIOMED",PR!$H490,IF(K492="CHI",PR!$I490,IF(K492="CLARION",PR!$J490,IF(K492="CODIX",PR!$K490,IF(K492="COSMADE",PR!$L490,IF(K492="SANCON",PR!$M490,IF(K492="DEVON",PR!$N490,IF(K492="DORTEMAG",PR!$O490,IF(K492="DGF",PR!$P490,IF(K492="DYNAMIC",PR!$Q490,IF(K492="EMZOR",PR!$R490,IF(K492="EUMATT",PR!$S490,IF(K492="FIDSON",PR!$T490,IF(K492="FCGLOBAL",PR!$U490,IF(K492="GENEITH",PR!$V490,IF(K492="GINOS",PR!$W490,IF(K492="GSK",PR!$X490,IF(K492="GLOBORG",PR!$Y490,IF(K492="GOODNEWS",PR!$Z490,IF(K492="GREENLIFE",PR!$AA490,IF(K492="HLINE",PR!$AB490,IF(K492="ROTECH",PR!$AC490,IF(K492="ISN",PR!$AD490,IF(K492="JAWA",PR!$AE490,IF(K492="LAYO",PR!$AF490,IF(K492="LEADWAY",PR!$AG490,IF(K492="LHV",PR!$AH490,IF(K492="MANOLA",PR!$AI490,IF(K492="MARCSON",PR!$AJ490,IF(K492="M&amp;B",PR!$AK490,IF(K492="MTRUST",PR!$AL490,IF(K492="MWORLD",PR!$AM490,IF(K492="MEGA",PR!$AN490,IF(K492="MICRONOVA",PR!$AO490,IF(K492="MFLASH",PR!$AP490,IF(K492="MORISON",PR!$AQ490,IF(K492="NEMEL",PR!$AR490,IF(K492="NHP",PR!$AS490,IF(K492="NHC",PR!$AT490,IF(K492="OLEAF",PR!$AU490,IF(K492="OCULUS",PR!$AV490,IF(K492="PACIFIC",PR!$AW490,IF(K492="PHAMATEX",PR!$AX490,IF(K492="PETHICS",PR!$AY490,IF(K492="PHILIPS",PR!$AZ490,IF(K492="RANBAXY",PR!$BA490,IF(K492="REALS",PR!$BB490,IF(K492="ROYAL",PR!$BC490,IF(K492="SAM",PR!$BD490,IF(K492="SEAGREEN",PR!$BE490,IF(K492="SKG",PR!$BF490,IF(K492="TAH",PR!$BG490,IF(K492="TAYLEK",PR!$BH490,IF(K492="TEMITA",PR!$BI490,IF(K492="THL",PR!$BJ490,IF(K492="UBASTIC",PR!$BK490,IF(K492="UNION",PR!$BL490,IF(K492="UNIQUE",PR!$BM490,IF(K492="VIXA",PR!$BN490,IF(K492="WWCV",PR!$BO490,IF(K492="ZOLON",PR!$BP490,"-")))))))))))))))))))))))))))))))))))))))))))))))))))))))))))))))))</f>
        <v>300</v>
      </c>
    </row>
    <row r="493" spans="1:12" ht="18.75" x14ac:dyDescent="0.3">
      <c r="A493" s="430">
        <f>PR!A491</f>
        <v>445</v>
      </c>
      <c r="B493" s="15" t="str">
        <f>PR!B491</f>
        <v>ONDASETRON TAB</v>
      </c>
      <c r="C493" s="113">
        <f>PR!D491</f>
        <v>10</v>
      </c>
      <c r="D493" s="113">
        <f>PR!C491</f>
        <v>20</v>
      </c>
      <c r="E493" s="108">
        <f>IF(F493="ALPHA",PR!$E491,IF(F493="ASSENE",PR!$F491,IF(F493="BIOFEM",PR!$G491,IF(F493="BIOMED",PR!$H491,IF(F493="CHI",PR!$I491,IF(F493="CLARION",PR!$J491,IF(F493="CODIX",PR!$K491,IF(F493="COSMADE",PR!$L491,IF(F493="SANCON",PR!$M491,IF(F493="DEVON",PR!$N491,IF(F493="DORTEMAG",PR!$O491,IF(F493="DGF",PR!$P491,IF(F493="DYNAMIC",PR!$Q491,IF(F493="EMZOR",PR!$R491,IF(F493="EUMATT",PR!$S491,IF(F493="FIDSON",PR!$T491,IF(F493="FCGLOBAL",PR!$U491,IF(F493="GENEITH",PR!$V491,IF(F493="GINOS",PR!$W491,IF(F493="GSK",PR!$X491,IF(F493="GLOBORG",PR!$Y491,IF(F493="GOODNEWS",PR!$Z491,IF(F493="GREENLIFE",PR!$AA491,IF(F493="HLINE",PR!$AB491,IF(F493="ROTECH",PR!$AC491,IF(F493="ISN",PR!$AD491,IF(F493="JAWA",PR!$AE491,IF(F493="LAYO",PR!$AF491,IF(F493="LEADWAY",PR!$AG491,IF(F493="LHV",PR!$AH491,IF(F493="MANOLA",PR!$AI491,IF(F493="MARCSON",PR!$AJ491,IF(F493="M&amp;B",PR!$AK491,IF(F493="MTRUST",PR!$AL491,IF(F493="MWORLD",PR!$AM491,IF(F493="MEGA",PR!$AN491,IF(F493="MICRONOVA",PR!$AO491,IF(F493="MFLASH",PR!$AP491,IF(F493="MORISON",PR!$AQ491,IF(F493="NEMEL",PR!$AR491,IF(F493="NHP",PR!$AS491,IF(F493="NHC",PR!$AT491,IF(F493="OLEAF",PR!$AU491,IF(F493="OCULUS",PR!$AV491,IF(F493="PACIFIC",PR!$AW491,IF(F493="PHAMATEX",PR!$AX491,IF(F493="PETHICS",PR!$AY491,IF(F493="PHILIPS",PR!$AZ491,IF(F493="RANBAXY",PR!$BA491,IF(F493="REALS",PR!$BB491,IF(F493="ROYAL",PR!$BC491,IF(F493="SAM",PR!$BD491,IF(F493="SEAGREEN",PR!$BE491,IF(F493="SKG",PR!$BF491,IF(F493="TAH",PR!$BG491,IF(F493="TAYLEK",PR!$BH491,IF(F493="TEMITA",PR!$BI491,IF(F493="THL",PR!$BJ491,IF(F493="UBASTIC",PR!$BK491,IF(F493="UNION",PR!$BL491,IF(F493="UNIQUE",PR!$BM491,IF(F493="VIXA",PR!$BN491,IF(F493="WWCV",PR!$BO491,IF(F493="ZOLON",PR!$BP491,"-"))))))))))))))))))))))))))))))))))))))))))))))))))))))))))))))))</f>
        <v>819</v>
      </c>
      <c r="F493" s="102" t="str">
        <f>EV!L629</f>
        <v>MANOLA</v>
      </c>
      <c r="G493" s="108" t="str">
        <f>IF(H493="ALPHA",PR!$E491,IF(H493="ASSENE",PR!$F491,IF(H493="BIOFEM",PR!$G491,IF(H493="BIOMED",PR!$H491,IF(H493="CHI",PR!$I491,IF(H493="CLARION",PR!$J491,IF(H493="CODIX",PR!$K491,IF(H493="COSMADE",PR!$L491,IF(H493="SANCON",PR!$M491,IF(H493="DEVON",PR!$N491,IF(H493="DORTEMAG",PR!$O491,IF(H493="DGF",PR!$P491,IF(H493="DYNAMIC",PR!$Q491,IF(H493="EMZOR",PR!$R491,IF(H493="EUMATT",PR!$S491,IF(H493="FIDSON",PR!$T491,IF(H493="FCGLOBAL",PR!$U491,IF(H493="GENEITH",PR!$V491,IF(H493="GINOS",PR!$W491,IF(H493="GSK",PR!$X491,IF(H493="GLOBORG",PR!$Y491,IF(H493="GOODNEWS",PR!$Z491,IF(H493="GREENLIFE",PR!$AA491,IF(H493="HLINE",PR!$AB491,IF(H493="ROTECH",PR!$AC491,IF(H493="ISN",PR!$AD491,IF(H493="JAWA",PR!$AE491,IF(H493="LAYO",PR!$AF491,IF(H493="LEADWAY",PR!$AG491,IF(H493="LHV",PR!$AH491,IF(H493="MANOLA",PR!$AI491,IF(H493="MARCSON",PR!$AJ491,IF(H493="M&amp;B",PR!$AK491,IF(H493="MTRUST",PR!$AL491,IF(H493="MWORLD",PR!$AM491,IF(H493="MEGA",PR!$AN491,IF(H493="MICRONOVA",PR!$AO491,IF(H493="MFLASH",PR!$AP491,IF(H493="MORISON",PR!$AQ491,IF(H493="NEMEL",PR!$AR491,IF(H493="NHP",PR!$AS491,IF(H493="NHC",PR!$AT491,IF(H493="OLEAF",PR!$AU491,IF(H493="OCULUS",PR!$AV491,IF(H493="PACIFIC",PR!$AW491,IF(H493="PHAMATEX",PR!$AX491,IF(H493="PETHICS",PR!$AY491,IF(H493="PHILIPS",PR!$AZ491,IF(H493="RANBAXY",PR!$BA491,IF(H493="REALS",PR!$BB491,IF(H493="ROYAL",PR!$BC491,IF(H493="SAM",PR!$BD491,IF(H493="SEAGREEN",PR!$BE491,IF(H493="SKG",PR!$BF491,IF(H493="TAH",PR!$BG491,IF(H493="TAYLEK",PR!$BH491,IF(H493="TEMITA",PR!$BI491,IF(H493="THL",PR!$BJ491,IF(H493="UBASTIC",PR!$BK491,IF(H493="UNION",PR!$BL491,IF(H493="UNIQUE",PR!$BM491,IF(H493="VIXA",PR!$BN491,IF(H493="WWCV",PR!$BO491,IF(H493="ZOLON",PR!$BP491,"-"))))))))))))))))))))))))))))))))))))))))))))))))))))))))))))))))</f>
        <v>-</v>
      </c>
      <c r="H493" s="102">
        <f>EV!M629</f>
        <v>0</v>
      </c>
      <c r="I493" s="108" t="str">
        <f>IF(J493="ALPHA",PR!$E491,IF(J493="ASSENE",PR!$F491,IF(J493="BIOFEM",PR!$G491,IF(J493="BIOMED",PR!$H491,IF(J493="CHI",PR!$I491,IF(J493="CLARION",PR!$J491,IF(J493="CODIX",PR!$K491,IF(J493="COSMADE",PR!$L491,IF(J493="SANCON",PR!$M491,IF(J493="DEVON",PR!$N491,IF(J493="DORTEMAG",PR!$O491,IF(J493="DGF",PR!$P491,IF(J493="DYNAMIC",PR!$Q491,IF(J493="EMZOR",PR!$R491,IF(J493="EUMATT",PR!$S491,IF(J493="FIDSON",PR!$T491,IF(J493="FCGLOBAL",PR!$U491,IF(J493="GENEITH",PR!$V491,IF(J493="GINOS",PR!$W491,IF(J493="GSK",PR!$X491,IF(J493="GLOBORG",PR!$Y491,IF(J493="GOODNEWS",PR!$Z491,IF(J493="GREENLIFE",PR!$AA491,IF(J493="HLINE",PR!$AB491,IF(J493="ROTECH",PR!$AC491,IF(J493="ISN",PR!$AD491,IF(J493="JAWA",PR!$AE491,IF(J493="LAYO",PR!$AF491,IF(J493="LEADWAY",PR!$AG491,IF(J493="LHV",PR!$AH491,IF(J493="MANOLA",PR!$AI491,IF(J493="MARCSON",PR!$AJ491,IF(J493="M&amp;B",PR!$AK491,IF(J493="MTRUST",PR!$AL491,IF(J493="MWORLD",PR!$AM491,IF(J493="MEGA",PR!$AN491,IF(J493="MICRONOVA",PR!$AO491,IF(J493="MFLASH",PR!$AP491,IF(J493="MORISON",PR!$AQ491,IF(J493="NEMEL",PR!$AR491,IF(J493="NHP",PR!$AS491,IF(J493="NHC",PR!$AT491,IF(J493="OLEAF",PR!$AU491,IF(J493="OCULUS",PR!$AV491,IF(J493="PACIFIC",PR!$AW491,IF(J493="PHAMATEX",PR!$AX491,IF(J493="PETHICS",PR!$AY491,IF(J493="PHILIPS",PR!$AZ491,IF(J493="RANBAXY",PR!$BA491,IF(J493="REALS",PR!$BB491,IF(J493="ROYAL",PR!$BC491,IF(J493="SAM",PR!$BD491,IF(J493="SEAGREEN",PR!$BE491,IF(J493="SKG",PR!$BF491,IF(J493="TAH",PR!$BG491,IF(J493="TAYLEK",PR!$BH491,IF(J493="TEMITA",PR!$BI491,IF(J493="THL",PR!$BJ491,IF(J493="UBASTIC",PR!$BK491,IF(J493="UNION",PR!$BL491,IF(J493="UNIQUE",PR!$BM491,IF(J493="VIXA",PR!$BN491,IF(J493="WWCV",PR!$BO491,IF(J493="ZOLON",PR!$BP491,"-"))))))))))))))))))))))))))))))))))))))))))))))))))))))))))))))))</f>
        <v>-</v>
      </c>
      <c r="J493" s="102">
        <f>EV!N629</f>
        <v>0</v>
      </c>
      <c r="K493" s="433" t="s">
        <v>820</v>
      </c>
      <c r="L493" s="183">
        <f>IF(K493&gt;0,IF(K493="ALPHA",PR!$E491,IF(K493="ASSENE",PR!$F491,IF(K493="BIOFEM",PR!$G491,IF(K493="BIOMED",PR!$H491,IF(K493="CHI",PR!$I491,IF(K493="CLARION",PR!$J491,IF(K493="CODIX",PR!$K491,IF(K493="COSMADE",PR!$L491,IF(K493="SANCON",PR!$M491,IF(K493="DEVON",PR!$N491,IF(K493="DORTEMAG",PR!$O491,IF(K493="DGF",PR!$P491,IF(K493="DYNAMIC",PR!$Q491,IF(K493="EMZOR",PR!$R491,IF(K493="EUMATT",PR!$S491,IF(K493="FIDSON",PR!$T491,IF(K493="FCGLOBAL",PR!$U491,IF(K493="GENEITH",PR!$V491,IF(K493="GINOS",PR!$W491,IF(K493="GSK",PR!$X491,IF(K493="GLOBORG",PR!$Y491,IF(K493="GOODNEWS",PR!$Z491,IF(K493="GREENLIFE",PR!$AA491,IF(K493="HLINE",PR!$AB491,IF(K493="ROTECH",PR!$AC491,IF(K493="ISN",PR!$AD491,IF(K493="JAWA",PR!$AE491,IF(K493="LAYO",PR!$AF491,IF(K493="LEADWAY",PR!$AG491,IF(K493="LHV",PR!$AH491,IF(K493="MANOLA",PR!$AI491,IF(K493="MARCSON",PR!$AJ491,IF(K493="M&amp;B",PR!$AK491,IF(K493="MTRUST",PR!$AL491,IF(K493="MWORLD",PR!$AM491,IF(K493="MEGA",PR!$AN491,IF(K493="MICRONOVA",PR!$AO491,IF(K493="MFLASH",PR!$AP491,IF(K493="MORISON",PR!$AQ491,IF(K493="NEMEL",PR!$AR491,IF(K493="NHP",PR!$AS491,IF(K493="NHC",PR!$AT491,IF(K493="OLEAF",PR!$AU491,IF(K493="OCULUS",PR!$AV491,IF(K493="PACIFIC",PR!$AW491,IF(K493="PHAMATEX",PR!$AX491,IF(K493="PETHICS",PR!$AY491,IF(K493="PHILIPS",PR!$AZ491,IF(K493="RANBAXY",PR!$BA491,IF(K493="REALS",PR!$BB491,IF(K493="ROYAL",PR!$BC491,IF(K493="SAM",PR!$BD491,IF(K493="SEAGREEN",PR!$BE491,IF(K493="SKG",PR!$BF491,IF(K493="TAH",PR!$BG491,IF(K493="TAYLEK",PR!$BH491,IF(K493="TEMITA",PR!$BI491,IF(K493="THL",PR!$BJ491,IF(K493="UBASTIC",PR!$BK491,IF(K493="UNION",PR!$BL491,IF(K493="UNIQUE",PR!$BM491,IF(K493="VIXA",PR!$BN491,IF(K493="WWCV",PR!$BO491,IF(K493="ZOLON",PR!$BP491,"-")))))))))))))))))))))))))))))))))))))))))))))))))))))))))))))))))</f>
        <v>819</v>
      </c>
    </row>
    <row r="494" spans="1:12" ht="18.75" x14ac:dyDescent="0.3">
      <c r="A494" s="430">
        <f>PR!A492</f>
        <v>446</v>
      </c>
      <c r="B494" s="15" t="str">
        <f>PR!B492</f>
        <v>OXATHAZINE/MAGNESIUM HYDROXIDE/ALUMINIUM HYDROXIDE/SIMETHICONE</v>
      </c>
      <c r="C494" s="113" t="str">
        <f>PR!D492</f>
        <v>BOTT</v>
      </c>
      <c r="D494" s="113">
        <f>PR!C492</f>
        <v>400</v>
      </c>
      <c r="E494" s="108">
        <f>IF(F494="ALPHA",PR!$E492,IF(F494="ASSENE",PR!$F492,IF(F494="BIOFEM",PR!$G492,IF(F494="BIOMED",PR!$H492,IF(F494="CHI",PR!$I492,IF(F494="CLARION",PR!$J492,IF(F494="CODIX",PR!$K492,IF(F494="COSMADE",PR!$L492,IF(F494="SANCON",PR!$M492,IF(F494="DEVON",PR!$N492,IF(F494="DORTEMAG",PR!$O492,IF(F494="DGF",PR!$P492,IF(F494="DYNAMIC",PR!$Q492,IF(F494="EMZOR",PR!$R492,IF(F494="EUMATT",PR!$S492,IF(F494="FIDSON",PR!$T492,IF(F494="FCGLOBAL",PR!$U492,IF(F494="GENEITH",PR!$V492,IF(F494="GINOS",PR!$W492,IF(F494="GSK",PR!$X492,IF(F494="GLOBORG",PR!$Y492,IF(F494="GOODNEWS",PR!$Z492,IF(F494="GREENLIFE",PR!$AA492,IF(F494="HLINE",PR!$AB492,IF(F494="ROTECH",PR!$AC492,IF(F494="ISN",PR!$AD492,IF(F494="JAWA",PR!$AE492,IF(F494="LAYO",PR!$AF492,IF(F494="LEADWAY",PR!$AG492,IF(F494="LHV",PR!$AH492,IF(F494="MANOLA",PR!$AI492,IF(F494="MARCSON",PR!$AJ492,IF(F494="M&amp;B",PR!$AK492,IF(F494="MTRUST",PR!$AL492,IF(F494="MWORLD",PR!$AM492,IF(F494="MEGA",PR!$AN492,IF(F494="MICRONOVA",PR!$AO492,IF(F494="MFLASH",PR!$AP492,IF(F494="MORISON",PR!$AQ492,IF(F494="NEMEL",PR!$AR492,IF(F494="NHP",PR!$AS492,IF(F494="NHC",PR!$AT492,IF(F494="OLEAF",PR!$AU492,IF(F494="OCULUS",PR!$AV492,IF(F494="PACIFIC",PR!$AW492,IF(F494="PHAMATEX",PR!$AX492,IF(F494="PETHICS",PR!$AY492,IF(F494="PHILIPS",PR!$AZ492,IF(F494="RANBAXY",PR!$BA492,IF(F494="REALS",PR!$BB492,IF(F494="ROYAL",PR!$BC492,IF(F494="SAM",PR!$BD492,IF(F494="SEAGREEN",PR!$BE492,IF(F494="SKG",PR!$BF492,IF(F494="TAH",PR!$BG492,IF(F494="TAYLEK",PR!$BH492,IF(F494="TEMITA",PR!$BI492,IF(F494="THL",PR!$BJ492,IF(F494="UBASTIC",PR!$BK492,IF(F494="UNION",PR!$BL492,IF(F494="UNIQUE",PR!$BM492,IF(F494="VIXA",PR!$BN492,IF(F494="WWCV",PR!$BO492,IF(F494="ZOLON",PR!$BP492,"-"))))))))))))))))))))))))))))))))))))))))))))))))))))))))))))))))</f>
        <v>335</v>
      </c>
      <c r="F494" s="102" t="str">
        <f>EV!L630</f>
        <v>JAWA</v>
      </c>
      <c r="G494" s="108">
        <f>IF(H494="ALPHA",PR!$E492,IF(H494="ASSENE",PR!$F492,IF(H494="BIOFEM",PR!$G492,IF(H494="BIOMED",PR!$H492,IF(H494="CHI",PR!$I492,IF(H494="CLARION",PR!$J492,IF(H494="CODIX",PR!$K492,IF(H494="COSMADE",PR!$L492,IF(H494="SANCON",PR!$M492,IF(H494="DEVON",PR!$N492,IF(H494="DORTEMAG",PR!$O492,IF(H494="DGF",PR!$P492,IF(H494="DYNAMIC",PR!$Q492,IF(H494="EMZOR",PR!$R492,IF(H494="EUMATT",PR!$S492,IF(H494="FIDSON",PR!$T492,IF(H494="FCGLOBAL",PR!$U492,IF(H494="GENEITH",PR!$V492,IF(H494="GINOS",PR!$W492,IF(H494="GSK",PR!$X492,IF(H494="GLOBORG",PR!$Y492,IF(H494="GOODNEWS",PR!$Z492,IF(H494="GREENLIFE",PR!$AA492,IF(H494="HLINE",PR!$AB492,IF(H494="ROTECH",PR!$AC492,IF(H494="ISN",PR!$AD492,IF(H494="JAWA",PR!$AE492,IF(H494="LAYO",PR!$AF492,IF(H494="LEADWAY",PR!$AG492,IF(H494="LHV",PR!$AH492,IF(H494="MANOLA",PR!$AI492,IF(H494="MARCSON",PR!$AJ492,IF(H494="M&amp;B",PR!$AK492,IF(H494="MTRUST",PR!$AL492,IF(H494="MWORLD",PR!$AM492,IF(H494="MEGA",PR!$AN492,IF(H494="MICRONOVA",PR!$AO492,IF(H494="MFLASH",PR!$AP492,IF(H494="MORISON",PR!$AQ492,IF(H494="NEMEL",PR!$AR492,IF(H494="NHP",PR!$AS492,IF(H494="NHC",PR!$AT492,IF(H494="OLEAF",PR!$AU492,IF(H494="OCULUS",PR!$AV492,IF(H494="PACIFIC",PR!$AW492,IF(H494="PHAMATEX",PR!$AX492,IF(H494="PETHICS",PR!$AY492,IF(H494="PHILIPS",PR!$AZ492,IF(H494="RANBAXY",PR!$BA492,IF(H494="REALS",PR!$BB492,IF(H494="ROYAL",PR!$BC492,IF(H494="SAM",PR!$BD492,IF(H494="SEAGREEN",PR!$BE492,IF(H494="SKG",PR!$BF492,IF(H494="TAH",PR!$BG492,IF(H494="TAYLEK",PR!$BH492,IF(H494="TEMITA",PR!$BI492,IF(H494="THL",PR!$BJ492,IF(H494="UBASTIC",PR!$BK492,IF(H494="UNION",PR!$BL492,IF(H494="UNIQUE",PR!$BM492,IF(H494="VIXA",PR!$BN492,IF(H494="WWCV",PR!$BO492,IF(H494="ZOLON",PR!$BP492,"-"))))))))))))))))))))))))))))))))))))))))))))))))))))))))))))))))</f>
        <v>410</v>
      </c>
      <c r="H494" s="102" t="str">
        <f>EV!M630</f>
        <v>THL</v>
      </c>
      <c r="I494" s="108" t="str">
        <f>IF(J494="ALPHA",PR!$E492,IF(J494="ASSENE",PR!$F492,IF(J494="BIOFEM",PR!$G492,IF(J494="BIOMED",PR!$H492,IF(J494="CHI",PR!$I492,IF(J494="CLARION",PR!$J492,IF(J494="CODIX",PR!$K492,IF(J494="COSMADE",PR!$L492,IF(J494="SANCON",PR!$M492,IF(J494="DEVON",PR!$N492,IF(J494="DORTEMAG",PR!$O492,IF(J494="DGF",PR!$P492,IF(J494="DYNAMIC",PR!$Q492,IF(J494="EMZOR",PR!$R492,IF(J494="EUMATT",PR!$S492,IF(J494="FIDSON",PR!$T492,IF(J494="FCGLOBAL",PR!$U492,IF(J494="GENEITH",PR!$V492,IF(J494="GINOS",PR!$W492,IF(J494="GSK",PR!$X492,IF(J494="GLOBORG",PR!$Y492,IF(J494="GOODNEWS",PR!$Z492,IF(J494="GREENLIFE",PR!$AA492,IF(J494="HLINE",PR!$AB492,IF(J494="ROTECH",PR!$AC492,IF(J494="ISN",PR!$AD492,IF(J494="JAWA",PR!$AE492,IF(J494="LAYO",PR!$AF492,IF(J494="LEADWAY",PR!$AG492,IF(J494="LHV",PR!$AH492,IF(J494="MANOLA",PR!$AI492,IF(J494="MARCSON",PR!$AJ492,IF(J494="M&amp;B",PR!$AK492,IF(J494="MTRUST",PR!$AL492,IF(J494="MWORLD",PR!$AM492,IF(J494="MEGA",PR!$AN492,IF(J494="MICRONOVA",PR!$AO492,IF(J494="MFLASH",PR!$AP492,IF(J494="MORISON",PR!$AQ492,IF(J494="NEMEL",PR!$AR492,IF(J494="NHP",PR!$AS492,IF(J494="NHC",PR!$AT492,IF(J494="OLEAF",PR!$AU492,IF(J494="OCULUS",PR!$AV492,IF(J494="PACIFIC",PR!$AW492,IF(J494="PHAMATEX",PR!$AX492,IF(J494="PETHICS",PR!$AY492,IF(J494="PHILIPS",PR!$AZ492,IF(J494="RANBAXY",PR!$BA492,IF(J494="REALS",PR!$BB492,IF(J494="ROYAL",PR!$BC492,IF(J494="SAM",PR!$BD492,IF(J494="SEAGREEN",PR!$BE492,IF(J494="SKG",PR!$BF492,IF(J494="TAH",PR!$BG492,IF(J494="TAYLEK",PR!$BH492,IF(J494="TEMITA",PR!$BI492,IF(J494="THL",PR!$BJ492,IF(J494="UBASTIC",PR!$BK492,IF(J494="UNION",PR!$BL492,IF(J494="UNIQUE",PR!$BM492,IF(J494="VIXA",PR!$BN492,IF(J494="WWCV",PR!$BO492,IF(J494="ZOLON",PR!$BP492,"-"))))))))))))))))))))))))))))))))))))))))))))))))))))))))))))))))</f>
        <v>-</v>
      </c>
      <c r="J494" s="102">
        <f>EV!N630</f>
        <v>0</v>
      </c>
      <c r="K494" s="433" t="s">
        <v>1235</v>
      </c>
      <c r="L494" s="183">
        <f>IF(K494&gt;0,IF(K494="ALPHA",PR!$E492,IF(K494="ASSENE",PR!$F492,IF(K494="BIOFEM",PR!$G492,IF(K494="BIOMED",PR!$H492,IF(K494="CHI",PR!$I492,IF(K494="CLARION",PR!$J492,IF(K494="CODIX",PR!$K492,IF(K494="COSMADE",PR!$L492,IF(K494="SANCON",PR!$M492,IF(K494="DEVON",PR!$N492,IF(K494="DORTEMAG",PR!$O492,IF(K494="DGF",PR!$P492,IF(K494="DYNAMIC",PR!$Q492,IF(K494="EMZOR",PR!$R492,IF(K494="EUMATT",PR!$S492,IF(K494="FIDSON",PR!$T492,IF(K494="FCGLOBAL",PR!$U492,IF(K494="GENEITH",PR!$V492,IF(K494="GINOS",PR!$W492,IF(K494="GSK",PR!$X492,IF(K494="GLOBORG",PR!$Y492,IF(K494="GOODNEWS",PR!$Z492,IF(K494="GREENLIFE",PR!$AA492,IF(K494="HLINE",PR!$AB492,IF(K494="ROTECH",PR!$AC492,IF(K494="ISN",PR!$AD492,IF(K494="JAWA",PR!$AE492,IF(K494="LAYO",PR!$AF492,IF(K494="LEADWAY",PR!$AG492,IF(K494="LHV",PR!$AH492,IF(K494="MANOLA",PR!$AI492,IF(K494="MARCSON",PR!$AJ492,IF(K494="M&amp;B",PR!$AK492,IF(K494="MTRUST",PR!$AL492,IF(K494="MWORLD",PR!$AM492,IF(K494="MEGA",PR!$AN492,IF(K494="MICRONOVA",PR!$AO492,IF(K494="MFLASH",PR!$AP492,IF(K494="MORISON",PR!$AQ492,IF(K494="NEMEL",PR!$AR492,IF(K494="NHP",PR!$AS492,IF(K494="NHC",PR!$AT492,IF(K494="OLEAF",PR!$AU492,IF(K494="OCULUS",PR!$AV492,IF(K494="PACIFIC",PR!$AW492,IF(K494="PHAMATEX",PR!$AX492,IF(K494="PETHICS",PR!$AY492,IF(K494="PHILIPS",PR!$AZ492,IF(K494="RANBAXY",PR!$BA492,IF(K494="REALS",PR!$BB492,IF(K494="ROYAL",PR!$BC492,IF(K494="SAM",PR!$BD492,IF(K494="SEAGREEN",PR!$BE492,IF(K494="SKG",PR!$BF492,IF(K494="TAH",PR!$BG492,IF(K494="TAYLEK",PR!$BH492,IF(K494="TEMITA",PR!$BI492,IF(K494="THL",PR!$BJ492,IF(K494="UBASTIC",PR!$BK492,IF(K494="UNION",PR!$BL492,IF(K494="UNIQUE",PR!$BM492,IF(K494="VIXA",PR!$BN492,IF(K494="WWCV",PR!$BO492,IF(K494="ZOLON",PR!$BP492,"-")))))))))))))))))))))))))))))))))))))))))))))))))))))))))))))))))</f>
        <v>410</v>
      </c>
    </row>
    <row r="495" spans="1:12" ht="18.75" x14ac:dyDescent="0.3">
      <c r="A495" s="430">
        <f>PR!A493</f>
        <v>447</v>
      </c>
      <c r="B495" s="15" t="str">
        <f>PR!B493</f>
        <v>PROCHLORPERAZINE TAB</v>
      </c>
      <c r="C495" s="113">
        <f>PR!D493</f>
        <v>100</v>
      </c>
      <c r="D495" s="113">
        <f>PR!C493</f>
        <v>20</v>
      </c>
      <c r="E495" s="108" t="str">
        <f>IF(F495="ALPHA",PR!$E493,IF(F495="ASSENE",PR!$F493,IF(F495="BIOFEM",PR!$G493,IF(F495="BIOMED",PR!$H493,IF(F495="CHI",PR!$I493,IF(F495="CLARION",PR!$J493,IF(F495="CODIX",PR!$K493,IF(F495="COSMADE",PR!$L493,IF(F495="SANCON",PR!$M493,IF(F495="DEVON",PR!$N493,IF(F495="DORTEMAG",PR!$O493,IF(F495="DGF",PR!$P493,IF(F495="DYNAMIC",PR!$Q493,IF(F495="EMZOR",PR!$R493,IF(F495="EUMATT",PR!$S493,IF(F495="FIDSON",PR!$T493,IF(F495="FCGLOBAL",PR!$U493,IF(F495="GENEITH",PR!$V493,IF(F495="GINOS",PR!$W493,IF(F495="GSK",PR!$X493,IF(F495="GLOBORG",PR!$Y493,IF(F495="GOODNEWS",PR!$Z493,IF(F495="GREENLIFE",PR!$AA493,IF(F495="HLINE",PR!$AB493,IF(F495="ROTECH",PR!$AC493,IF(F495="ISN",PR!$AD493,IF(F495="JAWA",PR!$AE493,IF(F495="LAYO",PR!$AF493,IF(F495="LEADWAY",PR!$AG493,IF(F495="LHV",PR!$AH493,IF(F495="MANOLA",PR!$AI493,IF(F495="MARCSON",PR!$AJ493,IF(F495="M&amp;B",PR!$AK493,IF(F495="MTRUST",PR!$AL493,IF(F495="MWORLD",PR!$AM493,IF(F495="MEGA",PR!$AN493,IF(F495="MICRONOVA",PR!$AO493,IF(F495="MFLASH",PR!$AP493,IF(F495="MORISON",PR!$AQ493,IF(F495="NEMEL",PR!$AR493,IF(F495="NHP",PR!$AS493,IF(F495="NHC",PR!$AT493,IF(F495="OLEAF",PR!$AU493,IF(F495="OCULUS",PR!$AV493,IF(F495="PACIFIC",PR!$AW493,IF(F495="PHAMATEX",PR!$AX493,IF(F495="PETHICS",PR!$AY493,IF(F495="PHILIPS",PR!$AZ493,IF(F495="RANBAXY",PR!$BA493,IF(F495="REALS",PR!$BB493,IF(F495="ROYAL",PR!$BC493,IF(F495="SAM",PR!$BD493,IF(F495="SEAGREEN",PR!$BE493,IF(F495="SKG",PR!$BF493,IF(F495="TAH",PR!$BG493,IF(F495="TAYLEK",PR!$BH493,IF(F495="TEMITA",PR!$BI493,IF(F495="THL",PR!$BJ493,IF(F495="UBASTIC",PR!$BK493,IF(F495="UNION",PR!$BL493,IF(F495="UNIQUE",PR!$BM493,IF(F495="VIXA",PR!$BN493,IF(F495="WWCV",PR!$BO493,IF(F495="ZOLON",PR!$BP493,"-"))))))))))))))))))))))))))))))))))))))))))))))))))))))))))))))))</f>
        <v>-</v>
      </c>
      <c r="F495" s="102">
        <f>EV!L631</f>
        <v>0</v>
      </c>
      <c r="G495" s="108" t="str">
        <f>IF(H495="ALPHA",PR!$E493,IF(H495="ASSENE",PR!$F493,IF(H495="BIOFEM",PR!$G493,IF(H495="BIOMED",PR!$H493,IF(H495="CHI",PR!$I493,IF(H495="CLARION",PR!$J493,IF(H495="CODIX",PR!$K493,IF(H495="COSMADE",PR!$L493,IF(H495="SANCON",PR!$M493,IF(H495="DEVON",PR!$N493,IF(H495="DORTEMAG",PR!$O493,IF(H495="DGF",PR!$P493,IF(H495="DYNAMIC",PR!$Q493,IF(H495="EMZOR",PR!$R493,IF(H495="EUMATT",PR!$S493,IF(H495="FIDSON",PR!$T493,IF(H495="FCGLOBAL",PR!$U493,IF(H495="GENEITH",PR!$V493,IF(H495="GINOS",PR!$W493,IF(H495="GSK",PR!$X493,IF(H495="GLOBORG",PR!$Y493,IF(H495="GOODNEWS",PR!$Z493,IF(H495="GREENLIFE",PR!$AA493,IF(H495="HLINE",PR!$AB493,IF(H495="ROTECH",PR!$AC493,IF(H495="ISN",PR!$AD493,IF(H495="JAWA",PR!$AE493,IF(H495="LAYO",PR!$AF493,IF(H495="LEADWAY",PR!$AG493,IF(H495="LHV",PR!$AH493,IF(H495="MANOLA",PR!$AI493,IF(H495="MARCSON",PR!$AJ493,IF(H495="M&amp;B",PR!$AK493,IF(H495="MTRUST",PR!$AL493,IF(H495="MWORLD",PR!$AM493,IF(H495="MEGA",PR!$AN493,IF(H495="MICRONOVA",PR!$AO493,IF(H495="MFLASH",PR!$AP493,IF(H495="MORISON",PR!$AQ493,IF(H495="NEMEL",PR!$AR493,IF(H495="NHP",PR!$AS493,IF(H495="NHC",PR!$AT493,IF(H495="OLEAF",PR!$AU493,IF(H495="OCULUS",PR!$AV493,IF(H495="PACIFIC",PR!$AW493,IF(H495="PHAMATEX",PR!$AX493,IF(H495="PETHICS",PR!$AY493,IF(H495="PHILIPS",PR!$AZ493,IF(H495="RANBAXY",PR!$BA493,IF(H495="REALS",PR!$BB493,IF(H495="ROYAL",PR!$BC493,IF(H495="SAM",PR!$BD493,IF(H495="SEAGREEN",PR!$BE493,IF(H495="SKG",PR!$BF493,IF(H495="TAH",PR!$BG493,IF(H495="TAYLEK",PR!$BH493,IF(H495="TEMITA",PR!$BI493,IF(H495="THL",PR!$BJ493,IF(H495="UBASTIC",PR!$BK493,IF(H495="UNION",PR!$BL493,IF(H495="UNIQUE",PR!$BM493,IF(H495="VIXA",PR!$BN493,IF(H495="WWCV",PR!$BO493,IF(H495="ZOLON",PR!$BP493,"-"))))))))))))))))))))))))))))))))))))))))))))))))))))))))))))))))</f>
        <v>-</v>
      </c>
      <c r="H495" s="102">
        <f>EV!M631</f>
        <v>0</v>
      </c>
      <c r="I495" s="108" t="str">
        <f>IF(J495="ALPHA",PR!$E493,IF(J495="ASSENE",PR!$F493,IF(J495="BIOFEM",PR!$G493,IF(J495="BIOMED",PR!$H493,IF(J495="CHI",PR!$I493,IF(J495="CLARION",PR!$J493,IF(J495="CODIX",PR!$K493,IF(J495="COSMADE",PR!$L493,IF(J495="SANCON",PR!$M493,IF(J495="DEVON",PR!$N493,IF(J495="DORTEMAG",PR!$O493,IF(J495="DGF",PR!$P493,IF(J495="DYNAMIC",PR!$Q493,IF(J495="EMZOR",PR!$R493,IF(J495="EUMATT",PR!$S493,IF(J495="FIDSON",PR!$T493,IF(J495="FCGLOBAL",PR!$U493,IF(J495="GENEITH",PR!$V493,IF(J495="GINOS",PR!$W493,IF(J495="GSK",PR!$X493,IF(J495="GLOBORG",PR!$Y493,IF(J495="GOODNEWS",PR!$Z493,IF(J495="GREENLIFE",PR!$AA493,IF(J495="HLINE",PR!$AB493,IF(J495="ROTECH",PR!$AC493,IF(J495="ISN",PR!$AD493,IF(J495="JAWA",PR!$AE493,IF(J495="LAYO",PR!$AF493,IF(J495="LEADWAY",PR!$AG493,IF(J495="LHV",PR!$AH493,IF(J495="MANOLA",PR!$AI493,IF(J495="MARCSON",PR!$AJ493,IF(J495="M&amp;B",PR!$AK493,IF(J495="MTRUST",PR!$AL493,IF(J495="MWORLD",PR!$AM493,IF(J495="MEGA",PR!$AN493,IF(J495="MICRONOVA",PR!$AO493,IF(J495="MFLASH",PR!$AP493,IF(J495="MORISON",PR!$AQ493,IF(J495="NEMEL",PR!$AR493,IF(J495="NHP",PR!$AS493,IF(J495="NHC",PR!$AT493,IF(J495="OLEAF",PR!$AU493,IF(J495="OCULUS",PR!$AV493,IF(J495="PACIFIC",PR!$AW493,IF(J495="PHAMATEX",PR!$AX493,IF(J495="PETHICS",PR!$AY493,IF(J495="PHILIPS",PR!$AZ493,IF(J495="RANBAXY",PR!$BA493,IF(J495="REALS",PR!$BB493,IF(J495="ROYAL",PR!$BC493,IF(J495="SAM",PR!$BD493,IF(J495="SEAGREEN",PR!$BE493,IF(J495="SKG",PR!$BF493,IF(J495="TAH",PR!$BG493,IF(J495="TAYLEK",PR!$BH493,IF(J495="TEMITA",PR!$BI493,IF(J495="THL",PR!$BJ493,IF(J495="UBASTIC",PR!$BK493,IF(J495="UNION",PR!$BL493,IF(J495="UNIQUE",PR!$BM493,IF(J495="VIXA",PR!$BN493,IF(J495="WWCV",PR!$BO493,IF(J495="ZOLON",PR!$BP493,"-"))))))))))))))))))))))))))))))))))))))))))))))))))))))))))))))))</f>
        <v>-</v>
      </c>
      <c r="J495" s="102">
        <f>EV!N631</f>
        <v>0</v>
      </c>
      <c r="K495" s="433"/>
      <c r="L495" s="183" t="b">
        <f>IF(K495&gt;0,IF(K495="ALPHA",PR!$E493,IF(K495="ASSENE",PR!$F493,IF(K495="BIOFEM",PR!$G493,IF(K495="BIOMED",PR!$H493,IF(K495="CHI",PR!$I493,IF(K495="CLARION",PR!$J493,IF(K495="CODIX",PR!$K493,IF(K495="COSMADE",PR!$L493,IF(K495="SANCON",PR!$M493,IF(K495="DEVON",PR!$N493,IF(K495="DORTEMAG",PR!$O493,IF(K495="DGF",PR!$P493,IF(K495="DYNAMIC",PR!$Q493,IF(K495="EMZOR",PR!$R493,IF(K495="EUMATT",PR!$S493,IF(K495="FIDSON",PR!$T493,IF(K495="FCGLOBAL",PR!$U493,IF(K495="GENEITH",PR!$V493,IF(K495="GINOS",PR!$W493,IF(K495="GSK",PR!$X493,IF(K495="GLOBORG",PR!$Y493,IF(K495="GOODNEWS",PR!$Z493,IF(K495="GREENLIFE",PR!$AA493,IF(K495="HLINE",PR!$AB493,IF(K495="ROTECH",PR!$AC493,IF(K495="ISN",PR!$AD493,IF(K495="JAWA",PR!$AE493,IF(K495="LAYO",PR!$AF493,IF(K495="LEADWAY",PR!$AG493,IF(K495="LHV",PR!$AH493,IF(K495="MANOLA",PR!$AI493,IF(K495="MARCSON",PR!$AJ493,IF(K495="M&amp;B",PR!$AK493,IF(K495="MTRUST",PR!$AL493,IF(K495="MWORLD",PR!$AM493,IF(K495="MEGA",PR!$AN493,IF(K495="MICRONOVA",PR!$AO493,IF(K495="MFLASH",PR!$AP493,IF(K495="MORISON",PR!$AQ493,IF(K495="NEMEL",PR!$AR493,IF(K495="NHP",PR!$AS493,IF(K495="NHC",PR!$AT493,IF(K495="OLEAF",PR!$AU493,IF(K495="OCULUS",PR!$AV493,IF(K495="PACIFIC",PR!$AW493,IF(K495="PHAMATEX",PR!$AX493,IF(K495="PETHICS",PR!$AY493,IF(K495="PHILIPS",PR!$AZ493,IF(K495="RANBAXY",PR!$BA493,IF(K495="REALS",PR!$BB493,IF(K495="ROYAL",PR!$BC493,IF(K495="SAM",PR!$BD493,IF(K495="SEAGREEN",PR!$BE493,IF(K495="SKG",PR!$BF493,IF(K495="TAH",PR!$BG493,IF(K495="TAYLEK",PR!$BH493,IF(K495="TEMITA",PR!$BI493,IF(K495="THL",PR!$BJ493,IF(K495="UBASTIC",PR!$BK493,IF(K495="UNION",PR!$BL493,IF(K495="UNIQUE",PR!$BM493,IF(K495="VIXA",PR!$BN493,IF(K495="WWCV",PR!$BO493,IF(K495="ZOLON",PR!$BP493,"-")))))))))))))))))))))))))))))))))))))))))))))))))))))))))))))))))</f>
        <v>0</v>
      </c>
    </row>
    <row r="496" spans="1:12" ht="18.75" x14ac:dyDescent="0.3">
      <c r="A496" s="430">
        <f>PR!A494</f>
        <v>448</v>
      </c>
      <c r="B496" s="15" t="str">
        <f>PR!B494</f>
        <v>RABEPRAZOLE 20MG CAP</v>
      </c>
      <c r="C496" s="113">
        <f>PR!D494</f>
        <v>20</v>
      </c>
      <c r="D496" s="113">
        <f>PR!C494</f>
        <v>300</v>
      </c>
      <c r="E496" s="108">
        <f>IF(F496="ALPHA",PR!$E494,IF(F496="ASSENE",PR!$F494,IF(F496="BIOFEM",PR!$G494,IF(F496="BIOMED",PR!$H494,IF(F496="CHI",PR!$I494,IF(F496="CLARION",PR!$J494,IF(F496="CODIX",PR!$K494,IF(F496="COSMADE",PR!$L494,IF(F496="SANCON",PR!$M494,IF(F496="DEVON",PR!$N494,IF(F496="DORTEMAG",PR!$O494,IF(F496="DGF",PR!$P494,IF(F496="DYNAMIC",PR!$Q494,IF(F496="EMZOR",PR!$R494,IF(F496="EUMATT",PR!$S494,IF(F496="FIDSON",PR!$T494,IF(F496="FCGLOBAL",PR!$U494,IF(F496="GENEITH",PR!$V494,IF(F496="GINOS",PR!$W494,IF(F496="GSK",PR!$X494,IF(F496="GLOBORG",PR!$Y494,IF(F496="GOODNEWS",PR!$Z494,IF(F496="GREENLIFE",PR!$AA494,IF(F496="HLINE",PR!$AB494,IF(F496="ROTECH",PR!$AC494,IF(F496="ISN",PR!$AD494,IF(F496="JAWA",PR!$AE494,IF(F496="LAYO",PR!$AF494,IF(F496="LEADWAY",PR!$AG494,IF(F496="LHV",PR!$AH494,IF(F496="MANOLA",PR!$AI494,IF(F496="MARCSON",PR!$AJ494,IF(F496="M&amp;B",PR!$AK494,IF(F496="MTRUST",PR!$AL494,IF(F496="MWORLD",PR!$AM494,IF(F496="MEGA",PR!$AN494,IF(F496="MICRONOVA",PR!$AO494,IF(F496="MFLASH",PR!$AP494,IF(F496="MORISON",PR!$AQ494,IF(F496="NEMEL",PR!$AR494,IF(F496="NHP",PR!$AS494,IF(F496="NHC",PR!$AT494,IF(F496="OLEAF",PR!$AU494,IF(F496="OCULUS",PR!$AV494,IF(F496="PACIFIC",PR!$AW494,IF(F496="PHAMATEX",PR!$AX494,IF(F496="PETHICS",PR!$AY494,IF(F496="PHILIPS",PR!$AZ494,IF(F496="RANBAXY",PR!$BA494,IF(F496="REALS",PR!$BB494,IF(F496="ROYAL",PR!$BC494,IF(F496="SAM",PR!$BD494,IF(F496="SEAGREEN",PR!$BE494,IF(F496="SKG",PR!$BF494,IF(F496="TAH",PR!$BG494,IF(F496="TAYLEK",PR!$BH494,IF(F496="TEMITA",PR!$BI494,IF(F496="THL",PR!$BJ494,IF(F496="UBASTIC",PR!$BK494,IF(F496="UNION",PR!$BL494,IF(F496="UNIQUE",PR!$BM494,IF(F496="VIXA",PR!$BN494,IF(F496="WWCV",PR!$BO494,IF(F496="ZOLON",PR!$BP494,"-"))))))))))))))))))))))))))))))))))))))))))))))))))))))))))))))))</f>
        <v>795</v>
      </c>
      <c r="F496" s="102" t="str">
        <f>EV!L632</f>
        <v>SAM</v>
      </c>
      <c r="G496" s="108">
        <f>IF(H496="ALPHA",PR!$E494,IF(H496="ASSENE",PR!$F494,IF(H496="BIOFEM",PR!$G494,IF(H496="BIOMED",PR!$H494,IF(H496="CHI",PR!$I494,IF(H496="CLARION",PR!$J494,IF(H496="CODIX",PR!$K494,IF(H496="COSMADE",PR!$L494,IF(H496="SANCON",PR!$M494,IF(H496="DEVON",PR!$N494,IF(H496="DORTEMAG",PR!$O494,IF(H496="DGF",PR!$P494,IF(H496="DYNAMIC",PR!$Q494,IF(H496="EMZOR",PR!$R494,IF(H496="EUMATT",PR!$S494,IF(H496="FIDSON",PR!$T494,IF(H496="FCGLOBAL",PR!$U494,IF(H496="GENEITH",PR!$V494,IF(H496="GINOS",PR!$W494,IF(H496="GSK",PR!$X494,IF(H496="GLOBORG",PR!$Y494,IF(H496="GOODNEWS",PR!$Z494,IF(H496="GREENLIFE",PR!$AA494,IF(H496="HLINE",PR!$AB494,IF(H496="ROTECH",PR!$AC494,IF(H496="ISN",PR!$AD494,IF(H496="JAWA",PR!$AE494,IF(H496="LAYO",PR!$AF494,IF(H496="LEADWAY",PR!$AG494,IF(H496="LHV",PR!$AH494,IF(H496="MANOLA",PR!$AI494,IF(H496="MARCSON",PR!$AJ494,IF(H496="M&amp;B",PR!$AK494,IF(H496="MTRUST",PR!$AL494,IF(H496="MWORLD",PR!$AM494,IF(H496="MEGA",PR!$AN494,IF(H496="MICRONOVA",PR!$AO494,IF(H496="MFLASH",PR!$AP494,IF(H496="MORISON",PR!$AQ494,IF(H496="NEMEL",PR!$AR494,IF(H496="NHP",PR!$AS494,IF(H496="NHC",PR!$AT494,IF(H496="OLEAF",PR!$AU494,IF(H496="OCULUS",PR!$AV494,IF(H496="PACIFIC",PR!$AW494,IF(H496="PHAMATEX",PR!$AX494,IF(H496="PETHICS",PR!$AY494,IF(H496="PHILIPS",PR!$AZ494,IF(H496="RANBAXY",PR!$BA494,IF(H496="REALS",PR!$BB494,IF(H496="ROYAL",PR!$BC494,IF(H496="SAM",PR!$BD494,IF(H496="SEAGREEN",PR!$BE494,IF(H496="SKG",PR!$BF494,IF(H496="TAH",PR!$BG494,IF(H496="TAYLEK",PR!$BH494,IF(H496="TEMITA",PR!$BI494,IF(H496="THL",PR!$BJ494,IF(H496="UBASTIC",PR!$BK494,IF(H496="UNION",PR!$BL494,IF(H496="UNIQUE",PR!$BM494,IF(H496="VIXA",PR!$BN494,IF(H496="WWCV",PR!$BO494,IF(H496="ZOLON",PR!$BP494,"-"))))))))))))))))))))))))))))))))))))))))))))))))))))))))))))))))</f>
        <v>1100</v>
      </c>
      <c r="H496" s="102" t="str">
        <f>EV!M632</f>
        <v>EUMATT</v>
      </c>
      <c r="I496" s="108">
        <f>IF(J496="ALPHA",PR!$E494,IF(J496="ASSENE",PR!$F494,IF(J496="BIOFEM",PR!$G494,IF(J496="BIOMED",PR!$H494,IF(J496="CHI",PR!$I494,IF(J496="CLARION",PR!$J494,IF(J496="CODIX",PR!$K494,IF(J496="COSMADE",PR!$L494,IF(J496="SANCON",PR!$M494,IF(J496="DEVON",PR!$N494,IF(J496="DORTEMAG",PR!$O494,IF(J496="DGF",PR!$P494,IF(J496="DYNAMIC",PR!$Q494,IF(J496="EMZOR",PR!$R494,IF(J496="EUMATT",PR!$S494,IF(J496="FIDSON",PR!$T494,IF(J496="FCGLOBAL",PR!$U494,IF(J496="GENEITH",PR!$V494,IF(J496="GINOS",PR!$W494,IF(J496="GSK",PR!$X494,IF(J496="GLOBORG",PR!$Y494,IF(J496="GOODNEWS",PR!$Z494,IF(J496="GREENLIFE",PR!$AA494,IF(J496="HLINE",PR!$AB494,IF(J496="ROTECH",PR!$AC494,IF(J496="ISN",PR!$AD494,IF(J496="JAWA",PR!$AE494,IF(J496="LAYO",PR!$AF494,IF(J496="LEADWAY",PR!$AG494,IF(J496="LHV",PR!$AH494,IF(J496="MANOLA",PR!$AI494,IF(J496="MARCSON",PR!$AJ494,IF(J496="M&amp;B",PR!$AK494,IF(J496="MTRUST",PR!$AL494,IF(J496="MWORLD",PR!$AM494,IF(J496="MEGA",PR!$AN494,IF(J496="MICRONOVA",PR!$AO494,IF(J496="MFLASH",PR!$AP494,IF(J496="MORISON",PR!$AQ494,IF(J496="NEMEL",PR!$AR494,IF(J496="NHP",PR!$AS494,IF(J496="NHC",PR!$AT494,IF(J496="OLEAF",PR!$AU494,IF(J496="OCULUS",PR!$AV494,IF(J496="PACIFIC",PR!$AW494,IF(J496="PHAMATEX",PR!$AX494,IF(J496="PETHICS",PR!$AY494,IF(J496="PHILIPS",PR!$AZ494,IF(J496="RANBAXY",PR!$BA494,IF(J496="REALS",PR!$BB494,IF(J496="ROYAL",PR!$BC494,IF(J496="SAM",PR!$BD494,IF(J496="SEAGREEN",PR!$BE494,IF(J496="SKG",PR!$BF494,IF(J496="TAH",PR!$BG494,IF(J496="TAYLEK",PR!$BH494,IF(J496="TEMITA",PR!$BI494,IF(J496="THL",PR!$BJ494,IF(J496="UBASTIC",PR!$BK494,IF(J496="UNION",PR!$BL494,IF(J496="UNIQUE",PR!$BM494,IF(J496="VIXA",PR!$BN494,IF(J496="WWCV",PR!$BO494,IF(J496="ZOLON",PR!$BP494,"-"))))))))))))))))))))))))))))))))))))))))))))))))))))))))))))))))</f>
        <v>1190</v>
      </c>
      <c r="J496" s="102" t="str">
        <f>EV!N632</f>
        <v>MICRONOVA</v>
      </c>
      <c r="K496" s="433" t="s">
        <v>622</v>
      </c>
      <c r="L496" s="183">
        <f>IF(K496&gt;0,IF(K496="ALPHA",PR!$E494,IF(K496="ASSENE",PR!$F494,IF(K496="BIOFEM",PR!$G494,IF(K496="BIOMED",PR!$H494,IF(K496="CHI",PR!$I494,IF(K496="CLARION",PR!$J494,IF(K496="CODIX",PR!$K494,IF(K496="COSMADE",PR!$L494,IF(K496="SANCON",PR!$M494,IF(K496="DEVON",PR!$N494,IF(K496="DORTEMAG",PR!$O494,IF(K496="DGF",PR!$P494,IF(K496="DYNAMIC",PR!$Q494,IF(K496="EMZOR",PR!$R494,IF(K496="EUMATT",PR!$S494,IF(K496="FIDSON",PR!$T494,IF(K496="FCGLOBAL",PR!$U494,IF(K496="GENEITH",PR!$V494,IF(K496="GINOS",PR!$W494,IF(K496="GSK",PR!$X494,IF(K496="GLOBORG",PR!$Y494,IF(K496="GOODNEWS",PR!$Z494,IF(K496="GREENLIFE",PR!$AA494,IF(K496="HLINE",PR!$AB494,IF(K496="ROTECH",PR!$AC494,IF(K496="ISN",PR!$AD494,IF(K496="JAWA",PR!$AE494,IF(K496="LAYO",PR!$AF494,IF(K496="LEADWAY",PR!$AG494,IF(K496="LHV",PR!$AH494,IF(K496="MANOLA",PR!$AI494,IF(K496="MARCSON",PR!$AJ494,IF(K496="M&amp;B",PR!$AK494,IF(K496="MTRUST",PR!$AL494,IF(K496="MWORLD",PR!$AM494,IF(K496="MEGA",PR!$AN494,IF(K496="MICRONOVA",PR!$AO494,IF(K496="MFLASH",PR!$AP494,IF(K496="MORISON",PR!$AQ494,IF(K496="NEMEL",PR!$AR494,IF(K496="NHP",PR!$AS494,IF(K496="NHC",PR!$AT494,IF(K496="OLEAF",PR!$AU494,IF(K496="OCULUS",PR!$AV494,IF(K496="PACIFIC",PR!$AW494,IF(K496="PHAMATEX",PR!$AX494,IF(K496="PETHICS",PR!$AY494,IF(K496="PHILIPS",PR!$AZ494,IF(K496="RANBAXY",PR!$BA494,IF(K496="REALS",PR!$BB494,IF(K496="ROYAL",PR!$BC494,IF(K496="SAM",PR!$BD494,IF(K496="SEAGREEN",PR!$BE494,IF(K496="SKG",PR!$BF494,IF(K496="TAH",PR!$BG494,IF(K496="TAYLEK",PR!$BH494,IF(K496="TEMITA",PR!$BI494,IF(K496="THL",PR!$BJ494,IF(K496="UBASTIC",PR!$BK494,IF(K496="UNION",PR!$BL494,IF(K496="UNIQUE",PR!$BM494,IF(K496="VIXA",PR!$BN494,IF(K496="WWCV",PR!$BO494,IF(K496="ZOLON",PR!$BP494,"-")))))))))))))))))))))))))))))))))))))))))))))))))))))))))))))))))</f>
        <v>795</v>
      </c>
    </row>
    <row r="497" spans="1:12" ht="18.75" x14ac:dyDescent="0.3">
      <c r="A497" s="430">
        <f>PR!A495</f>
        <v>449</v>
      </c>
      <c r="B497" s="15" t="str">
        <f>PR!B495</f>
        <v>RABEPRAZOLE 20MG INJ</v>
      </c>
      <c r="C497" s="113" t="str">
        <f>PR!D495</f>
        <v xml:space="preserve">VIAL </v>
      </c>
      <c r="D497" s="113">
        <f>PR!C495</f>
        <v>80</v>
      </c>
      <c r="E497" s="108">
        <f>IF(F497="ALPHA",PR!$E495,IF(F497="ASSENE",PR!$F495,IF(F497="BIOFEM",PR!$G495,IF(F497="BIOMED",PR!$H495,IF(F497="CHI",PR!$I495,IF(F497="CLARION",PR!$J495,IF(F497="CODIX",PR!$K495,IF(F497="COSMADE",PR!$L495,IF(F497="SANCON",PR!$M495,IF(F497="DEVON",PR!$N495,IF(F497="DORTEMAG",PR!$O495,IF(F497="DGF",PR!$P495,IF(F497="DYNAMIC",PR!$Q495,IF(F497="EMZOR",PR!$R495,IF(F497="EUMATT",PR!$S495,IF(F497="FIDSON",PR!$T495,IF(F497="FCGLOBAL",PR!$U495,IF(F497="GENEITH",PR!$V495,IF(F497="GINOS",PR!$W495,IF(F497="GSK",PR!$X495,IF(F497="GLOBORG",PR!$Y495,IF(F497="GOODNEWS",PR!$Z495,IF(F497="GREENLIFE",PR!$AA495,IF(F497="HLINE",PR!$AB495,IF(F497="ROTECH",PR!$AC495,IF(F497="ISN",PR!$AD495,IF(F497="JAWA",PR!$AE495,IF(F497="LAYO",PR!$AF495,IF(F497="LEADWAY",PR!$AG495,IF(F497="LHV",PR!$AH495,IF(F497="MANOLA",PR!$AI495,IF(F497="MARCSON",PR!$AJ495,IF(F497="M&amp;B",PR!$AK495,IF(F497="MTRUST",PR!$AL495,IF(F497="MWORLD",PR!$AM495,IF(F497="MEGA",PR!$AN495,IF(F497="MICRONOVA",PR!$AO495,IF(F497="MFLASH",PR!$AP495,IF(F497="MORISON",PR!$AQ495,IF(F497="NEMEL",PR!$AR495,IF(F497="NHP",PR!$AS495,IF(F497="NHC",PR!$AT495,IF(F497="OLEAF",PR!$AU495,IF(F497="OCULUS",PR!$AV495,IF(F497="PACIFIC",PR!$AW495,IF(F497="PHAMATEX",PR!$AX495,IF(F497="PETHICS",PR!$AY495,IF(F497="PHILIPS",PR!$AZ495,IF(F497="RANBAXY",PR!$BA495,IF(F497="REALS",PR!$BB495,IF(F497="ROYAL",PR!$BC495,IF(F497="SAM",PR!$BD495,IF(F497="SEAGREEN",PR!$BE495,IF(F497="SKG",PR!$BF495,IF(F497="TAH",PR!$BG495,IF(F497="TAYLEK",PR!$BH495,IF(F497="TEMITA",PR!$BI495,IF(F497="THL",PR!$BJ495,IF(F497="UBASTIC",PR!$BK495,IF(F497="UNION",PR!$BL495,IF(F497="UNIQUE",PR!$BM495,IF(F497="VIXA",PR!$BN495,IF(F497="WWCV",PR!$BO495,IF(F497="ZOLON",PR!$BP495,"-"))))))))))))))))))))))))))))))))))))))))))))))))))))))))))))))))</f>
        <v>650</v>
      </c>
      <c r="F497" s="102" t="str">
        <f>EV!L633</f>
        <v>TAH</v>
      </c>
      <c r="G497" s="108">
        <f>IF(H497="ALPHA",PR!$E495,IF(H497="ASSENE",PR!$F495,IF(H497="BIOFEM",PR!$G495,IF(H497="BIOMED",PR!$H495,IF(H497="CHI",PR!$I495,IF(H497="CLARION",PR!$J495,IF(H497="CODIX",PR!$K495,IF(H497="COSMADE",PR!$L495,IF(H497="SANCON",PR!$M495,IF(H497="DEVON",PR!$N495,IF(H497="DORTEMAG",PR!$O495,IF(H497="DGF",PR!$P495,IF(H497="DYNAMIC",PR!$Q495,IF(H497="EMZOR",PR!$R495,IF(H497="EUMATT",PR!$S495,IF(H497="FIDSON",PR!$T495,IF(H497="FCGLOBAL",PR!$U495,IF(H497="GENEITH",PR!$V495,IF(H497="GINOS",PR!$W495,IF(H497="GSK",PR!$X495,IF(H497="GLOBORG",PR!$Y495,IF(H497="GOODNEWS",PR!$Z495,IF(H497="GREENLIFE",PR!$AA495,IF(H497="HLINE",PR!$AB495,IF(H497="ROTECH",PR!$AC495,IF(H497="ISN",PR!$AD495,IF(H497="JAWA",PR!$AE495,IF(H497="LAYO",PR!$AF495,IF(H497="LEADWAY",PR!$AG495,IF(H497="LHV",PR!$AH495,IF(H497="MANOLA",PR!$AI495,IF(H497="MARCSON",PR!$AJ495,IF(H497="M&amp;B",PR!$AK495,IF(H497="MTRUST",PR!$AL495,IF(H497="MWORLD",PR!$AM495,IF(H497="MEGA",PR!$AN495,IF(H497="MICRONOVA",PR!$AO495,IF(H497="MFLASH",PR!$AP495,IF(H497="MORISON",PR!$AQ495,IF(H497="NEMEL",PR!$AR495,IF(H497="NHP",PR!$AS495,IF(H497="NHC",PR!$AT495,IF(H497="OLEAF",PR!$AU495,IF(H497="OCULUS",PR!$AV495,IF(H497="PACIFIC",PR!$AW495,IF(H497="PHAMATEX",PR!$AX495,IF(H497="PETHICS",PR!$AY495,IF(H497="PHILIPS",PR!$AZ495,IF(H497="RANBAXY",PR!$BA495,IF(H497="REALS",PR!$BB495,IF(H497="ROYAL",PR!$BC495,IF(H497="SAM",PR!$BD495,IF(H497="SEAGREEN",PR!$BE495,IF(H497="SKG",PR!$BF495,IF(H497="TAH",PR!$BG495,IF(H497="TAYLEK",PR!$BH495,IF(H497="TEMITA",PR!$BI495,IF(H497="THL",PR!$BJ495,IF(H497="UBASTIC",PR!$BK495,IF(H497="UNION",PR!$BL495,IF(H497="UNIQUE",PR!$BM495,IF(H497="VIXA",PR!$BN495,IF(H497="WWCV",PR!$BO495,IF(H497="ZOLON",PR!$BP495,"-"))))))))))))))))))))))))))))))))))))))))))))))))))))))))))))))))</f>
        <v>750</v>
      </c>
      <c r="H497" s="102" t="str">
        <f>EV!M633</f>
        <v>MEGA</v>
      </c>
      <c r="I497" s="108">
        <f>IF(J497="ALPHA",PR!$E495,IF(J497="ASSENE",PR!$F495,IF(J497="BIOFEM",PR!$G495,IF(J497="BIOMED",PR!$H495,IF(J497="CHI",PR!$I495,IF(J497="CLARION",PR!$J495,IF(J497="CODIX",PR!$K495,IF(J497="COSMADE",PR!$L495,IF(J497="SANCON",PR!$M495,IF(J497="DEVON",PR!$N495,IF(J497="DORTEMAG",PR!$O495,IF(J497="DGF",PR!$P495,IF(J497="DYNAMIC",PR!$Q495,IF(J497="EMZOR",PR!$R495,IF(J497="EUMATT",PR!$S495,IF(J497="FIDSON",PR!$T495,IF(J497="FCGLOBAL",PR!$U495,IF(J497="GENEITH",PR!$V495,IF(J497="GINOS",PR!$W495,IF(J497="GSK",PR!$X495,IF(J497="GLOBORG",PR!$Y495,IF(J497="GOODNEWS",PR!$Z495,IF(J497="GREENLIFE",PR!$AA495,IF(J497="HLINE",PR!$AB495,IF(J497="ROTECH",PR!$AC495,IF(J497="ISN",PR!$AD495,IF(J497="JAWA",PR!$AE495,IF(J497="LAYO",PR!$AF495,IF(J497="LEADWAY",PR!$AG495,IF(J497="LHV",PR!$AH495,IF(J497="MANOLA",PR!$AI495,IF(J497="MARCSON",PR!$AJ495,IF(J497="M&amp;B",PR!$AK495,IF(J497="MTRUST",PR!$AL495,IF(J497="MWORLD",PR!$AM495,IF(J497="MEGA",PR!$AN495,IF(J497="MICRONOVA",PR!$AO495,IF(J497="MFLASH",PR!$AP495,IF(J497="MORISON",PR!$AQ495,IF(J497="NEMEL",PR!$AR495,IF(J497="NHP",PR!$AS495,IF(J497="NHC",PR!$AT495,IF(J497="OLEAF",PR!$AU495,IF(J497="OCULUS",PR!$AV495,IF(J497="PACIFIC",PR!$AW495,IF(J497="PHAMATEX",PR!$AX495,IF(J497="PETHICS",PR!$AY495,IF(J497="PHILIPS",PR!$AZ495,IF(J497="RANBAXY",PR!$BA495,IF(J497="REALS",PR!$BB495,IF(J497="ROYAL",PR!$BC495,IF(J497="SAM",PR!$BD495,IF(J497="SEAGREEN",PR!$BE495,IF(J497="SKG",PR!$BF495,IF(J497="TAH",PR!$BG495,IF(J497="TAYLEK",PR!$BH495,IF(J497="TEMITA",PR!$BI495,IF(J497="THL",PR!$BJ495,IF(J497="UBASTIC",PR!$BK495,IF(J497="UNION",PR!$BL495,IF(J497="UNIQUE",PR!$BM495,IF(J497="VIXA",PR!$BN495,IF(J497="WWCV",PR!$BO495,IF(J497="ZOLON",PR!$BP495,"-"))))))))))))))))))))))))))))))))))))))))))))))))))))))))))))))))</f>
        <v>1400</v>
      </c>
      <c r="J497" s="102" t="str">
        <f>EV!N633</f>
        <v>EUMATT</v>
      </c>
      <c r="K497" s="433" t="s">
        <v>621</v>
      </c>
      <c r="L497" s="183">
        <f>IF(K497&gt;0,IF(K497="ALPHA",PR!$E495,IF(K497="ASSENE",PR!$F495,IF(K497="BIOFEM",PR!$G495,IF(K497="BIOMED",PR!$H495,IF(K497="CHI",PR!$I495,IF(K497="CLARION",PR!$J495,IF(K497="CODIX",PR!$K495,IF(K497="COSMADE",PR!$L495,IF(K497="SANCON",PR!$M495,IF(K497="DEVON",PR!$N495,IF(K497="DORTEMAG",PR!$O495,IF(K497="DGF",PR!$P495,IF(K497="DYNAMIC",PR!$Q495,IF(K497="EMZOR",PR!$R495,IF(K497="EUMATT",PR!$S495,IF(K497="FIDSON",PR!$T495,IF(K497="FCGLOBAL",PR!$U495,IF(K497="GENEITH",PR!$V495,IF(K497="GINOS",PR!$W495,IF(K497="GSK",PR!$X495,IF(K497="GLOBORG",PR!$Y495,IF(K497="GOODNEWS",PR!$Z495,IF(K497="GREENLIFE",PR!$AA495,IF(K497="HLINE",PR!$AB495,IF(K497="ROTECH",PR!$AC495,IF(K497="ISN",PR!$AD495,IF(K497="JAWA",PR!$AE495,IF(K497="LAYO",PR!$AF495,IF(K497="LEADWAY",PR!$AG495,IF(K497="LHV",PR!$AH495,IF(K497="MANOLA",PR!$AI495,IF(K497="MARCSON",PR!$AJ495,IF(K497="M&amp;B",PR!$AK495,IF(K497="MTRUST",PR!$AL495,IF(K497="MWORLD",PR!$AM495,IF(K497="MEGA",PR!$AN495,IF(K497="MICRONOVA",PR!$AO495,IF(K497="MFLASH",PR!$AP495,IF(K497="MORISON",PR!$AQ495,IF(K497="NEMEL",PR!$AR495,IF(K497="NHP",PR!$AS495,IF(K497="NHC",PR!$AT495,IF(K497="OLEAF",PR!$AU495,IF(K497="OCULUS",PR!$AV495,IF(K497="PACIFIC",PR!$AW495,IF(K497="PHAMATEX",PR!$AX495,IF(K497="PETHICS",PR!$AY495,IF(K497="PHILIPS",PR!$AZ495,IF(K497="RANBAXY",PR!$BA495,IF(K497="REALS",PR!$BB495,IF(K497="ROYAL",PR!$BC495,IF(K497="SAM",PR!$BD495,IF(K497="SEAGREEN",PR!$BE495,IF(K497="SKG",PR!$BF495,IF(K497="TAH",PR!$BG495,IF(K497="TAYLEK",PR!$BH495,IF(K497="TEMITA",PR!$BI495,IF(K497="THL",PR!$BJ495,IF(K497="UBASTIC",PR!$BK495,IF(K497="UNION",PR!$BL495,IF(K497="UNIQUE",PR!$BM495,IF(K497="VIXA",PR!$BN495,IF(K497="WWCV",PR!$BO495,IF(K497="ZOLON",PR!$BP495,"-")))))))))))))))))))))))))))))))))))))))))))))))))))))))))))))))))</f>
        <v>650</v>
      </c>
    </row>
    <row r="498" spans="1:12" ht="18.75" x14ac:dyDescent="0.3">
      <c r="A498" s="430">
        <f>PR!A496</f>
        <v>450</v>
      </c>
      <c r="B498" s="15" t="str">
        <f>PR!B496</f>
        <v>RANITIDINE IV</v>
      </c>
      <c r="C498" s="113">
        <f>PR!D496</f>
        <v>5</v>
      </c>
      <c r="D498" s="113">
        <f>PR!C496</f>
        <v>200</v>
      </c>
      <c r="E498" s="108" t="str">
        <f>IF(F498="ALPHA",PR!$E496,IF(F498="ASSENE",PR!$F496,IF(F498="BIOFEM",PR!$G496,IF(F498="BIOMED",PR!$H496,IF(F498="CHI",PR!$I496,IF(F498="CLARION",PR!$J496,IF(F498="CODIX",PR!$K496,IF(F498="COSMADE",PR!$L496,IF(F498="SANCON",PR!$M496,IF(F498="DEVON",PR!$N496,IF(F498="DORTEMAG",PR!$O496,IF(F498="DGF",PR!$P496,IF(F498="DYNAMIC",PR!$Q496,IF(F498="EMZOR",PR!$R496,IF(F498="EUMATT",PR!$S496,IF(F498="FIDSON",PR!$T496,IF(F498="FCGLOBAL",PR!$U496,IF(F498="GENEITH",PR!$V496,IF(F498="GINOS",PR!$W496,IF(F498="GSK",PR!$X496,IF(F498="GLOBORG",PR!$Y496,IF(F498="GOODNEWS",PR!$Z496,IF(F498="GREENLIFE",PR!$AA496,IF(F498="HLINE",PR!$AB496,IF(F498="ROTECH",PR!$AC496,IF(F498="ISN",PR!$AD496,IF(F498="JAWA",PR!$AE496,IF(F498="LAYO",PR!$AF496,IF(F498="LEADWAY",PR!$AG496,IF(F498="LHV",PR!$AH496,IF(F498="MANOLA",PR!$AI496,IF(F498="MARCSON",PR!$AJ496,IF(F498="M&amp;B",PR!$AK496,IF(F498="MTRUST",PR!$AL496,IF(F498="MWORLD",PR!$AM496,IF(F498="MEGA",PR!$AN496,IF(F498="MICRONOVA",PR!$AO496,IF(F498="MFLASH",PR!$AP496,IF(F498="MORISON",PR!$AQ496,IF(F498="NEMEL",PR!$AR496,IF(F498="NHP",PR!$AS496,IF(F498="NHC",PR!$AT496,IF(F498="OLEAF",PR!$AU496,IF(F498="OCULUS",PR!$AV496,IF(F498="PACIFIC",PR!$AW496,IF(F498="PHAMATEX",PR!$AX496,IF(F498="PETHICS",PR!$AY496,IF(F498="PHILIPS",PR!$AZ496,IF(F498="RANBAXY",PR!$BA496,IF(F498="REALS",PR!$BB496,IF(F498="ROYAL",PR!$BC496,IF(F498="SAM",PR!$BD496,IF(F498="SEAGREEN",PR!$BE496,IF(F498="SKG",PR!$BF496,IF(F498="TAH",PR!$BG496,IF(F498="TAYLEK",PR!$BH496,IF(F498="TEMITA",PR!$BI496,IF(F498="THL",PR!$BJ496,IF(F498="UBASTIC",PR!$BK496,IF(F498="UNION",PR!$BL496,IF(F498="UNIQUE",PR!$BM496,IF(F498="VIXA",PR!$BN496,IF(F498="WWCV",PR!$BO496,IF(F498="ZOLON",PR!$BP496,"-"))))))))))))))))))))))))))))))))))))))))))))))))))))))))))))))))</f>
        <v>-</v>
      </c>
      <c r="F498" s="102">
        <f>EV!L634</f>
        <v>0</v>
      </c>
      <c r="G498" s="108" t="str">
        <f>IF(H498="ALPHA",PR!$E496,IF(H498="ASSENE",PR!$F496,IF(H498="BIOFEM",PR!$G496,IF(H498="BIOMED",PR!$H496,IF(H498="CHI",PR!$I496,IF(H498="CLARION",PR!$J496,IF(H498="CODIX",PR!$K496,IF(H498="COSMADE",PR!$L496,IF(H498="SANCON",PR!$M496,IF(H498="DEVON",PR!$N496,IF(H498="DORTEMAG",PR!$O496,IF(H498="DGF",PR!$P496,IF(H498="DYNAMIC",PR!$Q496,IF(H498="EMZOR",PR!$R496,IF(H498="EUMATT",PR!$S496,IF(H498="FIDSON",PR!$T496,IF(H498="FCGLOBAL",PR!$U496,IF(H498="GENEITH",PR!$V496,IF(H498="GINOS",PR!$W496,IF(H498="GSK",PR!$X496,IF(H498="GLOBORG",PR!$Y496,IF(H498="GOODNEWS",PR!$Z496,IF(H498="GREENLIFE",PR!$AA496,IF(H498="HLINE",PR!$AB496,IF(H498="ROTECH",PR!$AC496,IF(H498="ISN",PR!$AD496,IF(H498="JAWA",PR!$AE496,IF(H498="LAYO",PR!$AF496,IF(H498="LEADWAY",PR!$AG496,IF(H498="LHV",PR!$AH496,IF(H498="MANOLA",PR!$AI496,IF(H498="MARCSON",PR!$AJ496,IF(H498="M&amp;B",PR!$AK496,IF(H498="MTRUST",PR!$AL496,IF(H498="MWORLD",PR!$AM496,IF(H498="MEGA",PR!$AN496,IF(H498="MICRONOVA",PR!$AO496,IF(H498="MFLASH",PR!$AP496,IF(H498="MORISON",PR!$AQ496,IF(H498="NEMEL",PR!$AR496,IF(H498="NHP",PR!$AS496,IF(H498="NHC",PR!$AT496,IF(H498="OLEAF",PR!$AU496,IF(H498="OCULUS",PR!$AV496,IF(H498="PACIFIC",PR!$AW496,IF(H498="PHAMATEX",PR!$AX496,IF(H498="PETHICS",PR!$AY496,IF(H498="PHILIPS",PR!$AZ496,IF(H498="RANBAXY",PR!$BA496,IF(H498="REALS",PR!$BB496,IF(H498="ROYAL",PR!$BC496,IF(H498="SAM",PR!$BD496,IF(H498="SEAGREEN",PR!$BE496,IF(H498="SKG",PR!$BF496,IF(H498="TAH",PR!$BG496,IF(H498="TAYLEK",PR!$BH496,IF(H498="TEMITA",PR!$BI496,IF(H498="THL",PR!$BJ496,IF(H498="UBASTIC",PR!$BK496,IF(H498="UNION",PR!$BL496,IF(H498="UNIQUE",PR!$BM496,IF(H498="VIXA",PR!$BN496,IF(H498="WWCV",PR!$BO496,IF(H498="ZOLON",PR!$BP496,"-"))))))))))))))))))))))))))))))))))))))))))))))))))))))))))))))))</f>
        <v>-</v>
      </c>
      <c r="H498" s="102">
        <f>EV!M634</f>
        <v>0</v>
      </c>
      <c r="I498" s="108" t="str">
        <f>IF(J498="ALPHA",PR!$E496,IF(J498="ASSENE",PR!$F496,IF(J498="BIOFEM",PR!$G496,IF(J498="BIOMED",PR!$H496,IF(J498="CHI",PR!$I496,IF(J498="CLARION",PR!$J496,IF(J498="CODIX",PR!$K496,IF(J498="COSMADE",PR!$L496,IF(J498="SANCON",PR!$M496,IF(J498="DEVON",PR!$N496,IF(J498="DORTEMAG",PR!$O496,IF(J498="DGF",PR!$P496,IF(J498="DYNAMIC",PR!$Q496,IF(J498="EMZOR",PR!$R496,IF(J498="EUMATT",PR!$S496,IF(J498="FIDSON",PR!$T496,IF(J498="FCGLOBAL",PR!$U496,IF(J498="GENEITH",PR!$V496,IF(J498="GINOS",PR!$W496,IF(J498="GSK",PR!$X496,IF(J498="GLOBORG",PR!$Y496,IF(J498="GOODNEWS",PR!$Z496,IF(J498="GREENLIFE",PR!$AA496,IF(J498="HLINE",PR!$AB496,IF(J498="ROTECH",PR!$AC496,IF(J498="ISN",PR!$AD496,IF(J498="JAWA",PR!$AE496,IF(J498="LAYO",PR!$AF496,IF(J498="LEADWAY",PR!$AG496,IF(J498="LHV",PR!$AH496,IF(J498="MANOLA",PR!$AI496,IF(J498="MARCSON",PR!$AJ496,IF(J498="M&amp;B",PR!$AK496,IF(J498="MTRUST",PR!$AL496,IF(J498="MWORLD",PR!$AM496,IF(J498="MEGA",PR!$AN496,IF(J498="MICRONOVA",PR!$AO496,IF(J498="MFLASH",PR!$AP496,IF(J498="MORISON",PR!$AQ496,IF(J498="NEMEL",PR!$AR496,IF(J498="NHP",PR!$AS496,IF(J498="NHC",PR!$AT496,IF(J498="OLEAF",PR!$AU496,IF(J498="OCULUS",PR!$AV496,IF(J498="PACIFIC",PR!$AW496,IF(J498="PHAMATEX",PR!$AX496,IF(J498="PETHICS",PR!$AY496,IF(J498="PHILIPS",PR!$AZ496,IF(J498="RANBAXY",PR!$BA496,IF(J498="REALS",PR!$BB496,IF(J498="ROYAL",PR!$BC496,IF(J498="SAM",PR!$BD496,IF(J498="SEAGREEN",PR!$BE496,IF(J498="SKG",PR!$BF496,IF(J498="TAH",PR!$BG496,IF(J498="TAYLEK",PR!$BH496,IF(J498="TEMITA",PR!$BI496,IF(J498="THL",PR!$BJ496,IF(J498="UBASTIC",PR!$BK496,IF(J498="UNION",PR!$BL496,IF(J498="UNIQUE",PR!$BM496,IF(J498="VIXA",PR!$BN496,IF(J498="WWCV",PR!$BO496,IF(J498="ZOLON",PR!$BP496,"-"))))))))))))))))))))))))))))))))))))))))))))))))))))))))))))))))</f>
        <v>-</v>
      </c>
      <c r="J498" s="102">
        <f>EV!N634</f>
        <v>0</v>
      </c>
      <c r="K498" s="433"/>
      <c r="L498" s="183" t="b">
        <f>IF(K498&gt;0,IF(K498="ALPHA",PR!$E496,IF(K498="ASSENE",PR!$F496,IF(K498="BIOFEM",PR!$G496,IF(K498="BIOMED",PR!$H496,IF(K498="CHI",PR!$I496,IF(K498="CLARION",PR!$J496,IF(K498="CODIX",PR!$K496,IF(K498="COSMADE",PR!$L496,IF(K498="SANCON",PR!$M496,IF(K498="DEVON",PR!$N496,IF(K498="DORTEMAG",PR!$O496,IF(K498="DGF",PR!$P496,IF(K498="DYNAMIC",PR!$Q496,IF(K498="EMZOR",PR!$R496,IF(K498="EUMATT",PR!$S496,IF(K498="FIDSON",PR!$T496,IF(K498="FCGLOBAL",PR!$U496,IF(K498="GENEITH",PR!$V496,IF(K498="GINOS",PR!$W496,IF(K498="GSK",PR!$X496,IF(K498="GLOBORG",PR!$Y496,IF(K498="GOODNEWS",PR!$Z496,IF(K498="GREENLIFE",PR!$AA496,IF(K498="HLINE",PR!$AB496,IF(K498="ROTECH",PR!$AC496,IF(K498="ISN",PR!$AD496,IF(K498="JAWA",PR!$AE496,IF(K498="LAYO",PR!$AF496,IF(K498="LEADWAY",PR!$AG496,IF(K498="LHV",PR!$AH496,IF(K498="MANOLA",PR!$AI496,IF(K498="MARCSON",PR!$AJ496,IF(K498="M&amp;B",PR!$AK496,IF(K498="MTRUST",PR!$AL496,IF(K498="MWORLD",PR!$AM496,IF(K498="MEGA",PR!$AN496,IF(K498="MICRONOVA",PR!$AO496,IF(K498="MFLASH",PR!$AP496,IF(K498="MORISON",PR!$AQ496,IF(K498="NEMEL",PR!$AR496,IF(K498="NHP",PR!$AS496,IF(K498="NHC",PR!$AT496,IF(K498="OLEAF",PR!$AU496,IF(K498="OCULUS",PR!$AV496,IF(K498="PACIFIC",PR!$AW496,IF(K498="PHAMATEX",PR!$AX496,IF(K498="PETHICS",PR!$AY496,IF(K498="PHILIPS",PR!$AZ496,IF(K498="RANBAXY",PR!$BA496,IF(K498="REALS",PR!$BB496,IF(K498="ROYAL",PR!$BC496,IF(K498="SAM",PR!$BD496,IF(K498="SEAGREEN",PR!$BE496,IF(K498="SKG",PR!$BF496,IF(K498="TAH",PR!$BG496,IF(K498="TAYLEK",PR!$BH496,IF(K498="TEMITA",PR!$BI496,IF(K498="THL",PR!$BJ496,IF(K498="UBASTIC",PR!$BK496,IF(K498="UNION",PR!$BL496,IF(K498="UNIQUE",PR!$BM496,IF(K498="VIXA",PR!$BN496,IF(K498="WWCV",PR!$BO496,IF(K498="ZOLON",PR!$BP496,"-")))))))))))))))))))))))))))))))))))))))))))))))))))))))))))))))))</f>
        <v>0</v>
      </c>
    </row>
    <row r="499" spans="1:12" ht="18.75" x14ac:dyDescent="0.3">
      <c r="A499" s="430">
        <f>PR!A497</f>
        <v>451</v>
      </c>
      <c r="B499" s="15" t="str">
        <f>PR!B497</f>
        <v>SACCHAROMYCES BOULARDII 100mg</v>
      </c>
      <c r="C499" s="113">
        <f>PR!D497</f>
        <v>10</v>
      </c>
      <c r="D499" s="113">
        <f>PR!C497</f>
        <v>100</v>
      </c>
      <c r="E499" s="108" t="str">
        <f>IF(F499="ALPHA",PR!$E497,IF(F499="ASSENE",PR!$F497,IF(F499="BIOFEM",PR!$G497,IF(F499="BIOMED",PR!$H497,IF(F499="CHI",PR!$I497,IF(F499="CLARION",PR!$J497,IF(F499="CODIX",PR!$K497,IF(F499="COSMADE",PR!$L497,IF(F499="SANCON",PR!$M497,IF(F499="DEVON",PR!$N497,IF(F499="DORTEMAG",PR!$O497,IF(F499="DGF",PR!$P497,IF(F499="DYNAMIC",PR!$Q497,IF(F499="EMZOR",PR!$R497,IF(F499="EUMATT",PR!$S497,IF(F499="FIDSON",PR!$T497,IF(F499="FCGLOBAL",PR!$U497,IF(F499="GENEITH",PR!$V497,IF(F499="GINOS",PR!$W497,IF(F499="GSK",PR!$X497,IF(F499="GLOBORG",PR!$Y497,IF(F499="GOODNEWS",PR!$Z497,IF(F499="GREENLIFE",PR!$AA497,IF(F499="HLINE",PR!$AB497,IF(F499="ROTECH",PR!$AC497,IF(F499="ISN",PR!$AD497,IF(F499="JAWA",PR!$AE497,IF(F499="LAYO",PR!$AF497,IF(F499="LEADWAY",PR!$AG497,IF(F499="LHV",PR!$AH497,IF(F499="MANOLA",PR!$AI497,IF(F499="MARCSON",PR!$AJ497,IF(F499="M&amp;B",PR!$AK497,IF(F499="MTRUST",PR!$AL497,IF(F499="MWORLD",PR!$AM497,IF(F499="MEGA",PR!$AN497,IF(F499="MICRONOVA",PR!$AO497,IF(F499="MFLASH",PR!$AP497,IF(F499="MORISON",PR!$AQ497,IF(F499="NEMEL",PR!$AR497,IF(F499="NHP",PR!$AS497,IF(F499="NHC",PR!$AT497,IF(F499="OLEAF",PR!$AU497,IF(F499="OCULUS",PR!$AV497,IF(F499="PACIFIC",PR!$AW497,IF(F499="PHAMATEX",PR!$AX497,IF(F499="PETHICS",PR!$AY497,IF(F499="PHILIPS",PR!$AZ497,IF(F499="RANBAXY",PR!$BA497,IF(F499="REALS",PR!$BB497,IF(F499="ROYAL",PR!$BC497,IF(F499="SAM",PR!$BD497,IF(F499="SEAGREEN",PR!$BE497,IF(F499="SKG",PR!$BF497,IF(F499="TAH",PR!$BG497,IF(F499="TAYLEK",PR!$BH497,IF(F499="TEMITA",PR!$BI497,IF(F499="THL",PR!$BJ497,IF(F499="UBASTIC",PR!$BK497,IF(F499="UNION",PR!$BL497,IF(F499="UNIQUE",PR!$BM497,IF(F499="VIXA",PR!$BN497,IF(F499="WWCV",PR!$BO497,IF(F499="ZOLON",PR!$BP497,"-"))))))))))))))))))))))))))))))))))))))))))))))))))))))))))))))))</f>
        <v>-</v>
      </c>
      <c r="F499" s="102">
        <f>EV!L635</f>
        <v>0</v>
      </c>
      <c r="G499" s="108" t="str">
        <f>IF(H499="ALPHA",PR!$E497,IF(H499="ASSENE",PR!$F497,IF(H499="BIOFEM",PR!$G497,IF(H499="BIOMED",PR!$H497,IF(H499="CHI",PR!$I497,IF(H499="CLARION",PR!$J497,IF(H499="CODIX",PR!$K497,IF(H499="COSMADE",PR!$L497,IF(H499="SANCON",PR!$M497,IF(H499="DEVON",PR!$N497,IF(H499="DORTEMAG",PR!$O497,IF(H499="DGF",PR!$P497,IF(H499="DYNAMIC",PR!$Q497,IF(H499="EMZOR",PR!$R497,IF(H499="EUMATT",PR!$S497,IF(H499="FIDSON",PR!$T497,IF(H499="FCGLOBAL",PR!$U497,IF(H499="GENEITH",PR!$V497,IF(H499="GINOS",PR!$W497,IF(H499="GSK",PR!$X497,IF(H499="GLOBORG",PR!$Y497,IF(H499="GOODNEWS",PR!$Z497,IF(H499="GREENLIFE",PR!$AA497,IF(H499="HLINE",PR!$AB497,IF(H499="ROTECH",PR!$AC497,IF(H499="ISN",PR!$AD497,IF(H499="JAWA",PR!$AE497,IF(H499="LAYO",PR!$AF497,IF(H499="LEADWAY",PR!$AG497,IF(H499="LHV",PR!$AH497,IF(H499="MANOLA",PR!$AI497,IF(H499="MARCSON",PR!$AJ497,IF(H499="M&amp;B",PR!$AK497,IF(H499="MTRUST",PR!$AL497,IF(H499="MWORLD",PR!$AM497,IF(H499="MEGA",PR!$AN497,IF(H499="MICRONOVA",PR!$AO497,IF(H499="MFLASH",PR!$AP497,IF(H499="MORISON",PR!$AQ497,IF(H499="NEMEL",PR!$AR497,IF(H499="NHP",PR!$AS497,IF(H499="NHC",PR!$AT497,IF(H499="OLEAF",PR!$AU497,IF(H499="OCULUS",PR!$AV497,IF(H499="PACIFIC",PR!$AW497,IF(H499="PHAMATEX",PR!$AX497,IF(H499="PETHICS",PR!$AY497,IF(H499="PHILIPS",PR!$AZ497,IF(H499="RANBAXY",PR!$BA497,IF(H499="REALS",PR!$BB497,IF(H499="ROYAL",PR!$BC497,IF(H499="SAM",PR!$BD497,IF(H499="SEAGREEN",PR!$BE497,IF(H499="SKG",PR!$BF497,IF(H499="TAH",PR!$BG497,IF(H499="TAYLEK",PR!$BH497,IF(H499="TEMITA",PR!$BI497,IF(H499="THL",PR!$BJ497,IF(H499="UBASTIC",PR!$BK497,IF(H499="UNION",PR!$BL497,IF(H499="UNIQUE",PR!$BM497,IF(H499="VIXA",PR!$BN497,IF(H499="WWCV",PR!$BO497,IF(H499="ZOLON",PR!$BP497,"-"))))))))))))))))))))))))))))))))))))))))))))))))))))))))))))))))</f>
        <v>-</v>
      </c>
      <c r="H499" s="102">
        <f>EV!M635</f>
        <v>0</v>
      </c>
      <c r="I499" s="108" t="str">
        <f>IF(J499="ALPHA",PR!$E497,IF(J499="ASSENE",PR!$F497,IF(J499="BIOFEM",PR!$G497,IF(J499="BIOMED",PR!$H497,IF(J499="CHI",PR!$I497,IF(J499="CLARION",PR!$J497,IF(J499="CODIX",PR!$K497,IF(J499="COSMADE",PR!$L497,IF(J499="SANCON",PR!$M497,IF(J499="DEVON",PR!$N497,IF(J499="DORTEMAG",PR!$O497,IF(J499="DGF",PR!$P497,IF(J499="DYNAMIC",PR!$Q497,IF(J499="EMZOR",PR!$R497,IF(J499="EUMATT",PR!$S497,IF(J499="FIDSON",PR!$T497,IF(J499="FCGLOBAL",PR!$U497,IF(J499="GENEITH",PR!$V497,IF(J499="GINOS",PR!$W497,IF(J499="GSK",PR!$X497,IF(J499="GLOBORG",PR!$Y497,IF(J499="GOODNEWS",PR!$Z497,IF(J499="GREENLIFE",PR!$AA497,IF(J499="HLINE",PR!$AB497,IF(J499="ROTECH",PR!$AC497,IF(J499="ISN",PR!$AD497,IF(J499="JAWA",PR!$AE497,IF(J499="LAYO",PR!$AF497,IF(J499="LEADWAY",PR!$AG497,IF(J499="LHV",PR!$AH497,IF(J499="MANOLA",PR!$AI497,IF(J499="MARCSON",PR!$AJ497,IF(J499="M&amp;B",PR!$AK497,IF(J499="MTRUST",PR!$AL497,IF(J499="MWORLD",PR!$AM497,IF(J499="MEGA",PR!$AN497,IF(J499="MICRONOVA",PR!$AO497,IF(J499="MFLASH",PR!$AP497,IF(J499="MORISON",PR!$AQ497,IF(J499="NEMEL",PR!$AR497,IF(J499="NHP",PR!$AS497,IF(J499="NHC",PR!$AT497,IF(J499="OLEAF",PR!$AU497,IF(J499="OCULUS",PR!$AV497,IF(J499="PACIFIC",PR!$AW497,IF(J499="PHAMATEX",PR!$AX497,IF(J499="PETHICS",PR!$AY497,IF(J499="PHILIPS",PR!$AZ497,IF(J499="RANBAXY",PR!$BA497,IF(J499="REALS",PR!$BB497,IF(J499="ROYAL",PR!$BC497,IF(J499="SAM",PR!$BD497,IF(J499="SEAGREEN",PR!$BE497,IF(J499="SKG",PR!$BF497,IF(J499="TAH",PR!$BG497,IF(J499="TAYLEK",PR!$BH497,IF(J499="TEMITA",PR!$BI497,IF(J499="THL",PR!$BJ497,IF(J499="UBASTIC",PR!$BK497,IF(J499="UNION",PR!$BL497,IF(J499="UNIQUE",PR!$BM497,IF(J499="VIXA",PR!$BN497,IF(J499="WWCV",PR!$BO497,IF(J499="ZOLON",PR!$BP497,"-"))))))))))))))))))))))))))))))))))))))))))))))))))))))))))))))))</f>
        <v>-</v>
      </c>
      <c r="J499" s="102">
        <f>EV!N635</f>
        <v>0</v>
      </c>
      <c r="K499" s="433"/>
      <c r="L499" s="183" t="b">
        <f>IF(K499&gt;0,IF(K499="ALPHA",PR!$E497,IF(K499="ASSENE",PR!$F497,IF(K499="BIOFEM",PR!$G497,IF(K499="BIOMED",PR!$H497,IF(K499="CHI",PR!$I497,IF(K499="CLARION",PR!$J497,IF(K499="CODIX",PR!$K497,IF(K499="COSMADE",PR!$L497,IF(K499="SANCON",PR!$M497,IF(K499="DEVON",PR!$N497,IF(K499="DORTEMAG",PR!$O497,IF(K499="DGF",PR!$P497,IF(K499="DYNAMIC",PR!$Q497,IF(K499="EMZOR",PR!$R497,IF(K499="EUMATT",PR!$S497,IF(K499="FIDSON",PR!$T497,IF(K499="FCGLOBAL",PR!$U497,IF(K499="GENEITH",PR!$V497,IF(K499="GINOS",PR!$W497,IF(K499="GSK",PR!$X497,IF(K499="GLOBORG",PR!$Y497,IF(K499="GOODNEWS",PR!$Z497,IF(K499="GREENLIFE",PR!$AA497,IF(K499="HLINE",PR!$AB497,IF(K499="ROTECH",PR!$AC497,IF(K499="ISN",PR!$AD497,IF(K499="JAWA",PR!$AE497,IF(K499="LAYO",PR!$AF497,IF(K499="LEADWAY",PR!$AG497,IF(K499="LHV",PR!$AH497,IF(K499="MANOLA",PR!$AI497,IF(K499="MARCSON",PR!$AJ497,IF(K499="M&amp;B",PR!$AK497,IF(K499="MTRUST",PR!$AL497,IF(K499="MWORLD",PR!$AM497,IF(K499="MEGA",PR!$AN497,IF(K499="MICRONOVA",PR!$AO497,IF(K499="MFLASH",PR!$AP497,IF(K499="MORISON",PR!$AQ497,IF(K499="NEMEL",PR!$AR497,IF(K499="NHP",PR!$AS497,IF(K499="NHC",PR!$AT497,IF(K499="OLEAF",PR!$AU497,IF(K499="OCULUS",PR!$AV497,IF(K499="PACIFIC",PR!$AW497,IF(K499="PHAMATEX",PR!$AX497,IF(K499="PETHICS",PR!$AY497,IF(K499="PHILIPS",PR!$AZ497,IF(K499="RANBAXY",PR!$BA497,IF(K499="REALS",PR!$BB497,IF(K499="ROYAL",PR!$BC497,IF(K499="SAM",PR!$BD497,IF(K499="SEAGREEN",PR!$BE497,IF(K499="SKG",PR!$BF497,IF(K499="TAH",PR!$BG497,IF(K499="TAYLEK",PR!$BH497,IF(K499="TEMITA",PR!$BI497,IF(K499="THL",PR!$BJ497,IF(K499="UBASTIC",PR!$BK497,IF(K499="UNION",PR!$BL497,IF(K499="UNIQUE",PR!$BM497,IF(K499="VIXA",PR!$BN497,IF(K499="WWCV",PR!$BO497,IF(K499="ZOLON",PR!$BP497,"-")))))))))))))))))))))))))))))))))))))))))))))))))))))))))))))))))</f>
        <v>0</v>
      </c>
    </row>
    <row r="500" spans="1:12" ht="18.75" x14ac:dyDescent="0.3">
      <c r="A500" s="430">
        <f>PR!A498</f>
        <v>452</v>
      </c>
      <c r="B500" s="15" t="str">
        <f>PR!B498</f>
        <v>SACCHAROMYCES BOULARDII 250mg</v>
      </c>
      <c r="C500" s="113">
        <f>PR!D498</f>
        <v>10</v>
      </c>
      <c r="D500" s="113">
        <f>PR!C498</f>
        <v>400</v>
      </c>
      <c r="E500" s="108">
        <f>IF(F500="ALPHA",PR!$E498,IF(F500="ASSENE",PR!$F498,IF(F500="BIOFEM",PR!$G498,IF(F500="BIOMED",PR!$H498,IF(F500="CHI",PR!$I498,IF(F500="CLARION",PR!$J498,IF(F500="CODIX",PR!$K498,IF(F500="COSMADE",PR!$L498,IF(F500="SANCON",PR!$M498,IF(F500="DEVON",PR!$N498,IF(F500="DORTEMAG",PR!$O498,IF(F500="DGF",PR!$P498,IF(F500="DYNAMIC",PR!$Q498,IF(F500="EMZOR",PR!$R498,IF(F500="EUMATT",PR!$S498,IF(F500="FIDSON",PR!$T498,IF(F500="FCGLOBAL",PR!$U498,IF(F500="GENEITH",PR!$V498,IF(F500="GINOS",PR!$W498,IF(F500="GSK",PR!$X498,IF(F500="GLOBORG",PR!$Y498,IF(F500="GOODNEWS",PR!$Z498,IF(F500="GREENLIFE",PR!$AA498,IF(F500="HLINE",PR!$AB498,IF(F500="ROTECH",PR!$AC498,IF(F500="ISN",PR!$AD498,IF(F500="JAWA",PR!$AE498,IF(F500="LAYO",PR!$AF498,IF(F500="LEADWAY",PR!$AG498,IF(F500="LHV",PR!$AH498,IF(F500="MANOLA",PR!$AI498,IF(F500="MARCSON",PR!$AJ498,IF(F500="M&amp;B",PR!$AK498,IF(F500="MTRUST",PR!$AL498,IF(F500="MWORLD",PR!$AM498,IF(F500="MEGA",PR!$AN498,IF(F500="MICRONOVA",PR!$AO498,IF(F500="MFLASH",PR!$AP498,IF(F500="MORISON",PR!$AQ498,IF(F500="NEMEL",PR!$AR498,IF(F500="NHP",PR!$AS498,IF(F500="NHC",PR!$AT498,IF(F500="OLEAF",PR!$AU498,IF(F500="OCULUS",PR!$AV498,IF(F500="PACIFIC",PR!$AW498,IF(F500="PHAMATEX",PR!$AX498,IF(F500="PETHICS",PR!$AY498,IF(F500="PHILIPS",PR!$AZ498,IF(F500="RANBAXY",PR!$BA498,IF(F500="REALS",PR!$BB498,IF(F500="ROYAL",PR!$BC498,IF(F500="SAM",PR!$BD498,IF(F500="SEAGREEN",PR!$BE498,IF(F500="SKG",PR!$BF498,IF(F500="TAH",PR!$BG498,IF(F500="TAYLEK",PR!$BH498,IF(F500="TEMITA",PR!$BI498,IF(F500="THL",PR!$BJ498,IF(F500="UBASTIC",PR!$BK498,IF(F500="UNION",PR!$BL498,IF(F500="UNIQUE",PR!$BM498,IF(F500="VIXA",PR!$BN498,IF(F500="WWCV",PR!$BO498,IF(F500="ZOLON",PR!$BP498,"-"))))))))))))))))))))))))))))))))))))))))))))))))))))))))))))))))</f>
        <v>1400</v>
      </c>
      <c r="F500" s="102" t="str">
        <f>EV!L636</f>
        <v>MEGA</v>
      </c>
      <c r="G500" s="108">
        <f>IF(H500="ALPHA",PR!$E498,IF(H500="ASSENE",PR!$F498,IF(H500="BIOFEM",PR!$G498,IF(H500="BIOMED",PR!$H498,IF(H500="CHI",PR!$I498,IF(H500="CLARION",PR!$J498,IF(H500="CODIX",PR!$K498,IF(H500="COSMADE",PR!$L498,IF(H500="SANCON",PR!$M498,IF(H500="DEVON",PR!$N498,IF(H500="DORTEMAG",PR!$O498,IF(H500="DGF",PR!$P498,IF(H500="DYNAMIC",PR!$Q498,IF(H500="EMZOR",PR!$R498,IF(H500="EUMATT",PR!$S498,IF(H500="FIDSON",PR!$T498,IF(H500="FCGLOBAL",PR!$U498,IF(H500="GENEITH",PR!$V498,IF(H500="GINOS",PR!$W498,IF(H500="GSK",PR!$X498,IF(H500="GLOBORG",PR!$Y498,IF(H500="GOODNEWS",PR!$Z498,IF(H500="GREENLIFE",PR!$AA498,IF(H500="HLINE",PR!$AB498,IF(H500="ROTECH",PR!$AC498,IF(H500="ISN",PR!$AD498,IF(H500="JAWA",PR!$AE498,IF(H500="LAYO",PR!$AF498,IF(H500="LEADWAY",PR!$AG498,IF(H500="LHV",PR!$AH498,IF(H500="MANOLA",PR!$AI498,IF(H500="MARCSON",PR!$AJ498,IF(H500="M&amp;B",PR!$AK498,IF(H500="MTRUST",PR!$AL498,IF(H500="MWORLD",PR!$AM498,IF(H500="MEGA",PR!$AN498,IF(H500="MICRONOVA",PR!$AO498,IF(H500="MFLASH",PR!$AP498,IF(H500="MORISON",PR!$AQ498,IF(H500="NEMEL",PR!$AR498,IF(H500="NHP",PR!$AS498,IF(H500="NHC",PR!$AT498,IF(H500="OLEAF",PR!$AU498,IF(H500="OCULUS",PR!$AV498,IF(H500="PACIFIC",PR!$AW498,IF(H500="PHAMATEX",PR!$AX498,IF(H500="PETHICS",PR!$AY498,IF(H500="PHILIPS",PR!$AZ498,IF(H500="RANBAXY",PR!$BA498,IF(H500="REALS",PR!$BB498,IF(H500="ROYAL",PR!$BC498,IF(H500="SAM",PR!$BD498,IF(H500="SEAGREEN",PR!$BE498,IF(H500="SKG",PR!$BF498,IF(H500="TAH",PR!$BG498,IF(H500="TAYLEK",PR!$BH498,IF(H500="TEMITA",PR!$BI498,IF(H500="THL",PR!$BJ498,IF(H500="UBASTIC",PR!$BK498,IF(H500="UNION",PR!$BL498,IF(H500="UNIQUE",PR!$BM498,IF(H500="VIXA",PR!$BN498,IF(H500="WWCV",PR!$BO498,IF(H500="ZOLON",PR!$BP498,"-"))))))))))))))))))))))))))))))))))))))))))))))))))))))))))))))))</f>
        <v>3500</v>
      </c>
      <c r="H500" s="102" t="str">
        <f>EV!M636</f>
        <v>PHILIPS</v>
      </c>
      <c r="I500" s="108" t="str">
        <f>IF(J500="ALPHA",PR!$E498,IF(J500="ASSENE",PR!$F498,IF(J500="BIOFEM",PR!$G498,IF(J500="BIOMED",PR!$H498,IF(J500="CHI",PR!$I498,IF(J500="CLARION",PR!$J498,IF(J500="CODIX",PR!$K498,IF(J500="COSMADE",PR!$L498,IF(J500="SANCON",PR!$M498,IF(J500="DEVON",PR!$N498,IF(J500="DORTEMAG",PR!$O498,IF(J500="DGF",PR!$P498,IF(J500="DYNAMIC",PR!$Q498,IF(J500="EMZOR",PR!$R498,IF(J500="EUMATT",PR!$S498,IF(J500="FIDSON",PR!$T498,IF(J500="FCGLOBAL",PR!$U498,IF(J500="GENEITH",PR!$V498,IF(J500="GINOS",PR!$W498,IF(J500="GSK",PR!$X498,IF(J500="GLOBORG",PR!$Y498,IF(J500="GOODNEWS",PR!$Z498,IF(J500="GREENLIFE",PR!$AA498,IF(J500="HLINE",PR!$AB498,IF(J500="ROTECH",PR!$AC498,IF(J500="ISN",PR!$AD498,IF(J500="JAWA",PR!$AE498,IF(J500="LAYO",PR!$AF498,IF(J500="LEADWAY",PR!$AG498,IF(J500="LHV",PR!$AH498,IF(J500="MANOLA",PR!$AI498,IF(J500="MARCSON",PR!$AJ498,IF(J500="M&amp;B",PR!$AK498,IF(J500="MTRUST",PR!$AL498,IF(J500="MWORLD",PR!$AM498,IF(J500="MEGA",PR!$AN498,IF(J500="MICRONOVA",PR!$AO498,IF(J500="MFLASH",PR!$AP498,IF(J500="MORISON",PR!$AQ498,IF(J500="NEMEL",PR!$AR498,IF(J500="NHP",PR!$AS498,IF(J500="NHC",PR!$AT498,IF(J500="OLEAF",PR!$AU498,IF(J500="OCULUS",PR!$AV498,IF(J500="PACIFIC",PR!$AW498,IF(J500="PHAMATEX",PR!$AX498,IF(J500="PETHICS",PR!$AY498,IF(J500="PHILIPS",PR!$AZ498,IF(J500="RANBAXY",PR!$BA498,IF(J500="REALS",PR!$BB498,IF(J500="ROYAL",PR!$BC498,IF(J500="SAM",PR!$BD498,IF(J500="SEAGREEN",PR!$BE498,IF(J500="SKG",PR!$BF498,IF(J500="TAH",PR!$BG498,IF(J500="TAYLEK",PR!$BH498,IF(J500="TEMITA",PR!$BI498,IF(J500="THL",PR!$BJ498,IF(J500="UBASTIC",PR!$BK498,IF(J500="UNION",PR!$BL498,IF(J500="UNIQUE",PR!$BM498,IF(J500="VIXA",PR!$BN498,IF(J500="WWCV",PR!$BO498,IF(J500="ZOLON",PR!$BP498,"-"))))))))))))))))))))))))))))))))))))))))))))))))))))))))))))))))</f>
        <v>-</v>
      </c>
      <c r="J500" s="102">
        <f>EV!N636</f>
        <v>0</v>
      </c>
      <c r="K500" s="433" t="s">
        <v>618</v>
      </c>
      <c r="L500" s="183">
        <f>IF(K500&gt;0,IF(K500="ALPHA",PR!$E498,IF(K500="ASSENE",PR!$F498,IF(K500="BIOFEM",PR!$G498,IF(K500="BIOMED",PR!$H498,IF(K500="CHI",PR!$I498,IF(K500="CLARION",PR!$J498,IF(K500="CODIX",PR!$K498,IF(K500="COSMADE",PR!$L498,IF(K500="SANCON",PR!$M498,IF(K500="DEVON",PR!$N498,IF(K500="DORTEMAG",PR!$O498,IF(K500="DGF",PR!$P498,IF(K500="DYNAMIC",PR!$Q498,IF(K500="EMZOR",PR!$R498,IF(K500="EUMATT",PR!$S498,IF(K500="FIDSON",PR!$T498,IF(K500="FCGLOBAL",PR!$U498,IF(K500="GENEITH",PR!$V498,IF(K500="GINOS",PR!$W498,IF(K500="GSK",PR!$X498,IF(K500="GLOBORG",PR!$Y498,IF(K500="GOODNEWS",PR!$Z498,IF(K500="GREENLIFE",PR!$AA498,IF(K500="HLINE",PR!$AB498,IF(K500="ROTECH",PR!$AC498,IF(K500="ISN",PR!$AD498,IF(K500="JAWA",PR!$AE498,IF(K500="LAYO",PR!$AF498,IF(K500="LEADWAY",PR!$AG498,IF(K500="LHV",PR!$AH498,IF(K500="MANOLA",PR!$AI498,IF(K500="MARCSON",PR!$AJ498,IF(K500="M&amp;B",PR!$AK498,IF(K500="MTRUST",PR!$AL498,IF(K500="MWORLD",PR!$AM498,IF(K500="MEGA",PR!$AN498,IF(K500="MICRONOVA",PR!$AO498,IF(K500="MFLASH",PR!$AP498,IF(K500="MORISON",PR!$AQ498,IF(K500="NEMEL",PR!$AR498,IF(K500="NHP",PR!$AS498,IF(K500="NHC",PR!$AT498,IF(K500="OLEAF",PR!$AU498,IF(K500="OCULUS",PR!$AV498,IF(K500="PACIFIC",PR!$AW498,IF(K500="PHAMATEX",PR!$AX498,IF(K500="PETHICS",PR!$AY498,IF(K500="PHILIPS",PR!$AZ498,IF(K500="RANBAXY",PR!$BA498,IF(K500="REALS",PR!$BB498,IF(K500="ROYAL",PR!$BC498,IF(K500="SAM",PR!$BD498,IF(K500="SEAGREEN",PR!$BE498,IF(K500="SKG",PR!$BF498,IF(K500="TAH",PR!$BG498,IF(K500="TAYLEK",PR!$BH498,IF(K500="TEMITA",PR!$BI498,IF(K500="THL",PR!$BJ498,IF(K500="UBASTIC",PR!$BK498,IF(K500="UNION",PR!$BL498,IF(K500="UNIQUE",PR!$BM498,IF(K500="VIXA",PR!$BN498,IF(K500="WWCV",PR!$BO498,IF(K500="ZOLON",PR!$BP498,"-")))))))))))))))))))))))))))))))))))))))))))))))))))))))))))))))))</f>
        <v>3500</v>
      </c>
    </row>
    <row r="501" spans="1:12" ht="18.75" x14ac:dyDescent="0.3">
      <c r="A501" s="430">
        <f>PR!A499</f>
        <v>453</v>
      </c>
      <c r="B501" s="15" t="str">
        <f>PR!B499</f>
        <v>UNIENZYME TAB</v>
      </c>
      <c r="C501" s="113">
        <f>PR!D499</f>
        <v>20</v>
      </c>
      <c r="D501" s="113">
        <f>PR!C499</f>
        <v>500</v>
      </c>
      <c r="E501" s="108">
        <f>IF(F501="ALPHA",PR!$E499,IF(F501="ASSENE",PR!$F499,IF(F501="BIOFEM",PR!$G499,IF(F501="BIOMED",PR!$H499,IF(F501="CHI",PR!$I499,IF(F501="CLARION",PR!$J499,IF(F501="CODIX",PR!$K499,IF(F501="COSMADE",PR!$L499,IF(F501="SANCON",PR!$M499,IF(F501="DEVON",PR!$N499,IF(F501="DORTEMAG",PR!$O499,IF(F501="DGF",PR!$P499,IF(F501="DYNAMIC",PR!$Q499,IF(F501="EMZOR",PR!$R499,IF(F501="EUMATT",PR!$S499,IF(F501="FIDSON",PR!$T499,IF(F501="FCGLOBAL",PR!$U499,IF(F501="GENEITH",PR!$V499,IF(F501="GINOS",PR!$W499,IF(F501="GSK",PR!$X499,IF(F501="GLOBORG",PR!$Y499,IF(F501="GOODNEWS",PR!$Z499,IF(F501="GREENLIFE",PR!$AA499,IF(F501="HLINE",PR!$AB499,IF(F501="ROTECH",PR!$AC499,IF(F501="ISN",PR!$AD499,IF(F501="JAWA",PR!$AE499,IF(F501="LAYO",PR!$AF499,IF(F501="LEADWAY",PR!$AG499,IF(F501="LHV",PR!$AH499,IF(F501="MANOLA",PR!$AI499,IF(F501="MARCSON",PR!$AJ499,IF(F501="M&amp;B",PR!$AK499,IF(F501="MTRUST",PR!$AL499,IF(F501="MWORLD",PR!$AM499,IF(F501="MEGA",PR!$AN499,IF(F501="MICRONOVA",PR!$AO499,IF(F501="MFLASH",PR!$AP499,IF(F501="MORISON",PR!$AQ499,IF(F501="NEMEL",PR!$AR499,IF(F501="NHP",PR!$AS499,IF(F501="NHC",PR!$AT499,IF(F501="OLEAF",PR!$AU499,IF(F501="OCULUS",PR!$AV499,IF(F501="PACIFIC",PR!$AW499,IF(F501="PHAMATEX",PR!$AX499,IF(F501="PETHICS",PR!$AY499,IF(F501="PHILIPS",PR!$AZ499,IF(F501="RANBAXY",PR!$BA499,IF(F501="REALS",PR!$BB499,IF(F501="ROYAL",PR!$BC499,IF(F501="SAM",PR!$BD499,IF(F501="SEAGREEN",PR!$BE499,IF(F501="SKG",PR!$BF499,IF(F501="TAH",PR!$BG499,IF(F501="TAYLEK",PR!$BH499,IF(F501="TEMITA",PR!$BI499,IF(F501="THL",PR!$BJ499,IF(F501="UBASTIC",PR!$BK499,IF(F501="UNION",PR!$BL499,IF(F501="UNIQUE",PR!$BM499,IF(F501="VIXA",PR!$BN499,IF(F501="WWCV",PR!$BO499,IF(F501="ZOLON",PR!$BP499,"-"))))))))))))))))))))))))))))))))))))))))))))))))))))))))))))))))</f>
        <v>735</v>
      </c>
      <c r="F501" s="102" t="str">
        <f>EV!L637</f>
        <v>PHILIPS</v>
      </c>
      <c r="G501" s="108" t="str">
        <f>IF(H501="ALPHA",PR!$E499,IF(H501="ASSENE",PR!$F499,IF(H501="BIOFEM",PR!$G499,IF(H501="BIOMED",PR!$H499,IF(H501="CHI",PR!$I499,IF(H501="CLARION",PR!$J499,IF(H501="CODIX",PR!$K499,IF(H501="COSMADE",PR!$L499,IF(H501="SANCON",PR!$M499,IF(H501="DEVON",PR!$N499,IF(H501="DORTEMAG",PR!$O499,IF(H501="DGF",PR!$P499,IF(H501="DYNAMIC",PR!$Q499,IF(H501="EMZOR",PR!$R499,IF(H501="EUMATT",PR!$S499,IF(H501="FIDSON",PR!$T499,IF(H501="FCGLOBAL",PR!$U499,IF(H501="GENEITH",PR!$V499,IF(H501="GINOS",PR!$W499,IF(H501="GSK",PR!$X499,IF(H501="GLOBORG",PR!$Y499,IF(H501="GOODNEWS",PR!$Z499,IF(H501="GREENLIFE",PR!$AA499,IF(H501="HLINE",PR!$AB499,IF(H501="ROTECH",PR!$AC499,IF(H501="ISN",PR!$AD499,IF(H501="JAWA",PR!$AE499,IF(H501="LAYO",PR!$AF499,IF(H501="LEADWAY",PR!$AG499,IF(H501="LHV",PR!$AH499,IF(H501="MANOLA",PR!$AI499,IF(H501="MARCSON",PR!$AJ499,IF(H501="M&amp;B",PR!$AK499,IF(H501="MTRUST",PR!$AL499,IF(H501="MWORLD",PR!$AM499,IF(H501="MEGA",PR!$AN499,IF(H501="MICRONOVA",PR!$AO499,IF(H501="MFLASH",PR!$AP499,IF(H501="MORISON",PR!$AQ499,IF(H501="NEMEL",PR!$AR499,IF(H501="NHP",PR!$AS499,IF(H501="NHC",PR!$AT499,IF(H501="OLEAF",PR!$AU499,IF(H501="OCULUS",PR!$AV499,IF(H501="PACIFIC",PR!$AW499,IF(H501="PHAMATEX",PR!$AX499,IF(H501="PETHICS",PR!$AY499,IF(H501="PHILIPS",PR!$AZ499,IF(H501="RANBAXY",PR!$BA499,IF(H501="REALS",PR!$BB499,IF(H501="ROYAL",PR!$BC499,IF(H501="SAM",PR!$BD499,IF(H501="SEAGREEN",PR!$BE499,IF(H501="SKG",PR!$BF499,IF(H501="TAH",PR!$BG499,IF(H501="TAYLEK",PR!$BH499,IF(H501="TEMITA",PR!$BI499,IF(H501="THL",PR!$BJ499,IF(H501="UBASTIC",PR!$BK499,IF(H501="UNION",PR!$BL499,IF(H501="UNIQUE",PR!$BM499,IF(H501="VIXA",PR!$BN499,IF(H501="WWCV",PR!$BO499,IF(H501="ZOLON",PR!$BP499,"-"))))))))))))))))))))))))))))))))))))))))))))))))))))))))))))))))</f>
        <v>-</v>
      </c>
      <c r="H501" s="102">
        <f>EV!M637</f>
        <v>0</v>
      </c>
      <c r="I501" s="108" t="str">
        <f>IF(J501="ALPHA",PR!$E499,IF(J501="ASSENE",PR!$F499,IF(J501="BIOFEM",PR!$G499,IF(J501="BIOMED",PR!$H499,IF(J501="CHI",PR!$I499,IF(J501="CLARION",PR!$J499,IF(J501="CODIX",PR!$K499,IF(J501="COSMADE",PR!$L499,IF(J501="SANCON",PR!$M499,IF(J501="DEVON",PR!$N499,IF(J501="DORTEMAG",PR!$O499,IF(J501="DGF",PR!$P499,IF(J501="DYNAMIC",PR!$Q499,IF(J501="EMZOR",PR!$R499,IF(J501="EUMATT",PR!$S499,IF(J501="FIDSON",PR!$T499,IF(J501="FCGLOBAL",PR!$U499,IF(J501="GENEITH",PR!$V499,IF(J501="GINOS",PR!$W499,IF(J501="GSK",PR!$X499,IF(J501="GLOBORG",PR!$Y499,IF(J501="GOODNEWS",PR!$Z499,IF(J501="GREENLIFE",PR!$AA499,IF(J501="HLINE",PR!$AB499,IF(J501="ROTECH",PR!$AC499,IF(J501="ISN",PR!$AD499,IF(J501="JAWA",PR!$AE499,IF(J501="LAYO",PR!$AF499,IF(J501="LEADWAY",PR!$AG499,IF(J501="LHV",PR!$AH499,IF(J501="MANOLA",PR!$AI499,IF(J501="MARCSON",PR!$AJ499,IF(J501="M&amp;B",PR!$AK499,IF(J501="MTRUST",PR!$AL499,IF(J501="MWORLD",PR!$AM499,IF(J501="MEGA",PR!$AN499,IF(J501="MICRONOVA",PR!$AO499,IF(J501="MFLASH",PR!$AP499,IF(J501="MORISON",PR!$AQ499,IF(J501="NEMEL",PR!$AR499,IF(J501="NHP",PR!$AS499,IF(J501="NHC",PR!$AT499,IF(J501="OLEAF",PR!$AU499,IF(J501="OCULUS",PR!$AV499,IF(J501="PACIFIC",PR!$AW499,IF(J501="PHAMATEX",PR!$AX499,IF(J501="PETHICS",PR!$AY499,IF(J501="PHILIPS",PR!$AZ499,IF(J501="RANBAXY",PR!$BA499,IF(J501="REALS",PR!$BB499,IF(J501="ROYAL",PR!$BC499,IF(J501="SAM",PR!$BD499,IF(J501="SEAGREEN",PR!$BE499,IF(J501="SKG",PR!$BF499,IF(J501="TAH",PR!$BG499,IF(J501="TAYLEK",PR!$BH499,IF(J501="TEMITA",PR!$BI499,IF(J501="THL",PR!$BJ499,IF(J501="UBASTIC",PR!$BK499,IF(J501="UNION",PR!$BL499,IF(J501="UNIQUE",PR!$BM499,IF(J501="VIXA",PR!$BN499,IF(J501="WWCV",PR!$BO499,IF(J501="ZOLON",PR!$BP499,"-"))))))))))))))))))))))))))))))))))))))))))))))))))))))))))))))))</f>
        <v>-</v>
      </c>
      <c r="J501" s="102">
        <f>EV!N637</f>
        <v>0</v>
      </c>
      <c r="K501" s="433" t="s">
        <v>618</v>
      </c>
      <c r="L501" s="183">
        <f>IF(K501&gt;0,IF(K501="ALPHA",PR!$E499,IF(K501="ASSENE",PR!$F499,IF(K501="BIOFEM",PR!$G499,IF(K501="BIOMED",PR!$H499,IF(K501="CHI",PR!$I499,IF(K501="CLARION",PR!$J499,IF(K501="CODIX",PR!$K499,IF(K501="COSMADE",PR!$L499,IF(K501="SANCON",PR!$M499,IF(K501="DEVON",PR!$N499,IF(K501="DORTEMAG",PR!$O499,IF(K501="DGF",PR!$P499,IF(K501="DYNAMIC",PR!$Q499,IF(K501="EMZOR",PR!$R499,IF(K501="EUMATT",PR!$S499,IF(K501="FIDSON",PR!$T499,IF(K501="FCGLOBAL",PR!$U499,IF(K501="GENEITH",PR!$V499,IF(K501="GINOS",PR!$W499,IF(K501="GSK",PR!$X499,IF(K501="GLOBORG",PR!$Y499,IF(K501="GOODNEWS",PR!$Z499,IF(K501="GREENLIFE",PR!$AA499,IF(K501="HLINE",PR!$AB499,IF(K501="ROTECH",PR!$AC499,IF(K501="ISN",PR!$AD499,IF(K501="JAWA",PR!$AE499,IF(K501="LAYO",PR!$AF499,IF(K501="LEADWAY",PR!$AG499,IF(K501="LHV",PR!$AH499,IF(K501="MANOLA",PR!$AI499,IF(K501="MARCSON",PR!$AJ499,IF(K501="M&amp;B",PR!$AK499,IF(K501="MTRUST",PR!$AL499,IF(K501="MWORLD",PR!$AM499,IF(K501="MEGA",PR!$AN499,IF(K501="MICRONOVA",PR!$AO499,IF(K501="MFLASH",PR!$AP499,IF(K501="MORISON",PR!$AQ499,IF(K501="NEMEL",PR!$AR499,IF(K501="NHP",PR!$AS499,IF(K501="NHC",PR!$AT499,IF(K501="OLEAF",PR!$AU499,IF(K501="OCULUS",PR!$AV499,IF(K501="PACIFIC",PR!$AW499,IF(K501="PHAMATEX",PR!$AX499,IF(K501="PETHICS",PR!$AY499,IF(K501="PHILIPS",PR!$AZ499,IF(K501="RANBAXY",PR!$BA499,IF(K501="REALS",PR!$BB499,IF(K501="ROYAL",PR!$BC499,IF(K501="SAM",PR!$BD499,IF(K501="SEAGREEN",PR!$BE499,IF(K501="SKG",PR!$BF499,IF(K501="TAH",PR!$BG499,IF(K501="TAYLEK",PR!$BH499,IF(K501="TEMITA",PR!$BI499,IF(K501="THL",PR!$BJ499,IF(K501="UBASTIC",PR!$BK499,IF(K501="UNION",PR!$BL499,IF(K501="UNIQUE",PR!$BM499,IF(K501="VIXA",PR!$BN499,IF(K501="WWCV",PR!$BO499,IF(K501="ZOLON",PR!$BP499,"-")))))))))))))))))))))))))))))))))))))))))))))))))))))))))))))))))</f>
        <v>735</v>
      </c>
    </row>
    <row r="502" spans="1:12" ht="18.75" x14ac:dyDescent="0.3">
      <c r="A502" s="430">
        <f>PR!A500</f>
        <v>454</v>
      </c>
      <c r="B502" s="15" t="str">
        <f>PR!B500</f>
        <v>ZINC SULPHATE TAB</v>
      </c>
      <c r="C502" s="113">
        <f>PR!D500</f>
        <v>10</v>
      </c>
      <c r="D502" s="113">
        <f>PR!C500</f>
        <v>1000</v>
      </c>
      <c r="E502" s="108">
        <f>IF(F502="ALPHA",PR!$E500,IF(F502="ASSENE",PR!$F500,IF(F502="BIOFEM",PR!$G500,IF(F502="BIOMED",PR!$H500,IF(F502="CHI",PR!$I500,IF(F502="CLARION",PR!$J500,IF(F502="CODIX",PR!$K500,IF(F502="COSMADE",PR!$L500,IF(F502="SANCON",PR!$M500,IF(F502="DEVON",PR!$N500,IF(F502="DORTEMAG",PR!$O500,IF(F502="DGF",PR!$P500,IF(F502="DYNAMIC",PR!$Q500,IF(F502="EMZOR",PR!$R500,IF(F502="EUMATT",PR!$S500,IF(F502="FIDSON",PR!$T500,IF(F502="FCGLOBAL",PR!$U500,IF(F502="GENEITH",PR!$V500,IF(F502="GINOS",PR!$W500,IF(F502="GSK",PR!$X500,IF(F502="GLOBORG",PR!$Y500,IF(F502="GOODNEWS",PR!$Z500,IF(F502="GREENLIFE",PR!$AA500,IF(F502="HLINE",PR!$AB500,IF(F502="ROTECH",PR!$AC500,IF(F502="ISN",PR!$AD500,IF(F502="JAWA",PR!$AE500,IF(F502="LAYO",PR!$AF500,IF(F502="LEADWAY",PR!$AG500,IF(F502="LHV",PR!$AH500,IF(F502="MANOLA",PR!$AI500,IF(F502="MARCSON",PR!$AJ500,IF(F502="M&amp;B",PR!$AK500,IF(F502="MTRUST",PR!$AL500,IF(F502="MWORLD",PR!$AM500,IF(F502="MEGA",PR!$AN500,IF(F502="MICRONOVA",PR!$AO500,IF(F502="MFLASH",PR!$AP500,IF(F502="MORISON",PR!$AQ500,IF(F502="NEMEL",PR!$AR500,IF(F502="NHP",PR!$AS500,IF(F502="NHC",PR!$AT500,IF(F502="OLEAF",PR!$AU500,IF(F502="OCULUS",PR!$AV500,IF(F502="PACIFIC",PR!$AW500,IF(F502="PHAMATEX",PR!$AX500,IF(F502="PETHICS",PR!$AY500,IF(F502="PHILIPS",PR!$AZ500,IF(F502="RANBAXY",PR!$BA500,IF(F502="REALS",PR!$BB500,IF(F502="ROYAL",PR!$BC500,IF(F502="SAM",PR!$BD500,IF(F502="SEAGREEN",PR!$BE500,IF(F502="SKG",PR!$BF500,IF(F502="TAH",PR!$BG500,IF(F502="TAYLEK",PR!$BH500,IF(F502="TEMITA",PR!$BI500,IF(F502="THL",PR!$BJ500,IF(F502="UBASTIC",PR!$BK500,IF(F502="UNION",PR!$BL500,IF(F502="UNIQUE",PR!$BM500,IF(F502="VIXA",PR!$BN500,IF(F502="WWCV",PR!$BO500,IF(F502="ZOLON",PR!$BP500,"-"))))))))))))))))))))))))))))))))))))))))))))))))))))))))))))))))</f>
        <v>42.756999999999998</v>
      </c>
      <c r="F502" s="102" t="str">
        <f>EV!L638</f>
        <v>EMZOR</v>
      </c>
      <c r="G502" s="108" t="str">
        <f>IF(H502="ALPHA",PR!$E500,IF(H502="ASSENE",PR!$F500,IF(H502="BIOFEM",PR!$G500,IF(H502="BIOMED",PR!$H500,IF(H502="CHI",PR!$I500,IF(H502="CLARION",PR!$J500,IF(H502="CODIX",PR!$K500,IF(H502="COSMADE",PR!$L500,IF(H502="SANCON",PR!$M500,IF(H502="DEVON",PR!$N500,IF(H502="DORTEMAG",PR!$O500,IF(H502="DGF",PR!$P500,IF(H502="DYNAMIC",PR!$Q500,IF(H502="EMZOR",PR!$R500,IF(H502="EUMATT",PR!$S500,IF(H502="FIDSON",PR!$T500,IF(H502="FCGLOBAL",PR!$U500,IF(H502="GENEITH",PR!$V500,IF(H502="GINOS",PR!$W500,IF(H502="GSK",PR!$X500,IF(H502="GLOBORG",PR!$Y500,IF(H502="GOODNEWS",PR!$Z500,IF(H502="GREENLIFE",PR!$AA500,IF(H502="HLINE",PR!$AB500,IF(H502="ROTECH",PR!$AC500,IF(H502="ISN",PR!$AD500,IF(H502="JAWA",PR!$AE500,IF(H502="LAYO",PR!$AF500,IF(H502="LEADWAY",PR!$AG500,IF(H502="LHV",PR!$AH500,IF(H502="MANOLA",PR!$AI500,IF(H502="MARCSON",PR!$AJ500,IF(H502="M&amp;B",PR!$AK500,IF(H502="MTRUST",PR!$AL500,IF(H502="MWORLD",PR!$AM500,IF(H502="MEGA",PR!$AN500,IF(H502="MICRONOVA",PR!$AO500,IF(H502="MFLASH",PR!$AP500,IF(H502="MORISON",PR!$AQ500,IF(H502="NEMEL",PR!$AR500,IF(H502="NHP",PR!$AS500,IF(H502="NHC",PR!$AT500,IF(H502="OLEAF",PR!$AU500,IF(H502="OCULUS",PR!$AV500,IF(H502="PACIFIC",PR!$AW500,IF(H502="PHAMATEX",PR!$AX500,IF(H502="PETHICS",PR!$AY500,IF(H502="PHILIPS",PR!$AZ500,IF(H502="RANBAXY",PR!$BA500,IF(H502="REALS",PR!$BB500,IF(H502="ROYAL",PR!$BC500,IF(H502="SAM",PR!$BD500,IF(H502="SEAGREEN",PR!$BE500,IF(H502="SKG",PR!$BF500,IF(H502="TAH",PR!$BG500,IF(H502="TAYLEK",PR!$BH500,IF(H502="TEMITA",PR!$BI500,IF(H502="THL",PR!$BJ500,IF(H502="UBASTIC",PR!$BK500,IF(H502="UNION",PR!$BL500,IF(H502="UNIQUE",PR!$BM500,IF(H502="VIXA",PR!$BN500,IF(H502="WWCV",PR!$BO500,IF(H502="ZOLON",PR!$BP500,"-"))))))))))))))))))))))))))))))))))))))))))))))))))))))))))))))))</f>
        <v>-</v>
      </c>
      <c r="H502" s="102">
        <f>EV!M638</f>
        <v>0</v>
      </c>
      <c r="I502" s="108" t="str">
        <f>IF(J502="ALPHA",PR!$E500,IF(J502="ASSENE",PR!$F500,IF(J502="BIOFEM",PR!$G500,IF(J502="BIOMED",PR!$H500,IF(J502="CHI",PR!$I500,IF(J502="CLARION",PR!$J500,IF(J502="CODIX",PR!$K500,IF(J502="COSMADE",PR!$L500,IF(J502="SANCON",PR!$M500,IF(J502="DEVON",PR!$N500,IF(J502="DORTEMAG",PR!$O500,IF(J502="DGF",PR!$P500,IF(J502="DYNAMIC",PR!$Q500,IF(J502="EMZOR",PR!$R500,IF(J502="EUMATT",PR!$S500,IF(J502="FIDSON",PR!$T500,IF(J502="FCGLOBAL",PR!$U500,IF(J502="GENEITH",PR!$V500,IF(J502="GINOS",PR!$W500,IF(J502="GSK",PR!$X500,IF(J502="GLOBORG",PR!$Y500,IF(J502="GOODNEWS",PR!$Z500,IF(J502="GREENLIFE",PR!$AA500,IF(J502="HLINE",PR!$AB500,IF(J502="ROTECH",PR!$AC500,IF(J502="ISN",PR!$AD500,IF(J502="JAWA",PR!$AE500,IF(J502="LAYO",PR!$AF500,IF(J502="LEADWAY",PR!$AG500,IF(J502="LHV",PR!$AH500,IF(J502="MANOLA",PR!$AI500,IF(J502="MARCSON",PR!$AJ500,IF(J502="M&amp;B",PR!$AK500,IF(J502="MTRUST",PR!$AL500,IF(J502="MWORLD",PR!$AM500,IF(J502="MEGA",PR!$AN500,IF(J502="MICRONOVA",PR!$AO500,IF(J502="MFLASH",PR!$AP500,IF(J502="MORISON",PR!$AQ500,IF(J502="NEMEL",PR!$AR500,IF(J502="NHP",PR!$AS500,IF(J502="NHC",PR!$AT500,IF(J502="OLEAF",PR!$AU500,IF(J502="OCULUS",PR!$AV500,IF(J502="PACIFIC",PR!$AW500,IF(J502="PHAMATEX",PR!$AX500,IF(J502="PETHICS",PR!$AY500,IF(J502="PHILIPS",PR!$AZ500,IF(J502="RANBAXY",PR!$BA500,IF(J502="REALS",PR!$BB500,IF(J502="ROYAL",PR!$BC500,IF(J502="SAM",PR!$BD500,IF(J502="SEAGREEN",PR!$BE500,IF(J502="SKG",PR!$BF500,IF(J502="TAH",PR!$BG500,IF(J502="TAYLEK",PR!$BH500,IF(J502="TEMITA",PR!$BI500,IF(J502="THL",PR!$BJ500,IF(J502="UBASTIC",PR!$BK500,IF(J502="UNION",PR!$BL500,IF(J502="UNIQUE",PR!$BM500,IF(J502="VIXA",PR!$BN500,IF(J502="WWCV",PR!$BO500,IF(J502="ZOLON",PR!$BP500,"-"))))))))))))))))))))))))))))))))))))))))))))))))))))))))))))))))</f>
        <v>-</v>
      </c>
      <c r="J502" s="102">
        <f>EV!N638</f>
        <v>0</v>
      </c>
      <c r="K502" s="433" t="s">
        <v>614</v>
      </c>
      <c r="L502" s="183">
        <f>IF(K502&gt;0,IF(K502="ALPHA",PR!$E500,IF(K502="ASSENE",PR!$F500,IF(K502="BIOFEM",PR!$G500,IF(K502="BIOMED",PR!$H500,IF(K502="CHI",PR!$I500,IF(K502="CLARION",PR!$J500,IF(K502="CODIX",PR!$K500,IF(K502="COSMADE",PR!$L500,IF(K502="SANCON",PR!$M500,IF(K502="DEVON",PR!$N500,IF(K502="DORTEMAG",PR!$O500,IF(K502="DGF",PR!$P500,IF(K502="DYNAMIC",PR!$Q500,IF(K502="EMZOR",PR!$R500,IF(K502="EUMATT",PR!$S500,IF(K502="FIDSON",PR!$T500,IF(K502="FCGLOBAL",PR!$U500,IF(K502="GENEITH",PR!$V500,IF(K502="GINOS",PR!$W500,IF(K502="GSK",PR!$X500,IF(K502="GLOBORG",PR!$Y500,IF(K502="GOODNEWS",PR!$Z500,IF(K502="GREENLIFE",PR!$AA500,IF(K502="HLINE",PR!$AB500,IF(K502="ROTECH",PR!$AC500,IF(K502="ISN",PR!$AD500,IF(K502="JAWA",PR!$AE500,IF(K502="LAYO",PR!$AF500,IF(K502="LEADWAY",PR!$AG500,IF(K502="LHV",PR!$AH500,IF(K502="MANOLA",PR!$AI500,IF(K502="MARCSON",PR!$AJ500,IF(K502="M&amp;B",PR!$AK500,IF(K502="MTRUST",PR!$AL500,IF(K502="MWORLD",PR!$AM500,IF(K502="MEGA",PR!$AN500,IF(K502="MICRONOVA",PR!$AO500,IF(K502="MFLASH",PR!$AP500,IF(K502="MORISON",PR!$AQ500,IF(K502="NEMEL",PR!$AR500,IF(K502="NHP",PR!$AS500,IF(K502="NHC",PR!$AT500,IF(K502="OLEAF",PR!$AU500,IF(K502="OCULUS",PR!$AV500,IF(K502="PACIFIC",PR!$AW500,IF(K502="PHAMATEX",PR!$AX500,IF(K502="PETHICS",PR!$AY500,IF(K502="PHILIPS",PR!$AZ500,IF(K502="RANBAXY",PR!$BA500,IF(K502="REALS",PR!$BB500,IF(K502="ROYAL",PR!$BC500,IF(K502="SAM",PR!$BD500,IF(K502="SEAGREEN",PR!$BE500,IF(K502="SKG",PR!$BF500,IF(K502="TAH",PR!$BG500,IF(K502="TAYLEK",PR!$BH500,IF(K502="TEMITA",PR!$BI500,IF(K502="THL",PR!$BJ500,IF(K502="UBASTIC",PR!$BK500,IF(K502="UNION",PR!$BL500,IF(K502="UNIQUE",PR!$BM500,IF(K502="VIXA",PR!$BN500,IF(K502="WWCV",PR!$BO500,IF(K502="ZOLON",PR!$BP500,"-")))))))))))))))))))))))))))))))))))))))))))))))))))))))))))))))))</f>
        <v>42.756999999999998</v>
      </c>
    </row>
    <row r="503" spans="1:12" ht="18.75" x14ac:dyDescent="0.3">
      <c r="A503" s="430">
        <f>PR!A501</f>
        <v>0</v>
      </c>
      <c r="B503" s="15">
        <f>PR!B501</f>
        <v>0</v>
      </c>
      <c r="C503" s="113">
        <f>PR!D501</f>
        <v>0</v>
      </c>
      <c r="D503" s="113">
        <f>PR!C501</f>
        <v>0</v>
      </c>
      <c r="E503" s="108" t="str">
        <f>IF(F503="ALPHA",PR!$E501,IF(F503="ASSENE",PR!$F501,IF(F503="BIOFEM",PR!$G501,IF(F503="BIOMED",PR!$H501,IF(F503="CHI",PR!$I501,IF(F503="CLARION",PR!$J501,IF(F503="CODIX",PR!$K501,IF(F503="COSMADE",PR!$L501,IF(F503="SANCON",PR!$M501,IF(F503="DEVON",PR!$N501,IF(F503="DORTEMAG",PR!$O501,IF(F503="DGF",PR!$P501,IF(F503="DYNAMIC",PR!$Q501,IF(F503="EMZOR",PR!$R501,IF(F503="EUMATT",PR!$S501,IF(F503="FIDSON",PR!$T501,IF(F503="FCGLOBAL",PR!$U501,IF(F503="GENEITH",PR!$V501,IF(F503="GINOS",PR!$W501,IF(F503="GSK",PR!$X501,IF(F503="GLOBORG",PR!$Y501,IF(F503="GOODNEWS",PR!$Z501,IF(F503="GREENLIFE",PR!$AA501,IF(F503="HLINE",PR!$AB501,IF(F503="ROTECH",PR!$AC501,IF(F503="ISN",PR!$AD501,IF(F503="JAWA",PR!$AE501,IF(F503="LAYO",PR!$AF501,IF(F503="LEADWAY",PR!$AG501,IF(F503="LHV",PR!$AH501,IF(F503="MANOLA",PR!$AI501,IF(F503="MARCSON",PR!$AJ501,IF(F503="M&amp;B",PR!$AK501,IF(F503="MTRUST",PR!$AL501,IF(F503="MWORLD",PR!$AM501,IF(F503="MEGA",PR!$AN501,IF(F503="MICRONOVA",PR!$AO501,IF(F503="MFLASH",PR!$AP501,IF(F503="MORISON",PR!$AQ501,IF(F503="NEMEL",PR!$AR501,IF(F503="NHP",PR!$AS501,IF(F503="NHC",PR!$AT501,IF(F503="OLEAF",PR!$AU501,IF(F503="OCULUS",PR!$AV501,IF(F503="PACIFIC",PR!$AW501,IF(F503="PHAMATEX",PR!$AX501,IF(F503="PETHICS",PR!$AY501,IF(F503="PHILIPS",PR!$AZ501,IF(F503="RANBAXY",PR!$BA501,IF(F503="REALS",PR!$BB501,IF(F503="ROYAL",PR!$BC501,IF(F503="SAM",PR!$BD501,IF(F503="SEAGREEN",PR!$BE501,IF(F503="SKG",PR!$BF501,IF(F503="TAH",PR!$BG501,IF(F503="TAYLEK",PR!$BH501,IF(F503="TEMITA",PR!$BI501,IF(F503="THL",PR!$BJ501,IF(F503="UBASTIC",PR!$BK501,IF(F503="UNION",PR!$BL501,IF(F503="UNIQUE",PR!$BM501,IF(F503="VIXA",PR!$BN501,IF(F503="WWCV",PR!$BO501,IF(F503="ZOLON",PR!$BP501,"-"))))))))))))))))))))))))))))))))))))))))))))))))))))))))))))))))</f>
        <v>-</v>
      </c>
      <c r="F503" s="102"/>
      <c r="G503" s="108" t="str">
        <f>IF(H503="ALPHA",PR!$E501,IF(H503="ASSENE",PR!$F501,IF(H503="BIOFEM",PR!$G501,IF(H503="BIOMED",PR!$H501,IF(H503="CHI",PR!$I501,IF(H503="CLARION",PR!$J501,IF(H503="CODIX",PR!$K501,IF(H503="COSMADE",PR!$L501,IF(H503="SANCON",PR!$M501,IF(H503="DEVON",PR!$N501,IF(H503="DORTEMAG",PR!$O501,IF(H503="DGF",PR!$P501,IF(H503="DYNAMIC",PR!$Q501,IF(H503="EMZOR",PR!$R501,IF(H503="EUMATT",PR!$S501,IF(H503="FIDSON",PR!$T501,IF(H503="FCGLOBAL",PR!$U501,IF(H503="GENEITH",PR!$V501,IF(H503="GINOS",PR!$W501,IF(H503="GSK",PR!$X501,IF(H503="GLOBORG",PR!$Y501,IF(H503="GOODNEWS",PR!$Z501,IF(H503="GREENLIFE",PR!$AA501,IF(H503="HLINE",PR!$AB501,IF(H503="ROTECH",PR!$AC501,IF(H503="ISN",PR!$AD501,IF(H503="JAWA",PR!$AE501,IF(H503="LAYO",PR!$AF501,IF(H503="LEADWAY",PR!$AG501,IF(H503="LHV",PR!$AH501,IF(H503="MANOLA",PR!$AI501,IF(H503="MARCSON",PR!$AJ501,IF(H503="M&amp;B",PR!$AK501,IF(H503="MTRUST",PR!$AL501,IF(H503="MWORLD",PR!$AM501,IF(H503="MEGA",PR!$AN501,IF(H503="MICRONOVA",PR!$AO501,IF(H503="MFLASH",PR!$AP501,IF(H503="MORISON",PR!$AQ501,IF(H503="NEMEL",PR!$AR501,IF(H503="NHP",PR!$AS501,IF(H503="NHC",PR!$AT501,IF(H503="OLEAF",PR!$AU501,IF(H503="OCULUS",PR!$AV501,IF(H503="PACIFIC",PR!$AW501,IF(H503="PHAMATEX",PR!$AX501,IF(H503="PETHICS",PR!$AY501,IF(H503="PHILIPS",PR!$AZ501,IF(H503="RANBAXY",PR!$BA501,IF(H503="REALS",PR!$BB501,IF(H503="ROYAL",PR!$BC501,IF(H503="SAM",PR!$BD501,IF(H503="SEAGREEN",PR!$BE501,IF(H503="SKG",PR!$BF501,IF(H503="TAH",PR!$BG501,IF(H503="TAYLEK",PR!$BH501,IF(H503="TEMITA",PR!$BI501,IF(H503="THL",PR!$BJ501,IF(H503="UBASTIC",PR!$BK501,IF(H503="UNION",PR!$BL501,IF(H503="UNIQUE",PR!$BM501,IF(H503="VIXA",PR!$BN501,IF(H503="WWCV",PR!$BO501,IF(H503="ZOLON",PR!$BP501,"-"))))))))))))))))))))))))))))))))))))))))))))))))))))))))))))))))</f>
        <v>-</v>
      </c>
      <c r="H503" s="102"/>
      <c r="I503" s="108" t="str">
        <f>IF(J503="ALPHA",PR!$E501,IF(J503="ASSENE",PR!$F501,IF(J503="BIOFEM",PR!$G501,IF(J503="BIOMED",PR!$H501,IF(J503="CHI",PR!$I501,IF(J503="CLARION",PR!$J501,IF(J503="CODIX",PR!$K501,IF(J503="COSMADE",PR!$L501,IF(J503="SANCON",PR!$M501,IF(J503="DEVON",PR!$N501,IF(J503="DORTEMAG",PR!$O501,IF(J503="DGF",PR!$P501,IF(J503="DYNAMIC",PR!$Q501,IF(J503="EMZOR",PR!$R501,IF(J503="EUMATT",PR!$S501,IF(J503="FIDSON",PR!$T501,IF(J503="FCGLOBAL",PR!$U501,IF(J503="GENEITH",PR!$V501,IF(J503="GINOS",PR!$W501,IF(J503="GSK",PR!$X501,IF(J503="GLOBORG",PR!$Y501,IF(J503="GOODNEWS",PR!$Z501,IF(J503="GREENLIFE",PR!$AA501,IF(J503="HLINE",PR!$AB501,IF(J503="ROTECH",PR!$AC501,IF(J503="ISN",PR!$AD501,IF(J503="JAWA",PR!$AE501,IF(J503="LAYO",PR!$AF501,IF(J503="LEADWAY",PR!$AG501,IF(J503="LHV",PR!$AH501,IF(J503="MANOLA",PR!$AI501,IF(J503="MARCSON",PR!$AJ501,IF(J503="M&amp;B",PR!$AK501,IF(J503="MTRUST",PR!$AL501,IF(J503="MWORLD",PR!$AM501,IF(J503="MEGA",PR!$AN501,IF(J503="MICRONOVA",PR!$AO501,IF(J503="MFLASH",PR!$AP501,IF(J503="MORISON",PR!$AQ501,IF(J503="NEMEL",PR!$AR501,IF(J503="NHP",PR!$AS501,IF(J503="NHC",PR!$AT501,IF(J503="OLEAF",PR!$AU501,IF(J503="OCULUS",PR!$AV501,IF(J503="PACIFIC",PR!$AW501,IF(J503="PHAMATEX",PR!$AX501,IF(J503="PETHICS",PR!$AY501,IF(J503="PHILIPS",PR!$AZ501,IF(J503="RANBAXY",PR!$BA501,IF(J503="REALS",PR!$BB501,IF(J503="ROYAL",PR!$BC501,IF(J503="SAM",PR!$BD501,IF(J503="SEAGREEN",PR!$BE501,IF(J503="SKG",PR!$BF501,IF(J503="TAH",PR!$BG501,IF(J503="TAYLEK",PR!$BH501,IF(J503="TEMITA",PR!$BI501,IF(J503="THL",PR!$BJ501,IF(J503="UBASTIC",PR!$BK501,IF(J503="UNION",PR!$BL501,IF(J503="UNIQUE",PR!$BM501,IF(J503="VIXA",PR!$BN501,IF(J503="WWCV",PR!$BO501,IF(J503="ZOLON",PR!$BP501,"-"))))))))))))))))))))))))))))))))))))))))))))))))))))))))))))))))</f>
        <v>-</v>
      </c>
      <c r="J503" s="102"/>
      <c r="K503" s="433"/>
      <c r="L503" s="183" t="b">
        <f>IF(K503&gt;0,IF(K503="ALPHA",PR!$E501,IF(K503="ASSENE",PR!$F501,IF(K503="BIOFEM",PR!$G501,IF(K503="BIOMED",PR!$H501,IF(K503="CHI",PR!$I501,IF(K503="CLARION",PR!$J501,IF(K503="CODIX",PR!$K501,IF(K503="COSMADE",PR!$L501,IF(K503="SANCON",PR!$M501,IF(K503="DEVON",PR!$N501,IF(K503="DORTEMAG",PR!$O501,IF(K503="DGF",PR!$P501,IF(K503="DYNAMIC",PR!$Q501,IF(K503="EMZOR",PR!$R501,IF(K503="EUMATT",PR!$S501,IF(K503="FIDSON",PR!$T501,IF(K503="FCGLOBAL",PR!$U501,IF(K503="GENEITH",PR!$V501,IF(K503="GINOS",PR!$W501,IF(K503="GSK",PR!$X501,IF(K503="GLOBORG",PR!$Y501,IF(K503="GOODNEWS",PR!$Z501,IF(K503="GREENLIFE",PR!$AA501,IF(K503="HLINE",PR!$AB501,IF(K503="ROTECH",PR!$AC501,IF(K503="ISN",PR!$AD501,IF(K503="JAWA",PR!$AE501,IF(K503="LAYO",PR!$AF501,IF(K503="LEADWAY",PR!$AG501,IF(K503="LHV",PR!$AH501,IF(K503="MANOLA",PR!$AI501,IF(K503="MARCSON",PR!$AJ501,IF(K503="M&amp;B",PR!$AK501,IF(K503="MTRUST",PR!$AL501,IF(K503="MWORLD",PR!$AM501,IF(K503="MEGA",PR!$AN501,IF(K503="MICRONOVA",PR!$AO501,IF(K503="MFLASH",PR!$AP501,IF(K503="MORISON",PR!$AQ501,IF(K503="NEMEL",PR!$AR501,IF(K503="NHP",PR!$AS501,IF(K503="NHC",PR!$AT501,IF(K503="OLEAF",PR!$AU501,IF(K503="OCULUS",PR!$AV501,IF(K503="PACIFIC",PR!$AW501,IF(K503="PHAMATEX",PR!$AX501,IF(K503="PETHICS",PR!$AY501,IF(K503="PHILIPS",PR!$AZ501,IF(K503="RANBAXY",PR!$BA501,IF(K503="REALS",PR!$BB501,IF(K503="ROYAL",PR!$BC501,IF(K503="SAM",PR!$BD501,IF(K503="SEAGREEN",PR!$BE501,IF(K503="SKG",PR!$BF501,IF(K503="TAH",PR!$BG501,IF(K503="TAYLEK",PR!$BH501,IF(K503="TEMITA",PR!$BI501,IF(K503="THL",PR!$BJ501,IF(K503="UBASTIC",PR!$BK501,IF(K503="UNION",PR!$BL501,IF(K503="UNIQUE",PR!$BM501,IF(K503="VIXA",PR!$BN501,IF(K503="WWCV",PR!$BO501,IF(K503="ZOLON",PR!$BP501,"-")))))))))))))))))))))))))))))))))))))))))))))))))))))))))))))))))</f>
        <v>0</v>
      </c>
    </row>
    <row r="504" spans="1:12" ht="18.75" x14ac:dyDescent="0.3">
      <c r="A504" s="430">
        <f>PR!A502</f>
        <v>0</v>
      </c>
      <c r="B504" s="15">
        <f>PR!B502</f>
        <v>0</v>
      </c>
      <c r="C504" s="113">
        <f>PR!D502</f>
        <v>0</v>
      </c>
      <c r="D504" s="113">
        <f>PR!C502</f>
        <v>0</v>
      </c>
      <c r="E504" s="108" t="str">
        <f>IF(F504="ALPHA",PR!$E502,IF(F504="ASSENE",PR!$F502,IF(F504="BIOFEM",PR!$G502,IF(F504="BIOMED",PR!$H502,IF(F504="CHI",PR!$I502,IF(F504="CLARION",PR!$J502,IF(F504="CODIX",PR!$K502,IF(F504="COSMADE",PR!$L502,IF(F504="SANCON",PR!$M502,IF(F504="DEVON",PR!$N502,IF(F504="DORTEMAG",PR!$O502,IF(F504="DGF",PR!$P502,IF(F504="DYNAMIC",PR!$Q502,IF(F504="EMZOR",PR!$R502,IF(F504="EUMATT",PR!$S502,IF(F504="FIDSON",PR!$T502,IF(F504="FCGLOBAL",PR!$U502,IF(F504="GENEITH",PR!$V502,IF(F504="GINOS",PR!$W502,IF(F504="GSK",PR!$X502,IF(F504="GLOBORG",PR!$Y502,IF(F504="GOODNEWS",PR!$Z502,IF(F504="GREENLIFE",PR!$AA502,IF(F504="HLINE",PR!$AB502,IF(F504="ROTECH",PR!$AC502,IF(F504="ISN",PR!$AD502,IF(F504="JAWA",PR!$AE502,IF(F504="LAYO",PR!$AF502,IF(F504="LEADWAY",PR!$AG502,IF(F504="LHV",PR!$AH502,IF(F504="MANOLA",PR!$AI502,IF(F504="MARCSON",PR!$AJ502,IF(F504="M&amp;B",PR!$AK502,IF(F504="MTRUST",PR!$AL502,IF(F504="MWORLD",PR!$AM502,IF(F504="MEGA",PR!$AN502,IF(F504="MICRONOVA",PR!$AO502,IF(F504="MFLASH",PR!$AP502,IF(F504="MORISON",PR!$AQ502,IF(F504="NEMEL",PR!$AR502,IF(F504="NHP",PR!$AS502,IF(F504="NHC",PR!$AT502,IF(F504="OLEAF",PR!$AU502,IF(F504="OCULUS",PR!$AV502,IF(F504="PACIFIC",PR!$AW502,IF(F504="PHAMATEX",PR!$AX502,IF(F504="PETHICS",PR!$AY502,IF(F504="PHILIPS",PR!$AZ502,IF(F504="RANBAXY",PR!$BA502,IF(F504="REALS",PR!$BB502,IF(F504="ROYAL",PR!$BC502,IF(F504="SAM",PR!$BD502,IF(F504="SEAGREEN",PR!$BE502,IF(F504="SKG",PR!$BF502,IF(F504="TAH",PR!$BG502,IF(F504="TAYLEK",PR!$BH502,IF(F504="TEMITA",PR!$BI502,IF(F504="THL",PR!$BJ502,IF(F504="UBASTIC",PR!$BK502,IF(F504="UNION",PR!$BL502,IF(F504="UNIQUE",PR!$BM502,IF(F504="VIXA",PR!$BN502,IF(F504="WWCV",PR!$BO502,IF(F504="ZOLON",PR!$BP502,"-"))))))))))))))))))))))))))))))))))))))))))))))))))))))))))))))))</f>
        <v>-</v>
      </c>
      <c r="F504" s="102"/>
      <c r="G504" s="108" t="str">
        <f>IF(H504="ALPHA",PR!$E502,IF(H504="ASSENE",PR!$F502,IF(H504="BIOFEM",PR!$G502,IF(H504="BIOMED",PR!$H502,IF(H504="CHI",PR!$I502,IF(H504="CLARION",PR!$J502,IF(H504="CODIX",PR!$K502,IF(H504="COSMADE",PR!$L502,IF(H504="SANCON",PR!$M502,IF(H504="DEVON",PR!$N502,IF(H504="DORTEMAG",PR!$O502,IF(H504="DGF",PR!$P502,IF(H504="DYNAMIC",PR!$Q502,IF(H504="EMZOR",PR!$R502,IF(H504="EUMATT",PR!$S502,IF(H504="FIDSON",PR!$T502,IF(H504="FCGLOBAL",PR!$U502,IF(H504="GENEITH",PR!$V502,IF(H504="GINOS",PR!$W502,IF(H504="GSK",PR!$X502,IF(H504="GLOBORG",PR!$Y502,IF(H504="GOODNEWS",PR!$Z502,IF(H504="GREENLIFE",PR!$AA502,IF(H504="HLINE",PR!$AB502,IF(H504="ROTECH",PR!$AC502,IF(H504="ISN",PR!$AD502,IF(H504="JAWA",PR!$AE502,IF(H504="LAYO",PR!$AF502,IF(H504="LEADWAY",PR!$AG502,IF(H504="LHV",PR!$AH502,IF(H504="MANOLA",PR!$AI502,IF(H504="MARCSON",PR!$AJ502,IF(H504="M&amp;B",PR!$AK502,IF(H504="MTRUST",PR!$AL502,IF(H504="MWORLD",PR!$AM502,IF(H504="MEGA",PR!$AN502,IF(H504="MICRONOVA",PR!$AO502,IF(H504="MFLASH",PR!$AP502,IF(H504="MORISON",PR!$AQ502,IF(H504="NEMEL",PR!$AR502,IF(H504="NHP",PR!$AS502,IF(H504="NHC",PR!$AT502,IF(H504="OLEAF",PR!$AU502,IF(H504="OCULUS",PR!$AV502,IF(H504="PACIFIC",PR!$AW502,IF(H504="PHAMATEX",PR!$AX502,IF(H504="PETHICS",PR!$AY502,IF(H504="PHILIPS",PR!$AZ502,IF(H504="RANBAXY",PR!$BA502,IF(H504="REALS",PR!$BB502,IF(H504="ROYAL",PR!$BC502,IF(H504="SAM",PR!$BD502,IF(H504="SEAGREEN",PR!$BE502,IF(H504="SKG",PR!$BF502,IF(H504="TAH",PR!$BG502,IF(H504="TAYLEK",PR!$BH502,IF(H504="TEMITA",PR!$BI502,IF(H504="THL",PR!$BJ502,IF(H504="UBASTIC",PR!$BK502,IF(H504="UNION",PR!$BL502,IF(H504="UNIQUE",PR!$BM502,IF(H504="VIXA",PR!$BN502,IF(H504="WWCV",PR!$BO502,IF(H504="ZOLON",PR!$BP502,"-"))))))))))))))))))))))))))))))))))))))))))))))))))))))))))))))))</f>
        <v>-</v>
      </c>
      <c r="H504" s="102"/>
      <c r="I504" s="108" t="str">
        <f>IF(J504="ALPHA",PR!$E502,IF(J504="ASSENE",PR!$F502,IF(J504="BIOFEM",PR!$G502,IF(J504="BIOMED",PR!$H502,IF(J504="CHI",PR!$I502,IF(J504="CLARION",PR!$J502,IF(J504="CODIX",PR!$K502,IF(J504="COSMADE",PR!$L502,IF(J504="SANCON",PR!$M502,IF(J504="DEVON",PR!$N502,IF(J504="DORTEMAG",PR!$O502,IF(J504="DGF",PR!$P502,IF(J504="DYNAMIC",PR!$Q502,IF(J504="EMZOR",PR!$R502,IF(J504="EUMATT",PR!$S502,IF(J504="FIDSON",PR!$T502,IF(J504="FCGLOBAL",PR!$U502,IF(J504="GENEITH",PR!$V502,IF(J504="GINOS",PR!$W502,IF(J504="GSK",PR!$X502,IF(J504="GLOBORG",PR!$Y502,IF(J504="GOODNEWS",PR!$Z502,IF(J504="GREENLIFE",PR!$AA502,IF(J504="HLINE",PR!$AB502,IF(J504="ROTECH",PR!$AC502,IF(J504="ISN",PR!$AD502,IF(J504="JAWA",PR!$AE502,IF(J504="LAYO",PR!$AF502,IF(J504="LEADWAY",PR!$AG502,IF(J504="LHV",PR!$AH502,IF(J504="MANOLA",PR!$AI502,IF(J504="MARCSON",PR!$AJ502,IF(J504="M&amp;B",PR!$AK502,IF(J504="MTRUST",PR!$AL502,IF(J504="MWORLD",PR!$AM502,IF(J504="MEGA",PR!$AN502,IF(J504="MICRONOVA",PR!$AO502,IF(J504="MFLASH",PR!$AP502,IF(J504="MORISON",PR!$AQ502,IF(J504="NEMEL",PR!$AR502,IF(J504="NHP",PR!$AS502,IF(J504="NHC",PR!$AT502,IF(J504="OLEAF",PR!$AU502,IF(J504="OCULUS",PR!$AV502,IF(J504="PACIFIC",PR!$AW502,IF(J504="PHAMATEX",PR!$AX502,IF(J504="PETHICS",PR!$AY502,IF(J504="PHILIPS",PR!$AZ502,IF(J504="RANBAXY",PR!$BA502,IF(J504="REALS",PR!$BB502,IF(J504="ROYAL",PR!$BC502,IF(J504="SAM",PR!$BD502,IF(J504="SEAGREEN",PR!$BE502,IF(J504="SKG",PR!$BF502,IF(J504="TAH",PR!$BG502,IF(J504="TAYLEK",PR!$BH502,IF(J504="TEMITA",PR!$BI502,IF(J504="THL",PR!$BJ502,IF(J504="UBASTIC",PR!$BK502,IF(J504="UNION",PR!$BL502,IF(J504="UNIQUE",PR!$BM502,IF(J504="VIXA",PR!$BN502,IF(J504="WWCV",PR!$BO502,IF(J504="ZOLON",PR!$BP502,"-"))))))))))))))))))))))))))))))))))))))))))))))))))))))))))))))))</f>
        <v>-</v>
      </c>
      <c r="J504" s="102"/>
      <c r="K504" s="433"/>
      <c r="L504" s="183" t="b">
        <f>IF(K504&gt;0,IF(K504="ALPHA",PR!$E502,IF(K504="ASSENE",PR!$F502,IF(K504="BIOFEM",PR!$G502,IF(K504="BIOMED",PR!$H502,IF(K504="CHI",PR!$I502,IF(K504="CLARION",PR!$J502,IF(K504="CODIX",PR!$K502,IF(K504="COSMADE",PR!$L502,IF(K504="SANCON",PR!$M502,IF(K504="DEVON",PR!$N502,IF(K504="DORTEMAG",PR!$O502,IF(K504="DGF",PR!$P502,IF(K504="DYNAMIC",PR!$Q502,IF(K504="EMZOR",PR!$R502,IF(K504="EUMATT",PR!$S502,IF(K504="FIDSON",PR!$T502,IF(K504="FCGLOBAL",PR!$U502,IF(K504="GENEITH",PR!$V502,IF(K504="GINOS",PR!$W502,IF(K504="GSK",PR!$X502,IF(K504="GLOBORG",PR!$Y502,IF(K504="GOODNEWS",PR!$Z502,IF(K504="GREENLIFE",PR!$AA502,IF(K504="HLINE",PR!$AB502,IF(K504="ROTECH",PR!$AC502,IF(K504="ISN",PR!$AD502,IF(K504="JAWA",PR!$AE502,IF(K504="LAYO",PR!$AF502,IF(K504="LEADWAY",PR!$AG502,IF(K504="LHV",PR!$AH502,IF(K504="MANOLA",PR!$AI502,IF(K504="MARCSON",PR!$AJ502,IF(K504="M&amp;B",PR!$AK502,IF(K504="MTRUST",PR!$AL502,IF(K504="MWORLD",PR!$AM502,IF(K504="MEGA",PR!$AN502,IF(K504="MICRONOVA",PR!$AO502,IF(K504="MFLASH",PR!$AP502,IF(K504="MORISON",PR!$AQ502,IF(K504="NEMEL",PR!$AR502,IF(K504="NHP",PR!$AS502,IF(K504="NHC",PR!$AT502,IF(K504="OLEAF",PR!$AU502,IF(K504="OCULUS",PR!$AV502,IF(K504="PACIFIC",PR!$AW502,IF(K504="PHAMATEX",PR!$AX502,IF(K504="PETHICS",PR!$AY502,IF(K504="PHILIPS",PR!$AZ502,IF(K504="RANBAXY",PR!$BA502,IF(K504="REALS",PR!$BB502,IF(K504="ROYAL",PR!$BC502,IF(K504="SAM",PR!$BD502,IF(K504="SEAGREEN",PR!$BE502,IF(K504="SKG",PR!$BF502,IF(K504="TAH",PR!$BG502,IF(K504="TAYLEK",PR!$BH502,IF(K504="TEMITA",PR!$BI502,IF(K504="THL",PR!$BJ502,IF(K504="UBASTIC",PR!$BK502,IF(K504="UNION",PR!$BL502,IF(K504="UNIQUE",PR!$BM502,IF(K504="VIXA",PR!$BN502,IF(K504="WWCV",PR!$BO502,IF(K504="ZOLON",PR!$BP502,"-")))))))))))))))))))))))))))))))))))))))))))))))))))))))))))))))))</f>
        <v>0</v>
      </c>
    </row>
    <row r="505" spans="1:12" ht="18.75" x14ac:dyDescent="0.3">
      <c r="A505" s="430" t="str">
        <f>PR!A503</f>
        <v>LOT 10</v>
      </c>
      <c r="B505" s="15" t="str">
        <f>PR!B503</f>
        <v>ANTITUSSIVES/BRONCHODILATORS/ANTI-HISTAMINES</v>
      </c>
      <c r="C505" s="113">
        <f>PR!D503</f>
        <v>0</v>
      </c>
      <c r="D505" s="113">
        <f>PR!C503</f>
        <v>0</v>
      </c>
      <c r="E505" s="108" t="str">
        <f>IF(F505="ALPHA",PR!$E503,IF(F505="ASSENE",PR!$F503,IF(F505="BIOFEM",PR!$G503,IF(F505="BIOMED",PR!$H503,IF(F505="CHI",PR!$I503,IF(F505="CLARION",PR!$J503,IF(F505="CODIX",PR!$K503,IF(F505="COSMADE",PR!$L503,IF(F505="SANCON",PR!$M503,IF(F505="DEVON",PR!$N503,IF(F505="DORTEMAG",PR!$O503,IF(F505="DGF",PR!$P503,IF(F505="DYNAMIC",PR!$Q503,IF(F505="EMZOR",PR!$R503,IF(F505="EUMATT",PR!$S503,IF(F505="FIDSON",PR!$T503,IF(F505="FCGLOBAL",PR!$U503,IF(F505="GENEITH",PR!$V503,IF(F505="GINOS",PR!$W503,IF(F505="GSK",PR!$X503,IF(F505="GLOBORG",PR!$Y503,IF(F505="GOODNEWS",PR!$Z503,IF(F505="GREENLIFE",PR!$AA503,IF(F505="HLINE",PR!$AB503,IF(F505="ROTECH",PR!$AC503,IF(F505="ISN",PR!$AD503,IF(F505="JAWA",PR!$AE503,IF(F505="LAYO",PR!$AF503,IF(F505="LEADWAY",PR!$AG503,IF(F505="LHV",PR!$AH503,IF(F505="MANOLA",PR!$AI503,IF(F505="MARCSON",PR!$AJ503,IF(F505="M&amp;B",PR!$AK503,IF(F505="MTRUST",PR!$AL503,IF(F505="MWORLD",PR!$AM503,IF(F505="MEGA",PR!$AN503,IF(F505="MICRONOVA",PR!$AO503,IF(F505="MFLASH",PR!$AP503,IF(F505="MORISON",PR!$AQ503,IF(F505="NEMEL",PR!$AR503,IF(F505="NHP",PR!$AS503,IF(F505="NHC",PR!$AT503,IF(F505="OLEAF",PR!$AU503,IF(F505="OCULUS",PR!$AV503,IF(F505="PACIFIC",PR!$AW503,IF(F505="PHAMATEX",PR!$AX503,IF(F505="PETHICS",PR!$AY503,IF(F505="PHILIPS",PR!$AZ503,IF(F505="RANBAXY",PR!$BA503,IF(F505="REALS",PR!$BB503,IF(F505="ROYAL",PR!$BC503,IF(F505="SAM",PR!$BD503,IF(F505="SEAGREEN",PR!$BE503,IF(F505="SKG",PR!$BF503,IF(F505="TAH",PR!$BG503,IF(F505="TAYLEK",PR!$BH503,IF(F505="TEMITA",PR!$BI503,IF(F505="THL",PR!$BJ503,IF(F505="UBASTIC",PR!$BK503,IF(F505="UNION",PR!$BL503,IF(F505="UNIQUE",PR!$BM503,IF(F505="VIXA",PR!$BN503,IF(F505="WWCV",PR!$BO503,IF(F505="ZOLON",PR!$BP503,"-"))))))))))))))))))))))))))))))))))))))))))))))))))))))))))))))))</f>
        <v>-</v>
      </c>
      <c r="F505" s="102"/>
      <c r="G505" s="108" t="str">
        <f>IF(H505="ALPHA",PR!$E503,IF(H505="ASSENE",PR!$F503,IF(H505="BIOFEM",PR!$G503,IF(H505="BIOMED",PR!$H503,IF(H505="CHI",PR!$I503,IF(H505="CLARION",PR!$J503,IF(H505="CODIX",PR!$K503,IF(H505="COSMADE",PR!$L503,IF(H505="SANCON",PR!$M503,IF(H505="DEVON",PR!$N503,IF(H505="DORTEMAG",PR!$O503,IF(H505="DGF",PR!$P503,IF(H505="DYNAMIC",PR!$Q503,IF(H505="EMZOR",PR!$R503,IF(H505="EUMATT",PR!$S503,IF(H505="FIDSON",PR!$T503,IF(H505="FCGLOBAL",PR!$U503,IF(H505="GENEITH",PR!$V503,IF(H505="GINOS",PR!$W503,IF(H505="GSK",PR!$X503,IF(H505="GLOBORG",PR!$Y503,IF(H505="GOODNEWS",PR!$Z503,IF(H505="GREENLIFE",PR!$AA503,IF(H505="HLINE",PR!$AB503,IF(H505="ROTECH",PR!$AC503,IF(H505="ISN",PR!$AD503,IF(H505="JAWA",PR!$AE503,IF(H505="LAYO",PR!$AF503,IF(H505="LEADWAY",PR!$AG503,IF(H505="LHV",PR!$AH503,IF(H505="MANOLA",PR!$AI503,IF(H505="MARCSON",PR!$AJ503,IF(H505="M&amp;B",PR!$AK503,IF(H505="MTRUST",PR!$AL503,IF(H505="MWORLD",PR!$AM503,IF(H505="MEGA",PR!$AN503,IF(H505="MICRONOVA",PR!$AO503,IF(H505="MFLASH",PR!$AP503,IF(H505="MORISON",PR!$AQ503,IF(H505="NEMEL",PR!$AR503,IF(H505="NHP",PR!$AS503,IF(H505="NHC",PR!$AT503,IF(H505="OLEAF",PR!$AU503,IF(H505="OCULUS",PR!$AV503,IF(H505="PACIFIC",PR!$AW503,IF(H505="PHAMATEX",PR!$AX503,IF(H505="PETHICS",PR!$AY503,IF(H505="PHILIPS",PR!$AZ503,IF(H505="RANBAXY",PR!$BA503,IF(H505="REALS",PR!$BB503,IF(H505="ROYAL",PR!$BC503,IF(H505="SAM",PR!$BD503,IF(H505="SEAGREEN",PR!$BE503,IF(H505="SKG",PR!$BF503,IF(H505="TAH",PR!$BG503,IF(H505="TAYLEK",PR!$BH503,IF(H505="TEMITA",PR!$BI503,IF(H505="THL",PR!$BJ503,IF(H505="UBASTIC",PR!$BK503,IF(H505="UNION",PR!$BL503,IF(H505="UNIQUE",PR!$BM503,IF(H505="VIXA",PR!$BN503,IF(H505="WWCV",PR!$BO503,IF(H505="ZOLON",PR!$BP503,"-"))))))))))))))))))))))))))))))))))))))))))))))))))))))))))))))))</f>
        <v>-</v>
      </c>
      <c r="H505" s="102"/>
      <c r="I505" s="108" t="str">
        <f>IF(J505="ALPHA",PR!$E503,IF(J505="ASSENE",PR!$F503,IF(J505="BIOFEM",PR!$G503,IF(J505="BIOMED",PR!$H503,IF(J505="CHI",PR!$I503,IF(J505="CLARION",PR!$J503,IF(J505="CODIX",PR!$K503,IF(J505="COSMADE",PR!$L503,IF(J505="SANCON",PR!$M503,IF(J505="DEVON",PR!$N503,IF(J505="DORTEMAG",PR!$O503,IF(J505="DGF",PR!$P503,IF(J505="DYNAMIC",PR!$Q503,IF(J505="EMZOR",PR!$R503,IF(J505="EUMATT",PR!$S503,IF(J505="FIDSON",PR!$T503,IF(J505="FCGLOBAL",PR!$U503,IF(J505="GENEITH",PR!$V503,IF(J505="GINOS",PR!$W503,IF(J505="GSK",PR!$X503,IF(J505="GLOBORG",PR!$Y503,IF(J505="GOODNEWS",PR!$Z503,IF(J505="GREENLIFE",PR!$AA503,IF(J505="HLINE",PR!$AB503,IF(J505="ROTECH",PR!$AC503,IF(J505="ISN",PR!$AD503,IF(J505="JAWA",PR!$AE503,IF(J505="LAYO",PR!$AF503,IF(J505="LEADWAY",PR!$AG503,IF(J505="LHV",PR!$AH503,IF(J505="MANOLA",PR!$AI503,IF(J505="MARCSON",PR!$AJ503,IF(J505="M&amp;B",PR!$AK503,IF(J505="MTRUST",PR!$AL503,IF(J505="MWORLD",PR!$AM503,IF(J505="MEGA",PR!$AN503,IF(J505="MICRONOVA",PR!$AO503,IF(J505="MFLASH",PR!$AP503,IF(J505="MORISON",PR!$AQ503,IF(J505="NEMEL",PR!$AR503,IF(J505="NHP",PR!$AS503,IF(J505="NHC",PR!$AT503,IF(J505="OLEAF",PR!$AU503,IF(J505="OCULUS",PR!$AV503,IF(J505="PACIFIC",PR!$AW503,IF(J505="PHAMATEX",PR!$AX503,IF(J505="PETHICS",PR!$AY503,IF(J505="PHILIPS",PR!$AZ503,IF(J505="RANBAXY",PR!$BA503,IF(J505="REALS",PR!$BB503,IF(J505="ROYAL",PR!$BC503,IF(J505="SAM",PR!$BD503,IF(J505="SEAGREEN",PR!$BE503,IF(J505="SKG",PR!$BF503,IF(J505="TAH",PR!$BG503,IF(J505="TAYLEK",PR!$BH503,IF(J505="TEMITA",PR!$BI503,IF(J505="THL",PR!$BJ503,IF(J505="UBASTIC",PR!$BK503,IF(J505="UNION",PR!$BL503,IF(J505="UNIQUE",PR!$BM503,IF(J505="VIXA",PR!$BN503,IF(J505="WWCV",PR!$BO503,IF(J505="ZOLON",PR!$BP503,"-"))))))))))))))))))))))))))))))))))))))))))))))))))))))))))))))))</f>
        <v>-</v>
      </c>
      <c r="J505" s="102"/>
      <c r="K505" s="433"/>
      <c r="L505" s="183" t="b">
        <f>IF(K505&gt;0,IF(K505="ALPHA",PR!$E503,IF(K505="ASSENE",PR!$F503,IF(K505="BIOFEM",PR!$G503,IF(K505="BIOMED",PR!$H503,IF(K505="CHI",PR!$I503,IF(K505="CLARION",PR!$J503,IF(K505="CODIX",PR!$K503,IF(K505="COSMADE",PR!$L503,IF(K505="SANCON",PR!$M503,IF(K505="DEVON",PR!$N503,IF(K505="DORTEMAG",PR!$O503,IF(K505="DGF",PR!$P503,IF(K505="DYNAMIC",PR!$Q503,IF(K505="EMZOR",PR!$R503,IF(K505="EUMATT",PR!$S503,IF(K505="FIDSON",PR!$T503,IF(K505="FCGLOBAL",PR!$U503,IF(K505="GENEITH",PR!$V503,IF(K505="GINOS",PR!$W503,IF(K505="GSK",PR!$X503,IF(K505="GLOBORG",PR!$Y503,IF(K505="GOODNEWS",PR!$Z503,IF(K505="GREENLIFE",PR!$AA503,IF(K505="HLINE",PR!$AB503,IF(K505="ROTECH",PR!$AC503,IF(K505="ISN",PR!$AD503,IF(K505="JAWA",PR!$AE503,IF(K505="LAYO",PR!$AF503,IF(K505="LEADWAY",PR!$AG503,IF(K505="LHV",PR!$AH503,IF(K505="MANOLA",PR!$AI503,IF(K505="MARCSON",PR!$AJ503,IF(K505="M&amp;B",PR!$AK503,IF(K505="MTRUST",PR!$AL503,IF(K505="MWORLD",PR!$AM503,IF(K505="MEGA",PR!$AN503,IF(K505="MICRONOVA",PR!$AO503,IF(K505="MFLASH",PR!$AP503,IF(K505="MORISON",PR!$AQ503,IF(K505="NEMEL",PR!$AR503,IF(K505="NHP",PR!$AS503,IF(K505="NHC",PR!$AT503,IF(K505="OLEAF",PR!$AU503,IF(K505="OCULUS",PR!$AV503,IF(K505="PACIFIC",PR!$AW503,IF(K505="PHAMATEX",PR!$AX503,IF(K505="PETHICS",PR!$AY503,IF(K505="PHILIPS",PR!$AZ503,IF(K505="RANBAXY",PR!$BA503,IF(K505="REALS",PR!$BB503,IF(K505="ROYAL",PR!$BC503,IF(K505="SAM",PR!$BD503,IF(K505="SEAGREEN",PR!$BE503,IF(K505="SKG",PR!$BF503,IF(K505="TAH",PR!$BG503,IF(K505="TAYLEK",PR!$BH503,IF(K505="TEMITA",PR!$BI503,IF(K505="THL",PR!$BJ503,IF(K505="UBASTIC",PR!$BK503,IF(K505="UNION",PR!$BL503,IF(K505="UNIQUE",PR!$BM503,IF(K505="VIXA",PR!$BN503,IF(K505="WWCV",PR!$BO503,IF(K505="ZOLON",PR!$BP503,"-")))))))))))))))))))))))))))))))))))))))))))))))))))))))))))))))))</f>
        <v>0</v>
      </c>
    </row>
    <row r="506" spans="1:12" ht="18.75" x14ac:dyDescent="0.3">
      <c r="A506" s="430">
        <f>PR!A504</f>
        <v>0</v>
      </c>
      <c r="B506" s="15" t="str">
        <f>PR!B504</f>
        <v>ANTITUSSIVES/BRONCHODILATORS</v>
      </c>
      <c r="C506" s="113">
        <f>PR!D504</f>
        <v>0</v>
      </c>
      <c r="D506" s="113">
        <f>PR!C504</f>
        <v>0</v>
      </c>
      <c r="E506" s="108" t="str">
        <f>IF(F506="ALPHA",PR!$E504,IF(F506="ASSENE",PR!$F504,IF(F506="BIOFEM",PR!$G504,IF(F506="BIOMED",PR!$H504,IF(F506="CHI",PR!$I504,IF(F506="CLARION",PR!$J504,IF(F506="CODIX",PR!$K504,IF(F506="COSMADE",PR!$L504,IF(F506="SANCON",PR!$M504,IF(F506="DEVON",PR!$N504,IF(F506="DORTEMAG",PR!$O504,IF(F506="DGF",PR!$P504,IF(F506="DYNAMIC",PR!$Q504,IF(F506="EMZOR",PR!$R504,IF(F506="EUMATT",PR!$S504,IF(F506="FIDSON",PR!$T504,IF(F506="FCGLOBAL",PR!$U504,IF(F506="GENEITH",PR!$V504,IF(F506="GINOS",PR!$W504,IF(F506="GSK",PR!$X504,IF(F506="GLOBORG",PR!$Y504,IF(F506="GOODNEWS",PR!$Z504,IF(F506="GREENLIFE",PR!$AA504,IF(F506="HLINE",PR!$AB504,IF(F506="ROTECH",PR!$AC504,IF(F506="ISN",PR!$AD504,IF(F506="JAWA",PR!$AE504,IF(F506="LAYO",PR!$AF504,IF(F506="LEADWAY",PR!$AG504,IF(F506="LHV",PR!$AH504,IF(F506="MANOLA",PR!$AI504,IF(F506="MARCSON",PR!$AJ504,IF(F506="M&amp;B",PR!$AK504,IF(F506="MTRUST",PR!$AL504,IF(F506="MWORLD",PR!$AM504,IF(F506="MEGA",PR!$AN504,IF(F506="MICRONOVA",PR!$AO504,IF(F506="MFLASH",PR!$AP504,IF(F506="MORISON",PR!$AQ504,IF(F506="NEMEL",PR!$AR504,IF(F506="NHP",PR!$AS504,IF(F506="NHC",PR!$AT504,IF(F506="OLEAF",PR!$AU504,IF(F506="OCULUS",PR!$AV504,IF(F506="PACIFIC",PR!$AW504,IF(F506="PHAMATEX",PR!$AX504,IF(F506="PETHICS",PR!$AY504,IF(F506="PHILIPS",PR!$AZ504,IF(F506="RANBAXY",PR!$BA504,IF(F506="REALS",PR!$BB504,IF(F506="ROYAL",PR!$BC504,IF(F506="SAM",PR!$BD504,IF(F506="SEAGREEN",PR!$BE504,IF(F506="SKG",PR!$BF504,IF(F506="TAH",PR!$BG504,IF(F506="TAYLEK",PR!$BH504,IF(F506="TEMITA",PR!$BI504,IF(F506="THL",PR!$BJ504,IF(F506="UBASTIC",PR!$BK504,IF(F506="UNION",PR!$BL504,IF(F506="UNIQUE",PR!$BM504,IF(F506="VIXA",PR!$BN504,IF(F506="WWCV",PR!$BO504,IF(F506="ZOLON",PR!$BP504,"-"))))))))))))))))))))))))))))))))))))))))))))))))))))))))))))))))</f>
        <v>-</v>
      </c>
      <c r="F506" s="102"/>
      <c r="G506" s="108" t="str">
        <f>IF(H506="ALPHA",PR!$E504,IF(H506="ASSENE",PR!$F504,IF(H506="BIOFEM",PR!$G504,IF(H506="BIOMED",PR!$H504,IF(H506="CHI",PR!$I504,IF(H506="CLARION",PR!$J504,IF(H506="CODIX",PR!$K504,IF(H506="COSMADE",PR!$L504,IF(H506="SANCON",PR!$M504,IF(H506="DEVON",PR!$N504,IF(H506="DORTEMAG",PR!$O504,IF(H506="DGF",PR!$P504,IF(H506="DYNAMIC",PR!$Q504,IF(H506="EMZOR",PR!$R504,IF(H506="EUMATT",PR!$S504,IF(H506="FIDSON",PR!$T504,IF(H506="FCGLOBAL",PR!$U504,IF(H506="GENEITH",PR!$V504,IF(H506="GINOS",PR!$W504,IF(H506="GSK",PR!$X504,IF(H506="GLOBORG",PR!$Y504,IF(H506="GOODNEWS",PR!$Z504,IF(H506="GREENLIFE",PR!$AA504,IF(H506="HLINE",PR!$AB504,IF(H506="ROTECH",PR!$AC504,IF(H506="ISN",PR!$AD504,IF(H506="JAWA",PR!$AE504,IF(H506="LAYO",PR!$AF504,IF(H506="LEADWAY",PR!$AG504,IF(H506="LHV",PR!$AH504,IF(H506="MANOLA",PR!$AI504,IF(H506="MARCSON",PR!$AJ504,IF(H506="M&amp;B",PR!$AK504,IF(H506="MTRUST",PR!$AL504,IF(H506="MWORLD",PR!$AM504,IF(H506="MEGA",PR!$AN504,IF(H506="MICRONOVA",PR!$AO504,IF(H506="MFLASH",PR!$AP504,IF(H506="MORISON",PR!$AQ504,IF(H506="NEMEL",PR!$AR504,IF(H506="NHP",PR!$AS504,IF(H506="NHC",PR!$AT504,IF(H506="OLEAF",PR!$AU504,IF(H506="OCULUS",PR!$AV504,IF(H506="PACIFIC",PR!$AW504,IF(H506="PHAMATEX",PR!$AX504,IF(H506="PETHICS",PR!$AY504,IF(H506="PHILIPS",PR!$AZ504,IF(H506="RANBAXY",PR!$BA504,IF(H506="REALS",PR!$BB504,IF(H506="ROYAL",PR!$BC504,IF(H506="SAM",PR!$BD504,IF(H506="SEAGREEN",PR!$BE504,IF(H506="SKG",PR!$BF504,IF(H506="TAH",PR!$BG504,IF(H506="TAYLEK",PR!$BH504,IF(H506="TEMITA",PR!$BI504,IF(H506="THL",PR!$BJ504,IF(H506="UBASTIC",PR!$BK504,IF(H506="UNION",PR!$BL504,IF(H506="UNIQUE",PR!$BM504,IF(H506="VIXA",PR!$BN504,IF(H506="WWCV",PR!$BO504,IF(H506="ZOLON",PR!$BP504,"-"))))))))))))))))))))))))))))))))))))))))))))))))))))))))))))))))</f>
        <v>-</v>
      </c>
      <c r="H506" s="102"/>
      <c r="I506" s="108" t="str">
        <f>IF(J506="ALPHA",PR!$E504,IF(J506="ASSENE",PR!$F504,IF(J506="BIOFEM",PR!$G504,IF(J506="BIOMED",PR!$H504,IF(J506="CHI",PR!$I504,IF(J506="CLARION",PR!$J504,IF(J506="CODIX",PR!$K504,IF(J506="COSMADE",PR!$L504,IF(J506="SANCON",PR!$M504,IF(J506="DEVON",PR!$N504,IF(J506="DORTEMAG",PR!$O504,IF(J506="DGF",PR!$P504,IF(J506="DYNAMIC",PR!$Q504,IF(J506="EMZOR",PR!$R504,IF(J506="EUMATT",PR!$S504,IF(J506="FIDSON",PR!$T504,IF(J506="FCGLOBAL",PR!$U504,IF(J506="GENEITH",PR!$V504,IF(J506="GINOS",PR!$W504,IF(J506="GSK",PR!$X504,IF(J506="GLOBORG",PR!$Y504,IF(J506="GOODNEWS",PR!$Z504,IF(J506="GREENLIFE",PR!$AA504,IF(J506="HLINE",PR!$AB504,IF(J506="ROTECH",PR!$AC504,IF(J506="ISN",PR!$AD504,IF(J506="JAWA",PR!$AE504,IF(J506="LAYO",PR!$AF504,IF(J506="LEADWAY",PR!$AG504,IF(J506="LHV",PR!$AH504,IF(J506="MANOLA",PR!$AI504,IF(J506="MARCSON",PR!$AJ504,IF(J506="M&amp;B",PR!$AK504,IF(J506="MTRUST",PR!$AL504,IF(J506="MWORLD",PR!$AM504,IF(J506="MEGA",PR!$AN504,IF(J506="MICRONOVA",PR!$AO504,IF(J506="MFLASH",PR!$AP504,IF(J506="MORISON",PR!$AQ504,IF(J506="NEMEL",PR!$AR504,IF(J506="NHP",PR!$AS504,IF(J506="NHC",PR!$AT504,IF(J506="OLEAF",PR!$AU504,IF(J506="OCULUS",PR!$AV504,IF(J506="PACIFIC",PR!$AW504,IF(J506="PHAMATEX",PR!$AX504,IF(J506="PETHICS",PR!$AY504,IF(J506="PHILIPS",PR!$AZ504,IF(J506="RANBAXY",PR!$BA504,IF(J506="REALS",PR!$BB504,IF(J506="ROYAL",PR!$BC504,IF(J506="SAM",PR!$BD504,IF(J506="SEAGREEN",PR!$BE504,IF(J506="SKG",PR!$BF504,IF(J506="TAH",PR!$BG504,IF(J506="TAYLEK",PR!$BH504,IF(J506="TEMITA",PR!$BI504,IF(J506="THL",PR!$BJ504,IF(J506="UBASTIC",PR!$BK504,IF(J506="UNION",PR!$BL504,IF(J506="UNIQUE",PR!$BM504,IF(J506="VIXA",PR!$BN504,IF(J506="WWCV",PR!$BO504,IF(J506="ZOLON",PR!$BP504,"-"))))))))))))))))))))))))))))))))))))))))))))))))))))))))))))))))</f>
        <v>-</v>
      </c>
      <c r="J506" s="102"/>
      <c r="K506" s="433"/>
      <c r="L506" s="183" t="b">
        <f>IF(K506&gt;0,IF(K506="ALPHA",PR!$E504,IF(K506="ASSENE",PR!$F504,IF(K506="BIOFEM",PR!$G504,IF(K506="BIOMED",PR!$H504,IF(K506="CHI",PR!$I504,IF(K506="CLARION",PR!$J504,IF(K506="CODIX",PR!$K504,IF(K506="COSMADE",PR!$L504,IF(K506="SANCON",PR!$M504,IF(K506="DEVON",PR!$N504,IF(K506="DORTEMAG",PR!$O504,IF(K506="DGF",PR!$P504,IF(K506="DYNAMIC",PR!$Q504,IF(K506="EMZOR",PR!$R504,IF(K506="EUMATT",PR!$S504,IF(K506="FIDSON",PR!$T504,IF(K506="FCGLOBAL",PR!$U504,IF(K506="GENEITH",PR!$V504,IF(K506="GINOS",PR!$W504,IF(K506="GSK",PR!$X504,IF(K506="GLOBORG",PR!$Y504,IF(K506="GOODNEWS",PR!$Z504,IF(K506="GREENLIFE",PR!$AA504,IF(K506="HLINE",PR!$AB504,IF(K506="ROTECH",PR!$AC504,IF(K506="ISN",PR!$AD504,IF(K506="JAWA",PR!$AE504,IF(K506="LAYO",PR!$AF504,IF(K506="LEADWAY",PR!$AG504,IF(K506="LHV",PR!$AH504,IF(K506="MANOLA",PR!$AI504,IF(K506="MARCSON",PR!$AJ504,IF(K506="M&amp;B",PR!$AK504,IF(K506="MTRUST",PR!$AL504,IF(K506="MWORLD",PR!$AM504,IF(K506="MEGA",PR!$AN504,IF(K506="MICRONOVA",PR!$AO504,IF(K506="MFLASH",PR!$AP504,IF(K506="MORISON",PR!$AQ504,IF(K506="NEMEL",PR!$AR504,IF(K506="NHP",PR!$AS504,IF(K506="NHC",PR!$AT504,IF(K506="OLEAF",PR!$AU504,IF(K506="OCULUS",PR!$AV504,IF(K506="PACIFIC",PR!$AW504,IF(K506="PHAMATEX",PR!$AX504,IF(K506="PETHICS",PR!$AY504,IF(K506="PHILIPS",PR!$AZ504,IF(K506="RANBAXY",PR!$BA504,IF(K506="REALS",PR!$BB504,IF(K506="ROYAL",PR!$BC504,IF(K506="SAM",PR!$BD504,IF(K506="SEAGREEN",PR!$BE504,IF(K506="SKG",PR!$BF504,IF(K506="TAH",PR!$BG504,IF(K506="TAYLEK",PR!$BH504,IF(K506="TEMITA",PR!$BI504,IF(K506="THL",PR!$BJ504,IF(K506="UBASTIC",PR!$BK504,IF(K506="UNION",PR!$BL504,IF(K506="UNIQUE",PR!$BM504,IF(K506="VIXA",PR!$BN504,IF(K506="WWCV",PR!$BO504,IF(K506="ZOLON",PR!$BP504,"-")))))))))))))))))))))))))))))))))))))))))))))))))))))))))))))))))</f>
        <v>0</v>
      </c>
    </row>
    <row r="507" spans="1:12" ht="18.75" x14ac:dyDescent="0.3">
      <c r="A507" s="430">
        <f>PR!A505</f>
        <v>455</v>
      </c>
      <c r="B507" s="15" t="str">
        <f>PR!B505</f>
        <v>AMINOPHYLLINE 250MG INJ</v>
      </c>
      <c r="C507" s="113" t="str">
        <f>PR!D505</f>
        <v>AMP</v>
      </c>
      <c r="D507" s="113">
        <f>PR!C505</f>
        <v>1040</v>
      </c>
      <c r="E507" s="108">
        <f>IF(F507="ALPHA",PR!$E505,IF(F507="ASSENE",PR!$F505,IF(F507="BIOFEM",PR!$G505,IF(F507="BIOMED",PR!$H505,IF(F507="CHI",PR!$I505,IF(F507="CLARION",PR!$J505,IF(F507="CODIX",PR!$K505,IF(F507="COSMADE",PR!$L505,IF(F507="SANCON",PR!$M505,IF(F507="DEVON",PR!$N505,IF(F507="DORTEMAG",PR!$O505,IF(F507="DGF",PR!$P505,IF(F507="DYNAMIC",PR!$Q505,IF(F507="EMZOR",PR!$R505,IF(F507="EUMATT",PR!$S505,IF(F507="FIDSON",PR!$T505,IF(F507="FCGLOBAL",PR!$U505,IF(F507="GENEITH",PR!$V505,IF(F507="GINOS",PR!$W505,IF(F507="GSK",PR!$X505,IF(F507="GLOBORG",PR!$Y505,IF(F507="GOODNEWS",PR!$Z505,IF(F507="GREENLIFE",PR!$AA505,IF(F507="HLINE",PR!$AB505,IF(F507="ROTECH",PR!$AC505,IF(F507="ISN",PR!$AD505,IF(F507="JAWA",PR!$AE505,IF(F507="LAYO",PR!$AF505,IF(F507="LEADWAY",PR!$AG505,IF(F507="LHV",PR!$AH505,IF(F507="MANOLA",PR!$AI505,IF(F507="MARCSON",PR!$AJ505,IF(F507="M&amp;B",PR!$AK505,IF(F507="MTRUST",PR!$AL505,IF(F507="MWORLD",PR!$AM505,IF(F507="MEGA",PR!$AN505,IF(F507="MICRONOVA",PR!$AO505,IF(F507="MFLASH",PR!$AP505,IF(F507="MORISON",PR!$AQ505,IF(F507="NEMEL",PR!$AR505,IF(F507="NHP",PR!$AS505,IF(F507="NHC",PR!$AT505,IF(F507="OLEAF",PR!$AU505,IF(F507="OCULUS",PR!$AV505,IF(F507="PACIFIC",PR!$AW505,IF(F507="PHAMATEX",PR!$AX505,IF(F507="PETHICS",PR!$AY505,IF(F507="PHILIPS",PR!$AZ505,IF(F507="RANBAXY",PR!$BA505,IF(F507="REALS",PR!$BB505,IF(F507="ROYAL",PR!$BC505,IF(F507="SAM",PR!$BD505,IF(F507="SEAGREEN",PR!$BE505,IF(F507="SKG",PR!$BF505,IF(F507="TAH",PR!$BG505,IF(F507="TAYLEK",PR!$BH505,IF(F507="TEMITA",PR!$BI505,IF(F507="THL",PR!$BJ505,IF(F507="UBASTIC",PR!$BK505,IF(F507="UNION",PR!$BL505,IF(F507="UNIQUE",PR!$BM505,IF(F507="VIXA",PR!$BN505,IF(F507="WWCV",PR!$BO505,IF(F507="ZOLON",PR!$BP505,"-"))))))))))))))))))))))))))))))))))))))))))))))))))))))))))))))))</f>
        <v>40</v>
      </c>
      <c r="F507" s="102" t="str">
        <f>EV!L639</f>
        <v>EUMATT</v>
      </c>
      <c r="G507" s="108">
        <f>IF(H507="ALPHA",PR!$E505,IF(H507="ASSENE",PR!$F505,IF(H507="BIOFEM",PR!$G505,IF(H507="BIOMED",PR!$H505,IF(H507="CHI",PR!$I505,IF(H507="CLARION",PR!$J505,IF(H507="CODIX",PR!$K505,IF(H507="COSMADE",PR!$L505,IF(H507="SANCON",PR!$M505,IF(H507="DEVON",PR!$N505,IF(H507="DORTEMAG",PR!$O505,IF(H507="DGF",PR!$P505,IF(H507="DYNAMIC",PR!$Q505,IF(H507="EMZOR",PR!$R505,IF(H507="EUMATT",PR!$S505,IF(H507="FIDSON",PR!$T505,IF(H507="FCGLOBAL",PR!$U505,IF(H507="GENEITH",PR!$V505,IF(H507="GINOS",PR!$W505,IF(H507="GSK",PR!$X505,IF(H507="GLOBORG",PR!$Y505,IF(H507="GOODNEWS",PR!$Z505,IF(H507="GREENLIFE",PR!$AA505,IF(H507="HLINE",PR!$AB505,IF(H507="ROTECH",PR!$AC505,IF(H507="ISN",PR!$AD505,IF(H507="JAWA",PR!$AE505,IF(H507="LAYO",PR!$AF505,IF(H507="LEADWAY",PR!$AG505,IF(H507="LHV",PR!$AH505,IF(H507="MANOLA",PR!$AI505,IF(H507="MARCSON",PR!$AJ505,IF(H507="M&amp;B",PR!$AK505,IF(H507="MTRUST",PR!$AL505,IF(H507="MWORLD",PR!$AM505,IF(H507="MEGA",PR!$AN505,IF(H507="MICRONOVA",PR!$AO505,IF(H507="MFLASH",PR!$AP505,IF(H507="MORISON",PR!$AQ505,IF(H507="NEMEL",PR!$AR505,IF(H507="NHP",PR!$AS505,IF(H507="NHC",PR!$AT505,IF(H507="OLEAF",PR!$AU505,IF(H507="OCULUS",PR!$AV505,IF(H507="PACIFIC",PR!$AW505,IF(H507="PHAMATEX",PR!$AX505,IF(H507="PETHICS",PR!$AY505,IF(H507="PHILIPS",PR!$AZ505,IF(H507="RANBAXY",PR!$BA505,IF(H507="REALS",PR!$BB505,IF(H507="ROYAL",PR!$BC505,IF(H507="SAM",PR!$BD505,IF(H507="SEAGREEN",PR!$BE505,IF(H507="SKG",PR!$BF505,IF(H507="TAH",PR!$BG505,IF(H507="TAYLEK",PR!$BH505,IF(H507="TEMITA",PR!$BI505,IF(H507="THL",PR!$BJ505,IF(H507="UBASTIC",PR!$BK505,IF(H507="UNION",PR!$BL505,IF(H507="UNIQUE",PR!$BM505,IF(H507="VIXA",PR!$BN505,IF(H507="WWCV",PR!$BO505,IF(H507="ZOLON",PR!$BP505,"-"))))))))))))))))))))))))))))))))))))))))))))))))))))))))))))))))</f>
        <v>650</v>
      </c>
      <c r="H507" s="102" t="str">
        <f>EV!M639</f>
        <v>ALPHA</v>
      </c>
      <c r="I507" s="108" t="str">
        <f>IF(J507="ALPHA",PR!$E505,IF(J507="ASSENE",PR!$F505,IF(J507="BIOFEM",PR!$G505,IF(J507="BIOMED",PR!$H505,IF(J507="CHI",PR!$I505,IF(J507="CLARION",PR!$J505,IF(J507="CODIX",PR!$K505,IF(J507="COSMADE",PR!$L505,IF(J507="SANCON",PR!$M505,IF(J507="DEVON",PR!$N505,IF(J507="DORTEMAG",PR!$O505,IF(J507="DGF",PR!$P505,IF(J507="DYNAMIC",PR!$Q505,IF(J507="EMZOR",PR!$R505,IF(J507="EUMATT",PR!$S505,IF(J507="FIDSON",PR!$T505,IF(J507="FCGLOBAL",PR!$U505,IF(J507="GENEITH",PR!$V505,IF(J507="GINOS",PR!$W505,IF(J507="GSK",PR!$X505,IF(J507="GLOBORG",PR!$Y505,IF(J507="GOODNEWS",PR!$Z505,IF(J507="GREENLIFE",PR!$AA505,IF(J507="HLINE",PR!$AB505,IF(J507="ROTECH",PR!$AC505,IF(J507="ISN",PR!$AD505,IF(J507="JAWA",PR!$AE505,IF(J507="LAYO",PR!$AF505,IF(J507="LEADWAY",PR!$AG505,IF(J507="LHV",PR!$AH505,IF(J507="MANOLA",PR!$AI505,IF(J507="MARCSON",PR!$AJ505,IF(J507="M&amp;B",PR!$AK505,IF(J507="MTRUST",PR!$AL505,IF(J507="MWORLD",PR!$AM505,IF(J507="MEGA",PR!$AN505,IF(J507="MICRONOVA",PR!$AO505,IF(J507="MFLASH",PR!$AP505,IF(J507="MORISON",PR!$AQ505,IF(J507="NEMEL",PR!$AR505,IF(J507="NHP",PR!$AS505,IF(J507="NHC",PR!$AT505,IF(J507="OLEAF",PR!$AU505,IF(J507="OCULUS",PR!$AV505,IF(J507="PACIFIC",PR!$AW505,IF(J507="PHAMATEX",PR!$AX505,IF(J507="PETHICS",PR!$AY505,IF(J507="PHILIPS",PR!$AZ505,IF(J507="RANBAXY",PR!$BA505,IF(J507="REALS",PR!$BB505,IF(J507="ROYAL",PR!$BC505,IF(J507="SAM",PR!$BD505,IF(J507="SEAGREEN",PR!$BE505,IF(J507="SKG",PR!$BF505,IF(J507="TAH",PR!$BG505,IF(J507="TAYLEK",PR!$BH505,IF(J507="TEMITA",PR!$BI505,IF(J507="THL",PR!$BJ505,IF(J507="UBASTIC",PR!$BK505,IF(J507="UNION",PR!$BL505,IF(J507="UNIQUE",PR!$BM505,IF(J507="VIXA",PR!$BN505,IF(J507="WWCV",PR!$BO505,IF(J507="ZOLON",PR!$BP505,"-"))))))))))))))))))))))))))))))))))))))))))))))))))))))))))))))))</f>
        <v>-</v>
      </c>
      <c r="J507" s="102">
        <f>EV!N639</f>
        <v>0</v>
      </c>
      <c r="K507" s="433" t="s">
        <v>821</v>
      </c>
      <c r="L507" s="183">
        <f>IF(K507&gt;0,IF(K507="ALPHA",PR!$E505,IF(K507="ASSENE",PR!$F505,IF(K507="BIOFEM",PR!$G505,IF(K507="BIOMED",PR!$H505,IF(K507="CHI",PR!$I505,IF(K507="CLARION",PR!$J505,IF(K507="CODIX",PR!$K505,IF(K507="COSMADE",PR!$L505,IF(K507="SANCON",PR!$M505,IF(K507="DEVON",PR!$N505,IF(K507="DORTEMAG",PR!$O505,IF(K507="DGF",PR!$P505,IF(K507="DYNAMIC",PR!$Q505,IF(K507="EMZOR",PR!$R505,IF(K507="EUMATT",PR!$S505,IF(K507="FIDSON",PR!$T505,IF(K507="FCGLOBAL",PR!$U505,IF(K507="GENEITH",PR!$V505,IF(K507="GINOS",PR!$W505,IF(K507="GSK",PR!$X505,IF(K507="GLOBORG",PR!$Y505,IF(K507="GOODNEWS",PR!$Z505,IF(K507="GREENLIFE",PR!$AA505,IF(K507="HLINE",PR!$AB505,IF(K507="ROTECH",PR!$AC505,IF(K507="ISN",PR!$AD505,IF(K507="JAWA",PR!$AE505,IF(K507="LAYO",PR!$AF505,IF(K507="LEADWAY",PR!$AG505,IF(K507="LHV",PR!$AH505,IF(K507="MANOLA",PR!$AI505,IF(K507="MARCSON",PR!$AJ505,IF(K507="M&amp;B",PR!$AK505,IF(K507="MTRUST",PR!$AL505,IF(K507="MWORLD",PR!$AM505,IF(K507="MEGA",PR!$AN505,IF(K507="MICRONOVA",PR!$AO505,IF(K507="MFLASH",PR!$AP505,IF(K507="MORISON",PR!$AQ505,IF(K507="NEMEL",PR!$AR505,IF(K507="NHP",PR!$AS505,IF(K507="NHC",PR!$AT505,IF(K507="OLEAF",PR!$AU505,IF(K507="OCULUS",PR!$AV505,IF(K507="PACIFIC",PR!$AW505,IF(K507="PHAMATEX",PR!$AX505,IF(K507="PETHICS",PR!$AY505,IF(K507="PHILIPS",PR!$AZ505,IF(K507="RANBAXY",PR!$BA505,IF(K507="REALS",PR!$BB505,IF(K507="ROYAL",PR!$BC505,IF(K507="SAM",PR!$BD505,IF(K507="SEAGREEN",PR!$BE505,IF(K507="SKG",PR!$BF505,IF(K507="TAH",PR!$BG505,IF(K507="TAYLEK",PR!$BH505,IF(K507="TEMITA",PR!$BI505,IF(K507="THL",PR!$BJ505,IF(K507="UBASTIC",PR!$BK505,IF(K507="UNION",PR!$BL505,IF(K507="UNIQUE",PR!$BM505,IF(K507="VIXA",PR!$BN505,IF(K507="WWCV",PR!$BO505,IF(K507="ZOLON",PR!$BP505,"-")))))))))))))))))))))))))))))))))))))))))))))))))))))))))))))))))</f>
        <v>40</v>
      </c>
    </row>
    <row r="508" spans="1:12" ht="18.75" x14ac:dyDescent="0.3">
      <c r="A508" s="430">
        <f>PR!A506</f>
        <v>456</v>
      </c>
      <c r="B508" s="15" t="str">
        <f>PR!B506</f>
        <v>AMINOPHYLLINE 100MG TAB</v>
      </c>
      <c r="C508" s="113">
        <f>PR!D506</f>
        <v>1000</v>
      </c>
      <c r="D508" s="113">
        <f>PR!C506</f>
        <v>2</v>
      </c>
      <c r="E508" s="108">
        <f>IF(F508="ALPHA",PR!$E506,IF(F508="ASSENE",PR!$F506,IF(F508="BIOFEM",PR!$G506,IF(F508="BIOMED",PR!$H506,IF(F508="CHI",PR!$I506,IF(F508="CLARION",PR!$J506,IF(F508="CODIX",PR!$K506,IF(F508="COSMADE",PR!$L506,IF(F508="SANCON",PR!$M506,IF(F508="DEVON",PR!$N506,IF(F508="DORTEMAG",PR!$O506,IF(F508="DGF",PR!$P506,IF(F508="DYNAMIC",PR!$Q506,IF(F508="EMZOR",PR!$R506,IF(F508="EUMATT",PR!$S506,IF(F508="FIDSON",PR!$T506,IF(F508="FCGLOBAL",PR!$U506,IF(F508="GENEITH",PR!$V506,IF(F508="GINOS",PR!$W506,IF(F508="GSK",PR!$X506,IF(F508="GLOBORG",PR!$Y506,IF(F508="GOODNEWS",PR!$Z506,IF(F508="GREENLIFE",PR!$AA506,IF(F508="HLINE",PR!$AB506,IF(F508="ROTECH",PR!$AC506,IF(F508="ISN",PR!$AD506,IF(F508="JAWA",PR!$AE506,IF(F508="LAYO",PR!$AF506,IF(F508="LEADWAY",PR!$AG506,IF(F508="LHV",PR!$AH506,IF(F508="MANOLA",PR!$AI506,IF(F508="MARCSON",PR!$AJ506,IF(F508="M&amp;B",PR!$AK506,IF(F508="MTRUST",PR!$AL506,IF(F508="MWORLD",PR!$AM506,IF(F508="MEGA",PR!$AN506,IF(F508="MICRONOVA",PR!$AO506,IF(F508="MFLASH",PR!$AP506,IF(F508="MORISON",PR!$AQ506,IF(F508="NEMEL",PR!$AR506,IF(F508="NHP",PR!$AS506,IF(F508="NHC",PR!$AT506,IF(F508="OLEAF",PR!$AU506,IF(F508="OCULUS",PR!$AV506,IF(F508="PACIFIC",PR!$AW506,IF(F508="PHAMATEX",PR!$AX506,IF(F508="PETHICS",PR!$AY506,IF(F508="PHILIPS",PR!$AZ506,IF(F508="RANBAXY",PR!$BA506,IF(F508="REALS",PR!$BB506,IF(F508="ROYAL",PR!$BC506,IF(F508="SAM",PR!$BD506,IF(F508="SEAGREEN",PR!$BE506,IF(F508="SKG",PR!$BF506,IF(F508="TAH",PR!$BG506,IF(F508="TAYLEK",PR!$BH506,IF(F508="TEMITA",PR!$BI506,IF(F508="THL",PR!$BJ506,IF(F508="UBASTIC",PR!$BK506,IF(F508="UNION",PR!$BL506,IF(F508="UNIQUE",PR!$BM506,IF(F508="VIXA",PR!$BN506,IF(F508="WWCV",PR!$BO506,IF(F508="ZOLON",PR!$BP506,"-"))))))))))))))))))))))))))))))))))))))))))))))))))))))))))))))))</f>
        <v>2200</v>
      </c>
      <c r="F508" s="102" t="str">
        <f>EV!L640</f>
        <v>EUMATT</v>
      </c>
      <c r="G508" s="108" t="str">
        <f>IF(H508="ALPHA",PR!$E506,IF(H508="ASSENE",PR!$F506,IF(H508="BIOFEM",PR!$G506,IF(H508="BIOMED",PR!$H506,IF(H508="CHI",PR!$I506,IF(H508="CLARION",PR!$J506,IF(H508="CODIX",PR!$K506,IF(H508="COSMADE",PR!$L506,IF(H508="SANCON",PR!$M506,IF(H508="DEVON",PR!$N506,IF(H508="DORTEMAG",PR!$O506,IF(H508="DGF",PR!$P506,IF(H508="DYNAMIC",PR!$Q506,IF(H508="EMZOR",PR!$R506,IF(H508="EUMATT",PR!$S506,IF(H508="FIDSON",PR!$T506,IF(H508="FCGLOBAL",PR!$U506,IF(H508="GENEITH",PR!$V506,IF(H508="GINOS",PR!$W506,IF(H508="GSK",PR!$X506,IF(H508="GLOBORG",PR!$Y506,IF(H508="GOODNEWS",PR!$Z506,IF(H508="GREENLIFE",PR!$AA506,IF(H508="HLINE",PR!$AB506,IF(H508="ROTECH",PR!$AC506,IF(H508="ISN",PR!$AD506,IF(H508="JAWA",PR!$AE506,IF(H508="LAYO",PR!$AF506,IF(H508="LEADWAY",PR!$AG506,IF(H508="LHV",PR!$AH506,IF(H508="MANOLA",PR!$AI506,IF(H508="MARCSON",PR!$AJ506,IF(H508="M&amp;B",PR!$AK506,IF(H508="MTRUST",PR!$AL506,IF(H508="MWORLD",PR!$AM506,IF(H508="MEGA",PR!$AN506,IF(H508="MICRONOVA",PR!$AO506,IF(H508="MFLASH",PR!$AP506,IF(H508="MORISON",PR!$AQ506,IF(H508="NEMEL",PR!$AR506,IF(H508="NHP",PR!$AS506,IF(H508="NHC",PR!$AT506,IF(H508="OLEAF",PR!$AU506,IF(H508="OCULUS",PR!$AV506,IF(H508="PACIFIC",PR!$AW506,IF(H508="PHAMATEX",PR!$AX506,IF(H508="PETHICS",PR!$AY506,IF(H508="PHILIPS",PR!$AZ506,IF(H508="RANBAXY",PR!$BA506,IF(H508="REALS",PR!$BB506,IF(H508="ROYAL",PR!$BC506,IF(H508="SAM",PR!$BD506,IF(H508="SEAGREEN",PR!$BE506,IF(H508="SKG",PR!$BF506,IF(H508="TAH",PR!$BG506,IF(H508="TAYLEK",PR!$BH506,IF(H508="TEMITA",PR!$BI506,IF(H508="THL",PR!$BJ506,IF(H508="UBASTIC",PR!$BK506,IF(H508="UNION",PR!$BL506,IF(H508="UNIQUE",PR!$BM506,IF(H508="VIXA",PR!$BN506,IF(H508="WWCV",PR!$BO506,IF(H508="ZOLON",PR!$BP506,"-"))))))))))))))))))))))))))))))))))))))))))))))))))))))))))))))))</f>
        <v>-</v>
      </c>
      <c r="H508" s="102">
        <f>EV!M640</f>
        <v>0</v>
      </c>
      <c r="I508" s="108" t="str">
        <f>IF(J508="ALPHA",PR!$E506,IF(J508="ASSENE",PR!$F506,IF(J508="BIOFEM",PR!$G506,IF(J508="BIOMED",PR!$H506,IF(J508="CHI",PR!$I506,IF(J508="CLARION",PR!$J506,IF(J508="CODIX",PR!$K506,IF(J508="COSMADE",PR!$L506,IF(J508="SANCON",PR!$M506,IF(J508="DEVON",PR!$N506,IF(J508="DORTEMAG",PR!$O506,IF(J508="DGF",PR!$P506,IF(J508="DYNAMIC",PR!$Q506,IF(J508="EMZOR",PR!$R506,IF(J508="EUMATT",PR!$S506,IF(J508="FIDSON",PR!$T506,IF(J508="FCGLOBAL",PR!$U506,IF(J508="GENEITH",PR!$V506,IF(J508="GINOS",PR!$W506,IF(J508="GSK",PR!$X506,IF(J508="GLOBORG",PR!$Y506,IF(J508="GOODNEWS",PR!$Z506,IF(J508="GREENLIFE",PR!$AA506,IF(J508="HLINE",PR!$AB506,IF(J508="ROTECH",PR!$AC506,IF(J508="ISN",PR!$AD506,IF(J508="JAWA",PR!$AE506,IF(J508="LAYO",PR!$AF506,IF(J508="LEADWAY",PR!$AG506,IF(J508="LHV",PR!$AH506,IF(J508="MANOLA",PR!$AI506,IF(J508="MARCSON",PR!$AJ506,IF(J508="M&amp;B",PR!$AK506,IF(J508="MTRUST",PR!$AL506,IF(J508="MWORLD",PR!$AM506,IF(J508="MEGA",PR!$AN506,IF(J508="MICRONOVA",PR!$AO506,IF(J508="MFLASH",PR!$AP506,IF(J508="MORISON",PR!$AQ506,IF(J508="NEMEL",PR!$AR506,IF(J508="NHP",PR!$AS506,IF(J508="NHC",PR!$AT506,IF(J508="OLEAF",PR!$AU506,IF(J508="OCULUS",PR!$AV506,IF(J508="PACIFIC",PR!$AW506,IF(J508="PHAMATEX",PR!$AX506,IF(J508="PETHICS",PR!$AY506,IF(J508="PHILIPS",PR!$AZ506,IF(J508="RANBAXY",PR!$BA506,IF(J508="REALS",PR!$BB506,IF(J508="ROYAL",PR!$BC506,IF(J508="SAM",PR!$BD506,IF(J508="SEAGREEN",PR!$BE506,IF(J508="SKG",PR!$BF506,IF(J508="TAH",PR!$BG506,IF(J508="TAYLEK",PR!$BH506,IF(J508="TEMITA",PR!$BI506,IF(J508="THL",PR!$BJ506,IF(J508="UBASTIC",PR!$BK506,IF(J508="UNION",PR!$BL506,IF(J508="UNIQUE",PR!$BM506,IF(J508="VIXA",PR!$BN506,IF(J508="WWCV",PR!$BO506,IF(J508="ZOLON",PR!$BP506,"-"))))))))))))))))))))))))))))))))))))))))))))))))))))))))))))))))</f>
        <v>-</v>
      </c>
      <c r="J508" s="102">
        <f>EV!N640</f>
        <v>0</v>
      </c>
      <c r="K508" s="433" t="s">
        <v>821</v>
      </c>
      <c r="L508" s="183">
        <f>IF(K508&gt;0,IF(K508="ALPHA",PR!$E506,IF(K508="ASSENE",PR!$F506,IF(K508="BIOFEM",PR!$G506,IF(K508="BIOMED",PR!$H506,IF(K508="CHI",PR!$I506,IF(K508="CLARION",PR!$J506,IF(K508="CODIX",PR!$K506,IF(K508="COSMADE",PR!$L506,IF(K508="SANCON",PR!$M506,IF(K508="DEVON",PR!$N506,IF(K508="DORTEMAG",PR!$O506,IF(K508="DGF",PR!$P506,IF(K508="DYNAMIC",PR!$Q506,IF(K508="EMZOR",PR!$R506,IF(K508="EUMATT",PR!$S506,IF(K508="FIDSON",PR!$T506,IF(K508="FCGLOBAL",PR!$U506,IF(K508="GENEITH",PR!$V506,IF(K508="GINOS",PR!$W506,IF(K508="GSK",PR!$X506,IF(K508="GLOBORG",PR!$Y506,IF(K508="GOODNEWS",PR!$Z506,IF(K508="GREENLIFE",PR!$AA506,IF(K508="HLINE",PR!$AB506,IF(K508="ROTECH",PR!$AC506,IF(K508="ISN",PR!$AD506,IF(K508="JAWA",PR!$AE506,IF(K508="LAYO",PR!$AF506,IF(K508="LEADWAY",PR!$AG506,IF(K508="LHV",PR!$AH506,IF(K508="MANOLA",PR!$AI506,IF(K508="MARCSON",PR!$AJ506,IF(K508="M&amp;B",PR!$AK506,IF(K508="MTRUST",PR!$AL506,IF(K508="MWORLD",PR!$AM506,IF(K508="MEGA",PR!$AN506,IF(K508="MICRONOVA",PR!$AO506,IF(K508="MFLASH",PR!$AP506,IF(K508="MORISON",PR!$AQ506,IF(K508="NEMEL",PR!$AR506,IF(K508="NHP",PR!$AS506,IF(K508="NHC",PR!$AT506,IF(K508="OLEAF",PR!$AU506,IF(K508="OCULUS",PR!$AV506,IF(K508="PACIFIC",PR!$AW506,IF(K508="PHAMATEX",PR!$AX506,IF(K508="PETHICS",PR!$AY506,IF(K508="PHILIPS",PR!$AZ506,IF(K508="RANBAXY",PR!$BA506,IF(K508="REALS",PR!$BB506,IF(K508="ROYAL",PR!$BC506,IF(K508="SAM",PR!$BD506,IF(K508="SEAGREEN",PR!$BE506,IF(K508="SKG",PR!$BF506,IF(K508="TAH",PR!$BG506,IF(K508="TAYLEK",PR!$BH506,IF(K508="TEMITA",PR!$BI506,IF(K508="THL",PR!$BJ506,IF(K508="UBASTIC",PR!$BK506,IF(K508="UNION",PR!$BL506,IF(K508="UNIQUE",PR!$BM506,IF(K508="VIXA",PR!$BN506,IF(K508="WWCV",PR!$BO506,IF(K508="ZOLON",PR!$BP506,"-")))))))))))))))))))))))))))))))))))))))))))))))))))))))))))))))))</f>
        <v>2200</v>
      </c>
    </row>
    <row r="509" spans="1:12" ht="18.75" x14ac:dyDescent="0.3">
      <c r="A509" s="430">
        <f>PR!A507</f>
        <v>457</v>
      </c>
      <c r="B509" s="15" t="str">
        <f>PR!B507</f>
        <v>EPHEDRINE/THEOPHYLLINE</v>
      </c>
      <c r="C509" s="113">
        <f>PR!D507</f>
        <v>100</v>
      </c>
      <c r="D509" s="113">
        <f>PR!C507</f>
        <v>20</v>
      </c>
      <c r="E509" s="108" t="str">
        <f>IF(F509="ALPHA",PR!$E507,IF(F509="ASSENE",PR!$F507,IF(F509="BIOFEM",PR!$G507,IF(F509="BIOMED",PR!$H507,IF(F509="CHI",PR!$I507,IF(F509="CLARION",PR!$J507,IF(F509="CODIX",PR!$K507,IF(F509="COSMADE",PR!$L507,IF(F509="SANCON",PR!$M507,IF(F509="DEVON",PR!$N507,IF(F509="DORTEMAG",PR!$O507,IF(F509="DGF",PR!$P507,IF(F509="DYNAMIC",PR!$Q507,IF(F509="EMZOR",PR!$R507,IF(F509="EUMATT",PR!$S507,IF(F509="FIDSON",PR!$T507,IF(F509="FCGLOBAL",PR!$U507,IF(F509="GENEITH",PR!$V507,IF(F509="GINOS",PR!$W507,IF(F509="GSK",PR!$X507,IF(F509="GLOBORG",PR!$Y507,IF(F509="GOODNEWS",PR!$Z507,IF(F509="GREENLIFE",PR!$AA507,IF(F509="HLINE",PR!$AB507,IF(F509="ROTECH",PR!$AC507,IF(F509="ISN",PR!$AD507,IF(F509="JAWA",PR!$AE507,IF(F509="LAYO",PR!$AF507,IF(F509="LEADWAY",PR!$AG507,IF(F509="LHV",PR!$AH507,IF(F509="MANOLA",PR!$AI507,IF(F509="MARCSON",PR!$AJ507,IF(F509="M&amp;B",PR!$AK507,IF(F509="MTRUST",PR!$AL507,IF(F509="MWORLD",PR!$AM507,IF(F509="MEGA",PR!$AN507,IF(F509="MICRONOVA",PR!$AO507,IF(F509="MFLASH",PR!$AP507,IF(F509="MORISON",PR!$AQ507,IF(F509="NEMEL",PR!$AR507,IF(F509="NHP",PR!$AS507,IF(F509="NHC",PR!$AT507,IF(F509="OLEAF",PR!$AU507,IF(F509="OCULUS",PR!$AV507,IF(F509="PACIFIC",PR!$AW507,IF(F509="PHAMATEX",PR!$AX507,IF(F509="PETHICS",PR!$AY507,IF(F509="PHILIPS",PR!$AZ507,IF(F509="RANBAXY",PR!$BA507,IF(F509="REALS",PR!$BB507,IF(F509="ROYAL",PR!$BC507,IF(F509="SAM",PR!$BD507,IF(F509="SEAGREEN",PR!$BE507,IF(F509="SKG",PR!$BF507,IF(F509="TAH",PR!$BG507,IF(F509="TAYLEK",PR!$BH507,IF(F509="TEMITA",PR!$BI507,IF(F509="THL",PR!$BJ507,IF(F509="UBASTIC",PR!$BK507,IF(F509="UNION",PR!$BL507,IF(F509="UNIQUE",PR!$BM507,IF(F509="VIXA",PR!$BN507,IF(F509="WWCV",PR!$BO507,IF(F509="ZOLON",PR!$BP507,"-"))))))))))))))))))))))))))))))))))))))))))))))))))))))))))))))))</f>
        <v>-</v>
      </c>
      <c r="F509" s="102">
        <f>EV!L641</f>
        <v>0</v>
      </c>
      <c r="G509" s="108" t="str">
        <f>IF(H509="ALPHA",PR!$E507,IF(H509="ASSENE",PR!$F507,IF(H509="BIOFEM",PR!$G507,IF(H509="BIOMED",PR!$H507,IF(H509="CHI",PR!$I507,IF(H509="CLARION",PR!$J507,IF(H509="CODIX",PR!$K507,IF(H509="COSMADE",PR!$L507,IF(H509="SANCON",PR!$M507,IF(H509="DEVON",PR!$N507,IF(H509="DORTEMAG",PR!$O507,IF(H509="DGF",PR!$P507,IF(H509="DYNAMIC",PR!$Q507,IF(H509="EMZOR",PR!$R507,IF(H509="EUMATT",PR!$S507,IF(H509="FIDSON",PR!$T507,IF(H509="FCGLOBAL",PR!$U507,IF(H509="GENEITH",PR!$V507,IF(H509="GINOS",PR!$W507,IF(H509="GSK",PR!$X507,IF(H509="GLOBORG",PR!$Y507,IF(H509="GOODNEWS",PR!$Z507,IF(H509="GREENLIFE",PR!$AA507,IF(H509="HLINE",PR!$AB507,IF(H509="ROTECH",PR!$AC507,IF(H509="ISN",PR!$AD507,IF(H509="JAWA",PR!$AE507,IF(H509="LAYO",PR!$AF507,IF(H509="LEADWAY",PR!$AG507,IF(H509="LHV",PR!$AH507,IF(H509="MANOLA",PR!$AI507,IF(H509="MARCSON",PR!$AJ507,IF(H509="M&amp;B",PR!$AK507,IF(H509="MTRUST",PR!$AL507,IF(H509="MWORLD",PR!$AM507,IF(H509="MEGA",PR!$AN507,IF(H509="MICRONOVA",PR!$AO507,IF(H509="MFLASH",PR!$AP507,IF(H509="MORISON",PR!$AQ507,IF(H509="NEMEL",PR!$AR507,IF(H509="NHP",PR!$AS507,IF(H509="NHC",PR!$AT507,IF(H509="OLEAF",PR!$AU507,IF(H509="OCULUS",PR!$AV507,IF(H509="PACIFIC",PR!$AW507,IF(H509="PHAMATEX",PR!$AX507,IF(H509="PETHICS",PR!$AY507,IF(H509="PHILIPS",PR!$AZ507,IF(H509="RANBAXY",PR!$BA507,IF(H509="REALS",PR!$BB507,IF(H509="ROYAL",PR!$BC507,IF(H509="SAM",PR!$BD507,IF(H509="SEAGREEN",PR!$BE507,IF(H509="SKG",PR!$BF507,IF(H509="TAH",PR!$BG507,IF(H509="TAYLEK",PR!$BH507,IF(H509="TEMITA",PR!$BI507,IF(H509="THL",PR!$BJ507,IF(H509="UBASTIC",PR!$BK507,IF(H509="UNION",PR!$BL507,IF(H509="UNIQUE",PR!$BM507,IF(H509="VIXA",PR!$BN507,IF(H509="WWCV",PR!$BO507,IF(H509="ZOLON",PR!$BP507,"-"))))))))))))))))))))))))))))))))))))))))))))))))))))))))))))))))</f>
        <v>-</v>
      </c>
      <c r="H509" s="102">
        <f>EV!M641</f>
        <v>0</v>
      </c>
      <c r="I509" s="108" t="str">
        <f>IF(J509="ALPHA",PR!$E507,IF(J509="ASSENE",PR!$F507,IF(J509="BIOFEM",PR!$G507,IF(J509="BIOMED",PR!$H507,IF(J509="CHI",PR!$I507,IF(J509="CLARION",PR!$J507,IF(J509="CODIX",PR!$K507,IF(J509="COSMADE",PR!$L507,IF(J509="SANCON",PR!$M507,IF(J509="DEVON",PR!$N507,IF(J509="DORTEMAG",PR!$O507,IF(J509="DGF",PR!$P507,IF(J509="DYNAMIC",PR!$Q507,IF(J509="EMZOR",PR!$R507,IF(J509="EUMATT",PR!$S507,IF(J509="FIDSON",PR!$T507,IF(J509="FCGLOBAL",PR!$U507,IF(J509="GENEITH",PR!$V507,IF(J509="GINOS",PR!$W507,IF(J509="GSK",PR!$X507,IF(J509="GLOBORG",PR!$Y507,IF(J509="GOODNEWS",PR!$Z507,IF(J509="GREENLIFE",PR!$AA507,IF(J509="HLINE",PR!$AB507,IF(J509="ROTECH",PR!$AC507,IF(J509="ISN",PR!$AD507,IF(J509="JAWA",PR!$AE507,IF(J509="LAYO",PR!$AF507,IF(J509="LEADWAY",PR!$AG507,IF(J509="LHV",PR!$AH507,IF(J509="MANOLA",PR!$AI507,IF(J509="MARCSON",PR!$AJ507,IF(J509="M&amp;B",PR!$AK507,IF(J509="MTRUST",PR!$AL507,IF(J509="MWORLD",PR!$AM507,IF(J509="MEGA",PR!$AN507,IF(J509="MICRONOVA",PR!$AO507,IF(J509="MFLASH",PR!$AP507,IF(J509="MORISON",PR!$AQ507,IF(J509="NEMEL",PR!$AR507,IF(J509="NHP",PR!$AS507,IF(J509="NHC",PR!$AT507,IF(J509="OLEAF",PR!$AU507,IF(J509="OCULUS",PR!$AV507,IF(J509="PACIFIC",PR!$AW507,IF(J509="PHAMATEX",PR!$AX507,IF(J509="PETHICS",PR!$AY507,IF(J509="PHILIPS",PR!$AZ507,IF(J509="RANBAXY",PR!$BA507,IF(J509="REALS",PR!$BB507,IF(J509="ROYAL",PR!$BC507,IF(J509="SAM",PR!$BD507,IF(J509="SEAGREEN",PR!$BE507,IF(J509="SKG",PR!$BF507,IF(J509="TAH",PR!$BG507,IF(J509="TAYLEK",PR!$BH507,IF(J509="TEMITA",PR!$BI507,IF(J509="THL",PR!$BJ507,IF(J509="UBASTIC",PR!$BK507,IF(J509="UNION",PR!$BL507,IF(J509="UNIQUE",PR!$BM507,IF(J509="VIXA",PR!$BN507,IF(J509="WWCV",PR!$BO507,IF(J509="ZOLON",PR!$BP507,"-"))))))))))))))))))))))))))))))))))))))))))))))))))))))))))))))))</f>
        <v>-</v>
      </c>
      <c r="J509" s="102">
        <f>EV!N641</f>
        <v>0</v>
      </c>
      <c r="K509" s="433"/>
      <c r="L509" s="183" t="b">
        <f>IF(K509&gt;0,IF(K509="ALPHA",PR!$E507,IF(K509="ASSENE",PR!$F507,IF(K509="BIOFEM",PR!$G507,IF(K509="BIOMED",PR!$H507,IF(K509="CHI",PR!$I507,IF(K509="CLARION",PR!$J507,IF(K509="CODIX",PR!$K507,IF(K509="COSMADE",PR!$L507,IF(K509="SANCON",PR!$M507,IF(K509="DEVON",PR!$N507,IF(K509="DORTEMAG",PR!$O507,IF(K509="DGF",PR!$P507,IF(K509="DYNAMIC",PR!$Q507,IF(K509="EMZOR",PR!$R507,IF(K509="EUMATT",PR!$S507,IF(K509="FIDSON",PR!$T507,IF(K509="FCGLOBAL",PR!$U507,IF(K509="GENEITH",PR!$V507,IF(K509="GINOS",PR!$W507,IF(K509="GSK",PR!$X507,IF(K509="GLOBORG",PR!$Y507,IF(K509="GOODNEWS",PR!$Z507,IF(K509="GREENLIFE",PR!$AA507,IF(K509="HLINE",PR!$AB507,IF(K509="ROTECH",PR!$AC507,IF(K509="ISN",PR!$AD507,IF(K509="JAWA",PR!$AE507,IF(K509="LAYO",PR!$AF507,IF(K509="LEADWAY",PR!$AG507,IF(K509="LHV",PR!$AH507,IF(K509="MANOLA",PR!$AI507,IF(K509="MARCSON",PR!$AJ507,IF(K509="M&amp;B",PR!$AK507,IF(K509="MTRUST",PR!$AL507,IF(K509="MWORLD",PR!$AM507,IF(K509="MEGA",PR!$AN507,IF(K509="MICRONOVA",PR!$AO507,IF(K509="MFLASH",PR!$AP507,IF(K509="MORISON",PR!$AQ507,IF(K509="NEMEL",PR!$AR507,IF(K509="NHP",PR!$AS507,IF(K509="NHC",PR!$AT507,IF(K509="OLEAF",PR!$AU507,IF(K509="OCULUS",PR!$AV507,IF(K509="PACIFIC",PR!$AW507,IF(K509="PHAMATEX",PR!$AX507,IF(K509="PETHICS",PR!$AY507,IF(K509="PHILIPS",PR!$AZ507,IF(K509="RANBAXY",PR!$BA507,IF(K509="REALS",PR!$BB507,IF(K509="ROYAL",PR!$BC507,IF(K509="SAM",PR!$BD507,IF(K509="SEAGREEN",PR!$BE507,IF(K509="SKG",PR!$BF507,IF(K509="TAH",PR!$BG507,IF(K509="TAYLEK",PR!$BH507,IF(K509="TEMITA",PR!$BI507,IF(K509="THL",PR!$BJ507,IF(K509="UBASTIC",PR!$BK507,IF(K509="UNION",PR!$BL507,IF(K509="UNIQUE",PR!$BM507,IF(K509="VIXA",PR!$BN507,IF(K509="WWCV",PR!$BO507,IF(K509="ZOLON",PR!$BP507,"-")))))))))))))))))))))))))))))))))))))))))))))))))))))))))))))))))</f>
        <v>0</v>
      </c>
    </row>
    <row r="510" spans="1:12" ht="18.75" x14ac:dyDescent="0.3">
      <c r="A510" s="430">
        <f>PR!A508</f>
        <v>458</v>
      </c>
      <c r="B510" s="15" t="str">
        <f>PR!B508</f>
        <v>FLUTICASONE FUROATE NASAL SPRAY</v>
      </c>
      <c r="C510" s="113" t="str">
        <f>PR!D508</f>
        <v>PCS</v>
      </c>
      <c r="D510" s="113">
        <f>PR!C508</f>
        <v>100</v>
      </c>
      <c r="E510" s="108">
        <f>IF(F510="ALPHA",PR!$E508,IF(F510="ASSENE",PR!$F508,IF(F510="BIOFEM",PR!$G508,IF(F510="BIOMED",PR!$H508,IF(F510="CHI",PR!$I508,IF(F510="CLARION",PR!$J508,IF(F510="CODIX",PR!$K508,IF(F510="COSMADE",PR!$L508,IF(F510="SANCON",PR!$M508,IF(F510="DEVON",PR!$N508,IF(F510="DORTEMAG",PR!$O508,IF(F510="DGF",PR!$P508,IF(F510="DYNAMIC",PR!$Q508,IF(F510="EMZOR",PR!$R508,IF(F510="EUMATT",PR!$S508,IF(F510="FIDSON",PR!$T508,IF(F510="FCGLOBAL",PR!$U508,IF(F510="GENEITH",PR!$V508,IF(F510="GINOS",PR!$W508,IF(F510="GSK",PR!$X508,IF(F510="GLOBORG",PR!$Y508,IF(F510="GOODNEWS",PR!$Z508,IF(F510="GREENLIFE",PR!$AA508,IF(F510="HLINE",PR!$AB508,IF(F510="ROTECH",PR!$AC508,IF(F510="ISN",PR!$AD508,IF(F510="JAWA",PR!$AE508,IF(F510="LAYO",PR!$AF508,IF(F510="LEADWAY",PR!$AG508,IF(F510="LHV",PR!$AH508,IF(F510="MANOLA",PR!$AI508,IF(F510="MARCSON",PR!$AJ508,IF(F510="M&amp;B",PR!$AK508,IF(F510="MTRUST",PR!$AL508,IF(F510="MWORLD",PR!$AM508,IF(F510="MEGA",PR!$AN508,IF(F510="MICRONOVA",PR!$AO508,IF(F510="MFLASH",PR!$AP508,IF(F510="MORISON",PR!$AQ508,IF(F510="NEMEL",PR!$AR508,IF(F510="NHP",PR!$AS508,IF(F510="NHC",PR!$AT508,IF(F510="OLEAF",PR!$AU508,IF(F510="OCULUS",PR!$AV508,IF(F510="PACIFIC",PR!$AW508,IF(F510="PHAMATEX",PR!$AX508,IF(F510="PETHICS",PR!$AY508,IF(F510="PHILIPS",PR!$AZ508,IF(F510="RANBAXY",PR!$BA508,IF(F510="REALS",PR!$BB508,IF(F510="ROYAL",PR!$BC508,IF(F510="SAM",PR!$BD508,IF(F510="SEAGREEN",PR!$BE508,IF(F510="SKG",PR!$BF508,IF(F510="TAH",PR!$BG508,IF(F510="TAYLEK",PR!$BH508,IF(F510="TEMITA",PR!$BI508,IF(F510="THL",PR!$BJ508,IF(F510="UBASTIC",PR!$BK508,IF(F510="UNION",PR!$BL508,IF(F510="UNIQUE",PR!$BM508,IF(F510="VIXA",PR!$BN508,IF(F510="WWCV",PR!$BO508,IF(F510="ZOLON",PR!$BP508,"-"))))))))))))))))))))))))))))))))))))))))))))))))))))))))))))))))</f>
        <v>1550.92</v>
      </c>
      <c r="F510" s="102" t="str">
        <f>EV!L642</f>
        <v>GSK</v>
      </c>
      <c r="G510" s="108">
        <f>IF(H510="ALPHA",PR!$E508,IF(H510="ASSENE",PR!$F508,IF(H510="BIOFEM",PR!$G508,IF(H510="BIOMED",PR!$H508,IF(H510="CHI",PR!$I508,IF(H510="CLARION",PR!$J508,IF(H510="CODIX",PR!$K508,IF(H510="COSMADE",PR!$L508,IF(H510="SANCON",PR!$M508,IF(H510="DEVON",PR!$N508,IF(H510="DORTEMAG",PR!$O508,IF(H510="DGF",PR!$P508,IF(H510="DYNAMIC",PR!$Q508,IF(H510="EMZOR",PR!$R508,IF(H510="EUMATT",PR!$S508,IF(H510="FIDSON",PR!$T508,IF(H510="FCGLOBAL",PR!$U508,IF(H510="GENEITH",PR!$V508,IF(H510="GINOS",PR!$W508,IF(H510="GSK",PR!$X508,IF(H510="GLOBORG",PR!$Y508,IF(H510="GOODNEWS",PR!$Z508,IF(H510="GREENLIFE",PR!$AA508,IF(H510="HLINE",PR!$AB508,IF(H510="ROTECH",PR!$AC508,IF(H510="ISN",PR!$AD508,IF(H510="JAWA",PR!$AE508,IF(H510="LAYO",PR!$AF508,IF(H510="LEADWAY",PR!$AG508,IF(H510="LHV",PR!$AH508,IF(H510="MANOLA",PR!$AI508,IF(H510="MARCSON",PR!$AJ508,IF(H510="M&amp;B",PR!$AK508,IF(H510="MTRUST",PR!$AL508,IF(H510="MWORLD",PR!$AM508,IF(H510="MEGA",PR!$AN508,IF(H510="MICRONOVA",PR!$AO508,IF(H510="MFLASH",PR!$AP508,IF(H510="MORISON",PR!$AQ508,IF(H510="NEMEL",PR!$AR508,IF(H510="NHP",PR!$AS508,IF(H510="NHC",PR!$AT508,IF(H510="OLEAF",PR!$AU508,IF(H510="OCULUS",PR!$AV508,IF(H510="PACIFIC",PR!$AW508,IF(H510="PHAMATEX",PR!$AX508,IF(H510="PETHICS",PR!$AY508,IF(H510="PHILIPS",PR!$AZ508,IF(H510="RANBAXY",PR!$BA508,IF(H510="REALS",PR!$BB508,IF(H510="ROYAL",PR!$BC508,IF(H510="SAM",PR!$BD508,IF(H510="SEAGREEN",PR!$BE508,IF(H510="SKG",PR!$BF508,IF(H510="TAH",PR!$BG508,IF(H510="TAYLEK",PR!$BH508,IF(H510="TEMITA",PR!$BI508,IF(H510="THL",PR!$BJ508,IF(H510="UBASTIC",PR!$BK508,IF(H510="UNION",PR!$BL508,IF(H510="UNIQUE",PR!$BM508,IF(H510="VIXA",PR!$BN508,IF(H510="WWCV",PR!$BO508,IF(H510="ZOLON",PR!$BP508,"-"))))))))))))))))))))))))))))))))))))))))))))))))))))))))))))))))</f>
        <v>1618</v>
      </c>
      <c r="H510" s="102" t="str">
        <f>EV!M642</f>
        <v>WWCV</v>
      </c>
      <c r="I510" s="108">
        <f>IF(J510="ALPHA",PR!$E508,IF(J510="ASSENE",PR!$F508,IF(J510="BIOFEM",PR!$G508,IF(J510="BIOMED",PR!$H508,IF(J510="CHI",PR!$I508,IF(J510="CLARION",PR!$J508,IF(J510="CODIX",PR!$K508,IF(J510="COSMADE",PR!$L508,IF(J510="SANCON",PR!$M508,IF(J510="DEVON",PR!$N508,IF(J510="DORTEMAG",PR!$O508,IF(J510="DGF",PR!$P508,IF(J510="DYNAMIC",PR!$Q508,IF(J510="EMZOR",PR!$R508,IF(J510="EUMATT",PR!$S508,IF(J510="FIDSON",PR!$T508,IF(J510="FCGLOBAL",PR!$U508,IF(J510="GENEITH",PR!$V508,IF(J510="GINOS",PR!$W508,IF(J510="GSK",PR!$X508,IF(J510="GLOBORG",PR!$Y508,IF(J510="GOODNEWS",PR!$Z508,IF(J510="GREENLIFE",PR!$AA508,IF(J510="HLINE",PR!$AB508,IF(J510="ROTECH",PR!$AC508,IF(J510="ISN",PR!$AD508,IF(J510="JAWA",PR!$AE508,IF(J510="LAYO",PR!$AF508,IF(J510="LEADWAY",PR!$AG508,IF(J510="LHV",PR!$AH508,IF(J510="MANOLA",PR!$AI508,IF(J510="MARCSON",PR!$AJ508,IF(J510="M&amp;B",PR!$AK508,IF(J510="MTRUST",PR!$AL508,IF(J510="MWORLD",PR!$AM508,IF(J510="MEGA",PR!$AN508,IF(J510="MICRONOVA",PR!$AO508,IF(J510="MFLASH",PR!$AP508,IF(J510="MORISON",PR!$AQ508,IF(J510="NEMEL",PR!$AR508,IF(J510="NHP",PR!$AS508,IF(J510="NHC",PR!$AT508,IF(J510="OLEAF",PR!$AU508,IF(J510="OCULUS",PR!$AV508,IF(J510="PACIFIC",PR!$AW508,IF(J510="PHAMATEX",PR!$AX508,IF(J510="PETHICS",PR!$AY508,IF(J510="PHILIPS",PR!$AZ508,IF(J510="RANBAXY",PR!$BA508,IF(J510="REALS",PR!$BB508,IF(J510="ROYAL",PR!$BC508,IF(J510="SAM",PR!$BD508,IF(J510="SEAGREEN",PR!$BE508,IF(J510="SKG",PR!$BF508,IF(J510="TAH",PR!$BG508,IF(J510="TAYLEK",PR!$BH508,IF(J510="TEMITA",PR!$BI508,IF(J510="THL",PR!$BJ508,IF(J510="UBASTIC",PR!$BK508,IF(J510="UNION",PR!$BL508,IF(J510="UNIQUE",PR!$BM508,IF(J510="VIXA",PR!$BN508,IF(J510="WWCV",PR!$BO508,IF(J510="ZOLON",PR!$BP508,"-"))))))))))))))))))))))))))))))))))))))))))))))))))))))))))))))))</f>
        <v>1950</v>
      </c>
      <c r="J510" s="102" t="str">
        <f>EV!N642</f>
        <v>EUMATT</v>
      </c>
      <c r="K510" s="433" t="s">
        <v>837</v>
      </c>
      <c r="L510" s="183">
        <f>IF(K510&gt;0,IF(K510="ALPHA",PR!$E508,IF(K510="ASSENE",PR!$F508,IF(K510="BIOFEM",PR!$G508,IF(K510="BIOMED",PR!$H508,IF(K510="CHI",PR!$I508,IF(K510="CLARION",PR!$J508,IF(K510="CODIX",PR!$K508,IF(K510="COSMADE",PR!$L508,IF(K510="SANCON",PR!$M508,IF(K510="DEVON",PR!$N508,IF(K510="DORTEMAG",PR!$O508,IF(K510="DGF",PR!$P508,IF(K510="DYNAMIC",PR!$Q508,IF(K510="EMZOR",PR!$R508,IF(K510="EUMATT",PR!$S508,IF(K510="FIDSON",PR!$T508,IF(K510="FCGLOBAL",PR!$U508,IF(K510="GENEITH",PR!$V508,IF(K510="GINOS",PR!$W508,IF(K510="GSK",PR!$X508,IF(K510="GLOBORG",PR!$Y508,IF(K510="GOODNEWS",PR!$Z508,IF(K510="GREENLIFE",PR!$AA508,IF(K510="HLINE",PR!$AB508,IF(K510="ROTECH",PR!$AC508,IF(K510="ISN",PR!$AD508,IF(K510="JAWA",PR!$AE508,IF(K510="LAYO",PR!$AF508,IF(K510="LEADWAY",PR!$AG508,IF(K510="LHV",PR!$AH508,IF(K510="MANOLA",PR!$AI508,IF(K510="MARCSON",PR!$AJ508,IF(K510="M&amp;B",PR!$AK508,IF(K510="MTRUST",PR!$AL508,IF(K510="MWORLD",PR!$AM508,IF(K510="MEGA",PR!$AN508,IF(K510="MICRONOVA",PR!$AO508,IF(K510="MFLASH",PR!$AP508,IF(K510="MORISON",PR!$AQ508,IF(K510="NEMEL",PR!$AR508,IF(K510="NHP",PR!$AS508,IF(K510="NHC",PR!$AT508,IF(K510="OLEAF",PR!$AU508,IF(K510="OCULUS",PR!$AV508,IF(K510="PACIFIC",PR!$AW508,IF(K510="PHAMATEX",PR!$AX508,IF(K510="PETHICS",PR!$AY508,IF(K510="PHILIPS",PR!$AZ508,IF(K510="RANBAXY",PR!$BA508,IF(K510="REALS",PR!$BB508,IF(K510="ROYAL",PR!$BC508,IF(K510="SAM",PR!$BD508,IF(K510="SEAGREEN",PR!$BE508,IF(K510="SKG",PR!$BF508,IF(K510="TAH",PR!$BG508,IF(K510="TAYLEK",PR!$BH508,IF(K510="TEMITA",PR!$BI508,IF(K510="THL",PR!$BJ508,IF(K510="UBASTIC",PR!$BK508,IF(K510="UNION",PR!$BL508,IF(K510="UNIQUE",PR!$BM508,IF(K510="VIXA",PR!$BN508,IF(K510="WWCV",PR!$BO508,IF(K510="ZOLON",PR!$BP508,"-")))))))))))))))))))))))))))))))))))))))))))))))))))))))))))))))))</f>
        <v>1550.92</v>
      </c>
    </row>
    <row r="511" spans="1:12" ht="18.75" x14ac:dyDescent="0.3">
      <c r="A511" s="430">
        <f>PR!A509</f>
        <v>459</v>
      </c>
      <c r="B511" s="15" t="str">
        <f>PR!B509</f>
        <v>FLUTICASONE PROPIONATE NASAL SPRAY</v>
      </c>
      <c r="C511" s="113" t="str">
        <f>PR!D509</f>
        <v>PCS</v>
      </c>
      <c r="D511" s="113">
        <f>PR!C509</f>
        <v>12</v>
      </c>
      <c r="E511" s="108">
        <f>IF(F511="ALPHA",PR!$E509,IF(F511="ASSENE",PR!$F509,IF(F511="BIOFEM",PR!$G509,IF(F511="BIOMED",PR!$H509,IF(F511="CHI",PR!$I509,IF(F511="CLARION",PR!$J509,IF(F511="CODIX",PR!$K509,IF(F511="COSMADE",PR!$L509,IF(F511="SANCON",PR!$M509,IF(F511="DEVON",PR!$N509,IF(F511="DORTEMAG",PR!$O509,IF(F511="DGF",PR!$P509,IF(F511="DYNAMIC",PR!$Q509,IF(F511="EMZOR",PR!$R509,IF(F511="EUMATT",PR!$S509,IF(F511="FIDSON",PR!$T509,IF(F511="FCGLOBAL",PR!$U509,IF(F511="GENEITH",PR!$V509,IF(F511="GINOS",PR!$W509,IF(F511="GSK",PR!$X509,IF(F511="GLOBORG",PR!$Y509,IF(F511="GOODNEWS",PR!$Z509,IF(F511="GREENLIFE",PR!$AA509,IF(F511="HLINE",PR!$AB509,IF(F511="ROTECH",PR!$AC509,IF(F511="ISN",PR!$AD509,IF(F511="JAWA",PR!$AE509,IF(F511="LAYO",PR!$AF509,IF(F511="LEADWAY",PR!$AG509,IF(F511="LHV",PR!$AH509,IF(F511="MANOLA",PR!$AI509,IF(F511="MARCSON",PR!$AJ509,IF(F511="M&amp;B",PR!$AK509,IF(F511="MTRUST",PR!$AL509,IF(F511="MWORLD",PR!$AM509,IF(F511="MEGA",PR!$AN509,IF(F511="MICRONOVA",PR!$AO509,IF(F511="MFLASH",PR!$AP509,IF(F511="MORISON",PR!$AQ509,IF(F511="NEMEL",PR!$AR509,IF(F511="NHP",PR!$AS509,IF(F511="NHC",PR!$AT509,IF(F511="OLEAF",PR!$AU509,IF(F511="OCULUS",PR!$AV509,IF(F511="PACIFIC",PR!$AW509,IF(F511="PHAMATEX",PR!$AX509,IF(F511="PETHICS",PR!$AY509,IF(F511="PHILIPS",PR!$AZ509,IF(F511="RANBAXY",PR!$BA509,IF(F511="REALS",PR!$BB509,IF(F511="ROYAL",PR!$BC509,IF(F511="SAM",PR!$BD509,IF(F511="SEAGREEN",PR!$BE509,IF(F511="SKG",PR!$BF509,IF(F511="TAH",PR!$BG509,IF(F511="TAYLEK",PR!$BH509,IF(F511="TEMITA",PR!$BI509,IF(F511="THL",PR!$BJ509,IF(F511="UBASTIC",PR!$BK509,IF(F511="UNION",PR!$BL509,IF(F511="UNIQUE",PR!$BM509,IF(F511="VIXA",PR!$BN509,IF(F511="WWCV",PR!$BO509,IF(F511="ZOLON",PR!$BP509,"-"))))))))))))))))))))))))))))))))))))))))))))))))))))))))))))))))</f>
        <v>1514.96</v>
      </c>
      <c r="F511" s="102" t="str">
        <f>EV!L643</f>
        <v>GSK</v>
      </c>
      <c r="G511" s="108">
        <f>IF(H511="ALPHA",PR!$E509,IF(H511="ASSENE",PR!$F509,IF(H511="BIOFEM",PR!$G509,IF(H511="BIOMED",PR!$H509,IF(H511="CHI",PR!$I509,IF(H511="CLARION",PR!$J509,IF(H511="CODIX",PR!$K509,IF(H511="COSMADE",PR!$L509,IF(H511="SANCON",PR!$M509,IF(H511="DEVON",PR!$N509,IF(H511="DORTEMAG",PR!$O509,IF(H511="DGF",PR!$P509,IF(H511="DYNAMIC",PR!$Q509,IF(H511="EMZOR",PR!$R509,IF(H511="EUMATT",PR!$S509,IF(H511="FIDSON",PR!$T509,IF(H511="FCGLOBAL",PR!$U509,IF(H511="GENEITH",PR!$V509,IF(H511="GINOS",PR!$W509,IF(H511="GSK",PR!$X509,IF(H511="GLOBORG",PR!$Y509,IF(H511="GOODNEWS",PR!$Z509,IF(H511="GREENLIFE",PR!$AA509,IF(H511="HLINE",PR!$AB509,IF(H511="ROTECH",PR!$AC509,IF(H511="ISN",PR!$AD509,IF(H511="JAWA",PR!$AE509,IF(H511="LAYO",PR!$AF509,IF(H511="LEADWAY",PR!$AG509,IF(H511="LHV",PR!$AH509,IF(H511="MANOLA",PR!$AI509,IF(H511="MARCSON",PR!$AJ509,IF(H511="M&amp;B",PR!$AK509,IF(H511="MTRUST",PR!$AL509,IF(H511="MWORLD",PR!$AM509,IF(H511="MEGA",PR!$AN509,IF(H511="MICRONOVA",PR!$AO509,IF(H511="MFLASH",PR!$AP509,IF(H511="MORISON",PR!$AQ509,IF(H511="NEMEL",PR!$AR509,IF(H511="NHP",PR!$AS509,IF(H511="NHC",PR!$AT509,IF(H511="OLEAF",PR!$AU509,IF(H511="OCULUS",PR!$AV509,IF(H511="PACIFIC",PR!$AW509,IF(H511="PHAMATEX",PR!$AX509,IF(H511="PETHICS",PR!$AY509,IF(H511="PHILIPS",PR!$AZ509,IF(H511="RANBAXY",PR!$BA509,IF(H511="REALS",PR!$BB509,IF(H511="ROYAL",PR!$BC509,IF(H511="SAM",PR!$BD509,IF(H511="SEAGREEN",PR!$BE509,IF(H511="SKG",PR!$BF509,IF(H511="TAH",PR!$BG509,IF(H511="TAYLEK",PR!$BH509,IF(H511="TEMITA",PR!$BI509,IF(H511="THL",PR!$BJ509,IF(H511="UBASTIC",PR!$BK509,IF(H511="UNION",PR!$BL509,IF(H511="UNIQUE",PR!$BM509,IF(H511="VIXA",PR!$BN509,IF(H511="WWCV",PR!$BO509,IF(H511="ZOLON",PR!$BP509,"-"))))))))))))))))))))))))))))))))))))))))))))))))))))))))))))))))</f>
        <v>1950</v>
      </c>
      <c r="H511" s="102" t="str">
        <f>EV!M643</f>
        <v>EUMATT</v>
      </c>
      <c r="I511" s="108" t="str">
        <f>IF(J511="ALPHA",PR!$E509,IF(J511="ASSENE",PR!$F509,IF(J511="BIOFEM",PR!$G509,IF(J511="BIOMED",PR!$H509,IF(J511="CHI",PR!$I509,IF(J511="CLARION",PR!$J509,IF(J511="CODIX",PR!$K509,IF(J511="COSMADE",PR!$L509,IF(J511="SANCON",PR!$M509,IF(J511="DEVON",PR!$N509,IF(J511="DORTEMAG",PR!$O509,IF(J511="DGF",PR!$P509,IF(J511="DYNAMIC",PR!$Q509,IF(J511="EMZOR",PR!$R509,IF(J511="EUMATT",PR!$S509,IF(J511="FIDSON",PR!$T509,IF(J511="FCGLOBAL",PR!$U509,IF(J511="GENEITH",PR!$V509,IF(J511="GINOS",PR!$W509,IF(J511="GSK",PR!$X509,IF(J511="GLOBORG",PR!$Y509,IF(J511="GOODNEWS",PR!$Z509,IF(J511="GREENLIFE",PR!$AA509,IF(J511="HLINE",PR!$AB509,IF(J511="ROTECH",PR!$AC509,IF(J511="ISN",PR!$AD509,IF(J511="JAWA",PR!$AE509,IF(J511="LAYO",PR!$AF509,IF(J511="LEADWAY",PR!$AG509,IF(J511="LHV",PR!$AH509,IF(J511="MANOLA",PR!$AI509,IF(J511="MARCSON",PR!$AJ509,IF(J511="M&amp;B",PR!$AK509,IF(J511="MTRUST",PR!$AL509,IF(J511="MWORLD",PR!$AM509,IF(J511="MEGA",PR!$AN509,IF(J511="MICRONOVA",PR!$AO509,IF(J511="MFLASH",PR!$AP509,IF(J511="MORISON",PR!$AQ509,IF(J511="NEMEL",PR!$AR509,IF(J511="NHP",PR!$AS509,IF(J511="NHC",PR!$AT509,IF(J511="OLEAF",PR!$AU509,IF(J511="OCULUS",PR!$AV509,IF(J511="PACIFIC",PR!$AW509,IF(J511="PHAMATEX",PR!$AX509,IF(J511="PETHICS",PR!$AY509,IF(J511="PHILIPS",PR!$AZ509,IF(J511="RANBAXY",PR!$BA509,IF(J511="REALS",PR!$BB509,IF(J511="ROYAL",PR!$BC509,IF(J511="SAM",PR!$BD509,IF(J511="SEAGREEN",PR!$BE509,IF(J511="SKG",PR!$BF509,IF(J511="TAH",PR!$BG509,IF(J511="TAYLEK",PR!$BH509,IF(J511="TEMITA",PR!$BI509,IF(J511="THL",PR!$BJ509,IF(J511="UBASTIC",PR!$BK509,IF(J511="UNION",PR!$BL509,IF(J511="UNIQUE",PR!$BM509,IF(J511="VIXA",PR!$BN509,IF(J511="WWCV",PR!$BO509,IF(J511="ZOLON",PR!$BP509,"-"))))))))))))))))))))))))))))))))))))))))))))))))))))))))))))))))</f>
        <v>-</v>
      </c>
      <c r="J511" s="102">
        <f>EV!N643</f>
        <v>0</v>
      </c>
      <c r="K511" s="433" t="s">
        <v>837</v>
      </c>
      <c r="L511" s="183">
        <f>IF(K511&gt;0,IF(K511="ALPHA",PR!$E509,IF(K511="ASSENE",PR!$F509,IF(K511="BIOFEM",PR!$G509,IF(K511="BIOMED",PR!$H509,IF(K511="CHI",PR!$I509,IF(K511="CLARION",PR!$J509,IF(K511="CODIX",PR!$K509,IF(K511="COSMADE",PR!$L509,IF(K511="SANCON",PR!$M509,IF(K511="DEVON",PR!$N509,IF(K511="DORTEMAG",PR!$O509,IF(K511="DGF",PR!$P509,IF(K511="DYNAMIC",PR!$Q509,IF(K511="EMZOR",PR!$R509,IF(K511="EUMATT",PR!$S509,IF(K511="FIDSON",PR!$T509,IF(K511="FCGLOBAL",PR!$U509,IF(K511="GENEITH",PR!$V509,IF(K511="GINOS",PR!$W509,IF(K511="GSK",PR!$X509,IF(K511="GLOBORG",PR!$Y509,IF(K511="GOODNEWS",PR!$Z509,IF(K511="GREENLIFE",PR!$AA509,IF(K511="HLINE",PR!$AB509,IF(K511="ROTECH",PR!$AC509,IF(K511="ISN",PR!$AD509,IF(K511="JAWA",PR!$AE509,IF(K511="LAYO",PR!$AF509,IF(K511="LEADWAY",PR!$AG509,IF(K511="LHV",PR!$AH509,IF(K511="MANOLA",PR!$AI509,IF(K511="MARCSON",PR!$AJ509,IF(K511="M&amp;B",PR!$AK509,IF(K511="MTRUST",PR!$AL509,IF(K511="MWORLD",PR!$AM509,IF(K511="MEGA",PR!$AN509,IF(K511="MICRONOVA",PR!$AO509,IF(K511="MFLASH",PR!$AP509,IF(K511="MORISON",PR!$AQ509,IF(K511="NEMEL",PR!$AR509,IF(K511="NHP",PR!$AS509,IF(K511="NHC",PR!$AT509,IF(K511="OLEAF",PR!$AU509,IF(K511="OCULUS",PR!$AV509,IF(K511="PACIFIC",PR!$AW509,IF(K511="PHAMATEX",PR!$AX509,IF(K511="PETHICS",PR!$AY509,IF(K511="PHILIPS",PR!$AZ509,IF(K511="RANBAXY",PR!$BA509,IF(K511="REALS",PR!$BB509,IF(K511="ROYAL",PR!$BC509,IF(K511="SAM",PR!$BD509,IF(K511="SEAGREEN",PR!$BE509,IF(K511="SKG",PR!$BF509,IF(K511="TAH",PR!$BG509,IF(K511="TAYLEK",PR!$BH509,IF(K511="TEMITA",PR!$BI509,IF(K511="THL",PR!$BJ509,IF(K511="UBASTIC",PR!$BK509,IF(K511="UNION",PR!$BL509,IF(K511="UNIQUE",PR!$BM509,IF(K511="VIXA",PR!$BN509,IF(K511="WWCV",PR!$BO509,IF(K511="ZOLON",PR!$BP509,"-")))))))))))))))))))))))))))))))))))))))))))))))))))))))))))))))))</f>
        <v>1514.96</v>
      </c>
    </row>
    <row r="512" spans="1:12" ht="18.75" x14ac:dyDescent="0.3">
      <c r="A512" s="430">
        <f>PR!A510</f>
        <v>460</v>
      </c>
      <c r="B512" s="15" t="str">
        <f>PR!B510</f>
        <v>FLUTICASONE/SALMETEROL (SERETIDE EVOHALER)</v>
      </c>
      <c r="C512" s="113" t="str">
        <f>PR!D510</f>
        <v>PCS</v>
      </c>
      <c r="D512" s="113">
        <f>PR!C510</f>
        <v>52</v>
      </c>
      <c r="E512" s="108">
        <f>IF(F512="ALPHA",PR!$E510,IF(F512="ASSENE",PR!$F510,IF(F512="BIOFEM",PR!$G510,IF(F512="BIOMED",PR!$H510,IF(F512="CHI",PR!$I510,IF(F512="CLARION",PR!$J510,IF(F512="CODIX",PR!$K510,IF(F512="COSMADE",PR!$L510,IF(F512="SANCON",PR!$M510,IF(F512="DEVON",PR!$N510,IF(F512="DORTEMAG",PR!$O510,IF(F512="DGF",PR!$P510,IF(F512="DYNAMIC",PR!$Q510,IF(F512="EMZOR",PR!$R510,IF(F512="EUMATT",PR!$S510,IF(F512="FIDSON",PR!$T510,IF(F512="FCGLOBAL",PR!$U510,IF(F512="GENEITH",PR!$V510,IF(F512="GINOS",PR!$W510,IF(F512="GSK",PR!$X510,IF(F512="GLOBORG",PR!$Y510,IF(F512="GOODNEWS",PR!$Z510,IF(F512="GREENLIFE",PR!$AA510,IF(F512="HLINE",PR!$AB510,IF(F512="ROTECH",PR!$AC510,IF(F512="ISN",PR!$AD510,IF(F512="JAWA",PR!$AE510,IF(F512="LAYO",PR!$AF510,IF(F512="LEADWAY",PR!$AG510,IF(F512="LHV",PR!$AH510,IF(F512="MANOLA",PR!$AI510,IF(F512="MARCSON",PR!$AJ510,IF(F512="M&amp;B",PR!$AK510,IF(F512="MTRUST",PR!$AL510,IF(F512="MWORLD",PR!$AM510,IF(F512="MEGA",PR!$AN510,IF(F512="MICRONOVA",PR!$AO510,IF(F512="MFLASH",PR!$AP510,IF(F512="MORISON",PR!$AQ510,IF(F512="NEMEL",PR!$AR510,IF(F512="NHP",PR!$AS510,IF(F512="NHC",PR!$AT510,IF(F512="OLEAF",PR!$AU510,IF(F512="OCULUS",PR!$AV510,IF(F512="PACIFIC",PR!$AW510,IF(F512="PHAMATEX",PR!$AX510,IF(F512="PETHICS",PR!$AY510,IF(F512="PHILIPS",PR!$AZ510,IF(F512="RANBAXY",PR!$BA510,IF(F512="REALS",PR!$BB510,IF(F512="ROYAL",PR!$BC510,IF(F512="SAM",PR!$BD510,IF(F512="SEAGREEN",PR!$BE510,IF(F512="SKG",PR!$BF510,IF(F512="TAH",PR!$BG510,IF(F512="TAYLEK",PR!$BH510,IF(F512="TEMITA",PR!$BI510,IF(F512="THL",PR!$BJ510,IF(F512="UBASTIC",PR!$BK510,IF(F512="UNION",PR!$BL510,IF(F512="UNIQUE",PR!$BM510,IF(F512="VIXA",PR!$BN510,IF(F512="WWCV",PR!$BO510,IF(F512="ZOLON",PR!$BP510,"-"))))))))))))))))))))))))))))))))))))))))))))))))))))))))))))))))</f>
        <v>1271</v>
      </c>
      <c r="F512" s="102" t="str">
        <f>EV!L644</f>
        <v>WWCV</v>
      </c>
      <c r="G512" s="108">
        <f>IF(H512="ALPHA",PR!$E510,IF(H512="ASSENE",PR!$F510,IF(H512="BIOFEM",PR!$G510,IF(H512="BIOMED",PR!$H510,IF(H512="CHI",PR!$I510,IF(H512="CLARION",PR!$J510,IF(H512="CODIX",PR!$K510,IF(H512="COSMADE",PR!$L510,IF(H512="SANCON",PR!$M510,IF(H512="DEVON",PR!$N510,IF(H512="DORTEMAG",PR!$O510,IF(H512="DGF",PR!$P510,IF(H512="DYNAMIC",PR!$Q510,IF(H512="EMZOR",PR!$R510,IF(H512="EUMATT",PR!$S510,IF(H512="FIDSON",PR!$T510,IF(H512="FCGLOBAL",PR!$U510,IF(H512="GENEITH",PR!$V510,IF(H512="GINOS",PR!$W510,IF(H512="GSK",PR!$X510,IF(H512="GLOBORG",PR!$Y510,IF(H512="GOODNEWS",PR!$Z510,IF(H512="GREENLIFE",PR!$AA510,IF(H512="HLINE",PR!$AB510,IF(H512="ROTECH",PR!$AC510,IF(H512="ISN",PR!$AD510,IF(H512="JAWA",PR!$AE510,IF(H512="LAYO",PR!$AF510,IF(H512="LEADWAY",PR!$AG510,IF(H512="LHV",PR!$AH510,IF(H512="MANOLA",PR!$AI510,IF(H512="MARCSON",PR!$AJ510,IF(H512="M&amp;B",PR!$AK510,IF(H512="MTRUST",PR!$AL510,IF(H512="MWORLD",PR!$AM510,IF(H512="MEGA",PR!$AN510,IF(H512="MICRONOVA",PR!$AO510,IF(H512="MFLASH",PR!$AP510,IF(H512="MORISON",PR!$AQ510,IF(H512="NEMEL",PR!$AR510,IF(H512="NHP",PR!$AS510,IF(H512="NHC",PR!$AT510,IF(H512="OLEAF",PR!$AU510,IF(H512="OCULUS",PR!$AV510,IF(H512="PACIFIC",PR!$AW510,IF(H512="PHAMATEX",PR!$AX510,IF(H512="PETHICS",PR!$AY510,IF(H512="PHILIPS",PR!$AZ510,IF(H512="RANBAXY",PR!$BA510,IF(H512="REALS",PR!$BB510,IF(H512="ROYAL",PR!$BC510,IF(H512="SAM",PR!$BD510,IF(H512="SEAGREEN",PR!$BE510,IF(H512="SKG",PR!$BF510,IF(H512="TAH",PR!$BG510,IF(H512="TAYLEK",PR!$BH510,IF(H512="TEMITA",PR!$BI510,IF(H512="THL",PR!$BJ510,IF(H512="UBASTIC",PR!$BK510,IF(H512="UNION",PR!$BL510,IF(H512="UNIQUE",PR!$BM510,IF(H512="VIXA",PR!$BN510,IF(H512="WWCV",PR!$BO510,IF(H512="ZOLON",PR!$BP510,"-"))))))))))))))))))))))))))))))))))))))))))))))))))))))))))))))))</f>
        <v>1415.2</v>
      </c>
      <c r="H512" s="102" t="str">
        <f>EV!M644</f>
        <v>GSK</v>
      </c>
      <c r="I512" s="108" t="str">
        <f>IF(J512="ALPHA",PR!$E510,IF(J512="ASSENE",PR!$F510,IF(J512="BIOFEM",PR!$G510,IF(J512="BIOMED",PR!$H510,IF(J512="CHI",PR!$I510,IF(J512="CLARION",PR!$J510,IF(J512="CODIX",PR!$K510,IF(J512="COSMADE",PR!$L510,IF(J512="SANCON",PR!$M510,IF(J512="DEVON",PR!$N510,IF(J512="DORTEMAG",PR!$O510,IF(J512="DGF",PR!$P510,IF(J512="DYNAMIC",PR!$Q510,IF(J512="EMZOR",PR!$R510,IF(J512="EUMATT",PR!$S510,IF(J512="FIDSON",PR!$T510,IF(J512="FCGLOBAL",PR!$U510,IF(J512="GENEITH",PR!$V510,IF(J512="GINOS",PR!$W510,IF(J512="GSK",PR!$X510,IF(J512="GLOBORG",PR!$Y510,IF(J512="GOODNEWS",PR!$Z510,IF(J512="GREENLIFE",PR!$AA510,IF(J512="HLINE",PR!$AB510,IF(J512="ROTECH",PR!$AC510,IF(J512="ISN",PR!$AD510,IF(J512="JAWA",PR!$AE510,IF(J512="LAYO",PR!$AF510,IF(J512="LEADWAY",PR!$AG510,IF(J512="LHV",PR!$AH510,IF(J512="MANOLA",PR!$AI510,IF(J512="MARCSON",PR!$AJ510,IF(J512="M&amp;B",PR!$AK510,IF(J512="MTRUST",PR!$AL510,IF(J512="MWORLD",PR!$AM510,IF(J512="MEGA",PR!$AN510,IF(J512="MICRONOVA",PR!$AO510,IF(J512="MFLASH",PR!$AP510,IF(J512="MORISON",PR!$AQ510,IF(J512="NEMEL",PR!$AR510,IF(J512="NHP",PR!$AS510,IF(J512="NHC",PR!$AT510,IF(J512="OLEAF",PR!$AU510,IF(J512="OCULUS",PR!$AV510,IF(J512="PACIFIC",PR!$AW510,IF(J512="PHAMATEX",PR!$AX510,IF(J512="PETHICS",PR!$AY510,IF(J512="PHILIPS",PR!$AZ510,IF(J512="RANBAXY",PR!$BA510,IF(J512="REALS",PR!$BB510,IF(J512="ROYAL",PR!$BC510,IF(J512="SAM",PR!$BD510,IF(J512="SEAGREEN",PR!$BE510,IF(J512="SKG",PR!$BF510,IF(J512="TAH",PR!$BG510,IF(J512="TAYLEK",PR!$BH510,IF(J512="TEMITA",PR!$BI510,IF(J512="THL",PR!$BJ510,IF(J512="UBASTIC",PR!$BK510,IF(J512="UNION",PR!$BL510,IF(J512="UNIQUE",PR!$BM510,IF(J512="VIXA",PR!$BN510,IF(J512="WWCV",PR!$BO510,IF(J512="ZOLON",PR!$BP510,"-"))))))))))))))))))))))))))))))))))))))))))))))))))))))))))))))))</f>
        <v>-</v>
      </c>
      <c r="J512" s="102">
        <f>EV!N644</f>
        <v>0</v>
      </c>
      <c r="K512" s="433" t="s">
        <v>837</v>
      </c>
      <c r="L512" s="183">
        <f>IF(K512&gt;0,IF(K512="ALPHA",PR!$E510,IF(K512="ASSENE",PR!$F510,IF(K512="BIOFEM",PR!$G510,IF(K512="BIOMED",PR!$H510,IF(K512="CHI",PR!$I510,IF(K512="CLARION",PR!$J510,IF(K512="CODIX",PR!$K510,IF(K512="COSMADE",PR!$L510,IF(K512="SANCON",PR!$M510,IF(K512="DEVON",PR!$N510,IF(K512="DORTEMAG",PR!$O510,IF(K512="DGF",PR!$P510,IF(K512="DYNAMIC",PR!$Q510,IF(K512="EMZOR",PR!$R510,IF(K512="EUMATT",PR!$S510,IF(K512="FIDSON",PR!$T510,IF(K512="FCGLOBAL",PR!$U510,IF(K512="GENEITH",PR!$V510,IF(K512="GINOS",PR!$W510,IF(K512="GSK",PR!$X510,IF(K512="GLOBORG",PR!$Y510,IF(K512="GOODNEWS",PR!$Z510,IF(K512="GREENLIFE",PR!$AA510,IF(K512="HLINE",PR!$AB510,IF(K512="ROTECH",PR!$AC510,IF(K512="ISN",PR!$AD510,IF(K512="JAWA",PR!$AE510,IF(K512="LAYO",PR!$AF510,IF(K512="LEADWAY",PR!$AG510,IF(K512="LHV",PR!$AH510,IF(K512="MANOLA",PR!$AI510,IF(K512="MARCSON",PR!$AJ510,IF(K512="M&amp;B",PR!$AK510,IF(K512="MTRUST",PR!$AL510,IF(K512="MWORLD",PR!$AM510,IF(K512="MEGA",PR!$AN510,IF(K512="MICRONOVA",PR!$AO510,IF(K512="MFLASH",PR!$AP510,IF(K512="MORISON",PR!$AQ510,IF(K512="NEMEL",PR!$AR510,IF(K512="NHP",PR!$AS510,IF(K512="NHC",PR!$AT510,IF(K512="OLEAF",PR!$AU510,IF(K512="OCULUS",PR!$AV510,IF(K512="PACIFIC",PR!$AW510,IF(K512="PHAMATEX",PR!$AX510,IF(K512="PETHICS",PR!$AY510,IF(K512="PHILIPS",PR!$AZ510,IF(K512="RANBAXY",PR!$BA510,IF(K512="REALS",PR!$BB510,IF(K512="ROYAL",PR!$BC510,IF(K512="SAM",PR!$BD510,IF(K512="SEAGREEN",PR!$BE510,IF(K512="SKG",PR!$BF510,IF(K512="TAH",PR!$BG510,IF(K512="TAYLEK",PR!$BH510,IF(K512="TEMITA",PR!$BI510,IF(K512="THL",PR!$BJ510,IF(K512="UBASTIC",PR!$BK510,IF(K512="UNION",PR!$BL510,IF(K512="UNIQUE",PR!$BM510,IF(K512="VIXA",PR!$BN510,IF(K512="WWCV",PR!$BO510,IF(K512="ZOLON",PR!$BP510,"-")))))))))))))))))))))))))))))))))))))))))))))))))))))))))))))))))</f>
        <v>1415.2</v>
      </c>
    </row>
    <row r="513" spans="1:12" ht="18.75" x14ac:dyDescent="0.3">
      <c r="A513" s="430">
        <f>PR!A511</f>
        <v>461</v>
      </c>
      <c r="B513" s="15" t="str">
        <f>PR!B511</f>
        <v>FLUTICASONE+SALMETEROL (ADULT)</v>
      </c>
      <c r="C513" s="113" t="str">
        <f>PR!D511</f>
        <v>PCS</v>
      </c>
      <c r="D513" s="113">
        <f>PR!C511</f>
        <v>60</v>
      </c>
      <c r="E513" s="108">
        <f>IF(F513="ALPHA",PR!$E511,IF(F513="ASSENE",PR!$F511,IF(F513="BIOFEM",PR!$G511,IF(F513="BIOMED",PR!$H511,IF(F513="CHI",PR!$I511,IF(F513="CLARION",PR!$J511,IF(F513="CODIX",PR!$K511,IF(F513="COSMADE",PR!$L511,IF(F513="SANCON",PR!$M511,IF(F513="DEVON",PR!$N511,IF(F513="DORTEMAG",PR!$O511,IF(F513="DGF",PR!$P511,IF(F513="DYNAMIC",PR!$Q511,IF(F513="EMZOR",PR!$R511,IF(F513="EUMATT",PR!$S511,IF(F513="FIDSON",PR!$T511,IF(F513="FCGLOBAL",PR!$U511,IF(F513="GENEITH",PR!$V511,IF(F513="GINOS",PR!$W511,IF(F513="GSK",PR!$X511,IF(F513="GLOBORG",PR!$Y511,IF(F513="GOODNEWS",PR!$Z511,IF(F513="GREENLIFE",PR!$AA511,IF(F513="HLINE",PR!$AB511,IF(F513="ROTECH",PR!$AC511,IF(F513="ISN",PR!$AD511,IF(F513="JAWA",PR!$AE511,IF(F513="LAYO",PR!$AF511,IF(F513="LEADWAY",PR!$AG511,IF(F513="LHV",PR!$AH511,IF(F513="MANOLA",PR!$AI511,IF(F513="MARCSON",PR!$AJ511,IF(F513="M&amp;B",PR!$AK511,IF(F513="MTRUST",PR!$AL511,IF(F513="MWORLD",PR!$AM511,IF(F513="MEGA",PR!$AN511,IF(F513="MICRONOVA",PR!$AO511,IF(F513="MFLASH",PR!$AP511,IF(F513="MORISON",PR!$AQ511,IF(F513="NEMEL",PR!$AR511,IF(F513="NHP",PR!$AS511,IF(F513="NHC",PR!$AT511,IF(F513="OLEAF",PR!$AU511,IF(F513="OCULUS",PR!$AV511,IF(F513="PACIFIC",PR!$AW511,IF(F513="PHAMATEX",PR!$AX511,IF(F513="PETHICS",PR!$AY511,IF(F513="PHILIPS",PR!$AZ511,IF(F513="RANBAXY",PR!$BA511,IF(F513="REALS",PR!$BB511,IF(F513="ROYAL",PR!$BC511,IF(F513="SAM",PR!$BD511,IF(F513="SEAGREEN",PR!$BE511,IF(F513="SKG",PR!$BF511,IF(F513="TAH",PR!$BG511,IF(F513="TAYLEK",PR!$BH511,IF(F513="TEMITA",PR!$BI511,IF(F513="THL",PR!$BJ511,IF(F513="UBASTIC",PR!$BK511,IF(F513="UNION",PR!$BL511,IF(F513="UNIQUE",PR!$BM511,IF(F513="VIXA",PR!$BN511,IF(F513="WWCV",PR!$BO511,IF(F513="ZOLON",PR!$BP511,"-"))))))))))))))))))))))))))))))))))))))))))))))))))))))))))))))))</f>
        <v>3542.64</v>
      </c>
      <c r="F513" s="102" t="str">
        <f>EV!L645</f>
        <v>GSK</v>
      </c>
      <c r="G513" s="108">
        <f>IF(H513="ALPHA",PR!$E511,IF(H513="ASSENE",PR!$F511,IF(H513="BIOFEM",PR!$G511,IF(H513="BIOMED",PR!$H511,IF(H513="CHI",PR!$I511,IF(H513="CLARION",PR!$J511,IF(H513="CODIX",PR!$K511,IF(H513="COSMADE",PR!$L511,IF(H513="SANCON",PR!$M511,IF(H513="DEVON",PR!$N511,IF(H513="DORTEMAG",PR!$O511,IF(H513="DGF",PR!$P511,IF(H513="DYNAMIC",PR!$Q511,IF(H513="EMZOR",PR!$R511,IF(H513="EUMATT",PR!$S511,IF(H513="FIDSON",PR!$T511,IF(H513="FCGLOBAL",PR!$U511,IF(H513="GENEITH",PR!$V511,IF(H513="GINOS",PR!$W511,IF(H513="GSK",PR!$X511,IF(H513="GLOBORG",PR!$Y511,IF(H513="GOODNEWS",PR!$Z511,IF(H513="GREENLIFE",PR!$AA511,IF(H513="HLINE",PR!$AB511,IF(H513="ROTECH",PR!$AC511,IF(H513="ISN",PR!$AD511,IF(H513="JAWA",PR!$AE511,IF(H513="LAYO",PR!$AF511,IF(H513="LEADWAY",PR!$AG511,IF(H513="LHV",PR!$AH511,IF(H513="MANOLA",PR!$AI511,IF(H513="MARCSON",PR!$AJ511,IF(H513="M&amp;B",PR!$AK511,IF(H513="MTRUST",PR!$AL511,IF(H513="MWORLD",PR!$AM511,IF(H513="MEGA",PR!$AN511,IF(H513="MICRONOVA",PR!$AO511,IF(H513="MFLASH",PR!$AP511,IF(H513="MORISON",PR!$AQ511,IF(H513="NEMEL",PR!$AR511,IF(H513="NHP",PR!$AS511,IF(H513="NHC",PR!$AT511,IF(H513="OLEAF",PR!$AU511,IF(H513="OCULUS",PR!$AV511,IF(H513="PACIFIC",PR!$AW511,IF(H513="PHAMATEX",PR!$AX511,IF(H513="PETHICS",PR!$AY511,IF(H513="PHILIPS",PR!$AZ511,IF(H513="RANBAXY",PR!$BA511,IF(H513="REALS",PR!$BB511,IF(H513="ROYAL",PR!$BC511,IF(H513="SAM",PR!$BD511,IF(H513="SEAGREEN",PR!$BE511,IF(H513="SKG",PR!$BF511,IF(H513="TAH",PR!$BG511,IF(H513="TAYLEK",PR!$BH511,IF(H513="TEMITA",PR!$BI511,IF(H513="THL",PR!$BJ511,IF(H513="UBASTIC",PR!$BK511,IF(H513="UNION",PR!$BL511,IF(H513="UNIQUE",PR!$BM511,IF(H513="VIXA",PR!$BN511,IF(H513="WWCV",PR!$BO511,IF(H513="ZOLON",PR!$BP511,"-"))))))))))))))))))))))))))))))))))))))))))))))))))))))))))))))))</f>
        <v>3695</v>
      </c>
      <c r="H513" s="102" t="str">
        <f>EV!M645</f>
        <v>WWCV</v>
      </c>
      <c r="I513" s="108" t="str">
        <f>IF(J513="ALPHA",PR!$E511,IF(J513="ASSENE",PR!$F511,IF(J513="BIOFEM",PR!$G511,IF(J513="BIOMED",PR!$H511,IF(J513="CHI",PR!$I511,IF(J513="CLARION",PR!$J511,IF(J513="CODIX",PR!$K511,IF(J513="COSMADE",PR!$L511,IF(J513="SANCON",PR!$M511,IF(J513="DEVON",PR!$N511,IF(J513="DORTEMAG",PR!$O511,IF(J513="DGF",PR!$P511,IF(J513="DYNAMIC",PR!$Q511,IF(J513="EMZOR",PR!$R511,IF(J513="EUMATT",PR!$S511,IF(J513="FIDSON",PR!$T511,IF(J513="FCGLOBAL",PR!$U511,IF(J513="GENEITH",PR!$V511,IF(J513="GINOS",PR!$W511,IF(J513="GSK",PR!$X511,IF(J513="GLOBORG",PR!$Y511,IF(J513="GOODNEWS",PR!$Z511,IF(J513="GREENLIFE",PR!$AA511,IF(J513="HLINE",PR!$AB511,IF(J513="ROTECH",PR!$AC511,IF(J513="ISN",PR!$AD511,IF(J513="JAWA",PR!$AE511,IF(J513="LAYO",PR!$AF511,IF(J513="LEADWAY",PR!$AG511,IF(J513="LHV",PR!$AH511,IF(J513="MANOLA",PR!$AI511,IF(J513="MARCSON",PR!$AJ511,IF(J513="M&amp;B",PR!$AK511,IF(J513="MTRUST",PR!$AL511,IF(J513="MWORLD",PR!$AM511,IF(J513="MEGA",PR!$AN511,IF(J513="MICRONOVA",PR!$AO511,IF(J513="MFLASH",PR!$AP511,IF(J513="MORISON",PR!$AQ511,IF(J513="NEMEL",PR!$AR511,IF(J513="NHP",PR!$AS511,IF(J513="NHC",PR!$AT511,IF(J513="OLEAF",PR!$AU511,IF(J513="OCULUS",PR!$AV511,IF(J513="PACIFIC",PR!$AW511,IF(J513="PHAMATEX",PR!$AX511,IF(J513="PETHICS",PR!$AY511,IF(J513="PHILIPS",PR!$AZ511,IF(J513="RANBAXY",PR!$BA511,IF(J513="REALS",PR!$BB511,IF(J513="ROYAL",PR!$BC511,IF(J513="SAM",PR!$BD511,IF(J513="SEAGREEN",PR!$BE511,IF(J513="SKG",PR!$BF511,IF(J513="TAH",PR!$BG511,IF(J513="TAYLEK",PR!$BH511,IF(J513="TEMITA",PR!$BI511,IF(J513="THL",PR!$BJ511,IF(J513="UBASTIC",PR!$BK511,IF(J513="UNION",PR!$BL511,IF(J513="UNIQUE",PR!$BM511,IF(J513="VIXA",PR!$BN511,IF(J513="WWCV",PR!$BO511,IF(J513="ZOLON",PR!$BP511,"-"))))))))))))))))))))))))))))))))))))))))))))))))))))))))))))))))</f>
        <v>-</v>
      </c>
      <c r="J513" s="102">
        <f>EV!N645</f>
        <v>0</v>
      </c>
      <c r="K513" s="433" t="s">
        <v>837</v>
      </c>
      <c r="L513" s="183">
        <f>IF(K513&gt;0,IF(K513="ALPHA",PR!$E511,IF(K513="ASSENE",PR!$F511,IF(K513="BIOFEM",PR!$G511,IF(K513="BIOMED",PR!$H511,IF(K513="CHI",PR!$I511,IF(K513="CLARION",PR!$J511,IF(K513="CODIX",PR!$K511,IF(K513="COSMADE",PR!$L511,IF(K513="SANCON",PR!$M511,IF(K513="DEVON",PR!$N511,IF(K513="DORTEMAG",PR!$O511,IF(K513="DGF",PR!$P511,IF(K513="DYNAMIC",PR!$Q511,IF(K513="EMZOR",PR!$R511,IF(K513="EUMATT",PR!$S511,IF(K513="FIDSON",PR!$T511,IF(K513="FCGLOBAL",PR!$U511,IF(K513="GENEITH",PR!$V511,IF(K513="GINOS",PR!$W511,IF(K513="GSK",PR!$X511,IF(K513="GLOBORG",PR!$Y511,IF(K513="GOODNEWS",PR!$Z511,IF(K513="GREENLIFE",PR!$AA511,IF(K513="HLINE",PR!$AB511,IF(K513="ROTECH",PR!$AC511,IF(K513="ISN",PR!$AD511,IF(K513="JAWA",PR!$AE511,IF(K513="LAYO",PR!$AF511,IF(K513="LEADWAY",PR!$AG511,IF(K513="LHV",PR!$AH511,IF(K513="MANOLA",PR!$AI511,IF(K513="MARCSON",PR!$AJ511,IF(K513="M&amp;B",PR!$AK511,IF(K513="MTRUST",PR!$AL511,IF(K513="MWORLD",PR!$AM511,IF(K513="MEGA",PR!$AN511,IF(K513="MICRONOVA",PR!$AO511,IF(K513="MFLASH",PR!$AP511,IF(K513="MORISON",PR!$AQ511,IF(K513="NEMEL",PR!$AR511,IF(K513="NHP",PR!$AS511,IF(K513="NHC",PR!$AT511,IF(K513="OLEAF",PR!$AU511,IF(K513="OCULUS",PR!$AV511,IF(K513="PACIFIC",PR!$AW511,IF(K513="PHAMATEX",PR!$AX511,IF(K513="PETHICS",PR!$AY511,IF(K513="PHILIPS",PR!$AZ511,IF(K513="RANBAXY",PR!$BA511,IF(K513="REALS",PR!$BB511,IF(K513="ROYAL",PR!$BC511,IF(K513="SAM",PR!$BD511,IF(K513="SEAGREEN",PR!$BE511,IF(K513="SKG",PR!$BF511,IF(K513="TAH",PR!$BG511,IF(K513="TAYLEK",PR!$BH511,IF(K513="TEMITA",PR!$BI511,IF(K513="THL",PR!$BJ511,IF(K513="UBASTIC",PR!$BK511,IF(K513="UNION",PR!$BL511,IF(K513="UNIQUE",PR!$BM511,IF(K513="VIXA",PR!$BN511,IF(K513="WWCV",PR!$BO511,IF(K513="ZOLON",PR!$BP511,"-")))))))))))))))))))))))))))))))))))))))))))))))))))))))))))))))))</f>
        <v>3542.64</v>
      </c>
    </row>
    <row r="514" spans="1:12" ht="18.75" x14ac:dyDescent="0.3">
      <c r="A514" s="430">
        <f>PR!A512</f>
        <v>462</v>
      </c>
      <c r="B514" s="15" t="str">
        <f>PR!B512</f>
        <v>FLUTICASONE+SALMETEROL (PAED)</v>
      </c>
      <c r="C514" s="113" t="str">
        <f>PR!D512</f>
        <v>PCS</v>
      </c>
      <c r="D514" s="113">
        <f>PR!C512</f>
        <v>10</v>
      </c>
      <c r="E514" s="108">
        <f>IF(F514="ALPHA",PR!$E512,IF(F514="ASSENE",PR!$F512,IF(F514="BIOFEM",PR!$G512,IF(F514="BIOMED",PR!$H512,IF(F514="CHI",PR!$I512,IF(F514="CLARION",PR!$J512,IF(F514="CODIX",PR!$K512,IF(F514="COSMADE",PR!$L512,IF(F514="SANCON",PR!$M512,IF(F514="DEVON",PR!$N512,IF(F514="DORTEMAG",PR!$O512,IF(F514="DGF",PR!$P512,IF(F514="DYNAMIC",PR!$Q512,IF(F514="EMZOR",PR!$R512,IF(F514="EUMATT",PR!$S512,IF(F514="FIDSON",PR!$T512,IF(F514="FCGLOBAL",PR!$U512,IF(F514="GENEITH",PR!$V512,IF(F514="GINOS",PR!$W512,IF(F514="GSK",PR!$X512,IF(F514="GLOBORG",PR!$Y512,IF(F514="GOODNEWS",PR!$Z512,IF(F514="GREENLIFE",PR!$AA512,IF(F514="HLINE",PR!$AB512,IF(F514="ROTECH",PR!$AC512,IF(F514="ISN",PR!$AD512,IF(F514="JAWA",PR!$AE512,IF(F514="LAYO",PR!$AF512,IF(F514="LEADWAY",PR!$AG512,IF(F514="LHV",PR!$AH512,IF(F514="MANOLA",PR!$AI512,IF(F514="MARCSON",PR!$AJ512,IF(F514="M&amp;B",PR!$AK512,IF(F514="MTRUST",PR!$AL512,IF(F514="MWORLD",PR!$AM512,IF(F514="MEGA",PR!$AN512,IF(F514="MICRONOVA",PR!$AO512,IF(F514="MFLASH",PR!$AP512,IF(F514="MORISON",PR!$AQ512,IF(F514="NEMEL",PR!$AR512,IF(F514="NHP",PR!$AS512,IF(F514="NHC",PR!$AT512,IF(F514="OLEAF",PR!$AU512,IF(F514="OCULUS",PR!$AV512,IF(F514="PACIFIC",PR!$AW512,IF(F514="PHAMATEX",PR!$AX512,IF(F514="PETHICS",PR!$AY512,IF(F514="PHILIPS",PR!$AZ512,IF(F514="RANBAXY",PR!$BA512,IF(F514="REALS",PR!$BB512,IF(F514="ROYAL",PR!$BC512,IF(F514="SAM",PR!$BD512,IF(F514="SEAGREEN",PR!$BE512,IF(F514="SKG",PR!$BF512,IF(F514="TAH",PR!$BG512,IF(F514="TAYLEK",PR!$BH512,IF(F514="TEMITA",PR!$BI512,IF(F514="THL",PR!$BJ512,IF(F514="UBASTIC",PR!$BK512,IF(F514="UNION",PR!$BL512,IF(F514="UNIQUE",PR!$BM512,IF(F514="VIXA",PR!$BN512,IF(F514="WWCV",PR!$BO512,IF(F514="ZOLON",PR!$BP512,"-"))))))))))))))))))))))))))))))))))))))))))))))))))))))))))))))))</f>
        <v>1218</v>
      </c>
      <c r="F514" s="102" t="str">
        <f>EV!L646</f>
        <v>GSK</v>
      </c>
      <c r="G514" s="108">
        <f>IF(H514="ALPHA",PR!$E512,IF(H514="ASSENE",PR!$F512,IF(H514="BIOFEM",PR!$G512,IF(H514="BIOMED",PR!$H512,IF(H514="CHI",PR!$I512,IF(H514="CLARION",PR!$J512,IF(H514="CODIX",PR!$K512,IF(H514="COSMADE",PR!$L512,IF(H514="SANCON",PR!$M512,IF(H514="DEVON",PR!$N512,IF(H514="DORTEMAG",PR!$O512,IF(H514="DGF",PR!$P512,IF(H514="DYNAMIC",PR!$Q512,IF(H514="EMZOR",PR!$R512,IF(H514="EUMATT",PR!$S512,IF(H514="FIDSON",PR!$T512,IF(H514="FCGLOBAL",PR!$U512,IF(H514="GENEITH",PR!$V512,IF(H514="GINOS",PR!$W512,IF(H514="GSK",PR!$X512,IF(H514="GLOBORG",PR!$Y512,IF(H514="GOODNEWS",PR!$Z512,IF(H514="GREENLIFE",PR!$AA512,IF(H514="HLINE",PR!$AB512,IF(H514="ROTECH",PR!$AC512,IF(H514="ISN",PR!$AD512,IF(H514="JAWA",PR!$AE512,IF(H514="LAYO",PR!$AF512,IF(H514="LEADWAY",PR!$AG512,IF(H514="LHV",PR!$AH512,IF(H514="MANOLA",PR!$AI512,IF(H514="MARCSON",PR!$AJ512,IF(H514="M&amp;B",PR!$AK512,IF(H514="MTRUST",PR!$AL512,IF(H514="MWORLD",PR!$AM512,IF(H514="MEGA",PR!$AN512,IF(H514="MICRONOVA",PR!$AO512,IF(H514="MFLASH",PR!$AP512,IF(H514="MORISON",PR!$AQ512,IF(H514="NEMEL",PR!$AR512,IF(H514="NHP",PR!$AS512,IF(H514="NHC",PR!$AT512,IF(H514="OLEAF",PR!$AU512,IF(H514="OCULUS",PR!$AV512,IF(H514="PACIFIC",PR!$AW512,IF(H514="PHAMATEX",PR!$AX512,IF(H514="PETHICS",PR!$AY512,IF(H514="PHILIPS",PR!$AZ512,IF(H514="RANBAXY",PR!$BA512,IF(H514="REALS",PR!$BB512,IF(H514="ROYAL",PR!$BC512,IF(H514="SAM",PR!$BD512,IF(H514="SEAGREEN",PR!$BE512,IF(H514="SKG",PR!$BF512,IF(H514="TAH",PR!$BG512,IF(H514="TAYLEK",PR!$BH512,IF(H514="TEMITA",PR!$BI512,IF(H514="THL",PR!$BJ512,IF(H514="UBASTIC",PR!$BK512,IF(H514="UNION",PR!$BL512,IF(H514="UNIQUE",PR!$BM512,IF(H514="VIXA",PR!$BN512,IF(H514="WWCV",PR!$BO512,IF(H514="ZOLON",PR!$BP512,"-"))))))))))))))))))))))))))))))))))))))))))))))))))))))))))))))))</f>
        <v>3096</v>
      </c>
      <c r="H514" s="102" t="str">
        <f>EV!M646</f>
        <v>WWCV</v>
      </c>
      <c r="I514" s="108">
        <f>IF(J514="ALPHA",PR!$E512,IF(J514="ASSENE",PR!$F512,IF(J514="BIOFEM",PR!$G512,IF(J514="BIOMED",PR!$H512,IF(J514="CHI",PR!$I512,IF(J514="CLARION",PR!$J512,IF(J514="CODIX",PR!$K512,IF(J514="COSMADE",PR!$L512,IF(J514="SANCON",PR!$M512,IF(J514="DEVON",PR!$N512,IF(J514="DORTEMAG",PR!$O512,IF(J514="DGF",PR!$P512,IF(J514="DYNAMIC",PR!$Q512,IF(J514="EMZOR",PR!$R512,IF(J514="EUMATT",PR!$S512,IF(J514="FIDSON",PR!$T512,IF(J514="FCGLOBAL",PR!$U512,IF(J514="GENEITH",PR!$V512,IF(J514="GINOS",PR!$W512,IF(J514="GSK",PR!$X512,IF(J514="GLOBORG",PR!$Y512,IF(J514="GOODNEWS",PR!$Z512,IF(J514="GREENLIFE",PR!$AA512,IF(J514="HLINE",PR!$AB512,IF(J514="ROTECH",PR!$AC512,IF(J514="ISN",PR!$AD512,IF(J514="JAWA",PR!$AE512,IF(J514="LAYO",PR!$AF512,IF(J514="LEADWAY",PR!$AG512,IF(J514="LHV",PR!$AH512,IF(J514="MANOLA",PR!$AI512,IF(J514="MARCSON",PR!$AJ512,IF(J514="M&amp;B",PR!$AK512,IF(J514="MTRUST",PR!$AL512,IF(J514="MWORLD",PR!$AM512,IF(J514="MEGA",PR!$AN512,IF(J514="MICRONOVA",PR!$AO512,IF(J514="MFLASH",PR!$AP512,IF(J514="MORISON",PR!$AQ512,IF(J514="NEMEL",PR!$AR512,IF(J514="NHP",PR!$AS512,IF(J514="NHC",PR!$AT512,IF(J514="OLEAF",PR!$AU512,IF(J514="OCULUS",PR!$AV512,IF(J514="PACIFIC",PR!$AW512,IF(J514="PHAMATEX",PR!$AX512,IF(J514="PETHICS",PR!$AY512,IF(J514="PHILIPS",PR!$AZ512,IF(J514="RANBAXY",PR!$BA512,IF(J514="REALS",PR!$BB512,IF(J514="ROYAL",PR!$BC512,IF(J514="SAM",PR!$BD512,IF(J514="SEAGREEN",PR!$BE512,IF(J514="SKG",PR!$BF512,IF(J514="TAH",PR!$BG512,IF(J514="TAYLEK",PR!$BH512,IF(J514="TEMITA",PR!$BI512,IF(J514="THL",PR!$BJ512,IF(J514="UBASTIC",PR!$BK512,IF(J514="UNION",PR!$BL512,IF(J514="UNIQUE",PR!$BM512,IF(J514="VIXA",PR!$BN512,IF(J514="WWCV",PR!$BO512,IF(J514="ZOLON",PR!$BP512,"-"))))))))))))))))))))))))))))))))))))))))))))))))))))))))))))))))</f>
        <v>4300</v>
      </c>
      <c r="J514" s="102" t="str">
        <f>EV!N646</f>
        <v>EUMATT</v>
      </c>
      <c r="K514" s="433"/>
      <c r="L514" s="183" t="b">
        <f>IF(K514&gt;0,IF(K514="ALPHA",PR!$E512,IF(K514="ASSENE",PR!$F512,IF(K514="BIOFEM",PR!$G512,IF(K514="BIOMED",PR!$H512,IF(K514="CHI",PR!$I512,IF(K514="CLARION",PR!$J512,IF(K514="CODIX",PR!$K512,IF(K514="COSMADE",PR!$L512,IF(K514="SANCON",PR!$M512,IF(K514="DEVON",PR!$N512,IF(K514="DORTEMAG",PR!$O512,IF(K514="DGF",PR!$P512,IF(K514="DYNAMIC",PR!$Q512,IF(K514="EMZOR",PR!$R512,IF(K514="EUMATT",PR!$S512,IF(K514="FIDSON",PR!$T512,IF(K514="FCGLOBAL",PR!$U512,IF(K514="GENEITH",PR!$V512,IF(K514="GINOS",PR!$W512,IF(K514="GSK",PR!$X512,IF(K514="GLOBORG",PR!$Y512,IF(K514="GOODNEWS",PR!$Z512,IF(K514="GREENLIFE",PR!$AA512,IF(K514="HLINE",PR!$AB512,IF(K514="ROTECH",PR!$AC512,IF(K514="ISN",PR!$AD512,IF(K514="JAWA",PR!$AE512,IF(K514="LAYO",PR!$AF512,IF(K514="LEADWAY",PR!$AG512,IF(K514="LHV",PR!$AH512,IF(K514="MANOLA",PR!$AI512,IF(K514="MARCSON",PR!$AJ512,IF(K514="M&amp;B",PR!$AK512,IF(K514="MTRUST",PR!$AL512,IF(K514="MWORLD",PR!$AM512,IF(K514="MEGA",PR!$AN512,IF(K514="MICRONOVA",PR!$AO512,IF(K514="MFLASH",PR!$AP512,IF(K514="MORISON",PR!$AQ512,IF(K514="NEMEL",PR!$AR512,IF(K514="NHP",PR!$AS512,IF(K514="NHC",PR!$AT512,IF(K514="OLEAF",PR!$AU512,IF(K514="OCULUS",PR!$AV512,IF(K514="PACIFIC",PR!$AW512,IF(K514="PHAMATEX",PR!$AX512,IF(K514="PETHICS",PR!$AY512,IF(K514="PHILIPS",PR!$AZ512,IF(K514="RANBAXY",PR!$BA512,IF(K514="REALS",PR!$BB512,IF(K514="ROYAL",PR!$BC512,IF(K514="SAM",PR!$BD512,IF(K514="SEAGREEN",PR!$BE512,IF(K514="SKG",PR!$BF512,IF(K514="TAH",PR!$BG512,IF(K514="TAYLEK",PR!$BH512,IF(K514="TEMITA",PR!$BI512,IF(K514="THL",PR!$BJ512,IF(K514="UBASTIC",PR!$BK512,IF(K514="UNION",PR!$BL512,IF(K514="UNIQUE",PR!$BM512,IF(K514="VIXA",PR!$BN512,IF(K514="WWCV",PR!$BO512,IF(K514="ZOLON",PR!$BP512,"-")))))))))))))))))))))))))))))))))))))))))))))))))))))))))))))))))</f>
        <v>0</v>
      </c>
    </row>
    <row r="515" spans="1:12" ht="18.75" x14ac:dyDescent="0.3">
      <c r="A515" s="430">
        <f>PR!A513</f>
        <v>463</v>
      </c>
      <c r="B515" s="15" t="str">
        <f>PR!B513</f>
        <v>IPRATROPIUM BROMIDE NEBULES</v>
      </c>
      <c r="C515" s="113" t="str">
        <f>PR!D513</f>
        <v>PCS</v>
      </c>
      <c r="D515" s="113">
        <f>PR!C513</f>
        <v>200</v>
      </c>
      <c r="E515" s="108">
        <f>IF(F515="ALPHA",PR!$E513,IF(F515="ASSENE",PR!$F513,IF(F515="BIOFEM",PR!$G513,IF(F515="BIOMED",PR!$H513,IF(F515="CHI",PR!$I513,IF(F515="CLARION",PR!$J513,IF(F515="CODIX",PR!$K513,IF(F515="COSMADE",PR!$L513,IF(F515="SANCON",PR!$M513,IF(F515="DEVON",PR!$N513,IF(F515="DORTEMAG",PR!$O513,IF(F515="DGF",PR!$P513,IF(F515="DYNAMIC",PR!$Q513,IF(F515="EMZOR",PR!$R513,IF(F515="EUMATT",PR!$S513,IF(F515="FIDSON",PR!$T513,IF(F515="FCGLOBAL",PR!$U513,IF(F515="GENEITH",PR!$V513,IF(F515="GINOS",PR!$W513,IF(F515="GSK",PR!$X513,IF(F515="GLOBORG",PR!$Y513,IF(F515="GOODNEWS",PR!$Z513,IF(F515="GREENLIFE",PR!$AA513,IF(F515="HLINE",PR!$AB513,IF(F515="ROTECH",PR!$AC513,IF(F515="ISN",PR!$AD513,IF(F515="JAWA",PR!$AE513,IF(F515="LAYO",PR!$AF513,IF(F515="LEADWAY",PR!$AG513,IF(F515="LHV",PR!$AH513,IF(F515="MANOLA",PR!$AI513,IF(F515="MARCSON",PR!$AJ513,IF(F515="M&amp;B",PR!$AK513,IF(F515="MTRUST",PR!$AL513,IF(F515="MWORLD",PR!$AM513,IF(F515="MEGA",PR!$AN513,IF(F515="MICRONOVA",PR!$AO513,IF(F515="MFLASH",PR!$AP513,IF(F515="MORISON",PR!$AQ513,IF(F515="NEMEL",PR!$AR513,IF(F515="NHP",PR!$AS513,IF(F515="NHC",PR!$AT513,IF(F515="OLEAF",PR!$AU513,IF(F515="OCULUS",PR!$AV513,IF(F515="PACIFIC",PR!$AW513,IF(F515="PHAMATEX",PR!$AX513,IF(F515="PETHICS",PR!$AY513,IF(F515="PHILIPS",PR!$AZ513,IF(F515="RANBAXY",PR!$BA513,IF(F515="REALS",PR!$BB513,IF(F515="ROYAL",PR!$BC513,IF(F515="SAM",PR!$BD513,IF(F515="SEAGREEN",PR!$BE513,IF(F515="SKG",PR!$BF513,IF(F515="TAH",PR!$BG513,IF(F515="TAYLEK",PR!$BH513,IF(F515="TEMITA",PR!$BI513,IF(F515="THL",PR!$BJ513,IF(F515="UBASTIC",PR!$BK513,IF(F515="UNION",PR!$BL513,IF(F515="UNIQUE",PR!$BM513,IF(F515="VIXA",PR!$BN513,IF(F515="WWCV",PR!$BO513,IF(F515="ZOLON",PR!$BP513,"-"))))))))))))))))))))))))))))))))))))))))))))))))))))))))))))))))</f>
        <v>180</v>
      </c>
      <c r="F515" s="102" t="str">
        <f>EV!L647</f>
        <v>EUMATT</v>
      </c>
      <c r="G515" s="108" t="str">
        <f>IF(H515="ALPHA",PR!$E513,IF(H515="ASSENE",PR!$F513,IF(H515="BIOFEM",PR!$G513,IF(H515="BIOMED",PR!$H513,IF(H515="CHI",PR!$I513,IF(H515="CLARION",PR!$J513,IF(H515="CODIX",PR!$K513,IF(H515="COSMADE",PR!$L513,IF(H515="SANCON",PR!$M513,IF(H515="DEVON",PR!$N513,IF(H515="DORTEMAG",PR!$O513,IF(H515="DGF",PR!$P513,IF(H515="DYNAMIC",PR!$Q513,IF(H515="EMZOR",PR!$R513,IF(H515="EUMATT",PR!$S513,IF(H515="FIDSON",PR!$T513,IF(H515="FCGLOBAL",PR!$U513,IF(H515="GENEITH",PR!$V513,IF(H515="GINOS",PR!$W513,IF(H515="GSK",PR!$X513,IF(H515="GLOBORG",PR!$Y513,IF(H515="GOODNEWS",PR!$Z513,IF(H515="GREENLIFE",PR!$AA513,IF(H515="HLINE",PR!$AB513,IF(H515="ROTECH",PR!$AC513,IF(H515="ISN",PR!$AD513,IF(H515="JAWA",PR!$AE513,IF(H515="LAYO",PR!$AF513,IF(H515="LEADWAY",PR!$AG513,IF(H515="LHV",PR!$AH513,IF(H515="MANOLA",PR!$AI513,IF(H515="MARCSON",PR!$AJ513,IF(H515="M&amp;B",PR!$AK513,IF(H515="MTRUST",PR!$AL513,IF(H515="MWORLD",PR!$AM513,IF(H515="MEGA",PR!$AN513,IF(H515="MICRONOVA",PR!$AO513,IF(H515="MFLASH",PR!$AP513,IF(H515="MORISON",PR!$AQ513,IF(H515="NEMEL",PR!$AR513,IF(H515="NHP",PR!$AS513,IF(H515="NHC",PR!$AT513,IF(H515="OLEAF",PR!$AU513,IF(H515="OCULUS",PR!$AV513,IF(H515="PACIFIC",PR!$AW513,IF(H515="PHAMATEX",PR!$AX513,IF(H515="PETHICS",PR!$AY513,IF(H515="PHILIPS",PR!$AZ513,IF(H515="RANBAXY",PR!$BA513,IF(H515="REALS",PR!$BB513,IF(H515="ROYAL",PR!$BC513,IF(H515="SAM",PR!$BD513,IF(H515="SEAGREEN",PR!$BE513,IF(H515="SKG",PR!$BF513,IF(H515="TAH",PR!$BG513,IF(H515="TAYLEK",PR!$BH513,IF(H515="TEMITA",PR!$BI513,IF(H515="THL",PR!$BJ513,IF(H515="UBASTIC",PR!$BK513,IF(H515="UNION",PR!$BL513,IF(H515="UNIQUE",PR!$BM513,IF(H515="VIXA",PR!$BN513,IF(H515="WWCV",PR!$BO513,IF(H515="ZOLON",PR!$BP513,"-"))))))))))))))))))))))))))))))))))))))))))))))))))))))))))))))))</f>
        <v>-</v>
      </c>
      <c r="H515" s="102">
        <f>EV!M647</f>
        <v>0</v>
      </c>
      <c r="I515" s="108" t="str">
        <f>IF(J515="ALPHA",PR!$E513,IF(J515="ASSENE",PR!$F513,IF(J515="BIOFEM",PR!$G513,IF(J515="BIOMED",PR!$H513,IF(J515="CHI",PR!$I513,IF(J515="CLARION",PR!$J513,IF(J515="CODIX",PR!$K513,IF(J515="COSMADE",PR!$L513,IF(J515="SANCON",PR!$M513,IF(J515="DEVON",PR!$N513,IF(J515="DORTEMAG",PR!$O513,IF(J515="DGF",PR!$P513,IF(J515="DYNAMIC",PR!$Q513,IF(J515="EMZOR",PR!$R513,IF(J515="EUMATT",PR!$S513,IF(J515="FIDSON",PR!$T513,IF(J515="FCGLOBAL",PR!$U513,IF(J515="GENEITH",PR!$V513,IF(J515="GINOS",PR!$W513,IF(J515="GSK",PR!$X513,IF(J515="GLOBORG",PR!$Y513,IF(J515="GOODNEWS",PR!$Z513,IF(J515="GREENLIFE",PR!$AA513,IF(J515="HLINE",PR!$AB513,IF(J515="ROTECH",PR!$AC513,IF(J515="ISN",PR!$AD513,IF(J515="JAWA",PR!$AE513,IF(J515="LAYO",PR!$AF513,IF(J515="LEADWAY",PR!$AG513,IF(J515="LHV",PR!$AH513,IF(J515="MANOLA",PR!$AI513,IF(J515="MARCSON",PR!$AJ513,IF(J515="M&amp;B",PR!$AK513,IF(J515="MTRUST",PR!$AL513,IF(J515="MWORLD",PR!$AM513,IF(J515="MEGA",PR!$AN513,IF(J515="MICRONOVA",PR!$AO513,IF(J515="MFLASH",PR!$AP513,IF(J515="MORISON",PR!$AQ513,IF(J515="NEMEL",PR!$AR513,IF(J515="NHP",PR!$AS513,IF(J515="NHC",PR!$AT513,IF(J515="OLEAF",PR!$AU513,IF(J515="OCULUS",PR!$AV513,IF(J515="PACIFIC",PR!$AW513,IF(J515="PHAMATEX",PR!$AX513,IF(J515="PETHICS",PR!$AY513,IF(J515="PHILIPS",PR!$AZ513,IF(J515="RANBAXY",PR!$BA513,IF(J515="REALS",PR!$BB513,IF(J515="ROYAL",PR!$BC513,IF(J515="SAM",PR!$BD513,IF(J515="SEAGREEN",PR!$BE513,IF(J515="SKG",PR!$BF513,IF(J515="TAH",PR!$BG513,IF(J515="TAYLEK",PR!$BH513,IF(J515="TEMITA",PR!$BI513,IF(J515="THL",PR!$BJ513,IF(J515="UBASTIC",PR!$BK513,IF(J515="UNION",PR!$BL513,IF(J515="UNIQUE",PR!$BM513,IF(J515="VIXA",PR!$BN513,IF(J515="WWCV",PR!$BO513,IF(J515="ZOLON",PR!$BP513,"-"))))))))))))))))))))))))))))))))))))))))))))))))))))))))))))))))</f>
        <v>-</v>
      </c>
      <c r="J515" s="102">
        <f>EV!N647</f>
        <v>0</v>
      </c>
      <c r="K515" s="433"/>
      <c r="L515" s="183" t="b">
        <f>IF(K515&gt;0,IF(K515="ALPHA",PR!$E513,IF(K515="ASSENE",PR!$F513,IF(K515="BIOFEM",PR!$G513,IF(K515="BIOMED",PR!$H513,IF(K515="CHI",PR!$I513,IF(K515="CLARION",PR!$J513,IF(K515="CODIX",PR!$K513,IF(K515="COSMADE",PR!$L513,IF(K515="SANCON",PR!$M513,IF(K515="DEVON",PR!$N513,IF(K515="DORTEMAG",PR!$O513,IF(K515="DGF",PR!$P513,IF(K515="DYNAMIC",PR!$Q513,IF(K515="EMZOR",PR!$R513,IF(K515="EUMATT",PR!$S513,IF(K515="FIDSON",PR!$T513,IF(K515="FCGLOBAL",PR!$U513,IF(K515="GENEITH",PR!$V513,IF(K515="GINOS",PR!$W513,IF(K515="GSK",PR!$X513,IF(K515="GLOBORG",PR!$Y513,IF(K515="GOODNEWS",PR!$Z513,IF(K515="GREENLIFE",PR!$AA513,IF(K515="HLINE",PR!$AB513,IF(K515="ROTECH",PR!$AC513,IF(K515="ISN",PR!$AD513,IF(K515="JAWA",PR!$AE513,IF(K515="LAYO",PR!$AF513,IF(K515="LEADWAY",PR!$AG513,IF(K515="LHV",PR!$AH513,IF(K515="MANOLA",PR!$AI513,IF(K515="MARCSON",PR!$AJ513,IF(K515="M&amp;B",PR!$AK513,IF(K515="MTRUST",PR!$AL513,IF(K515="MWORLD",PR!$AM513,IF(K515="MEGA",PR!$AN513,IF(K515="MICRONOVA",PR!$AO513,IF(K515="MFLASH",PR!$AP513,IF(K515="MORISON",PR!$AQ513,IF(K515="NEMEL",PR!$AR513,IF(K515="NHP",PR!$AS513,IF(K515="NHC",PR!$AT513,IF(K515="OLEAF",PR!$AU513,IF(K515="OCULUS",PR!$AV513,IF(K515="PACIFIC",PR!$AW513,IF(K515="PHAMATEX",PR!$AX513,IF(K515="PETHICS",PR!$AY513,IF(K515="PHILIPS",PR!$AZ513,IF(K515="RANBAXY",PR!$BA513,IF(K515="REALS",PR!$BB513,IF(K515="ROYAL",PR!$BC513,IF(K515="SAM",PR!$BD513,IF(K515="SEAGREEN",PR!$BE513,IF(K515="SKG",PR!$BF513,IF(K515="TAH",PR!$BG513,IF(K515="TAYLEK",PR!$BH513,IF(K515="TEMITA",PR!$BI513,IF(K515="THL",PR!$BJ513,IF(K515="UBASTIC",PR!$BK513,IF(K515="UNION",PR!$BL513,IF(K515="UNIQUE",PR!$BM513,IF(K515="VIXA",PR!$BN513,IF(K515="WWCV",PR!$BO513,IF(K515="ZOLON",PR!$BP513,"-")))))))))))))))))))))))))))))))))))))))))))))))))))))))))))))))))</f>
        <v>0</v>
      </c>
    </row>
    <row r="516" spans="1:12" ht="18.75" x14ac:dyDescent="0.3">
      <c r="A516" s="430">
        <f>PR!A514</f>
        <v>464</v>
      </c>
      <c r="B516" s="15" t="str">
        <f>PR!B514</f>
        <v>SALBUTAMOL 4MG TAB</v>
      </c>
      <c r="C516" s="113">
        <f>PR!D514</f>
        <v>100</v>
      </c>
      <c r="D516" s="113">
        <f>PR!C514</f>
        <v>200</v>
      </c>
      <c r="E516" s="108">
        <f>IF(F516="ALPHA",PR!$E514,IF(F516="ASSENE",PR!$F514,IF(F516="BIOFEM",PR!$G514,IF(F516="BIOMED",PR!$H514,IF(F516="CHI",PR!$I514,IF(F516="CLARION",PR!$J514,IF(F516="CODIX",PR!$K514,IF(F516="COSMADE",PR!$L514,IF(F516="SANCON",PR!$M514,IF(F516="DEVON",PR!$N514,IF(F516="DORTEMAG",PR!$O514,IF(F516="DGF",PR!$P514,IF(F516="DYNAMIC",PR!$Q514,IF(F516="EMZOR",PR!$R514,IF(F516="EUMATT",PR!$S514,IF(F516="FIDSON",PR!$T514,IF(F516="FCGLOBAL",PR!$U514,IF(F516="GENEITH",PR!$V514,IF(F516="GINOS",PR!$W514,IF(F516="GSK",PR!$X514,IF(F516="GLOBORG",PR!$Y514,IF(F516="GOODNEWS",PR!$Z514,IF(F516="GREENLIFE",PR!$AA514,IF(F516="HLINE",PR!$AB514,IF(F516="ROTECH",PR!$AC514,IF(F516="ISN",PR!$AD514,IF(F516="JAWA",PR!$AE514,IF(F516="LAYO",PR!$AF514,IF(F516="LEADWAY",PR!$AG514,IF(F516="LHV",PR!$AH514,IF(F516="MANOLA",PR!$AI514,IF(F516="MARCSON",PR!$AJ514,IF(F516="M&amp;B",PR!$AK514,IF(F516="MTRUST",PR!$AL514,IF(F516="MWORLD",PR!$AM514,IF(F516="MEGA",PR!$AN514,IF(F516="MICRONOVA",PR!$AO514,IF(F516="MFLASH",PR!$AP514,IF(F516="MORISON",PR!$AQ514,IF(F516="NEMEL",PR!$AR514,IF(F516="NHP",PR!$AS514,IF(F516="NHC",PR!$AT514,IF(F516="OLEAF",PR!$AU514,IF(F516="OCULUS",PR!$AV514,IF(F516="PACIFIC",PR!$AW514,IF(F516="PHAMATEX",PR!$AX514,IF(F516="PETHICS",PR!$AY514,IF(F516="PHILIPS",PR!$AZ514,IF(F516="RANBAXY",PR!$BA514,IF(F516="REALS",PR!$BB514,IF(F516="ROYAL",PR!$BC514,IF(F516="SAM",PR!$BD514,IF(F516="SEAGREEN",PR!$BE514,IF(F516="SKG",PR!$BF514,IF(F516="TAH",PR!$BG514,IF(F516="TAYLEK",PR!$BH514,IF(F516="TEMITA",PR!$BI514,IF(F516="THL",PR!$BJ514,IF(F516="UBASTIC",PR!$BK514,IF(F516="UNION",PR!$BL514,IF(F516="UNIQUE",PR!$BM514,IF(F516="VIXA",PR!$BN514,IF(F516="WWCV",PR!$BO514,IF(F516="ZOLON",PR!$BP514,"-"))))))))))))))))))))))))))))))))))))))))))))))))))))))))))))))))</f>
        <v>700</v>
      </c>
      <c r="F516" s="102" t="str">
        <f>EV!L648</f>
        <v>EUMATT</v>
      </c>
      <c r="G516" s="108" t="str">
        <f>IF(H516="ALPHA",PR!$E514,IF(H516="ASSENE",PR!$F514,IF(H516="BIOFEM",PR!$G514,IF(H516="BIOMED",PR!$H514,IF(H516="CHI",PR!$I514,IF(H516="CLARION",PR!$J514,IF(H516="CODIX",PR!$K514,IF(H516="COSMADE",PR!$L514,IF(H516="SANCON",PR!$M514,IF(H516="DEVON",PR!$N514,IF(H516="DORTEMAG",PR!$O514,IF(H516="DGF",PR!$P514,IF(H516="DYNAMIC",PR!$Q514,IF(H516="EMZOR",PR!$R514,IF(H516="EUMATT",PR!$S514,IF(H516="FIDSON",PR!$T514,IF(H516="FCGLOBAL",PR!$U514,IF(H516="GENEITH",PR!$V514,IF(H516="GINOS",PR!$W514,IF(H516="GSK",PR!$X514,IF(H516="GLOBORG",PR!$Y514,IF(H516="GOODNEWS",PR!$Z514,IF(H516="GREENLIFE",PR!$AA514,IF(H516="HLINE",PR!$AB514,IF(H516="ROTECH",PR!$AC514,IF(H516="ISN",PR!$AD514,IF(H516="JAWA",PR!$AE514,IF(H516="LAYO",PR!$AF514,IF(H516="LEADWAY",PR!$AG514,IF(H516="LHV",PR!$AH514,IF(H516="MANOLA",PR!$AI514,IF(H516="MARCSON",PR!$AJ514,IF(H516="M&amp;B",PR!$AK514,IF(H516="MTRUST",PR!$AL514,IF(H516="MWORLD",PR!$AM514,IF(H516="MEGA",PR!$AN514,IF(H516="MICRONOVA",PR!$AO514,IF(H516="MFLASH",PR!$AP514,IF(H516="MORISON",PR!$AQ514,IF(H516="NEMEL",PR!$AR514,IF(H516="NHP",PR!$AS514,IF(H516="NHC",PR!$AT514,IF(H516="OLEAF",PR!$AU514,IF(H516="OCULUS",PR!$AV514,IF(H516="PACIFIC",PR!$AW514,IF(H516="PHAMATEX",PR!$AX514,IF(H516="PETHICS",PR!$AY514,IF(H516="PHILIPS",PR!$AZ514,IF(H516="RANBAXY",PR!$BA514,IF(H516="REALS",PR!$BB514,IF(H516="ROYAL",PR!$BC514,IF(H516="SAM",PR!$BD514,IF(H516="SEAGREEN",PR!$BE514,IF(H516="SKG",PR!$BF514,IF(H516="TAH",PR!$BG514,IF(H516="TAYLEK",PR!$BH514,IF(H516="TEMITA",PR!$BI514,IF(H516="THL",PR!$BJ514,IF(H516="UBASTIC",PR!$BK514,IF(H516="UNION",PR!$BL514,IF(H516="UNIQUE",PR!$BM514,IF(H516="VIXA",PR!$BN514,IF(H516="WWCV",PR!$BO514,IF(H516="ZOLON",PR!$BP514,"-"))))))))))))))))))))))))))))))))))))))))))))))))))))))))))))))))</f>
        <v>-</v>
      </c>
      <c r="H516" s="102">
        <f>EV!M648</f>
        <v>0</v>
      </c>
      <c r="I516" s="108" t="str">
        <f>IF(J516="ALPHA",PR!$E514,IF(J516="ASSENE",PR!$F514,IF(J516="BIOFEM",PR!$G514,IF(J516="BIOMED",PR!$H514,IF(J516="CHI",PR!$I514,IF(J516="CLARION",PR!$J514,IF(J516="CODIX",PR!$K514,IF(J516="COSMADE",PR!$L514,IF(J516="SANCON",PR!$M514,IF(J516="DEVON",PR!$N514,IF(J516="DORTEMAG",PR!$O514,IF(J516="DGF",PR!$P514,IF(J516="DYNAMIC",PR!$Q514,IF(J516="EMZOR",PR!$R514,IF(J516="EUMATT",PR!$S514,IF(J516="FIDSON",PR!$T514,IF(J516="FCGLOBAL",PR!$U514,IF(J516="GENEITH",PR!$V514,IF(J516="GINOS",PR!$W514,IF(J516="GSK",PR!$X514,IF(J516="GLOBORG",PR!$Y514,IF(J516="GOODNEWS",PR!$Z514,IF(J516="GREENLIFE",PR!$AA514,IF(J516="HLINE",PR!$AB514,IF(J516="ROTECH",PR!$AC514,IF(J516="ISN",PR!$AD514,IF(J516="JAWA",PR!$AE514,IF(J516="LAYO",PR!$AF514,IF(J516="LEADWAY",PR!$AG514,IF(J516="LHV",PR!$AH514,IF(J516="MANOLA",PR!$AI514,IF(J516="MARCSON",PR!$AJ514,IF(J516="M&amp;B",PR!$AK514,IF(J516="MTRUST",PR!$AL514,IF(J516="MWORLD",PR!$AM514,IF(J516="MEGA",PR!$AN514,IF(J516="MICRONOVA",PR!$AO514,IF(J516="MFLASH",PR!$AP514,IF(J516="MORISON",PR!$AQ514,IF(J516="NEMEL",PR!$AR514,IF(J516="NHP",PR!$AS514,IF(J516="NHC",PR!$AT514,IF(J516="OLEAF",PR!$AU514,IF(J516="OCULUS",PR!$AV514,IF(J516="PACIFIC",PR!$AW514,IF(J516="PHAMATEX",PR!$AX514,IF(J516="PETHICS",PR!$AY514,IF(J516="PHILIPS",PR!$AZ514,IF(J516="RANBAXY",PR!$BA514,IF(J516="REALS",PR!$BB514,IF(J516="ROYAL",PR!$BC514,IF(J516="SAM",PR!$BD514,IF(J516="SEAGREEN",PR!$BE514,IF(J516="SKG",PR!$BF514,IF(J516="TAH",PR!$BG514,IF(J516="TAYLEK",PR!$BH514,IF(J516="TEMITA",PR!$BI514,IF(J516="THL",PR!$BJ514,IF(J516="UBASTIC",PR!$BK514,IF(J516="UNION",PR!$BL514,IF(J516="UNIQUE",PR!$BM514,IF(J516="VIXA",PR!$BN514,IF(J516="WWCV",PR!$BO514,IF(J516="ZOLON",PR!$BP514,"-"))))))))))))))))))))))))))))))))))))))))))))))))))))))))))))))))</f>
        <v>-</v>
      </c>
      <c r="J516" s="102">
        <f>EV!N648</f>
        <v>0</v>
      </c>
      <c r="K516" s="433"/>
      <c r="L516" s="183" t="b">
        <f>IF(K516&gt;0,IF(K516="ALPHA",PR!$E514,IF(K516="ASSENE",PR!$F514,IF(K516="BIOFEM",PR!$G514,IF(K516="BIOMED",PR!$H514,IF(K516="CHI",PR!$I514,IF(K516="CLARION",PR!$J514,IF(K516="CODIX",PR!$K514,IF(K516="COSMADE",PR!$L514,IF(K516="SANCON",PR!$M514,IF(K516="DEVON",PR!$N514,IF(K516="DORTEMAG",PR!$O514,IF(K516="DGF",PR!$P514,IF(K516="DYNAMIC",PR!$Q514,IF(K516="EMZOR",PR!$R514,IF(K516="EUMATT",PR!$S514,IF(K516="FIDSON",PR!$T514,IF(K516="FCGLOBAL",PR!$U514,IF(K516="GENEITH",PR!$V514,IF(K516="GINOS",PR!$W514,IF(K516="GSK",PR!$X514,IF(K516="GLOBORG",PR!$Y514,IF(K516="GOODNEWS",PR!$Z514,IF(K516="GREENLIFE",PR!$AA514,IF(K516="HLINE",PR!$AB514,IF(K516="ROTECH",PR!$AC514,IF(K516="ISN",PR!$AD514,IF(K516="JAWA",PR!$AE514,IF(K516="LAYO",PR!$AF514,IF(K516="LEADWAY",PR!$AG514,IF(K516="LHV",PR!$AH514,IF(K516="MANOLA",PR!$AI514,IF(K516="MARCSON",PR!$AJ514,IF(K516="M&amp;B",PR!$AK514,IF(K516="MTRUST",PR!$AL514,IF(K516="MWORLD",PR!$AM514,IF(K516="MEGA",PR!$AN514,IF(K516="MICRONOVA",PR!$AO514,IF(K516="MFLASH",PR!$AP514,IF(K516="MORISON",PR!$AQ514,IF(K516="NEMEL",PR!$AR514,IF(K516="NHP",PR!$AS514,IF(K516="NHC",PR!$AT514,IF(K516="OLEAF",PR!$AU514,IF(K516="OCULUS",PR!$AV514,IF(K516="PACIFIC",PR!$AW514,IF(K516="PHAMATEX",PR!$AX514,IF(K516="PETHICS",PR!$AY514,IF(K516="PHILIPS",PR!$AZ514,IF(K516="RANBAXY",PR!$BA514,IF(K516="REALS",PR!$BB514,IF(K516="ROYAL",PR!$BC514,IF(K516="SAM",PR!$BD514,IF(K516="SEAGREEN",PR!$BE514,IF(K516="SKG",PR!$BF514,IF(K516="TAH",PR!$BG514,IF(K516="TAYLEK",PR!$BH514,IF(K516="TEMITA",PR!$BI514,IF(K516="THL",PR!$BJ514,IF(K516="UBASTIC",PR!$BK514,IF(K516="UNION",PR!$BL514,IF(K516="UNIQUE",PR!$BM514,IF(K516="VIXA",PR!$BN514,IF(K516="WWCV",PR!$BO514,IF(K516="ZOLON",PR!$BP514,"-")))))))))))))))))))))))))))))))))))))))))))))))))))))))))))))))))</f>
        <v>0</v>
      </c>
    </row>
    <row r="517" spans="1:12" ht="18.75" x14ac:dyDescent="0.3">
      <c r="A517" s="430">
        <f>PR!A515</f>
        <v>465</v>
      </c>
      <c r="B517" s="15" t="str">
        <f>PR!B515</f>
        <v>SALBUTAMOL INHALER</v>
      </c>
      <c r="C517" s="113" t="str">
        <f>PR!D515</f>
        <v>PCS</v>
      </c>
      <c r="D517" s="113">
        <f>PR!C515</f>
        <v>240</v>
      </c>
      <c r="E517" s="108">
        <f>IF(F517="ALPHA",PR!$E515,IF(F517="ASSENE",PR!$F515,IF(F517="BIOFEM",PR!$G515,IF(F517="BIOMED",PR!$H515,IF(F517="CHI",PR!$I515,IF(F517="CLARION",PR!$J515,IF(F517="CODIX",PR!$K515,IF(F517="COSMADE",PR!$L515,IF(F517="SANCON",PR!$M515,IF(F517="DEVON",PR!$N515,IF(F517="DORTEMAG",PR!$O515,IF(F517="DGF",PR!$P515,IF(F517="DYNAMIC",PR!$Q515,IF(F517="EMZOR",PR!$R515,IF(F517="EUMATT",PR!$S515,IF(F517="FIDSON",PR!$T515,IF(F517="FCGLOBAL",PR!$U515,IF(F517="GENEITH",PR!$V515,IF(F517="GINOS",PR!$W515,IF(F517="GSK",PR!$X515,IF(F517="GLOBORG",PR!$Y515,IF(F517="GOODNEWS",PR!$Z515,IF(F517="GREENLIFE",PR!$AA515,IF(F517="HLINE",PR!$AB515,IF(F517="ROTECH",PR!$AC515,IF(F517="ISN",PR!$AD515,IF(F517="JAWA",PR!$AE515,IF(F517="LAYO",PR!$AF515,IF(F517="LEADWAY",PR!$AG515,IF(F517="LHV",PR!$AH515,IF(F517="MANOLA",PR!$AI515,IF(F517="MARCSON",PR!$AJ515,IF(F517="M&amp;B",PR!$AK515,IF(F517="MTRUST",PR!$AL515,IF(F517="MWORLD",PR!$AM515,IF(F517="MEGA",PR!$AN515,IF(F517="MICRONOVA",PR!$AO515,IF(F517="MFLASH",PR!$AP515,IF(F517="MORISON",PR!$AQ515,IF(F517="NEMEL",PR!$AR515,IF(F517="NHP",PR!$AS515,IF(F517="NHC",PR!$AT515,IF(F517="OLEAF",PR!$AU515,IF(F517="OCULUS",PR!$AV515,IF(F517="PACIFIC",PR!$AW515,IF(F517="PHAMATEX",PR!$AX515,IF(F517="PETHICS",PR!$AY515,IF(F517="PHILIPS",PR!$AZ515,IF(F517="RANBAXY",PR!$BA515,IF(F517="REALS",PR!$BB515,IF(F517="ROYAL",PR!$BC515,IF(F517="SAM",PR!$BD515,IF(F517="SEAGREEN",PR!$BE515,IF(F517="SKG",PR!$BF515,IF(F517="TAH",PR!$BG515,IF(F517="TAYLEK",PR!$BH515,IF(F517="TEMITA",PR!$BI515,IF(F517="THL",PR!$BJ515,IF(F517="UBASTIC",PR!$BK515,IF(F517="UNION",PR!$BL515,IF(F517="UNIQUE",PR!$BM515,IF(F517="VIXA",PR!$BN515,IF(F517="WWCV",PR!$BO515,IF(F517="ZOLON",PR!$BP515,"-"))))))))))))))))))))))))))))))))))))))))))))))))))))))))))))))))</f>
        <v>1000</v>
      </c>
      <c r="F517" s="102" t="str">
        <f>EV!L649</f>
        <v>EUMATT</v>
      </c>
      <c r="G517" s="108">
        <f>IF(H517="ALPHA",PR!$E515,IF(H517="ASSENE",PR!$F515,IF(H517="BIOFEM",PR!$G515,IF(H517="BIOMED",PR!$H515,IF(H517="CHI",PR!$I515,IF(H517="CLARION",PR!$J515,IF(H517="CODIX",PR!$K515,IF(H517="COSMADE",PR!$L515,IF(H517="SANCON",PR!$M515,IF(H517="DEVON",PR!$N515,IF(H517="DORTEMAG",PR!$O515,IF(H517="DGF",PR!$P515,IF(H517="DYNAMIC",PR!$Q515,IF(H517="EMZOR",PR!$R515,IF(H517="EUMATT",PR!$S515,IF(H517="FIDSON",PR!$T515,IF(H517="FCGLOBAL",PR!$U515,IF(H517="GENEITH",PR!$V515,IF(H517="GINOS",PR!$W515,IF(H517="GSK",PR!$X515,IF(H517="GLOBORG",PR!$Y515,IF(H517="GOODNEWS",PR!$Z515,IF(H517="GREENLIFE",PR!$AA515,IF(H517="HLINE",PR!$AB515,IF(H517="ROTECH",PR!$AC515,IF(H517="ISN",PR!$AD515,IF(H517="JAWA",PR!$AE515,IF(H517="LAYO",PR!$AF515,IF(H517="LEADWAY",PR!$AG515,IF(H517="LHV",PR!$AH515,IF(H517="MANOLA",PR!$AI515,IF(H517="MARCSON",PR!$AJ515,IF(H517="M&amp;B",PR!$AK515,IF(H517="MTRUST",PR!$AL515,IF(H517="MWORLD",PR!$AM515,IF(H517="MEGA",PR!$AN515,IF(H517="MICRONOVA",PR!$AO515,IF(H517="MFLASH",PR!$AP515,IF(H517="MORISON",PR!$AQ515,IF(H517="NEMEL",PR!$AR515,IF(H517="NHP",PR!$AS515,IF(H517="NHC",PR!$AT515,IF(H517="OLEAF",PR!$AU515,IF(H517="OCULUS",PR!$AV515,IF(H517="PACIFIC",PR!$AW515,IF(H517="PHAMATEX",PR!$AX515,IF(H517="PETHICS",PR!$AY515,IF(H517="PHILIPS",PR!$AZ515,IF(H517="RANBAXY",PR!$BA515,IF(H517="REALS",PR!$BB515,IF(H517="ROYAL",PR!$BC515,IF(H517="SAM",PR!$BD515,IF(H517="SEAGREEN",PR!$BE515,IF(H517="SKG",PR!$BF515,IF(H517="TAH",PR!$BG515,IF(H517="TAYLEK",PR!$BH515,IF(H517="TEMITA",PR!$BI515,IF(H517="THL",PR!$BJ515,IF(H517="UBASTIC",PR!$BK515,IF(H517="UNION",PR!$BL515,IF(H517="UNIQUE",PR!$BM515,IF(H517="VIXA",PR!$BN515,IF(H517="WWCV",PR!$BO515,IF(H517="ZOLON",PR!$BP515,"-"))))))))))))))))))))))))))))))))))))))))))))))))))))))))))))))))</f>
        <v>1155.3599999999999</v>
      </c>
      <c r="H517" s="102" t="str">
        <f>EV!M649</f>
        <v>GSK</v>
      </c>
      <c r="I517" s="108">
        <f>IF(J517="ALPHA",PR!$E515,IF(J517="ASSENE",PR!$F515,IF(J517="BIOFEM",PR!$G515,IF(J517="BIOMED",PR!$H515,IF(J517="CHI",PR!$I515,IF(J517="CLARION",PR!$J515,IF(J517="CODIX",PR!$K515,IF(J517="COSMADE",PR!$L515,IF(J517="SANCON",PR!$M515,IF(J517="DEVON",PR!$N515,IF(J517="DORTEMAG",PR!$O515,IF(J517="DGF",PR!$P515,IF(J517="DYNAMIC",PR!$Q515,IF(J517="EMZOR",PR!$R515,IF(J517="EUMATT",PR!$S515,IF(J517="FIDSON",PR!$T515,IF(J517="FCGLOBAL",PR!$U515,IF(J517="GENEITH",PR!$V515,IF(J517="GINOS",PR!$W515,IF(J517="GSK",PR!$X515,IF(J517="GLOBORG",PR!$Y515,IF(J517="GOODNEWS",PR!$Z515,IF(J517="GREENLIFE",PR!$AA515,IF(J517="HLINE",PR!$AB515,IF(J517="ROTECH",PR!$AC515,IF(J517="ISN",PR!$AD515,IF(J517="JAWA",PR!$AE515,IF(J517="LAYO",PR!$AF515,IF(J517="LEADWAY",PR!$AG515,IF(J517="LHV",PR!$AH515,IF(J517="MANOLA",PR!$AI515,IF(J517="MARCSON",PR!$AJ515,IF(J517="M&amp;B",PR!$AK515,IF(J517="MTRUST",PR!$AL515,IF(J517="MWORLD",PR!$AM515,IF(J517="MEGA",PR!$AN515,IF(J517="MICRONOVA",PR!$AO515,IF(J517="MFLASH",PR!$AP515,IF(J517="MORISON",PR!$AQ515,IF(J517="NEMEL",PR!$AR515,IF(J517="NHP",PR!$AS515,IF(J517="NHC",PR!$AT515,IF(J517="OLEAF",PR!$AU515,IF(J517="OCULUS",PR!$AV515,IF(J517="PACIFIC",PR!$AW515,IF(J517="PHAMATEX",PR!$AX515,IF(J517="PETHICS",PR!$AY515,IF(J517="PHILIPS",PR!$AZ515,IF(J517="RANBAXY",PR!$BA515,IF(J517="REALS",PR!$BB515,IF(J517="ROYAL",PR!$BC515,IF(J517="SAM",PR!$BD515,IF(J517="SEAGREEN",PR!$BE515,IF(J517="SKG",PR!$BF515,IF(J517="TAH",PR!$BG515,IF(J517="TAYLEK",PR!$BH515,IF(J517="TEMITA",PR!$BI515,IF(J517="THL",PR!$BJ515,IF(J517="UBASTIC",PR!$BK515,IF(J517="UNION",PR!$BL515,IF(J517="UNIQUE",PR!$BM515,IF(J517="VIXA",PR!$BN515,IF(J517="WWCV",PR!$BO515,IF(J517="ZOLON",PR!$BP515,"-"))))))))))))))))))))))))))))))))))))))))))))))))))))))))))))))))</f>
        <v>1206</v>
      </c>
      <c r="J517" s="102" t="str">
        <f>EV!N649</f>
        <v>WWCV</v>
      </c>
      <c r="K517" s="433" t="s">
        <v>837</v>
      </c>
      <c r="L517" s="183">
        <f>IF(K517&gt;0,IF(K517="ALPHA",PR!$E515,IF(K517="ASSENE",PR!$F515,IF(K517="BIOFEM",PR!$G515,IF(K517="BIOMED",PR!$H515,IF(K517="CHI",PR!$I515,IF(K517="CLARION",PR!$J515,IF(K517="CODIX",PR!$K515,IF(K517="COSMADE",PR!$L515,IF(K517="SANCON",PR!$M515,IF(K517="DEVON",PR!$N515,IF(K517="DORTEMAG",PR!$O515,IF(K517="DGF",PR!$P515,IF(K517="DYNAMIC",PR!$Q515,IF(K517="EMZOR",PR!$R515,IF(K517="EUMATT",PR!$S515,IF(K517="FIDSON",PR!$T515,IF(K517="FCGLOBAL",PR!$U515,IF(K517="GENEITH",PR!$V515,IF(K517="GINOS",PR!$W515,IF(K517="GSK",PR!$X515,IF(K517="GLOBORG",PR!$Y515,IF(K517="GOODNEWS",PR!$Z515,IF(K517="GREENLIFE",PR!$AA515,IF(K517="HLINE",PR!$AB515,IF(K517="ROTECH",PR!$AC515,IF(K517="ISN",PR!$AD515,IF(K517="JAWA",PR!$AE515,IF(K517="LAYO",PR!$AF515,IF(K517="LEADWAY",PR!$AG515,IF(K517="LHV",PR!$AH515,IF(K517="MANOLA",PR!$AI515,IF(K517="MARCSON",PR!$AJ515,IF(K517="M&amp;B",PR!$AK515,IF(K517="MTRUST",PR!$AL515,IF(K517="MWORLD",PR!$AM515,IF(K517="MEGA",PR!$AN515,IF(K517="MICRONOVA",PR!$AO515,IF(K517="MFLASH",PR!$AP515,IF(K517="MORISON",PR!$AQ515,IF(K517="NEMEL",PR!$AR515,IF(K517="NHP",PR!$AS515,IF(K517="NHC",PR!$AT515,IF(K517="OLEAF",PR!$AU515,IF(K517="OCULUS",PR!$AV515,IF(K517="PACIFIC",PR!$AW515,IF(K517="PHAMATEX",PR!$AX515,IF(K517="PETHICS",PR!$AY515,IF(K517="PHILIPS",PR!$AZ515,IF(K517="RANBAXY",PR!$BA515,IF(K517="REALS",PR!$BB515,IF(K517="ROYAL",PR!$BC515,IF(K517="SAM",PR!$BD515,IF(K517="SEAGREEN",PR!$BE515,IF(K517="SKG",PR!$BF515,IF(K517="TAH",PR!$BG515,IF(K517="TAYLEK",PR!$BH515,IF(K517="TEMITA",PR!$BI515,IF(K517="THL",PR!$BJ515,IF(K517="UBASTIC",PR!$BK515,IF(K517="UNION",PR!$BL515,IF(K517="UNIQUE",PR!$BM515,IF(K517="VIXA",PR!$BN515,IF(K517="WWCV",PR!$BO515,IF(K517="ZOLON",PR!$BP515,"-")))))))))))))))))))))))))))))))))))))))))))))))))))))))))))))))))</f>
        <v>1155.3599999999999</v>
      </c>
    </row>
    <row r="518" spans="1:12" ht="18.75" x14ac:dyDescent="0.3">
      <c r="A518" s="430">
        <f>PR!A516</f>
        <v>466</v>
      </c>
      <c r="B518" s="15" t="str">
        <f>PR!B516</f>
        <v>SALBUTAMOL NEBULES 2.5MG</v>
      </c>
      <c r="C518" s="113">
        <f>PR!D516</f>
        <v>20</v>
      </c>
      <c r="D518" s="113">
        <f>PR!C516</f>
        <v>100</v>
      </c>
      <c r="E518" s="108">
        <f>IF(F518="ALPHA",PR!$E516,IF(F518="ASSENE",PR!$F516,IF(F518="BIOFEM",PR!$G516,IF(F518="BIOMED",PR!$H516,IF(F518="CHI",PR!$I516,IF(F518="CLARION",PR!$J516,IF(F518="CODIX",PR!$K516,IF(F518="COSMADE",PR!$L516,IF(F518="SANCON",PR!$M516,IF(F518="DEVON",PR!$N516,IF(F518="DORTEMAG",PR!$O516,IF(F518="DGF",PR!$P516,IF(F518="DYNAMIC",PR!$Q516,IF(F518="EMZOR",PR!$R516,IF(F518="EUMATT",PR!$S516,IF(F518="FIDSON",PR!$T516,IF(F518="FCGLOBAL",PR!$U516,IF(F518="GENEITH",PR!$V516,IF(F518="GINOS",PR!$W516,IF(F518="GSK",PR!$X516,IF(F518="GLOBORG",PR!$Y516,IF(F518="GOODNEWS",PR!$Z516,IF(F518="GREENLIFE",PR!$AA516,IF(F518="HLINE",PR!$AB516,IF(F518="ROTECH",PR!$AC516,IF(F518="ISN",PR!$AD516,IF(F518="JAWA",PR!$AE516,IF(F518="LAYO",PR!$AF516,IF(F518="LEADWAY",PR!$AG516,IF(F518="LHV",PR!$AH516,IF(F518="MANOLA",PR!$AI516,IF(F518="MARCSON",PR!$AJ516,IF(F518="M&amp;B",PR!$AK516,IF(F518="MTRUST",PR!$AL516,IF(F518="MWORLD",PR!$AM516,IF(F518="MEGA",PR!$AN516,IF(F518="MICRONOVA",PR!$AO516,IF(F518="MFLASH",PR!$AP516,IF(F518="MORISON",PR!$AQ516,IF(F518="NEMEL",PR!$AR516,IF(F518="NHP",PR!$AS516,IF(F518="NHC",PR!$AT516,IF(F518="OLEAF",PR!$AU516,IF(F518="OCULUS",PR!$AV516,IF(F518="PACIFIC",PR!$AW516,IF(F518="PHAMATEX",PR!$AX516,IF(F518="PETHICS",PR!$AY516,IF(F518="PHILIPS",PR!$AZ516,IF(F518="RANBAXY",PR!$BA516,IF(F518="REALS",PR!$BB516,IF(F518="ROYAL",PR!$BC516,IF(F518="SAM",PR!$BD516,IF(F518="SEAGREEN",PR!$BE516,IF(F518="SKG",PR!$BF516,IF(F518="TAH",PR!$BG516,IF(F518="TAYLEK",PR!$BH516,IF(F518="TEMITA",PR!$BI516,IF(F518="THL",PR!$BJ516,IF(F518="UBASTIC",PR!$BK516,IF(F518="UNION",PR!$BL516,IF(F518="UNIQUE",PR!$BM516,IF(F518="VIXA",PR!$BN516,IF(F518="WWCV",PR!$BO516,IF(F518="ZOLON",PR!$BP516,"-"))))))))))))))))))))))))))))))))))))))))))))))))))))))))))))))))</f>
        <v>1700</v>
      </c>
      <c r="F518" s="102" t="str">
        <f>EV!L650</f>
        <v>EUMATT</v>
      </c>
      <c r="G518" s="108">
        <f>IF(H518="ALPHA",PR!$E516,IF(H518="ASSENE",PR!$F516,IF(H518="BIOFEM",PR!$G516,IF(H518="BIOMED",PR!$H516,IF(H518="CHI",PR!$I516,IF(H518="CLARION",PR!$J516,IF(H518="CODIX",PR!$K516,IF(H518="COSMADE",PR!$L516,IF(H518="SANCON",PR!$M516,IF(H518="DEVON",PR!$N516,IF(H518="DORTEMAG",PR!$O516,IF(H518="DGF",PR!$P516,IF(H518="DYNAMIC",PR!$Q516,IF(H518="EMZOR",PR!$R516,IF(H518="EUMATT",PR!$S516,IF(H518="FIDSON",PR!$T516,IF(H518="FCGLOBAL",PR!$U516,IF(H518="GENEITH",PR!$V516,IF(H518="GINOS",PR!$W516,IF(H518="GSK",PR!$X516,IF(H518="GLOBORG",PR!$Y516,IF(H518="GOODNEWS",PR!$Z516,IF(H518="GREENLIFE",PR!$AA516,IF(H518="HLINE",PR!$AB516,IF(H518="ROTECH",PR!$AC516,IF(H518="ISN",PR!$AD516,IF(H518="JAWA",PR!$AE516,IF(H518="LAYO",PR!$AF516,IF(H518="LEADWAY",PR!$AG516,IF(H518="LHV",PR!$AH516,IF(H518="MANOLA",PR!$AI516,IF(H518="MARCSON",PR!$AJ516,IF(H518="M&amp;B",PR!$AK516,IF(H518="MTRUST",PR!$AL516,IF(H518="MWORLD",PR!$AM516,IF(H518="MEGA",PR!$AN516,IF(H518="MICRONOVA",PR!$AO516,IF(H518="MFLASH",PR!$AP516,IF(H518="MORISON",PR!$AQ516,IF(H518="NEMEL",PR!$AR516,IF(H518="NHP",PR!$AS516,IF(H518="NHC",PR!$AT516,IF(H518="OLEAF",PR!$AU516,IF(H518="OCULUS",PR!$AV516,IF(H518="PACIFIC",PR!$AW516,IF(H518="PHAMATEX",PR!$AX516,IF(H518="PETHICS",PR!$AY516,IF(H518="PHILIPS",PR!$AZ516,IF(H518="RANBAXY",PR!$BA516,IF(H518="REALS",PR!$BB516,IF(H518="ROYAL",PR!$BC516,IF(H518="SAM",PR!$BD516,IF(H518="SEAGREEN",PR!$BE516,IF(H518="SKG",PR!$BF516,IF(H518="TAH",PR!$BG516,IF(H518="TAYLEK",PR!$BH516,IF(H518="TEMITA",PR!$BI516,IF(H518="THL",PR!$BJ516,IF(H518="UBASTIC",PR!$BK516,IF(H518="UNION",PR!$BL516,IF(H518="UNIQUE",PR!$BM516,IF(H518="VIXA",PR!$BN516,IF(H518="WWCV",PR!$BO516,IF(H518="ZOLON",PR!$BP516,"-"))))))))))))))))))))))))))))))))))))))))))))))))))))))))))))))))</f>
        <v>2850</v>
      </c>
      <c r="H518" s="102" t="str">
        <f>EV!M650</f>
        <v>ALPHA</v>
      </c>
      <c r="I518" s="108" t="str">
        <f>IF(J518="ALPHA",PR!$E516,IF(J518="ASSENE",PR!$F516,IF(J518="BIOFEM",PR!$G516,IF(J518="BIOMED",PR!$H516,IF(J518="CHI",PR!$I516,IF(J518="CLARION",PR!$J516,IF(J518="CODIX",PR!$K516,IF(J518="COSMADE",PR!$L516,IF(J518="SANCON",PR!$M516,IF(J518="DEVON",PR!$N516,IF(J518="DORTEMAG",PR!$O516,IF(J518="DGF",PR!$P516,IF(J518="DYNAMIC",PR!$Q516,IF(J518="EMZOR",PR!$R516,IF(J518="EUMATT",PR!$S516,IF(J518="FIDSON",PR!$T516,IF(J518="FCGLOBAL",PR!$U516,IF(J518="GENEITH",PR!$V516,IF(J518="GINOS",PR!$W516,IF(J518="GSK",PR!$X516,IF(J518="GLOBORG",PR!$Y516,IF(J518="GOODNEWS",PR!$Z516,IF(J518="GREENLIFE",PR!$AA516,IF(J518="HLINE",PR!$AB516,IF(J518="ROTECH",PR!$AC516,IF(J518="ISN",PR!$AD516,IF(J518="JAWA",PR!$AE516,IF(J518="LAYO",PR!$AF516,IF(J518="LEADWAY",PR!$AG516,IF(J518="LHV",PR!$AH516,IF(J518="MANOLA",PR!$AI516,IF(J518="MARCSON",PR!$AJ516,IF(J518="M&amp;B",PR!$AK516,IF(J518="MTRUST",PR!$AL516,IF(J518="MWORLD",PR!$AM516,IF(J518="MEGA",PR!$AN516,IF(J518="MICRONOVA",PR!$AO516,IF(J518="MFLASH",PR!$AP516,IF(J518="MORISON",PR!$AQ516,IF(J518="NEMEL",PR!$AR516,IF(J518="NHP",PR!$AS516,IF(J518="NHC",PR!$AT516,IF(J518="OLEAF",PR!$AU516,IF(J518="OCULUS",PR!$AV516,IF(J518="PACIFIC",PR!$AW516,IF(J518="PHAMATEX",PR!$AX516,IF(J518="PETHICS",PR!$AY516,IF(J518="PHILIPS",PR!$AZ516,IF(J518="RANBAXY",PR!$BA516,IF(J518="REALS",PR!$BB516,IF(J518="ROYAL",PR!$BC516,IF(J518="SAM",PR!$BD516,IF(J518="SEAGREEN",PR!$BE516,IF(J518="SKG",PR!$BF516,IF(J518="TAH",PR!$BG516,IF(J518="TAYLEK",PR!$BH516,IF(J518="TEMITA",PR!$BI516,IF(J518="THL",PR!$BJ516,IF(J518="UBASTIC",PR!$BK516,IF(J518="UNION",PR!$BL516,IF(J518="UNIQUE",PR!$BM516,IF(J518="VIXA",PR!$BN516,IF(J518="WWCV",PR!$BO516,IF(J518="ZOLON",PR!$BP516,"-"))))))))))))))))))))))))))))))))))))))))))))))))))))))))))))))))</f>
        <v>-</v>
      </c>
      <c r="J518" s="102">
        <f>EV!N650</f>
        <v>0</v>
      </c>
      <c r="K518" s="433" t="s">
        <v>634</v>
      </c>
      <c r="L518" s="183">
        <f>IF(K518&gt;0,IF(K518="ALPHA",PR!$E516,IF(K518="ASSENE",PR!$F516,IF(K518="BIOFEM",PR!$G516,IF(K518="BIOMED",PR!$H516,IF(K518="CHI",PR!$I516,IF(K518="CLARION",PR!$J516,IF(K518="CODIX",PR!$K516,IF(K518="COSMADE",PR!$L516,IF(K518="SANCON",PR!$M516,IF(K518="DEVON",PR!$N516,IF(K518="DORTEMAG",PR!$O516,IF(K518="DGF",PR!$P516,IF(K518="DYNAMIC",PR!$Q516,IF(K518="EMZOR",PR!$R516,IF(K518="EUMATT",PR!$S516,IF(K518="FIDSON",PR!$T516,IF(K518="FCGLOBAL",PR!$U516,IF(K518="GENEITH",PR!$V516,IF(K518="GINOS",PR!$W516,IF(K518="GSK",PR!$X516,IF(K518="GLOBORG",PR!$Y516,IF(K518="GOODNEWS",PR!$Z516,IF(K518="GREENLIFE",PR!$AA516,IF(K518="HLINE",PR!$AB516,IF(K518="ROTECH",PR!$AC516,IF(K518="ISN",PR!$AD516,IF(K518="JAWA",PR!$AE516,IF(K518="LAYO",PR!$AF516,IF(K518="LEADWAY",PR!$AG516,IF(K518="LHV",PR!$AH516,IF(K518="MANOLA",PR!$AI516,IF(K518="MARCSON",PR!$AJ516,IF(K518="M&amp;B",PR!$AK516,IF(K518="MTRUST",PR!$AL516,IF(K518="MWORLD",PR!$AM516,IF(K518="MEGA",PR!$AN516,IF(K518="MICRONOVA",PR!$AO516,IF(K518="MFLASH",PR!$AP516,IF(K518="MORISON",PR!$AQ516,IF(K518="NEMEL",PR!$AR516,IF(K518="NHP",PR!$AS516,IF(K518="NHC",PR!$AT516,IF(K518="OLEAF",PR!$AU516,IF(K518="OCULUS",PR!$AV516,IF(K518="PACIFIC",PR!$AW516,IF(K518="PHAMATEX",PR!$AX516,IF(K518="PETHICS",PR!$AY516,IF(K518="PHILIPS",PR!$AZ516,IF(K518="RANBAXY",PR!$BA516,IF(K518="REALS",PR!$BB516,IF(K518="ROYAL",PR!$BC516,IF(K518="SAM",PR!$BD516,IF(K518="SEAGREEN",PR!$BE516,IF(K518="SKG",PR!$BF516,IF(K518="TAH",PR!$BG516,IF(K518="TAYLEK",PR!$BH516,IF(K518="TEMITA",PR!$BI516,IF(K518="THL",PR!$BJ516,IF(K518="UBASTIC",PR!$BK516,IF(K518="UNION",PR!$BL516,IF(K518="UNIQUE",PR!$BM516,IF(K518="VIXA",PR!$BN516,IF(K518="WWCV",PR!$BO516,IF(K518="ZOLON",PR!$BP516,"-")))))))))))))))))))))))))))))))))))))))))))))))))))))))))))))))))</f>
        <v>2850</v>
      </c>
    </row>
    <row r="519" spans="1:12" ht="18.75" x14ac:dyDescent="0.3">
      <c r="A519" s="430">
        <f>PR!A517</f>
        <v>467</v>
      </c>
      <c r="B519" s="15" t="str">
        <f>PR!B517</f>
        <v>SALBUTAMOL NEBULES 5MG</v>
      </c>
      <c r="C519" s="113">
        <f>PR!D517</f>
        <v>20</v>
      </c>
      <c r="D519" s="113">
        <f>PR!C517</f>
        <v>40</v>
      </c>
      <c r="E519" s="108">
        <f>IF(F519="ALPHA",PR!$E517,IF(F519="ASSENE",PR!$F517,IF(F519="BIOFEM",PR!$G517,IF(F519="BIOMED",PR!$H517,IF(F519="CHI",PR!$I517,IF(F519="CLARION",PR!$J517,IF(F519="CODIX",PR!$K517,IF(F519="COSMADE",PR!$L517,IF(F519="SANCON",PR!$M517,IF(F519="DEVON",PR!$N517,IF(F519="DORTEMAG",PR!$O517,IF(F519="DGF",PR!$P517,IF(F519="DYNAMIC",PR!$Q517,IF(F519="EMZOR",PR!$R517,IF(F519="EUMATT",PR!$S517,IF(F519="FIDSON",PR!$T517,IF(F519="FCGLOBAL",PR!$U517,IF(F519="GENEITH",PR!$V517,IF(F519="GINOS",PR!$W517,IF(F519="GSK",PR!$X517,IF(F519="GLOBORG",PR!$Y517,IF(F519="GOODNEWS",PR!$Z517,IF(F519="GREENLIFE",PR!$AA517,IF(F519="HLINE",PR!$AB517,IF(F519="ROTECH",PR!$AC517,IF(F519="ISN",PR!$AD517,IF(F519="JAWA",PR!$AE517,IF(F519="LAYO",PR!$AF517,IF(F519="LEADWAY",PR!$AG517,IF(F519="LHV",PR!$AH517,IF(F519="MANOLA",PR!$AI517,IF(F519="MARCSON",PR!$AJ517,IF(F519="M&amp;B",PR!$AK517,IF(F519="MTRUST",PR!$AL517,IF(F519="MWORLD",PR!$AM517,IF(F519="MEGA",PR!$AN517,IF(F519="MICRONOVA",PR!$AO517,IF(F519="MFLASH",PR!$AP517,IF(F519="MORISON",PR!$AQ517,IF(F519="NEMEL",PR!$AR517,IF(F519="NHP",PR!$AS517,IF(F519="NHC",PR!$AT517,IF(F519="OLEAF",PR!$AU517,IF(F519="OCULUS",PR!$AV517,IF(F519="PACIFIC",PR!$AW517,IF(F519="PHAMATEX",PR!$AX517,IF(F519="PETHICS",PR!$AY517,IF(F519="PHILIPS",PR!$AZ517,IF(F519="RANBAXY",PR!$BA517,IF(F519="REALS",PR!$BB517,IF(F519="ROYAL",PR!$BC517,IF(F519="SAM",PR!$BD517,IF(F519="SEAGREEN",PR!$BE517,IF(F519="SKG",PR!$BF517,IF(F519="TAH",PR!$BG517,IF(F519="TAYLEK",PR!$BH517,IF(F519="TEMITA",PR!$BI517,IF(F519="THL",PR!$BJ517,IF(F519="UBASTIC",PR!$BK517,IF(F519="UNION",PR!$BL517,IF(F519="UNIQUE",PR!$BM517,IF(F519="VIXA",PR!$BN517,IF(F519="WWCV",PR!$BO517,IF(F519="ZOLON",PR!$BP517,"-"))))))))))))))))))))))))))))))))))))))))))))))))))))))))))))))))</f>
        <v>3000</v>
      </c>
      <c r="F519" s="102" t="str">
        <f>EV!L651</f>
        <v>EUMATT</v>
      </c>
      <c r="G519" s="108">
        <f>IF(H519="ALPHA",PR!$E517,IF(H519="ASSENE",PR!$F517,IF(H519="BIOFEM",PR!$G517,IF(H519="BIOMED",PR!$H517,IF(H519="CHI",PR!$I517,IF(H519="CLARION",PR!$J517,IF(H519="CODIX",PR!$K517,IF(H519="COSMADE",PR!$L517,IF(H519="SANCON",PR!$M517,IF(H519="DEVON",PR!$N517,IF(H519="DORTEMAG",PR!$O517,IF(H519="DGF",PR!$P517,IF(H519="DYNAMIC",PR!$Q517,IF(H519="EMZOR",PR!$R517,IF(H519="EUMATT",PR!$S517,IF(H519="FIDSON",PR!$T517,IF(H519="FCGLOBAL",PR!$U517,IF(H519="GENEITH",PR!$V517,IF(H519="GINOS",PR!$W517,IF(H519="GSK",PR!$X517,IF(H519="GLOBORG",PR!$Y517,IF(H519="GOODNEWS",PR!$Z517,IF(H519="GREENLIFE",PR!$AA517,IF(H519="HLINE",PR!$AB517,IF(H519="ROTECH",PR!$AC517,IF(H519="ISN",PR!$AD517,IF(H519="JAWA",PR!$AE517,IF(H519="LAYO",PR!$AF517,IF(H519="LEADWAY",PR!$AG517,IF(H519="LHV",PR!$AH517,IF(H519="MANOLA",PR!$AI517,IF(H519="MARCSON",PR!$AJ517,IF(H519="M&amp;B",PR!$AK517,IF(H519="MTRUST",PR!$AL517,IF(H519="MWORLD",PR!$AM517,IF(H519="MEGA",PR!$AN517,IF(H519="MICRONOVA",PR!$AO517,IF(H519="MFLASH",PR!$AP517,IF(H519="MORISON",PR!$AQ517,IF(H519="NEMEL",PR!$AR517,IF(H519="NHP",PR!$AS517,IF(H519="NHC",PR!$AT517,IF(H519="OLEAF",PR!$AU517,IF(H519="OCULUS",PR!$AV517,IF(H519="PACIFIC",PR!$AW517,IF(H519="PHAMATEX",PR!$AX517,IF(H519="PETHICS",PR!$AY517,IF(H519="PHILIPS",PR!$AZ517,IF(H519="RANBAXY",PR!$BA517,IF(H519="REALS",PR!$BB517,IF(H519="ROYAL",PR!$BC517,IF(H519="SAM",PR!$BD517,IF(H519="SEAGREEN",PR!$BE517,IF(H519="SKG",PR!$BF517,IF(H519="TAH",PR!$BG517,IF(H519="TAYLEK",PR!$BH517,IF(H519="TEMITA",PR!$BI517,IF(H519="THL",PR!$BJ517,IF(H519="UBASTIC",PR!$BK517,IF(H519="UNION",PR!$BL517,IF(H519="UNIQUE",PR!$BM517,IF(H519="VIXA",PR!$BN517,IF(H519="WWCV",PR!$BO517,IF(H519="ZOLON",PR!$BP517,"-"))))))))))))))))))))))))))))))))))))))))))))))))))))))))))))))))</f>
        <v>3850</v>
      </c>
      <c r="H519" s="102" t="str">
        <f>EV!M651</f>
        <v>ALPHA</v>
      </c>
      <c r="I519" s="108" t="str">
        <f>IF(J519="ALPHA",PR!$E517,IF(J519="ASSENE",PR!$F517,IF(J519="BIOFEM",PR!$G517,IF(J519="BIOMED",PR!$H517,IF(J519="CHI",PR!$I517,IF(J519="CLARION",PR!$J517,IF(J519="CODIX",PR!$K517,IF(J519="COSMADE",PR!$L517,IF(J519="SANCON",PR!$M517,IF(J519="DEVON",PR!$N517,IF(J519="DORTEMAG",PR!$O517,IF(J519="DGF",PR!$P517,IF(J519="DYNAMIC",PR!$Q517,IF(J519="EMZOR",PR!$R517,IF(J519="EUMATT",PR!$S517,IF(J519="FIDSON",PR!$T517,IF(J519="FCGLOBAL",PR!$U517,IF(J519="GENEITH",PR!$V517,IF(J519="GINOS",PR!$W517,IF(J519="GSK",PR!$X517,IF(J519="GLOBORG",PR!$Y517,IF(J519="GOODNEWS",PR!$Z517,IF(J519="GREENLIFE",PR!$AA517,IF(J519="HLINE",PR!$AB517,IF(J519="ROTECH",PR!$AC517,IF(J519="ISN",PR!$AD517,IF(J519="JAWA",PR!$AE517,IF(J519="LAYO",PR!$AF517,IF(J519="LEADWAY",PR!$AG517,IF(J519="LHV",PR!$AH517,IF(J519="MANOLA",PR!$AI517,IF(J519="MARCSON",PR!$AJ517,IF(J519="M&amp;B",PR!$AK517,IF(J519="MTRUST",PR!$AL517,IF(J519="MWORLD",PR!$AM517,IF(J519="MEGA",PR!$AN517,IF(J519="MICRONOVA",PR!$AO517,IF(J519="MFLASH",PR!$AP517,IF(J519="MORISON",PR!$AQ517,IF(J519="NEMEL",PR!$AR517,IF(J519="NHP",PR!$AS517,IF(J519="NHC",PR!$AT517,IF(J519="OLEAF",PR!$AU517,IF(J519="OCULUS",PR!$AV517,IF(J519="PACIFIC",PR!$AW517,IF(J519="PHAMATEX",PR!$AX517,IF(J519="PETHICS",PR!$AY517,IF(J519="PHILIPS",PR!$AZ517,IF(J519="RANBAXY",PR!$BA517,IF(J519="REALS",PR!$BB517,IF(J519="ROYAL",PR!$BC517,IF(J519="SAM",PR!$BD517,IF(J519="SEAGREEN",PR!$BE517,IF(J519="SKG",PR!$BF517,IF(J519="TAH",PR!$BG517,IF(J519="TAYLEK",PR!$BH517,IF(J519="TEMITA",PR!$BI517,IF(J519="THL",PR!$BJ517,IF(J519="UBASTIC",PR!$BK517,IF(J519="UNION",PR!$BL517,IF(J519="UNIQUE",PR!$BM517,IF(J519="VIXA",PR!$BN517,IF(J519="WWCV",PR!$BO517,IF(J519="ZOLON",PR!$BP517,"-"))))))))))))))))))))))))))))))))))))))))))))))))))))))))))))))))</f>
        <v>-</v>
      </c>
      <c r="J519" s="102">
        <f>EV!N651</f>
        <v>0</v>
      </c>
      <c r="K519" s="433" t="s">
        <v>634</v>
      </c>
      <c r="L519" s="183">
        <f>IF(K519&gt;0,IF(K519="ALPHA",PR!$E517,IF(K519="ASSENE",PR!$F517,IF(K519="BIOFEM",PR!$G517,IF(K519="BIOMED",PR!$H517,IF(K519="CHI",PR!$I517,IF(K519="CLARION",PR!$J517,IF(K519="CODIX",PR!$K517,IF(K519="COSMADE",PR!$L517,IF(K519="SANCON",PR!$M517,IF(K519="DEVON",PR!$N517,IF(K519="DORTEMAG",PR!$O517,IF(K519="DGF",PR!$P517,IF(K519="DYNAMIC",PR!$Q517,IF(K519="EMZOR",PR!$R517,IF(K519="EUMATT",PR!$S517,IF(K519="FIDSON",PR!$T517,IF(K519="FCGLOBAL",PR!$U517,IF(K519="GENEITH",PR!$V517,IF(K519="GINOS",PR!$W517,IF(K519="GSK",PR!$X517,IF(K519="GLOBORG",PR!$Y517,IF(K519="GOODNEWS",PR!$Z517,IF(K519="GREENLIFE",PR!$AA517,IF(K519="HLINE",PR!$AB517,IF(K519="ROTECH",PR!$AC517,IF(K519="ISN",PR!$AD517,IF(K519="JAWA",PR!$AE517,IF(K519="LAYO",PR!$AF517,IF(K519="LEADWAY",PR!$AG517,IF(K519="LHV",PR!$AH517,IF(K519="MANOLA",PR!$AI517,IF(K519="MARCSON",PR!$AJ517,IF(K519="M&amp;B",PR!$AK517,IF(K519="MTRUST",PR!$AL517,IF(K519="MWORLD",PR!$AM517,IF(K519="MEGA",PR!$AN517,IF(K519="MICRONOVA",PR!$AO517,IF(K519="MFLASH",PR!$AP517,IF(K519="MORISON",PR!$AQ517,IF(K519="NEMEL",PR!$AR517,IF(K519="NHP",PR!$AS517,IF(K519="NHC",PR!$AT517,IF(K519="OLEAF",PR!$AU517,IF(K519="OCULUS",PR!$AV517,IF(K519="PACIFIC",PR!$AW517,IF(K519="PHAMATEX",PR!$AX517,IF(K519="PETHICS",PR!$AY517,IF(K519="PHILIPS",PR!$AZ517,IF(K519="RANBAXY",PR!$BA517,IF(K519="REALS",PR!$BB517,IF(K519="ROYAL",PR!$BC517,IF(K519="SAM",PR!$BD517,IF(K519="SEAGREEN",PR!$BE517,IF(K519="SKG",PR!$BF517,IF(K519="TAH",PR!$BG517,IF(K519="TAYLEK",PR!$BH517,IF(K519="TEMITA",PR!$BI517,IF(K519="THL",PR!$BJ517,IF(K519="UBASTIC",PR!$BK517,IF(K519="UNION",PR!$BL517,IF(K519="UNIQUE",PR!$BM517,IF(K519="VIXA",PR!$BN517,IF(K519="WWCV",PR!$BO517,IF(K519="ZOLON",PR!$BP517,"-")))))))))))))))))))))))))))))))))))))))))))))))))))))))))))))))))</f>
        <v>3850</v>
      </c>
    </row>
    <row r="520" spans="1:12" ht="18.75" x14ac:dyDescent="0.3">
      <c r="A520" s="430">
        <f>PR!A518</f>
        <v>468</v>
      </c>
      <c r="B520" s="15" t="str">
        <f>PR!B518</f>
        <v>SALBUTAMOL SYRUP</v>
      </c>
      <c r="C520" s="113" t="str">
        <f>PR!D518</f>
        <v>BOTT</v>
      </c>
      <c r="D520" s="113">
        <f>PR!C518</f>
        <v>60</v>
      </c>
      <c r="E520" s="108">
        <f>IF(F520="ALPHA",PR!$E518,IF(F520="ASSENE",PR!$F518,IF(F520="BIOFEM",PR!$G518,IF(F520="BIOMED",PR!$H518,IF(F520="CHI",PR!$I518,IF(F520="CLARION",PR!$J518,IF(F520="CODIX",PR!$K518,IF(F520="COSMADE",PR!$L518,IF(F520="SANCON",PR!$M518,IF(F520="DEVON",PR!$N518,IF(F520="DORTEMAG",PR!$O518,IF(F520="DGF",PR!$P518,IF(F520="DYNAMIC",PR!$Q518,IF(F520="EMZOR",PR!$R518,IF(F520="EUMATT",PR!$S518,IF(F520="FIDSON",PR!$T518,IF(F520="FCGLOBAL",PR!$U518,IF(F520="GENEITH",PR!$V518,IF(F520="GINOS",PR!$W518,IF(F520="GSK",PR!$X518,IF(F520="GLOBORG",PR!$Y518,IF(F520="GOODNEWS",PR!$Z518,IF(F520="GREENLIFE",PR!$AA518,IF(F520="HLINE",PR!$AB518,IF(F520="ROTECH",PR!$AC518,IF(F520="ISN",PR!$AD518,IF(F520="JAWA",PR!$AE518,IF(F520="LAYO",PR!$AF518,IF(F520="LEADWAY",PR!$AG518,IF(F520="LHV",PR!$AH518,IF(F520="MANOLA",PR!$AI518,IF(F520="MARCSON",PR!$AJ518,IF(F520="M&amp;B",PR!$AK518,IF(F520="MTRUST",PR!$AL518,IF(F520="MWORLD",PR!$AM518,IF(F520="MEGA",PR!$AN518,IF(F520="MICRONOVA",PR!$AO518,IF(F520="MFLASH",PR!$AP518,IF(F520="MORISON",PR!$AQ518,IF(F520="NEMEL",PR!$AR518,IF(F520="NHP",PR!$AS518,IF(F520="NHC",PR!$AT518,IF(F520="OLEAF",PR!$AU518,IF(F520="OCULUS",PR!$AV518,IF(F520="PACIFIC",PR!$AW518,IF(F520="PHAMATEX",PR!$AX518,IF(F520="PETHICS",PR!$AY518,IF(F520="PHILIPS",PR!$AZ518,IF(F520="RANBAXY",PR!$BA518,IF(F520="REALS",PR!$BB518,IF(F520="ROYAL",PR!$BC518,IF(F520="SAM",PR!$BD518,IF(F520="SEAGREEN",PR!$BE518,IF(F520="SKG",PR!$BF518,IF(F520="TAH",PR!$BG518,IF(F520="TAYLEK",PR!$BH518,IF(F520="TEMITA",PR!$BI518,IF(F520="THL",PR!$BJ518,IF(F520="UBASTIC",PR!$BK518,IF(F520="UNION",PR!$BL518,IF(F520="UNIQUE",PR!$BM518,IF(F520="VIXA",PR!$BN518,IF(F520="WWCV",PR!$BO518,IF(F520="ZOLON",PR!$BP518,"-"))))))))))))))))))))))))))))))))))))))))))))))))))))))))))))))))</f>
        <v>200</v>
      </c>
      <c r="F520" s="102" t="str">
        <f>EV!L652</f>
        <v>FIDSON</v>
      </c>
      <c r="G520" s="108">
        <f>IF(H520="ALPHA",PR!$E518,IF(H520="ASSENE",PR!$F518,IF(H520="BIOFEM",PR!$G518,IF(H520="BIOMED",PR!$H518,IF(H520="CHI",PR!$I518,IF(H520="CLARION",PR!$J518,IF(H520="CODIX",PR!$K518,IF(H520="COSMADE",PR!$L518,IF(H520="SANCON",PR!$M518,IF(H520="DEVON",PR!$N518,IF(H520="DORTEMAG",PR!$O518,IF(H520="DGF",PR!$P518,IF(H520="DYNAMIC",PR!$Q518,IF(H520="EMZOR",PR!$R518,IF(H520="EUMATT",PR!$S518,IF(H520="FIDSON",PR!$T518,IF(H520="FCGLOBAL",PR!$U518,IF(H520="GENEITH",PR!$V518,IF(H520="GINOS",PR!$W518,IF(H520="GSK",PR!$X518,IF(H520="GLOBORG",PR!$Y518,IF(H520="GOODNEWS",PR!$Z518,IF(H520="GREENLIFE",PR!$AA518,IF(H520="HLINE",PR!$AB518,IF(H520="ROTECH",PR!$AC518,IF(H520="ISN",PR!$AD518,IF(H520="JAWA",PR!$AE518,IF(H520="LAYO",PR!$AF518,IF(H520="LEADWAY",PR!$AG518,IF(H520="LHV",PR!$AH518,IF(H520="MANOLA",PR!$AI518,IF(H520="MARCSON",PR!$AJ518,IF(H520="M&amp;B",PR!$AK518,IF(H520="MTRUST",PR!$AL518,IF(H520="MWORLD",PR!$AM518,IF(H520="MEGA",PR!$AN518,IF(H520="MICRONOVA",PR!$AO518,IF(H520="MFLASH",PR!$AP518,IF(H520="MORISON",PR!$AQ518,IF(H520="NEMEL",PR!$AR518,IF(H520="NHP",PR!$AS518,IF(H520="NHC",PR!$AT518,IF(H520="OLEAF",PR!$AU518,IF(H520="OCULUS",PR!$AV518,IF(H520="PACIFIC",PR!$AW518,IF(H520="PHAMATEX",PR!$AX518,IF(H520="PETHICS",PR!$AY518,IF(H520="PHILIPS",PR!$AZ518,IF(H520="RANBAXY",PR!$BA518,IF(H520="REALS",PR!$BB518,IF(H520="ROYAL",PR!$BC518,IF(H520="SAM",PR!$BD518,IF(H520="SEAGREEN",PR!$BE518,IF(H520="SKG",PR!$BF518,IF(H520="TAH",PR!$BG518,IF(H520="TAYLEK",PR!$BH518,IF(H520="TEMITA",PR!$BI518,IF(H520="THL",PR!$BJ518,IF(H520="UBASTIC",PR!$BK518,IF(H520="UNION",PR!$BL518,IF(H520="UNIQUE",PR!$BM518,IF(H520="VIXA",PR!$BN518,IF(H520="WWCV",PR!$BO518,IF(H520="ZOLON",PR!$BP518,"-"))))))))))))))))))))))))))))))))))))))))))))))))))))))))))))))))</f>
        <v>240</v>
      </c>
      <c r="H520" s="102" t="str">
        <f>EV!M652</f>
        <v>JAWA</v>
      </c>
      <c r="I520" s="108">
        <f>IF(J520="ALPHA",PR!$E518,IF(J520="ASSENE",PR!$F518,IF(J520="BIOFEM",PR!$G518,IF(J520="BIOMED",PR!$H518,IF(J520="CHI",PR!$I518,IF(J520="CLARION",PR!$J518,IF(J520="CODIX",PR!$K518,IF(J520="COSMADE",PR!$L518,IF(J520="SANCON",PR!$M518,IF(J520="DEVON",PR!$N518,IF(J520="DORTEMAG",PR!$O518,IF(J520="DGF",PR!$P518,IF(J520="DYNAMIC",PR!$Q518,IF(J520="EMZOR",PR!$R518,IF(J520="EUMATT",PR!$S518,IF(J520="FIDSON",PR!$T518,IF(J520="FCGLOBAL",PR!$U518,IF(J520="GENEITH",PR!$V518,IF(J520="GINOS",PR!$W518,IF(J520="GSK",PR!$X518,IF(J520="GLOBORG",PR!$Y518,IF(J520="GOODNEWS",PR!$Z518,IF(J520="GREENLIFE",PR!$AA518,IF(J520="HLINE",PR!$AB518,IF(J520="ROTECH",PR!$AC518,IF(J520="ISN",PR!$AD518,IF(J520="JAWA",PR!$AE518,IF(J520="LAYO",PR!$AF518,IF(J520="LEADWAY",PR!$AG518,IF(J520="LHV",PR!$AH518,IF(J520="MANOLA",PR!$AI518,IF(J520="MARCSON",PR!$AJ518,IF(J520="M&amp;B",PR!$AK518,IF(J520="MTRUST",PR!$AL518,IF(J520="MWORLD",PR!$AM518,IF(J520="MEGA",PR!$AN518,IF(J520="MICRONOVA",PR!$AO518,IF(J520="MFLASH",PR!$AP518,IF(J520="MORISON",PR!$AQ518,IF(J520="NEMEL",PR!$AR518,IF(J520="NHP",PR!$AS518,IF(J520="NHC",PR!$AT518,IF(J520="OLEAF",PR!$AU518,IF(J520="OCULUS",PR!$AV518,IF(J520="PACIFIC",PR!$AW518,IF(J520="PHAMATEX",PR!$AX518,IF(J520="PETHICS",PR!$AY518,IF(J520="PHILIPS",PR!$AZ518,IF(J520="RANBAXY",PR!$BA518,IF(J520="REALS",PR!$BB518,IF(J520="ROYAL",PR!$BC518,IF(J520="SAM",PR!$BD518,IF(J520="SEAGREEN",PR!$BE518,IF(J520="SKG",PR!$BF518,IF(J520="TAH",PR!$BG518,IF(J520="TAYLEK",PR!$BH518,IF(J520="TEMITA",PR!$BI518,IF(J520="THL",PR!$BJ518,IF(J520="UBASTIC",PR!$BK518,IF(J520="UNION",PR!$BL518,IF(J520="UNIQUE",PR!$BM518,IF(J520="VIXA",PR!$BN518,IF(J520="WWCV",PR!$BO518,IF(J520="ZOLON",PR!$BP518,"-"))))))))))))))))))))))))))))))))))))))))))))))))))))))))))))))))</f>
        <v>250</v>
      </c>
      <c r="J520" s="102" t="str">
        <f>EV!N652</f>
        <v>THL</v>
      </c>
      <c r="K520" s="433" t="s">
        <v>631</v>
      </c>
      <c r="L520" s="183">
        <f>IF(K520&gt;0,IF(K520="ALPHA",PR!$E518,IF(K520="ASSENE",PR!$F518,IF(K520="BIOFEM",PR!$G518,IF(K520="BIOMED",PR!$H518,IF(K520="CHI",PR!$I518,IF(K520="CLARION",PR!$J518,IF(K520="CODIX",PR!$K518,IF(K520="COSMADE",PR!$L518,IF(K520="SANCON",PR!$M518,IF(K520="DEVON",PR!$N518,IF(K520="DORTEMAG",PR!$O518,IF(K520="DGF",PR!$P518,IF(K520="DYNAMIC",PR!$Q518,IF(K520="EMZOR",PR!$R518,IF(K520="EUMATT",PR!$S518,IF(K520="FIDSON",PR!$T518,IF(K520="FCGLOBAL",PR!$U518,IF(K520="GENEITH",PR!$V518,IF(K520="GINOS",PR!$W518,IF(K520="GSK",PR!$X518,IF(K520="GLOBORG",PR!$Y518,IF(K520="GOODNEWS",PR!$Z518,IF(K520="GREENLIFE",PR!$AA518,IF(K520="HLINE",PR!$AB518,IF(K520="ROTECH",PR!$AC518,IF(K520="ISN",PR!$AD518,IF(K520="JAWA",PR!$AE518,IF(K520="LAYO",PR!$AF518,IF(K520="LEADWAY",PR!$AG518,IF(K520="LHV",PR!$AH518,IF(K520="MANOLA",PR!$AI518,IF(K520="MARCSON",PR!$AJ518,IF(K520="M&amp;B",PR!$AK518,IF(K520="MTRUST",PR!$AL518,IF(K520="MWORLD",PR!$AM518,IF(K520="MEGA",PR!$AN518,IF(K520="MICRONOVA",PR!$AO518,IF(K520="MFLASH",PR!$AP518,IF(K520="MORISON",PR!$AQ518,IF(K520="NEMEL",PR!$AR518,IF(K520="NHP",PR!$AS518,IF(K520="NHC",PR!$AT518,IF(K520="OLEAF",PR!$AU518,IF(K520="OCULUS",PR!$AV518,IF(K520="PACIFIC",PR!$AW518,IF(K520="PHAMATEX",PR!$AX518,IF(K520="PETHICS",PR!$AY518,IF(K520="PHILIPS",PR!$AZ518,IF(K520="RANBAXY",PR!$BA518,IF(K520="REALS",PR!$BB518,IF(K520="ROYAL",PR!$BC518,IF(K520="SAM",PR!$BD518,IF(K520="SEAGREEN",PR!$BE518,IF(K520="SKG",PR!$BF518,IF(K520="TAH",PR!$BG518,IF(K520="TAYLEK",PR!$BH518,IF(K520="TEMITA",PR!$BI518,IF(K520="THL",PR!$BJ518,IF(K520="UBASTIC",PR!$BK518,IF(K520="UNION",PR!$BL518,IF(K520="UNIQUE",PR!$BM518,IF(K520="VIXA",PR!$BN518,IF(K520="WWCV",PR!$BO518,IF(K520="ZOLON",PR!$BP518,"-")))))))))))))))))))))))))))))))))))))))))))))))))))))))))))))))))</f>
        <v>200</v>
      </c>
    </row>
    <row r="521" spans="1:12" ht="18.75" x14ac:dyDescent="0.3">
      <c r="A521" s="430">
        <f>PR!A519</f>
        <v>0</v>
      </c>
      <c r="B521" s="15">
        <f>PR!B519</f>
        <v>0</v>
      </c>
      <c r="C521" s="113">
        <f>PR!D519</f>
        <v>0</v>
      </c>
      <c r="D521" s="113">
        <f>PR!C519</f>
        <v>0</v>
      </c>
      <c r="E521" s="108" t="str">
        <f>IF(F521="ALPHA",PR!$E519,IF(F521="ASSENE",PR!$F519,IF(F521="BIOFEM",PR!$G519,IF(F521="BIOMED",PR!$H519,IF(F521="CHI",PR!$I519,IF(F521="CLARION",PR!$J519,IF(F521="CODIX",PR!$K519,IF(F521="COSMADE",PR!$L519,IF(F521="SANCON",PR!$M519,IF(F521="DEVON",PR!$N519,IF(F521="DORTEMAG",PR!$O519,IF(F521="DGF",PR!$P519,IF(F521="DYNAMIC",PR!$Q519,IF(F521="EMZOR",PR!$R519,IF(F521="EUMATT",PR!$S519,IF(F521="FIDSON",PR!$T519,IF(F521="FCGLOBAL",PR!$U519,IF(F521="GENEITH",PR!$V519,IF(F521="GINOS",PR!$W519,IF(F521="GSK",PR!$X519,IF(F521="GLOBORG",PR!$Y519,IF(F521="GOODNEWS",PR!$Z519,IF(F521="GREENLIFE",PR!$AA519,IF(F521="HLINE",PR!$AB519,IF(F521="ROTECH",PR!$AC519,IF(F521="ISN",PR!$AD519,IF(F521="JAWA",PR!$AE519,IF(F521="LAYO",PR!$AF519,IF(F521="LEADWAY",PR!$AG519,IF(F521="LHV",PR!$AH519,IF(F521="MANOLA",PR!$AI519,IF(F521="MARCSON",PR!$AJ519,IF(F521="M&amp;B",PR!$AK519,IF(F521="MTRUST",PR!$AL519,IF(F521="MWORLD",PR!$AM519,IF(F521="MEGA",PR!$AN519,IF(F521="MICRONOVA",PR!$AO519,IF(F521="MFLASH",PR!$AP519,IF(F521="MORISON",PR!$AQ519,IF(F521="NEMEL",PR!$AR519,IF(F521="NHP",PR!$AS519,IF(F521="NHC",PR!$AT519,IF(F521="OLEAF",PR!$AU519,IF(F521="OCULUS",PR!$AV519,IF(F521="PACIFIC",PR!$AW519,IF(F521="PHAMATEX",PR!$AX519,IF(F521="PETHICS",PR!$AY519,IF(F521="PHILIPS",PR!$AZ519,IF(F521="RANBAXY",PR!$BA519,IF(F521="REALS",PR!$BB519,IF(F521="ROYAL",PR!$BC519,IF(F521="SAM",PR!$BD519,IF(F521="SEAGREEN",PR!$BE519,IF(F521="SKG",PR!$BF519,IF(F521="TAH",PR!$BG519,IF(F521="TAYLEK",PR!$BH519,IF(F521="TEMITA",PR!$BI519,IF(F521="THL",PR!$BJ519,IF(F521="UBASTIC",PR!$BK519,IF(F521="UNION",PR!$BL519,IF(F521="UNIQUE",PR!$BM519,IF(F521="VIXA",PR!$BN519,IF(F521="WWCV",PR!$BO519,IF(F521="ZOLON",PR!$BP519,"-"))))))))))))))))))))))))))))))))))))))))))))))))))))))))))))))))</f>
        <v>-</v>
      </c>
      <c r="F521" s="102"/>
      <c r="G521" s="108" t="str">
        <f>IF(H521="ALPHA",PR!$E519,IF(H521="ASSENE",PR!$F519,IF(H521="BIOFEM",PR!$G519,IF(H521="BIOMED",PR!$H519,IF(H521="CHI",PR!$I519,IF(H521="CLARION",PR!$J519,IF(H521="CODIX",PR!$K519,IF(H521="COSMADE",PR!$L519,IF(H521="SANCON",PR!$M519,IF(H521="DEVON",PR!$N519,IF(H521="DORTEMAG",PR!$O519,IF(H521="DGF",PR!$P519,IF(H521="DYNAMIC",PR!$Q519,IF(H521="EMZOR",PR!$R519,IF(H521="EUMATT",PR!$S519,IF(H521="FIDSON",PR!$T519,IF(H521="FCGLOBAL",PR!$U519,IF(H521="GENEITH",PR!$V519,IF(H521="GINOS",PR!$W519,IF(H521="GSK",PR!$X519,IF(H521="GLOBORG",PR!$Y519,IF(H521="GOODNEWS",PR!$Z519,IF(H521="GREENLIFE",PR!$AA519,IF(H521="HLINE",PR!$AB519,IF(H521="ROTECH",PR!$AC519,IF(H521="ISN",PR!$AD519,IF(H521="JAWA",PR!$AE519,IF(H521="LAYO",PR!$AF519,IF(H521="LEADWAY",PR!$AG519,IF(H521="LHV",PR!$AH519,IF(H521="MANOLA",PR!$AI519,IF(H521="MARCSON",PR!$AJ519,IF(H521="M&amp;B",PR!$AK519,IF(H521="MTRUST",PR!$AL519,IF(H521="MWORLD",PR!$AM519,IF(H521="MEGA",PR!$AN519,IF(H521="MICRONOVA",PR!$AO519,IF(H521="MFLASH",PR!$AP519,IF(H521="MORISON",PR!$AQ519,IF(H521="NEMEL",PR!$AR519,IF(H521="NHP",PR!$AS519,IF(H521="NHC",PR!$AT519,IF(H521="OLEAF",PR!$AU519,IF(H521="OCULUS",PR!$AV519,IF(H521="PACIFIC",PR!$AW519,IF(H521="PHAMATEX",PR!$AX519,IF(H521="PETHICS",PR!$AY519,IF(H521="PHILIPS",PR!$AZ519,IF(H521="RANBAXY",PR!$BA519,IF(H521="REALS",PR!$BB519,IF(H521="ROYAL",PR!$BC519,IF(H521="SAM",PR!$BD519,IF(H521="SEAGREEN",PR!$BE519,IF(H521="SKG",PR!$BF519,IF(H521="TAH",PR!$BG519,IF(H521="TAYLEK",PR!$BH519,IF(H521="TEMITA",PR!$BI519,IF(H521="THL",PR!$BJ519,IF(H521="UBASTIC",PR!$BK519,IF(H521="UNION",PR!$BL519,IF(H521="UNIQUE",PR!$BM519,IF(H521="VIXA",PR!$BN519,IF(H521="WWCV",PR!$BO519,IF(H521="ZOLON",PR!$BP519,"-"))))))))))))))))))))))))))))))))))))))))))))))))))))))))))))))))</f>
        <v>-</v>
      </c>
      <c r="H521" s="102"/>
      <c r="I521" s="108" t="str">
        <f>IF(J521="ALPHA",PR!$E519,IF(J521="ASSENE",PR!$F519,IF(J521="BIOFEM",PR!$G519,IF(J521="BIOMED",PR!$H519,IF(J521="CHI",PR!$I519,IF(J521="CLARION",PR!$J519,IF(J521="CODIX",PR!$K519,IF(J521="COSMADE",PR!$L519,IF(J521="SANCON",PR!$M519,IF(J521="DEVON",PR!$N519,IF(J521="DORTEMAG",PR!$O519,IF(J521="DGF",PR!$P519,IF(J521="DYNAMIC",PR!$Q519,IF(J521="EMZOR",PR!$R519,IF(J521="EUMATT",PR!$S519,IF(J521="FIDSON",PR!$T519,IF(J521="FCGLOBAL",PR!$U519,IF(J521="GENEITH",PR!$V519,IF(J521="GINOS",PR!$W519,IF(J521="GSK",PR!$X519,IF(J521="GLOBORG",PR!$Y519,IF(J521="GOODNEWS",PR!$Z519,IF(J521="GREENLIFE",PR!$AA519,IF(J521="HLINE",PR!$AB519,IF(J521="ROTECH",PR!$AC519,IF(J521="ISN",PR!$AD519,IF(J521="JAWA",PR!$AE519,IF(J521="LAYO",PR!$AF519,IF(J521="LEADWAY",PR!$AG519,IF(J521="LHV",PR!$AH519,IF(J521="MANOLA",PR!$AI519,IF(J521="MARCSON",PR!$AJ519,IF(J521="M&amp;B",PR!$AK519,IF(J521="MTRUST",PR!$AL519,IF(J521="MWORLD",PR!$AM519,IF(J521="MEGA",PR!$AN519,IF(J521="MICRONOVA",PR!$AO519,IF(J521="MFLASH",PR!$AP519,IF(J521="MORISON",PR!$AQ519,IF(J521="NEMEL",PR!$AR519,IF(J521="NHP",PR!$AS519,IF(J521="NHC",PR!$AT519,IF(J521="OLEAF",PR!$AU519,IF(J521="OCULUS",PR!$AV519,IF(J521="PACIFIC",PR!$AW519,IF(J521="PHAMATEX",PR!$AX519,IF(J521="PETHICS",PR!$AY519,IF(J521="PHILIPS",PR!$AZ519,IF(J521="RANBAXY",PR!$BA519,IF(J521="REALS",PR!$BB519,IF(J521="ROYAL",PR!$BC519,IF(J521="SAM",PR!$BD519,IF(J521="SEAGREEN",PR!$BE519,IF(J521="SKG",PR!$BF519,IF(J521="TAH",PR!$BG519,IF(J521="TAYLEK",PR!$BH519,IF(J521="TEMITA",PR!$BI519,IF(J521="THL",PR!$BJ519,IF(J521="UBASTIC",PR!$BK519,IF(J521="UNION",PR!$BL519,IF(J521="UNIQUE",PR!$BM519,IF(J521="VIXA",PR!$BN519,IF(J521="WWCV",PR!$BO519,IF(J521="ZOLON",PR!$BP519,"-"))))))))))))))))))))))))))))))))))))))))))))))))))))))))))))))))</f>
        <v>-</v>
      </c>
      <c r="J521" s="102"/>
      <c r="K521" s="433"/>
      <c r="L521" s="183" t="b">
        <f>IF(K521&gt;0,IF(K521="ALPHA",PR!$E519,IF(K521="ASSENE",PR!$F519,IF(K521="BIOFEM",PR!$G519,IF(K521="BIOMED",PR!$H519,IF(K521="CHI",PR!$I519,IF(K521="CLARION",PR!$J519,IF(K521="CODIX",PR!$K519,IF(K521="COSMADE",PR!$L519,IF(K521="SANCON",PR!$M519,IF(K521="DEVON",PR!$N519,IF(K521="DORTEMAG",PR!$O519,IF(K521="DGF",PR!$P519,IF(K521="DYNAMIC",PR!$Q519,IF(K521="EMZOR",PR!$R519,IF(K521="EUMATT",PR!$S519,IF(K521="FIDSON",PR!$T519,IF(K521="FCGLOBAL",PR!$U519,IF(K521="GENEITH",PR!$V519,IF(K521="GINOS",PR!$W519,IF(K521="GSK",PR!$X519,IF(K521="GLOBORG",PR!$Y519,IF(K521="GOODNEWS",PR!$Z519,IF(K521="GREENLIFE",PR!$AA519,IF(K521="HLINE",PR!$AB519,IF(K521="ROTECH",PR!$AC519,IF(K521="ISN",PR!$AD519,IF(K521="JAWA",PR!$AE519,IF(K521="LAYO",PR!$AF519,IF(K521="LEADWAY",PR!$AG519,IF(K521="LHV",PR!$AH519,IF(K521="MANOLA",PR!$AI519,IF(K521="MARCSON",PR!$AJ519,IF(K521="M&amp;B",PR!$AK519,IF(K521="MTRUST",PR!$AL519,IF(K521="MWORLD",PR!$AM519,IF(K521="MEGA",PR!$AN519,IF(K521="MICRONOVA",PR!$AO519,IF(K521="MFLASH",PR!$AP519,IF(K521="MORISON",PR!$AQ519,IF(K521="NEMEL",PR!$AR519,IF(K521="NHP",PR!$AS519,IF(K521="NHC",PR!$AT519,IF(K521="OLEAF",PR!$AU519,IF(K521="OCULUS",PR!$AV519,IF(K521="PACIFIC",PR!$AW519,IF(K521="PHAMATEX",PR!$AX519,IF(K521="PETHICS",PR!$AY519,IF(K521="PHILIPS",PR!$AZ519,IF(K521="RANBAXY",PR!$BA519,IF(K521="REALS",PR!$BB519,IF(K521="ROYAL",PR!$BC519,IF(K521="SAM",PR!$BD519,IF(K521="SEAGREEN",PR!$BE519,IF(K521="SKG",PR!$BF519,IF(K521="TAH",PR!$BG519,IF(K521="TAYLEK",PR!$BH519,IF(K521="TEMITA",PR!$BI519,IF(K521="THL",PR!$BJ519,IF(K521="UBASTIC",PR!$BK519,IF(K521="UNION",PR!$BL519,IF(K521="UNIQUE",PR!$BM519,IF(K521="VIXA",PR!$BN519,IF(K521="WWCV",PR!$BO519,IF(K521="ZOLON",PR!$BP519,"-")))))))))))))))))))))))))))))))))))))))))))))))))))))))))))))))))</f>
        <v>0</v>
      </c>
    </row>
    <row r="522" spans="1:12" ht="18.75" x14ac:dyDescent="0.3">
      <c r="A522" s="430">
        <f>PR!A520</f>
        <v>0</v>
      </c>
      <c r="B522" s="15" t="str">
        <f>PR!B520</f>
        <v>ANTIHISTAMINES</v>
      </c>
      <c r="C522" s="113">
        <f>PR!D520</f>
        <v>0</v>
      </c>
      <c r="D522" s="113">
        <f>PR!C520</f>
        <v>0</v>
      </c>
      <c r="E522" s="108" t="str">
        <f>IF(F522="ALPHA",PR!$E520,IF(F522="ASSENE",PR!$F520,IF(F522="BIOFEM",PR!$G520,IF(F522="BIOMED",PR!$H520,IF(F522="CHI",PR!$I520,IF(F522="CLARION",PR!$J520,IF(F522="CODIX",PR!$K520,IF(F522="COSMADE",PR!$L520,IF(F522="SANCON",PR!$M520,IF(F522="DEVON",PR!$N520,IF(F522="DORTEMAG",PR!$O520,IF(F522="DGF",PR!$P520,IF(F522="DYNAMIC",PR!$Q520,IF(F522="EMZOR",PR!$R520,IF(F522="EUMATT",PR!$S520,IF(F522="FIDSON",PR!$T520,IF(F522="FCGLOBAL",PR!$U520,IF(F522="GENEITH",PR!$V520,IF(F522="GINOS",PR!$W520,IF(F522="GSK",PR!$X520,IF(F522="GLOBORG",PR!$Y520,IF(F522="GOODNEWS",PR!$Z520,IF(F522="GREENLIFE",PR!$AA520,IF(F522="HLINE",PR!$AB520,IF(F522="ROTECH",PR!$AC520,IF(F522="ISN",PR!$AD520,IF(F522="JAWA",PR!$AE520,IF(F522="LAYO",PR!$AF520,IF(F522="LEADWAY",PR!$AG520,IF(F522="LHV",PR!$AH520,IF(F522="MANOLA",PR!$AI520,IF(F522="MARCSON",PR!$AJ520,IF(F522="M&amp;B",PR!$AK520,IF(F522="MTRUST",PR!$AL520,IF(F522="MWORLD",PR!$AM520,IF(F522="MEGA",PR!$AN520,IF(F522="MICRONOVA",PR!$AO520,IF(F522="MFLASH",PR!$AP520,IF(F522="MORISON",PR!$AQ520,IF(F522="NEMEL",PR!$AR520,IF(F522="NHP",PR!$AS520,IF(F522="NHC",PR!$AT520,IF(F522="OLEAF",PR!$AU520,IF(F522="OCULUS",PR!$AV520,IF(F522="PACIFIC",PR!$AW520,IF(F522="PHAMATEX",PR!$AX520,IF(F522="PETHICS",PR!$AY520,IF(F522="PHILIPS",PR!$AZ520,IF(F522="RANBAXY",PR!$BA520,IF(F522="REALS",PR!$BB520,IF(F522="ROYAL",PR!$BC520,IF(F522="SAM",PR!$BD520,IF(F522="SEAGREEN",PR!$BE520,IF(F522="SKG",PR!$BF520,IF(F522="TAH",PR!$BG520,IF(F522="TAYLEK",PR!$BH520,IF(F522="TEMITA",PR!$BI520,IF(F522="THL",PR!$BJ520,IF(F522="UBASTIC",PR!$BK520,IF(F522="UNION",PR!$BL520,IF(F522="UNIQUE",PR!$BM520,IF(F522="VIXA",PR!$BN520,IF(F522="WWCV",PR!$BO520,IF(F522="ZOLON",PR!$BP520,"-"))))))))))))))))))))))))))))))))))))))))))))))))))))))))))))))))</f>
        <v>-</v>
      </c>
      <c r="F522" s="102"/>
      <c r="G522" s="108" t="str">
        <f>IF(H522="ALPHA",PR!$E520,IF(H522="ASSENE",PR!$F520,IF(H522="BIOFEM",PR!$G520,IF(H522="BIOMED",PR!$H520,IF(H522="CHI",PR!$I520,IF(H522="CLARION",PR!$J520,IF(H522="CODIX",PR!$K520,IF(H522="COSMADE",PR!$L520,IF(H522="SANCON",PR!$M520,IF(H522="DEVON",PR!$N520,IF(H522="DORTEMAG",PR!$O520,IF(H522="DGF",PR!$P520,IF(H522="DYNAMIC",PR!$Q520,IF(H522="EMZOR",PR!$R520,IF(H522="EUMATT",PR!$S520,IF(H522="FIDSON",PR!$T520,IF(H522="FCGLOBAL",PR!$U520,IF(H522="GENEITH",PR!$V520,IF(H522="GINOS",PR!$W520,IF(H522="GSK",PR!$X520,IF(H522="GLOBORG",PR!$Y520,IF(H522="GOODNEWS",PR!$Z520,IF(H522="GREENLIFE",PR!$AA520,IF(H522="HLINE",PR!$AB520,IF(H522="ROTECH",PR!$AC520,IF(H522="ISN",PR!$AD520,IF(H522="JAWA",PR!$AE520,IF(H522="LAYO",PR!$AF520,IF(H522="LEADWAY",PR!$AG520,IF(H522="LHV",PR!$AH520,IF(H522="MANOLA",PR!$AI520,IF(H522="MARCSON",PR!$AJ520,IF(H522="M&amp;B",PR!$AK520,IF(H522="MTRUST",PR!$AL520,IF(H522="MWORLD",PR!$AM520,IF(H522="MEGA",PR!$AN520,IF(H522="MICRONOVA",PR!$AO520,IF(H522="MFLASH",PR!$AP520,IF(H522="MORISON",PR!$AQ520,IF(H522="NEMEL",PR!$AR520,IF(H522="NHP",PR!$AS520,IF(H522="NHC",PR!$AT520,IF(H522="OLEAF",PR!$AU520,IF(H522="OCULUS",PR!$AV520,IF(H522="PACIFIC",PR!$AW520,IF(H522="PHAMATEX",PR!$AX520,IF(H522="PETHICS",PR!$AY520,IF(H522="PHILIPS",PR!$AZ520,IF(H522="RANBAXY",PR!$BA520,IF(H522="REALS",PR!$BB520,IF(H522="ROYAL",PR!$BC520,IF(H522="SAM",PR!$BD520,IF(H522="SEAGREEN",PR!$BE520,IF(H522="SKG",PR!$BF520,IF(H522="TAH",PR!$BG520,IF(H522="TAYLEK",PR!$BH520,IF(H522="TEMITA",PR!$BI520,IF(H522="THL",PR!$BJ520,IF(H522="UBASTIC",PR!$BK520,IF(H522="UNION",PR!$BL520,IF(H522="UNIQUE",PR!$BM520,IF(H522="VIXA",PR!$BN520,IF(H522="WWCV",PR!$BO520,IF(H522="ZOLON",PR!$BP520,"-"))))))))))))))))))))))))))))))))))))))))))))))))))))))))))))))))</f>
        <v>-</v>
      </c>
      <c r="H522" s="102"/>
      <c r="I522" s="108" t="str">
        <f>IF(J522="ALPHA",PR!$E520,IF(J522="ASSENE",PR!$F520,IF(J522="BIOFEM",PR!$G520,IF(J522="BIOMED",PR!$H520,IF(J522="CHI",PR!$I520,IF(J522="CLARION",PR!$J520,IF(J522="CODIX",PR!$K520,IF(J522="COSMADE",PR!$L520,IF(J522="SANCON",PR!$M520,IF(J522="DEVON",PR!$N520,IF(J522="DORTEMAG",PR!$O520,IF(J522="DGF",PR!$P520,IF(J522="DYNAMIC",PR!$Q520,IF(J522="EMZOR",PR!$R520,IF(J522="EUMATT",PR!$S520,IF(J522="FIDSON",PR!$T520,IF(J522="FCGLOBAL",PR!$U520,IF(J522="GENEITH",PR!$V520,IF(J522="GINOS",PR!$W520,IF(J522="GSK",PR!$X520,IF(J522="GLOBORG",PR!$Y520,IF(J522="GOODNEWS",PR!$Z520,IF(J522="GREENLIFE",PR!$AA520,IF(J522="HLINE",PR!$AB520,IF(J522="ROTECH",PR!$AC520,IF(J522="ISN",PR!$AD520,IF(J522="JAWA",PR!$AE520,IF(J522="LAYO",PR!$AF520,IF(J522="LEADWAY",PR!$AG520,IF(J522="LHV",PR!$AH520,IF(J522="MANOLA",PR!$AI520,IF(J522="MARCSON",PR!$AJ520,IF(J522="M&amp;B",PR!$AK520,IF(J522="MTRUST",PR!$AL520,IF(J522="MWORLD",PR!$AM520,IF(J522="MEGA",PR!$AN520,IF(J522="MICRONOVA",PR!$AO520,IF(J522="MFLASH",PR!$AP520,IF(J522="MORISON",PR!$AQ520,IF(J522="NEMEL",PR!$AR520,IF(J522="NHP",PR!$AS520,IF(J522="NHC",PR!$AT520,IF(J522="OLEAF",PR!$AU520,IF(J522="OCULUS",PR!$AV520,IF(J522="PACIFIC",PR!$AW520,IF(J522="PHAMATEX",PR!$AX520,IF(J522="PETHICS",PR!$AY520,IF(J522="PHILIPS",PR!$AZ520,IF(J522="RANBAXY",PR!$BA520,IF(J522="REALS",PR!$BB520,IF(J522="ROYAL",PR!$BC520,IF(J522="SAM",PR!$BD520,IF(J522="SEAGREEN",PR!$BE520,IF(J522="SKG",PR!$BF520,IF(J522="TAH",PR!$BG520,IF(J522="TAYLEK",PR!$BH520,IF(J522="TEMITA",PR!$BI520,IF(J522="THL",PR!$BJ520,IF(J522="UBASTIC",PR!$BK520,IF(J522="UNION",PR!$BL520,IF(J522="UNIQUE",PR!$BM520,IF(J522="VIXA",PR!$BN520,IF(J522="WWCV",PR!$BO520,IF(J522="ZOLON",PR!$BP520,"-"))))))))))))))))))))))))))))))))))))))))))))))))))))))))))))))))</f>
        <v>-</v>
      </c>
      <c r="J522" s="102"/>
      <c r="K522" s="433"/>
      <c r="L522" s="183" t="b">
        <f>IF(K522&gt;0,IF(K522="ALPHA",PR!$E520,IF(K522="ASSENE",PR!$F520,IF(K522="BIOFEM",PR!$G520,IF(K522="BIOMED",PR!$H520,IF(K522="CHI",PR!$I520,IF(K522="CLARION",PR!$J520,IF(K522="CODIX",PR!$K520,IF(K522="COSMADE",PR!$L520,IF(K522="SANCON",PR!$M520,IF(K522="DEVON",PR!$N520,IF(K522="DORTEMAG",PR!$O520,IF(K522="DGF",PR!$P520,IF(K522="DYNAMIC",PR!$Q520,IF(K522="EMZOR",PR!$R520,IF(K522="EUMATT",PR!$S520,IF(K522="FIDSON",PR!$T520,IF(K522="FCGLOBAL",PR!$U520,IF(K522="GENEITH",PR!$V520,IF(K522="GINOS",PR!$W520,IF(K522="GSK",PR!$X520,IF(K522="GLOBORG",PR!$Y520,IF(K522="GOODNEWS",PR!$Z520,IF(K522="GREENLIFE",PR!$AA520,IF(K522="HLINE",PR!$AB520,IF(K522="ROTECH",PR!$AC520,IF(K522="ISN",PR!$AD520,IF(K522="JAWA",PR!$AE520,IF(K522="LAYO",PR!$AF520,IF(K522="LEADWAY",PR!$AG520,IF(K522="LHV",PR!$AH520,IF(K522="MANOLA",PR!$AI520,IF(K522="MARCSON",PR!$AJ520,IF(K522="M&amp;B",PR!$AK520,IF(K522="MTRUST",PR!$AL520,IF(K522="MWORLD",PR!$AM520,IF(K522="MEGA",PR!$AN520,IF(K522="MICRONOVA",PR!$AO520,IF(K522="MFLASH",PR!$AP520,IF(K522="MORISON",PR!$AQ520,IF(K522="NEMEL",PR!$AR520,IF(K522="NHP",PR!$AS520,IF(K522="NHC",PR!$AT520,IF(K522="OLEAF",PR!$AU520,IF(K522="OCULUS",PR!$AV520,IF(K522="PACIFIC",PR!$AW520,IF(K522="PHAMATEX",PR!$AX520,IF(K522="PETHICS",PR!$AY520,IF(K522="PHILIPS",PR!$AZ520,IF(K522="RANBAXY",PR!$BA520,IF(K522="REALS",PR!$BB520,IF(K522="ROYAL",PR!$BC520,IF(K522="SAM",PR!$BD520,IF(K522="SEAGREEN",PR!$BE520,IF(K522="SKG",PR!$BF520,IF(K522="TAH",PR!$BG520,IF(K522="TAYLEK",PR!$BH520,IF(K522="TEMITA",PR!$BI520,IF(K522="THL",PR!$BJ520,IF(K522="UBASTIC",PR!$BK520,IF(K522="UNION",PR!$BL520,IF(K522="UNIQUE",PR!$BM520,IF(K522="VIXA",PR!$BN520,IF(K522="WWCV",PR!$BO520,IF(K522="ZOLON",PR!$BP520,"-")))))))))))))))))))))))))))))))))))))))))))))))))))))))))))))))))</f>
        <v>0</v>
      </c>
    </row>
    <row r="523" spans="1:12" ht="18.75" x14ac:dyDescent="0.3">
      <c r="A523" s="430">
        <f>PR!A521</f>
        <v>469</v>
      </c>
      <c r="B523" s="15" t="str">
        <f>PR!B521</f>
        <v>ADRENALINE INJ</v>
      </c>
      <c r="C523" s="113">
        <f>PR!D521</f>
        <v>100</v>
      </c>
      <c r="D523" s="113">
        <f>PR!C521</f>
        <v>12</v>
      </c>
      <c r="E523" s="108">
        <f>IF(F523="ALPHA",PR!$E521,IF(F523="ASSENE",PR!$F521,IF(F523="BIOFEM",PR!$G521,IF(F523="BIOMED",PR!$H521,IF(F523="CHI",PR!$I521,IF(F523="CLARION",PR!$J521,IF(F523="CODIX",PR!$K521,IF(F523="COSMADE",PR!$L521,IF(F523="SANCON",PR!$M521,IF(F523="DEVON",PR!$N521,IF(F523="DORTEMAG",PR!$O521,IF(F523="DGF",PR!$P521,IF(F523="DYNAMIC",PR!$Q521,IF(F523="EMZOR",PR!$R521,IF(F523="EUMATT",PR!$S521,IF(F523="FIDSON",PR!$T521,IF(F523="FCGLOBAL",PR!$U521,IF(F523="GENEITH",PR!$V521,IF(F523="GINOS",PR!$W521,IF(F523="GSK",PR!$X521,IF(F523="GLOBORG",PR!$Y521,IF(F523="GOODNEWS",PR!$Z521,IF(F523="GREENLIFE",PR!$AA521,IF(F523="HLINE",PR!$AB521,IF(F523="ROTECH",PR!$AC521,IF(F523="ISN",PR!$AD521,IF(F523="JAWA",PR!$AE521,IF(F523="LAYO",PR!$AF521,IF(F523="LEADWAY",PR!$AG521,IF(F523="LHV",PR!$AH521,IF(F523="MANOLA",PR!$AI521,IF(F523="MARCSON",PR!$AJ521,IF(F523="M&amp;B",PR!$AK521,IF(F523="MTRUST",PR!$AL521,IF(F523="MWORLD",PR!$AM521,IF(F523="MEGA",PR!$AN521,IF(F523="MICRONOVA",PR!$AO521,IF(F523="MFLASH",PR!$AP521,IF(F523="MORISON",PR!$AQ521,IF(F523="NEMEL",PR!$AR521,IF(F523="NHP",PR!$AS521,IF(F523="NHC",PR!$AT521,IF(F523="OLEAF",PR!$AU521,IF(F523="OCULUS",PR!$AV521,IF(F523="PACIFIC",PR!$AW521,IF(F523="PHAMATEX",PR!$AX521,IF(F523="PETHICS",PR!$AY521,IF(F523="PHILIPS",PR!$AZ521,IF(F523="RANBAXY",PR!$BA521,IF(F523="REALS",PR!$BB521,IF(F523="ROYAL",PR!$BC521,IF(F523="SAM",PR!$BD521,IF(F523="SEAGREEN",PR!$BE521,IF(F523="SKG",PR!$BF521,IF(F523="TAH",PR!$BG521,IF(F523="TAYLEK",PR!$BH521,IF(F523="TEMITA",PR!$BI521,IF(F523="THL",PR!$BJ521,IF(F523="UBASTIC",PR!$BK521,IF(F523="UNION",PR!$BL521,IF(F523="UNIQUE",PR!$BM521,IF(F523="VIXA",PR!$BN521,IF(F523="WWCV",PR!$BO521,IF(F523="ZOLON",PR!$BP521,"-"))))))))))))))))))))))))))))))))))))))))))))))))))))))))))))))))</f>
        <v>2500</v>
      </c>
      <c r="F523" s="102" t="str">
        <f>EV!L653</f>
        <v>EUMATT</v>
      </c>
      <c r="G523" s="108">
        <f>IF(H523="ALPHA",PR!$E521,IF(H523="ASSENE",PR!$F521,IF(H523="BIOFEM",PR!$G521,IF(H523="BIOMED",PR!$H521,IF(H523="CHI",PR!$I521,IF(H523="CLARION",PR!$J521,IF(H523="CODIX",PR!$K521,IF(H523="COSMADE",PR!$L521,IF(H523="SANCON",PR!$M521,IF(H523="DEVON",PR!$N521,IF(H523="DORTEMAG",PR!$O521,IF(H523="DGF",PR!$P521,IF(H523="DYNAMIC",PR!$Q521,IF(H523="EMZOR",PR!$R521,IF(H523="EUMATT",PR!$S521,IF(H523="FIDSON",PR!$T521,IF(H523="FCGLOBAL",PR!$U521,IF(H523="GENEITH",PR!$V521,IF(H523="GINOS",PR!$W521,IF(H523="GSK",PR!$X521,IF(H523="GLOBORG",PR!$Y521,IF(H523="GOODNEWS",PR!$Z521,IF(H523="GREENLIFE",PR!$AA521,IF(H523="HLINE",PR!$AB521,IF(H523="ROTECH",PR!$AC521,IF(H523="ISN",PR!$AD521,IF(H523="JAWA",PR!$AE521,IF(H523="LAYO",PR!$AF521,IF(H523="LEADWAY",PR!$AG521,IF(H523="LHV",PR!$AH521,IF(H523="MANOLA",PR!$AI521,IF(H523="MARCSON",PR!$AJ521,IF(H523="M&amp;B",PR!$AK521,IF(H523="MTRUST",PR!$AL521,IF(H523="MWORLD",PR!$AM521,IF(H523="MEGA",PR!$AN521,IF(H523="MICRONOVA",PR!$AO521,IF(H523="MFLASH",PR!$AP521,IF(H523="MORISON",PR!$AQ521,IF(H523="NEMEL",PR!$AR521,IF(H523="NHP",PR!$AS521,IF(H523="NHC",PR!$AT521,IF(H523="OLEAF",PR!$AU521,IF(H523="OCULUS",PR!$AV521,IF(H523="PACIFIC",PR!$AW521,IF(H523="PHAMATEX",PR!$AX521,IF(H523="PETHICS",PR!$AY521,IF(H523="PHILIPS",PR!$AZ521,IF(H523="RANBAXY",PR!$BA521,IF(H523="REALS",PR!$BB521,IF(H523="ROYAL",PR!$BC521,IF(H523="SAM",PR!$BD521,IF(H523="SEAGREEN",PR!$BE521,IF(H523="SKG",PR!$BF521,IF(H523="TAH",PR!$BG521,IF(H523="TAYLEK",PR!$BH521,IF(H523="TEMITA",PR!$BI521,IF(H523="THL",PR!$BJ521,IF(H523="UBASTIC",PR!$BK521,IF(H523="UNION",PR!$BL521,IF(H523="UNIQUE",PR!$BM521,IF(H523="VIXA",PR!$BN521,IF(H523="WWCV",PR!$BO521,IF(H523="ZOLON",PR!$BP521,"-"))))))))))))))))))))))))))))))))))))))))))))))))))))))))))))))))</f>
        <v>30000</v>
      </c>
      <c r="H523" s="102" t="str">
        <f>EV!M653</f>
        <v>ALPHA</v>
      </c>
      <c r="I523" s="108" t="str">
        <f>IF(J523="ALPHA",PR!$E521,IF(J523="ASSENE",PR!$F521,IF(J523="BIOFEM",PR!$G521,IF(J523="BIOMED",PR!$H521,IF(J523="CHI",PR!$I521,IF(J523="CLARION",PR!$J521,IF(J523="CODIX",PR!$K521,IF(J523="COSMADE",PR!$L521,IF(J523="SANCON",PR!$M521,IF(J523="DEVON",PR!$N521,IF(J523="DORTEMAG",PR!$O521,IF(J523="DGF",PR!$P521,IF(J523="DYNAMIC",PR!$Q521,IF(J523="EMZOR",PR!$R521,IF(J523="EUMATT",PR!$S521,IF(J523="FIDSON",PR!$T521,IF(J523="FCGLOBAL",PR!$U521,IF(J523="GENEITH",PR!$V521,IF(J523="GINOS",PR!$W521,IF(J523="GSK",PR!$X521,IF(J523="GLOBORG",PR!$Y521,IF(J523="GOODNEWS",PR!$Z521,IF(J523="GREENLIFE",PR!$AA521,IF(J523="HLINE",PR!$AB521,IF(J523="ROTECH",PR!$AC521,IF(J523="ISN",PR!$AD521,IF(J523="JAWA",PR!$AE521,IF(J523="LAYO",PR!$AF521,IF(J523="LEADWAY",PR!$AG521,IF(J523="LHV",PR!$AH521,IF(J523="MANOLA",PR!$AI521,IF(J523="MARCSON",PR!$AJ521,IF(J523="M&amp;B",PR!$AK521,IF(J523="MTRUST",PR!$AL521,IF(J523="MWORLD",PR!$AM521,IF(J523="MEGA",PR!$AN521,IF(J523="MICRONOVA",PR!$AO521,IF(J523="MFLASH",PR!$AP521,IF(J523="MORISON",PR!$AQ521,IF(J523="NEMEL",PR!$AR521,IF(J523="NHP",PR!$AS521,IF(J523="NHC",PR!$AT521,IF(J523="OLEAF",PR!$AU521,IF(J523="OCULUS",PR!$AV521,IF(J523="PACIFIC",PR!$AW521,IF(J523="PHAMATEX",PR!$AX521,IF(J523="PETHICS",PR!$AY521,IF(J523="PHILIPS",PR!$AZ521,IF(J523="RANBAXY",PR!$BA521,IF(J523="REALS",PR!$BB521,IF(J523="ROYAL",PR!$BC521,IF(J523="SAM",PR!$BD521,IF(J523="SEAGREEN",PR!$BE521,IF(J523="SKG",PR!$BF521,IF(J523="TAH",PR!$BG521,IF(J523="TAYLEK",PR!$BH521,IF(J523="TEMITA",PR!$BI521,IF(J523="THL",PR!$BJ521,IF(J523="UBASTIC",PR!$BK521,IF(J523="UNION",PR!$BL521,IF(J523="UNIQUE",PR!$BM521,IF(J523="VIXA",PR!$BN521,IF(J523="WWCV",PR!$BO521,IF(J523="ZOLON",PR!$BP521,"-"))))))))))))))))))))))))))))))))))))))))))))))))))))))))))))))))</f>
        <v>-</v>
      </c>
      <c r="J523" s="102">
        <f>EV!N653</f>
        <v>0</v>
      </c>
      <c r="K523" s="433" t="s">
        <v>634</v>
      </c>
      <c r="L523" s="183">
        <f>IF(K523&gt;0,IF(K523="ALPHA",PR!$E521,IF(K523="ASSENE",PR!$F521,IF(K523="BIOFEM",PR!$G521,IF(K523="BIOMED",PR!$H521,IF(K523="CHI",PR!$I521,IF(K523="CLARION",PR!$J521,IF(K523="CODIX",PR!$K521,IF(K523="COSMADE",PR!$L521,IF(K523="SANCON",PR!$M521,IF(K523="DEVON",PR!$N521,IF(K523="DORTEMAG",PR!$O521,IF(K523="DGF",PR!$P521,IF(K523="DYNAMIC",PR!$Q521,IF(K523="EMZOR",PR!$R521,IF(K523="EUMATT",PR!$S521,IF(K523="FIDSON",PR!$T521,IF(K523="FCGLOBAL",PR!$U521,IF(K523="GENEITH",PR!$V521,IF(K523="GINOS",PR!$W521,IF(K523="GSK",PR!$X521,IF(K523="GLOBORG",PR!$Y521,IF(K523="GOODNEWS",PR!$Z521,IF(K523="GREENLIFE",PR!$AA521,IF(K523="HLINE",PR!$AB521,IF(K523="ROTECH",PR!$AC521,IF(K523="ISN",PR!$AD521,IF(K523="JAWA",PR!$AE521,IF(K523="LAYO",PR!$AF521,IF(K523="LEADWAY",PR!$AG521,IF(K523="LHV",PR!$AH521,IF(K523="MANOLA",PR!$AI521,IF(K523="MARCSON",PR!$AJ521,IF(K523="M&amp;B",PR!$AK521,IF(K523="MTRUST",PR!$AL521,IF(K523="MWORLD",PR!$AM521,IF(K523="MEGA",PR!$AN521,IF(K523="MICRONOVA",PR!$AO521,IF(K523="MFLASH",PR!$AP521,IF(K523="MORISON",PR!$AQ521,IF(K523="NEMEL",PR!$AR521,IF(K523="NHP",PR!$AS521,IF(K523="NHC",PR!$AT521,IF(K523="OLEAF",PR!$AU521,IF(K523="OCULUS",PR!$AV521,IF(K523="PACIFIC",PR!$AW521,IF(K523="PHAMATEX",PR!$AX521,IF(K523="PETHICS",PR!$AY521,IF(K523="PHILIPS",PR!$AZ521,IF(K523="RANBAXY",PR!$BA521,IF(K523="REALS",PR!$BB521,IF(K523="ROYAL",PR!$BC521,IF(K523="SAM",PR!$BD521,IF(K523="SEAGREEN",PR!$BE521,IF(K523="SKG",PR!$BF521,IF(K523="TAH",PR!$BG521,IF(K523="TAYLEK",PR!$BH521,IF(K523="TEMITA",PR!$BI521,IF(K523="THL",PR!$BJ521,IF(K523="UBASTIC",PR!$BK521,IF(K523="UNION",PR!$BL521,IF(K523="UNIQUE",PR!$BM521,IF(K523="VIXA",PR!$BN521,IF(K523="WWCV",PR!$BO521,IF(K523="ZOLON",PR!$BP521,"-")))))))))))))))))))))))))))))))))))))))))))))))))))))))))))))))))</f>
        <v>30000</v>
      </c>
    </row>
    <row r="524" spans="1:12" ht="18.75" x14ac:dyDescent="0.3">
      <c r="A524" s="430">
        <f>PR!A522</f>
        <v>470</v>
      </c>
      <c r="B524" s="15" t="str">
        <f>PR!B522</f>
        <v>CETIRIZINE SYRUP</v>
      </c>
      <c r="C524" s="113" t="str">
        <f>PR!D522</f>
        <v>BOTT</v>
      </c>
      <c r="D524" s="113">
        <f>PR!C522</f>
        <v>60</v>
      </c>
      <c r="E524" s="108">
        <f>IF(F524="ALPHA",PR!$E522,IF(F524="ASSENE",PR!$F522,IF(F524="BIOFEM",PR!$G522,IF(F524="BIOMED",PR!$H522,IF(F524="CHI",PR!$I522,IF(F524="CLARION",PR!$J522,IF(F524="CODIX",PR!$K522,IF(F524="COSMADE",PR!$L522,IF(F524="SANCON",PR!$M522,IF(F524="DEVON",PR!$N522,IF(F524="DORTEMAG",PR!$O522,IF(F524="DGF",PR!$P522,IF(F524="DYNAMIC",PR!$Q522,IF(F524="EMZOR",PR!$R522,IF(F524="EUMATT",PR!$S522,IF(F524="FIDSON",PR!$T522,IF(F524="FCGLOBAL",PR!$U522,IF(F524="GENEITH",PR!$V522,IF(F524="GINOS",PR!$W522,IF(F524="GSK",PR!$X522,IF(F524="GLOBORG",PR!$Y522,IF(F524="GOODNEWS",PR!$Z522,IF(F524="GREENLIFE",PR!$AA522,IF(F524="HLINE",PR!$AB522,IF(F524="ROTECH",PR!$AC522,IF(F524="ISN",PR!$AD522,IF(F524="JAWA",PR!$AE522,IF(F524="LAYO",PR!$AF522,IF(F524="LEADWAY",PR!$AG522,IF(F524="LHV",PR!$AH522,IF(F524="MANOLA",PR!$AI522,IF(F524="MARCSON",PR!$AJ522,IF(F524="M&amp;B",PR!$AK522,IF(F524="MTRUST",PR!$AL522,IF(F524="MWORLD",PR!$AM522,IF(F524="MEGA",PR!$AN522,IF(F524="MICRONOVA",PR!$AO522,IF(F524="MFLASH",PR!$AP522,IF(F524="MORISON",PR!$AQ522,IF(F524="NEMEL",PR!$AR522,IF(F524="NHP",PR!$AS522,IF(F524="NHC",PR!$AT522,IF(F524="OLEAF",PR!$AU522,IF(F524="OCULUS",PR!$AV522,IF(F524="PACIFIC",PR!$AW522,IF(F524="PHAMATEX",PR!$AX522,IF(F524="PETHICS",PR!$AY522,IF(F524="PHILIPS",PR!$AZ522,IF(F524="RANBAXY",PR!$BA522,IF(F524="REALS",PR!$BB522,IF(F524="ROYAL",PR!$BC522,IF(F524="SAM",PR!$BD522,IF(F524="SEAGREEN",PR!$BE522,IF(F524="SKG",PR!$BF522,IF(F524="TAH",PR!$BG522,IF(F524="TAYLEK",PR!$BH522,IF(F524="TEMITA",PR!$BI522,IF(F524="THL",PR!$BJ522,IF(F524="UBASTIC",PR!$BK522,IF(F524="UNION",PR!$BL522,IF(F524="UNIQUE",PR!$BM522,IF(F524="VIXA",PR!$BN522,IF(F524="WWCV",PR!$BO522,IF(F524="ZOLON",PR!$BP522,"-"))))))))))))))))))))))))))))))))))))))))))))))))))))))))))))))))</f>
        <v>240</v>
      </c>
      <c r="F524" s="102" t="str">
        <f>EV!L654</f>
        <v>FIDSON</v>
      </c>
      <c r="G524" s="108">
        <f>IF(H524="ALPHA",PR!$E522,IF(H524="ASSENE",PR!$F522,IF(H524="BIOFEM",PR!$G522,IF(H524="BIOMED",PR!$H522,IF(H524="CHI",PR!$I522,IF(H524="CLARION",PR!$J522,IF(H524="CODIX",PR!$K522,IF(H524="COSMADE",PR!$L522,IF(H524="SANCON",PR!$M522,IF(H524="DEVON",PR!$N522,IF(H524="DORTEMAG",PR!$O522,IF(H524="DGF",PR!$P522,IF(H524="DYNAMIC",PR!$Q522,IF(H524="EMZOR",PR!$R522,IF(H524="EUMATT",PR!$S522,IF(H524="FIDSON",PR!$T522,IF(H524="FCGLOBAL",PR!$U522,IF(H524="GENEITH",PR!$V522,IF(H524="GINOS",PR!$W522,IF(H524="GSK",PR!$X522,IF(H524="GLOBORG",PR!$Y522,IF(H524="GOODNEWS",PR!$Z522,IF(H524="GREENLIFE",PR!$AA522,IF(H524="HLINE",PR!$AB522,IF(H524="ROTECH",PR!$AC522,IF(H524="ISN",PR!$AD522,IF(H524="JAWA",PR!$AE522,IF(H524="LAYO",PR!$AF522,IF(H524="LEADWAY",PR!$AG522,IF(H524="LHV",PR!$AH522,IF(H524="MANOLA",PR!$AI522,IF(H524="MARCSON",PR!$AJ522,IF(H524="M&amp;B",PR!$AK522,IF(H524="MTRUST",PR!$AL522,IF(H524="MWORLD",PR!$AM522,IF(H524="MEGA",PR!$AN522,IF(H524="MICRONOVA",PR!$AO522,IF(H524="MFLASH",PR!$AP522,IF(H524="MORISON",PR!$AQ522,IF(H524="NEMEL",PR!$AR522,IF(H524="NHP",PR!$AS522,IF(H524="NHC",PR!$AT522,IF(H524="OLEAF",PR!$AU522,IF(H524="OCULUS",PR!$AV522,IF(H524="PACIFIC",PR!$AW522,IF(H524="PHAMATEX",PR!$AX522,IF(H524="PETHICS",PR!$AY522,IF(H524="PHILIPS",PR!$AZ522,IF(H524="RANBAXY",PR!$BA522,IF(H524="REALS",PR!$BB522,IF(H524="ROYAL",PR!$BC522,IF(H524="SAM",PR!$BD522,IF(H524="SEAGREEN",PR!$BE522,IF(H524="SKG",PR!$BF522,IF(H524="TAH",PR!$BG522,IF(H524="TAYLEK",PR!$BH522,IF(H524="TEMITA",PR!$BI522,IF(H524="THL",PR!$BJ522,IF(H524="UBASTIC",PR!$BK522,IF(H524="UNION",PR!$BL522,IF(H524="UNIQUE",PR!$BM522,IF(H524="VIXA",PR!$BN522,IF(H524="WWCV",PR!$BO522,IF(H524="ZOLON",PR!$BP522,"-"))))))))))))))))))))))))))))))))))))))))))))))))))))))))))))))))</f>
        <v>250</v>
      </c>
      <c r="H524" s="102" t="str">
        <f>EV!M654</f>
        <v>EUMATT</v>
      </c>
      <c r="I524" s="108">
        <f>IF(J524="ALPHA",PR!$E522,IF(J524="ASSENE",PR!$F522,IF(J524="BIOFEM",PR!$G522,IF(J524="BIOMED",PR!$H522,IF(J524="CHI",PR!$I522,IF(J524="CLARION",PR!$J522,IF(J524="CODIX",PR!$K522,IF(J524="COSMADE",PR!$L522,IF(J524="SANCON",PR!$M522,IF(J524="DEVON",PR!$N522,IF(J524="DORTEMAG",PR!$O522,IF(J524="DGF",PR!$P522,IF(J524="DYNAMIC",PR!$Q522,IF(J524="EMZOR",PR!$R522,IF(J524="EUMATT",PR!$S522,IF(J524="FIDSON",PR!$T522,IF(J524="FCGLOBAL",PR!$U522,IF(J524="GENEITH",PR!$V522,IF(J524="GINOS",PR!$W522,IF(J524="GSK",PR!$X522,IF(J524="GLOBORG",PR!$Y522,IF(J524="GOODNEWS",PR!$Z522,IF(J524="GREENLIFE",PR!$AA522,IF(J524="HLINE",PR!$AB522,IF(J524="ROTECH",PR!$AC522,IF(J524="ISN",PR!$AD522,IF(J524="JAWA",PR!$AE522,IF(J524="LAYO",PR!$AF522,IF(J524="LEADWAY",PR!$AG522,IF(J524="LHV",PR!$AH522,IF(J524="MANOLA",PR!$AI522,IF(J524="MARCSON",PR!$AJ522,IF(J524="M&amp;B",PR!$AK522,IF(J524="MTRUST",PR!$AL522,IF(J524="MWORLD",PR!$AM522,IF(J524="MEGA",PR!$AN522,IF(J524="MICRONOVA",PR!$AO522,IF(J524="MFLASH",PR!$AP522,IF(J524="MORISON",PR!$AQ522,IF(J524="NEMEL",PR!$AR522,IF(J524="NHP",PR!$AS522,IF(J524="NHC",PR!$AT522,IF(J524="OLEAF",PR!$AU522,IF(J524="OCULUS",PR!$AV522,IF(J524="PACIFIC",PR!$AW522,IF(J524="PHAMATEX",PR!$AX522,IF(J524="PETHICS",PR!$AY522,IF(J524="PHILIPS",PR!$AZ522,IF(J524="RANBAXY",PR!$BA522,IF(J524="REALS",PR!$BB522,IF(J524="ROYAL",PR!$BC522,IF(J524="SAM",PR!$BD522,IF(J524="SEAGREEN",PR!$BE522,IF(J524="SKG",PR!$BF522,IF(J524="TAH",PR!$BG522,IF(J524="TAYLEK",PR!$BH522,IF(J524="TEMITA",PR!$BI522,IF(J524="THL",PR!$BJ522,IF(J524="UBASTIC",PR!$BK522,IF(J524="UNION",PR!$BL522,IF(J524="UNIQUE",PR!$BM522,IF(J524="VIXA",PR!$BN522,IF(J524="WWCV",PR!$BO522,IF(J524="ZOLON",PR!$BP522,"-"))))))))))))))))))))))))))))))))))))))))))))))))))))))))))))))))</f>
        <v>250</v>
      </c>
      <c r="J524" s="102" t="str">
        <f>EV!N654</f>
        <v>PHAMATEX</v>
      </c>
      <c r="K524" s="433" t="s">
        <v>631</v>
      </c>
      <c r="L524" s="183">
        <f>IF(K524&gt;0,IF(K524="ALPHA",PR!$E522,IF(K524="ASSENE",PR!$F522,IF(K524="BIOFEM",PR!$G522,IF(K524="BIOMED",PR!$H522,IF(K524="CHI",PR!$I522,IF(K524="CLARION",PR!$J522,IF(K524="CODIX",PR!$K522,IF(K524="COSMADE",PR!$L522,IF(K524="SANCON",PR!$M522,IF(K524="DEVON",PR!$N522,IF(K524="DORTEMAG",PR!$O522,IF(K524="DGF",PR!$P522,IF(K524="DYNAMIC",PR!$Q522,IF(K524="EMZOR",PR!$R522,IF(K524="EUMATT",PR!$S522,IF(K524="FIDSON",PR!$T522,IF(K524="FCGLOBAL",PR!$U522,IF(K524="GENEITH",PR!$V522,IF(K524="GINOS",PR!$W522,IF(K524="GSK",PR!$X522,IF(K524="GLOBORG",PR!$Y522,IF(K524="GOODNEWS",PR!$Z522,IF(K524="GREENLIFE",PR!$AA522,IF(K524="HLINE",PR!$AB522,IF(K524="ROTECH",PR!$AC522,IF(K524="ISN",PR!$AD522,IF(K524="JAWA",PR!$AE522,IF(K524="LAYO",PR!$AF522,IF(K524="LEADWAY",PR!$AG522,IF(K524="LHV",PR!$AH522,IF(K524="MANOLA",PR!$AI522,IF(K524="MARCSON",PR!$AJ522,IF(K524="M&amp;B",PR!$AK522,IF(K524="MTRUST",PR!$AL522,IF(K524="MWORLD",PR!$AM522,IF(K524="MEGA",PR!$AN522,IF(K524="MICRONOVA",PR!$AO522,IF(K524="MFLASH",PR!$AP522,IF(K524="MORISON",PR!$AQ522,IF(K524="NEMEL",PR!$AR522,IF(K524="NHP",PR!$AS522,IF(K524="NHC",PR!$AT522,IF(K524="OLEAF",PR!$AU522,IF(K524="OCULUS",PR!$AV522,IF(K524="PACIFIC",PR!$AW522,IF(K524="PHAMATEX",PR!$AX522,IF(K524="PETHICS",PR!$AY522,IF(K524="PHILIPS",PR!$AZ522,IF(K524="RANBAXY",PR!$BA522,IF(K524="REALS",PR!$BB522,IF(K524="ROYAL",PR!$BC522,IF(K524="SAM",PR!$BD522,IF(K524="SEAGREEN",PR!$BE522,IF(K524="SKG",PR!$BF522,IF(K524="TAH",PR!$BG522,IF(K524="TAYLEK",PR!$BH522,IF(K524="TEMITA",PR!$BI522,IF(K524="THL",PR!$BJ522,IF(K524="UBASTIC",PR!$BK522,IF(K524="UNION",PR!$BL522,IF(K524="UNIQUE",PR!$BM522,IF(K524="VIXA",PR!$BN522,IF(K524="WWCV",PR!$BO522,IF(K524="ZOLON",PR!$BP522,"-")))))))))))))))))))))))))))))))))))))))))))))))))))))))))))))))))</f>
        <v>240</v>
      </c>
    </row>
    <row r="525" spans="1:12" ht="18.75" x14ac:dyDescent="0.3">
      <c r="A525" s="430">
        <f>PR!A523</f>
        <v>471</v>
      </c>
      <c r="B525" s="15" t="str">
        <f>PR!B523</f>
        <v>CETIRIZINE TAB</v>
      </c>
      <c r="C525" s="113">
        <f>PR!D523</f>
        <v>100</v>
      </c>
      <c r="D525" s="113">
        <f>PR!C523</f>
        <v>60</v>
      </c>
      <c r="E525" s="108">
        <f>IF(F525="ALPHA",PR!$E523,IF(F525="ASSENE",PR!$F523,IF(F525="BIOFEM",PR!$G523,IF(F525="BIOMED",PR!$H523,IF(F525="CHI",PR!$I523,IF(F525="CLARION",PR!$J523,IF(F525="CODIX",PR!$K523,IF(F525="COSMADE",PR!$L523,IF(F525="SANCON",PR!$M523,IF(F525="DEVON",PR!$N523,IF(F525="DORTEMAG",PR!$O523,IF(F525="DGF",PR!$P523,IF(F525="DYNAMIC",PR!$Q523,IF(F525="EMZOR",PR!$R523,IF(F525="EUMATT",PR!$S523,IF(F525="FIDSON",PR!$T523,IF(F525="FCGLOBAL",PR!$U523,IF(F525="GENEITH",PR!$V523,IF(F525="GINOS",PR!$W523,IF(F525="GSK",PR!$X523,IF(F525="GLOBORG",PR!$Y523,IF(F525="GOODNEWS",PR!$Z523,IF(F525="GREENLIFE",PR!$AA523,IF(F525="HLINE",PR!$AB523,IF(F525="ROTECH",PR!$AC523,IF(F525="ISN",PR!$AD523,IF(F525="JAWA",PR!$AE523,IF(F525="LAYO",PR!$AF523,IF(F525="LEADWAY",PR!$AG523,IF(F525="LHV",PR!$AH523,IF(F525="MANOLA",PR!$AI523,IF(F525="MARCSON",PR!$AJ523,IF(F525="M&amp;B",PR!$AK523,IF(F525="MTRUST",PR!$AL523,IF(F525="MWORLD",PR!$AM523,IF(F525="MEGA",PR!$AN523,IF(F525="MICRONOVA",PR!$AO523,IF(F525="MFLASH",PR!$AP523,IF(F525="MORISON",PR!$AQ523,IF(F525="NEMEL",PR!$AR523,IF(F525="NHP",PR!$AS523,IF(F525="NHC",PR!$AT523,IF(F525="OLEAF",PR!$AU523,IF(F525="OCULUS",PR!$AV523,IF(F525="PACIFIC",PR!$AW523,IF(F525="PHAMATEX",PR!$AX523,IF(F525="PETHICS",PR!$AY523,IF(F525="PHILIPS",PR!$AZ523,IF(F525="RANBAXY",PR!$BA523,IF(F525="REALS",PR!$BB523,IF(F525="ROYAL",PR!$BC523,IF(F525="SAM",PR!$BD523,IF(F525="SEAGREEN",PR!$BE523,IF(F525="SKG",PR!$BF523,IF(F525="TAH",PR!$BG523,IF(F525="TAYLEK",PR!$BH523,IF(F525="TEMITA",PR!$BI523,IF(F525="THL",PR!$BJ523,IF(F525="UBASTIC",PR!$BK523,IF(F525="UNION",PR!$BL523,IF(F525="UNIQUE",PR!$BM523,IF(F525="VIXA",PR!$BN523,IF(F525="WWCV",PR!$BO523,IF(F525="ZOLON",PR!$BP523,"-"))))))))))))))))))))))))))))))))))))))))))))))))))))))))))))))))</f>
        <v>900</v>
      </c>
      <c r="F525" s="102" t="str">
        <f>EV!L655</f>
        <v>EUMATT</v>
      </c>
      <c r="G525" s="108">
        <f>IF(H525="ALPHA",PR!$E523,IF(H525="ASSENE",PR!$F523,IF(H525="BIOFEM",PR!$G523,IF(H525="BIOMED",PR!$H523,IF(H525="CHI",PR!$I523,IF(H525="CLARION",PR!$J523,IF(H525="CODIX",PR!$K523,IF(H525="COSMADE",PR!$L523,IF(H525="SANCON",PR!$M523,IF(H525="DEVON",PR!$N523,IF(H525="DORTEMAG",PR!$O523,IF(H525="DGF",PR!$P523,IF(H525="DYNAMIC",PR!$Q523,IF(H525="EMZOR",PR!$R523,IF(H525="EUMATT",PR!$S523,IF(H525="FIDSON",PR!$T523,IF(H525="FCGLOBAL",PR!$U523,IF(H525="GENEITH",PR!$V523,IF(H525="GINOS",PR!$W523,IF(H525="GSK",PR!$X523,IF(H525="GLOBORG",PR!$Y523,IF(H525="GOODNEWS",PR!$Z523,IF(H525="GREENLIFE",PR!$AA523,IF(H525="HLINE",PR!$AB523,IF(H525="ROTECH",PR!$AC523,IF(H525="ISN",PR!$AD523,IF(H525="JAWA",PR!$AE523,IF(H525="LAYO",PR!$AF523,IF(H525="LEADWAY",PR!$AG523,IF(H525="LHV",PR!$AH523,IF(H525="MANOLA",PR!$AI523,IF(H525="MARCSON",PR!$AJ523,IF(H525="M&amp;B",PR!$AK523,IF(H525="MTRUST",PR!$AL523,IF(H525="MWORLD",PR!$AM523,IF(H525="MEGA",PR!$AN523,IF(H525="MICRONOVA",PR!$AO523,IF(H525="MFLASH",PR!$AP523,IF(H525="MORISON",PR!$AQ523,IF(H525="NEMEL",PR!$AR523,IF(H525="NHP",PR!$AS523,IF(H525="NHC",PR!$AT523,IF(H525="OLEAF",PR!$AU523,IF(H525="OCULUS",PR!$AV523,IF(H525="PACIFIC",PR!$AW523,IF(H525="PHAMATEX",PR!$AX523,IF(H525="PETHICS",PR!$AY523,IF(H525="PHILIPS",PR!$AZ523,IF(H525="RANBAXY",PR!$BA523,IF(H525="REALS",PR!$BB523,IF(H525="ROYAL",PR!$BC523,IF(H525="SAM",PR!$BD523,IF(H525="SEAGREEN",PR!$BE523,IF(H525="SKG",PR!$BF523,IF(H525="TAH",PR!$BG523,IF(H525="TAYLEK",PR!$BH523,IF(H525="TEMITA",PR!$BI523,IF(H525="THL",PR!$BJ523,IF(H525="UBASTIC",PR!$BK523,IF(H525="UNION",PR!$BL523,IF(H525="UNIQUE",PR!$BM523,IF(H525="VIXA",PR!$BN523,IF(H525="WWCV",PR!$BO523,IF(H525="ZOLON",PR!$BP523,"-"))))))))))))))))))))))))))))))))))))))))))))))))))))))))))))))))</f>
        <v>1120</v>
      </c>
      <c r="H525" s="102" t="str">
        <f>EV!M655</f>
        <v>JAWA</v>
      </c>
      <c r="I525" s="108">
        <f>IF(J525="ALPHA",PR!$E523,IF(J525="ASSENE",PR!$F523,IF(J525="BIOFEM",PR!$G523,IF(J525="BIOMED",PR!$H523,IF(J525="CHI",PR!$I523,IF(J525="CLARION",PR!$J523,IF(J525="CODIX",PR!$K523,IF(J525="COSMADE",PR!$L523,IF(J525="SANCON",PR!$M523,IF(J525="DEVON",PR!$N523,IF(J525="DORTEMAG",PR!$O523,IF(J525="DGF",PR!$P523,IF(J525="DYNAMIC",PR!$Q523,IF(J525="EMZOR",PR!$R523,IF(J525="EUMATT",PR!$S523,IF(J525="FIDSON",PR!$T523,IF(J525="FCGLOBAL",PR!$U523,IF(J525="GENEITH",PR!$V523,IF(J525="GINOS",PR!$W523,IF(J525="GSK",PR!$X523,IF(J525="GLOBORG",PR!$Y523,IF(J525="GOODNEWS",PR!$Z523,IF(J525="GREENLIFE",PR!$AA523,IF(J525="HLINE",PR!$AB523,IF(J525="ROTECH",PR!$AC523,IF(J525="ISN",PR!$AD523,IF(J525="JAWA",PR!$AE523,IF(J525="LAYO",PR!$AF523,IF(J525="LEADWAY",PR!$AG523,IF(J525="LHV",PR!$AH523,IF(J525="MANOLA",PR!$AI523,IF(J525="MARCSON",PR!$AJ523,IF(J525="M&amp;B",PR!$AK523,IF(J525="MTRUST",PR!$AL523,IF(J525="MWORLD",PR!$AM523,IF(J525="MEGA",PR!$AN523,IF(J525="MICRONOVA",PR!$AO523,IF(J525="MFLASH",PR!$AP523,IF(J525="MORISON",PR!$AQ523,IF(J525="NEMEL",PR!$AR523,IF(J525="NHP",PR!$AS523,IF(J525="NHC",PR!$AT523,IF(J525="OLEAF",PR!$AU523,IF(J525="OCULUS",PR!$AV523,IF(J525="PACIFIC",PR!$AW523,IF(J525="PHAMATEX",PR!$AX523,IF(J525="PETHICS",PR!$AY523,IF(J525="PHILIPS",PR!$AZ523,IF(J525="RANBAXY",PR!$BA523,IF(J525="REALS",PR!$BB523,IF(J525="ROYAL",PR!$BC523,IF(J525="SAM",PR!$BD523,IF(J525="SEAGREEN",PR!$BE523,IF(J525="SKG",PR!$BF523,IF(J525="TAH",PR!$BG523,IF(J525="TAYLEK",PR!$BH523,IF(J525="TEMITA",PR!$BI523,IF(J525="THL",PR!$BJ523,IF(J525="UBASTIC",PR!$BK523,IF(J525="UNION",PR!$BL523,IF(J525="UNIQUE",PR!$BM523,IF(J525="VIXA",PR!$BN523,IF(J525="WWCV",PR!$BO523,IF(J525="ZOLON",PR!$BP523,"-"))))))))))))))))))))))))))))))))))))))))))))))))))))))))))))))))</f>
        <v>2200</v>
      </c>
      <c r="J525" s="102" t="str">
        <f>EV!N655</f>
        <v>PHILIPS</v>
      </c>
      <c r="K525" s="433" t="s">
        <v>821</v>
      </c>
      <c r="L525" s="183">
        <f>IF(K525&gt;0,IF(K525="ALPHA",PR!$E523,IF(K525="ASSENE",PR!$F523,IF(K525="BIOFEM",PR!$G523,IF(K525="BIOMED",PR!$H523,IF(K525="CHI",PR!$I523,IF(K525="CLARION",PR!$J523,IF(K525="CODIX",PR!$K523,IF(K525="COSMADE",PR!$L523,IF(K525="SANCON",PR!$M523,IF(K525="DEVON",PR!$N523,IF(K525="DORTEMAG",PR!$O523,IF(K525="DGF",PR!$P523,IF(K525="DYNAMIC",PR!$Q523,IF(K525="EMZOR",PR!$R523,IF(K525="EUMATT",PR!$S523,IF(K525="FIDSON",PR!$T523,IF(K525="FCGLOBAL",PR!$U523,IF(K525="GENEITH",PR!$V523,IF(K525="GINOS",PR!$W523,IF(K525="GSK",PR!$X523,IF(K525="GLOBORG",PR!$Y523,IF(K525="GOODNEWS",PR!$Z523,IF(K525="GREENLIFE",PR!$AA523,IF(K525="HLINE",PR!$AB523,IF(K525="ROTECH",PR!$AC523,IF(K525="ISN",PR!$AD523,IF(K525="JAWA",PR!$AE523,IF(K525="LAYO",PR!$AF523,IF(K525="LEADWAY",PR!$AG523,IF(K525="LHV",PR!$AH523,IF(K525="MANOLA",PR!$AI523,IF(K525="MARCSON",PR!$AJ523,IF(K525="M&amp;B",PR!$AK523,IF(K525="MTRUST",PR!$AL523,IF(K525="MWORLD",PR!$AM523,IF(K525="MEGA",PR!$AN523,IF(K525="MICRONOVA",PR!$AO523,IF(K525="MFLASH",PR!$AP523,IF(K525="MORISON",PR!$AQ523,IF(K525="NEMEL",PR!$AR523,IF(K525="NHP",PR!$AS523,IF(K525="NHC",PR!$AT523,IF(K525="OLEAF",PR!$AU523,IF(K525="OCULUS",PR!$AV523,IF(K525="PACIFIC",PR!$AW523,IF(K525="PHAMATEX",PR!$AX523,IF(K525="PETHICS",PR!$AY523,IF(K525="PHILIPS",PR!$AZ523,IF(K525="RANBAXY",PR!$BA523,IF(K525="REALS",PR!$BB523,IF(K525="ROYAL",PR!$BC523,IF(K525="SAM",PR!$BD523,IF(K525="SEAGREEN",PR!$BE523,IF(K525="SKG",PR!$BF523,IF(K525="TAH",PR!$BG523,IF(K525="TAYLEK",PR!$BH523,IF(K525="TEMITA",PR!$BI523,IF(K525="THL",PR!$BJ523,IF(K525="UBASTIC",PR!$BK523,IF(K525="UNION",PR!$BL523,IF(K525="UNIQUE",PR!$BM523,IF(K525="VIXA",PR!$BN523,IF(K525="WWCV",PR!$BO523,IF(K525="ZOLON",PR!$BP523,"-")))))))))))))))))))))))))))))))))))))))))))))))))))))))))))))))))</f>
        <v>900</v>
      </c>
    </row>
    <row r="526" spans="1:12" ht="18.75" x14ac:dyDescent="0.3">
      <c r="A526" s="430">
        <f>PR!A524</f>
        <v>472</v>
      </c>
      <c r="B526" s="15" t="str">
        <f>PR!B524</f>
        <v>CHLORPHENIRAMINE 4MG TAB</v>
      </c>
      <c r="C526" s="113">
        <f>PR!D524</f>
        <v>1000</v>
      </c>
      <c r="D526" s="113">
        <f>PR!C524</f>
        <v>20</v>
      </c>
      <c r="E526" s="108">
        <f>IF(F526="ALPHA",PR!$E524,IF(F526="ASSENE",PR!$F524,IF(F526="BIOFEM",PR!$G524,IF(F526="BIOMED",PR!$H524,IF(F526="CHI",PR!$I524,IF(F526="CLARION",PR!$J524,IF(F526="CODIX",PR!$K524,IF(F526="COSMADE",PR!$L524,IF(F526="SANCON",PR!$M524,IF(F526="DEVON",PR!$N524,IF(F526="DORTEMAG",PR!$O524,IF(F526="DGF",PR!$P524,IF(F526="DYNAMIC",PR!$Q524,IF(F526="EMZOR",PR!$R524,IF(F526="EUMATT",PR!$S524,IF(F526="FIDSON",PR!$T524,IF(F526="FCGLOBAL",PR!$U524,IF(F526="GENEITH",PR!$V524,IF(F526="GINOS",PR!$W524,IF(F526="GSK",PR!$X524,IF(F526="GLOBORG",PR!$Y524,IF(F526="GOODNEWS",PR!$Z524,IF(F526="GREENLIFE",PR!$AA524,IF(F526="HLINE",PR!$AB524,IF(F526="ROTECH",PR!$AC524,IF(F526="ISN",PR!$AD524,IF(F526="JAWA",PR!$AE524,IF(F526="LAYO",PR!$AF524,IF(F526="LEADWAY",PR!$AG524,IF(F526="LHV",PR!$AH524,IF(F526="MANOLA",PR!$AI524,IF(F526="MARCSON",PR!$AJ524,IF(F526="M&amp;B",PR!$AK524,IF(F526="MTRUST",PR!$AL524,IF(F526="MWORLD",PR!$AM524,IF(F526="MEGA",PR!$AN524,IF(F526="MICRONOVA",PR!$AO524,IF(F526="MFLASH",PR!$AP524,IF(F526="MORISON",PR!$AQ524,IF(F526="NEMEL",PR!$AR524,IF(F526="NHP",PR!$AS524,IF(F526="NHC",PR!$AT524,IF(F526="OLEAF",PR!$AU524,IF(F526="OCULUS",PR!$AV524,IF(F526="PACIFIC",PR!$AW524,IF(F526="PHAMATEX",PR!$AX524,IF(F526="PETHICS",PR!$AY524,IF(F526="PHILIPS",PR!$AZ524,IF(F526="RANBAXY",PR!$BA524,IF(F526="REALS",PR!$BB524,IF(F526="ROYAL",PR!$BC524,IF(F526="SAM",PR!$BD524,IF(F526="SEAGREEN",PR!$BE524,IF(F526="SKG",PR!$BF524,IF(F526="TAH",PR!$BG524,IF(F526="TAYLEK",PR!$BH524,IF(F526="TEMITA",PR!$BI524,IF(F526="THL",PR!$BJ524,IF(F526="UBASTIC",PR!$BK524,IF(F526="UNION",PR!$BL524,IF(F526="UNIQUE",PR!$BM524,IF(F526="VIXA",PR!$BN524,IF(F526="WWCV",PR!$BO524,IF(F526="ZOLON",PR!$BP524,"-"))))))))))))))))))))))))))))))))))))))))))))))))))))))))))))))))</f>
        <v>310</v>
      </c>
      <c r="F526" s="102" t="str">
        <f>EV!L656</f>
        <v>EMZOR</v>
      </c>
      <c r="G526" s="108">
        <f>IF(H526="ALPHA",PR!$E524,IF(H526="ASSENE",PR!$F524,IF(H526="BIOFEM",PR!$G524,IF(H526="BIOMED",PR!$H524,IF(H526="CHI",PR!$I524,IF(H526="CLARION",PR!$J524,IF(H526="CODIX",PR!$K524,IF(H526="COSMADE",PR!$L524,IF(H526="SANCON",PR!$M524,IF(H526="DEVON",PR!$N524,IF(H526="DORTEMAG",PR!$O524,IF(H526="DGF",PR!$P524,IF(H526="DYNAMIC",PR!$Q524,IF(H526="EMZOR",PR!$R524,IF(H526="EUMATT",PR!$S524,IF(H526="FIDSON",PR!$T524,IF(H526="FCGLOBAL",PR!$U524,IF(H526="GENEITH",PR!$V524,IF(H526="GINOS",PR!$W524,IF(H526="GSK",PR!$X524,IF(H526="GLOBORG",PR!$Y524,IF(H526="GOODNEWS",PR!$Z524,IF(H526="GREENLIFE",PR!$AA524,IF(H526="HLINE",PR!$AB524,IF(H526="ROTECH",PR!$AC524,IF(H526="ISN",PR!$AD524,IF(H526="JAWA",PR!$AE524,IF(H526="LAYO",PR!$AF524,IF(H526="LEADWAY",PR!$AG524,IF(H526="LHV",PR!$AH524,IF(H526="MANOLA",PR!$AI524,IF(H526="MARCSON",PR!$AJ524,IF(H526="M&amp;B",PR!$AK524,IF(H526="MTRUST",PR!$AL524,IF(H526="MWORLD",PR!$AM524,IF(H526="MEGA",PR!$AN524,IF(H526="MICRONOVA",PR!$AO524,IF(H526="MFLASH",PR!$AP524,IF(H526="MORISON",PR!$AQ524,IF(H526="NEMEL",PR!$AR524,IF(H526="NHP",PR!$AS524,IF(H526="NHC",PR!$AT524,IF(H526="OLEAF",PR!$AU524,IF(H526="OCULUS",PR!$AV524,IF(H526="PACIFIC",PR!$AW524,IF(H526="PHAMATEX",PR!$AX524,IF(H526="PETHICS",PR!$AY524,IF(H526="PHILIPS",PR!$AZ524,IF(H526="RANBAXY",PR!$BA524,IF(H526="REALS",PR!$BB524,IF(H526="ROYAL",PR!$BC524,IF(H526="SAM",PR!$BD524,IF(H526="SEAGREEN",PR!$BE524,IF(H526="SKG",PR!$BF524,IF(H526="TAH",PR!$BG524,IF(H526="TAYLEK",PR!$BH524,IF(H526="TEMITA",PR!$BI524,IF(H526="THL",PR!$BJ524,IF(H526="UBASTIC",PR!$BK524,IF(H526="UNION",PR!$BL524,IF(H526="UNIQUE",PR!$BM524,IF(H526="VIXA",PR!$BN524,IF(H526="WWCV",PR!$BO524,IF(H526="ZOLON",PR!$BP524,"-"))))))))))))))))))))))))))))))))))))))))))))))))))))))))))))))))</f>
        <v>390</v>
      </c>
      <c r="H526" s="102" t="str">
        <f>EV!M656</f>
        <v>SAM</v>
      </c>
      <c r="I526" s="108">
        <f>IF(J526="ALPHA",PR!$E524,IF(J526="ASSENE",PR!$F524,IF(J526="BIOFEM",PR!$G524,IF(J526="BIOMED",PR!$H524,IF(J526="CHI",PR!$I524,IF(J526="CLARION",PR!$J524,IF(J526="CODIX",PR!$K524,IF(J526="COSMADE",PR!$L524,IF(J526="SANCON",PR!$M524,IF(J526="DEVON",PR!$N524,IF(J526="DORTEMAG",PR!$O524,IF(J526="DGF",PR!$P524,IF(J526="DYNAMIC",PR!$Q524,IF(J526="EMZOR",PR!$R524,IF(J526="EUMATT",PR!$S524,IF(J526="FIDSON",PR!$T524,IF(J526="FCGLOBAL",PR!$U524,IF(J526="GENEITH",PR!$V524,IF(J526="GINOS",PR!$W524,IF(J526="GSK",PR!$X524,IF(J526="GLOBORG",PR!$Y524,IF(J526="GOODNEWS",PR!$Z524,IF(J526="GREENLIFE",PR!$AA524,IF(J526="HLINE",PR!$AB524,IF(J526="ROTECH",PR!$AC524,IF(J526="ISN",PR!$AD524,IF(J526="JAWA",PR!$AE524,IF(J526="LAYO",PR!$AF524,IF(J526="LEADWAY",PR!$AG524,IF(J526="LHV",PR!$AH524,IF(J526="MANOLA",PR!$AI524,IF(J526="MARCSON",PR!$AJ524,IF(J526="M&amp;B",PR!$AK524,IF(J526="MTRUST",PR!$AL524,IF(J526="MWORLD",PR!$AM524,IF(J526="MEGA",PR!$AN524,IF(J526="MICRONOVA",PR!$AO524,IF(J526="MFLASH",PR!$AP524,IF(J526="MORISON",PR!$AQ524,IF(J526="NEMEL",PR!$AR524,IF(J526="NHP",PR!$AS524,IF(J526="NHC",PR!$AT524,IF(J526="OLEAF",PR!$AU524,IF(J526="OCULUS",PR!$AV524,IF(J526="PACIFIC",PR!$AW524,IF(J526="PHAMATEX",PR!$AX524,IF(J526="PETHICS",PR!$AY524,IF(J526="PHILIPS",PR!$AZ524,IF(J526="RANBAXY",PR!$BA524,IF(J526="REALS",PR!$BB524,IF(J526="ROYAL",PR!$BC524,IF(J526="SAM",PR!$BD524,IF(J526="SEAGREEN",PR!$BE524,IF(J526="SKG",PR!$BF524,IF(J526="TAH",PR!$BG524,IF(J526="TAYLEK",PR!$BH524,IF(J526="TEMITA",PR!$BI524,IF(J526="THL",PR!$BJ524,IF(J526="UBASTIC",PR!$BK524,IF(J526="UNION",PR!$BL524,IF(J526="UNIQUE",PR!$BM524,IF(J526="VIXA",PR!$BN524,IF(J526="WWCV",PR!$BO524,IF(J526="ZOLON",PR!$BP524,"-"))))))))))))))))))))))))))))))))))))))))))))))))))))))))))))))))</f>
        <v>400</v>
      </c>
      <c r="J526" s="102" t="str">
        <f>EV!N656</f>
        <v>EUMATT</v>
      </c>
      <c r="K526" s="433" t="s">
        <v>614</v>
      </c>
      <c r="L526" s="183">
        <f>IF(K526&gt;0,IF(K526="ALPHA",PR!$E524,IF(K526="ASSENE",PR!$F524,IF(K526="BIOFEM",PR!$G524,IF(K526="BIOMED",PR!$H524,IF(K526="CHI",PR!$I524,IF(K526="CLARION",PR!$J524,IF(K526="CODIX",PR!$K524,IF(K526="COSMADE",PR!$L524,IF(K526="SANCON",PR!$M524,IF(K526="DEVON",PR!$N524,IF(K526="DORTEMAG",PR!$O524,IF(K526="DGF",PR!$P524,IF(K526="DYNAMIC",PR!$Q524,IF(K526="EMZOR",PR!$R524,IF(K526="EUMATT",PR!$S524,IF(K526="FIDSON",PR!$T524,IF(K526="FCGLOBAL",PR!$U524,IF(K526="GENEITH",PR!$V524,IF(K526="GINOS",PR!$W524,IF(K526="GSK",PR!$X524,IF(K526="GLOBORG",PR!$Y524,IF(K526="GOODNEWS",PR!$Z524,IF(K526="GREENLIFE",PR!$AA524,IF(K526="HLINE",PR!$AB524,IF(K526="ROTECH",PR!$AC524,IF(K526="ISN",PR!$AD524,IF(K526="JAWA",PR!$AE524,IF(K526="LAYO",PR!$AF524,IF(K526="LEADWAY",PR!$AG524,IF(K526="LHV",PR!$AH524,IF(K526="MANOLA",PR!$AI524,IF(K526="MARCSON",PR!$AJ524,IF(K526="M&amp;B",PR!$AK524,IF(K526="MTRUST",PR!$AL524,IF(K526="MWORLD",PR!$AM524,IF(K526="MEGA",PR!$AN524,IF(K526="MICRONOVA",PR!$AO524,IF(K526="MFLASH",PR!$AP524,IF(K526="MORISON",PR!$AQ524,IF(K526="NEMEL",PR!$AR524,IF(K526="NHP",PR!$AS524,IF(K526="NHC",PR!$AT524,IF(K526="OLEAF",PR!$AU524,IF(K526="OCULUS",PR!$AV524,IF(K526="PACIFIC",PR!$AW524,IF(K526="PHAMATEX",PR!$AX524,IF(K526="PETHICS",PR!$AY524,IF(K526="PHILIPS",PR!$AZ524,IF(K526="RANBAXY",PR!$BA524,IF(K526="REALS",PR!$BB524,IF(K526="ROYAL",PR!$BC524,IF(K526="SAM",PR!$BD524,IF(K526="SEAGREEN",PR!$BE524,IF(K526="SKG",PR!$BF524,IF(K526="TAH",PR!$BG524,IF(K526="TAYLEK",PR!$BH524,IF(K526="TEMITA",PR!$BI524,IF(K526="THL",PR!$BJ524,IF(K526="UBASTIC",PR!$BK524,IF(K526="UNION",PR!$BL524,IF(K526="UNIQUE",PR!$BM524,IF(K526="VIXA",PR!$BN524,IF(K526="WWCV",PR!$BO524,IF(K526="ZOLON",PR!$BP524,"-")))))))))))))))))))))))))))))))))))))))))))))))))))))))))))))))))</f>
        <v>310</v>
      </c>
    </row>
    <row r="527" spans="1:12" ht="18.75" x14ac:dyDescent="0.3">
      <c r="A527" s="430">
        <f>PR!A525</f>
        <v>473</v>
      </c>
      <c r="B527" s="15" t="str">
        <f>PR!B525</f>
        <v>CHLORPHENIRAMINE 4MG/5ML  SYR</v>
      </c>
      <c r="C527" s="113" t="str">
        <f>PR!D525</f>
        <v>BOTT</v>
      </c>
      <c r="D527" s="113">
        <f>PR!C525</f>
        <v>800</v>
      </c>
      <c r="E527" s="108">
        <f>IF(F527="ALPHA",PR!$E525,IF(F527="ASSENE",PR!$F525,IF(F527="BIOFEM",PR!$G525,IF(F527="BIOMED",PR!$H525,IF(F527="CHI",PR!$I525,IF(F527="CLARION",PR!$J525,IF(F527="CODIX",PR!$K525,IF(F527="COSMADE",PR!$L525,IF(F527="SANCON",PR!$M525,IF(F527="DEVON",PR!$N525,IF(F527="DORTEMAG",PR!$O525,IF(F527="DGF",PR!$P525,IF(F527="DYNAMIC",PR!$Q525,IF(F527="EMZOR",PR!$R525,IF(F527="EUMATT",PR!$S525,IF(F527="FIDSON",PR!$T525,IF(F527="FCGLOBAL",PR!$U525,IF(F527="GENEITH",PR!$V525,IF(F527="GINOS",PR!$W525,IF(F527="GSK",PR!$X525,IF(F527="GLOBORG",PR!$Y525,IF(F527="GOODNEWS",PR!$Z525,IF(F527="GREENLIFE",PR!$AA525,IF(F527="HLINE",PR!$AB525,IF(F527="ROTECH",PR!$AC525,IF(F527="ISN",PR!$AD525,IF(F527="JAWA",PR!$AE525,IF(F527="LAYO",PR!$AF525,IF(F527="LEADWAY",PR!$AG525,IF(F527="LHV",PR!$AH525,IF(F527="MANOLA",PR!$AI525,IF(F527="MARCSON",PR!$AJ525,IF(F527="M&amp;B",PR!$AK525,IF(F527="MTRUST",PR!$AL525,IF(F527="MWORLD",PR!$AM525,IF(F527="MEGA",PR!$AN525,IF(F527="MICRONOVA",PR!$AO525,IF(F527="MFLASH",PR!$AP525,IF(F527="MORISON",PR!$AQ525,IF(F527="NEMEL",PR!$AR525,IF(F527="NHP",PR!$AS525,IF(F527="NHC",PR!$AT525,IF(F527="OLEAF",PR!$AU525,IF(F527="OCULUS",PR!$AV525,IF(F527="PACIFIC",PR!$AW525,IF(F527="PHAMATEX",PR!$AX525,IF(F527="PETHICS",PR!$AY525,IF(F527="PHILIPS",PR!$AZ525,IF(F527="RANBAXY",PR!$BA525,IF(F527="REALS",PR!$BB525,IF(F527="ROYAL",PR!$BC525,IF(F527="SAM",PR!$BD525,IF(F527="SEAGREEN",PR!$BE525,IF(F527="SKG",PR!$BF525,IF(F527="TAH",PR!$BG525,IF(F527="TAYLEK",PR!$BH525,IF(F527="TEMITA",PR!$BI525,IF(F527="THL",PR!$BJ525,IF(F527="UBASTIC",PR!$BK525,IF(F527="UNION",PR!$BL525,IF(F527="UNIQUE",PR!$BM525,IF(F527="VIXA",PR!$BN525,IF(F527="WWCV",PR!$BO525,IF(F527="ZOLON",PR!$BP525,"-"))))))))))))))))))))))))))))))))))))))))))))))))))))))))))))))))</f>
        <v>100</v>
      </c>
      <c r="F527" s="102" t="str">
        <f>EV!L657</f>
        <v>M&amp;B</v>
      </c>
      <c r="G527" s="108">
        <f>IF(H527="ALPHA",PR!$E525,IF(H527="ASSENE",PR!$F525,IF(H527="BIOFEM",PR!$G525,IF(H527="BIOMED",PR!$H525,IF(H527="CHI",PR!$I525,IF(H527="CLARION",PR!$J525,IF(H527="CODIX",PR!$K525,IF(H527="COSMADE",PR!$L525,IF(H527="SANCON",PR!$M525,IF(H527="DEVON",PR!$N525,IF(H527="DORTEMAG",PR!$O525,IF(H527="DGF",PR!$P525,IF(H527="DYNAMIC",PR!$Q525,IF(H527="EMZOR",PR!$R525,IF(H527="EUMATT",PR!$S525,IF(H527="FIDSON",PR!$T525,IF(H527="FCGLOBAL",PR!$U525,IF(H527="GENEITH",PR!$V525,IF(H527="GINOS",PR!$W525,IF(H527="GSK",PR!$X525,IF(H527="GLOBORG",PR!$Y525,IF(H527="GOODNEWS",PR!$Z525,IF(H527="GREENLIFE",PR!$AA525,IF(H527="HLINE",PR!$AB525,IF(H527="ROTECH",PR!$AC525,IF(H527="ISN",PR!$AD525,IF(H527="JAWA",PR!$AE525,IF(H527="LAYO",PR!$AF525,IF(H527="LEADWAY",PR!$AG525,IF(H527="LHV",PR!$AH525,IF(H527="MANOLA",PR!$AI525,IF(H527="MARCSON",PR!$AJ525,IF(H527="M&amp;B",PR!$AK525,IF(H527="MTRUST",PR!$AL525,IF(H527="MWORLD",PR!$AM525,IF(H527="MEGA",PR!$AN525,IF(H527="MICRONOVA",PR!$AO525,IF(H527="MFLASH",PR!$AP525,IF(H527="MORISON",PR!$AQ525,IF(H527="NEMEL",PR!$AR525,IF(H527="NHP",PR!$AS525,IF(H527="NHC",PR!$AT525,IF(H527="OLEAF",PR!$AU525,IF(H527="OCULUS",PR!$AV525,IF(H527="PACIFIC",PR!$AW525,IF(H527="PHAMATEX",PR!$AX525,IF(H527="PETHICS",PR!$AY525,IF(H527="PHILIPS",PR!$AZ525,IF(H527="RANBAXY",PR!$BA525,IF(H527="REALS",PR!$BB525,IF(H527="ROYAL",PR!$BC525,IF(H527="SAM",PR!$BD525,IF(H527="SEAGREEN",PR!$BE525,IF(H527="SKG",PR!$BF525,IF(H527="TAH",PR!$BG525,IF(H527="TAYLEK",PR!$BH525,IF(H527="TEMITA",PR!$BI525,IF(H527="THL",PR!$BJ525,IF(H527="UBASTIC",PR!$BK525,IF(H527="UNION",PR!$BL525,IF(H527="UNIQUE",PR!$BM525,IF(H527="VIXA",PR!$BN525,IF(H527="WWCV",PR!$BO525,IF(H527="ZOLON",PR!$BP525,"-"))))))))))))))))))))))))))))))))))))))))))))))))))))))))))))))))</f>
        <v>105</v>
      </c>
      <c r="H527" s="102" t="str">
        <f>EV!M657</f>
        <v>UNIQUE</v>
      </c>
      <c r="I527" s="108">
        <f>IF(J527="ALPHA",PR!$E525,IF(J527="ASSENE",PR!$F525,IF(J527="BIOFEM",PR!$G525,IF(J527="BIOMED",PR!$H525,IF(J527="CHI",PR!$I525,IF(J527="CLARION",PR!$J525,IF(J527="CODIX",PR!$K525,IF(J527="COSMADE",PR!$L525,IF(J527="SANCON",PR!$M525,IF(J527="DEVON",PR!$N525,IF(J527="DORTEMAG",PR!$O525,IF(J527="DGF",PR!$P525,IF(J527="DYNAMIC",PR!$Q525,IF(J527="EMZOR",PR!$R525,IF(J527="EUMATT",PR!$S525,IF(J527="FIDSON",PR!$T525,IF(J527="FCGLOBAL",PR!$U525,IF(J527="GENEITH",PR!$V525,IF(J527="GINOS",PR!$W525,IF(J527="GSK",PR!$X525,IF(J527="GLOBORG",PR!$Y525,IF(J527="GOODNEWS",PR!$Z525,IF(J527="GREENLIFE",PR!$AA525,IF(J527="HLINE",PR!$AB525,IF(J527="ROTECH",PR!$AC525,IF(J527="ISN",PR!$AD525,IF(J527="JAWA",PR!$AE525,IF(J527="LAYO",PR!$AF525,IF(J527="LEADWAY",PR!$AG525,IF(J527="LHV",PR!$AH525,IF(J527="MANOLA",PR!$AI525,IF(J527="MARCSON",PR!$AJ525,IF(J527="M&amp;B",PR!$AK525,IF(J527="MTRUST",PR!$AL525,IF(J527="MWORLD",PR!$AM525,IF(J527="MEGA",PR!$AN525,IF(J527="MICRONOVA",PR!$AO525,IF(J527="MFLASH",PR!$AP525,IF(J527="MORISON",PR!$AQ525,IF(J527="NEMEL",PR!$AR525,IF(J527="NHP",PR!$AS525,IF(J527="NHC",PR!$AT525,IF(J527="OLEAF",PR!$AU525,IF(J527="OCULUS",PR!$AV525,IF(J527="PACIFIC",PR!$AW525,IF(J527="PHAMATEX",PR!$AX525,IF(J527="PETHICS",PR!$AY525,IF(J527="PHILIPS",PR!$AZ525,IF(J527="RANBAXY",PR!$BA525,IF(J527="REALS",PR!$BB525,IF(J527="ROYAL",PR!$BC525,IF(J527="SAM",PR!$BD525,IF(J527="SEAGREEN",PR!$BE525,IF(J527="SKG",PR!$BF525,IF(J527="TAH",PR!$BG525,IF(J527="TAYLEK",PR!$BH525,IF(J527="TEMITA",PR!$BI525,IF(J527="THL",PR!$BJ525,IF(J527="UBASTIC",PR!$BK525,IF(J527="UNION",PR!$BL525,IF(J527="UNIQUE",PR!$BM525,IF(J527="VIXA",PR!$BN525,IF(J527="WWCV",PR!$BO525,IF(J527="ZOLON",PR!$BP525,"-"))))))))))))))))))))))))))))))))))))))))))))))))))))))))))))))))</f>
        <v>120</v>
      </c>
      <c r="J527" s="102" t="str">
        <f>EV!N657</f>
        <v>PHAMATEX</v>
      </c>
      <c r="K527" s="433" t="s">
        <v>616</v>
      </c>
      <c r="L527" s="183">
        <f>IF(K527&gt;0,IF(K527="ALPHA",PR!$E525,IF(K527="ASSENE",PR!$F525,IF(K527="BIOFEM",PR!$G525,IF(K527="BIOMED",PR!$H525,IF(K527="CHI",PR!$I525,IF(K527="CLARION",PR!$J525,IF(K527="CODIX",PR!$K525,IF(K527="COSMADE",PR!$L525,IF(K527="SANCON",PR!$M525,IF(K527="DEVON",PR!$N525,IF(K527="DORTEMAG",PR!$O525,IF(K527="DGF",PR!$P525,IF(K527="DYNAMIC",PR!$Q525,IF(K527="EMZOR",PR!$R525,IF(K527="EUMATT",PR!$S525,IF(K527="FIDSON",PR!$T525,IF(K527="FCGLOBAL",PR!$U525,IF(K527="GENEITH",PR!$V525,IF(K527="GINOS",PR!$W525,IF(K527="GSK",PR!$X525,IF(K527="GLOBORG",PR!$Y525,IF(K527="GOODNEWS",PR!$Z525,IF(K527="GREENLIFE",PR!$AA525,IF(K527="HLINE",PR!$AB525,IF(K527="ROTECH",PR!$AC525,IF(K527="ISN",PR!$AD525,IF(K527="JAWA",PR!$AE525,IF(K527="LAYO",PR!$AF525,IF(K527="LEADWAY",PR!$AG525,IF(K527="LHV",PR!$AH525,IF(K527="MANOLA",PR!$AI525,IF(K527="MARCSON",PR!$AJ525,IF(K527="M&amp;B",PR!$AK525,IF(K527="MTRUST",PR!$AL525,IF(K527="MWORLD",PR!$AM525,IF(K527="MEGA",PR!$AN525,IF(K527="MICRONOVA",PR!$AO525,IF(K527="MFLASH",PR!$AP525,IF(K527="MORISON",PR!$AQ525,IF(K527="NEMEL",PR!$AR525,IF(K527="NHP",PR!$AS525,IF(K527="NHC",PR!$AT525,IF(K527="OLEAF",PR!$AU525,IF(K527="OCULUS",PR!$AV525,IF(K527="PACIFIC",PR!$AW525,IF(K527="PHAMATEX",PR!$AX525,IF(K527="PETHICS",PR!$AY525,IF(K527="PHILIPS",PR!$AZ525,IF(K527="RANBAXY",PR!$BA525,IF(K527="REALS",PR!$BB525,IF(K527="ROYAL",PR!$BC525,IF(K527="SAM",PR!$BD525,IF(K527="SEAGREEN",PR!$BE525,IF(K527="SKG",PR!$BF525,IF(K527="TAH",PR!$BG525,IF(K527="TAYLEK",PR!$BH525,IF(K527="TEMITA",PR!$BI525,IF(K527="THL",PR!$BJ525,IF(K527="UBASTIC",PR!$BK525,IF(K527="UNION",PR!$BL525,IF(K527="UNIQUE",PR!$BM525,IF(K527="VIXA",PR!$BN525,IF(K527="WWCV",PR!$BO525,IF(K527="ZOLON",PR!$BP525,"-")))))))))))))))))))))))))))))))))))))))))))))))))))))))))))))))))</f>
        <v>100</v>
      </c>
    </row>
    <row r="528" spans="1:12" ht="18.75" x14ac:dyDescent="0.3">
      <c r="A528" s="430">
        <f>PR!A526</f>
        <v>474</v>
      </c>
      <c r="B528" s="15" t="str">
        <f>PR!B526</f>
        <v>CHLORPHENIRAMINE INJ</v>
      </c>
      <c r="C528" s="113">
        <f>PR!D526</f>
        <v>100</v>
      </c>
      <c r="D528" s="113">
        <f>PR!C526</f>
        <v>4</v>
      </c>
      <c r="E528" s="108">
        <f>IF(F528="ALPHA",PR!$E526,IF(F528="ASSENE",PR!$F526,IF(F528="BIOFEM",PR!$G526,IF(F528="BIOMED",PR!$H526,IF(F528="CHI",PR!$I526,IF(F528="CLARION",PR!$J526,IF(F528="CODIX",PR!$K526,IF(F528="COSMADE",PR!$L526,IF(F528="SANCON",PR!$M526,IF(F528="DEVON",PR!$N526,IF(F528="DORTEMAG",PR!$O526,IF(F528="DGF",PR!$P526,IF(F528="DYNAMIC",PR!$Q526,IF(F528="EMZOR",PR!$R526,IF(F528="EUMATT",PR!$S526,IF(F528="FIDSON",PR!$T526,IF(F528="FCGLOBAL",PR!$U526,IF(F528="GENEITH",PR!$V526,IF(F528="GINOS",PR!$W526,IF(F528="GSK",PR!$X526,IF(F528="GLOBORG",PR!$Y526,IF(F528="GOODNEWS",PR!$Z526,IF(F528="GREENLIFE",PR!$AA526,IF(F528="HLINE",PR!$AB526,IF(F528="ROTECH",PR!$AC526,IF(F528="ISN",PR!$AD526,IF(F528="JAWA",PR!$AE526,IF(F528="LAYO",PR!$AF526,IF(F528="LEADWAY",PR!$AG526,IF(F528="LHV",PR!$AH526,IF(F528="MANOLA",PR!$AI526,IF(F528="MARCSON",PR!$AJ526,IF(F528="M&amp;B",PR!$AK526,IF(F528="MTRUST",PR!$AL526,IF(F528="MWORLD",PR!$AM526,IF(F528="MEGA",PR!$AN526,IF(F528="MICRONOVA",PR!$AO526,IF(F528="MFLASH",PR!$AP526,IF(F528="MORISON",PR!$AQ526,IF(F528="NEMEL",PR!$AR526,IF(F528="NHP",PR!$AS526,IF(F528="NHC",PR!$AT526,IF(F528="OLEAF",PR!$AU526,IF(F528="OCULUS",PR!$AV526,IF(F528="PACIFIC",PR!$AW526,IF(F528="PHAMATEX",PR!$AX526,IF(F528="PETHICS",PR!$AY526,IF(F528="PHILIPS",PR!$AZ526,IF(F528="RANBAXY",PR!$BA526,IF(F528="REALS",PR!$BB526,IF(F528="ROYAL",PR!$BC526,IF(F528="SAM",PR!$BD526,IF(F528="SEAGREEN",PR!$BE526,IF(F528="SKG",PR!$BF526,IF(F528="TAH",PR!$BG526,IF(F528="TAYLEK",PR!$BH526,IF(F528="TEMITA",PR!$BI526,IF(F528="THL",PR!$BJ526,IF(F528="UBASTIC",PR!$BK526,IF(F528="UNION",PR!$BL526,IF(F528="UNIQUE",PR!$BM526,IF(F528="VIXA",PR!$BN526,IF(F528="WWCV",PR!$BO526,IF(F528="ZOLON",PR!$BP526,"-"))))))))))))))))))))))))))))))))))))))))))))))))))))))))))))))))</f>
        <v>1100</v>
      </c>
      <c r="F528" s="102" t="str">
        <f>EV!L658</f>
        <v>EUMATT</v>
      </c>
      <c r="G528" s="108" t="str">
        <f>IF(H528="ALPHA",PR!$E526,IF(H528="ASSENE",PR!$F526,IF(H528="BIOFEM",PR!$G526,IF(H528="BIOMED",PR!$H526,IF(H528="CHI",PR!$I526,IF(H528="CLARION",PR!$J526,IF(H528="CODIX",PR!$K526,IF(H528="COSMADE",PR!$L526,IF(H528="SANCON",PR!$M526,IF(H528="DEVON",PR!$N526,IF(H528="DORTEMAG",PR!$O526,IF(H528="DGF",PR!$P526,IF(H528="DYNAMIC",PR!$Q526,IF(H528="EMZOR",PR!$R526,IF(H528="EUMATT",PR!$S526,IF(H528="FIDSON",PR!$T526,IF(H528="FCGLOBAL",PR!$U526,IF(H528="GENEITH",PR!$V526,IF(H528="GINOS",PR!$W526,IF(H528="GSK",PR!$X526,IF(H528="GLOBORG",PR!$Y526,IF(H528="GOODNEWS",PR!$Z526,IF(H528="GREENLIFE",PR!$AA526,IF(H528="HLINE",PR!$AB526,IF(H528="ROTECH",PR!$AC526,IF(H528="ISN",PR!$AD526,IF(H528="JAWA",PR!$AE526,IF(H528="LAYO",PR!$AF526,IF(H528="LEADWAY",PR!$AG526,IF(H528="LHV",PR!$AH526,IF(H528="MANOLA",PR!$AI526,IF(H528="MARCSON",PR!$AJ526,IF(H528="M&amp;B",PR!$AK526,IF(H528="MTRUST",PR!$AL526,IF(H528="MWORLD",PR!$AM526,IF(H528="MEGA",PR!$AN526,IF(H528="MICRONOVA",PR!$AO526,IF(H528="MFLASH",PR!$AP526,IF(H528="MORISON",PR!$AQ526,IF(H528="NEMEL",PR!$AR526,IF(H528="NHP",PR!$AS526,IF(H528="NHC",PR!$AT526,IF(H528="OLEAF",PR!$AU526,IF(H528="OCULUS",PR!$AV526,IF(H528="PACIFIC",PR!$AW526,IF(H528="PHAMATEX",PR!$AX526,IF(H528="PETHICS",PR!$AY526,IF(H528="PHILIPS",PR!$AZ526,IF(H528="RANBAXY",PR!$BA526,IF(H528="REALS",PR!$BB526,IF(H528="ROYAL",PR!$BC526,IF(H528="SAM",PR!$BD526,IF(H528="SEAGREEN",PR!$BE526,IF(H528="SKG",PR!$BF526,IF(H528="TAH",PR!$BG526,IF(H528="TAYLEK",PR!$BH526,IF(H528="TEMITA",PR!$BI526,IF(H528="THL",PR!$BJ526,IF(H528="UBASTIC",PR!$BK526,IF(H528="UNION",PR!$BL526,IF(H528="UNIQUE",PR!$BM526,IF(H528="VIXA",PR!$BN526,IF(H528="WWCV",PR!$BO526,IF(H528="ZOLON",PR!$BP526,"-"))))))))))))))))))))))))))))))))))))))))))))))))))))))))))))))))</f>
        <v>-</v>
      </c>
      <c r="H528" s="102">
        <f>EV!M658</f>
        <v>0</v>
      </c>
      <c r="I528" s="108" t="str">
        <f>IF(J528="ALPHA",PR!$E526,IF(J528="ASSENE",PR!$F526,IF(J528="BIOFEM",PR!$G526,IF(J528="BIOMED",PR!$H526,IF(J528="CHI",PR!$I526,IF(J528="CLARION",PR!$J526,IF(J528="CODIX",PR!$K526,IF(J528="COSMADE",PR!$L526,IF(J528="SANCON",PR!$M526,IF(J528="DEVON",PR!$N526,IF(J528="DORTEMAG",PR!$O526,IF(J528="DGF",PR!$P526,IF(J528="DYNAMIC",PR!$Q526,IF(J528="EMZOR",PR!$R526,IF(J528="EUMATT",PR!$S526,IF(J528="FIDSON",PR!$T526,IF(J528="FCGLOBAL",PR!$U526,IF(J528="GENEITH",PR!$V526,IF(J528="GINOS",PR!$W526,IF(J528="GSK",PR!$X526,IF(J528="GLOBORG",PR!$Y526,IF(J528="GOODNEWS",PR!$Z526,IF(J528="GREENLIFE",PR!$AA526,IF(J528="HLINE",PR!$AB526,IF(J528="ROTECH",PR!$AC526,IF(J528="ISN",PR!$AD526,IF(J528="JAWA",PR!$AE526,IF(J528="LAYO",PR!$AF526,IF(J528="LEADWAY",PR!$AG526,IF(J528="LHV",PR!$AH526,IF(J528="MANOLA",PR!$AI526,IF(J528="MARCSON",PR!$AJ526,IF(J528="M&amp;B",PR!$AK526,IF(J528="MTRUST",PR!$AL526,IF(J528="MWORLD",PR!$AM526,IF(J528="MEGA",PR!$AN526,IF(J528="MICRONOVA",PR!$AO526,IF(J528="MFLASH",PR!$AP526,IF(J528="MORISON",PR!$AQ526,IF(J528="NEMEL",PR!$AR526,IF(J528="NHP",PR!$AS526,IF(J528="NHC",PR!$AT526,IF(J528="OLEAF",PR!$AU526,IF(J528="OCULUS",PR!$AV526,IF(J528="PACIFIC",PR!$AW526,IF(J528="PHAMATEX",PR!$AX526,IF(J528="PETHICS",PR!$AY526,IF(J528="PHILIPS",PR!$AZ526,IF(J528="RANBAXY",PR!$BA526,IF(J528="REALS",PR!$BB526,IF(J528="ROYAL",PR!$BC526,IF(J528="SAM",PR!$BD526,IF(J528="SEAGREEN",PR!$BE526,IF(J528="SKG",PR!$BF526,IF(J528="TAH",PR!$BG526,IF(J528="TAYLEK",PR!$BH526,IF(J528="TEMITA",PR!$BI526,IF(J528="THL",PR!$BJ526,IF(J528="UBASTIC",PR!$BK526,IF(J528="UNION",PR!$BL526,IF(J528="UNIQUE",PR!$BM526,IF(J528="VIXA",PR!$BN526,IF(J528="WWCV",PR!$BO526,IF(J528="ZOLON",PR!$BP526,"-"))))))))))))))))))))))))))))))))))))))))))))))))))))))))))))))))</f>
        <v>-</v>
      </c>
      <c r="J528" s="102">
        <f>EV!N658</f>
        <v>0</v>
      </c>
      <c r="K528" s="433" t="s">
        <v>821</v>
      </c>
      <c r="L528" s="183">
        <f>IF(K528&gt;0,IF(K528="ALPHA",PR!$E526,IF(K528="ASSENE",PR!$F526,IF(K528="BIOFEM",PR!$G526,IF(K528="BIOMED",PR!$H526,IF(K528="CHI",PR!$I526,IF(K528="CLARION",PR!$J526,IF(K528="CODIX",PR!$K526,IF(K528="COSMADE",PR!$L526,IF(K528="SANCON",PR!$M526,IF(K528="DEVON",PR!$N526,IF(K528="DORTEMAG",PR!$O526,IF(K528="DGF",PR!$P526,IF(K528="DYNAMIC",PR!$Q526,IF(K528="EMZOR",PR!$R526,IF(K528="EUMATT",PR!$S526,IF(K528="FIDSON",PR!$T526,IF(K528="FCGLOBAL",PR!$U526,IF(K528="GENEITH",PR!$V526,IF(K528="GINOS",PR!$W526,IF(K528="GSK",PR!$X526,IF(K528="GLOBORG",PR!$Y526,IF(K528="GOODNEWS",PR!$Z526,IF(K528="GREENLIFE",PR!$AA526,IF(K528="HLINE",PR!$AB526,IF(K528="ROTECH",PR!$AC526,IF(K528="ISN",PR!$AD526,IF(K528="JAWA",PR!$AE526,IF(K528="LAYO",PR!$AF526,IF(K528="LEADWAY",PR!$AG526,IF(K528="LHV",PR!$AH526,IF(K528="MANOLA",PR!$AI526,IF(K528="MARCSON",PR!$AJ526,IF(K528="M&amp;B",PR!$AK526,IF(K528="MTRUST",PR!$AL526,IF(K528="MWORLD",PR!$AM526,IF(K528="MEGA",PR!$AN526,IF(K528="MICRONOVA",PR!$AO526,IF(K528="MFLASH",PR!$AP526,IF(K528="MORISON",PR!$AQ526,IF(K528="NEMEL",PR!$AR526,IF(K528="NHP",PR!$AS526,IF(K528="NHC",PR!$AT526,IF(K528="OLEAF",PR!$AU526,IF(K528="OCULUS",PR!$AV526,IF(K528="PACIFIC",PR!$AW526,IF(K528="PHAMATEX",PR!$AX526,IF(K528="PETHICS",PR!$AY526,IF(K528="PHILIPS",PR!$AZ526,IF(K528="RANBAXY",PR!$BA526,IF(K528="REALS",PR!$BB526,IF(K528="ROYAL",PR!$BC526,IF(K528="SAM",PR!$BD526,IF(K528="SEAGREEN",PR!$BE526,IF(K528="SKG",PR!$BF526,IF(K528="TAH",PR!$BG526,IF(K528="TAYLEK",PR!$BH526,IF(K528="TEMITA",PR!$BI526,IF(K528="THL",PR!$BJ526,IF(K528="UBASTIC",PR!$BK526,IF(K528="UNION",PR!$BL526,IF(K528="UNIQUE",PR!$BM526,IF(K528="VIXA",PR!$BN526,IF(K528="WWCV",PR!$BO526,IF(K528="ZOLON",PR!$BP526,"-")))))))))))))))))))))))))))))))))))))))))))))))))))))))))))))))))</f>
        <v>1100</v>
      </c>
    </row>
    <row r="529" spans="1:12" ht="18.75" x14ac:dyDescent="0.3">
      <c r="A529" s="430">
        <f>PR!A527</f>
        <v>475</v>
      </c>
      <c r="B529" s="15" t="str">
        <f>PR!B527</f>
        <v>CINNARIZINE 25MG</v>
      </c>
      <c r="C529" s="113">
        <f>PR!D527</f>
        <v>50</v>
      </c>
      <c r="D529" s="113">
        <f>PR!C527</f>
        <v>200</v>
      </c>
      <c r="E529" s="108">
        <f>IF(F529="ALPHA",PR!$E527,IF(F529="ASSENE",PR!$F527,IF(F529="BIOFEM",PR!$G527,IF(F529="BIOMED",PR!$H527,IF(F529="CHI",PR!$I527,IF(F529="CLARION",PR!$J527,IF(F529="CODIX",PR!$K527,IF(F529="COSMADE",PR!$L527,IF(F529="SANCON",PR!$M527,IF(F529="DEVON",PR!$N527,IF(F529="DORTEMAG",PR!$O527,IF(F529="DGF",PR!$P527,IF(F529="DYNAMIC",PR!$Q527,IF(F529="EMZOR",PR!$R527,IF(F529="EUMATT",PR!$S527,IF(F529="FIDSON",PR!$T527,IF(F529="FCGLOBAL",PR!$U527,IF(F529="GENEITH",PR!$V527,IF(F529="GINOS",PR!$W527,IF(F529="GSK",PR!$X527,IF(F529="GLOBORG",PR!$Y527,IF(F529="GOODNEWS",PR!$Z527,IF(F529="GREENLIFE",PR!$AA527,IF(F529="HLINE",PR!$AB527,IF(F529="ROTECH",PR!$AC527,IF(F529="ISN",PR!$AD527,IF(F529="JAWA",PR!$AE527,IF(F529="LAYO",PR!$AF527,IF(F529="LEADWAY",PR!$AG527,IF(F529="LHV",PR!$AH527,IF(F529="MANOLA",PR!$AI527,IF(F529="MARCSON",PR!$AJ527,IF(F529="M&amp;B",PR!$AK527,IF(F529="MTRUST",PR!$AL527,IF(F529="MWORLD",PR!$AM527,IF(F529="MEGA",PR!$AN527,IF(F529="MICRONOVA",PR!$AO527,IF(F529="MFLASH",PR!$AP527,IF(F529="MORISON",PR!$AQ527,IF(F529="NEMEL",PR!$AR527,IF(F529="NHP",PR!$AS527,IF(F529="NHC",PR!$AT527,IF(F529="OLEAF",PR!$AU527,IF(F529="OCULUS",PR!$AV527,IF(F529="PACIFIC",PR!$AW527,IF(F529="PHAMATEX",PR!$AX527,IF(F529="PETHICS",PR!$AY527,IF(F529="PHILIPS",PR!$AZ527,IF(F529="RANBAXY",PR!$BA527,IF(F529="REALS",PR!$BB527,IF(F529="ROYAL",PR!$BC527,IF(F529="SAM",PR!$BD527,IF(F529="SEAGREEN",PR!$BE527,IF(F529="SKG",PR!$BF527,IF(F529="TAH",PR!$BG527,IF(F529="TAYLEK",PR!$BH527,IF(F529="TEMITA",PR!$BI527,IF(F529="THL",PR!$BJ527,IF(F529="UBASTIC",PR!$BK527,IF(F529="UNION",PR!$BL527,IF(F529="UNIQUE",PR!$BM527,IF(F529="VIXA",PR!$BN527,IF(F529="WWCV",PR!$BO527,IF(F529="ZOLON",PR!$BP527,"-"))))))))))))))))))))))))))))))))))))))))))))))))))))))))))))))))</f>
        <v>1079</v>
      </c>
      <c r="F529" s="102" t="str">
        <f>EV!L659</f>
        <v>WWCV</v>
      </c>
      <c r="G529" s="108" t="str">
        <f>IF(H529="ALPHA",PR!$E527,IF(H529="ASSENE",PR!$F527,IF(H529="BIOFEM",PR!$G527,IF(H529="BIOMED",PR!$H527,IF(H529="CHI",PR!$I527,IF(H529="CLARION",PR!$J527,IF(H529="CODIX",PR!$K527,IF(H529="COSMADE",PR!$L527,IF(H529="SANCON",PR!$M527,IF(H529="DEVON",PR!$N527,IF(H529="DORTEMAG",PR!$O527,IF(H529="DGF",PR!$P527,IF(H529="DYNAMIC",PR!$Q527,IF(H529="EMZOR",PR!$R527,IF(H529="EUMATT",PR!$S527,IF(H529="FIDSON",PR!$T527,IF(H529="FCGLOBAL",PR!$U527,IF(H529="GENEITH",PR!$V527,IF(H529="GINOS",PR!$W527,IF(H529="GSK",PR!$X527,IF(H529="GLOBORG",PR!$Y527,IF(H529="GOODNEWS",PR!$Z527,IF(H529="GREENLIFE",PR!$AA527,IF(H529="HLINE",PR!$AB527,IF(H529="ROTECH",PR!$AC527,IF(H529="ISN",PR!$AD527,IF(H529="JAWA",PR!$AE527,IF(H529="LAYO",PR!$AF527,IF(H529="LEADWAY",PR!$AG527,IF(H529="LHV",PR!$AH527,IF(H529="MANOLA",PR!$AI527,IF(H529="MARCSON",PR!$AJ527,IF(H529="M&amp;B",PR!$AK527,IF(H529="MTRUST",PR!$AL527,IF(H529="MWORLD",PR!$AM527,IF(H529="MEGA",PR!$AN527,IF(H529="MICRONOVA",PR!$AO527,IF(H529="MFLASH",PR!$AP527,IF(H529="MORISON",PR!$AQ527,IF(H529="NEMEL",PR!$AR527,IF(H529="NHP",PR!$AS527,IF(H529="NHC",PR!$AT527,IF(H529="OLEAF",PR!$AU527,IF(H529="OCULUS",PR!$AV527,IF(H529="PACIFIC",PR!$AW527,IF(H529="PHAMATEX",PR!$AX527,IF(H529="PETHICS",PR!$AY527,IF(H529="PHILIPS",PR!$AZ527,IF(H529="RANBAXY",PR!$BA527,IF(H529="REALS",PR!$BB527,IF(H529="ROYAL",PR!$BC527,IF(H529="SAM",PR!$BD527,IF(H529="SEAGREEN",PR!$BE527,IF(H529="SKG",PR!$BF527,IF(H529="TAH",PR!$BG527,IF(H529="TAYLEK",PR!$BH527,IF(H529="TEMITA",PR!$BI527,IF(H529="THL",PR!$BJ527,IF(H529="UBASTIC",PR!$BK527,IF(H529="UNION",PR!$BL527,IF(H529="UNIQUE",PR!$BM527,IF(H529="VIXA",PR!$BN527,IF(H529="WWCV",PR!$BO527,IF(H529="ZOLON",PR!$BP527,"-"))))))))))))))))))))))))))))))))))))))))))))))))))))))))))))))))</f>
        <v>-</v>
      </c>
      <c r="H529" s="102">
        <f>EV!M659</f>
        <v>0</v>
      </c>
      <c r="I529" s="108" t="str">
        <f>IF(J529="ALPHA",PR!$E527,IF(J529="ASSENE",PR!$F527,IF(J529="BIOFEM",PR!$G527,IF(J529="BIOMED",PR!$H527,IF(J529="CHI",PR!$I527,IF(J529="CLARION",PR!$J527,IF(J529="CODIX",PR!$K527,IF(J529="COSMADE",PR!$L527,IF(J529="SANCON",PR!$M527,IF(J529="DEVON",PR!$N527,IF(J529="DORTEMAG",PR!$O527,IF(J529="DGF",PR!$P527,IF(J529="DYNAMIC",PR!$Q527,IF(J529="EMZOR",PR!$R527,IF(J529="EUMATT",PR!$S527,IF(J529="FIDSON",PR!$T527,IF(J529="FCGLOBAL",PR!$U527,IF(J529="GENEITH",PR!$V527,IF(J529="GINOS",PR!$W527,IF(J529="GSK",PR!$X527,IF(J529="GLOBORG",PR!$Y527,IF(J529="GOODNEWS",PR!$Z527,IF(J529="GREENLIFE",PR!$AA527,IF(J529="HLINE",PR!$AB527,IF(J529="ROTECH",PR!$AC527,IF(J529="ISN",PR!$AD527,IF(J529="JAWA",PR!$AE527,IF(J529="LAYO",PR!$AF527,IF(J529="LEADWAY",PR!$AG527,IF(J529="LHV",PR!$AH527,IF(J529="MANOLA",PR!$AI527,IF(J529="MARCSON",PR!$AJ527,IF(J529="M&amp;B",PR!$AK527,IF(J529="MTRUST",PR!$AL527,IF(J529="MWORLD",PR!$AM527,IF(J529="MEGA",PR!$AN527,IF(J529="MICRONOVA",PR!$AO527,IF(J529="MFLASH",PR!$AP527,IF(J529="MORISON",PR!$AQ527,IF(J529="NEMEL",PR!$AR527,IF(J529="NHP",PR!$AS527,IF(J529="NHC",PR!$AT527,IF(J529="OLEAF",PR!$AU527,IF(J529="OCULUS",PR!$AV527,IF(J529="PACIFIC",PR!$AW527,IF(J529="PHAMATEX",PR!$AX527,IF(J529="PETHICS",PR!$AY527,IF(J529="PHILIPS",PR!$AZ527,IF(J529="RANBAXY",PR!$BA527,IF(J529="REALS",PR!$BB527,IF(J529="ROYAL",PR!$BC527,IF(J529="SAM",PR!$BD527,IF(J529="SEAGREEN",PR!$BE527,IF(J529="SKG",PR!$BF527,IF(J529="TAH",PR!$BG527,IF(J529="TAYLEK",PR!$BH527,IF(J529="TEMITA",PR!$BI527,IF(J529="THL",PR!$BJ527,IF(J529="UBASTIC",PR!$BK527,IF(J529="UNION",PR!$BL527,IF(J529="UNIQUE",PR!$BM527,IF(J529="VIXA",PR!$BN527,IF(J529="WWCV",PR!$BO527,IF(J529="ZOLON",PR!$BP527,"-"))))))))))))))))))))))))))))))))))))))))))))))))))))))))))))))))</f>
        <v>-</v>
      </c>
      <c r="J529" s="102">
        <f>EV!N659</f>
        <v>0</v>
      </c>
      <c r="K529" s="433" t="s">
        <v>1231</v>
      </c>
      <c r="L529" s="183">
        <f>IF(K529&gt;0,IF(K529="ALPHA",PR!$E527,IF(K529="ASSENE",PR!$F527,IF(K529="BIOFEM",PR!$G527,IF(K529="BIOMED",PR!$H527,IF(K529="CHI",PR!$I527,IF(K529="CLARION",PR!$J527,IF(K529="CODIX",PR!$K527,IF(K529="COSMADE",PR!$L527,IF(K529="SANCON",PR!$M527,IF(K529="DEVON",PR!$N527,IF(K529="DORTEMAG",PR!$O527,IF(K529="DGF",PR!$P527,IF(K529="DYNAMIC",PR!$Q527,IF(K529="EMZOR",PR!$R527,IF(K529="EUMATT",PR!$S527,IF(K529="FIDSON",PR!$T527,IF(K529="FCGLOBAL",PR!$U527,IF(K529="GENEITH",PR!$V527,IF(K529="GINOS",PR!$W527,IF(K529="GSK",PR!$X527,IF(K529="GLOBORG",PR!$Y527,IF(K529="GOODNEWS",PR!$Z527,IF(K529="GREENLIFE",PR!$AA527,IF(K529="HLINE",PR!$AB527,IF(K529="ROTECH",PR!$AC527,IF(K529="ISN",PR!$AD527,IF(K529="JAWA",PR!$AE527,IF(K529="LAYO",PR!$AF527,IF(K529="LEADWAY",PR!$AG527,IF(K529="LHV",PR!$AH527,IF(K529="MANOLA",PR!$AI527,IF(K529="MARCSON",PR!$AJ527,IF(K529="M&amp;B",PR!$AK527,IF(K529="MTRUST",PR!$AL527,IF(K529="MWORLD",PR!$AM527,IF(K529="MEGA",PR!$AN527,IF(K529="MICRONOVA",PR!$AO527,IF(K529="MFLASH",PR!$AP527,IF(K529="MORISON",PR!$AQ527,IF(K529="NEMEL",PR!$AR527,IF(K529="NHP",PR!$AS527,IF(K529="NHC",PR!$AT527,IF(K529="OLEAF",PR!$AU527,IF(K529="OCULUS",PR!$AV527,IF(K529="PACIFIC",PR!$AW527,IF(K529="PHAMATEX",PR!$AX527,IF(K529="PETHICS",PR!$AY527,IF(K529="PHILIPS",PR!$AZ527,IF(K529="RANBAXY",PR!$BA527,IF(K529="REALS",PR!$BB527,IF(K529="ROYAL",PR!$BC527,IF(K529="SAM",PR!$BD527,IF(K529="SEAGREEN",PR!$BE527,IF(K529="SKG",PR!$BF527,IF(K529="TAH",PR!$BG527,IF(K529="TAYLEK",PR!$BH527,IF(K529="TEMITA",PR!$BI527,IF(K529="THL",PR!$BJ527,IF(K529="UBASTIC",PR!$BK527,IF(K529="UNION",PR!$BL527,IF(K529="UNIQUE",PR!$BM527,IF(K529="VIXA",PR!$BN527,IF(K529="WWCV",PR!$BO527,IF(K529="ZOLON",PR!$BP527,"-")))))))))))))))))))))))))))))))))))))))))))))))))))))))))))))))))</f>
        <v>1079</v>
      </c>
    </row>
    <row r="530" spans="1:12" ht="18.75" x14ac:dyDescent="0.3">
      <c r="A530" s="430">
        <f>PR!A528</f>
        <v>476</v>
      </c>
      <c r="B530" s="15" t="str">
        <f>PR!B528</f>
        <v>CLINDAMYCIN 100MG/CLOTRIMAZOLE 100MG</v>
      </c>
      <c r="C530" s="113">
        <f>PR!D528</f>
        <v>6</v>
      </c>
      <c r="D530" s="113">
        <f>PR!C528</f>
        <v>20</v>
      </c>
      <c r="E530" s="108" t="str">
        <f>IF(F530="ALPHA",PR!$E528,IF(F530="ASSENE",PR!$F528,IF(F530="BIOFEM",PR!$G528,IF(F530="BIOMED",PR!$H528,IF(F530="CHI",PR!$I528,IF(F530="CLARION",PR!$J528,IF(F530="CODIX",PR!$K528,IF(F530="COSMADE",PR!$L528,IF(F530="SANCON",PR!$M528,IF(F530="DEVON",PR!$N528,IF(F530="DORTEMAG",PR!$O528,IF(F530="DGF",PR!$P528,IF(F530="DYNAMIC",PR!$Q528,IF(F530="EMZOR",PR!$R528,IF(F530="EUMATT",PR!$S528,IF(F530="FIDSON",PR!$T528,IF(F530="FCGLOBAL",PR!$U528,IF(F530="GENEITH",PR!$V528,IF(F530="GINOS",PR!$W528,IF(F530="GSK",PR!$X528,IF(F530="GLOBORG",PR!$Y528,IF(F530="GOODNEWS",PR!$Z528,IF(F530="GREENLIFE",PR!$AA528,IF(F530="HLINE",PR!$AB528,IF(F530="ROTECH",PR!$AC528,IF(F530="ISN",PR!$AD528,IF(F530="JAWA",PR!$AE528,IF(F530="LAYO",PR!$AF528,IF(F530="LEADWAY",PR!$AG528,IF(F530="LHV",PR!$AH528,IF(F530="MANOLA",PR!$AI528,IF(F530="MARCSON",PR!$AJ528,IF(F530="M&amp;B",PR!$AK528,IF(F530="MTRUST",PR!$AL528,IF(F530="MWORLD",PR!$AM528,IF(F530="MEGA",PR!$AN528,IF(F530="MICRONOVA",PR!$AO528,IF(F530="MFLASH",PR!$AP528,IF(F530="MORISON",PR!$AQ528,IF(F530="NEMEL",PR!$AR528,IF(F530="NHP",PR!$AS528,IF(F530="NHC",PR!$AT528,IF(F530="OLEAF",PR!$AU528,IF(F530="OCULUS",PR!$AV528,IF(F530="PACIFIC",PR!$AW528,IF(F530="PHAMATEX",PR!$AX528,IF(F530="PETHICS",PR!$AY528,IF(F530="PHILIPS",PR!$AZ528,IF(F530="RANBAXY",PR!$BA528,IF(F530="REALS",PR!$BB528,IF(F530="ROYAL",PR!$BC528,IF(F530="SAM",PR!$BD528,IF(F530="SEAGREEN",PR!$BE528,IF(F530="SKG",PR!$BF528,IF(F530="TAH",PR!$BG528,IF(F530="TAYLEK",PR!$BH528,IF(F530="TEMITA",PR!$BI528,IF(F530="THL",PR!$BJ528,IF(F530="UBASTIC",PR!$BK528,IF(F530="UNION",PR!$BL528,IF(F530="UNIQUE",PR!$BM528,IF(F530="VIXA",PR!$BN528,IF(F530="WWCV",PR!$BO528,IF(F530="ZOLON",PR!$BP528,"-"))))))))))))))))))))))))))))))))))))))))))))))))))))))))))))))))</f>
        <v>-</v>
      </c>
      <c r="F530" s="102">
        <f>EV!L660</f>
        <v>0</v>
      </c>
      <c r="G530" s="108" t="str">
        <f>IF(H530="ALPHA",PR!$E528,IF(H530="ASSENE",PR!$F528,IF(H530="BIOFEM",PR!$G528,IF(H530="BIOMED",PR!$H528,IF(H530="CHI",PR!$I528,IF(H530="CLARION",PR!$J528,IF(H530="CODIX",PR!$K528,IF(H530="COSMADE",PR!$L528,IF(H530="SANCON",PR!$M528,IF(H530="DEVON",PR!$N528,IF(H530="DORTEMAG",PR!$O528,IF(H530="DGF",PR!$P528,IF(H530="DYNAMIC",PR!$Q528,IF(H530="EMZOR",PR!$R528,IF(H530="EUMATT",PR!$S528,IF(H530="FIDSON",PR!$T528,IF(H530="FCGLOBAL",PR!$U528,IF(H530="GENEITH",PR!$V528,IF(H530="GINOS",PR!$W528,IF(H530="GSK",PR!$X528,IF(H530="GLOBORG",PR!$Y528,IF(H530="GOODNEWS",PR!$Z528,IF(H530="GREENLIFE",PR!$AA528,IF(H530="HLINE",PR!$AB528,IF(H530="ROTECH",PR!$AC528,IF(H530="ISN",PR!$AD528,IF(H530="JAWA",PR!$AE528,IF(H530="LAYO",PR!$AF528,IF(H530="LEADWAY",PR!$AG528,IF(H530="LHV",PR!$AH528,IF(H530="MANOLA",PR!$AI528,IF(H530="MARCSON",PR!$AJ528,IF(H530="M&amp;B",PR!$AK528,IF(H530="MTRUST",PR!$AL528,IF(H530="MWORLD",PR!$AM528,IF(H530="MEGA",PR!$AN528,IF(H530="MICRONOVA",PR!$AO528,IF(H530="MFLASH",PR!$AP528,IF(H530="MORISON",PR!$AQ528,IF(H530="NEMEL",PR!$AR528,IF(H530="NHP",PR!$AS528,IF(H530="NHC",PR!$AT528,IF(H530="OLEAF",PR!$AU528,IF(H530="OCULUS",PR!$AV528,IF(H530="PACIFIC",PR!$AW528,IF(H530="PHAMATEX",PR!$AX528,IF(H530="PETHICS",PR!$AY528,IF(H530="PHILIPS",PR!$AZ528,IF(H530="RANBAXY",PR!$BA528,IF(H530="REALS",PR!$BB528,IF(H530="ROYAL",PR!$BC528,IF(H530="SAM",PR!$BD528,IF(H530="SEAGREEN",PR!$BE528,IF(H530="SKG",PR!$BF528,IF(H530="TAH",PR!$BG528,IF(H530="TAYLEK",PR!$BH528,IF(H530="TEMITA",PR!$BI528,IF(H530="THL",PR!$BJ528,IF(H530="UBASTIC",PR!$BK528,IF(H530="UNION",PR!$BL528,IF(H530="UNIQUE",PR!$BM528,IF(H530="VIXA",PR!$BN528,IF(H530="WWCV",PR!$BO528,IF(H530="ZOLON",PR!$BP528,"-"))))))))))))))))))))))))))))))))))))))))))))))))))))))))))))))))</f>
        <v>-</v>
      </c>
      <c r="H530" s="102">
        <f>EV!M660</f>
        <v>0</v>
      </c>
      <c r="I530" s="108" t="str">
        <f>IF(J530="ALPHA",PR!$E528,IF(J530="ASSENE",PR!$F528,IF(J530="BIOFEM",PR!$G528,IF(J530="BIOMED",PR!$H528,IF(J530="CHI",PR!$I528,IF(J530="CLARION",PR!$J528,IF(J530="CODIX",PR!$K528,IF(J530="COSMADE",PR!$L528,IF(J530="SANCON",PR!$M528,IF(J530="DEVON",PR!$N528,IF(J530="DORTEMAG",PR!$O528,IF(J530="DGF",PR!$P528,IF(J530="DYNAMIC",PR!$Q528,IF(J530="EMZOR",PR!$R528,IF(J530="EUMATT",PR!$S528,IF(J530="FIDSON",PR!$T528,IF(J530="FCGLOBAL",PR!$U528,IF(J530="GENEITH",PR!$V528,IF(J530="GINOS",PR!$W528,IF(J530="GSK",PR!$X528,IF(J530="GLOBORG",PR!$Y528,IF(J530="GOODNEWS",PR!$Z528,IF(J530="GREENLIFE",PR!$AA528,IF(J530="HLINE",PR!$AB528,IF(J530="ROTECH",PR!$AC528,IF(J530="ISN",PR!$AD528,IF(J530="JAWA",PR!$AE528,IF(J530="LAYO",PR!$AF528,IF(J530="LEADWAY",PR!$AG528,IF(J530="LHV",PR!$AH528,IF(J530="MANOLA",PR!$AI528,IF(J530="MARCSON",PR!$AJ528,IF(J530="M&amp;B",PR!$AK528,IF(J530="MTRUST",PR!$AL528,IF(J530="MWORLD",PR!$AM528,IF(J530="MEGA",PR!$AN528,IF(J530="MICRONOVA",PR!$AO528,IF(J530="MFLASH",PR!$AP528,IF(J530="MORISON",PR!$AQ528,IF(J530="NEMEL",PR!$AR528,IF(J530="NHP",PR!$AS528,IF(J530="NHC",PR!$AT528,IF(J530="OLEAF",PR!$AU528,IF(J530="OCULUS",PR!$AV528,IF(J530="PACIFIC",PR!$AW528,IF(J530="PHAMATEX",PR!$AX528,IF(J530="PETHICS",PR!$AY528,IF(J530="PHILIPS",PR!$AZ528,IF(J530="RANBAXY",PR!$BA528,IF(J530="REALS",PR!$BB528,IF(J530="ROYAL",PR!$BC528,IF(J530="SAM",PR!$BD528,IF(J530="SEAGREEN",PR!$BE528,IF(J530="SKG",PR!$BF528,IF(J530="TAH",PR!$BG528,IF(J530="TAYLEK",PR!$BH528,IF(J530="TEMITA",PR!$BI528,IF(J530="THL",PR!$BJ528,IF(J530="UBASTIC",PR!$BK528,IF(J530="UNION",PR!$BL528,IF(J530="UNIQUE",PR!$BM528,IF(J530="VIXA",PR!$BN528,IF(J530="WWCV",PR!$BO528,IF(J530="ZOLON",PR!$BP528,"-"))))))))))))))))))))))))))))))))))))))))))))))))))))))))))))))))</f>
        <v>-</v>
      </c>
      <c r="J530" s="102">
        <f>EV!N660</f>
        <v>0</v>
      </c>
      <c r="K530" s="433"/>
      <c r="L530" s="183" t="b">
        <f>IF(K530&gt;0,IF(K530="ALPHA",PR!$E528,IF(K530="ASSENE",PR!$F528,IF(K530="BIOFEM",PR!$G528,IF(K530="BIOMED",PR!$H528,IF(K530="CHI",PR!$I528,IF(K530="CLARION",PR!$J528,IF(K530="CODIX",PR!$K528,IF(K530="COSMADE",PR!$L528,IF(K530="SANCON",PR!$M528,IF(K530="DEVON",PR!$N528,IF(K530="DORTEMAG",PR!$O528,IF(K530="DGF",PR!$P528,IF(K530="DYNAMIC",PR!$Q528,IF(K530="EMZOR",PR!$R528,IF(K530="EUMATT",PR!$S528,IF(K530="FIDSON",PR!$T528,IF(K530="FCGLOBAL",PR!$U528,IF(K530="GENEITH",PR!$V528,IF(K530="GINOS",PR!$W528,IF(K530="GSK",PR!$X528,IF(K530="GLOBORG",PR!$Y528,IF(K530="GOODNEWS",PR!$Z528,IF(K530="GREENLIFE",PR!$AA528,IF(K530="HLINE",PR!$AB528,IF(K530="ROTECH",PR!$AC528,IF(K530="ISN",PR!$AD528,IF(K530="JAWA",PR!$AE528,IF(K530="LAYO",PR!$AF528,IF(K530="LEADWAY",PR!$AG528,IF(K530="LHV",PR!$AH528,IF(K530="MANOLA",PR!$AI528,IF(K530="MARCSON",PR!$AJ528,IF(K530="M&amp;B",PR!$AK528,IF(K530="MTRUST",PR!$AL528,IF(K530="MWORLD",PR!$AM528,IF(K530="MEGA",PR!$AN528,IF(K530="MICRONOVA",PR!$AO528,IF(K530="MFLASH",PR!$AP528,IF(K530="MORISON",PR!$AQ528,IF(K530="NEMEL",PR!$AR528,IF(K530="NHP",PR!$AS528,IF(K530="NHC",PR!$AT528,IF(K530="OLEAF",PR!$AU528,IF(K530="OCULUS",PR!$AV528,IF(K530="PACIFIC",PR!$AW528,IF(K530="PHAMATEX",PR!$AX528,IF(K530="PETHICS",PR!$AY528,IF(K530="PHILIPS",PR!$AZ528,IF(K530="RANBAXY",PR!$BA528,IF(K530="REALS",PR!$BB528,IF(K530="ROYAL",PR!$BC528,IF(K530="SAM",PR!$BD528,IF(K530="SEAGREEN",PR!$BE528,IF(K530="SKG",PR!$BF528,IF(K530="TAH",PR!$BG528,IF(K530="TAYLEK",PR!$BH528,IF(K530="TEMITA",PR!$BI528,IF(K530="THL",PR!$BJ528,IF(K530="UBASTIC",PR!$BK528,IF(K530="UNION",PR!$BL528,IF(K530="UNIQUE",PR!$BM528,IF(K530="VIXA",PR!$BN528,IF(K530="WWCV",PR!$BO528,IF(K530="ZOLON",PR!$BP528,"-")))))))))))))))))))))))))))))))))))))))))))))))))))))))))))))))))</f>
        <v>0</v>
      </c>
    </row>
    <row r="531" spans="1:12" ht="18.75" x14ac:dyDescent="0.3">
      <c r="A531" s="430">
        <f>PR!A529</f>
        <v>477</v>
      </c>
      <c r="B531" s="15" t="str">
        <f>PR!B529</f>
        <v>DIPHENHYDRAMINE HCL+ AMMONIUM CHLORIDE SYR (Adult)</v>
      </c>
      <c r="C531" s="113" t="str">
        <f>PR!D529</f>
        <v>BOTT</v>
      </c>
      <c r="D531" s="113">
        <f>PR!C529</f>
        <v>1600</v>
      </c>
      <c r="E531" s="108">
        <f>IF(F531="ALPHA",PR!$E529,IF(F531="ASSENE",PR!$F529,IF(F531="BIOFEM",PR!$G529,IF(F531="BIOMED",PR!$H529,IF(F531="CHI",PR!$I529,IF(F531="CLARION",PR!$J529,IF(F531="CODIX",PR!$K529,IF(F531="COSMADE",PR!$L529,IF(F531="SANCON",PR!$M529,IF(F531="DEVON",PR!$N529,IF(F531="DORTEMAG",PR!$O529,IF(F531="DGF",PR!$P529,IF(F531="DYNAMIC",PR!$Q529,IF(F531="EMZOR",PR!$R529,IF(F531="EUMATT",PR!$S529,IF(F531="FIDSON",PR!$T529,IF(F531="FCGLOBAL",PR!$U529,IF(F531="GENEITH",PR!$V529,IF(F531="GINOS",PR!$W529,IF(F531="GSK",PR!$X529,IF(F531="GLOBORG",PR!$Y529,IF(F531="GOODNEWS",PR!$Z529,IF(F531="GREENLIFE",PR!$AA529,IF(F531="HLINE",PR!$AB529,IF(F531="ROTECH",PR!$AC529,IF(F531="ISN",PR!$AD529,IF(F531="JAWA",PR!$AE529,IF(F531="LAYO",PR!$AF529,IF(F531="LEADWAY",PR!$AG529,IF(F531="LHV",PR!$AH529,IF(F531="MANOLA",PR!$AI529,IF(F531="MARCSON",PR!$AJ529,IF(F531="M&amp;B",PR!$AK529,IF(F531="MTRUST",PR!$AL529,IF(F531="MWORLD",PR!$AM529,IF(F531="MEGA",PR!$AN529,IF(F531="MICRONOVA",PR!$AO529,IF(F531="MFLASH",PR!$AP529,IF(F531="MORISON",PR!$AQ529,IF(F531="NEMEL",PR!$AR529,IF(F531="NHP",PR!$AS529,IF(F531="NHC",PR!$AT529,IF(F531="OLEAF",PR!$AU529,IF(F531="OCULUS",PR!$AV529,IF(F531="PACIFIC",PR!$AW529,IF(F531="PHAMATEX",PR!$AX529,IF(F531="PETHICS",PR!$AY529,IF(F531="PHILIPS",PR!$AZ529,IF(F531="RANBAXY",PR!$BA529,IF(F531="REALS",PR!$BB529,IF(F531="ROYAL",PR!$BC529,IF(F531="SAM",PR!$BD529,IF(F531="SEAGREEN",PR!$BE529,IF(F531="SKG",PR!$BF529,IF(F531="TAH",PR!$BG529,IF(F531="TAYLEK",PR!$BH529,IF(F531="TEMITA",PR!$BI529,IF(F531="THL",PR!$BJ529,IF(F531="UBASTIC",PR!$BK529,IF(F531="UNION",PR!$BL529,IF(F531="UNIQUE",PR!$BM529,IF(F531="VIXA",PR!$BN529,IF(F531="WWCV",PR!$BO529,IF(F531="ZOLON",PR!$BP529,"-"))))))))))))))))))))))))))))))))))))))))))))))))))))))))))))))))</f>
        <v>100</v>
      </c>
      <c r="F531" s="102" t="str">
        <f>EV!L661</f>
        <v>EUMATT</v>
      </c>
      <c r="G531" s="108">
        <f>IF(H531="ALPHA",PR!$E529,IF(H531="ASSENE",PR!$F529,IF(H531="BIOFEM",PR!$G529,IF(H531="BIOMED",PR!$H529,IF(H531="CHI",PR!$I529,IF(H531="CLARION",PR!$J529,IF(H531="CODIX",PR!$K529,IF(H531="COSMADE",PR!$L529,IF(H531="SANCON",PR!$M529,IF(H531="DEVON",PR!$N529,IF(H531="DORTEMAG",PR!$O529,IF(H531="DGF",PR!$P529,IF(H531="DYNAMIC",PR!$Q529,IF(H531="EMZOR",PR!$R529,IF(H531="EUMATT",PR!$S529,IF(H531="FIDSON",PR!$T529,IF(H531="FCGLOBAL",PR!$U529,IF(H531="GENEITH",PR!$V529,IF(H531="GINOS",PR!$W529,IF(H531="GSK",PR!$X529,IF(H531="GLOBORG",PR!$Y529,IF(H531="GOODNEWS",PR!$Z529,IF(H531="GREENLIFE",PR!$AA529,IF(H531="HLINE",PR!$AB529,IF(H531="ROTECH",PR!$AC529,IF(H531="ISN",PR!$AD529,IF(H531="JAWA",PR!$AE529,IF(H531="LAYO",PR!$AF529,IF(H531="LEADWAY",PR!$AG529,IF(H531="LHV",PR!$AH529,IF(H531="MANOLA",PR!$AI529,IF(H531="MARCSON",PR!$AJ529,IF(H531="M&amp;B",PR!$AK529,IF(H531="MTRUST",PR!$AL529,IF(H531="MWORLD",PR!$AM529,IF(H531="MEGA",PR!$AN529,IF(H531="MICRONOVA",PR!$AO529,IF(H531="MFLASH",PR!$AP529,IF(H531="MORISON",PR!$AQ529,IF(H531="NEMEL",PR!$AR529,IF(H531="NHP",PR!$AS529,IF(H531="NHC",PR!$AT529,IF(H531="OLEAF",PR!$AU529,IF(H531="OCULUS",PR!$AV529,IF(H531="PACIFIC",PR!$AW529,IF(H531="PHAMATEX",PR!$AX529,IF(H531="PETHICS",PR!$AY529,IF(H531="PHILIPS",PR!$AZ529,IF(H531="RANBAXY",PR!$BA529,IF(H531="REALS",PR!$BB529,IF(H531="ROYAL",PR!$BC529,IF(H531="SAM",PR!$BD529,IF(H531="SEAGREEN",PR!$BE529,IF(H531="SKG",PR!$BF529,IF(H531="TAH",PR!$BG529,IF(H531="TAYLEK",PR!$BH529,IF(H531="TEMITA",PR!$BI529,IF(H531="THL",PR!$BJ529,IF(H531="UBASTIC",PR!$BK529,IF(H531="UNION",PR!$BL529,IF(H531="UNIQUE",PR!$BM529,IF(H531="VIXA",PR!$BN529,IF(H531="WWCV",PR!$BO529,IF(H531="ZOLON",PR!$BP529,"-"))))))))))))))))))))))))))))))))))))))))))))))))))))))))))))))))</f>
        <v>125</v>
      </c>
      <c r="H531" s="102" t="str">
        <f>EV!M661</f>
        <v>UNIQUE</v>
      </c>
      <c r="I531" s="108">
        <f>IF(J531="ALPHA",PR!$E529,IF(J531="ASSENE",PR!$F529,IF(J531="BIOFEM",PR!$G529,IF(J531="BIOMED",PR!$H529,IF(J531="CHI",PR!$I529,IF(J531="CLARION",PR!$J529,IF(J531="CODIX",PR!$K529,IF(J531="COSMADE",PR!$L529,IF(J531="SANCON",PR!$M529,IF(J531="DEVON",PR!$N529,IF(J531="DORTEMAG",PR!$O529,IF(J531="DGF",PR!$P529,IF(J531="DYNAMIC",PR!$Q529,IF(J531="EMZOR",PR!$R529,IF(J531="EUMATT",PR!$S529,IF(J531="FIDSON",PR!$T529,IF(J531="FCGLOBAL",PR!$U529,IF(J531="GENEITH",PR!$V529,IF(J531="GINOS",PR!$W529,IF(J531="GSK",PR!$X529,IF(J531="GLOBORG",PR!$Y529,IF(J531="GOODNEWS",PR!$Z529,IF(J531="GREENLIFE",PR!$AA529,IF(J531="HLINE",PR!$AB529,IF(J531="ROTECH",PR!$AC529,IF(J531="ISN",PR!$AD529,IF(J531="JAWA",PR!$AE529,IF(J531="LAYO",PR!$AF529,IF(J531="LEADWAY",PR!$AG529,IF(J531="LHV",PR!$AH529,IF(J531="MANOLA",PR!$AI529,IF(J531="MARCSON",PR!$AJ529,IF(J531="M&amp;B",PR!$AK529,IF(J531="MTRUST",PR!$AL529,IF(J531="MWORLD",PR!$AM529,IF(J531="MEGA",PR!$AN529,IF(J531="MICRONOVA",PR!$AO529,IF(J531="MFLASH",PR!$AP529,IF(J531="MORISON",PR!$AQ529,IF(J531="NEMEL",PR!$AR529,IF(J531="NHP",PR!$AS529,IF(J531="NHC",PR!$AT529,IF(J531="OLEAF",PR!$AU529,IF(J531="OCULUS",PR!$AV529,IF(J531="PACIFIC",PR!$AW529,IF(J531="PHAMATEX",PR!$AX529,IF(J531="PETHICS",PR!$AY529,IF(J531="PHILIPS",PR!$AZ529,IF(J531="RANBAXY",PR!$BA529,IF(J531="REALS",PR!$BB529,IF(J531="ROYAL",PR!$BC529,IF(J531="SAM",PR!$BD529,IF(J531="SEAGREEN",PR!$BE529,IF(J531="SKG",PR!$BF529,IF(J531="TAH",PR!$BG529,IF(J531="TAYLEK",PR!$BH529,IF(J531="TEMITA",PR!$BI529,IF(J531="THL",PR!$BJ529,IF(J531="UBASTIC",PR!$BK529,IF(J531="UNION",PR!$BL529,IF(J531="UNIQUE",PR!$BM529,IF(J531="VIXA",PR!$BN529,IF(J531="WWCV",PR!$BO529,IF(J531="ZOLON",PR!$BP529,"-"))))))))))))))))))))))))))))))))))))))))))))))))))))))))))))))))</f>
        <v>160</v>
      </c>
      <c r="J531" s="102" t="str">
        <f>EV!N661</f>
        <v>EMZOR</v>
      </c>
      <c r="K531" s="433" t="s">
        <v>633</v>
      </c>
      <c r="L531" s="183">
        <f>IF(K531&gt;0,IF(K531="ALPHA",PR!$E529,IF(K531="ASSENE",PR!$F529,IF(K531="BIOFEM",PR!$G529,IF(K531="BIOMED",PR!$H529,IF(K531="CHI",PR!$I529,IF(K531="CLARION",PR!$J529,IF(K531="CODIX",PR!$K529,IF(K531="COSMADE",PR!$L529,IF(K531="SANCON",PR!$M529,IF(K531="DEVON",PR!$N529,IF(K531="DORTEMAG",PR!$O529,IF(K531="DGF",PR!$P529,IF(K531="DYNAMIC",PR!$Q529,IF(K531="EMZOR",PR!$R529,IF(K531="EUMATT",PR!$S529,IF(K531="FIDSON",PR!$T529,IF(K531="FCGLOBAL",PR!$U529,IF(K531="GENEITH",PR!$V529,IF(K531="GINOS",PR!$W529,IF(K531="GSK",PR!$X529,IF(K531="GLOBORG",PR!$Y529,IF(K531="GOODNEWS",PR!$Z529,IF(K531="GREENLIFE",PR!$AA529,IF(K531="HLINE",PR!$AB529,IF(K531="ROTECH",PR!$AC529,IF(K531="ISN",PR!$AD529,IF(K531="JAWA",PR!$AE529,IF(K531="LAYO",PR!$AF529,IF(K531="LEADWAY",PR!$AG529,IF(K531="LHV",PR!$AH529,IF(K531="MANOLA",PR!$AI529,IF(K531="MARCSON",PR!$AJ529,IF(K531="M&amp;B",PR!$AK529,IF(K531="MTRUST",PR!$AL529,IF(K531="MWORLD",PR!$AM529,IF(K531="MEGA",PR!$AN529,IF(K531="MICRONOVA",PR!$AO529,IF(K531="MFLASH",PR!$AP529,IF(K531="MORISON",PR!$AQ529,IF(K531="NEMEL",PR!$AR529,IF(K531="NHP",PR!$AS529,IF(K531="NHC",PR!$AT529,IF(K531="OLEAF",PR!$AU529,IF(K531="OCULUS",PR!$AV529,IF(K531="PACIFIC",PR!$AW529,IF(K531="PHAMATEX",PR!$AX529,IF(K531="PETHICS",PR!$AY529,IF(K531="PHILIPS",PR!$AZ529,IF(K531="RANBAXY",PR!$BA529,IF(K531="REALS",PR!$BB529,IF(K531="ROYAL",PR!$BC529,IF(K531="SAM",PR!$BD529,IF(K531="SEAGREEN",PR!$BE529,IF(K531="SKG",PR!$BF529,IF(K531="TAH",PR!$BG529,IF(K531="TAYLEK",PR!$BH529,IF(K531="TEMITA",PR!$BI529,IF(K531="THL",PR!$BJ529,IF(K531="UBASTIC",PR!$BK529,IF(K531="UNION",PR!$BL529,IF(K531="UNIQUE",PR!$BM529,IF(K531="VIXA",PR!$BN529,IF(K531="WWCV",PR!$BO529,IF(K531="ZOLON",PR!$BP529,"-")))))))))))))))))))))))))))))))))))))))))))))))))))))))))))))))))</f>
        <v>125</v>
      </c>
    </row>
    <row r="532" spans="1:12" ht="18.75" x14ac:dyDescent="0.3">
      <c r="A532" s="430">
        <f>PR!A530</f>
        <v>478</v>
      </c>
      <c r="B532" s="15" t="str">
        <f>PR!B530</f>
        <v>DIPHENHYDRAMINE HCL+ AMMONIUM CHLORIDE SYR (PAED)</v>
      </c>
      <c r="C532" s="113" t="str">
        <f>PR!D530</f>
        <v>BOTT</v>
      </c>
      <c r="D532" s="113">
        <f>PR!C530</f>
        <v>1600</v>
      </c>
      <c r="E532" s="108">
        <f>IF(F532="ALPHA",PR!$E530,IF(F532="ASSENE",PR!$F530,IF(F532="BIOFEM",PR!$G530,IF(F532="BIOMED",PR!$H530,IF(F532="CHI",PR!$I530,IF(F532="CLARION",PR!$J530,IF(F532="CODIX",PR!$K530,IF(F532="COSMADE",PR!$L530,IF(F532="SANCON",PR!$M530,IF(F532="DEVON",PR!$N530,IF(F532="DORTEMAG",PR!$O530,IF(F532="DGF",PR!$P530,IF(F532="DYNAMIC",PR!$Q530,IF(F532="EMZOR",PR!$R530,IF(F532="EUMATT",PR!$S530,IF(F532="FIDSON",PR!$T530,IF(F532="FCGLOBAL",PR!$U530,IF(F532="GENEITH",PR!$V530,IF(F532="GINOS",PR!$W530,IF(F532="GSK",PR!$X530,IF(F532="GLOBORG",PR!$Y530,IF(F532="GOODNEWS",PR!$Z530,IF(F532="GREENLIFE",PR!$AA530,IF(F532="HLINE",PR!$AB530,IF(F532="ROTECH",PR!$AC530,IF(F532="ISN",PR!$AD530,IF(F532="JAWA",PR!$AE530,IF(F532="LAYO",PR!$AF530,IF(F532="LEADWAY",PR!$AG530,IF(F532="LHV",PR!$AH530,IF(F532="MANOLA",PR!$AI530,IF(F532="MARCSON",PR!$AJ530,IF(F532="M&amp;B",PR!$AK530,IF(F532="MTRUST",PR!$AL530,IF(F532="MWORLD",PR!$AM530,IF(F532="MEGA",PR!$AN530,IF(F532="MICRONOVA",PR!$AO530,IF(F532="MFLASH",PR!$AP530,IF(F532="MORISON",PR!$AQ530,IF(F532="NEMEL",PR!$AR530,IF(F532="NHP",PR!$AS530,IF(F532="NHC",PR!$AT530,IF(F532="OLEAF",PR!$AU530,IF(F532="OCULUS",PR!$AV530,IF(F532="PACIFIC",PR!$AW530,IF(F532="PHAMATEX",PR!$AX530,IF(F532="PETHICS",PR!$AY530,IF(F532="PHILIPS",PR!$AZ530,IF(F532="RANBAXY",PR!$BA530,IF(F532="REALS",PR!$BB530,IF(F532="ROYAL",PR!$BC530,IF(F532="SAM",PR!$BD530,IF(F532="SEAGREEN",PR!$BE530,IF(F532="SKG",PR!$BF530,IF(F532="TAH",PR!$BG530,IF(F532="TAYLEK",PR!$BH530,IF(F532="TEMITA",PR!$BI530,IF(F532="THL",PR!$BJ530,IF(F532="UBASTIC",PR!$BK530,IF(F532="UNION",PR!$BL530,IF(F532="UNIQUE",PR!$BM530,IF(F532="VIXA",PR!$BN530,IF(F532="WWCV",PR!$BO530,IF(F532="ZOLON",PR!$BP530,"-"))))))))))))))))))))))))))))))))))))))))))))))))))))))))))))))))</f>
        <v>100</v>
      </c>
      <c r="F532" s="102" t="str">
        <f>EV!L662</f>
        <v>EUMATT</v>
      </c>
      <c r="G532" s="108">
        <f>IF(H532="ALPHA",PR!$E530,IF(H532="ASSENE",PR!$F530,IF(H532="BIOFEM",PR!$G530,IF(H532="BIOMED",PR!$H530,IF(H532="CHI",PR!$I530,IF(H532="CLARION",PR!$J530,IF(H532="CODIX",PR!$K530,IF(H532="COSMADE",PR!$L530,IF(H532="SANCON",PR!$M530,IF(H532="DEVON",PR!$N530,IF(H532="DORTEMAG",PR!$O530,IF(H532="DGF",PR!$P530,IF(H532="DYNAMIC",PR!$Q530,IF(H532="EMZOR",PR!$R530,IF(H532="EUMATT",PR!$S530,IF(H532="FIDSON",PR!$T530,IF(H532="FCGLOBAL",PR!$U530,IF(H532="GENEITH",PR!$V530,IF(H532="GINOS",PR!$W530,IF(H532="GSK",PR!$X530,IF(H532="GLOBORG",PR!$Y530,IF(H532="GOODNEWS",PR!$Z530,IF(H532="GREENLIFE",PR!$AA530,IF(H532="HLINE",PR!$AB530,IF(H532="ROTECH",PR!$AC530,IF(H532="ISN",PR!$AD530,IF(H532="JAWA",PR!$AE530,IF(H532="LAYO",PR!$AF530,IF(H532="LEADWAY",PR!$AG530,IF(H532="LHV",PR!$AH530,IF(H532="MANOLA",PR!$AI530,IF(H532="MARCSON",PR!$AJ530,IF(H532="M&amp;B",PR!$AK530,IF(H532="MTRUST",PR!$AL530,IF(H532="MWORLD",PR!$AM530,IF(H532="MEGA",PR!$AN530,IF(H532="MICRONOVA",PR!$AO530,IF(H532="MFLASH",PR!$AP530,IF(H532="MORISON",PR!$AQ530,IF(H532="NEMEL",PR!$AR530,IF(H532="NHP",PR!$AS530,IF(H532="NHC",PR!$AT530,IF(H532="OLEAF",PR!$AU530,IF(H532="OCULUS",PR!$AV530,IF(H532="PACIFIC",PR!$AW530,IF(H532="PHAMATEX",PR!$AX530,IF(H532="PETHICS",PR!$AY530,IF(H532="PHILIPS",PR!$AZ530,IF(H532="RANBAXY",PR!$BA530,IF(H532="REALS",PR!$BB530,IF(H532="ROYAL",PR!$BC530,IF(H532="SAM",PR!$BD530,IF(H532="SEAGREEN",PR!$BE530,IF(H532="SKG",PR!$BF530,IF(H532="TAH",PR!$BG530,IF(H532="TAYLEK",PR!$BH530,IF(H532="TEMITA",PR!$BI530,IF(H532="THL",PR!$BJ530,IF(H532="UBASTIC",PR!$BK530,IF(H532="UNION",PR!$BL530,IF(H532="UNIQUE",PR!$BM530,IF(H532="VIXA",PR!$BN530,IF(H532="WWCV",PR!$BO530,IF(H532="ZOLON",PR!$BP530,"-"))))))))))))))))))))))))))))))))))))))))))))))))))))))))))))))))</f>
        <v>115</v>
      </c>
      <c r="H532" s="102" t="str">
        <f>EV!M662</f>
        <v>UNIQUE</v>
      </c>
      <c r="I532" s="108">
        <f>IF(J532="ALPHA",PR!$E530,IF(J532="ASSENE",PR!$F530,IF(J532="BIOFEM",PR!$G530,IF(J532="BIOMED",PR!$H530,IF(J532="CHI",PR!$I530,IF(J532="CLARION",PR!$J530,IF(J532="CODIX",PR!$K530,IF(J532="COSMADE",PR!$L530,IF(J532="SANCON",PR!$M530,IF(J532="DEVON",PR!$N530,IF(J532="DORTEMAG",PR!$O530,IF(J532="DGF",PR!$P530,IF(J532="DYNAMIC",PR!$Q530,IF(J532="EMZOR",PR!$R530,IF(J532="EUMATT",PR!$S530,IF(J532="FIDSON",PR!$T530,IF(J532="FCGLOBAL",PR!$U530,IF(J532="GENEITH",PR!$V530,IF(J532="GINOS",PR!$W530,IF(J532="GSK",PR!$X530,IF(J532="GLOBORG",PR!$Y530,IF(J532="GOODNEWS",PR!$Z530,IF(J532="GREENLIFE",PR!$AA530,IF(J532="HLINE",PR!$AB530,IF(J532="ROTECH",PR!$AC530,IF(J532="ISN",PR!$AD530,IF(J532="JAWA",PR!$AE530,IF(J532="LAYO",PR!$AF530,IF(J532="LEADWAY",PR!$AG530,IF(J532="LHV",PR!$AH530,IF(J532="MANOLA",PR!$AI530,IF(J532="MARCSON",PR!$AJ530,IF(J532="M&amp;B",PR!$AK530,IF(J532="MTRUST",PR!$AL530,IF(J532="MWORLD",PR!$AM530,IF(J532="MEGA",PR!$AN530,IF(J532="MICRONOVA",PR!$AO530,IF(J532="MFLASH",PR!$AP530,IF(J532="MORISON",PR!$AQ530,IF(J532="NEMEL",PR!$AR530,IF(J532="NHP",PR!$AS530,IF(J532="NHC",PR!$AT530,IF(J532="OLEAF",PR!$AU530,IF(J532="OCULUS",PR!$AV530,IF(J532="PACIFIC",PR!$AW530,IF(J532="PHAMATEX",PR!$AX530,IF(J532="PETHICS",PR!$AY530,IF(J532="PHILIPS",PR!$AZ530,IF(J532="RANBAXY",PR!$BA530,IF(J532="REALS",PR!$BB530,IF(J532="ROYAL",PR!$BC530,IF(J532="SAM",PR!$BD530,IF(J532="SEAGREEN",PR!$BE530,IF(J532="SKG",PR!$BF530,IF(J532="TAH",PR!$BG530,IF(J532="TAYLEK",PR!$BH530,IF(J532="TEMITA",PR!$BI530,IF(J532="THL",PR!$BJ530,IF(J532="UBASTIC",PR!$BK530,IF(J532="UNION",PR!$BL530,IF(J532="UNIQUE",PR!$BM530,IF(J532="VIXA",PR!$BN530,IF(J532="WWCV",PR!$BO530,IF(J532="ZOLON",PR!$BP530,"-"))))))))))))))))))))))))))))))))))))))))))))))))))))))))))))))))</f>
        <v>145</v>
      </c>
      <c r="J532" s="102" t="str">
        <f>EV!N662</f>
        <v>EMZOR</v>
      </c>
      <c r="K532" s="433" t="s">
        <v>633</v>
      </c>
      <c r="L532" s="183">
        <f>IF(K532&gt;0,IF(K532="ALPHA",PR!$E530,IF(K532="ASSENE",PR!$F530,IF(K532="BIOFEM",PR!$G530,IF(K532="BIOMED",PR!$H530,IF(K532="CHI",PR!$I530,IF(K532="CLARION",PR!$J530,IF(K532="CODIX",PR!$K530,IF(K532="COSMADE",PR!$L530,IF(K532="SANCON",PR!$M530,IF(K532="DEVON",PR!$N530,IF(K532="DORTEMAG",PR!$O530,IF(K532="DGF",PR!$P530,IF(K532="DYNAMIC",PR!$Q530,IF(K532="EMZOR",PR!$R530,IF(K532="EUMATT",PR!$S530,IF(K532="FIDSON",PR!$T530,IF(K532="FCGLOBAL",PR!$U530,IF(K532="GENEITH",PR!$V530,IF(K532="GINOS",PR!$W530,IF(K532="GSK",PR!$X530,IF(K532="GLOBORG",PR!$Y530,IF(K532="GOODNEWS",PR!$Z530,IF(K532="GREENLIFE",PR!$AA530,IF(K532="HLINE",PR!$AB530,IF(K532="ROTECH",PR!$AC530,IF(K532="ISN",PR!$AD530,IF(K532="JAWA",PR!$AE530,IF(K532="LAYO",PR!$AF530,IF(K532="LEADWAY",PR!$AG530,IF(K532="LHV",PR!$AH530,IF(K532="MANOLA",PR!$AI530,IF(K532="MARCSON",PR!$AJ530,IF(K532="M&amp;B",PR!$AK530,IF(K532="MTRUST",PR!$AL530,IF(K532="MWORLD",PR!$AM530,IF(K532="MEGA",PR!$AN530,IF(K532="MICRONOVA",PR!$AO530,IF(K532="MFLASH",PR!$AP530,IF(K532="MORISON",PR!$AQ530,IF(K532="NEMEL",PR!$AR530,IF(K532="NHP",PR!$AS530,IF(K532="NHC",PR!$AT530,IF(K532="OLEAF",PR!$AU530,IF(K532="OCULUS",PR!$AV530,IF(K532="PACIFIC",PR!$AW530,IF(K532="PHAMATEX",PR!$AX530,IF(K532="PETHICS",PR!$AY530,IF(K532="PHILIPS",PR!$AZ530,IF(K532="RANBAXY",PR!$BA530,IF(K532="REALS",PR!$BB530,IF(K532="ROYAL",PR!$BC530,IF(K532="SAM",PR!$BD530,IF(K532="SEAGREEN",PR!$BE530,IF(K532="SKG",PR!$BF530,IF(K532="TAH",PR!$BG530,IF(K532="TAYLEK",PR!$BH530,IF(K532="TEMITA",PR!$BI530,IF(K532="THL",PR!$BJ530,IF(K532="UBASTIC",PR!$BK530,IF(K532="UNION",PR!$BL530,IF(K532="UNIQUE",PR!$BM530,IF(K532="VIXA",PR!$BN530,IF(K532="WWCV",PR!$BO530,IF(K532="ZOLON",PR!$BP530,"-")))))))))))))))))))))))))))))))))))))))))))))))))))))))))))))))))</f>
        <v>115</v>
      </c>
    </row>
    <row r="533" spans="1:12" ht="18.75" x14ac:dyDescent="0.3">
      <c r="A533" s="430">
        <f>PR!A531</f>
        <v>479</v>
      </c>
      <c r="B533" s="15" t="str">
        <f>PR!B531</f>
        <v>DIPHENHYDRAMINE HCL+ BROMHEXINE HCL+AMMONIUM CHLORIDE SYR</v>
      </c>
      <c r="C533" s="113" t="str">
        <f>PR!D531</f>
        <v>BOTT</v>
      </c>
      <c r="D533" s="113">
        <f>PR!C531</f>
        <v>600</v>
      </c>
      <c r="E533" s="108">
        <f>IF(F533="ALPHA",PR!$E531,IF(F533="ASSENE",PR!$F531,IF(F533="BIOFEM",PR!$G531,IF(F533="BIOMED",PR!$H531,IF(F533="CHI",PR!$I531,IF(F533="CLARION",PR!$J531,IF(F533="CODIX",PR!$K531,IF(F533="COSMADE",PR!$L531,IF(F533="SANCON",PR!$M531,IF(F533="DEVON",PR!$N531,IF(F533="DORTEMAG",PR!$O531,IF(F533="DGF",PR!$P531,IF(F533="DYNAMIC",PR!$Q531,IF(F533="EMZOR",PR!$R531,IF(F533="EUMATT",PR!$S531,IF(F533="FIDSON",PR!$T531,IF(F533="FCGLOBAL",PR!$U531,IF(F533="GENEITH",PR!$V531,IF(F533="GINOS",PR!$W531,IF(F533="GSK",PR!$X531,IF(F533="GLOBORG",PR!$Y531,IF(F533="GOODNEWS",PR!$Z531,IF(F533="GREENLIFE",PR!$AA531,IF(F533="HLINE",PR!$AB531,IF(F533="ROTECH",PR!$AC531,IF(F533="ISN",PR!$AD531,IF(F533="JAWA",PR!$AE531,IF(F533="LAYO",PR!$AF531,IF(F533="LEADWAY",PR!$AG531,IF(F533="LHV",PR!$AH531,IF(F533="MANOLA",PR!$AI531,IF(F533="MARCSON",PR!$AJ531,IF(F533="M&amp;B",PR!$AK531,IF(F533="MTRUST",PR!$AL531,IF(F533="MWORLD",PR!$AM531,IF(F533="MEGA",PR!$AN531,IF(F533="MICRONOVA",PR!$AO531,IF(F533="MFLASH",PR!$AP531,IF(F533="MORISON",PR!$AQ531,IF(F533="NEMEL",PR!$AR531,IF(F533="NHP",PR!$AS531,IF(F533="NHC",PR!$AT531,IF(F533="OLEAF",PR!$AU531,IF(F533="OCULUS",PR!$AV531,IF(F533="PACIFIC",PR!$AW531,IF(F533="PHAMATEX",PR!$AX531,IF(F533="PETHICS",PR!$AY531,IF(F533="PHILIPS",PR!$AZ531,IF(F533="RANBAXY",PR!$BA531,IF(F533="REALS",PR!$BB531,IF(F533="ROYAL",PR!$BC531,IF(F533="SAM",PR!$BD531,IF(F533="SEAGREEN",PR!$BE531,IF(F533="SKG",PR!$BF531,IF(F533="TAH",PR!$BG531,IF(F533="TAYLEK",PR!$BH531,IF(F533="TEMITA",PR!$BI531,IF(F533="THL",PR!$BJ531,IF(F533="UBASTIC",PR!$BK531,IF(F533="UNION",PR!$BL531,IF(F533="UNIQUE",PR!$BM531,IF(F533="VIXA",PR!$BN531,IF(F533="WWCV",PR!$BO531,IF(F533="ZOLON",PR!$BP531,"-"))))))))))))))))))))))))))))))))))))))))))))))))))))))))))))))))</f>
        <v>200</v>
      </c>
      <c r="F533" s="102" t="str">
        <f>EV!L663</f>
        <v>EUMATT</v>
      </c>
      <c r="G533" s="108">
        <f>IF(H533="ALPHA",PR!$E531,IF(H533="ASSENE",PR!$F531,IF(H533="BIOFEM",PR!$G531,IF(H533="BIOMED",PR!$H531,IF(H533="CHI",PR!$I531,IF(H533="CLARION",PR!$J531,IF(H533="CODIX",PR!$K531,IF(H533="COSMADE",PR!$L531,IF(H533="SANCON",PR!$M531,IF(H533="DEVON",PR!$N531,IF(H533="DORTEMAG",PR!$O531,IF(H533="DGF",PR!$P531,IF(H533="DYNAMIC",PR!$Q531,IF(H533="EMZOR",PR!$R531,IF(H533="EUMATT",PR!$S531,IF(H533="FIDSON",PR!$T531,IF(H533="FCGLOBAL",PR!$U531,IF(H533="GENEITH",PR!$V531,IF(H533="GINOS",PR!$W531,IF(H533="GSK",PR!$X531,IF(H533="GLOBORG",PR!$Y531,IF(H533="GOODNEWS",PR!$Z531,IF(H533="GREENLIFE",PR!$AA531,IF(H533="HLINE",PR!$AB531,IF(H533="ROTECH",PR!$AC531,IF(H533="ISN",PR!$AD531,IF(H533="JAWA",PR!$AE531,IF(H533="LAYO",PR!$AF531,IF(H533="LEADWAY",PR!$AG531,IF(H533="LHV",PR!$AH531,IF(H533="MANOLA",PR!$AI531,IF(H533="MARCSON",PR!$AJ531,IF(H533="M&amp;B",PR!$AK531,IF(H533="MTRUST",PR!$AL531,IF(H533="MWORLD",PR!$AM531,IF(H533="MEGA",PR!$AN531,IF(H533="MICRONOVA",PR!$AO531,IF(H533="MFLASH",PR!$AP531,IF(H533="MORISON",PR!$AQ531,IF(H533="NEMEL",PR!$AR531,IF(H533="NHP",PR!$AS531,IF(H533="NHC",PR!$AT531,IF(H533="OLEAF",PR!$AU531,IF(H533="OCULUS",PR!$AV531,IF(H533="PACIFIC",PR!$AW531,IF(H533="PHAMATEX",PR!$AX531,IF(H533="PETHICS",PR!$AY531,IF(H533="PHILIPS",PR!$AZ531,IF(H533="RANBAXY",PR!$BA531,IF(H533="REALS",PR!$BB531,IF(H533="ROYAL",PR!$BC531,IF(H533="SAM",PR!$BD531,IF(H533="SEAGREEN",PR!$BE531,IF(H533="SKG",PR!$BF531,IF(H533="TAH",PR!$BG531,IF(H533="TAYLEK",PR!$BH531,IF(H533="TEMITA",PR!$BI531,IF(H533="THL",PR!$BJ531,IF(H533="UBASTIC",PR!$BK531,IF(H533="UNION",PR!$BL531,IF(H533="UNIQUE",PR!$BM531,IF(H533="VIXA",PR!$BN531,IF(H533="WWCV",PR!$BO531,IF(H533="ZOLON",PR!$BP531,"-"))))))))))))))))))))))))))))))))))))))))))))))))))))))))))))))))</f>
        <v>280</v>
      </c>
      <c r="H533" s="102" t="str">
        <f>EV!M663</f>
        <v>JAWA</v>
      </c>
      <c r="I533" s="108">
        <f>IF(J533="ALPHA",PR!$E531,IF(J533="ASSENE",PR!$F531,IF(J533="BIOFEM",PR!$G531,IF(J533="BIOMED",PR!$H531,IF(J533="CHI",PR!$I531,IF(J533="CLARION",PR!$J531,IF(J533="CODIX",PR!$K531,IF(J533="COSMADE",PR!$L531,IF(J533="SANCON",PR!$M531,IF(J533="DEVON",PR!$N531,IF(J533="DORTEMAG",PR!$O531,IF(J533="DGF",PR!$P531,IF(J533="DYNAMIC",PR!$Q531,IF(J533="EMZOR",PR!$R531,IF(J533="EUMATT",PR!$S531,IF(J533="FIDSON",PR!$T531,IF(J533="FCGLOBAL",PR!$U531,IF(J533="GENEITH",PR!$V531,IF(J533="GINOS",PR!$W531,IF(J533="GSK",PR!$X531,IF(J533="GLOBORG",PR!$Y531,IF(J533="GOODNEWS",PR!$Z531,IF(J533="GREENLIFE",PR!$AA531,IF(J533="HLINE",PR!$AB531,IF(J533="ROTECH",PR!$AC531,IF(J533="ISN",PR!$AD531,IF(J533="JAWA",PR!$AE531,IF(J533="LAYO",PR!$AF531,IF(J533="LEADWAY",PR!$AG531,IF(J533="LHV",PR!$AH531,IF(J533="MANOLA",PR!$AI531,IF(J533="MARCSON",PR!$AJ531,IF(J533="M&amp;B",PR!$AK531,IF(J533="MTRUST",PR!$AL531,IF(J533="MWORLD",PR!$AM531,IF(J533="MEGA",PR!$AN531,IF(J533="MICRONOVA",PR!$AO531,IF(J533="MFLASH",PR!$AP531,IF(J533="MORISON",PR!$AQ531,IF(J533="NEMEL",PR!$AR531,IF(J533="NHP",PR!$AS531,IF(J533="NHC",PR!$AT531,IF(J533="OLEAF",PR!$AU531,IF(J533="OCULUS",PR!$AV531,IF(J533="PACIFIC",PR!$AW531,IF(J533="PHAMATEX",PR!$AX531,IF(J533="PETHICS",PR!$AY531,IF(J533="PHILIPS",PR!$AZ531,IF(J533="RANBAXY",PR!$BA531,IF(J533="REALS",PR!$BB531,IF(J533="ROYAL",PR!$BC531,IF(J533="SAM",PR!$BD531,IF(J533="SEAGREEN",PR!$BE531,IF(J533="SKG",PR!$BF531,IF(J533="TAH",PR!$BG531,IF(J533="TAYLEK",PR!$BH531,IF(J533="TEMITA",PR!$BI531,IF(J533="THL",PR!$BJ531,IF(J533="UBASTIC",PR!$BK531,IF(J533="UNION",PR!$BL531,IF(J533="UNIQUE",PR!$BM531,IF(J533="VIXA",PR!$BN531,IF(J533="WWCV",PR!$BO531,IF(J533="ZOLON",PR!$BP531,"-"))))))))))))))))))))))))))))))))))))))))))))))))))))))))))))))))</f>
        <v>300</v>
      </c>
      <c r="J533" s="102" t="str">
        <f>EV!N663</f>
        <v>GREENLIFE</v>
      </c>
      <c r="K533" s="433" t="s">
        <v>630</v>
      </c>
      <c r="L533" s="183">
        <f>IF(K533&gt;0,IF(K533="ALPHA",PR!$E531,IF(K533="ASSENE",PR!$F531,IF(K533="BIOFEM",PR!$G531,IF(K533="BIOMED",PR!$H531,IF(K533="CHI",PR!$I531,IF(K533="CLARION",PR!$J531,IF(K533="CODIX",PR!$K531,IF(K533="COSMADE",PR!$L531,IF(K533="SANCON",PR!$M531,IF(K533="DEVON",PR!$N531,IF(K533="DORTEMAG",PR!$O531,IF(K533="DGF",PR!$P531,IF(K533="DYNAMIC",PR!$Q531,IF(K533="EMZOR",PR!$R531,IF(K533="EUMATT",PR!$S531,IF(K533="FIDSON",PR!$T531,IF(K533="FCGLOBAL",PR!$U531,IF(K533="GENEITH",PR!$V531,IF(K533="GINOS",PR!$W531,IF(K533="GSK",PR!$X531,IF(K533="GLOBORG",PR!$Y531,IF(K533="GOODNEWS",PR!$Z531,IF(K533="GREENLIFE",PR!$AA531,IF(K533="HLINE",PR!$AB531,IF(K533="ROTECH",PR!$AC531,IF(K533="ISN",PR!$AD531,IF(K533="JAWA",PR!$AE531,IF(K533="LAYO",PR!$AF531,IF(K533="LEADWAY",PR!$AG531,IF(K533="LHV",PR!$AH531,IF(K533="MANOLA",PR!$AI531,IF(K533="MARCSON",PR!$AJ531,IF(K533="M&amp;B",PR!$AK531,IF(K533="MTRUST",PR!$AL531,IF(K533="MWORLD",PR!$AM531,IF(K533="MEGA",PR!$AN531,IF(K533="MICRONOVA",PR!$AO531,IF(K533="MFLASH",PR!$AP531,IF(K533="MORISON",PR!$AQ531,IF(K533="NEMEL",PR!$AR531,IF(K533="NHP",PR!$AS531,IF(K533="NHC",PR!$AT531,IF(K533="OLEAF",PR!$AU531,IF(K533="OCULUS",PR!$AV531,IF(K533="PACIFIC",PR!$AW531,IF(K533="PHAMATEX",PR!$AX531,IF(K533="PETHICS",PR!$AY531,IF(K533="PHILIPS",PR!$AZ531,IF(K533="RANBAXY",PR!$BA531,IF(K533="REALS",PR!$BB531,IF(K533="ROYAL",PR!$BC531,IF(K533="SAM",PR!$BD531,IF(K533="SEAGREEN",PR!$BE531,IF(K533="SKG",PR!$BF531,IF(K533="TAH",PR!$BG531,IF(K533="TAYLEK",PR!$BH531,IF(K533="TEMITA",PR!$BI531,IF(K533="THL",PR!$BJ531,IF(K533="UBASTIC",PR!$BK531,IF(K533="UNION",PR!$BL531,IF(K533="UNIQUE",PR!$BM531,IF(K533="VIXA",PR!$BN531,IF(K533="WWCV",PR!$BO531,IF(K533="ZOLON",PR!$BP531,"-")))))))))))))))))))))))))))))))))))))))))))))))))))))))))))))))))</f>
        <v>280</v>
      </c>
    </row>
    <row r="534" spans="1:12" ht="18.75" x14ac:dyDescent="0.3">
      <c r="A534" s="430">
        <f>PR!A532</f>
        <v>480</v>
      </c>
      <c r="B534" s="15" t="str">
        <f>PR!B532</f>
        <v>FEXOFENADINE 120MG</v>
      </c>
      <c r="C534" s="113">
        <f>PR!D532</f>
        <v>10</v>
      </c>
      <c r="D534" s="113">
        <f>PR!C532</f>
        <v>80</v>
      </c>
      <c r="E534" s="108">
        <f>IF(F534="ALPHA",PR!$E532,IF(F534="ASSENE",PR!$F532,IF(F534="BIOFEM",PR!$G532,IF(F534="BIOMED",PR!$H532,IF(F534="CHI",PR!$I532,IF(F534="CLARION",PR!$J532,IF(F534="CODIX",PR!$K532,IF(F534="COSMADE",PR!$L532,IF(F534="SANCON",PR!$M532,IF(F534="DEVON",PR!$N532,IF(F534="DORTEMAG",PR!$O532,IF(F534="DGF",PR!$P532,IF(F534="DYNAMIC",PR!$Q532,IF(F534="EMZOR",PR!$R532,IF(F534="EUMATT",PR!$S532,IF(F534="FIDSON",PR!$T532,IF(F534="FCGLOBAL",PR!$U532,IF(F534="GENEITH",PR!$V532,IF(F534="GINOS",PR!$W532,IF(F534="GSK",PR!$X532,IF(F534="GLOBORG",PR!$Y532,IF(F534="GOODNEWS",PR!$Z532,IF(F534="GREENLIFE",PR!$AA532,IF(F534="HLINE",PR!$AB532,IF(F534="ROTECH",PR!$AC532,IF(F534="ISN",PR!$AD532,IF(F534="JAWA",PR!$AE532,IF(F534="LAYO",PR!$AF532,IF(F534="LEADWAY",PR!$AG532,IF(F534="LHV",PR!$AH532,IF(F534="MANOLA",PR!$AI532,IF(F534="MARCSON",PR!$AJ532,IF(F534="M&amp;B",PR!$AK532,IF(F534="MTRUST",PR!$AL532,IF(F534="MWORLD",PR!$AM532,IF(F534="MEGA",PR!$AN532,IF(F534="MICRONOVA",PR!$AO532,IF(F534="MFLASH",PR!$AP532,IF(F534="MORISON",PR!$AQ532,IF(F534="NEMEL",PR!$AR532,IF(F534="NHP",PR!$AS532,IF(F534="NHC",PR!$AT532,IF(F534="OLEAF",PR!$AU532,IF(F534="OCULUS",PR!$AV532,IF(F534="PACIFIC",PR!$AW532,IF(F534="PHAMATEX",PR!$AX532,IF(F534="PETHICS",PR!$AY532,IF(F534="PHILIPS",PR!$AZ532,IF(F534="RANBAXY",PR!$BA532,IF(F534="REALS",PR!$BB532,IF(F534="ROYAL",PR!$BC532,IF(F534="SAM",PR!$BD532,IF(F534="SEAGREEN",PR!$BE532,IF(F534="SKG",PR!$BF532,IF(F534="TAH",PR!$BG532,IF(F534="TAYLEK",PR!$BH532,IF(F534="TEMITA",PR!$BI532,IF(F534="THL",PR!$BJ532,IF(F534="UBASTIC",PR!$BK532,IF(F534="UNION",PR!$BL532,IF(F534="UNIQUE",PR!$BM532,IF(F534="VIXA",PR!$BN532,IF(F534="WWCV",PR!$BO532,IF(F534="ZOLON",PR!$BP532,"-"))))))))))))))))))))))))))))))))))))))))))))))))))))))))))))))))</f>
        <v>650</v>
      </c>
      <c r="F534" s="102" t="str">
        <f>EV!L664</f>
        <v>MICRONOVA</v>
      </c>
      <c r="G534" s="108">
        <f>IF(H534="ALPHA",PR!$E532,IF(H534="ASSENE",PR!$F532,IF(H534="BIOFEM",PR!$G532,IF(H534="BIOMED",PR!$H532,IF(H534="CHI",PR!$I532,IF(H534="CLARION",PR!$J532,IF(H534="CODIX",PR!$K532,IF(H534="COSMADE",PR!$L532,IF(H534="SANCON",PR!$M532,IF(H534="DEVON",PR!$N532,IF(H534="DORTEMAG",PR!$O532,IF(H534="DGF",PR!$P532,IF(H534="DYNAMIC",PR!$Q532,IF(H534="EMZOR",PR!$R532,IF(H534="EUMATT",PR!$S532,IF(H534="FIDSON",PR!$T532,IF(H534="FCGLOBAL",PR!$U532,IF(H534="GENEITH",PR!$V532,IF(H534="GINOS",PR!$W532,IF(H534="GSK",PR!$X532,IF(H534="GLOBORG",PR!$Y532,IF(H534="GOODNEWS",PR!$Z532,IF(H534="GREENLIFE",PR!$AA532,IF(H534="HLINE",PR!$AB532,IF(H534="ROTECH",PR!$AC532,IF(H534="ISN",PR!$AD532,IF(H534="JAWA",PR!$AE532,IF(H534="LAYO",PR!$AF532,IF(H534="LEADWAY",PR!$AG532,IF(H534="LHV",PR!$AH532,IF(H534="MANOLA",PR!$AI532,IF(H534="MARCSON",PR!$AJ532,IF(H534="M&amp;B",PR!$AK532,IF(H534="MTRUST",PR!$AL532,IF(H534="MWORLD",PR!$AM532,IF(H534="MEGA",PR!$AN532,IF(H534="MICRONOVA",PR!$AO532,IF(H534="MFLASH",PR!$AP532,IF(H534="MORISON",PR!$AQ532,IF(H534="NEMEL",PR!$AR532,IF(H534="NHP",PR!$AS532,IF(H534="NHC",PR!$AT532,IF(H534="OLEAF",PR!$AU532,IF(H534="OCULUS",PR!$AV532,IF(H534="PACIFIC",PR!$AW532,IF(H534="PHAMATEX",PR!$AX532,IF(H534="PETHICS",PR!$AY532,IF(H534="PHILIPS",PR!$AZ532,IF(H534="RANBAXY",PR!$BA532,IF(H534="REALS",PR!$BB532,IF(H534="ROYAL",PR!$BC532,IF(H534="SAM",PR!$BD532,IF(H534="SEAGREEN",PR!$BE532,IF(H534="SKG",PR!$BF532,IF(H534="TAH",PR!$BG532,IF(H534="TAYLEK",PR!$BH532,IF(H534="TEMITA",PR!$BI532,IF(H534="THL",PR!$BJ532,IF(H534="UBASTIC",PR!$BK532,IF(H534="UNION",PR!$BL532,IF(H534="UNIQUE",PR!$BM532,IF(H534="VIXA",PR!$BN532,IF(H534="WWCV",PR!$BO532,IF(H534="ZOLON",PR!$BP532,"-"))))))))))))))))))))))))))))))))))))))))))))))))))))))))))))))))</f>
        <v>1000</v>
      </c>
      <c r="H534" s="102" t="str">
        <f>EV!M664</f>
        <v>EUMATT</v>
      </c>
      <c r="I534" s="108">
        <f>IF(J534="ALPHA",PR!$E532,IF(J534="ASSENE",PR!$F532,IF(J534="BIOFEM",PR!$G532,IF(J534="BIOMED",PR!$H532,IF(J534="CHI",PR!$I532,IF(J534="CLARION",PR!$J532,IF(J534="CODIX",PR!$K532,IF(J534="COSMADE",PR!$L532,IF(J534="SANCON",PR!$M532,IF(J534="DEVON",PR!$N532,IF(J534="DORTEMAG",PR!$O532,IF(J534="DGF",PR!$P532,IF(J534="DYNAMIC",PR!$Q532,IF(J534="EMZOR",PR!$R532,IF(J534="EUMATT",PR!$S532,IF(J534="FIDSON",PR!$T532,IF(J534="FCGLOBAL",PR!$U532,IF(J534="GENEITH",PR!$V532,IF(J534="GINOS",PR!$W532,IF(J534="GSK",PR!$X532,IF(J534="GLOBORG",PR!$Y532,IF(J534="GOODNEWS",PR!$Z532,IF(J534="GREENLIFE",PR!$AA532,IF(J534="HLINE",PR!$AB532,IF(J534="ROTECH",PR!$AC532,IF(J534="ISN",PR!$AD532,IF(J534="JAWA",PR!$AE532,IF(J534="LAYO",PR!$AF532,IF(J534="LEADWAY",PR!$AG532,IF(J534="LHV",PR!$AH532,IF(J534="MANOLA",PR!$AI532,IF(J534="MARCSON",PR!$AJ532,IF(J534="M&amp;B",PR!$AK532,IF(J534="MTRUST",PR!$AL532,IF(J534="MWORLD",PR!$AM532,IF(J534="MEGA",PR!$AN532,IF(J534="MICRONOVA",PR!$AO532,IF(J534="MFLASH",PR!$AP532,IF(J534="MORISON",PR!$AQ532,IF(J534="NEMEL",PR!$AR532,IF(J534="NHP",PR!$AS532,IF(J534="NHC",PR!$AT532,IF(J534="OLEAF",PR!$AU532,IF(J534="OCULUS",PR!$AV532,IF(J534="PACIFIC",PR!$AW532,IF(J534="PHAMATEX",PR!$AX532,IF(J534="PETHICS",PR!$AY532,IF(J534="PHILIPS",PR!$AZ532,IF(J534="RANBAXY",PR!$BA532,IF(J534="REALS",PR!$BB532,IF(J534="ROYAL",PR!$BC532,IF(J534="SAM",PR!$BD532,IF(J534="SEAGREEN",PR!$BE532,IF(J534="SKG",PR!$BF532,IF(J534="TAH",PR!$BG532,IF(J534="TAYLEK",PR!$BH532,IF(J534="TEMITA",PR!$BI532,IF(J534="THL",PR!$BJ532,IF(J534="UBASTIC",PR!$BK532,IF(J534="UNION",PR!$BL532,IF(J534="UNIQUE",PR!$BM532,IF(J534="VIXA",PR!$BN532,IF(J534="WWCV",PR!$BO532,IF(J534="ZOLON",PR!$BP532,"-"))))))))))))))))))))))))))))))))))))))))))))))))))))))))))))))))</f>
        <v>1212.4000000000001</v>
      </c>
      <c r="J534" s="102" t="str">
        <f>EV!N664</f>
        <v>WWCV</v>
      </c>
      <c r="K534" s="433" t="s">
        <v>632</v>
      </c>
      <c r="L534" s="183">
        <f>IF(K534&gt;0,IF(K534="ALPHA",PR!$E532,IF(K534="ASSENE",PR!$F532,IF(K534="BIOFEM",PR!$G532,IF(K534="BIOMED",PR!$H532,IF(K534="CHI",PR!$I532,IF(K534="CLARION",PR!$J532,IF(K534="CODIX",PR!$K532,IF(K534="COSMADE",PR!$L532,IF(K534="SANCON",PR!$M532,IF(K534="DEVON",PR!$N532,IF(K534="DORTEMAG",PR!$O532,IF(K534="DGF",PR!$P532,IF(K534="DYNAMIC",PR!$Q532,IF(K534="EMZOR",PR!$R532,IF(K534="EUMATT",PR!$S532,IF(K534="FIDSON",PR!$T532,IF(K534="FCGLOBAL",PR!$U532,IF(K534="GENEITH",PR!$V532,IF(K534="GINOS",PR!$W532,IF(K534="GSK",PR!$X532,IF(K534="GLOBORG",PR!$Y532,IF(K534="GOODNEWS",PR!$Z532,IF(K534="GREENLIFE",PR!$AA532,IF(K534="HLINE",PR!$AB532,IF(K534="ROTECH",PR!$AC532,IF(K534="ISN",PR!$AD532,IF(K534="JAWA",PR!$AE532,IF(K534="LAYO",PR!$AF532,IF(K534="LEADWAY",PR!$AG532,IF(K534="LHV",PR!$AH532,IF(K534="MANOLA",PR!$AI532,IF(K534="MARCSON",PR!$AJ532,IF(K534="M&amp;B",PR!$AK532,IF(K534="MTRUST",PR!$AL532,IF(K534="MWORLD",PR!$AM532,IF(K534="MEGA",PR!$AN532,IF(K534="MICRONOVA",PR!$AO532,IF(K534="MFLASH",PR!$AP532,IF(K534="MORISON",PR!$AQ532,IF(K534="NEMEL",PR!$AR532,IF(K534="NHP",PR!$AS532,IF(K534="NHC",PR!$AT532,IF(K534="OLEAF",PR!$AU532,IF(K534="OCULUS",PR!$AV532,IF(K534="PACIFIC",PR!$AW532,IF(K534="PHAMATEX",PR!$AX532,IF(K534="PETHICS",PR!$AY532,IF(K534="PHILIPS",PR!$AZ532,IF(K534="RANBAXY",PR!$BA532,IF(K534="REALS",PR!$BB532,IF(K534="ROYAL",PR!$BC532,IF(K534="SAM",PR!$BD532,IF(K534="SEAGREEN",PR!$BE532,IF(K534="SKG",PR!$BF532,IF(K534="TAH",PR!$BG532,IF(K534="TAYLEK",PR!$BH532,IF(K534="TEMITA",PR!$BI532,IF(K534="THL",PR!$BJ532,IF(K534="UBASTIC",PR!$BK532,IF(K534="UNION",PR!$BL532,IF(K534="UNIQUE",PR!$BM532,IF(K534="VIXA",PR!$BN532,IF(K534="WWCV",PR!$BO532,IF(K534="ZOLON",PR!$BP532,"-")))))))))))))))))))))))))))))))))))))))))))))))))))))))))))))))))</f>
        <v>650</v>
      </c>
    </row>
    <row r="535" spans="1:12" ht="18.75" x14ac:dyDescent="0.3">
      <c r="A535" s="430">
        <f>PR!A533</f>
        <v>481</v>
      </c>
      <c r="B535" s="15" t="str">
        <f>PR!B533</f>
        <v>FEXOFENADINE 180MG</v>
      </c>
      <c r="C535" s="113">
        <f>PR!D533</f>
        <v>10</v>
      </c>
      <c r="D535" s="113">
        <f>PR!C533</f>
        <v>300</v>
      </c>
      <c r="E535" s="108">
        <f>IF(F535="ALPHA",PR!$E533,IF(F535="ASSENE",PR!$F533,IF(F535="BIOFEM",PR!$G533,IF(F535="BIOMED",PR!$H533,IF(F535="CHI",PR!$I533,IF(F535="CLARION",PR!$J533,IF(F535="CODIX",PR!$K533,IF(F535="COSMADE",PR!$L533,IF(F535="SANCON",PR!$M533,IF(F535="DEVON",PR!$N533,IF(F535="DORTEMAG",PR!$O533,IF(F535="DGF",PR!$P533,IF(F535="DYNAMIC",PR!$Q533,IF(F535="EMZOR",PR!$R533,IF(F535="EUMATT",PR!$S533,IF(F535="FIDSON",PR!$T533,IF(F535="FCGLOBAL",PR!$U533,IF(F535="GENEITH",PR!$V533,IF(F535="GINOS",PR!$W533,IF(F535="GSK",PR!$X533,IF(F535="GLOBORG",PR!$Y533,IF(F535="GOODNEWS",PR!$Z533,IF(F535="GREENLIFE",PR!$AA533,IF(F535="HLINE",PR!$AB533,IF(F535="ROTECH",PR!$AC533,IF(F535="ISN",PR!$AD533,IF(F535="JAWA",PR!$AE533,IF(F535="LAYO",PR!$AF533,IF(F535="LEADWAY",PR!$AG533,IF(F535="LHV",PR!$AH533,IF(F535="MANOLA",PR!$AI533,IF(F535="MARCSON",PR!$AJ533,IF(F535="M&amp;B",PR!$AK533,IF(F535="MTRUST",PR!$AL533,IF(F535="MWORLD",PR!$AM533,IF(F535="MEGA",PR!$AN533,IF(F535="MICRONOVA",PR!$AO533,IF(F535="MFLASH",PR!$AP533,IF(F535="MORISON",PR!$AQ533,IF(F535="NEMEL",PR!$AR533,IF(F535="NHP",PR!$AS533,IF(F535="NHC",PR!$AT533,IF(F535="OLEAF",PR!$AU533,IF(F535="OCULUS",PR!$AV533,IF(F535="PACIFIC",PR!$AW533,IF(F535="PHAMATEX",PR!$AX533,IF(F535="PETHICS",PR!$AY533,IF(F535="PHILIPS",PR!$AZ533,IF(F535="RANBAXY",PR!$BA533,IF(F535="REALS",PR!$BB533,IF(F535="ROYAL",PR!$BC533,IF(F535="SAM",PR!$BD533,IF(F535="SEAGREEN",PR!$BE533,IF(F535="SKG",PR!$BF533,IF(F535="TAH",PR!$BG533,IF(F535="TAYLEK",PR!$BH533,IF(F535="TEMITA",PR!$BI533,IF(F535="THL",PR!$BJ533,IF(F535="UBASTIC",PR!$BK533,IF(F535="UNION",PR!$BL533,IF(F535="UNIQUE",PR!$BM533,IF(F535="VIXA",PR!$BN533,IF(F535="WWCV",PR!$BO533,IF(F535="ZOLON",PR!$BP533,"-"))))))))))))))))))))))))))))))))))))))))))))))))))))))))))))))))</f>
        <v>895</v>
      </c>
      <c r="F535" s="102" t="str">
        <f>EV!L690</f>
        <v>MICRONOVA</v>
      </c>
      <c r="G535" s="108">
        <f>IF(H535="ALPHA",PR!$E533,IF(H535="ASSENE",PR!$F533,IF(H535="BIOFEM",PR!$G533,IF(H535="BIOMED",PR!$H533,IF(H535="CHI",PR!$I533,IF(H535="CLARION",PR!$J533,IF(H535="CODIX",PR!$K533,IF(H535="COSMADE",PR!$L533,IF(H535="SANCON",PR!$M533,IF(H535="DEVON",PR!$N533,IF(H535="DORTEMAG",PR!$O533,IF(H535="DGF",PR!$P533,IF(H535="DYNAMIC",PR!$Q533,IF(H535="EMZOR",PR!$R533,IF(H535="EUMATT",PR!$S533,IF(H535="FIDSON",PR!$T533,IF(H535="FCGLOBAL",PR!$U533,IF(H535="GENEITH",PR!$V533,IF(H535="GINOS",PR!$W533,IF(H535="GSK",PR!$X533,IF(H535="GLOBORG",PR!$Y533,IF(H535="GOODNEWS",PR!$Z533,IF(H535="GREENLIFE",PR!$AA533,IF(H535="HLINE",PR!$AB533,IF(H535="ROTECH",PR!$AC533,IF(H535="ISN",PR!$AD533,IF(H535="JAWA",PR!$AE533,IF(H535="LAYO",PR!$AF533,IF(H535="LEADWAY",PR!$AG533,IF(H535="LHV",PR!$AH533,IF(H535="MANOLA",PR!$AI533,IF(H535="MARCSON",PR!$AJ533,IF(H535="M&amp;B",PR!$AK533,IF(H535="MTRUST",PR!$AL533,IF(H535="MWORLD",PR!$AM533,IF(H535="MEGA",PR!$AN533,IF(H535="MICRONOVA",PR!$AO533,IF(H535="MFLASH",PR!$AP533,IF(H535="MORISON",PR!$AQ533,IF(H535="NEMEL",PR!$AR533,IF(H535="NHP",PR!$AS533,IF(H535="NHC",PR!$AT533,IF(H535="OLEAF",PR!$AU533,IF(H535="OCULUS",PR!$AV533,IF(H535="PACIFIC",PR!$AW533,IF(H535="PHAMATEX",PR!$AX533,IF(H535="PETHICS",PR!$AY533,IF(H535="PHILIPS",PR!$AZ533,IF(H535="RANBAXY",PR!$BA533,IF(H535="REALS",PR!$BB533,IF(H535="ROYAL",PR!$BC533,IF(H535="SAM",PR!$BD533,IF(H535="SEAGREEN",PR!$BE533,IF(H535="SKG",PR!$BF533,IF(H535="TAH",PR!$BG533,IF(H535="TAYLEK",PR!$BH533,IF(H535="TEMITA",PR!$BI533,IF(H535="THL",PR!$BJ533,IF(H535="UBASTIC",PR!$BK533,IF(H535="UNION",PR!$BL533,IF(H535="UNIQUE",PR!$BM533,IF(H535="VIXA",PR!$BN533,IF(H535="WWCV",PR!$BO533,IF(H535="ZOLON",PR!$BP533,"-"))))))))))))))))))))))))))))))))))))))))))))))))))))))))))))))))</f>
        <v>1350</v>
      </c>
      <c r="H535" s="102" t="str">
        <f>EV!M690</f>
        <v>EUMATT</v>
      </c>
      <c r="I535" s="108">
        <f>IF(J535="ALPHA",PR!$E533,IF(J535="ASSENE",PR!$F533,IF(J535="BIOFEM",PR!$G533,IF(J535="BIOMED",PR!$H533,IF(J535="CHI",PR!$I533,IF(J535="CLARION",PR!$J533,IF(J535="CODIX",PR!$K533,IF(J535="COSMADE",PR!$L533,IF(J535="SANCON",PR!$M533,IF(J535="DEVON",PR!$N533,IF(J535="DORTEMAG",PR!$O533,IF(J535="DGF",PR!$P533,IF(J535="DYNAMIC",PR!$Q533,IF(J535="EMZOR",PR!$R533,IF(J535="EUMATT",PR!$S533,IF(J535="FIDSON",PR!$T533,IF(J535="FCGLOBAL",PR!$U533,IF(J535="GENEITH",PR!$V533,IF(J535="GINOS",PR!$W533,IF(J535="GSK",PR!$X533,IF(J535="GLOBORG",PR!$Y533,IF(J535="GOODNEWS",PR!$Z533,IF(J535="GREENLIFE",PR!$AA533,IF(J535="HLINE",PR!$AB533,IF(J535="ROTECH",PR!$AC533,IF(J535="ISN",PR!$AD533,IF(J535="JAWA",PR!$AE533,IF(J535="LAYO",PR!$AF533,IF(J535="LEADWAY",PR!$AG533,IF(J535="LHV",PR!$AH533,IF(J535="MANOLA",PR!$AI533,IF(J535="MARCSON",PR!$AJ533,IF(J535="M&amp;B",PR!$AK533,IF(J535="MTRUST",PR!$AL533,IF(J535="MWORLD",PR!$AM533,IF(J535="MEGA",PR!$AN533,IF(J535="MICRONOVA",PR!$AO533,IF(J535="MFLASH",PR!$AP533,IF(J535="MORISON",PR!$AQ533,IF(J535="NEMEL",PR!$AR533,IF(J535="NHP",PR!$AS533,IF(J535="NHC",PR!$AT533,IF(J535="OLEAF",PR!$AU533,IF(J535="OCULUS",PR!$AV533,IF(J535="PACIFIC",PR!$AW533,IF(J535="PHAMATEX",PR!$AX533,IF(J535="PETHICS",PR!$AY533,IF(J535="PHILIPS",PR!$AZ533,IF(J535="RANBAXY",PR!$BA533,IF(J535="REALS",PR!$BB533,IF(J535="ROYAL",PR!$BC533,IF(J535="SAM",PR!$BD533,IF(J535="SEAGREEN",PR!$BE533,IF(J535="SKG",PR!$BF533,IF(J535="TAH",PR!$BG533,IF(J535="TAYLEK",PR!$BH533,IF(J535="TEMITA",PR!$BI533,IF(J535="THL",PR!$BJ533,IF(J535="UBASTIC",PR!$BK533,IF(J535="UNION",PR!$BL533,IF(J535="UNIQUE",PR!$BM533,IF(J535="VIXA",PR!$BN533,IF(J535="WWCV",PR!$BO533,IF(J535="ZOLON",PR!$BP533,"-"))))))))))))))))))))))))))))))))))))))))))))))))))))))))))))))))</f>
        <v>1518</v>
      </c>
      <c r="J535" s="102" t="str">
        <f>EV!N690</f>
        <v>WWCV</v>
      </c>
      <c r="K535" s="433" t="s">
        <v>632</v>
      </c>
      <c r="L535" s="183">
        <f>IF(K535&gt;0,IF(K535="ALPHA",PR!$E533,IF(K535="ASSENE",PR!$F533,IF(K535="BIOFEM",PR!$G533,IF(K535="BIOMED",PR!$H533,IF(K535="CHI",PR!$I533,IF(K535="CLARION",PR!$J533,IF(K535="CODIX",PR!$K533,IF(K535="COSMADE",PR!$L533,IF(K535="SANCON",PR!$M533,IF(K535="DEVON",PR!$N533,IF(K535="DORTEMAG",PR!$O533,IF(K535="DGF",PR!$P533,IF(K535="DYNAMIC",PR!$Q533,IF(K535="EMZOR",PR!$R533,IF(K535="EUMATT",PR!$S533,IF(K535="FIDSON",PR!$T533,IF(K535="FCGLOBAL",PR!$U533,IF(K535="GENEITH",PR!$V533,IF(K535="GINOS",PR!$W533,IF(K535="GSK",PR!$X533,IF(K535="GLOBORG",PR!$Y533,IF(K535="GOODNEWS",PR!$Z533,IF(K535="GREENLIFE",PR!$AA533,IF(K535="HLINE",PR!$AB533,IF(K535="ROTECH",PR!$AC533,IF(K535="ISN",PR!$AD533,IF(K535="JAWA",PR!$AE533,IF(K535="LAYO",PR!$AF533,IF(K535="LEADWAY",PR!$AG533,IF(K535="LHV",PR!$AH533,IF(K535="MANOLA",PR!$AI533,IF(K535="MARCSON",PR!$AJ533,IF(K535="M&amp;B",PR!$AK533,IF(K535="MTRUST",PR!$AL533,IF(K535="MWORLD",PR!$AM533,IF(K535="MEGA",PR!$AN533,IF(K535="MICRONOVA",PR!$AO533,IF(K535="MFLASH",PR!$AP533,IF(K535="MORISON",PR!$AQ533,IF(K535="NEMEL",PR!$AR533,IF(K535="NHP",PR!$AS533,IF(K535="NHC",PR!$AT533,IF(K535="OLEAF",PR!$AU533,IF(K535="OCULUS",PR!$AV533,IF(K535="PACIFIC",PR!$AW533,IF(K535="PHAMATEX",PR!$AX533,IF(K535="PETHICS",PR!$AY533,IF(K535="PHILIPS",PR!$AZ533,IF(K535="RANBAXY",PR!$BA533,IF(K535="REALS",PR!$BB533,IF(K535="ROYAL",PR!$BC533,IF(K535="SAM",PR!$BD533,IF(K535="SEAGREEN",PR!$BE533,IF(K535="SKG",PR!$BF533,IF(K535="TAH",PR!$BG533,IF(K535="TAYLEK",PR!$BH533,IF(K535="TEMITA",PR!$BI533,IF(K535="THL",PR!$BJ533,IF(K535="UBASTIC",PR!$BK533,IF(K535="UNION",PR!$BL533,IF(K535="UNIQUE",PR!$BM533,IF(K535="VIXA",PR!$BN533,IF(K535="WWCV",PR!$BO533,IF(K535="ZOLON",PR!$BP533,"-")))))))))))))))))))))))))))))))))))))))))))))))))))))))))))))))))</f>
        <v>895</v>
      </c>
    </row>
    <row r="536" spans="1:12" ht="18.75" x14ac:dyDescent="0.3">
      <c r="A536" s="430">
        <f>PR!A534</f>
        <v>482</v>
      </c>
      <c r="B536" s="15" t="str">
        <f>PR!B534</f>
        <v>HYDROCORTISONE  TAB</v>
      </c>
      <c r="C536" s="113">
        <f>PR!D534</f>
        <v>100</v>
      </c>
      <c r="D536" s="113">
        <f>PR!C534</f>
        <v>4</v>
      </c>
      <c r="E536" s="108" t="str">
        <f>IF(F536="ALPHA",PR!$E534,IF(F536="ASSENE",PR!$F534,IF(F536="BIOFEM",PR!$G534,IF(F536="BIOMED",PR!$H534,IF(F536="CHI",PR!$I534,IF(F536="CLARION",PR!$J534,IF(F536="CODIX",PR!$K534,IF(F536="COSMADE",PR!$L534,IF(F536="SANCON",PR!$M534,IF(F536="DEVON",PR!$N534,IF(F536="DORTEMAG",PR!$O534,IF(F536="DGF",PR!$P534,IF(F536="DYNAMIC",PR!$Q534,IF(F536="EMZOR",PR!$R534,IF(F536="EUMATT",PR!$S534,IF(F536="FIDSON",PR!$T534,IF(F536="FCGLOBAL",PR!$U534,IF(F536="GENEITH",PR!$V534,IF(F536="GINOS",PR!$W534,IF(F536="GSK",PR!$X534,IF(F536="GLOBORG",PR!$Y534,IF(F536="GOODNEWS",PR!$Z534,IF(F536="GREENLIFE",PR!$AA534,IF(F536="HLINE",PR!$AB534,IF(F536="ROTECH",PR!$AC534,IF(F536="ISN",PR!$AD534,IF(F536="JAWA",PR!$AE534,IF(F536="LAYO",PR!$AF534,IF(F536="LEADWAY",PR!$AG534,IF(F536="LHV",PR!$AH534,IF(F536="MANOLA",PR!$AI534,IF(F536="MARCSON",PR!$AJ534,IF(F536="M&amp;B",PR!$AK534,IF(F536="MTRUST",PR!$AL534,IF(F536="MWORLD",PR!$AM534,IF(F536="MEGA",PR!$AN534,IF(F536="MICRONOVA",PR!$AO534,IF(F536="MFLASH",PR!$AP534,IF(F536="MORISON",PR!$AQ534,IF(F536="NEMEL",PR!$AR534,IF(F536="NHP",PR!$AS534,IF(F536="NHC",PR!$AT534,IF(F536="OLEAF",PR!$AU534,IF(F536="OCULUS",PR!$AV534,IF(F536="PACIFIC",PR!$AW534,IF(F536="PHAMATEX",PR!$AX534,IF(F536="PETHICS",PR!$AY534,IF(F536="PHILIPS",PR!$AZ534,IF(F536="RANBAXY",PR!$BA534,IF(F536="REALS",PR!$BB534,IF(F536="ROYAL",PR!$BC534,IF(F536="SAM",PR!$BD534,IF(F536="SEAGREEN",PR!$BE534,IF(F536="SKG",PR!$BF534,IF(F536="TAH",PR!$BG534,IF(F536="TAYLEK",PR!$BH534,IF(F536="TEMITA",PR!$BI534,IF(F536="THL",PR!$BJ534,IF(F536="UBASTIC",PR!$BK534,IF(F536="UNION",PR!$BL534,IF(F536="UNIQUE",PR!$BM534,IF(F536="VIXA",PR!$BN534,IF(F536="WWCV",PR!$BO534,IF(F536="ZOLON",PR!$BP534,"-"))))))))))))))))))))))))))))))))))))))))))))))))))))))))))))))))</f>
        <v>-</v>
      </c>
      <c r="F536" s="102">
        <f>EV!L691</f>
        <v>0</v>
      </c>
      <c r="G536" s="108" t="str">
        <f>IF(H536="ALPHA",PR!$E534,IF(H536="ASSENE",PR!$F534,IF(H536="BIOFEM",PR!$G534,IF(H536="BIOMED",PR!$H534,IF(H536="CHI",PR!$I534,IF(H536="CLARION",PR!$J534,IF(H536="CODIX",PR!$K534,IF(H536="COSMADE",PR!$L534,IF(H536="SANCON",PR!$M534,IF(H536="DEVON",PR!$N534,IF(H536="DORTEMAG",PR!$O534,IF(H536="DGF",PR!$P534,IF(H536="DYNAMIC",PR!$Q534,IF(H536="EMZOR",PR!$R534,IF(H536="EUMATT",PR!$S534,IF(H536="FIDSON",PR!$T534,IF(H536="FCGLOBAL",PR!$U534,IF(H536="GENEITH",PR!$V534,IF(H536="GINOS",PR!$W534,IF(H536="GSK",PR!$X534,IF(H536="GLOBORG",PR!$Y534,IF(H536="GOODNEWS",PR!$Z534,IF(H536="GREENLIFE",PR!$AA534,IF(H536="HLINE",PR!$AB534,IF(H536="ROTECH",PR!$AC534,IF(H536="ISN",PR!$AD534,IF(H536="JAWA",PR!$AE534,IF(H536="LAYO",PR!$AF534,IF(H536="LEADWAY",PR!$AG534,IF(H536="LHV",PR!$AH534,IF(H536="MANOLA",PR!$AI534,IF(H536="MARCSON",PR!$AJ534,IF(H536="M&amp;B",PR!$AK534,IF(H536="MTRUST",PR!$AL534,IF(H536="MWORLD",PR!$AM534,IF(H536="MEGA",PR!$AN534,IF(H536="MICRONOVA",PR!$AO534,IF(H536="MFLASH",PR!$AP534,IF(H536="MORISON",PR!$AQ534,IF(H536="NEMEL",PR!$AR534,IF(H536="NHP",PR!$AS534,IF(H536="NHC",PR!$AT534,IF(H536="OLEAF",PR!$AU534,IF(H536="OCULUS",PR!$AV534,IF(H536="PACIFIC",PR!$AW534,IF(H536="PHAMATEX",PR!$AX534,IF(H536="PETHICS",PR!$AY534,IF(H536="PHILIPS",PR!$AZ534,IF(H536="RANBAXY",PR!$BA534,IF(H536="REALS",PR!$BB534,IF(H536="ROYAL",PR!$BC534,IF(H536="SAM",PR!$BD534,IF(H536="SEAGREEN",PR!$BE534,IF(H536="SKG",PR!$BF534,IF(H536="TAH",PR!$BG534,IF(H536="TAYLEK",PR!$BH534,IF(H536="TEMITA",PR!$BI534,IF(H536="THL",PR!$BJ534,IF(H536="UBASTIC",PR!$BK534,IF(H536="UNION",PR!$BL534,IF(H536="UNIQUE",PR!$BM534,IF(H536="VIXA",PR!$BN534,IF(H536="WWCV",PR!$BO534,IF(H536="ZOLON",PR!$BP534,"-"))))))))))))))))))))))))))))))))))))))))))))))))))))))))))))))))</f>
        <v>-</v>
      </c>
      <c r="H536" s="102">
        <f>EV!M691</f>
        <v>0</v>
      </c>
      <c r="I536" s="108" t="str">
        <f>IF(J536="ALPHA",PR!$E534,IF(J536="ASSENE",PR!$F534,IF(J536="BIOFEM",PR!$G534,IF(J536="BIOMED",PR!$H534,IF(J536="CHI",PR!$I534,IF(J536="CLARION",PR!$J534,IF(J536="CODIX",PR!$K534,IF(J536="COSMADE",PR!$L534,IF(J536="SANCON",PR!$M534,IF(J536="DEVON",PR!$N534,IF(J536="DORTEMAG",PR!$O534,IF(J536="DGF",PR!$P534,IF(J536="DYNAMIC",PR!$Q534,IF(J536="EMZOR",PR!$R534,IF(J536="EUMATT",PR!$S534,IF(J536="FIDSON",PR!$T534,IF(J536="FCGLOBAL",PR!$U534,IF(J536="GENEITH",PR!$V534,IF(J536="GINOS",PR!$W534,IF(J536="GSK",PR!$X534,IF(J536="GLOBORG",PR!$Y534,IF(J536="GOODNEWS",PR!$Z534,IF(J536="GREENLIFE",PR!$AA534,IF(J536="HLINE",PR!$AB534,IF(J536="ROTECH",PR!$AC534,IF(J536="ISN",PR!$AD534,IF(J536="JAWA",PR!$AE534,IF(J536="LAYO",PR!$AF534,IF(J536="LEADWAY",PR!$AG534,IF(J536="LHV",PR!$AH534,IF(J536="MANOLA",PR!$AI534,IF(J536="MARCSON",PR!$AJ534,IF(J536="M&amp;B",PR!$AK534,IF(J536="MTRUST",PR!$AL534,IF(J536="MWORLD",PR!$AM534,IF(J536="MEGA",PR!$AN534,IF(J536="MICRONOVA",PR!$AO534,IF(J536="MFLASH",PR!$AP534,IF(J536="MORISON",PR!$AQ534,IF(J536="NEMEL",PR!$AR534,IF(J536="NHP",PR!$AS534,IF(J536="NHC",PR!$AT534,IF(J536="OLEAF",PR!$AU534,IF(J536="OCULUS",PR!$AV534,IF(J536="PACIFIC",PR!$AW534,IF(J536="PHAMATEX",PR!$AX534,IF(J536="PETHICS",PR!$AY534,IF(J536="PHILIPS",PR!$AZ534,IF(J536="RANBAXY",PR!$BA534,IF(J536="REALS",PR!$BB534,IF(J536="ROYAL",PR!$BC534,IF(J536="SAM",PR!$BD534,IF(J536="SEAGREEN",PR!$BE534,IF(J536="SKG",PR!$BF534,IF(J536="TAH",PR!$BG534,IF(J536="TAYLEK",PR!$BH534,IF(J536="TEMITA",PR!$BI534,IF(J536="THL",PR!$BJ534,IF(J536="UBASTIC",PR!$BK534,IF(J536="UNION",PR!$BL534,IF(J536="UNIQUE",PR!$BM534,IF(J536="VIXA",PR!$BN534,IF(J536="WWCV",PR!$BO534,IF(J536="ZOLON",PR!$BP534,"-"))))))))))))))))))))))))))))))))))))))))))))))))))))))))))))))))</f>
        <v>-</v>
      </c>
      <c r="J536" s="102">
        <f>EV!N691</f>
        <v>0</v>
      </c>
      <c r="K536" s="433"/>
      <c r="L536" s="183" t="b">
        <f>IF(K536&gt;0,IF(K536="ALPHA",PR!$E534,IF(K536="ASSENE",PR!$F534,IF(K536="BIOFEM",PR!$G534,IF(K536="BIOMED",PR!$H534,IF(K536="CHI",PR!$I534,IF(K536="CLARION",PR!$J534,IF(K536="CODIX",PR!$K534,IF(K536="COSMADE",PR!$L534,IF(K536="SANCON",PR!$M534,IF(K536="DEVON",PR!$N534,IF(K536="DORTEMAG",PR!$O534,IF(K536="DGF",PR!$P534,IF(K536="DYNAMIC",PR!$Q534,IF(K536="EMZOR",PR!$R534,IF(K536="EUMATT",PR!$S534,IF(K536="FIDSON",PR!$T534,IF(K536="FCGLOBAL",PR!$U534,IF(K536="GENEITH",PR!$V534,IF(K536="GINOS",PR!$W534,IF(K536="GSK",PR!$X534,IF(K536="GLOBORG",PR!$Y534,IF(K536="GOODNEWS",PR!$Z534,IF(K536="GREENLIFE",PR!$AA534,IF(K536="HLINE",PR!$AB534,IF(K536="ROTECH",PR!$AC534,IF(K536="ISN",PR!$AD534,IF(K536="JAWA",PR!$AE534,IF(K536="LAYO",PR!$AF534,IF(K536="LEADWAY",PR!$AG534,IF(K536="LHV",PR!$AH534,IF(K536="MANOLA",PR!$AI534,IF(K536="MARCSON",PR!$AJ534,IF(K536="M&amp;B",PR!$AK534,IF(K536="MTRUST",PR!$AL534,IF(K536="MWORLD",PR!$AM534,IF(K536="MEGA",PR!$AN534,IF(K536="MICRONOVA",PR!$AO534,IF(K536="MFLASH",PR!$AP534,IF(K536="MORISON",PR!$AQ534,IF(K536="NEMEL",PR!$AR534,IF(K536="NHP",PR!$AS534,IF(K536="NHC",PR!$AT534,IF(K536="OLEAF",PR!$AU534,IF(K536="OCULUS",PR!$AV534,IF(K536="PACIFIC",PR!$AW534,IF(K536="PHAMATEX",PR!$AX534,IF(K536="PETHICS",PR!$AY534,IF(K536="PHILIPS",PR!$AZ534,IF(K536="RANBAXY",PR!$BA534,IF(K536="REALS",PR!$BB534,IF(K536="ROYAL",PR!$BC534,IF(K536="SAM",PR!$BD534,IF(K536="SEAGREEN",PR!$BE534,IF(K536="SKG",PR!$BF534,IF(K536="TAH",PR!$BG534,IF(K536="TAYLEK",PR!$BH534,IF(K536="TEMITA",PR!$BI534,IF(K536="THL",PR!$BJ534,IF(K536="UBASTIC",PR!$BK534,IF(K536="UNION",PR!$BL534,IF(K536="UNIQUE",PR!$BM534,IF(K536="VIXA",PR!$BN534,IF(K536="WWCV",PR!$BO534,IF(K536="ZOLON",PR!$BP534,"-")))))))))))))))))))))))))))))))))))))))))))))))))))))))))))))))))</f>
        <v>0</v>
      </c>
    </row>
    <row r="537" spans="1:12" ht="18.75" x14ac:dyDescent="0.3">
      <c r="A537" s="430">
        <f>PR!A535</f>
        <v>483</v>
      </c>
      <c r="B537" s="15" t="str">
        <f>PR!B535</f>
        <v>HYDROCORTISONE 100MG INJ</v>
      </c>
      <c r="C537" s="113" t="str">
        <f>PR!D535</f>
        <v>VIAL</v>
      </c>
      <c r="D537" s="113">
        <f>PR!C535</f>
        <v>6000</v>
      </c>
      <c r="E537" s="108">
        <f>IF(F537="ALPHA",PR!$E535,IF(F537="ASSENE",PR!$F535,IF(F537="BIOFEM",PR!$G535,IF(F537="BIOMED",PR!$H535,IF(F537="CHI",PR!$I535,IF(F537="CLARION",PR!$J535,IF(F537="CODIX",PR!$K535,IF(F537="COSMADE",PR!$L535,IF(F537="SANCON",PR!$M535,IF(F537="DEVON",PR!$N535,IF(F537="DORTEMAG",PR!$O535,IF(F537="DGF",PR!$P535,IF(F537="DYNAMIC",PR!$Q535,IF(F537="EMZOR",PR!$R535,IF(F537="EUMATT",PR!$S535,IF(F537="FIDSON",PR!$T535,IF(F537="FCGLOBAL",PR!$U535,IF(F537="GENEITH",PR!$V535,IF(F537="GINOS",PR!$W535,IF(F537="GSK",PR!$X535,IF(F537="GLOBORG",PR!$Y535,IF(F537="GOODNEWS",PR!$Z535,IF(F537="GREENLIFE",PR!$AA535,IF(F537="HLINE",PR!$AB535,IF(F537="ROTECH",PR!$AC535,IF(F537="ISN",PR!$AD535,IF(F537="JAWA",PR!$AE535,IF(F537="LAYO",PR!$AF535,IF(F537="LEADWAY",PR!$AG535,IF(F537="LHV",PR!$AH535,IF(F537="MANOLA",PR!$AI535,IF(F537="MARCSON",PR!$AJ535,IF(F537="M&amp;B",PR!$AK535,IF(F537="MTRUST",PR!$AL535,IF(F537="MWORLD",PR!$AM535,IF(F537="MEGA",PR!$AN535,IF(F537="MICRONOVA",PR!$AO535,IF(F537="MFLASH",PR!$AP535,IF(F537="MORISON",PR!$AQ535,IF(F537="NEMEL",PR!$AR535,IF(F537="NHP",PR!$AS535,IF(F537="NHC",PR!$AT535,IF(F537="OLEAF",PR!$AU535,IF(F537="OCULUS",PR!$AV535,IF(F537="PACIFIC",PR!$AW535,IF(F537="PHAMATEX",PR!$AX535,IF(F537="PETHICS",PR!$AY535,IF(F537="PHILIPS",PR!$AZ535,IF(F537="RANBAXY",PR!$BA535,IF(F537="REALS",PR!$BB535,IF(F537="ROYAL",PR!$BC535,IF(F537="SAM",PR!$BD535,IF(F537="SEAGREEN",PR!$BE535,IF(F537="SKG",PR!$BF535,IF(F537="TAH",PR!$BG535,IF(F537="TAYLEK",PR!$BH535,IF(F537="TEMITA",PR!$BI535,IF(F537="THL",PR!$BJ535,IF(F537="UBASTIC",PR!$BK535,IF(F537="UNION",PR!$BL535,IF(F537="UNIQUE",PR!$BM535,IF(F537="VIXA",PR!$BN535,IF(F537="WWCV",PR!$BO535,IF(F537="ZOLON",PR!$BP535,"-"))))))))))))))))))))))))))))))))))))))))))))))))))))))))))))))))</f>
        <v>150</v>
      </c>
      <c r="F537" s="102" t="str">
        <f>EV!L692</f>
        <v>EUMATT</v>
      </c>
      <c r="G537" s="108">
        <f>IF(H537="ALPHA",PR!$E535,IF(H537="ASSENE",PR!$F535,IF(H537="BIOFEM",PR!$G535,IF(H537="BIOMED",PR!$H535,IF(H537="CHI",PR!$I535,IF(H537="CLARION",PR!$J535,IF(H537="CODIX",PR!$K535,IF(H537="COSMADE",PR!$L535,IF(H537="SANCON",PR!$M535,IF(H537="DEVON",PR!$N535,IF(H537="DORTEMAG",PR!$O535,IF(H537="DGF",PR!$P535,IF(H537="DYNAMIC",PR!$Q535,IF(H537="EMZOR",PR!$R535,IF(H537="EUMATT",PR!$S535,IF(H537="FIDSON",PR!$T535,IF(H537="FCGLOBAL",PR!$U535,IF(H537="GENEITH",PR!$V535,IF(H537="GINOS",PR!$W535,IF(H537="GSK",PR!$X535,IF(H537="GLOBORG",PR!$Y535,IF(H537="GOODNEWS",PR!$Z535,IF(H537="GREENLIFE",PR!$AA535,IF(H537="HLINE",PR!$AB535,IF(H537="ROTECH",PR!$AC535,IF(H537="ISN",PR!$AD535,IF(H537="JAWA",PR!$AE535,IF(H537="LAYO",PR!$AF535,IF(H537="LEADWAY",PR!$AG535,IF(H537="LHV",PR!$AH535,IF(H537="MANOLA",PR!$AI535,IF(H537="MARCSON",PR!$AJ535,IF(H537="M&amp;B",PR!$AK535,IF(H537="MTRUST",PR!$AL535,IF(H537="MWORLD",PR!$AM535,IF(H537="MEGA",PR!$AN535,IF(H537="MICRONOVA",PR!$AO535,IF(H537="MFLASH",PR!$AP535,IF(H537="MORISON",PR!$AQ535,IF(H537="NEMEL",PR!$AR535,IF(H537="NHP",PR!$AS535,IF(H537="NHC",PR!$AT535,IF(H537="OLEAF",PR!$AU535,IF(H537="OCULUS",PR!$AV535,IF(H537="PACIFIC",PR!$AW535,IF(H537="PHAMATEX",PR!$AX535,IF(H537="PETHICS",PR!$AY535,IF(H537="PHILIPS",PR!$AZ535,IF(H537="RANBAXY",PR!$BA535,IF(H537="REALS",PR!$BB535,IF(H537="ROYAL",PR!$BC535,IF(H537="SAM",PR!$BD535,IF(H537="SEAGREEN",PR!$BE535,IF(H537="SKG",PR!$BF535,IF(H537="TAH",PR!$BG535,IF(H537="TAYLEK",PR!$BH535,IF(H537="TEMITA",PR!$BI535,IF(H537="THL",PR!$BJ535,IF(H537="UBASTIC",PR!$BK535,IF(H537="UNION",PR!$BL535,IF(H537="UNIQUE",PR!$BM535,IF(H537="VIXA",PR!$BN535,IF(H537="WWCV",PR!$BO535,IF(H537="ZOLON",PR!$BP535,"-"))))))))))))))))))))))))))))))))))))))))))))))))))))))))))))))))</f>
        <v>160</v>
      </c>
      <c r="H537" s="102" t="str">
        <f>EV!M692</f>
        <v>LEADWAY</v>
      </c>
      <c r="I537" s="108">
        <f>IF(J537="ALPHA",PR!$E535,IF(J537="ASSENE",PR!$F535,IF(J537="BIOFEM",PR!$G535,IF(J537="BIOMED",PR!$H535,IF(J537="CHI",PR!$I535,IF(J537="CLARION",PR!$J535,IF(J537="CODIX",PR!$K535,IF(J537="COSMADE",PR!$L535,IF(J537="SANCON",PR!$M535,IF(J537="DEVON",PR!$N535,IF(J537="DORTEMAG",PR!$O535,IF(J537="DGF",PR!$P535,IF(J537="DYNAMIC",PR!$Q535,IF(J537="EMZOR",PR!$R535,IF(J537="EUMATT",PR!$S535,IF(J537="FIDSON",PR!$T535,IF(J537="FCGLOBAL",PR!$U535,IF(J537="GENEITH",PR!$V535,IF(J537="GINOS",PR!$W535,IF(J537="GSK",PR!$X535,IF(J537="GLOBORG",PR!$Y535,IF(J537="GOODNEWS",PR!$Z535,IF(J537="GREENLIFE",PR!$AA535,IF(J537="HLINE",PR!$AB535,IF(J537="ROTECH",PR!$AC535,IF(J537="ISN",PR!$AD535,IF(J537="JAWA",PR!$AE535,IF(J537="LAYO",PR!$AF535,IF(J537="LEADWAY",PR!$AG535,IF(J537="LHV",PR!$AH535,IF(J537="MANOLA",PR!$AI535,IF(J537="MARCSON",PR!$AJ535,IF(J537="M&amp;B",PR!$AK535,IF(J537="MTRUST",PR!$AL535,IF(J537="MWORLD",PR!$AM535,IF(J537="MEGA",PR!$AN535,IF(J537="MICRONOVA",PR!$AO535,IF(J537="MFLASH",PR!$AP535,IF(J537="MORISON",PR!$AQ535,IF(J537="NEMEL",PR!$AR535,IF(J537="NHP",PR!$AS535,IF(J537="NHC",PR!$AT535,IF(J537="OLEAF",PR!$AU535,IF(J537="OCULUS",PR!$AV535,IF(J537="PACIFIC",PR!$AW535,IF(J537="PHAMATEX",PR!$AX535,IF(J537="PETHICS",PR!$AY535,IF(J537="PHILIPS",PR!$AZ535,IF(J537="RANBAXY",PR!$BA535,IF(J537="REALS",PR!$BB535,IF(J537="ROYAL",PR!$BC535,IF(J537="SAM",PR!$BD535,IF(J537="SEAGREEN",PR!$BE535,IF(J537="SKG",PR!$BF535,IF(J537="TAH",PR!$BG535,IF(J537="TAYLEK",PR!$BH535,IF(J537="TEMITA",PR!$BI535,IF(J537="THL",PR!$BJ535,IF(J537="UBASTIC",PR!$BK535,IF(J537="UNION",PR!$BL535,IF(J537="UNIQUE",PR!$BM535,IF(J537="VIXA",PR!$BN535,IF(J537="WWCV",PR!$BO535,IF(J537="ZOLON",PR!$BP535,"-"))))))))))))))))))))))))))))))))))))))))))))))))))))))))))))))))</f>
        <v>350</v>
      </c>
      <c r="J537" s="102" t="str">
        <f>EV!N692</f>
        <v>ALPHA</v>
      </c>
      <c r="K537" s="433" t="s">
        <v>623</v>
      </c>
      <c r="L537" s="183">
        <f>IF(K537&gt;0,IF(K537="ALPHA",PR!$E535,IF(K537="ASSENE",PR!$F535,IF(K537="BIOFEM",PR!$G535,IF(K537="BIOMED",PR!$H535,IF(K537="CHI",PR!$I535,IF(K537="CLARION",PR!$J535,IF(K537="CODIX",PR!$K535,IF(K537="COSMADE",PR!$L535,IF(K537="SANCON",PR!$M535,IF(K537="DEVON",PR!$N535,IF(K537="DORTEMAG",PR!$O535,IF(K537="DGF",PR!$P535,IF(K537="DYNAMIC",PR!$Q535,IF(K537="EMZOR",PR!$R535,IF(K537="EUMATT",PR!$S535,IF(K537="FIDSON",PR!$T535,IF(K537="FCGLOBAL",PR!$U535,IF(K537="GENEITH",PR!$V535,IF(K537="GINOS",PR!$W535,IF(K537="GSK",PR!$X535,IF(K537="GLOBORG",PR!$Y535,IF(K537="GOODNEWS",PR!$Z535,IF(K537="GREENLIFE",PR!$AA535,IF(K537="HLINE",PR!$AB535,IF(K537="ROTECH",PR!$AC535,IF(K537="ISN",PR!$AD535,IF(K537="JAWA",PR!$AE535,IF(K537="LAYO",PR!$AF535,IF(K537="LEADWAY",PR!$AG535,IF(K537="LHV",PR!$AH535,IF(K537="MANOLA",PR!$AI535,IF(K537="MARCSON",PR!$AJ535,IF(K537="M&amp;B",PR!$AK535,IF(K537="MTRUST",PR!$AL535,IF(K537="MWORLD",PR!$AM535,IF(K537="MEGA",PR!$AN535,IF(K537="MICRONOVA",PR!$AO535,IF(K537="MFLASH",PR!$AP535,IF(K537="MORISON",PR!$AQ535,IF(K537="NEMEL",PR!$AR535,IF(K537="NHP",PR!$AS535,IF(K537="NHC",PR!$AT535,IF(K537="OLEAF",PR!$AU535,IF(K537="OCULUS",PR!$AV535,IF(K537="PACIFIC",PR!$AW535,IF(K537="PHAMATEX",PR!$AX535,IF(K537="PETHICS",PR!$AY535,IF(K537="PHILIPS",PR!$AZ535,IF(K537="RANBAXY",PR!$BA535,IF(K537="REALS",PR!$BB535,IF(K537="ROYAL",PR!$BC535,IF(K537="SAM",PR!$BD535,IF(K537="SEAGREEN",PR!$BE535,IF(K537="SKG",PR!$BF535,IF(K537="TAH",PR!$BG535,IF(K537="TAYLEK",PR!$BH535,IF(K537="TEMITA",PR!$BI535,IF(K537="THL",PR!$BJ535,IF(K537="UBASTIC",PR!$BK535,IF(K537="UNION",PR!$BL535,IF(K537="UNIQUE",PR!$BM535,IF(K537="VIXA",PR!$BN535,IF(K537="WWCV",PR!$BO535,IF(K537="ZOLON",PR!$BP535,"-")))))))))))))))))))))))))))))))))))))))))))))))))))))))))))))))))</f>
        <v>160</v>
      </c>
    </row>
    <row r="538" spans="1:12" ht="18.75" x14ac:dyDescent="0.3">
      <c r="A538" s="430">
        <f>PR!A536</f>
        <v>484</v>
      </c>
      <c r="B538" s="15" t="str">
        <f>PR!B536</f>
        <v>KETOTIFEN TAB</v>
      </c>
      <c r="C538" s="113">
        <f>PR!D536</f>
        <v>30</v>
      </c>
      <c r="D538" s="113">
        <f>PR!C536</f>
        <v>4</v>
      </c>
      <c r="E538" s="108" t="str">
        <f>IF(F538="ALPHA",PR!$E536,IF(F538="ASSENE",PR!$F536,IF(F538="BIOFEM",PR!$G536,IF(F538="BIOMED",PR!$H536,IF(F538="CHI",PR!$I536,IF(F538="CLARION",PR!$J536,IF(F538="CODIX",PR!$K536,IF(F538="COSMADE",PR!$L536,IF(F538="SANCON",PR!$M536,IF(F538="DEVON",PR!$N536,IF(F538="DORTEMAG",PR!$O536,IF(F538="DGF",PR!$P536,IF(F538="DYNAMIC",PR!$Q536,IF(F538="EMZOR",PR!$R536,IF(F538="EUMATT",PR!$S536,IF(F538="FIDSON",PR!$T536,IF(F538="FCGLOBAL",PR!$U536,IF(F538="GENEITH",PR!$V536,IF(F538="GINOS",PR!$W536,IF(F538="GSK",PR!$X536,IF(F538="GLOBORG",PR!$Y536,IF(F538="GOODNEWS",PR!$Z536,IF(F538="GREENLIFE",PR!$AA536,IF(F538="HLINE",PR!$AB536,IF(F538="ROTECH",PR!$AC536,IF(F538="ISN",PR!$AD536,IF(F538="JAWA",PR!$AE536,IF(F538="LAYO",PR!$AF536,IF(F538="LEADWAY",PR!$AG536,IF(F538="LHV",PR!$AH536,IF(F538="MANOLA",PR!$AI536,IF(F538="MARCSON",PR!$AJ536,IF(F538="M&amp;B",PR!$AK536,IF(F538="MTRUST",PR!$AL536,IF(F538="MWORLD",PR!$AM536,IF(F538="MEGA",PR!$AN536,IF(F538="MICRONOVA",PR!$AO536,IF(F538="MFLASH",PR!$AP536,IF(F538="MORISON",PR!$AQ536,IF(F538="NEMEL",PR!$AR536,IF(F538="NHP",PR!$AS536,IF(F538="NHC",PR!$AT536,IF(F538="OLEAF",PR!$AU536,IF(F538="OCULUS",PR!$AV536,IF(F538="PACIFIC",PR!$AW536,IF(F538="PHAMATEX",PR!$AX536,IF(F538="PETHICS",PR!$AY536,IF(F538="PHILIPS",PR!$AZ536,IF(F538="RANBAXY",PR!$BA536,IF(F538="REALS",PR!$BB536,IF(F538="ROYAL",PR!$BC536,IF(F538="SAM",PR!$BD536,IF(F538="SEAGREEN",PR!$BE536,IF(F538="SKG",PR!$BF536,IF(F538="TAH",PR!$BG536,IF(F538="TAYLEK",PR!$BH536,IF(F538="TEMITA",PR!$BI536,IF(F538="THL",PR!$BJ536,IF(F538="UBASTIC",PR!$BK536,IF(F538="UNION",PR!$BL536,IF(F538="UNIQUE",PR!$BM536,IF(F538="VIXA",PR!$BN536,IF(F538="WWCV",PR!$BO536,IF(F538="ZOLON",PR!$BP536,"-"))))))))))))))))))))))))))))))))))))))))))))))))))))))))))))))))</f>
        <v>-</v>
      </c>
      <c r="F538" s="102">
        <f>EV!L693</f>
        <v>0</v>
      </c>
      <c r="G538" s="108" t="str">
        <f>IF(H538="ALPHA",PR!$E536,IF(H538="ASSENE",PR!$F536,IF(H538="BIOFEM",PR!$G536,IF(H538="BIOMED",PR!$H536,IF(H538="CHI",PR!$I536,IF(H538="CLARION",PR!$J536,IF(H538="CODIX",PR!$K536,IF(H538="COSMADE",PR!$L536,IF(H538="SANCON",PR!$M536,IF(H538="DEVON",PR!$N536,IF(H538="DORTEMAG",PR!$O536,IF(H538="DGF",PR!$P536,IF(H538="DYNAMIC",PR!$Q536,IF(H538="EMZOR",PR!$R536,IF(H538="EUMATT",PR!$S536,IF(H538="FIDSON",PR!$T536,IF(H538="FCGLOBAL",PR!$U536,IF(H538="GENEITH",PR!$V536,IF(H538="GINOS",PR!$W536,IF(H538="GSK",PR!$X536,IF(H538="GLOBORG",PR!$Y536,IF(H538="GOODNEWS",PR!$Z536,IF(H538="GREENLIFE",PR!$AA536,IF(H538="HLINE",PR!$AB536,IF(H538="ROTECH",PR!$AC536,IF(H538="ISN",PR!$AD536,IF(H538="JAWA",PR!$AE536,IF(H538="LAYO",PR!$AF536,IF(H538="LEADWAY",PR!$AG536,IF(H538="LHV",PR!$AH536,IF(H538="MANOLA",PR!$AI536,IF(H538="MARCSON",PR!$AJ536,IF(H538="M&amp;B",PR!$AK536,IF(H538="MTRUST",PR!$AL536,IF(H538="MWORLD",PR!$AM536,IF(H538="MEGA",PR!$AN536,IF(H538="MICRONOVA",PR!$AO536,IF(H538="MFLASH",PR!$AP536,IF(H538="MORISON",PR!$AQ536,IF(H538="NEMEL",PR!$AR536,IF(H538="NHP",PR!$AS536,IF(H538="NHC",PR!$AT536,IF(H538="OLEAF",PR!$AU536,IF(H538="OCULUS",PR!$AV536,IF(H538="PACIFIC",PR!$AW536,IF(H538="PHAMATEX",PR!$AX536,IF(H538="PETHICS",PR!$AY536,IF(H538="PHILIPS",PR!$AZ536,IF(H538="RANBAXY",PR!$BA536,IF(H538="REALS",PR!$BB536,IF(H538="ROYAL",PR!$BC536,IF(H538="SAM",PR!$BD536,IF(H538="SEAGREEN",PR!$BE536,IF(H538="SKG",PR!$BF536,IF(H538="TAH",PR!$BG536,IF(H538="TAYLEK",PR!$BH536,IF(H538="TEMITA",PR!$BI536,IF(H538="THL",PR!$BJ536,IF(H538="UBASTIC",PR!$BK536,IF(H538="UNION",PR!$BL536,IF(H538="UNIQUE",PR!$BM536,IF(H538="VIXA",PR!$BN536,IF(H538="WWCV",PR!$BO536,IF(H538="ZOLON",PR!$BP536,"-"))))))))))))))))))))))))))))))))))))))))))))))))))))))))))))))))</f>
        <v>-</v>
      </c>
      <c r="H538" s="102">
        <f>EV!M693</f>
        <v>0</v>
      </c>
      <c r="I538" s="108" t="str">
        <f>IF(J538="ALPHA",PR!$E536,IF(J538="ASSENE",PR!$F536,IF(J538="BIOFEM",PR!$G536,IF(J538="BIOMED",PR!$H536,IF(J538="CHI",PR!$I536,IF(J538="CLARION",PR!$J536,IF(J538="CODIX",PR!$K536,IF(J538="COSMADE",PR!$L536,IF(J538="SANCON",PR!$M536,IF(J538="DEVON",PR!$N536,IF(J538="DORTEMAG",PR!$O536,IF(J538="DGF",PR!$P536,IF(J538="DYNAMIC",PR!$Q536,IF(J538="EMZOR",PR!$R536,IF(J538="EUMATT",PR!$S536,IF(J538="FIDSON",PR!$T536,IF(J538="FCGLOBAL",PR!$U536,IF(J538="GENEITH",PR!$V536,IF(J538="GINOS",PR!$W536,IF(J538="GSK",PR!$X536,IF(J538="GLOBORG",PR!$Y536,IF(J538="GOODNEWS",PR!$Z536,IF(J538="GREENLIFE",PR!$AA536,IF(J538="HLINE",PR!$AB536,IF(J538="ROTECH",PR!$AC536,IF(J538="ISN",PR!$AD536,IF(J538="JAWA",PR!$AE536,IF(J538="LAYO",PR!$AF536,IF(J538="LEADWAY",PR!$AG536,IF(J538="LHV",PR!$AH536,IF(J538="MANOLA",PR!$AI536,IF(J538="MARCSON",PR!$AJ536,IF(J538="M&amp;B",PR!$AK536,IF(J538="MTRUST",PR!$AL536,IF(J538="MWORLD",PR!$AM536,IF(J538="MEGA",PR!$AN536,IF(J538="MICRONOVA",PR!$AO536,IF(J538="MFLASH",PR!$AP536,IF(J538="MORISON",PR!$AQ536,IF(J538="NEMEL",PR!$AR536,IF(J538="NHP",PR!$AS536,IF(J538="NHC",PR!$AT536,IF(J538="OLEAF",PR!$AU536,IF(J538="OCULUS",PR!$AV536,IF(J538="PACIFIC",PR!$AW536,IF(J538="PHAMATEX",PR!$AX536,IF(J538="PETHICS",PR!$AY536,IF(J538="PHILIPS",PR!$AZ536,IF(J538="RANBAXY",PR!$BA536,IF(J538="REALS",PR!$BB536,IF(J538="ROYAL",PR!$BC536,IF(J538="SAM",PR!$BD536,IF(J538="SEAGREEN",PR!$BE536,IF(J538="SKG",PR!$BF536,IF(J538="TAH",PR!$BG536,IF(J538="TAYLEK",PR!$BH536,IF(J538="TEMITA",PR!$BI536,IF(J538="THL",PR!$BJ536,IF(J538="UBASTIC",PR!$BK536,IF(J538="UNION",PR!$BL536,IF(J538="UNIQUE",PR!$BM536,IF(J538="VIXA",PR!$BN536,IF(J538="WWCV",PR!$BO536,IF(J538="ZOLON",PR!$BP536,"-"))))))))))))))))))))))))))))))))))))))))))))))))))))))))))))))))</f>
        <v>-</v>
      </c>
      <c r="J538" s="102">
        <f>EV!N693</f>
        <v>0</v>
      </c>
      <c r="K538" s="433"/>
      <c r="L538" s="183" t="b">
        <f>IF(K538&gt;0,IF(K538="ALPHA",PR!$E536,IF(K538="ASSENE",PR!$F536,IF(K538="BIOFEM",PR!$G536,IF(K538="BIOMED",PR!$H536,IF(K538="CHI",PR!$I536,IF(K538="CLARION",PR!$J536,IF(K538="CODIX",PR!$K536,IF(K538="COSMADE",PR!$L536,IF(K538="SANCON",PR!$M536,IF(K538="DEVON",PR!$N536,IF(K538="DORTEMAG",PR!$O536,IF(K538="DGF",PR!$P536,IF(K538="DYNAMIC",PR!$Q536,IF(K538="EMZOR",PR!$R536,IF(K538="EUMATT",PR!$S536,IF(K538="FIDSON",PR!$T536,IF(K538="FCGLOBAL",PR!$U536,IF(K538="GENEITH",PR!$V536,IF(K538="GINOS",PR!$W536,IF(K538="GSK",PR!$X536,IF(K538="GLOBORG",PR!$Y536,IF(K538="GOODNEWS",PR!$Z536,IF(K538="GREENLIFE",PR!$AA536,IF(K538="HLINE",PR!$AB536,IF(K538="ROTECH",PR!$AC536,IF(K538="ISN",PR!$AD536,IF(K538="JAWA",PR!$AE536,IF(K538="LAYO",PR!$AF536,IF(K538="LEADWAY",PR!$AG536,IF(K538="LHV",PR!$AH536,IF(K538="MANOLA",PR!$AI536,IF(K538="MARCSON",PR!$AJ536,IF(K538="M&amp;B",PR!$AK536,IF(K538="MTRUST",PR!$AL536,IF(K538="MWORLD",PR!$AM536,IF(K538="MEGA",PR!$AN536,IF(K538="MICRONOVA",PR!$AO536,IF(K538="MFLASH",PR!$AP536,IF(K538="MORISON",PR!$AQ536,IF(K538="NEMEL",PR!$AR536,IF(K538="NHP",PR!$AS536,IF(K538="NHC",PR!$AT536,IF(K538="OLEAF",PR!$AU536,IF(K538="OCULUS",PR!$AV536,IF(K538="PACIFIC",PR!$AW536,IF(K538="PHAMATEX",PR!$AX536,IF(K538="PETHICS",PR!$AY536,IF(K538="PHILIPS",PR!$AZ536,IF(K538="RANBAXY",PR!$BA536,IF(K538="REALS",PR!$BB536,IF(K538="ROYAL",PR!$BC536,IF(K538="SAM",PR!$BD536,IF(K538="SEAGREEN",PR!$BE536,IF(K538="SKG",PR!$BF536,IF(K538="TAH",PR!$BG536,IF(K538="TAYLEK",PR!$BH536,IF(K538="TEMITA",PR!$BI536,IF(K538="THL",PR!$BJ536,IF(K538="UBASTIC",PR!$BK536,IF(K538="UNION",PR!$BL536,IF(K538="UNIQUE",PR!$BM536,IF(K538="VIXA",PR!$BN536,IF(K538="WWCV",PR!$BO536,IF(K538="ZOLON",PR!$BP536,"-")))))))))))))))))))))))))))))))))))))))))))))))))))))))))))))))))</f>
        <v>0</v>
      </c>
    </row>
    <row r="539" spans="1:12" ht="18.75" x14ac:dyDescent="0.3">
      <c r="A539" s="430">
        <f>PR!A537</f>
        <v>485</v>
      </c>
      <c r="B539" s="15" t="str">
        <f>PR!B537</f>
        <v>LEVOCETIRIZINE</v>
      </c>
      <c r="C539" s="113">
        <f>PR!D537</f>
        <v>100</v>
      </c>
      <c r="D539" s="113">
        <f>PR!C537</f>
        <v>80</v>
      </c>
      <c r="E539" s="108">
        <f>IF(F539="ALPHA",PR!$E537,IF(F539="ASSENE",PR!$F537,IF(F539="BIOFEM",PR!$G537,IF(F539="BIOMED",PR!$H537,IF(F539="CHI",PR!$I537,IF(F539="CLARION",PR!$J537,IF(F539="CODIX",PR!$K537,IF(F539="COSMADE",PR!$L537,IF(F539="SANCON",PR!$M537,IF(F539="DEVON",PR!$N537,IF(F539="DORTEMAG",PR!$O537,IF(F539="DGF",PR!$P537,IF(F539="DYNAMIC",PR!$Q537,IF(F539="EMZOR",PR!$R537,IF(F539="EUMATT",PR!$S537,IF(F539="FIDSON",PR!$T537,IF(F539="FCGLOBAL",PR!$U537,IF(F539="GENEITH",PR!$V537,IF(F539="GINOS",PR!$W537,IF(F539="GSK",PR!$X537,IF(F539="GLOBORG",PR!$Y537,IF(F539="GOODNEWS",PR!$Z537,IF(F539="GREENLIFE",PR!$AA537,IF(F539="HLINE",PR!$AB537,IF(F539="ROTECH",PR!$AC537,IF(F539="ISN",PR!$AD537,IF(F539="JAWA",PR!$AE537,IF(F539="LAYO",PR!$AF537,IF(F539="LEADWAY",PR!$AG537,IF(F539="LHV",PR!$AH537,IF(F539="MANOLA",PR!$AI537,IF(F539="MARCSON",PR!$AJ537,IF(F539="M&amp;B",PR!$AK537,IF(F539="MTRUST",PR!$AL537,IF(F539="MWORLD",PR!$AM537,IF(F539="MEGA",PR!$AN537,IF(F539="MICRONOVA",PR!$AO537,IF(F539="MFLASH",PR!$AP537,IF(F539="MORISON",PR!$AQ537,IF(F539="NEMEL",PR!$AR537,IF(F539="NHP",PR!$AS537,IF(F539="NHC",PR!$AT537,IF(F539="OLEAF",PR!$AU537,IF(F539="OCULUS",PR!$AV537,IF(F539="PACIFIC",PR!$AW537,IF(F539="PHAMATEX",PR!$AX537,IF(F539="PETHICS",PR!$AY537,IF(F539="PHILIPS",PR!$AZ537,IF(F539="RANBAXY",PR!$BA537,IF(F539="REALS",PR!$BB537,IF(F539="ROYAL",PR!$BC537,IF(F539="SAM",PR!$BD537,IF(F539="SEAGREEN",PR!$BE537,IF(F539="SKG",PR!$BF537,IF(F539="TAH",PR!$BG537,IF(F539="TAYLEK",PR!$BH537,IF(F539="TEMITA",PR!$BI537,IF(F539="THL",PR!$BJ537,IF(F539="UBASTIC",PR!$BK537,IF(F539="UNION",PR!$BL537,IF(F539="UNIQUE",PR!$BM537,IF(F539="VIXA",PR!$BN537,IF(F539="WWCV",PR!$BO537,IF(F539="ZOLON",PR!$BP537,"-"))))))))))))))))))))))))))))))))))))))))))))))))))))))))))))))))</f>
        <v>371.2</v>
      </c>
      <c r="F539" s="102" t="str">
        <f>EV!L694</f>
        <v>GSK</v>
      </c>
      <c r="G539" s="108">
        <f>IF(H539="ALPHA",PR!$E537,IF(H539="ASSENE",PR!$F537,IF(H539="BIOFEM",PR!$G537,IF(H539="BIOMED",PR!$H537,IF(H539="CHI",PR!$I537,IF(H539="CLARION",PR!$J537,IF(H539="CODIX",PR!$K537,IF(H539="COSMADE",PR!$L537,IF(H539="SANCON",PR!$M537,IF(H539="DEVON",PR!$N537,IF(H539="DORTEMAG",PR!$O537,IF(H539="DGF",PR!$P537,IF(H539="DYNAMIC",PR!$Q537,IF(H539="EMZOR",PR!$R537,IF(H539="EUMATT",PR!$S537,IF(H539="FIDSON",PR!$T537,IF(H539="FCGLOBAL",PR!$U537,IF(H539="GENEITH",PR!$V537,IF(H539="GINOS",PR!$W537,IF(H539="GSK",PR!$X537,IF(H539="GLOBORG",PR!$Y537,IF(H539="GOODNEWS",PR!$Z537,IF(H539="GREENLIFE",PR!$AA537,IF(H539="HLINE",PR!$AB537,IF(H539="ROTECH",PR!$AC537,IF(H539="ISN",PR!$AD537,IF(H539="JAWA",PR!$AE537,IF(H539="LAYO",PR!$AF537,IF(H539="LEADWAY",PR!$AG537,IF(H539="LHV",PR!$AH537,IF(H539="MANOLA",PR!$AI537,IF(H539="MARCSON",PR!$AJ537,IF(H539="M&amp;B",PR!$AK537,IF(H539="MTRUST",PR!$AL537,IF(H539="MWORLD",PR!$AM537,IF(H539="MEGA",PR!$AN537,IF(H539="MICRONOVA",PR!$AO537,IF(H539="MFLASH",PR!$AP537,IF(H539="MORISON",PR!$AQ537,IF(H539="NEMEL",PR!$AR537,IF(H539="NHP",PR!$AS537,IF(H539="NHC",PR!$AT537,IF(H539="OLEAF",PR!$AU537,IF(H539="OCULUS",PR!$AV537,IF(H539="PACIFIC",PR!$AW537,IF(H539="PHAMATEX",PR!$AX537,IF(H539="PETHICS",PR!$AY537,IF(H539="PHILIPS",PR!$AZ537,IF(H539="RANBAXY",PR!$BA537,IF(H539="REALS",PR!$BB537,IF(H539="ROYAL",PR!$BC537,IF(H539="SAM",PR!$BD537,IF(H539="SEAGREEN",PR!$BE537,IF(H539="SKG",PR!$BF537,IF(H539="TAH",PR!$BG537,IF(H539="TAYLEK",PR!$BH537,IF(H539="TEMITA",PR!$BI537,IF(H539="THL",PR!$BJ537,IF(H539="UBASTIC",PR!$BK537,IF(H539="UNION",PR!$BL537,IF(H539="UNIQUE",PR!$BM537,IF(H539="VIXA",PR!$BN537,IF(H539="WWCV",PR!$BO537,IF(H539="ZOLON",PR!$BP537,"-"))))))))))))))))))))))))))))))))))))))))))))))))))))))))))))))))</f>
        <v>496</v>
      </c>
      <c r="H539" s="102" t="str">
        <f>EV!M694</f>
        <v>PHAMATEX</v>
      </c>
      <c r="I539" s="108">
        <f>IF(J539="ALPHA",PR!$E537,IF(J539="ASSENE",PR!$F537,IF(J539="BIOFEM",PR!$G537,IF(J539="BIOMED",PR!$H537,IF(J539="CHI",PR!$I537,IF(J539="CLARION",PR!$J537,IF(J539="CODIX",PR!$K537,IF(J539="COSMADE",PR!$L537,IF(J539="SANCON",PR!$M537,IF(J539="DEVON",PR!$N537,IF(J539="DORTEMAG",PR!$O537,IF(J539="DGF",PR!$P537,IF(J539="DYNAMIC",PR!$Q537,IF(J539="EMZOR",PR!$R537,IF(J539="EUMATT",PR!$S537,IF(J539="FIDSON",PR!$T537,IF(J539="FCGLOBAL",PR!$U537,IF(J539="GENEITH",PR!$V537,IF(J539="GINOS",PR!$W537,IF(J539="GSK",PR!$X537,IF(J539="GLOBORG",PR!$Y537,IF(J539="GOODNEWS",PR!$Z537,IF(J539="GREENLIFE",PR!$AA537,IF(J539="HLINE",PR!$AB537,IF(J539="ROTECH",PR!$AC537,IF(J539="ISN",PR!$AD537,IF(J539="JAWA",PR!$AE537,IF(J539="LAYO",PR!$AF537,IF(J539="LEADWAY",PR!$AG537,IF(J539="LHV",PR!$AH537,IF(J539="MANOLA",PR!$AI537,IF(J539="MARCSON",PR!$AJ537,IF(J539="M&amp;B",PR!$AK537,IF(J539="MTRUST",PR!$AL537,IF(J539="MWORLD",PR!$AM537,IF(J539="MEGA",PR!$AN537,IF(J539="MICRONOVA",PR!$AO537,IF(J539="MFLASH",PR!$AP537,IF(J539="MORISON",PR!$AQ537,IF(J539="NEMEL",PR!$AR537,IF(J539="NHP",PR!$AS537,IF(J539="NHC",PR!$AT537,IF(J539="OLEAF",PR!$AU537,IF(J539="OCULUS",PR!$AV537,IF(J539="PACIFIC",PR!$AW537,IF(J539="PHAMATEX",PR!$AX537,IF(J539="PETHICS",PR!$AY537,IF(J539="PHILIPS",PR!$AZ537,IF(J539="RANBAXY",PR!$BA537,IF(J539="REALS",PR!$BB537,IF(J539="ROYAL",PR!$BC537,IF(J539="SAM",PR!$BD537,IF(J539="SEAGREEN",PR!$BE537,IF(J539="SKG",PR!$BF537,IF(J539="TAH",PR!$BG537,IF(J539="TAYLEK",PR!$BH537,IF(J539="TEMITA",PR!$BI537,IF(J539="THL",PR!$BJ537,IF(J539="UBASTIC",PR!$BK537,IF(J539="UNION",PR!$BL537,IF(J539="UNIQUE",PR!$BM537,IF(J539="VIXA",PR!$BN537,IF(J539="WWCV",PR!$BO537,IF(J539="ZOLON",PR!$BP537,"-"))))))))))))))))))))))))))))))))))))))))))))))))))))))))))))))))</f>
        <v>750</v>
      </c>
      <c r="J539" s="102" t="str">
        <f>EV!N694</f>
        <v>EUMATT</v>
      </c>
      <c r="K539" s="433" t="s">
        <v>627</v>
      </c>
      <c r="L539" s="183">
        <f>IF(K539&gt;0,IF(K539="ALPHA",PR!$E537,IF(K539="ASSENE",PR!$F537,IF(K539="BIOFEM",PR!$G537,IF(K539="BIOMED",PR!$H537,IF(K539="CHI",PR!$I537,IF(K539="CLARION",PR!$J537,IF(K539="CODIX",PR!$K537,IF(K539="COSMADE",PR!$L537,IF(K539="SANCON",PR!$M537,IF(K539="DEVON",PR!$N537,IF(K539="DORTEMAG",PR!$O537,IF(K539="DGF",PR!$P537,IF(K539="DYNAMIC",PR!$Q537,IF(K539="EMZOR",PR!$R537,IF(K539="EUMATT",PR!$S537,IF(K539="FIDSON",PR!$T537,IF(K539="FCGLOBAL",PR!$U537,IF(K539="GENEITH",PR!$V537,IF(K539="GINOS",PR!$W537,IF(K539="GSK",PR!$X537,IF(K539="GLOBORG",PR!$Y537,IF(K539="GOODNEWS",PR!$Z537,IF(K539="GREENLIFE",PR!$AA537,IF(K539="HLINE",PR!$AB537,IF(K539="ROTECH",PR!$AC537,IF(K539="ISN",PR!$AD537,IF(K539="JAWA",PR!$AE537,IF(K539="LAYO",PR!$AF537,IF(K539="LEADWAY",PR!$AG537,IF(K539="LHV",PR!$AH537,IF(K539="MANOLA",PR!$AI537,IF(K539="MARCSON",PR!$AJ537,IF(K539="M&amp;B",PR!$AK537,IF(K539="MTRUST",PR!$AL537,IF(K539="MWORLD",PR!$AM537,IF(K539="MEGA",PR!$AN537,IF(K539="MICRONOVA",PR!$AO537,IF(K539="MFLASH",PR!$AP537,IF(K539="MORISON",PR!$AQ537,IF(K539="NEMEL",PR!$AR537,IF(K539="NHP",PR!$AS537,IF(K539="NHC",PR!$AT537,IF(K539="OLEAF",PR!$AU537,IF(K539="OCULUS",PR!$AV537,IF(K539="PACIFIC",PR!$AW537,IF(K539="PHAMATEX",PR!$AX537,IF(K539="PETHICS",PR!$AY537,IF(K539="PHILIPS",PR!$AZ537,IF(K539="RANBAXY",PR!$BA537,IF(K539="REALS",PR!$BB537,IF(K539="ROYAL",PR!$BC537,IF(K539="SAM",PR!$BD537,IF(K539="SEAGREEN",PR!$BE537,IF(K539="SKG",PR!$BF537,IF(K539="TAH",PR!$BG537,IF(K539="TAYLEK",PR!$BH537,IF(K539="TEMITA",PR!$BI537,IF(K539="THL",PR!$BJ537,IF(K539="UBASTIC",PR!$BK537,IF(K539="UNION",PR!$BL537,IF(K539="UNIQUE",PR!$BM537,IF(K539="VIXA",PR!$BN537,IF(K539="WWCV",PR!$BO537,IF(K539="ZOLON",PR!$BP537,"-")))))))))))))))))))))))))))))))))))))))))))))))))))))))))))))))))</f>
        <v>496</v>
      </c>
    </row>
    <row r="540" spans="1:12" ht="18.75" x14ac:dyDescent="0.3">
      <c r="A540" s="430">
        <f>PR!A538</f>
        <v>486</v>
      </c>
      <c r="B540" s="15" t="str">
        <f>PR!B538</f>
        <v>LORATIDINE 10MG TAB</v>
      </c>
      <c r="C540" s="113">
        <f>PR!D538</f>
        <v>100</v>
      </c>
      <c r="D540" s="113">
        <f>PR!C538</f>
        <v>400</v>
      </c>
      <c r="E540" s="108">
        <f>IF(F540="ALPHA",PR!$E538,IF(F540="ASSENE",PR!$F538,IF(F540="BIOFEM",PR!$G538,IF(F540="BIOMED",PR!$H538,IF(F540="CHI",PR!$I538,IF(F540="CLARION",PR!$J538,IF(F540="CODIX",PR!$K538,IF(F540="COSMADE",PR!$L538,IF(F540="SANCON",PR!$M538,IF(F540="DEVON",PR!$N538,IF(F540="DORTEMAG",PR!$O538,IF(F540="DGF",PR!$P538,IF(F540="DYNAMIC",PR!$Q538,IF(F540="EMZOR",PR!$R538,IF(F540="EUMATT",PR!$S538,IF(F540="FIDSON",PR!$T538,IF(F540="FCGLOBAL",PR!$U538,IF(F540="GENEITH",PR!$V538,IF(F540="GINOS",PR!$W538,IF(F540="GSK",PR!$X538,IF(F540="GLOBORG",PR!$Y538,IF(F540="GOODNEWS",PR!$Z538,IF(F540="GREENLIFE",PR!$AA538,IF(F540="HLINE",PR!$AB538,IF(F540="ROTECH",PR!$AC538,IF(F540="ISN",PR!$AD538,IF(F540="JAWA",PR!$AE538,IF(F540="LAYO",PR!$AF538,IF(F540="LEADWAY",PR!$AG538,IF(F540="LHV",PR!$AH538,IF(F540="MANOLA",PR!$AI538,IF(F540="MARCSON",PR!$AJ538,IF(F540="M&amp;B",PR!$AK538,IF(F540="MTRUST",PR!$AL538,IF(F540="MWORLD",PR!$AM538,IF(F540="MEGA",PR!$AN538,IF(F540="MICRONOVA",PR!$AO538,IF(F540="MFLASH",PR!$AP538,IF(F540="MORISON",PR!$AQ538,IF(F540="NEMEL",PR!$AR538,IF(F540="NHP",PR!$AS538,IF(F540="NHC",PR!$AT538,IF(F540="OLEAF",PR!$AU538,IF(F540="OCULUS",PR!$AV538,IF(F540="PACIFIC",PR!$AW538,IF(F540="PHAMATEX",PR!$AX538,IF(F540="PETHICS",PR!$AY538,IF(F540="PHILIPS",PR!$AZ538,IF(F540="RANBAXY",PR!$BA538,IF(F540="REALS",PR!$BB538,IF(F540="ROYAL",PR!$BC538,IF(F540="SAM",PR!$BD538,IF(F540="SEAGREEN",PR!$BE538,IF(F540="SKG",PR!$BF538,IF(F540="TAH",PR!$BG538,IF(F540="TAYLEK",PR!$BH538,IF(F540="TEMITA",PR!$BI538,IF(F540="THL",PR!$BJ538,IF(F540="UBASTIC",PR!$BK538,IF(F540="UNION",PR!$BL538,IF(F540="UNIQUE",PR!$BM538,IF(F540="VIXA",PR!$BN538,IF(F540="WWCV",PR!$BO538,IF(F540="ZOLON",PR!$BP538,"-"))))))))))))))))))))))))))))))))))))))))))))))))))))))))))))))))</f>
        <v>600</v>
      </c>
      <c r="F540" s="102" t="str">
        <f>EV!L695</f>
        <v>EUMATT</v>
      </c>
      <c r="G540" s="108">
        <f>IF(H540="ALPHA",PR!$E538,IF(H540="ASSENE",PR!$F538,IF(H540="BIOFEM",PR!$G538,IF(H540="BIOMED",PR!$H538,IF(H540="CHI",PR!$I538,IF(H540="CLARION",PR!$J538,IF(H540="CODIX",PR!$K538,IF(H540="COSMADE",PR!$L538,IF(H540="SANCON",PR!$M538,IF(H540="DEVON",PR!$N538,IF(H540="DORTEMAG",PR!$O538,IF(H540="DGF",PR!$P538,IF(H540="DYNAMIC",PR!$Q538,IF(H540="EMZOR",PR!$R538,IF(H540="EUMATT",PR!$S538,IF(H540="FIDSON",PR!$T538,IF(H540="FCGLOBAL",PR!$U538,IF(H540="GENEITH",PR!$V538,IF(H540="GINOS",PR!$W538,IF(H540="GSK",PR!$X538,IF(H540="GLOBORG",PR!$Y538,IF(H540="GOODNEWS",PR!$Z538,IF(H540="GREENLIFE",PR!$AA538,IF(H540="HLINE",PR!$AB538,IF(H540="ROTECH",PR!$AC538,IF(H540="ISN",PR!$AD538,IF(H540="JAWA",PR!$AE538,IF(H540="LAYO",PR!$AF538,IF(H540="LEADWAY",PR!$AG538,IF(H540="LHV",PR!$AH538,IF(H540="MANOLA",PR!$AI538,IF(H540="MARCSON",PR!$AJ538,IF(H540="M&amp;B",PR!$AK538,IF(H540="MTRUST",PR!$AL538,IF(H540="MWORLD",PR!$AM538,IF(H540="MEGA",PR!$AN538,IF(H540="MICRONOVA",PR!$AO538,IF(H540="MFLASH",PR!$AP538,IF(H540="MORISON",PR!$AQ538,IF(H540="NEMEL",PR!$AR538,IF(H540="NHP",PR!$AS538,IF(H540="NHC",PR!$AT538,IF(H540="OLEAF",PR!$AU538,IF(H540="OCULUS",PR!$AV538,IF(H540="PACIFIC",PR!$AW538,IF(H540="PHAMATEX",PR!$AX538,IF(H540="PETHICS",PR!$AY538,IF(H540="PHILIPS",PR!$AZ538,IF(H540="RANBAXY",PR!$BA538,IF(H540="REALS",PR!$BB538,IF(H540="ROYAL",PR!$BC538,IF(H540="SAM",PR!$BD538,IF(H540="SEAGREEN",PR!$BE538,IF(H540="SKG",PR!$BF538,IF(H540="TAH",PR!$BG538,IF(H540="TAYLEK",PR!$BH538,IF(H540="TEMITA",PR!$BI538,IF(H540="THL",PR!$BJ538,IF(H540="UBASTIC",PR!$BK538,IF(H540="UNION",PR!$BL538,IF(H540="UNIQUE",PR!$BM538,IF(H540="VIXA",PR!$BN538,IF(H540="WWCV",PR!$BO538,IF(H540="ZOLON",PR!$BP538,"-"))))))))))))))))))))))))))))))))))))))))))))))))))))))))))))))))</f>
        <v>680</v>
      </c>
      <c r="H540" s="102" t="str">
        <f>EV!M695</f>
        <v>VIXA</v>
      </c>
      <c r="I540" s="108" t="str">
        <f>IF(J540="ALPHA",PR!$E538,IF(J540="ASSENE",PR!$F538,IF(J540="BIOFEM",PR!$G538,IF(J540="BIOMED",PR!$H538,IF(J540="CHI",PR!$I538,IF(J540="CLARION",PR!$J538,IF(J540="CODIX",PR!$K538,IF(J540="COSMADE",PR!$L538,IF(J540="SANCON",PR!$M538,IF(J540="DEVON",PR!$N538,IF(J540="DORTEMAG",PR!$O538,IF(J540="DGF",PR!$P538,IF(J540="DYNAMIC",PR!$Q538,IF(J540="EMZOR",PR!$R538,IF(J540="EUMATT",PR!$S538,IF(J540="FIDSON",PR!$T538,IF(J540="FCGLOBAL",PR!$U538,IF(J540="GENEITH",PR!$V538,IF(J540="GINOS",PR!$W538,IF(J540="GSK",PR!$X538,IF(J540="GLOBORG",PR!$Y538,IF(J540="GOODNEWS",PR!$Z538,IF(J540="GREENLIFE",PR!$AA538,IF(J540="HLINE",PR!$AB538,IF(J540="ROTECH",PR!$AC538,IF(J540="ISN",PR!$AD538,IF(J540="JAWA",PR!$AE538,IF(J540="LAYO",PR!$AF538,IF(J540="LEADWAY",PR!$AG538,IF(J540="LHV",PR!$AH538,IF(J540="MANOLA",PR!$AI538,IF(J540="MARCSON",PR!$AJ538,IF(J540="M&amp;B",PR!$AK538,IF(J540="MTRUST",PR!$AL538,IF(J540="MWORLD",PR!$AM538,IF(J540="MEGA",PR!$AN538,IF(J540="MICRONOVA",PR!$AO538,IF(J540="MFLASH",PR!$AP538,IF(J540="MORISON",PR!$AQ538,IF(J540="NEMEL",PR!$AR538,IF(J540="NHP",PR!$AS538,IF(J540="NHC",PR!$AT538,IF(J540="OLEAF",PR!$AU538,IF(J540="OCULUS",PR!$AV538,IF(J540="PACIFIC",PR!$AW538,IF(J540="PHAMATEX",PR!$AX538,IF(J540="PETHICS",PR!$AY538,IF(J540="PHILIPS",PR!$AZ538,IF(J540="RANBAXY",PR!$BA538,IF(J540="REALS",PR!$BB538,IF(J540="ROYAL",PR!$BC538,IF(J540="SAM",PR!$BD538,IF(J540="SEAGREEN",PR!$BE538,IF(J540="SKG",PR!$BF538,IF(J540="TAH",PR!$BG538,IF(J540="TAYLEK",PR!$BH538,IF(J540="TEMITA",PR!$BI538,IF(J540="THL",PR!$BJ538,IF(J540="UBASTIC",PR!$BK538,IF(J540="UNION",PR!$BL538,IF(J540="UNIQUE",PR!$BM538,IF(J540="VIXA",PR!$BN538,IF(J540="WWCV",PR!$BO538,IF(J540="ZOLON",PR!$BP538,"-"))))))))))))))))))))))))))))))))))))))))))))))))))))))))))))))))</f>
        <v>-</v>
      </c>
      <c r="J540" s="102">
        <f>EV!N695</f>
        <v>0</v>
      </c>
      <c r="K540" s="433"/>
      <c r="L540" s="183" t="b">
        <f>IF(K540&gt;0,IF(K540="ALPHA",PR!$E538,IF(K540="ASSENE",PR!$F538,IF(K540="BIOFEM",PR!$G538,IF(K540="BIOMED",PR!$H538,IF(K540="CHI",PR!$I538,IF(K540="CLARION",PR!$J538,IF(K540="CODIX",PR!$K538,IF(K540="COSMADE",PR!$L538,IF(K540="SANCON",PR!$M538,IF(K540="DEVON",PR!$N538,IF(K540="DORTEMAG",PR!$O538,IF(K540="DGF",PR!$P538,IF(K540="DYNAMIC",PR!$Q538,IF(K540="EMZOR",PR!$R538,IF(K540="EUMATT",PR!$S538,IF(K540="FIDSON",PR!$T538,IF(K540="FCGLOBAL",PR!$U538,IF(K540="GENEITH",PR!$V538,IF(K540="GINOS",PR!$W538,IF(K540="GSK",PR!$X538,IF(K540="GLOBORG",PR!$Y538,IF(K540="GOODNEWS",PR!$Z538,IF(K540="GREENLIFE",PR!$AA538,IF(K540="HLINE",PR!$AB538,IF(K540="ROTECH",PR!$AC538,IF(K540="ISN",PR!$AD538,IF(K540="JAWA",PR!$AE538,IF(K540="LAYO",PR!$AF538,IF(K540="LEADWAY",PR!$AG538,IF(K540="LHV",PR!$AH538,IF(K540="MANOLA",PR!$AI538,IF(K540="MARCSON",PR!$AJ538,IF(K540="M&amp;B",PR!$AK538,IF(K540="MTRUST",PR!$AL538,IF(K540="MWORLD",PR!$AM538,IF(K540="MEGA",PR!$AN538,IF(K540="MICRONOVA",PR!$AO538,IF(K540="MFLASH",PR!$AP538,IF(K540="MORISON",PR!$AQ538,IF(K540="NEMEL",PR!$AR538,IF(K540="NHP",PR!$AS538,IF(K540="NHC",PR!$AT538,IF(K540="OLEAF",PR!$AU538,IF(K540="OCULUS",PR!$AV538,IF(K540="PACIFIC",PR!$AW538,IF(K540="PHAMATEX",PR!$AX538,IF(K540="PETHICS",PR!$AY538,IF(K540="PHILIPS",PR!$AZ538,IF(K540="RANBAXY",PR!$BA538,IF(K540="REALS",PR!$BB538,IF(K540="ROYAL",PR!$BC538,IF(K540="SAM",PR!$BD538,IF(K540="SEAGREEN",PR!$BE538,IF(K540="SKG",PR!$BF538,IF(K540="TAH",PR!$BG538,IF(K540="TAYLEK",PR!$BH538,IF(K540="TEMITA",PR!$BI538,IF(K540="THL",PR!$BJ538,IF(K540="UBASTIC",PR!$BK538,IF(K540="UNION",PR!$BL538,IF(K540="UNIQUE",PR!$BM538,IF(K540="VIXA",PR!$BN538,IF(K540="WWCV",PR!$BO538,IF(K540="ZOLON",PR!$BP538,"-")))))))))))))))))))))))))))))))))))))))))))))))))))))))))))))))))</f>
        <v>0</v>
      </c>
    </row>
    <row r="541" spans="1:12" ht="18.75" x14ac:dyDescent="0.3">
      <c r="A541" s="430">
        <f>PR!A539</f>
        <v>487</v>
      </c>
      <c r="B541" s="15" t="str">
        <f>PR!B539</f>
        <v>LORATIDINE 5MG/5ML SYRUP</v>
      </c>
      <c r="C541" s="113" t="str">
        <f>PR!D539</f>
        <v>BOTT</v>
      </c>
      <c r="D541" s="113">
        <f>PR!C539</f>
        <v>120</v>
      </c>
      <c r="E541" s="108">
        <f>IF(F541="ALPHA",PR!$E539,IF(F541="ASSENE",PR!$F539,IF(F541="BIOFEM",PR!$G539,IF(F541="BIOMED",PR!$H539,IF(F541="CHI",PR!$I539,IF(F541="CLARION",PR!$J539,IF(F541="CODIX",PR!$K539,IF(F541="COSMADE",PR!$L539,IF(F541="SANCON",PR!$M539,IF(F541="DEVON",PR!$N539,IF(F541="DORTEMAG",PR!$O539,IF(F541="DGF",PR!$P539,IF(F541="DYNAMIC",PR!$Q539,IF(F541="EMZOR",PR!$R539,IF(F541="EUMATT",PR!$S539,IF(F541="FIDSON",PR!$T539,IF(F541="FCGLOBAL",PR!$U539,IF(F541="GENEITH",PR!$V539,IF(F541="GINOS",PR!$W539,IF(F541="GSK",PR!$X539,IF(F541="GLOBORG",PR!$Y539,IF(F541="GOODNEWS",PR!$Z539,IF(F541="GREENLIFE",PR!$AA539,IF(F541="HLINE",PR!$AB539,IF(F541="ROTECH",PR!$AC539,IF(F541="ISN",PR!$AD539,IF(F541="JAWA",PR!$AE539,IF(F541="LAYO",PR!$AF539,IF(F541="LEADWAY",PR!$AG539,IF(F541="LHV",PR!$AH539,IF(F541="MANOLA",PR!$AI539,IF(F541="MARCSON",PR!$AJ539,IF(F541="M&amp;B",PR!$AK539,IF(F541="MTRUST",PR!$AL539,IF(F541="MWORLD",PR!$AM539,IF(F541="MEGA",PR!$AN539,IF(F541="MICRONOVA",PR!$AO539,IF(F541="MFLASH",PR!$AP539,IF(F541="MORISON",PR!$AQ539,IF(F541="NEMEL",PR!$AR539,IF(F541="NHP",PR!$AS539,IF(F541="NHC",PR!$AT539,IF(F541="OLEAF",PR!$AU539,IF(F541="OCULUS",PR!$AV539,IF(F541="PACIFIC",PR!$AW539,IF(F541="PHAMATEX",PR!$AX539,IF(F541="PETHICS",PR!$AY539,IF(F541="PHILIPS",PR!$AZ539,IF(F541="RANBAXY",PR!$BA539,IF(F541="REALS",PR!$BB539,IF(F541="ROYAL",PR!$BC539,IF(F541="SAM",PR!$BD539,IF(F541="SEAGREEN",PR!$BE539,IF(F541="SKG",PR!$BF539,IF(F541="TAH",PR!$BG539,IF(F541="TAYLEK",PR!$BH539,IF(F541="TEMITA",PR!$BI539,IF(F541="THL",PR!$BJ539,IF(F541="UBASTIC",PR!$BK539,IF(F541="UNION",PR!$BL539,IF(F541="UNIQUE",PR!$BM539,IF(F541="VIXA",PR!$BN539,IF(F541="WWCV",PR!$BO539,IF(F541="ZOLON",PR!$BP539,"-"))))))))))))))))))))))))))))))))))))))))))))))))))))))))))))))))</f>
        <v>450</v>
      </c>
      <c r="F541" s="102" t="str">
        <f>EV!L696</f>
        <v>EUMATT</v>
      </c>
      <c r="G541" s="108" t="str">
        <f>IF(H541="ALPHA",PR!$E539,IF(H541="ASSENE",PR!$F539,IF(H541="BIOFEM",PR!$G539,IF(H541="BIOMED",PR!$H539,IF(H541="CHI",PR!$I539,IF(H541="CLARION",PR!$J539,IF(H541="CODIX",PR!$K539,IF(H541="COSMADE",PR!$L539,IF(H541="SANCON",PR!$M539,IF(H541="DEVON",PR!$N539,IF(H541="DORTEMAG",PR!$O539,IF(H541="DGF",PR!$P539,IF(H541="DYNAMIC",PR!$Q539,IF(H541="EMZOR",PR!$R539,IF(H541="EUMATT",PR!$S539,IF(H541="FIDSON",PR!$T539,IF(H541="FCGLOBAL",PR!$U539,IF(H541="GENEITH",PR!$V539,IF(H541="GINOS",PR!$W539,IF(H541="GSK",PR!$X539,IF(H541="GLOBORG",PR!$Y539,IF(H541="GOODNEWS",PR!$Z539,IF(H541="GREENLIFE",PR!$AA539,IF(H541="HLINE",PR!$AB539,IF(H541="ROTECH",PR!$AC539,IF(H541="ISN",PR!$AD539,IF(H541="JAWA",PR!$AE539,IF(H541="LAYO",PR!$AF539,IF(H541="LEADWAY",PR!$AG539,IF(H541="LHV",PR!$AH539,IF(H541="MANOLA",PR!$AI539,IF(H541="MARCSON",PR!$AJ539,IF(H541="M&amp;B",PR!$AK539,IF(H541="MTRUST",PR!$AL539,IF(H541="MWORLD",PR!$AM539,IF(H541="MEGA",PR!$AN539,IF(H541="MICRONOVA",PR!$AO539,IF(H541="MFLASH",PR!$AP539,IF(H541="MORISON",PR!$AQ539,IF(H541="NEMEL",PR!$AR539,IF(H541="NHP",PR!$AS539,IF(H541="NHC",PR!$AT539,IF(H541="OLEAF",PR!$AU539,IF(H541="OCULUS",PR!$AV539,IF(H541="PACIFIC",PR!$AW539,IF(H541="PHAMATEX",PR!$AX539,IF(H541="PETHICS",PR!$AY539,IF(H541="PHILIPS",PR!$AZ539,IF(H541="RANBAXY",PR!$BA539,IF(H541="REALS",PR!$BB539,IF(H541="ROYAL",PR!$BC539,IF(H541="SAM",PR!$BD539,IF(H541="SEAGREEN",PR!$BE539,IF(H541="SKG",PR!$BF539,IF(H541="TAH",PR!$BG539,IF(H541="TAYLEK",PR!$BH539,IF(H541="TEMITA",PR!$BI539,IF(H541="THL",PR!$BJ539,IF(H541="UBASTIC",PR!$BK539,IF(H541="UNION",PR!$BL539,IF(H541="UNIQUE",PR!$BM539,IF(H541="VIXA",PR!$BN539,IF(H541="WWCV",PR!$BO539,IF(H541="ZOLON",PR!$BP539,"-"))))))))))))))))))))))))))))))))))))))))))))))))))))))))))))))))</f>
        <v>-</v>
      </c>
      <c r="H541" s="102">
        <f>EV!M696</f>
        <v>0</v>
      </c>
      <c r="I541" s="108" t="str">
        <f>IF(J541="ALPHA",PR!$E539,IF(J541="ASSENE",PR!$F539,IF(J541="BIOFEM",PR!$G539,IF(J541="BIOMED",PR!$H539,IF(J541="CHI",PR!$I539,IF(J541="CLARION",PR!$J539,IF(J541="CODIX",PR!$K539,IF(J541="COSMADE",PR!$L539,IF(J541="SANCON",PR!$M539,IF(J541="DEVON",PR!$N539,IF(J541="DORTEMAG",PR!$O539,IF(J541="DGF",PR!$P539,IF(J541="DYNAMIC",PR!$Q539,IF(J541="EMZOR",PR!$R539,IF(J541="EUMATT",PR!$S539,IF(J541="FIDSON",PR!$T539,IF(J541="FCGLOBAL",PR!$U539,IF(J541="GENEITH",PR!$V539,IF(J541="GINOS",PR!$W539,IF(J541="GSK",PR!$X539,IF(J541="GLOBORG",PR!$Y539,IF(J541="GOODNEWS",PR!$Z539,IF(J541="GREENLIFE",PR!$AA539,IF(J541="HLINE",PR!$AB539,IF(J541="ROTECH",PR!$AC539,IF(J541="ISN",PR!$AD539,IF(J541="JAWA",PR!$AE539,IF(J541="LAYO",PR!$AF539,IF(J541="LEADWAY",PR!$AG539,IF(J541="LHV",PR!$AH539,IF(J541="MANOLA",PR!$AI539,IF(J541="MARCSON",PR!$AJ539,IF(J541="M&amp;B",PR!$AK539,IF(J541="MTRUST",PR!$AL539,IF(J541="MWORLD",PR!$AM539,IF(J541="MEGA",PR!$AN539,IF(J541="MICRONOVA",PR!$AO539,IF(J541="MFLASH",PR!$AP539,IF(J541="MORISON",PR!$AQ539,IF(J541="NEMEL",PR!$AR539,IF(J541="NHP",PR!$AS539,IF(J541="NHC",PR!$AT539,IF(J541="OLEAF",PR!$AU539,IF(J541="OCULUS",PR!$AV539,IF(J541="PACIFIC",PR!$AW539,IF(J541="PHAMATEX",PR!$AX539,IF(J541="PETHICS",PR!$AY539,IF(J541="PHILIPS",PR!$AZ539,IF(J541="RANBAXY",PR!$BA539,IF(J541="REALS",PR!$BB539,IF(J541="ROYAL",PR!$BC539,IF(J541="SAM",PR!$BD539,IF(J541="SEAGREEN",PR!$BE539,IF(J541="SKG",PR!$BF539,IF(J541="TAH",PR!$BG539,IF(J541="TAYLEK",PR!$BH539,IF(J541="TEMITA",PR!$BI539,IF(J541="THL",PR!$BJ539,IF(J541="UBASTIC",PR!$BK539,IF(J541="UNION",PR!$BL539,IF(J541="UNIQUE",PR!$BM539,IF(J541="VIXA",PR!$BN539,IF(J541="WWCV",PR!$BO539,IF(J541="ZOLON",PR!$BP539,"-"))))))))))))))))))))))))))))))))))))))))))))))))))))))))))))))))</f>
        <v>-</v>
      </c>
      <c r="J541" s="102">
        <f>EV!N696</f>
        <v>0</v>
      </c>
      <c r="K541" s="433"/>
      <c r="L541" s="183" t="b">
        <f>IF(K541&gt;0,IF(K541="ALPHA",PR!$E539,IF(K541="ASSENE",PR!$F539,IF(K541="BIOFEM",PR!$G539,IF(K541="BIOMED",PR!$H539,IF(K541="CHI",PR!$I539,IF(K541="CLARION",PR!$J539,IF(K541="CODIX",PR!$K539,IF(K541="COSMADE",PR!$L539,IF(K541="SANCON",PR!$M539,IF(K541="DEVON",PR!$N539,IF(K541="DORTEMAG",PR!$O539,IF(K541="DGF",PR!$P539,IF(K541="DYNAMIC",PR!$Q539,IF(K541="EMZOR",PR!$R539,IF(K541="EUMATT",PR!$S539,IF(K541="FIDSON",PR!$T539,IF(K541="FCGLOBAL",PR!$U539,IF(K541="GENEITH",PR!$V539,IF(K541="GINOS",PR!$W539,IF(K541="GSK",PR!$X539,IF(K541="GLOBORG",PR!$Y539,IF(K541="GOODNEWS",PR!$Z539,IF(K541="GREENLIFE",PR!$AA539,IF(K541="HLINE",PR!$AB539,IF(K541="ROTECH",PR!$AC539,IF(K541="ISN",PR!$AD539,IF(K541="JAWA",PR!$AE539,IF(K541="LAYO",PR!$AF539,IF(K541="LEADWAY",PR!$AG539,IF(K541="LHV",PR!$AH539,IF(K541="MANOLA",PR!$AI539,IF(K541="MARCSON",PR!$AJ539,IF(K541="M&amp;B",PR!$AK539,IF(K541="MTRUST",PR!$AL539,IF(K541="MWORLD",PR!$AM539,IF(K541="MEGA",PR!$AN539,IF(K541="MICRONOVA",PR!$AO539,IF(K541="MFLASH",PR!$AP539,IF(K541="MORISON",PR!$AQ539,IF(K541="NEMEL",PR!$AR539,IF(K541="NHP",PR!$AS539,IF(K541="NHC",PR!$AT539,IF(K541="OLEAF",PR!$AU539,IF(K541="OCULUS",PR!$AV539,IF(K541="PACIFIC",PR!$AW539,IF(K541="PHAMATEX",PR!$AX539,IF(K541="PETHICS",PR!$AY539,IF(K541="PHILIPS",PR!$AZ539,IF(K541="RANBAXY",PR!$BA539,IF(K541="REALS",PR!$BB539,IF(K541="ROYAL",PR!$BC539,IF(K541="SAM",PR!$BD539,IF(K541="SEAGREEN",PR!$BE539,IF(K541="SKG",PR!$BF539,IF(K541="TAH",PR!$BG539,IF(K541="TAYLEK",PR!$BH539,IF(K541="TEMITA",PR!$BI539,IF(K541="THL",PR!$BJ539,IF(K541="UBASTIC",PR!$BK539,IF(K541="UNION",PR!$BL539,IF(K541="UNIQUE",PR!$BM539,IF(K541="VIXA",PR!$BN539,IF(K541="WWCV",PR!$BO539,IF(K541="ZOLON",PR!$BP539,"-")))))))))))))))))))))))))))))))))))))))))))))))))))))))))))))))))</f>
        <v>0</v>
      </c>
    </row>
    <row r="542" spans="1:12" ht="18.75" x14ac:dyDescent="0.3">
      <c r="A542" s="430">
        <f>PR!A540</f>
        <v>488</v>
      </c>
      <c r="B542" s="15" t="str">
        <f>PR!B540</f>
        <v>MONTELUKAST 10MG/LEVOCETIRIZIN 5MG</v>
      </c>
      <c r="C542" s="113">
        <f>PR!D540</f>
        <v>30</v>
      </c>
      <c r="D542" s="113">
        <f>PR!C540</f>
        <v>40</v>
      </c>
      <c r="E542" s="108">
        <f>IF(F542="ALPHA",PR!$E540,IF(F542="ASSENE",PR!$F540,IF(F542="BIOFEM",PR!$G540,IF(F542="BIOMED",PR!$H540,IF(F542="CHI",PR!$I540,IF(F542="CLARION",PR!$J540,IF(F542="CODIX",PR!$K540,IF(F542="COSMADE",PR!$L540,IF(F542="SANCON",PR!$M540,IF(F542="DEVON",PR!$N540,IF(F542="DORTEMAG",PR!$O540,IF(F542="DGF",PR!$P540,IF(F542="DYNAMIC",PR!$Q540,IF(F542="EMZOR",PR!$R540,IF(F542="EUMATT",PR!$S540,IF(F542="FIDSON",PR!$T540,IF(F542="FCGLOBAL",PR!$U540,IF(F542="GENEITH",PR!$V540,IF(F542="GINOS",PR!$W540,IF(F542="GSK",PR!$X540,IF(F542="GLOBORG",PR!$Y540,IF(F542="GOODNEWS",PR!$Z540,IF(F542="GREENLIFE",PR!$AA540,IF(F542="HLINE",PR!$AB540,IF(F542="ROTECH",PR!$AC540,IF(F542="ISN",PR!$AD540,IF(F542="JAWA",PR!$AE540,IF(F542="LAYO",PR!$AF540,IF(F542="LEADWAY",PR!$AG540,IF(F542="LHV",PR!$AH540,IF(F542="MANOLA",PR!$AI540,IF(F542="MARCSON",PR!$AJ540,IF(F542="M&amp;B",PR!$AK540,IF(F542="MTRUST",PR!$AL540,IF(F542="MWORLD",PR!$AM540,IF(F542="MEGA",PR!$AN540,IF(F542="MICRONOVA",PR!$AO540,IF(F542="MFLASH",PR!$AP540,IF(F542="MORISON",PR!$AQ540,IF(F542="NEMEL",PR!$AR540,IF(F542="NHP",PR!$AS540,IF(F542="NHC",PR!$AT540,IF(F542="OLEAF",PR!$AU540,IF(F542="OCULUS",PR!$AV540,IF(F542="PACIFIC",PR!$AW540,IF(F542="PHAMATEX",PR!$AX540,IF(F542="PETHICS",PR!$AY540,IF(F542="PHILIPS",PR!$AZ540,IF(F542="RANBAXY",PR!$BA540,IF(F542="REALS",PR!$BB540,IF(F542="ROYAL",PR!$BC540,IF(F542="SAM",PR!$BD540,IF(F542="SEAGREEN",PR!$BE540,IF(F542="SKG",PR!$BF540,IF(F542="TAH",PR!$BG540,IF(F542="TAYLEK",PR!$BH540,IF(F542="TEMITA",PR!$BI540,IF(F542="THL",PR!$BJ540,IF(F542="UBASTIC",PR!$BK540,IF(F542="UNION",PR!$BL540,IF(F542="UNIQUE",PR!$BM540,IF(F542="VIXA",PR!$BN540,IF(F542="WWCV",PR!$BO540,IF(F542="ZOLON",PR!$BP540,"-"))))))))))))))))))))))))))))))))))))))))))))))))))))))))))))))))</f>
        <v>975</v>
      </c>
      <c r="F542" s="102" t="str">
        <f>EV!L697</f>
        <v>MICRONOVA</v>
      </c>
      <c r="G542" s="108">
        <f>IF(H542="ALPHA",PR!$E540,IF(H542="ASSENE",PR!$F540,IF(H542="BIOFEM",PR!$G540,IF(H542="BIOMED",PR!$H540,IF(H542="CHI",PR!$I540,IF(H542="CLARION",PR!$J540,IF(H542="CODIX",PR!$K540,IF(H542="COSMADE",PR!$L540,IF(H542="SANCON",PR!$M540,IF(H542="DEVON",PR!$N540,IF(H542="DORTEMAG",PR!$O540,IF(H542="DGF",PR!$P540,IF(H542="DYNAMIC",PR!$Q540,IF(H542="EMZOR",PR!$R540,IF(H542="EUMATT",PR!$S540,IF(H542="FIDSON",PR!$T540,IF(H542="FCGLOBAL",PR!$U540,IF(H542="GENEITH",PR!$V540,IF(H542="GINOS",PR!$W540,IF(H542="GSK",PR!$X540,IF(H542="GLOBORG",PR!$Y540,IF(H542="GOODNEWS",PR!$Z540,IF(H542="GREENLIFE",PR!$AA540,IF(H542="HLINE",PR!$AB540,IF(H542="ROTECH",PR!$AC540,IF(H542="ISN",PR!$AD540,IF(H542="JAWA",PR!$AE540,IF(H542="LAYO",PR!$AF540,IF(H542="LEADWAY",PR!$AG540,IF(H542="LHV",PR!$AH540,IF(H542="MANOLA",PR!$AI540,IF(H542="MARCSON",PR!$AJ540,IF(H542="M&amp;B",PR!$AK540,IF(H542="MTRUST",PR!$AL540,IF(H542="MWORLD",PR!$AM540,IF(H542="MEGA",PR!$AN540,IF(H542="MICRONOVA",PR!$AO540,IF(H542="MFLASH",PR!$AP540,IF(H542="MORISON",PR!$AQ540,IF(H542="NEMEL",PR!$AR540,IF(H542="NHP",PR!$AS540,IF(H542="NHC",PR!$AT540,IF(H542="OLEAF",PR!$AU540,IF(H542="OCULUS",PR!$AV540,IF(H542="PACIFIC",PR!$AW540,IF(H542="PHAMATEX",PR!$AX540,IF(H542="PETHICS",PR!$AY540,IF(H542="PHILIPS",PR!$AZ540,IF(H542="RANBAXY",PR!$BA540,IF(H542="REALS",PR!$BB540,IF(H542="ROYAL",PR!$BC540,IF(H542="SAM",PR!$BD540,IF(H542="SEAGREEN",PR!$BE540,IF(H542="SKG",PR!$BF540,IF(H542="TAH",PR!$BG540,IF(H542="TAYLEK",PR!$BH540,IF(H542="TEMITA",PR!$BI540,IF(H542="THL",PR!$BJ540,IF(H542="UBASTIC",PR!$BK540,IF(H542="UNION",PR!$BL540,IF(H542="UNIQUE",PR!$BM540,IF(H542="VIXA",PR!$BN540,IF(H542="WWCV",PR!$BO540,IF(H542="ZOLON",PR!$BP540,"-"))))))))))))))))))))))))))))))))))))))))))))))))))))))))))))))))</f>
        <v>1214.4000000000001</v>
      </c>
      <c r="H542" s="102" t="str">
        <f>EV!M697</f>
        <v>WWCV</v>
      </c>
      <c r="I542" s="108" t="str">
        <f>IF(J542="ALPHA",PR!$E540,IF(J542="ASSENE",PR!$F540,IF(J542="BIOFEM",PR!$G540,IF(J542="BIOMED",PR!$H540,IF(J542="CHI",PR!$I540,IF(J542="CLARION",PR!$J540,IF(J542="CODIX",PR!$K540,IF(J542="COSMADE",PR!$L540,IF(J542="SANCON",PR!$M540,IF(J542="DEVON",PR!$N540,IF(J542="DORTEMAG",PR!$O540,IF(J542="DGF",PR!$P540,IF(J542="DYNAMIC",PR!$Q540,IF(J542="EMZOR",PR!$R540,IF(J542="EUMATT",PR!$S540,IF(J542="FIDSON",PR!$T540,IF(J542="FCGLOBAL",PR!$U540,IF(J542="GENEITH",PR!$V540,IF(J542="GINOS",PR!$W540,IF(J542="GSK",PR!$X540,IF(J542="GLOBORG",PR!$Y540,IF(J542="GOODNEWS",PR!$Z540,IF(J542="GREENLIFE",PR!$AA540,IF(J542="HLINE",PR!$AB540,IF(J542="ROTECH",PR!$AC540,IF(J542="ISN",PR!$AD540,IF(J542="JAWA",PR!$AE540,IF(J542="LAYO",PR!$AF540,IF(J542="LEADWAY",PR!$AG540,IF(J542="LHV",PR!$AH540,IF(J542="MANOLA",PR!$AI540,IF(J542="MARCSON",PR!$AJ540,IF(J542="M&amp;B",PR!$AK540,IF(J542="MTRUST",PR!$AL540,IF(J542="MWORLD",PR!$AM540,IF(J542="MEGA",PR!$AN540,IF(J542="MICRONOVA",PR!$AO540,IF(J542="MFLASH",PR!$AP540,IF(J542="MORISON",PR!$AQ540,IF(J542="NEMEL",PR!$AR540,IF(J542="NHP",PR!$AS540,IF(J542="NHC",PR!$AT540,IF(J542="OLEAF",PR!$AU540,IF(J542="OCULUS",PR!$AV540,IF(J542="PACIFIC",PR!$AW540,IF(J542="PHAMATEX",PR!$AX540,IF(J542="PETHICS",PR!$AY540,IF(J542="PHILIPS",PR!$AZ540,IF(J542="RANBAXY",PR!$BA540,IF(J542="REALS",PR!$BB540,IF(J542="ROYAL",PR!$BC540,IF(J542="SAM",PR!$BD540,IF(J542="SEAGREEN",PR!$BE540,IF(J542="SKG",PR!$BF540,IF(J542="TAH",PR!$BG540,IF(J542="TAYLEK",PR!$BH540,IF(J542="TEMITA",PR!$BI540,IF(J542="THL",PR!$BJ540,IF(J542="UBASTIC",PR!$BK540,IF(J542="UNION",PR!$BL540,IF(J542="UNIQUE",PR!$BM540,IF(J542="VIXA",PR!$BN540,IF(J542="WWCV",PR!$BO540,IF(J542="ZOLON",PR!$BP540,"-"))))))))))))))))))))))))))))))))))))))))))))))))))))))))))))))))</f>
        <v>-</v>
      </c>
      <c r="J542" s="102">
        <f>EV!N697</f>
        <v>0</v>
      </c>
      <c r="K542" s="433" t="s">
        <v>632</v>
      </c>
      <c r="L542" s="183">
        <f>IF(K542&gt;0,IF(K542="ALPHA",PR!$E540,IF(K542="ASSENE",PR!$F540,IF(K542="BIOFEM",PR!$G540,IF(K542="BIOMED",PR!$H540,IF(K542="CHI",PR!$I540,IF(K542="CLARION",PR!$J540,IF(K542="CODIX",PR!$K540,IF(K542="COSMADE",PR!$L540,IF(K542="SANCON",PR!$M540,IF(K542="DEVON",PR!$N540,IF(K542="DORTEMAG",PR!$O540,IF(K542="DGF",PR!$P540,IF(K542="DYNAMIC",PR!$Q540,IF(K542="EMZOR",PR!$R540,IF(K542="EUMATT",PR!$S540,IF(K542="FIDSON",PR!$T540,IF(K542="FCGLOBAL",PR!$U540,IF(K542="GENEITH",PR!$V540,IF(K542="GINOS",PR!$W540,IF(K542="GSK",PR!$X540,IF(K542="GLOBORG",PR!$Y540,IF(K542="GOODNEWS",PR!$Z540,IF(K542="GREENLIFE",PR!$AA540,IF(K542="HLINE",PR!$AB540,IF(K542="ROTECH",PR!$AC540,IF(K542="ISN",PR!$AD540,IF(K542="JAWA",PR!$AE540,IF(K542="LAYO",PR!$AF540,IF(K542="LEADWAY",PR!$AG540,IF(K542="LHV",PR!$AH540,IF(K542="MANOLA",PR!$AI540,IF(K542="MARCSON",PR!$AJ540,IF(K542="M&amp;B",PR!$AK540,IF(K542="MTRUST",PR!$AL540,IF(K542="MWORLD",PR!$AM540,IF(K542="MEGA",PR!$AN540,IF(K542="MICRONOVA",PR!$AO540,IF(K542="MFLASH",PR!$AP540,IF(K542="MORISON",PR!$AQ540,IF(K542="NEMEL",PR!$AR540,IF(K542="NHP",PR!$AS540,IF(K542="NHC",PR!$AT540,IF(K542="OLEAF",PR!$AU540,IF(K542="OCULUS",PR!$AV540,IF(K542="PACIFIC",PR!$AW540,IF(K542="PHAMATEX",PR!$AX540,IF(K542="PETHICS",PR!$AY540,IF(K542="PHILIPS",PR!$AZ540,IF(K542="RANBAXY",PR!$BA540,IF(K542="REALS",PR!$BB540,IF(K542="ROYAL",PR!$BC540,IF(K542="SAM",PR!$BD540,IF(K542="SEAGREEN",PR!$BE540,IF(K542="SKG",PR!$BF540,IF(K542="TAH",PR!$BG540,IF(K542="TAYLEK",PR!$BH540,IF(K542="TEMITA",PR!$BI540,IF(K542="THL",PR!$BJ540,IF(K542="UBASTIC",PR!$BK540,IF(K542="UNION",PR!$BL540,IF(K542="UNIQUE",PR!$BM540,IF(K542="VIXA",PR!$BN540,IF(K542="WWCV",PR!$BO540,IF(K542="ZOLON",PR!$BP540,"-")))))))))))))))))))))))))))))))))))))))))))))))))))))))))))))))))</f>
        <v>975</v>
      </c>
    </row>
    <row r="543" spans="1:12" ht="18.75" x14ac:dyDescent="0.3">
      <c r="A543" s="430">
        <f>PR!A541</f>
        <v>489</v>
      </c>
      <c r="B543" s="15" t="str">
        <f>PR!B541</f>
        <v>PREDNISOLONE 5MG TAB</v>
      </c>
      <c r="C543" s="113">
        <f>PR!D541</f>
        <v>100</v>
      </c>
      <c r="D543" s="113">
        <f>PR!C541</f>
        <v>800</v>
      </c>
      <c r="E543" s="108">
        <f>IF(F543="ALPHA",PR!$E541,IF(F543="ASSENE",PR!$F541,IF(F543="BIOFEM",PR!$G541,IF(F543="BIOMED",PR!$H541,IF(F543="CHI",PR!$I541,IF(F543="CLARION",PR!$J541,IF(F543="CODIX",PR!$K541,IF(F543="COSMADE",PR!$L541,IF(F543="SANCON",PR!$M541,IF(F543="DEVON",PR!$N541,IF(F543="DORTEMAG",PR!$O541,IF(F543="DGF",PR!$P541,IF(F543="DYNAMIC",PR!$Q541,IF(F543="EMZOR",PR!$R541,IF(F543="EUMATT",PR!$S541,IF(F543="FIDSON",PR!$T541,IF(F543="FCGLOBAL",PR!$U541,IF(F543="GENEITH",PR!$V541,IF(F543="GINOS",PR!$W541,IF(F543="GSK",PR!$X541,IF(F543="GLOBORG",PR!$Y541,IF(F543="GOODNEWS",PR!$Z541,IF(F543="GREENLIFE",PR!$AA541,IF(F543="HLINE",PR!$AB541,IF(F543="ROTECH",PR!$AC541,IF(F543="ISN",PR!$AD541,IF(F543="JAWA",PR!$AE541,IF(F543="LAYO",PR!$AF541,IF(F543="LEADWAY",PR!$AG541,IF(F543="LHV",PR!$AH541,IF(F543="MANOLA",PR!$AI541,IF(F543="MARCSON",PR!$AJ541,IF(F543="M&amp;B",PR!$AK541,IF(F543="MTRUST",PR!$AL541,IF(F543="MWORLD",PR!$AM541,IF(F543="MEGA",PR!$AN541,IF(F543="MICRONOVA",PR!$AO541,IF(F543="MFLASH",PR!$AP541,IF(F543="MORISON",PR!$AQ541,IF(F543="NEMEL",PR!$AR541,IF(F543="NHP",PR!$AS541,IF(F543="NHC",PR!$AT541,IF(F543="OLEAF",PR!$AU541,IF(F543="OCULUS",PR!$AV541,IF(F543="PACIFIC",PR!$AW541,IF(F543="PHAMATEX",PR!$AX541,IF(F543="PETHICS",PR!$AY541,IF(F543="PHILIPS",PR!$AZ541,IF(F543="RANBAXY",PR!$BA541,IF(F543="REALS",PR!$BB541,IF(F543="ROYAL",PR!$BC541,IF(F543="SAM",PR!$BD541,IF(F543="SEAGREEN",PR!$BE541,IF(F543="SKG",PR!$BF541,IF(F543="TAH",PR!$BG541,IF(F543="TAYLEK",PR!$BH541,IF(F543="TEMITA",PR!$BI541,IF(F543="THL",PR!$BJ541,IF(F543="UBASTIC",PR!$BK541,IF(F543="UNION",PR!$BL541,IF(F543="UNIQUE",PR!$BM541,IF(F543="VIXA",PR!$BN541,IF(F543="WWCV",PR!$BO541,IF(F543="ZOLON",PR!$BP541,"-"))))))))))))))))))))))))))))))))))))))))))))))))))))))))))))))))</f>
        <v>260</v>
      </c>
      <c r="F543" s="102" t="str">
        <f>EV!L698</f>
        <v>EUMATT</v>
      </c>
      <c r="G543" s="108">
        <f>IF(H543="ALPHA",PR!$E541,IF(H543="ASSENE",PR!$F541,IF(H543="BIOFEM",PR!$G541,IF(H543="BIOMED",PR!$H541,IF(H543="CHI",PR!$I541,IF(H543="CLARION",PR!$J541,IF(H543="CODIX",PR!$K541,IF(H543="COSMADE",PR!$L541,IF(H543="SANCON",PR!$M541,IF(H543="DEVON",PR!$N541,IF(H543="DORTEMAG",PR!$O541,IF(H543="DGF",PR!$P541,IF(H543="DYNAMIC",PR!$Q541,IF(H543="EMZOR",PR!$R541,IF(H543="EUMATT",PR!$S541,IF(H543="FIDSON",PR!$T541,IF(H543="FCGLOBAL",PR!$U541,IF(H543="GENEITH",PR!$V541,IF(H543="GINOS",PR!$W541,IF(H543="GSK",PR!$X541,IF(H543="GLOBORG",PR!$Y541,IF(H543="GOODNEWS",PR!$Z541,IF(H543="GREENLIFE",PR!$AA541,IF(H543="HLINE",PR!$AB541,IF(H543="ROTECH",PR!$AC541,IF(H543="ISN",PR!$AD541,IF(H543="JAWA",PR!$AE541,IF(H543="LAYO",PR!$AF541,IF(H543="LEADWAY",PR!$AG541,IF(H543="LHV",PR!$AH541,IF(H543="MANOLA",PR!$AI541,IF(H543="MARCSON",PR!$AJ541,IF(H543="M&amp;B",PR!$AK541,IF(H543="MTRUST",PR!$AL541,IF(H543="MWORLD",PR!$AM541,IF(H543="MEGA",PR!$AN541,IF(H543="MICRONOVA",PR!$AO541,IF(H543="MFLASH",PR!$AP541,IF(H543="MORISON",PR!$AQ541,IF(H543="NEMEL",PR!$AR541,IF(H543="NHP",PR!$AS541,IF(H543="NHC",PR!$AT541,IF(H543="OLEAF",PR!$AU541,IF(H543="OCULUS",PR!$AV541,IF(H543="PACIFIC",PR!$AW541,IF(H543="PHAMATEX",PR!$AX541,IF(H543="PETHICS",PR!$AY541,IF(H543="PHILIPS",PR!$AZ541,IF(H543="RANBAXY",PR!$BA541,IF(H543="REALS",PR!$BB541,IF(H543="ROYAL",PR!$BC541,IF(H543="SAM",PR!$BD541,IF(H543="SEAGREEN",PR!$BE541,IF(H543="SKG",PR!$BF541,IF(H543="TAH",PR!$BG541,IF(H543="TAYLEK",PR!$BH541,IF(H543="TEMITA",PR!$BI541,IF(H543="THL",PR!$BJ541,IF(H543="UBASTIC",PR!$BK541,IF(H543="UNION",PR!$BL541,IF(H543="UNIQUE",PR!$BM541,IF(H543="VIXA",PR!$BN541,IF(H543="WWCV",PR!$BO541,IF(H543="ZOLON",PR!$BP541,"-"))))))))))))))))))))))))))))))))))))))))))))))))))))))))))))))))</f>
        <v>260</v>
      </c>
      <c r="H543" s="102" t="str">
        <f>EV!M698</f>
        <v>SAM</v>
      </c>
      <c r="I543" s="108">
        <f>IF(J543="ALPHA",PR!$E541,IF(J543="ASSENE",PR!$F541,IF(J543="BIOFEM",PR!$G541,IF(J543="BIOMED",PR!$H541,IF(J543="CHI",PR!$I541,IF(J543="CLARION",PR!$J541,IF(J543="CODIX",PR!$K541,IF(J543="COSMADE",PR!$L541,IF(J543="SANCON",PR!$M541,IF(J543="DEVON",PR!$N541,IF(J543="DORTEMAG",PR!$O541,IF(J543="DGF",PR!$P541,IF(J543="DYNAMIC",PR!$Q541,IF(J543="EMZOR",PR!$R541,IF(J543="EUMATT",PR!$S541,IF(J543="FIDSON",PR!$T541,IF(J543="FCGLOBAL",PR!$U541,IF(J543="GENEITH",PR!$V541,IF(J543="GINOS",PR!$W541,IF(J543="GSK",PR!$X541,IF(J543="GLOBORG",PR!$Y541,IF(J543="GOODNEWS",PR!$Z541,IF(J543="GREENLIFE",PR!$AA541,IF(J543="HLINE",PR!$AB541,IF(J543="ROTECH",PR!$AC541,IF(J543="ISN",PR!$AD541,IF(J543="JAWA",PR!$AE541,IF(J543="LAYO",PR!$AF541,IF(J543="LEADWAY",PR!$AG541,IF(J543="LHV",PR!$AH541,IF(J543="MANOLA",PR!$AI541,IF(J543="MARCSON",PR!$AJ541,IF(J543="M&amp;B",PR!$AK541,IF(J543="MTRUST",PR!$AL541,IF(J543="MWORLD",PR!$AM541,IF(J543="MEGA",PR!$AN541,IF(J543="MICRONOVA",PR!$AO541,IF(J543="MFLASH",PR!$AP541,IF(J543="MORISON",PR!$AQ541,IF(J543="NEMEL",PR!$AR541,IF(J543="NHP",PR!$AS541,IF(J543="NHC",PR!$AT541,IF(J543="OLEAF",PR!$AU541,IF(J543="OCULUS",PR!$AV541,IF(J543="PACIFIC",PR!$AW541,IF(J543="PHAMATEX",PR!$AX541,IF(J543="PETHICS",PR!$AY541,IF(J543="PHILIPS",PR!$AZ541,IF(J543="RANBAXY",PR!$BA541,IF(J543="REALS",PR!$BB541,IF(J543="ROYAL",PR!$BC541,IF(J543="SAM",PR!$BD541,IF(J543="SEAGREEN",PR!$BE541,IF(J543="SKG",PR!$BF541,IF(J543="TAH",PR!$BG541,IF(J543="TAYLEK",PR!$BH541,IF(J543="TEMITA",PR!$BI541,IF(J543="THL",PR!$BJ541,IF(J543="UBASTIC",PR!$BK541,IF(J543="UNION",PR!$BL541,IF(J543="UNIQUE",PR!$BM541,IF(J543="VIXA",PR!$BN541,IF(J543="WWCV",PR!$BO541,IF(J543="ZOLON",PR!$BP541,"-"))))))))))))))))))))))))))))))))))))))))))))))))))))))))))))))))</f>
        <v>530</v>
      </c>
      <c r="J543" s="102" t="str">
        <f>EV!N698</f>
        <v>JAWA</v>
      </c>
      <c r="K543" s="433" t="s">
        <v>622</v>
      </c>
      <c r="L543" s="183">
        <f>IF(K543&gt;0,IF(K543="ALPHA",PR!$E541,IF(K543="ASSENE",PR!$F541,IF(K543="BIOFEM",PR!$G541,IF(K543="BIOMED",PR!$H541,IF(K543="CHI",PR!$I541,IF(K543="CLARION",PR!$J541,IF(K543="CODIX",PR!$K541,IF(K543="COSMADE",PR!$L541,IF(K543="SANCON",PR!$M541,IF(K543="DEVON",PR!$N541,IF(K543="DORTEMAG",PR!$O541,IF(K543="DGF",PR!$P541,IF(K543="DYNAMIC",PR!$Q541,IF(K543="EMZOR",PR!$R541,IF(K543="EUMATT",PR!$S541,IF(K543="FIDSON",PR!$T541,IF(K543="FCGLOBAL",PR!$U541,IF(K543="GENEITH",PR!$V541,IF(K543="GINOS",PR!$W541,IF(K543="GSK",PR!$X541,IF(K543="GLOBORG",PR!$Y541,IF(K543="GOODNEWS",PR!$Z541,IF(K543="GREENLIFE",PR!$AA541,IF(K543="HLINE",PR!$AB541,IF(K543="ROTECH",PR!$AC541,IF(K543="ISN",PR!$AD541,IF(K543="JAWA",PR!$AE541,IF(K543="LAYO",PR!$AF541,IF(K543="LEADWAY",PR!$AG541,IF(K543="LHV",PR!$AH541,IF(K543="MANOLA",PR!$AI541,IF(K543="MARCSON",PR!$AJ541,IF(K543="M&amp;B",PR!$AK541,IF(K543="MTRUST",PR!$AL541,IF(K543="MWORLD",PR!$AM541,IF(K543="MEGA",PR!$AN541,IF(K543="MICRONOVA",PR!$AO541,IF(K543="MFLASH",PR!$AP541,IF(K543="MORISON",PR!$AQ541,IF(K543="NEMEL",PR!$AR541,IF(K543="NHP",PR!$AS541,IF(K543="NHC",PR!$AT541,IF(K543="OLEAF",PR!$AU541,IF(K543="OCULUS",PR!$AV541,IF(K543="PACIFIC",PR!$AW541,IF(K543="PHAMATEX",PR!$AX541,IF(K543="PETHICS",PR!$AY541,IF(K543="PHILIPS",PR!$AZ541,IF(K543="RANBAXY",PR!$BA541,IF(K543="REALS",PR!$BB541,IF(K543="ROYAL",PR!$BC541,IF(K543="SAM",PR!$BD541,IF(K543="SEAGREEN",PR!$BE541,IF(K543="SKG",PR!$BF541,IF(K543="TAH",PR!$BG541,IF(K543="TAYLEK",PR!$BH541,IF(K543="TEMITA",PR!$BI541,IF(K543="THL",PR!$BJ541,IF(K543="UBASTIC",PR!$BK541,IF(K543="UNION",PR!$BL541,IF(K543="UNIQUE",PR!$BM541,IF(K543="VIXA",PR!$BN541,IF(K543="WWCV",PR!$BO541,IF(K543="ZOLON",PR!$BP541,"-")))))))))))))))))))))))))))))))))))))))))))))))))))))))))))))))))</f>
        <v>260</v>
      </c>
    </row>
    <row r="544" spans="1:12" ht="18.75" x14ac:dyDescent="0.3">
      <c r="A544" s="430">
        <f>PR!A542</f>
        <v>490</v>
      </c>
      <c r="B544" s="15" t="str">
        <f>PR!B542</f>
        <v>PROMETHAZINE 50MG INJ</v>
      </c>
      <c r="C544" s="113">
        <f>PR!D542</f>
        <v>100</v>
      </c>
      <c r="D544" s="113">
        <f>PR!C542</f>
        <v>50</v>
      </c>
      <c r="E544" s="108">
        <f>IF(F544="ALPHA",PR!$E542,IF(F544="ASSENE",PR!$F542,IF(F544="BIOFEM",PR!$G542,IF(F544="BIOMED",PR!$H542,IF(F544="CHI",PR!$I542,IF(F544="CLARION",PR!$J542,IF(F544="CODIX",PR!$K542,IF(F544="COSMADE",PR!$L542,IF(F544="SANCON",PR!$M542,IF(F544="DEVON",PR!$N542,IF(F544="DORTEMAG",PR!$O542,IF(F544="DGF",PR!$P542,IF(F544="DYNAMIC",PR!$Q542,IF(F544="EMZOR",PR!$R542,IF(F544="EUMATT",PR!$S542,IF(F544="FIDSON",PR!$T542,IF(F544="FCGLOBAL",PR!$U542,IF(F544="GENEITH",PR!$V542,IF(F544="GINOS",PR!$W542,IF(F544="GSK",PR!$X542,IF(F544="GLOBORG",PR!$Y542,IF(F544="GOODNEWS",PR!$Z542,IF(F544="GREENLIFE",PR!$AA542,IF(F544="HLINE",PR!$AB542,IF(F544="ROTECH",PR!$AC542,IF(F544="ISN",PR!$AD542,IF(F544="JAWA",PR!$AE542,IF(F544="LAYO",PR!$AF542,IF(F544="LEADWAY",PR!$AG542,IF(F544="LHV",PR!$AH542,IF(F544="MANOLA",PR!$AI542,IF(F544="MARCSON",PR!$AJ542,IF(F544="M&amp;B",PR!$AK542,IF(F544="MTRUST",PR!$AL542,IF(F544="MWORLD",PR!$AM542,IF(F544="MEGA",PR!$AN542,IF(F544="MICRONOVA",PR!$AO542,IF(F544="MFLASH",PR!$AP542,IF(F544="MORISON",PR!$AQ542,IF(F544="NEMEL",PR!$AR542,IF(F544="NHP",PR!$AS542,IF(F544="NHC",PR!$AT542,IF(F544="OLEAF",PR!$AU542,IF(F544="OCULUS",PR!$AV542,IF(F544="PACIFIC",PR!$AW542,IF(F544="PHAMATEX",PR!$AX542,IF(F544="PETHICS",PR!$AY542,IF(F544="PHILIPS",PR!$AZ542,IF(F544="RANBAXY",PR!$BA542,IF(F544="REALS",PR!$BB542,IF(F544="ROYAL",PR!$BC542,IF(F544="SAM",PR!$BD542,IF(F544="SEAGREEN",PR!$BE542,IF(F544="SKG",PR!$BF542,IF(F544="TAH",PR!$BG542,IF(F544="TAYLEK",PR!$BH542,IF(F544="TEMITA",PR!$BI542,IF(F544="THL",PR!$BJ542,IF(F544="UBASTIC",PR!$BK542,IF(F544="UNION",PR!$BL542,IF(F544="UNIQUE",PR!$BM542,IF(F544="VIXA",PR!$BN542,IF(F544="WWCV",PR!$BO542,IF(F544="ZOLON",PR!$BP542,"-"))))))))))))))))))))))))))))))))))))))))))))))))))))))))))))))))</f>
        <v>1400</v>
      </c>
      <c r="F544" s="102" t="str">
        <f>EV!L699</f>
        <v>EUMATT</v>
      </c>
      <c r="G544" s="108" t="str">
        <f>IF(H544="ALPHA",PR!$E542,IF(H544="ASSENE",PR!$F542,IF(H544="BIOFEM",PR!$G542,IF(H544="BIOMED",PR!$H542,IF(H544="CHI",PR!$I542,IF(H544="CLARION",PR!$J542,IF(H544="CODIX",PR!$K542,IF(H544="COSMADE",PR!$L542,IF(H544="SANCON",PR!$M542,IF(H544="DEVON",PR!$N542,IF(H544="DORTEMAG",PR!$O542,IF(H544="DGF",PR!$P542,IF(H544="DYNAMIC",PR!$Q542,IF(H544="EMZOR",PR!$R542,IF(H544="EUMATT",PR!$S542,IF(H544="FIDSON",PR!$T542,IF(H544="FCGLOBAL",PR!$U542,IF(H544="GENEITH",PR!$V542,IF(H544="GINOS",PR!$W542,IF(H544="GSK",PR!$X542,IF(H544="GLOBORG",PR!$Y542,IF(H544="GOODNEWS",PR!$Z542,IF(H544="GREENLIFE",PR!$AA542,IF(H544="HLINE",PR!$AB542,IF(H544="ROTECH",PR!$AC542,IF(H544="ISN",PR!$AD542,IF(H544="JAWA",PR!$AE542,IF(H544="LAYO",PR!$AF542,IF(H544="LEADWAY",PR!$AG542,IF(H544="LHV",PR!$AH542,IF(H544="MANOLA",PR!$AI542,IF(H544="MARCSON",PR!$AJ542,IF(H544="M&amp;B",PR!$AK542,IF(H544="MTRUST",PR!$AL542,IF(H544="MWORLD",PR!$AM542,IF(H544="MEGA",PR!$AN542,IF(H544="MICRONOVA",PR!$AO542,IF(H544="MFLASH",PR!$AP542,IF(H544="MORISON",PR!$AQ542,IF(H544="NEMEL",PR!$AR542,IF(H544="NHP",PR!$AS542,IF(H544="NHC",PR!$AT542,IF(H544="OLEAF",PR!$AU542,IF(H544="OCULUS",PR!$AV542,IF(H544="PACIFIC",PR!$AW542,IF(H544="PHAMATEX",PR!$AX542,IF(H544="PETHICS",PR!$AY542,IF(H544="PHILIPS",PR!$AZ542,IF(H544="RANBAXY",PR!$BA542,IF(H544="REALS",PR!$BB542,IF(H544="ROYAL",PR!$BC542,IF(H544="SAM",PR!$BD542,IF(H544="SEAGREEN",PR!$BE542,IF(H544="SKG",PR!$BF542,IF(H544="TAH",PR!$BG542,IF(H544="TAYLEK",PR!$BH542,IF(H544="TEMITA",PR!$BI542,IF(H544="THL",PR!$BJ542,IF(H544="UBASTIC",PR!$BK542,IF(H544="UNION",PR!$BL542,IF(H544="UNIQUE",PR!$BM542,IF(H544="VIXA",PR!$BN542,IF(H544="WWCV",PR!$BO542,IF(H544="ZOLON",PR!$BP542,"-"))))))))))))))))))))))))))))))))))))))))))))))))))))))))))))))))</f>
        <v>-</v>
      </c>
      <c r="H544" s="102">
        <f>EV!M699</f>
        <v>0</v>
      </c>
      <c r="I544" s="108" t="str">
        <f>IF(J544="ALPHA",PR!$E542,IF(J544="ASSENE",PR!$F542,IF(J544="BIOFEM",PR!$G542,IF(J544="BIOMED",PR!$H542,IF(J544="CHI",PR!$I542,IF(J544="CLARION",PR!$J542,IF(J544="CODIX",PR!$K542,IF(J544="COSMADE",PR!$L542,IF(J544="SANCON",PR!$M542,IF(J544="DEVON",PR!$N542,IF(J544="DORTEMAG",PR!$O542,IF(J544="DGF",PR!$P542,IF(J544="DYNAMIC",PR!$Q542,IF(J544="EMZOR",PR!$R542,IF(J544="EUMATT",PR!$S542,IF(J544="FIDSON",PR!$T542,IF(J544="FCGLOBAL",PR!$U542,IF(J544="GENEITH",PR!$V542,IF(J544="GINOS",PR!$W542,IF(J544="GSK",PR!$X542,IF(J544="GLOBORG",PR!$Y542,IF(J544="GOODNEWS",PR!$Z542,IF(J544="GREENLIFE",PR!$AA542,IF(J544="HLINE",PR!$AB542,IF(J544="ROTECH",PR!$AC542,IF(J544="ISN",PR!$AD542,IF(J544="JAWA",PR!$AE542,IF(J544="LAYO",PR!$AF542,IF(J544="LEADWAY",PR!$AG542,IF(J544="LHV",PR!$AH542,IF(J544="MANOLA",PR!$AI542,IF(J544="MARCSON",PR!$AJ542,IF(J544="M&amp;B",PR!$AK542,IF(J544="MTRUST",PR!$AL542,IF(J544="MWORLD",PR!$AM542,IF(J544="MEGA",PR!$AN542,IF(J544="MICRONOVA",PR!$AO542,IF(J544="MFLASH",PR!$AP542,IF(J544="MORISON",PR!$AQ542,IF(J544="NEMEL",PR!$AR542,IF(J544="NHP",PR!$AS542,IF(J544="NHC",PR!$AT542,IF(J544="OLEAF",PR!$AU542,IF(J544="OCULUS",PR!$AV542,IF(J544="PACIFIC",PR!$AW542,IF(J544="PHAMATEX",PR!$AX542,IF(J544="PETHICS",PR!$AY542,IF(J544="PHILIPS",PR!$AZ542,IF(J544="RANBAXY",PR!$BA542,IF(J544="REALS",PR!$BB542,IF(J544="ROYAL",PR!$BC542,IF(J544="SAM",PR!$BD542,IF(J544="SEAGREEN",PR!$BE542,IF(J544="SKG",PR!$BF542,IF(J544="TAH",PR!$BG542,IF(J544="TAYLEK",PR!$BH542,IF(J544="TEMITA",PR!$BI542,IF(J544="THL",PR!$BJ542,IF(J544="UBASTIC",PR!$BK542,IF(J544="UNION",PR!$BL542,IF(J544="UNIQUE",PR!$BM542,IF(J544="VIXA",PR!$BN542,IF(J544="WWCV",PR!$BO542,IF(J544="ZOLON",PR!$BP542,"-"))))))))))))))))))))))))))))))))))))))))))))))))))))))))))))))))</f>
        <v>-</v>
      </c>
      <c r="J544" s="102">
        <f>EV!N699</f>
        <v>0</v>
      </c>
      <c r="K544" s="433" t="s">
        <v>821</v>
      </c>
      <c r="L544" s="183">
        <f>IF(K544&gt;0,IF(K544="ALPHA",PR!$E542,IF(K544="ASSENE",PR!$F542,IF(K544="BIOFEM",PR!$G542,IF(K544="BIOMED",PR!$H542,IF(K544="CHI",PR!$I542,IF(K544="CLARION",PR!$J542,IF(K544="CODIX",PR!$K542,IF(K544="COSMADE",PR!$L542,IF(K544="SANCON",PR!$M542,IF(K544="DEVON",PR!$N542,IF(K544="DORTEMAG",PR!$O542,IF(K544="DGF",PR!$P542,IF(K544="DYNAMIC",PR!$Q542,IF(K544="EMZOR",PR!$R542,IF(K544="EUMATT",PR!$S542,IF(K544="FIDSON",PR!$T542,IF(K544="FCGLOBAL",PR!$U542,IF(K544="GENEITH",PR!$V542,IF(K544="GINOS",PR!$W542,IF(K544="GSK",PR!$X542,IF(K544="GLOBORG",PR!$Y542,IF(K544="GOODNEWS",PR!$Z542,IF(K544="GREENLIFE",PR!$AA542,IF(K544="HLINE",PR!$AB542,IF(K544="ROTECH",PR!$AC542,IF(K544="ISN",PR!$AD542,IF(K544="JAWA",PR!$AE542,IF(K544="LAYO",PR!$AF542,IF(K544="LEADWAY",PR!$AG542,IF(K544="LHV",PR!$AH542,IF(K544="MANOLA",PR!$AI542,IF(K544="MARCSON",PR!$AJ542,IF(K544="M&amp;B",PR!$AK542,IF(K544="MTRUST",PR!$AL542,IF(K544="MWORLD",PR!$AM542,IF(K544="MEGA",PR!$AN542,IF(K544="MICRONOVA",PR!$AO542,IF(K544="MFLASH",PR!$AP542,IF(K544="MORISON",PR!$AQ542,IF(K544="NEMEL",PR!$AR542,IF(K544="NHP",PR!$AS542,IF(K544="NHC",PR!$AT542,IF(K544="OLEAF",PR!$AU542,IF(K544="OCULUS",PR!$AV542,IF(K544="PACIFIC",PR!$AW542,IF(K544="PHAMATEX",PR!$AX542,IF(K544="PETHICS",PR!$AY542,IF(K544="PHILIPS",PR!$AZ542,IF(K544="RANBAXY",PR!$BA542,IF(K544="REALS",PR!$BB542,IF(K544="ROYAL",PR!$BC542,IF(K544="SAM",PR!$BD542,IF(K544="SEAGREEN",PR!$BE542,IF(K544="SKG",PR!$BF542,IF(K544="TAH",PR!$BG542,IF(K544="TAYLEK",PR!$BH542,IF(K544="TEMITA",PR!$BI542,IF(K544="THL",PR!$BJ542,IF(K544="UBASTIC",PR!$BK542,IF(K544="UNION",PR!$BL542,IF(K544="UNIQUE",PR!$BM542,IF(K544="VIXA",PR!$BN542,IF(K544="WWCV",PR!$BO542,IF(K544="ZOLON",PR!$BP542,"-")))))))))))))))))))))))))))))))))))))))))))))))))))))))))))))))))</f>
        <v>1400</v>
      </c>
    </row>
    <row r="545" spans="1:12" ht="18.75" x14ac:dyDescent="0.3">
      <c r="A545" s="430">
        <f>PR!A543</f>
        <v>491</v>
      </c>
      <c r="B545" s="15" t="str">
        <f>PR!B543</f>
        <v>PROMETHAZINE SYR</v>
      </c>
      <c r="C545" s="113" t="str">
        <f>PR!D543</f>
        <v>BOTT</v>
      </c>
      <c r="D545" s="113">
        <f>PR!C543</f>
        <v>80</v>
      </c>
      <c r="E545" s="108">
        <f>IF(F545="ALPHA",PR!$E543,IF(F545="ASSENE",PR!$F543,IF(F545="BIOFEM",PR!$G543,IF(F545="BIOMED",PR!$H543,IF(F545="CHI",PR!$I543,IF(F545="CLARION",PR!$J543,IF(F545="CODIX",PR!$K543,IF(F545="COSMADE",PR!$L543,IF(F545="SANCON",PR!$M543,IF(F545="DEVON",PR!$N543,IF(F545="DORTEMAG",PR!$O543,IF(F545="DGF",PR!$P543,IF(F545="DYNAMIC",PR!$Q543,IF(F545="EMZOR",PR!$R543,IF(F545="EUMATT",PR!$S543,IF(F545="FIDSON",PR!$T543,IF(F545="FCGLOBAL",PR!$U543,IF(F545="GENEITH",PR!$V543,IF(F545="GINOS",PR!$W543,IF(F545="GSK",PR!$X543,IF(F545="GLOBORG",PR!$Y543,IF(F545="GOODNEWS",PR!$Z543,IF(F545="GREENLIFE",PR!$AA543,IF(F545="HLINE",PR!$AB543,IF(F545="ROTECH",PR!$AC543,IF(F545="ISN",PR!$AD543,IF(F545="JAWA",PR!$AE543,IF(F545="LAYO",PR!$AF543,IF(F545="LEADWAY",PR!$AG543,IF(F545="LHV",PR!$AH543,IF(F545="MANOLA",PR!$AI543,IF(F545="MARCSON",PR!$AJ543,IF(F545="M&amp;B",PR!$AK543,IF(F545="MTRUST",PR!$AL543,IF(F545="MWORLD",PR!$AM543,IF(F545="MEGA",PR!$AN543,IF(F545="MICRONOVA",PR!$AO543,IF(F545="MFLASH",PR!$AP543,IF(F545="MORISON",PR!$AQ543,IF(F545="NEMEL",PR!$AR543,IF(F545="NHP",PR!$AS543,IF(F545="NHC",PR!$AT543,IF(F545="OLEAF",PR!$AU543,IF(F545="OCULUS",PR!$AV543,IF(F545="PACIFIC",PR!$AW543,IF(F545="PHAMATEX",PR!$AX543,IF(F545="PETHICS",PR!$AY543,IF(F545="PHILIPS",PR!$AZ543,IF(F545="RANBAXY",PR!$BA543,IF(F545="REALS",PR!$BB543,IF(F545="ROYAL",PR!$BC543,IF(F545="SAM",PR!$BD543,IF(F545="SEAGREEN",PR!$BE543,IF(F545="SKG",PR!$BF543,IF(F545="TAH",PR!$BG543,IF(F545="TAYLEK",PR!$BH543,IF(F545="TEMITA",PR!$BI543,IF(F545="THL",PR!$BJ543,IF(F545="UBASTIC",PR!$BK543,IF(F545="UNION",PR!$BL543,IF(F545="UNIQUE",PR!$BM543,IF(F545="VIXA",PR!$BN543,IF(F545="WWCV",PR!$BO543,IF(F545="ZOLON",PR!$BP543,"-"))))))))))))))))))))))))))))))))))))))))))))))))))))))))))))))))</f>
        <v>92</v>
      </c>
      <c r="F545" s="102" t="str">
        <f>EV!L700</f>
        <v>UNIQUE</v>
      </c>
      <c r="G545" s="108">
        <f>IF(H545="ALPHA",PR!$E543,IF(H545="ASSENE",PR!$F543,IF(H545="BIOFEM",PR!$G543,IF(H545="BIOMED",PR!$H543,IF(H545="CHI",PR!$I543,IF(H545="CLARION",PR!$J543,IF(H545="CODIX",PR!$K543,IF(H545="COSMADE",PR!$L543,IF(H545="SANCON",PR!$M543,IF(H545="DEVON",PR!$N543,IF(H545="DORTEMAG",PR!$O543,IF(H545="DGF",PR!$P543,IF(H545="DYNAMIC",PR!$Q543,IF(H545="EMZOR",PR!$R543,IF(H545="EUMATT",PR!$S543,IF(H545="FIDSON",PR!$T543,IF(H545="FCGLOBAL",PR!$U543,IF(H545="GENEITH",PR!$V543,IF(H545="GINOS",PR!$W543,IF(H545="GSK",PR!$X543,IF(H545="GLOBORG",PR!$Y543,IF(H545="GOODNEWS",PR!$Z543,IF(H545="GREENLIFE",PR!$AA543,IF(H545="HLINE",PR!$AB543,IF(H545="ROTECH",PR!$AC543,IF(H545="ISN",PR!$AD543,IF(H545="JAWA",PR!$AE543,IF(H545="LAYO",PR!$AF543,IF(H545="LEADWAY",PR!$AG543,IF(H545="LHV",PR!$AH543,IF(H545="MANOLA",PR!$AI543,IF(H545="MARCSON",PR!$AJ543,IF(H545="M&amp;B",PR!$AK543,IF(H545="MTRUST",PR!$AL543,IF(H545="MWORLD",PR!$AM543,IF(H545="MEGA",PR!$AN543,IF(H545="MICRONOVA",PR!$AO543,IF(H545="MFLASH",PR!$AP543,IF(H545="MORISON",PR!$AQ543,IF(H545="NEMEL",PR!$AR543,IF(H545="NHP",PR!$AS543,IF(H545="NHC",PR!$AT543,IF(H545="OLEAF",PR!$AU543,IF(H545="OCULUS",PR!$AV543,IF(H545="PACIFIC",PR!$AW543,IF(H545="PHAMATEX",PR!$AX543,IF(H545="PETHICS",PR!$AY543,IF(H545="PHILIPS",PR!$AZ543,IF(H545="RANBAXY",PR!$BA543,IF(H545="REALS",PR!$BB543,IF(H545="ROYAL",PR!$BC543,IF(H545="SAM",PR!$BD543,IF(H545="SEAGREEN",PR!$BE543,IF(H545="SKG",PR!$BF543,IF(H545="TAH",PR!$BG543,IF(H545="TAYLEK",PR!$BH543,IF(H545="TEMITA",PR!$BI543,IF(H545="THL",PR!$BJ543,IF(H545="UBASTIC",PR!$BK543,IF(H545="UNION",PR!$BL543,IF(H545="UNIQUE",PR!$BM543,IF(H545="VIXA",PR!$BN543,IF(H545="WWCV",PR!$BO543,IF(H545="ZOLON",PR!$BP543,"-"))))))))))))))))))))))))))))))))))))))))))))))))))))))))))))))))</f>
        <v>120</v>
      </c>
      <c r="H545" s="102" t="str">
        <f>EV!M700</f>
        <v>EUMATT</v>
      </c>
      <c r="I545" s="108">
        <f>IF(J545="ALPHA",PR!$E543,IF(J545="ASSENE",PR!$F543,IF(J545="BIOFEM",PR!$G543,IF(J545="BIOMED",PR!$H543,IF(J545="CHI",PR!$I543,IF(J545="CLARION",PR!$J543,IF(J545="CODIX",PR!$K543,IF(J545="COSMADE",PR!$L543,IF(J545="SANCON",PR!$M543,IF(J545="DEVON",PR!$N543,IF(J545="DORTEMAG",PR!$O543,IF(J545="DGF",PR!$P543,IF(J545="DYNAMIC",PR!$Q543,IF(J545="EMZOR",PR!$R543,IF(J545="EUMATT",PR!$S543,IF(J545="FIDSON",PR!$T543,IF(J545="FCGLOBAL",PR!$U543,IF(J545="GENEITH",PR!$V543,IF(J545="GINOS",PR!$W543,IF(J545="GSK",PR!$X543,IF(J545="GLOBORG",PR!$Y543,IF(J545="GOODNEWS",PR!$Z543,IF(J545="GREENLIFE",PR!$AA543,IF(J545="HLINE",PR!$AB543,IF(J545="ROTECH",PR!$AC543,IF(J545="ISN",PR!$AD543,IF(J545="JAWA",PR!$AE543,IF(J545="LAYO",PR!$AF543,IF(J545="LEADWAY",PR!$AG543,IF(J545="LHV",PR!$AH543,IF(J545="MANOLA",PR!$AI543,IF(J545="MARCSON",PR!$AJ543,IF(J545="M&amp;B",PR!$AK543,IF(J545="MTRUST",PR!$AL543,IF(J545="MWORLD",PR!$AM543,IF(J545="MEGA",PR!$AN543,IF(J545="MICRONOVA",PR!$AO543,IF(J545="MFLASH",PR!$AP543,IF(J545="MORISON",PR!$AQ543,IF(J545="NEMEL",PR!$AR543,IF(J545="NHP",PR!$AS543,IF(J545="NHC",PR!$AT543,IF(J545="OLEAF",PR!$AU543,IF(J545="OCULUS",PR!$AV543,IF(J545="PACIFIC",PR!$AW543,IF(J545="PHAMATEX",PR!$AX543,IF(J545="PETHICS",PR!$AY543,IF(J545="PHILIPS",PR!$AZ543,IF(J545="RANBAXY",PR!$BA543,IF(J545="REALS",PR!$BB543,IF(J545="ROYAL",PR!$BC543,IF(J545="SAM",PR!$BD543,IF(J545="SEAGREEN",PR!$BE543,IF(J545="SKG",PR!$BF543,IF(J545="TAH",PR!$BG543,IF(J545="TAYLEK",PR!$BH543,IF(J545="TEMITA",PR!$BI543,IF(J545="THL",PR!$BJ543,IF(J545="UBASTIC",PR!$BK543,IF(J545="UNION",PR!$BL543,IF(J545="UNIQUE",PR!$BM543,IF(J545="VIXA",PR!$BN543,IF(J545="WWCV",PR!$BO543,IF(J545="ZOLON",PR!$BP543,"-"))))))))))))))))))))))))))))))))))))))))))))))))))))))))))))))))</f>
        <v>120</v>
      </c>
      <c r="J545" s="102" t="str">
        <f>EV!N700</f>
        <v>M&amp;B</v>
      </c>
      <c r="K545" s="433" t="s">
        <v>633</v>
      </c>
      <c r="L545" s="183">
        <f>IF(K545&gt;0,IF(K545="ALPHA",PR!$E543,IF(K545="ASSENE",PR!$F543,IF(K545="BIOFEM",PR!$G543,IF(K545="BIOMED",PR!$H543,IF(K545="CHI",PR!$I543,IF(K545="CLARION",PR!$J543,IF(K545="CODIX",PR!$K543,IF(K545="COSMADE",PR!$L543,IF(K545="SANCON",PR!$M543,IF(K545="DEVON",PR!$N543,IF(K545="DORTEMAG",PR!$O543,IF(K545="DGF",PR!$P543,IF(K545="DYNAMIC",PR!$Q543,IF(K545="EMZOR",PR!$R543,IF(K545="EUMATT",PR!$S543,IF(K545="FIDSON",PR!$T543,IF(K545="FCGLOBAL",PR!$U543,IF(K545="GENEITH",PR!$V543,IF(K545="GINOS",PR!$W543,IF(K545="GSK",PR!$X543,IF(K545="GLOBORG",PR!$Y543,IF(K545="GOODNEWS",PR!$Z543,IF(K545="GREENLIFE",PR!$AA543,IF(K545="HLINE",PR!$AB543,IF(K545="ROTECH",PR!$AC543,IF(K545="ISN",PR!$AD543,IF(K545="JAWA",PR!$AE543,IF(K545="LAYO",PR!$AF543,IF(K545="LEADWAY",PR!$AG543,IF(K545="LHV",PR!$AH543,IF(K545="MANOLA",PR!$AI543,IF(K545="MARCSON",PR!$AJ543,IF(K545="M&amp;B",PR!$AK543,IF(K545="MTRUST",PR!$AL543,IF(K545="MWORLD",PR!$AM543,IF(K545="MEGA",PR!$AN543,IF(K545="MICRONOVA",PR!$AO543,IF(K545="MFLASH",PR!$AP543,IF(K545="MORISON",PR!$AQ543,IF(K545="NEMEL",PR!$AR543,IF(K545="NHP",PR!$AS543,IF(K545="NHC",PR!$AT543,IF(K545="OLEAF",PR!$AU543,IF(K545="OCULUS",PR!$AV543,IF(K545="PACIFIC",PR!$AW543,IF(K545="PHAMATEX",PR!$AX543,IF(K545="PETHICS",PR!$AY543,IF(K545="PHILIPS",PR!$AZ543,IF(K545="RANBAXY",PR!$BA543,IF(K545="REALS",PR!$BB543,IF(K545="ROYAL",PR!$BC543,IF(K545="SAM",PR!$BD543,IF(K545="SEAGREEN",PR!$BE543,IF(K545="SKG",PR!$BF543,IF(K545="TAH",PR!$BG543,IF(K545="TAYLEK",PR!$BH543,IF(K545="TEMITA",PR!$BI543,IF(K545="THL",PR!$BJ543,IF(K545="UBASTIC",PR!$BK543,IF(K545="UNION",PR!$BL543,IF(K545="UNIQUE",PR!$BM543,IF(K545="VIXA",PR!$BN543,IF(K545="WWCV",PR!$BO543,IF(K545="ZOLON",PR!$BP543,"-")))))))))))))))))))))))))))))))))))))))))))))))))))))))))))))))))</f>
        <v>92</v>
      </c>
    </row>
    <row r="546" spans="1:12" ht="18.75" x14ac:dyDescent="0.3">
      <c r="A546" s="430">
        <f>PR!A544</f>
        <v>492</v>
      </c>
      <c r="B546" s="15" t="str">
        <f>PR!B544</f>
        <v xml:space="preserve">PSEUDOEPHEDRINE/TRIPROLIDINE SYR             </v>
      </c>
      <c r="C546" s="113" t="str">
        <f>PR!D544</f>
        <v>BOTT</v>
      </c>
      <c r="D546" s="113">
        <f>PR!C544</f>
        <v>120</v>
      </c>
      <c r="E546" s="108">
        <f>IF(F546="ALPHA",PR!$E544,IF(F546="ASSENE",PR!$F544,IF(F546="BIOFEM",PR!$G544,IF(F546="BIOMED",PR!$H544,IF(F546="CHI",PR!$I544,IF(F546="CLARION",PR!$J544,IF(F546="CODIX",PR!$K544,IF(F546="COSMADE",PR!$L544,IF(F546="SANCON",PR!$M544,IF(F546="DEVON",PR!$N544,IF(F546="DORTEMAG",PR!$O544,IF(F546="DGF",PR!$P544,IF(F546="DYNAMIC",PR!$Q544,IF(F546="EMZOR",PR!$R544,IF(F546="EUMATT",PR!$S544,IF(F546="FIDSON",PR!$T544,IF(F546="FCGLOBAL",PR!$U544,IF(F546="GENEITH",PR!$V544,IF(F546="GINOS",PR!$W544,IF(F546="GSK",PR!$X544,IF(F546="GLOBORG",PR!$Y544,IF(F546="GOODNEWS",PR!$Z544,IF(F546="GREENLIFE",PR!$AA544,IF(F546="HLINE",PR!$AB544,IF(F546="ROTECH",PR!$AC544,IF(F546="ISN",PR!$AD544,IF(F546="JAWA",PR!$AE544,IF(F546="LAYO",PR!$AF544,IF(F546="LEADWAY",PR!$AG544,IF(F546="LHV",PR!$AH544,IF(F546="MANOLA",PR!$AI544,IF(F546="MARCSON",PR!$AJ544,IF(F546="M&amp;B",PR!$AK544,IF(F546="MTRUST",PR!$AL544,IF(F546="MWORLD",PR!$AM544,IF(F546="MEGA",PR!$AN544,IF(F546="MICRONOVA",PR!$AO544,IF(F546="MFLASH",PR!$AP544,IF(F546="MORISON",PR!$AQ544,IF(F546="NEMEL",PR!$AR544,IF(F546="NHP",PR!$AS544,IF(F546="NHC",PR!$AT544,IF(F546="OLEAF",PR!$AU544,IF(F546="OCULUS",PR!$AV544,IF(F546="PACIFIC",PR!$AW544,IF(F546="PHAMATEX",PR!$AX544,IF(F546="PETHICS",PR!$AY544,IF(F546="PHILIPS",PR!$AZ544,IF(F546="RANBAXY",PR!$BA544,IF(F546="REALS",PR!$BB544,IF(F546="ROYAL",PR!$BC544,IF(F546="SAM",PR!$BD544,IF(F546="SEAGREEN",PR!$BE544,IF(F546="SKG",PR!$BF544,IF(F546="TAH",PR!$BG544,IF(F546="TAYLEK",PR!$BH544,IF(F546="TEMITA",PR!$BI544,IF(F546="THL",PR!$BJ544,IF(F546="UBASTIC",PR!$BK544,IF(F546="UNION",PR!$BL544,IF(F546="UNIQUE",PR!$BM544,IF(F546="VIXA",PR!$BN544,IF(F546="WWCV",PR!$BO544,IF(F546="ZOLON",PR!$BP544,"-"))))))))))))))))))))))))))))))))))))))))))))))))))))))))))))))))</f>
        <v>316.83</v>
      </c>
      <c r="F546" s="102" t="str">
        <f>EV!L701</f>
        <v>SKG</v>
      </c>
      <c r="G546" s="108" t="str">
        <f>IF(H546="ALPHA",PR!$E544,IF(H546="ASSENE",PR!$F544,IF(H546="BIOFEM",PR!$G544,IF(H546="BIOMED",PR!$H544,IF(H546="CHI",PR!$I544,IF(H546="CLARION",PR!$J544,IF(H546="CODIX",PR!$K544,IF(H546="COSMADE",PR!$L544,IF(H546="SANCON",PR!$M544,IF(H546="DEVON",PR!$N544,IF(H546="DORTEMAG",PR!$O544,IF(H546="DGF",PR!$P544,IF(H546="DYNAMIC",PR!$Q544,IF(H546="EMZOR",PR!$R544,IF(H546="EUMATT",PR!$S544,IF(H546="FIDSON",PR!$T544,IF(H546="FCGLOBAL",PR!$U544,IF(H546="GENEITH",PR!$V544,IF(H546="GINOS",PR!$W544,IF(H546="GSK",PR!$X544,IF(H546="GLOBORG",PR!$Y544,IF(H546="GOODNEWS",PR!$Z544,IF(H546="GREENLIFE",PR!$AA544,IF(H546="HLINE",PR!$AB544,IF(H546="ROTECH",PR!$AC544,IF(H546="ISN",PR!$AD544,IF(H546="JAWA",PR!$AE544,IF(H546="LAYO",PR!$AF544,IF(H546="LEADWAY",PR!$AG544,IF(H546="LHV",PR!$AH544,IF(H546="MANOLA",PR!$AI544,IF(H546="MARCSON",PR!$AJ544,IF(H546="M&amp;B",PR!$AK544,IF(H546="MTRUST",PR!$AL544,IF(H546="MWORLD",PR!$AM544,IF(H546="MEGA",PR!$AN544,IF(H546="MICRONOVA",PR!$AO544,IF(H546="MFLASH",PR!$AP544,IF(H546="MORISON",PR!$AQ544,IF(H546="NEMEL",PR!$AR544,IF(H546="NHP",PR!$AS544,IF(H546="NHC",PR!$AT544,IF(H546="OLEAF",PR!$AU544,IF(H546="OCULUS",PR!$AV544,IF(H546="PACIFIC",PR!$AW544,IF(H546="PHAMATEX",PR!$AX544,IF(H546="PETHICS",PR!$AY544,IF(H546="PHILIPS",PR!$AZ544,IF(H546="RANBAXY",PR!$BA544,IF(H546="REALS",PR!$BB544,IF(H546="ROYAL",PR!$BC544,IF(H546="SAM",PR!$BD544,IF(H546="SEAGREEN",PR!$BE544,IF(H546="SKG",PR!$BF544,IF(H546="TAH",PR!$BG544,IF(H546="TAYLEK",PR!$BH544,IF(H546="TEMITA",PR!$BI544,IF(H546="THL",PR!$BJ544,IF(H546="UBASTIC",PR!$BK544,IF(H546="UNION",PR!$BL544,IF(H546="UNIQUE",PR!$BM544,IF(H546="VIXA",PR!$BN544,IF(H546="WWCV",PR!$BO544,IF(H546="ZOLON",PR!$BP544,"-"))))))))))))))))))))))))))))))))))))))))))))))))))))))))))))))))</f>
        <v>-</v>
      </c>
      <c r="H546" s="102">
        <f>EV!M701</f>
        <v>0</v>
      </c>
      <c r="I546" s="108" t="str">
        <f>IF(J546="ALPHA",PR!$E544,IF(J546="ASSENE",PR!$F544,IF(J546="BIOFEM",PR!$G544,IF(J546="BIOMED",PR!$H544,IF(J546="CHI",PR!$I544,IF(J546="CLARION",PR!$J544,IF(J546="CODIX",PR!$K544,IF(J546="COSMADE",PR!$L544,IF(J546="SANCON",PR!$M544,IF(J546="DEVON",PR!$N544,IF(J546="DORTEMAG",PR!$O544,IF(J546="DGF",PR!$P544,IF(J546="DYNAMIC",PR!$Q544,IF(J546="EMZOR",PR!$R544,IF(J546="EUMATT",PR!$S544,IF(J546="FIDSON",PR!$T544,IF(J546="FCGLOBAL",PR!$U544,IF(J546="GENEITH",PR!$V544,IF(J546="GINOS",PR!$W544,IF(J546="GSK",PR!$X544,IF(J546="GLOBORG",PR!$Y544,IF(J546="GOODNEWS",PR!$Z544,IF(J546="GREENLIFE",PR!$AA544,IF(J546="HLINE",PR!$AB544,IF(J546="ROTECH",PR!$AC544,IF(J546="ISN",PR!$AD544,IF(J546="JAWA",PR!$AE544,IF(J546="LAYO",PR!$AF544,IF(J546="LEADWAY",PR!$AG544,IF(J546="LHV",PR!$AH544,IF(J546="MANOLA",PR!$AI544,IF(J546="MARCSON",PR!$AJ544,IF(J546="M&amp;B",PR!$AK544,IF(J546="MTRUST",PR!$AL544,IF(J546="MWORLD",PR!$AM544,IF(J546="MEGA",PR!$AN544,IF(J546="MICRONOVA",PR!$AO544,IF(J546="MFLASH",PR!$AP544,IF(J546="MORISON",PR!$AQ544,IF(J546="NEMEL",PR!$AR544,IF(J546="NHP",PR!$AS544,IF(J546="NHC",PR!$AT544,IF(J546="OLEAF",PR!$AU544,IF(J546="OCULUS",PR!$AV544,IF(J546="PACIFIC",PR!$AW544,IF(J546="PHAMATEX",PR!$AX544,IF(J546="PETHICS",PR!$AY544,IF(J546="PHILIPS",PR!$AZ544,IF(J546="RANBAXY",PR!$BA544,IF(J546="REALS",PR!$BB544,IF(J546="ROYAL",PR!$BC544,IF(J546="SAM",PR!$BD544,IF(J546="SEAGREEN",PR!$BE544,IF(J546="SKG",PR!$BF544,IF(J546="TAH",PR!$BG544,IF(J546="TAYLEK",PR!$BH544,IF(J546="TEMITA",PR!$BI544,IF(J546="THL",PR!$BJ544,IF(J546="UBASTIC",PR!$BK544,IF(J546="UNION",PR!$BL544,IF(J546="UNIQUE",PR!$BM544,IF(J546="VIXA",PR!$BN544,IF(J546="WWCV",PR!$BO544,IF(J546="ZOLON",PR!$BP544,"-"))))))))))))))))))))))))))))))))))))))))))))))))))))))))))))))))</f>
        <v>-</v>
      </c>
      <c r="J546" s="102">
        <f>EV!N701</f>
        <v>0</v>
      </c>
      <c r="K546" s="433" t="s">
        <v>387</v>
      </c>
      <c r="L546" s="183">
        <f>IF(K546&gt;0,IF(K546="ALPHA",PR!$E544,IF(K546="ASSENE",PR!$F544,IF(K546="BIOFEM",PR!$G544,IF(K546="BIOMED",PR!$H544,IF(K546="CHI",PR!$I544,IF(K546="CLARION",PR!$J544,IF(K546="CODIX",PR!$K544,IF(K546="COSMADE",PR!$L544,IF(K546="SANCON",PR!$M544,IF(K546="DEVON",PR!$N544,IF(K546="DORTEMAG",PR!$O544,IF(K546="DGF",PR!$P544,IF(K546="DYNAMIC",PR!$Q544,IF(K546="EMZOR",PR!$R544,IF(K546="EUMATT",PR!$S544,IF(K546="FIDSON",PR!$T544,IF(K546="FCGLOBAL",PR!$U544,IF(K546="GENEITH",PR!$V544,IF(K546="GINOS",PR!$W544,IF(K546="GSK",PR!$X544,IF(K546="GLOBORG",PR!$Y544,IF(K546="GOODNEWS",PR!$Z544,IF(K546="GREENLIFE",PR!$AA544,IF(K546="HLINE",PR!$AB544,IF(K546="ROTECH",PR!$AC544,IF(K546="ISN",PR!$AD544,IF(K546="JAWA",PR!$AE544,IF(K546="LAYO",PR!$AF544,IF(K546="LEADWAY",PR!$AG544,IF(K546="LHV",PR!$AH544,IF(K546="MANOLA",PR!$AI544,IF(K546="MARCSON",PR!$AJ544,IF(K546="M&amp;B",PR!$AK544,IF(K546="MTRUST",PR!$AL544,IF(K546="MWORLD",PR!$AM544,IF(K546="MEGA",PR!$AN544,IF(K546="MICRONOVA",PR!$AO544,IF(K546="MFLASH",PR!$AP544,IF(K546="MORISON",PR!$AQ544,IF(K546="NEMEL",PR!$AR544,IF(K546="NHP",PR!$AS544,IF(K546="NHC",PR!$AT544,IF(K546="OLEAF",PR!$AU544,IF(K546="OCULUS",PR!$AV544,IF(K546="PACIFIC",PR!$AW544,IF(K546="PHAMATEX",PR!$AX544,IF(K546="PETHICS",PR!$AY544,IF(K546="PHILIPS",PR!$AZ544,IF(K546="RANBAXY",PR!$BA544,IF(K546="REALS",PR!$BB544,IF(K546="ROYAL",PR!$BC544,IF(K546="SAM",PR!$BD544,IF(K546="SEAGREEN",PR!$BE544,IF(K546="SKG",PR!$BF544,IF(K546="TAH",PR!$BG544,IF(K546="TAYLEK",PR!$BH544,IF(K546="TEMITA",PR!$BI544,IF(K546="THL",PR!$BJ544,IF(K546="UBASTIC",PR!$BK544,IF(K546="UNION",PR!$BL544,IF(K546="UNIQUE",PR!$BM544,IF(K546="VIXA",PR!$BN544,IF(K546="WWCV",PR!$BO544,IF(K546="ZOLON",PR!$BP544,"-")))))))))))))))))))))))))))))))))))))))))))))))))))))))))))))))))</f>
        <v>316.83</v>
      </c>
    </row>
    <row r="547" spans="1:12" ht="18.75" x14ac:dyDescent="0.3">
      <c r="A547" s="430">
        <f>PR!A545</f>
        <v>493</v>
      </c>
      <c r="B547" s="15" t="str">
        <f>PR!B545</f>
        <v>PSEUDOEPHEDRINE/TRIPROLIDINE TAB</v>
      </c>
      <c r="C547" s="113">
        <f>PR!D545</f>
        <v>100</v>
      </c>
      <c r="D547" s="113">
        <f>PR!C545</f>
        <v>80</v>
      </c>
      <c r="E547" s="108">
        <f>IF(F547="ALPHA",PR!$E545,IF(F547="ASSENE",PR!$F545,IF(F547="BIOFEM",PR!$G545,IF(F547="BIOMED",PR!$H545,IF(F547="CHI",PR!$I545,IF(F547="CLARION",PR!$J545,IF(F547="CODIX",PR!$K545,IF(F547="COSMADE",PR!$L545,IF(F547="SANCON",PR!$M545,IF(F547="DEVON",PR!$N545,IF(F547="DORTEMAG",PR!$O545,IF(F547="DGF",PR!$P545,IF(F547="DYNAMIC",PR!$Q545,IF(F547="EMZOR",PR!$R545,IF(F547="EUMATT",PR!$S545,IF(F547="FIDSON",PR!$T545,IF(F547="FCGLOBAL",PR!$U545,IF(F547="GENEITH",PR!$V545,IF(F547="GINOS",PR!$W545,IF(F547="GSK",PR!$X545,IF(F547="GLOBORG",PR!$Y545,IF(F547="GOODNEWS",PR!$Z545,IF(F547="GREENLIFE",PR!$AA545,IF(F547="HLINE",PR!$AB545,IF(F547="ROTECH",PR!$AC545,IF(F547="ISN",PR!$AD545,IF(F547="JAWA",PR!$AE545,IF(F547="LAYO",PR!$AF545,IF(F547="LEADWAY",PR!$AG545,IF(F547="LHV",PR!$AH545,IF(F547="MANOLA",PR!$AI545,IF(F547="MARCSON",PR!$AJ545,IF(F547="M&amp;B",PR!$AK545,IF(F547="MTRUST",PR!$AL545,IF(F547="MWORLD",PR!$AM545,IF(F547="MEGA",PR!$AN545,IF(F547="MICRONOVA",PR!$AO545,IF(F547="MFLASH",PR!$AP545,IF(F547="MORISON",PR!$AQ545,IF(F547="NEMEL",PR!$AR545,IF(F547="NHP",PR!$AS545,IF(F547="NHC",PR!$AT545,IF(F547="OLEAF",PR!$AU545,IF(F547="OCULUS",PR!$AV545,IF(F547="PACIFIC",PR!$AW545,IF(F547="PHAMATEX",PR!$AX545,IF(F547="PETHICS",PR!$AY545,IF(F547="PHILIPS",PR!$AZ545,IF(F547="RANBAXY",PR!$BA545,IF(F547="REALS",PR!$BB545,IF(F547="ROYAL",PR!$BC545,IF(F547="SAM",PR!$BD545,IF(F547="SEAGREEN",PR!$BE545,IF(F547="SKG",PR!$BF545,IF(F547="TAH",PR!$BG545,IF(F547="TAYLEK",PR!$BH545,IF(F547="TEMITA",PR!$BI545,IF(F547="THL",PR!$BJ545,IF(F547="UBASTIC",PR!$BK545,IF(F547="UNION",PR!$BL545,IF(F547="UNIQUE",PR!$BM545,IF(F547="VIXA",PR!$BN545,IF(F547="WWCV",PR!$BO545,IF(F547="ZOLON",PR!$BP545,"-"))))))))))))))))))))))))))))))))))))))))))))))))))))))))))))))))</f>
        <v>1853.78</v>
      </c>
      <c r="F547" s="102" t="str">
        <f>EV!L702</f>
        <v>SKG</v>
      </c>
      <c r="G547" s="108" t="str">
        <f>IF(H547="ALPHA",PR!$E545,IF(H547="ASSENE",PR!$F545,IF(H547="BIOFEM",PR!$G545,IF(H547="BIOMED",PR!$H545,IF(H547="CHI",PR!$I545,IF(H547="CLARION",PR!$J545,IF(H547="CODIX",PR!$K545,IF(H547="COSMADE",PR!$L545,IF(H547="SANCON",PR!$M545,IF(H547="DEVON",PR!$N545,IF(H547="DORTEMAG",PR!$O545,IF(H547="DGF",PR!$P545,IF(H547="DYNAMIC",PR!$Q545,IF(H547="EMZOR",PR!$R545,IF(H547="EUMATT",PR!$S545,IF(H547="FIDSON",PR!$T545,IF(H547="FCGLOBAL",PR!$U545,IF(H547="GENEITH",PR!$V545,IF(H547="GINOS",PR!$W545,IF(H547="GSK",PR!$X545,IF(H547="GLOBORG",PR!$Y545,IF(H547="GOODNEWS",PR!$Z545,IF(H547="GREENLIFE",PR!$AA545,IF(H547="HLINE",PR!$AB545,IF(H547="ROTECH",PR!$AC545,IF(H547="ISN",PR!$AD545,IF(H547="JAWA",PR!$AE545,IF(H547="LAYO",PR!$AF545,IF(H547="LEADWAY",PR!$AG545,IF(H547="LHV",PR!$AH545,IF(H547="MANOLA",PR!$AI545,IF(H547="MARCSON",PR!$AJ545,IF(H547="M&amp;B",PR!$AK545,IF(H547="MTRUST",PR!$AL545,IF(H547="MWORLD",PR!$AM545,IF(H547="MEGA",PR!$AN545,IF(H547="MICRONOVA",PR!$AO545,IF(H547="MFLASH",PR!$AP545,IF(H547="MORISON",PR!$AQ545,IF(H547="NEMEL",PR!$AR545,IF(H547="NHP",PR!$AS545,IF(H547="NHC",PR!$AT545,IF(H547="OLEAF",PR!$AU545,IF(H547="OCULUS",PR!$AV545,IF(H547="PACIFIC",PR!$AW545,IF(H547="PHAMATEX",PR!$AX545,IF(H547="PETHICS",PR!$AY545,IF(H547="PHILIPS",PR!$AZ545,IF(H547="RANBAXY",PR!$BA545,IF(H547="REALS",PR!$BB545,IF(H547="ROYAL",PR!$BC545,IF(H547="SAM",PR!$BD545,IF(H547="SEAGREEN",PR!$BE545,IF(H547="SKG",PR!$BF545,IF(H547="TAH",PR!$BG545,IF(H547="TAYLEK",PR!$BH545,IF(H547="TEMITA",PR!$BI545,IF(H547="THL",PR!$BJ545,IF(H547="UBASTIC",PR!$BK545,IF(H547="UNION",PR!$BL545,IF(H547="UNIQUE",PR!$BM545,IF(H547="VIXA",PR!$BN545,IF(H547="WWCV",PR!$BO545,IF(H547="ZOLON",PR!$BP545,"-"))))))))))))))))))))))))))))))))))))))))))))))))))))))))))))))))</f>
        <v>-</v>
      </c>
      <c r="H547" s="102">
        <f>EV!M702</f>
        <v>0</v>
      </c>
      <c r="I547" s="108" t="str">
        <f>IF(J547="ALPHA",PR!$E545,IF(J547="ASSENE",PR!$F545,IF(J547="BIOFEM",PR!$G545,IF(J547="BIOMED",PR!$H545,IF(J547="CHI",PR!$I545,IF(J547="CLARION",PR!$J545,IF(J547="CODIX",PR!$K545,IF(J547="COSMADE",PR!$L545,IF(J547="SANCON",PR!$M545,IF(J547="DEVON",PR!$N545,IF(J547="DORTEMAG",PR!$O545,IF(J547="DGF",PR!$P545,IF(J547="DYNAMIC",PR!$Q545,IF(J547="EMZOR",PR!$R545,IF(J547="EUMATT",PR!$S545,IF(J547="FIDSON",PR!$T545,IF(J547="FCGLOBAL",PR!$U545,IF(J547="GENEITH",PR!$V545,IF(J547="GINOS",PR!$W545,IF(J547="GSK",PR!$X545,IF(J547="GLOBORG",PR!$Y545,IF(J547="GOODNEWS",PR!$Z545,IF(J547="GREENLIFE",PR!$AA545,IF(J547="HLINE",PR!$AB545,IF(J547="ROTECH",PR!$AC545,IF(J547="ISN",PR!$AD545,IF(J547="JAWA",PR!$AE545,IF(J547="LAYO",PR!$AF545,IF(J547="LEADWAY",PR!$AG545,IF(J547="LHV",PR!$AH545,IF(J547="MANOLA",PR!$AI545,IF(J547="MARCSON",PR!$AJ545,IF(J547="M&amp;B",PR!$AK545,IF(J547="MTRUST",PR!$AL545,IF(J547="MWORLD",PR!$AM545,IF(J547="MEGA",PR!$AN545,IF(J547="MICRONOVA",PR!$AO545,IF(J547="MFLASH",PR!$AP545,IF(J547="MORISON",PR!$AQ545,IF(J547="NEMEL",PR!$AR545,IF(J547="NHP",PR!$AS545,IF(J547="NHC",PR!$AT545,IF(J547="OLEAF",PR!$AU545,IF(J547="OCULUS",PR!$AV545,IF(J547="PACIFIC",PR!$AW545,IF(J547="PHAMATEX",PR!$AX545,IF(J547="PETHICS",PR!$AY545,IF(J547="PHILIPS",PR!$AZ545,IF(J547="RANBAXY",PR!$BA545,IF(J547="REALS",PR!$BB545,IF(J547="ROYAL",PR!$BC545,IF(J547="SAM",PR!$BD545,IF(J547="SEAGREEN",PR!$BE545,IF(J547="SKG",PR!$BF545,IF(J547="TAH",PR!$BG545,IF(J547="TAYLEK",PR!$BH545,IF(J547="TEMITA",PR!$BI545,IF(J547="THL",PR!$BJ545,IF(J547="UBASTIC",PR!$BK545,IF(J547="UNION",PR!$BL545,IF(J547="UNIQUE",PR!$BM545,IF(J547="VIXA",PR!$BN545,IF(J547="WWCV",PR!$BO545,IF(J547="ZOLON",PR!$BP545,"-"))))))))))))))))))))))))))))))))))))))))))))))))))))))))))))))))</f>
        <v>-</v>
      </c>
      <c r="J547" s="102">
        <f>EV!N702</f>
        <v>0</v>
      </c>
      <c r="K547" s="433" t="s">
        <v>387</v>
      </c>
      <c r="L547" s="183">
        <f>IF(K547&gt;0,IF(K547="ALPHA",PR!$E545,IF(K547="ASSENE",PR!$F545,IF(K547="BIOFEM",PR!$G545,IF(K547="BIOMED",PR!$H545,IF(K547="CHI",PR!$I545,IF(K547="CLARION",PR!$J545,IF(K547="CODIX",PR!$K545,IF(K547="COSMADE",PR!$L545,IF(K547="SANCON",PR!$M545,IF(K547="DEVON",PR!$N545,IF(K547="DORTEMAG",PR!$O545,IF(K547="DGF",PR!$P545,IF(K547="DYNAMIC",PR!$Q545,IF(K547="EMZOR",PR!$R545,IF(K547="EUMATT",PR!$S545,IF(K547="FIDSON",PR!$T545,IF(K547="FCGLOBAL",PR!$U545,IF(K547="GENEITH",PR!$V545,IF(K547="GINOS",PR!$W545,IF(K547="GSK",PR!$X545,IF(K547="GLOBORG",PR!$Y545,IF(K547="GOODNEWS",PR!$Z545,IF(K547="GREENLIFE",PR!$AA545,IF(K547="HLINE",PR!$AB545,IF(K547="ROTECH",PR!$AC545,IF(K547="ISN",PR!$AD545,IF(K547="JAWA",PR!$AE545,IF(K547="LAYO",PR!$AF545,IF(K547="LEADWAY",PR!$AG545,IF(K547="LHV",PR!$AH545,IF(K547="MANOLA",PR!$AI545,IF(K547="MARCSON",PR!$AJ545,IF(K547="M&amp;B",PR!$AK545,IF(K547="MTRUST",PR!$AL545,IF(K547="MWORLD",PR!$AM545,IF(K547="MEGA",PR!$AN545,IF(K547="MICRONOVA",PR!$AO545,IF(K547="MFLASH",PR!$AP545,IF(K547="MORISON",PR!$AQ545,IF(K547="NEMEL",PR!$AR545,IF(K547="NHP",PR!$AS545,IF(K547="NHC",PR!$AT545,IF(K547="OLEAF",PR!$AU545,IF(K547="OCULUS",PR!$AV545,IF(K547="PACIFIC",PR!$AW545,IF(K547="PHAMATEX",PR!$AX545,IF(K547="PETHICS",PR!$AY545,IF(K547="PHILIPS",PR!$AZ545,IF(K547="RANBAXY",PR!$BA545,IF(K547="REALS",PR!$BB545,IF(K547="ROYAL",PR!$BC545,IF(K547="SAM",PR!$BD545,IF(K547="SEAGREEN",PR!$BE545,IF(K547="SKG",PR!$BF545,IF(K547="TAH",PR!$BG545,IF(K547="TAYLEK",PR!$BH545,IF(K547="TEMITA",PR!$BI545,IF(K547="THL",PR!$BJ545,IF(K547="UBASTIC",PR!$BK545,IF(K547="UNION",PR!$BL545,IF(K547="UNIQUE",PR!$BM545,IF(K547="VIXA",PR!$BN545,IF(K547="WWCV",PR!$BO545,IF(K547="ZOLON",PR!$BP545,"-")))))))))))))))))))))))))))))))))))))))))))))))))))))))))))))))))</f>
        <v>1853.78</v>
      </c>
    </row>
    <row r="548" spans="1:12" ht="18.75" x14ac:dyDescent="0.3">
      <c r="A548" s="430">
        <f>PR!A546</f>
        <v>0</v>
      </c>
      <c r="B548" s="15">
        <f>PR!B546</f>
        <v>0</v>
      </c>
      <c r="C548" s="113">
        <f>PR!D546</f>
        <v>0</v>
      </c>
      <c r="D548" s="113">
        <f>PR!C546</f>
        <v>0</v>
      </c>
      <c r="E548" s="108" t="str">
        <f>IF(F548="ALPHA",PR!$E546,IF(F548="ASSENE",PR!$F546,IF(F548="BIOFEM",PR!$G546,IF(F548="BIOMED",PR!$H546,IF(F548="CHI",PR!$I546,IF(F548="CLARION",PR!$J546,IF(F548="CODIX",PR!$K546,IF(F548="COSMADE",PR!$L546,IF(F548="SANCON",PR!$M546,IF(F548="DEVON",PR!$N546,IF(F548="DORTEMAG",PR!$O546,IF(F548="DGF",PR!$P546,IF(F548="DYNAMIC",PR!$Q546,IF(F548="EMZOR",PR!$R546,IF(F548="EUMATT",PR!$S546,IF(F548="FIDSON",PR!$T546,IF(F548="FCGLOBAL",PR!$U546,IF(F548="GENEITH",PR!$V546,IF(F548="GINOS",PR!$W546,IF(F548="GSK",PR!$X546,IF(F548="GLOBORG",PR!$Y546,IF(F548="GOODNEWS",PR!$Z546,IF(F548="GREENLIFE",PR!$AA546,IF(F548="HLINE",PR!$AB546,IF(F548="ROTECH",PR!$AC546,IF(F548="ISN",PR!$AD546,IF(F548="JAWA",PR!$AE546,IF(F548="LAYO",PR!$AF546,IF(F548="LEADWAY",PR!$AG546,IF(F548="LHV",PR!$AH546,IF(F548="MANOLA",PR!$AI546,IF(F548="MARCSON",PR!$AJ546,IF(F548="M&amp;B",PR!$AK546,IF(F548="MTRUST",PR!$AL546,IF(F548="MWORLD",PR!$AM546,IF(F548="MEGA",PR!$AN546,IF(F548="MICRONOVA",PR!$AO546,IF(F548="MFLASH",PR!$AP546,IF(F548="MORISON",PR!$AQ546,IF(F548="NEMEL",PR!$AR546,IF(F548="NHP",PR!$AS546,IF(F548="NHC",PR!$AT546,IF(F548="OLEAF",PR!$AU546,IF(F548="OCULUS",PR!$AV546,IF(F548="PACIFIC",PR!$AW546,IF(F548="PHAMATEX",PR!$AX546,IF(F548="PETHICS",PR!$AY546,IF(F548="PHILIPS",PR!$AZ546,IF(F548="RANBAXY",PR!$BA546,IF(F548="REALS",PR!$BB546,IF(F548="ROYAL",PR!$BC546,IF(F548="SAM",PR!$BD546,IF(F548="SEAGREEN",PR!$BE546,IF(F548="SKG",PR!$BF546,IF(F548="TAH",PR!$BG546,IF(F548="TAYLEK",PR!$BH546,IF(F548="TEMITA",PR!$BI546,IF(F548="THL",PR!$BJ546,IF(F548="UBASTIC",PR!$BK546,IF(F548="UNION",PR!$BL546,IF(F548="UNIQUE",PR!$BM546,IF(F548="VIXA",PR!$BN546,IF(F548="WWCV",PR!$BO546,IF(F548="ZOLON",PR!$BP546,"-"))))))))))))))))))))))))))))))))))))))))))))))))))))))))))))))))</f>
        <v>-</v>
      </c>
      <c r="F548" s="102"/>
      <c r="G548" s="108" t="str">
        <f>IF(H548="ALPHA",PR!$E546,IF(H548="ASSENE",PR!$F546,IF(H548="BIOFEM",PR!$G546,IF(H548="BIOMED",PR!$H546,IF(H548="CHI",PR!$I546,IF(H548="CLARION",PR!$J546,IF(H548="CODIX",PR!$K546,IF(H548="COSMADE",PR!$L546,IF(H548="SANCON",PR!$M546,IF(H548="DEVON",PR!$N546,IF(H548="DORTEMAG",PR!$O546,IF(H548="DGF",PR!$P546,IF(H548="DYNAMIC",PR!$Q546,IF(H548="EMZOR",PR!$R546,IF(H548="EUMATT",PR!$S546,IF(H548="FIDSON",PR!$T546,IF(H548="FCGLOBAL",PR!$U546,IF(H548="GENEITH",PR!$V546,IF(H548="GINOS",PR!$W546,IF(H548="GSK",PR!$X546,IF(H548="GLOBORG",PR!$Y546,IF(H548="GOODNEWS",PR!$Z546,IF(H548="GREENLIFE",PR!$AA546,IF(H548="HLINE",PR!$AB546,IF(H548="ROTECH",PR!$AC546,IF(H548="ISN",PR!$AD546,IF(H548="JAWA",PR!$AE546,IF(H548="LAYO",PR!$AF546,IF(H548="LEADWAY",PR!$AG546,IF(H548="LHV",PR!$AH546,IF(H548="MANOLA",PR!$AI546,IF(H548="MARCSON",PR!$AJ546,IF(H548="M&amp;B",PR!$AK546,IF(H548="MTRUST",PR!$AL546,IF(H548="MWORLD",PR!$AM546,IF(H548="MEGA",PR!$AN546,IF(H548="MICRONOVA",PR!$AO546,IF(H548="MFLASH",PR!$AP546,IF(H548="MORISON",PR!$AQ546,IF(H548="NEMEL",PR!$AR546,IF(H548="NHP",PR!$AS546,IF(H548="NHC",PR!$AT546,IF(H548="OLEAF",PR!$AU546,IF(H548="OCULUS",PR!$AV546,IF(H548="PACIFIC",PR!$AW546,IF(H548="PHAMATEX",PR!$AX546,IF(H548="PETHICS",PR!$AY546,IF(H548="PHILIPS",PR!$AZ546,IF(H548="RANBAXY",PR!$BA546,IF(H548="REALS",PR!$BB546,IF(H548="ROYAL",PR!$BC546,IF(H548="SAM",PR!$BD546,IF(H548="SEAGREEN",PR!$BE546,IF(H548="SKG",PR!$BF546,IF(H548="TAH",PR!$BG546,IF(H548="TAYLEK",PR!$BH546,IF(H548="TEMITA",PR!$BI546,IF(H548="THL",PR!$BJ546,IF(H548="UBASTIC",PR!$BK546,IF(H548="UNION",PR!$BL546,IF(H548="UNIQUE",PR!$BM546,IF(H548="VIXA",PR!$BN546,IF(H548="WWCV",PR!$BO546,IF(H548="ZOLON",PR!$BP546,"-"))))))))))))))))))))))))))))))))))))))))))))))))))))))))))))))))</f>
        <v>-</v>
      </c>
      <c r="H548" s="102"/>
      <c r="I548" s="108" t="str">
        <f>IF(J548="ALPHA",PR!$E546,IF(J548="ASSENE",PR!$F546,IF(J548="BIOFEM",PR!$G546,IF(J548="BIOMED",PR!$H546,IF(J548="CHI",PR!$I546,IF(J548="CLARION",PR!$J546,IF(J548="CODIX",PR!$K546,IF(J548="COSMADE",PR!$L546,IF(J548="SANCON",PR!$M546,IF(J548="DEVON",PR!$N546,IF(J548="DORTEMAG",PR!$O546,IF(J548="DGF",PR!$P546,IF(J548="DYNAMIC",PR!$Q546,IF(J548="EMZOR",PR!$R546,IF(J548="EUMATT",PR!$S546,IF(J548="FIDSON",PR!$T546,IF(J548="FCGLOBAL",PR!$U546,IF(J548="GENEITH",PR!$V546,IF(J548="GINOS",PR!$W546,IF(J548="GSK",PR!$X546,IF(J548="GLOBORG",PR!$Y546,IF(J548="GOODNEWS",PR!$Z546,IF(J548="GREENLIFE",PR!$AA546,IF(J548="HLINE",PR!$AB546,IF(J548="ROTECH",PR!$AC546,IF(J548="ISN",PR!$AD546,IF(J548="JAWA",PR!$AE546,IF(J548="LAYO",PR!$AF546,IF(J548="LEADWAY",PR!$AG546,IF(J548="LHV",PR!$AH546,IF(J548="MANOLA",PR!$AI546,IF(J548="MARCSON",PR!$AJ546,IF(J548="M&amp;B",PR!$AK546,IF(J548="MTRUST",PR!$AL546,IF(J548="MWORLD",PR!$AM546,IF(J548="MEGA",PR!$AN546,IF(J548="MICRONOVA",PR!$AO546,IF(J548="MFLASH",PR!$AP546,IF(J548="MORISON",PR!$AQ546,IF(J548="NEMEL",PR!$AR546,IF(J548="NHP",PR!$AS546,IF(J548="NHC",PR!$AT546,IF(J548="OLEAF",PR!$AU546,IF(J548="OCULUS",PR!$AV546,IF(J548="PACIFIC",PR!$AW546,IF(J548="PHAMATEX",PR!$AX546,IF(J548="PETHICS",PR!$AY546,IF(J548="PHILIPS",PR!$AZ546,IF(J548="RANBAXY",PR!$BA546,IF(J548="REALS",PR!$BB546,IF(J548="ROYAL",PR!$BC546,IF(J548="SAM",PR!$BD546,IF(J548="SEAGREEN",PR!$BE546,IF(J548="SKG",PR!$BF546,IF(J548="TAH",PR!$BG546,IF(J548="TAYLEK",PR!$BH546,IF(J548="TEMITA",PR!$BI546,IF(J548="THL",PR!$BJ546,IF(J548="UBASTIC",PR!$BK546,IF(J548="UNION",PR!$BL546,IF(J548="UNIQUE",PR!$BM546,IF(J548="VIXA",PR!$BN546,IF(J548="WWCV",PR!$BO546,IF(J548="ZOLON",PR!$BP546,"-"))))))))))))))))))))))))))))))))))))))))))))))))))))))))))))))))</f>
        <v>-</v>
      </c>
      <c r="J548" s="102"/>
      <c r="K548" s="433"/>
      <c r="L548" s="183" t="b">
        <f>IF(K548&gt;0,IF(K548="ALPHA",PR!$E546,IF(K548="ASSENE",PR!$F546,IF(K548="BIOFEM",PR!$G546,IF(K548="BIOMED",PR!$H546,IF(K548="CHI",PR!$I546,IF(K548="CLARION",PR!$J546,IF(K548="CODIX",PR!$K546,IF(K548="COSMADE",PR!$L546,IF(K548="SANCON",PR!$M546,IF(K548="DEVON",PR!$N546,IF(K548="DORTEMAG",PR!$O546,IF(K548="DGF",PR!$P546,IF(K548="DYNAMIC",PR!$Q546,IF(K548="EMZOR",PR!$R546,IF(K548="EUMATT",PR!$S546,IF(K548="FIDSON",PR!$T546,IF(K548="FCGLOBAL",PR!$U546,IF(K548="GENEITH",PR!$V546,IF(K548="GINOS",PR!$W546,IF(K548="GSK",PR!$X546,IF(K548="GLOBORG",PR!$Y546,IF(K548="GOODNEWS",PR!$Z546,IF(K548="GREENLIFE",PR!$AA546,IF(K548="HLINE",PR!$AB546,IF(K548="ROTECH",PR!$AC546,IF(K548="ISN",PR!$AD546,IF(K548="JAWA",PR!$AE546,IF(K548="LAYO",PR!$AF546,IF(K548="LEADWAY",PR!$AG546,IF(K548="LHV",PR!$AH546,IF(K548="MANOLA",PR!$AI546,IF(K548="MARCSON",PR!$AJ546,IF(K548="M&amp;B",PR!$AK546,IF(K548="MTRUST",PR!$AL546,IF(K548="MWORLD",PR!$AM546,IF(K548="MEGA",PR!$AN546,IF(K548="MICRONOVA",PR!$AO546,IF(K548="MFLASH",PR!$AP546,IF(K548="MORISON",PR!$AQ546,IF(K548="NEMEL",PR!$AR546,IF(K548="NHP",PR!$AS546,IF(K548="NHC",PR!$AT546,IF(K548="OLEAF",PR!$AU546,IF(K548="OCULUS",PR!$AV546,IF(K548="PACIFIC",PR!$AW546,IF(K548="PHAMATEX",PR!$AX546,IF(K548="PETHICS",PR!$AY546,IF(K548="PHILIPS",PR!$AZ546,IF(K548="RANBAXY",PR!$BA546,IF(K548="REALS",PR!$BB546,IF(K548="ROYAL",PR!$BC546,IF(K548="SAM",PR!$BD546,IF(K548="SEAGREEN",PR!$BE546,IF(K548="SKG",PR!$BF546,IF(K548="TAH",PR!$BG546,IF(K548="TAYLEK",PR!$BH546,IF(K548="TEMITA",PR!$BI546,IF(K548="THL",PR!$BJ546,IF(K548="UBASTIC",PR!$BK546,IF(K548="UNION",PR!$BL546,IF(K548="UNIQUE",PR!$BM546,IF(K548="VIXA",PR!$BN546,IF(K548="WWCV",PR!$BO546,IF(K548="ZOLON",PR!$BP546,"-")))))))))))))))))))))))))))))))))))))))))))))))))))))))))))))))))</f>
        <v>0</v>
      </c>
    </row>
    <row r="549" spans="1:12" ht="18.75" x14ac:dyDescent="0.3">
      <c r="A549" s="430">
        <f>PR!A547</f>
        <v>0</v>
      </c>
      <c r="B549" s="15">
        <f>PR!B547</f>
        <v>0</v>
      </c>
      <c r="C549" s="113">
        <f>PR!D547</f>
        <v>0</v>
      </c>
      <c r="D549" s="113">
        <f>PR!C547</f>
        <v>0</v>
      </c>
      <c r="E549" s="108" t="str">
        <f>IF(F549="ALPHA",PR!$E547,IF(F549="ASSENE",PR!$F547,IF(F549="BIOFEM",PR!$G547,IF(F549="BIOMED",PR!$H547,IF(F549="CHI",PR!$I547,IF(F549="CLARION",PR!$J547,IF(F549="CODIX",PR!$K547,IF(F549="COSMADE",PR!$L547,IF(F549="SANCON",PR!$M547,IF(F549="DEVON",PR!$N547,IF(F549="DORTEMAG",PR!$O547,IF(F549="DGF",PR!$P547,IF(F549="DYNAMIC",PR!$Q547,IF(F549="EMZOR",PR!$R547,IF(F549="EUMATT",PR!$S547,IF(F549="FIDSON",PR!$T547,IF(F549="FCGLOBAL",PR!$U547,IF(F549="GENEITH",PR!$V547,IF(F549="GINOS",PR!$W547,IF(F549="GSK",PR!$X547,IF(F549="GLOBORG",PR!$Y547,IF(F549="GOODNEWS",PR!$Z547,IF(F549="GREENLIFE",PR!$AA547,IF(F549="HLINE",PR!$AB547,IF(F549="ROTECH",PR!$AC547,IF(F549="ISN",PR!$AD547,IF(F549="JAWA",PR!$AE547,IF(F549="LAYO",PR!$AF547,IF(F549="LEADWAY",PR!$AG547,IF(F549="LHV",PR!$AH547,IF(F549="MANOLA",PR!$AI547,IF(F549="MARCSON",PR!$AJ547,IF(F549="M&amp;B",PR!$AK547,IF(F549="MTRUST",PR!$AL547,IF(F549="MWORLD",PR!$AM547,IF(F549="MEGA",PR!$AN547,IF(F549="MICRONOVA",PR!$AO547,IF(F549="MFLASH",PR!$AP547,IF(F549="MORISON",PR!$AQ547,IF(F549="NEMEL",PR!$AR547,IF(F549="NHP",PR!$AS547,IF(F549="NHC",PR!$AT547,IF(F549="OLEAF",PR!$AU547,IF(F549="OCULUS",PR!$AV547,IF(F549="PACIFIC",PR!$AW547,IF(F549="PHAMATEX",PR!$AX547,IF(F549="PETHICS",PR!$AY547,IF(F549="PHILIPS",PR!$AZ547,IF(F549="RANBAXY",PR!$BA547,IF(F549="REALS",PR!$BB547,IF(F549="ROYAL",PR!$BC547,IF(F549="SAM",PR!$BD547,IF(F549="SEAGREEN",PR!$BE547,IF(F549="SKG",PR!$BF547,IF(F549="TAH",PR!$BG547,IF(F549="TAYLEK",PR!$BH547,IF(F549="TEMITA",PR!$BI547,IF(F549="THL",PR!$BJ547,IF(F549="UBASTIC",PR!$BK547,IF(F549="UNION",PR!$BL547,IF(F549="UNIQUE",PR!$BM547,IF(F549="VIXA",PR!$BN547,IF(F549="WWCV",PR!$BO547,IF(F549="ZOLON",PR!$BP547,"-"))))))))))))))))))))))))))))))))))))))))))))))))))))))))))))))))</f>
        <v>-</v>
      </c>
      <c r="F549" s="102"/>
      <c r="G549" s="108" t="str">
        <f>IF(H549="ALPHA",PR!$E547,IF(H549="ASSENE",PR!$F547,IF(H549="BIOFEM",PR!$G547,IF(H549="BIOMED",PR!$H547,IF(H549="CHI",PR!$I547,IF(H549="CLARION",PR!$J547,IF(H549="CODIX",PR!$K547,IF(H549="COSMADE",PR!$L547,IF(H549="SANCON",PR!$M547,IF(H549="DEVON",PR!$N547,IF(H549="DORTEMAG",PR!$O547,IF(H549="DGF",PR!$P547,IF(H549="DYNAMIC",PR!$Q547,IF(H549="EMZOR",PR!$R547,IF(H549="EUMATT",PR!$S547,IF(H549="FIDSON",PR!$T547,IF(H549="FCGLOBAL",PR!$U547,IF(H549="GENEITH",PR!$V547,IF(H549="GINOS",PR!$W547,IF(H549="GSK",PR!$X547,IF(H549="GLOBORG",PR!$Y547,IF(H549="GOODNEWS",PR!$Z547,IF(H549="GREENLIFE",PR!$AA547,IF(H549="HLINE",PR!$AB547,IF(H549="ROTECH",PR!$AC547,IF(H549="ISN",PR!$AD547,IF(H549="JAWA",PR!$AE547,IF(H549="LAYO",PR!$AF547,IF(H549="LEADWAY",PR!$AG547,IF(H549="LHV",PR!$AH547,IF(H549="MANOLA",PR!$AI547,IF(H549="MARCSON",PR!$AJ547,IF(H549="M&amp;B",PR!$AK547,IF(H549="MTRUST",PR!$AL547,IF(H549="MWORLD",PR!$AM547,IF(H549="MEGA",PR!$AN547,IF(H549="MICRONOVA",PR!$AO547,IF(H549="MFLASH",PR!$AP547,IF(H549="MORISON",PR!$AQ547,IF(H549="NEMEL",PR!$AR547,IF(H549="NHP",PR!$AS547,IF(H549="NHC",PR!$AT547,IF(H549="OLEAF",PR!$AU547,IF(H549="OCULUS",PR!$AV547,IF(H549="PACIFIC",PR!$AW547,IF(H549="PHAMATEX",PR!$AX547,IF(H549="PETHICS",PR!$AY547,IF(H549="PHILIPS",PR!$AZ547,IF(H549="RANBAXY",PR!$BA547,IF(H549="REALS",PR!$BB547,IF(H549="ROYAL",PR!$BC547,IF(H549="SAM",PR!$BD547,IF(H549="SEAGREEN",PR!$BE547,IF(H549="SKG",PR!$BF547,IF(H549="TAH",PR!$BG547,IF(H549="TAYLEK",PR!$BH547,IF(H549="TEMITA",PR!$BI547,IF(H549="THL",PR!$BJ547,IF(H549="UBASTIC",PR!$BK547,IF(H549="UNION",PR!$BL547,IF(H549="UNIQUE",PR!$BM547,IF(H549="VIXA",PR!$BN547,IF(H549="WWCV",PR!$BO547,IF(H549="ZOLON",PR!$BP547,"-"))))))))))))))))))))))))))))))))))))))))))))))))))))))))))))))))</f>
        <v>-</v>
      </c>
      <c r="H549" s="102"/>
      <c r="I549" s="108" t="str">
        <f>IF(J549="ALPHA",PR!$E547,IF(J549="ASSENE",PR!$F547,IF(J549="BIOFEM",PR!$G547,IF(J549="BIOMED",PR!$H547,IF(J549="CHI",PR!$I547,IF(J549="CLARION",PR!$J547,IF(J549="CODIX",PR!$K547,IF(J549="COSMADE",PR!$L547,IF(J549="SANCON",PR!$M547,IF(J549="DEVON",PR!$N547,IF(J549="DORTEMAG",PR!$O547,IF(J549="DGF",PR!$P547,IF(J549="DYNAMIC",PR!$Q547,IF(J549="EMZOR",PR!$R547,IF(J549="EUMATT",PR!$S547,IF(J549="FIDSON",PR!$T547,IF(J549="FCGLOBAL",PR!$U547,IF(J549="GENEITH",PR!$V547,IF(J549="GINOS",PR!$W547,IF(J549="GSK",PR!$X547,IF(J549="GLOBORG",PR!$Y547,IF(J549="GOODNEWS",PR!$Z547,IF(J549="GREENLIFE",PR!$AA547,IF(J549="HLINE",PR!$AB547,IF(J549="ROTECH",PR!$AC547,IF(J549="ISN",PR!$AD547,IF(J549="JAWA",PR!$AE547,IF(J549="LAYO",PR!$AF547,IF(J549="LEADWAY",PR!$AG547,IF(J549="LHV",PR!$AH547,IF(J549="MANOLA",PR!$AI547,IF(J549="MARCSON",PR!$AJ547,IF(J549="M&amp;B",PR!$AK547,IF(J549="MTRUST",PR!$AL547,IF(J549="MWORLD",PR!$AM547,IF(J549="MEGA",PR!$AN547,IF(J549="MICRONOVA",PR!$AO547,IF(J549="MFLASH",PR!$AP547,IF(J549="MORISON",PR!$AQ547,IF(J549="NEMEL",PR!$AR547,IF(J549="NHP",PR!$AS547,IF(J549="NHC",PR!$AT547,IF(J549="OLEAF",PR!$AU547,IF(J549="OCULUS",PR!$AV547,IF(J549="PACIFIC",PR!$AW547,IF(J549="PHAMATEX",PR!$AX547,IF(J549="PETHICS",PR!$AY547,IF(J549="PHILIPS",PR!$AZ547,IF(J549="RANBAXY",PR!$BA547,IF(J549="REALS",PR!$BB547,IF(J549="ROYAL",PR!$BC547,IF(J549="SAM",PR!$BD547,IF(J549="SEAGREEN",PR!$BE547,IF(J549="SKG",PR!$BF547,IF(J549="TAH",PR!$BG547,IF(J549="TAYLEK",PR!$BH547,IF(J549="TEMITA",PR!$BI547,IF(J549="THL",PR!$BJ547,IF(J549="UBASTIC",PR!$BK547,IF(J549="UNION",PR!$BL547,IF(J549="UNIQUE",PR!$BM547,IF(J549="VIXA",PR!$BN547,IF(J549="WWCV",PR!$BO547,IF(J549="ZOLON",PR!$BP547,"-"))))))))))))))))))))))))))))))))))))))))))))))))))))))))))))))))</f>
        <v>-</v>
      </c>
      <c r="J549" s="102"/>
      <c r="K549" s="433"/>
      <c r="L549" s="183" t="b">
        <f>IF(K549&gt;0,IF(K549="ALPHA",PR!$E547,IF(K549="ASSENE",PR!$F547,IF(K549="BIOFEM",PR!$G547,IF(K549="BIOMED",PR!$H547,IF(K549="CHI",PR!$I547,IF(K549="CLARION",PR!$J547,IF(K549="CODIX",PR!$K547,IF(K549="COSMADE",PR!$L547,IF(K549="SANCON",PR!$M547,IF(K549="DEVON",PR!$N547,IF(K549="DORTEMAG",PR!$O547,IF(K549="DGF",PR!$P547,IF(K549="DYNAMIC",PR!$Q547,IF(K549="EMZOR",PR!$R547,IF(K549="EUMATT",PR!$S547,IF(K549="FIDSON",PR!$T547,IF(K549="FCGLOBAL",PR!$U547,IF(K549="GENEITH",PR!$V547,IF(K549="GINOS",PR!$W547,IF(K549="GSK",PR!$X547,IF(K549="GLOBORG",PR!$Y547,IF(K549="GOODNEWS",PR!$Z547,IF(K549="GREENLIFE",PR!$AA547,IF(K549="HLINE",PR!$AB547,IF(K549="ROTECH",PR!$AC547,IF(K549="ISN",PR!$AD547,IF(K549="JAWA",PR!$AE547,IF(K549="LAYO",PR!$AF547,IF(K549="LEADWAY",PR!$AG547,IF(K549="LHV",PR!$AH547,IF(K549="MANOLA",PR!$AI547,IF(K549="MARCSON",PR!$AJ547,IF(K549="M&amp;B",PR!$AK547,IF(K549="MTRUST",PR!$AL547,IF(K549="MWORLD",PR!$AM547,IF(K549="MEGA",PR!$AN547,IF(K549="MICRONOVA",PR!$AO547,IF(K549="MFLASH",PR!$AP547,IF(K549="MORISON",PR!$AQ547,IF(K549="NEMEL",PR!$AR547,IF(K549="NHP",PR!$AS547,IF(K549="NHC",PR!$AT547,IF(K549="OLEAF",PR!$AU547,IF(K549="OCULUS",PR!$AV547,IF(K549="PACIFIC",PR!$AW547,IF(K549="PHAMATEX",PR!$AX547,IF(K549="PETHICS",PR!$AY547,IF(K549="PHILIPS",PR!$AZ547,IF(K549="RANBAXY",PR!$BA547,IF(K549="REALS",PR!$BB547,IF(K549="ROYAL",PR!$BC547,IF(K549="SAM",PR!$BD547,IF(K549="SEAGREEN",PR!$BE547,IF(K549="SKG",PR!$BF547,IF(K549="TAH",PR!$BG547,IF(K549="TAYLEK",PR!$BH547,IF(K549="TEMITA",PR!$BI547,IF(K549="THL",PR!$BJ547,IF(K549="UBASTIC",PR!$BK547,IF(K549="UNION",PR!$BL547,IF(K549="UNIQUE",PR!$BM547,IF(K549="VIXA",PR!$BN547,IF(K549="WWCV",PR!$BO547,IF(K549="ZOLON",PR!$BP547,"-")))))))))))))))))))))))))))))))))))))))))))))))))))))))))))))))))</f>
        <v>0</v>
      </c>
    </row>
    <row r="550" spans="1:12" ht="18.75" x14ac:dyDescent="0.3">
      <c r="A550" s="430" t="str">
        <f>PR!A548</f>
        <v>LOT 11</v>
      </c>
      <c r="B550" s="15" t="str">
        <f>PR!B548</f>
        <v>ANTIGLAUCOMA/EYE/EAR MEDICATIONS</v>
      </c>
      <c r="C550" s="113">
        <f>PR!D548</f>
        <v>0</v>
      </c>
      <c r="D550" s="113">
        <f>PR!C548</f>
        <v>0</v>
      </c>
      <c r="E550" s="108" t="str">
        <f>IF(F550="ALPHA",PR!$E548,IF(F550="ASSENE",PR!$F548,IF(F550="BIOFEM",PR!$G548,IF(F550="BIOMED",PR!$H548,IF(F550="CHI",PR!$I548,IF(F550="CLARION",PR!$J548,IF(F550="CODIX",PR!$K548,IF(F550="COSMADE",PR!$L548,IF(F550="SANCON",PR!$M548,IF(F550="DEVON",PR!$N548,IF(F550="DORTEMAG",PR!$O548,IF(F550="DGF",PR!$P548,IF(F550="DYNAMIC",PR!$Q548,IF(F550="EMZOR",PR!$R548,IF(F550="EUMATT",PR!$S548,IF(F550="FIDSON",PR!$T548,IF(F550="FCGLOBAL",PR!$U548,IF(F550="GENEITH",PR!$V548,IF(F550="GINOS",PR!$W548,IF(F550="GSK",PR!$X548,IF(F550="GLOBORG",PR!$Y548,IF(F550="GOODNEWS",PR!$Z548,IF(F550="GREENLIFE",PR!$AA548,IF(F550="HLINE",PR!$AB548,IF(F550="ROTECH",PR!$AC548,IF(F550="ISN",PR!$AD548,IF(F550="JAWA",PR!$AE548,IF(F550="LAYO",PR!$AF548,IF(F550="LEADWAY",PR!$AG548,IF(F550="LHV",PR!$AH548,IF(F550="MANOLA",PR!$AI548,IF(F550="MARCSON",PR!$AJ548,IF(F550="M&amp;B",PR!$AK548,IF(F550="MTRUST",PR!$AL548,IF(F550="MWORLD",PR!$AM548,IF(F550="MEGA",PR!$AN548,IF(F550="MICRONOVA",PR!$AO548,IF(F550="MFLASH",PR!$AP548,IF(F550="MORISON",PR!$AQ548,IF(F550="NEMEL",PR!$AR548,IF(F550="NHP",PR!$AS548,IF(F550="NHC",PR!$AT548,IF(F550="OLEAF",PR!$AU548,IF(F550="OCULUS",PR!$AV548,IF(F550="PACIFIC",PR!$AW548,IF(F550="PHAMATEX",PR!$AX548,IF(F550="PETHICS",PR!$AY548,IF(F550="PHILIPS",PR!$AZ548,IF(F550="RANBAXY",PR!$BA548,IF(F550="REALS",PR!$BB548,IF(F550="ROYAL",PR!$BC548,IF(F550="SAM",PR!$BD548,IF(F550="SEAGREEN",PR!$BE548,IF(F550="SKG",PR!$BF548,IF(F550="TAH",PR!$BG548,IF(F550="TAYLEK",PR!$BH548,IF(F550="TEMITA",PR!$BI548,IF(F550="THL",PR!$BJ548,IF(F550="UBASTIC",PR!$BK548,IF(F550="UNION",PR!$BL548,IF(F550="UNIQUE",PR!$BM548,IF(F550="VIXA",PR!$BN548,IF(F550="WWCV",PR!$BO548,IF(F550="ZOLON",PR!$BP548,"-"))))))))))))))))))))))))))))))))))))))))))))))))))))))))))))))))</f>
        <v>-</v>
      </c>
      <c r="F550" s="102"/>
      <c r="G550" s="108" t="str">
        <f>IF(H550="ALPHA",PR!$E548,IF(H550="ASSENE",PR!$F548,IF(H550="BIOFEM",PR!$G548,IF(H550="BIOMED",PR!$H548,IF(H550="CHI",PR!$I548,IF(H550="CLARION",PR!$J548,IF(H550="CODIX",PR!$K548,IF(H550="COSMADE",PR!$L548,IF(H550="SANCON",PR!$M548,IF(H550="DEVON",PR!$N548,IF(H550="DORTEMAG",PR!$O548,IF(H550="DGF",PR!$P548,IF(H550="DYNAMIC",PR!$Q548,IF(H550="EMZOR",PR!$R548,IF(H550="EUMATT",PR!$S548,IF(H550="FIDSON",PR!$T548,IF(H550="FCGLOBAL",PR!$U548,IF(H550="GENEITH",PR!$V548,IF(H550="GINOS",PR!$W548,IF(H550="GSK",PR!$X548,IF(H550="GLOBORG",PR!$Y548,IF(H550="GOODNEWS",PR!$Z548,IF(H550="GREENLIFE",PR!$AA548,IF(H550="HLINE",PR!$AB548,IF(H550="ROTECH",PR!$AC548,IF(H550="ISN",PR!$AD548,IF(H550="JAWA",PR!$AE548,IF(H550="LAYO",PR!$AF548,IF(H550="LEADWAY",PR!$AG548,IF(H550="LHV",PR!$AH548,IF(H550="MANOLA",PR!$AI548,IF(H550="MARCSON",PR!$AJ548,IF(H550="M&amp;B",PR!$AK548,IF(H550="MTRUST",PR!$AL548,IF(H550="MWORLD",PR!$AM548,IF(H550="MEGA",PR!$AN548,IF(H550="MICRONOVA",PR!$AO548,IF(H550="MFLASH",PR!$AP548,IF(H550="MORISON",PR!$AQ548,IF(H550="NEMEL",PR!$AR548,IF(H550="NHP",PR!$AS548,IF(H550="NHC",PR!$AT548,IF(H550="OLEAF",PR!$AU548,IF(H550="OCULUS",PR!$AV548,IF(H550="PACIFIC",PR!$AW548,IF(H550="PHAMATEX",PR!$AX548,IF(H550="PETHICS",PR!$AY548,IF(H550="PHILIPS",PR!$AZ548,IF(H550="RANBAXY",PR!$BA548,IF(H550="REALS",PR!$BB548,IF(H550="ROYAL",PR!$BC548,IF(H550="SAM",PR!$BD548,IF(H550="SEAGREEN",PR!$BE548,IF(H550="SKG",PR!$BF548,IF(H550="TAH",PR!$BG548,IF(H550="TAYLEK",PR!$BH548,IF(H550="TEMITA",PR!$BI548,IF(H550="THL",PR!$BJ548,IF(H550="UBASTIC",PR!$BK548,IF(H550="UNION",PR!$BL548,IF(H550="UNIQUE",PR!$BM548,IF(H550="VIXA",PR!$BN548,IF(H550="WWCV",PR!$BO548,IF(H550="ZOLON",PR!$BP548,"-"))))))))))))))))))))))))))))))))))))))))))))))))))))))))))))))))</f>
        <v>-</v>
      </c>
      <c r="H550" s="102"/>
      <c r="I550" s="108" t="str">
        <f>IF(J550="ALPHA",PR!$E548,IF(J550="ASSENE",PR!$F548,IF(J550="BIOFEM",PR!$G548,IF(J550="BIOMED",PR!$H548,IF(J550="CHI",PR!$I548,IF(J550="CLARION",PR!$J548,IF(J550="CODIX",PR!$K548,IF(J550="COSMADE",PR!$L548,IF(J550="SANCON",PR!$M548,IF(J550="DEVON",PR!$N548,IF(J550="DORTEMAG",PR!$O548,IF(J550="DGF",PR!$P548,IF(J550="DYNAMIC",PR!$Q548,IF(J550="EMZOR",PR!$R548,IF(J550="EUMATT",PR!$S548,IF(J550="FIDSON",PR!$T548,IF(J550="FCGLOBAL",PR!$U548,IF(J550="GENEITH",PR!$V548,IF(J550="GINOS",PR!$W548,IF(J550="GSK",PR!$X548,IF(J550="GLOBORG",PR!$Y548,IF(J550="GOODNEWS",PR!$Z548,IF(J550="GREENLIFE",PR!$AA548,IF(J550="HLINE",PR!$AB548,IF(J550="ROTECH",PR!$AC548,IF(J550="ISN",PR!$AD548,IF(J550="JAWA",PR!$AE548,IF(J550="LAYO",PR!$AF548,IF(J550="LEADWAY",PR!$AG548,IF(J550="LHV",PR!$AH548,IF(J550="MANOLA",PR!$AI548,IF(J550="MARCSON",PR!$AJ548,IF(J550="M&amp;B",PR!$AK548,IF(J550="MTRUST",PR!$AL548,IF(J550="MWORLD",PR!$AM548,IF(J550="MEGA",PR!$AN548,IF(J550="MICRONOVA",PR!$AO548,IF(J550="MFLASH",PR!$AP548,IF(J550="MORISON",PR!$AQ548,IF(J550="NEMEL",PR!$AR548,IF(J550="NHP",PR!$AS548,IF(J550="NHC",PR!$AT548,IF(J550="OLEAF",PR!$AU548,IF(J550="OCULUS",PR!$AV548,IF(J550="PACIFIC",PR!$AW548,IF(J550="PHAMATEX",PR!$AX548,IF(J550="PETHICS",PR!$AY548,IF(J550="PHILIPS",PR!$AZ548,IF(J550="RANBAXY",PR!$BA548,IF(J550="REALS",PR!$BB548,IF(J550="ROYAL",PR!$BC548,IF(J550="SAM",PR!$BD548,IF(J550="SEAGREEN",PR!$BE548,IF(J550="SKG",PR!$BF548,IF(J550="TAH",PR!$BG548,IF(J550="TAYLEK",PR!$BH548,IF(J550="TEMITA",PR!$BI548,IF(J550="THL",PR!$BJ548,IF(J550="UBASTIC",PR!$BK548,IF(J550="UNION",PR!$BL548,IF(J550="UNIQUE",PR!$BM548,IF(J550="VIXA",PR!$BN548,IF(J550="WWCV",PR!$BO548,IF(J550="ZOLON",PR!$BP548,"-"))))))))))))))))))))))))))))))))))))))))))))))))))))))))))))))))</f>
        <v>-</v>
      </c>
      <c r="J550" s="102"/>
      <c r="K550" s="433"/>
      <c r="L550" s="183" t="b">
        <f>IF(K550&gt;0,IF(K550="ALPHA",PR!$E548,IF(K550="ASSENE",PR!$F548,IF(K550="BIOFEM",PR!$G548,IF(K550="BIOMED",PR!$H548,IF(K550="CHI",PR!$I548,IF(K550="CLARION",PR!$J548,IF(K550="CODIX",PR!$K548,IF(K550="COSMADE",PR!$L548,IF(K550="SANCON",PR!$M548,IF(K550="DEVON",PR!$N548,IF(K550="DORTEMAG",PR!$O548,IF(K550="DGF",PR!$P548,IF(K550="DYNAMIC",PR!$Q548,IF(K550="EMZOR",PR!$R548,IF(K550="EUMATT",PR!$S548,IF(K550="FIDSON",PR!$T548,IF(K550="FCGLOBAL",PR!$U548,IF(K550="GENEITH",PR!$V548,IF(K550="GINOS",PR!$W548,IF(K550="GSK",PR!$X548,IF(K550="GLOBORG",PR!$Y548,IF(K550="GOODNEWS",PR!$Z548,IF(K550="GREENLIFE",PR!$AA548,IF(K550="HLINE",PR!$AB548,IF(K550="ROTECH",PR!$AC548,IF(K550="ISN",PR!$AD548,IF(K550="JAWA",PR!$AE548,IF(K550="LAYO",PR!$AF548,IF(K550="LEADWAY",PR!$AG548,IF(K550="LHV",PR!$AH548,IF(K550="MANOLA",PR!$AI548,IF(K550="MARCSON",PR!$AJ548,IF(K550="M&amp;B",PR!$AK548,IF(K550="MTRUST",PR!$AL548,IF(K550="MWORLD",PR!$AM548,IF(K550="MEGA",PR!$AN548,IF(K550="MICRONOVA",PR!$AO548,IF(K550="MFLASH",PR!$AP548,IF(K550="MORISON",PR!$AQ548,IF(K550="NEMEL",PR!$AR548,IF(K550="NHP",PR!$AS548,IF(K550="NHC",PR!$AT548,IF(K550="OLEAF",PR!$AU548,IF(K550="OCULUS",PR!$AV548,IF(K550="PACIFIC",PR!$AW548,IF(K550="PHAMATEX",PR!$AX548,IF(K550="PETHICS",PR!$AY548,IF(K550="PHILIPS",PR!$AZ548,IF(K550="RANBAXY",PR!$BA548,IF(K550="REALS",PR!$BB548,IF(K550="ROYAL",PR!$BC548,IF(K550="SAM",PR!$BD548,IF(K550="SEAGREEN",PR!$BE548,IF(K550="SKG",PR!$BF548,IF(K550="TAH",PR!$BG548,IF(K550="TAYLEK",PR!$BH548,IF(K550="TEMITA",PR!$BI548,IF(K550="THL",PR!$BJ548,IF(K550="UBASTIC",PR!$BK548,IF(K550="UNION",PR!$BL548,IF(K550="UNIQUE",PR!$BM548,IF(K550="VIXA",PR!$BN548,IF(K550="WWCV",PR!$BO548,IF(K550="ZOLON",PR!$BP548,"-")))))))))))))))))))))))))))))))))))))))))))))))))))))))))))))))))</f>
        <v>0</v>
      </c>
    </row>
    <row r="551" spans="1:12" ht="18.75" x14ac:dyDescent="0.3">
      <c r="A551" s="430">
        <f>PR!A549</f>
        <v>494</v>
      </c>
      <c r="B551" s="15" t="str">
        <f>PR!B549</f>
        <v>ACETAZOLAMIDE 250MG TAB</v>
      </c>
      <c r="C551" s="113">
        <f>PR!D549</f>
        <v>500</v>
      </c>
      <c r="D551" s="113">
        <f>PR!C549</f>
        <v>72</v>
      </c>
      <c r="E551" s="108">
        <f>IF(F551="ALPHA",PR!$E549,IF(F551="ASSENE",PR!$F549,IF(F551="BIOFEM",PR!$G549,IF(F551="BIOMED",PR!$H549,IF(F551="CHI",PR!$I549,IF(F551="CLARION",PR!$J549,IF(F551="CODIX",PR!$K549,IF(F551="COSMADE",PR!$L549,IF(F551="SANCON",PR!$M549,IF(F551="DEVON",PR!$N549,IF(F551="DORTEMAG",PR!$O549,IF(F551="DGF",PR!$P549,IF(F551="DYNAMIC",PR!$Q549,IF(F551="EMZOR",PR!$R549,IF(F551="EUMATT",PR!$S549,IF(F551="FIDSON",PR!$T549,IF(F551="FCGLOBAL",PR!$U549,IF(F551="GENEITH",PR!$V549,IF(F551="GINOS",PR!$W549,IF(F551="GSK",PR!$X549,IF(F551="GLOBORG",PR!$Y549,IF(F551="GOODNEWS",PR!$Z549,IF(F551="GREENLIFE",PR!$AA549,IF(F551="HLINE",PR!$AB549,IF(F551="ROTECH",PR!$AC549,IF(F551="ISN",PR!$AD549,IF(F551="JAWA",PR!$AE549,IF(F551="LAYO",PR!$AF549,IF(F551="LEADWAY",PR!$AG549,IF(F551="LHV",PR!$AH549,IF(F551="MANOLA",PR!$AI549,IF(F551="MARCSON",PR!$AJ549,IF(F551="M&amp;B",PR!$AK549,IF(F551="MTRUST",PR!$AL549,IF(F551="MWORLD",PR!$AM549,IF(F551="MEGA",PR!$AN549,IF(F551="MICRONOVA",PR!$AO549,IF(F551="MFLASH",PR!$AP549,IF(F551="MORISON",PR!$AQ549,IF(F551="NEMEL",PR!$AR549,IF(F551="NHP",PR!$AS549,IF(F551="NHC",PR!$AT549,IF(F551="OLEAF",PR!$AU549,IF(F551="OCULUS",PR!$AV549,IF(F551="PACIFIC",PR!$AW549,IF(F551="PHAMATEX",PR!$AX549,IF(F551="PETHICS",PR!$AY549,IF(F551="PHILIPS",PR!$AZ549,IF(F551="RANBAXY",PR!$BA549,IF(F551="REALS",PR!$BB549,IF(F551="ROYAL",PR!$BC549,IF(F551="SAM",PR!$BD549,IF(F551="SEAGREEN",PR!$BE549,IF(F551="SKG",PR!$BF549,IF(F551="TAH",PR!$BG549,IF(F551="TAYLEK",PR!$BH549,IF(F551="TEMITA",PR!$BI549,IF(F551="THL",PR!$BJ549,IF(F551="UBASTIC",PR!$BK549,IF(F551="UNION",PR!$BL549,IF(F551="UNIQUE",PR!$BM549,IF(F551="VIXA",PR!$BN549,IF(F551="WWCV",PR!$BO549,IF(F551="ZOLON",PR!$BP549,"-"))))))))))))))))))))))))))))))))))))))))))))))))))))))))))))))))</f>
        <v>500</v>
      </c>
      <c r="F551" s="102" t="str">
        <f>EV!L703</f>
        <v>EUMATT</v>
      </c>
      <c r="G551" s="108">
        <f>IF(H551="ALPHA",PR!$E549,IF(H551="ASSENE",PR!$F549,IF(H551="BIOFEM",PR!$G549,IF(H551="BIOMED",PR!$H549,IF(H551="CHI",PR!$I549,IF(H551="CLARION",PR!$J549,IF(H551="CODIX",PR!$K549,IF(H551="COSMADE",PR!$L549,IF(H551="SANCON",PR!$M549,IF(H551="DEVON",PR!$N549,IF(H551="DORTEMAG",PR!$O549,IF(H551="DGF",PR!$P549,IF(H551="DYNAMIC",PR!$Q549,IF(H551="EMZOR",PR!$R549,IF(H551="EUMATT",PR!$S549,IF(H551="FIDSON",PR!$T549,IF(H551="FCGLOBAL",PR!$U549,IF(H551="GENEITH",PR!$V549,IF(H551="GINOS",PR!$W549,IF(H551="GSK",PR!$X549,IF(H551="GLOBORG",PR!$Y549,IF(H551="GOODNEWS",PR!$Z549,IF(H551="GREENLIFE",PR!$AA549,IF(H551="HLINE",PR!$AB549,IF(H551="ROTECH",PR!$AC549,IF(H551="ISN",PR!$AD549,IF(H551="JAWA",PR!$AE549,IF(H551="LAYO",PR!$AF549,IF(H551="LEADWAY",PR!$AG549,IF(H551="LHV",PR!$AH549,IF(H551="MANOLA",PR!$AI549,IF(H551="MARCSON",PR!$AJ549,IF(H551="M&amp;B",PR!$AK549,IF(H551="MTRUST",PR!$AL549,IF(H551="MWORLD",PR!$AM549,IF(H551="MEGA",PR!$AN549,IF(H551="MICRONOVA",PR!$AO549,IF(H551="MFLASH",PR!$AP549,IF(H551="MORISON",PR!$AQ549,IF(H551="NEMEL",PR!$AR549,IF(H551="NHP",PR!$AS549,IF(H551="NHC",PR!$AT549,IF(H551="OLEAF",PR!$AU549,IF(H551="OCULUS",PR!$AV549,IF(H551="PACIFIC",PR!$AW549,IF(H551="PHAMATEX",PR!$AX549,IF(H551="PETHICS",PR!$AY549,IF(H551="PHILIPS",PR!$AZ549,IF(H551="RANBAXY",PR!$BA549,IF(H551="REALS",PR!$BB549,IF(H551="ROYAL",PR!$BC549,IF(H551="SAM",PR!$BD549,IF(H551="SEAGREEN",PR!$BE549,IF(H551="SKG",PR!$BF549,IF(H551="TAH",PR!$BG549,IF(H551="TAYLEK",PR!$BH549,IF(H551="TEMITA",PR!$BI549,IF(H551="THL",PR!$BJ549,IF(H551="UBASTIC",PR!$BK549,IF(H551="UNION",PR!$BL549,IF(H551="UNIQUE",PR!$BM549,IF(H551="VIXA",PR!$BN549,IF(H551="WWCV",PR!$BO549,IF(H551="ZOLON",PR!$BP549,"-"))))))))))))))))))))))))))))))))))))))))))))))))))))))))))))))))</f>
        <v>9500</v>
      </c>
      <c r="H551" s="102" t="str">
        <f>EV!M703</f>
        <v>LEADWAY</v>
      </c>
      <c r="I551" s="108" t="str">
        <f>IF(J551="ALPHA",PR!$E549,IF(J551="ASSENE",PR!$F549,IF(J551="BIOFEM",PR!$G549,IF(J551="BIOMED",PR!$H549,IF(J551="CHI",PR!$I549,IF(J551="CLARION",PR!$J549,IF(J551="CODIX",PR!$K549,IF(J551="COSMADE",PR!$L549,IF(J551="SANCON",PR!$M549,IF(J551="DEVON",PR!$N549,IF(J551="DORTEMAG",PR!$O549,IF(J551="DGF",PR!$P549,IF(J551="DYNAMIC",PR!$Q549,IF(J551="EMZOR",PR!$R549,IF(J551="EUMATT",PR!$S549,IF(J551="FIDSON",PR!$T549,IF(J551="FCGLOBAL",PR!$U549,IF(J551="GENEITH",PR!$V549,IF(J551="GINOS",PR!$W549,IF(J551="GSK",PR!$X549,IF(J551="GLOBORG",PR!$Y549,IF(J551="GOODNEWS",PR!$Z549,IF(J551="GREENLIFE",PR!$AA549,IF(J551="HLINE",PR!$AB549,IF(J551="ROTECH",PR!$AC549,IF(J551="ISN",PR!$AD549,IF(J551="JAWA",PR!$AE549,IF(J551="LAYO",PR!$AF549,IF(J551="LEADWAY",PR!$AG549,IF(J551="LHV",PR!$AH549,IF(J551="MANOLA",PR!$AI549,IF(J551="MARCSON",PR!$AJ549,IF(J551="M&amp;B",PR!$AK549,IF(J551="MTRUST",PR!$AL549,IF(J551="MWORLD",PR!$AM549,IF(J551="MEGA",PR!$AN549,IF(J551="MICRONOVA",PR!$AO549,IF(J551="MFLASH",PR!$AP549,IF(J551="MORISON",PR!$AQ549,IF(J551="NEMEL",PR!$AR549,IF(J551="NHP",PR!$AS549,IF(J551="NHC",PR!$AT549,IF(J551="OLEAF",PR!$AU549,IF(J551="OCULUS",PR!$AV549,IF(J551="PACIFIC",PR!$AW549,IF(J551="PHAMATEX",PR!$AX549,IF(J551="PETHICS",PR!$AY549,IF(J551="PHILIPS",PR!$AZ549,IF(J551="RANBAXY",PR!$BA549,IF(J551="REALS",PR!$BB549,IF(J551="ROYAL",PR!$BC549,IF(J551="SAM",PR!$BD549,IF(J551="SEAGREEN",PR!$BE549,IF(J551="SKG",PR!$BF549,IF(J551="TAH",PR!$BG549,IF(J551="TAYLEK",PR!$BH549,IF(J551="TEMITA",PR!$BI549,IF(J551="THL",PR!$BJ549,IF(J551="UBASTIC",PR!$BK549,IF(J551="UNION",PR!$BL549,IF(J551="UNIQUE",PR!$BM549,IF(J551="VIXA",PR!$BN549,IF(J551="WWCV",PR!$BO549,IF(J551="ZOLON",PR!$BP549,"-"))))))))))))))))))))))))))))))))))))))))))))))))))))))))))))))))</f>
        <v>-</v>
      </c>
      <c r="J551" s="102">
        <f>EV!N703</f>
        <v>0</v>
      </c>
      <c r="K551" s="433" t="s">
        <v>623</v>
      </c>
      <c r="L551" s="183">
        <f>IF(K551&gt;0,IF(K551="ALPHA",PR!$E549,IF(K551="ASSENE",PR!$F549,IF(K551="BIOFEM",PR!$G549,IF(K551="BIOMED",PR!$H549,IF(K551="CHI",PR!$I549,IF(K551="CLARION",PR!$J549,IF(K551="CODIX",PR!$K549,IF(K551="COSMADE",PR!$L549,IF(K551="SANCON",PR!$M549,IF(K551="DEVON",PR!$N549,IF(K551="DORTEMAG",PR!$O549,IF(K551="DGF",PR!$P549,IF(K551="DYNAMIC",PR!$Q549,IF(K551="EMZOR",PR!$R549,IF(K551="EUMATT",PR!$S549,IF(K551="FIDSON",PR!$T549,IF(K551="FCGLOBAL",PR!$U549,IF(K551="GENEITH",PR!$V549,IF(K551="GINOS",PR!$W549,IF(K551="GSK",PR!$X549,IF(K551="GLOBORG",PR!$Y549,IF(K551="GOODNEWS",PR!$Z549,IF(K551="GREENLIFE",PR!$AA549,IF(K551="HLINE",PR!$AB549,IF(K551="ROTECH",PR!$AC549,IF(K551="ISN",PR!$AD549,IF(K551="JAWA",PR!$AE549,IF(K551="LAYO",PR!$AF549,IF(K551="LEADWAY",PR!$AG549,IF(K551="LHV",PR!$AH549,IF(K551="MANOLA",PR!$AI549,IF(K551="MARCSON",PR!$AJ549,IF(K551="M&amp;B",PR!$AK549,IF(K551="MTRUST",PR!$AL549,IF(K551="MWORLD",PR!$AM549,IF(K551="MEGA",PR!$AN549,IF(K551="MICRONOVA",PR!$AO549,IF(K551="MFLASH",PR!$AP549,IF(K551="MORISON",PR!$AQ549,IF(K551="NEMEL",PR!$AR549,IF(K551="NHP",PR!$AS549,IF(K551="NHC",PR!$AT549,IF(K551="OLEAF",PR!$AU549,IF(K551="OCULUS",PR!$AV549,IF(K551="PACIFIC",PR!$AW549,IF(K551="PHAMATEX",PR!$AX549,IF(K551="PETHICS",PR!$AY549,IF(K551="PHILIPS",PR!$AZ549,IF(K551="RANBAXY",PR!$BA549,IF(K551="REALS",PR!$BB549,IF(K551="ROYAL",PR!$BC549,IF(K551="SAM",PR!$BD549,IF(K551="SEAGREEN",PR!$BE549,IF(K551="SKG",PR!$BF549,IF(K551="TAH",PR!$BG549,IF(K551="TAYLEK",PR!$BH549,IF(K551="TEMITA",PR!$BI549,IF(K551="THL",PR!$BJ549,IF(K551="UBASTIC",PR!$BK549,IF(K551="UNION",PR!$BL549,IF(K551="UNIQUE",PR!$BM549,IF(K551="VIXA",PR!$BN549,IF(K551="WWCV",PR!$BO549,IF(K551="ZOLON",PR!$BP549,"-")))))))))))))))))))))))))))))))))))))))))))))))))))))))))))))))))</f>
        <v>9500</v>
      </c>
    </row>
    <row r="552" spans="1:12" ht="18.75" x14ac:dyDescent="0.3">
      <c r="A552" s="430">
        <f>PR!A550</f>
        <v>495</v>
      </c>
      <c r="B552" s="15" t="str">
        <f>PR!B550</f>
        <v>ACYCLOVIR EYE OINTMENT</v>
      </c>
      <c r="C552" s="113" t="str">
        <f>PR!D550</f>
        <v>TUBE</v>
      </c>
      <c r="D552" s="113">
        <f>PR!C550</f>
        <v>20</v>
      </c>
      <c r="E552" s="108">
        <f>IF(F552="ALPHA",PR!$E550,IF(F552="ASSENE",PR!$F550,IF(F552="BIOFEM",PR!$G550,IF(F552="BIOMED",PR!$H550,IF(F552="CHI",PR!$I550,IF(F552="CLARION",PR!$J550,IF(F552="CODIX",PR!$K550,IF(F552="COSMADE",PR!$L550,IF(F552="SANCON",PR!$M550,IF(F552="DEVON",PR!$N550,IF(F552="DORTEMAG",PR!$O550,IF(F552="DGF",PR!$P550,IF(F552="DYNAMIC",PR!$Q550,IF(F552="EMZOR",PR!$R550,IF(F552="EUMATT",PR!$S550,IF(F552="FIDSON",PR!$T550,IF(F552="FCGLOBAL",PR!$U550,IF(F552="GENEITH",PR!$V550,IF(F552="GINOS",PR!$W550,IF(F552="GSK",PR!$X550,IF(F552="GLOBORG",PR!$Y550,IF(F552="GOODNEWS",PR!$Z550,IF(F552="GREENLIFE",PR!$AA550,IF(F552="HLINE",PR!$AB550,IF(F552="ROTECH",PR!$AC550,IF(F552="ISN",PR!$AD550,IF(F552="JAWA",PR!$AE550,IF(F552="LAYO",PR!$AF550,IF(F552="LEADWAY",PR!$AG550,IF(F552="LHV",PR!$AH550,IF(F552="MANOLA",PR!$AI550,IF(F552="MARCSON",PR!$AJ550,IF(F552="M&amp;B",PR!$AK550,IF(F552="MTRUST",PR!$AL550,IF(F552="MWORLD",PR!$AM550,IF(F552="MEGA",PR!$AN550,IF(F552="MICRONOVA",PR!$AO550,IF(F552="MFLASH",PR!$AP550,IF(F552="MORISON",PR!$AQ550,IF(F552="NEMEL",PR!$AR550,IF(F552="NHP",PR!$AS550,IF(F552="NHC",PR!$AT550,IF(F552="OLEAF",PR!$AU550,IF(F552="OCULUS",PR!$AV550,IF(F552="PACIFIC",PR!$AW550,IF(F552="PHAMATEX",PR!$AX550,IF(F552="PETHICS",PR!$AY550,IF(F552="PHILIPS",PR!$AZ550,IF(F552="RANBAXY",PR!$BA550,IF(F552="REALS",PR!$BB550,IF(F552="ROYAL",PR!$BC550,IF(F552="SAM",PR!$BD550,IF(F552="SEAGREEN",PR!$BE550,IF(F552="SKG",PR!$BF550,IF(F552="TAH",PR!$BG550,IF(F552="TAYLEK",PR!$BH550,IF(F552="TEMITA",PR!$BI550,IF(F552="THL",PR!$BJ550,IF(F552="UBASTIC",PR!$BK550,IF(F552="UNION",PR!$BL550,IF(F552="UNIQUE",PR!$BM550,IF(F552="VIXA",PR!$BN550,IF(F552="WWCV",PR!$BO550,IF(F552="ZOLON",PR!$BP550,"-"))))))))))))))))))))))))))))))))))))))))))))))))))))))))))))))))</f>
        <v>1250</v>
      </c>
      <c r="F552" s="102" t="str">
        <f>EV!L704</f>
        <v>EUMATT</v>
      </c>
      <c r="G552" s="108" t="str">
        <f>IF(H552="ALPHA",PR!$E550,IF(H552="ASSENE",PR!$F550,IF(H552="BIOFEM",PR!$G550,IF(H552="BIOMED",PR!$H550,IF(H552="CHI",PR!$I550,IF(H552="CLARION",PR!$J550,IF(H552="CODIX",PR!$K550,IF(H552="COSMADE",PR!$L550,IF(H552="SANCON",PR!$M550,IF(H552="DEVON",PR!$N550,IF(H552="DORTEMAG",PR!$O550,IF(H552="DGF",PR!$P550,IF(H552="DYNAMIC",PR!$Q550,IF(H552="EMZOR",PR!$R550,IF(H552="EUMATT",PR!$S550,IF(H552="FIDSON",PR!$T550,IF(H552="FCGLOBAL",PR!$U550,IF(H552="GENEITH",PR!$V550,IF(H552="GINOS",PR!$W550,IF(H552="GSK",PR!$X550,IF(H552="GLOBORG",PR!$Y550,IF(H552="GOODNEWS",PR!$Z550,IF(H552="GREENLIFE",PR!$AA550,IF(H552="HLINE",PR!$AB550,IF(H552="ROTECH",PR!$AC550,IF(H552="ISN",PR!$AD550,IF(H552="JAWA",PR!$AE550,IF(H552="LAYO",PR!$AF550,IF(H552="LEADWAY",PR!$AG550,IF(H552="LHV",PR!$AH550,IF(H552="MANOLA",PR!$AI550,IF(H552="MARCSON",PR!$AJ550,IF(H552="M&amp;B",PR!$AK550,IF(H552="MTRUST",PR!$AL550,IF(H552="MWORLD",PR!$AM550,IF(H552="MEGA",PR!$AN550,IF(H552="MICRONOVA",PR!$AO550,IF(H552="MFLASH",PR!$AP550,IF(H552="MORISON",PR!$AQ550,IF(H552="NEMEL",PR!$AR550,IF(H552="NHP",PR!$AS550,IF(H552="NHC",PR!$AT550,IF(H552="OLEAF",PR!$AU550,IF(H552="OCULUS",PR!$AV550,IF(H552="PACIFIC",PR!$AW550,IF(H552="PHAMATEX",PR!$AX550,IF(H552="PETHICS",PR!$AY550,IF(H552="PHILIPS",PR!$AZ550,IF(H552="RANBAXY",PR!$BA550,IF(H552="REALS",PR!$BB550,IF(H552="ROYAL",PR!$BC550,IF(H552="SAM",PR!$BD550,IF(H552="SEAGREEN",PR!$BE550,IF(H552="SKG",PR!$BF550,IF(H552="TAH",PR!$BG550,IF(H552="TAYLEK",PR!$BH550,IF(H552="TEMITA",PR!$BI550,IF(H552="THL",PR!$BJ550,IF(H552="UBASTIC",PR!$BK550,IF(H552="UNION",PR!$BL550,IF(H552="UNIQUE",PR!$BM550,IF(H552="VIXA",PR!$BN550,IF(H552="WWCV",PR!$BO550,IF(H552="ZOLON",PR!$BP550,"-"))))))))))))))))))))))))))))))))))))))))))))))))))))))))))))))))</f>
        <v>-</v>
      </c>
      <c r="H552" s="102">
        <f>EV!M704</f>
        <v>0</v>
      </c>
      <c r="I552" s="108" t="str">
        <f>IF(J552="ALPHA",PR!$E550,IF(J552="ASSENE",PR!$F550,IF(J552="BIOFEM",PR!$G550,IF(J552="BIOMED",PR!$H550,IF(J552="CHI",PR!$I550,IF(J552="CLARION",PR!$J550,IF(J552="CODIX",PR!$K550,IF(J552="COSMADE",PR!$L550,IF(J552="SANCON",PR!$M550,IF(J552="DEVON",PR!$N550,IF(J552="DORTEMAG",PR!$O550,IF(J552="DGF",PR!$P550,IF(J552="DYNAMIC",PR!$Q550,IF(J552="EMZOR",PR!$R550,IF(J552="EUMATT",PR!$S550,IF(J552="FIDSON",PR!$T550,IF(J552="FCGLOBAL",PR!$U550,IF(J552="GENEITH",PR!$V550,IF(J552="GINOS",PR!$W550,IF(J552="GSK",PR!$X550,IF(J552="GLOBORG",PR!$Y550,IF(J552="GOODNEWS",PR!$Z550,IF(J552="GREENLIFE",PR!$AA550,IF(J552="HLINE",PR!$AB550,IF(J552="ROTECH",PR!$AC550,IF(J552="ISN",PR!$AD550,IF(J552="JAWA",PR!$AE550,IF(J552="LAYO",PR!$AF550,IF(J552="LEADWAY",PR!$AG550,IF(J552="LHV",PR!$AH550,IF(J552="MANOLA",PR!$AI550,IF(J552="MARCSON",PR!$AJ550,IF(J552="M&amp;B",PR!$AK550,IF(J552="MTRUST",PR!$AL550,IF(J552="MWORLD",PR!$AM550,IF(J552="MEGA",PR!$AN550,IF(J552="MICRONOVA",PR!$AO550,IF(J552="MFLASH",PR!$AP550,IF(J552="MORISON",PR!$AQ550,IF(J552="NEMEL",PR!$AR550,IF(J552="NHP",PR!$AS550,IF(J552="NHC",PR!$AT550,IF(J552="OLEAF",PR!$AU550,IF(J552="OCULUS",PR!$AV550,IF(J552="PACIFIC",PR!$AW550,IF(J552="PHAMATEX",PR!$AX550,IF(J552="PETHICS",PR!$AY550,IF(J552="PHILIPS",PR!$AZ550,IF(J552="RANBAXY",PR!$BA550,IF(J552="REALS",PR!$BB550,IF(J552="ROYAL",PR!$BC550,IF(J552="SAM",PR!$BD550,IF(J552="SEAGREEN",PR!$BE550,IF(J552="SKG",PR!$BF550,IF(J552="TAH",PR!$BG550,IF(J552="TAYLEK",PR!$BH550,IF(J552="TEMITA",PR!$BI550,IF(J552="THL",PR!$BJ550,IF(J552="UBASTIC",PR!$BK550,IF(J552="UNION",PR!$BL550,IF(J552="UNIQUE",PR!$BM550,IF(J552="VIXA",PR!$BN550,IF(J552="WWCV",PR!$BO550,IF(J552="ZOLON",PR!$BP550,"-"))))))))))))))))))))))))))))))))))))))))))))))))))))))))))))))))</f>
        <v>-</v>
      </c>
      <c r="J552" s="102">
        <f>EV!N704</f>
        <v>0</v>
      </c>
      <c r="K552" s="433" t="s">
        <v>821</v>
      </c>
      <c r="L552" s="183">
        <f>IF(K552&gt;0,IF(K552="ALPHA",PR!$E550,IF(K552="ASSENE",PR!$F550,IF(K552="BIOFEM",PR!$G550,IF(K552="BIOMED",PR!$H550,IF(K552="CHI",PR!$I550,IF(K552="CLARION",PR!$J550,IF(K552="CODIX",PR!$K550,IF(K552="COSMADE",PR!$L550,IF(K552="SANCON",PR!$M550,IF(K552="DEVON",PR!$N550,IF(K552="DORTEMAG",PR!$O550,IF(K552="DGF",PR!$P550,IF(K552="DYNAMIC",PR!$Q550,IF(K552="EMZOR",PR!$R550,IF(K552="EUMATT",PR!$S550,IF(K552="FIDSON",PR!$T550,IF(K552="FCGLOBAL",PR!$U550,IF(K552="GENEITH",PR!$V550,IF(K552="GINOS",PR!$W550,IF(K552="GSK",PR!$X550,IF(K552="GLOBORG",PR!$Y550,IF(K552="GOODNEWS",PR!$Z550,IF(K552="GREENLIFE",PR!$AA550,IF(K552="HLINE",PR!$AB550,IF(K552="ROTECH",PR!$AC550,IF(K552="ISN",PR!$AD550,IF(K552="JAWA",PR!$AE550,IF(K552="LAYO",PR!$AF550,IF(K552="LEADWAY",PR!$AG550,IF(K552="LHV",PR!$AH550,IF(K552="MANOLA",PR!$AI550,IF(K552="MARCSON",PR!$AJ550,IF(K552="M&amp;B",PR!$AK550,IF(K552="MTRUST",PR!$AL550,IF(K552="MWORLD",PR!$AM550,IF(K552="MEGA",PR!$AN550,IF(K552="MICRONOVA",PR!$AO550,IF(K552="MFLASH",PR!$AP550,IF(K552="MORISON",PR!$AQ550,IF(K552="NEMEL",PR!$AR550,IF(K552="NHP",PR!$AS550,IF(K552="NHC",PR!$AT550,IF(K552="OLEAF",PR!$AU550,IF(K552="OCULUS",PR!$AV550,IF(K552="PACIFIC",PR!$AW550,IF(K552="PHAMATEX",PR!$AX550,IF(K552="PETHICS",PR!$AY550,IF(K552="PHILIPS",PR!$AZ550,IF(K552="RANBAXY",PR!$BA550,IF(K552="REALS",PR!$BB550,IF(K552="ROYAL",PR!$BC550,IF(K552="SAM",PR!$BD550,IF(K552="SEAGREEN",PR!$BE550,IF(K552="SKG",PR!$BF550,IF(K552="TAH",PR!$BG550,IF(K552="TAYLEK",PR!$BH550,IF(K552="TEMITA",PR!$BI550,IF(K552="THL",PR!$BJ550,IF(K552="UBASTIC",PR!$BK550,IF(K552="UNION",PR!$BL550,IF(K552="UNIQUE",PR!$BM550,IF(K552="VIXA",PR!$BN550,IF(K552="WWCV",PR!$BO550,IF(K552="ZOLON",PR!$BP550,"-")))))))))))))))))))))))))))))))))))))))))))))))))))))))))))))))))</f>
        <v>1250</v>
      </c>
    </row>
    <row r="553" spans="1:12" ht="18.75" x14ac:dyDescent="0.3">
      <c r="A553" s="430">
        <f>PR!A551</f>
        <v>496</v>
      </c>
      <c r="B553" s="15" t="str">
        <f>PR!B551</f>
        <v>ANTAZOLINE HCL+TETRAZOLINE HCL</v>
      </c>
      <c r="C553" s="113" t="str">
        <f>PR!D551</f>
        <v>BOTT</v>
      </c>
      <c r="D553" s="113">
        <f>PR!C551</f>
        <v>2400</v>
      </c>
      <c r="E553" s="108">
        <f>IF(F553="ALPHA",PR!$E551,IF(F553="ASSENE",PR!$F551,IF(F553="BIOFEM",PR!$G551,IF(F553="BIOMED",PR!$H551,IF(F553="CHI",PR!$I551,IF(F553="CLARION",PR!$J551,IF(F553="CODIX",PR!$K551,IF(F553="COSMADE",PR!$L551,IF(F553="SANCON",PR!$M551,IF(F553="DEVON",PR!$N551,IF(F553="DORTEMAG",PR!$O551,IF(F553="DGF",PR!$P551,IF(F553="DYNAMIC",PR!$Q551,IF(F553="EMZOR",PR!$R551,IF(F553="EUMATT",PR!$S551,IF(F553="FIDSON",PR!$T551,IF(F553="FCGLOBAL",PR!$U551,IF(F553="GENEITH",PR!$V551,IF(F553="GINOS",PR!$W551,IF(F553="GSK",PR!$X551,IF(F553="GLOBORG",PR!$Y551,IF(F553="GOODNEWS",PR!$Z551,IF(F553="GREENLIFE",PR!$AA551,IF(F553="HLINE",PR!$AB551,IF(F553="ROTECH",PR!$AC551,IF(F553="ISN",PR!$AD551,IF(F553="JAWA",PR!$AE551,IF(F553="LAYO",PR!$AF551,IF(F553="LEADWAY",PR!$AG551,IF(F553="LHV",PR!$AH551,IF(F553="MANOLA",PR!$AI551,IF(F553="MARCSON",PR!$AJ551,IF(F553="M&amp;B",PR!$AK551,IF(F553="MTRUST",PR!$AL551,IF(F553="MWORLD",PR!$AM551,IF(F553="MEGA",PR!$AN551,IF(F553="MICRONOVA",PR!$AO551,IF(F553="MFLASH",PR!$AP551,IF(F553="MORISON",PR!$AQ551,IF(F553="NEMEL",PR!$AR551,IF(F553="NHP",PR!$AS551,IF(F553="NHC",PR!$AT551,IF(F553="OLEAF",PR!$AU551,IF(F553="OCULUS",PR!$AV551,IF(F553="PACIFIC",PR!$AW551,IF(F553="PHAMATEX",PR!$AX551,IF(F553="PETHICS",PR!$AY551,IF(F553="PHILIPS",PR!$AZ551,IF(F553="RANBAXY",PR!$BA551,IF(F553="REALS",PR!$BB551,IF(F553="ROYAL",PR!$BC551,IF(F553="SAM",PR!$BD551,IF(F553="SEAGREEN",PR!$BE551,IF(F553="SKG",PR!$BF551,IF(F553="TAH",PR!$BG551,IF(F553="TAYLEK",PR!$BH551,IF(F553="TEMITA",PR!$BI551,IF(F553="THL",PR!$BJ551,IF(F553="UBASTIC",PR!$BK551,IF(F553="UNION",PR!$BL551,IF(F553="UNIQUE",PR!$BM551,IF(F553="VIXA",PR!$BN551,IF(F553="WWCV",PR!$BO551,IF(F553="ZOLON",PR!$BP551,"-"))))))))))))))))))))))))))))))))))))))))))))))))))))))))))))))))</f>
        <v>500</v>
      </c>
      <c r="F553" s="102" t="str">
        <f>EV!L705</f>
        <v>DGF</v>
      </c>
      <c r="G553" s="108">
        <f>IF(H553="ALPHA",PR!$E551,IF(H553="ASSENE",PR!$F551,IF(H553="BIOFEM",PR!$G551,IF(H553="BIOMED",PR!$H551,IF(H553="CHI",PR!$I551,IF(H553="CLARION",PR!$J551,IF(H553="CODIX",PR!$K551,IF(H553="COSMADE",PR!$L551,IF(H553="SANCON",PR!$M551,IF(H553="DEVON",PR!$N551,IF(H553="DORTEMAG",PR!$O551,IF(H553="DGF",PR!$P551,IF(H553="DYNAMIC",PR!$Q551,IF(H553="EMZOR",PR!$R551,IF(H553="EUMATT",PR!$S551,IF(H553="FIDSON",PR!$T551,IF(H553="FCGLOBAL",PR!$U551,IF(H553="GENEITH",PR!$V551,IF(H553="GINOS",PR!$W551,IF(H553="GSK",PR!$X551,IF(H553="GLOBORG",PR!$Y551,IF(H553="GOODNEWS",PR!$Z551,IF(H553="GREENLIFE",PR!$AA551,IF(H553="HLINE",PR!$AB551,IF(H553="ROTECH",PR!$AC551,IF(H553="ISN",PR!$AD551,IF(H553="JAWA",PR!$AE551,IF(H553="LAYO",PR!$AF551,IF(H553="LEADWAY",PR!$AG551,IF(H553="LHV",PR!$AH551,IF(H553="MANOLA",PR!$AI551,IF(H553="MARCSON",PR!$AJ551,IF(H553="M&amp;B",PR!$AK551,IF(H553="MTRUST",PR!$AL551,IF(H553="MWORLD",PR!$AM551,IF(H553="MEGA",PR!$AN551,IF(H553="MICRONOVA",PR!$AO551,IF(H553="MFLASH",PR!$AP551,IF(H553="MORISON",PR!$AQ551,IF(H553="NEMEL",PR!$AR551,IF(H553="NHP",PR!$AS551,IF(H553="NHC",PR!$AT551,IF(H553="OLEAF",PR!$AU551,IF(H553="OCULUS",PR!$AV551,IF(H553="PACIFIC",PR!$AW551,IF(H553="PHAMATEX",PR!$AX551,IF(H553="PETHICS",PR!$AY551,IF(H553="PHILIPS",PR!$AZ551,IF(H553="RANBAXY",PR!$BA551,IF(H553="REALS",PR!$BB551,IF(H553="ROYAL",PR!$BC551,IF(H553="SAM",PR!$BD551,IF(H553="SEAGREEN",PR!$BE551,IF(H553="SKG",PR!$BF551,IF(H553="TAH",PR!$BG551,IF(H553="TAYLEK",PR!$BH551,IF(H553="TEMITA",PR!$BI551,IF(H553="THL",PR!$BJ551,IF(H553="UBASTIC",PR!$BK551,IF(H553="UNION",PR!$BL551,IF(H553="UNIQUE",PR!$BM551,IF(H553="VIXA",PR!$BN551,IF(H553="WWCV",PR!$BO551,IF(H553="ZOLON",PR!$BP551,"-"))))))))))))))))))))))))))))))))))))))))))))))))))))))))))))))))</f>
        <v>500</v>
      </c>
      <c r="H553" s="102" t="str">
        <f>EV!M705</f>
        <v>EUMATT</v>
      </c>
      <c r="I553" s="108">
        <f>IF(J553="ALPHA",PR!$E551,IF(J553="ASSENE",PR!$F551,IF(J553="BIOFEM",PR!$G551,IF(J553="BIOMED",PR!$H551,IF(J553="CHI",PR!$I551,IF(J553="CLARION",PR!$J551,IF(J553="CODIX",PR!$K551,IF(J553="COSMADE",PR!$L551,IF(J553="SANCON",PR!$M551,IF(J553="DEVON",PR!$N551,IF(J553="DORTEMAG",PR!$O551,IF(J553="DGF",PR!$P551,IF(J553="DYNAMIC",PR!$Q551,IF(J553="EMZOR",PR!$R551,IF(J553="EUMATT",PR!$S551,IF(J553="FIDSON",PR!$T551,IF(J553="FCGLOBAL",PR!$U551,IF(J553="GENEITH",PR!$V551,IF(J553="GINOS",PR!$W551,IF(J553="GSK",PR!$X551,IF(J553="GLOBORG",PR!$Y551,IF(J553="GOODNEWS",PR!$Z551,IF(J553="GREENLIFE",PR!$AA551,IF(J553="HLINE",PR!$AB551,IF(J553="ROTECH",PR!$AC551,IF(J553="ISN",PR!$AD551,IF(J553="JAWA",PR!$AE551,IF(J553="LAYO",PR!$AF551,IF(J553="LEADWAY",PR!$AG551,IF(J553="LHV",PR!$AH551,IF(J553="MANOLA",PR!$AI551,IF(J553="MARCSON",PR!$AJ551,IF(J553="M&amp;B",PR!$AK551,IF(J553="MTRUST",PR!$AL551,IF(J553="MWORLD",PR!$AM551,IF(J553="MEGA",PR!$AN551,IF(J553="MICRONOVA",PR!$AO551,IF(J553="MFLASH",PR!$AP551,IF(J553="MORISON",PR!$AQ551,IF(J553="NEMEL",PR!$AR551,IF(J553="NHP",PR!$AS551,IF(J553="NHC",PR!$AT551,IF(J553="OLEAF",PR!$AU551,IF(J553="OCULUS",PR!$AV551,IF(J553="PACIFIC",PR!$AW551,IF(J553="PHAMATEX",PR!$AX551,IF(J553="PETHICS",PR!$AY551,IF(J553="PHILIPS",PR!$AZ551,IF(J553="RANBAXY",PR!$BA551,IF(J553="REALS",PR!$BB551,IF(J553="ROYAL",PR!$BC551,IF(J553="SAM",PR!$BD551,IF(J553="SEAGREEN",PR!$BE551,IF(J553="SKG",PR!$BF551,IF(J553="TAH",PR!$BG551,IF(J553="TAYLEK",PR!$BH551,IF(J553="TEMITA",PR!$BI551,IF(J553="THL",PR!$BJ551,IF(J553="UBASTIC",PR!$BK551,IF(J553="UNION",PR!$BL551,IF(J553="UNIQUE",PR!$BM551,IF(J553="VIXA",PR!$BN551,IF(J553="WWCV",PR!$BO551,IF(J553="ZOLON",PR!$BP551,"-"))))))))))))))))))))))))))))))))))))))))))))))))))))))))))))))))</f>
        <v>675</v>
      </c>
      <c r="J553" s="102" t="str">
        <f>EV!N705</f>
        <v>LEADWAY</v>
      </c>
      <c r="K553" s="433" t="s">
        <v>829</v>
      </c>
      <c r="L553" s="183">
        <f>IF(K553&gt;0,IF(K553="ALPHA",PR!$E551,IF(K553="ASSENE",PR!$F551,IF(K553="BIOFEM",PR!$G551,IF(K553="BIOMED",PR!$H551,IF(K553="CHI",PR!$I551,IF(K553="CLARION",PR!$J551,IF(K553="CODIX",PR!$K551,IF(K553="COSMADE",PR!$L551,IF(K553="SANCON",PR!$M551,IF(K553="DEVON",PR!$N551,IF(K553="DORTEMAG",PR!$O551,IF(K553="DGF",PR!$P551,IF(K553="DYNAMIC",PR!$Q551,IF(K553="EMZOR",PR!$R551,IF(K553="EUMATT",PR!$S551,IF(K553="FIDSON",PR!$T551,IF(K553="FCGLOBAL",PR!$U551,IF(K553="GENEITH",PR!$V551,IF(K553="GINOS",PR!$W551,IF(K553="GSK",PR!$X551,IF(K553="GLOBORG",PR!$Y551,IF(K553="GOODNEWS",PR!$Z551,IF(K553="GREENLIFE",PR!$AA551,IF(K553="HLINE",PR!$AB551,IF(K553="ROTECH",PR!$AC551,IF(K553="ISN",PR!$AD551,IF(K553="JAWA",PR!$AE551,IF(K553="LAYO",PR!$AF551,IF(K553="LEADWAY",PR!$AG551,IF(K553="LHV",PR!$AH551,IF(K553="MANOLA",PR!$AI551,IF(K553="MARCSON",PR!$AJ551,IF(K553="M&amp;B",PR!$AK551,IF(K553="MTRUST",PR!$AL551,IF(K553="MWORLD",PR!$AM551,IF(K553="MEGA",PR!$AN551,IF(K553="MICRONOVA",PR!$AO551,IF(K553="MFLASH",PR!$AP551,IF(K553="MORISON",PR!$AQ551,IF(K553="NEMEL",PR!$AR551,IF(K553="NHP",PR!$AS551,IF(K553="NHC",PR!$AT551,IF(K553="OLEAF",PR!$AU551,IF(K553="OCULUS",PR!$AV551,IF(K553="PACIFIC",PR!$AW551,IF(K553="PHAMATEX",PR!$AX551,IF(K553="PETHICS",PR!$AY551,IF(K553="PHILIPS",PR!$AZ551,IF(K553="RANBAXY",PR!$BA551,IF(K553="REALS",PR!$BB551,IF(K553="ROYAL",PR!$BC551,IF(K553="SAM",PR!$BD551,IF(K553="SEAGREEN",PR!$BE551,IF(K553="SKG",PR!$BF551,IF(K553="TAH",PR!$BG551,IF(K553="TAYLEK",PR!$BH551,IF(K553="TEMITA",PR!$BI551,IF(K553="THL",PR!$BJ551,IF(K553="UBASTIC",PR!$BK551,IF(K553="UNION",PR!$BL551,IF(K553="UNIQUE",PR!$BM551,IF(K553="VIXA",PR!$BN551,IF(K553="WWCV",PR!$BO551,IF(K553="ZOLON",PR!$BP551,"-")))))))))))))))))))))))))))))))))))))))))))))))))))))))))))))))))</f>
        <v>500</v>
      </c>
    </row>
    <row r="554" spans="1:12" ht="18.75" x14ac:dyDescent="0.3">
      <c r="A554" s="430">
        <f>PR!A552</f>
        <v>497</v>
      </c>
      <c r="B554" s="15" t="str">
        <f>PR!B552</f>
        <v>ATROPINE GTT</v>
      </c>
      <c r="C554" s="113" t="str">
        <f>PR!D552</f>
        <v>BOTT</v>
      </c>
      <c r="D554" s="113">
        <f>PR!C552</f>
        <v>60</v>
      </c>
      <c r="E554" s="108">
        <f>IF(F554="ALPHA",PR!$E552,IF(F554="ASSENE",PR!$F552,IF(F554="BIOFEM",PR!$G552,IF(F554="BIOMED",PR!$H552,IF(F554="CHI",PR!$I552,IF(F554="CLARION",PR!$J552,IF(F554="CODIX",PR!$K552,IF(F554="COSMADE",PR!$L552,IF(F554="SANCON",PR!$M552,IF(F554="DEVON",PR!$N552,IF(F554="DORTEMAG",PR!$O552,IF(F554="DGF",PR!$P552,IF(F554="DYNAMIC",PR!$Q552,IF(F554="EMZOR",PR!$R552,IF(F554="EUMATT",PR!$S552,IF(F554="FIDSON",PR!$T552,IF(F554="FCGLOBAL",PR!$U552,IF(F554="GENEITH",PR!$V552,IF(F554="GINOS",PR!$W552,IF(F554="GSK",PR!$X552,IF(F554="GLOBORG",PR!$Y552,IF(F554="GOODNEWS",PR!$Z552,IF(F554="GREENLIFE",PR!$AA552,IF(F554="HLINE",PR!$AB552,IF(F554="ROTECH",PR!$AC552,IF(F554="ISN",PR!$AD552,IF(F554="JAWA",PR!$AE552,IF(F554="LAYO",PR!$AF552,IF(F554="LEADWAY",PR!$AG552,IF(F554="LHV",PR!$AH552,IF(F554="MANOLA",PR!$AI552,IF(F554="MARCSON",PR!$AJ552,IF(F554="M&amp;B",PR!$AK552,IF(F554="MTRUST",PR!$AL552,IF(F554="MWORLD",PR!$AM552,IF(F554="MEGA",PR!$AN552,IF(F554="MICRONOVA",PR!$AO552,IF(F554="MFLASH",PR!$AP552,IF(F554="MORISON",PR!$AQ552,IF(F554="NEMEL",PR!$AR552,IF(F554="NHP",PR!$AS552,IF(F554="NHC",PR!$AT552,IF(F554="OLEAF",PR!$AU552,IF(F554="OCULUS",PR!$AV552,IF(F554="PACIFIC",PR!$AW552,IF(F554="PHAMATEX",PR!$AX552,IF(F554="PETHICS",PR!$AY552,IF(F554="PHILIPS",PR!$AZ552,IF(F554="RANBAXY",PR!$BA552,IF(F554="REALS",PR!$BB552,IF(F554="ROYAL",PR!$BC552,IF(F554="SAM",PR!$BD552,IF(F554="SEAGREEN",PR!$BE552,IF(F554="SKG",PR!$BF552,IF(F554="TAH",PR!$BG552,IF(F554="TAYLEK",PR!$BH552,IF(F554="TEMITA",PR!$BI552,IF(F554="THL",PR!$BJ552,IF(F554="UBASTIC",PR!$BK552,IF(F554="UNION",PR!$BL552,IF(F554="UNIQUE",PR!$BM552,IF(F554="VIXA",PR!$BN552,IF(F554="WWCV",PR!$BO552,IF(F554="ZOLON",PR!$BP552,"-"))))))))))))))))))))))))))))))))))))))))))))))))))))))))))))))))</f>
        <v>350</v>
      </c>
      <c r="F554" s="102" t="str">
        <f>EV!L706</f>
        <v>EUMATT</v>
      </c>
      <c r="G554" s="108" t="str">
        <f>IF(H554="ALPHA",PR!$E552,IF(H554="ASSENE",PR!$F552,IF(H554="BIOFEM",PR!$G552,IF(H554="BIOMED",PR!$H552,IF(H554="CHI",PR!$I552,IF(H554="CLARION",PR!$J552,IF(H554="CODIX",PR!$K552,IF(H554="COSMADE",PR!$L552,IF(H554="SANCON",PR!$M552,IF(H554="DEVON",PR!$N552,IF(H554="DORTEMAG",PR!$O552,IF(H554="DGF",PR!$P552,IF(H554="DYNAMIC",PR!$Q552,IF(H554="EMZOR",PR!$R552,IF(H554="EUMATT",PR!$S552,IF(H554="FIDSON",PR!$T552,IF(H554="FCGLOBAL",PR!$U552,IF(H554="GENEITH",PR!$V552,IF(H554="GINOS",PR!$W552,IF(H554="GSK",PR!$X552,IF(H554="GLOBORG",PR!$Y552,IF(H554="GOODNEWS",PR!$Z552,IF(H554="GREENLIFE",PR!$AA552,IF(H554="HLINE",PR!$AB552,IF(H554="ROTECH",PR!$AC552,IF(H554="ISN",PR!$AD552,IF(H554="JAWA",PR!$AE552,IF(H554="LAYO",PR!$AF552,IF(H554="LEADWAY",PR!$AG552,IF(H554="LHV",PR!$AH552,IF(H554="MANOLA",PR!$AI552,IF(H554="MARCSON",PR!$AJ552,IF(H554="M&amp;B",PR!$AK552,IF(H554="MTRUST",PR!$AL552,IF(H554="MWORLD",PR!$AM552,IF(H554="MEGA",PR!$AN552,IF(H554="MICRONOVA",PR!$AO552,IF(H554="MFLASH",PR!$AP552,IF(H554="MORISON",PR!$AQ552,IF(H554="NEMEL",PR!$AR552,IF(H554="NHP",PR!$AS552,IF(H554="NHC",PR!$AT552,IF(H554="OLEAF",PR!$AU552,IF(H554="OCULUS",PR!$AV552,IF(H554="PACIFIC",PR!$AW552,IF(H554="PHAMATEX",PR!$AX552,IF(H554="PETHICS",PR!$AY552,IF(H554="PHILIPS",PR!$AZ552,IF(H554="RANBAXY",PR!$BA552,IF(H554="REALS",PR!$BB552,IF(H554="ROYAL",PR!$BC552,IF(H554="SAM",PR!$BD552,IF(H554="SEAGREEN",PR!$BE552,IF(H554="SKG",PR!$BF552,IF(H554="TAH",PR!$BG552,IF(H554="TAYLEK",PR!$BH552,IF(H554="TEMITA",PR!$BI552,IF(H554="THL",PR!$BJ552,IF(H554="UBASTIC",PR!$BK552,IF(H554="UNION",PR!$BL552,IF(H554="UNIQUE",PR!$BM552,IF(H554="VIXA",PR!$BN552,IF(H554="WWCV",PR!$BO552,IF(H554="ZOLON",PR!$BP552,"-"))))))))))))))))))))))))))))))))))))))))))))))))))))))))))))))))</f>
        <v>-</v>
      </c>
      <c r="H554" s="102">
        <f>EV!M706</f>
        <v>0</v>
      </c>
      <c r="I554" s="108" t="str">
        <f>IF(J554="ALPHA",PR!$E552,IF(J554="ASSENE",PR!$F552,IF(J554="BIOFEM",PR!$G552,IF(J554="BIOMED",PR!$H552,IF(J554="CHI",PR!$I552,IF(J554="CLARION",PR!$J552,IF(J554="CODIX",PR!$K552,IF(J554="COSMADE",PR!$L552,IF(J554="SANCON",PR!$M552,IF(J554="DEVON",PR!$N552,IF(J554="DORTEMAG",PR!$O552,IF(J554="DGF",PR!$P552,IF(J554="DYNAMIC",PR!$Q552,IF(J554="EMZOR",PR!$R552,IF(J554="EUMATT",PR!$S552,IF(J554="FIDSON",PR!$T552,IF(J554="FCGLOBAL",PR!$U552,IF(J554="GENEITH",PR!$V552,IF(J554="GINOS",PR!$W552,IF(J554="GSK",PR!$X552,IF(J554="GLOBORG",PR!$Y552,IF(J554="GOODNEWS",PR!$Z552,IF(J554="GREENLIFE",PR!$AA552,IF(J554="HLINE",PR!$AB552,IF(J554="ROTECH",PR!$AC552,IF(J554="ISN",PR!$AD552,IF(J554="JAWA",PR!$AE552,IF(J554="LAYO",PR!$AF552,IF(J554="LEADWAY",PR!$AG552,IF(J554="LHV",PR!$AH552,IF(J554="MANOLA",PR!$AI552,IF(J554="MARCSON",PR!$AJ552,IF(J554="M&amp;B",PR!$AK552,IF(J554="MTRUST",PR!$AL552,IF(J554="MWORLD",PR!$AM552,IF(J554="MEGA",PR!$AN552,IF(J554="MICRONOVA",PR!$AO552,IF(J554="MFLASH",PR!$AP552,IF(J554="MORISON",PR!$AQ552,IF(J554="NEMEL",PR!$AR552,IF(J554="NHP",PR!$AS552,IF(J554="NHC",PR!$AT552,IF(J554="OLEAF",PR!$AU552,IF(J554="OCULUS",PR!$AV552,IF(J554="PACIFIC",PR!$AW552,IF(J554="PHAMATEX",PR!$AX552,IF(J554="PETHICS",PR!$AY552,IF(J554="PHILIPS",PR!$AZ552,IF(J554="RANBAXY",PR!$BA552,IF(J554="REALS",PR!$BB552,IF(J554="ROYAL",PR!$BC552,IF(J554="SAM",PR!$BD552,IF(J554="SEAGREEN",PR!$BE552,IF(J554="SKG",PR!$BF552,IF(J554="TAH",PR!$BG552,IF(J554="TAYLEK",PR!$BH552,IF(J554="TEMITA",PR!$BI552,IF(J554="THL",PR!$BJ552,IF(J554="UBASTIC",PR!$BK552,IF(J554="UNION",PR!$BL552,IF(J554="UNIQUE",PR!$BM552,IF(J554="VIXA",PR!$BN552,IF(J554="WWCV",PR!$BO552,IF(J554="ZOLON",PR!$BP552,"-"))))))))))))))))))))))))))))))))))))))))))))))))))))))))))))))))</f>
        <v>-</v>
      </c>
      <c r="J554" s="102">
        <f>EV!N706</f>
        <v>0</v>
      </c>
      <c r="K554" s="433" t="s">
        <v>821</v>
      </c>
      <c r="L554" s="183">
        <f>IF(K554&gt;0,IF(K554="ALPHA",PR!$E552,IF(K554="ASSENE",PR!$F552,IF(K554="BIOFEM",PR!$G552,IF(K554="BIOMED",PR!$H552,IF(K554="CHI",PR!$I552,IF(K554="CLARION",PR!$J552,IF(K554="CODIX",PR!$K552,IF(K554="COSMADE",PR!$L552,IF(K554="SANCON",PR!$M552,IF(K554="DEVON",PR!$N552,IF(K554="DORTEMAG",PR!$O552,IF(K554="DGF",PR!$P552,IF(K554="DYNAMIC",PR!$Q552,IF(K554="EMZOR",PR!$R552,IF(K554="EUMATT",PR!$S552,IF(K554="FIDSON",PR!$T552,IF(K554="FCGLOBAL",PR!$U552,IF(K554="GENEITH",PR!$V552,IF(K554="GINOS",PR!$W552,IF(K554="GSK",PR!$X552,IF(K554="GLOBORG",PR!$Y552,IF(K554="GOODNEWS",PR!$Z552,IF(K554="GREENLIFE",PR!$AA552,IF(K554="HLINE",PR!$AB552,IF(K554="ROTECH",PR!$AC552,IF(K554="ISN",PR!$AD552,IF(K554="JAWA",PR!$AE552,IF(K554="LAYO",PR!$AF552,IF(K554="LEADWAY",PR!$AG552,IF(K554="LHV",PR!$AH552,IF(K554="MANOLA",PR!$AI552,IF(K554="MARCSON",PR!$AJ552,IF(K554="M&amp;B",PR!$AK552,IF(K554="MTRUST",PR!$AL552,IF(K554="MWORLD",PR!$AM552,IF(K554="MEGA",PR!$AN552,IF(K554="MICRONOVA",PR!$AO552,IF(K554="MFLASH",PR!$AP552,IF(K554="MORISON",PR!$AQ552,IF(K554="NEMEL",PR!$AR552,IF(K554="NHP",PR!$AS552,IF(K554="NHC",PR!$AT552,IF(K554="OLEAF",PR!$AU552,IF(K554="OCULUS",PR!$AV552,IF(K554="PACIFIC",PR!$AW552,IF(K554="PHAMATEX",PR!$AX552,IF(K554="PETHICS",PR!$AY552,IF(K554="PHILIPS",PR!$AZ552,IF(K554="RANBAXY",PR!$BA552,IF(K554="REALS",PR!$BB552,IF(K554="ROYAL",PR!$BC552,IF(K554="SAM",PR!$BD552,IF(K554="SEAGREEN",PR!$BE552,IF(K554="SKG",PR!$BF552,IF(K554="TAH",PR!$BG552,IF(K554="TAYLEK",PR!$BH552,IF(K554="TEMITA",PR!$BI552,IF(K554="THL",PR!$BJ552,IF(K554="UBASTIC",PR!$BK552,IF(K554="UNION",PR!$BL552,IF(K554="UNIQUE",PR!$BM552,IF(K554="VIXA",PR!$BN552,IF(K554="WWCV",PR!$BO552,IF(K554="ZOLON",PR!$BP552,"-")))))))))))))))))))))))))))))))))))))))))))))))))))))))))))))))))</f>
        <v>350</v>
      </c>
    </row>
    <row r="555" spans="1:12" ht="18.75" x14ac:dyDescent="0.3">
      <c r="A555" s="430">
        <f>PR!A553</f>
        <v>498</v>
      </c>
      <c r="B555" s="15" t="str">
        <f>PR!B553</f>
        <v>BETAXOLOL GTT</v>
      </c>
      <c r="C555" s="113" t="str">
        <f>PR!D553</f>
        <v>BOTT</v>
      </c>
      <c r="D555" s="113">
        <f>PR!C553</f>
        <v>20</v>
      </c>
      <c r="E555" s="108">
        <f>IF(F555="ALPHA",PR!$E553,IF(F555="ASSENE",PR!$F553,IF(F555="BIOFEM",PR!$G553,IF(F555="BIOMED",PR!$H553,IF(F555="CHI",PR!$I553,IF(F555="CLARION",PR!$J553,IF(F555="CODIX",PR!$K553,IF(F555="COSMADE",PR!$L553,IF(F555="SANCON",PR!$M553,IF(F555="DEVON",PR!$N553,IF(F555="DORTEMAG",PR!$O553,IF(F555="DGF",PR!$P553,IF(F555="DYNAMIC",PR!$Q553,IF(F555="EMZOR",PR!$R553,IF(F555="EUMATT",PR!$S553,IF(F555="FIDSON",PR!$T553,IF(F555="FCGLOBAL",PR!$U553,IF(F555="GENEITH",PR!$V553,IF(F555="GINOS",PR!$W553,IF(F555="GSK",PR!$X553,IF(F555="GLOBORG",PR!$Y553,IF(F555="GOODNEWS",PR!$Z553,IF(F555="GREENLIFE",PR!$AA553,IF(F555="HLINE",PR!$AB553,IF(F555="ROTECH",PR!$AC553,IF(F555="ISN",PR!$AD553,IF(F555="JAWA",PR!$AE553,IF(F555="LAYO",PR!$AF553,IF(F555="LEADWAY",PR!$AG553,IF(F555="LHV",PR!$AH553,IF(F555="MANOLA",PR!$AI553,IF(F555="MARCSON",PR!$AJ553,IF(F555="M&amp;B",PR!$AK553,IF(F555="MTRUST",PR!$AL553,IF(F555="MWORLD",PR!$AM553,IF(F555="MEGA",PR!$AN553,IF(F555="MICRONOVA",PR!$AO553,IF(F555="MFLASH",PR!$AP553,IF(F555="MORISON",PR!$AQ553,IF(F555="NEMEL",PR!$AR553,IF(F555="NHP",PR!$AS553,IF(F555="NHC",PR!$AT553,IF(F555="OLEAF",PR!$AU553,IF(F555="OCULUS",PR!$AV553,IF(F555="PACIFIC",PR!$AW553,IF(F555="PHAMATEX",PR!$AX553,IF(F555="PETHICS",PR!$AY553,IF(F555="PHILIPS",PR!$AZ553,IF(F555="RANBAXY",PR!$BA553,IF(F555="REALS",PR!$BB553,IF(F555="ROYAL",PR!$BC553,IF(F555="SAM",PR!$BD553,IF(F555="SEAGREEN",PR!$BE553,IF(F555="SKG",PR!$BF553,IF(F555="TAH",PR!$BG553,IF(F555="TAYLEK",PR!$BH553,IF(F555="TEMITA",PR!$BI553,IF(F555="THL",PR!$BJ553,IF(F555="UBASTIC",PR!$BK553,IF(F555="UNION",PR!$BL553,IF(F555="UNIQUE",PR!$BM553,IF(F555="VIXA",PR!$BN553,IF(F555="WWCV",PR!$BO553,IF(F555="ZOLON",PR!$BP553,"-"))))))))))))))))))))))))))))))))))))))))))))))))))))))))))))))))</f>
        <v>603</v>
      </c>
      <c r="F555" s="102" t="str">
        <f>EV!L707</f>
        <v>DORTEMAG</v>
      </c>
      <c r="G555" s="108">
        <f>IF(H555="ALPHA",PR!$E553,IF(H555="ASSENE",PR!$F553,IF(H555="BIOFEM",PR!$G553,IF(H555="BIOMED",PR!$H553,IF(H555="CHI",PR!$I553,IF(H555="CLARION",PR!$J553,IF(H555="CODIX",PR!$K553,IF(H555="COSMADE",PR!$L553,IF(H555="SANCON",PR!$M553,IF(H555="DEVON",PR!$N553,IF(H555="DORTEMAG",PR!$O553,IF(H555="DGF",PR!$P553,IF(H555="DYNAMIC",PR!$Q553,IF(H555="EMZOR",PR!$R553,IF(H555="EUMATT",PR!$S553,IF(H555="FIDSON",PR!$T553,IF(H555="FCGLOBAL",PR!$U553,IF(H555="GENEITH",PR!$V553,IF(H555="GINOS",PR!$W553,IF(H555="GSK",PR!$X553,IF(H555="GLOBORG",PR!$Y553,IF(H555="GOODNEWS",PR!$Z553,IF(H555="GREENLIFE",PR!$AA553,IF(H555="HLINE",PR!$AB553,IF(H555="ROTECH",PR!$AC553,IF(H555="ISN",PR!$AD553,IF(H555="JAWA",PR!$AE553,IF(H555="LAYO",PR!$AF553,IF(H555="LEADWAY",PR!$AG553,IF(H555="LHV",PR!$AH553,IF(H555="MANOLA",PR!$AI553,IF(H555="MARCSON",PR!$AJ553,IF(H555="M&amp;B",PR!$AK553,IF(H555="MTRUST",PR!$AL553,IF(H555="MWORLD",PR!$AM553,IF(H555="MEGA",PR!$AN553,IF(H555="MICRONOVA",PR!$AO553,IF(H555="MFLASH",PR!$AP553,IF(H555="MORISON",PR!$AQ553,IF(H555="NEMEL",PR!$AR553,IF(H555="NHP",PR!$AS553,IF(H555="NHC",PR!$AT553,IF(H555="OLEAF",PR!$AU553,IF(H555="OCULUS",PR!$AV553,IF(H555="PACIFIC",PR!$AW553,IF(H555="PHAMATEX",PR!$AX553,IF(H555="PETHICS",PR!$AY553,IF(H555="PHILIPS",PR!$AZ553,IF(H555="RANBAXY",PR!$BA553,IF(H555="REALS",PR!$BB553,IF(H555="ROYAL",PR!$BC553,IF(H555="SAM",PR!$BD553,IF(H555="SEAGREEN",PR!$BE553,IF(H555="SKG",PR!$BF553,IF(H555="TAH",PR!$BG553,IF(H555="TAYLEK",PR!$BH553,IF(H555="TEMITA",PR!$BI553,IF(H555="THL",PR!$BJ553,IF(H555="UBASTIC",PR!$BK553,IF(H555="UNION",PR!$BL553,IF(H555="UNIQUE",PR!$BM553,IF(H555="VIXA",PR!$BN553,IF(H555="WWCV",PR!$BO553,IF(H555="ZOLON",PR!$BP553,"-"))))))))))))))))))))))))))))))))))))))))))))))))))))))))))))))))</f>
        <v>700</v>
      </c>
      <c r="H555" s="102" t="str">
        <f>EV!M707</f>
        <v>EUMATT</v>
      </c>
      <c r="I555" s="108">
        <f>IF(J555="ALPHA",PR!$E553,IF(J555="ASSENE",PR!$F553,IF(J555="BIOFEM",PR!$G553,IF(J555="BIOMED",PR!$H553,IF(J555="CHI",PR!$I553,IF(J555="CLARION",PR!$J553,IF(J555="CODIX",PR!$K553,IF(J555="COSMADE",PR!$L553,IF(J555="SANCON",PR!$M553,IF(J555="DEVON",PR!$N553,IF(J555="DORTEMAG",PR!$O553,IF(J555="DGF",PR!$P553,IF(J555="DYNAMIC",PR!$Q553,IF(J555="EMZOR",PR!$R553,IF(J555="EUMATT",PR!$S553,IF(J555="FIDSON",PR!$T553,IF(J555="FCGLOBAL",PR!$U553,IF(J555="GENEITH",PR!$V553,IF(J555="GINOS",PR!$W553,IF(J555="GSK",PR!$X553,IF(J555="GLOBORG",PR!$Y553,IF(J555="GOODNEWS",PR!$Z553,IF(J555="GREENLIFE",PR!$AA553,IF(J555="HLINE",PR!$AB553,IF(J555="ROTECH",PR!$AC553,IF(J555="ISN",PR!$AD553,IF(J555="JAWA",PR!$AE553,IF(J555="LAYO",PR!$AF553,IF(J555="LEADWAY",PR!$AG553,IF(J555="LHV",PR!$AH553,IF(J555="MANOLA",PR!$AI553,IF(J555="MARCSON",PR!$AJ553,IF(J555="M&amp;B",PR!$AK553,IF(J555="MTRUST",PR!$AL553,IF(J555="MWORLD",PR!$AM553,IF(J555="MEGA",PR!$AN553,IF(J555="MICRONOVA",PR!$AO553,IF(J555="MFLASH",PR!$AP553,IF(J555="MORISON",PR!$AQ553,IF(J555="NEMEL",PR!$AR553,IF(J555="NHP",PR!$AS553,IF(J555="NHC",PR!$AT553,IF(J555="OLEAF",PR!$AU553,IF(J555="OCULUS",PR!$AV553,IF(J555="PACIFIC",PR!$AW553,IF(J555="PHAMATEX",PR!$AX553,IF(J555="PETHICS",PR!$AY553,IF(J555="PHILIPS",PR!$AZ553,IF(J555="RANBAXY",PR!$BA553,IF(J555="REALS",PR!$BB553,IF(J555="ROYAL",PR!$BC553,IF(J555="SAM",PR!$BD553,IF(J555="SEAGREEN",PR!$BE553,IF(J555="SKG",PR!$BF553,IF(J555="TAH",PR!$BG553,IF(J555="TAYLEK",PR!$BH553,IF(J555="TEMITA",PR!$BI553,IF(J555="THL",PR!$BJ553,IF(J555="UBASTIC",PR!$BK553,IF(J555="UNION",PR!$BL553,IF(J555="UNIQUE",PR!$BM553,IF(J555="VIXA",PR!$BN553,IF(J555="WWCV",PR!$BO553,IF(J555="ZOLON",PR!$BP553,"-"))))))))))))))))))))))))))))))))))))))))))))))))))))))))))))))))</f>
        <v>1087</v>
      </c>
      <c r="J555" s="102" t="str">
        <f>EV!N707</f>
        <v>WWCV</v>
      </c>
      <c r="K555" s="433" t="s">
        <v>828</v>
      </c>
      <c r="L555" s="183">
        <f>IF(K555&gt;0,IF(K555="ALPHA",PR!$E553,IF(K555="ASSENE",PR!$F553,IF(K555="BIOFEM",PR!$G553,IF(K555="BIOMED",PR!$H553,IF(K555="CHI",PR!$I553,IF(K555="CLARION",PR!$J553,IF(K555="CODIX",PR!$K553,IF(K555="COSMADE",PR!$L553,IF(K555="SANCON",PR!$M553,IF(K555="DEVON",PR!$N553,IF(K555="DORTEMAG",PR!$O553,IF(K555="DGF",PR!$P553,IF(K555="DYNAMIC",PR!$Q553,IF(K555="EMZOR",PR!$R553,IF(K555="EUMATT",PR!$S553,IF(K555="FIDSON",PR!$T553,IF(K555="FCGLOBAL",PR!$U553,IF(K555="GENEITH",PR!$V553,IF(K555="GINOS",PR!$W553,IF(K555="GSK",PR!$X553,IF(K555="GLOBORG",PR!$Y553,IF(K555="GOODNEWS",PR!$Z553,IF(K555="GREENLIFE",PR!$AA553,IF(K555="HLINE",PR!$AB553,IF(K555="ROTECH",PR!$AC553,IF(K555="ISN",PR!$AD553,IF(K555="JAWA",PR!$AE553,IF(K555="LAYO",PR!$AF553,IF(K555="LEADWAY",PR!$AG553,IF(K555="LHV",PR!$AH553,IF(K555="MANOLA",PR!$AI553,IF(K555="MARCSON",PR!$AJ553,IF(K555="M&amp;B",PR!$AK553,IF(K555="MTRUST",PR!$AL553,IF(K555="MWORLD",PR!$AM553,IF(K555="MEGA",PR!$AN553,IF(K555="MICRONOVA",PR!$AO553,IF(K555="MFLASH",PR!$AP553,IF(K555="MORISON",PR!$AQ553,IF(K555="NEMEL",PR!$AR553,IF(K555="NHP",PR!$AS553,IF(K555="NHC",PR!$AT553,IF(K555="OLEAF",PR!$AU553,IF(K555="OCULUS",PR!$AV553,IF(K555="PACIFIC",PR!$AW553,IF(K555="PHAMATEX",PR!$AX553,IF(K555="PETHICS",PR!$AY553,IF(K555="PHILIPS",PR!$AZ553,IF(K555="RANBAXY",PR!$BA553,IF(K555="REALS",PR!$BB553,IF(K555="ROYAL",PR!$BC553,IF(K555="SAM",PR!$BD553,IF(K555="SEAGREEN",PR!$BE553,IF(K555="SKG",PR!$BF553,IF(K555="TAH",PR!$BG553,IF(K555="TAYLEK",PR!$BH553,IF(K555="TEMITA",PR!$BI553,IF(K555="THL",PR!$BJ553,IF(K555="UBASTIC",PR!$BK553,IF(K555="UNION",PR!$BL553,IF(K555="UNIQUE",PR!$BM553,IF(K555="VIXA",PR!$BN553,IF(K555="WWCV",PR!$BO553,IF(K555="ZOLON",PR!$BP553,"-")))))))))))))))))))))))))))))))))))))))))))))))))))))))))))))))))</f>
        <v>603</v>
      </c>
    </row>
    <row r="556" spans="1:12" ht="18.75" x14ac:dyDescent="0.3">
      <c r="A556" s="430">
        <f>PR!A554</f>
        <v>499</v>
      </c>
      <c r="B556" s="15" t="str">
        <f>PR!B554</f>
        <v>BRIMONIDINE GTT</v>
      </c>
      <c r="C556" s="113" t="str">
        <f>PR!D554</f>
        <v>BOTT</v>
      </c>
      <c r="D556" s="113">
        <f>PR!C554</f>
        <v>20</v>
      </c>
      <c r="E556" s="108">
        <f>IF(F556="ALPHA",PR!$E554,IF(F556="ASSENE",PR!$F554,IF(F556="BIOFEM",PR!$G554,IF(F556="BIOMED",PR!$H554,IF(F556="CHI",PR!$I554,IF(F556="CLARION",PR!$J554,IF(F556="CODIX",PR!$K554,IF(F556="COSMADE",PR!$L554,IF(F556="SANCON",PR!$M554,IF(F556="DEVON",PR!$N554,IF(F556="DORTEMAG",PR!$O554,IF(F556="DGF",PR!$P554,IF(F556="DYNAMIC",PR!$Q554,IF(F556="EMZOR",PR!$R554,IF(F556="EUMATT",PR!$S554,IF(F556="FIDSON",PR!$T554,IF(F556="FCGLOBAL",PR!$U554,IF(F556="GENEITH",PR!$V554,IF(F556="GINOS",PR!$W554,IF(F556="GSK",PR!$X554,IF(F556="GLOBORG",PR!$Y554,IF(F556="GOODNEWS",PR!$Z554,IF(F556="GREENLIFE",PR!$AA554,IF(F556="HLINE",PR!$AB554,IF(F556="ROTECH",PR!$AC554,IF(F556="ISN",PR!$AD554,IF(F556="JAWA",PR!$AE554,IF(F556="LAYO",PR!$AF554,IF(F556="LEADWAY",PR!$AG554,IF(F556="LHV",PR!$AH554,IF(F556="MANOLA",PR!$AI554,IF(F556="MARCSON",PR!$AJ554,IF(F556="M&amp;B",PR!$AK554,IF(F556="MTRUST",PR!$AL554,IF(F556="MWORLD",PR!$AM554,IF(F556="MEGA",PR!$AN554,IF(F556="MICRONOVA",PR!$AO554,IF(F556="MFLASH",PR!$AP554,IF(F556="MORISON",PR!$AQ554,IF(F556="NEMEL",PR!$AR554,IF(F556="NHP",PR!$AS554,IF(F556="NHC",PR!$AT554,IF(F556="OLEAF",PR!$AU554,IF(F556="OCULUS",PR!$AV554,IF(F556="PACIFIC",PR!$AW554,IF(F556="PHAMATEX",PR!$AX554,IF(F556="PETHICS",PR!$AY554,IF(F556="PHILIPS",PR!$AZ554,IF(F556="RANBAXY",PR!$BA554,IF(F556="REALS",PR!$BB554,IF(F556="ROYAL",PR!$BC554,IF(F556="SAM",PR!$BD554,IF(F556="SEAGREEN",PR!$BE554,IF(F556="SKG",PR!$BF554,IF(F556="TAH",PR!$BG554,IF(F556="TAYLEK",PR!$BH554,IF(F556="TEMITA",PR!$BI554,IF(F556="THL",PR!$BJ554,IF(F556="UBASTIC",PR!$BK554,IF(F556="UNION",PR!$BL554,IF(F556="UNIQUE",PR!$BM554,IF(F556="VIXA",PR!$BN554,IF(F556="WWCV",PR!$BO554,IF(F556="ZOLON",PR!$BP554,"-"))))))))))))))))))))))))))))))))))))))))))))))))))))))))))))))))</f>
        <v>1450</v>
      </c>
      <c r="F556" s="102" t="str">
        <f>EV!L708</f>
        <v>EUMATT</v>
      </c>
      <c r="G556" s="108">
        <f>IF(H556="ALPHA",PR!$E554,IF(H556="ASSENE",PR!$F554,IF(H556="BIOFEM",PR!$G554,IF(H556="BIOMED",PR!$H554,IF(H556="CHI",PR!$I554,IF(H556="CLARION",PR!$J554,IF(H556="CODIX",PR!$K554,IF(H556="COSMADE",PR!$L554,IF(H556="SANCON",PR!$M554,IF(H556="DEVON",PR!$N554,IF(H556="DORTEMAG",PR!$O554,IF(H556="DGF",PR!$P554,IF(H556="DYNAMIC",PR!$Q554,IF(H556="EMZOR",PR!$R554,IF(H556="EUMATT",PR!$S554,IF(H556="FIDSON",PR!$T554,IF(H556="FCGLOBAL",PR!$U554,IF(H556="GENEITH",PR!$V554,IF(H556="GINOS",PR!$W554,IF(H556="GSK",PR!$X554,IF(H556="GLOBORG",PR!$Y554,IF(H556="GOODNEWS",PR!$Z554,IF(H556="GREENLIFE",PR!$AA554,IF(H556="HLINE",PR!$AB554,IF(H556="ROTECH",PR!$AC554,IF(H556="ISN",PR!$AD554,IF(H556="JAWA",PR!$AE554,IF(H556="LAYO",PR!$AF554,IF(H556="LEADWAY",PR!$AG554,IF(H556="LHV",PR!$AH554,IF(H556="MANOLA",PR!$AI554,IF(H556="MARCSON",PR!$AJ554,IF(H556="M&amp;B",PR!$AK554,IF(H556="MTRUST",PR!$AL554,IF(H556="MWORLD",PR!$AM554,IF(H556="MEGA",PR!$AN554,IF(H556="MICRONOVA",PR!$AO554,IF(H556="MFLASH",PR!$AP554,IF(H556="MORISON",PR!$AQ554,IF(H556="NEMEL",PR!$AR554,IF(H556="NHP",PR!$AS554,IF(H556="NHC",PR!$AT554,IF(H556="OLEAF",PR!$AU554,IF(H556="OCULUS",PR!$AV554,IF(H556="PACIFIC",PR!$AW554,IF(H556="PHAMATEX",PR!$AX554,IF(H556="PETHICS",PR!$AY554,IF(H556="PHILIPS",PR!$AZ554,IF(H556="RANBAXY",PR!$BA554,IF(H556="REALS",PR!$BB554,IF(H556="ROYAL",PR!$BC554,IF(H556="SAM",PR!$BD554,IF(H556="SEAGREEN",PR!$BE554,IF(H556="SKG",PR!$BF554,IF(H556="TAH",PR!$BG554,IF(H556="TAYLEK",PR!$BH554,IF(H556="TEMITA",PR!$BI554,IF(H556="THL",PR!$BJ554,IF(H556="UBASTIC",PR!$BK554,IF(H556="UNION",PR!$BL554,IF(H556="UNIQUE",PR!$BM554,IF(H556="VIXA",PR!$BN554,IF(H556="WWCV",PR!$BO554,IF(H556="ZOLON",PR!$BP554,"-"))))))))))))))))))))))))))))))))))))))))))))))))))))))))))))))))</f>
        <v>1300</v>
      </c>
      <c r="H556" s="102" t="str">
        <f>EV!M708</f>
        <v>DGF</v>
      </c>
      <c r="I556" s="108" t="str">
        <f>IF(J556="ALPHA",PR!$E554,IF(J556="ASSENE",PR!$F554,IF(J556="BIOFEM",PR!$G554,IF(J556="BIOMED",PR!$H554,IF(J556="CHI",PR!$I554,IF(J556="CLARION",PR!$J554,IF(J556="CODIX",PR!$K554,IF(J556="COSMADE",PR!$L554,IF(J556="SANCON",PR!$M554,IF(J556="DEVON",PR!$N554,IF(J556="DORTEMAG",PR!$O554,IF(J556="DGF",PR!$P554,IF(J556="DYNAMIC",PR!$Q554,IF(J556="EMZOR",PR!$R554,IF(J556="EUMATT",PR!$S554,IF(J556="FIDSON",PR!$T554,IF(J556="FCGLOBAL",PR!$U554,IF(J556="GENEITH",PR!$V554,IF(J556="GINOS",PR!$W554,IF(J556="GSK",PR!$X554,IF(J556="GLOBORG",PR!$Y554,IF(J556="GOODNEWS",PR!$Z554,IF(J556="GREENLIFE",PR!$AA554,IF(J556="HLINE",PR!$AB554,IF(J556="ROTECH",PR!$AC554,IF(J556="ISN",PR!$AD554,IF(J556="JAWA",PR!$AE554,IF(J556="LAYO",PR!$AF554,IF(J556="LEADWAY",PR!$AG554,IF(J556="LHV",PR!$AH554,IF(J556="MANOLA",PR!$AI554,IF(J556="MARCSON",PR!$AJ554,IF(J556="M&amp;B",PR!$AK554,IF(J556="MTRUST",PR!$AL554,IF(J556="MWORLD",PR!$AM554,IF(J556="MEGA",PR!$AN554,IF(J556="MICRONOVA",PR!$AO554,IF(J556="MFLASH",PR!$AP554,IF(J556="MORISON",PR!$AQ554,IF(J556="NEMEL",PR!$AR554,IF(J556="NHP",PR!$AS554,IF(J556="NHC",PR!$AT554,IF(J556="OLEAF",PR!$AU554,IF(J556="OCULUS",PR!$AV554,IF(J556="PACIFIC",PR!$AW554,IF(J556="PHAMATEX",PR!$AX554,IF(J556="PETHICS",PR!$AY554,IF(J556="PHILIPS",PR!$AZ554,IF(J556="RANBAXY",PR!$BA554,IF(J556="REALS",PR!$BB554,IF(J556="ROYAL",PR!$BC554,IF(J556="SAM",PR!$BD554,IF(J556="SEAGREEN",PR!$BE554,IF(J556="SKG",PR!$BF554,IF(J556="TAH",PR!$BG554,IF(J556="TAYLEK",PR!$BH554,IF(J556="TEMITA",PR!$BI554,IF(J556="THL",PR!$BJ554,IF(J556="UBASTIC",PR!$BK554,IF(J556="UNION",PR!$BL554,IF(J556="UNIQUE",PR!$BM554,IF(J556="VIXA",PR!$BN554,IF(J556="WWCV",PR!$BO554,IF(J556="ZOLON",PR!$BP554,"-"))))))))))))))))))))))))))))))))))))))))))))))))))))))))))))))))</f>
        <v>-</v>
      </c>
      <c r="J556" s="102">
        <f>EV!N708</f>
        <v>0</v>
      </c>
      <c r="K556" s="433" t="s">
        <v>829</v>
      </c>
      <c r="L556" s="183">
        <f>IF(K556&gt;0,IF(K556="ALPHA",PR!$E554,IF(K556="ASSENE",PR!$F554,IF(K556="BIOFEM",PR!$G554,IF(K556="BIOMED",PR!$H554,IF(K556="CHI",PR!$I554,IF(K556="CLARION",PR!$J554,IF(K556="CODIX",PR!$K554,IF(K556="COSMADE",PR!$L554,IF(K556="SANCON",PR!$M554,IF(K556="DEVON",PR!$N554,IF(K556="DORTEMAG",PR!$O554,IF(K556="DGF",PR!$P554,IF(K556="DYNAMIC",PR!$Q554,IF(K556="EMZOR",PR!$R554,IF(K556="EUMATT",PR!$S554,IF(K556="FIDSON",PR!$T554,IF(K556="FCGLOBAL",PR!$U554,IF(K556="GENEITH",PR!$V554,IF(K556="GINOS",PR!$W554,IF(K556="GSK",PR!$X554,IF(K556="GLOBORG",PR!$Y554,IF(K556="GOODNEWS",PR!$Z554,IF(K556="GREENLIFE",PR!$AA554,IF(K556="HLINE",PR!$AB554,IF(K556="ROTECH",PR!$AC554,IF(K556="ISN",PR!$AD554,IF(K556="JAWA",PR!$AE554,IF(K556="LAYO",PR!$AF554,IF(K556="LEADWAY",PR!$AG554,IF(K556="LHV",PR!$AH554,IF(K556="MANOLA",PR!$AI554,IF(K556="MARCSON",PR!$AJ554,IF(K556="M&amp;B",PR!$AK554,IF(K556="MTRUST",PR!$AL554,IF(K556="MWORLD",PR!$AM554,IF(K556="MEGA",PR!$AN554,IF(K556="MICRONOVA",PR!$AO554,IF(K556="MFLASH",PR!$AP554,IF(K556="MORISON",PR!$AQ554,IF(K556="NEMEL",PR!$AR554,IF(K556="NHP",PR!$AS554,IF(K556="NHC",PR!$AT554,IF(K556="OLEAF",PR!$AU554,IF(K556="OCULUS",PR!$AV554,IF(K556="PACIFIC",PR!$AW554,IF(K556="PHAMATEX",PR!$AX554,IF(K556="PETHICS",PR!$AY554,IF(K556="PHILIPS",PR!$AZ554,IF(K556="RANBAXY",PR!$BA554,IF(K556="REALS",PR!$BB554,IF(K556="ROYAL",PR!$BC554,IF(K556="SAM",PR!$BD554,IF(K556="SEAGREEN",PR!$BE554,IF(K556="SKG",PR!$BF554,IF(K556="TAH",PR!$BG554,IF(K556="TAYLEK",PR!$BH554,IF(K556="TEMITA",PR!$BI554,IF(K556="THL",PR!$BJ554,IF(K556="UBASTIC",PR!$BK554,IF(K556="UNION",PR!$BL554,IF(K556="UNIQUE",PR!$BM554,IF(K556="VIXA",PR!$BN554,IF(K556="WWCV",PR!$BO554,IF(K556="ZOLON",PR!$BP554,"-")))))))))))))))))))))))))))))))))))))))))))))))))))))))))))))))))</f>
        <v>1300</v>
      </c>
    </row>
    <row r="557" spans="1:12" ht="18.75" x14ac:dyDescent="0.3">
      <c r="A557" s="430">
        <f>PR!A555</f>
        <v>500</v>
      </c>
      <c r="B557" s="15" t="str">
        <f>PR!B555</f>
        <v xml:space="preserve">BRINZOLAMIDE GTT </v>
      </c>
      <c r="C557" s="113" t="str">
        <f>PR!D555</f>
        <v>BOTT</v>
      </c>
      <c r="D557" s="113">
        <f>PR!C555</f>
        <v>40</v>
      </c>
      <c r="E557" s="108">
        <f>IF(F557="ALPHA",PR!$E555,IF(F557="ASSENE",PR!$F555,IF(F557="BIOFEM",PR!$G555,IF(F557="BIOMED",PR!$H555,IF(F557="CHI",PR!$I555,IF(F557="CLARION",PR!$J555,IF(F557="CODIX",PR!$K555,IF(F557="COSMADE",PR!$L555,IF(F557="SANCON",PR!$M555,IF(F557="DEVON",PR!$N555,IF(F557="DORTEMAG",PR!$O555,IF(F557="DGF",PR!$P555,IF(F557="DYNAMIC",PR!$Q555,IF(F557="EMZOR",PR!$R555,IF(F557="EUMATT",PR!$S555,IF(F557="FIDSON",PR!$T555,IF(F557="FCGLOBAL",PR!$U555,IF(F557="GENEITH",PR!$V555,IF(F557="GINOS",PR!$W555,IF(F557="GSK",PR!$X555,IF(F557="GLOBORG",PR!$Y555,IF(F557="GOODNEWS",PR!$Z555,IF(F557="GREENLIFE",PR!$AA555,IF(F557="HLINE",PR!$AB555,IF(F557="ROTECH",PR!$AC555,IF(F557="ISN",PR!$AD555,IF(F557="JAWA",PR!$AE555,IF(F557="LAYO",PR!$AF555,IF(F557="LEADWAY",PR!$AG555,IF(F557="LHV",PR!$AH555,IF(F557="MANOLA",PR!$AI555,IF(F557="MARCSON",PR!$AJ555,IF(F557="M&amp;B",PR!$AK555,IF(F557="MTRUST",PR!$AL555,IF(F557="MWORLD",PR!$AM555,IF(F557="MEGA",PR!$AN555,IF(F557="MICRONOVA",PR!$AO555,IF(F557="MFLASH",PR!$AP555,IF(F557="MORISON",PR!$AQ555,IF(F557="NEMEL",PR!$AR555,IF(F557="NHP",PR!$AS555,IF(F557="NHC",PR!$AT555,IF(F557="OLEAF",PR!$AU555,IF(F557="OCULUS",PR!$AV555,IF(F557="PACIFIC",PR!$AW555,IF(F557="PHAMATEX",PR!$AX555,IF(F557="PETHICS",PR!$AY555,IF(F557="PHILIPS",PR!$AZ555,IF(F557="RANBAXY",PR!$BA555,IF(F557="REALS",PR!$BB555,IF(F557="ROYAL",PR!$BC555,IF(F557="SAM",PR!$BD555,IF(F557="SEAGREEN",PR!$BE555,IF(F557="SKG",PR!$BF555,IF(F557="TAH",PR!$BG555,IF(F557="TAYLEK",PR!$BH555,IF(F557="TEMITA",PR!$BI555,IF(F557="THL",PR!$BJ555,IF(F557="UBASTIC",PR!$BK555,IF(F557="UNION",PR!$BL555,IF(F557="UNIQUE",PR!$BM555,IF(F557="VIXA",PR!$BN555,IF(F557="WWCV",PR!$BO555,IF(F557="ZOLON",PR!$BP555,"-"))))))))))))))))))))))))))))))))))))))))))))))))))))))))))))))))</f>
        <v>4300</v>
      </c>
      <c r="F557" s="102" t="str">
        <f>EV!L709</f>
        <v>EUMATT</v>
      </c>
      <c r="G557" s="108" t="str">
        <f>IF(H557="ALPHA",PR!$E555,IF(H557="ASSENE",PR!$F555,IF(H557="BIOFEM",PR!$G555,IF(H557="BIOMED",PR!$H555,IF(H557="CHI",PR!$I555,IF(H557="CLARION",PR!$J555,IF(H557="CODIX",PR!$K555,IF(H557="COSMADE",PR!$L555,IF(H557="SANCON",PR!$M555,IF(H557="DEVON",PR!$N555,IF(H557="DORTEMAG",PR!$O555,IF(H557="DGF",PR!$P555,IF(H557="DYNAMIC",PR!$Q555,IF(H557="EMZOR",PR!$R555,IF(H557="EUMATT",PR!$S555,IF(H557="FIDSON",PR!$T555,IF(H557="FCGLOBAL",PR!$U555,IF(H557="GENEITH",PR!$V555,IF(H557="GINOS",PR!$W555,IF(H557="GSK",PR!$X555,IF(H557="GLOBORG",PR!$Y555,IF(H557="GOODNEWS",PR!$Z555,IF(H557="GREENLIFE",PR!$AA555,IF(H557="HLINE",PR!$AB555,IF(H557="ROTECH",PR!$AC555,IF(H557="ISN",PR!$AD555,IF(H557="JAWA",PR!$AE555,IF(H557="LAYO",PR!$AF555,IF(H557="LEADWAY",PR!$AG555,IF(H557="LHV",PR!$AH555,IF(H557="MANOLA",PR!$AI555,IF(H557="MARCSON",PR!$AJ555,IF(H557="M&amp;B",PR!$AK555,IF(H557="MTRUST",PR!$AL555,IF(H557="MWORLD",PR!$AM555,IF(H557="MEGA",PR!$AN555,IF(H557="MICRONOVA",PR!$AO555,IF(H557="MFLASH",PR!$AP555,IF(H557="MORISON",PR!$AQ555,IF(H557="NEMEL",PR!$AR555,IF(H557="NHP",PR!$AS555,IF(H557="NHC",PR!$AT555,IF(H557="OLEAF",PR!$AU555,IF(H557="OCULUS",PR!$AV555,IF(H557="PACIFIC",PR!$AW555,IF(H557="PHAMATEX",PR!$AX555,IF(H557="PETHICS",PR!$AY555,IF(H557="PHILIPS",PR!$AZ555,IF(H557="RANBAXY",PR!$BA555,IF(H557="REALS",PR!$BB555,IF(H557="ROYAL",PR!$BC555,IF(H557="SAM",PR!$BD555,IF(H557="SEAGREEN",PR!$BE555,IF(H557="SKG",PR!$BF555,IF(H557="TAH",PR!$BG555,IF(H557="TAYLEK",PR!$BH555,IF(H557="TEMITA",PR!$BI555,IF(H557="THL",PR!$BJ555,IF(H557="UBASTIC",PR!$BK555,IF(H557="UNION",PR!$BL555,IF(H557="UNIQUE",PR!$BM555,IF(H557="VIXA",PR!$BN555,IF(H557="WWCV",PR!$BO555,IF(H557="ZOLON",PR!$BP555,"-"))))))))))))))))))))))))))))))))))))))))))))))))))))))))))))))))</f>
        <v>-</v>
      </c>
      <c r="H557" s="102">
        <f>EV!M709</f>
        <v>0</v>
      </c>
      <c r="I557" s="108" t="str">
        <f>IF(J557="ALPHA",PR!$E555,IF(J557="ASSENE",PR!$F555,IF(J557="BIOFEM",PR!$G555,IF(J557="BIOMED",PR!$H555,IF(J557="CHI",PR!$I555,IF(J557="CLARION",PR!$J555,IF(J557="CODIX",PR!$K555,IF(J557="COSMADE",PR!$L555,IF(J557="SANCON",PR!$M555,IF(J557="DEVON",PR!$N555,IF(J557="DORTEMAG",PR!$O555,IF(J557="DGF",PR!$P555,IF(J557="DYNAMIC",PR!$Q555,IF(J557="EMZOR",PR!$R555,IF(J557="EUMATT",PR!$S555,IF(J557="FIDSON",PR!$T555,IF(J557="FCGLOBAL",PR!$U555,IF(J557="GENEITH",PR!$V555,IF(J557="GINOS",PR!$W555,IF(J557="GSK",PR!$X555,IF(J557="GLOBORG",PR!$Y555,IF(J557="GOODNEWS",PR!$Z555,IF(J557="GREENLIFE",PR!$AA555,IF(J557="HLINE",PR!$AB555,IF(J557="ROTECH",PR!$AC555,IF(J557="ISN",PR!$AD555,IF(J557="JAWA",PR!$AE555,IF(J557="LAYO",PR!$AF555,IF(J557="LEADWAY",PR!$AG555,IF(J557="LHV",PR!$AH555,IF(J557="MANOLA",PR!$AI555,IF(J557="MARCSON",PR!$AJ555,IF(J557="M&amp;B",PR!$AK555,IF(J557="MTRUST",PR!$AL555,IF(J557="MWORLD",PR!$AM555,IF(J557="MEGA",PR!$AN555,IF(J557="MICRONOVA",PR!$AO555,IF(J557="MFLASH",PR!$AP555,IF(J557="MORISON",PR!$AQ555,IF(J557="NEMEL",PR!$AR555,IF(J557="NHP",PR!$AS555,IF(J557="NHC",PR!$AT555,IF(J557="OLEAF",PR!$AU555,IF(J557="OCULUS",PR!$AV555,IF(J557="PACIFIC",PR!$AW555,IF(J557="PHAMATEX",PR!$AX555,IF(J557="PETHICS",PR!$AY555,IF(J557="PHILIPS",PR!$AZ555,IF(J557="RANBAXY",PR!$BA555,IF(J557="REALS",PR!$BB555,IF(J557="ROYAL",PR!$BC555,IF(J557="SAM",PR!$BD555,IF(J557="SEAGREEN",PR!$BE555,IF(J557="SKG",PR!$BF555,IF(J557="TAH",PR!$BG555,IF(J557="TAYLEK",PR!$BH555,IF(J557="TEMITA",PR!$BI555,IF(J557="THL",PR!$BJ555,IF(J557="UBASTIC",PR!$BK555,IF(J557="UNION",PR!$BL555,IF(J557="UNIQUE",PR!$BM555,IF(J557="VIXA",PR!$BN555,IF(J557="WWCV",PR!$BO555,IF(J557="ZOLON",PR!$BP555,"-"))))))))))))))))))))))))))))))))))))))))))))))))))))))))))))))))</f>
        <v>-</v>
      </c>
      <c r="J557" s="102">
        <f>EV!N709</f>
        <v>0</v>
      </c>
      <c r="K557" s="433" t="s">
        <v>821</v>
      </c>
      <c r="L557" s="183">
        <f>IF(K557&gt;0,IF(K557="ALPHA",PR!$E555,IF(K557="ASSENE",PR!$F555,IF(K557="BIOFEM",PR!$G555,IF(K557="BIOMED",PR!$H555,IF(K557="CHI",PR!$I555,IF(K557="CLARION",PR!$J555,IF(K557="CODIX",PR!$K555,IF(K557="COSMADE",PR!$L555,IF(K557="SANCON",PR!$M555,IF(K557="DEVON",PR!$N555,IF(K557="DORTEMAG",PR!$O555,IF(K557="DGF",PR!$P555,IF(K557="DYNAMIC",PR!$Q555,IF(K557="EMZOR",PR!$R555,IF(K557="EUMATT",PR!$S555,IF(K557="FIDSON",PR!$T555,IF(K557="FCGLOBAL",PR!$U555,IF(K557="GENEITH",PR!$V555,IF(K557="GINOS",PR!$W555,IF(K557="GSK",PR!$X555,IF(K557="GLOBORG",PR!$Y555,IF(K557="GOODNEWS",PR!$Z555,IF(K557="GREENLIFE",PR!$AA555,IF(K557="HLINE",PR!$AB555,IF(K557="ROTECH",PR!$AC555,IF(K557="ISN",PR!$AD555,IF(K557="JAWA",PR!$AE555,IF(K557="LAYO",PR!$AF555,IF(K557="LEADWAY",PR!$AG555,IF(K557="LHV",PR!$AH555,IF(K557="MANOLA",PR!$AI555,IF(K557="MARCSON",PR!$AJ555,IF(K557="M&amp;B",PR!$AK555,IF(K557="MTRUST",PR!$AL555,IF(K557="MWORLD",PR!$AM555,IF(K557="MEGA",PR!$AN555,IF(K557="MICRONOVA",PR!$AO555,IF(K557="MFLASH",PR!$AP555,IF(K557="MORISON",PR!$AQ555,IF(K557="NEMEL",PR!$AR555,IF(K557="NHP",PR!$AS555,IF(K557="NHC",PR!$AT555,IF(K557="OLEAF",PR!$AU555,IF(K557="OCULUS",PR!$AV555,IF(K557="PACIFIC",PR!$AW555,IF(K557="PHAMATEX",PR!$AX555,IF(K557="PETHICS",PR!$AY555,IF(K557="PHILIPS",PR!$AZ555,IF(K557="RANBAXY",PR!$BA555,IF(K557="REALS",PR!$BB555,IF(K557="ROYAL",PR!$BC555,IF(K557="SAM",PR!$BD555,IF(K557="SEAGREEN",PR!$BE555,IF(K557="SKG",PR!$BF555,IF(K557="TAH",PR!$BG555,IF(K557="TAYLEK",PR!$BH555,IF(K557="TEMITA",PR!$BI555,IF(K557="THL",PR!$BJ555,IF(K557="UBASTIC",PR!$BK555,IF(K557="UNION",PR!$BL555,IF(K557="UNIQUE",PR!$BM555,IF(K557="VIXA",PR!$BN555,IF(K557="WWCV",PR!$BO555,IF(K557="ZOLON",PR!$BP555,"-")))))))))))))))))))))))))))))))))))))))))))))))))))))))))))))))))</f>
        <v>4300</v>
      </c>
    </row>
    <row r="558" spans="1:12" ht="18.75" x14ac:dyDescent="0.3">
      <c r="A558" s="430">
        <f>PR!A556</f>
        <v>501</v>
      </c>
      <c r="B558" s="15" t="str">
        <f>PR!B556</f>
        <v>CANDIBIOTIC GTT</v>
      </c>
      <c r="C558" s="113" t="str">
        <f>PR!D556</f>
        <v>BOTT</v>
      </c>
      <c r="D558" s="113">
        <f>PR!C556</f>
        <v>40</v>
      </c>
      <c r="E558" s="108" t="str">
        <f>IF(F558="ALPHA",PR!$E556,IF(F558="ASSENE",PR!$F556,IF(F558="BIOFEM",PR!$G556,IF(F558="BIOMED",PR!$H556,IF(F558="CHI",PR!$I556,IF(F558="CLARION",PR!$J556,IF(F558="CODIX",PR!$K556,IF(F558="COSMADE",PR!$L556,IF(F558="SANCON",PR!$M556,IF(F558="DEVON",PR!$N556,IF(F558="DORTEMAG",PR!$O556,IF(F558="DGF",PR!$P556,IF(F558="DYNAMIC",PR!$Q556,IF(F558="EMZOR",PR!$R556,IF(F558="EUMATT",PR!$S556,IF(F558="FIDSON",PR!$T556,IF(F558="FCGLOBAL",PR!$U556,IF(F558="GENEITH",PR!$V556,IF(F558="GINOS",PR!$W556,IF(F558="GSK",PR!$X556,IF(F558="GLOBORG",PR!$Y556,IF(F558="GOODNEWS",PR!$Z556,IF(F558="GREENLIFE",PR!$AA556,IF(F558="HLINE",PR!$AB556,IF(F558="ROTECH",PR!$AC556,IF(F558="ISN",PR!$AD556,IF(F558="JAWA",PR!$AE556,IF(F558="LAYO",PR!$AF556,IF(F558="LEADWAY",PR!$AG556,IF(F558="LHV",PR!$AH556,IF(F558="MANOLA",PR!$AI556,IF(F558="MARCSON",PR!$AJ556,IF(F558="M&amp;B",PR!$AK556,IF(F558="MTRUST",PR!$AL556,IF(F558="MWORLD",PR!$AM556,IF(F558="MEGA",PR!$AN556,IF(F558="MICRONOVA",PR!$AO556,IF(F558="MFLASH",PR!$AP556,IF(F558="MORISON",PR!$AQ556,IF(F558="NEMEL",PR!$AR556,IF(F558="NHP",PR!$AS556,IF(F558="NHC",PR!$AT556,IF(F558="OLEAF",PR!$AU556,IF(F558="OCULUS",PR!$AV556,IF(F558="PACIFIC",PR!$AW556,IF(F558="PHAMATEX",PR!$AX556,IF(F558="PETHICS",PR!$AY556,IF(F558="PHILIPS",PR!$AZ556,IF(F558="RANBAXY",PR!$BA556,IF(F558="REALS",PR!$BB556,IF(F558="ROYAL",PR!$BC556,IF(F558="SAM",PR!$BD556,IF(F558="SEAGREEN",PR!$BE556,IF(F558="SKG",PR!$BF556,IF(F558="TAH",PR!$BG556,IF(F558="TAYLEK",PR!$BH556,IF(F558="TEMITA",PR!$BI556,IF(F558="THL",PR!$BJ556,IF(F558="UBASTIC",PR!$BK556,IF(F558="UNION",PR!$BL556,IF(F558="UNIQUE",PR!$BM556,IF(F558="VIXA",PR!$BN556,IF(F558="WWCV",PR!$BO556,IF(F558="ZOLON",PR!$BP556,"-"))))))))))))))))))))))))))))))))))))))))))))))))))))))))))))))))</f>
        <v>-</v>
      </c>
      <c r="F558" s="102">
        <f>EV!L710</f>
        <v>0</v>
      </c>
      <c r="G558" s="108" t="str">
        <f>IF(H558="ALPHA",PR!$E556,IF(H558="ASSENE",PR!$F556,IF(H558="BIOFEM",PR!$G556,IF(H558="BIOMED",PR!$H556,IF(H558="CHI",PR!$I556,IF(H558="CLARION",PR!$J556,IF(H558="CODIX",PR!$K556,IF(H558="COSMADE",PR!$L556,IF(H558="SANCON",PR!$M556,IF(H558="DEVON",PR!$N556,IF(H558="DORTEMAG",PR!$O556,IF(H558="DGF",PR!$P556,IF(H558="DYNAMIC",PR!$Q556,IF(H558="EMZOR",PR!$R556,IF(H558="EUMATT",PR!$S556,IF(H558="FIDSON",PR!$T556,IF(H558="FCGLOBAL",PR!$U556,IF(H558="GENEITH",PR!$V556,IF(H558="GINOS",PR!$W556,IF(H558="GSK",PR!$X556,IF(H558="GLOBORG",PR!$Y556,IF(H558="GOODNEWS",PR!$Z556,IF(H558="GREENLIFE",PR!$AA556,IF(H558="HLINE",PR!$AB556,IF(H558="ROTECH",PR!$AC556,IF(H558="ISN",PR!$AD556,IF(H558="JAWA",PR!$AE556,IF(H558="LAYO",PR!$AF556,IF(H558="LEADWAY",PR!$AG556,IF(H558="LHV",PR!$AH556,IF(H558="MANOLA",PR!$AI556,IF(H558="MARCSON",PR!$AJ556,IF(H558="M&amp;B",PR!$AK556,IF(H558="MTRUST",PR!$AL556,IF(H558="MWORLD",PR!$AM556,IF(H558="MEGA",PR!$AN556,IF(H558="MICRONOVA",PR!$AO556,IF(H558="MFLASH",PR!$AP556,IF(H558="MORISON",PR!$AQ556,IF(H558="NEMEL",PR!$AR556,IF(H558="NHP",PR!$AS556,IF(H558="NHC",PR!$AT556,IF(H558="OLEAF",PR!$AU556,IF(H558="OCULUS",PR!$AV556,IF(H558="PACIFIC",PR!$AW556,IF(H558="PHAMATEX",PR!$AX556,IF(H558="PETHICS",PR!$AY556,IF(H558="PHILIPS",PR!$AZ556,IF(H558="RANBAXY",PR!$BA556,IF(H558="REALS",PR!$BB556,IF(H558="ROYAL",PR!$BC556,IF(H558="SAM",PR!$BD556,IF(H558="SEAGREEN",PR!$BE556,IF(H558="SKG",PR!$BF556,IF(H558="TAH",PR!$BG556,IF(H558="TAYLEK",PR!$BH556,IF(H558="TEMITA",PR!$BI556,IF(H558="THL",PR!$BJ556,IF(H558="UBASTIC",PR!$BK556,IF(H558="UNION",PR!$BL556,IF(H558="UNIQUE",PR!$BM556,IF(H558="VIXA",PR!$BN556,IF(H558="WWCV",PR!$BO556,IF(H558="ZOLON",PR!$BP556,"-"))))))))))))))))))))))))))))))))))))))))))))))))))))))))))))))))</f>
        <v>-</v>
      </c>
      <c r="H558" s="102">
        <f>EV!M710</f>
        <v>0</v>
      </c>
      <c r="I558" s="108" t="str">
        <f>IF(J558="ALPHA",PR!$E556,IF(J558="ASSENE",PR!$F556,IF(J558="BIOFEM",PR!$G556,IF(J558="BIOMED",PR!$H556,IF(J558="CHI",PR!$I556,IF(J558="CLARION",PR!$J556,IF(J558="CODIX",PR!$K556,IF(J558="COSMADE",PR!$L556,IF(J558="SANCON",PR!$M556,IF(J558="DEVON",PR!$N556,IF(J558="DORTEMAG",PR!$O556,IF(J558="DGF",PR!$P556,IF(J558="DYNAMIC",PR!$Q556,IF(J558="EMZOR",PR!$R556,IF(J558="EUMATT",PR!$S556,IF(J558="FIDSON",PR!$T556,IF(J558="FCGLOBAL",PR!$U556,IF(J558="GENEITH",PR!$V556,IF(J558="GINOS",PR!$W556,IF(J558="GSK",PR!$X556,IF(J558="GLOBORG",PR!$Y556,IF(J558="GOODNEWS",PR!$Z556,IF(J558="GREENLIFE",PR!$AA556,IF(J558="HLINE",PR!$AB556,IF(J558="ROTECH",PR!$AC556,IF(J558="ISN",PR!$AD556,IF(J558="JAWA",PR!$AE556,IF(J558="LAYO",PR!$AF556,IF(J558="LEADWAY",PR!$AG556,IF(J558="LHV",PR!$AH556,IF(J558="MANOLA",PR!$AI556,IF(J558="MARCSON",PR!$AJ556,IF(J558="M&amp;B",PR!$AK556,IF(J558="MTRUST",PR!$AL556,IF(J558="MWORLD",PR!$AM556,IF(J558="MEGA",PR!$AN556,IF(J558="MICRONOVA",PR!$AO556,IF(J558="MFLASH",PR!$AP556,IF(J558="MORISON",PR!$AQ556,IF(J558="NEMEL",PR!$AR556,IF(J558="NHP",PR!$AS556,IF(J558="NHC",PR!$AT556,IF(J558="OLEAF",PR!$AU556,IF(J558="OCULUS",PR!$AV556,IF(J558="PACIFIC",PR!$AW556,IF(J558="PHAMATEX",PR!$AX556,IF(J558="PETHICS",PR!$AY556,IF(J558="PHILIPS",PR!$AZ556,IF(J558="RANBAXY",PR!$BA556,IF(J558="REALS",PR!$BB556,IF(J558="ROYAL",PR!$BC556,IF(J558="SAM",PR!$BD556,IF(J558="SEAGREEN",PR!$BE556,IF(J558="SKG",PR!$BF556,IF(J558="TAH",PR!$BG556,IF(J558="TAYLEK",PR!$BH556,IF(J558="TEMITA",PR!$BI556,IF(J558="THL",PR!$BJ556,IF(J558="UBASTIC",PR!$BK556,IF(J558="UNION",PR!$BL556,IF(J558="UNIQUE",PR!$BM556,IF(J558="VIXA",PR!$BN556,IF(J558="WWCV",PR!$BO556,IF(J558="ZOLON",PR!$BP556,"-"))))))))))))))))))))))))))))))))))))))))))))))))))))))))))))))))</f>
        <v>-</v>
      </c>
      <c r="J558" s="102">
        <f>EV!N710</f>
        <v>0</v>
      </c>
      <c r="K558" s="433"/>
      <c r="L558" s="183" t="b">
        <f>IF(K558&gt;0,IF(K558="ALPHA",PR!$E556,IF(K558="ASSENE",PR!$F556,IF(K558="BIOFEM",PR!$G556,IF(K558="BIOMED",PR!$H556,IF(K558="CHI",PR!$I556,IF(K558="CLARION",PR!$J556,IF(K558="CODIX",PR!$K556,IF(K558="COSMADE",PR!$L556,IF(K558="SANCON",PR!$M556,IF(K558="DEVON",PR!$N556,IF(K558="DORTEMAG",PR!$O556,IF(K558="DGF",PR!$P556,IF(K558="DYNAMIC",PR!$Q556,IF(K558="EMZOR",PR!$R556,IF(K558="EUMATT",PR!$S556,IF(K558="FIDSON",PR!$T556,IF(K558="FCGLOBAL",PR!$U556,IF(K558="GENEITH",PR!$V556,IF(K558="GINOS",PR!$W556,IF(K558="GSK",PR!$X556,IF(K558="GLOBORG",PR!$Y556,IF(K558="GOODNEWS",PR!$Z556,IF(K558="GREENLIFE",PR!$AA556,IF(K558="HLINE",PR!$AB556,IF(K558="ROTECH",PR!$AC556,IF(K558="ISN",PR!$AD556,IF(K558="JAWA",PR!$AE556,IF(K558="LAYO",PR!$AF556,IF(K558="LEADWAY",PR!$AG556,IF(K558="LHV",PR!$AH556,IF(K558="MANOLA",PR!$AI556,IF(K558="MARCSON",PR!$AJ556,IF(K558="M&amp;B",PR!$AK556,IF(K558="MTRUST",PR!$AL556,IF(K558="MWORLD",PR!$AM556,IF(K558="MEGA",PR!$AN556,IF(K558="MICRONOVA",PR!$AO556,IF(K558="MFLASH",PR!$AP556,IF(K558="MORISON",PR!$AQ556,IF(K558="NEMEL",PR!$AR556,IF(K558="NHP",PR!$AS556,IF(K558="NHC",PR!$AT556,IF(K558="OLEAF",PR!$AU556,IF(K558="OCULUS",PR!$AV556,IF(K558="PACIFIC",PR!$AW556,IF(K558="PHAMATEX",PR!$AX556,IF(K558="PETHICS",PR!$AY556,IF(K558="PHILIPS",PR!$AZ556,IF(K558="RANBAXY",PR!$BA556,IF(K558="REALS",PR!$BB556,IF(K558="ROYAL",PR!$BC556,IF(K558="SAM",PR!$BD556,IF(K558="SEAGREEN",PR!$BE556,IF(K558="SKG",PR!$BF556,IF(K558="TAH",PR!$BG556,IF(K558="TAYLEK",PR!$BH556,IF(K558="TEMITA",PR!$BI556,IF(K558="THL",PR!$BJ556,IF(K558="UBASTIC",PR!$BK556,IF(K558="UNION",PR!$BL556,IF(K558="UNIQUE",PR!$BM556,IF(K558="VIXA",PR!$BN556,IF(K558="WWCV",PR!$BO556,IF(K558="ZOLON",PR!$BP556,"-")))))))))))))))))))))))))))))))))))))))))))))))))))))))))))))))))</f>
        <v>0</v>
      </c>
    </row>
    <row r="559" spans="1:12" ht="18.75" x14ac:dyDescent="0.3">
      <c r="A559" s="430">
        <f>PR!A557</f>
        <v>502</v>
      </c>
      <c r="B559" s="15" t="str">
        <f>PR!B557</f>
        <v>CHLORAMPHENICOL EAR DROP</v>
      </c>
      <c r="C559" s="113" t="str">
        <f>PR!D557</f>
        <v>BOTT</v>
      </c>
      <c r="D559" s="113">
        <f>PR!C557</f>
        <v>120</v>
      </c>
      <c r="E559" s="108">
        <f>IF(F559="ALPHA",PR!$E557,IF(F559="ASSENE",PR!$F557,IF(F559="BIOFEM",PR!$G557,IF(F559="BIOMED",PR!$H557,IF(F559="CHI",PR!$I557,IF(F559="CLARION",PR!$J557,IF(F559="CODIX",PR!$K557,IF(F559="COSMADE",PR!$L557,IF(F559="SANCON",PR!$M557,IF(F559="DEVON",PR!$N557,IF(F559="DORTEMAG",PR!$O557,IF(F559="DGF",PR!$P557,IF(F559="DYNAMIC",PR!$Q557,IF(F559="EMZOR",PR!$R557,IF(F559="EUMATT",PR!$S557,IF(F559="FIDSON",PR!$T557,IF(F559="FCGLOBAL",PR!$U557,IF(F559="GENEITH",PR!$V557,IF(F559="GINOS",PR!$W557,IF(F559="GSK",PR!$X557,IF(F559="GLOBORG",PR!$Y557,IF(F559="GOODNEWS",PR!$Z557,IF(F559="GREENLIFE",PR!$AA557,IF(F559="HLINE",PR!$AB557,IF(F559="ROTECH",PR!$AC557,IF(F559="ISN",PR!$AD557,IF(F559="JAWA",PR!$AE557,IF(F559="LAYO",PR!$AF557,IF(F559="LEADWAY",PR!$AG557,IF(F559="LHV",PR!$AH557,IF(F559="MANOLA",PR!$AI557,IF(F559="MARCSON",PR!$AJ557,IF(F559="M&amp;B",PR!$AK557,IF(F559="MTRUST",PR!$AL557,IF(F559="MWORLD",PR!$AM557,IF(F559="MEGA",PR!$AN557,IF(F559="MICRONOVA",PR!$AO557,IF(F559="MFLASH",PR!$AP557,IF(F559="MORISON",PR!$AQ557,IF(F559="NEMEL",PR!$AR557,IF(F559="NHP",PR!$AS557,IF(F559="NHC",PR!$AT557,IF(F559="OLEAF",PR!$AU557,IF(F559="OCULUS",PR!$AV557,IF(F559="PACIFIC",PR!$AW557,IF(F559="PHAMATEX",PR!$AX557,IF(F559="PETHICS",PR!$AY557,IF(F559="PHILIPS",PR!$AZ557,IF(F559="RANBAXY",PR!$BA557,IF(F559="REALS",PR!$BB557,IF(F559="ROYAL",PR!$BC557,IF(F559="SAM",PR!$BD557,IF(F559="SEAGREEN",PR!$BE557,IF(F559="SKG",PR!$BF557,IF(F559="TAH",PR!$BG557,IF(F559="TAYLEK",PR!$BH557,IF(F559="TEMITA",PR!$BI557,IF(F559="THL",PR!$BJ557,IF(F559="UBASTIC",PR!$BK557,IF(F559="UNION",PR!$BL557,IF(F559="UNIQUE",PR!$BM557,IF(F559="VIXA",PR!$BN557,IF(F559="WWCV",PR!$BO557,IF(F559="ZOLON",PR!$BP557,"-"))))))))))))))))))))))))))))))))))))))))))))))))))))))))))))))))</f>
        <v>100</v>
      </c>
      <c r="F559" s="102" t="str">
        <f>EV!L711</f>
        <v>EUMATT</v>
      </c>
      <c r="G559" s="108">
        <f>IF(H559="ALPHA",PR!$E557,IF(H559="ASSENE",PR!$F557,IF(H559="BIOFEM",PR!$G557,IF(H559="BIOMED",PR!$H557,IF(H559="CHI",PR!$I557,IF(H559="CLARION",PR!$J557,IF(H559="CODIX",PR!$K557,IF(H559="COSMADE",PR!$L557,IF(H559="SANCON",PR!$M557,IF(H559="DEVON",PR!$N557,IF(H559="DORTEMAG",PR!$O557,IF(H559="DGF",PR!$P557,IF(H559="DYNAMIC",PR!$Q557,IF(H559="EMZOR",PR!$R557,IF(H559="EUMATT",PR!$S557,IF(H559="FIDSON",PR!$T557,IF(H559="FCGLOBAL",PR!$U557,IF(H559="GENEITH",PR!$V557,IF(H559="GINOS",PR!$W557,IF(H559="GSK",PR!$X557,IF(H559="GLOBORG",PR!$Y557,IF(H559="GOODNEWS",PR!$Z557,IF(H559="GREENLIFE",PR!$AA557,IF(H559="HLINE",PR!$AB557,IF(H559="ROTECH",PR!$AC557,IF(H559="ISN",PR!$AD557,IF(H559="JAWA",PR!$AE557,IF(H559="LAYO",PR!$AF557,IF(H559="LEADWAY",PR!$AG557,IF(H559="LHV",PR!$AH557,IF(H559="MANOLA",PR!$AI557,IF(H559="MARCSON",PR!$AJ557,IF(H559="M&amp;B",PR!$AK557,IF(H559="MTRUST",PR!$AL557,IF(H559="MWORLD",PR!$AM557,IF(H559="MEGA",PR!$AN557,IF(H559="MICRONOVA",PR!$AO557,IF(H559="MFLASH",PR!$AP557,IF(H559="MORISON",PR!$AQ557,IF(H559="NEMEL",PR!$AR557,IF(H559="NHP",PR!$AS557,IF(H559="NHC",PR!$AT557,IF(H559="OLEAF",PR!$AU557,IF(H559="OCULUS",PR!$AV557,IF(H559="PACIFIC",PR!$AW557,IF(H559="PHAMATEX",PR!$AX557,IF(H559="PETHICS",PR!$AY557,IF(H559="PHILIPS",PR!$AZ557,IF(H559="RANBAXY",PR!$BA557,IF(H559="REALS",PR!$BB557,IF(H559="ROYAL",PR!$BC557,IF(H559="SAM",PR!$BD557,IF(H559="SEAGREEN",PR!$BE557,IF(H559="SKG",PR!$BF557,IF(H559="TAH",PR!$BG557,IF(H559="TAYLEK",PR!$BH557,IF(H559="TEMITA",PR!$BI557,IF(H559="THL",PR!$BJ557,IF(H559="UBASTIC",PR!$BK557,IF(H559="UNION",PR!$BL557,IF(H559="UNIQUE",PR!$BM557,IF(H559="VIXA",PR!$BN557,IF(H559="WWCV",PR!$BO557,IF(H559="ZOLON",PR!$BP557,"-"))))))))))))))))))))))))))))))))))))))))))))))))))))))))))))))))</f>
        <v>250</v>
      </c>
      <c r="H559" s="102" t="str">
        <f>EV!M711</f>
        <v>DGF</v>
      </c>
      <c r="I559" s="108">
        <f>IF(J559="ALPHA",PR!$E557,IF(J559="ASSENE",PR!$F557,IF(J559="BIOFEM",PR!$G557,IF(J559="BIOMED",PR!$H557,IF(J559="CHI",PR!$I557,IF(J559="CLARION",PR!$J557,IF(J559="CODIX",PR!$K557,IF(J559="COSMADE",PR!$L557,IF(J559="SANCON",PR!$M557,IF(J559="DEVON",PR!$N557,IF(J559="DORTEMAG",PR!$O557,IF(J559="DGF",PR!$P557,IF(J559="DYNAMIC",PR!$Q557,IF(J559="EMZOR",PR!$R557,IF(J559="EUMATT",PR!$S557,IF(J559="FIDSON",PR!$T557,IF(J559="FCGLOBAL",PR!$U557,IF(J559="GENEITH",PR!$V557,IF(J559="GINOS",PR!$W557,IF(J559="GSK",PR!$X557,IF(J559="GLOBORG",PR!$Y557,IF(J559="GOODNEWS",PR!$Z557,IF(J559="GREENLIFE",PR!$AA557,IF(J559="HLINE",PR!$AB557,IF(J559="ROTECH",PR!$AC557,IF(J559="ISN",PR!$AD557,IF(J559="JAWA",PR!$AE557,IF(J559="LAYO",PR!$AF557,IF(J559="LEADWAY",PR!$AG557,IF(J559="LHV",PR!$AH557,IF(J559="MANOLA",PR!$AI557,IF(J559="MARCSON",PR!$AJ557,IF(J559="M&amp;B",PR!$AK557,IF(J559="MTRUST",PR!$AL557,IF(J559="MWORLD",PR!$AM557,IF(J559="MEGA",PR!$AN557,IF(J559="MICRONOVA",PR!$AO557,IF(J559="MFLASH",PR!$AP557,IF(J559="MORISON",PR!$AQ557,IF(J559="NEMEL",PR!$AR557,IF(J559="NHP",PR!$AS557,IF(J559="NHC",PR!$AT557,IF(J559="OLEAF",PR!$AU557,IF(J559="OCULUS",PR!$AV557,IF(J559="PACIFIC",PR!$AW557,IF(J559="PHAMATEX",PR!$AX557,IF(J559="PETHICS",PR!$AY557,IF(J559="PHILIPS",PR!$AZ557,IF(J559="RANBAXY",PR!$BA557,IF(J559="REALS",PR!$BB557,IF(J559="ROYAL",PR!$BC557,IF(J559="SAM",PR!$BD557,IF(J559="SEAGREEN",PR!$BE557,IF(J559="SKG",PR!$BF557,IF(J559="TAH",PR!$BG557,IF(J559="TAYLEK",PR!$BH557,IF(J559="TEMITA",PR!$BI557,IF(J559="THL",PR!$BJ557,IF(J559="UBASTIC",PR!$BK557,IF(J559="UNION",PR!$BL557,IF(J559="UNIQUE",PR!$BM557,IF(J559="VIXA",PR!$BN557,IF(J559="WWCV",PR!$BO557,IF(J559="ZOLON",PR!$BP557,"-"))))))))))))))))))))))))))))))))))))))))))))))))))))))))))))))))</f>
        <v>298</v>
      </c>
      <c r="J559" s="102" t="str">
        <f>EV!N711</f>
        <v>CHI</v>
      </c>
      <c r="K559" s="433" t="s">
        <v>821</v>
      </c>
      <c r="L559" s="183">
        <f>IF(K559&gt;0,IF(K559="ALPHA",PR!$E557,IF(K559="ASSENE",PR!$F557,IF(K559="BIOFEM",PR!$G557,IF(K559="BIOMED",PR!$H557,IF(K559="CHI",PR!$I557,IF(K559="CLARION",PR!$J557,IF(K559="CODIX",PR!$K557,IF(K559="COSMADE",PR!$L557,IF(K559="SANCON",PR!$M557,IF(K559="DEVON",PR!$N557,IF(K559="DORTEMAG",PR!$O557,IF(K559="DGF",PR!$P557,IF(K559="DYNAMIC",PR!$Q557,IF(K559="EMZOR",PR!$R557,IF(K559="EUMATT",PR!$S557,IF(K559="FIDSON",PR!$T557,IF(K559="FCGLOBAL",PR!$U557,IF(K559="GENEITH",PR!$V557,IF(K559="GINOS",PR!$W557,IF(K559="GSK",PR!$X557,IF(K559="GLOBORG",PR!$Y557,IF(K559="GOODNEWS",PR!$Z557,IF(K559="GREENLIFE",PR!$AA557,IF(K559="HLINE",PR!$AB557,IF(K559="ROTECH",PR!$AC557,IF(K559="ISN",PR!$AD557,IF(K559="JAWA",PR!$AE557,IF(K559="LAYO",PR!$AF557,IF(K559="LEADWAY",PR!$AG557,IF(K559="LHV",PR!$AH557,IF(K559="MANOLA",PR!$AI557,IF(K559="MARCSON",PR!$AJ557,IF(K559="M&amp;B",PR!$AK557,IF(K559="MTRUST",PR!$AL557,IF(K559="MWORLD",PR!$AM557,IF(K559="MEGA",PR!$AN557,IF(K559="MICRONOVA",PR!$AO557,IF(K559="MFLASH",PR!$AP557,IF(K559="MORISON",PR!$AQ557,IF(K559="NEMEL",PR!$AR557,IF(K559="NHP",PR!$AS557,IF(K559="NHC",PR!$AT557,IF(K559="OLEAF",PR!$AU557,IF(K559="OCULUS",PR!$AV557,IF(K559="PACIFIC",PR!$AW557,IF(K559="PHAMATEX",PR!$AX557,IF(K559="PETHICS",PR!$AY557,IF(K559="PHILIPS",PR!$AZ557,IF(K559="RANBAXY",PR!$BA557,IF(K559="REALS",PR!$BB557,IF(K559="ROYAL",PR!$BC557,IF(K559="SAM",PR!$BD557,IF(K559="SEAGREEN",PR!$BE557,IF(K559="SKG",PR!$BF557,IF(K559="TAH",PR!$BG557,IF(K559="TAYLEK",PR!$BH557,IF(K559="TEMITA",PR!$BI557,IF(K559="THL",PR!$BJ557,IF(K559="UBASTIC",PR!$BK557,IF(K559="UNION",PR!$BL557,IF(K559="UNIQUE",PR!$BM557,IF(K559="VIXA",PR!$BN557,IF(K559="WWCV",PR!$BO557,IF(K559="ZOLON",PR!$BP557,"-")))))))))))))))))))))))))))))))))))))))))))))))))))))))))))))))))</f>
        <v>100</v>
      </c>
    </row>
    <row r="560" spans="1:12" ht="18.75" x14ac:dyDescent="0.3">
      <c r="A560" s="430">
        <f>PR!A558</f>
        <v>503</v>
      </c>
      <c r="B560" s="15" t="str">
        <f>PR!B558</f>
        <v>CHLORAMPHENICOL EYE OINTMENT</v>
      </c>
      <c r="C560" s="113" t="str">
        <f>PR!D558</f>
        <v>TUBE</v>
      </c>
      <c r="D560" s="113">
        <f>PR!C558</f>
        <v>1000</v>
      </c>
      <c r="E560" s="108">
        <f>IF(F560="ALPHA",PR!$E558,IF(F560="ASSENE",PR!$F558,IF(F560="BIOFEM",PR!$G558,IF(F560="BIOMED",PR!$H558,IF(F560="CHI",PR!$I558,IF(F560="CLARION",PR!$J558,IF(F560="CODIX",PR!$K558,IF(F560="COSMADE",PR!$L558,IF(F560="SANCON",PR!$M558,IF(F560="DEVON",PR!$N558,IF(F560="DORTEMAG",PR!$O558,IF(F560="DGF",PR!$P558,IF(F560="DYNAMIC",PR!$Q558,IF(F560="EMZOR",PR!$R558,IF(F560="EUMATT",PR!$S558,IF(F560="FIDSON",PR!$T558,IF(F560="FCGLOBAL",PR!$U558,IF(F560="GENEITH",PR!$V558,IF(F560="GINOS",PR!$W558,IF(F560="GSK",PR!$X558,IF(F560="GLOBORG",PR!$Y558,IF(F560="GOODNEWS",PR!$Z558,IF(F560="GREENLIFE",PR!$AA558,IF(F560="HLINE",PR!$AB558,IF(F560="ROTECH",PR!$AC558,IF(F560="ISN",PR!$AD558,IF(F560="JAWA",PR!$AE558,IF(F560="LAYO",PR!$AF558,IF(F560="LEADWAY",PR!$AG558,IF(F560="LHV",PR!$AH558,IF(F560="MANOLA",PR!$AI558,IF(F560="MARCSON",PR!$AJ558,IF(F560="M&amp;B",PR!$AK558,IF(F560="MTRUST",PR!$AL558,IF(F560="MWORLD",PR!$AM558,IF(F560="MEGA",PR!$AN558,IF(F560="MICRONOVA",PR!$AO558,IF(F560="MFLASH",PR!$AP558,IF(F560="MORISON",PR!$AQ558,IF(F560="NEMEL",PR!$AR558,IF(F560="NHP",PR!$AS558,IF(F560="NHC",PR!$AT558,IF(F560="OLEAF",PR!$AU558,IF(F560="OCULUS",PR!$AV558,IF(F560="PACIFIC",PR!$AW558,IF(F560="PHAMATEX",PR!$AX558,IF(F560="PETHICS",PR!$AY558,IF(F560="PHILIPS",PR!$AZ558,IF(F560="RANBAXY",PR!$BA558,IF(F560="REALS",PR!$BB558,IF(F560="ROYAL",PR!$BC558,IF(F560="SAM",PR!$BD558,IF(F560="SEAGREEN",PR!$BE558,IF(F560="SKG",PR!$BF558,IF(F560="TAH",PR!$BG558,IF(F560="TAYLEK",PR!$BH558,IF(F560="TEMITA",PR!$BI558,IF(F560="THL",PR!$BJ558,IF(F560="UBASTIC",PR!$BK558,IF(F560="UNION",PR!$BL558,IF(F560="UNIQUE",PR!$BM558,IF(F560="VIXA",PR!$BN558,IF(F560="WWCV",PR!$BO558,IF(F560="ZOLON",PR!$BP558,"-"))))))))))))))))))))))))))))))))))))))))))))))))))))))))))))))))</f>
        <v>90</v>
      </c>
      <c r="F560" s="102" t="str">
        <f>EV!L712</f>
        <v>EUMATT</v>
      </c>
      <c r="G560" s="108">
        <f>IF(H560="ALPHA",PR!$E558,IF(H560="ASSENE",PR!$F558,IF(H560="BIOFEM",PR!$G558,IF(H560="BIOMED",PR!$H558,IF(H560="CHI",PR!$I558,IF(H560="CLARION",PR!$J558,IF(H560="CODIX",PR!$K558,IF(H560="COSMADE",PR!$L558,IF(H560="SANCON",PR!$M558,IF(H560="DEVON",PR!$N558,IF(H560="DORTEMAG",PR!$O558,IF(H560="DGF",PR!$P558,IF(H560="DYNAMIC",PR!$Q558,IF(H560="EMZOR",PR!$R558,IF(H560="EUMATT",PR!$S558,IF(H560="FIDSON",PR!$T558,IF(H560="FCGLOBAL",PR!$U558,IF(H560="GENEITH",PR!$V558,IF(H560="GINOS",PR!$W558,IF(H560="GSK",PR!$X558,IF(H560="GLOBORG",PR!$Y558,IF(H560="GOODNEWS",PR!$Z558,IF(H560="GREENLIFE",PR!$AA558,IF(H560="HLINE",PR!$AB558,IF(H560="ROTECH",PR!$AC558,IF(H560="ISN",PR!$AD558,IF(H560="JAWA",PR!$AE558,IF(H560="LAYO",PR!$AF558,IF(H560="LEADWAY",PR!$AG558,IF(H560="LHV",PR!$AH558,IF(H560="MANOLA",PR!$AI558,IF(H560="MARCSON",PR!$AJ558,IF(H560="M&amp;B",PR!$AK558,IF(H560="MTRUST",PR!$AL558,IF(H560="MWORLD",PR!$AM558,IF(H560="MEGA",PR!$AN558,IF(H560="MICRONOVA",PR!$AO558,IF(H560="MFLASH",PR!$AP558,IF(H560="MORISON",PR!$AQ558,IF(H560="NEMEL",PR!$AR558,IF(H560="NHP",PR!$AS558,IF(H560="NHC",PR!$AT558,IF(H560="OLEAF",PR!$AU558,IF(H560="OCULUS",PR!$AV558,IF(H560="PACIFIC",PR!$AW558,IF(H560="PHAMATEX",PR!$AX558,IF(H560="PETHICS",PR!$AY558,IF(H560="PHILIPS",PR!$AZ558,IF(H560="RANBAXY",PR!$BA558,IF(H560="REALS",PR!$BB558,IF(H560="ROYAL",PR!$BC558,IF(H560="SAM",PR!$BD558,IF(H560="SEAGREEN",PR!$BE558,IF(H560="SKG",PR!$BF558,IF(H560="TAH",PR!$BG558,IF(H560="TAYLEK",PR!$BH558,IF(H560="TEMITA",PR!$BI558,IF(H560="THL",PR!$BJ558,IF(H560="UBASTIC",PR!$BK558,IF(H560="UNION",PR!$BL558,IF(H560="UNIQUE",PR!$BM558,IF(H560="VIXA",PR!$BN558,IF(H560="WWCV",PR!$BO558,IF(H560="ZOLON",PR!$BP558,"-"))))))))))))))))))))))))))))))))))))))))))))))))))))))))))))))))</f>
        <v>100</v>
      </c>
      <c r="H560" s="102" t="str">
        <f>EV!M712</f>
        <v>DORTEMAG</v>
      </c>
      <c r="I560" s="108">
        <f>IF(J560="ALPHA",PR!$E558,IF(J560="ASSENE",PR!$F558,IF(J560="BIOFEM",PR!$G558,IF(J560="BIOMED",PR!$H558,IF(J560="CHI",PR!$I558,IF(J560="CLARION",PR!$J558,IF(J560="CODIX",PR!$K558,IF(J560="COSMADE",PR!$L558,IF(J560="SANCON",PR!$M558,IF(J560="DEVON",PR!$N558,IF(J560="DORTEMAG",PR!$O558,IF(J560="DGF",PR!$P558,IF(J560="DYNAMIC",PR!$Q558,IF(J560="EMZOR",PR!$R558,IF(J560="EUMATT",PR!$S558,IF(J560="FIDSON",PR!$T558,IF(J560="FCGLOBAL",PR!$U558,IF(J560="GENEITH",PR!$V558,IF(J560="GINOS",PR!$W558,IF(J560="GSK",PR!$X558,IF(J560="GLOBORG",PR!$Y558,IF(J560="GOODNEWS",PR!$Z558,IF(J560="GREENLIFE",PR!$AA558,IF(J560="HLINE",PR!$AB558,IF(J560="ROTECH",PR!$AC558,IF(J560="ISN",PR!$AD558,IF(J560="JAWA",PR!$AE558,IF(J560="LAYO",PR!$AF558,IF(J560="LEADWAY",PR!$AG558,IF(J560="LHV",PR!$AH558,IF(J560="MANOLA",PR!$AI558,IF(J560="MARCSON",PR!$AJ558,IF(J560="M&amp;B",PR!$AK558,IF(J560="MTRUST",PR!$AL558,IF(J560="MWORLD",PR!$AM558,IF(J560="MEGA",PR!$AN558,IF(J560="MICRONOVA",PR!$AO558,IF(J560="MFLASH",PR!$AP558,IF(J560="MORISON",PR!$AQ558,IF(J560="NEMEL",PR!$AR558,IF(J560="NHP",PR!$AS558,IF(J560="NHC",PR!$AT558,IF(J560="OLEAF",PR!$AU558,IF(J560="OCULUS",PR!$AV558,IF(J560="PACIFIC",PR!$AW558,IF(J560="PHAMATEX",PR!$AX558,IF(J560="PETHICS",PR!$AY558,IF(J560="PHILIPS",PR!$AZ558,IF(J560="RANBAXY",PR!$BA558,IF(J560="REALS",PR!$BB558,IF(J560="ROYAL",PR!$BC558,IF(J560="SAM",PR!$BD558,IF(J560="SEAGREEN",PR!$BE558,IF(J560="SKG",PR!$BF558,IF(J560="TAH",PR!$BG558,IF(J560="TAYLEK",PR!$BH558,IF(J560="TEMITA",PR!$BI558,IF(J560="THL",PR!$BJ558,IF(J560="UBASTIC",PR!$BK558,IF(J560="UNION",PR!$BL558,IF(J560="UNIQUE",PR!$BM558,IF(J560="VIXA",PR!$BN558,IF(J560="WWCV",PR!$BO558,IF(J560="ZOLON",PR!$BP558,"-"))))))))))))))))))))))))))))))))))))))))))))))))))))))))))))))))</f>
        <v>120</v>
      </c>
      <c r="J560" s="102" t="str">
        <f>EV!N712</f>
        <v>SEAGREEN</v>
      </c>
      <c r="K560" s="433" t="s">
        <v>828</v>
      </c>
      <c r="L560" s="183">
        <f>IF(K560&gt;0,IF(K560="ALPHA",PR!$E558,IF(K560="ASSENE",PR!$F558,IF(K560="BIOFEM",PR!$G558,IF(K560="BIOMED",PR!$H558,IF(K560="CHI",PR!$I558,IF(K560="CLARION",PR!$J558,IF(K560="CODIX",PR!$K558,IF(K560="COSMADE",PR!$L558,IF(K560="SANCON",PR!$M558,IF(K560="DEVON",PR!$N558,IF(K560="DORTEMAG",PR!$O558,IF(K560="DGF",PR!$P558,IF(K560="DYNAMIC",PR!$Q558,IF(K560="EMZOR",PR!$R558,IF(K560="EUMATT",PR!$S558,IF(K560="FIDSON",PR!$T558,IF(K560="FCGLOBAL",PR!$U558,IF(K560="GENEITH",PR!$V558,IF(K560="GINOS",PR!$W558,IF(K560="GSK",PR!$X558,IF(K560="GLOBORG",PR!$Y558,IF(K560="GOODNEWS",PR!$Z558,IF(K560="GREENLIFE",PR!$AA558,IF(K560="HLINE",PR!$AB558,IF(K560="ROTECH",PR!$AC558,IF(K560="ISN",PR!$AD558,IF(K560="JAWA",PR!$AE558,IF(K560="LAYO",PR!$AF558,IF(K560="LEADWAY",PR!$AG558,IF(K560="LHV",PR!$AH558,IF(K560="MANOLA",PR!$AI558,IF(K560="MARCSON",PR!$AJ558,IF(K560="M&amp;B",PR!$AK558,IF(K560="MTRUST",PR!$AL558,IF(K560="MWORLD",PR!$AM558,IF(K560="MEGA",PR!$AN558,IF(K560="MICRONOVA",PR!$AO558,IF(K560="MFLASH",PR!$AP558,IF(K560="MORISON",PR!$AQ558,IF(K560="NEMEL",PR!$AR558,IF(K560="NHP",PR!$AS558,IF(K560="NHC",PR!$AT558,IF(K560="OLEAF",PR!$AU558,IF(K560="OCULUS",PR!$AV558,IF(K560="PACIFIC",PR!$AW558,IF(K560="PHAMATEX",PR!$AX558,IF(K560="PETHICS",PR!$AY558,IF(K560="PHILIPS",PR!$AZ558,IF(K560="RANBAXY",PR!$BA558,IF(K560="REALS",PR!$BB558,IF(K560="ROYAL",PR!$BC558,IF(K560="SAM",PR!$BD558,IF(K560="SEAGREEN",PR!$BE558,IF(K560="SKG",PR!$BF558,IF(K560="TAH",PR!$BG558,IF(K560="TAYLEK",PR!$BH558,IF(K560="TEMITA",PR!$BI558,IF(K560="THL",PR!$BJ558,IF(K560="UBASTIC",PR!$BK558,IF(K560="UNION",PR!$BL558,IF(K560="UNIQUE",PR!$BM558,IF(K560="VIXA",PR!$BN558,IF(K560="WWCV",PR!$BO558,IF(K560="ZOLON",PR!$BP558,"-")))))))))))))))))))))))))))))))))))))))))))))))))))))))))))))))))</f>
        <v>100</v>
      </c>
    </row>
    <row r="561" spans="1:12" ht="18.75" x14ac:dyDescent="0.3">
      <c r="A561" s="430">
        <f>PR!A559</f>
        <v>504</v>
      </c>
      <c r="B561" s="15" t="str">
        <f>PR!B559</f>
        <v>CHLORAMPHENICOL EYE DROPS</v>
      </c>
      <c r="C561" s="113" t="str">
        <f>PR!D559</f>
        <v>BOTT</v>
      </c>
      <c r="D561" s="113">
        <f>PR!C559</f>
        <v>400</v>
      </c>
      <c r="E561" s="108">
        <f>IF(F561="ALPHA",PR!$E559,IF(F561="ASSENE",PR!$F559,IF(F561="BIOFEM",PR!$G559,IF(F561="BIOMED",PR!$H559,IF(F561="CHI",PR!$I559,IF(F561="CLARION",PR!$J559,IF(F561="CODIX",PR!$K559,IF(F561="COSMADE",PR!$L559,IF(F561="SANCON",PR!$M559,IF(F561="DEVON",PR!$N559,IF(F561="DORTEMAG",PR!$O559,IF(F561="DGF",PR!$P559,IF(F561="DYNAMIC",PR!$Q559,IF(F561="EMZOR",PR!$R559,IF(F561="EUMATT",PR!$S559,IF(F561="FIDSON",PR!$T559,IF(F561="FCGLOBAL",PR!$U559,IF(F561="GENEITH",PR!$V559,IF(F561="GINOS",PR!$W559,IF(F561="GSK",PR!$X559,IF(F561="GLOBORG",PR!$Y559,IF(F561="GOODNEWS",PR!$Z559,IF(F561="GREENLIFE",PR!$AA559,IF(F561="HLINE",PR!$AB559,IF(F561="ROTECH",PR!$AC559,IF(F561="ISN",PR!$AD559,IF(F561="JAWA",PR!$AE559,IF(F561="LAYO",PR!$AF559,IF(F561="LEADWAY",PR!$AG559,IF(F561="LHV",PR!$AH559,IF(F561="MANOLA",PR!$AI559,IF(F561="MARCSON",PR!$AJ559,IF(F561="M&amp;B",PR!$AK559,IF(F561="MTRUST",PR!$AL559,IF(F561="MWORLD",PR!$AM559,IF(F561="MEGA",PR!$AN559,IF(F561="MICRONOVA",PR!$AO559,IF(F561="MFLASH",PR!$AP559,IF(F561="MORISON",PR!$AQ559,IF(F561="NEMEL",PR!$AR559,IF(F561="NHP",PR!$AS559,IF(F561="NHC",PR!$AT559,IF(F561="OLEAF",PR!$AU559,IF(F561="OCULUS",PR!$AV559,IF(F561="PACIFIC",PR!$AW559,IF(F561="PHAMATEX",PR!$AX559,IF(F561="PETHICS",PR!$AY559,IF(F561="PHILIPS",PR!$AZ559,IF(F561="RANBAXY",PR!$BA559,IF(F561="REALS",PR!$BB559,IF(F561="ROYAL",PR!$BC559,IF(F561="SAM",PR!$BD559,IF(F561="SEAGREEN",PR!$BE559,IF(F561="SKG",PR!$BF559,IF(F561="TAH",PR!$BG559,IF(F561="TAYLEK",PR!$BH559,IF(F561="TEMITA",PR!$BI559,IF(F561="THL",PR!$BJ559,IF(F561="UBASTIC",PR!$BK559,IF(F561="UNION",PR!$BL559,IF(F561="UNIQUE",PR!$BM559,IF(F561="VIXA",PR!$BN559,IF(F561="WWCV",PR!$BO559,IF(F561="ZOLON",PR!$BP559,"-"))))))))))))))))))))))))))))))))))))))))))))))))))))))))))))))))</f>
        <v>50</v>
      </c>
      <c r="F561" s="102" t="str">
        <f>EV!L713</f>
        <v>FIDSON</v>
      </c>
      <c r="G561" s="108">
        <f>IF(H561="ALPHA",PR!$E559,IF(H561="ASSENE",PR!$F559,IF(H561="BIOFEM",PR!$G559,IF(H561="BIOMED",PR!$H559,IF(H561="CHI",PR!$I559,IF(H561="CLARION",PR!$J559,IF(H561="CODIX",PR!$K559,IF(H561="COSMADE",PR!$L559,IF(H561="SANCON",PR!$M559,IF(H561="DEVON",PR!$N559,IF(H561="DORTEMAG",PR!$O559,IF(H561="DGF",PR!$P559,IF(H561="DYNAMIC",PR!$Q559,IF(H561="EMZOR",PR!$R559,IF(H561="EUMATT",PR!$S559,IF(H561="FIDSON",PR!$T559,IF(H561="FCGLOBAL",PR!$U559,IF(H561="GENEITH",PR!$V559,IF(H561="GINOS",PR!$W559,IF(H561="GSK",PR!$X559,IF(H561="GLOBORG",PR!$Y559,IF(H561="GOODNEWS",PR!$Z559,IF(H561="GREENLIFE",PR!$AA559,IF(H561="HLINE",PR!$AB559,IF(H561="ROTECH",PR!$AC559,IF(H561="ISN",PR!$AD559,IF(H561="JAWA",PR!$AE559,IF(H561="LAYO",PR!$AF559,IF(H561="LEADWAY",PR!$AG559,IF(H561="LHV",PR!$AH559,IF(H561="MANOLA",PR!$AI559,IF(H561="MARCSON",PR!$AJ559,IF(H561="M&amp;B",PR!$AK559,IF(H561="MTRUST",PR!$AL559,IF(H561="MWORLD",PR!$AM559,IF(H561="MEGA",PR!$AN559,IF(H561="MICRONOVA",PR!$AO559,IF(H561="MFLASH",PR!$AP559,IF(H561="MORISON",PR!$AQ559,IF(H561="NEMEL",PR!$AR559,IF(H561="NHP",PR!$AS559,IF(H561="NHC",PR!$AT559,IF(H561="OLEAF",PR!$AU559,IF(H561="OCULUS",PR!$AV559,IF(H561="PACIFIC",PR!$AW559,IF(H561="PHAMATEX",PR!$AX559,IF(H561="PETHICS",PR!$AY559,IF(H561="PHILIPS",PR!$AZ559,IF(H561="RANBAXY",PR!$BA559,IF(H561="REALS",PR!$BB559,IF(H561="ROYAL",PR!$BC559,IF(H561="SAM",PR!$BD559,IF(H561="SEAGREEN",PR!$BE559,IF(H561="SKG",PR!$BF559,IF(H561="TAH",PR!$BG559,IF(H561="TAYLEK",PR!$BH559,IF(H561="TEMITA",PR!$BI559,IF(H561="THL",PR!$BJ559,IF(H561="UBASTIC",PR!$BK559,IF(H561="UNION",PR!$BL559,IF(H561="UNIQUE",PR!$BM559,IF(H561="VIXA",PR!$BN559,IF(H561="WWCV",PR!$BO559,IF(H561="ZOLON",PR!$BP559,"-"))))))))))))))))))))))))))))))))))))))))))))))))))))))))))))))))</f>
        <v>75</v>
      </c>
      <c r="H561" s="102" t="str">
        <f>EV!M713</f>
        <v>CLARION</v>
      </c>
      <c r="I561" s="108">
        <f>IF(J561="ALPHA",PR!$E559,IF(J561="ASSENE",PR!$F559,IF(J561="BIOFEM",PR!$G559,IF(J561="BIOMED",PR!$H559,IF(J561="CHI",PR!$I559,IF(J561="CLARION",PR!$J559,IF(J561="CODIX",PR!$K559,IF(J561="COSMADE",PR!$L559,IF(J561="SANCON",PR!$M559,IF(J561="DEVON",PR!$N559,IF(J561="DORTEMAG",PR!$O559,IF(J561="DGF",PR!$P559,IF(J561="DYNAMIC",PR!$Q559,IF(J561="EMZOR",PR!$R559,IF(J561="EUMATT",PR!$S559,IF(J561="FIDSON",PR!$T559,IF(J561="FCGLOBAL",PR!$U559,IF(J561="GENEITH",PR!$V559,IF(J561="GINOS",PR!$W559,IF(J561="GSK",PR!$X559,IF(J561="GLOBORG",PR!$Y559,IF(J561="GOODNEWS",PR!$Z559,IF(J561="GREENLIFE",PR!$AA559,IF(J561="HLINE",PR!$AB559,IF(J561="ROTECH",PR!$AC559,IF(J561="ISN",PR!$AD559,IF(J561="JAWA",PR!$AE559,IF(J561="LAYO",PR!$AF559,IF(J561="LEADWAY",PR!$AG559,IF(J561="LHV",PR!$AH559,IF(J561="MANOLA",PR!$AI559,IF(J561="MARCSON",PR!$AJ559,IF(J561="M&amp;B",PR!$AK559,IF(J561="MTRUST",PR!$AL559,IF(J561="MWORLD",PR!$AM559,IF(J561="MEGA",PR!$AN559,IF(J561="MICRONOVA",PR!$AO559,IF(J561="MFLASH",PR!$AP559,IF(J561="MORISON",PR!$AQ559,IF(J561="NEMEL",PR!$AR559,IF(J561="NHP",PR!$AS559,IF(J561="NHC",PR!$AT559,IF(J561="OLEAF",PR!$AU559,IF(J561="OCULUS",PR!$AV559,IF(J561="PACIFIC",PR!$AW559,IF(J561="PHAMATEX",PR!$AX559,IF(J561="PETHICS",PR!$AY559,IF(J561="PHILIPS",PR!$AZ559,IF(J561="RANBAXY",PR!$BA559,IF(J561="REALS",PR!$BB559,IF(J561="ROYAL",PR!$BC559,IF(J561="SAM",PR!$BD559,IF(J561="SEAGREEN",PR!$BE559,IF(J561="SKG",PR!$BF559,IF(J561="TAH",PR!$BG559,IF(J561="TAYLEK",PR!$BH559,IF(J561="TEMITA",PR!$BI559,IF(J561="THL",PR!$BJ559,IF(J561="UBASTIC",PR!$BK559,IF(J561="UNION",PR!$BL559,IF(J561="UNIQUE",PR!$BM559,IF(J561="VIXA",PR!$BN559,IF(J561="WWCV",PR!$BO559,IF(J561="ZOLON",PR!$BP559,"-"))))))))))))))))))))))))))))))))))))))))))))))))))))))))))))))))</f>
        <v>100</v>
      </c>
      <c r="J561" s="102" t="str">
        <f>EV!N713</f>
        <v>DORTEMAG</v>
      </c>
      <c r="K561" s="433" t="s">
        <v>828</v>
      </c>
      <c r="L561" s="183">
        <f>IF(K561&gt;0,IF(K561="ALPHA",PR!$E559,IF(K561="ASSENE",PR!$F559,IF(K561="BIOFEM",PR!$G559,IF(K561="BIOMED",PR!$H559,IF(K561="CHI",PR!$I559,IF(K561="CLARION",PR!$J559,IF(K561="CODIX",PR!$K559,IF(K561="COSMADE",PR!$L559,IF(K561="SANCON",PR!$M559,IF(K561="DEVON",PR!$N559,IF(K561="DORTEMAG",PR!$O559,IF(K561="DGF",PR!$P559,IF(K561="DYNAMIC",PR!$Q559,IF(K561="EMZOR",PR!$R559,IF(K561="EUMATT",PR!$S559,IF(K561="FIDSON",PR!$T559,IF(K561="FCGLOBAL",PR!$U559,IF(K561="GENEITH",PR!$V559,IF(K561="GINOS",PR!$W559,IF(K561="GSK",PR!$X559,IF(K561="GLOBORG",PR!$Y559,IF(K561="GOODNEWS",PR!$Z559,IF(K561="GREENLIFE",PR!$AA559,IF(K561="HLINE",PR!$AB559,IF(K561="ROTECH",PR!$AC559,IF(K561="ISN",PR!$AD559,IF(K561="JAWA",PR!$AE559,IF(K561="LAYO",PR!$AF559,IF(K561="LEADWAY",PR!$AG559,IF(K561="LHV",PR!$AH559,IF(K561="MANOLA",PR!$AI559,IF(K561="MARCSON",PR!$AJ559,IF(K561="M&amp;B",PR!$AK559,IF(K561="MTRUST",PR!$AL559,IF(K561="MWORLD",PR!$AM559,IF(K561="MEGA",PR!$AN559,IF(K561="MICRONOVA",PR!$AO559,IF(K561="MFLASH",PR!$AP559,IF(K561="MORISON",PR!$AQ559,IF(K561="NEMEL",PR!$AR559,IF(K561="NHP",PR!$AS559,IF(K561="NHC",PR!$AT559,IF(K561="OLEAF",PR!$AU559,IF(K561="OCULUS",PR!$AV559,IF(K561="PACIFIC",PR!$AW559,IF(K561="PHAMATEX",PR!$AX559,IF(K561="PETHICS",PR!$AY559,IF(K561="PHILIPS",PR!$AZ559,IF(K561="RANBAXY",PR!$BA559,IF(K561="REALS",PR!$BB559,IF(K561="ROYAL",PR!$BC559,IF(K561="SAM",PR!$BD559,IF(K561="SEAGREEN",PR!$BE559,IF(K561="SKG",PR!$BF559,IF(K561="TAH",PR!$BG559,IF(K561="TAYLEK",PR!$BH559,IF(K561="TEMITA",PR!$BI559,IF(K561="THL",PR!$BJ559,IF(K561="UBASTIC",PR!$BK559,IF(K561="UNION",PR!$BL559,IF(K561="UNIQUE",PR!$BM559,IF(K561="VIXA",PR!$BN559,IF(K561="WWCV",PR!$BO559,IF(K561="ZOLON",PR!$BP559,"-")))))))))))))))))))))))))))))))))))))))))))))))))))))))))))))))))</f>
        <v>100</v>
      </c>
    </row>
    <row r="562" spans="1:12" ht="18.75" x14ac:dyDescent="0.3">
      <c r="A562" s="430">
        <f>PR!A560</f>
        <v>505</v>
      </c>
      <c r="B562" s="15" t="str">
        <f>PR!B560</f>
        <v>CIPROFLOXACIN EYE/EAR DROP</v>
      </c>
      <c r="C562" s="113" t="str">
        <f>PR!D560</f>
        <v>BOTT</v>
      </c>
      <c r="D562" s="113">
        <f>PR!C560</f>
        <v>1000</v>
      </c>
      <c r="E562" s="108">
        <f>IF(F562="ALPHA",PR!$E560,IF(F562="ASSENE",PR!$F560,IF(F562="BIOFEM",PR!$G560,IF(F562="BIOMED",PR!$H560,IF(F562="CHI",PR!$I560,IF(F562="CLARION",PR!$J560,IF(F562="CODIX",PR!$K560,IF(F562="COSMADE",PR!$L560,IF(F562="SANCON",PR!$M560,IF(F562="DEVON",PR!$N560,IF(F562="DORTEMAG",PR!$O560,IF(F562="DGF",PR!$P560,IF(F562="DYNAMIC",PR!$Q560,IF(F562="EMZOR",PR!$R560,IF(F562="EUMATT",PR!$S560,IF(F562="FIDSON",PR!$T560,IF(F562="FCGLOBAL",PR!$U560,IF(F562="GENEITH",PR!$V560,IF(F562="GINOS",PR!$W560,IF(F562="GSK",PR!$X560,IF(F562="GLOBORG",PR!$Y560,IF(F562="GOODNEWS",PR!$Z560,IF(F562="GREENLIFE",PR!$AA560,IF(F562="HLINE",PR!$AB560,IF(F562="ROTECH",PR!$AC560,IF(F562="ISN",PR!$AD560,IF(F562="JAWA",PR!$AE560,IF(F562="LAYO",PR!$AF560,IF(F562="LEADWAY",PR!$AG560,IF(F562="LHV",PR!$AH560,IF(F562="MANOLA",PR!$AI560,IF(F562="MARCSON",PR!$AJ560,IF(F562="M&amp;B",PR!$AK560,IF(F562="MTRUST",PR!$AL560,IF(F562="MWORLD",PR!$AM560,IF(F562="MEGA",PR!$AN560,IF(F562="MICRONOVA",PR!$AO560,IF(F562="MFLASH",PR!$AP560,IF(F562="MORISON",PR!$AQ560,IF(F562="NEMEL",PR!$AR560,IF(F562="NHP",PR!$AS560,IF(F562="NHC",PR!$AT560,IF(F562="OLEAF",PR!$AU560,IF(F562="OCULUS",PR!$AV560,IF(F562="PACIFIC",PR!$AW560,IF(F562="PHAMATEX",PR!$AX560,IF(F562="PETHICS",PR!$AY560,IF(F562="PHILIPS",PR!$AZ560,IF(F562="RANBAXY",PR!$BA560,IF(F562="REALS",PR!$BB560,IF(F562="ROYAL",PR!$BC560,IF(F562="SAM",PR!$BD560,IF(F562="SEAGREEN",PR!$BE560,IF(F562="SKG",PR!$BF560,IF(F562="TAH",PR!$BG560,IF(F562="TAYLEK",PR!$BH560,IF(F562="TEMITA",PR!$BI560,IF(F562="THL",PR!$BJ560,IF(F562="UBASTIC",PR!$BK560,IF(F562="UNION",PR!$BL560,IF(F562="UNIQUE",PR!$BM560,IF(F562="VIXA",PR!$BN560,IF(F562="WWCV",PR!$BO560,IF(F562="ZOLON",PR!$BP560,"-"))))))))))))))))))))))))))))))))))))))))))))))))))))))))))))))))</f>
        <v>130</v>
      </c>
      <c r="F562" s="102" t="str">
        <f>EV!L714</f>
        <v>EUMATT</v>
      </c>
      <c r="G562" s="108">
        <f>IF(H562="ALPHA",PR!$E560,IF(H562="ASSENE",PR!$F560,IF(H562="BIOFEM",PR!$G560,IF(H562="BIOMED",PR!$H560,IF(H562="CHI",PR!$I560,IF(H562="CLARION",PR!$J560,IF(H562="CODIX",PR!$K560,IF(H562="COSMADE",PR!$L560,IF(H562="SANCON",PR!$M560,IF(H562="DEVON",PR!$N560,IF(H562="DORTEMAG",PR!$O560,IF(H562="DGF",PR!$P560,IF(H562="DYNAMIC",PR!$Q560,IF(H562="EMZOR",PR!$R560,IF(H562="EUMATT",PR!$S560,IF(H562="FIDSON",PR!$T560,IF(H562="FCGLOBAL",PR!$U560,IF(H562="GENEITH",PR!$V560,IF(H562="GINOS",PR!$W560,IF(H562="GSK",PR!$X560,IF(H562="GLOBORG",PR!$Y560,IF(H562="GOODNEWS",PR!$Z560,IF(H562="GREENLIFE",PR!$AA560,IF(H562="HLINE",PR!$AB560,IF(H562="ROTECH",PR!$AC560,IF(H562="ISN",PR!$AD560,IF(H562="JAWA",PR!$AE560,IF(H562="LAYO",PR!$AF560,IF(H562="LEADWAY",PR!$AG560,IF(H562="LHV",PR!$AH560,IF(H562="MANOLA",PR!$AI560,IF(H562="MARCSON",PR!$AJ560,IF(H562="M&amp;B",PR!$AK560,IF(H562="MTRUST",PR!$AL560,IF(H562="MWORLD",PR!$AM560,IF(H562="MEGA",PR!$AN560,IF(H562="MICRONOVA",PR!$AO560,IF(H562="MFLASH",PR!$AP560,IF(H562="MORISON",PR!$AQ560,IF(H562="NEMEL",PR!$AR560,IF(H562="NHP",PR!$AS560,IF(H562="NHC",PR!$AT560,IF(H562="OLEAF",PR!$AU560,IF(H562="OCULUS",PR!$AV560,IF(H562="PACIFIC",PR!$AW560,IF(H562="PHAMATEX",PR!$AX560,IF(H562="PETHICS",PR!$AY560,IF(H562="PHILIPS",PR!$AZ560,IF(H562="RANBAXY",PR!$BA560,IF(H562="REALS",PR!$BB560,IF(H562="ROYAL",PR!$BC560,IF(H562="SAM",PR!$BD560,IF(H562="SEAGREEN",PR!$BE560,IF(H562="SKG",PR!$BF560,IF(H562="TAH",PR!$BG560,IF(H562="TAYLEK",PR!$BH560,IF(H562="TEMITA",PR!$BI560,IF(H562="THL",PR!$BJ560,IF(H562="UBASTIC",PR!$BK560,IF(H562="UNION",PR!$BL560,IF(H562="UNIQUE",PR!$BM560,IF(H562="VIXA",PR!$BN560,IF(H562="WWCV",PR!$BO560,IF(H562="ZOLON",PR!$BP560,"-"))))))))))))))))))))))))))))))))))))))))))))))))))))))))))))))))</f>
        <v>300</v>
      </c>
      <c r="H562" s="102" t="str">
        <f>EV!M714</f>
        <v>DGF</v>
      </c>
      <c r="I562" s="108">
        <f>IF(J562="ALPHA",PR!$E560,IF(J562="ASSENE",PR!$F560,IF(J562="BIOFEM",PR!$G560,IF(J562="BIOMED",PR!$H560,IF(J562="CHI",PR!$I560,IF(J562="CLARION",PR!$J560,IF(J562="CODIX",PR!$K560,IF(J562="COSMADE",PR!$L560,IF(J562="SANCON",PR!$M560,IF(J562="DEVON",PR!$N560,IF(J562="DORTEMAG",PR!$O560,IF(J562="DGF",PR!$P560,IF(J562="DYNAMIC",PR!$Q560,IF(J562="EMZOR",PR!$R560,IF(J562="EUMATT",PR!$S560,IF(J562="FIDSON",PR!$T560,IF(J562="FCGLOBAL",PR!$U560,IF(J562="GENEITH",PR!$V560,IF(J562="GINOS",PR!$W560,IF(J562="GSK",PR!$X560,IF(J562="GLOBORG",PR!$Y560,IF(J562="GOODNEWS",PR!$Z560,IF(J562="GREENLIFE",PR!$AA560,IF(J562="HLINE",PR!$AB560,IF(J562="ROTECH",PR!$AC560,IF(J562="ISN",PR!$AD560,IF(J562="JAWA",PR!$AE560,IF(J562="LAYO",PR!$AF560,IF(J562="LEADWAY",PR!$AG560,IF(J562="LHV",PR!$AH560,IF(J562="MANOLA",PR!$AI560,IF(J562="MARCSON",PR!$AJ560,IF(J562="M&amp;B",PR!$AK560,IF(J562="MTRUST",PR!$AL560,IF(J562="MWORLD",PR!$AM560,IF(J562="MEGA",PR!$AN560,IF(J562="MICRONOVA",PR!$AO560,IF(J562="MFLASH",PR!$AP560,IF(J562="MORISON",PR!$AQ560,IF(J562="NEMEL",PR!$AR560,IF(J562="NHP",PR!$AS560,IF(J562="NHC",PR!$AT560,IF(J562="OLEAF",PR!$AU560,IF(J562="OCULUS",PR!$AV560,IF(J562="PACIFIC",PR!$AW560,IF(J562="PHAMATEX",PR!$AX560,IF(J562="PETHICS",PR!$AY560,IF(J562="PHILIPS",PR!$AZ560,IF(J562="RANBAXY",PR!$BA560,IF(J562="REALS",PR!$BB560,IF(J562="ROYAL",PR!$BC560,IF(J562="SAM",PR!$BD560,IF(J562="SEAGREEN",PR!$BE560,IF(J562="SKG",PR!$BF560,IF(J562="TAH",PR!$BG560,IF(J562="TAYLEK",PR!$BH560,IF(J562="TEMITA",PR!$BI560,IF(J562="THL",PR!$BJ560,IF(J562="UBASTIC",PR!$BK560,IF(J562="UNION",PR!$BL560,IF(J562="UNIQUE",PR!$BM560,IF(J562="VIXA",PR!$BN560,IF(J562="WWCV",PR!$BO560,IF(J562="ZOLON",PR!$BP560,"-"))))))))))))))))))))))))))))))))))))))))))))))))))))))))))))))))</f>
        <v>330</v>
      </c>
      <c r="J562" s="102" t="str">
        <f>EV!N714</f>
        <v>LEADWAY</v>
      </c>
      <c r="K562" s="433" t="s">
        <v>828</v>
      </c>
      <c r="L562" s="183">
        <f>IF(K562&gt;0,IF(K562="ALPHA",PR!$E560,IF(K562="ASSENE",PR!$F560,IF(K562="BIOFEM",PR!$G560,IF(K562="BIOMED",PR!$H560,IF(K562="CHI",PR!$I560,IF(K562="CLARION",PR!$J560,IF(K562="CODIX",PR!$K560,IF(K562="COSMADE",PR!$L560,IF(K562="SANCON",PR!$M560,IF(K562="DEVON",PR!$N560,IF(K562="DORTEMAG",PR!$O560,IF(K562="DGF",PR!$P560,IF(K562="DYNAMIC",PR!$Q560,IF(K562="EMZOR",PR!$R560,IF(K562="EUMATT",PR!$S560,IF(K562="FIDSON",PR!$T560,IF(K562="FCGLOBAL",PR!$U560,IF(K562="GENEITH",PR!$V560,IF(K562="GINOS",PR!$W560,IF(K562="GSK",PR!$X560,IF(K562="GLOBORG",PR!$Y560,IF(K562="GOODNEWS",PR!$Z560,IF(K562="GREENLIFE",PR!$AA560,IF(K562="HLINE",PR!$AB560,IF(K562="ROTECH",PR!$AC560,IF(K562="ISN",PR!$AD560,IF(K562="JAWA",PR!$AE560,IF(K562="LAYO",PR!$AF560,IF(K562="LEADWAY",PR!$AG560,IF(K562="LHV",PR!$AH560,IF(K562="MANOLA",PR!$AI560,IF(K562="MARCSON",PR!$AJ560,IF(K562="M&amp;B",PR!$AK560,IF(K562="MTRUST",PR!$AL560,IF(K562="MWORLD",PR!$AM560,IF(K562="MEGA",PR!$AN560,IF(K562="MICRONOVA",PR!$AO560,IF(K562="MFLASH",PR!$AP560,IF(K562="MORISON",PR!$AQ560,IF(K562="NEMEL",PR!$AR560,IF(K562="NHP",PR!$AS560,IF(K562="NHC",PR!$AT560,IF(K562="OLEAF",PR!$AU560,IF(K562="OCULUS",PR!$AV560,IF(K562="PACIFIC",PR!$AW560,IF(K562="PHAMATEX",PR!$AX560,IF(K562="PETHICS",PR!$AY560,IF(K562="PHILIPS",PR!$AZ560,IF(K562="RANBAXY",PR!$BA560,IF(K562="REALS",PR!$BB560,IF(K562="ROYAL",PR!$BC560,IF(K562="SAM",PR!$BD560,IF(K562="SEAGREEN",PR!$BE560,IF(K562="SKG",PR!$BF560,IF(K562="TAH",PR!$BG560,IF(K562="TAYLEK",PR!$BH560,IF(K562="TEMITA",PR!$BI560,IF(K562="THL",PR!$BJ560,IF(K562="UBASTIC",PR!$BK560,IF(K562="UNION",PR!$BL560,IF(K562="UNIQUE",PR!$BM560,IF(K562="VIXA",PR!$BN560,IF(K562="WWCV",PR!$BO560,IF(K562="ZOLON",PR!$BP560,"-")))))))))))))))))))))))))))))))))))))))))))))))))))))))))))))))))</f>
        <v>430</v>
      </c>
    </row>
    <row r="563" spans="1:12" ht="18.75" x14ac:dyDescent="0.3">
      <c r="A563" s="430">
        <f>PR!A561</f>
        <v>506</v>
      </c>
      <c r="B563" s="15" t="str">
        <f>PR!B561</f>
        <v>CROMOGLYCATE EYE DROP</v>
      </c>
      <c r="C563" s="113" t="str">
        <f>PR!D561</f>
        <v>BOTT</v>
      </c>
      <c r="D563" s="113">
        <f>PR!C561</f>
        <v>200</v>
      </c>
      <c r="E563" s="108">
        <f>IF(F563="ALPHA",PR!$E561,IF(F563="ASSENE",PR!$F561,IF(F563="BIOFEM",PR!$G561,IF(F563="BIOMED",PR!$H561,IF(F563="CHI",PR!$I561,IF(F563="CLARION",PR!$J561,IF(F563="CODIX",PR!$K561,IF(F563="COSMADE",PR!$L561,IF(F563="SANCON",PR!$M561,IF(F563="DEVON",PR!$N561,IF(F563="DORTEMAG",PR!$O561,IF(F563="DGF",PR!$P561,IF(F563="DYNAMIC",PR!$Q561,IF(F563="EMZOR",PR!$R561,IF(F563="EUMATT",PR!$S561,IF(F563="FIDSON",PR!$T561,IF(F563="FCGLOBAL",PR!$U561,IF(F563="GENEITH",PR!$V561,IF(F563="GINOS",PR!$W561,IF(F563="GSK",PR!$X561,IF(F563="GLOBORG",PR!$Y561,IF(F563="GOODNEWS",PR!$Z561,IF(F563="GREENLIFE",PR!$AA561,IF(F563="HLINE",PR!$AB561,IF(F563="ROTECH",PR!$AC561,IF(F563="ISN",PR!$AD561,IF(F563="JAWA",PR!$AE561,IF(F563="LAYO",PR!$AF561,IF(F563="LEADWAY",PR!$AG561,IF(F563="LHV",PR!$AH561,IF(F563="MANOLA",PR!$AI561,IF(F563="MARCSON",PR!$AJ561,IF(F563="M&amp;B",PR!$AK561,IF(F563="MTRUST",PR!$AL561,IF(F563="MWORLD",PR!$AM561,IF(F563="MEGA",PR!$AN561,IF(F563="MICRONOVA",PR!$AO561,IF(F563="MFLASH",PR!$AP561,IF(F563="MORISON",PR!$AQ561,IF(F563="NEMEL",PR!$AR561,IF(F563="NHP",PR!$AS561,IF(F563="NHC",PR!$AT561,IF(F563="OLEAF",PR!$AU561,IF(F563="OCULUS",PR!$AV561,IF(F563="PACIFIC",PR!$AW561,IF(F563="PHAMATEX",PR!$AX561,IF(F563="PETHICS",PR!$AY561,IF(F563="PHILIPS",PR!$AZ561,IF(F563="RANBAXY",PR!$BA561,IF(F563="REALS",PR!$BB561,IF(F563="ROYAL",PR!$BC561,IF(F563="SAM",PR!$BD561,IF(F563="SEAGREEN",PR!$BE561,IF(F563="SKG",PR!$BF561,IF(F563="TAH",PR!$BG561,IF(F563="TAYLEK",PR!$BH561,IF(F563="TEMITA",PR!$BI561,IF(F563="THL",PR!$BJ561,IF(F563="UBASTIC",PR!$BK561,IF(F563="UNION",PR!$BL561,IF(F563="UNIQUE",PR!$BM561,IF(F563="VIXA",PR!$BN561,IF(F563="WWCV",PR!$BO561,IF(F563="ZOLON",PR!$BP561,"-"))))))))))))))))))))))))))))))))))))))))))))))))))))))))))))))))</f>
        <v>500</v>
      </c>
      <c r="F563" s="102" t="str">
        <f>EV!L715</f>
        <v>EUMATT</v>
      </c>
      <c r="G563" s="108">
        <f>IF(H563="ALPHA",PR!$E561,IF(H563="ASSENE",PR!$F561,IF(H563="BIOFEM",PR!$G561,IF(H563="BIOMED",PR!$H561,IF(H563="CHI",PR!$I561,IF(H563="CLARION",PR!$J561,IF(H563="CODIX",PR!$K561,IF(H563="COSMADE",PR!$L561,IF(H563="SANCON",PR!$M561,IF(H563="DEVON",PR!$N561,IF(H563="DORTEMAG",PR!$O561,IF(H563="DGF",PR!$P561,IF(H563="DYNAMIC",PR!$Q561,IF(H563="EMZOR",PR!$R561,IF(H563="EUMATT",PR!$S561,IF(H563="FIDSON",PR!$T561,IF(H563="FCGLOBAL",PR!$U561,IF(H563="GENEITH",PR!$V561,IF(H563="GINOS",PR!$W561,IF(H563="GSK",PR!$X561,IF(H563="GLOBORG",PR!$Y561,IF(H563="GOODNEWS",PR!$Z561,IF(H563="GREENLIFE",PR!$AA561,IF(H563="HLINE",PR!$AB561,IF(H563="ROTECH",PR!$AC561,IF(H563="ISN",PR!$AD561,IF(H563="JAWA",PR!$AE561,IF(H563="LAYO",PR!$AF561,IF(H563="LEADWAY",PR!$AG561,IF(H563="LHV",PR!$AH561,IF(H563="MANOLA",PR!$AI561,IF(H563="MARCSON",PR!$AJ561,IF(H563="M&amp;B",PR!$AK561,IF(H563="MTRUST",PR!$AL561,IF(H563="MWORLD",PR!$AM561,IF(H563="MEGA",PR!$AN561,IF(H563="MICRONOVA",PR!$AO561,IF(H563="MFLASH",PR!$AP561,IF(H563="MORISON",PR!$AQ561,IF(H563="NEMEL",PR!$AR561,IF(H563="NHP",PR!$AS561,IF(H563="NHC",PR!$AT561,IF(H563="OLEAF",PR!$AU561,IF(H563="OCULUS",PR!$AV561,IF(H563="PACIFIC",PR!$AW561,IF(H563="PHAMATEX",PR!$AX561,IF(H563="PETHICS",PR!$AY561,IF(H563="PHILIPS",PR!$AZ561,IF(H563="RANBAXY",PR!$BA561,IF(H563="REALS",PR!$BB561,IF(H563="ROYAL",PR!$BC561,IF(H563="SAM",PR!$BD561,IF(H563="SEAGREEN",PR!$BE561,IF(H563="SKG",PR!$BF561,IF(H563="TAH",PR!$BG561,IF(H563="TAYLEK",PR!$BH561,IF(H563="TEMITA",PR!$BI561,IF(H563="THL",PR!$BJ561,IF(H563="UBASTIC",PR!$BK561,IF(H563="UNION",PR!$BL561,IF(H563="UNIQUE",PR!$BM561,IF(H563="VIXA",PR!$BN561,IF(H563="WWCV",PR!$BO561,IF(H563="ZOLON",PR!$BP561,"-"))))))))))))))))))))))))))))))))))))))))))))))))))))))))))))))))</f>
        <v>572</v>
      </c>
      <c r="H563" s="102" t="str">
        <f>EV!M715</f>
        <v>DORTEMAG</v>
      </c>
      <c r="I563" s="108" t="str">
        <f>IF(J563="ALPHA",PR!$E561,IF(J563="ASSENE",PR!$F561,IF(J563="BIOFEM",PR!$G561,IF(J563="BIOMED",PR!$H561,IF(J563="CHI",PR!$I561,IF(J563="CLARION",PR!$J561,IF(J563="CODIX",PR!$K561,IF(J563="COSMADE",PR!$L561,IF(J563="SANCON",PR!$M561,IF(J563="DEVON",PR!$N561,IF(J563="DORTEMAG",PR!$O561,IF(J563="DGF",PR!$P561,IF(J563="DYNAMIC",PR!$Q561,IF(J563="EMZOR",PR!$R561,IF(J563="EUMATT",PR!$S561,IF(J563="FIDSON",PR!$T561,IF(J563="FCGLOBAL",PR!$U561,IF(J563="GENEITH",PR!$V561,IF(J563="GINOS",PR!$W561,IF(J563="GSK",PR!$X561,IF(J563="GLOBORG",PR!$Y561,IF(J563="GOODNEWS",PR!$Z561,IF(J563="GREENLIFE",PR!$AA561,IF(J563="HLINE",PR!$AB561,IF(J563="ROTECH",PR!$AC561,IF(J563="ISN",PR!$AD561,IF(J563="JAWA",PR!$AE561,IF(J563="LAYO",PR!$AF561,IF(J563="LEADWAY",PR!$AG561,IF(J563="LHV",PR!$AH561,IF(J563="MANOLA",PR!$AI561,IF(J563="MARCSON",PR!$AJ561,IF(J563="M&amp;B",PR!$AK561,IF(J563="MTRUST",PR!$AL561,IF(J563="MWORLD",PR!$AM561,IF(J563="MEGA",PR!$AN561,IF(J563="MICRONOVA",PR!$AO561,IF(J563="MFLASH",PR!$AP561,IF(J563="MORISON",PR!$AQ561,IF(J563="NEMEL",PR!$AR561,IF(J563="NHP",PR!$AS561,IF(J563="NHC",PR!$AT561,IF(J563="OLEAF",PR!$AU561,IF(J563="OCULUS",PR!$AV561,IF(J563="PACIFIC",PR!$AW561,IF(J563="PHAMATEX",PR!$AX561,IF(J563="PETHICS",PR!$AY561,IF(J563="PHILIPS",PR!$AZ561,IF(J563="RANBAXY",PR!$BA561,IF(J563="REALS",PR!$BB561,IF(J563="ROYAL",PR!$BC561,IF(J563="SAM",PR!$BD561,IF(J563="SEAGREEN",PR!$BE561,IF(J563="SKG",PR!$BF561,IF(J563="TAH",PR!$BG561,IF(J563="TAYLEK",PR!$BH561,IF(J563="TEMITA",PR!$BI561,IF(J563="THL",PR!$BJ561,IF(J563="UBASTIC",PR!$BK561,IF(J563="UNION",PR!$BL561,IF(J563="UNIQUE",PR!$BM561,IF(J563="VIXA",PR!$BN561,IF(J563="WWCV",PR!$BO561,IF(J563="ZOLON",PR!$BP561,"-"))))))))))))))))))))))))))))))))))))))))))))))))))))))))))))))))</f>
        <v>-</v>
      </c>
      <c r="J563" s="102">
        <f>EV!N715</f>
        <v>0</v>
      </c>
      <c r="K563" s="433" t="s">
        <v>828</v>
      </c>
      <c r="L563" s="183">
        <f>IF(K563&gt;0,IF(K563="ALPHA",PR!$E561,IF(K563="ASSENE",PR!$F561,IF(K563="BIOFEM",PR!$G561,IF(K563="BIOMED",PR!$H561,IF(K563="CHI",PR!$I561,IF(K563="CLARION",PR!$J561,IF(K563="CODIX",PR!$K561,IF(K563="COSMADE",PR!$L561,IF(K563="SANCON",PR!$M561,IF(K563="DEVON",PR!$N561,IF(K563="DORTEMAG",PR!$O561,IF(K563="DGF",PR!$P561,IF(K563="DYNAMIC",PR!$Q561,IF(K563="EMZOR",PR!$R561,IF(K563="EUMATT",PR!$S561,IF(K563="FIDSON",PR!$T561,IF(K563="FCGLOBAL",PR!$U561,IF(K563="GENEITH",PR!$V561,IF(K563="GINOS",PR!$W561,IF(K563="GSK",PR!$X561,IF(K563="GLOBORG",PR!$Y561,IF(K563="GOODNEWS",PR!$Z561,IF(K563="GREENLIFE",PR!$AA561,IF(K563="HLINE",PR!$AB561,IF(K563="ROTECH",PR!$AC561,IF(K563="ISN",PR!$AD561,IF(K563="JAWA",PR!$AE561,IF(K563="LAYO",PR!$AF561,IF(K563="LEADWAY",PR!$AG561,IF(K563="LHV",PR!$AH561,IF(K563="MANOLA",PR!$AI561,IF(K563="MARCSON",PR!$AJ561,IF(K563="M&amp;B",PR!$AK561,IF(K563="MTRUST",PR!$AL561,IF(K563="MWORLD",PR!$AM561,IF(K563="MEGA",PR!$AN561,IF(K563="MICRONOVA",PR!$AO561,IF(K563="MFLASH",PR!$AP561,IF(K563="MORISON",PR!$AQ561,IF(K563="NEMEL",PR!$AR561,IF(K563="NHP",PR!$AS561,IF(K563="NHC",PR!$AT561,IF(K563="OLEAF",PR!$AU561,IF(K563="OCULUS",PR!$AV561,IF(K563="PACIFIC",PR!$AW561,IF(K563="PHAMATEX",PR!$AX561,IF(K563="PETHICS",PR!$AY561,IF(K563="PHILIPS",PR!$AZ561,IF(K563="RANBAXY",PR!$BA561,IF(K563="REALS",PR!$BB561,IF(K563="ROYAL",PR!$BC561,IF(K563="SAM",PR!$BD561,IF(K563="SEAGREEN",PR!$BE561,IF(K563="SKG",PR!$BF561,IF(K563="TAH",PR!$BG561,IF(K563="TAYLEK",PR!$BH561,IF(K563="TEMITA",PR!$BI561,IF(K563="THL",PR!$BJ561,IF(K563="UBASTIC",PR!$BK561,IF(K563="UNION",PR!$BL561,IF(K563="UNIQUE",PR!$BM561,IF(K563="VIXA",PR!$BN561,IF(K563="WWCV",PR!$BO561,IF(K563="ZOLON",PR!$BP561,"-")))))))))))))))))))))))))))))))))))))))))))))))))))))))))))))))))</f>
        <v>572</v>
      </c>
    </row>
    <row r="564" spans="1:12" ht="18.75" x14ac:dyDescent="0.3">
      <c r="A564" s="430">
        <f>PR!A562</f>
        <v>507</v>
      </c>
      <c r="B564" s="15" t="str">
        <f>PR!B562</f>
        <v>DEXAMETHASONE/CHLORAMPHENICOL/TETRAZOLINE</v>
      </c>
      <c r="C564" s="113" t="str">
        <f>PR!D562</f>
        <v>BOTT</v>
      </c>
      <c r="D564" s="113">
        <f>PR!C562</f>
        <v>20</v>
      </c>
      <c r="E564" s="108">
        <f>IF(F564="ALPHA",PR!$E562,IF(F564="ASSENE",PR!$F562,IF(F564="BIOFEM",PR!$G562,IF(F564="BIOMED",PR!$H562,IF(F564="CHI",PR!$I562,IF(F564="CLARION",PR!$J562,IF(F564="CODIX",PR!$K562,IF(F564="COSMADE",PR!$L562,IF(F564="SANCON",PR!$M562,IF(F564="DEVON",PR!$N562,IF(F564="DORTEMAG",PR!$O562,IF(F564="DGF",PR!$P562,IF(F564="DYNAMIC",PR!$Q562,IF(F564="EMZOR",PR!$R562,IF(F564="EUMATT",PR!$S562,IF(F564="FIDSON",PR!$T562,IF(F564="FCGLOBAL",PR!$U562,IF(F564="GENEITH",PR!$V562,IF(F564="GINOS",PR!$W562,IF(F564="GSK",PR!$X562,IF(F564="GLOBORG",PR!$Y562,IF(F564="GOODNEWS",PR!$Z562,IF(F564="GREENLIFE",PR!$AA562,IF(F564="HLINE",PR!$AB562,IF(F564="ROTECH",PR!$AC562,IF(F564="ISN",PR!$AD562,IF(F564="JAWA",PR!$AE562,IF(F564="LAYO",PR!$AF562,IF(F564="LEADWAY",PR!$AG562,IF(F564="LHV",PR!$AH562,IF(F564="MANOLA",PR!$AI562,IF(F564="MARCSON",PR!$AJ562,IF(F564="M&amp;B",PR!$AK562,IF(F564="MTRUST",PR!$AL562,IF(F564="MWORLD",PR!$AM562,IF(F564="MEGA",PR!$AN562,IF(F564="MICRONOVA",PR!$AO562,IF(F564="MFLASH",PR!$AP562,IF(F564="MORISON",PR!$AQ562,IF(F564="NEMEL",PR!$AR562,IF(F564="NHP",PR!$AS562,IF(F564="NHC",PR!$AT562,IF(F564="OLEAF",PR!$AU562,IF(F564="OCULUS",PR!$AV562,IF(F564="PACIFIC",PR!$AW562,IF(F564="PHAMATEX",PR!$AX562,IF(F564="PETHICS",PR!$AY562,IF(F564="PHILIPS",PR!$AZ562,IF(F564="RANBAXY",PR!$BA562,IF(F564="REALS",PR!$BB562,IF(F564="ROYAL",PR!$BC562,IF(F564="SAM",PR!$BD562,IF(F564="SEAGREEN",PR!$BE562,IF(F564="SKG",PR!$BF562,IF(F564="TAH",PR!$BG562,IF(F564="TAYLEK",PR!$BH562,IF(F564="TEMITA",PR!$BI562,IF(F564="THL",PR!$BJ562,IF(F564="UBASTIC",PR!$BK562,IF(F564="UNION",PR!$BL562,IF(F564="UNIQUE",PR!$BM562,IF(F564="VIXA",PR!$BN562,IF(F564="WWCV",PR!$BO562,IF(F564="ZOLON",PR!$BP562,"-"))))))))))))))))))))))))))))))))))))))))))))))))))))))))))))))))</f>
        <v>500</v>
      </c>
      <c r="F564" s="102" t="str">
        <f>EV!L716</f>
        <v>DGF</v>
      </c>
      <c r="G564" s="108">
        <f>IF(H564="ALPHA",PR!$E562,IF(H564="ASSENE",PR!$F562,IF(H564="BIOFEM",PR!$G562,IF(H564="BIOMED",PR!$H562,IF(H564="CHI",PR!$I562,IF(H564="CLARION",PR!$J562,IF(H564="CODIX",PR!$K562,IF(H564="COSMADE",PR!$L562,IF(H564="SANCON",PR!$M562,IF(H564="DEVON",PR!$N562,IF(H564="DORTEMAG",PR!$O562,IF(H564="DGF",PR!$P562,IF(H564="DYNAMIC",PR!$Q562,IF(H564="EMZOR",PR!$R562,IF(H564="EUMATT",PR!$S562,IF(H564="FIDSON",PR!$T562,IF(H564="FCGLOBAL",PR!$U562,IF(H564="GENEITH",PR!$V562,IF(H564="GINOS",PR!$W562,IF(H564="GSK",PR!$X562,IF(H564="GLOBORG",PR!$Y562,IF(H564="GOODNEWS",PR!$Z562,IF(H564="GREENLIFE",PR!$AA562,IF(H564="HLINE",PR!$AB562,IF(H564="ROTECH",PR!$AC562,IF(H564="ISN",PR!$AD562,IF(H564="JAWA",PR!$AE562,IF(H564="LAYO",PR!$AF562,IF(H564="LEADWAY",PR!$AG562,IF(H564="LHV",PR!$AH562,IF(H564="MANOLA",PR!$AI562,IF(H564="MARCSON",PR!$AJ562,IF(H564="M&amp;B",PR!$AK562,IF(H564="MTRUST",PR!$AL562,IF(H564="MWORLD",PR!$AM562,IF(H564="MEGA",PR!$AN562,IF(H564="MICRONOVA",PR!$AO562,IF(H564="MFLASH",PR!$AP562,IF(H564="MORISON",PR!$AQ562,IF(H564="NEMEL",PR!$AR562,IF(H564="NHP",PR!$AS562,IF(H564="NHC",PR!$AT562,IF(H564="OLEAF",PR!$AU562,IF(H564="OCULUS",PR!$AV562,IF(H564="PACIFIC",PR!$AW562,IF(H564="PHAMATEX",PR!$AX562,IF(H564="PETHICS",PR!$AY562,IF(H564="PHILIPS",PR!$AZ562,IF(H564="RANBAXY",PR!$BA562,IF(H564="REALS",PR!$BB562,IF(H564="ROYAL",PR!$BC562,IF(H564="SAM",PR!$BD562,IF(H564="SEAGREEN",PR!$BE562,IF(H564="SKG",PR!$BF562,IF(H564="TAH",PR!$BG562,IF(H564="TAYLEK",PR!$BH562,IF(H564="TEMITA",PR!$BI562,IF(H564="THL",PR!$BJ562,IF(H564="UBASTIC",PR!$BK562,IF(H564="UNION",PR!$BL562,IF(H564="UNIQUE",PR!$BM562,IF(H564="VIXA",PR!$BN562,IF(H564="WWCV",PR!$BO562,IF(H564="ZOLON",PR!$BP562,"-"))))))))))))))))))))))))))))))))))))))))))))))))))))))))))))))))</f>
        <v>600</v>
      </c>
      <c r="H564" s="102" t="str">
        <f>EV!M716</f>
        <v>EUMATT</v>
      </c>
      <c r="I564" s="108" t="str">
        <f>IF(J564="ALPHA",PR!$E562,IF(J564="ASSENE",PR!$F562,IF(J564="BIOFEM",PR!$G562,IF(J564="BIOMED",PR!$H562,IF(J564="CHI",PR!$I562,IF(J564="CLARION",PR!$J562,IF(J564="CODIX",PR!$K562,IF(J564="COSMADE",PR!$L562,IF(J564="SANCON",PR!$M562,IF(J564="DEVON",PR!$N562,IF(J564="DORTEMAG",PR!$O562,IF(J564="DGF",PR!$P562,IF(J564="DYNAMIC",PR!$Q562,IF(J564="EMZOR",PR!$R562,IF(J564="EUMATT",PR!$S562,IF(J564="FIDSON",PR!$T562,IF(J564="FCGLOBAL",PR!$U562,IF(J564="GENEITH",PR!$V562,IF(J564="GINOS",PR!$W562,IF(J564="GSK",PR!$X562,IF(J564="GLOBORG",PR!$Y562,IF(J564="GOODNEWS",PR!$Z562,IF(J564="GREENLIFE",PR!$AA562,IF(J564="HLINE",PR!$AB562,IF(J564="ROTECH",PR!$AC562,IF(J564="ISN",PR!$AD562,IF(J564="JAWA",PR!$AE562,IF(J564="LAYO",PR!$AF562,IF(J564="LEADWAY",PR!$AG562,IF(J564="LHV",PR!$AH562,IF(J564="MANOLA",PR!$AI562,IF(J564="MARCSON",PR!$AJ562,IF(J564="M&amp;B",PR!$AK562,IF(J564="MTRUST",PR!$AL562,IF(J564="MWORLD",PR!$AM562,IF(J564="MEGA",PR!$AN562,IF(J564="MICRONOVA",PR!$AO562,IF(J564="MFLASH",PR!$AP562,IF(J564="MORISON",PR!$AQ562,IF(J564="NEMEL",PR!$AR562,IF(J564="NHP",PR!$AS562,IF(J564="NHC",PR!$AT562,IF(J564="OLEAF",PR!$AU562,IF(J564="OCULUS",PR!$AV562,IF(J564="PACIFIC",PR!$AW562,IF(J564="PHAMATEX",PR!$AX562,IF(J564="PETHICS",PR!$AY562,IF(J564="PHILIPS",PR!$AZ562,IF(J564="RANBAXY",PR!$BA562,IF(J564="REALS",PR!$BB562,IF(J564="ROYAL",PR!$BC562,IF(J564="SAM",PR!$BD562,IF(J564="SEAGREEN",PR!$BE562,IF(J564="SKG",PR!$BF562,IF(J564="TAH",PR!$BG562,IF(J564="TAYLEK",PR!$BH562,IF(J564="TEMITA",PR!$BI562,IF(J564="THL",PR!$BJ562,IF(J564="UBASTIC",PR!$BK562,IF(J564="UNION",PR!$BL562,IF(J564="UNIQUE",PR!$BM562,IF(J564="VIXA",PR!$BN562,IF(J564="WWCV",PR!$BO562,IF(J564="ZOLON",PR!$BP562,"-"))))))))))))))))))))))))))))))))))))))))))))))))))))))))))))))))</f>
        <v>-</v>
      </c>
      <c r="J564" s="102">
        <f>EV!N716</f>
        <v>0</v>
      </c>
      <c r="K564" s="433"/>
      <c r="L564" s="183" t="b">
        <f>IF(K564&gt;0,IF(K564="ALPHA",PR!$E562,IF(K564="ASSENE",PR!$F562,IF(K564="BIOFEM",PR!$G562,IF(K564="BIOMED",PR!$H562,IF(K564="CHI",PR!$I562,IF(K564="CLARION",PR!$J562,IF(K564="CODIX",PR!$K562,IF(K564="COSMADE",PR!$L562,IF(K564="SANCON",PR!$M562,IF(K564="DEVON",PR!$N562,IF(K564="DORTEMAG",PR!$O562,IF(K564="DGF",PR!$P562,IF(K564="DYNAMIC",PR!$Q562,IF(K564="EMZOR",PR!$R562,IF(K564="EUMATT",PR!$S562,IF(K564="FIDSON",PR!$T562,IF(K564="FCGLOBAL",PR!$U562,IF(K564="GENEITH",PR!$V562,IF(K564="GINOS",PR!$W562,IF(K564="GSK",PR!$X562,IF(K564="GLOBORG",PR!$Y562,IF(K564="GOODNEWS",PR!$Z562,IF(K564="GREENLIFE",PR!$AA562,IF(K564="HLINE",PR!$AB562,IF(K564="ROTECH",PR!$AC562,IF(K564="ISN",PR!$AD562,IF(K564="JAWA",PR!$AE562,IF(K564="LAYO",PR!$AF562,IF(K564="LEADWAY",PR!$AG562,IF(K564="LHV",PR!$AH562,IF(K564="MANOLA",PR!$AI562,IF(K564="MARCSON",PR!$AJ562,IF(K564="M&amp;B",PR!$AK562,IF(K564="MTRUST",PR!$AL562,IF(K564="MWORLD",PR!$AM562,IF(K564="MEGA",PR!$AN562,IF(K564="MICRONOVA",PR!$AO562,IF(K564="MFLASH",PR!$AP562,IF(K564="MORISON",PR!$AQ562,IF(K564="NEMEL",PR!$AR562,IF(K564="NHP",PR!$AS562,IF(K564="NHC",PR!$AT562,IF(K564="OLEAF",PR!$AU562,IF(K564="OCULUS",PR!$AV562,IF(K564="PACIFIC",PR!$AW562,IF(K564="PHAMATEX",PR!$AX562,IF(K564="PETHICS",PR!$AY562,IF(K564="PHILIPS",PR!$AZ562,IF(K564="RANBAXY",PR!$BA562,IF(K564="REALS",PR!$BB562,IF(K564="ROYAL",PR!$BC562,IF(K564="SAM",PR!$BD562,IF(K564="SEAGREEN",PR!$BE562,IF(K564="SKG",PR!$BF562,IF(K564="TAH",PR!$BG562,IF(K564="TAYLEK",PR!$BH562,IF(K564="TEMITA",PR!$BI562,IF(K564="THL",PR!$BJ562,IF(K564="UBASTIC",PR!$BK562,IF(K564="UNION",PR!$BL562,IF(K564="UNIQUE",PR!$BM562,IF(K564="VIXA",PR!$BN562,IF(K564="WWCV",PR!$BO562,IF(K564="ZOLON",PR!$BP562,"-")))))))))))))))))))))))))))))))))))))))))))))))))))))))))))))))))</f>
        <v>0</v>
      </c>
    </row>
    <row r="565" spans="1:12" ht="18.75" x14ac:dyDescent="0.3">
      <c r="A565" s="430">
        <f>PR!A563</f>
        <v>508</v>
      </c>
      <c r="B565" s="15" t="str">
        <f>PR!B563</f>
        <v>DEXAMETHSAONE EYE DROP</v>
      </c>
      <c r="C565" s="113" t="str">
        <f>PR!D563</f>
        <v>BOTT</v>
      </c>
      <c r="D565" s="113">
        <f>PR!C563</f>
        <v>300</v>
      </c>
      <c r="E565" s="108">
        <f>IF(F565="ALPHA",PR!$E563,IF(F565="ASSENE",PR!$F563,IF(F565="BIOFEM",PR!$G563,IF(F565="BIOMED",PR!$H563,IF(F565="CHI",PR!$I563,IF(F565="CLARION",PR!$J563,IF(F565="CODIX",PR!$K563,IF(F565="COSMADE",PR!$L563,IF(F565="SANCON",PR!$M563,IF(F565="DEVON",PR!$N563,IF(F565="DORTEMAG",PR!$O563,IF(F565="DGF",PR!$P563,IF(F565="DYNAMIC",PR!$Q563,IF(F565="EMZOR",PR!$R563,IF(F565="EUMATT",PR!$S563,IF(F565="FIDSON",PR!$T563,IF(F565="FCGLOBAL",PR!$U563,IF(F565="GENEITH",PR!$V563,IF(F565="GINOS",PR!$W563,IF(F565="GSK",PR!$X563,IF(F565="GLOBORG",PR!$Y563,IF(F565="GOODNEWS",PR!$Z563,IF(F565="GREENLIFE",PR!$AA563,IF(F565="HLINE",PR!$AB563,IF(F565="ROTECH",PR!$AC563,IF(F565="ISN",PR!$AD563,IF(F565="JAWA",PR!$AE563,IF(F565="LAYO",PR!$AF563,IF(F565="LEADWAY",PR!$AG563,IF(F565="LHV",PR!$AH563,IF(F565="MANOLA",PR!$AI563,IF(F565="MARCSON",PR!$AJ563,IF(F565="M&amp;B",PR!$AK563,IF(F565="MTRUST",PR!$AL563,IF(F565="MWORLD",PR!$AM563,IF(F565="MEGA",PR!$AN563,IF(F565="MICRONOVA",PR!$AO563,IF(F565="MFLASH",PR!$AP563,IF(F565="MORISON",PR!$AQ563,IF(F565="NEMEL",PR!$AR563,IF(F565="NHP",PR!$AS563,IF(F565="NHC",PR!$AT563,IF(F565="OLEAF",PR!$AU563,IF(F565="OCULUS",PR!$AV563,IF(F565="PACIFIC",PR!$AW563,IF(F565="PHAMATEX",PR!$AX563,IF(F565="PETHICS",PR!$AY563,IF(F565="PHILIPS",PR!$AZ563,IF(F565="RANBAXY",PR!$BA563,IF(F565="REALS",PR!$BB563,IF(F565="ROYAL",PR!$BC563,IF(F565="SAM",PR!$BD563,IF(F565="SEAGREEN",PR!$BE563,IF(F565="SKG",PR!$BF563,IF(F565="TAH",PR!$BG563,IF(F565="TAYLEK",PR!$BH563,IF(F565="TEMITA",PR!$BI563,IF(F565="THL",PR!$BJ563,IF(F565="UBASTIC",PR!$BK563,IF(F565="UNION",PR!$BL563,IF(F565="UNIQUE",PR!$BM563,IF(F565="VIXA",PR!$BN563,IF(F565="WWCV",PR!$BO563,IF(F565="ZOLON",PR!$BP563,"-"))))))))))))))))))))))))))))))))))))))))))))))))))))))))))))))))</f>
        <v>325</v>
      </c>
      <c r="F565" s="102" t="str">
        <f>EV!L717</f>
        <v>DORTEMAG</v>
      </c>
      <c r="G565" s="108">
        <f>IF(H565="ALPHA",PR!$E563,IF(H565="ASSENE",PR!$F563,IF(H565="BIOFEM",PR!$G563,IF(H565="BIOMED",PR!$H563,IF(H565="CHI",PR!$I563,IF(H565="CLARION",PR!$J563,IF(H565="CODIX",PR!$K563,IF(H565="COSMADE",PR!$L563,IF(H565="SANCON",PR!$M563,IF(H565="DEVON",PR!$N563,IF(H565="DORTEMAG",PR!$O563,IF(H565="DGF",PR!$P563,IF(H565="DYNAMIC",PR!$Q563,IF(H565="EMZOR",PR!$R563,IF(H565="EUMATT",PR!$S563,IF(H565="FIDSON",PR!$T563,IF(H565="FCGLOBAL",PR!$U563,IF(H565="GENEITH",PR!$V563,IF(H565="GINOS",PR!$W563,IF(H565="GSK",PR!$X563,IF(H565="GLOBORG",PR!$Y563,IF(H565="GOODNEWS",PR!$Z563,IF(H565="GREENLIFE",PR!$AA563,IF(H565="HLINE",PR!$AB563,IF(H565="ROTECH",PR!$AC563,IF(H565="ISN",PR!$AD563,IF(H565="JAWA",PR!$AE563,IF(H565="LAYO",PR!$AF563,IF(H565="LEADWAY",PR!$AG563,IF(H565="LHV",PR!$AH563,IF(H565="MANOLA",PR!$AI563,IF(H565="MARCSON",PR!$AJ563,IF(H565="M&amp;B",PR!$AK563,IF(H565="MTRUST",PR!$AL563,IF(H565="MWORLD",PR!$AM563,IF(H565="MEGA",PR!$AN563,IF(H565="MICRONOVA",PR!$AO563,IF(H565="MFLASH",PR!$AP563,IF(H565="MORISON",PR!$AQ563,IF(H565="NEMEL",PR!$AR563,IF(H565="NHP",PR!$AS563,IF(H565="NHC",PR!$AT563,IF(H565="OLEAF",PR!$AU563,IF(H565="OCULUS",PR!$AV563,IF(H565="PACIFIC",PR!$AW563,IF(H565="PHAMATEX",PR!$AX563,IF(H565="PETHICS",PR!$AY563,IF(H565="PHILIPS",PR!$AZ563,IF(H565="RANBAXY",PR!$BA563,IF(H565="REALS",PR!$BB563,IF(H565="ROYAL",PR!$BC563,IF(H565="SAM",PR!$BD563,IF(H565="SEAGREEN",PR!$BE563,IF(H565="SKG",PR!$BF563,IF(H565="TAH",PR!$BG563,IF(H565="TAYLEK",PR!$BH563,IF(H565="TEMITA",PR!$BI563,IF(H565="THL",PR!$BJ563,IF(H565="UBASTIC",PR!$BK563,IF(H565="UNION",PR!$BL563,IF(H565="UNIQUE",PR!$BM563,IF(H565="VIXA",PR!$BN563,IF(H565="WWCV",PR!$BO563,IF(H565="ZOLON",PR!$BP563,"-"))))))))))))))))))))))))))))))))))))))))))))))))))))))))))))))))</f>
        <v>350</v>
      </c>
      <c r="H565" s="102" t="str">
        <f>EV!M717</f>
        <v>EUMATT</v>
      </c>
      <c r="I565" s="108">
        <f>IF(J565="ALPHA",PR!$E563,IF(J565="ASSENE",PR!$F563,IF(J565="BIOFEM",PR!$G563,IF(J565="BIOMED",PR!$H563,IF(J565="CHI",PR!$I563,IF(J565="CLARION",PR!$J563,IF(J565="CODIX",PR!$K563,IF(J565="COSMADE",PR!$L563,IF(J565="SANCON",PR!$M563,IF(J565="DEVON",PR!$N563,IF(J565="DORTEMAG",PR!$O563,IF(J565="DGF",PR!$P563,IF(J565="DYNAMIC",PR!$Q563,IF(J565="EMZOR",PR!$R563,IF(J565="EUMATT",PR!$S563,IF(J565="FIDSON",PR!$T563,IF(J565="FCGLOBAL",PR!$U563,IF(J565="GENEITH",PR!$V563,IF(J565="GINOS",PR!$W563,IF(J565="GSK",PR!$X563,IF(J565="GLOBORG",PR!$Y563,IF(J565="GOODNEWS",PR!$Z563,IF(J565="GREENLIFE",PR!$AA563,IF(J565="HLINE",PR!$AB563,IF(J565="ROTECH",PR!$AC563,IF(J565="ISN",PR!$AD563,IF(J565="JAWA",PR!$AE563,IF(J565="LAYO",PR!$AF563,IF(J565="LEADWAY",PR!$AG563,IF(J565="LHV",PR!$AH563,IF(J565="MANOLA",PR!$AI563,IF(J565="MARCSON",PR!$AJ563,IF(J565="M&amp;B",PR!$AK563,IF(J565="MTRUST",PR!$AL563,IF(J565="MWORLD",PR!$AM563,IF(J565="MEGA",PR!$AN563,IF(J565="MICRONOVA",PR!$AO563,IF(J565="MFLASH",PR!$AP563,IF(J565="MORISON",PR!$AQ563,IF(J565="NEMEL",PR!$AR563,IF(J565="NHP",PR!$AS563,IF(J565="NHC",PR!$AT563,IF(J565="OLEAF",PR!$AU563,IF(J565="OCULUS",PR!$AV563,IF(J565="PACIFIC",PR!$AW563,IF(J565="PHAMATEX",PR!$AX563,IF(J565="PETHICS",PR!$AY563,IF(J565="PHILIPS",PR!$AZ563,IF(J565="RANBAXY",PR!$BA563,IF(J565="REALS",PR!$BB563,IF(J565="ROYAL",PR!$BC563,IF(J565="SAM",PR!$BD563,IF(J565="SEAGREEN",PR!$BE563,IF(J565="SKG",PR!$BF563,IF(J565="TAH",PR!$BG563,IF(J565="TAYLEK",PR!$BH563,IF(J565="TEMITA",PR!$BI563,IF(J565="THL",PR!$BJ563,IF(J565="UBASTIC",PR!$BK563,IF(J565="UNION",PR!$BL563,IF(J565="UNIQUE",PR!$BM563,IF(J565="VIXA",PR!$BN563,IF(J565="WWCV",PR!$BO563,IF(J565="ZOLON",PR!$BP563,"-"))))))))))))))))))))))))))))))))))))))))))))))))))))))))))))))))</f>
        <v>390</v>
      </c>
      <c r="J565" s="102" t="str">
        <f>EV!N717</f>
        <v>DGF</v>
      </c>
      <c r="K565" s="433" t="s">
        <v>828</v>
      </c>
      <c r="L565" s="183">
        <f>IF(K565&gt;0,IF(K565="ALPHA",PR!$E563,IF(K565="ASSENE",PR!$F563,IF(K565="BIOFEM",PR!$G563,IF(K565="BIOMED",PR!$H563,IF(K565="CHI",PR!$I563,IF(K565="CLARION",PR!$J563,IF(K565="CODIX",PR!$K563,IF(K565="COSMADE",PR!$L563,IF(K565="SANCON",PR!$M563,IF(K565="DEVON",PR!$N563,IF(K565="DORTEMAG",PR!$O563,IF(K565="DGF",PR!$P563,IF(K565="DYNAMIC",PR!$Q563,IF(K565="EMZOR",PR!$R563,IF(K565="EUMATT",PR!$S563,IF(K565="FIDSON",PR!$T563,IF(K565="FCGLOBAL",PR!$U563,IF(K565="GENEITH",PR!$V563,IF(K565="GINOS",PR!$W563,IF(K565="GSK",PR!$X563,IF(K565="GLOBORG",PR!$Y563,IF(K565="GOODNEWS",PR!$Z563,IF(K565="GREENLIFE",PR!$AA563,IF(K565="HLINE",PR!$AB563,IF(K565="ROTECH",PR!$AC563,IF(K565="ISN",PR!$AD563,IF(K565="JAWA",PR!$AE563,IF(K565="LAYO",PR!$AF563,IF(K565="LEADWAY",PR!$AG563,IF(K565="LHV",PR!$AH563,IF(K565="MANOLA",PR!$AI563,IF(K565="MARCSON",PR!$AJ563,IF(K565="M&amp;B",PR!$AK563,IF(K565="MTRUST",PR!$AL563,IF(K565="MWORLD",PR!$AM563,IF(K565="MEGA",PR!$AN563,IF(K565="MICRONOVA",PR!$AO563,IF(K565="MFLASH",PR!$AP563,IF(K565="MORISON",PR!$AQ563,IF(K565="NEMEL",PR!$AR563,IF(K565="NHP",PR!$AS563,IF(K565="NHC",PR!$AT563,IF(K565="OLEAF",PR!$AU563,IF(K565="OCULUS",PR!$AV563,IF(K565="PACIFIC",PR!$AW563,IF(K565="PHAMATEX",PR!$AX563,IF(K565="PETHICS",PR!$AY563,IF(K565="PHILIPS",PR!$AZ563,IF(K565="RANBAXY",PR!$BA563,IF(K565="REALS",PR!$BB563,IF(K565="ROYAL",PR!$BC563,IF(K565="SAM",PR!$BD563,IF(K565="SEAGREEN",PR!$BE563,IF(K565="SKG",PR!$BF563,IF(K565="TAH",PR!$BG563,IF(K565="TAYLEK",PR!$BH563,IF(K565="TEMITA",PR!$BI563,IF(K565="THL",PR!$BJ563,IF(K565="UBASTIC",PR!$BK563,IF(K565="UNION",PR!$BL563,IF(K565="UNIQUE",PR!$BM563,IF(K565="VIXA",PR!$BN563,IF(K565="WWCV",PR!$BO563,IF(K565="ZOLON",PR!$BP563,"-")))))))))))))))))))))))))))))))))))))))))))))))))))))))))))))))))</f>
        <v>325</v>
      </c>
    </row>
    <row r="566" spans="1:12" ht="18.75" x14ac:dyDescent="0.3">
      <c r="A566" s="430">
        <f>PR!A564</f>
        <v>509</v>
      </c>
      <c r="B566" s="15" t="str">
        <f>PR!B564</f>
        <v>DICLOFENAC GTT</v>
      </c>
      <c r="C566" s="113" t="str">
        <f>PR!D564</f>
        <v>BOTT</v>
      </c>
      <c r="D566" s="113">
        <f>PR!C564</f>
        <v>52</v>
      </c>
      <c r="E566" s="108">
        <f>IF(F566="ALPHA",PR!$E564,IF(F566="ASSENE",PR!$F564,IF(F566="BIOFEM",PR!$G564,IF(F566="BIOMED",PR!$H564,IF(F566="CHI",PR!$I564,IF(F566="CLARION",PR!$J564,IF(F566="CODIX",PR!$K564,IF(F566="COSMADE",PR!$L564,IF(F566="SANCON",PR!$M564,IF(F566="DEVON",PR!$N564,IF(F566="DORTEMAG",PR!$O564,IF(F566="DGF",PR!$P564,IF(F566="DYNAMIC",PR!$Q564,IF(F566="EMZOR",PR!$R564,IF(F566="EUMATT",PR!$S564,IF(F566="FIDSON",PR!$T564,IF(F566="FCGLOBAL",PR!$U564,IF(F566="GENEITH",PR!$V564,IF(F566="GINOS",PR!$W564,IF(F566="GSK",PR!$X564,IF(F566="GLOBORG",PR!$Y564,IF(F566="GOODNEWS",PR!$Z564,IF(F566="GREENLIFE",PR!$AA564,IF(F566="HLINE",PR!$AB564,IF(F566="ROTECH",PR!$AC564,IF(F566="ISN",PR!$AD564,IF(F566="JAWA",PR!$AE564,IF(F566="LAYO",PR!$AF564,IF(F566="LEADWAY",PR!$AG564,IF(F566="LHV",PR!$AH564,IF(F566="MANOLA",PR!$AI564,IF(F566="MARCSON",PR!$AJ564,IF(F566="M&amp;B",PR!$AK564,IF(F566="MTRUST",PR!$AL564,IF(F566="MWORLD",PR!$AM564,IF(F566="MEGA",PR!$AN564,IF(F566="MICRONOVA",PR!$AO564,IF(F566="MFLASH",PR!$AP564,IF(F566="MORISON",PR!$AQ564,IF(F566="NEMEL",PR!$AR564,IF(F566="NHP",PR!$AS564,IF(F566="NHC",PR!$AT564,IF(F566="OLEAF",PR!$AU564,IF(F566="OCULUS",PR!$AV564,IF(F566="PACIFIC",PR!$AW564,IF(F566="PHAMATEX",PR!$AX564,IF(F566="PETHICS",PR!$AY564,IF(F566="PHILIPS",PR!$AZ564,IF(F566="RANBAXY",PR!$BA564,IF(F566="REALS",PR!$BB564,IF(F566="ROYAL",PR!$BC564,IF(F566="SAM",PR!$BD564,IF(F566="SEAGREEN",PR!$BE564,IF(F566="SKG",PR!$BF564,IF(F566="TAH",PR!$BG564,IF(F566="TAYLEK",PR!$BH564,IF(F566="TEMITA",PR!$BI564,IF(F566="THL",PR!$BJ564,IF(F566="UBASTIC",PR!$BK564,IF(F566="UNION",PR!$BL564,IF(F566="UNIQUE",PR!$BM564,IF(F566="VIXA",PR!$BN564,IF(F566="WWCV",PR!$BO564,IF(F566="ZOLON",PR!$BP564,"-"))))))))))))))))))))))))))))))))))))))))))))))))))))))))))))))))</f>
        <v>450</v>
      </c>
      <c r="F566" s="102" t="str">
        <f>EV!L718</f>
        <v>DGF</v>
      </c>
      <c r="G566" s="108">
        <f>IF(H566="ALPHA",PR!$E564,IF(H566="ASSENE",PR!$F564,IF(H566="BIOFEM",PR!$G564,IF(H566="BIOMED",PR!$H564,IF(H566="CHI",PR!$I564,IF(H566="CLARION",PR!$J564,IF(H566="CODIX",PR!$K564,IF(H566="COSMADE",PR!$L564,IF(H566="SANCON",PR!$M564,IF(H566="DEVON",PR!$N564,IF(H566="DORTEMAG",PR!$O564,IF(H566="DGF",PR!$P564,IF(H566="DYNAMIC",PR!$Q564,IF(H566="EMZOR",PR!$R564,IF(H566="EUMATT",PR!$S564,IF(H566="FIDSON",PR!$T564,IF(H566="FCGLOBAL",PR!$U564,IF(H566="GENEITH",PR!$V564,IF(H566="GINOS",PR!$W564,IF(H566="GSK",PR!$X564,IF(H566="GLOBORG",PR!$Y564,IF(H566="GOODNEWS",PR!$Z564,IF(H566="GREENLIFE",PR!$AA564,IF(H566="HLINE",PR!$AB564,IF(H566="ROTECH",PR!$AC564,IF(H566="ISN",PR!$AD564,IF(H566="JAWA",PR!$AE564,IF(H566="LAYO",PR!$AF564,IF(H566="LEADWAY",PR!$AG564,IF(H566="LHV",PR!$AH564,IF(H566="MANOLA",PR!$AI564,IF(H566="MARCSON",PR!$AJ564,IF(H566="M&amp;B",PR!$AK564,IF(H566="MTRUST",PR!$AL564,IF(H566="MWORLD",PR!$AM564,IF(H566="MEGA",PR!$AN564,IF(H566="MICRONOVA",PR!$AO564,IF(H566="MFLASH",PR!$AP564,IF(H566="MORISON",PR!$AQ564,IF(H566="NEMEL",PR!$AR564,IF(H566="NHP",PR!$AS564,IF(H566="NHC",PR!$AT564,IF(H566="OLEAF",PR!$AU564,IF(H566="OCULUS",PR!$AV564,IF(H566="PACIFIC",PR!$AW564,IF(H566="PHAMATEX",PR!$AX564,IF(H566="PETHICS",PR!$AY564,IF(H566="PHILIPS",PR!$AZ564,IF(H566="RANBAXY",PR!$BA564,IF(H566="REALS",PR!$BB564,IF(H566="ROYAL",PR!$BC564,IF(H566="SAM",PR!$BD564,IF(H566="SEAGREEN",PR!$BE564,IF(H566="SKG",PR!$BF564,IF(H566="TAH",PR!$BG564,IF(H566="TAYLEK",PR!$BH564,IF(H566="TEMITA",PR!$BI564,IF(H566="THL",PR!$BJ564,IF(H566="UBASTIC",PR!$BK564,IF(H566="UNION",PR!$BL564,IF(H566="UNIQUE",PR!$BM564,IF(H566="VIXA",PR!$BN564,IF(H566="WWCV",PR!$BO564,IF(H566="ZOLON",PR!$BP564,"-"))))))))))))))))))))))))))))))))))))))))))))))))))))))))))))))))</f>
        <v>520</v>
      </c>
      <c r="H566" s="102" t="str">
        <f>EV!M718</f>
        <v>EUMATT</v>
      </c>
      <c r="I566" s="108" t="str">
        <f>IF(J566="ALPHA",PR!$E564,IF(J566="ASSENE",PR!$F564,IF(J566="BIOFEM",PR!$G564,IF(J566="BIOMED",PR!$H564,IF(J566="CHI",PR!$I564,IF(J566="CLARION",PR!$J564,IF(J566="CODIX",PR!$K564,IF(J566="COSMADE",PR!$L564,IF(J566="SANCON",PR!$M564,IF(J566="DEVON",PR!$N564,IF(J566="DORTEMAG",PR!$O564,IF(J566="DGF",PR!$P564,IF(J566="DYNAMIC",PR!$Q564,IF(J566="EMZOR",PR!$R564,IF(J566="EUMATT",PR!$S564,IF(J566="FIDSON",PR!$T564,IF(J566="FCGLOBAL",PR!$U564,IF(J566="GENEITH",PR!$V564,IF(J566="GINOS",PR!$W564,IF(J566="GSK",PR!$X564,IF(J566="GLOBORG",PR!$Y564,IF(J566="GOODNEWS",PR!$Z564,IF(J566="GREENLIFE",PR!$AA564,IF(J566="HLINE",PR!$AB564,IF(J566="ROTECH",PR!$AC564,IF(J566="ISN",PR!$AD564,IF(J566="JAWA",PR!$AE564,IF(J566="LAYO",PR!$AF564,IF(J566="LEADWAY",PR!$AG564,IF(J566="LHV",PR!$AH564,IF(J566="MANOLA",PR!$AI564,IF(J566="MARCSON",PR!$AJ564,IF(J566="M&amp;B",PR!$AK564,IF(J566="MTRUST",PR!$AL564,IF(J566="MWORLD",PR!$AM564,IF(J566="MEGA",PR!$AN564,IF(J566="MICRONOVA",PR!$AO564,IF(J566="MFLASH",PR!$AP564,IF(J566="MORISON",PR!$AQ564,IF(J566="NEMEL",PR!$AR564,IF(J566="NHP",PR!$AS564,IF(J566="NHC",PR!$AT564,IF(J566="OLEAF",PR!$AU564,IF(J566="OCULUS",PR!$AV564,IF(J566="PACIFIC",PR!$AW564,IF(J566="PHAMATEX",PR!$AX564,IF(J566="PETHICS",PR!$AY564,IF(J566="PHILIPS",PR!$AZ564,IF(J566="RANBAXY",PR!$BA564,IF(J566="REALS",PR!$BB564,IF(J566="ROYAL",PR!$BC564,IF(J566="SAM",PR!$BD564,IF(J566="SEAGREEN",PR!$BE564,IF(J566="SKG",PR!$BF564,IF(J566="TAH",PR!$BG564,IF(J566="TAYLEK",PR!$BH564,IF(J566="TEMITA",PR!$BI564,IF(J566="THL",PR!$BJ564,IF(J566="UBASTIC",PR!$BK564,IF(J566="UNION",PR!$BL564,IF(J566="UNIQUE",PR!$BM564,IF(J566="VIXA",PR!$BN564,IF(J566="WWCV",PR!$BO564,IF(J566="ZOLON",PR!$BP564,"-"))))))))))))))))))))))))))))))))))))))))))))))))))))))))))))))))</f>
        <v>-</v>
      </c>
      <c r="J566" s="102">
        <f>EV!N718</f>
        <v>0</v>
      </c>
      <c r="K566" s="433" t="s">
        <v>829</v>
      </c>
      <c r="L566" s="183">
        <f>IF(K566&gt;0,IF(K566="ALPHA",PR!$E564,IF(K566="ASSENE",PR!$F564,IF(K566="BIOFEM",PR!$G564,IF(K566="BIOMED",PR!$H564,IF(K566="CHI",PR!$I564,IF(K566="CLARION",PR!$J564,IF(K566="CODIX",PR!$K564,IF(K566="COSMADE",PR!$L564,IF(K566="SANCON",PR!$M564,IF(K566="DEVON",PR!$N564,IF(K566="DORTEMAG",PR!$O564,IF(K566="DGF",PR!$P564,IF(K566="DYNAMIC",PR!$Q564,IF(K566="EMZOR",PR!$R564,IF(K566="EUMATT",PR!$S564,IF(K566="FIDSON",PR!$T564,IF(K566="FCGLOBAL",PR!$U564,IF(K566="GENEITH",PR!$V564,IF(K566="GINOS",PR!$W564,IF(K566="GSK",PR!$X564,IF(K566="GLOBORG",PR!$Y564,IF(K566="GOODNEWS",PR!$Z564,IF(K566="GREENLIFE",PR!$AA564,IF(K566="HLINE",PR!$AB564,IF(K566="ROTECH",PR!$AC564,IF(K566="ISN",PR!$AD564,IF(K566="JAWA",PR!$AE564,IF(K566="LAYO",PR!$AF564,IF(K566="LEADWAY",PR!$AG564,IF(K566="LHV",PR!$AH564,IF(K566="MANOLA",PR!$AI564,IF(K566="MARCSON",PR!$AJ564,IF(K566="M&amp;B",PR!$AK564,IF(K566="MTRUST",PR!$AL564,IF(K566="MWORLD",PR!$AM564,IF(K566="MEGA",PR!$AN564,IF(K566="MICRONOVA",PR!$AO564,IF(K566="MFLASH",PR!$AP564,IF(K566="MORISON",PR!$AQ564,IF(K566="NEMEL",PR!$AR564,IF(K566="NHP",PR!$AS564,IF(K566="NHC",PR!$AT564,IF(K566="OLEAF",PR!$AU564,IF(K566="OCULUS",PR!$AV564,IF(K566="PACIFIC",PR!$AW564,IF(K566="PHAMATEX",PR!$AX564,IF(K566="PETHICS",PR!$AY564,IF(K566="PHILIPS",PR!$AZ564,IF(K566="RANBAXY",PR!$BA564,IF(K566="REALS",PR!$BB564,IF(K566="ROYAL",PR!$BC564,IF(K566="SAM",PR!$BD564,IF(K566="SEAGREEN",PR!$BE564,IF(K566="SKG",PR!$BF564,IF(K566="TAH",PR!$BG564,IF(K566="TAYLEK",PR!$BH564,IF(K566="TEMITA",PR!$BI564,IF(K566="THL",PR!$BJ564,IF(K566="UBASTIC",PR!$BK564,IF(K566="UNION",PR!$BL564,IF(K566="UNIQUE",PR!$BM564,IF(K566="VIXA",PR!$BN564,IF(K566="WWCV",PR!$BO564,IF(K566="ZOLON",PR!$BP564,"-")))))))))))))))))))))))))))))))))))))))))))))))))))))))))))))))))</f>
        <v>450</v>
      </c>
    </row>
    <row r="567" spans="1:12" ht="18.75" x14ac:dyDescent="0.3">
      <c r="A567" s="430">
        <f>PR!A565</f>
        <v>510</v>
      </c>
      <c r="B567" s="15" t="str">
        <f>PR!B565</f>
        <v>EYE ANTI-OXIDANT TAB</v>
      </c>
      <c r="C567" s="113">
        <f>PR!D565</f>
        <v>120</v>
      </c>
      <c r="D567" s="113">
        <f>PR!C565</f>
        <v>80</v>
      </c>
      <c r="E567" s="108">
        <f>IF(F567="ALPHA",PR!$E565,IF(F567="ASSENE",PR!$F565,IF(F567="BIOFEM",PR!$G565,IF(F567="BIOMED",PR!$H565,IF(F567="CHI",PR!$I565,IF(F567="CLARION",PR!$J565,IF(F567="CODIX",PR!$K565,IF(F567="COSMADE",PR!$L565,IF(F567="SANCON",PR!$M565,IF(F567="DEVON",PR!$N565,IF(F567="DORTEMAG",PR!$O565,IF(F567="DGF",PR!$P565,IF(F567="DYNAMIC",PR!$Q565,IF(F567="EMZOR",PR!$R565,IF(F567="EUMATT",PR!$S565,IF(F567="FIDSON",PR!$T565,IF(F567="FCGLOBAL",PR!$U565,IF(F567="GENEITH",PR!$V565,IF(F567="GINOS",PR!$W565,IF(F567="GSK",PR!$X565,IF(F567="GLOBORG",PR!$Y565,IF(F567="GOODNEWS",PR!$Z565,IF(F567="GREENLIFE",PR!$AA565,IF(F567="HLINE",PR!$AB565,IF(F567="ROTECH",PR!$AC565,IF(F567="ISN",PR!$AD565,IF(F567="JAWA",PR!$AE565,IF(F567="LAYO",PR!$AF565,IF(F567="LEADWAY",PR!$AG565,IF(F567="LHV",PR!$AH565,IF(F567="MANOLA",PR!$AI565,IF(F567="MARCSON",PR!$AJ565,IF(F567="M&amp;B",PR!$AK565,IF(F567="MTRUST",PR!$AL565,IF(F567="MWORLD",PR!$AM565,IF(F567="MEGA",PR!$AN565,IF(F567="MICRONOVA",PR!$AO565,IF(F567="MFLASH",PR!$AP565,IF(F567="MORISON",PR!$AQ565,IF(F567="NEMEL",PR!$AR565,IF(F567="NHP",PR!$AS565,IF(F567="NHC",PR!$AT565,IF(F567="OLEAF",PR!$AU565,IF(F567="OCULUS",PR!$AV565,IF(F567="PACIFIC",PR!$AW565,IF(F567="PHAMATEX",PR!$AX565,IF(F567="PETHICS",PR!$AY565,IF(F567="PHILIPS",PR!$AZ565,IF(F567="RANBAXY",PR!$BA565,IF(F567="REALS",PR!$BB565,IF(F567="ROYAL",PR!$BC565,IF(F567="SAM",PR!$BD565,IF(F567="SEAGREEN",PR!$BE565,IF(F567="SKG",PR!$BF565,IF(F567="TAH",PR!$BG565,IF(F567="TAYLEK",PR!$BH565,IF(F567="TEMITA",PR!$BI565,IF(F567="THL",PR!$BJ565,IF(F567="UBASTIC",PR!$BK565,IF(F567="UNION",PR!$BL565,IF(F567="UNIQUE",PR!$BM565,IF(F567="VIXA",PR!$BN565,IF(F567="WWCV",PR!$BO565,IF(F567="ZOLON",PR!$BP565,"-"))))))))))))))))))))))))))))))))))))))))))))))))))))))))))))))))</f>
        <v>6000</v>
      </c>
      <c r="F567" s="102" t="str">
        <f>EV!L719</f>
        <v>MEGA</v>
      </c>
      <c r="G567" s="108">
        <f>IF(H567="ALPHA",PR!$E565,IF(H567="ASSENE",PR!$F565,IF(H567="BIOFEM",PR!$G565,IF(H567="BIOMED",PR!$H565,IF(H567="CHI",PR!$I565,IF(H567="CLARION",PR!$J565,IF(H567="CODIX",PR!$K565,IF(H567="COSMADE",PR!$L565,IF(H567="SANCON",PR!$M565,IF(H567="DEVON",PR!$N565,IF(H567="DORTEMAG",PR!$O565,IF(H567="DGF",PR!$P565,IF(H567="DYNAMIC",PR!$Q565,IF(H567="EMZOR",PR!$R565,IF(H567="EUMATT",PR!$S565,IF(H567="FIDSON",PR!$T565,IF(H567="FCGLOBAL",PR!$U565,IF(H567="GENEITH",PR!$V565,IF(H567="GINOS",PR!$W565,IF(H567="GSK",PR!$X565,IF(H567="GLOBORG",PR!$Y565,IF(H567="GOODNEWS",PR!$Z565,IF(H567="GREENLIFE",PR!$AA565,IF(H567="HLINE",PR!$AB565,IF(H567="ROTECH",PR!$AC565,IF(H567="ISN",PR!$AD565,IF(H567="JAWA",PR!$AE565,IF(H567="LAYO",PR!$AF565,IF(H567="LEADWAY",PR!$AG565,IF(H567="LHV",PR!$AH565,IF(H567="MANOLA",PR!$AI565,IF(H567="MARCSON",PR!$AJ565,IF(H567="M&amp;B",PR!$AK565,IF(H567="MTRUST",PR!$AL565,IF(H567="MWORLD",PR!$AM565,IF(H567="MEGA",PR!$AN565,IF(H567="MICRONOVA",PR!$AO565,IF(H567="MFLASH",PR!$AP565,IF(H567="MORISON",PR!$AQ565,IF(H567="NEMEL",PR!$AR565,IF(H567="NHP",PR!$AS565,IF(H567="NHC",PR!$AT565,IF(H567="OLEAF",PR!$AU565,IF(H567="OCULUS",PR!$AV565,IF(H567="PACIFIC",PR!$AW565,IF(H567="PHAMATEX",PR!$AX565,IF(H567="PETHICS",PR!$AY565,IF(H567="PHILIPS",PR!$AZ565,IF(H567="RANBAXY",PR!$BA565,IF(H567="REALS",PR!$BB565,IF(H567="ROYAL",PR!$BC565,IF(H567="SAM",PR!$BD565,IF(H567="SEAGREEN",PR!$BE565,IF(H567="SKG",PR!$BF565,IF(H567="TAH",PR!$BG565,IF(H567="TAYLEK",PR!$BH565,IF(H567="TEMITA",PR!$BI565,IF(H567="THL",PR!$BJ565,IF(H567="UBASTIC",PR!$BK565,IF(H567="UNION",PR!$BL565,IF(H567="UNIQUE",PR!$BM565,IF(H567="VIXA",PR!$BN565,IF(H567="WWCV",PR!$BO565,IF(H567="ZOLON",PR!$BP565,"-"))))))))))))))))))))))))))))))))))))))))))))))))))))))))))))))))</f>
        <v>9000</v>
      </c>
      <c r="H567" s="102" t="str">
        <f>EV!M719</f>
        <v>ALPHA</v>
      </c>
      <c r="I567" s="108">
        <f>IF(J567="ALPHA",PR!$E565,IF(J567="ASSENE",PR!$F565,IF(J567="BIOFEM",PR!$G565,IF(J567="BIOMED",PR!$H565,IF(J567="CHI",PR!$I565,IF(J567="CLARION",PR!$J565,IF(J567="CODIX",PR!$K565,IF(J567="COSMADE",PR!$L565,IF(J567="SANCON",PR!$M565,IF(J567="DEVON",PR!$N565,IF(J567="DORTEMAG",PR!$O565,IF(J567="DGF",PR!$P565,IF(J567="DYNAMIC",PR!$Q565,IF(J567="EMZOR",PR!$R565,IF(J567="EUMATT",PR!$S565,IF(J567="FIDSON",PR!$T565,IF(J567="FCGLOBAL",PR!$U565,IF(J567="GENEITH",PR!$V565,IF(J567="GINOS",PR!$W565,IF(J567="GSK",PR!$X565,IF(J567="GLOBORG",PR!$Y565,IF(J567="GOODNEWS",PR!$Z565,IF(J567="GREENLIFE",PR!$AA565,IF(J567="HLINE",PR!$AB565,IF(J567="ROTECH",PR!$AC565,IF(J567="ISN",PR!$AD565,IF(J567="JAWA",PR!$AE565,IF(J567="LAYO",PR!$AF565,IF(J567="LEADWAY",PR!$AG565,IF(J567="LHV",PR!$AH565,IF(J567="MANOLA",PR!$AI565,IF(J567="MARCSON",PR!$AJ565,IF(J567="M&amp;B",PR!$AK565,IF(J567="MTRUST",PR!$AL565,IF(J567="MWORLD",PR!$AM565,IF(J567="MEGA",PR!$AN565,IF(J567="MICRONOVA",PR!$AO565,IF(J567="MFLASH",PR!$AP565,IF(J567="MORISON",PR!$AQ565,IF(J567="NEMEL",PR!$AR565,IF(J567="NHP",PR!$AS565,IF(J567="NHC",PR!$AT565,IF(J567="OLEAF",PR!$AU565,IF(J567="OCULUS",PR!$AV565,IF(J567="PACIFIC",PR!$AW565,IF(J567="PHAMATEX",PR!$AX565,IF(J567="PETHICS",PR!$AY565,IF(J567="PHILIPS",PR!$AZ565,IF(J567="RANBAXY",PR!$BA565,IF(J567="REALS",PR!$BB565,IF(J567="ROYAL",PR!$BC565,IF(J567="SAM",PR!$BD565,IF(J567="SEAGREEN",PR!$BE565,IF(J567="SKG",PR!$BF565,IF(J567="TAH",PR!$BG565,IF(J567="TAYLEK",PR!$BH565,IF(J567="TEMITA",PR!$BI565,IF(J567="THL",PR!$BJ565,IF(J567="UBASTIC",PR!$BK565,IF(J567="UNION",PR!$BL565,IF(J567="UNIQUE",PR!$BM565,IF(J567="VIXA",PR!$BN565,IF(J567="WWCV",PR!$BO565,IF(J567="ZOLON",PR!$BP565,"-"))))))))))))))))))))))))))))))))))))))))))))))))))))))))))))))))</f>
        <v>10500</v>
      </c>
      <c r="J567" s="102" t="str">
        <f>EV!N719</f>
        <v>EUMATT</v>
      </c>
      <c r="K567" s="433" t="s">
        <v>634</v>
      </c>
      <c r="L567" s="183">
        <f>IF(K567&gt;0,IF(K567="ALPHA",PR!$E565,IF(K567="ASSENE",PR!$F565,IF(K567="BIOFEM",PR!$G565,IF(K567="BIOMED",PR!$H565,IF(K567="CHI",PR!$I565,IF(K567="CLARION",PR!$J565,IF(K567="CODIX",PR!$K565,IF(K567="COSMADE",PR!$L565,IF(K567="SANCON",PR!$M565,IF(K567="DEVON",PR!$N565,IF(K567="DORTEMAG",PR!$O565,IF(K567="DGF",PR!$P565,IF(K567="DYNAMIC",PR!$Q565,IF(K567="EMZOR",PR!$R565,IF(K567="EUMATT",PR!$S565,IF(K567="FIDSON",PR!$T565,IF(K567="FCGLOBAL",PR!$U565,IF(K567="GENEITH",PR!$V565,IF(K567="GINOS",PR!$W565,IF(K567="GSK",PR!$X565,IF(K567="GLOBORG",PR!$Y565,IF(K567="GOODNEWS",PR!$Z565,IF(K567="GREENLIFE",PR!$AA565,IF(K567="HLINE",PR!$AB565,IF(K567="ROTECH",PR!$AC565,IF(K567="ISN",PR!$AD565,IF(K567="JAWA",PR!$AE565,IF(K567="LAYO",PR!$AF565,IF(K567="LEADWAY",PR!$AG565,IF(K567="LHV",PR!$AH565,IF(K567="MANOLA",PR!$AI565,IF(K567="MARCSON",PR!$AJ565,IF(K567="M&amp;B",PR!$AK565,IF(K567="MTRUST",PR!$AL565,IF(K567="MWORLD",PR!$AM565,IF(K567="MEGA",PR!$AN565,IF(K567="MICRONOVA",PR!$AO565,IF(K567="MFLASH",PR!$AP565,IF(K567="MORISON",PR!$AQ565,IF(K567="NEMEL",PR!$AR565,IF(K567="NHP",PR!$AS565,IF(K567="NHC",PR!$AT565,IF(K567="OLEAF",PR!$AU565,IF(K567="OCULUS",PR!$AV565,IF(K567="PACIFIC",PR!$AW565,IF(K567="PHAMATEX",PR!$AX565,IF(K567="PETHICS",PR!$AY565,IF(K567="PHILIPS",PR!$AZ565,IF(K567="RANBAXY",PR!$BA565,IF(K567="REALS",PR!$BB565,IF(K567="ROYAL",PR!$BC565,IF(K567="SAM",PR!$BD565,IF(K567="SEAGREEN",PR!$BE565,IF(K567="SKG",PR!$BF565,IF(K567="TAH",PR!$BG565,IF(K567="TAYLEK",PR!$BH565,IF(K567="TEMITA",PR!$BI565,IF(K567="THL",PR!$BJ565,IF(K567="UBASTIC",PR!$BK565,IF(K567="UNION",PR!$BL565,IF(K567="UNIQUE",PR!$BM565,IF(K567="VIXA",PR!$BN565,IF(K567="WWCV",PR!$BO565,IF(K567="ZOLON",PR!$BP565,"-")))))))))))))))))))))))))))))))))))))))))))))))))))))))))))))))))</f>
        <v>9000</v>
      </c>
    </row>
    <row r="568" spans="1:12" s="90" customFormat="1" ht="18.75" x14ac:dyDescent="0.3">
      <c r="A568" s="430">
        <f>PR!A566</f>
        <v>511</v>
      </c>
      <c r="B568" s="15" t="str">
        <f>PR!B566</f>
        <v>FLUCONAZOLE GTT</v>
      </c>
      <c r="C568" s="113" t="str">
        <f>PR!D566</f>
        <v>BOTT</v>
      </c>
      <c r="D568" s="113">
        <f>PR!C566</f>
        <v>40</v>
      </c>
      <c r="E568" s="108">
        <f>IF(F568="ALPHA",PR!$E566,IF(F568="ASSENE",PR!$F566,IF(F568="BIOFEM",PR!$G566,IF(F568="BIOMED",PR!$H566,IF(F568="CHI",PR!$I566,IF(F568="CLARION",PR!$J566,IF(F568="CODIX",PR!$K566,IF(F568="COSMADE",PR!$L566,IF(F568="SANCON",PR!$M566,IF(F568="DEVON",PR!$N566,IF(F568="DORTEMAG",PR!$O566,IF(F568="DGF",PR!$P566,IF(F568="DYNAMIC",PR!$Q566,IF(F568="EMZOR",PR!$R566,IF(F568="EUMATT",PR!$S566,IF(F568="FIDSON",PR!$T566,IF(F568="FCGLOBAL",PR!$U566,IF(F568="GENEITH",PR!$V566,IF(F568="GINOS",PR!$W566,IF(F568="GSK",PR!$X566,IF(F568="GLOBORG",PR!$Y566,IF(F568="GOODNEWS",PR!$Z566,IF(F568="GREENLIFE",PR!$AA566,IF(F568="HLINE",PR!$AB566,IF(F568="ROTECH",PR!$AC566,IF(F568="ISN",PR!$AD566,IF(F568="JAWA",PR!$AE566,IF(F568="LAYO",PR!$AF566,IF(F568="LEADWAY",PR!$AG566,IF(F568="LHV",PR!$AH566,IF(F568="MANOLA",PR!$AI566,IF(F568="MARCSON",PR!$AJ566,IF(F568="M&amp;B",PR!$AK566,IF(F568="MTRUST",PR!$AL566,IF(F568="MWORLD",PR!$AM566,IF(F568="MEGA",PR!$AN566,IF(F568="MICRONOVA",PR!$AO566,IF(F568="MFLASH",PR!$AP566,IF(F568="MORISON",PR!$AQ566,IF(F568="NEMEL",PR!$AR566,IF(F568="NHP",PR!$AS566,IF(F568="NHC",PR!$AT566,IF(F568="OLEAF",PR!$AU566,IF(F568="OCULUS",PR!$AV566,IF(F568="PACIFIC",PR!$AW566,IF(F568="PHAMATEX",PR!$AX566,IF(F568="PETHICS",PR!$AY566,IF(F568="PHILIPS",PR!$AZ566,IF(F568="RANBAXY",PR!$BA566,IF(F568="REALS",PR!$BB566,IF(F568="ROYAL",PR!$BC566,IF(F568="SAM",PR!$BD566,IF(F568="SEAGREEN",PR!$BE566,IF(F568="SKG",PR!$BF566,IF(F568="TAH",PR!$BG566,IF(F568="TAYLEK",PR!$BH566,IF(F568="TEMITA",PR!$BI566,IF(F568="THL",PR!$BJ566,IF(F568="UBASTIC",PR!$BK566,IF(F568="UNION",PR!$BL566,IF(F568="UNIQUE",PR!$BM566,IF(F568="VIXA",PR!$BN566,IF(F568="WWCV",PR!$BO566,IF(F568="ZOLON",PR!$BP566,"-"))))))))))))))))))))))))))))))))))))))))))))))))))))))))))))))))</f>
        <v>720</v>
      </c>
      <c r="F568" s="102" t="str">
        <f>EV!L720</f>
        <v>DGF</v>
      </c>
      <c r="G568" s="108">
        <f>IF(H568="ALPHA",PR!$E566,IF(H568="ASSENE",PR!$F566,IF(H568="BIOFEM",PR!$G566,IF(H568="BIOMED",PR!$H566,IF(H568="CHI",PR!$I566,IF(H568="CLARION",PR!$J566,IF(H568="CODIX",PR!$K566,IF(H568="COSMADE",PR!$L566,IF(H568="SANCON",PR!$M566,IF(H568="DEVON",PR!$N566,IF(H568="DORTEMAG",PR!$O566,IF(H568="DGF",PR!$P566,IF(H568="DYNAMIC",PR!$Q566,IF(H568="EMZOR",PR!$R566,IF(H568="EUMATT",PR!$S566,IF(H568="FIDSON",PR!$T566,IF(H568="FCGLOBAL",PR!$U566,IF(H568="GENEITH",PR!$V566,IF(H568="GINOS",PR!$W566,IF(H568="GSK",PR!$X566,IF(H568="GLOBORG",PR!$Y566,IF(H568="GOODNEWS",PR!$Z566,IF(H568="GREENLIFE",PR!$AA566,IF(H568="HLINE",PR!$AB566,IF(H568="ROTECH",PR!$AC566,IF(H568="ISN",PR!$AD566,IF(H568="JAWA",PR!$AE566,IF(H568="LAYO",PR!$AF566,IF(H568="LEADWAY",PR!$AG566,IF(H568="LHV",PR!$AH566,IF(H568="MANOLA",PR!$AI566,IF(H568="MARCSON",PR!$AJ566,IF(H568="M&amp;B",PR!$AK566,IF(H568="MTRUST",PR!$AL566,IF(H568="MWORLD",PR!$AM566,IF(H568="MEGA",PR!$AN566,IF(H568="MICRONOVA",PR!$AO566,IF(H568="MFLASH",PR!$AP566,IF(H568="MORISON",PR!$AQ566,IF(H568="NEMEL",PR!$AR566,IF(H568="NHP",PR!$AS566,IF(H568="NHC",PR!$AT566,IF(H568="OLEAF",PR!$AU566,IF(H568="OCULUS",PR!$AV566,IF(H568="PACIFIC",PR!$AW566,IF(H568="PHAMATEX",PR!$AX566,IF(H568="PETHICS",PR!$AY566,IF(H568="PHILIPS",PR!$AZ566,IF(H568="RANBAXY",PR!$BA566,IF(H568="REALS",PR!$BB566,IF(H568="ROYAL",PR!$BC566,IF(H568="SAM",PR!$BD566,IF(H568="SEAGREEN",PR!$BE566,IF(H568="SKG",PR!$BF566,IF(H568="TAH",PR!$BG566,IF(H568="TAYLEK",PR!$BH566,IF(H568="TEMITA",PR!$BI566,IF(H568="THL",PR!$BJ566,IF(H568="UBASTIC",PR!$BK566,IF(H568="UNION",PR!$BL566,IF(H568="UNIQUE",PR!$BM566,IF(H568="VIXA",PR!$BN566,IF(H568="WWCV",PR!$BO566,IF(H568="ZOLON",PR!$BP566,"-"))))))))))))))))))))))))))))))))))))))))))))))))))))))))))))))))</f>
        <v>750</v>
      </c>
      <c r="H568" s="102" t="str">
        <f>EV!M720</f>
        <v>EUMATT</v>
      </c>
      <c r="I568" s="108" t="str">
        <f>IF(J568="ALPHA",PR!$E566,IF(J568="ASSENE",PR!$F566,IF(J568="BIOFEM",PR!$G566,IF(J568="BIOMED",PR!$H566,IF(J568="CHI",PR!$I566,IF(J568="CLARION",PR!$J566,IF(J568="CODIX",PR!$K566,IF(J568="COSMADE",PR!$L566,IF(J568="SANCON",PR!$M566,IF(J568="DEVON",PR!$N566,IF(J568="DORTEMAG",PR!$O566,IF(J568="DGF",PR!$P566,IF(J568="DYNAMIC",PR!$Q566,IF(J568="EMZOR",PR!$R566,IF(J568="EUMATT",PR!$S566,IF(J568="FIDSON",PR!$T566,IF(J568="FCGLOBAL",PR!$U566,IF(J568="GENEITH",PR!$V566,IF(J568="GINOS",PR!$W566,IF(J568="GSK",PR!$X566,IF(J568="GLOBORG",PR!$Y566,IF(J568="GOODNEWS",PR!$Z566,IF(J568="GREENLIFE",PR!$AA566,IF(J568="HLINE",PR!$AB566,IF(J568="ROTECH",PR!$AC566,IF(J568="ISN",PR!$AD566,IF(J568="JAWA",PR!$AE566,IF(J568="LAYO",PR!$AF566,IF(J568="LEADWAY",PR!$AG566,IF(J568="LHV",PR!$AH566,IF(J568="MANOLA",PR!$AI566,IF(J568="MARCSON",PR!$AJ566,IF(J568="M&amp;B",PR!$AK566,IF(J568="MTRUST",PR!$AL566,IF(J568="MWORLD",PR!$AM566,IF(J568="MEGA",PR!$AN566,IF(J568="MICRONOVA",PR!$AO566,IF(J568="MFLASH",PR!$AP566,IF(J568="MORISON",PR!$AQ566,IF(J568="NEMEL",PR!$AR566,IF(J568="NHP",PR!$AS566,IF(J568="NHC",PR!$AT566,IF(J568="OLEAF",PR!$AU566,IF(J568="OCULUS",PR!$AV566,IF(J568="PACIFIC",PR!$AW566,IF(J568="PHAMATEX",PR!$AX566,IF(J568="PETHICS",PR!$AY566,IF(J568="PHILIPS",PR!$AZ566,IF(J568="RANBAXY",PR!$BA566,IF(J568="REALS",PR!$BB566,IF(J568="ROYAL",PR!$BC566,IF(J568="SAM",PR!$BD566,IF(J568="SEAGREEN",PR!$BE566,IF(J568="SKG",PR!$BF566,IF(J568="TAH",PR!$BG566,IF(J568="TAYLEK",PR!$BH566,IF(J568="TEMITA",PR!$BI566,IF(J568="THL",PR!$BJ566,IF(J568="UBASTIC",PR!$BK566,IF(J568="UNION",PR!$BL566,IF(J568="UNIQUE",PR!$BM566,IF(J568="VIXA",PR!$BN566,IF(J568="WWCV",PR!$BO566,IF(J568="ZOLON",PR!$BP566,"-"))))))))))))))))))))))))))))))))))))))))))))))))))))))))))))))))</f>
        <v>-</v>
      </c>
      <c r="J568" s="102">
        <f>EV!N720</f>
        <v>0</v>
      </c>
      <c r="K568" s="433" t="s">
        <v>829</v>
      </c>
      <c r="L568" s="183">
        <f>IF(K568&gt;0,IF(K568="ALPHA",PR!$E566,IF(K568="ASSENE",PR!$F566,IF(K568="BIOFEM",PR!$G566,IF(K568="BIOMED",PR!$H566,IF(K568="CHI",PR!$I566,IF(K568="CLARION",PR!$J566,IF(K568="CODIX",PR!$K566,IF(K568="COSMADE",PR!$L566,IF(K568="SANCON",PR!$M566,IF(K568="DEVON",PR!$N566,IF(K568="DORTEMAG",PR!$O566,IF(K568="DGF",PR!$P566,IF(K568="DYNAMIC",PR!$Q566,IF(K568="EMZOR",PR!$R566,IF(K568="EUMATT",PR!$S566,IF(K568="FIDSON",PR!$T566,IF(K568="FCGLOBAL",PR!$U566,IF(K568="GENEITH",PR!$V566,IF(K568="GINOS",PR!$W566,IF(K568="GSK",PR!$X566,IF(K568="GLOBORG",PR!$Y566,IF(K568="GOODNEWS",PR!$Z566,IF(K568="GREENLIFE",PR!$AA566,IF(K568="HLINE",PR!$AB566,IF(K568="ROTECH",PR!$AC566,IF(K568="ISN",PR!$AD566,IF(K568="JAWA",PR!$AE566,IF(K568="LAYO",PR!$AF566,IF(K568="LEADWAY",PR!$AG566,IF(K568="LHV",PR!$AH566,IF(K568="MANOLA",PR!$AI566,IF(K568="MARCSON",PR!$AJ566,IF(K568="M&amp;B",PR!$AK566,IF(K568="MTRUST",PR!$AL566,IF(K568="MWORLD",PR!$AM566,IF(K568="MEGA",PR!$AN566,IF(K568="MICRONOVA",PR!$AO566,IF(K568="MFLASH",PR!$AP566,IF(K568="MORISON",PR!$AQ566,IF(K568="NEMEL",PR!$AR566,IF(K568="NHP",PR!$AS566,IF(K568="NHC",PR!$AT566,IF(K568="OLEAF",PR!$AU566,IF(K568="OCULUS",PR!$AV566,IF(K568="PACIFIC",PR!$AW566,IF(K568="PHAMATEX",PR!$AX566,IF(K568="PETHICS",PR!$AY566,IF(K568="PHILIPS",PR!$AZ566,IF(K568="RANBAXY",PR!$BA566,IF(K568="REALS",PR!$BB566,IF(K568="ROYAL",PR!$BC566,IF(K568="SAM",PR!$BD566,IF(K568="SEAGREEN",PR!$BE566,IF(K568="SKG",PR!$BF566,IF(K568="TAH",PR!$BG566,IF(K568="TAYLEK",PR!$BH566,IF(K568="TEMITA",PR!$BI566,IF(K568="THL",PR!$BJ566,IF(K568="UBASTIC",PR!$BK566,IF(K568="UNION",PR!$BL566,IF(K568="UNIQUE",PR!$BM566,IF(K568="VIXA",PR!$BN566,IF(K568="WWCV",PR!$BO566,IF(K568="ZOLON",PR!$BP566,"-")))))))))))))))))))))))))))))))))))))))))))))))))))))))))))))))))</f>
        <v>720</v>
      </c>
    </row>
    <row r="569" spans="1:12" ht="18.75" x14ac:dyDescent="0.3">
      <c r="A569" s="430">
        <f>PR!A567</f>
        <v>512</v>
      </c>
      <c r="B569" s="15" t="str">
        <f>PR!B567</f>
        <v>FLURBIPROFEN EYE DROP</v>
      </c>
      <c r="C569" s="113" t="str">
        <f>PR!D567</f>
        <v>BOTT</v>
      </c>
      <c r="D569" s="113">
        <f>PR!C567</f>
        <v>600</v>
      </c>
      <c r="E569" s="108">
        <f>IF(F569="ALPHA",PR!$E567,IF(F569="ASSENE",PR!$F567,IF(F569="BIOFEM",PR!$G567,IF(F569="BIOMED",PR!$H567,IF(F569="CHI",PR!$I567,IF(F569="CLARION",PR!$J567,IF(F569="CODIX",PR!$K567,IF(F569="COSMADE",PR!$L567,IF(F569="SANCON",PR!$M567,IF(F569="DEVON",PR!$N567,IF(F569="DORTEMAG",PR!$O567,IF(F569="DGF",PR!$P567,IF(F569="DYNAMIC",PR!$Q567,IF(F569="EMZOR",PR!$R567,IF(F569="EUMATT",PR!$S567,IF(F569="FIDSON",PR!$T567,IF(F569="FCGLOBAL",PR!$U567,IF(F569="GENEITH",PR!$V567,IF(F569="GINOS",PR!$W567,IF(F569="GSK",PR!$X567,IF(F569="GLOBORG",PR!$Y567,IF(F569="GOODNEWS",PR!$Z567,IF(F569="GREENLIFE",PR!$AA567,IF(F569="HLINE",PR!$AB567,IF(F569="ROTECH",PR!$AC567,IF(F569="ISN",PR!$AD567,IF(F569="JAWA",PR!$AE567,IF(F569="LAYO",PR!$AF567,IF(F569="LEADWAY",PR!$AG567,IF(F569="LHV",PR!$AH567,IF(F569="MANOLA",PR!$AI567,IF(F569="MARCSON",PR!$AJ567,IF(F569="M&amp;B",PR!$AK567,IF(F569="MTRUST",PR!$AL567,IF(F569="MWORLD",PR!$AM567,IF(F569="MEGA",PR!$AN567,IF(F569="MICRONOVA",PR!$AO567,IF(F569="MFLASH",PR!$AP567,IF(F569="MORISON",PR!$AQ567,IF(F569="NEMEL",PR!$AR567,IF(F569="NHP",PR!$AS567,IF(F569="NHC",PR!$AT567,IF(F569="OLEAF",PR!$AU567,IF(F569="OCULUS",PR!$AV567,IF(F569="PACIFIC",PR!$AW567,IF(F569="PHAMATEX",PR!$AX567,IF(F569="PETHICS",PR!$AY567,IF(F569="PHILIPS",PR!$AZ567,IF(F569="RANBAXY",PR!$BA567,IF(F569="REALS",PR!$BB567,IF(F569="ROYAL",PR!$BC567,IF(F569="SAM",PR!$BD567,IF(F569="SEAGREEN",PR!$BE567,IF(F569="SKG",PR!$BF567,IF(F569="TAH",PR!$BG567,IF(F569="TAYLEK",PR!$BH567,IF(F569="TEMITA",PR!$BI567,IF(F569="THL",PR!$BJ567,IF(F569="UBASTIC",PR!$BK567,IF(F569="UNION",PR!$BL567,IF(F569="UNIQUE",PR!$BM567,IF(F569="VIXA",PR!$BN567,IF(F569="WWCV",PR!$BO567,IF(F569="ZOLON",PR!$BP567,"-"))))))))))))))))))))))))))))))))))))))))))))))))))))))))))))))))</f>
        <v>500</v>
      </c>
      <c r="F569" s="102" t="str">
        <f>EV!L721</f>
        <v>MICRONOVA</v>
      </c>
      <c r="G569" s="108">
        <f>IF(H569="ALPHA",PR!$E567,IF(H569="ASSENE",PR!$F567,IF(H569="BIOFEM",PR!$G567,IF(H569="BIOMED",PR!$H567,IF(H569="CHI",PR!$I567,IF(H569="CLARION",PR!$J567,IF(H569="CODIX",PR!$K567,IF(H569="COSMADE",PR!$L567,IF(H569="SANCON",PR!$M567,IF(H569="DEVON",PR!$N567,IF(H569="DORTEMAG",PR!$O567,IF(H569="DGF",PR!$P567,IF(H569="DYNAMIC",PR!$Q567,IF(H569="EMZOR",PR!$R567,IF(H569="EUMATT",PR!$S567,IF(H569="FIDSON",PR!$T567,IF(H569="FCGLOBAL",PR!$U567,IF(H569="GENEITH",PR!$V567,IF(H569="GINOS",PR!$W567,IF(H569="GSK",PR!$X567,IF(H569="GLOBORG",PR!$Y567,IF(H569="GOODNEWS",PR!$Z567,IF(H569="GREENLIFE",PR!$AA567,IF(H569="HLINE",PR!$AB567,IF(H569="ROTECH",PR!$AC567,IF(H569="ISN",PR!$AD567,IF(H569="JAWA",PR!$AE567,IF(H569="LAYO",PR!$AF567,IF(H569="LEADWAY",PR!$AG567,IF(H569="LHV",PR!$AH567,IF(H569="MANOLA",PR!$AI567,IF(H569="MARCSON",PR!$AJ567,IF(H569="M&amp;B",PR!$AK567,IF(H569="MTRUST",PR!$AL567,IF(H569="MWORLD",PR!$AM567,IF(H569="MEGA",PR!$AN567,IF(H569="MICRONOVA",PR!$AO567,IF(H569="MFLASH",PR!$AP567,IF(H569="MORISON",PR!$AQ567,IF(H569="NEMEL",PR!$AR567,IF(H569="NHP",PR!$AS567,IF(H569="NHC",PR!$AT567,IF(H569="OLEAF",PR!$AU567,IF(H569="OCULUS",PR!$AV567,IF(H569="PACIFIC",PR!$AW567,IF(H569="PHAMATEX",PR!$AX567,IF(H569="PETHICS",PR!$AY567,IF(H569="PHILIPS",PR!$AZ567,IF(H569="RANBAXY",PR!$BA567,IF(H569="REALS",PR!$BB567,IF(H569="ROYAL",PR!$BC567,IF(H569="SAM",PR!$BD567,IF(H569="SEAGREEN",PR!$BE567,IF(H569="SKG",PR!$BF567,IF(H569="TAH",PR!$BG567,IF(H569="TAYLEK",PR!$BH567,IF(H569="TEMITA",PR!$BI567,IF(H569="THL",PR!$BJ567,IF(H569="UBASTIC",PR!$BK567,IF(H569="UNION",PR!$BL567,IF(H569="UNIQUE",PR!$BM567,IF(H569="VIXA",PR!$BN567,IF(H569="WWCV",PR!$BO567,IF(H569="ZOLON",PR!$BP567,"-"))))))))))))))))))))))))))))))))))))))))))))))))))))))))))))))))</f>
        <v>573</v>
      </c>
      <c r="H569" s="102" t="str">
        <f>EV!M721</f>
        <v>DORTEMAG</v>
      </c>
      <c r="I569" s="108">
        <f>IF(J569="ALPHA",PR!$E567,IF(J569="ASSENE",PR!$F567,IF(J569="BIOFEM",PR!$G567,IF(J569="BIOMED",PR!$H567,IF(J569="CHI",PR!$I567,IF(J569="CLARION",PR!$J567,IF(J569="CODIX",PR!$K567,IF(J569="COSMADE",PR!$L567,IF(J569="SANCON",PR!$M567,IF(J569="DEVON",PR!$N567,IF(J569="DORTEMAG",PR!$O567,IF(J569="DGF",PR!$P567,IF(J569="DYNAMIC",PR!$Q567,IF(J569="EMZOR",PR!$R567,IF(J569="EUMATT",PR!$S567,IF(J569="FIDSON",PR!$T567,IF(J569="FCGLOBAL",PR!$U567,IF(J569="GENEITH",PR!$V567,IF(J569="GINOS",PR!$W567,IF(J569="GSK",PR!$X567,IF(J569="GLOBORG",PR!$Y567,IF(J569="GOODNEWS",PR!$Z567,IF(J569="GREENLIFE",PR!$AA567,IF(J569="HLINE",PR!$AB567,IF(J569="ROTECH",PR!$AC567,IF(J569="ISN",PR!$AD567,IF(J569="JAWA",PR!$AE567,IF(J569="LAYO",PR!$AF567,IF(J569="LEADWAY",PR!$AG567,IF(J569="LHV",PR!$AH567,IF(J569="MANOLA",PR!$AI567,IF(J569="MARCSON",PR!$AJ567,IF(J569="M&amp;B",PR!$AK567,IF(J569="MTRUST",PR!$AL567,IF(J569="MWORLD",PR!$AM567,IF(J569="MEGA",PR!$AN567,IF(J569="MICRONOVA",PR!$AO567,IF(J569="MFLASH",PR!$AP567,IF(J569="MORISON",PR!$AQ567,IF(J569="NEMEL",PR!$AR567,IF(J569="NHP",PR!$AS567,IF(J569="NHC",PR!$AT567,IF(J569="OLEAF",PR!$AU567,IF(J569="OCULUS",PR!$AV567,IF(J569="PACIFIC",PR!$AW567,IF(J569="PHAMATEX",PR!$AX567,IF(J569="PETHICS",PR!$AY567,IF(J569="PHILIPS",PR!$AZ567,IF(J569="RANBAXY",PR!$BA567,IF(J569="REALS",PR!$BB567,IF(J569="ROYAL",PR!$BC567,IF(J569="SAM",PR!$BD567,IF(J569="SEAGREEN",PR!$BE567,IF(J569="SKG",PR!$BF567,IF(J569="TAH",PR!$BG567,IF(J569="TAYLEK",PR!$BH567,IF(J569="TEMITA",PR!$BI567,IF(J569="THL",PR!$BJ567,IF(J569="UBASTIC",PR!$BK567,IF(J569="UNION",PR!$BL567,IF(J569="UNIQUE",PR!$BM567,IF(J569="VIXA",PR!$BN567,IF(J569="WWCV",PR!$BO567,IF(J569="ZOLON",PR!$BP567,"-"))))))))))))))))))))))))))))))))))))))))))))))))))))))))))))))))</f>
        <v>700</v>
      </c>
      <c r="J569" s="102" t="str">
        <f>EV!N721</f>
        <v>EUMATT</v>
      </c>
      <c r="K569" s="433" t="s">
        <v>828</v>
      </c>
      <c r="L569" s="183">
        <f>IF(K569&gt;0,IF(K569="ALPHA",PR!$E567,IF(K569="ASSENE",PR!$F567,IF(K569="BIOFEM",PR!$G567,IF(K569="BIOMED",PR!$H567,IF(K569="CHI",PR!$I567,IF(K569="CLARION",PR!$J567,IF(K569="CODIX",PR!$K567,IF(K569="COSMADE",PR!$L567,IF(K569="SANCON",PR!$M567,IF(K569="DEVON",PR!$N567,IF(K569="DORTEMAG",PR!$O567,IF(K569="DGF",PR!$P567,IF(K569="DYNAMIC",PR!$Q567,IF(K569="EMZOR",PR!$R567,IF(K569="EUMATT",PR!$S567,IF(K569="FIDSON",PR!$T567,IF(K569="FCGLOBAL",PR!$U567,IF(K569="GENEITH",PR!$V567,IF(K569="GINOS",PR!$W567,IF(K569="GSK",PR!$X567,IF(K569="GLOBORG",PR!$Y567,IF(K569="GOODNEWS",PR!$Z567,IF(K569="GREENLIFE",PR!$AA567,IF(K569="HLINE",PR!$AB567,IF(K569="ROTECH",PR!$AC567,IF(K569="ISN",PR!$AD567,IF(K569="JAWA",PR!$AE567,IF(K569="LAYO",PR!$AF567,IF(K569="LEADWAY",PR!$AG567,IF(K569="LHV",PR!$AH567,IF(K569="MANOLA",PR!$AI567,IF(K569="MARCSON",PR!$AJ567,IF(K569="M&amp;B",PR!$AK567,IF(K569="MTRUST",PR!$AL567,IF(K569="MWORLD",PR!$AM567,IF(K569="MEGA",PR!$AN567,IF(K569="MICRONOVA",PR!$AO567,IF(K569="MFLASH",PR!$AP567,IF(K569="MORISON",PR!$AQ567,IF(K569="NEMEL",PR!$AR567,IF(K569="NHP",PR!$AS567,IF(K569="NHC",PR!$AT567,IF(K569="OLEAF",PR!$AU567,IF(K569="OCULUS",PR!$AV567,IF(K569="PACIFIC",PR!$AW567,IF(K569="PHAMATEX",PR!$AX567,IF(K569="PETHICS",PR!$AY567,IF(K569="PHILIPS",PR!$AZ567,IF(K569="RANBAXY",PR!$BA567,IF(K569="REALS",PR!$BB567,IF(K569="ROYAL",PR!$BC567,IF(K569="SAM",PR!$BD567,IF(K569="SEAGREEN",PR!$BE567,IF(K569="SKG",PR!$BF567,IF(K569="TAH",PR!$BG567,IF(K569="TAYLEK",PR!$BH567,IF(K569="TEMITA",PR!$BI567,IF(K569="THL",PR!$BJ567,IF(K569="UBASTIC",PR!$BK567,IF(K569="UNION",PR!$BL567,IF(K569="UNIQUE",PR!$BM567,IF(K569="VIXA",PR!$BN567,IF(K569="WWCV",PR!$BO567,IF(K569="ZOLON",PR!$BP567,"-")))))))))))))))))))))))))))))))))))))))))))))))))))))))))))))))))</f>
        <v>573</v>
      </c>
    </row>
    <row r="570" spans="1:12" ht="18.75" x14ac:dyDescent="0.3">
      <c r="A570" s="430">
        <f>PR!A568</f>
        <v>513</v>
      </c>
      <c r="B570" s="15" t="str">
        <f>PR!B568</f>
        <v>GENTAMYCIN EYE DROP</v>
      </c>
      <c r="C570" s="113" t="str">
        <f>PR!D568</f>
        <v>BOTT</v>
      </c>
      <c r="D570" s="113">
        <f>PR!C568</f>
        <v>200</v>
      </c>
      <c r="E570" s="108">
        <f>IF(F570="ALPHA",PR!$E568,IF(F570="ASSENE",PR!$F568,IF(F570="BIOFEM",PR!$G568,IF(F570="BIOMED",PR!$H568,IF(F570="CHI",PR!$I568,IF(F570="CLARION",PR!$J568,IF(F570="CODIX",PR!$K568,IF(F570="COSMADE",PR!$L568,IF(F570="SANCON",PR!$M568,IF(F570="DEVON",PR!$N568,IF(F570="DORTEMAG",PR!$O568,IF(F570="DGF",PR!$P568,IF(F570="DYNAMIC",PR!$Q568,IF(F570="EMZOR",PR!$R568,IF(F570="EUMATT",PR!$S568,IF(F570="FIDSON",PR!$T568,IF(F570="FCGLOBAL",PR!$U568,IF(F570="GENEITH",PR!$V568,IF(F570="GINOS",PR!$W568,IF(F570="GSK",PR!$X568,IF(F570="GLOBORG",PR!$Y568,IF(F570="GOODNEWS",PR!$Z568,IF(F570="GREENLIFE",PR!$AA568,IF(F570="HLINE",PR!$AB568,IF(F570="ROTECH",PR!$AC568,IF(F570="ISN",PR!$AD568,IF(F570="JAWA",PR!$AE568,IF(F570="LAYO",PR!$AF568,IF(F570="LEADWAY",PR!$AG568,IF(F570="LHV",PR!$AH568,IF(F570="MANOLA",PR!$AI568,IF(F570="MARCSON",PR!$AJ568,IF(F570="M&amp;B",PR!$AK568,IF(F570="MTRUST",PR!$AL568,IF(F570="MWORLD",PR!$AM568,IF(F570="MEGA",PR!$AN568,IF(F570="MICRONOVA",PR!$AO568,IF(F570="MFLASH",PR!$AP568,IF(F570="MORISON",PR!$AQ568,IF(F570="NEMEL",PR!$AR568,IF(F570="NHP",PR!$AS568,IF(F570="NHC",PR!$AT568,IF(F570="OLEAF",PR!$AU568,IF(F570="OCULUS",PR!$AV568,IF(F570="PACIFIC",PR!$AW568,IF(F570="PHAMATEX",PR!$AX568,IF(F570="PETHICS",PR!$AY568,IF(F570="PHILIPS",PR!$AZ568,IF(F570="RANBAXY",PR!$BA568,IF(F570="REALS",PR!$BB568,IF(F570="ROYAL",PR!$BC568,IF(F570="SAM",PR!$BD568,IF(F570="SEAGREEN",PR!$BE568,IF(F570="SKG",PR!$BF568,IF(F570="TAH",PR!$BG568,IF(F570="TAYLEK",PR!$BH568,IF(F570="TEMITA",PR!$BI568,IF(F570="THL",PR!$BJ568,IF(F570="UBASTIC",PR!$BK568,IF(F570="UNION",PR!$BL568,IF(F570="UNIQUE",PR!$BM568,IF(F570="VIXA",PR!$BN568,IF(F570="WWCV",PR!$BO568,IF(F570="ZOLON",PR!$BP568,"-"))))))))))))))))))))))))))))))))))))))))))))))))))))))))))))))))</f>
        <v>75</v>
      </c>
      <c r="F570" s="102" t="str">
        <f>EV!L722</f>
        <v>CLARION</v>
      </c>
      <c r="G570" s="108">
        <f>IF(H570="ALPHA",PR!$E568,IF(H570="ASSENE",PR!$F568,IF(H570="BIOFEM",PR!$G568,IF(H570="BIOMED",PR!$H568,IF(H570="CHI",PR!$I568,IF(H570="CLARION",PR!$J568,IF(H570="CODIX",PR!$K568,IF(H570="COSMADE",PR!$L568,IF(H570="SANCON",PR!$M568,IF(H570="DEVON",PR!$N568,IF(H570="DORTEMAG",PR!$O568,IF(H570="DGF",PR!$P568,IF(H570="DYNAMIC",PR!$Q568,IF(H570="EMZOR",PR!$R568,IF(H570="EUMATT",PR!$S568,IF(H570="FIDSON",PR!$T568,IF(H570="FCGLOBAL",PR!$U568,IF(H570="GENEITH",PR!$V568,IF(H570="GINOS",PR!$W568,IF(H570="GSK",PR!$X568,IF(H570="GLOBORG",PR!$Y568,IF(H570="GOODNEWS",PR!$Z568,IF(H570="GREENLIFE",PR!$AA568,IF(H570="HLINE",PR!$AB568,IF(H570="ROTECH",PR!$AC568,IF(H570="ISN",PR!$AD568,IF(H570="JAWA",PR!$AE568,IF(H570="LAYO",PR!$AF568,IF(H570="LEADWAY",PR!$AG568,IF(H570="LHV",PR!$AH568,IF(H570="MANOLA",PR!$AI568,IF(H570="MARCSON",PR!$AJ568,IF(H570="M&amp;B",PR!$AK568,IF(H570="MTRUST",PR!$AL568,IF(H570="MWORLD",PR!$AM568,IF(H570="MEGA",PR!$AN568,IF(H570="MICRONOVA",PR!$AO568,IF(H570="MFLASH",PR!$AP568,IF(H570="MORISON",PR!$AQ568,IF(H570="NEMEL",PR!$AR568,IF(H570="NHP",PR!$AS568,IF(H570="NHC",PR!$AT568,IF(H570="OLEAF",PR!$AU568,IF(H570="OCULUS",PR!$AV568,IF(H570="PACIFIC",PR!$AW568,IF(H570="PHAMATEX",PR!$AX568,IF(H570="PETHICS",PR!$AY568,IF(H570="PHILIPS",PR!$AZ568,IF(H570="RANBAXY",PR!$BA568,IF(H570="REALS",PR!$BB568,IF(H570="ROYAL",PR!$BC568,IF(H570="SAM",PR!$BD568,IF(H570="SEAGREEN",PR!$BE568,IF(H570="SKG",PR!$BF568,IF(H570="TAH",PR!$BG568,IF(H570="TAYLEK",PR!$BH568,IF(H570="TEMITA",PR!$BI568,IF(H570="THL",PR!$BJ568,IF(H570="UBASTIC",PR!$BK568,IF(H570="UNION",PR!$BL568,IF(H570="UNIQUE",PR!$BM568,IF(H570="VIXA",PR!$BN568,IF(H570="WWCV",PR!$BO568,IF(H570="ZOLON",PR!$BP568,"-"))))))))))))))))))))))))))))))))))))))))))))))))))))))))))))))))</f>
        <v>90</v>
      </c>
      <c r="H570" s="102" t="str">
        <f>EV!M722</f>
        <v>FIDSON</v>
      </c>
      <c r="I570" s="108">
        <f>IF(J570="ALPHA",PR!$E568,IF(J570="ASSENE",PR!$F568,IF(J570="BIOFEM",PR!$G568,IF(J570="BIOMED",PR!$H568,IF(J570="CHI",PR!$I568,IF(J570="CLARION",PR!$J568,IF(J570="CODIX",PR!$K568,IF(J570="COSMADE",PR!$L568,IF(J570="SANCON",PR!$M568,IF(J570="DEVON",PR!$N568,IF(J570="DORTEMAG",PR!$O568,IF(J570="DGF",PR!$P568,IF(J570="DYNAMIC",PR!$Q568,IF(J570="EMZOR",PR!$R568,IF(J570="EUMATT",PR!$S568,IF(J570="FIDSON",PR!$T568,IF(J570="FCGLOBAL",PR!$U568,IF(J570="GENEITH",PR!$V568,IF(J570="GINOS",PR!$W568,IF(J570="GSK",PR!$X568,IF(J570="GLOBORG",PR!$Y568,IF(J570="GOODNEWS",PR!$Z568,IF(J570="GREENLIFE",PR!$AA568,IF(J570="HLINE",PR!$AB568,IF(J570="ROTECH",PR!$AC568,IF(J570="ISN",PR!$AD568,IF(J570="JAWA",PR!$AE568,IF(J570="LAYO",PR!$AF568,IF(J570="LEADWAY",PR!$AG568,IF(J570="LHV",PR!$AH568,IF(J570="MANOLA",PR!$AI568,IF(J570="MARCSON",PR!$AJ568,IF(J570="M&amp;B",PR!$AK568,IF(J570="MTRUST",PR!$AL568,IF(J570="MWORLD",PR!$AM568,IF(J570="MEGA",PR!$AN568,IF(J570="MICRONOVA",PR!$AO568,IF(J570="MFLASH",PR!$AP568,IF(J570="MORISON",PR!$AQ568,IF(J570="NEMEL",PR!$AR568,IF(J570="NHP",PR!$AS568,IF(J570="NHC",PR!$AT568,IF(J570="OLEAF",PR!$AU568,IF(J570="OCULUS",PR!$AV568,IF(J570="PACIFIC",PR!$AW568,IF(J570="PHAMATEX",PR!$AX568,IF(J570="PETHICS",PR!$AY568,IF(J570="PHILIPS",PR!$AZ568,IF(J570="RANBAXY",PR!$BA568,IF(J570="REALS",PR!$BB568,IF(J570="ROYAL",PR!$BC568,IF(J570="SAM",PR!$BD568,IF(J570="SEAGREEN",PR!$BE568,IF(J570="SKG",PR!$BF568,IF(J570="TAH",PR!$BG568,IF(J570="TAYLEK",PR!$BH568,IF(J570="TEMITA",PR!$BI568,IF(J570="THL",PR!$BJ568,IF(J570="UBASTIC",PR!$BK568,IF(J570="UNION",PR!$BL568,IF(J570="UNIQUE",PR!$BM568,IF(J570="VIXA",PR!$BN568,IF(J570="WWCV",PR!$BO568,IF(J570="ZOLON",PR!$BP568,"-"))))))))))))))))))))))))))))))))))))))))))))))))))))))))))))))))</f>
        <v>100</v>
      </c>
      <c r="J570" s="102" t="str">
        <f>EV!N722</f>
        <v>DORTEMAG</v>
      </c>
      <c r="K570" s="433" t="s">
        <v>828</v>
      </c>
      <c r="L570" s="183">
        <f>IF(K570&gt;0,IF(K570="ALPHA",PR!$E568,IF(K570="ASSENE",PR!$F568,IF(K570="BIOFEM",PR!$G568,IF(K570="BIOMED",PR!$H568,IF(K570="CHI",PR!$I568,IF(K570="CLARION",PR!$J568,IF(K570="CODIX",PR!$K568,IF(K570="COSMADE",PR!$L568,IF(K570="SANCON",PR!$M568,IF(K570="DEVON",PR!$N568,IF(K570="DORTEMAG",PR!$O568,IF(K570="DGF",PR!$P568,IF(K570="DYNAMIC",PR!$Q568,IF(K570="EMZOR",PR!$R568,IF(K570="EUMATT",PR!$S568,IF(K570="FIDSON",PR!$T568,IF(K570="FCGLOBAL",PR!$U568,IF(K570="GENEITH",PR!$V568,IF(K570="GINOS",PR!$W568,IF(K570="GSK",PR!$X568,IF(K570="GLOBORG",PR!$Y568,IF(K570="GOODNEWS",PR!$Z568,IF(K570="GREENLIFE",PR!$AA568,IF(K570="HLINE",PR!$AB568,IF(K570="ROTECH",PR!$AC568,IF(K570="ISN",PR!$AD568,IF(K570="JAWA",PR!$AE568,IF(K570="LAYO",PR!$AF568,IF(K570="LEADWAY",PR!$AG568,IF(K570="LHV",PR!$AH568,IF(K570="MANOLA",PR!$AI568,IF(K570="MARCSON",PR!$AJ568,IF(K570="M&amp;B",PR!$AK568,IF(K570="MTRUST",PR!$AL568,IF(K570="MWORLD",PR!$AM568,IF(K570="MEGA",PR!$AN568,IF(K570="MICRONOVA",PR!$AO568,IF(K570="MFLASH",PR!$AP568,IF(K570="MORISON",PR!$AQ568,IF(K570="NEMEL",PR!$AR568,IF(K570="NHP",PR!$AS568,IF(K570="NHC",PR!$AT568,IF(K570="OLEAF",PR!$AU568,IF(K570="OCULUS",PR!$AV568,IF(K570="PACIFIC",PR!$AW568,IF(K570="PHAMATEX",PR!$AX568,IF(K570="PETHICS",PR!$AY568,IF(K570="PHILIPS",PR!$AZ568,IF(K570="RANBAXY",PR!$BA568,IF(K570="REALS",PR!$BB568,IF(K570="ROYAL",PR!$BC568,IF(K570="SAM",PR!$BD568,IF(K570="SEAGREEN",PR!$BE568,IF(K570="SKG",PR!$BF568,IF(K570="TAH",PR!$BG568,IF(K570="TAYLEK",PR!$BH568,IF(K570="TEMITA",PR!$BI568,IF(K570="THL",PR!$BJ568,IF(K570="UBASTIC",PR!$BK568,IF(K570="UNION",PR!$BL568,IF(K570="UNIQUE",PR!$BM568,IF(K570="VIXA",PR!$BN568,IF(K570="WWCV",PR!$BO568,IF(K570="ZOLON",PR!$BP568,"-")))))))))))))))))))))))))))))))))))))))))))))))))))))))))))))))))</f>
        <v>100</v>
      </c>
    </row>
    <row r="571" spans="1:12" ht="18.75" x14ac:dyDescent="0.3">
      <c r="A571" s="430">
        <f>PR!A569</f>
        <v>514</v>
      </c>
      <c r="B571" s="15" t="str">
        <f>PR!B569</f>
        <v>HYDROXYPROPYLMETHYLCELLULOSE GTT</v>
      </c>
      <c r="C571" s="113" t="str">
        <f>PR!D569</f>
        <v>BOTT</v>
      </c>
      <c r="D571" s="113">
        <f>PR!C569</f>
        <v>600</v>
      </c>
      <c r="E571" s="108">
        <f>IF(F571="ALPHA",PR!$E569,IF(F571="ASSENE",PR!$F569,IF(F571="BIOFEM",PR!$G569,IF(F571="BIOMED",PR!$H569,IF(F571="CHI",PR!$I569,IF(F571="CLARION",PR!$J569,IF(F571="CODIX",PR!$K569,IF(F571="COSMADE",PR!$L569,IF(F571="SANCON",PR!$M569,IF(F571="DEVON",PR!$N569,IF(F571="DORTEMAG",PR!$O569,IF(F571="DGF",PR!$P569,IF(F571="DYNAMIC",PR!$Q569,IF(F571="EMZOR",PR!$R569,IF(F571="EUMATT",PR!$S569,IF(F571="FIDSON",PR!$T569,IF(F571="FCGLOBAL",PR!$U569,IF(F571="GENEITH",PR!$V569,IF(F571="GINOS",PR!$W569,IF(F571="GSK",PR!$X569,IF(F571="GLOBORG",PR!$Y569,IF(F571="GOODNEWS",PR!$Z569,IF(F571="GREENLIFE",PR!$AA569,IF(F571="HLINE",PR!$AB569,IF(F571="ROTECH",PR!$AC569,IF(F571="ISN",PR!$AD569,IF(F571="JAWA",PR!$AE569,IF(F571="LAYO",PR!$AF569,IF(F571="LEADWAY",PR!$AG569,IF(F571="LHV",PR!$AH569,IF(F571="MANOLA",PR!$AI569,IF(F571="MARCSON",PR!$AJ569,IF(F571="M&amp;B",PR!$AK569,IF(F571="MTRUST",PR!$AL569,IF(F571="MWORLD",PR!$AM569,IF(F571="MEGA",PR!$AN569,IF(F571="MICRONOVA",PR!$AO569,IF(F571="MFLASH",PR!$AP569,IF(F571="MORISON",PR!$AQ569,IF(F571="NEMEL",PR!$AR569,IF(F571="NHP",PR!$AS569,IF(F571="NHC",PR!$AT569,IF(F571="OLEAF",PR!$AU569,IF(F571="OCULUS",PR!$AV569,IF(F571="PACIFIC",PR!$AW569,IF(F571="PHAMATEX",PR!$AX569,IF(F571="PETHICS",PR!$AY569,IF(F571="PHILIPS",PR!$AZ569,IF(F571="RANBAXY",PR!$BA569,IF(F571="REALS",PR!$BB569,IF(F571="ROYAL",PR!$BC569,IF(F571="SAM",PR!$BD569,IF(F571="SEAGREEN",PR!$BE569,IF(F571="SKG",PR!$BF569,IF(F571="TAH",PR!$BG569,IF(F571="TAYLEK",PR!$BH569,IF(F571="TEMITA",PR!$BI569,IF(F571="THL",PR!$BJ569,IF(F571="UBASTIC",PR!$BK569,IF(F571="UNION",PR!$BL569,IF(F571="UNIQUE",PR!$BM569,IF(F571="VIXA",PR!$BN569,IF(F571="WWCV",PR!$BO569,IF(F571="ZOLON",PR!$BP569,"-"))))))))))))))))))))))))))))))))))))))))))))))))))))))))))))))))</f>
        <v>572</v>
      </c>
      <c r="F571" s="102" t="str">
        <f>EV!L723</f>
        <v>DORTEMAG</v>
      </c>
      <c r="G571" s="108">
        <f>IF(H571="ALPHA",PR!$E569,IF(H571="ASSENE",PR!$F569,IF(H571="BIOFEM",PR!$G569,IF(H571="BIOMED",PR!$H569,IF(H571="CHI",PR!$I569,IF(H571="CLARION",PR!$J569,IF(H571="CODIX",PR!$K569,IF(H571="COSMADE",PR!$L569,IF(H571="SANCON",PR!$M569,IF(H571="DEVON",PR!$N569,IF(H571="DORTEMAG",PR!$O569,IF(H571="DGF",PR!$P569,IF(H571="DYNAMIC",PR!$Q569,IF(H571="EMZOR",PR!$R569,IF(H571="EUMATT",PR!$S569,IF(H571="FIDSON",PR!$T569,IF(H571="FCGLOBAL",PR!$U569,IF(H571="GENEITH",PR!$V569,IF(H571="GINOS",PR!$W569,IF(H571="GSK",PR!$X569,IF(H571="GLOBORG",PR!$Y569,IF(H571="GOODNEWS",PR!$Z569,IF(H571="GREENLIFE",PR!$AA569,IF(H571="HLINE",PR!$AB569,IF(H571="ROTECH",PR!$AC569,IF(H571="ISN",PR!$AD569,IF(H571="JAWA",PR!$AE569,IF(H571="LAYO",PR!$AF569,IF(H571="LEADWAY",PR!$AG569,IF(H571="LHV",PR!$AH569,IF(H571="MANOLA",PR!$AI569,IF(H571="MARCSON",PR!$AJ569,IF(H571="M&amp;B",PR!$AK569,IF(H571="MTRUST",PR!$AL569,IF(H571="MWORLD",PR!$AM569,IF(H571="MEGA",PR!$AN569,IF(H571="MICRONOVA",PR!$AO569,IF(H571="MFLASH",PR!$AP569,IF(H571="MORISON",PR!$AQ569,IF(H571="NEMEL",PR!$AR569,IF(H571="NHP",PR!$AS569,IF(H571="NHC",PR!$AT569,IF(H571="OLEAF",PR!$AU569,IF(H571="OCULUS",PR!$AV569,IF(H571="PACIFIC",PR!$AW569,IF(H571="PHAMATEX",PR!$AX569,IF(H571="PETHICS",PR!$AY569,IF(H571="PHILIPS",PR!$AZ569,IF(H571="RANBAXY",PR!$BA569,IF(H571="REALS",PR!$BB569,IF(H571="ROYAL",PR!$BC569,IF(H571="SAM",PR!$BD569,IF(H571="SEAGREEN",PR!$BE569,IF(H571="SKG",PR!$BF569,IF(H571="TAH",PR!$BG569,IF(H571="TAYLEK",PR!$BH569,IF(H571="TEMITA",PR!$BI569,IF(H571="THL",PR!$BJ569,IF(H571="UBASTIC",PR!$BK569,IF(H571="UNION",PR!$BL569,IF(H571="UNIQUE",PR!$BM569,IF(H571="VIXA",PR!$BN569,IF(H571="WWCV",PR!$BO569,IF(H571="ZOLON",PR!$BP569,"-"))))))))))))))))))))))))))))))))))))))))))))))))))))))))))))))))</f>
        <v>700</v>
      </c>
      <c r="H571" s="102" t="str">
        <f>EV!M723</f>
        <v>EUMATT</v>
      </c>
      <c r="I571" s="108" t="str">
        <f>IF(J571="ALPHA",PR!$E569,IF(J571="ASSENE",PR!$F569,IF(J571="BIOFEM",PR!$G569,IF(J571="BIOMED",PR!$H569,IF(J571="CHI",PR!$I569,IF(J571="CLARION",PR!$J569,IF(J571="CODIX",PR!$K569,IF(J571="COSMADE",PR!$L569,IF(J571="SANCON",PR!$M569,IF(J571="DEVON",PR!$N569,IF(J571="DORTEMAG",PR!$O569,IF(J571="DGF",PR!$P569,IF(J571="DYNAMIC",PR!$Q569,IF(J571="EMZOR",PR!$R569,IF(J571="EUMATT",PR!$S569,IF(J571="FIDSON",PR!$T569,IF(J571="FCGLOBAL",PR!$U569,IF(J571="GENEITH",PR!$V569,IF(J571="GINOS",PR!$W569,IF(J571="GSK",PR!$X569,IF(J571="GLOBORG",PR!$Y569,IF(J571="GOODNEWS",PR!$Z569,IF(J571="GREENLIFE",PR!$AA569,IF(J571="HLINE",PR!$AB569,IF(J571="ROTECH",PR!$AC569,IF(J571="ISN",PR!$AD569,IF(J571="JAWA",PR!$AE569,IF(J571="LAYO",PR!$AF569,IF(J571="LEADWAY",PR!$AG569,IF(J571="LHV",PR!$AH569,IF(J571="MANOLA",PR!$AI569,IF(J571="MARCSON",PR!$AJ569,IF(J571="M&amp;B",PR!$AK569,IF(J571="MTRUST",PR!$AL569,IF(J571="MWORLD",PR!$AM569,IF(J571="MEGA",PR!$AN569,IF(J571="MICRONOVA",PR!$AO569,IF(J571="MFLASH",PR!$AP569,IF(J571="MORISON",PR!$AQ569,IF(J571="NEMEL",PR!$AR569,IF(J571="NHP",PR!$AS569,IF(J571="NHC",PR!$AT569,IF(J571="OLEAF",PR!$AU569,IF(J571="OCULUS",PR!$AV569,IF(J571="PACIFIC",PR!$AW569,IF(J571="PHAMATEX",PR!$AX569,IF(J571="PETHICS",PR!$AY569,IF(J571="PHILIPS",PR!$AZ569,IF(J571="RANBAXY",PR!$BA569,IF(J571="REALS",PR!$BB569,IF(J571="ROYAL",PR!$BC569,IF(J571="SAM",PR!$BD569,IF(J571="SEAGREEN",PR!$BE569,IF(J571="SKG",PR!$BF569,IF(J571="TAH",PR!$BG569,IF(J571="TAYLEK",PR!$BH569,IF(J571="TEMITA",PR!$BI569,IF(J571="THL",PR!$BJ569,IF(J571="UBASTIC",PR!$BK569,IF(J571="UNION",PR!$BL569,IF(J571="UNIQUE",PR!$BM569,IF(J571="VIXA",PR!$BN569,IF(J571="WWCV",PR!$BO569,IF(J571="ZOLON",PR!$BP569,"-"))))))))))))))))))))))))))))))))))))))))))))))))))))))))))))))))</f>
        <v>-</v>
      </c>
      <c r="J571" s="102">
        <f>EV!N723</f>
        <v>0</v>
      </c>
      <c r="K571" s="433" t="s">
        <v>828</v>
      </c>
      <c r="L571" s="183">
        <f>IF(K571&gt;0,IF(K571="ALPHA",PR!$E569,IF(K571="ASSENE",PR!$F569,IF(K571="BIOFEM",PR!$G569,IF(K571="BIOMED",PR!$H569,IF(K571="CHI",PR!$I569,IF(K571="CLARION",PR!$J569,IF(K571="CODIX",PR!$K569,IF(K571="COSMADE",PR!$L569,IF(K571="SANCON",PR!$M569,IF(K571="DEVON",PR!$N569,IF(K571="DORTEMAG",PR!$O569,IF(K571="DGF",PR!$P569,IF(K571="DYNAMIC",PR!$Q569,IF(K571="EMZOR",PR!$R569,IF(K571="EUMATT",PR!$S569,IF(K571="FIDSON",PR!$T569,IF(K571="FCGLOBAL",PR!$U569,IF(K571="GENEITH",PR!$V569,IF(K571="GINOS",PR!$W569,IF(K571="GSK",PR!$X569,IF(K571="GLOBORG",PR!$Y569,IF(K571="GOODNEWS",PR!$Z569,IF(K571="GREENLIFE",PR!$AA569,IF(K571="HLINE",PR!$AB569,IF(K571="ROTECH",PR!$AC569,IF(K571="ISN",PR!$AD569,IF(K571="JAWA",PR!$AE569,IF(K571="LAYO",PR!$AF569,IF(K571="LEADWAY",PR!$AG569,IF(K571="LHV",PR!$AH569,IF(K571="MANOLA",PR!$AI569,IF(K571="MARCSON",PR!$AJ569,IF(K571="M&amp;B",PR!$AK569,IF(K571="MTRUST",PR!$AL569,IF(K571="MWORLD",PR!$AM569,IF(K571="MEGA",PR!$AN569,IF(K571="MICRONOVA",PR!$AO569,IF(K571="MFLASH",PR!$AP569,IF(K571="MORISON",PR!$AQ569,IF(K571="NEMEL",PR!$AR569,IF(K571="NHP",PR!$AS569,IF(K571="NHC",PR!$AT569,IF(K571="OLEAF",PR!$AU569,IF(K571="OCULUS",PR!$AV569,IF(K571="PACIFIC",PR!$AW569,IF(K571="PHAMATEX",PR!$AX569,IF(K571="PETHICS",PR!$AY569,IF(K571="PHILIPS",PR!$AZ569,IF(K571="RANBAXY",PR!$BA569,IF(K571="REALS",PR!$BB569,IF(K571="ROYAL",PR!$BC569,IF(K571="SAM",PR!$BD569,IF(K571="SEAGREEN",PR!$BE569,IF(K571="SKG",PR!$BF569,IF(K571="TAH",PR!$BG569,IF(K571="TAYLEK",PR!$BH569,IF(K571="TEMITA",PR!$BI569,IF(K571="THL",PR!$BJ569,IF(K571="UBASTIC",PR!$BK569,IF(K571="UNION",PR!$BL569,IF(K571="UNIQUE",PR!$BM569,IF(K571="VIXA",PR!$BN569,IF(K571="WWCV",PR!$BO569,IF(K571="ZOLON",PR!$BP569,"-")))))))))))))))))))))))))))))))))))))))))))))))))))))))))))))))))</f>
        <v>572</v>
      </c>
    </row>
    <row r="572" spans="1:12" ht="18.75" x14ac:dyDescent="0.3">
      <c r="A572" s="430">
        <f>PR!A570</f>
        <v>515</v>
      </c>
      <c r="B572" s="15" t="str">
        <f>PR!B570</f>
        <v>KETOROLAC TROMETHAMINE GTT</v>
      </c>
      <c r="C572" s="113" t="str">
        <f>PR!D570</f>
        <v>BOTT</v>
      </c>
      <c r="D572" s="113">
        <f>PR!C570</f>
        <v>20</v>
      </c>
      <c r="E572" s="108">
        <f>IF(F572="ALPHA",PR!$E570,IF(F572="ASSENE",PR!$F570,IF(F572="BIOFEM",PR!$G570,IF(F572="BIOMED",PR!$H570,IF(F572="CHI",PR!$I570,IF(F572="CLARION",PR!$J570,IF(F572="CODIX",PR!$K570,IF(F572="COSMADE",PR!$L570,IF(F572="SANCON",PR!$M570,IF(F572="DEVON",PR!$N570,IF(F572="DORTEMAG",PR!$O570,IF(F572="DGF",PR!$P570,IF(F572="DYNAMIC",PR!$Q570,IF(F572="EMZOR",PR!$R570,IF(F572="EUMATT",PR!$S570,IF(F572="FIDSON",PR!$T570,IF(F572="FCGLOBAL",PR!$U570,IF(F572="GENEITH",PR!$V570,IF(F572="GINOS",PR!$W570,IF(F572="GSK",PR!$X570,IF(F572="GLOBORG",PR!$Y570,IF(F572="GOODNEWS",PR!$Z570,IF(F572="GREENLIFE",PR!$AA570,IF(F572="HLINE",PR!$AB570,IF(F572="ROTECH",PR!$AC570,IF(F572="ISN",PR!$AD570,IF(F572="JAWA",PR!$AE570,IF(F572="LAYO",PR!$AF570,IF(F572="LEADWAY",PR!$AG570,IF(F572="LHV",PR!$AH570,IF(F572="MANOLA",PR!$AI570,IF(F572="MARCSON",PR!$AJ570,IF(F572="M&amp;B",PR!$AK570,IF(F572="MTRUST",PR!$AL570,IF(F572="MWORLD",PR!$AM570,IF(F572="MEGA",PR!$AN570,IF(F572="MICRONOVA",PR!$AO570,IF(F572="MFLASH",PR!$AP570,IF(F572="MORISON",PR!$AQ570,IF(F572="NEMEL",PR!$AR570,IF(F572="NHP",PR!$AS570,IF(F572="NHC",PR!$AT570,IF(F572="OLEAF",PR!$AU570,IF(F572="OCULUS",PR!$AV570,IF(F572="PACIFIC",PR!$AW570,IF(F572="PHAMATEX",PR!$AX570,IF(F572="PETHICS",PR!$AY570,IF(F572="PHILIPS",PR!$AZ570,IF(F572="RANBAXY",PR!$BA570,IF(F572="REALS",PR!$BB570,IF(F572="ROYAL",PR!$BC570,IF(F572="SAM",PR!$BD570,IF(F572="SEAGREEN",PR!$BE570,IF(F572="SKG",PR!$BF570,IF(F572="TAH",PR!$BG570,IF(F572="TAYLEK",PR!$BH570,IF(F572="TEMITA",PR!$BI570,IF(F572="THL",PR!$BJ570,IF(F572="UBASTIC",PR!$BK570,IF(F572="UNION",PR!$BL570,IF(F572="UNIQUE",PR!$BM570,IF(F572="VIXA",PR!$BN570,IF(F572="WWCV",PR!$BO570,IF(F572="ZOLON",PR!$BP570,"-"))))))))))))))))))))))))))))))))))))))))))))))))))))))))))))))))</f>
        <v>650</v>
      </c>
      <c r="F572" s="102" t="str">
        <f>EV!L724</f>
        <v>MICRONOVA</v>
      </c>
      <c r="G572" s="108">
        <f>IF(H572="ALPHA",PR!$E570,IF(H572="ASSENE",PR!$F570,IF(H572="BIOFEM",PR!$G570,IF(H572="BIOMED",PR!$H570,IF(H572="CHI",PR!$I570,IF(H572="CLARION",PR!$J570,IF(H572="CODIX",PR!$K570,IF(H572="COSMADE",PR!$L570,IF(H572="SANCON",PR!$M570,IF(H572="DEVON",PR!$N570,IF(H572="DORTEMAG",PR!$O570,IF(H572="DGF",PR!$P570,IF(H572="DYNAMIC",PR!$Q570,IF(H572="EMZOR",PR!$R570,IF(H572="EUMATT",PR!$S570,IF(H572="FIDSON",PR!$T570,IF(H572="FCGLOBAL",PR!$U570,IF(H572="GENEITH",PR!$V570,IF(H572="GINOS",PR!$W570,IF(H572="GSK",PR!$X570,IF(H572="GLOBORG",PR!$Y570,IF(H572="GOODNEWS",PR!$Z570,IF(H572="GREENLIFE",PR!$AA570,IF(H572="HLINE",PR!$AB570,IF(H572="ROTECH",PR!$AC570,IF(H572="ISN",PR!$AD570,IF(H572="JAWA",PR!$AE570,IF(H572="LAYO",PR!$AF570,IF(H572="LEADWAY",PR!$AG570,IF(H572="LHV",PR!$AH570,IF(H572="MANOLA",PR!$AI570,IF(H572="MARCSON",PR!$AJ570,IF(H572="M&amp;B",PR!$AK570,IF(H572="MTRUST",PR!$AL570,IF(H572="MWORLD",PR!$AM570,IF(H572="MEGA",PR!$AN570,IF(H572="MICRONOVA",PR!$AO570,IF(H572="MFLASH",PR!$AP570,IF(H572="MORISON",PR!$AQ570,IF(H572="NEMEL",PR!$AR570,IF(H572="NHP",PR!$AS570,IF(H572="NHC",PR!$AT570,IF(H572="OLEAF",PR!$AU570,IF(H572="OCULUS",PR!$AV570,IF(H572="PACIFIC",PR!$AW570,IF(H572="PHAMATEX",PR!$AX570,IF(H572="PETHICS",PR!$AY570,IF(H572="PHILIPS",PR!$AZ570,IF(H572="RANBAXY",PR!$BA570,IF(H572="REALS",PR!$BB570,IF(H572="ROYAL",PR!$BC570,IF(H572="SAM",PR!$BD570,IF(H572="SEAGREEN",PR!$BE570,IF(H572="SKG",PR!$BF570,IF(H572="TAH",PR!$BG570,IF(H572="TAYLEK",PR!$BH570,IF(H572="TEMITA",PR!$BI570,IF(H572="THL",PR!$BJ570,IF(H572="UBASTIC",PR!$BK570,IF(H572="UNION",PR!$BL570,IF(H572="UNIQUE",PR!$BM570,IF(H572="VIXA",PR!$BN570,IF(H572="WWCV",PR!$BO570,IF(H572="ZOLON",PR!$BP570,"-"))))))))))))))))))))))))))))))))))))))))))))))))))))))))))))))))</f>
        <v>920</v>
      </c>
      <c r="H572" s="102" t="str">
        <f>EV!M724</f>
        <v>EUMATT</v>
      </c>
      <c r="I572" s="108" t="str">
        <f>IF(J572="ALPHA",PR!$E570,IF(J572="ASSENE",PR!$F570,IF(J572="BIOFEM",PR!$G570,IF(J572="BIOMED",PR!$H570,IF(J572="CHI",PR!$I570,IF(J572="CLARION",PR!$J570,IF(J572="CODIX",PR!$K570,IF(J572="COSMADE",PR!$L570,IF(J572="SANCON",PR!$M570,IF(J572="DEVON",PR!$N570,IF(J572="DORTEMAG",PR!$O570,IF(J572="DGF",PR!$P570,IF(J572="DYNAMIC",PR!$Q570,IF(J572="EMZOR",PR!$R570,IF(J572="EUMATT",PR!$S570,IF(J572="FIDSON",PR!$T570,IF(J572="FCGLOBAL",PR!$U570,IF(J572="GENEITH",PR!$V570,IF(J572="GINOS",PR!$W570,IF(J572="GSK",PR!$X570,IF(J572="GLOBORG",PR!$Y570,IF(J572="GOODNEWS",PR!$Z570,IF(J572="GREENLIFE",PR!$AA570,IF(J572="HLINE",PR!$AB570,IF(J572="ROTECH",PR!$AC570,IF(J572="ISN",PR!$AD570,IF(J572="JAWA",PR!$AE570,IF(J572="LAYO",PR!$AF570,IF(J572="LEADWAY",PR!$AG570,IF(J572="LHV",PR!$AH570,IF(J572="MANOLA",PR!$AI570,IF(J572="MARCSON",PR!$AJ570,IF(J572="M&amp;B",PR!$AK570,IF(J572="MTRUST",PR!$AL570,IF(J572="MWORLD",PR!$AM570,IF(J572="MEGA",PR!$AN570,IF(J572="MICRONOVA",PR!$AO570,IF(J572="MFLASH",PR!$AP570,IF(J572="MORISON",PR!$AQ570,IF(J572="NEMEL",PR!$AR570,IF(J572="NHP",PR!$AS570,IF(J572="NHC",PR!$AT570,IF(J572="OLEAF",PR!$AU570,IF(J572="OCULUS",PR!$AV570,IF(J572="PACIFIC",PR!$AW570,IF(J572="PHAMATEX",PR!$AX570,IF(J572="PETHICS",PR!$AY570,IF(J572="PHILIPS",PR!$AZ570,IF(J572="RANBAXY",PR!$BA570,IF(J572="REALS",PR!$BB570,IF(J572="ROYAL",PR!$BC570,IF(J572="SAM",PR!$BD570,IF(J572="SEAGREEN",PR!$BE570,IF(J572="SKG",PR!$BF570,IF(J572="TAH",PR!$BG570,IF(J572="TAYLEK",PR!$BH570,IF(J572="TEMITA",PR!$BI570,IF(J572="THL",PR!$BJ570,IF(J572="UBASTIC",PR!$BK570,IF(J572="UNION",PR!$BL570,IF(J572="UNIQUE",PR!$BM570,IF(J572="VIXA",PR!$BN570,IF(J572="WWCV",PR!$BO570,IF(J572="ZOLON",PR!$BP570,"-"))))))))))))))))))))))))))))))))))))))))))))))))))))))))))))))))</f>
        <v>-</v>
      </c>
      <c r="J572" s="102">
        <f>EV!N724</f>
        <v>0</v>
      </c>
      <c r="K572" s="433" t="s">
        <v>632</v>
      </c>
      <c r="L572" s="183">
        <f>IF(K572&gt;0,IF(K572="ALPHA",PR!$E570,IF(K572="ASSENE",PR!$F570,IF(K572="BIOFEM",PR!$G570,IF(K572="BIOMED",PR!$H570,IF(K572="CHI",PR!$I570,IF(K572="CLARION",PR!$J570,IF(K572="CODIX",PR!$K570,IF(K572="COSMADE",PR!$L570,IF(K572="SANCON",PR!$M570,IF(K572="DEVON",PR!$N570,IF(K572="DORTEMAG",PR!$O570,IF(K572="DGF",PR!$P570,IF(K572="DYNAMIC",PR!$Q570,IF(K572="EMZOR",PR!$R570,IF(K572="EUMATT",PR!$S570,IF(K572="FIDSON",PR!$T570,IF(K572="FCGLOBAL",PR!$U570,IF(K572="GENEITH",PR!$V570,IF(K572="GINOS",PR!$W570,IF(K572="GSK",PR!$X570,IF(K572="GLOBORG",PR!$Y570,IF(K572="GOODNEWS",PR!$Z570,IF(K572="GREENLIFE",PR!$AA570,IF(K572="HLINE",PR!$AB570,IF(K572="ROTECH",PR!$AC570,IF(K572="ISN",PR!$AD570,IF(K572="JAWA",PR!$AE570,IF(K572="LAYO",PR!$AF570,IF(K572="LEADWAY",PR!$AG570,IF(K572="LHV",PR!$AH570,IF(K572="MANOLA",PR!$AI570,IF(K572="MARCSON",PR!$AJ570,IF(K572="M&amp;B",PR!$AK570,IF(K572="MTRUST",PR!$AL570,IF(K572="MWORLD",PR!$AM570,IF(K572="MEGA",PR!$AN570,IF(K572="MICRONOVA",PR!$AO570,IF(K572="MFLASH",PR!$AP570,IF(K572="MORISON",PR!$AQ570,IF(K572="NEMEL",PR!$AR570,IF(K572="NHP",PR!$AS570,IF(K572="NHC",PR!$AT570,IF(K572="OLEAF",PR!$AU570,IF(K572="OCULUS",PR!$AV570,IF(K572="PACIFIC",PR!$AW570,IF(K572="PHAMATEX",PR!$AX570,IF(K572="PETHICS",PR!$AY570,IF(K572="PHILIPS",PR!$AZ570,IF(K572="RANBAXY",PR!$BA570,IF(K572="REALS",PR!$BB570,IF(K572="ROYAL",PR!$BC570,IF(K572="SAM",PR!$BD570,IF(K572="SEAGREEN",PR!$BE570,IF(K572="SKG",PR!$BF570,IF(K572="TAH",PR!$BG570,IF(K572="TAYLEK",PR!$BH570,IF(K572="TEMITA",PR!$BI570,IF(K572="THL",PR!$BJ570,IF(K572="UBASTIC",PR!$BK570,IF(K572="UNION",PR!$BL570,IF(K572="UNIQUE",PR!$BM570,IF(K572="VIXA",PR!$BN570,IF(K572="WWCV",PR!$BO570,IF(K572="ZOLON",PR!$BP570,"-")))))))))))))))))))))))))))))))))))))))))))))))))))))))))))))))))</f>
        <v>650</v>
      </c>
    </row>
    <row r="573" spans="1:12" ht="18.75" x14ac:dyDescent="0.3">
      <c r="A573" s="430">
        <f>PR!A571</f>
        <v>516</v>
      </c>
      <c r="B573" s="15" t="str">
        <f>PR!B571</f>
        <v>LATANOPROST 0.05%</v>
      </c>
      <c r="C573" s="113" t="str">
        <f>PR!D571</f>
        <v>BOTT</v>
      </c>
      <c r="D573" s="113">
        <f>PR!C571</f>
        <v>400</v>
      </c>
      <c r="E573" s="108">
        <f>IF(F573="ALPHA",PR!$E571,IF(F573="ASSENE",PR!$F571,IF(F573="BIOFEM",PR!$G571,IF(F573="BIOMED",PR!$H571,IF(F573="CHI",PR!$I571,IF(F573="CLARION",PR!$J571,IF(F573="CODIX",PR!$K571,IF(F573="COSMADE",PR!$L571,IF(F573="SANCON",PR!$M571,IF(F573="DEVON",PR!$N571,IF(F573="DORTEMAG",PR!$O571,IF(F573="DGF",PR!$P571,IF(F573="DYNAMIC",PR!$Q571,IF(F573="EMZOR",PR!$R571,IF(F573="EUMATT",PR!$S571,IF(F573="FIDSON",PR!$T571,IF(F573="FCGLOBAL",PR!$U571,IF(F573="GENEITH",PR!$V571,IF(F573="GINOS",PR!$W571,IF(F573="GSK",PR!$X571,IF(F573="GLOBORG",PR!$Y571,IF(F573="GOODNEWS",PR!$Z571,IF(F573="GREENLIFE",PR!$AA571,IF(F573="HLINE",PR!$AB571,IF(F573="ROTECH",PR!$AC571,IF(F573="ISN",PR!$AD571,IF(F573="JAWA",PR!$AE571,IF(F573="LAYO",PR!$AF571,IF(F573="LEADWAY",PR!$AG571,IF(F573="LHV",PR!$AH571,IF(F573="MANOLA",PR!$AI571,IF(F573="MARCSON",PR!$AJ571,IF(F573="M&amp;B",PR!$AK571,IF(F573="MTRUST",PR!$AL571,IF(F573="MWORLD",PR!$AM571,IF(F573="MEGA",PR!$AN571,IF(F573="MICRONOVA",PR!$AO571,IF(F573="MFLASH",PR!$AP571,IF(F573="MORISON",PR!$AQ571,IF(F573="NEMEL",PR!$AR571,IF(F573="NHP",PR!$AS571,IF(F573="NHC",PR!$AT571,IF(F573="OLEAF",PR!$AU571,IF(F573="OCULUS",PR!$AV571,IF(F573="PACIFIC",PR!$AW571,IF(F573="PHAMATEX",PR!$AX571,IF(F573="PETHICS",PR!$AY571,IF(F573="PHILIPS",PR!$AZ571,IF(F573="RANBAXY",PR!$BA571,IF(F573="REALS",PR!$BB571,IF(F573="ROYAL",PR!$BC571,IF(F573="SAM",PR!$BD571,IF(F573="SEAGREEN",PR!$BE571,IF(F573="SKG",PR!$BF571,IF(F573="TAH",PR!$BG571,IF(F573="TAYLEK",PR!$BH571,IF(F573="TEMITA",PR!$BI571,IF(F573="THL",PR!$BJ571,IF(F573="UBASTIC",PR!$BK571,IF(F573="UNION",PR!$BL571,IF(F573="UNIQUE",PR!$BM571,IF(F573="VIXA",PR!$BN571,IF(F573="WWCV",PR!$BO571,IF(F573="ZOLON",PR!$BP571,"-"))))))))))))))))))))))))))))))))))))))))))))))))))))))))))))))))</f>
        <v>2300</v>
      </c>
      <c r="F573" s="102" t="str">
        <f>EV!L725</f>
        <v>ZOLON</v>
      </c>
      <c r="G573" s="108">
        <f>IF(H573="ALPHA",PR!$E571,IF(H573="ASSENE",PR!$F571,IF(H573="BIOFEM",PR!$G571,IF(H573="BIOMED",PR!$H571,IF(H573="CHI",PR!$I571,IF(H573="CLARION",PR!$J571,IF(H573="CODIX",PR!$K571,IF(H573="COSMADE",PR!$L571,IF(H573="SANCON",PR!$M571,IF(H573="DEVON",PR!$N571,IF(H573="DORTEMAG",PR!$O571,IF(H573="DGF",PR!$P571,IF(H573="DYNAMIC",PR!$Q571,IF(H573="EMZOR",PR!$R571,IF(H573="EUMATT",PR!$S571,IF(H573="FIDSON",PR!$T571,IF(H573="FCGLOBAL",PR!$U571,IF(H573="GENEITH",PR!$V571,IF(H573="GINOS",PR!$W571,IF(H573="GSK",PR!$X571,IF(H573="GLOBORG",PR!$Y571,IF(H573="GOODNEWS",PR!$Z571,IF(H573="GREENLIFE",PR!$AA571,IF(H573="HLINE",PR!$AB571,IF(H573="ROTECH",PR!$AC571,IF(H573="ISN",PR!$AD571,IF(H573="JAWA",PR!$AE571,IF(H573="LAYO",PR!$AF571,IF(H573="LEADWAY",PR!$AG571,IF(H573="LHV",PR!$AH571,IF(H573="MANOLA",PR!$AI571,IF(H573="MARCSON",PR!$AJ571,IF(H573="M&amp;B",PR!$AK571,IF(H573="MTRUST",PR!$AL571,IF(H573="MWORLD",PR!$AM571,IF(H573="MEGA",PR!$AN571,IF(H573="MICRONOVA",PR!$AO571,IF(H573="MFLASH",PR!$AP571,IF(H573="MORISON",PR!$AQ571,IF(H573="NEMEL",PR!$AR571,IF(H573="NHP",PR!$AS571,IF(H573="NHC",PR!$AT571,IF(H573="OLEAF",PR!$AU571,IF(H573="OCULUS",PR!$AV571,IF(H573="PACIFIC",PR!$AW571,IF(H573="PHAMATEX",PR!$AX571,IF(H573="PETHICS",PR!$AY571,IF(H573="PHILIPS",PR!$AZ571,IF(H573="RANBAXY",PR!$BA571,IF(H573="REALS",PR!$BB571,IF(H573="ROYAL",PR!$BC571,IF(H573="SAM",PR!$BD571,IF(H573="SEAGREEN",PR!$BE571,IF(H573="SKG",PR!$BF571,IF(H573="TAH",PR!$BG571,IF(H573="TAYLEK",PR!$BH571,IF(H573="TEMITA",PR!$BI571,IF(H573="THL",PR!$BJ571,IF(H573="UBASTIC",PR!$BK571,IF(H573="UNION",PR!$BL571,IF(H573="UNIQUE",PR!$BM571,IF(H573="VIXA",PR!$BN571,IF(H573="WWCV",PR!$BO571,IF(H573="ZOLON",PR!$BP571,"-"))))))))))))))))))))))))))))))))))))))))))))))))))))))))))))))))</f>
        <v>2600</v>
      </c>
      <c r="H573" s="102" t="str">
        <f>EV!M725</f>
        <v>DGF</v>
      </c>
      <c r="I573" s="108">
        <f>IF(J573="ALPHA",PR!$E571,IF(J573="ASSENE",PR!$F571,IF(J573="BIOFEM",PR!$G571,IF(J573="BIOMED",PR!$H571,IF(J573="CHI",PR!$I571,IF(J573="CLARION",PR!$J571,IF(J573="CODIX",PR!$K571,IF(J573="COSMADE",PR!$L571,IF(J573="SANCON",PR!$M571,IF(J573="DEVON",PR!$N571,IF(J573="DORTEMAG",PR!$O571,IF(J573="DGF",PR!$P571,IF(J573="DYNAMIC",PR!$Q571,IF(J573="EMZOR",PR!$R571,IF(J573="EUMATT",PR!$S571,IF(J573="FIDSON",PR!$T571,IF(J573="FCGLOBAL",PR!$U571,IF(J573="GENEITH",PR!$V571,IF(J573="GINOS",PR!$W571,IF(J573="GSK",PR!$X571,IF(J573="GLOBORG",PR!$Y571,IF(J573="GOODNEWS",PR!$Z571,IF(J573="GREENLIFE",PR!$AA571,IF(J573="HLINE",PR!$AB571,IF(J573="ROTECH",PR!$AC571,IF(J573="ISN",PR!$AD571,IF(J573="JAWA",PR!$AE571,IF(J573="LAYO",PR!$AF571,IF(J573="LEADWAY",PR!$AG571,IF(J573="LHV",PR!$AH571,IF(J573="MANOLA",PR!$AI571,IF(J573="MARCSON",PR!$AJ571,IF(J573="M&amp;B",PR!$AK571,IF(J573="MTRUST",PR!$AL571,IF(J573="MWORLD",PR!$AM571,IF(J573="MEGA",PR!$AN571,IF(J573="MICRONOVA",PR!$AO571,IF(J573="MFLASH",PR!$AP571,IF(J573="MORISON",PR!$AQ571,IF(J573="NEMEL",PR!$AR571,IF(J573="NHP",PR!$AS571,IF(J573="NHC",PR!$AT571,IF(J573="OLEAF",PR!$AU571,IF(J573="OCULUS",PR!$AV571,IF(J573="PACIFIC",PR!$AW571,IF(J573="PHAMATEX",PR!$AX571,IF(J573="PETHICS",PR!$AY571,IF(J573="PHILIPS",PR!$AZ571,IF(J573="RANBAXY",PR!$BA571,IF(J573="REALS",PR!$BB571,IF(J573="ROYAL",PR!$BC571,IF(J573="SAM",PR!$BD571,IF(J573="SEAGREEN",PR!$BE571,IF(J573="SKG",PR!$BF571,IF(J573="TAH",PR!$BG571,IF(J573="TAYLEK",PR!$BH571,IF(J573="TEMITA",PR!$BI571,IF(J573="THL",PR!$BJ571,IF(J573="UBASTIC",PR!$BK571,IF(J573="UNION",PR!$BL571,IF(J573="UNIQUE",PR!$BM571,IF(J573="VIXA",PR!$BN571,IF(J573="WWCV",PR!$BO571,IF(J573="ZOLON",PR!$BP571,"-"))))))))))))))))))))))))))))))))))))))))))))))))))))))))))))))))</f>
        <v>2650</v>
      </c>
      <c r="J573" s="102" t="str">
        <f>EV!N725</f>
        <v>ALPHA</v>
      </c>
      <c r="K573" s="433" t="s">
        <v>1246</v>
      </c>
      <c r="L573" s="183">
        <f>IF(K573&gt;0,IF(K573="ALPHA",PR!$E571,IF(K573="ASSENE",PR!$F571,IF(K573="BIOFEM",PR!$G571,IF(K573="BIOMED",PR!$H571,IF(K573="CHI",PR!$I571,IF(K573="CLARION",PR!$J571,IF(K573="CODIX",PR!$K571,IF(K573="COSMADE",PR!$L571,IF(K573="SANCON",PR!$M571,IF(K573="DEVON",PR!$N571,IF(K573="DORTEMAG",PR!$O571,IF(K573="DGF",PR!$P571,IF(K573="DYNAMIC",PR!$Q571,IF(K573="EMZOR",PR!$R571,IF(K573="EUMATT",PR!$S571,IF(K573="FIDSON",PR!$T571,IF(K573="FCGLOBAL",PR!$U571,IF(K573="GENEITH",PR!$V571,IF(K573="GINOS",PR!$W571,IF(K573="GSK",PR!$X571,IF(K573="GLOBORG",PR!$Y571,IF(K573="GOODNEWS",PR!$Z571,IF(K573="GREENLIFE",PR!$AA571,IF(K573="HLINE",PR!$AB571,IF(K573="ROTECH",PR!$AC571,IF(K573="ISN",PR!$AD571,IF(K573="JAWA",PR!$AE571,IF(K573="LAYO",PR!$AF571,IF(K573="LEADWAY",PR!$AG571,IF(K573="LHV",PR!$AH571,IF(K573="MANOLA",PR!$AI571,IF(K573="MARCSON",PR!$AJ571,IF(K573="M&amp;B",PR!$AK571,IF(K573="MTRUST",PR!$AL571,IF(K573="MWORLD",PR!$AM571,IF(K573="MEGA",PR!$AN571,IF(K573="MICRONOVA",PR!$AO571,IF(K573="MFLASH",PR!$AP571,IF(K573="MORISON",PR!$AQ571,IF(K573="NEMEL",PR!$AR571,IF(K573="NHP",PR!$AS571,IF(K573="NHC",PR!$AT571,IF(K573="OLEAF",PR!$AU571,IF(K573="OCULUS",PR!$AV571,IF(K573="PACIFIC",PR!$AW571,IF(K573="PHAMATEX",PR!$AX571,IF(K573="PETHICS",PR!$AY571,IF(K573="PHILIPS",PR!$AZ571,IF(K573="RANBAXY",PR!$BA571,IF(K573="REALS",PR!$BB571,IF(K573="ROYAL",PR!$BC571,IF(K573="SAM",PR!$BD571,IF(K573="SEAGREEN",PR!$BE571,IF(K573="SKG",PR!$BF571,IF(K573="TAH",PR!$BG571,IF(K573="TAYLEK",PR!$BH571,IF(K573="TEMITA",PR!$BI571,IF(K573="THL",PR!$BJ571,IF(K573="UBASTIC",PR!$BK571,IF(K573="UNION",PR!$BL571,IF(K573="UNIQUE",PR!$BM571,IF(K573="VIXA",PR!$BN571,IF(K573="WWCV",PR!$BO571,IF(K573="ZOLON",PR!$BP571,"-")))))))))))))))))))))))))))))))))))))))))))))))))))))))))))))))))</f>
        <v>4069</v>
      </c>
    </row>
    <row r="574" spans="1:12" ht="18.75" x14ac:dyDescent="0.3">
      <c r="A574" s="430">
        <f>PR!A572</f>
        <v>517</v>
      </c>
      <c r="B574" s="15" t="str">
        <f>PR!B572</f>
        <v>LATANOPROST+TIMOLOL GTT</v>
      </c>
      <c r="C574" s="113" t="str">
        <f>PR!D572</f>
        <v>BOTT</v>
      </c>
      <c r="D574" s="113">
        <f>PR!C572</f>
        <v>300</v>
      </c>
      <c r="E574" s="108">
        <f>IF(F574="ALPHA",PR!$E572,IF(F574="ASSENE",PR!$F572,IF(F574="BIOFEM",PR!$G572,IF(F574="BIOMED",PR!$H572,IF(F574="CHI",PR!$I572,IF(F574="CLARION",PR!$J572,IF(F574="CODIX",PR!$K572,IF(F574="COSMADE",PR!$L572,IF(F574="SANCON",PR!$M572,IF(F574="DEVON",PR!$N572,IF(F574="DORTEMAG",PR!$O572,IF(F574="DGF",PR!$P572,IF(F574="DYNAMIC",PR!$Q572,IF(F574="EMZOR",PR!$R572,IF(F574="EUMATT",PR!$S572,IF(F574="FIDSON",PR!$T572,IF(F574="FCGLOBAL",PR!$U572,IF(F574="GENEITH",PR!$V572,IF(F574="GINOS",PR!$W572,IF(F574="GSK",PR!$X572,IF(F574="GLOBORG",PR!$Y572,IF(F574="GOODNEWS",PR!$Z572,IF(F574="GREENLIFE",PR!$AA572,IF(F574="HLINE",PR!$AB572,IF(F574="ROTECH",PR!$AC572,IF(F574="ISN",PR!$AD572,IF(F574="JAWA",PR!$AE572,IF(F574="LAYO",PR!$AF572,IF(F574="LEADWAY",PR!$AG572,IF(F574="LHV",PR!$AH572,IF(F574="MANOLA",PR!$AI572,IF(F574="MARCSON",PR!$AJ572,IF(F574="M&amp;B",PR!$AK572,IF(F574="MTRUST",PR!$AL572,IF(F574="MWORLD",PR!$AM572,IF(F574="MEGA",PR!$AN572,IF(F574="MICRONOVA",PR!$AO572,IF(F574="MFLASH",PR!$AP572,IF(F574="MORISON",PR!$AQ572,IF(F574="NEMEL",PR!$AR572,IF(F574="NHP",PR!$AS572,IF(F574="NHC",PR!$AT572,IF(F574="OLEAF",PR!$AU572,IF(F574="OCULUS",PR!$AV572,IF(F574="PACIFIC",PR!$AW572,IF(F574="PHAMATEX",PR!$AX572,IF(F574="PETHICS",PR!$AY572,IF(F574="PHILIPS",PR!$AZ572,IF(F574="RANBAXY",PR!$BA572,IF(F574="REALS",PR!$BB572,IF(F574="ROYAL",PR!$BC572,IF(F574="SAM",PR!$BD572,IF(F574="SEAGREEN",PR!$BE572,IF(F574="SKG",PR!$BF572,IF(F574="TAH",PR!$BG572,IF(F574="TAYLEK",PR!$BH572,IF(F574="TEMITA",PR!$BI572,IF(F574="THL",PR!$BJ572,IF(F574="UBASTIC",PR!$BK572,IF(F574="UNION",PR!$BL572,IF(F574="UNIQUE",PR!$BM572,IF(F574="VIXA",PR!$BN572,IF(F574="WWCV",PR!$BO572,IF(F574="ZOLON",PR!$BP572,"-"))))))))))))))))))))))))))))))))))))))))))))))))))))))))))))))))</f>
        <v>2950</v>
      </c>
      <c r="F574" s="102" t="str">
        <f>EV!L726</f>
        <v>ALPHA</v>
      </c>
      <c r="G574" s="108">
        <f>IF(H574="ALPHA",PR!$E572,IF(H574="ASSENE",PR!$F572,IF(H574="BIOFEM",PR!$G572,IF(H574="BIOMED",PR!$H572,IF(H574="CHI",PR!$I572,IF(H574="CLARION",PR!$J572,IF(H574="CODIX",PR!$K572,IF(H574="COSMADE",PR!$L572,IF(H574="SANCON",PR!$M572,IF(H574="DEVON",PR!$N572,IF(H574="DORTEMAG",PR!$O572,IF(H574="DGF",PR!$P572,IF(H574="DYNAMIC",PR!$Q572,IF(H574="EMZOR",PR!$R572,IF(H574="EUMATT",PR!$S572,IF(H574="FIDSON",PR!$T572,IF(H574="FCGLOBAL",PR!$U572,IF(H574="GENEITH",PR!$V572,IF(H574="GINOS",PR!$W572,IF(H574="GSK",PR!$X572,IF(H574="GLOBORG",PR!$Y572,IF(H574="GOODNEWS",PR!$Z572,IF(H574="GREENLIFE",PR!$AA572,IF(H574="HLINE",PR!$AB572,IF(H574="ROTECH",PR!$AC572,IF(H574="ISN",PR!$AD572,IF(H574="JAWA",PR!$AE572,IF(H574="LAYO",PR!$AF572,IF(H574="LEADWAY",PR!$AG572,IF(H574="LHV",PR!$AH572,IF(H574="MANOLA",PR!$AI572,IF(H574="MARCSON",PR!$AJ572,IF(H574="M&amp;B",PR!$AK572,IF(H574="MTRUST",PR!$AL572,IF(H574="MWORLD",PR!$AM572,IF(H574="MEGA",PR!$AN572,IF(H574="MICRONOVA",PR!$AO572,IF(H574="MFLASH",PR!$AP572,IF(H574="MORISON",PR!$AQ572,IF(H574="NEMEL",PR!$AR572,IF(H574="NHP",PR!$AS572,IF(H574="NHC",PR!$AT572,IF(H574="OLEAF",PR!$AU572,IF(H574="OCULUS",PR!$AV572,IF(H574="PACIFIC",PR!$AW572,IF(H574="PHAMATEX",PR!$AX572,IF(H574="PETHICS",PR!$AY572,IF(H574="PHILIPS",PR!$AZ572,IF(H574="RANBAXY",PR!$BA572,IF(H574="REALS",PR!$BB572,IF(H574="ROYAL",PR!$BC572,IF(H574="SAM",PR!$BD572,IF(H574="SEAGREEN",PR!$BE572,IF(H574="SKG",PR!$BF572,IF(H574="TAH",PR!$BG572,IF(H574="TAYLEK",PR!$BH572,IF(H574="TEMITA",PR!$BI572,IF(H574="THL",PR!$BJ572,IF(H574="UBASTIC",PR!$BK572,IF(H574="UNION",PR!$BL572,IF(H574="UNIQUE",PR!$BM572,IF(H574="VIXA",PR!$BN572,IF(H574="WWCV",PR!$BO572,IF(H574="ZOLON",PR!$BP572,"-"))))))))))))))))))))))))))))))))))))))))))))))))))))))))))))))))</f>
        <v>4069</v>
      </c>
      <c r="H574" s="102" t="str">
        <f>EV!M726</f>
        <v>WWCV</v>
      </c>
      <c r="I574" s="108">
        <f>IF(J574="ALPHA",PR!$E572,IF(J574="ASSENE",PR!$F572,IF(J574="BIOFEM",PR!$G572,IF(J574="BIOMED",PR!$H572,IF(J574="CHI",PR!$I572,IF(J574="CLARION",PR!$J572,IF(J574="CODIX",PR!$K572,IF(J574="COSMADE",PR!$L572,IF(J574="SANCON",PR!$M572,IF(J574="DEVON",PR!$N572,IF(J574="DORTEMAG",PR!$O572,IF(J574="DGF",PR!$P572,IF(J574="DYNAMIC",PR!$Q572,IF(J574="EMZOR",PR!$R572,IF(J574="EUMATT",PR!$S572,IF(J574="FIDSON",PR!$T572,IF(J574="FCGLOBAL",PR!$U572,IF(J574="GENEITH",PR!$V572,IF(J574="GINOS",PR!$W572,IF(J574="GSK",PR!$X572,IF(J574="GLOBORG",PR!$Y572,IF(J574="GOODNEWS",PR!$Z572,IF(J574="GREENLIFE",PR!$AA572,IF(J574="HLINE",PR!$AB572,IF(J574="ROTECH",PR!$AC572,IF(J574="ISN",PR!$AD572,IF(J574="JAWA",PR!$AE572,IF(J574="LAYO",PR!$AF572,IF(J574="LEADWAY",PR!$AG572,IF(J574="LHV",PR!$AH572,IF(J574="MANOLA",PR!$AI572,IF(J574="MARCSON",PR!$AJ572,IF(J574="M&amp;B",PR!$AK572,IF(J574="MTRUST",PR!$AL572,IF(J574="MWORLD",PR!$AM572,IF(J574="MEGA",PR!$AN572,IF(J574="MICRONOVA",PR!$AO572,IF(J574="MFLASH",PR!$AP572,IF(J574="MORISON",PR!$AQ572,IF(J574="NEMEL",PR!$AR572,IF(J574="NHP",PR!$AS572,IF(J574="NHC",PR!$AT572,IF(J574="OLEAF",PR!$AU572,IF(J574="OCULUS",PR!$AV572,IF(J574="PACIFIC",PR!$AW572,IF(J574="PHAMATEX",PR!$AX572,IF(J574="PETHICS",PR!$AY572,IF(J574="PHILIPS",PR!$AZ572,IF(J574="RANBAXY",PR!$BA572,IF(J574="REALS",PR!$BB572,IF(J574="ROYAL",PR!$BC572,IF(J574="SAM",PR!$BD572,IF(J574="SEAGREEN",PR!$BE572,IF(J574="SKG",PR!$BF572,IF(J574="TAH",PR!$BG572,IF(J574="TAYLEK",PR!$BH572,IF(J574="TEMITA",PR!$BI572,IF(J574="THL",PR!$BJ572,IF(J574="UBASTIC",PR!$BK572,IF(J574="UNION",PR!$BL572,IF(J574="UNIQUE",PR!$BM572,IF(J574="VIXA",PR!$BN572,IF(J574="WWCV",PR!$BO572,IF(J574="ZOLON",PR!$BP572,"-"))))))))))))))))))))))))))))))))))))))))))))))))))))))))))))))))</f>
        <v>4282</v>
      </c>
      <c r="J574" s="102" t="str">
        <f>EV!N726</f>
        <v>NHC</v>
      </c>
      <c r="K574" s="433" t="s">
        <v>1246</v>
      </c>
      <c r="L574" s="183">
        <f>IF(K574&gt;0,IF(K574="ALPHA",PR!$E572,IF(K574="ASSENE",PR!$F572,IF(K574="BIOFEM",PR!$G572,IF(K574="BIOMED",PR!$H572,IF(K574="CHI",PR!$I572,IF(K574="CLARION",PR!$J572,IF(K574="CODIX",PR!$K572,IF(K574="COSMADE",PR!$L572,IF(K574="SANCON",PR!$M572,IF(K574="DEVON",PR!$N572,IF(K574="DORTEMAG",PR!$O572,IF(K574="DGF",PR!$P572,IF(K574="DYNAMIC",PR!$Q572,IF(K574="EMZOR",PR!$R572,IF(K574="EUMATT",PR!$S572,IF(K574="FIDSON",PR!$T572,IF(K574="FCGLOBAL",PR!$U572,IF(K574="GENEITH",PR!$V572,IF(K574="GINOS",PR!$W572,IF(K574="GSK",PR!$X572,IF(K574="GLOBORG",PR!$Y572,IF(K574="GOODNEWS",PR!$Z572,IF(K574="GREENLIFE",PR!$AA572,IF(K574="HLINE",PR!$AB572,IF(K574="ROTECH",PR!$AC572,IF(K574="ISN",PR!$AD572,IF(K574="JAWA",PR!$AE572,IF(K574="LAYO",PR!$AF572,IF(K574="LEADWAY",PR!$AG572,IF(K574="LHV",PR!$AH572,IF(K574="MANOLA",PR!$AI572,IF(K574="MARCSON",PR!$AJ572,IF(K574="M&amp;B",PR!$AK572,IF(K574="MTRUST",PR!$AL572,IF(K574="MWORLD",PR!$AM572,IF(K574="MEGA",PR!$AN572,IF(K574="MICRONOVA",PR!$AO572,IF(K574="MFLASH",PR!$AP572,IF(K574="MORISON",PR!$AQ572,IF(K574="NEMEL",PR!$AR572,IF(K574="NHP",PR!$AS572,IF(K574="NHC",PR!$AT572,IF(K574="OLEAF",PR!$AU572,IF(K574="OCULUS",PR!$AV572,IF(K574="PACIFIC",PR!$AW572,IF(K574="PHAMATEX",PR!$AX572,IF(K574="PETHICS",PR!$AY572,IF(K574="PHILIPS",PR!$AZ572,IF(K574="RANBAXY",PR!$BA572,IF(K574="REALS",PR!$BB572,IF(K574="ROYAL",PR!$BC572,IF(K574="SAM",PR!$BD572,IF(K574="SEAGREEN",PR!$BE572,IF(K574="SKG",PR!$BF572,IF(K574="TAH",PR!$BG572,IF(K574="TAYLEK",PR!$BH572,IF(K574="TEMITA",PR!$BI572,IF(K574="THL",PR!$BJ572,IF(K574="UBASTIC",PR!$BK572,IF(K574="UNION",PR!$BL572,IF(K574="UNIQUE",PR!$BM572,IF(K574="VIXA",PR!$BN572,IF(K574="WWCV",PR!$BO572,IF(K574="ZOLON",PR!$BP572,"-")))))))))))))))))))))))))))))))))))))))))))))))))))))))))))))))))</f>
        <v>4282</v>
      </c>
    </row>
    <row r="575" spans="1:12" ht="18.75" x14ac:dyDescent="0.3">
      <c r="A575" s="430">
        <f>PR!A573</f>
        <v>518</v>
      </c>
      <c r="B575" s="15" t="str">
        <f>PR!B573</f>
        <v>MOXIFLOXACIN GT</v>
      </c>
      <c r="C575" s="113" t="str">
        <f>PR!D573</f>
        <v>BOTT</v>
      </c>
      <c r="D575" s="113">
        <f>PR!C573</f>
        <v>20</v>
      </c>
      <c r="E575" s="108">
        <f>IF(F575="ALPHA",PR!$E573,IF(F575="ASSENE",PR!$F573,IF(F575="BIOFEM",PR!$G573,IF(F575="BIOMED",PR!$H573,IF(F575="CHI",PR!$I573,IF(F575="CLARION",PR!$J573,IF(F575="CODIX",PR!$K573,IF(F575="COSMADE",PR!$L573,IF(F575="SANCON",PR!$M573,IF(F575="DEVON",PR!$N573,IF(F575="DORTEMAG",PR!$O573,IF(F575="DGF",PR!$P573,IF(F575="DYNAMIC",PR!$Q573,IF(F575="EMZOR",PR!$R573,IF(F575="EUMATT",PR!$S573,IF(F575="FIDSON",PR!$T573,IF(F575="FCGLOBAL",PR!$U573,IF(F575="GENEITH",PR!$V573,IF(F575="GINOS",PR!$W573,IF(F575="GSK",PR!$X573,IF(F575="GLOBORG",PR!$Y573,IF(F575="GOODNEWS",PR!$Z573,IF(F575="GREENLIFE",PR!$AA573,IF(F575="HLINE",PR!$AB573,IF(F575="ROTECH",PR!$AC573,IF(F575="ISN",PR!$AD573,IF(F575="JAWA",PR!$AE573,IF(F575="LAYO",PR!$AF573,IF(F575="LEADWAY",PR!$AG573,IF(F575="LHV",PR!$AH573,IF(F575="MANOLA",PR!$AI573,IF(F575="MARCSON",PR!$AJ573,IF(F575="M&amp;B",PR!$AK573,IF(F575="MTRUST",PR!$AL573,IF(F575="MWORLD",PR!$AM573,IF(F575="MEGA",PR!$AN573,IF(F575="MICRONOVA",PR!$AO573,IF(F575="MFLASH",PR!$AP573,IF(F575="MORISON",PR!$AQ573,IF(F575="NEMEL",PR!$AR573,IF(F575="NHP",PR!$AS573,IF(F575="NHC",PR!$AT573,IF(F575="OLEAF",PR!$AU573,IF(F575="OCULUS",PR!$AV573,IF(F575="PACIFIC",PR!$AW573,IF(F575="PHAMATEX",PR!$AX573,IF(F575="PETHICS",PR!$AY573,IF(F575="PHILIPS",PR!$AZ573,IF(F575="RANBAXY",PR!$BA573,IF(F575="REALS",PR!$BB573,IF(F575="ROYAL",PR!$BC573,IF(F575="SAM",PR!$BD573,IF(F575="SEAGREEN",PR!$BE573,IF(F575="SKG",PR!$BF573,IF(F575="TAH",PR!$BG573,IF(F575="TAYLEK",PR!$BH573,IF(F575="TEMITA",PR!$BI573,IF(F575="THL",PR!$BJ573,IF(F575="UBASTIC",PR!$BK573,IF(F575="UNION",PR!$BL573,IF(F575="UNIQUE",PR!$BM573,IF(F575="VIXA",PR!$BN573,IF(F575="WWCV",PR!$BO573,IF(F575="ZOLON",PR!$BP573,"-"))))))))))))))))))))))))))))))))))))))))))))))))))))))))))))))))</f>
        <v>550</v>
      </c>
      <c r="F575" s="102" t="str">
        <f>EV!L727</f>
        <v>MICRONOVA</v>
      </c>
      <c r="G575" s="108">
        <f>IF(H575="ALPHA",PR!$E573,IF(H575="ASSENE",PR!$F573,IF(H575="BIOFEM",PR!$G573,IF(H575="BIOMED",PR!$H573,IF(H575="CHI",PR!$I573,IF(H575="CLARION",PR!$J573,IF(H575="CODIX",PR!$K573,IF(H575="COSMADE",PR!$L573,IF(H575="SANCON",PR!$M573,IF(H575="DEVON",PR!$N573,IF(H575="DORTEMAG",PR!$O573,IF(H575="DGF",PR!$P573,IF(H575="DYNAMIC",PR!$Q573,IF(H575="EMZOR",PR!$R573,IF(H575="EUMATT",PR!$S573,IF(H575="FIDSON",PR!$T573,IF(H575="FCGLOBAL",PR!$U573,IF(H575="GENEITH",PR!$V573,IF(H575="GINOS",PR!$W573,IF(H575="GSK",PR!$X573,IF(H575="GLOBORG",PR!$Y573,IF(H575="GOODNEWS",PR!$Z573,IF(H575="GREENLIFE",PR!$AA573,IF(H575="HLINE",PR!$AB573,IF(H575="ROTECH",PR!$AC573,IF(H575="ISN",PR!$AD573,IF(H575="JAWA",PR!$AE573,IF(H575="LAYO",PR!$AF573,IF(H575="LEADWAY",PR!$AG573,IF(H575="LHV",PR!$AH573,IF(H575="MANOLA",PR!$AI573,IF(H575="MARCSON",PR!$AJ573,IF(H575="M&amp;B",PR!$AK573,IF(H575="MTRUST",PR!$AL573,IF(H575="MWORLD",PR!$AM573,IF(H575="MEGA",PR!$AN573,IF(H575="MICRONOVA",PR!$AO573,IF(H575="MFLASH",PR!$AP573,IF(H575="MORISON",PR!$AQ573,IF(H575="NEMEL",PR!$AR573,IF(H575="NHP",PR!$AS573,IF(H575="NHC",PR!$AT573,IF(H575="OLEAF",PR!$AU573,IF(H575="OCULUS",PR!$AV573,IF(H575="PACIFIC",PR!$AW573,IF(H575="PHAMATEX",PR!$AX573,IF(H575="PETHICS",PR!$AY573,IF(H575="PHILIPS",PR!$AZ573,IF(H575="RANBAXY",PR!$BA573,IF(H575="REALS",PR!$BB573,IF(H575="ROYAL",PR!$BC573,IF(H575="SAM",PR!$BD573,IF(H575="SEAGREEN",PR!$BE573,IF(H575="SKG",PR!$BF573,IF(H575="TAH",PR!$BG573,IF(H575="TAYLEK",PR!$BH573,IF(H575="TEMITA",PR!$BI573,IF(H575="THL",PR!$BJ573,IF(H575="UBASTIC",PR!$BK573,IF(H575="UNION",PR!$BL573,IF(H575="UNIQUE",PR!$BM573,IF(H575="VIXA",PR!$BN573,IF(H575="WWCV",PR!$BO573,IF(H575="ZOLON",PR!$BP573,"-"))))))))))))))))))))))))))))))))))))))))))))))))))))))))))))))))</f>
        <v>700</v>
      </c>
      <c r="H575" s="102" t="str">
        <f>EV!M727</f>
        <v>EUMATT</v>
      </c>
      <c r="I575" s="108">
        <f>IF(J575="ALPHA",PR!$E573,IF(J575="ASSENE",PR!$F573,IF(J575="BIOFEM",PR!$G573,IF(J575="BIOMED",PR!$H573,IF(J575="CHI",PR!$I573,IF(J575="CLARION",PR!$J573,IF(J575="CODIX",PR!$K573,IF(J575="COSMADE",PR!$L573,IF(J575="SANCON",PR!$M573,IF(J575="DEVON",PR!$N573,IF(J575="DORTEMAG",PR!$O573,IF(J575="DGF",PR!$P573,IF(J575="DYNAMIC",PR!$Q573,IF(J575="EMZOR",PR!$R573,IF(J575="EUMATT",PR!$S573,IF(J575="FIDSON",PR!$T573,IF(J575="FCGLOBAL",PR!$U573,IF(J575="GENEITH",PR!$V573,IF(J575="GINOS",PR!$W573,IF(J575="GSK",PR!$X573,IF(J575="GLOBORG",PR!$Y573,IF(J575="GOODNEWS",PR!$Z573,IF(J575="GREENLIFE",PR!$AA573,IF(J575="HLINE",PR!$AB573,IF(J575="ROTECH",PR!$AC573,IF(J575="ISN",PR!$AD573,IF(J575="JAWA",PR!$AE573,IF(J575="LAYO",PR!$AF573,IF(J575="LEADWAY",PR!$AG573,IF(J575="LHV",PR!$AH573,IF(J575="MANOLA",PR!$AI573,IF(J575="MARCSON",PR!$AJ573,IF(J575="M&amp;B",PR!$AK573,IF(J575="MTRUST",PR!$AL573,IF(J575="MWORLD",PR!$AM573,IF(J575="MEGA",PR!$AN573,IF(J575="MICRONOVA",PR!$AO573,IF(J575="MFLASH",PR!$AP573,IF(J575="MORISON",PR!$AQ573,IF(J575="NEMEL",PR!$AR573,IF(J575="NHP",PR!$AS573,IF(J575="NHC",PR!$AT573,IF(J575="OLEAF",PR!$AU573,IF(J575="OCULUS",PR!$AV573,IF(J575="PACIFIC",PR!$AW573,IF(J575="PHAMATEX",PR!$AX573,IF(J575="PETHICS",PR!$AY573,IF(J575="PHILIPS",PR!$AZ573,IF(J575="RANBAXY",PR!$BA573,IF(J575="REALS",PR!$BB573,IF(J575="ROYAL",PR!$BC573,IF(J575="SAM",PR!$BD573,IF(J575="SEAGREEN",PR!$BE573,IF(J575="SKG",PR!$BF573,IF(J575="TAH",PR!$BG573,IF(J575="TAYLEK",PR!$BH573,IF(J575="TEMITA",PR!$BI573,IF(J575="THL",PR!$BJ573,IF(J575="UBASTIC",PR!$BK573,IF(J575="UNION",PR!$BL573,IF(J575="UNIQUE",PR!$BM573,IF(J575="VIXA",PR!$BN573,IF(J575="WWCV",PR!$BO573,IF(J575="ZOLON",PR!$BP573,"-"))))))))))))))))))))))))))))))))))))))))))))))))))))))))))))))))</f>
        <v>4282</v>
      </c>
      <c r="J575" s="102" t="str">
        <f>EV!N727</f>
        <v>WWCV</v>
      </c>
      <c r="K575" s="433" t="s">
        <v>632</v>
      </c>
      <c r="L575" s="183">
        <f>IF(K575&gt;0,IF(K575="ALPHA",PR!$E573,IF(K575="ASSENE",PR!$F573,IF(K575="BIOFEM",PR!$G573,IF(K575="BIOMED",PR!$H573,IF(K575="CHI",PR!$I573,IF(K575="CLARION",PR!$J573,IF(K575="CODIX",PR!$K573,IF(K575="COSMADE",PR!$L573,IF(K575="SANCON",PR!$M573,IF(K575="DEVON",PR!$N573,IF(K575="DORTEMAG",PR!$O573,IF(K575="DGF",PR!$P573,IF(K575="DYNAMIC",PR!$Q573,IF(K575="EMZOR",PR!$R573,IF(K575="EUMATT",PR!$S573,IF(K575="FIDSON",PR!$T573,IF(K575="FCGLOBAL",PR!$U573,IF(K575="GENEITH",PR!$V573,IF(K575="GINOS",PR!$W573,IF(K575="GSK",PR!$X573,IF(K575="GLOBORG",PR!$Y573,IF(K575="GOODNEWS",PR!$Z573,IF(K575="GREENLIFE",PR!$AA573,IF(K575="HLINE",PR!$AB573,IF(K575="ROTECH",PR!$AC573,IF(K575="ISN",PR!$AD573,IF(K575="JAWA",PR!$AE573,IF(K575="LAYO",PR!$AF573,IF(K575="LEADWAY",PR!$AG573,IF(K575="LHV",PR!$AH573,IF(K575="MANOLA",PR!$AI573,IF(K575="MARCSON",PR!$AJ573,IF(K575="M&amp;B",PR!$AK573,IF(K575="MTRUST",PR!$AL573,IF(K575="MWORLD",PR!$AM573,IF(K575="MEGA",PR!$AN573,IF(K575="MICRONOVA",PR!$AO573,IF(K575="MFLASH",PR!$AP573,IF(K575="MORISON",PR!$AQ573,IF(K575="NEMEL",PR!$AR573,IF(K575="NHP",PR!$AS573,IF(K575="NHC",PR!$AT573,IF(K575="OLEAF",PR!$AU573,IF(K575="OCULUS",PR!$AV573,IF(K575="PACIFIC",PR!$AW573,IF(K575="PHAMATEX",PR!$AX573,IF(K575="PETHICS",PR!$AY573,IF(K575="PHILIPS",PR!$AZ573,IF(K575="RANBAXY",PR!$BA573,IF(K575="REALS",PR!$BB573,IF(K575="ROYAL",PR!$BC573,IF(K575="SAM",PR!$BD573,IF(K575="SEAGREEN",PR!$BE573,IF(K575="SKG",PR!$BF573,IF(K575="TAH",PR!$BG573,IF(K575="TAYLEK",PR!$BH573,IF(K575="TEMITA",PR!$BI573,IF(K575="THL",PR!$BJ573,IF(K575="UBASTIC",PR!$BK573,IF(K575="UNION",PR!$BL573,IF(K575="UNIQUE",PR!$BM573,IF(K575="VIXA",PR!$BN573,IF(K575="WWCV",PR!$BO573,IF(K575="ZOLON",PR!$BP573,"-")))))))))))))))))))))))))))))))))))))))))))))))))))))))))))))))))</f>
        <v>550</v>
      </c>
    </row>
    <row r="576" spans="1:12" ht="18.75" x14ac:dyDescent="0.3">
      <c r="A576" s="430">
        <f>PR!A574</f>
        <v>519</v>
      </c>
      <c r="B576" s="15" t="str">
        <f>PR!B574</f>
        <v>NEOMYCIN+POLYMYCIN  B+DEXAMETHASONE GTT</v>
      </c>
      <c r="C576" s="113" t="str">
        <f>PR!D574</f>
        <v>BOTT</v>
      </c>
      <c r="D576" s="113">
        <f>PR!C574</f>
        <v>400</v>
      </c>
      <c r="E576" s="108">
        <f>IF(F576="ALPHA",PR!$E574,IF(F576="ASSENE",PR!$F574,IF(F576="BIOFEM",PR!$G574,IF(F576="BIOMED",PR!$H574,IF(F576="CHI",PR!$I574,IF(F576="CLARION",PR!$J574,IF(F576="CODIX",PR!$K574,IF(F576="COSMADE",PR!$L574,IF(F576="SANCON",PR!$M574,IF(F576="DEVON",PR!$N574,IF(F576="DORTEMAG",PR!$O574,IF(F576="DGF",PR!$P574,IF(F576="DYNAMIC",PR!$Q574,IF(F576="EMZOR",PR!$R574,IF(F576="EUMATT",PR!$S574,IF(F576="FIDSON",PR!$T574,IF(F576="FCGLOBAL",PR!$U574,IF(F576="GENEITH",PR!$V574,IF(F576="GINOS",PR!$W574,IF(F576="GSK",PR!$X574,IF(F576="GLOBORG",PR!$Y574,IF(F576="GOODNEWS",PR!$Z574,IF(F576="GREENLIFE",PR!$AA574,IF(F576="HLINE",PR!$AB574,IF(F576="ROTECH",PR!$AC574,IF(F576="ISN",PR!$AD574,IF(F576="JAWA",PR!$AE574,IF(F576="LAYO",PR!$AF574,IF(F576="LEADWAY",PR!$AG574,IF(F576="LHV",PR!$AH574,IF(F576="MANOLA",PR!$AI574,IF(F576="MARCSON",PR!$AJ574,IF(F576="M&amp;B",PR!$AK574,IF(F576="MTRUST",PR!$AL574,IF(F576="MWORLD",PR!$AM574,IF(F576="MEGA",PR!$AN574,IF(F576="MICRONOVA",PR!$AO574,IF(F576="MFLASH",PR!$AP574,IF(F576="MORISON",PR!$AQ574,IF(F576="NEMEL",PR!$AR574,IF(F576="NHP",PR!$AS574,IF(F576="NHC",PR!$AT574,IF(F576="OLEAF",PR!$AU574,IF(F576="OCULUS",PR!$AV574,IF(F576="PACIFIC",PR!$AW574,IF(F576="PHAMATEX",PR!$AX574,IF(F576="PETHICS",PR!$AY574,IF(F576="PHILIPS",PR!$AZ574,IF(F576="RANBAXY",PR!$BA574,IF(F576="REALS",PR!$BB574,IF(F576="ROYAL",PR!$BC574,IF(F576="SAM",PR!$BD574,IF(F576="SEAGREEN",PR!$BE574,IF(F576="SKG",PR!$BF574,IF(F576="TAH",PR!$BG574,IF(F576="TAYLEK",PR!$BH574,IF(F576="TEMITA",PR!$BI574,IF(F576="THL",PR!$BJ574,IF(F576="UBASTIC",PR!$BK574,IF(F576="UNION",PR!$BL574,IF(F576="UNIQUE",PR!$BM574,IF(F576="VIXA",PR!$BN574,IF(F576="WWCV",PR!$BO574,IF(F576="ZOLON",PR!$BP574,"-"))))))))))))))))))))))))))))))))))))))))))))))))))))))))))))))))</f>
        <v>700</v>
      </c>
      <c r="F576" s="102" t="str">
        <f>EV!L728</f>
        <v>EUMATT</v>
      </c>
      <c r="G576" s="108" t="str">
        <f>IF(H576="ALPHA",PR!$E574,IF(H576="ASSENE",PR!$F574,IF(H576="BIOFEM",PR!$G574,IF(H576="BIOMED",PR!$H574,IF(H576="CHI",PR!$I574,IF(H576="CLARION",PR!$J574,IF(H576="CODIX",PR!$K574,IF(H576="COSMADE",PR!$L574,IF(H576="SANCON",PR!$M574,IF(H576="DEVON",PR!$N574,IF(H576="DORTEMAG",PR!$O574,IF(H576="DGF",PR!$P574,IF(H576="DYNAMIC",PR!$Q574,IF(H576="EMZOR",PR!$R574,IF(H576="EUMATT",PR!$S574,IF(H576="FIDSON",PR!$T574,IF(H576="FCGLOBAL",PR!$U574,IF(H576="GENEITH",PR!$V574,IF(H576="GINOS",PR!$W574,IF(H576="GSK",PR!$X574,IF(H576="GLOBORG",PR!$Y574,IF(H576="GOODNEWS",PR!$Z574,IF(H576="GREENLIFE",PR!$AA574,IF(H576="HLINE",PR!$AB574,IF(H576="ROTECH",PR!$AC574,IF(H576="ISN",PR!$AD574,IF(H576="JAWA",PR!$AE574,IF(H576="LAYO",PR!$AF574,IF(H576="LEADWAY",PR!$AG574,IF(H576="LHV",PR!$AH574,IF(H576="MANOLA",PR!$AI574,IF(H576="MARCSON",PR!$AJ574,IF(H576="M&amp;B",PR!$AK574,IF(H576="MTRUST",PR!$AL574,IF(H576="MWORLD",PR!$AM574,IF(H576="MEGA",PR!$AN574,IF(H576="MICRONOVA",PR!$AO574,IF(H576="MFLASH",PR!$AP574,IF(H576="MORISON",PR!$AQ574,IF(H576="NEMEL",PR!$AR574,IF(H576="NHP",PR!$AS574,IF(H576="NHC",PR!$AT574,IF(H576="OLEAF",PR!$AU574,IF(H576="OCULUS",PR!$AV574,IF(H576="PACIFIC",PR!$AW574,IF(H576="PHAMATEX",PR!$AX574,IF(H576="PETHICS",PR!$AY574,IF(H576="PHILIPS",PR!$AZ574,IF(H576="RANBAXY",PR!$BA574,IF(H576="REALS",PR!$BB574,IF(H576="ROYAL",PR!$BC574,IF(H576="SAM",PR!$BD574,IF(H576="SEAGREEN",PR!$BE574,IF(H576="SKG",PR!$BF574,IF(H576="TAH",PR!$BG574,IF(H576="TAYLEK",PR!$BH574,IF(H576="TEMITA",PR!$BI574,IF(H576="THL",PR!$BJ574,IF(H576="UBASTIC",PR!$BK574,IF(H576="UNION",PR!$BL574,IF(H576="UNIQUE",PR!$BM574,IF(H576="VIXA",PR!$BN574,IF(H576="WWCV",PR!$BO574,IF(H576="ZOLON",PR!$BP574,"-"))))))))))))))))))))))))))))))))))))))))))))))))))))))))))))))))</f>
        <v>-</v>
      </c>
      <c r="H576" s="102">
        <f>EV!M728</f>
        <v>0</v>
      </c>
      <c r="I576" s="108" t="str">
        <f>IF(J576="ALPHA",PR!$E574,IF(J576="ASSENE",PR!$F574,IF(J576="BIOFEM",PR!$G574,IF(J576="BIOMED",PR!$H574,IF(J576="CHI",PR!$I574,IF(J576="CLARION",PR!$J574,IF(J576="CODIX",PR!$K574,IF(J576="COSMADE",PR!$L574,IF(J576="SANCON",PR!$M574,IF(J576="DEVON",PR!$N574,IF(J576="DORTEMAG",PR!$O574,IF(J576="DGF",PR!$P574,IF(J576="DYNAMIC",PR!$Q574,IF(J576="EMZOR",PR!$R574,IF(J576="EUMATT",PR!$S574,IF(J576="FIDSON",PR!$T574,IF(J576="FCGLOBAL",PR!$U574,IF(J576="GENEITH",PR!$V574,IF(J576="GINOS",PR!$W574,IF(J576="GSK",PR!$X574,IF(J576="GLOBORG",PR!$Y574,IF(J576="GOODNEWS",PR!$Z574,IF(J576="GREENLIFE",PR!$AA574,IF(J576="HLINE",PR!$AB574,IF(J576="ROTECH",PR!$AC574,IF(J576="ISN",PR!$AD574,IF(J576="JAWA",PR!$AE574,IF(J576="LAYO",PR!$AF574,IF(J576="LEADWAY",PR!$AG574,IF(J576="LHV",PR!$AH574,IF(J576="MANOLA",PR!$AI574,IF(J576="MARCSON",PR!$AJ574,IF(J576="M&amp;B",PR!$AK574,IF(J576="MTRUST",PR!$AL574,IF(J576="MWORLD",PR!$AM574,IF(J576="MEGA",PR!$AN574,IF(J576="MICRONOVA",PR!$AO574,IF(J576="MFLASH",PR!$AP574,IF(J576="MORISON",PR!$AQ574,IF(J576="NEMEL",PR!$AR574,IF(J576="NHP",PR!$AS574,IF(J576="NHC",PR!$AT574,IF(J576="OLEAF",PR!$AU574,IF(J576="OCULUS",PR!$AV574,IF(J576="PACIFIC",PR!$AW574,IF(J576="PHAMATEX",PR!$AX574,IF(J576="PETHICS",PR!$AY574,IF(J576="PHILIPS",PR!$AZ574,IF(J576="RANBAXY",PR!$BA574,IF(J576="REALS",PR!$BB574,IF(J576="ROYAL",PR!$BC574,IF(J576="SAM",PR!$BD574,IF(J576="SEAGREEN",PR!$BE574,IF(J576="SKG",PR!$BF574,IF(J576="TAH",PR!$BG574,IF(J576="TAYLEK",PR!$BH574,IF(J576="TEMITA",PR!$BI574,IF(J576="THL",PR!$BJ574,IF(J576="UBASTIC",PR!$BK574,IF(J576="UNION",PR!$BL574,IF(J576="UNIQUE",PR!$BM574,IF(J576="VIXA",PR!$BN574,IF(J576="WWCV",PR!$BO574,IF(J576="ZOLON",PR!$BP574,"-"))))))))))))))))))))))))))))))))))))))))))))))))))))))))))))))))</f>
        <v>-</v>
      </c>
      <c r="J576" s="102">
        <f>EV!N728</f>
        <v>0</v>
      </c>
      <c r="K576" s="433"/>
      <c r="L576" s="183" t="b">
        <f>IF(K576&gt;0,IF(K576="ALPHA",PR!$E574,IF(K576="ASSENE",PR!$F574,IF(K576="BIOFEM",PR!$G574,IF(K576="BIOMED",PR!$H574,IF(K576="CHI",PR!$I574,IF(K576="CLARION",PR!$J574,IF(K576="CODIX",PR!$K574,IF(K576="COSMADE",PR!$L574,IF(K576="SANCON",PR!$M574,IF(K576="DEVON",PR!$N574,IF(K576="DORTEMAG",PR!$O574,IF(K576="DGF",PR!$P574,IF(K576="DYNAMIC",PR!$Q574,IF(K576="EMZOR",PR!$R574,IF(K576="EUMATT",PR!$S574,IF(K576="FIDSON",PR!$T574,IF(K576="FCGLOBAL",PR!$U574,IF(K576="GENEITH",PR!$V574,IF(K576="GINOS",PR!$W574,IF(K576="GSK",PR!$X574,IF(K576="GLOBORG",PR!$Y574,IF(K576="GOODNEWS",PR!$Z574,IF(K576="GREENLIFE",PR!$AA574,IF(K576="HLINE",PR!$AB574,IF(K576="ROTECH",PR!$AC574,IF(K576="ISN",PR!$AD574,IF(K576="JAWA",PR!$AE574,IF(K576="LAYO",PR!$AF574,IF(K576="LEADWAY",PR!$AG574,IF(K576="LHV",PR!$AH574,IF(K576="MANOLA",PR!$AI574,IF(K576="MARCSON",PR!$AJ574,IF(K576="M&amp;B",PR!$AK574,IF(K576="MTRUST",PR!$AL574,IF(K576="MWORLD",PR!$AM574,IF(K576="MEGA",PR!$AN574,IF(K576="MICRONOVA",PR!$AO574,IF(K576="MFLASH",PR!$AP574,IF(K576="MORISON",PR!$AQ574,IF(K576="NEMEL",PR!$AR574,IF(K576="NHP",PR!$AS574,IF(K576="NHC",PR!$AT574,IF(K576="OLEAF",PR!$AU574,IF(K576="OCULUS",PR!$AV574,IF(K576="PACIFIC",PR!$AW574,IF(K576="PHAMATEX",PR!$AX574,IF(K576="PETHICS",PR!$AY574,IF(K576="PHILIPS",PR!$AZ574,IF(K576="RANBAXY",PR!$BA574,IF(K576="REALS",PR!$BB574,IF(K576="ROYAL",PR!$BC574,IF(K576="SAM",PR!$BD574,IF(K576="SEAGREEN",PR!$BE574,IF(K576="SKG",PR!$BF574,IF(K576="TAH",PR!$BG574,IF(K576="TAYLEK",PR!$BH574,IF(K576="TEMITA",PR!$BI574,IF(K576="THL",PR!$BJ574,IF(K576="UBASTIC",PR!$BK574,IF(K576="UNION",PR!$BL574,IF(K576="UNIQUE",PR!$BM574,IF(K576="VIXA",PR!$BN574,IF(K576="WWCV",PR!$BO574,IF(K576="ZOLON",PR!$BP574,"-")))))))))))))))))))))))))))))))))))))))))))))))))))))))))))))))))</f>
        <v>0</v>
      </c>
    </row>
    <row r="577" spans="1:12" ht="18.75" x14ac:dyDescent="0.3">
      <c r="A577" s="430">
        <f>PR!A575</f>
        <v>520</v>
      </c>
      <c r="B577" s="15" t="str">
        <f>PR!B575</f>
        <v>NEOMYCIN+POLYMYCIN  B+DEXAMETHASONE OINTMENT</v>
      </c>
      <c r="C577" s="113" t="str">
        <f>PR!D575</f>
        <v>TUBE</v>
      </c>
      <c r="D577" s="113">
        <f>PR!C575</f>
        <v>40</v>
      </c>
      <c r="E577" s="108">
        <f>IF(F577="ALPHA",PR!$E575,IF(F577="ASSENE",PR!$F575,IF(F577="BIOFEM",PR!$G575,IF(F577="BIOMED",PR!$H575,IF(F577="CHI",PR!$I575,IF(F577="CLARION",PR!$J575,IF(F577="CODIX",PR!$K575,IF(F577="COSMADE",PR!$L575,IF(F577="SANCON",PR!$M575,IF(F577="DEVON",PR!$N575,IF(F577="DORTEMAG",PR!$O575,IF(F577="DGF",PR!$P575,IF(F577="DYNAMIC",PR!$Q575,IF(F577="EMZOR",PR!$R575,IF(F577="EUMATT",PR!$S575,IF(F577="FIDSON",PR!$T575,IF(F577="FCGLOBAL",PR!$U575,IF(F577="GENEITH",PR!$V575,IF(F577="GINOS",PR!$W575,IF(F577="GSK",PR!$X575,IF(F577="GLOBORG",PR!$Y575,IF(F577="GOODNEWS",PR!$Z575,IF(F577="GREENLIFE",PR!$AA575,IF(F577="HLINE",PR!$AB575,IF(F577="ROTECH",PR!$AC575,IF(F577="ISN",PR!$AD575,IF(F577="JAWA",PR!$AE575,IF(F577="LAYO",PR!$AF575,IF(F577="LEADWAY",PR!$AG575,IF(F577="LHV",PR!$AH575,IF(F577="MANOLA",PR!$AI575,IF(F577="MARCSON",PR!$AJ575,IF(F577="M&amp;B",PR!$AK575,IF(F577="MTRUST",PR!$AL575,IF(F577="MWORLD",PR!$AM575,IF(F577="MEGA",PR!$AN575,IF(F577="MICRONOVA",PR!$AO575,IF(F577="MFLASH",PR!$AP575,IF(F577="MORISON",PR!$AQ575,IF(F577="NEMEL",PR!$AR575,IF(F577="NHP",PR!$AS575,IF(F577="NHC",PR!$AT575,IF(F577="OLEAF",PR!$AU575,IF(F577="OCULUS",PR!$AV575,IF(F577="PACIFIC",PR!$AW575,IF(F577="PHAMATEX",PR!$AX575,IF(F577="PETHICS",PR!$AY575,IF(F577="PHILIPS",PR!$AZ575,IF(F577="RANBAXY",PR!$BA575,IF(F577="REALS",PR!$BB575,IF(F577="ROYAL",PR!$BC575,IF(F577="SAM",PR!$BD575,IF(F577="SEAGREEN",PR!$BE575,IF(F577="SKG",PR!$BF575,IF(F577="TAH",PR!$BG575,IF(F577="TAYLEK",PR!$BH575,IF(F577="TEMITA",PR!$BI575,IF(F577="THL",PR!$BJ575,IF(F577="UBASTIC",PR!$BK575,IF(F577="UNION",PR!$BL575,IF(F577="UNIQUE",PR!$BM575,IF(F577="VIXA",PR!$BN575,IF(F577="WWCV",PR!$BO575,IF(F577="ZOLON",PR!$BP575,"-"))))))))))))))))))))))))))))))))))))))))))))))))))))))))))))))))</f>
        <v>520</v>
      </c>
      <c r="F577" s="102" t="str">
        <f>EV!L729</f>
        <v>EUMATT</v>
      </c>
      <c r="G577" s="108" t="str">
        <f>IF(H577="ALPHA",PR!$E575,IF(H577="ASSENE",PR!$F575,IF(H577="BIOFEM",PR!$G575,IF(H577="BIOMED",PR!$H575,IF(H577="CHI",PR!$I575,IF(H577="CLARION",PR!$J575,IF(H577="CODIX",PR!$K575,IF(H577="COSMADE",PR!$L575,IF(H577="SANCON",PR!$M575,IF(H577="DEVON",PR!$N575,IF(H577="DORTEMAG",PR!$O575,IF(H577="DGF",PR!$P575,IF(H577="DYNAMIC",PR!$Q575,IF(H577="EMZOR",PR!$R575,IF(H577="EUMATT",PR!$S575,IF(H577="FIDSON",PR!$T575,IF(H577="FCGLOBAL",PR!$U575,IF(H577="GENEITH",PR!$V575,IF(H577="GINOS",PR!$W575,IF(H577="GSK",PR!$X575,IF(H577="GLOBORG",PR!$Y575,IF(H577="GOODNEWS",PR!$Z575,IF(H577="GREENLIFE",PR!$AA575,IF(H577="HLINE",PR!$AB575,IF(H577="ROTECH",PR!$AC575,IF(H577="ISN",PR!$AD575,IF(H577="JAWA",PR!$AE575,IF(H577="LAYO",PR!$AF575,IF(H577="LEADWAY",PR!$AG575,IF(H577="LHV",PR!$AH575,IF(H577="MANOLA",PR!$AI575,IF(H577="MARCSON",PR!$AJ575,IF(H577="M&amp;B",PR!$AK575,IF(H577="MTRUST",PR!$AL575,IF(H577="MWORLD",PR!$AM575,IF(H577="MEGA",PR!$AN575,IF(H577="MICRONOVA",PR!$AO575,IF(H577="MFLASH",PR!$AP575,IF(H577="MORISON",PR!$AQ575,IF(H577="NEMEL",PR!$AR575,IF(H577="NHP",PR!$AS575,IF(H577="NHC",PR!$AT575,IF(H577="OLEAF",PR!$AU575,IF(H577="OCULUS",PR!$AV575,IF(H577="PACIFIC",PR!$AW575,IF(H577="PHAMATEX",PR!$AX575,IF(H577="PETHICS",PR!$AY575,IF(H577="PHILIPS",PR!$AZ575,IF(H577="RANBAXY",PR!$BA575,IF(H577="REALS",PR!$BB575,IF(H577="ROYAL",PR!$BC575,IF(H577="SAM",PR!$BD575,IF(H577="SEAGREEN",PR!$BE575,IF(H577="SKG",PR!$BF575,IF(H577="TAH",PR!$BG575,IF(H577="TAYLEK",PR!$BH575,IF(H577="TEMITA",PR!$BI575,IF(H577="THL",PR!$BJ575,IF(H577="UBASTIC",PR!$BK575,IF(H577="UNION",PR!$BL575,IF(H577="UNIQUE",PR!$BM575,IF(H577="VIXA",PR!$BN575,IF(H577="WWCV",PR!$BO575,IF(H577="ZOLON",PR!$BP575,"-"))))))))))))))))))))))))))))))))))))))))))))))))))))))))))))))))</f>
        <v>-</v>
      </c>
      <c r="H577" s="102">
        <f>EV!M729</f>
        <v>0</v>
      </c>
      <c r="I577" s="108" t="str">
        <f>IF(J577="ALPHA",PR!$E575,IF(J577="ASSENE",PR!$F575,IF(J577="BIOFEM",PR!$G575,IF(J577="BIOMED",PR!$H575,IF(J577="CHI",PR!$I575,IF(J577="CLARION",PR!$J575,IF(J577="CODIX",PR!$K575,IF(J577="COSMADE",PR!$L575,IF(J577="SANCON",PR!$M575,IF(J577="DEVON",PR!$N575,IF(J577="DORTEMAG",PR!$O575,IF(J577="DGF",PR!$P575,IF(J577="DYNAMIC",PR!$Q575,IF(J577="EMZOR",PR!$R575,IF(J577="EUMATT",PR!$S575,IF(J577="FIDSON",PR!$T575,IF(J577="FCGLOBAL",PR!$U575,IF(J577="GENEITH",PR!$V575,IF(J577="GINOS",PR!$W575,IF(J577="GSK",PR!$X575,IF(J577="GLOBORG",PR!$Y575,IF(J577="GOODNEWS",PR!$Z575,IF(J577="GREENLIFE",PR!$AA575,IF(J577="HLINE",PR!$AB575,IF(J577="ROTECH",PR!$AC575,IF(J577="ISN",PR!$AD575,IF(J577="JAWA",PR!$AE575,IF(J577="LAYO",PR!$AF575,IF(J577="LEADWAY",PR!$AG575,IF(J577="LHV",PR!$AH575,IF(J577="MANOLA",PR!$AI575,IF(J577="MARCSON",PR!$AJ575,IF(J577="M&amp;B",PR!$AK575,IF(J577="MTRUST",PR!$AL575,IF(J577="MWORLD",PR!$AM575,IF(J577="MEGA",PR!$AN575,IF(J577="MICRONOVA",PR!$AO575,IF(J577="MFLASH",PR!$AP575,IF(J577="MORISON",PR!$AQ575,IF(J577="NEMEL",PR!$AR575,IF(J577="NHP",PR!$AS575,IF(J577="NHC",PR!$AT575,IF(J577="OLEAF",PR!$AU575,IF(J577="OCULUS",PR!$AV575,IF(J577="PACIFIC",PR!$AW575,IF(J577="PHAMATEX",PR!$AX575,IF(J577="PETHICS",PR!$AY575,IF(J577="PHILIPS",PR!$AZ575,IF(J577="RANBAXY",PR!$BA575,IF(J577="REALS",PR!$BB575,IF(J577="ROYAL",PR!$BC575,IF(J577="SAM",PR!$BD575,IF(J577="SEAGREEN",PR!$BE575,IF(J577="SKG",PR!$BF575,IF(J577="TAH",PR!$BG575,IF(J577="TAYLEK",PR!$BH575,IF(J577="TEMITA",PR!$BI575,IF(J577="THL",PR!$BJ575,IF(J577="UBASTIC",PR!$BK575,IF(J577="UNION",PR!$BL575,IF(J577="UNIQUE",PR!$BM575,IF(J577="VIXA",PR!$BN575,IF(J577="WWCV",PR!$BO575,IF(J577="ZOLON",PR!$BP575,"-"))))))))))))))))))))))))))))))))))))))))))))))))))))))))))))))))</f>
        <v>-</v>
      </c>
      <c r="J577" s="102">
        <f>EV!N729</f>
        <v>0</v>
      </c>
      <c r="K577" s="433"/>
      <c r="L577" s="183" t="b">
        <f>IF(K577&gt;0,IF(K577="ALPHA",PR!$E575,IF(K577="ASSENE",PR!$F575,IF(K577="BIOFEM",PR!$G575,IF(K577="BIOMED",PR!$H575,IF(K577="CHI",PR!$I575,IF(K577="CLARION",PR!$J575,IF(K577="CODIX",PR!$K575,IF(K577="COSMADE",PR!$L575,IF(K577="SANCON",PR!$M575,IF(K577="DEVON",PR!$N575,IF(K577="DORTEMAG",PR!$O575,IF(K577="DGF",PR!$P575,IF(K577="DYNAMIC",PR!$Q575,IF(K577="EMZOR",PR!$R575,IF(K577="EUMATT",PR!$S575,IF(K577="FIDSON",PR!$T575,IF(K577="FCGLOBAL",PR!$U575,IF(K577="GENEITH",PR!$V575,IF(K577="GINOS",PR!$W575,IF(K577="GSK",PR!$X575,IF(K577="GLOBORG",PR!$Y575,IF(K577="GOODNEWS",PR!$Z575,IF(K577="GREENLIFE",PR!$AA575,IF(K577="HLINE",PR!$AB575,IF(K577="ROTECH",PR!$AC575,IF(K577="ISN",PR!$AD575,IF(K577="JAWA",PR!$AE575,IF(K577="LAYO",PR!$AF575,IF(K577="LEADWAY",PR!$AG575,IF(K577="LHV",PR!$AH575,IF(K577="MANOLA",PR!$AI575,IF(K577="MARCSON",PR!$AJ575,IF(K577="M&amp;B",PR!$AK575,IF(K577="MTRUST",PR!$AL575,IF(K577="MWORLD",PR!$AM575,IF(K577="MEGA",PR!$AN575,IF(K577="MICRONOVA",PR!$AO575,IF(K577="MFLASH",PR!$AP575,IF(K577="MORISON",PR!$AQ575,IF(K577="NEMEL",PR!$AR575,IF(K577="NHP",PR!$AS575,IF(K577="NHC",PR!$AT575,IF(K577="OLEAF",PR!$AU575,IF(K577="OCULUS",PR!$AV575,IF(K577="PACIFIC",PR!$AW575,IF(K577="PHAMATEX",PR!$AX575,IF(K577="PETHICS",PR!$AY575,IF(K577="PHILIPS",PR!$AZ575,IF(K577="RANBAXY",PR!$BA575,IF(K577="REALS",PR!$BB575,IF(K577="ROYAL",PR!$BC575,IF(K577="SAM",PR!$BD575,IF(K577="SEAGREEN",PR!$BE575,IF(K577="SKG",PR!$BF575,IF(K577="TAH",PR!$BG575,IF(K577="TAYLEK",PR!$BH575,IF(K577="TEMITA",PR!$BI575,IF(K577="THL",PR!$BJ575,IF(K577="UBASTIC",PR!$BK575,IF(K577="UNION",PR!$BL575,IF(K577="UNIQUE",PR!$BM575,IF(K577="VIXA",PR!$BN575,IF(K577="WWCV",PR!$BO575,IF(K577="ZOLON",PR!$BP575,"-")))))))))))))))))))))))))))))))))))))))))))))))))))))))))))))))))</f>
        <v>0</v>
      </c>
    </row>
    <row r="578" spans="1:12" ht="18.75" x14ac:dyDescent="0.3">
      <c r="A578" s="430">
        <f>PR!A576</f>
        <v>521</v>
      </c>
      <c r="B578" s="15" t="str">
        <f>PR!B576</f>
        <v>OFLOXACIN+DEXAMETHASONE</v>
      </c>
      <c r="C578" s="113" t="str">
        <f>PR!D576</f>
        <v>BOTT</v>
      </c>
      <c r="D578" s="113">
        <f>PR!C576</f>
        <v>20</v>
      </c>
      <c r="E578" s="108">
        <f>IF(F578="ALPHA",PR!$E576,IF(F578="ASSENE",PR!$F576,IF(F578="BIOFEM",PR!$G576,IF(F578="BIOMED",PR!$H576,IF(F578="CHI",PR!$I576,IF(F578="CLARION",PR!$J576,IF(F578="CODIX",PR!$K576,IF(F578="COSMADE",PR!$L576,IF(F578="SANCON",PR!$M576,IF(F578="DEVON",PR!$N576,IF(F578="DORTEMAG",PR!$O576,IF(F578="DGF",PR!$P576,IF(F578="DYNAMIC",PR!$Q576,IF(F578="EMZOR",PR!$R576,IF(F578="EUMATT",PR!$S576,IF(F578="FIDSON",PR!$T576,IF(F578="FCGLOBAL",PR!$U576,IF(F578="GENEITH",PR!$V576,IF(F578="GINOS",PR!$W576,IF(F578="GSK",PR!$X576,IF(F578="GLOBORG",PR!$Y576,IF(F578="GOODNEWS",PR!$Z576,IF(F578="GREENLIFE",PR!$AA576,IF(F578="HLINE",PR!$AB576,IF(F578="ROTECH",PR!$AC576,IF(F578="ISN",PR!$AD576,IF(F578="JAWA",PR!$AE576,IF(F578="LAYO",PR!$AF576,IF(F578="LEADWAY",PR!$AG576,IF(F578="LHV",PR!$AH576,IF(F578="MANOLA",PR!$AI576,IF(F578="MARCSON",PR!$AJ576,IF(F578="M&amp;B",PR!$AK576,IF(F578="MTRUST",PR!$AL576,IF(F578="MWORLD",PR!$AM576,IF(F578="MEGA",PR!$AN576,IF(F578="MICRONOVA",PR!$AO576,IF(F578="MFLASH",PR!$AP576,IF(F578="MORISON",PR!$AQ576,IF(F578="NEMEL",PR!$AR576,IF(F578="NHP",PR!$AS576,IF(F578="NHC",PR!$AT576,IF(F578="OLEAF",PR!$AU576,IF(F578="OCULUS",PR!$AV576,IF(F578="PACIFIC",PR!$AW576,IF(F578="PHAMATEX",PR!$AX576,IF(F578="PETHICS",PR!$AY576,IF(F578="PHILIPS",PR!$AZ576,IF(F578="RANBAXY",PR!$BA576,IF(F578="REALS",PR!$BB576,IF(F578="ROYAL",PR!$BC576,IF(F578="SAM",PR!$BD576,IF(F578="SEAGREEN",PR!$BE576,IF(F578="SKG",PR!$BF576,IF(F578="TAH",PR!$BG576,IF(F578="TAYLEK",PR!$BH576,IF(F578="TEMITA",PR!$BI576,IF(F578="THL",PR!$BJ576,IF(F578="UBASTIC",PR!$BK576,IF(F578="UNION",PR!$BL576,IF(F578="UNIQUE",PR!$BM576,IF(F578="VIXA",PR!$BN576,IF(F578="WWCV",PR!$BO576,IF(F578="ZOLON",PR!$BP576,"-"))))))))))))))))))))))))))))))))))))))))))))))))))))))))))))))))</f>
        <v>450</v>
      </c>
      <c r="F578" s="102" t="str">
        <f>EV!L730</f>
        <v>MICRONOVA</v>
      </c>
      <c r="G578" s="108">
        <f>IF(H578="ALPHA",PR!$E576,IF(H578="ASSENE",PR!$F576,IF(H578="BIOFEM",PR!$G576,IF(H578="BIOMED",PR!$H576,IF(H578="CHI",PR!$I576,IF(H578="CLARION",PR!$J576,IF(H578="CODIX",PR!$K576,IF(H578="COSMADE",PR!$L576,IF(H578="SANCON",PR!$M576,IF(H578="DEVON",PR!$N576,IF(H578="DORTEMAG",PR!$O576,IF(H578="DGF",PR!$P576,IF(H578="DYNAMIC",PR!$Q576,IF(H578="EMZOR",PR!$R576,IF(H578="EUMATT",PR!$S576,IF(H578="FIDSON",PR!$T576,IF(H578="FCGLOBAL",PR!$U576,IF(H578="GENEITH",PR!$V576,IF(H578="GINOS",PR!$W576,IF(H578="GSK",PR!$X576,IF(H578="GLOBORG",PR!$Y576,IF(H578="GOODNEWS",PR!$Z576,IF(H578="GREENLIFE",PR!$AA576,IF(H578="HLINE",PR!$AB576,IF(H578="ROTECH",PR!$AC576,IF(H578="ISN",PR!$AD576,IF(H578="JAWA",PR!$AE576,IF(H578="LAYO",PR!$AF576,IF(H578="LEADWAY",PR!$AG576,IF(H578="LHV",PR!$AH576,IF(H578="MANOLA",PR!$AI576,IF(H578="MARCSON",PR!$AJ576,IF(H578="M&amp;B",PR!$AK576,IF(H578="MTRUST",PR!$AL576,IF(H578="MWORLD",PR!$AM576,IF(H578="MEGA",PR!$AN576,IF(H578="MICRONOVA",PR!$AO576,IF(H578="MFLASH",PR!$AP576,IF(H578="MORISON",PR!$AQ576,IF(H578="NEMEL",PR!$AR576,IF(H578="NHP",PR!$AS576,IF(H578="NHC",PR!$AT576,IF(H578="OLEAF",PR!$AU576,IF(H578="OCULUS",PR!$AV576,IF(H578="PACIFIC",PR!$AW576,IF(H578="PHAMATEX",PR!$AX576,IF(H578="PETHICS",PR!$AY576,IF(H578="PHILIPS",PR!$AZ576,IF(H578="RANBAXY",PR!$BA576,IF(H578="REALS",PR!$BB576,IF(H578="ROYAL",PR!$BC576,IF(H578="SAM",PR!$BD576,IF(H578="SEAGREEN",PR!$BE576,IF(H578="SKG",PR!$BF576,IF(H578="TAH",PR!$BG576,IF(H578="TAYLEK",PR!$BH576,IF(H578="TEMITA",PR!$BI576,IF(H578="THL",PR!$BJ576,IF(H578="UBASTIC",PR!$BK576,IF(H578="UNION",PR!$BL576,IF(H578="UNIQUE",PR!$BM576,IF(H578="VIXA",PR!$BN576,IF(H578="WWCV",PR!$BO576,IF(H578="ZOLON",PR!$BP576,"-"))))))))))))))))))))))))))))))))))))))))))))))))))))))))))))))))</f>
        <v>650</v>
      </c>
      <c r="H578" s="102" t="str">
        <f>EV!M730</f>
        <v>EUMATT</v>
      </c>
      <c r="I578" s="108" t="str">
        <f>IF(J578="ALPHA",PR!$E576,IF(J578="ASSENE",PR!$F576,IF(J578="BIOFEM",PR!$G576,IF(J578="BIOMED",PR!$H576,IF(J578="CHI",PR!$I576,IF(J578="CLARION",PR!$J576,IF(J578="CODIX",PR!$K576,IF(J578="COSMADE",PR!$L576,IF(J578="SANCON",PR!$M576,IF(J578="DEVON",PR!$N576,IF(J578="DORTEMAG",PR!$O576,IF(J578="DGF",PR!$P576,IF(J578="DYNAMIC",PR!$Q576,IF(J578="EMZOR",PR!$R576,IF(J578="EUMATT",PR!$S576,IF(J578="FIDSON",PR!$T576,IF(J578="FCGLOBAL",PR!$U576,IF(J578="GENEITH",PR!$V576,IF(J578="GINOS",PR!$W576,IF(J578="GSK",PR!$X576,IF(J578="GLOBORG",PR!$Y576,IF(J578="GOODNEWS",PR!$Z576,IF(J578="GREENLIFE",PR!$AA576,IF(J578="HLINE",PR!$AB576,IF(J578="ROTECH",PR!$AC576,IF(J578="ISN",PR!$AD576,IF(J578="JAWA",PR!$AE576,IF(J578="LAYO",PR!$AF576,IF(J578="LEADWAY",PR!$AG576,IF(J578="LHV",PR!$AH576,IF(J578="MANOLA",PR!$AI576,IF(J578="MARCSON",PR!$AJ576,IF(J578="M&amp;B",PR!$AK576,IF(J578="MTRUST",PR!$AL576,IF(J578="MWORLD",PR!$AM576,IF(J578="MEGA",PR!$AN576,IF(J578="MICRONOVA",PR!$AO576,IF(J578="MFLASH",PR!$AP576,IF(J578="MORISON",PR!$AQ576,IF(J578="NEMEL",PR!$AR576,IF(J578="NHP",PR!$AS576,IF(J578="NHC",PR!$AT576,IF(J578="OLEAF",PR!$AU576,IF(J578="OCULUS",PR!$AV576,IF(J578="PACIFIC",PR!$AW576,IF(J578="PHAMATEX",PR!$AX576,IF(J578="PETHICS",PR!$AY576,IF(J578="PHILIPS",PR!$AZ576,IF(J578="RANBAXY",PR!$BA576,IF(J578="REALS",PR!$BB576,IF(J578="ROYAL",PR!$BC576,IF(J578="SAM",PR!$BD576,IF(J578="SEAGREEN",PR!$BE576,IF(J578="SKG",PR!$BF576,IF(J578="TAH",PR!$BG576,IF(J578="TAYLEK",PR!$BH576,IF(J578="TEMITA",PR!$BI576,IF(J578="THL",PR!$BJ576,IF(J578="UBASTIC",PR!$BK576,IF(J578="UNION",PR!$BL576,IF(J578="UNIQUE",PR!$BM576,IF(J578="VIXA",PR!$BN576,IF(J578="WWCV",PR!$BO576,IF(J578="ZOLON",PR!$BP576,"-"))))))))))))))))))))))))))))))))))))))))))))))))))))))))))))))))</f>
        <v>-</v>
      </c>
      <c r="J578" s="102">
        <f>EV!N730</f>
        <v>0</v>
      </c>
      <c r="K578" s="433" t="s">
        <v>632</v>
      </c>
      <c r="L578" s="183">
        <f>IF(K578&gt;0,IF(K578="ALPHA",PR!$E576,IF(K578="ASSENE",PR!$F576,IF(K578="BIOFEM",PR!$G576,IF(K578="BIOMED",PR!$H576,IF(K578="CHI",PR!$I576,IF(K578="CLARION",PR!$J576,IF(K578="CODIX",PR!$K576,IF(K578="COSMADE",PR!$L576,IF(K578="SANCON",PR!$M576,IF(K578="DEVON",PR!$N576,IF(K578="DORTEMAG",PR!$O576,IF(K578="DGF",PR!$P576,IF(K578="DYNAMIC",PR!$Q576,IF(K578="EMZOR",PR!$R576,IF(K578="EUMATT",PR!$S576,IF(K578="FIDSON",PR!$T576,IF(K578="FCGLOBAL",PR!$U576,IF(K578="GENEITH",PR!$V576,IF(K578="GINOS",PR!$W576,IF(K578="GSK",PR!$X576,IF(K578="GLOBORG",PR!$Y576,IF(K578="GOODNEWS",PR!$Z576,IF(K578="GREENLIFE",PR!$AA576,IF(K578="HLINE",PR!$AB576,IF(K578="ROTECH",PR!$AC576,IF(K578="ISN",PR!$AD576,IF(K578="JAWA",PR!$AE576,IF(K578="LAYO",PR!$AF576,IF(K578="LEADWAY",PR!$AG576,IF(K578="LHV",PR!$AH576,IF(K578="MANOLA",PR!$AI576,IF(K578="MARCSON",PR!$AJ576,IF(K578="M&amp;B",PR!$AK576,IF(K578="MTRUST",PR!$AL576,IF(K578="MWORLD",PR!$AM576,IF(K578="MEGA",PR!$AN576,IF(K578="MICRONOVA",PR!$AO576,IF(K578="MFLASH",PR!$AP576,IF(K578="MORISON",PR!$AQ576,IF(K578="NEMEL",PR!$AR576,IF(K578="NHP",PR!$AS576,IF(K578="NHC",PR!$AT576,IF(K578="OLEAF",PR!$AU576,IF(K578="OCULUS",PR!$AV576,IF(K578="PACIFIC",PR!$AW576,IF(K578="PHAMATEX",PR!$AX576,IF(K578="PETHICS",PR!$AY576,IF(K578="PHILIPS",PR!$AZ576,IF(K578="RANBAXY",PR!$BA576,IF(K578="REALS",PR!$BB576,IF(K578="ROYAL",PR!$BC576,IF(K578="SAM",PR!$BD576,IF(K578="SEAGREEN",PR!$BE576,IF(K578="SKG",PR!$BF576,IF(K578="TAH",PR!$BG576,IF(K578="TAYLEK",PR!$BH576,IF(K578="TEMITA",PR!$BI576,IF(K578="THL",PR!$BJ576,IF(K578="UBASTIC",PR!$BK576,IF(K578="UNION",PR!$BL576,IF(K578="UNIQUE",PR!$BM576,IF(K578="VIXA",PR!$BN576,IF(K578="WWCV",PR!$BO576,IF(K578="ZOLON",PR!$BP576,"-")))))))))))))))))))))))))))))))))))))))))))))))))))))))))))))))))</f>
        <v>450</v>
      </c>
    </row>
    <row r="579" spans="1:12" ht="18.75" x14ac:dyDescent="0.3">
      <c r="A579" s="430">
        <f>PR!A577</f>
        <v>522</v>
      </c>
      <c r="B579" s="15" t="str">
        <f>PR!B577</f>
        <v>OLOPATADINE GTT</v>
      </c>
      <c r="C579" s="113" t="str">
        <f>PR!D577</f>
        <v>BOTT</v>
      </c>
      <c r="D579" s="113">
        <f>PR!C577</f>
        <v>20</v>
      </c>
      <c r="E579" s="108">
        <f>IF(F579="ALPHA",PR!$E577,IF(F579="ASSENE",PR!$F577,IF(F579="BIOFEM",PR!$G577,IF(F579="BIOMED",PR!$H577,IF(F579="CHI",PR!$I577,IF(F579="CLARION",PR!$J577,IF(F579="CODIX",PR!$K577,IF(F579="COSMADE",PR!$L577,IF(F579="SANCON",PR!$M577,IF(F579="DEVON",PR!$N577,IF(F579="DORTEMAG",PR!$O577,IF(F579="DGF",PR!$P577,IF(F579="DYNAMIC",PR!$Q577,IF(F579="EMZOR",PR!$R577,IF(F579="EUMATT",PR!$S577,IF(F579="FIDSON",PR!$T577,IF(F579="FCGLOBAL",PR!$U577,IF(F579="GENEITH",PR!$V577,IF(F579="GINOS",PR!$W577,IF(F579="GSK",PR!$X577,IF(F579="GLOBORG",PR!$Y577,IF(F579="GOODNEWS",PR!$Z577,IF(F579="GREENLIFE",PR!$AA577,IF(F579="HLINE",PR!$AB577,IF(F579="ROTECH",PR!$AC577,IF(F579="ISN",PR!$AD577,IF(F579="JAWA",PR!$AE577,IF(F579="LAYO",PR!$AF577,IF(F579="LEADWAY",PR!$AG577,IF(F579="LHV",PR!$AH577,IF(F579="MANOLA",PR!$AI577,IF(F579="MARCSON",PR!$AJ577,IF(F579="M&amp;B",PR!$AK577,IF(F579="MTRUST",PR!$AL577,IF(F579="MWORLD",PR!$AM577,IF(F579="MEGA",PR!$AN577,IF(F579="MICRONOVA",PR!$AO577,IF(F579="MFLASH",PR!$AP577,IF(F579="MORISON",PR!$AQ577,IF(F579="NEMEL",PR!$AR577,IF(F579="NHP",PR!$AS577,IF(F579="NHC",PR!$AT577,IF(F579="OLEAF",PR!$AU577,IF(F579="OCULUS",PR!$AV577,IF(F579="PACIFIC",PR!$AW577,IF(F579="PHAMATEX",PR!$AX577,IF(F579="PETHICS",PR!$AY577,IF(F579="PHILIPS",PR!$AZ577,IF(F579="RANBAXY",PR!$BA577,IF(F579="REALS",PR!$BB577,IF(F579="ROYAL",PR!$BC577,IF(F579="SAM",PR!$BD577,IF(F579="SEAGREEN",PR!$BE577,IF(F579="SKG",PR!$BF577,IF(F579="TAH",PR!$BG577,IF(F579="TAYLEK",PR!$BH577,IF(F579="TEMITA",PR!$BI577,IF(F579="THL",PR!$BJ577,IF(F579="UBASTIC",PR!$BK577,IF(F579="UNION",PR!$BL577,IF(F579="UNIQUE",PR!$BM577,IF(F579="VIXA",PR!$BN577,IF(F579="WWCV",PR!$BO577,IF(F579="ZOLON",PR!$BP577,"-"))))))))))))))))))))))))))))))))))))))))))))))))))))))))))))))))</f>
        <v>760</v>
      </c>
      <c r="F579" s="102" t="str">
        <f>EV!L731</f>
        <v>EUMATT</v>
      </c>
      <c r="G579" s="108" t="str">
        <f>IF(H579="ALPHA",PR!$E577,IF(H579="ASSENE",PR!$F577,IF(H579="BIOFEM",PR!$G577,IF(H579="BIOMED",PR!$H577,IF(H579="CHI",PR!$I577,IF(H579="CLARION",PR!$J577,IF(H579="CODIX",PR!$K577,IF(H579="COSMADE",PR!$L577,IF(H579="SANCON",PR!$M577,IF(H579="DEVON",PR!$N577,IF(H579="DORTEMAG",PR!$O577,IF(H579="DGF",PR!$P577,IF(H579="DYNAMIC",PR!$Q577,IF(H579="EMZOR",PR!$R577,IF(H579="EUMATT",PR!$S577,IF(H579="FIDSON",PR!$T577,IF(H579="FCGLOBAL",PR!$U577,IF(H579="GENEITH",PR!$V577,IF(H579="GINOS",PR!$W577,IF(H579="GSK",PR!$X577,IF(H579="GLOBORG",PR!$Y577,IF(H579="GOODNEWS",PR!$Z577,IF(H579="GREENLIFE",PR!$AA577,IF(H579="HLINE",PR!$AB577,IF(H579="ROTECH",PR!$AC577,IF(H579="ISN",PR!$AD577,IF(H579="JAWA",PR!$AE577,IF(H579="LAYO",PR!$AF577,IF(H579="LEADWAY",PR!$AG577,IF(H579="LHV",PR!$AH577,IF(H579="MANOLA",PR!$AI577,IF(H579="MARCSON",PR!$AJ577,IF(H579="M&amp;B",PR!$AK577,IF(H579="MTRUST",PR!$AL577,IF(H579="MWORLD",PR!$AM577,IF(H579="MEGA",PR!$AN577,IF(H579="MICRONOVA",PR!$AO577,IF(H579="MFLASH",PR!$AP577,IF(H579="MORISON",PR!$AQ577,IF(H579="NEMEL",PR!$AR577,IF(H579="NHP",PR!$AS577,IF(H579="NHC",PR!$AT577,IF(H579="OLEAF",PR!$AU577,IF(H579="OCULUS",PR!$AV577,IF(H579="PACIFIC",PR!$AW577,IF(H579="PHAMATEX",PR!$AX577,IF(H579="PETHICS",PR!$AY577,IF(H579="PHILIPS",PR!$AZ577,IF(H579="RANBAXY",PR!$BA577,IF(H579="REALS",PR!$BB577,IF(H579="ROYAL",PR!$BC577,IF(H579="SAM",PR!$BD577,IF(H579="SEAGREEN",PR!$BE577,IF(H579="SKG",PR!$BF577,IF(H579="TAH",PR!$BG577,IF(H579="TAYLEK",PR!$BH577,IF(H579="TEMITA",PR!$BI577,IF(H579="THL",PR!$BJ577,IF(H579="UBASTIC",PR!$BK577,IF(H579="UNION",PR!$BL577,IF(H579="UNIQUE",PR!$BM577,IF(H579="VIXA",PR!$BN577,IF(H579="WWCV",PR!$BO577,IF(H579="ZOLON",PR!$BP577,"-"))))))))))))))))))))))))))))))))))))))))))))))))))))))))))))))))</f>
        <v>-</v>
      </c>
      <c r="H579" s="102">
        <f>EV!M731</f>
        <v>0</v>
      </c>
      <c r="I579" s="108" t="str">
        <f>IF(J579="ALPHA",PR!$E577,IF(J579="ASSENE",PR!$F577,IF(J579="BIOFEM",PR!$G577,IF(J579="BIOMED",PR!$H577,IF(J579="CHI",PR!$I577,IF(J579="CLARION",PR!$J577,IF(J579="CODIX",PR!$K577,IF(J579="COSMADE",PR!$L577,IF(J579="SANCON",PR!$M577,IF(J579="DEVON",PR!$N577,IF(J579="DORTEMAG",PR!$O577,IF(J579="DGF",PR!$P577,IF(J579="DYNAMIC",PR!$Q577,IF(J579="EMZOR",PR!$R577,IF(J579="EUMATT",PR!$S577,IF(J579="FIDSON",PR!$T577,IF(J579="FCGLOBAL",PR!$U577,IF(J579="GENEITH",PR!$V577,IF(J579="GINOS",PR!$W577,IF(J579="GSK",PR!$X577,IF(J579="GLOBORG",PR!$Y577,IF(J579="GOODNEWS",PR!$Z577,IF(J579="GREENLIFE",PR!$AA577,IF(J579="HLINE",PR!$AB577,IF(J579="ROTECH",PR!$AC577,IF(J579="ISN",PR!$AD577,IF(J579="JAWA",PR!$AE577,IF(J579="LAYO",PR!$AF577,IF(J579="LEADWAY",PR!$AG577,IF(J579="LHV",PR!$AH577,IF(J579="MANOLA",PR!$AI577,IF(J579="MARCSON",PR!$AJ577,IF(J579="M&amp;B",PR!$AK577,IF(J579="MTRUST",PR!$AL577,IF(J579="MWORLD",PR!$AM577,IF(J579="MEGA",PR!$AN577,IF(J579="MICRONOVA",PR!$AO577,IF(J579="MFLASH",PR!$AP577,IF(J579="MORISON",PR!$AQ577,IF(J579="NEMEL",PR!$AR577,IF(J579="NHP",PR!$AS577,IF(J579="NHC",PR!$AT577,IF(J579="OLEAF",PR!$AU577,IF(J579="OCULUS",PR!$AV577,IF(J579="PACIFIC",PR!$AW577,IF(J579="PHAMATEX",PR!$AX577,IF(J579="PETHICS",PR!$AY577,IF(J579="PHILIPS",PR!$AZ577,IF(J579="RANBAXY",PR!$BA577,IF(J579="REALS",PR!$BB577,IF(J579="ROYAL",PR!$BC577,IF(J579="SAM",PR!$BD577,IF(J579="SEAGREEN",PR!$BE577,IF(J579="SKG",PR!$BF577,IF(J579="TAH",PR!$BG577,IF(J579="TAYLEK",PR!$BH577,IF(J579="TEMITA",PR!$BI577,IF(J579="THL",PR!$BJ577,IF(J579="UBASTIC",PR!$BK577,IF(J579="UNION",PR!$BL577,IF(J579="UNIQUE",PR!$BM577,IF(J579="VIXA",PR!$BN577,IF(J579="WWCV",PR!$BO577,IF(J579="ZOLON",PR!$BP577,"-"))))))))))))))))))))))))))))))))))))))))))))))))))))))))))))))))</f>
        <v>-</v>
      </c>
      <c r="J579" s="102">
        <f>EV!N731</f>
        <v>0</v>
      </c>
      <c r="K579" s="433" t="s">
        <v>821</v>
      </c>
      <c r="L579" s="183">
        <f>IF(K579&gt;0,IF(K579="ALPHA",PR!$E577,IF(K579="ASSENE",PR!$F577,IF(K579="BIOFEM",PR!$G577,IF(K579="BIOMED",PR!$H577,IF(K579="CHI",PR!$I577,IF(K579="CLARION",PR!$J577,IF(K579="CODIX",PR!$K577,IF(K579="COSMADE",PR!$L577,IF(K579="SANCON",PR!$M577,IF(K579="DEVON",PR!$N577,IF(K579="DORTEMAG",PR!$O577,IF(K579="DGF",PR!$P577,IF(K579="DYNAMIC",PR!$Q577,IF(K579="EMZOR",PR!$R577,IF(K579="EUMATT",PR!$S577,IF(K579="FIDSON",PR!$T577,IF(K579="FCGLOBAL",PR!$U577,IF(K579="GENEITH",PR!$V577,IF(K579="GINOS",PR!$W577,IF(K579="GSK",PR!$X577,IF(K579="GLOBORG",PR!$Y577,IF(K579="GOODNEWS",PR!$Z577,IF(K579="GREENLIFE",PR!$AA577,IF(K579="HLINE",PR!$AB577,IF(K579="ROTECH",PR!$AC577,IF(K579="ISN",PR!$AD577,IF(K579="JAWA",PR!$AE577,IF(K579="LAYO",PR!$AF577,IF(K579="LEADWAY",PR!$AG577,IF(K579="LHV",PR!$AH577,IF(K579="MANOLA",PR!$AI577,IF(K579="MARCSON",PR!$AJ577,IF(K579="M&amp;B",PR!$AK577,IF(K579="MTRUST",PR!$AL577,IF(K579="MWORLD",PR!$AM577,IF(K579="MEGA",PR!$AN577,IF(K579="MICRONOVA",PR!$AO577,IF(K579="MFLASH",PR!$AP577,IF(K579="MORISON",PR!$AQ577,IF(K579="NEMEL",PR!$AR577,IF(K579="NHP",PR!$AS577,IF(K579="NHC",PR!$AT577,IF(K579="OLEAF",PR!$AU577,IF(K579="OCULUS",PR!$AV577,IF(K579="PACIFIC",PR!$AW577,IF(K579="PHAMATEX",PR!$AX577,IF(K579="PETHICS",PR!$AY577,IF(K579="PHILIPS",PR!$AZ577,IF(K579="RANBAXY",PR!$BA577,IF(K579="REALS",PR!$BB577,IF(K579="ROYAL",PR!$BC577,IF(K579="SAM",PR!$BD577,IF(K579="SEAGREEN",PR!$BE577,IF(K579="SKG",PR!$BF577,IF(K579="TAH",PR!$BG577,IF(K579="TAYLEK",PR!$BH577,IF(K579="TEMITA",PR!$BI577,IF(K579="THL",PR!$BJ577,IF(K579="UBASTIC",PR!$BK577,IF(K579="UNION",PR!$BL577,IF(K579="UNIQUE",PR!$BM577,IF(K579="VIXA",PR!$BN577,IF(K579="WWCV",PR!$BO577,IF(K579="ZOLON",PR!$BP577,"-")))))))))))))))))))))))))))))))))))))))))))))))))))))))))))))))))</f>
        <v>760</v>
      </c>
    </row>
    <row r="580" spans="1:12" ht="18.75" x14ac:dyDescent="0.3">
      <c r="A580" s="430">
        <f>PR!A578</f>
        <v>523</v>
      </c>
      <c r="B580" s="15" t="str">
        <f>PR!B578</f>
        <v>OTOMED EAR DROP</v>
      </c>
      <c r="C580" s="113" t="str">
        <f>PR!D578</f>
        <v>BOTT</v>
      </c>
      <c r="D580" s="113">
        <f>PR!C578</f>
        <v>100</v>
      </c>
      <c r="E580" s="108">
        <f>IF(F580="ALPHA",PR!$E578,IF(F580="ASSENE",PR!$F578,IF(F580="BIOFEM",PR!$G578,IF(F580="BIOMED",PR!$H578,IF(F580="CHI",PR!$I578,IF(F580="CLARION",PR!$J578,IF(F580="CODIX",PR!$K578,IF(F580="COSMADE",PR!$L578,IF(F580="SANCON",PR!$M578,IF(F580="DEVON",PR!$N578,IF(F580="DORTEMAG",PR!$O578,IF(F580="DGF",PR!$P578,IF(F580="DYNAMIC",PR!$Q578,IF(F580="EMZOR",PR!$R578,IF(F580="EUMATT",PR!$S578,IF(F580="FIDSON",PR!$T578,IF(F580="FCGLOBAL",PR!$U578,IF(F580="GENEITH",PR!$V578,IF(F580="GINOS",PR!$W578,IF(F580="GSK",PR!$X578,IF(F580="GLOBORG",PR!$Y578,IF(F580="GOODNEWS",PR!$Z578,IF(F580="GREENLIFE",PR!$AA578,IF(F580="HLINE",PR!$AB578,IF(F580="ROTECH",PR!$AC578,IF(F580="ISN",PR!$AD578,IF(F580="JAWA",PR!$AE578,IF(F580="LAYO",PR!$AF578,IF(F580="LEADWAY",PR!$AG578,IF(F580="LHV",PR!$AH578,IF(F580="MANOLA",PR!$AI578,IF(F580="MARCSON",PR!$AJ578,IF(F580="M&amp;B",PR!$AK578,IF(F580="MTRUST",PR!$AL578,IF(F580="MWORLD",PR!$AM578,IF(F580="MEGA",PR!$AN578,IF(F580="MICRONOVA",PR!$AO578,IF(F580="MFLASH",PR!$AP578,IF(F580="MORISON",PR!$AQ578,IF(F580="NEMEL",PR!$AR578,IF(F580="NHP",PR!$AS578,IF(F580="NHC",PR!$AT578,IF(F580="OLEAF",PR!$AU578,IF(F580="OCULUS",PR!$AV578,IF(F580="PACIFIC",PR!$AW578,IF(F580="PHAMATEX",PR!$AX578,IF(F580="PETHICS",PR!$AY578,IF(F580="PHILIPS",PR!$AZ578,IF(F580="RANBAXY",PR!$BA578,IF(F580="REALS",PR!$BB578,IF(F580="ROYAL",PR!$BC578,IF(F580="SAM",PR!$BD578,IF(F580="SEAGREEN",PR!$BE578,IF(F580="SKG",PR!$BF578,IF(F580="TAH",PR!$BG578,IF(F580="TAYLEK",PR!$BH578,IF(F580="TEMITA",PR!$BI578,IF(F580="THL",PR!$BJ578,IF(F580="UBASTIC",PR!$BK578,IF(F580="UNION",PR!$BL578,IF(F580="UNIQUE",PR!$BM578,IF(F580="VIXA",PR!$BN578,IF(F580="WWCV",PR!$BO578,IF(F580="ZOLON",PR!$BP578,"-"))))))))))))))))))))))))))))))))))))))))))))))))))))))))))))))))</f>
        <v>350</v>
      </c>
      <c r="F580" s="102" t="str">
        <f>EV!L732</f>
        <v>EUMATT</v>
      </c>
      <c r="G580" s="108" t="str">
        <f>IF(H580="ALPHA",PR!$E578,IF(H580="ASSENE",PR!$F578,IF(H580="BIOFEM",PR!$G578,IF(H580="BIOMED",PR!$H578,IF(H580="CHI",PR!$I578,IF(H580="CLARION",PR!$J578,IF(H580="CODIX",PR!$K578,IF(H580="COSMADE",PR!$L578,IF(H580="SANCON",PR!$M578,IF(H580="DEVON",PR!$N578,IF(H580="DORTEMAG",PR!$O578,IF(H580="DGF",PR!$P578,IF(H580="DYNAMIC",PR!$Q578,IF(H580="EMZOR",PR!$R578,IF(H580="EUMATT",PR!$S578,IF(H580="FIDSON",PR!$T578,IF(H580="FCGLOBAL",PR!$U578,IF(H580="GENEITH",PR!$V578,IF(H580="GINOS",PR!$W578,IF(H580="GSK",PR!$X578,IF(H580="GLOBORG",PR!$Y578,IF(H580="GOODNEWS",PR!$Z578,IF(H580="GREENLIFE",PR!$AA578,IF(H580="HLINE",PR!$AB578,IF(H580="ROTECH",PR!$AC578,IF(H580="ISN",PR!$AD578,IF(H580="JAWA",PR!$AE578,IF(H580="LAYO",PR!$AF578,IF(H580="LEADWAY",PR!$AG578,IF(H580="LHV",PR!$AH578,IF(H580="MANOLA",PR!$AI578,IF(H580="MARCSON",PR!$AJ578,IF(H580="M&amp;B",PR!$AK578,IF(H580="MTRUST",PR!$AL578,IF(H580="MWORLD",PR!$AM578,IF(H580="MEGA",PR!$AN578,IF(H580="MICRONOVA",PR!$AO578,IF(H580="MFLASH",PR!$AP578,IF(H580="MORISON",PR!$AQ578,IF(H580="NEMEL",PR!$AR578,IF(H580="NHP",PR!$AS578,IF(H580="NHC",PR!$AT578,IF(H580="OLEAF",PR!$AU578,IF(H580="OCULUS",PR!$AV578,IF(H580="PACIFIC",PR!$AW578,IF(H580="PHAMATEX",PR!$AX578,IF(H580="PETHICS",PR!$AY578,IF(H580="PHILIPS",PR!$AZ578,IF(H580="RANBAXY",PR!$BA578,IF(H580="REALS",PR!$BB578,IF(H580="ROYAL",PR!$BC578,IF(H580="SAM",PR!$BD578,IF(H580="SEAGREEN",PR!$BE578,IF(H580="SKG",PR!$BF578,IF(H580="TAH",PR!$BG578,IF(H580="TAYLEK",PR!$BH578,IF(H580="TEMITA",PR!$BI578,IF(H580="THL",PR!$BJ578,IF(H580="UBASTIC",PR!$BK578,IF(H580="UNION",PR!$BL578,IF(H580="UNIQUE",PR!$BM578,IF(H580="VIXA",PR!$BN578,IF(H580="WWCV",PR!$BO578,IF(H580="ZOLON",PR!$BP578,"-"))))))))))))))))))))))))))))))))))))))))))))))))))))))))))))))))</f>
        <v>-</v>
      </c>
      <c r="H580" s="102">
        <f>EV!M732</f>
        <v>0</v>
      </c>
      <c r="I580" s="108" t="str">
        <f>IF(J580="ALPHA",PR!$E578,IF(J580="ASSENE",PR!$F578,IF(J580="BIOFEM",PR!$G578,IF(J580="BIOMED",PR!$H578,IF(J580="CHI",PR!$I578,IF(J580="CLARION",PR!$J578,IF(J580="CODIX",PR!$K578,IF(J580="COSMADE",PR!$L578,IF(J580="SANCON",PR!$M578,IF(J580="DEVON",PR!$N578,IF(J580="DORTEMAG",PR!$O578,IF(J580="DGF",PR!$P578,IF(J580="DYNAMIC",PR!$Q578,IF(J580="EMZOR",PR!$R578,IF(J580="EUMATT",PR!$S578,IF(J580="FIDSON",PR!$T578,IF(J580="FCGLOBAL",PR!$U578,IF(J580="GENEITH",PR!$V578,IF(J580="GINOS",PR!$W578,IF(J580="GSK",PR!$X578,IF(J580="GLOBORG",PR!$Y578,IF(J580="GOODNEWS",PR!$Z578,IF(J580="GREENLIFE",PR!$AA578,IF(J580="HLINE",PR!$AB578,IF(J580="ROTECH",PR!$AC578,IF(J580="ISN",PR!$AD578,IF(J580="JAWA",PR!$AE578,IF(J580="LAYO",PR!$AF578,IF(J580="LEADWAY",PR!$AG578,IF(J580="LHV",PR!$AH578,IF(J580="MANOLA",PR!$AI578,IF(J580="MARCSON",PR!$AJ578,IF(J580="M&amp;B",PR!$AK578,IF(J580="MTRUST",PR!$AL578,IF(J580="MWORLD",PR!$AM578,IF(J580="MEGA",PR!$AN578,IF(J580="MICRONOVA",PR!$AO578,IF(J580="MFLASH",PR!$AP578,IF(J580="MORISON",PR!$AQ578,IF(J580="NEMEL",PR!$AR578,IF(J580="NHP",PR!$AS578,IF(J580="NHC",PR!$AT578,IF(J580="OLEAF",PR!$AU578,IF(J580="OCULUS",PR!$AV578,IF(J580="PACIFIC",PR!$AW578,IF(J580="PHAMATEX",PR!$AX578,IF(J580="PETHICS",PR!$AY578,IF(J580="PHILIPS",PR!$AZ578,IF(J580="RANBAXY",PR!$BA578,IF(J580="REALS",PR!$BB578,IF(J580="ROYAL",PR!$BC578,IF(J580="SAM",PR!$BD578,IF(J580="SEAGREEN",PR!$BE578,IF(J580="SKG",PR!$BF578,IF(J580="TAH",PR!$BG578,IF(J580="TAYLEK",PR!$BH578,IF(J580="TEMITA",PR!$BI578,IF(J580="THL",PR!$BJ578,IF(J580="UBASTIC",PR!$BK578,IF(J580="UNION",PR!$BL578,IF(J580="UNIQUE",PR!$BM578,IF(J580="VIXA",PR!$BN578,IF(J580="WWCV",PR!$BO578,IF(J580="ZOLON",PR!$BP578,"-"))))))))))))))))))))))))))))))))))))))))))))))))))))))))))))))))</f>
        <v>-</v>
      </c>
      <c r="J580" s="102">
        <f>EV!N732</f>
        <v>0</v>
      </c>
      <c r="K580" s="433"/>
      <c r="L580" s="183" t="b">
        <f>IF(K580&gt;0,IF(K580="ALPHA",PR!$E578,IF(K580="ASSENE",PR!$F578,IF(K580="BIOFEM",PR!$G578,IF(K580="BIOMED",PR!$H578,IF(K580="CHI",PR!$I578,IF(K580="CLARION",PR!$J578,IF(K580="CODIX",PR!$K578,IF(K580="COSMADE",PR!$L578,IF(K580="SANCON",PR!$M578,IF(K580="DEVON",PR!$N578,IF(K580="DORTEMAG",PR!$O578,IF(K580="DGF",PR!$P578,IF(K580="DYNAMIC",PR!$Q578,IF(K580="EMZOR",PR!$R578,IF(K580="EUMATT",PR!$S578,IF(K580="FIDSON",PR!$T578,IF(K580="FCGLOBAL",PR!$U578,IF(K580="GENEITH",PR!$V578,IF(K580="GINOS",PR!$W578,IF(K580="GSK",PR!$X578,IF(K580="GLOBORG",PR!$Y578,IF(K580="GOODNEWS",PR!$Z578,IF(K580="GREENLIFE",PR!$AA578,IF(K580="HLINE",PR!$AB578,IF(K580="ROTECH",PR!$AC578,IF(K580="ISN",PR!$AD578,IF(K580="JAWA",PR!$AE578,IF(K580="LAYO",PR!$AF578,IF(K580="LEADWAY",PR!$AG578,IF(K580="LHV",PR!$AH578,IF(K580="MANOLA",PR!$AI578,IF(K580="MARCSON",PR!$AJ578,IF(K580="M&amp;B",PR!$AK578,IF(K580="MTRUST",PR!$AL578,IF(K580="MWORLD",PR!$AM578,IF(K580="MEGA",PR!$AN578,IF(K580="MICRONOVA",PR!$AO578,IF(K580="MFLASH",PR!$AP578,IF(K580="MORISON",PR!$AQ578,IF(K580="NEMEL",PR!$AR578,IF(K580="NHP",PR!$AS578,IF(K580="NHC",PR!$AT578,IF(K580="OLEAF",PR!$AU578,IF(K580="OCULUS",PR!$AV578,IF(K580="PACIFIC",PR!$AW578,IF(K580="PHAMATEX",PR!$AX578,IF(K580="PETHICS",PR!$AY578,IF(K580="PHILIPS",PR!$AZ578,IF(K580="RANBAXY",PR!$BA578,IF(K580="REALS",PR!$BB578,IF(K580="ROYAL",PR!$BC578,IF(K580="SAM",PR!$BD578,IF(K580="SEAGREEN",PR!$BE578,IF(K580="SKG",PR!$BF578,IF(K580="TAH",PR!$BG578,IF(K580="TAYLEK",PR!$BH578,IF(K580="TEMITA",PR!$BI578,IF(K580="THL",PR!$BJ578,IF(K580="UBASTIC",PR!$BK578,IF(K580="UNION",PR!$BL578,IF(K580="UNIQUE",PR!$BM578,IF(K580="VIXA",PR!$BN578,IF(K580="WWCV",PR!$BO578,IF(K580="ZOLON",PR!$BP578,"-")))))))))))))))))))))))))))))))))))))))))))))))))))))))))))))))))</f>
        <v>0</v>
      </c>
    </row>
    <row r="581" spans="1:12" ht="18.75" x14ac:dyDescent="0.3">
      <c r="A581" s="430">
        <f>PR!A579</f>
        <v>524</v>
      </c>
      <c r="B581" s="15" t="str">
        <f>PR!B579</f>
        <v>PILOCARPINE 4% GTT</v>
      </c>
      <c r="C581" s="113" t="str">
        <f>PR!D579</f>
        <v>BOTT</v>
      </c>
      <c r="D581" s="113">
        <f>PR!C579</f>
        <v>80</v>
      </c>
      <c r="E581" s="108">
        <f>IF(F581="ALPHA",PR!$E579,IF(F581="ASSENE",PR!$F579,IF(F581="BIOFEM",PR!$G579,IF(F581="BIOMED",PR!$H579,IF(F581="CHI",PR!$I579,IF(F581="CLARION",PR!$J579,IF(F581="CODIX",PR!$K579,IF(F581="COSMADE",PR!$L579,IF(F581="SANCON",PR!$M579,IF(F581="DEVON",PR!$N579,IF(F581="DORTEMAG",PR!$O579,IF(F581="DGF",PR!$P579,IF(F581="DYNAMIC",PR!$Q579,IF(F581="EMZOR",PR!$R579,IF(F581="EUMATT",PR!$S579,IF(F581="FIDSON",PR!$T579,IF(F581="FCGLOBAL",PR!$U579,IF(F581="GENEITH",PR!$V579,IF(F581="GINOS",PR!$W579,IF(F581="GSK",PR!$X579,IF(F581="GLOBORG",PR!$Y579,IF(F581="GOODNEWS",PR!$Z579,IF(F581="GREENLIFE",PR!$AA579,IF(F581="HLINE",PR!$AB579,IF(F581="ROTECH",PR!$AC579,IF(F581="ISN",PR!$AD579,IF(F581="JAWA",PR!$AE579,IF(F581="LAYO",PR!$AF579,IF(F581="LEADWAY",PR!$AG579,IF(F581="LHV",PR!$AH579,IF(F581="MANOLA",PR!$AI579,IF(F581="MARCSON",PR!$AJ579,IF(F581="M&amp;B",PR!$AK579,IF(F581="MTRUST",PR!$AL579,IF(F581="MWORLD",PR!$AM579,IF(F581="MEGA",PR!$AN579,IF(F581="MICRONOVA",PR!$AO579,IF(F581="MFLASH",PR!$AP579,IF(F581="MORISON",PR!$AQ579,IF(F581="NEMEL",PR!$AR579,IF(F581="NHP",PR!$AS579,IF(F581="NHC",PR!$AT579,IF(F581="OLEAF",PR!$AU579,IF(F581="OCULUS",PR!$AV579,IF(F581="PACIFIC",PR!$AW579,IF(F581="PHAMATEX",PR!$AX579,IF(F581="PETHICS",PR!$AY579,IF(F581="PHILIPS",PR!$AZ579,IF(F581="RANBAXY",PR!$BA579,IF(F581="REALS",PR!$BB579,IF(F581="ROYAL",PR!$BC579,IF(F581="SAM",PR!$BD579,IF(F581="SEAGREEN",PR!$BE579,IF(F581="SKG",PR!$BF579,IF(F581="TAH",PR!$BG579,IF(F581="TAYLEK",PR!$BH579,IF(F581="TEMITA",PR!$BI579,IF(F581="THL",PR!$BJ579,IF(F581="UBASTIC",PR!$BK579,IF(F581="UNION",PR!$BL579,IF(F581="UNIQUE",PR!$BM579,IF(F581="VIXA",PR!$BN579,IF(F581="WWCV",PR!$BO579,IF(F581="ZOLON",PR!$BP579,"-"))))))))))))))))))))))))))))))))))))))))))))))))))))))))))))))))</f>
        <v>2300</v>
      </c>
      <c r="F581" s="102" t="str">
        <f>EV!L733</f>
        <v>EUMATT</v>
      </c>
      <c r="G581" s="108" t="str">
        <f>IF(H581="ALPHA",PR!$E579,IF(H581="ASSENE",PR!$F579,IF(H581="BIOFEM",PR!$G579,IF(H581="BIOMED",PR!$H579,IF(H581="CHI",PR!$I579,IF(H581="CLARION",PR!$J579,IF(H581="CODIX",PR!$K579,IF(H581="COSMADE",PR!$L579,IF(H581="SANCON",PR!$M579,IF(H581="DEVON",PR!$N579,IF(H581="DORTEMAG",PR!$O579,IF(H581="DGF",PR!$P579,IF(H581="DYNAMIC",PR!$Q579,IF(H581="EMZOR",PR!$R579,IF(H581="EUMATT",PR!$S579,IF(H581="FIDSON",PR!$T579,IF(H581="FCGLOBAL",PR!$U579,IF(H581="GENEITH",PR!$V579,IF(H581="GINOS",PR!$W579,IF(H581="GSK",PR!$X579,IF(H581="GLOBORG",PR!$Y579,IF(H581="GOODNEWS",PR!$Z579,IF(H581="GREENLIFE",PR!$AA579,IF(H581="HLINE",PR!$AB579,IF(H581="ROTECH",PR!$AC579,IF(H581="ISN",PR!$AD579,IF(H581="JAWA",PR!$AE579,IF(H581="LAYO",PR!$AF579,IF(H581="LEADWAY",PR!$AG579,IF(H581="LHV",PR!$AH579,IF(H581="MANOLA",PR!$AI579,IF(H581="MARCSON",PR!$AJ579,IF(H581="M&amp;B",PR!$AK579,IF(H581="MTRUST",PR!$AL579,IF(H581="MWORLD",PR!$AM579,IF(H581="MEGA",PR!$AN579,IF(H581="MICRONOVA",PR!$AO579,IF(H581="MFLASH",PR!$AP579,IF(H581="MORISON",PR!$AQ579,IF(H581="NEMEL",PR!$AR579,IF(H581="NHP",PR!$AS579,IF(H581="NHC",PR!$AT579,IF(H581="OLEAF",PR!$AU579,IF(H581="OCULUS",PR!$AV579,IF(H581="PACIFIC",PR!$AW579,IF(H581="PHAMATEX",PR!$AX579,IF(H581="PETHICS",PR!$AY579,IF(H581="PHILIPS",PR!$AZ579,IF(H581="RANBAXY",PR!$BA579,IF(H581="REALS",PR!$BB579,IF(H581="ROYAL",PR!$BC579,IF(H581="SAM",PR!$BD579,IF(H581="SEAGREEN",PR!$BE579,IF(H581="SKG",PR!$BF579,IF(H581="TAH",PR!$BG579,IF(H581="TAYLEK",PR!$BH579,IF(H581="TEMITA",PR!$BI579,IF(H581="THL",PR!$BJ579,IF(H581="UBASTIC",PR!$BK579,IF(H581="UNION",PR!$BL579,IF(H581="UNIQUE",PR!$BM579,IF(H581="VIXA",PR!$BN579,IF(H581="WWCV",PR!$BO579,IF(H581="ZOLON",PR!$BP579,"-"))))))))))))))))))))))))))))))))))))))))))))))))))))))))))))))))</f>
        <v>-</v>
      </c>
      <c r="H581" s="102">
        <f>EV!M733</f>
        <v>0</v>
      </c>
      <c r="I581" s="108" t="str">
        <f>IF(J581="ALPHA",PR!$E579,IF(J581="ASSENE",PR!$F579,IF(J581="BIOFEM",PR!$G579,IF(J581="BIOMED",PR!$H579,IF(J581="CHI",PR!$I579,IF(J581="CLARION",PR!$J579,IF(J581="CODIX",PR!$K579,IF(J581="COSMADE",PR!$L579,IF(J581="SANCON",PR!$M579,IF(J581="DEVON",PR!$N579,IF(J581="DORTEMAG",PR!$O579,IF(J581="DGF",PR!$P579,IF(J581="DYNAMIC",PR!$Q579,IF(J581="EMZOR",PR!$R579,IF(J581="EUMATT",PR!$S579,IF(J581="FIDSON",PR!$T579,IF(J581="FCGLOBAL",PR!$U579,IF(J581="GENEITH",PR!$V579,IF(J581="GINOS",PR!$W579,IF(J581="GSK",PR!$X579,IF(J581="GLOBORG",PR!$Y579,IF(J581="GOODNEWS",PR!$Z579,IF(J581="GREENLIFE",PR!$AA579,IF(J581="HLINE",PR!$AB579,IF(J581="ROTECH",PR!$AC579,IF(J581="ISN",PR!$AD579,IF(J581="JAWA",PR!$AE579,IF(J581="LAYO",PR!$AF579,IF(J581="LEADWAY",PR!$AG579,IF(J581="LHV",PR!$AH579,IF(J581="MANOLA",PR!$AI579,IF(J581="MARCSON",PR!$AJ579,IF(J581="M&amp;B",PR!$AK579,IF(J581="MTRUST",PR!$AL579,IF(J581="MWORLD",PR!$AM579,IF(J581="MEGA",PR!$AN579,IF(J581="MICRONOVA",PR!$AO579,IF(J581="MFLASH",PR!$AP579,IF(J581="MORISON",PR!$AQ579,IF(J581="NEMEL",PR!$AR579,IF(J581="NHP",PR!$AS579,IF(J581="NHC",PR!$AT579,IF(J581="OLEAF",PR!$AU579,IF(J581="OCULUS",PR!$AV579,IF(J581="PACIFIC",PR!$AW579,IF(J581="PHAMATEX",PR!$AX579,IF(J581="PETHICS",PR!$AY579,IF(J581="PHILIPS",PR!$AZ579,IF(J581="RANBAXY",PR!$BA579,IF(J581="REALS",PR!$BB579,IF(J581="ROYAL",PR!$BC579,IF(J581="SAM",PR!$BD579,IF(J581="SEAGREEN",PR!$BE579,IF(J581="SKG",PR!$BF579,IF(J581="TAH",PR!$BG579,IF(J581="TAYLEK",PR!$BH579,IF(J581="TEMITA",PR!$BI579,IF(J581="THL",PR!$BJ579,IF(J581="UBASTIC",PR!$BK579,IF(J581="UNION",PR!$BL579,IF(J581="UNIQUE",PR!$BM579,IF(J581="VIXA",PR!$BN579,IF(J581="WWCV",PR!$BO579,IF(J581="ZOLON",PR!$BP579,"-"))))))))))))))))))))))))))))))))))))))))))))))))))))))))))))))))</f>
        <v>-</v>
      </c>
      <c r="J581" s="102">
        <f>EV!N733</f>
        <v>0</v>
      </c>
      <c r="K581" s="433" t="s">
        <v>821</v>
      </c>
      <c r="L581" s="183">
        <f>IF(K581&gt;0,IF(K581="ALPHA",PR!$E579,IF(K581="ASSENE",PR!$F579,IF(K581="BIOFEM",PR!$G579,IF(K581="BIOMED",PR!$H579,IF(K581="CHI",PR!$I579,IF(K581="CLARION",PR!$J579,IF(K581="CODIX",PR!$K579,IF(K581="COSMADE",PR!$L579,IF(K581="SANCON",PR!$M579,IF(K581="DEVON",PR!$N579,IF(K581="DORTEMAG",PR!$O579,IF(K581="DGF",PR!$P579,IF(K581="DYNAMIC",PR!$Q579,IF(K581="EMZOR",PR!$R579,IF(K581="EUMATT",PR!$S579,IF(K581="FIDSON",PR!$T579,IF(K581="FCGLOBAL",PR!$U579,IF(K581="GENEITH",PR!$V579,IF(K581="GINOS",PR!$W579,IF(K581="GSK",PR!$X579,IF(K581="GLOBORG",PR!$Y579,IF(K581="GOODNEWS",PR!$Z579,IF(K581="GREENLIFE",PR!$AA579,IF(K581="HLINE",PR!$AB579,IF(K581="ROTECH",PR!$AC579,IF(K581="ISN",PR!$AD579,IF(K581="JAWA",PR!$AE579,IF(K581="LAYO",PR!$AF579,IF(K581="LEADWAY",PR!$AG579,IF(K581="LHV",PR!$AH579,IF(K581="MANOLA",PR!$AI579,IF(K581="MARCSON",PR!$AJ579,IF(K581="M&amp;B",PR!$AK579,IF(K581="MTRUST",PR!$AL579,IF(K581="MWORLD",PR!$AM579,IF(K581="MEGA",PR!$AN579,IF(K581="MICRONOVA",PR!$AO579,IF(K581="MFLASH",PR!$AP579,IF(K581="MORISON",PR!$AQ579,IF(K581="NEMEL",PR!$AR579,IF(K581="NHP",PR!$AS579,IF(K581="NHC",PR!$AT579,IF(K581="OLEAF",PR!$AU579,IF(K581="OCULUS",PR!$AV579,IF(K581="PACIFIC",PR!$AW579,IF(K581="PHAMATEX",PR!$AX579,IF(K581="PETHICS",PR!$AY579,IF(K581="PHILIPS",PR!$AZ579,IF(K581="RANBAXY",PR!$BA579,IF(K581="REALS",PR!$BB579,IF(K581="ROYAL",PR!$BC579,IF(K581="SAM",PR!$BD579,IF(K581="SEAGREEN",PR!$BE579,IF(K581="SKG",PR!$BF579,IF(K581="TAH",PR!$BG579,IF(K581="TAYLEK",PR!$BH579,IF(K581="TEMITA",PR!$BI579,IF(K581="THL",PR!$BJ579,IF(K581="UBASTIC",PR!$BK579,IF(K581="UNION",PR!$BL579,IF(K581="UNIQUE",PR!$BM579,IF(K581="VIXA",PR!$BN579,IF(K581="WWCV",PR!$BO579,IF(K581="ZOLON",PR!$BP579,"-")))))))))))))))))))))))))))))))))))))))))))))))))))))))))))))))))</f>
        <v>2300</v>
      </c>
    </row>
    <row r="582" spans="1:12" ht="18.75" x14ac:dyDescent="0.3">
      <c r="A582" s="430">
        <f>PR!A580</f>
        <v>525</v>
      </c>
      <c r="B582" s="15" t="str">
        <f>PR!B580</f>
        <v>PILOCARPINE 2% GTT</v>
      </c>
      <c r="C582" s="113" t="str">
        <f>PR!D580</f>
        <v>BOTT</v>
      </c>
      <c r="D582" s="113">
        <f>PR!C580</f>
        <v>80</v>
      </c>
      <c r="E582" s="108">
        <f>IF(F582="ALPHA",PR!$E580,IF(F582="ASSENE",PR!$F580,IF(F582="BIOFEM",PR!$G580,IF(F582="BIOMED",PR!$H580,IF(F582="CHI",PR!$I580,IF(F582="CLARION",PR!$J580,IF(F582="CODIX",PR!$K580,IF(F582="COSMADE",PR!$L580,IF(F582="SANCON",PR!$M580,IF(F582="DEVON",PR!$N580,IF(F582="DORTEMAG",PR!$O580,IF(F582="DGF",PR!$P580,IF(F582="DYNAMIC",PR!$Q580,IF(F582="EMZOR",PR!$R580,IF(F582="EUMATT",PR!$S580,IF(F582="FIDSON",PR!$T580,IF(F582="FCGLOBAL",PR!$U580,IF(F582="GENEITH",PR!$V580,IF(F582="GINOS",PR!$W580,IF(F582="GSK",PR!$X580,IF(F582="GLOBORG",PR!$Y580,IF(F582="GOODNEWS",PR!$Z580,IF(F582="GREENLIFE",PR!$AA580,IF(F582="HLINE",PR!$AB580,IF(F582="ROTECH",PR!$AC580,IF(F582="ISN",PR!$AD580,IF(F582="JAWA",PR!$AE580,IF(F582="LAYO",PR!$AF580,IF(F582="LEADWAY",PR!$AG580,IF(F582="LHV",PR!$AH580,IF(F582="MANOLA",PR!$AI580,IF(F582="MARCSON",PR!$AJ580,IF(F582="M&amp;B",PR!$AK580,IF(F582="MTRUST",PR!$AL580,IF(F582="MWORLD",PR!$AM580,IF(F582="MEGA",PR!$AN580,IF(F582="MICRONOVA",PR!$AO580,IF(F582="MFLASH",PR!$AP580,IF(F582="MORISON",PR!$AQ580,IF(F582="NEMEL",PR!$AR580,IF(F582="NHP",PR!$AS580,IF(F582="NHC",PR!$AT580,IF(F582="OLEAF",PR!$AU580,IF(F582="OCULUS",PR!$AV580,IF(F582="PACIFIC",PR!$AW580,IF(F582="PHAMATEX",PR!$AX580,IF(F582="PETHICS",PR!$AY580,IF(F582="PHILIPS",PR!$AZ580,IF(F582="RANBAXY",PR!$BA580,IF(F582="REALS",PR!$BB580,IF(F582="ROYAL",PR!$BC580,IF(F582="SAM",PR!$BD580,IF(F582="SEAGREEN",PR!$BE580,IF(F582="SKG",PR!$BF580,IF(F582="TAH",PR!$BG580,IF(F582="TAYLEK",PR!$BH580,IF(F582="TEMITA",PR!$BI580,IF(F582="THL",PR!$BJ580,IF(F582="UBASTIC",PR!$BK580,IF(F582="UNION",PR!$BL580,IF(F582="UNIQUE",PR!$BM580,IF(F582="VIXA",PR!$BN580,IF(F582="WWCV",PR!$BO580,IF(F582="ZOLON",PR!$BP580,"-"))))))))))))))))))))))))))))))))))))))))))))))))))))))))))))))))</f>
        <v>1500</v>
      </c>
      <c r="F582" s="102" t="str">
        <f>EV!L734</f>
        <v>EUMATT</v>
      </c>
      <c r="G582" s="108" t="str">
        <f>IF(H582="ALPHA",PR!$E580,IF(H582="ASSENE",PR!$F580,IF(H582="BIOFEM",PR!$G580,IF(H582="BIOMED",PR!$H580,IF(H582="CHI",PR!$I580,IF(H582="CLARION",PR!$J580,IF(H582="CODIX",PR!$K580,IF(H582="COSMADE",PR!$L580,IF(H582="SANCON",PR!$M580,IF(H582="DEVON",PR!$N580,IF(H582="DORTEMAG",PR!$O580,IF(H582="DGF",PR!$P580,IF(H582="DYNAMIC",PR!$Q580,IF(H582="EMZOR",PR!$R580,IF(H582="EUMATT",PR!$S580,IF(H582="FIDSON",PR!$T580,IF(H582="FCGLOBAL",PR!$U580,IF(H582="GENEITH",PR!$V580,IF(H582="GINOS",PR!$W580,IF(H582="GSK",PR!$X580,IF(H582="GLOBORG",PR!$Y580,IF(H582="GOODNEWS",PR!$Z580,IF(H582="GREENLIFE",PR!$AA580,IF(H582="HLINE",PR!$AB580,IF(H582="ROTECH",PR!$AC580,IF(H582="ISN",PR!$AD580,IF(H582="JAWA",PR!$AE580,IF(H582="LAYO",PR!$AF580,IF(H582="LEADWAY",PR!$AG580,IF(H582="LHV",PR!$AH580,IF(H582="MANOLA",PR!$AI580,IF(H582="MARCSON",PR!$AJ580,IF(H582="M&amp;B",PR!$AK580,IF(H582="MTRUST",PR!$AL580,IF(H582="MWORLD",PR!$AM580,IF(H582="MEGA",PR!$AN580,IF(H582="MICRONOVA",PR!$AO580,IF(H582="MFLASH",PR!$AP580,IF(H582="MORISON",PR!$AQ580,IF(H582="NEMEL",PR!$AR580,IF(H582="NHP",PR!$AS580,IF(H582="NHC",PR!$AT580,IF(H582="OLEAF",PR!$AU580,IF(H582="OCULUS",PR!$AV580,IF(H582="PACIFIC",PR!$AW580,IF(H582="PHAMATEX",PR!$AX580,IF(H582="PETHICS",PR!$AY580,IF(H582="PHILIPS",PR!$AZ580,IF(H582="RANBAXY",PR!$BA580,IF(H582="REALS",PR!$BB580,IF(H582="ROYAL",PR!$BC580,IF(H582="SAM",PR!$BD580,IF(H582="SEAGREEN",PR!$BE580,IF(H582="SKG",PR!$BF580,IF(H582="TAH",PR!$BG580,IF(H582="TAYLEK",PR!$BH580,IF(H582="TEMITA",PR!$BI580,IF(H582="THL",PR!$BJ580,IF(H582="UBASTIC",PR!$BK580,IF(H582="UNION",PR!$BL580,IF(H582="UNIQUE",PR!$BM580,IF(H582="VIXA",PR!$BN580,IF(H582="WWCV",PR!$BO580,IF(H582="ZOLON",PR!$BP580,"-"))))))))))))))))))))))))))))))))))))))))))))))))))))))))))))))))</f>
        <v>-</v>
      </c>
      <c r="H582" s="102">
        <f>EV!M734</f>
        <v>0</v>
      </c>
      <c r="I582" s="108" t="str">
        <f>IF(J582="ALPHA",PR!$E580,IF(J582="ASSENE",PR!$F580,IF(J582="BIOFEM",PR!$G580,IF(J582="BIOMED",PR!$H580,IF(J582="CHI",PR!$I580,IF(J582="CLARION",PR!$J580,IF(J582="CODIX",PR!$K580,IF(J582="COSMADE",PR!$L580,IF(J582="SANCON",PR!$M580,IF(J582="DEVON",PR!$N580,IF(J582="DORTEMAG",PR!$O580,IF(J582="DGF",PR!$P580,IF(J582="DYNAMIC",PR!$Q580,IF(J582="EMZOR",PR!$R580,IF(J582="EUMATT",PR!$S580,IF(J582="FIDSON",PR!$T580,IF(J582="FCGLOBAL",PR!$U580,IF(J582="GENEITH",PR!$V580,IF(J582="GINOS",PR!$W580,IF(J582="GSK",PR!$X580,IF(J582="GLOBORG",PR!$Y580,IF(J582="GOODNEWS",PR!$Z580,IF(J582="GREENLIFE",PR!$AA580,IF(J582="HLINE",PR!$AB580,IF(J582="ROTECH",PR!$AC580,IF(J582="ISN",PR!$AD580,IF(J582="JAWA",PR!$AE580,IF(J582="LAYO",PR!$AF580,IF(J582="LEADWAY",PR!$AG580,IF(J582="LHV",PR!$AH580,IF(J582="MANOLA",PR!$AI580,IF(J582="MARCSON",PR!$AJ580,IF(J582="M&amp;B",PR!$AK580,IF(J582="MTRUST",PR!$AL580,IF(J582="MWORLD",PR!$AM580,IF(J582="MEGA",PR!$AN580,IF(J582="MICRONOVA",PR!$AO580,IF(J582="MFLASH",PR!$AP580,IF(J582="MORISON",PR!$AQ580,IF(J582="NEMEL",PR!$AR580,IF(J582="NHP",PR!$AS580,IF(J582="NHC",PR!$AT580,IF(J582="OLEAF",PR!$AU580,IF(J582="OCULUS",PR!$AV580,IF(J582="PACIFIC",PR!$AW580,IF(J582="PHAMATEX",PR!$AX580,IF(J582="PETHICS",PR!$AY580,IF(J582="PHILIPS",PR!$AZ580,IF(J582="RANBAXY",PR!$BA580,IF(J582="REALS",PR!$BB580,IF(J582="ROYAL",PR!$BC580,IF(J582="SAM",PR!$BD580,IF(J582="SEAGREEN",PR!$BE580,IF(J582="SKG",PR!$BF580,IF(J582="TAH",PR!$BG580,IF(J582="TAYLEK",PR!$BH580,IF(J582="TEMITA",PR!$BI580,IF(J582="THL",PR!$BJ580,IF(J582="UBASTIC",PR!$BK580,IF(J582="UNION",PR!$BL580,IF(J582="UNIQUE",PR!$BM580,IF(J582="VIXA",PR!$BN580,IF(J582="WWCV",PR!$BO580,IF(J582="ZOLON",PR!$BP580,"-"))))))))))))))))))))))))))))))))))))))))))))))))))))))))))))))))</f>
        <v>-</v>
      </c>
      <c r="J582" s="102">
        <f>EV!N734</f>
        <v>0</v>
      </c>
      <c r="K582" s="433" t="s">
        <v>821</v>
      </c>
      <c r="L582" s="183">
        <f>IF(K582&gt;0,IF(K582="ALPHA",PR!$E580,IF(K582="ASSENE",PR!$F580,IF(K582="BIOFEM",PR!$G580,IF(K582="BIOMED",PR!$H580,IF(K582="CHI",PR!$I580,IF(K582="CLARION",PR!$J580,IF(K582="CODIX",PR!$K580,IF(K582="COSMADE",PR!$L580,IF(K582="SANCON",PR!$M580,IF(K582="DEVON",PR!$N580,IF(K582="DORTEMAG",PR!$O580,IF(K582="DGF",PR!$P580,IF(K582="DYNAMIC",PR!$Q580,IF(K582="EMZOR",PR!$R580,IF(K582="EUMATT",PR!$S580,IF(K582="FIDSON",PR!$T580,IF(K582="FCGLOBAL",PR!$U580,IF(K582="GENEITH",PR!$V580,IF(K582="GINOS",PR!$W580,IF(K582="GSK",PR!$X580,IF(K582="GLOBORG",PR!$Y580,IF(K582="GOODNEWS",PR!$Z580,IF(K582="GREENLIFE",PR!$AA580,IF(K582="HLINE",PR!$AB580,IF(K582="ROTECH",PR!$AC580,IF(K582="ISN",PR!$AD580,IF(K582="JAWA",PR!$AE580,IF(K582="LAYO",PR!$AF580,IF(K582="LEADWAY",PR!$AG580,IF(K582="LHV",PR!$AH580,IF(K582="MANOLA",PR!$AI580,IF(K582="MARCSON",PR!$AJ580,IF(K582="M&amp;B",PR!$AK580,IF(K582="MTRUST",PR!$AL580,IF(K582="MWORLD",PR!$AM580,IF(K582="MEGA",PR!$AN580,IF(K582="MICRONOVA",PR!$AO580,IF(K582="MFLASH",PR!$AP580,IF(K582="MORISON",PR!$AQ580,IF(K582="NEMEL",PR!$AR580,IF(K582="NHP",PR!$AS580,IF(K582="NHC",PR!$AT580,IF(K582="OLEAF",PR!$AU580,IF(K582="OCULUS",PR!$AV580,IF(K582="PACIFIC",PR!$AW580,IF(K582="PHAMATEX",PR!$AX580,IF(K582="PETHICS",PR!$AY580,IF(K582="PHILIPS",PR!$AZ580,IF(K582="RANBAXY",PR!$BA580,IF(K582="REALS",PR!$BB580,IF(K582="ROYAL",PR!$BC580,IF(K582="SAM",PR!$BD580,IF(K582="SEAGREEN",PR!$BE580,IF(K582="SKG",PR!$BF580,IF(K582="TAH",PR!$BG580,IF(K582="TAYLEK",PR!$BH580,IF(K582="TEMITA",PR!$BI580,IF(K582="THL",PR!$BJ580,IF(K582="UBASTIC",PR!$BK580,IF(K582="UNION",PR!$BL580,IF(K582="UNIQUE",PR!$BM580,IF(K582="VIXA",PR!$BN580,IF(K582="WWCV",PR!$BO580,IF(K582="ZOLON",PR!$BP580,"-")))))))))))))))))))))))))))))))))))))))))))))))))))))))))))))))))</f>
        <v>1500</v>
      </c>
    </row>
    <row r="583" spans="1:12" ht="18.75" x14ac:dyDescent="0.3">
      <c r="A583" s="430">
        <f>PR!A581</f>
        <v>526</v>
      </c>
      <c r="B583" s="15" t="str">
        <f>PR!B581</f>
        <v>POTASSIUM IODIDE+SODIUM IODIDE GTT</v>
      </c>
      <c r="C583" s="113" t="str">
        <f>PR!D581</f>
        <v>BOTT</v>
      </c>
      <c r="D583" s="113">
        <f>PR!C581</f>
        <v>10</v>
      </c>
      <c r="E583" s="108">
        <f>IF(F583="ALPHA",PR!$E581,IF(F583="ASSENE",PR!$F581,IF(F583="BIOFEM",PR!$G581,IF(F583="BIOMED",PR!$H581,IF(F583="CHI",PR!$I581,IF(F583="CLARION",PR!$J581,IF(F583="CODIX",PR!$K581,IF(F583="COSMADE",PR!$L581,IF(F583="SANCON",PR!$M581,IF(F583="DEVON",PR!$N581,IF(F583="DORTEMAG",PR!$O581,IF(F583="DGF",PR!$P581,IF(F583="DYNAMIC",PR!$Q581,IF(F583="EMZOR",PR!$R581,IF(F583="EUMATT",PR!$S581,IF(F583="FIDSON",PR!$T581,IF(F583="FCGLOBAL",PR!$U581,IF(F583="GENEITH",PR!$V581,IF(F583="GINOS",PR!$W581,IF(F583="GSK",PR!$X581,IF(F583="GLOBORG",PR!$Y581,IF(F583="GOODNEWS",PR!$Z581,IF(F583="GREENLIFE",PR!$AA581,IF(F583="HLINE",PR!$AB581,IF(F583="ROTECH",PR!$AC581,IF(F583="ISN",PR!$AD581,IF(F583="JAWA",PR!$AE581,IF(F583="LAYO",PR!$AF581,IF(F583="LEADWAY",PR!$AG581,IF(F583="LHV",PR!$AH581,IF(F583="MANOLA",PR!$AI581,IF(F583="MARCSON",PR!$AJ581,IF(F583="M&amp;B",PR!$AK581,IF(F583="MTRUST",PR!$AL581,IF(F583="MWORLD",PR!$AM581,IF(F583="MEGA",PR!$AN581,IF(F583="MICRONOVA",PR!$AO581,IF(F583="MFLASH",PR!$AP581,IF(F583="MORISON",PR!$AQ581,IF(F583="NEMEL",PR!$AR581,IF(F583="NHP",PR!$AS581,IF(F583="NHC",PR!$AT581,IF(F583="OLEAF",PR!$AU581,IF(F583="OCULUS",PR!$AV581,IF(F583="PACIFIC",PR!$AW581,IF(F583="PHAMATEX",PR!$AX581,IF(F583="PETHICS",PR!$AY581,IF(F583="PHILIPS",PR!$AZ581,IF(F583="RANBAXY",PR!$BA581,IF(F583="REALS",PR!$BB581,IF(F583="ROYAL",PR!$BC581,IF(F583="SAM",PR!$BD581,IF(F583="SEAGREEN",PR!$BE581,IF(F583="SKG",PR!$BF581,IF(F583="TAH",PR!$BG581,IF(F583="TAYLEK",PR!$BH581,IF(F583="TEMITA",PR!$BI581,IF(F583="THL",PR!$BJ581,IF(F583="UBASTIC",PR!$BK581,IF(F583="UNION",PR!$BL581,IF(F583="UNIQUE",PR!$BM581,IF(F583="VIXA",PR!$BN581,IF(F583="WWCV",PR!$BO581,IF(F583="ZOLON",PR!$BP581,"-"))))))))))))))))))))))))))))))))))))))))))))))))))))))))))))))))</f>
        <v>650</v>
      </c>
      <c r="F583" s="102" t="str">
        <f>EV!L735</f>
        <v>DGF</v>
      </c>
      <c r="G583" s="108">
        <f>IF(H583="ALPHA",PR!$E581,IF(H583="ASSENE",PR!$F581,IF(H583="BIOFEM",PR!$G581,IF(H583="BIOMED",PR!$H581,IF(H583="CHI",PR!$I581,IF(H583="CLARION",PR!$J581,IF(H583="CODIX",PR!$K581,IF(H583="COSMADE",PR!$L581,IF(H583="SANCON",PR!$M581,IF(H583="DEVON",PR!$N581,IF(H583="DORTEMAG",PR!$O581,IF(H583="DGF",PR!$P581,IF(H583="DYNAMIC",PR!$Q581,IF(H583="EMZOR",PR!$R581,IF(H583="EUMATT",PR!$S581,IF(H583="FIDSON",PR!$T581,IF(H583="FCGLOBAL",PR!$U581,IF(H583="GENEITH",PR!$V581,IF(H583="GINOS",PR!$W581,IF(H583="GSK",PR!$X581,IF(H583="GLOBORG",PR!$Y581,IF(H583="GOODNEWS",PR!$Z581,IF(H583="GREENLIFE",PR!$AA581,IF(H583="HLINE",PR!$AB581,IF(H583="ROTECH",PR!$AC581,IF(H583="ISN",PR!$AD581,IF(H583="JAWA",PR!$AE581,IF(H583="LAYO",PR!$AF581,IF(H583="LEADWAY",PR!$AG581,IF(H583="LHV",PR!$AH581,IF(H583="MANOLA",PR!$AI581,IF(H583="MARCSON",PR!$AJ581,IF(H583="M&amp;B",PR!$AK581,IF(H583="MTRUST",PR!$AL581,IF(H583="MWORLD",PR!$AM581,IF(H583="MEGA",PR!$AN581,IF(H583="MICRONOVA",PR!$AO581,IF(H583="MFLASH",PR!$AP581,IF(H583="MORISON",PR!$AQ581,IF(H583="NEMEL",PR!$AR581,IF(H583="NHP",PR!$AS581,IF(H583="NHC",PR!$AT581,IF(H583="OLEAF",PR!$AU581,IF(H583="OCULUS",PR!$AV581,IF(H583="PACIFIC",PR!$AW581,IF(H583="PHAMATEX",PR!$AX581,IF(H583="PETHICS",PR!$AY581,IF(H583="PHILIPS",PR!$AZ581,IF(H583="RANBAXY",PR!$BA581,IF(H583="REALS",PR!$BB581,IF(H583="ROYAL",PR!$BC581,IF(H583="SAM",PR!$BD581,IF(H583="SEAGREEN",PR!$BE581,IF(H583="SKG",PR!$BF581,IF(H583="TAH",PR!$BG581,IF(H583="TAYLEK",PR!$BH581,IF(H583="TEMITA",PR!$BI581,IF(H583="THL",PR!$BJ581,IF(H583="UBASTIC",PR!$BK581,IF(H583="UNION",PR!$BL581,IF(H583="UNIQUE",PR!$BM581,IF(H583="VIXA",PR!$BN581,IF(H583="WWCV",PR!$BO581,IF(H583="ZOLON",PR!$BP581,"-"))))))))))))))))))))))))))))))))))))))))))))))))))))))))))))))))</f>
        <v>750</v>
      </c>
      <c r="H583" s="102" t="str">
        <f>EV!M735</f>
        <v>EUMATT</v>
      </c>
      <c r="I583" s="108" t="str">
        <f>IF(J583="ALPHA",PR!$E581,IF(J583="ASSENE",PR!$F581,IF(J583="BIOFEM",PR!$G581,IF(J583="BIOMED",PR!$H581,IF(J583="CHI",PR!$I581,IF(J583="CLARION",PR!$J581,IF(J583="CODIX",PR!$K581,IF(J583="COSMADE",PR!$L581,IF(J583="SANCON",PR!$M581,IF(J583="DEVON",PR!$N581,IF(J583="DORTEMAG",PR!$O581,IF(J583="DGF",PR!$P581,IF(J583="DYNAMIC",PR!$Q581,IF(J583="EMZOR",PR!$R581,IF(J583="EUMATT",PR!$S581,IF(J583="FIDSON",PR!$T581,IF(J583="FCGLOBAL",PR!$U581,IF(J583="GENEITH",PR!$V581,IF(J583="GINOS",PR!$W581,IF(J583="GSK",PR!$X581,IF(J583="GLOBORG",PR!$Y581,IF(J583="GOODNEWS",PR!$Z581,IF(J583="GREENLIFE",PR!$AA581,IF(J583="HLINE",PR!$AB581,IF(J583="ROTECH",PR!$AC581,IF(J583="ISN",PR!$AD581,IF(J583="JAWA",PR!$AE581,IF(J583="LAYO",PR!$AF581,IF(J583="LEADWAY",PR!$AG581,IF(J583="LHV",PR!$AH581,IF(J583="MANOLA",PR!$AI581,IF(J583="MARCSON",PR!$AJ581,IF(J583="M&amp;B",PR!$AK581,IF(J583="MTRUST",PR!$AL581,IF(J583="MWORLD",PR!$AM581,IF(J583="MEGA",PR!$AN581,IF(J583="MICRONOVA",PR!$AO581,IF(J583="MFLASH",PR!$AP581,IF(J583="MORISON",PR!$AQ581,IF(J583="NEMEL",PR!$AR581,IF(J583="NHP",PR!$AS581,IF(J583="NHC",PR!$AT581,IF(J583="OLEAF",PR!$AU581,IF(J583="OCULUS",PR!$AV581,IF(J583="PACIFIC",PR!$AW581,IF(J583="PHAMATEX",PR!$AX581,IF(J583="PETHICS",PR!$AY581,IF(J583="PHILIPS",PR!$AZ581,IF(J583="RANBAXY",PR!$BA581,IF(J583="REALS",PR!$BB581,IF(J583="ROYAL",PR!$BC581,IF(J583="SAM",PR!$BD581,IF(J583="SEAGREEN",PR!$BE581,IF(J583="SKG",PR!$BF581,IF(J583="TAH",PR!$BG581,IF(J583="TAYLEK",PR!$BH581,IF(J583="TEMITA",PR!$BI581,IF(J583="THL",PR!$BJ581,IF(J583="UBASTIC",PR!$BK581,IF(J583="UNION",PR!$BL581,IF(J583="UNIQUE",PR!$BM581,IF(J583="VIXA",PR!$BN581,IF(J583="WWCV",PR!$BO581,IF(J583="ZOLON",PR!$BP581,"-"))))))))))))))))))))))))))))))))))))))))))))))))))))))))))))))))</f>
        <v>-</v>
      </c>
      <c r="J583" s="102">
        <f>EV!N735</f>
        <v>0</v>
      </c>
      <c r="K583" s="433" t="s">
        <v>829</v>
      </c>
      <c r="L583" s="183">
        <f>IF(K583&gt;0,IF(K583="ALPHA",PR!$E581,IF(K583="ASSENE",PR!$F581,IF(K583="BIOFEM",PR!$G581,IF(K583="BIOMED",PR!$H581,IF(K583="CHI",PR!$I581,IF(K583="CLARION",PR!$J581,IF(K583="CODIX",PR!$K581,IF(K583="COSMADE",PR!$L581,IF(K583="SANCON",PR!$M581,IF(K583="DEVON",PR!$N581,IF(K583="DORTEMAG",PR!$O581,IF(K583="DGF",PR!$P581,IF(K583="DYNAMIC",PR!$Q581,IF(K583="EMZOR",PR!$R581,IF(K583="EUMATT",PR!$S581,IF(K583="FIDSON",PR!$T581,IF(K583="FCGLOBAL",PR!$U581,IF(K583="GENEITH",PR!$V581,IF(K583="GINOS",PR!$W581,IF(K583="GSK",PR!$X581,IF(K583="GLOBORG",PR!$Y581,IF(K583="GOODNEWS",PR!$Z581,IF(K583="GREENLIFE",PR!$AA581,IF(K583="HLINE",PR!$AB581,IF(K583="ROTECH",PR!$AC581,IF(K583="ISN",PR!$AD581,IF(K583="JAWA",PR!$AE581,IF(K583="LAYO",PR!$AF581,IF(K583="LEADWAY",PR!$AG581,IF(K583="LHV",PR!$AH581,IF(K583="MANOLA",PR!$AI581,IF(K583="MARCSON",PR!$AJ581,IF(K583="M&amp;B",PR!$AK581,IF(K583="MTRUST",PR!$AL581,IF(K583="MWORLD",PR!$AM581,IF(K583="MEGA",PR!$AN581,IF(K583="MICRONOVA",PR!$AO581,IF(K583="MFLASH",PR!$AP581,IF(K583="MORISON",PR!$AQ581,IF(K583="NEMEL",PR!$AR581,IF(K583="NHP",PR!$AS581,IF(K583="NHC",PR!$AT581,IF(K583="OLEAF",PR!$AU581,IF(K583="OCULUS",PR!$AV581,IF(K583="PACIFIC",PR!$AW581,IF(K583="PHAMATEX",PR!$AX581,IF(K583="PETHICS",PR!$AY581,IF(K583="PHILIPS",PR!$AZ581,IF(K583="RANBAXY",PR!$BA581,IF(K583="REALS",PR!$BB581,IF(K583="ROYAL",PR!$BC581,IF(K583="SAM",PR!$BD581,IF(K583="SEAGREEN",PR!$BE581,IF(K583="SKG",PR!$BF581,IF(K583="TAH",PR!$BG581,IF(K583="TAYLEK",PR!$BH581,IF(K583="TEMITA",PR!$BI581,IF(K583="THL",PR!$BJ581,IF(K583="UBASTIC",PR!$BK581,IF(K583="UNION",PR!$BL581,IF(K583="UNIQUE",PR!$BM581,IF(K583="VIXA",PR!$BN581,IF(K583="WWCV",PR!$BO581,IF(K583="ZOLON",PR!$BP581,"-")))))))))))))))))))))))))))))))))))))))))))))))))))))))))))))))))</f>
        <v>650</v>
      </c>
    </row>
    <row r="584" spans="1:12" ht="18.75" x14ac:dyDescent="0.3">
      <c r="A584" s="430">
        <f>PR!A582</f>
        <v>527</v>
      </c>
      <c r="B584" s="15" t="str">
        <f>PR!B582</f>
        <v>SODIUM CHLORIDE GTT</v>
      </c>
      <c r="C584" s="113" t="str">
        <f>PR!D582</f>
        <v>BOTT</v>
      </c>
      <c r="D584" s="113">
        <f>PR!C582</f>
        <v>20</v>
      </c>
      <c r="E584" s="108">
        <f>IF(F584="ALPHA",PR!$E582,IF(F584="ASSENE",PR!$F582,IF(F584="BIOFEM",PR!$G582,IF(F584="BIOMED",PR!$H582,IF(F584="CHI",PR!$I582,IF(F584="CLARION",PR!$J582,IF(F584="CODIX",PR!$K582,IF(F584="COSMADE",PR!$L582,IF(F584="SANCON",PR!$M582,IF(F584="DEVON",PR!$N582,IF(F584="DORTEMAG",PR!$O582,IF(F584="DGF",PR!$P582,IF(F584="DYNAMIC",PR!$Q582,IF(F584="EMZOR",PR!$R582,IF(F584="EUMATT",PR!$S582,IF(F584="FIDSON",PR!$T582,IF(F584="FCGLOBAL",PR!$U582,IF(F584="GENEITH",PR!$V582,IF(F584="GINOS",PR!$W582,IF(F584="GSK",PR!$X582,IF(F584="GLOBORG",PR!$Y582,IF(F584="GOODNEWS",PR!$Z582,IF(F584="GREENLIFE",PR!$AA582,IF(F584="HLINE",PR!$AB582,IF(F584="ROTECH",PR!$AC582,IF(F584="ISN",PR!$AD582,IF(F584="JAWA",PR!$AE582,IF(F584="LAYO",PR!$AF582,IF(F584="LEADWAY",PR!$AG582,IF(F584="LHV",PR!$AH582,IF(F584="MANOLA",PR!$AI582,IF(F584="MARCSON",PR!$AJ582,IF(F584="M&amp;B",PR!$AK582,IF(F584="MTRUST",PR!$AL582,IF(F584="MWORLD",PR!$AM582,IF(F584="MEGA",PR!$AN582,IF(F584="MICRONOVA",PR!$AO582,IF(F584="MFLASH",PR!$AP582,IF(F584="MORISON",PR!$AQ582,IF(F584="NEMEL",PR!$AR582,IF(F584="NHP",PR!$AS582,IF(F584="NHC",PR!$AT582,IF(F584="OLEAF",PR!$AU582,IF(F584="OCULUS",PR!$AV582,IF(F584="PACIFIC",PR!$AW582,IF(F584="PHAMATEX",PR!$AX582,IF(F584="PETHICS",PR!$AY582,IF(F584="PHILIPS",PR!$AZ582,IF(F584="RANBAXY",PR!$BA582,IF(F584="REALS",PR!$BB582,IF(F584="ROYAL",PR!$BC582,IF(F584="SAM",PR!$BD582,IF(F584="SEAGREEN",PR!$BE582,IF(F584="SKG",PR!$BF582,IF(F584="TAH",PR!$BG582,IF(F584="TAYLEK",PR!$BH582,IF(F584="TEMITA",PR!$BI582,IF(F584="THL",PR!$BJ582,IF(F584="UBASTIC",PR!$BK582,IF(F584="UNION",PR!$BL582,IF(F584="UNIQUE",PR!$BM582,IF(F584="VIXA",PR!$BN582,IF(F584="WWCV",PR!$BO582,IF(F584="ZOLON",PR!$BP582,"-"))))))))))))))))))))))))))))))))))))))))))))))))))))))))))))))))</f>
        <v>980</v>
      </c>
      <c r="F584" s="102" t="str">
        <f>EV!L736</f>
        <v>EUMATT</v>
      </c>
      <c r="G584" s="108" t="str">
        <f>IF(H584="ALPHA",PR!$E582,IF(H584="ASSENE",PR!$F582,IF(H584="BIOFEM",PR!$G582,IF(H584="BIOMED",PR!$H582,IF(H584="CHI",PR!$I582,IF(H584="CLARION",PR!$J582,IF(H584="CODIX",PR!$K582,IF(H584="COSMADE",PR!$L582,IF(H584="SANCON",PR!$M582,IF(H584="DEVON",PR!$N582,IF(H584="DORTEMAG",PR!$O582,IF(H584="DGF",PR!$P582,IF(H584="DYNAMIC",PR!$Q582,IF(H584="EMZOR",PR!$R582,IF(H584="EUMATT",PR!$S582,IF(H584="FIDSON",PR!$T582,IF(H584="FCGLOBAL",PR!$U582,IF(H584="GENEITH",PR!$V582,IF(H584="GINOS",PR!$W582,IF(H584="GSK",PR!$X582,IF(H584="GLOBORG",PR!$Y582,IF(H584="GOODNEWS",PR!$Z582,IF(H584="GREENLIFE",PR!$AA582,IF(H584="HLINE",PR!$AB582,IF(H584="ROTECH",PR!$AC582,IF(H584="ISN",PR!$AD582,IF(H584="JAWA",PR!$AE582,IF(H584="LAYO",PR!$AF582,IF(H584="LEADWAY",PR!$AG582,IF(H584="LHV",PR!$AH582,IF(H584="MANOLA",PR!$AI582,IF(H584="MARCSON",PR!$AJ582,IF(H584="M&amp;B",PR!$AK582,IF(H584="MTRUST",PR!$AL582,IF(H584="MWORLD",PR!$AM582,IF(H584="MEGA",PR!$AN582,IF(H584="MICRONOVA",PR!$AO582,IF(H584="MFLASH",PR!$AP582,IF(H584="MORISON",PR!$AQ582,IF(H584="NEMEL",PR!$AR582,IF(H584="NHP",PR!$AS582,IF(H584="NHC",PR!$AT582,IF(H584="OLEAF",PR!$AU582,IF(H584="OCULUS",PR!$AV582,IF(H584="PACIFIC",PR!$AW582,IF(H584="PHAMATEX",PR!$AX582,IF(H584="PETHICS",PR!$AY582,IF(H584="PHILIPS",PR!$AZ582,IF(H584="RANBAXY",PR!$BA582,IF(H584="REALS",PR!$BB582,IF(H584="ROYAL",PR!$BC582,IF(H584="SAM",PR!$BD582,IF(H584="SEAGREEN",PR!$BE582,IF(H584="SKG",PR!$BF582,IF(H584="TAH",PR!$BG582,IF(H584="TAYLEK",PR!$BH582,IF(H584="TEMITA",PR!$BI582,IF(H584="THL",PR!$BJ582,IF(H584="UBASTIC",PR!$BK582,IF(H584="UNION",PR!$BL582,IF(H584="UNIQUE",PR!$BM582,IF(H584="VIXA",PR!$BN582,IF(H584="WWCV",PR!$BO582,IF(H584="ZOLON",PR!$BP582,"-"))))))))))))))))))))))))))))))))))))))))))))))))))))))))))))))))</f>
        <v>-</v>
      </c>
      <c r="H584" s="102">
        <f>EV!M736</f>
        <v>0</v>
      </c>
      <c r="I584" s="108" t="str">
        <f>IF(J584="ALPHA",PR!$E582,IF(J584="ASSENE",PR!$F582,IF(J584="BIOFEM",PR!$G582,IF(J584="BIOMED",PR!$H582,IF(J584="CHI",PR!$I582,IF(J584="CLARION",PR!$J582,IF(J584="CODIX",PR!$K582,IF(J584="COSMADE",PR!$L582,IF(J584="SANCON",PR!$M582,IF(J584="DEVON",PR!$N582,IF(J584="DORTEMAG",PR!$O582,IF(J584="DGF",PR!$P582,IF(J584="DYNAMIC",PR!$Q582,IF(J584="EMZOR",PR!$R582,IF(J584="EUMATT",PR!$S582,IF(J584="FIDSON",PR!$T582,IF(J584="FCGLOBAL",PR!$U582,IF(J584="GENEITH",PR!$V582,IF(J584="GINOS",PR!$W582,IF(J584="GSK",PR!$X582,IF(J584="GLOBORG",PR!$Y582,IF(J584="GOODNEWS",PR!$Z582,IF(J584="GREENLIFE",PR!$AA582,IF(J584="HLINE",PR!$AB582,IF(J584="ROTECH",PR!$AC582,IF(J584="ISN",PR!$AD582,IF(J584="JAWA",PR!$AE582,IF(J584="LAYO",PR!$AF582,IF(J584="LEADWAY",PR!$AG582,IF(J584="LHV",PR!$AH582,IF(J584="MANOLA",PR!$AI582,IF(J584="MARCSON",PR!$AJ582,IF(J584="M&amp;B",PR!$AK582,IF(J584="MTRUST",PR!$AL582,IF(J584="MWORLD",PR!$AM582,IF(J584="MEGA",PR!$AN582,IF(J584="MICRONOVA",PR!$AO582,IF(J584="MFLASH",PR!$AP582,IF(J584="MORISON",PR!$AQ582,IF(J584="NEMEL",PR!$AR582,IF(J584="NHP",PR!$AS582,IF(J584="NHC",PR!$AT582,IF(J584="OLEAF",PR!$AU582,IF(J584="OCULUS",PR!$AV582,IF(J584="PACIFIC",PR!$AW582,IF(J584="PHAMATEX",PR!$AX582,IF(J584="PETHICS",PR!$AY582,IF(J584="PHILIPS",PR!$AZ582,IF(J584="RANBAXY",PR!$BA582,IF(J584="REALS",PR!$BB582,IF(J584="ROYAL",PR!$BC582,IF(J584="SAM",PR!$BD582,IF(J584="SEAGREEN",PR!$BE582,IF(J584="SKG",PR!$BF582,IF(J584="TAH",PR!$BG582,IF(J584="TAYLEK",PR!$BH582,IF(J584="TEMITA",PR!$BI582,IF(J584="THL",PR!$BJ582,IF(J584="UBASTIC",PR!$BK582,IF(J584="UNION",PR!$BL582,IF(J584="UNIQUE",PR!$BM582,IF(J584="VIXA",PR!$BN582,IF(J584="WWCV",PR!$BO582,IF(J584="ZOLON",PR!$BP582,"-"))))))))))))))))))))))))))))))))))))))))))))))))))))))))))))))))</f>
        <v>-</v>
      </c>
      <c r="J584" s="102">
        <f>EV!N736</f>
        <v>0</v>
      </c>
      <c r="K584" s="433" t="s">
        <v>821</v>
      </c>
      <c r="L584" s="183">
        <f>IF(K584&gt;0,IF(K584="ALPHA",PR!$E582,IF(K584="ASSENE",PR!$F582,IF(K584="BIOFEM",PR!$G582,IF(K584="BIOMED",PR!$H582,IF(K584="CHI",PR!$I582,IF(K584="CLARION",PR!$J582,IF(K584="CODIX",PR!$K582,IF(K584="COSMADE",PR!$L582,IF(K584="SANCON",PR!$M582,IF(K584="DEVON",PR!$N582,IF(K584="DORTEMAG",PR!$O582,IF(K584="DGF",PR!$P582,IF(K584="DYNAMIC",PR!$Q582,IF(K584="EMZOR",PR!$R582,IF(K584="EUMATT",PR!$S582,IF(K584="FIDSON",PR!$T582,IF(K584="FCGLOBAL",PR!$U582,IF(K584="GENEITH",PR!$V582,IF(K584="GINOS",PR!$W582,IF(K584="GSK",PR!$X582,IF(K584="GLOBORG",PR!$Y582,IF(K584="GOODNEWS",PR!$Z582,IF(K584="GREENLIFE",PR!$AA582,IF(K584="HLINE",PR!$AB582,IF(K584="ROTECH",PR!$AC582,IF(K584="ISN",PR!$AD582,IF(K584="JAWA",PR!$AE582,IF(K584="LAYO",PR!$AF582,IF(K584="LEADWAY",PR!$AG582,IF(K584="LHV",PR!$AH582,IF(K584="MANOLA",PR!$AI582,IF(K584="MARCSON",PR!$AJ582,IF(K584="M&amp;B",PR!$AK582,IF(K584="MTRUST",PR!$AL582,IF(K584="MWORLD",PR!$AM582,IF(K584="MEGA",PR!$AN582,IF(K584="MICRONOVA",PR!$AO582,IF(K584="MFLASH",PR!$AP582,IF(K584="MORISON",PR!$AQ582,IF(K584="NEMEL",PR!$AR582,IF(K584="NHP",PR!$AS582,IF(K584="NHC",PR!$AT582,IF(K584="OLEAF",PR!$AU582,IF(K584="OCULUS",PR!$AV582,IF(K584="PACIFIC",PR!$AW582,IF(K584="PHAMATEX",PR!$AX582,IF(K584="PETHICS",PR!$AY582,IF(K584="PHILIPS",PR!$AZ582,IF(K584="RANBAXY",PR!$BA582,IF(K584="REALS",PR!$BB582,IF(K584="ROYAL",PR!$BC582,IF(K584="SAM",PR!$BD582,IF(K584="SEAGREEN",PR!$BE582,IF(K584="SKG",PR!$BF582,IF(K584="TAH",PR!$BG582,IF(K584="TAYLEK",PR!$BH582,IF(K584="TEMITA",PR!$BI582,IF(K584="THL",PR!$BJ582,IF(K584="UBASTIC",PR!$BK582,IF(K584="UNION",PR!$BL582,IF(K584="UNIQUE",PR!$BM582,IF(K584="VIXA",PR!$BN582,IF(K584="WWCV",PR!$BO582,IF(K584="ZOLON",PR!$BP582,"-")))))))))))))))))))))))))))))))))))))))))))))))))))))))))))))))))</f>
        <v>980</v>
      </c>
    </row>
    <row r="585" spans="1:12" ht="18.75" x14ac:dyDescent="0.3">
      <c r="A585" s="430">
        <f>PR!A583</f>
        <v>528</v>
      </c>
      <c r="B585" s="15" t="str">
        <f>PR!B583</f>
        <v>TETRAHYDROZOLINE HCL/FLUOROMETHOLONE</v>
      </c>
      <c r="C585" s="113" t="str">
        <f>PR!D583</f>
        <v>BOTT</v>
      </c>
      <c r="D585" s="113">
        <f>PR!C583</f>
        <v>20</v>
      </c>
      <c r="E585" s="108">
        <f>IF(F585="ALPHA",PR!$E583,IF(F585="ASSENE",PR!$F583,IF(F585="BIOFEM",PR!$G583,IF(F585="BIOMED",PR!$H583,IF(F585="CHI",PR!$I583,IF(F585="CLARION",PR!$J583,IF(F585="CODIX",PR!$K583,IF(F585="COSMADE",PR!$L583,IF(F585="SANCON",PR!$M583,IF(F585="DEVON",PR!$N583,IF(F585="DORTEMAG",PR!$O583,IF(F585="DGF",PR!$P583,IF(F585="DYNAMIC",PR!$Q583,IF(F585="EMZOR",PR!$R583,IF(F585="EUMATT",PR!$S583,IF(F585="FIDSON",PR!$T583,IF(F585="FCGLOBAL",PR!$U583,IF(F585="GENEITH",PR!$V583,IF(F585="GINOS",PR!$W583,IF(F585="GSK",PR!$X583,IF(F585="GLOBORG",PR!$Y583,IF(F585="GOODNEWS",PR!$Z583,IF(F585="GREENLIFE",PR!$AA583,IF(F585="HLINE",PR!$AB583,IF(F585="ROTECH",PR!$AC583,IF(F585="ISN",PR!$AD583,IF(F585="JAWA",PR!$AE583,IF(F585="LAYO",PR!$AF583,IF(F585="LEADWAY",PR!$AG583,IF(F585="LHV",PR!$AH583,IF(F585="MANOLA",PR!$AI583,IF(F585="MARCSON",PR!$AJ583,IF(F585="M&amp;B",PR!$AK583,IF(F585="MTRUST",PR!$AL583,IF(F585="MWORLD",PR!$AM583,IF(F585="MEGA",PR!$AN583,IF(F585="MICRONOVA",PR!$AO583,IF(F585="MFLASH",PR!$AP583,IF(F585="MORISON",PR!$AQ583,IF(F585="NEMEL",PR!$AR583,IF(F585="NHP",PR!$AS583,IF(F585="NHC",PR!$AT583,IF(F585="OLEAF",PR!$AU583,IF(F585="OCULUS",PR!$AV583,IF(F585="PACIFIC",PR!$AW583,IF(F585="PHAMATEX",PR!$AX583,IF(F585="PETHICS",PR!$AY583,IF(F585="PHILIPS",PR!$AZ583,IF(F585="RANBAXY",PR!$BA583,IF(F585="REALS",PR!$BB583,IF(F585="ROYAL",PR!$BC583,IF(F585="SAM",PR!$BD583,IF(F585="SEAGREEN",PR!$BE583,IF(F585="SKG",PR!$BF583,IF(F585="TAH",PR!$BG583,IF(F585="TAYLEK",PR!$BH583,IF(F585="TEMITA",PR!$BI583,IF(F585="THL",PR!$BJ583,IF(F585="UBASTIC",PR!$BK583,IF(F585="UNION",PR!$BL583,IF(F585="UNIQUE",PR!$BM583,IF(F585="VIXA",PR!$BN583,IF(F585="WWCV",PR!$BO583,IF(F585="ZOLON",PR!$BP583,"-"))))))))))))))))))))))))))))))))))))))))))))))))))))))))))))))))</f>
        <v>1050</v>
      </c>
      <c r="F585" s="102" t="str">
        <f>EV!L737</f>
        <v>EUMATT</v>
      </c>
      <c r="G585" s="108" t="str">
        <f>IF(H585="ALPHA",PR!$E583,IF(H585="ASSENE",PR!$F583,IF(H585="BIOFEM",PR!$G583,IF(H585="BIOMED",PR!$H583,IF(H585="CHI",PR!$I583,IF(H585="CLARION",PR!$J583,IF(H585="CODIX",PR!$K583,IF(H585="COSMADE",PR!$L583,IF(H585="SANCON",PR!$M583,IF(H585="DEVON",PR!$N583,IF(H585="DORTEMAG",PR!$O583,IF(H585="DGF",PR!$P583,IF(H585="DYNAMIC",PR!$Q583,IF(H585="EMZOR",PR!$R583,IF(H585="EUMATT",PR!$S583,IF(H585="FIDSON",PR!$T583,IF(H585="FCGLOBAL",PR!$U583,IF(H585="GENEITH",PR!$V583,IF(H585="GINOS",PR!$W583,IF(H585="GSK",PR!$X583,IF(H585="GLOBORG",PR!$Y583,IF(H585="GOODNEWS",PR!$Z583,IF(H585="GREENLIFE",PR!$AA583,IF(H585="HLINE",PR!$AB583,IF(H585="ROTECH",PR!$AC583,IF(H585="ISN",PR!$AD583,IF(H585="JAWA",PR!$AE583,IF(H585="LAYO",PR!$AF583,IF(H585="LEADWAY",PR!$AG583,IF(H585="LHV",PR!$AH583,IF(H585="MANOLA",PR!$AI583,IF(H585="MARCSON",PR!$AJ583,IF(H585="M&amp;B",PR!$AK583,IF(H585="MTRUST",PR!$AL583,IF(H585="MWORLD",PR!$AM583,IF(H585="MEGA",PR!$AN583,IF(H585="MICRONOVA",PR!$AO583,IF(H585="MFLASH",PR!$AP583,IF(H585="MORISON",PR!$AQ583,IF(H585="NEMEL",PR!$AR583,IF(H585="NHP",PR!$AS583,IF(H585="NHC",PR!$AT583,IF(H585="OLEAF",PR!$AU583,IF(H585="OCULUS",PR!$AV583,IF(H585="PACIFIC",PR!$AW583,IF(H585="PHAMATEX",PR!$AX583,IF(H585="PETHICS",PR!$AY583,IF(H585="PHILIPS",PR!$AZ583,IF(H585="RANBAXY",PR!$BA583,IF(H585="REALS",PR!$BB583,IF(H585="ROYAL",PR!$BC583,IF(H585="SAM",PR!$BD583,IF(H585="SEAGREEN",PR!$BE583,IF(H585="SKG",PR!$BF583,IF(H585="TAH",PR!$BG583,IF(H585="TAYLEK",PR!$BH583,IF(H585="TEMITA",PR!$BI583,IF(H585="THL",PR!$BJ583,IF(H585="UBASTIC",PR!$BK583,IF(H585="UNION",PR!$BL583,IF(H585="UNIQUE",PR!$BM583,IF(H585="VIXA",PR!$BN583,IF(H585="WWCV",PR!$BO583,IF(H585="ZOLON",PR!$BP583,"-"))))))))))))))))))))))))))))))))))))))))))))))))))))))))))))))))</f>
        <v>-</v>
      </c>
      <c r="H585" s="102">
        <f>EV!M737</f>
        <v>0</v>
      </c>
      <c r="I585" s="108" t="str">
        <f>IF(J585="ALPHA",PR!$E583,IF(J585="ASSENE",PR!$F583,IF(J585="BIOFEM",PR!$G583,IF(J585="BIOMED",PR!$H583,IF(J585="CHI",PR!$I583,IF(J585="CLARION",PR!$J583,IF(J585="CODIX",PR!$K583,IF(J585="COSMADE",PR!$L583,IF(J585="SANCON",PR!$M583,IF(J585="DEVON",PR!$N583,IF(J585="DORTEMAG",PR!$O583,IF(J585="DGF",PR!$P583,IF(J585="DYNAMIC",PR!$Q583,IF(J585="EMZOR",PR!$R583,IF(J585="EUMATT",PR!$S583,IF(J585="FIDSON",PR!$T583,IF(J585="FCGLOBAL",PR!$U583,IF(J585="GENEITH",PR!$V583,IF(J585="GINOS",PR!$W583,IF(J585="GSK",PR!$X583,IF(J585="GLOBORG",PR!$Y583,IF(J585="GOODNEWS",PR!$Z583,IF(J585="GREENLIFE",PR!$AA583,IF(J585="HLINE",PR!$AB583,IF(J585="ROTECH",PR!$AC583,IF(J585="ISN",PR!$AD583,IF(J585="JAWA",PR!$AE583,IF(J585="LAYO",PR!$AF583,IF(J585="LEADWAY",PR!$AG583,IF(J585="LHV",PR!$AH583,IF(J585="MANOLA",PR!$AI583,IF(J585="MARCSON",PR!$AJ583,IF(J585="M&amp;B",PR!$AK583,IF(J585="MTRUST",PR!$AL583,IF(J585="MWORLD",PR!$AM583,IF(J585="MEGA",PR!$AN583,IF(J585="MICRONOVA",PR!$AO583,IF(J585="MFLASH",PR!$AP583,IF(J585="MORISON",PR!$AQ583,IF(J585="NEMEL",PR!$AR583,IF(J585="NHP",PR!$AS583,IF(J585="NHC",PR!$AT583,IF(J585="OLEAF",PR!$AU583,IF(J585="OCULUS",PR!$AV583,IF(J585="PACIFIC",PR!$AW583,IF(J585="PHAMATEX",PR!$AX583,IF(J585="PETHICS",PR!$AY583,IF(J585="PHILIPS",PR!$AZ583,IF(J585="RANBAXY",PR!$BA583,IF(J585="REALS",PR!$BB583,IF(J585="ROYAL",PR!$BC583,IF(J585="SAM",PR!$BD583,IF(J585="SEAGREEN",PR!$BE583,IF(J585="SKG",PR!$BF583,IF(J585="TAH",PR!$BG583,IF(J585="TAYLEK",PR!$BH583,IF(J585="TEMITA",PR!$BI583,IF(J585="THL",PR!$BJ583,IF(J585="UBASTIC",PR!$BK583,IF(J585="UNION",PR!$BL583,IF(J585="UNIQUE",PR!$BM583,IF(J585="VIXA",PR!$BN583,IF(J585="WWCV",PR!$BO583,IF(J585="ZOLON",PR!$BP583,"-"))))))))))))))))))))))))))))))))))))))))))))))))))))))))))))))))</f>
        <v>-</v>
      </c>
      <c r="J585" s="102">
        <f>EV!N737</f>
        <v>0</v>
      </c>
      <c r="K585" s="433" t="s">
        <v>821</v>
      </c>
      <c r="L585" s="183">
        <f>IF(K585&gt;0,IF(K585="ALPHA",PR!$E583,IF(K585="ASSENE",PR!$F583,IF(K585="BIOFEM",PR!$G583,IF(K585="BIOMED",PR!$H583,IF(K585="CHI",PR!$I583,IF(K585="CLARION",PR!$J583,IF(K585="CODIX",PR!$K583,IF(K585="COSMADE",PR!$L583,IF(K585="SANCON",PR!$M583,IF(K585="DEVON",PR!$N583,IF(K585="DORTEMAG",PR!$O583,IF(K585="DGF",PR!$P583,IF(K585="DYNAMIC",PR!$Q583,IF(K585="EMZOR",PR!$R583,IF(K585="EUMATT",PR!$S583,IF(K585="FIDSON",PR!$T583,IF(K585="FCGLOBAL",PR!$U583,IF(K585="GENEITH",PR!$V583,IF(K585="GINOS",PR!$W583,IF(K585="GSK",PR!$X583,IF(K585="GLOBORG",PR!$Y583,IF(K585="GOODNEWS",PR!$Z583,IF(K585="GREENLIFE",PR!$AA583,IF(K585="HLINE",PR!$AB583,IF(K585="ROTECH",PR!$AC583,IF(K585="ISN",PR!$AD583,IF(K585="JAWA",PR!$AE583,IF(K585="LAYO",PR!$AF583,IF(K585="LEADWAY",PR!$AG583,IF(K585="LHV",PR!$AH583,IF(K585="MANOLA",PR!$AI583,IF(K585="MARCSON",PR!$AJ583,IF(K585="M&amp;B",PR!$AK583,IF(K585="MTRUST",PR!$AL583,IF(K585="MWORLD",PR!$AM583,IF(K585="MEGA",PR!$AN583,IF(K585="MICRONOVA",PR!$AO583,IF(K585="MFLASH",PR!$AP583,IF(K585="MORISON",PR!$AQ583,IF(K585="NEMEL",PR!$AR583,IF(K585="NHP",PR!$AS583,IF(K585="NHC",PR!$AT583,IF(K585="OLEAF",PR!$AU583,IF(K585="OCULUS",PR!$AV583,IF(K585="PACIFIC",PR!$AW583,IF(K585="PHAMATEX",PR!$AX583,IF(K585="PETHICS",PR!$AY583,IF(K585="PHILIPS",PR!$AZ583,IF(K585="RANBAXY",PR!$BA583,IF(K585="REALS",PR!$BB583,IF(K585="ROYAL",PR!$BC583,IF(K585="SAM",PR!$BD583,IF(K585="SEAGREEN",PR!$BE583,IF(K585="SKG",PR!$BF583,IF(K585="TAH",PR!$BG583,IF(K585="TAYLEK",PR!$BH583,IF(K585="TEMITA",PR!$BI583,IF(K585="THL",PR!$BJ583,IF(K585="UBASTIC",PR!$BK583,IF(K585="UNION",PR!$BL583,IF(K585="UNIQUE",PR!$BM583,IF(K585="VIXA",PR!$BN583,IF(K585="WWCV",PR!$BO583,IF(K585="ZOLON",PR!$BP583,"-")))))))))))))))))))))))))))))))))))))))))))))))))))))))))))))))))</f>
        <v>1050</v>
      </c>
    </row>
    <row r="586" spans="1:12" ht="18.75" x14ac:dyDescent="0.3">
      <c r="A586" s="430">
        <f>PR!A584</f>
        <v>529</v>
      </c>
      <c r="B586" s="15" t="str">
        <f>PR!B584</f>
        <v>TIMOLOL EYE DROPS</v>
      </c>
      <c r="C586" s="113" t="str">
        <f>PR!D584</f>
        <v>BOTT</v>
      </c>
      <c r="D586" s="113">
        <f>PR!C584</f>
        <v>880</v>
      </c>
      <c r="E586" s="108">
        <f>IF(F586="ALPHA",PR!$E584,IF(F586="ASSENE",PR!$F584,IF(F586="BIOFEM",PR!$G584,IF(F586="BIOMED",PR!$H584,IF(F586="CHI",PR!$I584,IF(F586="CLARION",PR!$J584,IF(F586="CODIX",PR!$K584,IF(F586="COSMADE",PR!$L584,IF(F586="SANCON",PR!$M584,IF(F586="DEVON",PR!$N584,IF(F586="DORTEMAG",PR!$O584,IF(F586="DGF",PR!$P584,IF(F586="DYNAMIC",PR!$Q584,IF(F586="EMZOR",PR!$R584,IF(F586="EUMATT",PR!$S584,IF(F586="FIDSON",PR!$T584,IF(F586="FCGLOBAL",PR!$U584,IF(F586="GENEITH",PR!$V584,IF(F586="GINOS",PR!$W584,IF(F586="GSK",PR!$X584,IF(F586="GLOBORG",PR!$Y584,IF(F586="GOODNEWS",PR!$Z584,IF(F586="GREENLIFE",PR!$AA584,IF(F586="HLINE",PR!$AB584,IF(F586="ROTECH",PR!$AC584,IF(F586="ISN",PR!$AD584,IF(F586="JAWA",PR!$AE584,IF(F586="LAYO",PR!$AF584,IF(F586="LEADWAY",PR!$AG584,IF(F586="LHV",PR!$AH584,IF(F586="MANOLA",PR!$AI584,IF(F586="MARCSON",PR!$AJ584,IF(F586="M&amp;B",PR!$AK584,IF(F586="MTRUST",PR!$AL584,IF(F586="MWORLD",PR!$AM584,IF(F586="MEGA",PR!$AN584,IF(F586="MICRONOVA",PR!$AO584,IF(F586="MFLASH",PR!$AP584,IF(F586="MORISON",PR!$AQ584,IF(F586="NEMEL",PR!$AR584,IF(F586="NHP",PR!$AS584,IF(F586="NHC",PR!$AT584,IF(F586="OLEAF",PR!$AU584,IF(F586="OCULUS",PR!$AV584,IF(F586="PACIFIC",PR!$AW584,IF(F586="PHAMATEX",PR!$AX584,IF(F586="PETHICS",PR!$AY584,IF(F586="PHILIPS",PR!$AZ584,IF(F586="RANBAXY",PR!$BA584,IF(F586="REALS",PR!$BB584,IF(F586="ROYAL",PR!$BC584,IF(F586="SAM",PR!$BD584,IF(F586="SEAGREEN",PR!$BE584,IF(F586="SKG",PR!$BF584,IF(F586="TAH",PR!$BG584,IF(F586="TAYLEK",PR!$BH584,IF(F586="TEMITA",PR!$BI584,IF(F586="THL",PR!$BJ584,IF(F586="UBASTIC",PR!$BK584,IF(F586="UNION",PR!$BL584,IF(F586="UNIQUE",PR!$BM584,IF(F586="VIXA",PR!$BN584,IF(F586="WWCV",PR!$BO584,IF(F586="ZOLON",PR!$BP584,"-"))))))))))))))))))))))))))))))))))))))))))))))))))))))))))))))))</f>
        <v>250</v>
      </c>
      <c r="F586" s="102" t="str">
        <f>EV!L738</f>
        <v>FIDSON</v>
      </c>
      <c r="G586" s="108">
        <f>IF(H586="ALPHA",PR!$E584,IF(H586="ASSENE",PR!$F584,IF(H586="BIOFEM",PR!$G584,IF(H586="BIOMED",PR!$H584,IF(H586="CHI",PR!$I584,IF(H586="CLARION",PR!$J584,IF(H586="CODIX",PR!$K584,IF(H586="COSMADE",PR!$L584,IF(H586="SANCON",PR!$M584,IF(H586="DEVON",PR!$N584,IF(H586="DORTEMAG",PR!$O584,IF(H586="DGF",PR!$P584,IF(H586="DYNAMIC",PR!$Q584,IF(H586="EMZOR",PR!$R584,IF(H586="EUMATT",PR!$S584,IF(H586="FIDSON",PR!$T584,IF(H586="FCGLOBAL",PR!$U584,IF(H586="GENEITH",PR!$V584,IF(H586="GINOS",PR!$W584,IF(H586="GSK",PR!$X584,IF(H586="GLOBORG",PR!$Y584,IF(H586="GOODNEWS",PR!$Z584,IF(H586="GREENLIFE",PR!$AA584,IF(H586="HLINE",PR!$AB584,IF(H586="ROTECH",PR!$AC584,IF(H586="ISN",PR!$AD584,IF(H586="JAWA",PR!$AE584,IF(H586="LAYO",PR!$AF584,IF(H586="LEADWAY",PR!$AG584,IF(H586="LHV",PR!$AH584,IF(H586="MANOLA",PR!$AI584,IF(H586="MARCSON",PR!$AJ584,IF(H586="M&amp;B",PR!$AK584,IF(H586="MTRUST",PR!$AL584,IF(H586="MWORLD",PR!$AM584,IF(H586="MEGA",PR!$AN584,IF(H586="MICRONOVA",PR!$AO584,IF(H586="MFLASH",PR!$AP584,IF(H586="MORISON",PR!$AQ584,IF(H586="NEMEL",PR!$AR584,IF(H586="NHP",PR!$AS584,IF(H586="NHC",PR!$AT584,IF(H586="OLEAF",PR!$AU584,IF(H586="OCULUS",PR!$AV584,IF(H586="PACIFIC",PR!$AW584,IF(H586="PHAMATEX",PR!$AX584,IF(H586="PETHICS",PR!$AY584,IF(H586="PHILIPS",PR!$AZ584,IF(H586="RANBAXY",PR!$BA584,IF(H586="REALS",PR!$BB584,IF(H586="ROYAL",PR!$BC584,IF(H586="SAM",PR!$BD584,IF(H586="SEAGREEN",PR!$BE584,IF(H586="SKG",PR!$BF584,IF(H586="TAH",PR!$BG584,IF(H586="TAYLEK",PR!$BH584,IF(H586="TEMITA",PR!$BI584,IF(H586="THL",PR!$BJ584,IF(H586="UBASTIC",PR!$BK584,IF(H586="UNION",PR!$BL584,IF(H586="UNIQUE",PR!$BM584,IF(H586="VIXA",PR!$BN584,IF(H586="WWCV",PR!$BO584,IF(H586="ZOLON",PR!$BP584,"-"))))))))))))))))))))))))))))))))))))))))))))))))))))))))))))))))</f>
        <v>450</v>
      </c>
      <c r="H586" s="102" t="str">
        <f>EV!M738</f>
        <v>EUMATT</v>
      </c>
      <c r="I586" s="108">
        <f>IF(J586="ALPHA",PR!$E584,IF(J586="ASSENE",PR!$F584,IF(J586="BIOFEM",PR!$G584,IF(J586="BIOMED",PR!$H584,IF(J586="CHI",PR!$I584,IF(J586="CLARION",PR!$J584,IF(J586="CODIX",PR!$K584,IF(J586="COSMADE",PR!$L584,IF(J586="SANCON",PR!$M584,IF(J586="DEVON",PR!$N584,IF(J586="DORTEMAG",PR!$O584,IF(J586="DGF",PR!$P584,IF(J586="DYNAMIC",PR!$Q584,IF(J586="EMZOR",PR!$R584,IF(J586="EUMATT",PR!$S584,IF(J586="FIDSON",PR!$T584,IF(J586="FCGLOBAL",PR!$U584,IF(J586="GENEITH",PR!$V584,IF(J586="GINOS",PR!$W584,IF(J586="GSK",PR!$X584,IF(J586="GLOBORG",PR!$Y584,IF(J586="GOODNEWS",PR!$Z584,IF(J586="GREENLIFE",PR!$AA584,IF(J586="HLINE",PR!$AB584,IF(J586="ROTECH",PR!$AC584,IF(J586="ISN",PR!$AD584,IF(J586="JAWA",PR!$AE584,IF(J586="LAYO",PR!$AF584,IF(J586="LEADWAY",PR!$AG584,IF(J586="LHV",PR!$AH584,IF(J586="MANOLA",PR!$AI584,IF(J586="MARCSON",PR!$AJ584,IF(J586="M&amp;B",PR!$AK584,IF(J586="MTRUST",PR!$AL584,IF(J586="MWORLD",PR!$AM584,IF(J586="MEGA",PR!$AN584,IF(J586="MICRONOVA",PR!$AO584,IF(J586="MFLASH",PR!$AP584,IF(J586="MORISON",PR!$AQ584,IF(J586="NEMEL",PR!$AR584,IF(J586="NHP",PR!$AS584,IF(J586="NHC",PR!$AT584,IF(J586="OLEAF",PR!$AU584,IF(J586="OCULUS",PR!$AV584,IF(J586="PACIFIC",PR!$AW584,IF(J586="PHAMATEX",PR!$AX584,IF(J586="PETHICS",PR!$AY584,IF(J586="PHILIPS",PR!$AZ584,IF(J586="RANBAXY",PR!$BA584,IF(J586="REALS",PR!$BB584,IF(J586="ROYAL",PR!$BC584,IF(J586="SAM",PR!$BD584,IF(J586="SEAGREEN",PR!$BE584,IF(J586="SKG",PR!$BF584,IF(J586="TAH",PR!$BG584,IF(J586="TAYLEK",PR!$BH584,IF(J586="TEMITA",PR!$BI584,IF(J586="THL",PR!$BJ584,IF(J586="UBASTIC",PR!$BK584,IF(J586="UNION",PR!$BL584,IF(J586="UNIQUE",PR!$BM584,IF(J586="VIXA",PR!$BN584,IF(J586="WWCV",PR!$BO584,IF(J586="ZOLON",PR!$BP584,"-"))))))))))))))))))))))))))))))))))))))))))))))))))))))))))))))))</f>
        <v>473</v>
      </c>
      <c r="J586" s="102" t="str">
        <f>EV!N738</f>
        <v>DORTEMAG</v>
      </c>
      <c r="K586" s="433" t="s">
        <v>828</v>
      </c>
      <c r="L586" s="183">
        <f>IF(K586&gt;0,IF(K586="ALPHA",PR!$E584,IF(K586="ASSENE",PR!$F584,IF(K586="BIOFEM",PR!$G584,IF(K586="BIOMED",PR!$H584,IF(K586="CHI",PR!$I584,IF(K586="CLARION",PR!$J584,IF(K586="CODIX",PR!$K584,IF(K586="COSMADE",PR!$L584,IF(K586="SANCON",PR!$M584,IF(K586="DEVON",PR!$N584,IF(K586="DORTEMAG",PR!$O584,IF(K586="DGF",PR!$P584,IF(K586="DYNAMIC",PR!$Q584,IF(K586="EMZOR",PR!$R584,IF(K586="EUMATT",PR!$S584,IF(K586="FIDSON",PR!$T584,IF(K586="FCGLOBAL",PR!$U584,IF(K586="GENEITH",PR!$V584,IF(K586="GINOS",PR!$W584,IF(K586="GSK",PR!$X584,IF(K586="GLOBORG",PR!$Y584,IF(K586="GOODNEWS",PR!$Z584,IF(K586="GREENLIFE",PR!$AA584,IF(K586="HLINE",PR!$AB584,IF(K586="ROTECH",PR!$AC584,IF(K586="ISN",PR!$AD584,IF(K586="JAWA",PR!$AE584,IF(K586="LAYO",PR!$AF584,IF(K586="LEADWAY",PR!$AG584,IF(K586="LHV",PR!$AH584,IF(K586="MANOLA",PR!$AI584,IF(K586="MARCSON",PR!$AJ584,IF(K586="M&amp;B",PR!$AK584,IF(K586="MTRUST",PR!$AL584,IF(K586="MWORLD",PR!$AM584,IF(K586="MEGA",PR!$AN584,IF(K586="MICRONOVA",PR!$AO584,IF(K586="MFLASH",PR!$AP584,IF(K586="MORISON",PR!$AQ584,IF(K586="NEMEL",PR!$AR584,IF(K586="NHP",PR!$AS584,IF(K586="NHC",PR!$AT584,IF(K586="OLEAF",PR!$AU584,IF(K586="OCULUS",PR!$AV584,IF(K586="PACIFIC",PR!$AW584,IF(K586="PHAMATEX",PR!$AX584,IF(K586="PETHICS",PR!$AY584,IF(K586="PHILIPS",PR!$AZ584,IF(K586="RANBAXY",PR!$BA584,IF(K586="REALS",PR!$BB584,IF(K586="ROYAL",PR!$BC584,IF(K586="SAM",PR!$BD584,IF(K586="SEAGREEN",PR!$BE584,IF(K586="SKG",PR!$BF584,IF(K586="TAH",PR!$BG584,IF(K586="TAYLEK",PR!$BH584,IF(K586="TEMITA",PR!$BI584,IF(K586="THL",PR!$BJ584,IF(K586="UBASTIC",PR!$BK584,IF(K586="UNION",PR!$BL584,IF(K586="UNIQUE",PR!$BM584,IF(K586="VIXA",PR!$BN584,IF(K586="WWCV",PR!$BO584,IF(K586="ZOLON",PR!$BP584,"-")))))))))))))))))))))))))))))))))))))))))))))))))))))))))))))))))</f>
        <v>473</v>
      </c>
    </row>
    <row r="587" spans="1:12" ht="18.75" x14ac:dyDescent="0.3">
      <c r="A587" s="430">
        <f>PR!A585</f>
        <v>530</v>
      </c>
      <c r="B587" s="15" t="str">
        <f>PR!B585</f>
        <v>TIMOLOL/DORZOLAMIDE GTT</v>
      </c>
      <c r="C587" s="113" t="str">
        <f>PR!D585</f>
        <v>BOTT</v>
      </c>
      <c r="D587" s="113">
        <f>PR!C585</f>
        <v>800</v>
      </c>
      <c r="E587" s="108">
        <f>IF(F587="ALPHA",PR!$E585,IF(F587="ASSENE",PR!$F585,IF(F587="BIOFEM",PR!$G585,IF(F587="BIOMED",PR!$H585,IF(F587="CHI",PR!$I585,IF(F587="CLARION",PR!$J585,IF(F587="CODIX",PR!$K585,IF(F587="COSMADE",PR!$L585,IF(F587="SANCON",PR!$M585,IF(F587="DEVON",PR!$N585,IF(F587="DORTEMAG",PR!$O585,IF(F587="DGF",PR!$P585,IF(F587="DYNAMIC",PR!$Q585,IF(F587="EMZOR",PR!$R585,IF(F587="EUMATT",PR!$S585,IF(F587="FIDSON",PR!$T585,IF(F587="FCGLOBAL",PR!$U585,IF(F587="GENEITH",PR!$V585,IF(F587="GINOS",PR!$W585,IF(F587="GSK",PR!$X585,IF(F587="GLOBORG",PR!$Y585,IF(F587="GOODNEWS",PR!$Z585,IF(F587="GREENLIFE",PR!$AA585,IF(F587="HLINE",PR!$AB585,IF(F587="ROTECH",PR!$AC585,IF(F587="ISN",PR!$AD585,IF(F587="JAWA",PR!$AE585,IF(F587="LAYO",PR!$AF585,IF(F587="LEADWAY",PR!$AG585,IF(F587="LHV",PR!$AH585,IF(F587="MANOLA",PR!$AI585,IF(F587="MARCSON",PR!$AJ585,IF(F587="M&amp;B",PR!$AK585,IF(F587="MTRUST",PR!$AL585,IF(F587="MWORLD",PR!$AM585,IF(F587="MEGA",PR!$AN585,IF(F587="MICRONOVA",PR!$AO585,IF(F587="MFLASH",PR!$AP585,IF(F587="MORISON",PR!$AQ585,IF(F587="NEMEL",PR!$AR585,IF(F587="NHP",PR!$AS585,IF(F587="NHC",PR!$AT585,IF(F587="OLEAF",PR!$AU585,IF(F587="OCULUS",PR!$AV585,IF(F587="PACIFIC",PR!$AW585,IF(F587="PHAMATEX",PR!$AX585,IF(F587="PETHICS",PR!$AY585,IF(F587="PHILIPS",PR!$AZ585,IF(F587="RANBAXY",PR!$BA585,IF(F587="REALS",PR!$BB585,IF(F587="ROYAL",PR!$BC585,IF(F587="SAM",PR!$BD585,IF(F587="SEAGREEN",PR!$BE585,IF(F587="SKG",PR!$BF585,IF(F587="TAH",PR!$BG585,IF(F587="TAYLEK",PR!$BH585,IF(F587="TEMITA",PR!$BI585,IF(F587="THL",PR!$BJ585,IF(F587="UBASTIC",PR!$BK585,IF(F587="UNION",PR!$BL585,IF(F587="UNIQUE",PR!$BM585,IF(F587="VIXA",PR!$BN585,IF(F587="WWCV",PR!$BO585,IF(F587="ZOLON",PR!$BP585,"-"))))))))))))))))))))))))))))))))))))))))))))))))))))))))))))))))</f>
        <v>2200</v>
      </c>
      <c r="F587" s="102" t="str">
        <f>EV!L739</f>
        <v>MICRONOVA</v>
      </c>
      <c r="G587" s="108">
        <f>IF(H587="ALPHA",PR!$E585,IF(H587="ASSENE",PR!$F585,IF(H587="BIOFEM",PR!$G585,IF(H587="BIOMED",PR!$H585,IF(H587="CHI",PR!$I585,IF(H587="CLARION",PR!$J585,IF(H587="CODIX",PR!$K585,IF(H587="COSMADE",PR!$L585,IF(H587="SANCON",PR!$M585,IF(H587="DEVON",PR!$N585,IF(H587="DORTEMAG",PR!$O585,IF(H587="DGF",PR!$P585,IF(H587="DYNAMIC",PR!$Q585,IF(H587="EMZOR",PR!$R585,IF(H587="EUMATT",PR!$S585,IF(H587="FIDSON",PR!$T585,IF(H587="FCGLOBAL",PR!$U585,IF(H587="GENEITH",PR!$V585,IF(H587="GINOS",PR!$W585,IF(H587="GSK",PR!$X585,IF(H587="GLOBORG",PR!$Y585,IF(H587="GOODNEWS",PR!$Z585,IF(H587="GREENLIFE",PR!$AA585,IF(H587="HLINE",PR!$AB585,IF(H587="ROTECH",PR!$AC585,IF(H587="ISN",PR!$AD585,IF(H587="JAWA",PR!$AE585,IF(H587="LAYO",PR!$AF585,IF(H587="LEADWAY",PR!$AG585,IF(H587="LHV",PR!$AH585,IF(H587="MANOLA",PR!$AI585,IF(H587="MARCSON",PR!$AJ585,IF(H587="M&amp;B",PR!$AK585,IF(H587="MTRUST",PR!$AL585,IF(H587="MWORLD",PR!$AM585,IF(H587="MEGA",PR!$AN585,IF(H587="MICRONOVA",PR!$AO585,IF(H587="MFLASH",PR!$AP585,IF(H587="MORISON",PR!$AQ585,IF(H587="NEMEL",PR!$AR585,IF(H587="NHP",PR!$AS585,IF(H587="NHC",PR!$AT585,IF(H587="OLEAF",PR!$AU585,IF(H587="OCULUS",PR!$AV585,IF(H587="PACIFIC",PR!$AW585,IF(H587="PHAMATEX",PR!$AX585,IF(H587="PETHICS",PR!$AY585,IF(H587="PHILIPS",PR!$AZ585,IF(H587="RANBAXY",PR!$BA585,IF(H587="REALS",PR!$BB585,IF(H587="ROYAL",PR!$BC585,IF(H587="SAM",PR!$BD585,IF(H587="SEAGREEN",PR!$BE585,IF(H587="SKG",PR!$BF585,IF(H587="TAH",PR!$BG585,IF(H587="TAYLEK",PR!$BH585,IF(H587="TEMITA",PR!$BI585,IF(H587="THL",PR!$BJ585,IF(H587="UBASTIC",PR!$BK585,IF(H587="UNION",PR!$BL585,IF(H587="UNIQUE",PR!$BM585,IF(H587="VIXA",PR!$BN585,IF(H587="WWCV",PR!$BO585,IF(H587="ZOLON",PR!$BP585,"-"))))))))))))))))))))))))))))))))))))))))))))))))))))))))))))))))</f>
        <v>2400</v>
      </c>
      <c r="H587" s="102" t="str">
        <f>EV!M739</f>
        <v>EUMATT</v>
      </c>
      <c r="I587" s="108">
        <f>IF(J587="ALPHA",PR!$E585,IF(J587="ASSENE",PR!$F585,IF(J587="BIOFEM",PR!$G585,IF(J587="BIOMED",PR!$H585,IF(J587="CHI",PR!$I585,IF(J587="CLARION",PR!$J585,IF(J587="CODIX",PR!$K585,IF(J587="COSMADE",PR!$L585,IF(J587="SANCON",PR!$M585,IF(J587="DEVON",PR!$N585,IF(J587="DORTEMAG",PR!$O585,IF(J587="DGF",PR!$P585,IF(J587="DYNAMIC",PR!$Q585,IF(J587="EMZOR",PR!$R585,IF(J587="EUMATT",PR!$S585,IF(J587="FIDSON",PR!$T585,IF(J587="FCGLOBAL",PR!$U585,IF(J587="GENEITH",PR!$V585,IF(J587="GINOS",PR!$W585,IF(J587="GSK",PR!$X585,IF(J587="GLOBORG",PR!$Y585,IF(J587="GOODNEWS",PR!$Z585,IF(J587="GREENLIFE",PR!$AA585,IF(J587="HLINE",PR!$AB585,IF(J587="ROTECH",PR!$AC585,IF(J587="ISN",PR!$AD585,IF(J587="JAWA",PR!$AE585,IF(J587="LAYO",PR!$AF585,IF(J587="LEADWAY",PR!$AG585,IF(J587="LHV",PR!$AH585,IF(J587="MANOLA",PR!$AI585,IF(J587="MARCSON",PR!$AJ585,IF(J587="M&amp;B",PR!$AK585,IF(J587="MTRUST",PR!$AL585,IF(J587="MWORLD",PR!$AM585,IF(J587="MEGA",PR!$AN585,IF(J587="MICRONOVA",PR!$AO585,IF(J587="MFLASH",PR!$AP585,IF(J587="MORISON",PR!$AQ585,IF(J587="NEMEL",PR!$AR585,IF(J587="NHP",PR!$AS585,IF(J587="NHC",PR!$AT585,IF(J587="OLEAF",PR!$AU585,IF(J587="OCULUS",PR!$AV585,IF(J587="PACIFIC",PR!$AW585,IF(J587="PHAMATEX",PR!$AX585,IF(J587="PETHICS",PR!$AY585,IF(J587="PHILIPS",PR!$AZ585,IF(J587="RANBAXY",PR!$BA585,IF(J587="REALS",PR!$BB585,IF(J587="ROYAL",PR!$BC585,IF(J587="SAM",PR!$BD585,IF(J587="SEAGREEN",PR!$BE585,IF(J587="SKG",PR!$BF585,IF(J587="TAH",PR!$BG585,IF(J587="TAYLEK",PR!$BH585,IF(J587="TEMITA",PR!$BI585,IF(J587="THL",PR!$BJ585,IF(J587="UBASTIC",PR!$BK585,IF(J587="UNION",PR!$BL585,IF(J587="UNIQUE",PR!$BM585,IF(J587="VIXA",PR!$BN585,IF(J587="WWCV",PR!$BO585,IF(J587="ZOLON",PR!$BP585,"-"))))))))))))))))))))))))))))))))))))))))))))))))))))))))))))))))</f>
        <v>2950</v>
      </c>
      <c r="J587" s="102" t="str">
        <f>EV!N739</f>
        <v>ALPHA</v>
      </c>
      <c r="K587" s="433" t="s">
        <v>632</v>
      </c>
      <c r="L587" s="183">
        <f>IF(K587&gt;0,IF(K587="ALPHA",PR!$E585,IF(K587="ASSENE",PR!$F585,IF(K587="BIOFEM",PR!$G585,IF(K587="BIOMED",PR!$H585,IF(K587="CHI",PR!$I585,IF(K587="CLARION",PR!$J585,IF(K587="CODIX",PR!$K585,IF(K587="COSMADE",PR!$L585,IF(K587="SANCON",PR!$M585,IF(K587="DEVON",PR!$N585,IF(K587="DORTEMAG",PR!$O585,IF(K587="DGF",PR!$P585,IF(K587="DYNAMIC",PR!$Q585,IF(K587="EMZOR",PR!$R585,IF(K587="EUMATT",PR!$S585,IF(K587="FIDSON",PR!$T585,IF(K587="FCGLOBAL",PR!$U585,IF(K587="GENEITH",PR!$V585,IF(K587="GINOS",PR!$W585,IF(K587="GSK",PR!$X585,IF(K587="GLOBORG",PR!$Y585,IF(K587="GOODNEWS",PR!$Z585,IF(K587="GREENLIFE",PR!$AA585,IF(K587="HLINE",PR!$AB585,IF(K587="ROTECH",PR!$AC585,IF(K587="ISN",PR!$AD585,IF(K587="JAWA",PR!$AE585,IF(K587="LAYO",PR!$AF585,IF(K587="LEADWAY",PR!$AG585,IF(K587="LHV",PR!$AH585,IF(K587="MANOLA",PR!$AI585,IF(K587="MARCSON",PR!$AJ585,IF(K587="M&amp;B",PR!$AK585,IF(K587="MTRUST",PR!$AL585,IF(K587="MWORLD",PR!$AM585,IF(K587="MEGA",PR!$AN585,IF(K587="MICRONOVA",PR!$AO585,IF(K587="MFLASH",PR!$AP585,IF(K587="MORISON",PR!$AQ585,IF(K587="NEMEL",PR!$AR585,IF(K587="NHP",PR!$AS585,IF(K587="NHC",PR!$AT585,IF(K587="OLEAF",PR!$AU585,IF(K587="OCULUS",PR!$AV585,IF(K587="PACIFIC",PR!$AW585,IF(K587="PHAMATEX",PR!$AX585,IF(K587="PETHICS",PR!$AY585,IF(K587="PHILIPS",PR!$AZ585,IF(K587="RANBAXY",PR!$BA585,IF(K587="REALS",PR!$BB585,IF(K587="ROYAL",PR!$BC585,IF(K587="SAM",PR!$BD585,IF(K587="SEAGREEN",PR!$BE585,IF(K587="SKG",PR!$BF585,IF(K587="TAH",PR!$BG585,IF(K587="TAYLEK",PR!$BH585,IF(K587="TEMITA",PR!$BI585,IF(K587="THL",PR!$BJ585,IF(K587="UBASTIC",PR!$BK585,IF(K587="UNION",PR!$BL585,IF(K587="UNIQUE",PR!$BM585,IF(K587="VIXA",PR!$BN585,IF(K587="WWCV",PR!$BO585,IF(K587="ZOLON",PR!$BP585,"-")))))))))))))))))))))))))))))))))))))))))))))))))))))))))))))))))</f>
        <v>2200</v>
      </c>
    </row>
    <row r="588" spans="1:12" ht="18.75" x14ac:dyDescent="0.3">
      <c r="A588" s="430">
        <f>PR!A586</f>
        <v>531</v>
      </c>
      <c r="B588" s="15" t="str">
        <f>PR!B586</f>
        <v>TIMOLOL/TRAVOPROST 5MG/40MCG</v>
      </c>
      <c r="C588" s="113" t="str">
        <f>PR!D586</f>
        <v>BOTT</v>
      </c>
      <c r="D588" s="113">
        <f>PR!C586</f>
        <v>52</v>
      </c>
      <c r="E588" s="108">
        <f>IF(F588="ALPHA",PR!$E586,IF(F588="ASSENE",PR!$F586,IF(F588="BIOFEM",PR!$G586,IF(F588="BIOMED",PR!$H586,IF(F588="CHI",PR!$I586,IF(F588="CLARION",PR!$J586,IF(F588="CODIX",PR!$K586,IF(F588="COSMADE",PR!$L586,IF(F588="SANCON",PR!$M586,IF(F588="DEVON",PR!$N586,IF(F588="DORTEMAG",PR!$O586,IF(F588="DGF",PR!$P586,IF(F588="DYNAMIC",PR!$Q586,IF(F588="EMZOR",PR!$R586,IF(F588="EUMATT",PR!$S586,IF(F588="FIDSON",PR!$T586,IF(F588="FCGLOBAL",PR!$U586,IF(F588="GENEITH",PR!$V586,IF(F588="GINOS",PR!$W586,IF(F588="GSK",PR!$X586,IF(F588="GLOBORG",PR!$Y586,IF(F588="GOODNEWS",PR!$Z586,IF(F588="GREENLIFE",PR!$AA586,IF(F588="HLINE",PR!$AB586,IF(F588="ROTECH",PR!$AC586,IF(F588="ISN",PR!$AD586,IF(F588="JAWA",PR!$AE586,IF(F588="LAYO",PR!$AF586,IF(F588="LEADWAY",PR!$AG586,IF(F588="LHV",PR!$AH586,IF(F588="MANOLA",PR!$AI586,IF(F588="MARCSON",PR!$AJ586,IF(F588="M&amp;B",PR!$AK586,IF(F588="MTRUST",PR!$AL586,IF(F588="MWORLD",PR!$AM586,IF(F588="MEGA",PR!$AN586,IF(F588="MICRONOVA",PR!$AO586,IF(F588="MFLASH",PR!$AP586,IF(F588="MORISON",PR!$AQ586,IF(F588="NEMEL",PR!$AR586,IF(F588="NHP",PR!$AS586,IF(F588="NHC",PR!$AT586,IF(F588="OLEAF",PR!$AU586,IF(F588="OCULUS",PR!$AV586,IF(F588="PACIFIC",PR!$AW586,IF(F588="PHAMATEX",PR!$AX586,IF(F588="PETHICS",PR!$AY586,IF(F588="PHILIPS",PR!$AZ586,IF(F588="RANBAXY",PR!$BA586,IF(F588="REALS",PR!$BB586,IF(F588="ROYAL",PR!$BC586,IF(F588="SAM",PR!$BD586,IF(F588="SEAGREEN",PR!$BE586,IF(F588="SKG",PR!$BF586,IF(F588="TAH",PR!$BG586,IF(F588="TAYLEK",PR!$BH586,IF(F588="TEMITA",PR!$BI586,IF(F588="THL",PR!$BJ586,IF(F588="UBASTIC",PR!$BK586,IF(F588="UNION",PR!$BL586,IF(F588="UNIQUE",PR!$BM586,IF(F588="VIXA",PR!$BN586,IF(F588="WWCV",PR!$BO586,IF(F588="ZOLON",PR!$BP586,"-"))))))))))))))))))))))))))))))))))))))))))))))))))))))))))))))))</f>
        <v>3350</v>
      </c>
      <c r="F588" s="102" t="str">
        <f>EV!L740</f>
        <v>EUMATT</v>
      </c>
      <c r="G588" s="108" t="str">
        <f>IF(H588="ALPHA",PR!$E586,IF(H588="ASSENE",PR!$F586,IF(H588="BIOFEM",PR!$G586,IF(H588="BIOMED",PR!$H586,IF(H588="CHI",PR!$I586,IF(H588="CLARION",PR!$J586,IF(H588="CODIX",PR!$K586,IF(H588="COSMADE",PR!$L586,IF(H588="SANCON",PR!$M586,IF(H588="DEVON",PR!$N586,IF(H588="DORTEMAG",PR!$O586,IF(H588="DGF",PR!$P586,IF(H588="DYNAMIC",PR!$Q586,IF(H588="EMZOR",PR!$R586,IF(H588="EUMATT",PR!$S586,IF(H588="FIDSON",PR!$T586,IF(H588="FCGLOBAL",PR!$U586,IF(H588="GENEITH",PR!$V586,IF(H588="GINOS",PR!$W586,IF(H588="GSK",PR!$X586,IF(H588="GLOBORG",PR!$Y586,IF(H588="GOODNEWS",PR!$Z586,IF(H588="GREENLIFE",PR!$AA586,IF(H588="HLINE",PR!$AB586,IF(H588="ROTECH",PR!$AC586,IF(H588="ISN",PR!$AD586,IF(H588="JAWA",PR!$AE586,IF(H588="LAYO",PR!$AF586,IF(H588="LEADWAY",PR!$AG586,IF(H588="LHV",PR!$AH586,IF(H588="MANOLA",PR!$AI586,IF(H588="MARCSON",PR!$AJ586,IF(H588="M&amp;B",PR!$AK586,IF(H588="MTRUST",PR!$AL586,IF(H588="MWORLD",PR!$AM586,IF(H588="MEGA",PR!$AN586,IF(H588="MICRONOVA",PR!$AO586,IF(H588="MFLASH",PR!$AP586,IF(H588="MORISON",PR!$AQ586,IF(H588="NEMEL",PR!$AR586,IF(H588="NHP",PR!$AS586,IF(H588="NHC",PR!$AT586,IF(H588="OLEAF",PR!$AU586,IF(H588="OCULUS",PR!$AV586,IF(H588="PACIFIC",PR!$AW586,IF(H588="PHAMATEX",PR!$AX586,IF(H588="PETHICS",PR!$AY586,IF(H588="PHILIPS",PR!$AZ586,IF(H588="RANBAXY",PR!$BA586,IF(H588="REALS",PR!$BB586,IF(H588="ROYAL",PR!$BC586,IF(H588="SAM",PR!$BD586,IF(H588="SEAGREEN",PR!$BE586,IF(H588="SKG",PR!$BF586,IF(H588="TAH",PR!$BG586,IF(H588="TAYLEK",PR!$BH586,IF(H588="TEMITA",PR!$BI586,IF(H588="THL",PR!$BJ586,IF(H588="UBASTIC",PR!$BK586,IF(H588="UNION",PR!$BL586,IF(H588="UNIQUE",PR!$BM586,IF(H588="VIXA",PR!$BN586,IF(H588="WWCV",PR!$BO586,IF(H588="ZOLON",PR!$BP586,"-"))))))))))))))))))))))))))))))))))))))))))))))))))))))))))))))))</f>
        <v>-</v>
      </c>
      <c r="H588" s="102">
        <f>EV!M740</f>
        <v>0</v>
      </c>
      <c r="I588" s="108" t="str">
        <f>IF(J588="ALPHA",PR!$E586,IF(J588="ASSENE",PR!$F586,IF(J588="BIOFEM",PR!$G586,IF(J588="BIOMED",PR!$H586,IF(J588="CHI",PR!$I586,IF(J588="CLARION",PR!$J586,IF(J588="CODIX",PR!$K586,IF(J588="COSMADE",PR!$L586,IF(J588="SANCON",PR!$M586,IF(J588="DEVON",PR!$N586,IF(J588="DORTEMAG",PR!$O586,IF(J588="DGF",PR!$P586,IF(J588="DYNAMIC",PR!$Q586,IF(J588="EMZOR",PR!$R586,IF(J588="EUMATT",PR!$S586,IF(J588="FIDSON",PR!$T586,IF(J588="FCGLOBAL",PR!$U586,IF(J588="GENEITH",PR!$V586,IF(J588="GINOS",PR!$W586,IF(J588="GSK",PR!$X586,IF(J588="GLOBORG",PR!$Y586,IF(J588="GOODNEWS",PR!$Z586,IF(J588="GREENLIFE",PR!$AA586,IF(J588="HLINE",PR!$AB586,IF(J588="ROTECH",PR!$AC586,IF(J588="ISN",PR!$AD586,IF(J588="JAWA",PR!$AE586,IF(J588="LAYO",PR!$AF586,IF(J588="LEADWAY",PR!$AG586,IF(J588="LHV",PR!$AH586,IF(J588="MANOLA",PR!$AI586,IF(J588="MARCSON",PR!$AJ586,IF(J588="M&amp;B",PR!$AK586,IF(J588="MTRUST",PR!$AL586,IF(J588="MWORLD",PR!$AM586,IF(J588="MEGA",PR!$AN586,IF(J588="MICRONOVA",PR!$AO586,IF(J588="MFLASH",PR!$AP586,IF(J588="MORISON",PR!$AQ586,IF(J588="NEMEL",PR!$AR586,IF(J588="NHP",PR!$AS586,IF(J588="NHC",PR!$AT586,IF(J588="OLEAF",PR!$AU586,IF(J588="OCULUS",PR!$AV586,IF(J588="PACIFIC",PR!$AW586,IF(J588="PHAMATEX",PR!$AX586,IF(J588="PETHICS",PR!$AY586,IF(J588="PHILIPS",PR!$AZ586,IF(J588="RANBAXY",PR!$BA586,IF(J588="REALS",PR!$BB586,IF(J588="ROYAL",PR!$BC586,IF(J588="SAM",PR!$BD586,IF(J588="SEAGREEN",PR!$BE586,IF(J588="SKG",PR!$BF586,IF(J588="TAH",PR!$BG586,IF(J588="TAYLEK",PR!$BH586,IF(J588="TEMITA",PR!$BI586,IF(J588="THL",PR!$BJ586,IF(J588="UBASTIC",PR!$BK586,IF(J588="UNION",PR!$BL586,IF(J588="UNIQUE",PR!$BM586,IF(J588="VIXA",PR!$BN586,IF(J588="WWCV",PR!$BO586,IF(J588="ZOLON",PR!$BP586,"-"))))))))))))))))))))))))))))))))))))))))))))))))))))))))))))))))</f>
        <v>-</v>
      </c>
      <c r="J588" s="102">
        <f>EV!N740</f>
        <v>0</v>
      </c>
      <c r="K588" s="433" t="s">
        <v>821</v>
      </c>
      <c r="L588" s="183">
        <f>IF(K588&gt;0,IF(K588="ALPHA",PR!$E586,IF(K588="ASSENE",PR!$F586,IF(K588="BIOFEM",PR!$G586,IF(K588="BIOMED",PR!$H586,IF(K588="CHI",PR!$I586,IF(K588="CLARION",PR!$J586,IF(K588="CODIX",PR!$K586,IF(K588="COSMADE",PR!$L586,IF(K588="SANCON",PR!$M586,IF(K588="DEVON",PR!$N586,IF(K588="DORTEMAG",PR!$O586,IF(K588="DGF",PR!$P586,IF(K588="DYNAMIC",PR!$Q586,IF(K588="EMZOR",PR!$R586,IF(K588="EUMATT",PR!$S586,IF(K588="FIDSON",PR!$T586,IF(K588="FCGLOBAL",PR!$U586,IF(K588="GENEITH",PR!$V586,IF(K588="GINOS",PR!$W586,IF(K588="GSK",PR!$X586,IF(K588="GLOBORG",PR!$Y586,IF(K588="GOODNEWS",PR!$Z586,IF(K588="GREENLIFE",PR!$AA586,IF(K588="HLINE",PR!$AB586,IF(K588="ROTECH",PR!$AC586,IF(K588="ISN",PR!$AD586,IF(K588="JAWA",PR!$AE586,IF(K588="LAYO",PR!$AF586,IF(K588="LEADWAY",PR!$AG586,IF(K588="LHV",PR!$AH586,IF(K588="MANOLA",PR!$AI586,IF(K588="MARCSON",PR!$AJ586,IF(K588="M&amp;B",PR!$AK586,IF(K588="MTRUST",PR!$AL586,IF(K588="MWORLD",PR!$AM586,IF(K588="MEGA",PR!$AN586,IF(K588="MICRONOVA",PR!$AO586,IF(K588="MFLASH",PR!$AP586,IF(K588="MORISON",PR!$AQ586,IF(K588="NEMEL",PR!$AR586,IF(K588="NHP",PR!$AS586,IF(K588="NHC",PR!$AT586,IF(K588="OLEAF",PR!$AU586,IF(K588="OCULUS",PR!$AV586,IF(K588="PACIFIC",PR!$AW586,IF(K588="PHAMATEX",PR!$AX586,IF(K588="PETHICS",PR!$AY586,IF(K588="PHILIPS",PR!$AZ586,IF(K588="RANBAXY",PR!$BA586,IF(K588="REALS",PR!$BB586,IF(K588="ROYAL",PR!$BC586,IF(K588="SAM",PR!$BD586,IF(K588="SEAGREEN",PR!$BE586,IF(K588="SKG",PR!$BF586,IF(K588="TAH",PR!$BG586,IF(K588="TAYLEK",PR!$BH586,IF(K588="TEMITA",PR!$BI586,IF(K588="THL",PR!$BJ586,IF(K588="UBASTIC",PR!$BK586,IF(K588="UNION",PR!$BL586,IF(K588="UNIQUE",PR!$BM586,IF(K588="VIXA",PR!$BN586,IF(K588="WWCV",PR!$BO586,IF(K588="ZOLON",PR!$BP586,"-")))))))))))))))))))))))))))))))))))))))))))))))))))))))))))))))))</f>
        <v>3350</v>
      </c>
    </row>
    <row r="589" spans="1:12" ht="18.75" x14ac:dyDescent="0.3">
      <c r="A589" s="430">
        <f>PR!A587</f>
        <v>532</v>
      </c>
      <c r="B589" s="15" t="str">
        <f>PR!B587</f>
        <v>TRAVOPROST 40MCG</v>
      </c>
      <c r="C589" s="113" t="str">
        <f>PR!D587</f>
        <v>BOTT</v>
      </c>
      <c r="D589" s="113">
        <f>PR!C587</f>
        <v>52</v>
      </c>
      <c r="E589" s="108">
        <f>IF(F589="ALPHA",PR!$E587,IF(F589="ASSENE",PR!$F587,IF(F589="BIOFEM",PR!$G587,IF(F589="BIOMED",PR!$H587,IF(F589="CHI",PR!$I587,IF(F589="CLARION",PR!$J587,IF(F589="CODIX",PR!$K587,IF(F589="COSMADE",PR!$L587,IF(F589="SANCON",PR!$M587,IF(F589="DEVON",PR!$N587,IF(F589="DORTEMAG",PR!$O587,IF(F589="DGF",PR!$P587,IF(F589="DYNAMIC",PR!$Q587,IF(F589="EMZOR",PR!$R587,IF(F589="EUMATT",PR!$S587,IF(F589="FIDSON",PR!$T587,IF(F589="FCGLOBAL",PR!$U587,IF(F589="GENEITH",PR!$V587,IF(F589="GINOS",PR!$W587,IF(F589="GSK",PR!$X587,IF(F589="GLOBORG",PR!$Y587,IF(F589="GOODNEWS",PR!$Z587,IF(F589="GREENLIFE",PR!$AA587,IF(F589="HLINE",PR!$AB587,IF(F589="ROTECH",PR!$AC587,IF(F589="ISN",PR!$AD587,IF(F589="JAWA",PR!$AE587,IF(F589="LAYO",PR!$AF587,IF(F589="LEADWAY",PR!$AG587,IF(F589="LHV",PR!$AH587,IF(F589="MANOLA",PR!$AI587,IF(F589="MARCSON",PR!$AJ587,IF(F589="M&amp;B",PR!$AK587,IF(F589="MTRUST",PR!$AL587,IF(F589="MWORLD",PR!$AM587,IF(F589="MEGA",PR!$AN587,IF(F589="MICRONOVA",PR!$AO587,IF(F589="MFLASH",PR!$AP587,IF(F589="MORISON",PR!$AQ587,IF(F589="NEMEL",PR!$AR587,IF(F589="NHP",PR!$AS587,IF(F589="NHC",PR!$AT587,IF(F589="OLEAF",PR!$AU587,IF(F589="OCULUS",PR!$AV587,IF(F589="PACIFIC",PR!$AW587,IF(F589="PHAMATEX",PR!$AX587,IF(F589="PETHICS",PR!$AY587,IF(F589="PHILIPS",PR!$AZ587,IF(F589="RANBAXY",PR!$BA587,IF(F589="REALS",PR!$BB587,IF(F589="ROYAL",PR!$BC587,IF(F589="SAM",PR!$BD587,IF(F589="SEAGREEN",PR!$BE587,IF(F589="SKG",PR!$BF587,IF(F589="TAH",PR!$BG587,IF(F589="TAYLEK",PR!$BH587,IF(F589="TEMITA",PR!$BI587,IF(F589="THL",PR!$BJ587,IF(F589="UBASTIC",PR!$BK587,IF(F589="UNION",PR!$BL587,IF(F589="UNIQUE",PR!$BM587,IF(F589="VIXA",PR!$BN587,IF(F589="WWCV",PR!$BO587,IF(F589="ZOLON",PR!$BP587,"-"))))))))))))))))))))))))))))))))))))))))))))))))))))))))))))))))</f>
        <v>2500</v>
      </c>
      <c r="F589" s="102" t="str">
        <f>EV!L741</f>
        <v>MICRONOVA</v>
      </c>
      <c r="G589" s="108">
        <f>IF(H589="ALPHA",PR!$E587,IF(H589="ASSENE",PR!$F587,IF(H589="BIOFEM",PR!$G587,IF(H589="BIOMED",PR!$H587,IF(H589="CHI",PR!$I587,IF(H589="CLARION",PR!$J587,IF(H589="CODIX",PR!$K587,IF(H589="COSMADE",PR!$L587,IF(H589="SANCON",PR!$M587,IF(H589="DEVON",PR!$N587,IF(H589="DORTEMAG",PR!$O587,IF(H589="DGF",PR!$P587,IF(H589="DYNAMIC",PR!$Q587,IF(H589="EMZOR",PR!$R587,IF(H589="EUMATT",PR!$S587,IF(H589="FIDSON",PR!$T587,IF(H589="FCGLOBAL",PR!$U587,IF(H589="GENEITH",PR!$V587,IF(H589="GINOS",PR!$W587,IF(H589="GSK",PR!$X587,IF(H589="GLOBORG",PR!$Y587,IF(H589="GOODNEWS",PR!$Z587,IF(H589="GREENLIFE",PR!$AA587,IF(H589="HLINE",PR!$AB587,IF(H589="ROTECH",PR!$AC587,IF(H589="ISN",PR!$AD587,IF(H589="JAWA",PR!$AE587,IF(H589="LAYO",PR!$AF587,IF(H589="LEADWAY",PR!$AG587,IF(H589="LHV",PR!$AH587,IF(H589="MANOLA",PR!$AI587,IF(H589="MARCSON",PR!$AJ587,IF(H589="M&amp;B",PR!$AK587,IF(H589="MTRUST",PR!$AL587,IF(H589="MWORLD",PR!$AM587,IF(H589="MEGA",PR!$AN587,IF(H589="MICRONOVA",PR!$AO587,IF(H589="MFLASH",PR!$AP587,IF(H589="MORISON",PR!$AQ587,IF(H589="NEMEL",PR!$AR587,IF(H589="NHP",PR!$AS587,IF(H589="NHC",PR!$AT587,IF(H589="OLEAF",PR!$AU587,IF(H589="OCULUS",PR!$AV587,IF(H589="PACIFIC",PR!$AW587,IF(H589="PHAMATEX",PR!$AX587,IF(H589="PETHICS",PR!$AY587,IF(H589="PHILIPS",PR!$AZ587,IF(H589="RANBAXY",PR!$BA587,IF(H589="REALS",PR!$BB587,IF(H589="ROYAL",PR!$BC587,IF(H589="SAM",PR!$BD587,IF(H589="SEAGREEN",PR!$BE587,IF(H589="SKG",PR!$BF587,IF(H589="TAH",PR!$BG587,IF(H589="TAYLEK",PR!$BH587,IF(H589="TEMITA",PR!$BI587,IF(H589="THL",PR!$BJ587,IF(H589="UBASTIC",PR!$BK587,IF(H589="UNION",PR!$BL587,IF(H589="UNIQUE",PR!$BM587,IF(H589="VIXA",PR!$BN587,IF(H589="WWCV",PR!$BO587,IF(H589="ZOLON",PR!$BP587,"-"))))))))))))))))))))))))))))))))))))))))))))))))))))))))))))))))</f>
        <v>3350</v>
      </c>
      <c r="H589" s="102" t="str">
        <f>EV!M741</f>
        <v>EUMATT</v>
      </c>
      <c r="I589" s="108" t="str">
        <f>IF(J589="ALPHA",PR!$E587,IF(J589="ASSENE",PR!$F587,IF(J589="BIOFEM",PR!$G587,IF(J589="BIOMED",PR!$H587,IF(J589="CHI",PR!$I587,IF(J589="CLARION",PR!$J587,IF(J589="CODIX",PR!$K587,IF(J589="COSMADE",PR!$L587,IF(J589="SANCON",PR!$M587,IF(J589="DEVON",PR!$N587,IF(J589="DORTEMAG",PR!$O587,IF(J589="DGF",PR!$P587,IF(J589="DYNAMIC",PR!$Q587,IF(J589="EMZOR",PR!$R587,IF(J589="EUMATT",PR!$S587,IF(J589="FIDSON",PR!$T587,IF(J589="FCGLOBAL",PR!$U587,IF(J589="GENEITH",PR!$V587,IF(J589="GINOS",PR!$W587,IF(J589="GSK",PR!$X587,IF(J589="GLOBORG",PR!$Y587,IF(J589="GOODNEWS",PR!$Z587,IF(J589="GREENLIFE",PR!$AA587,IF(J589="HLINE",PR!$AB587,IF(J589="ROTECH",PR!$AC587,IF(J589="ISN",PR!$AD587,IF(J589="JAWA",PR!$AE587,IF(J589="LAYO",PR!$AF587,IF(J589="LEADWAY",PR!$AG587,IF(J589="LHV",PR!$AH587,IF(J589="MANOLA",PR!$AI587,IF(J589="MARCSON",PR!$AJ587,IF(J589="M&amp;B",PR!$AK587,IF(J589="MTRUST",PR!$AL587,IF(J589="MWORLD",PR!$AM587,IF(J589="MEGA",PR!$AN587,IF(J589="MICRONOVA",PR!$AO587,IF(J589="MFLASH",PR!$AP587,IF(J589="MORISON",PR!$AQ587,IF(J589="NEMEL",PR!$AR587,IF(J589="NHP",PR!$AS587,IF(J589="NHC",PR!$AT587,IF(J589="OLEAF",PR!$AU587,IF(J589="OCULUS",PR!$AV587,IF(J589="PACIFIC",PR!$AW587,IF(J589="PHAMATEX",PR!$AX587,IF(J589="PETHICS",PR!$AY587,IF(J589="PHILIPS",PR!$AZ587,IF(J589="RANBAXY",PR!$BA587,IF(J589="REALS",PR!$BB587,IF(J589="ROYAL",PR!$BC587,IF(J589="SAM",PR!$BD587,IF(J589="SEAGREEN",PR!$BE587,IF(J589="SKG",PR!$BF587,IF(J589="TAH",PR!$BG587,IF(J589="TAYLEK",PR!$BH587,IF(J589="TEMITA",PR!$BI587,IF(J589="THL",PR!$BJ587,IF(J589="UBASTIC",PR!$BK587,IF(J589="UNION",PR!$BL587,IF(J589="UNIQUE",PR!$BM587,IF(J589="VIXA",PR!$BN587,IF(J589="WWCV",PR!$BO587,IF(J589="ZOLON",PR!$BP587,"-"))))))))))))))))))))))))))))))))))))))))))))))))))))))))))))))))</f>
        <v>-</v>
      </c>
      <c r="J589" s="102">
        <f>EV!N741</f>
        <v>0</v>
      </c>
      <c r="K589" s="433" t="s">
        <v>821</v>
      </c>
      <c r="L589" s="183">
        <f>IF(K589&gt;0,IF(K589="ALPHA",PR!$E587,IF(K589="ASSENE",PR!$F587,IF(K589="BIOFEM",PR!$G587,IF(K589="BIOMED",PR!$H587,IF(K589="CHI",PR!$I587,IF(K589="CLARION",PR!$J587,IF(K589="CODIX",PR!$K587,IF(K589="COSMADE",PR!$L587,IF(K589="SANCON",PR!$M587,IF(K589="DEVON",PR!$N587,IF(K589="DORTEMAG",PR!$O587,IF(K589="DGF",PR!$P587,IF(K589="DYNAMIC",PR!$Q587,IF(K589="EMZOR",PR!$R587,IF(K589="EUMATT",PR!$S587,IF(K589="FIDSON",PR!$T587,IF(K589="FCGLOBAL",PR!$U587,IF(K589="GENEITH",PR!$V587,IF(K589="GINOS",PR!$W587,IF(K589="GSK",PR!$X587,IF(K589="GLOBORG",PR!$Y587,IF(K589="GOODNEWS",PR!$Z587,IF(K589="GREENLIFE",PR!$AA587,IF(K589="HLINE",PR!$AB587,IF(K589="ROTECH",PR!$AC587,IF(K589="ISN",PR!$AD587,IF(K589="JAWA",PR!$AE587,IF(K589="LAYO",PR!$AF587,IF(K589="LEADWAY",PR!$AG587,IF(K589="LHV",PR!$AH587,IF(K589="MANOLA",PR!$AI587,IF(K589="MARCSON",PR!$AJ587,IF(K589="M&amp;B",PR!$AK587,IF(K589="MTRUST",PR!$AL587,IF(K589="MWORLD",PR!$AM587,IF(K589="MEGA",PR!$AN587,IF(K589="MICRONOVA",PR!$AO587,IF(K589="MFLASH",PR!$AP587,IF(K589="MORISON",PR!$AQ587,IF(K589="NEMEL",PR!$AR587,IF(K589="NHP",PR!$AS587,IF(K589="NHC",PR!$AT587,IF(K589="OLEAF",PR!$AU587,IF(K589="OCULUS",PR!$AV587,IF(K589="PACIFIC",PR!$AW587,IF(K589="PHAMATEX",PR!$AX587,IF(K589="PETHICS",PR!$AY587,IF(K589="PHILIPS",PR!$AZ587,IF(K589="RANBAXY",PR!$BA587,IF(K589="REALS",PR!$BB587,IF(K589="ROYAL",PR!$BC587,IF(K589="SAM",PR!$BD587,IF(K589="SEAGREEN",PR!$BE587,IF(K589="SKG",PR!$BF587,IF(K589="TAH",PR!$BG587,IF(K589="TAYLEK",PR!$BH587,IF(K589="TEMITA",PR!$BI587,IF(K589="THL",PR!$BJ587,IF(K589="UBASTIC",PR!$BK587,IF(K589="UNION",PR!$BL587,IF(K589="UNIQUE",PR!$BM587,IF(K589="VIXA",PR!$BN587,IF(K589="WWCV",PR!$BO587,IF(K589="ZOLON",PR!$BP587,"-")))))))))))))))))))))))))))))))))))))))))))))))))))))))))))))))))</f>
        <v>3350</v>
      </c>
    </row>
    <row r="590" spans="1:12" ht="18.75" x14ac:dyDescent="0.3">
      <c r="A590" s="430">
        <f>PR!A588</f>
        <v>533</v>
      </c>
      <c r="B590" s="15" t="str">
        <f>PR!B588</f>
        <v>TOBRAMYCIN EYE DROP</v>
      </c>
      <c r="C590" s="113" t="str">
        <f>PR!D588</f>
        <v>BOTT</v>
      </c>
      <c r="D590" s="113">
        <f>PR!C588</f>
        <v>80</v>
      </c>
      <c r="E590" s="108">
        <f>IF(F590="ALPHA",PR!$E588,IF(F590="ASSENE",PR!$F588,IF(F590="BIOFEM",PR!$G588,IF(F590="BIOMED",PR!$H588,IF(F590="CHI",PR!$I588,IF(F590="CLARION",PR!$J588,IF(F590="CODIX",PR!$K588,IF(F590="COSMADE",PR!$L588,IF(F590="SANCON",PR!$M588,IF(F590="DEVON",PR!$N588,IF(F590="DORTEMAG",PR!$O588,IF(F590="DGF",PR!$P588,IF(F590="DYNAMIC",PR!$Q588,IF(F590="EMZOR",PR!$R588,IF(F590="EUMATT",PR!$S588,IF(F590="FIDSON",PR!$T588,IF(F590="FCGLOBAL",PR!$U588,IF(F590="GENEITH",PR!$V588,IF(F590="GINOS",PR!$W588,IF(F590="GSK",PR!$X588,IF(F590="GLOBORG",PR!$Y588,IF(F590="GOODNEWS",PR!$Z588,IF(F590="GREENLIFE",PR!$AA588,IF(F590="HLINE",PR!$AB588,IF(F590="ROTECH",PR!$AC588,IF(F590="ISN",PR!$AD588,IF(F590="JAWA",PR!$AE588,IF(F590="LAYO",PR!$AF588,IF(F590="LEADWAY",PR!$AG588,IF(F590="LHV",PR!$AH588,IF(F590="MANOLA",PR!$AI588,IF(F590="MARCSON",PR!$AJ588,IF(F590="M&amp;B",PR!$AK588,IF(F590="MTRUST",PR!$AL588,IF(F590="MWORLD",PR!$AM588,IF(F590="MEGA",PR!$AN588,IF(F590="MICRONOVA",PR!$AO588,IF(F590="MFLASH",PR!$AP588,IF(F590="MORISON",PR!$AQ588,IF(F590="NEMEL",PR!$AR588,IF(F590="NHP",PR!$AS588,IF(F590="NHC",PR!$AT588,IF(F590="OLEAF",PR!$AU588,IF(F590="OCULUS",PR!$AV588,IF(F590="PACIFIC",PR!$AW588,IF(F590="PHAMATEX",PR!$AX588,IF(F590="PETHICS",PR!$AY588,IF(F590="PHILIPS",PR!$AZ588,IF(F590="RANBAXY",PR!$BA588,IF(F590="REALS",PR!$BB588,IF(F590="ROYAL",PR!$BC588,IF(F590="SAM",PR!$BD588,IF(F590="SEAGREEN",PR!$BE588,IF(F590="SKG",PR!$BF588,IF(F590="TAH",PR!$BG588,IF(F590="TAYLEK",PR!$BH588,IF(F590="TEMITA",PR!$BI588,IF(F590="THL",PR!$BJ588,IF(F590="UBASTIC",PR!$BK588,IF(F590="UNION",PR!$BL588,IF(F590="UNIQUE",PR!$BM588,IF(F590="VIXA",PR!$BN588,IF(F590="WWCV",PR!$BO588,IF(F590="ZOLON",PR!$BP588,"-"))))))))))))))))))))))))))))))))))))))))))))))))))))))))))))))))</f>
        <v>470</v>
      </c>
      <c r="F590" s="102" t="str">
        <f>EV!L742</f>
        <v>EUMATT</v>
      </c>
      <c r="G590" s="108">
        <f>IF(H590="ALPHA",PR!$E588,IF(H590="ASSENE",PR!$F588,IF(H590="BIOFEM",PR!$G588,IF(H590="BIOMED",PR!$H588,IF(H590="CHI",PR!$I588,IF(H590="CLARION",PR!$J588,IF(H590="CODIX",PR!$K588,IF(H590="COSMADE",PR!$L588,IF(H590="SANCON",PR!$M588,IF(H590="DEVON",PR!$N588,IF(H590="DORTEMAG",PR!$O588,IF(H590="DGF",PR!$P588,IF(H590="DYNAMIC",PR!$Q588,IF(H590="EMZOR",PR!$R588,IF(H590="EUMATT",PR!$S588,IF(H590="FIDSON",PR!$T588,IF(H590="FCGLOBAL",PR!$U588,IF(H590="GENEITH",PR!$V588,IF(H590="GINOS",PR!$W588,IF(H590="GSK",PR!$X588,IF(H590="GLOBORG",PR!$Y588,IF(H590="GOODNEWS",PR!$Z588,IF(H590="GREENLIFE",PR!$AA588,IF(H590="HLINE",PR!$AB588,IF(H590="ROTECH",PR!$AC588,IF(H590="ISN",PR!$AD588,IF(H590="JAWA",PR!$AE588,IF(H590="LAYO",PR!$AF588,IF(H590="LEADWAY",PR!$AG588,IF(H590="LHV",PR!$AH588,IF(H590="MANOLA",PR!$AI588,IF(H590="MARCSON",PR!$AJ588,IF(H590="M&amp;B",PR!$AK588,IF(H590="MTRUST",PR!$AL588,IF(H590="MWORLD",PR!$AM588,IF(H590="MEGA",PR!$AN588,IF(H590="MICRONOVA",PR!$AO588,IF(H590="MFLASH",PR!$AP588,IF(H590="MORISON",PR!$AQ588,IF(H590="NEMEL",PR!$AR588,IF(H590="NHP",PR!$AS588,IF(H590="NHC",PR!$AT588,IF(H590="OLEAF",PR!$AU588,IF(H590="OCULUS",PR!$AV588,IF(H590="PACIFIC",PR!$AW588,IF(H590="PHAMATEX",PR!$AX588,IF(H590="PETHICS",PR!$AY588,IF(H590="PHILIPS",PR!$AZ588,IF(H590="RANBAXY",PR!$BA588,IF(H590="REALS",PR!$BB588,IF(H590="ROYAL",PR!$BC588,IF(H590="SAM",PR!$BD588,IF(H590="SEAGREEN",PR!$BE588,IF(H590="SKG",PR!$BF588,IF(H590="TAH",PR!$BG588,IF(H590="TAYLEK",PR!$BH588,IF(H590="TEMITA",PR!$BI588,IF(H590="THL",PR!$BJ588,IF(H590="UBASTIC",PR!$BK588,IF(H590="UNION",PR!$BL588,IF(H590="UNIQUE",PR!$BM588,IF(H590="VIXA",PR!$BN588,IF(H590="WWCV",PR!$BO588,IF(H590="ZOLON",PR!$BP588,"-"))))))))))))))))))))))))))))))))))))))))))))))))))))))))))))))))</f>
        <v>1343</v>
      </c>
      <c r="H590" s="102" t="str">
        <f>EV!M742</f>
        <v>WWCV</v>
      </c>
      <c r="I590" s="108" t="str">
        <f>IF(J590="ALPHA",PR!$E588,IF(J590="ASSENE",PR!$F588,IF(J590="BIOFEM",PR!$G588,IF(J590="BIOMED",PR!$H588,IF(J590="CHI",PR!$I588,IF(J590="CLARION",PR!$J588,IF(J590="CODIX",PR!$K588,IF(J590="COSMADE",PR!$L588,IF(J590="SANCON",PR!$M588,IF(J590="DEVON",PR!$N588,IF(J590="DORTEMAG",PR!$O588,IF(J590="DGF",PR!$P588,IF(J590="DYNAMIC",PR!$Q588,IF(J590="EMZOR",PR!$R588,IF(J590="EUMATT",PR!$S588,IF(J590="FIDSON",PR!$T588,IF(J590="FCGLOBAL",PR!$U588,IF(J590="GENEITH",PR!$V588,IF(J590="GINOS",PR!$W588,IF(J590="GSK",PR!$X588,IF(J590="GLOBORG",PR!$Y588,IF(J590="GOODNEWS",PR!$Z588,IF(J590="GREENLIFE",PR!$AA588,IF(J590="HLINE",PR!$AB588,IF(J590="ROTECH",PR!$AC588,IF(J590="ISN",PR!$AD588,IF(J590="JAWA",PR!$AE588,IF(J590="LAYO",PR!$AF588,IF(J590="LEADWAY",PR!$AG588,IF(J590="LHV",PR!$AH588,IF(J590="MANOLA",PR!$AI588,IF(J590="MARCSON",PR!$AJ588,IF(J590="M&amp;B",PR!$AK588,IF(J590="MTRUST",PR!$AL588,IF(J590="MWORLD",PR!$AM588,IF(J590="MEGA",PR!$AN588,IF(J590="MICRONOVA",PR!$AO588,IF(J590="MFLASH",PR!$AP588,IF(J590="MORISON",PR!$AQ588,IF(J590="NEMEL",PR!$AR588,IF(J590="NHP",PR!$AS588,IF(J590="NHC",PR!$AT588,IF(J590="OLEAF",PR!$AU588,IF(J590="OCULUS",PR!$AV588,IF(J590="PACIFIC",PR!$AW588,IF(J590="PHAMATEX",PR!$AX588,IF(J590="PETHICS",PR!$AY588,IF(J590="PHILIPS",PR!$AZ588,IF(J590="RANBAXY",PR!$BA588,IF(J590="REALS",PR!$BB588,IF(J590="ROYAL",PR!$BC588,IF(J590="SAM",PR!$BD588,IF(J590="SEAGREEN",PR!$BE588,IF(J590="SKG",PR!$BF588,IF(J590="TAH",PR!$BG588,IF(J590="TAYLEK",PR!$BH588,IF(J590="TEMITA",PR!$BI588,IF(J590="THL",PR!$BJ588,IF(J590="UBASTIC",PR!$BK588,IF(J590="UNION",PR!$BL588,IF(J590="UNIQUE",PR!$BM588,IF(J590="VIXA",PR!$BN588,IF(J590="WWCV",PR!$BO588,IF(J590="ZOLON",PR!$BP588,"-"))))))))))))))))))))))))))))))))))))))))))))))))))))))))))))))))</f>
        <v>-</v>
      </c>
      <c r="J590" s="102">
        <f>EV!N742</f>
        <v>0</v>
      </c>
      <c r="K590" s="433" t="s">
        <v>1231</v>
      </c>
      <c r="L590" s="183">
        <f>IF(K590&gt;0,IF(K590="ALPHA",PR!$E588,IF(K590="ASSENE",PR!$F588,IF(K590="BIOFEM",PR!$G588,IF(K590="BIOMED",PR!$H588,IF(K590="CHI",PR!$I588,IF(K590="CLARION",PR!$J588,IF(K590="CODIX",PR!$K588,IF(K590="COSMADE",PR!$L588,IF(K590="SANCON",PR!$M588,IF(K590="DEVON",PR!$N588,IF(K590="DORTEMAG",PR!$O588,IF(K590="DGF",PR!$P588,IF(K590="DYNAMIC",PR!$Q588,IF(K590="EMZOR",PR!$R588,IF(K590="EUMATT",PR!$S588,IF(K590="FIDSON",PR!$T588,IF(K590="FCGLOBAL",PR!$U588,IF(K590="GENEITH",PR!$V588,IF(K590="GINOS",PR!$W588,IF(K590="GSK",PR!$X588,IF(K590="GLOBORG",PR!$Y588,IF(K590="GOODNEWS",PR!$Z588,IF(K590="GREENLIFE",PR!$AA588,IF(K590="HLINE",PR!$AB588,IF(K590="ROTECH",PR!$AC588,IF(K590="ISN",PR!$AD588,IF(K590="JAWA",PR!$AE588,IF(K590="LAYO",PR!$AF588,IF(K590="LEADWAY",PR!$AG588,IF(K590="LHV",PR!$AH588,IF(K590="MANOLA",PR!$AI588,IF(K590="MARCSON",PR!$AJ588,IF(K590="M&amp;B",PR!$AK588,IF(K590="MTRUST",PR!$AL588,IF(K590="MWORLD",PR!$AM588,IF(K590="MEGA",PR!$AN588,IF(K590="MICRONOVA",PR!$AO588,IF(K590="MFLASH",PR!$AP588,IF(K590="MORISON",PR!$AQ588,IF(K590="NEMEL",PR!$AR588,IF(K590="NHP",PR!$AS588,IF(K590="NHC",PR!$AT588,IF(K590="OLEAF",PR!$AU588,IF(K590="OCULUS",PR!$AV588,IF(K590="PACIFIC",PR!$AW588,IF(K590="PHAMATEX",PR!$AX588,IF(K590="PETHICS",PR!$AY588,IF(K590="PHILIPS",PR!$AZ588,IF(K590="RANBAXY",PR!$BA588,IF(K590="REALS",PR!$BB588,IF(K590="ROYAL",PR!$BC588,IF(K590="SAM",PR!$BD588,IF(K590="SEAGREEN",PR!$BE588,IF(K590="SKG",PR!$BF588,IF(K590="TAH",PR!$BG588,IF(K590="TAYLEK",PR!$BH588,IF(K590="TEMITA",PR!$BI588,IF(K590="THL",PR!$BJ588,IF(K590="UBASTIC",PR!$BK588,IF(K590="UNION",PR!$BL588,IF(K590="UNIQUE",PR!$BM588,IF(K590="VIXA",PR!$BN588,IF(K590="WWCV",PR!$BO588,IF(K590="ZOLON",PR!$BP588,"-")))))))))))))))))))))))))))))))))))))))))))))))))))))))))))))))))</f>
        <v>1343</v>
      </c>
    </row>
    <row r="591" spans="1:12" ht="18.75" x14ac:dyDescent="0.3">
      <c r="A591" s="430">
        <f>PR!A589</f>
        <v>534</v>
      </c>
      <c r="B591" s="15" t="str">
        <f>PR!B589</f>
        <v>TOBRAMYCIN EYE OINTMENT</v>
      </c>
      <c r="C591" s="113" t="str">
        <f>PR!D589</f>
        <v>BOTT</v>
      </c>
      <c r="D591" s="113">
        <f>PR!C589</f>
        <v>40</v>
      </c>
      <c r="E591" s="108">
        <f>IF(F591="ALPHA",PR!$E589,IF(F591="ASSENE",PR!$F589,IF(F591="BIOFEM",PR!$G589,IF(F591="BIOMED",PR!$H589,IF(F591="CHI",PR!$I589,IF(F591="CLARION",PR!$J589,IF(F591="CODIX",PR!$K589,IF(F591="COSMADE",PR!$L589,IF(F591="SANCON",PR!$M589,IF(F591="DEVON",PR!$N589,IF(F591="DORTEMAG",PR!$O589,IF(F591="DGF",PR!$P589,IF(F591="DYNAMIC",PR!$Q589,IF(F591="EMZOR",PR!$R589,IF(F591="EUMATT",PR!$S589,IF(F591="FIDSON",PR!$T589,IF(F591="FCGLOBAL",PR!$U589,IF(F591="GENEITH",PR!$V589,IF(F591="GINOS",PR!$W589,IF(F591="GSK",PR!$X589,IF(F591="GLOBORG",PR!$Y589,IF(F591="GOODNEWS",PR!$Z589,IF(F591="GREENLIFE",PR!$AA589,IF(F591="HLINE",PR!$AB589,IF(F591="ROTECH",PR!$AC589,IF(F591="ISN",PR!$AD589,IF(F591="JAWA",PR!$AE589,IF(F591="LAYO",PR!$AF589,IF(F591="LEADWAY",PR!$AG589,IF(F591="LHV",PR!$AH589,IF(F591="MANOLA",PR!$AI589,IF(F591="MARCSON",PR!$AJ589,IF(F591="M&amp;B",PR!$AK589,IF(F591="MTRUST",PR!$AL589,IF(F591="MWORLD",PR!$AM589,IF(F591="MEGA",PR!$AN589,IF(F591="MICRONOVA",PR!$AO589,IF(F591="MFLASH",PR!$AP589,IF(F591="MORISON",PR!$AQ589,IF(F591="NEMEL",PR!$AR589,IF(F591="NHP",PR!$AS589,IF(F591="NHC",PR!$AT589,IF(F591="OLEAF",PR!$AU589,IF(F591="OCULUS",PR!$AV589,IF(F591="PACIFIC",PR!$AW589,IF(F591="PHAMATEX",PR!$AX589,IF(F591="PETHICS",PR!$AY589,IF(F591="PHILIPS",PR!$AZ589,IF(F591="RANBAXY",PR!$BA589,IF(F591="REALS",PR!$BB589,IF(F591="ROYAL",PR!$BC589,IF(F591="SAM",PR!$BD589,IF(F591="SEAGREEN",PR!$BE589,IF(F591="SKG",PR!$BF589,IF(F591="TAH",PR!$BG589,IF(F591="TAYLEK",PR!$BH589,IF(F591="TEMITA",PR!$BI589,IF(F591="THL",PR!$BJ589,IF(F591="UBASTIC",PR!$BK589,IF(F591="UNION",PR!$BL589,IF(F591="UNIQUE",PR!$BM589,IF(F591="VIXA",PR!$BN589,IF(F591="WWCV",PR!$BO589,IF(F591="ZOLON",PR!$BP589,"-"))))))))))))))))))))))))))))))))))))))))))))))))))))))))))))))))</f>
        <v>420</v>
      </c>
      <c r="F591" s="102" t="str">
        <f>EV!L743</f>
        <v>EUMATT</v>
      </c>
      <c r="G591" s="108">
        <f>IF(H591="ALPHA",PR!$E589,IF(H591="ASSENE",PR!$F589,IF(H591="BIOFEM",PR!$G589,IF(H591="BIOMED",PR!$H589,IF(H591="CHI",PR!$I589,IF(H591="CLARION",PR!$J589,IF(H591="CODIX",PR!$K589,IF(H591="COSMADE",PR!$L589,IF(H591="SANCON",PR!$M589,IF(H591="DEVON",PR!$N589,IF(H591="DORTEMAG",PR!$O589,IF(H591="DGF",PR!$P589,IF(H591="DYNAMIC",PR!$Q589,IF(H591="EMZOR",PR!$R589,IF(H591="EUMATT",PR!$S589,IF(H591="FIDSON",PR!$T589,IF(H591="FCGLOBAL",PR!$U589,IF(H591="GENEITH",PR!$V589,IF(H591="GINOS",PR!$W589,IF(H591="GSK",PR!$X589,IF(H591="GLOBORG",PR!$Y589,IF(H591="GOODNEWS",PR!$Z589,IF(H591="GREENLIFE",PR!$AA589,IF(H591="HLINE",PR!$AB589,IF(H591="ROTECH",PR!$AC589,IF(H591="ISN",PR!$AD589,IF(H591="JAWA",PR!$AE589,IF(H591="LAYO",PR!$AF589,IF(H591="LEADWAY",PR!$AG589,IF(H591="LHV",PR!$AH589,IF(H591="MANOLA",PR!$AI589,IF(H591="MARCSON",PR!$AJ589,IF(H591="M&amp;B",PR!$AK589,IF(H591="MTRUST",PR!$AL589,IF(H591="MWORLD",PR!$AM589,IF(H591="MEGA",PR!$AN589,IF(H591="MICRONOVA",PR!$AO589,IF(H591="MFLASH",PR!$AP589,IF(H591="MORISON",PR!$AQ589,IF(H591="NEMEL",PR!$AR589,IF(H591="NHP",PR!$AS589,IF(H591="NHC",PR!$AT589,IF(H591="OLEAF",PR!$AU589,IF(H591="OCULUS",PR!$AV589,IF(H591="PACIFIC",PR!$AW589,IF(H591="PHAMATEX",PR!$AX589,IF(H591="PETHICS",PR!$AY589,IF(H591="PHILIPS",PR!$AZ589,IF(H591="RANBAXY",PR!$BA589,IF(H591="REALS",PR!$BB589,IF(H591="ROYAL",PR!$BC589,IF(H591="SAM",PR!$BD589,IF(H591="SEAGREEN",PR!$BE589,IF(H591="SKG",PR!$BF589,IF(H591="TAH",PR!$BG589,IF(H591="TAYLEK",PR!$BH589,IF(H591="TEMITA",PR!$BI589,IF(H591="THL",PR!$BJ589,IF(H591="UBASTIC",PR!$BK589,IF(H591="UNION",PR!$BL589,IF(H591="UNIQUE",PR!$BM589,IF(H591="VIXA",PR!$BN589,IF(H591="WWCV",PR!$BO589,IF(H591="ZOLON",PR!$BP589,"-"))))))))))))))))))))))))))))))))))))))))))))))))))))))))))))))))</f>
        <v>1749</v>
      </c>
      <c r="H591" s="102" t="str">
        <f>EV!M743</f>
        <v>WWCV</v>
      </c>
      <c r="I591" s="108" t="str">
        <f>IF(J591="ALPHA",PR!$E589,IF(J591="ASSENE",PR!$F589,IF(J591="BIOFEM",PR!$G589,IF(J591="BIOMED",PR!$H589,IF(J591="CHI",PR!$I589,IF(J591="CLARION",PR!$J589,IF(J591="CODIX",PR!$K589,IF(J591="COSMADE",PR!$L589,IF(J591="SANCON",PR!$M589,IF(J591="DEVON",PR!$N589,IF(J591="DORTEMAG",PR!$O589,IF(J591="DGF",PR!$P589,IF(J591="DYNAMIC",PR!$Q589,IF(J591="EMZOR",PR!$R589,IF(J591="EUMATT",PR!$S589,IF(J591="FIDSON",PR!$T589,IF(J591="FCGLOBAL",PR!$U589,IF(J591="GENEITH",PR!$V589,IF(J591="GINOS",PR!$W589,IF(J591="GSK",PR!$X589,IF(J591="GLOBORG",PR!$Y589,IF(J591="GOODNEWS",PR!$Z589,IF(J591="GREENLIFE",PR!$AA589,IF(J591="HLINE",PR!$AB589,IF(J591="ROTECH",PR!$AC589,IF(J591="ISN",PR!$AD589,IF(J591="JAWA",PR!$AE589,IF(J591="LAYO",PR!$AF589,IF(J591="LEADWAY",PR!$AG589,IF(J591="LHV",PR!$AH589,IF(J591="MANOLA",PR!$AI589,IF(J591="MARCSON",PR!$AJ589,IF(J591="M&amp;B",PR!$AK589,IF(J591="MTRUST",PR!$AL589,IF(J591="MWORLD",PR!$AM589,IF(J591="MEGA",PR!$AN589,IF(J591="MICRONOVA",PR!$AO589,IF(J591="MFLASH",PR!$AP589,IF(J591="MORISON",PR!$AQ589,IF(J591="NEMEL",PR!$AR589,IF(J591="NHP",PR!$AS589,IF(J591="NHC",PR!$AT589,IF(J591="OLEAF",PR!$AU589,IF(J591="OCULUS",PR!$AV589,IF(J591="PACIFIC",PR!$AW589,IF(J591="PHAMATEX",PR!$AX589,IF(J591="PETHICS",PR!$AY589,IF(J591="PHILIPS",PR!$AZ589,IF(J591="RANBAXY",PR!$BA589,IF(J591="REALS",PR!$BB589,IF(J591="ROYAL",PR!$BC589,IF(J591="SAM",PR!$BD589,IF(J591="SEAGREEN",PR!$BE589,IF(J591="SKG",PR!$BF589,IF(J591="TAH",PR!$BG589,IF(J591="TAYLEK",PR!$BH589,IF(J591="TEMITA",PR!$BI589,IF(J591="THL",PR!$BJ589,IF(J591="UBASTIC",PR!$BK589,IF(J591="UNION",PR!$BL589,IF(J591="UNIQUE",PR!$BM589,IF(J591="VIXA",PR!$BN589,IF(J591="WWCV",PR!$BO589,IF(J591="ZOLON",PR!$BP589,"-"))))))))))))))))))))))))))))))))))))))))))))))))))))))))))))))))</f>
        <v>-</v>
      </c>
      <c r="J591" s="102">
        <f>EV!N743</f>
        <v>0</v>
      </c>
      <c r="K591" s="433" t="s">
        <v>1231</v>
      </c>
      <c r="L591" s="183">
        <f>IF(K591&gt;0,IF(K591="ALPHA",PR!$E589,IF(K591="ASSENE",PR!$F589,IF(K591="BIOFEM",PR!$G589,IF(K591="BIOMED",PR!$H589,IF(K591="CHI",PR!$I589,IF(K591="CLARION",PR!$J589,IF(K591="CODIX",PR!$K589,IF(K591="COSMADE",PR!$L589,IF(K591="SANCON",PR!$M589,IF(K591="DEVON",PR!$N589,IF(K591="DORTEMAG",PR!$O589,IF(K591="DGF",PR!$P589,IF(K591="DYNAMIC",PR!$Q589,IF(K591="EMZOR",PR!$R589,IF(K591="EUMATT",PR!$S589,IF(K591="FIDSON",PR!$T589,IF(K591="FCGLOBAL",PR!$U589,IF(K591="GENEITH",PR!$V589,IF(K591="GINOS",PR!$W589,IF(K591="GSK",PR!$X589,IF(K591="GLOBORG",PR!$Y589,IF(K591="GOODNEWS",PR!$Z589,IF(K591="GREENLIFE",PR!$AA589,IF(K591="HLINE",PR!$AB589,IF(K591="ROTECH",PR!$AC589,IF(K591="ISN",PR!$AD589,IF(K591="JAWA",PR!$AE589,IF(K591="LAYO",PR!$AF589,IF(K591="LEADWAY",PR!$AG589,IF(K591="LHV",PR!$AH589,IF(K591="MANOLA",PR!$AI589,IF(K591="MARCSON",PR!$AJ589,IF(K591="M&amp;B",PR!$AK589,IF(K591="MTRUST",PR!$AL589,IF(K591="MWORLD",PR!$AM589,IF(K591="MEGA",PR!$AN589,IF(K591="MICRONOVA",PR!$AO589,IF(K591="MFLASH",PR!$AP589,IF(K591="MORISON",PR!$AQ589,IF(K591="NEMEL",PR!$AR589,IF(K591="NHP",PR!$AS589,IF(K591="NHC",PR!$AT589,IF(K591="OLEAF",PR!$AU589,IF(K591="OCULUS",PR!$AV589,IF(K591="PACIFIC",PR!$AW589,IF(K591="PHAMATEX",PR!$AX589,IF(K591="PETHICS",PR!$AY589,IF(K591="PHILIPS",PR!$AZ589,IF(K591="RANBAXY",PR!$BA589,IF(K591="REALS",PR!$BB589,IF(K591="ROYAL",PR!$BC589,IF(K591="SAM",PR!$BD589,IF(K591="SEAGREEN",PR!$BE589,IF(K591="SKG",PR!$BF589,IF(K591="TAH",PR!$BG589,IF(K591="TAYLEK",PR!$BH589,IF(K591="TEMITA",PR!$BI589,IF(K591="THL",PR!$BJ589,IF(K591="UBASTIC",PR!$BK589,IF(K591="UNION",PR!$BL589,IF(K591="UNIQUE",PR!$BM589,IF(K591="VIXA",PR!$BN589,IF(K591="WWCV",PR!$BO589,IF(K591="ZOLON",PR!$BP589,"-")))))))))))))))))))))))))))))))))))))))))))))))))))))))))))))))))</f>
        <v>1749</v>
      </c>
    </row>
    <row r="592" spans="1:12" ht="18.75" x14ac:dyDescent="0.3">
      <c r="A592" s="430">
        <f>PR!A590</f>
        <v>535</v>
      </c>
      <c r="B592" s="15" t="str">
        <f>PR!B590</f>
        <v>TROPICAMIDE GTT</v>
      </c>
      <c r="C592" s="113" t="str">
        <f>PR!D590</f>
        <v>BOTT</v>
      </c>
      <c r="D592" s="113">
        <f>PR!C590</f>
        <v>200</v>
      </c>
      <c r="E592" s="108">
        <f>IF(F592="ALPHA",PR!$E590,IF(F592="ASSENE",PR!$F590,IF(F592="BIOFEM",PR!$G590,IF(F592="BIOMED",PR!$H590,IF(F592="CHI",PR!$I590,IF(F592="CLARION",PR!$J590,IF(F592="CODIX",PR!$K590,IF(F592="COSMADE",PR!$L590,IF(F592="SANCON",PR!$M590,IF(F592="DEVON",PR!$N590,IF(F592="DORTEMAG",PR!$O590,IF(F592="DGF",PR!$P590,IF(F592="DYNAMIC",PR!$Q590,IF(F592="EMZOR",PR!$R590,IF(F592="EUMATT",PR!$S590,IF(F592="FIDSON",PR!$T590,IF(F592="FCGLOBAL",PR!$U590,IF(F592="GENEITH",PR!$V590,IF(F592="GINOS",PR!$W590,IF(F592="GSK",PR!$X590,IF(F592="GLOBORG",PR!$Y590,IF(F592="GOODNEWS",PR!$Z590,IF(F592="GREENLIFE",PR!$AA590,IF(F592="HLINE",PR!$AB590,IF(F592="ROTECH",PR!$AC590,IF(F592="ISN",PR!$AD590,IF(F592="JAWA",PR!$AE590,IF(F592="LAYO",PR!$AF590,IF(F592="LEADWAY",PR!$AG590,IF(F592="LHV",PR!$AH590,IF(F592="MANOLA",PR!$AI590,IF(F592="MARCSON",PR!$AJ590,IF(F592="M&amp;B",PR!$AK590,IF(F592="MTRUST",PR!$AL590,IF(F592="MWORLD",PR!$AM590,IF(F592="MEGA",PR!$AN590,IF(F592="MICRONOVA",PR!$AO590,IF(F592="MFLASH",PR!$AP590,IF(F592="MORISON",PR!$AQ590,IF(F592="NEMEL",PR!$AR590,IF(F592="NHP",PR!$AS590,IF(F592="NHC",PR!$AT590,IF(F592="OLEAF",PR!$AU590,IF(F592="OCULUS",PR!$AV590,IF(F592="PACIFIC",PR!$AW590,IF(F592="PHAMATEX",PR!$AX590,IF(F592="PETHICS",PR!$AY590,IF(F592="PHILIPS",PR!$AZ590,IF(F592="RANBAXY",PR!$BA590,IF(F592="REALS",PR!$BB590,IF(F592="ROYAL",PR!$BC590,IF(F592="SAM",PR!$BD590,IF(F592="SEAGREEN",PR!$BE590,IF(F592="SKG",PR!$BF590,IF(F592="TAH",PR!$BG590,IF(F592="TAYLEK",PR!$BH590,IF(F592="TEMITA",PR!$BI590,IF(F592="THL",PR!$BJ590,IF(F592="UBASTIC",PR!$BK590,IF(F592="UNION",PR!$BL590,IF(F592="UNIQUE",PR!$BM590,IF(F592="VIXA",PR!$BN590,IF(F592="WWCV",PR!$BO590,IF(F592="ZOLON",PR!$BP590,"-"))))))))))))))))))))))))))))))))))))))))))))))))))))))))))))))))</f>
        <v>500</v>
      </c>
      <c r="F592" s="102" t="str">
        <f>EV!L744</f>
        <v>DGF</v>
      </c>
      <c r="G592" s="108">
        <f>IF(H592="ALPHA",PR!$E590,IF(H592="ASSENE",PR!$F590,IF(H592="BIOFEM",PR!$G590,IF(H592="BIOMED",PR!$H590,IF(H592="CHI",PR!$I590,IF(H592="CLARION",PR!$J590,IF(H592="CODIX",PR!$K590,IF(H592="COSMADE",PR!$L590,IF(H592="SANCON",PR!$M590,IF(H592="DEVON",PR!$N590,IF(H592="DORTEMAG",PR!$O590,IF(H592="DGF",PR!$P590,IF(H592="DYNAMIC",PR!$Q590,IF(H592="EMZOR",PR!$R590,IF(H592="EUMATT",PR!$S590,IF(H592="FIDSON",PR!$T590,IF(H592="FCGLOBAL",PR!$U590,IF(H592="GENEITH",PR!$V590,IF(H592="GINOS",PR!$W590,IF(H592="GSK",PR!$X590,IF(H592="GLOBORG",PR!$Y590,IF(H592="GOODNEWS",PR!$Z590,IF(H592="GREENLIFE",PR!$AA590,IF(H592="HLINE",PR!$AB590,IF(H592="ROTECH",PR!$AC590,IF(H592="ISN",PR!$AD590,IF(H592="JAWA",PR!$AE590,IF(H592="LAYO",PR!$AF590,IF(H592="LEADWAY",PR!$AG590,IF(H592="LHV",PR!$AH590,IF(H592="MANOLA",PR!$AI590,IF(H592="MARCSON",PR!$AJ590,IF(H592="M&amp;B",PR!$AK590,IF(H592="MTRUST",PR!$AL590,IF(H592="MWORLD",PR!$AM590,IF(H592="MEGA",PR!$AN590,IF(H592="MICRONOVA",PR!$AO590,IF(H592="MFLASH",PR!$AP590,IF(H592="MORISON",PR!$AQ590,IF(H592="NEMEL",PR!$AR590,IF(H592="NHP",PR!$AS590,IF(H592="NHC",PR!$AT590,IF(H592="OLEAF",PR!$AU590,IF(H592="OCULUS",PR!$AV590,IF(H592="PACIFIC",PR!$AW590,IF(H592="PHAMATEX",PR!$AX590,IF(H592="PETHICS",PR!$AY590,IF(H592="PHILIPS",PR!$AZ590,IF(H592="RANBAXY",PR!$BA590,IF(H592="REALS",PR!$BB590,IF(H592="ROYAL",PR!$BC590,IF(H592="SAM",PR!$BD590,IF(H592="SEAGREEN",PR!$BE590,IF(H592="SKG",PR!$BF590,IF(H592="TAH",PR!$BG590,IF(H592="TAYLEK",PR!$BH590,IF(H592="TEMITA",PR!$BI590,IF(H592="THL",PR!$BJ590,IF(H592="UBASTIC",PR!$BK590,IF(H592="UNION",PR!$BL590,IF(H592="UNIQUE",PR!$BM590,IF(H592="VIXA",PR!$BN590,IF(H592="WWCV",PR!$BO590,IF(H592="ZOLON",PR!$BP590,"-"))))))))))))))))))))))))))))))))))))))))))))))))))))))))))))))))</f>
        <v>700</v>
      </c>
      <c r="H592" s="102" t="str">
        <f>EV!M744</f>
        <v>EUMATT</v>
      </c>
      <c r="I592" s="108">
        <f>IF(J592="ALPHA",PR!$E590,IF(J592="ASSENE",PR!$F590,IF(J592="BIOFEM",PR!$G590,IF(J592="BIOMED",PR!$H590,IF(J592="CHI",PR!$I590,IF(J592="CLARION",PR!$J590,IF(J592="CODIX",PR!$K590,IF(J592="COSMADE",PR!$L590,IF(J592="SANCON",PR!$M590,IF(J592="DEVON",PR!$N590,IF(J592="DORTEMAG",PR!$O590,IF(J592="DGF",PR!$P590,IF(J592="DYNAMIC",PR!$Q590,IF(J592="EMZOR",PR!$R590,IF(J592="EUMATT",PR!$S590,IF(J592="FIDSON",PR!$T590,IF(J592="FCGLOBAL",PR!$U590,IF(J592="GENEITH",PR!$V590,IF(J592="GINOS",PR!$W590,IF(J592="GSK",PR!$X590,IF(J592="GLOBORG",PR!$Y590,IF(J592="GOODNEWS",PR!$Z590,IF(J592="GREENLIFE",PR!$AA590,IF(J592="HLINE",PR!$AB590,IF(J592="ROTECH",PR!$AC590,IF(J592="ISN",PR!$AD590,IF(J592="JAWA",PR!$AE590,IF(J592="LAYO",PR!$AF590,IF(J592="LEADWAY",PR!$AG590,IF(J592="LHV",PR!$AH590,IF(J592="MANOLA",PR!$AI590,IF(J592="MARCSON",PR!$AJ590,IF(J592="M&amp;B",PR!$AK590,IF(J592="MTRUST",PR!$AL590,IF(J592="MWORLD",PR!$AM590,IF(J592="MEGA",PR!$AN590,IF(J592="MICRONOVA",PR!$AO590,IF(J592="MFLASH",PR!$AP590,IF(J592="MORISON",PR!$AQ590,IF(J592="NEMEL",PR!$AR590,IF(J592="NHP",PR!$AS590,IF(J592="NHC",PR!$AT590,IF(J592="OLEAF",PR!$AU590,IF(J592="OCULUS",PR!$AV590,IF(J592="PACIFIC",PR!$AW590,IF(J592="PHAMATEX",PR!$AX590,IF(J592="PETHICS",PR!$AY590,IF(J592="PHILIPS",PR!$AZ590,IF(J592="RANBAXY",PR!$BA590,IF(J592="REALS",PR!$BB590,IF(J592="ROYAL",PR!$BC590,IF(J592="SAM",PR!$BD590,IF(J592="SEAGREEN",PR!$BE590,IF(J592="SKG",PR!$BF590,IF(J592="TAH",PR!$BG590,IF(J592="TAYLEK",PR!$BH590,IF(J592="TEMITA",PR!$BI590,IF(J592="THL",PR!$BJ590,IF(J592="UBASTIC",PR!$BK590,IF(J592="UNION",PR!$BL590,IF(J592="UNIQUE",PR!$BM590,IF(J592="VIXA",PR!$BN590,IF(J592="WWCV",PR!$BO590,IF(J592="ZOLON",PR!$BP590,"-"))))))))))))))))))))))))))))))))))))))))))))))))))))))))))))))))</f>
        <v>950</v>
      </c>
      <c r="J592" s="102" t="str">
        <f>EV!N744</f>
        <v>DORTEMAG</v>
      </c>
      <c r="K592" s="433" t="s">
        <v>2148</v>
      </c>
      <c r="L592" s="183" t="str">
        <f>IF(K592&gt;0,IF(K592="ALPHA",PR!$E590,IF(K592="ASSENE",PR!$F590,IF(K592="BIOFEM",PR!$G590,IF(K592="BIOMED",PR!$H590,IF(K592="CHI",PR!$I590,IF(K592="CLARION",PR!$J590,IF(K592="CODIX",PR!$K590,IF(K592="COSMADE",PR!$L590,IF(K592="SANCON",PR!$M590,IF(K592="DEVON",PR!$N590,IF(K592="DORTEMAG",PR!$O590,IF(K592="DGF",PR!$P590,IF(K592="DYNAMIC",PR!$Q590,IF(K592="EMZOR",PR!$R590,IF(K592="EUMATT",PR!$S590,IF(K592="FIDSON",PR!$T590,IF(K592="FCGLOBAL",PR!$U590,IF(K592="GENEITH",PR!$V590,IF(K592="GINOS",PR!$W590,IF(K592="GSK",PR!$X590,IF(K592="GLOBORG",PR!$Y590,IF(K592="GOODNEWS",PR!$Z590,IF(K592="GREENLIFE",PR!$AA590,IF(K592="HLINE",PR!$AB590,IF(K592="ROTECH",PR!$AC590,IF(K592="ISN",PR!$AD590,IF(K592="JAWA",PR!$AE590,IF(K592="LAYO",PR!$AF590,IF(K592="LEADWAY",PR!$AG590,IF(K592="LHV",PR!$AH590,IF(K592="MANOLA",PR!$AI590,IF(K592="MARCSON",PR!$AJ590,IF(K592="M&amp;B",PR!$AK590,IF(K592="MTRUST",PR!$AL590,IF(K592="MWORLD",PR!$AM590,IF(K592="MEGA",PR!$AN590,IF(K592="MICRONOVA",PR!$AO590,IF(K592="MFLASH",PR!$AP590,IF(K592="MORISON",PR!$AQ590,IF(K592="NEMEL",PR!$AR590,IF(K592="NHP",PR!$AS590,IF(K592="NHC",PR!$AT590,IF(K592="OLEAF",PR!$AU590,IF(K592="OCULUS",PR!$AV590,IF(K592="PACIFIC",PR!$AW590,IF(K592="PHAMATEX",PR!$AX590,IF(K592="PETHICS",PR!$AY590,IF(K592="PHILIPS",PR!$AZ590,IF(K592="RANBAXY",PR!$BA590,IF(K592="REALS",PR!$BB590,IF(K592="ROYAL",PR!$BC590,IF(K592="SAM",PR!$BD590,IF(K592="SEAGREEN",PR!$BE590,IF(K592="SKG",PR!$BF590,IF(K592="TAH",PR!$BG590,IF(K592="TAYLEK",PR!$BH590,IF(K592="TEMITA",PR!$BI590,IF(K592="THL",PR!$BJ590,IF(K592="UBASTIC",PR!$BK590,IF(K592="UNION",PR!$BL590,IF(K592="UNIQUE",PR!$BM590,IF(K592="VIXA",PR!$BN590,IF(K592="WWCV",PR!$BO590,IF(K592="ZOLON",PR!$BP590,"-")))))))))))))))))))))))))))))))))))))))))))))))))))))))))))))))))</f>
        <v>-</v>
      </c>
    </row>
    <row r="593" spans="1:12" ht="18.75" x14ac:dyDescent="0.3">
      <c r="A593" s="430">
        <f>PR!A591</f>
        <v>536</v>
      </c>
      <c r="B593" s="15" t="str">
        <f>PR!B591</f>
        <v>XYLOMETHAZOLINE NASAL DROP (ADULT)</v>
      </c>
      <c r="C593" s="113" t="str">
        <f>PR!D591</f>
        <v>BOTT</v>
      </c>
      <c r="D593" s="113">
        <f>PR!C591</f>
        <v>80</v>
      </c>
      <c r="E593" s="108">
        <f>IF(F593="ALPHA",PR!$E591,IF(F593="ASSENE",PR!$F591,IF(F593="BIOFEM",PR!$G591,IF(F593="BIOMED",PR!$H591,IF(F593="CHI",PR!$I591,IF(F593="CLARION",PR!$J591,IF(F593="CODIX",PR!$K591,IF(F593="COSMADE",PR!$L591,IF(F593="SANCON",PR!$M591,IF(F593="DEVON",PR!$N591,IF(F593="DORTEMAG",PR!$O591,IF(F593="DGF",PR!$P591,IF(F593="DYNAMIC",PR!$Q591,IF(F593="EMZOR",PR!$R591,IF(F593="EUMATT",PR!$S591,IF(F593="FIDSON",PR!$T591,IF(F593="FCGLOBAL",PR!$U591,IF(F593="GENEITH",PR!$V591,IF(F593="GINOS",PR!$W591,IF(F593="GSK",PR!$X591,IF(F593="GLOBORG",PR!$Y591,IF(F593="GOODNEWS",PR!$Z591,IF(F593="GREENLIFE",PR!$AA591,IF(F593="HLINE",PR!$AB591,IF(F593="ROTECH",PR!$AC591,IF(F593="ISN",PR!$AD591,IF(F593="JAWA",PR!$AE591,IF(F593="LAYO",PR!$AF591,IF(F593="LEADWAY",PR!$AG591,IF(F593="LHV",PR!$AH591,IF(F593="MANOLA",PR!$AI591,IF(F593="MARCSON",PR!$AJ591,IF(F593="M&amp;B",PR!$AK591,IF(F593="MTRUST",PR!$AL591,IF(F593="MWORLD",PR!$AM591,IF(F593="MEGA",PR!$AN591,IF(F593="MICRONOVA",PR!$AO591,IF(F593="MFLASH",PR!$AP591,IF(F593="MORISON",PR!$AQ591,IF(F593="NEMEL",PR!$AR591,IF(F593="NHP",PR!$AS591,IF(F593="NHC",PR!$AT591,IF(F593="OLEAF",PR!$AU591,IF(F593="OCULUS",PR!$AV591,IF(F593="PACIFIC",PR!$AW591,IF(F593="PHAMATEX",PR!$AX591,IF(F593="PETHICS",PR!$AY591,IF(F593="PHILIPS",PR!$AZ591,IF(F593="RANBAXY",PR!$BA591,IF(F593="REALS",PR!$BB591,IF(F593="ROYAL",PR!$BC591,IF(F593="SAM",PR!$BD591,IF(F593="SEAGREEN",PR!$BE591,IF(F593="SKG",PR!$BF591,IF(F593="TAH",PR!$BG591,IF(F593="TAYLEK",PR!$BH591,IF(F593="TEMITA",PR!$BI591,IF(F593="THL",PR!$BJ591,IF(F593="UBASTIC",PR!$BK591,IF(F593="UNION",PR!$BL591,IF(F593="UNIQUE",PR!$BM591,IF(F593="VIXA",PR!$BN591,IF(F593="WWCV",PR!$BO591,IF(F593="ZOLON",PR!$BP591,"-"))))))))))))))))))))))))))))))))))))))))))))))))))))))))))))))))</f>
        <v>1050</v>
      </c>
      <c r="F593" s="102" t="str">
        <f>EV!L745</f>
        <v>EUMATT</v>
      </c>
      <c r="G593" s="108" t="str">
        <f>IF(H593="ALPHA",PR!$E591,IF(H593="ASSENE",PR!$F591,IF(H593="BIOFEM",PR!$G591,IF(H593="BIOMED",PR!$H591,IF(H593="CHI",PR!$I591,IF(H593="CLARION",PR!$J591,IF(H593="CODIX",PR!$K591,IF(H593="COSMADE",PR!$L591,IF(H593="SANCON",PR!$M591,IF(H593="DEVON",PR!$N591,IF(H593="DORTEMAG",PR!$O591,IF(H593="DGF",PR!$P591,IF(H593="DYNAMIC",PR!$Q591,IF(H593="EMZOR",PR!$R591,IF(H593="EUMATT",PR!$S591,IF(H593="FIDSON",PR!$T591,IF(H593="FCGLOBAL",PR!$U591,IF(H593="GENEITH",PR!$V591,IF(H593="GINOS",PR!$W591,IF(H593="GSK",PR!$X591,IF(H593="GLOBORG",PR!$Y591,IF(H593="GOODNEWS",PR!$Z591,IF(H593="GREENLIFE",PR!$AA591,IF(H593="HLINE",PR!$AB591,IF(H593="ROTECH",PR!$AC591,IF(H593="ISN",PR!$AD591,IF(H593="JAWA",PR!$AE591,IF(H593="LAYO",PR!$AF591,IF(H593="LEADWAY",PR!$AG591,IF(H593="LHV",PR!$AH591,IF(H593="MANOLA",PR!$AI591,IF(H593="MARCSON",PR!$AJ591,IF(H593="M&amp;B",PR!$AK591,IF(H593="MTRUST",PR!$AL591,IF(H593="MWORLD",PR!$AM591,IF(H593="MEGA",PR!$AN591,IF(H593="MICRONOVA",PR!$AO591,IF(H593="MFLASH",PR!$AP591,IF(H593="MORISON",PR!$AQ591,IF(H593="NEMEL",PR!$AR591,IF(H593="NHP",PR!$AS591,IF(H593="NHC",PR!$AT591,IF(H593="OLEAF",PR!$AU591,IF(H593="OCULUS",PR!$AV591,IF(H593="PACIFIC",PR!$AW591,IF(H593="PHAMATEX",PR!$AX591,IF(H593="PETHICS",PR!$AY591,IF(H593="PHILIPS",PR!$AZ591,IF(H593="RANBAXY",PR!$BA591,IF(H593="REALS",PR!$BB591,IF(H593="ROYAL",PR!$BC591,IF(H593="SAM",PR!$BD591,IF(H593="SEAGREEN",PR!$BE591,IF(H593="SKG",PR!$BF591,IF(H593="TAH",PR!$BG591,IF(H593="TAYLEK",PR!$BH591,IF(H593="TEMITA",PR!$BI591,IF(H593="THL",PR!$BJ591,IF(H593="UBASTIC",PR!$BK591,IF(H593="UNION",PR!$BL591,IF(H593="UNIQUE",PR!$BM591,IF(H593="VIXA",PR!$BN591,IF(H593="WWCV",PR!$BO591,IF(H593="ZOLON",PR!$BP591,"-"))))))))))))))))))))))))))))))))))))))))))))))))))))))))))))))))</f>
        <v>-</v>
      </c>
      <c r="H593" s="102">
        <f>EV!M745</f>
        <v>0</v>
      </c>
      <c r="I593" s="108" t="str">
        <f>IF(J593="ALPHA",PR!$E591,IF(J593="ASSENE",PR!$F591,IF(J593="BIOFEM",PR!$G591,IF(J593="BIOMED",PR!$H591,IF(J593="CHI",PR!$I591,IF(J593="CLARION",PR!$J591,IF(J593="CODIX",PR!$K591,IF(J593="COSMADE",PR!$L591,IF(J593="SANCON",PR!$M591,IF(J593="DEVON",PR!$N591,IF(J593="DORTEMAG",PR!$O591,IF(J593="DGF",PR!$P591,IF(J593="DYNAMIC",PR!$Q591,IF(J593="EMZOR",PR!$R591,IF(J593="EUMATT",PR!$S591,IF(J593="FIDSON",PR!$T591,IF(J593="FCGLOBAL",PR!$U591,IF(J593="GENEITH",PR!$V591,IF(J593="GINOS",PR!$W591,IF(J593="GSK",PR!$X591,IF(J593="GLOBORG",PR!$Y591,IF(J593="GOODNEWS",PR!$Z591,IF(J593="GREENLIFE",PR!$AA591,IF(J593="HLINE",PR!$AB591,IF(J593="ROTECH",PR!$AC591,IF(J593="ISN",PR!$AD591,IF(J593="JAWA",PR!$AE591,IF(J593="LAYO",PR!$AF591,IF(J593="LEADWAY",PR!$AG591,IF(J593="LHV",PR!$AH591,IF(J593="MANOLA",PR!$AI591,IF(J593="MARCSON",PR!$AJ591,IF(J593="M&amp;B",PR!$AK591,IF(J593="MTRUST",PR!$AL591,IF(J593="MWORLD",PR!$AM591,IF(J593="MEGA",PR!$AN591,IF(J593="MICRONOVA",PR!$AO591,IF(J593="MFLASH",PR!$AP591,IF(J593="MORISON",PR!$AQ591,IF(J593="NEMEL",PR!$AR591,IF(J593="NHP",PR!$AS591,IF(J593="NHC",PR!$AT591,IF(J593="OLEAF",PR!$AU591,IF(J593="OCULUS",PR!$AV591,IF(J593="PACIFIC",PR!$AW591,IF(J593="PHAMATEX",PR!$AX591,IF(J593="PETHICS",PR!$AY591,IF(J593="PHILIPS",PR!$AZ591,IF(J593="RANBAXY",PR!$BA591,IF(J593="REALS",PR!$BB591,IF(J593="ROYAL",PR!$BC591,IF(J593="SAM",PR!$BD591,IF(J593="SEAGREEN",PR!$BE591,IF(J593="SKG",PR!$BF591,IF(J593="TAH",PR!$BG591,IF(J593="TAYLEK",PR!$BH591,IF(J593="TEMITA",PR!$BI591,IF(J593="THL",PR!$BJ591,IF(J593="UBASTIC",PR!$BK591,IF(J593="UNION",PR!$BL591,IF(J593="UNIQUE",PR!$BM591,IF(J593="VIXA",PR!$BN591,IF(J593="WWCV",PR!$BO591,IF(J593="ZOLON",PR!$BP591,"-"))))))))))))))))))))))))))))))))))))))))))))))))))))))))))))))))</f>
        <v>-</v>
      </c>
      <c r="J593" s="102">
        <f>EV!N745</f>
        <v>0</v>
      </c>
      <c r="K593" s="433" t="s">
        <v>821</v>
      </c>
      <c r="L593" s="183">
        <f>IF(K593&gt;0,IF(K593="ALPHA",PR!$E591,IF(K593="ASSENE",PR!$F591,IF(K593="BIOFEM",PR!$G591,IF(K593="BIOMED",PR!$H591,IF(K593="CHI",PR!$I591,IF(K593="CLARION",PR!$J591,IF(K593="CODIX",PR!$K591,IF(K593="COSMADE",PR!$L591,IF(K593="SANCON",PR!$M591,IF(K593="DEVON",PR!$N591,IF(K593="DORTEMAG",PR!$O591,IF(K593="DGF",PR!$P591,IF(K593="DYNAMIC",PR!$Q591,IF(K593="EMZOR",PR!$R591,IF(K593="EUMATT",PR!$S591,IF(K593="FIDSON",PR!$T591,IF(K593="FCGLOBAL",PR!$U591,IF(K593="GENEITH",PR!$V591,IF(K593="GINOS",PR!$W591,IF(K593="GSK",PR!$X591,IF(K593="GLOBORG",PR!$Y591,IF(K593="GOODNEWS",PR!$Z591,IF(K593="GREENLIFE",PR!$AA591,IF(K593="HLINE",PR!$AB591,IF(K593="ROTECH",PR!$AC591,IF(K593="ISN",PR!$AD591,IF(K593="JAWA",PR!$AE591,IF(K593="LAYO",PR!$AF591,IF(K593="LEADWAY",PR!$AG591,IF(K593="LHV",PR!$AH591,IF(K593="MANOLA",PR!$AI591,IF(K593="MARCSON",PR!$AJ591,IF(K593="M&amp;B",PR!$AK591,IF(K593="MTRUST",PR!$AL591,IF(K593="MWORLD",PR!$AM591,IF(K593="MEGA",PR!$AN591,IF(K593="MICRONOVA",PR!$AO591,IF(K593="MFLASH",PR!$AP591,IF(K593="MORISON",PR!$AQ591,IF(K593="NEMEL",PR!$AR591,IF(K593="NHP",PR!$AS591,IF(K593="NHC",PR!$AT591,IF(K593="OLEAF",PR!$AU591,IF(K593="OCULUS",PR!$AV591,IF(K593="PACIFIC",PR!$AW591,IF(K593="PHAMATEX",PR!$AX591,IF(K593="PETHICS",PR!$AY591,IF(K593="PHILIPS",PR!$AZ591,IF(K593="RANBAXY",PR!$BA591,IF(K593="REALS",PR!$BB591,IF(K593="ROYAL",PR!$BC591,IF(K593="SAM",PR!$BD591,IF(K593="SEAGREEN",PR!$BE591,IF(K593="SKG",PR!$BF591,IF(K593="TAH",PR!$BG591,IF(K593="TAYLEK",PR!$BH591,IF(K593="TEMITA",PR!$BI591,IF(K593="THL",PR!$BJ591,IF(K593="UBASTIC",PR!$BK591,IF(K593="UNION",PR!$BL591,IF(K593="UNIQUE",PR!$BM591,IF(K593="VIXA",PR!$BN591,IF(K593="WWCV",PR!$BO591,IF(K593="ZOLON",PR!$BP591,"-")))))))))))))))))))))))))))))))))))))))))))))))))))))))))))))))))</f>
        <v>1050</v>
      </c>
    </row>
    <row r="594" spans="1:12" ht="18.75" x14ac:dyDescent="0.3">
      <c r="A594" s="430">
        <f>PR!A592</f>
        <v>537</v>
      </c>
      <c r="B594" s="15" t="str">
        <f>PR!B592</f>
        <v>XYLOMETHAZOLINE NASAL DROP (PAED)</v>
      </c>
      <c r="C594" s="113" t="str">
        <f>PR!D592</f>
        <v>BOTT</v>
      </c>
      <c r="D594" s="113">
        <f>PR!C592</f>
        <v>40</v>
      </c>
      <c r="E594" s="108">
        <f>IF(F594="ALPHA",PR!$E592,IF(F594="ASSENE",PR!$F592,IF(F594="BIOFEM",PR!$G592,IF(F594="BIOMED",PR!$H592,IF(F594="CHI",PR!$I592,IF(F594="CLARION",PR!$J592,IF(F594="CODIX",PR!$K592,IF(F594="COSMADE",PR!$L592,IF(F594="SANCON",PR!$M592,IF(F594="DEVON",PR!$N592,IF(F594="DORTEMAG",PR!$O592,IF(F594="DGF",PR!$P592,IF(F594="DYNAMIC",PR!$Q592,IF(F594="EMZOR",PR!$R592,IF(F594="EUMATT",PR!$S592,IF(F594="FIDSON",PR!$T592,IF(F594="FCGLOBAL",PR!$U592,IF(F594="GENEITH",PR!$V592,IF(F594="GINOS",PR!$W592,IF(F594="GSK",PR!$X592,IF(F594="GLOBORG",PR!$Y592,IF(F594="GOODNEWS",PR!$Z592,IF(F594="GREENLIFE",PR!$AA592,IF(F594="HLINE",PR!$AB592,IF(F594="ROTECH",PR!$AC592,IF(F594="ISN",PR!$AD592,IF(F594="JAWA",PR!$AE592,IF(F594="LAYO",PR!$AF592,IF(F594="LEADWAY",PR!$AG592,IF(F594="LHV",PR!$AH592,IF(F594="MANOLA",PR!$AI592,IF(F594="MARCSON",PR!$AJ592,IF(F594="M&amp;B",PR!$AK592,IF(F594="MTRUST",PR!$AL592,IF(F594="MWORLD",PR!$AM592,IF(F594="MEGA",PR!$AN592,IF(F594="MICRONOVA",PR!$AO592,IF(F594="MFLASH",PR!$AP592,IF(F594="MORISON",PR!$AQ592,IF(F594="NEMEL",PR!$AR592,IF(F594="NHP",PR!$AS592,IF(F594="NHC",PR!$AT592,IF(F594="OLEAF",PR!$AU592,IF(F594="OCULUS",PR!$AV592,IF(F594="PACIFIC",PR!$AW592,IF(F594="PHAMATEX",PR!$AX592,IF(F594="PETHICS",PR!$AY592,IF(F594="PHILIPS",PR!$AZ592,IF(F594="RANBAXY",PR!$BA592,IF(F594="REALS",PR!$BB592,IF(F594="ROYAL",PR!$BC592,IF(F594="SAM",PR!$BD592,IF(F594="SEAGREEN",PR!$BE592,IF(F594="SKG",PR!$BF592,IF(F594="TAH",PR!$BG592,IF(F594="TAYLEK",PR!$BH592,IF(F594="TEMITA",PR!$BI592,IF(F594="THL",PR!$BJ592,IF(F594="UBASTIC",PR!$BK592,IF(F594="UNION",PR!$BL592,IF(F594="UNIQUE",PR!$BM592,IF(F594="VIXA",PR!$BN592,IF(F594="WWCV",PR!$BO592,IF(F594="ZOLON",PR!$BP592,"-"))))))))))))))))))))))))))))))))))))))))))))))))))))))))))))))))</f>
        <v>1050</v>
      </c>
      <c r="F594" s="102" t="str">
        <f>EV!L746</f>
        <v>EUMATT</v>
      </c>
      <c r="G594" s="108" t="str">
        <f>IF(H594="ALPHA",PR!$E592,IF(H594="ASSENE",PR!$F592,IF(H594="BIOFEM",PR!$G592,IF(H594="BIOMED",PR!$H592,IF(H594="CHI",PR!$I592,IF(H594="CLARION",PR!$J592,IF(H594="CODIX",PR!$K592,IF(H594="COSMADE",PR!$L592,IF(H594="SANCON",PR!$M592,IF(H594="DEVON",PR!$N592,IF(H594="DORTEMAG",PR!$O592,IF(H594="DGF",PR!$P592,IF(H594="DYNAMIC",PR!$Q592,IF(H594="EMZOR",PR!$R592,IF(H594="EUMATT",PR!$S592,IF(H594="FIDSON",PR!$T592,IF(H594="FCGLOBAL",PR!$U592,IF(H594="GENEITH",PR!$V592,IF(H594="GINOS",PR!$W592,IF(H594="GSK",PR!$X592,IF(H594="GLOBORG",PR!$Y592,IF(H594="GOODNEWS",PR!$Z592,IF(H594="GREENLIFE",PR!$AA592,IF(H594="HLINE",PR!$AB592,IF(H594="ROTECH",PR!$AC592,IF(H594="ISN",PR!$AD592,IF(H594="JAWA",PR!$AE592,IF(H594="LAYO",PR!$AF592,IF(H594="LEADWAY",PR!$AG592,IF(H594="LHV",PR!$AH592,IF(H594="MANOLA",PR!$AI592,IF(H594="MARCSON",PR!$AJ592,IF(H594="M&amp;B",PR!$AK592,IF(H594="MTRUST",PR!$AL592,IF(H594="MWORLD",PR!$AM592,IF(H594="MEGA",PR!$AN592,IF(H594="MICRONOVA",PR!$AO592,IF(H594="MFLASH",PR!$AP592,IF(H594="MORISON",PR!$AQ592,IF(H594="NEMEL",PR!$AR592,IF(H594="NHP",PR!$AS592,IF(H594="NHC",PR!$AT592,IF(H594="OLEAF",PR!$AU592,IF(H594="OCULUS",PR!$AV592,IF(H594="PACIFIC",PR!$AW592,IF(H594="PHAMATEX",PR!$AX592,IF(H594="PETHICS",PR!$AY592,IF(H594="PHILIPS",PR!$AZ592,IF(H594="RANBAXY",PR!$BA592,IF(H594="REALS",PR!$BB592,IF(H594="ROYAL",PR!$BC592,IF(H594="SAM",PR!$BD592,IF(H594="SEAGREEN",PR!$BE592,IF(H594="SKG",PR!$BF592,IF(H594="TAH",PR!$BG592,IF(H594="TAYLEK",PR!$BH592,IF(H594="TEMITA",PR!$BI592,IF(H594="THL",PR!$BJ592,IF(H594="UBASTIC",PR!$BK592,IF(H594="UNION",PR!$BL592,IF(H594="UNIQUE",PR!$BM592,IF(H594="VIXA",PR!$BN592,IF(H594="WWCV",PR!$BO592,IF(H594="ZOLON",PR!$BP592,"-"))))))))))))))))))))))))))))))))))))))))))))))))))))))))))))))))</f>
        <v>-</v>
      </c>
      <c r="H594" s="102">
        <f>EV!M746</f>
        <v>0</v>
      </c>
      <c r="I594" s="108" t="str">
        <f>IF(J594="ALPHA",PR!$E592,IF(J594="ASSENE",PR!$F592,IF(J594="BIOFEM",PR!$G592,IF(J594="BIOMED",PR!$H592,IF(J594="CHI",PR!$I592,IF(J594="CLARION",PR!$J592,IF(J594="CODIX",PR!$K592,IF(J594="COSMADE",PR!$L592,IF(J594="SANCON",PR!$M592,IF(J594="DEVON",PR!$N592,IF(J594="DORTEMAG",PR!$O592,IF(J594="DGF",PR!$P592,IF(J594="DYNAMIC",PR!$Q592,IF(J594="EMZOR",PR!$R592,IF(J594="EUMATT",PR!$S592,IF(J594="FIDSON",PR!$T592,IF(J594="FCGLOBAL",PR!$U592,IF(J594="GENEITH",PR!$V592,IF(J594="GINOS",PR!$W592,IF(J594="GSK",PR!$X592,IF(J594="GLOBORG",PR!$Y592,IF(J594="GOODNEWS",PR!$Z592,IF(J594="GREENLIFE",PR!$AA592,IF(J594="HLINE",PR!$AB592,IF(J594="ROTECH",PR!$AC592,IF(J594="ISN",PR!$AD592,IF(J594="JAWA",PR!$AE592,IF(J594="LAYO",PR!$AF592,IF(J594="LEADWAY",PR!$AG592,IF(J594="LHV",PR!$AH592,IF(J594="MANOLA",PR!$AI592,IF(J594="MARCSON",PR!$AJ592,IF(J594="M&amp;B",PR!$AK592,IF(J594="MTRUST",PR!$AL592,IF(J594="MWORLD",PR!$AM592,IF(J594="MEGA",PR!$AN592,IF(J594="MICRONOVA",PR!$AO592,IF(J594="MFLASH",PR!$AP592,IF(J594="MORISON",PR!$AQ592,IF(J594="NEMEL",PR!$AR592,IF(J594="NHP",PR!$AS592,IF(J594="NHC",PR!$AT592,IF(J594="OLEAF",PR!$AU592,IF(J594="OCULUS",PR!$AV592,IF(J594="PACIFIC",PR!$AW592,IF(J594="PHAMATEX",PR!$AX592,IF(J594="PETHICS",PR!$AY592,IF(J594="PHILIPS",PR!$AZ592,IF(J594="RANBAXY",PR!$BA592,IF(J594="REALS",PR!$BB592,IF(J594="ROYAL",PR!$BC592,IF(J594="SAM",PR!$BD592,IF(J594="SEAGREEN",PR!$BE592,IF(J594="SKG",PR!$BF592,IF(J594="TAH",PR!$BG592,IF(J594="TAYLEK",PR!$BH592,IF(J594="TEMITA",PR!$BI592,IF(J594="THL",PR!$BJ592,IF(J594="UBASTIC",PR!$BK592,IF(J594="UNION",PR!$BL592,IF(J594="UNIQUE",PR!$BM592,IF(J594="VIXA",PR!$BN592,IF(J594="WWCV",PR!$BO592,IF(J594="ZOLON",PR!$BP592,"-"))))))))))))))))))))))))))))))))))))))))))))))))))))))))))))))))</f>
        <v>-</v>
      </c>
      <c r="J594" s="102">
        <f>EV!N746</f>
        <v>0</v>
      </c>
      <c r="K594" s="433" t="s">
        <v>821</v>
      </c>
      <c r="L594" s="183">
        <f>IF(K594&gt;0,IF(K594="ALPHA",PR!$E592,IF(K594="ASSENE",PR!$F592,IF(K594="BIOFEM",PR!$G592,IF(K594="BIOMED",PR!$H592,IF(K594="CHI",PR!$I592,IF(K594="CLARION",PR!$J592,IF(K594="CODIX",PR!$K592,IF(K594="COSMADE",PR!$L592,IF(K594="SANCON",PR!$M592,IF(K594="DEVON",PR!$N592,IF(K594="DORTEMAG",PR!$O592,IF(K594="DGF",PR!$P592,IF(K594="DYNAMIC",PR!$Q592,IF(K594="EMZOR",PR!$R592,IF(K594="EUMATT",PR!$S592,IF(K594="FIDSON",PR!$T592,IF(K594="FCGLOBAL",PR!$U592,IF(K594="GENEITH",PR!$V592,IF(K594="GINOS",PR!$W592,IF(K594="GSK",PR!$X592,IF(K594="GLOBORG",PR!$Y592,IF(K594="GOODNEWS",PR!$Z592,IF(K594="GREENLIFE",PR!$AA592,IF(K594="HLINE",PR!$AB592,IF(K594="ROTECH",PR!$AC592,IF(K594="ISN",PR!$AD592,IF(K594="JAWA",PR!$AE592,IF(K594="LAYO",PR!$AF592,IF(K594="LEADWAY",PR!$AG592,IF(K594="LHV",PR!$AH592,IF(K594="MANOLA",PR!$AI592,IF(K594="MARCSON",PR!$AJ592,IF(K594="M&amp;B",PR!$AK592,IF(K594="MTRUST",PR!$AL592,IF(K594="MWORLD",PR!$AM592,IF(K594="MEGA",PR!$AN592,IF(K594="MICRONOVA",PR!$AO592,IF(K594="MFLASH",PR!$AP592,IF(K594="MORISON",PR!$AQ592,IF(K594="NEMEL",PR!$AR592,IF(K594="NHP",PR!$AS592,IF(K594="NHC",PR!$AT592,IF(K594="OLEAF",PR!$AU592,IF(K594="OCULUS",PR!$AV592,IF(K594="PACIFIC",PR!$AW592,IF(K594="PHAMATEX",PR!$AX592,IF(K594="PETHICS",PR!$AY592,IF(K594="PHILIPS",PR!$AZ592,IF(K594="RANBAXY",PR!$BA592,IF(K594="REALS",PR!$BB592,IF(K594="ROYAL",PR!$BC592,IF(K594="SAM",PR!$BD592,IF(K594="SEAGREEN",PR!$BE592,IF(K594="SKG",PR!$BF592,IF(K594="TAH",PR!$BG592,IF(K594="TAYLEK",PR!$BH592,IF(K594="TEMITA",PR!$BI592,IF(K594="THL",PR!$BJ592,IF(K594="UBASTIC",PR!$BK592,IF(K594="UNION",PR!$BL592,IF(K594="UNIQUE",PR!$BM592,IF(K594="VIXA",PR!$BN592,IF(K594="WWCV",PR!$BO592,IF(K594="ZOLON",PR!$BP592,"-")))))))))))))))))))))))))))))))))))))))))))))))))))))))))))))))))</f>
        <v>1050</v>
      </c>
    </row>
    <row r="595" spans="1:12" ht="18.75" x14ac:dyDescent="0.3">
      <c r="A595" s="430">
        <f>PR!A593</f>
        <v>538</v>
      </c>
      <c r="B595" s="15" t="str">
        <f>PR!B593</f>
        <v>ZINC/CHLORPHENIRAMINE/NAPHAZOLINE</v>
      </c>
      <c r="C595" s="113" t="str">
        <f>PR!D593</f>
        <v>BOTT</v>
      </c>
      <c r="D595" s="113">
        <f>PR!C593</f>
        <v>1000</v>
      </c>
      <c r="E595" s="108">
        <f>IF(F595="ALPHA",PR!$E593,IF(F595="ASSENE",PR!$F593,IF(F595="BIOFEM",PR!$G593,IF(F595="BIOMED",PR!$H593,IF(F595="CHI",PR!$I593,IF(F595="CLARION",PR!$J593,IF(F595="CODIX",PR!$K593,IF(F595="COSMADE",PR!$L593,IF(F595="SANCON",PR!$M593,IF(F595="DEVON",PR!$N593,IF(F595="DORTEMAG",PR!$O593,IF(F595="DGF",PR!$P593,IF(F595="DYNAMIC",PR!$Q593,IF(F595="EMZOR",PR!$R593,IF(F595="EUMATT",PR!$S593,IF(F595="FIDSON",PR!$T593,IF(F595="FCGLOBAL",PR!$U593,IF(F595="GENEITH",PR!$V593,IF(F595="GINOS",PR!$W593,IF(F595="GSK",PR!$X593,IF(F595="GLOBORG",PR!$Y593,IF(F595="GOODNEWS",PR!$Z593,IF(F595="GREENLIFE",PR!$AA593,IF(F595="HLINE",PR!$AB593,IF(F595="ROTECH",PR!$AC593,IF(F595="ISN",PR!$AD593,IF(F595="JAWA",PR!$AE593,IF(F595="LAYO",PR!$AF593,IF(F595="LEADWAY",PR!$AG593,IF(F595="LHV",PR!$AH593,IF(F595="MANOLA",PR!$AI593,IF(F595="MARCSON",PR!$AJ593,IF(F595="M&amp;B",PR!$AK593,IF(F595="MTRUST",PR!$AL593,IF(F595="MWORLD",PR!$AM593,IF(F595="MEGA",PR!$AN593,IF(F595="MICRONOVA",PR!$AO593,IF(F595="MFLASH",PR!$AP593,IF(F595="MORISON",PR!$AQ593,IF(F595="NEMEL",PR!$AR593,IF(F595="NHP",PR!$AS593,IF(F595="NHC",PR!$AT593,IF(F595="OLEAF",PR!$AU593,IF(F595="OCULUS",PR!$AV593,IF(F595="PACIFIC",PR!$AW593,IF(F595="PHAMATEX",PR!$AX593,IF(F595="PETHICS",PR!$AY593,IF(F595="PHILIPS",PR!$AZ593,IF(F595="RANBAXY",PR!$BA593,IF(F595="REALS",PR!$BB593,IF(F595="ROYAL",PR!$BC593,IF(F595="SAM",PR!$BD593,IF(F595="SEAGREEN",PR!$BE593,IF(F595="SKG",PR!$BF593,IF(F595="TAH",PR!$BG593,IF(F595="TAYLEK",PR!$BH593,IF(F595="TEMITA",PR!$BI593,IF(F595="THL",PR!$BJ593,IF(F595="UBASTIC",PR!$BK593,IF(F595="UNION",PR!$BL593,IF(F595="UNIQUE",PR!$BM593,IF(F595="VIXA",PR!$BN593,IF(F595="WWCV",PR!$BO593,IF(F595="ZOLON",PR!$BP593,"-"))))))))))))))))))))))))))))))))))))))))))))))))))))))))))))))))</f>
        <v>580</v>
      </c>
      <c r="F595" s="102" t="str">
        <f>EV!L747</f>
        <v>EUMATT</v>
      </c>
      <c r="G595" s="108">
        <f>IF(H595="ALPHA",PR!$E593,IF(H595="ASSENE",PR!$F593,IF(H595="BIOFEM",PR!$G593,IF(H595="BIOMED",PR!$H593,IF(H595="CHI",PR!$I593,IF(H595="CLARION",PR!$J593,IF(H595="CODIX",PR!$K593,IF(H595="COSMADE",PR!$L593,IF(H595="SANCON",PR!$M593,IF(H595="DEVON",PR!$N593,IF(H595="DORTEMAG",PR!$O593,IF(H595="DGF",PR!$P593,IF(H595="DYNAMIC",PR!$Q593,IF(H595="EMZOR",PR!$R593,IF(H595="EUMATT",PR!$S593,IF(H595="FIDSON",PR!$T593,IF(H595="FCGLOBAL",PR!$U593,IF(H595="GENEITH",PR!$V593,IF(H595="GINOS",PR!$W593,IF(H595="GSK",PR!$X593,IF(H595="GLOBORG",PR!$Y593,IF(H595="GOODNEWS",PR!$Z593,IF(H595="GREENLIFE",PR!$AA593,IF(H595="HLINE",PR!$AB593,IF(H595="ROTECH",PR!$AC593,IF(H595="ISN",PR!$AD593,IF(H595="JAWA",PR!$AE593,IF(H595="LAYO",PR!$AF593,IF(H595="LEADWAY",PR!$AG593,IF(H595="LHV",PR!$AH593,IF(H595="MANOLA",PR!$AI593,IF(H595="MARCSON",PR!$AJ593,IF(H595="M&amp;B",PR!$AK593,IF(H595="MTRUST",PR!$AL593,IF(H595="MWORLD",PR!$AM593,IF(H595="MEGA",PR!$AN593,IF(H595="MICRONOVA",PR!$AO593,IF(H595="MFLASH",PR!$AP593,IF(H595="MORISON",PR!$AQ593,IF(H595="NEMEL",PR!$AR593,IF(H595="NHP",PR!$AS593,IF(H595="NHC",PR!$AT593,IF(H595="OLEAF",PR!$AU593,IF(H595="OCULUS",PR!$AV593,IF(H595="PACIFIC",PR!$AW593,IF(H595="PHAMATEX",PR!$AX593,IF(H595="PETHICS",PR!$AY593,IF(H595="PHILIPS",PR!$AZ593,IF(H595="RANBAXY",PR!$BA593,IF(H595="REALS",PR!$BB593,IF(H595="ROYAL",PR!$BC593,IF(H595="SAM",PR!$BD593,IF(H595="SEAGREEN",PR!$BE593,IF(H595="SKG",PR!$BF593,IF(H595="TAH",PR!$BG593,IF(H595="TAYLEK",PR!$BH593,IF(H595="TEMITA",PR!$BI593,IF(H595="THL",PR!$BJ593,IF(H595="UBASTIC",PR!$BK593,IF(H595="UNION",PR!$BL593,IF(H595="UNIQUE",PR!$BM593,IF(H595="VIXA",PR!$BN593,IF(H595="WWCV",PR!$BO593,IF(H595="ZOLON",PR!$BP593,"-"))))))))))))))))))))))))))))))))))))))))))))))))))))))))))))))))</f>
        <v>600</v>
      </c>
      <c r="H595" s="102" t="str">
        <f>EV!M747</f>
        <v>MICRONOVA</v>
      </c>
      <c r="I595" s="108" t="str">
        <f>IF(J595="ALPHA",PR!$E593,IF(J595="ASSENE",PR!$F593,IF(J595="BIOFEM",PR!$G593,IF(J595="BIOMED",PR!$H593,IF(J595="CHI",PR!$I593,IF(J595="CLARION",PR!$J593,IF(J595="CODIX",PR!$K593,IF(J595="COSMADE",PR!$L593,IF(J595="SANCON",PR!$M593,IF(J595="DEVON",PR!$N593,IF(J595="DORTEMAG",PR!$O593,IF(J595="DGF",PR!$P593,IF(J595="DYNAMIC",PR!$Q593,IF(J595="EMZOR",PR!$R593,IF(J595="EUMATT",PR!$S593,IF(J595="FIDSON",PR!$T593,IF(J595="FCGLOBAL",PR!$U593,IF(J595="GENEITH",PR!$V593,IF(J595="GINOS",PR!$W593,IF(J595="GSK",PR!$X593,IF(J595="GLOBORG",PR!$Y593,IF(J595="GOODNEWS",PR!$Z593,IF(J595="GREENLIFE",PR!$AA593,IF(J595="HLINE",PR!$AB593,IF(J595="ROTECH",PR!$AC593,IF(J595="ISN",PR!$AD593,IF(J595="JAWA",PR!$AE593,IF(J595="LAYO",PR!$AF593,IF(J595="LEADWAY",PR!$AG593,IF(J595="LHV",PR!$AH593,IF(J595="MANOLA",PR!$AI593,IF(J595="MARCSON",PR!$AJ593,IF(J595="M&amp;B",PR!$AK593,IF(J595="MTRUST",PR!$AL593,IF(J595="MWORLD",PR!$AM593,IF(J595="MEGA",PR!$AN593,IF(J595="MICRONOVA",PR!$AO593,IF(J595="MFLASH",PR!$AP593,IF(J595="MORISON",PR!$AQ593,IF(J595="NEMEL",PR!$AR593,IF(J595="NHP",PR!$AS593,IF(J595="NHC",PR!$AT593,IF(J595="OLEAF",PR!$AU593,IF(J595="OCULUS",PR!$AV593,IF(J595="PACIFIC",PR!$AW593,IF(J595="PHAMATEX",PR!$AX593,IF(J595="PETHICS",PR!$AY593,IF(J595="PHILIPS",PR!$AZ593,IF(J595="RANBAXY",PR!$BA593,IF(J595="REALS",PR!$BB593,IF(J595="ROYAL",PR!$BC593,IF(J595="SAM",PR!$BD593,IF(J595="SEAGREEN",PR!$BE593,IF(J595="SKG",PR!$BF593,IF(J595="TAH",PR!$BG593,IF(J595="TAYLEK",PR!$BH593,IF(J595="TEMITA",PR!$BI593,IF(J595="THL",PR!$BJ593,IF(J595="UBASTIC",PR!$BK593,IF(J595="UNION",PR!$BL593,IF(J595="UNIQUE",PR!$BM593,IF(J595="VIXA",PR!$BN593,IF(J595="WWCV",PR!$BO593,IF(J595="ZOLON",PR!$BP593,"-"))))))))))))))))))))))))))))))))))))))))))))))))))))))))))))))))</f>
        <v>-</v>
      </c>
      <c r="J595" s="102">
        <f>EV!N747</f>
        <v>0</v>
      </c>
      <c r="K595" s="433" t="s">
        <v>632</v>
      </c>
      <c r="L595" s="183">
        <f>IF(K595&gt;0,IF(K595="ALPHA",PR!$E593,IF(K595="ASSENE",PR!$F593,IF(K595="BIOFEM",PR!$G593,IF(K595="BIOMED",PR!$H593,IF(K595="CHI",PR!$I593,IF(K595="CLARION",PR!$J593,IF(K595="CODIX",PR!$K593,IF(K595="COSMADE",PR!$L593,IF(K595="SANCON",PR!$M593,IF(K595="DEVON",PR!$N593,IF(K595="DORTEMAG",PR!$O593,IF(K595="DGF",PR!$P593,IF(K595="DYNAMIC",PR!$Q593,IF(K595="EMZOR",PR!$R593,IF(K595="EUMATT",PR!$S593,IF(K595="FIDSON",PR!$T593,IF(K595="FCGLOBAL",PR!$U593,IF(K595="GENEITH",PR!$V593,IF(K595="GINOS",PR!$W593,IF(K595="GSK",PR!$X593,IF(K595="GLOBORG",PR!$Y593,IF(K595="GOODNEWS",PR!$Z593,IF(K595="GREENLIFE",PR!$AA593,IF(K595="HLINE",PR!$AB593,IF(K595="ROTECH",PR!$AC593,IF(K595="ISN",PR!$AD593,IF(K595="JAWA",PR!$AE593,IF(K595="LAYO",PR!$AF593,IF(K595="LEADWAY",PR!$AG593,IF(K595="LHV",PR!$AH593,IF(K595="MANOLA",PR!$AI593,IF(K595="MARCSON",PR!$AJ593,IF(K595="M&amp;B",PR!$AK593,IF(K595="MTRUST",PR!$AL593,IF(K595="MWORLD",PR!$AM593,IF(K595="MEGA",PR!$AN593,IF(K595="MICRONOVA",PR!$AO593,IF(K595="MFLASH",PR!$AP593,IF(K595="MORISON",PR!$AQ593,IF(K595="NEMEL",PR!$AR593,IF(K595="NHP",PR!$AS593,IF(K595="NHC",PR!$AT593,IF(K595="OLEAF",PR!$AU593,IF(K595="OCULUS",PR!$AV593,IF(K595="PACIFIC",PR!$AW593,IF(K595="PHAMATEX",PR!$AX593,IF(K595="PETHICS",PR!$AY593,IF(K595="PHILIPS",PR!$AZ593,IF(K595="RANBAXY",PR!$BA593,IF(K595="REALS",PR!$BB593,IF(K595="ROYAL",PR!$BC593,IF(K595="SAM",PR!$BD593,IF(K595="SEAGREEN",PR!$BE593,IF(K595="SKG",PR!$BF593,IF(K595="TAH",PR!$BG593,IF(K595="TAYLEK",PR!$BH593,IF(K595="TEMITA",PR!$BI593,IF(K595="THL",PR!$BJ593,IF(K595="UBASTIC",PR!$BK593,IF(K595="UNION",PR!$BL593,IF(K595="UNIQUE",PR!$BM593,IF(K595="VIXA",PR!$BN593,IF(K595="WWCV",PR!$BO593,IF(K595="ZOLON",PR!$BP593,"-")))))))))))))))))))))))))))))))))))))))))))))))))))))))))))))))))</f>
        <v>600</v>
      </c>
    </row>
    <row r="596" spans="1:12" ht="18.75" x14ac:dyDescent="0.3">
      <c r="A596" s="430">
        <f>PR!A594</f>
        <v>0</v>
      </c>
      <c r="B596" s="15">
        <f>PR!B594</f>
        <v>0</v>
      </c>
      <c r="C596" s="113">
        <f>PR!D594</f>
        <v>0</v>
      </c>
      <c r="D596" s="113">
        <f>PR!C594</f>
        <v>0</v>
      </c>
      <c r="E596" s="108" t="str">
        <f>IF(F596="ALPHA",PR!$E594,IF(F596="ASSENE",PR!$F594,IF(F596="BIOFEM",PR!$G594,IF(F596="BIOMED",PR!$H594,IF(F596="CHI",PR!$I594,IF(F596="CLARION",PR!$J594,IF(F596="CODIX",PR!$K594,IF(F596="COSMADE",PR!$L594,IF(F596="SANCON",PR!$M594,IF(F596="DEVON",PR!$N594,IF(F596="DORTEMAG",PR!$O594,IF(F596="DGF",PR!$P594,IF(F596="DYNAMIC",PR!$Q594,IF(F596="EMZOR",PR!$R594,IF(F596="EUMATT",PR!$S594,IF(F596="FIDSON",PR!$T594,IF(F596="FCGLOBAL",PR!$U594,IF(F596="GENEITH",PR!$V594,IF(F596="GINOS",PR!$W594,IF(F596="GSK",PR!$X594,IF(F596="GLOBORG",PR!$Y594,IF(F596="GOODNEWS",PR!$Z594,IF(F596="GREENLIFE",PR!$AA594,IF(F596="HLINE",PR!$AB594,IF(F596="ROTECH",PR!$AC594,IF(F596="ISN",PR!$AD594,IF(F596="JAWA",PR!$AE594,IF(F596="LAYO",PR!$AF594,IF(F596="LEADWAY",PR!$AG594,IF(F596="LHV",PR!$AH594,IF(F596="MANOLA",PR!$AI594,IF(F596="MARCSON",PR!$AJ594,IF(F596="M&amp;B",PR!$AK594,IF(F596="MTRUST",PR!$AL594,IF(F596="MWORLD",PR!$AM594,IF(F596="MEGA",PR!$AN594,IF(F596="MICRONOVA",PR!$AO594,IF(F596="MFLASH",PR!$AP594,IF(F596="MORISON",PR!$AQ594,IF(F596="NEMEL",PR!$AR594,IF(F596="NHP",PR!$AS594,IF(F596="NHC",PR!$AT594,IF(F596="OLEAF",PR!$AU594,IF(F596="OCULUS",PR!$AV594,IF(F596="PACIFIC",PR!$AW594,IF(F596="PHAMATEX",PR!$AX594,IF(F596="PETHICS",PR!$AY594,IF(F596="PHILIPS",PR!$AZ594,IF(F596="RANBAXY",PR!$BA594,IF(F596="REALS",PR!$BB594,IF(F596="ROYAL",PR!$BC594,IF(F596="SAM",PR!$BD594,IF(F596="SEAGREEN",PR!$BE594,IF(F596="SKG",PR!$BF594,IF(F596="TAH",PR!$BG594,IF(F596="TAYLEK",PR!$BH594,IF(F596="TEMITA",PR!$BI594,IF(F596="THL",PR!$BJ594,IF(F596="UBASTIC",PR!$BK594,IF(F596="UNION",PR!$BL594,IF(F596="UNIQUE",PR!$BM594,IF(F596="VIXA",PR!$BN594,IF(F596="WWCV",PR!$BO594,IF(F596="ZOLON",PR!$BP594,"-"))))))))))))))))))))))))))))))))))))))))))))))))))))))))))))))))</f>
        <v>-</v>
      </c>
      <c r="F596" s="102"/>
      <c r="G596" s="108" t="str">
        <f>IF(H596="ALPHA",PR!$E594,IF(H596="ASSENE",PR!$F594,IF(H596="BIOFEM",PR!$G594,IF(H596="BIOMED",PR!$H594,IF(H596="CHI",PR!$I594,IF(H596="CLARION",PR!$J594,IF(H596="CODIX",PR!$K594,IF(H596="COSMADE",PR!$L594,IF(H596="SANCON",PR!$M594,IF(H596="DEVON",PR!$N594,IF(H596="DORTEMAG",PR!$O594,IF(H596="DGF",PR!$P594,IF(H596="DYNAMIC",PR!$Q594,IF(H596="EMZOR",PR!$R594,IF(H596="EUMATT",PR!$S594,IF(H596="FIDSON",PR!$T594,IF(H596="FCGLOBAL",PR!$U594,IF(H596="GENEITH",PR!$V594,IF(H596="GINOS",PR!$W594,IF(H596="GSK",PR!$X594,IF(H596="GLOBORG",PR!$Y594,IF(H596="GOODNEWS",PR!$Z594,IF(H596="GREENLIFE",PR!$AA594,IF(H596="HLINE",PR!$AB594,IF(H596="ROTECH",PR!$AC594,IF(H596="ISN",PR!$AD594,IF(H596="JAWA",PR!$AE594,IF(H596="LAYO",PR!$AF594,IF(H596="LEADWAY",PR!$AG594,IF(H596="LHV",PR!$AH594,IF(H596="MANOLA",PR!$AI594,IF(H596="MARCSON",PR!$AJ594,IF(H596="M&amp;B",PR!$AK594,IF(H596="MTRUST",PR!$AL594,IF(H596="MWORLD",PR!$AM594,IF(H596="MEGA",PR!$AN594,IF(H596="MICRONOVA",PR!$AO594,IF(H596="MFLASH",PR!$AP594,IF(H596="MORISON",PR!$AQ594,IF(H596="NEMEL",PR!$AR594,IF(H596="NHP",PR!$AS594,IF(H596="NHC",PR!$AT594,IF(H596="OLEAF",PR!$AU594,IF(H596="OCULUS",PR!$AV594,IF(H596="PACIFIC",PR!$AW594,IF(H596="PHAMATEX",PR!$AX594,IF(H596="PETHICS",PR!$AY594,IF(H596="PHILIPS",PR!$AZ594,IF(H596="RANBAXY",PR!$BA594,IF(H596="REALS",PR!$BB594,IF(H596="ROYAL",PR!$BC594,IF(H596="SAM",PR!$BD594,IF(H596="SEAGREEN",PR!$BE594,IF(H596="SKG",PR!$BF594,IF(H596="TAH",PR!$BG594,IF(H596="TAYLEK",PR!$BH594,IF(H596="TEMITA",PR!$BI594,IF(H596="THL",PR!$BJ594,IF(H596="UBASTIC",PR!$BK594,IF(H596="UNION",PR!$BL594,IF(H596="UNIQUE",PR!$BM594,IF(H596="VIXA",PR!$BN594,IF(H596="WWCV",PR!$BO594,IF(H596="ZOLON",PR!$BP594,"-"))))))))))))))))))))))))))))))))))))))))))))))))))))))))))))))))</f>
        <v>-</v>
      </c>
      <c r="H596" s="102"/>
      <c r="I596" s="108" t="str">
        <f>IF(J596="ALPHA",PR!$E594,IF(J596="ASSENE",PR!$F594,IF(J596="BIOFEM",PR!$G594,IF(J596="BIOMED",PR!$H594,IF(J596="CHI",PR!$I594,IF(J596="CLARION",PR!$J594,IF(J596="CODIX",PR!$K594,IF(J596="COSMADE",PR!$L594,IF(J596="SANCON",PR!$M594,IF(J596="DEVON",PR!$N594,IF(J596="DORTEMAG",PR!$O594,IF(J596="DGF",PR!$P594,IF(J596="DYNAMIC",PR!$Q594,IF(J596="EMZOR",PR!$R594,IF(J596="EUMATT",PR!$S594,IF(J596="FIDSON",PR!$T594,IF(J596="FCGLOBAL",PR!$U594,IF(J596="GENEITH",PR!$V594,IF(J596="GINOS",PR!$W594,IF(J596="GSK",PR!$X594,IF(J596="GLOBORG",PR!$Y594,IF(J596="GOODNEWS",PR!$Z594,IF(J596="GREENLIFE",PR!$AA594,IF(J596="HLINE",PR!$AB594,IF(J596="ROTECH",PR!$AC594,IF(J596="ISN",PR!$AD594,IF(J596="JAWA",PR!$AE594,IF(J596="LAYO",PR!$AF594,IF(J596="LEADWAY",PR!$AG594,IF(J596="LHV",PR!$AH594,IF(J596="MANOLA",PR!$AI594,IF(J596="MARCSON",PR!$AJ594,IF(J596="M&amp;B",PR!$AK594,IF(J596="MTRUST",PR!$AL594,IF(J596="MWORLD",PR!$AM594,IF(J596="MEGA",PR!$AN594,IF(J596="MICRONOVA",PR!$AO594,IF(J596="MFLASH",PR!$AP594,IF(J596="MORISON",PR!$AQ594,IF(J596="NEMEL",PR!$AR594,IF(J596="NHP",PR!$AS594,IF(J596="NHC",PR!$AT594,IF(J596="OLEAF",PR!$AU594,IF(J596="OCULUS",PR!$AV594,IF(J596="PACIFIC",PR!$AW594,IF(J596="PHAMATEX",PR!$AX594,IF(J596="PETHICS",PR!$AY594,IF(J596="PHILIPS",PR!$AZ594,IF(J596="RANBAXY",PR!$BA594,IF(J596="REALS",PR!$BB594,IF(J596="ROYAL",PR!$BC594,IF(J596="SAM",PR!$BD594,IF(J596="SEAGREEN",PR!$BE594,IF(J596="SKG",PR!$BF594,IF(J596="TAH",PR!$BG594,IF(J596="TAYLEK",PR!$BH594,IF(J596="TEMITA",PR!$BI594,IF(J596="THL",PR!$BJ594,IF(J596="UBASTIC",PR!$BK594,IF(J596="UNION",PR!$BL594,IF(J596="UNIQUE",PR!$BM594,IF(J596="VIXA",PR!$BN594,IF(J596="WWCV",PR!$BO594,IF(J596="ZOLON",PR!$BP594,"-"))))))))))))))))))))))))))))))))))))))))))))))))))))))))))))))))</f>
        <v>-</v>
      </c>
      <c r="J596" s="102"/>
      <c r="K596" s="433"/>
      <c r="L596" s="183" t="b">
        <f>IF(K596&gt;0,IF(K596="ALPHA",PR!$E594,IF(K596="ASSENE",PR!$F594,IF(K596="BIOFEM",PR!$G594,IF(K596="BIOMED",PR!$H594,IF(K596="CHI",PR!$I594,IF(K596="CLARION",PR!$J594,IF(K596="CODIX",PR!$K594,IF(K596="COSMADE",PR!$L594,IF(K596="SANCON",PR!$M594,IF(K596="DEVON",PR!$N594,IF(K596="DORTEMAG",PR!$O594,IF(K596="DGF",PR!$P594,IF(K596="DYNAMIC",PR!$Q594,IF(K596="EMZOR",PR!$R594,IF(K596="EUMATT",PR!$S594,IF(K596="FIDSON",PR!$T594,IF(K596="FCGLOBAL",PR!$U594,IF(K596="GENEITH",PR!$V594,IF(K596="GINOS",PR!$W594,IF(K596="GSK",PR!$X594,IF(K596="GLOBORG",PR!$Y594,IF(K596="GOODNEWS",PR!$Z594,IF(K596="GREENLIFE",PR!$AA594,IF(K596="HLINE",PR!$AB594,IF(K596="ROTECH",PR!$AC594,IF(K596="ISN",PR!$AD594,IF(K596="JAWA",PR!$AE594,IF(K596="LAYO",PR!$AF594,IF(K596="LEADWAY",PR!$AG594,IF(K596="LHV",PR!$AH594,IF(K596="MANOLA",PR!$AI594,IF(K596="MARCSON",PR!$AJ594,IF(K596="M&amp;B",PR!$AK594,IF(K596="MTRUST",PR!$AL594,IF(K596="MWORLD",PR!$AM594,IF(K596="MEGA",PR!$AN594,IF(K596="MICRONOVA",PR!$AO594,IF(K596="MFLASH",PR!$AP594,IF(K596="MORISON",PR!$AQ594,IF(K596="NEMEL",PR!$AR594,IF(K596="NHP",PR!$AS594,IF(K596="NHC",PR!$AT594,IF(K596="OLEAF",PR!$AU594,IF(K596="OCULUS",PR!$AV594,IF(K596="PACIFIC",PR!$AW594,IF(K596="PHAMATEX",PR!$AX594,IF(K596="PETHICS",PR!$AY594,IF(K596="PHILIPS",PR!$AZ594,IF(K596="RANBAXY",PR!$BA594,IF(K596="REALS",PR!$BB594,IF(K596="ROYAL",PR!$BC594,IF(K596="SAM",PR!$BD594,IF(K596="SEAGREEN",PR!$BE594,IF(K596="SKG",PR!$BF594,IF(K596="TAH",PR!$BG594,IF(K596="TAYLEK",PR!$BH594,IF(K596="TEMITA",PR!$BI594,IF(K596="THL",PR!$BJ594,IF(K596="UBASTIC",PR!$BK594,IF(K596="UNION",PR!$BL594,IF(K596="UNIQUE",PR!$BM594,IF(K596="VIXA",PR!$BN594,IF(K596="WWCV",PR!$BO594,IF(K596="ZOLON",PR!$BP594,"-")))))))))))))))))))))))))))))))))))))))))))))))))))))))))))))))))</f>
        <v>0</v>
      </c>
    </row>
    <row r="597" spans="1:12" ht="18.75" x14ac:dyDescent="0.3">
      <c r="A597" s="430">
        <f>PR!A595</f>
        <v>0</v>
      </c>
      <c r="B597" s="15">
        <f>PR!B595</f>
        <v>0</v>
      </c>
      <c r="C597" s="113">
        <f>PR!D595</f>
        <v>0</v>
      </c>
      <c r="D597" s="113">
        <f>PR!C595</f>
        <v>0</v>
      </c>
      <c r="E597" s="108" t="str">
        <f>IF(F597="ALPHA",PR!$E595,IF(F597="ASSENE",PR!$F595,IF(F597="BIOFEM",PR!$G595,IF(F597="BIOMED",PR!$H595,IF(F597="CHI",PR!$I595,IF(F597="CLARION",PR!$J595,IF(F597="CODIX",PR!$K595,IF(F597="COSMADE",PR!$L595,IF(F597="SANCON",PR!$M595,IF(F597="DEVON",PR!$N595,IF(F597="DORTEMAG",PR!$O595,IF(F597="DGF",PR!$P595,IF(F597="DYNAMIC",PR!$Q595,IF(F597="EMZOR",PR!$R595,IF(F597="EUMATT",PR!$S595,IF(F597="FIDSON",PR!$T595,IF(F597="FCGLOBAL",PR!$U595,IF(F597="GENEITH",PR!$V595,IF(F597="GINOS",PR!$W595,IF(F597="GSK",PR!$X595,IF(F597="GLOBORG",PR!$Y595,IF(F597="GOODNEWS",PR!$Z595,IF(F597="GREENLIFE",PR!$AA595,IF(F597="HLINE",PR!$AB595,IF(F597="ROTECH",PR!$AC595,IF(F597="ISN",PR!$AD595,IF(F597="JAWA",PR!$AE595,IF(F597="LAYO",PR!$AF595,IF(F597="LEADWAY",PR!$AG595,IF(F597="LHV",PR!$AH595,IF(F597="MANOLA",PR!$AI595,IF(F597="MARCSON",PR!$AJ595,IF(F597="M&amp;B",PR!$AK595,IF(F597="MTRUST",PR!$AL595,IF(F597="MWORLD",PR!$AM595,IF(F597="MEGA",PR!$AN595,IF(F597="MICRONOVA",PR!$AO595,IF(F597="MFLASH",PR!$AP595,IF(F597="MORISON",PR!$AQ595,IF(F597="NEMEL",PR!$AR595,IF(F597="NHP",PR!$AS595,IF(F597="NHC",PR!$AT595,IF(F597="OLEAF",PR!$AU595,IF(F597="OCULUS",PR!$AV595,IF(F597="PACIFIC",PR!$AW595,IF(F597="PHAMATEX",PR!$AX595,IF(F597="PETHICS",PR!$AY595,IF(F597="PHILIPS",PR!$AZ595,IF(F597="RANBAXY",PR!$BA595,IF(F597="REALS",PR!$BB595,IF(F597="ROYAL",PR!$BC595,IF(F597="SAM",PR!$BD595,IF(F597="SEAGREEN",PR!$BE595,IF(F597="SKG",PR!$BF595,IF(F597="TAH",PR!$BG595,IF(F597="TAYLEK",PR!$BH595,IF(F597="TEMITA",PR!$BI595,IF(F597="THL",PR!$BJ595,IF(F597="UBASTIC",PR!$BK595,IF(F597="UNION",PR!$BL595,IF(F597="UNIQUE",PR!$BM595,IF(F597="VIXA",PR!$BN595,IF(F597="WWCV",PR!$BO595,IF(F597="ZOLON",PR!$BP595,"-"))))))))))))))))))))))))))))))))))))))))))))))))))))))))))))))))</f>
        <v>-</v>
      </c>
      <c r="F597" s="102"/>
      <c r="G597" s="108" t="str">
        <f>IF(H597="ALPHA",PR!$E595,IF(H597="ASSENE",PR!$F595,IF(H597="BIOFEM",PR!$G595,IF(H597="BIOMED",PR!$H595,IF(H597="CHI",PR!$I595,IF(H597="CLARION",PR!$J595,IF(H597="CODIX",PR!$K595,IF(H597="COSMADE",PR!$L595,IF(H597="SANCON",PR!$M595,IF(H597="DEVON",PR!$N595,IF(H597="DORTEMAG",PR!$O595,IF(H597="DGF",PR!$P595,IF(H597="DYNAMIC",PR!$Q595,IF(H597="EMZOR",PR!$R595,IF(H597="EUMATT",PR!$S595,IF(H597="FIDSON",PR!$T595,IF(H597="FCGLOBAL",PR!$U595,IF(H597="GENEITH",PR!$V595,IF(H597="GINOS",PR!$W595,IF(H597="GSK",PR!$X595,IF(H597="GLOBORG",PR!$Y595,IF(H597="GOODNEWS",PR!$Z595,IF(H597="GREENLIFE",PR!$AA595,IF(H597="HLINE",PR!$AB595,IF(H597="ROTECH",PR!$AC595,IF(H597="ISN",PR!$AD595,IF(H597="JAWA",PR!$AE595,IF(H597="LAYO",PR!$AF595,IF(H597="LEADWAY",PR!$AG595,IF(H597="LHV",PR!$AH595,IF(H597="MANOLA",PR!$AI595,IF(H597="MARCSON",PR!$AJ595,IF(H597="M&amp;B",PR!$AK595,IF(H597="MTRUST",PR!$AL595,IF(H597="MWORLD",PR!$AM595,IF(H597="MEGA",PR!$AN595,IF(H597="MICRONOVA",PR!$AO595,IF(H597="MFLASH",PR!$AP595,IF(H597="MORISON",PR!$AQ595,IF(H597="NEMEL",PR!$AR595,IF(H597="NHP",PR!$AS595,IF(H597="NHC",PR!$AT595,IF(H597="OLEAF",PR!$AU595,IF(H597="OCULUS",PR!$AV595,IF(H597="PACIFIC",PR!$AW595,IF(H597="PHAMATEX",PR!$AX595,IF(H597="PETHICS",PR!$AY595,IF(H597="PHILIPS",PR!$AZ595,IF(H597="RANBAXY",PR!$BA595,IF(H597="REALS",PR!$BB595,IF(H597="ROYAL",PR!$BC595,IF(H597="SAM",PR!$BD595,IF(H597="SEAGREEN",PR!$BE595,IF(H597="SKG",PR!$BF595,IF(H597="TAH",PR!$BG595,IF(H597="TAYLEK",PR!$BH595,IF(H597="TEMITA",PR!$BI595,IF(H597="THL",PR!$BJ595,IF(H597="UBASTIC",PR!$BK595,IF(H597="UNION",PR!$BL595,IF(H597="UNIQUE",PR!$BM595,IF(H597="VIXA",PR!$BN595,IF(H597="WWCV",PR!$BO595,IF(H597="ZOLON",PR!$BP595,"-"))))))))))))))))))))))))))))))))))))))))))))))))))))))))))))))))</f>
        <v>-</v>
      </c>
      <c r="H597" s="102"/>
      <c r="I597" s="108" t="str">
        <f>IF(J597="ALPHA",PR!$E595,IF(J597="ASSENE",PR!$F595,IF(J597="BIOFEM",PR!$G595,IF(J597="BIOMED",PR!$H595,IF(J597="CHI",PR!$I595,IF(J597="CLARION",PR!$J595,IF(J597="CODIX",PR!$K595,IF(J597="COSMADE",PR!$L595,IF(J597="SANCON",PR!$M595,IF(J597="DEVON",PR!$N595,IF(J597="DORTEMAG",PR!$O595,IF(J597="DGF",PR!$P595,IF(J597="DYNAMIC",PR!$Q595,IF(J597="EMZOR",PR!$R595,IF(J597="EUMATT",PR!$S595,IF(J597="FIDSON",PR!$T595,IF(J597="FCGLOBAL",PR!$U595,IF(J597="GENEITH",PR!$V595,IF(J597="GINOS",PR!$W595,IF(J597="GSK",PR!$X595,IF(J597="GLOBORG",PR!$Y595,IF(J597="GOODNEWS",PR!$Z595,IF(J597="GREENLIFE",PR!$AA595,IF(J597="HLINE",PR!$AB595,IF(J597="ROTECH",PR!$AC595,IF(J597="ISN",PR!$AD595,IF(J597="JAWA",PR!$AE595,IF(J597="LAYO",PR!$AF595,IF(J597="LEADWAY",PR!$AG595,IF(J597="LHV",PR!$AH595,IF(J597="MANOLA",PR!$AI595,IF(J597="MARCSON",PR!$AJ595,IF(J597="M&amp;B",PR!$AK595,IF(J597="MTRUST",PR!$AL595,IF(J597="MWORLD",PR!$AM595,IF(J597="MEGA",PR!$AN595,IF(J597="MICRONOVA",PR!$AO595,IF(J597="MFLASH",PR!$AP595,IF(J597="MORISON",PR!$AQ595,IF(J597="NEMEL",PR!$AR595,IF(J597="NHP",PR!$AS595,IF(J597="NHC",PR!$AT595,IF(J597="OLEAF",PR!$AU595,IF(J597="OCULUS",PR!$AV595,IF(J597="PACIFIC",PR!$AW595,IF(J597="PHAMATEX",PR!$AX595,IF(J597="PETHICS",PR!$AY595,IF(J597="PHILIPS",PR!$AZ595,IF(J597="RANBAXY",PR!$BA595,IF(J597="REALS",PR!$BB595,IF(J597="ROYAL",PR!$BC595,IF(J597="SAM",PR!$BD595,IF(J597="SEAGREEN",PR!$BE595,IF(J597="SKG",PR!$BF595,IF(J597="TAH",PR!$BG595,IF(J597="TAYLEK",PR!$BH595,IF(J597="TEMITA",PR!$BI595,IF(J597="THL",PR!$BJ595,IF(J597="UBASTIC",PR!$BK595,IF(J597="UNION",PR!$BL595,IF(J597="UNIQUE",PR!$BM595,IF(J597="VIXA",PR!$BN595,IF(J597="WWCV",PR!$BO595,IF(J597="ZOLON",PR!$BP595,"-"))))))))))))))))))))))))))))))))))))))))))))))))))))))))))))))))</f>
        <v>-</v>
      </c>
      <c r="J597" s="102"/>
      <c r="K597" s="433"/>
      <c r="L597" s="183" t="b">
        <f>IF(K597&gt;0,IF(K597="ALPHA",PR!$E595,IF(K597="ASSENE",PR!$F595,IF(K597="BIOFEM",PR!$G595,IF(K597="BIOMED",PR!$H595,IF(K597="CHI",PR!$I595,IF(K597="CLARION",PR!$J595,IF(K597="CODIX",PR!$K595,IF(K597="COSMADE",PR!$L595,IF(K597="SANCON",PR!$M595,IF(K597="DEVON",PR!$N595,IF(K597="DORTEMAG",PR!$O595,IF(K597="DGF",PR!$P595,IF(K597="DYNAMIC",PR!$Q595,IF(K597="EMZOR",PR!$R595,IF(K597="EUMATT",PR!$S595,IF(K597="FIDSON",PR!$T595,IF(K597="FCGLOBAL",PR!$U595,IF(K597="GENEITH",PR!$V595,IF(K597="GINOS",PR!$W595,IF(K597="GSK",PR!$X595,IF(K597="GLOBORG",PR!$Y595,IF(K597="GOODNEWS",PR!$Z595,IF(K597="GREENLIFE",PR!$AA595,IF(K597="HLINE",PR!$AB595,IF(K597="ROTECH",PR!$AC595,IF(K597="ISN",PR!$AD595,IF(K597="JAWA",PR!$AE595,IF(K597="LAYO",PR!$AF595,IF(K597="LEADWAY",PR!$AG595,IF(K597="LHV",PR!$AH595,IF(K597="MANOLA",PR!$AI595,IF(K597="MARCSON",PR!$AJ595,IF(K597="M&amp;B",PR!$AK595,IF(K597="MTRUST",PR!$AL595,IF(K597="MWORLD",PR!$AM595,IF(K597="MEGA",PR!$AN595,IF(K597="MICRONOVA",PR!$AO595,IF(K597="MFLASH",PR!$AP595,IF(K597="MORISON",PR!$AQ595,IF(K597="NEMEL",PR!$AR595,IF(K597="NHP",PR!$AS595,IF(K597="NHC",PR!$AT595,IF(K597="OLEAF",PR!$AU595,IF(K597="OCULUS",PR!$AV595,IF(K597="PACIFIC",PR!$AW595,IF(K597="PHAMATEX",PR!$AX595,IF(K597="PETHICS",PR!$AY595,IF(K597="PHILIPS",PR!$AZ595,IF(K597="RANBAXY",PR!$BA595,IF(K597="REALS",PR!$BB595,IF(K597="ROYAL",PR!$BC595,IF(K597="SAM",PR!$BD595,IF(K597="SEAGREEN",PR!$BE595,IF(K597="SKG",PR!$BF595,IF(K597="TAH",PR!$BG595,IF(K597="TAYLEK",PR!$BH595,IF(K597="TEMITA",PR!$BI595,IF(K597="THL",PR!$BJ595,IF(K597="UBASTIC",PR!$BK595,IF(K597="UNION",PR!$BL595,IF(K597="UNIQUE",PR!$BM595,IF(K597="VIXA",PR!$BN595,IF(K597="WWCV",PR!$BO595,IF(K597="ZOLON",PR!$BP595,"-")))))))))))))))))))))))))))))))))))))))))))))))))))))))))))))))))</f>
        <v>0</v>
      </c>
    </row>
    <row r="598" spans="1:12" ht="18.75" x14ac:dyDescent="0.3">
      <c r="A598" s="430" t="str">
        <f>PR!A596</f>
        <v>LOT 12</v>
      </c>
      <c r="B598" s="15" t="str">
        <f>PR!B596</f>
        <v>ANTI-CANCER DRUGS</v>
      </c>
      <c r="C598" s="113">
        <f>PR!D596</f>
        <v>0</v>
      </c>
      <c r="D598" s="113">
        <f>PR!C596</f>
        <v>0</v>
      </c>
      <c r="E598" s="108" t="str">
        <f>IF(F598="ALPHA",PR!$E596,IF(F598="ASSENE",PR!$F596,IF(F598="BIOFEM",PR!$G596,IF(F598="BIOMED",PR!$H596,IF(F598="CHI",PR!$I596,IF(F598="CLARION",PR!$J596,IF(F598="CODIX",PR!$K596,IF(F598="COSMADE",PR!$L596,IF(F598="SANCON",PR!$M596,IF(F598="DEVON",PR!$N596,IF(F598="DORTEMAG",PR!$O596,IF(F598="DGF",PR!$P596,IF(F598="DYNAMIC",PR!$Q596,IF(F598="EMZOR",PR!$R596,IF(F598="EUMATT",PR!$S596,IF(F598="FIDSON",PR!$T596,IF(F598="FCGLOBAL",PR!$U596,IF(F598="GENEITH",PR!$V596,IF(F598="GINOS",PR!$W596,IF(F598="GSK",PR!$X596,IF(F598="GLOBORG",PR!$Y596,IF(F598="GOODNEWS",PR!$Z596,IF(F598="GREENLIFE",PR!$AA596,IF(F598="HLINE",PR!$AB596,IF(F598="ROTECH",PR!$AC596,IF(F598="ISN",PR!$AD596,IF(F598="JAWA",PR!$AE596,IF(F598="LAYO",PR!$AF596,IF(F598="LEADWAY",PR!$AG596,IF(F598="LHV",PR!$AH596,IF(F598="MANOLA",PR!$AI596,IF(F598="MARCSON",PR!$AJ596,IF(F598="M&amp;B",PR!$AK596,IF(F598="MTRUST",PR!$AL596,IF(F598="MWORLD",PR!$AM596,IF(F598="MEGA",PR!$AN596,IF(F598="MICRONOVA",PR!$AO596,IF(F598="MFLASH",PR!$AP596,IF(F598="MORISON",PR!$AQ596,IF(F598="NEMEL",PR!$AR596,IF(F598="NHP",PR!$AS596,IF(F598="NHC",PR!$AT596,IF(F598="OLEAF",PR!$AU596,IF(F598="OCULUS",PR!$AV596,IF(F598="PACIFIC",PR!$AW596,IF(F598="PHAMATEX",PR!$AX596,IF(F598="PETHICS",PR!$AY596,IF(F598="PHILIPS",PR!$AZ596,IF(F598="RANBAXY",PR!$BA596,IF(F598="REALS",PR!$BB596,IF(F598="ROYAL",PR!$BC596,IF(F598="SAM",PR!$BD596,IF(F598="SEAGREEN",PR!$BE596,IF(F598="SKG",PR!$BF596,IF(F598="TAH",PR!$BG596,IF(F598="TAYLEK",PR!$BH596,IF(F598="TEMITA",PR!$BI596,IF(F598="THL",PR!$BJ596,IF(F598="UBASTIC",PR!$BK596,IF(F598="UNION",PR!$BL596,IF(F598="UNIQUE",PR!$BM596,IF(F598="VIXA",PR!$BN596,IF(F598="WWCV",PR!$BO596,IF(F598="ZOLON",PR!$BP596,"-"))))))))))))))))))))))))))))))))))))))))))))))))))))))))))))))))</f>
        <v>-</v>
      </c>
      <c r="F598" s="102"/>
      <c r="G598" s="108" t="str">
        <f>IF(H598="ALPHA",PR!$E596,IF(H598="ASSENE",PR!$F596,IF(H598="BIOFEM",PR!$G596,IF(H598="BIOMED",PR!$H596,IF(H598="CHI",PR!$I596,IF(H598="CLARION",PR!$J596,IF(H598="CODIX",PR!$K596,IF(H598="COSMADE",PR!$L596,IF(H598="SANCON",PR!$M596,IF(H598="DEVON",PR!$N596,IF(H598="DORTEMAG",PR!$O596,IF(H598="DGF",PR!$P596,IF(H598="DYNAMIC",PR!$Q596,IF(H598="EMZOR",PR!$R596,IF(H598="EUMATT",PR!$S596,IF(H598="FIDSON",PR!$T596,IF(H598="FCGLOBAL",PR!$U596,IF(H598="GENEITH",PR!$V596,IF(H598="GINOS",PR!$W596,IF(H598="GSK",PR!$X596,IF(H598="GLOBORG",PR!$Y596,IF(H598="GOODNEWS",PR!$Z596,IF(H598="GREENLIFE",PR!$AA596,IF(H598="HLINE",PR!$AB596,IF(H598="ROTECH",PR!$AC596,IF(H598="ISN",PR!$AD596,IF(H598="JAWA",PR!$AE596,IF(H598="LAYO",PR!$AF596,IF(H598="LEADWAY",PR!$AG596,IF(H598="LHV",PR!$AH596,IF(H598="MANOLA",PR!$AI596,IF(H598="MARCSON",PR!$AJ596,IF(H598="M&amp;B",PR!$AK596,IF(H598="MTRUST",PR!$AL596,IF(H598="MWORLD",PR!$AM596,IF(H598="MEGA",PR!$AN596,IF(H598="MICRONOVA",PR!$AO596,IF(H598="MFLASH",PR!$AP596,IF(H598="MORISON",PR!$AQ596,IF(H598="NEMEL",PR!$AR596,IF(H598="NHP",PR!$AS596,IF(H598="NHC",PR!$AT596,IF(H598="OLEAF",PR!$AU596,IF(H598="OCULUS",PR!$AV596,IF(H598="PACIFIC",PR!$AW596,IF(H598="PHAMATEX",PR!$AX596,IF(H598="PETHICS",PR!$AY596,IF(H598="PHILIPS",PR!$AZ596,IF(H598="RANBAXY",PR!$BA596,IF(H598="REALS",PR!$BB596,IF(H598="ROYAL",PR!$BC596,IF(H598="SAM",PR!$BD596,IF(H598="SEAGREEN",PR!$BE596,IF(H598="SKG",PR!$BF596,IF(H598="TAH",PR!$BG596,IF(H598="TAYLEK",PR!$BH596,IF(H598="TEMITA",PR!$BI596,IF(H598="THL",PR!$BJ596,IF(H598="UBASTIC",PR!$BK596,IF(H598="UNION",PR!$BL596,IF(H598="UNIQUE",PR!$BM596,IF(H598="VIXA",PR!$BN596,IF(H598="WWCV",PR!$BO596,IF(H598="ZOLON",PR!$BP596,"-"))))))))))))))))))))))))))))))))))))))))))))))))))))))))))))))))</f>
        <v>-</v>
      </c>
      <c r="H598" s="102"/>
      <c r="I598" s="108" t="str">
        <f>IF(J598="ALPHA",PR!$E596,IF(J598="ASSENE",PR!$F596,IF(J598="BIOFEM",PR!$G596,IF(J598="BIOMED",PR!$H596,IF(J598="CHI",PR!$I596,IF(J598="CLARION",PR!$J596,IF(J598="CODIX",PR!$K596,IF(J598="COSMADE",PR!$L596,IF(J598="SANCON",PR!$M596,IF(J598="DEVON",PR!$N596,IF(J598="DORTEMAG",PR!$O596,IF(J598="DGF",PR!$P596,IF(J598="DYNAMIC",PR!$Q596,IF(J598="EMZOR",PR!$R596,IF(J598="EUMATT",PR!$S596,IF(J598="FIDSON",PR!$T596,IF(J598="FCGLOBAL",PR!$U596,IF(J598="GENEITH",PR!$V596,IF(J598="GINOS",PR!$W596,IF(J598="GSK",PR!$X596,IF(J598="GLOBORG",PR!$Y596,IF(J598="GOODNEWS",PR!$Z596,IF(J598="GREENLIFE",PR!$AA596,IF(J598="HLINE",PR!$AB596,IF(J598="ROTECH",PR!$AC596,IF(J598="ISN",PR!$AD596,IF(J598="JAWA",PR!$AE596,IF(J598="LAYO",PR!$AF596,IF(J598="LEADWAY",PR!$AG596,IF(J598="LHV",PR!$AH596,IF(J598="MANOLA",PR!$AI596,IF(J598="MARCSON",PR!$AJ596,IF(J598="M&amp;B",PR!$AK596,IF(J598="MTRUST",PR!$AL596,IF(J598="MWORLD",PR!$AM596,IF(J598="MEGA",PR!$AN596,IF(J598="MICRONOVA",PR!$AO596,IF(J598="MFLASH",PR!$AP596,IF(J598="MORISON",PR!$AQ596,IF(J598="NEMEL",PR!$AR596,IF(J598="NHP",PR!$AS596,IF(J598="NHC",PR!$AT596,IF(J598="OLEAF",PR!$AU596,IF(J598="OCULUS",PR!$AV596,IF(J598="PACIFIC",PR!$AW596,IF(J598="PHAMATEX",PR!$AX596,IF(J598="PETHICS",PR!$AY596,IF(J598="PHILIPS",PR!$AZ596,IF(J598="RANBAXY",PR!$BA596,IF(J598="REALS",PR!$BB596,IF(J598="ROYAL",PR!$BC596,IF(J598="SAM",PR!$BD596,IF(J598="SEAGREEN",PR!$BE596,IF(J598="SKG",PR!$BF596,IF(J598="TAH",PR!$BG596,IF(J598="TAYLEK",PR!$BH596,IF(J598="TEMITA",PR!$BI596,IF(J598="THL",PR!$BJ596,IF(J598="UBASTIC",PR!$BK596,IF(J598="UNION",PR!$BL596,IF(J598="UNIQUE",PR!$BM596,IF(J598="VIXA",PR!$BN596,IF(J598="WWCV",PR!$BO596,IF(J598="ZOLON",PR!$BP596,"-"))))))))))))))))))))))))))))))))))))))))))))))))))))))))))))))))</f>
        <v>-</v>
      </c>
      <c r="J598" s="102"/>
      <c r="K598" s="433"/>
      <c r="L598" s="183" t="b">
        <f>IF(K598&gt;0,IF(K598="ALPHA",PR!$E596,IF(K598="ASSENE",PR!$F596,IF(K598="BIOFEM",PR!$G596,IF(K598="BIOMED",PR!$H596,IF(K598="CHI",PR!$I596,IF(K598="CLARION",PR!$J596,IF(K598="CODIX",PR!$K596,IF(K598="COSMADE",PR!$L596,IF(K598="SANCON",PR!$M596,IF(K598="DEVON",PR!$N596,IF(K598="DORTEMAG",PR!$O596,IF(K598="DGF",PR!$P596,IF(K598="DYNAMIC",PR!$Q596,IF(K598="EMZOR",PR!$R596,IF(K598="EUMATT",PR!$S596,IF(K598="FIDSON",PR!$T596,IF(K598="FCGLOBAL",PR!$U596,IF(K598="GENEITH",PR!$V596,IF(K598="GINOS",PR!$W596,IF(K598="GSK",PR!$X596,IF(K598="GLOBORG",PR!$Y596,IF(K598="GOODNEWS",PR!$Z596,IF(K598="GREENLIFE",PR!$AA596,IF(K598="HLINE",PR!$AB596,IF(K598="ROTECH",PR!$AC596,IF(K598="ISN",PR!$AD596,IF(K598="JAWA",PR!$AE596,IF(K598="LAYO",PR!$AF596,IF(K598="LEADWAY",PR!$AG596,IF(K598="LHV",PR!$AH596,IF(K598="MANOLA",PR!$AI596,IF(K598="MARCSON",PR!$AJ596,IF(K598="M&amp;B",PR!$AK596,IF(K598="MTRUST",PR!$AL596,IF(K598="MWORLD",PR!$AM596,IF(K598="MEGA",PR!$AN596,IF(K598="MICRONOVA",PR!$AO596,IF(K598="MFLASH",PR!$AP596,IF(K598="MORISON",PR!$AQ596,IF(K598="NEMEL",PR!$AR596,IF(K598="NHP",PR!$AS596,IF(K598="NHC",PR!$AT596,IF(K598="OLEAF",PR!$AU596,IF(K598="OCULUS",PR!$AV596,IF(K598="PACIFIC",PR!$AW596,IF(K598="PHAMATEX",PR!$AX596,IF(K598="PETHICS",PR!$AY596,IF(K598="PHILIPS",PR!$AZ596,IF(K598="RANBAXY",PR!$BA596,IF(K598="REALS",PR!$BB596,IF(K598="ROYAL",PR!$BC596,IF(K598="SAM",PR!$BD596,IF(K598="SEAGREEN",PR!$BE596,IF(K598="SKG",PR!$BF596,IF(K598="TAH",PR!$BG596,IF(K598="TAYLEK",PR!$BH596,IF(K598="TEMITA",PR!$BI596,IF(K598="THL",PR!$BJ596,IF(K598="UBASTIC",PR!$BK596,IF(K598="UNION",PR!$BL596,IF(K598="UNIQUE",PR!$BM596,IF(K598="VIXA",PR!$BN596,IF(K598="WWCV",PR!$BO596,IF(K598="ZOLON",PR!$BP596,"-")))))))))))))))))))))))))))))))))))))))))))))))))))))))))))))))))</f>
        <v>0</v>
      </c>
    </row>
    <row r="599" spans="1:12" ht="18.75" x14ac:dyDescent="0.3">
      <c r="A599" s="430">
        <f>PR!A597</f>
        <v>539</v>
      </c>
      <c r="B599" s="15" t="str">
        <f>PR!B597</f>
        <v>5-FLUOROURACIL INJ</v>
      </c>
      <c r="C599" s="113" t="str">
        <f>PR!D597</f>
        <v>AMP</v>
      </c>
      <c r="D599" s="113">
        <f>PR!C597</f>
        <v>5</v>
      </c>
      <c r="E599" s="108">
        <f>IF(F599="ALPHA",PR!$E597,IF(F599="ASSENE",PR!$F597,IF(F599="BIOFEM",PR!$G597,IF(F599="BIOMED",PR!$H597,IF(F599="CHI",PR!$I597,IF(F599="CLARION",PR!$J597,IF(F599="CODIX",PR!$K597,IF(F599="COSMADE",PR!$L597,IF(F599="SANCON",PR!$M597,IF(F599="DEVON",PR!$N597,IF(F599="DORTEMAG",PR!$O597,IF(F599="DGF",PR!$P597,IF(F599="DYNAMIC",PR!$Q597,IF(F599="EMZOR",PR!$R597,IF(F599="EUMATT",PR!$S597,IF(F599="FIDSON",PR!$T597,IF(F599="FCGLOBAL",PR!$U597,IF(F599="GENEITH",PR!$V597,IF(F599="GINOS",PR!$W597,IF(F599="GSK",PR!$X597,IF(F599="GLOBORG",PR!$Y597,IF(F599="GOODNEWS",PR!$Z597,IF(F599="GREENLIFE",PR!$AA597,IF(F599="HLINE",PR!$AB597,IF(F599="ROTECH",PR!$AC597,IF(F599="ISN",PR!$AD597,IF(F599="JAWA",PR!$AE597,IF(F599="LAYO",PR!$AF597,IF(F599="LEADWAY",PR!$AG597,IF(F599="LHV",PR!$AH597,IF(F599="MANOLA",PR!$AI597,IF(F599="MARCSON",PR!$AJ597,IF(F599="M&amp;B",PR!$AK597,IF(F599="MTRUST",PR!$AL597,IF(F599="MWORLD",PR!$AM597,IF(F599="MEGA",PR!$AN597,IF(F599="MICRONOVA",PR!$AO597,IF(F599="MFLASH",PR!$AP597,IF(F599="MORISON",PR!$AQ597,IF(F599="NEMEL",PR!$AR597,IF(F599="NHP",PR!$AS597,IF(F599="NHC",PR!$AT597,IF(F599="OLEAF",PR!$AU597,IF(F599="OCULUS",PR!$AV597,IF(F599="PACIFIC",PR!$AW597,IF(F599="PHAMATEX",PR!$AX597,IF(F599="PETHICS",PR!$AY597,IF(F599="PHILIPS",PR!$AZ597,IF(F599="RANBAXY",PR!$BA597,IF(F599="REALS",PR!$BB597,IF(F599="ROYAL",PR!$BC597,IF(F599="SAM",PR!$BD597,IF(F599="SEAGREEN",PR!$BE597,IF(F599="SKG",PR!$BF597,IF(F599="TAH",PR!$BG597,IF(F599="TAYLEK",PR!$BH597,IF(F599="TEMITA",PR!$BI597,IF(F599="THL",PR!$BJ597,IF(F599="UBASTIC",PR!$BK597,IF(F599="UNION",PR!$BL597,IF(F599="UNIQUE",PR!$BM597,IF(F599="VIXA",PR!$BN597,IF(F599="WWCV",PR!$BO597,IF(F599="ZOLON",PR!$BP597,"-"))))))))))))))))))))))))))))))))))))))))))))))))))))))))))))))))</f>
        <v>512</v>
      </c>
      <c r="F599" s="102" t="str">
        <f>EV!L748</f>
        <v>MANOLA</v>
      </c>
      <c r="G599" s="108" t="str">
        <f>IF(H599="ALPHA",PR!$E597,IF(H599="ASSENE",PR!$F597,IF(H599="BIOFEM",PR!$G597,IF(H599="BIOMED",PR!$H597,IF(H599="CHI",PR!$I597,IF(H599="CLARION",PR!$J597,IF(H599="CODIX",PR!$K597,IF(H599="COSMADE",PR!$L597,IF(H599="SANCON",PR!$M597,IF(H599="DEVON",PR!$N597,IF(H599="DORTEMAG",PR!$O597,IF(H599="DGF",PR!$P597,IF(H599="DYNAMIC",PR!$Q597,IF(H599="EMZOR",PR!$R597,IF(H599="EUMATT",PR!$S597,IF(H599="FIDSON",PR!$T597,IF(H599="FCGLOBAL",PR!$U597,IF(H599="GENEITH",PR!$V597,IF(H599="GINOS",PR!$W597,IF(H599="GSK",PR!$X597,IF(H599="GLOBORG",PR!$Y597,IF(H599="GOODNEWS",PR!$Z597,IF(H599="GREENLIFE",PR!$AA597,IF(H599="HLINE",PR!$AB597,IF(H599="ROTECH",PR!$AC597,IF(H599="ISN",PR!$AD597,IF(H599="JAWA",PR!$AE597,IF(H599="LAYO",PR!$AF597,IF(H599="LEADWAY",PR!$AG597,IF(H599="LHV",PR!$AH597,IF(H599="MANOLA",PR!$AI597,IF(H599="MARCSON",PR!$AJ597,IF(H599="M&amp;B",PR!$AK597,IF(H599="MTRUST",PR!$AL597,IF(H599="MWORLD",PR!$AM597,IF(H599="MEGA",PR!$AN597,IF(H599="MICRONOVA",PR!$AO597,IF(H599="MFLASH",PR!$AP597,IF(H599="MORISON",PR!$AQ597,IF(H599="NEMEL",PR!$AR597,IF(H599="NHP",PR!$AS597,IF(H599="NHC",PR!$AT597,IF(H599="OLEAF",PR!$AU597,IF(H599="OCULUS",PR!$AV597,IF(H599="PACIFIC",PR!$AW597,IF(H599="PHAMATEX",PR!$AX597,IF(H599="PETHICS",PR!$AY597,IF(H599="PHILIPS",PR!$AZ597,IF(H599="RANBAXY",PR!$BA597,IF(H599="REALS",PR!$BB597,IF(H599="ROYAL",PR!$BC597,IF(H599="SAM",PR!$BD597,IF(H599="SEAGREEN",PR!$BE597,IF(H599="SKG",PR!$BF597,IF(H599="TAH",PR!$BG597,IF(H599="TAYLEK",PR!$BH597,IF(H599="TEMITA",PR!$BI597,IF(H599="THL",PR!$BJ597,IF(H599="UBASTIC",PR!$BK597,IF(H599="UNION",PR!$BL597,IF(H599="UNIQUE",PR!$BM597,IF(H599="VIXA",PR!$BN597,IF(H599="WWCV",PR!$BO597,IF(H599="ZOLON",PR!$BP597,"-"))))))))))))))))))))))))))))))))))))))))))))))))))))))))))))))))</f>
        <v>-</v>
      </c>
      <c r="H599" s="102">
        <f>EV!M748</f>
        <v>0</v>
      </c>
      <c r="I599" s="108" t="str">
        <f>IF(J599="ALPHA",PR!$E597,IF(J599="ASSENE",PR!$F597,IF(J599="BIOFEM",PR!$G597,IF(J599="BIOMED",PR!$H597,IF(J599="CHI",PR!$I597,IF(J599="CLARION",PR!$J597,IF(J599="CODIX",PR!$K597,IF(J599="COSMADE",PR!$L597,IF(J599="SANCON",PR!$M597,IF(J599="DEVON",PR!$N597,IF(J599="DORTEMAG",PR!$O597,IF(J599="DGF",PR!$P597,IF(J599="DYNAMIC",PR!$Q597,IF(J599="EMZOR",PR!$R597,IF(J599="EUMATT",PR!$S597,IF(J599="FIDSON",PR!$T597,IF(J599="FCGLOBAL",PR!$U597,IF(J599="GENEITH",PR!$V597,IF(J599="GINOS",PR!$W597,IF(J599="GSK",PR!$X597,IF(J599="GLOBORG",PR!$Y597,IF(J599="GOODNEWS",PR!$Z597,IF(J599="GREENLIFE",PR!$AA597,IF(J599="HLINE",PR!$AB597,IF(J599="ROTECH",PR!$AC597,IF(J599="ISN",PR!$AD597,IF(J599="JAWA",PR!$AE597,IF(J599="LAYO",PR!$AF597,IF(J599="LEADWAY",PR!$AG597,IF(J599="LHV",PR!$AH597,IF(J599="MANOLA",PR!$AI597,IF(J599="MARCSON",PR!$AJ597,IF(J599="M&amp;B",PR!$AK597,IF(J599="MTRUST",PR!$AL597,IF(J599="MWORLD",PR!$AM597,IF(J599="MEGA",PR!$AN597,IF(J599="MICRONOVA",PR!$AO597,IF(J599="MFLASH",PR!$AP597,IF(J599="MORISON",PR!$AQ597,IF(J599="NEMEL",PR!$AR597,IF(J599="NHP",PR!$AS597,IF(J599="NHC",PR!$AT597,IF(J599="OLEAF",PR!$AU597,IF(J599="OCULUS",PR!$AV597,IF(J599="PACIFIC",PR!$AW597,IF(J599="PHAMATEX",PR!$AX597,IF(J599="PETHICS",PR!$AY597,IF(J599="PHILIPS",PR!$AZ597,IF(J599="RANBAXY",PR!$BA597,IF(J599="REALS",PR!$BB597,IF(J599="ROYAL",PR!$BC597,IF(J599="SAM",PR!$BD597,IF(J599="SEAGREEN",PR!$BE597,IF(J599="SKG",PR!$BF597,IF(J599="TAH",PR!$BG597,IF(J599="TAYLEK",PR!$BH597,IF(J599="TEMITA",PR!$BI597,IF(J599="THL",PR!$BJ597,IF(J599="UBASTIC",PR!$BK597,IF(J599="UNION",PR!$BL597,IF(J599="UNIQUE",PR!$BM597,IF(J599="VIXA",PR!$BN597,IF(J599="WWCV",PR!$BO597,IF(J599="ZOLON",PR!$BP597,"-"))))))))))))))))))))))))))))))))))))))))))))))))))))))))))))))))</f>
        <v>-</v>
      </c>
      <c r="J599" s="102">
        <f>EV!N748</f>
        <v>0</v>
      </c>
      <c r="K599" s="433" t="s">
        <v>820</v>
      </c>
      <c r="L599" s="183">
        <f>IF(K599&gt;0,IF(K599="ALPHA",PR!$E597,IF(K599="ASSENE",PR!$F597,IF(K599="BIOFEM",PR!$G597,IF(K599="BIOMED",PR!$H597,IF(K599="CHI",PR!$I597,IF(K599="CLARION",PR!$J597,IF(K599="CODIX",PR!$K597,IF(K599="COSMADE",PR!$L597,IF(K599="SANCON",PR!$M597,IF(K599="DEVON",PR!$N597,IF(K599="DORTEMAG",PR!$O597,IF(K599="DGF",PR!$P597,IF(K599="DYNAMIC",PR!$Q597,IF(K599="EMZOR",PR!$R597,IF(K599="EUMATT",PR!$S597,IF(K599="FIDSON",PR!$T597,IF(K599="FCGLOBAL",PR!$U597,IF(K599="GENEITH",PR!$V597,IF(K599="GINOS",PR!$W597,IF(K599="GSK",PR!$X597,IF(K599="GLOBORG",PR!$Y597,IF(K599="GOODNEWS",PR!$Z597,IF(K599="GREENLIFE",PR!$AA597,IF(K599="HLINE",PR!$AB597,IF(K599="ROTECH",PR!$AC597,IF(K599="ISN",PR!$AD597,IF(K599="JAWA",PR!$AE597,IF(K599="LAYO",PR!$AF597,IF(K599="LEADWAY",PR!$AG597,IF(K599="LHV",PR!$AH597,IF(K599="MANOLA",PR!$AI597,IF(K599="MARCSON",PR!$AJ597,IF(K599="M&amp;B",PR!$AK597,IF(K599="MTRUST",PR!$AL597,IF(K599="MWORLD",PR!$AM597,IF(K599="MEGA",PR!$AN597,IF(K599="MICRONOVA",PR!$AO597,IF(K599="MFLASH",PR!$AP597,IF(K599="MORISON",PR!$AQ597,IF(K599="NEMEL",PR!$AR597,IF(K599="NHP",PR!$AS597,IF(K599="NHC",PR!$AT597,IF(K599="OLEAF",PR!$AU597,IF(K599="OCULUS",PR!$AV597,IF(K599="PACIFIC",PR!$AW597,IF(K599="PHAMATEX",PR!$AX597,IF(K599="PETHICS",PR!$AY597,IF(K599="PHILIPS",PR!$AZ597,IF(K599="RANBAXY",PR!$BA597,IF(K599="REALS",PR!$BB597,IF(K599="ROYAL",PR!$BC597,IF(K599="SAM",PR!$BD597,IF(K599="SEAGREEN",PR!$BE597,IF(K599="SKG",PR!$BF597,IF(K599="TAH",PR!$BG597,IF(K599="TAYLEK",PR!$BH597,IF(K599="TEMITA",PR!$BI597,IF(K599="THL",PR!$BJ597,IF(K599="UBASTIC",PR!$BK597,IF(K599="UNION",PR!$BL597,IF(K599="UNIQUE",PR!$BM597,IF(K599="VIXA",PR!$BN597,IF(K599="WWCV",PR!$BO597,IF(K599="ZOLON",PR!$BP597,"-")))))))))))))))))))))))))))))))))))))))))))))))))))))))))))))))))</f>
        <v>512</v>
      </c>
    </row>
    <row r="600" spans="1:12" ht="18.75" x14ac:dyDescent="0.3">
      <c r="A600" s="430">
        <f>PR!A598</f>
        <v>540</v>
      </c>
      <c r="B600" s="15" t="str">
        <f>PR!B598</f>
        <v>ANASTROZOLE 1MG TAB</v>
      </c>
      <c r="C600" s="113">
        <f>PR!D598</f>
        <v>30</v>
      </c>
      <c r="D600" s="113">
        <f>PR!C598</f>
        <v>11</v>
      </c>
      <c r="E600" s="108" t="str">
        <f>IF(F600="ALPHA",PR!$E598,IF(F600="ASSENE",PR!$F598,IF(F600="BIOFEM",PR!$G598,IF(F600="BIOMED",PR!$H598,IF(F600="CHI",PR!$I598,IF(F600="CLARION",PR!$J598,IF(F600="CODIX",PR!$K598,IF(F600="COSMADE",PR!$L598,IF(F600="SANCON",PR!$M598,IF(F600="DEVON",PR!$N598,IF(F600="DORTEMAG",PR!$O598,IF(F600="DGF",PR!$P598,IF(F600="DYNAMIC",PR!$Q598,IF(F600="EMZOR",PR!$R598,IF(F600="EUMATT",PR!$S598,IF(F600="FIDSON",PR!$T598,IF(F600="FCGLOBAL",PR!$U598,IF(F600="GENEITH",PR!$V598,IF(F600="GINOS",PR!$W598,IF(F600="GSK",PR!$X598,IF(F600="GLOBORG",PR!$Y598,IF(F600="GOODNEWS",PR!$Z598,IF(F600="GREENLIFE",PR!$AA598,IF(F600="HLINE",PR!$AB598,IF(F600="ROTECH",PR!$AC598,IF(F600="ISN",PR!$AD598,IF(F600="JAWA",PR!$AE598,IF(F600="LAYO",PR!$AF598,IF(F600="LEADWAY",PR!$AG598,IF(F600="LHV",PR!$AH598,IF(F600="MANOLA",PR!$AI598,IF(F600="MARCSON",PR!$AJ598,IF(F600="M&amp;B",PR!$AK598,IF(F600="MTRUST",PR!$AL598,IF(F600="MWORLD",PR!$AM598,IF(F600="MEGA",PR!$AN598,IF(F600="MICRONOVA",PR!$AO598,IF(F600="MFLASH",PR!$AP598,IF(F600="MORISON",PR!$AQ598,IF(F600="NEMEL",PR!$AR598,IF(F600="NHP",PR!$AS598,IF(F600="NHC",PR!$AT598,IF(F600="OLEAF",PR!$AU598,IF(F600="OCULUS",PR!$AV598,IF(F600="PACIFIC",PR!$AW598,IF(F600="PHAMATEX",PR!$AX598,IF(F600="PETHICS",PR!$AY598,IF(F600="PHILIPS",PR!$AZ598,IF(F600="RANBAXY",PR!$BA598,IF(F600="REALS",PR!$BB598,IF(F600="ROYAL",PR!$BC598,IF(F600="SAM",PR!$BD598,IF(F600="SEAGREEN",PR!$BE598,IF(F600="SKG",PR!$BF598,IF(F600="TAH",PR!$BG598,IF(F600="TAYLEK",PR!$BH598,IF(F600="TEMITA",PR!$BI598,IF(F600="THL",PR!$BJ598,IF(F600="UBASTIC",PR!$BK598,IF(F600="UNION",PR!$BL598,IF(F600="UNIQUE",PR!$BM598,IF(F600="VIXA",PR!$BN598,IF(F600="WWCV",PR!$BO598,IF(F600="ZOLON",PR!$BP598,"-"))))))))))))))))))))))))))))))))))))))))))))))))))))))))))))))))</f>
        <v>-</v>
      </c>
      <c r="F600" s="102">
        <f>EV!L749</f>
        <v>0</v>
      </c>
      <c r="G600" s="108" t="str">
        <f>IF(H600="ALPHA",PR!$E598,IF(H600="ASSENE",PR!$F598,IF(H600="BIOFEM",PR!$G598,IF(H600="BIOMED",PR!$H598,IF(H600="CHI",PR!$I598,IF(H600="CLARION",PR!$J598,IF(H600="CODIX",PR!$K598,IF(H600="COSMADE",PR!$L598,IF(H600="SANCON",PR!$M598,IF(H600="DEVON",PR!$N598,IF(H600="DORTEMAG",PR!$O598,IF(H600="DGF",PR!$P598,IF(H600="DYNAMIC",PR!$Q598,IF(H600="EMZOR",PR!$R598,IF(H600="EUMATT",PR!$S598,IF(H600="FIDSON",PR!$T598,IF(H600="FCGLOBAL",PR!$U598,IF(H600="GENEITH",PR!$V598,IF(H600="GINOS",PR!$W598,IF(H600="GSK",PR!$X598,IF(H600="GLOBORG",PR!$Y598,IF(H600="GOODNEWS",PR!$Z598,IF(H600="GREENLIFE",PR!$AA598,IF(H600="HLINE",PR!$AB598,IF(H600="ROTECH",PR!$AC598,IF(H600="ISN",PR!$AD598,IF(H600="JAWA",PR!$AE598,IF(H600="LAYO",PR!$AF598,IF(H600="LEADWAY",PR!$AG598,IF(H600="LHV",PR!$AH598,IF(H600="MANOLA",PR!$AI598,IF(H600="MARCSON",PR!$AJ598,IF(H600="M&amp;B",PR!$AK598,IF(H600="MTRUST",PR!$AL598,IF(H600="MWORLD",PR!$AM598,IF(H600="MEGA",PR!$AN598,IF(H600="MICRONOVA",PR!$AO598,IF(H600="MFLASH",PR!$AP598,IF(H600="MORISON",PR!$AQ598,IF(H600="NEMEL",PR!$AR598,IF(H600="NHP",PR!$AS598,IF(H600="NHC",PR!$AT598,IF(H600="OLEAF",PR!$AU598,IF(H600="OCULUS",PR!$AV598,IF(H600="PACIFIC",PR!$AW598,IF(H600="PHAMATEX",PR!$AX598,IF(H600="PETHICS",PR!$AY598,IF(H600="PHILIPS",PR!$AZ598,IF(H600="RANBAXY",PR!$BA598,IF(H600="REALS",PR!$BB598,IF(H600="ROYAL",PR!$BC598,IF(H600="SAM",PR!$BD598,IF(H600="SEAGREEN",PR!$BE598,IF(H600="SKG",PR!$BF598,IF(H600="TAH",PR!$BG598,IF(H600="TAYLEK",PR!$BH598,IF(H600="TEMITA",PR!$BI598,IF(H600="THL",PR!$BJ598,IF(H600="UBASTIC",PR!$BK598,IF(H600="UNION",PR!$BL598,IF(H600="UNIQUE",PR!$BM598,IF(H600="VIXA",PR!$BN598,IF(H600="WWCV",PR!$BO598,IF(H600="ZOLON",PR!$BP598,"-"))))))))))))))))))))))))))))))))))))))))))))))))))))))))))))))))</f>
        <v>-</v>
      </c>
      <c r="H600" s="102">
        <f>EV!M749</f>
        <v>0</v>
      </c>
      <c r="I600" s="108" t="str">
        <f>IF(J600="ALPHA",PR!$E598,IF(J600="ASSENE",PR!$F598,IF(J600="BIOFEM",PR!$G598,IF(J600="BIOMED",PR!$H598,IF(J600="CHI",PR!$I598,IF(J600="CLARION",PR!$J598,IF(J600="CODIX",PR!$K598,IF(J600="COSMADE",PR!$L598,IF(J600="SANCON",PR!$M598,IF(J600="DEVON",PR!$N598,IF(J600="DORTEMAG",PR!$O598,IF(J600="DGF",PR!$P598,IF(J600="DYNAMIC",PR!$Q598,IF(J600="EMZOR",PR!$R598,IF(J600="EUMATT",PR!$S598,IF(J600="FIDSON",PR!$T598,IF(J600="FCGLOBAL",PR!$U598,IF(J600="GENEITH",PR!$V598,IF(J600="GINOS",PR!$W598,IF(J600="GSK",PR!$X598,IF(J600="GLOBORG",PR!$Y598,IF(J600="GOODNEWS",PR!$Z598,IF(J600="GREENLIFE",PR!$AA598,IF(J600="HLINE",PR!$AB598,IF(J600="ROTECH",PR!$AC598,IF(J600="ISN",PR!$AD598,IF(J600="JAWA",PR!$AE598,IF(J600="LAYO",PR!$AF598,IF(J600="LEADWAY",PR!$AG598,IF(J600="LHV",PR!$AH598,IF(J600="MANOLA",PR!$AI598,IF(J600="MARCSON",PR!$AJ598,IF(J600="M&amp;B",PR!$AK598,IF(J600="MTRUST",PR!$AL598,IF(J600="MWORLD",PR!$AM598,IF(J600="MEGA",PR!$AN598,IF(J600="MICRONOVA",PR!$AO598,IF(J600="MFLASH",PR!$AP598,IF(J600="MORISON",PR!$AQ598,IF(J600="NEMEL",PR!$AR598,IF(J600="NHP",PR!$AS598,IF(J600="NHC",PR!$AT598,IF(J600="OLEAF",PR!$AU598,IF(J600="OCULUS",PR!$AV598,IF(J600="PACIFIC",PR!$AW598,IF(J600="PHAMATEX",PR!$AX598,IF(J600="PETHICS",PR!$AY598,IF(J600="PHILIPS",PR!$AZ598,IF(J600="RANBAXY",PR!$BA598,IF(J600="REALS",PR!$BB598,IF(J600="ROYAL",PR!$BC598,IF(J600="SAM",PR!$BD598,IF(J600="SEAGREEN",PR!$BE598,IF(J600="SKG",PR!$BF598,IF(J600="TAH",PR!$BG598,IF(J600="TAYLEK",PR!$BH598,IF(J600="TEMITA",PR!$BI598,IF(J600="THL",PR!$BJ598,IF(J600="UBASTIC",PR!$BK598,IF(J600="UNION",PR!$BL598,IF(J600="UNIQUE",PR!$BM598,IF(J600="VIXA",PR!$BN598,IF(J600="WWCV",PR!$BO598,IF(J600="ZOLON",PR!$BP598,"-"))))))))))))))))))))))))))))))))))))))))))))))))))))))))))))))))</f>
        <v>-</v>
      </c>
      <c r="J600" s="102">
        <f>EV!N749</f>
        <v>0</v>
      </c>
      <c r="K600" s="433"/>
      <c r="L600" s="183" t="b">
        <f>IF(K600&gt;0,IF(K600="ALPHA",PR!$E598,IF(K600="ASSENE",PR!$F598,IF(K600="BIOFEM",PR!$G598,IF(K600="BIOMED",PR!$H598,IF(K600="CHI",PR!$I598,IF(K600="CLARION",PR!$J598,IF(K600="CODIX",PR!$K598,IF(K600="COSMADE",PR!$L598,IF(K600="SANCON",PR!$M598,IF(K600="DEVON",PR!$N598,IF(K600="DORTEMAG",PR!$O598,IF(K600="DGF",PR!$P598,IF(K600="DYNAMIC",PR!$Q598,IF(K600="EMZOR",PR!$R598,IF(K600="EUMATT",PR!$S598,IF(K600="FIDSON",PR!$T598,IF(K600="FCGLOBAL",PR!$U598,IF(K600="GENEITH",PR!$V598,IF(K600="GINOS",PR!$W598,IF(K600="GSK",PR!$X598,IF(K600="GLOBORG",PR!$Y598,IF(K600="GOODNEWS",PR!$Z598,IF(K600="GREENLIFE",PR!$AA598,IF(K600="HLINE",PR!$AB598,IF(K600="ROTECH",PR!$AC598,IF(K600="ISN",PR!$AD598,IF(K600="JAWA",PR!$AE598,IF(K600="LAYO",PR!$AF598,IF(K600="LEADWAY",PR!$AG598,IF(K600="LHV",PR!$AH598,IF(K600="MANOLA",PR!$AI598,IF(K600="MARCSON",PR!$AJ598,IF(K600="M&amp;B",PR!$AK598,IF(K600="MTRUST",PR!$AL598,IF(K600="MWORLD",PR!$AM598,IF(K600="MEGA",PR!$AN598,IF(K600="MICRONOVA",PR!$AO598,IF(K600="MFLASH",PR!$AP598,IF(K600="MORISON",PR!$AQ598,IF(K600="NEMEL",PR!$AR598,IF(K600="NHP",PR!$AS598,IF(K600="NHC",PR!$AT598,IF(K600="OLEAF",PR!$AU598,IF(K600="OCULUS",PR!$AV598,IF(K600="PACIFIC",PR!$AW598,IF(K600="PHAMATEX",PR!$AX598,IF(K600="PETHICS",PR!$AY598,IF(K600="PHILIPS",PR!$AZ598,IF(K600="RANBAXY",PR!$BA598,IF(K600="REALS",PR!$BB598,IF(K600="ROYAL",PR!$BC598,IF(K600="SAM",PR!$BD598,IF(K600="SEAGREEN",PR!$BE598,IF(K600="SKG",PR!$BF598,IF(K600="TAH",PR!$BG598,IF(K600="TAYLEK",PR!$BH598,IF(K600="TEMITA",PR!$BI598,IF(K600="THL",PR!$BJ598,IF(K600="UBASTIC",PR!$BK598,IF(K600="UNION",PR!$BL598,IF(K600="UNIQUE",PR!$BM598,IF(K600="VIXA",PR!$BN598,IF(K600="WWCV",PR!$BO598,IF(K600="ZOLON",PR!$BP598,"-")))))))))))))))))))))))))))))))))))))))))))))))))))))))))))))))))</f>
        <v>0</v>
      </c>
    </row>
    <row r="601" spans="1:12" ht="18.75" x14ac:dyDescent="0.3">
      <c r="A601" s="430">
        <f>PR!A599</f>
        <v>541</v>
      </c>
      <c r="B601" s="15" t="str">
        <f>PR!B599</f>
        <v>BLEOMYCIN SULPHATE INJ (15 UNITS)</v>
      </c>
      <c r="C601" s="113">
        <f>PR!D599</f>
        <v>10</v>
      </c>
      <c r="D601" s="113">
        <f>PR!C599</f>
        <v>5</v>
      </c>
      <c r="E601" s="108">
        <f>IF(F601="ALPHA",PR!$E599,IF(F601="ASSENE",PR!$F599,IF(F601="BIOFEM",PR!$G599,IF(F601="BIOMED",PR!$H599,IF(F601="CHI",PR!$I599,IF(F601="CLARION",PR!$J599,IF(F601="CODIX",PR!$K599,IF(F601="COSMADE",PR!$L599,IF(F601="SANCON",PR!$M599,IF(F601="DEVON",PR!$N599,IF(F601="DORTEMAG",PR!$O599,IF(F601="DGF",PR!$P599,IF(F601="DYNAMIC",PR!$Q599,IF(F601="EMZOR",PR!$R599,IF(F601="EUMATT",PR!$S599,IF(F601="FIDSON",PR!$T599,IF(F601="FCGLOBAL",PR!$U599,IF(F601="GENEITH",PR!$V599,IF(F601="GINOS",PR!$W599,IF(F601="GSK",PR!$X599,IF(F601="GLOBORG",PR!$Y599,IF(F601="GOODNEWS",PR!$Z599,IF(F601="GREENLIFE",PR!$AA599,IF(F601="HLINE",PR!$AB599,IF(F601="ROTECH",PR!$AC599,IF(F601="ISN",PR!$AD599,IF(F601="JAWA",PR!$AE599,IF(F601="LAYO",PR!$AF599,IF(F601="LEADWAY",PR!$AG599,IF(F601="LHV",PR!$AH599,IF(F601="MANOLA",PR!$AI599,IF(F601="MARCSON",PR!$AJ599,IF(F601="M&amp;B",PR!$AK599,IF(F601="MTRUST",PR!$AL599,IF(F601="MWORLD",PR!$AM599,IF(F601="MEGA",PR!$AN599,IF(F601="MICRONOVA",PR!$AO599,IF(F601="MFLASH",PR!$AP599,IF(F601="MORISON",PR!$AQ599,IF(F601="NEMEL",PR!$AR599,IF(F601="NHP",PR!$AS599,IF(F601="NHC",PR!$AT599,IF(F601="OLEAF",PR!$AU599,IF(F601="OCULUS",PR!$AV599,IF(F601="PACIFIC",PR!$AW599,IF(F601="PHAMATEX",PR!$AX599,IF(F601="PETHICS",PR!$AY599,IF(F601="PHILIPS",PR!$AZ599,IF(F601="RANBAXY",PR!$BA599,IF(F601="REALS",PR!$BB599,IF(F601="ROYAL",PR!$BC599,IF(F601="SAM",PR!$BD599,IF(F601="SEAGREEN",PR!$BE599,IF(F601="SKG",PR!$BF599,IF(F601="TAH",PR!$BG599,IF(F601="TAYLEK",PR!$BH599,IF(F601="TEMITA",PR!$BI599,IF(F601="THL",PR!$BJ599,IF(F601="UBASTIC",PR!$BK599,IF(F601="UNION",PR!$BL599,IF(F601="UNIQUE",PR!$BM599,IF(F601="VIXA",PR!$BN599,IF(F601="WWCV",PR!$BO599,IF(F601="ZOLON",PR!$BP599,"-"))))))))))))))))))))))))))))))))))))))))))))))))))))))))))))))))</f>
        <v>6500</v>
      </c>
      <c r="F601" s="102" t="str">
        <f>EV!L775</f>
        <v>MANOLA</v>
      </c>
      <c r="G601" s="108" t="str">
        <f>IF(H601="ALPHA",PR!$E599,IF(H601="ASSENE",PR!$F599,IF(H601="BIOFEM",PR!$G599,IF(H601="BIOMED",PR!$H599,IF(H601="CHI",PR!$I599,IF(H601="CLARION",PR!$J599,IF(H601="CODIX",PR!$K599,IF(H601="COSMADE",PR!$L599,IF(H601="SANCON",PR!$M599,IF(H601="DEVON",PR!$N599,IF(H601="DORTEMAG",PR!$O599,IF(H601="DGF",PR!$P599,IF(H601="DYNAMIC",PR!$Q599,IF(H601="EMZOR",PR!$R599,IF(H601="EUMATT",PR!$S599,IF(H601="FIDSON",PR!$T599,IF(H601="FCGLOBAL",PR!$U599,IF(H601="GENEITH",PR!$V599,IF(H601="GINOS",PR!$W599,IF(H601="GSK",PR!$X599,IF(H601="GLOBORG",PR!$Y599,IF(H601="GOODNEWS",PR!$Z599,IF(H601="GREENLIFE",PR!$AA599,IF(H601="HLINE",PR!$AB599,IF(H601="ROTECH",PR!$AC599,IF(H601="ISN",PR!$AD599,IF(H601="JAWA",PR!$AE599,IF(H601="LAYO",PR!$AF599,IF(H601="LEADWAY",PR!$AG599,IF(H601="LHV",PR!$AH599,IF(H601="MANOLA",PR!$AI599,IF(H601="MARCSON",PR!$AJ599,IF(H601="M&amp;B",PR!$AK599,IF(H601="MTRUST",PR!$AL599,IF(H601="MWORLD",PR!$AM599,IF(H601="MEGA",PR!$AN599,IF(H601="MICRONOVA",PR!$AO599,IF(H601="MFLASH",PR!$AP599,IF(H601="MORISON",PR!$AQ599,IF(H601="NEMEL",PR!$AR599,IF(H601="NHP",PR!$AS599,IF(H601="NHC",PR!$AT599,IF(H601="OLEAF",PR!$AU599,IF(H601="OCULUS",PR!$AV599,IF(H601="PACIFIC",PR!$AW599,IF(H601="PHAMATEX",PR!$AX599,IF(H601="PETHICS",PR!$AY599,IF(H601="PHILIPS",PR!$AZ599,IF(H601="RANBAXY",PR!$BA599,IF(H601="REALS",PR!$BB599,IF(H601="ROYAL",PR!$BC599,IF(H601="SAM",PR!$BD599,IF(H601="SEAGREEN",PR!$BE599,IF(H601="SKG",PR!$BF599,IF(H601="TAH",PR!$BG599,IF(H601="TAYLEK",PR!$BH599,IF(H601="TEMITA",PR!$BI599,IF(H601="THL",PR!$BJ599,IF(H601="UBASTIC",PR!$BK599,IF(H601="UNION",PR!$BL599,IF(H601="UNIQUE",PR!$BM599,IF(H601="VIXA",PR!$BN599,IF(H601="WWCV",PR!$BO599,IF(H601="ZOLON",PR!$BP599,"-"))))))))))))))))))))))))))))))))))))))))))))))))))))))))))))))))</f>
        <v>-</v>
      </c>
      <c r="H601" s="102">
        <f>EV!M775</f>
        <v>0</v>
      </c>
      <c r="I601" s="108" t="str">
        <f>IF(J601="ALPHA",PR!$E599,IF(J601="ASSENE",PR!$F599,IF(J601="BIOFEM",PR!$G599,IF(J601="BIOMED",PR!$H599,IF(J601="CHI",PR!$I599,IF(J601="CLARION",PR!$J599,IF(J601="CODIX",PR!$K599,IF(J601="COSMADE",PR!$L599,IF(J601="SANCON",PR!$M599,IF(J601="DEVON",PR!$N599,IF(J601="DORTEMAG",PR!$O599,IF(J601="DGF",PR!$P599,IF(J601="DYNAMIC",PR!$Q599,IF(J601="EMZOR",PR!$R599,IF(J601="EUMATT",PR!$S599,IF(J601="FIDSON",PR!$T599,IF(J601="FCGLOBAL",PR!$U599,IF(J601="GENEITH",PR!$V599,IF(J601="GINOS",PR!$W599,IF(J601="GSK",PR!$X599,IF(J601="GLOBORG",PR!$Y599,IF(J601="GOODNEWS",PR!$Z599,IF(J601="GREENLIFE",PR!$AA599,IF(J601="HLINE",PR!$AB599,IF(J601="ROTECH",PR!$AC599,IF(J601="ISN",PR!$AD599,IF(J601="JAWA",PR!$AE599,IF(J601="LAYO",PR!$AF599,IF(J601="LEADWAY",PR!$AG599,IF(J601="LHV",PR!$AH599,IF(J601="MANOLA",PR!$AI599,IF(J601="MARCSON",PR!$AJ599,IF(J601="M&amp;B",PR!$AK599,IF(J601="MTRUST",PR!$AL599,IF(J601="MWORLD",PR!$AM599,IF(J601="MEGA",PR!$AN599,IF(J601="MICRONOVA",PR!$AO599,IF(J601="MFLASH",PR!$AP599,IF(J601="MORISON",PR!$AQ599,IF(J601="NEMEL",PR!$AR599,IF(J601="NHP",PR!$AS599,IF(J601="NHC",PR!$AT599,IF(J601="OLEAF",PR!$AU599,IF(J601="OCULUS",PR!$AV599,IF(J601="PACIFIC",PR!$AW599,IF(J601="PHAMATEX",PR!$AX599,IF(J601="PETHICS",PR!$AY599,IF(J601="PHILIPS",PR!$AZ599,IF(J601="RANBAXY",PR!$BA599,IF(J601="REALS",PR!$BB599,IF(J601="ROYAL",PR!$BC599,IF(J601="SAM",PR!$BD599,IF(J601="SEAGREEN",PR!$BE599,IF(J601="SKG",PR!$BF599,IF(J601="TAH",PR!$BG599,IF(J601="TAYLEK",PR!$BH599,IF(J601="TEMITA",PR!$BI599,IF(J601="THL",PR!$BJ599,IF(J601="UBASTIC",PR!$BK599,IF(J601="UNION",PR!$BL599,IF(J601="UNIQUE",PR!$BM599,IF(J601="VIXA",PR!$BN599,IF(J601="WWCV",PR!$BO599,IF(J601="ZOLON",PR!$BP599,"-"))))))))))))))))))))))))))))))))))))))))))))))))))))))))))))))))</f>
        <v>-</v>
      </c>
      <c r="J601" s="102">
        <f>EV!N775</f>
        <v>0</v>
      </c>
      <c r="K601" s="433" t="s">
        <v>820</v>
      </c>
      <c r="L601" s="183">
        <f>IF(K601&gt;0,IF(K601="ALPHA",PR!$E599,IF(K601="ASSENE",PR!$F599,IF(K601="BIOFEM",PR!$G599,IF(K601="BIOMED",PR!$H599,IF(K601="CHI",PR!$I599,IF(K601="CLARION",PR!$J599,IF(K601="CODIX",PR!$K599,IF(K601="COSMADE",PR!$L599,IF(K601="SANCON",PR!$M599,IF(K601="DEVON",PR!$N599,IF(K601="DORTEMAG",PR!$O599,IF(K601="DGF",PR!$P599,IF(K601="DYNAMIC",PR!$Q599,IF(K601="EMZOR",PR!$R599,IF(K601="EUMATT",PR!$S599,IF(K601="FIDSON",PR!$T599,IF(K601="FCGLOBAL",PR!$U599,IF(K601="GENEITH",PR!$V599,IF(K601="GINOS",PR!$W599,IF(K601="GSK",PR!$X599,IF(K601="GLOBORG",PR!$Y599,IF(K601="GOODNEWS",PR!$Z599,IF(K601="GREENLIFE",PR!$AA599,IF(K601="HLINE",PR!$AB599,IF(K601="ROTECH",PR!$AC599,IF(K601="ISN",PR!$AD599,IF(K601="JAWA",PR!$AE599,IF(K601="LAYO",PR!$AF599,IF(K601="LEADWAY",PR!$AG599,IF(K601="LHV",PR!$AH599,IF(K601="MANOLA",PR!$AI599,IF(K601="MARCSON",PR!$AJ599,IF(K601="M&amp;B",PR!$AK599,IF(K601="MTRUST",PR!$AL599,IF(K601="MWORLD",PR!$AM599,IF(K601="MEGA",PR!$AN599,IF(K601="MICRONOVA",PR!$AO599,IF(K601="MFLASH",PR!$AP599,IF(K601="MORISON",PR!$AQ599,IF(K601="NEMEL",PR!$AR599,IF(K601="NHP",PR!$AS599,IF(K601="NHC",PR!$AT599,IF(K601="OLEAF",PR!$AU599,IF(K601="OCULUS",PR!$AV599,IF(K601="PACIFIC",PR!$AW599,IF(K601="PHAMATEX",PR!$AX599,IF(K601="PETHICS",PR!$AY599,IF(K601="PHILIPS",PR!$AZ599,IF(K601="RANBAXY",PR!$BA599,IF(K601="REALS",PR!$BB599,IF(K601="ROYAL",PR!$BC599,IF(K601="SAM",PR!$BD599,IF(K601="SEAGREEN",PR!$BE599,IF(K601="SKG",PR!$BF599,IF(K601="TAH",PR!$BG599,IF(K601="TAYLEK",PR!$BH599,IF(K601="TEMITA",PR!$BI599,IF(K601="THL",PR!$BJ599,IF(K601="UBASTIC",PR!$BK599,IF(K601="UNION",PR!$BL599,IF(K601="UNIQUE",PR!$BM599,IF(K601="VIXA",PR!$BN599,IF(K601="WWCV",PR!$BO599,IF(K601="ZOLON",PR!$BP599,"-")))))))))))))))))))))))))))))))))))))))))))))))))))))))))))))))))</f>
        <v>6500</v>
      </c>
    </row>
    <row r="602" spans="1:12" ht="18.75" x14ac:dyDescent="0.3">
      <c r="A602" s="430">
        <f>PR!A600</f>
        <v>542</v>
      </c>
      <c r="B602" s="15" t="str">
        <f>PR!B600</f>
        <v>CAPECITABINE 150MG TAB</v>
      </c>
      <c r="C602" s="113">
        <f>PR!D600</f>
        <v>10</v>
      </c>
      <c r="D602" s="113">
        <f>PR!C600</f>
        <v>10</v>
      </c>
      <c r="E602" s="108">
        <f>IF(F602="ALPHA",PR!$E600,IF(F602="ASSENE",PR!$F600,IF(F602="BIOFEM",PR!$G600,IF(F602="BIOMED",PR!$H600,IF(F602="CHI",PR!$I600,IF(F602="CLARION",PR!$J600,IF(F602="CODIX",PR!$K600,IF(F602="COSMADE",PR!$L600,IF(F602="SANCON",PR!$M600,IF(F602="DEVON",PR!$N600,IF(F602="DORTEMAG",PR!$O600,IF(F602="DGF",PR!$P600,IF(F602="DYNAMIC",PR!$Q600,IF(F602="EMZOR",PR!$R600,IF(F602="EUMATT",PR!$S600,IF(F602="FIDSON",PR!$T600,IF(F602="FCGLOBAL",PR!$U600,IF(F602="GENEITH",PR!$V600,IF(F602="GINOS",PR!$W600,IF(F602="GSK",PR!$X600,IF(F602="GLOBORG",PR!$Y600,IF(F602="GOODNEWS",PR!$Z600,IF(F602="GREENLIFE",PR!$AA600,IF(F602="HLINE",PR!$AB600,IF(F602="ROTECH",PR!$AC600,IF(F602="ISN",PR!$AD600,IF(F602="JAWA",PR!$AE600,IF(F602="LAYO",PR!$AF600,IF(F602="LEADWAY",PR!$AG600,IF(F602="LHV",PR!$AH600,IF(F602="MANOLA",PR!$AI600,IF(F602="MARCSON",PR!$AJ600,IF(F602="M&amp;B",PR!$AK600,IF(F602="MTRUST",PR!$AL600,IF(F602="MWORLD",PR!$AM600,IF(F602="MEGA",PR!$AN600,IF(F602="MICRONOVA",PR!$AO600,IF(F602="MFLASH",PR!$AP600,IF(F602="MORISON",PR!$AQ600,IF(F602="NEMEL",PR!$AR600,IF(F602="NHP",PR!$AS600,IF(F602="NHC",PR!$AT600,IF(F602="OLEAF",PR!$AU600,IF(F602="OCULUS",PR!$AV600,IF(F602="PACIFIC",PR!$AW600,IF(F602="PHAMATEX",PR!$AX600,IF(F602="PETHICS",PR!$AY600,IF(F602="PHILIPS",PR!$AZ600,IF(F602="RANBAXY",PR!$BA600,IF(F602="REALS",PR!$BB600,IF(F602="ROYAL",PR!$BC600,IF(F602="SAM",PR!$BD600,IF(F602="SEAGREEN",PR!$BE600,IF(F602="SKG",PR!$BF600,IF(F602="TAH",PR!$BG600,IF(F602="TAYLEK",PR!$BH600,IF(F602="TEMITA",PR!$BI600,IF(F602="THL",PR!$BJ600,IF(F602="UBASTIC",PR!$BK600,IF(F602="UNION",PR!$BL600,IF(F602="UNIQUE",PR!$BM600,IF(F602="VIXA",PR!$BN600,IF(F602="WWCV",PR!$BO600,IF(F602="ZOLON",PR!$BP600,"-"))))))))))))))))))))))))))))))))))))))))))))))))))))))))))))))))</f>
        <v>50350</v>
      </c>
      <c r="F602" s="102" t="str">
        <f>EV!L776</f>
        <v>MANOLA</v>
      </c>
      <c r="G602" s="108" t="str">
        <f>IF(H602="ALPHA",PR!$E600,IF(H602="ASSENE",PR!$F600,IF(H602="BIOFEM",PR!$G600,IF(H602="BIOMED",PR!$H600,IF(H602="CHI",PR!$I600,IF(H602="CLARION",PR!$J600,IF(H602="CODIX",PR!$K600,IF(H602="COSMADE",PR!$L600,IF(H602="SANCON",PR!$M600,IF(H602="DEVON",PR!$N600,IF(H602="DORTEMAG",PR!$O600,IF(H602="DGF",PR!$P600,IF(H602="DYNAMIC",PR!$Q600,IF(H602="EMZOR",PR!$R600,IF(H602="EUMATT",PR!$S600,IF(H602="FIDSON",PR!$T600,IF(H602="FCGLOBAL",PR!$U600,IF(H602="GENEITH",PR!$V600,IF(H602="GINOS",PR!$W600,IF(H602="GSK",PR!$X600,IF(H602="GLOBORG",PR!$Y600,IF(H602="GOODNEWS",PR!$Z600,IF(H602="GREENLIFE",PR!$AA600,IF(H602="HLINE",PR!$AB600,IF(H602="ROTECH",PR!$AC600,IF(H602="ISN",PR!$AD600,IF(H602="JAWA",PR!$AE600,IF(H602="LAYO",PR!$AF600,IF(H602="LEADWAY",PR!$AG600,IF(H602="LHV",PR!$AH600,IF(H602="MANOLA",PR!$AI600,IF(H602="MARCSON",PR!$AJ600,IF(H602="M&amp;B",PR!$AK600,IF(H602="MTRUST",PR!$AL600,IF(H602="MWORLD",PR!$AM600,IF(H602="MEGA",PR!$AN600,IF(H602="MICRONOVA",PR!$AO600,IF(H602="MFLASH",PR!$AP600,IF(H602="MORISON",PR!$AQ600,IF(H602="NEMEL",PR!$AR600,IF(H602="NHP",PR!$AS600,IF(H602="NHC",PR!$AT600,IF(H602="OLEAF",PR!$AU600,IF(H602="OCULUS",PR!$AV600,IF(H602="PACIFIC",PR!$AW600,IF(H602="PHAMATEX",PR!$AX600,IF(H602="PETHICS",PR!$AY600,IF(H602="PHILIPS",PR!$AZ600,IF(H602="RANBAXY",PR!$BA600,IF(H602="REALS",PR!$BB600,IF(H602="ROYAL",PR!$BC600,IF(H602="SAM",PR!$BD600,IF(H602="SEAGREEN",PR!$BE600,IF(H602="SKG",PR!$BF600,IF(H602="TAH",PR!$BG600,IF(H602="TAYLEK",PR!$BH600,IF(H602="TEMITA",PR!$BI600,IF(H602="THL",PR!$BJ600,IF(H602="UBASTIC",PR!$BK600,IF(H602="UNION",PR!$BL600,IF(H602="UNIQUE",PR!$BM600,IF(H602="VIXA",PR!$BN600,IF(H602="WWCV",PR!$BO600,IF(H602="ZOLON",PR!$BP600,"-"))))))))))))))))))))))))))))))))))))))))))))))))))))))))))))))))</f>
        <v>-</v>
      </c>
      <c r="H602" s="102">
        <f>EV!M776</f>
        <v>0</v>
      </c>
      <c r="I602" s="108" t="str">
        <f>IF(J602="ALPHA",PR!$E600,IF(J602="ASSENE",PR!$F600,IF(J602="BIOFEM",PR!$G600,IF(J602="BIOMED",PR!$H600,IF(J602="CHI",PR!$I600,IF(J602="CLARION",PR!$J600,IF(J602="CODIX",PR!$K600,IF(J602="COSMADE",PR!$L600,IF(J602="SANCON",PR!$M600,IF(J602="DEVON",PR!$N600,IF(J602="DORTEMAG",PR!$O600,IF(J602="DGF",PR!$P600,IF(J602="DYNAMIC",PR!$Q600,IF(J602="EMZOR",PR!$R600,IF(J602="EUMATT",PR!$S600,IF(J602="FIDSON",PR!$T600,IF(J602="FCGLOBAL",PR!$U600,IF(J602="GENEITH",PR!$V600,IF(J602="GINOS",PR!$W600,IF(J602="GSK",PR!$X600,IF(J602="GLOBORG",PR!$Y600,IF(J602="GOODNEWS",PR!$Z600,IF(J602="GREENLIFE",PR!$AA600,IF(J602="HLINE",PR!$AB600,IF(J602="ROTECH",PR!$AC600,IF(J602="ISN",PR!$AD600,IF(J602="JAWA",PR!$AE600,IF(J602="LAYO",PR!$AF600,IF(J602="LEADWAY",PR!$AG600,IF(J602="LHV",PR!$AH600,IF(J602="MANOLA",PR!$AI600,IF(J602="MARCSON",PR!$AJ600,IF(J602="M&amp;B",PR!$AK600,IF(J602="MTRUST",PR!$AL600,IF(J602="MWORLD",PR!$AM600,IF(J602="MEGA",PR!$AN600,IF(J602="MICRONOVA",PR!$AO600,IF(J602="MFLASH",PR!$AP600,IF(J602="MORISON",PR!$AQ600,IF(J602="NEMEL",PR!$AR600,IF(J602="NHP",PR!$AS600,IF(J602="NHC",PR!$AT600,IF(J602="OLEAF",PR!$AU600,IF(J602="OCULUS",PR!$AV600,IF(J602="PACIFIC",PR!$AW600,IF(J602="PHAMATEX",PR!$AX600,IF(J602="PETHICS",PR!$AY600,IF(J602="PHILIPS",PR!$AZ600,IF(J602="RANBAXY",PR!$BA600,IF(J602="REALS",PR!$BB600,IF(J602="ROYAL",PR!$BC600,IF(J602="SAM",PR!$BD600,IF(J602="SEAGREEN",PR!$BE600,IF(J602="SKG",PR!$BF600,IF(J602="TAH",PR!$BG600,IF(J602="TAYLEK",PR!$BH600,IF(J602="TEMITA",PR!$BI600,IF(J602="THL",PR!$BJ600,IF(J602="UBASTIC",PR!$BK600,IF(J602="UNION",PR!$BL600,IF(J602="UNIQUE",PR!$BM600,IF(J602="VIXA",PR!$BN600,IF(J602="WWCV",PR!$BO600,IF(J602="ZOLON",PR!$BP600,"-"))))))))))))))))))))))))))))))))))))))))))))))))))))))))))))))))</f>
        <v>-</v>
      </c>
      <c r="J602" s="102">
        <f>EV!N776</f>
        <v>0</v>
      </c>
      <c r="K602" s="433" t="s">
        <v>820</v>
      </c>
      <c r="L602" s="183">
        <f>IF(K602&gt;0,IF(K602="ALPHA",PR!$E600,IF(K602="ASSENE",PR!$F600,IF(K602="BIOFEM",PR!$G600,IF(K602="BIOMED",PR!$H600,IF(K602="CHI",PR!$I600,IF(K602="CLARION",PR!$J600,IF(K602="CODIX",PR!$K600,IF(K602="COSMADE",PR!$L600,IF(K602="SANCON",PR!$M600,IF(K602="DEVON",PR!$N600,IF(K602="DORTEMAG",PR!$O600,IF(K602="DGF",PR!$P600,IF(K602="DYNAMIC",PR!$Q600,IF(K602="EMZOR",PR!$R600,IF(K602="EUMATT",PR!$S600,IF(K602="FIDSON",PR!$T600,IF(K602="FCGLOBAL",PR!$U600,IF(K602="GENEITH",PR!$V600,IF(K602="GINOS",PR!$W600,IF(K602="GSK",PR!$X600,IF(K602="GLOBORG",PR!$Y600,IF(K602="GOODNEWS",PR!$Z600,IF(K602="GREENLIFE",PR!$AA600,IF(K602="HLINE",PR!$AB600,IF(K602="ROTECH",PR!$AC600,IF(K602="ISN",PR!$AD600,IF(K602="JAWA",PR!$AE600,IF(K602="LAYO",PR!$AF600,IF(K602="LEADWAY",PR!$AG600,IF(K602="LHV",PR!$AH600,IF(K602="MANOLA",PR!$AI600,IF(K602="MARCSON",PR!$AJ600,IF(K602="M&amp;B",PR!$AK600,IF(K602="MTRUST",PR!$AL600,IF(K602="MWORLD",PR!$AM600,IF(K602="MEGA",PR!$AN600,IF(K602="MICRONOVA",PR!$AO600,IF(K602="MFLASH",PR!$AP600,IF(K602="MORISON",PR!$AQ600,IF(K602="NEMEL",PR!$AR600,IF(K602="NHP",PR!$AS600,IF(K602="NHC",PR!$AT600,IF(K602="OLEAF",PR!$AU600,IF(K602="OCULUS",PR!$AV600,IF(K602="PACIFIC",PR!$AW600,IF(K602="PHAMATEX",PR!$AX600,IF(K602="PETHICS",PR!$AY600,IF(K602="PHILIPS",PR!$AZ600,IF(K602="RANBAXY",PR!$BA600,IF(K602="REALS",PR!$BB600,IF(K602="ROYAL",PR!$BC600,IF(K602="SAM",PR!$BD600,IF(K602="SEAGREEN",PR!$BE600,IF(K602="SKG",PR!$BF600,IF(K602="TAH",PR!$BG600,IF(K602="TAYLEK",PR!$BH600,IF(K602="TEMITA",PR!$BI600,IF(K602="THL",PR!$BJ600,IF(K602="UBASTIC",PR!$BK600,IF(K602="UNION",PR!$BL600,IF(K602="UNIQUE",PR!$BM600,IF(K602="VIXA",PR!$BN600,IF(K602="WWCV",PR!$BO600,IF(K602="ZOLON",PR!$BP600,"-")))))))))))))))))))))))))))))))))))))))))))))))))))))))))))))))))</f>
        <v>50350</v>
      </c>
    </row>
    <row r="603" spans="1:12" ht="18.75" x14ac:dyDescent="0.3">
      <c r="A603" s="430">
        <f>PR!A601</f>
        <v>543</v>
      </c>
      <c r="B603" s="15" t="str">
        <f>PR!B601</f>
        <v>CARBOPLASTIN INJ</v>
      </c>
      <c r="C603" s="113" t="str">
        <f>PR!D601</f>
        <v>VIAL</v>
      </c>
      <c r="D603" s="113">
        <f>PR!C601</f>
        <v>26</v>
      </c>
      <c r="E603" s="108">
        <f>IF(F603="ALPHA",PR!$E601,IF(F603="ASSENE",PR!$F601,IF(F603="BIOFEM",PR!$G601,IF(F603="BIOMED",PR!$H601,IF(F603="CHI",PR!$I601,IF(F603="CLARION",PR!$J601,IF(F603="CODIX",PR!$K601,IF(F603="COSMADE",PR!$L601,IF(F603="SANCON",PR!$M601,IF(F603="DEVON",PR!$N601,IF(F603="DORTEMAG",PR!$O601,IF(F603="DGF",PR!$P601,IF(F603="DYNAMIC",PR!$Q601,IF(F603="EMZOR",PR!$R601,IF(F603="EUMATT",PR!$S601,IF(F603="FIDSON",PR!$T601,IF(F603="FCGLOBAL",PR!$U601,IF(F603="GENEITH",PR!$V601,IF(F603="GINOS",PR!$W601,IF(F603="GSK",PR!$X601,IF(F603="GLOBORG",PR!$Y601,IF(F603="GOODNEWS",PR!$Z601,IF(F603="GREENLIFE",PR!$AA601,IF(F603="HLINE",PR!$AB601,IF(F603="ROTECH",PR!$AC601,IF(F603="ISN",PR!$AD601,IF(F603="JAWA",PR!$AE601,IF(F603="LAYO",PR!$AF601,IF(F603="LEADWAY",PR!$AG601,IF(F603="LHV",PR!$AH601,IF(F603="MANOLA",PR!$AI601,IF(F603="MARCSON",PR!$AJ601,IF(F603="M&amp;B",PR!$AK601,IF(F603="MTRUST",PR!$AL601,IF(F603="MWORLD",PR!$AM601,IF(F603="MEGA",PR!$AN601,IF(F603="MICRONOVA",PR!$AO601,IF(F603="MFLASH",PR!$AP601,IF(F603="MORISON",PR!$AQ601,IF(F603="NEMEL",PR!$AR601,IF(F603="NHP",PR!$AS601,IF(F603="NHC",PR!$AT601,IF(F603="OLEAF",PR!$AU601,IF(F603="OCULUS",PR!$AV601,IF(F603="PACIFIC",PR!$AW601,IF(F603="PHAMATEX",PR!$AX601,IF(F603="PETHICS",PR!$AY601,IF(F603="PHILIPS",PR!$AZ601,IF(F603="RANBAXY",PR!$BA601,IF(F603="REALS",PR!$BB601,IF(F603="ROYAL",PR!$BC601,IF(F603="SAM",PR!$BD601,IF(F603="SEAGREEN",PR!$BE601,IF(F603="SKG",PR!$BF601,IF(F603="TAH",PR!$BG601,IF(F603="TAYLEK",PR!$BH601,IF(F603="TEMITA",PR!$BI601,IF(F603="THL",PR!$BJ601,IF(F603="UBASTIC",PR!$BK601,IF(F603="UNION",PR!$BL601,IF(F603="UNIQUE",PR!$BM601,IF(F603="VIXA",PR!$BN601,IF(F603="WWCV",PR!$BO601,IF(F603="ZOLON",PR!$BP601,"-"))))))))))))))))))))))))))))))))))))))))))))))))))))))))))))))))</f>
        <v>15282</v>
      </c>
      <c r="F603" s="102" t="str">
        <f>EV!L777</f>
        <v>MANOLA</v>
      </c>
      <c r="G603" s="108" t="str">
        <f>IF(H603="ALPHA",PR!$E601,IF(H603="ASSENE",PR!$F601,IF(H603="BIOFEM",PR!$G601,IF(H603="BIOMED",PR!$H601,IF(H603="CHI",PR!$I601,IF(H603="CLARION",PR!$J601,IF(H603="CODIX",PR!$K601,IF(H603="COSMADE",PR!$L601,IF(H603="SANCON",PR!$M601,IF(H603="DEVON",PR!$N601,IF(H603="DORTEMAG",PR!$O601,IF(H603="DGF",PR!$P601,IF(H603="DYNAMIC",PR!$Q601,IF(H603="EMZOR",PR!$R601,IF(H603="EUMATT",PR!$S601,IF(H603="FIDSON",PR!$T601,IF(H603="FCGLOBAL",PR!$U601,IF(H603="GENEITH",PR!$V601,IF(H603="GINOS",PR!$W601,IF(H603="GSK",PR!$X601,IF(H603="GLOBORG",PR!$Y601,IF(H603="GOODNEWS",PR!$Z601,IF(H603="GREENLIFE",PR!$AA601,IF(H603="HLINE",PR!$AB601,IF(H603="ROTECH",PR!$AC601,IF(H603="ISN",PR!$AD601,IF(H603="JAWA",PR!$AE601,IF(H603="LAYO",PR!$AF601,IF(H603="LEADWAY",PR!$AG601,IF(H603="LHV",PR!$AH601,IF(H603="MANOLA",PR!$AI601,IF(H603="MARCSON",PR!$AJ601,IF(H603="M&amp;B",PR!$AK601,IF(H603="MTRUST",PR!$AL601,IF(H603="MWORLD",PR!$AM601,IF(H603="MEGA",PR!$AN601,IF(H603="MICRONOVA",PR!$AO601,IF(H603="MFLASH",PR!$AP601,IF(H603="MORISON",PR!$AQ601,IF(H603="NEMEL",PR!$AR601,IF(H603="NHP",PR!$AS601,IF(H603="NHC",PR!$AT601,IF(H603="OLEAF",PR!$AU601,IF(H603="OCULUS",PR!$AV601,IF(H603="PACIFIC",PR!$AW601,IF(H603="PHAMATEX",PR!$AX601,IF(H603="PETHICS",PR!$AY601,IF(H603="PHILIPS",PR!$AZ601,IF(H603="RANBAXY",PR!$BA601,IF(H603="REALS",PR!$BB601,IF(H603="ROYAL",PR!$BC601,IF(H603="SAM",PR!$BD601,IF(H603="SEAGREEN",PR!$BE601,IF(H603="SKG",PR!$BF601,IF(H603="TAH",PR!$BG601,IF(H603="TAYLEK",PR!$BH601,IF(H603="TEMITA",PR!$BI601,IF(H603="THL",PR!$BJ601,IF(H603="UBASTIC",PR!$BK601,IF(H603="UNION",PR!$BL601,IF(H603="UNIQUE",PR!$BM601,IF(H603="VIXA",PR!$BN601,IF(H603="WWCV",PR!$BO601,IF(H603="ZOLON",PR!$BP601,"-"))))))))))))))))))))))))))))))))))))))))))))))))))))))))))))))))</f>
        <v>-</v>
      </c>
      <c r="H603" s="102">
        <f>EV!M777</f>
        <v>0</v>
      </c>
      <c r="I603" s="108" t="str">
        <f>IF(J603="ALPHA",PR!$E601,IF(J603="ASSENE",PR!$F601,IF(J603="BIOFEM",PR!$G601,IF(J603="BIOMED",PR!$H601,IF(J603="CHI",PR!$I601,IF(J603="CLARION",PR!$J601,IF(J603="CODIX",PR!$K601,IF(J603="COSMADE",PR!$L601,IF(J603="SANCON",PR!$M601,IF(J603="DEVON",PR!$N601,IF(J603="DORTEMAG",PR!$O601,IF(J603="DGF",PR!$P601,IF(J603="DYNAMIC",PR!$Q601,IF(J603="EMZOR",PR!$R601,IF(J603="EUMATT",PR!$S601,IF(J603="FIDSON",PR!$T601,IF(J603="FCGLOBAL",PR!$U601,IF(J603="GENEITH",PR!$V601,IF(J603="GINOS",PR!$W601,IF(J603="GSK",PR!$X601,IF(J603="GLOBORG",PR!$Y601,IF(J603="GOODNEWS",PR!$Z601,IF(J603="GREENLIFE",PR!$AA601,IF(J603="HLINE",PR!$AB601,IF(J603="ROTECH",PR!$AC601,IF(J603="ISN",PR!$AD601,IF(J603="JAWA",PR!$AE601,IF(J603="LAYO",PR!$AF601,IF(J603="LEADWAY",PR!$AG601,IF(J603="LHV",PR!$AH601,IF(J603="MANOLA",PR!$AI601,IF(J603="MARCSON",PR!$AJ601,IF(J603="M&amp;B",PR!$AK601,IF(J603="MTRUST",PR!$AL601,IF(J603="MWORLD",PR!$AM601,IF(J603="MEGA",PR!$AN601,IF(J603="MICRONOVA",PR!$AO601,IF(J603="MFLASH",PR!$AP601,IF(J603="MORISON",PR!$AQ601,IF(J603="NEMEL",PR!$AR601,IF(J603="NHP",PR!$AS601,IF(J603="NHC",PR!$AT601,IF(J603="OLEAF",PR!$AU601,IF(J603="OCULUS",PR!$AV601,IF(J603="PACIFIC",PR!$AW601,IF(J603="PHAMATEX",PR!$AX601,IF(J603="PETHICS",PR!$AY601,IF(J603="PHILIPS",PR!$AZ601,IF(J603="RANBAXY",PR!$BA601,IF(J603="REALS",PR!$BB601,IF(J603="ROYAL",PR!$BC601,IF(J603="SAM",PR!$BD601,IF(J603="SEAGREEN",PR!$BE601,IF(J603="SKG",PR!$BF601,IF(J603="TAH",PR!$BG601,IF(J603="TAYLEK",PR!$BH601,IF(J603="TEMITA",PR!$BI601,IF(J603="THL",PR!$BJ601,IF(J603="UBASTIC",PR!$BK601,IF(J603="UNION",PR!$BL601,IF(J603="UNIQUE",PR!$BM601,IF(J603="VIXA",PR!$BN601,IF(J603="WWCV",PR!$BO601,IF(J603="ZOLON",PR!$BP601,"-"))))))))))))))))))))))))))))))))))))))))))))))))))))))))))))))))</f>
        <v>-</v>
      </c>
      <c r="J603" s="102">
        <f>EV!N777</f>
        <v>0</v>
      </c>
      <c r="K603" s="433" t="s">
        <v>820</v>
      </c>
      <c r="L603" s="183">
        <f>IF(K603&gt;0,IF(K603="ALPHA",PR!$E601,IF(K603="ASSENE",PR!$F601,IF(K603="BIOFEM",PR!$G601,IF(K603="BIOMED",PR!$H601,IF(K603="CHI",PR!$I601,IF(K603="CLARION",PR!$J601,IF(K603="CODIX",PR!$K601,IF(K603="COSMADE",PR!$L601,IF(K603="SANCON",PR!$M601,IF(K603="DEVON",PR!$N601,IF(K603="DORTEMAG",PR!$O601,IF(K603="DGF",PR!$P601,IF(K603="DYNAMIC",PR!$Q601,IF(K603="EMZOR",PR!$R601,IF(K603="EUMATT",PR!$S601,IF(K603="FIDSON",PR!$T601,IF(K603="FCGLOBAL",PR!$U601,IF(K603="GENEITH",PR!$V601,IF(K603="GINOS",PR!$W601,IF(K603="GSK",PR!$X601,IF(K603="GLOBORG",PR!$Y601,IF(K603="GOODNEWS",PR!$Z601,IF(K603="GREENLIFE",PR!$AA601,IF(K603="HLINE",PR!$AB601,IF(K603="ROTECH",PR!$AC601,IF(K603="ISN",PR!$AD601,IF(K603="JAWA",PR!$AE601,IF(K603="LAYO",PR!$AF601,IF(K603="LEADWAY",PR!$AG601,IF(K603="LHV",PR!$AH601,IF(K603="MANOLA",PR!$AI601,IF(K603="MARCSON",PR!$AJ601,IF(K603="M&amp;B",PR!$AK601,IF(K603="MTRUST",PR!$AL601,IF(K603="MWORLD",PR!$AM601,IF(K603="MEGA",PR!$AN601,IF(K603="MICRONOVA",PR!$AO601,IF(K603="MFLASH",PR!$AP601,IF(K603="MORISON",PR!$AQ601,IF(K603="NEMEL",PR!$AR601,IF(K603="NHP",PR!$AS601,IF(K603="NHC",PR!$AT601,IF(K603="OLEAF",PR!$AU601,IF(K603="OCULUS",PR!$AV601,IF(K603="PACIFIC",PR!$AW601,IF(K603="PHAMATEX",PR!$AX601,IF(K603="PETHICS",PR!$AY601,IF(K603="PHILIPS",PR!$AZ601,IF(K603="RANBAXY",PR!$BA601,IF(K603="REALS",PR!$BB601,IF(K603="ROYAL",PR!$BC601,IF(K603="SAM",PR!$BD601,IF(K603="SEAGREEN",PR!$BE601,IF(K603="SKG",PR!$BF601,IF(K603="TAH",PR!$BG601,IF(K603="TAYLEK",PR!$BH601,IF(K603="TEMITA",PR!$BI601,IF(K603="THL",PR!$BJ601,IF(K603="UBASTIC",PR!$BK601,IF(K603="UNION",PR!$BL601,IF(K603="UNIQUE",PR!$BM601,IF(K603="VIXA",PR!$BN601,IF(K603="WWCV",PR!$BO601,IF(K603="ZOLON",PR!$BP601,"-")))))))))))))))))))))))))))))))))))))))))))))))))))))))))))))))))</f>
        <v>15282</v>
      </c>
    </row>
    <row r="604" spans="1:12" ht="18.75" x14ac:dyDescent="0.3">
      <c r="A604" s="430">
        <f>PR!A602</f>
        <v>544</v>
      </c>
      <c r="B604" s="15" t="str">
        <f>PR!B602</f>
        <v>CHLORAMBUCIL 2MG TAB</v>
      </c>
      <c r="C604" s="113">
        <f>PR!D602</f>
        <v>50</v>
      </c>
      <c r="D604" s="113">
        <f>PR!C602</f>
        <v>10</v>
      </c>
      <c r="E604" s="108" t="str">
        <f>IF(F604="ALPHA",PR!$E602,IF(F604="ASSENE",PR!$F602,IF(F604="BIOFEM",PR!$G602,IF(F604="BIOMED",PR!$H602,IF(F604="CHI",PR!$I602,IF(F604="CLARION",PR!$J602,IF(F604="CODIX",PR!$K602,IF(F604="COSMADE",PR!$L602,IF(F604="SANCON",PR!$M602,IF(F604="DEVON",PR!$N602,IF(F604="DORTEMAG",PR!$O602,IF(F604="DGF",PR!$P602,IF(F604="DYNAMIC",PR!$Q602,IF(F604="EMZOR",PR!$R602,IF(F604="EUMATT",PR!$S602,IF(F604="FIDSON",PR!$T602,IF(F604="FCGLOBAL",PR!$U602,IF(F604="GENEITH",PR!$V602,IF(F604="GINOS",PR!$W602,IF(F604="GSK",PR!$X602,IF(F604="GLOBORG",PR!$Y602,IF(F604="GOODNEWS",PR!$Z602,IF(F604="GREENLIFE",PR!$AA602,IF(F604="HLINE",PR!$AB602,IF(F604="ROTECH",PR!$AC602,IF(F604="ISN",PR!$AD602,IF(F604="JAWA",PR!$AE602,IF(F604="LAYO",PR!$AF602,IF(F604="LEADWAY",PR!$AG602,IF(F604="LHV",PR!$AH602,IF(F604="MANOLA",PR!$AI602,IF(F604="MARCSON",PR!$AJ602,IF(F604="M&amp;B",PR!$AK602,IF(F604="MTRUST",PR!$AL602,IF(F604="MWORLD",PR!$AM602,IF(F604="MEGA",PR!$AN602,IF(F604="MICRONOVA",PR!$AO602,IF(F604="MFLASH",PR!$AP602,IF(F604="MORISON",PR!$AQ602,IF(F604="NEMEL",PR!$AR602,IF(F604="NHP",PR!$AS602,IF(F604="NHC",PR!$AT602,IF(F604="OLEAF",PR!$AU602,IF(F604="OCULUS",PR!$AV602,IF(F604="PACIFIC",PR!$AW602,IF(F604="PHAMATEX",PR!$AX602,IF(F604="PETHICS",PR!$AY602,IF(F604="PHILIPS",PR!$AZ602,IF(F604="RANBAXY",PR!$BA602,IF(F604="REALS",PR!$BB602,IF(F604="ROYAL",PR!$BC602,IF(F604="SAM",PR!$BD602,IF(F604="SEAGREEN",PR!$BE602,IF(F604="SKG",PR!$BF602,IF(F604="TAH",PR!$BG602,IF(F604="TAYLEK",PR!$BH602,IF(F604="TEMITA",PR!$BI602,IF(F604="THL",PR!$BJ602,IF(F604="UBASTIC",PR!$BK602,IF(F604="UNION",PR!$BL602,IF(F604="UNIQUE",PR!$BM602,IF(F604="VIXA",PR!$BN602,IF(F604="WWCV",PR!$BO602,IF(F604="ZOLON",PR!$BP602,"-"))))))))))))))))))))))))))))))))))))))))))))))))))))))))))))))))</f>
        <v>-</v>
      </c>
      <c r="F604" s="102">
        <f>EV!L778</f>
        <v>0</v>
      </c>
      <c r="G604" s="108" t="str">
        <f>IF(H604="ALPHA",PR!$E602,IF(H604="ASSENE",PR!$F602,IF(H604="BIOFEM",PR!$G602,IF(H604="BIOMED",PR!$H602,IF(H604="CHI",PR!$I602,IF(H604="CLARION",PR!$J602,IF(H604="CODIX",PR!$K602,IF(H604="COSMADE",PR!$L602,IF(H604="SANCON",PR!$M602,IF(H604="DEVON",PR!$N602,IF(H604="DORTEMAG",PR!$O602,IF(H604="DGF",PR!$P602,IF(H604="DYNAMIC",PR!$Q602,IF(H604="EMZOR",PR!$R602,IF(H604="EUMATT",PR!$S602,IF(H604="FIDSON",PR!$T602,IF(H604="FCGLOBAL",PR!$U602,IF(H604="GENEITH",PR!$V602,IF(H604="GINOS",PR!$W602,IF(H604="GSK",PR!$X602,IF(H604="GLOBORG",PR!$Y602,IF(H604="GOODNEWS",PR!$Z602,IF(H604="GREENLIFE",PR!$AA602,IF(H604="HLINE",PR!$AB602,IF(H604="ROTECH",PR!$AC602,IF(H604="ISN",PR!$AD602,IF(H604="JAWA",PR!$AE602,IF(H604="LAYO",PR!$AF602,IF(H604="LEADWAY",PR!$AG602,IF(H604="LHV",PR!$AH602,IF(H604="MANOLA",PR!$AI602,IF(H604="MARCSON",PR!$AJ602,IF(H604="M&amp;B",PR!$AK602,IF(H604="MTRUST",PR!$AL602,IF(H604="MWORLD",PR!$AM602,IF(H604="MEGA",PR!$AN602,IF(H604="MICRONOVA",PR!$AO602,IF(H604="MFLASH",PR!$AP602,IF(H604="MORISON",PR!$AQ602,IF(H604="NEMEL",PR!$AR602,IF(H604="NHP",PR!$AS602,IF(H604="NHC",PR!$AT602,IF(H604="OLEAF",PR!$AU602,IF(H604="OCULUS",PR!$AV602,IF(H604="PACIFIC",PR!$AW602,IF(H604="PHAMATEX",PR!$AX602,IF(H604="PETHICS",PR!$AY602,IF(H604="PHILIPS",PR!$AZ602,IF(H604="RANBAXY",PR!$BA602,IF(H604="REALS",PR!$BB602,IF(H604="ROYAL",PR!$BC602,IF(H604="SAM",PR!$BD602,IF(H604="SEAGREEN",PR!$BE602,IF(H604="SKG",PR!$BF602,IF(H604="TAH",PR!$BG602,IF(H604="TAYLEK",PR!$BH602,IF(H604="TEMITA",PR!$BI602,IF(H604="THL",PR!$BJ602,IF(H604="UBASTIC",PR!$BK602,IF(H604="UNION",PR!$BL602,IF(H604="UNIQUE",PR!$BM602,IF(H604="VIXA",PR!$BN602,IF(H604="WWCV",PR!$BO602,IF(H604="ZOLON",PR!$BP602,"-"))))))))))))))))))))))))))))))))))))))))))))))))))))))))))))))))</f>
        <v>-</v>
      </c>
      <c r="H604" s="102">
        <f>EV!M778</f>
        <v>0</v>
      </c>
      <c r="I604" s="108" t="str">
        <f>IF(J604="ALPHA",PR!$E602,IF(J604="ASSENE",PR!$F602,IF(J604="BIOFEM",PR!$G602,IF(J604="BIOMED",PR!$H602,IF(J604="CHI",PR!$I602,IF(J604="CLARION",PR!$J602,IF(J604="CODIX",PR!$K602,IF(J604="COSMADE",PR!$L602,IF(J604="SANCON",PR!$M602,IF(J604="DEVON",PR!$N602,IF(J604="DORTEMAG",PR!$O602,IF(J604="DGF",PR!$P602,IF(J604="DYNAMIC",PR!$Q602,IF(J604="EMZOR",PR!$R602,IF(J604="EUMATT",PR!$S602,IF(J604="FIDSON",PR!$T602,IF(J604="FCGLOBAL",PR!$U602,IF(J604="GENEITH",PR!$V602,IF(J604="GINOS",PR!$W602,IF(J604="GSK",PR!$X602,IF(J604="GLOBORG",PR!$Y602,IF(J604="GOODNEWS",PR!$Z602,IF(J604="GREENLIFE",PR!$AA602,IF(J604="HLINE",PR!$AB602,IF(J604="ROTECH",PR!$AC602,IF(J604="ISN",PR!$AD602,IF(J604="JAWA",PR!$AE602,IF(J604="LAYO",PR!$AF602,IF(J604="LEADWAY",PR!$AG602,IF(J604="LHV",PR!$AH602,IF(J604="MANOLA",PR!$AI602,IF(J604="MARCSON",PR!$AJ602,IF(J604="M&amp;B",PR!$AK602,IF(J604="MTRUST",PR!$AL602,IF(J604="MWORLD",PR!$AM602,IF(J604="MEGA",PR!$AN602,IF(J604="MICRONOVA",PR!$AO602,IF(J604="MFLASH",PR!$AP602,IF(J604="MORISON",PR!$AQ602,IF(J604="NEMEL",PR!$AR602,IF(J604="NHP",PR!$AS602,IF(J604="NHC",PR!$AT602,IF(J604="OLEAF",PR!$AU602,IF(J604="OCULUS",PR!$AV602,IF(J604="PACIFIC",PR!$AW602,IF(J604="PHAMATEX",PR!$AX602,IF(J604="PETHICS",PR!$AY602,IF(J604="PHILIPS",PR!$AZ602,IF(J604="RANBAXY",PR!$BA602,IF(J604="REALS",PR!$BB602,IF(J604="ROYAL",PR!$BC602,IF(J604="SAM",PR!$BD602,IF(J604="SEAGREEN",PR!$BE602,IF(J604="SKG",PR!$BF602,IF(J604="TAH",PR!$BG602,IF(J604="TAYLEK",PR!$BH602,IF(J604="TEMITA",PR!$BI602,IF(J604="THL",PR!$BJ602,IF(J604="UBASTIC",PR!$BK602,IF(J604="UNION",PR!$BL602,IF(J604="UNIQUE",PR!$BM602,IF(J604="VIXA",PR!$BN602,IF(J604="WWCV",PR!$BO602,IF(J604="ZOLON",PR!$BP602,"-"))))))))))))))))))))))))))))))))))))))))))))))))))))))))))))))))</f>
        <v>-</v>
      </c>
      <c r="J604" s="102">
        <f>EV!N778</f>
        <v>0</v>
      </c>
      <c r="K604" s="433"/>
      <c r="L604" s="183" t="b">
        <f>IF(K604&gt;0,IF(K604="ALPHA",PR!$E602,IF(K604="ASSENE",PR!$F602,IF(K604="BIOFEM",PR!$G602,IF(K604="BIOMED",PR!$H602,IF(K604="CHI",PR!$I602,IF(K604="CLARION",PR!$J602,IF(K604="CODIX",PR!$K602,IF(K604="COSMADE",PR!$L602,IF(K604="SANCON",PR!$M602,IF(K604="DEVON",PR!$N602,IF(K604="DORTEMAG",PR!$O602,IF(K604="DGF",PR!$P602,IF(K604="DYNAMIC",PR!$Q602,IF(K604="EMZOR",PR!$R602,IF(K604="EUMATT",PR!$S602,IF(K604="FIDSON",PR!$T602,IF(K604="FCGLOBAL",PR!$U602,IF(K604="GENEITH",PR!$V602,IF(K604="GINOS",PR!$W602,IF(K604="GSK",PR!$X602,IF(K604="GLOBORG",PR!$Y602,IF(K604="GOODNEWS",PR!$Z602,IF(K604="GREENLIFE",PR!$AA602,IF(K604="HLINE",PR!$AB602,IF(K604="ROTECH",PR!$AC602,IF(K604="ISN",PR!$AD602,IF(K604="JAWA",PR!$AE602,IF(K604="LAYO",PR!$AF602,IF(K604="LEADWAY",PR!$AG602,IF(K604="LHV",PR!$AH602,IF(K604="MANOLA",PR!$AI602,IF(K604="MARCSON",PR!$AJ602,IF(K604="M&amp;B",PR!$AK602,IF(K604="MTRUST",PR!$AL602,IF(K604="MWORLD",PR!$AM602,IF(K604="MEGA",PR!$AN602,IF(K604="MICRONOVA",PR!$AO602,IF(K604="MFLASH",PR!$AP602,IF(K604="MORISON",PR!$AQ602,IF(K604="NEMEL",PR!$AR602,IF(K604="NHP",PR!$AS602,IF(K604="NHC",PR!$AT602,IF(K604="OLEAF",PR!$AU602,IF(K604="OCULUS",PR!$AV602,IF(K604="PACIFIC",PR!$AW602,IF(K604="PHAMATEX",PR!$AX602,IF(K604="PETHICS",PR!$AY602,IF(K604="PHILIPS",PR!$AZ602,IF(K604="RANBAXY",PR!$BA602,IF(K604="REALS",PR!$BB602,IF(K604="ROYAL",PR!$BC602,IF(K604="SAM",PR!$BD602,IF(K604="SEAGREEN",PR!$BE602,IF(K604="SKG",PR!$BF602,IF(K604="TAH",PR!$BG602,IF(K604="TAYLEK",PR!$BH602,IF(K604="TEMITA",PR!$BI602,IF(K604="THL",PR!$BJ602,IF(K604="UBASTIC",PR!$BK602,IF(K604="UNION",PR!$BL602,IF(K604="UNIQUE",PR!$BM602,IF(K604="VIXA",PR!$BN602,IF(K604="WWCV",PR!$BO602,IF(K604="ZOLON",PR!$BP602,"-")))))))))))))))))))))))))))))))))))))))))))))))))))))))))))))))))</f>
        <v>0</v>
      </c>
    </row>
    <row r="605" spans="1:12" ht="18.75" x14ac:dyDescent="0.3">
      <c r="A605" s="430">
        <f>PR!A603</f>
        <v>545</v>
      </c>
      <c r="B605" s="15" t="str">
        <f>PR!B603</f>
        <v>CISPLATIN 1MG/ML INJ</v>
      </c>
      <c r="C605" s="113">
        <f>PR!D603</f>
        <v>10</v>
      </c>
      <c r="D605" s="113">
        <f>PR!C603</f>
        <v>11</v>
      </c>
      <c r="E605" s="108">
        <f>IF(F605="ALPHA",PR!$E603,IF(F605="ASSENE",PR!$F603,IF(F605="BIOFEM",PR!$G603,IF(F605="BIOMED",PR!$H603,IF(F605="CHI",PR!$I603,IF(F605="CLARION",PR!$J603,IF(F605="CODIX",PR!$K603,IF(F605="COSMADE",PR!$L603,IF(F605="SANCON",PR!$M603,IF(F605="DEVON",PR!$N603,IF(F605="DORTEMAG",PR!$O603,IF(F605="DGF",PR!$P603,IF(F605="DYNAMIC",PR!$Q603,IF(F605="EMZOR",PR!$R603,IF(F605="EUMATT",PR!$S603,IF(F605="FIDSON",PR!$T603,IF(F605="FCGLOBAL",PR!$U603,IF(F605="GENEITH",PR!$V603,IF(F605="GINOS",PR!$W603,IF(F605="GSK",PR!$X603,IF(F605="GLOBORG",PR!$Y603,IF(F605="GOODNEWS",PR!$Z603,IF(F605="GREENLIFE",PR!$AA603,IF(F605="HLINE",PR!$AB603,IF(F605="ROTECH",PR!$AC603,IF(F605="ISN",PR!$AD603,IF(F605="JAWA",PR!$AE603,IF(F605="LAYO",PR!$AF603,IF(F605="LEADWAY",PR!$AG603,IF(F605="LHV",PR!$AH603,IF(F605="MANOLA",PR!$AI603,IF(F605="MARCSON",PR!$AJ603,IF(F605="M&amp;B",PR!$AK603,IF(F605="MTRUST",PR!$AL603,IF(F605="MWORLD",PR!$AM603,IF(F605="MEGA",PR!$AN603,IF(F605="MICRONOVA",PR!$AO603,IF(F605="MFLASH",PR!$AP603,IF(F605="MORISON",PR!$AQ603,IF(F605="NEMEL",PR!$AR603,IF(F605="NHP",PR!$AS603,IF(F605="NHC",PR!$AT603,IF(F605="OLEAF",PR!$AU603,IF(F605="OCULUS",PR!$AV603,IF(F605="PACIFIC",PR!$AW603,IF(F605="PHAMATEX",PR!$AX603,IF(F605="PETHICS",PR!$AY603,IF(F605="PHILIPS",PR!$AZ603,IF(F605="RANBAXY",PR!$BA603,IF(F605="REALS",PR!$BB603,IF(F605="ROYAL",PR!$BC603,IF(F605="SAM",PR!$BD603,IF(F605="SEAGREEN",PR!$BE603,IF(F605="SKG",PR!$BF603,IF(F605="TAH",PR!$BG603,IF(F605="TAYLEK",PR!$BH603,IF(F605="TEMITA",PR!$BI603,IF(F605="THL",PR!$BJ603,IF(F605="UBASTIC",PR!$BK603,IF(F605="UNION",PR!$BL603,IF(F605="UNIQUE",PR!$BM603,IF(F605="VIXA",PR!$BN603,IF(F605="WWCV",PR!$BO603,IF(F605="ZOLON",PR!$BP603,"-"))))))))))))))))))))))))))))))))))))))))))))))))))))))))))))))))</f>
        <v>3300</v>
      </c>
      <c r="F605" s="102" t="str">
        <f>EV!L779</f>
        <v>MANOLA</v>
      </c>
      <c r="G605" s="108" t="str">
        <f>IF(H605="ALPHA",PR!$E603,IF(H605="ASSENE",PR!$F603,IF(H605="BIOFEM",PR!$G603,IF(H605="BIOMED",PR!$H603,IF(H605="CHI",PR!$I603,IF(H605="CLARION",PR!$J603,IF(H605="CODIX",PR!$K603,IF(H605="COSMADE",PR!$L603,IF(H605="SANCON",PR!$M603,IF(H605="DEVON",PR!$N603,IF(H605="DORTEMAG",PR!$O603,IF(H605="DGF",PR!$P603,IF(H605="DYNAMIC",PR!$Q603,IF(H605="EMZOR",PR!$R603,IF(H605="EUMATT",PR!$S603,IF(H605="FIDSON",PR!$T603,IF(H605="FCGLOBAL",PR!$U603,IF(H605="GENEITH",PR!$V603,IF(H605="GINOS",PR!$W603,IF(H605="GSK",PR!$X603,IF(H605="GLOBORG",PR!$Y603,IF(H605="GOODNEWS",PR!$Z603,IF(H605="GREENLIFE",PR!$AA603,IF(H605="HLINE",PR!$AB603,IF(H605="ROTECH",PR!$AC603,IF(H605="ISN",PR!$AD603,IF(H605="JAWA",PR!$AE603,IF(H605="LAYO",PR!$AF603,IF(H605="LEADWAY",PR!$AG603,IF(H605="LHV",PR!$AH603,IF(H605="MANOLA",PR!$AI603,IF(H605="MARCSON",PR!$AJ603,IF(H605="M&amp;B",PR!$AK603,IF(H605="MTRUST",PR!$AL603,IF(H605="MWORLD",PR!$AM603,IF(H605="MEGA",PR!$AN603,IF(H605="MICRONOVA",PR!$AO603,IF(H605="MFLASH",PR!$AP603,IF(H605="MORISON",PR!$AQ603,IF(H605="NEMEL",PR!$AR603,IF(H605="NHP",PR!$AS603,IF(H605="NHC",PR!$AT603,IF(H605="OLEAF",PR!$AU603,IF(H605="OCULUS",PR!$AV603,IF(H605="PACIFIC",PR!$AW603,IF(H605="PHAMATEX",PR!$AX603,IF(H605="PETHICS",PR!$AY603,IF(H605="PHILIPS",PR!$AZ603,IF(H605="RANBAXY",PR!$BA603,IF(H605="REALS",PR!$BB603,IF(H605="ROYAL",PR!$BC603,IF(H605="SAM",PR!$BD603,IF(H605="SEAGREEN",PR!$BE603,IF(H605="SKG",PR!$BF603,IF(H605="TAH",PR!$BG603,IF(H605="TAYLEK",PR!$BH603,IF(H605="TEMITA",PR!$BI603,IF(H605="THL",PR!$BJ603,IF(H605="UBASTIC",PR!$BK603,IF(H605="UNION",PR!$BL603,IF(H605="UNIQUE",PR!$BM603,IF(H605="VIXA",PR!$BN603,IF(H605="WWCV",PR!$BO603,IF(H605="ZOLON",PR!$BP603,"-"))))))))))))))))))))))))))))))))))))))))))))))))))))))))))))))))</f>
        <v>-</v>
      </c>
      <c r="H605" s="102">
        <f>EV!M779</f>
        <v>0</v>
      </c>
      <c r="I605" s="108" t="str">
        <f>IF(J605="ALPHA",PR!$E603,IF(J605="ASSENE",PR!$F603,IF(J605="BIOFEM",PR!$G603,IF(J605="BIOMED",PR!$H603,IF(J605="CHI",PR!$I603,IF(J605="CLARION",PR!$J603,IF(J605="CODIX",PR!$K603,IF(J605="COSMADE",PR!$L603,IF(J605="SANCON",PR!$M603,IF(J605="DEVON",PR!$N603,IF(J605="DORTEMAG",PR!$O603,IF(J605="DGF",PR!$P603,IF(J605="DYNAMIC",PR!$Q603,IF(J605="EMZOR",PR!$R603,IF(J605="EUMATT",PR!$S603,IF(J605="FIDSON",PR!$T603,IF(J605="FCGLOBAL",PR!$U603,IF(J605="GENEITH",PR!$V603,IF(J605="GINOS",PR!$W603,IF(J605="GSK",PR!$X603,IF(J605="GLOBORG",PR!$Y603,IF(J605="GOODNEWS",PR!$Z603,IF(J605="GREENLIFE",PR!$AA603,IF(J605="HLINE",PR!$AB603,IF(J605="ROTECH",PR!$AC603,IF(J605="ISN",PR!$AD603,IF(J605="JAWA",PR!$AE603,IF(J605="LAYO",PR!$AF603,IF(J605="LEADWAY",PR!$AG603,IF(J605="LHV",PR!$AH603,IF(J605="MANOLA",PR!$AI603,IF(J605="MARCSON",PR!$AJ603,IF(J605="M&amp;B",PR!$AK603,IF(J605="MTRUST",PR!$AL603,IF(J605="MWORLD",PR!$AM603,IF(J605="MEGA",PR!$AN603,IF(J605="MICRONOVA",PR!$AO603,IF(J605="MFLASH",PR!$AP603,IF(J605="MORISON",PR!$AQ603,IF(J605="NEMEL",PR!$AR603,IF(J605="NHP",PR!$AS603,IF(J605="NHC",PR!$AT603,IF(J605="OLEAF",PR!$AU603,IF(J605="OCULUS",PR!$AV603,IF(J605="PACIFIC",PR!$AW603,IF(J605="PHAMATEX",PR!$AX603,IF(J605="PETHICS",PR!$AY603,IF(J605="PHILIPS",PR!$AZ603,IF(J605="RANBAXY",PR!$BA603,IF(J605="REALS",PR!$BB603,IF(J605="ROYAL",PR!$BC603,IF(J605="SAM",PR!$BD603,IF(J605="SEAGREEN",PR!$BE603,IF(J605="SKG",PR!$BF603,IF(J605="TAH",PR!$BG603,IF(J605="TAYLEK",PR!$BH603,IF(J605="TEMITA",PR!$BI603,IF(J605="THL",PR!$BJ603,IF(J605="UBASTIC",PR!$BK603,IF(J605="UNION",PR!$BL603,IF(J605="UNIQUE",PR!$BM603,IF(J605="VIXA",PR!$BN603,IF(J605="WWCV",PR!$BO603,IF(J605="ZOLON",PR!$BP603,"-"))))))))))))))))))))))))))))))))))))))))))))))))))))))))))))))))</f>
        <v>-</v>
      </c>
      <c r="J605" s="102">
        <f>EV!N779</f>
        <v>0</v>
      </c>
      <c r="K605" s="433" t="s">
        <v>820</v>
      </c>
      <c r="L605" s="183">
        <f>IF(K605&gt;0,IF(K605="ALPHA",PR!$E603,IF(K605="ASSENE",PR!$F603,IF(K605="BIOFEM",PR!$G603,IF(K605="BIOMED",PR!$H603,IF(K605="CHI",PR!$I603,IF(K605="CLARION",PR!$J603,IF(K605="CODIX",PR!$K603,IF(K605="COSMADE",PR!$L603,IF(K605="SANCON",PR!$M603,IF(K605="DEVON",PR!$N603,IF(K605="DORTEMAG",PR!$O603,IF(K605="DGF",PR!$P603,IF(K605="DYNAMIC",PR!$Q603,IF(K605="EMZOR",PR!$R603,IF(K605="EUMATT",PR!$S603,IF(K605="FIDSON",PR!$T603,IF(K605="FCGLOBAL",PR!$U603,IF(K605="GENEITH",PR!$V603,IF(K605="GINOS",PR!$W603,IF(K605="GSK",PR!$X603,IF(K605="GLOBORG",PR!$Y603,IF(K605="GOODNEWS",PR!$Z603,IF(K605="GREENLIFE",PR!$AA603,IF(K605="HLINE",PR!$AB603,IF(K605="ROTECH",PR!$AC603,IF(K605="ISN",PR!$AD603,IF(K605="JAWA",PR!$AE603,IF(K605="LAYO",PR!$AF603,IF(K605="LEADWAY",PR!$AG603,IF(K605="LHV",PR!$AH603,IF(K605="MANOLA",PR!$AI603,IF(K605="MARCSON",PR!$AJ603,IF(K605="M&amp;B",PR!$AK603,IF(K605="MTRUST",PR!$AL603,IF(K605="MWORLD",PR!$AM603,IF(K605="MEGA",PR!$AN603,IF(K605="MICRONOVA",PR!$AO603,IF(K605="MFLASH",PR!$AP603,IF(K605="MORISON",PR!$AQ603,IF(K605="NEMEL",PR!$AR603,IF(K605="NHP",PR!$AS603,IF(K605="NHC",PR!$AT603,IF(K605="OLEAF",PR!$AU603,IF(K605="OCULUS",PR!$AV603,IF(K605="PACIFIC",PR!$AW603,IF(K605="PHAMATEX",PR!$AX603,IF(K605="PETHICS",PR!$AY603,IF(K605="PHILIPS",PR!$AZ603,IF(K605="RANBAXY",PR!$BA603,IF(K605="REALS",PR!$BB603,IF(K605="ROYAL",PR!$BC603,IF(K605="SAM",PR!$BD603,IF(K605="SEAGREEN",PR!$BE603,IF(K605="SKG",PR!$BF603,IF(K605="TAH",PR!$BG603,IF(K605="TAYLEK",PR!$BH603,IF(K605="TEMITA",PR!$BI603,IF(K605="THL",PR!$BJ603,IF(K605="UBASTIC",PR!$BK603,IF(K605="UNION",PR!$BL603,IF(K605="UNIQUE",PR!$BM603,IF(K605="VIXA",PR!$BN603,IF(K605="WWCV",PR!$BO603,IF(K605="ZOLON",PR!$BP603,"-")))))))))))))))))))))))))))))))))))))))))))))))))))))))))))))))))</f>
        <v>3300</v>
      </c>
    </row>
    <row r="606" spans="1:12" ht="18.75" x14ac:dyDescent="0.3">
      <c r="A606" s="430">
        <f>PR!A604</f>
        <v>546</v>
      </c>
      <c r="B606" s="15" t="str">
        <f>PR!B604</f>
        <v>CYCLOPHOSPHAMIDE 500MG INJ</v>
      </c>
      <c r="C606" s="113" t="str">
        <f>PR!D604</f>
        <v>VIAL</v>
      </c>
      <c r="D606" s="113">
        <f>PR!C604</f>
        <v>50</v>
      </c>
      <c r="E606" s="108">
        <f>IF(F606="ALPHA",PR!$E604,IF(F606="ASSENE",PR!$F604,IF(F606="BIOFEM",PR!$G604,IF(F606="BIOMED",PR!$H604,IF(F606="CHI",PR!$I604,IF(F606="CLARION",PR!$J604,IF(F606="CODIX",PR!$K604,IF(F606="COSMADE",PR!$L604,IF(F606="SANCON",PR!$M604,IF(F606="DEVON",PR!$N604,IF(F606="DORTEMAG",PR!$O604,IF(F606="DGF",PR!$P604,IF(F606="DYNAMIC",PR!$Q604,IF(F606="EMZOR",PR!$R604,IF(F606="EUMATT",PR!$S604,IF(F606="FIDSON",PR!$T604,IF(F606="FCGLOBAL",PR!$U604,IF(F606="GENEITH",PR!$V604,IF(F606="GINOS",PR!$W604,IF(F606="GSK",PR!$X604,IF(F606="GLOBORG",PR!$Y604,IF(F606="GOODNEWS",PR!$Z604,IF(F606="GREENLIFE",PR!$AA604,IF(F606="HLINE",PR!$AB604,IF(F606="ROTECH",PR!$AC604,IF(F606="ISN",PR!$AD604,IF(F606="JAWA",PR!$AE604,IF(F606="LAYO",PR!$AF604,IF(F606="LEADWAY",PR!$AG604,IF(F606="LHV",PR!$AH604,IF(F606="MANOLA",PR!$AI604,IF(F606="MARCSON",PR!$AJ604,IF(F606="M&amp;B",PR!$AK604,IF(F606="MTRUST",PR!$AL604,IF(F606="MWORLD",PR!$AM604,IF(F606="MEGA",PR!$AN604,IF(F606="MICRONOVA",PR!$AO604,IF(F606="MFLASH",PR!$AP604,IF(F606="MORISON",PR!$AQ604,IF(F606="NEMEL",PR!$AR604,IF(F606="NHP",PR!$AS604,IF(F606="NHC",PR!$AT604,IF(F606="OLEAF",PR!$AU604,IF(F606="OCULUS",PR!$AV604,IF(F606="PACIFIC",PR!$AW604,IF(F606="PHAMATEX",PR!$AX604,IF(F606="PETHICS",PR!$AY604,IF(F606="PHILIPS",PR!$AZ604,IF(F606="RANBAXY",PR!$BA604,IF(F606="REALS",PR!$BB604,IF(F606="ROYAL",PR!$BC604,IF(F606="SAM",PR!$BD604,IF(F606="SEAGREEN",PR!$BE604,IF(F606="SKG",PR!$BF604,IF(F606="TAH",PR!$BG604,IF(F606="TAYLEK",PR!$BH604,IF(F606="TEMITA",PR!$BI604,IF(F606="THL",PR!$BJ604,IF(F606="UBASTIC",PR!$BK604,IF(F606="UNION",PR!$BL604,IF(F606="UNIQUE",PR!$BM604,IF(F606="VIXA",PR!$BN604,IF(F606="WWCV",PR!$BO604,IF(F606="ZOLON",PR!$BP604,"-"))))))))))))))))))))))))))))))))))))))))))))))))))))))))))))))))</f>
        <v>750</v>
      </c>
      <c r="F606" s="102" t="str">
        <f>EV!L780</f>
        <v>MANOLA</v>
      </c>
      <c r="G606" s="108" t="str">
        <f>IF(H606="ALPHA",PR!$E604,IF(H606="ASSENE",PR!$F604,IF(H606="BIOFEM",PR!$G604,IF(H606="BIOMED",PR!$H604,IF(H606="CHI",PR!$I604,IF(H606="CLARION",PR!$J604,IF(H606="CODIX",PR!$K604,IF(H606="COSMADE",PR!$L604,IF(H606="SANCON",PR!$M604,IF(H606="DEVON",PR!$N604,IF(H606="DORTEMAG",PR!$O604,IF(H606="DGF",PR!$P604,IF(H606="DYNAMIC",PR!$Q604,IF(H606="EMZOR",PR!$R604,IF(H606="EUMATT",PR!$S604,IF(H606="FIDSON",PR!$T604,IF(H606="FCGLOBAL",PR!$U604,IF(H606="GENEITH",PR!$V604,IF(H606="GINOS",PR!$W604,IF(H606="GSK",PR!$X604,IF(H606="GLOBORG",PR!$Y604,IF(H606="GOODNEWS",PR!$Z604,IF(H606="GREENLIFE",PR!$AA604,IF(H606="HLINE",PR!$AB604,IF(H606="ROTECH",PR!$AC604,IF(H606="ISN",PR!$AD604,IF(H606="JAWA",PR!$AE604,IF(H606="LAYO",PR!$AF604,IF(H606="LEADWAY",PR!$AG604,IF(H606="LHV",PR!$AH604,IF(H606="MANOLA",PR!$AI604,IF(H606="MARCSON",PR!$AJ604,IF(H606="M&amp;B",PR!$AK604,IF(H606="MTRUST",PR!$AL604,IF(H606="MWORLD",PR!$AM604,IF(H606="MEGA",PR!$AN604,IF(H606="MICRONOVA",PR!$AO604,IF(H606="MFLASH",PR!$AP604,IF(H606="MORISON",PR!$AQ604,IF(H606="NEMEL",PR!$AR604,IF(H606="NHP",PR!$AS604,IF(H606="NHC",PR!$AT604,IF(H606="OLEAF",PR!$AU604,IF(H606="OCULUS",PR!$AV604,IF(H606="PACIFIC",PR!$AW604,IF(H606="PHAMATEX",PR!$AX604,IF(H606="PETHICS",PR!$AY604,IF(H606="PHILIPS",PR!$AZ604,IF(H606="RANBAXY",PR!$BA604,IF(H606="REALS",PR!$BB604,IF(H606="ROYAL",PR!$BC604,IF(H606="SAM",PR!$BD604,IF(H606="SEAGREEN",PR!$BE604,IF(H606="SKG",PR!$BF604,IF(H606="TAH",PR!$BG604,IF(H606="TAYLEK",PR!$BH604,IF(H606="TEMITA",PR!$BI604,IF(H606="THL",PR!$BJ604,IF(H606="UBASTIC",PR!$BK604,IF(H606="UNION",PR!$BL604,IF(H606="UNIQUE",PR!$BM604,IF(H606="VIXA",PR!$BN604,IF(H606="WWCV",PR!$BO604,IF(H606="ZOLON",PR!$BP604,"-"))))))))))))))))))))))))))))))))))))))))))))))))))))))))))))))))</f>
        <v>-</v>
      </c>
      <c r="H606" s="102">
        <f>EV!M780</f>
        <v>0</v>
      </c>
      <c r="I606" s="108" t="str">
        <f>IF(J606="ALPHA",PR!$E604,IF(J606="ASSENE",PR!$F604,IF(J606="BIOFEM",PR!$G604,IF(J606="BIOMED",PR!$H604,IF(J606="CHI",PR!$I604,IF(J606="CLARION",PR!$J604,IF(J606="CODIX",PR!$K604,IF(J606="COSMADE",PR!$L604,IF(J606="SANCON",PR!$M604,IF(J606="DEVON",PR!$N604,IF(J606="DORTEMAG",PR!$O604,IF(J606="DGF",PR!$P604,IF(J606="DYNAMIC",PR!$Q604,IF(J606="EMZOR",PR!$R604,IF(J606="EUMATT",PR!$S604,IF(J606="FIDSON",PR!$T604,IF(J606="FCGLOBAL",PR!$U604,IF(J606="GENEITH",PR!$V604,IF(J606="GINOS",PR!$W604,IF(J606="GSK",PR!$X604,IF(J606="GLOBORG",PR!$Y604,IF(J606="GOODNEWS",PR!$Z604,IF(J606="GREENLIFE",PR!$AA604,IF(J606="HLINE",PR!$AB604,IF(J606="ROTECH",PR!$AC604,IF(J606="ISN",PR!$AD604,IF(J606="JAWA",PR!$AE604,IF(J606="LAYO",PR!$AF604,IF(J606="LEADWAY",PR!$AG604,IF(J606="LHV",PR!$AH604,IF(J606="MANOLA",PR!$AI604,IF(J606="MARCSON",PR!$AJ604,IF(J606="M&amp;B",PR!$AK604,IF(J606="MTRUST",PR!$AL604,IF(J606="MWORLD",PR!$AM604,IF(J606="MEGA",PR!$AN604,IF(J606="MICRONOVA",PR!$AO604,IF(J606="MFLASH",PR!$AP604,IF(J606="MORISON",PR!$AQ604,IF(J606="NEMEL",PR!$AR604,IF(J606="NHP",PR!$AS604,IF(J606="NHC",PR!$AT604,IF(J606="OLEAF",PR!$AU604,IF(J606="OCULUS",PR!$AV604,IF(J606="PACIFIC",PR!$AW604,IF(J606="PHAMATEX",PR!$AX604,IF(J606="PETHICS",PR!$AY604,IF(J606="PHILIPS",PR!$AZ604,IF(J606="RANBAXY",PR!$BA604,IF(J606="REALS",PR!$BB604,IF(J606="ROYAL",PR!$BC604,IF(J606="SAM",PR!$BD604,IF(J606="SEAGREEN",PR!$BE604,IF(J606="SKG",PR!$BF604,IF(J606="TAH",PR!$BG604,IF(J606="TAYLEK",PR!$BH604,IF(J606="TEMITA",PR!$BI604,IF(J606="THL",PR!$BJ604,IF(J606="UBASTIC",PR!$BK604,IF(J606="UNION",PR!$BL604,IF(J606="UNIQUE",PR!$BM604,IF(J606="VIXA",PR!$BN604,IF(J606="WWCV",PR!$BO604,IF(J606="ZOLON",PR!$BP604,"-"))))))))))))))))))))))))))))))))))))))))))))))))))))))))))))))))</f>
        <v>-</v>
      </c>
      <c r="J606" s="102">
        <f>EV!N780</f>
        <v>0</v>
      </c>
      <c r="K606" s="433" t="s">
        <v>820</v>
      </c>
      <c r="L606" s="183">
        <f>IF(K606&gt;0,IF(K606="ALPHA",PR!$E604,IF(K606="ASSENE",PR!$F604,IF(K606="BIOFEM",PR!$G604,IF(K606="BIOMED",PR!$H604,IF(K606="CHI",PR!$I604,IF(K606="CLARION",PR!$J604,IF(K606="CODIX",PR!$K604,IF(K606="COSMADE",PR!$L604,IF(K606="SANCON",PR!$M604,IF(K606="DEVON",PR!$N604,IF(K606="DORTEMAG",PR!$O604,IF(K606="DGF",PR!$P604,IF(K606="DYNAMIC",PR!$Q604,IF(K606="EMZOR",PR!$R604,IF(K606="EUMATT",PR!$S604,IF(K606="FIDSON",PR!$T604,IF(K606="FCGLOBAL",PR!$U604,IF(K606="GENEITH",PR!$V604,IF(K606="GINOS",PR!$W604,IF(K606="GSK",PR!$X604,IF(K606="GLOBORG",PR!$Y604,IF(K606="GOODNEWS",PR!$Z604,IF(K606="GREENLIFE",PR!$AA604,IF(K606="HLINE",PR!$AB604,IF(K606="ROTECH",PR!$AC604,IF(K606="ISN",PR!$AD604,IF(K606="JAWA",PR!$AE604,IF(K606="LAYO",PR!$AF604,IF(K606="LEADWAY",PR!$AG604,IF(K606="LHV",PR!$AH604,IF(K606="MANOLA",PR!$AI604,IF(K606="MARCSON",PR!$AJ604,IF(K606="M&amp;B",PR!$AK604,IF(K606="MTRUST",PR!$AL604,IF(K606="MWORLD",PR!$AM604,IF(K606="MEGA",PR!$AN604,IF(K606="MICRONOVA",PR!$AO604,IF(K606="MFLASH",PR!$AP604,IF(K606="MORISON",PR!$AQ604,IF(K606="NEMEL",PR!$AR604,IF(K606="NHP",PR!$AS604,IF(K606="NHC",PR!$AT604,IF(K606="OLEAF",PR!$AU604,IF(K606="OCULUS",PR!$AV604,IF(K606="PACIFIC",PR!$AW604,IF(K606="PHAMATEX",PR!$AX604,IF(K606="PETHICS",PR!$AY604,IF(K606="PHILIPS",PR!$AZ604,IF(K606="RANBAXY",PR!$BA604,IF(K606="REALS",PR!$BB604,IF(K606="ROYAL",PR!$BC604,IF(K606="SAM",PR!$BD604,IF(K606="SEAGREEN",PR!$BE604,IF(K606="SKG",PR!$BF604,IF(K606="TAH",PR!$BG604,IF(K606="TAYLEK",PR!$BH604,IF(K606="TEMITA",PR!$BI604,IF(K606="THL",PR!$BJ604,IF(K606="UBASTIC",PR!$BK604,IF(K606="UNION",PR!$BL604,IF(K606="UNIQUE",PR!$BM604,IF(K606="VIXA",PR!$BN604,IF(K606="WWCV",PR!$BO604,IF(K606="ZOLON",PR!$BP604,"-")))))))))))))))))))))))))))))))))))))))))))))))))))))))))))))))))</f>
        <v>750</v>
      </c>
    </row>
    <row r="607" spans="1:12" ht="18.75" x14ac:dyDescent="0.3">
      <c r="A607" s="430">
        <f>PR!A605</f>
        <v>547</v>
      </c>
      <c r="B607" s="15" t="str">
        <f>PR!B605</f>
        <v>CYCLOPHOSPHAMIDE 50MG TAB</v>
      </c>
      <c r="C607" s="113">
        <f>PR!D605</f>
        <v>100</v>
      </c>
      <c r="D607" s="113">
        <f>PR!C605</f>
        <v>20</v>
      </c>
      <c r="E607" s="108" t="str">
        <f>IF(F607="ALPHA",PR!$E605,IF(F607="ASSENE",PR!$F605,IF(F607="BIOFEM",PR!$G605,IF(F607="BIOMED",PR!$H605,IF(F607="CHI",PR!$I605,IF(F607="CLARION",PR!$J605,IF(F607="CODIX",PR!$K605,IF(F607="COSMADE",PR!$L605,IF(F607="SANCON",PR!$M605,IF(F607="DEVON",PR!$N605,IF(F607="DORTEMAG",PR!$O605,IF(F607="DGF",PR!$P605,IF(F607="DYNAMIC",PR!$Q605,IF(F607="EMZOR",PR!$R605,IF(F607="EUMATT",PR!$S605,IF(F607="FIDSON",PR!$T605,IF(F607="FCGLOBAL",PR!$U605,IF(F607="GENEITH",PR!$V605,IF(F607="GINOS",PR!$W605,IF(F607="GSK",PR!$X605,IF(F607="GLOBORG",PR!$Y605,IF(F607="GOODNEWS",PR!$Z605,IF(F607="GREENLIFE",PR!$AA605,IF(F607="HLINE",PR!$AB605,IF(F607="ROTECH",PR!$AC605,IF(F607="ISN",PR!$AD605,IF(F607="JAWA",PR!$AE605,IF(F607="LAYO",PR!$AF605,IF(F607="LEADWAY",PR!$AG605,IF(F607="LHV",PR!$AH605,IF(F607="MANOLA",PR!$AI605,IF(F607="MARCSON",PR!$AJ605,IF(F607="M&amp;B",PR!$AK605,IF(F607="MTRUST",PR!$AL605,IF(F607="MWORLD",PR!$AM605,IF(F607="MEGA",PR!$AN605,IF(F607="MICRONOVA",PR!$AO605,IF(F607="MFLASH",PR!$AP605,IF(F607="MORISON",PR!$AQ605,IF(F607="NEMEL",PR!$AR605,IF(F607="NHP",PR!$AS605,IF(F607="NHC",PR!$AT605,IF(F607="OLEAF",PR!$AU605,IF(F607="OCULUS",PR!$AV605,IF(F607="PACIFIC",PR!$AW605,IF(F607="PHAMATEX",PR!$AX605,IF(F607="PETHICS",PR!$AY605,IF(F607="PHILIPS",PR!$AZ605,IF(F607="RANBAXY",PR!$BA605,IF(F607="REALS",PR!$BB605,IF(F607="ROYAL",PR!$BC605,IF(F607="SAM",PR!$BD605,IF(F607="SEAGREEN",PR!$BE605,IF(F607="SKG",PR!$BF605,IF(F607="TAH",PR!$BG605,IF(F607="TAYLEK",PR!$BH605,IF(F607="TEMITA",PR!$BI605,IF(F607="THL",PR!$BJ605,IF(F607="UBASTIC",PR!$BK605,IF(F607="UNION",PR!$BL605,IF(F607="UNIQUE",PR!$BM605,IF(F607="VIXA",PR!$BN605,IF(F607="WWCV",PR!$BO605,IF(F607="ZOLON",PR!$BP605,"-"))))))))))))))))))))))))))))))))))))))))))))))))))))))))))))))))</f>
        <v>-</v>
      </c>
      <c r="F607" s="102">
        <f>EV!L781</f>
        <v>0</v>
      </c>
      <c r="G607" s="108" t="str">
        <f>IF(H607="ALPHA",PR!$E605,IF(H607="ASSENE",PR!$F605,IF(H607="BIOFEM",PR!$G605,IF(H607="BIOMED",PR!$H605,IF(H607="CHI",PR!$I605,IF(H607="CLARION",PR!$J605,IF(H607="CODIX",PR!$K605,IF(H607="COSMADE",PR!$L605,IF(H607="SANCON",PR!$M605,IF(H607="DEVON",PR!$N605,IF(H607="DORTEMAG",PR!$O605,IF(H607="DGF",PR!$P605,IF(H607="DYNAMIC",PR!$Q605,IF(H607="EMZOR",PR!$R605,IF(H607="EUMATT",PR!$S605,IF(H607="FIDSON",PR!$T605,IF(H607="FCGLOBAL",PR!$U605,IF(H607="GENEITH",PR!$V605,IF(H607="GINOS",PR!$W605,IF(H607="GSK",PR!$X605,IF(H607="GLOBORG",PR!$Y605,IF(H607="GOODNEWS",PR!$Z605,IF(H607="GREENLIFE",PR!$AA605,IF(H607="HLINE",PR!$AB605,IF(H607="ROTECH",PR!$AC605,IF(H607="ISN",PR!$AD605,IF(H607="JAWA",PR!$AE605,IF(H607="LAYO",PR!$AF605,IF(H607="LEADWAY",PR!$AG605,IF(H607="LHV",PR!$AH605,IF(H607="MANOLA",PR!$AI605,IF(H607="MARCSON",PR!$AJ605,IF(H607="M&amp;B",PR!$AK605,IF(H607="MTRUST",PR!$AL605,IF(H607="MWORLD",PR!$AM605,IF(H607="MEGA",PR!$AN605,IF(H607="MICRONOVA",PR!$AO605,IF(H607="MFLASH",PR!$AP605,IF(H607="MORISON",PR!$AQ605,IF(H607="NEMEL",PR!$AR605,IF(H607="NHP",PR!$AS605,IF(H607="NHC",PR!$AT605,IF(H607="OLEAF",PR!$AU605,IF(H607="OCULUS",PR!$AV605,IF(H607="PACIFIC",PR!$AW605,IF(H607="PHAMATEX",PR!$AX605,IF(H607="PETHICS",PR!$AY605,IF(H607="PHILIPS",PR!$AZ605,IF(H607="RANBAXY",PR!$BA605,IF(H607="REALS",PR!$BB605,IF(H607="ROYAL",PR!$BC605,IF(H607="SAM",PR!$BD605,IF(H607="SEAGREEN",PR!$BE605,IF(H607="SKG",PR!$BF605,IF(H607="TAH",PR!$BG605,IF(H607="TAYLEK",PR!$BH605,IF(H607="TEMITA",PR!$BI605,IF(H607="THL",PR!$BJ605,IF(H607="UBASTIC",PR!$BK605,IF(H607="UNION",PR!$BL605,IF(H607="UNIQUE",PR!$BM605,IF(H607="VIXA",PR!$BN605,IF(H607="WWCV",PR!$BO605,IF(H607="ZOLON",PR!$BP605,"-"))))))))))))))))))))))))))))))))))))))))))))))))))))))))))))))))</f>
        <v>-</v>
      </c>
      <c r="H607" s="102">
        <f>EV!M781</f>
        <v>0</v>
      </c>
      <c r="I607" s="108" t="str">
        <f>IF(J607="ALPHA",PR!$E605,IF(J607="ASSENE",PR!$F605,IF(J607="BIOFEM",PR!$G605,IF(J607="BIOMED",PR!$H605,IF(J607="CHI",PR!$I605,IF(J607="CLARION",PR!$J605,IF(J607="CODIX",PR!$K605,IF(J607="COSMADE",PR!$L605,IF(J607="SANCON",PR!$M605,IF(J607="DEVON",PR!$N605,IF(J607="DORTEMAG",PR!$O605,IF(J607="DGF",PR!$P605,IF(J607="DYNAMIC",PR!$Q605,IF(J607="EMZOR",PR!$R605,IF(J607="EUMATT",PR!$S605,IF(J607="FIDSON",PR!$T605,IF(J607="FCGLOBAL",PR!$U605,IF(J607="GENEITH",PR!$V605,IF(J607="GINOS",PR!$W605,IF(J607="GSK",PR!$X605,IF(J607="GLOBORG",PR!$Y605,IF(J607="GOODNEWS",PR!$Z605,IF(J607="GREENLIFE",PR!$AA605,IF(J607="HLINE",PR!$AB605,IF(J607="ROTECH",PR!$AC605,IF(J607="ISN",PR!$AD605,IF(J607="JAWA",PR!$AE605,IF(J607="LAYO",PR!$AF605,IF(J607="LEADWAY",PR!$AG605,IF(J607="LHV",PR!$AH605,IF(J607="MANOLA",PR!$AI605,IF(J607="MARCSON",PR!$AJ605,IF(J607="M&amp;B",PR!$AK605,IF(J607="MTRUST",PR!$AL605,IF(J607="MWORLD",PR!$AM605,IF(J607="MEGA",PR!$AN605,IF(J607="MICRONOVA",PR!$AO605,IF(J607="MFLASH",PR!$AP605,IF(J607="MORISON",PR!$AQ605,IF(J607="NEMEL",PR!$AR605,IF(J607="NHP",PR!$AS605,IF(J607="NHC",PR!$AT605,IF(J607="OLEAF",PR!$AU605,IF(J607="OCULUS",PR!$AV605,IF(J607="PACIFIC",PR!$AW605,IF(J607="PHAMATEX",PR!$AX605,IF(J607="PETHICS",PR!$AY605,IF(J607="PHILIPS",PR!$AZ605,IF(J607="RANBAXY",PR!$BA605,IF(J607="REALS",PR!$BB605,IF(J607="ROYAL",PR!$BC605,IF(J607="SAM",PR!$BD605,IF(J607="SEAGREEN",PR!$BE605,IF(J607="SKG",PR!$BF605,IF(J607="TAH",PR!$BG605,IF(J607="TAYLEK",PR!$BH605,IF(J607="TEMITA",PR!$BI605,IF(J607="THL",PR!$BJ605,IF(J607="UBASTIC",PR!$BK605,IF(J607="UNION",PR!$BL605,IF(J607="UNIQUE",PR!$BM605,IF(J607="VIXA",PR!$BN605,IF(J607="WWCV",PR!$BO605,IF(J607="ZOLON",PR!$BP605,"-"))))))))))))))))))))))))))))))))))))))))))))))))))))))))))))))))</f>
        <v>-</v>
      </c>
      <c r="J607" s="102">
        <f>EV!N781</f>
        <v>0</v>
      </c>
      <c r="K607" s="433"/>
      <c r="L607" s="183" t="b">
        <f>IF(K607&gt;0,IF(K607="ALPHA",PR!$E605,IF(K607="ASSENE",PR!$F605,IF(K607="BIOFEM",PR!$G605,IF(K607="BIOMED",PR!$H605,IF(K607="CHI",PR!$I605,IF(K607="CLARION",PR!$J605,IF(K607="CODIX",PR!$K605,IF(K607="COSMADE",PR!$L605,IF(K607="SANCON",PR!$M605,IF(K607="DEVON",PR!$N605,IF(K607="DORTEMAG",PR!$O605,IF(K607="DGF",PR!$P605,IF(K607="DYNAMIC",PR!$Q605,IF(K607="EMZOR",PR!$R605,IF(K607="EUMATT",PR!$S605,IF(K607="FIDSON",PR!$T605,IF(K607="FCGLOBAL",PR!$U605,IF(K607="GENEITH",PR!$V605,IF(K607="GINOS",PR!$W605,IF(K607="GSK",PR!$X605,IF(K607="GLOBORG",PR!$Y605,IF(K607="GOODNEWS",PR!$Z605,IF(K607="GREENLIFE",PR!$AA605,IF(K607="HLINE",PR!$AB605,IF(K607="ROTECH",PR!$AC605,IF(K607="ISN",PR!$AD605,IF(K607="JAWA",PR!$AE605,IF(K607="LAYO",PR!$AF605,IF(K607="LEADWAY",PR!$AG605,IF(K607="LHV",PR!$AH605,IF(K607="MANOLA",PR!$AI605,IF(K607="MARCSON",PR!$AJ605,IF(K607="M&amp;B",PR!$AK605,IF(K607="MTRUST",PR!$AL605,IF(K607="MWORLD",PR!$AM605,IF(K607="MEGA",PR!$AN605,IF(K607="MICRONOVA",PR!$AO605,IF(K607="MFLASH",PR!$AP605,IF(K607="MORISON",PR!$AQ605,IF(K607="NEMEL",PR!$AR605,IF(K607="NHP",PR!$AS605,IF(K607="NHC",PR!$AT605,IF(K607="OLEAF",PR!$AU605,IF(K607="OCULUS",PR!$AV605,IF(K607="PACIFIC",PR!$AW605,IF(K607="PHAMATEX",PR!$AX605,IF(K607="PETHICS",PR!$AY605,IF(K607="PHILIPS",PR!$AZ605,IF(K607="RANBAXY",PR!$BA605,IF(K607="REALS",PR!$BB605,IF(K607="ROYAL",PR!$BC605,IF(K607="SAM",PR!$BD605,IF(K607="SEAGREEN",PR!$BE605,IF(K607="SKG",PR!$BF605,IF(K607="TAH",PR!$BG605,IF(K607="TAYLEK",PR!$BH605,IF(K607="TEMITA",PR!$BI605,IF(K607="THL",PR!$BJ605,IF(K607="UBASTIC",PR!$BK605,IF(K607="UNION",PR!$BL605,IF(K607="UNIQUE",PR!$BM605,IF(K607="VIXA",PR!$BN605,IF(K607="WWCV",PR!$BO605,IF(K607="ZOLON",PR!$BP605,"-")))))))))))))))))))))))))))))))))))))))))))))))))))))))))))))))))</f>
        <v>0</v>
      </c>
    </row>
    <row r="608" spans="1:12" ht="18.75" x14ac:dyDescent="0.3">
      <c r="A608" s="430">
        <f>PR!A606</f>
        <v>548</v>
      </c>
      <c r="B608" s="15" t="str">
        <f>PR!B606</f>
        <v>CYCLOSPORIN 50MG CAP</v>
      </c>
      <c r="C608" s="113">
        <f>PR!D606</f>
        <v>30</v>
      </c>
      <c r="D608" s="113">
        <f>PR!C606</f>
        <v>20</v>
      </c>
      <c r="E608" s="108">
        <f>IF(F608="ALPHA",PR!$E606,IF(F608="ASSENE",PR!$F606,IF(F608="BIOFEM",PR!$G606,IF(F608="BIOMED",PR!$H606,IF(F608="CHI",PR!$I606,IF(F608="CLARION",PR!$J606,IF(F608="CODIX",PR!$K606,IF(F608="COSMADE",PR!$L606,IF(F608="SANCON",PR!$M606,IF(F608="DEVON",PR!$N606,IF(F608="DORTEMAG",PR!$O606,IF(F608="DGF",PR!$P606,IF(F608="DYNAMIC",PR!$Q606,IF(F608="EMZOR",PR!$R606,IF(F608="EUMATT",PR!$S606,IF(F608="FIDSON",PR!$T606,IF(F608="FCGLOBAL",PR!$U606,IF(F608="GENEITH",PR!$V606,IF(F608="GINOS",PR!$W606,IF(F608="GSK",PR!$X606,IF(F608="GLOBORG",PR!$Y606,IF(F608="GOODNEWS",PR!$Z606,IF(F608="GREENLIFE",PR!$AA606,IF(F608="HLINE",PR!$AB606,IF(F608="ROTECH",PR!$AC606,IF(F608="ISN",PR!$AD606,IF(F608="JAWA",PR!$AE606,IF(F608="LAYO",PR!$AF606,IF(F608="LEADWAY",PR!$AG606,IF(F608="LHV",PR!$AH606,IF(F608="MANOLA",PR!$AI606,IF(F608="MARCSON",PR!$AJ606,IF(F608="M&amp;B",PR!$AK606,IF(F608="MTRUST",PR!$AL606,IF(F608="MWORLD",PR!$AM606,IF(F608="MEGA",PR!$AN606,IF(F608="MICRONOVA",PR!$AO606,IF(F608="MFLASH",PR!$AP606,IF(F608="MORISON",PR!$AQ606,IF(F608="NEMEL",PR!$AR606,IF(F608="NHP",PR!$AS606,IF(F608="NHC",PR!$AT606,IF(F608="OLEAF",PR!$AU606,IF(F608="OCULUS",PR!$AV606,IF(F608="PACIFIC",PR!$AW606,IF(F608="PHAMATEX",PR!$AX606,IF(F608="PETHICS",PR!$AY606,IF(F608="PHILIPS",PR!$AZ606,IF(F608="RANBAXY",PR!$BA606,IF(F608="REALS",PR!$BB606,IF(F608="ROYAL",PR!$BC606,IF(F608="SAM",PR!$BD606,IF(F608="SEAGREEN",PR!$BE606,IF(F608="SKG",PR!$BF606,IF(F608="TAH",PR!$BG606,IF(F608="TAYLEK",PR!$BH606,IF(F608="TEMITA",PR!$BI606,IF(F608="THL",PR!$BJ606,IF(F608="UBASTIC",PR!$BK606,IF(F608="UNION",PR!$BL606,IF(F608="UNIQUE",PR!$BM606,IF(F608="VIXA",PR!$BN606,IF(F608="WWCV",PR!$BO606,IF(F608="ZOLON",PR!$BP606,"-"))))))))))))))))))))))))))))))))))))))))))))))))))))))))))))))))</f>
        <v>53088</v>
      </c>
      <c r="F608" s="102" t="str">
        <f>EV!L782</f>
        <v>WWCV</v>
      </c>
      <c r="G608" s="108" t="str">
        <f>IF(H608="ALPHA",PR!$E606,IF(H608="ASSENE",PR!$F606,IF(H608="BIOFEM",PR!$G606,IF(H608="BIOMED",PR!$H606,IF(H608="CHI",PR!$I606,IF(H608="CLARION",PR!$J606,IF(H608="CODIX",PR!$K606,IF(H608="COSMADE",PR!$L606,IF(H608="SANCON",PR!$M606,IF(H608="DEVON",PR!$N606,IF(H608="DORTEMAG",PR!$O606,IF(H608="DGF",PR!$P606,IF(H608="DYNAMIC",PR!$Q606,IF(H608="EMZOR",PR!$R606,IF(H608="EUMATT",PR!$S606,IF(H608="FIDSON",PR!$T606,IF(H608="FCGLOBAL",PR!$U606,IF(H608="GENEITH",PR!$V606,IF(H608="GINOS",PR!$W606,IF(H608="GSK",PR!$X606,IF(H608="GLOBORG",PR!$Y606,IF(H608="GOODNEWS",PR!$Z606,IF(H608="GREENLIFE",PR!$AA606,IF(H608="HLINE",PR!$AB606,IF(H608="ROTECH",PR!$AC606,IF(H608="ISN",PR!$AD606,IF(H608="JAWA",PR!$AE606,IF(H608="LAYO",PR!$AF606,IF(H608="LEADWAY",PR!$AG606,IF(H608="LHV",PR!$AH606,IF(H608="MANOLA",PR!$AI606,IF(H608="MARCSON",PR!$AJ606,IF(H608="M&amp;B",PR!$AK606,IF(H608="MTRUST",PR!$AL606,IF(H608="MWORLD",PR!$AM606,IF(H608="MEGA",PR!$AN606,IF(H608="MICRONOVA",PR!$AO606,IF(H608="MFLASH",PR!$AP606,IF(H608="MORISON",PR!$AQ606,IF(H608="NEMEL",PR!$AR606,IF(H608="NHP",PR!$AS606,IF(H608="NHC",PR!$AT606,IF(H608="OLEAF",PR!$AU606,IF(H608="OCULUS",PR!$AV606,IF(H608="PACIFIC",PR!$AW606,IF(H608="PHAMATEX",PR!$AX606,IF(H608="PETHICS",PR!$AY606,IF(H608="PHILIPS",PR!$AZ606,IF(H608="RANBAXY",PR!$BA606,IF(H608="REALS",PR!$BB606,IF(H608="ROYAL",PR!$BC606,IF(H608="SAM",PR!$BD606,IF(H608="SEAGREEN",PR!$BE606,IF(H608="SKG",PR!$BF606,IF(H608="TAH",PR!$BG606,IF(H608="TAYLEK",PR!$BH606,IF(H608="TEMITA",PR!$BI606,IF(H608="THL",PR!$BJ606,IF(H608="UBASTIC",PR!$BK606,IF(H608="UNION",PR!$BL606,IF(H608="UNIQUE",PR!$BM606,IF(H608="VIXA",PR!$BN606,IF(H608="WWCV",PR!$BO606,IF(H608="ZOLON",PR!$BP606,"-"))))))))))))))))))))))))))))))))))))))))))))))))))))))))))))))))</f>
        <v>-</v>
      </c>
      <c r="H608" s="102">
        <f>EV!M782</f>
        <v>0</v>
      </c>
      <c r="I608" s="108" t="str">
        <f>IF(J608="ALPHA",PR!$E606,IF(J608="ASSENE",PR!$F606,IF(J608="BIOFEM",PR!$G606,IF(J608="BIOMED",PR!$H606,IF(J608="CHI",PR!$I606,IF(J608="CLARION",PR!$J606,IF(J608="CODIX",PR!$K606,IF(J608="COSMADE",PR!$L606,IF(J608="SANCON",PR!$M606,IF(J608="DEVON",PR!$N606,IF(J608="DORTEMAG",PR!$O606,IF(J608="DGF",PR!$P606,IF(J608="DYNAMIC",PR!$Q606,IF(J608="EMZOR",PR!$R606,IF(J608="EUMATT",PR!$S606,IF(J608="FIDSON",PR!$T606,IF(J608="FCGLOBAL",PR!$U606,IF(J608="GENEITH",PR!$V606,IF(J608="GINOS",PR!$W606,IF(J608="GSK",PR!$X606,IF(J608="GLOBORG",PR!$Y606,IF(J608="GOODNEWS",PR!$Z606,IF(J608="GREENLIFE",PR!$AA606,IF(J608="HLINE",PR!$AB606,IF(J608="ROTECH",PR!$AC606,IF(J608="ISN",PR!$AD606,IF(J608="JAWA",PR!$AE606,IF(J608="LAYO",PR!$AF606,IF(J608="LEADWAY",PR!$AG606,IF(J608="LHV",PR!$AH606,IF(J608="MANOLA",PR!$AI606,IF(J608="MARCSON",PR!$AJ606,IF(J608="M&amp;B",PR!$AK606,IF(J608="MTRUST",PR!$AL606,IF(J608="MWORLD",PR!$AM606,IF(J608="MEGA",PR!$AN606,IF(J608="MICRONOVA",PR!$AO606,IF(J608="MFLASH",PR!$AP606,IF(J608="MORISON",PR!$AQ606,IF(J608="NEMEL",PR!$AR606,IF(J608="NHP",PR!$AS606,IF(J608="NHC",PR!$AT606,IF(J608="OLEAF",PR!$AU606,IF(J608="OCULUS",PR!$AV606,IF(J608="PACIFIC",PR!$AW606,IF(J608="PHAMATEX",PR!$AX606,IF(J608="PETHICS",PR!$AY606,IF(J608="PHILIPS",PR!$AZ606,IF(J608="RANBAXY",PR!$BA606,IF(J608="REALS",PR!$BB606,IF(J608="ROYAL",PR!$BC606,IF(J608="SAM",PR!$BD606,IF(J608="SEAGREEN",PR!$BE606,IF(J608="SKG",PR!$BF606,IF(J608="TAH",PR!$BG606,IF(J608="TAYLEK",PR!$BH606,IF(J608="TEMITA",PR!$BI606,IF(J608="THL",PR!$BJ606,IF(J608="UBASTIC",PR!$BK606,IF(J608="UNION",PR!$BL606,IF(J608="UNIQUE",PR!$BM606,IF(J608="VIXA",PR!$BN606,IF(J608="WWCV",PR!$BO606,IF(J608="ZOLON",PR!$BP606,"-"))))))))))))))))))))))))))))))))))))))))))))))))))))))))))))))))</f>
        <v>-</v>
      </c>
      <c r="J608" s="102">
        <f>EV!N782</f>
        <v>0</v>
      </c>
      <c r="K608" s="433" t="s">
        <v>1231</v>
      </c>
      <c r="L608" s="183">
        <f>IF(K608&gt;0,IF(K608="ALPHA",PR!$E606,IF(K608="ASSENE",PR!$F606,IF(K608="BIOFEM",PR!$G606,IF(K608="BIOMED",PR!$H606,IF(K608="CHI",PR!$I606,IF(K608="CLARION",PR!$J606,IF(K608="CODIX",PR!$K606,IF(K608="COSMADE",PR!$L606,IF(K608="SANCON",PR!$M606,IF(K608="DEVON",PR!$N606,IF(K608="DORTEMAG",PR!$O606,IF(K608="DGF",PR!$P606,IF(K608="DYNAMIC",PR!$Q606,IF(K608="EMZOR",PR!$R606,IF(K608="EUMATT",PR!$S606,IF(K608="FIDSON",PR!$T606,IF(K608="FCGLOBAL",PR!$U606,IF(K608="GENEITH",PR!$V606,IF(K608="GINOS",PR!$W606,IF(K608="GSK",PR!$X606,IF(K608="GLOBORG",PR!$Y606,IF(K608="GOODNEWS",PR!$Z606,IF(K608="GREENLIFE",PR!$AA606,IF(K608="HLINE",PR!$AB606,IF(K608="ROTECH",PR!$AC606,IF(K608="ISN",PR!$AD606,IF(K608="JAWA",PR!$AE606,IF(K608="LAYO",PR!$AF606,IF(K608="LEADWAY",PR!$AG606,IF(K608="LHV",PR!$AH606,IF(K608="MANOLA",PR!$AI606,IF(K608="MARCSON",PR!$AJ606,IF(K608="M&amp;B",PR!$AK606,IF(K608="MTRUST",PR!$AL606,IF(K608="MWORLD",PR!$AM606,IF(K608="MEGA",PR!$AN606,IF(K608="MICRONOVA",PR!$AO606,IF(K608="MFLASH",PR!$AP606,IF(K608="MORISON",PR!$AQ606,IF(K608="NEMEL",PR!$AR606,IF(K608="NHP",PR!$AS606,IF(K608="NHC",PR!$AT606,IF(K608="OLEAF",PR!$AU606,IF(K608="OCULUS",PR!$AV606,IF(K608="PACIFIC",PR!$AW606,IF(K608="PHAMATEX",PR!$AX606,IF(K608="PETHICS",PR!$AY606,IF(K608="PHILIPS",PR!$AZ606,IF(K608="RANBAXY",PR!$BA606,IF(K608="REALS",PR!$BB606,IF(K608="ROYAL",PR!$BC606,IF(K608="SAM",PR!$BD606,IF(K608="SEAGREEN",PR!$BE606,IF(K608="SKG",PR!$BF606,IF(K608="TAH",PR!$BG606,IF(K608="TAYLEK",PR!$BH606,IF(K608="TEMITA",PR!$BI606,IF(K608="THL",PR!$BJ606,IF(K608="UBASTIC",PR!$BK606,IF(K608="UNION",PR!$BL606,IF(K608="UNIQUE",PR!$BM606,IF(K608="VIXA",PR!$BN606,IF(K608="WWCV",PR!$BO606,IF(K608="ZOLON",PR!$BP606,"-")))))))))))))))))))))))))))))))))))))))))))))))))))))))))))))))))</f>
        <v>53088</v>
      </c>
    </row>
    <row r="609" spans="1:12" ht="18.75" x14ac:dyDescent="0.3">
      <c r="A609" s="430">
        <f>PR!A607</f>
        <v>549</v>
      </c>
      <c r="B609" s="15" t="str">
        <f>PR!B607</f>
        <v>DACARBAZINE 100MG INJ</v>
      </c>
      <c r="C609" s="113" t="str">
        <f>PR!D607</f>
        <v>AMP</v>
      </c>
      <c r="D609" s="113">
        <f>PR!C607</f>
        <v>16</v>
      </c>
      <c r="E609" s="108">
        <f>IF(F609="ALPHA",PR!$E607,IF(F609="ASSENE",PR!$F607,IF(F609="BIOFEM",PR!$G607,IF(F609="BIOMED",PR!$H607,IF(F609="CHI",PR!$I607,IF(F609="CLARION",PR!$J607,IF(F609="CODIX",PR!$K607,IF(F609="COSMADE",PR!$L607,IF(F609="SANCON",PR!$M607,IF(F609="DEVON",PR!$N607,IF(F609="DORTEMAG",PR!$O607,IF(F609="DGF",PR!$P607,IF(F609="DYNAMIC",PR!$Q607,IF(F609="EMZOR",PR!$R607,IF(F609="EUMATT",PR!$S607,IF(F609="FIDSON",PR!$T607,IF(F609="FCGLOBAL",PR!$U607,IF(F609="GENEITH",PR!$V607,IF(F609="GINOS",PR!$W607,IF(F609="GSK",PR!$X607,IF(F609="GLOBORG",PR!$Y607,IF(F609="GOODNEWS",PR!$Z607,IF(F609="GREENLIFE",PR!$AA607,IF(F609="HLINE",PR!$AB607,IF(F609="ROTECH",PR!$AC607,IF(F609="ISN",PR!$AD607,IF(F609="JAWA",PR!$AE607,IF(F609="LAYO",PR!$AF607,IF(F609="LEADWAY",PR!$AG607,IF(F609="LHV",PR!$AH607,IF(F609="MANOLA",PR!$AI607,IF(F609="MARCSON",PR!$AJ607,IF(F609="M&amp;B",PR!$AK607,IF(F609="MTRUST",PR!$AL607,IF(F609="MWORLD",PR!$AM607,IF(F609="MEGA",PR!$AN607,IF(F609="MICRONOVA",PR!$AO607,IF(F609="MFLASH",PR!$AP607,IF(F609="MORISON",PR!$AQ607,IF(F609="NEMEL",PR!$AR607,IF(F609="NHP",PR!$AS607,IF(F609="NHC",PR!$AT607,IF(F609="OLEAF",PR!$AU607,IF(F609="OCULUS",PR!$AV607,IF(F609="PACIFIC",PR!$AW607,IF(F609="PHAMATEX",PR!$AX607,IF(F609="PETHICS",PR!$AY607,IF(F609="PHILIPS",PR!$AZ607,IF(F609="RANBAXY",PR!$BA607,IF(F609="REALS",PR!$BB607,IF(F609="ROYAL",PR!$BC607,IF(F609="SAM",PR!$BD607,IF(F609="SEAGREEN",PR!$BE607,IF(F609="SKG",PR!$BF607,IF(F609="TAH",PR!$BG607,IF(F609="TAYLEK",PR!$BH607,IF(F609="TEMITA",PR!$BI607,IF(F609="THL",PR!$BJ607,IF(F609="UBASTIC",PR!$BK607,IF(F609="UNION",PR!$BL607,IF(F609="UNIQUE",PR!$BM607,IF(F609="VIXA",PR!$BN607,IF(F609="WWCV",PR!$BO607,IF(F609="ZOLON",PR!$BP607,"-"))))))))))))))))))))))))))))))))))))))))))))))))))))))))))))))))</f>
        <v>3851</v>
      </c>
      <c r="F609" s="102" t="str">
        <f>EV!L783</f>
        <v>MANOLA</v>
      </c>
      <c r="G609" s="108" t="str">
        <f>IF(H609="ALPHA",PR!$E607,IF(H609="ASSENE",PR!$F607,IF(H609="BIOFEM",PR!$G607,IF(H609="BIOMED",PR!$H607,IF(H609="CHI",PR!$I607,IF(H609="CLARION",PR!$J607,IF(H609="CODIX",PR!$K607,IF(H609="COSMADE",PR!$L607,IF(H609="SANCON",PR!$M607,IF(H609="DEVON",PR!$N607,IF(H609="DORTEMAG",PR!$O607,IF(H609="DGF",PR!$P607,IF(H609="DYNAMIC",PR!$Q607,IF(H609="EMZOR",PR!$R607,IF(H609="EUMATT",PR!$S607,IF(H609="FIDSON",PR!$T607,IF(H609="FCGLOBAL",PR!$U607,IF(H609="GENEITH",PR!$V607,IF(H609="GINOS",PR!$W607,IF(H609="GSK",PR!$X607,IF(H609="GLOBORG",PR!$Y607,IF(H609="GOODNEWS",PR!$Z607,IF(H609="GREENLIFE",PR!$AA607,IF(H609="HLINE",PR!$AB607,IF(H609="ROTECH",PR!$AC607,IF(H609="ISN",PR!$AD607,IF(H609="JAWA",PR!$AE607,IF(H609="LAYO",PR!$AF607,IF(H609="LEADWAY",PR!$AG607,IF(H609="LHV",PR!$AH607,IF(H609="MANOLA",PR!$AI607,IF(H609="MARCSON",PR!$AJ607,IF(H609="M&amp;B",PR!$AK607,IF(H609="MTRUST",PR!$AL607,IF(H609="MWORLD",PR!$AM607,IF(H609="MEGA",PR!$AN607,IF(H609="MICRONOVA",PR!$AO607,IF(H609="MFLASH",PR!$AP607,IF(H609="MORISON",PR!$AQ607,IF(H609="NEMEL",PR!$AR607,IF(H609="NHP",PR!$AS607,IF(H609="NHC",PR!$AT607,IF(H609="OLEAF",PR!$AU607,IF(H609="OCULUS",PR!$AV607,IF(H609="PACIFIC",PR!$AW607,IF(H609="PHAMATEX",PR!$AX607,IF(H609="PETHICS",PR!$AY607,IF(H609="PHILIPS",PR!$AZ607,IF(H609="RANBAXY",PR!$BA607,IF(H609="REALS",PR!$BB607,IF(H609="ROYAL",PR!$BC607,IF(H609="SAM",PR!$BD607,IF(H609="SEAGREEN",PR!$BE607,IF(H609="SKG",PR!$BF607,IF(H609="TAH",PR!$BG607,IF(H609="TAYLEK",PR!$BH607,IF(H609="TEMITA",PR!$BI607,IF(H609="THL",PR!$BJ607,IF(H609="UBASTIC",PR!$BK607,IF(H609="UNION",PR!$BL607,IF(H609="UNIQUE",PR!$BM607,IF(H609="VIXA",PR!$BN607,IF(H609="WWCV",PR!$BO607,IF(H609="ZOLON",PR!$BP607,"-"))))))))))))))))))))))))))))))))))))))))))))))))))))))))))))))))</f>
        <v>-</v>
      </c>
      <c r="H609" s="102">
        <f>EV!M783</f>
        <v>0</v>
      </c>
      <c r="I609" s="108" t="str">
        <f>IF(J609="ALPHA",PR!$E607,IF(J609="ASSENE",PR!$F607,IF(J609="BIOFEM",PR!$G607,IF(J609="BIOMED",PR!$H607,IF(J609="CHI",PR!$I607,IF(J609="CLARION",PR!$J607,IF(J609="CODIX",PR!$K607,IF(J609="COSMADE",PR!$L607,IF(J609="SANCON",PR!$M607,IF(J609="DEVON",PR!$N607,IF(J609="DORTEMAG",PR!$O607,IF(J609="DGF",PR!$P607,IF(J609="DYNAMIC",PR!$Q607,IF(J609="EMZOR",PR!$R607,IF(J609="EUMATT",PR!$S607,IF(J609="FIDSON",PR!$T607,IF(J609="FCGLOBAL",PR!$U607,IF(J609="GENEITH",PR!$V607,IF(J609="GINOS",PR!$W607,IF(J609="GSK",PR!$X607,IF(J609="GLOBORG",PR!$Y607,IF(J609="GOODNEWS",PR!$Z607,IF(J609="GREENLIFE",PR!$AA607,IF(J609="HLINE",PR!$AB607,IF(J609="ROTECH",PR!$AC607,IF(J609="ISN",PR!$AD607,IF(J609="JAWA",PR!$AE607,IF(J609="LAYO",PR!$AF607,IF(J609="LEADWAY",PR!$AG607,IF(J609="LHV",PR!$AH607,IF(J609="MANOLA",PR!$AI607,IF(J609="MARCSON",PR!$AJ607,IF(J609="M&amp;B",PR!$AK607,IF(J609="MTRUST",PR!$AL607,IF(J609="MWORLD",PR!$AM607,IF(J609="MEGA",PR!$AN607,IF(J609="MICRONOVA",PR!$AO607,IF(J609="MFLASH",PR!$AP607,IF(J609="MORISON",PR!$AQ607,IF(J609="NEMEL",PR!$AR607,IF(J609="NHP",PR!$AS607,IF(J609="NHC",PR!$AT607,IF(J609="OLEAF",PR!$AU607,IF(J609="OCULUS",PR!$AV607,IF(J609="PACIFIC",PR!$AW607,IF(J609="PHAMATEX",PR!$AX607,IF(J609="PETHICS",PR!$AY607,IF(J609="PHILIPS",PR!$AZ607,IF(J609="RANBAXY",PR!$BA607,IF(J609="REALS",PR!$BB607,IF(J609="ROYAL",PR!$BC607,IF(J609="SAM",PR!$BD607,IF(J609="SEAGREEN",PR!$BE607,IF(J609="SKG",PR!$BF607,IF(J609="TAH",PR!$BG607,IF(J609="TAYLEK",PR!$BH607,IF(J609="TEMITA",PR!$BI607,IF(J609="THL",PR!$BJ607,IF(J609="UBASTIC",PR!$BK607,IF(J609="UNION",PR!$BL607,IF(J609="UNIQUE",PR!$BM607,IF(J609="VIXA",PR!$BN607,IF(J609="WWCV",PR!$BO607,IF(J609="ZOLON",PR!$BP607,"-"))))))))))))))))))))))))))))))))))))))))))))))))))))))))))))))))</f>
        <v>-</v>
      </c>
      <c r="J609" s="102">
        <f>EV!N783</f>
        <v>0</v>
      </c>
      <c r="K609" s="433" t="s">
        <v>820</v>
      </c>
      <c r="L609" s="183">
        <f>IF(K609&gt;0,IF(K609="ALPHA",PR!$E607,IF(K609="ASSENE",PR!$F607,IF(K609="BIOFEM",PR!$G607,IF(K609="BIOMED",PR!$H607,IF(K609="CHI",PR!$I607,IF(K609="CLARION",PR!$J607,IF(K609="CODIX",PR!$K607,IF(K609="COSMADE",PR!$L607,IF(K609="SANCON",PR!$M607,IF(K609="DEVON",PR!$N607,IF(K609="DORTEMAG",PR!$O607,IF(K609="DGF",PR!$P607,IF(K609="DYNAMIC",PR!$Q607,IF(K609="EMZOR",PR!$R607,IF(K609="EUMATT",PR!$S607,IF(K609="FIDSON",PR!$T607,IF(K609="FCGLOBAL",PR!$U607,IF(K609="GENEITH",PR!$V607,IF(K609="GINOS",PR!$W607,IF(K609="GSK",PR!$X607,IF(K609="GLOBORG",PR!$Y607,IF(K609="GOODNEWS",PR!$Z607,IF(K609="GREENLIFE",PR!$AA607,IF(K609="HLINE",PR!$AB607,IF(K609="ROTECH",PR!$AC607,IF(K609="ISN",PR!$AD607,IF(K609="JAWA",PR!$AE607,IF(K609="LAYO",PR!$AF607,IF(K609="LEADWAY",PR!$AG607,IF(K609="LHV",PR!$AH607,IF(K609="MANOLA",PR!$AI607,IF(K609="MARCSON",PR!$AJ607,IF(K609="M&amp;B",PR!$AK607,IF(K609="MTRUST",PR!$AL607,IF(K609="MWORLD",PR!$AM607,IF(K609="MEGA",PR!$AN607,IF(K609="MICRONOVA",PR!$AO607,IF(K609="MFLASH",PR!$AP607,IF(K609="MORISON",PR!$AQ607,IF(K609="NEMEL",PR!$AR607,IF(K609="NHP",PR!$AS607,IF(K609="NHC",PR!$AT607,IF(K609="OLEAF",PR!$AU607,IF(K609="OCULUS",PR!$AV607,IF(K609="PACIFIC",PR!$AW607,IF(K609="PHAMATEX",PR!$AX607,IF(K609="PETHICS",PR!$AY607,IF(K609="PHILIPS",PR!$AZ607,IF(K609="RANBAXY",PR!$BA607,IF(K609="REALS",PR!$BB607,IF(K609="ROYAL",PR!$BC607,IF(K609="SAM",PR!$BD607,IF(K609="SEAGREEN",PR!$BE607,IF(K609="SKG",PR!$BF607,IF(K609="TAH",PR!$BG607,IF(K609="TAYLEK",PR!$BH607,IF(K609="TEMITA",PR!$BI607,IF(K609="THL",PR!$BJ607,IF(K609="UBASTIC",PR!$BK607,IF(K609="UNION",PR!$BL607,IF(K609="UNIQUE",PR!$BM607,IF(K609="VIXA",PR!$BN607,IF(K609="WWCV",PR!$BO607,IF(K609="ZOLON",PR!$BP607,"-")))))))))))))))))))))))))))))))))))))))))))))))))))))))))))))))))</f>
        <v>3851</v>
      </c>
    </row>
    <row r="610" spans="1:12" ht="18.75" x14ac:dyDescent="0.3">
      <c r="A610" s="430">
        <f>PR!A608</f>
        <v>550</v>
      </c>
      <c r="B610" s="15" t="str">
        <f>PR!B608</f>
        <v>DEPO-PROVERA (150MG/ML) INJ</v>
      </c>
      <c r="C610" s="113" t="str">
        <f>PR!D608</f>
        <v>VIAL</v>
      </c>
      <c r="D610" s="113">
        <f>PR!C608</f>
        <v>50</v>
      </c>
      <c r="E610" s="108">
        <f>IF(F610="ALPHA",PR!$E608,IF(F610="ASSENE",PR!$F608,IF(F610="BIOFEM",PR!$G608,IF(F610="BIOMED",PR!$H608,IF(F610="CHI",PR!$I608,IF(F610="CLARION",PR!$J608,IF(F610="CODIX",PR!$K608,IF(F610="COSMADE",PR!$L608,IF(F610="SANCON",PR!$M608,IF(F610="DEVON",PR!$N608,IF(F610="DORTEMAG",PR!$O608,IF(F610="DGF",PR!$P608,IF(F610="DYNAMIC",PR!$Q608,IF(F610="EMZOR",PR!$R608,IF(F610="EUMATT",PR!$S608,IF(F610="FIDSON",PR!$T608,IF(F610="FCGLOBAL",PR!$U608,IF(F610="GENEITH",PR!$V608,IF(F610="GINOS",PR!$W608,IF(F610="GSK",PR!$X608,IF(F610="GLOBORG",PR!$Y608,IF(F610="GOODNEWS",PR!$Z608,IF(F610="GREENLIFE",PR!$AA608,IF(F610="HLINE",PR!$AB608,IF(F610="ROTECH",PR!$AC608,IF(F610="ISN",PR!$AD608,IF(F610="JAWA",PR!$AE608,IF(F610="LAYO",PR!$AF608,IF(F610="LEADWAY",PR!$AG608,IF(F610="LHV",PR!$AH608,IF(F610="MANOLA",PR!$AI608,IF(F610="MARCSON",PR!$AJ608,IF(F610="M&amp;B",PR!$AK608,IF(F610="MTRUST",PR!$AL608,IF(F610="MWORLD",PR!$AM608,IF(F610="MEGA",PR!$AN608,IF(F610="MICRONOVA",PR!$AO608,IF(F610="MFLASH",PR!$AP608,IF(F610="MORISON",PR!$AQ608,IF(F610="NEMEL",PR!$AR608,IF(F610="NHP",PR!$AS608,IF(F610="NHC",PR!$AT608,IF(F610="OLEAF",PR!$AU608,IF(F610="OCULUS",PR!$AV608,IF(F610="PACIFIC",PR!$AW608,IF(F610="PHAMATEX",PR!$AX608,IF(F610="PETHICS",PR!$AY608,IF(F610="PHILIPS",PR!$AZ608,IF(F610="RANBAXY",PR!$BA608,IF(F610="REALS",PR!$BB608,IF(F610="ROYAL",PR!$BC608,IF(F610="SAM",PR!$BD608,IF(F610="SEAGREEN",PR!$BE608,IF(F610="SKG",PR!$BF608,IF(F610="TAH",PR!$BG608,IF(F610="TAYLEK",PR!$BH608,IF(F610="TEMITA",PR!$BI608,IF(F610="THL",PR!$BJ608,IF(F610="UBASTIC",PR!$BK608,IF(F610="UNION",PR!$BL608,IF(F610="UNIQUE",PR!$BM608,IF(F610="VIXA",PR!$BN608,IF(F610="WWCV",PR!$BO608,IF(F610="ZOLON",PR!$BP608,"-"))))))))))))))))))))))))))))))))))))))))))))))))))))))))))))))))</f>
        <v>34800</v>
      </c>
      <c r="F610" s="102" t="str">
        <f>EV!L784</f>
        <v>WWCV</v>
      </c>
      <c r="G610" s="108" t="str">
        <f>IF(H610="ALPHA",PR!$E608,IF(H610="ASSENE",PR!$F608,IF(H610="BIOFEM",PR!$G608,IF(H610="BIOMED",PR!$H608,IF(H610="CHI",PR!$I608,IF(H610="CLARION",PR!$J608,IF(H610="CODIX",PR!$K608,IF(H610="COSMADE",PR!$L608,IF(H610="SANCON",PR!$M608,IF(H610="DEVON",PR!$N608,IF(H610="DORTEMAG",PR!$O608,IF(H610="DGF",PR!$P608,IF(H610="DYNAMIC",PR!$Q608,IF(H610="EMZOR",PR!$R608,IF(H610="EUMATT",PR!$S608,IF(H610="FIDSON",PR!$T608,IF(H610="FCGLOBAL",PR!$U608,IF(H610="GENEITH",PR!$V608,IF(H610="GINOS",PR!$W608,IF(H610="GSK",PR!$X608,IF(H610="GLOBORG",PR!$Y608,IF(H610="GOODNEWS",PR!$Z608,IF(H610="GREENLIFE",PR!$AA608,IF(H610="HLINE",PR!$AB608,IF(H610="ROTECH",PR!$AC608,IF(H610="ISN",PR!$AD608,IF(H610="JAWA",PR!$AE608,IF(H610="LAYO",PR!$AF608,IF(H610="LEADWAY",PR!$AG608,IF(H610="LHV",PR!$AH608,IF(H610="MANOLA",PR!$AI608,IF(H610="MARCSON",PR!$AJ608,IF(H610="M&amp;B",PR!$AK608,IF(H610="MTRUST",PR!$AL608,IF(H610="MWORLD",PR!$AM608,IF(H610="MEGA",PR!$AN608,IF(H610="MICRONOVA",PR!$AO608,IF(H610="MFLASH",PR!$AP608,IF(H610="MORISON",PR!$AQ608,IF(H610="NEMEL",PR!$AR608,IF(H610="NHP",PR!$AS608,IF(H610="NHC",PR!$AT608,IF(H610="OLEAF",PR!$AU608,IF(H610="OCULUS",PR!$AV608,IF(H610="PACIFIC",PR!$AW608,IF(H610="PHAMATEX",PR!$AX608,IF(H610="PETHICS",PR!$AY608,IF(H610="PHILIPS",PR!$AZ608,IF(H610="RANBAXY",PR!$BA608,IF(H610="REALS",PR!$BB608,IF(H610="ROYAL",PR!$BC608,IF(H610="SAM",PR!$BD608,IF(H610="SEAGREEN",PR!$BE608,IF(H610="SKG",PR!$BF608,IF(H610="TAH",PR!$BG608,IF(H610="TAYLEK",PR!$BH608,IF(H610="TEMITA",PR!$BI608,IF(H610="THL",PR!$BJ608,IF(H610="UBASTIC",PR!$BK608,IF(H610="UNION",PR!$BL608,IF(H610="UNIQUE",PR!$BM608,IF(H610="VIXA",PR!$BN608,IF(H610="WWCV",PR!$BO608,IF(H610="ZOLON",PR!$BP608,"-"))))))))))))))))))))))))))))))))))))))))))))))))))))))))))))))))</f>
        <v>-</v>
      </c>
      <c r="H610" s="102">
        <f>EV!M784</f>
        <v>0</v>
      </c>
      <c r="I610" s="108" t="str">
        <f>IF(J610="ALPHA",PR!$E608,IF(J610="ASSENE",PR!$F608,IF(J610="BIOFEM",PR!$G608,IF(J610="BIOMED",PR!$H608,IF(J610="CHI",PR!$I608,IF(J610="CLARION",PR!$J608,IF(J610="CODIX",PR!$K608,IF(J610="COSMADE",PR!$L608,IF(J610="SANCON",PR!$M608,IF(J610="DEVON",PR!$N608,IF(J610="DORTEMAG",PR!$O608,IF(J610="DGF",PR!$P608,IF(J610="DYNAMIC",PR!$Q608,IF(J610="EMZOR",PR!$R608,IF(J610="EUMATT",PR!$S608,IF(J610="FIDSON",PR!$T608,IF(J610="FCGLOBAL",PR!$U608,IF(J610="GENEITH",PR!$V608,IF(J610="GINOS",PR!$W608,IF(J610="GSK",PR!$X608,IF(J610="GLOBORG",PR!$Y608,IF(J610="GOODNEWS",PR!$Z608,IF(J610="GREENLIFE",PR!$AA608,IF(J610="HLINE",PR!$AB608,IF(J610="ROTECH",PR!$AC608,IF(J610="ISN",PR!$AD608,IF(J610="JAWA",PR!$AE608,IF(J610="LAYO",PR!$AF608,IF(J610="LEADWAY",PR!$AG608,IF(J610="LHV",PR!$AH608,IF(J610="MANOLA",PR!$AI608,IF(J610="MARCSON",PR!$AJ608,IF(J610="M&amp;B",PR!$AK608,IF(J610="MTRUST",PR!$AL608,IF(J610="MWORLD",PR!$AM608,IF(J610="MEGA",PR!$AN608,IF(J610="MICRONOVA",PR!$AO608,IF(J610="MFLASH",PR!$AP608,IF(J610="MORISON",PR!$AQ608,IF(J610="NEMEL",PR!$AR608,IF(J610="NHP",PR!$AS608,IF(J610="NHC",PR!$AT608,IF(J610="OLEAF",PR!$AU608,IF(J610="OCULUS",PR!$AV608,IF(J610="PACIFIC",PR!$AW608,IF(J610="PHAMATEX",PR!$AX608,IF(J610="PETHICS",PR!$AY608,IF(J610="PHILIPS",PR!$AZ608,IF(J610="RANBAXY",PR!$BA608,IF(J610="REALS",PR!$BB608,IF(J610="ROYAL",PR!$BC608,IF(J610="SAM",PR!$BD608,IF(J610="SEAGREEN",PR!$BE608,IF(J610="SKG",PR!$BF608,IF(J610="TAH",PR!$BG608,IF(J610="TAYLEK",PR!$BH608,IF(J610="TEMITA",PR!$BI608,IF(J610="THL",PR!$BJ608,IF(J610="UBASTIC",PR!$BK608,IF(J610="UNION",PR!$BL608,IF(J610="UNIQUE",PR!$BM608,IF(J610="VIXA",PR!$BN608,IF(J610="WWCV",PR!$BO608,IF(J610="ZOLON",PR!$BP608,"-"))))))))))))))))))))))))))))))))))))))))))))))))))))))))))))))))</f>
        <v>-</v>
      </c>
      <c r="J610" s="102">
        <f>EV!N784</f>
        <v>0</v>
      </c>
      <c r="K610" s="433" t="s">
        <v>1231</v>
      </c>
      <c r="L610" s="183">
        <f>IF(K610&gt;0,IF(K610="ALPHA",PR!$E608,IF(K610="ASSENE",PR!$F608,IF(K610="BIOFEM",PR!$G608,IF(K610="BIOMED",PR!$H608,IF(K610="CHI",PR!$I608,IF(K610="CLARION",PR!$J608,IF(K610="CODIX",PR!$K608,IF(K610="COSMADE",PR!$L608,IF(K610="SANCON",PR!$M608,IF(K610="DEVON",PR!$N608,IF(K610="DORTEMAG",PR!$O608,IF(K610="DGF",PR!$P608,IF(K610="DYNAMIC",PR!$Q608,IF(K610="EMZOR",PR!$R608,IF(K610="EUMATT",PR!$S608,IF(K610="FIDSON",PR!$T608,IF(K610="FCGLOBAL",PR!$U608,IF(K610="GENEITH",PR!$V608,IF(K610="GINOS",PR!$W608,IF(K610="GSK",PR!$X608,IF(K610="GLOBORG",PR!$Y608,IF(K610="GOODNEWS",PR!$Z608,IF(K610="GREENLIFE",PR!$AA608,IF(K610="HLINE",PR!$AB608,IF(K610="ROTECH",PR!$AC608,IF(K610="ISN",PR!$AD608,IF(K610="JAWA",PR!$AE608,IF(K610="LAYO",PR!$AF608,IF(K610="LEADWAY",PR!$AG608,IF(K610="LHV",PR!$AH608,IF(K610="MANOLA",PR!$AI608,IF(K610="MARCSON",PR!$AJ608,IF(K610="M&amp;B",PR!$AK608,IF(K610="MTRUST",PR!$AL608,IF(K610="MWORLD",PR!$AM608,IF(K610="MEGA",PR!$AN608,IF(K610="MICRONOVA",PR!$AO608,IF(K610="MFLASH",PR!$AP608,IF(K610="MORISON",PR!$AQ608,IF(K610="NEMEL",PR!$AR608,IF(K610="NHP",PR!$AS608,IF(K610="NHC",PR!$AT608,IF(K610="OLEAF",PR!$AU608,IF(K610="OCULUS",PR!$AV608,IF(K610="PACIFIC",PR!$AW608,IF(K610="PHAMATEX",PR!$AX608,IF(K610="PETHICS",PR!$AY608,IF(K610="PHILIPS",PR!$AZ608,IF(K610="RANBAXY",PR!$BA608,IF(K610="REALS",PR!$BB608,IF(K610="ROYAL",PR!$BC608,IF(K610="SAM",PR!$BD608,IF(K610="SEAGREEN",PR!$BE608,IF(K610="SKG",PR!$BF608,IF(K610="TAH",PR!$BG608,IF(K610="TAYLEK",PR!$BH608,IF(K610="TEMITA",PR!$BI608,IF(K610="THL",PR!$BJ608,IF(K610="UBASTIC",PR!$BK608,IF(K610="UNION",PR!$BL608,IF(K610="UNIQUE",PR!$BM608,IF(K610="VIXA",PR!$BN608,IF(K610="WWCV",PR!$BO608,IF(K610="ZOLON",PR!$BP608,"-")))))))))))))))))))))))))))))))))))))))))))))))))))))))))))))))))</f>
        <v>34800</v>
      </c>
    </row>
    <row r="611" spans="1:12" ht="18.75" x14ac:dyDescent="0.3">
      <c r="A611" s="430">
        <f>PR!A609</f>
        <v>551</v>
      </c>
      <c r="B611" s="15" t="str">
        <f>PR!B609</f>
        <v>DOCETAXEL 80MG INJ</v>
      </c>
      <c r="C611" s="113">
        <f>PR!D609</f>
        <v>10</v>
      </c>
      <c r="D611" s="113">
        <f>PR!C609</f>
        <v>10</v>
      </c>
      <c r="E611" s="108">
        <f>IF(F611="ALPHA",PR!$E609,IF(F611="ASSENE",PR!$F609,IF(F611="BIOFEM",PR!$G609,IF(F611="BIOMED",PR!$H609,IF(F611="CHI",PR!$I609,IF(F611="CLARION",PR!$J609,IF(F611="CODIX",PR!$K609,IF(F611="COSMADE",PR!$L609,IF(F611="SANCON",PR!$M609,IF(F611="DEVON",PR!$N609,IF(F611="DORTEMAG",PR!$O609,IF(F611="DGF",PR!$P609,IF(F611="DYNAMIC",PR!$Q609,IF(F611="EMZOR",PR!$R609,IF(F611="EUMATT",PR!$S609,IF(F611="FIDSON",PR!$T609,IF(F611="FCGLOBAL",PR!$U609,IF(F611="GENEITH",PR!$V609,IF(F611="GINOS",PR!$W609,IF(F611="GSK",PR!$X609,IF(F611="GLOBORG",PR!$Y609,IF(F611="GOODNEWS",PR!$Z609,IF(F611="GREENLIFE",PR!$AA609,IF(F611="HLINE",PR!$AB609,IF(F611="ROTECH",PR!$AC609,IF(F611="ISN",PR!$AD609,IF(F611="JAWA",PR!$AE609,IF(F611="LAYO",PR!$AF609,IF(F611="LEADWAY",PR!$AG609,IF(F611="LHV",PR!$AH609,IF(F611="MANOLA",PR!$AI609,IF(F611="MARCSON",PR!$AJ609,IF(F611="M&amp;B",PR!$AK609,IF(F611="MTRUST",PR!$AL609,IF(F611="MWORLD",PR!$AM609,IF(F611="MEGA",PR!$AN609,IF(F611="MICRONOVA",PR!$AO609,IF(F611="MFLASH",PR!$AP609,IF(F611="MORISON",PR!$AQ609,IF(F611="NEMEL",PR!$AR609,IF(F611="NHP",PR!$AS609,IF(F611="NHC",PR!$AT609,IF(F611="OLEAF",PR!$AU609,IF(F611="OCULUS",PR!$AV609,IF(F611="PACIFIC",PR!$AW609,IF(F611="PHAMATEX",PR!$AX609,IF(F611="PETHICS",PR!$AY609,IF(F611="PHILIPS",PR!$AZ609,IF(F611="RANBAXY",PR!$BA609,IF(F611="REALS",PR!$BB609,IF(F611="ROYAL",PR!$BC609,IF(F611="SAM",PR!$BD609,IF(F611="SEAGREEN",PR!$BE609,IF(F611="SKG",PR!$BF609,IF(F611="TAH",PR!$BG609,IF(F611="TAYLEK",PR!$BH609,IF(F611="TEMITA",PR!$BI609,IF(F611="THL",PR!$BJ609,IF(F611="UBASTIC",PR!$BK609,IF(F611="UNION",PR!$BL609,IF(F611="UNIQUE",PR!$BM609,IF(F611="VIXA",PR!$BN609,IF(F611="WWCV",PR!$BO609,IF(F611="ZOLON",PR!$BP609,"-"))))))))))))))))))))))))))))))))))))))))))))))))))))))))))))))))</f>
        <v>22454</v>
      </c>
      <c r="F611" s="102" t="str">
        <f>EV!L785</f>
        <v>MANOLA</v>
      </c>
      <c r="G611" s="108">
        <f>IF(H611="ALPHA",PR!$E609,IF(H611="ASSENE",PR!$F609,IF(H611="BIOFEM",PR!$G609,IF(H611="BIOMED",PR!$H609,IF(H611="CHI",PR!$I609,IF(H611="CLARION",PR!$J609,IF(H611="CODIX",PR!$K609,IF(H611="COSMADE",PR!$L609,IF(H611="SANCON",PR!$M609,IF(H611="DEVON",PR!$N609,IF(H611="DORTEMAG",PR!$O609,IF(H611="DGF",PR!$P609,IF(H611="DYNAMIC",PR!$Q609,IF(H611="EMZOR",PR!$R609,IF(H611="EUMATT",PR!$S609,IF(H611="FIDSON",PR!$T609,IF(H611="FCGLOBAL",PR!$U609,IF(H611="GENEITH",PR!$V609,IF(H611="GINOS",PR!$W609,IF(H611="GSK",PR!$X609,IF(H611="GLOBORG",PR!$Y609,IF(H611="GOODNEWS",PR!$Z609,IF(H611="GREENLIFE",PR!$AA609,IF(H611="HLINE",PR!$AB609,IF(H611="ROTECH",PR!$AC609,IF(H611="ISN",PR!$AD609,IF(H611="JAWA",PR!$AE609,IF(H611="LAYO",PR!$AF609,IF(H611="LEADWAY",PR!$AG609,IF(H611="LHV",PR!$AH609,IF(H611="MANOLA",PR!$AI609,IF(H611="MARCSON",PR!$AJ609,IF(H611="M&amp;B",PR!$AK609,IF(H611="MTRUST",PR!$AL609,IF(H611="MWORLD",PR!$AM609,IF(H611="MEGA",PR!$AN609,IF(H611="MICRONOVA",PR!$AO609,IF(H611="MFLASH",PR!$AP609,IF(H611="MORISON",PR!$AQ609,IF(H611="NEMEL",PR!$AR609,IF(H611="NHP",PR!$AS609,IF(H611="NHC",PR!$AT609,IF(H611="OLEAF",PR!$AU609,IF(H611="OCULUS",PR!$AV609,IF(H611="PACIFIC",PR!$AW609,IF(H611="PHAMATEX",PR!$AX609,IF(H611="PETHICS",PR!$AY609,IF(H611="PHILIPS",PR!$AZ609,IF(H611="RANBAXY",PR!$BA609,IF(H611="REALS",PR!$BB609,IF(H611="ROYAL",PR!$BC609,IF(H611="SAM",PR!$BD609,IF(H611="SEAGREEN",PR!$BE609,IF(H611="SKG",PR!$BF609,IF(H611="TAH",PR!$BG609,IF(H611="TAYLEK",PR!$BH609,IF(H611="TEMITA",PR!$BI609,IF(H611="THL",PR!$BJ609,IF(H611="UBASTIC",PR!$BK609,IF(H611="UNION",PR!$BL609,IF(H611="UNIQUE",PR!$BM609,IF(H611="VIXA",PR!$BN609,IF(H611="WWCV",PR!$BO609,IF(H611="ZOLON",PR!$BP609,"-"))))))))))))))))))))))))))))))))))))))))))))))))))))))))))))))))</f>
        <v>56000</v>
      </c>
      <c r="H611" s="102" t="str">
        <f>EV!M785</f>
        <v>CHI</v>
      </c>
      <c r="I611" s="108">
        <f>IF(J611="ALPHA",PR!$E609,IF(J611="ASSENE",PR!$F609,IF(J611="BIOFEM",PR!$G609,IF(J611="BIOMED",PR!$H609,IF(J611="CHI",PR!$I609,IF(J611="CLARION",PR!$J609,IF(J611="CODIX",PR!$K609,IF(J611="COSMADE",PR!$L609,IF(J611="SANCON",PR!$M609,IF(J611="DEVON",PR!$N609,IF(J611="DORTEMAG",PR!$O609,IF(J611="DGF",PR!$P609,IF(J611="DYNAMIC",PR!$Q609,IF(J611="EMZOR",PR!$R609,IF(J611="EUMATT",PR!$S609,IF(J611="FIDSON",PR!$T609,IF(J611="FCGLOBAL",PR!$U609,IF(J611="GENEITH",PR!$V609,IF(J611="GINOS",PR!$W609,IF(J611="GSK",PR!$X609,IF(J611="GLOBORG",PR!$Y609,IF(J611="GOODNEWS",PR!$Z609,IF(J611="GREENLIFE",PR!$AA609,IF(J611="HLINE",PR!$AB609,IF(J611="ROTECH",PR!$AC609,IF(J611="ISN",PR!$AD609,IF(J611="JAWA",PR!$AE609,IF(J611="LAYO",PR!$AF609,IF(J611="LEADWAY",PR!$AG609,IF(J611="LHV",PR!$AH609,IF(J611="MANOLA",PR!$AI609,IF(J611="MARCSON",PR!$AJ609,IF(J611="M&amp;B",PR!$AK609,IF(J611="MTRUST",PR!$AL609,IF(J611="MWORLD",PR!$AM609,IF(J611="MEGA",PR!$AN609,IF(J611="MICRONOVA",PR!$AO609,IF(J611="MFLASH",PR!$AP609,IF(J611="MORISON",PR!$AQ609,IF(J611="NEMEL",PR!$AR609,IF(J611="NHP",PR!$AS609,IF(J611="NHC",PR!$AT609,IF(J611="OLEAF",PR!$AU609,IF(J611="OCULUS",PR!$AV609,IF(J611="PACIFIC",PR!$AW609,IF(J611="PHAMATEX",PR!$AX609,IF(J611="PETHICS",PR!$AY609,IF(J611="PHILIPS",PR!$AZ609,IF(J611="RANBAXY",PR!$BA609,IF(J611="REALS",PR!$BB609,IF(J611="ROYAL",PR!$BC609,IF(J611="SAM",PR!$BD609,IF(J611="SEAGREEN",PR!$BE609,IF(J611="SKG",PR!$BF609,IF(J611="TAH",PR!$BG609,IF(J611="TAYLEK",PR!$BH609,IF(J611="TEMITA",PR!$BI609,IF(J611="THL",PR!$BJ609,IF(J611="UBASTIC",PR!$BK609,IF(J611="UNION",PR!$BL609,IF(J611="UNIQUE",PR!$BM609,IF(J611="VIXA",PR!$BN609,IF(J611="WWCV",PR!$BO609,IF(J611="ZOLON",PR!$BP609,"-"))))))))))))))))))))))))))))))))))))))))))))))))))))))))))))))))</f>
        <v>56000</v>
      </c>
      <c r="J611" s="102" t="str">
        <f>EV!N785</f>
        <v>WWCV</v>
      </c>
      <c r="K611" s="433" t="s">
        <v>820</v>
      </c>
      <c r="L611" s="183">
        <f>IF(K611&gt;0,IF(K611="ALPHA",PR!$E609,IF(K611="ASSENE",PR!$F609,IF(K611="BIOFEM",PR!$G609,IF(K611="BIOMED",PR!$H609,IF(K611="CHI",PR!$I609,IF(K611="CLARION",PR!$J609,IF(K611="CODIX",PR!$K609,IF(K611="COSMADE",PR!$L609,IF(K611="SANCON",PR!$M609,IF(K611="DEVON",PR!$N609,IF(K611="DORTEMAG",PR!$O609,IF(K611="DGF",PR!$P609,IF(K611="DYNAMIC",PR!$Q609,IF(K611="EMZOR",PR!$R609,IF(K611="EUMATT",PR!$S609,IF(K611="FIDSON",PR!$T609,IF(K611="FCGLOBAL",PR!$U609,IF(K611="GENEITH",PR!$V609,IF(K611="GINOS",PR!$W609,IF(K611="GSK",PR!$X609,IF(K611="GLOBORG",PR!$Y609,IF(K611="GOODNEWS",PR!$Z609,IF(K611="GREENLIFE",PR!$AA609,IF(K611="HLINE",PR!$AB609,IF(K611="ROTECH",PR!$AC609,IF(K611="ISN",PR!$AD609,IF(K611="JAWA",PR!$AE609,IF(K611="LAYO",PR!$AF609,IF(K611="LEADWAY",PR!$AG609,IF(K611="LHV",PR!$AH609,IF(K611="MANOLA",PR!$AI609,IF(K611="MARCSON",PR!$AJ609,IF(K611="M&amp;B",PR!$AK609,IF(K611="MTRUST",PR!$AL609,IF(K611="MWORLD",PR!$AM609,IF(K611="MEGA",PR!$AN609,IF(K611="MICRONOVA",PR!$AO609,IF(K611="MFLASH",PR!$AP609,IF(K611="MORISON",PR!$AQ609,IF(K611="NEMEL",PR!$AR609,IF(K611="NHP",PR!$AS609,IF(K611="NHC",PR!$AT609,IF(K611="OLEAF",PR!$AU609,IF(K611="OCULUS",PR!$AV609,IF(K611="PACIFIC",PR!$AW609,IF(K611="PHAMATEX",PR!$AX609,IF(K611="PETHICS",PR!$AY609,IF(K611="PHILIPS",PR!$AZ609,IF(K611="RANBAXY",PR!$BA609,IF(K611="REALS",PR!$BB609,IF(K611="ROYAL",PR!$BC609,IF(K611="SAM",PR!$BD609,IF(K611="SEAGREEN",PR!$BE609,IF(K611="SKG",PR!$BF609,IF(K611="TAH",PR!$BG609,IF(K611="TAYLEK",PR!$BH609,IF(K611="TEMITA",PR!$BI609,IF(K611="THL",PR!$BJ609,IF(K611="UBASTIC",PR!$BK609,IF(K611="UNION",PR!$BL609,IF(K611="UNIQUE",PR!$BM609,IF(K611="VIXA",PR!$BN609,IF(K611="WWCV",PR!$BO609,IF(K611="ZOLON",PR!$BP609,"-")))))))))))))))))))))))))))))))))))))))))))))))))))))))))))))))))</f>
        <v>22454</v>
      </c>
    </row>
    <row r="612" spans="1:12" ht="18.75" x14ac:dyDescent="0.3">
      <c r="A612" s="430">
        <f>PR!A610</f>
        <v>552</v>
      </c>
      <c r="B612" s="15" t="str">
        <f>PR!B610</f>
        <v>DOXORUBICIN HCL 20MG/10ML INJ</v>
      </c>
      <c r="C612" s="113" t="str">
        <f>PR!D610</f>
        <v>AMP</v>
      </c>
      <c r="D612" s="113">
        <f>PR!C610</f>
        <v>11</v>
      </c>
      <c r="E612" s="108">
        <f>IF(F612="ALPHA",PR!$E610,IF(F612="ASSENE",PR!$F610,IF(F612="BIOFEM",PR!$G610,IF(F612="BIOMED",PR!$H610,IF(F612="CHI",PR!$I610,IF(F612="CLARION",PR!$J610,IF(F612="CODIX",PR!$K610,IF(F612="COSMADE",PR!$L610,IF(F612="SANCON",PR!$M610,IF(F612="DEVON",PR!$N610,IF(F612="DORTEMAG",PR!$O610,IF(F612="DGF",PR!$P610,IF(F612="DYNAMIC",PR!$Q610,IF(F612="EMZOR",PR!$R610,IF(F612="EUMATT",PR!$S610,IF(F612="FIDSON",PR!$T610,IF(F612="FCGLOBAL",PR!$U610,IF(F612="GENEITH",PR!$V610,IF(F612="GINOS",PR!$W610,IF(F612="GSK",PR!$X610,IF(F612="GLOBORG",PR!$Y610,IF(F612="GOODNEWS",PR!$Z610,IF(F612="GREENLIFE",PR!$AA610,IF(F612="HLINE",PR!$AB610,IF(F612="ROTECH",PR!$AC610,IF(F612="ISN",PR!$AD610,IF(F612="JAWA",PR!$AE610,IF(F612="LAYO",PR!$AF610,IF(F612="LEADWAY",PR!$AG610,IF(F612="LHV",PR!$AH610,IF(F612="MANOLA",PR!$AI610,IF(F612="MARCSON",PR!$AJ610,IF(F612="M&amp;B",PR!$AK610,IF(F612="MTRUST",PR!$AL610,IF(F612="MWORLD",PR!$AM610,IF(F612="MEGA",PR!$AN610,IF(F612="MICRONOVA",PR!$AO610,IF(F612="MFLASH",PR!$AP610,IF(F612="MORISON",PR!$AQ610,IF(F612="NEMEL",PR!$AR610,IF(F612="NHP",PR!$AS610,IF(F612="NHC",PR!$AT610,IF(F612="OLEAF",PR!$AU610,IF(F612="OCULUS",PR!$AV610,IF(F612="PACIFIC",PR!$AW610,IF(F612="PHAMATEX",PR!$AX610,IF(F612="PETHICS",PR!$AY610,IF(F612="PHILIPS",PR!$AZ610,IF(F612="RANBAXY",PR!$BA610,IF(F612="REALS",PR!$BB610,IF(F612="ROYAL",PR!$BC610,IF(F612="SAM",PR!$BD610,IF(F612="SEAGREEN",PR!$BE610,IF(F612="SKG",PR!$BF610,IF(F612="TAH",PR!$BG610,IF(F612="TAYLEK",PR!$BH610,IF(F612="TEMITA",PR!$BI610,IF(F612="THL",PR!$BJ610,IF(F612="UBASTIC",PR!$BK610,IF(F612="UNION",PR!$BL610,IF(F612="UNIQUE",PR!$BM610,IF(F612="VIXA",PR!$BN610,IF(F612="WWCV",PR!$BO610,IF(F612="ZOLON",PR!$BP610,"-"))))))))))))))))))))))))))))))))))))))))))))))))))))))))))))))))</f>
        <v>3350</v>
      </c>
      <c r="F612" s="102" t="str">
        <f>EV!L786</f>
        <v>MANOLA</v>
      </c>
      <c r="G612" s="108" t="str">
        <f>IF(H612="ALPHA",PR!$E610,IF(H612="ASSENE",PR!$F610,IF(H612="BIOFEM",PR!$G610,IF(H612="BIOMED",PR!$H610,IF(H612="CHI",PR!$I610,IF(H612="CLARION",PR!$J610,IF(H612="CODIX",PR!$K610,IF(H612="COSMADE",PR!$L610,IF(H612="SANCON",PR!$M610,IF(H612="DEVON",PR!$N610,IF(H612="DORTEMAG",PR!$O610,IF(H612="DGF",PR!$P610,IF(H612="DYNAMIC",PR!$Q610,IF(H612="EMZOR",PR!$R610,IF(H612="EUMATT",PR!$S610,IF(H612="FIDSON",PR!$T610,IF(H612="FCGLOBAL",PR!$U610,IF(H612="GENEITH",PR!$V610,IF(H612="GINOS",PR!$W610,IF(H612="GSK",PR!$X610,IF(H612="GLOBORG",PR!$Y610,IF(H612="GOODNEWS",PR!$Z610,IF(H612="GREENLIFE",PR!$AA610,IF(H612="HLINE",PR!$AB610,IF(H612="ROTECH",PR!$AC610,IF(H612="ISN",PR!$AD610,IF(H612="JAWA",PR!$AE610,IF(H612="LAYO",PR!$AF610,IF(H612="LEADWAY",PR!$AG610,IF(H612="LHV",PR!$AH610,IF(H612="MANOLA",PR!$AI610,IF(H612="MARCSON",PR!$AJ610,IF(H612="M&amp;B",PR!$AK610,IF(H612="MTRUST",PR!$AL610,IF(H612="MWORLD",PR!$AM610,IF(H612="MEGA",PR!$AN610,IF(H612="MICRONOVA",PR!$AO610,IF(H612="MFLASH",PR!$AP610,IF(H612="MORISON",PR!$AQ610,IF(H612="NEMEL",PR!$AR610,IF(H612="NHP",PR!$AS610,IF(H612="NHC",PR!$AT610,IF(H612="OLEAF",PR!$AU610,IF(H612="OCULUS",PR!$AV610,IF(H612="PACIFIC",PR!$AW610,IF(H612="PHAMATEX",PR!$AX610,IF(H612="PETHICS",PR!$AY610,IF(H612="PHILIPS",PR!$AZ610,IF(H612="RANBAXY",PR!$BA610,IF(H612="REALS",PR!$BB610,IF(H612="ROYAL",PR!$BC610,IF(H612="SAM",PR!$BD610,IF(H612="SEAGREEN",PR!$BE610,IF(H612="SKG",PR!$BF610,IF(H612="TAH",PR!$BG610,IF(H612="TAYLEK",PR!$BH610,IF(H612="TEMITA",PR!$BI610,IF(H612="THL",PR!$BJ610,IF(H612="UBASTIC",PR!$BK610,IF(H612="UNION",PR!$BL610,IF(H612="UNIQUE",PR!$BM610,IF(H612="VIXA",PR!$BN610,IF(H612="WWCV",PR!$BO610,IF(H612="ZOLON",PR!$BP610,"-"))))))))))))))))))))))))))))))))))))))))))))))))))))))))))))))))</f>
        <v>-</v>
      </c>
      <c r="H612" s="102">
        <f>EV!M786</f>
        <v>0</v>
      </c>
      <c r="I612" s="108" t="str">
        <f>IF(J612="ALPHA",PR!$E610,IF(J612="ASSENE",PR!$F610,IF(J612="BIOFEM",PR!$G610,IF(J612="BIOMED",PR!$H610,IF(J612="CHI",PR!$I610,IF(J612="CLARION",PR!$J610,IF(J612="CODIX",PR!$K610,IF(J612="COSMADE",PR!$L610,IF(J612="SANCON",PR!$M610,IF(J612="DEVON",PR!$N610,IF(J612="DORTEMAG",PR!$O610,IF(J612="DGF",PR!$P610,IF(J612="DYNAMIC",PR!$Q610,IF(J612="EMZOR",PR!$R610,IF(J612="EUMATT",PR!$S610,IF(J612="FIDSON",PR!$T610,IF(J612="FCGLOBAL",PR!$U610,IF(J612="GENEITH",PR!$V610,IF(J612="GINOS",PR!$W610,IF(J612="GSK",PR!$X610,IF(J612="GLOBORG",PR!$Y610,IF(J612="GOODNEWS",PR!$Z610,IF(J612="GREENLIFE",PR!$AA610,IF(J612="HLINE",PR!$AB610,IF(J612="ROTECH",PR!$AC610,IF(J612="ISN",PR!$AD610,IF(J612="JAWA",PR!$AE610,IF(J612="LAYO",PR!$AF610,IF(J612="LEADWAY",PR!$AG610,IF(J612="LHV",PR!$AH610,IF(J612="MANOLA",PR!$AI610,IF(J612="MARCSON",PR!$AJ610,IF(J612="M&amp;B",PR!$AK610,IF(J612="MTRUST",PR!$AL610,IF(J612="MWORLD",PR!$AM610,IF(J612="MEGA",PR!$AN610,IF(J612="MICRONOVA",PR!$AO610,IF(J612="MFLASH",PR!$AP610,IF(J612="MORISON",PR!$AQ610,IF(J612="NEMEL",PR!$AR610,IF(J612="NHP",PR!$AS610,IF(J612="NHC",PR!$AT610,IF(J612="OLEAF",PR!$AU610,IF(J612="OCULUS",PR!$AV610,IF(J612="PACIFIC",PR!$AW610,IF(J612="PHAMATEX",PR!$AX610,IF(J612="PETHICS",PR!$AY610,IF(J612="PHILIPS",PR!$AZ610,IF(J612="RANBAXY",PR!$BA610,IF(J612="REALS",PR!$BB610,IF(J612="ROYAL",PR!$BC610,IF(J612="SAM",PR!$BD610,IF(J612="SEAGREEN",PR!$BE610,IF(J612="SKG",PR!$BF610,IF(J612="TAH",PR!$BG610,IF(J612="TAYLEK",PR!$BH610,IF(J612="TEMITA",PR!$BI610,IF(J612="THL",PR!$BJ610,IF(J612="UBASTIC",PR!$BK610,IF(J612="UNION",PR!$BL610,IF(J612="UNIQUE",PR!$BM610,IF(J612="VIXA",PR!$BN610,IF(J612="WWCV",PR!$BO610,IF(J612="ZOLON",PR!$BP610,"-"))))))))))))))))))))))))))))))))))))))))))))))))))))))))))))))))</f>
        <v>-</v>
      </c>
      <c r="J612" s="102">
        <f>EV!N786</f>
        <v>0</v>
      </c>
      <c r="K612" s="433" t="s">
        <v>820</v>
      </c>
      <c r="L612" s="183">
        <f>IF(K612&gt;0,IF(K612="ALPHA",PR!$E610,IF(K612="ASSENE",PR!$F610,IF(K612="BIOFEM",PR!$G610,IF(K612="BIOMED",PR!$H610,IF(K612="CHI",PR!$I610,IF(K612="CLARION",PR!$J610,IF(K612="CODIX",PR!$K610,IF(K612="COSMADE",PR!$L610,IF(K612="SANCON",PR!$M610,IF(K612="DEVON",PR!$N610,IF(K612="DORTEMAG",PR!$O610,IF(K612="DGF",PR!$P610,IF(K612="DYNAMIC",PR!$Q610,IF(K612="EMZOR",PR!$R610,IF(K612="EUMATT",PR!$S610,IF(K612="FIDSON",PR!$T610,IF(K612="FCGLOBAL",PR!$U610,IF(K612="GENEITH",PR!$V610,IF(K612="GINOS",PR!$W610,IF(K612="GSK",PR!$X610,IF(K612="GLOBORG",PR!$Y610,IF(K612="GOODNEWS",PR!$Z610,IF(K612="GREENLIFE",PR!$AA610,IF(K612="HLINE",PR!$AB610,IF(K612="ROTECH",PR!$AC610,IF(K612="ISN",PR!$AD610,IF(K612="JAWA",PR!$AE610,IF(K612="LAYO",PR!$AF610,IF(K612="LEADWAY",PR!$AG610,IF(K612="LHV",PR!$AH610,IF(K612="MANOLA",PR!$AI610,IF(K612="MARCSON",PR!$AJ610,IF(K612="M&amp;B",PR!$AK610,IF(K612="MTRUST",PR!$AL610,IF(K612="MWORLD",PR!$AM610,IF(K612="MEGA",PR!$AN610,IF(K612="MICRONOVA",PR!$AO610,IF(K612="MFLASH",PR!$AP610,IF(K612="MORISON",PR!$AQ610,IF(K612="NEMEL",PR!$AR610,IF(K612="NHP",PR!$AS610,IF(K612="NHC",PR!$AT610,IF(K612="OLEAF",PR!$AU610,IF(K612="OCULUS",PR!$AV610,IF(K612="PACIFIC",PR!$AW610,IF(K612="PHAMATEX",PR!$AX610,IF(K612="PETHICS",PR!$AY610,IF(K612="PHILIPS",PR!$AZ610,IF(K612="RANBAXY",PR!$BA610,IF(K612="REALS",PR!$BB610,IF(K612="ROYAL",PR!$BC610,IF(K612="SAM",PR!$BD610,IF(K612="SEAGREEN",PR!$BE610,IF(K612="SKG",PR!$BF610,IF(K612="TAH",PR!$BG610,IF(K612="TAYLEK",PR!$BH610,IF(K612="TEMITA",PR!$BI610,IF(K612="THL",PR!$BJ610,IF(K612="UBASTIC",PR!$BK610,IF(K612="UNION",PR!$BL610,IF(K612="UNIQUE",PR!$BM610,IF(K612="VIXA",PR!$BN610,IF(K612="WWCV",PR!$BO610,IF(K612="ZOLON",PR!$BP610,"-")))))))))))))))))))))))))))))))))))))))))))))))))))))))))))))))))</f>
        <v>3350</v>
      </c>
    </row>
    <row r="613" spans="1:12" ht="18.75" x14ac:dyDescent="0.3">
      <c r="A613" s="430">
        <f>PR!A611</f>
        <v>553</v>
      </c>
      <c r="B613" s="15" t="str">
        <f>PR!B611</f>
        <v>FOLINIC ACID</v>
      </c>
      <c r="C613" s="113">
        <f>PR!D611</f>
        <v>10</v>
      </c>
      <c r="D613" s="113">
        <f>PR!C611</f>
        <v>10</v>
      </c>
      <c r="E613" s="108">
        <f>IF(F613="ALPHA",PR!$E611,IF(F613="ASSENE",PR!$F611,IF(F613="BIOFEM",PR!$G611,IF(F613="BIOMED",PR!$H611,IF(F613="CHI",PR!$I611,IF(F613="CLARION",PR!$J611,IF(F613="CODIX",PR!$K611,IF(F613="COSMADE",PR!$L611,IF(F613="SANCON",PR!$M611,IF(F613="DEVON",PR!$N611,IF(F613="DORTEMAG",PR!$O611,IF(F613="DGF",PR!$P611,IF(F613="DYNAMIC",PR!$Q611,IF(F613="EMZOR",PR!$R611,IF(F613="EUMATT",PR!$S611,IF(F613="FIDSON",PR!$T611,IF(F613="FCGLOBAL",PR!$U611,IF(F613="GENEITH",PR!$V611,IF(F613="GINOS",PR!$W611,IF(F613="GSK",PR!$X611,IF(F613="GLOBORG",PR!$Y611,IF(F613="GOODNEWS",PR!$Z611,IF(F613="GREENLIFE",PR!$AA611,IF(F613="HLINE",PR!$AB611,IF(F613="ROTECH",PR!$AC611,IF(F613="ISN",PR!$AD611,IF(F613="JAWA",PR!$AE611,IF(F613="LAYO",PR!$AF611,IF(F613="LEADWAY",PR!$AG611,IF(F613="LHV",PR!$AH611,IF(F613="MANOLA",PR!$AI611,IF(F613="MARCSON",PR!$AJ611,IF(F613="M&amp;B",PR!$AK611,IF(F613="MTRUST",PR!$AL611,IF(F613="MWORLD",PR!$AM611,IF(F613="MEGA",PR!$AN611,IF(F613="MICRONOVA",PR!$AO611,IF(F613="MFLASH",PR!$AP611,IF(F613="MORISON",PR!$AQ611,IF(F613="NEMEL",PR!$AR611,IF(F613="NHP",PR!$AS611,IF(F613="NHC",PR!$AT611,IF(F613="OLEAF",PR!$AU611,IF(F613="OCULUS",PR!$AV611,IF(F613="PACIFIC",PR!$AW611,IF(F613="PHAMATEX",PR!$AX611,IF(F613="PETHICS",PR!$AY611,IF(F613="PHILIPS",PR!$AZ611,IF(F613="RANBAXY",PR!$BA611,IF(F613="REALS",PR!$BB611,IF(F613="ROYAL",PR!$BC611,IF(F613="SAM",PR!$BD611,IF(F613="SEAGREEN",PR!$BE611,IF(F613="SKG",PR!$BF611,IF(F613="TAH",PR!$BG611,IF(F613="TAYLEK",PR!$BH611,IF(F613="TEMITA",PR!$BI611,IF(F613="THL",PR!$BJ611,IF(F613="UBASTIC",PR!$BK611,IF(F613="UNION",PR!$BL611,IF(F613="UNIQUE",PR!$BM611,IF(F613="VIXA",PR!$BN611,IF(F613="WWCV",PR!$BO611,IF(F613="ZOLON",PR!$BP611,"-"))))))))))))))))))))))))))))))))))))))))))))))))))))))))))))))))</f>
        <v>1948</v>
      </c>
      <c r="F613" s="102" t="str">
        <f>EV!L787</f>
        <v>MANOLA</v>
      </c>
      <c r="G613" s="108" t="str">
        <f>IF(H613="ALPHA",PR!$E611,IF(H613="ASSENE",PR!$F611,IF(H613="BIOFEM",PR!$G611,IF(H613="BIOMED",PR!$H611,IF(H613="CHI",PR!$I611,IF(H613="CLARION",PR!$J611,IF(H613="CODIX",PR!$K611,IF(H613="COSMADE",PR!$L611,IF(H613="SANCON",PR!$M611,IF(H613="DEVON",PR!$N611,IF(H613="DORTEMAG",PR!$O611,IF(H613="DGF",PR!$P611,IF(H613="DYNAMIC",PR!$Q611,IF(H613="EMZOR",PR!$R611,IF(H613="EUMATT",PR!$S611,IF(H613="FIDSON",PR!$T611,IF(H613="FCGLOBAL",PR!$U611,IF(H613="GENEITH",PR!$V611,IF(H613="GINOS",PR!$W611,IF(H613="GSK",PR!$X611,IF(H613="GLOBORG",PR!$Y611,IF(H613="GOODNEWS",PR!$Z611,IF(H613="GREENLIFE",PR!$AA611,IF(H613="HLINE",PR!$AB611,IF(H613="ROTECH",PR!$AC611,IF(H613="ISN",PR!$AD611,IF(H613="JAWA",PR!$AE611,IF(H613="LAYO",PR!$AF611,IF(H613="LEADWAY",PR!$AG611,IF(H613="LHV",PR!$AH611,IF(H613="MANOLA",PR!$AI611,IF(H613="MARCSON",PR!$AJ611,IF(H613="M&amp;B",PR!$AK611,IF(H613="MTRUST",PR!$AL611,IF(H613="MWORLD",PR!$AM611,IF(H613="MEGA",PR!$AN611,IF(H613="MICRONOVA",PR!$AO611,IF(H613="MFLASH",PR!$AP611,IF(H613="MORISON",PR!$AQ611,IF(H613="NEMEL",PR!$AR611,IF(H613="NHP",PR!$AS611,IF(H613="NHC",PR!$AT611,IF(H613="OLEAF",PR!$AU611,IF(H613="OCULUS",PR!$AV611,IF(H613="PACIFIC",PR!$AW611,IF(H613="PHAMATEX",PR!$AX611,IF(H613="PETHICS",PR!$AY611,IF(H613="PHILIPS",PR!$AZ611,IF(H613="RANBAXY",PR!$BA611,IF(H613="REALS",PR!$BB611,IF(H613="ROYAL",PR!$BC611,IF(H613="SAM",PR!$BD611,IF(H613="SEAGREEN",PR!$BE611,IF(H613="SKG",PR!$BF611,IF(H613="TAH",PR!$BG611,IF(H613="TAYLEK",PR!$BH611,IF(H613="TEMITA",PR!$BI611,IF(H613="THL",PR!$BJ611,IF(H613="UBASTIC",PR!$BK611,IF(H613="UNION",PR!$BL611,IF(H613="UNIQUE",PR!$BM611,IF(H613="VIXA",PR!$BN611,IF(H613="WWCV",PR!$BO611,IF(H613="ZOLON",PR!$BP611,"-"))))))))))))))))))))))))))))))))))))))))))))))))))))))))))))))))</f>
        <v>-</v>
      </c>
      <c r="H613" s="102">
        <f>EV!M787</f>
        <v>0</v>
      </c>
      <c r="I613" s="108" t="str">
        <f>IF(J613="ALPHA",PR!$E611,IF(J613="ASSENE",PR!$F611,IF(J613="BIOFEM",PR!$G611,IF(J613="BIOMED",PR!$H611,IF(J613="CHI",PR!$I611,IF(J613="CLARION",PR!$J611,IF(J613="CODIX",PR!$K611,IF(J613="COSMADE",PR!$L611,IF(J613="SANCON",PR!$M611,IF(J613="DEVON",PR!$N611,IF(J613="DORTEMAG",PR!$O611,IF(J613="DGF",PR!$P611,IF(J613="DYNAMIC",PR!$Q611,IF(J613="EMZOR",PR!$R611,IF(J613="EUMATT",PR!$S611,IF(J613="FIDSON",PR!$T611,IF(J613="FCGLOBAL",PR!$U611,IF(J613="GENEITH",PR!$V611,IF(J613="GINOS",PR!$W611,IF(J613="GSK",PR!$X611,IF(J613="GLOBORG",PR!$Y611,IF(J613="GOODNEWS",PR!$Z611,IF(J613="GREENLIFE",PR!$AA611,IF(J613="HLINE",PR!$AB611,IF(J613="ROTECH",PR!$AC611,IF(J613="ISN",PR!$AD611,IF(J613="JAWA",PR!$AE611,IF(J613="LAYO",PR!$AF611,IF(J613="LEADWAY",PR!$AG611,IF(J613="LHV",PR!$AH611,IF(J613="MANOLA",PR!$AI611,IF(J613="MARCSON",PR!$AJ611,IF(J613="M&amp;B",PR!$AK611,IF(J613="MTRUST",PR!$AL611,IF(J613="MWORLD",PR!$AM611,IF(J613="MEGA",PR!$AN611,IF(J613="MICRONOVA",PR!$AO611,IF(J613="MFLASH",PR!$AP611,IF(J613="MORISON",PR!$AQ611,IF(J613="NEMEL",PR!$AR611,IF(J613="NHP",PR!$AS611,IF(J613="NHC",PR!$AT611,IF(J613="OLEAF",PR!$AU611,IF(J613="OCULUS",PR!$AV611,IF(J613="PACIFIC",PR!$AW611,IF(J613="PHAMATEX",PR!$AX611,IF(J613="PETHICS",PR!$AY611,IF(J613="PHILIPS",PR!$AZ611,IF(J613="RANBAXY",PR!$BA611,IF(J613="REALS",PR!$BB611,IF(J613="ROYAL",PR!$BC611,IF(J613="SAM",PR!$BD611,IF(J613="SEAGREEN",PR!$BE611,IF(J613="SKG",PR!$BF611,IF(J613="TAH",PR!$BG611,IF(J613="TAYLEK",PR!$BH611,IF(J613="TEMITA",PR!$BI611,IF(J613="THL",PR!$BJ611,IF(J613="UBASTIC",PR!$BK611,IF(J613="UNION",PR!$BL611,IF(J613="UNIQUE",PR!$BM611,IF(J613="VIXA",PR!$BN611,IF(J613="WWCV",PR!$BO611,IF(J613="ZOLON",PR!$BP611,"-"))))))))))))))))))))))))))))))))))))))))))))))))))))))))))))))))</f>
        <v>-</v>
      </c>
      <c r="J613" s="102">
        <f>EV!N787</f>
        <v>0</v>
      </c>
      <c r="K613" s="433" t="s">
        <v>820</v>
      </c>
      <c r="L613" s="183">
        <f>IF(K613&gt;0,IF(K613="ALPHA",PR!$E611,IF(K613="ASSENE",PR!$F611,IF(K613="BIOFEM",PR!$G611,IF(K613="BIOMED",PR!$H611,IF(K613="CHI",PR!$I611,IF(K613="CLARION",PR!$J611,IF(K613="CODIX",PR!$K611,IF(K613="COSMADE",PR!$L611,IF(K613="SANCON",PR!$M611,IF(K613="DEVON",PR!$N611,IF(K613="DORTEMAG",PR!$O611,IF(K613="DGF",PR!$P611,IF(K613="DYNAMIC",PR!$Q611,IF(K613="EMZOR",PR!$R611,IF(K613="EUMATT",PR!$S611,IF(K613="FIDSON",PR!$T611,IF(K613="FCGLOBAL",PR!$U611,IF(K613="GENEITH",PR!$V611,IF(K613="GINOS",PR!$W611,IF(K613="GSK",PR!$X611,IF(K613="GLOBORG",PR!$Y611,IF(K613="GOODNEWS",PR!$Z611,IF(K613="GREENLIFE",PR!$AA611,IF(K613="HLINE",PR!$AB611,IF(K613="ROTECH",PR!$AC611,IF(K613="ISN",PR!$AD611,IF(K613="JAWA",PR!$AE611,IF(K613="LAYO",PR!$AF611,IF(K613="LEADWAY",PR!$AG611,IF(K613="LHV",PR!$AH611,IF(K613="MANOLA",PR!$AI611,IF(K613="MARCSON",PR!$AJ611,IF(K613="M&amp;B",PR!$AK611,IF(K613="MTRUST",PR!$AL611,IF(K613="MWORLD",PR!$AM611,IF(K613="MEGA",PR!$AN611,IF(K613="MICRONOVA",PR!$AO611,IF(K613="MFLASH",PR!$AP611,IF(K613="MORISON",PR!$AQ611,IF(K613="NEMEL",PR!$AR611,IF(K613="NHP",PR!$AS611,IF(K613="NHC",PR!$AT611,IF(K613="OLEAF",PR!$AU611,IF(K613="OCULUS",PR!$AV611,IF(K613="PACIFIC",PR!$AW611,IF(K613="PHAMATEX",PR!$AX611,IF(K613="PETHICS",PR!$AY611,IF(K613="PHILIPS",PR!$AZ611,IF(K613="RANBAXY",PR!$BA611,IF(K613="REALS",PR!$BB611,IF(K613="ROYAL",PR!$BC611,IF(K613="SAM",PR!$BD611,IF(K613="SEAGREEN",PR!$BE611,IF(K613="SKG",PR!$BF611,IF(K613="TAH",PR!$BG611,IF(K613="TAYLEK",PR!$BH611,IF(K613="TEMITA",PR!$BI611,IF(K613="THL",PR!$BJ611,IF(K613="UBASTIC",PR!$BK611,IF(K613="UNION",PR!$BL611,IF(K613="UNIQUE",PR!$BM611,IF(K613="VIXA",PR!$BN611,IF(K613="WWCV",PR!$BO611,IF(K613="ZOLON",PR!$BP611,"-")))))))))))))))))))))))))))))))))))))))))))))))))))))))))))))))))</f>
        <v>1948</v>
      </c>
    </row>
    <row r="614" spans="1:12" ht="18.75" x14ac:dyDescent="0.3">
      <c r="A614" s="430">
        <f>PR!A612</f>
        <v>554</v>
      </c>
      <c r="B614" s="15" t="str">
        <f>PR!B612</f>
        <v>GOSERELIN ACETATE INJ</v>
      </c>
      <c r="C614" s="113">
        <f>PR!D612</f>
        <v>1</v>
      </c>
      <c r="D614" s="113">
        <f>PR!C612</f>
        <v>6</v>
      </c>
      <c r="E614" s="108">
        <f>IF(F614="ALPHA",PR!$E612,IF(F614="ASSENE",PR!$F612,IF(F614="BIOFEM",PR!$G612,IF(F614="BIOMED",PR!$H612,IF(F614="CHI",PR!$I612,IF(F614="CLARION",PR!$J612,IF(F614="CODIX",PR!$K612,IF(F614="COSMADE",PR!$L612,IF(F614="SANCON",PR!$M612,IF(F614="DEVON",PR!$N612,IF(F614="DORTEMAG",PR!$O612,IF(F614="DGF",PR!$P612,IF(F614="DYNAMIC",PR!$Q612,IF(F614="EMZOR",PR!$R612,IF(F614="EUMATT",PR!$S612,IF(F614="FIDSON",PR!$T612,IF(F614="FCGLOBAL",PR!$U612,IF(F614="GENEITH",PR!$V612,IF(F614="GINOS",PR!$W612,IF(F614="GSK",PR!$X612,IF(F614="GLOBORG",PR!$Y612,IF(F614="GOODNEWS",PR!$Z612,IF(F614="GREENLIFE",PR!$AA612,IF(F614="HLINE",PR!$AB612,IF(F614="ROTECH",PR!$AC612,IF(F614="ISN",PR!$AD612,IF(F614="JAWA",PR!$AE612,IF(F614="LAYO",PR!$AF612,IF(F614="LEADWAY",PR!$AG612,IF(F614="LHV",PR!$AH612,IF(F614="MANOLA",PR!$AI612,IF(F614="MARCSON",PR!$AJ612,IF(F614="M&amp;B",PR!$AK612,IF(F614="MTRUST",PR!$AL612,IF(F614="MWORLD",PR!$AM612,IF(F614="MEGA",PR!$AN612,IF(F614="MICRONOVA",PR!$AO612,IF(F614="MFLASH",PR!$AP612,IF(F614="MORISON",PR!$AQ612,IF(F614="NEMEL",PR!$AR612,IF(F614="NHP",PR!$AS612,IF(F614="NHC",PR!$AT612,IF(F614="OLEAF",PR!$AU612,IF(F614="OCULUS",PR!$AV612,IF(F614="PACIFIC",PR!$AW612,IF(F614="PHAMATEX",PR!$AX612,IF(F614="PETHICS",PR!$AY612,IF(F614="PHILIPS",PR!$AZ612,IF(F614="RANBAXY",PR!$BA612,IF(F614="REALS",PR!$BB612,IF(F614="ROYAL",PR!$BC612,IF(F614="SAM",PR!$BD612,IF(F614="SEAGREEN",PR!$BE612,IF(F614="SKG",PR!$BF612,IF(F614="TAH",PR!$BG612,IF(F614="TAYLEK",PR!$BH612,IF(F614="TEMITA",PR!$BI612,IF(F614="THL",PR!$BJ612,IF(F614="UBASTIC",PR!$BK612,IF(F614="UNION",PR!$BL612,IF(F614="UNIQUE",PR!$BM612,IF(F614="VIXA",PR!$BN612,IF(F614="WWCV",PR!$BO612,IF(F614="ZOLON",PR!$BP612,"-"))))))))))))))))))))))))))))))))))))))))))))))))))))))))))))))))</f>
        <v>120000</v>
      </c>
      <c r="F614" s="102" t="str">
        <f>EV!L788</f>
        <v>WWCV</v>
      </c>
      <c r="G614" s="108" t="str">
        <f>IF(H614="ALPHA",PR!$E612,IF(H614="ASSENE",PR!$F612,IF(H614="BIOFEM",PR!$G612,IF(H614="BIOMED",PR!$H612,IF(H614="CHI",PR!$I612,IF(H614="CLARION",PR!$J612,IF(H614="CODIX",PR!$K612,IF(H614="COSMADE",PR!$L612,IF(H614="SANCON",PR!$M612,IF(H614="DEVON",PR!$N612,IF(H614="DORTEMAG",PR!$O612,IF(H614="DGF",PR!$P612,IF(H614="DYNAMIC",PR!$Q612,IF(H614="EMZOR",PR!$R612,IF(H614="EUMATT",PR!$S612,IF(H614="FIDSON",PR!$T612,IF(H614="FCGLOBAL",PR!$U612,IF(H614="GENEITH",PR!$V612,IF(H614="GINOS",PR!$W612,IF(H614="GSK",PR!$X612,IF(H614="GLOBORG",PR!$Y612,IF(H614="GOODNEWS",PR!$Z612,IF(H614="GREENLIFE",PR!$AA612,IF(H614="HLINE",PR!$AB612,IF(H614="ROTECH",PR!$AC612,IF(H614="ISN",PR!$AD612,IF(H614="JAWA",PR!$AE612,IF(H614="LAYO",PR!$AF612,IF(H614="LEADWAY",PR!$AG612,IF(H614="LHV",PR!$AH612,IF(H614="MANOLA",PR!$AI612,IF(H614="MARCSON",PR!$AJ612,IF(H614="M&amp;B",PR!$AK612,IF(H614="MTRUST",PR!$AL612,IF(H614="MWORLD",PR!$AM612,IF(H614="MEGA",PR!$AN612,IF(H614="MICRONOVA",PR!$AO612,IF(H614="MFLASH",PR!$AP612,IF(H614="MORISON",PR!$AQ612,IF(H614="NEMEL",PR!$AR612,IF(H614="NHP",PR!$AS612,IF(H614="NHC",PR!$AT612,IF(H614="OLEAF",PR!$AU612,IF(H614="OCULUS",PR!$AV612,IF(H614="PACIFIC",PR!$AW612,IF(H614="PHAMATEX",PR!$AX612,IF(H614="PETHICS",PR!$AY612,IF(H614="PHILIPS",PR!$AZ612,IF(H614="RANBAXY",PR!$BA612,IF(H614="REALS",PR!$BB612,IF(H614="ROYAL",PR!$BC612,IF(H614="SAM",PR!$BD612,IF(H614="SEAGREEN",PR!$BE612,IF(H614="SKG",PR!$BF612,IF(H614="TAH",PR!$BG612,IF(H614="TAYLEK",PR!$BH612,IF(H614="TEMITA",PR!$BI612,IF(H614="THL",PR!$BJ612,IF(H614="UBASTIC",PR!$BK612,IF(H614="UNION",PR!$BL612,IF(H614="UNIQUE",PR!$BM612,IF(H614="VIXA",PR!$BN612,IF(H614="WWCV",PR!$BO612,IF(H614="ZOLON",PR!$BP612,"-"))))))))))))))))))))))))))))))))))))))))))))))))))))))))))))))))</f>
        <v>-</v>
      </c>
      <c r="H614" s="102">
        <f>EV!M788</f>
        <v>0</v>
      </c>
      <c r="I614" s="108" t="str">
        <f>IF(J614="ALPHA",PR!$E612,IF(J614="ASSENE",PR!$F612,IF(J614="BIOFEM",PR!$G612,IF(J614="BIOMED",PR!$H612,IF(J614="CHI",PR!$I612,IF(J614="CLARION",PR!$J612,IF(J614="CODIX",PR!$K612,IF(J614="COSMADE",PR!$L612,IF(J614="SANCON",PR!$M612,IF(J614="DEVON",PR!$N612,IF(J614="DORTEMAG",PR!$O612,IF(J614="DGF",PR!$P612,IF(J614="DYNAMIC",PR!$Q612,IF(J614="EMZOR",PR!$R612,IF(J614="EUMATT",PR!$S612,IF(J614="FIDSON",PR!$T612,IF(J614="FCGLOBAL",PR!$U612,IF(J614="GENEITH",PR!$V612,IF(J614="GINOS",PR!$W612,IF(J614="GSK",PR!$X612,IF(J614="GLOBORG",PR!$Y612,IF(J614="GOODNEWS",PR!$Z612,IF(J614="GREENLIFE",PR!$AA612,IF(J614="HLINE",PR!$AB612,IF(J614="ROTECH",PR!$AC612,IF(J614="ISN",PR!$AD612,IF(J614="JAWA",PR!$AE612,IF(J614="LAYO",PR!$AF612,IF(J614="LEADWAY",PR!$AG612,IF(J614="LHV",PR!$AH612,IF(J614="MANOLA",PR!$AI612,IF(J614="MARCSON",PR!$AJ612,IF(J614="M&amp;B",PR!$AK612,IF(J614="MTRUST",PR!$AL612,IF(J614="MWORLD",PR!$AM612,IF(J614="MEGA",PR!$AN612,IF(J614="MICRONOVA",PR!$AO612,IF(J614="MFLASH",PR!$AP612,IF(J614="MORISON",PR!$AQ612,IF(J614="NEMEL",PR!$AR612,IF(J614="NHP",PR!$AS612,IF(J614="NHC",PR!$AT612,IF(J614="OLEAF",PR!$AU612,IF(J614="OCULUS",PR!$AV612,IF(J614="PACIFIC",PR!$AW612,IF(J614="PHAMATEX",PR!$AX612,IF(J614="PETHICS",PR!$AY612,IF(J614="PHILIPS",PR!$AZ612,IF(J614="RANBAXY",PR!$BA612,IF(J614="REALS",PR!$BB612,IF(J614="ROYAL",PR!$BC612,IF(J614="SAM",PR!$BD612,IF(J614="SEAGREEN",PR!$BE612,IF(J614="SKG",PR!$BF612,IF(J614="TAH",PR!$BG612,IF(J614="TAYLEK",PR!$BH612,IF(J614="TEMITA",PR!$BI612,IF(J614="THL",PR!$BJ612,IF(J614="UBASTIC",PR!$BK612,IF(J614="UNION",PR!$BL612,IF(J614="UNIQUE",PR!$BM612,IF(J614="VIXA",PR!$BN612,IF(J614="WWCV",PR!$BO612,IF(J614="ZOLON",PR!$BP612,"-"))))))))))))))))))))))))))))))))))))))))))))))))))))))))))))))))</f>
        <v>-</v>
      </c>
      <c r="J614" s="102">
        <f>EV!N788</f>
        <v>0</v>
      </c>
      <c r="K614" s="433" t="s">
        <v>1231</v>
      </c>
      <c r="L614" s="183">
        <f>IF(K614&gt;0,IF(K614="ALPHA",PR!$E612,IF(K614="ASSENE",PR!$F612,IF(K614="BIOFEM",PR!$G612,IF(K614="BIOMED",PR!$H612,IF(K614="CHI",PR!$I612,IF(K614="CLARION",PR!$J612,IF(K614="CODIX",PR!$K612,IF(K614="COSMADE",PR!$L612,IF(K614="SANCON",PR!$M612,IF(K614="DEVON",PR!$N612,IF(K614="DORTEMAG",PR!$O612,IF(K614="DGF",PR!$P612,IF(K614="DYNAMIC",PR!$Q612,IF(K614="EMZOR",PR!$R612,IF(K614="EUMATT",PR!$S612,IF(K614="FIDSON",PR!$T612,IF(K614="FCGLOBAL",PR!$U612,IF(K614="GENEITH",PR!$V612,IF(K614="GINOS",PR!$W612,IF(K614="GSK",PR!$X612,IF(K614="GLOBORG",PR!$Y612,IF(K614="GOODNEWS",PR!$Z612,IF(K614="GREENLIFE",PR!$AA612,IF(K614="HLINE",PR!$AB612,IF(K614="ROTECH",PR!$AC612,IF(K614="ISN",PR!$AD612,IF(K614="JAWA",PR!$AE612,IF(K614="LAYO",PR!$AF612,IF(K614="LEADWAY",PR!$AG612,IF(K614="LHV",PR!$AH612,IF(K614="MANOLA",PR!$AI612,IF(K614="MARCSON",PR!$AJ612,IF(K614="M&amp;B",PR!$AK612,IF(K614="MTRUST",PR!$AL612,IF(K614="MWORLD",PR!$AM612,IF(K614="MEGA",PR!$AN612,IF(K614="MICRONOVA",PR!$AO612,IF(K614="MFLASH",PR!$AP612,IF(K614="MORISON",PR!$AQ612,IF(K614="NEMEL",PR!$AR612,IF(K614="NHP",PR!$AS612,IF(K614="NHC",PR!$AT612,IF(K614="OLEAF",PR!$AU612,IF(K614="OCULUS",PR!$AV612,IF(K614="PACIFIC",PR!$AW612,IF(K614="PHAMATEX",PR!$AX612,IF(K614="PETHICS",PR!$AY612,IF(K614="PHILIPS",PR!$AZ612,IF(K614="RANBAXY",PR!$BA612,IF(K614="REALS",PR!$BB612,IF(K614="ROYAL",PR!$BC612,IF(K614="SAM",PR!$BD612,IF(K614="SEAGREEN",PR!$BE612,IF(K614="SKG",PR!$BF612,IF(K614="TAH",PR!$BG612,IF(K614="TAYLEK",PR!$BH612,IF(K614="TEMITA",PR!$BI612,IF(K614="THL",PR!$BJ612,IF(K614="UBASTIC",PR!$BK612,IF(K614="UNION",PR!$BL612,IF(K614="UNIQUE",PR!$BM612,IF(K614="VIXA",PR!$BN612,IF(K614="WWCV",PR!$BO612,IF(K614="ZOLON",PR!$BP612,"-")))))))))))))))))))))))))))))))))))))))))))))))))))))))))))))))))</f>
        <v>120000</v>
      </c>
    </row>
    <row r="615" spans="1:12" ht="18.75" x14ac:dyDescent="0.3">
      <c r="A615" s="430">
        <f>PR!A613</f>
        <v>555</v>
      </c>
      <c r="B615" s="15" t="str">
        <f>PR!B613</f>
        <v>HYDROXYUREA 500MG CAP</v>
      </c>
      <c r="C615" s="113">
        <f>PR!D613</f>
        <v>100</v>
      </c>
      <c r="D615" s="113">
        <f>PR!C613</f>
        <v>5</v>
      </c>
      <c r="E615" s="108">
        <f>IF(F615="ALPHA",PR!$E613,IF(F615="ASSENE",PR!$F613,IF(F615="BIOFEM",PR!$G613,IF(F615="BIOMED",PR!$H613,IF(F615="CHI",PR!$I613,IF(F615="CLARION",PR!$J613,IF(F615="CODIX",PR!$K613,IF(F615="COSMADE",PR!$L613,IF(F615="SANCON",PR!$M613,IF(F615="DEVON",PR!$N613,IF(F615="DORTEMAG",PR!$O613,IF(F615="DGF",PR!$P613,IF(F615="DYNAMIC",PR!$Q613,IF(F615="EMZOR",PR!$R613,IF(F615="EUMATT",PR!$S613,IF(F615="FIDSON",PR!$T613,IF(F615="FCGLOBAL",PR!$U613,IF(F615="GENEITH",PR!$V613,IF(F615="GINOS",PR!$W613,IF(F615="GSK",PR!$X613,IF(F615="GLOBORG",PR!$Y613,IF(F615="GOODNEWS",PR!$Z613,IF(F615="GREENLIFE",PR!$AA613,IF(F615="HLINE",PR!$AB613,IF(F615="ROTECH",PR!$AC613,IF(F615="ISN",PR!$AD613,IF(F615="JAWA",PR!$AE613,IF(F615="LAYO",PR!$AF613,IF(F615="LEADWAY",PR!$AG613,IF(F615="LHV",PR!$AH613,IF(F615="MANOLA",PR!$AI613,IF(F615="MARCSON",PR!$AJ613,IF(F615="M&amp;B",PR!$AK613,IF(F615="MTRUST",PR!$AL613,IF(F615="MWORLD",PR!$AM613,IF(F615="MEGA",PR!$AN613,IF(F615="MICRONOVA",PR!$AO613,IF(F615="MFLASH",PR!$AP613,IF(F615="MORISON",PR!$AQ613,IF(F615="NEMEL",PR!$AR613,IF(F615="NHP",PR!$AS613,IF(F615="NHC",PR!$AT613,IF(F615="OLEAF",PR!$AU613,IF(F615="OCULUS",PR!$AV613,IF(F615="PACIFIC",PR!$AW613,IF(F615="PHAMATEX",PR!$AX613,IF(F615="PETHICS",PR!$AY613,IF(F615="PHILIPS",PR!$AZ613,IF(F615="RANBAXY",PR!$BA613,IF(F615="REALS",PR!$BB613,IF(F615="ROYAL",PR!$BC613,IF(F615="SAM",PR!$BD613,IF(F615="SEAGREEN",PR!$BE613,IF(F615="SKG",PR!$BF613,IF(F615="TAH",PR!$BG613,IF(F615="TAYLEK",PR!$BH613,IF(F615="TEMITA",PR!$BI613,IF(F615="THL",PR!$BJ613,IF(F615="UBASTIC",PR!$BK613,IF(F615="UNION",PR!$BL613,IF(F615="UNIQUE",PR!$BM613,IF(F615="VIXA",PR!$BN613,IF(F615="WWCV",PR!$BO613,IF(F615="ZOLON",PR!$BP613,"-"))))))))))))))))))))))))))))))))))))))))))))))))))))))))))))))))</f>
        <v>9000</v>
      </c>
      <c r="F615" s="102" t="str">
        <f>EV!L789</f>
        <v>MANOLA</v>
      </c>
      <c r="G615" s="108" t="str">
        <f>IF(H615="ALPHA",PR!$E613,IF(H615="ASSENE",PR!$F613,IF(H615="BIOFEM",PR!$G613,IF(H615="BIOMED",PR!$H613,IF(H615="CHI",PR!$I613,IF(H615="CLARION",PR!$J613,IF(H615="CODIX",PR!$K613,IF(H615="COSMADE",PR!$L613,IF(H615="SANCON",PR!$M613,IF(H615="DEVON",PR!$N613,IF(H615="DORTEMAG",PR!$O613,IF(H615="DGF",PR!$P613,IF(H615="DYNAMIC",PR!$Q613,IF(H615="EMZOR",PR!$R613,IF(H615="EUMATT",PR!$S613,IF(H615="FIDSON",PR!$T613,IF(H615="FCGLOBAL",PR!$U613,IF(H615="GENEITH",PR!$V613,IF(H615="GINOS",PR!$W613,IF(H615="GSK",PR!$X613,IF(H615="GLOBORG",PR!$Y613,IF(H615="GOODNEWS",PR!$Z613,IF(H615="GREENLIFE",PR!$AA613,IF(H615="HLINE",PR!$AB613,IF(H615="ROTECH",PR!$AC613,IF(H615="ISN",PR!$AD613,IF(H615="JAWA",PR!$AE613,IF(H615="LAYO",PR!$AF613,IF(H615="LEADWAY",PR!$AG613,IF(H615="LHV",PR!$AH613,IF(H615="MANOLA",PR!$AI613,IF(H615="MARCSON",PR!$AJ613,IF(H615="M&amp;B",PR!$AK613,IF(H615="MTRUST",PR!$AL613,IF(H615="MWORLD",PR!$AM613,IF(H615="MEGA",PR!$AN613,IF(H615="MICRONOVA",PR!$AO613,IF(H615="MFLASH",PR!$AP613,IF(H615="MORISON",PR!$AQ613,IF(H615="NEMEL",PR!$AR613,IF(H615="NHP",PR!$AS613,IF(H615="NHC",PR!$AT613,IF(H615="OLEAF",PR!$AU613,IF(H615="OCULUS",PR!$AV613,IF(H615="PACIFIC",PR!$AW613,IF(H615="PHAMATEX",PR!$AX613,IF(H615="PETHICS",PR!$AY613,IF(H615="PHILIPS",PR!$AZ613,IF(H615="RANBAXY",PR!$BA613,IF(H615="REALS",PR!$BB613,IF(H615="ROYAL",PR!$BC613,IF(H615="SAM",PR!$BD613,IF(H615="SEAGREEN",PR!$BE613,IF(H615="SKG",PR!$BF613,IF(H615="TAH",PR!$BG613,IF(H615="TAYLEK",PR!$BH613,IF(H615="TEMITA",PR!$BI613,IF(H615="THL",PR!$BJ613,IF(H615="UBASTIC",PR!$BK613,IF(H615="UNION",PR!$BL613,IF(H615="UNIQUE",PR!$BM613,IF(H615="VIXA",PR!$BN613,IF(H615="WWCV",PR!$BO613,IF(H615="ZOLON",PR!$BP613,"-"))))))))))))))))))))))))))))))))))))))))))))))))))))))))))))))))</f>
        <v>-</v>
      </c>
      <c r="H615" s="102">
        <f>EV!M789</f>
        <v>0</v>
      </c>
      <c r="I615" s="108" t="str">
        <f>IF(J615="ALPHA",PR!$E613,IF(J615="ASSENE",PR!$F613,IF(J615="BIOFEM",PR!$G613,IF(J615="BIOMED",PR!$H613,IF(J615="CHI",PR!$I613,IF(J615="CLARION",PR!$J613,IF(J615="CODIX",PR!$K613,IF(J615="COSMADE",PR!$L613,IF(J615="SANCON",PR!$M613,IF(J615="DEVON",PR!$N613,IF(J615="DORTEMAG",PR!$O613,IF(J615="DGF",PR!$P613,IF(J615="DYNAMIC",PR!$Q613,IF(J615="EMZOR",PR!$R613,IF(J615="EUMATT",PR!$S613,IF(J615="FIDSON",PR!$T613,IF(J615="FCGLOBAL",PR!$U613,IF(J615="GENEITH",PR!$V613,IF(J615="GINOS",PR!$W613,IF(J615="GSK",PR!$X613,IF(J615="GLOBORG",PR!$Y613,IF(J615="GOODNEWS",PR!$Z613,IF(J615="GREENLIFE",PR!$AA613,IF(J615="HLINE",PR!$AB613,IF(J615="ROTECH",PR!$AC613,IF(J615="ISN",PR!$AD613,IF(J615="JAWA",PR!$AE613,IF(J615="LAYO",PR!$AF613,IF(J615="LEADWAY",PR!$AG613,IF(J615="LHV",PR!$AH613,IF(J615="MANOLA",PR!$AI613,IF(J615="MARCSON",PR!$AJ613,IF(J615="M&amp;B",PR!$AK613,IF(J615="MTRUST",PR!$AL613,IF(J615="MWORLD",PR!$AM613,IF(J615="MEGA",PR!$AN613,IF(J615="MICRONOVA",PR!$AO613,IF(J615="MFLASH",PR!$AP613,IF(J615="MORISON",PR!$AQ613,IF(J615="NEMEL",PR!$AR613,IF(J615="NHP",PR!$AS613,IF(J615="NHC",PR!$AT613,IF(J615="OLEAF",PR!$AU613,IF(J615="OCULUS",PR!$AV613,IF(J615="PACIFIC",PR!$AW613,IF(J615="PHAMATEX",PR!$AX613,IF(J615="PETHICS",PR!$AY613,IF(J615="PHILIPS",PR!$AZ613,IF(J615="RANBAXY",PR!$BA613,IF(J615="REALS",PR!$BB613,IF(J615="ROYAL",PR!$BC613,IF(J615="SAM",PR!$BD613,IF(J615="SEAGREEN",PR!$BE613,IF(J615="SKG",PR!$BF613,IF(J615="TAH",PR!$BG613,IF(J615="TAYLEK",PR!$BH613,IF(J615="TEMITA",PR!$BI613,IF(J615="THL",PR!$BJ613,IF(J615="UBASTIC",PR!$BK613,IF(J615="UNION",PR!$BL613,IF(J615="UNIQUE",PR!$BM613,IF(J615="VIXA",PR!$BN613,IF(J615="WWCV",PR!$BO613,IF(J615="ZOLON",PR!$BP613,"-"))))))))))))))))))))))))))))))))))))))))))))))))))))))))))))))))</f>
        <v>-</v>
      </c>
      <c r="J615" s="102">
        <f>EV!N789</f>
        <v>0</v>
      </c>
      <c r="K615" s="433" t="s">
        <v>820</v>
      </c>
      <c r="L615" s="183">
        <f>IF(K615&gt;0,IF(K615="ALPHA",PR!$E613,IF(K615="ASSENE",PR!$F613,IF(K615="BIOFEM",PR!$G613,IF(K615="BIOMED",PR!$H613,IF(K615="CHI",PR!$I613,IF(K615="CLARION",PR!$J613,IF(K615="CODIX",PR!$K613,IF(K615="COSMADE",PR!$L613,IF(K615="SANCON",PR!$M613,IF(K615="DEVON",PR!$N613,IF(K615="DORTEMAG",PR!$O613,IF(K615="DGF",PR!$P613,IF(K615="DYNAMIC",PR!$Q613,IF(K615="EMZOR",PR!$R613,IF(K615="EUMATT",PR!$S613,IF(K615="FIDSON",PR!$T613,IF(K615="FCGLOBAL",PR!$U613,IF(K615="GENEITH",PR!$V613,IF(K615="GINOS",PR!$W613,IF(K615="GSK",PR!$X613,IF(K615="GLOBORG",PR!$Y613,IF(K615="GOODNEWS",PR!$Z613,IF(K615="GREENLIFE",PR!$AA613,IF(K615="HLINE",PR!$AB613,IF(K615="ROTECH",PR!$AC613,IF(K615="ISN",PR!$AD613,IF(K615="JAWA",PR!$AE613,IF(K615="LAYO",PR!$AF613,IF(K615="LEADWAY",PR!$AG613,IF(K615="LHV",PR!$AH613,IF(K615="MANOLA",PR!$AI613,IF(K615="MARCSON",PR!$AJ613,IF(K615="M&amp;B",PR!$AK613,IF(K615="MTRUST",PR!$AL613,IF(K615="MWORLD",PR!$AM613,IF(K615="MEGA",PR!$AN613,IF(K615="MICRONOVA",PR!$AO613,IF(K615="MFLASH",PR!$AP613,IF(K615="MORISON",PR!$AQ613,IF(K615="NEMEL",PR!$AR613,IF(K615="NHP",PR!$AS613,IF(K615="NHC",PR!$AT613,IF(K615="OLEAF",PR!$AU613,IF(K615="OCULUS",PR!$AV613,IF(K615="PACIFIC",PR!$AW613,IF(K615="PHAMATEX",PR!$AX613,IF(K615="PETHICS",PR!$AY613,IF(K615="PHILIPS",PR!$AZ613,IF(K615="RANBAXY",PR!$BA613,IF(K615="REALS",PR!$BB613,IF(K615="ROYAL",PR!$BC613,IF(K615="SAM",PR!$BD613,IF(K615="SEAGREEN",PR!$BE613,IF(K615="SKG",PR!$BF613,IF(K615="TAH",PR!$BG613,IF(K615="TAYLEK",PR!$BH613,IF(K615="TEMITA",PR!$BI613,IF(K615="THL",PR!$BJ613,IF(K615="UBASTIC",PR!$BK613,IF(K615="UNION",PR!$BL613,IF(K615="UNIQUE",PR!$BM613,IF(K615="VIXA",PR!$BN613,IF(K615="WWCV",PR!$BO613,IF(K615="ZOLON",PR!$BP613,"-")))))))))))))))))))))))))))))))))))))))))))))))))))))))))))))))))</f>
        <v>9000</v>
      </c>
    </row>
    <row r="616" spans="1:12" ht="18.75" x14ac:dyDescent="0.3">
      <c r="A616" s="430">
        <f>PR!A614</f>
        <v>556</v>
      </c>
      <c r="B616" s="15" t="str">
        <f>PR!B614</f>
        <v>IFOSFAMIDE 3G</v>
      </c>
      <c r="C616" s="113" t="str">
        <f>PR!D614</f>
        <v>VIAL</v>
      </c>
      <c r="D616" s="113">
        <f>PR!C614</f>
        <v>20</v>
      </c>
      <c r="E616" s="108">
        <f>IF(F616="ALPHA",PR!$E614,IF(F616="ASSENE",PR!$F614,IF(F616="BIOFEM",PR!$G614,IF(F616="BIOMED",PR!$H614,IF(F616="CHI",PR!$I614,IF(F616="CLARION",PR!$J614,IF(F616="CODIX",PR!$K614,IF(F616="COSMADE",PR!$L614,IF(F616="SANCON",PR!$M614,IF(F616="DEVON",PR!$N614,IF(F616="DORTEMAG",PR!$O614,IF(F616="DGF",PR!$P614,IF(F616="DYNAMIC",PR!$Q614,IF(F616="EMZOR",PR!$R614,IF(F616="EUMATT",PR!$S614,IF(F616="FIDSON",PR!$T614,IF(F616="FCGLOBAL",PR!$U614,IF(F616="GENEITH",PR!$V614,IF(F616="GINOS",PR!$W614,IF(F616="GSK",PR!$X614,IF(F616="GLOBORG",PR!$Y614,IF(F616="GOODNEWS",PR!$Z614,IF(F616="GREENLIFE",PR!$AA614,IF(F616="HLINE",PR!$AB614,IF(F616="ROTECH",PR!$AC614,IF(F616="ISN",PR!$AD614,IF(F616="JAWA",PR!$AE614,IF(F616="LAYO",PR!$AF614,IF(F616="LEADWAY",PR!$AG614,IF(F616="LHV",PR!$AH614,IF(F616="MANOLA",PR!$AI614,IF(F616="MARCSON",PR!$AJ614,IF(F616="M&amp;B",PR!$AK614,IF(F616="MTRUST",PR!$AL614,IF(F616="MWORLD",PR!$AM614,IF(F616="MEGA",PR!$AN614,IF(F616="MICRONOVA",PR!$AO614,IF(F616="MFLASH",PR!$AP614,IF(F616="MORISON",PR!$AQ614,IF(F616="NEMEL",PR!$AR614,IF(F616="NHP",PR!$AS614,IF(F616="NHC",PR!$AT614,IF(F616="OLEAF",PR!$AU614,IF(F616="OCULUS",PR!$AV614,IF(F616="PACIFIC",PR!$AW614,IF(F616="PHAMATEX",PR!$AX614,IF(F616="PETHICS",PR!$AY614,IF(F616="PHILIPS",PR!$AZ614,IF(F616="RANBAXY",PR!$BA614,IF(F616="REALS",PR!$BB614,IF(F616="ROYAL",PR!$BC614,IF(F616="SAM",PR!$BD614,IF(F616="SEAGREEN",PR!$BE614,IF(F616="SKG",PR!$BF614,IF(F616="TAH",PR!$BG614,IF(F616="TAYLEK",PR!$BH614,IF(F616="TEMITA",PR!$BI614,IF(F616="THL",PR!$BJ614,IF(F616="UBASTIC",PR!$BK614,IF(F616="UNION",PR!$BL614,IF(F616="UNIQUE",PR!$BM614,IF(F616="VIXA",PR!$BN614,IF(F616="WWCV",PR!$BO614,IF(F616="ZOLON",PR!$BP614,"-"))))))))))))))))))))))))))))))))))))))))))))))))))))))))))))))))</f>
        <v>9310</v>
      </c>
      <c r="F616" s="102" t="str">
        <f>EV!L790</f>
        <v>MANOLA</v>
      </c>
      <c r="G616" s="108" t="str">
        <f>IF(H616="ALPHA",PR!$E614,IF(H616="ASSENE",PR!$F614,IF(H616="BIOFEM",PR!$G614,IF(H616="BIOMED",PR!$H614,IF(H616="CHI",PR!$I614,IF(H616="CLARION",PR!$J614,IF(H616="CODIX",PR!$K614,IF(H616="COSMADE",PR!$L614,IF(H616="SANCON",PR!$M614,IF(H616="DEVON",PR!$N614,IF(H616="DORTEMAG",PR!$O614,IF(H616="DGF",PR!$P614,IF(H616="DYNAMIC",PR!$Q614,IF(H616="EMZOR",PR!$R614,IF(H616="EUMATT",PR!$S614,IF(H616="FIDSON",PR!$T614,IF(H616="FCGLOBAL",PR!$U614,IF(H616="GENEITH",PR!$V614,IF(H616="GINOS",PR!$W614,IF(H616="GSK",PR!$X614,IF(H616="GLOBORG",PR!$Y614,IF(H616="GOODNEWS",PR!$Z614,IF(H616="GREENLIFE",PR!$AA614,IF(H616="HLINE",PR!$AB614,IF(H616="ROTECH",PR!$AC614,IF(H616="ISN",PR!$AD614,IF(H616="JAWA",PR!$AE614,IF(H616="LAYO",PR!$AF614,IF(H616="LEADWAY",PR!$AG614,IF(H616="LHV",PR!$AH614,IF(H616="MANOLA",PR!$AI614,IF(H616="MARCSON",PR!$AJ614,IF(H616="M&amp;B",PR!$AK614,IF(H616="MTRUST",PR!$AL614,IF(H616="MWORLD",PR!$AM614,IF(H616="MEGA",PR!$AN614,IF(H616="MICRONOVA",PR!$AO614,IF(H616="MFLASH",PR!$AP614,IF(H616="MORISON",PR!$AQ614,IF(H616="NEMEL",PR!$AR614,IF(H616="NHP",PR!$AS614,IF(H616="NHC",PR!$AT614,IF(H616="OLEAF",PR!$AU614,IF(H616="OCULUS",PR!$AV614,IF(H616="PACIFIC",PR!$AW614,IF(H616="PHAMATEX",PR!$AX614,IF(H616="PETHICS",PR!$AY614,IF(H616="PHILIPS",PR!$AZ614,IF(H616="RANBAXY",PR!$BA614,IF(H616="REALS",PR!$BB614,IF(H616="ROYAL",PR!$BC614,IF(H616="SAM",PR!$BD614,IF(H616="SEAGREEN",PR!$BE614,IF(H616="SKG",PR!$BF614,IF(H616="TAH",PR!$BG614,IF(H616="TAYLEK",PR!$BH614,IF(H616="TEMITA",PR!$BI614,IF(H616="THL",PR!$BJ614,IF(H616="UBASTIC",PR!$BK614,IF(H616="UNION",PR!$BL614,IF(H616="UNIQUE",PR!$BM614,IF(H616="VIXA",PR!$BN614,IF(H616="WWCV",PR!$BO614,IF(H616="ZOLON",PR!$BP614,"-"))))))))))))))))))))))))))))))))))))))))))))))))))))))))))))))))</f>
        <v>-</v>
      </c>
      <c r="H616" s="102">
        <f>EV!M790</f>
        <v>0</v>
      </c>
      <c r="I616" s="108" t="str">
        <f>IF(J616="ALPHA",PR!$E614,IF(J616="ASSENE",PR!$F614,IF(J616="BIOFEM",PR!$G614,IF(J616="BIOMED",PR!$H614,IF(J616="CHI",PR!$I614,IF(J616="CLARION",PR!$J614,IF(J616="CODIX",PR!$K614,IF(J616="COSMADE",PR!$L614,IF(J616="SANCON",PR!$M614,IF(J616="DEVON",PR!$N614,IF(J616="DORTEMAG",PR!$O614,IF(J616="DGF",PR!$P614,IF(J616="DYNAMIC",PR!$Q614,IF(J616="EMZOR",PR!$R614,IF(J616="EUMATT",PR!$S614,IF(J616="FIDSON",PR!$T614,IF(J616="FCGLOBAL",PR!$U614,IF(J616="GENEITH",PR!$V614,IF(J616="GINOS",PR!$W614,IF(J616="GSK",PR!$X614,IF(J616="GLOBORG",PR!$Y614,IF(J616="GOODNEWS",PR!$Z614,IF(J616="GREENLIFE",PR!$AA614,IF(J616="HLINE",PR!$AB614,IF(J616="ROTECH",PR!$AC614,IF(J616="ISN",PR!$AD614,IF(J616="JAWA",PR!$AE614,IF(J616="LAYO",PR!$AF614,IF(J616="LEADWAY",PR!$AG614,IF(J616="LHV",PR!$AH614,IF(J616="MANOLA",PR!$AI614,IF(J616="MARCSON",PR!$AJ614,IF(J616="M&amp;B",PR!$AK614,IF(J616="MTRUST",PR!$AL614,IF(J616="MWORLD",PR!$AM614,IF(J616="MEGA",PR!$AN614,IF(J616="MICRONOVA",PR!$AO614,IF(J616="MFLASH",PR!$AP614,IF(J616="MORISON",PR!$AQ614,IF(J616="NEMEL",PR!$AR614,IF(J616="NHP",PR!$AS614,IF(J616="NHC",PR!$AT614,IF(J616="OLEAF",PR!$AU614,IF(J616="OCULUS",PR!$AV614,IF(J616="PACIFIC",PR!$AW614,IF(J616="PHAMATEX",PR!$AX614,IF(J616="PETHICS",PR!$AY614,IF(J616="PHILIPS",PR!$AZ614,IF(J616="RANBAXY",PR!$BA614,IF(J616="REALS",PR!$BB614,IF(J616="ROYAL",PR!$BC614,IF(J616="SAM",PR!$BD614,IF(J616="SEAGREEN",PR!$BE614,IF(J616="SKG",PR!$BF614,IF(J616="TAH",PR!$BG614,IF(J616="TAYLEK",PR!$BH614,IF(J616="TEMITA",PR!$BI614,IF(J616="THL",PR!$BJ614,IF(J616="UBASTIC",PR!$BK614,IF(J616="UNION",PR!$BL614,IF(J616="UNIQUE",PR!$BM614,IF(J616="VIXA",PR!$BN614,IF(J616="WWCV",PR!$BO614,IF(J616="ZOLON",PR!$BP614,"-"))))))))))))))))))))))))))))))))))))))))))))))))))))))))))))))))</f>
        <v>-</v>
      </c>
      <c r="J616" s="102">
        <f>EV!N790</f>
        <v>0</v>
      </c>
      <c r="K616" s="433" t="s">
        <v>820</v>
      </c>
      <c r="L616" s="183">
        <f>IF(K616&gt;0,IF(K616="ALPHA",PR!$E614,IF(K616="ASSENE",PR!$F614,IF(K616="BIOFEM",PR!$G614,IF(K616="BIOMED",PR!$H614,IF(K616="CHI",PR!$I614,IF(K616="CLARION",PR!$J614,IF(K616="CODIX",PR!$K614,IF(K616="COSMADE",PR!$L614,IF(K616="SANCON",PR!$M614,IF(K616="DEVON",PR!$N614,IF(K616="DORTEMAG",PR!$O614,IF(K616="DGF",PR!$P614,IF(K616="DYNAMIC",PR!$Q614,IF(K616="EMZOR",PR!$R614,IF(K616="EUMATT",PR!$S614,IF(K616="FIDSON",PR!$T614,IF(K616="FCGLOBAL",PR!$U614,IF(K616="GENEITH",PR!$V614,IF(K616="GINOS",PR!$W614,IF(K616="GSK",PR!$X614,IF(K616="GLOBORG",PR!$Y614,IF(K616="GOODNEWS",PR!$Z614,IF(K616="GREENLIFE",PR!$AA614,IF(K616="HLINE",PR!$AB614,IF(K616="ROTECH",PR!$AC614,IF(K616="ISN",PR!$AD614,IF(K616="JAWA",PR!$AE614,IF(K616="LAYO",PR!$AF614,IF(K616="LEADWAY",PR!$AG614,IF(K616="LHV",PR!$AH614,IF(K616="MANOLA",PR!$AI614,IF(K616="MARCSON",PR!$AJ614,IF(K616="M&amp;B",PR!$AK614,IF(K616="MTRUST",PR!$AL614,IF(K616="MWORLD",PR!$AM614,IF(K616="MEGA",PR!$AN614,IF(K616="MICRONOVA",PR!$AO614,IF(K616="MFLASH",PR!$AP614,IF(K616="MORISON",PR!$AQ614,IF(K616="NEMEL",PR!$AR614,IF(K616="NHP",PR!$AS614,IF(K616="NHC",PR!$AT614,IF(K616="OLEAF",PR!$AU614,IF(K616="OCULUS",PR!$AV614,IF(K616="PACIFIC",PR!$AW614,IF(K616="PHAMATEX",PR!$AX614,IF(K616="PETHICS",PR!$AY614,IF(K616="PHILIPS",PR!$AZ614,IF(K616="RANBAXY",PR!$BA614,IF(K616="REALS",PR!$BB614,IF(K616="ROYAL",PR!$BC614,IF(K616="SAM",PR!$BD614,IF(K616="SEAGREEN",PR!$BE614,IF(K616="SKG",PR!$BF614,IF(K616="TAH",PR!$BG614,IF(K616="TAYLEK",PR!$BH614,IF(K616="TEMITA",PR!$BI614,IF(K616="THL",PR!$BJ614,IF(K616="UBASTIC",PR!$BK614,IF(K616="UNION",PR!$BL614,IF(K616="UNIQUE",PR!$BM614,IF(K616="VIXA",PR!$BN614,IF(K616="WWCV",PR!$BO614,IF(K616="ZOLON",PR!$BP614,"-")))))))))))))))))))))))))))))))))))))))))))))))))))))))))))))))))</f>
        <v>9310</v>
      </c>
    </row>
    <row r="617" spans="1:12" ht="18.75" x14ac:dyDescent="0.3">
      <c r="A617" s="430">
        <f>PR!A615</f>
        <v>557</v>
      </c>
      <c r="B617" s="15" t="str">
        <f>PR!B615</f>
        <v>IFOSFAMIDE 2G</v>
      </c>
      <c r="C617" s="113" t="str">
        <f>PR!D615</f>
        <v>VIAL</v>
      </c>
      <c r="D617" s="113">
        <f>PR!C615</f>
        <v>20</v>
      </c>
      <c r="E617" s="108" t="str">
        <f>IF(F617="ALPHA",PR!$E615,IF(F617="ASSENE",PR!$F615,IF(F617="BIOFEM",PR!$G615,IF(F617="BIOMED",PR!$H615,IF(F617="CHI",PR!$I615,IF(F617="CLARION",PR!$J615,IF(F617="CODIX",PR!$K615,IF(F617="COSMADE",PR!$L615,IF(F617="SANCON",PR!$M615,IF(F617="DEVON",PR!$N615,IF(F617="DORTEMAG",PR!$O615,IF(F617="DGF",PR!$P615,IF(F617="DYNAMIC",PR!$Q615,IF(F617="EMZOR",PR!$R615,IF(F617="EUMATT",PR!$S615,IF(F617="FIDSON",PR!$T615,IF(F617="FCGLOBAL",PR!$U615,IF(F617="GENEITH",PR!$V615,IF(F617="GINOS",PR!$W615,IF(F617="GSK",PR!$X615,IF(F617="GLOBORG",PR!$Y615,IF(F617="GOODNEWS",PR!$Z615,IF(F617="GREENLIFE",PR!$AA615,IF(F617="HLINE",PR!$AB615,IF(F617="ROTECH",PR!$AC615,IF(F617="ISN",PR!$AD615,IF(F617="JAWA",PR!$AE615,IF(F617="LAYO",PR!$AF615,IF(F617="LEADWAY",PR!$AG615,IF(F617="LHV",PR!$AH615,IF(F617="MANOLA",PR!$AI615,IF(F617="MARCSON",PR!$AJ615,IF(F617="M&amp;B",PR!$AK615,IF(F617="MTRUST",PR!$AL615,IF(F617="MWORLD",PR!$AM615,IF(F617="MEGA",PR!$AN615,IF(F617="MICRONOVA",PR!$AO615,IF(F617="MFLASH",PR!$AP615,IF(F617="MORISON",PR!$AQ615,IF(F617="NEMEL",PR!$AR615,IF(F617="NHP",PR!$AS615,IF(F617="NHC",PR!$AT615,IF(F617="OLEAF",PR!$AU615,IF(F617="OCULUS",PR!$AV615,IF(F617="PACIFIC",PR!$AW615,IF(F617="PHAMATEX",PR!$AX615,IF(F617="PETHICS",PR!$AY615,IF(F617="PHILIPS",PR!$AZ615,IF(F617="RANBAXY",PR!$BA615,IF(F617="REALS",PR!$BB615,IF(F617="ROYAL",PR!$BC615,IF(F617="SAM",PR!$BD615,IF(F617="SEAGREEN",PR!$BE615,IF(F617="SKG",PR!$BF615,IF(F617="TAH",PR!$BG615,IF(F617="TAYLEK",PR!$BH615,IF(F617="TEMITA",PR!$BI615,IF(F617="THL",PR!$BJ615,IF(F617="UBASTIC",PR!$BK615,IF(F617="UNION",PR!$BL615,IF(F617="UNIQUE",PR!$BM615,IF(F617="VIXA",PR!$BN615,IF(F617="WWCV",PR!$BO615,IF(F617="ZOLON",PR!$BP615,"-"))))))))))))))))))))))))))))))))))))))))))))))))))))))))))))))))</f>
        <v>-</v>
      </c>
      <c r="F617" s="102">
        <f>EV!L791</f>
        <v>0</v>
      </c>
      <c r="G617" s="108" t="str">
        <f>IF(H617="ALPHA",PR!$E615,IF(H617="ASSENE",PR!$F615,IF(H617="BIOFEM",PR!$G615,IF(H617="BIOMED",PR!$H615,IF(H617="CHI",PR!$I615,IF(H617="CLARION",PR!$J615,IF(H617="CODIX",PR!$K615,IF(H617="COSMADE",PR!$L615,IF(H617="SANCON",PR!$M615,IF(H617="DEVON",PR!$N615,IF(H617="DORTEMAG",PR!$O615,IF(H617="DGF",PR!$P615,IF(H617="DYNAMIC",PR!$Q615,IF(H617="EMZOR",PR!$R615,IF(H617="EUMATT",PR!$S615,IF(H617="FIDSON",PR!$T615,IF(H617="FCGLOBAL",PR!$U615,IF(H617="GENEITH",PR!$V615,IF(H617="GINOS",PR!$W615,IF(H617="GSK",PR!$X615,IF(H617="GLOBORG",PR!$Y615,IF(H617="GOODNEWS",PR!$Z615,IF(H617="GREENLIFE",PR!$AA615,IF(H617="HLINE",PR!$AB615,IF(H617="ROTECH",PR!$AC615,IF(H617="ISN",PR!$AD615,IF(H617="JAWA",PR!$AE615,IF(H617="LAYO",PR!$AF615,IF(H617="LEADWAY",PR!$AG615,IF(H617="LHV",PR!$AH615,IF(H617="MANOLA",PR!$AI615,IF(H617="MARCSON",PR!$AJ615,IF(H617="M&amp;B",PR!$AK615,IF(H617="MTRUST",PR!$AL615,IF(H617="MWORLD",PR!$AM615,IF(H617="MEGA",PR!$AN615,IF(H617="MICRONOVA",PR!$AO615,IF(H617="MFLASH",PR!$AP615,IF(H617="MORISON",PR!$AQ615,IF(H617="NEMEL",PR!$AR615,IF(H617="NHP",PR!$AS615,IF(H617="NHC",PR!$AT615,IF(H617="OLEAF",PR!$AU615,IF(H617="OCULUS",PR!$AV615,IF(H617="PACIFIC",PR!$AW615,IF(H617="PHAMATEX",PR!$AX615,IF(H617="PETHICS",PR!$AY615,IF(H617="PHILIPS",PR!$AZ615,IF(H617="RANBAXY",PR!$BA615,IF(H617="REALS",PR!$BB615,IF(H617="ROYAL",PR!$BC615,IF(H617="SAM",PR!$BD615,IF(H617="SEAGREEN",PR!$BE615,IF(H617="SKG",PR!$BF615,IF(H617="TAH",PR!$BG615,IF(H617="TAYLEK",PR!$BH615,IF(H617="TEMITA",PR!$BI615,IF(H617="THL",PR!$BJ615,IF(H617="UBASTIC",PR!$BK615,IF(H617="UNION",PR!$BL615,IF(H617="UNIQUE",PR!$BM615,IF(H617="VIXA",PR!$BN615,IF(H617="WWCV",PR!$BO615,IF(H617="ZOLON",PR!$BP615,"-"))))))))))))))))))))))))))))))))))))))))))))))))))))))))))))))))</f>
        <v>-</v>
      </c>
      <c r="H617" s="102">
        <f>EV!M791</f>
        <v>0</v>
      </c>
      <c r="I617" s="108" t="str">
        <f>IF(J617="ALPHA",PR!$E615,IF(J617="ASSENE",PR!$F615,IF(J617="BIOFEM",PR!$G615,IF(J617="BIOMED",PR!$H615,IF(J617="CHI",PR!$I615,IF(J617="CLARION",PR!$J615,IF(J617="CODIX",PR!$K615,IF(J617="COSMADE",PR!$L615,IF(J617="SANCON",PR!$M615,IF(J617="DEVON",PR!$N615,IF(J617="DORTEMAG",PR!$O615,IF(J617="DGF",PR!$P615,IF(J617="DYNAMIC",PR!$Q615,IF(J617="EMZOR",PR!$R615,IF(J617="EUMATT",PR!$S615,IF(J617="FIDSON",PR!$T615,IF(J617="FCGLOBAL",PR!$U615,IF(J617="GENEITH",PR!$V615,IF(J617="GINOS",PR!$W615,IF(J617="GSK",PR!$X615,IF(J617="GLOBORG",PR!$Y615,IF(J617="GOODNEWS",PR!$Z615,IF(J617="GREENLIFE",PR!$AA615,IF(J617="HLINE",PR!$AB615,IF(J617="ROTECH",PR!$AC615,IF(J617="ISN",PR!$AD615,IF(J617="JAWA",PR!$AE615,IF(J617="LAYO",PR!$AF615,IF(J617="LEADWAY",PR!$AG615,IF(J617="LHV",PR!$AH615,IF(J617="MANOLA",PR!$AI615,IF(J617="MARCSON",PR!$AJ615,IF(J617="M&amp;B",PR!$AK615,IF(J617="MTRUST",PR!$AL615,IF(J617="MWORLD",PR!$AM615,IF(J617="MEGA",PR!$AN615,IF(J617="MICRONOVA",PR!$AO615,IF(J617="MFLASH",PR!$AP615,IF(J617="MORISON",PR!$AQ615,IF(J617="NEMEL",PR!$AR615,IF(J617="NHP",PR!$AS615,IF(J617="NHC",PR!$AT615,IF(J617="OLEAF",PR!$AU615,IF(J617="OCULUS",PR!$AV615,IF(J617="PACIFIC",PR!$AW615,IF(J617="PHAMATEX",PR!$AX615,IF(J617="PETHICS",PR!$AY615,IF(J617="PHILIPS",PR!$AZ615,IF(J617="RANBAXY",PR!$BA615,IF(J617="REALS",PR!$BB615,IF(J617="ROYAL",PR!$BC615,IF(J617="SAM",PR!$BD615,IF(J617="SEAGREEN",PR!$BE615,IF(J617="SKG",PR!$BF615,IF(J617="TAH",PR!$BG615,IF(J617="TAYLEK",PR!$BH615,IF(J617="TEMITA",PR!$BI615,IF(J617="THL",PR!$BJ615,IF(J617="UBASTIC",PR!$BK615,IF(J617="UNION",PR!$BL615,IF(J617="UNIQUE",PR!$BM615,IF(J617="VIXA",PR!$BN615,IF(J617="WWCV",PR!$BO615,IF(J617="ZOLON",PR!$BP615,"-"))))))))))))))))))))))))))))))))))))))))))))))))))))))))))))))))</f>
        <v>-</v>
      </c>
      <c r="J617" s="102">
        <f>EV!N791</f>
        <v>0</v>
      </c>
      <c r="K617" s="433"/>
      <c r="L617" s="183" t="b">
        <f>IF(K617&gt;0,IF(K617="ALPHA",PR!$E615,IF(K617="ASSENE",PR!$F615,IF(K617="BIOFEM",PR!$G615,IF(K617="BIOMED",PR!$H615,IF(K617="CHI",PR!$I615,IF(K617="CLARION",PR!$J615,IF(K617="CODIX",PR!$K615,IF(K617="COSMADE",PR!$L615,IF(K617="SANCON",PR!$M615,IF(K617="DEVON",PR!$N615,IF(K617="DORTEMAG",PR!$O615,IF(K617="DGF",PR!$P615,IF(K617="DYNAMIC",PR!$Q615,IF(K617="EMZOR",PR!$R615,IF(K617="EUMATT",PR!$S615,IF(K617="FIDSON",PR!$T615,IF(K617="FCGLOBAL",PR!$U615,IF(K617="GENEITH",PR!$V615,IF(K617="GINOS",PR!$W615,IF(K617="GSK",PR!$X615,IF(K617="GLOBORG",PR!$Y615,IF(K617="GOODNEWS",PR!$Z615,IF(K617="GREENLIFE",PR!$AA615,IF(K617="HLINE",PR!$AB615,IF(K617="ROTECH",PR!$AC615,IF(K617="ISN",PR!$AD615,IF(K617="JAWA",PR!$AE615,IF(K617="LAYO",PR!$AF615,IF(K617="LEADWAY",PR!$AG615,IF(K617="LHV",PR!$AH615,IF(K617="MANOLA",PR!$AI615,IF(K617="MARCSON",PR!$AJ615,IF(K617="M&amp;B",PR!$AK615,IF(K617="MTRUST",PR!$AL615,IF(K617="MWORLD",PR!$AM615,IF(K617="MEGA",PR!$AN615,IF(K617="MICRONOVA",PR!$AO615,IF(K617="MFLASH",PR!$AP615,IF(K617="MORISON",PR!$AQ615,IF(K617="NEMEL",PR!$AR615,IF(K617="NHP",PR!$AS615,IF(K617="NHC",PR!$AT615,IF(K617="OLEAF",PR!$AU615,IF(K617="OCULUS",PR!$AV615,IF(K617="PACIFIC",PR!$AW615,IF(K617="PHAMATEX",PR!$AX615,IF(K617="PETHICS",PR!$AY615,IF(K617="PHILIPS",PR!$AZ615,IF(K617="RANBAXY",PR!$BA615,IF(K617="REALS",PR!$BB615,IF(K617="ROYAL",PR!$BC615,IF(K617="SAM",PR!$BD615,IF(K617="SEAGREEN",PR!$BE615,IF(K617="SKG",PR!$BF615,IF(K617="TAH",PR!$BG615,IF(K617="TAYLEK",PR!$BH615,IF(K617="TEMITA",PR!$BI615,IF(K617="THL",PR!$BJ615,IF(K617="UBASTIC",PR!$BK615,IF(K617="UNION",PR!$BL615,IF(K617="UNIQUE",PR!$BM615,IF(K617="VIXA",PR!$BN615,IF(K617="WWCV",PR!$BO615,IF(K617="ZOLON",PR!$BP615,"-")))))))))))))))))))))))))))))))))))))))))))))))))))))))))))))))))</f>
        <v>0</v>
      </c>
    </row>
    <row r="618" spans="1:12" ht="18.75" x14ac:dyDescent="0.3">
      <c r="A618" s="430">
        <f>PR!A616</f>
        <v>558</v>
      </c>
      <c r="B618" s="15" t="str">
        <f>PR!B616</f>
        <v>IFOSFAMIDE 1G</v>
      </c>
      <c r="C618" s="113" t="str">
        <f>PR!D616</f>
        <v>VIAL</v>
      </c>
      <c r="D618" s="113">
        <f>PR!C616</f>
        <v>20</v>
      </c>
      <c r="E618" s="108" t="str">
        <f>IF(F618="ALPHA",PR!$E616,IF(F618="ASSENE",PR!$F616,IF(F618="BIOFEM",PR!$G616,IF(F618="BIOMED",PR!$H616,IF(F618="CHI",PR!$I616,IF(F618="CLARION",PR!$J616,IF(F618="CODIX",PR!$K616,IF(F618="COSMADE",PR!$L616,IF(F618="SANCON",PR!$M616,IF(F618="DEVON",PR!$N616,IF(F618="DORTEMAG",PR!$O616,IF(F618="DGF",PR!$P616,IF(F618="DYNAMIC",PR!$Q616,IF(F618="EMZOR",PR!$R616,IF(F618="EUMATT",PR!$S616,IF(F618="FIDSON",PR!$T616,IF(F618="FCGLOBAL",PR!$U616,IF(F618="GENEITH",PR!$V616,IF(F618="GINOS",PR!$W616,IF(F618="GSK",PR!$X616,IF(F618="GLOBORG",PR!$Y616,IF(F618="GOODNEWS",PR!$Z616,IF(F618="GREENLIFE",PR!$AA616,IF(F618="HLINE",PR!$AB616,IF(F618="ROTECH",PR!$AC616,IF(F618="ISN",PR!$AD616,IF(F618="JAWA",PR!$AE616,IF(F618="LAYO",PR!$AF616,IF(F618="LEADWAY",PR!$AG616,IF(F618="LHV",PR!$AH616,IF(F618="MANOLA",PR!$AI616,IF(F618="MARCSON",PR!$AJ616,IF(F618="M&amp;B",PR!$AK616,IF(F618="MTRUST",PR!$AL616,IF(F618="MWORLD",PR!$AM616,IF(F618="MEGA",PR!$AN616,IF(F618="MICRONOVA",PR!$AO616,IF(F618="MFLASH",PR!$AP616,IF(F618="MORISON",PR!$AQ616,IF(F618="NEMEL",PR!$AR616,IF(F618="NHP",PR!$AS616,IF(F618="NHC",PR!$AT616,IF(F618="OLEAF",PR!$AU616,IF(F618="OCULUS",PR!$AV616,IF(F618="PACIFIC",PR!$AW616,IF(F618="PHAMATEX",PR!$AX616,IF(F618="PETHICS",PR!$AY616,IF(F618="PHILIPS",PR!$AZ616,IF(F618="RANBAXY",PR!$BA616,IF(F618="REALS",PR!$BB616,IF(F618="ROYAL",PR!$BC616,IF(F618="SAM",PR!$BD616,IF(F618="SEAGREEN",PR!$BE616,IF(F618="SKG",PR!$BF616,IF(F618="TAH",PR!$BG616,IF(F618="TAYLEK",PR!$BH616,IF(F618="TEMITA",PR!$BI616,IF(F618="THL",PR!$BJ616,IF(F618="UBASTIC",PR!$BK616,IF(F618="UNION",PR!$BL616,IF(F618="UNIQUE",PR!$BM616,IF(F618="VIXA",PR!$BN616,IF(F618="WWCV",PR!$BO616,IF(F618="ZOLON",PR!$BP616,"-"))))))))))))))))))))))))))))))))))))))))))))))))))))))))))))))))</f>
        <v>-</v>
      </c>
      <c r="F618" s="102">
        <f>EV!L792</f>
        <v>0</v>
      </c>
      <c r="G618" s="108" t="str">
        <f>IF(H618="ALPHA",PR!$E616,IF(H618="ASSENE",PR!$F616,IF(H618="BIOFEM",PR!$G616,IF(H618="BIOMED",PR!$H616,IF(H618="CHI",PR!$I616,IF(H618="CLARION",PR!$J616,IF(H618="CODIX",PR!$K616,IF(H618="COSMADE",PR!$L616,IF(H618="SANCON",PR!$M616,IF(H618="DEVON",PR!$N616,IF(H618="DORTEMAG",PR!$O616,IF(H618="DGF",PR!$P616,IF(H618="DYNAMIC",PR!$Q616,IF(H618="EMZOR",PR!$R616,IF(H618="EUMATT",PR!$S616,IF(H618="FIDSON",PR!$T616,IF(H618="FCGLOBAL",PR!$U616,IF(H618="GENEITH",PR!$V616,IF(H618="GINOS",PR!$W616,IF(H618="GSK",PR!$X616,IF(H618="GLOBORG",PR!$Y616,IF(H618="GOODNEWS",PR!$Z616,IF(H618="GREENLIFE",PR!$AA616,IF(H618="HLINE",PR!$AB616,IF(H618="ROTECH",PR!$AC616,IF(H618="ISN",PR!$AD616,IF(H618="JAWA",PR!$AE616,IF(H618="LAYO",PR!$AF616,IF(H618="LEADWAY",PR!$AG616,IF(H618="LHV",PR!$AH616,IF(H618="MANOLA",PR!$AI616,IF(H618="MARCSON",PR!$AJ616,IF(H618="M&amp;B",PR!$AK616,IF(H618="MTRUST",PR!$AL616,IF(H618="MWORLD",PR!$AM616,IF(H618="MEGA",PR!$AN616,IF(H618="MICRONOVA",PR!$AO616,IF(H618="MFLASH",PR!$AP616,IF(H618="MORISON",PR!$AQ616,IF(H618="NEMEL",PR!$AR616,IF(H618="NHP",PR!$AS616,IF(H618="NHC",PR!$AT616,IF(H618="OLEAF",PR!$AU616,IF(H618="OCULUS",PR!$AV616,IF(H618="PACIFIC",PR!$AW616,IF(H618="PHAMATEX",PR!$AX616,IF(H618="PETHICS",PR!$AY616,IF(H618="PHILIPS",PR!$AZ616,IF(H618="RANBAXY",PR!$BA616,IF(H618="REALS",PR!$BB616,IF(H618="ROYAL",PR!$BC616,IF(H618="SAM",PR!$BD616,IF(H618="SEAGREEN",PR!$BE616,IF(H618="SKG",PR!$BF616,IF(H618="TAH",PR!$BG616,IF(H618="TAYLEK",PR!$BH616,IF(H618="TEMITA",PR!$BI616,IF(H618="THL",PR!$BJ616,IF(H618="UBASTIC",PR!$BK616,IF(H618="UNION",PR!$BL616,IF(H618="UNIQUE",PR!$BM616,IF(H618="VIXA",PR!$BN616,IF(H618="WWCV",PR!$BO616,IF(H618="ZOLON",PR!$BP616,"-"))))))))))))))))))))))))))))))))))))))))))))))))))))))))))))))))</f>
        <v>-</v>
      </c>
      <c r="H618" s="102">
        <f>EV!M792</f>
        <v>0</v>
      </c>
      <c r="I618" s="108" t="str">
        <f>IF(J618="ALPHA",PR!$E616,IF(J618="ASSENE",PR!$F616,IF(J618="BIOFEM",PR!$G616,IF(J618="BIOMED",PR!$H616,IF(J618="CHI",PR!$I616,IF(J618="CLARION",PR!$J616,IF(J618="CODIX",PR!$K616,IF(J618="COSMADE",PR!$L616,IF(J618="SANCON",PR!$M616,IF(J618="DEVON",PR!$N616,IF(J618="DORTEMAG",PR!$O616,IF(J618="DGF",PR!$P616,IF(J618="DYNAMIC",PR!$Q616,IF(J618="EMZOR",PR!$R616,IF(J618="EUMATT",PR!$S616,IF(J618="FIDSON",PR!$T616,IF(J618="FCGLOBAL",PR!$U616,IF(J618="GENEITH",PR!$V616,IF(J618="GINOS",PR!$W616,IF(J618="GSK",PR!$X616,IF(J618="GLOBORG",PR!$Y616,IF(J618="GOODNEWS",PR!$Z616,IF(J618="GREENLIFE",PR!$AA616,IF(J618="HLINE",PR!$AB616,IF(J618="ROTECH",PR!$AC616,IF(J618="ISN",PR!$AD616,IF(J618="JAWA",PR!$AE616,IF(J618="LAYO",PR!$AF616,IF(J618="LEADWAY",PR!$AG616,IF(J618="LHV",PR!$AH616,IF(J618="MANOLA",PR!$AI616,IF(J618="MARCSON",PR!$AJ616,IF(J618="M&amp;B",PR!$AK616,IF(J618="MTRUST",PR!$AL616,IF(J618="MWORLD",PR!$AM616,IF(J618="MEGA",PR!$AN616,IF(J618="MICRONOVA",PR!$AO616,IF(J618="MFLASH",PR!$AP616,IF(J618="MORISON",PR!$AQ616,IF(J618="NEMEL",PR!$AR616,IF(J618="NHP",PR!$AS616,IF(J618="NHC",PR!$AT616,IF(J618="OLEAF",PR!$AU616,IF(J618="OCULUS",PR!$AV616,IF(J618="PACIFIC",PR!$AW616,IF(J618="PHAMATEX",PR!$AX616,IF(J618="PETHICS",PR!$AY616,IF(J618="PHILIPS",PR!$AZ616,IF(J618="RANBAXY",PR!$BA616,IF(J618="REALS",PR!$BB616,IF(J618="ROYAL",PR!$BC616,IF(J618="SAM",PR!$BD616,IF(J618="SEAGREEN",PR!$BE616,IF(J618="SKG",PR!$BF616,IF(J618="TAH",PR!$BG616,IF(J618="TAYLEK",PR!$BH616,IF(J618="TEMITA",PR!$BI616,IF(J618="THL",PR!$BJ616,IF(J618="UBASTIC",PR!$BK616,IF(J618="UNION",PR!$BL616,IF(J618="UNIQUE",PR!$BM616,IF(J618="VIXA",PR!$BN616,IF(J618="WWCV",PR!$BO616,IF(J618="ZOLON",PR!$BP616,"-"))))))))))))))))))))))))))))))))))))))))))))))))))))))))))))))))</f>
        <v>-</v>
      </c>
      <c r="J618" s="102">
        <f>EV!N792</f>
        <v>0</v>
      </c>
      <c r="K618" s="433"/>
      <c r="L618" s="183" t="b">
        <f>IF(K618&gt;0,IF(K618="ALPHA",PR!$E616,IF(K618="ASSENE",PR!$F616,IF(K618="BIOFEM",PR!$G616,IF(K618="BIOMED",PR!$H616,IF(K618="CHI",PR!$I616,IF(K618="CLARION",PR!$J616,IF(K618="CODIX",PR!$K616,IF(K618="COSMADE",PR!$L616,IF(K618="SANCON",PR!$M616,IF(K618="DEVON",PR!$N616,IF(K618="DORTEMAG",PR!$O616,IF(K618="DGF",PR!$P616,IF(K618="DYNAMIC",PR!$Q616,IF(K618="EMZOR",PR!$R616,IF(K618="EUMATT",PR!$S616,IF(K618="FIDSON",PR!$T616,IF(K618="FCGLOBAL",PR!$U616,IF(K618="GENEITH",PR!$V616,IF(K618="GINOS",PR!$W616,IF(K618="GSK",PR!$X616,IF(K618="GLOBORG",PR!$Y616,IF(K618="GOODNEWS",PR!$Z616,IF(K618="GREENLIFE",PR!$AA616,IF(K618="HLINE",PR!$AB616,IF(K618="ROTECH",PR!$AC616,IF(K618="ISN",PR!$AD616,IF(K618="JAWA",PR!$AE616,IF(K618="LAYO",PR!$AF616,IF(K618="LEADWAY",PR!$AG616,IF(K618="LHV",PR!$AH616,IF(K618="MANOLA",PR!$AI616,IF(K618="MARCSON",PR!$AJ616,IF(K618="M&amp;B",PR!$AK616,IF(K618="MTRUST",PR!$AL616,IF(K618="MWORLD",PR!$AM616,IF(K618="MEGA",PR!$AN616,IF(K618="MICRONOVA",PR!$AO616,IF(K618="MFLASH",PR!$AP616,IF(K618="MORISON",PR!$AQ616,IF(K618="NEMEL",PR!$AR616,IF(K618="NHP",PR!$AS616,IF(K618="NHC",PR!$AT616,IF(K618="OLEAF",PR!$AU616,IF(K618="OCULUS",PR!$AV616,IF(K618="PACIFIC",PR!$AW616,IF(K618="PHAMATEX",PR!$AX616,IF(K618="PETHICS",PR!$AY616,IF(K618="PHILIPS",PR!$AZ616,IF(K618="RANBAXY",PR!$BA616,IF(K618="REALS",PR!$BB616,IF(K618="ROYAL",PR!$BC616,IF(K618="SAM",PR!$BD616,IF(K618="SEAGREEN",PR!$BE616,IF(K618="SKG",PR!$BF616,IF(K618="TAH",PR!$BG616,IF(K618="TAYLEK",PR!$BH616,IF(K618="TEMITA",PR!$BI616,IF(K618="THL",PR!$BJ616,IF(K618="UBASTIC",PR!$BK616,IF(K618="UNION",PR!$BL616,IF(K618="UNIQUE",PR!$BM616,IF(K618="VIXA",PR!$BN616,IF(K618="WWCV",PR!$BO616,IF(K618="ZOLON",PR!$BP616,"-")))))))))))))))))))))))))))))))))))))))))))))))))))))))))))))))))</f>
        <v>0</v>
      </c>
    </row>
    <row r="619" spans="1:12" ht="18.75" x14ac:dyDescent="0.3">
      <c r="A619" s="430">
        <f>PR!A617</f>
        <v>559</v>
      </c>
      <c r="B619" s="15" t="str">
        <f>PR!B617</f>
        <v>LETROZOLE 2.5MG TAB</v>
      </c>
      <c r="C619" s="113">
        <f>PR!D617</f>
        <v>30</v>
      </c>
      <c r="D619" s="113">
        <f>PR!C617</f>
        <v>22</v>
      </c>
      <c r="E619" s="108">
        <f>IF(F619="ALPHA",PR!$E617,IF(F619="ASSENE",PR!$F617,IF(F619="BIOFEM",PR!$G617,IF(F619="BIOMED",PR!$H617,IF(F619="CHI",PR!$I617,IF(F619="CLARION",PR!$J617,IF(F619="CODIX",PR!$K617,IF(F619="COSMADE",PR!$L617,IF(F619="SANCON",PR!$M617,IF(F619="DEVON",PR!$N617,IF(F619="DORTEMAG",PR!$O617,IF(F619="DGF",PR!$P617,IF(F619="DYNAMIC",PR!$Q617,IF(F619="EMZOR",PR!$R617,IF(F619="EUMATT",PR!$S617,IF(F619="FIDSON",PR!$T617,IF(F619="FCGLOBAL",PR!$U617,IF(F619="GENEITH",PR!$V617,IF(F619="GINOS",PR!$W617,IF(F619="GSK",PR!$X617,IF(F619="GLOBORG",PR!$Y617,IF(F619="GOODNEWS",PR!$Z617,IF(F619="GREENLIFE",PR!$AA617,IF(F619="HLINE",PR!$AB617,IF(F619="ROTECH",PR!$AC617,IF(F619="ISN",PR!$AD617,IF(F619="JAWA",PR!$AE617,IF(F619="LAYO",PR!$AF617,IF(F619="LEADWAY",PR!$AG617,IF(F619="LHV",PR!$AH617,IF(F619="MANOLA",PR!$AI617,IF(F619="MARCSON",PR!$AJ617,IF(F619="M&amp;B",PR!$AK617,IF(F619="MTRUST",PR!$AL617,IF(F619="MWORLD",PR!$AM617,IF(F619="MEGA",PR!$AN617,IF(F619="MICRONOVA",PR!$AO617,IF(F619="MFLASH",PR!$AP617,IF(F619="MORISON",PR!$AQ617,IF(F619="NEMEL",PR!$AR617,IF(F619="NHP",PR!$AS617,IF(F619="NHC",PR!$AT617,IF(F619="OLEAF",PR!$AU617,IF(F619="OCULUS",PR!$AV617,IF(F619="PACIFIC",PR!$AW617,IF(F619="PHAMATEX",PR!$AX617,IF(F619="PETHICS",PR!$AY617,IF(F619="PHILIPS",PR!$AZ617,IF(F619="RANBAXY",PR!$BA617,IF(F619="REALS",PR!$BB617,IF(F619="ROYAL",PR!$BC617,IF(F619="SAM",PR!$BD617,IF(F619="SEAGREEN",PR!$BE617,IF(F619="SKG",PR!$BF617,IF(F619="TAH",PR!$BG617,IF(F619="TAYLEK",PR!$BH617,IF(F619="TEMITA",PR!$BI617,IF(F619="THL",PR!$BJ617,IF(F619="UBASTIC",PR!$BK617,IF(F619="UNION",PR!$BL617,IF(F619="UNIQUE",PR!$BM617,IF(F619="VIXA",PR!$BN617,IF(F619="WWCV",PR!$BO617,IF(F619="ZOLON",PR!$BP617,"-"))))))))))))))))))))))))))))))))))))))))))))))))))))))))))))))))</f>
        <v>14040</v>
      </c>
      <c r="F619" s="102" t="str">
        <f>EV!L793</f>
        <v>MANOLA</v>
      </c>
      <c r="G619" s="108" t="str">
        <f>IF(H619="ALPHA",PR!$E617,IF(H619="ASSENE",PR!$F617,IF(H619="BIOFEM",PR!$G617,IF(H619="BIOMED",PR!$H617,IF(H619="CHI",PR!$I617,IF(H619="CLARION",PR!$J617,IF(H619="CODIX",PR!$K617,IF(H619="COSMADE",PR!$L617,IF(H619="SANCON",PR!$M617,IF(H619="DEVON",PR!$N617,IF(H619="DORTEMAG",PR!$O617,IF(H619="DGF",PR!$P617,IF(H619="DYNAMIC",PR!$Q617,IF(H619="EMZOR",PR!$R617,IF(H619="EUMATT",PR!$S617,IF(H619="FIDSON",PR!$T617,IF(H619="FCGLOBAL",PR!$U617,IF(H619="GENEITH",PR!$V617,IF(H619="GINOS",PR!$W617,IF(H619="GSK",PR!$X617,IF(H619="GLOBORG",PR!$Y617,IF(H619="GOODNEWS",PR!$Z617,IF(H619="GREENLIFE",PR!$AA617,IF(H619="HLINE",PR!$AB617,IF(H619="ROTECH",PR!$AC617,IF(H619="ISN",PR!$AD617,IF(H619="JAWA",PR!$AE617,IF(H619="LAYO",PR!$AF617,IF(H619="LEADWAY",PR!$AG617,IF(H619="LHV",PR!$AH617,IF(H619="MANOLA",PR!$AI617,IF(H619="MARCSON",PR!$AJ617,IF(H619="M&amp;B",PR!$AK617,IF(H619="MTRUST",PR!$AL617,IF(H619="MWORLD",PR!$AM617,IF(H619="MEGA",PR!$AN617,IF(H619="MICRONOVA",PR!$AO617,IF(H619="MFLASH",PR!$AP617,IF(H619="MORISON",PR!$AQ617,IF(H619="NEMEL",PR!$AR617,IF(H619="NHP",PR!$AS617,IF(H619="NHC",PR!$AT617,IF(H619="OLEAF",PR!$AU617,IF(H619="OCULUS",PR!$AV617,IF(H619="PACIFIC",PR!$AW617,IF(H619="PHAMATEX",PR!$AX617,IF(H619="PETHICS",PR!$AY617,IF(H619="PHILIPS",PR!$AZ617,IF(H619="RANBAXY",PR!$BA617,IF(H619="REALS",PR!$BB617,IF(H619="ROYAL",PR!$BC617,IF(H619="SAM",PR!$BD617,IF(H619="SEAGREEN",PR!$BE617,IF(H619="SKG",PR!$BF617,IF(H619="TAH",PR!$BG617,IF(H619="TAYLEK",PR!$BH617,IF(H619="TEMITA",PR!$BI617,IF(H619="THL",PR!$BJ617,IF(H619="UBASTIC",PR!$BK617,IF(H619="UNION",PR!$BL617,IF(H619="UNIQUE",PR!$BM617,IF(H619="VIXA",PR!$BN617,IF(H619="WWCV",PR!$BO617,IF(H619="ZOLON",PR!$BP617,"-"))))))))))))))))))))))))))))))))))))))))))))))))))))))))))))))))</f>
        <v>-</v>
      </c>
      <c r="H619" s="102">
        <f>EV!M793</f>
        <v>0</v>
      </c>
      <c r="I619" s="108" t="str">
        <f>IF(J619="ALPHA",PR!$E617,IF(J619="ASSENE",PR!$F617,IF(J619="BIOFEM",PR!$G617,IF(J619="BIOMED",PR!$H617,IF(J619="CHI",PR!$I617,IF(J619="CLARION",PR!$J617,IF(J619="CODIX",PR!$K617,IF(J619="COSMADE",PR!$L617,IF(J619="SANCON",PR!$M617,IF(J619="DEVON",PR!$N617,IF(J619="DORTEMAG",PR!$O617,IF(J619="DGF",PR!$P617,IF(J619="DYNAMIC",PR!$Q617,IF(J619="EMZOR",PR!$R617,IF(J619="EUMATT",PR!$S617,IF(J619="FIDSON",PR!$T617,IF(J619="FCGLOBAL",PR!$U617,IF(J619="GENEITH",PR!$V617,IF(J619="GINOS",PR!$W617,IF(J619="GSK",PR!$X617,IF(J619="GLOBORG",PR!$Y617,IF(J619="GOODNEWS",PR!$Z617,IF(J619="GREENLIFE",PR!$AA617,IF(J619="HLINE",PR!$AB617,IF(J619="ROTECH",PR!$AC617,IF(J619="ISN",PR!$AD617,IF(J619="JAWA",PR!$AE617,IF(J619="LAYO",PR!$AF617,IF(J619="LEADWAY",PR!$AG617,IF(J619="LHV",PR!$AH617,IF(J619="MANOLA",PR!$AI617,IF(J619="MARCSON",PR!$AJ617,IF(J619="M&amp;B",PR!$AK617,IF(J619="MTRUST",PR!$AL617,IF(J619="MWORLD",PR!$AM617,IF(J619="MEGA",PR!$AN617,IF(J619="MICRONOVA",PR!$AO617,IF(J619="MFLASH",PR!$AP617,IF(J619="MORISON",PR!$AQ617,IF(J619="NEMEL",PR!$AR617,IF(J619="NHP",PR!$AS617,IF(J619="NHC",PR!$AT617,IF(J619="OLEAF",PR!$AU617,IF(J619="OCULUS",PR!$AV617,IF(J619="PACIFIC",PR!$AW617,IF(J619="PHAMATEX",PR!$AX617,IF(J619="PETHICS",PR!$AY617,IF(J619="PHILIPS",PR!$AZ617,IF(J619="RANBAXY",PR!$BA617,IF(J619="REALS",PR!$BB617,IF(J619="ROYAL",PR!$BC617,IF(J619="SAM",PR!$BD617,IF(J619="SEAGREEN",PR!$BE617,IF(J619="SKG",PR!$BF617,IF(J619="TAH",PR!$BG617,IF(J619="TAYLEK",PR!$BH617,IF(J619="TEMITA",PR!$BI617,IF(J619="THL",PR!$BJ617,IF(J619="UBASTIC",PR!$BK617,IF(J619="UNION",PR!$BL617,IF(J619="UNIQUE",PR!$BM617,IF(J619="VIXA",PR!$BN617,IF(J619="WWCV",PR!$BO617,IF(J619="ZOLON",PR!$BP617,"-"))))))))))))))))))))))))))))))))))))))))))))))))))))))))))))))))</f>
        <v>-</v>
      </c>
      <c r="J619" s="102">
        <f>EV!N793</f>
        <v>0</v>
      </c>
      <c r="K619" s="433" t="s">
        <v>820</v>
      </c>
      <c r="L619" s="183">
        <f>IF(K619&gt;0,IF(K619="ALPHA",PR!$E617,IF(K619="ASSENE",PR!$F617,IF(K619="BIOFEM",PR!$G617,IF(K619="BIOMED",PR!$H617,IF(K619="CHI",PR!$I617,IF(K619="CLARION",PR!$J617,IF(K619="CODIX",PR!$K617,IF(K619="COSMADE",PR!$L617,IF(K619="SANCON",PR!$M617,IF(K619="DEVON",PR!$N617,IF(K619="DORTEMAG",PR!$O617,IF(K619="DGF",PR!$P617,IF(K619="DYNAMIC",PR!$Q617,IF(K619="EMZOR",PR!$R617,IF(K619="EUMATT",PR!$S617,IF(K619="FIDSON",PR!$T617,IF(K619="FCGLOBAL",PR!$U617,IF(K619="GENEITH",PR!$V617,IF(K619="GINOS",PR!$W617,IF(K619="GSK",PR!$X617,IF(K619="GLOBORG",PR!$Y617,IF(K619="GOODNEWS",PR!$Z617,IF(K619="GREENLIFE",PR!$AA617,IF(K619="HLINE",PR!$AB617,IF(K619="ROTECH",PR!$AC617,IF(K619="ISN",PR!$AD617,IF(K619="JAWA",PR!$AE617,IF(K619="LAYO",PR!$AF617,IF(K619="LEADWAY",PR!$AG617,IF(K619="LHV",PR!$AH617,IF(K619="MANOLA",PR!$AI617,IF(K619="MARCSON",PR!$AJ617,IF(K619="M&amp;B",PR!$AK617,IF(K619="MTRUST",PR!$AL617,IF(K619="MWORLD",PR!$AM617,IF(K619="MEGA",PR!$AN617,IF(K619="MICRONOVA",PR!$AO617,IF(K619="MFLASH",PR!$AP617,IF(K619="MORISON",PR!$AQ617,IF(K619="NEMEL",PR!$AR617,IF(K619="NHP",PR!$AS617,IF(K619="NHC",PR!$AT617,IF(K619="OLEAF",PR!$AU617,IF(K619="OCULUS",PR!$AV617,IF(K619="PACIFIC",PR!$AW617,IF(K619="PHAMATEX",PR!$AX617,IF(K619="PETHICS",PR!$AY617,IF(K619="PHILIPS",PR!$AZ617,IF(K619="RANBAXY",PR!$BA617,IF(K619="REALS",PR!$BB617,IF(K619="ROYAL",PR!$BC617,IF(K619="SAM",PR!$BD617,IF(K619="SEAGREEN",PR!$BE617,IF(K619="SKG",PR!$BF617,IF(K619="TAH",PR!$BG617,IF(K619="TAYLEK",PR!$BH617,IF(K619="TEMITA",PR!$BI617,IF(K619="THL",PR!$BJ617,IF(K619="UBASTIC",PR!$BK617,IF(K619="UNION",PR!$BL617,IF(K619="UNIQUE",PR!$BM617,IF(K619="VIXA",PR!$BN617,IF(K619="WWCV",PR!$BO617,IF(K619="ZOLON",PR!$BP617,"-")))))))))))))))))))))))))))))))))))))))))))))))))))))))))))))))))</f>
        <v>14040</v>
      </c>
    </row>
    <row r="620" spans="1:12" ht="18.75" x14ac:dyDescent="0.3">
      <c r="A620" s="430">
        <f>PR!A618</f>
        <v>560</v>
      </c>
      <c r="B620" s="15" t="str">
        <f>PR!B618</f>
        <v>MEGESTROL ACETATE 20MG TAB</v>
      </c>
      <c r="C620" s="113">
        <f>PR!D618</f>
        <v>30</v>
      </c>
      <c r="D620" s="113">
        <f>PR!C618</f>
        <v>11</v>
      </c>
      <c r="E620" s="108" t="str">
        <f>IF(F620="ALPHA",PR!$E618,IF(F620="ASSENE",PR!$F618,IF(F620="BIOFEM",PR!$G618,IF(F620="BIOMED",PR!$H618,IF(F620="CHI",PR!$I618,IF(F620="CLARION",PR!$J618,IF(F620="CODIX",PR!$K618,IF(F620="COSMADE",PR!$L618,IF(F620="SANCON",PR!$M618,IF(F620="DEVON",PR!$N618,IF(F620="DORTEMAG",PR!$O618,IF(F620="DGF",PR!$P618,IF(F620="DYNAMIC",PR!$Q618,IF(F620="EMZOR",PR!$R618,IF(F620="EUMATT",PR!$S618,IF(F620="FIDSON",PR!$T618,IF(F620="FCGLOBAL",PR!$U618,IF(F620="GENEITH",PR!$V618,IF(F620="GINOS",PR!$W618,IF(F620="GSK",PR!$X618,IF(F620="GLOBORG",PR!$Y618,IF(F620="GOODNEWS",PR!$Z618,IF(F620="GREENLIFE",PR!$AA618,IF(F620="HLINE",PR!$AB618,IF(F620="ROTECH",PR!$AC618,IF(F620="ISN",PR!$AD618,IF(F620="JAWA",PR!$AE618,IF(F620="LAYO",PR!$AF618,IF(F620="LEADWAY",PR!$AG618,IF(F620="LHV",PR!$AH618,IF(F620="MANOLA",PR!$AI618,IF(F620="MARCSON",PR!$AJ618,IF(F620="M&amp;B",PR!$AK618,IF(F620="MTRUST",PR!$AL618,IF(F620="MWORLD",PR!$AM618,IF(F620="MEGA",PR!$AN618,IF(F620="MICRONOVA",PR!$AO618,IF(F620="MFLASH",PR!$AP618,IF(F620="MORISON",PR!$AQ618,IF(F620="NEMEL",PR!$AR618,IF(F620="NHP",PR!$AS618,IF(F620="NHC",PR!$AT618,IF(F620="OLEAF",PR!$AU618,IF(F620="OCULUS",PR!$AV618,IF(F620="PACIFIC",PR!$AW618,IF(F620="PHAMATEX",PR!$AX618,IF(F620="PETHICS",PR!$AY618,IF(F620="PHILIPS",PR!$AZ618,IF(F620="RANBAXY",PR!$BA618,IF(F620="REALS",PR!$BB618,IF(F620="ROYAL",PR!$BC618,IF(F620="SAM",PR!$BD618,IF(F620="SEAGREEN",PR!$BE618,IF(F620="SKG",PR!$BF618,IF(F620="TAH",PR!$BG618,IF(F620="TAYLEK",PR!$BH618,IF(F620="TEMITA",PR!$BI618,IF(F620="THL",PR!$BJ618,IF(F620="UBASTIC",PR!$BK618,IF(F620="UNION",PR!$BL618,IF(F620="UNIQUE",PR!$BM618,IF(F620="VIXA",PR!$BN618,IF(F620="WWCV",PR!$BO618,IF(F620="ZOLON",PR!$BP618,"-"))))))))))))))))))))))))))))))))))))))))))))))))))))))))))))))))</f>
        <v>-</v>
      </c>
      <c r="F620" s="102">
        <f>EV!L794</f>
        <v>0</v>
      </c>
      <c r="G620" s="108" t="str">
        <f>IF(H620="ALPHA",PR!$E618,IF(H620="ASSENE",PR!$F618,IF(H620="BIOFEM",PR!$G618,IF(H620="BIOMED",PR!$H618,IF(H620="CHI",PR!$I618,IF(H620="CLARION",PR!$J618,IF(H620="CODIX",PR!$K618,IF(H620="COSMADE",PR!$L618,IF(H620="SANCON",PR!$M618,IF(H620="DEVON",PR!$N618,IF(H620="DORTEMAG",PR!$O618,IF(H620="DGF",PR!$P618,IF(H620="DYNAMIC",PR!$Q618,IF(H620="EMZOR",PR!$R618,IF(H620="EUMATT",PR!$S618,IF(H620="FIDSON",PR!$T618,IF(H620="FCGLOBAL",PR!$U618,IF(H620="GENEITH",PR!$V618,IF(H620="GINOS",PR!$W618,IF(H620="GSK",PR!$X618,IF(H620="GLOBORG",PR!$Y618,IF(H620="GOODNEWS",PR!$Z618,IF(H620="GREENLIFE",PR!$AA618,IF(H620="HLINE",PR!$AB618,IF(H620="ROTECH",PR!$AC618,IF(H620="ISN",PR!$AD618,IF(H620="JAWA",PR!$AE618,IF(H620="LAYO",PR!$AF618,IF(H620="LEADWAY",PR!$AG618,IF(H620="LHV",PR!$AH618,IF(H620="MANOLA",PR!$AI618,IF(H620="MARCSON",PR!$AJ618,IF(H620="M&amp;B",PR!$AK618,IF(H620="MTRUST",PR!$AL618,IF(H620="MWORLD",PR!$AM618,IF(H620="MEGA",PR!$AN618,IF(H620="MICRONOVA",PR!$AO618,IF(H620="MFLASH",PR!$AP618,IF(H620="MORISON",PR!$AQ618,IF(H620="NEMEL",PR!$AR618,IF(H620="NHP",PR!$AS618,IF(H620="NHC",PR!$AT618,IF(H620="OLEAF",PR!$AU618,IF(H620="OCULUS",PR!$AV618,IF(H620="PACIFIC",PR!$AW618,IF(H620="PHAMATEX",PR!$AX618,IF(H620="PETHICS",PR!$AY618,IF(H620="PHILIPS",PR!$AZ618,IF(H620="RANBAXY",PR!$BA618,IF(H620="REALS",PR!$BB618,IF(H620="ROYAL",PR!$BC618,IF(H620="SAM",PR!$BD618,IF(H620="SEAGREEN",PR!$BE618,IF(H620="SKG",PR!$BF618,IF(H620="TAH",PR!$BG618,IF(H620="TAYLEK",PR!$BH618,IF(H620="TEMITA",PR!$BI618,IF(H620="THL",PR!$BJ618,IF(H620="UBASTIC",PR!$BK618,IF(H620="UNION",PR!$BL618,IF(H620="UNIQUE",PR!$BM618,IF(H620="VIXA",PR!$BN618,IF(H620="WWCV",PR!$BO618,IF(H620="ZOLON",PR!$BP618,"-"))))))))))))))))))))))))))))))))))))))))))))))))))))))))))))))))</f>
        <v>-</v>
      </c>
      <c r="H620" s="102">
        <f>EV!M794</f>
        <v>0</v>
      </c>
      <c r="I620" s="108" t="str">
        <f>IF(J620="ALPHA",PR!$E618,IF(J620="ASSENE",PR!$F618,IF(J620="BIOFEM",PR!$G618,IF(J620="BIOMED",PR!$H618,IF(J620="CHI",PR!$I618,IF(J620="CLARION",PR!$J618,IF(J620="CODIX",PR!$K618,IF(J620="COSMADE",PR!$L618,IF(J620="SANCON",PR!$M618,IF(J620="DEVON",PR!$N618,IF(J620="DORTEMAG",PR!$O618,IF(J620="DGF",PR!$P618,IF(J620="DYNAMIC",PR!$Q618,IF(J620="EMZOR",PR!$R618,IF(J620="EUMATT",PR!$S618,IF(J620="FIDSON",PR!$T618,IF(J620="FCGLOBAL",PR!$U618,IF(J620="GENEITH",PR!$V618,IF(J620="GINOS",PR!$W618,IF(J620="GSK",PR!$X618,IF(J620="GLOBORG",PR!$Y618,IF(J620="GOODNEWS",PR!$Z618,IF(J620="GREENLIFE",PR!$AA618,IF(J620="HLINE",PR!$AB618,IF(J620="ROTECH",PR!$AC618,IF(J620="ISN",PR!$AD618,IF(J620="JAWA",PR!$AE618,IF(J620="LAYO",PR!$AF618,IF(J620="LEADWAY",PR!$AG618,IF(J620="LHV",PR!$AH618,IF(J620="MANOLA",PR!$AI618,IF(J620="MARCSON",PR!$AJ618,IF(J620="M&amp;B",PR!$AK618,IF(J620="MTRUST",PR!$AL618,IF(J620="MWORLD",PR!$AM618,IF(J620="MEGA",PR!$AN618,IF(J620="MICRONOVA",PR!$AO618,IF(J620="MFLASH",PR!$AP618,IF(J620="MORISON",PR!$AQ618,IF(J620="NEMEL",PR!$AR618,IF(J620="NHP",PR!$AS618,IF(J620="NHC",PR!$AT618,IF(J620="OLEAF",PR!$AU618,IF(J620="OCULUS",PR!$AV618,IF(J620="PACIFIC",PR!$AW618,IF(J620="PHAMATEX",PR!$AX618,IF(J620="PETHICS",PR!$AY618,IF(J620="PHILIPS",PR!$AZ618,IF(J620="RANBAXY",PR!$BA618,IF(J620="REALS",PR!$BB618,IF(J620="ROYAL",PR!$BC618,IF(J620="SAM",PR!$BD618,IF(J620="SEAGREEN",PR!$BE618,IF(J620="SKG",PR!$BF618,IF(J620="TAH",PR!$BG618,IF(J620="TAYLEK",PR!$BH618,IF(J620="TEMITA",PR!$BI618,IF(J620="THL",PR!$BJ618,IF(J620="UBASTIC",PR!$BK618,IF(J620="UNION",PR!$BL618,IF(J620="UNIQUE",PR!$BM618,IF(J620="VIXA",PR!$BN618,IF(J620="WWCV",PR!$BO618,IF(J620="ZOLON",PR!$BP618,"-"))))))))))))))))))))))))))))))))))))))))))))))))))))))))))))))))</f>
        <v>-</v>
      </c>
      <c r="J620" s="102">
        <f>EV!N794</f>
        <v>0</v>
      </c>
      <c r="K620" s="433"/>
      <c r="L620" s="183" t="b">
        <f>IF(K620&gt;0,IF(K620="ALPHA",PR!$E618,IF(K620="ASSENE",PR!$F618,IF(K620="BIOFEM",PR!$G618,IF(K620="BIOMED",PR!$H618,IF(K620="CHI",PR!$I618,IF(K620="CLARION",PR!$J618,IF(K620="CODIX",PR!$K618,IF(K620="COSMADE",PR!$L618,IF(K620="SANCON",PR!$M618,IF(K620="DEVON",PR!$N618,IF(K620="DORTEMAG",PR!$O618,IF(K620="DGF",PR!$P618,IF(K620="DYNAMIC",PR!$Q618,IF(K620="EMZOR",PR!$R618,IF(K620="EUMATT",PR!$S618,IF(K620="FIDSON",PR!$T618,IF(K620="FCGLOBAL",PR!$U618,IF(K620="GENEITH",PR!$V618,IF(K620="GINOS",PR!$W618,IF(K620="GSK",PR!$X618,IF(K620="GLOBORG",PR!$Y618,IF(K620="GOODNEWS",PR!$Z618,IF(K620="GREENLIFE",PR!$AA618,IF(K620="HLINE",PR!$AB618,IF(K620="ROTECH",PR!$AC618,IF(K620="ISN",PR!$AD618,IF(K620="JAWA",PR!$AE618,IF(K620="LAYO",PR!$AF618,IF(K620="LEADWAY",PR!$AG618,IF(K620="LHV",PR!$AH618,IF(K620="MANOLA",PR!$AI618,IF(K620="MARCSON",PR!$AJ618,IF(K620="M&amp;B",PR!$AK618,IF(K620="MTRUST",PR!$AL618,IF(K620="MWORLD",PR!$AM618,IF(K620="MEGA",PR!$AN618,IF(K620="MICRONOVA",PR!$AO618,IF(K620="MFLASH",PR!$AP618,IF(K620="MORISON",PR!$AQ618,IF(K620="NEMEL",PR!$AR618,IF(K620="NHP",PR!$AS618,IF(K620="NHC",PR!$AT618,IF(K620="OLEAF",PR!$AU618,IF(K620="OCULUS",PR!$AV618,IF(K620="PACIFIC",PR!$AW618,IF(K620="PHAMATEX",PR!$AX618,IF(K620="PETHICS",PR!$AY618,IF(K620="PHILIPS",PR!$AZ618,IF(K620="RANBAXY",PR!$BA618,IF(K620="REALS",PR!$BB618,IF(K620="ROYAL",PR!$BC618,IF(K620="SAM",PR!$BD618,IF(K620="SEAGREEN",PR!$BE618,IF(K620="SKG",PR!$BF618,IF(K620="TAH",PR!$BG618,IF(K620="TAYLEK",PR!$BH618,IF(K620="TEMITA",PR!$BI618,IF(K620="THL",PR!$BJ618,IF(K620="UBASTIC",PR!$BK618,IF(K620="UNION",PR!$BL618,IF(K620="UNIQUE",PR!$BM618,IF(K620="VIXA",PR!$BN618,IF(K620="WWCV",PR!$BO618,IF(K620="ZOLON",PR!$BP618,"-")))))))))))))))))))))))))))))))))))))))))))))))))))))))))))))))))</f>
        <v>0</v>
      </c>
    </row>
    <row r="621" spans="1:12" ht="18.75" x14ac:dyDescent="0.3">
      <c r="A621" s="430">
        <f>PR!A619</f>
        <v>561</v>
      </c>
      <c r="B621" s="15" t="str">
        <f>PR!B619</f>
        <v>METHOTREXATE INJ</v>
      </c>
      <c r="C621" s="113" t="str">
        <f>PR!D619</f>
        <v>AMP</v>
      </c>
      <c r="D621" s="113">
        <f>PR!C619</f>
        <v>4</v>
      </c>
      <c r="E621" s="108">
        <f>IF(F621="ALPHA",PR!$E619,IF(F621="ASSENE",PR!$F619,IF(F621="BIOFEM",PR!$G619,IF(F621="BIOMED",PR!$H619,IF(F621="CHI",PR!$I619,IF(F621="CLARION",PR!$J619,IF(F621="CODIX",PR!$K619,IF(F621="COSMADE",PR!$L619,IF(F621="SANCON",PR!$M619,IF(F621="DEVON",PR!$N619,IF(F621="DORTEMAG",PR!$O619,IF(F621="DGF",PR!$P619,IF(F621="DYNAMIC",PR!$Q619,IF(F621="EMZOR",PR!$R619,IF(F621="EUMATT",PR!$S619,IF(F621="FIDSON",PR!$T619,IF(F621="FCGLOBAL",PR!$U619,IF(F621="GENEITH",PR!$V619,IF(F621="GINOS",PR!$W619,IF(F621="GSK",PR!$X619,IF(F621="GLOBORG",PR!$Y619,IF(F621="GOODNEWS",PR!$Z619,IF(F621="GREENLIFE",PR!$AA619,IF(F621="HLINE",PR!$AB619,IF(F621="ROTECH",PR!$AC619,IF(F621="ISN",PR!$AD619,IF(F621="JAWA",PR!$AE619,IF(F621="LAYO",PR!$AF619,IF(F621="LEADWAY",PR!$AG619,IF(F621="LHV",PR!$AH619,IF(F621="MANOLA",PR!$AI619,IF(F621="MARCSON",PR!$AJ619,IF(F621="M&amp;B",PR!$AK619,IF(F621="MTRUST",PR!$AL619,IF(F621="MWORLD",PR!$AM619,IF(F621="MEGA",PR!$AN619,IF(F621="MICRONOVA",PR!$AO619,IF(F621="MFLASH",PR!$AP619,IF(F621="MORISON",PR!$AQ619,IF(F621="NEMEL",PR!$AR619,IF(F621="NHP",PR!$AS619,IF(F621="NHC",PR!$AT619,IF(F621="OLEAF",PR!$AU619,IF(F621="OCULUS",PR!$AV619,IF(F621="PACIFIC",PR!$AW619,IF(F621="PHAMATEX",PR!$AX619,IF(F621="PETHICS",PR!$AY619,IF(F621="PHILIPS",PR!$AZ619,IF(F621="RANBAXY",PR!$BA619,IF(F621="REALS",PR!$BB619,IF(F621="ROYAL",PR!$BC619,IF(F621="SAM",PR!$BD619,IF(F621="SEAGREEN",PR!$BE619,IF(F621="SKG",PR!$BF619,IF(F621="TAH",PR!$BG619,IF(F621="TAYLEK",PR!$BH619,IF(F621="TEMITA",PR!$BI619,IF(F621="THL",PR!$BJ619,IF(F621="UBASTIC",PR!$BK619,IF(F621="UNION",PR!$BL619,IF(F621="UNIQUE",PR!$BM619,IF(F621="VIXA",PR!$BN619,IF(F621="WWCV",PR!$BO619,IF(F621="ZOLON",PR!$BP619,"-"))))))))))))))))))))))))))))))))))))))))))))))))))))))))))))))))</f>
        <v>683</v>
      </c>
      <c r="F621" s="102" t="str">
        <f>EV!L795</f>
        <v>MANOLA</v>
      </c>
      <c r="G621" s="108" t="str">
        <f>IF(H621="ALPHA",PR!$E619,IF(H621="ASSENE",PR!$F619,IF(H621="BIOFEM",PR!$G619,IF(H621="BIOMED",PR!$H619,IF(H621="CHI",PR!$I619,IF(H621="CLARION",PR!$J619,IF(H621="CODIX",PR!$K619,IF(H621="COSMADE",PR!$L619,IF(H621="SANCON",PR!$M619,IF(H621="DEVON",PR!$N619,IF(H621="DORTEMAG",PR!$O619,IF(H621="DGF",PR!$P619,IF(H621="DYNAMIC",PR!$Q619,IF(H621="EMZOR",PR!$R619,IF(H621="EUMATT",PR!$S619,IF(H621="FIDSON",PR!$T619,IF(H621="FCGLOBAL",PR!$U619,IF(H621="GENEITH",PR!$V619,IF(H621="GINOS",PR!$W619,IF(H621="GSK",PR!$X619,IF(H621="GLOBORG",PR!$Y619,IF(H621="GOODNEWS",PR!$Z619,IF(H621="GREENLIFE",PR!$AA619,IF(H621="HLINE",PR!$AB619,IF(H621="ROTECH",PR!$AC619,IF(H621="ISN",PR!$AD619,IF(H621="JAWA",PR!$AE619,IF(H621="LAYO",PR!$AF619,IF(H621="LEADWAY",PR!$AG619,IF(H621="LHV",PR!$AH619,IF(H621="MANOLA",PR!$AI619,IF(H621="MARCSON",PR!$AJ619,IF(H621="M&amp;B",PR!$AK619,IF(H621="MTRUST",PR!$AL619,IF(H621="MWORLD",PR!$AM619,IF(H621="MEGA",PR!$AN619,IF(H621="MICRONOVA",PR!$AO619,IF(H621="MFLASH",PR!$AP619,IF(H621="MORISON",PR!$AQ619,IF(H621="NEMEL",PR!$AR619,IF(H621="NHP",PR!$AS619,IF(H621="NHC",PR!$AT619,IF(H621="OLEAF",PR!$AU619,IF(H621="OCULUS",PR!$AV619,IF(H621="PACIFIC",PR!$AW619,IF(H621="PHAMATEX",PR!$AX619,IF(H621="PETHICS",PR!$AY619,IF(H621="PHILIPS",PR!$AZ619,IF(H621="RANBAXY",PR!$BA619,IF(H621="REALS",PR!$BB619,IF(H621="ROYAL",PR!$BC619,IF(H621="SAM",PR!$BD619,IF(H621="SEAGREEN",PR!$BE619,IF(H621="SKG",PR!$BF619,IF(H621="TAH",PR!$BG619,IF(H621="TAYLEK",PR!$BH619,IF(H621="TEMITA",PR!$BI619,IF(H621="THL",PR!$BJ619,IF(H621="UBASTIC",PR!$BK619,IF(H621="UNION",PR!$BL619,IF(H621="UNIQUE",PR!$BM619,IF(H621="VIXA",PR!$BN619,IF(H621="WWCV",PR!$BO619,IF(H621="ZOLON",PR!$BP619,"-"))))))))))))))))))))))))))))))))))))))))))))))))))))))))))))))))</f>
        <v>-</v>
      </c>
      <c r="H621" s="102">
        <f>EV!M795</f>
        <v>0</v>
      </c>
      <c r="I621" s="108" t="str">
        <f>IF(J621="ALPHA",PR!$E619,IF(J621="ASSENE",PR!$F619,IF(J621="BIOFEM",PR!$G619,IF(J621="BIOMED",PR!$H619,IF(J621="CHI",PR!$I619,IF(J621="CLARION",PR!$J619,IF(J621="CODIX",PR!$K619,IF(J621="COSMADE",PR!$L619,IF(J621="SANCON",PR!$M619,IF(J621="DEVON",PR!$N619,IF(J621="DORTEMAG",PR!$O619,IF(J621="DGF",PR!$P619,IF(J621="DYNAMIC",PR!$Q619,IF(J621="EMZOR",PR!$R619,IF(J621="EUMATT",PR!$S619,IF(J621="FIDSON",PR!$T619,IF(J621="FCGLOBAL",PR!$U619,IF(J621="GENEITH",PR!$V619,IF(J621="GINOS",PR!$W619,IF(J621="GSK",PR!$X619,IF(J621="GLOBORG",PR!$Y619,IF(J621="GOODNEWS",PR!$Z619,IF(J621="GREENLIFE",PR!$AA619,IF(J621="HLINE",PR!$AB619,IF(J621="ROTECH",PR!$AC619,IF(J621="ISN",PR!$AD619,IF(J621="JAWA",PR!$AE619,IF(J621="LAYO",PR!$AF619,IF(J621="LEADWAY",PR!$AG619,IF(J621="LHV",PR!$AH619,IF(J621="MANOLA",PR!$AI619,IF(J621="MARCSON",PR!$AJ619,IF(J621="M&amp;B",PR!$AK619,IF(J621="MTRUST",PR!$AL619,IF(J621="MWORLD",PR!$AM619,IF(J621="MEGA",PR!$AN619,IF(J621="MICRONOVA",PR!$AO619,IF(J621="MFLASH",PR!$AP619,IF(J621="MORISON",PR!$AQ619,IF(J621="NEMEL",PR!$AR619,IF(J621="NHP",PR!$AS619,IF(J621="NHC",PR!$AT619,IF(J621="OLEAF",PR!$AU619,IF(J621="OCULUS",PR!$AV619,IF(J621="PACIFIC",PR!$AW619,IF(J621="PHAMATEX",PR!$AX619,IF(J621="PETHICS",PR!$AY619,IF(J621="PHILIPS",PR!$AZ619,IF(J621="RANBAXY",PR!$BA619,IF(J621="REALS",PR!$BB619,IF(J621="ROYAL",PR!$BC619,IF(J621="SAM",PR!$BD619,IF(J621="SEAGREEN",PR!$BE619,IF(J621="SKG",PR!$BF619,IF(J621="TAH",PR!$BG619,IF(J621="TAYLEK",PR!$BH619,IF(J621="TEMITA",PR!$BI619,IF(J621="THL",PR!$BJ619,IF(J621="UBASTIC",PR!$BK619,IF(J621="UNION",PR!$BL619,IF(J621="UNIQUE",PR!$BM619,IF(J621="VIXA",PR!$BN619,IF(J621="WWCV",PR!$BO619,IF(J621="ZOLON",PR!$BP619,"-"))))))))))))))))))))))))))))))))))))))))))))))))))))))))))))))))</f>
        <v>-</v>
      </c>
      <c r="J621" s="102">
        <f>EV!N795</f>
        <v>0</v>
      </c>
      <c r="K621" s="433" t="s">
        <v>820</v>
      </c>
      <c r="L621" s="183">
        <f>IF(K621&gt;0,IF(K621="ALPHA",PR!$E619,IF(K621="ASSENE",PR!$F619,IF(K621="BIOFEM",PR!$G619,IF(K621="BIOMED",PR!$H619,IF(K621="CHI",PR!$I619,IF(K621="CLARION",PR!$J619,IF(K621="CODIX",PR!$K619,IF(K621="COSMADE",PR!$L619,IF(K621="SANCON",PR!$M619,IF(K621="DEVON",PR!$N619,IF(K621="DORTEMAG",PR!$O619,IF(K621="DGF",PR!$P619,IF(K621="DYNAMIC",PR!$Q619,IF(K621="EMZOR",PR!$R619,IF(K621="EUMATT",PR!$S619,IF(K621="FIDSON",PR!$T619,IF(K621="FCGLOBAL",PR!$U619,IF(K621="GENEITH",PR!$V619,IF(K621="GINOS",PR!$W619,IF(K621="GSK",PR!$X619,IF(K621="GLOBORG",PR!$Y619,IF(K621="GOODNEWS",PR!$Z619,IF(K621="GREENLIFE",PR!$AA619,IF(K621="HLINE",PR!$AB619,IF(K621="ROTECH",PR!$AC619,IF(K621="ISN",PR!$AD619,IF(K621="JAWA",PR!$AE619,IF(K621="LAYO",PR!$AF619,IF(K621="LEADWAY",PR!$AG619,IF(K621="LHV",PR!$AH619,IF(K621="MANOLA",PR!$AI619,IF(K621="MARCSON",PR!$AJ619,IF(K621="M&amp;B",PR!$AK619,IF(K621="MTRUST",PR!$AL619,IF(K621="MWORLD",PR!$AM619,IF(K621="MEGA",PR!$AN619,IF(K621="MICRONOVA",PR!$AO619,IF(K621="MFLASH",PR!$AP619,IF(K621="MORISON",PR!$AQ619,IF(K621="NEMEL",PR!$AR619,IF(K621="NHP",PR!$AS619,IF(K621="NHC",PR!$AT619,IF(K621="OLEAF",PR!$AU619,IF(K621="OCULUS",PR!$AV619,IF(K621="PACIFIC",PR!$AW619,IF(K621="PHAMATEX",PR!$AX619,IF(K621="PETHICS",PR!$AY619,IF(K621="PHILIPS",PR!$AZ619,IF(K621="RANBAXY",PR!$BA619,IF(K621="REALS",PR!$BB619,IF(K621="ROYAL",PR!$BC619,IF(K621="SAM",PR!$BD619,IF(K621="SEAGREEN",PR!$BE619,IF(K621="SKG",PR!$BF619,IF(K621="TAH",PR!$BG619,IF(K621="TAYLEK",PR!$BH619,IF(K621="TEMITA",PR!$BI619,IF(K621="THL",PR!$BJ619,IF(K621="UBASTIC",PR!$BK619,IF(K621="UNION",PR!$BL619,IF(K621="UNIQUE",PR!$BM619,IF(K621="VIXA",PR!$BN619,IF(K621="WWCV",PR!$BO619,IF(K621="ZOLON",PR!$BP619,"-")))))))))))))))))))))))))))))))))))))))))))))))))))))))))))))))))</f>
        <v>683</v>
      </c>
    </row>
    <row r="622" spans="1:12" ht="18.75" x14ac:dyDescent="0.3">
      <c r="A622" s="430">
        <f>PR!A620</f>
        <v>562</v>
      </c>
      <c r="B622" s="15" t="str">
        <f>PR!B620</f>
        <v>METHOTREXATE TAB</v>
      </c>
      <c r="C622" s="113">
        <f>PR!D620</f>
        <v>30</v>
      </c>
      <c r="D622" s="113">
        <f>PR!C620</f>
        <v>24</v>
      </c>
      <c r="E622" s="108">
        <f>IF(F622="ALPHA",PR!$E620,IF(F622="ASSENE",PR!$F620,IF(F622="BIOFEM",PR!$G620,IF(F622="BIOMED",PR!$H620,IF(F622="CHI",PR!$I620,IF(F622="CLARION",PR!$J620,IF(F622="CODIX",PR!$K620,IF(F622="COSMADE",PR!$L620,IF(F622="SANCON",PR!$M620,IF(F622="DEVON",PR!$N620,IF(F622="DORTEMAG",PR!$O620,IF(F622="DGF",PR!$P620,IF(F622="DYNAMIC",PR!$Q620,IF(F622="EMZOR",PR!$R620,IF(F622="EUMATT",PR!$S620,IF(F622="FIDSON",PR!$T620,IF(F622="FCGLOBAL",PR!$U620,IF(F622="GENEITH",PR!$V620,IF(F622="GINOS",PR!$W620,IF(F622="GSK",PR!$X620,IF(F622="GLOBORG",PR!$Y620,IF(F622="GOODNEWS",PR!$Z620,IF(F622="GREENLIFE",PR!$AA620,IF(F622="HLINE",PR!$AB620,IF(F622="ROTECH",PR!$AC620,IF(F622="ISN",PR!$AD620,IF(F622="JAWA",PR!$AE620,IF(F622="LAYO",PR!$AF620,IF(F622="LEADWAY",PR!$AG620,IF(F622="LHV",PR!$AH620,IF(F622="MANOLA",PR!$AI620,IF(F622="MARCSON",PR!$AJ620,IF(F622="M&amp;B",PR!$AK620,IF(F622="MTRUST",PR!$AL620,IF(F622="MWORLD",PR!$AM620,IF(F622="MEGA",PR!$AN620,IF(F622="MICRONOVA",PR!$AO620,IF(F622="MFLASH",PR!$AP620,IF(F622="MORISON",PR!$AQ620,IF(F622="NEMEL",PR!$AR620,IF(F622="NHP",PR!$AS620,IF(F622="NHC",PR!$AT620,IF(F622="OLEAF",PR!$AU620,IF(F622="OCULUS",PR!$AV620,IF(F622="PACIFIC",PR!$AW620,IF(F622="PHAMATEX",PR!$AX620,IF(F622="PETHICS",PR!$AY620,IF(F622="PHILIPS",PR!$AZ620,IF(F622="RANBAXY",PR!$BA620,IF(F622="REALS",PR!$BB620,IF(F622="ROYAL",PR!$BC620,IF(F622="SAM",PR!$BD620,IF(F622="SEAGREEN",PR!$BE620,IF(F622="SKG",PR!$BF620,IF(F622="TAH",PR!$BG620,IF(F622="TAYLEK",PR!$BH620,IF(F622="TEMITA",PR!$BI620,IF(F622="THL",PR!$BJ620,IF(F622="UBASTIC",PR!$BK620,IF(F622="UNION",PR!$BL620,IF(F622="UNIQUE",PR!$BM620,IF(F622="VIXA",PR!$BN620,IF(F622="WWCV",PR!$BO620,IF(F622="ZOLON",PR!$BP620,"-"))))))))))))))))))))))))))))))))))))))))))))))))))))))))))))))))</f>
        <v>878</v>
      </c>
      <c r="F622" s="102" t="str">
        <f>EV!L796</f>
        <v>MANOLA</v>
      </c>
      <c r="G622" s="108" t="str">
        <f>IF(H622="ALPHA",PR!$E620,IF(H622="ASSENE",PR!$F620,IF(H622="BIOFEM",PR!$G620,IF(H622="BIOMED",PR!$H620,IF(H622="CHI",PR!$I620,IF(H622="CLARION",PR!$J620,IF(H622="CODIX",PR!$K620,IF(H622="COSMADE",PR!$L620,IF(H622="SANCON",PR!$M620,IF(H622="DEVON",PR!$N620,IF(H622="DORTEMAG",PR!$O620,IF(H622="DGF",PR!$P620,IF(H622="DYNAMIC",PR!$Q620,IF(H622="EMZOR",PR!$R620,IF(H622="EUMATT",PR!$S620,IF(H622="FIDSON",PR!$T620,IF(H622="FCGLOBAL",PR!$U620,IF(H622="GENEITH",PR!$V620,IF(H622="GINOS",PR!$W620,IF(H622="GSK",PR!$X620,IF(H622="GLOBORG",PR!$Y620,IF(H622="GOODNEWS",PR!$Z620,IF(H622="GREENLIFE",PR!$AA620,IF(H622="HLINE",PR!$AB620,IF(H622="ROTECH",PR!$AC620,IF(H622="ISN",PR!$AD620,IF(H622="JAWA",PR!$AE620,IF(H622="LAYO",PR!$AF620,IF(H622="LEADWAY",PR!$AG620,IF(H622="LHV",PR!$AH620,IF(H622="MANOLA",PR!$AI620,IF(H622="MARCSON",PR!$AJ620,IF(H622="M&amp;B",PR!$AK620,IF(H622="MTRUST",PR!$AL620,IF(H622="MWORLD",PR!$AM620,IF(H622="MEGA",PR!$AN620,IF(H622="MICRONOVA",PR!$AO620,IF(H622="MFLASH",PR!$AP620,IF(H622="MORISON",PR!$AQ620,IF(H622="NEMEL",PR!$AR620,IF(H622="NHP",PR!$AS620,IF(H622="NHC",PR!$AT620,IF(H622="OLEAF",PR!$AU620,IF(H622="OCULUS",PR!$AV620,IF(H622="PACIFIC",PR!$AW620,IF(H622="PHAMATEX",PR!$AX620,IF(H622="PETHICS",PR!$AY620,IF(H622="PHILIPS",PR!$AZ620,IF(H622="RANBAXY",PR!$BA620,IF(H622="REALS",PR!$BB620,IF(H622="ROYAL",PR!$BC620,IF(H622="SAM",PR!$BD620,IF(H622="SEAGREEN",PR!$BE620,IF(H622="SKG",PR!$BF620,IF(H622="TAH",PR!$BG620,IF(H622="TAYLEK",PR!$BH620,IF(H622="TEMITA",PR!$BI620,IF(H622="THL",PR!$BJ620,IF(H622="UBASTIC",PR!$BK620,IF(H622="UNION",PR!$BL620,IF(H622="UNIQUE",PR!$BM620,IF(H622="VIXA",PR!$BN620,IF(H622="WWCV",PR!$BO620,IF(H622="ZOLON",PR!$BP620,"-"))))))))))))))))))))))))))))))))))))))))))))))))))))))))))))))))</f>
        <v>-</v>
      </c>
      <c r="H622" s="102">
        <f>EV!M796</f>
        <v>0</v>
      </c>
      <c r="I622" s="108" t="str">
        <f>IF(J622="ALPHA",PR!$E620,IF(J622="ASSENE",PR!$F620,IF(J622="BIOFEM",PR!$G620,IF(J622="BIOMED",PR!$H620,IF(J622="CHI",PR!$I620,IF(J622="CLARION",PR!$J620,IF(J622="CODIX",PR!$K620,IF(J622="COSMADE",PR!$L620,IF(J622="SANCON",PR!$M620,IF(J622="DEVON",PR!$N620,IF(J622="DORTEMAG",PR!$O620,IF(J622="DGF",PR!$P620,IF(J622="DYNAMIC",PR!$Q620,IF(J622="EMZOR",PR!$R620,IF(J622="EUMATT",PR!$S620,IF(J622="FIDSON",PR!$T620,IF(J622="FCGLOBAL",PR!$U620,IF(J622="GENEITH",PR!$V620,IF(J622="GINOS",PR!$W620,IF(J622="GSK",PR!$X620,IF(J622="GLOBORG",PR!$Y620,IF(J622="GOODNEWS",PR!$Z620,IF(J622="GREENLIFE",PR!$AA620,IF(J622="HLINE",PR!$AB620,IF(J622="ROTECH",PR!$AC620,IF(J622="ISN",PR!$AD620,IF(J622="JAWA",PR!$AE620,IF(J622="LAYO",PR!$AF620,IF(J622="LEADWAY",PR!$AG620,IF(J622="LHV",PR!$AH620,IF(J622="MANOLA",PR!$AI620,IF(J622="MARCSON",PR!$AJ620,IF(J622="M&amp;B",PR!$AK620,IF(J622="MTRUST",PR!$AL620,IF(J622="MWORLD",PR!$AM620,IF(J622="MEGA",PR!$AN620,IF(J622="MICRONOVA",PR!$AO620,IF(J622="MFLASH",PR!$AP620,IF(J622="MORISON",PR!$AQ620,IF(J622="NEMEL",PR!$AR620,IF(J622="NHP",PR!$AS620,IF(J622="NHC",PR!$AT620,IF(J622="OLEAF",PR!$AU620,IF(J622="OCULUS",PR!$AV620,IF(J622="PACIFIC",PR!$AW620,IF(J622="PHAMATEX",PR!$AX620,IF(J622="PETHICS",PR!$AY620,IF(J622="PHILIPS",PR!$AZ620,IF(J622="RANBAXY",PR!$BA620,IF(J622="REALS",PR!$BB620,IF(J622="ROYAL",PR!$BC620,IF(J622="SAM",PR!$BD620,IF(J622="SEAGREEN",PR!$BE620,IF(J622="SKG",PR!$BF620,IF(J622="TAH",PR!$BG620,IF(J622="TAYLEK",PR!$BH620,IF(J622="TEMITA",PR!$BI620,IF(J622="THL",PR!$BJ620,IF(J622="UBASTIC",PR!$BK620,IF(J622="UNION",PR!$BL620,IF(J622="UNIQUE",PR!$BM620,IF(J622="VIXA",PR!$BN620,IF(J622="WWCV",PR!$BO620,IF(J622="ZOLON",PR!$BP620,"-"))))))))))))))))))))))))))))))))))))))))))))))))))))))))))))))))</f>
        <v>-</v>
      </c>
      <c r="J622" s="102">
        <f>EV!N796</f>
        <v>0</v>
      </c>
      <c r="K622" s="433" t="s">
        <v>820</v>
      </c>
      <c r="L622" s="183">
        <f>IF(K622&gt;0,IF(K622="ALPHA",PR!$E620,IF(K622="ASSENE",PR!$F620,IF(K622="BIOFEM",PR!$G620,IF(K622="BIOMED",PR!$H620,IF(K622="CHI",PR!$I620,IF(K622="CLARION",PR!$J620,IF(K622="CODIX",PR!$K620,IF(K622="COSMADE",PR!$L620,IF(K622="SANCON",PR!$M620,IF(K622="DEVON",PR!$N620,IF(K622="DORTEMAG",PR!$O620,IF(K622="DGF",PR!$P620,IF(K622="DYNAMIC",PR!$Q620,IF(K622="EMZOR",PR!$R620,IF(K622="EUMATT",PR!$S620,IF(K622="FIDSON",PR!$T620,IF(K622="FCGLOBAL",PR!$U620,IF(K622="GENEITH",PR!$V620,IF(K622="GINOS",PR!$W620,IF(K622="GSK",PR!$X620,IF(K622="GLOBORG",PR!$Y620,IF(K622="GOODNEWS",PR!$Z620,IF(K622="GREENLIFE",PR!$AA620,IF(K622="HLINE",PR!$AB620,IF(K622="ROTECH",PR!$AC620,IF(K622="ISN",PR!$AD620,IF(K622="JAWA",PR!$AE620,IF(K622="LAYO",PR!$AF620,IF(K622="LEADWAY",PR!$AG620,IF(K622="LHV",PR!$AH620,IF(K622="MANOLA",PR!$AI620,IF(K622="MARCSON",PR!$AJ620,IF(K622="M&amp;B",PR!$AK620,IF(K622="MTRUST",PR!$AL620,IF(K622="MWORLD",PR!$AM620,IF(K622="MEGA",PR!$AN620,IF(K622="MICRONOVA",PR!$AO620,IF(K622="MFLASH",PR!$AP620,IF(K622="MORISON",PR!$AQ620,IF(K622="NEMEL",PR!$AR620,IF(K622="NHP",PR!$AS620,IF(K622="NHC",PR!$AT620,IF(K622="OLEAF",PR!$AU620,IF(K622="OCULUS",PR!$AV620,IF(K622="PACIFIC",PR!$AW620,IF(K622="PHAMATEX",PR!$AX620,IF(K622="PETHICS",PR!$AY620,IF(K622="PHILIPS",PR!$AZ620,IF(K622="RANBAXY",PR!$BA620,IF(K622="REALS",PR!$BB620,IF(K622="ROYAL",PR!$BC620,IF(K622="SAM",PR!$BD620,IF(K622="SEAGREEN",PR!$BE620,IF(K622="SKG",PR!$BF620,IF(K622="TAH",PR!$BG620,IF(K622="TAYLEK",PR!$BH620,IF(K622="TEMITA",PR!$BI620,IF(K622="THL",PR!$BJ620,IF(K622="UBASTIC",PR!$BK620,IF(K622="UNION",PR!$BL620,IF(K622="UNIQUE",PR!$BM620,IF(K622="VIXA",PR!$BN620,IF(K622="WWCV",PR!$BO620,IF(K622="ZOLON",PR!$BP620,"-")))))))))))))))))))))))))))))))))))))))))))))))))))))))))))))))))</f>
        <v>878</v>
      </c>
    </row>
    <row r="623" spans="1:12" ht="18.75" x14ac:dyDescent="0.3">
      <c r="A623" s="430">
        <f>PR!A621</f>
        <v>563</v>
      </c>
      <c r="B623" s="15" t="str">
        <f>PR!B621</f>
        <v>PACLITAXEL 30MG INJ</v>
      </c>
      <c r="C623" s="113">
        <f>PR!D621</f>
        <v>10</v>
      </c>
      <c r="D623" s="113">
        <f>PR!C621</f>
        <v>4</v>
      </c>
      <c r="E623" s="108">
        <f>IF(F623="ALPHA",PR!$E621,IF(F623="ASSENE",PR!$F621,IF(F623="BIOFEM",PR!$G621,IF(F623="BIOMED",PR!$H621,IF(F623="CHI",PR!$I621,IF(F623="CLARION",PR!$J621,IF(F623="CODIX",PR!$K621,IF(F623="COSMADE",PR!$L621,IF(F623="SANCON",PR!$M621,IF(F623="DEVON",PR!$N621,IF(F623="DORTEMAG",PR!$O621,IF(F623="DGF",PR!$P621,IF(F623="DYNAMIC",PR!$Q621,IF(F623="EMZOR",PR!$R621,IF(F623="EUMATT",PR!$S621,IF(F623="FIDSON",PR!$T621,IF(F623="FCGLOBAL",PR!$U621,IF(F623="GENEITH",PR!$V621,IF(F623="GINOS",PR!$W621,IF(F623="GSK",PR!$X621,IF(F623="GLOBORG",PR!$Y621,IF(F623="GOODNEWS",PR!$Z621,IF(F623="GREENLIFE",PR!$AA621,IF(F623="HLINE",PR!$AB621,IF(F623="ROTECH",PR!$AC621,IF(F623="ISN",PR!$AD621,IF(F623="JAWA",PR!$AE621,IF(F623="LAYO",PR!$AF621,IF(F623="LEADWAY",PR!$AG621,IF(F623="LHV",PR!$AH621,IF(F623="MANOLA",PR!$AI621,IF(F623="MARCSON",PR!$AJ621,IF(F623="M&amp;B",PR!$AK621,IF(F623="MTRUST",PR!$AL621,IF(F623="MWORLD",PR!$AM621,IF(F623="MEGA",PR!$AN621,IF(F623="MICRONOVA",PR!$AO621,IF(F623="MFLASH",PR!$AP621,IF(F623="MORISON",PR!$AQ621,IF(F623="NEMEL",PR!$AR621,IF(F623="NHP",PR!$AS621,IF(F623="NHC",PR!$AT621,IF(F623="OLEAF",PR!$AU621,IF(F623="OCULUS",PR!$AV621,IF(F623="PACIFIC",PR!$AW621,IF(F623="PHAMATEX",PR!$AX621,IF(F623="PETHICS",PR!$AY621,IF(F623="PHILIPS",PR!$AZ621,IF(F623="RANBAXY",PR!$BA621,IF(F623="REALS",PR!$BB621,IF(F623="ROYAL",PR!$BC621,IF(F623="SAM",PR!$BD621,IF(F623="SEAGREEN",PR!$BE621,IF(F623="SKG",PR!$BF621,IF(F623="TAH",PR!$BG621,IF(F623="TAYLEK",PR!$BH621,IF(F623="TEMITA",PR!$BI621,IF(F623="THL",PR!$BJ621,IF(F623="UBASTIC",PR!$BK621,IF(F623="UNION",PR!$BL621,IF(F623="UNIQUE",PR!$BM621,IF(F623="VIXA",PR!$BN621,IF(F623="WWCV",PR!$BO621,IF(F623="ZOLON",PR!$BP621,"-"))))))))))))))))))))))))))))))))))))))))))))))))))))))))))))))))</f>
        <v>23000</v>
      </c>
      <c r="F623" s="102" t="str">
        <f>EV!L797</f>
        <v>MANOLA</v>
      </c>
      <c r="G623" s="108" t="str">
        <f>IF(H623="ALPHA",PR!$E621,IF(H623="ASSENE",PR!$F621,IF(H623="BIOFEM",PR!$G621,IF(H623="BIOMED",PR!$H621,IF(H623="CHI",PR!$I621,IF(H623="CLARION",PR!$J621,IF(H623="CODIX",PR!$K621,IF(H623="COSMADE",PR!$L621,IF(H623="SANCON",PR!$M621,IF(H623="DEVON",PR!$N621,IF(H623="DORTEMAG",PR!$O621,IF(H623="DGF",PR!$P621,IF(H623="DYNAMIC",PR!$Q621,IF(H623="EMZOR",PR!$R621,IF(H623="EUMATT",PR!$S621,IF(H623="FIDSON",PR!$T621,IF(H623="FCGLOBAL",PR!$U621,IF(H623="GENEITH",PR!$V621,IF(H623="GINOS",PR!$W621,IF(H623="GSK",PR!$X621,IF(H623="GLOBORG",PR!$Y621,IF(H623="GOODNEWS",PR!$Z621,IF(H623="GREENLIFE",PR!$AA621,IF(H623="HLINE",PR!$AB621,IF(H623="ROTECH",PR!$AC621,IF(H623="ISN",PR!$AD621,IF(H623="JAWA",PR!$AE621,IF(H623="LAYO",PR!$AF621,IF(H623="LEADWAY",PR!$AG621,IF(H623="LHV",PR!$AH621,IF(H623="MANOLA",PR!$AI621,IF(H623="MARCSON",PR!$AJ621,IF(H623="M&amp;B",PR!$AK621,IF(H623="MTRUST",PR!$AL621,IF(H623="MWORLD",PR!$AM621,IF(H623="MEGA",PR!$AN621,IF(H623="MICRONOVA",PR!$AO621,IF(H623="MFLASH",PR!$AP621,IF(H623="MORISON",PR!$AQ621,IF(H623="NEMEL",PR!$AR621,IF(H623="NHP",PR!$AS621,IF(H623="NHC",PR!$AT621,IF(H623="OLEAF",PR!$AU621,IF(H623="OCULUS",PR!$AV621,IF(H623="PACIFIC",PR!$AW621,IF(H623="PHAMATEX",PR!$AX621,IF(H623="PETHICS",PR!$AY621,IF(H623="PHILIPS",PR!$AZ621,IF(H623="RANBAXY",PR!$BA621,IF(H623="REALS",PR!$BB621,IF(H623="ROYAL",PR!$BC621,IF(H623="SAM",PR!$BD621,IF(H623="SEAGREEN",PR!$BE621,IF(H623="SKG",PR!$BF621,IF(H623="TAH",PR!$BG621,IF(H623="TAYLEK",PR!$BH621,IF(H623="TEMITA",PR!$BI621,IF(H623="THL",PR!$BJ621,IF(H623="UBASTIC",PR!$BK621,IF(H623="UNION",PR!$BL621,IF(H623="UNIQUE",PR!$BM621,IF(H623="VIXA",PR!$BN621,IF(H623="WWCV",PR!$BO621,IF(H623="ZOLON",PR!$BP621,"-"))))))))))))))))))))))))))))))))))))))))))))))))))))))))))))))))</f>
        <v>-</v>
      </c>
      <c r="H623" s="102">
        <f>EV!M797</f>
        <v>0</v>
      </c>
      <c r="I623" s="108" t="str">
        <f>IF(J623="ALPHA",PR!$E621,IF(J623="ASSENE",PR!$F621,IF(J623="BIOFEM",PR!$G621,IF(J623="BIOMED",PR!$H621,IF(J623="CHI",PR!$I621,IF(J623="CLARION",PR!$J621,IF(J623="CODIX",PR!$K621,IF(J623="COSMADE",PR!$L621,IF(J623="SANCON",PR!$M621,IF(J623="DEVON",PR!$N621,IF(J623="DORTEMAG",PR!$O621,IF(J623="DGF",PR!$P621,IF(J623="DYNAMIC",PR!$Q621,IF(J623="EMZOR",PR!$R621,IF(J623="EUMATT",PR!$S621,IF(J623="FIDSON",PR!$T621,IF(J623="FCGLOBAL",PR!$U621,IF(J623="GENEITH",PR!$V621,IF(J623="GINOS",PR!$W621,IF(J623="GSK",PR!$X621,IF(J623="GLOBORG",PR!$Y621,IF(J623="GOODNEWS",PR!$Z621,IF(J623="GREENLIFE",PR!$AA621,IF(J623="HLINE",PR!$AB621,IF(J623="ROTECH",PR!$AC621,IF(J623="ISN",PR!$AD621,IF(J623="JAWA",PR!$AE621,IF(J623="LAYO",PR!$AF621,IF(J623="LEADWAY",PR!$AG621,IF(J623="LHV",PR!$AH621,IF(J623="MANOLA",PR!$AI621,IF(J623="MARCSON",PR!$AJ621,IF(J623="M&amp;B",PR!$AK621,IF(J623="MTRUST",PR!$AL621,IF(J623="MWORLD",PR!$AM621,IF(J623="MEGA",PR!$AN621,IF(J623="MICRONOVA",PR!$AO621,IF(J623="MFLASH",PR!$AP621,IF(J623="MORISON",PR!$AQ621,IF(J623="NEMEL",PR!$AR621,IF(J623="NHP",PR!$AS621,IF(J623="NHC",PR!$AT621,IF(J623="OLEAF",PR!$AU621,IF(J623="OCULUS",PR!$AV621,IF(J623="PACIFIC",PR!$AW621,IF(J623="PHAMATEX",PR!$AX621,IF(J623="PETHICS",PR!$AY621,IF(J623="PHILIPS",PR!$AZ621,IF(J623="RANBAXY",PR!$BA621,IF(J623="REALS",PR!$BB621,IF(J623="ROYAL",PR!$BC621,IF(J623="SAM",PR!$BD621,IF(J623="SEAGREEN",PR!$BE621,IF(J623="SKG",PR!$BF621,IF(J623="TAH",PR!$BG621,IF(J623="TAYLEK",PR!$BH621,IF(J623="TEMITA",PR!$BI621,IF(J623="THL",PR!$BJ621,IF(J623="UBASTIC",PR!$BK621,IF(J623="UNION",PR!$BL621,IF(J623="UNIQUE",PR!$BM621,IF(J623="VIXA",PR!$BN621,IF(J623="WWCV",PR!$BO621,IF(J623="ZOLON",PR!$BP621,"-"))))))))))))))))))))))))))))))))))))))))))))))))))))))))))))))))</f>
        <v>-</v>
      </c>
      <c r="J623" s="102">
        <f>EV!N797</f>
        <v>0</v>
      </c>
      <c r="K623" s="433" t="s">
        <v>820</v>
      </c>
      <c r="L623" s="183">
        <f>IF(K623&gt;0,IF(K623="ALPHA",PR!$E621,IF(K623="ASSENE",PR!$F621,IF(K623="BIOFEM",PR!$G621,IF(K623="BIOMED",PR!$H621,IF(K623="CHI",PR!$I621,IF(K623="CLARION",PR!$J621,IF(K623="CODIX",PR!$K621,IF(K623="COSMADE",PR!$L621,IF(K623="SANCON",PR!$M621,IF(K623="DEVON",PR!$N621,IF(K623="DORTEMAG",PR!$O621,IF(K623="DGF",PR!$P621,IF(K623="DYNAMIC",PR!$Q621,IF(K623="EMZOR",PR!$R621,IF(K623="EUMATT",PR!$S621,IF(K623="FIDSON",PR!$T621,IF(K623="FCGLOBAL",PR!$U621,IF(K623="GENEITH",PR!$V621,IF(K623="GINOS",PR!$W621,IF(K623="GSK",PR!$X621,IF(K623="GLOBORG",PR!$Y621,IF(K623="GOODNEWS",PR!$Z621,IF(K623="GREENLIFE",PR!$AA621,IF(K623="HLINE",PR!$AB621,IF(K623="ROTECH",PR!$AC621,IF(K623="ISN",PR!$AD621,IF(K623="JAWA",PR!$AE621,IF(K623="LAYO",PR!$AF621,IF(K623="LEADWAY",PR!$AG621,IF(K623="LHV",PR!$AH621,IF(K623="MANOLA",PR!$AI621,IF(K623="MARCSON",PR!$AJ621,IF(K623="M&amp;B",PR!$AK621,IF(K623="MTRUST",PR!$AL621,IF(K623="MWORLD",PR!$AM621,IF(K623="MEGA",PR!$AN621,IF(K623="MICRONOVA",PR!$AO621,IF(K623="MFLASH",PR!$AP621,IF(K623="MORISON",PR!$AQ621,IF(K623="NEMEL",PR!$AR621,IF(K623="NHP",PR!$AS621,IF(K623="NHC",PR!$AT621,IF(K623="OLEAF",PR!$AU621,IF(K623="OCULUS",PR!$AV621,IF(K623="PACIFIC",PR!$AW621,IF(K623="PHAMATEX",PR!$AX621,IF(K623="PETHICS",PR!$AY621,IF(K623="PHILIPS",PR!$AZ621,IF(K623="RANBAXY",PR!$BA621,IF(K623="REALS",PR!$BB621,IF(K623="ROYAL",PR!$BC621,IF(K623="SAM",PR!$BD621,IF(K623="SEAGREEN",PR!$BE621,IF(K623="SKG",PR!$BF621,IF(K623="TAH",PR!$BG621,IF(K623="TAYLEK",PR!$BH621,IF(K623="TEMITA",PR!$BI621,IF(K623="THL",PR!$BJ621,IF(K623="UBASTIC",PR!$BK621,IF(K623="UNION",PR!$BL621,IF(K623="UNIQUE",PR!$BM621,IF(K623="VIXA",PR!$BN621,IF(K623="WWCV",PR!$BO621,IF(K623="ZOLON",PR!$BP621,"-")))))))))))))))))))))))))))))))))))))))))))))))))))))))))))))))))</f>
        <v>23000</v>
      </c>
    </row>
    <row r="624" spans="1:12" ht="18.75" x14ac:dyDescent="0.3">
      <c r="A624" s="430">
        <f>PR!A622</f>
        <v>564</v>
      </c>
      <c r="B624" s="15" t="str">
        <f>PR!B622</f>
        <v>RISENDRONATE TAB</v>
      </c>
      <c r="C624" s="113">
        <f>PR!D622</f>
        <v>30</v>
      </c>
      <c r="D624" s="113">
        <f>PR!C622</f>
        <v>35</v>
      </c>
      <c r="E624" s="108" t="str">
        <f>IF(F624="ALPHA",PR!$E622,IF(F624="ASSENE",PR!$F622,IF(F624="BIOFEM",PR!$G622,IF(F624="BIOMED",PR!$H622,IF(F624="CHI",PR!$I622,IF(F624="CLARION",PR!$J622,IF(F624="CODIX",PR!$K622,IF(F624="COSMADE",PR!$L622,IF(F624="SANCON",PR!$M622,IF(F624="DEVON",PR!$N622,IF(F624="DORTEMAG",PR!$O622,IF(F624="DGF",PR!$P622,IF(F624="DYNAMIC",PR!$Q622,IF(F624="EMZOR",PR!$R622,IF(F624="EUMATT",PR!$S622,IF(F624="FIDSON",PR!$T622,IF(F624="FCGLOBAL",PR!$U622,IF(F624="GENEITH",PR!$V622,IF(F624="GINOS",PR!$W622,IF(F624="GSK",PR!$X622,IF(F624="GLOBORG",PR!$Y622,IF(F624="GOODNEWS",PR!$Z622,IF(F624="GREENLIFE",PR!$AA622,IF(F624="HLINE",PR!$AB622,IF(F624="ROTECH",PR!$AC622,IF(F624="ISN",PR!$AD622,IF(F624="JAWA",PR!$AE622,IF(F624="LAYO",PR!$AF622,IF(F624="LEADWAY",PR!$AG622,IF(F624="LHV",PR!$AH622,IF(F624="MANOLA",PR!$AI622,IF(F624="MARCSON",PR!$AJ622,IF(F624="M&amp;B",PR!$AK622,IF(F624="MTRUST",PR!$AL622,IF(F624="MWORLD",PR!$AM622,IF(F624="MEGA",PR!$AN622,IF(F624="MICRONOVA",PR!$AO622,IF(F624="MFLASH",PR!$AP622,IF(F624="MORISON",PR!$AQ622,IF(F624="NEMEL",PR!$AR622,IF(F624="NHP",PR!$AS622,IF(F624="NHC",PR!$AT622,IF(F624="OLEAF",PR!$AU622,IF(F624="OCULUS",PR!$AV622,IF(F624="PACIFIC",PR!$AW622,IF(F624="PHAMATEX",PR!$AX622,IF(F624="PETHICS",PR!$AY622,IF(F624="PHILIPS",PR!$AZ622,IF(F624="RANBAXY",PR!$BA622,IF(F624="REALS",PR!$BB622,IF(F624="ROYAL",PR!$BC622,IF(F624="SAM",PR!$BD622,IF(F624="SEAGREEN",PR!$BE622,IF(F624="SKG",PR!$BF622,IF(F624="TAH",PR!$BG622,IF(F624="TAYLEK",PR!$BH622,IF(F624="TEMITA",PR!$BI622,IF(F624="THL",PR!$BJ622,IF(F624="UBASTIC",PR!$BK622,IF(F624="UNION",PR!$BL622,IF(F624="UNIQUE",PR!$BM622,IF(F624="VIXA",PR!$BN622,IF(F624="WWCV",PR!$BO622,IF(F624="ZOLON",PR!$BP622,"-"))))))))))))))))))))))))))))))))))))))))))))))))))))))))))))))))</f>
        <v>-</v>
      </c>
      <c r="F624" s="102">
        <f>EV!L798</f>
        <v>0</v>
      </c>
      <c r="G624" s="108" t="str">
        <f>IF(H624="ALPHA",PR!$E622,IF(H624="ASSENE",PR!$F622,IF(H624="BIOFEM",PR!$G622,IF(H624="BIOMED",PR!$H622,IF(H624="CHI",PR!$I622,IF(H624="CLARION",PR!$J622,IF(H624="CODIX",PR!$K622,IF(H624="COSMADE",PR!$L622,IF(H624="SANCON",PR!$M622,IF(H624="DEVON",PR!$N622,IF(H624="DORTEMAG",PR!$O622,IF(H624="DGF",PR!$P622,IF(H624="DYNAMIC",PR!$Q622,IF(H624="EMZOR",PR!$R622,IF(H624="EUMATT",PR!$S622,IF(H624="FIDSON",PR!$T622,IF(H624="FCGLOBAL",PR!$U622,IF(H624="GENEITH",PR!$V622,IF(H624="GINOS",PR!$W622,IF(H624="GSK",PR!$X622,IF(H624="GLOBORG",PR!$Y622,IF(H624="GOODNEWS",PR!$Z622,IF(H624="GREENLIFE",PR!$AA622,IF(H624="HLINE",PR!$AB622,IF(H624="ROTECH",PR!$AC622,IF(H624="ISN",PR!$AD622,IF(H624="JAWA",PR!$AE622,IF(H624="LAYO",PR!$AF622,IF(H624="LEADWAY",PR!$AG622,IF(H624="LHV",PR!$AH622,IF(H624="MANOLA",PR!$AI622,IF(H624="MARCSON",PR!$AJ622,IF(H624="M&amp;B",PR!$AK622,IF(H624="MTRUST",PR!$AL622,IF(H624="MWORLD",PR!$AM622,IF(H624="MEGA",PR!$AN622,IF(H624="MICRONOVA",PR!$AO622,IF(H624="MFLASH",PR!$AP622,IF(H624="MORISON",PR!$AQ622,IF(H624="NEMEL",PR!$AR622,IF(H624="NHP",PR!$AS622,IF(H624="NHC",PR!$AT622,IF(H624="OLEAF",PR!$AU622,IF(H624="OCULUS",PR!$AV622,IF(H624="PACIFIC",PR!$AW622,IF(H624="PHAMATEX",PR!$AX622,IF(H624="PETHICS",PR!$AY622,IF(H624="PHILIPS",PR!$AZ622,IF(H624="RANBAXY",PR!$BA622,IF(H624="REALS",PR!$BB622,IF(H624="ROYAL",PR!$BC622,IF(H624="SAM",PR!$BD622,IF(H624="SEAGREEN",PR!$BE622,IF(H624="SKG",PR!$BF622,IF(H624="TAH",PR!$BG622,IF(H624="TAYLEK",PR!$BH622,IF(H624="TEMITA",PR!$BI622,IF(H624="THL",PR!$BJ622,IF(H624="UBASTIC",PR!$BK622,IF(H624="UNION",PR!$BL622,IF(H624="UNIQUE",PR!$BM622,IF(H624="VIXA",PR!$BN622,IF(H624="WWCV",PR!$BO622,IF(H624="ZOLON",PR!$BP622,"-"))))))))))))))))))))))))))))))))))))))))))))))))))))))))))))))))</f>
        <v>-</v>
      </c>
      <c r="H624" s="102">
        <f>EV!M798</f>
        <v>0</v>
      </c>
      <c r="I624" s="108" t="str">
        <f>IF(J624="ALPHA",PR!$E622,IF(J624="ASSENE",PR!$F622,IF(J624="BIOFEM",PR!$G622,IF(J624="BIOMED",PR!$H622,IF(J624="CHI",PR!$I622,IF(J624="CLARION",PR!$J622,IF(J624="CODIX",PR!$K622,IF(J624="COSMADE",PR!$L622,IF(J624="SANCON",PR!$M622,IF(J624="DEVON",PR!$N622,IF(J624="DORTEMAG",PR!$O622,IF(J624="DGF",PR!$P622,IF(J624="DYNAMIC",PR!$Q622,IF(J624="EMZOR",PR!$R622,IF(J624="EUMATT",PR!$S622,IF(J624="FIDSON",PR!$T622,IF(J624="FCGLOBAL",PR!$U622,IF(J624="GENEITH",PR!$V622,IF(J624="GINOS",PR!$W622,IF(J624="GSK",PR!$X622,IF(J624="GLOBORG",PR!$Y622,IF(J624="GOODNEWS",PR!$Z622,IF(J624="GREENLIFE",PR!$AA622,IF(J624="HLINE",PR!$AB622,IF(J624="ROTECH",PR!$AC622,IF(J624="ISN",PR!$AD622,IF(J624="JAWA",PR!$AE622,IF(J624="LAYO",PR!$AF622,IF(J624="LEADWAY",PR!$AG622,IF(J624="LHV",PR!$AH622,IF(J624="MANOLA",PR!$AI622,IF(J624="MARCSON",PR!$AJ622,IF(J624="M&amp;B",PR!$AK622,IF(J624="MTRUST",PR!$AL622,IF(J624="MWORLD",PR!$AM622,IF(J624="MEGA",PR!$AN622,IF(J624="MICRONOVA",PR!$AO622,IF(J624="MFLASH",PR!$AP622,IF(J624="MORISON",PR!$AQ622,IF(J624="NEMEL",PR!$AR622,IF(J624="NHP",PR!$AS622,IF(J624="NHC",PR!$AT622,IF(J624="OLEAF",PR!$AU622,IF(J624="OCULUS",PR!$AV622,IF(J624="PACIFIC",PR!$AW622,IF(J624="PHAMATEX",PR!$AX622,IF(J624="PETHICS",PR!$AY622,IF(J624="PHILIPS",PR!$AZ622,IF(J624="RANBAXY",PR!$BA622,IF(J624="REALS",PR!$BB622,IF(J624="ROYAL",PR!$BC622,IF(J624="SAM",PR!$BD622,IF(J624="SEAGREEN",PR!$BE622,IF(J624="SKG",PR!$BF622,IF(J624="TAH",PR!$BG622,IF(J624="TAYLEK",PR!$BH622,IF(J624="TEMITA",PR!$BI622,IF(J624="THL",PR!$BJ622,IF(J624="UBASTIC",PR!$BK622,IF(J624="UNION",PR!$BL622,IF(J624="UNIQUE",PR!$BM622,IF(J624="VIXA",PR!$BN622,IF(J624="WWCV",PR!$BO622,IF(J624="ZOLON",PR!$BP622,"-"))))))))))))))))))))))))))))))))))))))))))))))))))))))))))))))))</f>
        <v>-</v>
      </c>
      <c r="J624" s="102">
        <f>EV!N798</f>
        <v>0</v>
      </c>
      <c r="K624" s="433"/>
      <c r="L624" s="183" t="b">
        <f>IF(K624&gt;0,IF(K624="ALPHA",PR!$E622,IF(K624="ASSENE",PR!$F622,IF(K624="BIOFEM",PR!$G622,IF(K624="BIOMED",PR!$H622,IF(K624="CHI",PR!$I622,IF(K624="CLARION",PR!$J622,IF(K624="CODIX",PR!$K622,IF(K624="COSMADE",PR!$L622,IF(K624="SANCON",PR!$M622,IF(K624="DEVON",PR!$N622,IF(K624="DORTEMAG",PR!$O622,IF(K624="DGF",PR!$P622,IF(K624="DYNAMIC",PR!$Q622,IF(K624="EMZOR",PR!$R622,IF(K624="EUMATT",PR!$S622,IF(K624="FIDSON",PR!$T622,IF(K624="FCGLOBAL",PR!$U622,IF(K624="GENEITH",PR!$V622,IF(K624="GINOS",PR!$W622,IF(K624="GSK",PR!$X622,IF(K624="GLOBORG",PR!$Y622,IF(K624="GOODNEWS",PR!$Z622,IF(K624="GREENLIFE",PR!$AA622,IF(K624="HLINE",PR!$AB622,IF(K624="ROTECH",PR!$AC622,IF(K624="ISN",PR!$AD622,IF(K624="JAWA",PR!$AE622,IF(K624="LAYO",PR!$AF622,IF(K624="LEADWAY",PR!$AG622,IF(K624="LHV",PR!$AH622,IF(K624="MANOLA",PR!$AI622,IF(K624="MARCSON",PR!$AJ622,IF(K624="M&amp;B",PR!$AK622,IF(K624="MTRUST",PR!$AL622,IF(K624="MWORLD",PR!$AM622,IF(K624="MEGA",PR!$AN622,IF(K624="MICRONOVA",PR!$AO622,IF(K624="MFLASH",PR!$AP622,IF(K624="MORISON",PR!$AQ622,IF(K624="NEMEL",PR!$AR622,IF(K624="NHP",PR!$AS622,IF(K624="NHC",PR!$AT622,IF(K624="OLEAF",PR!$AU622,IF(K624="OCULUS",PR!$AV622,IF(K624="PACIFIC",PR!$AW622,IF(K624="PHAMATEX",PR!$AX622,IF(K624="PETHICS",PR!$AY622,IF(K624="PHILIPS",PR!$AZ622,IF(K624="RANBAXY",PR!$BA622,IF(K624="REALS",PR!$BB622,IF(K624="ROYAL",PR!$BC622,IF(K624="SAM",PR!$BD622,IF(K624="SEAGREEN",PR!$BE622,IF(K624="SKG",PR!$BF622,IF(K624="TAH",PR!$BG622,IF(K624="TAYLEK",PR!$BH622,IF(K624="TEMITA",PR!$BI622,IF(K624="THL",PR!$BJ622,IF(K624="UBASTIC",PR!$BK622,IF(K624="UNION",PR!$BL622,IF(K624="UNIQUE",PR!$BM622,IF(K624="VIXA",PR!$BN622,IF(K624="WWCV",PR!$BO622,IF(K624="ZOLON",PR!$BP622,"-")))))))))))))))))))))))))))))))))))))))))))))))))))))))))))))))))</f>
        <v>0</v>
      </c>
    </row>
    <row r="625" spans="1:12" ht="18.75" x14ac:dyDescent="0.3">
      <c r="A625" s="430">
        <f>PR!A623</f>
        <v>565</v>
      </c>
      <c r="B625" s="15" t="str">
        <f>PR!B623</f>
        <v>TAMOXIFEN CITRATE 10MG TAB</v>
      </c>
      <c r="C625" s="113">
        <f>PR!D623</f>
        <v>100</v>
      </c>
      <c r="D625" s="113">
        <f>PR!C623</f>
        <v>5</v>
      </c>
      <c r="E625" s="108">
        <f>IF(F625="ALPHA",PR!$E623,IF(F625="ASSENE",PR!$F623,IF(F625="BIOFEM",PR!$G623,IF(F625="BIOMED",PR!$H623,IF(F625="CHI",PR!$I623,IF(F625="CLARION",PR!$J623,IF(F625="CODIX",PR!$K623,IF(F625="COSMADE",PR!$L623,IF(F625="SANCON",PR!$M623,IF(F625="DEVON",PR!$N623,IF(F625="DORTEMAG",PR!$O623,IF(F625="DGF",PR!$P623,IF(F625="DYNAMIC",PR!$Q623,IF(F625="EMZOR",PR!$R623,IF(F625="EUMATT",PR!$S623,IF(F625="FIDSON",PR!$T623,IF(F625="FCGLOBAL",PR!$U623,IF(F625="GENEITH",PR!$V623,IF(F625="GINOS",PR!$W623,IF(F625="GSK",PR!$X623,IF(F625="GLOBORG",PR!$Y623,IF(F625="GOODNEWS",PR!$Z623,IF(F625="GREENLIFE",PR!$AA623,IF(F625="HLINE",PR!$AB623,IF(F625="ROTECH",PR!$AC623,IF(F625="ISN",PR!$AD623,IF(F625="JAWA",PR!$AE623,IF(F625="LAYO",PR!$AF623,IF(F625="LEADWAY",PR!$AG623,IF(F625="LHV",PR!$AH623,IF(F625="MANOLA",PR!$AI623,IF(F625="MARCSON",PR!$AJ623,IF(F625="M&amp;B",PR!$AK623,IF(F625="MTRUST",PR!$AL623,IF(F625="MWORLD",PR!$AM623,IF(F625="MEGA",PR!$AN623,IF(F625="MICRONOVA",PR!$AO623,IF(F625="MFLASH",PR!$AP623,IF(F625="MORISON",PR!$AQ623,IF(F625="NEMEL",PR!$AR623,IF(F625="NHP",PR!$AS623,IF(F625="NHC",PR!$AT623,IF(F625="OLEAF",PR!$AU623,IF(F625="OCULUS",PR!$AV623,IF(F625="PACIFIC",PR!$AW623,IF(F625="PHAMATEX",PR!$AX623,IF(F625="PETHICS",PR!$AY623,IF(F625="PHILIPS",PR!$AZ623,IF(F625="RANBAXY",PR!$BA623,IF(F625="REALS",PR!$BB623,IF(F625="ROYAL",PR!$BC623,IF(F625="SAM",PR!$BD623,IF(F625="SEAGREEN",PR!$BE623,IF(F625="SKG",PR!$BF623,IF(F625="TAH",PR!$BG623,IF(F625="TAYLEK",PR!$BH623,IF(F625="TEMITA",PR!$BI623,IF(F625="THL",PR!$BJ623,IF(F625="UBASTIC",PR!$BK623,IF(F625="UNION",PR!$BL623,IF(F625="UNIQUE",PR!$BM623,IF(F625="VIXA",PR!$BN623,IF(F625="WWCV",PR!$BO623,IF(F625="ZOLON",PR!$BP623,"-"))))))))))))))))))))))))))))))))))))))))))))))))))))))))))))))))</f>
        <v>9750</v>
      </c>
      <c r="F625" s="102" t="str">
        <f>EV!L799</f>
        <v>MANOLA</v>
      </c>
      <c r="G625" s="108" t="str">
        <f>IF(H625="ALPHA",PR!$E623,IF(H625="ASSENE",PR!$F623,IF(H625="BIOFEM",PR!$G623,IF(H625="BIOMED",PR!$H623,IF(H625="CHI",PR!$I623,IF(H625="CLARION",PR!$J623,IF(H625="CODIX",PR!$K623,IF(H625="COSMADE",PR!$L623,IF(H625="SANCON",PR!$M623,IF(H625="DEVON",PR!$N623,IF(H625="DORTEMAG",PR!$O623,IF(H625="DGF",PR!$P623,IF(H625="DYNAMIC",PR!$Q623,IF(H625="EMZOR",PR!$R623,IF(H625="EUMATT",PR!$S623,IF(H625="FIDSON",PR!$T623,IF(H625="FCGLOBAL",PR!$U623,IF(H625="GENEITH",PR!$V623,IF(H625="GINOS",PR!$W623,IF(H625="GSK",PR!$X623,IF(H625="GLOBORG",PR!$Y623,IF(H625="GOODNEWS",PR!$Z623,IF(H625="GREENLIFE",PR!$AA623,IF(H625="HLINE",PR!$AB623,IF(H625="ROTECH",PR!$AC623,IF(H625="ISN",PR!$AD623,IF(H625="JAWA",PR!$AE623,IF(H625="LAYO",PR!$AF623,IF(H625="LEADWAY",PR!$AG623,IF(H625="LHV",PR!$AH623,IF(H625="MANOLA",PR!$AI623,IF(H625="MARCSON",PR!$AJ623,IF(H625="M&amp;B",PR!$AK623,IF(H625="MTRUST",PR!$AL623,IF(H625="MWORLD",PR!$AM623,IF(H625="MEGA",PR!$AN623,IF(H625="MICRONOVA",PR!$AO623,IF(H625="MFLASH",PR!$AP623,IF(H625="MORISON",PR!$AQ623,IF(H625="NEMEL",PR!$AR623,IF(H625="NHP",PR!$AS623,IF(H625="NHC",PR!$AT623,IF(H625="OLEAF",PR!$AU623,IF(H625="OCULUS",PR!$AV623,IF(H625="PACIFIC",PR!$AW623,IF(H625="PHAMATEX",PR!$AX623,IF(H625="PETHICS",PR!$AY623,IF(H625="PHILIPS",PR!$AZ623,IF(H625="RANBAXY",PR!$BA623,IF(H625="REALS",PR!$BB623,IF(H625="ROYAL",PR!$BC623,IF(H625="SAM",PR!$BD623,IF(H625="SEAGREEN",PR!$BE623,IF(H625="SKG",PR!$BF623,IF(H625="TAH",PR!$BG623,IF(H625="TAYLEK",PR!$BH623,IF(H625="TEMITA",PR!$BI623,IF(H625="THL",PR!$BJ623,IF(H625="UBASTIC",PR!$BK623,IF(H625="UNION",PR!$BL623,IF(H625="UNIQUE",PR!$BM623,IF(H625="VIXA",PR!$BN623,IF(H625="WWCV",PR!$BO623,IF(H625="ZOLON",PR!$BP623,"-"))))))))))))))))))))))))))))))))))))))))))))))))))))))))))))))))</f>
        <v>-</v>
      </c>
      <c r="H625" s="102">
        <f>EV!M799</f>
        <v>0</v>
      </c>
      <c r="I625" s="108" t="str">
        <f>IF(J625="ALPHA",PR!$E623,IF(J625="ASSENE",PR!$F623,IF(J625="BIOFEM",PR!$G623,IF(J625="BIOMED",PR!$H623,IF(J625="CHI",PR!$I623,IF(J625="CLARION",PR!$J623,IF(J625="CODIX",PR!$K623,IF(J625="COSMADE",PR!$L623,IF(J625="SANCON",PR!$M623,IF(J625="DEVON",PR!$N623,IF(J625="DORTEMAG",PR!$O623,IF(J625="DGF",PR!$P623,IF(J625="DYNAMIC",PR!$Q623,IF(J625="EMZOR",PR!$R623,IF(J625="EUMATT",PR!$S623,IF(J625="FIDSON",PR!$T623,IF(J625="FCGLOBAL",PR!$U623,IF(J625="GENEITH",PR!$V623,IF(J625="GINOS",PR!$W623,IF(J625="GSK",PR!$X623,IF(J625="GLOBORG",PR!$Y623,IF(J625="GOODNEWS",PR!$Z623,IF(J625="GREENLIFE",PR!$AA623,IF(J625="HLINE",PR!$AB623,IF(J625="ROTECH",PR!$AC623,IF(J625="ISN",PR!$AD623,IF(J625="JAWA",PR!$AE623,IF(J625="LAYO",PR!$AF623,IF(J625="LEADWAY",PR!$AG623,IF(J625="LHV",PR!$AH623,IF(J625="MANOLA",PR!$AI623,IF(J625="MARCSON",PR!$AJ623,IF(J625="M&amp;B",PR!$AK623,IF(J625="MTRUST",PR!$AL623,IF(J625="MWORLD",PR!$AM623,IF(J625="MEGA",PR!$AN623,IF(J625="MICRONOVA",PR!$AO623,IF(J625="MFLASH",PR!$AP623,IF(J625="MORISON",PR!$AQ623,IF(J625="NEMEL",PR!$AR623,IF(J625="NHP",PR!$AS623,IF(J625="NHC",PR!$AT623,IF(J625="OLEAF",PR!$AU623,IF(J625="OCULUS",PR!$AV623,IF(J625="PACIFIC",PR!$AW623,IF(J625="PHAMATEX",PR!$AX623,IF(J625="PETHICS",PR!$AY623,IF(J625="PHILIPS",PR!$AZ623,IF(J625="RANBAXY",PR!$BA623,IF(J625="REALS",PR!$BB623,IF(J625="ROYAL",PR!$BC623,IF(J625="SAM",PR!$BD623,IF(J625="SEAGREEN",PR!$BE623,IF(J625="SKG",PR!$BF623,IF(J625="TAH",PR!$BG623,IF(J625="TAYLEK",PR!$BH623,IF(J625="TEMITA",PR!$BI623,IF(J625="THL",PR!$BJ623,IF(J625="UBASTIC",PR!$BK623,IF(J625="UNION",PR!$BL623,IF(J625="UNIQUE",PR!$BM623,IF(J625="VIXA",PR!$BN623,IF(J625="WWCV",PR!$BO623,IF(J625="ZOLON",PR!$BP623,"-"))))))))))))))))))))))))))))))))))))))))))))))))))))))))))))))))</f>
        <v>-</v>
      </c>
      <c r="J625" s="102">
        <f>EV!N799</f>
        <v>0</v>
      </c>
      <c r="K625" s="433" t="s">
        <v>820</v>
      </c>
      <c r="L625" s="183">
        <f>IF(K625&gt;0,IF(K625="ALPHA",PR!$E623,IF(K625="ASSENE",PR!$F623,IF(K625="BIOFEM",PR!$G623,IF(K625="BIOMED",PR!$H623,IF(K625="CHI",PR!$I623,IF(K625="CLARION",PR!$J623,IF(K625="CODIX",PR!$K623,IF(K625="COSMADE",PR!$L623,IF(K625="SANCON",PR!$M623,IF(K625="DEVON",PR!$N623,IF(K625="DORTEMAG",PR!$O623,IF(K625="DGF",PR!$P623,IF(K625="DYNAMIC",PR!$Q623,IF(K625="EMZOR",PR!$R623,IF(K625="EUMATT",PR!$S623,IF(K625="FIDSON",PR!$T623,IF(K625="FCGLOBAL",PR!$U623,IF(K625="GENEITH",PR!$V623,IF(K625="GINOS",PR!$W623,IF(K625="GSK",PR!$X623,IF(K625="GLOBORG",PR!$Y623,IF(K625="GOODNEWS",PR!$Z623,IF(K625="GREENLIFE",PR!$AA623,IF(K625="HLINE",PR!$AB623,IF(K625="ROTECH",PR!$AC623,IF(K625="ISN",PR!$AD623,IF(K625="JAWA",PR!$AE623,IF(K625="LAYO",PR!$AF623,IF(K625="LEADWAY",PR!$AG623,IF(K625="LHV",PR!$AH623,IF(K625="MANOLA",PR!$AI623,IF(K625="MARCSON",PR!$AJ623,IF(K625="M&amp;B",PR!$AK623,IF(K625="MTRUST",PR!$AL623,IF(K625="MWORLD",PR!$AM623,IF(K625="MEGA",PR!$AN623,IF(K625="MICRONOVA",PR!$AO623,IF(K625="MFLASH",PR!$AP623,IF(K625="MORISON",PR!$AQ623,IF(K625="NEMEL",PR!$AR623,IF(K625="NHP",PR!$AS623,IF(K625="NHC",PR!$AT623,IF(K625="OLEAF",PR!$AU623,IF(K625="OCULUS",PR!$AV623,IF(K625="PACIFIC",PR!$AW623,IF(K625="PHAMATEX",PR!$AX623,IF(K625="PETHICS",PR!$AY623,IF(K625="PHILIPS",PR!$AZ623,IF(K625="RANBAXY",PR!$BA623,IF(K625="REALS",PR!$BB623,IF(K625="ROYAL",PR!$BC623,IF(K625="SAM",PR!$BD623,IF(K625="SEAGREEN",PR!$BE623,IF(K625="SKG",PR!$BF623,IF(K625="TAH",PR!$BG623,IF(K625="TAYLEK",PR!$BH623,IF(K625="TEMITA",PR!$BI623,IF(K625="THL",PR!$BJ623,IF(K625="UBASTIC",PR!$BK623,IF(K625="UNION",PR!$BL623,IF(K625="UNIQUE",PR!$BM623,IF(K625="VIXA",PR!$BN623,IF(K625="WWCV",PR!$BO623,IF(K625="ZOLON",PR!$BP623,"-")))))))))))))))))))))))))))))))))))))))))))))))))))))))))))))))))</f>
        <v>9750</v>
      </c>
    </row>
    <row r="626" spans="1:12" ht="18.75" x14ac:dyDescent="0.3">
      <c r="A626" s="430">
        <f>PR!A624</f>
        <v>566</v>
      </c>
      <c r="B626" s="15" t="str">
        <f>PR!B624</f>
        <v>TRASTUZUMAB 440MG INJ</v>
      </c>
      <c r="C626" s="113" t="str">
        <f>PR!D624</f>
        <v>AMP</v>
      </c>
      <c r="D626" s="113">
        <f>PR!C624</f>
        <v>10</v>
      </c>
      <c r="E626" s="108">
        <f>IF(F626="ALPHA",PR!$E624,IF(F626="ASSENE",PR!$F624,IF(F626="BIOFEM",PR!$G624,IF(F626="BIOMED",PR!$H624,IF(F626="CHI",PR!$I624,IF(F626="CLARION",PR!$J624,IF(F626="CODIX",PR!$K624,IF(F626="COSMADE",PR!$L624,IF(F626="SANCON",PR!$M624,IF(F626="DEVON",PR!$N624,IF(F626="DORTEMAG",PR!$O624,IF(F626="DGF",PR!$P624,IF(F626="DYNAMIC",PR!$Q624,IF(F626="EMZOR",PR!$R624,IF(F626="EUMATT",PR!$S624,IF(F626="FIDSON",PR!$T624,IF(F626="FCGLOBAL",PR!$U624,IF(F626="GENEITH",PR!$V624,IF(F626="GINOS",PR!$W624,IF(F626="GSK",PR!$X624,IF(F626="GLOBORG",PR!$Y624,IF(F626="GOODNEWS",PR!$Z624,IF(F626="GREENLIFE",PR!$AA624,IF(F626="HLINE",PR!$AB624,IF(F626="ROTECH",PR!$AC624,IF(F626="ISN",PR!$AD624,IF(F626="JAWA",PR!$AE624,IF(F626="LAYO",PR!$AF624,IF(F626="LEADWAY",PR!$AG624,IF(F626="LHV",PR!$AH624,IF(F626="MANOLA",PR!$AI624,IF(F626="MARCSON",PR!$AJ624,IF(F626="M&amp;B",PR!$AK624,IF(F626="MTRUST",PR!$AL624,IF(F626="MWORLD",PR!$AM624,IF(F626="MEGA",PR!$AN624,IF(F626="MICRONOVA",PR!$AO624,IF(F626="MFLASH",PR!$AP624,IF(F626="MORISON",PR!$AQ624,IF(F626="NEMEL",PR!$AR624,IF(F626="NHP",PR!$AS624,IF(F626="NHC",PR!$AT624,IF(F626="OLEAF",PR!$AU624,IF(F626="OCULUS",PR!$AV624,IF(F626="PACIFIC",PR!$AW624,IF(F626="PHAMATEX",PR!$AX624,IF(F626="PETHICS",PR!$AY624,IF(F626="PHILIPS",PR!$AZ624,IF(F626="RANBAXY",PR!$BA624,IF(F626="REALS",PR!$BB624,IF(F626="ROYAL",PR!$BC624,IF(F626="SAM",PR!$BD624,IF(F626="SEAGREEN",PR!$BE624,IF(F626="SKG",PR!$BF624,IF(F626="TAH",PR!$BG624,IF(F626="TAYLEK",PR!$BH624,IF(F626="TEMITA",PR!$BI624,IF(F626="THL",PR!$BJ624,IF(F626="UBASTIC",PR!$BK624,IF(F626="UNION",PR!$BL624,IF(F626="UNIQUE",PR!$BM624,IF(F626="VIXA",PR!$BN624,IF(F626="WWCV",PR!$BO624,IF(F626="ZOLON",PR!$BP624,"-"))))))))))))))))))))))))))))))))))))))))))))))))))))))))))))))))</f>
        <v>200000</v>
      </c>
      <c r="F626" s="102" t="str">
        <f>EV!L800</f>
        <v>HLINE</v>
      </c>
      <c r="G626" s="108" t="str">
        <f>IF(H626="ALPHA",PR!$E624,IF(H626="ASSENE",PR!$F624,IF(H626="BIOFEM",PR!$G624,IF(H626="BIOMED",PR!$H624,IF(H626="CHI",PR!$I624,IF(H626="CLARION",PR!$J624,IF(H626="CODIX",PR!$K624,IF(H626="COSMADE",PR!$L624,IF(H626="SANCON",PR!$M624,IF(H626="DEVON",PR!$N624,IF(H626="DORTEMAG",PR!$O624,IF(H626="DGF",PR!$P624,IF(H626="DYNAMIC",PR!$Q624,IF(H626="EMZOR",PR!$R624,IF(H626="EUMATT",PR!$S624,IF(H626="FIDSON",PR!$T624,IF(H626="FCGLOBAL",PR!$U624,IF(H626="GENEITH",PR!$V624,IF(H626="GINOS",PR!$W624,IF(H626="GSK",PR!$X624,IF(H626="GLOBORG",PR!$Y624,IF(H626="GOODNEWS",PR!$Z624,IF(H626="GREENLIFE",PR!$AA624,IF(H626="HLINE",PR!$AB624,IF(H626="ROTECH",PR!$AC624,IF(H626="ISN",PR!$AD624,IF(H626="JAWA",PR!$AE624,IF(H626="LAYO",PR!$AF624,IF(H626="LEADWAY",PR!$AG624,IF(H626="LHV",PR!$AH624,IF(H626="MANOLA",PR!$AI624,IF(H626="MARCSON",PR!$AJ624,IF(H626="M&amp;B",PR!$AK624,IF(H626="MTRUST",PR!$AL624,IF(H626="MWORLD",PR!$AM624,IF(H626="MEGA",PR!$AN624,IF(H626="MICRONOVA",PR!$AO624,IF(H626="MFLASH",PR!$AP624,IF(H626="MORISON",PR!$AQ624,IF(H626="NEMEL",PR!$AR624,IF(H626="NHP",PR!$AS624,IF(H626="NHC",PR!$AT624,IF(H626="OLEAF",PR!$AU624,IF(H626="OCULUS",PR!$AV624,IF(H626="PACIFIC",PR!$AW624,IF(H626="PHAMATEX",PR!$AX624,IF(H626="PETHICS",PR!$AY624,IF(H626="PHILIPS",PR!$AZ624,IF(H626="RANBAXY",PR!$BA624,IF(H626="REALS",PR!$BB624,IF(H626="ROYAL",PR!$BC624,IF(H626="SAM",PR!$BD624,IF(H626="SEAGREEN",PR!$BE624,IF(H626="SKG",PR!$BF624,IF(H626="TAH",PR!$BG624,IF(H626="TAYLEK",PR!$BH624,IF(H626="TEMITA",PR!$BI624,IF(H626="THL",PR!$BJ624,IF(H626="UBASTIC",PR!$BK624,IF(H626="UNION",PR!$BL624,IF(H626="UNIQUE",PR!$BM624,IF(H626="VIXA",PR!$BN624,IF(H626="WWCV",PR!$BO624,IF(H626="ZOLON",PR!$BP624,"-"))))))))))))))))))))))))))))))))))))))))))))))))))))))))))))))))</f>
        <v>-</v>
      </c>
      <c r="H626" s="102">
        <f>EV!M800</f>
        <v>0</v>
      </c>
      <c r="I626" s="108" t="str">
        <f>IF(J626="ALPHA",PR!$E624,IF(J626="ASSENE",PR!$F624,IF(J626="BIOFEM",PR!$G624,IF(J626="BIOMED",PR!$H624,IF(J626="CHI",PR!$I624,IF(J626="CLARION",PR!$J624,IF(J626="CODIX",PR!$K624,IF(J626="COSMADE",PR!$L624,IF(J626="SANCON",PR!$M624,IF(J626="DEVON",PR!$N624,IF(J626="DORTEMAG",PR!$O624,IF(J626="DGF",PR!$P624,IF(J626="DYNAMIC",PR!$Q624,IF(J626="EMZOR",PR!$R624,IF(J626="EUMATT",PR!$S624,IF(J626="FIDSON",PR!$T624,IF(J626="FCGLOBAL",PR!$U624,IF(J626="GENEITH",PR!$V624,IF(J626="GINOS",PR!$W624,IF(J626="GSK",PR!$X624,IF(J626="GLOBORG",PR!$Y624,IF(J626="GOODNEWS",PR!$Z624,IF(J626="GREENLIFE",PR!$AA624,IF(J626="HLINE",PR!$AB624,IF(J626="ROTECH",PR!$AC624,IF(J626="ISN",PR!$AD624,IF(J626="JAWA",PR!$AE624,IF(J626="LAYO",PR!$AF624,IF(J626="LEADWAY",PR!$AG624,IF(J626="LHV",PR!$AH624,IF(J626="MANOLA",PR!$AI624,IF(J626="MARCSON",PR!$AJ624,IF(J626="M&amp;B",PR!$AK624,IF(J626="MTRUST",PR!$AL624,IF(J626="MWORLD",PR!$AM624,IF(J626="MEGA",PR!$AN624,IF(J626="MICRONOVA",PR!$AO624,IF(J626="MFLASH",PR!$AP624,IF(J626="MORISON",PR!$AQ624,IF(J626="NEMEL",PR!$AR624,IF(J626="NHP",PR!$AS624,IF(J626="NHC",PR!$AT624,IF(J626="OLEAF",PR!$AU624,IF(J626="OCULUS",PR!$AV624,IF(J626="PACIFIC",PR!$AW624,IF(J626="PHAMATEX",PR!$AX624,IF(J626="PETHICS",PR!$AY624,IF(J626="PHILIPS",PR!$AZ624,IF(J626="RANBAXY",PR!$BA624,IF(J626="REALS",PR!$BB624,IF(J626="ROYAL",PR!$BC624,IF(J626="SAM",PR!$BD624,IF(J626="SEAGREEN",PR!$BE624,IF(J626="SKG",PR!$BF624,IF(J626="TAH",PR!$BG624,IF(J626="TAYLEK",PR!$BH624,IF(J626="TEMITA",PR!$BI624,IF(J626="THL",PR!$BJ624,IF(J626="UBASTIC",PR!$BK624,IF(J626="UNION",PR!$BL624,IF(J626="UNIQUE",PR!$BM624,IF(J626="VIXA",PR!$BN624,IF(J626="WWCV",PR!$BO624,IF(J626="ZOLON",PR!$BP624,"-"))))))))))))))))))))))))))))))))))))))))))))))))))))))))))))))))</f>
        <v>-</v>
      </c>
      <c r="J626" s="102">
        <f>EV!N800</f>
        <v>0</v>
      </c>
      <c r="K626" s="433" t="s">
        <v>1243</v>
      </c>
      <c r="L626" s="183">
        <f>IF(K626&gt;0,IF(K626="ALPHA",PR!$E624,IF(K626="ASSENE",PR!$F624,IF(K626="BIOFEM",PR!$G624,IF(K626="BIOMED",PR!$H624,IF(K626="CHI",PR!$I624,IF(K626="CLARION",PR!$J624,IF(K626="CODIX",PR!$K624,IF(K626="COSMADE",PR!$L624,IF(K626="SANCON",PR!$M624,IF(K626="DEVON",PR!$N624,IF(K626="DORTEMAG",PR!$O624,IF(K626="DGF",PR!$P624,IF(K626="DYNAMIC",PR!$Q624,IF(K626="EMZOR",PR!$R624,IF(K626="EUMATT",PR!$S624,IF(K626="FIDSON",PR!$T624,IF(K626="FCGLOBAL",PR!$U624,IF(K626="GENEITH",PR!$V624,IF(K626="GINOS",PR!$W624,IF(K626="GSK",PR!$X624,IF(K626="GLOBORG",PR!$Y624,IF(K626="GOODNEWS",PR!$Z624,IF(K626="GREENLIFE",PR!$AA624,IF(K626="HLINE",PR!$AB624,IF(K626="ROTECH",PR!$AC624,IF(K626="ISN",PR!$AD624,IF(K626="JAWA",PR!$AE624,IF(K626="LAYO",PR!$AF624,IF(K626="LEADWAY",PR!$AG624,IF(K626="LHV",PR!$AH624,IF(K626="MANOLA",PR!$AI624,IF(K626="MARCSON",PR!$AJ624,IF(K626="M&amp;B",PR!$AK624,IF(K626="MTRUST",PR!$AL624,IF(K626="MWORLD",PR!$AM624,IF(K626="MEGA",PR!$AN624,IF(K626="MICRONOVA",PR!$AO624,IF(K626="MFLASH",PR!$AP624,IF(K626="MORISON",PR!$AQ624,IF(K626="NEMEL",PR!$AR624,IF(K626="NHP",PR!$AS624,IF(K626="NHC",PR!$AT624,IF(K626="OLEAF",PR!$AU624,IF(K626="OCULUS",PR!$AV624,IF(K626="PACIFIC",PR!$AW624,IF(K626="PHAMATEX",PR!$AX624,IF(K626="PETHICS",PR!$AY624,IF(K626="PHILIPS",PR!$AZ624,IF(K626="RANBAXY",PR!$BA624,IF(K626="REALS",PR!$BB624,IF(K626="ROYAL",PR!$BC624,IF(K626="SAM",PR!$BD624,IF(K626="SEAGREEN",PR!$BE624,IF(K626="SKG",PR!$BF624,IF(K626="TAH",PR!$BG624,IF(K626="TAYLEK",PR!$BH624,IF(K626="TEMITA",PR!$BI624,IF(K626="THL",PR!$BJ624,IF(K626="UBASTIC",PR!$BK624,IF(K626="UNION",PR!$BL624,IF(K626="UNIQUE",PR!$BM624,IF(K626="VIXA",PR!$BN624,IF(K626="WWCV",PR!$BO624,IF(K626="ZOLON",PR!$BP624,"-")))))))))))))))))))))))))))))))))))))))))))))))))))))))))))))))))</f>
        <v>200000</v>
      </c>
    </row>
    <row r="627" spans="1:12" ht="18.75" x14ac:dyDescent="0.3">
      <c r="A627" s="430">
        <f>PR!A625</f>
        <v>567</v>
      </c>
      <c r="B627" s="15" t="str">
        <f>PR!B625</f>
        <v>TRIAMCINOLONE INJ</v>
      </c>
      <c r="C627" s="113">
        <f>PR!D625</f>
        <v>10</v>
      </c>
      <c r="D627" s="113">
        <f>PR!C625</f>
        <v>4</v>
      </c>
      <c r="E627" s="108" t="str">
        <f>IF(F627="ALPHA",PR!$E625,IF(F627="ASSENE",PR!$F625,IF(F627="BIOFEM",PR!$G625,IF(F627="BIOMED",PR!$H625,IF(F627="CHI",PR!$I625,IF(F627="CLARION",PR!$J625,IF(F627="CODIX",PR!$K625,IF(F627="COSMADE",PR!$L625,IF(F627="SANCON",PR!$M625,IF(F627="DEVON",PR!$N625,IF(F627="DORTEMAG",PR!$O625,IF(F627="DGF",PR!$P625,IF(F627="DYNAMIC",PR!$Q625,IF(F627="EMZOR",PR!$R625,IF(F627="EUMATT",PR!$S625,IF(F627="FIDSON",PR!$T625,IF(F627="FCGLOBAL",PR!$U625,IF(F627="GENEITH",PR!$V625,IF(F627="GINOS",PR!$W625,IF(F627="GSK",PR!$X625,IF(F627="GLOBORG",PR!$Y625,IF(F627="GOODNEWS",PR!$Z625,IF(F627="GREENLIFE",PR!$AA625,IF(F627="HLINE",PR!$AB625,IF(F627="ROTECH",PR!$AC625,IF(F627="ISN",PR!$AD625,IF(F627="JAWA",PR!$AE625,IF(F627="LAYO",PR!$AF625,IF(F627="LEADWAY",PR!$AG625,IF(F627="LHV",PR!$AH625,IF(F627="MANOLA",PR!$AI625,IF(F627="MARCSON",PR!$AJ625,IF(F627="M&amp;B",PR!$AK625,IF(F627="MTRUST",PR!$AL625,IF(F627="MWORLD",PR!$AM625,IF(F627="MEGA",PR!$AN625,IF(F627="MICRONOVA",PR!$AO625,IF(F627="MFLASH",PR!$AP625,IF(F627="MORISON",PR!$AQ625,IF(F627="NEMEL",PR!$AR625,IF(F627="NHP",PR!$AS625,IF(F627="NHC",PR!$AT625,IF(F627="OLEAF",PR!$AU625,IF(F627="OCULUS",PR!$AV625,IF(F627="PACIFIC",PR!$AW625,IF(F627="PHAMATEX",PR!$AX625,IF(F627="PETHICS",PR!$AY625,IF(F627="PHILIPS",PR!$AZ625,IF(F627="RANBAXY",PR!$BA625,IF(F627="REALS",PR!$BB625,IF(F627="ROYAL",PR!$BC625,IF(F627="SAM",PR!$BD625,IF(F627="SEAGREEN",PR!$BE625,IF(F627="SKG",PR!$BF625,IF(F627="TAH",PR!$BG625,IF(F627="TAYLEK",PR!$BH625,IF(F627="TEMITA",PR!$BI625,IF(F627="THL",PR!$BJ625,IF(F627="UBASTIC",PR!$BK625,IF(F627="UNION",PR!$BL625,IF(F627="UNIQUE",PR!$BM625,IF(F627="VIXA",PR!$BN625,IF(F627="WWCV",PR!$BO625,IF(F627="ZOLON",PR!$BP625,"-"))))))))))))))))))))))))))))))))))))))))))))))))))))))))))))))))</f>
        <v>-</v>
      </c>
      <c r="F627" s="102">
        <f>EV!L801</f>
        <v>0</v>
      </c>
      <c r="G627" s="108" t="str">
        <f>IF(H627="ALPHA",PR!$E625,IF(H627="ASSENE",PR!$F625,IF(H627="BIOFEM",PR!$G625,IF(H627="BIOMED",PR!$H625,IF(H627="CHI",PR!$I625,IF(H627="CLARION",PR!$J625,IF(H627="CODIX",PR!$K625,IF(H627="COSMADE",PR!$L625,IF(H627="SANCON",PR!$M625,IF(H627="DEVON",PR!$N625,IF(H627="DORTEMAG",PR!$O625,IF(H627="DGF",PR!$P625,IF(H627="DYNAMIC",PR!$Q625,IF(H627="EMZOR",PR!$R625,IF(H627="EUMATT",PR!$S625,IF(H627="FIDSON",PR!$T625,IF(H627="FCGLOBAL",PR!$U625,IF(H627="GENEITH",PR!$V625,IF(H627="GINOS",PR!$W625,IF(H627="GSK",PR!$X625,IF(H627="GLOBORG",PR!$Y625,IF(H627="GOODNEWS",PR!$Z625,IF(H627="GREENLIFE",PR!$AA625,IF(H627="HLINE",PR!$AB625,IF(H627="ROTECH",PR!$AC625,IF(H627="ISN",PR!$AD625,IF(H627="JAWA",PR!$AE625,IF(H627="LAYO",PR!$AF625,IF(H627="LEADWAY",PR!$AG625,IF(H627="LHV",PR!$AH625,IF(H627="MANOLA",PR!$AI625,IF(H627="MARCSON",PR!$AJ625,IF(H627="M&amp;B",PR!$AK625,IF(H627="MTRUST",PR!$AL625,IF(H627="MWORLD",PR!$AM625,IF(H627="MEGA",PR!$AN625,IF(H627="MICRONOVA",PR!$AO625,IF(H627="MFLASH",PR!$AP625,IF(H627="MORISON",PR!$AQ625,IF(H627="NEMEL",PR!$AR625,IF(H627="NHP",PR!$AS625,IF(H627="NHC",PR!$AT625,IF(H627="OLEAF",PR!$AU625,IF(H627="OCULUS",PR!$AV625,IF(H627="PACIFIC",PR!$AW625,IF(H627="PHAMATEX",PR!$AX625,IF(H627="PETHICS",PR!$AY625,IF(H627="PHILIPS",PR!$AZ625,IF(H627="RANBAXY",PR!$BA625,IF(H627="REALS",PR!$BB625,IF(H627="ROYAL",PR!$BC625,IF(H627="SAM",PR!$BD625,IF(H627="SEAGREEN",PR!$BE625,IF(H627="SKG",PR!$BF625,IF(H627="TAH",PR!$BG625,IF(H627="TAYLEK",PR!$BH625,IF(H627="TEMITA",PR!$BI625,IF(H627="THL",PR!$BJ625,IF(H627="UBASTIC",PR!$BK625,IF(H627="UNION",PR!$BL625,IF(H627="UNIQUE",PR!$BM625,IF(H627="VIXA",PR!$BN625,IF(H627="WWCV",PR!$BO625,IF(H627="ZOLON",PR!$BP625,"-"))))))))))))))))))))))))))))))))))))))))))))))))))))))))))))))))</f>
        <v>-</v>
      </c>
      <c r="H627" s="102">
        <f>EV!M801</f>
        <v>0</v>
      </c>
      <c r="I627" s="108" t="str">
        <f>IF(J627="ALPHA",PR!$E625,IF(J627="ASSENE",PR!$F625,IF(J627="BIOFEM",PR!$G625,IF(J627="BIOMED",PR!$H625,IF(J627="CHI",PR!$I625,IF(J627="CLARION",PR!$J625,IF(J627="CODIX",PR!$K625,IF(J627="COSMADE",PR!$L625,IF(J627="SANCON",PR!$M625,IF(J627="DEVON",PR!$N625,IF(J627="DORTEMAG",PR!$O625,IF(J627="DGF",PR!$P625,IF(J627="DYNAMIC",PR!$Q625,IF(J627="EMZOR",PR!$R625,IF(J627="EUMATT",PR!$S625,IF(J627="FIDSON",PR!$T625,IF(J627="FCGLOBAL",PR!$U625,IF(J627="GENEITH",PR!$V625,IF(J627="GINOS",PR!$W625,IF(J627="GSK",PR!$X625,IF(J627="GLOBORG",PR!$Y625,IF(J627="GOODNEWS",PR!$Z625,IF(J627="GREENLIFE",PR!$AA625,IF(J627="HLINE",PR!$AB625,IF(J627="ROTECH",PR!$AC625,IF(J627="ISN",PR!$AD625,IF(J627="JAWA",PR!$AE625,IF(J627="LAYO",PR!$AF625,IF(J627="LEADWAY",PR!$AG625,IF(J627="LHV",PR!$AH625,IF(J627="MANOLA",PR!$AI625,IF(J627="MARCSON",PR!$AJ625,IF(J627="M&amp;B",PR!$AK625,IF(J627="MTRUST",PR!$AL625,IF(J627="MWORLD",PR!$AM625,IF(J627="MEGA",PR!$AN625,IF(J627="MICRONOVA",PR!$AO625,IF(J627="MFLASH",PR!$AP625,IF(J627="MORISON",PR!$AQ625,IF(J627="NEMEL",PR!$AR625,IF(J627="NHP",PR!$AS625,IF(J627="NHC",PR!$AT625,IF(J627="OLEAF",PR!$AU625,IF(J627="OCULUS",PR!$AV625,IF(J627="PACIFIC",PR!$AW625,IF(J627="PHAMATEX",PR!$AX625,IF(J627="PETHICS",PR!$AY625,IF(J627="PHILIPS",PR!$AZ625,IF(J627="RANBAXY",PR!$BA625,IF(J627="REALS",PR!$BB625,IF(J627="ROYAL",PR!$BC625,IF(J627="SAM",PR!$BD625,IF(J627="SEAGREEN",PR!$BE625,IF(J627="SKG",PR!$BF625,IF(J627="TAH",PR!$BG625,IF(J627="TAYLEK",PR!$BH625,IF(J627="TEMITA",PR!$BI625,IF(J627="THL",PR!$BJ625,IF(J627="UBASTIC",PR!$BK625,IF(J627="UNION",PR!$BL625,IF(J627="UNIQUE",PR!$BM625,IF(J627="VIXA",PR!$BN625,IF(J627="WWCV",PR!$BO625,IF(J627="ZOLON",PR!$BP625,"-"))))))))))))))))))))))))))))))))))))))))))))))))))))))))))))))))</f>
        <v>-</v>
      </c>
      <c r="J627" s="102">
        <f>EV!N801</f>
        <v>0</v>
      </c>
      <c r="K627" s="433"/>
      <c r="L627" s="183" t="b">
        <f>IF(K627&gt;0,IF(K627="ALPHA",PR!$E625,IF(K627="ASSENE",PR!$F625,IF(K627="BIOFEM",PR!$G625,IF(K627="BIOMED",PR!$H625,IF(K627="CHI",PR!$I625,IF(K627="CLARION",PR!$J625,IF(K627="CODIX",PR!$K625,IF(K627="COSMADE",PR!$L625,IF(K627="SANCON",PR!$M625,IF(K627="DEVON",PR!$N625,IF(K627="DORTEMAG",PR!$O625,IF(K627="DGF",PR!$P625,IF(K627="DYNAMIC",PR!$Q625,IF(K627="EMZOR",PR!$R625,IF(K627="EUMATT",PR!$S625,IF(K627="FIDSON",PR!$T625,IF(K627="FCGLOBAL",PR!$U625,IF(K627="GENEITH",PR!$V625,IF(K627="GINOS",PR!$W625,IF(K627="GSK",PR!$X625,IF(K627="GLOBORG",PR!$Y625,IF(K627="GOODNEWS",PR!$Z625,IF(K627="GREENLIFE",PR!$AA625,IF(K627="HLINE",PR!$AB625,IF(K627="ROTECH",PR!$AC625,IF(K627="ISN",PR!$AD625,IF(K627="JAWA",PR!$AE625,IF(K627="LAYO",PR!$AF625,IF(K627="LEADWAY",PR!$AG625,IF(K627="LHV",PR!$AH625,IF(K627="MANOLA",PR!$AI625,IF(K627="MARCSON",PR!$AJ625,IF(K627="M&amp;B",PR!$AK625,IF(K627="MTRUST",PR!$AL625,IF(K627="MWORLD",PR!$AM625,IF(K627="MEGA",PR!$AN625,IF(K627="MICRONOVA",PR!$AO625,IF(K627="MFLASH",PR!$AP625,IF(K627="MORISON",PR!$AQ625,IF(K627="NEMEL",PR!$AR625,IF(K627="NHP",PR!$AS625,IF(K627="NHC",PR!$AT625,IF(K627="OLEAF",PR!$AU625,IF(K627="OCULUS",PR!$AV625,IF(K627="PACIFIC",PR!$AW625,IF(K627="PHAMATEX",PR!$AX625,IF(K627="PETHICS",PR!$AY625,IF(K627="PHILIPS",PR!$AZ625,IF(K627="RANBAXY",PR!$BA625,IF(K627="REALS",PR!$BB625,IF(K627="ROYAL",PR!$BC625,IF(K627="SAM",PR!$BD625,IF(K627="SEAGREEN",PR!$BE625,IF(K627="SKG",PR!$BF625,IF(K627="TAH",PR!$BG625,IF(K627="TAYLEK",PR!$BH625,IF(K627="TEMITA",PR!$BI625,IF(K627="THL",PR!$BJ625,IF(K627="UBASTIC",PR!$BK625,IF(K627="UNION",PR!$BL625,IF(K627="UNIQUE",PR!$BM625,IF(K627="VIXA",PR!$BN625,IF(K627="WWCV",PR!$BO625,IF(K627="ZOLON",PR!$BP625,"-")))))))))))))))))))))))))))))))))))))))))))))))))))))))))))))))))</f>
        <v>0</v>
      </c>
    </row>
    <row r="628" spans="1:12" ht="18.75" x14ac:dyDescent="0.3">
      <c r="A628" s="430">
        <f>PR!A626</f>
        <v>568</v>
      </c>
      <c r="B628" s="15" t="str">
        <f>PR!B626</f>
        <v>VINBLASTINE 10MG INJ</v>
      </c>
      <c r="C628" s="113">
        <f>PR!D626</f>
        <v>10</v>
      </c>
      <c r="D628" s="113">
        <f>PR!C626</f>
        <v>5</v>
      </c>
      <c r="E628" s="108" t="str">
        <f>IF(F628="ALPHA",PR!$E626,IF(F628="ASSENE",PR!$F626,IF(F628="BIOFEM",PR!$G626,IF(F628="BIOMED",PR!$H626,IF(F628="CHI",PR!$I626,IF(F628="CLARION",PR!$J626,IF(F628="CODIX",PR!$K626,IF(F628="COSMADE",PR!$L626,IF(F628="SANCON",PR!$M626,IF(F628="DEVON",PR!$N626,IF(F628="DORTEMAG",PR!$O626,IF(F628="DGF",PR!$P626,IF(F628="DYNAMIC",PR!$Q626,IF(F628="EMZOR",PR!$R626,IF(F628="EUMATT",PR!$S626,IF(F628="FIDSON",PR!$T626,IF(F628="FCGLOBAL",PR!$U626,IF(F628="GENEITH",PR!$V626,IF(F628="GINOS",PR!$W626,IF(F628="GSK",PR!$X626,IF(F628="GLOBORG",PR!$Y626,IF(F628="GOODNEWS",PR!$Z626,IF(F628="GREENLIFE",PR!$AA626,IF(F628="HLINE",PR!$AB626,IF(F628="ROTECH",PR!$AC626,IF(F628="ISN",PR!$AD626,IF(F628="JAWA",PR!$AE626,IF(F628="LAYO",PR!$AF626,IF(F628="LEADWAY",PR!$AG626,IF(F628="LHV",PR!$AH626,IF(F628="MANOLA",PR!$AI626,IF(F628="MARCSON",PR!$AJ626,IF(F628="M&amp;B",PR!$AK626,IF(F628="MTRUST",PR!$AL626,IF(F628="MWORLD",PR!$AM626,IF(F628="MEGA",PR!$AN626,IF(F628="MICRONOVA",PR!$AO626,IF(F628="MFLASH",PR!$AP626,IF(F628="MORISON",PR!$AQ626,IF(F628="NEMEL",PR!$AR626,IF(F628="NHP",PR!$AS626,IF(F628="NHC",PR!$AT626,IF(F628="OLEAF",PR!$AU626,IF(F628="OCULUS",PR!$AV626,IF(F628="PACIFIC",PR!$AW626,IF(F628="PHAMATEX",PR!$AX626,IF(F628="PETHICS",PR!$AY626,IF(F628="PHILIPS",PR!$AZ626,IF(F628="RANBAXY",PR!$BA626,IF(F628="REALS",PR!$BB626,IF(F628="ROYAL",PR!$BC626,IF(F628="SAM",PR!$BD626,IF(F628="SEAGREEN",PR!$BE626,IF(F628="SKG",PR!$BF626,IF(F628="TAH",PR!$BG626,IF(F628="TAYLEK",PR!$BH626,IF(F628="TEMITA",PR!$BI626,IF(F628="THL",PR!$BJ626,IF(F628="UBASTIC",PR!$BK626,IF(F628="UNION",PR!$BL626,IF(F628="UNIQUE",PR!$BM626,IF(F628="VIXA",PR!$BN626,IF(F628="WWCV",PR!$BO626,IF(F628="ZOLON",PR!$BP626,"-"))))))))))))))))))))))))))))))))))))))))))))))))))))))))))))))))</f>
        <v>-</v>
      </c>
      <c r="F628" s="102">
        <f>EV!L802</f>
        <v>0</v>
      </c>
      <c r="G628" s="108" t="str">
        <f>IF(H628="ALPHA",PR!$E626,IF(H628="ASSENE",PR!$F626,IF(H628="BIOFEM",PR!$G626,IF(H628="BIOMED",PR!$H626,IF(H628="CHI",PR!$I626,IF(H628="CLARION",PR!$J626,IF(H628="CODIX",PR!$K626,IF(H628="COSMADE",PR!$L626,IF(H628="SANCON",PR!$M626,IF(H628="DEVON",PR!$N626,IF(H628="DORTEMAG",PR!$O626,IF(H628="DGF",PR!$P626,IF(H628="DYNAMIC",PR!$Q626,IF(H628="EMZOR",PR!$R626,IF(H628="EUMATT",PR!$S626,IF(H628="FIDSON",PR!$T626,IF(H628="FCGLOBAL",PR!$U626,IF(H628="GENEITH",PR!$V626,IF(H628="GINOS",PR!$W626,IF(H628="GSK",PR!$X626,IF(H628="GLOBORG",PR!$Y626,IF(H628="GOODNEWS",PR!$Z626,IF(H628="GREENLIFE",PR!$AA626,IF(H628="HLINE",PR!$AB626,IF(H628="ROTECH",PR!$AC626,IF(H628="ISN",PR!$AD626,IF(H628="JAWA",PR!$AE626,IF(H628="LAYO",PR!$AF626,IF(H628="LEADWAY",PR!$AG626,IF(H628="LHV",PR!$AH626,IF(H628="MANOLA",PR!$AI626,IF(H628="MARCSON",PR!$AJ626,IF(H628="M&amp;B",PR!$AK626,IF(H628="MTRUST",PR!$AL626,IF(H628="MWORLD",PR!$AM626,IF(H628="MEGA",PR!$AN626,IF(H628="MICRONOVA",PR!$AO626,IF(H628="MFLASH",PR!$AP626,IF(H628="MORISON",PR!$AQ626,IF(H628="NEMEL",PR!$AR626,IF(H628="NHP",PR!$AS626,IF(H628="NHC",PR!$AT626,IF(H628="OLEAF",PR!$AU626,IF(H628="OCULUS",PR!$AV626,IF(H628="PACIFIC",PR!$AW626,IF(H628="PHAMATEX",PR!$AX626,IF(H628="PETHICS",PR!$AY626,IF(H628="PHILIPS",PR!$AZ626,IF(H628="RANBAXY",PR!$BA626,IF(H628="REALS",PR!$BB626,IF(H628="ROYAL",PR!$BC626,IF(H628="SAM",PR!$BD626,IF(H628="SEAGREEN",PR!$BE626,IF(H628="SKG",PR!$BF626,IF(H628="TAH",PR!$BG626,IF(H628="TAYLEK",PR!$BH626,IF(H628="TEMITA",PR!$BI626,IF(H628="THL",PR!$BJ626,IF(H628="UBASTIC",PR!$BK626,IF(H628="UNION",PR!$BL626,IF(H628="UNIQUE",PR!$BM626,IF(H628="VIXA",PR!$BN626,IF(H628="WWCV",PR!$BO626,IF(H628="ZOLON",PR!$BP626,"-"))))))))))))))))))))))))))))))))))))))))))))))))))))))))))))))))</f>
        <v>-</v>
      </c>
      <c r="H628" s="102">
        <f>EV!M802</f>
        <v>0</v>
      </c>
      <c r="I628" s="108" t="str">
        <f>IF(J628="ALPHA",PR!$E626,IF(J628="ASSENE",PR!$F626,IF(J628="BIOFEM",PR!$G626,IF(J628="BIOMED",PR!$H626,IF(J628="CHI",PR!$I626,IF(J628="CLARION",PR!$J626,IF(J628="CODIX",PR!$K626,IF(J628="COSMADE",PR!$L626,IF(J628="SANCON",PR!$M626,IF(J628="DEVON",PR!$N626,IF(J628="DORTEMAG",PR!$O626,IF(J628="DGF",PR!$P626,IF(J628="DYNAMIC",PR!$Q626,IF(J628="EMZOR",PR!$R626,IF(J628="EUMATT",PR!$S626,IF(J628="FIDSON",PR!$T626,IF(J628="FCGLOBAL",PR!$U626,IF(J628="GENEITH",PR!$V626,IF(J628="GINOS",PR!$W626,IF(J628="GSK",PR!$X626,IF(J628="GLOBORG",PR!$Y626,IF(J628="GOODNEWS",PR!$Z626,IF(J628="GREENLIFE",PR!$AA626,IF(J628="HLINE",PR!$AB626,IF(J628="ROTECH",PR!$AC626,IF(J628="ISN",PR!$AD626,IF(J628="JAWA",PR!$AE626,IF(J628="LAYO",PR!$AF626,IF(J628="LEADWAY",PR!$AG626,IF(J628="LHV",PR!$AH626,IF(J628="MANOLA",PR!$AI626,IF(J628="MARCSON",PR!$AJ626,IF(J628="M&amp;B",PR!$AK626,IF(J628="MTRUST",PR!$AL626,IF(J628="MWORLD",PR!$AM626,IF(J628="MEGA",PR!$AN626,IF(J628="MICRONOVA",PR!$AO626,IF(J628="MFLASH",PR!$AP626,IF(J628="MORISON",PR!$AQ626,IF(J628="NEMEL",PR!$AR626,IF(J628="NHP",PR!$AS626,IF(J628="NHC",PR!$AT626,IF(J628="OLEAF",PR!$AU626,IF(J628="OCULUS",PR!$AV626,IF(J628="PACIFIC",PR!$AW626,IF(J628="PHAMATEX",PR!$AX626,IF(J628="PETHICS",PR!$AY626,IF(J628="PHILIPS",PR!$AZ626,IF(J628="RANBAXY",PR!$BA626,IF(J628="REALS",PR!$BB626,IF(J628="ROYAL",PR!$BC626,IF(J628="SAM",PR!$BD626,IF(J628="SEAGREEN",PR!$BE626,IF(J628="SKG",PR!$BF626,IF(J628="TAH",PR!$BG626,IF(J628="TAYLEK",PR!$BH626,IF(J628="TEMITA",PR!$BI626,IF(J628="THL",PR!$BJ626,IF(J628="UBASTIC",PR!$BK626,IF(J628="UNION",PR!$BL626,IF(J628="UNIQUE",PR!$BM626,IF(J628="VIXA",PR!$BN626,IF(J628="WWCV",PR!$BO626,IF(J628="ZOLON",PR!$BP626,"-"))))))))))))))))))))))))))))))))))))))))))))))))))))))))))))))))</f>
        <v>-</v>
      </c>
      <c r="J628" s="102">
        <f>EV!N802</f>
        <v>0</v>
      </c>
      <c r="K628" s="433"/>
      <c r="L628" s="183" t="b">
        <f>IF(K628&gt;0,IF(K628="ALPHA",PR!$E626,IF(K628="ASSENE",PR!$F626,IF(K628="BIOFEM",PR!$G626,IF(K628="BIOMED",PR!$H626,IF(K628="CHI",PR!$I626,IF(K628="CLARION",PR!$J626,IF(K628="CODIX",PR!$K626,IF(K628="COSMADE",PR!$L626,IF(K628="SANCON",PR!$M626,IF(K628="DEVON",PR!$N626,IF(K628="DORTEMAG",PR!$O626,IF(K628="DGF",PR!$P626,IF(K628="DYNAMIC",PR!$Q626,IF(K628="EMZOR",PR!$R626,IF(K628="EUMATT",PR!$S626,IF(K628="FIDSON",PR!$T626,IF(K628="FCGLOBAL",PR!$U626,IF(K628="GENEITH",PR!$V626,IF(K628="GINOS",PR!$W626,IF(K628="GSK",PR!$X626,IF(K628="GLOBORG",PR!$Y626,IF(K628="GOODNEWS",PR!$Z626,IF(K628="GREENLIFE",PR!$AA626,IF(K628="HLINE",PR!$AB626,IF(K628="ROTECH",PR!$AC626,IF(K628="ISN",PR!$AD626,IF(K628="JAWA",PR!$AE626,IF(K628="LAYO",PR!$AF626,IF(K628="LEADWAY",PR!$AG626,IF(K628="LHV",PR!$AH626,IF(K628="MANOLA",PR!$AI626,IF(K628="MARCSON",PR!$AJ626,IF(K628="M&amp;B",PR!$AK626,IF(K628="MTRUST",PR!$AL626,IF(K628="MWORLD",PR!$AM626,IF(K628="MEGA",PR!$AN626,IF(K628="MICRONOVA",PR!$AO626,IF(K628="MFLASH",PR!$AP626,IF(K628="MORISON",PR!$AQ626,IF(K628="NEMEL",PR!$AR626,IF(K628="NHP",PR!$AS626,IF(K628="NHC",PR!$AT626,IF(K628="OLEAF",PR!$AU626,IF(K628="OCULUS",PR!$AV626,IF(K628="PACIFIC",PR!$AW626,IF(K628="PHAMATEX",PR!$AX626,IF(K628="PETHICS",PR!$AY626,IF(K628="PHILIPS",PR!$AZ626,IF(K628="RANBAXY",PR!$BA626,IF(K628="REALS",PR!$BB626,IF(K628="ROYAL",PR!$BC626,IF(K628="SAM",PR!$BD626,IF(K628="SEAGREEN",PR!$BE626,IF(K628="SKG",PR!$BF626,IF(K628="TAH",PR!$BG626,IF(K628="TAYLEK",PR!$BH626,IF(K628="TEMITA",PR!$BI626,IF(K628="THL",PR!$BJ626,IF(K628="UBASTIC",PR!$BK626,IF(K628="UNION",PR!$BL626,IF(K628="UNIQUE",PR!$BM626,IF(K628="VIXA",PR!$BN626,IF(K628="WWCV",PR!$BO626,IF(K628="ZOLON",PR!$BP626,"-")))))))))))))))))))))))))))))))))))))))))))))))))))))))))))))))))</f>
        <v>0</v>
      </c>
    </row>
    <row r="629" spans="1:12" ht="18.75" x14ac:dyDescent="0.3">
      <c r="A629" s="430">
        <f>PR!A627</f>
        <v>569</v>
      </c>
      <c r="B629" s="15" t="str">
        <f>PR!B627</f>
        <v xml:space="preserve">VINCRISTINE 5MG/5ML INJ </v>
      </c>
      <c r="C629" s="113">
        <f>PR!D627</f>
        <v>10</v>
      </c>
      <c r="D629" s="113">
        <f>PR!C627</f>
        <v>5</v>
      </c>
      <c r="E629" s="108">
        <f>IF(F629="ALPHA",PR!$E627,IF(F629="ASSENE",PR!$F627,IF(F629="BIOFEM",PR!$G627,IF(F629="BIOMED",PR!$H627,IF(F629="CHI",PR!$I627,IF(F629="CLARION",PR!$J627,IF(F629="CODIX",PR!$K627,IF(F629="COSMADE",PR!$L627,IF(F629="SANCON",PR!$M627,IF(F629="DEVON",PR!$N627,IF(F629="DORTEMAG",PR!$O627,IF(F629="DGF",PR!$P627,IF(F629="DYNAMIC",PR!$Q627,IF(F629="EMZOR",PR!$R627,IF(F629="EUMATT",PR!$S627,IF(F629="FIDSON",PR!$T627,IF(F629="FCGLOBAL",PR!$U627,IF(F629="GENEITH",PR!$V627,IF(F629="GINOS",PR!$W627,IF(F629="GSK",PR!$X627,IF(F629="GLOBORG",PR!$Y627,IF(F629="GOODNEWS",PR!$Z627,IF(F629="GREENLIFE",PR!$AA627,IF(F629="HLINE",PR!$AB627,IF(F629="ROTECH",PR!$AC627,IF(F629="ISN",PR!$AD627,IF(F629="JAWA",PR!$AE627,IF(F629="LAYO",PR!$AF627,IF(F629="LEADWAY",PR!$AG627,IF(F629="LHV",PR!$AH627,IF(F629="MANOLA",PR!$AI627,IF(F629="MARCSON",PR!$AJ627,IF(F629="M&amp;B",PR!$AK627,IF(F629="MTRUST",PR!$AL627,IF(F629="MWORLD",PR!$AM627,IF(F629="MEGA",PR!$AN627,IF(F629="MICRONOVA",PR!$AO627,IF(F629="MFLASH",PR!$AP627,IF(F629="MORISON",PR!$AQ627,IF(F629="NEMEL",PR!$AR627,IF(F629="NHP",PR!$AS627,IF(F629="NHC",PR!$AT627,IF(F629="OLEAF",PR!$AU627,IF(F629="OCULUS",PR!$AV627,IF(F629="PACIFIC",PR!$AW627,IF(F629="PHAMATEX",PR!$AX627,IF(F629="PETHICS",PR!$AY627,IF(F629="PHILIPS",PR!$AZ627,IF(F629="RANBAXY",PR!$BA627,IF(F629="REALS",PR!$BB627,IF(F629="ROYAL",PR!$BC627,IF(F629="SAM",PR!$BD627,IF(F629="SEAGREEN",PR!$BE627,IF(F629="SKG",PR!$BF627,IF(F629="TAH",PR!$BG627,IF(F629="TAYLEK",PR!$BH627,IF(F629="TEMITA",PR!$BI627,IF(F629="THL",PR!$BJ627,IF(F629="UBASTIC",PR!$BK627,IF(F629="UNION",PR!$BL627,IF(F629="UNIQUE",PR!$BM627,IF(F629="VIXA",PR!$BN627,IF(F629="WWCV",PR!$BO627,IF(F629="ZOLON",PR!$BP627,"-"))))))))))))))))))))))))))))))))))))))))))))))))))))))))))))))))</f>
        <v>780</v>
      </c>
      <c r="F629" s="102" t="str">
        <f>EV!L803</f>
        <v>MANOLA</v>
      </c>
      <c r="G629" s="108" t="str">
        <f>IF(H629="ALPHA",PR!$E627,IF(H629="ASSENE",PR!$F627,IF(H629="BIOFEM",PR!$G627,IF(H629="BIOMED",PR!$H627,IF(H629="CHI",PR!$I627,IF(H629="CLARION",PR!$J627,IF(H629="CODIX",PR!$K627,IF(H629="COSMADE",PR!$L627,IF(H629="SANCON",PR!$M627,IF(H629="DEVON",PR!$N627,IF(H629="DORTEMAG",PR!$O627,IF(H629="DGF",PR!$P627,IF(H629="DYNAMIC",PR!$Q627,IF(H629="EMZOR",PR!$R627,IF(H629="EUMATT",PR!$S627,IF(H629="FIDSON",PR!$T627,IF(H629="FCGLOBAL",PR!$U627,IF(H629="GENEITH",PR!$V627,IF(H629="GINOS",PR!$W627,IF(H629="GSK",PR!$X627,IF(H629="GLOBORG",PR!$Y627,IF(H629="GOODNEWS",PR!$Z627,IF(H629="GREENLIFE",PR!$AA627,IF(H629="HLINE",PR!$AB627,IF(H629="ROTECH",PR!$AC627,IF(H629="ISN",PR!$AD627,IF(H629="JAWA",PR!$AE627,IF(H629="LAYO",PR!$AF627,IF(H629="LEADWAY",PR!$AG627,IF(H629="LHV",PR!$AH627,IF(H629="MANOLA",PR!$AI627,IF(H629="MARCSON",PR!$AJ627,IF(H629="M&amp;B",PR!$AK627,IF(H629="MTRUST",PR!$AL627,IF(H629="MWORLD",PR!$AM627,IF(H629="MEGA",PR!$AN627,IF(H629="MICRONOVA",PR!$AO627,IF(H629="MFLASH",PR!$AP627,IF(H629="MORISON",PR!$AQ627,IF(H629="NEMEL",PR!$AR627,IF(H629="NHP",PR!$AS627,IF(H629="NHC",PR!$AT627,IF(H629="OLEAF",PR!$AU627,IF(H629="OCULUS",PR!$AV627,IF(H629="PACIFIC",PR!$AW627,IF(H629="PHAMATEX",PR!$AX627,IF(H629="PETHICS",PR!$AY627,IF(H629="PHILIPS",PR!$AZ627,IF(H629="RANBAXY",PR!$BA627,IF(H629="REALS",PR!$BB627,IF(H629="ROYAL",PR!$BC627,IF(H629="SAM",PR!$BD627,IF(H629="SEAGREEN",PR!$BE627,IF(H629="SKG",PR!$BF627,IF(H629="TAH",PR!$BG627,IF(H629="TAYLEK",PR!$BH627,IF(H629="TEMITA",PR!$BI627,IF(H629="THL",PR!$BJ627,IF(H629="UBASTIC",PR!$BK627,IF(H629="UNION",PR!$BL627,IF(H629="UNIQUE",PR!$BM627,IF(H629="VIXA",PR!$BN627,IF(H629="WWCV",PR!$BO627,IF(H629="ZOLON",PR!$BP627,"-"))))))))))))))))))))))))))))))))))))))))))))))))))))))))))))))))</f>
        <v>-</v>
      </c>
      <c r="H629" s="102">
        <f>EV!M803</f>
        <v>0</v>
      </c>
      <c r="I629" s="108" t="str">
        <f>IF(J629="ALPHA",PR!$E627,IF(J629="ASSENE",PR!$F627,IF(J629="BIOFEM",PR!$G627,IF(J629="BIOMED",PR!$H627,IF(J629="CHI",PR!$I627,IF(J629="CLARION",PR!$J627,IF(J629="CODIX",PR!$K627,IF(J629="COSMADE",PR!$L627,IF(J629="SANCON",PR!$M627,IF(J629="DEVON",PR!$N627,IF(J629="DORTEMAG",PR!$O627,IF(J629="DGF",PR!$P627,IF(J629="DYNAMIC",PR!$Q627,IF(J629="EMZOR",PR!$R627,IF(J629="EUMATT",PR!$S627,IF(J629="FIDSON",PR!$T627,IF(J629="FCGLOBAL",PR!$U627,IF(J629="GENEITH",PR!$V627,IF(J629="GINOS",PR!$W627,IF(J629="GSK",PR!$X627,IF(J629="GLOBORG",PR!$Y627,IF(J629="GOODNEWS",PR!$Z627,IF(J629="GREENLIFE",PR!$AA627,IF(J629="HLINE",PR!$AB627,IF(J629="ROTECH",PR!$AC627,IF(J629="ISN",PR!$AD627,IF(J629="JAWA",PR!$AE627,IF(J629="LAYO",PR!$AF627,IF(J629="LEADWAY",PR!$AG627,IF(J629="LHV",PR!$AH627,IF(J629="MANOLA",PR!$AI627,IF(J629="MARCSON",PR!$AJ627,IF(J629="M&amp;B",PR!$AK627,IF(J629="MTRUST",PR!$AL627,IF(J629="MWORLD",PR!$AM627,IF(J629="MEGA",PR!$AN627,IF(J629="MICRONOVA",PR!$AO627,IF(J629="MFLASH",PR!$AP627,IF(J629="MORISON",PR!$AQ627,IF(J629="NEMEL",PR!$AR627,IF(J629="NHP",PR!$AS627,IF(J629="NHC",PR!$AT627,IF(J629="OLEAF",PR!$AU627,IF(J629="OCULUS",PR!$AV627,IF(J629="PACIFIC",PR!$AW627,IF(J629="PHAMATEX",PR!$AX627,IF(J629="PETHICS",PR!$AY627,IF(J629="PHILIPS",PR!$AZ627,IF(J629="RANBAXY",PR!$BA627,IF(J629="REALS",PR!$BB627,IF(J629="ROYAL",PR!$BC627,IF(J629="SAM",PR!$BD627,IF(J629="SEAGREEN",PR!$BE627,IF(J629="SKG",PR!$BF627,IF(J629="TAH",PR!$BG627,IF(J629="TAYLEK",PR!$BH627,IF(J629="TEMITA",PR!$BI627,IF(J629="THL",PR!$BJ627,IF(J629="UBASTIC",PR!$BK627,IF(J629="UNION",PR!$BL627,IF(J629="UNIQUE",PR!$BM627,IF(J629="VIXA",PR!$BN627,IF(J629="WWCV",PR!$BO627,IF(J629="ZOLON",PR!$BP627,"-"))))))))))))))))))))))))))))))))))))))))))))))))))))))))))))))))</f>
        <v>-</v>
      </c>
      <c r="J629" s="102">
        <f>EV!N803</f>
        <v>0</v>
      </c>
      <c r="K629" s="433" t="s">
        <v>820</v>
      </c>
      <c r="L629" s="183">
        <f>IF(K629&gt;0,IF(K629="ALPHA",PR!$E627,IF(K629="ASSENE",PR!$F627,IF(K629="BIOFEM",PR!$G627,IF(K629="BIOMED",PR!$H627,IF(K629="CHI",PR!$I627,IF(K629="CLARION",PR!$J627,IF(K629="CODIX",PR!$K627,IF(K629="COSMADE",PR!$L627,IF(K629="SANCON",PR!$M627,IF(K629="DEVON",PR!$N627,IF(K629="DORTEMAG",PR!$O627,IF(K629="DGF",PR!$P627,IF(K629="DYNAMIC",PR!$Q627,IF(K629="EMZOR",PR!$R627,IF(K629="EUMATT",PR!$S627,IF(K629="FIDSON",PR!$T627,IF(K629="FCGLOBAL",PR!$U627,IF(K629="GENEITH",PR!$V627,IF(K629="GINOS",PR!$W627,IF(K629="GSK",PR!$X627,IF(K629="GLOBORG",PR!$Y627,IF(K629="GOODNEWS",PR!$Z627,IF(K629="GREENLIFE",PR!$AA627,IF(K629="HLINE",PR!$AB627,IF(K629="ROTECH",PR!$AC627,IF(K629="ISN",PR!$AD627,IF(K629="JAWA",PR!$AE627,IF(K629="LAYO",PR!$AF627,IF(K629="LEADWAY",PR!$AG627,IF(K629="LHV",PR!$AH627,IF(K629="MANOLA",PR!$AI627,IF(K629="MARCSON",PR!$AJ627,IF(K629="M&amp;B",PR!$AK627,IF(K629="MTRUST",PR!$AL627,IF(K629="MWORLD",PR!$AM627,IF(K629="MEGA",PR!$AN627,IF(K629="MICRONOVA",PR!$AO627,IF(K629="MFLASH",PR!$AP627,IF(K629="MORISON",PR!$AQ627,IF(K629="NEMEL",PR!$AR627,IF(K629="NHP",PR!$AS627,IF(K629="NHC",PR!$AT627,IF(K629="OLEAF",PR!$AU627,IF(K629="OCULUS",PR!$AV627,IF(K629="PACIFIC",PR!$AW627,IF(K629="PHAMATEX",PR!$AX627,IF(K629="PETHICS",PR!$AY627,IF(K629="PHILIPS",PR!$AZ627,IF(K629="RANBAXY",PR!$BA627,IF(K629="REALS",PR!$BB627,IF(K629="ROYAL",PR!$BC627,IF(K629="SAM",PR!$BD627,IF(K629="SEAGREEN",PR!$BE627,IF(K629="SKG",PR!$BF627,IF(K629="TAH",PR!$BG627,IF(K629="TAYLEK",PR!$BH627,IF(K629="TEMITA",PR!$BI627,IF(K629="THL",PR!$BJ627,IF(K629="UBASTIC",PR!$BK627,IF(K629="UNION",PR!$BL627,IF(K629="UNIQUE",PR!$BM627,IF(K629="VIXA",PR!$BN627,IF(K629="WWCV",PR!$BO627,IF(K629="ZOLON",PR!$BP627,"-")))))))))))))))))))))))))))))))))))))))))))))))))))))))))))))))))</f>
        <v>780</v>
      </c>
    </row>
    <row r="630" spans="1:12" ht="18.75" x14ac:dyDescent="0.3">
      <c r="A630" s="430">
        <f>PR!A628</f>
        <v>0</v>
      </c>
      <c r="B630" s="15">
        <f>PR!B628</f>
        <v>0</v>
      </c>
      <c r="C630" s="113">
        <f>PR!D628</f>
        <v>0</v>
      </c>
      <c r="D630" s="113">
        <f>PR!C628</f>
        <v>0</v>
      </c>
      <c r="E630" s="108" t="str">
        <f>IF(F630="ALPHA",PR!$E628,IF(F630="ASSENE",PR!$F628,IF(F630="BIOFEM",PR!$G628,IF(F630="BIOMED",PR!$H628,IF(F630="CHI",PR!$I628,IF(F630="CLARION",PR!$J628,IF(F630="CODIX",PR!$K628,IF(F630="COSMADE",PR!$L628,IF(F630="SANCON",PR!$M628,IF(F630="DEVON",PR!$N628,IF(F630="DORTEMAG",PR!$O628,IF(F630="DGF",PR!$P628,IF(F630="DYNAMIC",PR!$Q628,IF(F630="EMZOR",PR!$R628,IF(F630="EUMATT",PR!$S628,IF(F630="FIDSON",PR!$T628,IF(F630="FCGLOBAL",PR!$U628,IF(F630="GENEITH",PR!$V628,IF(F630="GINOS",PR!$W628,IF(F630="GSK",PR!$X628,IF(F630="GLOBORG",PR!$Y628,IF(F630="GOODNEWS",PR!$Z628,IF(F630="GREENLIFE",PR!$AA628,IF(F630="HLINE",PR!$AB628,IF(F630="ROTECH",PR!$AC628,IF(F630="ISN",PR!$AD628,IF(F630="JAWA",PR!$AE628,IF(F630="LAYO",PR!$AF628,IF(F630="LEADWAY",PR!$AG628,IF(F630="LHV",PR!$AH628,IF(F630="MANOLA",PR!$AI628,IF(F630="MARCSON",PR!$AJ628,IF(F630="M&amp;B",PR!$AK628,IF(F630="MTRUST",PR!$AL628,IF(F630="MWORLD",PR!$AM628,IF(F630="MEGA",PR!$AN628,IF(F630="MICRONOVA",PR!$AO628,IF(F630="MFLASH",PR!$AP628,IF(F630="MORISON",PR!$AQ628,IF(F630="NEMEL",PR!$AR628,IF(F630="NHP",PR!$AS628,IF(F630="NHC",PR!$AT628,IF(F630="OLEAF",PR!$AU628,IF(F630="OCULUS",PR!$AV628,IF(F630="PACIFIC",PR!$AW628,IF(F630="PHAMATEX",PR!$AX628,IF(F630="PETHICS",PR!$AY628,IF(F630="PHILIPS",PR!$AZ628,IF(F630="RANBAXY",PR!$BA628,IF(F630="REALS",PR!$BB628,IF(F630="ROYAL",PR!$BC628,IF(F630="SAM",PR!$BD628,IF(F630="SEAGREEN",PR!$BE628,IF(F630="SKG",PR!$BF628,IF(F630="TAH",PR!$BG628,IF(F630="TAYLEK",PR!$BH628,IF(F630="TEMITA",PR!$BI628,IF(F630="THL",PR!$BJ628,IF(F630="UBASTIC",PR!$BK628,IF(F630="UNION",PR!$BL628,IF(F630="UNIQUE",PR!$BM628,IF(F630="VIXA",PR!$BN628,IF(F630="WWCV",PR!$BO628,IF(F630="ZOLON",PR!$BP628,"-"))))))))))))))))))))))))))))))))))))))))))))))))))))))))))))))))</f>
        <v>-</v>
      </c>
      <c r="F630" s="102"/>
      <c r="G630" s="108" t="str">
        <f>IF(H630="ALPHA",PR!$E628,IF(H630="ASSENE",PR!$F628,IF(H630="BIOFEM",PR!$G628,IF(H630="BIOMED",PR!$H628,IF(H630="CHI",PR!$I628,IF(H630="CLARION",PR!$J628,IF(H630="CODIX",PR!$K628,IF(H630="COSMADE",PR!$L628,IF(H630="SANCON",PR!$M628,IF(H630="DEVON",PR!$N628,IF(H630="DORTEMAG",PR!$O628,IF(H630="DGF",PR!$P628,IF(H630="DYNAMIC",PR!$Q628,IF(H630="EMZOR",PR!$R628,IF(H630="EUMATT",PR!$S628,IF(H630="FIDSON",PR!$T628,IF(H630="FCGLOBAL",PR!$U628,IF(H630="GENEITH",PR!$V628,IF(H630="GINOS",PR!$W628,IF(H630="GSK",PR!$X628,IF(H630="GLOBORG",PR!$Y628,IF(H630="GOODNEWS",PR!$Z628,IF(H630="GREENLIFE",PR!$AA628,IF(H630="HLINE",PR!$AB628,IF(H630="ROTECH",PR!$AC628,IF(H630="ISN",PR!$AD628,IF(H630="JAWA",PR!$AE628,IF(H630="LAYO",PR!$AF628,IF(H630="LEADWAY",PR!$AG628,IF(H630="LHV",PR!$AH628,IF(H630="MANOLA",PR!$AI628,IF(H630="MARCSON",PR!$AJ628,IF(H630="M&amp;B",PR!$AK628,IF(H630="MTRUST",PR!$AL628,IF(H630="MWORLD",PR!$AM628,IF(H630="MEGA",PR!$AN628,IF(H630="MICRONOVA",PR!$AO628,IF(H630="MFLASH",PR!$AP628,IF(H630="MORISON",PR!$AQ628,IF(H630="NEMEL",PR!$AR628,IF(H630="NHP",PR!$AS628,IF(H630="NHC",PR!$AT628,IF(H630="OLEAF",PR!$AU628,IF(H630="OCULUS",PR!$AV628,IF(H630="PACIFIC",PR!$AW628,IF(H630="PHAMATEX",PR!$AX628,IF(H630="PETHICS",PR!$AY628,IF(H630="PHILIPS",PR!$AZ628,IF(H630="RANBAXY",PR!$BA628,IF(H630="REALS",PR!$BB628,IF(H630="ROYAL",PR!$BC628,IF(H630="SAM",PR!$BD628,IF(H630="SEAGREEN",PR!$BE628,IF(H630="SKG",PR!$BF628,IF(H630="TAH",PR!$BG628,IF(H630="TAYLEK",PR!$BH628,IF(H630="TEMITA",PR!$BI628,IF(H630="THL",PR!$BJ628,IF(H630="UBASTIC",PR!$BK628,IF(H630="UNION",PR!$BL628,IF(H630="UNIQUE",PR!$BM628,IF(H630="VIXA",PR!$BN628,IF(H630="WWCV",PR!$BO628,IF(H630="ZOLON",PR!$BP628,"-"))))))))))))))))))))))))))))))))))))))))))))))))))))))))))))))))</f>
        <v>-</v>
      </c>
      <c r="H630" s="102"/>
      <c r="I630" s="108" t="str">
        <f>IF(J630="ALPHA",PR!$E628,IF(J630="ASSENE",PR!$F628,IF(J630="BIOFEM",PR!$G628,IF(J630="BIOMED",PR!$H628,IF(J630="CHI",PR!$I628,IF(J630="CLARION",PR!$J628,IF(J630="CODIX",PR!$K628,IF(J630="COSMADE",PR!$L628,IF(J630="SANCON",PR!$M628,IF(J630="DEVON",PR!$N628,IF(J630="DORTEMAG",PR!$O628,IF(J630="DGF",PR!$P628,IF(J630="DYNAMIC",PR!$Q628,IF(J630="EMZOR",PR!$R628,IF(J630="EUMATT",PR!$S628,IF(J630="FIDSON",PR!$T628,IF(J630="FCGLOBAL",PR!$U628,IF(J630="GENEITH",PR!$V628,IF(J630="GINOS",PR!$W628,IF(J630="GSK",PR!$X628,IF(J630="GLOBORG",PR!$Y628,IF(J630="GOODNEWS",PR!$Z628,IF(J630="GREENLIFE",PR!$AA628,IF(J630="HLINE",PR!$AB628,IF(J630="ROTECH",PR!$AC628,IF(J630="ISN",PR!$AD628,IF(J630="JAWA",PR!$AE628,IF(J630="LAYO",PR!$AF628,IF(J630="LEADWAY",PR!$AG628,IF(J630="LHV",PR!$AH628,IF(J630="MANOLA",PR!$AI628,IF(J630="MARCSON",PR!$AJ628,IF(J630="M&amp;B",PR!$AK628,IF(J630="MTRUST",PR!$AL628,IF(J630="MWORLD",PR!$AM628,IF(J630="MEGA",PR!$AN628,IF(J630="MICRONOVA",PR!$AO628,IF(J630="MFLASH",PR!$AP628,IF(J630="MORISON",PR!$AQ628,IF(J630="NEMEL",PR!$AR628,IF(J630="NHP",PR!$AS628,IF(J630="NHC",PR!$AT628,IF(J630="OLEAF",PR!$AU628,IF(J630="OCULUS",PR!$AV628,IF(J630="PACIFIC",PR!$AW628,IF(J630="PHAMATEX",PR!$AX628,IF(J630="PETHICS",PR!$AY628,IF(J630="PHILIPS",PR!$AZ628,IF(J630="RANBAXY",PR!$BA628,IF(J630="REALS",PR!$BB628,IF(J630="ROYAL",PR!$BC628,IF(J630="SAM",PR!$BD628,IF(J630="SEAGREEN",PR!$BE628,IF(J630="SKG",PR!$BF628,IF(J630="TAH",PR!$BG628,IF(J630="TAYLEK",PR!$BH628,IF(J630="TEMITA",PR!$BI628,IF(J630="THL",PR!$BJ628,IF(J630="UBASTIC",PR!$BK628,IF(J630="UNION",PR!$BL628,IF(J630="UNIQUE",PR!$BM628,IF(J630="VIXA",PR!$BN628,IF(J630="WWCV",PR!$BO628,IF(J630="ZOLON",PR!$BP628,"-"))))))))))))))))))))))))))))))))))))))))))))))))))))))))))))))))</f>
        <v>-</v>
      </c>
      <c r="J630" s="102"/>
      <c r="K630" s="433"/>
      <c r="L630" s="183" t="b">
        <f>IF(K630&gt;0,IF(K630="ALPHA",PR!$E628,IF(K630="ASSENE",PR!$F628,IF(K630="BIOFEM",PR!$G628,IF(K630="BIOMED",PR!$H628,IF(K630="CHI",PR!$I628,IF(K630="CLARION",PR!$J628,IF(K630="CODIX",PR!$K628,IF(K630="COSMADE",PR!$L628,IF(K630="SANCON",PR!$M628,IF(K630="DEVON",PR!$N628,IF(K630="DORTEMAG",PR!$O628,IF(K630="DGF",PR!$P628,IF(K630="DYNAMIC",PR!$Q628,IF(K630="EMZOR",PR!$R628,IF(K630="EUMATT",PR!$S628,IF(K630="FIDSON",PR!$T628,IF(K630="FCGLOBAL",PR!$U628,IF(K630="GENEITH",PR!$V628,IF(K630="GINOS",PR!$W628,IF(K630="GSK",PR!$X628,IF(K630="GLOBORG",PR!$Y628,IF(K630="GOODNEWS",PR!$Z628,IF(K630="GREENLIFE",PR!$AA628,IF(K630="HLINE",PR!$AB628,IF(K630="ROTECH",PR!$AC628,IF(K630="ISN",PR!$AD628,IF(K630="JAWA",PR!$AE628,IF(K630="LAYO",PR!$AF628,IF(K630="LEADWAY",PR!$AG628,IF(K630="LHV",PR!$AH628,IF(K630="MANOLA",PR!$AI628,IF(K630="MARCSON",PR!$AJ628,IF(K630="M&amp;B",PR!$AK628,IF(K630="MTRUST",PR!$AL628,IF(K630="MWORLD",PR!$AM628,IF(K630="MEGA",PR!$AN628,IF(K630="MICRONOVA",PR!$AO628,IF(K630="MFLASH",PR!$AP628,IF(K630="MORISON",PR!$AQ628,IF(K630="NEMEL",PR!$AR628,IF(K630="NHP",PR!$AS628,IF(K630="NHC",PR!$AT628,IF(K630="OLEAF",PR!$AU628,IF(K630="OCULUS",PR!$AV628,IF(K630="PACIFIC",PR!$AW628,IF(K630="PHAMATEX",PR!$AX628,IF(K630="PETHICS",PR!$AY628,IF(K630="PHILIPS",PR!$AZ628,IF(K630="RANBAXY",PR!$BA628,IF(K630="REALS",PR!$BB628,IF(K630="ROYAL",PR!$BC628,IF(K630="SAM",PR!$BD628,IF(K630="SEAGREEN",PR!$BE628,IF(K630="SKG",PR!$BF628,IF(K630="TAH",PR!$BG628,IF(K630="TAYLEK",PR!$BH628,IF(K630="TEMITA",PR!$BI628,IF(K630="THL",PR!$BJ628,IF(K630="UBASTIC",PR!$BK628,IF(K630="UNION",PR!$BL628,IF(K630="UNIQUE",PR!$BM628,IF(K630="VIXA",PR!$BN628,IF(K630="WWCV",PR!$BO628,IF(K630="ZOLON",PR!$BP628,"-")))))))))))))))))))))))))))))))))))))))))))))))))))))))))))))))))</f>
        <v>0</v>
      </c>
    </row>
    <row r="631" spans="1:12" ht="18.75" x14ac:dyDescent="0.3">
      <c r="A631" s="430">
        <f>PR!A629</f>
        <v>0</v>
      </c>
      <c r="B631" s="15">
        <f>PR!B629</f>
        <v>0</v>
      </c>
      <c r="C631" s="113">
        <f>PR!D629</f>
        <v>0</v>
      </c>
      <c r="D631" s="113">
        <f>PR!C629</f>
        <v>0</v>
      </c>
      <c r="E631" s="108" t="str">
        <f>IF(F631="ALPHA",PR!$E629,IF(F631="ASSENE",PR!$F629,IF(F631="BIOFEM",PR!$G629,IF(F631="BIOMED",PR!$H629,IF(F631="CHI",PR!$I629,IF(F631="CLARION",PR!$J629,IF(F631="CODIX",PR!$K629,IF(F631="COSMADE",PR!$L629,IF(F631="SANCON",PR!$M629,IF(F631="DEVON",PR!$N629,IF(F631="DORTEMAG",PR!$O629,IF(F631="DGF",PR!$P629,IF(F631="DYNAMIC",PR!$Q629,IF(F631="EMZOR",PR!$R629,IF(F631="EUMATT",PR!$S629,IF(F631="FIDSON",PR!$T629,IF(F631="FCGLOBAL",PR!$U629,IF(F631="GENEITH",PR!$V629,IF(F631="GINOS",PR!$W629,IF(F631="GSK",PR!$X629,IF(F631="GLOBORG",PR!$Y629,IF(F631="GOODNEWS",PR!$Z629,IF(F631="GREENLIFE",PR!$AA629,IF(F631="HLINE",PR!$AB629,IF(F631="ROTECH",PR!$AC629,IF(F631="ISN",PR!$AD629,IF(F631="JAWA",PR!$AE629,IF(F631="LAYO",PR!$AF629,IF(F631="LEADWAY",PR!$AG629,IF(F631="LHV",PR!$AH629,IF(F631="MANOLA",PR!$AI629,IF(F631="MARCSON",PR!$AJ629,IF(F631="M&amp;B",PR!$AK629,IF(F631="MTRUST",PR!$AL629,IF(F631="MWORLD",PR!$AM629,IF(F631="MEGA",PR!$AN629,IF(F631="MICRONOVA",PR!$AO629,IF(F631="MFLASH",PR!$AP629,IF(F631="MORISON",PR!$AQ629,IF(F631="NEMEL",PR!$AR629,IF(F631="NHP",PR!$AS629,IF(F631="NHC",PR!$AT629,IF(F631="OLEAF",PR!$AU629,IF(F631="OCULUS",PR!$AV629,IF(F631="PACIFIC",PR!$AW629,IF(F631="PHAMATEX",PR!$AX629,IF(F631="PETHICS",PR!$AY629,IF(F631="PHILIPS",PR!$AZ629,IF(F631="RANBAXY",PR!$BA629,IF(F631="REALS",PR!$BB629,IF(F631="ROYAL",PR!$BC629,IF(F631="SAM",PR!$BD629,IF(F631="SEAGREEN",PR!$BE629,IF(F631="SKG",PR!$BF629,IF(F631="TAH",PR!$BG629,IF(F631="TAYLEK",PR!$BH629,IF(F631="TEMITA",PR!$BI629,IF(F631="THL",PR!$BJ629,IF(F631="UBASTIC",PR!$BK629,IF(F631="UNION",PR!$BL629,IF(F631="UNIQUE",PR!$BM629,IF(F631="VIXA",PR!$BN629,IF(F631="WWCV",PR!$BO629,IF(F631="ZOLON",PR!$BP629,"-"))))))))))))))))))))))))))))))))))))))))))))))))))))))))))))))))</f>
        <v>-</v>
      </c>
      <c r="F631" s="102"/>
      <c r="G631" s="108" t="str">
        <f>IF(H631="ALPHA",PR!$E629,IF(H631="ASSENE",PR!$F629,IF(H631="BIOFEM",PR!$G629,IF(H631="BIOMED",PR!$H629,IF(H631="CHI",PR!$I629,IF(H631="CLARION",PR!$J629,IF(H631="CODIX",PR!$K629,IF(H631="COSMADE",PR!$L629,IF(H631="SANCON",PR!$M629,IF(H631="DEVON",PR!$N629,IF(H631="DORTEMAG",PR!$O629,IF(H631="DGF",PR!$P629,IF(H631="DYNAMIC",PR!$Q629,IF(H631="EMZOR",PR!$R629,IF(H631="EUMATT",PR!$S629,IF(H631="FIDSON",PR!$T629,IF(H631="FCGLOBAL",PR!$U629,IF(H631="GENEITH",PR!$V629,IF(H631="GINOS",PR!$W629,IF(H631="GSK",PR!$X629,IF(H631="GLOBORG",PR!$Y629,IF(H631="GOODNEWS",PR!$Z629,IF(H631="GREENLIFE",PR!$AA629,IF(H631="HLINE",PR!$AB629,IF(H631="ROTECH",PR!$AC629,IF(H631="ISN",PR!$AD629,IF(H631="JAWA",PR!$AE629,IF(H631="LAYO",PR!$AF629,IF(H631="LEADWAY",PR!$AG629,IF(H631="LHV",PR!$AH629,IF(H631="MANOLA",PR!$AI629,IF(H631="MARCSON",PR!$AJ629,IF(H631="M&amp;B",PR!$AK629,IF(H631="MTRUST",PR!$AL629,IF(H631="MWORLD",PR!$AM629,IF(H631="MEGA",PR!$AN629,IF(H631="MICRONOVA",PR!$AO629,IF(H631="MFLASH",PR!$AP629,IF(H631="MORISON",PR!$AQ629,IF(H631="NEMEL",PR!$AR629,IF(H631="NHP",PR!$AS629,IF(H631="NHC",PR!$AT629,IF(H631="OLEAF",PR!$AU629,IF(H631="OCULUS",PR!$AV629,IF(H631="PACIFIC",PR!$AW629,IF(H631="PHAMATEX",PR!$AX629,IF(H631="PETHICS",PR!$AY629,IF(H631="PHILIPS",PR!$AZ629,IF(H631="RANBAXY",PR!$BA629,IF(H631="REALS",PR!$BB629,IF(H631="ROYAL",PR!$BC629,IF(H631="SAM",PR!$BD629,IF(H631="SEAGREEN",PR!$BE629,IF(H631="SKG",PR!$BF629,IF(H631="TAH",PR!$BG629,IF(H631="TAYLEK",PR!$BH629,IF(H631="TEMITA",PR!$BI629,IF(H631="THL",PR!$BJ629,IF(H631="UBASTIC",PR!$BK629,IF(H631="UNION",PR!$BL629,IF(H631="UNIQUE",PR!$BM629,IF(H631="VIXA",PR!$BN629,IF(H631="WWCV",PR!$BO629,IF(H631="ZOLON",PR!$BP629,"-"))))))))))))))))))))))))))))))))))))))))))))))))))))))))))))))))</f>
        <v>-</v>
      </c>
      <c r="H631" s="102"/>
      <c r="I631" s="108" t="str">
        <f>IF(J631="ALPHA",PR!$E629,IF(J631="ASSENE",PR!$F629,IF(J631="BIOFEM",PR!$G629,IF(J631="BIOMED",PR!$H629,IF(J631="CHI",PR!$I629,IF(J631="CLARION",PR!$J629,IF(J631="CODIX",PR!$K629,IF(J631="COSMADE",PR!$L629,IF(J631="SANCON",PR!$M629,IF(J631="DEVON",PR!$N629,IF(J631="DORTEMAG",PR!$O629,IF(J631="DGF",PR!$P629,IF(J631="DYNAMIC",PR!$Q629,IF(J631="EMZOR",PR!$R629,IF(J631="EUMATT",PR!$S629,IF(J631="FIDSON",PR!$T629,IF(J631="FCGLOBAL",PR!$U629,IF(J631="GENEITH",PR!$V629,IF(J631="GINOS",PR!$W629,IF(J631="GSK",PR!$X629,IF(J631="GLOBORG",PR!$Y629,IF(J631="GOODNEWS",PR!$Z629,IF(J631="GREENLIFE",PR!$AA629,IF(J631="HLINE",PR!$AB629,IF(J631="ROTECH",PR!$AC629,IF(J631="ISN",PR!$AD629,IF(J631="JAWA",PR!$AE629,IF(J631="LAYO",PR!$AF629,IF(J631="LEADWAY",PR!$AG629,IF(J631="LHV",PR!$AH629,IF(J631="MANOLA",PR!$AI629,IF(J631="MARCSON",PR!$AJ629,IF(J631="M&amp;B",PR!$AK629,IF(J631="MTRUST",PR!$AL629,IF(J631="MWORLD",PR!$AM629,IF(J631="MEGA",PR!$AN629,IF(J631="MICRONOVA",PR!$AO629,IF(J631="MFLASH",PR!$AP629,IF(J631="MORISON",PR!$AQ629,IF(J631="NEMEL",PR!$AR629,IF(J631="NHP",PR!$AS629,IF(J631="NHC",PR!$AT629,IF(J631="OLEAF",PR!$AU629,IF(J631="OCULUS",PR!$AV629,IF(J631="PACIFIC",PR!$AW629,IF(J631="PHAMATEX",PR!$AX629,IF(J631="PETHICS",PR!$AY629,IF(J631="PHILIPS",PR!$AZ629,IF(J631="RANBAXY",PR!$BA629,IF(J631="REALS",PR!$BB629,IF(J631="ROYAL",PR!$BC629,IF(J631="SAM",PR!$BD629,IF(J631="SEAGREEN",PR!$BE629,IF(J631="SKG",PR!$BF629,IF(J631="TAH",PR!$BG629,IF(J631="TAYLEK",PR!$BH629,IF(J631="TEMITA",PR!$BI629,IF(J631="THL",PR!$BJ629,IF(J631="UBASTIC",PR!$BK629,IF(J631="UNION",PR!$BL629,IF(J631="UNIQUE",PR!$BM629,IF(J631="VIXA",PR!$BN629,IF(J631="WWCV",PR!$BO629,IF(J631="ZOLON",PR!$BP629,"-"))))))))))))))))))))))))))))))))))))))))))))))))))))))))))))))))</f>
        <v>-</v>
      </c>
      <c r="J631" s="102"/>
      <c r="K631" s="433"/>
      <c r="L631" s="183" t="b">
        <f>IF(K631&gt;0,IF(K631="ALPHA",PR!$E629,IF(K631="ASSENE",PR!$F629,IF(K631="BIOFEM",PR!$G629,IF(K631="BIOMED",PR!$H629,IF(K631="CHI",PR!$I629,IF(K631="CLARION",PR!$J629,IF(K631="CODIX",PR!$K629,IF(K631="COSMADE",PR!$L629,IF(K631="SANCON",PR!$M629,IF(K631="DEVON",PR!$N629,IF(K631="DORTEMAG",PR!$O629,IF(K631="DGF",PR!$P629,IF(K631="DYNAMIC",PR!$Q629,IF(K631="EMZOR",PR!$R629,IF(K631="EUMATT",PR!$S629,IF(K631="FIDSON",PR!$T629,IF(K631="FCGLOBAL",PR!$U629,IF(K631="GENEITH",PR!$V629,IF(K631="GINOS",PR!$W629,IF(K631="GSK",PR!$X629,IF(K631="GLOBORG",PR!$Y629,IF(K631="GOODNEWS",PR!$Z629,IF(K631="GREENLIFE",PR!$AA629,IF(K631="HLINE",PR!$AB629,IF(K631="ROTECH",PR!$AC629,IF(K631="ISN",PR!$AD629,IF(K631="JAWA",PR!$AE629,IF(K631="LAYO",PR!$AF629,IF(K631="LEADWAY",PR!$AG629,IF(K631="LHV",PR!$AH629,IF(K631="MANOLA",PR!$AI629,IF(K631="MARCSON",PR!$AJ629,IF(K631="M&amp;B",PR!$AK629,IF(K631="MTRUST",PR!$AL629,IF(K631="MWORLD",PR!$AM629,IF(K631="MEGA",PR!$AN629,IF(K631="MICRONOVA",PR!$AO629,IF(K631="MFLASH",PR!$AP629,IF(K631="MORISON",PR!$AQ629,IF(K631="NEMEL",PR!$AR629,IF(K631="NHP",PR!$AS629,IF(K631="NHC",PR!$AT629,IF(K631="OLEAF",PR!$AU629,IF(K631="OCULUS",PR!$AV629,IF(K631="PACIFIC",PR!$AW629,IF(K631="PHAMATEX",PR!$AX629,IF(K631="PETHICS",PR!$AY629,IF(K631="PHILIPS",PR!$AZ629,IF(K631="RANBAXY",PR!$BA629,IF(K631="REALS",PR!$BB629,IF(K631="ROYAL",PR!$BC629,IF(K631="SAM",PR!$BD629,IF(K631="SEAGREEN",PR!$BE629,IF(K631="SKG",PR!$BF629,IF(K631="TAH",PR!$BG629,IF(K631="TAYLEK",PR!$BH629,IF(K631="TEMITA",PR!$BI629,IF(K631="THL",PR!$BJ629,IF(K631="UBASTIC",PR!$BK629,IF(K631="UNION",PR!$BL629,IF(K631="UNIQUE",PR!$BM629,IF(K631="VIXA",PR!$BN629,IF(K631="WWCV",PR!$BO629,IF(K631="ZOLON",PR!$BP629,"-")))))))))))))))))))))))))))))))))))))))))))))))))))))))))))))))))</f>
        <v>0</v>
      </c>
    </row>
    <row r="632" spans="1:12" ht="18.75" x14ac:dyDescent="0.3">
      <c r="A632" s="430" t="str">
        <f>PR!A630</f>
        <v>LOT 13</v>
      </c>
      <c r="B632" s="15" t="str">
        <f>PR!B630</f>
        <v>DRESSINGS/CONSUMABLES/DISINFECTANTS/OTHERS</v>
      </c>
      <c r="C632" s="113">
        <f>PR!D630</f>
        <v>0</v>
      </c>
      <c r="D632" s="113">
        <f>PR!C630</f>
        <v>0</v>
      </c>
      <c r="E632" s="108" t="str">
        <f>IF(F632="ALPHA",PR!$E630,IF(F632="ASSENE",PR!$F630,IF(F632="BIOFEM",PR!$G630,IF(F632="BIOMED",PR!$H630,IF(F632="CHI",PR!$I630,IF(F632="CLARION",PR!$J630,IF(F632="CODIX",PR!$K630,IF(F632="COSMADE",PR!$L630,IF(F632="SANCON",PR!$M630,IF(F632="DEVON",PR!$N630,IF(F632="DORTEMAG",PR!$O630,IF(F632="DGF",PR!$P630,IF(F632="DYNAMIC",PR!$Q630,IF(F632="EMZOR",PR!$R630,IF(F632="EUMATT",PR!$S630,IF(F632="FIDSON",PR!$T630,IF(F632="FCGLOBAL",PR!$U630,IF(F632="GENEITH",PR!$V630,IF(F632="GINOS",PR!$W630,IF(F632="GSK",PR!$X630,IF(F632="GLOBORG",PR!$Y630,IF(F632="GOODNEWS",PR!$Z630,IF(F632="GREENLIFE",PR!$AA630,IF(F632="HLINE",PR!$AB630,IF(F632="ROTECH",PR!$AC630,IF(F632="ISN",PR!$AD630,IF(F632="JAWA",PR!$AE630,IF(F632="LAYO",PR!$AF630,IF(F632="LEADWAY",PR!$AG630,IF(F632="LHV",PR!$AH630,IF(F632="MANOLA",PR!$AI630,IF(F632="MARCSON",PR!$AJ630,IF(F632="M&amp;B",PR!$AK630,IF(F632="MTRUST",PR!$AL630,IF(F632="MWORLD",PR!$AM630,IF(F632="MEGA",PR!$AN630,IF(F632="MICRONOVA",PR!$AO630,IF(F632="MFLASH",PR!$AP630,IF(F632="MORISON",PR!$AQ630,IF(F632="NEMEL",PR!$AR630,IF(F632="NHP",PR!$AS630,IF(F632="NHC",PR!$AT630,IF(F632="OLEAF",PR!$AU630,IF(F632="OCULUS",PR!$AV630,IF(F632="PACIFIC",PR!$AW630,IF(F632="PHAMATEX",PR!$AX630,IF(F632="PETHICS",PR!$AY630,IF(F632="PHILIPS",PR!$AZ630,IF(F632="RANBAXY",PR!$BA630,IF(F632="REALS",PR!$BB630,IF(F632="ROYAL",PR!$BC630,IF(F632="SAM",PR!$BD630,IF(F632="SEAGREEN",PR!$BE630,IF(F632="SKG",PR!$BF630,IF(F632="TAH",PR!$BG630,IF(F632="TAYLEK",PR!$BH630,IF(F632="TEMITA",PR!$BI630,IF(F632="THL",PR!$BJ630,IF(F632="UBASTIC",PR!$BK630,IF(F632="UNION",PR!$BL630,IF(F632="UNIQUE",PR!$BM630,IF(F632="VIXA",PR!$BN630,IF(F632="WWCV",PR!$BO630,IF(F632="ZOLON",PR!$BP630,"-"))))))))))))))))))))))))))))))))))))))))))))))))))))))))))))))))</f>
        <v>-</v>
      </c>
      <c r="F632" s="102"/>
      <c r="G632" s="108" t="str">
        <f>IF(H632="ALPHA",PR!$E630,IF(H632="ASSENE",PR!$F630,IF(H632="BIOFEM",PR!$G630,IF(H632="BIOMED",PR!$H630,IF(H632="CHI",PR!$I630,IF(H632="CLARION",PR!$J630,IF(H632="CODIX",PR!$K630,IF(H632="COSMADE",PR!$L630,IF(H632="SANCON",PR!$M630,IF(H632="DEVON",PR!$N630,IF(H632="DORTEMAG",PR!$O630,IF(H632="DGF",PR!$P630,IF(H632="DYNAMIC",PR!$Q630,IF(H632="EMZOR",PR!$R630,IF(H632="EUMATT",PR!$S630,IF(H632="FIDSON",PR!$T630,IF(H632="FCGLOBAL",PR!$U630,IF(H632="GENEITH",PR!$V630,IF(H632="GINOS",PR!$W630,IF(H632="GSK",PR!$X630,IF(H632="GLOBORG",PR!$Y630,IF(H632="GOODNEWS",PR!$Z630,IF(H632="GREENLIFE",PR!$AA630,IF(H632="HLINE",PR!$AB630,IF(H632="ROTECH",PR!$AC630,IF(H632="ISN",PR!$AD630,IF(H632="JAWA",PR!$AE630,IF(H632="LAYO",PR!$AF630,IF(H632="LEADWAY",PR!$AG630,IF(H632="LHV",PR!$AH630,IF(H632="MANOLA",PR!$AI630,IF(H632="MARCSON",PR!$AJ630,IF(H632="M&amp;B",PR!$AK630,IF(H632="MTRUST",PR!$AL630,IF(H632="MWORLD",PR!$AM630,IF(H632="MEGA",PR!$AN630,IF(H632="MICRONOVA",PR!$AO630,IF(H632="MFLASH",PR!$AP630,IF(H632="MORISON",PR!$AQ630,IF(H632="NEMEL",PR!$AR630,IF(H632="NHP",PR!$AS630,IF(H632="NHC",PR!$AT630,IF(H632="OLEAF",PR!$AU630,IF(H632="OCULUS",PR!$AV630,IF(H632="PACIFIC",PR!$AW630,IF(H632="PHAMATEX",PR!$AX630,IF(H632="PETHICS",PR!$AY630,IF(H632="PHILIPS",PR!$AZ630,IF(H632="RANBAXY",PR!$BA630,IF(H632="REALS",PR!$BB630,IF(H632="ROYAL",PR!$BC630,IF(H632="SAM",PR!$BD630,IF(H632="SEAGREEN",PR!$BE630,IF(H632="SKG",PR!$BF630,IF(H632="TAH",PR!$BG630,IF(H632="TAYLEK",PR!$BH630,IF(H632="TEMITA",PR!$BI630,IF(H632="THL",PR!$BJ630,IF(H632="UBASTIC",PR!$BK630,IF(H632="UNION",PR!$BL630,IF(H632="UNIQUE",PR!$BM630,IF(H632="VIXA",PR!$BN630,IF(H632="WWCV",PR!$BO630,IF(H632="ZOLON",PR!$BP630,"-"))))))))))))))))))))))))))))))))))))))))))))))))))))))))))))))))</f>
        <v>-</v>
      </c>
      <c r="H632" s="102"/>
      <c r="I632" s="108" t="str">
        <f>IF(J632="ALPHA",PR!$E630,IF(J632="ASSENE",PR!$F630,IF(J632="BIOFEM",PR!$G630,IF(J632="BIOMED",PR!$H630,IF(J632="CHI",PR!$I630,IF(J632="CLARION",PR!$J630,IF(J632="CODIX",PR!$K630,IF(J632="COSMADE",PR!$L630,IF(J632="SANCON",PR!$M630,IF(J632="DEVON",PR!$N630,IF(J632="DORTEMAG",PR!$O630,IF(J632="DGF",PR!$P630,IF(J632="DYNAMIC",PR!$Q630,IF(J632="EMZOR",PR!$R630,IF(J632="EUMATT",PR!$S630,IF(J632="FIDSON",PR!$T630,IF(J632="FCGLOBAL",PR!$U630,IF(J632="GENEITH",PR!$V630,IF(J632="GINOS",PR!$W630,IF(J632="GSK",PR!$X630,IF(J632="GLOBORG",PR!$Y630,IF(J632="GOODNEWS",PR!$Z630,IF(J632="GREENLIFE",PR!$AA630,IF(J632="HLINE",PR!$AB630,IF(J632="ROTECH",PR!$AC630,IF(J632="ISN",PR!$AD630,IF(J632="JAWA",PR!$AE630,IF(J632="LAYO",PR!$AF630,IF(J632="LEADWAY",PR!$AG630,IF(J632="LHV",PR!$AH630,IF(J632="MANOLA",PR!$AI630,IF(J632="MARCSON",PR!$AJ630,IF(J632="M&amp;B",PR!$AK630,IF(J632="MTRUST",PR!$AL630,IF(J632="MWORLD",PR!$AM630,IF(J632="MEGA",PR!$AN630,IF(J632="MICRONOVA",PR!$AO630,IF(J632="MFLASH",PR!$AP630,IF(J632="MORISON",PR!$AQ630,IF(J632="NEMEL",PR!$AR630,IF(J632="NHP",PR!$AS630,IF(J632="NHC",PR!$AT630,IF(J632="OLEAF",PR!$AU630,IF(J632="OCULUS",PR!$AV630,IF(J632="PACIFIC",PR!$AW630,IF(J632="PHAMATEX",PR!$AX630,IF(J632="PETHICS",PR!$AY630,IF(J632="PHILIPS",PR!$AZ630,IF(J632="RANBAXY",PR!$BA630,IF(J632="REALS",PR!$BB630,IF(J632="ROYAL",PR!$BC630,IF(J632="SAM",PR!$BD630,IF(J632="SEAGREEN",PR!$BE630,IF(J632="SKG",PR!$BF630,IF(J632="TAH",PR!$BG630,IF(J632="TAYLEK",PR!$BH630,IF(J632="TEMITA",PR!$BI630,IF(J632="THL",PR!$BJ630,IF(J632="UBASTIC",PR!$BK630,IF(J632="UNION",PR!$BL630,IF(J632="UNIQUE",PR!$BM630,IF(J632="VIXA",PR!$BN630,IF(J632="WWCV",PR!$BO630,IF(J632="ZOLON",PR!$BP630,"-"))))))))))))))))))))))))))))))))))))))))))))))))))))))))))))))))</f>
        <v>-</v>
      </c>
      <c r="J632" s="102"/>
      <c r="K632" s="433"/>
      <c r="L632" s="183" t="b">
        <f>IF(K632&gt;0,IF(K632="ALPHA",PR!$E630,IF(K632="ASSENE",PR!$F630,IF(K632="BIOFEM",PR!$G630,IF(K632="BIOMED",PR!$H630,IF(K632="CHI",PR!$I630,IF(K632="CLARION",PR!$J630,IF(K632="CODIX",PR!$K630,IF(K632="COSMADE",PR!$L630,IF(K632="SANCON",PR!$M630,IF(K632="DEVON",PR!$N630,IF(K632="DORTEMAG",PR!$O630,IF(K632="DGF",PR!$P630,IF(K632="DYNAMIC",PR!$Q630,IF(K632="EMZOR",PR!$R630,IF(K632="EUMATT",PR!$S630,IF(K632="FIDSON",PR!$T630,IF(K632="FCGLOBAL",PR!$U630,IF(K632="GENEITH",PR!$V630,IF(K632="GINOS",PR!$W630,IF(K632="GSK",PR!$X630,IF(K632="GLOBORG",PR!$Y630,IF(K632="GOODNEWS",PR!$Z630,IF(K632="GREENLIFE",PR!$AA630,IF(K632="HLINE",PR!$AB630,IF(K632="ROTECH",PR!$AC630,IF(K632="ISN",PR!$AD630,IF(K632="JAWA",PR!$AE630,IF(K632="LAYO",PR!$AF630,IF(K632="LEADWAY",PR!$AG630,IF(K632="LHV",PR!$AH630,IF(K632="MANOLA",PR!$AI630,IF(K632="MARCSON",PR!$AJ630,IF(K632="M&amp;B",PR!$AK630,IF(K632="MTRUST",PR!$AL630,IF(K632="MWORLD",PR!$AM630,IF(K632="MEGA",PR!$AN630,IF(K632="MICRONOVA",PR!$AO630,IF(K632="MFLASH",PR!$AP630,IF(K632="MORISON",PR!$AQ630,IF(K632="NEMEL",PR!$AR630,IF(K632="NHP",PR!$AS630,IF(K632="NHC",PR!$AT630,IF(K632="OLEAF",PR!$AU630,IF(K632="OCULUS",PR!$AV630,IF(K632="PACIFIC",PR!$AW630,IF(K632="PHAMATEX",PR!$AX630,IF(K632="PETHICS",PR!$AY630,IF(K632="PHILIPS",PR!$AZ630,IF(K632="RANBAXY",PR!$BA630,IF(K632="REALS",PR!$BB630,IF(K632="ROYAL",PR!$BC630,IF(K632="SAM",PR!$BD630,IF(K632="SEAGREEN",PR!$BE630,IF(K632="SKG",PR!$BF630,IF(K632="TAH",PR!$BG630,IF(K632="TAYLEK",PR!$BH630,IF(K632="TEMITA",PR!$BI630,IF(K632="THL",PR!$BJ630,IF(K632="UBASTIC",PR!$BK630,IF(K632="UNION",PR!$BL630,IF(K632="UNIQUE",PR!$BM630,IF(K632="VIXA",PR!$BN630,IF(K632="WWCV",PR!$BO630,IF(K632="ZOLON",PR!$BP630,"-")))))))))))))))))))))))))))))))))))))))))))))))))))))))))))))))))</f>
        <v>0</v>
      </c>
    </row>
    <row r="633" spans="1:12" ht="18.75" x14ac:dyDescent="0.3">
      <c r="A633" s="430">
        <f>PR!A631</f>
        <v>0</v>
      </c>
      <c r="B633" s="15" t="str">
        <f>PR!B631</f>
        <v>DRESSINGS/CONSUMABLES</v>
      </c>
      <c r="C633" s="113">
        <f>PR!D631</f>
        <v>0</v>
      </c>
      <c r="D633" s="113">
        <f>PR!C631</f>
        <v>0</v>
      </c>
      <c r="E633" s="108" t="str">
        <f>IF(F633="ALPHA",PR!$E631,IF(F633="ASSENE",PR!$F631,IF(F633="BIOFEM",PR!$G631,IF(F633="BIOMED",PR!$H631,IF(F633="CHI",PR!$I631,IF(F633="CLARION",PR!$J631,IF(F633="CODIX",PR!$K631,IF(F633="COSMADE",PR!$L631,IF(F633="SANCON",PR!$M631,IF(F633="DEVON",PR!$N631,IF(F633="DORTEMAG",PR!$O631,IF(F633="DGF",PR!$P631,IF(F633="DYNAMIC",PR!$Q631,IF(F633="EMZOR",PR!$R631,IF(F633="EUMATT",PR!$S631,IF(F633="FIDSON",PR!$T631,IF(F633="FCGLOBAL",PR!$U631,IF(F633="GENEITH",PR!$V631,IF(F633="GINOS",PR!$W631,IF(F633="GSK",PR!$X631,IF(F633="GLOBORG",PR!$Y631,IF(F633="GOODNEWS",PR!$Z631,IF(F633="GREENLIFE",PR!$AA631,IF(F633="HLINE",PR!$AB631,IF(F633="ROTECH",PR!$AC631,IF(F633="ISN",PR!$AD631,IF(F633="JAWA",PR!$AE631,IF(F633="LAYO",PR!$AF631,IF(F633="LEADWAY",PR!$AG631,IF(F633="LHV",PR!$AH631,IF(F633="MANOLA",PR!$AI631,IF(F633="MARCSON",PR!$AJ631,IF(F633="M&amp;B",PR!$AK631,IF(F633="MTRUST",PR!$AL631,IF(F633="MWORLD",PR!$AM631,IF(F633="MEGA",PR!$AN631,IF(F633="MICRONOVA",PR!$AO631,IF(F633="MFLASH",PR!$AP631,IF(F633="MORISON",PR!$AQ631,IF(F633="NEMEL",PR!$AR631,IF(F633="NHP",PR!$AS631,IF(F633="NHC",PR!$AT631,IF(F633="OLEAF",PR!$AU631,IF(F633="OCULUS",PR!$AV631,IF(F633="PACIFIC",PR!$AW631,IF(F633="PHAMATEX",PR!$AX631,IF(F633="PETHICS",PR!$AY631,IF(F633="PHILIPS",PR!$AZ631,IF(F633="RANBAXY",PR!$BA631,IF(F633="REALS",PR!$BB631,IF(F633="ROYAL",PR!$BC631,IF(F633="SAM",PR!$BD631,IF(F633="SEAGREEN",PR!$BE631,IF(F633="SKG",PR!$BF631,IF(F633="TAH",PR!$BG631,IF(F633="TAYLEK",PR!$BH631,IF(F633="TEMITA",PR!$BI631,IF(F633="THL",PR!$BJ631,IF(F633="UBASTIC",PR!$BK631,IF(F633="UNION",PR!$BL631,IF(F633="UNIQUE",PR!$BM631,IF(F633="VIXA",PR!$BN631,IF(F633="WWCV",PR!$BO631,IF(F633="ZOLON",PR!$BP631,"-"))))))))))))))))))))))))))))))))))))))))))))))))))))))))))))))))</f>
        <v>-</v>
      </c>
      <c r="F633" s="102"/>
      <c r="G633" s="108" t="str">
        <f>IF(H633="ALPHA",PR!$E631,IF(H633="ASSENE",PR!$F631,IF(H633="BIOFEM",PR!$G631,IF(H633="BIOMED",PR!$H631,IF(H633="CHI",PR!$I631,IF(H633="CLARION",PR!$J631,IF(H633="CODIX",PR!$K631,IF(H633="COSMADE",PR!$L631,IF(H633="SANCON",PR!$M631,IF(H633="DEVON",PR!$N631,IF(H633="DORTEMAG",PR!$O631,IF(H633="DGF",PR!$P631,IF(H633="DYNAMIC",PR!$Q631,IF(H633="EMZOR",PR!$R631,IF(H633="EUMATT",PR!$S631,IF(H633="FIDSON",PR!$T631,IF(H633="FCGLOBAL",PR!$U631,IF(H633="GENEITH",PR!$V631,IF(H633="GINOS",PR!$W631,IF(H633="GSK",PR!$X631,IF(H633="GLOBORG",PR!$Y631,IF(H633="GOODNEWS",PR!$Z631,IF(H633="GREENLIFE",PR!$AA631,IF(H633="HLINE",PR!$AB631,IF(H633="ROTECH",PR!$AC631,IF(H633="ISN",PR!$AD631,IF(H633="JAWA",PR!$AE631,IF(H633="LAYO",PR!$AF631,IF(H633="LEADWAY",PR!$AG631,IF(H633="LHV",PR!$AH631,IF(H633="MANOLA",PR!$AI631,IF(H633="MARCSON",PR!$AJ631,IF(H633="M&amp;B",PR!$AK631,IF(H633="MTRUST",PR!$AL631,IF(H633="MWORLD",PR!$AM631,IF(H633="MEGA",PR!$AN631,IF(H633="MICRONOVA",PR!$AO631,IF(H633="MFLASH",PR!$AP631,IF(H633="MORISON",PR!$AQ631,IF(H633="NEMEL",PR!$AR631,IF(H633="NHP",PR!$AS631,IF(H633="NHC",PR!$AT631,IF(H633="OLEAF",PR!$AU631,IF(H633="OCULUS",PR!$AV631,IF(H633="PACIFIC",PR!$AW631,IF(H633="PHAMATEX",PR!$AX631,IF(H633="PETHICS",PR!$AY631,IF(H633="PHILIPS",PR!$AZ631,IF(H633="RANBAXY",PR!$BA631,IF(H633="REALS",PR!$BB631,IF(H633="ROYAL",PR!$BC631,IF(H633="SAM",PR!$BD631,IF(H633="SEAGREEN",PR!$BE631,IF(H633="SKG",PR!$BF631,IF(H633="TAH",PR!$BG631,IF(H633="TAYLEK",PR!$BH631,IF(H633="TEMITA",PR!$BI631,IF(H633="THL",PR!$BJ631,IF(H633="UBASTIC",PR!$BK631,IF(H633="UNION",PR!$BL631,IF(H633="UNIQUE",PR!$BM631,IF(H633="VIXA",PR!$BN631,IF(H633="WWCV",PR!$BO631,IF(H633="ZOLON",PR!$BP631,"-"))))))))))))))))))))))))))))))))))))))))))))))))))))))))))))))))</f>
        <v>-</v>
      </c>
      <c r="H633" s="102"/>
      <c r="I633" s="108" t="str">
        <f>IF(J633="ALPHA",PR!$E631,IF(J633="ASSENE",PR!$F631,IF(J633="BIOFEM",PR!$G631,IF(J633="BIOMED",PR!$H631,IF(J633="CHI",PR!$I631,IF(J633="CLARION",PR!$J631,IF(J633="CODIX",PR!$K631,IF(J633="COSMADE",PR!$L631,IF(J633="SANCON",PR!$M631,IF(J633="DEVON",PR!$N631,IF(J633="DORTEMAG",PR!$O631,IF(J633="DGF",PR!$P631,IF(J633="DYNAMIC",PR!$Q631,IF(J633="EMZOR",PR!$R631,IF(J633="EUMATT",PR!$S631,IF(J633="FIDSON",PR!$T631,IF(J633="FCGLOBAL",PR!$U631,IF(J633="GENEITH",PR!$V631,IF(J633="GINOS",PR!$W631,IF(J633="GSK",PR!$X631,IF(J633="GLOBORG",PR!$Y631,IF(J633="GOODNEWS",PR!$Z631,IF(J633="GREENLIFE",PR!$AA631,IF(J633="HLINE",PR!$AB631,IF(J633="ROTECH",PR!$AC631,IF(J633="ISN",PR!$AD631,IF(J633="JAWA",PR!$AE631,IF(J633="LAYO",PR!$AF631,IF(J633="LEADWAY",PR!$AG631,IF(J633="LHV",PR!$AH631,IF(J633="MANOLA",PR!$AI631,IF(J633="MARCSON",PR!$AJ631,IF(J633="M&amp;B",PR!$AK631,IF(J633="MTRUST",PR!$AL631,IF(J633="MWORLD",PR!$AM631,IF(J633="MEGA",PR!$AN631,IF(J633="MICRONOVA",PR!$AO631,IF(J633="MFLASH",PR!$AP631,IF(J633="MORISON",PR!$AQ631,IF(J633="NEMEL",PR!$AR631,IF(J633="NHP",PR!$AS631,IF(J633="NHC",PR!$AT631,IF(J633="OLEAF",PR!$AU631,IF(J633="OCULUS",PR!$AV631,IF(J633="PACIFIC",PR!$AW631,IF(J633="PHAMATEX",PR!$AX631,IF(J633="PETHICS",PR!$AY631,IF(J633="PHILIPS",PR!$AZ631,IF(J633="RANBAXY",PR!$BA631,IF(J633="REALS",PR!$BB631,IF(J633="ROYAL",PR!$BC631,IF(J633="SAM",PR!$BD631,IF(J633="SEAGREEN",PR!$BE631,IF(J633="SKG",PR!$BF631,IF(J633="TAH",PR!$BG631,IF(J633="TAYLEK",PR!$BH631,IF(J633="TEMITA",PR!$BI631,IF(J633="THL",PR!$BJ631,IF(J633="UBASTIC",PR!$BK631,IF(J633="UNION",PR!$BL631,IF(J633="UNIQUE",PR!$BM631,IF(J633="VIXA",PR!$BN631,IF(J633="WWCV",PR!$BO631,IF(J633="ZOLON",PR!$BP631,"-"))))))))))))))))))))))))))))))))))))))))))))))))))))))))))))))))</f>
        <v>-</v>
      </c>
      <c r="J633" s="102"/>
      <c r="K633" s="433"/>
      <c r="L633" s="183" t="b">
        <f>IF(K633&gt;0,IF(K633="ALPHA",PR!$E631,IF(K633="ASSENE",PR!$F631,IF(K633="BIOFEM",PR!$G631,IF(K633="BIOMED",PR!$H631,IF(K633="CHI",PR!$I631,IF(K633="CLARION",PR!$J631,IF(K633="CODIX",PR!$K631,IF(K633="COSMADE",PR!$L631,IF(K633="SANCON",PR!$M631,IF(K633="DEVON",PR!$N631,IF(K633="DORTEMAG",PR!$O631,IF(K633="DGF",PR!$P631,IF(K633="DYNAMIC",PR!$Q631,IF(K633="EMZOR",PR!$R631,IF(K633="EUMATT",PR!$S631,IF(K633="FIDSON",PR!$T631,IF(K633="FCGLOBAL",PR!$U631,IF(K633="GENEITH",PR!$V631,IF(K633="GINOS",PR!$W631,IF(K633="GSK",PR!$X631,IF(K633="GLOBORG",PR!$Y631,IF(K633="GOODNEWS",PR!$Z631,IF(K633="GREENLIFE",PR!$AA631,IF(K633="HLINE",PR!$AB631,IF(K633="ROTECH",PR!$AC631,IF(K633="ISN",PR!$AD631,IF(K633="JAWA",PR!$AE631,IF(K633="LAYO",PR!$AF631,IF(K633="LEADWAY",PR!$AG631,IF(K633="LHV",PR!$AH631,IF(K633="MANOLA",PR!$AI631,IF(K633="MARCSON",PR!$AJ631,IF(K633="M&amp;B",PR!$AK631,IF(K633="MTRUST",PR!$AL631,IF(K633="MWORLD",PR!$AM631,IF(K633="MEGA",PR!$AN631,IF(K633="MICRONOVA",PR!$AO631,IF(K633="MFLASH",PR!$AP631,IF(K633="MORISON",PR!$AQ631,IF(K633="NEMEL",PR!$AR631,IF(K633="NHP",PR!$AS631,IF(K633="NHC",PR!$AT631,IF(K633="OLEAF",PR!$AU631,IF(K633="OCULUS",PR!$AV631,IF(K633="PACIFIC",PR!$AW631,IF(K633="PHAMATEX",PR!$AX631,IF(K633="PETHICS",PR!$AY631,IF(K633="PHILIPS",PR!$AZ631,IF(K633="RANBAXY",PR!$BA631,IF(K633="REALS",PR!$BB631,IF(K633="ROYAL",PR!$BC631,IF(K633="SAM",PR!$BD631,IF(K633="SEAGREEN",PR!$BE631,IF(K633="SKG",PR!$BF631,IF(K633="TAH",PR!$BG631,IF(K633="TAYLEK",PR!$BH631,IF(K633="TEMITA",PR!$BI631,IF(K633="THL",PR!$BJ631,IF(K633="UBASTIC",PR!$BK631,IF(K633="UNION",PR!$BL631,IF(K633="UNIQUE",PR!$BM631,IF(K633="VIXA",PR!$BN631,IF(K633="WWCV",PR!$BO631,IF(K633="ZOLON",PR!$BP631,"-")))))))))))))))))))))))))))))))))))))))))))))))))))))))))))))))))</f>
        <v>0</v>
      </c>
    </row>
    <row r="634" spans="1:12" ht="18.75" x14ac:dyDescent="0.3">
      <c r="A634" s="430">
        <f>PR!A632</f>
        <v>570</v>
      </c>
      <c r="B634" s="15" t="str">
        <f>PR!B632</f>
        <v>10CC NEEDLE/SYRINGE</v>
      </c>
      <c r="C634" s="113">
        <f>PR!D632</f>
        <v>100</v>
      </c>
      <c r="D634" s="113">
        <f>PR!C632</f>
        <v>2000</v>
      </c>
      <c r="E634" s="108">
        <f>IF(F634="ALPHA",PR!$E632,IF(F634="ASSENE",PR!$F632,IF(F634="BIOFEM",PR!$G632,IF(F634="BIOMED",PR!$H632,IF(F634="CHI",PR!$I632,IF(F634="CLARION",PR!$J632,IF(F634="CODIX",PR!$K632,IF(F634="COSMADE",PR!$L632,IF(F634="SANCON",PR!$M632,IF(F634="DEVON",PR!$N632,IF(F634="DORTEMAG",PR!$O632,IF(F634="DGF",PR!$P632,IF(F634="DYNAMIC",PR!$Q632,IF(F634="EMZOR",PR!$R632,IF(F634="EUMATT",PR!$S632,IF(F634="FIDSON",PR!$T632,IF(F634="FCGLOBAL",PR!$U632,IF(F634="GENEITH",PR!$V632,IF(F634="GINOS",PR!$W632,IF(F634="GSK",PR!$X632,IF(F634="GLOBORG",PR!$Y632,IF(F634="GOODNEWS",PR!$Z632,IF(F634="GREENLIFE",PR!$AA632,IF(F634="HLINE",PR!$AB632,IF(F634="ROTECH",PR!$AC632,IF(F634="ISN",PR!$AD632,IF(F634="JAWA",PR!$AE632,IF(F634="LAYO",PR!$AF632,IF(F634="LEADWAY",PR!$AG632,IF(F634="LHV",PR!$AH632,IF(F634="MANOLA",PR!$AI632,IF(F634="MARCSON",PR!$AJ632,IF(F634="M&amp;B",PR!$AK632,IF(F634="MTRUST",PR!$AL632,IF(F634="MWORLD",PR!$AM632,IF(F634="MEGA",PR!$AN632,IF(F634="MICRONOVA",PR!$AO632,IF(F634="MFLASH",PR!$AP632,IF(F634="MORISON",PR!$AQ632,IF(F634="NEMEL",PR!$AR632,IF(F634="NHP",PR!$AS632,IF(F634="NHC",PR!$AT632,IF(F634="OLEAF",PR!$AU632,IF(F634="OCULUS",PR!$AV632,IF(F634="PACIFIC",PR!$AW632,IF(F634="PHAMATEX",PR!$AX632,IF(F634="PETHICS",PR!$AY632,IF(F634="PHILIPS",PR!$AZ632,IF(F634="RANBAXY",PR!$BA632,IF(F634="REALS",PR!$BB632,IF(F634="ROYAL",PR!$BC632,IF(F634="SAM",PR!$BD632,IF(F634="SEAGREEN",PR!$BE632,IF(F634="SKG",PR!$BF632,IF(F634="TAH",PR!$BG632,IF(F634="TAYLEK",PR!$BH632,IF(F634="TEMITA",PR!$BI632,IF(F634="THL",PR!$BJ632,IF(F634="UBASTIC",PR!$BK632,IF(F634="UNION",PR!$BL632,IF(F634="UNIQUE",PR!$BM632,IF(F634="VIXA",PR!$BN632,IF(F634="WWCV",PR!$BO632,IF(F634="ZOLON",PR!$BP632,"-"))))))))))))))))))))))))))))))))))))))))))))))))))))))))))))))))</f>
        <v>1800</v>
      </c>
      <c r="F634" s="102" t="str">
        <f>EV!L804</f>
        <v>EUMATT</v>
      </c>
      <c r="G634" s="108">
        <f>IF(H634="ALPHA",PR!$E632,IF(H634="ASSENE",PR!$F632,IF(H634="BIOFEM",PR!$G632,IF(H634="BIOMED",PR!$H632,IF(H634="CHI",PR!$I632,IF(H634="CLARION",PR!$J632,IF(H634="CODIX",PR!$K632,IF(H634="COSMADE",PR!$L632,IF(H634="SANCON",PR!$M632,IF(H634="DEVON",PR!$N632,IF(H634="DORTEMAG",PR!$O632,IF(H634="DGF",PR!$P632,IF(H634="DYNAMIC",PR!$Q632,IF(H634="EMZOR",PR!$R632,IF(H634="EUMATT",PR!$S632,IF(H634="FIDSON",PR!$T632,IF(H634="FCGLOBAL",PR!$U632,IF(H634="GENEITH",PR!$V632,IF(H634="GINOS",PR!$W632,IF(H634="GSK",PR!$X632,IF(H634="GLOBORG",PR!$Y632,IF(H634="GOODNEWS",PR!$Z632,IF(H634="GREENLIFE",PR!$AA632,IF(H634="HLINE",PR!$AB632,IF(H634="ROTECH",PR!$AC632,IF(H634="ISN",PR!$AD632,IF(H634="JAWA",PR!$AE632,IF(H634="LAYO",PR!$AF632,IF(H634="LEADWAY",PR!$AG632,IF(H634="LHV",PR!$AH632,IF(H634="MANOLA",PR!$AI632,IF(H634="MARCSON",PR!$AJ632,IF(H634="M&amp;B",PR!$AK632,IF(H634="MTRUST",PR!$AL632,IF(H634="MWORLD",PR!$AM632,IF(H634="MEGA",PR!$AN632,IF(H634="MICRONOVA",PR!$AO632,IF(H634="MFLASH",PR!$AP632,IF(H634="MORISON",PR!$AQ632,IF(H634="NEMEL",PR!$AR632,IF(H634="NHP",PR!$AS632,IF(H634="NHC",PR!$AT632,IF(H634="OLEAF",PR!$AU632,IF(H634="OCULUS",PR!$AV632,IF(H634="PACIFIC",PR!$AW632,IF(H634="PHAMATEX",PR!$AX632,IF(H634="PETHICS",PR!$AY632,IF(H634="PHILIPS",PR!$AZ632,IF(H634="RANBAXY",PR!$BA632,IF(H634="REALS",PR!$BB632,IF(H634="ROYAL",PR!$BC632,IF(H634="SAM",PR!$BD632,IF(H634="SEAGREEN",PR!$BE632,IF(H634="SKG",PR!$BF632,IF(H634="TAH",PR!$BG632,IF(H634="TAYLEK",PR!$BH632,IF(H634="TEMITA",PR!$BI632,IF(H634="THL",PR!$BJ632,IF(H634="UBASTIC",PR!$BK632,IF(H634="UNION",PR!$BL632,IF(H634="UNIQUE",PR!$BM632,IF(H634="VIXA",PR!$BN632,IF(H634="WWCV",PR!$BO632,IF(H634="ZOLON",PR!$BP632,"-"))))))))))))))))))))))))))))))))))))))))))))))))))))))))))))))))</f>
        <v>1960</v>
      </c>
      <c r="H634" s="102" t="str">
        <f>EV!M804</f>
        <v>ROTECH</v>
      </c>
      <c r="I634" s="108">
        <f>IF(J634="ALPHA",PR!$E632,IF(J634="ASSENE",PR!$F632,IF(J634="BIOFEM",PR!$G632,IF(J634="BIOMED",PR!$H632,IF(J634="CHI",PR!$I632,IF(J634="CLARION",PR!$J632,IF(J634="CODIX",PR!$K632,IF(J634="COSMADE",PR!$L632,IF(J634="SANCON",PR!$M632,IF(J634="DEVON",PR!$N632,IF(J634="DORTEMAG",PR!$O632,IF(J634="DGF",PR!$P632,IF(J634="DYNAMIC",PR!$Q632,IF(J634="EMZOR",PR!$R632,IF(J634="EUMATT",PR!$S632,IF(J634="FIDSON",PR!$T632,IF(J634="FCGLOBAL",PR!$U632,IF(J634="GENEITH",PR!$V632,IF(J634="GINOS",PR!$W632,IF(J634="GSK",PR!$X632,IF(J634="GLOBORG",PR!$Y632,IF(J634="GOODNEWS",PR!$Z632,IF(J634="GREENLIFE",PR!$AA632,IF(J634="HLINE",PR!$AB632,IF(J634="ROTECH",PR!$AC632,IF(J634="ISN",PR!$AD632,IF(J634="JAWA",PR!$AE632,IF(J634="LAYO",PR!$AF632,IF(J634="LEADWAY",PR!$AG632,IF(J634="LHV",PR!$AH632,IF(J634="MANOLA",PR!$AI632,IF(J634="MARCSON",PR!$AJ632,IF(J634="M&amp;B",PR!$AK632,IF(J634="MTRUST",PR!$AL632,IF(J634="MWORLD",PR!$AM632,IF(J634="MEGA",PR!$AN632,IF(J634="MICRONOVA",PR!$AO632,IF(J634="MFLASH",PR!$AP632,IF(J634="MORISON",PR!$AQ632,IF(J634="NEMEL",PR!$AR632,IF(J634="NHP",PR!$AS632,IF(J634="NHC",PR!$AT632,IF(J634="OLEAF",PR!$AU632,IF(J634="OCULUS",PR!$AV632,IF(J634="PACIFIC",PR!$AW632,IF(J634="PHAMATEX",PR!$AX632,IF(J634="PETHICS",PR!$AY632,IF(J634="PHILIPS",PR!$AZ632,IF(J634="RANBAXY",PR!$BA632,IF(J634="REALS",PR!$BB632,IF(J634="ROYAL",PR!$BC632,IF(J634="SAM",PR!$BD632,IF(J634="SEAGREEN",PR!$BE632,IF(J634="SKG",PR!$BF632,IF(J634="TAH",PR!$BG632,IF(J634="TAYLEK",PR!$BH632,IF(J634="TEMITA",PR!$BI632,IF(J634="THL",PR!$BJ632,IF(J634="UBASTIC",PR!$BK632,IF(J634="UNION",PR!$BL632,IF(J634="UNIQUE",PR!$BM632,IF(J634="VIXA",PR!$BN632,IF(J634="WWCV",PR!$BO632,IF(J634="ZOLON",PR!$BP632,"-"))))))))))))))))))))))))))))))))))))))))))))))))))))))))))))))))</f>
        <v>2000</v>
      </c>
      <c r="J634" s="102" t="str">
        <f>EV!N804</f>
        <v>COSMADE</v>
      </c>
      <c r="K634" s="433" t="s">
        <v>821</v>
      </c>
      <c r="L634" s="183">
        <f>IF(K634&gt;0,IF(K634="ALPHA",PR!$E632,IF(K634="ASSENE",PR!$F632,IF(K634="BIOFEM",PR!$G632,IF(K634="BIOMED",PR!$H632,IF(K634="CHI",PR!$I632,IF(K634="CLARION",PR!$J632,IF(K634="CODIX",PR!$K632,IF(K634="COSMADE",PR!$L632,IF(K634="SANCON",PR!$M632,IF(K634="DEVON",PR!$N632,IF(K634="DORTEMAG",PR!$O632,IF(K634="DGF",PR!$P632,IF(K634="DYNAMIC",PR!$Q632,IF(K634="EMZOR",PR!$R632,IF(K634="EUMATT",PR!$S632,IF(K634="FIDSON",PR!$T632,IF(K634="FCGLOBAL",PR!$U632,IF(K634="GENEITH",PR!$V632,IF(K634="GINOS",PR!$W632,IF(K634="GSK",PR!$X632,IF(K634="GLOBORG",PR!$Y632,IF(K634="GOODNEWS",PR!$Z632,IF(K634="GREENLIFE",PR!$AA632,IF(K634="HLINE",PR!$AB632,IF(K634="ROTECH",PR!$AC632,IF(K634="ISN",PR!$AD632,IF(K634="JAWA",PR!$AE632,IF(K634="LAYO",PR!$AF632,IF(K634="LEADWAY",PR!$AG632,IF(K634="LHV",PR!$AH632,IF(K634="MANOLA",PR!$AI632,IF(K634="MARCSON",PR!$AJ632,IF(K634="M&amp;B",PR!$AK632,IF(K634="MTRUST",PR!$AL632,IF(K634="MWORLD",PR!$AM632,IF(K634="MEGA",PR!$AN632,IF(K634="MICRONOVA",PR!$AO632,IF(K634="MFLASH",PR!$AP632,IF(K634="MORISON",PR!$AQ632,IF(K634="NEMEL",PR!$AR632,IF(K634="NHP",PR!$AS632,IF(K634="NHC",PR!$AT632,IF(K634="OLEAF",PR!$AU632,IF(K634="OCULUS",PR!$AV632,IF(K634="PACIFIC",PR!$AW632,IF(K634="PHAMATEX",PR!$AX632,IF(K634="PETHICS",PR!$AY632,IF(K634="PHILIPS",PR!$AZ632,IF(K634="RANBAXY",PR!$BA632,IF(K634="REALS",PR!$BB632,IF(K634="ROYAL",PR!$BC632,IF(K634="SAM",PR!$BD632,IF(K634="SEAGREEN",PR!$BE632,IF(K634="SKG",PR!$BF632,IF(K634="TAH",PR!$BG632,IF(K634="TAYLEK",PR!$BH632,IF(K634="TEMITA",PR!$BI632,IF(K634="THL",PR!$BJ632,IF(K634="UBASTIC",PR!$BK632,IF(K634="UNION",PR!$BL632,IF(K634="UNIQUE",PR!$BM632,IF(K634="VIXA",PR!$BN632,IF(K634="WWCV",PR!$BO632,IF(K634="ZOLON",PR!$BP632,"-")))))))))))))))))))))))))))))))))))))))))))))))))))))))))))))))))</f>
        <v>1800</v>
      </c>
    </row>
    <row r="635" spans="1:12" ht="18.75" x14ac:dyDescent="0.3">
      <c r="A635" s="430">
        <f>PR!A633</f>
        <v>571</v>
      </c>
      <c r="B635" s="15" t="str">
        <f>PR!B633</f>
        <v>20CC NEEDLE/SYRINGE</v>
      </c>
      <c r="C635" s="113">
        <f>PR!D633</f>
        <v>80</v>
      </c>
      <c r="D635" s="113">
        <f>PR!C633</f>
        <v>200</v>
      </c>
      <c r="E635" s="108">
        <f>IF(F635="ALPHA",PR!$E633,IF(F635="ASSENE",PR!$F633,IF(F635="BIOFEM",PR!$G633,IF(F635="BIOMED",PR!$H633,IF(F635="CHI",PR!$I633,IF(F635="CLARION",PR!$J633,IF(F635="CODIX",PR!$K633,IF(F635="COSMADE",PR!$L633,IF(F635="SANCON",PR!$M633,IF(F635="DEVON",PR!$N633,IF(F635="DORTEMAG",PR!$O633,IF(F635="DGF",PR!$P633,IF(F635="DYNAMIC",PR!$Q633,IF(F635="EMZOR",PR!$R633,IF(F635="EUMATT",PR!$S633,IF(F635="FIDSON",PR!$T633,IF(F635="FCGLOBAL",PR!$U633,IF(F635="GENEITH",PR!$V633,IF(F635="GINOS",PR!$W633,IF(F635="GSK",PR!$X633,IF(F635="GLOBORG",PR!$Y633,IF(F635="GOODNEWS",PR!$Z633,IF(F635="GREENLIFE",PR!$AA633,IF(F635="HLINE",PR!$AB633,IF(F635="ROTECH",PR!$AC633,IF(F635="ISN",PR!$AD633,IF(F635="JAWA",PR!$AE633,IF(F635="LAYO",PR!$AF633,IF(F635="LEADWAY",PR!$AG633,IF(F635="LHV",PR!$AH633,IF(F635="MANOLA",PR!$AI633,IF(F635="MARCSON",PR!$AJ633,IF(F635="M&amp;B",PR!$AK633,IF(F635="MTRUST",PR!$AL633,IF(F635="MWORLD",PR!$AM633,IF(F635="MEGA",PR!$AN633,IF(F635="MICRONOVA",PR!$AO633,IF(F635="MFLASH",PR!$AP633,IF(F635="MORISON",PR!$AQ633,IF(F635="NEMEL",PR!$AR633,IF(F635="NHP",PR!$AS633,IF(F635="NHC",PR!$AT633,IF(F635="OLEAF",PR!$AU633,IF(F635="OCULUS",PR!$AV633,IF(F635="PACIFIC",PR!$AW633,IF(F635="PHAMATEX",PR!$AX633,IF(F635="PETHICS",PR!$AY633,IF(F635="PHILIPS",PR!$AZ633,IF(F635="RANBAXY",PR!$BA633,IF(F635="REALS",PR!$BB633,IF(F635="ROYAL",PR!$BC633,IF(F635="SAM",PR!$BD633,IF(F635="SEAGREEN",PR!$BE633,IF(F635="SKG",PR!$BF633,IF(F635="TAH",PR!$BG633,IF(F635="TAYLEK",PR!$BH633,IF(F635="TEMITA",PR!$BI633,IF(F635="THL",PR!$BJ633,IF(F635="UBASTIC",PR!$BK633,IF(F635="UNION",PR!$BL633,IF(F635="UNIQUE",PR!$BM633,IF(F635="VIXA",PR!$BN633,IF(F635="WWCV",PR!$BO633,IF(F635="ZOLON",PR!$BP633,"-"))))))))))))))))))))))))))))))))))))))))))))))))))))))))))))))))</f>
        <v>3000</v>
      </c>
      <c r="F635" s="102" t="str">
        <f>EV!L805</f>
        <v>EUMATT</v>
      </c>
      <c r="G635" s="108">
        <f>IF(H635="ALPHA",PR!$E633,IF(H635="ASSENE",PR!$F633,IF(H635="BIOFEM",PR!$G633,IF(H635="BIOMED",PR!$H633,IF(H635="CHI",PR!$I633,IF(H635="CLARION",PR!$J633,IF(H635="CODIX",PR!$K633,IF(H635="COSMADE",PR!$L633,IF(H635="SANCON",PR!$M633,IF(H635="DEVON",PR!$N633,IF(H635="DORTEMAG",PR!$O633,IF(H635="DGF",PR!$P633,IF(H635="DYNAMIC",PR!$Q633,IF(H635="EMZOR",PR!$R633,IF(H635="EUMATT",PR!$S633,IF(H635="FIDSON",PR!$T633,IF(H635="FCGLOBAL",PR!$U633,IF(H635="GENEITH",PR!$V633,IF(H635="GINOS",PR!$W633,IF(H635="GSK",PR!$X633,IF(H635="GLOBORG",PR!$Y633,IF(H635="GOODNEWS",PR!$Z633,IF(H635="GREENLIFE",PR!$AA633,IF(H635="HLINE",PR!$AB633,IF(H635="ROTECH",PR!$AC633,IF(H635="ISN",PR!$AD633,IF(H635="JAWA",PR!$AE633,IF(H635="LAYO",PR!$AF633,IF(H635="LEADWAY",PR!$AG633,IF(H635="LHV",PR!$AH633,IF(H635="MANOLA",PR!$AI633,IF(H635="MARCSON",PR!$AJ633,IF(H635="M&amp;B",PR!$AK633,IF(H635="MTRUST",PR!$AL633,IF(H635="MWORLD",PR!$AM633,IF(H635="MEGA",PR!$AN633,IF(H635="MICRONOVA",PR!$AO633,IF(H635="MFLASH",PR!$AP633,IF(H635="MORISON",PR!$AQ633,IF(H635="NEMEL",PR!$AR633,IF(H635="NHP",PR!$AS633,IF(H635="NHC",PR!$AT633,IF(H635="OLEAF",PR!$AU633,IF(H635="OCULUS",PR!$AV633,IF(H635="PACIFIC",PR!$AW633,IF(H635="PHAMATEX",PR!$AX633,IF(H635="PETHICS",PR!$AY633,IF(H635="PHILIPS",PR!$AZ633,IF(H635="RANBAXY",PR!$BA633,IF(H635="REALS",PR!$BB633,IF(H635="ROYAL",PR!$BC633,IF(H635="SAM",PR!$BD633,IF(H635="SEAGREEN",PR!$BE633,IF(H635="SKG",PR!$BF633,IF(H635="TAH",PR!$BG633,IF(H635="TAYLEK",PR!$BH633,IF(H635="TEMITA",PR!$BI633,IF(H635="THL",PR!$BJ633,IF(H635="UBASTIC",PR!$BK633,IF(H635="UNION",PR!$BL633,IF(H635="UNIQUE",PR!$BM633,IF(H635="VIXA",PR!$BN633,IF(H635="WWCV",PR!$BO633,IF(H635="ZOLON",PR!$BP633,"-"))))))))))))))))))))))))))))))))))))))))))))))))))))))))))))))))</f>
        <v>3100</v>
      </c>
      <c r="H635" s="102" t="str">
        <f>EV!M805</f>
        <v>COSMADE</v>
      </c>
      <c r="I635" s="108">
        <f>IF(J635="ALPHA",PR!$E633,IF(J635="ASSENE",PR!$F633,IF(J635="BIOFEM",PR!$G633,IF(J635="BIOMED",PR!$H633,IF(J635="CHI",PR!$I633,IF(J635="CLARION",PR!$J633,IF(J635="CODIX",PR!$K633,IF(J635="COSMADE",PR!$L633,IF(J635="SANCON",PR!$M633,IF(J635="DEVON",PR!$N633,IF(J635="DORTEMAG",PR!$O633,IF(J635="DGF",PR!$P633,IF(J635="DYNAMIC",PR!$Q633,IF(J635="EMZOR",PR!$R633,IF(J635="EUMATT",PR!$S633,IF(J635="FIDSON",PR!$T633,IF(J635="FCGLOBAL",PR!$U633,IF(J635="GENEITH",PR!$V633,IF(J635="GINOS",PR!$W633,IF(J635="GSK",PR!$X633,IF(J635="GLOBORG",PR!$Y633,IF(J635="GOODNEWS",PR!$Z633,IF(J635="GREENLIFE",PR!$AA633,IF(J635="HLINE",PR!$AB633,IF(J635="ROTECH",PR!$AC633,IF(J635="ISN",PR!$AD633,IF(J635="JAWA",PR!$AE633,IF(J635="LAYO",PR!$AF633,IF(J635="LEADWAY",PR!$AG633,IF(J635="LHV",PR!$AH633,IF(J635="MANOLA",PR!$AI633,IF(J635="MARCSON",PR!$AJ633,IF(J635="M&amp;B",PR!$AK633,IF(J635="MTRUST",PR!$AL633,IF(J635="MWORLD",PR!$AM633,IF(J635="MEGA",PR!$AN633,IF(J635="MICRONOVA",PR!$AO633,IF(J635="MFLASH",PR!$AP633,IF(J635="MORISON",PR!$AQ633,IF(J635="NEMEL",PR!$AR633,IF(J635="NHP",PR!$AS633,IF(J635="NHC",PR!$AT633,IF(J635="OLEAF",PR!$AU633,IF(J635="OCULUS",PR!$AV633,IF(J635="PACIFIC",PR!$AW633,IF(J635="PHAMATEX",PR!$AX633,IF(J635="PETHICS",PR!$AY633,IF(J635="PHILIPS",PR!$AZ633,IF(J635="RANBAXY",PR!$BA633,IF(J635="REALS",PR!$BB633,IF(J635="ROYAL",PR!$BC633,IF(J635="SAM",PR!$BD633,IF(J635="SEAGREEN",PR!$BE633,IF(J635="SKG",PR!$BF633,IF(J635="TAH",PR!$BG633,IF(J635="TAYLEK",PR!$BH633,IF(J635="TEMITA",PR!$BI633,IF(J635="THL",PR!$BJ633,IF(J635="UBASTIC",PR!$BK633,IF(J635="UNION",PR!$BL633,IF(J635="UNIQUE",PR!$BM633,IF(J635="VIXA",PR!$BN633,IF(J635="WWCV",PR!$BO633,IF(J635="ZOLON",PR!$BP633,"-"))))))))))))))))))))))))))))))))))))))))))))))))))))))))))))))))</f>
        <v>3136</v>
      </c>
      <c r="J635" s="102" t="str">
        <f>EV!N805</f>
        <v>TAH</v>
      </c>
      <c r="K635" s="433" t="s">
        <v>821</v>
      </c>
      <c r="L635" s="183">
        <f>IF(K635&gt;0,IF(K635="ALPHA",PR!$E633,IF(K635="ASSENE",PR!$F633,IF(K635="BIOFEM",PR!$G633,IF(K635="BIOMED",PR!$H633,IF(K635="CHI",PR!$I633,IF(K635="CLARION",PR!$J633,IF(K635="CODIX",PR!$K633,IF(K635="COSMADE",PR!$L633,IF(K635="SANCON",PR!$M633,IF(K635="DEVON",PR!$N633,IF(K635="DORTEMAG",PR!$O633,IF(K635="DGF",PR!$P633,IF(K635="DYNAMIC",PR!$Q633,IF(K635="EMZOR",PR!$R633,IF(K635="EUMATT",PR!$S633,IF(K635="FIDSON",PR!$T633,IF(K635="FCGLOBAL",PR!$U633,IF(K635="GENEITH",PR!$V633,IF(K635="GINOS",PR!$W633,IF(K635="GSK",PR!$X633,IF(K635="GLOBORG",PR!$Y633,IF(K635="GOODNEWS",PR!$Z633,IF(K635="GREENLIFE",PR!$AA633,IF(K635="HLINE",PR!$AB633,IF(K635="ROTECH",PR!$AC633,IF(K635="ISN",PR!$AD633,IF(K635="JAWA",PR!$AE633,IF(K635="LAYO",PR!$AF633,IF(K635="LEADWAY",PR!$AG633,IF(K635="LHV",PR!$AH633,IF(K635="MANOLA",PR!$AI633,IF(K635="MARCSON",PR!$AJ633,IF(K635="M&amp;B",PR!$AK633,IF(K635="MTRUST",PR!$AL633,IF(K635="MWORLD",PR!$AM633,IF(K635="MEGA",PR!$AN633,IF(K635="MICRONOVA",PR!$AO633,IF(K635="MFLASH",PR!$AP633,IF(K635="MORISON",PR!$AQ633,IF(K635="NEMEL",PR!$AR633,IF(K635="NHP",PR!$AS633,IF(K635="NHC",PR!$AT633,IF(K635="OLEAF",PR!$AU633,IF(K635="OCULUS",PR!$AV633,IF(K635="PACIFIC",PR!$AW633,IF(K635="PHAMATEX",PR!$AX633,IF(K635="PETHICS",PR!$AY633,IF(K635="PHILIPS",PR!$AZ633,IF(K635="RANBAXY",PR!$BA633,IF(K635="REALS",PR!$BB633,IF(K635="ROYAL",PR!$BC633,IF(K635="SAM",PR!$BD633,IF(K635="SEAGREEN",PR!$BE633,IF(K635="SKG",PR!$BF633,IF(K635="TAH",PR!$BG633,IF(K635="TAYLEK",PR!$BH633,IF(K635="TEMITA",PR!$BI633,IF(K635="THL",PR!$BJ633,IF(K635="UBASTIC",PR!$BK633,IF(K635="UNION",PR!$BL633,IF(K635="UNIQUE",PR!$BM633,IF(K635="VIXA",PR!$BN633,IF(K635="WWCV",PR!$BO633,IF(K635="ZOLON",PR!$BP633,"-")))))))))))))))))))))))))))))))))))))))))))))))))))))))))))))))))</f>
        <v>3000</v>
      </c>
    </row>
    <row r="636" spans="1:12" ht="18.75" x14ac:dyDescent="0.3">
      <c r="A636" s="430">
        <f>PR!A634</f>
        <v>572</v>
      </c>
      <c r="B636" s="15" t="str">
        <f>PR!B634</f>
        <v>21G NEEDLE</v>
      </c>
      <c r="C636" s="113">
        <f>PR!D634</f>
        <v>100</v>
      </c>
      <c r="D636" s="113">
        <f>PR!C634</f>
        <v>10</v>
      </c>
      <c r="E636" s="108">
        <f>IF(F636="ALPHA",PR!$E634,IF(F636="ASSENE",PR!$F634,IF(F636="BIOFEM",PR!$G634,IF(F636="BIOMED",PR!$H634,IF(F636="CHI",PR!$I634,IF(F636="CLARION",PR!$J634,IF(F636="CODIX",PR!$K634,IF(F636="COSMADE",PR!$L634,IF(F636="SANCON",PR!$M634,IF(F636="DEVON",PR!$N634,IF(F636="DORTEMAG",PR!$O634,IF(F636="DGF",PR!$P634,IF(F636="DYNAMIC",PR!$Q634,IF(F636="EMZOR",PR!$R634,IF(F636="EUMATT",PR!$S634,IF(F636="FIDSON",PR!$T634,IF(F636="FCGLOBAL",PR!$U634,IF(F636="GENEITH",PR!$V634,IF(F636="GINOS",PR!$W634,IF(F636="GSK",PR!$X634,IF(F636="GLOBORG",PR!$Y634,IF(F636="GOODNEWS",PR!$Z634,IF(F636="GREENLIFE",PR!$AA634,IF(F636="HLINE",PR!$AB634,IF(F636="ROTECH",PR!$AC634,IF(F636="ISN",PR!$AD634,IF(F636="JAWA",PR!$AE634,IF(F636="LAYO",PR!$AF634,IF(F636="LEADWAY",PR!$AG634,IF(F636="LHV",PR!$AH634,IF(F636="MANOLA",PR!$AI634,IF(F636="MARCSON",PR!$AJ634,IF(F636="M&amp;B",PR!$AK634,IF(F636="MTRUST",PR!$AL634,IF(F636="MWORLD",PR!$AM634,IF(F636="MEGA",PR!$AN634,IF(F636="MICRONOVA",PR!$AO634,IF(F636="MFLASH",PR!$AP634,IF(F636="MORISON",PR!$AQ634,IF(F636="NEMEL",PR!$AR634,IF(F636="NHP",PR!$AS634,IF(F636="NHC",PR!$AT634,IF(F636="OLEAF",PR!$AU634,IF(F636="OCULUS",PR!$AV634,IF(F636="PACIFIC",PR!$AW634,IF(F636="PHAMATEX",PR!$AX634,IF(F636="PETHICS",PR!$AY634,IF(F636="PHILIPS",PR!$AZ634,IF(F636="RANBAXY",PR!$BA634,IF(F636="REALS",PR!$BB634,IF(F636="ROYAL",PR!$BC634,IF(F636="SAM",PR!$BD634,IF(F636="SEAGREEN",PR!$BE634,IF(F636="SKG",PR!$BF634,IF(F636="TAH",PR!$BG634,IF(F636="TAYLEK",PR!$BH634,IF(F636="TEMITA",PR!$BI634,IF(F636="THL",PR!$BJ634,IF(F636="UBASTIC",PR!$BK634,IF(F636="UNION",PR!$BL634,IF(F636="UNIQUE",PR!$BM634,IF(F636="VIXA",PR!$BN634,IF(F636="WWCV",PR!$BO634,IF(F636="ZOLON",PR!$BP634,"-"))))))))))))))))))))))))))))))))))))))))))))))))))))))))))))))))</f>
        <v>310</v>
      </c>
      <c r="F636" s="102" t="str">
        <f>EV!L806</f>
        <v>ROTECH</v>
      </c>
      <c r="G636" s="108">
        <f>IF(H636="ALPHA",PR!$E634,IF(H636="ASSENE",PR!$F634,IF(H636="BIOFEM",PR!$G634,IF(H636="BIOMED",PR!$H634,IF(H636="CHI",PR!$I634,IF(H636="CLARION",PR!$J634,IF(H636="CODIX",PR!$K634,IF(H636="COSMADE",PR!$L634,IF(H636="SANCON",PR!$M634,IF(H636="DEVON",PR!$N634,IF(H636="DORTEMAG",PR!$O634,IF(H636="DGF",PR!$P634,IF(H636="DYNAMIC",PR!$Q634,IF(H636="EMZOR",PR!$R634,IF(H636="EUMATT",PR!$S634,IF(H636="FIDSON",PR!$T634,IF(H636="FCGLOBAL",PR!$U634,IF(H636="GENEITH",PR!$V634,IF(H636="GINOS",PR!$W634,IF(H636="GSK",PR!$X634,IF(H636="GLOBORG",PR!$Y634,IF(H636="GOODNEWS",PR!$Z634,IF(H636="GREENLIFE",PR!$AA634,IF(H636="HLINE",PR!$AB634,IF(H636="ROTECH",PR!$AC634,IF(H636="ISN",PR!$AD634,IF(H636="JAWA",PR!$AE634,IF(H636="LAYO",PR!$AF634,IF(H636="LEADWAY",PR!$AG634,IF(H636="LHV",PR!$AH634,IF(H636="MANOLA",PR!$AI634,IF(H636="MARCSON",PR!$AJ634,IF(H636="M&amp;B",PR!$AK634,IF(H636="MTRUST",PR!$AL634,IF(H636="MWORLD",PR!$AM634,IF(H636="MEGA",PR!$AN634,IF(H636="MICRONOVA",PR!$AO634,IF(H636="MFLASH",PR!$AP634,IF(H636="MORISON",PR!$AQ634,IF(H636="NEMEL",PR!$AR634,IF(H636="NHP",PR!$AS634,IF(H636="NHC",PR!$AT634,IF(H636="OLEAF",PR!$AU634,IF(H636="OCULUS",PR!$AV634,IF(H636="PACIFIC",PR!$AW634,IF(H636="PHAMATEX",PR!$AX634,IF(H636="PETHICS",PR!$AY634,IF(H636="PHILIPS",PR!$AZ634,IF(H636="RANBAXY",PR!$BA634,IF(H636="REALS",PR!$BB634,IF(H636="ROYAL",PR!$BC634,IF(H636="SAM",PR!$BD634,IF(H636="SEAGREEN",PR!$BE634,IF(H636="SKG",PR!$BF634,IF(H636="TAH",PR!$BG634,IF(H636="TAYLEK",PR!$BH634,IF(H636="TEMITA",PR!$BI634,IF(H636="THL",PR!$BJ634,IF(H636="UBASTIC",PR!$BK634,IF(H636="UNION",PR!$BL634,IF(H636="UNIQUE",PR!$BM634,IF(H636="VIXA",PR!$BN634,IF(H636="WWCV",PR!$BO634,IF(H636="ZOLON",PR!$BP634,"-"))))))))))))))))))))))))))))))))))))))))))))))))))))))))))))))))</f>
        <v>330</v>
      </c>
      <c r="H636" s="102" t="str">
        <f>EV!M806</f>
        <v>SANCON</v>
      </c>
      <c r="I636" s="108">
        <f>IF(J636="ALPHA",PR!$E634,IF(J636="ASSENE",PR!$F634,IF(J636="BIOFEM",PR!$G634,IF(J636="BIOMED",PR!$H634,IF(J636="CHI",PR!$I634,IF(J636="CLARION",PR!$J634,IF(J636="CODIX",PR!$K634,IF(J636="COSMADE",PR!$L634,IF(J636="SANCON",PR!$M634,IF(J636="DEVON",PR!$N634,IF(J636="DORTEMAG",PR!$O634,IF(J636="DGF",PR!$P634,IF(J636="DYNAMIC",PR!$Q634,IF(J636="EMZOR",PR!$R634,IF(J636="EUMATT",PR!$S634,IF(J636="FIDSON",PR!$T634,IF(J636="FCGLOBAL",PR!$U634,IF(J636="GENEITH",PR!$V634,IF(J636="GINOS",PR!$W634,IF(J636="GSK",PR!$X634,IF(J636="GLOBORG",PR!$Y634,IF(J636="GOODNEWS",PR!$Z634,IF(J636="GREENLIFE",PR!$AA634,IF(J636="HLINE",PR!$AB634,IF(J636="ROTECH",PR!$AC634,IF(J636="ISN",PR!$AD634,IF(J636="JAWA",PR!$AE634,IF(J636="LAYO",PR!$AF634,IF(J636="LEADWAY",PR!$AG634,IF(J636="LHV",PR!$AH634,IF(J636="MANOLA",PR!$AI634,IF(J636="MARCSON",PR!$AJ634,IF(J636="M&amp;B",PR!$AK634,IF(J636="MTRUST",PR!$AL634,IF(J636="MWORLD",PR!$AM634,IF(J636="MEGA",PR!$AN634,IF(J636="MICRONOVA",PR!$AO634,IF(J636="MFLASH",PR!$AP634,IF(J636="MORISON",PR!$AQ634,IF(J636="NEMEL",PR!$AR634,IF(J636="NHP",PR!$AS634,IF(J636="NHC",PR!$AT634,IF(J636="OLEAF",PR!$AU634,IF(J636="OCULUS",PR!$AV634,IF(J636="PACIFIC",PR!$AW634,IF(J636="PHAMATEX",PR!$AX634,IF(J636="PETHICS",PR!$AY634,IF(J636="PHILIPS",PR!$AZ634,IF(J636="RANBAXY",PR!$BA634,IF(J636="REALS",PR!$BB634,IF(J636="ROYAL",PR!$BC634,IF(J636="SAM",PR!$BD634,IF(J636="SEAGREEN",PR!$BE634,IF(J636="SKG",PR!$BF634,IF(J636="TAH",PR!$BG634,IF(J636="TAYLEK",PR!$BH634,IF(J636="TEMITA",PR!$BI634,IF(J636="THL",PR!$BJ634,IF(J636="UBASTIC",PR!$BK634,IF(J636="UNION",PR!$BL634,IF(J636="UNIQUE",PR!$BM634,IF(J636="VIXA",PR!$BN634,IF(J636="WWCV",PR!$BO634,IF(J636="ZOLON",PR!$BP634,"-"))))))))))))))))))))))))))))))))))))))))))))))))))))))))))))))))</f>
        <v>340</v>
      </c>
      <c r="J636" s="102" t="str">
        <f>EV!N806</f>
        <v>EUMATT</v>
      </c>
      <c r="K636" s="433" t="s">
        <v>825</v>
      </c>
      <c r="L636" s="183">
        <f>IF(K636&gt;0,IF(K636="ALPHA",PR!$E634,IF(K636="ASSENE",PR!$F634,IF(K636="BIOFEM",PR!$G634,IF(K636="BIOMED",PR!$H634,IF(K636="CHI",PR!$I634,IF(K636="CLARION",PR!$J634,IF(K636="CODIX",PR!$K634,IF(K636="COSMADE",PR!$L634,IF(K636="SANCON",PR!$M634,IF(K636="DEVON",PR!$N634,IF(K636="DORTEMAG",PR!$O634,IF(K636="DGF",PR!$P634,IF(K636="DYNAMIC",PR!$Q634,IF(K636="EMZOR",PR!$R634,IF(K636="EUMATT",PR!$S634,IF(K636="FIDSON",PR!$T634,IF(K636="FCGLOBAL",PR!$U634,IF(K636="GENEITH",PR!$V634,IF(K636="GINOS",PR!$W634,IF(K636="GSK",PR!$X634,IF(K636="GLOBORG",PR!$Y634,IF(K636="GOODNEWS",PR!$Z634,IF(K636="GREENLIFE",PR!$AA634,IF(K636="HLINE",PR!$AB634,IF(K636="ROTECH",PR!$AC634,IF(K636="ISN",PR!$AD634,IF(K636="JAWA",PR!$AE634,IF(K636="LAYO",PR!$AF634,IF(K636="LEADWAY",PR!$AG634,IF(K636="LHV",PR!$AH634,IF(K636="MANOLA",PR!$AI634,IF(K636="MARCSON",PR!$AJ634,IF(K636="M&amp;B",PR!$AK634,IF(K636="MTRUST",PR!$AL634,IF(K636="MWORLD",PR!$AM634,IF(K636="MEGA",PR!$AN634,IF(K636="MICRONOVA",PR!$AO634,IF(K636="MFLASH",PR!$AP634,IF(K636="MORISON",PR!$AQ634,IF(K636="NEMEL",PR!$AR634,IF(K636="NHP",PR!$AS634,IF(K636="NHC",PR!$AT634,IF(K636="OLEAF",PR!$AU634,IF(K636="OCULUS",PR!$AV634,IF(K636="PACIFIC",PR!$AW634,IF(K636="PHAMATEX",PR!$AX634,IF(K636="PETHICS",PR!$AY634,IF(K636="PHILIPS",PR!$AZ634,IF(K636="RANBAXY",PR!$BA634,IF(K636="REALS",PR!$BB634,IF(K636="ROYAL",PR!$BC634,IF(K636="SAM",PR!$BD634,IF(K636="SEAGREEN",PR!$BE634,IF(K636="SKG",PR!$BF634,IF(K636="TAH",PR!$BG634,IF(K636="TAYLEK",PR!$BH634,IF(K636="TEMITA",PR!$BI634,IF(K636="THL",PR!$BJ634,IF(K636="UBASTIC",PR!$BK634,IF(K636="UNION",PR!$BL634,IF(K636="UNIQUE",PR!$BM634,IF(K636="VIXA",PR!$BN634,IF(K636="WWCV",PR!$BO634,IF(K636="ZOLON",PR!$BP634,"-")))))))))))))))))))))))))))))))))))))))))))))))))))))))))))))))))</f>
        <v>310</v>
      </c>
    </row>
    <row r="637" spans="1:12" ht="18.75" x14ac:dyDescent="0.3">
      <c r="A637" s="430">
        <f>PR!A635</f>
        <v>573</v>
      </c>
      <c r="B637" s="15" t="str">
        <f>PR!B635</f>
        <v>23G NEEDLE</v>
      </c>
      <c r="C637" s="113">
        <f>PR!D635</f>
        <v>100</v>
      </c>
      <c r="D637" s="113">
        <f>PR!C635</f>
        <v>300</v>
      </c>
      <c r="E637" s="108">
        <f>IF(F637="ALPHA",PR!$E635,IF(F637="ASSENE",PR!$F635,IF(F637="BIOFEM",PR!$G635,IF(F637="BIOMED",PR!$H635,IF(F637="CHI",PR!$I635,IF(F637="CLARION",PR!$J635,IF(F637="CODIX",PR!$K635,IF(F637="COSMADE",PR!$L635,IF(F637="SANCON",PR!$M635,IF(F637="DEVON",PR!$N635,IF(F637="DORTEMAG",PR!$O635,IF(F637="DGF",PR!$P635,IF(F637="DYNAMIC",PR!$Q635,IF(F637="EMZOR",PR!$R635,IF(F637="EUMATT",PR!$S635,IF(F637="FIDSON",PR!$T635,IF(F637="FCGLOBAL",PR!$U635,IF(F637="GENEITH",PR!$V635,IF(F637="GINOS",PR!$W635,IF(F637="GSK",PR!$X635,IF(F637="GLOBORG",PR!$Y635,IF(F637="GOODNEWS",PR!$Z635,IF(F637="GREENLIFE",PR!$AA635,IF(F637="HLINE",PR!$AB635,IF(F637="ROTECH",PR!$AC635,IF(F637="ISN",PR!$AD635,IF(F637="JAWA",PR!$AE635,IF(F637="LAYO",PR!$AF635,IF(F637="LEADWAY",PR!$AG635,IF(F637="LHV",PR!$AH635,IF(F637="MANOLA",PR!$AI635,IF(F637="MARCSON",PR!$AJ635,IF(F637="M&amp;B",PR!$AK635,IF(F637="MTRUST",PR!$AL635,IF(F637="MWORLD",PR!$AM635,IF(F637="MEGA",PR!$AN635,IF(F637="MICRONOVA",PR!$AO635,IF(F637="MFLASH",PR!$AP635,IF(F637="MORISON",PR!$AQ635,IF(F637="NEMEL",PR!$AR635,IF(F637="NHP",PR!$AS635,IF(F637="NHC",PR!$AT635,IF(F637="OLEAF",PR!$AU635,IF(F637="OCULUS",PR!$AV635,IF(F637="PACIFIC",PR!$AW635,IF(F637="PHAMATEX",PR!$AX635,IF(F637="PETHICS",PR!$AY635,IF(F637="PHILIPS",PR!$AZ635,IF(F637="RANBAXY",PR!$BA635,IF(F637="REALS",PR!$BB635,IF(F637="ROYAL",PR!$BC635,IF(F637="SAM",PR!$BD635,IF(F637="SEAGREEN",PR!$BE635,IF(F637="SKG",PR!$BF635,IF(F637="TAH",PR!$BG635,IF(F637="TAYLEK",PR!$BH635,IF(F637="TEMITA",PR!$BI635,IF(F637="THL",PR!$BJ635,IF(F637="UBASTIC",PR!$BK635,IF(F637="UNION",PR!$BL635,IF(F637="UNIQUE",PR!$BM635,IF(F637="VIXA",PR!$BN635,IF(F637="WWCV",PR!$BO635,IF(F637="ZOLON",PR!$BP635,"-"))))))))))))))))))))))))))))))))))))))))))))))))))))))))))))))))</f>
        <v>310</v>
      </c>
      <c r="F637" s="102" t="str">
        <f>EV!L807</f>
        <v>ROTECH</v>
      </c>
      <c r="G637" s="108">
        <f>IF(H637="ALPHA",PR!$E635,IF(H637="ASSENE",PR!$F635,IF(H637="BIOFEM",PR!$G635,IF(H637="BIOMED",PR!$H635,IF(H637="CHI",PR!$I635,IF(H637="CLARION",PR!$J635,IF(H637="CODIX",PR!$K635,IF(H637="COSMADE",PR!$L635,IF(H637="SANCON",PR!$M635,IF(H637="DEVON",PR!$N635,IF(H637="DORTEMAG",PR!$O635,IF(H637="DGF",PR!$P635,IF(H637="DYNAMIC",PR!$Q635,IF(H637="EMZOR",PR!$R635,IF(H637="EUMATT",PR!$S635,IF(H637="FIDSON",PR!$T635,IF(H637="FCGLOBAL",PR!$U635,IF(H637="GENEITH",PR!$V635,IF(H637="GINOS",PR!$W635,IF(H637="GSK",PR!$X635,IF(H637="GLOBORG",PR!$Y635,IF(H637="GOODNEWS",PR!$Z635,IF(H637="GREENLIFE",PR!$AA635,IF(H637="HLINE",PR!$AB635,IF(H637="ROTECH",PR!$AC635,IF(H637="ISN",PR!$AD635,IF(H637="JAWA",PR!$AE635,IF(H637="LAYO",PR!$AF635,IF(H637="LEADWAY",PR!$AG635,IF(H637="LHV",PR!$AH635,IF(H637="MANOLA",PR!$AI635,IF(H637="MARCSON",PR!$AJ635,IF(H637="M&amp;B",PR!$AK635,IF(H637="MTRUST",PR!$AL635,IF(H637="MWORLD",PR!$AM635,IF(H637="MEGA",PR!$AN635,IF(H637="MICRONOVA",PR!$AO635,IF(H637="MFLASH",PR!$AP635,IF(H637="MORISON",PR!$AQ635,IF(H637="NEMEL",PR!$AR635,IF(H637="NHP",PR!$AS635,IF(H637="NHC",PR!$AT635,IF(H637="OLEAF",PR!$AU635,IF(H637="OCULUS",PR!$AV635,IF(H637="PACIFIC",PR!$AW635,IF(H637="PHAMATEX",PR!$AX635,IF(H637="PETHICS",PR!$AY635,IF(H637="PHILIPS",PR!$AZ635,IF(H637="RANBAXY",PR!$BA635,IF(H637="REALS",PR!$BB635,IF(H637="ROYAL",PR!$BC635,IF(H637="SAM",PR!$BD635,IF(H637="SEAGREEN",PR!$BE635,IF(H637="SKG",PR!$BF635,IF(H637="TAH",PR!$BG635,IF(H637="TAYLEK",PR!$BH635,IF(H637="TEMITA",PR!$BI635,IF(H637="THL",PR!$BJ635,IF(H637="UBASTIC",PR!$BK635,IF(H637="UNION",PR!$BL635,IF(H637="UNIQUE",PR!$BM635,IF(H637="VIXA",PR!$BN635,IF(H637="WWCV",PR!$BO635,IF(H637="ZOLON",PR!$BP635,"-"))))))))))))))))))))))))))))))))))))))))))))))))))))))))))))))))</f>
        <v>330</v>
      </c>
      <c r="H637" s="102" t="str">
        <f>EV!M807</f>
        <v>SANCON</v>
      </c>
      <c r="I637" s="108">
        <f>IF(J637="ALPHA",PR!$E635,IF(J637="ASSENE",PR!$F635,IF(J637="BIOFEM",PR!$G635,IF(J637="BIOMED",PR!$H635,IF(J637="CHI",PR!$I635,IF(J637="CLARION",PR!$J635,IF(J637="CODIX",PR!$K635,IF(J637="COSMADE",PR!$L635,IF(J637="SANCON",PR!$M635,IF(J637="DEVON",PR!$N635,IF(J637="DORTEMAG",PR!$O635,IF(J637="DGF",PR!$P635,IF(J637="DYNAMIC",PR!$Q635,IF(J637="EMZOR",PR!$R635,IF(J637="EUMATT",PR!$S635,IF(J637="FIDSON",PR!$T635,IF(J637="FCGLOBAL",PR!$U635,IF(J637="GENEITH",PR!$V635,IF(J637="GINOS",PR!$W635,IF(J637="GSK",PR!$X635,IF(J637="GLOBORG",PR!$Y635,IF(J637="GOODNEWS",PR!$Z635,IF(J637="GREENLIFE",PR!$AA635,IF(J637="HLINE",PR!$AB635,IF(J637="ROTECH",PR!$AC635,IF(J637="ISN",PR!$AD635,IF(J637="JAWA",PR!$AE635,IF(J637="LAYO",PR!$AF635,IF(J637="LEADWAY",PR!$AG635,IF(J637="LHV",PR!$AH635,IF(J637="MANOLA",PR!$AI635,IF(J637="MARCSON",PR!$AJ635,IF(J637="M&amp;B",PR!$AK635,IF(J637="MTRUST",PR!$AL635,IF(J637="MWORLD",PR!$AM635,IF(J637="MEGA",PR!$AN635,IF(J637="MICRONOVA",PR!$AO635,IF(J637="MFLASH",PR!$AP635,IF(J637="MORISON",PR!$AQ635,IF(J637="NEMEL",PR!$AR635,IF(J637="NHP",PR!$AS635,IF(J637="NHC",PR!$AT635,IF(J637="OLEAF",PR!$AU635,IF(J637="OCULUS",PR!$AV635,IF(J637="PACIFIC",PR!$AW635,IF(J637="PHAMATEX",PR!$AX635,IF(J637="PETHICS",PR!$AY635,IF(J637="PHILIPS",PR!$AZ635,IF(J637="RANBAXY",PR!$BA635,IF(J637="REALS",PR!$BB635,IF(J637="ROYAL",PR!$BC635,IF(J637="SAM",PR!$BD635,IF(J637="SEAGREEN",PR!$BE635,IF(J637="SKG",PR!$BF635,IF(J637="TAH",PR!$BG635,IF(J637="TAYLEK",PR!$BH635,IF(J637="TEMITA",PR!$BI635,IF(J637="THL",PR!$BJ635,IF(J637="UBASTIC",PR!$BK635,IF(J637="UNION",PR!$BL635,IF(J637="UNIQUE",PR!$BM635,IF(J637="VIXA",PR!$BN635,IF(J637="WWCV",PR!$BO635,IF(J637="ZOLON",PR!$BP635,"-"))))))))))))))))))))))))))))))))))))))))))))))))))))))))))))))))</f>
        <v>350</v>
      </c>
      <c r="J637" s="102" t="str">
        <f>EV!N807</f>
        <v>EUMATT</v>
      </c>
      <c r="K637" s="433" t="s">
        <v>825</v>
      </c>
      <c r="L637" s="183">
        <f>IF(K637&gt;0,IF(K637="ALPHA",PR!$E635,IF(K637="ASSENE",PR!$F635,IF(K637="BIOFEM",PR!$G635,IF(K637="BIOMED",PR!$H635,IF(K637="CHI",PR!$I635,IF(K637="CLARION",PR!$J635,IF(K637="CODIX",PR!$K635,IF(K637="COSMADE",PR!$L635,IF(K637="SANCON",PR!$M635,IF(K637="DEVON",PR!$N635,IF(K637="DORTEMAG",PR!$O635,IF(K637="DGF",PR!$P635,IF(K637="DYNAMIC",PR!$Q635,IF(K637="EMZOR",PR!$R635,IF(K637="EUMATT",PR!$S635,IF(K637="FIDSON",PR!$T635,IF(K637="FCGLOBAL",PR!$U635,IF(K637="GENEITH",PR!$V635,IF(K637="GINOS",PR!$W635,IF(K637="GSK",PR!$X635,IF(K637="GLOBORG",PR!$Y635,IF(K637="GOODNEWS",PR!$Z635,IF(K637="GREENLIFE",PR!$AA635,IF(K637="HLINE",PR!$AB635,IF(K637="ROTECH",PR!$AC635,IF(K637="ISN",PR!$AD635,IF(K637="JAWA",PR!$AE635,IF(K637="LAYO",PR!$AF635,IF(K637="LEADWAY",PR!$AG635,IF(K637="LHV",PR!$AH635,IF(K637="MANOLA",PR!$AI635,IF(K637="MARCSON",PR!$AJ635,IF(K637="M&amp;B",PR!$AK635,IF(K637="MTRUST",PR!$AL635,IF(K637="MWORLD",PR!$AM635,IF(K637="MEGA",PR!$AN635,IF(K637="MICRONOVA",PR!$AO635,IF(K637="MFLASH",PR!$AP635,IF(K637="MORISON",PR!$AQ635,IF(K637="NEMEL",PR!$AR635,IF(K637="NHP",PR!$AS635,IF(K637="NHC",PR!$AT635,IF(K637="OLEAF",PR!$AU635,IF(K637="OCULUS",PR!$AV635,IF(K637="PACIFIC",PR!$AW635,IF(K637="PHAMATEX",PR!$AX635,IF(K637="PETHICS",PR!$AY635,IF(K637="PHILIPS",PR!$AZ635,IF(K637="RANBAXY",PR!$BA635,IF(K637="REALS",PR!$BB635,IF(K637="ROYAL",PR!$BC635,IF(K637="SAM",PR!$BD635,IF(K637="SEAGREEN",PR!$BE635,IF(K637="SKG",PR!$BF635,IF(K637="TAH",PR!$BG635,IF(K637="TAYLEK",PR!$BH635,IF(K637="TEMITA",PR!$BI635,IF(K637="THL",PR!$BJ635,IF(K637="UBASTIC",PR!$BK635,IF(K637="UNION",PR!$BL635,IF(K637="UNIQUE",PR!$BM635,IF(K637="VIXA",PR!$BN635,IF(K637="WWCV",PR!$BO635,IF(K637="ZOLON",PR!$BP635,"-")))))))))))))))))))))))))))))))))))))))))))))))))))))))))))))))))</f>
        <v>310</v>
      </c>
    </row>
    <row r="638" spans="1:12" ht="18.75" x14ac:dyDescent="0.3">
      <c r="A638" s="430">
        <f>PR!A636</f>
        <v>574</v>
      </c>
      <c r="B638" s="15" t="str">
        <f>PR!B636</f>
        <v>25G NEEDLE</v>
      </c>
      <c r="C638" s="113">
        <f>PR!D636</f>
        <v>100</v>
      </c>
      <c r="D638" s="113">
        <f>PR!C636</f>
        <v>300</v>
      </c>
      <c r="E638" s="108">
        <f>IF(F638="ALPHA",PR!$E636,IF(F638="ASSENE",PR!$F636,IF(F638="BIOFEM",PR!$G636,IF(F638="BIOMED",PR!$H636,IF(F638="CHI",PR!$I636,IF(F638="CLARION",PR!$J636,IF(F638="CODIX",PR!$K636,IF(F638="COSMADE",PR!$L636,IF(F638="SANCON",PR!$M636,IF(F638="DEVON",PR!$N636,IF(F638="DORTEMAG",PR!$O636,IF(F638="DGF",PR!$P636,IF(F638="DYNAMIC",PR!$Q636,IF(F638="EMZOR",PR!$R636,IF(F638="EUMATT",PR!$S636,IF(F638="FIDSON",PR!$T636,IF(F638="FCGLOBAL",PR!$U636,IF(F638="GENEITH",PR!$V636,IF(F638="GINOS",PR!$W636,IF(F638="GSK",PR!$X636,IF(F638="GLOBORG",PR!$Y636,IF(F638="GOODNEWS",PR!$Z636,IF(F638="GREENLIFE",PR!$AA636,IF(F638="HLINE",PR!$AB636,IF(F638="ROTECH",PR!$AC636,IF(F638="ISN",PR!$AD636,IF(F638="JAWA",PR!$AE636,IF(F638="LAYO",PR!$AF636,IF(F638="LEADWAY",PR!$AG636,IF(F638="LHV",PR!$AH636,IF(F638="MANOLA",PR!$AI636,IF(F638="MARCSON",PR!$AJ636,IF(F638="M&amp;B",PR!$AK636,IF(F638="MTRUST",PR!$AL636,IF(F638="MWORLD",PR!$AM636,IF(F638="MEGA",PR!$AN636,IF(F638="MICRONOVA",PR!$AO636,IF(F638="MFLASH",PR!$AP636,IF(F638="MORISON",PR!$AQ636,IF(F638="NEMEL",PR!$AR636,IF(F638="NHP",PR!$AS636,IF(F638="NHC",PR!$AT636,IF(F638="OLEAF",PR!$AU636,IF(F638="OCULUS",PR!$AV636,IF(F638="PACIFIC",PR!$AW636,IF(F638="PHAMATEX",PR!$AX636,IF(F638="PETHICS",PR!$AY636,IF(F638="PHILIPS",PR!$AZ636,IF(F638="RANBAXY",PR!$BA636,IF(F638="REALS",PR!$BB636,IF(F638="ROYAL",PR!$BC636,IF(F638="SAM",PR!$BD636,IF(F638="SEAGREEN",PR!$BE636,IF(F638="SKG",PR!$BF636,IF(F638="TAH",PR!$BG636,IF(F638="TAYLEK",PR!$BH636,IF(F638="TEMITA",PR!$BI636,IF(F638="THL",PR!$BJ636,IF(F638="UBASTIC",PR!$BK636,IF(F638="UNION",PR!$BL636,IF(F638="UNIQUE",PR!$BM636,IF(F638="VIXA",PR!$BN636,IF(F638="WWCV",PR!$BO636,IF(F638="ZOLON",PR!$BP636,"-"))))))))))))))))))))))))))))))))))))))))))))))))))))))))))))))))</f>
        <v>400</v>
      </c>
      <c r="F638" s="102" t="str">
        <f>EV!L808</f>
        <v>EUMATT</v>
      </c>
      <c r="G638" s="108">
        <f>IF(H638="ALPHA",PR!$E636,IF(H638="ASSENE",PR!$F636,IF(H638="BIOFEM",PR!$G636,IF(H638="BIOMED",PR!$H636,IF(H638="CHI",PR!$I636,IF(H638="CLARION",PR!$J636,IF(H638="CODIX",PR!$K636,IF(H638="COSMADE",PR!$L636,IF(H638="SANCON",PR!$M636,IF(H638="DEVON",PR!$N636,IF(H638="DORTEMAG",PR!$O636,IF(H638="DGF",PR!$P636,IF(H638="DYNAMIC",PR!$Q636,IF(H638="EMZOR",PR!$R636,IF(H638="EUMATT",PR!$S636,IF(H638="FIDSON",PR!$T636,IF(H638="FCGLOBAL",PR!$U636,IF(H638="GENEITH",PR!$V636,IF(H638="GINOS",PR!$W636,IF(H638="GSK",PR!$X636,IF(H638="GLOBORG",PR!$Y636,IF(H638="GOODNEWS",PR!$Z636,IF(H638="GREENLIFE",PR!$AA636,IF(H638="HLINE",PR!$AB636,IF(H638="ROTECH",PR!$AC636,IF(H638="ISN",PR!$AD636,IF(H638="JAWA",PR!$AE636,IF(H638="LAYO",PR!$AF636,IF(H638="LEADWAY",PR!$AG636,IF(H638="LHV",PR!$AH636,IF(H638="MANOLA",PR!$AI636,IF(H638="MARCSON",PR!$AJ636,IF(H638="M&amp;B",PR!$AK636,IF(H638="MTRUST",PR!$AL636,IF(H638="MWORLD",PR!$AM636,IF(H638="MEGA",PR!$AN636,IF(H638="MICRONOVA",PR!$AO636,IF(H638="MFLASH",PR!$AP636,IF(H638="MORISON",PR!$AQ636,IF(H638="NEMEL",PR!$AR636,IF(H638="NHP",PR!$AS636,IF(H638="NHC",PR!$AT636,IF(H638="OLEAF",PR!$AU636,IF(H638="OCULUS",PR!$AV636,IF(H638="PACIFIC",PR!$AW636,IF(H638="PHAMATEX",PR!$AX636,IF(H638="PETHICS",PR!$AY636,IF(H638="PHILIPS",PR!$AZ636,IF(H638="RANBAXY",PR!$BA636,IF(H638="REALS",PR!$BB636,IF(H638="ROYAL",PR!$BC636,IF(H638="SAM",PR!$BD636,IF(H638="SEAGREEN",PR!$BE636,IF(H638="SKG",PR!$BF636,IF(H638="TAH",PR!$BG636,IF(H638="TAYLEK",PR!$BH636,IF(H638="TEMITA",PR!$BI636,IF(H638="THL",PR!$BJ636,IF(H638="UBASTIC",PR!$BK636,IF(H638="UNION",PR!$BL636,IF(H638="UNIQUE",PR!$BM636,IF(H638="VIXA",PR!$BN636,IF(H638="WWCV",PR!$BO636,IF(H638="ZOLON",PR!$BP636,"-"))))))))))))))))))))))))))))))))))))))))))))))))))))))))))))))))</f>
        <v>445</v>
      </c>
      <c r="H638" s="102" t="str">
        <f>EV!M808</f>
        <v>ROTECH</v>
      </c>
      <c r="I638" s="108">
        <f>IF(J638="ALPHA",PR!$E636,IF(J638="ASSENE",PR!$F636,IF(J638="BIOFEM",PR!$G636,IF(J638="BIOMED",PR!$H636,IF(J638="CHI",PR!$I636,IF(J638="CLARION",PR!$J636,IF(J638="CODIX",PR!$K636,IF(J638="COSMADE",PR!$L636,IF(J638="SANCON",PR!$M636,IF(J638="DEVON",PR!$N636,IF(J638="DORTEMAG",PR!$O636,IF(J638="DGF",PR!$P636,IF(J638="DYNAMIC",PR!$Q636,IF(J638="EMZOR",PR!$R636,IF(J638="EUMATT",PR!$S636,IF(J638="FIDSON",PR!$T636,IF(J638="FCGLOBAL",PR!$U636,IF(J638="GENEITH",PR!$V636,IF(J638="GINOS",PR!$W636,IF(J638="GSK",PR!$X636,IF(J638="GLOBORG",PR!$Y636,IF(J638="GOODNEWS",PR!$Z636,IF(J638="GREENLIFE",PR!$AA636,IF(J638="HLINE",PR!$AB636,IF(J638="ROTECH",PR!$AC636,IF(J638="ISN",PR!$AD636,IF(J638="JAWA",PR!$AE636,IF(J638="LAYO",PR!$AF636,IF(J638="LEADWAY",PR!$AG636,IF(J638="LHV",PR!$AH636,IF(J638="MANOLA",PR!$AI636,IF(J638="MARCSON",PR!$AJ636,IF(J638="M&amp;B",PR!$AK636,IF(J638="MTRUST",PR!$AL636,IF(J638="MWORLD",PR!$AM636,IF(J638="MEGA",PR!$AN636,IF(J638="MICRONOVA",PR!$AO636,IF(J638="MFLASH",PR!$AP636,IF(J638="MORISON",PR!$AQ636,IF(J638="NEMEL",PR!$AR636,IF(J638="NHP",PR!$AS636,IF(J638="NHC",PR!$AT636,IF(J638="OLEAF",PR!$AU636,IF(J638="OCULUS",PR!$AV636,IF(J638="PACIFIC",PR!$AW636,IF(J638="PHAMATEX",PR!$AX636,IF(J638="PETHICS",PR!$AY636,IF(J638="PHILIPS",PR!$AZ636,IF(J638="RANBAXY",PR!$BA636,IF(J638="REALS",PR!$BB636,IF(J638="ROYAL",PR!$BC636,IF(J638="SAM",PR!$BD636,IF(J638="SEAGREEN",PR!$BE636,IF(J638="SKG",PR!$BF636,IF(J638="TAH",PR!$BG636,IF(J638="TAYLEK",PR!$BH636,IF(J638="TEMITA",PR!$BI636,IF(J638="THL",PR!$BJ636,IF(J638="UBASTIC",PR!$BK636,IF(J638="UNION",PR!$BL636,IF(J638="UNIQUE",PR!$BM636,IF(J638="VIXA",PR!$BN636,IF(J638="WWCV",PR!$BO636,IF(J638="ZOLON",PR!$BP636,"-"))))))))))))))))))))))))))))))))))))))))))))))))))))))))))))))))</f>
        <v>450</v>
      </c>
      <c r="J638" s="102" t="str">
        <f>EV!N808</f>
        <v>COSMADE</v>
      </c>
      <c r="K638" s="433" t="s">
        <v>821</v>
      </c>
      <c r="L638" s="183">
        <f>IF(K638&gt;0,IF(K638="ALPHA",PR!$E636,IF(K638="ASSENE",PR!$F636,IF(K638="BIOFEM",PR!$G636,IF(K638="BIOMED",PR!$H636,IF(K638="CHI",PR!$I636,IF(K638="CLARION",PR!$J636,IF(K638="CODIX",PR!$K636,IF(K638="COSMADE",PR!$L636,IF(K638="SANCON",PR!$M636,IF(K638="DEVON",PR!$N636,IF(K638="DORTEMAG",PR!$O636,IF(K638="DGF",PR!$P636,IF(K638="DYNAMIC",PR!$Q636,IF(K638="EMZOR",PR!$R636,IF(K638="EUMATT",PR!$S636,IF(K638="FIDSON",PR!$T636,IF(K638="FCGLOBAL",PR!$U636,IF(K638="GENEITH",PR!$V636,IF(K638="GINOS",PR!$W636,IF(K638="GSK",PR!$X636,IF(K638="GLOBORG",PR!$Y636,IF(K638="GOODNEWS",PR!$Z636,IF(K638="GREENLIFE",PR!$AA636,IF(K638="HLINE",PR!$AB636,IF(K638="ROTECH",PR!$AC636,IF(K638="ISN",PR!$AD636,IF(K638="JAWA",PR!$AE636,IF(K638="LAYO",PR!$AF636,IF(K638="LEADWAY",PR!$AG636,IF(K638="LHV",PR!$AH636,IF(K638="MANOLA",PR!$AI636,IF(K638="MARCSON",PR!$AJ636,IF(K638="M&amp;B",PR!$AK636,IF(K638="MTRUST",PR!$AL636,IF(K638="MWORLD",PR!$AM636,IF(K638="MEGA",PR!$AN636,IF(K638="MICRONOVA",PR!$AO636,IF(K638="MFLASH",PR!$AP636,IF(K638="MORISON",PR!$AQ636,IF(K638="NEMEL",PR!$AR636,IF(K638="NHP",PR!$AS636,IF(K638="NHC",PR!$AT636,IF(K638="OLEAF",PR!$AU636,IF(K638="OCULUS",PR!$AV636,IF(K638="PACIFIC",PR!$AW636,IF(K638="PHAMATEX",PR!$AX636,IF(K638="PETHICS",PR!$AY636,IF(K638="PHILIPS",PR!$AZ636,IF(K638="RANBAXY",PR!$BA636,IF(K638="REALS",PR!$BB636,IF(K638="ROYAL",PR!$BC636,IF(K638="SAM",PR!$BD636,IF(K638="SEAGREEN",PR!$BE636,IF(K638="SKG",PR!$BF636,IF(K638="TAH",PR!$BG636,IF(K638="TAYLEK",PR!$BH636,IF(K638="TEMITA",PR!$BI636,IF(K638="THL",PR!$BJ636,IF(K638="UBASTIC",PR!$BK636,IF(K638="UNION",PR!$BL636,IF(K638="UNIQUE",PR!$BM636,IF(K638="VIXA",PR!$BN636,IF(K638="WWCV",PR!$BO636,IF(K638="ZOLON",PR!$BP636,"-")))))))))))))))))))))))))))))))))))))))))))))))))))))))))))))))))</f>
        <v>400</v>
      </c>
    </row>
    <row r="639" spans="1:12" ht="18.75" x14ac:dyDescent="0.3">
      <c r="A639" s="430">
        <f>PR!A637</f>
        <v>575</v>
      </c>
      <c r="B639" s="15" t="str">
        <f>PR!B637</f>
        <v>2CC NEEDLE/SYRINGE</v>
      </c>
      <c r="C639" s="113">
        <f>PR!D637</f>
        <v>100</v>
      </c>
      <c r="D639" s="113">
        <f>PR!C637</f>
        <v>3000</v>
      </c>
      <c r="E639" s="108">
        <f>IF(F639="ALPHA",PR!$E637,IF(F639="ASSENE",PR!$F637,IF(F639="BIOFEM",PR!$G637,IF(F639="BIOMED",PR!$H637,IF(F639="CHI",PR!$I637,IF(F639="CLARION",PR!$J637,IF(F639="CODIX",PR!$K637,IF(F639="COSMADE",PR!$L637,IF(F639="SANCON",PR!$M637,IF(F639="DEVON",PR!$N637,IF(F639="DORTEMAG",PR!$O637,IF(F639="DGF",PR!$P637,IF(F639="DYNAMIC",PR!$Q637,IF(F639="EMZOR",PR!$R637,IF(F639="EUMATT",PR!$S637,IF(F639="FIDSON",PR!$T637,IF(F639="FCGLOBAL",PR!$U637,IF(F639="GENEITH",PR!$V637,IF(F639="GINOS",PR!$W637,IF(F639="GSK",PR!$X637,IF(F639="GLOBORG",PR!$Y637,IF(F639="GOODNEWS",PR!$Z637,IF(F639="GREENLIFE",PR!$AA637,IF(F639="HLINE",PR!$AB637,IF(F639="ROTECH",PR!$AC637,IF(F639="ISN",PR!$AD637,IF(F639="JAWA",PR!$AE637,IF(F639="LAYO",PR!$AF637,IF(F639="LEADWAY",PR!$AG637,IF(F639="LHV",PR!$AH637,IF(F639="MANOLA",PR!$AI637,IF(F639="MARCSON",PR!$AJ637,IF(F639="M&amp;B",PR!$AK637,IF(F639="MTRUST",PR!$AL637,IF(F639="MWORLD",PR!$AM637,IF(F639="MEGA",PR!$AN637,IF(F639="MICRONOVA",PR!$AO637,IF(F639="MFLASH",PR!$AP637,IF(F639="MORISON",PR!$AQ637,IF(F639="NEMEL",PR!$AR637,IF(F639="NHP",PR!$AS637,IF(F639="NHC",PR!$AT637,IF(F639="OLEAF",PR!$AU637,IF(F639="OCULUS",PR!$AV637,IF(F639="PACIFIC",PR!$AW637,IF(F639="PHAMATEX",PR!$AX637,IF(F639="PETHICS",PR!$AY637,IF(F639="PHILIPS",PR!$AZ637,IF(F639="RANBAXY",PR!$BA637,IF(F639="REALS",PR!$BB637,IF(F639="ROYAL",PR!$BC637,IF(F639="SAM",PR!$BD637,IF(F639="SEAGREEN",PR!$BE637,IF(F639="SKG",PR!$BF637,IF(F639="TAH",PR!$BG637,IF(F639="TAYLEK",PR!$BH637,IF(F639="TEMITA",PR!$BI637,IF(F639="THL",PR!$BJ637,IF(F639="UBASTIC",PR!$BK637,IF(F639="UNION",PR!$BL637,IF(F639="UNIQUE",PR!$BM637,IF(F639="VIXA",PR!$BN637,IF(F639="WWCV",PR!$BO637,IF(F639="ZOLON",PR!$BP637,"-"))))))))))))))))))))))))))))))))))))))))))))))))))))))))))))))))</f>
        <v>1200</v>
      </c>
      <c r="F639" s="102" t="str">
        <f>EV!L809</f>
        <v>EUMATT</v>
      </c>
      <c r="G639" s="108">
        <f>IF(H639="ALPHA",PR!$E637,IF(H639="ASSENE",PR!$F637,IF(H639="BIOFEM",PR!$G637,IF(H639="BIOMED",PR!$H637,IF(H639="CHI",PR!$I637,IF(H639="CLARION",PR!$J637,IF(H639="CODIX",PR!$K637,IF(H639="COSMADE",PR!$L637,IF(H639="SANCON",PR!$M637,IF(H639="DEVON",PR!$N637,IF(H639="DORTEMAG",PR!$O637,IF(H639="DGF",PR!$P637,IF(H639="DYNAMIC",PR!$Q637,IF(H639="EMZOR",PR!$R637,IF(H639="EUMATT",PR!$S637,IF(H639="FIDSON",PR!$T637,IF(H639="FCGLOBAL",PR!$U637,IF(H639="GENEITH",PR!$V637,IF(H639="GINOS",PR!$W637,IF(H639="GSK",PR!$X637,IF(H639="GLOBORG",PR!$Y637,IF(H639="GOODNEWS",PR!$Z637,IF(H639="GREENLIFE",PR!$AA637,IF(H639="HLINE",PR!$AB637,IF(H639="ROTECH",PR!$AC637,IF(H639="ISN",PR!$AD637,IF(H639="JAWA",PR!$AE637,IF(H639="LAYO",PR!$AF637,IF(H639="LEADWAY",PR!$AG637,IF(H639="LHV",PR!$AH637,IF(H639="MANOLA",PR!$AI637,IF(H639="MARCSON",PR!$AJ637,IF(H639="M&amp;B",PR!$AK637,IF(H639="MTRUST",PR!$AL637,IF(H639="MWORLD",PR!$AM637,IF(H639="MEGA",PR!$AN637,IF(H639="MICRONOVA",PR!$AO637,IF(H639="MFLASH",PR!$AP637,IF(H639="MORISON",PR!$AQ637,IF(H639="NEMEL",PR!$AR637,IF(H639="NHP",PR!$AS637,IF(H639="NHC",PR!$AT637,IF(H639="OLEAF",PR!$AU637,IF(H639="OCULUS",PR!$AV637,IF(H639="PACIFIC",PR!$AW637,IF(H639="PHAMATEX",PR!$AX637,IF(H639="PETHICS",PR!$AY637,IF(H639="PHILIPS",PR!$AZ637,IF(H639="RANBAXY",PR!$BA637,IF(H639="REALS",PR!$BB637,IF(H639="ROYAL",PR!$BC637,IF(H639="SAM",PR!$BD637,IF(H639="SEAGREEN",PR!$BE637,IF(H639="SKG",PR!$BF637,IF(H639="TAH",PR!$BG637,IF(H639="TAYLEK",PR!$BH637,IF(H639="TEMITA",PR!$BI637,IF(H639="THL",PR!$BJ637,IF(H639="UBASTIC",PR!$BK637,IF(H639="UNION",PR!$BL637,IF(H639="UNIQUE",PR!$BM637,IF(H639="VIXA",PR!$BN637,IF(H639="WWCV",PR!$BO637,IF(H639="ZOLON",PR!$BP637,"-"))))))))))))))))))))))))))))))))))))))))))))))))))))))))))))))))</f>
        <v>1200</v>
      </c>
      <c r="H639" s="102" t="str">
        <f>EV!M809</f>
        <v>COSMADE</v>
      </c>
      <c r="I639" s="108">
        <f>IF(J639="ALPHA",PR!$E637,IF(J639="ASSENE",PR!$F637,IF(J639="BIOFEM",PR!$G637,IF(J639="BIOMED",PR!$H637,IF(J639="CHI",PR!$I637,IF(J639="CLARION",PR!$J637,IF(J639="CODIX",PR!$K637,IF(J639="COSMADE",PR!$L637,IF(J639="SANCON",PR!$M637,IF(J639="DEVON",PR!$N637,IF(J639="DORTEMAG",PR!$O637,IF(J639="DGF",PR!$P637,IF(J639="DYNAMIC",PR!$Q637,IF(J639="EMZOR",PR!$R637,IF(J639="EUMATT",PR!$S637,IF(J639="FIDSON",PR!$T637,IF(J639="FCGLOBAL",PR!$U637,IF(J639="GENEITH",PR!$V637,IF(J639="GINOS",PR!$W637,IF(J639="GSK",PR!$X637,IF(J639="GLOBORG",PR!$Y637,IF(J639="GOODNEWS",PR!$Z637,IF(J639="GREENLIFE",PR!$AA637,IF(J639="HLINE",PR!$AB637,IF(J639="ROTECH",PR!$AC637,IF(J639="ISN",PR!$AD637,IF(J639="JAWA",PR!$AE637,IF(J639="LAYO",PR!$AF637,IF(J639="LEADWAY",PR!$AG637,IF(J639="LHV",PR!$AH637,IF(J639="MANOLA",PR!$AI637,IF(J639="MARCSON",PR!$AJ637,IF(J639="M&amp;B",PR!$AK637,IF(J639="MTRUST",PR!$AL637,IF(J639="MWORLD",PR!$AM637,IF(J639="MEGA",PR!$AN637,IF(J639="MICRONOVA",PR!$AO637,IF(J639="MFLASH",PR!$AP637,IF(J639="MORISON",PR!$AQ637,IF(J639="NEMEL",PR!$AR637,IF(J639="NHP",PR!$AS637,IF(J639="NHC",PR!$AT637,IF(J639="OLEAF",PR!$AU637,IF(J639="OCULUS",PR!$AV637,IF(J639="PACIFIC",PR!$AW637,IF(J639="PHAMATEX",PR!$AX637,IF(J639="PETHICS",PR!$AY637,IF(J639="PHILIPS",PR!$AZ637,IF(J639="RANBAXY",PR!$BA637,IF(J639="REALS",PR!$BB637,IF(J639="ROYAL",PR!$BC637,IF(J639="SAM",PR!$BD637,IF(J639="SEAGREEN",PR!$BE637,IF(J639="SKG",PR!$BF637,IF(J639="TAH",PR!$BG637,IF(J639="TAYLEK",PR!$BH637,IF(J639="TEMITA",PR!$BI637,IF(J639="THL",PR!$BJ637,IF(J639="UBASTIC",PR!$BK637,IF(J639="UNION",PR!$BL637,IF(J639="UNIQUE",PR!$BM637,IF(J639="VIXA",PR!$BN637,IF(J639="WWCV",PR!$BO637,IF(J639="ZOLON",PR!$BP637,"-"))))))))))))))))))))))))))))))))))))))))))))))))))))))))))))))))</f>
        <v>1290</v>
      </c>
      <c r="J639" s="102" t="str">
        <f>EV!N809</f>
        <v>LEADWAY</v>
      </c>
      <c r="K639" s="433" t="s">
        <v>2149</v>
      </c>
      <c r="L639" s="183" t="str">
        <f>IF(K639&gt;0,IF(K639="ALPHA",PR!$E637,IF(K639="ASSENE",PR!$F637,IF(K639="BIOFEM",PR!$G637,IF(K639="BIOMED",PR!$H637,IF(K639="CHI",PR!$I637,IF(K639="CLARION",PR!$J637,IF(K639="CODIX",PR!$K637,IF(K639="COSMADE",PR!$L637,IF(K639="SANCON",PR!$M637,IF(K639="DEVON",PR!$N637,IF(K639="DORTEMAG",PR!$O637,IF(K639="DGF",PR!$P637,IF(K639="DYNAMIC",PR!$Q637,IF(K639="EMZOR",PR!$R637,IF(K639="EUMATT",PR!$S637,IF(K639="FIDSON",PR!$T637,IF(K639="FCGLOBAL",PR!$U637,IF(K639="GENEITH",PR!$V637,IF(K639="GINOS",PR!$W637,IF(K639="GSK",PR!$X637,IF(K639="GLOBORG",PR!$Y637,IF(K639="GOODNEWS",PR!$Z637,IF(K639="GREENLIFE",PR!$AA637,IF(K639="HLINE",PR!$AB637,IF(K639="ROTECH",PR!$AC637,IF(K639="ISN",PR!$AD637,IF(K639="JAWA",PR!$AE637,IF(K639="LAYO",PR!$AF637,IF(K639="LEADWAY",PR!$AG637,IF(K639="LHV",PR!$AH637,IF(K639="MANOLA",PR!$AI637,IF(K639="MARCSON",PR!$AJ637,IF(K639="M&amp;B",PR!$AK637,IF(K639="MTRUST",PR!$AL637,IF(K639="MWORLD",PR!$AM637,IF(K639="MEGA",PR!$AN637,IF(K639="MICRONOVA",PR!$AO637,IF(K639="MFLASH",PR!$AP637,IF(K639="MORISON",PR!$AQ637,IF(K639="NEMEL",PR!$AR637,IF(K639="NHP",PR!$AS637,IF(K639="NHC",PR!$AT637,IF(K639="OLEAF",PR!$AU637,IF(K639="OCULUS",PR!$AV637,IF(K639="PACIFIC",PR!$AW637,IF(K639="PHAMATEX",PR!$AX637,IF(K639="PETHICS",PR!$AY637,IF(K639="PHILIPS",PR!$AZ637,IF(K639="RANBAXY",PR!$BA637,IF(K639="REALS",PR!$BB637,IF(K639="ROYAL",PR!$BC637,IF(K639="SAM",PR!$BD637,IF(K639="SEAGREEN",PR!$BE637,IF(K639="SKG",PR!$BF637,IF(K639="TAH",PR!$BG637,IF(K639="TAYLEK",PR!$BH637,IF(K639="TEMITA",PR!$BI637,IF(K639="THL",PR!$BJ637,IF(K639="UBASTIC",PR!$BK637,IF(K639="UNION",PR!$BL637,IF(K639="UNIQUE",PR!$BM637,IF(K639="VIXA",PR!$BN637,IF(K639="WWCV",PR!$BO637,IF(K639="ZOLON",PR!$BP637,"-")))))))))))))))))))))))))))))))))))))))))))))))))))))))))))))))))</f>
        <v>-</v>
      </c>
    </row>
    <row r="640" spans="1:12" ht="18.75" x14ac:dyDescent="0.3">
      <c r="A640" s="430">
        <f>PR!A638</f>
        <v>576</v>
      </c>
      <c r="B640" s="15" t="str">
        <f>PR!B638</f>
        <v xml:space="preserve">5CC NEEDLE/SYRINGE </v>
      </c>
      <c r="C640" s="113">
        <f>PR!D638</f>
        <v>100</v>
      </c>
      <c r="D640" s="113">
        <f>PR!C638</f>
        <v>4000</v>
      </c>
      <c r="E640" s="108">
        <f>IF(F640="ALPHA",PR!$E638,IF(F640="ASSENE",PR!$F638,IF(F640="BIOFEM",PR!$G638,IF(F640="BIOMED",PR!$H638,IF(F640="CHI",PR!$I638,IF(F640="CLARION",PR!$J638,IF(F640="CODIX",PR!$K638,IF(F640="COSMADE",PR!$L638,IF(F640="SANCON",PR!$M638,IF(F640="DEVON",PR!$N638,IF(F640="DORTEMAG",PR!$O638,IF(F640="DGF",PR!$P638,IF(F640="DYNAMIC",PR!$Q638,IF(F640="EMZOR",PR!$R638,IF(F640="EUMATT",PR!$S638,IF(F640="FIDSON",PR!$T638,IF(F640="FCGLOBAL",PR!$U638,IF(F640="GENEITH",PR!$V638,IF(F640="GINOS",PR!$W638,IF(F640="GSK",PR!$X638,IF(F640="GLOBORG",PR!$Y638,IF(F640="GOODNEWS",PR!$Z638,IF(F640="GREENLIFE",PR!$AA638,IF(F640="HLINE",PR!$AB638,IF(F640="ROTECH",PR!$AC638,IF(F640="ISN",PR!$AD638,IF(F640="JAWA",PR!$AE638,IF(F640="LAYO",PR!$AF638,IF(F640="LEADWAY",PR!$AG638,IF(F640="LHV",PR!$AH638,IF(F640="MANOLA",PR!$AI638,IF(F640="MARCSON",PR!$AJ638,IF(F640="M&amp;B",PR!$AK638,IF(F640="MTRUST",PR!$AL638,IF(F640="MWORLD",PR!$AM638,IF(F640="MEGA",PR!$AN638,IF(F640="MICRONOVA",PR!$AO638,IF(F640="MFLASH",PR!$AP638,IF(F640="MORISON",PR!$AQ638,IF(F640="NEMEL",PR!$AR638,IF(F640="NHP",PR!$AS638,IF(F640="NHC",PR!$AT638,IF(F640="OLEAF",PR!$AU638,IF(F640="OCULUS",PR!$AV638,IF(F640="PACIFIC",PR!$AW638,IF(F640="PHAMATEX",PR!$AX638,IF(F640="PETHICS",PR!$AY638,IF(F640="PHILIPS",PR!$AZ638,IF(F640="RANBAXY",PR!$BA638,IF(F640="REALS",PR!$BB638,IF(F640="ROYAL",PR!$BC638,IF(F640="SAM",PR!$BD638,IF(F640="SEAGREEN",PR!$BE638,IF(F640="SKG",PR!$BF638,IF(F640="TAH",PR!$BG638,IF(F640="TAYLEK",PR!$BH638,IF(F640="TEMITA",PR!$BI638,IF(F640="THL",PR!$BJ638,IF(F640="UBASTIC",PR!$BK638,IF(F640="UNION",PR!$BL638,IF(F640="UNIQUE",PR!$BM638,IF(F640="VIXA",PR!$BN638,IF(F640="WWCV",PR!$BO638,IF(F640="ZOLON",PR!$BP638,"-"))))))))))))))))))))))))))))))))))))))))))))))))))))))))))))))))</f>
        <v>1200</v>
      </c>
      <c r="F640" s="102" t="str">
        <f>EV!L810</f>
        <v>COSMADE</v>
      </c>
      <c r="G640" s="108">
        <f>IF(H640="ALPHA",PR!$E638,IF(H640="ASSENE",PR!$F638,IF(H640="BIOFEM",PR!$G638,IF(H640="BIOMED",PR!$H638,IF(H640="CHI",PR!$I638,IF(H640="CLARION",PR!$J638,IF(H640="CODIX",PR!$K638,IF(H640="COSMADE",PR!$L638,IF(H640="SANCON",PR!$M638,IF(H640="DEVON",PR!$N638,IF(H640="DORTEMAG",PR!$O638,IF(H640="DGF",PR!$P638,IF(H640="DYNAMIC",PR!$Q638,IF(H640="EMZOR",PR!$R638,IF(H640="EUMATT",PR!$S638,IF(H640="FIDSON",PR!$T638,IF(H640="FCGLOBAL",PR!$U638,IF(H640="GENEITH",PR!$V638,IF(H640="GINOS",PR!$W638,IF(H640="GSK",PR!$X638,IF(H640="GLOBORG",PR!$Y638,IF(H640="GOODNEWS",PR!$Z638,IF(H640="GREENLIFE",PR!$AA638,IF(H640="HLINE",PR!$AB638,IF(H640="ROTECH",PR!$AC638,IF(H640="ISN",PR!$AD638,IF(H640="JAWA",PR!$AE638,IF(H640="LAYO",PR!$AF638,IF(H640="LEADWAY",PR!$AG638,IF(H640="LHV",PR!$AH638,IF(H640="MANOLA",PR!$AI638,IF(H640="MARCSON",PR!$AJ638,IF(H640="M&amp;B",PR!$AK638,IF(H640="MTRUST",PR!$AL638,IF(H640="MWORLD",PR!$AM638,IF(H640="MEGA",PR!$AN638,IF(H640="MICRONOVA",PR!$AO638,IF(H640="MFLASH",PR!$AP638,IF(H640="MORISON",PR!$AQ638,IF(H640="NEMEL",PR!$AR638,IF(H640="NHP",PR!$AS638,IF(H640="NHC",PR!$AT638,IF(H640="OLEAF",PR!$AU638,IF(H640="OCULUS",PR!$AV638,IF(H640="PACIFIC",PR!$AW638,IF(H640="PHAMATEX",PR!$AX638,IF(H640="PETHICS",PR!$AY638,IF(H640="PHILIPS",PR!$AZ638,IF(H640="RANBAXY",PR!$BA638,IF(H640="REALS",PR!$BB638,IF(H640="ROYAL",PR!$BC638,IF(H640="SAM",PR!$BD638,IF(H640="SEAGREEN",PR!$BE638,IF(H640="SKG",PR!$BF638,IF(H640="TAH",PR!$BG638,IF(H640="TAYLEK",PR!$BH638,IF(H640="TEMITA",PR!$BI638,IF(H640="THL",PR!$BJ638,IF(H640="UBASTIC",PR!$BK638,IF(H640="UNION",PR!$BL638,IF(H640="UNIQUE",PR!$BM638,IF(H640="VIXA",PR!$BN638,IF(H640="WWCV",PR!$BO638,IF(H640="ZOLON",PR!$BP638,"-"))))))))))))))))))))))))))))))))))))))))))))))))))))))))))))))))</f>
        <v>1200</v>
      </c>
      <c r="H640" s="102" t="str">
        <f>EV!M810</f>
        <v>EUMATT</v>
      </c>
      <c r="I640" s="108">
        <f>IF(J640="ALPHA",PR!$E638,IF(J640="ASSENE",PR!$F638,IF(J640="BIOFEM",PR!$G638,IF(J640="BIOMED",PR!$H638,IF(J640="CHI",PR!$I638,IF(J640="CLARION",PR!$J638,IF(J640="CODIX",PR!$K638,IF(J640="COSMADE",PR!$L638,IF(J640="SANCON",PR!$M638,IF(J640="DEVON",PR!$N638,IF(J640="DORTEMAG",PR!$O638,IF(J640="DGF",PR!$P638,IF(J640="DYNAMIC",PR!$Q638,IF(J640="EMZOR",PR!$R638,IF(J640="EUMATT",PR!$S638,IF(J640="FIDSON",PR!$T638,IF(J640="FCGLOBAL",PR!$U638,IF(J640="GENEITH",PR!$V638,IF(J640="GINOS",PR!$W638,IF(J640="GSK",PR!$X638,IF(J640="GLOBORG",PR!$Y638,IF(J640="GOODNEWS",PR!$Z638,IF(J640="GREENLIFE",PR!$AA638,IF(J640="HLINE",PR!$AB638,IF(J640="ROTECH",PR!$AC638,IF(J640="ISN",PR!$AD638,IF(J640="JAWA",PR!$AE638,IF(J640="LAYO",PR!$AF638,IF(J640="LEADWAY",PR!$AG638,IF(J640="LHV",PR!$AH638,IF(J640="MANOLA",PR!$AI638,IF(J640="MARCSON",PR!$AJ638,IF(J640="M&amp;B",PR!$AK638,IF(J640="MTRUST",PR!$AL638,IF(J640="MWORLD",PR!$AM638,IF(J640="MEGA",PR!$AN638,IF(J640="MICRONOVA",PR!$AO638,IF(J640="MFLASH",PR!$AP638,IF(J640="MORISON",PR!$AQ638,IF(J640="NEMEL",PR!$AR638,IF(J640="NHP",PR!$AS638,IF(J640="NHC",PR!$AT638,IF(J640="OLEAF",PR!$AU638,IF(J640="OCULUS",PR!$AV638,IF(J640="PACIFIC",PR!$AW638,IF(J640="PHAMATEX",PR!$AX638,IF(J640="PETHICS",PR!$AY638,IF(J640="PHILIPS",PR!$AZ638,IF(J640="RANBAXY",PR!$BA638,IF(J640="REALS",PR!$BB638,IF(J640="ROYAL",PR!$BC638,IF(J640="SAM",PR!$BD638,IF(J640="SEAGREEN",PR!$BE638,IF(J640="SKG",PR!$BF638,IF(J640="TAH",PR!$BG638,IF(J640="TAYLEK",PR!$BH638,IF(J640="TEMITA",PR!$BI638,IF(J640="THL",PR!$BJ638,IF(J640="UBASTIC",PR!$BK638,IF(J640="UNION",PR!$BL638,IF(J640="UNIQUE",PR!$BM638,IF(J640="VIXA",PR!$BN638,IF(J640="WWCV",PR!$BO638,IF(J640="ZOLON",PR!$BP638,"-"))))))))))))))))))))))))))))))))))))))))))))))))))))))))))))))))</f>
        <v>1290</v>
      </c>
      <c r="J640" s="102" t="str">
        <f>EV!N810</f>
        <v>LEADWAY</v>
      </c>
      <c r="K640" s="433" t="s">
        <v>2149</v>
      </c>
      <c r="L640" s="183" t="str">
        <f>IF(K640&gt;0,IF(K640="ALPHA",PR!$E638,IF(K640="ASSENE",PR!$F638,IF(K640="BIOFEM",PR!$G638,IF(K640="BIOMED",PR!$H638,IF(K640="CHI",PR!$I638,IF(K640="CLARION",PR!$J638,IF(K640="CODIX",PR!$K638,IF(K640="COSMADE",PR!$L638,IF(K640="SANCON",PR!$M638,IF(K640="DEVON",PR!$N638,IF(K640="DORTEMAG",PR!$O638,IF(K640="DGF",PR!$P638,IF(K640="DYNAMIC",PR!$Q638,IF(K640="EMZOR",PR!$R638,IF(K640="EUMATT",PR!$S638,IF(K640="FIDSON",PR!$T638,IF(K640="FCGLOBAL",PR!$U638,IF(K640="GENEITH",PR!$V638,IF(K640="GINOS",PR!$W638,IF(K640="GSK",PR!$X638,IF(K640="GLOBORG",PR!$Y638,IF(K640="GOODNEWS",PR!$Z638,IF(K640="GREENLIFE",PR!$AA638,IF(K640="HLINE",PR!$AB638,IF(K640="ROTECH",PR!$AC638,IF(K640="ISN",PR!$AD638,IF(K640="JAWA",PR!$AE638,IF(K640="LAYO",PR!$AF638,IF(K640="LEADWAY",PR!$AG638,IF(K640="LHV",PR!$AH638,IF(K640="MANOLA",PR!$AI638,IF(K640="MARCSON",PR!$AJ638,IF(K640="M&amp;B",PR!$AK638,IF(K640="MTRUST",PR!$AL638,IF(K640="MWORLD",PR!$AM638,IF(K640="MEGA",PR!$AN638,IF(K640="MICRONOVA",PR!$AO638,IF(K640="MFLASH",PR!$AP638,IF(K640="MORISON",PR!$AQ638,IF(K640="NEMEL",PR!$AR638,IF(K640="NHP",PR!$AS638,IF(K640="NHC",PR!$AT638,IF(K640="OLEAF",PR!$AU638,IF(K640="OCULUS",PR!$AV638,IF(K640="PACIFIC",PR!$AW638,IF(K640="PHAMATEX",PR!$AX638,IF(K640="PETHICS",PR!$AY638,IF(K640="PHILIPS",PR!$AZ638,IF(K640="RANBAXY",PR!$BA638,IF(K640="REALS",PR!$BB638,IF(K640="ROYAL",PR!$BC638,IF(K640="SAM",PR!$BD638,IF(K640="SEAGREEN",PR!$BE638,IF(K640="SKG",PR!$BF638,IF(K640="TAH",PR!$BG638,IF(K640="TAYLEK",PR!$BH638,IF(K640="TEMITA",PR!$BI638,IF(K640="THL",PR!$BJ638,IF(K640="UBASTIC",PR!$BK638,IF(K640="UNION",PR!$BL638,IF(K640="UNIQUE",PR!$BM638,IF(K640="VIXA",PR!$BN638,IF(K640="WWCV",PR!$BO638,IF(K640="ZOLON",PR!$BP638,"-")))))))))))))))))))))))))))))))))))))))))))))))))))))))))))))))))</f>
        <v>-</v>
      </c>
    </row>
    <row r="641" spans="1:12" ht="18.75" x14ac:dyDescent="0.3">
      <c r="A641" s="430">
        <f>PR!A639</f>
        <v>577</v>
      </c>
      <c r="B641" s="15" t="str">
        <f>PR!B639</f>
        <v xml:space="preserve">50CC NEEDLE/SYRINGE </v>
      </c>
      <c r="C641" s="113">
        <f>PR!D639</f>
        <v>100</v>
      </c>
      <c r="D641" s="113">
        <f>PR!C639</f>
        <v>100</v>
      </c>
      <c r="E641" s="108">
        <f>IF(F641="ALPHA",PR!$E639,IF(F641="ASSENE",PR!$F639,IF(F641="BIOFEM",PR!$G639,IF(F641="BIOMED",PR!$H639,IF(F641="CHI",PR!$I639,IF(F641="CLARION",PR!$J639,IF(F641="CODIX",PR!$K639,IF(F641="COSMADE",PR!$L639,IF(F641="SANCON",PR!$M639,IF(F641="DEVON",PR!$N639,IF(F641="DORTEMAG",PR!$O639,IF(F641="DGF",PR!$P639,IF(F641="DYNAMIC",PR!$Q639,IF(F641="EMZOR",PR!$R639,IF(F641="EUMATT",PR!$S639,IF(F641="FIDSON",PR!$T639,IF(F641="FCGLOBAL",PR!$U639,IF(F641="GENEITH",PR!$V639,IF(F641="GINOS",PR!$W639,IF(F641="GSK",PR!$X639,IF(F641="GLOBORG",PR!$Y639,IF(F641="GOODNEWS",PR!$Z639,IF(F641="GREENLIFE",PR!$AA639,IF(F641="HLINE",PR!$AB639,IF(F641="ROTECH",PR!$AC639,IF(F641="ISN",PR!$AD639,IF(F641="JAWA",PR!$AE639,IF(F641="LAYO",PR!$AF639,IF(F641="LEADWAY",PR!$AG639,IF(F641="LHV",PR!$AH639,IF(F641="MANOLA",PR!$AI639,IF(F641="MARCSON",PR!$AJ639,IF(F641="M&amp;B",PR!$AK639,IF(F641="MTRUST",PR!$AL639,IF(F641="MWORLD",PR!$AM639,IF(F641="MEGA",PR!$AN639,IF(F641="MICRONOVA",PR!$AO639,IF(F641="MFLASH",PR!$AP639,IF(F641="MORISON",PR!$AQ639,IF(F641="NEMEL",PR!$AR639,IF(F641="NHP",PR!$AS639,IF(F641="NHC",PR!$AT639,IF(F641="OLEAF",PR!$AU639,IF(F641="OCULUS",PR!$AV639,IF(F641="PACIFIC",PR!$AW639,IF(F641="PHAMATEX",PR!$AX639,IF(F641="PETHICS",PR!$AY639,IF(F641="PHILIPS",PR!$AZ639,IF(F641="RANBAXY",PR!$BA639,IF(F641="REALS",PR!$BB639,IF(F641="ROYAL",PR!$BC639,IF(F641="SAM",PR!$BD639,IF(F641="SEAGREEN",PR!$BE639,IF(F641="SKG",PR!$BF639,IF(F641="TAH",PR!$BG639,IF(F641="TAYLEK",PR!$BH639,IF(F641="TEMITA",PR!$BI639,IF(F641="THL",PR!$BJ639,IF(F641="UBASTIC",PR!$BK639,IF(F641="UNION",PR!$BL639,IF(F641="UNIQUE",PR!$BM639,IF(F641="VIXA",PR!$BN639,IF(F641="WWCV",PR!$BO639,IF(F641="ZOLON",PR!$BP639,"-"))))))))))))))))))))))))))))))))))))))))))))))))))))))))))))))))</f>
        <v>17000</v>
      </c>
      <c r="F641" s="102" t="str">
        <f>EV!L811</f>
        <v>ROTECH</v>
      </c>
      <c r="G641" s="108">
        <f>IF(H641="ALPHA",PR!$E639,IF(H641="ASSENE",PR!$F639,IF(H641="BIOFEM",PR!$G639,IF(H641="BIOMED",PR!$H639,IF(H641="CHI",PR!$I639,IF(H641="CLARION",PR!$J639,IF(H641="CODIX",PR!$K639,IF(H641="COSMADE",PR!$L639,IF(H641="SANCON",PR!$M639,IF(H641="DEVON",PR!$N639,IF(H641="DORTEMAG",PR!$O639,IF(H641="DGF",PR!$P639,IF(H641="DYNAMIC",PR!$Q639,IF(H641="EMZOR",PR!$R639,IF(H641="EUMATT",PR!$S639,IF(H641="FIDSON",PR!$T639,IF(H641="FCGLOBAL",PR!$U639,IF(H641="GENEITH",PR!$V639,IF(H641="GINOS",PR!$W639,IF(H641="GSK",PR!$X639,IF(H641="GLOBORG",PR!$Y639,IF(H641="GOODNEWS",PR!$Z639,IF(H641="GREENLIFE",PR!$AA639,IF(H641="HLINE",PR!$AB639,IF(H641="ROTECH",PR!$AC639,IF(H641="ISN",PR!$AD639,IF(H641="JAWA",PR!$AE639,IF(H641="LAYO",PR!$AF639,IF(H641="LEADWAY",PR!$AG639,IF(H641="LHV",PR!$AH639,IF(H641="MANOLA",PR!$AI639,IF(H641="MARCSON",PR!$AJ639,IF(H641="M&amp;B",PR!$AK639,IF(H641="MTRUST",PR!$AL639,IF(H641="MWORLD",PR!$AM639,IF(H641="MEGA",PR!$AN639,IF(H641="MICRONOVA",PR!$AO639,IF(H641="MFLASH",PR!$AP639,IF(H641="MORISON",PR!$AQ639,IF(H641="NEMEL",PR!$AR639,IF(H641="NHP",PR!$AS639,IF(H641="NHC",PR!$AT639,IF(H641="OLEAF",PR!$AU639,IF(H641="OCULUS",PR!$AV639,IF(H641="PACIFIC",PR!$AW639,IF(H641="PHAMATEX",PR!$AX639,IF(H641="PETHICS",PR!$AY639,IF(H641="PHILIPS",PR!$AZ639,IF(H641="RANBAXY",PR!$BA639,IF(H641="REALS",PR!$BB639,IF(H641="ROYAL",PR!$BC639,IF(H641="SAM",PR!$BD639,IF(H641="SEAGREEN",PR!$BE639,IF(H641="SKG",PR!$BF639,IF(H641="TAH",PR!$BG639,IF(H641="TAYLEK",PR!$BH639,IF(H641="TEMITA",PR!$BI639,IF(H641="THL",PR!$BJ639,IF(H641="UBASTIC",PR!$BK639,IF(H641="UNION",PR!$BL639,IF(H641="UNIQUE",PR!$BM639,IF(H641="VIXA",PR!$BN639,IF(H641="WWCV",PR!$BO639,IF(H641="ZOLON",PR!$BP639,"-"))))))))))))))))))))))))))))))))))))))))))))))))))))))))))))))))</f>
        <v>18000</v>
      </c>
      <c r="H641" s="102" t="str">
        <f>EV!M811</f>
        <v>EUMATT</v>
      </c>
      <c r="I641" s="108">
        <f>IF(J641="ALPHA",PR!$E639,IF(J641="ASSENE",PR!$F639,IF(J641="BIOFEM",PR!$G639,IF(J641="BIOMED",PR!$H639,IF(J641="CHI",PR!$I639,IF(J641="CLARION",PR!$J639,IF(J641="CODIX",PR!$K639,IF(J641="COSMADE",PR!$L639,IF(J641="SANCON",PR!$M639,IF(J641="DEVON",PR!$N639,IF(J641="DORTEMAG",PR!$O639,IF(J641="DGF",PR!$P639,IF(J641="DYNAMIC",PR!$Q639,IF(J641="EMZOR",PR!$R639,IF(J641="EUMATT",PR!$S639,IF(J641="FIDSON",PR!$T639,IF(J641="FCGLOBAL",PR!$U639,IF(J641="GENEITH",PR!$V639,IF(J641="GINOS",PR!$W639,IF(J641="GSK",PR!$X639,IF(J641="GLOBORG",PR!$Y639,IF(J641="GOODNEWS",PR!$Z639,IF(J641="GREENLIFE",PR!$AA639,IF(J641="HLINE",PR!$AB639,IF(J641="ROTECH",PR!$AC639,IF(J641="ISN",PR!$AD639,IF(J641="JAWA",PR!$AE639,IF(J641="LAYO",PR!$AF639,IF(J641="LEADWAY",PR!$AG639,IF(J641="LHV",PR!$AH639,IF(J641="MANOLA",PR!$AI639,IF(J641="MARCSON",PR!$AJ639,IF(J641="M&amp;B",PR!$AK639,IF(J641="MTRUST",PR!$AL639,IF(J641="MWORLD",PR!$AM639,IF(J641="MEGA",PR!$AN639,IF(J641="MICRONOVA",PR!$AO639,IF(J641="MFLASH",PR!$AP639,IF(J641="MORISON",PR!$AQ639,IF(J641="NEMEL",PR!$AR639,IF(J641="NHP",PR!$AS639,IF(J641="NHC",PR!$AT639,IF(J641="OLEAF",PR!$AU639,IF(J641="OCULUS",PR!$AV639,IF(J641="PACIFIC",PR!$AW639,IF(J641="PHAMATEX",PR!$AX639,IF(J641="PETHICS",PR!$AY639,IF(J641="PHILIPS",PR!$AZ639,IF(J641="RANBAXY",PR!$BA639,IF(J641="REALS",PR!$BB639,IF(J641="ROYAL",PR!$BC639,IF(J641="SAM",PR!$BD639,IF(J641="SEAGREEN",PR!$BE639,IF(J641="SKG",PR!$BF639,IF(J641="TAH",PR!$BG639,IF(J641="TAYLEK",PR!$BH639,IF(J641="TEMITA",PR!$BI639,IF(J641="THL",PR!$BJ639,IF(J641="UBASTIC",PR!$BK639,IF(J641="UNION",PR!$BL639,IF(J641="UNIQUE",PR!$BM639,IF(J641="VIXA",PR!$BN639,IF(J641="WWCV",PR!$BO639,IF(J641="ZOLON",PR!$BP639,"-"))))))))))))))))))))))))))))))))))))))))))))))))))))))))))))))))</f>
        <v>19000</v>
      </c>
      <c r="J641" s="102" t="str">
        <f>EV!N811</f>
        <v>SANCON</v>
      </c>
      <c r="K641" s="433" t="s">
        <v>825</v>
      </c>
      <c r="L641" s="183">
        <f>IF(K641&gt;0,IF(K641="ALPHA",PR!$E639,IF(K641="ASSENE",PR!$F639,IF(K641="BIOFEM",PR!$G639,IF(K641="BIOMED",PR!$H639,IF(K641="CHI",PR!$I639,IF(K641="CLARION",PR!$J639,IF(K641="CODIX",PR!$K639,IF(K641="COSMADE",PR!$L639,IF(K641="SANCON",PR!$M639,IF(K641="DEVON",PR!$N639,IF(K641="DORTEMAG",PR!$O639,IF(K641="DGF",PR!$P639,IF(K641="DYNAMIC",PR!$Q639,IF(K641="EMZOR",PR!$R639,IF(K641="EUMATT",PR!$S639,IF(K641="FIDSON",PR!$T639,IF(K641="FCGLOBAL",PR!$U639,IF(K641="GENEITH",PR!$V639,IF(K641="GINOS",PR!$W639,IF(K641="GSK",PR!$X639,IF(K641="GLOBORG",PR!$Y639,IF(K641="GOODNEWS",PR!$Z639,IF(K641="GREENLIFE",PR!$AA639,IF(K641="HLINE",PR!$AB639,IF(K641="ROTECH",PR!$AC639,IF(K641="ISN",PR!$AD639,IF(K641="JAWA",PR!$AE639,IF(K641="LAYO",PR!$AF639,IF(K641="LEADWAY",PR!$AG639,IF(K641="LHV",PR!$AH639,IF(K641="MANOLA",PR!$AI639,IF(K641="MARCSON",PR!$AJ639,IF(K641="M&amp;B",PR!$AK639,IF(K641="MTRUST",PR!$AL639,IF(K641="MWORLD",PR!$AM639,IF(K641="MEGA",PR!$AN639,IF(K641="MICRONOVA",PR!$AO639,IF(K641="MFLASH",PR!$AP639,IF(K641="MORISON",PR!$AQ639,IF(K641="NEMEL",PR!$AR639,IF(K641="NHP",PR!$AS639,IF(K641="NHC",PR!$AT639,IF(K641="OLEAF",PR!$AU639,IF(K641="OCULUS",PR!$AV639,IF(K641="PACIFIC",PR!$AW639,IF(K641="PHAMATEX",PR!$AX639,IF(K641="PETHICS",PR!$AY639,IF(K641="PHILIPS",PR!$AZ639,IF(K641="RANBAXY",PR!$BA639,IF(K641="REALS",PR!$BB639,IF(K641="ROYAL",PR!$BC639,IF(K641="SAM",PR!$BD639,IF(K641="SEAGREEN",PR!$BE639,IF(K641="SKG",PR!$BF639,IF(K641="TAH",PR!$BG639,IF(K641="TAYLEK",PR!$BH639,IF(K641="TEMITA",PR!$BI639,IF(K641="THL",PR!$BJ639,IF(K641="UBASTIC",PR!$BK639,IF(K641="UNION",PR!$BL639,IF(K641="UNIQUE",PR!$BM639,IF(K641="VIXA",PR!$BN639,IF(K641="WWCV",PR!$BO639,IF(K641="ZOLON",PR!$BP639,"-")))))))))))))))))))))))))))))))))))))))))))))))))))))))))))))))))</f>
        <v>17000</v>
      </c>
    </row>
    <row r="642" spans="1:12" ht="18.75" x14ac:dyDescent="0.3">
      <c r="A642" s="430">
        <f>PR!A640</f>
        <v>578</v>
      </c>
      <c r="B642" s="15" t="str">
        <f>PR!B640</f>
        <v xml:space="preserve">BLOOD GIVING SET </v>
      </c>
      <c r="C642" s="113">
        <f>PR!D640</f>
        <v>400</v>
      </c>
      <c r="D642" s="113">
        <f>PR!C640</f>
        <v>12</v>
      </c>
      <c r="E642" s="108">
        <f>IF(F642="ALPHA",PR!$E640,IF(F642="ASSENE",PR!$F640,IF(F642="BIOFEM",PR!$G640,IF(F642="BIOMED",PR!$H640,IF(F642="CHI",PR!$I640,IF(F642="CLARION",PR!$J640,IF(F642="CODIX",PR!$K640,IF(F642="COSMADE",PR!$L640,IF(F642="SANCON",PR!$M640,IF(F642="DEVON",PR!$N640,IF(F642="DORTEMAG",PR!$O640,IF(F642="DGF",PR!$P640,IF(F642="DYNAMIC",PR!$Q640,IF(F642="EMZOR",PR!$R640,IF(F642="EUMATT",PR!$S640,IF(F642="FIDSON",PR!$T640,IF(F642="FCGLOBAL",PR!$U640,IF(F642="GENEITH",PR!$V640,IF(F642="GINOS",PR!$W640,IF(F642="GSK",PR!$X640,IF(F642="GLOBORG",PR!$Y640,IF(F642="GOODNEWS",PR!$Z640,IF(F642="GREENLIFE",PR!$AA640,IF(F642="HLINE",PR!$AB640,IF(F642="ROTECH",PR!$AC640,IF(F642="ISN",PR!$AD640,IF(F642="JAWA",PR!$AE640,IF(F642="LAYO",PR!$AF640,IF(F642="LEADWAY",PR!$AG640,IF(F642="LHV",PR!$AH640,IF(F642="MANOLA",PR!$AI640,IF(F642="MARCSON",PR!$AJ640,IF(F642="M&amp;B",PR!$AK640,IF(F642="MTRUST",PR!$AL640,IF(F642="MWORLD",PR!$AM640,IF(F642="MEGA",PR!$AN640,IF(F642="MICRONOVA",PR!$AO640,IF(F642="MFLASH",PR!$AP640,IF(F642="MORISON",PR!$AQ640,IF(F642="NEMEL",PR!$AR640,IF(F642="NHP",PR!$AS640,IF(F642="NHC",PR!$AT640,IF(F642="OLEAF",PR!$AU640,IF(F642="OCULUS",PR!$AV640,IF(F642="PACIFIC",PR!$AW640,IF(F642="PHAMATEX",PR!$AX640,IF(F642="PETHICS",PR!$AY640,IF(F642="PHILIPS",PR!$AZ640,IF(F642="RANBAXY",PR!$BA640,IF(F642="REALS",PR!$BB640,IF(F642="ROYAL",PR!$BC640,IF(F642="SAM",PR!$BD640,IF(F642="SEAGREEN",PR!$BE640,IF(F642="SKG",PR!$BF640,IF(F642="TAH",PR!$BG640,IF(F642="TAYLEK",PR!$BH640,IF(F642="TEMITA",PR!$BI640,IF(F642="THL",PR!$BJ640,IF(F642="UBASTIC",PR!$BK640,IF(F642="UNION",PR!$BL640,IF(F642="UNIQUE",PR!$BM640,IF(F642="VIXA",PR!$BN640,IF(F642="WWCV",PR!$BO640,IF(F642="ZOLON",PR!$BP640,"-"))))))))))))))))))))))))))))))))))))))))))))))))))))))))))))))))</f>
        <v>23000</v>
      </c>
      <c r="F642" s="102" t="str">
        <f>EV!L812</f>
        <v>EUMATT</v>
      </c>
      <c r="G642" s="108">
        <f>IF(H642="ALPHA",PR!$E640,IF(H642="ASSENE",PR!$F640,IF(H642="BIOFEM",PR!$G640,IF(H642="BIOMED",PR!$H640,IF(H642="CHI",PR!$I640,IF(H642="CLARION",PR!$J640,IF(H642="CODIX",PR!$K640,IF(H642="COSMADE",PR!$L640,IF(H642="SANCON",PR!$M640,IF(H642="DEVON",PR!$N640,IF(H642="DORTEMAG",PR!$O640,IF(H642="DGF",PR!$P640,IF(H642="DYNAMIC",PR!$Q640,IF(H642="EMZOR",PR!$R640,IF(H642="EUMATT",PR!$S640,IF(H642="FIDSON",PR!$T640,IF(H642="FCGLOBAL",PR!$U640,IF(H642="GENEITH",PR!$V640,IF(H642="GINOS",PR!$W640,IF(H642="GSK",PR!$X640,IF(H642="GLOBORG",PR!$Y640,IF(H642="GOODNEWS",PR!$Z640,IF(H642="GREENLIFE",PR!$AA640,IF(H642="HLINE",PR!$AB640,IF(H642="ROTECH",PR!$AC640,IF(H642="ISN",PR!$AD640,IF(H642="JAWA",PR!$AE640,IF(H642="LAYO",PR!$AF640,IF(H642="LEADWAY",PR!$AG640,IF(H642="LHV",PR!$AH640,IF(H642="MANOLA",PR!$AI640,IF(H642="MARCSON",PR!$AJ640,IF(H642="M&amp;B",PR!$AK640,IF(H642="MTRUST",PR!$AL640,IF(H642="MWORLD",PR!$AM640,IF(H642="MEGA",PR!$AN640,IF(H642="MICRONOVA",PR!$AO640,IF(H642="MFLASH",PR!$AP640,IF(H642="MORISON",PR!$AQ640,IF(H642="NEMEL",PR!$AR640,IF(H642="NHP",PR!$AS640,IF(H642="NHC",PR!$AT640,IF(H642="OLEAF",PR!$AU640,IF(H642="OCULUS",PR!$AV640,IF(H642="PACIFIC",PR!$AW640,IF(H642="PHAMATEX",PR!$AX640,IF(H642="PETHICS",PR!$AY640,IF(H642="PHILIPS",PR!$AZ640,IF(H642="RANBAXY",PR!$BA640,IF(H642="REALS",PR!$BB640,IF(H642="ROYAL",PR!$BC640,IF(H642="SAM",PR!$BD640,IF(H642="SEAGREEN",PR!$BE640,IF(H642="SKG",PR!$BF640,IF(H642="TAH",PR!$BG640,IF(H642="TAYLEK",PR!$BH640,IF(H642="TEMITA",PR!$BI640,IF(H642="THL",PR!$BJ640,IF(H642="UBASTIC",PR!$BK640,IF(H642="UNION",PR!$BL640,IF(H642="UNIQUE",PR!$BM640,IF(H642="VIXA",PR!$BN640,IF(H642="WWCV",PR!$BO640,IF(H642="ZOLON",PR!$BP640,"-"))))))))))))))))))))))))))))))))))))))))))))))))))))))))))))))))</f>
        <v>27600</v>
      </c>
      <c r="H642" s="102" t="str">
        <f>EV!M812</f>
        <v>SANCON</v>
      </c>
      <c r="I642" s="108">
        <f>IF(J642="ALPHA",PR!$E640,IF(J642="ASSENE",PR!$F640,IF(J642="BIOFEM",PR!$G640,IF(J642="BIOMED",PR!$H640,IF(J642="CHI",PR!$I640,IF(J642="CLARION",PR!$J640,IF(J642="CODIX",PR!$K640,IF(J642="COSMADE",PR!$L640,IF(J642="SANCON",PR!$M640,IF(J642="DEVON",PR!$N640,IF(J642="DORTEMAG",PR!$O640,IF(J642="DGF",PR!$P640,IF(J642="DYNAMIC",PR!$Q640,IF(J642="EMZOR",PR!$R640,IF(J642="EUMATT",PR!$S640,IF(J642="FIDSON",PR!$T640,IF(J642="FCGLOBAL",PR!$U640,IF(J642="GENEITH",PR!$V640,IF(J642="GINOS",PR!$W640,IF(J642="GSK",PR!$X640,IF(J642="GLOBORG",PR!$Y640,IF(J642="GOODNEWS",PR!$Z640,IF(J642="GREENLIFE",PR!$AA640,IF(J642="HLINE",PR!$AB640,IF(J642="ROTECH",PR!$AC640,IF(J642="ISN",PR!$AD640,IF(J642="JAWA",PR!$AE640,IF(J642="LAYO",PR!$AF640,IF(J642="LEADWAY",PR!$AG640,IF(J642="LHV",PR!$AH640,IF(J642="MANOLA",PR!$AI640,IF(J642="MARCSON",PR!$AJ640,IF(J642="M&amp;B",PR!$AK640,IF(J642="MTRUST",PR!$AL640,IF(J642="MWORLD",PR!$AM640,IF(J642="MEGA",PR!$AN640,IF(J642="MICRONOVA",PR!$AO640,IF(J642="MFLASH",PR!$AP640,IF(J642="MORISON",PR!$AQ640,IF(J642="NEMEL",PR!$AR640,IF(J642="NHP",PR!$AS640,IF(J642="NHC",PR!$AT640,IF(J642="OLEAF",PR!$AU640,IF(J642="OCULUS",PR!$AV640,IF(J642="PACIFIC",PR!$AW640,IF(J642="PHAMATEX",PR!$AX640,IF(J642="PETHICS",PR!$AY640,IF(J642="PHILIPS",PR!$AZ640,IF(J642="RANBAXY",PR!$BA640,IF(J642="REALS",PR!$BB640,IF(J642="ROYAL",PR!$BC640,IF(J642="SAM",PR!$BD640,IF(J642="SEAGREEN",PR!$BE640,IF(J642="SKG",PR!$BF640,IF(J642="TAH",PR!$BG640,IF(J642="TAYLEK",PR!$BH640,IF(J642="TEMITA",PR!$BI640,IF(J642="THL",PR!$BJ640,IF(J642="UBASTIC",PR!$BK640,IF(J642="UNION",PR!$BL640,IF(J642="UNIQUE",PR!$BM640,IF(J642="VIXA",PR!$BN640,IF(J642="WWCV",PR!$BO640,IF(J642="ZOLON",PR!$BP640,"-"))))))))))))))))))))))))))))))))))))))))))))))))))))))))))))))))</f>
        <v>28600</v>
      </c>
      <c r="J642" s="102" t="str">
        <f>EV!N812</f>
        <v>ROTECH</v>
      </c>
      <c r="K642" s="433" t="s">
        <v>821</v>
      </c>
      <c r="L642" s="183">
        <f>IF(K642&gt;0,IF(K642="ALPHA",PR!$E640,IF(K642="ASSENE",PR!$F640,IF(K642="BIOFEM",PR!$G640,IF(K642="BIOMED",PR!$H640,IF(K642="CHI",PR!$I640,IF(K642="CLARION",PR!$J640,IF(K642="CODIX",PR!$K640,IF(K642="COSMADE",PR!$L640,IF(K642="SANCON",PR!$M640,IF(K642="DEVON",PR!$N640,IF(K642="DORTEMAG",PR!$O640,IF(K642="DGF",PR!$P640,IF(K642="DYNAMIC",PR!$Q640,IF(K642="EMZOR",PR!$R640,IF(K642="EUMATT",PR!$S640,IF(K642="FIDSON",PR!$T640,IF(K642="FCGLOBAL",PR!$U640,IF(K642="GENEITH",PR!$V640,IF(K642="GINOS",PR!$W640,IF(K642="GSK",PR!$X640,IF(K642="GLOBORG",PR!$Y640,IF(K642="GOODNEWS",PR!$Z640,IF(K642="GREENLIFE",PR!$AA640,IF(K642="HLINE",PR!$AB640,IF(K642="ROTECH",PR!$AC640,IF(K642="ISN",PR!$AD640,IF(K642="JAWA",PR!$AE640,IF(K642="LAYO",PR!$AF640,IF(K642="LEADWAY",PR!$AG640,IF(K642="LHV",PR!$AH640,IF(K642="MANOLA",PR!$AI640,IF(K642="MARCSON",PR!$AJ640,IF(K642="M&amp;B",PR!$AK640,IF(K642="MTRUST",PR!$AL640,IF(K642="MWORLD",PR!$AM640,IF(K642="MEGA",PR!$AN640,IF(K642="MICRONOVA",PR!$AO640,IF(K642="MFLASH",PR!$AP640,IF(K642="MORISON",PR!$AQ640,IF(K642="NEMEL",PR!$AR640,IF(K642="NHP",PR!$AS640,IF(K642="NHC",PR!$AT640,IF(K642="OLEAF",PR!$AU640,IF(K642="OCULUS",PR!$AV640,IF(K642="PACIFIC",PR!$AW640,IF(K642="PHAMATEX",PR!$AX640,IF(K642="PETHICS",PR!$AY640,IF(K642="PHILIPS",PR!$AZ640,IF(K642="RANBAXY",PR!$BA640,IF(K642="REALS",PR!$BB640,IF(K642="ROYAL",PR!$BC640,IF(K642="SAM",PR!$BD640,IF(K642="SEAGREEN",PR!$BE640,IF(K642="SKG",PR!$BF640,IF(K642="TAH",PR!$BG640,IF(K642="TAYLEK",PR!$BH640,IF(K642="TEMITA",PR!$BI640,IF(K642="THL",PR!$BJ640,IF(K642="UBASTIC",PR!$BK640,IF(K642="UNION",PR!$BL640,IF(K642="UNIQUE",PR!$BM640,IF(K642="VIXA",PR!$BN640,IF(K642="WWCV",PR!$BO640,IF(K642="ZOLON",PR!$BP640,"-")))))))))))))))))))))))))))))))))))))))))))))))))))))))))))))))))</f>
        <v>23000</v>
      </c>
    </row>
    <row r="643" spans="1:12" ht="18.75" x14ac:dyDescent="0.3">
      <c r="A643" s="430">
        <f>PR!A641</f>
        <v>579</v>
      </c>
      <c r="B643" s="15" t="str">
        <f>PR!B641</f>
        <v>CANNULA 16G GREY</v>
      </c>
      <c r="C643" s="113">
        <f>PR!D641</f>
        <v>50</v>
      </c>
      <c r="D643" s="113">
        <f>PR!C641</f>
        <v>20</v>
      </c>
      <c r="E643" s="108">
        <f>IF(F643="ALPHA",PR!$E641,IF(F643="ASSENE",PR!$F641,IF(F643="BIOFEM",PR!$G641,IF(F643="BIOMED",PR!$H641,IF(F643="CHI",PR!$I641,IF(F643="CLARION",PR!$J641,IF(F643="CODIX",PR!$K641,IF(F643="COSMADE",PR!$L641,IF(F643="SANCON",PR!$M641,IF(F643="DEVON",PR!$N641,IF(F643="DORTEMAG",PR!$O641,IF(F643="DGF",PR!$P641,IF(F643="DYNAMIC",PR!$Q641,IF(F643="EMZOR",PR!$R641,IF(F643="EUMATT",PR!$S641,IF(F643="FIDSON",PR!$T641,IF(F643="FCGLOBAL",PR!$U641,IF(F643="GENEITH",PR!$V641,IF(F643="GINOS",PR!$W641,IF(F643="GSK",PR!$X641,IF(F643="GLOBORG",PR!$Y641,IF(F643="GOODNEWS",PR!$Z641,IF(F643="GREENLIFE",PR!$AA641,IF(F643="HLINE",PR!$AB641,IF(F643="ROTECH",PR!$AC641,IF(F643="ISN",PR!$AD641,IF(F643="JAWA",PR!$AE641,IF(F643="LAYO",PR!$AF641,IF(F643="LEADWAY",PR!$AG641,IF(F643="LHV",PR!$AH641,IF(F643="MANOLA",PR!$AI641,IF(F643="MARCSON",PR!$AJ641,IF(F643="M&amp;B",PR!$AK641,IF(F643="MTRUST",PR!$AL641,IF(F643="MWORLD",PR!$AM641,IF(F643="MEGA",PR!$AN641,IF(F643="MICRONOVA",PR!$AO641,IF(F643="MFLASH",PR!$AP641,IF(F643="MORISON",PR!$AQ641,IF(F643="NEMEL",PR!$AR641,IF(F643="NHP",PR!$AS641,IF(F643="NHC",PR!$AT641,IF(F643="OLEAF",PR!$AU641,IF(F643="OCULUS",PR!$AV641,IF(F643="PACIFIC",PR!$AW641,IF(F643="PHAMATEX",PR!$AX641,IF(F643="PETHICS",PR!$AY641,IF(F643="PHILIPS",PR!$AZ641,IF(F643="RANBAXY",PR!$BA641,IF(F643="REALS",PR!$BB641,IF(F643="ROYAL",PR!$BC641,IF(F643="SAM",PR!$BD641,IF(F643="SEAGREEN",PR!$BE641,IF(F643="SKG",PR!$BF641,IF(F643="TAH",PR!$BG641,IF(F643="TAYLEK",PR!$BH641,IF(F643="TEMITA",PR!$BI641,IF(F643="THL",PR!$BJ641,IF(F643="UBASTIC",PR!$BK641,IF(F643="UNION",PR!$BL641,IF(F643="UNIQUE",PR!$BM641,IF(F643="VIXA",PR!$BN641,IF(F643="WWCV",PR!$BO641,IF(F643="ZOLON",PR!$BP641,"-"))))))))))))))))))))))))))))))))))))))))))))))))))))))))))))))))</f>
        <v>2000</v>
      </c>
      <c r="F643" s="102" t="str">
        <f>EV!L813</f>
        <v>EUMATT</v>
      </c>
      <c r="G643" s="108">
        <f>IF(H643="ALPHA",PR!$E641,IF(H643="ASSENE",PR!$F641,IF(H643="BIOFEM",PR!$G641,IF(H643="BIOMED",PR!$H641,IF(H643="CHI",PR!$I641,IF(H643="CLARION",PR!$J641,IF(H643="CODIX",PR!$K641,IF(H643="COSMADE",PR!$L641,IF(H643="SANCON",PR!$M641,IF(H643="DEVON",PR!$N641,IF(H643="DORTEMAG",PR!$O641,IF(H643="DGF",PR!$P641,IF(H643="DYNAMIC",PR!$Q641,IF(H643="EMZOR",PR!$R641,IF(H643="EUMATT",PR!$S641,IF(H643="FIDSON",PR!$T641,IF(H643="FCGLOBAL",PR!$U641,IF(H643="GENEITH",PR!$V641,IF(H643="GINOS",PR!$W641,IF(H643="GSK",PR!$X641,IF(H643="GLOBORG",PR!$Y641,IF(H643="GOODNEWS",PR!$Z641,IF(H643="GREENLIFE",PR!$AA641,IF(H643="HLINE",PR!$AB641,IF(H643="ROTECH",PR!$AC641,IF(H643="ISN",PR!$AD641,IF(H643="JAWA",PR!$AE641,IF(H643="LAYO",PR!$AF641,IF(H643="LEADWAY",PR!$AG641,IF(H643="LHV",PR!$AH641,IF(H643="MANOLA",PR!$AI641,IF(H643="MARCSON",PR!$AJ641,IF(H643="M&amp;B",PR!$AK641,IF(H643="MTRUST",PR!$AL641,IF(H643="MWORLD",PR!$AM641,IF(H643="MEGA",PR!$AN641,IF(H643="MICRONOVA",PR!$AO641,IF(H643="MFLASH",PR!$AP641,IF(H643="MORISON",PR!$AQ641,IF(H643="NEMEL",PR!$AR641,IF(H643="NHP",PR!$AS641,IF(H643="NHC",PR!$AT641,IF(H643="OLEAF",PR!$AU641,IF(H643="OCULUS",PR!$AV641,IF(H643="PACIFIC",PR!$AW641,IF(H643="PHAMATEX",PR!$AX641,IF(H643="PETHICS",PR!$AY641,IF(H643="PHILIPS",PR!$AZ641,IF(H643="RANBAXY",PR!$BA641,IF(H643="REALS",PR!$BB641,IF(H643="ROYAL",PR!$BC641,IF(H643="SAM",PR!$BD641,IF(H643="SEAGREEN",PR!$BE641,IF(H643="SKG",PR!$BF641,IF(H643="TAH",PR!$BG641,IF(H643="TAYLEK",PR!$BH641,IF(H643="TEMITA",PR!$BI641,IF(H643="THL",PR!$BJ641,IF(H643="UBASTIC",PR!$BK641,IF(H643="UNION",PR!$BL641,IF(H643="UNIQUE",PR!$BM641,IF(H643="VIXA",PR!$BN641,IF(H643="WWCV",PR!$BO641,IF(H643="ZOLON",PR!$BP641,"-"))))))))))))))))))))))))))))))))))))))))))))))))))))))))))))))))</f>
        <v>2130</v>
      </c>
      <c r="H643" s="102" t="str">
        <f>EV!M813</f>
        <v>SANCON</v>
      </c>
      <c r="I643" s="108">
        <f>IF(J643="ALPHA",PR!$E641,IF(J643="ASSENE",PR!$F641,IF(J643="BIOFEM",PR!$G641,IF(J643="BIOMED",PR!$H641,IF(J643="CHI",PR!$I641,IF(J643="CLARION",PR!$J641,IF(J643="CODIX",PR!$K641,IF(J643="COSMADE",PR!$L641,IF(J643="SANCON",PR!$M641,IF(J643="DEVON",PR!$N641,IF(J643="DORTEMAG",PR!$O641,IF(J643="DGF",PR!$P641,IF(J643="DYNAMIC",PR!$Q641,IF(J643="EMZOR",PR!$R641,IF(J643="EUMATT",PR!$S641,IF(J643="FIDSON",PR!$T641,IF(J643="FCGLOBAL",PR!$U641,IF(J643="GENEITH",PR!$V641,IF(J643="GINOS",PR!$W641,IF(J643="GSK",PR!$X641,IF(J643="GLOBORG",PR!$Y641,IF(J643="GOODNEWS",PR!$Z641,IF(J643="GREENLIFE",PR!$AA641,IF(J643="HLINE",PR!$AB641,IF(J643="ROTECH",PR!$AC641,IF(J643="ISN",PR!$AD641,IF(J643="JAWA",PR!$AE641,IF(J643="LAYO",PR!$AF641,IF(J643="LEADWAY",PR!$AG641,IF(J643="LHV",PR!$AH641,IF(J643="MANOLA",PR!$AI641,IF(J643="MARCSON",PR!$AJ641,IF(J643="M&amp;B",PR!$AK641,IF(J643="MTRUST",PR!$AL641,IF(J643="MWORLD",PR!$AM641,IF(J643="MEGA",PR!$AN641,IF(J643="MICRONOVA",PR!$AO641,IF(J643="MFLASH",PR!$AP641,IF(J643="MORISON",PR!$AQ641,IF(J643="NEMEL",PR!$AR641,IF(J643="NHP",PR!$AS641,IF(J643="NHC",PR!$AT641,IF(J643="OLEAF",PR!$AU641,IF(J643="OCULUS",PR!$AV641,IF(J643="PACIFIC",PR!$AW641,IF(J643="PHAMATEX",PR!$AX641,IF(J643="PETHICS",PR!$AY641,IF(J643="PHILIPS",PR!$AZ641,IF(J643="RANBAXY",PR!$BA641,IF(J643="REALS",PR!$BB641,IF(J643="ROYAL",PR!$BC641,IF(J643="SAM",PR!$BD641,IF(J643="SEAGREEN",PR!$BE641,IF(J643="SKG",PR!$BF641,IF(J643="TAH",PR!$BG641,IF(J643="TAYLEK",PR!$BH641,IF(J643="TEMITA",PR!$BI641,IF(J643="THL",PR!$BJ641,IF(J643="UBASTIC",PR!$BK641,IF(J643="UNION",PR!$BL641,IF(J643="UNIQUE",PR!$BM641,IF(J643="VIXA",PR!$BN641,IF(J643="WWCV",PR!$BO641,IF(J643="ZOLON",PR!$BP641,"-"))))))))))))))))))))))))))))))))))))))))))))))))))))))))))))))))</f>
        <v>2200</v>
      </c>
      <c r="J643" s="102" t="str">
        <f>EV!N813</f>
        <v>COSMADE</v>
      </c>
      <c r="K643" s="433" t="s">
        <v>821</v>
      </c>
      <c r="L643" s="183">
        <f>IF(K643&gt;0,IF(K643="ALPHA",PR!$E641,IF(K643="ASSENE",PR!$F641,IF(K643="BIOFEM",PR!$G641,IF(K643="BIOMED",PR!$H641,IF(K643="CHI",PR!$I641,IF(K643="CLARION",PR!$J641,IF(K643="CODIX",PR!$K641,IF(K643="COSMADE",PR!$L641,IF(K643="SANCON",PR!$M641,IF(K643="DEVON",PR!$N641,IF(K643="DORTEMAG",PR!$O641,IF(K643="DGF",PR!$P641,IF(K643="DYNAMIC",PR!$Q641,IF(K643="EMZOR",PR!$R641,IF(K643="EUMATT",PR!$S641,IF(K643="FIDSON",PR!$T641,IF(K643="FCGLOBAL",PR!$U641,IF(K643="GENEITH",PR!$V641,IF(K643="GINOS",PR!$W641,IF(K643="GSK",PR!$X641,IF(K643="GLOBORG",PR!$Y641,IF(K643="GOODNEWS",PR!$Z641,IF(K643="GREENLIFE",PR!$AA641,IF(K643="HLINE",PR!$AB641,IF(K643="ROTECH",PR!$AC641,IF(K643="ISN",PR!$AD641,IF(K643="JAWA",PR!$AE641,IF(K643="LAYO",PR!$AF641,IF(K643="LEADWAY",PR!$AG641,IF(K643="LHV",PR!$AH641,IF(K643="MANOLA",PR!$AI641,IF(K643="MARCSON",PR!$AJ641,IF(K643="M&amp;B",PR!$AK641,IF(K643="MTRUST",PR!$AL641,IF(K643="MWORLD",PR!$AM641,IF(K643="MEGA",PR!$AN641,IF(K643="MICRONOVA",PR!$AO641,IF(K643="MFLASH",PR!$AP641,IF(K643="MORISON",PR!$AQ641,IF(K643="NEMEL",PR!$AR641,IF(K643="NHP",PR!$AS641,IF(K643="NHC",PR!$AT641,IF(K643="OLEAF",PR!$AU641,IF(K643="OCULUS",PR!$AV641,IF(K643="PACIFIC",PR!$AW641,IF(K643="PHAMATEX",PR!$AX641,IF(K643="PETHICS",PR!$AY641,IF(K643="PHILIPS",PR!$AZ641,IF(K643="RANBAXY",PR!$BA641,IF(K643="REALS",PR!$BB641,IF(K643="ROYAL",PR!$BC641,IF(K643="SAM",PR!$BD641,IF(K643="SEAGREEN",PR!$BE641,IF(K643="SKG",PR!$BF641,IF(K643="TAH",PR!$BG641,IF(K643="TAYLEK",PR!$BH641,IF(K643="TEMITA",PR!$BI641,IF(K643="THL",PR!$BJ641,IF(K643="UBASTIC",PR!$BK641,IF(K643="UNION",PR!$BL641,IF(K643="UNIQUE",PR!$BM641,IF(K643="VIXA",PR!$BN641,IF(K643="WWCV",PR!$BO641,IF(K643="ZOLON",PR!$BP641,"-")))))))))))))))))))))))))))))))))))))))))))))))))))))))))))))))))</f>
        <v>2000</v>
      </c>
    </row>
    <row r="644" spans="1:12" ht="18.75" x14ac:dyDescent="0.3">
      <c r="A644" s="430">
        <f>PR!A642</f>
        <v>580</v>
      </c>
      <c r="B644" s="15" t="str">
        <f>PR!B642</f>
        <v>CANNULA 18G GREEN</v>
      </c>
      <c r="C644" s="113">
        <f>PR!D642</f>
        <v>50</v>
      </c>
      <c r="D644" s="113">
        <f>PR!C642</f>
        <v>300</v>
      </c>
      <c r="E644" s="108">
        <f>IF(F644="ALPHA",PR!$E642,IF(F644="ASSENE",PR!$F642,IF(F644="BIOFEM",PR!$G642,IF(F644="BIOMED",PR!$H642,IF(F644="CHI",PR!$I642,IF(F644="CLARION",PR!$J642,IF(F644="CODIX",PR!$K642,IF(F644="COSMADE",PR!$L642,IF(F644="SANCON",PR!$M642,IF(F644="DEVON",PR!$N642,IF(F644="DORTEMAG",PR!$O642,IF(F644="DGF",PR!$P642,IF(F644="DYNAMIC",PR!$Q642,IF(F644="EMZOR",PR!$R642,IF(F644="EUMATT",PR!$S642,IF(F644="FIDSON",PR!$T642,IF(F644="FCGLOBAL",PR!$U642,IF(F644="GENEITH",PR!$V642,IF(F644="GINOS",PR!$W642,IF(F644="GSK",PR!$X642,IF(F644="GLOBORG",PR!$Y642,IF(F644="GOODNEWS",PR!$Z642,IF(F644="GREENLIFE",PR!$AA642,IF(F644="HLINE",PR!$AB642,IF(F644="ROTECH",PR!$AC642,IF(F644="ISN",PR!$AD642,IF(F644="JAWA",PR!$AE642,IF(F644="LAYO",PR!$AF642,IF(F644="LEADWAY",PR!$AG642,IF(F644="LHV",PR!$AH642,IF(F644="MANOLA",PR!$AI642,IF(F644="MARCSON",PR!$AJ642,IF(F644="M&amp;B",PR!$AK642,IF(F644="MTRUST",PR!$AL642,IF(F644="MWORLD",PR!$AM642,IF(F644="MEGA",PR!$AN642,IF(F644="MICRONOVA",PR!$AO642,IF(F644="MFLASH",PR!$AP642,IF(F644="MORISON",PR!$AQ642,IF(F644="NEMEL",PR!$AR642,IF(F644="NHP",PR!$AS642,IF(F644="NHC",PR!$AT642,IF(F644="OLEAF",PR!$AU642,IF(F644="OCULUS",PR!$AV642,IF(F644="PACIFIC",PR!$AW642,IF(F644="PHAMATEX",PR!$AX642,IF(F644="PETHICS",PR!$AY642,IF(F644="PHILIPS",PR!$AZ642,IF(F644="RANBAXY",PR!$BA642,IF(F644="REALS",PR!$BB642,IF(F644="ROYAL",PR!$BC642,IF(F644="SAM",PR!$BD642,IF(F644="SEAGREEN",PR!$BE642,IF(F644="SKG",PR!$BF642,IF(F644="TAH",PR!$BG642,IF(F644="TAYLEK",PR!$BH642,IF(F644="TEMITA",PR!$BI642,IF(F644="THL",PR!$BJ642,IF(F644="UBASTIC",PR!$BK642,IF(F644="UNION",PR!$BL642,IF(F644="UNIQUE",PR!$BM642,IF(F644="VIXA",PR!$BN642,IF(F644="WWCV",PR!$BO642,IF(F644="ZOLON",PR!$BP642,"-"))))))))))))))))))))))))))))))))))))))))))))))))))))))))))))))))</f>
        <v>1900</v>
      </c>
      <c r="F644" s="102" t="str">
        <f>EV!L814</f>
        <v>TAH</v>
      </c>
      <c r="G644" s="108">
        <f>IF(H644="ALPHA",PR!$E642,IF(H644="ASSENE",PR!$F642,IF(H644="BIOFEM",PR!$G642,IF(H644="BIOMED",PR!$H642,IF(H644="CHI",PR!$I642,IF(H644="CLARION",PR!$J642,IF(H644="CODIX",PR!$K642,IF(H644="COSMADE",PR!$L642,IF(H644="SANCON",PR!$M642,IF(H644="DEVON",PR!$N642,IF(H644="DORTEMAG",PR!$O642,IF(H644="DGF",PR!$P642,IF(H644="DYNAMIC",PR!$Q642,IF(H644="EMZOR",PR!$R642,IF(H644="EUMATT",PR!$S642,IF(H644="FIDSON",PR!$T642,IF(H644="FCGLOBAL",PR!$U642,IF(H644="GENEITH",PR!$V642,IF(H644="GINOS",PR!$W642,IF(H644="GSK",PR!$X642,IF(H644="GLOBORG",PR!$Y642,IF(H644="GOODNEWS",PR!$Z642,IF(H644="GREENLIFE",PR!$AA642,IF(H644="HLINE",PR!$AB642,IF(H644="ROTECH",PR!$AC642,IF(H644="ISN",PR!$AD642,IF(H644="JAWA",PR!$AE642,IF(H644="LAYO",PR!$AF642,IF(H644="LEADWAY",PR!$AG642,IF(H644="LHV",PR!$AH642,IF(H644="MANOLA",PR!$AI642,IF(H644="MARCSON",PR!$AJ642,IF(H644="M&amp;B",PR!$AK642,IF(H644="MTRUST",PR!$AL642,IF(H644="MWORLD",PR!$AM642,IF(H644="MEGA",PR!$AN642,IF(H644="MICRONOVA",PR!$AO642,IF(H644="MFLASH",PR!$AP642,IF(H644="MORISON",PR!$AQ642,IF(H644="NEMEL",PR!$AR642,IF(H644="NHP",PR!$AS642,IF(H644="NHC",PR!$AT642,IF(H644="OLEAF",PR!$AU642,IF(H644="OCULUS",PR!$AV642,IF(H644="PACIFIC",PR!$AW642,IF(H644="PHAMATEX",PR!$AX642,IF(H644="PETHICS",PR!$AY642,IF(H644="PHILIPS",PR!$AZ642,IF(H644="RANBAXY",PR!$BA642,IF(H644="REALS",PR!$BB642,IF(H644="ROYAL",PR!$BC642,IF(H644="SAM",PR!$BD642,IF(H644="SEAGREEN",PR!$BE642,IF(H644="SKG",PR!$BF642,IF(H644="TAH",PR!$BG642,IF(H644="TAYLEK",PR!$BH642,IF(H644="TEMITA",PR!$BI642,IF(H644="THL",PR!$BJ642,IF(H644="UBASTIC",PR!$BK642,IF(H644="UNION",PR!$BL642,IF(H644="UNIQUE",PR!$BM642,IF(H644="VIXA",PR!$BN642,IF(H644="WWCV",PR!$BO642,IF(H644="ZOLON",PR!$BP642,"-"))))))))))))))))))))))))))))))))))))))))))))))))))))))))))))))))</f>
        <v>2000</v>
      </c>
      <c r="H644" s="102" t="str">
        <f>EV!M814</f>
        <v>EUMATT</v>
      </c>
      <c r="I644" s="108">
        <f>IF(J644="ALPHA",PR!$E642,IF(J644="ASSENE",PR!$F642,IF(J644="BIOFEM",PR!$G642,IF(J644="BIOMED",PR!$H642,IF(J644="CHI",PR!$I642,IF(J644="CLARION",PR!$J642,IF(J644="CODIX",PR!$K642,IF(J644="COSMADE",PR!$L642,IF(J644="SANCON",PR!$M642,IF(J644="DEVON",PR!$N642,IF(J644="DORTEMAG",PR!$O642,IF(J644="DGF",PR!$P642,IF(J644="DYNAMIC",PR!$Q642,IF(J644="EMZOR",PR!$R642,IF(J644="EUMATT",PR!$S642,IF(J644="FIDSON",PR!$T642,IF(J644="FCGLOBAL",PR!$U642,IF(J644="GENEITH",PR!$V642,IF(J644="GINOS",PR!$W642,IF(J644="GSK",PR!$X642,IF(J644="GLOBORG",PR!$Y642,IF(J644="GOODNEWS",PR!$Z642,IF(J644="GREENLIFE",PR!$AA642,IF(J644="HLINE",PR!$AB642,IF(J644="ROTECH",PR!$AC642,IF(J644="ISN",PR!$AD642,IF(J644="JAWA",PR!$AE642,IF(J644="LAYO",PR!$AF642,IF(J644="LEADWAY",PR!$AG642,IF(J644="LHV",PR!$AH642,IF(J644="MANOLA",PR!$AI642,IF(J644="MARCSON",PR!$AJ642,IF(J644="M&amp;B",PR!$AK642,IF(J644="MTRUST",PR!$AL642,IF(J644="MWORLD",PR!$AM642,IF(J644="MEGA",PR!$AN642,IF(J644="MICRONOVA",PR!$AO642,IF(J644="MFLASH",PR!$AP642,IF(J644="MORISON",PR!$AQ642,IF(J644="NEMEL",PR!$AR642,IF(J644="NHP",PR!$AS642,IF(J644="NHC",PR!$AT642,IF(J644="OLEAF",PR!$AU642,IF(J644="OCULUS",PR!$AV642,IF(J644="PACIFIC",PR!$AW642,IF(J644="PHAMATEX",PR!$AX642,IF(J644="PETHICS",PR!$AY642,IF(J644="PHILIPS",PR!$AZ642,IF(J644="RANBAXY",PR!$BA642,IF(J644="REALS",PR!$BB642,IF(J644="ROYAL",PR!$BC642,IF(J644="SAM",PR!$BD642,IF(J644="SEAGREEN",PR!$BE642,IF(J644="SKG",PR!$BF642,IF(J644="TAH",PR!$BG642,IF(J644="TAYLEK",PR!$BH642,IF(J644="TEMITA",PR!$BI642,IF(J644="THL",PR!$BJ642,IF(J644="UBASTIC",PR!$BK642,IF(J644="UNION",PR!$BL642,IF(J644="UNIQUE",PR!$BM642,IF(J644="VIXA",PR!$BN642,IF(J644="WWCV",PR!$BO642,IF(J644="ZOLON",PR!$BP642,"-"))))))))))))))))))))))))))))))))))))))))))))))))))))))))))))))))</f>
        <v>2130</v>
      </c>
      <c r="J644" s="102" t="str">
        <f>EV!N814</f>
        <v>SANCON</v>
      </c>
      <c r="K644" s="433" t="s">
        <v>621</v>
      </c>
      <c r="L644" s="183" t="s">
        <v>1958</v>
      </c>
    </row>
    <row r="645" spans="1:12" ht="18.75" x14ac:dyDescent="0.3">
      <c r="A645" s="430">
        <f>PR!A643</f>
        <v>581</v>
      </c>
      <c r="B645" s="15" t="str">
        <f>PR!B643</f>
        <v xml:space="preserve">CANNULA 20G PINK </v>
      </c>
      <c r="C645" s="113">
        <f>PR!D643</f>
        <v>50</v>
      </c>
      <c r="D645" s="113">
        <f>PR!C643</f>
        <v>400</v>
      </c>
      <c r="E645" s="108">
        <f>IF(F645="ALPHA",PR!$E643,IF(F645="ASSENE",PR!$F643,IF(F645="BIOFEM",PR!$G643,IF(F645="BIOMED",PR!$H643,IF(F645="CHI",PR!$I643,IF(F645="CLARION",PR!$J643,IF(F645="CODIX",PR!$K643,IF(F645="COSMADE",PR!$L643,IF(F645="SANCON",PR!$M643,IF(F645="DEVON",PR!$N643,IF(F645="DORTEMAG",PR!$O643,IF(F645="DGF",PR!$P643,IF(F645="DYNAMIC",PR!$Q643,IF(F645="EMZOR",PR!$R643,IF(F645="EUMATT",PR!$S643,IF(F645="FIDSON",PR!$T643,IF(F645="FCGLOBAL",PR!$U643,IF(F645="GENEITH",PR!$V643,IF(F645="GINOS",PR!$W643,IF(F645="GSK",PR!$X643,IF(F645="GLOBORG",PR!$Y643,IF(F645="GOODNEWS",PR!$Z643,IF(F645="GREENLIFE",PR!$AA643,IF(F645="HLINE",PR!$AB643,IF(F645="ROTECH",PR!$AC643,IF(F645="ISN",PR!$AD643,IF(F645="JAWA",PR!$AE643,IF(F645="LAYO",PR!$AF643,IF(F645="LEADWAY",PR!$AG643,IF(F645="LHV",PR!$AH643,IF(F645="MANOLA",PR!$AI643,IF(F645="MARCSON",PR!$AJ643,IF(F645="M&amp;B",PR!$AK643,IF(F645="MTRUST",PR!$AL643,IF(F645="MWORLD",PR!$AM643,IF(F645="MEGA",PR!$AN643,IF(F645="MICRONOVA",PR!$AO643,IF(F645="MFLASH",PR!$AP643,IF(F645="MORISON",PR!$AQ643,IF(F645="NEMEL",PR!$AR643,IF(F645="NHP",PR!$AS643,IF(F645="NHC",PR!$AT643,IF(F645="OLEAF",PR!$AU643,IF(F645="OCULUS",PR!$AV643,IF(F645="PACIFIC",PR!$AW643,IF(F645="PHAMATEX",PR!$AX643,IF(F645="PETHICS",PR!$AY643,IF(F645="PHILIPS",PR!$AZ643,IF(F645="RANBAXY",PR!$BA643,IF(F645="REALS",PR!$BB643,IF(F645="ROYAL",PR!$BC643,IF(F645="SAM",PR!$BD643,IF(F645="SEAGREEN",PR!$BE643,IF(F645="SKG",PR!$BF643,IF(F645="TAH",PR!$BG643,IF(F645="TAYLEK",PR!$BH643,IF(F645="TEMITA",PR!$BI643,IF(F645="THL",PR!$BJ643,IF(F645="UBASTIC",PR!$BK643,IF(F645="UNION",PR!$BL643,IF(F645="UNIQUE",PR!$BM643,IF(F645="VIXA",PR!$BN643,IF(F645="WWCV",PR!$BO643,IF(F645="ZOLON",PR!$BP643,"-"))))))))))))))))))))))))))))))))))))))))))))))))))))))))))))))))</f>
        <v>1900</v>
      </c>
      <c r="F645" s="102" t="str">
        <f>EV!L815</f>
        <v>TAH</v>
      </c>
      <c r="G645" s="108">
        <f>IF(H645="ALPHA",PR!$E643,IF(H645="ASSENE",PR!$F643,IF(H645="BIOFEM",PR!$G643,IF(H645="BIOMED",PR!$H643,IF(H645="CHI",PR!$I643,IF(H645="CLARION",PR!$J643,IF(H645="CODIX",PR!$K643,IF(H645="COSMADE",PR!$L643,IF(H645="SANCON",PR!$M643,IF(H645="DEVON",PR!$N643,IF(H645="DORTEMAG",PR!$O643,IF(H645="DGF",PR!$P643,IF(H645="DYNAMIC",PR!$Q643,IF(H645="EMZOR",PR!$R643,IF(H645="EUMATT",PR!$S643,IF(H645="FIDSON",PR!$T643,IF(H645="FCGLOBAL",PR!$U643,IF(H645="GENEITH",PR!$V643,IF(H645="GINOS",PR!$W643,IF(H645="GSK",PR!$X643,IF(H645="GLOBORG",PR!$Y643,IF(H645="GOODNEWS",PR!$Z643,IF(H645="GREENLIFE",PR!$AA643,IF(H645="HLINE",PR!$AB643,IF(H645="ROTECH",PR!$AC643,IF(H645="ISN",PR!$AD643,IF(H645="JAWA",PR!$AE643,IF(H645="LAYO",PR!$AF643,IF(H645="LEADWAY",PR!$AG643,IF(H645="LHV",PR!$AH643,IF(H645="MANOLA",PR!$AI643,IF(H645="MARCSON",PR!$AJ643,IF(H645="M&amp;B",PR!$AK643,IF(H645="MTRUST",PR!$AL643,IF(H645="MWORLD",PR!$AM643,IF(H645="MEGA",PR!$AN643,IF(H645="MICRONOVA",PR!$AO643,IF(H645="MFLASH",PR!$AP643,IF(H645="MORISON",PR!$AQ643,IF(H645="NEMEL",PR!$AR643,IF(H645="NHP",PR!$AS643,IF(H645="NHC",PR!$AT643,IF(H645="OLEAF",PR!$AU643,IF(H645="OCULUS",PR!$AV643,IF(H645="PACIFIC",PR!$AW643,IF(H645="PHAMATEX",PR!$AX643,IF(H645="PETHICS",PR!$AY643,IF(H645="PHILIPS",PR!$AZ643,IF(H645="RANBAXY",PR!$BA643,IF(H645="REALS",PR!$BB643,IF(H645="ROYAL",PR!$BC643,IF(H645="SAM",PR!$BD643,IF(H645="SEAGREEN",PR!$BE643,IF(H645="SKG",PR!$BF643,IF(H645="TAH",PR!$BG643,IF(H645="TAYLEK",PR!$BH643,IF(H645="TEMITA",PR!$BI643,IF(H645="THL",PR!$BJ643,IF(H645="UBASTIC",PR!$BK643,IF(H645="UNION",PR!$BL643,IF(H645="UNIQUE",PR!$BM643,IF(H645="VIXA",PR!$BN643,IF(H645="WWCV",PR!$BO643,IF(H645="ZOLON",PR!$BP643,"-"))))))))))))))))))))))))))))))))))))))))))))))))))))))))))))))))</f>
        <v>2000</v>
      </c>
      <c r="H645" s="102" t="str">
        <f>EV!M815</f>
        <v>EUMATT</v>
      </c>
      <c r="I645" s="108">
        <f>IF(J645="ALPHA",PR!$E643,IF(J645="ASSENE",PR!$F643,IF(J645="BIOFEM",PR!$G643,IF(J645="BIOMED",PR!$H643,IF(J645="CHI",PR!$I643,IF(J645="CLARION",PR!$J643,IF(J645="CODIX",PR!$K643,IF(J645="COSMADE",PR!$L643,IF(J645="SANCON",PR!$M643,IF(J645="DEVON",PR!$N643,IF(J645="DORTEMAG",PR!$O643,IF(J645="DGF",PR!$P643,IF(J645="DYNAMIC",PR!$Q643,IF(J645="EMZOR",PR!$R643,IF(J645="EUMATT",PR!$S643,IF(J645="FIDSON",PR!$T643,IF(J645="FCGLOBAL",PR!$U643,IF(J645="GENEITH",PR!$V643,IF(J645="GINOS",PR!$W643,IF(J645="GSK",PR!$X643,IF(J645="GLOBORG",PR!$Y643,IF(J645="GOODNEWS",PR!$Z643,IF(J645="GREENLIFE",PR!$AA643,IF(J645="HLINE",PR!$AB643,IF(J645="ROTECH",PR!$AC643,IF(J645="ISN",PR!$AD643,IF(J645="JAWA",PR!$AE643,IF(J645="LAYO",PR!$AF643,IF(J645="LEADWAY",PR!$AG643,IF(J645="LHV",PR!$AH643,IF(J645="MANOLA",PR!$AI643,IF(J645="MARCSON",PR!$AJ643,IF(J645="M&amp;B",PR!$AK643,IF(J645="MTRUST",PR!$AL643,IF(J645="MWORLD",PR!$AM643,IF(J645="MEGA",PR!$AN643,IF(J645="MICRONOVA",PR!$AO643,IF(J645="MFLASH",PR!$AP643,IF(J645="MORISON",PR!$AQ643,IF(J645="NEMEL",PR!$AR643,IF(J645="NHP",PR!$AS643,IF(J645="NHC",PR!$AT643,IF(J645="OLEAF",PR!$AU643,IF(J645="OCULUS",PR!$AV643,IF(J645="PACIFIC",PR!$AW643,IF(J645="PHAMATEX",PR!$AX643,IF(J645="PETHICS",PR!$AY643,IF(J645="PHILIPS",PR!$AZ643,IF(J645="RANBAXY",PR!$BA643,IF(J645="REALS",PR!$BB643,IF(J645="ROYAL",PR!$BC643,IF(J645="SAM",PR!$BD643,IF(J645="SEAGREEN",PR!$BE643,IF(J645="SKG",PR!$BF643,IF(J645="TAH",PR!$BG643,IF(J645="TAYLEK",PR!$BH643,IF(J645="TEMITA",PR!$BI643,IF(J645="THL",PR!$BJ643,IF(J645="UBASTIC",PR!$BK643,IF(J645="UNION",PR!$BL643,IF(J645="UNIQUE",PR!$BM643,IF(J645="VIXA",PR!$BN643,IF(J645="WWCV",PR!$BO643,IF(J645="ZOLON",PR!$BP643,"-"))))))))))))))))))))))))))))))))))))))))))))))))))))))))))))))))</f>
        <v>2130</v>
      </c>
      <c r="J645" s="102" t="str">
        <f>EV!N815</f>
        <v>SANCON</v>
      </c>
      <c r="K645" s="635" t="s">
        <v>2150</v>
      </c>
      <c r="L645" s="183" t="str">
        <f>IF(K645&gt;0,IF(K645="ALPHA",PR!$E643,IF(K645="ASSENE",PR!$F643,IF(K645="BIOFEM",PR!$G643,IF(K645="BIOMED",PR!$H643,IF(K645="CHI",PR!$I643,IF(K645="CLARION",PR!$J643,IF(K645="CODIX",PR!$K643,IF(K645="COSMADE",PR!$L643,IF(K645="SANCON",PR!$M643,IF(K645="DEVON",PR!$N643,IF(K645="DORTEMAG",PR!$O643,IF(K645="DGF",PR!$P643,IF(K645="DYNAMIC",PR!$Q643,IF(K645="EMZOR",PR!$R643,IF(K645="EUMATT",PR!$S643,IF(K645="FIDSON",PR!$T643,IF(K645="FCGLOBAL",PR!$U643,IF(K645="GENEITH",PR!$V643,IF(K645="GINOS",PR!$W643,IF(K645="GSK",PR!$X643,IF(K645="GLOBORG",PR!$Y643,IF(K645="GOODNEWS",PR!$Z643,IF(K645="GREENLIFE",PR!$AA643,IF(K645="HLINE",PR!$AB643,IF(K645="ROTECH",PR!$AC643,IF(K645="ISN",PR!$AD643,IF(K645="JAWA",PR!$AE643,IF(K645="LAYO",PR!$AF643,IF(K645="LEADWAY",PR!$AG643,IF(K645="LHV",PR!$AH643,IF(K645="MANOLA",PR!$AI643,IF(K645="MARCSON",PR!$AJ643,IF(K645="M&amp;B",PR!$AK643,IF(K645="MTRUST",PR!$AL643,IF(K645="MWORLD",PR!$AM643,IF(K645="MEGA",PR!$AN643,IF(K645="MICRONOVA",PR!$AO643,IF(K645="MFLASH",PR!$AP643,IF(K645="MORISON",PR!$AQ643,IF(K645="NEMEL",PR!$AR643,IF(K645="NHP",PR!$AS643,IF(K645="NHC",PR!$AT643,IF(K645="OLEAF",PR!$AU643,IF(K645="OCULUS",PR!$AV643,IF(K645="PACIFIC",PR!$AW643,IF(K645="PHAMATEX",PR!$AX643,IF(K645="PETHICS",PR!$AY643,IF(K645="PHILIPS",PR!$AZ643,IF(K645="RANBAXY",PR!$BA643,IF(K645="REALS",PR!$BB643,IF(K645="ROYAL",PR!$BC643,IF(K645="SAM",PR!$BD643,IF(K645="SEAGREEN",PR!$BE643,IF(K645="SKG",PR!$BF643,IF(K645="TAH",PR!$BG643,IF(K645="TAYLEK",PR!$BH643,IF(K645="TEMITA",PR!$BI643,IF(K645="THL",PR!$BJ643,IF(K645="UBASTIC",PR!$BK643,IF(K645="UNION",PR!$BL643,IF(K645="UNIQUE",PR!$BM643,IF(K645="VIXA",PR!$BN643,IF(K645="WWCV",PR!$BO643,IF(K645="ZOLON",PR!$BP643,"-")))))))))))))))))))))))))))))))))))))))))))))))))))))))))))))))))</f>
        <v>-</v>
      </c>
    </row>
    <row r="646" spans="1:12" ht="18.75" x14ac:dyDescent="0.3">
      <c r="A646" s="430">
        <f>PR!A644</f>
        <v>582</v>
      </c>
      <c r="B646" s="15" t="str">
        <f>PR!B644</f>
        <v xml:space="preserve">CANNULA 22G BLUE </v>
      </c>
      <c r="C646" s="113">
        <f>PR!D644</f>
        <v>50</v>
      </c>
      <c r="D646" s="113">
        <f>PR!C644</f>
        <v>200</v>
      </c>
      <c r="E646" s="108">
        <f>IF(F646="ALPHA",PR!$E644,IF(F646="ASSENE",PR!$F644,IF(F646="BIOFEM",PR!$G644,IF(F646="BIOMED",PR!$H644,IF(F646="CHI",PR!$I644,IF(F646="CLARION",PR!$J644,IF(F646="CODIX",PR!$K644,IF(F646="COSMADE",PR!$L644,IF(F646="SANCON",PR!$M644,IF(F646="DEVON",PR!$N644,IF(F646="DORTEMAG",PR!$O644,IF(F646="DGF",PR!$P644,IF(F646="DYNAMIC",PR!$Q644,IF(F646="EMZOR",PR!$R644,IF(F646="EUMATT",PR!$S644,IF(F646="FIDSON",PR!$T644,IF(F646="FCGLOBAL",PR!$U644,IF(F646="GENEITH",PR!$V644,IF(F646="GINOS",PR!$W644,IF(F646="GSK",PR!$X644,IF(F646="GLOBORG",PR!$Y644,IF(F646="GOODNEWS",PR!$Z644,IF(F646="GREENLIFE",PR!$AA644,IF(F646="HLINE",PR!$AB644,IF(F646="ROTECH",PR!$AC644,IF(F646="ISN",PR!$AD644,IF(F646="JAWA",PR!$AE644,IF(F646="LAYO",PR!$AF644,IF(F646="LEADWAY",PR!$AG644,IF(F646="LHV",PR!$AH644,IF(F646="MANOLA",PR!$AI644,IF(F646="MARCSON",PR!$AJ644,IF(F646="M&amp;B",PR!$AK644,IF(F646="MTRUST",PR!$AL644,IF(F646="MWORLD",PR!$AM644,IF(F646="MEGA",PR!$AN644,IF(F646="MICRONOVA",PR!$AO644,IF(F646="MFLASH",PR!$AP644,IF(F646="MORISON",PR!$AQ644,IF(F646="NEMEL",PR!$AR644,IF(F646="NHP",PR!$AS644,IF(F646="NHC",PR!$AT644,IF(F646="OLEAF",PR!$AU644,IF(F646="OCULUS",PR!$AV644,IF(F646="PACIFIC",PR!$AW644,IF(F646="PHAMATEX",PR!$AX644,IF(F646="PETHICS",PR!$AY644,IF(F646="PHILIPS",PR!$AZ644,IF(F646="RANBAXY",PR!$BA644,IF(F646="REALS",PR!$BB644,IF(F646="ROYAL",PR!$BC644,IF(F646="SAM",PR!$BD644,IF(F646="SEAGREEN",PR!$BE644,IF(F646="SKG",PR!$BF644,IF(F646="TAH",PR!$BG644,IF(F646="TAYLEK",PR!$BH644,IF(F646="TEMITA",PR!$BI644,IF(F646="THL",PR!$BJ644,IF(F646="UBASTIC",PR!$BK644,IF(F646="UNION",PR!$BL644,IF(F646="UNIQUE",PR!$BM644,IF(F646="VIXA",PR!$BN644,IF(F646="WWCV",PR!$BO644,IF(F646="ZOLON",PR!$BP644,"-"))))))))))))))))))))))))))))))))))))))))))))))))))))))))))))))))</f>
        <v>1900</v>
      </c>
      <c r="F646" s="102" t="str">
        <f>EV!L816</f>
        <v>TAH</v>
      </c>
      <c r="G646" s="108">
        <f>IF(H646="ALPHA",PR!$E644,IF(H646="ASSENE",PR!$F644,IF(H646="BIOFEM",PR!$G644,IF(H646="BIOMED",PR!$H644,IF(H646="CHI",PR!$I644,IF(H646="CLARION",PR!$J644,IF(H646="CODIX",PR!$K644,IF(H646="COSMADE",PR!$L644,IF(H646="SANCON",PR!$M644,IF(H646="DEVON",PR!$N644,IF(H646="DORTEMAG",PR!$O644,IF(H646="DGF",PR!$P644,IF(H646="DYNAMIC",PR!$Q644,IF(H646="EMZOR",PR!$R644,IF(H646="EUMATT",PR!$S644,IF(H646="FIDSON",PR!$T644,IF(H646="FCGLOBAL",PR!$U644,IF(H646="GENEITH",PR!$V644,IF(H646="GINOS",PR!$W644,IF(H646="GSK",PR!$X644,IF(H646="GLOBORG",PR!$Y644,IF(H646="GOODNEWS",PR!$Z644,IF(H646="GREENLIFE",PR!$AA644,IF(H646="HLINE",PR!$AB644,IF(H646="ROTECH",PR!$AC644,IF(H646="ISN",PR!$AD644,IF(H646="JAWA",PR!$AE644,IF(H646="LAYO",PR!$AF644,IF(H646="LEADWAY",PR!$AG644,IF(H646="LHV",PR!$AH644,IF(H646="MANOLA",PR!$AI644,IF(H646="MARCSON",PR!$AJ644,IF(H646="M&amp;B",PR!$AK644,IF(H646="MTRUST",PR!$AL644,IF(H646="MWORLD",PR!$AM644,IF(H646="MEGA",PR!$AN644,IF(H646="MICRONOVA",PR!$AO644,IF(H646="MFLASH",PR!$AP644,IF(H646="MORISON",PR!$AQ644,IF(H646="NEMEL",PR!$AR644,IF(H646="NHP",PR!$AS644,IF(H646="NHC",PR!$AT644,IF(H646="OLEAF",PR!$AU644,IF(H646="OCULUS",PR!$AV644,IF(H646="PACIFIC",PR!$AW644,IF(H646="PHAMATEX",PR!$AX644,IF(H646="PETHICS",PR!$AY644,IF(H646="PHILIPS",PR!$AZ644,IF(H646="RANBAXY",PR!$BA644,IF(H646="REALS",PR!$BB644,IF(H646="ROYAL",PR!$BC644,IF(H646="SAM",PR!$BD644,IF(H646="SEAGREEN",PR!$BE644,IF(H646="SKG",PR!$BF644,IF(H646="TAH",PR!$BG644,IF(H646="TAYLEK",PR!$BH644,IF(H646="TEMITA",PR!$BI644,IF(H646="THL",PR!$BJ644,IF(H646="UBASTIC",PR!$BK644,IF(H646="UNION",PR!$BL644,IF(H646="UNIQUE",PR!$BM644,IF(H646="VIXA",PR!$BN644,IF(H646="WWCV",PR!$BO644,IF(H646="ZOLON",PR!$BP644,"-"))))))))))))))))))))))))))))))))))))))))))))))))))))))))))))))))</f>
        <v>2000</v>
      </c>
      <c r="H646" s="102" t="str">
        <f>EV!M816</f>
        <v>EUMATT</v>
      </c>
      <c r="I646" s="108">
        <f>IF(J646="ALPHA",PR!$E644,IF(J646="ASSENE",PR!$F644,IF(J646="BIOFEM",PR!$G644,IF(J646="BIOMED",PR!$H644,IF(J646="CHI",PR!$I644,IF(J646="CLARION",PR!$J644,IF(J646="CODIX",PR!$K644,IF(J646="COSMADE",PR!$L644,IF(J646="SANCON",PR!$M644,IF(J646="DEVON",PR!$N644,IF(J646="DORTEMAG",PR!$O644,IF(J646="DGF",PR!$P644,IF(J646="DYNAMIC",PR!$Q644,IF(J646="EMZOR",PR!$R644,IF(J646="EUMATT",PR!$S644,IF(J646="FIDSON",PR!$T644,IF(J646="FCGLOBAL",PR!$U644,IF(J646="GENEITH",PR!$V644,IF(J646="GINOS",PR!$W644,IF(J646="GSK",PR!$X644,IF(J646="GLOBORG",PR!$Y644,IF(J646="GOODNEWS",PR!$Z644,IF(J646="GREENLIFE",PR!$AA644,IF(J646="HLINE",PR!$AB644,IF(J646="ROTECH",PR!$AC644,IF(J646="ISN",PR!$AD644,IF(J646="JAWA",PR!$AE644,IF(J646="LAYO",PR!$AF644,IF(J646="LEADWAY",PR!$AG644,IF(J646="LHV",PR!$AH644,IF(J646="MANOLA",PR!$AI644,IF(J646="MARCSON",PR!$AJ644,IF(J646="M&amp;B",PR!$AK644,IF(J646="MTRUST",PR!$AL644,IF(J646="MWORLD",PR!$AM644,IF(J646="MEGA",PR!$AN644,IF(J646="MICRONOVA",PR!$AO644,IF(J646="MFLASH",PR!$AP644,IF(J646="MORISON",PR!$AQ644,IF(J646="NEMEL",PR!$AR644,IF(J646="NHP",PR!$AS644,IF(J646="NHC",PR!$AT644,IF(J646="OLEAF",PR!$AU644,IF(J646="OCULUS",PR!$AV644,IF(J646="PACIFIC",PR!$AW644,IF(J646="PHAMATEX",PR!$AX644,IF(J646="PETHICS",PR!$AY644,IF(J646="PHILIPS",PR!$AZ644,IF(J646="RANBAXY",PR!$BA644,IF(J646="REALS",PR!$BB644,IF(J646="ROYAL",PR!$BC644,IF(J646="SAM",PR!$BD644,IF(J646="SEAGREEN",PR!$BE644,IF(J646="SKG",PR!$BF644,IF(J646="TAH",PR!$BG644,IF(J646="TAYLEK",PR!$BH644,IF(J646="TEMITA",PR!$BI644,IF(J646="THL",PR!$BJ644,IF(J646="UBASTIC",PR!$BK644,IF(J646="UNION",PR!$BL644,IF(J646="UNIQUE",PR!$BM644,IF(J646="VIXA",PR!$BN644,IF(J646="WWCV",PR!$BO644,IF(J646="ZOLON",PR!$BP644,"-"))))))))))))))))))))))))))))))))))))))))))))))))))))))))))))))))</f>
        <v>2130</v>
      </c>
      <c r="J646" s="102" t="str">
        <f>EV!N816</f>
        <v>SANCON</v>
      </c>
      <c r="K646" s="635" t="s">
        <v>2150</v>
      </c>
      <c r="L646" s="183" t="str">
        <f>IF(K646&gt;0,IF(K646="ALPHA",PR!$E644,IF(K646="ASSENE",PR!$F644,IF(K646="BIOFEM",PR!$G644,IF(K646="BIOMED",PR!$H644,IF(K646="CHI",PR!$I644,IF(K646="CLARION",PR!$J644,IF(K646="CODIX",PR!$K644,IF(K646="COSMADE",PR!$L644,IF(K646="SANCON",PR!$M644,IF(K646="DEVON",PR!$N644,IF(K646="DORTEMAG",PR!$O644,IF(K646="DGF",PR!$P644,IF(K646="DYNAMIC",PR!$Q644,IF(K646="EMZOR",PR!$R644,IF(K646="EUMATT",PR!$S644,IF(K646="FIDSON",PR!$T644,IF(K646="FCGLOBAL",PR!$U644,IF(K646="GENEITH",PR!$V644,IF(K646="GINOS",PR!$W644,IF(K646="GSK",PR!$X644,IF(K646="GLOBORG",PR!$Y644,IF(K646="GOODNEWS",PR!$Z644,IF(K646="GREENLIFE",PR!$AA644,IF(K646="HLINE",PR!$AB644,IF(K646="ROTECH",PR!$AC644,IF(K646="ISN",PR!$AD644,IF(K646="JAWA",PR!$AE644,IF(K646="LAYO",PR!$AF644,IF(K646="LEADWAY",PR!$AG644,IF(K646="LHV",PR!$AH644,IF(K646="MANOLA",PR!$AI644,IF(K646="MARCSON",PR!$AJ644,IF(K646="M&amp;B",PR!$AK644,IF(K646="MTRUST",PR!$AL644,IF(K646="MWORLD",PR!$AM644,IF(K646="MEGA",PR!$AN644,IF(K646="MICRONOVA",PR!$AO644,IF(K646="MFLASH",PR!$AP644,IF(K646="MORISON",PR!$AQ644,IF(K646="NEMEL",PR!$AR644,IF(K646="NHP",PR!$AS644,IF(K646="NHC",PR!$AT644,IF(K646="OLEAF",PR!$AU644,IF(K646="OCULUS",PR!$AV644,IF(K646="PACIFIC",PR!$AW644,IF(K646="PHAMATEX",PR!$AX644,IF(K646="PETHICS",PR!$AY644,IF(K646="PHILIPS",PR!$AZ644,IF(K646="RANBAXY",PR!$BA644,IF(K646="REALS",PR!$BB644,IF(K646="ROYAL",PR!$BC644,IF(K646="SAM",PR!$BD644,IF(K646="SEAGREEN",PR!$BE644,IF(K646="SKG",PR!$BF644,IF(K646="TAH",PR!$BG644,IF(K646="TAYLEK",PR!$BH644,IF(K646="TEMITA",PR!$BI644,IF(K646="THL",PR!$BJ644,IF(K646="UBASTIC",PR!$BK644,IF(K646="UNION",PR!$BL644,IF(K646="UNIQUE",PR!$BM644,IF(K646="VIXA",PR!$BN644,IF(K646="WWCV",PR!$BO644,IF(K646="ZOLON",PR!$BP644,"-")))))))))))))))))))))))))))))))))))))))))))))))))))))))))))))))))</f>
        <v>-</v>
      </c>
    </row>
    <row r="647" spans="1:12" ht="18.75" x14ac:dyDescent="0.3">
      <c r="A647" s="430">
        <f>PR!A645</f>
        <v>583</v>
      </c>
      <c r="B647" s="15" t="str">
        <f>PR!B645</f>
        <v xml:space="preserve">CANNULA 24G YELLOW </v>
      </c>
      <c r="C647" s="113">
        <f>PR!D645</f>
        <v>50</v>
      </c>
      <c r="D647" s="113">
        <f>PR!C645</f>
        <v>300</v>
      </c>
      <c r="E647" s="108">
        <f>IF(F647="ALPHA",PR!$E645,IF(F647="ASSENE",PR!$F645,IF(F647="BIOFEM",PR!$G645,IF(F647="BIOMED",PR!$H645,IF(F647="CHI",PR!$I645,IF(F647="CLARION",PR!$J645,IF(F647="CODIX",PR!$K645,IF(F647="COSMADE",PR!$L645,IF(F647="SANCON",PR!$M645,IF(F647="DEVON",PR!$N645,IF(F647="DORTEMAG",PR!$O645,IF(F647="DGF",PR!$P645,IF(F647="DYNAMIC",PR!$Q645,IF(F647="EMZOR",PR!$R645,IF(F647="EUMATT",PR!$S645,IF(F647="FIDSON",PR!$T645,IF(F647="FCGLOBAL",PR!$U645,IF(F647="GENEITH",PR!$V645,IF(F647="GINOS",PR!$W645,IF(F647="GSK",PR!$X645,IF(F647="GLOBORG",PR!$Y645,IF(F647="GOODNEWS",PR!$Z645,IF(F647="GREENLIFE",PR!$AA645,IF(F647="HLINE",PR!$AB645,IF(F647="ROTECH",PR!$AC645,IF(F647="ISN",PR!$AD645,IF(F647="JAWA",PR!$AE645,IF(F647="LAYO",PR!$AF645,IF(F647="LEADWAY",PR!$AG645,IF(F647="LHV",PR!$AH645,IF(F647="MANOLA",PR!$AI645,IF(F647="MARCSON",PR!$AJ645,IF(F647="M&amp;B",PR!$AK645,IF(F647="MTRUST",PR!$AL645,IF(F647="MWORLD",PR!$AM645,IF(F647="MEGA",PR!$AN645,IF(F647="MICRONOVA",PR!$AO645,IF(F647="MFLASH",PR!$AP645,IF(F647="MORISON",PR!$AQ645,IF(F647="NEMEL",PR!$AR645,IF(F647="NHP",PR!$AS645,IF(F647="NHC",PR!$AT645,IF(F647="OLEAF",PR!$AU645,IF(F647="OCULUS",PR!$AV645,IF(F647="PACIFIC",PR!$AW645,IF(F647="PHAMATEX",PR!$AX645,IF(F647="PETHICS",PR!$AY645,IF(F647="PHILIPS",PR!$AZ645,IF(F647="RANBAXY",PR!$BA645,IF(F647="REALS",PR!$BB645,IF(F647="ROYAL",PR!$BC645,IF(F647="SAM",PR!$BD645,IF(F647="SEAGREEN",PR!$BE645,IF(F647="SKG",PR!$BF645,IF(F647="TAH",PR!$BG645,IF(F647="TAYLEK",PR!$BH645,IF(F647="TEMITA",PR!$BI645,IF(F647="THL",PR!$BJ645,IF(F647="UBASTIC",PR!$BK645,IF(F647="UNION",PR!$BL645,IF(F647="UNIQUE",PR!$BM645,IF(F647="VIXA",PR!$BN645,IF(F647="WWCV",PR!$BO645,IF(F647="ZOLON",PR!$BP645,"-"))))))))))))))))))))))))))))))))))))))))))))))))))))))))))))))))</f>
        <v>2100</v>
      </c>
      <c r="F647" s="102" t="str">
        <f>EV!L817</f>
        <v>EUMATT</v>
      </c>
      <c r="G647" s="108">
        <f>IF(H647="ALPHA",PR!$E645,IF(H647="ASSENE",PR!$F645,IF(H647="BIOFEM",PR!$G645,IF(H647="BIOMED",PR!$H645,IF(H647="CHI",PR!$I645,IF(H647="CLARION",PR!$J645,IF(H647="CODIX",PR!$K645,IF(H647="COSMADE",PR!$L645,IF(H647="SANCON",PR!$M645,IF(H647="DEVON",PR!$N645,IF(H647="DORTEMAG",PR!$O645,IF(H647="DGF",PR!$P645,IF(H647="DYNAMIC",PR!$Q645,IF(H647="EMZOR",PR!$R645,IF(H647="EUMATT",PR!$S645,IF(H647="FIDSON",PR!$T645,IF(H647="FCGLOBAL",PR!$U645,IF(H647="GENEITH",PR!$V645,IF(H647="GINOS",PR!$W645,IF(H647="GSK",PR!$X645,IF(H647="GLOBORG",PR!$Y645,IF(H647="GOODNEWS",PR!$Z645,IF(H647="GREENLIFE",PR!$AA645,IF(H647="HLINE",PR!$AB645,IF(H647="ROTECH",PR!$AC645,IF(H647="ISN",PR!$AD645,IF(H647="JAWA",PR!$AE645,IF(H647="LAYO",PR!$AF645,IF(H647="LEADWAY",PR!$AG645,IF(H647="LHV",PR!$AH645,IF(H647="MANOLA",PR!$AI645,IF(H647="MARCSON",PR!$AJ645,IF(H647="M&amp;B",PR!$AK645,IF(H647="MTRUST",PR!$AL645,IF(H647="MWORLD",PR!$AM645,IF(H647="MEGA",PR!$AN645,IF(H647="MICRONOVA",PR!$AO645,IF(H647="MFLASH",PR!$AP645,IF(H647="MORISON",PR!$AQ645,IF(H647="NEMEL",PR!$AR645,IF(H647="NHP",PR!$AS645,IF(H647="NHC",PR!$AT645,IF(H647="OLEAF",PR!$AU645,IF(H647="OCULUS",PR!$AV645,IF(H647="PACIFIC",PR!$AW645,IF(H647="PHAMATEX",PR!$AX645,IF(H647="PETHICS",PR!$AY645,IF(H647="PHILIPS",PR!$AZ645,IF(H647="RANBAXY",PR!$BA645,IF(H647="REALS",PR!$BB645,IF(H647="ROYAL",PR!$BC645,IF(H647="SAM",PR!$BD645,IF(H647="SEAGREEN",PR!$BE645,IF(H647="SKG",PR!$BF645,IF(H647="TAH",PR!$BG645,IF(H647="TAYLEK",PR!$BH645,IF(H647="TEMITA",PR!$BI645,IF(H647="THL",PR!$BJ645,IF(H647="UBASTIC",PR!$BK645,IF(H647="UNION",PR!$BL645,IF(H647="UNIQUE",PR!$BM645,IF(H647="VIXA",PR!$BN645,IF(H647="WWCV",PR!$BO645,IF(H647="ZOLON",PR!$BP645,"-"))))))))))))))))))))))))))))))))))))))))))))))))))))))))))))))))</f>
        <v>2250</v>
      </c>
      <c r="H647" s="102" t="str">
        <f>EV!M817</f>
        <v>TAH</v>
      </c>
      <c r="I647" s="108">
        <f>IF(J647="ALPHA",PR!$E645,IF(J647="ASSENE",PR!$F645,IF(J647="BIOFEM",PR!$G645,IF(J647="BIOMED",PR!$H645,IF(J647="CHI",PR!$I645,IF(J647="CLARION",PR!$J645,IF(J647="CODIX",PR!$K645,IF(J647="COSMADE",PR!$L645,IF(J647="SANCON",PR!$M645,IF(J647="DEVON",PR!$N645,IF(J647="DORTEMAG",PR!$O645,IF(J647="DGF",PR!$P645,IF(J647="DYNAMIC",PR!$Q645,IF(J647="EMZOR",PR!$R645,IF(J647="EUMATT",PR!$S645,IF(J647="FIDSON",PR!$T645,IF(J647="FCGLOBAL",PR!$U645,IF(J647="GENEITH",PR!$V645,IF(J647="GINOS",PR!$W645,IF(J647="GSK",PR!$X645,IF(J647="GLOBORG",PR!$Y645,IF(J647="GOODNEWS",PR!$Z645,IF(J647="GREENLIFE",PR!$AA645,IF(J647="HLINE",PR!$AB645,IF(J647="ROTECH",PR!$AC645,IF(J647="ISN",PR!$AD645,IF(J647="JAWA",PR!$AE645,IF(J647="LAYO",PR!$AF645,IF(J647="LEADWAY",PR!$AG645,IF(J647="LHV",PR!$AH645,IF(J647="MANOLA",PR!$AI645,IF(J647="MARCSON",PR!$AJ645,IF(J647="M&amp;B",PR!$AK645,IF(J647="MTRUST",PR!$AL645,IF(J647="MWORLD",PR!$AM645,IF(J647="MEGA",PR!$AN645,IF(J647="MICRONOVA",PR!$AO645,IF(J647="MFLASH",PR!$AP645,IF(J647="MORISON",PR!$AQ645,IF(J647="NEMEL",PR!$AR645,IF(J647="NHP",PR!$AS645,IF(J647="NHC",PR!$AT645,IF(J647="OLEAF",PR!$AU645,IF(J647="OCULUS",PR!$AV645,IF(J647="PACIFIC",PR!$AW645,IF(J647="PHAMATEX",PR!$AX645,IF(J647="PETHICS",PR!$AY645,IF(J647="PHILIPS",PR!$AZ645,IF(J647="RANBAXY",PR!$BA645,IF(J647="REALS",PR!$BB645,IF(J647="ROYAL",PR!$BC645,IF(J647="SAM",PR!$BD645,IF(J647="SEAGREEN",PR!$BE645,IF(J647="SKG",PR!$BF645,IF(J647="TAH",PR!$BG645,IF(J647="TAYLEK",PR!$BH645,IF(J647="TEMITA",PR!$BI645,IF(J647="THL",PR!$BJ645,IF(J647="UBASTIC",PR!$BK645,IF(J647="UNION",PR!$BL645,IF(J647="UNIQUE",PR!$BM645,IF(J647="VIXA",PR!$BN645,IF(J647="WWCV",PR!$BO645,IF(J647="ZOLON",PR!$BP645,"-"))))))))))))))))))))))))))))))))))))))))))))))))))))))))))))))))</f>
        <v>2200</v>
      </c>
      <c r="J647" s="102" t="str">
        <f>EV!N817</f>
        <v>SANCON</v>
      </c>
      <c r="K647" s="433" t="s">
        <v>2150</v>
      </c>
      <c r="L647" s="183" t="str">
        <f>IF(K647&gt;0,IF(K647="ALPHA",PR!$E645,IF(K647="ASSENE",PR!$F645,IF(K647="BIOFEM",PR!$G645,IF(K647="BIOMED",PR!$H645,IF(K647="CHI",PR!$I645,IF(K647="CLARION",PR!$J645,IF(K647="CODIX",PR!$K645,IF(K647="COSMADE",PR!$L645,IF(K647="SANCON",PR!$M645,IF(K647="DEVON",PR!$N645,IF(K647="DORTEMAG",PR!$O645,IF(K647="DGF",PR!$P645,IF(K647="DYNAMIC",PR!$Q645,IF(K647="EMZOR",PR!$R645,IF(K647="EUMATT",PR!$S645,IF(K647="FIDSON",PR!$T645,IF(K647="FCGLOBAL",PR!$U645,IF(K647="GENEITH",PR!$V645,IF(K647="GINOS",PR!$W645,IF(K647="GSK",PR!$X645,IF(K647="GLOBORG",PR!$Y645,IF(K647="GOODNEWS",PR!$Z645,IF(K647="GREENLIFE",PR!$AA645,IF(K647="HLINE",PR!$AB645,IF(K647="ROTECH",PR!$AC645,IF(K647="ISN",PR!$AD645,IF(K647="JAWA",PR!$AE645,IF(K647="LAYO",PR!$AF645,IF(K647="LEADWAY",PR!$AG645,IF(K647="LHV",PR!$AH645,IF(K647="MANOLA",PR!$AI645,IF(K647="MARCSON",PR!$AJ645,IF(K647="M&amp;B",PR!$AK645,IF(K647="MTRUST",PR!$AL645,IF(K647="MWORLD",PR!$AM645,IF(K647="MEGA",PR!$AN645,IF(K647="MICRONOVA",PR!$AO645,IF(K647="MFLASH",PR!$AP645,IF(K647="MORISON",PR!$AQ645,IF(K647="NEMEL",PR!$AR645,IF(K647="NHP",PR!$AS645,IF(K647="NHC",PR!$AT645,IF(K647="OLEAF",PR!$AU645,IF(K647="OCULUS",PR!$AV645,IF(K647="PACIFIC",PR!$AW645,IF(K647="PHAMATEX",PR!$AX645,IF(K647="PETHICS",PR!$AY645,IF(K647="PHILIPS",PR!$AZ645,IF(K647="RANBAXY",PR!$BA645,IF(K647="REALS",PR!$BB645,IF(K647="ROYAL",PR!$BC645,IF(K647="SAM",PR!$BD645,IF(K647="SEAGREEN",PR!$BE645,IF(K647="SKG",PR!$BF645,IF(K647="TAH",PR!$BG645,IF(K647="TAYLEK",PR!$BH645,IF(K647="TEMITA",PR!$BI645,IF(K647="THL",PR!$BJ645,IF(K647="UBASTIC",PR!$BK645,IF(K647="UNION",PR!$BL645,IF(K647="UNIQUE",PR!$BM645,IF(K647="VIXA",PR!$BN645,IF(K647="WWCV",PR!$BO645,IF(K647="ZOLON",PR!$BP645,"-")))))))))))))))))))))))))))))))))))))))))))))))))))))))))))))))))</f>
        <v>-</v>
      </c>
    </row>
    <row r="648" spans="1:12" ht="18.75" x14ac:dyDescent="0.3">
      <c r="A648" s="430">
        <f>PR!A646</f>
        <v>584</v>
      </c>
      <c r="B648" s="15" t="str">
        <f>PR!B646</f>
        <v>CLINICAL THERMOMETER B/S</v>
      </c>
      <c r="C648" s="113">
        <f>PR!D646</f>
        <v>12</v>
      </c>
      <c r="D648" s="113">
        <f>PR!C646</f>
        <v>400</v>
      </c>
      <c r="E648" s="108">
        <f>IF(F648="ALPHA",PR!$E646,IF(F648="ASSENE",PR!$F646,IF(F648="BIOFEM",PR!$G646,IF(F648="BIOMED",PR!$H646,IF(F648="CHI",PR!$I646,IF(F648="CLARION",PR!$J646,IF(F648="CODIX",PR!$K646,IF(F648="COSMADE",PR!$L646,IF(F648="SANCON",PR!$M646,IF(F648="DEVON",PR!$N646,IF(F648="DORTEMAG",PR!$O646,IF(F648="DGF",PR!$P646,IF(F648="DYNAMIC",PR!$Q646,IF(F648="EMZOR",PR!$R646,IF(F648="EUMATT",PR!$S646,IF(F648="FIDSON",PR!$T646,IF(F648="FCGLOBAL",PR!$U646,IF(F648="GENEITH",PR!$V646,IF(F648="GINOS",PR!$W646,IF(F648="GSK",PR!$X646,IF(F648="GLOBORG",PR!$Y646,IF(F648="GOODNEWS",PR!$Z646,IF(F648="GREENLIFE",PR!$AA646,IF(F648="HLINE",PR!$AB646,IF(F648="ROTECH",PR!$AC646,IF(F648="ISN",PR!$AD646,IF(F648="JAWA",PR!$AE646,IF(F648="LAYO",PR!$AF646,IF(F648="LEADWAY",PR!$AG646,IF(F648="LHV",PR!$AH646,IF(F648="MANOLA",PR!$AI646,IF(F648="MARCSON",PR!$AJ646,IF(F648="M&amp;B",PR!$AK646,IF(F648="MTRUST",PR!$AL646,IF(F648="MWORLD",PR!$AM646,IF(F648="MEGA",PR!$AN646,IF(F648="MICRONOVA",PR!$AO646,IF(F648="MFLASH",PR!$AP646,IF(F648="MORISON",PR!$AQ646,IF(F648="NEMEL",PR!$AR646,IF(F648="NHP",PR!$AS646,IF(F648="NHC",PR!$AT646,IF(F648="OLEAF",PR!$AU646,IF(F648="OCULUS",PR!$AV646,IF(F648="PACIFIC",PR!$AW646,IF(F648="PHAMATEX",PR!$AX646,IF(F648="PETHICS",PR!$AY646,IF(F648="PHILIPS",PR!$AZ646,IF(F648="RANBAXY",PR!$BA646,IF(F648="REALS",PR!$BB646,IF(F648="ROYAL",PR!$BC646,IF(F648="SAM",PR!$BD646,IF(F648="SEAGREEN",PR!$BE646,IF(F648="SKG",PR!$BF646,IF(F648="TAH",PR!$BG646,IF(F648="TAYLEK",PR!$BH646,IF(F648="TEMITA",PR!$BI646,IF(F648="THL",PR!$BJ646,IF(F648="UBASTIC",PR!$BK646,IF(F648="UNION",PR!$BL646,IF(F648="UNIQUE",PR!$BM646,IF(F648="VIXA",PR!$BN646,IF(F648="WWCV",PR!$BO646,IF(F648="ZOLON",PR!$BP646,"-"))))))))))))))))))))))))))))))))))))))))))))))))))))))))))))))))</f>
        <v>2200</v>
      </c>
      <c r="F648" s="102" t="str">
        <f>EV!L818</f>
        <v>EUMATT</v>
      </c>
      <c r="G648" s="108">
        <f>IF(H648="ALPHA",PR!$E646,IF(H648="ASSENE",PR!$F646,IF(H648="BIOFEM",PR!$G646,IF(H648="BIOMED",PR!$H646,IF(H648="CHI",PR!$I646,IF(H648="CLARION",PR!$J646,IF(H648="CODIX",PR!$K646,IF(H648="COSMADE",PR!$L646,IF(H648="SANCON",PR!$M646,IF(H648="DEVON",PR!$N646,IF(H648="DORTEMAG",PR!$O646,IF(H648="DGF",PR!$P646,IF(H648="DYNAMIC",PR!$Q646,IF(H648="EMZOR",PR!$R646,IF(H648="EUMATT",PR!$S646,IF(H648="FIDSON",PR!$T646,IF(H648="FCGLOBAL",PR!$U646,IF(H648="GENEITH",PR!$V646,IF(H648="GINOS",PR!$W646,IF(H648="GSK",PR!$X646,IF(H648="GLOBORG",PR!$Y646,IF(H648="GOODNEWS",PR!$Z646,IF(H648="GREENLIFE",PR!$AA646,IF(H648="HLINE",PR!$AB646,IF(H648="ROTECH",PR!$AC646,IF(H648="ISN",PR!$AD646,IF(H648="JAWA",PR!$AE646,IF(H648="LAYO",PR!$AF646,IF(H648="LEADWAY",PR!$AG646,IF(H648="LHV",PR!$AH646,IF(H648="MANOLA",PR!$AI646,IF(H648="MARCSON",PR!$AJ646,IF(H648="M&amp;B",PR!$AK646,IF(H648="MTRUST",PR!$AL646,IF(H648="MWORLD",PR!$AM646,IF(H648="MEGA",PR!$AN646,IF(H648="MICRONOVA",PR!$AO646,IF(H648="MFLASH",PR!$AP646,IF(H648="MORISON",PR!$AQ646,IF(H648="NEMEL",PR!$AR646,IF(H648="NHP",PR!$AS646,IF(H648="NHC",PR!$AT646,IF(H648="OLEAF",PR!$AU646,IF(H648="OCULUS",PR!$AV646,IF(H648="PACIFIC",PR!$AW646,IF(H648="PHAMATEX",PR!$AX646,IF(H648="PETHICS",PR!$AY646,IF(H648="PHILIPS",PR!$AZ646,IF(H648="RANBAXY",PR!$BA646,IF(H648="REALS",PR!$BB646,IF(H648="ROYAL",PR!$BC646,IF(H648="SAM",PR!$BD646,IF(H648="SEAGREEN",PR!$BE646,IF(H648="SKG",PR!$BF646,IF(H648="TAH",PR!$BG646,IF(H648="TAYLEK",PR!$BH646,IF(H648="TEMITA",PR!$BI646,IF(H648="THL",PR!$BJ646,IF(H648="UBASTIC",PR!$BK646,IF(H648="UNION",PR!$BL646,IF(H648="UNIQUE",PR!$BM646,IF(H648="VIXA",PR!$BN646,IF(H648="WWCV",PR!$BO646,IF(H648="ZOLON",PR!$BP646,"-"))))))))))))))))))))))))))))))))))))))))))))))))))))))))))))))))</f>
        <v>2250</v>
      </c>
      <c r="H648" s="102" t="str">
        <f>EV!M818</f>
        <v>ROTECH</v>
      </c>
      <c r="I648" s="108">
        <f>IF(J648="ALPHA",PR!$E646,IF(J648="ASSENE",PR!$F646,IF(J648="BIOFEM",PR!$G646,IF(J648="BIOMED",PR!$H646,IF(J648="CHI",PR!$I646,IF(J648="CLARION",PR!$J646,IF(J648="CODIX",PR!$K646,IF(J648="COSMADE",PR!$L646,IF(J648="SANCON",PR!$M646,IF(J648="DEVON",PR!$N646,IF(J648="DORTEMAG",PR!$O646,IF(J648="DGF",PR!$P646,IF(J648="DYNAMIC",PR!$Q646,IF(J648="EMZOR",PR!$R646,IF(J648="EUMATT",PR!$S646,IF(J648="FIDSON",PR!$T646,IF(J648="FCGLOBAL",PR!$U646,IF(J648="GENEITH",PR!$V646,IF(J648="GINOS",PR!$W646,IF(J648="GSK",PR!$X646,IF(J648="GLOBORG",PR!$Y646,IF(J648="GOODNEWS",PR!$Z646,IF(J648="GREENLIFE",PR!$AA646,IF(J648="HLINE",PR!$AB646,IF(J648="ROTECH",PR!$AC646,IF(J648="ISN",PR!$AD646,IF(J648="JAWA",PR!$AE646,IF(J648="LAYO",PR!$AF646,IF(J648="LEADWAY",PR!$AG646,IF(J648="LHV",PR!$AH646,IF(J648="MANOLA",PR!$AI646,IF(J648="MARCSON",PR!$AJ646,IF(J648="M&amp;B",PR!$AK646,IF(J648="MTRUST",PR!$AL646,IF(J648="MWORLD",PR!$AM646,IF(J648="MEGA",PR!$AN646,IF(J648="MICRONOVA",PR!$AO646,IF(J648="MFLASH",PR!$AP646,IF(J648="MORISON",PR!$AQ646,IF(J648="NEMEL",PR!$AR646,IF(J648="NHP",PR!$AS646,IF(J648="NHC",PR!$AT646,IF(J648="OLEAF",PR!$AU646,IF(J648="OCULUS",PR!$AV646,IF(J648="PACIFIC",PR!$AW646,IF(J648="PHAMATEX",PR!$AX646,IF(J648="PETHICS",PR!$AY646,IF(J648="PHILIPS",PR!$AZ646,IF(J648="RANBAXY",PR!$BA646,IF(J648="REALS",PR!$BB646,IF(J648="ROYAL",PR!$BC646,IF(J648="SAM",PR!$BD646,IF(J648="SEAGREEN",PR!$BE646,IF(J648="SKG",PR!$BF646,IF(J648="TAH",PR!$BG646,IF(J648="TAYLEK",PR!$BH646,IF(J648="TEMITA",PR!$BI646,IF(J648="THL",PR!$BJ646,IF(J648="UBASTIC",PR!$BK646,IF(J648="UNION",PR!$BL646,IF(J648="UNIQUE",PR!$BM646,IF(J648="VIXA",PR!$BN646,IF(J648="WWCV",PR!$BO646,IF(J648="ZOLON",PR!$BP646,"-"))))))))))))))))))))))))))))))))))))))))))))))))))))))))))))))))</f>
        <v>2300</v>
      </c>
      <c r="J648" s="102" t="str">
        <f>EV!N818</f>
        <v>COSMADE</v>
      </c>
      <c r="K648" s="433" t="s">
        <v>821</v>
      </c>
      <c r="L648" s="183">
        <f>IF(K648&gt;0,IF(K648="ALPHA",PR!$E646,IF(K648="ASSENE",PR!$F646,IF(K648="BIOFEM",PR!$G646,IF(K648="BIOMED",PR!$H646,IF(K648="CHI",PR!$I646,IF(K648="CLARION",PR!$J646,IF(K648="CODIX",PR!$K646,IF(K648="COSMADE",PR!$L646,IF(K648="SANCON",PR!$M646,IF(K648="DEVON",PR!$N646,IF(K648="DORTEMAG",PR!$O646,IF(K648="DGF",PR!$P646,IF(K648="DYNAMIC",PR!$Q646,IF(K648="EMZOR",PR!$R646,IF(K648="EUMATT",PR!$S646,IF(K648="FIDSON",PR!$T646,IF(K648="FCGLOBAL",PR!$U646,IF(K648="GENEITH",PR!$V646,IF(K648="GINOS",PR!$W646,IF(K648="GSK",PR!$X646,IF(K648="GLOBORG",PR!$Y646,IF(K648="GOODNEWS",PR!$Z646,IF(K648="GREENLIFE",PR!$AA646,IF(K648="HLINE",PR!$AB646,IF(K648="ROTECH",PR!$AC646,IF(K648="ISN",PR!$AD646,IF(K648="JAWA",PR!$AE646,IF(K648="LAYO",PR!$AF646,IF(K648="LEADWAY",PR!$AG646,IF(K648="LHV",PR!$AH646,IF(K648="MANOLA",PR!$AI646,IF(K648="MARCSON",PR!$AJ646,IF(K648="M&amp;B",PR!$AK646,IF(K648="MTRUST",PR!$AL646,IF(K648="MWORLD",PR!$AM646,IF(K648="MEGA",PR!$AN646,IF(K648="MICRONOVA",PR!$AO646,IF(K648="MFLASH",PR!$AP646,IF(K648="MORISON",PR!$AQ646,IF(K648="NEMEL",PR!$AR646,IF(K648="NHP",PR!$AS646,IF(K648="NHC",PR!$AT646,IF(K648="OLEAF",PR!$AU646,IF(K648="OCULUS",PR!$AV646,IF(K648="PACIFIC",PR!$AW646,IF(K648="PHAMATEX",PR!$AX646,IF(K648="PETHICS",PR!$AY646,IF(K648="PHILIPS",PR!$AZ646,IF(K648="RANBAXY",PR!$BA646,IF(K648="REALS",PR!$BB646,IF(K648="ROYAL",PR!$BC646,IF(K648="SAM",PR!$BD646,IF(K648="SEAGREEN",PR!$BE646,IF(K648="SKG",PR!$BF646,IF(K648="TAH",PR!$BG646,IF(K648="TAYLEK",PR!$BH646,IF(K648="TEMITA",PR!$BI646,IF(K648="THL",PR!$BJ646,IF(K648="UBASTIC",PR!$BK646,IF(K648="UNION",PR!$BL646,IF(K648="UNIQUE",PR!$BM646,IF(K648="VIXA",PR!$BN646,IF(K648="WWCV",PR!$BO646,IF(K648="ZOLON",PR!$BP646,"-")))))))))))))))))))))))))))))))))))))))))))))))))))))))))))))))))</f>
        <v>2200</v>
      </c>
    </row>
    <row r="649" spans="1:12" ht="18.75" x14ac:dyDescent="0.3">
      <c r="A649" s="430">
        <f>PR!A647</f>
        <v>585</v>
      </c>
      <c r="B649" s="15" t="str">
        <f>PR!B647</f>
        <v>COLOSTOMY BAG</v>
      </c>
      <c r="C649" s="113">
        <f>PR!D647</f>
        <v>30</v>
      </c>
      <c r="D649" s="113">
        <f>PR!C647</f>
        <v>20</v>
      </c>
      <c r="E649" s="108">
        <f>IF(F649="ALPHA",PR!$E647,IF(F649="ASSENE",PR!$F647,IF(F649="BIOFEM",PR!$G647,IF(F649="BIOMED",PR!$H647,IF(F649="CHI",PR!$I647,IF(F649="CLARION",PR!$J647,IF(F649="CODIX",PR!$K647,IF(F649="COSMADE",PR!$L647,IF(F649="SANCON",PR!$M647,IF(F649="DEVON",PR!$N647,IF(F649="DORTEMAG",PR!$O647,IF(F649="DGF",PR!$P647,IF(F649="DYNAMIC",PR!$Q647,IF(F649="EMZOR",PR!$R647,IF(F649="EUMATT",PR!$S647,IF(F649="FIDSON",PR!$T647,IF(F649="FCGLOBAL",PR!$U647,IF(F649="GENEITH",PR!$V647,IF(F649="GINOS",PR!$W647,IF(F649="GSK",PR!$X647,IF(F649="GLOBORG",PR!$Y647,IF(F649="GOODNEWS",PR!$Z647,IF(F649="GREENLIFE",PR!$AA647,IF(F649="HLINE",PR!$AB647,IF(F649="ROTECH",PR!$AC647,IF(F649="ISN",PR!$AD647,IF(F649="JAWA",PR!$AE647,IF(F649="LAYO",PR!$AF647,IF(F649="LEADWAY",PR!$AG647,IF(F649="LHV",PR!$AH647,IF(F649="MANOLA",PR!$AI647,IF(F649="MARCSON",PR!$AJ647,IF(F649="M&amp;B",PR!$AK647,IF(F649="MTRUST",PR!$AL647,IF(F649="MWORLD",PR!$AM647,IF(F649="MEGA",PR!$AN647,IF(F649="MICRONOVA",PR!$AO647,IF(F649="MFLASH",PR!$AP647,IF(F649="MORISON",PR!$AQ647,IF(F649="NEMEL",PR!$AR647,IF(F649="NHP",PR!$AS647,IF(F649="NHC",PR!$AT647,IF(F649="OLEAF",PR!$AU647,IF(F649="OCULUS",PR!$AV647,IF(F649="PACIFIC",PR!$AW647,IF(F649="PHAMATEX",PR!$AX647,IF(F649="PETHICS",PR!$AY647,IF(F649="PHILIPS",PR!$AZ647,IF(F649="RANBAXY",PR!$BA647,IF(F649="REALS",PR!$BB647,IF(F649="ROYAL",PR!$BC647,IF(F649="SAM",PR!$BD647,IF(F649="SEAGREEN",PR!$BE647,IF(F649="SKG",PR!$BF647,IF(F649="TAH",PR!$BG647,IF(F649="TAYLEK",PR!$BH647,IF(F649="TEMITA",PR!$BI647,IF(F649="THL",PR!$BJ647,IF(F649="UBASTIC",PR!$BK647,IF(F649="UNION",PR!$BL647,IF(F649="UNIQUE",PR!$BM647,IF(F649="VIXA",PR!$BN647,IF(F649="WWCV",PR!$BO647,IF(F649="ZOLON",PR!$BP647,"-"))))))))))))))))))))))))))))))))))))))))))))))))))))))))))))))))</f>
        <v>5085</v>
      </c>
      <c r="F649" s="102" t="str">
        <f>EV!L819</f>
        <v>ROTECH</v>
      </c>
      <c r="G649" s="108">
        <f>IF(H649="ALPHA",PR!$E647,IF(H649="ASSENE",PR!$F647,IF(H649="BIOFEM",PR!$G647,IF(H649="BIOMED",PR!$H647,IF(H649="CHI",PR!$I647,IF(H649="CLARION",PR!$J647,IF(H649="CODIX",PR!$K647,IF(H649="COSMADE",PR!$L647,IF(H649="SANCON",PR!$M647,IF(H649="DEVON",PR!$N647,IF(H649="DORTEMAG",PR!$O647,IF(H649="DGF",PR!$P647,IF(H649="DYNAMIC",PR!$Q647,IF(H649="EMZOR",PR!$R647,IF(H649="EUMATT",PR!$S647,IF(H649="FIDSON",PR!$T647,IF(H649="FCGLOBAL",PR!$U647,IF(H649="GENEITH",PR!$V647,IF(H649="GINOS",PR!$W647,IF(H649="GSK",PR!$X647,IF(H649="GLOBORG",PR!$Y647,IF(H649="GOODNEWS",PR!$Z647,IF(H649="GREENLIFE",PR!$AA647,IF(H649="HLINE",PR!$AB647,IF(H649="ROTECH",PR!$AC647,IF(H649="ISN",PR!$AD647,IF(H649="JAWA",PR!$AE647,IF(H649="LAYO",PR!$AF647,IF(H649="LEADWAY",PR!$AG647,IF(H649="LHV",PR!$AH647,IF(H649="MANOLA",PR!$AI647,IF(H649="MARCSON",PR!$AJ647,IF(H649="M&amp;B",PR!$AK647,IF(H649="MTRUST",PR!$AL647,IF(H649="MWORLD",PR!$AM647,IF(H649="MEGA",PR!$AN647,IF(H649="MICRONOVA",PR!$AO647,IF(H649="MFLASH",PR!$AP647,IF(H649="MORISON",PR!$AQ647,IF(H649="NEMEL",PR!$AR647,IF(H649="NHP",PR!$AS647,IF(H649="NHC",PR!$AT647,IF(H649="OLEAF",PR!$AU647,IF(H649="OCULUS",PR!$AV647,IF(H649="PACIFIC",PR!$AW647,IF(H649="PHAMATEX",PR!$AX647,IF(H649="PETHICS",PR!$AY647,IF(H649="PHILIPS",PR!$AZ647,IF(H649="RANBAXY",PR!$BA647,IF(H649="REALS",PR!$BB647,IF(H649="ROYAL",PR!$BC647,IF(H649="SAM",PR!$BD647,IF(H649="SEAGREEN",PR!$BE647,IF(H649="SKG",PR!$BF647,IF(H649="TAH",PR!$BG647,IF(H649="TAYLEK",PR!$BH647,IF(H649="TEMITA",PR!$BI647,IF(H649="THL",PR!$BJ647,IF(H649="UBASTIC",PR!$BK647,IF(H649="UNION",PR!$BL647,IF(H649="UNIQUE",PR!$BM647,IF(H649="VIXA",PR!$BN647,IF(H649="WWCV",PR!$BO647,IF(H649="ZOLON",PR!$BP647,"-"))))))))))))))))))))))))))))))))))))))))))))))))))))))))))))))))</f>
        <v>6000</v>
      </c>
      <c r="H649" s="102" t="str">
        <f>EV!M819</f>
        <v>EUMATT</v>
      </c>
      <c r="I649" s="108">
        <f>IF(J649="ALPHA",PR!$E647,IF(J649="ASSENE",PR!$F647,IF(J649="BIOFEM",PR!$G647,IF(J649="BIOMED",PR!$H647,IF(J649="CHI",PR!$I647,IF(J649="CLARION",PR!$J647,IF(J649="CODIX",PR!$K647,IF(J649="COSMADE",PR!$L647,IF(J649="SANCON",PR!$M647,IF(J649="DEVON",PR!$N647,IF(J649="DORTEMAG",PR!$O647,IF(J649="DGF",PR!$P647,IF(J649="DYNAMIC",PR!$Q647,IF(J649="EMZOR",PR!$R647,IF(J649="EUMATT",PR!$S647,IF(J649="FIDSON",PR!$T647,IF(J649="FCGLOBAL",PR!$U647,IF(J649="GENEITH",PR!$V647,IF(J649="GINOS",PR!$W647,IF(J649="GSK",PR!$X647,IF(J649="GLOBORG",PR!$Y647,IF(J649="GOODNEWS",PR!$Z647,IF(J649="GREENLIFE",PR!$AA647,IF(J649="HLINE",PR!$AB647,IF(J649="ROTECH",PR!$AC647,IF(J649="ISN",PR!$AD647,IF(J649="JAWA",PR!$AE647,IF(J649="LAYO",PR!$AF647,IF(J649="LEADWAY",PR!$AG647,IF(J649="LHV",PR!$AH647,IF(J649="MANOLA",PR!$AI647,IF(J649="MARCSON",PR!$AJ647,IF(J649="M&amp;B",PR!$AK647,IF(J649="MTRUST",PR!$AL647,IF(J649="MWORLD",PR!$AM647,IF(J649="MEGA",PR!$AN647,IF(J649="MICRONOVA",PR!$AO647,IF(J649="MFLASH",PR!$AP647,IF(J649="MORISON",PR!$AQ647,IF(J649="NEMEL",PR!$AR647,IF(J649="NHP",PR!$AS647,IF(J649="NHC",PR!$AT647,IF(J649="OLEAF",PR!$AU647,IF(J649="OCULUS",PR!$AV647,IF(J649="PACIFIC",PR!$AW647,IF(J649="PHAMATEX",PR!$AX647,IF(J649="PETHICS",PR!$AY647,IF(J649="PHILIPS",PR!$AZ647,IF(J649="RANBAXY",PR!$BA647,IF(J649="REALS",PR!$BB647,IF(J649="ROYAL",PR!$BC647,IF(J649="SAM",PR!$BD647,IF(J649="SEAGREEN",PR!$BE647,IF(J649="SKG",PR!$BF647,IF(J649="TAH",PR!$BG647,IF(J649="TAYLEK",PR!$BH647,IF(J649="TEMITA",PR!$BI647,IF(J649="THL",PR!$BJ647,IF(J649="UBASTIC",PR!$BK647,IF(J649="UNION",PR!$BL647,IF(J649="UNIQUE",PR!$BM647,IF(J649="VIXA",PR!$BN647,IF(J649="WWCV",PR!$BO647,IF(J649="ZOLON",PR!$BP647,"-"))))))))))))))))))))))))))))))))))))))))))))))))))))))))))))))))</f>
        <v>1500</v>
      </c>
      <c r="J649" s="102" t="str">
        <f>EV!N819</f>
        <v>COSMADE</v>
      </c>
      <c r="K649" s="433" t="s">
        <v>634</v>
      </c>
      <c r="L649" s="183">
        <f>IF(K649&gt;0,IF(K649="ALPHA",PR!$E647,IF(K649="ASSENE",PR!$F647,IF(K649="BIOFEM",PR!$G647,IF(K649="BIOMED",PR!$H647,IF(K649="CHI",PR!$I647,IF(K649="CLARION",PR!$J647,IF(K649="CODIX",PR!$K647,IF(K649="COSMADE",PR!$L647,IF(K649="SANCON",PR!$M647,IF(K649="DEVON",PR!$N647,IF(K649="DORTEMAG",PR!$O647,IF(K649="DGF",PR!$P647,IF(K649="DYNAMIC",PR!$Q647,IF(K649="EMZOR",PR!$R647,IF(K649="EUMATT",PR!$S647,IF(K649="FIDSON",PR!$T647,IF(K649="FCGLOBAL",PR!$U647,IF(K649="GENEITH",PR!$V647,IF(K649="GINOS",PR!$W647,IF(K649="GSK",PR!$X647,IF(K649="GLOBORG",PR!$Y647,IF(K649="GOODNEWS",PR!$Z647,IF(K649="GREENLIFE",PR!$AA647,IF(K649="HLINE",PR!$AB647,IF(K649="ROTECH",PR!$AC647,IF(K649="ISN",PR!$AD647,IF(K649="JAWA",PR!$AE647,IF(K649="LAYO",PR!$AF647,IF(K649="LEADWAY",PR!$AG647,IF(K649="LHV",PR!$AH647,IF(K649="MANOLA",PR!$AI647,IF(K649="MARCSON",PR!$AJ647,IF(K649="M&amp;B",PR!$AK647,IF(K649="MTRUST",PR!$AL647,IF(K649="MWORLD",PR!$AM647,IF(K649="MEGA",PR!$AN647,IF(K649="MICRONOVA",PR!$AO647,IF(K649="MFLASH",PR!$AP647,IF(K649="MORISON",PR!$AQ647,IF(K649="NEMEL",PR!$AR647,IF(K649="NHP",PR!$AS647,IF(K649="NHC",PR!$AT647,IF(K649="OLEAF",PR!$AU647,IF(K649="OCULUS",PR!$AV647,IF(K649="PACIFIC",PR!$AW647,IF(K649="PHAMATEX",PR!$AX647,IF(K649="PETHICS",PR!$AY647,IF(K649="PHILIPS",PR!$AZ647,IF(K649="RANBAXY",PR!$BA647,IF(K649="REALS",PR!$BB647,IF(K649="ROYAL",PR!$BC647,IF(K649="SAM",PR!$BD647,IF(K649="SEAGREEN",PR!$BE647,IF(K649="SKG",PR!$BF647,IF(K649="TAH",PR!$BG647,IF(K649="TAYLEK",PR!$BH647,IF(K649="TEMITA",PR!$BI647,IF(K649="THL",PR!$BJ647,IF(K649="UBASTIC",PR!$BK647,IF(K649="UNION",PR!$BL647,IF(K649="UNIQUE",PR!$BM647,IF(K649="VIXA",PR!$BN647,IF(K649="WWCV",PR!$BO647,IF(K649="ZOLON",PR!$BP647,"-")))))))))))))))))))))))))))))))))))))))))))))))))))))))))))))))))</f>
        <v>34500</v>
      </c>
    </row>
    <row r="650" spans="1:12" ht="18.75" x14ac:dyDescent="0.3">
      <c r="A650" s="430">
        <f>PR!A648</f>
        <v>586</v>
      </c>
      <c r="B650" s="15" t="str">
        <f>PR!B648</f>
        <v>CONDOM CATHETER</v>
      </c>
      <c r="C650" s="113">
        <f>PR!D648</f>
        <v>50</v>
      </c>
      <c r="D650" s="113">
        <f>PR!C648</f>
        <v>20</v>
      </c>
      <c r="E650" s="108">
        <f>IF(F650="ALPHA",PR!$E648,IF(F650="ASSENE",PR!$F648,IF(F650="BIOFEM",PR!$G648,IF(F650="BIOMED",PR!$H648,IF(F650="CHI",PR!$I648,IF(F650="CLARION",PR!$J648,IF(F650="CODIX",PR!$K648,IF(F650="COSMADE",PR!$L648,IF(F650="SANCON",PR!$M648,IF(F650="DEVON",PR!$N648,IF(F650="DORTEMAG",PR!$O648,IF(F650="DGF",PR!$P648,IF(F650="DYNAMIC",PR!$Q648,IF(F650="EMZOR",PR!$R648,IF(F650="EUMATT",PR!$S648,IF(F650="FIDSON",PR!$T648,IF(F650="FCGLOBAL",PR!$U648,IF(F650="GENEITH",PR!$V648,IF(F650="GINOS",PR!$W648,IF(F650="GSK",PR!$X648,IF(F650="GLOBORG",PR!$Y648,IF(F650="GOODNEWS",PR!$Z648,IF(F650="GREENLIFE",PR!$AA648,IF(F650="HLINE",PR!$AB648,IF(F650="ROTECH",PR!$AC648,IF(F650="ISN",PR!$AD648,IF(F650="JAWA",PR!$AE648,IF(F650="LAYO",PR!$AF648,IF(F650="LEADWAY",PR!$AG648,IF(F650="LHV",PR!$AH648,IF(F650="MANOLA",PR!$AI648,IF(F650="MARCSON",PR!$AJ648,IF(F650="M&amp;B",PR!$AK648,IF(F650="MTRUST",PR!$AL648,IF(F650="MWORLD",PR!$AM648,IF(F650="MEGA",PR!$AN648,IF(F650="MICRONOVA",PR!$AO648,IF(F650="MFLASH",PR!$AP648,IF(F650="MORISON",PR!$AQ648,IF(F650="NEMEL",PR!$AR648,IF(F650="NHP",PR!$AS648,IF(F650="NHC",PR!$AT648,IF(F650="OLEAF",PR!$AU648,IF(F650="OCULUS",PR!$AV648,IF(F650="PACIFIC",PR!$AW648,IF(F650="PHAMATEX",PR!$AX648,IF(F650="PETHICS",PR!$AY648,IF(F650="PHILIPS",PR!$AZ648,IF(F650="RANBAXY",PR!$BA648,IF(F650="REALS",PR!$BB648,IF(F650="ROYAL",PR!$BC648,IF(F650="SAM",PR!$BD648,IF(F650="SEAGREEN",PR!$BE648,IF(F650="SKG",PR!$BF648,IF(F650="TAH",PR!$BG648,IF(F650="TAYLEK",PR!$BH648,IF(F650="TEMITA",PR!$BI648,IF(F650="THL",PR!$BJ648,IF(F650="UBASTIC",PR!$BK648,IF(F650="UNION",PR!$BL648,IF(F650="UNIQUE",PR!$BM648,IF(F650="VIXA",PR!$BN648,IF(F650="WWCV",PR!$BO648,IF(F650="ZOLON",PR!$BP648,"-"))))))))))))))))))))))))))))))))))))))))))))))))))))))))))))))))</f>
        <v>5100</v>
      </c>
      <c r="F650" s="102" t="str">
        <f>EV!L820</f>
        <v>ROTECH</v>
      </c>
      <c r="G650" s="108">
        <f>IF(H650="ALPHA",PR!$E648,IF(H650="ASSENE",PR!$F648,IF(H650="BIOFEM",PR!$G648,IF(H650="BIOMED",PR!$H648,IF(H650="CHI",PR!$I648,IF(H650="CLARION",PR!$J648,IF(H650="CODIX",PR!$K648,IF(H650="COSMADE",PR!$L648,IF(H650="SANCON",PR!$M648,IF(H650="DEVON",PR!$N648,IF(H650="DORTEMAG",PR!$O648,IF(H650="DGF",PR!$P648,IF(H650="DYNAMIC",PR!$Q648,IF(H650="EMZOR",PR!$R648,IF(H650="EUMATT",PR!$S648,IF(H650="FIDSON",PR!$T648,IF(H650="FCGLOBAL",PR!$U648,IF(H650="GENEITH",PR!$V648,IF(H650="GINOS",PR!$W648,IF(H650="GSK",PR!$X648,IF(H650="GLOBORG",PR!$Y648,IF(H650="GOODNEWS",PR!$Z648,IF(H650="GREENLIFE",PR!$AA648,IF(H650="HLINE",PR!$AB648,IF(H650="ROTECH",PR!$AC648,IF(H650="ISN",PR!$AD648,IF(H650="JAWA",PR!$AE648,IF(H650="LAYO",PR!$AF648,IF(H650="LEADWAY",PR!$AG648,IF(H650="LHV",PR!$AH648,IF(H650="MANOLA",PR!$AI648,IF(H650="MARCSON",PR!$AJ648,IF(H650="M&amp;B",PR!$AK648,IF(H650="MTRUST",PR!$AL648,IF(H650="MWORLD",PR!$AM648,IF(H650="MEGA",PR!$AN648,IF(H650="MICRONOVA",PR!$AO648,IF(H650="MFLASH",PR!$AP648,IF(H650="MORISON",PR!$AQ648,IF(H650="NEMEL",PR!$AR648,IF(H650="NHP",PR!$AS648,IF(H650="NHC",PR!$AT648,IF(H650="OLEAF",PR!$AU648,IF(H650="OCULUS",PR!$AV648,IF(H650="PACIFIC",PR!$AW648,IF(H650="PHAMATEX",PR!$AX648,IF(H650="PETHICS",PR!$AY648,IF(H650="PHILIPS",PR!$AZ648,IF(H650="RANBAXY",PR!$BA648,IF(H650="REALS",PR!$BB648,IF(H650="ROYAL",PR!$BC648,IF(H650="SAM",PR!$BD648,IF(H650="SEAGREEN",PR!$BE648,IF(H650="SKG",PR!$BF648,IF(H650="TAH",PR!$BG648,IF(H650="TAYLEK",PR!$BH648,IF(H650="TEMITA",PR!$BI648,IF(H650="THL",PR!$BJ648,IF(H650="UBASTIC",PR!$BK648,IF(H650="UNION",PR!$BL648,IF(H650="UNIQUE",PR!$BM648,IF(H650="VIXA",PR!$BN648,IF(H650="WWCV",PR!$BO648,IF(H650="ZOLON",PR!$BP648,"-"))))))))))))))))))))))))))))))))))))))))))))))))))))))))))))))))</f>
        <v>8625</v>
      </c>
      <c r="H650" s="102" t="str">
        <f>EV!M820</f>
        <v>SANCON</v>
      </c>
      <c r="I650" s="108">
        <f>IF(J650="ALPHA",PR!$E648,IF(J650="ASSENE",PR!$F648,IF(J650="BIOFEM",PR!$G648,IF(J650="BIOMED",PR!$H648,IF(J650="CHI",PR!$I648,IF(J650="CLARION",PR!$J648,IF(J650="CODIX",PR!$K648,IF(J650="COSMADE",PR!$L648,IF(J650="SANCON",PR!$M648,IF(J650="DEVON",PR!$N648,IF(J650="DORTEMAG",PR!$O648,IF(J650="DGF",PR!$P648,IF(J650="DYNAMIC",PR!$Q648,IF(J650="EMZOR",PR!$R648,IF(J650="EUMATT",PR!$S648,IF(J650="FIDSON",PR!$T648,IF(J650="FCGLOBAL",PR!$U648,IF(J650="GENEITH",PR!$V648,IF(J650="GINOS",PR!$W648,IF(J650="GSK",PR!$X648,IF(J650="GLOBORG",PR!$Y648,IF(J650="GOODNEWS",PR!$Z648,IF(J650="GREENLIFE",PR!$AA648,IF(J650="HLINE",PR!$AB648,IF(J650="ROTECH",PR!$AC648,IF(J650="ISN",PR!$AD648,IF(J650="JAWA",PR!$AE648,IF(J650="LAYO",PR!$AF648,IF(J650="LEADWAY",PR!$AG648,IF(J650="LHV",PR!$AH648,IF(J650="MANOLA",PR!$AI648,IF(J650="MARCSON",PR!$AJ648,IF(J650="M&amp;B",PR!$AK648,IF(J650="MTRUST",PR!$AL648,IF(J650="MWORLD",PR!$AM648,IF(J650="MEGA",PR!$AN648,IF(J650="MICRONOVA",PR!$AO648,IF(J650="MFLASH",PR!$AP648,IF(J650="MORISON",PR!$AQ648,IF(J650="NEMEL",PR!$AR648,IF(J650="NHP",PR!$AS648,IF(J650="NHC",PR!$AT648,IF(J650="OLEAF",PR!$AU648,IF(J650="OCULUS",PR!$AV648,IF(J650="PACIFIC",PR!$AW648,IF(J650="PHAMATEX",PR!$AX648,IF(J650="PETHICS",PR!$AY648,IF(J650="PHILIPS",PR!$AZ648,IF(J650="RANBAXY",PR!$BA648,IF(J650="REALS",PR!$BB648,IF(J650="ROYAL",PR!$BC648,IF(J650="SAM",PR!$BD648,IF(J650="SEAGREEN",PR!$BE648,IF(J650="SKG",PR!$BF648,IF(J650="TAH",PR!$BG648,IF(J650="TAYLEK",PR!$BH648,IF(J650="TEMITA",PR!$BI648,IF(J650="THL",PR!$BJ648,IF(J650="UBASTIC",PR!$BK648,IF(J650="UNION",PR!$BL648,IF(J650="UNIQUE",PR!$BM648,IF(J650="VIXA",PR!$BN648,IF(J650="WWCV",PR!$BO648,IF(J650="ZOLON",PR!$BP648,"-"))))))))))))))))))))))))))))))))))))))))))))))))))))))))))))))))</f>
        <v>10000</v>
      </c>
      <c r="J650" s="102" t="str">
        <f>EV!N820</f>
        <v>EUMATT</v>
      </c>
      <c r="K650" s="433" t="s">
        <v>2151</v>
      </c>
      <c r="L650" s="183" t="str">
        <f>IF(K650&gt;0,IF(K650="ALPHA",PR!$E648,IF(K650="ASSENE",PR!$F648,IF(K650="BIOFEM",PR!$G648,IF(K650="BIOMED",PR!$H648,IF(K650="CHI",PR!$I648,IF(K650="CLARION",PR!$J648,IF(K650="CODIX",PR!$K648,IF(K650="COSMADE",PR!$L648,IF(K650="SANCON",PR!$M648,IF(K650="DEVON",PR!$N648,IF(K650="DORTEMAG",PR!$O648,IF(K650="DGF",PR!$P648,IF(K650="DYNAMIC",PR!$Q648,IF(K650="EMZOR",PR!$R648,IF(K650="EUMATT",PR!$S648,IF(K650="FIDSON",PR!$T648,IF(K650="FCGLOBAL",PR!$U648,IF(K650="GENEITH",PR!$V648,IF(K650="GINOS",PR!$W648,IF(K650="GSK",PR!$X648,IF(K650="GLOBORG",PR!$Y648,IF(K650="GOODNEWS",PR!$Z648,IF(K650="GREENLIFE",PR!$AA648,IF(K650="HLINE",PR!$AB648,IF(K650="ROTECH",PR!$AC648,IF(K650="ISN",PR!$AD648,IF(K650="JAWA",PR!$AE648,IF(K650="LAYO",PR!$AF648,IF(K650="LEADWAY",PR!$AG648,IF(K650="LHV",PR!$AH648,IF(K650="MANOLA",PR!$AI648,IF(K650="MARCSON",PR!$AJ648,IF(K650="M&amp;B",PR!$AK648,IF(K650="MTRUST",PR!$AL648,IF(K650="MWORLD",PR!$AM648,IF(K650="MEGA",PR!$AN648,IF(K650="MICRONOVA",PR!$AO648,IF(K650="MFLASH",PR!$AP648,IF(K650="MORISON",PR!$AQ648,IF(K650="NEMEL",PR!$AR648,IF(K650="NHP",PR!$AS648,IF(K650="NHC",PR!$AT648,IF(K650="OLEAF",PR!$AU648,IF(K650="OCULUS",PR!$AV648,IF(K650="PACIFIC",PR!$AW648,IF(K650="PHAMATEX",PR!$AX648,IF(K650="PETHICS",PR!$AY648,IF(K650="PHILIPS",PR!$AZ648,IF(K650="RANBAXY",PR!$BA648,IF(K650="REALS",PR!$BB648,IF(K650="ROYAL",PR!$BC648,IF(K650="SAM",PR!$BD648,IF(K650="SEAGREEN",PR!$BE648,IF(K650="SKG",PR!$BF648,IF(K650="TAH",PR!$BG648,IF(K650="TAYLEK",PR!$BH648,IF(K650="TEMITA",PR!$BI648,IF(K650="THL",PR!$BJ648,IF(K650="UBASTIC",PR!$BK648,IF(K650="UNION",PR!$BL648,IF(K650="UNIQUE",PR!$BM648,IF(K650="VIXA",PR!$BN648,IF(K650="WWCV",PR!$BO648,IF(K650="ZOLON",PR!$BP648,"-")))))))))))))))))))))))))))))))))))))))))))))))))))))))))))))))))</f>
        <v>-</v>
      </c>
    </row>
    <row r="651" spans="1:12" ht="18.75" x14ac:dyDescent="0.3">
      <c r="A651" s="430">
        <f>PR!A649</f>
        <v>587</v>
      </c>
      <c r="B651" s="15" t="str">
        <f>PR!B649</f>
        <v>CORD CLAMP</v>
      </c>
      <c r="C651" s="113">
        <f>PR!D649</f>
        <v>100</v>
      </c>
      <c r="D651" s="113">
        <f>PR!C649</f>
        <v>20</v>
      </c>
      <c r="E651" s="108">
        <f>IF(F651="ALPHA",PR!$E649,IF(F651="ASSENE",PR!$F649,IF(F651="BIOFEM",PR!$G649,IF(F651="BIOMED",PR!$H649,IF(F651="CHI",PR!$I649,IF(F651="CLARION",PR!$J649,IF(F651="CODIX",PR!$K649,IF(F651="COSMADE",PR!$L649,IF(F651="SANCON",PR!$M649,IF(F651="DEVON",PR!$N649,IF(F651="DORTEMAG",PR!$O649,IF(F651="DGF",PR!$P649,IF(F651="DYNAMIC",PR!$Q649,IF(F651="EMZOR",PR!$R649,IF(F651="EUMATT",PR!$S649,IF(F651="FIDSON",PR!$T649,IF(F651="FCGLOBAL",PR!$U649,IF(F651="GENEITH",PR!$V649,IF(F651="GINOS",PR!$W649,IF(F651="GSK",PR!$X649,IF(F651="GLOBORG",PR!$Y649,IF(F651="GOODNEWS",PR!$Z649,IF(F651="GREENLIFE",PR!$AA649,IF(F651="HLINE",PR!$AB649,IF(F651="ROTECH",PR!$AC649,IF(F651="ISN",PR!$AD649,IF(F651="JAWA",PR!$AE649,IF(F651="LAYO",PR!$AF649,IF(F651="LEADWAY",PR!$AG649,IF(F651="LHV",PR!$AH649,IF(F651="MANOLA",PR!$AI649,IF(F651="MARCSON",PR!$AJ649,IF(F651="M&amp;B",PR!$AK649,IF(F651="MTRUST",PR!$AL649,IF(F651="MWORLD",PR!$AM649,IF(F651="MEGA",PR!$AN649,IF(F651="MICRONOVA",PR!$AO649,IF(F651="MFLASH",PR!$AP649,IF(F651="MORISON",PR!$AQ649,IF(F651="NEMEL",PR!$AR649,IF(F651="NHP",PR!$AS649,IF(F651="NHC",PR!$AT649,IF(F651="OLEAF",PR!$AU649,IF(F651="OCULUS",PR!$AV649,IF(F651="PACIFIC",PR!$AW649,IF(F651="PHAMATEX",PR!$AX649,IF(F651="PETHICS",PR!$AY649,IF(F651="PHILIPS",PR!$AZ649,IF(F651="RANBAXY",PR!$BA649,IF(F651="REALS",PR!$BB649,IF(F651="ROYAL",PR!$BC649,IF(F651="SAM",PR!$BD649,IF(F651="SEAGREEN",PR!$BE649,IF(F651="SKG",PR!$BF649,IF(F651="TAH",PR!$BG649,IF(F651="TAYLEK",PR!$BH649,IF(F651="TEMITA",PR!$BI649,IF(F651="THL",PR!$BJ649,IF(F651="UBASTIC",PR!$BK649,IF(F651="UNION",PR!$BL649,IF(F651="UNIQUE",PR!$BM649,IF(F651="VIXA",PR!$BN649,IF(F651="WWCV",PR!$BO649,IF(F651="ZOLON",PR!$BP649,"-"))))))))))))))))))))))))))))))))))))))))))))))))))))))))))))))))</f>
        <v>1725</v>
      </c>
      <c r="F651" s="102" t="str">
        <f>EV!L821</f>
        <v>SANCON</v>
      </c>
      <c r="G651" s="108">
        <f>IF(H651="ALPHA",PR!$E649,IF(H651="ASSENE",PR!$F649,IF(H651="BIOFEM",PR!$G649,IF(H651="BIOMED",PR!$H649,IF(H651="CHI",PR!$I649,IF(H651="CLARION",PR!$J649,IF(H651="CODIX",PR!$K649,IF(H651="COSMADE",PR!$L649,IF(H651="SANCON",PR!$M649,IF(H651="DEVON",PR!$N649,IF(H651="DORTEMAG",PR!$O649,IF(H651="DGF",PR!$P649,IF(H651="DYNAMIC",PR!$Q649,IF(H651="EMZOR",PR!$R649,IF(H651="EUMATT",PR!$S649,IF(H651="FIDSON",PR!$T649,IF(H651="FCGLOBAL",PR!$U649,IF(H651="GENEITH",PR!$V649,IF(H651="GINOS",PR!$W649,IF(H651="GSK",PR!$X649,IF(H651="GLOBORG",PR!$Y649,IF(H651="GOODNEWS",PR!$Z649,IF(H651="GREENLIFE",PR!$AA649,IF(H651="HLINE",PR!$AB649,IF(H651="ROTECH",PR!$AC649,IF(H651="ISN",PR!$AD649,IF(H651="JAWA",PR!$AE649,IF(H651="LAYO",PR!$AF649,IF(H651="LEADWAY",PR!$AG649,IF(H651="LHV",PR!$AH649,IF(H651="MANOLA",PR!$AI649,IF(H651="MARCSON",PR!$AJ649,IF(H651="M&amp;B",PR!$AK649,IF(H651="MTRUST",PR!$AL649,IF(H651="MWORLD",PR!$AM649,IF(H651="MEGA",PR!$AN649,IF(H651="MICRONOVA",PR!$AO649,IF(H651="MFLASH",PR!$AP649,IF(H651="MORISON",PR!$AQ649,IF(H651="NEMEL",PR!$AR649,IF(H651="NHP",PR!$AS649,IF(H651="NHC",PR!$AT649,IF(H651="OLEAF",PR!$AU649,IF(H651="OCULUS",PR!$AV649,IF(H651="PACIFIC",PR!$AW649,IF(H651="PHAMATEX",PR!$AX649,IF(H651="PETHICS",PR!$AY649,IF(H651="PHILIPS",PR!$AZ649,IF(H651="RANBAXY",PR!$BA649,IF(H651="REALS",PR!$BB649,IF(H651="ROYAL",PR!$BC649,IF(H651="SAM",PR!$BD649,IF(H651="SEAGREEN",PR!$BE649,IF(H651="SKG",PR!$BF649,IF(H651="TAH",PR!$BG649,IF(H651="TAYLEK",PR!$BH649,IF(H651="TEMITA",PR!$BI649,IF(H651="THL",PR!$BJ649,IF(H651="UBASTIC",PR!$BK649,IF(H651="UNION",PR!$BL649,IF(H651="UNIQUE",PR!$BM649,IF(H651="VIXA",PR!$BN649,IF(H651="WWCV",PR!$BO649,IF(H651="ZOLON",PR!$BP649,"-"))))))))))))))))))))))))))))))))))))))))))))))))))))))))))))))))</f>
        <v>1900</v>
      </c>
      <c r="H651" s="102" t="str">
        <f>EV!M821</f>
        <v>COSMADE</v>
      </c>
      <c r="I651" s="108">
        <f>IF(J651="ALPHA",PR!$E649,IF(J651="ASSENE",PR!$F649,IF(J651="BIOFEM",PR!$G649,IF(J651="BIOMED",PR!$H649,IF(J651="CHI",PR!$I649,IF(J651="CLARION",PR!$J649,IF(J651="CODIX",PR!$K649,IF(J651="COSMADE",PR!$L649,IF(J651="SANCON",PR!$M649,IF(J651="DEVON",PR!$N649,IF(J651="DORTEMAG",PR!$O649,IF(J651="DGF",PR!$P649,IF(J651="DYNAMIC",PR!$Q649,IF(J651="EMZOR",PR!$R649,IF(J651="EUMATT",PR!$S649,IF(J651="FIDSON",PR!$T649,IF(J651="FCGLOBAL",PR!$U649,IF(J651="GENEITH",PR!$V649,IF(J651="GINOS",PR!$W649,IF(J651="GSK",PR!$X649,IF(J651="GLOBORG",PR!$Y649,IF(J651="GOODNEWS",PR!$Z649,IF(J651="GREENLIFE",PR!$AA649,IF(J651="HLINE",PR!$AB649,IF(J651="ROTECH",PR!$AC649,IF(J651="ISN",PR!$AD649,IF(J651="JAWA",PR!$AE649,IF(J651="LAYO",PR!$AF649,IF(J651="LEADWAY",PR!$AG649,IF(J651="LHV",PR!$AH649,IF(J651="MANOLA",PR!$AI649,IF(J651="MARCSON",PR!$AJ649,IF(J651="M&amp;B",PR!$AK649,IF(J651="MTRUST",PR!$AL649,IF(J651="MWORLD",PR!$AM649,IF(J651="MEGA",PR!$AN649,IF(J651="MICRONOVA",PR!$AO649,IF(J651="MFLASH",PR!$AP649,IF(J651="MORISON",PR!$AQ649,IF(J651="NEMEL",PR!$AR649,IF(J651="NHP",PR!$AS649,IF(J651="NHC",PR!$AT649,IF(J651="OLEAF",PR!$AU649,IF(J651="OCULUS",PR!$AV649,IF(J651="PACIFIC",PR!$AW649,IF(J651="PHAMATEX",PR!$AX649,IF(J651="PETHICS",PR!$AY649,IF(J651="PHILIPS",PR!$AZ649,IF(J651="RANBAXY",PR!$BA649,IF(J651="REALS",PR!$BB649,IF(J651="ROYAL",PR!$BC649,IF(J651="SAM",PR!$BD649,IF(J651="SEAGREEN",PR!$BE649,IF(J651="SKG",PR!$BF649,IF(J651="TAH",PR!$BG649,IF(J651="TAYLEK",PR!$BH649,IF(J651="TEMITA",PR!$BI649,IF(J651="THL",PR!$BJ649,IF(J651="UBASTIC",PR!$BK649,IF(J651="UNION",PR!$BL649,IF(J651="UNIQUE",PR!$BM649,IF(J651="VIXA",PR!$BN649,IF(J651="WWCV",PR!$BO649,IF(J651="ZOLON",PR!$BP649,"-"))))))))))))))))))))))))))))))))))))))))))))))))))))))))))))))))</f>
        <v>1900</v>
      </c>
      <c r="J651" s="102" t="str">
        <f>EV!N821</f>
        <v>EUMATT</v>
      </c>
      <c r="K651" s="433" t="s">
        <v>817</v>
      </c>
      <c r="L651" s="183">
        <f>IF(K651&gt;0,IF(K651="ALPHA",PR!$E649,IF(K651="ASSENE",PR!$F649,IF(K651="BIOFEM",PR!$G649,IF(K651="BIOMED",PR!$H649,IF(K651="CHI",PR!$I649,IF(K651="CLARION",PR!$J649,IF(K651="CODIX",PR!$K649,IF(K651="COSMADE",PR!$L649,IF(K651="SANCON",PR!$M649,IF(K651="DEVON",PR!$N649,IF(K651="DORTEMAG",PR!$O649,IF(K651="DGF",PR!$P649,IF(K651="DYNAMIC",PR!$Q649,IF(K651="EMZOR",PR!$R649,IF(K651="EUMATT",PR!$S649,IF(K651="FIDSON",PR!$T649,IF(K651="FCGLOBAL",PR!$U649,IF(K651="GENEITH",PR!$V649,IF(K651="GINOS",PR!$W649,IF(K651="GSK",PR!$X649,IF(K651="GLOBORG",PR!$Y649,IF(K651="GOODNEWS",PR!$Z649,IF(K651="GREENLIFE",PR!$AA649,IF(K651="HLINE",PR!$AB649,IF(K651="ROTECH",PR!$AC649,IF(K651="ISN",PR!$AD649,IF(K651="JAWA",PR!$AE649,IF(K651="LAYO",PR!$AF649,IF(K651="LEADWAY",PR!$AG649,IF(K651="LHV",PR!$AH649,IF(K651="MANOLA",PR!$AI649,IF(K651="MARCSON",PR!$AJ649,IF(K651="M&amp;B",PR!$AK649,IF(K651="MTRUST",PR!$AL649,IF(K651="MWORLD",PR!$AM649,IF(K651="MEGA",PR!$AN649,IF(K651="MICRONOVA",PR!$AO649,IF(K651="MFLASH",PR!$AP649,IF(K651="MORISON",PR!$AQ649,IF(K651="NEMEL",PR!$AR649,IF(K651="NHP",PR!$AS649,IF(K651="NHC",PR!$AT649,IF(K651="OLEAF",PR!$AU649,IF(K651="OCULUS",PR!$AV649,IF(K651="PACIFIC",PR!$AW649,IF(K651="PHAMATEX",PR!$AX649,IF(K651="PETHICS",PR!$AY649,IF(K651="PHILIPS",PR!$AZ649,IF(K651="RANBAXY",PR!$BA649,IF(K651="REALS",PR!$BB649,IF(K651="ROYAL",PR!$BC649,IF(K651="SAM",PR!$BD649,IF(K651="SEAGREEN",PR!$BE649,IF(K651="SKG",PR!$BF649,IF(K651="TAH",PR!$BG649,IF(K651="TAYLEK",PR!$BH649,IF(K651="TEMITA",PR!$BI649,IF(K651="THL",PR!$BJ649,IF(K651="UBASTIC",PR!$BK649,IF(K651="UNION",PR!$BL649,IF(K651="UNIQUE",PR!$BM649,IF(K651="VIXA",PR!$BN649,IF(K651="WWCV",PR!$BO649,IF(K651="ZOLON",PR!$BP649,"-")))))))))))))))))))))))))))))))))))))))))))))))))))))))))))))))))</f>
        <v>1725</v>
      </c>
    </row>
    <row r="652" spans="1:12" ht="18.75" x14ac:dyDescent="0.3">
      <c r="A652" s="430">
        <f>PR!A650</f>
        <v>588</v>
      </c>
      <c r="B652" s="15" t="str">
        <f>PR!B650</f>
        <v>COTTON BANDAGE 6"</v>
      </c>
      <c r="C652" s="113">
        <f>PR!D650</f>
        <v>12</v>
      </c>
      <c r="D652" s="113">
        <f>PR!C650</f>
        <v>20</v>
      </c>
      <c r="E652" s="108">
        <f>IF(F652="ALPHA",PR!$E650,IF(F652="ASSENE",PR!$F650,IF(F652="BIOFEM",PR!$G650,IF(F652="BIOMED",PR!$H650,IF(F652="CHI",PR!$I650,IF(F652="CLARION",PR!$J650,IF(F652="CODIX",PR!$K650,IF(F652="COSMADE",PR!$L650,IF(F652="SANCON",PR!$M650,IF(F652="DEVON",PR!$N650,IF(F652="DORTEMAG",PR!$O650,IF(F652="DGF",PR!$P650,IF(F652="DYNAMIC",PR!$Q650,IF(F652="EMZOR",PR!$R650,IF(F652="EUMATT",PR!$S650,IF(F652="FIDSON",PR!$T650,IF(F652="FCGLOBAL",PR!$U650,IF(F652="GENEITH",PR!$V650,IF(F652="GINOS",PR!$W650,IF(F652="GSK",PR!$X650,IF(F652="GLOBORG",PR!$Y650,IF(F652="GOODNEWS",PR!$Z650,IF(F652="GREENLIFE",PR!$AA650,IF(F652="HLINE",PR!$AB650,IF(F652="ROTECH",PR!$AC650,IF(F652="ISN",PR!$AD650,IF(F652="JAWA",PR!$AE650,IF(F652="LAYO",PR!$AF650,IF(F652="LEADWAY",PR!$AG650,IF(F652="LHV",PR!$AH650,IF(F652="MANOLA",PR!$AI650,IF(F652="MARCSON",PR!$AJ650,IF(F652="M&amp;B",PR!$AK650,IF(F652="MTRUST",PR!$AL650,IF(F652="MWORLD",PR!$AM650,IF(F652="MEGA",PR!$AN650,IF(F652="MICRONOVA",PR!$AO650,IF(F652="MFLASH",PR!$AP650,IF(F652="MORISON",PR!$AQ650,IF(F652="NEMEL",PR!$AR650,IF(F652="NHP",PR!$AS650,IF(F652="NHC",PR!$AT650,IF(F652="OLEAF",PR!$AU650,IF(F652="OCULUS",PR!$AV650,IF(F652="PACIFIC",PR!$AW650,IF(F652="PHAMATEX",PR!$AX650,IF(F652="PETHICS",PR!$AY650,IF(F652="PHILIPS",PR!$AZ650,IF(F652="RANBAXY",PR!$BA650,IF(F652="REALS",PR!$BB650,IF(F652="ROYAL",PR!$BC650,IF(F652="SAM",PR!$BD650,IF(F652="SEAGREEN",PR!$BE650,IF(F652="SKG",PR!$BF650,IF(F652="TAH",PR!$BG650,IF(F652="TAYLEK",PR!$BH650,IF(F652="TEMITA",PR!$BI650,IF(F652="THL",PR!$BJ650,IF(F652="UBASTIC",PR!$BK650,IF(F652="UNION",PR!$BL650,IF(F652="UNIQUE",PR!$BM650,IF(F652="VIXA",PR!$BN650,IF(F652="WWCV",PR!$BO650,IF(F652="ZOLON",PR!$BP650,"-"))))))))))))))))))))))))))))))))))))))))))))))))))))))))))))))))</f>
        <v>460</v>
      </c>
      <c r="F652" s="102" t="str">
        <f>EV!L822</f>
        <v>SANCON</v>
      </c>
      <c r="G652" s="108">
        <f>IF(H652="ALPHA",PR!$E650,IF(H652="ASSENE",PR!$F650,IF(H652="BIOFEM",PR!$G650,IF(H652="BIOMED",PR!$H650,IF(H652="CHI",PR!$I650,IF(H652="CLARION",PR!$J650,IF(H652="CODIX",PR!$K650,IF(H652="COSMADE",PR!$L650,IF(H652="SANCON",PR!$M650,IF(H652="DEVON",PR!$N650,IF(H652="DORTEMAG",PR!$O650,IF(H652="DGF",PR!$P650,IF(H652="DYNAMIC",PR!$Q650,IF(H652="EMZOR",PR!$R650,IF(H652="EUMATT",PR!$S650,IF(H652="FIDSON",PR!$T650,IF(H652="FCGLOBAL",PR!$U650,IF(H652="GENEITH",PR!$V650,IF(H652="GINOS",PR!$W650,IF(H652="GSK",PR!$X650,IF(H652="GLOBORG",PR!$Y650,IF(H652="GOODNEWS",PR!$Z650,IF(H652="GREENLIFE",PR!$AA650,IF(H652="HLINE",PR!$AB650,IF(H652="ROTECH",PR!$AC650,IF(H652="ISN",PR!$AD650,IF(H652="JAWA",PR!$AE650,IF(H652="LAYO",PR!$AF650,IF(H652="LEADWAY",PR!$AG650,IF(H652="LHV",PR!$AH650,IF(H652="MANOLA",PR!$AI650,IF(H652="MARCSON",PR!$AJ650,IF(H652="M&amp;B",PR!$AK650,IF(H652="MTRUST",PR!$AL650,IF(H652="MWORLD",PR!$AM650,IF(H652="MEGA",PR!$AN650,IF(H652="MICRONOVA",PR!$AO650,IF(H652="MFLASH",PR!$AP650,IF(H652="MORISON",PR!$AQ650,IF(H652="NEMEL",PR!$AR650,IF(H652="NHP",PR!$AS650,IF(H652="NHC",PR!$AT650,IF(H652="OLEAF",PR!$AU650,IF(H652="OCULUS",PR!$AV650,IF(H652="PACIFIC",PR!$AW650,IF(H652="PHAMATEX",PR!$AX650,IF(H652="PETHICS",PR!$AY650,IF(H652="PHILIPS",PR!$AZ650,IF(H652="RANBAXY",PR!$BA650,IF(H652="REALS",PR!$BB650,IF(H652="ROYAL",PR!$BC650,IF(H652="SAM",PR!$BD650,IF(H652="SEAGREEN",PR!$BE650,IF(H652="SKG",PR!$BF650,IF(H652="TAH",PR!$BG650,IF(H652="TAYLEK",PR!$BH650,IF(H652="TEMITA",PR!$BI650,IF(H652="THL",PR!$BJ650,IF(H652="UBASTIC",PR!$BK650,IF(H652="UNION",PR!$BL650,IF(H652="UNIQUE",PR!$BM650,IF(H652="VIXA",PR!$BN650,IF(H652="WWCV",PR!$BO650,IF(H652="ZOLON",PR!$BP650,"-"))))))))))))))))))))))))))))))))))))))))))))))))))))))))))))))))</f>
        <v>480</v>
      </c>
      <c r="H652" s="102" t="str">
        <f>EV!M822</f>
        <v>EUMATT</v>
      </c>
      <c r="I652" s="108">
        <f>IF(J652="ALPHA",PR!$E650,IF(J652="ASSENE",PR!$F650,IF(J652="BIOFEM",PR!$G650,IF(J652="BIOMED",PR!$H650,IF(J652="CHI",PR!$I650,IF(J652="CLARION",PR!$J650,IF(J652="CODIX",PR!$K650,IF(J652="COSMADE",PR!$L650,IF(J652="SANCON",PR!$M650,IF(J652="DEVON",PR!$N650,IF(J652="DORTEMAG",PR!$O650,IF(J652="DGF",PR!$P650,IF(J652="DYNAMIC",PR!$Q650,IF(J652="EMZOR",PR!$R650,IF(J652="EUMATT",PR!$S650,IF(J652="FIDSON",PR!$T650,IF(J652="FCGLOBAL",PR!$U650,IF(J652="GENEITH",PR!$V650,IF(J652="GINOS",PR!$W650,IF(J652="GSK",PR!$X650,IF(J652="GLOBORG",PR!$Y650,IF(J652="GOODNEWS",PR!$Z650,IF(J652="GREENLIFE",PR!$AA650,IF(J652="HLINE",PR!$AB650,IF(J652="ROTECH",PR!$AC650,IF(J652="ISN",PR!$AD650,IF(J652="JAWA",PR!$AE650,IF(J652="LAYO",PR!$AF650,IF(J652="LEADWAY",PR!$AG650,IF(J652="LHV",PR!$AH650,IF(J652="MANOLA",PR!$AI650,IF(J652="MARCSON",PR!$AJ650,IF(J652="M&amp;B",PR!$AK650,IF(J652="MTRUST",PR!$AL650,IF(J652="MWORLD",PR!$AM650,IF(J652="MEGA",PR!$AN650,IF(J652="MICRONOVA",PR!$AO650,IF(J652="MFLASH",PR!$AP650,IF(J652="MORISON",PR!$AQ650,IF(J652="NEMEL",PR!$AR650,IF(J652="NHP",PR!$AS650,IF(J652="NHC",PR!$AT650,IF(J652="OLEAF",PR!$AU650,IF(J652="OCULUS",PR!$AV650,IF(J652="PACIFIC",PR!$AW650,IF(J652="PHAMATEX",PR!$AX650,IF(J652="PETHICS",PR!$AY650,IF(J652="PHILIPS",PR!$AZ650,IF(J652="RANBAXY",PR!$BA650,IF(J652="REALS",PR!$BB650,IF(J652="ROYAL",PR!$BC650,IF(J652="SAM",PR!$BD650,IF(J652="SEAGREEN",PR!$BE650,IF(J652="SKG",PR!$BF650,IF(J652="TAH",PR!$BG650,IF(J652="TAYLEK",PR!$BH650,IF(J652="TEMITA",PR!$BI650,IF(J652="THL",PR!$BJ650,IF(J652="UBASTIC",PR!$BK650,IF(J652="UNION",PR!$BL650,IF(J652="UNIQUE",PR!$BM650,IF(J652="VIXA",PR!$BN650,IF(J652="WWCV",PR!$BO650,IF(J652="ZOLON",PR!$BP650,"-"))))))))))))))))))))))))))))))))))))))))))))))))))))))))))))))))</f>
        <v>490</v>
      </c>
      <c r="J652" s="102" t="str">
        <f>EV!N822</f>
        <v>ROTECH</v>
      </c>
      <c r="K652" s="433" t="s">
        <v>817</v>
      </c>
      <c r="L652" s="183">
        <f>IF(K652&gt;0,IF(K652="ALPHA",PR!$E650,IF(K652="ASSENE",PR!$F650,IF(K652="BIOFEM",PR!$G650,IF(K652="BIOMED",PR!$H650,IF(K652="CHI",PR!$I650,IF(K652="CLARION",PR!$J650,IF(K652="CODIX",PR!$K650,IF(K652="COSMADE",PR!$L650,IF(K652="SANCON",PR!$M650,IF(K652="DEVON",PR!$N650,IF(K652="DORTEMAG",PR!$O650,IF(K652="DGF",PR!$P650,IF(K652="DYNAMIC",PR!$Q650,IF(K652="EMZOR",PR!$R650,IF(K652="EUMATT",PR!$S650,IF(K652="FIDSON",PR!$T650,IF(K652="FCGLOBAL",PR!$U650,IF(K652="GENEITH",PR!$V650,IF(K652="GINOS",PR!$W650,IF(K652="GSK",PR!$X650,IF(K652="GLOBORG",PR!$Y650,IF(K652="GOODNEWS",PR!$Z650,IF(K652="GREENLIFE",PR!$AA650,IF(K652="HLINE",PR!$AB650,IF(K652="ROTECH",PR!$AC650,IF(K652="ISN",PR!$AD650,IF(K652="JAWA",PR!$AE650,IF(K652="LAYO",PR!$AF650,IF(K652="LEADWAY",PR!$AG650,IF(K652="LHV",PR!$AH650,IF(K652="MANOLA",PR!$AI650,IF(K652="MARCSON",PR!$AJ650,IF(K652="M&amp;B",PR!$AK650,IF(K652="MTRUST",PR!$AL650,IF(K652="MWORLD",PR!$AM650,IF(K652="MEGA",PR!$AN650,IF(K652="MICRONOVA",PR!$AO650,IF(K652="MFLASH",PR!$AP650,IF(K652="MORISON",PR!$AQ650,IF(K652="NEMEL",PR!$AR650,IF(K652="NHP",PR!$AS650,IF(K652="NHC",PR!$AT650,IF(K652="OLEAF",PR!$AU650,IF(K652="OCULUS",PR!$AV650,IF(K652="PACIFIC",PR!$AW650,IF(K652="PHAMATEX",PR!$AX650,IF(K652="PETHICS",PR!$AY650,IF(K652="PHILIPS",PR!$AZ650,IF(K652="RANBAXY",PR!$BA650,IF(K652="REALS",PR!$BB650,IF(K652="ROYAL",PR!$BC650,IF(K652="SAM",PR!$BD650,IF(K652="SEAGREEN",PR!$BE650,IF(K652="SKG",PR!$BF650,IF(K652="TAH",PR!$BG650,IF(K652="TAYLEK",PR!$BH650,IF(K652="TEMITA",PR!$BI650,IF(K652="THL",PR!$BJ650,IF(K652="UBASTIC",PR!$BK650,IF(K652="UNION",PR!$BL650,IF(K652="UNIQUE",PR!$BM650,IF(K652="VIXA",PR!$BN650,IF(K652="WWCV",PR!$BO650,IF(K652="ZOLON",PR!$BP650,"-")))))))))))))))))))))))))))))))))))))))))))))))))))))))))))))))))</f>
        <v>460</v>
      </c>
    </row>
    <row r="653" spans="1:12" ht="18.75" x14ac:dyDescent="0.3">
      <c r="A653" s="430">
        <f>PR!A651</f>
        <v>589</v>
      </c>
      <c r="B653" s="15" t="str">
        <f>PR!B651</f>
        <v>COTTON WOOL 500G (DELE)</v>
      </c>
      <c r="C653" s="113" t="str">
        <f>PR!D651</f>
        <v>ROLL</v>
      </c>
      <c r="D653" s="113">
        <f>PR!C651</f>
        <v>2200</v>
      </c>
      <c r="E653" s="108">
        <f>IF(F653="ALPHA",PR!$E651,IF(F653="ASSENE",PR!$F651,IF(F653="BIOFEM",PR!$G651,IF(F653="BIOMED",PR!$H651,IF(F653="CHI",PR!$I651,IF(F653="CLARION",PR!$J651,IF(F653="CODIX",PR!$K651,IF(F653="COSMADE",PR!$L651,IF(F653="SANCON",PR!$M651,IF(F653="DEVON",PR!$N651,IF(F653="DORTEMAG",PR!$O651,IF(F653="DGF",PR!$P651,IF(F653="DYNAMIC",PR!$Q651,IF(F653="EMZOR",PR!$R651,IF(F653="EUMATT",PR!$S651,IF(F653="FIDSON",PR!$T651,IF(F653="FCGLOBAL",PR!$U651,IF(F653="GENEITH",PR!$V651,IF(F653="GINOS",PR!$W651,IF(F653="GSK",PR!$X651,IF(F653="GLOBORG",PR!$Y651,IF(F653="GOODNEWS",PR!$Z651,IF(F653="GREENLIFE",PR!$AA651,IF(F653="HLINE",PR!$AB651,IF(F653="ROTECH",PR!$AC651,IF(F653="ISN",PR!$AD651,IF(F653="JAWA",PR!$AE651,IF(F653="LAYO",PR!$AF651,IF(F653="LEADWAY",PR!$AG651,IF(F653="LHV",PR!$AH651,IF(F653="MANOLA",PR!$AI651,IF(F653="MARCSON",PR!$AJ651,IF(F653="M&amp;B",PR!$AK651,IF(F653="MTRUST",PR!$AL651,IF(F653="MWORLD",PR!$AM651,IF(F653="MEGA",PR!$AN651,IF(F653="MICRONOVA",PR!$AO651,IF(F653="MFLASH",PR!$AP651,IF(F653="MORISON",PR!$AQ651,IF(F653="NEMEL",PR!$AR651,IF(F653="NHP",PR!$AS651,IF(F653="NHC",PR!$AT651,IF(F653="OLEAF",PR!$AU651,IF(F653="OCULUS",PR!$AV651,IF(F653="PACIFIC",PR!$AW651,IF(F653="PHAMATEX",PR!$AX651,IF(F653="PETHICS",PR!$AY651,IF(F653="PHILIPS",PR!$AZ651,IF(F653="RANBAXY",PR!$BA651,IF(F653="REALS",PR!$BB651,IF(F653="ROYAL",PR!$BC651,IF(F653="SAM",PR!$BD651,IF(F653="SEAGREEN",PR!$BE651,IF(F653="SKG",PR!$BF651,IF(F653="TAH",PR!$BG651,IF(F653="TAYLEK",PR!$BH651,IF(F653="TEMITA",PR!$BI651,IF(F653="THL",PR!$BJ651,IF(F653="UBASTIC",PR!$BK651,IF(F653="UNION",PR!$BL651,IF(F653="UNIQUE",PR!$BM651,IF(F653="VIXA",PR!$BN651,IF(F653="WWCV",PR!$BO651,IF(F653="ZOLON",PR!$BP651,"-"))))))))))))))))))))))))))))))))))))))))))))))))))))))))))))))))</f>
        <v>700</v>
      </c>
      <c r="F653" s="102" t="str">
        <f>EV!L823</f>
        <v>ALPHA</v>
      </c>
      <c r="G653" s="108">
        <f>IF(H653="ALPHA",PR!$E651,IF(H653="ASSENE",PR!$F651,IF(H653="BIOFEM",PR!$G651,IF(H653="BIOMED",PR!$H651,IF(H653="CHI",PR!$I651,IF(H653="CLARION",PR!$J651,IF(H653="CODIX",PR!$K651,IF(H653="COSMADE",PR!$L651,IF(H653="SANCON",PR!$M651,IF(H653="DEVON",PR!$N651,IF(H653="DORTEMAG",PR!$O651,IF(H653="DGF",PR!$P651,IF(H653="DYNAMIC",PR!$Q651,IF(H653="EMZOR",PR!$R651,IF(H653="EUMATT",PR!$S651,IF(H653="FIDSON",PR!$T651,IF(H653="FCGLOBAL",PR!$U651,IF(H653="GENEITH",PR!$V651,IF(H653="GINOS",PR!$W651,IF(H653="GSK",PR!$X651,IF(H653="GLOBORG",PR!$Y651,IF(H653="GOODNEWS",PR!$Z651,IF(H653="GREENLIFE",PR!$AA651,IF(H653="HLINE",PR!$AB651,IF(H653="ROTECH",PR!$AC651,IF(H653="ISN",PR!$AD651,IF(H653="JAWA",PR!$AE651,IF(H653="LAYO",PR!$AF651,IF(H653="LEADWAY",PR!$AG651,IF(H653="LHV",PR!$AH651,IF(H653="MANOLA",PR!$AI651,IF(H653="MARCSON",PR!$AJ651,IF(H653="M&amp;B",PR!$AK651,IF(H653="MTRUST",PR!$AL651,IF(H653="MWORLD",PR!$AM651,IF(H653="MEGA",PR!$AN651,IF(H653="MICRONOVA",PR!$AO651,IF(H653="MFLASH",PR!$AP651,IF(H653="MORISON",PR!$AQ651,IF(H653="NEMEL",PR!$AR651,IF(H653="NHP",PR!$AS651,IF(H653="NHC",PR!$AT651,IF(H653="OLEAF",PR!$AU651,IF(H653="OCULUS",PR!$AV651,IF(H653="PACIFIC",PR!$AW651,IF(H653="PHAMATEX",PR!$AX651,IF(H653="PETHICS",PR!$AY651,IF(H653="PHILIPS",PR!$AZ651,IF(H653="RANBAXY",PR!$BA651,IF(H653="REALS",PR!$BB651,IF(H653="ROYAL",PR!$BC651,IF(H653="SAM",PR!$BD651,IF(H653="SEAGREEN",PR!$BE651,IF(H653="SKG",PR!$BF651,IF(H653="TAH",PR!$BG651,IF(H653="TAYLEK",PR!$BH651,IF(H653="TEMITA",PR!$BI651,IF(H653="THL",PR!$BJ651,IF(H653="UBASTIC",PR!$BK651,IF(H653="UNION",PR!$BL651,IF(H653="UNIQUE",PR!$BM651,IF(H653="VIXA",PR!$BN651,IF(H653="WWCV",PR!$BO651,IF(H653="ZOLON",PR!$BP651,"-"))))))))))))))))))))))))))))))))))))))))))))))))))))))))))))))))</f>
        <v>990</v>
      </c>
      <c r="H653" s="102" t="str">
        <f>EV!M823</f>
        <v>EUMATT</v>
      </c>
      <c r="I653" s="108">
        <f>IF(J653="ALPHA",PR!$E651,IF(J653="ASSENE",PR!$F651,IF(J653="BIOFEM",PR!$G651,IF(J653="BIOMED",PR!$H651,IF(J653="CHI",PR!$I651,IF(J653="CLARION",PR!$J651,IF(J653="CODIX",PR!$K651,IF(J653="COSMADE",PR!$L651,IF(J653="SANCON",PR!$M651,IF(J653="DEVON",PR!$N651,IF(J653="DORTEMAG",PR!$O651,IF(J653="DGF",PR!$P651,IF(J653="DYNAMIC",PR!$Q651,IF(J653="EMZOR",PR!$R651,IF(J653="EUMATT",PR!$S651,IF(J653="FIDSON",PR!$T651,IF(J653="FCGLOBAL",PR!$U651,IF(J653="GENEITH",PR!$V651,IF(J653="GINOS",PR!$W651,IF(J653="GSK",PR!$X651,IF(J653="GLOBORG",PR!$Y651,IF(J653="GOODNEWS",PR!$Z651,IF(J653="GREENLIFE",PR!$AA651,IF(J653="HLINE",PR!$AB651,IF(J653="ROTECH",PR!$AC651,IF(J653="ISN",PR!$AD651,IF(J653="JAWA",PR!$AE651,IF(J653="LAYO",PR!$AF651,IF(J653="LEADWAY",PR!$AG651,IF(J653="LHV",PR!$AH651,IF(J653="MANOLA",PR!$AI651,IF(J653="MARCSON",PR!$AJ651,IF(J653="M&amp;B",PR!$AK651,IF(J653="MTRUST",PR!$AL651,IF(J653="MWORLD",PR!$AM651,IF(J653="MEGA",PR!$AN651,IF(J653="MICRONOVA",PR!$AO651,IF(J653="MFLASH",PR!$AP651,IF(J653="MORISON",PR!$AQ651,IF(J653="NEMEL",PR!$AR651,IF(J653="NHP",PR!$AS651,IF(J653="NHC",PR!$AT651,IF(J653="OLEAF",PR!$AU651,IF(J653="OCULUS",PR!$AV651,IF(J653="PACIFIC",PR!$AW651,IF(J653="PHAMATEX",PR!$AX651,IF(J653="PETHICS",PR!$AY651,IF(J653="PHILIPS",PR!$AZ651,IF(J653="RANBAXY",PR!$BA651,IF(J653="REALS",PR!$BB651,IF(J653="ROYAL",PR!$BC651,IF(J653="SAM",PR!$BD651,IF(J653="SEAGREEN",PR!$BE651,IF(J653="SKG",PR!$BF651,IF(J653="TAH",PR!$BG651,IF(J653="TAYLEK",PR!$BH651,IF(J653="TEMITA",PR!$BI651,IF(J653="THL",PR!$BJ651,IF(J653="UBASTIC",PR!$BK651,IF(J653="UNION",PR!$BL651,IF(J653="UNIQUE",PR!$BM651,IF(J653="VIXA",PR!$BN651,IF(J653="WWCV",PR!$BO651,IF(J653="ZOLON",PR!$BP651,"-"))))))))))))))))))))))))))))))))))))))))))))))))))))))))))))))))</f>
        <v>1000</v>
      </c>
      <c r="J653" s="102" t="str">
        <f>EV!N823</f>
        <v>COSMADE</v>
      </c>
      <c r="K653" s="433" t="s">
        <v>821</v>
      </c>
      <c r="L653" s="183">
        <f>IF(K653&gt;0,IF(K653="ALPHA",PR!$E651,IF(K653="ASSENE",PR!$F651,IF(K653="BIOFEM",PR!$G651,IF(K653="BIOMED",PR!$H651,IF(K653="CHI",PR!$I651,IF(K653="CLARION",PR!$J651,IF(K653="CODIX",PR!$K651,IF(K653="COSMADE",PR!$L651,IF(K653="SANCON",PR!$M651,IF(K653="DEVON",PR!$N651,IF(K653="DORTEMAG",PR!$O651,IF(K653="DGF",PR!$P651,IF(K653="DYNAMIC",PR!$Q651,IF(K653="EMZOR",PR!$R651,IF(K653="EUMATT",PR!$S651,IF(K653="FIDSON",PR!$T651,IF(K653="FCGLOBAL",PR!$U651,IF(K653="GENEITH",PR!$V651,IF(K653="GINOS",PR!$W651,IF(K653="GSK",PR!$X651,IF(K653="GLOBORG",PR!$Y651,IF(K653="GOODNEWS",PR!$Z651,IF(K653="GREENLIFE",PR!$AA651,IF(K653="HLINE",PR!$AB651,IF(K653="ROTECH",PR!$AC651,IF(K653="ISN",PR!$AD651,IF(K653="JAWA",PR!$AE651,IF(K653="LAYO",PR!$AF651,IF(K653="LEADWAY",PR!$AG651,IF(K653="LHV",PR!$AH651,IF(K653="MANOLA",PR!$AI651,IF(K653="MARCSON",PR!$AJ651,IF(K653="M&amp;B",PR!$AK651,IF(K653="MTRUST",PR!$AL651,IF(K653="MWORLD",PR!$AM651,IF(K653="MEGA",PR!$AN651,IF(K653="MICRONOVA",PR!$AO651,IF(K653="MFLASH",PR!$AP651,IF(K653="MORISON",PR!$AQ651,IF(K653="NEMEL",PR!$AR651,IF(K653="NHP",PR!$AS651,IF(K653="NHC",PR!$AT651,IF(K653="OLEAF",PR!$AU651,IF(K653="OCULUS",PR!$AV651,IF(K653="PACIFIC",PR!$AW651,IF(K653="PHAMATEX",PR!$AX651,IF(K653="PETHICS",PR!$AY651,IF(K653="PHILIPS",PR!$AZ651,IF(K653="RANBAXY",PR!$BA651,IF(K653="REALS",PR!$BB651,IF(K653="ROYAL",PR!$BC651,IF(K653="SAM",PR!$BD651,IF(K653="SEAGREEN",PR!$BE651,IF(K653="SKG",PR!$BF651,IF(K653="TAH",PR!$BG651,IF(K653="TAYLEK",PR!$BH651,IF(K653="TEMITA",PR!$BI651,IF(K653="THL",PR!$BJ651,IF(K653="UBASTIC",PR!$BK651,IF(K653="UNION",PR!$BL651,IF(K653="UNIQUE",PR!$BM651,IF(K653="VIXA",PR!$BN651,IF(K653="WWCV",PR!$BO651,IF(K653="ZOLON",PR!$BP651,"-")))))))))))))))))))))))))))))))))))))))))))))))))))))))))))))))))</f>
        <v>990</v>
      </c>
    </row>
    <row r="654" spans="1:12" ht="18.75" x14ac:dyDescent="0.3">
      <c r="A654" s="430">
        <f>PR!A652</f>
        <v>590</v>
      </c>
      <c r="B654" s="15" t="str">
        <f>PR!B652</f>
        <v>COTTON WOOL 50G</v>
      </c>
      <c r="C654" s="113">
        <f>PR!D652</f>
        <v>100</v>
      </c>
      <c r="D654" s="113">
        <f>PR!C652</f>
        <v>400</v>
      </c>
      <c r="E654" s="108">
        <f>IF(F654="ALPHA",PR!$E652,IF(F654="ASSENE",PR!$F652,IF(F654="BIOFEM",PR!$G652,IF(F654="BIOMED",PR!$H652,IF(F654="CHI",PR!$I652,IF(F654="CLARION",PR!$J652,IF(F654="CODIX",PR!$K652,IF(F654="COSMADE",PR!$L652,IF(F654="SANCON",PR!$M652,IF(F654="DEVON",PR!$N652,IF(F654="DORTEMAG",PR!$O652,IF(F654="DGF",PR!$P652,IF(F654="DYNAMIC",PR!$Q652,IF(F654="EMZOR",PR!$R652,IF(F654="EUMATT",PR!$S652,IF(F654="FIDSON",PR!$T652,IF(F654="FCGLOBAL",PR!$U652,IF(F654="GENEITH",PR!$V652,IF(F654="GINOS",PR!$W652,IF(F654="GSK",PR!$X652,IF(F654="GLOBORG",PR!$Y652,IF(F654="GOODNEWS",PR!$Z652,IF(F654="GREENLIFE",PR!$AA652,IF(F654="HLINE",PR!$AB652,IF(F654="ROTECH",PR!$AC652,IF(F654="ISN",PR!$AD652,IF(F654="JAWA",PR!$AE652,IF(F654="LAYO",PR!$AF652,IF(F654="LEADWAY",PR!$AG652,IF(F654="LHV",PR!$AH652,IF(F654="MANOLA",PR!$AI652,IF(F654="MARCSON",PR!$AJ652,IF(F654="M&amp;B",PR!$AK652,IF(F654="MTRUST",PR!$AL652,IF(F654="MWORLD",PR!$AM652,IF(F654="MEGA",PR!$AN652,IF(F654="MICRONOVA",PR!$AO652,IF(F654="MFLASH",PR!$AP652,IF(F654="MORISON",PR!$AQ652,IF(F654="NEMEL",PR!$AR652,IF(F654="NHP",PR!$AS652,IF(F654="NHC",PR!$AT652,IF(F654="OLEAF",PR!$AU652,IF(F654="OCULUS",PR!$AV652,IF(F654="PACIFIC",PR!$AW652,IF(F654="PHAMATEX",PR!$AX652,IF(F654="PETHICS",PR!$AY652,IF(F654="PHILIPS",PR!$AZ652,IF(F654="RANBAXY",PR!$BA652,IF(F654="REALS",PR!$BB652,IF(F654="ROYAL",PR!$BC652,IF(F654="SAM",PR!$BD652,IF(F654="SEAGREEN",PR!$BE652,IF(F654="SKG",PR!$BF652,IF(F654="TAH",PR!$BG652,IF(F654="TAYLEK",PR!$BH652,IF(F654="TEMITA",PR!$BI652,IF(F654="THL",PR!$BJ652,IF(F654="UBASTIC",PR!$BK652,IF(F654="UNION",PR!$BL652,IF(F654="UNIQUE",PR!$BM652,IF(F654="VIXA",PR!$BN652,IF(F654="WWCV",PR!$BO652,IF(F654="ZOLON",PR!$BP652,"-"))))))))))))))))))))))))))))))))))))))))))))))))))))))))))))))))</f>
        <v>3390</v>
      </c>
      <c r="F654" s="102" t="str">
        <f>EV!L824</f>
        <v>ROTECH</v>
      </c>
      <c r="G654" s="108">
        <f>IF(H654="ALPHA",PR!$E652,IF(H654="ASSENE",PR!$F652,IF(H654="BIOFEM",PR!$G652,IF(H654="BIOMED",PR!$H652,IF(H654="CHI",PR!$I652,IF(H654="CLARION",PR!$J652,IF(H654="CODIX",PR!$K652,IF(H654="COSMADE",PR!$L652,IF(H654="SANCON",PR!$M652,IF(H654="DEVON",PR!$N652,IF(H654="DORTEMAG",PR!$O652,IF(H654="DGF",PR!$P652,IF(H654="DYNAMIC",PR!$Q652,IF(H654="EMZOR",PR!$R652,IF(H654="EUMATT",PR!$S652,IF(H654="FIDSON",PR!$T652,IF(H654="FCGLOBAL",PR!$U652,IF(H654="GENEITH",PR!$V652,IF(H654="GINOS",PR!$W652,IF(H654="GSK",PR!$X652,IF(H654="GLOBORG",PR!$Y652,IF(H654="GOODNEWS",PR!$Z652,IF(H654="GREENLIFE",PR!$AA652,IF(H654="HLINE",PR!$AB652,IF(H654="ROTECH",PR!$AC652,IF(H654="ISN",PR!$AD652,IF(H654="JAWA",PR!$AE652,IF(H654="LAYO",PR!$AF652,IF(H654="LEADWAY",PR!$AG652,IF(H654="LHV",PR!$AH652,IF(H654="MANOLA",PR!$AI652,IF(H654="MARCSON",PR!$AJ652,IF(H654="M&amp;B",PR!$AK652,IF(H654="MTRUST",PR!$AL652,IF(H654="MWORLD",PR!$AM652,IF(H654="MEGA",PR!$AN652,IF(H654="MICRONOVA",PR!$AO652,IF(H654="MFLASH",PR!$AP652,IF(H654="MORISON",PR!$AQ652,IF(H654="NEMEL",PR!$AR652,IF(H654="NHP",PR!$AS652,IF(H654="NHC",PR!$AT652,IF(H654="OLEAF",PR!$AU652,IF(H654="OCULUS",PR!$AV652,IF(H654="PACIFIC",PR!$AW652,IF(H654="PHAMATEX",PR!$AX652,IF(H654="PETHICS",PR!$AY652,IF(H654="PHILIPS",PR!$AZ652,IF(H654="RANBAXY",PR!$BA652,IF(H654="REALS",PR!$BB652,IF(H654="ROYAL",PR!$BC652,IF(H654="SAM",PR!$BD652,IF(H654="SEAGREEN",PR!$BE652,IF(H654="SKG",PR!$BF652,IF(H654="TAH",PR!$BG652,IF(H654="TAYLEK",PR!$BH652,IF(H654="TEMITA",PR!$BI652,IF(H654="THL",PR!$BJ652,IF(H654="UBASTIC",PR!$BK652,IF(H654="UNION",PR!$BL652,IF(H654="UNIQUE",PR!$BM652,IF(H654="VIXA",PR!$BN652,IF(H654="WWCV",PR!$BO652,IF(H654="ZOLON",PR!$BP652,"-"))))))))))))))))))))))))))))))))))))))))))))))))))))))))))))))))</f>
        <v>3500</v>
      </c>
      <c r="H654" s="102" t="str">
        <f>EV!M824</f>
        <v>COSMADE</v>
      </c>
      <c r="I654" s="108">
        <f>IF(J654="ALPHA",PR!$E652,IF(J654="ASSENE",PR!$F652,IF(J654="BIOFEM",PR!$G652,IF(J654="BIOMED",PR!$H652,IF(J654="CHI",PR!$I652,IF(J654="CLARION",PR!$J652,IF(J654="CODIX",PR!$K652,IF(J654="COSMADE",PR!$L652,IF(J654="SANCON",PR!$M652,IF(J654="DEVON",PR!$N652,IF(J654="DORTEMAG",PR!$O652,IF(J654="DGF",PR!$P652,IF(J654="DYNAMIC",PR!$Q652,IF(J654="EMZOR",PR!$R652,IF(J654="EUMATT",PR!$S652,IF(J654="FIDSON",PR!$T652,IF(J654="FCGLOBAL",PR!$U652,IF(J654="GENEITH",PR!$V652,IF(J654="GINOS",PR!$W652,IF(J654="GSK",PR!$X652,IF(J654="GLOBORG",PR!$Y652,IF(J654="GOODNEWS",PR!$Z652,IF(J654="GREENLIFE",PR!$AA652,IF(J654="HLINE",PR!$AB652,IF(J654="ROTECH",PR!$AC652,IF(J654="ISN",PR!$AD652,IF(J654="JAWA",PR!$AE652,IF(J654="LAYO",PR!$AF652,IF(J654="LEADWAY",PR!$AG652,IF(J654="LHV",PR!$AH652,IF(J654="MANOLA",PR!$AI652,IF(J654="MARCSON",PR!$AJ652,IF(J654="M&amp;B",PR!$AK652,IF(J654="MTRUST",PR!$AL652,IF(J654="MWORLD",PR!$AM652,IF(J654="MEGA",PR!$AN652,IF(J654="MICRONOVA",PR!$AO652,IF(J654="MFLASH",PR!$AP652,IF(J654="MORISON",PR!$AQ652,IF(J654="NEMEL",PR!$AR652,IF(J654="NHP",PR!$AS652,IF(J654="NHC",PR!$AT652,IF(J654="OLEAF",PR!$AU652,IF(J654="OCULUS",PR!$AV652,IF(J654="PACIFIC",PR!$AW652,IF(J654="PHAMATEX",PR!$AX652,IF(J654="PETHICS",PR!$AY652,IF(J654="PHILIPS",PR!$AZ652,IF(J654="RANBAXY",PR!$BA652,IF(J654="REALS",PR!$BB652,IF(J654="ROYAL",PR!$BC652,IF(J654="SAM",PR!$BD652,IF(J654="SEAGREEN",PR!$BE652,IF(J654="SKG",PR!$BF652,IF(J654="TAH",PR!$BG652,IF(J654="TAYLEK",PR!$BH652,IF(J654="TEMITA",PR!$BI652,IF(J654="THL",PR!$BJ652,IF(J654="UBASTIC",PR!$BK652,IF(J654="UNION",PR!$BL652,IF(J654="UNIQUE",PR!$BM652,IF(J654="VIXA",PR!$BN652,IF(J654="WWCV",PR!$BO652,IF(J654="ZOLON",PR!$BP652,"-"))))))))))))))))))))))))))))))))))))))))))))))))))))))))))))))))</f>
        <v>3500</v>
      </c>
      <c r="J654" s="102" t="str">
        <f>EV!N824</f>
        <v>EUMATT</v>
      </c>
      <c r="K654" s="433" t="s">
        <v>634</v>
      </c>
      <c r="L654" s="183">
        <f>IF(K654&gt;0,IF(K654="ALPHA",PR!$E652,IF(K654="ASSENE",PR!$F652,IF(K654="BIOFEM",PR!$G652,IF(K654="BIOMED",PR!$H652,IF(K654="CHI",PR!$I652,IF(K654="CLARION",PR!$J652,IF(K654="CODIX",PR!$K652,IF(K654="COSMADE",PR!$L652,IF(K654="SANCON",PR!$M652,IF(K654="DEVON",PR!$N652,IF(K654="DORTEMAG",PR!$O652,IF(K654="DGF",PR!$P652,IF(K654="DYNAMIC",PR!$Q652,IF(K654="EMZOR",PR!$R652,IF(K654="EUMATT",PR!$S652,IF(K654="FIDSON",PR!$T652,IF(K654="FCGLOBAL",PR!$U652,IF(K654="GENEITH",PR!$V652,IF(K654="GINOS",PR!$W652,IF(K654="GSK",PR!$X652,IF(K654="GLOBORG",PR!$Y652,IF(K654="GOODNEWS",PR!$Z652,IF(K654="GREENLIFE",PR!$AA652,IF(K654="HLINE",PR!$AB652,IF(K654="ROTECH",PR!$AC652,IF(K654="ISN",PR!$AD652,IF(K654="JAWA",PR!$AE652,IF(K654="LAYO",PR!$AF652,IF(K654="LEADWAY",PR!$AG652,IF(K654="LHV",PR!$AH652,IF(K654="MANOLA",PR!$AI652,IF(K654="MARCSON",PR!$AJ652,IF(K654="M&amp;B",PR!$AK652,IF(K654="MTRUST",PR!$AL652,IF(K654="MWORLD",PR!$AM652,IF(K654="MEGA",PR!$AN652,IF(K654="MICRONOVA",PR!$AO652,IF(K654="MFLASH",PR!$AP652,IF(K654="MORISON",PR!$AQ652,IF(K654="NEMEL",PR!$AR652,IF(K654="NHP",PR!$AS652,IF(K654="NHC",PR!$AT652,IF(K654="OLEAF",PR!$AU652,IF(K654="OCULUS",PR!$AV652,IF(K654="PACIFIC",PR!$AW652,IF(K654="PHAMATEX",PR!$AX652,IF(K654="PETHICS",PR!$AY652,IF(K654="PHILIPS",PR!$AZ652,IF(K654="RANBAXY",PR!$BA652,IF(K654="REALS",PR!$BB652,IF(K654="ROYAL",PR!$BC652,IF(K654="SAM",PR!$BD652,IF(K654="SEAGREEN",PR!$BE652,IF(K654="SKG",PR!$BF652,IF(K654="TAH",PR!$BG652,IF(K654="TAYLEK",PR!$BH652,IF(K654="TEMITA",PR!$BI652,IF(K654="THL",PR!$BJ652,IF(K654="UBASTIC",PR!$BK652,IF(K654="UNION",PR!$BL652,IF(K654="UNIQUE",PR!$BM652,IF(K654="VIXA",PR!$BN652,IF(K654="WWCV",PR!$BO652,IF(K654="ZOLON",PR!$BP652,"-")))))))))))))))))))))))))))))))))))))))))))))))))))))))))))))))))</f>
        <v>8000</v>
      </c>
    </row>
    <row r="655" spans="1:12" ht="18.75" x14ac:dyDescent="0.3">
      <c r="A655" s="430">
        <f>PR!A653</f>
        <v>591</v>
      </c>
      <c r="B655" s="15" t="str">
        <f>PR!B653</f>
        <v>ELASTIC BANDAGE 4"</v>
      </c>
      <c r="C655" s="113">
        <f>PR!D653</f>
        <v>12</v>
      </c>
      <c r="D655" s="113">
        <f>PR!C653</f>
        <v>100</v>
      </c>
      <c r="E655" s="108">
        <f>IF(F655="ALPHA",PR!$E653,IF(F655="ASSENE",PR!$F653,IF(F655="BIOFEM",PR!$G653,IF(F655="BIOMED",PR!$H653,IF(F655="CHI",PR!$I653,IF(F655="CLARION",PR!$J653,IF(F655="CODIX",PR!$K653,IF(F655="COSMADE",PR!$L653,IF(F655="SANCON",PR!$M653,IF(F655="DEVON",PR!$N653,IF(F655="DORTEMAG",PR!$O653,IF(F655="DGF",PR!$P653,IF(F655="DYNAMIC",PR!$Q653,IF(F655="EMZOR",PR!$R653,IF(F655="EUMATT",PR!$S653,IF(F655="FIDSON",PR!$T653,IF(F655="FCGLOBAL",PR!$U653,IF(F655="GENEITH",PR!$V653,IF(F655="GINOS",PR!$W653,IF(F655="GSK",PR!$X653,IF(F655="GLOBORG",PR!$Y653,IF(F655="GOODNEWS",PR!$Z653,IF(F655="GREENLIFE",PR!$AA653,IF(F655="HLINE",PR!$AB653,IF(F655="ROTECH",PR!$AC653,IF(F655="ISN",PR!$AD653,IF(F655="JAWA",PR!$AE653,IF(F655="LAYO",PR!$AF653,IF(F655="LEADWAY",PR!$AG653,IF(F655="LHV",PR!$AH653,IF(F655="MANOLA",PR!$AI653,IF(F655="MARCSON",PR!$AJ653,IF(F655="M&amp;B",PR!$AK653,IF(F655="MTRUST",PR!$AL653,IF(F655="MWORLD",PR!$AM653,IF(F655="MEGA",PR!$AN653,IF(F655="MICRONOVA",PR!$AO653,IF(F655="MFLASH",PR!$AP653,IF(F655="MORISON",PR!$AQ653,IF(F655="NEMEL",PR!$AR653,IF(F655="NHP",PR!$AS653,IF(F655="NHC",PR!$AT653,IF(F655="OLEAF",PR!$AU653,IF(F655="OCULUS",PR!$AV653,IF(F655="PACIFIC",PR!$AW653,IF(F655="PHAMATEX",PR!$AX653,IF(F655="PETHICS",PR!$AY653,IF(F655="PHILIPS",PR!$AZ653,IF(F655="RANBAXY",PR!$BA653,IF(F655="REALS",PR!$BB653,IF(F655="ROYAL",PR!$BC653,IF(F655="SAM",PR!$BD653,IF(F655="SEAGREEN",PR!$BE653,IF(F655="SKG",PR!$BF653,IF(F655="TAH",PR!$BG653,IF(F655="TAYLEK",PR!$BH653,IF(F655="TEMITA",PR!$BI653,IF(F655="THL",PR!$BJ653,IF(F655="UBASTIC",PR!$BK653,IF(F655="UNION",PR!$BL653,IF(F655="UNIQUE",PR!$BM653,IF(F655="VIXA",PR!$BN653,IF(F655="WWCV",PR!$BO653,IF(F655="ZOLON",PR!$BP653,"-"))))))))))))))))))))))))))))))))))))))))))))))))))))))))))))))))</f>
        <v>978</v>
      </c>
      <c r="F655" s="102" t="str">
        <f>EV!L825</f>
        <v>ROTECH</v>
      </c>
      <c r="G655" s="108">
        <f>IF(H655="ALPHA",PR!$E653,IF(H655="ASSENE",PR!$F653,IF(H655="BIOFEM",PR!$G653,IF(H655="BIOMED",PR!$H653,IF(H655="CHI",PR!$I653,IF(H655="CLARION",PR!$J653,IF(H655="CODIX",PR!$K653,IF(H655="COSMADE",PR!$L653,IF(H655="SANCON",PR!$M653,IF(H655="DEVON",PR!$N653,IF(H655="DORTEMAG",PR!$O653,IF(H655="DGF",PR!$P653,IF(H655="DYNAMIC",PR!$Q653,IF(H655="EMZOR",PR!$R653,IF(H655="EUMATT",PR!$S653,IF(H655="FIDSON",PR!$T653,IF(H655="FCGLOBAL",PR!$U653,IF(H655="GENEITH",PR!$V653,IF(H655="GINOS",PR!$W653,IF(H655="GSK",PR!$X653,IF(H655="GLOBORG",PR!$Y653,IF(H655="GOODNEWS",PR!$Z653,IF(H655="GREENLIFE",PR!$AA653,IF(H655="HLINE",PR!$AB653,IF(H655="ROTECH",PR!$AC653,IF(H655="ISN",PR!$AD653,IF(H655="JAWA",PR!$AE653,IF(H655="LAYO",PR!$AF653,IF(H655="LEADWAY",PR!$AG653,IF(H655="LHV",PR!$AH653,IF(H655="MANOLA",PR!$AI653,IF(H655="MARCSON",PR!$AJ653,IF(H655="M&amp;B",PR!$AK653,IF(H655="MTRUST",PR!$AL653,IF(H655="MWORLD",PR!$AM653,IF(H655="MEGA",PR!$AN653,IF(H655="MICRONOVA",PR!$AO653,IF(H655="MFLASH",PR!$AP653,IF(H655="MORISON",PR!$AQ653,IF(H655="NEMEL",PR!$AR653,IF(H655="NHP",PR!$AS653,IF(H655="NHC",PR!$AT653,IF(H655="OLEAF",PR!$AU653,IF(H655="OCULUS",PR!$AV653,IF(H655="PACIFIC",PR!$AW653,IF(H655="PHAMATEX",PR!$AX653,IF(H655="PETHICS",PR!$AY653,IF(H655="PHILIPS",PR!$AZ653,IF(H655="RANBAXY",PR!$BA653,IF(H655="REALS",PR!$BB653,IF(H655="ROYAL",PR!$BC653,IF(H655="SAM",PR!$BD653,IF(H655="SEAGREEN",PR!$BE653,IF(H655="SKG",PR!$BF653,IF(H655="TAH",PR!$BG653,IF(H655="TAYLEK",PR!$BH653,IF(H655="TEMITA",PR!$BI653,IF(H655="THL",PR!$BJ653,IF(H655="UBASTIC",PR!$BK653,IF(H655="UNION",PR!$BL653,IF(H655="UNIQUE",PR!$BM653,IF(H655="VIXA",PR!$BN653,IF(H655="WWCV",PR!$BO653,IF(H655="ZOLON",PR!$BP653,"-"))))))))))))))))))))))))))))))))))))))))))))))))))))))))))))))))</f>
        <v>1050</v>
      </c>
      <c r="H655" s="102" t="str">
        <f>EV!M825</f>
        <v>SANCON</v>
      </c>
      <c r="I655" s="108">
        <f>IF(J655="ALPHA",PR!$E653,IF(J655="ASSENE",PR!$F653,IF(J655="BIOFEM",PR!$G653,IF(J655="BIOMED",PR!$H653,IF(J655="CHI",PR!$I653,IF(J655="CLARION",PR!$J653,IF(J655="CODIX",PR!$K653,IF(J655="COSMADE",PR!$L653,IF(J655="SANCON",PR!$M653,IF(J655="DEVON",PR!$N653,IF(J655="DORTEMAG",PR!$O653,IF(J655="DGF",PR!$P653,IF(J655="DYNAMIC",PR!$Q653,IF(J655="EMZOR",PR!$R653,IF(J655="EUMATT",PR!$S653,IF(J655="FIDSON",PR!$T653,IF(J655="FCGLOBAL",PR!$U653,IF(J655="GENEITH",PR!$V653,IF(J655="GINOS",PR!$W653,IF(J655="GSK",PR!$X653,IF(J655="GLOBORG",PR!$Y653,IF(J655="GOODNEWS",PR!$Z653,IF(J655="GREENLIFE",PR!$AA653,IF(J655="HLINE",PR!$AB653,IF(J655="ROTECH",PR!$AC653,IF(J655="ISN",PR!$AD653,IF(J655="JAWA",PR!$AE653,IF(J655="LAYO",PR!$AF653,IF(J655="LEADWAY",PR!$AG653,IF(J655="LHV",PR!$AH653,IF(J655="MANOLA",PR!$AI653,IF(J655="MARCSON",PR!$AJ653,IF(J655="M&amp;B",PR!$AK653,IF(J655="MTRUST",PR!$AL653,IF(J655="MWORLD",PR!$AM653,IF(J655="MEGA",PR!$AN653,IF(J655="MICRONOVA",PR!$AO653,IF(J655="MFLASH",PR!$AP653,IF(J655="MORISON",PR!$AQ653,IF(J655="NEMEL",PR!$AR653,IF(J655="NHP",PR!$AS653,IF(J655="NHC",PR!$AT653,IF(J655="OLEAF",PR!$AU653,IF(J655="OCULUS",PR!$AV653,IF(J655="PACIFIC",PR!$AW653,IF(J655="PHAMATEX",PR!$AX653,IF(J655="PETHICS",PR!$AY653,IF(J655="PHILIPS",PR!$AZ653,IF(J655="RANBAXY",PR!$BA653,IF(J655="REALS",PR!$BB653,IF(J655="ROYAL",PR!$BC653,IF(J655="SAM",PR!$BD653,IF(J655="SEAGREEN",PR!$BE653,IF(J655="SKG",PR!$BF653,IF(J655="TAH",PR!$BG653,IF(J655="TAYLEK",PR!$BH653,IF(J655="TEMITA",PR!$BI653,IF(J655="THL",PR!$BJ653,IF(J655="UBASTIC",PR!$BK653,IF(J655="UNION",PR!$BL653,IF(J655="UNIQUE",PR!$BM653,IF(J655="VIXA",PR!$BN653,IF(J655="WWCV",PR!$BO653,IF(J655="ZOLON",PR!$BP653,"-"))))))))))))))))))))))))))))))))))))))))))))))))))))))))))))))))</f>
        <v>1100</v>
      </c>
      <c r="J655" s="102" t="str">
        <f>EV!N825</f>
        <v>EUMATT</v>
      </c>
      <c r="K655" s="433" t="s">
        <v>825</v>
      </c>
      <c r="L655" s="183">
        <f>IF(K655&gt;0,IF(K655="ALPHA",PR!$E653,IF(K655="ASSENE",PR!$F653,IF(K655="BIOFEM",PR!$G653,IF(K655="BIOMED",PR!$H653,IF(K655="CHI",PR!$I653,IF(K655="CLARION",PR!$J653,IF(K655="CODIX",PR!$K653,IF(K655="COSMADE",PR!$L653,IF(K655="SANCON",PR!$M653,IF(K655="DEVON",PR!$N653,IF(K655="DORTEMAG",PR!$O653,IF(K655="DGF",PR!$P653,IF(K655="DYNAMIC",PR!$Q653,IF(K655="EMZOR",PR!$R653,IF(K655="EUMATT",PR!$S653,IF(K655="FIDSON",PR!$T653,IF(K655="FCGLOBAL",PR!$U653,IF(K655="GENEITH",PR!$V653,IF(K655="GINOS",PR!$W653,IF(K655="GSK",PR!$X653,IF(K655="GLOBORG",PR!$Y653,IF(K655="GOODNEWS",PR!$Z653,IF(K655="GREENLIFE",PR!$AA653,IF(K655="HLINE",PR!$AB653,IF(K655="ROTECH",PR!$AC653,IF(K655="ISN",PR!$AD653,IF(K655="JAWA",PR!$AE653,IF(K655="LAYO",PR!$AF653,IF(K655="LEADWAY",PR!$AG653,IF(K655="LHV",PR!$AH653,IF(K655="MANOLA",PR!$AI653,IF(K655="MARCSON",PR!$AJ653,IF(K655="M&amp;B",PR!$AK653,IF(K655="MTRUST",PR!$AL653,IF(K655="MWORLD",PR!$AM653,IF(K655="MEGA",PR!$AN653,IF(K655="MICRONOVA",PR!$AO653,IF(K655="MFLASH",PR!$AP653,IF(K655="MORISON",PR!$AQ653,IF(K655="NEMEL",PR!$AR653,IF(K655="NHP",PR!$AS653,IF(K655="NHC",PR!$AT653,IF(K655="OLEAF",PR!$AU653,IF(K655="OCULUS",PR!$AV653,IF(K655="PACIFIC",PR!$AW653,IF(K655="PHAMATEX",PR!$AX653,IF(K655="PETHICS",PR!$AY653,IF(K655="PHILIPS",PR!$AZ653,IF(K655="RANBAXY",PR!$BA653,IF(K655="REALS",PR!$BB653,IF(K655="ROYAL",PR!$BC653,IF(K655="SAM",PR!$BD653,IF(K655="SEAGREEN",PR!$BE653,IF(K655="SKG",PR!$BF653,IF(K655="TAH",PR!$BG653,IF(K655="TAYLEK",PR!$BH653,IF(K655="TEMITA",PR!$BI653,IF(K655="THL",PR!$BJ653,IF(K655="UBASTIC",PR!$BK653,IF(K655="UNION",PR!$BL653,IF(K655="UNIQUE",PR!$BM653,IF(K655="VIXA",PR!$BN653,IF(K655="WWCV",PR!$BO653,IF(K655="ZOLON",PR!$BP653,"-")))))))))))))))))))))))))))))))))))))))))))))))))))))))))))))))))</f>
        <v>978</v>
      </c>
    </row>
    <row r="656" spans="1:12" ht="18.75" x14ac:dyDescent="0.3">
      <c r="A656" s="430">
        <f>PR!A654</f>
        <v>592</v>
      </c>
      <c r="B656" s="15" t="str">
        <f>PR!B654</f>
        <v>ELASTIC BANDAGE 6"</v>
      </c>
      <c r="C656" s="113">
        <f>PR!D654</f>
        <v>12</v>
      </c>
      <c r="D656" s="113">
        <f>PR!C654</f>
        <v>400</v>
      </c>
      <c r="E656" s="108">
        <f>IF(F656="ALPHA",PR!$E654,IF(F656="ASSENE",PR!$F654,IF(F656="BIOFEM",PR!$G654,IF(F656="BIOMED",PR!$H654,IF(F656="CHI",PR!$I654,IF(F656="CLARION",PR!$J654,IF(F656="CODIX",PR!$K654,IF(F656="COSMADE",PR!$L654,IF(F656="SANCON",PR!$M654,IF(F656="DEVON",PR!$N654,IF(F656="DORTEMAG",PR!$O654,IF(F656="DGF",PR!$P654,IF(F656="DYNAMIC",PR!$Q654,IF(F656="EMZOR",PR!$R654,IF(F656="EUMATT",PR!$S654,IF(F656="FIDSON",PR!$T654,IF(F656="FCGLOBAL",PR!$U654,IF(F656="GENEITH",PR!$V654,IF(F656="GINOS",PR!$W654,IF(F656="GSK",PR!$X654,IF(F656="GLOBORG",PR!$Y654,IF(F656="GOODNEWS",PR!$Z654,IF(F656="GREENLIFE",PR!$AA654,IF(F656="HLINE",PR!$AB654,IF(F656="ROTECH",PR!$AC654,IF(F656="ISN",PR!$AD654,IF(F656="JAWA",PR!$AE654,IF(F656="LAYO",PR!$AF654,IF(F656="LEADWAY",PR!$AG654,IF(F656="LHV",PR!$AH654,IF(F656="MANOLA",PR!$AI654,IF(F656="MARCSON",PR!$AJ654,IF(F656="M&amp;B",PR!$AK654,IF(F656="MTRUST",PR!$AL654,IF(F656="MWORLD",PR!$AM654,IF(F656="MEGA",PR!$AN654,IF(F656="MICRONOVA",PR!$AO654,IF(F656="MFLASH",PR!$AP654,IF(F656="MORISON",PR!$AQ654,IF(F656="NEMEL",PR!$AR654,IF(F656="NHP",PR!$AS654,IF(F656="NHC",PR!$AT654,IF(F656="OLEAF",PR!$AU654,IF(F656="OCULUS",PR!$AV654,IF(F656="PACIFIC",PR!$AW654,IF(F656="PHAMATEX",PR!$AX654,IF(F656="PETHICS",PR!$AY654,IF(F656="PHILIPS",PR!$AZ654,IF(F656="RANBAXY",PR!$BA654,IF(F656="REALS",PR!$BB654,IF(F656="ROYAL",PR!$BC654,IF(F656="SAM",PR!$BD654,IF(F656="SEAGREEN",PR!$BE654,IF(F656="SKG",PR!$BF654,IF(F656="TAH",PR!$BG654,IF(F656="TAYLEK",PR!$BH654,IF(F656="TEMITA",PR!$BI654,IF(F656="THL",PR!$BJ654,IF(F656="UBASTIC",PR!$BK654,IF(F656="UNION",PR!$BL654,IF(F656="UNIQUE",PR!$BM654,IF(F656="VIXA",PR!$BN654,IF(F656="WWCV",PR!$BO654,IF(F656="ZOLON",PR!$BP654,"-"))))))))))))))))))))))))))))))))))))))))))))))))))))))))))))))))</f>
        <v>1243</v>
      </c>
      <c r="F656" s="102" t="str">
        <f>EV!L826</f>
        <v>ROTECH</v>
      </c>
      <c r="G656" s="108">
        <f>IF(H656="ALPHA",PR!$E654,IF(H656="ASSENE",PR!$F654,IF(H656="BIOFEM",PR!$G654,IF(H656="BIOMED",PR!$H654,IF(H656="CHI",PR!$I654,IF(H656="CLARION",PR!$J654,IF(H656="CODIX",PR!$K654,IF(H656="COSMADE",PR!$L654,IF(H656="SANCON",PR!$M654,IF(H656="DEVON",PR!$N654,IF(H656="DORTEMAG",PR!$O654,IF(H656="DGF",PR!$P654,IF(H656="DYNAMIC",PR!$Q654,IF(H656="EMZOR",PR!$R654,IF(H656="EUMATT",PR!$S654,IF(H656="FIDSON",PR!$T654,IF(H656="FCGLOBAL",PR!$U654,IF(H656="GENEITH",PR!$V654,IF(H656="GINOS",PR!$W654,IF(H656="GSK",PR!$X654,IF(H656="GLOBORG",PR!$Y654,IF(H656="GOODNEWS",PR!$Z654,IF(H656="GREENLIFE",PR!$AA654,IF(H656="HLINE",PR!$AB654,IF(H656="ROTECH",PR!$AC654,IF(H656="ISN",PR!$AD654,IF(H656="JAWA",PR!$AE654,IF(H656="LAYO",PR!$AF654,IF(H656="LEADWAY",PR!$AG654,IF(H656="LHV",PR!$AH654,IF(H656="MANOLA",PR!$AI654,IF(H656="MARCSON",PR!$AJ654,IF(H656="M&amp;B",PR!$AK654,IF(H656="MTRUST",PR!$AL654,IF(H656="MWORLD",PR!$AM654,IF(H656="MEGA",PR!$AN654,IF(H656="MICRONOVA",PR!$AO654,IF(H656="MFLASH",PR!$AP654,IF(H656="MORISON",PR!$AQ654,IF(H656="NEMEL",PR!$AR654,IF(H656="NHP",PR!$AS654,IF(H656="NHC",PR!$AT654,IF(H656="OLEAF",PR!$AU654,IF(H656="OCULUS",PR!$AV654,IF(H656="PACIFIC",PR!$AW654,IF(H656="PHAMATEX",PR!$AX654,IF(H656="PETHICS",PR!$AY654,IF(H656="PHILIPS",PR!$AZ654,IF(H656="RANBAXY",PR!$BA654,IF(H656="REALS",PR!$BB654,IF(H656="ROYAL",PR!$BC654,IF(H656="SAM",PR!$BD654,IF(H656="SEAGREEN",PR!$BE654,IF(H656="SKG",PR!$BF654,IF(H656="TAH",PR!$BG654,IF(H656="TAYLEK",PR!$BH654,IF(H656="TEMITA",PR!$BI654,IF(H656="THL",PR!$BJ654,IF(H656="UBASTIC",PR!$BK654,IF(H656="UNION",PR!$BL654,IF(H656="UNIQUE",PR!$BM654,IF(H656="VIXA",PR!$BN654,IF(H656="WWCV",PR!$BO654,IF(H656="ZOLON",PR!$BP654,"-"))))))))))))))))))))))))))))))))))))))))))))))))))))))))))))))))</f>
        <v>1300</v>
      </c>
      <c r="H656" s="102" t="str">
        <f>EV!M826</f>
        <v>SANCON</v>
      </c>
      <c r="I656" s="108">
        <f>IF(J656="ALPHA",PR!$E654,IF(J656="ASSENE",PR!$F654,IF(J656="BIOFEM",PR!$G654,IF(J656="BIOMED",PR!$H654,IF(J656="CHI",PR!$I654,IF(J656="CLARION",PR!$J654,IF(J656="CODIX",PR!$K654,IF(J656="COSMADE",PR!$L654,IF(J656="SANCON",PR!$M654,IF(J656="DEVON",PR!$N654,IF(J656="DORTEMAG",PR!$O654,IF(J656="DGF",PR!$P654,IF(J656="DYNAMIC",PR!$Q654,IF(J656="EMZOR",PR!$R654,IF(J656="EUMATT",PR!$S654,IF(J656="FIDSON",PR!$T654,IF(J656="FCGLOBAL",PR!$U654,IF(J656="GENEITH",PR!$V654,IF(J656="GINOS",PR!$W654,IF(J656="GSK",PR!$X654,IF(J656="GLOBORG",PR!$Y654,IF(J656="GOODNEWS",PR!$Z654,IF(J656="GREENLIFE",PR!$AA654,IF(J656="HLINE",PR!$AB654,IF(J656="ROTECH",PR!$AC654,IF(J656="ISN",PR!$AD654,IF(J656="JAWA",PR!$AE654,IF(J656="LAYO",PR!$AF654,IF(J656="LEADWAY",PR!$AG654,IF(J656="LHV",PR!$AH654,IF(J656="MANOLA",PR!$AI654,IF(J656="MARCSON",PR!$AJ654,IF(J656="M&amp;B",PR!$AK654,IF(J656="MTRUST",PR!$AL654,IF(J656="MWORLD",PR!$AM654,IF(J656="MEGA",PR!$AN654,IF(J656="MICRONOVA",PR!$AO654,IF(J656="MFLASH",PR!$AP654,IF(J656="MORISON",PR!$AQ654,IF(J656="NEMEL",PR!$AR654,IF(J656="NHP",PR!$AS654,IF(J656="NHC",PR!$AT654,IF(J656="OLEAF",PR!$AU654,IF(J656="OCULUS",PR!$AV654,IF(J656="PACIFIC",PR!$AW654,IF(J656="PHAMATEX",PR!$AX654,IF(J656="PETHICS",PR!$AY654,IF(J656="PHILIPS",PR!$AZ654,IF(J656="RANBAXY",PR!$BA654,IF(J656="REALS",PR!$BB654,IF(J656="ROYAL",PR!$BC654,IF(J656="SAM",PR!$BD654,IF(J656="SEAGREEN",PR!$BE654,IF(J656="SKG",PR!$BF654,IF(J656="TAH",PR!$BG654,IF(J656="TAYLEK",PR!$BH654,IF(J656="TEMITA",PR!$BI654,IF(J656="THL",PR!$BJ654,IF(J656="UBASTIC",PR!$BK654,IF(J656="UNION",PR!$BL654,IF(J656="UNIQUE",PR!$BM654,IF(J656="VIXA",PR!$BN654,IF(J656="WWCV",PR!$BO654,IF(J656="ZOLON",PR!$BP654,"-"))))))))))))))))))))))))))))))))))))))))))))))))))))))))))))))))</f>
        <v>1300</v>
      </c>
      <c r="J656" s="102" t="str">
        <f>EV!N826</f>
        <v>COSMADE</v>
      </c>
      <c r="K656" s="433" t="s">
        <v>825</v>
      </c>
      <c r="L656" s="183">
        <f>IF(K656&gt;0,IF(K656="ALPHA",PR!$E654,IF(K656="ASSENE",PR!$F654,IF(K656="BIOFEM",PR!$G654,IF(K656="BIOMED",PR!$H654,IF(K656="CHI",PR!$I654,IF(K656="CLARION",PR!$J654,IF(K656="CODIX",PR!$K654,IF(K656="COSMADE",PR!$L654,IF(K656="SANCON",PR!$M654,IF(K656="DEVON",PR!$N654,IF(K656="DORTEMAG",PR!$O654,IF(K656="DGF",PR!$P654,IF(K656="DYNAMIC",PR!$Q654,IF(K656="EMZOR",PR!$R654,IF(K656="EUMATT",PR!$S654,IF(K656="FIDSON",PR!$T654,IF(K656="FCGLOBAL",PR!$U654,IF(K656="GENEITH",PR!$V654,IF(K656="GINOS",PR!$W654,IF(K656="GSK",PR!$X654,IF(K656="GLOBORG",PR!$Y654,IF(K656="GOODNEWS",PR!$Z654,IF(K656="GREENLIFE",PR!$AA654,IF(K656="HLINE",PR!$AB654,IF(K656="ROTECH",PR!$AC654,IF(K656="ISN",PR!$AD654,IF(K656="JAWA",PR!$AE654,IF(K656="LAYO",PR!$AF654,IF(K656="LEADWAY",PR!$AG654,IF(K656="LHV",PR!$AH654,IF(K656="MANOLA",PR!$AI654,IF(K656="MARCSON",PR!$AJ654,IF(K656="M&amp;B",PR!$AK654,IF(K656="MTRUST",PR!$AL654,IF(K656="MWORLD",PR!$AM654,IF(K656="MEGA",PR!$AN654,IF(K656="MICRONOVA",PR!$AO654,IF(K656="MFLASH",PR!$AP654,IF(K656="MORISON",PR!$AQ654,IF(K656="NEMEL",PR!$AR654,IF(K656="NHP",PR!$AS654,IF(K656="NHC",PR!$AT654,IF(K656="OLEAF",PR!$AU654,IF(K656="OCULUS",PR!$AV654,IF(K656="PACIFIC",PR!$AW654,IF(K656="PHAMATEX",PR!$AX654,IF(K656="PETHICS",PR!$AY654,IF(K656="PHILIPS",PR!$AZ654,IF(K656="RANBAXY",PR!$BA654,IF(K656="REALS",PR!$BB654,IF(K656="ROYAL",PR!$BC654,IF(K656="SAM",PR!$BD654,IF(K656="SEAGREEN",PR!$BE654,IF(K656="SKG",PR!$BF654,IF(K656="TAH",PR!$BG654,IF(K656="TAYLEK",PR!$BH654,IF(K656="TEMITA",PR!$BI654,IF(K656="THL",PR!$BJ654,IF(K656="UBASTIC",PR!$BK654,IF(K656="UNION",PR!$BL654,IF(K656="UNIQUE",PR!$BM654,IF(K656="VIXA",PR!$BN654,IF(K656="WWCV",PR!$BO654,IF(K656="ZOLON",PR!$BP654,"-")))))))))))))))))))))))))))))))))))))))))))))))))))))))))))))))))</f>
        <v>1243</v>
      </c>
    </row>
    <row r="657" spans="1:12" ht="18.75" x14ac:dyDescent="0.3">
      <c r="A657" s="430">
        <f>PR!A655</f>
        <v>593</v>
      </c>
      <c r="B657" s="15" t="str">
        <f>PR!B655</f>
        <v>ELBOW LENGTH GLOVES</v>
      </c>
      <c r="C657" s="113">
        <f>PR!D655</f>
        <v>50</v>
      </c>
      <c r="D657" s="113">
        <f>PR!C655</f>
        <v>20</v>
      </c>
      <c r="E657" s="108">
        <f>IF(F657="ALPHA",PR!$E655,IF(F657="ASSENE",PR!$F655,IF(F657="BIOFEM",PR!$G655,IF(F657="BIOMED",PR!$H655,IF(F657="CHI",PR!$I655,IF(F657="CLARION",PR!$J655,IF(F657="CODIX",PR!$K655,IF(F657="COSMADE",PR!$L655,IF(F657="SANCON",PR!$M655,IF(F657="DEVON",PR!$N655,IF(F657="DORTEMAG",PR!$O655,IF(F657="DGF",PR!$P655,IF(F657="DYNAMIC",PR!$Q655,IF(F657="EMZOR",PR!$R655,IF(F657="EUMATT",PR!$S655,IF(F657="FIDSON",PR!$T655,IF(F657="FCGLOBAL",PR!$U655,IF(F657="GENEITH",PR!$V655,IF(F657="GINOS",PR!$W655,IF(F657="GSK",PR!$X655,IF(F657="GLOBORG",PR!$Y655,IF(F657="GOODNEWS",PR!$Z655,IF(F657="GREENLIFE",PR!$AA655,IF(F657="HLINE",PR!$AB655,IF(F657="ROTECH",PR!$AC655,IF(F657="ISN",PR!$AD655,IF(F657="JAWA",PR!$AE655,IF(F657="LAYO",PR!$AF655,IF(F657="LEADWAY",PR!$AG655,IF(F657="LHV",PR!$AH655,IF(F657="MANOLA",PR!$AI655,IF(F657="MARCSON",PR!$AJ655,IF(F657="M&amp;B",PR!$AK655,IF(F657="MTRUST",PR!$AL655,IF(F657="MWORLD",PR!$AM655,IF(F657="MEGA",PR!$AN655,IF(F657="MICRONOVA",PR!$AO655,IF(F657="MFLASH",PR!$AP655,IF(F657="MORISON",PR!$AQ655,IF(F657="NEMEL",PR!$AR655,IF(F657="NHP",PR!$AS655,IF(F657="NHC",PR!$AT655,IF(F657="OLEAF",PR!$AU655,IF(F657="OCULUS",PR!$AV655,IF(F657="PACIFIC",PR!$AW655,IF(F657="PHAMATEX",PR!$AX655,IF(F657="PETHICS",PR!$AY655,IF(F657="PHILIPS",PR!$AZ655,IF(F657="RANBAXY",PR!$BA655,IF(F657="REALS",PR!$BB655,IF(F657="ROYAL",PR!$BC655,IF(F657="SAM",PR!$BD655,IF(F657="SEAGREEN",PR!$BE655,IF(F657="SKG",PR!$BF655,IF(F657="TAH",PR!$BG655,IF(F657="TAYLEK",PR!$BH655,IF(F657="TEMITA",PR!$BI655,IF(F657="THL",PR!$BJ655,IF(F657="UBASTIC",PR!$BK655,IF(F657="UNION",PR!$BL655,IF(F657="UNIQUE",PR!$BM655,IF(F657="VIXA",PR!$BN655,IF(F657="WWCV",PR!$BO655,IF(F657="ZOLON",PR!$BP655,"-"))))))))))))))))))))))))))))))))))))))))))))))))))))))))))))))))</f>
        <v>17500</v>
      </c>
      <c r="F657" s="102" t="str">
        <f>EV!L827</f>
        <v>EUMATT</v>
      </c>
      <c r="G657" s="108">
        <f>IF(H657="ALPHA",PR!$E655,IF(H657="ASSENE",PR!$F655,IF(H657="BIOFEM",PR!$G655,IF(H657="BIOMED",PR!$H655,IF(H657="CHI",PR!$I655,IF(H657="CLARION",PR!$J655,IF(H657="CODIX",PR!$K655,IF(H657="COSMADE",PR!$L655,IF(H657="SANCON",PR!$M655,IF(H657="DEVON",PR!$N655,IF(H657="DORTEMAG",PR!$O655,IF(H657="DGF",PR!$P655,IF(H657="DYNAMIC",PR!$Q655,IF(H657="EMZOR",PR!$R655,IF(H657="EUMATT",PR!$S655,IF(H657="FIDSON",PR!$T655,IF(H657="FCGLOBAL",PR!$U655,IF(H657="GENEITH",PR!$V655,IF(H657="GINOS",PR!$W655,IF(H657="GSK",PR!$X655,IF(H657="GLOBORG",PR!$Y655,IF(H657="GOODNEWS",PR!$Z655,IF(H657="GREENLIFE",PR!$AA655,IF(H657="HLINE",PR!$AB655,IF(H657="ROTECH",PR!$AC655,IF(H657="ISN",PR!$AD655,IF(H657="JAWA",PR!$AE655,IF(H657="LAYO",PR!$AF655,IF(H657="LEADWAY",PR!$AG655,IF(H657="LHV",PR!$AH655,IF(H657="MANOLA",PR!$AI655,IF(H657="MARCSON",PR!$AJ655,IF(H657="M&amp;B",PR!$AK655,IF(H657="MTRUST",PR!$AL655,IF(H657="MWORLD",PR!$AM655,IF(H657="MEGA",PR!$AN655,IF(H657="MICRONOVA",PR!$AO655,IF(H657="MFLASH",PR!$AP655,IF(H657="MORISON",PR!$AQ655,IF(H657="NEMEL",PR!$AR655,IF(H657="NHP",PR!$AS655,IF(H657="NHC",PR!$AT655,IF(H657="OLEAF",PR!$AU655,IF(H657="OCULUS",PR!$AV655,IF(H657="PACIFIC",PR!$AW655,IF(H657="PHAMATEX",PR!$AX655,IF(H657="PETHICS",PR!$AY655,IF(H657="PHILIPS",PR!$AZ655,IF(H657="RANBAXY",PR!$BA655,IF(H657="REALS",PR!$BB655,IF(H657="ROYAL",PR!$BC655,IF(H657="SAM",PR!$BD655,IF(H657="SEAGREEN",PR!$BE655,IF(H657="SKG",PR!$BF655,IF(H657="TAH",PR!$BG655,IF(H657="TAYLEK",PR!$BH655,IF(H657="TEMITA",PR!$BI655,IF(H657="THL",PR!$BJ655,IF(H657="UBASTIC",PR!$BK655,IF(H657="UNION",PR!$BL655,IF(H657="UNIQUE",PR!$BM655,IF(H657="VIXA",PR!$BN655,IF(H657="WWCV",PR!$BO655,IF(H657="ZOLON",PR!$BP655,"-"))))))))))))))))))))))))))))))))))))))))))))))))))))))))))))))))</f>
        <v>18000</v>
      </c>
      <c r="H657" s="102" t="str">
        <f>EV!M827</f>
        <v>SANCON</v>
      </c>
      <c r="I657" s="108">
        <f>IF(J657="ALPHA",PR!$E655,IF(J657="ASSENE",PR!$F655,IF(J657="BIOFEM",PR!$G655,IF(J657="BIOMED",PR!$H655,IF(J657="CHI",PR!$I655,IF(J657="CLARION",PR!$J655,IF(J657="CODIX",PR!$K655,IF(J657="COSMADE",PR!$L655,IF(J657="SANCON",PR!$M655,IF(J657="DEVON",PR!$N655,IF(J657="DORTEMAG",PR!$O655,IF(J657="DGF",PR!$P655,IF(J657="DYNAMIC",PR!$Q655,IF(J657="EMZOR",PR!$R655,IF(J657="EUMATT",PR!$S655,IF(J657="FIDSON",PR!$T655,IF(J657="FCGLOBAL",PR!$U655,IF(J657="GENEITH",PR!$V655,IF(J657="GINOS",PR!$W655,IF(J657="GSK",PR!$X655,IF(J657="GLOBORG",PR!$Y655,IF(J657="GOODNEWS",PR!$Z655,IF(J657="GREENLIFE",PR!$AA655,IF(J657="HLINE",PR!$AB655,IF(J657="ROTECH",PR!$AC655,IF(J657="ISN",PR!$AD655,IF(J657="JAWA",PR!$AE655,IF(J657="LAYO",PR!$AF655,IF(J657="LEADWAY",PR!$AG655,IF(J657="LHV",PR!$AH655,IF(J657="MANOLA",PR!$AI655,IF(J657="MARCSON",PR!$AJ655,IF(J657="M&amp;B",PR!$AK655,IF(J657="MTRUST",PR!$AL655,IF(J657="MWORLD",PR!$AM655,IF(J657="MEGA",PR!$AN655,IF(J657="MICRONOVA",PR!$AO655,IF(J657="MFLASH",PR!$AP655,IF(J657="MORISON",PR!$AQ655,IF(J657="NEMEL",PR!$AR655,IF(J657="NHP",PR!$AS655,IF(J657="NHC",PR!$AT655,IF(J657="OLEAF",PR!$AU655,IF(J657="OCULUS",PR!$AV655,IF(J657="PACIFIC",PR!$AW655,IF(J657="PHAMATEX",PR!$AX655,IF(J657="PETHICS",PR!$AY655,IF(J657="PHILIPS",PR!$AZ655,IF(J657="RANBAXY",PR!$BA655,IF(J657="REALS",PR!$BB655,IF(J657="ROYAL",PR!$BC655,IF(J657="SAM",PR!$BD655,IF(J657="SEAGREEN",PR!$BE655,IF(J657="SKG",PR!$BF655,IF(J657="TAH",PR!$BG655,IF(J657="TAYLEK",PR!$BH655,IF(J657="TEMITA",PR!$BI655,IF(J657="THL",PR!$BJ655,IF(J657="UBASTIC",PR!$BK655,IF(J657="UNION",PR!$BL655,IF(J657="UNIQUE",PR!$BM655,IF(J657="VIXA",PR!$BN655,IF(J657="WWCV",PR!$BO655,IF(J657="ZOLON",PR!$BP655,"-"))))))))))))))))))))))))))))))))))))))))))))))))))))))))))))))))</f>
        <v>22500</v>
      </c>
      <c r="J657" s="102" t="str">
        <f>EV!N827</f>
        <v>COSMADE</v>
      </c>
      <c r="K657" s="433" t="s">
        <v>821</v>
      </c>
      <c r="L657" s="183">
        <f>IF(K657&gt;0,IF(K657="ALPHA",PR!$E655,IF(K657="ASSENE",PR!$F655,IF(K657="BIOFEM",PR!$G655,IF(K657="BIOMED",PR!$H655,IF(K657="CHI",PR!$I655,IF(K657="CLARION",PR!$J655,IF(K657="CODIX",PR!$K655,IF(K657="COSMADE",PR!$L655,IF(K657="SANCON",PR!$M655,IF(K657="DEVON",PR!$N655,IF(K657="DORTEMAG",PR!$O655,IF(K657="DGF",PR!$P655,IF(K657="DYNAMIC",PR!$Q655,IF(K657="EMZOR",PR!$R655,IF(K657="EUMATT",PR!$S655,IF(K657="FIDSON",PR!$T655,IF(K657="FCGLOBAL",PR!$U655,IF(K657="GENEITH",PR!$V655,IF(K657="GINOS",PR!$W655,IF(K657="GSK",PR!$X655,IF(K657="GLOBORG",PR!$Y655,IF(K657="GOODNEWS",PR!$Z655,IF(K657="GREENLIFE",PR!$AA655,IF(K657="HLINE",PR!$AB655,IF(K657="ROTECH",PR!$AC655,IF(K657="ISN",PR!$AD655,IF(K657="JAWA",PR!$AE655,IF(K657="LAYO",PR!$AF655,IF(K657="LEADWAY",PR!$AG655,IF(K657="LHV",PR!$AH655,IF(K657="MANOLA",PR!$AI655,IF(K657="MARCSON",PR!$AJ655,IF(K657="M&amp;B",PR!$AK655,IF(K657="MTRUST",PR!$AL655,IF(K657="MWORLD",PR!$AM655,IF(K657="MEGA",PR!$AN655,IF(K657="MICRONOVA",PR!$AO655,IF(K657="MFLASH",PR!$AP655,IF(K657="MORISON",PR!$AQ655,IF(K657="NEMEL",PR!$AR655,IF(K657="NHP",PR!$AS655,IF(K657="NHC",PR!$AT655,IF(K657="OLEAF",PR!$AU655,IF(K657="OCULUS",PR!$AV655,IF(K657="PACIFIC",PR!$AW655,IF(K657="PHAMATEX",PR!$AX655,IF(K657="PETHICS",PR!$AY655,IF(K657="PHILIPS",PR!$AZ655,IF(K657="RANBAXY",PR!$BA655,IF(K657="REALS",PR!$BB655,IF(K657="ROYAL",PR!$BC655,IF(K657="SAM",PR!$BD655,IF(K657="SEAGREEN",PR!$BE655,IF(K657="SKG",PR!$BF655,IF(K657="TAH",PR!$BG655,IF(K657="TAYLEK",PR!$BH655,IF(K657="TEMITA",PR!$BI655,IF(K657="THL",PR!$BJ655,IF(K657="UBASTIC",PR!$BK655,IF(K657="UNION",PR!$BL655,IF(K657="UNIQUE",PR!$BM655,IF(K657="VIXA",PR!$BN655,IF(K657="WWCV",PR!$BO655,IF(K657="ZOLON",PR!$BP655,"-")))))))))))))))))))))))))))))))))))))))))))))))))))))))))))))))))</f>
        <v>17500</v>
      </c>
    </row>
    <row r="658" spans="1:12" ht="18.75" x14ac:dyDescent="0.3">
      <c r="A658" s="430">
        <f>PR!A656</f>
        <v>594</v>
      </c>
      <c r="B658" s="15" t="str">
        <f>PR!B656</f>
        <v>FOLLEY CATHETER SIZE 10"</v>
      </c>
      <c r="C658" s="113">
        <f>PR!D656</f>
        <v>10</v>
      </c>
      <c r="D658" s="113">
        <f>PR!C656</f>
        <v>8</v>
      </c>
      <c r="E658" s="108">
        <f>IF(F658="ALPHA",PR!$E656,IF(F658="ASSENE",PR!$F656,IF(F658="BIOFEM",PR!$G656,IF(F658="BIOMED",PR!$H656,IF(F658="CHI",PR!$I656,IF(F658="CLARION",PR!$J656,IF(F658="CODIX",PR!$K656,IF(F658="COSMADE",PR!$L656,IF(F658="SANCON",PR!$M656,IF(F658="DEVON",PR!$N656,IF(F658="DORTEMAG",PR!$O656,IF(F658="DGF",PR!$P656,IF(F658="DYNAMIC",PR!$Q656,IF(F658="EMZOR",PR!$R656,IF(F658="EUMATT",PR!$S656,IF(F658="FIDSON",PR!$T656,IF(F658="FCGLOBAL",PR!$U656,IF(F658="GENEITH",PR!$V656,IF(F658="GINOS",PR!$W656,IF(F658="GSK",PR!$X656,IF(F658="GLOBORG",PR!$Y656,IF(F658="GOODNEWS",PR!$Z656,IF(F658="GREENLIFE",PR!$AA656,IF(F658="HLINE",PR!$AB656,IF(F658="ROTECH",PR!$AC656,IF(F658="ISN",PR!$AD656,IF(F658="JAWA",PR!$AE656,IF(F658="LAYO",PR!$AF656,IF(F658="LEADWAY",PR!$AG656,IF(F658="LHV",PR!$AH656,IF(F658="MANOLA",PR!$AI656,IF(F658="MARCSON",PR!$AJ656,IF(F658="M&amp;B",PR!$AK656,IF(F658="MTRUST",PR!$AL656,IF(F658="MWORLD",PR!$AM656,IF(F658="MEGA",PR!$AN656,IF(F658="MICRONOVA",PR!$AO656,IF(F658="MFLASH",PR!$AP656,IF(F658="MORISON",PR!$AQ656,IF(F658="NEMEL",PR!$AR656,IF(F658="NHP",PR!$AS656,IF(F658="NHC",PR!$AT656,IF(F658="OLEAF",PR!$AU656,IF(F658="OCULUS",PR!$AV656,IF(F658="PACIFIC",PR!$AW656,IF(F658="PHAMATEX",PR!$AX656,IF(F658="PETHICS",PR!$AY656,IF(F658="PHILIPS",PR!$AZ656,IF(F658="RANBAXY",PR!$BA656,IF(F658="REALS",PR!$BB656,IF(F658="ROYAL",PR!$BC656,IF(F658="SAM",PR!$BD656,IF(F658="SEAGREEN",PR!$BE656,IF(F658="SKG",PR!$BF656,IF(F658="TAH",PR!$BG656,IF(F658="TAYLEK",PR!$BH656,IF(F658="TEMITA",PR!$BI656,IF(F658="THL",PR!$BJ656,IF(F658="UBASTIC",PR!$BK656,IF(F658="UNION",PR!$BL656,IF(F658="UNIQUE",PR!$BM656,IF(F658="VIXA",PR!$BN656,IF(F658="WWCV",PR!$BO656,IF(F658="ZOLON",PR!$BP656,"-"))))))))))))))))))))))))))))))))))))))))))))))))))))))))))))))))</f>
        <v>1800</v>
      </c>
      <c r="F658" s="102" t="str">
        <f>EV!L828</f>
        <v>COSMADE</v>
      </c>
      <c r="G658" s="108">
        <f>IF(H658="ALPHA",PR!$E656,IF(H658="ASSENE",PR!$F656,IF(H658="BIOFEM",PR!$G656,IF(H658="BIOMED",PR!$H656,IF(H658="CHI",PR!$I656,IF(H658="CLARION",PR!$J656,IF(H658="CODIX",PR!$K656,IF(H658="COSMADE",PR!$L656,IF(H658="SANCON",PR!$M656,IF(H658="DEVON",PR!$N656,IF(H658="DORTEMAG",PR!$O656,IF(H658="DGF",PR!$P656,IF(H658="DYNAMIC",PR!$Q656,IF(H658="EMZOR",PR!$R656,IF(H658="EUMATT",PR!$S656,IF(H658="FIDSON",PR!$T656,IF(H658="FCGLOBAL",PR!$U656,IF(H658="GENEITH",PR!$V656,IF(H658="GINOS",PR!$W656,IF(H658="GSK",PR!$X656,IF(H658="GLOBORG",PR!$Y656,IF(H658="GOODNEWS",PR!$Z656,IF(H658="GREENLIFE",PR!$AA656,IF(H658="HLINE",PR!$AB656,IF(H658="ROTECH",PR!$AC656,IF(H658="ISN",PR!$AD656,IF(H658="JAWA",PR!$AE656,IF(H658="LAYO",PR!$AF656,IF(H658="LEADWAY",PR!$AG656,IF(H658="LHV",PR!$AH656,IF(H658="MANOLA",PR!$AI656,IF(H658="MARCSON",PR!$AJ656,IF(H658="M&amp;B",PR!$AK656,IF(H658="MTRUST",PR!$AL656,IF(H658="MWORLD",PR!$AM656,IF(H658="MEGA",PR!$AN656,IF(H658="MICRONOVA",PR!$AO656,IF(H658="MFLASH",PR!$AP656,IF(H658="MORISON",PR!$AQ656,IF(H658="NEMEL",PR!$AR656,IF(H658="NHP",PR!$AS656,IF(H658="NHC",PR!$AT656,IF(H658="OLEAF",PR!$AU656,IF(H658="OCULUS",PR!$AV656,IF(H658="PACIFIC",PR!$AW656,IF(H658="PHAMATEX",PR!$AX656,IF(H658="PETHICS",PR!$AY656,IF(H658="PHILIPS",PR!$AZ656,IF(H658="RANBAXY",PR!$BA656,IF(H658="REALS",PR!$BB656,IF(H658="ROYAL",PR!$BC656,IF(H658="SAM",PR!$BD656,IF(H658="SEAGREEN",PR!$BE656,IF(H658="SKG",PR!$BF656,IF(H658="TAH",PR!$BG656,IF(H658="TAYLEK",PR!$BH656,IF(H658="TEMITA",PR!$BI656,IF(H658="THL",PR!$BJ656,IF(H658="UBASTIC",PR!$BK656,IF(H658="UNION",PR!$BL656,IF(H658="UNIQUE",PR!$BM656,IF(H658="VIXA",PR!$BN656,IF(H658="WWCV",PR!$BO656,IF(H658="ZOLON",PR!$BP656,"-"))))))))))))))))))))))))))))))))))))))))))))))))))))))))))))))))</f>
        <v>1900</v>
      </c>
      <c r="H658" s="102" t="str">
        <f>EV!M828</f>
        <v>EUMATT</v>
      </c>
      <c r="I658" s="108">
        <f>IF(J658="ALPHA",PR!$E656,IF(J658="ASSENE",PR!$F656,IF(J658="BIOFEM",PR!$G656,IF(J658="BIOMED",PR!$H656,IF(J658="CHI",PR!$I656,IF(J658="CLARION",PR!$J656,IF(J658="CODIX",PR!$K656,IF(J658="COSMADE",PR!$L656,IF(J658="SANCON",PR!$M656,IF(J658="DEVON",PR!$N656,IF(J658="DORTEMAG",PR!$O656,IF(J658="DGF",PR!$P656,IF(J658="DYNAMIC",PR!$Q656,IF(J658="EMZOR",PR!$R656,IF(J658="EUMATT",PR!$S656,IF(J658="FIDSON",PR!$T656,IF(J658="FCGLOBAL",PR!$U656,IF(J658="GENEITH",PR!$V656,IF(J658="GINOS",PR!$W656,IF(J658="GSK",PR!$X656,IF(J658="GLOBORG",PR!$Y656,IF(J658="GOODNEWS",PR!$Z656,IF(J658="GREENLIFE",PR!$AA656,IF(J658="HLINE",PR!$AB656,IF(J658="ROTECH",PR!$AC656,IF(J658="ISN",PR!$AD656,IF(J658="JAWA",PR!$AE656,IF(J658="LAYO",PR!$AF656,IF(J658="LEADWAY",PR!$AG656,IF(J658="LHV",PR!$AH656,IF(J658="MANOLA",PR!$AI656,IF(J658="MARCSON",PR!$AJ656,IF(J658="M&amp;B",PR!$AK656,IF(J658="MTRUST",PR!$AL656,IF(J658="MWORLD",PR!$AM656,IF(J658="MEGA",PR!$AN656,IF(J658="MICRONOVA",PR!$AO656,IF(J658="MFLASH",PR!$AP656,IF(J658="MORISON",PR!$AQ656,IF(J658="NEMEL",PR!$AR656,IF(J658="NHP",PR!$AS656,IF(J658="NHC",PR!$AT656,IF(J658="OLEAF",PR!$AU656,IF(J658="OCULUS",PR!$AV656,IF(J658="PACIFIC",PR!$AW656,IF(J658="PHAMATEX",PR!$AX656,IF(J658="PETHICS",PR!$AY656,IF(J658="PHILIPS",PR!$AZ656,IF(J658="RANBAXY",PR!$BA656,IF(J658="REALS",PR!$BB656,IF(J658="ROYAL",PR!$BC656,IF(J658="SAM",PR!$BD656,IF(J658="SEAGREEN",PR!$BE656,IF(J658="SKG",PR!$BF656,IF(J658="TAH",PR!$BG656,IF(J658="TAYLEK",PR!$BH656,IF(J658="TEMITA",PR!$BI656,IF(J658="THL",PR!$BJ656,IF(J658="UBASTIC",PR!$BK656,IF(J658="UNION",PR!$BL656,IF(J658="UNIQUE",PR!$BM656,IF(J658="VIXA",PR!$BN656,IF(J658="WWCV",PR!$BO656,IF(J658="ZOLON",PR!$BP656,"-"))))))))))))))))))))))))))))))))))))))))))))))))))))))))))))))))</f>
        <v>19000</v>
      </c>
      <c r="J658" s="102" t="str">
        <f>EV!N828</f>
        <v>SANCON</v>
      </c>
      <c r="K658" s="433" t="s">
        <v>1452</v>
      </c>
      <c r="L658" s="183">
        <f>IF(K658&gt;0,IF(K658="ALPHA",PR!$E656,IF(K658="ASSENE",PR!$F656,IF(K658="BIOFEM",PR!$G656,IF(K658="BIOMED",PR!$H656,IF(K658="CHI",PR!$I656,IF(K658="CLARION",PR!$J656,IF(K658="CODIX",PR!$K656,IF(K658="COSMADE",PR!$L656,IF(K658="SANCON",PR!$M656,IF(K658="DEVON",PR!$N656,IF(K658="DORTEMAG",PR!$O656,IF(K658="DGF",PR!$P656,IF(K658="DYNAMIC",PR!$Q656,IF(K658="EMZOR",PR!$R656,IF(K658="EUMATT",PR!$S656,IF(K658="FIDSON",PR!$T656,IF(K658="FCGLOBAL",PR!$U656,IF(K658="GENEITH",PR!$V656,IF(K658="GINOS",PR!$W656,IF(K658="GSK",PR!$X656,IF(K658="GLOBORG",PR!$Y656,IF(K658="GOODNEWS",PR!$Z656,IF(K658="GREENLIFE",PR!$AA656,IF(K658="HLINE",PR!$AB656,IF(K658="ROTECH",PR!$AC656,IF(K658="ISN",PR!$AD656,IF(K658="JAWA",PR!$AE656,IF(K658="LAYO",PR!$AF656,IF(K658="LEADWAY",PR!$AG656,IF(K658="LHV",PR!$AH656,IF(K658="MANOLA",PR!$AI656,IF(K658="MARCSON",PR!$AJ656,IF(K658="M&amp;B",PR!$AK656,IF(K658="MTRUST",PR!$AL656,IF(K658="MWORLD",PR!$AM656,IF(K658="MEGA",PR!$AN656,IF(K658="MICRONOVA",PR!$AO656,IF(K658="MFLASH",PR!$AP656,IF(K658="MORISON",PR!$AQ656,IF(K658="NEMEL",PR!$AR656,IF(K658="NHP",PR!$AS656,IF(K658="NHC",PR!$AT656,IF(K658="OLEAF",PR!$AU656,IF(K658="OCULUS",PR!$AV656,IF(K658="PACIFIC",PR!$AW656,IF(K658="PHAMATEX",PR!$AX656,IF(K658="PETHICS",PR!$AY656,IF(K658="PHILIPS",PR!$AZ656,IF(K658="RANBAXY",PR!$BA656,IF(K658="REALS",PR!$BB656,IF(K658="ROYAL",PR!$BC656,IF(K658="SAM",PR!$BD656,IF(K658="SEAGREEN",PR!$BE656,IF(K658="SKG",PR!$BF656,IF(K658="TAH",PR!$BG656,IF(K658="TAYLEK",PR!$BH656,IF(K658="TEMITA",PR!$BI656,IF(K658="THL",PR!$BJ656,IF(K658="UBASTIC",PR!$BK656,IF(K658="UNION",PR!$BL656,IF(K658="UNIQUE",PR!$BM656,IF(K658="VIXA",PR!$BN656,IF(K658="WWCV",PR!$BO656,IF(K658="ZOLON",PR!$BP656,"-")))))))))))))))))))))))))))))))))))))))))))))))))))))))))))))))))</f>
        <v>1800</v>
      </c>
    </row>
    <row r="659" spans="1:12" ht="18.75" x14ac:dyDescent="0.3">
      <c r="A659" s="430">
        <f>PR!A657</f>
        <v>595</v>
      </c>
      <c r="B659" s="15" t="str">
        <f>PR!B657</f>
        <v>FOLLEY CATHETER SIZE 12"</v>
      </c>
      <c r="C659" s="113">
        <f>PR!D657</f>
        <v>10</v>
      </c>
      <c r="D659" s="113">
        <f>PR!C657</f>
        <v>4</v>
      </c>
      <c r="E659" s="108">
        <f>IF(F659="ALPHA",PR!$E657,IF(F659="ASSENE",PR!$F657,IF(F659="BIOFEM",PR!$G657,IF(F659="BIOMED",PR!$H657,IF(F659="CHI",PR!$I657,IF(F659="CLARION",PR!$J657,IF(F659="CODIX",PR!$K657,IF(F659="COSMADE",PR!$L657,IF(F659="SANCON",PR!$M657,IF(F659="DEVON",PR!$N657,IF(F659="DORTEMAG",PR!$O657,IF(F659="DGF",PR!$P657,IF(F659="DYNAMIC",PR!$Q657,IF(F659="EMZOR",PR!$R657,IF(F659="EUMATT",PR!$S657,IF(F659="FIDSON",PR!$T657,IF(F659="FCGLOBAL",PR!$U657,IF(F659="GENEITH",PR!$V657,IF(F659="GINOS",PR!$W657,IF(F659="GSK",PR!$X657,IF(F659="GLOBORG",PR!$Y657,IF(F659="GOODNEWS",PR!$Z657,IF(F659="GREENLIFE",PR!$AA657,IF(F659="HLINE",PR!$AB657,IF(F659="ROTECH",PR!$AC657,IF(F659="ISN",PR!$AD657,IF(F659="JAWA",PR!$AE657,IF(F659="LAYO",PR!$AF657,IF(F659="LEADWAY",PR!$AG657,IF(F659="LHV",PR!$AH657,IF(F659="MANOLA",PR!$AI657,IF(F659="MARCSON",PR!$AJ657,IF(F659="M&amp;B",PR!$AK657,IF(F659="MTRUST",PR!$AL657,IF(F659="MWORLD",PR!$AM657,IF(F659="MEGA",PR!$AN657,IF(F659="MICRONOVA",PR!$AO657,IF(F659="MFLASH",PR!$AP657,IF(F659="MORISON",PR!$AQ657,IF(F659="NEMEL",PR!$AR657,IF(F659="NHP",PR!$AS657,IF(F659="NHC",PR!$AT657,IF(F659="OLEAF",PR!$AU657,IF(F659="OCULUS",PR!$AV657,IF(F659="PACIFIC",PR!$AW657,IF(F659="PHAMATEX",PR!$AX657,IF(F659="PETHICS",PR!$AY657,IF(F659="PHILIPS",PR!$AZ657,IF(F659="RANBAXY",PR!$BA657,IF(F659="REALS",PR!$BB657,IF(F659="ROYAL",PR!$BC657,IF(F659="SAM",PR!$BD657,IF(F659="SEAGREEN",PR!$BE657,IF(F659="SKG",PR!$BF657,IF(F659="TAH",PR!$BG657,IF(F659="TAYLEK",PR!$BH657,IF(F659="TEMITA",PR!$BI657,IF(F659="THL",PR!$BJ657,IF(F659="UBASTIC",PR!$BK657,IF(F659="UNION",PR!$BL657,IF(F659="UNIQUE",PR!$BM657,IF(F659="VIXA",PR!$BN657,IF(F659="WWCV",PR!$BO657,IF(F659="ZOLON",PR!$BP657,"-"))))))))))))))))))))))))))))))))))))))))))))))))))))))))))))))))</f>
        <v>1800</v>
      </c>
      <c r="F659" s="102" t="str">
        <f>EV!L829</f>
        <v>COSMADE</v>
      </c>
      <c r="G659" s="108">
        <f>IF(H659="ALPHA",PR!$E657,IF(H659="ASSENE",PR!$F657,IF(H659="BIOFEM",PR!$G657,IF(H659="BIOMED",PR!$H657,IF(H659="CHI",PR!$I657,IF(H659="CLARION",PR!$J657,IF(H659="CODIX",PR!$K657,IF(H659="COSMADE",PR!$L657,IF(H659="SANCON",PR!$M657,IF(H659="DEVON",PR!$N657,IF(H659="DORTEMAG",PR!$O657,IF(H659="DGF",PR!$P657,IF(H659="DYNAMIC",PR!$Q657,IF(H659="EMZOR",PR!$R657,IF(H659="EUMATT",PR!$S657,IF(H659="FIDSON",PR!$T657,IF(H659="FCGLOBAL",PR!$U657,IF(H659="GENEITH",PR!$V657,IF(H659="GINOS",PR!$W657,IF(H659="GSK",PR!$X657,IF(H659="GLOBORG",PR!$Y657,IF(H659="GOODNEWS",PR!$Z657,IF(H659="GREENLIFE",PR!$AA657,IF(H659="HLINE",PR!$AB657,IF(H659="ROTECH",PR!$AC657,IF(H659="ISN",PR!$AD657,IF(H659="JAWA",PR!$AE657,IF(H659="LAYO",PR!$AF657,IF(H659="LEADWAY",PR!$AG657,IF(H659="LHV",PR!$AH657,IF(H659="MANOLA",PR!$AI657,IF(H659="MARCSON",PR!$AJ657,IF(H659="M&amp;B",PR!$AK657,IF(H659="MTRUST",PR!$AL657,IF(H659="MWORLD",PR!$AM657,IF(H659="MEGA",PR!$AN657,IF(H659="MICRONOVA",PR!$AO657,IF(H659="MFLASH",PR!$AP657,IF(H659="MORISON",PR!$AQ657,IF(H659="NEMEL",PR!$AR657,IF(H659="NHP",PR!$AS657,IF(H659="NHC",PR!$AT657,IF(H659="OLEAF",PR!$AU657,IF(H659="OCULUS",PR!$AV657,IF(H659="PACIFIC",PR!$AW657,IF(H659="PHAMATEX",PR!$AX657,IF(H659="PETHICS",PR!$AY657,IF(H659="PHILIPS",PR!$AZ657,IF(H659="RANBAXY",PR!$BA657,IF(H659="REALS",PR!$BB657,IF(H659="ROYAL",PR!$BC657,IF(H659="SAM",PR!$BD657,IF(H659="SEAGREEN",PR!$BE657,IF(H659="SKG",PR!$BF657,IF(H659="TAH",PR!$BG657,IF(H659="TAYLEK",PR!$BH657,IF(H659="TEMITA",PR!$BI657,IF(H659="THL",PR!$BJ657,IF(H659="UBASTIC",PR!$BK657,IF(H659="UNION",PR!$BL657,IF(H659="UNIQUE",PR!$BM657,IF(H659="VIXA",PR!$BN657,IF(H659="WWCV",PR!$BO657,IF(H659="ZOLON",PR!$BP657,"-"))))))))))))))))))))))))))))))))))))))))))))))))))))))))))))))))</f>
        <v>1900</v>
      </c>
      <c r="H659" s="102" t="str">
        <f>EV!M829</f>
        <v>EUMATT</v>
      </c>
      <c r="I659" s="108">
        <f>IF(J659="ALPHA",PR!$E657,IF(J659="ASSENE",PR!$F657,IF(J659="BIOFEM",PR!$G657,IF(J659="BIOMED",PR!$H657,IF(J659="CHI",PR!$I657,IF(J659="CLARION",PR!$J657,IF(J659="CODIX",PR!$K657,IF(J659="COSMADE",PR!$L657,IF(J659="SANCON",PR!$M657,IF(J659="DEVON",PR!$N657,IF(J659="DORTEMAG",PR!$O657,IF(J659="DGF",PR!$P657,IF(J659="DYNAMIC",PR!$Q657,IF(J659="EMZOR",PR!$R657,IF(J659="EUMATT",PR!$S657,IF(J659="FIDSON",PR!$T657,IF(J659="FCGLOBAL",PR!$U657,IF(J659="GENEITH",PR!$V657,IF(J659="GINOS",PR!$W657,IF(J659="GSK",PR!$X657,IF(J659="GLOBORG",PR!$Y657,IF(J659="GOODNEWS",PR!$Z657,IF(J659="GREENLIFE",PR!$AA657,IF(J659="HLINE",PR!$AB657,IF(J659="ROTECH",PR!$AC657,IF(J659="ISN",PR!$AD657,IF(J659="JAWA",PR!$AE657,IF(J659="LAYO",PR!$AF657,IF(J659="LEADWAY",PR!$AG657,IF(J659="LHV",PR!$AH657,IF(J659="MANOLA",PR!$AI657,IF(J659="MARCSON",PR!$AJ657,IF(J659="M&amp;B",PR!$AK657,IF(J659="MTRUST",PR!$AL657,IF(J659="MWORLD",PR!$AM657,IF(J659="MEGA",PR!$AN657,IF(J659="MICRONOVA",PR!$AO657,IF(J659="MFLASH",PR!$AP657,IF(J659="MORISON",PR!$AQ657,IF(J659="NEMEL",PR!$AR657,IF(J659="NHP",PR!$AS657,IF(J659="NHC",PR!$AT657,IF(J659="OLEAF",PR!$AU657,IF(J659="OCULUS",PR!$AV657,IF(J659="PACIFIC",PR!$AW657,IF(J659="PHAMATEX",PR!$AX657,IF(J659="PETHICS",PR!$AY657,IF(J659="PHILIPS",PR!$AZ657,IF(J659="RANBAXY",PR!$BA657,IF(J659="REALS",PR!$BB657,IF(J659="ROYAL",PR!$BC657,IF(J659="SAM",PR!$BD657,IF(J659="SEAGREEN",PR!$BE657,IF(J659="SKG",PR!$BF657,IF(J659="TAH",PR!$BG657,IF(J659="TAYLEK",PR!$BH657,IF(J659="TEMITA",PR!$BI657,IF(J659="THL",PR!$BJ657,IF(J659="UBASTIC",PR!$BK657,IF(J659="UNION",PR!$BL657,IF(J659="UNIQUE",PR!$BM657,IF(J659="VIXA",PR!$BN657,IF(J659="WWCV",PR!$BO657,IF(J659="ZOLON",PR!$BP657,"-"))))))))))))))))))))))))))))))))))))))))))))))))))))))))))))))))</f>
        <v>19000</v>
      </c>
      <c r="J659" s="102" t="str">
        <f>EV!N829</f>
        <v>SANCON</v>
      </c>
      <c r="K659" s="433" t="s">
        <v>1452</v>
      </c>
      <c r="L659" s="183">
        <f>IF(K659&gt;0,IF(K659="ALPHA",PR!$E657,IF(K659="ASSENE",PR!$F657,IF(K659="BIOFEM",PR!$G657,IF(K659="BIOMED",PR!$H657,IF(K659="CHI",PR!$I657,IF(K659="CLARION",PR!$J657,IF(K659="CODIX",PR!$K657,IF(K659="COSMADE",PR!$L657,IF(K659="SANCON",PR!$M657,IF(K659="DEVON",PR!$N657,IF(K659="DORTEMAG",PR!$O657,IF(K659="DGF",PR!$P657,IF(K659="DYNAMIC",PR!$Q657,IF(K659="EMZOR",PR!$R657,IF(K659="EUMATT",PR!$S657,IF(K659="FIDSON",PR!$T657,IF(K659="FCGLOBAL",PR!$U657,IF(K659="GENEITH",PR!$V657,IF(K659="GINOS",PR!$W657,IF(K659="GSK",PR!$X657,IF(K659="GLOBORG",PR!$Y657,IF(K659="GOODNEWS",PR!$Z657,IF(K659="GREENLIFE",PR!$AA657,IF(K659="HLINE",PR!$AB657,IF(K659="ROTECH",PR!$AC657,IF(K659="ISN",PR!$AD657,IF(K659="JAWA",PR!$AE657,IF(K659="LAYO",PR!$AF657,IF(K659="LEADWAY",PR!$AG657,IF(K659="LHV",PR!$AH657,IF(K659="MANOLA",PR!$AI657,IF(K659="MARCSON",PR!$AJ657,IF(K659="M&amp;B",PR!$AK657,IF(K659="MTRUST",PR!$AL657,IF(K659="MWORLD",PR!$AM657,IF(K659="MEGA",PR!$AN657,IF(K659="MICRONOVA",PR!$AO657,IF(K659="MFLASH",PR!$AP657,IF(K659="MORISON",PR!$AQ657,IF(K659="NEMEL",PR!$AR657,IF(K659="NHP",PR!$AS657,IF(K659="NHC",PR!$AT657,IF(K659="OLEAF",PR!$AU657,IF(K659="OCULUS",PR!$AV657,IF(K659="PACIFIC",PR!$AW657,IF(K659="PHAMATEX",PR!$AX657,IF(K659="PETHICS",PR!$AY657,IF(K659="PHILIPS",PR!$AZ657,IF(K659="RANBAXY",PR!$BA657,IF(K659="REALS",PR!$BB657,IF(K659="ROYAL",PR!$BC657,IF(K659="SAM",PR!$BD657,IF(K659="SEAGREEN",PR!$BE657,IF(K659="SKG",PR!$BF657,IF(K659="TAH",PR!$BG657,IF(K659="TAYLEK",PR!$BH657,IF(K659="TEMITA",PR!$BI657,IF(K659="THL",PR!$BJ657,IF(K659="UBASTIC",PR!$BK657,IF(K659="UNION",PR!$BL657,IF(K659="UNIQUE",PR!$BM657,IF(K659="VIXA",PR!$BN657,IF(K659="WWCV",PR!$BO657,IF(K659="ZOLON",PR!$BP657,"-")))))))))))))))))))))))))))))))))))))))))))))))))))))))))))))))))</f>
        <v>1800</v>
      </c>
    </row>
    <row r="660" spans="1:12" ht="18.75" x14ac:dyDescent="0.3">
      <c r="A660" s="430">
        <f>PR!A658</f>
        <v>596</v>
      </c>
      <c r="B660" s="15" t="str">
        <f>PR!B658</f>
        <v>FOLLEY CATHETER SIZE 14"</v>
      </c>
      <c r="C660" s="113">
        <f>PR!D658</f>
        <v>10</v>
      </c>
      <c r="D660" s="113">
        <f>PR!C658</f>
        <v>8</v>
      </c>
      <c r="E660" s="108">
        <f>IF(F660="ALPHA",PR!$E658,IF(F660="ASSENE",PR!$F658,IF(F660="BIOFEM",PR!$G658,IF(F660="BIOMED",PR!$H658,IF(F660="CHI",PR!$I658,IF(F660="CLARION",PR!$J658,IF(F660="CODIX",PR!$K658,IF(F660="COSMADE",PR!$L658,IF(F660="SANCON",PR!$M658,IF(F660="DEVON",PR!$N658,IF(F660="DORTEMAG",PR!$O658,IF(F660="DGF",PR!$P658,IF(F660="DYNAMIC",PR!$Q658,IF(F660="EMZOR",PR!$R658,IF(F660="EUMATT",PR!$S658,IF(F660="FIDSON",PR!$T658,IF(F660="FCGLOBAL",PR!$U658,IF(F660="GENEITH",PR!$V658,IF(F660="GINOS",PR!$W658,IF(F660="GSK",PR!$X658,IF(F660="GLOBORG",PR!$Y658,IF(F660="GOODNEWS",PR!$Z658,IF(F660="GREENLIFE",PR!$AA658,IF(F660="HLINE",PR!$AB658,IF(F660="ROTECH",PR!$AC658,IF(F660="ISN",PR!$AD658,IF(F660="JAWA",PR!$AE658,IF(F660="LAYO",PR!$AF658,IF(F660="LEADWAY",PR!$AG658,IF(F660="LHV",PR!$AH658,IF(F660="MANOLA",PR!$AI658,IF(F660="MARCSON",PR!$AJ658,IF(F660="M&amp;B",PR!$AK658,IF(F660="MTRUST",PR!$AL658,IF(F660="MWORLD",PR!$AM658,IF(F660="MEGA",PR!$AN658,IF(F660="MICRONOVA",PR!$AO658,IF(F660="MFLASH",PR!$AP658,IF(F660="MORISON",PR!$AQ658,IF(F660="NEMEL",PR!$AR658,IF(F660="NHP",PR!$AS658,IF(F660="NHC",PR!$AT658,IF(F660="OLEAF",PR!$AU658,IF(F660="OCULUS",PR!$AV658,IF(F660="PACIFIC",PR!$AW658,IF(F660="PHAMATEX",PR!$AX658,IF(F660="PETHICS",PR!$AY658,IF(F660="PHILIPS",PR!$AZ658,IF(F660="RANBAXY",PR!$BA658,IF(F660="REALS",PR!$BB658,IF(F660="ROYAL",PR!$BC658,IF(F660="SAM",PR!$BD658,IF(F660="SEAGREEN",PR!$BE658,IF(F660="SKG",PR!$BF658,IF(F660="TAH",PR!$BG658,IF(F660="TAYLEK",PR!$BH658,IF(F660="TEMITA",PR!$BI658,IF(F660="THL",PR!$BJ658,IF(F660="UBASTIC",PR!$BK658,IF(F660="UNION",PR!$BL658,IF(F660="UNIQUE",PR!$BM658,IF(F660="VIXA",PR!$BN658,IF(F660="WWCV",PR!$BO658,IF(F660="ZOLON",PR!$BP658,"-"))))))))))))))))))))))))))))))))))))))))))))))))))))))))))))))))</f>
        <v>1800</v>
      </c>
      <c r="F660" s="102" t="str">
        <f>EV!L830</f>
        <v>COSMADE</v>
      </c>
      <c r="G660" s="108">
        <f>IF(H660="ALPHA",PR!$E658,IF(H660="ASSENE",PR!$F658,IF(H660="BIOFEM",PR!$G658,IF(H660="BIOMED",PR!$H658,IF(H660="CHI",PR!$I658,IF(H660="CLARION",PR!$J658,IF(H660="CODIX",PR!$K658,IF(H660="COSMADE",PR!$L658,IF(H660="SANCON",PR!$M658,IF(H660="DEVON",PR!$N658,IF(H660="DORTEMAG",PR!$O658,IF(H660="DGF",PR!$P658,IF(H660="DYNAMIC",PR!$Q658,IF(H660="EMZOR",PR!$R658,IF(H660="EUMATT",PR!$S658,IF(H660="FIDSON",PR!$T658,IF(H660="FCGLOBAL",PR!$U658,IF(H660="GENEITH",PR!$V658,IF(H660="GINOS",PR!$W658,IF(H660="GSK",PR!$X658,IF(H660="GLOBORG",PR!$Y658,IF(H660="GOODNEWS",PR!$Z658,IF(H660="GREENLIFE",PR!$AA658,IF(H660="HLINE",PR!$AB658,IF(H660="ROTECH",PR!$AC658,IF(H660="ISN",PR!$AD658,IF(H660="JAWA",PR!$AE658,IF(H660="LAYO",PR!$AF658,IF(H660="LEADWAY",PR!$AG658,IF(H660="LHV",PR!$AH658,IF(H660="MANOLA",PR!$AI658,IF(H660="MARCSON",PR!$AJ658,IF(H660="M&amp;B",PR!$AK658,IF(H660="MTRUST",PR!$AL658,IF(H660="MWORLD",PR!$AM658,IF(H660="MEGA",PR!$AN658,IF(H660="MICRONOVA",PR!$AO658,IF(H660="MFLASH",PR!$AP658,IF(H660="MORISON",PR!$AQ658,IF(H660="NEMEL",PR!$AR658,IF(H660="NHP",PR!$AS658,IF(H660="NHC",PR!$AT658,IF(H660="OLEAF",PR!$AU658,IF(H660="OCULUS",PR!$AV658,IF(H660="PACIFIC",PR!$AW658,IF(H660="PHAMATEX",PR!$AX658,IF(H660="PETHICS",PR!$AY658,IF(H660="PHILIPS",PR!$AZ658,IF(H660="RANBAXY",PR!$BA658,IF(H660="REALS",PR!$BB658,IF(H660="ROYAL",PR!$BC658,IF(H660="SAM",PR!$BD658,IF(H660="SEAGREEN",PR!$BE658,IF(H660="SKG",PR!$BF658,IF(H660="TAH",PR!$BG658,IF(H660="TAYLEK",PR!$BH658,IF(H660="TEMITA",PR!$BI658,IF(H660="THL",PR!$BJ658,IF(H660="UBASTIC",PR!$BK658,IF(H660="UNION",PR!$BL658,IF(H660="UNIQUE",PR!$BM658,IF(H660="VIXA",PR!$BN658,IF(H660="WWCV",PR!$BO658,IF(H660="ZOLON",PR!$BP658,"-"))))))))))))))))))))))))))))))))))))))))))))))))))))))))))))))))</f>
        <v>1900</v>
      </c>
      <c r="H660" s="102" t="str">
        <f>EV!M830</f>
        <v>EUMATT</v>
      </c>
      <c r="I660" s="108">
        <f>IF(J660="ALPHA",PR!$E658,IF(J660="ASSENE",PR!$F658,IF(J660="BIOFEM",PR!$G658,IF(J660="BIOMED",PR!$H658,IF(J660="CHI",PR!$I658,IF(J660="CLARION",PR!$J658,IF(J660="CODIX",PR!$K658,IF(J660="COSMADE",PR!$L658,IF(J660="SANCON",PR!$M658,IF(J660="DEVON",PR!$N658,IF(J660="DORTEMAG",PR!$O658,IF(J660="DGF",PR!$P658,IF(J660="DYNAMIC",PR!$Q658,IF(J660="EMZOR",PR!$R658,IF(J660="EUMATT",PR!$S658,IF(J660="FIDSON",PR!$T658,IF(J660="FCGLOBAL",PR!$U658,IF(J660="GENEITH",PR!$V658,IF(J660="GINOS",PR!$W658,IF(J660="GSK",PR!$X658,IF(J660="GLOBORG",PR!$Y658,IF(J660="GOODNEWS",PR!$Z658,IF(J660="GREENLIFE",PR!$AA658,IF(J660="HLINE",PR!$AB658,IF(J660="ROTECH",PR!$AC658,IF(J660="ISN",PR!$AD658,IF(J660="JAWA",PR!$AE658,IF(J660="LAYO",PR!$AF658,IF(J660="LEADWAY",PR!$AG658,IF(J660="LHV",PR!$AH658,IF(J660="MANOLA",PR!$AI658,IF(J660="MARCSON",PR!$AJ658,IF(J660="M&amp;B",PR!$AK658,IF(J660="MTRUST",PR!$AL658,IF(J660="MWORLD",PR!$AM658,IF(J660="MEGA",PR!$AN658,IF(J660="MICRONOVA",PR!$AO658,IF(J660="MFLASH",PR!$AP658,IF(J660="MORISON",PR!$AQ658,IF(J660="NEMEL",PR!$AR658,IF(J660="NHP",PR!$AS658,IF(J660="NHC",PR!$AT658,IF(J660="OLEAF",PR!$AU658,IF(J660="OCULUS",PR!$AV658,IF(J660="PACIFIC",PR!$AW658,IF(J660="PHAMATEX",PR!$AX658,IF(J660="PETHICS",PR!$AY658,IF(J660="PHILIPS",PR!$AZ658,IF(J660="RANBAXY",PR!$BA658,IF(J660="REALS",PR!$BB658,IF(J660="ROYAL",PR!$BC658,IF(J660="SAM",PR!$BD658,IF(J660="SEAGREEN",PR!$BE658,IF(J660="SKG",PR!$BF658,IF(J660="TAH",PR!$BG658,IF(J660="TAYLEK",PR!$BH658,IF(J660="TEMITA",PR!$BI658,IF(J660="THL",PR!$BJ658,IF(J660="UBASTIC",PR!$BK658,IF(J660="UNION",PR!$BL658,IF(J660="UNIQUE",PR!$BM658,IF(J660="VIXA",PR!$BN658,IF(J660="WWCV",PR!$BO658,IF(J660="ZOLON",PR!$BP658,"-"))))))))))))))))))))))))))))))))))))))))))))))))))))))))))))))))</f>
        <v>19000</v>
      </c>
      <c r="J660" s="102" t="str">
        <f>EV!N830</f>
        <v>SANCON</v>
      </c>
      <c r="K660" s="433" t="s">
        <v>1452</v>
      </c>
      <c r="L660" s="183">
        <f>IF(K660&gt;0,IF(K660="ALPHA",PR!$E658,IF(K660="ASSENE",PR!$F658,IF(K660="BIOFEM",PR!$G658,IF(K660="BIOMED",PR!$H658,IF(K660="CHI",PR!$I658,IF(K660="CLARION",PR!$J658,IF(K660="CODIX",PR!$K658,IF(K660="COSMADE",PR!$L658,IF(K660="SANCON",PR!$M658,IF(K660="DEVON",PR!$N658,IF(K660="DORTEMAG",PR!$O658,IF(K660="DGF",PR!$P658,IF(K660="DYNAMIC",PR!$Q658,IF(K660="EMZOR",PR!$R658,IF(K660="EUMATT",PR!$S658,IF(K660="FIDSON",PR!$T658,IF(K660="FCGLOBAL",PR!$U658,IF(K660="GENEITH",PR!$V658,IF(K660="GINOS",PR!$W658,IF(K660="GSK",PR!$X658,IF(K660="GLOBORG",PR!$Y658,IF(K660="GOODNEWS",PR!$Z658,IF(K660="GREENLIFE",PR!$AA658,IF(K660="HLINE",PR!$AB658,IF(K660="ROTECH",PR!$AC658,IF(K660="ISN",PR!$AD658,IF(K660="JAWA",PR!$AE658,IF(K660="LAYO",PR!$AF658,IF(K660="LEADWAY",PR!$AG658,IF(K660="LHV",PR!$AH658,IF(K660="MANOLA",PR!$AI658,IF(K660="MARCSON",PR!$AJ658,IF(K660="M&amp;B",PR!$AK658,IF(K660="MTRUST",PR!$AL658,IF(K660="MWORLD",PR!$AM658,IF(K660="MEGA",PR!$AN658,IF(K660="MICRONOVA",PR!$AO658,IF(K660="MFLASH",PR!$AP658,IF(K660="MORISON",PR!$AQ658,IF(K660="NEMEL",PR!$AR658,IF(K660="NHP",PR!$AS658,IF(K660="NHC",PR!$AT658,IF(K660="OLEAF",PR!$AU658,IF(K660="OCULUS",PR!$AV658,IF(K660="PACIFIC",PR!$AW658,IF(K660="PHAMATEX",PR!$AX658,IF(K660="PETHICS",PR!$AY658,IF(K660="PHILIPS",PR!$AZ658,IF(K660="RANBAXY",PR!$BA658,IF(K660="REALS",PR!$BB658,IF(K660="ROYAL",PR!$BC658,IF(K660="SAM",PR!$BD658,IF(K660="SEAGREEN",PR!$BE658,IF(K660="SKG",PR!$BF658,IF(K660="TAH",PR!$BG658,IF(K660="TAYLEK",PR!$BH658,IF(K660="TEMITA",PR!$BI658,IF(K660="THL",PR!$BJ658,IF(K660="UBASTIC",PR!$BK658,IF(K660="UNION",PR!$BL658,IF(K660="UNIQUE",PR!$BM658,IF(K660="VIXA",PR!$BN658,IF(K660="WWCV",PR!$BO658,IF(K660="ZOLON",PR!$BP658,"-")))))))))))))))))))))))))))))))))))))))))))))))))))))))))))))))))</f>
        <v>1800</v>
      </c>
    </row>
    <row r="661" spans="1:12" ht="18.75" x14ac:dyDescent="0.3">
      <c r="A661" s="430">
        <f>PR!A659</f>
        <v>597</v>
      </c>
      <c r="B661" s="15" t="str">
        <f>PR!B659</f>
        <v>FOLLEY CATHETER SIZE 16"</v>
      </c>
      <c r="C661" s="113">
        <f>PR!D659</f>
        <v>10</v>
      </c>
      <c r="D661" s="113">
        <f>PR!C659</f>
        <v>300</v>
      </c>
      <c r="E661" s="108">
        <f>IF(F661="ALPHA",PR!$E659,IF(F661="ASSENE",PR!$F659,IF(F661="BIOFEM",PR!$G659,IF(F661="BIOMED",PR!$H659,IF(F661="CHI",PR!$I659,IF(F661="CLARION",PR!$J659,IF(F661="CODIX",PR!$K659,IF(F661="COSMADE",PR!$L659,IF(F661="SANCON",PR!$M659,IF(F661="DEVON",PR!$N659,IF(F661="DORTEMAG",PR!$O659,IF(F661="DGF",PR!$P659,IF(F661="DYNAMIC",PR!$Q659,IF(F661="EMZOR",PR!$R659,IF(F661="EUMATT",PR!$S659,IF(F661="FIDSON",PR!$T659,IF(F661="FCGLOBAL",PR!$U659,IF(F661="GENEITH",PR!$V659,IF(F661="GINOS",PR!$W659,IF(F661="GSK",PR!$X659,IF(F661="GLOBORG",PR!$Y659,IF(F661="GOODNEWS",PR!$Z659,IF(F661="GREENLIFE",PR!$AA659,IF(F661="HLINE",PR!$AB659,IF(F661="ROTECH",PR!$AC659,IF(F661="ISN",PR!$AD659,IF(F661="JAWA",PR!$AE659,IF(F661="LAYO",PR!$AF659,IF(F661="LEADWAY",PR!$AG659,IF(F661="LHV",PR!$AH659,IF(F661="MANOLA",PR!$AI659,IF(F661="MARCSON",PR!$AJ659,IF(F661="M&amp;B",PR!$AK659,IF(F661="MTRUST",PR!$AL659,IF(F661="MWORLD",PR!$AM659,IF(F661="MEGA",PR!$AN659,IF(F661="MICRONOVA",PR!$AO659,IF(F661="MFLASH",PR!$AP659,IF(F661="MORISON",PR!$AQ659,IF(F661="NEMEL",PR!$AR659,IF(F661="NHP",PR!$AS659,IF(F661="NHC",PR!$AT659,IF(F661="OLEAF",PR!$AU659,IF(F661="OCULUS",PR!$AV659,IF(F661="PACIFIC",PR!$AW659,IF(F661="PHAMATEX",PR!$AX659,IF(F661="PETHICS",PR!$AY659,IF(F661="PHILIPS",PR!$AZ659,IF(F661="RANBAXY",PR!$BA659,IF(F661="REALS",PR!$BB659,IF(F661="ROYAL",PR!$BC659,IF(F661="SAM",PR!$BD659,IF(F661="SEAGREEN",PR!$BE659,IF(F661="SKG",PR!$BF659,IF(F661="TAH",PR!$BG659,IF(F661="TAYLEK",PR!$BH659,IF(F661="TEMITA",PR!$BI659,IF(F661="THL",PR!$BJ659,IF(F661="UBASTIC",PR!$BK659,IF(F661="UNION",PR!$BL659,IF(F661="UNIQUE",PR!$BM659,IF(F661="VIXA",PR!$BN659,IF(F661="WWCV",PR!$BO659,IF(F661="ZOLON",PR!$BP659,"-"))))))))))))))))))))))))))))))))))))))))))))))))))))))))))))))))</f>
        <v>1600</v>
      </c>
      <c r="F661" s="102" t="str">
        <f>EV!L831</f>
        <v>EUMATT</v>
      </c>
      <c r="G661" s="108">
        <f>IF(H661="ALPHA",PR!$E659,IF(H661="ASSENE",PR!$F659,IF(H661="BIOFEM",PR!$G659,IF(H661="BIOMED",PR!$H659,IF(H661="CHI",PR!$I659,IF(H661="CLARION",PR!$J659,IF(H661="CODIX",PR!$K659,IF(H661="COSMADE",PR!$L659,IF(H661="SANCON",PR!$M659,IF(H661="DEVON",PR!$N659,IF(H661="DORTEMAG",PR!$O659,IF(H661="DGF",PR!$P659,IF(H661="DYNAMIC",PR!$Q659,IF(H661="EMZOR",PR!$R659,IF(H661="EUMATT",PR!$S659,IF(H661="FIDSON",PR!$T659,IF(H661="FCGLOBAL",PR!$U659,IF(H661="GENEITH",PR!$V659,IF(H661="GINOS",PR!$W659,IF(H661="GSK",PR!$X659,IF(H661="GLOBORG",PR!$Y659,IF(H661="GOODNEWS",PR!$Z659,IF(H661="GREENLIFE",PR!$AA659,IF(H661="HLINE",PR!$AB659,IF(H661="ROTECH",PR!$AC659,IF(H661="ISN",PR!$AD659,IF(H661="JAWA",PR!$AE659,IF(H661="LAYO",PR!$AF659,IF(H661="LEADWAY",PR!$AG659,IF(H661="LHV",PR!$AH659,IF(H661="MANOLA",PR!$AI659,IF(H661="MARCSON",PR!$AJ659,IF(H661="M&amp;B",PR!$AK659,IF(H661="MTRUST",PR!$AL659,IF(H661="MWORLD",PR!$AM659,IF(H661="MEGA",PR!$AN659,IF(H661="MICRONOVA",PR!$AO659,IF(H661="MFLASH",PR!$AP659,IF(H661="MORISON",PR!$AQ659,IF(H661="NEMEL",PR!$AR659,IF(H661="NHP",PR!$AS659,IF(H661="NHC",PR!$AT659,IF(H661="OLEAF",PR!$AU659,IF(H661="OCULUS",PR!$AV659,IF(H661="PACIFIC",PR!$AW659,IF(H661="PHAMATEX",PR!$AX659,IF(H661="PETHICS",PR!$AY659,IF(H661="PHILIPS",PR!$AZ659,IF(H661="RANBAXY",PR!$BA659,IF(H661="REALS",PR!$BB659,IF(H661="ROYAL",PR!$BC659,IF(H661="SAM",PR!$BD659,IF(H661="SEAGREEN",PR!$BE659,IF(H661="SKG",PR!$BF659,IF(H661="TAH",PR!$BG659,IF(H661="TAYLEK",PR!$BH659,IF(H661="TEMITA",PR!$BI659,IF(H661="THL",PR!$BJ659,IF(H661="UBASTIC",PR!$BK659,IF(H661="UNION",PR!$BL659,IF(H661="UNIQUE",PR!$BM659,IF(H661="VIXA",PR!$BN659,IF(H661="WWCV",PR!$BO659,IF(H661="ZOLON",PR!$BP659,"-"))))))))))))))))))))))))))))))))))))))))))))))))))))))))))))))))</f>
        <v>1800</v>
      </c>
      <c r="H661" s="102" t="str">
        <f>EV!M831</f>
        <v>COSMADE</v>
      </c>
      <c r="I661" s="108">
        <f>IF(J661="ALPHA",PR!$E659,IF(J661="ASSENE",PR!$F659,IF(J661="BIOFEM",PR!$G659,IF(J661="BIOMED",PR!$H659,IF(J661="CHI",PR!$I659,IF(J661="CLARION",PR!$J659,IF(J661="CODIX",PR!$K659,IF(J661="COSMADE",PR!$L659,IF(J661="SANCON",PR!$M659,IF(J661="DEVON",PR!$N659,IF(J661="DORTEMAG",PR!$O659,IF(J661="DGF",PR!$P659,IF(J661="DYNAMIC",PR!$Q659,IF(J661="EMZOR",PR!$R659,IF(J661="EUMATT",PR!$S659,IF(J661="FIDSON",PR!$T659,IF(J661="FCGLOBAL",PR!$U659,IF(J661="GENEITH",PR!$V659,IF(J661="GINOS",PR!$W659,IF(J661="GSK",PR!$X659,IF(J661="GLOBORG",PR!$Y659,IF(J661="GOODNEWS",PR!$Z659,IF(J661="GREENLIFE",PR!$AA659,IF(J661="HLINE",PR!$AB659,IF(J661="ROTECH",PR!$AC659,IF(J661="ISN",PR!$AD659,IF(J661="JAWA",PR!$AE659,IF(J661="LAYO",PR!$AF659,IF(J661="LEADWAY",PR!$AG659,IF(J661="LHV",PR!$AH659,IF(J661="MANOLA",PR!$AI659,IF(J661="MARCSON",PR!$AJ659,IF(J661="M&amp;B",PR!$AK659,IF(J661="MTRUST",PR!$AL659,IF(J661="MWORLD",PR!$AM659,IF(J661="MEGA",PR!$AN659,IF(J661="MICRONOVA",PR!$AO659,IF(J661="MFLASH",PR!$AP659,IF(J661="MORISON",PR!$AQ659,IF(J661="NEMEL",PR!$AR659,IF(J661="NHP",PR!$AS659,IF(J661="NHC",PR!$AT659,IF(J661="OLEAF",PR!$AU659,IF(J661="OCULUS",PR!$AV659,IF(J661="PACIFIC",PR!$AW659,IF(J661="PHAMATEX",PR!$AX659,IF(J661="PETHICS",PR!$AY659,IF(J661="PHILIPS",PR!$AZ659,IF(J661="RANBAXY",PR!$BA659,IF(J661="REALS",PR!$BB659,IF(J661="ROYAL",PR!$BC659,IF(J661="SAM",PR!$BD659,IF(J661="SEAGREEN",PR!$BE659,IF(J661="SKG",PR!$BF659,IF(J661="TAH",PR!$BG659,IF(J661="TAYLEK",PR!$BH659,IF(J661="TEMITA",PR!$BI659,IF(J661="THL",PR!$BJ659,IF(J661="UBASTIC",PR!$BK659,IF(J661="UNION",PR!$BL659,IF(J661="UNIQUE",PR!$BM659,IF(J661="VIXA",PR!$BN659,IF(J661="WWCV",PR!$BO659,IF(J661="ZOLON",PR!$BP659,"-"))))))))))))))))))))))))))))))))))))))))))))))))))))))))))))))))</f>
        <v>19000</v>
      </c>
      <c r="J661" s="102" t="str">
        <f>EV!N831</f>
        <v>SANCON</v>
      </c>
      <c r="K661" s="433" t="s">
        <v>821</v>
      </c>
      <c r="L661" s="183">
        <f>IF(K661&gt;0,IF(K661="ALPHA",PR!$E659,IF(K661="ASSENE",PR!$F659,IF(K661="BIOFEM",PR!$G659,IF(K661="BIOMED",PR!$H659,IF(K661="CHI",PR!$I659,IF(K661="CLARION",PR!$J659,IF(K661="CODIX",PR!$K659,IF(K661="COSMADE",PR!$L659,IF(K661="SANCON",PR!$M659,IF(K661="DEVON",PR!$N659,IF(K661="DORTEMAG",PR!$O659,IF(K661="DGF",PR!$P659,IF(K661="DYNAMIC",PR!$Q659,IF(K661="EMZOR",PR!$R659,IF(K661="EUMATT",PR!$S659,IF(K661="FIDSON",PR!$T659,IF(K661="FCGLOBAL",PR!$U659,IF(K661="GENEITH",PR!$V659,IF(K661="GINOS",PR!$W659,IF(K661="GSK",PR!$X659,IF(K661="GLOBORG",PR!$Y659,IF(K661="GOODNEWS",PR!$Z659,IF(K661="GREENLIFE",PR!$AA659,IF(K661="HLINE",PR!$AB659,IF(K661="ROTECH",PR!$AC659,IF(K661="ISN",PR!$AD659,IF(K661="JAWA",PR!$AE659,IF(K661="LAYO",PR!$AF659,IF(K661="LEADWAY",PR!$AG659,IF(K661="LHV",PR!$AH659,IF(K661="MANOLA",PR!$AI659,IF(K661="MARCSON",PR!$AJ659,IF(K661="M&amp;B",PR!$AK659,IF(K661="MTRUST",PR!$AL659,IF(K661="MWORLD",PR!$AM659,IF(K661="MEGA",PR!$AN659,IF(K661="MICRONOVA",PR!$AO659,IF(K661="MFLASH",PR!$AP659,IF(K661="MORISON",PR!$AQ659,IF(K661="NEMEL",PR!$AR659,IF(K661="NHP",PR!$AS659,IF(K661="NHC",PR!$AT659,IF(K661="OLEAF",PR!$AU659,IF(K661="OCULUS",PR!$AV659,IF(K661="PACIFIC",PR!$AW659,IF(K661="PHAMATEX",PR!$AX659,IF(K661="PETHICS",PR!$AY659,IF(K661="PHILIPS",PR!$AZ659,IF(K661="RANBAXY",PR!$BA659,IF(K661="REALS",PR!$BB659,IF(K661="ROYAL",PR!$BC659,IF(K661="SAM",PR!$BD659,IF(K661="SEAGREEN",PR!$BE659,IF(K661="SKG",PR!$BF659,IF(K661="TAH",PR!$BG659,IF(K661="TAYLEK",PR!$BH659,IF(K661="TEMITA",PR!$BI659,IF(K661="THL",PR!$BJ659,IF(K661="UBASTIC",PR!$BK659,IF(K661="UNION",PR!$BL659,IF(K661="UNIQUE",PR!$BM659,IF(K661="VIXA",PR!$BN659,IF(K661="WWCV",PR!$BO659,IF(K661="ZOLON",PR!$BP659,"-")))))))))))))))))))))))))))))))))))))))))))))))))))))))))))))))))</f>
        <v>1600</v>
      </c>
    </row>
    <row r="662" spans="1:12" ht="18.75" x14ac:dyDescent="0.3">
      <c r="A662" s="430">
        <f>PR!A660</f>
        <v>598</v>
      </c>
      <c r="B662" s="15" t="str">
        <f>PR!B660</f>
        <v>FOLLEY CATHETER SIZE 18"</v>
      </c>
      <c r="C662" s="113">
        <f>PR!D660</f>
        <v>10</v>
      </c>
      <c r="D662" s="113">
        <f>PR!C660</f>
        <v>200</v>
      </c>
      <c r="E662" s="108">
        <f>IF(F662="ALPHA",PR!$E660,IF(F662="ASSENE",PR!$F660,IF(F662="BIOFEM",PR!$G660,IF(F662="BIOMED",PR!$H660,IF(F662="CHI",PR!$I660,IF(F662="CLARION",PR!$J660,IF(F662="CODIX",PR!$K660,IF(F662="COSMADE",PR!$L660,IF(F662="SANCON",PR!$M660,IF(F662="DEVON",PR!$N660,IF(F662="DORTEMAG",PR!$O660,IF(F662="DGF",PR!$P660,IF(F662="DYNAMIC",PR!$Q660,IF(F662="EMZOR",PR!$R660,IF(F662="EUMATT",PR!$S660,IF(F662="FIDSON",PR!$T660,IF(F662="FCGLOBAL",PR!$U660,IF(F662="GENEITH",PR!$V660,IF(F662="GINOS",PR!$W660,IF(F662="GSK",PR!$X660,IF(F662="GLOBORG",PR!$Y660,IF(F662="GOODNEWS",PR!$Z660,IF(F662="GREENLIFE",PR!$AA660,IF(F662="HLINE",PR!$AB660,IF(F662="ROTECH",PR!$AC660,IF(F662="ISN",PR!$AD660,IF(F662="JAWA",PR!$AE660,IF(F662="LAYO",PR!$AF660,IF(F662="LEADWAY",PR!$AG660,IF(F662="LHV",PR!$AH660,IF(F662="MANOLA",PR!$AI660,IF(F662="MARCSON",PR!$AJ660,IF(F662="M&amp;B",PR!$AK660,IF(F662="MTRUST",PR!$AL660,IF(F662="MWORLD",PR!$AM660,IF(F662="MEGA",PR!$AN660,IF(F662="MICRONOVA",PR!$AO660,IF(F662="MFLASH",PR!$AP660,IF(F662="MORISON",PR!$AQ660,IF(F662="NEMEL",PR!$AR660,IF(F662="NHP",PR!$AS660,IF(F662="NHC",PR!$AT660,IF(F662="OLEAF",PR!$AU660,IF(F662="OCULUS",PR!$AV660,IF(F662="PACIFIC",PR!$AW660,IF(F662="PHAMATEX",PR!$AX660,IF(F662="PETHICS",PR!$AY660,IF(F662="PHILIPS",PR!$AZ660,IF(F662="RANBAXY",PR!$BA660,IF(F662="REALS",PR!$BB660,IF(F662="ROYAL",PR!$BC660,IF(F662="SAM",PR!$BD660,IF(F662="SEAGREEN",PR!$BE660,IF(F662="SKG",PR!$BF660,IF(F662="TAH",PR!$BG660,IF(F662="TAYLEK",PR!$BH660,IF(F662="TEMITA",PR!$BI660,IF(F662="THL",PR!$BJ660,IF(F662="UBASTIC",PR!$BK660,IF(F662="UNION",PR!$BL660,IF(F662="UNIQUE",PR!$BM660,IF(F662="VIXA",PR!$BN660,IF(F662="WWCV",PR!$BO660,IF(F662="ZOLON",PR!$BP660,"-"))))))))))))))))))))))))))))))))))))))))))))))))))))))))))))))))</f>
        <v>1600</v>
      </c>
      <c r="F662" s="102" t="str">
        <f>EV!L832</f>
        <v>EUMATT</v>
      </c>
      <c r="G662" s="108">
        <f>IF(H662="ALPHA",PR!$E660,IF(H662="ASSENE",PR!$F660,IF(H662="BIOFEM",PR!$G660,IF(H662="BIOMED",PR!$H660,IF(H662="CHI",PR!$I660,IF(H662="CLARION",PR!$J660,IF(H662="CODIX",PR!$K660,IF(H662="COSMADE",PR!$L660,IF(H662="SANCON",PR!$M660,IF(H662="DEVON",PR!$N660,IF(H662="DORTEMAG",PR!$O660,IF(H662="DGF",PR!$P660,IF(H662="DYNAMIC",PR!$Q660,IF(H662="EMZOR",PR!$R660,IF(H662="EUMATT",PR!$S660,IF(H662="FIDSON",PR!$T660,IF(H662="FCGLOBAL",PR!$U660,IF(H662="GENEITH",PR!$V660,IF(H662="GINOS",PR!$W660,IF(H662="GSK",PR!$X660,IF(H662="GLOBORG",PR!$Y660,IF(H662="GOODNEWS",PR!$Z660,IF(H662="GREENLIFE",PR!$AA660,IF(H662="HLINE",PR!$AB660,IF(H662="ROTECH",PR!$AC660,IF(H662="ISN",PR!$AD660,IF(H662="JAWA",PR!$AE660,IF(H662="LAYO",PR!$AF660,IF(H662="LEADWAY",PR!$AG660,IF(H662="LHV",PR!$AH660,IF(H662="MANOLA",PR!$AI660,IF(H662="MARCSON",PR!$AJ660,IF(H662="M&amp;B",PR!$AK660,IF(H662="MTRUST",PR!$AL660,IF(H662="MWORLD",PR!$AM660,IF(H662="MEGA",PR!$AN660,IF(H662="MICRONOVA",PR!$AO660,IF(H662="MFLASH",PR!$AP660,IF(H662="MORISON",PR!$AQ660,IF(H662="NEMEL",PR!$AR660,IF(H662="NHP",PR!$AS660,IF(H662="NHC",PR!$AT660,IF(H662="OLEAF",PR!$AU660,IF(H662="OCULUS",PR!$AV660,IF(H662="PACIFIC",PR!$AW660,IF(H662="PHAMATEX",PR!$AX660,IF(H662="PETHICS",PR!$AY660,IF(H662="PHILIPS",PR!$AZ660,IF(H662="RANBAXY",PR!$BA660,IF(H662="REALS",PR!$BB660,IF(H662="ROYAL",PR!$BC660,IF(H662="SAM",PR!$BD660,IF(H662="SEAGREEN",PR!$BE660,IF(H662="SKG",PR!$BF660,IF(H662="TAH",PR!$BG660,IF(H662="TAYLEK",PR!$BH660,IF(H662="TEMITA",PR!$BI660,IF(H662="THL",PR!$BJ660,IF(H662="UBASTIC",PR!$BK660,IF(H662="UNION",PR!$BL660,IF(H662="UNIQUE",PR!$BM660,IF(H662="VIXA",PR!$BN660,IF(H662="WWCV",PR!$BO660,IF(H662="ZOLON",PR!$BP660,"-"))))))))))))))))))))))))))))))))))))))))))))))))))))))))))))))))</f>
        <v>1800</v>
      </c>
      <c r="H662" s="102" t="str">
        <f>EV!M832</f>
        <v>COSMADE</v>
      </c>
      <c r="I662" s="108">
        <f>IF(J662="ALPHA",PR!$E660,IF(J662="ASSENE",PR!$F660,IF(J662="BIOFEM",PR!$G660,IF(J662="BIOMED",PR!$H660,IF(J662="CHI",PR!$I660,IF(J662="CLARION",PR!$J660,IF(J662="CODIX",PR!$K660,IF(J662="COSMADE",PR!$L660,IF(J662="SANCON",PR!$M660,IF(J662="DEVON",PR!$N660,IF(J662="DORTEMAG",PR!$O660,IF(J662="DGF",PR!$P660,IF(J662="DYNAMIC",PR!$Q660,IF(J662="EMZOR",PR!$R660,IF(J662="EUMATT",PR!$S660,IF(J662="FIDSON",PR!$T660,IF(J662="FCGLOBAL",PR!$U660,IF(J662="GENEITH",PR!$V660,IF(J662="GINOS",PR!$W660,IF(J662="GSK",PR!$X660,IF(J662="GLOBORG",PR!$Y660,IF(J662="GOODNEWS",PR!$Z660,IF(J662="GREENLIFE",PR!$AA660,IF(J662="HLINE",PR!$AB660,IF(J662="ROTECH",PR!$AC660,IF(J662="ISN",PR!$AD660,IF(J662="JAWA",PR!$AE660,IF(J662="LAYO",PR!$AF660,IF(J662="LEADWAY",PR!$AG660,IF(J662="LHV",PR!$AH660,IF(J662="MANOLA",PR!$AI660,IF(J662="MARCSON",PR!$AJ660,IF(J662="M&amp;B",PR!$AK660,IF(J662="MTRUST",PR!$AL660,IF(J662="MWORLD",PR!$AM660,IF(J662="MEGA",PR!$AN660,IF(J662="MICRONOVA",PR!$AO660,IF(J662="MFLASH",PR!$AP660,IF(J662="MORISON",PR!$AQ660,IF(J662="NEMEL",PR!$AR660,IF(J662="NHP",PR!$AS660,IF(J662="NHC",PR!$AT660,IF(J662="OLEAF",PR!$AU660,IF(J662="OCULUS",PR!$AV660,IF(J662="PACIFIC",PR!$AW660,IF(J662="PHAMATEX",PR!$AX660,IF(J662="PETHICS",PR!$AY660,IF(J662="PHILIPS",PR!$AZ660,IF(J662="RANBAXY",PR!$BA660,IF(J662="REALS",PR!$BB660,IF(J662="ROYAL",PR!$BC660,IF(J662="SAM",PR!$BD660,IF(J662="SEAGREEN",PR!$BE660,IF(J662="SKG",PR!$BF660,IF(J662="TAH",PR!$BG660,IF(J662="TAYLEK",PR!$BH660,IF(J662="TEMITA",PR!$BI660,IF(J662="THL",PR!$BJ660,IF(J662="UBASTIC",PR!$BK660,IF(J662="UNION",PR!$BL660,IF(J662="UNIQUE",PR!$BM660,IF(J662="VIXA",PR!$BN660,IF(J662="WWCV",PR!$BO660,IF(J662="ZOLON",PR!$BP660,"-"))))))))))))))))))))))))))))))))))))))))))))))))))))))))))))))))</f>
        <v>19000</v>
      </c>
      <c r="J662" s="102" t="str">
        <f>EV!N832</f>
        <v>SANCON</v>
      </c>
      <c r="K662" s="433" t="s">
        <v>821</v>
      </c>
      <c r="L662" s="183">
        <f>IF(K662&gt;0,IF(K662="ALPHA",PR!$E660,IF(K662="ASSENE",PR!$F660,IF(K662="BIOFEM",PR!$G660,IF(K662="BIOMED",PR!$H660,IF(K662="CHI",PR!$I660,IF(K662="CLARION",PR!$J660,IF(K662="CODIX",PR!$K660,IF(K662="COSMADE",PR!$L660,IF(K662="SANCON",PR!$M660,IF(K662="DEVON",PR!$N660,IF(K662="DORTEMAG",PR!$O660,IF(K662="DGF",PR!$P660,IF(K662="DYNAMIC",PR!$Q660,IF(K662="EMZOR",PR!$R660,IF(K662="EUMATT",PR!$S660,IF(K662="FIDSON",PR!$T660,IF(K662="FCGLOBAL",PR!$U660,IF(K662="GENEITH",PR!$V660,IF(K662="GINOS",PR!$W660,IF(K662="GSK",PR!$X660,IF(K662="GLOBORG",PR!$Y660,IF(K662="GOODNEWS",PR!$Z660,IF(K662="GREENLIFE",PR!$AA660,IF(K662="HLINE",PR!$AB660,IF(K662="ROTECH",PR!$AC660,IF(K662="ISN",PR!$AD660,IF(K662="JAWA",PR!$AE660,IF(K662="LAYO",PR!$AF660,IF(K662="LEADWAY",PR!$AG660,IF(K662="LHV",PR!$AH660,IF(K662="MANOLA",PR!$AI660,IF(K662="MARCSON",PR!$AJ660,IF(K662="M&amp;B",PR!$AK660,IF(K662="MTRUST",PR!$AL660,IF(K662="MWORLD",PR!$AM660,IF(K662="MEGA",PR!$AN660,IF(K662="MICRONOVA",PR!$AO660,IF(K662="MFLASH",PR!$AP660,IF(K662="MORISON",PR!$AQ660,IF(K662="NEMEL",PR!$AR660,IF(K662="NHP",PR!$AS660,IF(K662="NHC",PR!$AT660,IF(K662="OLEAF",PR!$AU660,IF(K662="OCULUS",PR!$AV660,IF(K662="PACIFIC",PR!$AW660,IF(K662="PHAMATEX",PR!$AX660,IF(K662="PETHICS",PR!$AY660,IF(K662="PHILIPS",PR!$AZ660,IF(K662="RANBAXY",PR!$BA660,IF(K662="REALS",PR!$BB660,IF(K662="ROYAL",PR!$BC660,IF(K662="SAM",PR!$BD660,IF(K662="SEAGREEN",PR!$BE660,IF(K662="SKG",PR!$BF660,IF(K662="TAH",PR!$BG660,IF(K662="TAYLEK",PR!$BH660,IF(K662="TEMITA",PR!$BI660,IF(K662="THL",PR!$BJ660,IF(K662="UBASTIC",PR!$BK660,IF(K662="UNION",PR!$BL660,IF(K662="UNIQUE",PR!$BM660,IF(K662="VIXA",PR!$BN660,IF(K662="WWCV",PR!$BO660,IF(K662="ZOLON",PR!$BP660,"-")))))))))))))))))))))))))))))))))))))))))))))))))))))))))))))))))</f>
        <v>1600</v>
      </c>
    </row>
    <row r="663" spans="1:12" ht="18.75" x14ac:dyDescent="0.3">
      <c r="A663" s="430">
        <f>PR!A661</f>
        <v>599</v>
      </c>
      <c r="B663" s="15" t="str">
        <f>PR!B661</f>
        <v>FOLLEY CATHETER SIZE 20"</v>
      </c>
      <c r="C663" s="113">
        <f>PR!D661</f>
        <v>10</v>
      </c>
      <c r="D663" s="113">
        <f>PR!C661</f>
        <v>20</v>
      </c>
      <c r="E663" s="108">
        <f>IF(F663="ALPHA",PR!$E661,IF(F663="ASSENE",PR!$F661,IF(F663="BIOFEM",PR!$G661,IF(F663="BIOMED",PR!$H661,IF(F663="CHI",PR!$I661,IF(F663="CLARION",PR!$J661,IF(F663="CODIX",PR!$K661,IF(F663="COSMADE",PR!$L661,IF(F663="SANCON",PR!$M661,IF(F663="DEVON",PR!$N661,IF(F663="DORTEMAG",PR!$O661,IF(F663="DGF",PR!$P661,IF(F663="DYNAMIC",PR!$Q661,IF(F663="EMZOR",PR!$R661,IF(F663="EUMATT",PR!$S661,IF(F663="FIDSON",PR!$T661,IF(F663="FCGLOBAL",PR!$U661,IF(F663="GENEITH",PR!$V661,IF(F663="GINOS",PR!$W661,IF(F663="GSK",PR!$X661,IF(F663="GLOBORG",PR!$Y661,IF(F663="GOODNEWS",PR!$Z661,IF(F663="GREENLIFE",PR!$AA661,IF(F663="HLINE",PR!$AB661,IF(F663="ROTECH",PR!$AC661,IF(F663="ISN",PR!$AD661,IF(F663="JAWA",PR!$AE661,IF(F663="LAYO",PR!$AF661,IF(F663="LEADWAY",PR!$AG661,IF(F663="LHV",PR!$AH661,IF(F663="MANOLA",PR!$AI661,IF(F663="MARCSON",PR!$AJ661,IF(F663="M&amp;B",PR!$AK661,IF(F663="MTRUST",PR!$AL661,IF(F663="MWORLD",PR!$AM661,IF(F663="MEGA",PR!$AN661,IF(F663="MICRONOVA",PR!$AO661,IF(F663="MFLASH",PR!$AP661,IF(F663="MORISON",PR!$AQ661,IF(F663="NEMEL",PR!$AR661,IF(F663="NHP",PR!$AS661,IF(F663="NHC",PR!$AT661,IF(F663="OLEAF",PR!$AU661,IF(F663="OCULUS",PR!$AV661,IF(F663="PACIFIC",PR!$AW661,IF(F663="PHAMATEX",PR!$AX661,IF(F663="PETHICS",PR!$AY661,IF(F663="PHILIPS",PR!$AZ661,IF(F663="RANBAXY",PR!$BA661,IF(F663="REALS",PR!$BB661,IF(F663="ROYAL",PR!$BC661,IF(F663="SAM",PR!$BD661,IF(F663="SEAGREEN",PR!$BE661,IF(F663="SKG",PR!$BF661,IF(F663="TAH",PR!$BG661,IF(F663="TAYLEK",PR!$BH661,IF(F663="TEMITA",PR!$BI661,IF(F663="THL",PR!$BJ661,IF(F663="UBASTIC",PR!$BK661,IF(F663="UNION",PR!$BL661,IF(F663="UNIQUE",PR!$BM661,IF(F663="VIXA",PR!$BN661,IF(F663="WWCV",PR!$BO661,IF(F663="ZOLON",PR!$BP661,"-"))))))))))))))))))))))))))))))))))))))))))))))))))))))))))))))))</f>
        <v>1800</v>
      </c>
      <c r="F663" s="102" t="str">
        <f>EV!L833</f>
        <v>COSMADE</v>
      </c>
      <c r="G663" s="108">
        <f>IF(H663="ALPHA",PR!$E661,IF(H663="ASSENE",PR!$F661,IF(H663="BIOFEM",PR!$G661,IF(H663="BIOMED",PR!$H661,IF(H663="CHI",PR!$I661,IF(H663="CLARION",PR!$J661,IF(H663="CODIX",PR!$K661,IF(H663="COSMADE",PR!$L661,IF(H663="SANCON",PR!$M661,IF(H663="DEVON",PR!$N661,IF(H663="DORTEMAG",PR!$O661,IF(H663="DGF",PR!$P661,IF(H663="DYNAMIC",PR!$Q661,IF(H663="EMZOR",PR!$R661,IF(H663="EUMATT",PR!$S661,IF(H663="FIDSON",PR!$T661,IF(H663="FCGLOBAL",PR!$U661,IF(H663="GENEITH",PR!$V661,IF(H663="GINOS",PR!$W661,IF(H663="GSK",PR!$X661,IF(H663="GLOBORG",PR!$Y661,IF(H663="GOODNEWS",PR!$Z661,IF(H663="GREENLIFE",PR!$AA661,IF(H663="HLINE",PR!$AB661,IF(H663="ROTECH",PR!$AC661,IF(H663="ISN",PR!$AD661,IF(H663="JAWA",PR!$AE661,IF(H663="LAYO",PR!$AF661,IF(H663="LEADWAY",PR!$AG661,IF(H663="LHV",PR!$AH661,IF(H663="MANOLA",PR!$AI661,IF(H663="MARCSON",PR!$AJ661,IF(H663="M&amp;B",PR!$AK661,IF(H663="MTRUST",PR!$AL661,IF(H663="MWORLD",PR!$AM661,IF(H663="MEGA",PR!$AN661,IF(H663="MICRONOVA",PR!$AO661,IF(H663="MFLASH",PR!$AP661,IF(H663="MORISON",PR!$AQ661,IF(H663="NEMEL",PR!$AR661,IF(H663="NHP",PR!$AS661,IF(H663="NHC",PR!$AT661,IF(H663="OLEAF",PR!$AU661,IF(H663="OCULUS",PR!$AV661,IF(H663="PACIFIC",PR!$AW661,IF(H663="PHAMATEX",PR!$AX661,IF(H663="PETHICS",PR!$AY661,IF(H663="PHILIPS",PR!$AZ661,IF(H663="RANBAXY",PR!$BA661,IF(H663="REALS",PR!$BB661,IF(H663="ROYAL",PR!$BC661,IF(H663="SAM",PR!$BD661,IF(H663="SEAGREEN",PR!$BE661,IF(H663="SKG",PR!$BF661,IF(H663="TAH",PR!$BG661,IF(H663="TAYLEK",PR!$BH661,IF(H663="TEMITA",PR!$BI661,IF(H663="THL",PR!$BJ661,IF(H663="UBASTIC",PR!$BK661,IF(H663="UNION",PR!$BL661,IF(H663="UNIQUE",PR!$BM661,IF(H663="VIXA",PR!$BN661,IF(H663="WWCV",PR!$BO661,IF(H663="ZOLON",PR!$BP661,"-"))))))))))))))))))))))))))))))))))))))))))))))))))))))))))))))))</f>
        <v>2000</v>
      </c>
      <c r="H663" s="102" t="str">
        <f>EV!M833</f>
        <v>EUMATT</v>
      </c>
      <c r="I663" s="108">
        <f>IF(J663="ALPHA",PR!$E661,IF(J663="ASSENE",PR!$F661,IF(J663="BIOFEM",PR!$G661,IF(J663="BIOMED",PR!$H661,IF(J663="CHI",PR!$I661,IF(J663="CLARION",PR!$J661,IF(J663="CODIX",PR!$K661,IF(J663="COSMADE",PR!$L661,IF(J663="SANCON",PR!$M661,IF(J663="DEVON",PR!$N661,IF(J663="DORTEMAG",PR!$O661,IF(J663="DGF",PR!$P661,IF(J663="DYNAMIC",PR!$Q661,IF(J663="EMZOR",PR!$R661,IF(J663="EUMATT",PR!$S661,IF(J663="FIDSON",PR!$T661,IF(J663="FCGLOBAL",PR!$U661,IF(J663="GENEITH",PR!$V661,IF(J663="GINOS",PR!$W661,IF(J663="GSK",PR!$X661,IF(J663="GLOBORG",PR!$Y661,IF(J663="GOODNEWS",PR!$Z661,IF(J663="GREENLIFE",PR!$AA661,IF(J663="HLINE",PR!$AB661,IF(J663="ROTECH",PR!$AC661,IF(J663="ISN",PR!$AD661,IF(J663="JAWA",PR!$AE661,IF(J663="LAYO",PR!$AF661,IF(J663="LEADWAY",PR!$AG661,IF(J663="LHV",PR!$AH661,IF(J663="MANOLA",PR!$AI661,IF(J663="MARCSON",PR!$AJ661,IF(J663="M&amp;B",PR!$AK661,IF(J663="MTRUST",PR!$AL661,IF(J663="MWORLD",PR!$AM661,IF(J663="MEGA",PR!$AN661,IF(J663="MICRONOVA",PR!$AO661,IF(J663="MFLASH",PR!$AP661,IF(J663="MORISON",PR!$AQ661,IF(J663="NEMEL",PR!$AR661,IF(J663="NHP",PR!$AS661,IF(J663="NHC",PR!$AT661,IF(J663="OLEAF",PR!$AU661,IF(J663="OCULUS",PR!$AV661,IF(J663="PACIFIC",PR!$AW661,IF(J663="PHAMATEX",PR!$AX661,IF(J663="PETHICS",PR!$AY661,IF(J663="PHILIPS",PR!$AZ661,IF(J663="RANBAXY",PR!$BA661,IF(J663="REALS",PR!$BB661,IF(J663="ROYAL",PR!$BC661,IF(J663="SAM",PR!$BD661,IF(J663="SEAGREEN",PR!$BE661,IF(J663="SKG",PR!$BF661,IF(J663="TAH",PR!$BG661,IF(J663="TAYLEK",PR!$BH661,IF(J663="TEMITA",PR!$BI661,IF(J663="THL",PR!$BJ661,IF(J663="UBASTIC",PR!$BK661,IF(J663="UNION",PR!$BL661,IF(J663="UNIQUE",PR!$BM661,IF(J663="VIXA",PR!$BN661,IF(J663="WWCV",PR!$BO661,IF(J663="ZOLON",PR!$BP661,"-"))))))))))))))))))))))))))))))))))))))))))))))))))))))))))))))))</f>
        <v>19000</v>
      </c>
      <c r="J663" s="102" t="str">
        <f>EV!N833</f>
        <v>SANCON</v>
      </c>
      <c r="K663" s="433" t="s">
        <v>1452</v>
      </c>
      <c r="L663" s="183">
        <f>IF(K663&gt;0,IF(K663="ALPHA",PR!$E661,IF(K663="ASSENE",PR!$F661,IF(K663="BIOFEM",PR!$G661,IF(K663="BIOMED",PR!$H661,IF(K663="CHI",PR!$I661,IF(K663="CLARION",PR!$J661,IF(K663="CODIX",PR!$K661,IF(K663="COSMADE",PR!$L661,IF(K663="SANCON",PR!$M661,IF(K663="DEVON",PR!$N661,IF(K663="DORTEMAG",PR!$O661,IF(K663="DGF",PR!$P661,IF(K663="DYNAMIC",PR!$Q661,IF(K663="EMZOR",PR!$R661,IF(K663="EUMATT",PR!$S661,IF(K663="FIDSON",PR!$T661,IF(K663="FCGLOBAL",PR!$U661,IF(K663="GENEITH",PR!$V661,IF(K663="GINOS",PR!$W661,IF(K663="GSK",PR!$X661,IF(K663="GLOBORG",PR!$Y661,IF(K663="GOODNEWS",PR!$Z661,IF(K663="GREENLIFE",PR!$AA661,IF(K663="HLINE",PR!$AB661,IF(K663="ROTECH",PR!$AC661,IF(K663="ISN",PR!$AD661,IF(K663="JAWA",PR!$AE661,IF(K663="LAYO",PR!$AF661,IF(K663="LEADWAY",PR!$AG661,IF(K663="LHV",PR!$AH661,IF(K663="MANOLA",PR!$AI661,IF(K663="MARCSON",PR!$AJ661,IF(K663="M&amp;B",PR!$AK661,IF(K663="MTRUST",PR!$AL661,IF(K663="MWORLD",PR!$AM661,IF(K663="MEGA",PR!$AN661,IF(K663="MICRONOVA",PR!$AO661,IF(K663="MFLASH",PR!$AP661,IF(K663="MORISON",PR!$AQ661,IF(K663="NEMEL",PR!$AR661,IF(K663="NHP",PR!$AS661,IF(K663="NHC",PR!$AT661,IF(K663="OLEAF",PR!$AU661,IF(K663="OCULUS",PR!$AV661,IF(K663="PACIFIC",PR!$AW661,IF(K663="PHAMATEX",PR!$AX661,IF(K663="PETHICS",PR!$AY661,IF(K663="PHILIPS",PR!$AZ661,IF(K663="RANBAXY",PR!$BA661,IF(K663="REALS",PR!$BB661,IF(K663="ROYAL",PR!$BC661,IF(K663="SAM",PR!$BD661,IF(K663="SEAGREEN",PR!$BE661,IF(K663="SKG",PR!$BF661,IF(K663="TAH",PR!$BG661,IF(K663="TAYLEK",PR!$BH661,IF(K663="TEMITA",PR!$BI661,IF(K663="THL",PR!$BJ661,IF(K663="UBASTIC",PR!$BK661,IF(K663="UNION",PR!$BL661,IF(K663="UNIQUE",PR!$BM661,IF(K663="VIXA",PR!$BN661,IF(K663="WWCV",PR!$BO661,IF(K663="ZOLON",PR!$BP661,"-")))))))))))))))))))))))))))))))))))))))))))))))))))))))))))))))))</f>
        <v>1800</v>
      </c>
    </row>
    <row r="664" spans="1:12" ht="18.75" x14ac:dyDescent="0.3">
      <c r="A664" s="430">
        <f>PR!A662</f>
        <v>600</v>
      </c>
      <c r="B664" s="15" t="str">
        <f>PR!B662</f>
        <v>FOLLEY CATHETER SIZE 22"</v>
      </c>
      <c r="C664" s="113">
        <f>PR!D662</f>
        <v>10</v>
      </c>
      <c r="D664" s="113">
        <f>PR!C662</f>
        <v>22</v>
      </c>
      <c r="E664" s="108">
        <f>IF(F664="ALPHA",PR!$E662,IF(F664="ASSENE",PR!$F662,IF(F664="BIOFEM",PR!$G662,IF(F664="BIOMED",PR!$H662,IF(F664="CHI",PR!$I662,IF(F664="CLARION",PR!$J662,IF(F664="CODIX",PR!$K662,IF(F664="COSMADE",PR!$L662,IF(F664="SANCON",PR!$M662,IF(F664="DEVON",PR!$N662,IF(F664="DORTEMAG",PR!$O662,IF(F664="DGF",PR!$P662,IF(F664="DYNAMIC",PR!$Q662,IF(F664="EMZOR",PR!$R662,IF(F664="EUMATT",PR!$S662,IF(F664="FIDSON",PR!$T662,IF(F664="FCGLOBAL",PR!$U662,IF(F664="GENEITH",PR!$V662,IF(F664="GINOS",PR!$W662,IF(F664="GSK",PR!$X662,IF(F664="GLOBORG",PR!$Y662,IF(F664="GOODNEWS",PR!$Z662,IF(F664="GREENLIFE",PR!$AA662,IF(F664="HLINE",PR!$AB662,IF(F664="ROTECH",PR!$AC662,IF(F664="ISN",PR!$AD662,IF(F664="JAWA",PR!$AE662,IF(F664="LAYO",PR!$AF662,IF(F664="LEADWAY",PR!$AG662,IF(F664="LHV",PR!$AH662,IF(F664="MANOLA",PR!$AI662,IF(F664="MARCSON",PR!$AJ662,IF(F664="M&amp;B",PR!$AK662,IF(F664="MTRUST",PR!$AL662,IF(F664="MWORLD",PR!$AM662,IF(F664="MEGA",PR!$AN662,IF(F664="MICRONOVA",PR!$AO662,IF(F664="MFLASH",PR!$AP662,IF(F664="MORISON",PR!$AQ662,IF(F664="NEMEL",PR!$AR662,IF(F664="NHP",PR!$AS662,IF(F664="NHC",PR!$AT662,IF(F664="OLEAF",PR!$AU662,IF(F664="OCULUS",PR!$AV662,IF(F664="PACIFIC",PR!$AW662,IF(F664="PHAMATEX",PR!$AX662,IF(F664="PETHICS",PR!$AY662,IF(F664="PHILIPS",PR!$AZ662,IF(F664="RANBAXY",PR!$BA662,IF(F664="REALS",PR!$BB662,IF(F664="ROYAL",PR!$BC662,IF(F664="SAM",PR!$BD662,IF(F664="SEAGREEN",PR!$BE662,IF(F664="SKG",PR!$BF662,IF(F664="TAH",PR!$BG662,IF(F664="TAYLEK",PR!$BH662,IF(F664="TEMITA",PR!$BI662,IF(F664="THL",PR!$BJ662,IF(F664="UBASTIC",PR!$BK662,IF(F664="UNION",PR!$BL662,IF(F664="UNIQUE",PR!$BM662,IF(F664="VIXA",PR!$BN662,IF(F664="WWCV",PR!$BO662,IF(F664="ZOLON",PR!$BP662,"-"))))))))))))))))))))))))))))))))))))))))))))))))))))))))))))))))</f>
        <v>1800</v>
      </c>
      <c r="F664" s="102" t="str">
        <f>EV!L834</f>
        <v>COSMADE</v>
      </c>
      <c r="G664" s="108">
        <f>IF(H664="ALPHA",PR!$E662,IF(H664="ASSENE",PR!$F662,IF(H664="BIOFEM",PR!$G662,IF(H664="BIOMED",PR!$H662,IF(H664="CHI",PR!$I662,IF(H664="CLARION",PR!$J662,IF(H664="CODIX",PR!$K662,IF(H664="COSMADE",PR!$L662,IF(H664="SANCON",PR!$M662,IF(H664="DEVON",PR!$N662,IF(H664="DORTEMAG",PR!$O662,IF(H664="DGF",PR!$P662,IF(H664="DYNAMIC",PR!$Q662,IF(H664="EMZOR",PR!$R662,IF(H664="EUMATT",PR!$S662,IF(H664="FIDSON",PR!$T662,IF(H664="FCGLOBAL",PR!$U662,IF(H664="GENEITH",PR!$V662,IF(H664="GINOS",PR!$W662,IF(H664="GSK",PR!$X662,IF(H664="GLOBORG",PR!$Y662,IF(H664="GOODNEWS",PR!$Z662,IF(H664="GREENLIFE",PR!$AA662,IF(H664="HLINE",PR!$AB662,IF(H664="ROTECH",PR!$AC662,IF(H664="ISN",PR!$AD662,IF(H664="JAWA",PR!$AE662,IF(H664="LAYO",PR!$AF662,IF(H664="LEADWAY",PR!$AG662,IF(H664="LHV",PR!$AH662,IF(H664="MANOLA",PR!$AI662,IF(H664="MARCSON",PR!$AJ662,IF(H664="M&amp;B",PR!$AK662,IF(H664="MTRUST",PR!$AL662,IF(H664="MWORLD",PR!$AM662,IF(H664="MEGA",PR!$AN662,IF(H664="MICRONOVA",PR!$AO662,IF(H664="MFLASH",PR!$AP662,IF(H664="MORISON",PR!$AQ662,IF(H664="NEMEL",PR!$AR662,IF(H664="NHP",PR!$AS662,IF(H664="NHC",PR!$AT662,IF(H664="OLEAF",PR!$AU662,IF(H664="OCULUS",PR!$AV662,IF(H664="PACIFIC",PR!$AW662,IF(H664="PHAMATEX",PR!$AX662,IF(H664="PETHICS",PR!$AY662,IF(H664="PHILIPS",PR!$AZ662,IF(H664="RANBAXY",PR!$BA662,IF(H664="REALS",PR!$BB662,IF(H664="ROYAL",PR!$BC662,IF(H664="SAM",PR!$BD662,IF(H664="SEAGREEN",PR!$BE662,IF(H664="SKG",PR!$BF662,IF(H664="TAH",PR!$BG662,IF(H664="TAYLEK",PR!$BH662,IF(H664="TEMITA",PR!$BI662,IF(H664="THL",PR!$BJ662,IF(H664="UBASTIC",PR!$BK662,IF(H664="UNION",PR!$BL662,IF(H664="UNIQUE",PR!$BM662,IF(H664="VIXA",PR!$BN662,IF(H664="WWCV",PR!$BO662,IF(H664="ZOLON",PR!$BP662,"-"))))))))))))))))))))))))))))))))))))))))))))))))))))))))))))))))</f>
        <v>1900</v>
      </c>
      <c r="H664" s="102" t="str">
        <f>EV!M834</f>
        <v>EUMATT</v>
      </c>
      <c r="I664" s="108">
        <f>IF(J664="ALPHA",PR!$E662,IF(J664="ASSENE",PR!$F662,IF(J664="BIOFEM",PR!$G662,IF(J664="BIOMED",PR!$H662,IF(J664="CHI",PR!$I662,IF(J664="CLARION",PR!$J662,IF(J664="CODIX",PR!$K662,IF(J664="COSMADE",PR!$L662,IF(J664="SANCON",PR!$M662,IF(J664="DEVON",PR!$N662,IF(J664="DORTEMAG",PR!$O662,IF(J664="DGF",PR!$P662,IF(J664="DYNAMIC",PR!$Q662,IF(J664="EMZOR",PR!$R662,IF(J664="EUMATT",PR!$S662,IF(J664="FIDSON",PR!$T662,IF(J664="FCGLOBAL",PR!$U662,IF(J664="GENEITH",PR!$V662,IF(J664="GINOS",PR!$W662,IF(J664="GSK",PR!$X662,IF(J664="GLOBORG",PR!$Y662,IF(J664="GOODNEWS",PR!$Z662,IF(J664="GREENLIFE",PR!$AA662,IF(J664="HLINE",PR!$AB662,IF(J664="ROTECH",PR!$AC662,IF(J664="ISN",PR!$AD662,IF(J664="JAWA",PR!$AE662,IF(J664="LAYO",PR!$AF662,IF(J664="LEADWAY",PR!$AG662,IF(J664="LHV",PR!$AH662,IF(J664="MANOLA",PR!$AI662,IF(J664="MARCSON",PR!$AJ662,IF(J664="M&amp;B",PR!$AK662,IF(J664="MTRUST",PR!$AL662,IF(J664="MWORLD",PR!$AM662,IF(J664="MEGA",PR!$AN662,IF(J664="MICRONOVA",PR!$AO662,IF(J664="MFLASH",PR!$AP662,IF(J664="MORISON",PR!$AQ662,IF(J664="NEMEL",PR!$AR662,IF(J664="NHP",PR!$AS662,IF(J664="NHC",PR!$AT662,IF(J664="OLEAF",PR!$AU662,IF(J664="OCULUS",PR!$AV662,IF(J664="PACIFIC",PR!$AW662,IF(J664="PHAMATEX",PR!$AX662,IF(J664="PETHICS",PR!$AY662,IF(J664="PHILIPS",PR!$AZ662,IF(J664="RANBAXY",PR!$BA662,IF(J664="REALS",PR!$BB662,IF(J664="ROYAL",PR!$BC662,IF(J664="SAM",PR!$BD662,IF(J664="SEAGREEN",PR!$BE662,IF(J664="SKG",PR!$BF662,IF(J664="TAH",PR!$BG662,IF(J664="TAYLEK",PR!$BH662,IF(J664="TEMITA",PR!$BI662,IF(J664="THL",PR!$BJ662,IF(J664="UBASTIC",PR!$BK662,IF(J664="UNION",PR!$BL662,IF(J664="UNIQUE",PR!$BM662,IF(J664="VIXA",PR!$BN662,IF(J664="WWCV",PR!$BO662,IF(J664="ZOLON",PR!$BP662,"-"))))))))))))))))))))))))))))))))))))))))))))))))))))))))))))))))</f>
        <v>19000</v>
      </c>
      <c r="J664" s="102" t="str">
        <f>EV!N834</f>
        <v>SANCON</v>
      </c>
      <c r="K664" s="433" t="s">
        <v>1452</v>
      </c>
      <c r="L664" s="183">
        <f>IF(K664&gt;0,IF(K664="ALPHA",PR!$E662,IF(K664="ASSENE",PR!$F662,IF(K664="BIOFEM",PR!$G662,IF(K664="BIOMED",PR!$H662,IF(K664="CHI",PR!$I662,IF(K664="CLARION",PR!$J662,IF(K664="CODIX",PR!$K662,IF(K664="COSMADE",PR!$L662,IF(K664="SANCON",PR!$M662,IF(K664="DEVON",PR!$N662,IF(K664="DORTEMAG",PR!$O662,IF(K664="DGF",PR!$P662,IF(K664="DYNAMIC",PR!$Q662,IF(K664="EMZOR",PR!$R662,IF(K664="EUMATT",PR!$S662,IF(K664="FIDSON",PR!$T662,IF(K664="FCGLOBAL",PR!$U662,IF(K664="GENEITH",PR!$V662,IF(K664="GINOS",PR!$W662,IF(K664="GSK",PR!$X662,IF(K664="GLOBORG",PR!$Y662,IF(K664="GOODNEWS",PR!$Z662,IF(K664="GREENLIFE",PR!$AA662,IF(K664="HLINE",PR!$AB662,IF(K664="ROTECH",PR!$AC662,IF(K664="ISN",PR!$AD662,IF(K664="JAWA",PR!$AE662,IF(K664="LAYO",PR!$AF662,IF(K664="LEADWAY",PR!$AG662,IF(K664="LHV",PR!$AH662,IF(K664="MANOLA",PR!$AI662,IF(K664="MARCSON",PR!$AJ662,IF(K664="M&amp;B",PR!$AK662,IF(K664="MTRUST",PR!$AL662,IF(K664="MWORLD",PR!$AM662,IF(K664="MEGA",PR!$AN662,IF(K664="MICRONOVA",PR!$AO662,IF(K664="MFLASH",PR!$AP662,IF(K664="MORISON",PR!$AQ662,IF(K664="NEMEL",PR!$AR662,IF(K664="NHP",PR!$AS662,IF(K664="NHC",PR!$AT662,IF(K664="OLEAF",PR!$AU662,IF(K664="OCULUS",PR!$AV662,IF(K664="PACIFIC",PR!$AW662,IF(K664="PHAMATEX",PR!$AX662,IF(K664="PETHICS",PR!$AY662,IF(K664="PHILIPS",PR!$AZ662,IF(K664="RANBAXY",PR!$BA662,IF(K664="REALS",PR!$BB662,IF(K664="ROYAL",PR!$BC662,IF(K664="SAM",PR!$BD662,IF(K664="SEAGREEN",PR!$BE662,IF(K664="SKG",PR!$BF662,IF(K664="TAH",PR!$BG662,IF(K664="TAYLEK",PR!$BH662,IF(K664="TEMITA",PR!$BI662,IF(K664="THL",PR!$BJ662,IF(K664="UBASTIC",PR!$BK662,IF(K664="UNION",PR!$BL662,IF(K664="UNIQUE",PR!$BM662,IF(K664="VIXA",PR!$BN662,IF(K664="WWCV",PR!$BO662,IF(K664="ZOLON",PR!$BP662,"-")))))))))))))))))))))))))))))))))))))))))))))))))))))))))))))))))</f>
        <v>1800</v>
      </c>
    </row>
    <row r="665" spans="1:12" ht="18.75" x14ac:dyDescent="0.3">
      <c r="A665" s="430">
        <f>PR!A663</f>
        <v>601</v>
      </c>
      <c r="B665" s="15" t="str">
        <f>PR!B663</f>
        <v>FOLLEY CATHETER SIZE 24"</v>
      </c>
      <c r="C665" s="113">
        <f>PR!D663</f>
        <v>10</v>
      </c>
      <c r="D665" s="113">
        <f>PR!C663</f>
        <v>4</v>
      </c>
      <c r="E665" s="108">
        <f>IF(F665="ALPHA",PR!$E663,IF(F665="ASSENE",PR!$F663,IF(F665="BIOFEM",PR!$G663,IF(F665="BIOMED",PR!$H663,IF(F665="CHI",PR!$I663,IF(F665="CLARION",PR!$J663,IF(F665="CODIX",PR!$K663,IF(F665="COSMADE",PR!$L663,IF(F665="SANCON",PR!$M663,IF(F665="DEVON",PR!$N663,IF(F665="DORTEMAG",PR!$O663,IF(F665="DGF",PR!$P663,IF(F665="DYNAMIC",PR!$Q663,IF(F665="EMZOR",PR!$R663,IF(F665="EUMATT",PR!$S663,IF(F665="FIDSON",PR!$T663,IF(F665="FCGLOBAL",PR!$U663,IF(F665="GENEITH",PR!$V663,IF(F665="GINOS",PR!$W663,IF(F665="GSK",PR!$X663,IF(F665="GLOBORG",PR!$Y663,IF(F665="GOODNEWS",PR!$Z663,IF(F665="GREENLIFE",PR!$AA663,IF(F665="HLINE",PR!$AB663,IF(F665="ROTECH",PR!$AC663,IF(F665="ISN",PR!$AD663,IF(F665="JAWA",PR!$AE663,IF(F665="LAYO",PR!$AF663,IF(F665="LEADWAY",PR!$AG663,IF(F665="LHV",PR!$AH663,IF(F665="MANOLA",PR!$AI663,IF(F665="MARCSON",PR!$AJ663,IF(F665="M&amp;B",PR!$AK663,IF(F665="MTRUST",PR!$AL663,IF(F665="MWORLD",PR!$AM663,IF(F665="MEGA",PR!$AN663,IF(F665="MICRONOVA",PR!$AO663,IF(F665="MFLASH",PR!$AP663,IF(F665="MORISON",PR!$AQ663,IF(F665="NEMEL",PR!$AR663,IF(F665="NHP",PR!$AS663,IF(F665="NHC",PR!$AT663,IF(F665="OLEAF",PR!$AU663,IF(F665="OCULUS",PR!$AV663,IF(F665="PACIFIC",PR!$AW663,IF(F665="PHAMATEX",PR!$AX663,IF(F665="PETHICS",PR!$AY663,IF(F665="PHILIPS",PR!$AZ663,IF(F665="RANBAXY",PR!$BA663,IF(F665="REALS",PR!$BB663,IF(F665="ROYAL",PR!$BC663,IF(F665="SAM",PR!$BD663,IF(F665="SEAGREEN",PR!$BE663,IF(F665="SKG",PR!$BF663,IF(F665="TAH",PR!$BG663,IF(F665="TAYLEK",PR!$BH663,IF(F665="TEMITA",PR!$BI663,IF(F665="THL",PR!$BJ663,IF(F665="UBASTIC",PR!$BK663,IF(F665="UNION",PR!$BL663,IF(F665="UNIQUE",PR!$BM663,IF(F665="VIXA",PR!$BN663,IF(F665="WWCV",PR!$BO663,IF(F665="ZOLON",PR!$BP663,"-"))))))))))))))))))))))))))))))))))))))))))))))))))))))))))))))))</f>
        <v>1800</v>
      </c>
      <c r="F665" s="102" t="str">
        <f>EV!L860</f>
        <v>COSMADE</v>
      </c>
      <c r="G665" s="108">
        <f>IF(H665="ALPHA",PR!$E663,IF(H665="ASSENE",PR!$F663,IF(H665="BIOFEM",PR!$G663,IF(H665="BIOMED",PR!$H663,IF(H665="CHI",PR!$I663,IF(H665="CLARION",PR!$J663,IF(H665="CODIX",PR!$K663,IF(H665="COSMADE",PR!$L663,IF(H665="SANCON",PR!$M663,IF(H665="DEVON",PR!$N663,IF(H665="DORTEMAG",PR!$O663,IF(H665="DGF",PR!$P663,IF(H665="DYNAMIC",PR!$Q663,IF(H665="EMZOR",PR!$R663,IF(H665="EUMATT",PR!$S663,IF(H665="FIDSON",PR!$T663,IF(H665="FCGLOBAL",PR!$U663,IF(H665="GENEITH",PR!$V663,IF(H665="GINOS",PR!$W663,IF(H665="GSK",PR!$X663,IF(H665="GLOBORG",PR!$Y663,IF(H665="GOODNEWS",PR!$Z663,IF(H665="GREENLIFE",PR!$AA663,IF(H665="HLINE",PR!$AB663,IF(H665="ROTECH",PR!$AC663,IF(H665="ISN",PR!$AD663,IF(H665="JAWA",PR!$AE663,IF(H665="LAYO",PR!$AF663,IF(H665="LEADWAY",PR!$AG663,IF(H665="LHV",PR!$AH663,IF(H665="MANOLA",PR!$AI663,IF(H665="MARCSON",PR!$AJ663,IF(H665="M&amp;B",PR!$AK663,IF(H665="MTRUST",PR!$AL663,IF(H665="MWORLD",PR!$AM663,IF(H665="MEGA",PR!$AN663,IF(H665="MICRONOVA",PR!$AO663,IF(H665="MFLASH",PR!$AP663,IF(H665="MORISON",PR!$AQ663,IF(H665="NEMEL",PR!$AR663,IF(H665="NHP",PR!$AS663,IF(H665="NHC",PR!$AT663,IF(H665="OLEAF",PR!$AU663,IF(H665="OCULUS",PR!$AV663,IF(H665="PACIFIC",PR!$AW663,IF(H665="PHAMATEX",PR!$AX663,IF(H665="PETHICS",PR!$AY663,IF(H665="PHILIPS",PR!$AZ663,IF(H665="RANBAXY",PR!$BA663,IF(H665="REALS",PR!$BB663,IF(H665="ROYAL",PR!$BC663,IF(H665="SAM",PR!$BD663,IF(H665="SEAGREEN",PR!$BE663,IF(H665="SKG",PR!$BF663,IF(H665="TAH",PR!$BG663,IF(H665="TAYLEK",PR!$BH663,IF(H665="TEMITA",PR!$BI663,IF(H665="THL",PR!$BJ663,IF(H665="UBASTIC",PR!$BK663,IF(H665="UNION",PR!$BL663,IF(H665="UNIQUE",PR!$BM663,IF(H665="VIXA",PR!$BN663,IF(H665="WWCV",PR!$BO663,IF(H665="ZOLON",PR!$BP663,"-"))))))))))))))))))))))))))))))))))))))))))))))))))))))))))))))))</f>
        <v>1900</v>
      </c>
      <c r="H665" s="102" t="str">
        <f>EV!M860</f>
        <v>EUMATT</v>
      </c>
      <c r="I665" s="108">
        <f>IF(J665="ALPHA",PR!$E663,IF(J665="ASSENE",PR!$F663,IF(J665="BIOFEM",PR!$G663,IF(J665="BIOMED",PR!$H663,IF(J665="CHI",PR!$I663,IF(J665="CLARION",PR!$J663,IF(J665="CODIX",PR!$K663,IF(J665="COSMADE",PR!$L663,IF(J665="SANCON",PR!$M663,IF(J665="DEVON",PR!$N663,IF(J665="DORTEMAG",PR!$O663,IF(J665="DGF",PR!$P663,IF(J665="DYNAMIC",PR!$Q663,IF(J665="EMZOR",PR!$R663,IF(J665="EUMATT",PR!$S663,IF(J665="FIDSON",PR!$T663,IF(J665="FCGLOBAL",PR!$U663,IF(J665="GENEITH",PR!$V663,IF(J665="GINOS",PR!$W663,IF(J665="GSK",PR!$X663,IF(J665="GLOBORG",PR!$Y663,IF(J665="GOODNEWS",PR!$Z663,IF(J665="GREENLIFE",PR!$AA663,IF(J665="HLINE",PR!$AB663,IF(J665="ROTECH",PR!$AC663,IF(J665="ISN",PR!$AD663,IF(J665="JAWA",PR!$AE663,IF(J665="LAYO",PR!$AF663,IF(J665="LEADWAY",PR!$AG663,IF(J665="LHV",PR!$AH663,IF(J665="MANOLA",PR!$AI663,IF(J665="MARCSON",PR!$AJ663,IF(J665="M&amp;B",PR!$AK663,IF(J665="MTRUST",PR!$AL663,IF(J665="MWORLD",PR!$AM663,IF(J665="MEGA",PR!$AN663,IF(J665="MICRONOVA",PR!$AO663,IF(J665="MFLASH",PR!$AP663,IF(J665="MORISON",PR!$AQ663,IF(J665="NEMEL",PR!$AR663,IF(J665="NHP",PR!$AS663,IF(J665="NHC",PR!$AT663,IF(J665="OLEAF",PR!$AU663,IF(J665="OCULUS",PR!$AV663,IF(J665="PACIFIC",PR!$AW663,IF(J665="PHAMATEX",PR!$AX663,IF(J665="PETHICS",PR!$AY663,IF(J665="PHILIPS",PR!$AZ663,IF(J665="RANBAXY",PR!$BA663,IF(J665="REALS",PR!$BB663,IF(J665="ROYAL",PR!$BC663,IF(J665="SAM",PR!$BD663,IF(J665="SEAGREEN",PR!$BE663,IF(J665="SKG",PR!$BF663,IF(J665="TAH",PR!$BG663,IF(J665="TAYLEK",PR!$BH663,IF(J665="TEMITA",PR!$BI663,IF(J665="THL",PR!$BJ663,IF(J665="UBASTIC",PR!$BK663,IF(J665="UNION",PR!$BL663,IF(J665="UNIQUE",PR!$BM663,IF(J665="VIXA",PR!$BN663,IF(J665="WWCV",PR!$BO663,IF(J665="ZOLON",PR!$BP663,"-"))))))))))))))))))))))))))))))))))))))))))))))))))))))))))))))))</f>
        <v>19000</v>
      </c>
      <c r="J665" s="102" t="str">
        <f>EV!N860</f>
        <v>SANCON</v>
      </c>
      <c r="K665" s="433" t="s">
        <v>1452</v>
      </c>
      <c r="L665" s="183">
        <f>IF(K665&gt;0,IF(K665="ALPHA",PR!$E663,IF(K665="ASSENE",PR!$F663,IF(K665="BIOFEM",PR!$G663,IF(K665="BIOMED",PR!$H663,IF(K665="CHI",PR!$I663,IF(K665="CLARION",PR!$J663,IF(K665="CODIX",PR!$K663,IF(K665="COSMADE",PR!$L663,IF(K665="SANCON",PR!$M663,IF(K665="DEVON",PR!$N663,IF(K665="DORTEMAG",PR!$O663,IF(K665="DGF",PR!$P663,IF(K665="DYNAMIC",PR!$Q663,IF(K665="EMZOR",PR!$R663,IF(K665="EUMATT",PR!$S663,IF(K665="FIDSON",PR!$T663,IF(K665="FCGLOBAL",PR!$U663,IF(K665="GENEITH",PR!$V663,IF(K665="GINOS",PR!$W663,IF(K665="GSK",PR!$X663,IF(K665="GLOBORG",PR!$Y663,IF(K665="GOODNEWS",PR!$Z663,IF(K665="GREENLIFE",PR!$AA663,IF(K665="HLINE",PR!$AB663,IF(K665="ROTECH",PR!$AC663,IF(K665="ISN",PR!$AD663,IF(K665="JAWA",PR!$AE663,IF(K665="LAYO",PR!$AF663,IF(K665="LEADWAY",PR!$AG663,IF(K665="LHV",PR!$AH663,IF(K665="MANOLA",PR!$AI663,IF(K665="MARCSON",PR!$AJ663,IF(K665="M&amp;B",PR!$AK663,IF(K665="MTRUST",PR!$AL663,IF(K665="MWORLD",PR!$AM663,IF(K665="MEGA",PR!$AN663,IF(K665="MICRONOVA",PR!$AO663,IF(K665="MFLASH",PR!$AP663,IF(K665="MORISON",PR!$AQ663,IF(K665="NEMEL",PR!$AR663,IF(K665="NHP",PR!$AS663,IF(K665="NHC",PR!$AT663,IF(K665="OLEAF",PR!$AU663,IF(K665="OCULUS",PR!$AV663,IF(K665="PACIFIC",PR!$AW663,IF(K665="PHAMATEX",PR!$AX663,IF(K665="PETHICS",PR!$AY663,IF(K665="PHILIPS",PR!$AZ663,IF(K665="RANBAXY",PR!$BA663,IF(K665="REALS",PR!$BB663,IF(K665="ROYAL",PR!$BC663,IF(K665="SAM",PR!$BD663,IF(K665="SEAGREEN",PR!$BE663,IF(K665="SKG",PR!$BF663,IF(K665="TAH",PR!$BG663,IF(K665="TAYLEK",PR!$BH663,IF(K665="TEMITA",PR!$BI663,IF(K665="THL",PR!$BJ663,IF(K665="UBASTIC",PR!$BK663,IF(K665="UNION",PR!$BL663,IF(K665="UNIQUE",PR!$BM663,IF(K665="VIXA",PR!$BN663,IF(K665="WWCV",PR!$BO663,IF(K665="ZOLON",PR!$BP663,"-")))))))))))))))))))))))))))))))))))))))))))))))))))))))))))))))))</f>
        <v>1800</v>
      </c>
    </row>
    <row r="666" spans="1:12" ht="18.75" x14ac:dyDescent="0.3">
      <c r="A666" s="430">
        <f>PR!A664</f>
        <v>602</v>
      </c>
      <c r="B666" s="15" t="str">
        <f>PR!B664</f>
        <v>FOLLEY CATHETER SIZE 6"</v>
      </c>
      <c r="C666" s="113">
        <f>PR!D664</f>
        <v>10</v>
      </c>
      <c r="D666" s="113">
        <f>PR!C664</f>
        <v>2</v>
      </c>
      <c r="E666" s="108">
        <f>IF(F666="ALPHA",PR!$E664,IF(F666="ASSENE",PR!$F664,IF(F666="BIOFEM",PR!$G664,IF(F666="BIOMED",PR!$H664,IF(F666="CHI",PR!$I664,IF(F666="CLARION",PR!$J664,IF(F666="CODIX",PR!$K664,IF(F666="COSMADE",PR!$L664,IF(F666="SANCON",PR!$M664,IF(F666="DEVON",PR!$N664,IF(F666="DORTEMAG",PR!$O664,IF(F666="DGF",PR!$P664,IF(F666="DYNAMIC",PR!$Q664,IF(F666="EMZOR",PR!$R664,IF(F666="EUMATT",PR!$S664,IF(F666="FIDSON",PR!$T664,IF(F666="FCGLOBAL",PR!$U664,IF(F666="GENEITH",PR!$V664,IF(F666="GINOS",PR!$W664,IF(F666="GSK",PR!$X664,IF(F666="GLOBORG",PR!$Y664,IF(F666="GOODNEWS",PR!$Z664,IF(F666="GREENLIFE",PR!$AA664,IF(F666="HLINE",PR!$AB664,IF(F666="ROTECH",PR!$AC664,IF(F666="ISN",PR!$AD664,IF(F666="JAWA",PR!$AE664,IF(F666="LAYO",PR!$AF664,IF(F666="LEADWAY",PR!$AG664,IF(F666="LHV",PR!$AH664,IF(F666="MANOLA",PR!$AI664,IF(F666="MARCSON",PR!$AJ664,IF(F666="M&amp;B",PR!$AK664,IF(F666="MTRUST",PR!$AL664,IF(F666="MWORLD",PR!$AM664,IF(F666="MEGA",PR!$AN664,IF(F666="MICRONOVA",PR!$AO664,IF(F666="MFLASH",PR!$AP664,IF(F666="MORISON",PR!$AQ664,IF(F666="NEMEL",PR!$AR664,IF(F666="NHP",PR!$AS664,IF(F666="NHC",PR!$AT664,IF(F666="OLEAF",PR!$AU664,IF(F666="OCULUS",PR!$AV664,IF(F666="PACIFIC",PR!$AW664,IF(F666="PHAMATEX",PR!$AX664,IF(F666="PETHICS",PR!$AY664,IF(F666="PHILIPS",PR!$AZ664,IF(F666="RANBAXY",PR!$BA664,IF(F666="REALS",PR!$BB664,IF(F666="ROYAL",PR!$BC664,IF(F666="SAM",PR!$BD664,IF(F666="SEAGREEN",PR!$BE664,IF(F666="SKG",PR!$BF664,IF(F666="TAH",PR!$BG664,IF(F666="TAYLEK",PR!$BH664,IF(F666="TEMITA",PR!$BI664,IF(F666="THL",PR!$BJ664,IF(F666="UBASTIC",PR!$BK664,IF(F666="UNION",PR!$BL664,IF(F666="UNIQUE",PR!$BM664,IF(F666="VIXA",PR!$BN664,IF(F666="WWCV",PR!$BO664,IF(F666="ZOLON",PR!$BP664,"-"))))))))))))))))))))))))))))))))))))))))))))))))))))))))))))))))</f>
        <v>1800</v>
      </c>
      <c r="F666" s="102" t="str">
        <f>EV!L861</f>
        <v>COSMADE</v>
      </c>
      <c r="G666" s="108">
        <f>IF(H666="ALPHA",PR!$E664,IF(H666="ASSENE",PR!$F664,IF(H666="BIOFEM",PR!$G664,IF(H666="BIOMED",PR!$H664,IF(H666="CHI",PR!$I664,IF(H666="CLARION",PR!$J664,IF(H666="CODIX",PR!$K664,IF(H666="COSMADE",PR!$L664,IF(H666="SANCON",PR!$M664,IF(H666="DEVON",PR!$N664,IF(H666="DORTEMAG",PR!$O664,IF(H666="DGF",PR!$P664,IF(H666="DYNAMIC",PR!$Q664,IF(H666="EMZOR",PR!$R664,IF(H666="EUMATT",PR!$S664,IF(H666="FIDSON",PR!$T664,IF(H666="FCGLOBAL",PR!$U664,IF(H666="GENEITH",PR!$V664,IF(H666="GINOS",PR!$W664,IF(H666="GSK",PR!$X664,IF(H666="GLOBORG",PR!$Y664,IF(H666="GOODNEWS",PR!$Z664,IF(H666="GREENLIFE",PR!$AA664,IF(H666="HLINE",PR!$AB664,IF(H666="ROTECH",PR!$AC664,IF(H666="ISN",PR!$AD664,IF(H666="JAWA",PR!$AE664,IF(H666="LAYO",PR!$AF664,IF(H666="LEADWAY",PR!$AG664,IF(H666="LHV",PR!$AH664,IF(H666="MANOLA",PR!$AI664,IF(H666="MARCSON",PR!$AJ664,IF(H666="M&amp;B",PR!$AK664,IF(H666="MTRUST",PR!$AL664,IF(H666="MWORLD",PR!$AM664,IF(H666="MEGA",PR!$AN664,IF(H666="MICRONOVA",PR!$AO664,IF(H666="MFLASH",PR!$AP664,IF(H666="MORISON",PR!$AQ664,IF(H666="NEMEL",PR!$AR664,IF(H666="NHP",PR!$AS664,IF(H666="NHC",PR!$AT664,IF(H666="OLEAF",PR!$AU664,IF(H666="OCULUS",PR!$AV664,IF(H666="PACIFIC",PR!$AW664,IF(H666="PHAMATEX",PR!$AX664,IF(H666="PETHICS",PR!$AY664,IF(H666="PHILIPS",PR!$AZ664,IF(H666="RANBAXY",PR!$BA664,IF(H666="REALS",PR!$BB664,IF(H666="ROYAL",PR!$BC664,IF(H666="SAM",PR!$BD664,IF(H666="SEAGREEN",PR!$BE664,IF(H666="SKG",PR!$BF664,IF(H666="TAH",PR!$BG664,IF(H666="TAYLEK",PR!$BH664,IF(H666="TEMITA",PR!$BI664,IF(H666="THL",PR!$BJ664,IF(H666="UBASTIC",PR!$BK664,IF(H666="UNION",PR!$BL664,IF(H666="UNIQUE",PR!$BM664,IF(H666="VIXA",PR!$BN664,IF(H666="WWCV",PR!$BO664,IF(H666="ZOLON",PR!$BP664,"-"))))))))))))))))))))))))))))))))))))))))))))))))))))))))))))))))</f>
        <v>2000</v>
      </c>
      <c r="H666" s="102" t="str">
        <f>EV!M861</f>
        <v>EUMATT</v>
      </c>
      <c r="I666" s="108">
        <f>IF(J666="ALPHA",PR!$E664,IF(J666="ASSENE",PR!$F664,IF(J666="BIOFEM",PR!$G664,IF(J666="BIOMED",PR!$H664,IF(J666="CHI",PR!$I664,IF(J666="CLARION",PR!$J664,IF(J666="CODIX",PR!$K664,IF(J666="COSMADE",PR!$L664,IF(J666="SANCON",PR!$M664,IF(J666="DEVON",PR!$N664,IF(J666="DORTEMAG",PR!$O664,IF(J666="DGF",PR!$P664,IF(J666="DYNAMIC",PR!$Q664,IF(J666="EMZOR",PR!$R664,IF(J666="EUMATT",PR!$S664,IF(J666="FIDSON",PR!$T664,IF(J666="FCGLOBAL",PR!$U664,IF(J666="GENEITH",PR!$V664,IF(J666="GINOS",PR!$W664,IF(J666="GSK",PR!$X664,IF(J666="GLOBORG",PR!$Y664,IF(J666="GOODNEWS",PR!$Z664,IF(J666="GREENLIFE",PR!$AA664,IF(J666="HLINE",PR!$AB664,IF(J666="ROTECH",PR!$AC664,IF(J666="ISN",PR!$AD664,IF(J666="JAWA",PR!$AE664,IF(J666="LAYO",PR!$AF664,IF(J666="LEADWAY",PR!$AG664,IF(J666="LHV",PR!$AH664,IF(J666="MANOLA",PR!$AI664,IF(J666="MARCSON",PR!$AJ664,IF(J666="M&amp;B",PR!$AK664,IF(J666="MTRUST",PR!$AL664,IF(J666="MWORLD",PR!$AM664,IF(J666="MEGA",PR!$AN664,IF(J666="MICRONOVA",PR!$AO664,IF(J666="MFLASH",PR!$AP664,IF(J666="MORISON",PR!$AQ664,IF(J666="NEMEL",PR!$AR664,IF(J666="NHP",PR!$AS664,IF(J666="NHC",PR!$AT664,IF(J666="OLEAF",PR!$AU664,IF(J666="OCULUS",PR!$AV664,IF(J666="PACIFIC",PR!$AW664,IF(J666="PHAMATEX",PR!$AX664,IF(J666="PETHICS",PR!$AY664,IF(J666="PHILIPS",PR!$AZ664,IF(J666="RANBAXY",PR!$BA664,IF(J666="REALS",PR!$BB664,IF(J666="ROYAL",PR!$BC664,IF(J666="SAM",PR!$BD664,IF(J666="SEAGREEN",PR!$BE664,IF(J666="SKG",PR!$BF664,IF(J666="TAH",PR!$BG664,IF(J666="TAYLEK",PR!$BH664,IF(J666="TEMITA",PR!$BI664,IF(J666="THL",PR!$BJ664,IF(J666="UBASTIC",PR!$BK664,IF(J666="UNION",PR!$BL664,IF(J666="UNIQUE",PR!$BM664,IF(J666="VIXA",PR!$BN664,IF(J666="WWCV",PR!$BO664,IF(J666="ZOLON",PR!$BP664,"-"))))))))))))))))))))))))))))))))))))))))))))))))))))))))))))))))</f>
        <v>19000</v>
      </c>
      <c r="J666" s="102" t="str">
        <f>EV!N861</f>
        <v>SANCON</v>
      </c>
      <c r="K666" s="433" t="s">
        <v>1452</v>
      </c>
      <c r="L666" s="183">
        <f>IF(K666&gt;0,IF(K666="ALPHA",PR!$E664,IF(K666="ASSENE",PR!$F664,IF(K666="BIOFEM",PR!$G664,IF(K666="BIOMED",PR!$H664,IF(K666="CHI",PR!$I664,IF(K666="CLARION",PR!$J664,IF(K666="CODIX",PR!$K664,IF(K666="COSMADE",PR!$L664,IF(K666="SANCON",PR!$M664,IF(K666="DEVON",PR!$N664,IF(K666="DORTEMAG",PR!$O664,IF(K666="DGF",PR!$P664,IF(K666="DYNAMIC",PR!$Q664,IF(K666="EMZOR",PR!$R664,IF(K666="EUMATT",PR!$S664,IF(K666="FIDSON",PR!$T664,IF(K666="FCGLOBAL",PR!$U664,IF(K666="GENEITH",PR!$V664,IF(K666="GINOS",PR!$W664,IF(K666="GSK",PR!$X664,IF(K666="GLOBORG",PR!$Y664,IF(K666="GOODNEWS",PR!$Z664,IF(K666="GREENLIFE",PR!$AA664,IF(K666="HLINE",PR!$AB664,IF(K666="ROTECH",PR!$AC664,IF(K666="ISN",PR!$AD664,IF(K666="JAWA",PR!$AE664,IF(K666="LAYO",PR!$AF664,IF(K666="LEADWAY",PR!$AG664,IF(K666="LHV",PR!$AH664,IF(K666="MANOLA",PR!$AI664,IF(K666="MARCSON",PR!$AJ664,IF(K666="M&amp;B",PR!$AK664,IF(K666="MTRUST",PR!$AL664,IF(K666="MWORLD",PR!$AM664,IF(K666="MEGA",PR!$AN664,IF(K666="MICRONOVA",PR!$AO664,IF(K666="MFLASH",PR!$AP664,IF(K666="MORISON",PR!$AQ664,IF(K666="NEMEL",PR!$AR664,IF(K666="NHP",PR!$AS664,IF(K666="NHC",PR!$AT664,IF(K666="OLEAF",PR!$AU664,IF(K666="OCULUS",PR!$AV664,IF(K666="PACIFIC",PR!$AW664,IF(K666="PHAMATEX",PR!$AX664,IF(K666="PETHICS",PR!$AY664,IF(K666="PHILIPS",PR!$AZ664,IF(K666="RANBAXY",PR!$BA664,IF(K666="REALS",PR!$BB664,IF(K666="ROYAL",PR!$BC664,IF(K666="SAM",PR!$BD664,IF(K666="SEAGREEN",PR!$BE664,IF(K666="SKG",PR!$BF664,IF(K666="TAH",PR!$BG664,IF(K666="TAYLEK",PR!$BH664,IF(K666="TEMITA",PR!$BI664,IF(K666="THL",PR!$BJ664,IF(K666="UBASTIC",PR!$BK664,IF(K666="UNION",PR!$BL664,IF(K666="UNIQUE",PR!$BM664,IF(K666="VIXA",PR!$BN664,IF(K666="WWCV",PR!$BO664,IF(K666="ZOLON",PR!$BP664,"-")))))))))))))))))))))))))))))))))))))))))))))))))))))))))))))))))</f>
        <v>1800</v>
      </c>
    </row>
    <row r="667" spans="1:12" ht="18.75" x14ac:dyDescent="0.3">
      <c r="A667" s="430">
        <f>PR!A665</f>
        <v>603</v>
      </c>
      <c r="B667" s="15" t="str">
        <f>PR!B665</f>
        <v>FOLLEY CATHETER SIZE 8"</v>
      </c>
      <c r="C667" s="113">
        <f>PR!D665</f>
        <v>10</v>
      </c>
      <c r="D667" s="113">
        <f>PR!C665</f>
        <v>2</v>
      </c>
      <c r="E667" s="108">
        <f>IF(F667="ALPHA",PR!$E665,IF(F667="ASSENE",PR!$F665,IF(F667="BIOFEM",PR!$G665,IF(F667="BIOMED",PR!$H665,IF(F667="CHI",PR!$I665,IF(F667="CLARION",PR!$J665,IF(F667="CODIX",PR!$K665,IF(F667="COSMADE",PR!$L665,IF(F667="SANCON",PR!$M665,IF(F667="DEVON",PR!$N665,IF(F667="DORTEMAG",PR!$O665,IF(F667="DGF",PR!$P665,IF(F667="DYNAMIC",PR!$Q665,IF(F667="EMZOR",PR!$R665,IF(F667="EUMATT",PR!$S665,IF(F667="FIDSON",PR!$T665,IF(F667="FCGLOBAL",PR!$U665,IF(F667="GENEITH",PR!$V665,IF(F667="GINOS",PR!$W665,IF(F667="GSK",PR!$X665,IF(F667="GLOBORG",PR!$Y665,IF(F667="GOODNEWS",PR!$Z665,IF(F667="GREENLIFE",PR!$AA665,IF(F667="HLINE",PR!$AB665,IF(F667="ROTECH",PR!$AC665,IF(F667="ISN",PR!$AD665,IF(F667="JAWA",PR!$AE665,IF(F667="LAYO",PR!$AF665,IF(F667="LEADWAY",PR!$AG665,IF(F667="LHV",PR!$AH665,IF(F667="MANOLA",PR!$AI665,IF(F667="MARCSON",PR!$AJ665,IF(F667="M&amp;B",PR!$AK665,IF(F667="MTRUST",PR!$AL665,IF(F667="MWORLD",PR!$AM665,IF(F667="MEGA",PR!$AN665,IF(F667="MICRONOVA",PR!$AO665,IF(F667="MFLASH",PR!$AP665,IF(F667="MORISON",PR!$AQ665,IF(F667="NEMEL",PR!$AR665,IF(F667="NHP",PR!$AS665,IF(F667="NHC",PR!$AT665,IF(F667="OLEAF",PR!$AU665,IF(F667="OCULUS",PR!$AV665,IF(F667="PACIFIC",PR!$AW665,IF(F667="PHAMATEX",PR!$AX665,IF(F667="PETHICS",PR!$AY665,IF(F667="PHILIPS",PR!$AZ665,IF(F667="RANBAXY",PR!$BA665,IF(F667="REALS",PR!$BB665,IF(F667="ROYAL",PR!$BC665,IF(F667="SAM",PR!$BD665,IF(F667="SEAGREEN",PR!$BE665,IF(F667="SKG",PR!$BF665,IF(F667="TAH",PR!$BG665,IF(F667="TAYLEK",PR!$BH665,IF(F667="TEMITA",PR!$BI665,IF(F667="THL",PR!$BJ665,IF(F667="UBASTIC",PR!$BK665,IF(F667="UNION",PR!$BL665,IF(F667="UNIQUE",PR!$BM665,IF(F667="VIXA",PR!$BN665,IF(F667="WWCV",PR!$BO665,IF(F667="ZOLON",PR!$BP665,"-"))))))))))))))))))))))))))))))))))))))))))))))))))))))))))))))))</f>
        <v>1800</v>
      </c>
      <c r="F667" s="102" t="str">
        <f>EV!L862</f>
        <v>COSMADE</v>
      </c>
      <c r="G667" s="108">
        <f>IF(H667="ALPHA",PR!$E665,IF(H667="ASSENE",PR!$F665,IF(H667="BIOFEM",PR!$G665,IF(H667="BIOMED",PR!$H665,IF(H667="CHI",PR!$I665,IF(H667="CLARION",PR!$J665,IF(H667="CODIX",PR!$K665,IF(H667="COSMADE",PR!$L665,IF(H667="SANCON",PR!$M665,IF(H667="DEVON",PR!$N665,IF(H667="DORTEMAG",PR!$O665,IF(H667="DGF",PR!$P665,IF(H667="DYNAMIC",PR!$Q665,IF(H667="EMZOR",PR!$R665,IF(H667="EUMATT",PR!$S665,IF(H667="FIDSON",PR!$T665,IF(H667="FCGLOBAL",PR!$U665,IF(H667="GENEITH",PR!$V665,IF(H667="GINOS",PR!$W665,IF(H667="GSK",PR!$X665,IF(H667="GLOBORG",PR!$Y665,IF(H667="GOODNEWS",PR!$Z665,IF(H667="GREENLIFE",PR!$AA665,IF(H667="HLINE",PR!$AB665,IF(H667="ROTECH",PR!$AC665,IF(H667="ISN",PR!$AD665,IF(H667="JAWA",PR!$AE665,IF(H667="LAYO",PR!$AF665,IF(H667="LEADWAY",PR!$AG665,IF(H667="LHV",PR!$AH665,IF(H667="MANOLA",PR!$AI665,IF(H667="MARCSON",PR!$AJ665,IF(H667="M&amp;B",PR!$AK665,IF(H667="MTRUST",PR!$AL665,IF(H667="MWORLD",PR!$AM665,IF(H667="MEGA",PR!$AN665,IF(H667="MICRONOVA",PR!$AO665,IF(H667="MFLASH",PR!$AP665,IF(H667="MORISON",PR!$AQ665,IF(H667="NEMEL",PR!$AR665,IF(H667="NHP",PR!$AS665,IF(H667="NHC",PR!$AT665,IF(H667="OLEAF",PR!$AU665,IF(H667="OCULUS",PR!$AV665,IF(H667="PACIFIC",PR!$AW665,IF(H667="PHAMATEX",PR!$AX665,IF(H667="PETHICS",PR!$AY665,IF(H667="PHILIPS",PR!$AZ665,IF(H667="RANBAXY",PR!$BA665,IF(H667="REALS",PR!$BB665,IF(H667="ROYAL",PR!$BC665,IF(H667="SAM",PR!$BD665,IF(H667="SEAGREEN",PR!$BE665,IF(H667="SKG",PR!$BF665,IF(H667="TAH",PR!$BG665,IF(H667="TAYLEK",PR!$BH665,IF(H667="TEMITA",PR!$BI665,IF(H667="THL",PR!$BJ665,IF(H667="UBASTIC",PR!$BK665,IF(H667="UNION",PR!$BL665,IF(H667="UNIQUE",PR!$BM665,IF(H667="VIXA",PR!$BN665,IF(H667="WWCV",PR!$BO665,IF(H667="ZOLON",PR!$BP665,"-"))))))))))))))))))))))))))))))))))))))))))))))))))))))))))))))))</f>
        <v>2000</v>
      </c>
      <c r="H667" s="102" t="str">
        <f>EV!M862</f>
        <v>EUMATT</v>
      </c>
      <c r="I667" s="108">
        <f>IF(J667="ALPHA",PR!$E665,IF(J667="ASSENE",PR!$F665,IF(J667="BIOFEM",PR!$G665,IF(J667="BIOMED",PR!$H665,IF(J667="CHI",PR!$I665,IF(J667="CLARION",PR!$J665,IF(J667="CODIX",PR!$K665,IF(J667="COSMADE",PR!$L665,IF(J667="SANCON",PR!$M665,IF(J667="DEVON",PR!$N665,IF(J667="DORTEMAG",PR!$O665,IF(J667="DGF",PR!$P665,IF(J667="DYNAMIC",PR!$Q665,IF(J667="EMZOR",PR!$R665,IF(J667="EUMATT",PR!$S665,IF(J667="FIDSON",PR!$T665,IF(J667="FCGLOBAL",PR!$U665,IF(J667="GENEITH",PR!$V665,IF(J667="GINOS",PR!$W665,IF(J667="GSK",PR!$X665,IF(J667="GLOBORG",PR!$Y665,IF(J667="GOODNEWS",PR!$Z665,IF(J667="GREENLIFE",PR!$AA665,IF(J667="HLINE",PR!$AB665,IF(J667="ROTECH",PR!$AC665,IF(J667="ISN",PR!$AD665,IF(J667="JAWA",PR!$AE665,IF(J667="LAYO",PR!$AF665,IF(J667="LEADWAY",PR!$AG665,IF(J667="LHV",PR!$AH665,IF(J667="MANOLA",PR!$AI665,IF(J667="MARCSON",PR!$AJ665,IF(J667="M&amp;B",PR!$AK665,IF(J667="MTRUST",PR!$AL665,IF(J667="MWORLD",PR!$AM665,IF(J667="MEGA",PR!$AN665,IF(J667="MICRONOVA",PR!$AO665,IF(J667="MFLASH",PR!$AP665,IF(J667="MORISON",PR!$AQ665,IF(J667="NEMEL",PR!$AR665,IF(J667="NHP",PR!$AS665,IF(J667="NHC",PR!$AT665,IF(J667="OLEAF",PR!$AU665,IF(J667="OCULUS",PR!$AV665,IF(J667="PACIFIC",PR!$AW665,IF(J667="PHAMATEX",PR!$AX665,IF(J667="PETHICS",PR!$AY665,IF(J667="PHILIPS",PR!$AZ665,IF(J667="RANBAXY",PR!$BA665,IF(J667="REALS",PR!$BB665,IF(J667="ROYAL",PR!$BC665,IF(J667="SAM",PR!$BD665,IF(J667="SEAGREEN",PR!$BE665,IF(J667="SKG",PR!$BF665,IF(J667="TAH",PR!$BG665,IF(J667="TAYLEK",PR!$BH665,IF(J667="TEMITA",PR!$BI665,IF(J667="THL",PR!$BJ665,IF(J667="UBASTIC",PR!$BK665,IF(J667="UNION",PR!$BL665,IF(J667="UNIQUE",PR!$BM665,IF(J667="VIXA",PR!$BN665,IF(J667="WWCV",PR!$BO665,IF(J667="ZOLON",PR!$BP665,"-"))))))))))))))))))))))))))))))))))))))))))))))))))))))))))))))))</f>
        <v>19000</v>
      </c>
      <c r="J667" s="102" t="str">
        <f>EV!N862</f>
        <v>SANCON</v>
      </c>
      <c r="K667" s="433" t="s">
        <v>1452</v>
      </c>
      <c r="L667" s="183">
        <f>IF(K667&gt;0,IF(K667="ALPHA",PR!$E665,IF(K667="ASSENE",PR!$F665,IF(K667="BIOFEM",PR!$G665,IF(K667="BIOMED",PR!$H665,IF(K667="CHI",PR!$I665,IF(K667="CLARION",PR!$J665,IF(K667="CODIX",PR!$K665,IF(K667="COSMADE",PR!$L665,IF(K667="SANCON",PR!$M665,IF(K667="DEVON",PR!$N665,IF(K667="DORTEMAG",PR!$O665,IF(K667="DGF",PR!$P665,IF(K667="DYNAMIC",PR!$Q665,IF(K667="EMZOR",PR!$R665,IF(K667="EUMATT",PR!$S665,IF(K667="FIDSON",PR!$T665,IF(K667="FCGLOBAL",PR!$U665,IF(K667="GENEITH",PR!$V665,IF(K667="GINOS",PR!$W665,IF(K667="GSK",PR!$X665,IF(K667="GLOBORG",PR!$Y665,IF(K667="GOODNEWS",PR!$Z665,IF(K667="GREENLIFE",PR!$AA665,IF(K667="HLINE",PR!$AB665,IF(K667="ROTECH",PR!$AC665,IF(K667="ISN",PR!$AD665,IF(K667="JAWA",PR!$AE665,IF(K667="LAYO",PR!$AF665,IF(K667="LEADWAY",PR!$AG665,IF(K667="LHV",PR!$AH665,IF(K667="MANOLA",PR!$AI665,IF(K667="MARCSON",PR!$AJ665,IF(K667="M&amp;B",PR!$AK665,IF(K667="MTRUST",PR!$AL665,IF(K667="MWORLD",PR!$AM665,IF(K667="MEGA",PR!$AN665,IF(K667="MICRONOVA",PR!$AO665,IF(K667="MFLASH",PR!$AP665,IF(K667="MORISON",PR!$AQ665,IF(K667="NEMEL",PR!$AR665,IF(K667="NHP",PR!$AS665,IF(K667="NHC",PR!$AT665,IF(K667="OLEAF",PR!$AU665,IF(K667="OCULUS",PR!$AV665,IF(K667="PACIFIC",PR!$AW665,IF(K667="PHAMATEX",PR!$AX665,IF(K667="PETHICS",PR!$AY665,IF(K667="PHILIPS",PR!$AZ665,IF(K667="RANBAXY",PR!$BA665,IF(K667="REALS",PR!$BB665,IF(K667="ROYAL",PR!$BC665,IF(K667="SAM",PR!$BD665,IF(K667="SEAGREEN",PR!$BE665,IF(K667="SKG",PR!$BF665,IF(K667="TAH",PR!$BG665,IF(K667="TAYLEK",PR!$BH665,IF(K667="TEMITA",PR!$BI665,IF(K667="THL",PR!$BJ665,IF(K667="UBASTIC",PR!$BK665,IF(K667="UNION",PR!$BL665,IF(K667="UNIQUE",PR!$BM665,IF(K667="VIXA",PR!$BN665,IF(K667="WWCV",PR!$BO665,IF(K667="ZOLON",PR!$BP665,"-")))))))))))))))))))))))))))))))))))))))))))))))))))))))))))))))))</f>
        <v>1800</v>
      </c>
    </row>
    <row r="668" spans="1:12" ht="18.75" x14ac:dyDescent="0.3">
      <c r="A668" s="430">
        <f>PR!A666</f>
        <v>604</v>
      </c>
      <c r="B668" s="15" t="str">
        <f>PR!B666</f>
        <v xml:space="preserve">INFUSION GIVING SET </v>
      </c>
      <c r="C668" s="113">
        <f>PR!D666</f>
        <v>500</v>
      </c>
      <c r="D668" s="113">
        <f>PR!C666</f>
        <v>20</v>
      </c>
      <c r="E668" s="108">
        <f>IF(F668="ALPHA",PR!$E666,IF(F668="ASSENE",PR!$F666,IF(F668="BIOFEM",PR!$G666,IF(F668="BIOMED",PR!$H666,IF(F668="CHI",PR!$I666,IF(F668="CLARION",PR!$J666,IF(F668="CODIX",PR!$K666,IF(F668="COSMADE",PR!$L666,IF(F668="SANCON",PR!$M666,IF(F668="DEVON",PR!$N666,IF(F668="DORTEMAG",PR!$O666,IF(F668="DGF",PR!$P666,IF(F668="DYNAMIC",PR!$Q666,IF(F668="EMZOR",PR!$R666,IF(F668="EUMATT",PR!$S666,IF(F668="FIDSON",PR!$T666,IF(F668="FCGLOBAL",PR!$U666,IF(F668="GENEITH",PR!$V666,IF(F668="GINOS",PR!$W666,IF(F668="GSK",PR!$X666,IF(F668="GLOBORG",PR!$Y666,IF(F668="GOODNEWS",PR!$Z666,IF(F668="GREENLIFE",PR!$AA666,IF(F668="HLINE",PR!$AB666,IF(F668="ROTECH",PR!$AC666,IF(F668="ISN",PR!$AD666,IF(F668="JAWA",PR!$AE666,IF(F668="LAYO",PR!$AF666,IF(F668="LEADWAY",PR!$AG666,IF(F668="LHV",PR!$AH666,IF(F668="MANOLA",PR!$AI666,IF(F668="MARCSON",PR!$AJ666,IF(F668="M&amp;B",PR!$AK666,IF(F668="MTRUST",PR!$AL666,IF(F668="MWORLD",PR!$AM666,IF(F668="MEGA",PR!$AN666,IF(F668="MICRONOVA",PR!$AO666,IF(F668="MFLASH",PR!$AP666,IF(F668="MORISON",PR!$AQ666,IF(F668="NEMEL",PR!$AR666,IF(F668="NHP",PR!$AS666,IF(F668="NHC",PR!$AT666,IF(F668="OLEAF",PR!$AU666,IF(F668="OCULUS",PR!$AV666,IF(F668="PACIFIC",PR!$AW666,IF(F668="PHAMATEX",PR!$AX666,IF(F668="PETHICS",PR!$AY666,IF(F668="PHILIPS",PR!$AZ666,IF(F668="RANBAXY",PR!$BA666,IF(F668="REALS",PR!$BB666,IF(F668="ROYAL",PR!$BC666,IF(F668="SAM",PR!$BD666,IF(F668="SEAGREEN",PR!$BE666,IF(F668="SKG",PR!$BF666,IF(F668="TAH",PR!$BG666,IF(F668="TAYLEK",PR!$BH666,IF(F668="TEMITA",PR!$BI666,IF(F668="THL",PR!$BJ666,IF(F668="UBASTIC",PR!$BK666,IF(F668="UNION",PR!$BL666,IF(F668="UNIQUE",PR!$BM666,IF(F668="VIXA",PR!$BN666,IF(F668="WWCV",PR!$BO666,IF(F668="ZOLON",PR!$BP666,"-"))))))))))))))))))))))))))))))))))))))))))))))))))))))))))))))))</f>
        <v>19000</v>
      </c>
      <c r="F668" s="102" t="str">
        <f>EV!L863</f>
        <v>EUMATT</v>
      </c>
      <c r="G668" s="108">
        <f>IF(H668="ALPHA",PR!$E666,IF(H668="ASSENE",PR!$F666,IF(H668="BIOFEM",PR!$G666,IF(H668="BIOMED",PR!$H666,IF(H668="CHI",PR!$I666,IF(H668="CLARION",PR!$J666,IF(H668="CODIX",PR!$K666,IF(H668="COSMADE",PR!$L666,IF(H668="SANCON",PR!$M666,IF(H668="DEVON",PR!$N666,IF(H668="DORTEMAG",PR!$O666,IF(H668="DGF",PR!$P666,IF(H668="DYNAMIC",PR!$Q666,IF(H668="EMZOR",PR!$R666,IF(H668="EUMATT",PR!$S666,IF(H668="FIDSON",PR!$T666,IF(H668="FCGLOBAL",PR!$U666,IF(H668="GENEITH",PR!$V666,IF(H668="GINOS",PR!$W666,IF(H668="GSK",PR!$X666,IF(H668="GLOBORG",PR!$Y666,IF(H668="GOODNEWS",PR!$Z666,IF(H668="GREENLIFE",PR!$AA666,IF(H668="HLINE",PR!$AB666,IF(H668="ROTECH",PR!$AC666,IF(H668="ISN",PR!$AD666,IF(H668="JAWA",PR!$AE666,IF(H668="LAYO",PR!$AF666,IF(H668="LEADWAY",PR!$AG666,IF(H668="LHV",PR!$AH666,IF(H668="MANOLA",PR!$AI666,IF(H668="MARCSON",PR!$AJ666,IF(H668="M&amp;B",PR!$AK666,IF(H668="MTRUST",PR!$AL666,IF(H668="MWORLD",PR!$AM666,IF(H668="MEGA",PR!$AN666,IF(H668="MICRONOVA",PR!$AO666,IF(H668="MFLASH",PR!$AP666,IF(H668="MORISON",PR!$AQ666,IF(H668="NEMEL",PR!$AR666,IF(H668="NHP",PR!$AS666,IF(H668="NHC",PR!$AT666,IF(H668="OLEAF",PR!$AU666,IF(H668="OCULUS",PR!$AV666,IF(H668="PACIFIC",PR!$AW666,IF(H668="PHAMATEX",PR!$AX666,IF(H668="PETHICS",PR!$AY666,IF(H668="PHILIPS",PR!$AZ666,IF(H668="RANBAXY",PR!$BA666,IF(H668="REALS",PR!$BB666,IF(H668="ROYAL",PR!$BC666,IF(H668="SAM",PR!$BD666,IF(H668="SEAGREEN",PR!$BE666,IF(H668="SKG",PR!$BF666,IF(H668="TAH",PR!$BG666,IF(H668="TAYLEK",PR!$BH666,IF(H668="TEMITA",PR!$BI666,IF(H668="THL",PR!$BJ666,IF(H668="UBASTIC",PR!$BK666,IF(H668="UNION",PR!$BL666,IF(H668="UNIQUE",PR!$BM666,IF(H668="VIXA",PR!$BN666,IF(H668="WWCV",PR!$BO666,IF(H668="ZOLON",PR!$BP666,"-"))))))))))))))))))))))))))))))))))))))))))))))))))))))))))))))))</f>
        <v>24000</v>
      </c>
      <c r="H668" s="102" t="str">
        <f>EV!M863</f>
        <v>GINOS</v>
      </c>
      <c r="I668" s="108">
        <f>IF(J668="ALPHA",PR!$E666,IF(J668="ASSENE",PR!$F666,IF(J668="BIOFEM",PR!$G666,IF(J668="BIOMED",PR!$H666,IF(J668="CHI",PR!$I666,IF(J668="CLARION",PR!$J666,IF(J668="CODIX",PR!$K666,IF(J668="COSMADE",PR!$L666,IF(J668="SANCON",PR!$M666,IF(J668="DEVON",PR!$N666,IF(J668="DORTEMAG",PR!$O666,IF(J668="DGF",PR!$P666,IF(J668="DYNAMIC",PR!$Q666,IF(J668="EMZOR",PR!$R666,IF(J668="EUMATT",PR!$S666,IF(J668="FIDSON",PR!$T666,IF(J668="FCGLOBAL",PR!$U666,IF(J668="GENEITH",PR!$V666,IF(J668="GINOS",PR!$W666,IF(J668="GSK",PR!$X666,IF(J668="GLOBORG",PR!$Y666,IF(J668="GOODNEWS",PR!$Z666,IF(J668="GREENLIFE",PR!$AA666,IF(J668="HLINE",PR!$AB666,IF(J668="ROTECH",PR!$AC666,IF(J668="ISN",PR!$AD666,IF(J668="JAWA",PR!$AE666,IF(J668="LAYO",PR!$AF666,IF(J668="LEADWAY",PR!$AG666,IF(J668="LHV",PR!$AH666,IF(J668="MANOLA",PR!$AI666,IF(J668="MARCSON",PR!$AJ666,IF(J668="M&amp;B",PR!$AK666,IF(J668="MTRUST",PR!$AL666,IF(J668="MWORLD",PR!$AM666,IF(J668="MEGA",PR!$AN666,IF(J668="MICRONOVA",PR!$AO666,IF(J668="MFLASH",PR!$AP666,IF(J668="MORISON",PR!$AQ666,IF(J668="NEMEL",PR!$AR666,IF(J668="NHP",PR!$AS666,IF(J668="NHC",PR!$AT666,IF(J668="OLEAF",PR!$AU666,IF(J668="OCULUS",PR!$AV666,IF(J668="PACIFIC",PR!$AW666,IF(J668="PHAMATEX",PR!$AX666,IF(J668="PETHICS",PR!$AY666,IF(J668="PHILIPS",PR!$AZ666,IF(J668="RANBAXY",PR!$BA666,IF(J668="REALS",PR!$BB666,IF(J668="ROYAL",PR!$BC666,IF(J668="SAM",PR!$BD666,IF(J668="SEAGREEN",PR!$BE666,IF(J668="SKG",PR!$BF666,IF(J668="TAH",PR!$BG666,IF(J668="TAYLEK",PR!$BH666,IF(J668="TEMITA",PR!$BI666,IF(J668="THL",PR!$BJ666,IF(J668="UBASTIC",PR!$BK666,IF(J668="UNION",PR!$BL666,IF(J668="UNIQUE",PR!$BM666,IF(J668="VIXA",PR!$BN666,IF(J668="WWCV",PR!$BO666,IF(J668="ZOLON",PR!$BP666,"-"))))))))))))))))))))))))))))))))))))))))))))))))))))))))))))))))</f>
        <v>82000</v>
      </c>
      <c r="J668" s="102" t="str">
        <f>EV!N863</f>
        <v>SANCON</v>
      </c>
      <c r="K668" s="433" t="s">
        <v>821</v>
      </c>
      <c r="L668" s="183">
        <f>IF(K668&gt;0,IF(K668="ALPHA",PR!$E666,IF(K668="ASSENE",PR!$F666,IF(K668="BIOFEM",PR!$G666,IF(K668="BIOMED",PR!$H666,IF(K668="CHI",PR!$I666,IF(K668="CLARION",PR!$J666,IF(K668="CODIX",PR!$K666,IF(K668="COSMADE",PR!$L666,IF(K668="SANCON",PR!$M666,IF(K668="DEVON",PR!$N666,IF(K668="DORTEMAG",PR!$O666,IF(K668="DGF",PR!$P666,IF(K668="DYNAMIC",PR!$Q666,IF(K668="EMZOR",PR!$R666,IF(K668="EUMATT",PR!$S666,IF(K668="FIDSON",PR!$T666,IF(K668="FCGLOBAL",PR!$U666,IF(K668="GENEITH",PR!$V666,IF(K668="GINOS",PR!$W666,IF(K668="GSK",PR!$X666,IF(K668="GLOBORG",PR!$Y666,IF(K668="GOODNEWS",PR!$Z666,IF(K668="GREENLIFE",PR!$AA666,IF(K668="HLINE",PR!$AB666,IF(K668="ROTECH",PR!$AC666,IF(K668="ISN",PR!$AD666,IF(K668="JAWA",PR!$AE666,IF(K668="LAYO",PR!$AF666,IF(K668="LEADWAY",PR!$AG666,IF(K668="LHV",PR!$AH666,IF(K668="MANOLA",PR!$AI666,IF(K668="MARCSON",PR!$AJ666,IF(K668="M&amp;B",PR!$AK666,IF(K668="MTRUST",PR!$AL666,IF(K668="MWORLD",PR!$AM666,IF(K668="MEGA",PR!$AN666,IF(K668="MICRONOVA",PR!$AO666,IF(K668="MFLASH",PR!$AP666,IF(K668="MORISON",PR!$AQ666,IF(K668="NEMEL",PR!$AR666,IF(K668="NHP",PR!$AS666,IF(K668="NHC",PR!$AT666,IF(K668="OLEAF",PR!$AU666,IF(K668="OCULUS",PR!$AV666,IF(K668="PACIFIC",PR!$AW666,IF(K668="PHAMATEX",PR!$AX666,IF(K668="PETHICS",PR!$AY666,IF(K668="PHILIPS",PR!$AZ666,IF(K668="RANBAXY",PR!$BA666,IF(K668="REALS",PR!$BB666,IF(K668="ROYAL",PR!$BC666,IF(K668="SAM",PR!$BD666,IF(K668="SEAGREEN",PR!$BE666,IF(K668="SKG",PR!$BF666,IF(K668="TAH",PR!$BG666,IF(K668="TAYLEK",PR!$BH666,IF(K668="TEMITA",PR!$BI666,IF(K668="THL",PR!$BJ666,IF(K668="UBASTIC",PR!$BK666,IF(K668="UNION",PR!$BL666,IF(K668="UNIQUE",PR!$BM666,IF(K668="VIXA",PR!$BN666,IF(K668="WWCV",PR!$BO666,IF(K668="ZOLON",PR!$BP666,"-")))))))))))))))))))))))))))))))))))))))))))))))))))))))))))))))))</f>
        <v>19000</v>
      </c>
    </row>
    <row r="669" spans="1:12" ht="18.75" x14ac:dyDescent="0.3">
      <c r="A669" s="430">
        <f>PR!A667</f>
        <v>605</v>
      </c>
      <c r="B669" s="15" t="str">
        <f>PR!B667</f>
        <v>INSULIN SYRINGE 100IU/ML</v>
      </c>
      <c r="C669" s="113">
        <f>PR!D667</f>
        <v>100</v>
      </c>
      <c r="D669" s="113">
        <f>PR!C667</f>
        <v>32</v>
      </c>
      <c r="E669" s="108">
        <f>IF(F669="ALPHA",PR!$E667,IF(F669="ASSENE",PR!$F667,IF(F669="BIOFEM",PR!$G667,IF(F669="BIOMED",PR!$H667,IF(F669="CHI",PR!$I667,IF(F669="CLARION",PR!$J667,IF(F669="CODIX",PR!$K667,IF(F669="COSMADE",PR!$L667,IF(F669="SANCON",PR!$M667,IF(F669="DEVON",PR!$N667,IF(F669="DORTEMAG",PR!$O667,IF(F669="DGF",PR!$P667,IF(F669="DYNAMIC",PR!$Q667,IF(F669="EMZOR",PR!$R667,IF(F669="EUMATT",PR!$S667,IF(F669="FIDSON",PR!$T667,IF(F669="FCGLOBAL",PR!$U667,IF(F669="GENEITH",PR!$V667,IF(F669="GINOS",PR!$W667,IF(F669="GSK",PR!$X667,IF(F669="GLOBORG",PR!$Y667,IF(F669="GOODNEWS",PR!$Z667,IF(F669="GREENLIFE",PR!$AA667,IF(F669="HLINE",PR!$AB667,IF(F669="ROTECH",PR!$AC667,IF(F669="ISN",PR!$AD667,IF(F669="JAWA",PR!$AE667,IF(F669="LAYO",PR!$AF667,IF(F669="LEADWAY",PR!$AG667,IF(F669="LHV",PR!$AH667,IF(F669="MANOLA",PR!$AI667,IF(F669="MARCSON",PR!$AJ667,IF(F669="M&amp;B",PR!$AK667,IF(F669="MTRUST",PR!$AL667,IF(F669="MWORLD",PR!$AM667,IF(F669="MEGA",PR!$AN667,IF(F669="MICRONOVA",PR!$AO667,IF(F669="MFLASH",PR!$AP667,IF(F669="MORISON",PR!$AQ667,IF(F669="NEMEL",PR!$AR667,IF(F669="NHP",PR!$AS667,IF(F669="NHC",PR!$AT667,IF(F669="OLEAF",PR!$AU667,IF(F669="OCULUS",PR!$AV667,IF(F669="PACIFIC",PR!$AW667,IF(F669="PHAMATEX",PR!$AX667,IF(F669="PETHICS",PR!$AY667,IF(F669="PHILIPS",PR!$AZ667,IF(F669="RANBAXY",PR!$BA667,IF(F669="REALS",PR!$BB667,IF(F669="ROYAL",PR!$BC667,IF(F669="SAM",PR!$BD667,IF(F669="SEAGREEN",PR!$BE667,IF(F669="SKG",PR!$BF667,IF(F669="TAH",PR!$BG667,IF(F669="TAYLEK",PR!$BH667,IF(F669="TEMITA",PR!$BI667,IF(F669="THL",PR!$BJ667,IF(F669="UBASTIC",PR!$BK667,IF(F669="UNION",PR!$BL667,IF(F669="UNIQUE",PR!$BM667,IF(F669="VIXA",PR!$BN667,IF(F669="WWCV",PR!$BO667,IF(F669="ZOLON",PR!$BP667,"-"))))))))))))))))))))))))))))))))))))))))))))))))))))))))))))))))</f>
        <v>2200</v>
      </c>
      <c r="F669" s="102" t="str">
        <f>EV!L864</f>
        <v>EUMATT</v>
      </c>
      <c r="G669" s="108">
        <f>IF(H669="ALPHA",PR!$E667,IF(H669="ASSENE",PR!$F667,IF(H669="BIOFEM",PR!$G667,IF(H669="BIOMED",PR!$H667,IF(H669="CHI",PR!$I667,IF(H669="CLARION",PR!$J667,IF(H669="CODIX",PR!$K667,IF(H669="COSMADE",PR!$L667,IF(H669="SANCON",PR!$M667,IF(H669="DEVON",PR!$N667,IF(H669="DORTEMAG",PR!$O667,IF(H669="DGF",PR!$P667,IF(H669="DYNAMIC",PR!$Q667,IF(H669="EMZOR",PR!$R667,IF(H669="EUMATT",PR!$S667,IF(H669="FIDSON",PR!$T667,IF(H669="FCGLOBAL",PR!$U667,IF(H669="GENEITH",PR!$V667,IF(H669="GINOS",PR!$W667,IF(H669="GSK",PR!$X667,IF(H669="GLOBORG",PR!$Y667,IF(H669="GOODNEWS",PR!$Z667,IF(H669="GREENLIFE",PR!$AA667,IF(H669="HLINE",PR!$AB667,IF(H669="ROTECH",PR!$AC667,IF(H669="ISN",PR!$AD667,IF(H669="JAWA",PR!$AE667,IF(H669="LAYO",PR!$AF667,IF(H669="LEADWAY",PR!$AG667,IF(H669="LHV",PR!$AH667,IF(H669="MANOLA",PR!$AI667,IF(H669="MARCSON",PR!$AJ667,IF(H669="M&amp;B",PR!$AK667,IF(H669="MTRUST",PR!$AL667,IF(H669="MWORLD",PR!$AM667,IF(H669="MEGA",PR!$AN667,IF(H669="MICRONOVA",PR!$AO667,IF(H669="MFLASH",PR!$AP667,IF(H669="MORISON",PR!$AQ667,IF(H669="NEMEL",PR!$AR667,IF(H669="NHP",PR!$AS667,IF(H669="NHC",PR!$AT667,IF(H669="OLEAF",PR!$AU667,IF(H669="OCULUS",PR!$AV667,IF(H669="PACIFIC",PR!$AW667,IF(H669="PHAMATEX",PR!$AX667,IF(H669="PETHICS",PR!$AY667,IF(H669="PHILIPS",PR!$AZ667,IF(H669="RANBAXY",PR!$BA667,IF(H669="REALS",PR!$BB667,IF(H669="ROYAL",PR!$BC667,IF(H669="SAM",PR!$BD667,IF(H669="SEAGREEN",PR!$BE667,IF(H669="SKG",PR!$BF667,IF(H669="TAH",PR!$BG667,IF(H669="TAYLEK",PR!$BH667,IF(H669="TEMITA",PR!$BI667,IF(H669="THL",PR!$BJ667,IF(H669="UBASTIC",PR!$BK667,IF(H669="UNION",PR!$BL667,IF(H669="UNIQUE",PR!$BM667,IF(H669="VIXA",PR!$BN667,IF(H669="WWCV",PR!$BO667,IF(H669="ZOLON",PR!$BP667,"-"))))))))))))))))))))))))))))))))))))))))))))))))))))))))))))))))</f>
        <v>2260</v>
      </c>
      <c r="H669" s="102" t="str">
        <f>EV!M864</f>
        <v>ROTECH</v>
      </c>
      <c r="I669" s="108">
        <f>IF(J669="ALPHA",PR!$E667,IF(J669="ASSENE",PR!$F667,IF(J669="BIOFEM",PR!$G667,IF(J669="BIOMED",PR!$H667,IF(J669="CHI",PR!$I667,IF(J669="CLARION",PR!$J667,IF(J669="CODIX",PR!$K667,IF(J669="COSMADE",PR!$L667,IF(J669="SANCON",PR!$M667,IF(J669="DEVON",PR!$N667,IF(J669="DORTEMAG",PR!$O667,IF(J669="DGF",PR!$P667,IF(J669="DYNAMIC",PR!$Q667,IF(J669="EMZOR",PR!$R667,IF(J669="EUMATT",PR!$S667,IF(J669="FIDSON",PR!$T667,IF(J669="FCGLOBAL",PR!$U667,IF(J669="GENEITH",PR!$V667,IF(J669="GINOS",PR!$W667,IF(J669="GSK",PR!$X667,IF(J669="GLOBORG",PR!$Y667,IF(J669="GOODNEWS",PR!$Z667,IF(J669="GREENLIFE",PR!$AA667,IF(J669="HLINE",PR!$AB667,IF(J669="ROTECH",PR!$AC667,IF(J669="ISN",PR!$AD667,IF(J669="JAWA",PR!$AE667,IF(J669="LAYO",PR!$AF667,IF(J669="LEADWAY",PR!$AG667,IF(J669="LHV",PR!$AH667,IF(J669="MANOLA",PR!$AI667,IF(J669="MARCSON",PR!$AJ667,IF(J669="M&amp;B",PR!$AK667,IF(J669="MTRUST",PR!$AL667,IF(J669="MWORLD",PR!$AM667,IF(J669="MEGA",PR!$AN667,IF(J669="MICRONOVA",PR!$AO667,IF(J669="MFLASH",PR!$AP667,IF(J669="MORISON",PR!$AQ667,IF(J669="NEMEL",PR!$AR667,IF(J669="NHP",PR!$AS667,IF(J669="NHC",PR!$AT667,IF(J669="OLEAF",PR!$AU667,IF(J669="OCULUS",PR!$AV667,IF(J669="PACIFIC",PR!$AW667,IF(J669="PHAMATEX",PR!$AX667,IF(J669="PETHICS",PR!$AY667,IF(J669="PHILIPS",PR!$AZ667,IF(J669="RANBAXY",PR!$BA667,IF(J669="REALS",PR!$BB667,IF(J669="ROYAL",PR!$BC667,IF(J669="SAM",PR!$BD667,IF(J669="SEAGREEN",PR!$BE667,IF(J669="SKG",PR!$BF667,IF(J669="TAH",PR!$BG667,IF(J669="TAYLEK",PR!$BH667,IF(J669="TEMITA",PR!$BI667,IF(J669="THL",PR!$BJ667,IF(J669="UBASTIC",PR!$BK667,IF(J669="UNION",PR!$BL667,IF(J669="UNIQUE",PR!$BM667,IF(J669="VIXA",PR!$BN667,IF(J669="WWCV",PR!$BO667,IF(J669="ZOLON",PR!$BP667,"-"))))))))))))))))))))))))))))))))))))))))))))))))))))))))))))))))</f>
        <v>2300</v>
      </c>
      <c r="J669" s="102" t="str">
        <f>EV!N864</f>
        <v>COSMADE</v>
      </c>
      <c r="K669" s="433" t="s">
        <v>821</v>
      </c>
      <c r="L669" s="183">
        <f>IF(K669&gt;0,IF(K669="ALPHA",PR!$E667,IF(K669="ASSENE",PR!$F667,IF(K669="BIOFEM",PR!$G667,IF(K669="BIOMED",PR!$H667,IF(K669="CHI",PR!$I667,IF(K669="CLARION",PR!$J667,IF(K669="CODIX",PR!$K667,IF(K669="COSMADE",PR!$L667,IF(K669="SANCON",PR!$M667,IF(K669="DEVON",PR!$N667,IF(K669="DORTEMAG",PR!$O667,IF(K669="DGF",PR!$P667,IF(K669="DYNAMIC",PR!$Q667,IF(K669="EMZOR",PR!$R667,IF(K669="EUMATT",PR!$S667,IF(K669="FIDSON",PR!$T667,IF(K669="FCGLOBAL",PR!$U667,IF(K669="GENEITH",PR!$V667,IF(K669="GINOS",PR!$W667,IF(K669="GSK",PR!$X667,IF(K669="GLOBORG",PR!$Y667,IF(K669="GOODNEWS",PR!$Z667,IF(K669="GREENLIFE",PR!$AA667,IF(K669="HLINE",PR!$AB667,IF(K669="ROTECH",PR!$AC667,IF(K669="ISN",PR!$AD667,IF(K669="JAWA",PR!$AE667,IF(K669="LAYO",PR!$AF667,IF(K669="LEADWAY",PR!$AG667,IF(K669="LHV",PR!$AH667,IF(K669="MANOLA",PR!$AI667,IF(K669="MARCSON",PR!$AJ667,IF(K669="M&amp;B",PR!$AK667,IF(K669="MTRUST",PR!$AL667,IF(K669="MWORLD",PR!$AM667,IF(K669="MEGA",PR!$AN667,IF(K669="MICRONOVA",PR!$AO667,IF(K669="MFLASH",PR!$AP667,IF(K669="MORISON",PR!$AQ667,IF(K669="NEMEL",PR!$AR667,IF(K669="NHP",PR!$AS667,IF(K669="NHC",PR!$AT667,IF(K669="OLEAF",PR!$AU667,IF(K669="OCULUS",PR!$AV667,IF(K669="PACIFIC",PR!$AW667,IF(K669="PHAMATEX",PR!$AX667,IF(K669="PETHICS",PR!$AY667,IF(K669="PHILIPS",PR!$AZ667,IF(K669="RANBAXY",PR!$BA667,IF(K669="REALS",PR!$BB667,IF(K669="ROYAL",PR!$BC667,IF(K669="SAM",PR!$BD667,IF(K669="SEAGREEN",PR!$BE667,IF(K669="SKG",PR!$BF667,IF(K669="TAH",PR!$BG667,IF(K669="TAYLEK",PR!$BH667,IF(K669="TEMITA",PR!$BI667,IF(K669="THL",PR!$BJ667,IF(K669="UBASTIC",PR!$BK667,IF(K669="UNION",PR!$BL667,IF(K669="UNIQUE",PR!$BM667,IF(K669="VIXA",PR!$BN667,IF(K669="WWCV",PR!$BO667,IF(K669="ZOLON",PR!$BP667,"-")))))))))))))))))))))))))))))))))))))))))))))))))))))))))))))))))</f>
        <v>2200</v>
      </c>
    </row>
    <row r="670" spans="1:12" ht="18.75" x14ac:dyDescent="0.3">
      <c r="A670" s="430">
        <f>PR!A668</f>
        <v>606</v>
      </c>
      <c r="B670" s="15" t="str">
        <f>PR!B668</f>
        <v>LATEX GLOVES (SUPER CARE)</v>
      </c>
      <c r="C670" s="113" t="str">
        <f>PR!D668</f>
        <v>CARTON</v>
      </c>
      <c r="D670" s="113">
        <f>PR!C668</f>
        <v>2400</v>
      </c>
      <c r="E670" s="108">
        <f>IF(F670="ALPHA",PR!$E668,IF(F670="ASSENE",PR!$F668,IF(F670="BIOFEM",PR!$G668,IF(F670="BIOMED",PR!$H668,IF(F670="CHI",PR!$I668,IF(F670="CLARION",PR!$J668,IF(F670="CODIX",PR!$K668,IF(F670="COSMADE",PR!$L668,IF(F670="SANCON",PR!$M668,IF(F670="DEVON",PR!$N668,IF(F670="DORTEMAG",PR!$O668,IF(F670="DGF",PR!$P668,IF(F670="DYNAMIC",PR!$Q668,IF(F670="EMZOR",PR!$R668,IF(F670="EUMATT",PR!$S668,IF(F670="FIDSON",PR!$T668,IF(F670="FCGLOBAL",PR!$U668,IF(F670="GENEITH",PR!$V668,IF(F670="GINOS",PR!$W668,IF(F670="GSK",PR!$X668,IF(F670="GLOBORG",PR!$Y668,IF(F670="GOODNEWS",PR!$Z668,IF(F670="GREENLIFE",PR!$AA668,IF(F670="HLINE",PR!$AB668,IF(F670="ROTECH",PR!$AC668,IF(F670="ISN",PR!$AD668,IF(F670="JAWA",PR!$AE668,IF(F670="LAYO",PR!$AF668,IF(F670="LEADWAY",PR!$AG668,IF(F670="LHV",PR!$AH668,IF(F670="MANOLA",PR!$AI668,IF(F670="MARCSON",PR!$AJ668,IF(F670="M&amp;B",PR!$AK668,IF(F670="MTRUST",PR!$AL668,IF(F670="MWORLD",PR!$AM668,IF(F670="MEGA",PR!$AN668,IF(F670="MICRONOVA",PR!$AO668,IF(F670="MFLASH",PR!$AP668,IF(F670="MORISON",PR!$AQ668,IF(F670="NEMEL",PR!$AR668,IF(F670="NHP",PR!$AS668,IF(F670="NHC",PR!$AT668,IF(F670="OLEAF",PR!$AU668,IF(F670="OCULUS",PR!$AV668,IF(F670="PACIFIC",PR!$AW668,IF(F670="PHAMATEX",PR!$AX668,IF(F670="PETHICS",PR!$AY668,IF(F670="PHILIPS",PR!$AZ668,IF(F670="RANBAXY",PR!$BA668,IF(F670="REALS",PR!$BB668,IF(F670="ROYAL",PR!$BC668,IF(F670="SAM",PR!$BD668,IF(F670="SEAGREEN",PR!$BE668,IF(F670="SKG",PR!$BF668,IF(F670="TAH",PR!$BG668,IF(F670="TAYLEK",PR!$BH668,IF(F670="TEMITA",PR!$BI668,IF(F670="THL",PR!$BJ668,IF(F670="UBASTIC",PR!$BK668,IF(F670="UNION",PR!$BL668,IF(F670="UNIQUE",PR!$BM668,IF(F670="VIXA",PR!$BN668,IF(F670="WWCV",PR!$BO668,IF(F670="ZOLON",PR!$BP668,"-"))))))))))))))))))))))))))))))))))))))))))))))))))))))))))))))))</f>
        <v>7800</v>
      </c>
      <c r="F670" s="102" t="str">
        <f>EV!L865</f>
        <v>COSMADE</v>
      </c>
      <c r="G670" s="108">
        <f>IF(H670="ALPHA",PR!$E668,IF(H670="ASSENE",PR!$F668,IF(H670="BIOFEM",PR!$G668,IF(H670="BIOMED",PR!$H668,IF(H670="CHI",PR!$I668,IF(H670="CLARION",PR!$J668,IF(H670="CODIX",PR!$K668,IF(H670="COSMADE",PR!$L668,IF(H670="SANCON",PR!$M668,IF(H670="DEVON",PR!$N668,IF(H670="DORTEMAG",PR!$O668,IF(H670="DGF",PR!$P668,IF(H670="DYNAMIC",PR!$Q668,IF(H670="EMZOR",PR!$R668,IF(H670="EUMATT",PR!$S668,IF(H670="FIDSON",PR!$T668,IF(H670="FCGLOBAL",PR!$U668,IF(H670="GENEITH",PR!$V668,IF(H670="GINOS",PR!$W668,IF(H670="GSK",PR!$X668,IF(H670="GLOBORG",PR!$Y668,IF(H670="GOODNEWS",PR!$Z668,IF(H670="GREENLIFE",PR!$AA668,IF(H670="HLINE",PR!$AB668,IF(H670="ROTECH",PR!$AC668,IF(H670="ISN",PR!$AD668,IF(H670="JAWA",PR!$AE668,IF(H670="LAYO",PR!$AF668,IF(H670="LEADWAY",PR!$AG668,IF(H670="LHV",PR!$AH668,IF(H670="MANOLA",PR!$AI668,IF(H670="MARCSON",PR!$AJ668,IF(H670="M&amp;B",PR!$AK668,IF(H670="MTRUST",PR!$AL668,IF(H670="MWORLD",PR!$AM668,IF(H670="MEGA",PR!$AN668,IF(H670="MICRONOVA",PR!$AO668,IF(H670="MFLASH",PR!$AP668,IF(H670="MORISON",PR!$AQ668,IF(H670="NEMEL",PR!$AR668,IF(H670="NHP",PR!$AS668,IF(H670="NHC",PR!$AT668,IF(H670="OLEAF",PR!$AU668,IF(H670="OCULUS",PR!$AV668,IF(H670="PACIFIC",PR!$AW668,IF(H670="PHAMATEX",PR!$AX668,IF(H670="PETHICS",PR!$AY668,IF(H670="PHILIPS",PR!$AZ668,IF(H670="RANBAXY",PR!$BA668,IF(H670="REALS",PR!$BB668,IF(H670="ROYAL",PR!$BC668,IF(H670="SAM",PR!$BD668,IF(H670="SEAGREEN",PR!$BE668,IF(H670="SKG",PR!$BF668,IF(H670="TAH",PR!$BG668,IF(H670="TAYLEK",PR!$BH668,IF(H670="TEMITA",PR!$BI668,IF(H670="THL",PR!$BJ668,IF(H670="UBASTIC",PR!$BK668,IF(H670="UNION",PR!$BL668,IF(H670="UNIQUE",PR!$BM668,IF(H670="VIXA",PR!$BN668,IF(H670="WWCV",PR!$BO668,IF(H670="ZOLON",PR!$BP668,"-"))))))))))))))))))))))))))))))))))))))))))))))))))))))))))))))))</f>
        <v>8500</v>
      </c>
      <c r="H670" s="102" t="str">
        <f>EV!M865</f>
        <v>TAH</v>
      </c>
      <c r="I670" s="108">
        <f>IF(J670="ALPHA",PR!$E668,IF(J670="ASSENE",PR!$F668,IF(J670="BIOFEM",PR!$G668,IF(J670="BIOMED",PR!$H668,IF(J670="CHI",PR!$I668,IF(J670="CLARION",PR!$J668,IF(J670="CODIX",PR!$K668,IF(J670="COSMADE",PR!$L668,IF(J670="SANCON",PR!$M668,IF(J670="DEVON",PR!$N668,IF(J670="DORTEMAG",PR!$O668,IF(J670="DGF",PR!$P668,IF(J670="DYNAMIC",PR!$Q668,IF(J670="EMZOR",PR!$R668,IF(J670="EUMATT",PR!$S668,IF(J670="FIDSON",PR!$T668,IF(J670="FCGLOBAL",PR!$U668,IF(J670="GENEITH",PR!$V668,IF(J670="GINOS",PR!$W668,IF(J670="GSK",PR!$X668,IF(J670="GLOBORG",PR!$Y668,IF(J670="GOODNEWS",PR!$Z668,IF(J670="GREENLIFE",PR!$AA668,IF(J670="HLINE",PR!$AB668,IF(J670="ROTECH",PR!$AC668,IF(J670="ISN",PR!$AD668,IF(J670="JAWA",PR!$AE668,IF(J670="LAYO",PR!$AF668,IF(J670="LEADWAY",PR!$AG668,IF(J670="LHV",PR!$AH668,IF(J670="MANOLA",PR!$AI668,IF(J670="MARCSON",PR!$AJ668,IF(J670="M&amp;B",PR!$AK668,IF(J670="MTRUST",PR!$AL668,IF(J670="MWORLD",PR!$AM668,IF(J670="MEGA",PR!$AN668,IF(J670="MICRONOVA",PR!$AO668,IF(J670="MFLASH",PR!$AP668,IF(J670="MORISON",PR!$AQ668,IF(J670="NEMEL",PR!$AR668,IF(J670="NHP",PR!$AS668,IF(J670="NHC",PR!$AT668,IF(J670="OLEAF",PR!$AU668,IF(J670="OCULUS",PR!$AV668,IF(J670="PACIFIC",PR!$AW668,IF(J670="PHAMATEX",PR!$AX668,IF(J670="PETHICS",PR!$AY668,IF(J670="PHILIPS",PR!$AZ668,IF(J670="RANBAXY",PR!$BA668,IF(J670="REALS",PR!$BB668,IF(J670="ROYAL",PR!$BC668,IF(J670="SAM",PR!$BD668,IF(J670="SEAGREEN",PR!$BE668,IF(J670="SKG",PR!$BF668,IF(J670="TAH",PR!$BG668,IF(J670="TAYLEK",PR!$BH668,IF(J670="TEMITA",PR!$BI668,IF(J670="THL",PR!$BJ668,IF(J670="UBASTIC",PR!$BK668,IF(J670="UNION",PR!$BL668,IF(J670="UNIQUE",PR!$BM668,IF(J670="VIXA",PR!$BN668,IF(J670="WWCV",PR!$BO668,IF(J670="ZOLON",PR!$BP668,"-"))))))))))))))))))))))))))))))))))))))))))))))))))))))))))))))))</f>
        <v>9000</v>
      </c>
      <c r="J670" s="102" t="str">
        <f>EV!N865</f>
        <v>SANCON</v>
      </c>
      <c r="K670" s="433" t="s">
        <v>2178</v>
      </c>
      <c r="L670" s="183" t="str">
        <f>IF(K670&gt;0,IF(K670="ALPHA",PR!$E668,IF(K670="ASSENE",PR!$F668,IF(K670="BIOFEM",PR!$G668,IF(K670="BIOMED",PR!$H668,IF(K670="CHI",PR!$I668,IF(K670="CLARION",PR!$J668,IF(K670="CODIX",PR!$K668,IF(K670="COSMADE",PR!$L668,IF(K670="SANCON",PR!$M668,IF(K670="DEVON",PR!$N668,IF(K670="DORTEMAG",PR!$O668,IF(K670="DGF",PR!$P668,IF(K670="DYNAMIC",PR!$Q668,IF(K670="EMZOR",PR!$R668,IF(K670="EUMATT",PR!$S668,IF(K670="FIDSON",PR!$T668,IF(K670="FCGLOBAL",PR!$U668,IF(K670="GENEITH",PR!$V668,IF(K670="GINOS",PR!$W668,IF(K670="GSK",PR!$X668,IF(K670="GLOBORG",PR!$Y668,IF(K670="GOODNEWS",PR!$Z668,IF(K670="GREENLIFE",PR!$AA668,IF(K670="HLINE",PR!$AB668,IF(K670="ROTECH",PR!$AC668,IF(K670="ISN",PR!$AD668,IF(K670="JAWA",PR!$AE668,IF(K670="LAYO",PR!$AF668,IF(K670="LEADWAY",PR!$AG668,IF(K670="LHV",PR!$AH668,IF(K670="MANOLA",PR!$AI668,IF(K670="MARCSON",PR!$AJ668,IF(K670="M&amp;B",PR!$AK668,IF(K670="MTRUST",PR!$AL668,IF(K670="MWORLD",PR!$AM668,IF(K670="MEGA",PR!$AN668,IF(K670="MICRONOVA",PR!$AO668,IF(K670="MFLASH",PR!$AP668,IF(K670="MORISON",PR!$AQ668,IF(K670="NEMEL",PR!$AR668,IF(K670="NHP",PR!$AS668,IF(K670="NHC",PR!$AT668,IF(K670="OLEAF",PR!$AU668,IF(K670="OCULUS",PR!$AV668,IF(K670="PACIFIC",PR!$AW668,IF(K670="PHAMATEX",PR!$AX668,IF(K670="PETHICS",PR!$AY668,IF(K670="PHILIPS",PR!$AZ668,IF(K670="RANBAXY",PR!$BA668,IF(K670="REALS",PR!$BB668,IF(K670="ROYAL",PR!$BC668,IF(K670="SAM",PR!$BD668,IF(K670="SEAGREEN",PR!$BE668,IF(K670="SKG",PR!$BF668,IF(K670="TAH",PR!$BG668,IF(K670="TAYLEK",PR!$BH668,IF(K670="TEMITA",PR!$BI668,IF(K670="THL",PR!$BJ668,IF(K670="UBASTIC",PR!$BK668,IF(K670="UNION",PR!$BL668,IF(K670="UNIQUE",PR!$BM668,IF(K670="VIXA",PR!$BN668,IF(K670="WWCV",PR!$BO668,IF(K670="ZOLON",PR!$BP668,"-")))))))))))))))))))))))))))))))))))))))))))))))))))))))))))))))))</f>
        <v>-</v>
      </c>
    </row>
    <row r="671" spans="1:12" ht="18.75" x14ac:dyDescent="0.3">
      <c r="A671" s="430">
        <f>PR!A669</f>
        <v>607</v>
      </c>
      <c r="B671" s="15" t="str">
        <f>PR!B669</f>
        <v>LUBRICATING GEL 85g</v>
      </c>
      <c r="C671" s="113" t="str">
        <f>PR!D669</f>
        <v>PCS</v>
      </c>
      <c r="D671" s="113">
        <f>PR!C669</f>
        <v>500</v>
      </c>
      <c r="E671" s="108">
        <f>IF(F671="ALPHA",PR!$E669,IF(F671="ASSENE",PR!$F669,IF(F671="BIOFEM",PR!$G669,IF(F671="BIOMED",PR!$H669,IF(F671="CHI",PR!$I669,IF(F671="CLARION",PR!$J669,IF(F671="CODIX",PR!$K669,IF(F671="COSMADE",PR!$L669,IF(F671="SANCON",PR!$M669,IF(F671="DEVON",PR!$N669,IF(F671="DORTEMAG",PR!$O669,IF(F671="DGF",PR!$P669,IF(F671="DYNAMIC",PR!$Q669,IF(F671="EMZOR",PR!$R669,IF(F671="EUMATT",PR!$S669,IF(F671="FIDSON",PR!$T669,IF(F671="FCGLOBAL",PR!$U669,IF(F671="GENEITH",PR!$V669,IF(F671="GINOS",PR!$W669,IF(F671="GSK",PR!$X669,IF(F671="GLOBORG",PR!$Y669,IF(F671="GOODNEWS",PR!$Z669,IF(F671="GREENLIFE",PR!$AA669,IF(F671="HLINE",PR!$AB669,IF(F671="ROTECH",PR!$AC669,IF(F671="ISN",PR!$AD669,IF(F671="JAWA",PR!$AE669,IF(F671="LAYO",PR!$AF669,IF(F671="LEADWAY",PR!$AG669,IF(F671="LHV",PR!$AH669,IF(F671="MANOLA",PR!$AI669,IF(F671="MARCSON",PR!$AJ669,IF(F671="M&amp;B",PR!$AK669,IF(F671="MTRUST",PR!$AL669,IF(F671="MWORLD",PR!$AM669,IF(F671="MEGA",PR!$AN669,IF(F671="MICRONOVA",PR!$AO669,IF(F671="MFLASH",PR!$AP669,IF(F671="MORISON",PR!$AQ669,IF(F671="NEMEL",PR!$AR669,IF(F671="NHP",PR!$AS669,IF(F671="NHC",PR!$AT669,IF(F671="OLEAF",PR!$AU669,IF(F671="OCULUS",PR!$AV669,IF(F671="PACIFIC",PR!$AW669,IF(F671="PHAMATEX",PR!$AX669,IF(F671="PETHICS",PR!$AY669,IF(F671="PHILIPS",PR!$AZ669,IF(F671="RANBAXY",PR!$BA669,IF(F671="REALS",PR!$BB669,IF(F671="ROYAL",PR!$BC669,IF(F671="SAM",PR!$BD669,IF(F671="SEAGREEN",PR!$BE669,IF(F671="SKG",PR!$BF669,IF(F671="TAH",PR!$BG669,IF(F671="TAYLEK",PR!$BH669,IF(F671="TEMITA",PR!$BI669,IF(F671="THL",PR!$BJ669,IF(F671="UBASTIC",PR!$BK669,IF(F671="UNION",PR!$BL669,IF(F671="UNIQUE",PR!$BM669,IF(F671="VIXA",PR!$BN669,IF(F671="WWCV",PR!$BO669,IF(F671="ZOLON",PR!$BP669,"-"))))))))))))))))))))))))))))))))))))))))))))))))))))))))))))))))</f>
        <v>550</v>
      </c>
      <c r="F671" s="102" t="str">
        <f>EV!L866</f>
        <v>EUMATT</v>
      </c>
      <c r="G671" s="108">
        <f>IF(H671="ALPHA",PR!$E669,IF(H671="ASSENE",PR!$F669,IF(H671="BIOFEM",PR!$G669,IF(H671="BIOMED",PR!$H669,IF(H671="CHI",PR!$I669,IF(H671="CLARION",PR!$J669,IF(H671="CODIX",PR!$K669,IF(H671="COSMADE",PR!$L669,IF(H671="SANCON",PR!$M669,IF(H671="DEVON",PR!$N669,IF(H671="DORTEMAG",PR!$O669,IF(H671="DGF",PR!$P669,IF(H671="DYNAMIC",PR!$Q669,IF(H671="EMZOR",PR!$R669,IF(H671="EUMATT",PR!$S669,IF(H671="FIDSON",PR!$T669,IF(H671="FCGLOBAL",PR!$U669,IF(H671="GENEITH",PR!$V669,IF(H671="GINOS",PR!$W669,IF(H671="GSK",PR!$X669,IF(H671="GLOBORG",PR!$Y669,IF(H671="GOODNEWS",PR!$Z669,IF(H671="GREENLIFE",PR!$AA669,IF(H671="HLINE",PR!$AB669,IF(H671="ROTECH",PR!$AC669,IF(H671="ISN",PR!$AD669,IF(H671="JAWA",PR!$AE669,IF(H671="LAYO",PR!$AF669,IF(H671="LEADWAY",PR!$AG669,IF(H671="LHV",PR!$AH669,IF(H671="MANOLA",PR!$AI669,IF(H671="MARCSON",PR!$AJ669,IF(H671="M&amp;B",PR!$AK669,IF(H671="MTRUST",PR!$AL669,IF(H671="MWORLD",PR!$AM669,IF(H671="MEGA",PR!$AN669,IF(H671="MICRONOVA",PR!$AO669,IF(H671="MFLASH",PR!$AP669,IF(H671="MORISON",PR!$AQ669,IF(H671="NEMEL",PR!$AR669,IF(H671="NHP",PR!$AS669,IF(H671="NHC",PR!$AT669,IF(H671="OLEAF",PR!$AU669,IF(H671="OCULUS",PR!$AV669,IF(H671="PACIFIC",PR!$AW669,IF(H671="PHAMATEX",PR!$AX669,IF(H671="PETHICS",PR!$AY669,IF(H671="PHILIPS",PR!$AZ669,IF(H671="RANBAXY",PR!$BA669,IF(H671="REALS",PR!$BB669,IF(H671="ROYAL",PR!$BC669,IF(H671="SAM",PR!$BD669,IF(H671="SEAGREEN",PR!$BE669,IF(H671="SKG",PR!$BF669,IF(H671="TAH",PR!$BG669,IF(H671="TAYLEK",PR!$BH669,IF(H671="TEMITA",PR!$BI669,IF(H671="THL",PR!$BJ669,IF(H671="UBASTIC",PR!$BK669,IF(H671="UNION",PR!$BL669,IF(H671="UNIQUE",PR!$BM669,IF(H671="VIXA",PR!$BN669,IF(H671="WWCV",PR!$BO669,IF(H671="ZOLON",PR!$BP669,"-"))))))))))))))))))))))))))))))))))))))))))))))))))))))))))))))))</f>
        <v>1500</v>
      </c>
      <c r="H671" s="102" t="str">
        <f>EV!M866</f>
        <v>GINOS</v>
      </c>
      <c r="I671" s="108" t="str">
        <f>IF(J671="ALPHA",PR!$E669,IF(J671="ASSENE",PR!$F669,IF(J671="BIOFEM",PR!$G669,IF(J671="BIOMED",PR!$H669,IF(J671="CHI",PR!$I669,IF(J671="CLARION",PR!$J669,IF(J671="CODIX",PR!$K669,IF(J671="COSMADE",PR!$L669,IF(J671="SANCON",PR!$M669,IF(J671="DEVON",PR!$N669,IF(J671="DORTEMAG",PR!$O669,IF(J671="DGF",PR!$P669,IF(J671="DYNAMIC",PR!$Q669,IF(J671="EMZOR",PR!$R669,IF(J671="EUMATT",PR!$S669,IF(J671="FIDSON",PR!$T669,IF(J671="FCGLOBAL",PR!$U669,IF(J671="GENEITH",PR!$V669,IF(J671="GINOS",PR!$W669,IF(J671="GSK",PR!$X669,IF(J671="GLOBORG",PR!$Y669,IF(J671="GOODNEWS",PR!$Z669,IF(J671="GREENLIFE",PR!$AA669,IF(J671="HLINE",PR!$AB669,IF(J671="ROTECH",PR!$AC669,IF(J671="ISN",PR!$AD669,IF(J671="JAWA",PR!$AE669,IF(J671="LAYO",PR!$AF669,IF(J671="LEADWAY",PR!$AG669,IF(J671="LHV",PR!$AH669,IF(J671="MANOLA",PR!$AI669,IF(J671="MARCSON",PR!$AJ669,IF(J671="M&amp;B",PR!$AK669,IF(J671="MTRUST",PR!$AL669,IF(J671="MWORLD",PR!$AM669,IF(J671="MEGA",PR!$AN669,IF(J671="MICRONOVA",PR!$AO669,IF(J671="MFLASH",PR!$AP669,IF(J671="MORISON",PR!$AQ669,IF(J671="NEMEL",PR!$AR669,IF(J671="NHP",PR!$AS669,IF(J671="NHC",PR!$AT669,IF(J671="OLEAF",PR!$AU669,IF(J671="OCULUS",PR!$AV669,IF(J671="PACIFIC",PR!$AW669,IF(J671="PHAMATEX",PR!$AX669,IF(J671="PETHICS",PR!$AY669,IF(J671="PHILIPS",PR!$AZ669,IF(J671="RANBAXY",PR!$BA669,IF(J671="REALS",PR!$BB669,IF(J671="ROYAL",PR!$BC669,IF(J671="SAM",PR!$BD669,IF(J671="SEAGREEN",PR!$BE669,IF(J671="SKG",PR!$BF669,IF(J671="TAH",PR!$BG669,IF(J671="TAYLEK",PR!$BH669,IF(J671="TEMITA",PR!$BI669,IF(J671="THL",PR!$BJ669,IF(J671="UBASTIC",PR!$BK669,IF(J671="UNION",PR!$BL669,IF(J671="UNIQUE",PR!$BM669,IF(J671="VIXA",PR!$BN669,IF(J671="WWCV",PR!$BO669,IF(J671="ZOLON",PR!$BP669,"-"))))))))))))))))))))))))))))))))))))))))))))))))))))))))))))))))</f>
        <v>-</v>
      </c>
      <c r="J671" s="102">
        <f>EV!N866</f>
        <v>0</v>
      </c>
      <c r="K671" s="433"/>
      <c r="L671" s="183" t="b">
        <f>IF(K671&gt;0,IF(K671="ALPHA",PR!$E669,IF(K671="ASSENE",PR!$F669,IF(K671="BIOFEM",PR!$G669,IF(K671="BIOMED",PR!$H669,IF(K671="CHI",PR!$I669,IF(K671="CLARION",PR!$J669,IF(K671="CODIX",PR!$K669,IF(K671="COSMADE",PR!$L669,IF(K671="SANCON",PR!$M669,IF(K671="DEVON",PR!$N669,IF(K671="DORTEMAG",PR!$O669,IF(K671="DGF",PR!$P669,IF(K671="DYNAMIC",PR!$Q669,IF(K671="EMZOR",PR!$R669,IF(K671="EUMATT",PR!$S669,IF(K671="FIDSON",PR!$T669,IF(K671="FCGLOBAL",PR!$U669,IF(K671="GENEITH",PR!$V669,IF(K671="GINOS",PR!$W669,IF(K671="GSK",PR!$X669,IF(K671="GLOBORG",PR!$Y669,IF(K671="GOODNEWS",PR!$Z669,IF(K671="GREENLIFE",PR!$AA669,IF(K671="HLINE",PR!$AB669,IF(K671="ROTECH",PR!$AC669,IF(K671="ISN",PR!$AD669,IF(K671="JAWA",PR!$AE669,IF(K671="LAYO",PR!$AF669,IF(K671="LEADWAY",PR!$AG669,IF(K671="LHV",PR!$AH669,IF(K671="MANOLA",PR!$AI669,IF(K671="MARCSON",PR!$AJ669,IF(K671="M&amp;B",PR!$AK669,IF(K671="MTRUST",PR!$AL669,IF(K671="MWORLD",PR!$AM669,IF(K671="MEGA",PR!$AN669,IF(K671="MICRONOVA",PR!$AO669,IF(K671="MFLASH",PR!$AP669,IF(K671="MORISON",PR!$AQ669,IF(K671="NEMEL",PR!$AR669,IF(K671="NHP",PR!$AS669,IF(K671="NHC",PR!$AT669,IF(K671="OLEAF",PR!$AU669,IF(K671="OCULUS",PR!$AV669,IF(K671="PACIFIC",PR!$AW669,IF(K671="PHAMATEX",PR!$AX669,IF(K671="PETHICS",PR!$AY669,IF(K671="PHILIPS",PR!$AZ669,IF(K671="RANBAXY",PR!$BA669,IF(K671="REALS",PR!$BB669,IF(K671="ROYAL",PR!$BC669,IF(K671="SAM",PR!$BD669,IF(K671="SEAGREEN",PR!$BE669,IF(K671="SKG",PR!$BF669,IF(K671="TAH",PR!$BG669,IF(K671="TAYLEK",PR!$BH669,IF(K671="TEMITA",PR!$BI669,IF(K671="THL",PR!$BJ669,IF(K671="UBASTIC",PR!$BK669,IF(K671="UNION",PR!$BL669,IF(K671="UNIQUE",PR!$BM669,IF(K671="VIXA",PR!$BN669,IF(K671="WWCV",PR!$BO669,IF(K671="ZOLON",PR!$BP669,"-")))))))))))))))))))))))))))))))))))))))))))))))))))))))))))))))))</f>
        <v>0</v>
      </c>
    </row>
    <row r="672" spans="1:12" ht="18.75" x14ac:dyDescent="0.3">
      <c r="A672" s="430">
        <f>PR!A670</f>
        <v>608</v>
      </c>
      <c r="B672" s="15" t="str">
        <f>PR!B670</f>
        <v>MUCUS EXRACTOR</v>
      </c>
      <c r="C672" s="113">
        <f>PR!D670</f>
        <v>25</v>
      </c>
      <c r="D672" s="113">
        <f>PR!C670</f>
        <v>60</v>
      </c>
      <c r="E672" s="108">
        <f>IF(F672="ALPHA",PR!$E670,IF(F672="ASSENE",PR!$F670,IF(F672="BIOFEM",PR!$G670,IF(F672="BIOMED",PR!$H670,IF(F672="CHI",PR!$I670,IF(F672="CLARION",PR!$J670,IF(F672="CODIX",PR!$K670,IF(F672="COSMADE",PR!$L670,IF(F672="SANCON",PR!$M670,IF(F672="DEVON",PR!$N670,IF(F672="DORTEMAG",PR!$O670,IF(F672="DGF",PR!$P670,IF(F672="DYNAMIC",PR!$Q670,IF(F672="EMZOR",PR!$R670,IF(F672="EUMATT",PR!$S670,IF(F672="FIDSON",PR!$T670,IF(F672="FCGLOBAL",PR!$U670,IF(F672="GENEITH",PR!$V670,IF(F672="GINOS",PR!$W670,IF(F672="GSK",PR!$X670,IF(F672="GLOBORG",PR!$Y670,IF(F672="GOODNEWS",PR!$Z670,IF(F672="GREENLIFE",PR!$AA670,IF(F672="HLINE",PR!$AB670,IF(F672="ROTECH",PR!$AC670,IF(F672="ISN",PR!$AD670,IF(F672="JAWA",PR!$AE670,IF(F672="LAYO",PR!$AF670,IF(F672="LEADWAY",PR!$AG670,IF(F672="LHV",PR!$AH670,IF(F672="MANOLA",PR!$AI670,IF(F672="MARCSON",PR!$AJ670,IF(F672="M&amp;B",PR!$AK670,IF(F672="MTRUST",PR!$AL670,IF(F672="MWORLD",PR!$AM670,IF(F672="MEGA",PR!$AN670,IF(F672="MICRONOVA",PR!$AO670,IF(F672="MFLASH",PR!$AP670,IF(F672="MORISON",PR!$AQ670,IF(F672="NEMEL",PR!$AR670,IF(F672="NHP",PR!$AS670,IF(F672="NHC",PR!$AT670,IF(F672="OLEAF",PR!$AU670,IF(F672="OCULUS",PR!$AV670,IF(F672="PACIFIC",PR!$AW670,IF(F672="PHAMATEX",PR!$AX670,IF(F672="PETHICS",PR!$AY670,IF(F672="PHILIPS",PR!$AZ670,IF(F672="RANBAXY",PR!$BA670,IF(F672="REALS",PR!$BB670,IF(F672="ROYAL",PR!$BC670,IF(F672="SAM",PR!$BD670,IF(F672="SEAGREEN",PR!$BE670,IF(F672="SKG",PR!$BF670,IF(F672="TAH",PR!$BG670,IF(F672="TAYLEK",PR!$BH670,IF(F672="TEMITA",PR!$BI670,IF(F672="THL",PR!$BJ670,IF(F672="UBASTIC",PR!$BK670,IF(F672="UNION",PR!$BL670,IF(F672="UNIQUE",PR!$BM670,IF(F672="VIXA",PR!$BN670,IF(F672="WWCV",PR!$BO670,IF(F672="ZOLON",PR!$BP670,"-"))))))))))))))))))))))))))))))))))))))))))))))))))))))))))))))))</f>
        <v>2220</v>
      </c>
      <c r="F672" s="102" t="str">
        <f>EV!L867</f>
        <v>ROTECH</v>
      </c>
      <c r="G672" s="108">
        <f>IF(H672="ALPHA",PR!$E670,IF(H672="ASSENE",PR!$F670,IF(H672="BIOFEM",PR!$G670,IF(H672="BIOMED",PR!$H670,IF(H672="CHI",PR!$I670,IF(H672="CLARION",PR!$J670,IF(H672="CODIX",PR!$K670,IF(H672="COSMADE",PR!$L670,IF(H672="SANCON",PR!$M670,IF(H672="DEVON",PR!$N670,IF(H672="DORTEMAG",PR!$O670,IF(H672="DGF",PR!$P670,IF(H672="DYNAMIC",PR!$Q670,IF(H672="EMZOR",PR!$R670,IF(H672="EUMATT",PR!$S670,IF(H672="FIDSON",PR!$T670,IF(H672="FCGLOBAL",PR!$U670,IF(H672="GENEITH",PR!$V670,IF(H672="GINOS",PR!$W670,IF(H672="GSK",PR!$X670,IF(H672="GLOBORG",PR!$Y670,IF(H672="GOODNEWS",PR!$Z670,IF(H672="GREENLIFE",PR!$AA670,IF(H672="HLINE",PR!$AB670,IF(H672="ROTECH",PR!$AC670,IF(H672="ISN",PR!$AD670,IF(H672="JAWA",PR!$AE670,IF(H672="LAYO",PR!$AF670,IF(H672="LEADWAY",PR!$AG670,IF(H672="LHV",PR!$AH670,IF(H672="MANOLA",PR!$AI670,IF(H672="MARCSON",PR!$AJ670,IF(H672="M&amp;B",PR!$AK670,IF(H672="MTRUST",PR!$AL670,IF(H672="MWORLD",PR!$AM670,IF(H672="MEGA",PR!$AN670,IF(H672="MICRONOVA",PR!$AO670,IF(H672="MFLASH",PR!$AP670,IF(H672="MORISON",PR!$AQ670,IF(H672="NEMEL",PR!$AR670,IF(H672="NHP",PR!$AS670,IF(H672="NHC",PR!$AT670,IF(H672="OLEAF",PR!$AU670,IF(H672="OCULUS",PR!$AV670,IF(H672="PACIFIC",PR!$AW670,IF(H672="PHAMATEX",PR!$AX670,IF(H672="PETHICS",PR!$AY670,IF(H672="PHILIPS",PR!$AZ670,IF(H672="RANBAXY",PR!$BA670,IF(H672="REALS",PR!$BB670,IF(H672="ROYAL",PR!$BC670,IF(H672="SAM",PR!$BD670,IF(H672="SEAGREEN",PR!$BE670,IF(H672="SKG",PR!$BF670,IF(H672="TAH",PR!$BG670,IF(H672="TAYLEK",PR!$BH670,IF(H672="TEMITA",PR!$BI670,IF(H672="THL",PR!$BJ670,IF(H672="UBASTIC",PR!$BK670,IF(H672="UNION",PR!$BL670,IF(H672="UNIQUE",PR!$BM670,IF(H672="VIXA",PR!$BN670,IF(H672="WWCV",PR!$BO670,IF(H672="ZOLON",PR!$BP670,"-"))))))))))))))))))))))))))))))))))))))))))))))))))))))))))))))))</f>
        <v>2250</v>
      </c>
      <c r="H672" s="102" t="str">
        <f>EV!M867</f>
        <v>EUMATT</v>
      </c>
      <c r="I672" s="108">
        <f>IF(J672="ALPHA",PR!$E670,IF(J672="ASSENE",PR!$F670,IF(J672="BIOFEM",PR!$G670,IF(J672="BIOMED",PR!$H670,IF(J672="CHI",PR!$I670,IF(J672="CLARION",PR!$J670,IF(J672="CODIX",PR!$K670,IF(J672="COSMADE",PR!$L670,IF(J672="SANCON",PR!$M670,IF(J672="DEVON",PR!$N670,IF(J672="DORTEMAG",PR!$O670,IF(J672="DGF",PR!$P670,IF(J672="DYNAMIC",PR!$Q670,IF(J672="EMZOR",PR!$R670,IF(J672="EUMATT",PR!$S670,IF(J672="FIDSON",PR!$T670,IF(J672="FCGLOBAL",PR!$U670,IF(J672="GENEITH",PR!$V670,IF(J672="GINOS",PR!$W670,IF(J672="GSK",PR!$X670,IF(J672="GLOBORG",PR!$Y670,IF(J672="GOODNEWS",PR!$Z670,IF(J672="GREENLIFE",PR!$AA670,IF(J672="HLINE",PR!$AB670,IF(J672="ROTECH",PR!$AC670,IF(J672="ISN",PR!$AD670,IF(J672="JAWA",PR!$AE670,IF(J672="LAYO",PR!$AF670,IF(J672="LEADWAY",PR!$AG670,IF(J672="LHV",PR!$AH670,IF(J672="MANOLA",PR!$AI670,IF(J672="MARCSON",PR!$AJ670,IF(J672="M&amp;B",PR!$AK670,IF(J672="MTRUST",PR!$AL670,IF(J672="MWORLD",PR!$AM670,IF(J672="MEGA",PR!$AN670,IF(J672="MICRONOVA",PR!$AO670,IF(J672="MFLASH",PR!$AP670,IF(J672="MORISON",PR!$AQ670,IF(J672="NEMEL",PR!$AR670,IF(J672="NHP",PR!$AS670,IF(J672="NHC",PR!$AT670,IF(J672="OLEAF",PR!$AU670,IF(J672="OCULUS",PR!$AV670,IF(J672="PACIFIC",PR!$AW670,IF(J672="PHAMATEX",PR!$AX670,IF(J672="PETHICS",PR!$AY670,IF(J672="PHILIPS",PR!$AZ670,IF(J672="RANBAXY",PR!$BA670,IF(J672="REALS",PR!$BB670,IF(J672="ROYAL",PR!$BC670,IF(J672="SAM",PR!$BD670,IF(J672="SEAGREEN",PR!$BE670,IF(J672="SKG",PR!$BF670,IF(J672="TAH",PR!$BG670,IF(J672="TAYLEK",PR!$BH670,IF(J672="TEMITA",PR!$BI670,IF(J672="THL",PR!$BJ670,IF(J672="UBASTIC",PR!$BK670,IF(J672="UNION",PR!$BL670,IF(J672="UNIQUE",PR!$BM670,IF(J672="VIXA",PR!$BN670,IF(J672="WWCV",PR!$BO670,IF(J672="ZOLON",PR!$BP670,"-"))))))))))))))))))))))))))))))))))))))))))))))))))))))))))))))))</f>
        <v>2300</v>
      </c>
      <c r="J672" s="102" t="str">
        <f>EV!N867</f>
        <v>COSMADE</v>
      </c>
      <c r="K672" s="433" t="s">
        <v>825</v>
      </c>
      <c r="L672" s="183">
        <f>IF(K672&gt;0,IF(K672="ALPHA",PR!$E670,IF(K672="ASSENE",PR!$F670,IF(K672="BIOFEM",PR!$G670,IF(K672="BIOMED",PR!$H670,IF(K672="CHI",PR!$I670,IF(K672="CLARION",PR!$J670,IF(K672="CODIX",PR!$K670,IF(K672="COSMADE",PR!$L670,IF(K672="SANCON",PR!$M670,IF(K672="DEVON",PR!$N670,IF(K672="DORTEMAG",PR!$O670,IF(K672="DGF",PR!$P670,IF(K672="DYNAMIC",PR!$Q670,IF(K672="EMZOR",PR!$R670,IF(K672="EUMATT",PR!$S670,IF(K672="FIDSON",PR!$T670,IF(K672="FCGLOBAL",PR!$U670,IF(K672="GENEITH",PR!$V670,IF(K672="GINOS",PR!$W670,IF(K672="GSK",PR!$X670,IF(K672="GLOBORG",PR!$Y670,IF(K672="GOODNEWS",PR!$Z670,IF(K672="GREENLIFE",PR!$AA670,IF(K672="HLINE",PR!$AB670,IF(K672="ROTECH",PR!$AC670,IF(K672="ISN",PR!$AD670,IF(K672="JAWA",PR!$AE670,IF(K672="LAYO",PR!$AF670,IF(K672="LEADWAY",PR!$AG670,IF(K672="LHV",PR!$AH670,IF(K672="MANOLA",PR!$AI670,IF(K672="MARCSON",PR!$AJ670,IF(K672="M&amp;B",PR!$AK670,IF(K672="MTRUST",PR!$AL670,IF(K672="MWORLD",PR!$AM670,IF(K672="MEGA",PR!$AN670,IF(K672="MICRONOVA",PR!$AO670,IF(K672="MFLASH",PR!$AP670,IF(K672="MORISON",PR!$AQ670,IF(K672="NEMEL",PR!$AR670,IF(K672="NHP",PR!$AS670,IF(K672="NHC",PR!$AT670,IF(K672="OLEAF",PR!$AU670,IF(K672="OCULUS",PR!$AV670,IF(K672="PACIFIC",PR!$AW670,IF(K672="PHAMATEX",PR!$AX670,IF(K672="PETHICS",PR!$AY670,IF(K672="PHILIPS",PR!$AZ670,IF(K672="RANBAXY",PR!$BA670,IF(K672="REALS",PR!$BB670,IF(K672="ROYAL",PR!$BC670,IF(K672="SAM",PR!$BD670,IF(K672="SEAGREEN",PR!$BE670,IF(K672="SKG",PR!$BF670,IF(K672="TAH",PR!$BG670,IF(K672="TAYLEK",PR!$BH670,IF(K672="TEMITA",PR!$BI670,IF(K672="THL",PR!$BJ670,IF(K672="UBASTIC",PR!$BK670,IF(K672="UNION",PR!$BL670,IF(K672="UNIQUE",PR!$BM670,IF(K672="VIXA",PR!$BN670,IF(K672="WWCV",PR!$BO670,IF(K672="ZOLON",PR!$BP670,"-")))))))))))))))))))))))))))))))))))))))))))))))))))))))))))))))))</f>
        <v>2220</v>
      </c>
    </row>
    <row r="673" spans="1:12" ht="18.75" x14ac:dyDescent="0.3">
      <c r="A673" s="430">
        <f>PR!A671</f>
        <v>609</v>
      </c>
      <c r="B673" s="15" t="str">
        <f>PR!B671</f>
        <v>NASOGASTRIC TUBE 10"</v>
      </c>
      <c r="C673" s="113">
        <f>PR!D671</f>
        <v>10</v>
      </c>
      <c r="D673" s="113">
        <f>PR!C671</f>
        <v>21</v>
      </c>
      <c r="E673" s="108">
        <f>IF(F673="ALPHA",PR!$E671,IF(F673="ASSENE",PR!$F671,IF(F673="BIOFEM",PR!$G671,IF(F673="BIOMED",PR!$H671,IF(F673="CHI",PR!$I671,IF(F673="CLARION",PR!$J671,IF(F673="CODIX",PR!$K671,IF(F673="COSMADE",PR!$L671,IF(F673="SANCON",PR!$M671,IF(F673="DEVON",PR!$N671,IF(F673="DORTEMAG",PR!$O671,IF(F673="DGF",PR!$P671,IF(F673="DYNAMIC",PR!$Q671,IF(F673="EMZOR",PR!$R671,IF(F673="EUMATT",PR!$S671,IF(F673="FIDSON",PR!$T671,IF(F673="FCGLOBAL",PR!$U671,IF(F673="GENEITH",PR!$V671,IF(F673="GINOS",PR!$W671,IF(F673="GSK",PR!$X671,IF(F673="GLOBORG",PR!$Y671,IF(F673="GOODNEWS",PR!$Z671,IF(F673="GREENLIFE",PR!$AA671,IF(F673="HLINE",PR!$AB671,IF(F673="ROTECH",PR!$AC671,IF(F673="ISN",PR!$AD671,IF(F673="JAWA",PR!$AE671,IF(F673="LAYO",PR!$AF671,IF(F673="LEADWAY",PR!$AG671,IF(F673="LHV",PR!$AH671,IF(F673="MANOLA",PR!$AI671,IF(F673="MARCSON",PR!$AJ671,IF(F673="M&amp;B",PR!$AK671,IF(F673="MTRUST",PR!$AL671,IF(F673="MWORLD",PR!$AM671,IF(F673="MEGA",PR!$AN671,IF(F673="MICRONOVA",PR!$AO671,IF(F673="MFLASH",PR!$AP671,IF(F673="MORISON",PR!$AQ671,IF(F673="NEMEL",PR!$AR671,IF(F673="NHP",PR!$AS671,IF(F673="NHC",PR!$AT671,IF(F673="OLEAF",PR!$AU671,IF(F673="OCULUS",PR!$AV671,IF(F673="PACIFIC",PR!$AW671,IF(F673="PHAMATEX",PR!$AX671,IF(F673="PETHICS",PR!$AY671,IF(F673="PHILIPS",PR!$AZ671,IF(F673="RANBAXY",PR!$BA671,IF(F673="REALS",PR!$BB671,IF(F673="ROYAL",PR!$BC671,IF(F673="SAM",PR!$BD671,IF(F673="SEAGREEN",PR!$BE671,IF(F673="SKG",PR!$BF671,IF(F673="TAH",PR!$BG671,IF(F673="TAYLEK",PR!$BH671,IF(F673="TEMITA",PR!$BI671,IF(F673="THL",PR!$BJ671,IF(F673="UBASTIC",PR!$BK671,IF(F673="UNION",PR!$BL671,IF(F673="UNIQUE",PR!$BM671,IF(F673="VIXA",PR!$BN671,IF(F673="WWCV",PR!$BO671,IF(F673="ZOLON",PR!$BP671,"-"))))))))))))))))))))))))))))))))))))))))))))))))))))))))))))))))</f>
        <v>540</v>
      </c>
      <c r="F673" s="102" t="str">
        <f>EV!L868</f>
        <v>SANCON</v>
      </c>
      <c r="G673" s="108">
        <f>IF(H673="ALPHA",PR!$E671,IF(H673="ASSENE",PR!$F671,IF(H673="BIOFEM",PR!$G671,IF(H673="BIOMED",PR!$H671,IF(H673="CHI",PR!$I671,IF(H673="CLARION",PR!$J671,IF(H673="CODIX",PR!$K671,IF(H673="COSMADE",PR!$L671,IF(H673="SANCON",PR!$M671,IF(H673="DEVON",PR!$N671,IF(H673="DORTEMAG",PR!$O671,IF(H673="DGF",PR!$P671,IF(H673="DYNAMIC",PR!$Q671,IF(H673="EMZOR",PR!$R671,IF(H673="EUMATT",PR!$S671,IF(H673="FIDSON",PR!$T671,IF(H673="FCGLOBAL",PR!$U671,IF(H673="GENEITH",PR!$V671,IF(H673="GINOS",PR!$W671,IF(H673="GSK",PR!$X671,IF(H673="GLOBORG",PR!$Y671,IF(H673="GOODNEWS",PR!$Z671,IF(H673="GREENLIFE",PR!$AA671,IF(H673="HLINE",PR!$AB671,IF(H673="ROTECH",PR!$AC671,IF(H673="ISN",PR!$AD671,IF(H673="JAWA",PR!$AE671,IF(H673="LAYO",PR!$AF671,IF(H673="LEADWAY",PR!$AG671,IF(H673="LHV",PR!$AH671,IF(H673="MANOLA",PR!$AI671,IF(H673="MARCSON",PR!$AJ671,IF(H673="M&amp;B",PR!$AK671,IF(H673="MTRUST",PR!$AL671,IF(H673="MWORLD",PR!$AM671,IF(H673="MEGA",PR!$AN671,IF(H673="MICRONOVA",PR!$AO671,IF(H673="MFLASH",PR!$AP671,IF(H673="MORISON",PR!$AQ671,IF(H673="NEMEL",PR!$AR671,IF(H673="NHP",PR!$AS671,IF(H673="NHC",PR!$AT671,IF(H673="OLEAF",PR!$AU671,IF(H673="OCULUS",PR!$AV671,IF(H673="PACIFIC",PR!$AW671,IF(H673="PHAMATEX",PR!$AX671,IF(H673="PETHICS",PR!$AY671,IF(H673="PHILIPS",PR!$AZ671,IF(H673="RANBAXY",PR!$BA671,IF(H673="REALS",PR!$BB671,IF(H673="ROYAL",PR!$BC671,IF(H673="SAM",PR!$BD671,IF(H673="SEAGREEN",PR!$BE671,IF(H673="SKG",PR!$BF671,IF(H673="TAH",PR!$BG671,IF(H673="TAYLEK",PR!$BH671,IF(H673="TEMITA",PR!$BI671,IF(H673="THL",PR!$BJ671,IF(H673="UBASTIC",PR!$BK671,IF(H673="UNION",PR!$BL671,IF(H673="UNIQUE",PR!$BM671,IF(H673="VIXA",PR!$BN671,IF(H673="WWCV",PR!$BO671,IF(H673="ZOLON",PR!$BP671,"-"))))))))))))))))))))))))))))))))))))))))))))))))))))))))))))))))</f>
        <v>600</v>
      </c>
      <c r="H673" s="102" t="str">
        <f>EV!M868</f>
        <v>EUMATT</v>
      </c>
      <c r="I673" s="108">
        <f>IF(J673="ALPHA",PR!$E671,IF(J673="ASSENE",PR!$F671,IF(J673="BIOFEM",PR!$G671,IF(J673="BIOMED",PR!$H671,IF(J673="CHI",PR!$I671,IF(J673="CLARION",PR!$J671,IF(J673="CODIX",PR!$K671,IF(J673="COSMADE",PR!$L671,IF(J673="SANCON",PR!$M671,IF(J673="DEVON",PR!$N671,IF(J673="DORTEMAG",PR!$O671,IF(J673="DGF",PR!$P671,IF(J673="DYNAMIC",PR!$Q671,IF(J673="EMZOR",PR!$R671,IF(J673="EUMATT",PR!$S671,IF(J673="FIDSON",PR!$T671,IF(J673="FCGLOBAL",PR!$U671,IF(J673="GENEITH",PR!$V671,IF(J673="GINOS",PR!$W671,IF(J673="GSK",PR!$X671,IF(J673="GLOBORG",PR!$Y671,IF(J673="GOODNEWS",PR!$Z671,IF(J673="GREENLIFE",PR!$AA671,IF(J673="HLINE",PR!$AB671,IF(J673="ROTECH",PR!$AC671,IF(J673="ISN",PR!$AD671,IF(J673="JAWA",PR!$AE671,IF(J673="LAYO",PR!$AF671,IF(J673="LEADWAY",PR!$AG671,IF(J673="LHV",PR!$AH671,IF(J673="MANOLA",PR!$AI671,IF(J673="MARCSON",PR!$AJ671,IF(J673="M&amp;B",PR!$AK671,IF(J673="MTRUST",PR!$AL671,IF(J673="MWORLD",PR!$AM671,IF(J673="MEGA",PR!$AN671,IF(J673="MICRONOVA",PR!$AO671,IF(J673="MFLASH",PR!$AP671,IF(J673="MORISON",PR!$AQ671,IF(J673="NEMEL",PR!$AR671,IF(J673="NHP",PR!$AS671,IF(J673="NHC",PR!$AT671,IF(J673="OLEAF",PR!$AU671,IF(J673="OCULUS",PR!$AV671,IF(J673="PACIFIC",PR!$AW671,IF(J673="PHAMATEX",PR!$AX671,IF(J673="PETHICS",PR!$AY671,IF(J673="PHILIPS",PR!$AZ671,IF(J673="RANBAXY",PR!$BA671,IF(J673="REALS",PR!$BB671,IF(J673="ROYAL",PR!$BC671,IF(J673="SAM",PR!$BD671,IF(J673="SEAGREEN",PR!$BE671,IF(J673="SKG",PR!$BF671,IF(J673="TAH",PR!$BG671,IF(J673="TAYLEK",PR!$BH671,IF(J673="TEMITA",PR!$BI671,IF(J673="THL",PR!$BJ671,IF(J673="UBASTIC",PR!$BK671,IF(J673="UNION",PR!$BL671,IF(J673="UNIQUE",PR!$BM671,IF(J673="VIXA",PR!$BN671,IF(J673="WWCV",PR!$BO671,IF(J673="ZOLON",PR!$BP671,"-"))))))))))))))))))))))))))))))))))))))))))))))))))))))))))))))))</f>
        <v>1000</v>
      </c>
      <c r="J673" s="102" t="str">
        <f>EV!N868</f>
        <v>COSMADE</v>
      </c>
      <c r="K673" s="433" t="s">
        <v>817</v>
      </c>
      <c r="L673" s="183">
        <f>IF(K673&gt;0,IF(K673="ALPHA",PR!$E671,IF(K673="ASSENE",PR!$F671,IF(K673="BIOFEM",PR!$G671,IF(K673="BIOMED",PR!$H671,IF(K673="CHI",PR!$I671,IF(K673="CLARION",PR!$J671,IF(K673="CODIX",PR!$K671,IF(K673="COSMADE",PR!$L671,IF(K673="SANCON",PR!$M671,IF(K673="DEVON",PR!$N671,IF(K673="DORTEMAG",PR!$O671,IF(K673="DGF",PR!$P671,IF(K673="DYNAMIC",PR!$Q671,IF(K673="EMZOR",PR!$R671,IF(K673="EUMATT",PR!$S671,IF(K673="FIDSON",PR!$T671,IF(K673="FCGLOBAL",PR!$U671,IF(K673="GENEITH",PR!$V671,IF(K673="GINOS",PR!$W671,IF(K673="GSK",PR!$X671,IF(K673="GLOBORG",PR!$Y671,IF(K673="GOODNEWS",PR!$Z671,IF(K673="GREENLIFE",PR!$AA671,IF(K673="HLINE",PR!$AB671,IF(K673="ROTECH",PR!$AC671,IF(K673="ISN",PR!$AD671,IF(K673="JAWA",PR!$AE671,IF(K673="LAYO",PR!$AF671,IF(K673="LEADWAY",PR!$AG671,IF(K673="LHV",PR!$AH671,IF(K673="MANOLA",PR!$AI671,IF(K673="MARCSON",PR!$AJ671,IF(K673="M&amp;B",PR!$AK671,IF(K673="MTRUST",PR!$AL671,IF(K673="MWORLD",PR!$AM671,IF(K673="MEGA",PR!$AN671,IF(K673="MICRONOVA",PR!$AO671,IF(K673="MFLASH",PR!$AP671,IF(K673="MORISON",PR!$AQ671,IF(K673="NEMEL",PR!$AR671,IF(K673="NHP",PR!$AS671,IF(K673="NHC",PR!$AT671,IF(K673="OLEAF",PR!$AU671,IF(K673="OCULUS",PR!$AV671,IF(K673="PACIFIC",PR!$AW671,IF(K673="PHAMATEX",PR!$AX671,IF(K673="PETHICS",PR!$AY671,IF(K673="PHILIPS",PR!$AZ671,IF(K673="RANBAXY",PR!$BA671,IF(K673="REALS",PR!$BB671,IF(K673="ROYAL",PR!$BC671,IF(K673="SAM",PR!$BD671,IF(K673="SEAGREEN",PR!$BE671,IF(K673="SKG",PR!$BF671,IF(K673="TAH",PR!$BG671,IF(K673="TAYLEK",PR!$BH671,IF(K673="TEMITA",PR!$BI671,IF(K673="THL",PR!$BJ671,IF(K673="UBASTIC",PR!$BK671,IF(K673="UNION",PR!$BL671,IF(K673="UNIQUE",PR!$BM671,IF(K673="VIXA",PR!$BN671,IF(K673="WWCV",PR!$BO671,IF(K673="ZOLON",PR!$BP671,"-")))))))))))))))))))))))))))))))))))))))))))))))))))))))))))))))))</f>
        <v>540</v>
      </c>
    </row>
    <row r="674" spans="1:12" ht="18.75" x14ac:dyDescent="0.3">
      <c r="A674" s="430">
        <f>PR!A672</f>
        <v>610</v>
      </c>
      <c r="B674" s="15" t="str">
        <f>PR!B672</f>
        <v>NASOGASTRIC TUBE 12"</v>
      </c>
      <c r="C674" s="113">
        <f>PR!D672</f>
        <v>10</v>
      </c>
      <c r="D674" s="113">
        <f>PR!C672</f>
        <v>8</v>
      </c>
      <c r="E674" s="108">
        <f>IF(F674="ALPHA",PR!$E672,IF(F674="ASSENE",PR!$F672,IF(F674="BIOFEM",PR!$G672,IF(F674="BIOMED",PR!$H672,IF(F674="CHI",PR!$I672,IF(F674="CLARION",PR!$J672,IF(F674="CODIX",PR!$K672,IF(F674="COSMADE",PR!$L672,IF(F674="SANCON",PR!$M672,IF(F674="DEVON",PR!$N672,IF(F674="DORTEMAG",PR!$O672,IF(F674="DGF",PR!$P672,IF(F674="DYNAMIC",PR!$Q672,IF(F674="EMZOR",PR!$R672,IF(F674="EUMATT",PR!$S672,IF(F674="FIDSON",PR!$T672,IF(F674="FCGLOBAL",PR!$U672,IF(F674="GENEITH",PR!$V672,IF(F674="GINOS",PR!$W672,IF(F674="GSK",PR!$X672,IF(F674="GLOBORG",PR!$Y672,IF(F674="GOODNEWS",PR!$Z672,IF(F674="GREENLIFE",PR!$AA672,IF(F674="HLINE",PR!$AB672,IF(F674="ROTECH",PR!$AC672,IF(F674="ISN",PR!$AD672,IF(F674="JAWA",PR!$AE672,IF(F674="LAYO",PR!$AF672,IF(F674="LEADWAY",PR!$AG672,IF(F674="LHV",PR!$AH672,IF(F674="MANOLA",PR!$AI672,IF(F674="MARCSON",PR!$AJ672,IF(F674="M&amp;B",PR!$AK672,IF(F674="MTRUST",PR!$AL672,IF(F674="MWORLD",PR!$AM672,IF(F674="MEGA",PR!$AN672,IF(F674="MICRONOVA",PR!$AO672,IF(F674="MFLASH",PR!$AP672,IF(F674="MORISON",PR!$AQ672,IF(F674="NEMEL",PR!$AR672,IF(F674="NHP",PR!$AS672,IF(F674="NHC",PR!$AT672,IF(F674="OLEAF",PR!$AU672,IF(F674="OCULUS",PR!$AV672,IF(F674="PACIFIC",PR!$AW672,IF(F674="PHAMATEX",PR!$AX672,IF(F674="PETHICS",PR!$AY672,IF(F674="PHILIPS",PR!$AZ672,IF(F674="RANBAXY",PR!$BA672,IF(F674="REALS",PR!$BB672,IF(F674="ROYAL",PR!$BC672,IF(F674="SAM",PR!$BD672,IF(F674="SEAGREEN",PR!$BE672,IF(F674="SKG",PR!$BF672,IF(F674="TAH",PR!$BG672,IF(F674="TAYLEK",PR!$BH672,IF(F674="TEMITA",PR!$BI672,IF(F674="THL",PR!$BJ672,IF(F674="UBASTIC",PR!$BK672,IF(F674="UNION",PR!$BL672,IF(F674="UNIQUE",PR!$BM672,IF(F674="VIXA",PR!$BN672,IF(F674="WWCV",PR!$BO672,IF(F674="ZOLON",PR!$BP672,"-"))))))))))))))))))))))))))))))))))))))))))))))))))))))))))))))))</f>
        <v>540</v>
      </c>
      <c r="F674" s="102" t="str">
        <f>EV!L869</f>
        <v>SANCON</v>
      </c>
      <c r="G674" s="108">
        <f>IF(H674="ALPHA",PR!$E672,IF(H674="ASSENE",PR!$F672,IF(H674="BIOFEM",PR!$G672,IF(H674="BIOMED",PR!$H672,IF(H674="CHI",PR!$I672,IF(H674="CLARION",PR!$J672,IF(H674="CODIX",PR!$K672,IF(H674="COSMADE",PR!$L672,IF(H674="SANCON",PR!$M672,IF(H674="DEVON",PR!$N672,IF(H674="DORTEMAG",PR!$O672,IF(H674="DGF",PR!$P672,IF(H674="DYNAMIC",PR!$Q672,IF(H674="EMZOR",PR!$R672,IF(H674="EUMATT",PR!$S672,IF(H674="FIDSON",PR!$T672,IF(H674="FCGLOBAL",PR!$U672,IF(H674="GENEITH",PR!$V672,IF(H674="GINOS",PR!$W672,IF(H674="GSK",PR!$X672,IF(H674="GLOBORG",PR!$Y672,IF(H674="GOODNEWS",PR!$Z672,IF(H674="GREENLIFE",PR!$AA672,IF(H674="HLINE",PR!$AB672,IF(H674="ROTECH",PR!$AC672,IF(H674="ISN",PR!$AD672,IF(H674="JAWA",PR!$AE672,IF(H674="LAYO",PR!$AF672,IF(H674="LEADWAY",PR!$AG672,IF(H674="LHV",PR!$AH672,IF(H674="MANOLA",PR!$AI672,IF(H674="MARCSON",PR!$AJ672,IF(H674="M&amp;B",PR!$AK672,IF(H674="MTRUST",PR!$AL672,IF(H674="MWORLD",PR!$AM672,IF(H674="MEGA",PR!$AN672,IF(H674="MICRONOVA",PR!$AO672,IF(H674="MFLASH",PR!$AP672,IF(H674="MORISON",PR!$AQ672,IF(H674="NEMEL",PR!$AR672,IF(H674="NHP",PR!$AS672,IF(H674="NHC",PR!$AT672,IF(H674="OLEAF",PR!$AU672,IF(H674="OCULUS",PR!$AV672,IF(H674="PACIFIC",PR!$AW672,IF(H674="PHAMATEX",PR!$AX672,IF(H674="PETHICS",PR!$AY672,IF(H674="PHILIPS",PR!$AZ672,IF(H674="RANBAXY",PR!$BA672,IF(H674="REALS",PR!$BB672,IF(H674="ROYAL",PR!$BC672,IF(H674="SAM",PR!$BD672,IF(H674="SEAGREEN",PR!$BE672,IF(H674="SKG",PR!$BF672,IF(H674="TAH",PR!$BG672,IF(H674="TAYLEK",PR!$BH672,IF(H674="TEMITA",PR!$BI672,IF(H674="THL",PR!$BJ672,IF(H674="UBASTIC",PR!$BK672,IF(H674="UNION",PR!$BL672,IF(H674="UNIQUE",PR!$BM672,IF(H674="VIXA",PR!$BN672,IF(H674="WWCV",PR!$BO672,IF(H674="ZOLON",PR!$BP672,"-"))))))))))))))))))))))))))))))))))))))))))))))))))))))))))))))))</f>
        <v>600</v>
      </c>
      <c r="H674" s="102" t="str">
        <f>EV!M869</f>
        <v>EUMATT</v>
      </c>
      <c r="I674" s="108">
        <f>IF(J674="ALPHA",PR!$E672,IF(J674="ASSENE",PR!$F672,IF(J674="BIOFEM",PR!$G672,IF(J674="BIOMED",PR!$H672,IF(J674="CHI",PR!$I672,IF(J674="CLARION",PR!$J672,IF(J674="CODIX",PR!$K672,IF(J674="COSMADE",PR!$L672,IF(J674="SANCON",PR!$M672,IF(J674="DEVON",PR!$N672,IF(J674="DORTEMAG",PR!$O672,IF(J674="DGF",PR!$P672,IF(J674="DYNAMIC",PR!$Q672,IF(J674="EMZOR",PR!$R672,IF(J674="EUMATT",PR!$S672,IF(J674="FIDSON",PR!$T672,IF(J674="FCGLOBAL",PR!$U672,IF(J674="GENEITH",PR!$V672,IF(J674="GINOS",PR!$W672,IF(J674="GSK",PR!$X672,IF(J674="GLOBORG",PR!$Y672,IF(J674="GOODNEWS",PR!$Z672,IF(J674="GREENLIFE",PR!$AA672,IF(J674="HLINE",PR!$AB672,IF(J674="ROTECH",PR!$AC672,IF(J674="ISN",PR!$AD672,IF(J674="JAWA",PR!$AE672,IF(J674="LAYO",PR!$AF672,IF(J674="LEADWAY",PR!$AG672,IF(J674="LHV",PR!$AH672,IF(J674="MANOLA",PR!$AI672,IF(J674="MARCSON",PR!$AJ672,IF(J674="M&amp;B",PR!$AK672,IF(J674="MTRUST",PR!$AL672,IF(J674="MWORLD",PR!$AM672,IF(J674="MEGA",PR!$AN672,IF(J674="MICRONOVA",PR!$AO672,IF(J674="MFLASH",PR!$AP672,IF(J674="MORISON",PR!$AQ672,IF(J674="NEMEL",PR!$AR672,IF(J674="NHP",PR!$AS672,IF(J674="NHC",PR!$AT672,IF(J674="OLEAF",PR!$AU672,IF(J674="OCULUS",PR!$AV672,IF(J674="PACIFIC",PR!$AW672,IF(J674="PHAMATEX",PR!$AX672,IF(J674="PETHICS",PR!$AY672,IF(J674="PHILIPS",PR!$AZ672,IF(J674="RANBAXY",PR!$BA672,IF(J674="REALS",PR!$BB672,IF(J674="ROYAL",PR!$BC672,IF(J674="SAM",PR!$BD672,IF(J674="SEAGREEN",PR!$BE672,IF(J674="SKG",PR!$BF672,IF(J674="TAH",PR!$BG672,IF(J674="TAYLEK",PR!$BH672,IF(J674="TEMITA",PR!$BI672,IF(J674="THL",PR!$BJ672,IF(J674="UBASTIC",PR!$BK672,IF(J674="UNION",PR!$BL672,IF(J674="UNIQUE",PR!$BM672,IF(J674="VIXA",PR!$BN672,IF(J674="WWCV",PR!$BO672,IF(J674="ZOLON",PR!$BP672,"-"))))))))))))))))))))))))))))))))))))))))))))))))))))))))))))))))</f>
        <v>1000</v>
      </c>
      <c r="J674" s="102" t="str">
        <f>EV!N869</f>
        <v>COSMADE</v>
      </c>
      <c r="K674" s="433" t="s">
        <v>817</v>
      </c>
      <c r="L674" s="183">
        <f>IF(K674&gt;0,IF(K674="ALPHA",PR!$E672,IF(K674="ASSENE",PR!$F672,IF(K674="BIOFEM",PR!$G672,IF(K674="BIOMED",PR!$H672,IF(K674="CHI",PR!$I672,IF(K674="CLARION",PR!$J672,IF(K674="CODIX",PR!$K672,IF(K674="COSMADE",PR!$L672,IF(K674="SANCON",PR!$M672,IF(K674="DEVON",PR!$N672,IF(K674="DORTEMAG",PR!$O672,IF(K674="DGF",PR!$P672,IF(K674="DYNAMIC",PR!$Q672,IF(K674="EMZOR",PR!$R672,IF(K674="EUMATT",PR!$S672,IF(K674="FIDSON",PR!$T672,IF(K674="FCGLOBAL",PR!$U672,IF(K674="GENEITH",PR!$V672,IF(K674="GINOS",PR!$W672,IF(K674="GSK",PR!$X672,IF(K674="GLOBORG",PR!$Y672,IF(K674="GOODNEWS",PR!$Z672,IF(K674="GREENLIFE",PR!$AA672,IF(K674="HLINE",PR!$AB672,IF(K674="ROTECH",PR!$AC672,IF(K674="ISN",PR!$AD672,IF(K674="JAWA",PR!$AE672,IF(K674="LAYO",PR!$AF672,IF(K674="LEADWAY",PR!$AG672,IF(K674="LHV",PR!$AH672,IF(K674="MANOLA",PR!$AI672,IF(K674="MARCSON",PR!$AJ672,IF(K674="M&amp;B",PR!$AK672,IF(K674="MTRUST",PR!$AL672,IF(K674="MWORLD",PR!$AM672,IF(K674="MEGA",PR!$AN672,IF(K674="MICRONOVA",PR!$AO672,IF(K674="MFLASH",PR!$AP672,IF(K674="MORISON",PR!$AQ672,IF(K674="NEMEL",PR!$AR672,IF(K674="NHP",PR!$AS672,IF(K674="NHC",PR!$AT672,IF(K674="OLEAF",PR!$AU672,IF(K674="OCULUS",PR!$AV672,IF(K674="PACIFIC",PR!$AW672,IF(K674="PHAMATEX",PR!$AX672,IF(K674="PETHICS",PR!$AY672,IF(K674="PHILIPS",PR!$AZ672,IF(K674="RANBAXY",PR!$BA672,IF(K674="REALS",PR!$BB672,IF(K674="ROYAL",PR!$BC672,IF(K674="SAM",PR!$BD672,IF(K674="SEAGREEN",PR!$BE672,IF(K674="SKG",PR!$BF672,IF(K674="TAH",PR!$BG672,IF(K674="TAYLEK",PR!$BH672,IF(K674="TEMITA",PR!$BI672,IF(K674="THL",PR!$BJ672,IF(K674="UBASTIC",PR!$BK672,IF(K674="UNION",PR!$BL672,IF(K674="UNIQUE",PR!$BM672,IF(K674="VIXA",PR!$BN672,IF(K674="WWCV",PR!$BO672,IF(K674="ZOLON",PR!$BP672,"-")))))))))))))))))))))))))))))))))))))))))))))))))))))))))))))))))</f>
        <v>540</v>
      </c>
    </row>
    <row r="675" spans="1:12" ht="18.75" x14ac:dyDescent="0.3">
      <c r="A675" s="430">
        <f>PR!A673</f>
        <v>611</v>
      </c>
      <c r="B675" s="15" t="str">
        <f>PR!B673</f>
        <v>NASOGASTRIC TUBE 14"</v>
      </c>
      <c r="C675" s="113">
        <f>PR!D673</f>
        <v>10</v>
      </c>
      <c r="D675" s="113">
        <f>PR!C673</f>
        <v>20</v>
      </c>
      <c r="E675" s="108">
        <f>IF(F675="ALPHA",PR!$E673,IF(F675="ASSENE",PR!$F673,IF(F675="BIOFEM",PR!$G673,IF(F675="BIOMED",PR!$H673,IF(F675="CHI",PR!$I673,IF(F675="CLARION",PR!$J673,IF(F675="CODIX",PR!$K673,IF(F675="COSMADE",PR!$L673,IF(F675="SANCON",PR!$M673,IF(F675="DEVON",PR!$N673,IF(F675="DORTEMAG",PR!$O673,IF(F675="DGF",PR!$P673,IF(F675="DYNAMIC",PR!$Q673,IF(F675="EMZOR",PR!$R673,IF(F675="EUMATT",PR!$S673,IF(F675="FIDSON",PR!$T673,IF(F675="FCGLOBAL",PR!$U673,IF(F675="GENEITH",PR!$V673,IF(F675="GINOS",PR!$W673,IF(F675="GSK",PR!$X673,IF(F675="GLOBORG",PR!$Y673,IF(F675="GOODNEWS",PR!$Z673,IF(F675="GREENLIFE",PR!$AA673,IF(F675="HLINE",PR!$AB673,IF(F675="ROTECH",PR!$AC673,IF(F675="ISN",PR!$AD673,IF(F675="JAWA",PR!$AE673,IF(F675="LAYO",PR!$AF673,IF(F675="LEADWAY",PR!$AG673,IF(F675="LHV",PR!$AH673,IF(F675="MANOLA",PR!$AI673,IF(F675="MARCSON",PR!$AJ673,IF(F675="M&amp;B",PR!$AK673,IF(F675="MTRUST",PR!$AL673,IF(F675="MWORLD",PR!$AM673,IF(F675="MEGA",PR!$AN673,IF(F675="MICRONOVA",PR!$AO673,IF(F675="MFLASH",PR!$AP673,IF(F675="MORISON",PR!$AQ673,IF(F675="NEMEL",PR!$AR673,IF(F675="NHP",PR!$AS673,IF(F675="NHC",PR!$AT673,IF(F675="OLEAF",PR!$AU673,IF(F675="OCULUS",PR!$AV673,IF(F675="PACIFIC",PR!$AW673,IF(F675="PHAMATEX",PR!$AX673,IF(F675="PETHICS",PR!$AY673,IF(F675="PHILIPS",PR!$AZ673,IF(F675="RANBAXY",PR!$BA673,IF(F675="REALS",PR!$BB673,IF(F675="ROYAL",PR!$BC673,IF(F675="SAM",PR!$BD673,IF(F675="SEAGREEN",PR!$BE673,IF(F675="SKG",PR!$BF673,IF(F675="TAH",PR!$BG673,IF(F675="TAYLEK",PR!$BH673,IF(F675="TEMITA",PR!$BI673,IF(F675="THL",PR!$BJ673,IF(F675="UBASTIC",PR!$BK673,IF(F675="UNION",PR!$BL673,IF(F675="UNIQUE",PR!$BM673,IF(F675="VIXA",PR!$BN673,IF(F675="WWCV",PR!$BO673,IF(F675="ZOLON",PR!$BP673,"-"))))))))))))))))))))))))))))))))))))))))))))))))))))))))))))))))</f>
        <v>540</v>
      </c>
      <c r="F675" s="102" t="str">
        <f>EV!L870</f>
        <v>SANCON</v>
      </c>
      <c r="G675" s="108">
        <f>IF(H675="ALPHA",PR!$E673,IF(H675="ASSENE",PR!$F673,IF(H675="BIOFEM",PR!$G673,IF(H675="BIOMED",PR!$H673,IF(H675="CHI",PR!$I673,IF(H675="CLARION",PR!$J673,IF(H675="CODIX",PR!$K673,IF(H675="COSMADE",PR!$L673,IF(H675="SANCON",PR!$M673,IF(H675="DEVON",PR!$N673,IF(H675="DORTEMAG",PR!$O673,IF(H675="DGF",PR!$P673,IF(H675="DYNAMIC",PR!$Q673,IF(H675="EMZOR",PR!$R673,IF(H675="EUMATT",PR!$S673,IF(H675="FIDSON",PR!$T673,IF(H675="FCGLOBAL",PR!$U673,IF(H675="GENEITH",PR!$V673,IF(H675="GINOS",PR!$W673,IF(H675="GSK",PR!$X673,IF(H675="GLOBORG",PR!$Y673,IF(H675="GOODNEWS",PR!$Z673,IF(H675="GREENLIFE",PR!$AA673,IF(H675="HLINE",PR!$AB673,IF(H675="ROTECH",PR!$AC673,IF(H675="ISN",PR!$AD673,IF(H675="JAWA",PR!$AE673,IF(H675="LAYO",PR!$AF673,IF(H675="LEADWAY",PR!$AG673,IF(H675="LHV",PR!$AH673,IF(H675="MANOLA",PR!$AI673,IF(H675="MARCSON",PR!$AJ673,IF(H675="M&amp;B",PR!$AK673,IF(H675="MTRUST",PR!$AL673,IF(H675="MWORLD",PR!$AM673,IF(H675="MEGA",PR!$AN673,IF(H675="MICRONOVA",PR!$AO673,IF(H675="MFLASH",PR!$AP673,IF(H675="MORISON",PR!$AQ673,IF(H675="NEMEL",PR!$AR673,IF(H675="NHP",PR!$AS673,IF(H675="NHC",PR!$AT673,IF(H675="OLEAF",PR!$AU673,IF(H675="OCULUS",PR!$AV673,IF(H675="PACIFIC",PR!$AW673,IF(H675="PHAMATEX",PR!$AX673,IF(H675="PETHICS",PR!$AY673,IF(H675="PHILIPS",PR!$AZ673,IF(H675="RANBAXY",PR!$BA673,IF(H675="REALS",PR!$BB673,IF(H675="ROYAL",PR!$BC673,IF(H675="SAM",PR!$BD673,IF(H675="SEAGREEN",PR!$BE673,IF(H675="SKG",PR!$BF673,IF(H675="TAH",PR!$BG673,IF(H675="TAYLEK",PR!$BH673,IF(H675="TEMITA",PR!$BI673,IF(H675="THL",PR!$BJ673,IF(H675="UBASTIC",PR!$BK673,IF(H675="UNION",PR!$BL673,IF(H675="UNIQUE",PR!$BM673,IF(H675="VIXA",PR!$BN673,IF(H675="WWCV",PR!$BO673,IF(H675="ZOLON",PR!$BP673,"-"))))))))))))))))))))))))))))))))))))))))))))))))))))))))))))))))</f>
        <v>600</v>
      </c>
      <c r="H675" s="102" t="str">
        <f>EV!M870</f>
        <v>EUMATT</v>
      </c>
      <c r="I675" s="108">
        <f>IF(J675="ALPHA",PR!$E673,IF(J675="ASSENE",PR!$F673,IF(J675="BIOFEM",PR!$G673,IF(J675="BIOMED",PR!$H673,IF(J675="CHI",PR!$I673,IF(J675="CLARION",PR!$J673,IF(J675="CODIX",PR!$K673,IF(J675="COSMADE",PR!$L673,IF(J675="SANCON",PR!$M673,IF(J675="DEVON",PR!$N673,IF(J675="DORTEMAG",PR!$O673,IF(J675="DGF",PR!$P673,IF(J675="DYNAMIC",PR!$Q673,IF(J675="EMZOR",PR!$R673,IF(J675="EUMATT",PR!$S673,IF(J675="FIDSON",PR!$T673,IF(J675="FCGLOBAL",PR!$U673,IF(J675="GENEITH",PR!$V673,IF(J675="GINOS",PR!$W673,IF(J675="GSK",PR!$X673,IF(J675="GLOBORG",PR!$Y673,IF(J675="GOODNEWS",PR!$Z673,IF(J675="GREENLIFE",PR!$AA673,IF(J675="HLINE",PR!$AB673,IF(J675="ROTECH",PR!$AC673,IF(J675="ISN",PR!$AD673,IF(J675="JAWA",PR!$AE673,IF(J675="LAYO",PR!$AF673,IF(J675="LEADWAY",PR!$AG673,IF(J675="LHV",PR!$AH673,IF(J675="MANOLA",PR!$AI673,IF(J675="MARCSON",PR!$AJ673,IF(J675="M&amp;B",PR!$AK673,IF(J675="MTRUST",PR!$AL673,IF(J675="MWORLD",PR!$AM673,IF(J675="MEGA",PR!$AN673,IF(J675="MICRONOVA",PR!$AO673,IF(J675="MFLASH",PR!$AP673,IF(J675="MORISON",PR!$AQ673,IF(J675="NEMEL",PR!$AR673,IF(J675="NHP",PR!$AS673,IF(J675="NHC",PR!$AT673,IF(J675="OLEAF",PR!$AU673,IF(J675="OCULUS",PR!$AV673,IF(J675="PACIFIC",PR!$AW673,IF(J675="PHAMATEX",PR!$AX673,IF(J675="PETHICS",PR!$AY673,IF(J675="PHILIPS",PR!$AZ673,IF(J675="RANBAXY",PR!$BA673,IF(J675="REALS",PR!$BB673,IF(J675="ROYAL",PR!$BC673,IF(J675="SAM",PR!$BD673,IF(J675="SEAGREEN",PR!$BE673,IF(J675="SKG",PR!$BF673,IF(J675="TAH",PR!$BG673,IF(J675="TAYLEK",PR!$BH673,IF(J675="TEMITA",PR!$BI673,IF(J675="THL",PR!$BJ673,IF(J675="UBASTIC",PR!$BK673,IF(J675="UNION",PR!$BL673,IF(J675="UNIQUE",PR!$BM673,IF(J675="VIXA",PR!$BN673,IF(J675="WWCV",PR!$BO673,IF(J675="ZOLON",PR!$BP673,"-"))))))))))))))))))))))))))))))))))))))))))))))))))))))))))))))))</f>
        <v>1000</v>
      </c>
      <c r="J675" s="102" t="str">
        <f>EV!N870</f>
        <v>COSMADE</v>
      </c>
      <c r="K675" s="433" t="s">
        <v>817</v>
      </c>
      <c r="L675" s="183">
        <f>IF(K675&gt;0,IF(K675="ALPHA",PR!$E673,IF(K675="ASSENE",PR!$F673,IF(K675="BIOFEM",PR!$G673,IF(K675="BIOMED",PR!$H673,IF(K675="CHI",PR!$I673,IF(K675="CLARION",PR!$J673,IF(K675="CODIX",PR!$K673,IF(K675="COSMADE",PR!$L673,IF(K675="SANCON",PR!$M673,IF(K675="DEVON",PR!$N673,IF(K675="DORTEMAG",PR!$O673,IF(K675="DGF",PR!$P673,IF(K675="DYNAMIC",PR!$Q673,IF(K675="EMZOR",PR!$R673,IF(K675="EUMATT",PR!$S673,IF(K675="FIDSON",PR!$T673,IF(K675="FCGLOBAL",PR!$U673,IF(K675="GENEITH",PR!$V673,IF(K675="GINOS",PR!$W673,IF(K675="GSK",PR!$X673,IF(K675="GLOBORG",PR!$Y673,IF(K675="GOODNEWS",PR!$Z673,IF(K675="GREENLIFE",PR!$AA673,IF(K675="HLINE",PR!$AB673,IF(K675="ROTECH",PR!$AC673,IF(K675="ISN",PR!$AD673,IF(K675="JAWA",PR!$AE673,IF(K675="LAYO",PR!$AF673,IF(K675="LEADWAY",PR!$AG673,IF(K675="LHV",PR!$AH673,IF(K675="MANOLA",PR!$AI673,IF(K675="MARCSON",PR!$AJ673,IF(K675="M&amp;B",PR!$AK673,IF(K675="MTRUST",PR!$AL673,IF(K675="MWORLD",PR!$AM673,IF(K675="MEGA",PR!$AN673,IF(K675="MICRONOVA",PR!$AO673,IF(K675="MFLASH",PR!$AP673,IF(K675="MORISON",PR!$AQ673,IF(K675="NEMEL",PR!$AR673,IF(K675="NHP",PR!$AS673,IF(K675="NHC",PR!$AT673,IF(K675="OLEAF",PR!$AU673,IF(K675="OCULUS",PR!$AV673,IF(K675="PACIFIC",PR!$AW673,IF(K675="PHAMATEX",PR!$AX673,IF(K675="PETHICS",PR!$AY673,IF(K675="PHILIPS",PR!$AZ673,IF(K675="RANBAXY",PR!$BA673,IF(K675="REALS",PR!$BB673,IF(K675="ROYAL",PR!$BC673,IF(K675="SAM",PR!$BD673,IF(K675="SEAGREEN",PR!$BE673,IF(K675="SKG",PR!$BF673,IF(K675="TAH",PR!$BG673,IF(K675="TAYLEK",PR!$BH673,IF(K675="TEMITA",PR!$BI673,IF(K675="THL",PR!$BJ673,IF(K675="UBASTIC",PR!$BK673,IF(K675="UNION",PR!$BL673,IF(K675="UNIQUE",PR!$BM673,IF(K675="VIXA",PR!$BN673,IF(K675="WWCV",PR!$BO673,IF(K675="ZOLON",PR!$BP673,"-")))))))))))))))))))))))))))))))))))))))))))))))))))))))))))))))))</f>
        <v>540</v>
      </c>
    </row>
    <row r="676" spans="1:12" ht="18.75" x14ac:dyDescent="0.3">
      <c r="A676" s="430">
        <f>PR!A674</f>
        <v>612</v>
      </c>
      <c r="B676" s="15" t="str">
        <f>PR!B674</f>
        <v>NASOGASTRIC TUBE 16"</v>
      </c>
      <c r="C676" s="113">
        <f>PR!D674</f>
        <v>10</v>
      </c>
      <c r="D676" s="113">
        <f>PR!C674</f>
        <v>20</v>
      </c>
      <c r="E676" s="108">
        <f>IF(F676="ALPHA",PR!$E674,IF(F676="ASSENE",PR!$F674,IF(F676="BIOFEM",PR!$G674,IF(F676="BIOMED",PR!$H674,IF(F676="CHI",PR!$I674,IF(F676="CLARION",PR!$J674,IF(F676="CODIX",PR!$K674,IF(F676="COSMADE",PR!$L674,IF(F676="SANCON",PR!$M674,IF(F676="DEVON",PR!$N674,IF(F676="DORTEMAG",PR!$O674,IF(F676="DGF",PR!$P674,IF(F676="DYNAMIC",PR!$Q674,IF(F676="EMZOR",PR!$R674,IF(F676="EUMATT",PR!$S674,IF(F676="FIDSON",PR!$T674,IF(F676="FCGLOBAL",PR!$U674,IF(F676="GENEITH",PR!$V674,IF(F676="GINOS",PR!$W674,IF(F676="GSK",PR!$X674,IF(F676="GLOBORG",PR!$Y674,IF(F676="GOODNEWS",PR!$Z674,IF(F676="GREENLIFE",PR!$AA674,IF(F676="HLINE",PR!$AB674,IF(F676="ROTECH",PR!$AC674,IF(F676="ISN",PR!$AD674,IF(F676="JAWA",PR!$AE674,IF(F676="LAYO",PR!$AF674,IF(F676="LEADWAY",PR!$AG674,IF(F676="LHV",PR!$AH674,IF(F676="MANOLA",PR!$AI674,IF(F676="MARCSON",PR!$AJ674,IF(F676="M&amp;B",PR!$AK674,IF(F676="MTRUST",PR!$AL674,IF(F676="MWORLD",PR!$AM674,IF(F676="MEGA",PR!$AN674,IF(F676="MICRONOVA",PR!$AO674,IF(F676="MFLASH",PR!$AP674,IF(F676="MORISON",PR!$AQ674,IF(F676="NEMEL",PR!$AR674,IF(F676="NHP",PR!$AS674,IF(F676="NHC",PR!$AT674,IF(F676="OLEAF",PR!$AU674,IF(F676="OCULUS",PR!$AV674,IF(F676="PACIFIC",PR!$AW674,IF(F676="PHAMATEX",PR!$AX674,IF(F676="PETHICS",PR!$AY674,IF(F676="PHILIPS",PR!$AZ674,IF(F676="RANBAXY",PR!$BA674,IF(F676="REALS",PR!$BB674,IF(F676="ROYAL",PR!$BC674,IF(F676="SAM",PR!$BD674,IF(F676="SEAGREEN",PR!$BE674,IF(F676="SKG",PR!$BF674,IF(F676="TAH",PR!$BG674,IF(F676="TAYLEK",PR!$BH674,IF(F676="TEMITA",PR!$BI674,IF(F676="THL",PR!$BJ674,IF(F676="UBASTIC",PR!$BK674,IF(F676="UNION",PR!$BL674,IF(F676="UNIQUE",PR!$BM674,IF(F676="VIXA",PR!$BN674,IF(F676="WWCV",PR!$BO674,IF(F676="ZOLON",PR!$BP674,"-"))))))))))))))))))))))))))))))))))))))))))))))))))))))))))))))))</f>
        <v>540</v>
      </c>
      <c r="F676" s="102" t="str">
        <f>EV!L871</f>
        <v>SANCON</v>
      </c>
      <c r="G676" s="108">
        <f>IF(H676="ALPHA",PR!$E674,IF(H676="ASSENE",PR!$F674,IF(H676="BIOFEM",PR!$G674,IF(H676="BIOMED",PR!$H674,IF(H676="CHI",PR!$I674,IF(H676="CLARION",PR!$J674,IF(H676="CODIX",PR!$K674,IF(H676="COSMADE",PR!$L674,IF(H676="SANCON",PR!$M674,IF(H676="DEVON",PR!$N674,IF(H676="DORTEMAG",PR!$O674,IF(H676="DGF",PR!$P674,IF(H676="DYNAMIC",PR!$Q674,IF(H676="EMZOR",PR!$R674,IF(H676="EUMATT",PR!$S674,IF(H676="FIDSON",PR!$T674,IF(H676="FCGLOBAL",PR!$U674,IF(H676="GENEITH",PR!$V674,IF(H676="GINOS",PR!$W674,IF(H676="GSK",PR!$X674,IF(H676="GLOBORG",PR!$Y674,IF(H676="GOODNEWS",PR!$Z674,IF(H676="GREENLIFE",PR!$AA674,IF(H676="HLINE",PR!$AB674,IF(H676="ROTECH",PR!$AC674,IF(H676="ISN",PR!$AD674,IF(H676="JAWA",PR!$AE674,IF(H676="LAYO",PR!$AF674,IF(H676="LEADWAY",PR!$AG674,IF(H676="LHV",PR!$AH674,IF(H676="MANOLA",PR!$AI674,IF(H676="MARCSON",PR!$AJ674,IF(H676="M&amp;B",PR!$AK674,IF(H676="MTRUST",PR!$AL674,IF(H676="MWORLD",PR!$AM674,IF(H676="MEGA",PR!$AN674,IF(H676="MICRONOVA",PR!$AO674,IF(H676="MFLASH",PR!$AP674,IF(H676="MORISON",PR!$AQ674,IF(H676="NEMEL",PR!$AR674,IF(H676="NHP",PR!$AS674,IF(H676="NHC",PR!$AT674,IF(H676="OLEAF",PR!$AU674,IF(H676="OCULUS",PR!$AV674,IF(H676="PACIFIC",PR!$AW674,IF(H676="PHAMATEX",PR!$AX674,IF(H676="PETHICS",PR!$AY674,IF(H676="PHILIPS",PR!$AZ674,IF(H676="RANBAXY",PR!$BA674,IF(H676="REALS",PR!$BB674,IF(H676="ROYAL",PR!$BC674,IF(H676="SAM",PR!$BD674,IF(H676="SEAGREEN",PR!$BE674,IF(H676="SKG",PR!$BF674,IF(H676="TAH",PR!$BG674,IF(H676="TAYLEK",PR!$BH674,IF(H676="TEMITA",PR!$BI674,IF(H676="THL",PR!$BJ674,IF(H676="UBASTIC",PR!$BK674,IF(H676="UNION",PR!$BL674,IF(H676="UNIQUE",PR!$BM674,IF(H676="VIXA",PR!$BN674,IF(H676="WWCV",PR!$BO674,IF(H676="ZOLON",PR!$BP674,"-"))))))))))))))))))))))))))))))))))))))))))))))))))))))))))))))))</f>
        <v>560</v>
      </c>
      <c r="H676" s="102" t="str">
        <f>EV!M871</f>
        <v>ROTECH</v>
      </c>
      <c r="I676" s="108">
        <f>IF(J676="ALPHA",PR!$E674,IF(J676="ASSENE",PR!$F674,IF(J676="BIOFEM",PR!$G674,IF(J676="BIOMED",PR!$H674,IF(J676="CHI",PR!$I674,IF(J676="CLARION",PR!$J674,IF(J676="CODIX",PR!$K674,IF(J676="COSMADE",PR!$L674,IF(J676="SANCON",PR!$M674,IF(J676="DEVON",PR!$N674,IF(J676="DORTEMAG",PR!$O674,IF(J676="DGF",PR!$P674,IF(J676="DYNAMIC",PR!$Q674,IF(J676="EMZOR",PR!$R674,IF(J676="EUMATT",PR!$S674,IF(J676="FIDSON",PR!$T674,IF(J676="FCGLOBAL",PR!$U674,IF(J676="GENEITH",PR!$V674,IF(J676="GINOS",PR!$W674,IF(J676="GSK",PR!$X674,IF(J676="GLOBORG",PR!$Y674,IF(J676="GOODNEWS",PR!$Z674,IF(J676="GREENLIFE",PR!$AA674,IF(J676="HLINE",PR!$AB674,IF(J676="ROTECH",PR!$AC674,IF(J676="ISN",PR!$AD674,IF(J676="JAWA",PR!$AE674,IF(J676="LAYO",PR!$AF674,IF(J676="LEADWAY",PR!$AG674,IF(J676="LHV",PR!$AH674,IF(J676="MANOLA",PR!$AI674,IF(J676="MARCSON",PR!$AJ674,IF(J676="M&amp;B",PR!$AK674,IF(J676="MTRUST",PR!$AL674,IF(J676="MWORLD",PR!$AM674,IF(J676="MEGA",PR!$AN674,IF(J676="MICRONOVA",PR!$AO674,IF(J676="MFLASH",PR!$AP674,IF(J676="MORISON",PR!$AQ674,IF(J676="NEMEL",PR!$AR674,IF(J676="NHP",PR!$AS674,IF(J676="NHC",PR!$AT674,IF(J676="OLEAF",PR!$AU674,IF(J676="OCULUS",PR!$AV674,IF(J676="PACIFIC",PR!$AW674,IF(J676="PHAMATEX",PR!$AX674,IF(J676="PETHICS",PR!$AY674,IF(J676="PHILIPS",PR!$AZ674,IF(J676="RANBAXY",PR!$BA674,IF(J676="REALS",PR!$BB674,IF(J676="ROYAL",PR!$BC674,IF(J676="SAM",PR!$BD674,IF(J676="SEAGREEN",PR!$BE674,IF(J676="SKG",PR!$BF674,IF(J676="TAH",PR!$BG674,IF(J676="TAYLEK",PR!$BH674,IF(J676="TEMITA",PR!$BI674,IF(J676="THL",PR!$BJ674,IF(J676="UBASTIC",PR!$BK674,IF(J676="UNION",PR!$BL674,IF(J676="UNIQUE",PR!$BM674,IF(J676="VIXA",PR!$BN674,IF(J676="WWCV",PR!$BO674,IF(J676="ZOLON",PR!$BP674,"-"))))))))))))))))))))))))))))))))))))))))))))))))))))))))))))))))</f>
        <v>600</v>
      </c>
      <c r="J676" s="102" t="str">
        <f>EV!N871</f>
        <v>EUMATT</v>
      </c>
      <c r="K676" s="433" t="s">
        <v>817</v>
      </c>
      <c r="L676" s="183">
        <f>IF(K676&gt;0,IF(K676="ALPHA",PR!$E674,IF(K676="ASSENE",PR!$F674,IF(K676="BIOFEM",PR!$G674,IF(K676="BIOMED",PR!$H674,IF(K676="CHI",PR!$I674,IF(K676="CLARION",PR!$J674,IF(K676="CODIX",PR!$K674,IF(K676="COSMADE",PR!$L674,IF(K676="SANCON",PR!$M674,IF(K676="DEVON",PR!$N674,IF(K676="DORTEMAG",PR!$O674,IF(K676="DGF",PR!$P674,IF(K676="DYNAMIC",PR!$Q674,IF(K676="EMZOR",PR!$R674,IF(K676="EUMATT",PR!$S674,IF(K676="FIDSON",PR!$T674,IF(K676="FCGLOBAL",PR!$U674,IF(K676="GENEITH",PR!$V674,IF(K676="GINOS",PR!$W674,IF(K676="GSK",PR!$X674,IF(K676="GLOBORG",PR!$Y674,IF(K676="GOODNEWS",PR!$Z674,IF(K676="GREENLIFE",PR!$AA674,IF(K676="HLINE",PR!$AB674,IF(K676="ROTECH",PR!$AC674,IF(K676="ISN",PR!$AD674,IF(K676="JAWA",PR!$AE674,IF(K676="LAYO",PR!$AF674,IF(K676="LEADWAY",PR!$AG674,IF(K676="LHV",PR!$AH674,IF(K676="MANOLA",PR!$AI674,IF(K676="MARCSON",PR!$AJ674,IF(K676="M&amp;B",PR!$AK674,IF(K676="MTRUST",PR!$AL674,IF(K676="MWORLD",PR!$AM674,IF(K676="MEGA",PR!$AN674,IF(K676="MICRONOVA",PR!$AO674,IF(K676="MFLASH",PR!$AP674,IF(K676="MORISON",PR!$AQ674,IF(K676="NEMEL",PR!$AR674,IF(K676="NHP",PR!$AS674,IF(K676="NHC",PR!$AT674,IF(K676="OLEAF",PR!$AU674,IF(K676="OCULUS",PR!$AV674,IF(K676="PACIFIC",PR!$AW674,IF(K676="PHAMATEX",PR!$AX674,IF(K676="PETHICS",PR!$AY674,IF(K676="PHILIPS",PR!$AZ674,IF(K676="RANBAXY",PR!$BA674,IF(K676="REALS",PR!$BB674,IF(K676="ROYAL",PR!$BC674,IF(K676="SAM",PR!$BD674,IF(K676="SEAGREEN",PR!$BE674,IF(K676="SKG",PR!$BF674,IF(K676="TAH",PR!$BG674,IF(K676="TAYLEK",PR!$BH674,IF(K676="TEMITA",PR!$BI674,IF(K676="THL",PR!$BJ674,IF(K676="UBASTIC",PR!$BK674,IF(K676="UNION",PR!$BL674,IF(K676="UNIQUE",PR!$BM674,IF(K676="VIXA",PR!$BN674,IF(K676="WWCV",PR!$BO674,IF(K676="ZOLON",PR!$BP674,"-")))))))))))))))))))))))))))))))))))))))))))))))))))))))))))))))))</f>
        <v>540</v>
      </c>
    </row>
    <row r="677" spans="1:12" ht="18.75" x14ac:dyDescent="0.3">
      <c r="A677" s="430">
        <f>PR!A675</f>
        <v>613</v>
      </c>
      <c r="B677" s="15" t="str">
        <f>PR!B675</f>
        <v>NASOGASTRIC TUBE 18"</v>
      </c>
      <c r="C677" s="113">
        <f>PR!D675</f>
        <v>10</v>
      </c>
      <c r="D677" s="113">
        <f>PR!C675</f>
        <v>20</v>
      </c>
      <c r="E677" s="108">
        <f>IF(F677="ALPHA",PR!$E675,IF(F677="ASSENE",PR!$F675,IF(F677="BIOFEM",PR!$G675,IF(F677="BIOMED",PR!$H675,IF(F677="CHI",PR!$I675,IF(F677="CLARION",PR!$J675,IF(F677="CODIX",PR!$K675,IF(F677="COSMADE",PR!$L675,IF(F677="SANCON",PR!$M675,IF(F677="DEVON",PR!$N675,IF(F677="DORTEMAG",PR!$O675,IF(F677="DGF",PR!$P675,IF(F677="DYNAMIC",PR!$Q675,IF(F677="EMZOR",PR!$R675,IF(F677="EUMATT",PR!$S675,IF(F677="FIDSON",PR!$T675,IF(F677="FCGLOBAL",PR!$U675,IF(F677="GENEITH",PR!$V675,IF(F677="GINOS",PR!$W675,IF(F677="GSK",PR!$X675,IF(F677="GLOBORG",PR!$Y675,IF(F677="GOODNEWS",PR!$Z675,IF(F677="GREENLIFE",PR!$AA675,IF(F677="HLINE",PR!$AB675,IF(F677="ROTECH",PR!$AC675,IF(F677="ISN",PR!$AD675,IF(F677="JAWA",PR!$AE675,IF(F677="LAYO",PR!$AF675,IF(F677="LEADWAY",PR!$AG675,IF(F677="LHV",PR!$AH675,IF(F677="MANOLA",PR!$AI675,IF(F677="MARCSON",PR!$AJ675,IF(F677="M&amp;B",PR!$AK675,IF(F677="MTRUST",PR!$AL675,IF(F677="MWORLD",PR!$AM675,IF(F677="MEGA",PR!$AN675,IF(F677="MICRONOVA",PR!$AO675,IF(F677="MFLASH",PR!$AP675,IF(F677="MORISON",PR!$AQ675,IF(F677="NEMEL",PR!$AR675,IF(F677="NHP",PR!$AS675,IF(F677="NHC",PR!$AT675,IF(F677="OLEAF",PR!$AU675,IF(F677="OCULUS",PR!$AV675,IF(F677="PACIFIC",PR!$AW675,IF(F677="PHAMATEX",PR!$AX675,IF(F677="PETHICS",PR!$AY675,IF(F677="PHILIPS",PR!$AZ675,IF(F677="RANBAXY",PR!$BA675,IF(F677="REALS",PR!$BB675,IF(F677="ROYAL",PR!$BC675,IF(F677="SAM",PR!$BD675,IF(F677="SEAGREEN",PR!$BE675,IF(F677="SKG",PR!$BF675,IF(F677="TAH",PR!$BG675,IF(F677="TAYLEK",PR!$BH675,IF(F677="TEMITA",PR!$BI675,IF(F677="THL",PR!$BJ675,IF(F677="UBASTIC",PR!$BK675,IF(F677="UNION",PR!$BL675,IF(F677="UNIQUE",PR!$BM675,IF(F677="VIXA",PR!$BN675,IF(F677="WWCV",PR!$BO675,IF(F677="ZOLON",PR!$BP675,"-"))))))))))))))))))))))))))))))))))))))))))))))))))))))))))))))))</f>
        <v>540</v>
      </c>
      <c r="F677" s="102" t="str">
        <f>EV!L872</f>
        <v>SANCON</v>
      </c>
      <c r="G677" s="108">
        <f>IF(H677="ALPHA",PR!$E675,IF(H677="ASSENE",PR!$F675,IF(H677="BIOFEM",PR!$G675,IF(H677="BIOMED",PR!$H675,IF(H677="CHI",PR!$I675,IF(H677="CLARION",PR!$J675,IF(H677="CODIX",PR!$K675,IF(H677="COSMADE",PR!$L675,IF(H677="SANCON",PR!$M675,IF(H677="DEVON",PR!$N675,IF(H677="DORTEMAG",PR!$O675,IF(H677="DGF",PR!$P675,IF(H677="DYNAMIC",PR!$Q675,IF(H677="EMZOR",PR!$R675,IF(H677="EUMATT",PR!$S675,IF(H677="FIDSON",PR!$T675,IF(H677="FCGLOBAL",PR!$U675,IF(H677="GENEITH",PR!$V675,IF(H677="GINOS",PR!$W675,IF(H677="GSK",PR!$X675,IF(H677="GLOBORG",PR!$Y675,IF(H677="GOODNEWS",PR!$Z675,IF(H677="GREENLIFE",PR!$AA675,IF(H677="HLINE",PR!$AB675,IF(H677="ROTECH",PR!$AC675,IF(H677="ISN",PR!$AD675,IF(H677="JAWA",PR!$AE675,IF(H677="LAYO",PR!$AF675,IF(H677="LEADWAY",PR!$AG675,IF(H677="LHV",PR!$AH675,IF(H677="MANOLA",PR!$AI675,IF(H677="MARCSON",PR!$AJ675,IF(H677="M&amp;B",PR!$AK675,IF(H677="MTRUST",PR!$AL675,IF(H677="MWORLD",PR!$AM675,IF(H677="MEGA",PR!$AN675,IF(H677="MICRONOVA",PR!$AO675,IF(H677="MFLASH",PR!$AP675,IF(H677="MORISON",PR!$AQ675,IF(H677="NEMEL",PR!$AR675,IF(H677="NHP",PR!$AS675,IF(H677="NHC",PR!$AT675,IF(H677="OLEAF",PR!$AU675,IF(H677="OCULUS",PR!$AV675,IF(H677="PACIFIC",PR!$AW675,IF(H677="PHAMATEX",PR!$AX675,IF(H677="PETHICS",PR!$AY675,IF(H677="PHILIPS",PR!$AZ675,IF(H677="RANBAXY",PR!$BA675,IF(H677="REALS",PR!$BB675,IF(H677="ROYAL",PR!$BC675,IF(H677="SAM",PR!$BD675,IF(H677="SEAGREEN",PR!$BE675,IF(H677="SKG",PR!$BF675,IF(H677="TAH",PR!$BG675,IF(H677="TAYLEK",PR!$BH675,IF(H677="TEMITA",PR!$BI675,IF(H677="THL",PR!$BJ675,IF(H677="UBASTIC",PR!$BK675,IF(H677="UNION",PR!$BL675,IF(H677="UNIQUE",PR!$BM675,IF(H677="VIXA",PR!$BN675,IF(H677="WWCV",PR!$BO675,IF(H677="ZOLON",PR!$BP675,"-"))))))))))))))))))))))))))))))))))))))))))))))))))))))))))))))))</f>
        <v>600</v>
      </c>
      <c r="H677" s="102" t="str">
        <f>EV!M872</f>
        <v>EUMATT</v>
      </c>
      <c r="I677" s="108">
        <f>IF(J677="ALPHA",PR!$E675,IF(J677="ASSENE",PR!$F675,IF(J677="BIOFEM",PR!$G675,IF(J677="BIOMED",PR!$H675,IF(J677="CHI",PR!$I675,IF(J677="CLARION",PR!$J675,IF(J677="CODIX",PR!$K675,IF(J677="COSMADE",PR!$L675,IF(J677="SANCON",PR!$M675,IF(J677="DEVON",PR!$N675,IF(J677="DORTEMAG",PR!$O675,IF(J677="DGF",PR!$P675,IF(J677="DYNAMIC",PR!$Q675,IF(J677="EMZOR",PR!$R675,IF(J677="EUMATT",PR!$S675,IF(J677="FIDSON",PR!$T675,IF(J677="FCGLOBAL",PR!$U675,IF(J677="GENEITH",PR!$V675,IF(J677="GINOS",PR!$W675,IF(J677="GSK",PR!$X675,IF(J677="GLOBORG",PR!$Y675,IF(J677="GOODNEWS",PR!$Z675,IF(J677="GREENLIFE",PR!$AA675,IF(J677="HLINE",PR!$AB675,IF(J677="ROTECH",PR!$AC675,IF(J677="ISN",PR!$AD675,IF(J677="JAWA",PR!$AE675,IF(J677="LAYO",PR!$AF675,IF(J677="LEADWAY",PR!$AG675,IF(J677="LHV",PR!$AH675,IF(J677="MANOLA",PR!$AI675,IF(J677="MARCSON",PR!$AJ675,IF(J677="M&amp;B",PR!$AK675,IF(J677="MTRUST",PR!$AL675,IF(J677="MWORLD",PR!$AM675,IF(J677="MEGA",PR!$AN675,IF(J677="MICRONOVA",PR!$AO675,IF(J677="MFLASH",PR!$AP675,IF(J677="MORISON",PR!$AQ675,IF(J677="NEMEL",PR!$AR675,IF(J677="NHP",PR!$AS675,IF(J677="NHC",PR!$AT675,IF(J677="OLEAF",PR!$AU675,IF(J677="OCULUS",PR!$AV675,IF(J677="PACIFIC",PR!$AW675,IF(J677="PHAMATEX",PR!$AX675,IF(J677="PETHICS",PR!$AY675,IF(J677="PHILIPS",PR!$AZ675,IF(J677="RANBAXY",PR!$BA675,IF(J677="REALS",PR!$BB675,IF(J677="ROYAL",PR!$BC675,IF(J677="SAM",PR!$BD675,IF(J677="SEAGREEN",PR!$BE675,IF(J677="SKG",PR!$BF675,IF(J677="TAH",PR!$BG675,IF(J677="TAYLEK",PR!$BH675,IF(J677="TEMITA",PR!$BI675,IF(J677="THL",PR!$BJ675,IF(J677="UBASTIC",PR!$BK675,IF(J677="UNION",PR!$BL675,IF(J677="UNIQUE",PR!$BM675,IF(J677="VIXA",PR!$BN675,IF(J677="WWCV",PR!$BO675,IF(J677="ZOLON",PR!$BP675,"-"))))))))))))))))))))))))))))))))))))))))))))))))))))))))))))))))</f>
        <v>1000</v>
      </c>
      <c r="J677" s="102" t="str">
        <f>EV!N872</f>
        <v>COSMADE</v>
      </c>
      <c r="K677" s="433" t="s">
        <v>817</v>
      </c>
      <c r="L677" s="183">
        <f>IF(K677&gt;0,IF(K677="ALPHA",PR!$E675,IF(K677="ASSENE",PR!$F675,IF(K677="BIOFEM",PR!$G675,IF(K677="BIOMED",PR!$H675,IF(K677="CHI",PR!$I675,IF(K677="CLARION",PR!$J675,IF(K677="CODIX",PR!$K675,IF(K677="COSMADE",PR!$L675,IF(K677="SANCON",PR!$M675,IF(K677="DEVON",PR!$N675,IF(K677="DORTEMAG",PR!$O675,IF(K677="DGF",PR!$P675,IF(K677="DYNAMIC",PR!$Q675,IF(K677="EMZOR",PR!$R675,IF(K677="EUMATT",PR!$S675,IF(K677="FIDSON",PR!$T675,IF(K677="FCGLOBAL",PR!$U675,IF(K677="GENEITH",PR!$V675,IF(K677="GINOS",PR!$W675,IF(K677="GSK",PR!$X675,IF(K677="GLOBORG",PR!$Y675,IF(K677="GOODNEWS",PR!$Z675,IF(K677="GREENLIFE",PR!$AA675,IF(K677="HLINE",PR!$AB675,IF(K677="ROTECH",PR!$AC675,IF(K677="ISN",PR!$AD675,IF(K677="JAWA",PR!$AE675,IF(K677="LAYO",PR!$AF675,IF(K677="LEADWAY",PR!$AG675,IF(K677="LHV",PR!$AH675,IF(K677="MANOLA",PR!$AI675,IF(K677="MARCSON",PR!$AJ675,IF(K677="M&amp;B",PR!$AK675,IF(K677="MTRUST",PR!$AL675,IF(K677="MWORLD",PR!$AM675,IF(K677="MEGA",PR!$AN675,IF(K677="MICRONOVA",PR!$AO675,IF(K677="MFLASH",PR!$AP675,IF(K677="MORISON",PR!$AQ675,IF(K677="NEMEL",PR!$AR675,IF(K677="NHP",PR!$AS675,IF(K677="NHC",PR!$AT675,IF(K677="OLEAF",PR!$AU675,IF(K677="OCULUS",PR!$AV675,IF(K677="PACIFIC",PR!$AW675,IF(K677="PHAMATEX",PR!$AX675,IF(K677="PETHICS",PR!$AY675,IF(K677="PHILIPS",PR!$AZ675,IF(K677="RANBAXY",PR!$BA675,IF(K677="REALS",PR!$BB675,IF(K677="ROYAL",PR!$BC675,IF(K677="SAM",PR!$BD675,IF(K677="SEAGREEN",PR!$BE675,IF(K677="SKG",PR!$BF675,IF(K677="TAH",PR!$BG675,IF(K677="TAYLEK",PR!$BH675,IF(K677="TEMITA",PR!$BI675,IF(K677="THL",PR!$BJ675,IF(K677="UBASTIC",PR!$BK675,IF(K677="UNION",PR!$BL675,IF(K677="UNIQUE",PR!$BM675,IF(K677="VIXA",PR!$BN675,IF(K677="WWCV",PR!$BO675,IF(K677="ZOLON",PR!$BP675,"-")))))))))))))))))))))))))))))))))))))))))))))))))))))))))))))))))</f>
        <v>540</v>
      </c>
    </row>
    <row r="678" spans="1:12" ht="18.75" x14ac:dyDescent="0.3">
      <c r="A678" s="430">
        <f>PR!A676</f>
        <v>614</v>
      </c>
      <c r="B678" s="15" t="str">
        <f>PR!B676</f>
        <v>NASOGASTRIC TUBE 20"</v>
      </c>
      <c r="C678" s="113">
        <f>PR!D676</f>
        <v>10</v>
      </c>
      <c r="D678" s="113">
        <f>PR!C676</f>
        <v>4</v>
      </c>
      <c r="E678" s="108">
        <f>IF(F678="ALPHA",PR!$E676,IF(F678="ASSENE",PR!$F676,IF(F678="BIOFEM",PR!$G676,IF(F678="BIOMED",PR!$H676,IF(F678="CHI",PR!$I676,IF(F678="CLARION",PR!$J676,IF(F678="CODIX",PR!$K676,IF(F678="COSMADE",PR!$L676,IF(F678="SANCON",PR!$M676,IF(F678="DEVON",PR!$N676,IF(F678="DORTEMAG",PR!$O676,IF(F678="DGF",PR!$P676,IF(F678="DYNAMIC",PR!$Q676,IF(F678="EMZOR",PR!$R676,IF(F678="EUMATT",PR!$S676,IF(F678="FIDSON",PR!$T676,IF(F678="FCGLOBAL",PR!$U676,IF(F678="GENEITH",PR!$V676,IF(F678="GINOS",PR!$W676,IF(F678="GSK",PR!$X676,IF(F678="GLOBORG",PR!$Y676,IF(F678="GOODNEWS",PR!$Z676,IF(F678="GREENLIFE",PR!$AA676,IF(F678="HLINE",PR!$AB676,IF(F678="ROTECH",PR!$AC676,IF(F678="ISN",PR!$AD676,IF(F678="JAWA",PR!$AE676,IF(F678="LAYO",PR!$AF676,IF(F678="LEADWAY",PR!$AG676,IF(F678="LHV",PR!$AH676,IF(F678="MANOLA",PR!$AI676,IF(F678="MARCSON",PR!$AJ676,IF(F678="M&amp;B",PR!$AK676,IF(F678="MTRUST",PR!$AL676,IF(F678="MWORLD",PR!$AM676,IF(F678="MEGA",PR!$AN676,IF(F678="MICRONOVA",PR!$AO676,IF(F678="MFLASH",PR!$AP676,IF(F678="MORISON",PR!$AQ676,IF(F678="NEMEL",PR!$AR676,IF(F678="NHP",PR!$AS676,IF(F678="NHC",PR!$AT676,IF(F678="OLEAF",PR!$AU676,IF(F678="OCULUS",PR!$AV676,IF(F678="PACIFIC",PR!$AW676,IF(F678="PHAMATEX",PR!$AX676,IF(F678="PETHICS",PR!$AY676,IF(F678="PHILIPS",PR!$AZ676,IF(F678="RANBAXY",PR!$BA676,IF(F678="REALS",PR!$BB676,IF(F678="ROYAL",PR!$BC676,IF(F678="SAM",PR!$BD676,IF(F678="SEAGREEN",PR!$BE676,IF(F678="SKG",PR!$BF676,IF(F678="TAH",PR!$BG676,IF(F678="TAYLEK",PR!$BH676,IF(F678="TEMITA",PR!$BI676,IF(F678="THL",PR!$BJ676,IF(F678="UBASTIC",PR!$BK676,IF(F678="UNION",PR!$BL676,IF(F678="UNIQUE",PR!$BM676,IF(F678="VIXA",PR!$BN676,IF(F678="WWCV",PR!$BO676,IF(F678="ZOLON",PR!$BP676,"-"))))))))))))))))))))))))))))))))))))))))))))))))))))))))))))))))</f>
        <v>600</v>
      </c>
      <c r="F678" s="102" t="str">
        <f>EV!L873</f>
        <v>EUMATT</v>
      </c>
      <c r="G678" s="108">
        <f>IF(H678="ALPHA",PR!$E676,IF(H678="ASSENE",PR!$F676,IF(H678="BIOFEM",PR!$G676,IF(H678="BIOMED",PR!$H676,IF(H678="CHI",PR!$I676,IF(H678="CLARION",PR!$J676,IF(H678="CODIX",PR!$K676,IF(H678="COSMADE",PR!$L676,IF(H678="SANCON",PR!$M676,IF(H678="DEVON",PR!$N676,IF(H678="DORTEMAG",PR!$O676,IF(H678="DGF",PR!$P676,IF(H678="DYNAMIC",PR!$Q676,IF(H678="EMZOR",PR!$R676,IF(H678="EUMATT",PR!$S676,IF(H678="FIDSON",PR!$T676,IF(H678="FCGLOBAL",PR!$U676,IF(H678="GENEITH",PR!$V676,IF(H678="GINOS",PR!$W676,IF(H678="GSK",PR!$X676,IF(H678="GLOBORG",PR!$Y676,IF(H678="GOODNEWS",PR!$Z676,IF(H678="GREENLIFE",PR!$AA676,IF(H678="HLINE",PR!$AB676,IF(H678="ROTECH",PR!$AC676,IF(H678="ISN",PR!$AD676,IF(H678="JAWA",PR!$AE676,IF(H678="LAYO",PR!$AF676,IF(H678="LEADWAY",PR!$AG676,IF(H678="LHV",PR!$AH676,IF(H678="MANOLA",PR!$AI676,IF(H678="MARCSON",PR!$AJ676,IF(H678="M&amp;B",PR!$AK676,IF(H678="MTRUST",PR!$AL676,IF(H678="MWORLD",PR!$AM676,IF(H678="MEGA",PR!$AN676,IF(H678="MICRONOVA",PR!$AO676,IF(H678="MFLASH",PR!$AP676,IF(H678="MORISON",PR!$AQ676,IF(H678="NEMEL",PR!$AR676,IF(H678="NHP",PR!$AS676,IF(H678="NHC",PR!$AT676,IF(H678="OLEAF",PR!$AU676,IF(H678="OCULUS",PR!$AV676,IF(H678="PACIFIC",PR!$AW676,IF(H678="PHAMATEX",PR!$AX676,IF(H678="PETHICS",PR!$AY676,IF(H678="PHILIPS",PR!$AZ676,IF(H678="RANBAXY",PR!$BA676,IF(H678="REALS",PR!$BB676,IF(H678="ROYAL",PR!$BC676,IF(H678="SAM",PR!$BD676,IF(H678="SEAGREEN",PR!$BE676,IF(H678="SKG",PR!$BF676,IF(H678="TAH",PR!$BG676,IF(H678="TAYLEK",PR!$BH676,IF(H678="TEMITA",PR!$BI676,IF(H678="THL",PR!$BJ676,IF(H678="UBASTIC",PR!$BK676,IF(H678="UNION",PR!$BL676,IF(H678="UNIQUE",PR!$BM676,IF(H678="VIXA",PR!$BN676,IF(H678="WWCV",PR!$BO676,IF(H678="ZOLON",PR!$BP676,"-"))))))))))))))))))))))))))))))))))))))))))))))))))))))))))))))))</f>
        <v>800</v>
      </c>
      <c r="H678" s="102" t="str">
        <f>EV!M873</f>
        <v>SANCON</v>
      </c>
      <c r="I678" s="108">
        <f>IF(J678="ALPHA",PR!$E676,IF(J678="ASSENE",PR!$F676,IF(J678="BIOFEM",PR!$G676,IF(J678="BIOMED",PR!$H676,IF(J678="CHI",PR!$I676,IF(J678="CLARION",PR!$J676,IF(J678="CODIX",PR!$K676,IF(J678="COSMADE",PR!$L676,IF(J678="SANCON",PR!$M676,IF(J678="DEVON",PR!$N676,IF(J678="DORTEMAG",PR!$O676,IF(J678="DGF",PR!$P676,IF(J678="DYNAMIC",PR!$Q676,IF(J678="EMZOR",PR!$R676,IF(J678="EUMATT",PR!$S676,IF(J678="FIDSON",PR!$T676,IF(J678="FCGLOBAL",PR!$U676,IF(J678="GENEITH",PR!$V676,IF(J678="GINOS",PR!$W676,IF(J678="GSK",PR!$X676,IF(J678="GLOBORG",PR!$Y676,IF(J678="GOODNEWS",PR!$Z676,IF(J678="GREENLIFE",PR!$AA676,IF(J678="HLINE",PR!$AB676,IF(J678="ROTECH",PR!$AC676,IF(J678="ISN",PR!$AD676,IF(J678="JAWA",PR!$AE676,IF(J678="LAYO",PR!$AF676,IF(J678="LEADWAY",PR!$AG676,IF(J678="LHV",PR!$AH676,IF(J678="MANOLA",PR!$AI676,IF(J678="MARCSON",PR!$AJ676,IF(J678="M&amp;B",PR!$AK676,IF(J678="MTRUST",PR!$AL676,IF(J678="MWORLD",PR!$AM676,IF(J678="MEGA",PR!$AN676,IF(J678="MICRONOVA",PR!$AO676,IF(J678="MFLASH",PR!$AP676,IF(J678="MORISON",PR!$AQ676,IF(J678="NEMEL",PR!$AR676,IF(J678="NHP",PR!$AS676,IF(J678="NHC",PR!$AT676,IF(J678="OLEAF",PR!$AU676,IF(J678="OCULUS",PR!$AV676,IF(J678="PACIFIC",PR!$AW676,IF(J678="PHAMATEX",PR!$AX676,IF(J678="PETHICS",PR!$AY676,IF(J678="PHILIPS",PR!$AZ676,IF(J678="RANBAXY",PR!$BA676,IF(J678="REALS",PR!$BB676,IF(J678="ROYAL",PR!$BC676,IF(J678="SAM",PR!$BD676,IF(J678="SEAGREEN",PR!$BE676,IF(J678="SKG",PR!$BF676,IF(J678="TAH",PR!$BG676,IF(J678="TAYLEK",PR!$BH676,IF(J678="TEMITA",PR!$BI676,IF(J678="THL",PR!$BJ676,IF(J678="UBASTIC",PR!$BK676,IF(J678="UNION",PR!$BL676,IF(J678="UNIQUE",PR!$BM676,IF(J678="VIXA",PR!$BN676,IF(J678="WWCV",PR!$BO676,IF(J678="ZOLON",PR!$BP676,"-"))))))))))))))))))))))))))))))))))))))))))))))))))))))))))))))))</f>
        <v>1000</v>
      </c>
      <c r="J678" s="102" t="str">
        <f>EV!N873</f>
        <v>COSMADE</v>
      </c>
      <c r="K678" s="433" t="s">
        <v>821</v>
      </c>
      <c r="L678" s="183">
        <f>IF(K678&gt;0,IF(K678="ALPHA",PR!$E676,IF(K678="ASSENE",PR!$F676,IF(K678="BIOFEM",PR!$G676,IF(K678="BIOMED",PR!$H676,IF(K678="CHI",PR!$I676,IF(K678="CLARION",PR!$J676,IF(K678="CODIX",PR!$K676,IF(K678="COSMADE",PR!$L676,IF(K678="SANCON",PR!$M676,IF(K678="DEVON",PR!$N676,IF(K678="DORTEMAG",PR!$O676,IF(K678="DGF",PR!$P676,IF(K678="DYNAMIC",PR!$Q676,IF(K678="EMZOR",PR!$R676,IF(K678="EUMATT",PR!$S676,IF(K678="FIDSON",PR!$T676,IF(K678="FCGLOBAL",PR!$U676,IF(K678="GENEITH",PR!$V676,IF(K678="GINOS",PR!$W676,IF(K678="GSK",PR!$X676,IF(K678="GLOBORG",PR!$Y676,IF(K678="GOODNEWS",PR!$Z676,IF(K678="GREENLIFE",PR!$AA676,IF(K678="HLINE",PR!$AB676,IF(K678="ROTECH",PR!$AC676,IF(K678="ISN",PR!$AD676,IF(K678="JAWA",PR!$AE676,IF(K678="LAYO",PR!$AF676,IF(K678="LEADWAY",PR!$AG676,IF(K678="LHV",PR!$AH676,IF(K678="MANOLA",PR!$AI676,IF(K678="MARCSON",PR!$AJ676,IF(K678="M&amp;B",PR!$AK676,IF(K678="MTRUST",PR!$AL676,IF(K678="MWORLD",PR!$AM676,IF(K678="MEGA",PR!$AN676,IF(K678="MICRONOVA",PR!$AO676,IF(K678="MFLASH",PR!$AP676,IF(K678="MORISON",PR!$AQ676,IF(K678="NEMEL",PR!$AR676,IF(K678="NHP",PR!$AS676,IF(K678="NHC",PR!$AT676,IF(K678="OLEAF",PR!$AU676,IF(K678="OCULUS",PR!$AV676,IF(K678="PACIFIC",PR!$AW676,IF(K678="PHAMATEX",PR!$AX676,IF(K678="PETHICS",PR!$AY676,IF(K678="PHILIPS",PR!$AZ676,IF(K678="RANBAXY",PR!$BA676,IF(K678="REALS",PR!$BB676,IF(K678="ROYAL",PR!$BC676,IF(K678="SAM",PR!$BD676,IF(K678="SEAGREEN",PR!$BE676,IF(K678="SKG",PR!$BF676,IF(K678="TAH",PR!$BG676,IF(K678="TAYLEK",PR!$BH676,IF(K678="TEMITA",PR!$BI676,IF(K678="THL",PR!$BJ676,IF(K678="UBASTIC",PR!$BK676,IF(K678="UNION",PR!$BL676,IF(K678="UNIQUE",PR!$BM676,IF(K678="VIXA",PR!$BN676,IF(K678="WWCV",PR!$BO676,IF(K678="ZOLON",PR!$BP676,"-")))))))))))))))))))))))))))))))))))))))))))))))))))))))))))))))))</f>
        <v>600</v>
      </c>
    </row>
    <row r="679" spans="1:12" ht="18.75" x14ac:dyDescent="0.3">
      <c r="A679" s="430">
        <f>PR!A677</f>
        <v>615</v>
      </c>
      <c r="B679" s="15" t="str">
        <f>PR!B677</f>
        <v>NASOGASTRIC TUBE 22"</v>
      </c>
      <c r="C679" s="113">
        <f>PR!D677</f>
        <v>10</v>
      </c>
      <c r="D679" s="113">
        <f>PR!C677</f>
        <v>4</v>
      </c>
      <c r="E679" s="108">
        <f>IF(F679="ALPHA",PR!$E677,IF(F679="ASSENE",PR!$F677,IF(F679="BIOFEM",PR!$G677,IF(F679="BIOMED",PR!$H677,IF(F679="CHI",PR!$I677,IF(F679="CLARION",PR!$J677,IF(F679="CODIX",PR!$K677,IF(F679="COSMADE",PR!$L677,IF(F679="SANCON",PR!$M677,IF(F679="DEVON",PR!$N677,IF(F679="DORTEMAG",PR!$O677,IF(F679="DGF",PR!$P677,IF(F679="DYNAMIC",PR!$Q677,IF(F679="EMZOR",PR!$R677,IF(F679="EUMATT",PR!$S677,IF(F679="FIDSON",PR!$T677,IF(F679="FCGLOBAL",PR!$U677,IF(F679="GENEITH",PR!$V677,IF(F679="GINOS",PR!$W677,IF(F679="GSK",PR!$X677,IF(F679="GLOBORG",PR!$Y677,IF(F679="GOODNEWS",PR!$Z677,IF(F679="GREENLIFE",PR!$AA677,IF(F679="HLINE",PR!$AB677,IF(F679="ROTECH",PR!$AC677,IF(F679="ISN",PR!$AD677,IF(F679="JAWA",PR!$AE677,IF(F679="LAYO",PR!$AF677,IF(F679="LEADWAY",PR!$AG677,IF(F679="LHV",PR!$AH677,IF(F679="MANOLA",PR!$AI677,IF(F679="MARCSON",PR!$AJ677,IF(F679="M&amp;B",PR!$AK677,IF(F679="MTRUST",PR!$AL677,IF(F679="MWORLD",PR!$AM677,IF(F679="MEGA",PR!$AN677,IF(F679="MICRONOVA",PR!$AO677,IF(F679="MFLASH",PR!$AP677,IF(F679="MORISON",PR!$AQ677,IF(F679="NEMEL",PR!$AR677,IF(F679="NHP",PR!$AS677,IF(F679="NHC",PR!$AT677,IF(F679="OLEAF",PR!$AU677,IF(F679="OCULUS",PR!$AV677,IF(F679="PACIFIC",PR!$AW677,IF(F679="PHAMATEX",PR!$AX677,IF(F679="PETHICS",PR!$AY677,IF(F679="PHILIPS",PR!$AZ677,IF(F679="RANBAXY",PR!$BA677,IF(F679="REALS",PR!$BB677,IF(F679="ROYAL",PR!$BC677,IF(F679="SAM",PR!$BD677,IF(F679="SEAGREEN",PR!$BE677,IF(F679="SKG",PR!$BF677,IF(F679="TAH",PR!$BG677,IF(F679="TAYLEK",PR!$BH677,IF(F679="TEMITA",PR!$BI677,IF(F679="THL",PR!$BJ677,IF(F679="UBASTIC",PR!$BK677,IF(F679="UNION",PR!$BL677,IF(F679="UNIQUE",PR!$BM677,IF(F679="VIXA",PR!$BN677,IF(F679="WWCV",PR!$BO677,IF(F679="ZOLON",PR!$BP677,"-"))))))))))))))))))))))))))))))))))))))))))))))))))))))))))))))))</f>
        <v>540</v>
      </c>
      <c r="F679" s="102" t="str">
        <f>EV!L874</f>
        <v>SANCON</v>
      </c>
      <c r="G679" s="108">
        <f>IF(H679="ALPHA",PR!$E677,IF(H679="ASSENE",PR!$F677,IF(H679="BIOFEM",PR!$G677,IF(H679="BIOMED",PR!$H677,IF(H679="CHI",PR!$I677,IF(H679="CLARION",PR!$J677,IF(H679="CODIX",PR!$K677,IF(H679="COSMADE",PR!$L677,IF(H679="SANCON",PR!$M677,IF(H679="DEVON",PR!$N677,IF(H679="DORTEMAG",PR!$O677,IF(H679="DGF",PR!$P677,IF(H679="DYNAMIC",PR!$Q677,IF(H679="EMZOR",PR!$R677,IF(H679="EUMATT",PR!$S677,IF(H679="FIDSON",PR!$T677,IF(H679="FCGLOBAL",PR!$U677,IF(H679="GENEITH",PR!$V677,IF(H679="GINOS",PR!$W677,IF(H679="GSK",PR!$X677,IF(H679="GLOBORG",PR!$Y677,IF(H679="GOODNEWS",PR!$Z677,IF(H679="GREENLIFE",PR!$AA677,IF(H679="HLINE",PR!$AB677,IF(H679="ROTECH",PR!$AC677,IF(H679="ISN",PR!$AD677,IF(H679="JAWA",PR!$AE677,IF(H679="LAYO",PR!$AF677,IF(H679="LEADWAY",PR!$AG677,IF(H679="LHV",PR!$AH677,IF(H679="MANOLA",PR!$AI677,IF(H679="MARCSON",PR!$AJ677,IF(H679="M&amp;B",PR!$AK677,IF(H679="MTRUST",PR!$AL677,IF(H679="MWORLD",PR!$AM677,IF(H679="MEGA",PR!$AN677,IF(H679="MICRONOVA",PR!$AO677,IF(H679="MFLASH",PR!$AP677,IF(H679="MORISON",PR!$AQ677,IF(H679="NEMEL",PR!$AR677,IF(H679="NHP",PR!$AS677,IF(H679="NHC",PR!$AT677,IF(H679="OLEAF",PR!$AU677,IF(H679="OCULUS",PR!$AV677,IF(H679="PACIFIC",PR!$AW677,IF(H679="PHAMATEX",PR!$AX677,IF(H679="PETHICS",PR!$AY677,IF(H679="PHILIPS",PR!$AZ677,IF(H679="RANBAXY",PR!$BA677,IF(H679="REALS",PR!$BB677,IF(H679="ROYAL",PR!$BC677,IF(H679="SAM",PR!$BD677,IF(H679="SEAGREEN",PR!$BE677,IF(H679="SKG",PR!$BF677,IF(H679="TAH",PR!$BG677,IF(H679="TAYLEK",PR!$BH677,IF(H679="TEMITA",PR!$BI677,IF(H679="THL",PR!$BJ677,IF(H679="UBASTIC",PR!$BK677,IF(H679="UNION",PR!$BL677,IF(H679="UNIQUE",PR!$BM677,IF(H679="VIXA",PR!$BN677,IF(H679="WWCV",PR!$BO677,IF(H679="ZOLON",PR!$BP677,"-"))))))))))))))))))))))))))))))))))))))))))))))))))))))))))))))))</f>
        <v>600</v>
      </c>
      <c r="H679" s="102" t="str">
        <f>EV!M874</f>
        <v>EUMATT</v>
      </c>
      <c r="I679" s="108">
        <f>IF(J679="ALPHA",PR!$E677,IF(J679="ASSENE",PR!$F677,IF(J679="BIOFEM",PR!$G677,IF(J679="BIOMED",PR!$H677,IF(J679="CHI",PR!$I677,IF(J679="CLARION",PR!$J677,IF(J679="CODIX",PR!$K677,IF(J679="COSMADE",PR!$L677,IF(J679="SANCON",PR!$M677,IF(J679="DEVON",PR!$N677,IF(J679="DORTEMAG",PR!$O677,IF(J679="DGF",PR!$P677,IF(J679="DYNAMIC",PR!$Q677,IF(J679="EMZOR",PR!$R677,IF(J679="EUMATT",PR!$S677,IF(J679="FIDSON",PR!$T677,IF(J679="FCGLOBAL",PR!$U677,IF(J679="GENEITH",PR!$V677,IF(J679="GINOS",PR!$W677,IF(J679="GSK",PR!$X677,IF(J679="GLOBORG",PR!$Y677,IF(J679="GOODNEWS",PR!$Z677,IF(J679="GREENLIFE",PR!$AA677,IF(J679="HLINE",PR!$AB677,IF(J679="ROTECH",PR!$AC677,IF(J679="ISN",PR!$AD677,IF(J679="JAWA",PR!$AE677,IF(J679="LAYO",PR!$AF677,IF(J679="LEADWAY",PR!$AG677,IF(J679="LHV",PR!$AH677,IF(J679="MANOLA",PR!$AI677,IF(J679="MARCSON",PR!$AJ677,IF(J679="M&amp;B",PR!$AK677,IF(J679="MTRUST",PR!$AL677,IF(J679="MWORLD",PR!$AM677,IF(J679="MEGA",PR!$AN677,IF(J679="MICRONOVA",PR!$AO677,IF(J679="MFLASH",PR!$AP677,IF(J679="MORISON",PR!$AQ677,IF(J679="NEMEL",PR!$AR677,IF(J679="NHP",PR!$AS677,IF(J679="NHC",PR!$AT677,IF(J679="OLEAF",PR!$AU677,IF(J679="OCULUS",PR!$AV677,IF(J679="PACIFIC",PR!$AW677,IF(J679="PHAMATEX",PR!$AX677,IF(J679="PETHICS",PR!$AY677,IF(J679="PHILIPS",PR!$AZ677,IF(J679="RANBAXY",PR!$BA677,IF(J679="REALS",PR!$BB677,IF(J679="ROYAL",PR!$BC677,IF(J679="SAM",PR!$BD677,IF(J679="SEAGREEN",PR!$BE677,IF(J679="SKG",PR!$BF677,IF(J679="TAH",PR!$BG677,IF(J679="TAYLEK",PR!$BH677,IF(J679="TEMITA",PR!$BI677,IF(J679="THL",PR!$BJ677,IF(J679="UBASTIC",PR!$BK677,IF(J679="UNION",PR!$BL677,IF(J679="UNIQUE",PR!$BM677,IF(J679="VIXA",PR!$BN677,IF(J679="WWCV",PR!$BO677,IF(J679="ZOLON",PR!$BP677,"-"))))))))))))))))))))))))))))))))))))))))))))))))))))))))))))))))</f>
        <v>1000</v>
      </c>
      <c r="J679" s="102" t="str">
        <f>EV!N874</f>
        <v>COSMADE</v>
      </c>
      <c r="K679" s="433" t="s">
        <v>817</v>
      </c>
      <c r="L679" s="183">
        <f>IF(K679&gt;0,IF(K679="ALPHA",PR!$E677,IF(K679="ASSENE",PR!$F677,IF(K679="BIOFEM",PR!$G677,IF(K679="BIOMED",PR!$H677,IF(K679="CHI",PR!$I677,IF(K679="CLARION",PR!$J677,IF(K679="CODIX",PR!$K677,IF(K679="COSMADE",PR!$L677,IF(K679="SANCON",PR!$M677,IF(K679="DEVON",PR!$N677,IF(K679="DORTEMAG",PR!$O677,IF(K679="DGF",PR!$P677,IF(K679="DYNAMIC",PR!$Q677,IF(K679="EMZOR",PR!$R677,IF(K679="EUMATT",PR!$S677,IF(K679="FIDSON",PR!$T677,IF(K679="FCGLOBAL",PR!$U677,IF(K679="GENEITH",PR!$V677,IF(K679="GINOS",PR!$W677,IF(K679="GSK",PR!$X677,IF(K679="GLOBORG",PR!$Y677,IF(K679="GOODNEWS",PR!$Z677,IF(K679="GREENLIFE",PR!$AA677,IF(K679="HLINE",PR!$AB677,IF(K679="ROTECH",PR!$AC677,IF(K679="ISN",PR!$AD677,IF(K679="JAWA",PR!$AE677,IF(K679="LAYO",PR!$AF677,IF(K679="LEADWAY",PR!$AG677,IF(K679="LHV",PR!$AH677,IF(K679="MANOLA",PR!$AI677,IF(K679="MARCSON",PR!$AJ677,IF(K679="M&amp;B",PR!$AK677,IF(K679="MTRUST",PR!$AL677,IF(K679="MWORLD",PR!$AM677,IF(K679="MEGA",PR!$AN677,IF(K679="MICRONOVA",PR!$AO677,IF(K679="MFLASH",PR!$AP677,IF(K679="MORISON",PR!$AQ677,IF(K679="NEMEL",PR!$AR677,IF(K679="NHP",PR!$AS677,IF(K679="NHC",PR!$AT677,IF(K679="OLEAF",PR!$AU677,IF(K679="OCULUS",PR!$AV677,IF(K679="PACIFIC",PR!$AW677,IF(K679="PHAMATEX",PR!$AX677,IF(K679="PETHICS",PR!$AY677,IF(K679="PHILIPS",PR!$AZ677,IF(K679="RANBAXY",PR!$BA677,IF(K679="REALS",PR!$BB677,IF(K679="ROYAL",PR!$BC677,IF(K679="SAM",PR!$BD677,IF(K679="SEAGREEN",PR!$BE677,IF(K679="SKG",PR!$BF677,IF(K679="TAH",PR!$BG677,IF(K679="TAYLEK",PR!$BH677,IF(K679="TEMITA",PR!$BI677,IF(K679="THL",PR!$BJ677,IF(K679="UBASTIC",PR!$BK677,IF(K679="UNION",PR!$BL677,IF(K679="UNIQUE",PR!$BM677,IF(K679="VIXA",PR!$BN677,IF(K679="WWCV",PR!$BO677,IF(K679="ZOLON",PR!$BP677,"-")))))))))))))))))))))))))))))))))))))))))))))))))))))))))))))))))</f>
        <v>540</v>
      </c>
    </row>
    <row r="680" spans="1:12" ht="18.75" x14ac:dyDescent="0.3">
      <c r="A680" s="430">
        <f>PR!A678</f>
        <v>616</v>
      </c>
      <c r="B680" s="15" t="str">
        <f>PR!B678</f>
        <v>NASOGASTRIC TUBE 5"</v>
      </c>
      <c r="C680" s="113">
        <f>PR!D678</f>
        <v>100</v>
      </c>
      <c r="D680" s="113">
        <f>PR!C678</f>
        <v>30</v>
      </c>
      <c r="E680" s="108">
        <f>IF(F680="ALPHA",PR!$E678,IF(F680="ASSENE",PR!$F678,IF(F680="BIOFEM",PR!$G678,IF(F680="BIOMED",PR!$H678,IF(F680="CHI",PR!$I678,IF(F680="CLARION",PR!$J678,IF(F680="CODIX",PR!$K678,IF(F680="COSMADE",PR!$L678,IF(F680="SANCON",PR!$M678,IF(F680="DEVON",PR!$N678,IF(F680="DORTEMAG",PR!$O678,IF(F680="DGF",PR!$P678,IF(F680="DYNAMIC",PR!$Q678,IF(F680="EMZOR",PR!$R678,IF(F680="EUMATT",PR!$S678,IF(F680="FIDSON",PR!$T678,IF(F680="FCGLOBAL",PR!$U678,IF(F680="GENEITH",PR!$V678,IF(F680="GINOS",PR!$W678,IF(F680="GSK",PR!$X678,IF(F680="GLOBORG",PR!$Y678,IF(F680="GOODNEWS",PR!$Z678,IF(F680="GREENLIFE",PR!$AA678,IF(F680="HLINE",PR!$AB678,IF(F680="ROTECH",PR!$AC678,IF(F680="ISN",PR!$AD678,IF(F680="JAWA",PR!$AE678,IF(F680="LAYO",PR!$AF678,IF(F680="LEADWAY",PR!$AG678,IF(F680="LHV",PR!$AH678,IF(F680="MANOLA",PR!$AI678,IF(F680="MARCSON",PR!$AJ678,IF(F680="M&amp;B",PR!$AK678,IF(F680="MTRUST",PR!$AL678,IF(F680="MWORLD",PR!$AM678,IF(F680="MEGA",PR!$AN678,IF(F680="MICRONOVA",PR!$AO678,IF(F680="MFLASH",PR!$AP678,IF(F680="MORISON",PR!$AQ678,IF(F680="NEMEL",PR!$AR678,IF(F680="NHP",PR!$AS678,IF(F680="NHC",PR!$AT678,IF(F680="OLEAF",PR!$AU678,IF(F680="OCULUS",PR!$AV678,IF(F680="PACIFIC",PR!$AW678,IF(F680="PHAMATEX",PR!$AX678,IF(F680="PETHICS",PR!$AY678,IF(F680="PHILIPS",PR!$AZ678,IF(F680="RANBAXY",PR!$BA678,IF(F680="REALS",PR!$BB678,IF(F680="ROYAL",PR!$BC678,IF(F680="SAM",PR!$BD678,IF(F680="SEAGREEN",PR!$BE678,IF(F680="SKG",PR!$BF678,IF(F680="TAH",PR!$BG678,IF(F680="TAYLEK",PR!$BH678,IF(F680="TEMITA",PR!$BI678,IF(F680="THL",PR!$BJ678,IF(F680="UBASTIC",PR!$BK678,IF(F680="UNION",PR!$BL678,IF(F680="UNIQUE",PR!$BM678,IF(F680="VIXA",PR!$BN678,IF(F680="WWCV",PR!$BO678,IF(F680="ZOLON",PR!$BP678,"-"))))))))))))))))))))))))))))))))))))))))))))))))))))))))))))))))</f>
        <v>5400</v>
      </c>
      <c r="F680" s="102" t="str">
        <f>EV!L875</f>
        <v>SANCON</v>
      </c>
      <c r="G680" s="108">
        <f>IF(H680="ALPHA",PR!$E678,IF(H680="ASSENE",PR!$F678,IF(H680="BIOFEM",PR!$G678,IF(H680="BIOMED",PR!$H678,IF(H680="CHI",PR!$I678,IF(H680="CLARION",PR!$J678,IF(H680="CODIX",PR!$K678,IF(H680="COSMADE",PR!$L678,IF(H680="SANCON",PR!$M678,IF(H680="DEVON",PR!$N678,IF(H680="DORTEMAG",PR!$O678,IF(H680="DGF",PR!$P678,IF(H680="DYNAMIC",PR!$Q678,IF(H680="EMZOR",PR!$R678,IF(H680="EUMATT",PR!$S678,IF(H680="FIDSON",PR!$T678,IF(H680="FCGLOBAL",PR!$U678,IF(H680="GENEITH",PR!$V678,IF(H680="GINOS",PR!$W678,IF(H680="GSK",PR!$X678,IF(H680="GLOBORG",PR!$Y678,IF(H680="GOODNEWS",PR!$Z678,IF(H680="GREENLIFE",PR!$AA678,IF(H680="HLINE",PR!$AB678,IF(H680="ROTECH",PR!$AC678,IF(H680="ISN",PR!$AD678,IF(H680="JAWA",PR!$AE678,IF(H680="LAYO",PR!$AF678,IF(H680="LEADWAY",PR!$AG678,IF(H680="LHV",PR!$AH678,IF(H680="MANOLA",PR!$AI678,IF(H680="MARCSON",PR!$AJ678,IF(H680="M&amp;B",PR!$AK678,IF(H680="MTRUST",PR!$AL678,IF(H680="MWORLD",PR!$AM678,IF(H680="MEGA",PR!$AN678,IF(H680="MICRONOVA",PR!$AO678,IF(H680="MFLASH",PR!$AP678,IF(H680="MORISON",PR!$AQ678,IF(H680="NEMEL",PR!$AR678,IF(H680="NHP",PR!$AS678,IF(H680="NHC",PR!$AT678,IF(H680="OLEAF",PR!$AU678,IF(H680="OCULUS",PR!$AV678,IF(H680="PACIFIC",PR!$AW678,IF(H680="PHAMATEX",PR!$AX678,IF(H680="PETHICS",PR!$AY678,IF(H680="PHILIPS",PR!$AZ678,IF(H680="RANBAXY",PR!$BA678,IF(H680="REALS",PR!$BB678,IF(H680="ROYAL",PR!$BC678,IF(H680="SAM",PR!$BD678,IF(H680="SEAGREEN",PR!$BE678,IF(H680="SKG",PR!$BF678,IF(H680="TAH",PR!$BG678,IF(H680="TAYLEK",PR!$BH678,IF(H680="TEMITA",PR!$BI678,IF(H680="THL",PR!$BJ678,IF(H680="UBASTIC",PR!$BK678,IF(H680="UNION",PR!$BL678,IF(H680="UNIQUE",PR!$BM678,IF(H680="VIXA",PR!$BN678,IF(H680="WWCV",PR!$BO678,IF(H680="ZOLON",PR!$BP678,"-"))))))))))))))))))))))))))))))))))))))))))))))))))))))))))))))))</f>
        <v>6000</v>
      </c>
      <c r="H680" s="102" t="str">
        <f>EV!M875</f>
        <v>EUMATT</v>
      </c>
      <c r="I680" s="108">
        <f>IF(J680="ALPHA",PR!$E678,IF(J680="ASSENE",PR!$F678,IF(J680="BIOFEM",PR!$G678,IF(J680="BIOMED",PR!$H678,IF(J680="CHI",PR!$I678,IF(J680="CLARION",PR!$J678,IF(J680="CODIX",PR!$K678,IF(J680="COSMADE",PR!$L678,IF(J680="SANCON",PR!$M678,IF(J680="DEVON",PR!$N678,IF(J680="DORTEMAG",PR!$O678,IF(J680="DGF",PR!$P678,IF(J680="DYNAMIC",PR!$Q678,IF(J680="EMZOR",PR!$R678,IF(J680="EUMATT",PR!$S678,IF(J680="FIDSON",PR!$T678,IF(J680="FCGLOBAL",PR!$U678,IF(J680="GENEITH",PR!$V678,IF(J680="GINOS",PR!$W678,IF(J680="GSK",PR!$X678,IF(J680="GLOBORG",PR!$Y678,IF(J680="GOODNEWS",PR!$Z678,IF(J680="GREENLIFE",PR!$AA678,IF(J680="HLINE",PR!$AB678,IF(J680="ROTECH",PR!$AC678,IF(J680="ISN",PR!$AD678,IF(J680="JAWA",PR!$AE678,IF(J680="LAYO",PR!$AF678,IF(J680="LEADWAY",PR!$AG678,IF(J680="LHV",PR!$AH678,IF(J680="MANOLA",PR!$AI678,IF(J680="MARCSON",PR!$AJ678,IF(J680="M&amp;B",PR!$AK678,IF(J680="MTRUST",PR!$AL678,IF(J680="MWORLD",PR!$AM678,IF(J680="MEGA",PR!$AN678,IF(J680="MICRONOVA",PR!$AO678,IF(J680="MFLASH",PR!$AP678,IF(J680="MORISON",PR!$AQ678,IF(J680="NEMEL",PR!$AR678,IF(J680="NHP",PR!$AS678,IF(J680="NHC",PR!$AT678,IF(J680="OLEAF",PR!$AU678,IF(J680="OCULUS",PR!$AV678,IF(J680="PACIFIC",PR!$AW678,IF(J680="PHAMATEX",PR!$AX678,IF(J680="PETHICS",PR!$AY678,IF(J680="PHILIPS",PR!$AZ678,IF(J680="RANBAXY",PR!$BA678,IF(J680="REALS",PR!$BB678,IF(J680="ROYAL",PR!$BC678,IF(J680="SAM",PR!$BD678,IF(J680="SEAGREEN",PR!$BE678,IF(J680="SKG",PR!$BF678,IF(J680="TAH",PR!$BG678,IF(J680="TAYLEK",PR!$BH678,IF(J680="TEMITA",PR!$BI678,IF(J680="THL",PR!$BJ678,IF(J680="UBASTIC",PR!$BK678,IF(J680="UNION",PR!$BL678,IF(J680="UNIQUE",PR!$BM678,IF(J680="VIXA",PR!$BN678,IF(J680="WWCV",PR!$BO678,IF(J680="ZOLON",PR!$BP678,"-"))))))))))))))))))))))))))))))))))))))))))))))))))))))))))))))))</f>
        <v>10000</v>
      </c>
      <c r="J680" s="102" t="str">
        <f>EV!N875</f>
        <v>COSMADE</v>
      </c>
      <c r="K680" s="433" t="s">
        <v>817</v>
      </c>
      <c r="L680" s="183">
        <f>IF(K680&gt;0,IF(K680="ALPHA",PR!$E678,IF(K680="ASSENE",PR!$F678,IF(K680="BIOFEM",PR!$G678,IF(K680="BIOMED",PR!$H678,IF(K680="CHI",PR!$I678,IF(K680="CLARION",PR!$J678,IF(K680="CODIX",PR!$K678,IF(K680="COSMADE",PR!$L678,IF(K680="SANCON",PR!$M678,IF(K680="DEVON",PR!$N678,IF(K680="DORTEMAG",PR!$O678,IF(K680="DGF",PR!$P678,IF(K680="DYNAMIC",PR!$Q678,IF(K680="EMZOR",PR!$R678,IF(K680="EUMATT",PR!$S678,IF(K680="FIDSON",PR!$T678,IF(K680="FCGLOBAL",PR!$U678,IF(K680="GENEITH",PR!$V678,IF(K680="GINOS",PR!$W678,IF(K680="GSK",PR!$X678,IF(K680="GLOBORG",PR!$Y678,IF(K680="GOODNEWS",PR!$Z678,IF(K680="GREENLIFE",PR!$AA678,IF(K680="HLINE",PR!$AB678,IF(K680="ROTECH",PR!$AC678,IF(K680="ISN",PR!$AD678,IF(K680="JAWA",PR!$AE678,IF(K680="LAYO",PR!$AF678,IF(K680="LEADWAY",PR!$AG678,IF(K680="LHV",PR!$AH678,IF(K680="MANOLA",PR!$AI678,IF(K680="MARCSON",PR!$AJ678,IF(K680="M&amp;B",PR!$AK678,IF(K680="MTRUST",PR!$AL678,IF(K680="MWORLD",PR!$AM678,IF(K680="MEGA",PR!$AN678,IF(K680="MICRONOVA",PR!$AO678,IF(K680="MFLASH",PR!$AP678,IF(K680="MORISON",PR!$AQ678,IF(K680="NEMEL",PR!$AR678,IF(K680="NHP",PR!$AS678,IF(K680="NHC",PR!$AT678,IF(K680="OLEAF",PR!$AU678,IF(K680="OCULUS",PR!$AV678,IF(K680="PACIFIC",PR!$AW678,IF(K680="PHAMATEX",PR!$AX678,IF(K680="PETHICS",PR!$AY678,IF(K680="PHILIPS",PR!$AZ678,IF(K680="RANBAXY",PR!$BA678,IF(K680="REALS",PR!$BB678,IF(K680="ROYAL",PR!$BC678,IF(K680="SAM",PR!$BD678,IF(K680="SEAGREEN",PR!$BE678,IF(K680="SKG",PR!$BF678,IF(K680="TAH",PR!$BG678,IF(K680="TAYLEK",PR!$BH678,IF(K680="TEMITA",PR!$BI678,IF(K680="THL",PR!$BJ678,IF(K680="UBASTIC",PR!$BK678,IF(K680="UNION",PR!$BL678,IF(K680="UNIQUE",PR!$BM678,IF(K680="VIXA",PR!$BN678,IF(K680="WWCV",PR!$BO678,IF(K680="ZOLON",PR!$BP678,"-")))))))))))))))))))))))))))))))))))))))))))))))))))))))))))))))))</f>
        <v>5400</v>
      </c>
    </row>
    <row r="681" spans="1:12" ht="18.75" x14ac:dyDescent="0.3">
      <c r="A681" s="430">
        <f>PR!A679</f>
        <v>617</v>
      </c>
      <c r="B681" s="15" t="str">
        <f>PR!B679</f>
        <v>NASOGASTRIC TUBE 6"</v>
      </c>
      <c r="C681" s="113">
        <f>PR!D679</f>
        <v>100</v>
      </c>
      <c r="D681" s="113">
        <f>PR!C679</f>
        <v>24</v>
      </c>
      <c r="E681" s="108">
        <f>IF(F681="ALPHA",PR!$E679,IF(F681="ASSENE",PR!$F679,IF(F681="BIOFEM",PR!$G679,IF(F681="BIOMED",PR!$H679,IF(F681="CHI",PR!$I679,IF(F681="CLARION",PR!$J679,IF(F681="CODIX",PR!$K679,IF(F681="COSMADE",PR!$L679,IF(F681="SANCON",PR!$M679,IF(F681="DEVON",PR!$N679,IF(F681="DORTEMAG",PR!$O679,IF(F681="DGF",PR!$P679,IF(F681="DYNAMIC",PR!$Q679,IF(F681="EMZOR",PR!$R679,IF(F681="EUMATT",PR!$S679,IF(F681="FIDSON",PR!$T679,IF(F681="FCGLOBAL",PR!$U679,IF(F681="GENEITH",PR!$V679,IF(F681="GINOS",PR!$W679,IF(F681="GSK",PR!$X679,IF(F681="GLOBORG",PR!$Y679,IF(F681="GOODNEWS",PR!$Z679,IF(F681="GREENLIFE",PR!$AA679,IF(F681="HLINE",PR!$AB679,IF(F681="ROTECH",PR!$AC679,IF(F681="ISN",PR!$AD679,IF(F681="JAWA",PR!$AE679,IF(F681="LAYO",PR!$AF679,IF(F681="LEADWAY",PR!$AG679,IF(F681="LHV",PR!$AH679,IF(F681="MANOLA",PR!$AI679,IF(F681="MARCSON",PR!$AJ679,IF(F681="M&amp;B",PR!$AK679,IF(F681="MTRUST",PR!$AL679,IF(F681="MWORLD",PR!$AM679,IF(F681="MEGA",PR!$AN679,IF(F681="MICRONOVA",PR!$AO679,IF(F681="MFLASH",PR!$AP679,IF(F681="MORISON",PR!$AQ679,IF(F681="NEMEL",PR!$AR679,IF(F681="NHP",PR!$AS679,IF(F681="NHC",PR!$AT679,IF(F681="OLEAF",PR!$AU679,IF(F681="OCULUS",PR!$AV679,IF(F681="PACIFIC",PR!$AW679,IF(F681="PHAMATEX",PR!$AX679,IF(F681="PETHICS",PR!$AY679,IF(F681="PHILIPS",PR!$AZ679,IF(F681="RANBAXY",PR!$BA679,IF(F681="REALS",PR!$BB679,IF(F681="ROYAL",PR!$BC679,IF(F681="SAM",PR!$BD679,IF(F681="SEAGREEN",PR!$BE679,IF(F681="SKG",PR!$BF679,IF(F681="TAH",PR!$BG679,IF(F681="TAYLEK",PR!$BH679,IF(F681="TEMITA",PR!$BI679,IF(F681="THL",PR!$BJ679,IF(F681="UBASTIC",PR!$BK679,IF(F681="UNION",PR!$BL679,IF(F681="UNIQUE",PR!$BM679,IF(F681="VIXA",PR!$BN679,IF(F681="WWCV",PR!$BO679,IF(F681="ZOLON",PR!$BP679,"-"))))))))))))))))))))))))))))))))))))))))))))))))))))))))))))))))</f>
        <v>5400</v>
      </c>
      <c r="F681" s="102" t="str">
        <f>EV!L876</f>
        <v>SANCON</v>
      </c>
      <c r="G681" s="108">
        <f>IF(H681="ALPHA",PR!$E679,IF(H681="ASSENE",PR!$F679,IF(H681="BIOFEM",PR!$G679,IF(H681="BIOMED",PR!$H679,IF(H681="CHI",PR!$I679,IF(H681="CLARION",PR!$J679,IF(H681="CODIX",PR!$K679,IF(H681="COSMADE",PR!$L679,IF(H681="SANCON",PR!$M679,IF(H681="DEVON",PR!$N679,IF(H681="DORTEMAG",PR!$O679,IF(H681="DGF",PR!$P679,IF(H681="DYNAMIC",PR!$Q679,IF(H681="EMZOR",PR!$R679,IF(H681="EUMATT",PR!$S679,IF(H681="FIDSON",PR!$T679,IF(H681="FCGLOBAL",PR!$U679,IF(H681="GENEITH",PR!$V679,IF(H681="GINOS",PR!$W679,IF(H681="GSK",PR!$X679,IF(H681="GLOBORG",PR!$Y679,IF(H681="GOODNEWS",PR!$Z679,IF(H681="GREENLIFE",PR!$AA679,IF(H681="HLINE",PR!$AB679,IF(H681="ROTECH",PR!$AC679,IF(H681="ISN",PR!$AD679,IF(H681="JAWA",PR!$AE679,IF(H681="LAYO",PR!$AF679,IF(H681="LEADWAY",PR!$AG679,IF(H681="LHV",PR!$AH679,IF(H681="MANOLA",PR!$AI679,IF(H681="MARCSON",PR!$AJ679,IF(H681="M&amp;B",PR!$AK679,IF(H681="MTRUST",PR!$AL679,IF(H681="MWORLD",PR!$AM679,IF(H681="MEGA",PR!$AN679,IF(H681="MICRONOVA",PR!$AO679,IF(H681="MFLASH",PR!$AP679,IF(H681="MORISON",PR!$AQ679,IF(H681="NEMEL",PR!$AR679,IF(H681="NHP",PR!$AS679,IF(H681="NHC",PR!$AT679,IF(H681="OLEAF",PR!$AU679,IF(H681="OCULUS",PR!$AV679,IF(H681="PACIFIC",PR!$AW679,IF(H681="PHAMATEX",PR!$AX679,IF(H681="PETHICS",PR!$AY679,IF(H681="PHILIPS",PR!$AZ679,IF(H681="RANBAXY",PR!$BA679,IF(H681="REALS",PR!$BB679,IF(H681="ROYAL",PR!$BC679,IF(H681="SAM",PR!$BD679,IF(H681="SEAGREEN",PR!$BE679,IF(H681="SKG",PR!$BF679,IF(H681="TAH",PR!$BG679,IF(H681="TAYLEK",PR!$BH679,IF(H681="TEMITA",PR!$BI679,IF(H681="THL",PR!$BJ679,IF(H681="UBASTIC",PR!$BK679,IF(H681="UNION",PR!$BL679,IF(H681="UNIQUE",PR!$BM679,IF(H681="VIXA",PR!$BN679,IF(H681="WWCV",PR!$BO679,IF(H681="ZOLON",PR!$BP679,"-"))))))))))))))))))))))))))))))))))))))))))))))))))))))))))))))))</f>
        <v>6000</v>
      </c>
      <c r="H681" s="102" t="str">
        <f>EV!M876</f>
        <v>EUMATT</v>
      </c>
      <c r="I681" s="108">
        <f>IF(J681="ALPHA",PR!$E679,IF(J681="ASSENE",PR!$F679,IF(J681="BIOFEM",PR!$G679,IF(J681="BIOMED",PR!$H679,IF(J681="CHI",PR!$I679,IF(J681="CLARION",PR!$J679,IF(J681="CODIX",PR!$K679,IF(J681="COSMADE",PR!$L679,IF(J681="SANCON",PR!$M679,IF(J681="DEVON",PR!$N679,IF(J681="DORTEMAG",PR!$O679,IF(J681="DGF",PR!$P679,IF(J681="DYNAMIC",PR!$Q679,IF(J681="EMZOR",PR!$R679,IF(J681="EUMATT",PR!$S679,IF(J681="FIDSON",PR!$T679,IF(J681="FCGLOBAL",PR!$U679,IF(J681="GENEITH",PR!$V679,IF(J681="GINOS",PR!$W679,IF(J681="GSK",PR!$X679,IF(J681="GLOBORG",PR!$Y679,IF(J681="GOODNEWS",PR!$Z679,IF(J681="GREENLIFE",PR!$AA679,IF(J681="HLINE",PR!$AB679,IF(J681="ROTECH",PR!$AC679,IF(J681="ISN",PR!$AD679,IF(J681="JAWA",PR!$AE679,IF(J681="LAYO",PR!$AF679,IF(J681="LEADWAY",PR!$AG679,IF(J681="LHV",PR!$AH679,IF(J681="MANOLA",PR!$AI679,IF(J681="MARCSON",PR!$AJ679,IF(J681="M&amp;B",PR!$AK679,IF(J681="MTRUST",PR!$AL679,IF(J681="MWORLD",PR!$AM679,IF(J681="MEGA",PR!$AN679,IF(J681="MICRONOVA",PR!$AO679,IF(J681="MFLASH",PR!$AP679,IF(J681="MORISON",PR!$AQ679,IF(J681="NEMEL",PR!$AR679,IF(J681="NHP",PR!$AS679,IF(J681="NHC",PR!$AT679,IF(J681="OLEAF",PR!$AU679,IF(J681="OCULUS",PR!$AV679,IF(J681="PACIFIC",PR!$AW679,IF(J681="PHAMATEX",PR!$AX679,IF(J681="PETHICS",PR!$AY679,IF(J681="PHILIPS",PR!$AZ679,IF(J681="RANBAXY",PR!$BA679,IF(J681="REALS",PR!$BB679,IF(J681="ROYAL",PR!$BC679,IF(J681="SAM",PR!$BD679,IF(J681="SEAGREEN",PR!$BE679,IF(J681="SKG",PR!$BF679,IF(J681="TAH",PR!$BG679,IF(J681="TAYLEK",PR!$BH679,IF(J681="TEMITA",PR!$BI679,IF(J681="THL",PR!$BJ679,IF(J681="UBASTIC",PR!$BK679,IF(J681="UNION",PR!$BL679,IF(J681="UNIQUE",PR!$BM679,IF(J681="VIXA",PR!$BN679,IF(J681="WWCV",PR!$BO679,IF(J681="ZOLON",PR!$BP679,"-"))))))))))))))))))))))))))))))))))))))))))))))))))))))))))))))))</f>
        <v>10000</v>
      </c>
      <c r="J681" s="102" t="str">
        <f>EV!N876</f>
        <v>COSMADE</v>
      </c>
      <c r="K681" s="433" t="s">
        <v>817</v>
      </c>
      <c r="L681" s="183">
        <f>IF(K681&gt;0,IF(K681="ALPHA",PR!$E679,IF(K681="ASSENE",PR!$F679,IF(K681="BIOFEM",PR!$G679,IF(K681="BIOMED",PR!$H679,IF(K681="CHI",PR!$I679,IF(K681="CLARION",PR!$J679,IF(K681="CODIX",PR!$K679,IF(K681="COSMADE",PR!$L679,IF(K681="SANCON",PR!$M679,IF(K681="DEVON",PR!$N679,IF(K681="DORTEMAG",PR!$O679,IF(K681="DGF",PR!$P679,IF(K681="DYNAMIC",PR!$Q679,IF(K681="EMZOR",PR!$R679,IF(K681="EUMATT",PR!$S679,IF(K681="FIDSON",PR!$T679,IF(K681="FCGLOBAL",PR!$U679,IF(K681="GENEITH",PR!$V679,IF(K681="GINOS",PR!$W679,IF(K681="GSK",PR!$X679,IF(K681="GLOBORG",PR!$Y679,IF(K681="GOODNEWS",PR!$Z679,IF(K681="GREENLIFE",PR!$AA679,IF(K681="HLINE",PR!$AB679,IF(K681="ROTECH",PR!$AC679,IF(K681="ISN",PR!$AD679,IF(K681="JAWA",PR!$AE679,IF(K681="LAYO",PR!$AF679,IF(K681="LEADWAY",PR!$AG679,IF(K681="LHV",PR!$AH679,IF(K681="MANOLA",PR!$AI679,IF(K681="MARCSON",PR!$AJ679,IF(K681="M&amp;B",PR!$AK679,IF(K681="MTRUST",PR!$AL679,IF(K681="MWORLD",PR!$AM679,IF(K681="MEGA",PR!$AN679,IF(K681="MICRONOVA",PR!$AO679,IF(K681="MFLASH",PR!$AP679,IF(K681="MORISON",PR!$AQ679,IF(K681="NEMEL",PR!$AR679,IF(K681="NHP",PR!$AS679,IF(K681="NHC",PR!$AT679,IF(K681="OLEAF",PR!$AU679,IF(K681="OCULUS",PR!$AV679,IF(K681="PACIFIC",PR!$AW679,IF(K681="PHAMATEX",PR!$AX679,IF(K681="PETHICS",PR!$AY679,IF(K681="PHILIPS",PR!$AZ679,IF(K681="RANBAXY",PR!$BA679,IF(K681="REALS",PR!$BB679,IF(K681="ROYAL",PR!$BC679,IF(K681="SAM",PR!$BD679,IF(K681="SEAGREEN",PR!$BE679,IF(K681="SKG",PR!$BF679,IF(K681="TAH",PR!$BG679,IF(K681="TAYLEK",PR!$BH679,IF(K681="TEMITA",PR!$BI679,IF(K681="THL",PR!$BJ679,IF(K681="UBASTIC",PR!$BK679,IF(K681="UNION",PR!$BL679,IF(K681="UNIQUE",PR!$BM679,IF(K681="VIXA",PR!$BN679,IF(K681="WWCV",PR!$BO679,IF(K681="ZOLON",PR!$BP679,"-")))))))))))))))))))))))))))))))))))))))))))))))))))))))))))))))))</f>
        <v>5400</v>
      </c>
    </row>
    <row r="682" spans="1:12" ht="18.75" x14ac:dyDescent="0.3">
      <c r="A682" s="430">
        <f>PR!A680</f>
        <v>618</v>
      </c>
      <c r="B682" s="15" t="str">
        <f>PR!B680</f>
        <v>NASOGASTRIC TUBE 8"</v>
      </c>
      <c r="C682" s="113">
        <f>PR!D680</f>
        <v>10</v>
      </c>
      <c r="D682" s="113">
        <f>PR!C680</f>
        <v>17</v>
      </c>
      <c r="E682" s="108">
        <f>IF(F682="ALPHA",PR!$E680,IF(F682="ASSENE",PR!$F680,IF(F682="BIOFEM",PR!$G680,IF(F682="BIOMED",PR!$H680,IF(F682="CHI",PR!$I680,IF(F682="CLARION",PR!$J680,IF(F682="CODIX",PR!$K680,IF(F682="COSMADE",PR!$L680,IF(F682="SANCON",PR!$M680,IF(F682="DEVON",PR!$N680,IF(F682="DORTEMAG",PR!$O680,IF(F682="DGF",PR!$P680,IF(F682="DYNAMIC",PR!$Q680,IF(F682="EMZOR",PR!$R680,IF(F682="EUMATT",PR!$S680,IF(F682="FIDSON",PR!$T680,IF(F682="FCGLOBAL",PR!$U680,IF(F682="GENEITH",PR!$V680,IF(F682="GINOS",PR!$W680,IF(F682="GSK",PR!$X680,IF(F682="GLOBORG",PR!$Y680,IF(F682="GOODNEWS",PR!$Z680,IF(F682="GREENLIFE",PR!$AA680,IF(F682="HLINE",PR!$AB680,IF(F682="ROTECH",PR!$AC680,IF(F682="ISN",PR!$AD680,IF(F682="JAWA",PR!$AE680,IF(F682="LAYO",PR!$AF680,IF(F682="LEADWAY",PR!$AG680,IF(F682="LHV",PR!$AH680,IF(F682="MANOLA",PR!$AI680,IF(F682="MARCSON",PR!$AJ680,IF(F682="M&amp;B",PR!$AK680,IF(F682="MTRUST",PR!$AL680,IF(F682="MWORLD",PR!$AM680,IF(F682="MEGA",PR!$AN680,IF(F682="MICRONOVA",PR!$AO680,IF(F682="MFLASH",PR!$AP680,IF(F682="MORISON",PR!$AQ680,IF(F682="NEMEL",PR!$AR680,IF(F682="NHP",PR!$AS680,IF(F682="NHC",PR!$AT680,IF(F682="OLEAF",PR!$AU680,IF(F682="OCULUS",PR!$AV680,IF(F682="PACIFIC",PR!$AW680,IF(F682="PHAMATEX",PR!$AX680,IF(F682="PETHICS",PR!$AY680,IF(F682="PHILIPS",PR!$AZ680,IF(F682="RANBAXY",PR!$BA680,IF(F682="REALS",PR!$BB680,IF(F682="ROYAL",PR!$BC680,IF(F682="SAM",PR!$BD680,IF(F682="SEAGREEN",PR!$BE680,IF(F682="SKG",PR!$BF680,IF(F682="TAH",PR!$BG680,IF(F682="TAYLEK",PR!$BH680,IF(F682="TEMITA",PR!$BI680,IF(F682="THL",PR!$BJ680,IF(F682="UBASTIC",PR!$BK680,IF(F682="UNION",PR!$BL680,IF(F682="UNIQUE",PR!$BM680,IF(F682="VIXA",PR!$BN680,IF(F682="WWCV",PR!$BO680,IF(F682="ZOLON",PR!$BP680,"-"))))))))))))))))))))))))))))))))))))))))))))))))))))))))))))))))</f>
        <v>540</v>
      </c>
      <c r="F682" s="102" t="str">
        <f>EV!L877</f>
        <v>SANCON</v>
      </c>
      <c r="G682" s="108">
        <f>IF(H682="ALPHA",PR!$E680,IF(H682="ASSENE",PR!$F680,IF(H682="BIOFEM",PR!$G680,IF(H682="BIOMED",PR!$H680,IF(H682="CHI",PR!$I680,IF(H682="CLARION",PR!$J680,IF(H682="CODIX",PR!$K680,IF(H682="COSMADE",PR!$L680,IF(H682="SANCON",PR!$M680,IF(H682="DEVON",PR!$N680,IF(H682="DORTEMAG",PR!$O680,IF(H682="DGF",PR!$P680,IF(H682="DYNAMIC",PR!$Q680,IF(H682="EMZOR",PR!$R680,IF(H682="EUMATT",PR!$S680,IF(H682="FIDSON",PR!$T680,IF(H682="FCGLOBAL",PR!$U680,IF(H682="GENEITH",PR!$V680,IF(H682="GINOS",PR!$W680,IF(H682="GSK",PR!$X680,IF(H682="GLOBORG",PR!$Y680,IF(H682="GOODNEWS",PR!$Z680,IF(H682="GREENLIFE",PR!$AA680,IF(H682="HLINE",PR!$AB680,IF(H682="ROTECH",PR!$AC680,IF(H682="ISN",PR!$AD680,IF(H682="JAWA",PR!$AE680,IF(H682="LAYO",PR!$AF680,IF(H682="LEADWAY",PR!$AG680,IF(H682="LHV",PR!$AH680,IF(H682="MANOLA",PR!$AI680,IF(H682="MARCSON",PR!$AJ680,IF(H682="M&amp;B",PR!$AK680,IF(H682="MTRUST",PR!$AL680,IF(H682="MWORLD",PR!$AM680,IF(H682="MEGA",PR!$AN680,IF(H682="MICRONOVA",PR!$AO680,IF(H682="MFLASH",PR!$AP680,IF(H682="MORISON",PR!$AQ680,IF(H682="NEMEL",PR!$AR680,IF(H682="NHP",PR!$AS680,IF(H682="NHC",PR!$AT680,IF(H682="OLEAF",PR!$AU680,IF(H682="OCULUS",PR!$AV680,IF(H682="PACIFIC",PR!$AW680,IF(H682="PHAMATEX",PR!$AX680,IF(H682="PETHICS",PR!$AY680,IF(H682="PHILIPS",PR!$AZ680,IF(H682="RANBAXY",PR!$BA680,IF(H682="REALS",PR!$BB680,IF(H682="ROYAL",PR!$BC680,IF(H682="SAM",PR!$BD680,IF(H682="SEAGREEN",PR!$BE680,IF(H682="SKG",PR!$BF680,IF(H682="TAH",PR!$BG680,IF(H682="TAYLEK",PR!$BH680,IF(H682="TEMITA",PR!$BI680,IF(H682="THL",PR!$BJ680,IF(H682="UBASTIC",PR!$BK680,IF(H682="UNION",PR!$BL680,IF(H682="UNIQUE",PR!$BM680,IF(H682="VIXA",PR!$BN680,IF(H682="WWCV",PR!$BO680,IF(H682="ZOLON",PR!$BP680,"-"))))))))))))))))))))))))))))))))))))))))))))))))))))))))))))))))</f>
        <v>600</v>
      </c>
      <c r="H682" s="102" t="str">
        <f>EV!M877</f>
        <v>EUMATT</v>
      </c>
      <c r="I682" s="108">
        <f>IF(J682="ALPHA",PR!$E680,IF(J682="ASSENE",PR!$F680,IF(J682="BIOFEM",PR!$G680,IF(J682="BIOMED",PR!$H680,IF(J682="CHI",PR!$I680,IF(J682="CLARION",PR!$J680,IF(J682="CODIX",PR!$K680,IF(J682="COSMADE",PR!$L680,IF(J682="SANCON",PR!$M680,IF(J682="DEVON",PR!$N680,IF(J682="DORTEMAG",PR!$O680,IF(J682="DGF",PR!$P680,IF(J682="DYNAMIC",PR!$Q680,IF(J682="EMZOR",PR!$R680,IF(J682="EUMATT",PR!$S680,IF(J682="FIDSON",PR!$T680,IF(J682="FCGLOBAL",PR!$U680,IF(J682="GENEITH",PR!$V680,IF(J682="GINOS",PR!$W680,IF(J682="GSK",PR!$X680,IF(J682="GLOBORG",PR!$Y680,IF(J682="GOODNEWS",PR!$Z680,IF(J682="GREENLIFE",PR!$AA680,IF(J682="HLINE",PR!$AB680,IF(J682="ROTECH",PR!$AC680,IF(J682="ISN",PR!$AD680,IF(J682="JAWA",PR!$AE680,IF(J682="LAYO",PR!$AF680,IF(J682="LEADWAY",PR!$AG680,IF(J682="LHV",PR!$AH680,IF(J682="MANOLA",PR!$AI680,IF(J682="MARCSON",PR!$AJ680,IF(J682="M&amp;B",PR!$AK680,IF(J682="MTRUST",PR!$AL680,IF(J682="MWORLD",PR!$AM680,IF(J682="MEGA",PR!$AN680,IF(J682="MICRONOVA",PR!$AO680,IF(J682="MFLASH",PR!$AP680,IF(J682="MORISON",PR!$AQ680,IF(J682="NEMEL",PR!$AR680,IF(J682="NHP",PR!$AS680,IF(J682="NHC",PR!$AT680,IF(J682="OLEAF",PR!$AU680,IF(J682="OCULUS",PR!$AV680,IF(J682="PACIFIC",PR!$AW680,IF(J682="PHAMATEX",PR!$AX680,IF(J682="PETHICS",PR!$AY680,IF(J682="PHILIPS",PR!$AZ680,IF(J682="RANBAXY",PR!$BA680,IF(J682="REALS",PR!$BB680,IF(J682="ROYAL",PR!$BC680,IF(J682="SAM",PR!$BD680,IF(J682="SEAGREEN",PR!$BE680,IF(J682="SKG",PR!$BF680,IF(J682="TAH",PR!$BG680,IF(J682="TAYLEK",PR!$BH680,IF(J682="TEMITA",PR!$BI680,IF(J682="THL",PR!$BJ680,IF(J682="UBASTIC",PR!$BK680,IF(J682="UNION",PR!$BL680,IF(J682="UNIQUE",PR!$BM680,IF(J682="VIXA",PR!$BN680,IF(J682="WWCV",PR!$BO680,IF(J682="ZOLON",PR!$BP680,"-"))))))))))))))))))))))))))))))))))))))))))))))))))))))))))))))))</f>
        <v>1000</v>
      </c>
      <c r="J682" s="102" t="str">
        <f>EV!N877</f>
        <v>COSMADE</v>
      </c>
      <c r="K682" s="433" t="s">
        <v>817</v>
      </c>
      <c r="L682" s="183">
        <f>IF(K682&gt;0,IF(K682="ALPHA",PR!$E680,IF(K682="ASSENE",PR!$F680,IF(K682="BIOFEM",PR!$G680,IF(K682="BIOMED",PR!$H680,IF(K682="CHI",PR!$I680,IF(K682="CLARION",PR!$J680,IF(K682="CODIX",PR!$K680,IF(K682="COSMADE",PR!$L680,IF(K682="SANCON",PR!$M680,IF(K682="DEVON",PR!$N680,IF(K682="DORTEMAG",PR!$O680,IF(K682="DGF",PR!$P680,IF(K682="DYNAMIC",PR!$Q680,IF(K682="EMZOR",PR!$R680,IF(K682="EUMATT",PR!$S680,IF(K682="FIDSON",PR!$T680,IF(K682="FCGLOBAL",PR!$U680,IF(K682="GENEITH",PR!$V680,IF(K682="GINOS",PR!$W680,IF(K682="GSK",PR!$X680,IF(K682="GLOBORG",PR!$Y680,IF(K682="GOODNEWS",PR!$Z680,IF(K682="GREENLIFE",PR!$AA680,IF(K682="HLINE",PR!$AB680,IF(K682="ROTECH",PR!$AC680,IF(K682="ISN",PR!$AD680,IF(K682="JAWA",PR!$AE680,IF(K682="LAYO",PR!$AF680,IF(K682="LEADWAY",PR!$AG680,IF(K682="LHV",PR!$AH680,IF(K682="MANOLA",PR!$AI680,IF(K682="MARCSON",PR!$AJ680,IF(K682="M&amp;B",PR!$AK680,IF(K682="MTRUST",PR!$AL680,IF(K682="MWORLD",PR!$AM680,IF(K682="MEGA",PR!$AN680,IF(K682="MICRONOVA",PR!$AO680,IF(K682="MFLASH",PR!$AP680,IF(K682="MORISON",PR!$AQ680,IF(K682="NEMEL",PR!$AR680,IF(K682="NHP",PR!$AS680,IF(K682="NHC",PR!$AT680,IF(K682="OLEAF",PR!$AU680,IF(K682="OCULUS",PR!$AV680,IF(K682="PACIFIC",PR!$AW680,IF(K682="PHAMATEX",PR!$AX680,IF(K682="PETHICS",PR!$AY680,IF(K682="PHILIPS",PR!$AZ680,IF(K682="RANBAXY",PR!$BA680,IF(K682="REALS",PR!$BB680,IF(K682="ROYAL",PR!$BC680,IF(K682="SAM",PR!$BD680,IF(K682="SEAGREEN",PR!$BE680,IF(K682="SKG",PR!$BF680,IF(K682="TAH",PR!$BG680,IF(K682="TAYLEK",PR!$BH680,IF(K682="TEMITA",PR!$BI680,IF(K682="THL",PR!$BJ680,IF(K682="UBASTIC",PR!$BK680,IF(K682="UNION",PR!$BL680,IF(K682="UNIQUE",PR!$BM680,IF(K682="VIXA",PR!$BN680,IF(K682="WWCV",PR!$BO680,IF(K682="ZOLON",PR!$BP680,"-")))))))))))))))))))))))))))))))))))))))))))))))))))))))))))))))))</f>
        <v>540</v>
      </c>
    </row>
    <row r="683" spans="1:12" ht="18.75" x14ac:dyDescent="0.3">
      <c r="A683" s="430">
        <f>PR!A681</f>
        <v>619</v>
      </c>
      <c r="B683" s="15" t="str">
        <f>PR!B681</f>
        <v>NOVOTWIST NEEDLE</v>
      </c>
      <c r="C683" s="113">
        <f>PR!D681</f>
        <v>100</v>
      </c>
      <c r="D683" s="113">
        <f>PR!C681</f>
        <v>12</v>
      </c>
      <c r="E683" s="108" t="str">
        <f>IF(F683="ALPHA",PR!$E681,IF(F683="ASSENE",PR!$F681,IF(F683="BIOFEM",PR!$G681,IF(F683="BIOMED",PR!$H681,IF(F683="CHI",PR!$I681,IF(F683="CLARION",PR!$J681,IF(F683="CODIX",PR!$K681,IF(F683="COSMADE",PR!$L681,IF(F683="SANCON",PR!$M681,IF(F683="DEVON",PR!$N681,IF(F683="DORTEMAG",PR!$O681,IF(F683="DGF",PR!$P681,IF(F683="DYNAMIC",PR!$Q681,IF(F683="EMZOR",PR!$R681,IF(F683="EUMATT",PR!$S681,IF(F683="FIDSON",PR!$T681,IF(F683="FCGLOBAL",PR!$U681,IF(F683="GENEITH",PR!$V681,IF(F683="GINOS",PR!$W681,IF(F683="GSK",PR!$X681,IF(F683="GLOBORG",PR!$Y681,IF(F683="GOODNEWS",PR!$Z681,IF(F683="GREENLIFE",PR!$AA681,IF(F683="HLINE",PR!$AB681,IF(F683="ROTECH",PR!$AC681,IF(F683="ISN",PR!$AD681,IF(F683="JAWA",PR!$AE681,IF(F683="LAYO",PR!$AF681,IF(F683="LEADWAY",PR!$AG681,IF(F683="LHV",PR!$AH681,IF(F683="MANOLA",PR!$AI681,IF(F683="MARCSON",PR!$AJ681,IF(F683="M&amp;B",PR!$AK681,IF(F683="MTRUST",PR!$AL681,IF(F683="MWORLD",PR!$AM681,IF(F683="MEGA",PR!$AN681,IF(F683="MICRONOVA",PR!$AO681,IF(F683="MFLASH",PR!$AP681,IF(F683="MORISON",PR!$AQ681,IF(F683="NEMEL",PR!$AR681,IF(F683="NHP",PR!$AS681,IF(F683="NHC",PR!$AT681,IF(F683="OLEAF",PR!$AU681,IF(F683="OCULUS",PR!$AV681,IF(F683="PACIFIC",PR!$AW681,IF(F683="PHAMATEX",PR!$AX681,IF(F683="PETHICS",PR!$AY681,IF(F683="PHILIPS",PR!$AZ681,IF(F683="RANBAXY",PR!$BA681,IF(F683="REALS",PR!$BB681,IF(F683="ROYAL",PR!$BC681,IF(F683="SAM",PR!$BD681,IF(F683="SEAGREEN",PR!$BE681,IF(F683="SKG",PR!$BF681,IF(F683="TAH",PR!$BG681,IF(F683="TAYLEK",PR!$BH681,IF(F683="TEMITA",PR!$BI681,IF(F683="THL",PR!$BJ681,IF(F683="UBASTIC",PR!$BK681,IF(F683="UNION",PR!$BL681,IF(F683="UNIQUE",PR!$BM681,IF(F683="VIXA",PR!$BN681,IF(F683="WWCV",PR!$BO681,IF(F683="ZOLON",PR!$BP681,"-"))))))))))))))))))))))))))))))))))))))))))))))))))))))))))))))))</f>
        <v>-</v>
      </c>
      <c r="F683" s="102">
        <f>EV!L878</f>
        <v>0</v>
      </c>
      <c r="G683" s="108" t="str">
        <f>IF(H683="ALPHA",PR!$E681,IF(H683="ASSENE",PR!$F681,IF(H683="BIOFEM",PR!$G681,IF(H683="BIOMED",PR!$H681,IF(H683="CHI",PR!$I681,IF(H683="CLARION",PR!$J681,IF(H683="CODIX",PR!$K681,IF(H683="COSMADE",PR!$L681,IF(H683="SANCON",PR!$M681,IF(H683="DEVON",PR!$N681,IF(H683="DORTEMAG",PR!$O681,IF(H683="DGF",PR!$P681,IF(H683="DYNAMIC",PR!$Q681,IF(H683="EMZOR",PR!$R681,IF(H683="EUMATT",PR!$S681,IF(H683="FIDSON",PR!$T681,IF(H683="FCGLOBAL",PR!$U681,IF(H683="GENEITH",PR!$V681,IF(H683="GINOS",PR!$W681,IF(H683="GSK",PR!$X681,IF(H683="GLOBORG",PR!$Y681,IF(H683="GOODNEWS",PR!$Z681,IF(H683="GREENLIFE",PR!$AA681,IF(H683="HLINE",PR!$AB681,IF(H683="ROTECH",PR!$AC681,IF(H683="ISN",PR!$AD681,IF(H683="JAWA",PR!$AE681,IF(H683="LAYO",PR!$AF681,IF(H683="LEADWAY",PR!$AG681,IF(H683="LHV",PR!$AH681,IF(H683="MANOLA",PR!$AI681,IF(H683="MARCSON",PR!$AJ681,IF(H683="M&amp;B",PR!$AK681,IF(H683="MTRUST",PR!$AL681,IF(H683="MWORLD",PR!$AM681,IF(H683="MEGA",PR!$AN681,IF(H683="MICRONOVA",PR!$AO681,IF(H683="MFLASH",PR!$AP681,IF(H683="MORISON",PR!$AQ681,IF(H683="NEMEL",PR!$AR681,IF(H683="NHP",PR!$AS681,IF(H683="NHC",PR!$AT681,IF(H683="OLEAF",PR!$AU681,IF(H683="OCULUS",PR!$AV681,IF(H683="PACIFIC",PR!$AW681,IF(H683="PHAMATEX",PR!$AX681,IF(H683="PETHICS",PR!$AY681,IF(H683="PHILIPS",PR!$AZ681,IF(H683="RANBAXY",PR!$BA681,IF(H683="REALS",PR!$BB681,IF(H683="ROYAL",PR!$BC681,IF(H683="SAM",PR!$BD681,IF(H683="SEAGREEN",PR!$BE681,IF(H683="SKG",PR!$BF681,IF(H683="TAH",PR!$BG681,IF(H683="TAYLEK",PR!$BH681,IF(H683="TEMITA",PR!$BI681,IF(H683="THL",PR!$BJ681,IF(H683="UBASTIC",PR!$BK681,IF(H683="UNION",PR!$BL681,IF(H683="UNIQUE",PR!$BM681,IF(H683="VIXA",PR!$BN681,IF(H683="WWCV",PR!$BO681,IF(H683="ZOLON",PR!$BP681,"-"))))))))))))))))))))))))))))))))))))))))))))))))))))))))))))))))</f>
        <v>-</v>
      </c>
      <c r="H683" s="102">
        <f>EV!M878</f>
        <v>0</v>
      </c>
      <c r="I683" s="108" t="str">
        <f>IF(J683="ALPHA",PR!$E681,IF(J683="ASSENE",PR!$F681,IF(J683="BIOFEM",PR!$G681,IF(J683="BIOMED",PR!$H681,IF(J683="CHI",PR!$I681,IF(J683="CLARION",PR!$J681,IF(J683="CODIX",PR!$K681,IF(J683="COSMADE",PR!$L681,IF(J683="SANCON",PR!$M681,IF(J683="DEVON",PR!$N681,IF(J683="DORTEMAG",PR!$O681,IF(J683="DGF",PR!$P681,IF(J683="DYNAMIC",PR!$Q681,IF(J683="EMZOR",PR!$R681,IF(J683="EUMATT",PR!$S681,IF(J683="FIDSON",PR!$T681,IF(J683="FCGLOBAL",PR!$U681,IF(J683="GENEITH",PR!$V681,IF(J683="GINOS",PR!$W681,IF(J683="GSK",PR!$X681,IF(J683="GLOBORG",PR!$Y681,IF(J683="GOODNEWS",PR!$Z681,IF(J683="GREENLIFE",PR!$AA681,IF(J683="HLINE",PR!$AB681,IF(J683="ROTECH",PR!$AC681,IF(J683="ISN",PR!$AD681,IF(J683="JAWA",PR!$AE681,IF(J683="LAYO",PR!$AF681,IF(J683="LEADWAY",PR!$AG681,IF(J683="LHV",PR!$AH681,IF(J683="MANOLA",PR!$AI681,IF(J683="MARCSON",PR!$AJ681,IF(J683="M&amp;B",PR!$AK681,IF(J683="MTRUST",PR!$AL681,IF(J683="MWORLD",PR!$AM681,IF(J683="MEGA",PR!$AN681,IF(J683="MICRONOVA",PR!$AO681,IF(J683="MFLASH",PR!$AP681,IF(J683="MORISON",PR!$AQ681,IF(J683="NEMEL",PR!$AR681,IF(J683="NHP",PR!$AS681,IF(J683="NHC",PR!$AT681,IF(J683="OLEAF",PR!$AU681,IF(J683="OCULUS",PR!$AV681,IF(J683="PACIFIC",PR!$AW681,IF(J683="PHAMATEX",PR!$AX681,IF(J683="PETHICS",PR!$AY681,IF(J683="PHILIPS",PR!$AZ681,IF(J683="RANBAXY",PR!$BA681,IF(J683="REALS",PR!$BB681,IF(J683="ROYAL",PR!$BC681,IF(J683="SAM",PR!$BD681,IF(J683="SEAGREEN",PR!$BE681,IF(J683="SKG",PR!$BF681,IF(J683="TAH",PR!$BG681,IF(J683="TAYLEK",PR!$BH681,IF(J683="TEMITA",PR!$BI681,IF(J683="THL",PR!$BJ681,IF(J683="UBASTIC",PR!$BK681,IF(J683="UNION",PR!$BL681,IF(J683="UNIQUE",PR!$BM681,IF(J683="VIXA",PR!$BN681,IF(J683="WWCV",PR!$BO681,IF(J683="ZOLON",PR!$BP681,"-"))))))))))))))))))))))))))))))))))))))))))))))))))))))))))))))))</f>
        <v>-</v>
      </c>
      <c r="J683" s="102">
        <f>EV!N878</f>
        <v>0</v>
      </c>
      <c r="K683" s="433"/>
      <c r="L683" s="183" t="b">
        <f>IF(K683&gt;0,IF(K683="ALPHA",PR!$E681,IF(K683="ASSENE",PR!$F681,IF(K683="BIOFEM",PR!$G681,IF(K683="BIOMED",PR!$H681,IF(K683="CHI",PR!$I681,IF(K683="CLARION",PR!$J681,IF(K683="CODIX",PR!$K681,IF(K683="COSMADE",PR!$L681,IF(K683="SANCON",PR!$M681,IF(K683="DEVON",PR!$N681,IF(K683="DORTEMAG",PR!$O681,IF(K683="DGF",PR!$P681,IF(K683="DYNAMIC",PR!$Q681,IF(K683="EMZOR",PR!$R681,IF(K683="EUMATT",PR!$S681,IF(K683="FIDSON",PR!$T681,IF(K683="FCGLOBAL",PR!$U681,IF(K683="GENEITH",PR!$V681,IF(K683="GINOS",PR!$W681,IF(K683="GSK",PR!$X681,IF(K683="GLOBORG",PR!$Y681,IF(K683="GOODNEWS",PR!$Z681,IF(K683="GREENLIFE",PR!$AA681,IF(K683="HLINE",PR!$AB681,IF(K683="ROTECH",PR!$AC681,IF(K683="ISN",PR!$AD681,IF(K683="JAWA",PR!$AE681,IF(K683="LAYO",PR!$AF681,IF(K683="LEADWAY",PR!$AG681,IF(K683="LHV",PR!$AH681,IF(K683="MANOLA",PR!$AI681,IF(K683="MARCSON",PR!$AJ681,IF(K683="M&amp;B",PR!$AK681,IF(K683="MTRUST",PR!$AL681,IF(K683="MWORLD",PR!$AM681,IF(K683="MEGA",PR!$AN681,IF(K683="MICRONOVA",PR!$AO681,IF(K683="MFLASH",PR!$AP681,IF(K683="MORISON",PR!$AQ681,IF(K683="NEMEL",PR!$AR681,IF(K683="NHP",PR!$AS681,IF(K683="NHC",PR!$AT681,IF(K683="OLEAF",PR!$AU681,IF(K683="OCULUS",PR!$AV681,IF(K683="PACIFIC",PR!$AW681,IF(K683="PHAMATEX",PR!$AX681,IF(K683="PETHICS",PR!$AY681,IF(K683="PHILIPS",PR!$AZ681,IF(K683="RANBAXY",PR!$BA681,IF(K683="REALS",PR!$BB681,IF(K683="ROYAL",PR!$BC681,IF(K683="SAM",PR!$BD681,IF(K683="SEAGREEN",PR!$BE681,IF(K683="SKG",PR!$BF681,IF(K683="TAH",PR!$BG681,IF(K683="TAYLEK",PR!$BH681,IF(K683="TEMITA",PR!$BI681,IF(K683="THL",PR!$BJ681,IF(K683="UBASTIC",PR!$BK681,IF(K683="UNION",PR!$BL681,IF(K683="UNIQUE",PR!$BM681,IF(K683="VIXA",PR!$BN681,IF(K683="WWCV",PR!$BO681,IF(K683="ZOLON",PR!$BP681,"-")))))))))))))))))))))))))))))))))))))))))))))))))))))))))))))))))</f>
        <v>0</v>
      </c>
    </row>
    <row r="684" spans="1:12" ht="18.75" x14ac:dyDescent="0.3">
      <c r="A684" s="430">
        <f>PR!A682</f>
        <v>620</v>
      </c>
      <c r="B684" s="15" t="str">
        <f>PR!B682</f>
        <v>NYLON DRUG ENVELOPE</v>
      </c>
      <c r="C684" s="113">
        <f>PR!D682</f>
        <v>250</v>
      </c>
      <c r="D684" s="113">
        <f>PR!C682</f>
        <v>8</v>
      </c>
      <c r="E684" s="108">
        <f>IF(F684="ALPHA",PR!$E682,IF(F684="ASSENE",PR!$F682,IF(F684="BIOFEM",PR!$G682,IF(F684="BIOMED",PR!$H682,IF(F684="CHI",PR!$I682,IF(F684="CLARION",PR!$J682,IF(F684="CODIX",PR!$K682,IF(F684="COSMADE",PR!$L682,IF(F684="SANCON",PR!$M682,IF(F684="DEVON",PR!$N682,IF(F684="DORTEMAG",PR!$O682,IF(F684="DGF",PR!$P682,IF(F684="DYNAMIC",PR!$Q682,IF(F684="EMZOR",PR!$R682,IF(F684="EUMATT",PR!$S682,IF(F684="FIDSON",PR!$T682,IF(F684="FCGLOBAL",PR!$U682,IF(F684="GENEITH",PR!$V682,IF(F684="GINOS",PR!$W682,IF(F684="GSK",PR!$X682,IF(F684="GLOBORG",PR!$Y682,IF(F684="GOODNEWS",PR!$Z682,IF(F684="GREENLIFE",PR!$AA682,IF(F684="HLINE",PR!$AB682,IF(F684="ROTECH",PR!$AC682,IF(F684="ISN",PR!$AD682,IF(F684="JAWA",PR!$AE682,IF(F684="LAYO",PR!$AF682,IF(F684="LEADWAY",PR!$AG682,IF(F684="LHV",PR!$AH682,IF(F684="MANOLA",PR!$AI682,IF(F684="MARCSON",PR!$AJ682,IF(F684="M&amp;B",PR!$AK682,IF(F684="MTRUST",PR!$AL682,IF(F684="MWORLD",PR!$AM682,IF(F684="MEGA",PR!$AN682,IF(F684="MICRONOVA",PR!$AO682,IF(F684="MFLASH",PR!$AP682,IF(F684="MORISON",PR!$AQ682,IF(F684="NEMEL",PR!$AR682,IF(F684="NHP",PR!$AS682,IF(F684="NHC",PR!$AT682,IF(F684="OLEAF",PR!$AU682,IF(F684="OCULUS",PR!$AV682,IF(F684="PACIFIC",PR!$AW682,IF(F684="PHAMATEX",PR!$AX682,IF(F684="PETHICS",PR!$AY682,IF(F684="PHILIPS",PR!$AZ682,IF(F684="RANBAXY",PR!$BA682,IF(F684="REALS",PR!$BB682,IF(F684="ROYAL",PR!$BC682,IF(F684="SAM",PR!$BD682,IF(F684="SEAGREEN",PR!$BE682,IF(F684="SKG",PR!$BF682,IF(F684="TAH",PR!$BG682,IF(F684="TAYLEK",PR!$BH682,IF(F684="TEMITA",PR!$BI682,IF(F684="THL",PR!$BJ682,IF(F684="UBASTIC",PR!$BK682,IF(F684="UNION",PR!$BL682,IF(F684="UNIQUE",PR!$BM682,IF(F684="VIXA",PR!$BN682,IF(F684="WWCV",PR!$BO682,IF(F684="ZOLON",PR!$BP682,"-"))))))))))))))))))))))))))))))))))))))))))))))))))))))))))))))))</f>
        <v>15540</v>
      </c>
      <c r="F684" s="102" t="str">
        <f>EV!L879</f>
        <v>ROTECH</v>
      </c>
      <c r="G684" s="108">
        <f>IF(H684="ALPHA",PR!$E682,IF(H684="ASSENE",PR!$F682,IF(H684="BIOFEM",PR!$G682,IF(H684="BIOMED",PR!$H682,IF(H684="CHI",PR!$I682,IF(H684="CLARION",PR!$J682,IF(H684="CODIX",PR!$K682,IF(H684="COSMADE",PR!$L682,IF(H684="SANCON",PR!$M682,IF(H684="DEVON",PR!$N682,IF(H684="DORTEMAG",PR!$O682,IF(H684="DGF",PR!$P682,IF(H684="DYNAMIC",PR!$Q682,IF(H684="EMZOR",PR!$R682,IF(H684="EUMATT",PR!$S682,IF(H684="FIDSON",PR!$T682,IF(H684="FCGLOBAL",PR!$U682,IF(H684="GENEITH",PR!$V682,IF(H684="GINOS",PR!$W682,IF(H684="GSK",PR!$X682,IF(H684="GLOBORG",PR!$Y682,IF(H684="GOODNEWS",PR!$Z682,IF(H684="GREENLIFE",PR!$AA682,IF(H684="HLINE",PR!$AB682,IF(H684="ROTECH",PR!$AC682,IF(H684="ISN",PR!$AD682,IF(H684="JAWA",PR!$AE682,IF(H684="LAYO",PR!$AF682,IF(H684="LEADWAY",PR!$AG682,IF(H684="LHV",PR!$AH682,IF(H684="MANOLA",PR!$AI682,IF(H684="MARCSON",PR!$AJ682,IF(H684="M&amp;B",PR!$AK682,IF(H684="MTRUST",PR!$AL682,IF(H684="MWORLD",PR!$AM682,IF(H684="MEGA",PR!$AN682,IF(H684="MICRONOVA",PR!$AO682,IF(H684="MFLASH",PR!$AP682,IF(H684="MORISON",PR!$AQ682,IF(H684="NEMEL",PR!$AR682,IF(H684="NHP",PR!$AS682,IF(H684="NHC",PR!$AT682,IF(H684="OLEAF",PR!$AU682,IF(H684="OCULUS",PR!$AV682,IF(H684="PACIFIC",PR!$AW682,IF(H684="PHAMATEX",PR!$AX682,IF(H684="PETHICS",PR!$AY682,IF(H684="PHILIPS",PR!$AZ682,IF(H684="RANBAXY",PR!$BA682,IF(H684="REALS",PR!$BB682,IF(H684="ROYAL",PR!$BC682,IF(H684="SAM",PR!$BD682,IF(H684="SEAGREEN",PR!$BE682,IF(H684="SKG",PR!$BF682,IF(H684="TAH",PR!$BG682,IF(H684="TAYLEK",PR!$BH682,IF(H684="TEMITA",PR!$BI682,IF(H684="THL",PR!$BJ682,IF(H684="UBASTIC",PR!$BK682,IF(H684="UNION",PR!$BL682,IF(H684="UNIQUE",PR!$BM682,IF(H684="VIXA",PR!$BN682,IF(H684="WWCV",PR!$BO682,IF(H684="ZOLON",PR!$BP682,"-"))))))))))))))))))))))))))))))))))))))))))))))))))))))))))))))))</f>
        <v>17000</v>
      </c>
      <c r="H684" s="102" t="str">
        <f>EV!M879</f>
        <v>COSMADE</v>
      </c>
      <c r="I684" s="108">
        <f>IF(J684="ALPHA",PR!$E682,IF(J684="ASSENE",PR!$F682,IF(J684="BIOFEM",PR!$G682,IF(J684="BIOMED",PR!$H682,IF(J684="CHI",PR!$I682,IF(J684="CLARION",PR!$J682,IF(J684="CODIX",PR!$K682,IF(J684="COSMADE",PR!$L682,IF(J684="SANCON",PR!$M682,IF(J684="DEVON",PR!$N682,IF(J684="DORTEMAG",PR!$O682,IF(J684="DGF",PR!$P682,IF(J684="DYNAMIC",PR!$Q682,IF(J684="EMZOR",PR!$R682,IF(J684="EUMATT",PR!$S682,IF(J684="FIDSON",PR!$T682,IF(J684="FCGLOBAL",PR!$U682,IF(J684="GENEITH",PR!$V682,IF(J684="GINOS",PR!$W682,IF(J684="GSK",PR!$X682,IF(J684="GLOBORG",PR!$Y682,IF(J684="GOODNEWS",PR!$Z682,IF(J684="GREENLIFE",PR!$AA682,IF(J684="HLINE",PR!$AB682,IF(J684="ROTECH",PR!$AC682,IF(J684="ISN",PR!$AD682,IF(J684="JAWA",PR!$AE682,IF(J684="LAYO",PR!$AF682,IF(J684="LEADWAY",PR!$AG682,IF(J684="LHV",PR!$AH682,IF(J684="MANOLA",PR!$AI682,IF(J684="MARCSON",PR!$AJ682,IF(J684="M&amp;B",PR!$AK682,IF(J684="MTRUST",PR!$AL682,IF(J684="MWORLD",PR!$AM682,IF(J684="MEGA",PR!$AN682,IF(J684="MICRONOVA",PR!$AO682,IF(J684="MFLASH",PR!$AP682,IF(J684="MORISON",PR!$AQ682,IF(J684="NEMEL",PR!$AR682,IF(J684="NHP",PR!$AS682,IF(J684="NHC",PR!$AT682,IF(J684="OLEAF",PR!$AU682,IF(J684="OCULUS",PR!$AV682,IF(J684="PACIFIC",PR!$AW682,IF(J684="PHAMATEX",PR!$AX682,IF(J684="PETHICS",PR!$AY682,IF(J684="PHILIPS",PR!$AZ682,IF(J684="RANBAXY",PR!$BA682,IF(J684="REALS",PR!$BB682,IF(J684="ROYAL",PR!$BC682,IF(J684="SAM",PR!$BD682,IF(J684="SEAGREEN",PR!$BE682,IF(J684="SKG",PR!$BF682,IF(J684="TAH",PR!$BG682,IF(J684="TAYLEK",PR!$BH682,IF(J684="TEMITA",PR!$BI682,IF(J684="THL",PR!$BJ682,IF(J684="UBASTIC",PR!$BK682,IF(J684="UNION",PR!$BL682,IF(J684="UNIQUE",PR!$BM682,IF(J684="VIXA",PR!$BN682,IF(J684="WWCV",PR!$BO682,IF(J684="ZOLON",PR!$BP682,"-"))))))))))))))))))))))))))))))))))))))))))))))))))))))))))))))))</f>
        <v>17000</v>
      </c>
      <c r="J684" s="102" t="str">
        <f>EV!N879</f>
        <v>SANCON</v>
      </c>
      <c r="K684" s="433" t="s">
        <v>825</v>
      </c>
      <c r="L684" s="183">
        <f>IF(K684&gt;0,IF(K684="ALPHA",PR!$E682,IF(K684="ASSENE",PR!$F682,IF(K684="BIOFEM",PR!$G682,IF(K684="BIOMED",PR!$H682,IF(K684="CHI",PR!$I682,IF(K684="CLARION",PR!$J682,IF(K684="CODIX",PR!$K682,IF(K684="COSMADE",PR!$L682,IF(K684="SANCON",PR!$M682,IF(K684="DEVON",PR!$N682,IF(K684="DORTEMAG",PR!$O682,IF(K684="DGF",PR!$P682,IF(K684="DYNAMIC",PR!$Q682,IF(K684="EMZOR",PR!$R682,IF(K684="EUMATT",PR!$S682,IF(K684="FIDSON",PR!$T682,IF(K684="FCGLOBAL",PR!$U682,IF(K684="GENEITH",PR!$V682,IF(K684="GINOS",PR!$W682,IF(K684="GSK",PR!$X682,IF(K684="GLOBORG",PR!$Y682,IF(K684="GOODNEWS",PR!$Z682,IF(K684="GREENLIFE",PR!$AA682,IF(K684="HLINE",PR!$AB682,IF(K684="ROTECH",PR!$AC682,IF(K684="ISN",PR!$AD682,IF(K684="JAWA",PR!$AE682,IF(K684="LAYO",PR!$AF682,IF(K684="LEADWAY",PR!$AG682,IF(K684="LHV",PR!$AH682,IF(K684="MANOLA",PR!$AI682,IF(K684="MARCSON",PR!$AJ682,IF(K684="M&amp;B",PR!$AK682,IF(K684="MTRUST",PR!$AL682,IF(K684="MWORLD",PR!$AM682,IF(K684="MEGA",PR!$AN682,IF(K684="MICRONOVA",PR!$AO682,IF(K684="MFLASH",PR!$AP682,IF(K684="MORISON",PR!$AQ682,IF(K684="NEMEL",PR!$AR682,IF(K684="NHP",PR!$AS682,IF(K684="NHC",PR!$AT682,IF(K684="OLEAF",PR!$AU682,IF(K684="OCULUS",PR!$AV682,IF(K684="PACIFIC",PR!$AW682,IF(K684="PHAMATEX",PR!$AX682,IF(K684="PETHICS",PR!$AY682,IF(K684="PHILIPS",PR!$AZ682,IF(K684="RANBAXY",PR!$BA682,IF(K684="REALS",PR!$BB682,IF(K684="ROYAL",PR!$BC682,IF(K684="SAM",PR!$BD682,IF(K684="SEAGREEN",PR!$BE682,IF(K684="SKG",PR!$BF682,IF(K684="TAH",PR!$BG682,IF(K684="TAYLEK",PR!$BH682,IF(K684="TEMITA",PR!$BI682,IF(K684="THL",PR!$BJ682,IF(K684="UBASTIC",PR!$BK682,IF(K684="UNION",PR!$BL682,IF(K684="UNIQUE",PR!$BM682,IF(K684="VIXA",PR!$BN682,IF(K684="WWCV",PR!$BO682,IF(K684="ZOLON",PR!$BP682,"-")))))))))))))))))))))))))))))))))))))))))))))))))))))))))))))))))</f>
        <v>15540</v>
      </c>
    </row>
    <row r="685" spans="1:12" ht="18.75" x14ac:dyDescent="0.3">
      <c r="A685" s="430">
        <f>PR!A683</f>
        <v>621</v>
      </c>
      <c r="B685" s="15" t="str">
        <f>PR!B683</f>
        <v>PLASTER 1" (2.5CM X 5M) BROWN</v>
      </c>
      <c r="C685" s="113">
        <f>PR!D683</f>
        <v>10</v>
      </c>
      <c r="D685" s="113">
        <f>PR!C683</f>
        <v>260</v>
      </c>
      <c r="E685" s="108">
        <f>IF(F685="ALPHA",PR!$E683,IF(F685="ASSENE",PR!$F683,IF(F685="BIOFEM",PR!$G683,IF(F685="BIOMED",PR!$H683,IF(F685="CHI",PR!$I683,IF(F685="CLARION",PR!$J683,IF(F685="CODIX",PR!$K683,IF(F685="COSMADE",PR!$L683,IF(F685="SANCON",PR!$M683,IF(F685="DEVON",PR!$N683,IF(F685="DORTEMAG",PR!$O683,IF(F685="DGF",PR!$P683,IF(F685="DYNAMIC",PR!$Q683,IF(F685="EMZOR",PR!$R683,IF(F685="EUMATT",PR!$S683,IF(F685="FIDSON",PR!$T683,IF(F685="FCGLOBAL",PR!$U683,IF(F685="GENEITH",PR!$V683,IF(F685="GINOS",PR!$W683,IF(F685="GSK",PR!$X683,IF(F685="GLOBORG",PR!$Y683,IF(F685="GOODNEWS",PR!$Z683,IF(F685="GREENLIFE",PR!$AA683,IF(F685="HLINE",PR!$AB683,IF(F685="ROTECH",PR!$AC683,IF(F685="ISN",PR!$AD683,IF(F685="JAWA",PR!$AE683,IF(F685="LAYO",PR!$AF683,IF(F685="LEADWAY",PR!$AG683,IF(F685="LHV",PR!$AH683,IF(F685="MANOLA",PR!$AI683,IF(F685="MARCSON",PR!$AJ683,IF(F685="M&amp;B",PR!$AK683,IF(F685="MTRUST",PR!$AL683,IF(F685="MWORLD",PR!$AM683,IF(F685="MEGA",PR!$AN683,IF(F685="MICRONOVA",PR!$AO683,IF(F685="MFLASH",PR!$AP683,IF(F685="MORISON",PR!$AQ683,IF(F685="NEMEL",PR!$AR683,IF(F685="NHP",PR!$AS683,IF(F685="NHC",PR!$AT683,IF(F685="OLEAF",PR!$AU683,IF(F685="OCULUS",PR!$AV683,IF(F685="PACIFIC",PR!$AW683,IF(F685="PHAMATEX",PR!$AX683,IF(F685="PETHICS",PR!$AY683,IF(F685="PHILIPS",PR!$AZ683,IF(F685="RANBAXY",PR!$BA683,IF(F685="REALS",PR!$BB683,IF(F685="ROYAL",PR!$BC683,IF(F685="SAM",PR!$BD683,IF(F685="SEAGREEN",PR!$BE683,IF(F685="SKG",PR!$BF683,IF(F685="TAH",PR!$BG683,IF(F685="TAYLEK",PR!$BH683,IF(F685="TEMITA",PR!$BI683,IF(F685="THL",PR!$BJ683,IF(F685="UBASTIC",PR!$BK683,IF(F685="UNION",PR!$BL683,IF(F685="UNIQUE",PR!$BM683,IF(F685="VIXA",PR!$BN683,IF(F685="WWCV",PR!$BO683,IF(F685="ZOLON",PR!$BP683,"-"))))))))))))))))))))))))))))))))))))))))))))))))))))))))))))))))</f>
        <v>1600</v>
      </c>
      <c r="F685" s="102" t="str">
        <f>EV!L880</f>
        <v>EUMATT</v>
      </c>
      <c r="G685" s="108">
        <f>IF(H685="ALPHA",PR!$E683,IF(H685="ASSENE",PR!$F683,IF(H685="BIOFEM",PR!$G683,IF(H685="BIOMED",PR!$H683,IF(H685="CHI",PR!$I683,IF(H685="CLARION",PR!$J683,IF(H685="CODIX",PR!$K683,IF(H685="COSMADE",PR!$L683,IF(H685="SANCON",PR!$M683,IF(H685="DEVON",PR!$N683,IF(H685="DORTEMAG",PR!$O683,IF(H685="DGF",PR!$P683,IF(H685="DYNAMIC",PR!$Q683,IF(H685="EMZOR",PR!$R683,IF(H685="EUMATT",PR!$S683,IF(H685="FIDSON",PR!$T683,IF(H685="FCGLOBAL",PR!$U683,IF(H685="GENEITH",PR!$V683,IF(H685="GINOS",PR!$W683,IF(H685="GSK",PR!$X683,IF(H685="GLOBORG",PR!$Y683,IF(H685="GOODNEWS",PR!$Z683,IF(H685="GREENLIFE",PR!$AA683,IF(H685="HLINE",PR!$AB683,IF(H685="ROTECH",PR!$AC683,IF(H685="ISN",PR!$AD683,IF(H685="JAWA",PR!$AE683,IF(H685="LAYO",PR!$AF683,IF(H685="LEADWAY",PR!$AG683,IF(H685="LHV",PR!$AH683,IF(H685="MANOLA",PR!$AI683,IF(H685="MARCSON",PR!$AJ683,IF(H685="M&amp;B",PR!$AK683,IF(H685="MTRUST",PR!$AL683,IF(H685="MWORLD",PR!$AM683,IF(H685="MEGA",PR!$AN683,IF(H685="MICRONOVA",PR!$AO683,IF(H685="MFLASH",PR!$AP683,IF(H685="MORISON",PR!$AQ683,IF(H685="NEMEL",PR!$AR683,IF(H685="NHP",PR!$AS683,IF(H685="NHC",PR!$AT683,IF(H685="OLEAF",PR!$AU683,IF(H685="OCULUS",PR!$AV683,IF(H685="PACIFIC",PR!$AW683,IF(H685="PHAMATEX",PR!$AX683,IF(H685="PETHICS",PR!$AY683,IF(H685="PHILIPS",PR!$AZ683,IF(H685="RANBAXY",PR!$BA683,IF(H685="REALS",PR!$BB683,IF(H685="ROYAL",PR!$BC683,IF(H685="SAM",PR!$BD683,IF(H685="SEAGREEN",PR!$BE683,IF(H685="SKG",PR!$BF683,IF(H685="TAH",PR!$BG683,IF(H685="TAYLEK",PR!$BH683,IF(H685="TEMITA",PR!$BI683,IF(H685="THL",PR!$BJ683,IF(H685="UBASTIC",PR!$BK683,IF(H685="UNION",PR!$BL683,IF(H685="UNIQUE",PR!$BM683,IF(H685="VIXA",PR!$BN683,IF(H685="WWCV",PR!$BO683,IF(H685="ZOLON",PR!$BP683,"-"))))))))))))))))))))))))))))))))))))))))))))))))))))))))))))))))</f>
        <v>1700</v>
      </c>
      <c r="H685" s="102" t="str">
        <f>EV!M880</f>
        <v>COSMADE</v>
      </c>
      <c r="I685" s="108">
        <f>IF(J685="ALPHA",PR!$E683,IF(J685="ASSENE",PR!$F683,IF(J685="BIOFEM",PR!$G683,IF(J685="BIOMED",PR!$H683,IF(J685="CHI",PR!$I683,IF(J685="CLARION",PR!$J683,IF(J685="CODIX",PR!$K683,IF(J685="COSMADE",PR!$L683,IF(J685="SANCON",PR!$M683,IF(J685="DEVON",PR!$N683,IF(J685="DORTEMAG",PR!$O683,IF(J685="DGF",PR!$P683,IF(J685="DYNAMIC",PR!$Q683,IF(J685="EMZOR",PR!$R683,IF(J685="EUMATT",PR!$S683,IF(J685="FIDSON",PR!$T683,IF(J685="FCGLOBAL",PR!$U683,IF(J685="GENEITH",PR!$V683,IF(J685="GINOS",PR!$W683,IF(J685="GSK",PR!$X683,IF(J685="GLOBORG",PR!$Y683,IF(J685="GOODNEWS",PR!$Z683,IF(J685="GREENLIFE",PR!$AA683,IF(J685="HLINE",PR!$AB683,IF(J685="ROTECH",PR!$AC683,IF(J685="ISN",PR!$AD683,IF(J685="JAWA",PR!$AE683,IF(J685="LAYO",PR!$AF683,IF(J685="LEADWAY",PR!$AG683,IF(J685="LHV",PR!$AH683,IF(J685="MANOLA",PR!$AI683,IF(J685="MARCSON",PR!$AJ683,IF(J685="M&amp;B",PR!$AK683,IF(J685="MTRUST",PR!$AL683,IF(J685="MWORLD",PR!$AM683,IF(J685="MEGA",PR!$AN683,IF(J685="MICRONOVA",PR!$AO683,IF(J685="MFLASH",PR!$AP683,IF(J685="MORISON",PR!$AQ683,IF(J685="NEMEL",PR!$AR683,IF(J685="NHP",PR!$AS683,IF(J685="NHC",PR!$AT683,IF(J685="OLEAF",PR!$AU683,IF(J685="OCULUS",PR!$AV683,IF(J685="PACIFIC",PR!$AW683,IF(J685="PHAMATEX",PR!$AX683,IF(J685="PETHICS",PR!$AY683,IF(J685="PHILIPS",PR!$AZ683,IF(J685="RANBAXY",PR!$BA683,IF(J685="REALS",PR!$BB683,IF(J685="ROYAL",PR!$BC683,IF(J685="SAM",PR!$BD683,IF(J685="SEAGREEN",PR!$BE683,IF(J685="SKG",PR!$BF683,IF(J685="TAH",PR!$BG683,IF(J685="TAYLEK",PR!$BH683,IF(J685="TEMITA",PR!$BI683,IF(J685="THL",PR!$BJ683,IF(J685="UBASTIC",PR!$BK683,IF(J685="UNION",PR!$BL683,IF(J685="UNIQUE",PR!$BM683,IF(J685="VIXA",PR!$BN683,IF(J685="WWCV",PR!$BO683,IF(J685="ZOLON",PR!$BP683,"-"))))))))))))))))))))))))))))))))))))))))))))))))))))))))))))))))</f>
        <v>1800</v>
      </c>
      <c r="J685" s="102" t="str">
        <f>EV!N880</f>
        <v>SANCON</v>
      </c>
      <c r="K685" s="433" t="s">
        <v>821</v>
      </c>
      <c r="L685" s="183">
        <f>IF(K685&gt;0,IF(K685="ALPHA",PR!$E683,IF(K685="ASSENE",PR!$F683,IF(K685="BIOFEM",PR!$G683,IF(K685="BIOMED",PR!$H683,IF(K685="CHI",PR!$I683,IF(K685="CLARION",PR!$J683,IF(K685="CODIX",PR!$K683,IF(K685="COSMADE",PR!$L683,IF(K685="SANCON",PR!$M683,IF(K685="DEVON",PR!$N683,IF(K685="DORTEMAG",PR!$O683,IF(K685="DGF",PR!$P683,IF(K685="DYNAMIC",PR!$Q683,IF(K685="EMZOR",PR!$R683,IF(K685="EUMATT",PR!$S683,IF(K685="FIDSON",PR!$T683,IF(K685="FCGLOBAL",PR!$U683,IF(K685="GENEITH",PR!$V683,IF(K685="GINOS",PR!$W683,IF(K685="GSK",PR!$X683,IF(K685="GLOBORG",PR!$Y683,IF(K685="GOODNEWS",PR!$Z683,IF(K685="GREENLIFE",PR!$AA683,IF(K685="HLINE",PR!$AB683,IF(K685="ROTECH",PR!$AC683,IF(K685="ISN",PR!$AD683,IF(K685="JAWA",PR!$AE683,IF(K685="LAYO",PR!$AF683,IF(K685="LEADWAY",PR!$AG683,IF(K685="LHV",PR!$AH683,IF(K685="MANOLA",PR!$AI683,IF(K685="MARCSON",PR!$AJ683,IF(K685="M&amp;B",PR!$AK683,IF(K685="MTRUST",PR!$AL683,IF(K685="MWORLD",PR!$AM683,IF(K685="MEGA",PR!$AN683,IF(K685="MICRONOVA",PR!$AO683,IF(K685="MFLASH",PR!$AP683,IF(K685="MORISON",PR!$AQ683,IF(K685="NEMEL",PR!$AR683,IF(K685="NHP",PR!$AS683,IF(K685="NHC",PR!$AT683,IF(K685="OLEAF",PR!$AU683,IF(K685="OCULUS",PR!$AV683,IF(K685="PACIFIC",PR!$AW683,IF(K685="PHAMATEX",PR!$AX683,IF(K685="PETHICS",PR!$AY683,IF(K685="PHILIPS",PR!$AZ683,IF(K685="RANBAXY",PR!$BA683,IF(K685="REALS",PR!$BB683,IF(K685="ROYAL",PR!$BC683,IF(K685="SAM",PR!$BD683,IF(K685="SEAGREEN",PR!$BE683,IF(K685="SKG",PR!$BF683,IF(K685="TAH",PR!$BG683,IF(K685="TAYLEK",PR!$BH683,IF(K685="TEMITA",PR!$BI683,IF(K685="THL",PR!$BJ683,IF(K685="UBASTIC",PR!$BK683,IF(K685="UNION",PR!$BL683,IF(K685="UNIQUE",PR!$BM683,IF(K685="VIXA",PR!$BN683,IF(K685="WWCV",PR!$BO683,IF(K685="ZOLON",PR!$BP683,"-")))))))))))))))))))))))))))))))))))))))))))))))))))))))))))))))))</f>
        <v>1600</v>
      </c>
    </row>
    <row r="686" spans="1:12" ht="18.75" x14ac:dyDescent="0.3">
      <c r="A686" s="430">
        <f>PR!A684</f>
        <v>622</v>
      </c>
      <c r="B686" s="15" t="str">
        <f>PR!B684</f>
        <v>PLASTER 1" (2.5CM X 9.1M) TRANSPARENT</v>
      </c>
      <c r="C686" s="113">
        <f>PR!D684</f>
        <v>12</v>
      </c>
      <c r="D686" s="113">
        <f>PR!C684</f>
        <v>672</v>
      </c>
      <c r="E686" s="108">
        <f>IF(F686="ALPHA",PR!$E684,IF(F686="ASSENE",PR!$F684,IF(F686="BIOFEM",PR!$G684,IF(F686="BIOMED",PR!$H684,IF(F686="CHI",PR!$I684,IF(F686="CLARION",PR!$J684,IF(F686="CODIX",PR!$K684,IF(F686="COSMADE",PR!$L684,IF(F686="SANCON",PR!$M684,IF(F686="DEVON",PR!$N684,IF(F686="DORTEMAG",PR!$O684,IF(F686="DGF",PR!$P684,IF(F686="DYNAMIC",PR!$Q684,IF(F686="EMZOR",PR!$R684,IF(F686="EUMATT",PR!$S684,IF(F686="FIDSON",PR!$T684,IF(F686="FCGLOBAL",PR!$U684,IF(F686="GENEITH",PR!$V684,IF(F686="GINOS",PR!$W684,IF(F686="GSK",PR!$X684,IF(F686="GLOBORG",PR!$Y684,IF(F686="GOODNEWS",PR!$Z684,IF(F686="GREENLIFE",PR!$AA684,IF(F686="HLINE",PR!$AB684,IF(F686="ROTECH",PR!$AC684,IF(F686="ISN",PR!$AD684,IF(F686="JAWA",PR!$AE684,IF(F686="LAYO",PR!$AF684,IF(F686="LEADWAY",PR!$AG684,IF(F686="LHV",PR!$AH684,IF(F686="MANOLA",PR!$AI684,IF(F686="MARCSON",PR!$AJ684,IF(F686="M&amp;B",PR!$AK684,IF(F686="MTRUST",PR!$AL684,IF(F686="MWORLD",PR!$AM684,IF(F686="MEGA",PR!$AN684,IF(F686="MICRONOVA",PR!$AO684,IF(F686="MFLASH",PR!$AP684,IF(F686="MORISON",PR!$AQ684,IF(F686="NEMEL",PR!$AR684,IF(F686="NHP",PR!$AS684,IF(F686="NHC",PR!$AT684,IF(F686="OLEAF",PR!$AU684,IF(F686="OCULUS",PR!$AV684,IF(F686="PACIFIC",PR!$AW684,IF(F686="PHAMATEX",PR!$AX684,IF(F686="PETHICS",PR!$AY684,IF(F686="PHILIPS",PR!$AZ684,IF(F686="RANBAXY",PR!$BA684,IF(F686="REALS",PR!$BB684,IF(F686="ROYAL",PR!$BC684,IF(F686="SAM",PR!$BD684,IF(F686="SEAGREEN",PR!$BE684,IF(F686="SKG",PR!$BF684,IF(F686="TAH",PR!$BG684,IF(F686="TAYLEK",PR!$BH684,IF(F686="TEMITA",PR!$BI684,IF(F686="THL",PR!$BJ684,IF(F686="UBASTIC",PR!$BK684,IF(F686="UNION",PR!$BL684,IF(F686="UNIQUE",PR!$BM684,IF(F686="VIXA",PR!$BN684,IF(F686="WWCV",PR!$BO684,IF(F686="ZOLON",PR!$BP684,"-"))))))))))))))))))))))))))))))))))))))))))))))))))))))))))))))))</f>
        <v>4800</v>
      </c>
      <c r="F686" s="102" t="str">
        <f>EV!L881</f>
        <v>FCGLOBAL</v>
      </c>
      <c r="G686" s="108">
        <f>IF(H686="ALPHA",PR!$E684,IF(H686="ASSENE",PR!$F684,IF(H686="BIOFEM",PR!$G684,IF(H686="BIOMED",PR!$H684,IF(H686="CHI",PR!$I684,IF(H686="CLARION",PR!$J684,IF(H686="CODIX",PR!$K684,IF(H686="COSMADE",PR!$L684,IF(H686="SANCON",PR!$M684,IF(H686="DEVON",PR!$N684,IF(H686="DORTEMAG",PR!$O684,IF(H686="DGF",PR!$P684,IF(H686="DYNAMIC",PR!$Q684,IF(H686="EMZOR",PR!$R684,IF(H686="EUMATT",PR!$S684,IF(H686="FIDSON",PR!$T684,IF(H686="FCGLOBAL",PR!$U684,IF(H686="GENEITH",PR!$V684,IF(H686="GINOS",PR!$W684,IF(H686="GSK",PR!$X684,IF(H686="GLOBORG",PR!$Y684,IF(H686="GOODNEWS",PR!$Z684,IF(H686="GREENLIFE",PR!$AA684,IF(H686="HLINE",PR!$AB684,IF(H686="ROTECH",PR!$AC684,IF(H686="ISN",PR!$AD684,IF(H686="JAWA",PR!$AE684,IF(H686="LAYO",PR!$AF684,IF(H686="LEADWAY",PR!$AG684,IF(H686="LHV",PR!$AH684,IF(H686="MANOLA",PR!$AI684,IF(H686="MARCSON",PR!$AJ684,IF(H686="M&amp;B",PR!$AK684,IF(H686="MTRUST",PR!$AL684,IF(H686="MWORLD",PR!$AM684,IF(H686="MEGA",PR!$AN684,IF(H686="MICRONOVA",PR!$AO684,IF(H686="MFLASH",PR!$AP684,IF(H686="MORISON",PR!$AQ684,IF(H686="NEMEL",PR!$AR684,IF(H686="NHP",PR!$AS684,IF(H686="NHC",PR!$AT684,IF(H686="OLEAF",PR!$AU684,IF(H686="OCULUS",PR!$AV684,IF(H686="PACIFIC",PR!$AW684,IF(H686="PHAMATEX",PR!$AX684,IF(H686="PETHICS",PR!$AY684,IF(H686="PHILIPS",PR!$AZ684,IF(H686="RANBAXY",PR!$BA684,IF(H686="REALS",PR!$BB684,IF(H686="ROYAL",PR!$BC684,IF(H686="SAM",PR!$BD684,IF(H686="SEAGREEN",PR!$BE684,IF(H686="SKG",PR!$BF684,IF(H686="TAH",PR!$BG684,IF(H686="TAYLEK",PR!$BH684,IF(H686="TEMITA",PR!$BI684,IF(H686="THL",PR!$BJ684,IF(H686="UBASTIC",PR!$BK684,IF(H686="UNION",PR!$BL684,IF(H686="UNIQUE",PR!$BM684,IF(H686="VIXA",PR!$BN684,IF(H686="WWCV",PR!$BO684,IF(H686="ZOLON",PR!$BP684,"-"))))))))))))))))))))))))))))))))))))))))))))))))))))))))))))))))</f>
        <v>5500</v>
      </c>
      <c r="H686" s="102" t="str">
        <f>EV!M881</f>
        <v>GINOS</v>
      </c>
      <c r="I686" s="108">
        <f>IF(J686="ALPHA",PR!$E684,IF(J686="ASSENE",PR!$F684,IF(J686="BIOFEM",PR!$G684,IF(J686="BIOMED",PR!$H684,IF(J686="CHI",PR!$I684,IF(J686="CLARION",PR!$J684,IF(J686="CODIX",PR!$K684,IF(J686="COSMADE",PR!$L684,IF(J686="SANCON",PR!$M684,IF(J686="DEVON",PR!$N684,IF(J686="DORTEMAG",PR!$O684,IF(J686="DGF",PR!$P684,IF(J686="DYNAMIC",PR!$Q684,IF(J686="EMZOR",PR!$R684,IF(J686="EUMATT",PR!$S684,IF(J686="FIDSON",PR!$T684,IF(J686="FCGLOBAL",PR!$U684,IF(J686="GENEITH",PR!$V684,IF(J686="GINOS",PR!$W684,IF(J686="GSK",PR!$X684,IF(J686="GLOBORG",PR!$Y684,IF(J686="GOODNEWS",PR!$Z684,IF(J686="GREENLIFE",PR!$AA684,IF(J686="HLINE",PR!$AB684,IF(J686="ROTECH",PR!$AC684,IF(J686="ISN",PR!$AD684,IF(J686="JAWA",PR!$AE684,IF(J686="LAYO",PR!$AF684,IF(J686="LEADWAY",PR!$AG684,IF(J686="LHV",PR!$AH684,IF(J686="MANOLA",PR!$AI684,IF(J686="MARCSON",PR!$AJ684,IF(J686="M&amp;B",PR!$AK684,IF(J686="MTRUST",PR!$AL684,IF(J686="MWORLD",PR!$AM684,IF(J686="MEGA",PR!$AN684,IF(J686="MICRONOVA",PR!$AO684,IF(J686="MFLASH",PR!$AP684,IF(J686="MORISON",PR!$AQ684,IF(J686="NEMEL",PR!$AR684,IF(J686="NHP",PR!$AS684,IF(J686="NHC",PR!$AT684,IF(J686="OLEAF",PR!$AU684,IF(J686="OCULUS",PR!$AV684,IF(J686="PACIFIC",PR!$AW684,IF(J686="PHAMATEX",PR!$AX684,IF(J686="PETHICS",PR!$AY684,IF(J686="PHILIPS",PR!$AZ684,IF(J686="RANBAXY",PR!$BA684,IF(J686="REALS",PR!$BB684,IF(J686="ROYAL",PR!$BC684,IF(J686="SAM",PR!$BD684,IF(J686="SEAGREEN",PR!$BE684,IF(J686="SKG",PR!$BF684,IF(J686="TAH",PR!$BG684,IF(J686="TAYLEK",PR!$BH684,IF(J686="TEMITA",PR!$BI684,IF(J686="THL",PR!$BJ684,IF(J686="UBASTIC",PR!$BK684,IF(J686="UNION",PR!$BL684,IF(J686="UNIQUE",PR!$BM684,IF(J686="VIXA",PR!$BN684,IF(J686="WWCV",PR!$BO684,IF(J686="ZOLON",PR!$BP684,"-"))))))))))))))))))))))))))))))))))))))))))))))))))))))))))))))))</f>
        <v>9000</v>
      </c>
      <c r="J686" s="102" t="str">
        <f>EV!N881</f>
        <v>COSMADE</v>
      </c>
      <c r="K686" s="433" t="s">
        <v>815</v>
      </c>
      <c r="L686" s="183">
        <f>IF(K686&gt;0,IF(K686="ALPHA",PR!$E684,IF(K686="ASSENE",PR!$F684,IF(K686="BIOFEM",PR!$G684,IF(K686="BIOMED",PR!$H684,IF(K686="CHI",PR!$I684,IF(K686="CLARION",PR!$J684,IF(K686="CODIX",PR!$K684,IF(K686="COSMADE",PR!$L684,IF(K686="SANCON",PR!$M684,IF(K686="DEVON",PR!$N684,IF(K686="DORTEMAG",PR!$O684,IF(K686="DGF",PR!$P684,IF(K686="DYNAMIC",PR!$Q684,IF(K686="EMZOR",PR!$R684,IF(K686="EUMATT",PR!$S684,IF(K686="FIDSON",PR!$T684,IF(K686="FCGLOBAL",PR!$U684,IF(K686="GENEITH",PR!$V684,IF(K686="GINOS",PR!$W684,IF(K686="GSK",PR!$X684,IF(K686="GLOBORG",PR!$Y684,IF(K686="GOODNEWS",PR!$Z684,IF(K686="GREENLIFE",PR!$AA684,IF(K686="HLINE",PR!$AB684,IF(K686="ROTECH",PR!$AC684,IF(K686="ISN",PR!$AD684,IF(K686="JAWA",PR!$AE684,IF(K686="LAYO",PR!$AF684,IF(K686="LEADWAY",PR!$AG684,IF(K686="LHV",PR!$AH684,IF(K686="MANOLA",PR!$AI684,IF(K686="MARCSON",PR!$AJ684,IF(K686="M&amp;B",PR!$AK684,IF(K686="MTRUST",PR!$AL684,IF(K686="MWORLD",PR!$AM684,IF(K686="MEGA",PR!$AN684,IF(K686="MICRONOVA",PR!$AO684,IF(K686="MFLASH",PR!$AP684,IF(K686="MORISON",PR!$AQ684,IF(K686="NEMEL",PR!$AR684,IF(K686="NHP",PR!$AS684,IF(K686="NHC",PR!$AT684,IF(K686="OLEAF",PR!$AU684,IF(K686="OCULUS",PR!$AV684,IF(K686="PACIFIC",PR!$AW684,IF(K686="PHAMATEX",PR!$AX684,IF(K686="PETHICS",PR!$AY684,IF(K686="PHILIPS",PR!$AZ684,IF(K686="RANBAXY",PR!$BA684,IF(K686="REALS",PR!$BB684,IF(K686="ROYAL",PR!$BC684,IF(K686="SAM",PR!$BD684,IF(K686="SEAGREEN",PR!$BE684,IF(K686="SKG",PR!$BF684,IF(K686="TAH",PR!$BG684,IF(K686="TAYLEK",PR!$BH684,IF(K686="TEMITA",PR!$BI684,IF(K686="THL",PR!$BJ684,IF(K686="UBASTIC",PR!$BK684,IF(K686="UNION",PR!$BL684,IF(K686="UNIQUE",PR!$BM684,IF(K686="VIXA",PR!$BN684,IF(K686="WWCV",PR!$BO684,IF(K686="ZOLON",PR!$BP684,"-")))))))))))))))))))))))))))))))))))))))))))))))))))))))))))))))))</f>
        <v>4800</v>
      </c>
    </row>
    <row r="687" spans="1:12" ht="18.75" x14ac:dyDescent="0.3">
      <c r="A687" s="430">
        <f>PR!A685</f>
        <v>623</v>
      </c>
      <c r="B687" s="15" t="str">
        <f>PR!B685</f>
        <v>PLASTER 2" (5CM X 9.1M) TRANSPARENT</v>
      </c>
      <c r="C687" s="113">
        <f>PR!D685</f>
        <v>6</v>
      </c>
      <c r="D687" s="113">
        <f>PR!C685</f>
        <v>20</v>
      </c>
      <c r="E687" s="108">
        <f>IF(F687="ALPHA",PR!$E685,IF(F687="ASSENE",PR!$F685,IF(F687="BIOFEM",PR!$G685,IF(F687="BIOMED",PR!$H685,IF(F687="CHI",PR!$I685,IF(F687="CLARION",PR!$J685,IF(F687="CODIX",PR!$K685,IF(F687="COSMADE",PR!$L685,IF(F687="SANCON",PR!$M685,IF(F687="DEVON",PR!$N685,IF(F687="DORTEMAG",PR!$O685,IF(F687="DGF",PR!$P685,IF(F687="DYNAMIC",PR!$Q685,IF(F687="EMZOR",PR!$R685,IF(F687="EUMATT",PR!$S685,IF(F687="FIDSON",PR!$T685,IF(F687="FCGLOBAL",PR!$U685,IF(F687="GENEITH",PR!$V685,IF(F687="GINOS",PR!$W685,IF(F687="GSK",PR!$X685,IF(F687="GLOBORG",PR!$Y685,IF(F687="GOODNEWS",PR!$Z685,IF(F687="GREENLIFE",PR!$AA685,IF(F687="HLINE",PR!$AB685,IF(F687="ROTECH",PR!$AC685,IF(F687="ISN",PR!$AD685,IF(F687="JAWA",PR!$AE685,IF(F687="LAYO",PR!$AF685,IF(F687="LEADWAY",PR!$AG685,IF(F687="LHV",PR!$AH685,IF(F687="MANOLA",PR!$AI685,IF(F687="MARCSON",PR!$AJ685,IF(F687="M&amp;B",PR!$AK685,IF(F687="MTRUST",PR!$AL685,IF(F687="MWORLD",PR!$AM685,IF(F687="MEGA",PR!$AN685,IF(F687="MICRONOVA",PR!$AO685,IF(F687="MFLASH",PR!$AP685,IF(F687="MORISON",PR!$AQ685,IF(F687="NEMEL",PR!$AR685,IF(F687="NHP",PR!$AS685,IF(F687="NHC",PR!$AT685,IF(F687="OLEAF",PR!$AU685,IF(F687="OCULUS",PR!$AV685,IF(F687="PACIFIC",PR!$AW685,IF(F687="PHAMATEX",PR!$AX685,IF(F687="PETHICS",PR!$AY685,IF(F687="PHILIPS",PR!$AZ685,IF(F687="RANBAXY",PR!$BA685,IF(F687="REALS",PR!$BB685,IF(F687="ROYAL",PR!$BC685,IF(F687="SAM",PR!$BD685,IF(F687="SEAGREEN",PR!$BE685,IF(F687="SKG",PR!$BF685,IF(F687="TAH",PR!$BG685,IF(F687="TAYLEK",PR!$BH685,IF(F687="TEMITA",PR!$BI685,IF(F687="THL",PR!$BJ685,IF(F687="UBASTIC",PR!$BK685,IF(F687="UNION",PR!$BL685,IF(F687="UNIQUE",PR!$BM685,IF(F687="VIXA",PR!$BN685,IF(F687="WWCV",PR!$BO685,IF(F687="ZOLON",PR!$BP685,"-"))))))))))))))))))))))))))))))))))))))))))))))))))))))))))))))))</f>
        <v>4800</v>
      </c>
      <c r="F687" s="102" t="str">
        <f>EV!L882</f>
        <v>FCGLOBAL</v>
      </c>
      <c r="G687" s="108">
        <f>IF(H687="ALPHA",PR!$E685,IF(H687="ASSENE",PR!$F685,IF(H687="BIOFEM",PR!$G685,IF(H687="BIOMED",PR!$H685,IF(H687="CHI",PR!$I685,IF(H687="CLARION",PR!$J685,IF(H687="CODIX",PR!$K685,IF(H687="COSMADE",PR!$L685,IF(H687="SANCON",PR!$M685,IF(H687="DEVON",PR!$N685,IF(H687="DORTEMAG",PR!$O685,IF(H687="DGF",PR!$P685,IF(H687="DYNAMIC",PR!$Q685,IF(H687="EMZOR",PR!$R685,IF(H687="EUMATT",PR!$S685,IF(H687="FIDSON",PR!$T685,IF(H687="FCGLOBAL",PR!$U685,IF(H687="GENEITH",PR!$V685,IF(H687="GINOS",PR!$W685,IF(H687="GSK",PR!$X685,IF(H687="GLOBORG",PR!$Y685,IF(H687="GOODNEWS",PR!$Z685,IF(H687="GREENLIFE",PR!$AA685,IF(H687="HLINE",PR!$AB685,IF(H687="ROTECH",PR!$AC685,IF(H687="ISN",PR!$AD685,IF(H687="JAWA",PR!$AE685,IF(H687="LAYO",PR!$AF685,IF(H687="LEADWAY",PR!$AG685,IF(H687="LHV",PR!$AH685,IF(H687="MANOLA",PR!$AI685,IF(H687="MARCSON",PR!$AJ685,IF(H687="M&amp;B",PR!$AK685,IF(H687="MTRUST",PR!$AL685,IF(H687="MWORLD",PR!$AM685,IF(H687="MEGA",PR!$AN685,IF(H687="MICRONOVA",PR!$AO685,IF(H687="MFLASH",PR!$AP685,IF(H687="MORISON",PR!$AQ685,IF(H687="NEMEL",PR!$AR685,IF(H687="NHP",PR!$AS685,IF(H687="NHC",PR!$AT685,IF(H687="OLEAF",PR!$AU685,IF(H687="OCULUS",PR!$AV685,IF(H687="PACIFIC",PR!$AW685,IF(H687="PHAMATEX",PR!$AX685,IF(H687="PETHICS",PR!$AY685,IF(H687="PHILIPS",PR!$AZ685,IF(H687="RANBAXY",PR!$BA685,IF(H687="REALS",PR!$BB685,IF(H687="ROYAL",PR!$BC685,IF(H687="SAM",PR!$BD685,IF(H687="SEAGREEN",PR!$BE685,IF(H687="SKG",PR!$BF685,IF(H687="TAH",PR!$BG685,IF(H687="TAYLEK",PR!$BH685,IF(H687="TEMITA",PR!$BI685,IF(H687="THL",PR!$BJ685,IF(H687="UBASTIC",PR!$BK685,IF(H687="UNION",PR!$BL685,IF(H687="UNIQUE",PR!$BM685,IF(H687="VIXA",PR!$BN685,IF(H687="WWCV",PR!$BO685,IF(H687="ZOLON",PR!$BP685,"-"))))))))))))))))))))))))))))))))))))))))))))))))))))))))))))))))</f>
        <v>5500</v>
      </c>
      <c r="H687" s="102" t="str">
        <f>EV!M882</f>
        <v>GINOS</v>
      </c>
      <c r="I687" s="108">
        <f>IF(J687="ALPHA",PR!$E685,IF(J687="ASSENE",PR!$F685,IF(J687="BIOFEM",PR!$G685,IF(J687="BIOMED",PR!$H685,IF(J687="CHI",PR!$I685,IF(J687="CLARION",PR!$J685,IF(J687="CODIX",PR!$K685,IF(J687="COSMADE",PR!$L685,IF(J687="SANCON",PR!$M685,IF(J687="DEVON",PR!$N685,IF(J687="DORTEMAG",PR!$O685,IF(J687="DGF",PR!$P685,IF(J687="DYNAMIC",PR!$Q685,IF(J687="EMZOR",PR!$R685,IF(J687="EUMATT",PR!$S685,IF(J687="FIDSON",PR!$T685,IF(J687="FCGLOBAL",PR!$U685,IF(J687="GENEITH",PR!$V685,IF(J687="GINOS",PR!$W685,IF(J687="GSK",PR!$X685,IF(J687="GLOBORG",PR!$Y685,IF(J687="GOODNEWS",PR!$Z685,IF(J687="GREENLIFE",PR!$AA685,IF(J687="HLINE",PR!$AB685,IF(J687="ROTECH",PR!$AC685,IF(J687="ISN",PR!$AD685,IF(J687="JAWA",PR!$AE685,IF(J687="LAYO",PR!$AF685,IF(J687="LEADWAY",PR!$AG685,IF(J687="LHV",PR!$AH685,IF(J687="MANOLA",PR!$AI685,IF(J687="MARCSON",PR!$AJ685,IF(J687="M&amp;B",PR!$AK685,IF(J687="MTRUST",PR!$AL685,IF(J687="MWORLD",PR!$AM685,IF(J687="MEGA",PR!$AN685,IF(J687="MICRONOVA",PR!$AO685,IF(J687="MFLASH",PR!$AP685,IF(J687="MORISON",PR!$AQ685,IF(J687="NEMEL",PR!$AR685,IF(J687="NHP",PR!$AS685,IF(J687="NHC",PR!$AT685,IF(J687="OLEAF",PR!$AU685,IF(J687="OCULUS",PR!$AV685,IF(J687="PACIFIC",PR!$AW685,IF(J687="PHAMATEX",PR!$AX685,IF(J687="PETHICS",PR!$AY685,IF(J687="PHILIPS",PR!$AZ685,IF(J687="RANBAXY",PR!$BA685,IF(J687="REALS",PR!$BB685,IF(J687="ROYAL",PR!$BC685,IF(J687="SAM",PR!$BD685,IF(J687="SEAGREEN",PR!$BE685,IF(J687="SKG",PR!$BF685,IF(J687="TAH",PR!$BG685,IF(J687="TAYLEK",PR!$BH685,IF(J687="TEMITA",PR!$BI685,IF(J687="THL",PR!$BJ685,IF(J687="UBASTIC",PR!$BK685,IF(J687="UNION",PR!$BL685,IF(J687="UNIQUE",PR!$BM685,IF(J687="VIXA",PR!$BN685,IF(J687="WWCV",PR!$BO685,IF(J687="ZOLON",PR!$BP685,"-"))))))))))))))))))))))))))))))))))))))))))))))))))))))))))))))))</f>
        <v>8000</v>
      </c>
      <c r="J687" s="102" t="str">
        <f>EV!N882</f>
        <v>COSMADE</v>
      </c>
      <c r="K687" s="433" t="s">
        <v>815</v>
      </c>
      <c r="L687" s="183">
        <f>IF(K687&gt;0,IF(K687="ALPHA",PR!$E685,IF(K687="ASSENE",PR!$F685,IF(K687="BIOFEM",PR!$G685,IF(K687="BIOMED",PR!$H685,IF(K687="CHI",PR!$I685,IF(K687="CLARION",PR!$J685,IF(K687="CODIX",PR!$K685,IF(K687="COSMADE",PR!$L685,IF(K687="SANCON",PR!$M685,IF(K687="DEVON",PR!$N685,IF(K687="DORTEMAG",PR!$O685,IF(K687="DGF",PR!$P685,IF(K687="DYNAMIC",PR!$Q685,IF(K687="EMZOR",PR!$R685,IF(K687="EUMATT",PR!$S685,IF(K687="FIDSON",PR!$T685,IF(K687="FCGLOBAL",PR!$U685,IF(K687="GENEITH",PR!$V685,IF(K687="GINOS",PR!$W685,IF(K687="GSK",PR!$X685,IF(K687="GLOBORG",PR!$Y685,IF(K687="GOODNEWS",PR!$Z685,IF(K687="GREENLIFE",PR!$AA685,IF(K687="HLINE",PR!$AB685,IF(K687="ROTECH",PR!$AC685,IF(K687="ISN",PR!$AD685,IF(K687="JAWA",PR!$AE685,IF(K687="LAYO",PR!$AF685,IF(K687="LEADWAY",PR!$AG685,IF(K687="LHV",PR!$AH685,IF(K687="MANOLA",PR!$AI685,IF(K687="MARCSON",PR!$AJ685,IF(K687="M&amp;B",PR!$AK685,IF(K687="MTRUST",PR!$AL685,IF(K687="MWORLD",PR!$AM685,IF(K687="MEGA",PR!$AN685,IF(K687="MICRONOVA",PR!$AO685,IF(K687="MFLASH",PR!$AP685,IF(K687="MORISON",PR!$AQ685,IF(K687="NEMEL",PR!$AR685,IF(K687="NHP",PR!$AS685,IF(K687="NHC",PR!$AT685,IF(K687="OLEAF",PR!$AU685,IF(K687="OCULUS",PR!$AV685,IF(K687="PACIFIC",PR!$AW685,IF(K687="PHAMATEX",PR!$AX685,IF(K687="PETHICS",PR!$AY685,IF(K687="PHILIPS",PR!$AZ685,IF(K687="RANBAXY",PR!$BA685,IF(K687="REALS",PR!$BB685,IF(K687="ROYAL",PR!$BC685,IF(K687="SAM",PR!$BD685,IF(K687="SEAGREEN",PR!$BE685,IF(K687="SKG",PR!$BF685,IF(K687="TAH",PR!$BG685,IF(K687="TAYLEK",PR!$BH685,IF(K687="TEMITA",PR!$BI685,IF(K687="THL",PR!$BJ685,IF(K687="UBASTIC",PR!$BK685,IF(K687="UNION",PR!$BL685,IF(K687="UNIQUE",PR!$BM685,IF(K687="VIXA",PR!$BN685,IF(K687="WWCV",PR!$BO685,IF(K687="ZOLON",PR!$BP685,"-")))))))))))))))))))))))))))))))))))))))))))))))))))))))))))))))))</f>
        <v>4800</v>
      </c>
    </row>
    <row r="688" spans="1:12" ht="18.75" x14ac:dyDescent="0.3">
      <c r="A688" s="430">
        <f>PR!A686</f>
        <v>624</v>
      </c>
      <c r="B688" s="15" t="str">
        <f>PR!B686</f>
        <v>PLASTER 3"(7.5CM X 9.1M) - DURAPORE</v>
      </c>
      <c r="C688" s="113">
        <f>PR!D686</f>
        <v>4</v>
      </c>
      <c r="D688" s="113">
        <f>PR!C686</f>
        <v>100</v>
      </c>
      <c r="E688" s="108">
        <f>IF(F688="ALPHA",PR!$E686,IF(F688="ASSENE",PR!$F686,IF(F688="BIOFEM",PR!$G686,IF(F688="BIOMED",PR!$H686,IF(F688="CHI",PR!$I686,IF(F688="CLARION",PR!$J686,IF(F688="CODIX",PR!$K686,IF(F688="COSMADE",PR!$L686,IF(F688="SANCON",PR!$M686,IF(F688="DEVON",PR!$N686,IF(F688="DORTEMAG",PR!$O686,IF(F688="DGF",PR!$P686,IF(F688="DYNAMIC",PR!$Q686,IF(F688="EMZOR",PR!$R686,IF(F688="EUMATT",PR!$S686,IF(F688="FIDSON",PR!$T686,IF(F688="FCGLOBAL",PR!$U686,IF(F688="GENEITH",PR!$V686,IF(F688="GINOS",PR!$W686,IF(F688="GSK",PR!$X686,IF(F688="GLOBORG",PR!$Y686,IF(F688="GOODNEWS",PR!$Z686,IF(F688="GREENLIFE",PR!$AA686,IF(F688="HLINE",PR!$AB686,IF(F688="ROTECH",PR!$AC686,IF(F688="ISN",PR!$AD686,IF(F688="JAWA",PR!$AE686,IF(F688="LAYO",PR!$AF686,IF(F688="LEADWAY",PR!$AG686,IF(F688="LHV",PR!$AH686,IF(F688="MANOLA",PR!$AI686,IF(F688="MARCSON",PR!$AJ686,IF(F688="M&amp;B",PR!$AK686,IF(F688="MTRUST",PR!$AL686,IF(F688="MWORLD",PR!$AM686,IF(F688="MEGA",PR!$AN686,IF(F688="MICRONOVA",PR!$AO686,IF(F688="MFLASH",PR!$AP686,IF(F688="MORISON",PR!$AQ686,IF(F688="NEMEL",PR!$AR686,IF(F688="NHP",PR!$AS686,IF(F688="NHC",PR!$AT686,IF(F688="OLEAF",PR!$AU686,IF(F688="OCULUS",PR!$AV686,IF(F688="PACIFIC",PR!$AW686,IF(F688="PHAMATEX",PR!$AX686,IF(F688="PETHICS",PR!$AY686,IF(F688="PHILIPS",PR!$AZ686,IF(F688="RANBAXY",PR!$BA686,IF(F688="REALS",PR!$BB686,IF(F688="ROYAL",PR!$BC686,IF(F688="SAM",PR!$BD686,IF(F688="SEAGREEN",PR!$BE686,IF(F688="SKG",PR!$BF686,IF(F688="TAH",PR!$BG686,IF(F688="TAYLEK",PR!$BH686,IF(F688="TEMITA",PR!$BI686,IF(F688="THL",PR!$BJ686,IF(F688="UBASTIC",PR!$BK686,IF(F688="UNION",PR!$BL686,IF(F688="UNIQUE",PR!$BM686,IF(F688="VIXA",PR!$BN686,IF(F688="WWCV",PR!$BO686,IF(F688="ZOLON",PR!$BP686,"-"))))))))))))))))))))))))))))))))))))))))))))))))))))))))))))))))</f>
        <v>7000</v>
      </c>
      <c r="F688" s="102" t="str">
        <f>EV!L883</f>
        <v>GINOS</v>
      </c>
      <c r="G688" s="108">
        <f>IF(H688="ALPHA",PR!$E686,IF(H688="ASSENE",PR!$F686,IF(H688="BIOFEM",PR!$G686,IF(H688="BIOMED",PR!$H686,IF(H688="CHI",PR!$I686,IF(H688="CLARION",PR!$J686,IF(H688="CODIX",PR!$K686,IF(H688="COSMADE",PR!$L686,IF(H688="SANCON",PR!$M686,IF(H688="DEVON",PR!$N686,IF(H688="DORTEMAG",PR!$O686,IF(H688="DGF",PR!$P686,IF(H688="DYNAMIC",PR!$Q686,IF(H688="EMZOR",PR!$R686,IF(H688="EUMATT",PR!$S686,IF(H688="FIDSON",PR!$T686,IF(H688="FCGLOBAL",PR!$U686,IF(H688="GENEITH",PR!$V686,IF(H688="GINOS",PR!$W686,IF(H688="GSK",PR!$X686,IF(H688="GLOBORG",PR!$Y686,IF(H688="GOODNEWS",PR!$Z686,IF(H688="GREENLIFE",PR!$AA686,IF(H688="HLINE",PR!$AB686,IF(H688="ROTECH",PR!$AC686,IF(H688="ISN",PR!$AD686,IF(H688="JAWA",PR!$AE686,IF(H688="LAYO",PR!$AF686,IF(H688="LEADWAY",PR!$AG686,IF(H688="LHV",PR!$AH686,IF(H688="MANOLA",PR!$AI686,IF(H688="MARCSON",PR!$AJ686,IF(H688="M&amp;B",PR!$AK686,IF(H688="MTRUST",PR!$AL686,IF(H688="MWORLD",PR!$AM686,IF(H688="MEGA",PR!$AN686,IF(H688="MICRONOVA",PR!$AO686,IF(H688="MFLASH",PR!$AP686,IF(H688="MORISON",PR!$AQ686,IF(H688="NEMEL",PR!$AR686,IF(H688="NHP",PR!$AS686,IF(H688="NHC",PR!$AT686,IF(H688="OLEAF",PR!$AU686,IF(H688="OCULUS",PR!$AV686,IF(H688="PACIFIC",PR!$AW686,IF(H688="PHAMATEX",PR!$AX686,IF(H688="PETHICS",PR!$AY686,IF(H688="PHILIPS",PR!$AZ686,IF(H688="RANBAXY",PR!$BA686,IF(H688="REALS",PR!$BB686,IF(H688="ROYAL",PR!$BC686,IF(H688="SAM",PR!$BD686,IF(H688="SEAGREEN",PR!$BE686,IF(H688="SKG",PR!$BF686,IF(H688="TAH",PR!$BG686,IF(H688="TAYLEK",PR!$BH686,IF(H688="TEMITA",PR!$BI686,IF(H688="THL",PR!$BJ686,IF(H688="UBASTIC",PR!$BK686,IF(H688="UNION",PR!$BL686,IF(H688="UNIQUE",PR!$BM686,IF(H688="VIXA",PR!$BN686,IF(H688="WWCV",PR!$BO686,IF(H688="ZOLON",PR!$BP686,"-"))))))))))))))))))))))))))))))))))))))))))))))))))))))))))))))))</f>
        <v>7500</v>
      </c>
      <c r="H688" s="102" t="str">
        <f>EV!M883</f>
        <v>FCGLOBAL</v>
      </c>
      <c r="I688" s="108">
        <f>IF(J688="ALPHA",PR!$E686,IF(J688="ASSENE",PR!$F686,IF(J688="BIOFEM",PR!$G686,IF(J688="BIOMED",PR!$H686,IF(J688="CHI",PR!$I686,IF(J688="CLARION",PR!$J686,IF(J688="CODIX",PR!$K686,IF(J688="COSMADE",PR!$L686,IF(J688="SANCON",PR!$M686,IF(J688="DEVON",PR!$N686,IF(J688="DORTEMAG",PR!$O686,IF(J688="DGF",PR!$P686,IF(J688="DYNAMIC",PR!$Q686,IF(J688="EMZOR",PR!$R686,IF(J688="EUMATT",PR!$S686,IF(J688="FIDSON",PR!$T686,IF(J688="FCGLOBAL",PR!$U686,IF(J688="GENEITH",PR!$V686,IF(J688="GINOS",PR!$W686,IF(J688="GSK",PR!$X686,IF(J688="GLOBORG",PR!$Y686,IF(J688="GOODNEWS",PR!$Z686,IF(J688="GREENLIFE",PR!$AA686,IF(J688="HLINE",PR!$AB686,IF(J688="ROTECH",PR!$AC686,IF(J688="ISN",PR!$AD686,IF(J688="JAWA",PR!$AE686,IF(J688="LAYO",PR!$AF686,IF(J688="LEADWAY",PR!$AG686,IF(J688="LHV",PR!$AH686,IF(J688="MANOLA",PR!$AI686,IF(J688="MARCSON",PR!$AJ686,IF(J688="M&amp;B",PR!$AK686,IF(J688="MTRUST",PR!$AL686,IF(J688="MWORLD",PR!$AM686,IF(J688="MEGA",PR!$AN686,IF(J688="MICRONOVA",PR!$AO686,IF(J688="MFLASH",PR!$AP686,IF(J688="MORISON",PR!$AQ686,IF(J688="NEMEL",PR!$AR686,IF(J688="NHP",PR!$AS686,IF(J688="NHC",PR!$AT686,IF(J688="OLEAF",PR!$AU686,IF(J688="OCULUS",PR!$AV686,IF(J688="PACIFIC",PR!$AW686,IF(J688="PHAMATEX",PR!$AX686,IF(J688="PETHICS",PR!$AY686,IF(J688="PHILIPS",PR!$AZ686,IF(J688="RANBAXY",PR!$BA686,IF(J688="REALS",PR!$BB686,IF(J688="ROYAL",PR!$BC686,IF(J688="SAM",PR!$BD686,IF(J688="SEAGREEN",PR!$BE686,IF(J688="SKG",PR!$BF686,IF(J688="TAH",PR!$BG686,IF(J688="TAYLEK",PR!$BH686,IF(J688="TEMITA",PR!$BI686,IF(J688="THL",PR!$BJ686,IF(J688="UBASTIC",PR!$BK686,IF(J688="UNION",PR!$BL686,IF(J688="UNIQUE",PR!$BM686,IF(J688="VIXA",PR!$BN686,IF(J688="WWCV",PR!$BO686,IF(J688="ZOLON",PR!$BP686,"-"))))))))))))))))))))))))))))))))))))))))))))))))))))))))))))))))</f>
        <v>9000</v>
      </c>
      <c r="J688" s="102" t="str">
        <f>EV!N883</f>
        <v>COSMADE</v>
      </c>
      <c r="K688" s="433" t="s">
        <v>815</v>
      </c>
      <c r="L688" s="183">
        <f>IF(K688&gt;0,IF(K688="ALPHA",PR!$E686,IF(K688="ASSENE",PR!$F686,IF(K688="BIOFEM",PR!$G686,IF(K688="BIOMED",PR!$H686,IF(K688="CHI",PR!$I686,IF(K688="CLARION",PR!$J686,IF(K688="CODIX",PR!$K686,IF(K688="COSMADE",PR!$L686,IF(K688="SANCON",PR!$M686,IF(K688="DEVON",PR!$N686,IF(K688="DORTEMAG",PR!$O686,IF(K688="DGF",PR!$P686,IF(K688="DYNAMIC",PR!$Q686,IF(K688="EMZOR",PR!$R686,IF(K688="EUMATT",PR!$S686,IF(K688="FIDSON",PR!$T686,IF(K688="FCGLOBAL",PR!$U686,IF(K688="GENEITH",PR!$V686,IF(K688="GINOS",PR!$W686,IF(K688="GSK",PR!$X686,IF(K688="GLOBORG",PR!$Y686,IF(K688="GOODNEWS",PR!$Z686,IF(K688="GREENLIFE",PR!$AA686,IF(K688="HLINE",PR!$AB686,IF(K688="ROTECH",PR!$AC686,IF(K688="ISN",PR!$AD686,IF(K688="JAWA",PR!$AE686,IF(K688="LAYO",PR!$AF686,IF(K688="LEADWAY",PR!$AG686,IF(K688="LHV",PR!$AH686,IF(K688="MANOLA",PR!$AI686,IF(K688="MARCSON",PR!$AJ686,IF(K688="M&amp;B",PR!$AK686,IF(K688="MTRUST",PR!$AL686,IF(K688="MWORLD",PR!$AM686,IF(K688="MEGA",PR!$AN686,IF(K688="MICRONOVA",PR!$AO686,IF(K688="MFLASH",PR!$AP686,IF(K688="MORISON",PR!$AQ686,IF(K688="NEMEL",PR!$AR686,IF(K688="NHP",PR!$AS686,IF(K688="NHC",PR!$AT686,IF(K688="OLEAF",PR!$AU686,IF(K688="OCULUS",PR!$AV686,IF(K688="PACIFIC",PR!$AW686,IF(K688="PHAMATEX",PR!$AX686,IF(K688="PETHICS",PR!$AY686,IF(K688="PHILIPS",PR!$AZ686,IF(K688="RANBAXY",PR!$BA686,IF(K688="REALS",PR!$BB686,IF(K688="ROYAL",PR!$BC686,IF(K688="SAM",PR!$BD686,IF(K688="SEAGREEN",PR!$BE686,IF(K688="SKG",PR!$BF686,IF(K688="TAH",PR!$BG686,IF(K688="TAYLEK",PR!$BH686,IF(K688="TEMITA",PR!$BI686,IF(K688="THL",PR!$BJ686,IF(K688="UBASTIC",PR!$BK686,IF(K688="UNION",PR!$BL686,IF(K688="UNIQUE",PR!$BM686,IF(K688="VIXA",PR!$BN686,IF(K688="WWCV",PR!$BO686,IF(K688="ZOLON",PR!$BP686,"-")))))))))))))))))))))))))))))))))))))))))))))))))))))))))))))))))</f>
        <v>7500</v>
      </c>
    </row>
    <row r="689" spans="1:12" ht="18.75" x14ac:dyDescent="0.3">
      <c r="A689" s="430">
        <f>PR!A687</f>
        <v>625</v>
      </c>
      <c r="B689" s="15" t="str">
        <f>PR!B687</f>
        <v>PLASTER 3"(7.5CM X 9.1M) TRANSPARENT</v>
      </c>
      <c r="C689" s="113">
        <f>PR!D687</f>
        <v>4</v>
      </c>
      <c r="D689" s="113">
        <f>PR!C687</f>
        <v>12</v>
      </c>
      <c r="E689" s="108">
        <f>IF(F689="ALPHA",PR!$E687,IF(F689="ASSENE",PR!$F687,IF(F689="BIOFEM",PR!$G687,IF(F689="BIOMED",PR!$H687,IF(F689="CHI",PR!$I687,IF(F689="CLARION",PR!$J687,IF(F689="CODIX",PR!$K687,IF(F689="COSMADE",PR!$L687,IF(F689="SANCON",PR!$M687,IF(F689="DEVON",PR!$N687,IF(F689="DORTEMAG",PR!$O687,IF(F689="DGF",PR!$P687,IF(F689="DYNAMIC",PR!$Q687,IF(F689="EMZOR",PR!$R687,IF(F689="EUMATT",PR!$S687,IF(F689="FIDSON",PR!$T687,IF(F689="FCGLOBAL",PR!$U687,IF(F689="GENEITH",PR!$V687,IF(F689="GINOS",PR!$W687,IF(F689="GSK",PR!$X687,IF(F689="GLOBORG",PR!$Y687,IF(F689="GOODNEWS",PR!$Z687,IF(F689="GREENLIFE",PR!$AA687,IF(F689="HLINE",PR!$AB687,IF(F689="ROTECH",PR!$AC687,IF(F689="ISN",PR!$AD687,IF(F689="JAWA",PR!$AE687,IF(F689="LAYO",PR!$AF687,IF(F689="LEADWAY",PR!$AG687,IF(F689="LHV",PR!$AH687,IF(F689="MANOLA",PR!$AI687,IF(F689="MARCSON",PR!$AJ687,IF(F689="M&amp;B",PR!$AK687,IF(F689="MTRUST",PR!$AL687,IF(F689="MWORLD",PR!$AM687,IF(F689="MEGA",PR!$AN687,IF(F689="MICRONOVA",PR!$AO687,IF(F689="MFLASH",PR!$AP687,IF(F689="MORISON",PR!$AQ687,IF(F689="NEMEL",PR!$AR687,IF(F689="NHP",PR!$AS687,IF(F689="NHC",PR!$AT687,IF(F689="OLEAF",PR!$AU687,IF(F689="OCULUS",PR!$AV687,IF(F689="PACIFIC",PR!$AW687,IF(F689="PHAMATEX",PR!$AX687,IF(F689="PETHICS",PR!$AY687,IF(F689="PHILIPS",PR!$AZ687,IF(F689="RANBAXY",PR!$BA687,IF(F689="REALS",PR!$BB687,IF(F689="ROYAL",PR!$BC687,IF(F689="SAM",PR!$BD687,IF(F689="SEAGREEN",PR!$BE687,IF(F689="SKG",PR!$BF687,IF(F689="TAH",PR!$BG687,IF(F689="TAYLEK",PR!$BH687,IF(F689="TEMITA",PR!$BI687,IF(F689="THL",PR!$BJ687,IF(F689="UBASTIC",PR!$BK687,IF(F689="UNION",PR!$BL687,IF(F689="UNIQUE",PR!$BM687,IF(F689="VIXA",PR!$BN687,IF(F689="WWCV",PR!$BO687,IF(F689="ZOLON",PR!$BP687,"-"))))))))))))))))))))))))))))))))))))))))))))))))))))))))))))))))</f>
        <v>4220</v>
      </c>
      <c r="F689" s="102" t="str">
        <f>EV!L884</f>
        <v>SANCON</v>
      </c>
      <c r="G689" s="108">
        <f>IF(H689="ALPHA",PR!$E687,IF(H689="ASSENE",PR!$F687,IF(H689="BIOFEM",PR!$G687,IF(H689="BIOMED",PR!$H687,IF(H689="CHI",PR!$I687,IF(H689="CLARION",PR!$J687,IF(H689="CODIX",PR!$K687,IF(H689="COSMADE",PR!$L687,IF(H689="SANCON",PR!$M687,IF(H689="DEVON",PR!$N687,IF(H689="DORTEMAG",PR!$O687,IF(H689="DGF",PR!$P687,IF(H689="DYNAMIC",PR!$Q687,IF(H689="EMZOR",PR!$R687,IF(H689="EUMATT",PR!$S687,IF(H689="FIDSON",PR!$T687,IF(H689="FCGLOBAL",PR!$U687,IF(H689="GENEITH",PR!$V687,IF(H689="GINOS",PR!$W687,IF(H689="GSK",PR!$X687,IF(H689="GLOBORG",PR!$Y687,IF(H689="GOODNEWS",PR!$Z687,IF(H689="GREENLIFE",PR!$AA687,IF(H689="HLINE",PR!$AB687,IF(H689="ROTECH",PR!$AC687,IF(H689="ISN",PR!$AD687,IF(H689="JAWA",PR!$AE687,IF(H689="LAYO",PR!$AF687,IF(H689="LEADWAY",PR!$AG687,IF(H689="LHV",PR!$AH687,IF(H689="MANOLA",PR!$AI687,IF(H689="MARCSON",PR!$AJ687,IF(H689="M&amp;B",PR!$AK687,IF(H689="MTRUST",PR!$AL687,IF(H689="MWORLD",PR!$AM687,IF(H689="MEGA",PR!$AN687,IF(H689="MICRONOVA",PR!$AO687,IF(H689="MFLASH",PR!$AP687,IF(H689="MORISON",PR!$AQ687,IF(H689="NEMEL",PR!$AR687,IF(H689="NHP",PR!$AS687,IF(H689="NHC",PR!$AT687,IF(H689="OLEAF",PR!$AU687,IF(H689="OCULUS",PR!$AV687,IF(H689="PACIFIC",PR!$AW687,IF(H689="PHAMATEX",PR!$AX687,IF(H689="PETHICS",PR!$AY687,IF(H689="PHILIPS",PR!$AZ687,IF(H689="RANBAXY",PR!$BA687,IF(H689="REALS",PR!$BB687,IF(H689="ROYAL",PR!$BC687,IF(H689="SAM",PR!$BD687,IF(H689="SEAGREEN",PR!$BE687,IF(H689="SKG",PR!$BF687,IF(H689="TAH",PR!$BG687,IF(H689="TAYLEK",PR!$BH687,IF(H689="TEMITA",PR!$BI687,IF(H689="THL",PR!$BJ687,IF(H689="UBASTIC",PR!$BK687,IF(H689="UNION",PR!$BL687,IF(H689="UNIQUE",PR!$BM687,IF(H689="VIXA",PR!$BN687,IF(H689="WWCV",PR!$BO687,IF(H689="ZOLON",PR!$BP687,"-"))))))))))))))))))))))))))))))))))))))))))))))))))))))))))))))))</f>
        <v>4800</v>
      </c>
      <c r="H689" s="102" t="str">
        <f>EV!M884</f>
        <v>FCGLOBAL</v>
      </c>
      <c r="I689" s="108">
        <f>IF(J689="ALPHA",PR!$E687,IF(J689="ASSENE",PR!$F687,IF(J689="BIOFEM",PR!$G687,IF(J689="BIOMED",PR!$H687,IF(J689="CHI",PR!$I687,IF(J689="CLARION",PR!$J687,IF(J689="CODIX",PR!$K687,IF(J689="COSMADE",PR!$L687,IF(J689="SANCON",PR!$M687,IF(J689="DEVON",PR!$N687,IF(J689="DORTEMAG",PR!$O687,IF(J689="DGF",PR!$P687,IF(J689="DYNAMIC",PR!$Q687,IF(J689="EMZOR",PR!$R687,IF(J689="EUMATT",PR!$S687,IF(J689="FIDSON",PR!$T687,IF(J689="FCGLOBAL",PR!$U687,IF(J689="GENEITH",PR!$V687,IF(J689="GINOS",PR!$W687,IF(J689="GSK",PR!$X687,IF(J689="GLOBORG",PR!$Y687,IF(J689="GOODNEWS",PR!$Z687,IF(J689="GREENLIFE",PR!$AA687,IF(J689="HLINE",PR!$AB687,IF(J689="ROTECH",PR!$AC687,IF(J689="ISN",PR!$AD687,IF(J689="JAWA",PR!$AE687,IF(J689="LAYO",PR!$AF687,IF(J689="LEADWAY",PR!$AG687,IF(J689="LHV",PR!$AH687,IF(J689="MANOLA",PR!$AI687,IF(J689="MARCSON",PR!$AJ687,IF(J689="M&amp;B",PR!$AK687,IF(J689="MTRUST",PR!$AL687,IF(J689="MWORLD",PR!$AM687,IF(J689="MEGA",PR!$AN687,IF(J689="MICRONOVA",PR!$AO687,IF(J689="MFLASH",PR!$AP687,IF(J689="MORISON",PR!$AQ687,IF(J689="NEMEL",PR!$AR687,IF(J689="NHP",PR!$AS687,IF(J689="NHC",PR!$AT687,IF(J689="OLEAF",PR!$AU687,IF(J689="OCULUS",PR!$AV687,IF(J689="PACIFIC",PR!$AW687,IF(J689="PHAMATEX",PR!$AX687,IF(J689="PETHICS",PR!$AY687,IF(J689="PHILIPS",PR!$AZ687,IF(J689="RANBAXY",PR!$BA687,IF(J689="REALS",PR!$BB687,IF(J689="ROYAL",PR!$BC687,IF(J689="SAM",PR!$BD687,IF(J689="SEAGREEN",PR!$BE687,IF(J689="SKG",PR!$BF687,IF(J689="TAH",PR!$BG687,IF(J689="TAYLEK",PR!$BH687,IF(J689="TEMITA",PR!$BI687,IF(J689="THL",PR!$BJ687,IF(J689="UBASTIC",PR!$BK687,IF(J689="UNION",PR!$BL687,IF(J689="UNIQUE",PR!$BM687,IF(J689="VIXA",PR!$BN687,IF(J689="WWCV",PR!$BO687,IF(J689="ZOLON",PR!$BP687,"-"))))))))))))))))))))))))))))))))))))))))))))))))))))))))))))))))</f>
        <v>9500</v>
      </c>
      <c r="J689" s="102" t="str">
        <f>EV!N884</f>
        <v>COSMADE</v>
      </c>
      <c r="K689" s="433" t="s">
        <v>815</v>
      </c>
      <c r="L689" s="183">
        <f>IF(K689&gt;0,IF(K689="ALPHA",PR!$E687,IF(K689="ASSENE",PR!$F687,IF(K689="BIOFEM",PR!$G687,IF(K689="BIOMED",PR!$H687,IF(K689="CHI",PR!$I687,IF(K689="CLARION",PR!$J687,IF(K689="CODIX",PR!$K687,IF(K689="COSMADE",PR!$L687,IF(K689="SANCON",PR!$M687,IF(K689="DEVON",PR!$N687,IF(K689="DORTEMAG",PR!$O687,IF(K689="DGF",PR!$P687,IF(K689="DYNAMIC",PR!$Q687,IF(K689="EMZOR",PR!$R687,IF(K689="EUMATT",PR!$S687,IF(K689="FIDSON",PR!$T687,IF(K689="FCGLOBAL",PR!$U687,IF(K689="GENEITH",PR!$V687,IF(K689="GINOS",PR!$W687,IF(K689="GSK",PR!$X687,IF(K689="GLOBORG",PR!$Y687,IF(K689="GOODNEWS",PR!$Z687,IF(K689="GREENLIFE",PR!$AA687,IF(K689="HLINE",PR!$AB687,IF(K689="ROTECH",PR!$AC687,IF(K689="ISN",PR!$AD687,IF(K689="JAWA",PR!$AE687,IF(K689="LAYO",PR!$AF687,IF(K689="LEADWAY",PR!$AG687,IF(K689="LHV",PR!$AH687,IF(K689="MANOLA",PR!$AI687,IF(K689="MARCSON",PR!$AJ687,IF(K689="M&amp;B",PR!$AK687,IF(K689="MTRUST",PR!$AL687,IF(K689="MWORLD",PR!$AM687,IF(K689="MEGA",PR!$AN687,IF(K689="MICRONOVA",PR!$AO687,IF(K689="MFLASH",PR!$AP687,IF(K689="MORISON",PR!$AQ687,IF(K689="NEMEL",PR!$AR687,IF(K689="NHP",PR!$AS687,IF(K689="NHC",PR!$AT687,IF(K689="OLEAF",PR!$AU687,IF(K689="OCULUS",PR!$AV687,IF(K689="PACIFIC",PR!$AW687,IF(K689="PHAMATEX",PR!$AX687,IF(K689="PETHICS",PR!$AY687,IF(K689="PHILIPS",PR!$AZ687,IF(K689="RANBAXY",PR!$BA687,IF(K689="REALS",PR!$BB687,IF(K689="ROYAL",PR!$BC687,IF(K689="SAM",PR!$BD687,IF(K689="SEAGREEN",PR!$BE687,IF(K689="SKG",PR!$BF687,IF(K689="TAH",PR!$BG687,IF(K689="TAYLEK",PR!$BH687,IF(K689="TEMITA",PR!$BI687,IF(K689="THL",PR!$BJ687,IF(K689="UBASTIC",PR!$BK687,IF(K689="UNION",PR!$BL687,IF(K689="UNIQUE",PR!$BM687,IF(K689="VIXA",PR!$BN687,IF(K689="WWCV",PR!$BO687,IF(K689="ZOLON",PR!$BP687,"-")))))))))))))))))))))))))))))))))))))))))))))))))))))))))))))))))</f>
        <v>4800</v>
      </c>
    </row>
    <row r="690" spans="1:12" ht="18.75" x14ac:dyDescent="0.3">
      <c r="A690" s="430">
        <f>PR!A688</f>
        <v>626</v>
      </c>
      <c r="B690" s="15" t="str">
        <f>PR!B688</f>
        <v>PLASTER 2" (5CM X 9.1M) BROWN</v>
      </c>
      <c r="C690" s="113">
        <f>PR!D688</f>
        <v>5</v>
      </c>
      <c r="D690" s="113">
        <f>PR!C688</f>
        <v>105</v>
      </c>
      <c r="E690" s="108">
        <f>IF(F690="ALPHA",PR!$E688,IF(F690="ASSENE",PR!$F688,IF(F690="BIOFEM",PR!$G688,IF(F690="BIOMED",PR!$H688,IF(F690="CHI",PR!$I688,IF(F690="CLARION",PR!$J688,IF(F690="CODIX",PR!$K688,IF(F690="COSMADE",PR!$L688,IF(F690="SANCON",PR!$M688,IF(F690="DEVON",PR!$N688,IF(F690="DORTEMAG",PR!$O688,IF(F690="DGF",PR!$P688,IF(F690="DYNAMIC",PR!$Q688,IF(F690="EMZOR",PR!$R688,IF(F690="EUMATT",PR!$S688,IF(F690="FIDSON",PR!$T688,IF(F690="FCGLOBAL",PR!$U688,IF(F690="GENEITH",PR!$V688,IF(F690="GINOS",PR!$W688,IF(F690="GSK",PR!$X688,IF(F690="GLOBORG",PR!$Y688,IF(F690="GOODNEWS",PR!$Z688,IF(F690="GREENLIFE",PR!$AA688,IF(F690="HLINE",PR!$AB688,IF(F690="ROTECH",PR!$AC688,IF(F690="ISN",PR!$AD688,IF(F690="JAWA",PR!$AE688,IF(F690="LAYO",PR!$AF688,IF(F690="LEADWAY",PR!$AG688,IF(F690="LHV",PR!$AH688,IF(F690="MANOLA",PR!$AI688,IF(F690="MARCSON",PR!$AJ688,IF(F690="M&amp;B",PR!$AK688,IF(F690="MTRUST",PR!$AL688,IF(F690="MWORLD",PR!$AM688,IF(F690="MEGA",PR!$AN688,IF(F690="MICRONOVA",PR!$AO688,IF(F690="MFLASH",PR!$AP688,IF(F690="MORISON",PR!$AQ688,IF(F690="NEMEL",PR!$AR688,IF(F690="NHP",PR!$AS688,IF(F690="NHC",PR!$AT688,IF(F690="OLEAF",PR!$AU688,IF(F690="OCULUS",PR!$AV688,IF(F690="PACIFIC",PR!$AW688,IF(F690="PHAMATEX",PR!$AX688,IF(F690="PETHICS",PR!$AY688,IF(F690="PHILIPS",PR!$AZ688,IF(F690="RANBAXY",PR!$BA688,IF(F690="REALS",PR!$BB688,IF(F690="ROYAL",PR!$BC688,IF(F690="SAM",PR!$BD688,IF(F690="SEAGREEN",PR!$BE688,IF(F690="SKG",PR!$BF688,IF(F690="TAH",PR!$BG688,IF(F690="TAYLEK",PR!$BH688,IF(F690="TEMITA",PR!$BI688,IF(F690="THL",PR!$BJ688,IF(F690="UBASTIC",PR!$BK688,IF(F690="UNION",PR!$BL688,IF(F690="UNIQUE",PR!$BM688,IF(F690="VIXA",PR!$BN688,IF(F690="WWCV",PR!$BO688,IF(F690="ZOLON",PR!$BP688,"-"))))))))))))))))))))))))))))))))))))))))))))))))))))))))))))))))</f>
        <v>3000</v>
      </c>
      <c r="F690" s="102" t="str">
        <f>EV!L885</f>
        <v>COSMADE</v>
      </c>
      <c r="G690" s="108">
        <f>IF(H690="ALPHA",PR!$E688,IF(H690="ASSENE",PR!$F688,IF(H690="BIOFEM",PR!$G688,IF(H690="BIOMED",PR!$H688,IF(H690="CHI",PR!$I688,IF(H690="CLARION",PR!$J688,IF(H690="CODIX",PR!$K688,IF(H690="COSMADE",PR!$L688,IF(H690="SANCON",PR!$M688,IF(H690="DEVON",PR!$N688,IF(H690="DORTEMAG",PR!$O688,IF(H690="DGF",PR!$P688,IF(H690="DYNAMIC",PR!$Q688,IF(H690="EMZOR",PR!$R688,IF(H690="EUMATT",PR!$S688,IF(H690="FIDSON",PR!$T688,IF(H690="FCGLOBAL",PR!$U688,IF(H690="GENEITH",PR!$V688,IF(H690="GINOS",PR!$W688,IF(H690="GSK",PR!$X688,IF(H690="GLOBORG",PR!$Y688,IF(H690="GOODNEWS",PR!$Z688,IF(H690="GREENLIFE",PR!$AA688,IF(H690="HLINE",PR!$AB688,IF(H690="ROTECH",PR!$AC688,IF(H690="ISN",PR!$AD688,IF(H690="JAWA",PR!$AE688,IF(H690="LAYO",PR!$AF688,IF(H690="LEADWAY",PR!$AG688,IF(H690="LHV",PR!$AH688,IF(H690="MANOLA",PR!$AI688,IF(H690="MARCSON",PR!$AJ688,IF(H690="M&amp;B",PR!$AK688,IF(H690="MTRUST",PR!$AL688,IF(H690="MWORLD",PR!$AM688,IF(H690="MEGA",PR!$AN688,IF(H690="MICRONOVA",PR!$AO688,IF(H690="MFLASH",PR!$AP688,IF(H690="MORISON",PR!$AQ688,IF(H690="NEMEL",PR!$AR688,IF(H690="NHP",PR!$AS688,IF(H690="NHC",PR!$AT688,IF(H690="OLEAF",PR!$AU688,IF(H690="OCULUS",PR!$AV688,IF(H690="PACIFIC",PR!$AW688,IF(H690="PHAMATEX",PR!$AX688,IF(H690="PETHICS",PR!$AY688,IF(H690="PHILIPS",PR!$AZ688,IF(H690="RANBAXY",PR!$BA688,IF(H690="REALS",PR!$BB688,IF(H690="ROYAL",PR!$BC688,IF(H690="SAM",PR!$BD688,IF(H690="SEAGREEN",PR!$BE688,IF(H690="SKG",PR!$BF688,IF(H690="TAH",PR!$BG688,IF(H690="TAYLEK",PR!$BH688,IF(H690="TEMITA",PR!$BI688,IF(H690="THL",PR!$BJ688,IF(H690="UBASTIC",PR!$BK688,IF(H690="UNION",PR!$BL688,IF(H690="UNIQUE",PR!$BM688,IF(H690="VIXA",PR!$BN688,IF(H690="WWCV",PR!$BO688,IF(H690="ZOLON",PR!$BP688,"-"))))))))))))))))))))))))))))))))))))))))))))))))))))))))))))))))</f>
        <v>3200</v>
      </c>
      <c r="H690" s="102" t="str">
        <f>EV!M885</f>
        <v>EUMATT</v>
      </c>
      <c r="I690" s="108">
        <f>IF(J690="ALPHA",PR!$E688,IF(J690="ASSENE",PR!$F688,IF(J690="BIOFEM",PR!$G688,IF(J690="BIOMED",PR!$H688,IF(J690="CHI",PR!$I688,IF(J690="CLARION",PR!$J688,IF(J690="CODIX",PR!$K688,IF(J690="COSMADE",PR!$L688,IF(J690="SANCON",PR!$M688,IF(J690="DEVON",PR!$N688,IF(J690="DORTEMAG",PR!$O688,IF(J690="DGF",PR!$P688,IF(J690="DYNAMIC",PR!$Q688,IF(J690="EMZOR",PR!$R688,IF(J690="EUMATT",PR!$S688,IF(J690="FIDSON",PR!$T688,IF(J690="FCGLOBAL",PR!$U688,IF(J690="GENEITH",PR!$V688,IF(J690="GINOS",PR!$W688,IF(J690="GSK",PR!$X688,IF(J690="GLOBORG",PR!$Y688,IF(J690="GOODNEWS",PR!$Z688,IF(J690="GREENLIFE",PR!$AA688,IF(J690="HLINE",PR!$AB688,IF(J690="ROTECH",PR!$AC688,IF(J690="ISN",PR!$AD688,IF(J690="JAWA",PR!$AE688,IF(J690="LAYO",PR!$AF688,IF(J690="LEADWAY",PR!$AG688,IF(J690="LHV",PR!$AH688,IF(J690="MANOLA",PR!$AI688,IF(J690="MARCSON",PR!$AJ688,IF(J690="M&amp;B",PR!$AK688,IF(J690="MTRUST",PR!$AL688,IF(J690="MWORLD",PR!$AM688,IF(J690="MEGA",PR!$AN688,IF(J690="MICRONOVA",PR!$AO688,IF(J690="MFLASH",PR!$AP688,IF(J690="MORISON",PR!$AQ688,IF(J690="NEMEL",PR!$AR688,IF(J690="NHP",PR!$AS688,IF(J690="NHC",PR!$AT688,IF(J690="OLEAF",PR!$AU688,IF(J690="OCULUS",PR!$AV688,IF(J690="PACIFIC",PR!$AW688,IF(J690="PHAMATEX",PR!$AX688,IF(J690="PETHICS",PR!$AY688,IF(J690="PHILIPS",PR!$AZ688,IF(J690="RANBAXY",PR!$BA688,IF(J690="REALS",PR!$BB688,IF(J690="ROYAL",PR!$BC688,IF(J690="SAM",PR!$BD688,IF(J690="SEAGREEN",PR!$BE688,IF(J690="SKG",PR!$BF688,IF(J690="TAH",PR!$BG688,IF(J690="TAYLEK",PR!$BH688,IF(J690="TEMITA",PR!$BI688,IF(J690="THL",PR!$BJ688,IF(J690="UBASTIC",PR!$BK688,IF(J690="UNION",PR!$BL688,IF(J690="UNIQUE",PR!$BM688,IF(J690="VIXA",PR!$BN688,IF(J690="WWCV",PR!$BO688,IF(J690="ZOLON",PR!$BP688,"-"))))))))))))))))))))))))))))))))))))))))))))))))))))))))))))))))</f>
        <v>3360</v>
      </c>
      <c r="J690" s="102" t="str">
        <f>EV!N885</f>
        <v>SANCON</v>
      </c>
      <c r="K690" s="433" t="s">
        <v>2152</v>
      </c>
      <c r="L690" s="183" t="str">
        <f>IF(K690&gt;0,IF(K690="ALPHA",PR!$E688,IF(K690="ASSENE",PR!$F688,IF(K690="BIOFEM",PR!$G688,IF(K690="BIOMED",PR!$H688,IF(K690="CHI",PR!$I688,IF(K690="CLARION",PR!$J688,IF(K690="CODIX",PR!$K688,IF(K690="COSMADE",PR!$L688,IF(K690="SANCON",PR!$M688,IF(K690="DEVON",PR!$N688,IF(K690="DORTEMAG",PR!$O688,IF(K690="DGF",PR!$P688,IF(K690="DYNAMIC",PR!$Q688,IF(K690="EMZOR",PR!$R688,IF(K690="EUMATT",PR!$S688,IF(K690="FIDSON",PR!$T688,IF(K690="FCGLOBAL",PR!$U688,IF(K690="GENEITH",PR!$V688,IF(K690="GINOS",PR!$W688,IF(K690="GSK",PR!$X688,IF(K690="GLOBORG",PR!$Y688,IF(K690="GOODNEWS",PR!$Z688,IF(K690="GREENLIFE",PR!$AA688,IF(K690="HLINE",PR!$AB688,IF(K690="ROTECH",PR!$AC688,IF(K690="ISN",PR!$AD688,IF(K690="JAWA",PR!$AE688,IF(K690="LAYO",PR!$AF688,IF(K690="LEADWAY",PR!$AG688,IF(K690="LHV",PR!$AH688,IF(K690="MANOLA",PR!$AI688,IF(K690="MARCSON",PR!$AJ688,IF(K690="M&amp;B",PR!$AK688,IF(K690="MTRUST",PR!$AL688,IF(K690="MWORLD",PR!$AM688,IF(K690="MEGA",PR!$AN688,IF(K690="MICRONOVA",PR!$AO688,IF(K690="MFLASH",PR!$AP688,IF(K690="MORISON",PR!$AQ688,IF(K690="NEMEL",PR!$AR688,IF(K690="NHP",PR!$AS688,IF(K690="NHC",PR!$AT688,IF(K690="OLEAF",PR!$AU688,IF(K690="OCULUS",PR!$AV688,IF(K690="PACIFIC",PR!$AW688,IF(K690="PHAMATEX",PR!$AX688,IF(K690="PETHICS",PR!$AY688,IF(K690="PHILIPS",PR!$AZ688,IF(K690="RANBAXY",PR!$BA688,IF(K690="REALS",PR!$BB688,IF(K690="ROYAL",PR!$BC688,IF(K690="SAM",PR!$BD688,IF(K690="SEAGREEN",PR!$BE688,IF(K690="SKG",PR!$BF688,IF(K690="TAH",PR!$BG688,IF(K690="TAYLEK",PR!$BH688,IF(K690="TEMITA",PR!$BI688,IF(K690="THL",PR!$BJ688,IF(K690="UBASTIC",PR!$BK688,IF(K690="UNION",PR!$BL688,IF(K690="UNIQUE",PR!$BM688,IF(K690="VIXA",PR!$BN688,IF(K690="WWCV",PR!$BO688,IF(K690="ZOLON",PR!$BP688,"-")))))))))))))))))))))))))))))))))))))))))))))))))))))))))))))))))</f>
        <v>-</v>
      </c>
    </row>
    <row r="691" spans="1:12" ht="18.75" x14ac:dyDescent="0.3">
      <c r="A691" s="430">
        <f>PR!A689</f>
        <v>627</v>
      </c>
      <c r="B691" s="15" t="str">
        <f>PR!B689</f>
        <v>PLASTER 3"(7.5CM X 9.1M) BROWN</v>
      </c>
      <c r="C691" s="113">
        <f>PR!D689</f>
        <v>5</v>
      </c>
      <c r="D691" s="113">
        <f>PR!C689</f>
        <v>122</v>
      </c>
      <c r="E691" s="108">
        <f>IF(F691="ALPHA",PR!$E689,IF(F691="ASSENE",PR!$F689,IF(F691="BIOFEM",PR!$G689,IF(F691="BIOMED",PR!$H689,IF(F691="CHI",PR!$I689,IF(F691="CLARION",PR!$J689,IF(F691="CODIX",PR!$K689,IF(F691="COSMADE",PR!$L689,IF(F691="SANCON",PR!$M689,IF(F691="DEVON",PR!$N689,IF(F691="DORTEMAG",PR!$O689,IF(F691="DGF",PR!$P689,IF(F691="DYNAMIC",PR!$Q689,IF(F691="EMZOR",PR!$R689,IF(F691="EUMATT",PR!$S689,IF(F691="FIDSON",PR!$T689,IF(F691="FCGLOBAL",PR!$U689,IF(F691="GENEITH",PR!$V689,IF(F691="GINOS",PR!$W689,IF(F691="GSK",PR!$X689,IF(F691="GLOBORG",PR!$Y689,IF(F691="GOODNEWS",PR!$Z689,IF(F691="GREENLIFE",PR!$AA689,IF(F691="HLINE",PR!$AB689,IF(F691="ROTECH",PR!$AC689,IF(F691="ISN",PR!$AD689,IF(F691="JAWA",PR!$AE689,IF(F691="LAYO",PR!$AF689,IF(F691="LEADWAY",PR!$AG689,IF(F691="LHV",PR!$AH689,IF(F691="MANOLA",PR!$AI689,IF(F691="MARCSON",PR!$AJ689,IF(F691="M&amp;B",PR!$AK689,IF(F691="MTRUST",PR!$AL689,IF(F691="MWORLD",PR!$AM689,IF(F691="MEGA",PR!$AN689,IF(F691="MICRONOVA",PR!$AO689,IF(F691="MFLASH",PR!$AP689,IF(F691="MORISON",PR!$AQ689,IF(F691="NEMEL",PR!$AR689,IF(F691="NHP",PR!$AS689,IF(F691="NHC",PR!$AT689,IF(F691="OLEAF",PR!$AU689,IF(F691="OCULUS",PR!$AV689,IF(F691="PACIFIC",PR!$AW689,IF(F691="PHAMATEX",PR!$AX689,IF(F691="PETHICS",PR!$AY689,IF(F691="PHILIPS",PR!$AZ689,IF(F691="RANBAXY",PR!$BA689,IF(F691="REALS",PR!$BB689,IF(F691="ROYAL",PR!$BC689,IF(F691="SAM",PR!$BD689,IF(F691="SEAGREEN",PR!$BE689,IF(F691="SKG",PR!$BF689,IF(F691="TAH",PR!$BG689,IF(F691="TAYLEK",PR!$BH689,IF(F691="TEMITA",PR!$BI689,IF(F691="THL",PR!$BJ689,IF(F691="UBASTIC",PR!$BK689,IF(F691="UNION",PR!$BL689,IF(F691="UNIQUE",PR!$BM689,IF(F691="VIXA",PR!$BN689,IF(F691="WWCV",PR!$BO689,IF(F691="ZOLON",PR!$BP689,"-"))))))))))))))))))))))))))))))))))))))))))))))))))))))))))))))))</f>
        <v>2700</v>
      </c>
      <c r="F691" s="102" t="str">
        <f>EV!L886</f>
        <v>FCGLOBAL</v>
      </c>
      <c r="G691" s="108">
        <f>IF(H691="ALPHA",PR!$E689,IF(H691="ASSENE",PR!$F689,IF(H691="BIOFEM",PR!$G689,IF(H691="BIOMED",PR!$H689,IF(H691="CHI",PR!$I689,IF(H691="CLARION",PR!$J689,IF(H691="CODIX",PR!$K689,IF(H691="COSMADE",PR!$L689,IF(H691="SANCON",PR!$M689,IF(H691="DEVON",PR!$N689,IF(H691="DORTEMAG",PR!$O689,IF(H691="DGF",PR!$P689,IF(H691="DYNAMIC",PR!$Q689,IF(H691="EMZOR",PR!$R689,IF(H691="EUMATT",PR!$S689,IF(H691="FIDSON",PR!$T689,IF(H691="FCGLOBAL",PR!$U689,IF(H691="GENEITH",PR!$V689,IF(H691="GINOS",PR!$W689,IF(H691="GSK",PR!$X689,IF(H691="GLOBORG",PR!$Y689,IF(H691="GOODNEWS",PR!$Z689,IF(H691="GREENLIFE",PR!$AA689,IF(H691="HLINE",PR!$AB689,IF(H691="ROTECH",PR!$AC689,IF(H691="ISN",PR!$AD689,IF(H691="JAWA",PR!$AE689,IF(H691="LAYO",PR!$AF689,IF(H691="LEADWAY",PR!$AG689,IF(H691="LHV",PR!$AH689,IF(H691="MANOLA",PR!$AI689,IF(H691="MARCSON",PR!$AJ689,IF(H691="M&amp;B",PR!$AK689,IF(H691="MTRUST",PR!$AL689,IF(H691="MWORLD",PR!$AM689,IF(H691="MEGA",PR!$AN689,IF(H691="MICRONOVA",PR!$AO689,IF(H691="MFLASH",PR!$AP689,IF(H691="MORISON",PR!$AQ689,IF(H691="NEMEL",PR!$AR689,IF(H691="NHP",PR!$AS689,IF(H691="NHC",PR!$AT689,IF(H691="OLEAF",PR!$AU689,IF(H691="OCULUS",PR!$AV689,IF(H691="PACIFIC",PR!$AW689,IF(H691="PHAMATEX",PR!$AX689,IF(H691="PETHICS",PR!$AY689,IF(H691="PHILIPS",PR!$AZ689,IF(H691="RANBAXY",PR!$BA689,IF(H691="REALS",PR!$BB689,IF(H691="ROYAL",PR!$BC689,IF(H691="SAM",PR!$BD689,IF(H691="SEAGREEN",PR!$BE689,IF(H691="SKG",PR!$BF689,IF(H691="TAH",PR!$BG689,IF(H691="TAYLEK",PR!$BH689,IF(H691="TEMITA",PR!$BI689,IF(H691="THL",PR!$BJ689,IF(H691="UBASTIC",PR!$BK689,IF(H691="UNION",PR!$BL689,IF(H691="UNIQUE",PR!$BM689,IF(H691="VIXA",PR!$BN689,IF(H691="WWCV",PR!$BO689,IF(H691="ZOLON",PR!$BP689,"-"))))))))))))))))))))))))))))))))))))))))))))))))))))))))))))))))</f>
        <v>2900</v>
      </c>
      <c r="H691" s="102" t="str">
        <f>EV!M886</f>
        <v>EUMATT</v>
      </c>
      <c r="I691" s="108">
        <f>IF(J691="ALPHA",PR!$E689,IF(J691="ASSENE",PR!$F689,IF(J691="BIOFEM",PR!$G689,IF(J691="BIOMED",PR!$H689,IF(J691="CHI",PR!$I689,IF(J691="CLARION",PR!$J689,IF(J691="CODIX",PR!$K689,IF(J691="COSMADE",PR!$L689,IF(J691="SANCON",PR!$M689,IF(J691="DEVON",PR!$N689,IF(J691="DORTEMAG",PR!$O689,IF(J691="DGF",PR!$P689,IF(J691="DYNAMIC",PR!$Q689,IF(J691="EMZOR",PR!$R689,IF(J691="EUMATT",PR!$S689,IF(J691="FIDSON",PR!$T689,IF(J691="FCGLOBAL",PR!$U689,IF(J691="GENEITH",PR!$V689,IF(J691="GINOS",PR!$W689,IF(J691="GSK",PR!$X689,IF(J691="GLOBORG",PR!$Y689,IF(J691="GOODNEWS",PR!$Z689,IF(J691="GREENLIFE",PR!$AA689,IF(J691="HLINE",PR!$AB689,IF(J691="ROTECH",PR!$AC689,IF(J691="ISN",PR!$AD689,IF(J691="JAWA",PR!$AE689,IF(J691="LAYO",PR!$AF689,IF(J691="LEADWAY",PR!$AG689,IF(J691="LHV",PR!$AH689,IF(J691="MANOLA",PR!$AI689,IF(J691="MARCSON",PR!$AJ689,IF(J691="M&amp;B",PR!$AK689,IF(J691="MTRUST",PR!$AL689,IF(J691="MWORLD",PR!$AM689,IF(J691="MEGA",PR!$AN689,IF(J691="MICRONOVA",PR!$AO689,IF(J691="MFLASH",PR!$AP689,IF(J691="MORISON",PR!$AQ689,IF(J691="NEMEL",PR!$AR689,IF(J691="NHP",PR!$AS689,IF(J691="NHC",PR!$AT689,IF(J691="OLEAF",PR!$AU689,IF(J691="OCULUS",PR!$AV689,IF(J691="PACIFIC",PR!$AW689,IF(J691="PHAMATEX",PR!$AX689,IF(J691="PETHICS",PR!$AY689,IF(J691="PHILIPS",PR!$AZ689,IF(J691="RANBAXY",PR!$BA689,IF(J691="REALS",PR!$BB689,IF(J691="ROYAL",PR!$BC689,IF(J691="SAM",PR!$BD689,IF(J691="SEAGREEN",PR!$BE689,IF(J691="SKG",PR!$BF689,IF(J691="TAH",PR!$BG689,IF(J691="TAYLEK",PR!$BH689,IF(J691="TEMITA",PR!$BI689,IF(J691="THL",PR!$BJ689,IF(J691="UBASTIC",PR!$BK689,IF(J691="UNION",PR!$BL689,IF(J691="UNIQUE",PR!$BM689,IF(J691="VIXA",PR!$BN689,IF(J691="WWCV",PR!$BO689,IF(J691="ZOLON",PR!$BP689,"-"))))))))))))))))))))))))))))))))))))))))))))))))))))))))))))))))</f>
        <v>3000</v>
      </c>
      <c r="J691" s="102" t="str">
        <f>EV!N886</f>
        <v>COSMADE</v>
      </c>
      <c r="K691" s="433" t="s">
        <v>2153</v>
      </c>
      <c r="L691" s="183" t="str">
        <f>IF(K691&gt;0,IF(K691="ALPHA",PR!$E689,IF(K691="ASSENE",PR!$F689,IF(K691="BIOFEM",PR!$G689,IF(K691="BIOMED",PR!$H689,IF(K691="CHI",PR!$I689,IF(K691="CLARION",PR!$J689,IF(K691="CODIX",PR!$K689,IF(K691="COSMADE",PR!$L689,IF(K691="SANCON",PR!$M689,IF(K691="DEVON",PR!$N689,IF(K691="DORTEMAG",PR!$O689,IF(K691="DGF",PR!$P689,IF(K691="DYNAMIC",PR!$Q689,IF(K691="EMZOR",PR!$R689,IF(K691="EUMATT",PR!$S689,IF(K691="FIDSON",PR!$T689,IF(K691="FCGLOBAL",PR!$U689,IF(K691="GENEITH",PR!$V689,IF(K691="GINOS",PR!$W689,IF(K691="GSK",PR!$X689,IF(K691="GLOBORG",PR!$Y689,IF(K691="GOODNEWS",PR!$Z689,IF(K691="GREENLIFE",PR!$AA689,IF(K691="HLINE",PR!$AB689,IF(K691="ROTECH",PR!$AC689,IF(K691="ISN",PR!$AD689,IF(K691="JAWA",PR!$AE689,IF(K691="LAYO",PR!$AF689,IF(K691="LEADWAY",PR!$AG689,IF(K691="LHV",PR!$AH689,IF(K691="MANOLA",PR!$AI689,IF(K691="MARCSON",PR!$AJ689,IF(K691="M&amp;B",PR!$AK689,IF(K691="MTRUST",PR!$AL689,IF(K691="MWORLD",PR!$AM689,IF(K691="MEGA",PR!$AN689,IF(K691="MICRONOVA",PR!$AO689,IF(K691="MFLASH",PR!$AP689,IF(K691="MORISON",PR!$AQ689,IF(K691="NEMEL",PR!$AR689,IF(K691="NHP",PR!$AS689,IF(K691="NHC",PR!$AT689,IF(K691="OLEAF",PR!$AU689,IF(K691="OCULUS",PR!$AV689,IF(K691="PACIFIC",PR!$AW689,IF(K691="PHAMATEX",PR!$AX689,IF(K691="PETHICS",PR!$AY689,IF(K691="PHILIPS",PR!$AZ689,IF(K691="RANBAXY",PR!$BA689,IF(K691="REALS",PR!$BB689,IF(K691="ROYAL",PR!$BC689,IF(K691="SAM",PR!$BD689,IF(K691="SEAGREEN",PR!$BE689,IF(K691="SKG",PR!$BF689,IF(K691="TAH",PR!$BG689,IF(K691="TAYLEK",PR!$BH689,IF(K691="TEMITA",PR!$BI689,IF(K691="THL",PR!$BJ689,IF(K691="UBASTIC",PR!$BK689,IF(K691="UNION",PR!$BL689,IF(K691="UNIQUE",PR!$BM689,IF(K691="VIXA",PR!$BN689,IF(K691="WWCV",PR!$BO689,IF(K691="ZOLON",PR!$BP689,"-")))))))))))))))))))))))))))))))))))))))))))))))))))))))))))))))))</f>
        <v>-</v>
      </c>
    </row>
    <row r="692" spans="1:12" ht="18.75" x14ac:dyDescent="0.3">
      <c r="A692" s="430">
        <f>PR!A690</f>
        <v>628</v>
      </c>
      <c r="B692" s="15" t="str">
        <f>PR!B690</f>
        <v>PLASTER 4" (ZINC OXIDE)</v>
      </c>
      <c r="C692" s="113" t="str">
        <f>PR!D690</f>
        <v>PCS</v>
      </c>
      <c r="D692" s="113">
        <f>PR!C690</f>
        <v>100</v>
      </c>
      <c r="E692" s="108">
        <f>IF(F692="ALPHA",PR!$E690,IF(F692="ASSENE",PR!$F690,IF(F692="BIOFEM",PR!$G690,IF(F692="BIOMED",PR!$H690,IF(F692="CHI",PR!$I690,IF(F692="CLARION",PR!$J690,IF(F692="CODIX",PR!$K690,IF(F692="COSMADE",PR!$L690,IF(F692="SANCON",PR!$M690,IF(F692="DEVON",PR!$N690,IF(F692="DORTEMAG",PR!$O690,IF(F692="DGF",PR!$P690,IF(F692="DYNAMIC",PR!$Q690,IF(F692="EMZOR",PR!$R690,IF(F692="EUMATT",PR!$S690,IF(F692="FIDSON",PR!$T690,IF(F692="FCGLOBAL",PR!$U690,IF(F692="GENEITH",PR!$V690,IF(F692="GINOS",PR!$W690,IF(F692="GSK",PR!$X690,IF(F692="GLOBORG",PR!$Y690,IF(F692="GOODNEWS",PR!$Z690,IF(F692="GREENLIFE",PR!$AA690,IF(F692="HLINE",PR!$AB690,IF(F692="ROTECH",PR!$AC690,IF(F692="ISN",PR!$AD690,IF(F692="JAWA",PR!$AE690,IF(F692="LAYO",PR!$AF690,IF(F692="LEADWAY",PR!$AG690,IF(F692="LHV",PR!$AH690,IF(F692="MANOLA",PR!$AI690,IF(F692="MARCSON",PR!$AJ690,IF(F692="M&amp;B",PR!$AK690,IF(F692="MTRUST",PR!$AL690,IF(F692="MWORLD",PR!$AM690,IF(F692="MEGA",PR!$AN690,IF(F692="MICRONOVA",PR!$AO690,IF(F692="MFLASH",PR!$AP690,IF(F692="MORISON",PR!$AQ690,IF(F692="NEMEL",PR!$AR690,IF(F692="NHP",PR!$AS690,IF(F692="NHC",PR!$AT690,IF(F692="OLEAF",PR!$AU690,IF(F692="OCULUS",PR!$AV690,IF(F692="PACIFIC",PR!$AW690,IF(F692="PHAMATEX",PR!$AX690,IF(F692="PETHICS",PR!$AY690,IF(F692="PHILIPS",PR!$AZ690,IF(F692="RANBAXY",PR!$BA690,IF(F692="REALS",PR!$BB690,IF(F692="ROYAL",PR!$BC690,IF(F692="SAM",PR!$BD690,IF(F692="SEAGREEN",PR!$BE690,IF(F692="SKG",PR!$BF690,IF(F692="TAH",PR!$BG690,IF(F692="TAYLEK",PR!$BH690,IF(F692="TEMITA",PR!$BI690,IF(F692="THL",PR!$BJ690,IF(F692="UBASTIC",PR!$BK690,IF(F692="UNION",PR!$BL690,IF(F692="UNIQUE",PR!$BM690,IF(F692="VIXA",PR!$BN690,IF(F692="WWCV",PR!$BO690,IF(F692="ZOLON",PR!$BP690,"-"))))))))))))))))))))))))))))))))))))))))))))))))))))))))))))))))</f>
        <v>3000</v>
      </c>
      <c r="F692" s="102" t="str">
        <f>EV!L887</f>
        <v>COSMADE</v>
      </c>
      <c r="G692" s="108">
        <f>IF(H692="ALPHA",PR!$E690,IF(H692="ASSENE",PR!$F690,IF(H692="BIOFEM",PR!$G690,IF(H692="BIOMED",PR!$H690,IF(H692="CHI",PR!$I690,IF(H692="CLARION",PR!$J690,IF(H692="CODIX",PR!$K690,IF(H692="COSMADE",PR!$L690,IF(H692="SANCON",PR!$M690,IF(H692="DEVON",PR!$N690,IF(H692="DORTEMAG",PR!$O690,IF(H692="DGF",PR!$P690,IF(H692="DYNAMIC",PR!$Q690,IF(H692="EMZOR",PR!$R690,IF(H692="EUMATT",PR!$S690,IF(H692="FIDSON",PR!$T690,IF(H692="FCGLOBAL",PR!$U690,IF(H692="GENEITH",PR!$V690,IF(H692="GINOS",PR!$W690,IF(H692="GSK",PR!$X690,IF(H692="GLOBORG",PR!$Y690,IF(H692="GOODNEWS",PR!$Z690,IF(H692="GREENLIFE",PR!$AA690,IF(H692="HLINE",PR!$AB690,IF(H692="ROTECH",PR!$AC690,IF(H692="ISN",PR!$AD690,IF(H692="JAWA",PR!$AE690,IF(H692="LAYO",PR!$AF690,IF(H692="LEADWAY",PR!$AG690,IF(H692="LHV",PR!$AH690,IF(H692="MANOLA",PR!$AI690,IF(H692="MARCSON",PR!$AJ690,IF(H692="M&amp;B",PR!$AK690,IF(H692="MTRUST",PR!$AL690,IF(H692="MWORLD",PR!$AM690,IF(H692="MEGA",PR!$AN690,IF(H692="MICRONOVA",PR!$AO690,IF(H692="MFLASH",PR!$AP690,IF(H692="MORISON",PR!$AQ690,IF(H692="NEMEL",PR!$AR690,IF(H692="NHP",PR!$AS690,IF(H692="NHC",PR!$AT690,IF(H692="OLEAF",PR!$AU690,IF(H692="OCULUS",PR!$AV690,IF(H692="PACIFIC",PR!$AW690,IF(H692="PHAMATEX",PR!$AX690,IF(H692="PETHICS",PR!$AY690,IF(H692="PHILIPS",PR!$AZ690,IF(H692="RANBAXY",PR!$BA690,IF(H692="REALS",PR!$BB690,IF(H692="ROYAL",PR!$BC690,IF(H692="SAM",PR!$BD690,IF(H692="SEAGREEN",PR!$BE690,IF(H692="SKG",PR!$BF690,IF(H692="TAH",PR!$BG690,IF(H692="TAYLEK",PR!$BH690,IF(H692="TEMITA",PR!$BI690,IF(H692="THL",PR!$BJ690,IF(H692="UBASTIC",PR!$BK690,IF(H692="UNION",PR!$BL690,IF(H692="UNIQUE",PR!$BM690,IF(H692="VIXA",PR!$BN690,IF(H692="WWCV",PR!$BO690,IF(H692="ZOLON",PR!$BP690,"-"))))))))))))))))))))))))))))))))))))))))))))))))))))))))))))))))</f>
        <v>3200</v>
      </c>
      <c r="H692" s="102" t="str">
        <f>EV!M887</f>
        <v>EUMATT</v>
      </c>
      <c r="I692" s="108">
        <f>IF(J692="ALPHA",PR!$E690,IF(J692="ASSENE",PR!$F690,IF(J692="BIOFEM",PR!$G690,IF(J692="BIOMED",PR!$H690,IF(J692="CHI",PR!$I690,IF(J692="CLARION",PR!$J690,IF(J692="CODIX",PR!$K690,IF(J692="COSMADE",PR!$L690,IF(J692="SANCON",PR!$M690,IF(J692="DEVON",PR!$N690,IF(J692="DORTEMAG",PR!$O690,IF(J692="DGF",PR!$P690,IF(J692="DYNAMIC",PR!$Q690,IF(J692="EMZOR",PR!$R690,IF(J692="EUMATT",PR!$S690,IF(J692="FIDSON",PR!$T690,IF(J692="FCGLOBAL",PR!$U690,IF(J692="GENEITH",PR!$V690,IF(J692="GINOS",PR!$W690,IF(J692="GSK",PR!$X690,IF(J692="GLOBORG",PR!$Y690,IF(J692="GOODNEWS",PR!$Z690,IF(J692="GREENLIFE",PR!$AA690,IF(J692="HLINE",PR!$AB690,IF(J692="ROTECH",PR!$AC690,IF(J692="ISN",PR!$AD690,IF(J692="JAWA",PR!$AE690,IF(J692="LAYO",PR!$AF690,IF(J692="LEADWAY",PR!$AG690,IF(J692="LHV",PR!$AH690,IF(J692="MANOLA",PR!$AI690,IF(J692="MARCSON",PR!$AJ690,IF(J692="M&amp;B",PR!$AK690,IF(J692="MTRUST",PR!$AL690,IF(J692="MWORLD",PR!$AM690,IF(J692="MEGA",PR!$AN690,IF(J692="MICRONOVA",PR!$AO690,IF(J692="MFLASH",PR!$AP690,IF(J692="MORISON",PR!$AQ690,IF(J692="NEMEL",PR!$AR690,IF(J692="NHP",PR!$AS690,IF(J692="NHC",PR!$AT690,IF(J692="OLEAF",PR!$AU690,IF(J692="OCULUS",PR!$AV690,IF(J692="PACIFIC",PR!$AW690,IF(J692="PHAMATEX",PR!$AX690,IF(J692="PETHICS",PR!$AY690,IF(J692="PHILIPS",PR!$AZ690,IF(J692="RANBAXY",PR!$BA690,IF(J692="REALS",PR!$BB690,IF(J692="ROYAL",PR!$BC690,IF(J692="SAM",PR!$BD690,IF(J692="SEAGREEN",PR!$BE690,IF(J692="SKG",PR!$BF690,IF(J692="TAH",PR!$BG690,IF(J692="TAYLEK",PR!$BH690,IF(J692="TEMITA",PR!$BI690,IF(J692="THL",PR!$BJ690,IF(J692="UBASTIC",PR!$BK690,IF(J692="UNION",PR!$BL690,IF(J692="UNIQUE",PR!$BM690,IF(J692="VIXA",PR!$BN690,IF(J692="WWCV",PR!$BO690,IF(J692="ZOLON",PR!$BP690,"-"))))))))))))))))))))))))))))))))))))))))))))))))))))))))))))))))</f>
        <v>8150</v>
      </c>
      <c r="J692" s="102" t="str">
        <f>EV!N887</f>
        <v>SANCON</v>
      </c>
      <c r="K692" s="433" t="s">
        <v>1452</v>
      </c>
      <c r="L692" s="183">
        <f>IF(K692&gt;0,IF(K692="ALPHA",PR!$E690,IF(K692="ASSENE",PR!$F690,IF(K692="BIOFEM",PR!$G690,IF(K692="BIOMED",PR!$H690,IF(K692="CHI",PR!$I690,IF(K692="CLARION",PR!$J690,IF(K692="CODIX",PR!$K690,IF(K692="COSMADE",PR!$L690,IF(K692="SANCON",PR!$M690,IF(K692="DEVON",PR!$N690,IF(K692="DORTEMAG",PR!$O690,IF(K692="DGF",PR!$P690,IF(K692="DYNAMIC",PR!$Q690,IF(K692="EMZOR",PR!$R690,IF(K692="EUMATT",PR!$S690,IF(K692="FIDSON",PR!$T690,IF(K692="FCGLOBAL",PR!$U690,IF(K692="GENEITH",PR!$V690,IF(K692="GINOS",PR!$W690,IF(K692="GSK",PR!$X690,IF(K692="GLOBORG",PR!$Y690,IF(K692="GOODNEWS",PR!$Z690,IF(K692="GREENLIFE",PR!$AA690,IF(K692="HLINE",PR!$AB690,IF(K692="ROTECH",PR!$AC690,IF(K692="ISN",PR!$AD690,IF(K692="JAWA",PR!$AE690,IF(K692="LAYO",PR!$AF690,IF(K692="LEADWAY",PR!$AG690,IF(K692="LHV",PR!$AH690,IF(K692="MANOLA",PR!$AI690,IF(K692="MARCSON",PR!$AJ690,IF(K692="M&amp;B",PR!$AK690,IF(K692="MTRUST",PR!$AL690,IF(K692="MWORLD",PR!$AM690,IF(K692="MEGA",PR!$AN690,IF(K692="MICRONOVA",PR!$AO690,IF(K692="MFLASH",PR!$AP690,IF(K692="MORISON",PR!$AQ690,IF(K692="NEMEL",PR!$AR690,IF(K692="NHP",PR!$AS690,IF(K692="NHC",PR!$AT690,IF(K692="OLEAF",PR!$AU690,IF(K692="OCULUS",PR!$AV690,IF(K692="PACIFIC",PR!$AW690,IF(K692="PHAMATEX",PR!$AX690,IF(K692="PETHICS",PR!$AY690,IF(K692="PHILIPS",PR!$AZ690,IF(K692="RANBAXY",PR!$BA690,IF(K692="REALS",PR!$BB690,IF(K692="ROYAL",PR!$BC690,IF(K692="SAM",PR!$BD690,IF(K692="SEAGREEN",PR!$BE690,IF(K692="SKG",PR!$BF690,IF(K692="TAH",PR!$BG690,IF(K692="TAYLEK",PR!$BH690,IF(K692="TEMITA",PR!$BI690,IF(K692="THL",PR!$BJ690,IF(K692="UBASTIC",PR!$BK690,IF(K692="UNION",PR!$BL690,IF(K692="UNIQUE",PR!$BM690,IF(K692="VIXA",PR!$BN690,IF(K692="WWCV",PR!$BO690,IF(K692="ZOLON",PR!$BP690,"-")))))))))))))))))))))))))))))))))))))))))))))))))))))))))))))))))</f>
        <v>3000</v>
      </c>
    </row>
    <row r="693" spans="1:12" ht="18.75" x14ac:dyDescent="0.3">
      <c r="A693" s="430">
        <f>PR!A691</f>
        <v>629</v>
      </c>
      <c r="B693" s="15" t="str">
        <f>PR!B691</f>
        <v>POP 6" (GYPSONA)</v>
      </c>
      <c r="C693" s="113">
        <f>PR!D691</f>
        <v>12</v>
      </c>
      <c r="D693" s="113">
        <f>PR!C691</f>
        <v>40</v>
      </c>
      <c r="E693" s="108">
        <f>IF(F693="ALPHA",PR!$E691,IF(F693="ASSENE",PR!$F691,IF(F693="BIOFEM",PR!$G691,IF(F693="BIOMED",PR!$H691,IF(F693="CHI",PR!$I691,IF(F693="CLARION",PR!$J691,IF(F693="CODIX",PR!$K691,IF(F693="COSMADE",PR!$L691,IF(F693="SANCON",PR!$M691,IF(F693="DEVON",PR!$N691,IF(F693="DORTEMAG",PR!$O691,IF(F693="DGF",PR!$P691,IF(F693="DYNAMIC",PR!$Q691,IF(F693="EMZOR",PR!$R691,IF(F693="EUMATT",PR!$S691,IF(F693="FIDSON",PR!$T691,IF(F693="FCGLOBAL",PR!$U691,IF(F693="GENEITH",PR!$V691,IF(F693="GINOS",PR!$W691,IF(F693="GSK",PR!$X691,IF(F693="GLOBORG",PR!$Y691,IF(F693="GOODNEWS",PR!$Z691,IF(F693="GREENLIFE",PR!$AA691,IF(F693="HLINE",PR!$AB691,IF(F693="ROTECH",PR!$AC691,IF(F693="ISN",PR!$AD691,IF(F693="JAWA",PR!$AE691,IF(F693="LAYO",PR!$AF691,IF(F693="LEADWAY",PR!$AG691,IF(F693="LHV",PR!$AH691,IF(F693="MANOLA",PR!$AI691,IF(F693="MARCSON",PR!$AJ691,IF(F693="M&amp;B",PR!$AK691,IF(F693="MTRUST",PR!$AL691,IF(F693="MWORLD",PR!$AM691,IF(F693="MEGA",PR!$AN691,IF(F693="MICRONOVA",PR!$AO691,IF(F693="MFLASH",PR!$AP691,IF(F693="MORISON",PR!$AQ691,IF(F693="NEMEL",PR!$AR691,IF(F693="NHP",PR!$AS691,IF(F693="NHC",PR!$AT691,IF(F693="OLEAF",PR!$AU691,IF(F693="OCULUS",PR!$AV691,IF(F693="PACIFIC",PR!$AW691,IF(F693="PHAMATEX",PR!$AX691,IF(F693="PETHICS",PR!$AY691,IF(F693="PHILIPS",PR!$AZ691,IF(F693="RANBAXY",PR!$BA691,IF(F693="REALS",PR!$BB691,IF(F693="ROYAL",PR!$BC691,IF(F693="SAM",PR!$BD691,IF(F693="SEAGREEN",PR!$BE691,IF(F693="SKG",PR!$BF691,IF(F693="TAH",PR!$BG691,IF(F693="TAYLEK",PR!$BH691,IF(F693="TEMITA",PR!$BI691,IF(F693="THL",PR!$BJ691,IF(F693="UBASTIC",PR!$BK691,IF(F693="UNION",PR!$BL691,IF(F693="UNIQUE",PR!$BM691,IF(F693="VIXA",PR!$BN691,IF(F693="WWCV",PR!$BO691,IF(F693="ZOLON",PR!$BP691,"-"))))))))))))))))))))))))))))))))))))))))))))))))))))))))))))))))</f>
        <v>2400</v>
      </c>
      <c r="F693" s="102" t="str">
        <f>EV!L888</f>
        <v>SANCON</v>
      </c>
      <c r="G693" s="108">
        <f>IF(H693="ALPHA",PR!$E691,IF(H693="ASSENE",PR!$F691,IF(H693="BIOFEM",PR!$G691,IF(H693="BIOMED",PR!$H691,IF(H693="CHI",PR!$I691,IF(H693="CLARION",PR!$J691,IF(H693="CODIX",PR!$K691,IF(H693="COSMADE",PR!$L691,IF(H693="SANCON",PR!$M691,IF(H693="DEVON",PR!$N691,IF(H693="DORTEMAG",PR!$O691,IF(H693="DGF",PR!$P691,IF(H693="DYNAMIC",PR!$Q691,IF(H693="EMZOR",PR!$R691,IF(H693="EUMATT",PR!$S691,IF(H693="FIDSON",PR!$T691,IF(H693="FCGLOBAL",PR!$U691,IF(H693="GENEITH",PR!$V691,IF(H693="GINOS",PR!$W691,IF(H693="GSK",PR!$X691,IF(H693="GLOBORG",PR!$Y691,IF(H693="GOODNEWS",PR!$Z691,IF(H693="GREENLIFE",PR!$AA691,IF(H693="HLINE",PR!$AB691,IF(H693="ROTECH",PR!$AC691,IF(H693="ISN",PR!$AD691,IF(H693="JAWA",PR!$AE691,IF(H693="LAYO",PR!$AF691,IF(H693="LEADWAY",PR!$AG691,IF(H693="LHV",PR!$AH691,IF(H693="MANOLA",PR!$AI691,IF(H693="MARCSON",PR!$AJ691,IF(H693="M&amp;B",PR!$AK691,IF(H693="MTRUST",PR!$AL691,IF(H693="MWORLD",PR!$AM691,IF(H693="MEGA",PR!$AN691,IF(H693="MICRONOVA",PR!$AO691,IF(H693="MFLASH",PR!$AP691,IF(H693="MORISON",PR!$AQ691,IF(H693="NEMEL",PR!$AR691,IF(H693="NHP",PR!$AS691,IF(H693="NHC",PR!$AT691,IF(H693="OLEAF",PR!$AU691,IF(H693="OCULUS",PR!$AV691,IF(H693="PACIFIC",PR!$AW691,IF(H693="PHAMATEX",PR!$AX691,IF(H693="PETHICS",PR!$AY691,IF(H693="PHILIPS",PR!$AZ691,IF(H693="RANBAXY",PR!$BA691,IF(H693="REALS",PR!$BB691,IF(H693="ROYAL",PR!$BC691,IF(H693="SAM",PR!$BD691,IF(H693="SEAGREEN",PR!$BE691,IF(H693="SKG",PR!$BF691,IF(H693="TAH",PR!$BG691,IF(H693="TAYLEK",PR!$BH691,IF(H693="TEMITA",PR!$BI691,IF(H693="THL",PR!$BJ691,IF(H693="UBASTIC",PR!$BK691,IF(H693="UNION",PR!$BL691,IF(H693="UNIQUE",PR!$BM691,IF(H693="VIXA",PR!$BN691,IF(H693="WWCV",PR!$BO691,IF(H693="ZOLON",PR!$BP691,"-"))))))))))))))))))))))))))))))))))))))))))))))))))))))))))))))))</f>
        <v>2800</v>
      </c>
      <c r="H693" s="102" t="str">
        <f>EV!M888</f>
        <v>FCGLOBAL</v>
      </c>
      <c r="I693" s="108">
        <f>IF(J693="ALPHA",PR!$E691,IF(J693="ASSENE",PR!$F691,IF(J693="BIOFEM",PR!$G691,IF(J693="BIOMED",PR!$H691,IF(J693="CHI",PR!$I691,IF(J693="CLARION",PR!$J691,IF(J693="CODIX",PR!$K691,IF(J693="COSMADE",PR!$L691,IF(J693="SANCON",PR!$M691,IF(J693="DEVON",PR!$N691,IF(J693="DORTEMAG",PR!$O691,IF(J693="DGF",PR!$P691,IF(J693="DYNAMIC",PR!$Q691,IF(J693="EMZOR",PR!$R691,IF(J693="EUMATT",PR!$S691,IF(J693="FIDSON",PR!$T691,IF(J693="FCGLOBAL",PR!$U691,IF(J693="GENEITH",PR!$V691,IF(J693="GINOS",PR!$W691,IF(J693="GSK",PR!$X691,IF(J693="GLOBORG",PR!$Y691,IF(J693="GOODNEWS",PR!$Z691,IF(J693="GREENLIFE",PR!$AA691,IF(J693="HLINE",PR!$AB691,IF(J693="ROTECH",PR!$AC691,IF(J693="ISN",PR!$AD691,IF(J693="JAWA",PR!$AE691,IF(J693="LAYO",PR!$AF691,IF(J693="LEADWAY",PR!$AG691,IF(J693="LHV",PR!$AH691,IF(J693="MANOLA",PR!$AI691,IF(J693="MARCSON",PR!$AJ691,IF(J693="M&amp;B",PR!$AK691,IF(J693="MTRUST",PR!$AL691,IF(J693="MWORLD",PR!$AM691,IF(J693="MEGA",PR!$AN691,IF(J693="MICRONOVA",PR!$AO691,IF(J693="MFLASH",PR!$AP691,IF(J693="MORISON",PR!$AQ691,IF(J693="NEMEL",PR!$AR691,IF(J693="NHP",PR!$AS691,IF(J693="NHC",PR!$AT691,IF(J693="OLEAF",PR!$AU691,IF(J693="OCULUS",PR!$AV691,IF(J693="PACIFIC",PR!$AW691,IF(J693="PHAMATEX",PR!$AX691,IF(J693="PETHICS",PR!$AY691,IF(J693="PHILIPS",PR!$AZ691,IF(J693="RANBAXY",PR!$BA691,IF(J693="REALS",PR!$BB691,IF(J693="ROYAL",PR!$BC691,IF(J693="SAM",PR!$BD691,IF(J693="SEAGREEN",PR!$BE691,IF(J693="SKG",PR!$BF691,IF(J693="TAH",PR!$BG691,IF(J693="TAYLEK",PR!$BH691,IF(J693="TEMITA",PR!$BI691,IF(J693="THL",PR!$BJ691,IF(J693="UBASTIC",PR!$BK691,IF(J693="UNION",PR!$BL691,IF(J693="UNIQUE",PR!$BM691,IF(J693="VIXA",PR!$BN691,IF(J693="WWCV",PR!$BO691,IF(J693="ZOLON",PR!$BP691,"-"))))))))))))))))))))))))))))))))))))))))))))))))))))))))))))))))</f>
        <v>3500</v>
      </c>
      <c r="J693" s="102" t="str">
        <f>EV!N888</f>
        <v>COSMADE</v>
      </c>
      <c r="K693" s="433" t="s">
        <v>821</v>
      </c>
      <c r="L693" s="183">
        <f>IF(K693&gt;0,IF(K693="ALPHA",PR!$E691,IF(K693="ASSENE",PR!$F691,IF(K693="BIOFEM",PR!$G691,IF(K693="BIOMED",PR!$H691,IF(K693="CHI",PR!$I691,IF(K693="CLARION",PR!$J691,IF(K693="CODIX",PR!$K691,IF(K693="COSMADE",PR!$L691,IF(K693="SANCON",PR!$M691,IF(K693="DEVON",PR!$N691,IF(K693="DORTEMAG",PR!$O691,IF(K693="DGF",PR!$P691,IF(K693="DYNAMIC",PR!$Q691,IF(K693="EMZOR",PR!$R691,IF(K693="EUMATT",PR!$S691,IF(K693="FIDSON",PR!$T691,IF(K693="FCGLOBAL",PR!$U691,IF(K693="GENEITH",PR!$V691,IF(K693="GINOS",PR!$W691,IF(K693="GSK",PR!$X691,IF(K693="GLOBORG",PR!$Y691,IF(K693="GOODNEWS",PR!$Z691,IF(K693="GREENLIFE",PR!$AA691,IF(K693="HLINE",PR!$AB691,IF(K693="ROTECH",PR!$AC691,IF(K693="ISN",PR!$AD691,IF(K693="JAWA",PR!$AE691,IF(K693="LAYO",PR!$AF691,IF(K693="LEADWAY",PR!$AG691,IF(K693="LHV",PR!$AH691,IF(K693="MANOLA",PR!$AI691,IF(K693="MARCSON",PR!$AJ691,IF(K693="M&amp;B",PR!$AK691,IF(K693="MTRUST",PR!$AL691,IF(K693="MWORLD",PR!$AM691,IF(K693="MEGA",PR!$AN691,IF(K693="MICRONOVA",PR!$AO691,IF(K693="MFLASH",PR!$AP691,IF(K693="MORISON",PR!$AQ691,IF(K693="NEMEL",PR!$AR691,IF(K693="NHP",PR!$AS691,IF(K693="NHC",PR!$AT691,IF(K693="OLEAF",PR!$AU691,IF(K693="OCULUS",PR!$AV691,IF(K693="PACIFIC",PR!$AW691,IF(K693="PHAMATEX",PR!$AX691,IF(K693="PETHICS",PR!$AY691,IF(K693="PHILIPS",PR!$AZ691,IF(K693="RANBAXY",PR!$BA691,IF(K693="REALS",PR!$BB691,IF(K693="ROYAL",PR!$BC691,IF(K693="SAM",PR!$BD691,IF(K693="SEAGREEN",PR!$BE691,IF(K693="SKG",PR!$BF691,IF(K693="TAH",PR!$BG691,IF(K693="TAYLEK",PR!$BH691,IF(K693="TEMITA",PR!$BI691,IF(K693="THL",PR!$BJ691,IF(K693="UBASTIC",PR!$BK691,IF(K693="UNION",PR!$BL691,IF(K693="UNIQUE",PR!$BM691,IF(K693="VIXA",PR!$BN691,IF(K693="WWCV",PR!$BO691,IF(K693="ZOLON",PR!$BP691,"-")))))))))))))))))))))))))))))))))))))))))))))))))))))))))))))))))</f>
        <v>12000</v>
      </c>
    </row>
    <row r="694" spans="1:12" ht="18.75" x14ac:dyDescent="0.3">
      <c r="A694" s="430">
        <f>PR!A692</f>
        <v>630</v>
      </c>
      <c r="B694" s="15" t="str">
        <f>PR!B692</f>
        <v>GAUZE ROLL 500G  (90CM X 100 YARD) CUTISOFT BSN</v>
      </c>
      <c r="C694" s="113" t="str">
        <f>PR!D692</f>
        <v>PCS</v>
      </c>
      <c r="D694" s="113">
        <f>PR!C692</f>
        <v>3000</v>
      </c>
      <c r="E694" s="108">
        <f>IF(F694="ALPHA",PR!$E692,IF(F694="ASSENE",PR!$F692,IF(F694="BIOFEM",PR!$G692,IF(F694="BIOMED",PR!$H692,IF(F694="CHI",PR!$I692,IF(F694="CLARION",PR!$J692,IF(F694="CODIX",PR!$K692,IF(F694="COSMADE",PR!$L692,IF(F694="SANCON",PR!$M692,IF(F694="DEVON",PR!$N692,IF(F694="DORTEMAG",PR!$O692,IF(F694="DGF",PR!$P692,IF(F694="DYNAMIC",PR!$Q692,IF(F694="EMZOR",PR!$R692,IF(F694="EUMATT",PR!$S692,IF(F694="FIDSON",PR!$T692,IF(F694="FCGLOBAL",PR!$U692,IF(F694="GENEITH",PR!$V692,IF(F694="GINOS",PR!$W692,IF(F694="GSK",PR!$X692,IF(F694="GLOBORG",PR!$Y692,IF(F694="GOODNEWS",PR!$Z692,IF(F694="GREENLIFE",PR!$AA692,IF(F694="HLINE",PR!$AB692,IF(F694="ROTECH",PR!$AC692,IF(F694="ISN",PR!$AD692,IF(F694="JAWA",PR!$AE692,IF(F694="LAYO",PR!$AF692,IF(F694="LEADWAY",PR!$AG692,IF(F694="LHV",PR!$AH692,IF(F694="MANOLA",PR!$AI692,IF(F694="MARCSON",PR!$AJ692,IF(F694="M&amp;B",PR!$AK692,IF(F694="MTRUST",PR!$AL692,IF(F694="MWORLD",PR!$AM692,IF(F694="MEGA",PR!$AN692,IF(F694="MICRONOVA",PR!$AO692,IF(F694="MFLASH",PR!$AP692,IF(F694="MORISON",PR!$AQ692,IF(F694="NEMEL",PR!$AR692,IF(F694="NHP",PR!$AS692,IF(F694="NHC",PR!$AT692,IF(F694="OLEAF",PR!$AU692,IF(F694="OCULUS",PR!$AV692,IF(F694="PACIFIC",PR!$AW692,IF(F694="PHAMATEX",PR!$AX692,IF(F694="PETHICS",PR!$AY692,IF(F694="PHILIPS",PR!$AZ692,IF(F694="RANBAXY",PR!$BA692,IF(F694="REALS",PR!$BB692,IF(F694="ROYAL",PR!$BC692,IF(F694="SAM",PR!$BD692,IF(F694="SEAGREEN",PR!$BE692,IF(F694="SKG",PR!$BF692,IF(F694="TAH",PR!$BG692,IF(F694="TAYLEK",PR!$BH692,IF(F694="TEMITA",PR!$BI692,IF(F694="THL",PR!$BJ692,IF(F694="UBASTIC",PR!$BK692,IF(F694="UNION",PR!$BL692,IF(F694="UNIQUE",PR!$BM692,IF(F694="VIXA",PR!$BN692,IF(F694="WWCV",PR!$BO692,IF(F694="ZOLON",PR!$BP692,"-"))))))))))))))))))))))))))))))))))))))))))))))))))))))))))))))))</f>
        <v>2000</v>
      </c>
      <c r="F694" s="102" t="str">
        <f>EV!L889</f>
        <v>COSMADE</v>
      </c>
      <c r="G694" s="108">
        <f>IF(H694="ALPHA",PR!$E692,IF(H694="ASSENE",PR!$F692,IF(H694="BIOFEM",PR!$G692,IF(H694="BIOMED",PR!$H692,IF(H694="CHI",PR!$I692,IF(H694="CLARION",PR!$J692,IF(H694="CODIX",PR!$K692,IF(H694="COSMADE",PR!$L692,IF(H694="SANCON",PR!$M692,IF(H694="DEVON",PR!$N692,IF(H694="DORTEMAG",PR!$O692,IF(H694="DGF",PR!$P692,IF(H694="DYNAMIC",PR!$Q692,IF(H694="EMZOR",PR!$R692,IF(H694="EUMATT",PR!$S692,IF(H694="FIDSON",PR!$T692,IF(H694="FCGLOBAL",PR!$U692,IF(H694="GENEITH",PR!$V692,IF(H694="GINOS",PR!$W692,IF(H694="GSK",PR!$X692,IF(H694="GLOBORG",PR!$Y692,IF(H694="GOODNEWS",PR!$Z692,IF(H694="GREENLIFE",PR!$AA692,IF(H694="HLINE",PR!$AB692,IF(H694="ROTECH",PR!$AC692,IF(H694="ISN",PR!$AD692,IF(H694="JAWA",PR!$AE692,IF(H694="LAYO",PR!$AF692,IF(H694="LEADWAY",PR!$AG692,IF(H694="LHV",PR!$AH692,IF(H694="MANOLA",PR!$AI692,IF(H694="MARCSON",PR!$AJ692,IF(H694="M&amp;B",PR!$AK692,IF(H694="MTRUST",PR!$AL692,IF(H694="MWORLD",PR!$AM692,IF(H694="MEGA",PR!$AN692,IF(H694="MICRONOVA",PR!$AO692,IF(H694="MFLASH",PR!$AP692,IF(H694="MORISON",PR!$AQ692,IF(H694="NEMEL",PR!$AR692,IF(H694="NHP",PR!$AS692,IF(H694="NHC",PR!$AT692,IF(H694="OLEAF",PR!$AU692,IF(H694="OCULUS",PR!$AV692,IF(H694="PACIFIC",PR!$AW692,IF(H694="PHAMATEX",PR!$AX692,IF(H694="PETHICS",PR!$AY692,IF(H694="PHILIPS",PR!$AZ692,IF(H694="RANBAXY",PR!$BA692,IF(H694="REALS",PR!$BB692,IF(H694="ROYAL",PR!$BC692,IF(H694="SAM",PR!$BD692,IF(H694="SEAGREEN",PR!$BE692,IF(H694="SKG",PR!$BF692,IF(H694="TAH",PR!$BG692,IF(H694="TAYLEK",PR!$BH692,IF(H694="TEMITA",PR!$BI692,IF(H694="THL",PR!$BJ692,IF(H694="UBASTIC",PR!$BK692,IF(H694="UNION",PR!$BL692,IF(H694="UNIQUE",PR!$BM692,IF(H694="VIXA",PR!$BN692,IF(H694="WWCV",PR!$BO692,IF(H694="ZOLON",PR!$BP692,"-"))))))))))))))))))))))))))))))))))))))))))))))))))))))))))))))))</f>
        <v>2100</v>
      </c>
      <c r="H694" s="102" t="str">
        <f>EV!M889</f>
        <v>SANCON</v>
      </c>
      <c r="I694" s="108">
        <f>IF(J694="ALPHA",PR!$E692,IF(J694="ASSENE",PR!$F692,IF(J694="BIOFEM",PR!$G692,IF(J694="BIOMED",PR!$H692,IF(J694="CHI",PR!$I692,IF(J694="CLARION",PR!$J692,IF(J694="CODIX",PR!$K692,IF(J694="COSMADE",PR!$L692,IF(J694="SANCON",PR!$M692,IF(J694="DEVON",PR!$N692,IF(J694="DORTEMAG",PR!$O692,IF(J694="DGF",PR!$P692,IF(J694="DYNAMIC",PR!$Q692,IF(J694="EMZOR",PR!$R692,IF(J694="EUMATT",PR!$S692,IF(J694="FIDSON",PR!$T692,IF(J694="FCGLOBAL",PR!$U692,IF(J694="GENEITH",PR!$V692,IF(J694="GINOS",PR!$W692,IF(J694="GSK",PR!$X692,IF(J694="GLOBORG",PR!$Y692,IF(J694="GOODNEWS",PR!$Z692,IF(J694="GREENLIFE",PR!$AA692,IF(J694="HLINE",PR!$AB692,IF(J694="ROTECH",PR!$AC692,IF(J694="ISN",PR!$AD692,IF(J694="JAWA",PR!$AE692,IF(J694="LAYO",PR!$AF692,IF(J694="LEADWAY",PR!$AG692,IF(J694="LHV",PR!$AH692,IF(J694="MANOLA",PR!$AI692,IF(J694="MARCSON",PR!$AJ692,IF(J694="M&amp;B",PR!$AK692,IF(J694="MTRUST",PR!$AL692,IF(J694="MWORLD",PR!$AM692,IF(J694="MEGA",PR!$AN692,IF(J694="MICRONOVA",PR!$AO692,IF(J694="MFLASH",PR!$AP692,IF(J694="MORISON",PR!$AQ692,IF(J694="NEMEL",PR!$AR692,IF(J694="NHP",PR!$AS692,IF(J694="NHC",PR!$AT692,IF(J694="OLEAF",PR!$AU692,IF(J694="OCULUS",PR!$AV692,IF(J694="PACIFIC",PR!$AW692,IF(J694="PHAMATEX",PR!$AX692,IF(J694="PETHICS",PR!$AY692,IF(J694="PHILIPS",PR!$AZ692,IF(J694="RANBAXY",PR!$BA692,IF(J694="REALS",PR!$BB692,IF(J694="ROYAL",PR!$BC692,IF(J694="SAM",PR!$BD692,IF(J694="SEAGREEN",PR!$BE692,IF(J694="SKG",PR!$BF692,IF(J694="TAH",PR!$BG692,IF(J694="TAYLEK",PR!$BH692,IF(J694="TEMITA",PR!$BI692,IF(J694="THL",PR!$BJ692,IF(J694="UBASTIC",PR!$BK692,IF(J694="UNION",PR!$BL692,IF(J694="UNIQUE",PR!$BM692,IF(J694="VIXA",PR!$BN692,IF(J694="WWCV",PR!$BO692,IF(J694="ZOLON",PR!$BP692,"-"))))))))))))))))))))))))))))))))))))))))))))))))))))))))))))))))</f>
        <v>2500</v>
      </c>
      <c r="J694" s="102" t="str">
        <f>EV!N889</f>
        <v>FCGLOBAL</v>
      </c>
      <c r="K694" s="433" t="s">
        <v>821</v>
      </c>
      <c r="L694" s="183">
        <f>IF(K694&gt;0,IF(K694="ALPHA",PR!$E692,IF(K694="ASSENE",PR!$F692,IF(K694="BIOFEM",PR!$G692,IF(K694="BIOMED",PR!$H692,IF(K694="CHI",PR!$I692,IF(K694="CLARION",PR!$J692,IF(K694="CODIX",PR!$K692,IF(K694="COSMADE",PR!$L692,IF(K694="SANCON",PR!$M692,IF(K694="DEVON",PR!$N692,IF(K694="DORTEMAG",PR!$O692,IF(K694="DGF",PR!$P692,IF(K694="DYNAMIC",PR!$Q692,IF(K694="EMZOR",PR!$R692,IF(K694="EUMATT",PR!$S692,IF(K694="FIDSON",PR!$T692,IF(K694="FCGLOBAL",PR!$U692,IF(K694="GENEITH",PR!$V692,IF(K694="GINOS",PR!$W692,IF(K694="GSK",PR!$X692,IF(K694="GLOBORG",PR!$Y692,IF(K694="GOODNEWS",PR!$Z692,IF(K694="GREENLIFE",PR!$AA692,IF(K694="HLINE",PR!$AB692,IF(K694="ROTECH",PR!$AC692,IF(K694="ISN",PR!$AD692,IF(K694="JAWA",PR!$AE692,IF(K694="LAYO",PR!$AF692,IF(K694="LEADWAY",PR!$AG692,IF(K694="LHV",PR!$AH692,IF(K694="MANOLA",PR!$AI692,IF(K694="MARCSON",PR!$AJ692,IF(K694="M&amp;B",PR!$AK692,IF(K694="MTRUST",PR!$AL692,IF(K694="MWORLD",PR!$AM692,IF(K694="MEGA",PR!$AN692,IF(K694="MICRONOVA",PR!$AO692,IF(K694="MFLASH",PR!$AP692,IF(K694="MORISON",PR!$AQ692,IF(K694="NEMEL",PR!$AR692,IF(K694="NHP",PR!$AS692,IF(K694="NHC",PR!$AT692,IF(K694="OLEAF",PR!$AU692,IF(K694="OCULUS",PR!$AV692,IF(K694="PACIFIC",PR!$AW692,IF(K694="PHAMATEX",PR!$AX692,IF(K694="PETHICS",PR!$AY692,IF(K694="PHILIPS",PR!$AZ692,IF(K694="RANBAXY",PR!$BA692,IF(K694="REALS",PR!$BB692,IF(K694="ROYAL",PR!$BC692,IF(K694="SAM",PR!$BD692,IF(K694="SEAGREEN",PR!$BE692,IF(K694="SKG",PR!$BF692,IF(K694="TAH",PR!$BG692,IF(K694="TAYLEK",PR!$BH692,IF(K694="TEMITA",PR!$BI692,IF(K694="THL",PR!$BJ692,IF(K694="UBASTIC",PR!$BK692,IF(K694="UNION",PR!$BL692,IF(K694="UNIQUE",PR!$BM692,IF(K694="VIXA",PR!$BN692,IF(K694="WWCV",PR!$BO692,IF(K694="ZOLON",PR!$BP692,"-")))))))))))))))))))))))))))))))))))))))))))))))))))))))))))))))))</f>
        <v>3100</v>
      </c>
    </row>
    <row r="695" spans="1:12" ht="18.75" x14ac:dyDescent="0.3">
      <c r="A695" s="430">
        <f>PR!A693</f>
        <v>631</v>
      </c>
      <c r="B695" s="15" t="str">
        <f>PR!B693</f>
        <v>SCOTCH CAST 5"</v>
      </c>
      <c r="C695" s="113">
        <f>PR!D693</f>
        <v>10</v>
      </c>
      <c r="D695" s="113">
        <f>PR!C693</f>
        <v>23</v>
      </c>
      <c r="E695" s="108">
        <f>IF(F695="ALPHA",PR!$E693,IF(F695="ASSENE",PR!$F693,IF(F695="BIOFEM",PR!$G693,IF(F695="BIOMED",PR!$H693,IF(F695="CHI",PR!$I693,IF(F695="CLARION",PR!$J693,IF(F695="CODIX",PR!$K693,IF(F695="COSMADE",PR!$L693,IF(F695="SANCON",PR!$M693,IF(F695="DEVON",PR!$N693,IF(F695="DORTEMAG",PR!$O693,IF(F695="DGF",PR!$P693,IF(F695="DYNAMIC",PR!$Q693,IF(F695="EMZOR",PR!$R693,IF(F695="EUMATT",PR!$S693,IF(F695="FIDSON",PR!$T693,IF(F695="FCGLOBAL",PR!$U693,IF(F695="GENEITH",PR!$V693,IF(F695="GINOS",PR!$W693,IF(F695="GSK",PR!$X693,IF(F695="GLOBORG",PR!$Y693,IF(F695="GOODNEWS",PR!$Z693,IF(F695="GREENLIFE",PR!$AA693,IF(F695="HLINE",PR!$AB693,IF(F695="ROTECH",PR!$AC693,IF(F695="ISN",PR!$AD693,IF(F695="JAWA",PR!$AE693,IF(F695="LAYO",PR!$AF693,IF(F695="LEADWAY",PR!$AG693,IF(F695="LHV",PR!$AH693,IF(F695="MANOLA",PR!$AI693,IF(F695="MARCSON",PR!$AJ693,IF(F695="M&amp;B",PR!$AK693,IF(F695="MTRUST",PR!$AL693,IF(F695="MWORLD",PR!$AM693,IF(F695="MEGA",PR!$AN693,IF(F695="MICRONOVA",PR!$AO693,IF(F695="MFLASH",PR!$AP693,IF(F695="MORISON",PR!$AQ693,IF(F695="NEMEL",PR!$AR693,IF(F695="NHP",PR!$AS693,IF(F695="NHC",PR!$AT693,IF(F695="OLEAF",PR!$AU693,IF(F695="OCULUS",PR!$AV693,IF(F695="PACIFIC",PR!$AW693,IF(F695="PHAMATEX",PR!$AX693,IF(F695="PETHICS",PR!$AY693,IF(F695="PHILIPS",PR!$AZ693,IF(F695="RANBAXY",PR!$BA693,IF(F695="REALS",PR!$BB693,IF(F695="ROYAL",PR!$BC693,IF(F695="SAM",PR!$BD693,IF(F695="SEAGREEN",PR!$BE693,IF(F695="SKG",PR!$BF693,IF(F695="TAH",PR!$BG693,IF(F695="TAYLEK",PR!$BH693,IF(F695="TEMITA",PR!$BI693,IF(F695="THL",PR!$BJ693,IF(F695="UBASTIC",PR!$BK693,IF(F695="UNION",PR!$BL693,IF(F695="UNIQUE",PR!$BM693,IF(F695="VIXA",PR!$BN693,IF(F695="WWCV",PR!$BO693,IF(F695="ZOLON",PR!$BP693,"-"))))))))))))))))))))))))))))))))))))))))))))))))))))))))))))))))</f>
        <v>16000</v>
      </c>
      <c r="F695" s="102" t="str">
        <f>EV!L890</f>
        <v>SANCON</v>
      </c>
      <c r="G695" s="108">
        <f>IF(H695="ALPHA",PR!$E693,IF(H695="ASSENE",PR!$F693,IF(H695="BIOFEM",PR!$G693,IF(H695="BIOMED",PR!$H693,IF(H695="CHI",PR!$I693,IF(H695="CLARION",PR!$J693,IF(H695="CODIX",PR!$K693,IF(H695="COSMADE",PR!$L693,IF(H695="SANCON",PR!$M693,IF(H695="DEVON",PR!$N693,IF(H695="DORTEMAG",PR!$O693,IF(H695="DGF",PR!$P693,IF(H695="DYNAMIC",PR!$Q693,IF(H695="EMZOR",PR!$R693,IF(H695="EUMATT",PR!$S693,IF(H695="FIDSON",PR!$T693,IF(H695="FCGLOBAL",PR!$U693,IF(H695="GENEITH",PR!$V693,IF(H695="GINOS",PR!$W693,IF(H695="GSK",PR!$X693,IF(H695="GLOBORG",PR!$Y693,IF(H695="GOODNEWS",PR!$Z693,IF(H695="GREENLIFE",PR!$AA693,IF(H695="HLINE",PR!$AB693,IF(H695="ROTECH",PR!$AC693,IF(H695="ISN",PR!$AD693,IF(H695="JAWA",PR!$AE693,IF(H695="LAYO",PR!$AF693,IF(H695="LEADWAY",PR!$AG693,IF(H695="LHV",PR!$AH693,IF(H695="MANOLA",PR!$AI693,IF(H695="MARCSON",PR!$AJ693,IF(H695="M&amp;B",PR!$AK693,IF(H695="MTRUST",PR!$AL693,IF(H695="MWORLD",PR!$AM693,IF(H695="MEGA",PR!$AN693,IF(H695="MICRONOVA",PR!$AO693,IF(H695="MFLASH",PR!$AP693,IF(H695="MORISON",PR!$AQ693,IF(H695="NEMEL",PR!$AR693,IF(H695="NHP",PR!$AS693,IF(H695="NHC",PR!$AT693,IF(H695="OLEAF",PR!$AU693,IF(H695="OCULUS",PR!$AV693,IF(H695="PACIFIC",PR!$AW693,IF(H695="PHAMATEX",PR!$AX693,IF(H695="PETHICS",PR!$AY693,IF(H695="PHILIPS",PR!$AZ693,IF(H695="RANBAXY",PR!$BA693,IF(H695="REALS",PR!$BB693,IF(H695="ROYAL",PR!$BC693,IF(H695="SAM",PR!$BD693,IF(H695="SEAGREEN",PR!$BE693,IF(H695="SKG",PR!$BF693,IF(H695="TAH",PR!$BG693,IF(H695="TAYLEK",PR!$BH693,IF(H695="TEMITA",PR!$BI693,IF(H695="THL",PR!$BJ693,IF(H695="UBASTIC",PR!$BK693,IF(H695="UNION",PR!$BL693,IF(H695="UNIQUE",PR!$BM693,IF(H695="VIXA",PR!$BN693,IF(H695="WWCV",PR!$BO693,IF(H695="ZOLON",PR!$BP693,"-"))))))))))))))))))))))))))))))))))))))))))))))))))))))))))))))))</f>
        <v>18000</v>
      </c>
      <c r="H695" s="102" t="str">
        <f>EV!M890</f>
        <v>FCGLOBAL</v>
      </c>
      <c r="I695" s="108">
        <f>IF(J695="ALPHA",PR!$E693,IF(J695="ASSENE",PR!$F693,IF(J695="BIOFEM",PR!$G693,IF(J695="BIOMED",PR!$H693,IF(J695="CHI",PR!$I693,IF(J695="CLARION",PR!$J693,IF(J695="CODIX",PR!$K693,IF(J695="COSMADE",PR!$L693,IF(J695="SANCON",PR!$M693,IF(J695="DEVON",PR!$N693,IF(J695="DORTEMAG",PR!$O693,IF(J695="DGF",PR!$P693,IF(J695="DYNAMIC",PR!$Q693,IF(J695="EMZOR",PR!$R693,IF(J695="EUMATT",PR!$S693,IF(J695="FIDSON",PR!$T693,IF(J695="FCGLOBAL",PR!$U693,IF(J695="GENEITH",PR!$V693,IF(J695="GINOS",PR!$W693,IF(J695="GSK",PR!$X693,IF(J695="GLOBORG",PR!$Y693,IF(J695="GOODNEWS",PR!$Z693,IF(J695="GREENLIFE",PR!$AA693,IF(J695="HLINE",PR!$AB693,IF(J695="ROTECH",PR!$AC693,IF(J695="ISN",PR!$AD693,IF(J695="JAWA",PR!$AE693,IF(J695="LAYO",PR!$AF693,IF(J695="LEADWAY",PR!$AG693,IF(J695="LHV",PR!$AH693,IF(J695="MANOLA",PR!$AI693,IF(J695="MARCSON",PR!$AJ693,IF(J695="M&amp;B",PR!$AK693,IF(J695="MTRUST",PR!$AL693,IF(J695="MWORLD",PR!$AM693,IF(J695="MEGA",PR!$AN693,IF(J695="MICRONOVA",PR!$AO693,IF(J695="MFLASH",PR!$AP693,IF(J695="MORISON",PR!$AQ693,IF(J695="NEMEL",PR!$AR693,IF(J695="NHP",PR!$AS693,IF(J695="NHC",PR!$AT693,IF(J695="OLEAF",PR!$AU693,IF(J695="OCULUS",PR!$AV693,IF(J695="PACIFIC",PR!$AW693,IF(J695="PHAMATEX",PR!$AX693,IF(J695="PETHICS",PR!$AY693,IF(J695="PHILIPS",PR!$AZ693,IF(J695="RANBAXY",PR!$BA693,IF(J695="REALS",PR!$BB693,IF(J695="ROYAL",PR!$BC693,IF(J695="SAM",PR!$BD693,IF(J695="SEAGREEN",PR!$BE693,IF(J695="SKG",PR!$BF693,IF(J695="TAH",PR!$BG693,IF(J695="TAYLEK",PR!$BH693,IF(J695="TEMITA",PR!$BI693,IF(J695="THL",PR!$BJ693,IF(J695="UBASTIC",PR!$BK693,IF(J695="UNION",PR!$BL693,IF(J695="UNIQUE",PR!$BM693,IF(J695="VIXA",PR!$BN693,IF(J695="WWCV",PR!$BO693,IF(J695="ZOLON",PR!$BP693,"-"))))))))))))))))))))))))))))))))))))))))))))))))))))))))))))))))</f>
        <v>19000</v>
      </c>
      <c r="J695" s="102" t="str">
        <f>EV!N890</f>
        <v>EUMATT</v>
      </c>
      <c r="K695" s="433" t="s">
        <v>817</v>
      </c>
      <c r="L695" s="183">
        <f>IF(K695&gt;0,IF(K695="ALPHA",PR!$E693,IF(K695="ASSENE",PR!$F693,IF(K695="BIOFEM",PR!$G693,IF(K695="BIOMED",PR!$H693,IF(K695="CHI",PR!$I693,IF(K695="CLARION",PR!$J693,IF(K695="CODIX",PR!$K693,IF(K695="COSMADE",PR!$L693,IF(K695="SANCON",PR!$M693,IF(K695="DEVON",PR!$N693,IF(K695="DORTEMAG",PR!$O693,IF(K695="DGF",PR!$P693,IF(K695="DYNAMIC",PR!$Q693,IF(K695="EMZOR",PR!$R693,IF(K695="EUMATT",PR!$S693,IF(K695="FIDSON",PR!$T693,IF(K695="FCGLOBAL",PR!$U693,IF(K695="GENEITH",PR!$V693,IF(K695="GINOS",PR!$W693,IF(K695="GSK",PR!$X693,IF(K695="GLOBORG",PR!$Y693,IF(K695="GOODNEWS",PR!$Z693,IF(K695="GREENLIFE",PR!$AA693,IF(K695="HLINE",PR!$AB693,IF(K695="ROTECH",PR!$AC693,IF(K695="ISN",PR!$AD693,IF(K695="JAWA",PR!$AE693,IF(K695="LAYO",PR!$AF693,IF(K695="LEADWAY",PR!$AG693,IF(K695="LHV",PR!$AH693,IF(K695="MANOLA",PR!$AI693,IF(K695="MARCSON",PR!$AJ693,IF(K695="M&amp;B",PR!$AK693,IF(K695="MTRUST",PR!$AL693,IF(K695="MWORLD",PR!$AM693,IF(K695="MEGA",PR!$AN693,IF(K695="MICRONOVA",PR!$AO693,IF(K695="MFLASH",PR!$AP693,IF(K695="MORISON",PR!$AQ693,IF(K695="NEMEL",PR!$AR693,IF(K695="NHP",PR!$AS693,IF(K695="NHC",PR!$AT693,IF(K695="OLEAF",PR!$AU693,IF(K695="OCULUS",PR!$AV693,IF(K695="PACIFIC",PR!$AW693,IF(K695="PHAMATEX",PR!$AX693,IF(K695="PETHICS",PR!$AY693,IF(K695="PHILIPS",PR!$AZ693,IF(K695="RANBAXY",PR!$BA693,IF(K695="REALS",PR!$BB693,IF(K695="ROYAL",PR!$BC693,IF(K695="SAM",PR!$BD693,IF(K695="SEAGREEN",PR!$BE693,IF(K695="SKG",PR!$BF693,IF(K695="TAH",PR!$BG693,IF(K695="TAYLEK",PR!$BH693,IF(K695="TEMITA",PR!$BI693,IF(K695="THL",PR!$BJ693,IF(K695="UBASTIC",PR!$BK693,IF(K695="UNION",PR!$BL693,IF(K695="UNIQUE",PR!$BM693,IF(K695="VIXA",PR!$BN693,IF(K695="WWCV",PR!$BO693,IF(K695="ZOLON",PR!$BP693,"-")))))))))))))))))))))))))))))))))))))))))))))))))))))))))))))))))</f>
        <v>16000</v>
      </c>
    </row>
    <row r="696" spans="1:12" ht="18.75" x14ac:dyDescent="0.3">
      <c r="A696" s="430">
        <f>PR!A694</f>
        <v>632</v>
      </c>
      <c r="B696" s="15" t="str">
        <f>PR!B694</f>
        <v>SHOULDER LENGTH GLOVES</v>
      </c>
      <c r="C696" s="113">
        <f>PR!D694</f>
        <v>100</v>
      </c>
      <c r="D696" s="113">
        <f>PR!C694</f>
        <v>4</v>
      </c>
      <c r="E696" s="108">
        <f>IF(F696="ALPHA",PR!$E694,IF(F696="ASSENE",PR!$F694,IF(F696="BIOFEM",PR!$G694,IF(F696="BIOMED",PR!$H694,IF(F696="CHI",PR!$I694,IF(F696="CLARION",PR!$J694,IF(F696="CODIX",PR!$K694,IF(F696="COSMADE",PR!$L694,IF(F696="SANCON",PR!$M694,IF(F696="DEVON",PR!$N694,IF(F696="DORTEMAG",PR!$O694,IF(F696="DGF",PR!$P694,IF(F696="DYNAMIC",PR!$Q694,IF(F696="EMZOR",PR!$R694,IF(F696="EUMATT",PR!$S694,IF(F696="FIDSON",PR!$T694,IF(F696="FCGLOBAL",PR!$U694,IF(F696="GENEITH",PR!$V694,IF(F696="GINOS",PR!$W694,IF(F696="GSK",PR!$X694,IF(F696="GLOBORG",PR!$Y694,IF(F696="GOODNEWS",PR!$Z694,IF(F696="GREENLIFE",PR!$AA694,IF(F696="HLINE",PR!$AB694,IF(F696="ROTECH",PR!$AC694,IF(F696="ISN",PR!$AD694,IF(F696="JAWA",PR!$AE694,IF(F696="LAYO",PR!$AF694,IF(F696="LEADWAY",PR!$AG694,IF(F696="LHV",PR!$AH694,IF(F696="MANOLA",PR!$AI694,IF(F696="MARCSON",PR!$AJ694,IF(F696="M&amp;B",PR!$AK694,IF(F696="MTRUST",PR!$AL694,IF(F696="MWORLD",PR!$AM694,IF(F696="MEGA",PR!$AN694,IF(F696="MICRONOVA",PR!$AO694,IF(F696="MFLASH",PR!$AP694,IF(F696="MORISON",PR!$AQ694,IF(F696="NEMEL",PR!$AR694,IF(F696="NHP",PR!$AS694,IF(F696="NHC",PR!$AT694,IF(F696="OLEAF",PR!$AU694,IF(F696="OCULUS",PR!$AV694,IF(F696="PACIFIC",PR!$AW694,IF(F696="PHAMATEX",PR!$AX694,IF(F696="PETHICS",PR!$AY694,IF(F696="PHILIPS",PR!$AZ694,IF(F696="RANBAXY",PR!$BA694,IF(F696="REALS",PR!$BB694,IF(F696="ROYAL",PR!$BC694,IF(F696="SAM",PR!$BD694,IF(F696="SEAGREEN",PR!$BE694,IF(F696="SKG",PR!$BF694,IF(F696="TAH",PR!$BG694,IF(F696="TAYLEK",PR!$BH694,IF(F696="TEMITA",PR!$BI694,IF(F696="THL",PR!$BJ694,IF(F696="UBASTIC",PR!$BK694,IF(F696="UNION",PR!$BL694,IF(F696="UNIQUE",PR!$BM694,IF(F696="VIXA",PR!$BN694,IF(F696="WWCV",PR!$BO694,IF(F696="ZOLON",PR!$BP694,"-"))))))))))))))))))))))))))))))))))))))))))))))))))))))))))))))))</f>
        <v>1850</v>
      </c>
      <c r="F696" s="102" t="str">
        <f>EV!L891</f>
        <v>EUMATT</v>
      </c>
      <c r="G696" s="108">
        <f>IF(H696="ALPHA",PR!$E694,IF(H696="ASSENE",PR!$F694,IF(H696="BIOFEM",PR!$G694,IF(H696="BIOMED",PR!$H694,IF(H696="CHI",PR!$I694,IF(H696="CLARION",PR!$J694,IF(H696="CODIX",PR!$K694,IF(H696="COSMADE",PR!$L694,IF(H696="SANCON",PR!$M694,IF(H696="DEVON",PR!$N694,IF(H696="DORTEMAG",PR!$O694,IF(H696="DGF",PR!$P694,IF(H696="DYNAMIC",PR!$Q694,IF(H696="EMZOR",PR!$R694,IF(H696="EUMATT",PR!$S694,IF(H696="FIDSON",PR!$T694,IF(H696="FCGLOBAL",PR!$U694,IF(H696="GENEITH",PR!$V694,IF(H696="GINOS",PR!$W694,IF(H696="GSK",PR!$X694,IF(H696="GLOBORG",PR!$Y694,IF(H696="GOODNEWS",PR!$Z694,IF(H696="GREENLIFE",PR!$AA694,IF(H696="HLINE",PR!$AB694,IF(H696="ROTECH",PR!$AC694,IF(H696="ISN",PR!$AD694,IF(H696="JAWA",PR!$AE694,IF(H696="LAYO",PR!$AF694,IF(H696="LEADWAY",PR!$AG694,IF(H696="LHV",PR!$AH694,IF(H696="MANOLA",PR!$AI694,IF(H696="MARCSON",PR!$AJ694,IF(H696="M&amp;B",PR!$AK694,IF(H696="MTRUST",PR!$AL694,IF(H696="MWORLD",PR!$AM694,IF(H696="MEGA",PR!$AN694,IF(H696="MICRONOVA",PR!$AO694,IF(H696="MFLASH",PR!$AP694,IF(H696="MORISON",PR!$AQ694,IF(H696="NEMEL",PR!$AR694,IF(H696="NHP",PR!$AS694,IF(H696="NHC",PR!$AT694,IF(H696="OLEAF",PR!$AU694,IF(H696="OCULUS",PR!$AV694,IF(H696="PACIFIC",PR!$AW694,IF(H696="PHAMATEX",PR!$AX694,IF(H696="PETHICS",PR!$AY694,IF(H696="PHILIPS",PR!$AZ694,IF(H696="RANBAXY",PR!$BA694,IF(H696="REALS",PR!$BB694,IF(H696="ROYAL",PR!$BC694,IF(H696="SAM",PR!$BD694,IF(H696="SEAGREEN",PR!$BE694,IF(H696="SKG",PR!$BF694,IF(H696="TAH",PR!$BG694,IF(H696="TAYLEK",PR!$BH694,IF(H696="TEMITA",PR!$BI694,IF(H696="THL",PR!$BJ694,IF(H696="UBASTIC",PR!$BK694,IF(H696="UNION",PR!$BL694,IF(H696="UNIQUE",PR!$BM694,IF(H696="VIXA",PR!$BN694,IF(H696="WWCV",PR!$BO694,IF(H696="ZOLON",PR!$BP694,"-"))))))))))))))))))))))))))))))))))))))))))))))))))))))))))))))))</f>
        <v>1900</v>
      </c>
      <c r="H696" s="102" t="str">
        <f>EV!M891</f>
        <v>SANCON</v>
      </c>
      <c r="I696" s="108">
        <f>IF(J696="ALPHA",PR!$E694,IF(J696="ASSENE",PR!$F694,IF(J696="BIOFEM",PR!$G694,IF(J696="BIOMED",PR!$H694,IF(J696="CHI",PR!$I694,IF(J696="CLARION",PR!$J694,IF(J696="CODIX",PR!$K694,IF(J696="COSMADE",PR!$L694,IF(J696="SANCON",PR!$M694,IF(J696="DEVON",PR!$N694,IF(J696="DORTEMAG",PR!$O694,IF(J696="DGF",PR!$P694,IF(J696="DYNAMIC",PR!$Q694,IF(J696="EMZOR",PR!$R694,IF(J696="EUMATT",PR!$S694,IF(J696="FIDSON",PR!$T694,IF(J696="FCGLOBAL",PR!$U694,IF(J696="GENEITH",PR!$V694,IF(J696="GINOS",PR!$W694,IF(J696="GSK",PR!$X694,IF(J696="GLOBORG",PR!$Y694,IF(J696="GOODNEWS",PR!$Z694,IF(J696="GREENLIFE",PR!$AA694,IF(J696="HLINE",PR!$AB694,IF(J696="ROTECH",PR!$AC694,IF(J696="ISN",PR!$AD694,IF(J696="JAWA",PR!$AE694,IF(J696="LAYO",PR!$AF694,IF(J696="LEADWAY",PR!$AG694,IF(J696="LHV",PR!$AH694,IF(J696="MANOLA",PR!$AI694,IF(J696="MARCSON",PR!$AJ694,IF(J696="M&amp;B",PR!$AK694,IF(J696="MTRUST",PR!$AL694,IF(J696="MWORLD",PR!$AM694,IF(J696="MEGA",PR!$AN694,IF(J696="MICRONOVA",PR!$AO694,IF(J696="MFLASH",PR!$AP694,IF(J696="MORISON",PR!$AQ694,IF(J696="NEMEL",PR!$AR694,IF(J696="NHP",PR!$AS694,IF(J696="NHC",PR!$AT694,IF(J696="OLEAF",PR!$AU694,IF(J696="OCULUS",PR!$AV694,IF(J696="PACIFIC",PR!$AW694,IF(J696="PHAMATEX",PR!$AX694,IF(J696="PETHICS",PR!$AY694,IF(J696="PHILIPS",PR!$AZ694,IF(J696="RANBAXY",PR!$BA694,IF(J696="REALS",PR!$BB694,IF(J696="ROYAL",PR!$BC694,IF(J696="SAM",PR!$BD694,IF(J696="SEAGREEN",PR!$BE694,IF(J696="SKG",PR!$BF694,IF(J696="TAH",PR!$BG694,IF(J696="TAYLEK",PR!$BH694,IF(J696="TEMITA",PR!$BI694,IF(J696="THL",PR!$BJ694,IF(J696="UBASTIC",PR!$BK694,IF(J696="UNION",PR!$BL694,IF(J696="UNIQUE",PR!$BM694,IF(J696="VIXA",PR!$BN694,IF(J696="WWCV",PR!$BO694,IF(J696="ZOLON",PR!$BP694,"-"))))))))))))))))))))))))))))))))))))))))))))))))))))))))))))))))</f>
        <v>5200</v>
      </c>
      <c r="J696" s="102" t="str">
        <f>EV!N891</f>
        <v>FCGLOBAL</v>
      </c>
      <c r="K696" s="433" t="s">
        <v>821</v>
      </c>
      <c r="L696" s="183">
        <f>IF(K696&gt;0,IF(K696="ALPHA",PR!$E694,IF(K696="ASSENE",PR!$F694,IF(K696="BIOFEM",PR!$G694,IF(K696="BIOMED",PR!$H694,IF(K696="CHI",PR!$I694,IF(K696="CLARION",PR!$J694,IF(K696="CODIX",PR!$K694,IF(K696="COSMADE",PR!$L694,IF(K696="SANCON",PR!$M694,IF(K696="DEVON",PR!$N694,IF(K696="DORTEMAG",PR!$O694,IF(K696="DGF",PR!$P694,IF(K696="DYNAMIC",PR!$Q694,IF(K696="EMZOR",PR!$R694,IF(K696="EUMATT",PR!$S694,IF(K696="FIDSON",PR!$T694,IF(K696="FCGLOBAL",PR!$U694,IF(K696="GENEITH",PR!$V694,IF(K696="GINOS",PR!$W694,IF(K696="GSK",PR!$X694,IF(K696="GLOBORG",PR!$Y694,IF(K696="GOODNEWS",PR!$Z694,IF(K696="GREENLIFE",PR!$AA694,IF(K696="HLINE",PR!$AB694,IF(K696="ROTECH",PR!$AC694,IF(K696="ISN",PR!$AD694,IF(K696="JAWA",PR!$AE694,IF(K696="LAYO",PR!$AF694,IF(K696="LEADWAY",PR!$AG694,IF(K696="LHV",PR!$AH694,IF(K696="MANOLA",PR!$AI694,IF(K696="MARCSON",PR!$AJ694,IF(K696="M&amp;B",PR!$AK694,IF(K696="MTRUST",PR!$AL694,IF(K696="MWORLD",PR!$AM694,IF(K696="MEGA",PR!$AN694,IF(K696="MICRONOVA",PR!$AO694,IF(K696="MFLASH",PR!$AP694,IF(K696="MORISON",PR!$AQ694,IF(K696="NEMEL",PR!$AR694,IF(K696="NHP",PR!$AS694,IF(K696="NHC",PR!$AT694,IF(K696="OLEAF",PR!$AU694,IF(K696="OCULUS",PR!$AV694,IF(K696="PACIFIC",PR!$AW694,IF(K696="PHAMATEX",PR!$AX694,IF(K696="PETHICS",PR!$AY694,IF(K696="PHILIPS",PR!$AZ694,IF(K696="RANBAXY",PR!$BA694,IF(K696="REALS",PR!$BB694,IF(K696="ROYAL",PR!$BC694,IF(K696="SAM",PR!$BD694,IF(K696="SEAGREEN",PR!$BE694,IF(K696="SKG",PR!$BF694,IF(K696="TAH",PR!$BG694,IF(K696="TAYLEK",PR!$BH694,IF(K696="TEMITA",PR!$BI694,IF(K696="THL",PR!$BJ694,IF(K696="UBASTIC",PR!$BK694,IF(K696="UNION",PR!$BL694,IF(K696="UNIQUE",PR!$BM694,IF(K696="VIXA",PR!$BN694,IF(K696="WWCV",PR!$BO694,IF(K696="ZOLON",PR!$BP694,"-")))))))))))))))))))))))))))))))))))))))))))))))))))))))))))))))))</f>
        <v>1850</v>
      </c>
    </row>
    <row r="697" spans="1:12" ht="18.75" x14ac:dyDescent="0.3">
      <c r="A697" s="430">
        <f>PR!A695</f>
        <v>633</v>
      </c>
      <c r="B697" s="15" t="str">
        <f>PR!B695</f>
        <v>SKIN REMOVER</v>
      </c>
      <c r="C697" s="113" t="str">
        <f>PR!D695</f>
        <v>PCS</v>
      </c>
      <c r="D697" s="113">
        <f>PR!C695</f>
        <v>144</v>
      </c>
      <c r="E697" s="108">
        <f>IF(F697="ALPHA",PR!$E695,IF(F697="ASSENE",PR!$F695,IF(F697="BIOFEM",PR!$G695,IF(F697="BIOMED",PR!$H695,IF(F697="CHI",PR!$I695,IF(F697="CLARION",PR!$J695,IF(F697="CODIX",PR!$K695,IF(F697="COSMADE",PR!$L695,IF(F697="SANCON",PR!$M695,IF(F697="DEVON",PR!$N695,IF(F697="DORTEMAG",PR!$O695,IF(F697="DGF",PR!$P695,IF(F697="DYNAMIC",PR!$Q695,IF(F697="EMZOR",PR!$R695,IF(F697="EUMATT",PR!$S695,IF(F697="FIDSON",PR!$T695,IF(F697="FCGLOBAL",PR!$U695,IF(F697="GENEITH",PR!$V695,IF(F697="GINOS",PR!$W695,IF(F697="GSK",PR!$X695,IF(F697="GLOBORG",PR!$Y695,IF(F697="GOODNEWS",PR!$Z695,IF(F697="GREENLIFE",PR!$AA695,IF(F697="HLINE",PR!$AB695,IF(F697="ROTECH",PR!$AC695,IF(F697="ISN",PR!$AD695,IF(F697="JAWA",PR!$AE695,IF(F697="LAYO",PR!$AF695,IF(F697="LEADWAY",PR!$AG695,IF(F697="LHV",PR!$AH695,IF(F697="MANOLA",PR!$AI695,IF(F697="MARCSON",PR!$AJ695,IF(F697="M&amp;B",PR!$AK695,IF(F697="MTRUST",PR!$AL695,IF(F697="MWORLD",PR!$AM695,IF(F697="MEGA",PR!$AN695,IF(F697="MICRONOVA",PR!$AO695,IF(F697="MFLASH",PR!$AP695,IF(F697="MORISON",PR!$AQ695,IF(F697="NEMEL",PR!$AR695,IF(F697="NHP",PR!$AS695,IF(F697="NHC",PR!$AT695,IF(F697="OLEAF",PR!$AU695,IF(F697="OCULUS",PR!$AV695,IF(F697="PACIFIC",PR!$AW695,IF(F697="PHAMATEX",PR!$AX695,IF(F697="PETHICS",PR!$AY695,IF(F697="PHILIPS",PR!$AZ695,IF(F697="RANBAXY",PR!$BA695,IF(F697="REALS",PR!$BB695,IF(F697="ROYAL",PR!$BC695,IF(F697="SAM",PR!$BD695,IF(F697="SEAGREEN",PR!$BE695,IF(F697="SKG",PR!$BF695,IF(F697="TAH",PR!$BG695,IF(F697="TAYLEK",PR!$BH695,IF(F697="TEMITA",PR!$BI695,IF(F697="THL",PR!$BJ695,IF(F697="UBASTIC",PR!$BK695,IF(F697="UNION",PR!$BL695,IF(F697="UNIQUE",PR!$BM695,IF(F697="VIXA",PR!$BN695,IF(F697="WWCV",PR!$BO695,IF(F697="ZOLON",PR!$BP695,"-"))))))))))))))))))))))))))))))))))))))))))))))))))))))))))))))))</f>
        <v>600</v>
      </c>
      <c r="F697" s="102" t="str">
        <f>EV!L892</f>
        <v>SANCON</v>
      </c>
      <c r="G697" s="108">
        <f>IF(H697="ALPHA",PR!$E695,IF(H697="ASSENE",PR!$F695,IF(H697="BIOFEM",PR!$G695,IF(H697="BIOMED",PR!$H695,IF(H697="CHI",PR!$I695,IF(H697="CLARION",PR!$J695,IF(H697="CODIX",PR!$K695,IF(H697="COSMADE",PR!$L695,IF(H697="SANCON",PR!$M695,IF(H697="DEVON",PR!$N695,IF(H697="DORTEMAG",PR!$O695,IF(H697="DGF",PR!$P695,IF(H697="DYNAMIC",PR!$Q695,IF(H697="EMZOR",PR!$R695,IF(H697="EUMATT",PR!$S695,IF(H697="FIDSON",PR!$T695,IF(H697="FCGLOBAL",PR!$U695,IF(H697="GENEITH",PR!$V695,IF(H697="GINOS",PR!$W695,IF(H697="GSK",PR!$X695,IF(H697="GLOBORG",PR!$Y695,IF(H697="GOODNEWS",PR!$Z695,IF(H697="GREENLIFE",PR!$AA695,IF(H697="HLINE",PR!$AB695,IF(H697="ROTECH",PR!$AC695,IF(H697="ISN",PR!$AD695,IF(H697="JAWA",PR!$AE695,IF(H697="LAYO",PR!$AF695,IF(H697="LEADWAY",PR!$AG695,IF(H697="LHV",PR!$AH695,IF(H697="MANOLA",PR!$AI695,IF(H697="MARCSON",PR!$AJ695,IF(H697="M&amp;B",PR!$AK695,IF(H697="MTRUST",PR!$AL695,IF(H697="MWORLD",PR!$AM695,IF(H697="MEGA",PR!$AN695,IF(H697="MICRONOVA",PR!$AO695,IF(H697="MFLASH",PR!$AP695,IF(H697="MORISON",PR!$AQ695,IF(H697="NEMEL",PR!$AR695,IF(H697="NHP",PR!$AS695,IF(H697="NHC",PR!$AT695,IF(H697="OLEAF",PR!$AU695,IF(H697="OCULUS",PR!$AV695,IF(H697="PACIFIC",PR!$AW695,IF(H697="PHAMATEX",PR!$AX695,IF(H697="PETHICS",PR!$AY695,IF(H697="PHILIPS",PR!$AZ695,IF(H697="RANBAXY",PR!$BA695,IF(H697="REALS",PR!$BB695,IF(H697="ROYAL",PR!$BC695,IF(H697="SAM",PR!$BD695,IF(H697="SEAGREEN",PR!$BE695,IF(H697="SKG",PR!$BF695,IF(H697="TAH",PR!$BG695,IF(H697="TAYLEK",PR!$BH695,IF(H697="TEMITA",PR!$BI695,IF(H697="THL",PR!$BJ695,IF(H697="UBASTIC",PR!$BK695,IF(H697="UNION",PR!$BL695,IF(H697="UNIQUE",PR!$BM695,IF(H697="VIXA",PR!$BN695,IF(H697="WWCV",PR!$BO695,IF(H697="ZOLON",PR!$BP695,"-"))))))))))))))))))))))))))))))))))))))))))))))))))))))))))))))))</f>
        <v>600</v>
      </c>
      <c r="H697" s="102" t="str">
        <f>EV!M892</f>
        <v>EUMATT</v>
      </c>
      <c r="I697" s="108">
        <f>IF(J697="ALPHA",PR!$E695,IF(J697="ASSENE",PR!$F695,IF(J697="BIOFEM",PR!$G695,IF(J697="BIOMED",PR!$H695,IF(J697="CHI",PR!$I695,IF(J697="CLARION",PR!$J695,IF(J697="CODIX",PR!$K695,IF(J697="COSMADE",PR!$L695,IF(J697="SANCON",PR!$M695,IF(J697="DEVON",PR!$N695,IF(J697="DORTEMAG",PR!$O695,IF(J697="DGF",PR!$P695,IF(J697="DYNAMIC",PR!$Q695,IF(J697="EMZOR",PR!$R695,IF(J697="EUMATT",PR!$S695,IF(J697="FIDSON",PR!$T695,IF(J697="FCGLOBAL",PR!$U695,IF(J697="GENEITH",PR!$V695,IF(J697="GINOS",PR!$W695,IF(J697="GSK",PR!$X695,IF(J697="GLOBORG",PR!$Y695,IF(J697="GOODNEWS",PR!$Z695,IF(J697="GREENLIFE",PR!$AA695,IF(J697="HLINE",PR!$AB695,IF(J697="ROTECH",PR!$AC695,IF(J697="ISN",PR!$AD695,IF(J697="JAWA",PR!$AE695,IF(J697="LAYO",PR!$AF695,IF(J697="LEADWAY",PR!$AG695,IF(J697="LHV",PR!$AH695,IF(J697="MANOLA",PR!$AI695,IF(J697="MARCSON",PR!$AJ695,IF(J697="M&amp;B",PR!$AK695,IF(J697="MTRUST",PR!$AL695,IF(J697="MWORLD",PR!$AM695,IF(J697="MEGA",PR!$AN695,IF(J697="MICRONOVA",PR!$AO695,IF(J697="MFLASH",PR!$AP695,IF(J697="MORISON",PR!$AQ695,IF(J697="NEMEL",PR!$AR695,IF(J697="NHP",PR!$AS695,IF(J697="NHC",PR!$AT695,IF(J697="OLEAF",PR!$AU695,IF(J697="OCULUS",PR!$AV695,IF(J697="PACIFIC",PR!$AW695,IF(J697="PHAMATEX",PR!$AX695,IF(J697="PETHICS",PR!$AY695,IF(J697="PHILIPS",PR!$AZ695,IF(J697="RANBAXY",PR!$BA695,IF(J697="REALS",PR!$BB695,IF(J697="ROYAL",PR!$BC695,IF(J697="SAM",PR!$BD695,IF(J697="SEAGREEN",PR!$BE695,IF(J697="SKG",PR!$BF695,IF(J697="TAH",PR!$BG695,IF(J697="TAYLEK",PR!$BH695,IF(J697="TEMITA",PR!$BI695,IF(J697="THL",PR!$BJ695,IF(J697="UBASTIC",PR!$BK695,IF(J697="UNION",PR!$BL695,IF(J697="UNIQUE",PR!$BM695,IF(J697="VIXA",PR!$BN695,IF(J697="WWCV",PR!$BO695,IF(J697="ZOLON",PR!$BP695,"-"))))))))))))))))))))))))))))))))))))))))))))))))))))))))))))))))</f>
        <v>660</v>
      </c>
      <c r="J697" s="102" t="str">
        <f>EV!N892</f>
        <v>ROTECH</v>
      </c>
      <c r="K697" s="433" t="s">
        <v>821</v>
      </c>
      <c r="L697" s="183">
        <f>IF(K697&gt;0,IF(K697="ALPHA",PR!$E695,IF(K697="ASSENE",PR!$F695,IF(K697="BIOFEM",PR!$G695,IF(K697="BIOMED",PR!$H695,IF(K697="CHI",PR!$I695,IF(K697="CLARION",PR!$J695,IF(K697="CODIX",PR!$K695,IF(K697="COSMADE",PR!$L695,IF(K697="SANCON",PR!$M695,IF(K697="DEVON",PR!$N695,IF(K697="DORTEMAG",PR!$O695,IF(K697="DGF",PR!$P695,IF(K697="DYNAMIC",PR!$Q695,IF(K697="EMZOR",PR!$R695,IF(K697="EUMATT",PR!$S695,IF(K697="FIDSON",PR!$T695,IF(K697="FCGLOBAL",PR!$U695,IF(K697="GENEITH",PR!$V695,IF(K697="GINOS",PR!$W695,IF(K697="GSK",PR!$X695,IF(K697="GLOBORG",PR!$Y695,IF(K697="GOODNEWS",PR!$Z695,IF(K697="GREENLIFE",PR!$AA695,IF(K697="HLINE",PR!$AB695,IF(K697="ROTECH",PR!$AC695,IF(K697="ISN",PR!$AD695,IF(K697="JAWA",PR!$AE695,IF(K697="LAYO",PR!$AF695,IF(K697="LEADWAY",PR!$AG695,IF(K697="LHV",PR!$AH695,IF(K697="MANOLA",PR!$AI695,IF(K697="MARCSON",PR!$AJ695,IF(K697="M&amp;B",PR!$AK695,IF(K697="MTRUST",PR!$AL695,IF(K697="MWORLD",PR!$AM695,IF(K697="MEGA",PR!$AN695,IF(K697="MICRONOVA",PR!$AO695,IF(K697="MFLASH",PR!$AP695,IF(K697="MORISON",PR!$AQ695,IF(K697="NEMEL",PR!$AR695,IF(K697="NHP",PR!$AS695,IF(K697="NHC",PR!$AT695,IF(K697="OLEAF",PR!$AU695,IF(K697="OCULUS",PR!$AV695,IF(K697="PACIFIC",PR!$AW695,IF(K697="PHAMATEX",PR!$AX695,IF(K697="PETHICS",PR!$AY695,IF(K697="PHILIPS",PR!$AZ695,IF(K697="RANBAXY",PR!$BA695,IF(K697="REALS",PR!$BB695,IF(K697="ROYAL",PR!$BC695,IF(K697="SAM",PR!$BD695,IF(K697="SEAGREEN",PR!$BE695,IF(K697="SKG",PR!$BF695,IF(K697="TAH",PR!$BG695,IF(K697="TAYLEK",PR!$BH695,IF(K697="TEMITA",PR!$BI695,IF(K697="THL",PR!$BJ695,IF(K697="UBASTIC",PR!$BK695,IF(K697="UNION",PR!$BL695,IF(K697="UNIQUE",PR!$BM695,IF(K697="VIXA",PR!$BN695,IF(K697="WWCV",PR!$BO695,IF(K697="ZOLON",PR!$BP695,"-")))))))))))))))))))))))))))))))))))))))))))))))))))))))))))))))))</f>
        <v>600</v>
      </c>
    </row>
    <row r="698" spans="1:12" ht="18.75" x14ac:dyDescent="0.3">
      <c r="A698" s="430">
        <f>PR!A696</f>
        <v>634</v>
      </c>
      <c r="B698" s="15" t="str">
        <f>PR!B696</f>
        <v>SKIN STAPLER</v>
      </c>
      <c r="C698" s="113" t="str">
        <f>PR!D696</f>
        <v>PCS</v>
      </c>
      <c r="D698" s="113">
        <f>PR!C696</f>
        <v>144</v>
      </c>
      <c r="E698" s="108">
        <f>IF(F698="ALPHA",PR!$E696,IF(F698="ASSENE",PR!$F696,IF(F698="BIOFEM",PR!$G696,IF(F698="BIOMED",PR!$H696,IF(F698="CHI",PR!$I696,IF(F698="CLARION",PR!$J696,IF(F698="CODIX",PR!$K696,IF(F698="COSMADE",PR!$L696,IF(F698="SANCON",PR!$M696,IF(F698="DEVON",PR!$N696,IF(F698="DORTEMAG",PR!$O696,IF(F698="DGF",PR!$P696,IF(F698="DYNAMIC",PR!$Q696,IF(F698="EMZOR",PR!$R696,IF(F698="EUMATT",PR!$S696,IF(F698="FIDSON",PR!$T696,IF(F698="FCGLOBAL",PR!$U696,IF(F698="GENEITH",PR!$V696,IF(F698="GINOS",PR!$W696,IF(F698="GSK",PR!$X696,IF(F698="GLOBORG",PR!$Y696,IF(F698="GOODNEWS",PR!$Z696,IF(F698="GREENLIFE",PR!$AA696,IF(F698="HLINE",PR!$AB696,IF(F698="ROTECH",PR!$AC696,IF(F698="ISN",PR!$AD696,IF(F698="JAWA",PR!$AE696,IF(F698="LAYO",PR!$AF696,IF(F698="LEADWAY",PR!$AG696,IF(F698="LHV",PR!$AH696,IF(F698="MANOLA",PR!$AI696,IF(F698="MARCSON",PR!$AJ696,IF(F698="M&amp;B",PR!$AK696,IF(F698="MTRUST",PR!$AL696,IF(F698="MWORLD",PR!$AM696,IF(F698="MEGA",PR!$AN696,IF(F698="MICRONOVA",PR!$AO696,IF(F698="MFLASH",PR!$AP696,IF(F698="MORISON",PR!$AQ696,IF(F698="NEMEL",PR!$AR696,IF(F698="NHP",PR!$AS696,IF(F698="NHC",PR!$AT696,IF(F698="OLEAF",PR!$AU696,IF(F698="OCULUS",PR!$AV696,IF(F698="PACIFIC",PR!$AW696,IF(F698="PHAMATEX",PR!$AX696,IF(F698="PETHICS",PR!$AY696,IF(F698="PHILIPS",PR!$AZ696,IF(F698="RANBAXY",PR!$BA696,IF(F698="REALS",PR!$BB696,IF(F698="ROYAL",PR!$BC696,IF(F698="SAM",PR!$BD696,IF(F698="SEAGREEN",PR!$BE696,IF(F698="SKG",PR!$BF696,IF(F698="TAH",PR!$BG696,IF(F698="TAYLEK",PR!$BH696,IF(F698="TEMITA",PR!$BI696,IF(F698="THL",PR!$BJ696,IF(F698="UBASTIC",PR!$BK696,IF(F698="UNION",PR!$BL696,IF(F698="UNIQUE",PR!$BM696,IF(F698="VIXA",PR!$BN696,IF(F698="WWCV",PR!$BO696,IF(F698="ZOLON",PR!$BP696,"-"))))))))))))))))))))))))))))))))))))))))))))))))))))))))))))))))</f>
        <v>1000</v>
      </c>
      <c r="F698" s="102" t="str">
        <f>EV!L893</f>
        <v>GINOS</v>
      </c>
      <c r="G698" s="108">
        <f>IF(H698="ALPHA",PR!$E696,IF(H698="ASSENE",PR!$F696,IF(H698="BIOFEM",PR!$G696,IF(H698="BIOMED",PR!$H696,IF(H698="CHI",PR!$I696,IF(H698="CLARION",PR!$J696,IF(H698="CODIX",PR!$K696,IF(H698="COSMADE",PR!$L696,IF(H698="SANCON",PR!$M696,IF(H698="DEVON",PR!$N696,IF(H698="DORTEMAG",PR!$O696,IF(H698="DGF",PR!$P696,IF(H698="DYNAMIC",PR!$Q696,IF(H698="EMZOR",PR!$R696,IF(H698="EUMATT",PR!$S696,IF(H698="FIDSON",PR!$T696,IF(H698="FCGLOBAL",PR!$U696,IF(H698="GENEITH",PR!$V696,IF(H698="GINOS",PR!$W696,IF(H698="GSK",PR!$X696,IF(H698="GLOBORG",PR!$Y696,IF(H698="GOODNEWS",PR!$Z696,IF(H698="GREENLIFE",PR!$AA696,IF(H698="HLINE",PR!$AB696,IF(H698="ROTECH",PR!$AC696,IF(H698="ISN",PR!$AD696,IF(H698="JAWA",PR!$AE696,IF(H698="LAYO",PR!$AF696,IF(H698="LEADWAY",PR!$AG696,IF(H698="LHV",PR!$AH696,IF(H698="MANOLA",PR!$AI696,IF(H698="MARCSON",PR!$AJ696,IF(H698="M&amp;B",PR!$AK696,IF(H698="MTRUST",PR!$AL696,IF(H698="MWORLD",PR!$AM696,IF(H698="MEGA",PR!$AN696,IF(H698="MICRONOVA",PR!$AO696,IF(H698="MFLASH",PR!$AP696,IF(H698="MORISON",PR!$AQ696,IF(H698="NEMEL",PR!$AR696,IF(H698="NHP",PR!$AS696,IF(H698="NHC",PR!$AT696,IF(H698="OLEAF",PR!$AU696,IF(H698="OCULUS",PR!$AV696,IF(H698="PACIFIC",PR!$AW696,IF(H698="PHAMATEX",PR!$AX696,IF(H698="PETHICS",PR!$AY696,IF(H698="PHILIPS",PR!$AZ696,IF(H698="RANBAXY",PR!$BA696,IF(H698="REALS",PR!$BB696,IF(H698="ROYAL",PR!$BC696,IF(H698="SAM",PR!$BD696,IF(H698="SEAGREEN",PR!$BE696,IF(H698="SKG",PR!$BF696,IF(H698="TAH",PR!$BG696,IF(H698="TAYLEK",PR!$BH696,IF(H698="TEMITA",PR!$BI696,IF(H698="THL",PR!$BJ696,IF(H698="UBASTIC",PR!$BK696,IF(H698="UNION",PR!$BL696,IF(H698="UNIQUE",PR!$BM696,IF(H698="VIXA",PR!$BN696,IF(H698="WWCV",PR!$BO696,IF(H698="ZOLON",PR!$BP696,"-"))))))))))))))))))))))))))))))))))))))))))))))))))))))))))))))))</f>
        <v>1500</v>
      </c>
      <c r="H698" s="102" t="str">
        <f>EV!M893</f>
        <v>EUMATT</v>
      </c>
      <c r="I698" s="108">
        <f>IF(J698="ALPHA",PR!$E696,IF(J698="ASSENE",PR!$F696,IF(J698="BIOFEM",PR!$G696,IF(J698="BIOMED",PR!$H696,IF(J698="CHI",PR!$I696,IF(J698="CLARION",PR!$J696,IF(J698="CODIX",PR!$K696,IF(J698="COSMADE",PR!$L696,IF(J698="SANCON",PR!$M696,IF(J698="DEVON",PR!$N696,IF(J698="DORTEMAG",PR!$O696,IF(J698="DGF",PR!$P696,IF(J698="DYNAMIC",PR!$Q696,IF(J698="EMZOR",PR!$R696,IF(J698="EUMATT",PR!$S696,IF(J698="FIDSON",PR!$T696,IF(J698="FCGLOBAL",PR!$U696,IF(J698="GENEITH",PR!$V696,IF(J698="GINOS",PR!$W696,IF(J698="GSK",PR!$X696,IF(J698="GLOBORG",PR!$Y696,IF(J698="GOODNEWS",PR!$Z696,IF(J698="GREENLIFE",PR!$AA696,IF(J698="HLINE",PR!$AB696,IF(J698="ROTECH",PR!$AC696,IF(J698="ISN",PR!$AD696,IF(J698="JAWA",PR!$AE696,IF(J698="LAYO",PR!$AF696,IF(J698="LEADWAY",PR!$AG696,IF(J698="LHV",PR!$AH696,IF(J698="MANOLA",PR!$AI696,IF(J698="MARCSON",PR!$AJ696,IF(J698="M&amp;B",PR!$AK696,IF(J698="MTRUST",PR!$AL696,IF(J698="MWORLD",PR!$AM696,IF(J698="MEGA",PR!$AN696,IF(J698="MICRONOVA",PR!$AO696,IF(J698="MFLASH",PR!$AP696,IF(J698="MORISON",PR!$AQ696,IF(J698="NEMEL",PR!$AR696,IF(J698="NHP",PR!$AS696,IF(J698="NHC",PR!$AT696,IF(J698="OLEAF",PR!$AU696,IF(J698="OCULUS",PR!$AV696,IF(J698="PACIFIC",PR!$AW696,IF(J698="PHAMATEX",PR!$AX696,IF(J698="PETHICS",PR!$AY696,IF(J698="PHILIPS",PR!$AZ696,IF(J698="RANBAXY",PR!$BA696,IF(J698="REALS",PR!$BB696,IF(J698="ROYAL",PR!$BC696,IF(J698="SAM",PR!$BD696,IF(J698="SEAGREEN",PR!$BE696,IF(J698="SKG",PR!$BF696,IF(J698="TAH",PR!$BG696,IF(J698="TAYLEK",PR!$BH696,IF(J698="TEMITA",PR!$BI696,IF(J698="THL",PR!$BJ696,IF(J698="UBASTIC",PR!$BK696,IF(J698="UNION",PR!$BL696,IF(J698="UNIQUE",PR!$BM696,IF(J698="VIXA",PR!$BN696,IF(J698="WWCV",PR!$BO696,IF(J698="ZOLON",PR!$BP696,"-"))))))))))))))))))))))))))))))))))))))))))))))))))))))))))))))))</f>
        <v>1650</v>
      </c>
      <c r="J698" s="102" t="str">
        <f>EV!N893</f>
        <v>ROTECH</v>
      </c>
      <c r="K698" s="433" t="s">
        <v>821</v>
      </c>
      <c r="L698" s="183">
        <f>IF(K698&gt;0,IF(K698="ALPHA",PR!$E696,IF(K698="ASSENE",PR!$F696,IF(K698="BIOFEM",PR!$G696,IF(K698="BIOMED",PR!$H696,IF(K698="CHI",PR!$I696,IF(K698="CLARION",PR!$J696,IF(K698="CODIX",PR!$K696,IF(K698="COSMADE",PR!$L696,IF(K698="SANCON",PR!$M696,IF(K698="DEVON",PR!$N696,IF(K698="DORTEMAG",PR!$O696,IF(K698="DGF",PR!$P696,IF(K698="DYNAMIC",PR!$Q696,IF(K698="EMZOR",PR!$R696,IF(K698="EUMATT",PR!$S696,IF(K698="FIDSON",PR!$T696,IF(K698="FCGLOBAL",PR!$U696,IF(K698="GENEITH",PR!$V696,IF(K698="GINOS",PR!$W696,IF(K698="GSK",PR!$X696,IF(K698="GLOBORG",PR!$Y696,IF(K698="GOODNEWS",PR!$Z696,IF(K698="GREENLIFE",PR!$AA696,IF(K698="HLINE",PR!$AB696,IF(K698="ROTECH",PR!$AC696,IF(K698="ISN",PR!$AD696,IF(K698="JAWA",PR!$AE696,IF(K698="LAYO",PR!$AF696,IF(K698="LEADWAY",PR!$AG696,IF(K698="LHV",PR!$AH696,IF(K698="MANOLA",PR!$AI696,IF(K698="MARCSON",PR!$AJ696,IF(K698="M&amp;B",PR!$AK696,IF(K698="MTRUST",PR!$AL696,IF(K698="MWORLD",PR!$AM696,IF(K698="MEGA",PR!$AN696,IF(K698="MICRONOVA",PR!$AO696,IF(K698="MFLASH",PR!$AP696,IF(K698="MORISON",PR!$AQ696,IF(K698="NEMEL",PR!$AR696,IF(K698="NHP",PR!$AS696,IF(K698="NHC",PR!$AT696,IF(K698="OLEAF",PR!$AU696,IF(K698="OCULUS",PR!$AV696,IF(K698="PACIFIC",PR!$AW696,IF(K698="PHAMATEX",PR!$AX696,IF(K698="PETHICS",PR!$AY696,IF(K698="PHILIPS",PR!$AZ696,IF(K698="RANBAXY",PR!$BA696,IF(K698="REALS",PR!$BB696,IF(K698="ROYAL",PR!$BC696,IF(K698="SAM",PR!$BD696,IF(K698="SEAGREEN",PR!$BE696,IF(K698="SKG",PR!$BF696,IF(K698="TAH",PR!$BG696,IF(K698="TAYLEK",PR!$BH696,IF(K698="TEMITA",PR!$BI696,IF(K698="THL",PR!$BJ696,IF(K698="UBASTIC",PR!$BK696,IF(K698="UNION",PR!$BL696,IF(K698="UNIQUE",PR!$BM696,IF(K698="VIXA",PR!$BN696,IF(K698="WWCV",PR!$BO696,IF(K698="ZOLON",PR!$BP696,"-")))))))))))))))))))))))))))))))))))))))))))))))))))))))))))))))))</f>
        <v>1500</v>
      </c>
    </row>
    <row r="699" spans="1:12" ht="18.75" x14ac:dyDescent="0.3">
      <c r="A699" s="430">
        <f>PR!A697</f>
        <v>635</v>
      </c>
      <c r="B699" s="15" t="str">
        <f>PR!B697</f>
        <v>SKIN TRACTION KIT (ADULT)</v>
      </c>
      <c r="C699" s="113" t="str">
        <f>PR!D697</f>
        <v>PCS</v>
      </c>
      <c r="D699" s="113">
        <f>PR!C697</f>
        <v>120</v>
      </c>
      <c r="E699" s="108">
        <f>IF(F699="ALPHA",PR!$E697,IF(F699="ASSENE",PR!$F697,IF(F699="BIOFEM",PR!$G697,IF(F699="BIOMED",PR!$H697,IF(F699="CHI",PR!$I697,IF(F699="CLARION",PR!$J697,IF(F699="CODIX",PR!$K697,IF(F699="COSMADE",PR!$L697,IF(F699="SANCON",PR!$M697,IF(F699="DEVON",PR!$N697,IF(F699="DORTEMAG",PR!$O697,IF(F699="DGF",PR!$P697,IF(F699="DYNAMIC",PR!$Q697,IF(F699="EMZOR",PR!$R697,IF(F699="EUMATT",PR!$S697,IF(F699="FIDSON",PR!$T697,IF(F699="FCGLOBAL",PR!$U697,IF(F699="GENEITH",PR!$V697,IF(F699="GINOS",PR!$W697,IF(F699="GSK",PR!$X697,IF(F699="GLOBORG",PR!$Y697,IF(F699="GOODNEWS",PR!$Z697,IF(F699="GREENLIFE",PR!$AA697,IF(F699="HLINE",PR!$AB697,IF(F699="ROTECH",PR!$AC697,IF(F699="ISN",PR!$AD697,IF(F699="JAWA",PR!$AE697,IF(F699="LAYO",PR!$AF697,IF(F699="LEADWAY",PR!$AG697,IF(F699="LHV",PR!$AH697,IF(F699="MANOLA",PR!$AI697,IF(F699="MARCSON",PR!$AJ697,IF(F699="M&amp;B",PR!$AK697,IF(F699="MTRUST",PR!$AL697,IF(F699="MWORLD",PR!$AM697,IF(F699="MEGA",PR!$AN697,IF(F699="MICRONOVA",PR!$AO697,IF(F699="MFLASH",PR!$AP697,IF(F699="MORISON",PR!$AQ697,IF(F699="NEMEL",PR!$AR697,IF(F699="NHP",PR!$AS697,IF(F699="NHC",PR!$AT697,IF(F699="OLEAF",PR!$AU697,IF(F699="OCULUS",PR!$AV697,IF(F699="PACIFIC",PR!$AW697,IF(F699="PHAMATEX",PR!$AX697,IF(F699="PETHICS",PR!$AY697,IF(F699="PHILIPS",PR!$AZ697,IF(F699="RANBAXY",PR!$BA697,IF(F699="REALS",PR!$BB697,IF(F699="ROYAL",PR!$BC697,IF(F699="SAM",PR!$BD697,IF(F699="SEAGREEN",PR!$BE697,IF(F699="SKG",PR!$BF697,IF(F699="TAH",PR!$BG697,IF(F699="TAYLEK",PR!$BH697,IF(F699="TEMITA",PR!$BI697,IF(F699="THL",PR!$BJ697,IF(F699="UBASTIC",PR!$BK697,IF(F699="UNION",PR!$BL697,IF(F699="UNIQUE",PR!$BM697,IF(F699="VIXA",PR!$BN697,IF(F699="WWCV",PR!$BO697,IF(F699="ZOLON",PR!$BP697,"-"))))))))))))))))))))))))))))))))))))))))))))))))))))))))))))))))</f>
        <v>4600</v>
      </c>
      <c r="F699" s="102" t="str">
        <f>EV!L894</f>
        <v>SANCON</v>
      </c>
      <c r="G699" s="108">
        <f>IF(H699="ALPHA",PR!$E697,IF(H699="ASSENE",PR!$F697,IF(H699="BIOFEM",PR!$G697,IF(H699="BIOMED",PR!$H697,IF(H699="CHI",PR!$I697,IF(H699="CLARION",PR!$J697,IF(H699="CODIX",PR!$K697,IF(H699="COSMADE",PR!$L697,IF(H699="SANCON",PR!$M697,IF(H699="DEVON",PR!$N697,IF(H699="DORTEMAG",PR!$O697,IF(H699="DGF",PR!$P697,IF(H699="DYNAMIC",PR!$Q697,IF(H699="EMZOR",PR!$R697,IF(H699="EUMATT",PR!$S697,IF(H699="FIDSON",PR!$T697,IF(H699="FCGLOBAL",PR!$U697,IF(H699="GENEITH",PR!$V697,IF(H699="GINOS",PR!$W697,IF(H699="GSK",PR!$X697,IF(H699="GLOBORG",PR!$Y697,IF(H699="GOODNEWS",PR!$Z697,IF(H699="GREENLIFE",PR!$AA697,IF(H699="HLINE",PR!$AB697,IF(H699="ROTECH",PR!$AC697,IF(H699="ISN",PR!$AD697,IF(H699="JAWA",PR!$AE697,IF(H699="LAYO",PR!$AF697,IF(H699="LEADWAY",PR!$AG697,IF(H699="LHV",PR!$AH697,IF(H699="MANOLA",PR!$AI697,IF(H699="MARCSON",PR!$AJ697,IF(H699="M&amp;B",PR!$AK697,IF(H699="MTRUST",PR!$AL697,IF(H699="MWORLD",PR!$AM697,IF(H699="MEGA",PR!$AN697,IF(H699="MICRONOVA",PR!$AO697,IF(H699="MFLASH",PR!$AP697,IF(H699="MORISON",PR!$AQ697,IF(H699="NEMEL",PR!$AR697,IF(H699="NHP",PR!$AS697,IF(H699="NHC",PR!$AT697,IF(H699="OLEAF",PR!$AU697,IF(H699="OCULUS",PR!$AV697,IF(H699="PACIFIC",PR!$AW697,IF(H699="PHAMATEX",PR!$AX697,IF(H699="PETHICS",PR!$AY697,IF(H699="PHILIPS",PR!$AZ697,IF(H699="RANBAXY",PR!$BA697,IF(H699="REALS",PR!$BB697,IF(H699="ROYAL",PR!$BC697,IF(H699="SAM",PR!$BD697,IF(H699="SEAGREEN",PR!$BE697,IF(H699="SKG",PR!$BF697,IF(H699="TAH",PR!$BG697,IF(H699="TAYLEK",PR!$BH697,IF(H699="TEMITA",PR!$BI697,IF(H699="THL",PR!$BJ697,IF(H699="UBASTIC",PR!$BK697,IF(H699="UNION",PR!$BL697,IF(H699="UNIQUE",PR!$BM697,IF(H699="VIXA",PR!$BN697,IF(H699="WWCV",PR!$BO697,IF(H699="ZOLON",PR!$BP697,"-"))))))))))))))))))))))))))))))))))))))))))))))))))))))))))))))))</f>
        <v>5500</v>
      </c>
      <c r="H699" s="102" t="str">
        <f>EV!M894</f>
        <v>COSMADE</v>
      </c>
      <c r="I699" s="108" t="str">
        <f>IF(J699="ALPHA",PR!$E697,IF(J699="ASSENE",PR!$F697,IF(J699="BIOFEM",PR!$G697,IF(J699="BIOMED",PR!$H697,IF(J699="CHI",PR!$I697,IF(J699="CLARION",PR!$J697,IF(J699="CODIX",PR!$K697,IF(J699="COSMADE",PR!$L697,IF(J699="SANCON",PR!$M697,IF(J699="DEVON",PR!$N697,IF(J699="DORTEMAG",PR!$O697,IF(J699="DGF",PR!$P697,IF(J699="DYNAMIC",PR!$Q697,IF(J699="EMZOR",PR!$R697,IF(J699="EUMATT",PR!$S697,IF(J699="FIDSON",PR!$T697,IF(J699="FCGLOBAL",PR!$U697,IF(J699="GENEITH",PR!$V697,IF(J699="GINOS",PR!$W697,IF(J699="GSK",PR!$X697,IF(J699="GLOBORG",PR!$Y697,IF(J699="GOODNEWS",PR!$Z697,IF(J699="GREENLIFE",PR!$AA697,IF(J699="HLINE",PR!$AB697,IF(J699="ROTECH",PR!$AC697,IF(J699="ISN",PR!$AD697,IF(J699="JAWA",PR!$AE697,IF(J699="LAYO",PR!$AF697,IF(J699="LEADWAY",PR!$AG697,IF(J699="LHV",PR!$AH697,IF(J699="MANOLA",PR!$AI697,IF(J699="MARCSON",PR!$AJ697,IF(J699="M&amp;B",PR!$AK697,IF(J699="MTRUST",PR!$AL697,IF(J699="MWORLD",PR!$AM697,IF(J699="MEGA",PR!$AN697,IF(J699="MICRONOVA",PR!$AO697,IF(J699="MFLASH",PR!$AP697,IF(J699="MORISON",PR!$AQ697,IF(J699="NEMEL",PR!$AR697,IF(J699="NHP",PR!$AS697,IF(J699="NHC",PR!$AT697,IF(J699="OLEAF",PR!$AU697,IF(J699="OCULUS",PR!$AV697,IF(J699="PACIFIC",PR!$AW697,IF(J699="PHAMATEX",PR!$AX697,IF(J699="PETHICS",PR!$AY697,IF(J699="PHILIPS",PR!$AZ697,IF(J699="RANBAXY",PR!$BA697,IF(J699="REALS",PR!$BB697,IF(J699="ROYAL",PR!$BC697,IF(J699="SAM",PR!$BD697,IF(J699="SEAGREEN",PR!$BE697,IF(J699="SKG",PR!$BF697,IF(J699="TAH",PR!$BG697,IF(J699="TAYLEK",PR!$BH697,IF(J699="TEMITA",PR!$BI697,IF(J699="THL",PR!$BJ697,IF(J699="UBASTIC",PR!$BK697,IF(J699="UNION",PR!$BL697,IF(J699="UNIQUE",PR!$BM697,IF(J699="VIXA",PR!$BN697,IF(J699="WWCV",PR!$BO697,IF(J699="ZOLON",PR!$BP697,"-"))))))))))))))))))))))))))))))))))))))))))))))))))))))))))))))))</f>
        <v>-</v>
      </c>
      <c r="J699" s="102">
        <f>EV!N894</f>
        <v>0</v>
      </c>
      <c r="K699" s="433" t="s">
        <v>817</v>
      </c>
      <c r="L699" s="183">
        <f>IF(K699&gt;0,IF(K699="ALPHA",PR!$E697,IF(K699="ASSENE",PR!$F697,IF(K699="BIOFEM",PR!$G697,IF(K699="BIOMED",PR!$H697,IF(K699="CHI",PR!$I697,IF(K699="CLARION",PR!$J697,IF(K699="CODIX",PR!$K697,IF(K699="COSMADE",PR!$L697,IF(K699="SANCON",PR!$M697,IF(K699="DEVON",PR!$N697,IF(K699="DORTEMAG",PR!$O697,IF(K699="DGF",PR!$P697,IF(K699="DYNAMIC",PR!$Q697,IF(K699="EMZOR",PR!$R697,IF(K699="EUMATT",PR!$S697,IF(K699="FIDSON",PR!$T697,IF(K699="FCGLOBAL",PR!$U697,IF(K699="GENEITH",PR!$V697,IF(K699="GINOS",PR!$W697,IF(K699="GSK",PR!$X697,IF(K699="GLOBORG",PR!$Y697,IF(K699="GOODNEWS",PR!$Z697,IF(K699="GREENLIFE",PR!$AA697,IF(K699="HLINE",PR!$AB697,IF(K699="ROTECH",PR!$AC697,IF(K699="ISN",PR!$AD697,IF(K699="JAWA",PR!$AE697,IF(K699="LAYO",PR!$AF697,IF(K699="LEADWAY",PR!$AG697,IF(K699="LHV",PR!$AH697,IF(K699="MANOLA",PR!$AI697,IF(K699="MARCSON",PR!$AJ697,IF(K699="M&amp;B",PR!$AK697,IF(K699="MTRUST",PR!$AL697,IF(K699="MWORLD",PR!$AM697,IF(K699="MEGA",PR!$AN697,IF(K699="MICRONOVA",PR!$AO697,IF(K699="MFLASH",PR!$AP697,IF(K699="MORISON",PR!$AQ697,IF(K699="NEMEL",PR!$AR697,IF(K699="NHP",PR!$AS697,IF(K699="NHC",PR!$AT697,IF(K699="OLEAF",PR!$AU697,IF(K699="OCULUS",PR!$AV697,IF(K699="PACIFIC",PR!$AW697,IF(K699="PHAMATEX",PR!$AX697,IF(K699="PETHICS",PR!$AY697,IF(K699="PHILIPS",PR!$AZ697,IF(K699="RANBAXY",PR!$BA697,IF(K699="REALS",PR!$BB697,IF(K699="ROYAL",PR!$BC697,IF(K699="SAM",PR!$BD697,IF(K699="SEAGREEN",PR!$BE697,IF(K699="SKG",PR!$BF697,IF(K699="TAH",PR!$BG697,IF(K699="TAYLEK",PR!$BH697,IF(K699="TEMITA",PR!$BI697,IF(K699="THL",PR!$BJ697,IF(K699="UBASTIC",PR!$BK697,IF(K699="UNION",PR!$BL697,IF(K699="UNIQUE",PR!$BM697,IF(K699="VIXA",PR!$BN697,IF(K699="WWCV",PR!$BO697,IF(K699="ZOLON",PR!$BP697,"-")))))))))))))))))))))))))))))))))))))))))))))))))))))))))))))))))</f>
        <v>4600</v>
      </c>
    </row>
    <row r="700" spans="1:12" ht="18.75" x14ac:dyDescent="0.3">
      <c r="A700" s="430">
        <f>PR!A698</f>
        <v>636</v>
      </c>
      <c r="B700" s="15" t="str">
        <f>PR!B698</f>
        <v>SKIN TRACTION KIT (PAED)</v>
      </c>
      <c r="C700" s="113" t="str">
        <f>PR!D698</f>
        <v>PCS</v>
      </c>
      <c r="D700" s="113">
        <f>PR!C698</f>
        <v>40</v>
      </c>
      <c r="E700" s="108">
        <f>IF(F700="ALPHA",PR!$E698,IF(F700="ASSENE",PR!$F698,IF(F700="BIOFEM",PR!$G698,IF(F700="BIOMED",PR!$H698,IF(F700="CHI",PR!$I698,IF(F700="CLARION",PR!$J698,IF(F700="CODIX",PR!$K698,IF(F700="COSMADE",PR!$L698,IF(F700="SANCON",PR!$M698,IF(F700="DEVON",PR!$N698,IF(F700="DORTEMAG",PR!$O698,IF(F700="DGF",PR!$P698,IF(F700="DYNAMIC",PR!$Q698,IF(F700="EMZOR",PR!$R698,IF(F700="EUMATT",PR!$S698,IF(F700="FIDSON",PR!$T698,IF(F700="FCGLOBAL",PR!$U698,IF(F700="GENEITH",PR!$V698,IF(F700="GINOS",PR!$W698,IF(F700="GSK",PR!$X698,IF(F700="GLOBORG",PR!$Y698,IF(F700="GOODNEWS",PR!$Z698,IF(F700="GREENLIFE",PR!$AA698,IF(F700="HLINE",PR!$AB698,IF(F700="ROTECH",PR!$AC698,IF(F700="ISN",PR!$AD698,IF(F700="JAWA",PR!$AE698,IF(F700="LAYO",PR!$AF698,IF(F700="LEADWAY",PR!$AG698,IF(F700="LHV",PR!$AH698,IF(F700="MANOLA",PR!$AI698,IF(F700="MARCSON",PR!$AJ698,IF(F700="M&amp;B",PR!$AK698,IF(F700="MTRUST",PR!$AL698,IF(F700="MWORLD",PR!$AM698,IF(F700="MEGA",PR!$AN698,IF(F700="MICRONOVA",PR!$AO698,IF(F700="MFLASH",PR!$AP698,IF(F700="MORISON",PR!$AQ698,IF(F700="NEMEL",PR!$AR698,IF(F700="NHP",PR!$AS698,IF(F700="NHC",PR!$AT698,IF(F700="OLEAF",PR!$AU698,IF(F700="OCULUS",PR!$AV698,IF(F700="PACIFIC",PR!$AW698,IF(F700="PHAMATEX",PR!$AX698,IF(F700="PETHICS",PR!$AY698,IF(F700="PHILIPS",PR!$AZ698,IF(F700="RANBAXY",PR!$BA698,IF(F700="REALS",PR!$BB698,IF(F700="ROYAL",PR!$BC698,IF(F700="SAM",PR!$BD698,IF(F700="SEAGREEN",PR!$BE698,IF(F700="SKG",PR!$BF698,IF(F700="TAH",PR!$BG698,IF(F700="TAYLEK",PR!$BH698,IF(F700="TEMITA",PR!$BI698,IF(F700="THL",PR!$BJ698,IF(F700="UBASTIC",PR!$BK698,IF(F700="UNION",PR!$BL698,IF(F700="UNIQUE",PR!$BM698,IF(F700="VIXA",PR!$BN698,IF(F700="WWCV",PR!$BO698,IF(F700="ZOLON",PR!$BP698,"-"))))))))))))))))))))))))))))))))))))))))))))))))))))))))))))))))</f>
        <v>4000</v>
      </c>
      <c r="F700" s="102" t="str">
        <f>EV!L895</f>
        <v>SANCON</v>
      </c>
      <c r="G700" s="108">
        <f>IF(H700="ALPHA",PR!$E698,IF(H700="ASSENE",PR!$F698,IF(H700="BIOFEM",PR!$G698,IF(H700="BIOMED",PR!$H698,IF(H700="CHI",PR!$I698,IF(H700="CLARION",PR!$J698,IF(H700="CODIX",PR!$K698,IF(H700="COSMADE",PR!$L698,IF(H700="SANCON",PR!$M698,IF(H700="DEVON",PR!$N698,IF(H700="DORTEMAG",PR!$O698,IF(H700="DGF",PR!$P698,IF(H700="DYNAMIC",PR!$Q698,IF(H700="EMZOR",PR!$R698,IF(H700="EUMATT",PR!$S698,IF(H700="FIDSON",PR!$T698,IF(H700="FCGLOBAL",PR!$U698,IF(H700="GENEITH",PR!$V698,IF(H700="GINOS",PR!$W698,IF(H700="GSK",PR!$X698,IF(H700="GLOBORG",PR!$Y698,IF(H700="GOODNEWS",PR!$Z698,IF(H700="GREENLIFE",PR!$AA698,IF(H700="HLINE",PR!$AB698,IF(H700="ROTECH",PR!$AC698,IF(H700="ISN",PR!$AD698,IF(H700="JAWA",PR!$AE698,IF(H700="LAYO",PR!$AF698,IF(H700="LEADWAY",PR!$AG698,IF(H700="LHV",PR!$AH698,IF(H700="MANOLA",PR!$AI698,IF(H700="MARCSON",PR!$AJ698,IF(H700="M&amp;B",PR!$AK698,IF(H700="MTRUST",PR!$AL698,IF(H700="MWORLD",PR!$AM698,IF(H700="MEGA",PR!$AN698,IF(H700="MICRONOVA",PR!$AO698,IF(H700="MFLASH",PR!$AP698,IF(H700="MORISON",PR!$AQ698,IF(H700="NEMEL",PR!$AR698,IF(H700="NHP",PR!$AS698,IF(H700="NHC",PR!$AT698,IF(H700="OLEAF",PR!$AU698,IF(H700="OCULUS",PR!$AV698,IF(H700="PACIFIC",PR!$AW698,IF(H700="PHAMATEX",PR!$AX698,IF(H700="PETHICS",PR!$AY698,IF(H700="PHILIPS",PR!$AZ698,IF(H700="RANBAXY",PR!$BA698,IF(H700="REALS",PR!$BB698,IF(H700="ROYAL",PR!$BC698,IF(H700="SAM",PR!$BD698,IF(H700="SEAGREEN",PR!$BE698,IF(H700="SKG",PR!$BF698,IF(H700="TAH",PR!$BG698,IF(H700="TAYLEK",PR!$BH698,IF(H700="TEMITA",PR!$BI698,IF(H700="THL",PR!$BJ698,IF(H700="UBASTIC",PR!$BK698,IF(H700="UNION",PR!$BL698,IF(H700="UNIQUE",PR!$BM698,IF(H700="VIXA",PR!$BN698,IF(H700="WWCV",PR!$BO698,IF(H700="ZOLON",PR!$BP698,"-"))))))))))))))))))))))))))))))))))))))))))))))))))))))))))))))))</f>
        <v>5500</v>
      </c>
      <c r="H700" s="102" t="str">
        <f>EV!M895</f>
        <v>COSMADE</v>
      </c>
      <c r="I700" s="108" t="str">
        <f>IF(J700="ALPHA",PR!$E698,IF(J700="ASSENE",PR!$F698,IF(J700="BIOFEM",PR!$G698,IF(J700="BIOMED",PR!$H698,IF(J700="CHI",PR!$I698,IF(J700="CLARION",PR!$J698,IF(J700="CODIX",PR!$K698,IF(J700="COSMADE",PR!$L698,IF(J700="SANCON",PR!$M698,IF(J700="DEVON",PR!$N698,IF(J700="DORTEMAG",PR!$O698,IF(J700="DGF",PR!$P698,IF(J700="DYNAMIC",PR!$Q698,IF(J700="EMZOR",PR!$R698,IF(J700="EUMATT",PR!$S698,IF(J700="FIDSON",PR!$T698,IF(J700="FCGLOBAL",PR!$U698,IF(J700="GENEITH",PR!$V698,IF(J700="GINOS",PR!$W698,IF(J700="GSK",PR!$X698,IF(J700="GLOBORG",PR!$Y698,IF(J700="GOODNEWS",PR!$Z698,IF(J700="GREENLIFE",PR!$AA698,IF(J700="HLINE",PR!$AB698,IF(J700="ROTECH",PR!$AC698,IF(J700="ISN",PR!$AD698,IF(J700="JAWA",PR!$AE698,IF(J700="LAYO",PR!$AF698,IF(J700="LEADWAY",PR!$AG698,IF(J700="LHV",PR!$AH698,IF(J700="MANOLA",PR!$AI698,IF(J700="MARCSON",PR!$AJ698,IF(J700="M&amp;B",PR!$AK698,IF(J700="MTRUST",PR!$AL698,IF(J700="MWORLD",PR!$AM698,IF(J700="MEGA",PR!$AN698,IF(J700="MICRONOVA",PR!$AO698,IF(J700="MFLASH",PR!$AP698,IF(J700="MORISON",PR!$AQ698,IF(J700="NEMEL",PR!$AR698,IF(J700="NHP",PR!$AS698,IF(J700="NHC",PR!$AT698,IF(J700="OLEAF",PR!$AU698,IF(J700="OCULUS",PR!$AV698,IF(J700="PACIFIC",PR!$AW698,IF(J700="PHAMATEX",PR!$AX698,IF(J700="PETHICS",PR!$AY698,IF(J700="PHILIPS",PR!$AZ698,IF(J700="RANBAXY",PR!$BA698,IF(J700="REALS",PR!$BB698,IF(J700="ROYAL",PR!$BC698,IF(J700="SAM",PR!$BD698,IF(J700="SEAGREEN",PR!$BE698,IF(J700="SKG",PR!$BF698,IF(J700="TAH",PR!$BG698,IF(J700="TAYLEK",PR!$BH698,IF(J700="TEMITA",PR!$BI698,IF(J700="THL",PR!$BJ698,IF(J700="UBASTIC",PR!$BK698,IF(J700="UNION",PR!$BL698,IF(J700="UNIQUE",PR!$BM698,IF(J700="VIXA",PR!$BN698,IF(J700="WWCV",PR!$BO698,IF(J700="ZOLON",PR!$BP698,"-"))))))))))))))))))))))))))))))))))))))))))))))))))))))))))))))))</f>
        <v>-</v>
      </c>
      <c r="J700" s="102">
        <f>EV!N895</f>
        <v>0</v>
      </c>
      <c r="K700" s="433" t="s">
        <v>817</v>
      </c>
      <c r="L700" s="183">
        <f>IF(K700&gt;0,IF(K700="ALPHA",PR!$E698,IF(K700="ASSENE",PR!$F698,IF(K700="BIOFEM",PR!$G698,IF(K700="BIOMED",PR!$H698,IF(K700="CHI",PR!$I698,IF(K700="CLARION",PR!$J698,IF(K700="CODIX",PR!$K698,IF(K700="COSMADE",PR!$L698,IF(K700="SANCON",PR!$M698,IF(K700="DEVON",PR!$N698,IF(K700="DORTEMAG",PR!$O698,IF(K700="DGF",PR!$P698,IF(K700="DYNAMIC",PR!$Q698,IF(K700="EMZOR",PR!$R698,IF(K700="EUMATT",PR!$S698,IF(K700="FIDSON",PR!$T698,IF(K700="FCGLOBAL",PR!$U698,IF(K700="GENEITH",PR!$V698,IF(K700="GINOS",PR!$W698,IF(K700="GSK",PR!$X698,IF(K700="GLOBORG",PR!$Y698,IF(K700="GOODNEWS",PR!$Z698,IF(K700="GREENLIFE",PR!$AA698,IF(K700="HLINE",PR!$AB698,IF(K700="ROTECH",PR!$AC698,IF(K700="ISN",PR!$AD698,IF(K700="JAWA",PR!$AE698,IF(K700="LAYO",PR!$AF698,IF(K700="LEADWAY",PR!$AG698,IF(K700="LHV",PR!$AH698,IF(K700="MANOLA",PR!$AI698,IF(K700="MARCSON",PR!$AJ698,IF(K700="M&amp;B",PR!$AK698,IF(K700="MTRUST",PR!$AL698,IF(K700="MWORLD",PR!$AM698,IF(K700="MEGA",PR!$AN698,IF(K700="MICRONOVA",PR!$AO698,IF(K700="MFLASH",PR!$AP698,IF(K700="MORISON",PR!$AQ698,IF(K700="NEMEL",PR!$AR698,IF(K700="NHP",PR!$AS698,IF(K700="NHC",PR!$AT698,IF(K700="OLEAF",PR!$AU698,IF(K700="OCULUS",PR!$AV698,IF(K700="PACIFIC",PR!$AW698,IF(K700="PHAMATEX",PR!$AX698,IF(K700="PETHICS",PR!$AY698,IF(K700="PHILIPS",PR!$AZ698,IF(K700="RANBAXY",PR!$BA698,IF(K700="REALS",PR!$BB698,IF(K700="ROYAL",PR!$BC698,IF(K700="SAM",PR!$BD698,IF(K700="SEAGREEN",PR!$BE698,IF(K700="SKG",PR!$BF698,IF(K700="TAH",PR!$BG698,IF(K700="TAYLEK",PR!$BH698,IF(K700="TEMITA",PR!$BI698,IF(K700="THL",PR!$BJ698,IF(K700="UBASTIC",PR!$BK698,IF(K700="UNION",PR!$BL698,IF(K700="UNIQUE",PR!$BM698,IF(K700="VIXA",PR!$BN698,IF(K700="WWCV",PR!$BO698,IF(K700="ZOLON",PR!$BP698,"-")))))))))))))))))))))))))))))))))))))))))))))))))))))))))))))))))</f>
        <v>4000</v>
      </c>
    </row>
    <row r="701" spans="1:12" ht="18.75" x14ac:dyDescent="0.3">
      <c r="A701" s="430">
        <f>PR!A699</f>
        <v>637</v>
      </c>
      <c r="B701" s="15" t="str">
        <f>PR!B699</f>
        <v>SOFRATULLE</v>
      </c>
      <c r="C701" s="113">
        <f>PR!D699</f>
        <v>100</v>
      </c>
      <c r="D701" s="113">
        <f>PR!C699</f>
        <v>32</v>
      </c>
      <c r="E701" s="108">
        <f>IF(F701="ALPHA",PR!$E699,IF(F701="ASSENE",PR!$F699,IF(F701="BIOFEM",PR!$G699,IF(F701="BIOMED",PR!$H699,IF(F701="CHI",PR!$I699,IF(F701="CLARION",PR!$J699,IF(F701="CODIX",PR!$K699,IF(F701="COSMADE",PR!$L699,IF(F701="SANCON",PR!$M699,IF(F701="DEVON",PR!$N699,IF(F701="DORTEMAG",PR!$O699,IF(F701="DGF",PR!$P699,IF(F701="DYNAMIC",PR!$Q699,IF(F701="EMZOR",PR!$R699,IF(F701="EUMATT",PR!$S699,IF(F701="FIDSON",PR!$T699,IF(F701="FCGLOBAL",PR!$U699,IF(F701="GENEITH",PR!$V699,IF(F701="GINOS",PR!$W699,IF(F701="GSK",PR!$X699,IF(F701="GLOBORG",PR!$Y699,IF(F701="GOODNEWS",PR!$Z699,IF(F701="GREENLIFE",PR!$AA699,IF(F701="HLINE",PR!$AB699,IF(F701="ROTECH",PR!$AC699,IF(F701="ISN",PR!$AD699,IF(F701="JAWA",PR!$AE699,IF(F701="LAYO",PR!$AF699,IF(F701="LEADWAY",PR!$AG699,IF(F701="LHV",PR!$AH699,IF(F701="MANOLA",PR!$AI699,IF(F701="MARCSON",PR!$AJ699,IF(F701="M&amp;B",PR!$AK699,IF(F701="MTRUST",PR!$AL699,IF(F701="MWORLD",PR!$AM699,IF(F701="MEGA",PR!$AN699,IF(F701="MICRONOVA",PR!$AO699,IF(F701="MFLASH",PR!$AP699,IF(F701="MORISON",PR!$AQ699,IF(F701="NEMEL",PR!$AR699,IF(F701="NHP",PR!$AS699,IF(F701="NHC",PR!$AT699,IF(F701="OLEAF",PR!$AU699,IF(F701="OCULUS",PR!$AV699,IF(F701="PACIFIC",PR!$AW699,IF(F701="PHAMATEX",PR!$AX699,IF(F701="PETHICS",PR!$AY699,IF(F701="PHILIPS",PR!$AZ699,IF(F701="RANBAXY",PR!$BA699,IF(F701="REALS",PR!$BB699,IF(F701="ROYAL",PR!$BC699,IF(F701="SAM",PR!$BD699,IF(F701="SEAGREEN",PR!$BE699,IF(F701="SKG",PR!$BF699,IF(F701="TAH",PR!$BG699,IF(F701="TAYLEK",PR!$BH699,IF(F701="TEMITA",PR!$BI699,IF(F701="THL",PR!$BJ699,IF(F701="UBASTIC",PR!$BK699,IF(F701="UNION",PR!$BL699,IF(F701="UNIQUE",PR!$BM699,IF(F701="VIXA",PR!$BN699,IF(F701="WWCV",PR!$BO699,IF(F701="ZOLON",PR!$BP699,"-"))))))))))))))))))))))))))))))))))))))))))))))))))))))))))))))))</f>
        <v>5520</v>
      </c>
      <c r="F701" s="102" t="str">
        <f>EV!L896</f>
        <v>ROTECH</v>
      </c>
      <c r="G701" s="108">
        <f>IF(H701="ALPHA",PR!$E699,IF(H701="ASSENE",PR!$F699,IF(H701="BIOFEM",PR!$G699,IF(H701="BIOMED",PR!$H699,IF(H701="CHI",PR!$I699,IF(H701="CLARION",PR!$J699,IF(H701="CODIX",PR!$K699,IF(H701="COSMADE",PR!$L699,IF(H701="SANCON",PR!$M699,IF(H701="DEVON",PR!$N699,IF(H701="DORTEMAG",PR!$O699,IF(H701="DGF",PR!$P699,IF(H701="DYNAMIC",PR!$Q699,IF(H701="EMZOR",PR!$R699,IF(H701="EUMATT",PR!$S699,IF(H701="FIDSON",PR!$T699,IF(H701="FCGLOBAL",PR!$U699,IF(H701="GENEITH",PR!$V699,IF(H701="GINOS",PR!$W699,IF(H701="GSK",PR!$X699,IF(H701="GLOBORG",PR!$Y699,IF(H701="GOODNEWS",PR!$Z699,IF(H701="GREENLIFE",PR!$AA699,IF(H701="HLINE",PR!$AB699,IF(H701="ROTECH",PR!$AC699,IF(H701="ISN",PR!$AD699,IF(H701="JAWA",PR!$AE699,IF(H701="LAYO",PR!$AF699,IF(H701="LEADWAY",PR!$AG699,IF(H701="LHV",PR!$AH699,IF(H701="MANOLA",PR!$AI699,IF(H701="MARCSON",PR!$AJ699,IF(H701="M&amp;B",PR!$AK699,IF(H701="MTRUST",PR!$AL699,IF(H701="MWORLD",PR!$AM699,IF(H701="MEGA",PR!$AN699,IF(H701="MICRONOVA",PR!$AO699,IF(H701="MFLASH",PR!$AP699,IF(H701="MORISON",PR!$AQ699,IF(H701="NEMEL",PR!$AR699,IF(H701="NHP",PR!$AS699,IF(H701="NHC",PR!$AT699,IF(H701="OLEAF",PR!$AU699,IF(H701="OCULUS",PR!$AV699,IF(H701="PACIFIC",PR!$AW699,IF(H701="PHAMATEX",PR!$AX699,IF(H701="PETHICS",PR!$AY699,IF(H701="PHILIPS",PR!$AZ699,IF(H701="RANBAXY",PR!$BA699,IF(H701="REALS",PR!$BB699,IF(H701="ROYAL",PR!$BC699,IF(H701="SAM",PR!$BD699,IF(H701="SEAGREEN",PR!$BE699,IF(H701="SKG",PR!$BF699,IF(H701="TAH",PR!$BG699,IF(H701="TAYLEK",PR!$BH699,IF(H701="TEMITA",PR!$BI699,IF(H701="THL",PR!$BJ699,IF(H701="UBASTIC",PR!$BK699,IF(H701="UNION",PR!$BL699,IF(H701="UNIQUE",PR!$BM699,IF(H701="VIXA",PR!$BN699,IF(H701="WWCV",PR!$BO699,IF(H701="ZOLON",PR!$BP699,"-"))))))))))))))))))))))))))))))))))))))))))))))))))))))))))))))))</f>
        <v>5400</v>
      </c>
      <c r="H701" s="102" t="str">
        <f>EV!M896</f>
        <v>EUMATT</v>
      </c>
      <c r="I701" s="108">
        <f>IF(J701="ALPHA",PR!$E699,IF(J701="ASSENE",PR!$F699,IF(J701="BIOFEM",PR!$G699,IF(J701="BIOMED",PR!$H699,IF(J701="CHI",PR!$I699,IF(J701="CLARION",PR!$J699,IF(J701="CODIX",PR!$K699,IF(J701="COSMADE",PR!$L699,IF(J701="SANCON",PR!$M699,IF(J701="DEVON",PR!$N699,IF(J701="DORTEMAG",PR!$O699,IF(J701="DGF",PR!$P699,IF(J701="DYNAMIC",PR!$Q699,IF(J701="EMZOR",PR!$R699,IF(J701="EUMATT",PR!$S699,IF(J701="FIDSON",PR!$T699,IF(J701="FCGLOBAL",PR!$U699,IF(J701="GENEITH",PR!$V699,IF(J701="GINOS",PR!$W699,IF(J701="GSK",PR!$X699,IF(J701="GLOBORG",PR!$Y699,IF(J701="GOODNEWS",PR!$Z699,IF(J701="GREENLIFE",PR!$AA699,IF(J701="HLINE",PR!$AB699,IF(J701="ROTECH",PR!$AC699,IF(J701="ISN",PR!$AD699,IF(J701="JAWA",PR!$AE699,IF(J701="LAYO",PR!$AF699,IF(J701="LEADWAY",PR!$AG699,IF(J701="LHV",PR!$AH699,IF(J701="MANOLA",PR!$AI699,IF(J701="MARCSON",PR!$AJ699,IF(J701="M&amp;B",PR!$AK699,IF(J701="MTRUST",PR!$AL699,IF(J701="MWORLD",PR!$AM699,IF(J701="MEGA",PR!$AN699,IF(J701="MICRONOVA",PR!$AO699,IF(J701="MFLASH",PR!$AP699,IF(J701="MORISON",PR!$AQ699,IF(J701="NEMEL",PR!$AR699,IF(J701="NHP",PR!$AS699,IF(J701="NHC",PR!$AT699,IF(J701="OLEAF",PR!$AU699,IF(J701="OCULUS",PR!$AV699,IF(J701="PACIFIC",PR!$AW699,IF(J701="PHAMATEX",PR!$AX699,IF(J701="PETHICS",PR!$AY699,IF(J701="PHILIPS",PR!$AZ699,IF(J701="RANBAXY",PR!$BA699,IF(J701="REALS",PR!$BB699,IF(J701="ROYAL",PR!$BC699,IF(J701="SAM",PR!$BD699,IF(J701="SEAGREEN",PR!$BE699,IF(J701="SKG",PR!$BF699,IF(J701="TAH",PR!$BG699,IF(J701="TAYLEK",PR!$BH699,IF(J701="TEMITA",PR!$BI699,IF(J701="THL",PR!$BJ699,IF(J701="UBASTIC",PR!$BK699,IF(J701="UNION",PR!$BL699,IF(J701="UNIQUE",PR!$BM699,IF(J701="VIXA",PR!$BN699,IF(J701="WWCV",PR!$BO699,IF(J701="ZOLON",PR!$BP699,"-"))))))))))))))))))))))))))))))))))))))))))))))))))))))))))))))))</f>
        <v>6000</v>
      </c>
      <c r="J701" s="102" t="str">
        <f>EV!N896</f>
        <v>COSMADE</v>
      </c>
      <c r="K701" s="433" t="s">
        <v>825</v>
      </c>
      <c r="L701" s="183">
        <f>IF(K701&gt;0,IF(K701="ALPHA",PR!$E699,IF(K701="ASSENE",PR!$F699,IF(K701="BIOFEM",PR!$G699,IF(K701="BIOMED",PR!$H699,IF(K701="CHI",PR!$I699,IF(K701="CLARION",PR!$J699,IF(K701="CODIX",PR!$K699,IF(K701="COSMADE",PR!$L699,IF(K701="SANCON",PR!$M699,IF(K701="DEVON",PR!$N699,IF(K701="DORTEMAG",PR!$O699,IF(K701="DGF",PR!$P699,IF(K701="DYNAMIC",PR!$Q699,IF(K701="EMZOR",PR!$R699,IF(K701="EUMATT",PR!$S699,IF(K701="FIDSON",PR!$T699,IF(K701="FCGLOBAL",PR!$U699,IF(K701="GENEITH",PR!$V699,IF(K701="GINOS",PR!$W699,IF(K701="GSK",PR!$X699,IF(K701="GLOBORG",PR!$Y699,IF(K701="GOODNEWS",PR!$Z699,IF(K701="GREENLIFE",PR!$AA699,IF(K701="HLINE",PR!$AB699,IF(K701="ROTECH",PR!$AC699,IF(K701="ISN",PR!$AD699,IF(K701="JAWA",PR!$AE699,IF(K701="LAYO",PR!$AF699,IF(K701="LEADWAY",PR!$AG699,IF(K701="LHV",PR!$AH699,IF(K701="MANOLA",PR!$AI699,IF(K701="MARCSON",PR!$AJ699,IF(K701="M&amp;B",PR!$AK699,IF(K701="MTRUST",PR!$AL699,IF(K701="MWORLD",PR!$AM699,IF(K701="MEGA",PR!$AN699,IF(K701="MICRONOVA",PR!$AO699,IF(K701="MFLASH",PR!$AP699,IF(K701="MORISON",PR!$AQ699,IF(K701="NEMEL",PR!$AR699,IF(K701="NHP",PR!$AS699,IF(K701="NHC",PR!$AT699,IF(K701="OLEAF",PR!$AU699,IF(K701="OCULUS",PR!$AV699,IF(K701="PACIFIC",PR!$AW699,IF(K701="PHAMATEX",PR!$AX699,IF(K701="PETHICS",PR!$AY699,IF(K701="PHILIPS",PR!$AZ699,IF(K701="RANBAXY",PR!$BA699,IF(K701="REALS",PR!$BB699,IF(K701="ROYAL",PR!$BC699,IF(K701="SAM",PR!$BD699,IF(K701="SEAGREEN",PR!$BE699,IF(K701="SKG",PR!$BF699,IF(K701="TAH",PR!$BG699,IF(K701="TAYLEK",PR!$BH699,IF(K701="TEMITA",PR!$BI699,IF(K701="THL",PR!$BJ699,IF(K701="UBASTIC",PR!$BK699,IF(K701="UNION",PR!$BL699,IF(K701="UNIQUE",PR!$BM699,IF(K701="VIXA",PR!$BN699,IF(K701="WWCV",PR!$BO699,IF(K701="ZOLON",PR!$BP699,"-")))))))))))))))))))))))))))))))))))))))))))))))))))))))))))))))))</f>
        <v>5520</v>
      </c>
    </row>
    <row r="702" spans="1:12" ht="18.75" x14ac:dyDescent="0.3">
      <c r="A702" s="430">
        <f>PR!A700</f>
        <v>638</v>
      </c>
      <c r="B702" s="15" t="str">
        <f>PR!B700</f>
        <v>SOFT BAN 6"</v>
      </c>
      <c r="C702" s="113">
        <f>PR!D700</f>
        <v>12</v>
      </c>
      <c r="D702" s="113">
        <f>PR!C700</f>
        <v>50</v>
      </c>
      <c r="E702" s="108">
        <f>IF(F702="ALPHA",PR!$E700,IF(F702="ASSENE",PR!$F700,IF(F702="BIOFEM",PR!$G700,IF(F702="BIOMED",PR!$H700,IF(F702="CHI",PR!$I700,IF(F702="CLARION",PR!$J700,IF(F702="CODIX",PR!$K700,IF(F702="COSMADE",PR!$L700,IF(F702="SANCON",PR!$M700,IF(F702="DEVON",PR!$N700,IF(F702="DORTEMAG",PR!$O700,IF(F702="DGF",PR!$P700,IF(F702="DYNAMIC",PR!$Q700,IF(F702="EMZOR",PR!$R700,IF(F702="EUMATT",PR!$S700,IF(F702="FIDSON",PR!$T700,IF(F702="FCGLOBAL",PR!$U700,IF(F702="GENEITH",PR!$V700,IF(F702="GINOS",PR!$W700,IF(F702="GSK",PR!$X700,IF(F702="GLOBORG",PR!$Y700,IF(F702="GOODNEWS",PR!$Z700,IF(F702="GREENLIFE",PR!$AA700,IF(F702="HLINE",PR!$AB700,IF(F702="ROTECH",PR!$AC700,IF(F702="ISN",PR!$AD700,IF(F702="JAWA",PR!$AE700,IF(F702="LAYO",PR!$AF700,IF(F702="LEADWAY",PR!$AG700,IF(F702="LHV",PR!$AH700,IF(F702="MANOLA",PR!$AI700,IF(F702="MARCSON",PR!$AJ700,IF(F702="M&amp;B",PR!$AK700,IF(F702="MTRUST",PR!$AL700,IF(F702="MWORLD",PR!$AM700,IF(F702="MEGA",PR!$AN700,IF(F702="MICRONOVA",PR!$AO700,IF(F702="MFLASH",PR!$AP700,IF(F702="MORISON",PR!$AQ700,IF(F702="NEMEL",PR!$AR700,IF(F702="NHP",PR!$AS700,IF(F702="NHC",PR!$AT700,IF(F702="OLEAF",PR!$AU700,IF(F702="OCULUS",PR!$AV700,IF(F702="PACIFIC",PR!$AW700,IF(F702="PHAMATEX",PR!$AX700,IF(F702="PETHICS",PR!$AY700,IF(F702="PHILIPS",PR!$AZ700,IF(F702="RANBAXY",PR!$BA700,IF(F702="REALS",PR!$BB700,IF(F702="ROYAL",PR!$BC700,IF(F702="SAM",PR!$BD700,IF(F702="SEAGREEN",PR!$BE700,IF(F702="SKG",PR!$BF700,IF(F702="TAH",PR!$BG700,IF(F702="TAYLEK",PR!$BH700,IF(F702="TEMITA",PR!$BI700,IF(F702="THL",PR!$BJ700,IF(F702="UBASTIC",PR!$BK700,IF(F702="UNION",PR!$BL700,IF(F702="UNIQUE",PR!$BM700,IF(F702="VIXA",PR!$BN700,IF(F702="WWCV",PR!$BO700,IF(F702="ZOLON",PR!$BP700,"-"))))))))))))))))))))))))))))))))))))))))))))))))))))))))))))))))</f>
        <v>1680</v>
      </c>
      <c r="F702" s="102" t="str">
        <f>EV!L897</f>
        <v>SANCON</v>
      </c>
      <c r="G702" s="108">
        <f>IF(H702="ALPHA",PR!$E700,IF(H702="ASSENE",PR!$F700,IF(H702="BIOFEM",PR!$G700,IF(H702="BIOMED",PR!$H700,IF(H702="CHI",PR!$I700,IF(H702="CLARION",PR!$J700,IF(H702="CODIX",PR!$K700,IF(H702="COSMADE",PR!$L700,IF(H702="SANCON",PR!$M700,IF(H702="DEVON",PR!$N700,IF(H702="DORTEMAG",PR!$O700,IF(H702="DGF",PR!$P700,IF(H702="DYNAMIC",PR!$Q700,IF(H702="EMZOR",PR!$R700,IF(H702="EUMATT",PR!$S700,IF(H702="FIDSON",PR!$T700,IF(H702="FCGLOBAL",PR!$U700,IF(H702="GENEITH",PR!$V700,IF(H702="GINOS",PR!$W700,IF(H702="GSK",PR!$X700,IF(H702="GLOBORG",PR!$Y700,IF(H702="GOODNEWS",PR!$Z700,IF(H702="GREENLIFE",PR!$AA700,IF(H702="HLINE",PR!$AB700,IF(H702="ROTECH",PR!$AC700,IF(H702="ISN",PR!$AD700,IF(H702="JAWA",PR!$AE700,IF(H702="LAYO",PR!$AF700,IF(H702="LEADWAY",PR!$AG700,IF(H702="LHV",PR!$AH700,IF(H702="MANOLA",PR!$AI700,IF(H702="MARCSON",PR!$AJ700,IF(H702="M&amp;B",PR!$AK700,IF(H702="MTRUST",PR!$AL700,IF(H702="MWORLD",PR!$AM700,IF(H702="MEGA",PR!$AN700,IF(H702="MICRONOVA",PR!$AO700,IF(H702="MFLASH",PR!$AP700,IF(H702="MORISON",PR!$AQ700,IF(H702="NEMEL",PR!$AR700,IF(H702="NHP",PR!$AS700,IF(H702="NHC",PR!$AT700,IF(H702="OLEAF",PR!$AU700,IF(H702="OCULUS",PR!$AV700,IF(H702="PACIFIC",PR!$AW700,IF(H702="PHAMATEX",PR!$AX700,IF(H702="PETHICS",PR!$AY700,IF(H702="PHILIPS",PR!$AZ700,IF(H702="RANBAXY",PR!$BA700,IF(H702="REALS",PR!$BB700,IF(H702="ROYAL",PR!$BC700,IF(H702="SAM",PR!$BD700,IF(H702="SEAGREEN",PR!$BE700,IF(H702="SKG",PR!$BF700,IF(H702="TAH",PR!$BG700,IF(H702="TAYLEK",PR!$BH700,IF(H702="TEMITA",PR!$BI700,IF(H702="THL",PR!$BJ700,IF(H702="UBASTIC",PR!$BK700,IF(H702="UNION",PR!$BL700,IF(H702="UNIQUE",PR!$BM700,IF(H702="VIXA",PR!$BN700,IF(H702="WWCV",PR!$BO700,IF(H702="ZOLON",PR!$BP700,"-"))))))))))))))))))))))))))))))))))))))))))))))))))))))))))))))))</f>
        <v>1695</v>
      </c>
      <c r="H702" s="102" t="str">
        <f>EV!M897</f>
        <v>ROTECH</v>
      </c>
      <c r="I702" s="108">
        <f>IF(J702="ALPHA",PR!$E700,IF(J702="ASSENE",PR!$F700,IF(J702="BIOFEM",PR!$G700,IF(J702="BIOMED",PR!$H700,IF(J702="CHI",PR!$I700,IF(J702="CLARION",PR!$J700,IF(J702="CODIX",PR!$K700,IF(J702="COSMADE",PR!$L700,IF(J702="SANCON",PR!$M700,IF(J702="DEVON",PR!$N700,IF(J702="DORTEMAG",PR!$O700,IF(J702="DGF",PR!$P700,IF(J702="DYNAMIC",PR!$Q700,IF(J702="EMZOR",PR!$R700,IF(J702="EUMATT",PR!$S700,IF(J702="FIDSON",PR!$T700,IF(J702="FCGLOBAL",PR!$U700,IF(J702="GENEITH",PR!$V700,IF(J702="GINOS",PR!$W700,IF(J702="GSK",PR!$X700,IF(J702="GLOBORG",PR!$Y700,IF(J702="GOODNEWS",PR!$Z700,IF(J702="GREENLIFE",PR!$AA700,IF(J702="HLINE",PR!$AB700,IF(J702="ROTECH",PR!$AC700,IF(J702="ISN",PR!$AD700,IF(J702="JAWA",PR!$AE700,IF(J702="LAYO",PR!$AF700,IF(J702="LEADWAY",PR!$AG700,IF(J702="LHV",PR!$AH700,IF(J702="MANOLA",PR!$AI700,IF(J702="MARCSON",PR!$AJ700,IF(J702="M&amp;B",PR!$AK700,IF(J702="MTRUST",PR!$AL700,IF(J702="MWORLD",PR!$AM700,IF(J702="MEGA",PR!$AN700,IF(J702="MICRONOVA",PR!$AO700,IF(J702="MFLASH",PR!$AP700,IF(J702="MORISON",PR!$AQ700,IF(J702="NEMEL",PR!$AR700,IF(J702="NHP",PR!$AS700,IF(J702="NHC",PR!$AT700,IF(J702="OLEAF",PR!$AU700,IF(J702="OCULUS",PR!$AV700,IF(J702="PACIFIC",PR!$AW700,IF(J702="PHAMATEX",PR!$AX700,IF(J702="PETHICS",PR!$AY700,IF(J702="PHILIPS",PR!$AZ700,IF(J702="RANBAXY",PR!$BA700,IF(J702="REALS",PR!$BB700,IF(J702="ROYAL",PR!$BC700,IF(J702="SAM",PR!$BD700,IF(J702="SEAGREEN",PR!$BE700,IF(J702="SKG",PR!$BF700,IF(J702="TAH",PR!$BG700,IF(J702="TAYLEK",PR!$BH700,IF(J702="TEMITA",PR!$BI700,IF(J702="THL",PR!$BJ700,IF(J702="UBASTIC",PR!$BK700,IF(J702="UNION",PR!$BL700,IF(J702="UNIQUE",PR!$BM700,IF(J702="VIXA",PR!$BN700,IF(J702="WWCV",PR!$BO700,IF(J702="ZOLON",PR!$BP700,"-"))))))))))))))))))))))))))))))))))))))))))))))))))))))))))))))))</f>
        <v>1800</v>
      </c>
      <c r="J702" s="102" t="str">
        <f>EV!N897</f>
        <v>COSMADE</v>
      </c>
      <c r="K702" s="433" t="s">
        <v>821</v>
      </c>
      <c r="L702" s="183">
        <f>IF(K702&gt;0,IF(K702="ALPHA",PR!$E700,IF(K702="ASSENE",PR!$F700,IF(K702="BIOFEM",PR!$G700,IF(K702="BIOMED",PR!$H700,IF(K702="CHI",PR!$I700,IF(K702="CLARION",PR!$J700,IF(K702="CODIX",PR!$K700,IF(K702="COSMADE",PR!$L700,IF(K702="SANCON",PR!$M700,IF(K702="DEVON",PR!$N700,IF(K702="DORTEMAG",PR!$O700,IF(K702="DGF",PR!$P700,IF(K702="DYNAMIC",PR!$Q700,IF(K702="EMZOR",PR!$R700,IF(K702="EUMATT",PR!$S700,IF(K702="FIDSON",PR!$T700,IF(K702="FCGLOBAL",PR!$U700,IF(K702="GENEITH",PR!$V700,IF(K702="GINOS",PR!$W700,IF(K702="GSK",PR!$X700,IF(K702="GLOBORG",PR!$Y700,IF(K702="GOODNEWS",PR!$Z700,IF(K702="GREENLIFE",PR!$AA700,IF(K702="HLINE",PR!$AB700,IF(K702="ROTECH",PR!$AC700,IF(K702="ISN",PR!$AD700,IF(K702="JAWA",PR!$AE700,IF(K702="LAYO",PR!$AF700,IF(K702="LEADWAY",PR!$AG700,IF(K702="LHV",PR!$AH700,IF(K702="MANOLA",PR!$AI700,IF(K702="MARCSON",PR!$AJ700,IF(K702="M&amp;B",PR!$AK700,IF(K702="MTRUST",PR!$AL700,IF(K702="MWORLD",PR!$AM700,IF(K702="MEGA",PR!$AN700,IF(K702="MICRONOVA",PR!$AO700,IF(K702="MFLASH",PR!$AP700,IF(K702="MORISON",PR!$AQ700,IF(K702="NEMEL",PR!$AR700,IF(K702="NHP",PR!$AS700,IF(K702="NHC",PR!$AT700,IF(K702="OLEAF",PR!$AU700,IF(K702="OCULUS",PR!$AV700,IF(K702="PACIFIC",PR!$AW700,IF(K702="PHAMATEX",PR!$AX700,IF(K702="PETHICS",PR!$AY700,IF(K702="PHILIPS",PR!$AZ700,IF(K702="RANBAXY",PR!$BA700,IF(K702="REALS",PR!$BB700,IF(K702="ROYAL",PR!$BC700,IF(K702="SAM",PR!$BD700,IF(K702="SEAGREEN",PR!$BE700,IF(K702="SKG",PR!$BF700,IF(K702="TAH",PR!$BG700,IF(K702="TAYLEK",PR!$BH700,IF(K702="TEMITA",PR!$BI700,IF(K702="THL",PR!$BJ700,IF(K702="UBASTIC",PR!$BK700,IF(K702="UNION",PR!$BL700,IF(K702="UNIQUE",PR!$BM700,IF(K702="VIXA",PR!$BN700,IF(K702="WWCV",PR!$BO700,IF(K702="ZOLON",PR!$BP700,"-")))))))))))))))))))))))))))))))))))))))))))))))))))))))))))))))))</f>
        <v>8500</v>
      </c>
    </row>
    <row r="703" spans="1:12" ht="18.75" x14ac:dyDescent="0.3">
      <c r="A703" s="430">
        <f>PR!A701</f>
        <v>639</v>
      </c>
      <c r="B703" s="15" t="str">
        <f>PR!B701</f>
        <v>SOLUSET La MED</v>
      </c>
      <c r="C703" s="113">
        <f>PR!D701</f>
        <v>50</v>
      </c>
      <c r="D703" s="113">
        <f>PR!C701</f>
        <v>20</v>
      </c>
      <c r="E703" s="108">
        <f>IF(F703="ALPHA",PR!$E701,IF(F703="ASSENE",PR!$F701,IF(F703="BIOFEM",PR!$G701,IF(F703="BIOMED",PR!$H701,IF(F703="CHI",PR!$I701,IF(F703="CLARION",PR!$J701,IF(F703="CODIX",PR!$K701,IF(F703="COSMADE",PR!$L701,IF(F703="SANCON",PR!$M701,IF(F703="DEVON",PR!$N701,IF(F703="DORTEMAG",PR!$O701,IF(F703="DGF",PR!$P701,IF(F703="DYNAMIC",PR!$Q701,IF(F703="EMZOR",PR!$R701,IF(F703="EUMATT",PR!$S701,IF(F703="FIDSON",PR!$T701,IF(F703="FCGLOBAL",PR!$U701,IF(F703="GENEITH",PR!$V701,IF(F703="GINOS",PR!$W701,IF(F703="GSK",PR!$X701,IF(F703="GLOBORG",PR!$Y701,IF(F703="GOODNEWS",PR!$Z701,IF(F703="GREENLIFE",PR!$AA701,IF(F703="HLINE",PR!$AB701,IF(F703="ROTECH",PR!$AC701,IF(F703="ISN",PR!$AD701,IF(F703="JAWA",PR!$AE701,IF(F703="LAYO",PR!$AF701,IF(F703="LEADWAY",PR!$AG701,IF(F703="LHV",PR!$AH701,IF(F703="MANOLA",PR!$AI701,IF(F703="MARCSON",PR!$AJ701,IF(F703="M&amp;B",PR!$AK701,IF(F703="MTRUST",PR!$AL701,IF(F703="MWORLD",PR!$AM701,IF(F703="MEGA",PR!$AN701,IF(F703="MICRONOVA",PR!$AO701,IF(F703="MFLASH",PR!$AP701,IF(F703="MORISON",PR!$AQ701,IF(F703="NEMEL",PR!$AR701,IF(F703="NHP",PR!$AS701,IF(F703="NHC",PR!$AT701,IF(F703="OLEAF",PR!$AU701,IF(F703="OCULUS",PR!$AV701,IF(F703="PACIFIC",PR!$AW701,IF(F703="PHAMATEX",PR!$AX701,IF(F703="PETHICS",PR!$AY701,IF(F703="PHILIPS",PR!$AZ701,IF(F703="RANBAXY",PR!$BA701,IF(F703="REALS",PR!$BB701,IF(F703="ROYAL",PR!$BC701,IF(F703="SAM",PR!$BD701,IF(F703="SEAGREEN",PR!$BE701,IF(F703="SKG",PR!$BF701,IF(F703="TAH",PR!$BG701,IF(F703="TAYLEK",PR!$BH701,IF(F703="TEMITA",PR!$BI701,IF(F703="THL",PR!$BJ701,IF(F703="UBASTIC",PR!$BK701,IF(F703="UNION",PR!$BL701,IF(F703="UNIQUE",PR!$BM701,IF(F703="VIXA",PR!$BN701,IF(F703="WWCV",PR!$BO701,IF(F703="ZOLON",PR!$BP701,"-"))))))))))))))))))))))))))))))))))))))))))))))))))))))))))))))))</f>
        <v>25000</v>
      </c>
      <c r="F703" s="102" t="str">
        <f>EV!L898</f>
        <v>COSMADE</v>
      </c>
      <c r="G703" s="108">
        <f>IF(H703="ALPHA",PR!$E701,IF(H703="ASSENE",PR!$F701,IF(H703="BIOFEM",PR!$G701,IF(H703="BIOMED",PR!$H701,IF(H703="CHI",PR!$I701,IF(H703="CLARION",PR!$J701,IF(H703="CODIX",PR!$K701,IF(H703="COSMADE",PR!$L701,IF(H703="SANCON",PR!$M701,IF(H703="DEVON",PR!$N701,IF(H703="DORTEMAG",PR!$O701,IF(H703="DGF",PR!$P701,IF(H703="DYNAMIC",PR!$Q701,IF(H703="EMZOR",PR!$R701,IF(H703="EUMATT",PR!$S701,IF(H703="FIDSON",PR!$T701,IF(H703="FCGLOBAL",PR!$U701,IF(H703="GENEITH",PR!$V701,IF(H703="GINOS",PR!$W701,IF(H703="GSK",PR!$X701,IF(H703="GLOBORG",PR!$Y701,IF(H703="GOODNEWS",PR!$Z701,IF(H703="GREENLIFE",PR!$AA701,IF(H703="HLINE",PR!$AB701,IF(H703="ROTECH",PR!$AC701,IF(H703="ISN",PR!$AD701,IF(H703="JAWA",PR!$AE701,IF(H703="LAYO",PR!$AF701,IF(H703="LEADWAY",PR!$AG701,IF(H703="LHV",PR!$AH701,IF(H703="MANOLA",PR!$AI701,IF(H703="MARCSON",PR!$AJ701,IF(H703="M&amp;B",PR!$AK701,IF(H703="MTRUST",PR!$AL701,IF(H703="MWORLD",PR!$AM701,IF(H703="MEGA",PR!$AN701,IF(H703="MICRONOVA",PR!$AO701,IF(H703="MFLASH",PR!$AP701,IF(H703="MORISON",PR!$AQ701,IF(H703="NEMEL",PR!$AR701,IF(H703="NHP",PR!$AS701,IF(H703="NHC",PR!$AT701,IF(H703="OLEAF",PR!$AU701,IF(H703="OCULUS",PR!$AV701,IF(H703="PACIFIC",PR!$AW701,IF(H703="PHAMATEX",PR!$AX701,IF(H703="PETHICS",PR!$AY701,IF(H703="PHILIPS",PR!$AZ701,IF(H703="RANBAXY",PR!$BA701,IF(H703="REALS",PR!$BB701,IF(H703="ROYAL",PR!$BC701,IF(H703="SAM",PR!$BD701,IF(H703="SEAGREEN",PR!$BE701,IF(H703="SKG",PR!$BF701,IF(H703="TAH",PR!$BG701,IF(H703="TAYLEK",PR!$BH701,IF(H703="TEMITA",PR!$BI701,IF(H703="THL",PR!$BJ701,IF(H703="UBASTIC",PR!$BK701,IF(H703="UNION",PR!$BL701,IF(H703="UNIQUE",PR!$BM701,IF(H703="VIXA",PR!$BN701,IF(H703="WWCV",PR!$BO701,IF(H703="ZOLON",PR!$BP701,"-"))))))))))))))))))))))))))))))))))))))))))))))))))))))))))))))))</f>
        <v>25200</v>
      </c>
      <c r="H703" s="102" t="str">
        <f>EV!M898</f>
        <v>ROTECH</v>
      </c>
      <c r="I703" s="108">
        <f>IF(J703="ALPHA",PR!$E701,IF(J703="ASSENE",PR!$F701,IF(J703="BIOFEM",PR!$G701,IF(J703="BIOMED",PR!$H701,IF(J703="CHI",PR!$I701,IF(J703="CLARION",PR!$J701,IF(J703="CODIX",PR!$K701,IF(J703="COSMADE",PR!$L701,IF(J703="SANCON",PR!$M701,IF(J703="DEVON",PR!$N701,IF(J703="DORTEMAG",PR!$O701,IF(J703="DGF",PR!$P701,IF(J703="DYNAMIC",PR!$Q701,IF(J703="EMZOR",PR!$R701,IF(J703="EUMATT",PR!$S701,IF(J703="FIDSON",PR!$T701,IF(J703="FCGLOBAL",PR!$U701,IF(J703="GENEITH",PR!$V701,IF(J703="GINOS",PR!$W701,IF(J703="GSK",PR!$X701,IF(J703="GLOBORG",PR!$Y701,IF(J703="GOODNEWS",PR!$Z701,IF(J703="GREENLIFE",PR!$AA701,IF(J703="HLINE",PR!$AB701,IF(J703="ROTECH",PR!$AC701,IF(J703="ISN",PR!$AD701,IF(J703="JAWA",PR!$AE701,IF(J703="LAYO",PR!$AF701,IF(J703="LEADWAY",PR!$AG701,IF(J703="LHV",PR!$AH701,IF(J703="MANOLA",PR!$AI701,IF(J703="MARCSON",PR!$AJ701,IF(J703="M&amp;B",PR!$AK701,IF(J703="MTRUST",PR!$AL701,IF(J703="MWORLD",PR!$AM701,IF(J703="MEGA",PR!$AN701,IF(J703="MICRONOVA",PR!$AO701,IF(J703="MFLASH",PR!$AP701,IF(J703="MORISON",PR!$AQ701,IF(J703="NEMEL",PR!$AR701,IF(J703="NHP",PR!$AS701,IF(J703="NHC",PR!$AT701,IF(J703="OLEAF",PR!$AU701,IF(J703="OCULUS",PR!$AV701,IF(J703="PACIFIC",PR!$AW701,IF(J703="PHAMATEX",PR!$AX701,IF(J703="PETHICS",PR!$AY701,IF(J703="PHILIPS",PR!$AZ701,IF(J703="RANBAXY",PR!$BA701,IF(J703="REALS",PR!$BB701,IF(J703="ROYAL",PR!$BC701,IF(J703="SAM",PR!$BD701,IF(J703="SEAGREEN",PR!$BE701,IF(J703="SKG",PR!$BF701,IF(J703="TAH",PR!$BG701,IF(J703="TAYLEK",PR!$BH701,IF(J703="TEMITA",PR!$BI701,IF(J703="THL",PR!$BJ701,IF(J703="UBASTIC",PR!$BK701,IF(J703="UNION",PR!$BL701,IF(J703="UNIQUE",PR!$BM701,IF(J703="VIXA",PR!$BN701,IF(J703="WWCV",PR!$BO701,IF(J703="ZOLON",PR!$BP701,"-"))))))))))))))))))))))))))))))))))))))))))))))))))))))))))))))))</f>
        <v>27000</v>
      </c>
      <c r="J703" s="102" t="str">
        <f>EV!N898</f>
        <v>EUMATT</v>
      </c>
      <c r="K703" s="433" t="s">
        <v>825</v>
      </c>
      <c r="L703" s="183">
        <f>IF(K703&gt;0,IF(K703="ALPHA",PR!$E701,IF(K703="ASSENE",PR!$F701,IF(K703="BIOFEM",PR!$G701,IF(K703="BIOMED",PR!$H701,IF(K703="CHI",PR!$I701,IF(K703="CLARION",PR!$J701,IF(K703="CODIX",PR!$K701,IF(K703="COSMADE",PR!$L701,IF(K703="SANCON",PR!$M701,IF(K703="DEVON",PR!$N701,IF(K703="DORTEMAG",PR!$O701,IF(K703="DGF",PR!$P701,IF(K703="DYNAMIC",PR!$Q701,IF(K703="EMZOR",PR!$R701,IF(K703="EUMATT",PR!$S701,IF(K703="FIDSON",PR!$T701,IF(K703="FCGLOBAL",PR!$U701,IF(K703="GENEITH",PR!$V701,IF(K703="GINOS",PR!$W701,IF(K703="GSK",PR!$X701,IF(K703="GLOBORG",PR!$Y701,IF(K703="GOODNEWS",PR!$Z701,IF(K703="GREENLIFE",PR!$AA701,IF(K703="HLINE",PR!$AB701,IF(K703="ROTECH",PR!$AC701,IF(K703="ISN",PR!$AD701,IF(K703="JAWA",PR!$AE701,IF(K703="LAYO",PR!$AF701,IF(K703="LEADWAY",PR!$AG701,IF(K703="LHV",PR!$AH701,IF(K703="MANOLA",PR!$AI701,IF(K703="MARCSON",PR!$AJ701,IF(K703="M&amp;B",PR!$AK701,IF(K703="MTRUST",PR!$AL701,IF(K703="MWORLD",PR!$AM701,IF(K703="MEGA",PR!$AN701,IF(K703="MICRONOVA",PR!$AO701,IF(K703="MFLASH",PR!$AP701,IF(K703="MORISON",PR!$AQ701,IF(K703="NEMEL",PR!$AR701,IF(K703="NHP",PR!$AS701,IF(K703="NHC",PR!$AT701,IF(K703="OLEAF",PR!$AU701,IF(K703="OCULUS",PR!$AV701,IF(K703="PACIFIC",PR!$AW701,IF(K703="PHAMATEX",PR!$AX701,IF(K703="PETHICS",PR!$AY701,IF(K703="PHILIPS",PR!$AZ701,IF(K703="RANBAXY",PR!$BA701,IF(K703="REALS",PR!$BB701,IF(K703="ROYAL",PR!$BC701,IF(K703="SAM",PR!$BD701,IF(K703="SEAGREEN",PR!$BE701,IF(K703="SKG",PR!$BF701,IF(K703="TAH",PR!$BG701,IF(K703="TAYLEK",PR!$BH701,IF(K703="TEMITA",PR!$BI701,IF(K703="THL",PR!$BJ701,IF(K703="UBASTIC",PR!$BK701,IF(K703="UNION",PR!$BL701,IF(K703="UNIQUE",PR!$BM701,IF(K703="VIXA",PR!$BN701,IF(K703="WWCV",PR!$BO701,IF(K703="ZOLON",PR!$BP701,"-")))))))))))))))))))))))))))))))))))))))))))))))))))))))))))))))))</f>
        <v>25200</v>
      </c>
    </row>
    <row r="704" spans="1:12" ht="18.75" x14ac:dyDescent="0.3">
      <c r="A704" s="430">
        <f>PR!A702</f>
        <v>640</v>
      </c>
      <c r="B704" s="15" t="str">
        <f>PR!B702</f>
        <v>SURGICAL BLADE 11"</v>
      </c>
      <c r="C704" s="113">
        <f>PR!D702</f>
        <v>100</v>
      </c>
      <c r="D704" s="113">
        <f>PR!C702</f>
        <v>4</v>
      </c>
      <c r="E704" s="108">
        <f>IF(F704="ALPHA",PR!$E702,IF(F704="ASSENE",PR!$F702,IF(F704="BIOFEM",PR!$G702,IF(F704="BIOMED",PR!$H702,IF(F704="CHI",PR!$I702,IF(F704="CLARION",PR!$J702,IF(F704="CODIX",PR!$K702,IF(F704="COSMADE",PR!$L702,IF(F704="SANCON",PR!$M702,IF(F704="DEVON",PR!$N702,IF(F704="DORTEMAG",PR!$O702,IF(F704="DGF",PR!$P702,IF(F704="DYNAMIC",PR!$Q702,IF(F704="EMZOR",PR!$R702,IF(F704="EUMATT",PR!$S702,IF(F704="FIDSON",PR!$T702,IF(F704="FCGLOBAL",PR!$U702,IF(F704="GENEITH",PR!$V702,IF(F704="GINOS",PR!$W702,IF(F704="GSK",PR!$X702,IF(F704="GLOBORG",PR!$Y702,IF(F704="GOODNEWS",PR!$Z702,IF(F704="GREENLIFE",PR!$AA702,IF(F704="HLINE",PR!$AB702,IF(F704="ROTECH",PR!$AC702,IF(F704="ISN",PR!$AD702,IF(F704="JAWA",PR!$AE702,IF(F704="LAYO",PR!$AF702,IF(F704="LEADWAY",PR!$AG702,IF(F704="LHV",PR!$AH702,IF(F704="MANOLA",PR!$AI702,IF(F704="MARCSON",PR!$AJ702,IF(F704="M&amp;B",PR!$AK702,IF(F704="MTRUST",PR!$AL702,IF(F704="MWORLD",PR!$AM702,IF(F704="MEGA",PR!$AN702,IF(F704="MICRONOVA",PR!$AO702,IF(F704="MFLASH",PR!$AP702,IF(F704="MORISON",PR!$AQ702,IF(F704="NEMEL",PR!$AR702,IF(F704="NHP",PR!$AS702,IF(F704="NHC",PR!$AT702,IF(F704="OLEAF",PR!$AU702,IF(F704="OCULUS",PR!$AV702,IF(F704="PACIFIC",PR!$AW702,IF(F704="PHAMATEX",PR!$AX702,IF(F704="PETHICS",PR!$AY702,IF(F704="PHILIPS",PR!$AZ702,IF(F704="RANBAXY",PR!$BA702,IF(F704="REALS",PR!$BB702,IF(F704="ROYAL",PR!$BC702,IF(F704="SAM",PR!$BD702,IF(F704="SEAGREEN",PR!$BE702,IF(F704="SKG",PR!$BF702,IF(F704="TAH",PR!$BG702,IF(F704="TAYLEK",PR!$BH702,IF(F704="TEMITA",PR!$BI702,IF(F704="THL",PR!$BJ702,IF(F704="UBASTIC",PR!$BK702,IF(F704="UNION",PR!$BL702,IF(F704="UNIQUE",PR!$BM702,IF(F704="VIXA",PR!$BN702,IF(F704="WWCV",PR!$BO702,IF(F704="ZOLON",PR!$BP702,"-"))))))))))))))))))))))))))))))))))))))))))))))))))))))))))))))))</f>
        <v>1300</v>
      </c>
      <c r="F704" s="102" t="str">
        <f>EV!L899</f>
        <v>SANCON</v>
      </c>
      <c r="G704" s="108">
        <f>IF(H704="ALPHA",PR!$E702,IF(H704="ASSENE",PR!$F702,IF(H704="BIOFEM",PR!$G702,IF(H704="BIOMED",PR!$H702,IF(H704="CHI",PR!$I702,IF(H704="CLARION",PR!$J702,IF(H704="CODIX",PR!$K702,IF(H704="COSMADE",PR!$L702,IF(H704="SANCON",PR!$M702,IF(H704="DEVON",PR!$N702,IF(H704="DORTEMAG",PR!$O702,IF(H704="DGF",PR!$P702,IF(H704="DYNAMIC",PR!$Q702,IF(H704="EMZOR",PR!$R702,IF(H704="EUMATT",PR!$S702,IF(H704="FIDSON",PR!$T702,IF(H704="FCGLOBAL",PR!$U702,IF(H704="GENEITH",PR!$V702,IF(H704="GINOS",PR!$W702,IF(H704="GSK",PR!$X702,IF(H704="GLOBORG",PR!$Y702,IF(H704="GOODNEWS",PR!$Z702,IF(H704="GREENLIFE",PR!$AA702,IF(H704="HLINE",PR!$AB702,IF(H704="ROTECH",PR!$AC702,IF(H704="ISN",PR!$AD702,IF(H704="JAWA",PR!$AE702,IF(H704="LAYO",PR!$AF702,IF(H704="LEADWAY",PR!$AG702,IF(H704="LHV",PR!$AH702,IF(H704="MANOLA",PR!$AI702,IF(H704="MARCSON",PR!$AJ702,IF(H704="M&amp;B",PR!$AK702,IF(H704="MTRUST",PR!$AL702,IF(H704="MWORLD",PR!$AM702,IF(H704="MEGA",PR!$AN702,IF(H704="MICRONOVA",PR!$AO702,IF(H704="MFLASH",PR!$AP702,IF(H704="MORISON",PR!$AQ702,IF(H704="NEMEL",PR!$AR702,IF(H704="NHP",PR!$AS702,IF(H704="NHC",PR!$AT702,IF(H704="OLEAF",PR!$AU702,IF(H704="OCULUS",PR!$AV702,IF(H704="PACIFIC",PR!$AW702,IF(H704="PHAMATEX",PR!$AX702,IF(H704="PETHICS",PR!$AY702,IF(H704="PHILIPS",PR!$AZ702,IF(H704="RANBAXY",PR!$BA702,IF(H704="REALS",PR!$BB702,IF(H704="ROYAL",PR!$BC702,IF(H704="SAM",PR!$BD702,IF(H704="SEAGREEN",PR!$BE702,IF(H704="SKG",PR!$BF702,IF(H704="TAH",PR!$BG702,IF(H704="TAYLEK",PR!$BH702,IF(H704="TEMITA",PR!$BI702,IF(H704="THL",PR!$BJ702,IF(H704="UBASTIC",PR!$BK702,IF(H704="UNION",PR!$BL702,IF(H704="UNIQUE",PR!$BM702,IF(H704="VIXA",PR!$BN702,IF(H704="WWCV",PR!$BO702,IF(H704="ZOLON",PR!$BP702,"-"))))))))))))))))))))))))))))))))))))))))))))))))))))))))))))))))</f>
        <v>1300</v>
      </c>
      <c r="H704" s="102" t="str">
        <f>EV!M899</f>
        <v>EUMATT</v>
      </c>
      <c r="I704" s="108">
        <f>IF(J704="ALPHA",PR!$E702,IF(J704="ASSENE",PR!$F702,IF(J704="BIOFEM",PR!$G702,IF(J704="BIOMED",PR!$H702,IF(J704="CHI",PR!$I702,IF(J704="CLARION",PR!$J702,IF(J704="CODIX",PR!$K702,IF(J704="COSMADE",PR!$L702,IF(J704="SANCON",PR!$M702,IF(J704="DEVON",PR!$N702,IF(J704="DORTEMAG",PR!$O702,IF(J704="DGF",PR!$P702,IF(J704="DYNAMIC",PR!$Q702,IF(J704="EMZOR",PR!$R702,IF(J704="EUMATT",PR!$S702,IF(J704="FIDSON",PR!$T702,IF(J704="FCGLOBAL",PR!$U702,IF(J704="GENEITH",PR!$V702,IF(J704="GINOS",PR!$W702,IF(J704="GSK",PR!$X702,IF(J704="GLOBORG",PR!$Y702,IF(J704="GOODNEWS",PR!$Z702,IF(J704="GREENLIFE",PR!$AA702,IF(J704="HLINE",PR!$AB702,IF(J704="ROTECH",PR!$AC702,IF(J704="ISN",PR!$AD702,IF(J704="JAWA",PR!$AE702,IF(J704="LAYO",PR!$AF702,IF(J704="LEADWAY",PR!$AG702,IF(J704="LHV",PR!$AH702,IF(J704="MANOLA",PR!$AI702,IF(J704="MARCSON",PR!$AJ702,IF(J704="M&amp;B",PR!$AK702,IF(J704="MTRUST",PR!$AL702,IF(J704="MWORLD",PR!$AM702,IF(J704="MEGA",PR!$AN702,IF(J704="MICRONOVA",PR!$AO702,IF(J704="MFLASH",PR!$AP702,IF(J704="MORISON",PR!$AQ702,IF(J704="NEMEL",PR!$AR702,IF(J704="NHP",PR!$AS702,IF(J704="NHC",PR!$AT702,IF(J704="OLEAF",PR!$AU702,IF(J704="OCULUS",PR!$AV702,IF(J704="PACIFIC",PR!$AW702,IF(J704="PHAMATEX",PR!$AX702,IF(J704="PETHICS",PR!$AY702,IF(J704="PHILIPS",PR!$AZ702,IF(J704="RANBAXY",PR!$BA702,IF(J704="REALS",PR!$BB702,IF(J704="ROYAL",PR!$BC702,IF(J704="SAM",PR!$BD702,IF(J704="SEAGREEN",PR!$BE702,IF(J704="SKG",PR!$BF702,IF(J704="TAH",PR!$BG702,IF(J704="TAYLEK",PR!$BH702,IF(J704="TEMITA",PR!$BI702,IF(J704="THL",PR!$BJ702,IF(J704="UBASTIC",PR!$BK702,IF(J704="UNION",PR!$BL702,IF(J704="UNIQUE",PR!$BM702,IF(J704="VIXA",PR!$BN702,IF(J704="WWCV",PR!$BO702,IF(J704="ZOLON",PR!$BP702,"-"))))))))))))))))))))))))))))))))))))))))))))))))))))))))))))))))</f>
        <v>1500</v>
      </c>
      <c r="J704" s="102" t="str">
        <f>EV!N899</f>
        <v>COSMADE</v>
      </c>
      <c r="K704" s="433" t="s">
        <v>817</v>
      </c>
      <c r="L704" s="183">
        <f>IF(K704&gt;0,IF(K704="ALPHA",PR!$E702,IF(K704="ASSENE",PR!$F702,IF(K704="BIOFEM",PR!$G702,IF(K704="BIOMED",PR!$H702,IF(K704="CHI",PR!$I702,IF(K704="CLARION",PR!$J702,IF(K704="CODIX",PR!$K702,IF(K704="COSMADE",PR!$L702,IF(K704="SANCON",PR!$M702,IF(K704="DEVON",PR!$N702,IF(K704="DORTEMAG",PR!$O702,IF(K704="DGF",PR!$P702,IF(K704="DYNAMIC",PR!$Q702,IF(K704="EMZOR",PR!$R702,IF(K704="EUMATT",PR!$S702,IF(K704="FIDSON",PR!$T702,IF(K704="FCGLOBAL",PR!$U702,IF(K704="GENEITH",PR!$V702,IF(K704="GINOS",PR!$W702,IF(K704="GSK",PR!$X702,IF(K704="GLOBORG",PR!$Y702,IF(K704="GOODNEWS",PR!$Z702,IF(K704="GREENLIFE",PR!$AA702,IF(K704="HLINE",PR!$AB702,IF(K704="ROTECH",PR!$AC702,IF(K704="ISN",PR!$AD702,IF(K704="JAWA",PR!$AE702,IF(K704="LAYO",PR!$AF702,IF(K704="LEADWAY",PR!$AG702,IF(K704="LHV",PR!$AH702,IF(K704="MANOLA",PR!$AI702,IF(K704="MARCSON",PR!$AJ702,IF(K704="M&amp;B",PR!$AK702,IF(K704="MTRUST",PR!$AL702,IF(K704="MWORLD",PR!$AM702,IF(K704="MEGA",PR!$AN702,IF(K704="MICRONOVA",PR!$AO702,IF(K704="MFLASH",PR!$AP702,IF(K704="MORISON",PR!$AQ702,IF(K704="NEMEL",PR!$AR702,IF(K704="NHP",PR!$AS702,IF(K704="NHC",PR!$AT702,IF(K704="OLEAF",PR!$AU702,IF(K704="OCULUS",PR!$AV702,IF(K704="PACIFIC",PR!$AW702,IF(K704="PHAMATEX",PR!$AX702,IF(K704="PETHICS",PR!$AY702,IF(K704="PHILIPS",PR!$AZ702,IF(K704="RANBAXY",PR!$BA702,IF(K704="REALS",PR!$BB702,IF(K704="ROYAL",PR!$BC702,IF(K704="SAM",PR!$BD702,IF(K704="SEAGREEN",PR!$BE702,IF(K704="SKG",PR!$BF702,IF(K704="TAH",PR!$BG702,IF(K704="TAYLEK",PR!$BH702,IF(K704="TEMITA",PR!$BI702,IF(K704="THL",PR!$BJ702,IF(K704="UBASTIC",PR!$BK702,IF(K704="UNION",PR!$BL702,IF(K704="UNIQUE",PR!$BM702,IF(K704="VIXA",PR!$BN702,IF(K704="WWCV",PR!$BO702,IF(K704="ZOLON",PR!$BP702,"-")))))))))))))))))))))))))))))))))))))))))))))))))))))))))))))))))</f>
        <v>1300</v>
      </c>
    </row>
    <row r="705" spans="1:12" ht="18.75" x14ac:dyDescent="0.3">
      <c r="A705" s="430">
        <f>PR!A703</f>
        <v>641</v>
      </c>
      <c r="B705" s="15" t="str">
        <f>PR!B703</f>
        <v>SURGICAL BLADE 12"</v>
      </c>
      <c r="C705" s="113">
        <f>PR!D703</f>
        <v>100</v>
      </c>
      <c r="D705" s="113">
        <f>PR!C703</f>
        <v>4</v>
      </c>
      <c r="E705" s="108">
        <f>IF(F705="ALPHA",PR!$E703,IF(F705="ASSENE",PR!$F703,IF(F705="BIOFEM",PR!$G703,IF(F705="BIOMED",PR!$H703,IF(F705="CHI",PR!$I703,IF(F705="CLARION",PR!$J703,IF(F705="CODIX",PR!$K703,IF(F705="COSMADE",PR!$L703,IF(F705="SANCON",PR!$M703,IF(F705="DEVON",PR!$N703,IF(F705="DORTEMAG",PR!$O703,IF(F705="DGF",PR!$P703,IF(F705="DYNAMIC",PR!$Q703,IF(F705="EMZOR",PR!$R703,IF(F705="EUMATT",PR!$S703,IF(F705="FIDSON",PR!$T703,IF(F705="FCGLOBAL",PR!$U703,IF(F705="GENEITH",PR!$V703,IF(F705="GINOS",PR!$W703,IF(F705="GSK",PR!$X703,IF(F705="GLOBORG",PR!$Y703,IF(F705="GOODNEWS",PR!$Z703,IF(F705="GREENLIFE",PR!$AA703,IF(F705="HLINE",PR!$AB703,IF(F705="ROTECH",PR!$AC703,IF(F705="ISN",PR!$AD703,IF(F705="JAWA",PR!$AE703,IF(F705="LAYO",PR!$AF703,IF(F705="LEADWAY",PR!$AG703,IF(F705="LHV",PR!$AH703,IF(F705="MANOLA",PR!$AI703,IF(F705="MARCSON",PR!$AJ703,IF(F705="M&amp;B",PR!$AK703,IF(F705="MTRUST",PR!$AL703,IF(F705="MWORLD",PR!$AM703,IF(F705="MEGA",PR!$AN703,IF(F705="MICRONOVA",PR!$AO703,IF(F705="MFLASH",PR!$AP703,IF(F705="MORISON",PR!$AQ703,IF(F705="NEMEL",PR!$AR703,IF(F705="NHP",PR!$AS703,IF(F705="NHC",PR!$AT703,IF(F705="OLEAF",PR!$AU703,IF(F705="OCULUS",PR!$AV703,IF(F705="PACIFIC",PR!$AW703,IF(F705="PHAMATEX",PR!$AX703,IF(F705="PETHICS",PR!$AY703,IF(F705="PHILIPS",PR!$AZ703,IF(F705="RANBAXY",PR!$BA703,IF(F705="REALS",PR!$BB703,IF(F705="ROYAL",PR!$BC703,IF(F705="SAM",PR!$BD703,IF(F705="SEAGREEN",PR!$BE703,IF(F705="SKG",PR!$BF703,IF(F705="TAH",PR!$BG703,IF(F705="TAYLEK",PR!$BH703,IF(F705="TEMITA",PR!$BI703,IF(F705="THL",PR!$BJ703,IF(F705="UBASTIC",PR!$BK703,IF(F705="UNION",PR!$BL703,IF(F705="UNIQUE",PR!$BM703,IF(F705="VIXA",PR!$BN703,IF(F705="WWCV",PR!$BO703,IF(F705="ZOLON",PR!$BP703,"-"))))))))))))))))))))))))))))))))))))))))))))))))))))))))))))))))</f>
        <v>1300</v>
      </c>
      <c r="F705" s="102" t="str">
        <f>EV!L900</f>
        <v>EUMATT</v>
      </c>
      <c r="G705" s="108">
        <f>IF(H705="ALPHA",PR!$E703,IF(H705="ASSENE",PR!$F703,IF(H705="BIOFEM",PR!$G703,IF(H705="BIOMED",PR!$H703,IF(H705="CHI",PR!$I703,IF(H705="CLARION",PR!$J703,IF(H705="CODIX",PR!$K703,IF(H705="COSMADE",PR!$L703,IF(H705="SANCON",PR!$M703,IF(H705="DEVON",PR!$N703,IF(H705="DORTEMAG",PR!$O703,IF(H705="DGF",PR!$P703,IF(H705="DYNAMIC",PR!$Q703,IF(H705="EMZOR",PR!$R703,IF(H705="EUMATT",PR!$S703,IF(H705="FIDSON",PR!$T703,IF(H705="FCGLOBAL",PR!$U703,IF(H705="GENEITH",PR!$V703,IF(H705="GINOS",PR!$W703,IF(H705="GSK",PR!$X703,IF(H705="GLOBORG",PR!$Y703,IF(H705="GOODNEWS",PR!$Z703,IF(H705="GREENLIFE",PR!$AA703,IF(H705="HLINE",PR!$AB703,IF(H705="ROTECH",PR!$AC703,IF(H705="ISN",PR!$AD703,IF(H705="JAWA",PR!$AE703,IF(H705="LAYO",PR!$AF703,IF(H705="LEADWAY",PR!$AG703,IF(H705="LHV",PR!$AH703,IF(H705="MANOLA",PR!$AI703,IF(H705="MARCSON",PR!$AJ703,IF(H705="M&amp;B",PR!$AK703,IF(H705="MTRUST",PR!$AL703,IF(H705="MWORLD",PR!$AM703,IF(H705="MEGA",PR!$AN703,IF(H705="MICRONOVA",PR!$AO703,IF(H705="MFLASH",PR!$AP703,IF(H705="MORISON",PR!$AQ703,IF(H705="NEMEL",PR!$AR703,IF(H705="NHP",PR!$AS703,IF(H705="NHC",PR!$AT703,IF(H705="OLEAF",PR!$AU703,IF(H705="OCULUS",PR!$AV703,IF(H705="PACIFIC",PR!$AW703,IF(H705="PHAMATEX",PR!$AX703,IF(H705="PETHICS",PR!$AY703,IF(H705="PHILIPS",PR!$AZ703,IF(H705="RANBAXY",PR!$BA703,IF(H705="REALS",PR!$BB703,IF(H705="ROYAL",PR!$BC703,IF(H705="SAM",PR!$BD703,IF(H705="SEAGREEN",PR!$BE703,IF(H705="SKG",PR!$BF703,IF(H705="TAH",PR!$BG703,IF(H705="TAYLEK",PR!$BH703,IF(H705="TEMITA",PR!$BI703,IF(H705="THL",PR!$BJ703,IF(H705="UBASTIC",PR!$BK703,IF(H705="UNION",PR!$BL703,IF(H705="UNIQUE",PR!$BM703,IF(H705="VIXA",PR!$BN703,IF(H705="WWCV",PR!$BO703,IF(H705="ZOLON",PR!$BP703,"-"))))))))))))))))))))))))))))))))))))))))))))))))))))))))))))))))</f>
        <v>1300</v>
      </c>
      <c r="H705" s="102" t="str">
        <f>EV!M900</f>
        <v>SANCON</v>
      </c>
      <c r="I705" s="108">
        <f>IF(J705="ALPHA",PR!$E703,IF(J705="ASSENE",PR!$F703,IF(J705="BIOFEM",PR!$G703,IF(J705="BIOMED",PR!$H703,IF(J705="CHI",PR!$I703,IF(J705="CLARION",PR!$J703,IF(J705="CODIX",PR!$K703,IF(J705="COSMADE",PR!$L703,IF(J705="SANCON",PR!$M703,IF(J705="DEVON",PR!$N703,IF(J705="DORTEMAG",PR!$O703,IF(J705="DGF",PR!$P703,IF(J705="DYNAMIC",PR!$Q703,IF(J705="EMZOR",PR!$R703,IF(J705="EUMATT",PR!$S703,IF(J705="FIDSON",PR!$T703,IF(J705="FCGLOBAL",PR!$U703,IF(J705="GENEITH",PR!$V703,IF(J705="GINOS",PR!$W703,IF(J705="GSK",PR!$X703,IF(J705="GLOBORG",PR!$Y703,IF(J705="GOODNEWS",PR!$Z703,IF(J705="GREENLIFE",PR!$AA703,IF(J705="HLINE",PR!$AB703,IF(J705="ROTECH",PR!$AC703,IF(J705="ISN",PR!$AD703,IF(J705="JAWA",PR!$AE703,IF(J705="LAYO",PR!$AF703,IF(J705="LEADWAY",PR!$AG703,IF(J705="LHV",PR!$AH703,IF(J705="MANOLA",PR!$AI703,IF(J705="MARCSON",PR!$AJ703,IF(J705="M&amp;B",PR!$AK703,IF(J705="MTRUST",PR!$AL703,IF(J705="MWORLD",PR!$AM703,IF(J705="MEGA",PR!$AN703,IF(J705="MICRONOVA",PR!$AO703,IF(J705="MFLASH",PR!$AP703,IF(J705="MORISON",PR!$AQ703,IF(J705="NEMEL",PR!$AR703,IF(J705="NHP",PR!$AS703,IF(J705="NHC",PR!$AT703,IF(J705="OLEAF",PR!$AU703,IF(J705="OCULUS",PR!$AV703,IF(J705="PACIFIC",PR!$AW703,IF(J705="PHAMATEX",PR!$AX703,IF(J705="PETHICS",PR!$AY703,IF(J705="PHILIPS",PR!$AZ703,IF(J705="RANBAXY",PR!$BA703,IF(J705="REALS",PR!$BB703,IF(J705="ROYAL",PR!$BC703,IF(J705="SAM",PR!$BD703,IF(J705="SEAGREEN",PR!$BE703,IF(J705="SKG",PR!$BF703,IF(J705="TAH",PR!$BG703,IF(J705="TAYLEK",PR!$BH703,IF(J705="TEMITA",PR!$BI703,IF(J705="THL",PR!$BJ703,IF(J705="UBASTIC",PR!$BK703,IF(J705="UNION",PR!$BL703,IF(J705="UNIQUE",PR!$BM703,IF(J705="VIXA",PR!$BN703,IF(J705="WWCV",PR!$BO703,IF(J705="ZOLON",PR!$BP703,"-"))))))))))))))))))))))))))))))))))))))))))))))))))))))))))))))))</f>
        <v>1500</v>
      </c>
      <c r="J705" s="102" t="str">
        <f>EV!N900</f>
        <v>COSMADE</v>
      </c>
      <c r="K705" s="433" t="s">
        <v>821</v>
      </c>
      <c r="L705" s="183">
        <f>IF(K705&gt;0,IF(K705="ALPHA",PR!$E703,IF(K705="ASSENE",PR!$F703,IF(K705="BIOFEM",PR!$G703,IF(K705="BIOMED",PR!$H703,IF(K705="CHI",PR!$I703,IF(K705="CLARION",PR!$J703,IF(K705="CODIX",PR!$K703,IF(K705="COSMADE",PR!$L703,IF(K705="SANCON",PR!$M703,IF(K705="DEVON",PR!$N703,IF(K705="DORTEMAG",PR!$O703,IF(K705="DGF",PR!$P703,IF(K705="DYNAMIC",PR!$Q703,IF(K705="EMZOR",PR!$R703,IF(K705="EUMATT",PR!$S703,IF(K705="FIDSON",PR!$T703,IF(K705="FCGLOBAL",PR!$U703,IF(K705="GENEITH",PR!$V703,IF(K705="GINOS",PR!$W703,IF(K705="GSK",PR!$X703,IF(K705="GLOBORG",PR!$Y703,IF(K705="GOODNEWS",PR!$Z703,IF(K705="GREENLIFE",PR!$AA703,IF(K705="HLINE",PR!$AB703,IF(K705="ROTECH",PR!$AC703,IF(K705="ISN",PR!$AD703,IF(K705="JAWA",PR!$AE703,IF(K705="LAYO",PR!$AF703,IF(K705="LEADWAY",PR!$AG703,IF(K705="LHV",PR!$AH703,IF(K705="MANOLA",PR!$AI703,IF(K705="MARCSON",PR!$AJ703,IF(K705="M&amp;B",PR!$AK703,IF(K705="MTRUST",PR!$AL703,IF(K705="MWORLD",PR!$AM703,IF(K705="MEGA",PR!$AN703,IF(K705="MICRONOVA",PR!$AO703,IF(K705="MFLASH",PR!$AP703,IF(K705="MORISON",PR!$AQ703,IF(K705="NEMEL",PR!$AR703,IF(K705="NHP",PR!$AS703,IF(K705="NHC",PR!$AT703,IF(K705="OLEAF",PR!$AU703,IF(K705="OCULUS",PR!$AV703,IF(K705="PACIFIC",PR!$AW703,IF(K705="PHAMATEX",PR!$AX703,IF(K705="PETHICS",PR!$AY703,IF(K705="PHILIPS",PR!$AZ703,IF(K705="RANBAXY",PR!$BA703,IF(K705="REALS",PR!$BB703,IF(K705="ROYAL",PR!$BC703,IF(K705="SAM",PR!$BD703,IF(K705="SEAGREEN",PR!$BE703,IF(K705="SKG",PR!$BF703,IF(K705="TAH",PR!$BG703,IF(K705="TAYLEK",PR!$BH703,IF(K705="TEMITA",PR!$BI703,IF(K705="THL",PR!$BJ703,IF(K705="UBASTIC",PR!$BK703,IF(K705="UNION",PR!$BL703,IF(K705="UNIQUE",PR!$BM703,IF(K705="VIXA",PR!$BN703,IF(K705="WWCV",PR!$BO703,IF(K705="ZOLON",PR!$BP703,"-")))))))))))))))))))))))))))))))))))))))))))))))))))))))))))))))))</f>
        <v>1300</v>
      </c>
    </row>
    <row r="706" spans="1:12" ht="18.75" x14ac:dyDescent="0.3">
      <c r="A706" s="430">
        <f>PR!A704</f>
        <v>642</v>
      </c>
      <c r="B706" s="15" t="str">
        <f>PR!B704</f>
        <v>SURGICAL BLADE 15"</v>
      </c>
      <c r="C706" s="113">
        <f>PR!D704</f>
        <v>100</v>
      </c>
      <c r="D706" s="113">
        <f>PR!C704</f>
        <v>13</v>
      </c>
      <c r="E706" s="108">
        <f>IF(F706="ALPHA",PR!$E704,IF(F706="ASSENE",PR!$F704,IF(F706="BIOFEM",PR!$G704,IF(F706="BIOMED",PR!$H704,IF(F706="CHI",PR!$I704,IF(F706="CLARION",PR!$J704,IF(F706="CODIX",PR!$K704,IF(F706="COSMADE",PR!$L704,IF(F706="SANCON",PR!$M704,IF(F706="DEVON",PR!$N704,IF(F706="DORTEMAG",PR!$O704,IF(F706="DGF",PR!$P704,IF(F706="DYNAMIC",PR!$Q704,IF(F706="EMZOR",PR!$R704,IF(F706="EUMATT",PR!$S704,IF(F706="FIDSON",PR!$T704,IF(F706="FCGLOBAL",PR!$U704,IF(F706="GENEITH",PR!$V704,IF(F706="GINOS",PR!$W704,IF(F706="GSK",PR!$X704,IF(F706="GLOBORG",PR!$Y704,IF(F706="GOODNEWS",PR!$Z704,IF(F706="GREENLIFE",PR!$AA704,IF(F706="HLINE",PR!$AB704,IF(F706="ROTECH",PR!$AC704,IF(F706="ISN",PR!$AD704,IF(F706="JAWA",PR!$AE704,IF(F706="LAYO",PR!$AF704,IF(F706="LEADWAY",PR!$AG704,IF(F706="LHV",PR!$AH704,IF(F706="MANOLA",PR!$AI704,IF(F706="MARCSON",PR!$AJ704,IF(F706="M&amp;B",PR!$AK704,IF(F706="MTRUST",PR!$AL704,IF(F706="MWORLD",PR!$AM704,IF(F706="MEGA",PR!$AN704,IF(F706="MICRONOVA",PR!$AO704,IF(F706="MFLASH",PR!$AP704,IF(F706="MORISON",PR!$AQ704,IF(F706="NEMEL",PR!$AR704,IF(F706="NHP",PR!$AS704,IF(F706="NHC",PR!$AT704,IF(F706="OLEAF",PR!$AU704,IF(F706="OCULUS",PR!$AV704,IF(F706="PACIFIC",PR!$AW704,IF(F706="PHAMATEX",PR!$AX704,IF(F706="PETHICS",PR!$AY704,IF(F706="PHILIPS",PR!$AZ704,IF(F706="RANBAXY",PR!$BA704,IF(F706="REALS",PR!$BB704,IF(F706="ROYAL",PR!$BC704,IF(F706="SAM",PR!$BD704,IF(F706="SEAGREEN",PR!$BE704,IF(F706="SKG",PR!$BF704,IF(F706="TAH",PR!$BG704,IF(F706="TAYLEK",PR!$BH704,IF(F706="TEMITA",PR!$BI704,IF(F706="THL",PR!$BJ704,IF(F706="UBASTIC",PR!$BK704,IF(F706="UNION",PR!$BL704,IF(F706="UNIQUE",PR!$BM704,IF(F706="VIXA",PR!$BN704,IF(F706="WWCV",PR!$BO704,IF(F706="ZOLON",PR!$BP704,"-"))))))))))))))))))))))))))))))))))))))))))))))))))))))))))))))))</f>
        <v>1300</v>
      </c>
      <c r="F706" s="102" t="str">
        <f>EV!L901</f>
        <v>SANCON</v>
      </c>
      <c r="G706" s="108">
        <f>IF(H706="ALPHA",PR!$E704,IF(H706="ASSENE",PR!$F704,IF(H706="BIOFEM",PR!$G704,IF(H706="BIOMED",PR!$H704,IF(H706="CHI",PR!$I704,IF(H706="CLARION",PR!$J704,IF(H706="CODIX",PR!$K704,IF(H706="COSMADE",PR!$L704,IF(H706="SANCON",PR!$M704,IF(H706="DEVON",PR!$N704,IF(H706="DORTEMAG",PR!$O704,IF(H706="DGF",PR!$P704,IF(H706="DYNAMIC",PR!$Q704,IF(H706="EMZOR",PR!$R704,IF(H706="EUMATT",PR!$S704,IF(H706="FIDSON",PR!$T704,IF(H706="FCGLOBAL",PR!$U704,IF(H706="GENEITH",PR!$V704,IF(H706="GINOS",PR!$W704,IF(H706="GSK",PR!$X704,IF(H706="GLOBORG",PR!$Y704,IF(H706="GOODNEWS",PR!$Z704,IF(H706="GREENLIFE",PR!$AA704,IF(H706="HLINE",PR!$AB704,IF(H706="ROTECH",PR!$AC704,IF(H706="ISN",PR!$AD704,IF(H706="JAWA",PR!$AE704,IF(H706="LAYO",PR!$AF704,IF(H706="LEADWAY",PR!$AG704,IF(H706="LHV",PR!$AH704,IF(H706="MANOLA",PR!$AI704,IF(H706="MARCSON",PR!$AJ704,IF(H706="M&amp;B",PR!$AK704,IF(H706="MTRUST",PR!$AL704,IF(H706="MWORLD",PR!$AM704,IF(H706="MEGA",PR!$AN704,IF(H706="MICRONOVA",PR!$AO704,IF(H706="MFLASH",PR!$AP704,IF(H706="MORISON",PR!$AQ704,IF(H706="NEMEL",PR!$AR704,IF(H706="NHP",PR!$AS704,IF(H706="NHC",PR!$AT704,IF(H706="OLEAF",PR!$AU704,IF(H706="OCULUS",PR!$AV704,IF(H706="PACIFIC",PR!$AW704,IF(H706="PHAMATEX",PR!$AX704,IF(H706="PETHICS",PR!$AY704,IF(H706="PHILIPS",PR!$AZ704,IF(H706="RANBAXY",PR!$BA704,IF(H706="REALS",PR!$BB704,IF(H706="ROYAL",PR!$BC704,IF(H706="SAM",PR!$BD704,IF(H706="SEAGREEN",PR!$BE704,IF(H706="SKG",PR!$BF704,IF(H706="TAH",PR!$BG704,IF(H706="TAYLEK",PR!$BH704,IF(H706="TEMITA",PR!$BI704,IF(H706="THL",PR!$BJ704,IF(H706="UBASTIC",PR!$BK704,IF(H706="UNION",PR!$BL704,IF(H706="UNIQUE",PR!$BM704,IF(H706="VIXA",PR!$BN704,IF(H706="WWCV",PR!$BO704,IF(H706="ZOLON",PR!$BP704,"-"))))))))))))))))))))))))))))))))))))))))))))))))))))))))))))))))</f>
        <v>1300</v>
      </c>
      <c r="H706" s="102" t="str">
        <f>EV!M901</f>
        <v>EUMATT</v>
      </c>
      <c r="I706" s="108">
        <f>IF(J706="ALPHA",PR!$E704,IF(J706="ASSENE",PR!$F704,IF(J706="BIOFEM",PR!$G704,IF(J706="BIOMED",PR!$H704,IF(J706="CHI",PR!$I704,IF(J706="CLARION",PR!$J704,IF(J706="CODIX",PR!$K704,IF(J706="COSMADE",PR!$L704,IF(J706="SANCON",PR!$M704,IF(J706="DEVON",PR!$N704,IF(J706="DORTEMAG",PR!$O704,IF(J706="DGF",PR!$P704,IF(J706="DYNAMIC",PR!$Q704,IF(J706="EMZOR",PR!$R704,IF(J706="EUMATT",PR!$S704,IF(J706="FIDSON",PR!$T704,IF(J706="FCGLOBAL",PR!$U704,IF(J706="GENEITH",PR!$V704,IF(J706="GINOS",PR!$W704,IF(J706="GSK",PR!$X704,IF(J706="GLOBORG",PR!$Y704,IF(J706="GOODNEWS",PR!$Z704,IF(J706="GREENLIFE",PR!$AA704,IF(J706="HLINE",PR!$AB704,IF(J706="ROTECH",PR!$AC704,IF(J706="ISN",PR!$AD704,IF(J706="JAWA",PR!$AE704,IF(J706="LAYO",PR!$AF704,IF(J706="LEADWAY",PR!$AG704,IF(J706="LHV",PR!$AH704,IF(J706="MANOLA",PR!$AI704,IF(J706="MARCSON",PR!$AJ704,IF(J706="M&amp;B",PR!$AK704,IF(J706="MTRUST",PR!$AL704,IF(J706="MWORLD",PR!$AM704,IF(J706="MEGA",PR!$AN704,IF(J706="MICRONOVA",PR!$AO704,IF(J706="MFLASH",PR!$AP704,IF(J706="MORISON",PR!$AQ704,IF(J706="NEMEL",PR!$AR704,IF(J706="NHP",PR!$AS704,IF(J706="NHC",PR!$AT704,IF(J706="OLEAF",PR!$AU704,IF(J706="OCULUS",PR!$AV704,IF(J706="PACIFIC",PR!$AW704,IF(J706="PHAMATEX",PR!$AX704,IF(J706="PETHICS",PR!$AY704,IF(J706="PHILIPS",PR!$AZ704,IF(J706="RANBAXY",PR!$BA704,IF(J706="REALS",PR!$BB704,IF(J706="ROYAL",PR!$BC704,IF(J706="SAM",PR!$BD704,IF(J706="SEAGREEN",PR!$BE704,IF(J706="SKG",PR!$BF704,IF(J706="TAH",PR!$BG704,IF(J706="TAYLEK",PR!$BH704,IF(J706="TEMITA",PR!$BI704,IF(J706="THL",PR!$BJ704,IF(J706="UBASTIC",PR!$BK704,IF(J706="UNION",PR!$BL704,IF(J706="UNIQUE",PR!$BM704,IF(J706="VIXA",PR!$BN704,IF(J706="WWCV",PR!$BO704,IF(J706="ZOLON",PR!$BP704,"-"))))))))))))))))))))))))))))))))))))))))))))))))))))))))))))))))</f>
        <v>1500</v>
      </c>
      <c r="J706" s="102" t="str">
        <f>EV!N901</f>
        <v>COSMADE</v>
      </c>
      <c r="K706" s="433" t="s">
        <v>817</v>
      </c>
      <c r="L706" s="183">
        <f>IF(K706&gt;0,IF(K706="ALPHA",PR!$E704,IF(K706="ASSENE",PR!$F704,IF(K706="BIOFEM",PR!$G704,IF(K706="BIOMED",PR!$H704,IF(K706="CHI",PR!$I704,IF(K706="CLARION",PR!$J704,IF(K706="CODIX",PR!$K704,IF(K706="COSMADE",PR!$L704,IF(K706="SANCON",PR!$M704,IF(K706="DEVON",PR!$N704,IF(K706="DORTEMAG",PR!$O704,IF(K706="DGF",PR!$P704,IF(K706="DYNAMIC",PR!$Q704,IF(K706="EMZOR",PR!$R704,IF(K706="EUMATT",PR!$S704,IF(K706="FIDSON",PR!$T704,IF(K706="FCGLOBAL",PR!$U704,IF(K706="GENEITH",PR!$V704,IF(K706="GINOS",PR!$W704,IF(K706="GSK",PR!$X704,IF(K706="GLOBORG",PR!$Y704,IF(K706="GOODNEWS",PR!$Z704,IF(K706="GREENLIFE",PR!$AA704,IF(K706="HLINE",PR!$AB704,IF(K706="ROTECH",PR!$AC704,IF(K706="ISN",PR!$AD704,IF(K706="JAWA",PR!$AE704,IF(K706="LAYO",PR!$AF704,IF(K706="LEADWAY",PR!$AG704,IF(K706="LHV",PR!$AH704,IF(K706="MANOLA",PR!$AI704,IF(K706="MARCSON",PR!$AJ704,IF(K706="M&amp;B",PR!$AK704,IF(K706="MTRUST",PR!$AL704,IF(K706="MWORLD",PR!$AM704,IF(K706="MEGA",PR!$AN704,IF(K706="MICRONOVA",PR!$AO704,IF(K706="MFLASH",PR!$AP704,IF(K706="MORISON",PR!$AQ704,IF(K706="NEMEL",PR!$AR704,IF(K706="NHP",PR!$AS704,IF(K706="NHC",PR!$AT704,IF(K706="OLEAF",PR!$AU704,IF(K706="OCULUS",PR!$AV704,IF(K706="PACIFIC",PR!$AW704,IF(K706="PHAMATEX",PR!$AX704,IF(K706="PETHICS",PR!$AY704,IF(K706="PHILIPS",PR!$AZ704,IF(K706="RANBAXY",PR!$BA704,IF(K706="REALS",PR!$BB704,IF(K706="ROYAL",PR!$BC704,IF(K706="SAM",PR!$BD704,IF(K706="SEAGREEN",PR!$BE704,IF(K706="SKG",PR!$BF704,IF(K706="TAH",PR!$BG704,IF(K706="TAYLEK",PR!$BH704,IF(K706="TEMITA",PR!$BI704,IF(K706="THL",PR!$BJ704,IF(K706="UBASTIC",PR!$BK704,IF(K706="UNION",PR!$BL704,IF(K706="UNIQUE",PR!$BM704,IF(K706="VIXA",PR!$BN704,IF(K706="WWCV",PR!$BO704,IF(K706="ZOLON",PR!$BP704,"-")))))))))))))))))))))))))))))))))))))))))))))))))))))))))))))))))</f>
        <v>1300</v>
      </c>
    </row>
    <row r="707" spans="1:12" ht="18.75" x14ac:dyDescent="0.3">
      <c r="A707" s="430">
        <f>PR!A705</f>
        <v>643</v>
      </c>
      <c r="B707" s="15" t="str">
        <f>PR!B705</f>
        <v>SURGICAL BLADE 22"</v>
      </c>
      <c r="C707" s="113">
        <f>PR!D705</f>
        <v>100</v>
      </c>
      <c r="D707" s="113">
        <f>PR!C705</f>
        <v>45</v>
      </c>
      <c r="E707" s="108">
        <f>IF(F707="ALPHA",PR!$E705,IF(F707="ASSENE",PR!$F705,IF(F707="BIOFEM",PR!$G705,IF(F707="BIOMED",PR!$H705,IF(F707="CHI",PR!$I705,IF(F707="CLARION",PR!$J705,IF(F707="CODIX",PR!$K705,IF(F707="COSMADE",PR!$L705,IF(F707="SANCON",PR!$M705,IF(F707="DEVON",PR!$N705,IF(F707="DORTEMAG",PR!$O705,IF(F707="DGF",PR!$P705,IF(F707="DYNAMIC",PR!$Q705,IF(F707="EMZOR",PR!$R705,IF(F707="EUMATT",PR!$S705,IF(F707="FIDSON",PR!$T705,IF(F707="FCGLOBAL",PR!$U705,IF(F707="GENEITH",PR!$V705,IF(F707="GINOS",PR!$W705,IF(F707="GSK",PR!$X705,IF(F707="GLOBORG",PR!$Y705,IF(F707="GOODNEWS",PR!$Z705,IF(F707="GREENLIFE",PR!$AA705,IF(F707="HLINE",PR!$AB705,IF(F707="ROTECH",PR!$AC705,IF(F707="ISN",PR!$AD705,IF(F707="JAWA",PR!$AE705,IF(F707="LAYO",PR!$AF705,IF(F707="LEADWAY",PR!$AG705,IF(F707="LHV",PR!$AH705,IF(F707="MANOLA",PR!$AI705,IF(F707="MARCSON",PR!$AJ705,IF(F707="M&amp;B",PR!$AK705,IF(F707="MTRUST",PR!$AL705,IF(F707="MWORLD",PR!$AM705,IF(F707="MEGA",PR!$AN705,IF(F707="MICRONOVA",PR!$AO705,IF(F707="MFLASH",PR!$AP705,IF(F707="MORISON",PR!$AQ705,IF(F707="NEMEL",PR!$AR705,IF(F707="NHP",PR!$AS705,IF(F707="NHC",PR!$AT705,IF(F707="OLEAF",PR!$AU705,IF(F707="OCULUS",PR!$AV705,IF(F707="PACIFIC",PR!$AW705,IF(F707="PHAMATEX",PR!$AX705,IF(F707="PETHICS",PR!$AY705,IF(F707="PHILIPS",PR!$AZ705,IF(F707="RANBAXY",PR!$BA705,IF(F707="REALS",PR!$BB705,IF(F707="ROYAL",PR!$BC705,IF(F707="SAM",PR!$BD705,IF(F707="SEAGREEN",PR!$BE705,IF(F707="SKG",PR!$BF705,IF(F707="TAH",PR!$BG705,IF(F707="TAYLEK",PR!$BH705,IF(F707="TEMITA",PR!$BI705,IF(F707="THL",PR!$BJ705,IF(F707="UBASTIC",PR!$BK705,IF(F707="UNION",PR!$BL705,IF(F707="UNIQUE",PR!$BM705,IF(F707="VIXA",PR!$BN705,IF(F707="WWCV",PR!$BO705,IF(F707="ZOLON",PR!$BP705,"-"))))))))))))))))))))))))))))))))))))))))))))))))))))))))))))))))</f>
        <v>1300</v>
      </c>
      <c r="F707" s="102" t="str">
        <f>EV!L902</f>
        <v>EUMATT</v>
      </c>
      <c r="G707" s="108">
        <f>IF(H707="ALPHA",PR!$E705,IF(H707="ASSENE",PR!$F705,IF(H707="BIOFEM",PR!$G705,IF(H707="BIOMED",PR!$H705,IF(H707="CHI",PR!$I705,IF(H707="CLARION",PR!$J705,IF(H707="CODIX",PR!$K705,IF(H707="COSMADE",PR!$L705,IF(H707="SANCON",PR!$M705,IF(H707="DEVON",PR!$N705,IF(H707="DORTEMAG",PR!$O705,IF(H707="DGF",PR!$P705,IF(H707="DYNAMIC",PR!$Q705,IF(H707="EMZOR",PR!$R705,IF(H707="EUMATT",PR!$S705,IF(H707="FIDSON",PR!$T705,IF(H707="FCGLOBAL",PR!$U705,IF(H707="GENEITH",PR!$V705,IF(H707="GINOS",PR!$W705,IF(H707="GSK",PR!$X705,IF(H707="GLOBORG",PR!$Y705,IF(H707="GOODNEWS",PR!$Z705,IF(H707="GREENLIFE",PR!$AA705,IF(H707="HLINE",PR!$AB705,IF(H707="ROTECH",PR!$AC705,IF(H707="ISN",PR!$AD705,IF(H707="JAWA",PR!$AE705,IF(H707="LAYO",PR!$AF705,IF(H707="LEADWAY",PR!$AG705,IF(H707="LHV",PR!$AH705,IF(H707="MANOLA",PR!$AI705,IF(H707="MARCSON",PR!$AJ705,IF(H707="M&amp;B",PR!$AK705,IF(H707="MTRUST",PR!$AL705,IF(H707="MWORLD",PR!$AM705,IF(H707="MEGA",PR!$AN705,IF(H707="MICRONOVA",PR!$AO705,IF(H707="MFLASH",PR!$AP705,IF(H707="MORISON",PR!$AQ705,IF(H707="NEMEL",PR!$AR705,IF(H707="NHP",PR!$AS705,IF(H707="NHC",PR!$AT705,IF(H707="OLEAF",PR!$AU705,IF(H707="OCULUS",PR!$AV705,IF(H707="PACIFIC",PR!$AW705,IF(H707="PHAMATEX",PR!$AX705,IF(H707="PETHICS",PR!$AY705,IF(H707="PHILIPS",PR!$AZ705,IF(H707="RANBAXY",PR!$BA705,IF(H707="REALS",PR!$BB705,IF(H707="ROYAL",PR!$BC705,IF(H707="SAM",PR!$BD705,IF(H707="SEAGREEN",PR!$BE705,IF(H707="SKG",PR!$BF705,IF(H707="TAH",PR!$BG705,IF(H707="TAYLEK",PR!$BH705,IF(H707="TEMITA",PR!$BI705,IF(H707="THL",PR!$BJ705,IF(H707="UBASTIC",PR!$BK705,IF(H707="UNION",PR!$BL705,IF(H707="UNIQUE",PR!$BM705,IF(H707="VIXA",PR!$BN705,IF(H707="WWCV",PR!$BO705,IF(H707="ZOLON",PR!$BP705,"-"))))))))))))))))))))))))))))))))))))))))))))))))))))))))))))))))</f>
        <v>1300</v>
      </c>
      <c r="H707" s="102" t="str">
        <f>EV!M902</f>
        <v>SANCON</v>
      </c>
      <c r="I707" s="108">
        <f>IF(J707="ALPHA",PR!$E705,IF(J707="ASSENE",PR!$F705,IF(J707="BIOFEM",PR!$G705,IF(J707="BIOMED",PR!$H705,IF(J707="CHI",PR!$I705,IF(J707="CLARION",PR!$J705,IF(J707="CODIX",PR!$K705,IF(J707="COSMADE",PR!$L705,IF(J707="SANCON",PR!$M705,IF(J707="DEVON",PR!$N705,IF(J707="DORTEMAG",PR!$O705,IF(J707="DGF",PR!$P705,IF(J707="DYNAMIC",PR!$Q705,IF(J707="EMZOR",PR!$R705,IF(J707="EUMATT",PR!$S705,IF(J707="FIDSON",PR!$T705,IF(J707="FCGLOBAL",PR!$U705,IF(J707="GENEITH",PR!$V705,IF(J707="GINOS",PR!$W705,IF(J707="GSK",PR!$X705,IF(J707="GLOBORG",PR!$Y705,IF(J707="GOODNEWS",PR!$Z705,IF(J707="GREENLIFE",PR!$AA705,IF(J707="HLINE",PR!$AB705,IF(J707="ROTECH",PR!$AC705,IF(J707="ISN",PR!$AD705,IF(J707="JAWA",PR!$AE705,IF(J707="LAYO",PR!$AF705,IF(J707="LEADWAY",PR!$AG705,IF(J707="LHV",PR!$AH705,IF(J707="MANOLA",PR!$AI705,IF(J707="MARCSON",PR!$AJ705,IF(J707="M&amp;B",PR!$AK705,IF(J707="MTRUST",PR!$AL705,IF(J707="MWORLD",PR!$AM705,IF(J707="MEGA",PR!$AN705,IF(J707="MICRONOVA",PR!$AO705,IF(J707="MFLASH",PR!$AP705,IF(J707="MORISON",PR!$AQ705,IF(J707="NEMEL",PR!$AR705,IF(J707="NHP",PR!$AS705,IF(J707="NHC",PR!$AT705,IF(J707="OLEAF",PR!$AU705,IF(J707="OCULUS",PR!$AV705,IF(J707="PACIFIC",PR!$AW705,IF(J707="PHAMATEX",PR!$AX705,IF(J707="PETHICS",PR!$AY705,IF(J707="PHILIPS",PR!$AZ705,IF(J707="RANBAXY",PR!$BA705,IF(J707="REALS",PR!$BB705,IF(J707="ROYAL",PR!$BC705,IF(J707="SAM",PR!$BD705,IF(J707="SEAGREEN",PR!$BE705,IF(J707="SKG",PR!$BF705,IF(J707="TAH",PR!$BG705,IF(J707="TAYLEK",PR!$BH705,IF(J707="TEMITA",PR!$BI705,IF(J707="THL",PR!$BJ705,IF(J707="UBASTIC",PR!$BK705,IF(J707="UNION",PR!$BL705,IF(J707="UNIQUE",PR!$BM705,IF(J707="VIXA",PR!$BN705,IF(J707="WWCV",PR!$BO705,IF(J707="ZOLON",PR!$BP705,"-"))))))))))))))))))))))))))))))))))))))))))))))))))))))))))))))))</f>
        <v>1500</v>
      </c>
      <c r="J707" s="102" t="str">
        <f>EV!N902</f>
        <v>COSMADE</v>
      </c>
      <c r="K707" s="433" t="s">
        <v>821</v>
      </c>
      <c r="L707" s="183">
        <f>IF(K707&gt;0,IF(K707="ALPHA",PR!$E705,IF(K707="ASSENE",PR!$F705,IF(K707="BIOFEM",PR!$G705,IF(K707="BIOMED",PR!$H705,IF(K707="CHI",PR!$I705,IF(K707="CLARION",PR!$J705,IF(K707="CODIX",PR!$K705,IF(K707="COSMADE",PR!$L705,IF(K707="SANCON",PR!$M705,IF(K707="DEVON",PR!$N705,IF(K707="DORTEMAG",PR!$O705,IF(K707="DGF",PR!$P705,IF(K707="DYNAMIC",PR!$Q705,IF(K707="EMZOR",PR!$R705,IF(K707="EUMATT",PR!$S705,IF(K707="FIDSON",PR!$T705,IF(K707="FCGLOBAL",PR!$U705,IF(K707="GENEITH",PR!$V705,IF(K707="GINOS",PR!$W705,IF(K707="GSK",PR!$X705,IF(K707="GLOBORG",PR!$Y705,IF(K707="GOODNEWS",PR!$Z705,IF(K707="GREENLIFE",PR!$AA705,IF(K707="HLINE",PR!$AB705,IF(K707="ROTECH",PR!$AC705,IF(K707="ISN",PR!$AD705,IF(K707="JAWA",PR!$AE705,IF(K707="LAYO",PR!$AF705,IF(K707="LEADWAY",PR!$AG705,IF(K707="LHV",PR!$AH705,IF(K707="MANOLA",PR!$AI705,IF(K707="MARCSON",PR!$AJ705,IF(K707="M&amp;B",PR!$AK705,IF(K707="MTRUST",PR!$AL705,IF(K707="MWORLD",PR!$AM705,IF(K707="MEGA",PR!$AN705,IF(K707="MICRONOVA",PR!$AO705,IF(K707="MFLASH",PR!$AP705,IF(K707="MORISON",PR!$AQ705,IF(K707="NEMEL",PR!$AR705,IF(K707="NHP",PR!$AS705,IF(K707="NHC",PR!$AT705,IF(K707="OLEAF",PR!$AU705,IF(K707="OCULUS",PR!$AV705,IF(K707="PACIFIC",PR!$AW705,IF(K707="PHAMATEX",PR!$AX705,IF(K707="PETHICS",PR!$AY705,IF(K707="PHILIPS",PR!$AZ705,IF(K707="RANBAXY",PR!$BA705,IF(K707="REALS",PR!$BB705,IF(K707="ROYAL",PR!$BC705,IF(K707="SAM",PR!$BD705,IF(K707="SEAGREEN",PR!$BE705,IF(K707="SKG",PR!$BF705,IF(K707="TAH",PR!$BG705,IF(K707="TAYLEK",PR!$BH705,IF(K707="TEMITA",PR!$BI705,IF(K707="THL",PR!$BJ705,IF(K707="UBASTIC",PR!$BK705,IF(K707="UNION",PR!$BL705,IF(K707="UNIQUE",PR!$BM705,IF(K707="VIXA",PR!$BN705,IF(K707="WWCV",PR!$BO705,IF(K707="ZOLON",PR!$BP705,"-")))))))))))))))))))))))))))))))))))))))))))))))))))))))))))))))))</f>
        <v>1300</v>
      </c>
    </row>
    <row r="708" spans="1:12" ht="18.75" x14ac:dyDescent="0.3">
      <c r="A708" s="430">
        <f>PR!A706</f>
        <v>644</v>
      </c>
      <c r="B708" s="15" t="str">
        <f>PR!B706</f>
        <v>SURGICAL BLADE 23"</v>
      </c>
      <c r="C708" s="113">
        <f>PR!D706</f>
        <v>100</v>
      </c>
      <c r="D708" s="113">
        <f>PR!C706</f>
        <v>20</v>
      </c>
      <c r="E708" s="108">
        <f>IF(F708="ALPHA",PR!$E706,IF(F708="ASSENE",PR!$F706,IF(F708="BIOFEM",PR!$G706,IF(F708="BIOMED",PR!$H706,IF(F708="CHI",PR!$I706,IF(F708="CLARION",PR!$J706,IF(F708="CODIX",PR!$K706,IF(F708="COSMADE",PR!$L706,IF(F708="SANCON",PR!$M706,IF(F708="DEVON",PR!$N706,IF(F708="DORTEMAG",PR!$O706,IF(F708="DGF",PR!$P706,IF(F708="DYNAMIC",PR!$Q706,IF(F708="EMZOR",PR!$R706,IF(F708="EUMATT",PR!$S706,IF(F708="FIDSON",PR!$T706,IF(F708="FCGLOBAL",PR!$U706,IF(F708="GENEITH",PR!$V706,IF(F708="GINOS",PR!$W706,IF(F708="GSK",PR!$X706,IF(F708="GLOBORG",PR!$Y706,IF(F708="GOODNEWS",PR!$Z706,IF(F708="GREENLIFE",PR!$AA706,IF(F708="HLINE",PR!$AB706,IF(F708="ROTECH",PR!$AC706,IF(F708="ISN",PR!$AD706,IF(F708="JAWA",PR!$AE706,IF(F708="LAYO",PR!$AF706,IF(F708="LEADWAY",PR!$AG706,IF(F708="LHV",PR!$AH706,IF(F708="MANOLA",PR!$AI706,IF(F708="MARCSON",PR!$AJ706,IF(F708="M&amp;B",PR!$AK706,IF(F708="MTRUST",PR!$AL706,IF(F708="MWORLD",PR!$AM706,IF(F708="MEGA",PR!$AN706,IF(F708="MICRONOVA",PR!$AO706,IF(F708="MFLASH",PR!$AP706,IF(F708="MORISON",PR!$AQ706,IF(F708="NEMEL",PR!$AR706,IF(F708="NHP",PR!$AS706,IF(F708="NHC",PR!$AT706,IF(F708="OLEAF",PR!$AU706,IF(F708="OCULUS",PR!$AV706,IF(F708="PACIFIC",PR!$AW706,IF(F708="PHAMATEX",PR!$AX706,IF(F708="PETHICS",PR!$AY706,IF(F708="PHILIPS",PR!$AZ706,IF(F708="RANBAXY",PR!$BA706,IF(F708="REALS",PR!$BB706,IF(F708="ROYAL",PR!$BC706,IF(F708="SAM",PR!$BD706,IF(F708="SEAGREEN",PR!$BE706,IF(F708="SKG",PR!$BF706,IF(F708="TAH",PR!$BG706,IF(F708="TAYLEK",PR!$BH706,IF(F708="TEMITA",PR!$BI706,IF(F708="THL",PR!$BJ706,IF(F708="UBASTIC",PR!$BK706,IF(F708="UNION",PR!$BL706,IF(F708="UNIQUE",PR!$BM706,IF(F708="VIXA",PR!$BN706,IF(F708="WWCV",PR!$BO706,IF(F708="ZOLON",PR!$BP706,"-"))))))))))))))))))))))))))))))))))))))))))))))))))))))))))))))))</f>
        <v>1300</v>
      </c>
      <c r="F708" s="102" t="str">
        <f>EV!L903</f>
        <v>SANCON</v>
      </c>
      <c r="G708" s="108">
        <f>IF(H708="ALPHA",PR!$E706,IF(H708="ASSENE",PR!$F706,IF(H708="BIOFEM",PR!$G706,IF(H708="BIOMED",PR!$H706,IF(H708="CHI",PR!$I706,IF(H708="CLARION",PR!$J706,IF(H708="CODIX",PR!$K706,IF(H708="COSMADE",PR!$L706,IF(H708="SANCON",PR!$M706,IF(H708="DEVON",PR!$N706,IF(H708="DORTEMAG",PR!$O706,IF(H708="DGF",PR!$P706,IF(H708="DYNAMIC",PR!$Q706,IF(H708="EMZOR",PR!$R706,IF(H708="EUMATT",PR!$S706,IF(H708="FIDSON",PR!$T706,IF(H708="FCGLOBAL",PR!$U706,IF(H708="GENEITH",PR!$V706,IF(H708="GINOS",PR!$W706,IF(H708="GSK",PR!$X706,IF(H708="GLOBORG",PR!$Y706,IF(H708="GOODNEWS",PR!$Z706,IF(H708="GREENLIFE",PR!$AA706,IF(H708="HLINE",PR!$AB706,IF(H708="ROTECH",PR!$AC706,IF(H708="ISN",PR!$AD706,IF(H708="JAWA",PR!$AE706,IF(H708="LAYO",PR!$AF706,IF(H708="LEADWAY",PR!$AG706,IF(H708="LHV",PR!$AH706,IF(H708="MANOLA",PR!$AI706,IF(H708="MARCSON",PR!$AJ706,IF(H708="M&amp;B",PR!$AK706,IF(H708="MTRUST",PR!$AL706,IF(H708="MWORLD",PR!$AM706,IF(H708="MEGA",PR!$AN706,IF(H708="MICRONOVA",PR!$AO706,IF(H708="MFLASH",PR!$AP706,IF(H708="MORISON",PR!$AQ706,IF(H708="NEMEL",PR!$AR706,IF(H708="NHP",PR!$AS706,IF(H708="NHC",PR!$AT706,IF(H708="OLEAF",PR!$AU706,IF(H708="OCULUS",PR!$AV706,IF(H708="PACIFIC",PR!$AW706,IF(H708="PHAMATEX",PR!$AX706,IF(H708="PETHICS",PR!$AY706,IF(H708="PHILIPS",PR!$AZ706,IF(H708="RANBAXY",PR!$BA706,IF(H708="REALS",PR!$BB706,IF(H708="ROYAL",PR!$BC706,IF(H708="SAM",PR!$BD706,IF(H708="SEAGREEN",PR!$BE706,IF(H708="SKG",PR!$BF706,IF(H708="TAH",PR!$BG706,IF(H708="TAYLEK",PR!$BH706,IF(H708="TEMITA",PR!$BI706,IF(H708="THL",PR!$BJ706,IF(H708="UBASTIC",PR!$BK706,IF(H708="UNION",PR!$BL706,IF(H708="UNIQUE",PR!$BM706,IF(H708="VIXA",PR!$BN706,IF(H708="WWCV",PR!$BO706,IF(H708="ZOLON",PR!$BP706,"-"))))))))))))))))))))))))))))))))))))))))))))))))))))))))))))))))</f>
        <v>1300</v>
      </c>
      <c r="H708" s="102" t="str">
        <f>EV!M903</f>
        <v>EUMATT</v>
      </c>
      <c r="I708" s="108">
        <f>IF(J708="ALPHA",PR!$E706,IF(J708="ASSENE",PR!$F706,IF(J708="BIOFEM",PR!$G706,IF(J708="BIOMED",PR!$H706,IF(J708="CHI",PR!$I706,IF(J708="CLARION",PR!$J706,IF(J708="CODIX",PR!$K706,IF(J708="COSMADE",PR!$L706,IF(J708="SANCON",PR!$M706,IF(J708="DEVON",PR!$N706,IF(J708="DORTEMAG",PR!$O706,IF(J708="DGF",PR!$P706,IF(J708="DYNAMIC",PR!$Q706,IF(J708="EMZOR",PR!$R706,IF(J708="EUMATT",PR!$S706,IF(J708="FIDSON",PR!$T706,IF(J708="FCGLOBAL",PR!$U706,IF(J708="GENEITH",PR!$V706,IF(J708="GINOS",PR!$W706,IF(J708="GSK",PR!$X706,IF(J708="GLOBORG",PR!$Y706,IF(J708="GOODNEWS",PR!$Z706,IF(J708="GREENLIFE",PR!$AA706,IF(J708="HLINE",PR!$AB706,IF(J708="ROTECH",PR!$AC706,IF(J708="ISN",PR!$AD706,IF(J708="JAWA",PR!$AE706,IF(J708="LAYO",PR!$AF706,IF(J708="LEADWAY",PR!$AG706,IF(J708="LHV",PR!$AH706,IF(J708="MANOLA",PR!$AI706,IF(J708="MARCSON",PR!$AJ706,IF(J708="M&amp;B",PR!$AK706,IF(J708="MTRUST",PR!$AL706,IF(J708="MWORLD",PR!$AM706,IF(J708="MEGA",PR!$AN706,IF(J708="MICRONOVA",PR!$AO706,IF(J708="MFLASH",PR!$AP706,IF(J708="MORISON",PR!$AQ706,IF(J708="NEMEL",PR!$AR706,IF(J708="NHP",PR!$AS706,IF(J708="NHC",PR!$AT706,IF(J708="OLEAF",PR!$AU706,IF(J708="OCULUS",PR!$AV706,IF(J708="PACIFIC",PR!$AW706,IF(J708="PHAMATEX",PR!$AX706,IF(J708="PETHICS",PR!$AY706,IF(J708="PHILIPS",PR!$AZ706,IF(J708="RANBAXY",PR!$BA706,IF(J708="REALS",PR!$BB706,IF(J708="ROYAL",PR!$BC706,IF(J708="SAM",PR!$BD706,IF(J708="SEAGREEN",PR!$BE706,IF(J708="SKG",PR!$BF706,IF(J708="TAH",PR!$BG706,IF(J708="TAYLEK",PR!$BH706,IF(J708="TEMITA",PR!$BI706,IF(J708="THL",PR!$BJ706,IF(J708="UBASTIC",PR!$BK706,IF(J708="UNION",PR!$BL706,IF(J708="UNIQUE",PR!$BM706,IF(J708="VIXA",PR!$BN706,IF(J708="WWCV",PR!$BO706,IF(J708="ZOLON",PR!$BP706,"-"))))))))))))))))))))))))))))))))))))))))))))))))))))))))))))))))</f>
        <v>1500</v>
      </c>
      <c r="J708" s="102" t="str">
        <f>EV!N903</f>
        <v>COSMADE</v>
      </c>
      <c r="K708" s="433" t="s">
        <v>817</v>
      </c>
      <c r="L708" s="183">
        <f>IF(K708&gt;0,IF(K708="ALPHA",PR!$E706,IF(K708="ASSENE",PR!$F706,IF(K708="BIOFEM",PR!$G706,IF(K708="BIOMED",PR!$H706,IF(K708="CHI",PR!$I706,IF(K708="CLARION",PR!$J706,IF(K708="CODIX",PR!$K706,IF(K708="COSMADE",PR!$L706,IF(K708="SANCON",PR!$M706,IF(K708="DEVON",PR!$N706,IF(K708="DORTEMAG",PR!$O706,IF(K708="DGF",PR!$P706,IF(K708="DYNAMIC",PR!$Q706,IF(K708="EMZOR",PR!$R706,IF(K708="EUMATT",PR!$S706,IF(K708="FIDSON",PR!$T706,IF(K708="FCGLOBAL",PR!$U706,IF(K708="GENEITH",PR!$V706,IF(K708="GINOS",PR!$W706,IF(K708="GSK",PR!$X706,IF(K708="GLOBORG",PR!$Y706,IF(K708="GOODNEWS",PR!$Z706,IF(K708="GREENLIFE",PR!$AA706,IF(K708="HLINE",PR!$AB706,IF(K708="ROTECH",PR!$AC706,IF(K708="ISN",PR!$AD706,IF(K708="JAWA",PR!$AE706,IF(K708="LAYO",PR!$AF706,IF(K708="LEADWAY",PR!$AG706,IF(K708="LHV",PR!$AH706,IF(K708="MANOLA",PR!$AI706,IF(K708="MARCSON",PR!$AJ706,IF(K708="M&amp;B",PR!$AK706,IF(K708="MTRUST",PR!$AL706,IF(K708="MWORLD",PR!$AM706,IF(K708="MEGA",PR!$AN706,IF(K708="MICRONOVA",PR!$AO706,IF(K708="MFLASH",PR!$AP706,IF(K708="MORISON",PR!$AQ706,IF(K708="NEMEL",PR!$AR706,IF(K708="NHP",PR!$AS706,IF(K708="NHC",PR!$AT706,IF(K708="OLEAF",PR!$AU706,IF(K708="OCULUS",PR!$AV706,IF(K708="PACIFIC",PR!$AW706,IF(K708="PHAMATEX",PR!$AX706,IF(K708="PETHICS",PR!$AY706,IF(K708="PHILIPS",PR!$AZ706,IF(K708="RANBAXY",PR!$BA706,IF(K708="REALS",PR!$BB706,IF(K708="ROYAL",PR!$BC706,IF(K708="SAM",PR!$BD706,IF(K708="SEAGREEN",PR!$BE706,IF(K708="SKG",PR!$BF706,IF(K708="TAH",PR!$BG706,IF(K708="TAYLEK",PR!$BH706,IF(K708="TEMITA",PR!$BI706,IF(K708="THL",PR!$BJ706,IF(K708="UBASTIC",PR!$BK706,IF(K708="UNION",PR!$BL706,IF(K708="UNIQUE",PR!$BM706,IF(K708="VIXA",PR!$BN706,IF(K708="WWCV",PR!$BO706,IF(K708="ZOLON",PR!$BP706,"-")))))))))))))))))))))))))))))))))))))))))))))))))))))))))))))))))</f>
        <v>1300</v>
      </c>
    </row>
    <row r="709" spans="1:12" ht="18.75" x14ac:dyDescent="0.3">
      <c r="A709" s="430">
        <f>PR!A707</f>
        <v>645</v>
      </c>
      <c r="B709" s="15" t="str">
        <f>PR!B707</f>
        <v>SURGICAL BLADE 24"</v>
      </c>
      <c r="C709" s="113">
        <f>PR!D707</f>
        <v>100</v>
      </c>
      <c r="D709" s="113">
        <f>PR!C707</f>
        <v>12</v>
      </c>
      <c r="E709" s="108">
        <f>IF(F709="ALPHA",PR!$E707,IF(F709="ASSENE",PR!$F707,IF(F709="BIOFEM",PR!$G707,IF(F709="BIOMED",PR!$H707,IF(F709="CHI",PR!$I707,IF(F709="CLARION",PR!$J707,IF(F709="CODIX",PR!$K707,IF(F709="COSMADE",PR!$L707,IF(F709="SANCON",PR!$M707,IF(F709="DEVON",PR!$N707,IF(F709="DORTEMAG",PR!$O707,IF(F709="DGF",PR!$P707,IF(F709="DYNAMIC",PR!$Q707,IF(F709="EMZOR",PR!$R707,IF(F709="EUMATT",PR!$S707,IF(F709="FIDSON",PR!$T707,IF(F709="FCGLOBAL",PR!$U707,IF(F709="GENEITH",PR!$V707,IF(F709="GINOS",PR!$W707,IF(F709="GSK",PR!$X707,IF(F709="GLOBORG",PR!$Y707,IF(F709="GOODNEWS",PR!$Z707,IF(F709="GREENLIFE",PR!$AA707,IF(F709="HLINE",PR!$AB707,IF(F709="ROTECH",PR!$AC707,IF(F709="ISN",PR!$AD707,IF(F709="JAWA",PR!$AE707,IF(F709="LAYO",PR!$AF707,IF(F709="LEADWAY",PR!$AG707,IF(F709="LHV",PR!$AH707,IF(F709="MANOLA",PR!$AI707,IF(F709="MARCSON",PR!$AJ707,IF(F709="M&amp;B",PR!$AK707,IF(F709="MTRUST",PR!$AL707,IF(F709="MWORLD",PR!$AM707,IF(F709="MEGA",PR!$AN707,IF(F709="MICRONOVA",PR!$AO707,IF(F709="MFLASH",PR!$AP707,IF(F709="MORISON",PR!$AQ707,IF(F709="NEMEL",PR!$AR707,IF(F709="NHP",PR!$AS707,IF(F709="NHC",PR!$AT707,IF(F709="OLEAF",PR!$AU707,IF(F709="OCULUS",PR!$AV707,IF(F709="PACIFIC",PR!$AW707,IF(F709="PHAMATEX",PR!$AX707,IF(F709="PETHICS",PR!$AY707,IF(F709="PHILIPS",PR!$AZ707,IF(F709="RANBAXY",PR!$BA707,IF(F709="REALS",PR!$BB707,IF(F709="ROYAL",PR!$BC707,IF(F709="SAM",PR!$BD707,IF(F709="SEAGREEN",PR!$BE707,IF(F709="SKG",PR!$BF707,IF(F709="TAH",PR!$BG707,IF(F709="TAYLEK",PR!$BH707,IF(F709="TEMITA",PR!$BI707,IF(F709="THL",PR!$BJ707,IF(F709="UBASTIC",PR!$BK707,IF(F709="UNION",PR!$BL707,IF(F709="UNIQUE",PR!$BM707,IF(F709="VIXA",PR!$BN707,IF(F709="WWCV",PR!$BO707,IF(F709="ZOLON",PR!$BP707,"-"))))))))))))))))))))))))))))))))))))))))))))))))))))))))))))))))</f>
        <v>1300</v>
      </c>
      <c r="F709" s="102" t="str">
        <f>EV!L904</f>
        <v>EUMATT</v>
      </c>
      <c r="G709" s="108">
        <f>IF(H709="ALPHA",PR!$E707,IF(H709="ASSENE",PR!$F707,IF(H709="BIOFEM",PR!$G707,IF(H709="BIOMED",PR!$H707,IF(H709="CHI",PR!$I707,IF(H709="CLARION",PR!$J707,IF(H709="CODIX",PR!$K707,IF(H709="COSMADE",PR!$L707,IF(H709="SANCON",PR!$M707,IF(H709="DEVON",PR!$N707,IF(H709="DORTEMAG",PR!$O707,IF(H709="DGF",PR!$P707,IF(H709="DYNAMIC",PR!$Q707,IF(H709="EMZOR",PR!$R707,IF(H709="EUMATT",PR!$S707,IF(H709="FIDSON",PR!$T707,IF(H709="FCGLOBAL",PR!$U707,IF(H709="GENEITH",PR!$V707,IF(H709="GINOS",PR!$W707,IF(H709="GSK",PR!$X707,IF(H709="GLOBORG",PR!$Y707,IF(H709="GOODNEWS",PR!$Z707,IF(H709="GREENLIFE",PR!$AA707,IF(H709="HLINE",PR!$AB707,IF(H709="ROTECH",PR!$AC707,IF(H709="ISN",PR!$AD707,IF(H709="JAWA",PR!$AE707,IF(H709="LAYO",PR!$AF707,IF(H709="LEADWAY",PR!$AG707,IF(H709="LHV",PR!$AH707,IF(H709="MANOLA",PR!$AI707,IF(H709="MARCSON",PR!$AJ707,IF(H709="M&amp;B",PR!$AK707,IF(H709="MTRUST",PR!$AL707,IF(H709="MWORLD",PR!$AM707,IF(H709="MEGA",PR!$AN707,IF(H709="MICRONOVA",PR!$AO707,IF(H709="MFLASH",PR!$AP707,IF(H709="MORISON",PR!$AQ707,IF(H709="NEMEL",PR!$AR707,IF(H709="NHP",PR!$AS707,IF(H709="NHC",PR!$AT707,IF(H709="OLEAF",PR!$AU707,IF(H709="OCULUS",PR!$AV707,IF(H709="PACIFIC",PR!$AW707,IF(H709="PHAMATEX",PR!$AX707,IF(H709="PETHICS",PR!$AY707,IF(H709="PHILIPS",PR!$AZ707,IF(H709="RANBAXY",PR!$BA707,IF(H709="REALS",PR!$BB707,IF(H709="ROYAL",PR!$BC707,IF(H709="SAM",PR!$BD707,IF(H709="SEAGREEN",PR!$BE707,IF(H709="SKG",PR!$BF707,IF(H709="TAH",PR!$BG707,IF(H709="TAYLEK",PR!$BH707,IF(H709="TEMITA",PR!$BI707,IF(H709="THL",PR!$BJ707,IF(H709="UBASTIC",PR!$BK707,IF(H709="UNION",PR!$BL707,IF(H709="UNIQUE",PR!$BM707,IF(H709="VIXA",PR!$BN707,IF(H709="WWCV",PR!$BO707,IF(H709="ZOLON",PR!$BP707,"-"))))))))))))))))))))))))))))))))))))))))))))))))))))))))))))))))</f>
        <v>1300</v>
      </c>
      <c r="H709" s="102" t="str">
        <f>EV!M904</f>
        <v>SANCON</v>
      </c>
      <c r="I709" s="108">
        <f>IF(J709="ALPHA",PR!$E707,IF(J709="ASSENE",PR!$F707,IF(J709="BIOFEM",PR!$G707,IF(J709="BIOMED",PR!$H707,IF(J709="CHI",PR!$I707,IF(J709="CLARION",PR!$J707,IF(J709="CODIX",PR!$K707,IF(J709="COSMADE",PR!$L707,IF(J709="SANCON",PR!$M707,IF(J709="DEVON",PR!$N707,IF(J709="DORTEMAG",PR!$O707,IF(J709="DGF",PR!$P707,IF(J709="DYNAMIC",PR!$Q707,IF(J709="EMZOR",PR!$R707,IF(J709="EUMATT",PR!$S707,IF(J709="FIDSON",PR!$T707,IF(J709="FCGLOBAL",PR!$U707,IF(J709="GENEITH",PR!$V707,IF(J709="GINOS",PR!$W707,IF(J709="GSK",PR!$X707,IF(J709="GLOBORG",PR!$Y707,IF(J709="GOODNEWS",PR!$Z707,IF(J709="GREENLIFE",PR!$AA707,IF(J709="HLINE",PR!$AB707,IF(J709="ROTECH",PR!$AC707,IF(J709="ISN",PR!$AD707,IF(J709="JAWA",PR!$AE707,IF(J709="LAYO",PR!$AF707,IF(J709="LEADWAY",PR!$AG707,IF(J709="LHV",PR!$AH707,IF(J709="MANOLA",PR!$AI707,IF(J709="MARCSON",PR!$AJ707,IF(J709="M&amp;B",PR!$AK707,IF(J709="MTRUST",PR!$AL707,IF(J709="MWORLD",PR!$AM707,IF(J709="MEGA",PR!$AN707,IF(J709="MICRONOVA",PR!$AO707,IF(J709="MFLASH",PR!$AP707,IF(J709="MORISON",PR!$AQ707,IF(J709="NEMEL",PR!$AR707,IF(J709="NHP",PR!$AS707,IF(J709="NHC",PR!$AT707,IF(J709="OLEAF",PR!$AU707,IF(J709="OCULUS",PR!$AV707,IF(J709="PACIFIC",PR!$AW707,IF(J709="PHAMATEX",PR!$AX707,IF(J709="PETHICS",PR!$AY707,IF(J709="PHILIPS",PR!$AZ707,IF(J709="RANBAXY",PR!$BA707,IF(J709="REALS",PR!$BB707,IF(J709="ROYAL",PR!$BC707,IF(J709="SAM",PR!$BD707,IF(J709="SEAGREEN",PR!$BE707,IF(J709="SKG",PR!$BF707,IF(J709="TAH",PR!$BG707,IF(J709="TAYLEK",PR!$BH707,IF(J709="TEMITA",PR!$BI707,IF(J709="THL",PR!$BJ707,IF(J709="UBASTIC",PR!$BK707,IF(J709="UNION",PR!$BL707,IF(J709="UNIQUE",PR!$BM707,IF(J709="VIXA",PR!$BN707,IF(J709="WWCV",PR!$BO707,IF(J709="ZOLON",PR!$BP707,"-"))))))))))))))))))))))))))))))))))))))))))))))))))))))))))))))))</f>
        <v>1500</v>
      </c>
      <c r="J709" s="102" t="str">
        <f>EV!N904</f>
        <v>COSMADE</v>
      </c>
      <c r="K709" s="433" t="s">
        <v>821</v>
      </c>
      <c r="L709" s="183">
        <f>IF(K709&gt;0,IF(K709="ALPHA",PR!$E707,IF(K709="ASSENE",PR!$F707,IF(K709="BIOFEM",PR!$G707,IF(K709="BIOMED",PR!$H707,IF(K709="CHI",PR!$I707,IF(K709="CLARION",PR!$J707,IF(K709="CODIX",PR!$K707,IF(K709="COSMADE",PR!$L707,IF(K709="SANCON",PR!$M707,IF(K709="DEVON",PR!$N707,IF(K709="DORTEMAG",PR!$O707,IF(K709="DGF",PR!$P707,IF(K709="DYNAMIC",PR!$Q707,IF(K709="EMZOR",PR!$R707,IF(K709="EUMATT",PR!$S707,IF(K709="FIDSON",PR!$T707,IF(K709="FCGLOBAL",PR!$U707,IF(K709="GENEITH",PR!$V707,IF(K709="GINOS",PR!$W707,IF(K709="GSK",PR!$X707,IF(K709="GLOBORG",PR!$Y707,IF(K709="GOODNEWS",PR!$Z707,IF(K709="GREENLIFE",PR!$AA707,IF(K709="HLINE",PR!$AB707,IF(K709="ROTECH",PR!$AC707,IF(K709="ISN",PR!$AD707,IF(K709="JAWA",PR!$AE707,IF(K709="LAYO",PR!$AF707,IF(K709="LEADWAY",PR!$AG707,IF(K709="LHV",PR!$AH707,IF(K709="MANOLA",PR!$AI707,IF(K709="MARCSON",PR!$AJ707,IF(K709="M&amp;B",PR!$AK707,IF(K709="MTRUST",PR!$AL707,IF(K709="MWORLD",PR!$AM707,IF(K709="MEGA",PR!$AN707,IF(K709="MICRONOVA",PR!$AO707,IF(K709="MFLASH",PR!$AP707,IF(K709="MORISON",PR!$AQ707,IF(K709="NEMEL",PR!$AR707,IF(K709="NHP",PR!$AS707,IF(K709="NHC",PR!$AT707,IF(K709="OLEAF",PR!$AU707,IF(K709="OCULUS",PR!$AV707,IF(K709="PACIFIC",PR!$AW707,IF(K709="PHAMATEX",PR!$AX707,IF(K709="PETHICS",PR!$AY707,IF(K709="PHILIPS",PR!$AZ707,IF(K709="RANBAXY",PR!$BA707,IF(K709="REALS",PR!$BB707,IF(K709="ROYAL",PR!$BC707,IF(K709="SAM",PR!$BD707,IF(K709="SEAGREEN",PR!$BE707,IF(K709="SKG",PR!$BF707,IF(K709="TAH",PR!$BG707,IF(K709="TAYLEK",PR!$BH707,IF(K709="TEMITA",PR!$BI707,IF(K709="THL",PR!$BJ707,IF(K709="UBASTIC",PR!$BK707,IF(K709="UNION",PR!$BL707,IF(K709="UNIQUE",PR!$BM707,IF(K709="VIXA",PR!$BN707,IF(K709="WWCV",PR!$BO707,IF(K709="ZOLON",PR!$BP707,"-")))))))))))))))))))))))))))))))))))))))))))))))))))))))))))))))))</f>
        <v>1300</v>
      </c>
    </row>
    <row r="710" spans="1:12" ht="18.75" x14ac:dyDescent="0.3">
      <c r="A710" s="430">
        <f>PR!A708</f>
        <v>646</v>
      </c>
      <c r="B710" s="15" t="str">
        <f>PR!B708</f>
        <v>SURGICAL GLOVES 7"</v>
      </c>
      <c r="C710" s="113">
        <f>PR!D708</f>
        <v>50</v>
      </c>
      <c r="D710" s="113">
        <f>PR!C708</f>
        <v>240</v>
      </c>
      <c r="E710" s="108">
        <f>IF(F710="ALPHA",PR!$E708,IF(F710="ASSENE",PR!$F708,IF(F710="BIOFEM",PR!$G708,IF(F710="BIOMED",PR!$H708,IF(F710="CHI",PR!$I708,IF(F710="CLARION",PR!$J708,IF(F710="CODIX",PR!$K708,IF(F710="COSMADE",PR!$L708,IF(F710="SANCON",PR!$M708,IF(F710="DEVON",PR!$N708,IF(F710="DORTEMAG",PR!$O708,IF(F710="DGF",PR!$P708,IF(F710="DYNAMIC",PR!$Q708,IF(F710="EMZOR",PR!$R708,IF(F710="EUMATT",PR!$S708,IF(F710="FIDSON",PR!$T708,IF(F710="FCGLOBAL",PR!$U708,IF(F710="GENEITH",PR!$V708,IF(F710="GINOS",PR!$W708,IF(F710="GSK",PR!$X708,IF(F710="GLOBORG",PR!$Y708,IF(F710="GOODNEWS",PR!$Z708,IF(F710="GREENLIFE",PR!$AA708,IF(F710="HLINE",PR!$AB708,IF(F710="ROTECH",PR!$AC708,IF(F710="ISN",PR!$AD708,IF(F710="JAWA",PR!$AE708,IF(F710="LAYO",PR!$AF708,IF(F710="LEADWAY",PR!$AG708,IF(F710="LHV",PR!$AH708,IF(F710="MANOLA",PR!$AI708,IF(F710="MARCSON",PR!$AJ708,IF(F710="M&amp;B",PR!$AK708,IF(F710="MTRUST",PR!$AL708,IF(F710="MWORLD",PR!$AM708,IF(F710="MEGA",PR!$AN708,IF(F710="MICRONOVA",PR!$AO708,IF(F710="MFLASH",PR!$AP708,IF(F710="MORISON",PR!$AQ708,IF(F710="NEMEL",PR!$AR708,IF(F710="NHP",PR!$AS708,IF(F710="NHC",PR!$AT708,IF(F710="OLEAF",PR!$AU708,IF(F710="OCULUS",PR!$AV708,IF(F710="PACIFIC",PR!$AW708,IF(F710="PHAMATEX",PR!$AX708,IF(F710="PETHICS",PR!$AY708,IF(F710="PHILIPS",PR!$AZ708,IF(F710="RANBAXY",PR!$BA708,IF(F710="REALS",PR!$BB708,IF(F710="ROYAL",PR!$BC708,IF(F710="SAM",PR!$BD708,IF(F710="SEAGREEN",PR!$BE708,IF(F710="SKG",PR!$BF708,IF(F710="TAH",PR!$BG708,IF(F710="TAYLEK",PR!$BH708,IF(F710="TEMITA",PR!$BI708,IF(F710="THL",PR!$BJ708,IF(F710="UBASTIC",PR!$BK708,IF(F710="UNION",PR!$BL708,IF(F710="UNIQUE",PR!$BM708,IF(F710="VIXA",PR!$BN708,IF(F710="WWCV",PR!$BO708,IF(F710="ZOLON",PR!$BP708,"-"))))))))))))))))))))))))))))))))))))))))))))))))))))))))))))))))</f>
        <v>2800</v>
      </c>
      <c r="F710" s="102" t="str">
        <f>EV!L905</f>
        <v>SANCON</v>
      </c>
      <c r="G710" s="108">
        <f>IF(H710="ALPHA",PR!$E708,IF(H710="ASSENE",PR!$F708,IF(H710="BIOFEM",PR!$G708,IF(H710="BIOMED",PR!$H708,IF(H710="CHI",PR!$I708,IF(H710="CLARION",PR!$J708,IF(H710="CODIX",PR!$K708,IF(H710="COSMADE",PR!$L708,IF(H710="SANCON",PR!$M708,IF(H710="DEVON",PR!$N708,IF(H710="DORTEMAG",PR!$O708,IF(H710="DGF",PR!$P708,IF(H710="DYNAMIC",PR!$Q708,IF(H710="EMZOR",PR!$R708,IF(H710="EUMATT",PR!$S708,IF(H710="FIDSON",PR!$T708,IF(H710="FCGLOBAL",PR!$U708,IF(H710="GENEITH",PR!$V708,IF(H710="GINOS",PR!$W708,IF(H710="GSK",PR!$X708,IF(H710="GLOBORG",PR!$Y708,IF(H710="GOODNEWS",PR!$Z708,IF(H710="GREENLIFE",PR!$AA708,IF(H710="HLINE",PR!$AB708,IF(H710="ROTECH",PR!$AC708,IF(H710="ISN",PR!$AD708,IF(H710="JAWA",PR!$AE708,IF(H710="LAYO",PR!$AF708,IF(H710="LEADWAY",PR!$AG708,IF(H710="LHV",PR!$AH708,IF(H710="MANOLA",PR!$AI708,IF(H710="MARCSON",PR!$AJ708,IF(H710="M&amp;B",PR!$AK708,IF(H710="MTRUST",PR!$AL708,IF(H710="MWORLD",PR!$AM708,IF(H710="MEGA",PR!$AN708,IF(H710="MICRONOVA",PR!$AO708,IF(H710="MFLASH",PR!$AP708,IF(H710="MORISON",PR!$AQ708,IF(H710="NEMEL",PR!$AR708,IF(H710="NHP",PR!$AS708,IF(H710="NHC",PR!$AT708,IF(H710="OLEAF",PR!$AU708,IF(H710="OCULUS",PR!$AV708,IF(H710="PACIFIC",PR!$AW708,IF(H710="PHAMATEX",PR!$AX708,IF(H710="PETHICS",PR!$AY708,IF(H710="PHILIPS",PR!$AZ708,IF(H710="RANBAXY",PR!$BA708,IF(H710="REALS",PR!$BB708,IF(H710="ROYAL",PR!$BC708,IF(H710="SAM",PR!$BD708,IF(H710="SEAGREEN",PR!$BE708,IF(H710="SKG",PR!$BF708,IF(H710="TAH",PR!$BG708,IF(H710="TAYLEK",PR!$BH708,IF(H710="TEMITA",PR!$BI708,IF(H710="THL",PR!$BJ708,IF(H710="UBASTIC",PR!$BK708,IF(H710="UNION",PR!$BL708,IF(H710="UNIQUE",PR!$BM708,IF(H710="VIXA",PR!$BN708,IF(H710="WWCV",PR!$BO708,IF(H710="ZOLON",PR!$BP708,"-"))))))))))))))))))))))))))))))))))))))))))))))))))))))))))))))))</f>
        <v>2900</v>
      </c>
      <c r="H710" s="102" t="str">
        <f>EV!M905</f>
        <v>EUMATT</v>
      </c>
      <c r="I710" s="108">
        <f>IF(J710="ALPHA",PR!$E708,IF(J710="ASSENE",PR!$F708,IF(J710="BIOFEM",PR!$G708,IF(J710="BIOMED",PR!$H708,IF(J710="CHI",PR!$I708,IF(J710="CLARION",PR!$J708,IF(J710="CODIX",PR!$K708,IF(J710="COSMADE",PR!$L708,IF(J710="SANCON",PR!$M708,IF(J710="DEVON",PR!$N708,IF(J710="DORTEMAG",PR!$O708,IF(J710="DGF",PR!$P708,IF(J710="DYNAMIC",PR!$Q708,IF(J710="EMZOR",PR!$R708,IF(J710="EUMATT",PR!$S708,IF(J710="FIDSON",PR!$T708,IF(J710="FCGLOBAL",PR!$U708,IF(J710="GENEITH",PR!$V708,IF(J710="GINOS",PR!$W708,IF(J710="GSK",PR!$X708,IF(J710="GLOBORG",PR!$Y708,IF(J710="GOODNEWS",PR!$Z708,IF(J710="GREENLIFE",PR!$AA708,IF(J710="HLINE",PR!$AB708,IF(J710="ROTECH",PR!$AC708,IF(J710="ISN",PR!$AD708,IF(J710="JAWA",PR!$AE708,IF(J710="LAYO",PR!$AF708,IF(J710="LEADWAY",PR!$AG708,IF(J710="LHV",PR!$AH708,IF(J710="MANOLA",PR!$AI708,IF(J710="MARCSON",PR!$AJ708,IF(J710="M&amp;B",PR!$AK708,IF(J710="MTRUST",PR!$AL708,IF(J710="MWORLD",PR!$AM708,IF(J710="MEGA",PR!$AN708,IF(J710="MICRONOVA",PR!$AO708,IF(J710="MFLASH",PR!$AP708,IF(J710="MORISON",PR!$AQ708,IF(J710="NEMEL",PR!$AR708,IF(J710="NHP",PR!$AS708,IF(J710="NHC",PR!$AT708,IF(J710="OLEAF",PR!$AU708,IF(J710="OCULUS",PR!$AV708,IF(J710="PACIFIC",PR!$AW708,IF(J710="PHAMATEX",PR!$AX708,IF(J710="PETHICS",PR!$AY708,IF(J710="PHILIPS",PR!$AZ708,IF(J710="RANBAXY",PR!$BA708,IF(J710="REALS",PR!$BB708,IF(J710="ROYAL",PR!$BC708,IF(J710="SAM",PR!$BD708,IF(J710="SEAGREEN",PR!$BE708,IF(J710="SKG",PR!$BF708,IF(J710="TAH",PR!$BG708,IF(J710="TAYLEK",PR!$BH708,IF(J710="TEMITA",PR!$BI708,IF(J710="THL",PR!$BJ708,IF(J710="UBASTIC",PR!$BK708,IF(J710="UNION",PR!$BL708,IF(J710="UNIQUE",PR!$BM708,IF(J710="VIXA",PR!$BN708,IF(J710="WWCV",PR!$BO708,IF(J710="ZOLON",PR!$BP708,"-"))))))))))))))))))))))))))))))))))))))))))))))))))))))))))))))))</f>
        <v>3000</v>
      </c>
      <c r="J710" s="102" t="str">
        <f>EV!N905</f>
        <v>COSMADE</v>
      </c>
      <c r="K710" s="433" t="s">
        <v>621</v>
      </c>
      <c r="L710" s="183">
        <f>IF(K710&gt;0,IF(K710="ALPHA",PR!$E708,IF(K710="ASSENE",PR!$F708,IF(K710="BIOFEM",PR!$G708,IF(K710="BIOMED",PR!$H708,IF(K710="CHI",PR!$I708,IF(K710="CLARION",PR!$J708,IF(K710="CODIX",PR!$K708,IF(K710="COSMADE",PR!$L708,IF(K710="SANCON",PR!$M708,IF(K710="DEVON",PR!$N708,IF(K710="DORTEMAG",PR!$O708,IF(K710="DGF",PR!$P708,IF(K710="DYNAMIC",PR!$Q708,IF(K710="EMZOR",PR!$R708,IF(K710="EUMATT",PR!$S708,IF(K710="FIDSON",PR!$T708,IF(K710="FCGLOBAL",PR!$U708,IF(K710="GENEITH",PR!$V708,IF(K710="GINOS",PR!$W708,IF(K710="GSK",PR!$X708,IF(K710="GLOBORG",PR!$Y708,IF(K710="GOODNEWS",PR!$Z708,IF(K710="GREENLIFE",PR!$AA708,IF(K710="HLINE",PR!$AB708,IF(K710="ROTECH",PR!$AC708,IF(K710="ISN",PR!$AD708,IF(K710="JAWA",PR!$AE708,IF(K710="LAYO",PR!$AF708,IF(K710="LEADWAY",PR!$AG708,IF(K710="LHV",PR!$AH708,IF(K710="MANOLA",PR!$AI708,IF(K710="MARCSON",PR!$AJ708,IF(K710="M&amp;B",PR!$AK708,IF(K710="MTRUST",PR!$AL708,IF(K710="MWORLD",PR!$AM708,IF(K710="MEGA",PR!$AN708,IF(K710="MICRONOVA",PR!$AO708,IF(K710="MFLASH",PR!$AP708,IF(K710="MORISON",PR!$AQ708,IF(K710="NEMEL",PR!$AR708,IF(K710="NHP",PR!$AS708,IF(K710="NHC",PR!$AT708,IF(K710="OLEAF",PR!$AU708,IF(K710="OCULUS",PR!$AV708,IF(K710="PACIFIC",PR!$AW708,IF(K710="PHAMATEX",PR!$AX708,IF(K710="PETHICS",PR!$AY708,IF(K710="PHILIPS",PR!$AZ708,IF(K710="RANBAXY",PR!$BA708,IF(K710="REALS",PR!$BB708,IF(K710="ROYAL",PR!$BC708,IF(K710="SAM",PR!$BD708,IF(K710="SEAGREEN",PR!$BE708,IF(K710="SKG",PR!$BF708,IF(K710="TAH",PR!$BG708,IF(K710="TAYLEK",PR!$BH708,IF(K710="TEMITA",PR!$BI708,IF(K710="THL",PR!$BJ708,IF(K710="UBASTIC",PR!$BK708,IF(K710="UNION",PR!$BL708,IF(K710="UNIQUE",PR!$BM708,IF(K710="VIXA",PR!$BN708,IF(K710="WWCV",PR!$BO708,IF(K710="ZOLON",PR!$BP708,"-")))))))))))))))))))))))))))))))))))))))))))))))))))))))))))))))))</f>
        <v>3000</v>
      </c>
    </row>
    <row r="711" spans="1:12" ht="18.75" x14ac:dyDescent="0.3">
      <c r="A711" s="430">
        <f>PR!A709</f>
        <v>647</v>
      </c>
      <c r="B711" s="15" t="str">
        <f>PR!B709</f>
        <v>SURGICAL GLOVES 7 1/2"</v>
      </c>
      <c r="C711" s="113">
        <f>PR!D709</f>
        <v>50</v>
      </c>
      <c r="D711" s="113">
        <f>PR!C709</f>
        <v>600</v>
      </c>
      <c r="E711" s="108">
        <f>IF(F711="ALPHA",PR!$E709,IF(F711="ASSENE",PR!$F709,IF(F711="BIOFEM",PR!$G709,IF(F711="BIOMED",PR!$H709,IF(F711="CHI",PR!$I709,IF(F711="CLARION",PR!$J709,IF(F711="CODIX",PR!$K709,IF(F711="COSMADE",PR!$L709,IF(F711="SANCON",PR!$M709,IF(F711="DEVON",PR!$N709,IF(F711="DORTEMAG",PR!$O709,IF(F711="DGF",PR!$P709,IF(F711="DYNAMIC",PR!$Q709,IF(F711="EMZOR",PR!$R709,IF(F711="EUMATT",PR!$S709,IF(F711="FIDSON",PR!$T709,IF(F711="FCGLOBAL",PR!$U709,IF(F711="GENEITH",PR!$V709,IF(F711="GINOS",PR!$W709,IF(F711="GSK",PR!$X709,IF(F711="GLOBORG",PR!$Y709,IF(F711="GOODNEWS",PR!$Z709,IF(F711="GREENLIFE",PR!$AA709,IF(F711="HLINE",PR!$AB709,IF(F711="ROTECH",PR!$AC709,IF(F711="ISN",PR!$AD709,IF(F711="JAWA",PR!$AE709,IF(F711="LAYO",PR!$AF709,IF(F711="LEADWAY",PR!$AG709,IF(F711="LHV",PR!$AH709,IF(F711="MANOLA",PR!$AI709,IF(F711="MARCSON",PR!$AJ709,IF(F711="M&amp;B",PR!$AK709,IF(F711="MTRUST",PR!$AL709,IF(F711="MWORLD",PR!$AM709,IF(F711="MEGA",PR!$AN709,IF(F711="MICRONOVA",PR!$AO709,IF(F711="MFLASH",PR!$AP709,IF(F711="MORISON",PR!$AQ709,IF(F711="NEMEL",PR!$AR709,IF(F711="NHP",PR!$AS709,IF(F711="NHC",PR!$AT709,IF(F711="OLEAF",PR!$AU709,IF(F711="OCULUS",PR!$AV709,IF(F711="PACIFIC",PR!$AW709,IF(F711="PHAMATEX",PR!$AX709,IF(F711="PETHICS",PR!$AY709,IF(F711="PHILIPS",PR!$AZ709,IF(F711="RANBAXY",PR!$BA709,IF(F711="REALS",PR!$BB709,IF(F711="ROYAL",PR!$BC709,IF(F711="SAM",PR!$BD709,IF(F711="SEAGREEN",PR!$BE709,IF(F711="SKG",PR!$BF709,IF(F711="TAH",PR!$BG709,IF(F711="TAYLEK",PR!$BH709,IF(F711="TEMITA",PR!$BI709,IF(F711="THL",PR!$BJ709,IF(F711="UBASTIC",PR!$BK709,IF(F711="UNION",PR!$BL709,IF(F711="UNIQUE",PR!$BM709,IF(F711="VIXA",PR!$BN709,IF(F711="WWCV",PR!$BO709,IF(F711="ZOLON",PR!$BP709,"-"))))))))))))))))))))))))))))))))))))))))))))))))))))))))))))))))</f>
        <v>2800</v>
      </c>
      <c r="F711" s="102" t="str">
        <f>EV!L906</f>
        <v>SANCON</v>
      </c>
      <c r="G711" s="108">
        <f>IF(H711="ALPHA",PR!$E709,IF(H711="ASSENE",PR!$F709,IF(H711="BIOFEM",PR!$G709,IF(H711="BIOMED",PR!$H709,IF(H711="CHI",PR!$I709,IF(H711="CLARION",PR!$J709,IF(H711="CODIX",PR!$K709,IF(H711="COSMADE",PR!$L709,IF(H711="SANCON",PR!$M709,IF(H711="DEVON",PR!$N709,IF(H711="DORTEMAG",PR!$O709,IF(H711="DGF",PR!$P709,IF(H711="DYNAMIC",PR!$Q709,IF(H711="EMZOR",PR!$R709,IF(H711="EUMATT",PR!$S709,IF(H711="FIDSON",PR!$T709,IF(H711="FCGLOBAL",PR!$U709,IF(H711="GENEITH",PR!$V709,IF(H711="GINOS",PR!$W709,IF(H711="GSK",PR!$X709,IF(H711="GLOBORG",PR!$Y709,IF(H711="GOODNEWS",PR!$Z709,IF(H711="GREENLIFE",PR!$AA709,IF(H711="HLINE",PR!$AB709,IF(H711="ROTECH",PR!$AC709,IF(H711="ISN",PR!$AD709,IF(H711="JAWA",PR!$AE709,IF(H711="LAYO",PR!$AF709,IF(H711="LEADWAY",PR!$AG709,IF(H711="LHV",PR!$AH709,IF(H711="MANOLA",PR!$AI709,IF(H711="MARCSON",PR!$AJ709,IF(H711="M&amp;B",PR!$AK709,IF(H711="MTRUST",PR!$AL709,IF(H711="MWORLD",PR!$AM709,IF(H711="MEGA",PR!$AN709,IF(H711="MICRONOVA",PR!$AO709,IF(H711="MFLASH",PR!$AP709,IF(H711="MORISON",PR!$AQ709,IF(H711="NEMEL",PR!$AR709,IF(H711="NHP",PR!$AS709,IF(H711="NHC",PR!$AT709,IF(H711="OLEAF",PR!$AU709,IF(H711="OCULUS",PR!$AV709,IF(H711="PACIFIC",PR!$AW709,IF(H711="PHAMATEX",PR!$AX709,IF(H711="PETHICS",PR!$AY709,IF(H711="PHILIPS",PR!$AZ709,IF(H711="RANBAXY",PR!$BA709,IF(H711="REALS",PR!$BB709,IF(H711="ROYAL",PR!$BC709,IF(H711="SAM",PR!$BD709,IF(H711="SEAGREEN",PR!$BE709,IF(H711="SKG",PR!$BF709,IF(H711="TAH",PR!$BG709,IF(H711="TAYLEK",PR!$BH709,IF(H711="TEMITA",PR!$BI709,IF(H711="THL",PR!$BJ709,IF(H711="UBASTIC",PR!$BK709,IF(H711="UNION",PR!$BL709,IF(H711="UNIQUE",PR!$BM709,IF(H711="VIXA",PR!$BN709,IF(H711="WWCV",PR!$BO709,IF(H711="ZOLON",PR!$BP709,"-"))))))))))))))))))))))))))))))))))))))))))))))))))))))))))))))))</f>
        <v>2900</v>
      </c>
      <c r="H711" s="102" t="str">
        <f>EV!M906</f>
        <v>EUMATT</v>
      </c>
      <c r="I711" s="108">
        <f>IF(J711="ALPHA",PR!$E709,IF(J711="ASSENE",PR!$F709,IF(J711="BIOFEM",PR!$G709,IF(J711="BIOMED",PR!$H709,IF(J711="CHI",PR!$I709,IF(J711="CLARION",PR!$J709,IF(J711="CODIX",PR!$K709,IF(J711="COSMADE",PR!$L709,IF(J711="SANCON",PR!$M709,IF(J711="DEVON",PR!$N709,IF(J711="DORTEMAG",PR!$O709,IF(J711="DGF",PR!$P709,IF(J711="DYNAMIC",PR!$Q709,IF(J711="EMZOR",PR!$R709,IF(J711="EUMATT",PR!$S709,IF(J711="FIDSON",PR!$T709,IF(J711="FCGLOBAL",PR!$U709,IF(J711="GENEITH",PR!$V709,IF(J711="GINOS",PR!$W709,IF(J711="GSK",PR!$X709,IF(J711="GLOBORG",PR!$Y709,IF(J711="GOODNEWS",PR!$Z709,IF(J711="GREENLIFE",PR!$AA709,IF(J711="HLINE",PR!$AB709,IF(J711="ROTECH",PR!$AC709,IF(J711="ISN",PR!$AD709,IF(J711="JAWA",PR!$AE709,IF(J711="LAYO",PR!$AF709,IF(J711="LEADWAY",PR!$AG709,IF(J711="LHV",PR!$AH709,IF(J711="MANOLA",PR!$AI709,IF(J711="MARCSON",PR!$AJ709,IF(J711="M&amp;B",PR!$AK709,IF(J711="MTRUST",PR!$AL709,IF(J711="MWORLD",PR!$AM709,IF(J711="MEGA",PR!$AN709,IF(J711="MICRONOVA",PR!$AO709,IF(J711="MFLASH",PR!$AP709,IF(J711="MORISON",PR!$AQ709,IF(J711="NEMEL",PR!$AR709,IF(J711="NHP",PR!$AS709,IF(J711="NHC",PR!$AT709,IF(J711="OLEAF",PR!$AU709,IF(J711="OCULUS",PR!$AV709,IF(J711="PACIFIC",PR!$AW709,IF(J711="PHAMATEX",PR!$AX709,IF(J711="PETHICS",PR!$AY709,IF(J711="PHILIPS",PR!$AZ709,IF(J711="RANBAXY",PR!$BA709,IF(J711="REALS",PR!$BB709,IF(J711="ROYAL",PR!$BC709,IF(J711="SAM",PR!$BD709,IF(J711="SEAGREEN",PR!$BE709,IF(J711="SKG",PR!$BF709,IF(J711="TAH",PR!$BG709,IF(J711="TAYLEK",PR!$BH709,IF(J711="TEMITA",PR!$BI709,IF(J711="THL",PR!$BJ709,IF(J711="UBASTIC",PR!$BK709,IF(J711="UNION",PR!$BL709,IF(J711="UNIQUE",PR!$BM709,IF(J711="VIXA",PR!$BN709,IF(J711="WWCV",PR!$BO709,IF(J711="ZOLON",PR!$BP709,"-"))))))))))))))))))))))))))))))))))))))))))))))))))))))))))))))))</f>
        <v>3000</v>
      </c>
      <c r="J711" s="102" t="str">
        <f>EV!N906</f>
        <v>TAH</v>
      </c>
      <c r="K711" s="433" t="s">
        <v>621</v>
      </c>
      <c r="L711" s="183">
        <f>IF(K711&gt;0,IF(K711="ALPHA",PR!$E709,IF(K711="ASSENE",PR!$F709,IF(K711="BIOFEM",PR!$G709,IF(K711="BIOMED",PR!$H709,IF(K711="CHI",PR!$I709,IF(K711="CLARION",PR!$J709,IF(K711="CODIX",PR!$K709,IF(K711="COSMADE",PR!$L709,IF(K711="SANCON",PR!$M709,IF(K711="DEVON",PR!$N709,IF(K711="DORTEMAG",PR!$O709,IF(K711="DGF",PR!$P709,IF(K711="DYNAMIC",PR!$Q709,IF(K711="EMZOR",PR!$R709,IF(K711="EUMATT",PR!$S709,IF(K711="FIDSON",PR!$T709,IF(K711="FCGLOBAL",PR!$U709,IF(K711="GENEITH",PR!$V709,IF(K711="GINOS",PR!$W709,IF(K711="GSK",PR!$X709,IF(K711="GLOBORG",PR!$Y709,IF(K711="GOODNEWS",PR!$Z709,IF(K711="GREENLIFE",PR!$AA709,IF(K711="HLINE",PR!$AB709,IF(K711="ROTECH",PR!$AC709,IF(K711="ISN",PR!$AD709,IF(K711="JAWA",PR!$AE709,IF(K711="LAYO",PR!$AF709,IF(K711="LEADWAY",PR!$AG709,IF(K711="LHV",PR!$AH709,IF(K711="MANOLA",PR!$AI709,IF(K711="MARCSON",PR!$AJ709,IF(K711="M&amp;B",PR!$AK709,IF(K711="MTRUST",PR!$AL709,IF(K711="MWORLD",PR!$AM709,IF(K711="MEGA",PR!$AN709,IF(K711="MICRONOVA",PR!$AO709,IF(K711="MFLASH",PR!$AP709,IF(K711="MORISON",PR!$AQ709,IF(K711="NEMEL",PR!$AR709,IF(K711="NHP",PR!$AS709,IF(K711="NHC",PR!$AT709,IF(K711="OLEAF",PR!$AU709,IF(K711="OCULUS",PR!$AV709,IF(K711="PACIFIC",PR!$AW709,IF(K711="PHAMATEX",PR!$AX709,IF(K711="PETHICS",PR!$AY709,IF(K711="PHILIPS",PR!$AZ709,IF(K711="RANBAXY",PR!$BA709,IF(K711="REALS",PR!$BB709,IF(K711="ROYAL",PR!$BC709,IF(K711="SAM",PR!$BD709,IF(K711="SEAGREEN",PR!$BE709,IF(K711="SKG",PR!$BF709,IF(K711="TAH",PR!$BG709,IF(K711="TAYLEK",PR!$BH709,IF(K711="TEMITA",PR!$BI709,IF(K711="THL",PR!$BJ709,IF(K711="UBASTIC",PR!$BK709,IF(K711="UNION",PR!$BL709,IF(K711="UNIQUE",PR!$BM709,IF(K711="VIXA",PR!$BN709,IF(K711="WWCV",PR!$BO709,IF(K711="ZOLON",PR!$BP709,"-")))))))))))))))))))))))))))))))))))))))))))))))))))))))))))))))))</f>
        <v>3000</v>
      </c>
    </row>
    <row r="712" spans="1:12" ht="18.75" x14ac:dyDescent="0.3">
      <c r="A712" s="430">
        <f>PR!A710</f>
        <v>648</v>
      </c>
      <c r="B712" s="15" t="str">
        <f>PR!B710</f>
        <v>SURGICAL GLOVES 8"</v>
      </c>
      <c r="C712" s="113">
        <f>PR!D710</f>
        <v>50</v>
      </c>
      <c r="D712" s="113">
        <f>PR!C710</f>
        <v>350</v>
      </c>
      <c r="E712" s="108">
        <f>IF(F712="ALPHA",PR!$E710,IF(F712="ASSENE",PR!$F710,IF(F712="BIOFEM",PR!$G710,IF(F712="BIOMED",PR!$H710,IF(F712="CHI",PR!$I710,IF(F712="CLARION",PR!$J710,IF(F712="CODIX",PR!$K710,IF(F712="COSMADE",PR!$L710,IF(F712="SANCON",PR!$M710,IF(F712="DEVON",PR!$N710,IF(F712="DORTEMAG",PR!$O710,IF(F712="DGF",PR!$P710,IF(F712="DYNAMIC",PR!$Q710,IF(F712="EMZOR",PR!$R710,IF(F712="EUMATT",PR!$S710,IF(F712="FIDSON",PR!$T710,IF(F712="FCGLOBAL",PR!$U710,IF(F712="GENEITH",PR!$V710,IF(F712="GINOS",PR!$W710,IF(F712="GSK",PR!$X710,IF(F712="GLOBORG",PR!$Y710,IF(F712="GOODNEWS",PR!$Z710,IF(F712="GREENLIFE",PR!$AA710,IF(F712="HLINE",PR!$AB710,IF(F712="ROTECH",PR!$AC710,IF(F712="ISN",PR!$AD710,IF(F712="JAWA",PR!$AE710,IF(F712="LAYO",PR!$AF710,IF(F712="LEADWAY",PR!$AG710,IF(F712="LHV",PR!$AH710,IF(F712="MANOLA",PR!$AI710,IF(F712="MARCSON",PR!$AJ710,IF(F712="M&amp;B",PR!$AK710,IF(F712="MTRUST",PR!$AL710,IF(F712="MWORLD",PR!$AM710,IF(F712="MEGA",PR!$AN710,IF(F712="MICRONOVA",PR!$AO710,IF(F712="MFLASH",PR!$AP710,IF(F712="MORISON",PR!$AQ710,IF(F712="NEMEL",PR!$AR710,IF(F712="NHP",PR!$AS710,IF(F712="NHC",PR!$AT710,IF(F712="OLEAF",PR!$AU710,IF(F712="OCULUS",PR!$AV710,IF(F712="PACIFIC",PR!$AW710,IF(F712="PHAMATEX",PR!$AX710,IF(F712="PETHICS",PR!$AY710,IF(F712="PHILIPS",PR!$AZ710,IF(F712="RANBAXY",PR!$BA710,IF(F712="REALS",PR!$BB710,IF(F712="ROYAL",PR!$BC710,IF(F712="SAM",PR!$BD710,IF(F712="SEAGREEN",PR!$BE710,IF(F712="SKG",PR!$BF710,IF(F712="TAH",PR!$BG710,IF(F712="TAYLEK",PR!$BH710,IF(F712="TEMITA",PR!$BI710,IF(F712="THL",PR!$BJ710,IF(F712="UBASTIC",PR!$BK710,IF(F712="UNION",PR!$BL710,IF(F712="UNIQUE",PR!$BM710,IF(F712="VIXA",PR!$BN710,IF(F712="WWCV",PR!$BO710,IF(F712="ZOLON",PR!$BP710,"-"))))))))))))))))))))))))))))))))))))))))))))))))))))))))))))))))</f>
        <v>2800</v>
      </c>
      <c r="F712" s="102" t="str">
        <f>EV!L907</f>
        <v>SANCON</v>
      </c>
      <c r="G712" s="108">
        <f>IF(H712="ALPHA",PR!$E710,IF(H712="ASSENE",PR!$F710,IF(H712="BIOFEM",PR!$G710,IF(H712="BIOMED",PR!$H710,IF(H712="CHI",PR!$I710,IF(H712="CLARION",PR!$J710,IF(H712="CODIX",PR!$K710,IF(H712="COSMADE",PR!$L710,IF(H712="SANCON",PR!$M710,IF(H712="DEVON",PR!$N710,IF(H712="DORTEMAG",PR!$O710,IF(H712="DGF",PR!$P710,IF(H712="DYNAMIC",PR!$Q710,IF(H712="EMZOR",PR!$R710,IF(H712="EUMATT",PR!$S710,IF(H712="FIDSON",PR!$T710,IF(H712="FCGLOBAL",PR!$U710,IF(H712="GENEITH",PR!$V710,IF(H712="GINOS",PR!$W710,IF(H712="GSK",PR!$X710,IF(H712="GLOBORG",PR!$Y710,IF(H712="GOODNEWS",PR!$Z710,IF(H712="GREENLIFE",PR!$AA710,IF(H712="HLINE",PR!$AB710,IF(H712="ROTECH",PR!$AC710,IF(H712="ISN",PR!$AD710,IF(H712="JAWA",PR!$AE710,IF(H712="LAYO",PR!$AF710,IF(H712="LEADWAY",PR!$AG710,IF(H712="LHV",PR!$AH710,IF(H712="MANOLA",PR!$AI710,IF(H712="MARCSON",PR!$AJ710,IF(H712="M&amp;B",PR!$AK710,IF(H712="MTRUST",PR!$AL710,IF(H712="MWORLD",PR!$AM710,IF(H712="MEGA",PR!$AN710,IF(H712="MICRONOVA",PR!$AO710,IF(H712="MFLASH",PR!$AP710,IF(H712="MORISON",PR!$AQ710,IF(H712="NEMEL",PR!$AR710,IF(H712="NHP",PR!$AS710,IF(H712="NHC",PR!$AT710,IF(H712="OLEAF",PR!$AU710,IF(H712="OCULUS",PR!$AV710,IF(H712="PACIFIC",PR!$AW710,IF(H712="PHAMATEX",PR!$AX710,IF(H712="PETHICS",PR!$AY710,IF(H712="PHILIPS",PR!$AZ710,IF(H712="RANBAXY",PR!$BA710,IF(H712="REALS",PR!$BB710,IF(H712="ROYAL",PR!$BC710,IF(H712="SAM",PR!$BD710,IF(H712="SEAGREEN",PR!$BE710,IF(H712="SKG",PR!$BF710,IF(H712="TAH",PR!$BG710,IF(H712="TAYLEK",PR!$BH710,IF(H712="TEMITA",PR!$BI710,IF(H712="THL",PR!$BJ710,IF(H712="UBASTIC",PR!$BK710,IF(H712="UNION",PR!$BL710,IF(H712="UNIQUE",PR!$BM710,IF(H712="VIXA",PR!$BN710,IF(H712="WWCV",PR!$BO710,IF(H712="ZOLON",PR!$BP710,"-"))))))))))))))))))))))))))))))))))))))))))))))))))))))))))))))))</f>
        <v>2900</v>
      </c>
      <c r="H712" s="102" t="str">
        <f>EV!M907</f>
        <v>EUMATT</v>
      </c>
      <c r="I712" s="108">
        <f>IF(J712="ALPHA",PR!$E710,IF(J712="ASSENE",PR!$F710,IF(J712="BIOFEM",PR!$G710,IF(J712="BIOMED",PR!$H710,IF(J712="CHI",PR!$I710,IF(J712="CLARION",PR!$J710,IF(J712="CODIX",PR!$K710,IF(J712="COSMADE",PR!$L710,IF(J712="SANCON",PR!$M710,IF(J712="DEVON",PR!$N710,IF(J712="DORTEMAG",PR!$O710,IF(J712="DGF",PR!$P710,IF(J712="DYNAMIC",PR!$Q710,IF(J712="EMZOR",PR!$R710,IF(J712="EUMATT",PR!$S710,IF(J712="FIDSON",PR!$T710,IF(J712="FCGLOBAL",PR!$U710,IF(J712="GENEITH",PR!$V710,IF(J712="GINOS",PR!$W710,IF(J712="GSK",PR!$X710,IF(J712="GLOBORG",PR!$Y710,IF(J712="GOODNEWS",PR!$Z710,IF(J712="GREENLIFE",PR!$AA710,IF(J712="HLINE",PR!$AB710,IF(J712="ROTECH",PR!$AC710,IF(J712="ISN",PR!$AD710,IF(J712="JAWA",PR!$AE710,IF(J712="LAYO",PR!$AF710,IF(J712="LEADWAY",PR!$AG710,IF(J712="LHV",PR!$AH710,IF(J712="MANOLA",PR!$AI710,IF(J712="MARCSON",PR!$AJ710,IF(J712="M&amp;B",PR!$AK710,IF(J712="MTRUST",PR!$AL710,IF(J712="MWORLD",PR!$AM710,IF(J712="MEGA",PR!$AN710,IF(J712="MICRONOVA",PR!$AO710,IF(J712="MFLASH",PR!$AP710,IF(J712="MORISON",PR!$AQ710,IF(J712="NEMEL",PR!$AR710,IF(J712="NHP",PR!$AS710,IF(J712="NHC",PR!$AT710,IF(J712="OLEAF",PR!$AU710,IF(J712="OCULUS",PR!$AV710,IF(J712="PACIFIC",PR!$AW710,IF(J712="PHAMATEX",PR!$AX710,IF(J712="PETHICS",PR!$AY710,IF(J712="PHILIPS",PR!$AZ710,IF(J712="RANBAXY",PR!$BA710,IF(J712="REALS",PR!$BB710,IF(J712="ROYAL",PR!$BC710,IF(J712="SAM",PR!$BD710,IF(J712="SEAGREEN",PR!$BE710,IF(J712="SKG",PR!$BF710,IF(J712="TAH",PR!$BG710,IF(J712="TAYLEK",PR!$BH710,IF(J712="TEMITA",PR!$BI710,IF(J712="THL",PR!$BJ710,IF(J712="UBASTIC",PR!$BK710,IF(J712="UNION",PR!$BL710,IF(J712="UNIQUE",PR!$BM710,IF(J712="VIXA",PR!$BN710,IF(J712="WWCV",PR!$BO710,IF(J712="ZOLON",PR!$BP710,"-"))))))))))))))))))))))))))))))))))))))))))))))))))))))))))))))))</f>
        <v>3000</v>
      </c>
      <c r="J712" s="102" t="str">
        <f>EV!N907</f>
        <v>COSMADE</v>
      </c>
      <c r="K712" s="433" t="s">
        <v>621</v>
      </c>
      <c r="L712" s="183">
        <f>IF(K712&gt;0,IF(K712="ALPHA",PR!$E710,IF(K712="ASSENE",PR!$F710,IF(K712="BIOFEM",PR!$G710,IF(K712="BIOMED",PR!$H710,IF(K712="CHI",PR!$I710,IF(K712="CLARION",PR!$J710,IF(K712="CODIX",PR!$K710,IF(K712="COSMADE",PR!$L710,IF(K712="SANCON",PR!$M710,IF(K712="DEVON",PR!$N710,IF(K712="DORTEMAG",PR!$O710,IF(K712="DGF",PR!$P710,IF(K712="DYNAMIC",PR!$Q710,IF(K712="EMZOR",PR!$R710,IF(K712="EUMATT",PR!$S710,IF(K712="FIDSON",PR!$T710,IF(K712="FCGLOBAL",PR!$U710,IF(K712="GENEITH",PR!$V710,IF(K712="GINOS",PR!$W710,IF(K712="GSK",PR!$X710,IF(K712="GLOBORG",PR!$Y710,IF(K712="GOODNEWS",PR!$Z710,IF(K712="GREENLIFE",PR!$AA710,IF(K712="HLINE",PR!$AB710,IF(K712="ROTECH",PR!$AC710,IF(K712="ISN",PR!$AD710,IF(K712="JAWA",PR!$AE710,IF(K712="LAYO",PR!$AF710,IF(K712="LEADWAY",PR!$AG710,IF(K712="LHV",PR!$AH710,IF(K712="MANOLA",PR!$AI710,IF(K712="MARCSON",PR!$AJ710,IF(K712="M&amp;B",PR!$AK710,IF(K712="MTRUST",PR!$AL710,IF(K712="MWORLD",PR!$AM710,IF(K712="MEGA",PR!$AN710,IF(K712="MICRONOVA",PR!$AO710,IF(K712="MFLASH",PR!$AP710,IF(K712="MORISON",PR!$AQ710,IF(K712="NEMEL",PR!$AR710,IF(K712="NHP",PR!$AS710,IF(K712="NHC",PR!$AT710,IF(K712="OLEAF",PR!$AU710,IF(K712="OCULUS",PR!$AV710,IF(K712="PACIFIC",PR!$AW710,IF(K712="PHAMATEX",PR!$AX710,IF(K712="PETHICS",PR!$AY710,IF(K712="PHILIPS",PR!$AZ710,IF(K712="RANBAXY",PR!$BA710,IF(K712="REALS",PR!$BB710,IF(K712="ROYAL",PR!$BC710,IF(K712="SAM",PR!$BD710,IF(K712="SEAGREEN",PR!$BE710,IF(K712="SKG",PR!$BF710,IF(K712="TAH",PR!$BG710,IF(K712="TAYLEK",PR!$BH710,IF(K712="TEMITA",PR!$BI710,IF(K712="THL",PR!$BJ710,IF(K712="UBASTIC",PR!$BK710,IF(K712="UNION",PR!$BL710,IF(K712="UNIQUE",PR!$BM710,IF(K712="VIXA",PR!$BN710,IF(K712="WWCV",PR!$BO710,IF(K712="ZOLON",PR!$BP710,"-")))))))))))))))))))))))))))))))))))))))))))))))))))))))))))))))))</f>
        <v>3000</v>
      </c>
    </row>
    <row r="713" spans="1:12" ht="18.75" x14ac:dyDescent="0.3">
      <c r="A713" s="430">
        <f>PR!A711</f>
        <v>649</v>
      </c>
      <c r="B713" s="15" t="str">
        <f>PR!B711</f>
        <v>URINE BAG</v>
      </c>
      <c r="C713" s="113">
        <f>PR!D711</f>
        <v>10</v>
      </c>
      <c r="D713" s="113">
        <f>PR!C711</f>
        <v>600</v>
      </c>
      <c r="E713" s="108">
        <f>IF(F713="ALPHA",PR!$E711,IF(F713="ASSENE",PR!$F711,IF(F713="BIOFEM",PR!$G711,IF(F713="BIOMED",PR!$H711,IF(F713="CHI",PR!$I711,IF(F713="CLARION",PR!$J711,IF(F713="CODIX",PR!$K711,IF(F713="COSMADE",PR!$L711,IF(F713="SANCON",PR!$M711,IF(F713="DEVON",PR!$N711,IF(F713="DORTEMAG",PR!$O711,IF(F713="DGF",PR!$P711,IF(F713="DYNAMIC",PR!$Q711,IF(F713="EMZOR",PR!$R711,IF(F713="EUMATT",PR!$S711,IF(F713="FIDSON",PR!$T711,IF(F713="FCGLOBAL",PR!$U711,IF(F713="GENEITH",PR!$V711,IF(F713="GINOS",PR!$W711,IF(F713="GSK",PR!$X711,IF(F713="GLOBORG",PR!$Y711,IF(F713="GOODNEWS",PR!$Z711,IF(F713="GREENLIFE",PR!$AA711,IF(F713="HLINE",PR!$AB711,IF(F713="ROTECH",PR!$AC711,IF(F713="ISN",PR!$AD711,IF(F713="JAWA",PR!$AE711,IF(F713="LAYO",PR!$AF711,IF(F713="LEADWAY",PR!$AG711,IF(F713="LHV",PR!$AH711,IF(F713="MANOLA",PR!$AI711,IF(F713="MARCSON",PR!$AJ711,IF(F713="M&amp;B",PR!$AK711,IF(F713="MTRUST",PR!$AL711,IF(F713="MWORLD",PR!$AM711,IF(F713="MEGA",PR!$AN711,IF(F713="MICRONOVA",PR!$AO711,IF(F713="MFLASH",PR!$AP711,IF(F713="MORISON",PR!$AQ711,IF(F713="NEMEL",PR!$AR711,IF(F713="NHP",PR!$AS711,IF(F713="NHC",PR!$AT711,IF(F713="OLEAF",PR!$AU711,IF(F713="OCULUS",PR!$AV711,IF(F713="PACIFIC",PR!$AW711,IF(F713="PHAMATEX",PR!$AX711,IF(F713="PETHICS",PR!$AY711,IF(F713="PHILIPS",PR!$AZ711,IF(F713="RANBAXY",PR!$BA711,IF(F713="REALS",PR!$BB711,IF(F713="ROYAL",PR!$BC711,IF(F713="SAM",PR!$BD711,IF(F713="SEAGREEN",PR!$BE711,IF(F713="SKG",PR!$BF711,IF(F713="TAH",PR!$BG711,IF(F713="TAYLEK",PR!$BH711,IF(F713="TEMITA",PR!$BI711,IF(F713="THL",PR!$BJ711,IF(F713="UBASTIC",PR!$BK711,IF(F713="UNION",PR!$BL711,IF(F713="UNIQUE",PR!$BM711,IF(F713="VIXA",PR!$BN711,IF(F713="WWCV",PR!$BO711,IF(F713="ZOLON",PR!$BP711,"-"))))))))))))))))))))))))))))))))))))))))))))))))))))))))))))))))</f>
        <v>715</v>
      </c>
      <c r="F713" s="102" t="str">
        <f>EV!L908</f>
        <v>ROTECH</v>
      </c>
      <c r="G713" s="108">
        <f>IF(H713="ALPHA",PR!$E711,IF(H713="ASSENE",PR!$F711,IF(H713="BIOFEM",PR!$G711,IF(H713="BIOMED",PR!$H711,IF(H713="CHI",PR!$I711,IF(H713="CLARION",PR!$J711,IF(H713="CODIX",PR!$K711,IF(H713="COSMADE",PR!$L711,IF(H713="SANCON",PR!$M711,IF(H713="DEVON",PR!$N711,IF(H713="DORTEMAG",PR!$O711,IF(H713="DGF",PR!$P711,IF(H713="DYNAMIC",PR!$Q711,IF(H713="EMZOR",PR!$R711,IF(H713="EUMATT",PR!$S711,IF(H713="FIDSON",PR!$T711,IF(H713="FCGLOBAL",PR!$U711,IF(H713="GENEITH",PR!$V711,IF(H713="GINOS",PR!$W711,IF(H713="GSK",PR!$X711,IF(H713="GLOBORG",PR!$Y711,IF(H713="GOODNEWS",PR!$Z711,IF(H713="GREENLIFE",PR!$AA711,IF(H713="HLINE",PR!$AB711,IF(H713="ROTECH",PR!$AC711,IF(H713="ISN",PR!$AD711,IF(H713="JAWA",PR!$AE711,IF(H713="LAYO",PR!$AF711,IF(H713="LEADWAY",PR!$AG711,IF(H713="LHV",PR!$AH711,IF(H713="MANOLA",PR!$AI711,IF(H713="MARCSON",PR!$AJ711,IF(H713="M&amp;B",PR!$AK711,IF(H713="MTRUST",PR!$AL711,IF(H713="MWORLD",PR!$AM711,IF(H713="MEGA",PR!$AN711,IF(H713="MICRONOVA",PR!$AO711,IF(H713="MFLASH",PR!$AP711,IF(H713="MORISON",PR!$AQ711,IF(H713="NEMEL",PR!$AR711,IF(H713="NHP",PR!$AS711,IF(H713="NHC",PR!$AT711,IF(H713="OLEAF",PR!$AU711,IF(H713="OCULUS",PR!$AV711,IF(H713="PACIFIC",PR!$AW711,IF(H713="PHAMATEX",PR!$AX711,IF(H713="PETHICS",PR!$AY711,IF(H713="PHILIPS",PR!$AZ711,IF(H713="RANBAXY",PR!$BA711,IF(H713="REALS",PR!$BB711,IF(H713="ROYAL",PR!$BC711,IF(H713="SAM",PR!$BD711,IF(H713="SEAGREEN",PR!$BE711,IF(H713="SKG",PR!$BF711,IF(H713="TAH",PR!$BG711,IF(H713="TAYLEK",PR!$BH711,IF(H713="TEMITA",PR!$BI711,IF(H713="THL",PR!$BJ711,IF(H713="UBASTIC",PR!$BK711,IF(H713="UNION",PR!$BL711,IF(H713="UNIQUE",PR!$BM711,IF(H713="VIXA",PR!$BN711,IF(H713="WWCV",PR!$BO711,IF(H713="ZOLON",PR!$BP711,"-"))))))))))))))))))))))))))))))))))))))))))))))))))))))))))))))))</f>
        <v>780</v>
      </c>
      <c r="H713" s="102" t="str">
        <f>EV!M908</f>
        <v>SANCON</v>
      </c>
      <c r="I713" s="108">
        <f>IF(J713="ALPHA",PR!$E711,IF(J713="ASSENE",PR!$F711,IF(J713="BIOFEM",PR!$G711,IF(J713="BIOMED",PR!$H711,IF(J713="CHI",PR!$I711,IF(J713="CLARION",PR!$J711,IF(J713="CODIX",PR!$K711,IF(J713="COSMADE",PR!$L711,IF(J713="SANCON",PR!$M711,IF(J713="DEVON",PR!$N711,IF(J713="DORTEMAG",PR!$O711,IF(J713="DGF",PR!$P711,IF(J713="DYNAMIC",PR!$Q711,IF(J713="EMZOR",PR!$R711,IF(J713="EUMATT",PR!$S711,IF(J713="FIDSON",PR!$T711,IF(J713="FCGLOBAL",PR!$U711,IF(J713="GENEITH",PR!$V711,IF(J713="GINOS",PR!$W711,IF(J713="GSK",PR!$X711,IF(J713="GLOBORG",PR!$Y711,IF(J713="GOODNEWS",PR!$Z711,IF(J713="GREENLIFE",PR!$AA711,IF(J713="HLINE",PR!$AB711,IF(J713="ROTECH",PR!$AC711,IF(J713="ISN",PR!$AD711,IF(J713="JAWA",PR!$AE711,IF(J713="LAYO",PR!$AF711,IF(J713="LEADWAY",PR!$AG711,IF(J713="LHV",PR!$AH711,IF(J713="MANOLA",PR!$AI711,IF(J713="MARCSON",PR!$AJ711,IF(J713="M&amp;B",PR!$AK711,IF(J713="MTRUST",PR!$AL711,IF(J713="MWORLD",PR!$AM711,IF(J713="MEGA",PR!$AN711,IF(J713="MICRONOVA",PR!$AO711,IF(J713="MFLASH",PR!$AP711,IF(J713="MORISON",PR!$AQ711,IF(J713="NEMEL",PR!$AR711,IF(J713="NHP",PR!$AS711,IF(J713="NHC",PR!$AT711,IF(J713="OLEAF",PR!$AU711,IF(J713="OCULUS",PR!$AV711,IF(J713="PACIFIC",PR!$AW711,IF(J713="PHAMATEX",PR!$AX711,IF(J713="PETHICS",PR!$AY711,IF(J713="PHILIPS",PR!$AZ711,IF(J713="RANBAXY",PR!$BA711,IF(J713="REALS",PR!$BB711,IF(J713="ROYAL",PR!$BC711,IF(J713="SAM",PR!$BD711,IF(J713="SEAGREEN",PR!$BE711,IF(J713="SKG",PR!$BF711,IF(J713="TAH",PR!$BG711,IF(J713="TAYLEK",PR!$BH711,IF(J713="TEMITA",PR!$BI711,IF(J713="THL",PR!$BJ711,IF(J713="UBASTIC",PR!$BK711,IF(J713="UNION",PR!$BL711,IF(J713="UNIQUE",PR!$BM711,IF(J713="VIXA",PR!$BN711,IF(J713="WWCV",PR!$BO711,IF(J713="ZOLON",PR!$BP711,"-"))))))))))))))))))))))))))))))))))))))))))))))))))))))))))))))))</f>
        <v>800</v>
      </c>
      <c r="J713" s="102" t="str">
        <f>EV!N908</f>
        <v>EUMATT</v>
      </c>
      <c r="K713" s="433" t="s">
        <v>825</v>
      </c>
      <c r="L713" s="183">
        <f>IF(K713&gt;0,IF(K713="ALPHA",PR!$E711,IF(K713="ASSENE",PR!$F711,IF(K713="BIOFEM",PR!$G711,IF(K713="BIOMED",PR!$H711,IF(K713="CHI",PR!$I711,IF(K713="CLARION",PR!$J711,IF(K713="CODIX",PR!$K711,IF(K713="COSMADE",PR!$L711,IF(K713="SANCON",PR!$M711,IF(K713="DEVON",PR!$N711,IF(K713="DORTEMAG",PR!$O711,IF(K713="DGF",PR!$P711,IF(K713="DYNAMIC",PR!$Q711,IF(K713="EMZOR",PR!$R711,IF(K713="EUMATT",PR!$S711,IF(K713="FIDSON",PR!$T711,IF(K713="FCGLOBAL",PR!$U711,IF(K713="GENEITH",PR!$V711,IF(K713="GINOS",PR!$W711,IF(K713="GSK",PR!$X711,IF(K713="GLOBORG",PR!$Y711,IF(K713="GOODNEWS",PR!$Z711,IF(K713="GREENLIFE",PR!$AA711,IF(K713="HLINE",PR!$AB711,IF(K713="ROTECH",PR!$AC711,IF(K713="ISN",PR!$AD711,IF(K713="JAWA",PR!$AE711,IF(K713="LAYO",PR!$AF711,IF(K713="LEADWAY",PR!$AG711,IF(K713="LHV",PR!$AH711,IF(K713="MANOLA",PR!$AI711,IF(K713="MARCSON",PR!$AJ711,IF(K713="M&amp;B",PR!$AK711,IF(K713="MTRUST",PR!$AL711,IF(K713="MWORLD",PR!$AM711,IF(K713="MEGA",PR!$AN711,IF(K713="MICRONOVA",PR!$AO711,IF(K713="MFLASH",PR!$AP711,IF(K713="MORISON",PR!$AQ711,IF(K713="NEMEL",PR!$AR711,IF(K713="NHP",PR!$AS711,IF(K713="NHC",PR!$AT711,IF(K713="OLEAF",PR!$AU711,IF(K713="OCULUS",PR!$AV711,IF(K713="PACIFIC",PR!$AW711,IF(K713="PHAMATEX",PR!$AX711,IF(K713="PETHICS",PR!$AY711,IF(K713="PHILIPS",PR!$AZ711,IF(K713="RANBAXY",PR!$BA711,IF(K713="REALS",PR!$BB711,IF(K713="ROYAL",PR!$BC711,IF(K713="SAM",PR!$BD711,IF(K713="SEAGREEN",PR!$BE711,IF(K713="SKG",PR!$BF711,IF(K713="TAH",PR!$BG711,IF(K713="TAYLEK",PR!$BH711,IF(K713="TEMITA",PR!$BI711,IF(K713="THL",PR!$BJ711,IF(K713="UBASTIC",PR!$BK711,IF(K713="UNION",PR!$BL711,IF(K713="UNIQUE",PR!$BM711,IF(K713="VIXA",PR!$BN711,IF(K713="WWCV",PR!$BO711,IF(K713="ZOLON",PR!$BP711,"-")))))))))))))))))))))))))))))))))))))))))))))))))))))))))))))))))</f>
        <v>715</v>
      </c>
    </row>
    <row r="714" spans="1:12" ht="18.75" x14ac:dyDescent="0.3">
      <c r="A714" s="430">
        <f>PR!A712</f>
        <v>650</v>
      </c>
      <c r="B714" s="15" t="str">
        <f>PR!B712</f>
        <v>XYLOCAINE GEL 35g</v>
      </c>
      <c r="C714" s="113">
        <f>PR!D712</f>
        <v>10</v>
      </c>
      <c r="D714" s="113">
        <f>PR!C712</f>
        <v>160</v>
      </c>
      <c r="E714" s="108">
        <f>IF(F714="ALPHA",PR!$E712,IF(F714="ASSENE",PR!$F712,IF(F714="BIOFEM",PR!$G712,IF(F714="BIOMED",PR!$H712,IF(F714="CHI",PR!$I712,IF(F714="CLARION",PR!$J712,IF(F714="CODIX",PR!$K712,IF(F714="COSMADE",PR!$L712,IF(F714="SANCON",PR!$M712,IF(F714="DEVON",PR!$N712,IF(F714="DORTEMAG",PR!$O712,IF(F714="DGF",PR!$P712,IF(F714="DYNAMIC",PR!$Q712,IF(F714="EMZOR",PR!$R712,IF(F714="EUMATT",PR!$S712,IF(F714="FIDSON",PR!$T712,IF(F714="FCGLOBAL",PR!$U712,IF(F714="GENEITH",PR!$V712,IF(F714="GINOS",PR!$W712,IF(F714="GSK",PR!$X712,IF(F714="GLOBORG",PR!$Y712,IF(F714="GOODNEWS",PR!$Z712,IF(F714="GREENLIFE",PR!$AA712,IF(F714="HLINE",PR!$AB712,IF(F714="ROTECH",PR!$AC712,IF(F714="ISN",PR!$AD712,IF(F714="JAWA",PR!$AE712,IF(F714="LAYO",PR!$AF712,IF(F714="LEADWAY",PR!$AG712,IF(F714="LHV",PR!$AH712,IF(F714="MANOLA",PR!$AI712,IF(F714="MARCSON",PR!$AJ712,IF(F714="M&amp;B",PR!$AK712,IF(F714="MTRUST",PR!$AL712,IF(F714="MWORLD",PR!$AM712,IF(F714="MEGA",PR!$AN712,IF(F714="MICRONOVA",PR!$AO712,IF(F714="MFLASH",PR!$AP712,IF(F714="MORISON",PR!$AQ712,IF(F714="NEMEL",PR!$AR712,IF(F714="NHP",PR!$AS712,IF(F714="NHC",PR!$AT712,IF(F714="OLEAF",PR!$AU712,IF(F714="OCULUS",PR!$AV712,IF(F714="PACIFIC",PR!$AW712,IF(F714="PHAMATEX",PR!$AX712,IF(F714="PETHICS",PR!$AY712,IF(F714="PHILIPS",PR!$AZ712,IF(F714="RANBAXY",PR!$BA712,IF(F714="REALS",PR!$BB712,IF(F714="ROYAL",PR!$BC712,IF(F714="SAM",PR!$BD712,IF(F714="SEAGREEN",PR!$BE712,IF(F714="SKG",PR!$BF712,IF(F714="TAH",PR!$BG712,IF(F714="TAYLEK",PR!$BH712,IF(F714="TEMITA",PR!$BI712,IF(F714="THL",PR!$BJ712,IF(F714="UBASTIC",PR!$BK712,IF(F714="UNION",PR!$BL712,IF(F714="UNIQUE",PR!$BM712,IF(F714="VIXA",PR!$BN712,IF(F714="WWCV",PR!$BO712,IF(F714="ZOLON",PR!$BP712,"-"))))))))))))))))))))))))))))))))))))))))))))))))))))))))))))))))</f>
        <v>400</v>
      </c>
      <c r="F714" s="102" t="str">
        <f>EV!L909</f>
        <v>EUMATT</v>
      </c>
      <c r="G714" s="108">
        <f>IF(H714="ALPHA",PR!$E712,IF(H714="ASSENE",PR!$F712,IF(H714="BIOFEM",PR!$G712,IF(H714="BIOMED",PR!$H712,IF(H714="CHI",PR!$I712,IF(H714="CLARION",PR!$J712,IF(H714="CODIX",PR!$K712,IF(H714="COSMADE",PR!$L712,IF(H714="SANCON",PR!$M712,IF(H714="DEVON",PR!$N712,IF(H714="DORTEMAG",PR!$O712,IF(H714="DGF",PR!$P712,IF(H714="DYNAMIC",PR!$Q712,IF(H714="EMZOR",PR!$R712,IF(H714="EUMATT",PR!$S712,IF(H714="FIDSON",PR!$T712,IF(H714="FCGLOBAL",PR!$U712,IF(H714="GENEITH",PR!$V712,IF(H714="GINOS",PR!$W712,IF(H714="GSK",PR!$X712,IF(H714="GLOBORG",PR!$Y712,IF(H714="GOODNEWS",PR!$Z712,IF(H714="GREENLIFE",PR!$AA712,IF(H714="HLINE",PR!$AB712,IF(H714="ROTECH",PR!$AC712,IF(H714="ISN",PR!$AD712,IF(H714="JAWA",PR!$AE712,IF(H714="LAYO",PR!$AF712,IF(H714="LEADWAY",PR!$AG712,IF(H714="LHV",PR!$AH712,IF(H714="MANOLA",PR!$AI712,IF(H714="MARCSON",PR!$AJ712,IF(H714="M&amp;B",PR!$AK712,IF(H714="MTRUST",PR!$AL712,IF(H714="MWORLD",PR!$AM712,IF(H714="MEGA",PR!$AN712,IF(H714="MICRONOVA",PR!$AO712,IF(H714="MFLASH",PR!$AP712,IF(H714="MORISON",PR!$AQ712,IF(H714="NEMEL",PR!$AR712,IF(H714="NHP",PR!$AS712,IF(H714="NHC",PR!$AT712,IF(H714="OLEAF",PR!$AU712,IF(H714="OCULUS",PR!$AV712,IF(H714="PACIFIC",PR!$AW712,IF(H714="PHAMATEX",PR!$AX712,IF(H714="PETHICS",PR!$AY712,IF(H714="PHILIPS",PR!$AZ712,IF(H714="RANBAXY",PR!$BA712,IF(H714="REALS",PR!$BB712,IF(H714="ROYAL",PR!$BC712,IF(H714="SAM",PR!$BD712,IF(H714="SEAGREEN",PR!$BE712,IF(H714="SKG",PR!$BF712,IF(H714="TAH",PR!$BG712,IF(H714="TAYLEK",PR!$BH712,IF(H714="TEMITA",PR!$BI712,IF(H714="THL",PR!$BJ712,IF(H714="UBASTIC",PR!$BK712,IF(H714="UNION",PR!$BL712,IF(H714="UNIQUE",PR!$BM712,IF(H714="VIXA",PR!$BN712,IF(H714="WWCV",PR!$BO712,IF(H714="ZOLON",PR!$BP712,"-"))))))))))))))))))))))))))))))))))))))))))))))))))))))))))))))))</f>
        <v>950</v>
      </c>
      <c r="H714" s="102" t="str">
        <f>EV!M909</f>
        <v>FCGLOBAL</v>
      </c>
      <c r="I714" s="108" t="str">
        <f>IF(J714="ALPHA",PR!$E712,IF(J714="ASSENE",PR!$F712,IF(J714="BIOFEM",PR!$G712,IF(J714="BIOMED",PR!$H712,IF(J714="CHI",PR!$I712,IF(J714="CLARION",PR!$J712,IF(J714="CODIX",PR!$K712,IF(J714="COSMADE",PR!$L712,IF(J714="SANCON",PR!$M712,IF(J714="DEVON",PR!$N712,IF(J714="DORTEMAG",PR!$O712,IF(J714="DGF",PR!$P712,IF(J714="DYNAMIC",PR!$Q712,IF(J714="EMZOR",PR!$R712,IF(J714="EUMATT",PR!$S712,IF(J714="FIDSON",PR!$T712,IF(J714="FCGLOBAL",PR!$U712,IF(J714="GENEITH",PR!$V712,IF(J714="GINOS",PR!$W712,IF(J714="GSK",PR!$X712,IF(J714="GLOBORG",PR!$Y712,IF(J714="GOODNEWS",PR!$Z712,IF(J714="GREENLIFE",PR!$AA712,IF(J714="HLINE",PR!$AB712,IF(J714="ROTECH",PR!$AC712,IF(J714="ISN",PR!$AD712,IF(J714="JAWA",PR!$AE712,IF(J714="LAYO",PR!$AF712,IF(J714="LEADWAY",PR!$AG712,IF(J714="LHV",PR!$AH712,IF(J714="MANOLA",PR!$AI712,IF(J714="MARCSON",PR!$AJ712,IF(J714="M&amp;B",PR!$AK712,IF(J714="MTRUST",PR!$AL712,IF(J714="MWORLD",PR!$AM712,IF(J714="MEGA",PR!$AN712,IF(J714="MICRONOVA",PR!$AO712,IF(J714="MFLASH",PR!$AP712,IF(J714="MORISON",PR!$AQ712,IF(J714="NEMEL",PR!$AR712,IF(J714="NHP",PR!$AS712,IF(J714="NHC",PR!$AT712,IF(J714="OLEAF",PR!$AU712,IF(J714="OCULUS",PR!$AV712,IF(J714="PACIFIC",PR!$AW712,IF(J714="PHAMATEX",PR!$AX712,IF(J714="PETHICS",PR!$AY712,IF(J714="PHILIPS",PR!$AZ712,IF(J714="RANBAXY",PR!$BA712,IF(J714="REALS",PR!$BB712,IF(J714="ROYAL",PR!$BC712,IF(J714="SAM",PR!$BD712,IF(J714="SEAGREEN",PR!$BE712,IF(J714="SKG",PR!$BF712,IF(J714="TAH",PR!$BG712,IF(J714="TAYLEK",PR!$BH712,IF(J714="TEMITA",PR!$BI712,IF(J714="THL",PR!$BJ712,IF(J714="UBASTIC",PR!$BK712,IF(J714="UNION",PR!$BL712,IF(J714="UNIQUE",PR!$BM712,IF(J714="VIXA",PR!$BN712,IF(J714="WWCV",PR!$BO712,IF(J714="ZOLON",PR!$BP712,"-"))))))))))))))))))))))))))))))))))))))))))))))))))))))))))))))))</f>
        <v>-</v>
      </c>
      <c r="J714" s="102">
        <f>EV!N909</f>
        <v>0</v>
      </c>
      <c r="K714" s="433"/>
      <c r="L714" s="183" t="b">
        <f>IF(K714&gt;0,IF(K714="ALPHA",PR!$E712,IF(K714="ASSENE",PR!$F712,IF(K714="BIOFEM",PR!$G712,IF(K714="BIOMED",PR!$H712,IF(K714="CHI",PR!$I712,IF(K714="CLARION",PR!$J712,IF(K714="CODIX",PR!$K712,IF(K714="COSMADE",PR!$L712,IF(K714="SANCON",PR!$M712,IF(K714="DEVON",PR!$N712,IF(K714="DORTEMAG",PR!$O712,IF(K714="DGF",PR!$P712,IF(K714="DYNAMIC",PR!$Q712,IF(K714="EMZOR",PR!$R712,IF(K714="EUMATT",PR!$S712,IF(K714="FIDSON",PR!$T712,IF(K714="FCGLOBAL",PR!$U712,IF(K714="GENEITH",PR!$V712,IF(K714="GINOS",PR!$W712,IF(K714="GSK",PR!$X712,IF(K714="GLOBORG",PR!$Y712,IF(K714="GOODNEWS",PR!$Z712,IF(K714="GREENLIFE",PR!$AA712,IF(K714="HLINE",PR!$AB712,IF(K714="ROTECH",PR!$AC712,IF(K714="ISN",PR!$AD712,IF(K714="JAWA",PR!$AE712,IF(K714="LAYO",PR!$AF712,IF(K714="LEADWAY",PR!$AG712,IF(K714="LHV",PR!$AH712,IF(K714="MANOLA",PR!$AI712,IF(K714="MARCSON",PR!$AJ712,IF(K714="M&amp;B",PR!$AK712,IF(K714="MTRUST",PR!$AL712,IF(K714="MWORLD",PR!$AM712,IF(K714="MEGA",PR!$AN712,IF(K714="MICRONOVA",PR!$AO712,IF(K714="MFLASH",PR!$AP712,IF(K714="MORISON",PR!$AQ712,IF(K714="NEMEL",PR!$AR712,IF(K714="NHP",PR!$AS712,IF(K714="NHC",PR!$AT712,IF(K714="OLEAF",PR!$AU712,IF(K714="OCULUS",PR!$AV712,IF(K714="PACIFIC",PR!$AW712,IF(K714="PHAMATEX",PR!$AX712,IF(K714="PETHICS",PR!$AY712,IF(K714="PHILIPS",PR!$AZ712,IF(K714="RANBAXY",PR!$BA712,IF(K714="REALS",PR!$BB712,IF(K714="ROYAL",PR!$BC712,IF(K714="SAM",PR!$BD712,IF(K714="SEAGREEN",PR!$BE712,IF(K714="SKG",PR!$BF712,IF(K714="TAH",PR!$BG712,IF(K714="TAYLEK",PR!$BH712,IF(K714="TEMITA",PR!$BI712,IF(K714="THL",PR!$BJ712,IF(K714="UBASTIC",PR!$BK712,IF(K714="UNION",PR!$BL712,IF(K714="UNIQUE",PR!$BM712,IF(K714="VIXA",PR!$BN712,IF(K714="WWCV",PR!$BO712,IF(K714="ZOLON",PR!$BP712,"-")))))))))))))))))))))))))))))))))))))))))))))))))))))))))))))))))</f>
        <v>0</v>
      </c>
    </row>
    <row r="715" spans="1:12" ht="18.75" x14ac:dyDescent="0.3">
      <c r="A715" s="430">
        <f>PR!A713</f>
        <v>0</v>
      </c>
      <c r="B715" s="15">
        <f>PR!B713</f>
        <v>0</v>
      </c>
      <c r="C715" s="113">
        <f>PR!D713</f>
        <v>0</v>
      </c>
      <c r="D715" s="113">
        <f>PR!C713</f>
        <v>0</v>
      </c>
      <c r="E715" s="108" t="str">
        <f>IF(F715="ALPHA",PR!$E713,IF(F715="ASSENE",PR!$F713,IF(F715="BIOFEM",PR!$G713,IF(F715="BIOMED",PR!$H713,IF(F715="CHI",PR!$I713,IF(F715="CLARION",PR!$J713,IF(F715="CODIX",PR!$K713,IF(F715="COSMADE",PR!$L713,IF(F715="SANCON",PR!$M713,IF(F715="DEVON",PR!$N713,IF(F715="DORTEMAG",PR!$O713,IF(F715="DGF",PR!$P713,IF(F715="DYNAMIC",PR!$Q713,IF(F715="EMZOR",PR!$R713,IF(F715="EUMATT",PR!$S713,IF(F715="FIDSON",PR!$T713,IF(F715="FCGLOBAL",PR!$U713,IF(F715="GENEITH",PR!$V713,IF(F715="GINOS",PR!$W713,IF(F715="GSK",PR!$X713,IF(F715="GLOBORG",PR!$Y713,IF(F715="GOODNEWS",PR!$Z713,IF(F715="GREENLIFE",PR!$AA713,IF(F715="HLINE",PR!$AB713,IF(F715="ROTECH",PR!$AC713,IF(F715="ISN",PR!$AD713,IF(F715="JAWA",PR!$AE713,IF(F715="LAYO",PR!$AF713,IF(F715="LEADWAY",PR!$AG713,IF(F715="LHV",PR!$AH713,IF(F715="MANOLA",PR!$AI713,IF(F715="MARCSON",PR!$AJ713,IF(F715="M&amp;B",PR!$AK713,IF(F715="MTRUST",PR!$AL713,IF(F715="MWORLD",PR!$AM713,IF(F715="MEGA",PR!$AN713,IF(F715="MICRONOVA",PR!$AO713,IF(F715="MFLASH",PR!$AP713,IF(F715="MORISON",PR!$AQ713,IF(F715="NEMEL",PR!$AR713,IF(F715="NHP",PR!$AS713,IF(F715="NHC",PR!$AT713,IF(F715="OLEAF",PR!$AU713,IF(F715="OCULUS",PR!$AV713,IF(F715="PACIFIC",PR!$AW713,IF(F715="PHAMATEX",PR!$AX713,IF(F715="PETHICS",PR!$AY713,IF(F715="PHILIPS",PR!$AZ713,IF(F715="RANBAXY",PR!$BA713,IF(F715="REALS",PR!$BB713,IF(F715="ROYAL",PR!$BC713,IF(F715="SAM",PR!$BD713,IF(F715="SEAGREEN",PR!$BE713,IF(F715="SKG",PR!$BF713,IF(F715="TAH",PR!$BG713,IF(F715="TAYLEK",PR!$BH713,IF(F715="TEMITA",PR!$BI713,IF(F715="THL",PR!$BJ713,IF(F715="UBASTIC",PR!$BK713,IF(F715="UNION",PR!$BL713,IF(F715="UNIQUE",PR!$BM713,IF(F715="VIXA",PR!$BN713,IF(F715="WWCV",PR!$BO713,IF(F715="ZOLON",PR!$BP713,"-"))))))))))))))))))))))))))))))))))))))))))))))))))))))))))))))))</f>
        <v>-</v>
      </c>
      <c r="F715" s="102"/>
      <c r="G715" s="108" t="str">
        <f>IF(H715="ALPHA",PR!$E713,IF(H715="ASSENE",PR!$F713,IF(H715="BIOFEM",PR!$G713,IF(H715="BIOMED",PR!$H713,IF(H715="CHI",PR!$I713,IF(H715="CLARION",PR!$J713,IF(H715="CODIX",PR!$K713,IF(H715="COSMADE",PR!$L713,IF(H715="SANCON",PR!$M713,IF(H715="DEVON",PR!$N713,IF(H715="DORTEMAG",PR!$O713,IF(H715="DGF",PR!$P713,IF(H715="DYNAMIC",PR!$Q713,IF(H715="EMZOR",PR!$R713,IF(H715="EUMATT",PR!$S713,IF(H715="FIDSON",PR!$T713,IF(H715="FCGLOBAL",PR!$U713,IF(H715="GENEITH",PR!$V713,IF(H715="GINOS",PR!$W713,IF(H715="GSK",PR!$X713,IF(H715="GLOBORG",PR!$Y713,IF(H715="GOODNEWS",PR!$Z713,IF(H715="GREENLIFE",PR!$AA713,IF(H715="HLINE",PR!$AB713,IF(H715="ROTECH",PR!$AC713,IF(H715="ISN",PR!$AD713,IF(H715="JAWA",PR!$AE713,IF(H715="LAYO",PR!$AF713,IF(H715="LEADWAY",PR!$AG713,IF(H715="LHV",PR!$AH713,IF(H715="MANOLA",PR!$AI713,IF(H715="MARCSON",PR!$AJ713,IF(H715="M&amp;B",PR!$AK713,IF(H715="MTRUST",PR!$AL713,IF(H715="MWORLD",PR!$AM713,IF(H715="MEGA",PR!$AN713,IF(H715="MICRONOVA",PR!$AO713,IF(H715="MFLASH",PR!$AP713,IF(H715="MORISON",PR!$AQ713,IF(H715="NEMEL",PR!$AR713,IF(H715="NHP",PR!$AS713,IF(H715="NHC",PR!$AT713,IF(H715="OLEAF",PR!$AU713,IF(H715="OCULUS",PR!$AV713,IF(H715="PACIFIC",PR!$AW713,IF(H715="PHAMATEX",PR!$AX713,IF(H715="PETHICS",PR!$AY713,IF(H715="PHILIPS",PR!$AZ713,IF(H715="RANBAXY",PR!$BA713,IF(H715="REALS",PR!$BB713,IF(H715="ROYAL",PR!$BC713,IF(H715="SAM",PR!$BD713,IF(H715="SEAGREEN",PR!$BE713,IF(H715="SKG",PR!$BF713,IF(H715="TAH",PR!$BG713,IF(H715="TAYLEK",PR!$BH713,IF(H715="TEMITA",PR!$BI713,IF(H715="THL",PR!$BJ713,IF(H715="UBASTIC",PR!$BK713,IF(H715="UNION",PR!$BL713,IF(H715="UNIQUE",PR!$BM713,IF(H715="VIXA",PR!$BN713,IF(H715="WWCV",PR!$BO713,IF(H715="ZOLON",PR!$BP713,"-"))))))))))))))))))))))))))))))))))))))))))))))))))))))))))))))))</f>
        <v>-</v>
      </c>
      <c r="H715" s="102"/>
      <c r="I715" s="108" t="str">
        <f>IF(J715="ALPHA",PR!$E713,IF(J715="ASSENE",PR!$F713,IF(J715="BIOFEM",PR!$G713,IF(J715="BIOMED",PR!$H713,IF(J715="CHI",PR!$I713,IF(J715="CLARION",PR!$J713,IF(J715="CODIX",PR!$K713,IF(J715="COSMADE",PR!$L713,IF(J715="SANCON",PR!$M713,IF(J715="DEVON",PR!$N713,IF(J715="DORTEMAG",PR!$O713,IF(J715="DGF",PR!$P713,IF(J715="DYNAMIC",PR!$Q713,IF(J715="EMZOR",PR!$R713,IF(J715="EUMATT",PR!$S713,IF(J715="FIDSON",PR!$T713,IF(J715="FCGLOBAL",PR!$U713,IF(J715="GENEITH",PR!$V713,IF(J715="GINOS",PR!$W713,IF(J715="GSK",PR!$X713,IF(J715="GLOBORG",PR!$Y713,IF(J715="GOODNEWS",PR!$Z713,IF(J715="GREENLIFE",PR!$AA713,IF(J715="HLINE",PR!$AB713,IF(J715="ROTECH",PR!$AC713,IF(J715="ISN",PR!$AD713,IF(J715="JAWA",PR!$AE713,IF(J715="LAYO",PR!$AF713,IF(J715="LEADWAY",PR!$AG713,IF(J715="LHV",PR!$AH713,IF(J715="MANOLA",PR!$AI713,IF(J715="MARCSON",PR!$AJ713,IF(J715="M&amp;B",PR!$AK713,IF(J715="MTRUST",PR!$AL713,IF(J715="MWORLD",PR!$AM713,IF(J715="MEGA",PR!$AN713,IF(J715="MICRONOVA",PR!$AO713,IF(J715="MFLASH",PR!$AP713,IF(J715="MORISON",PR!$AQ713,IF(J715="NEMEL",PR!$AR713,IF(J715="NHP",PR!$AS713,IF(J715="NHC",PR!$AT713,IF(J715="OLEAF",PR!$AU713,IF(J715="OCULUS",PR!$AV713,IF(J715="PACIFIC",PR!$AW713,IF(J715="PHAMATEX",PR!$AX713,IF(J715="PETHICS",PR!$AY713,IF(J715="PHILIPS",PR!$AZ713,IF(J715="RANBAXY",PR!$BA713,IF(J715="REALS",PR!$BB713,IF(J715="ROYAL",PR!$BC713,IF(J715="SAM",PR!$BD713,IF(J715="SEAGREEN",PR!$BE713,IF(J715="SKG",PR!$BF713,IF(J715="TAH",PR!$BG713,IF(J715="TAYLEK",PR!$BH713,IF(J715="TEMITA",PR!$BI713,IF(J715="THL",PR!$BJ713,IF(J715="UBASTIC",PR!$BK713,IF(J715="UNION",PR!$BL713,IF(J715="UNIQUE",PR!$BM713,IF(J715="VIXA",PR!$BN713,IF(J715="WWCV",PR!$BO713,IF(J715="ZOLON",PR!$BP713,"-"))))))))))))))))))))))))))))))))))))))))))))))))))))))))))))))))</f>
        <v>-</v>
      </c>
      <c r="J715" s="102"/>
      <c r="K715" s="433"/>
      <c r="L715" s="183" t="b">
        <f>IF(K715&gt;0,IF(K715="ALPHA",PR!$E713,IF(K715="ASSENE",PR!$F713,IF(K715="BIOFEM",PR!$G713,IF(K715="BIOMED",PR!$H713,IF(K715="CHI",PR!$I713,IF(K715="CLARION",PR!$J713,IF(K715="CODIX",PR!$K713,IF(K715="COSMADE",PR!$L713,IF(K715="SANCON",PR!$M713,IF(K715="DEVON",PR!$N713,IF(K715="DORTEMAG",PR!$O713,IF(K715="DGF",PR!$P713,IF(K715="DYNAMIC",PR!$Q713,IF(K715="EMZOR",PR!$R713,IF(K715="EUMATT",PR!$S713,IF(K715="FIDSON",PR!$T713,IF(K715="FCGLOBAL",PR!$U713,IF(K715="GENEITH",PR!$V713,IF(K715="GINOS",PR!$W713,IF(K715="GSK",PR!$X713,IF(K715="GLOBORG",PR!$Y713,IF(K715="GOODNEWS",PR!$Z713,IF(K715="GREENLIFE",PR!$AA713,IF(K715="HLINE",PR!$AB713,IF(K715="ROTECH",PR!$AC713,IF(K715="ISN",PR!$AD713,IF(K715="JAWA",PR!$AE713,IF(K715="LAYO",PR!$AF713,IF(K715="LEADWAY",PR!$AG713,IF(K715="LHV",PR!$AH713,IF(K715="MANOLA",PR!$AI713,IF(K715="MARCSON",PR!$AJ713,IF(K715="M&amp;B",PR!$AK713,IF(K715="MTRUST",PR!$AL713,IF(K715="MWORLD",PR!$AM713,IF(K715="MEGA",PR!$AN713,IF(K715="MICRONOVA",PR!$AO713,IF(K715="MFLASH",PR!$AP713,IF(K715="MORISON",PR!$AQ713,IF(K715="NEMEL",PR!$AR713,IF(K715="NHP",PR!$AS713,IF(K715="NHC",PR!$AT713,IF(K715="OLEAF",PR!$AU713,IF(K715="OCULUS",PR!$AV713,IF(K715="PACIFIC",PR!$AW713,IF(K715="PHAMATEX",PR!$AX713,IF(K715="PETHICS",PR!$AY713,IF(K715="PHILIPS",PR!$AZ713,IF(K715="RANBAXY",PR!$BA713,IF(K715="REALS",PR!$BB713,IF(K715="ROYAL",PR!$BC713,IF(K715="SAM",PR!$BD713,IF(K715="SEAGREEN",PR!$BE713,IF(K715="SKG",PR!$BF713,IF(K715="TAH",PR!$BG713,IF(K715="TAYLEK",PR!$BH713,IF(K715="TEMITA",PR!$BI713,IF(K715="THL",PR!$BJ713,IF(K715="UBASTIC",PR!$BK713,IF(K715="UNION",PR!$BL713,IF(K715="UNIQUE",PR!$BM713,IF(K715="VIXA",PR!$BN713,IF(K715="WWCV",PR!$BO713,IF(K715="ZOLON",PR!$BP713,"-")))))))))))))))))))))))))))))))))))))))))))))))))))))))))))))))))</f>
        <v>0</v>
      </c>
    </row>
    <row r="716" spans="1:12" ht="18.75" x14ac:dyDescent="0.3">
      <c r="A716" s="430">
        <f>PR!A714</f>
        <v>0</v>
      </c>
      <c r="B716" s="15">
        <f>PR!B714</f>
        <v>0</v>
      </c>
      <c r="C716" s="113">
        <f>PR!D714</f>
        <v>0</v>
      </c>
      <c r="D716" s="113">
        <f>PR!C714</f>
        <v>0</v>
      </c>
      <c r="E716" s="108" t="str">
        <f>IF(F716="ALPHA",PR!$E714,IF(F716="ASSENE",PR!$F714,IF(F716="BIOFEM",PR!$G714,IF(F716="BIOMED",PR!$H714,IF(F716="CHI",PR!$I714,IF(F716="CLARION",PR!$J714,IF(F716="CODIX",PR!$K714,IF(F716="COSMADE",PR!$L714,IF(F716="SANCON",PR!$M714,IF(F716="DEVON",PR!$N714,IF(F716="DORTEMAG",PR!$O714,IF(F716="DGF",PR!$P714,IF(F716="DYNAMIC",PR!$Q714,IF(F716="EMZOR",PR!$R714,IF(F716="EUMATT",PR!$S714,IF(F716="FIDSON",PR!$T714,IF(F716="FCGLOBAL",PR!$U714,IF(F716="GENEITH",PR!$V714,IF(F716="GINOS",PR!$W714,IF(F716="GSK",PR!$X714,IF(F716="GLOBORG",PR!$Y714,IF(F716="GOODNEWS",PR!$Z714,IF(F716="GREENLIFE",PR!$AA714,IF(F716="HLINE",PR!$AB714,IF(F716="ROTECH",PR!$AC714,IF(F716="ISN",PR!$AD714,IF(F716="JAWA",PR!$AE714,IF(F716="LAYO",PR!$AF714,IF(F716="LEADWAY",PR!$AG714,IF(F716="LHV",PR!$AH714,IF(F716="MANOLA",PR!$AI714,IF(F716="MARCSON",PR!$AJ714,IF(F716="M&amp;B",PR!$AK714,IF(F716="MTRUST",PR!$AL714,IF(F716="MWORLD",PR!$AM714,IF(F716="MEGA",PR!$AN714,IF(F716="MICRONOVA",PR!$AO714,IF(F716="MFLASH",PR!$AP714,IF(F716="MORISON",PR!$AQ714,IF(F716="NEMEL",PR!$AR714,IF(F716="NHP",PR!$AS714,IF(F716="NHC",PR!$AT714,IF(F716="OLEAF",PR!$AU714,IF(F716="OCULUS",PR!$AV714,IF(F716="PACIFIC",PR!$AW714,IF(F716="PHAMATEX",PR!$AX714,IF(F716="PETHICS",PR!$AY714,IF(F716="PHILIPS",PR!$AZ714,IF(F716="RANBAXY",PR!$BA714,IF(F716="REALS",PR!$BB714,IF(F716="ROYAL",PR!$BC714,IF(F716="SAM",PR!$BD714,IF(F716="SEAGREEN",PR!$BE714,IF(F716="SKG",PR!$BF714,IF(F716="TAH",PR!$BG714,IF(F716="TAYLEK",PR!$BH714,IF(F716="TEMITA",PR!$BI714,IF(F716="THL",PR!$BJ714,IF(F716="UBASTIC",PR!$BK714,IF(F716="UNION",PR!$BL714,IF(F716="UNIQUE",PR!$BM714,IF(F716="VIXA",PR!$BN714,IF(F716="WWCV",PR!$BO714,IF(F716="ZOLON",PR!$BP714,"-"))))))))))))))))))))))))))))))))))))))))))))))))))))))))))))))))</f>
        <v>-</v>
      </c>
      <c r="F716" s="102"/>
      <c r="G716" s="108" t="str">
        <f>IF(H716="ALPHA",PR!$E714,IF(H716="ASSENE",PR!$F714,IF(H716="BIOFEM",PR!$G714,IF(H716="BIOMED",PR!$H714,IF(H716="CHI",PR!$I714,IF(H716="CLARION",PR!$J714,IF(H716="CODIX",PR!$K714,IF(H716="COSMADE",PR!$L714,IF(H716="SANCON",PR!$M714,IF(H716="DEVON",PR!$N714,IF(H716="DORTEMAG",PR!$O714,IF(H716="DGF",PR!$P714,IF(H716="DYNAMIC",PR!$Q714,IF(H716="EMZOR",PR!$R714,IF(H716="EUMATT",PR!$S714,IF(H716="FIDSON",PR!$T714,IF(H716="FCGLOBAL",PR!$U714,IF(H716="GENEITH",PR!$V714,IF(H716="GINOS",PR!$W714,IF(H716="GSK",PR!$X714,IF(H716="GLOBORG",PR!$Y714,IF(H716="GOODNEWS",PR!$Z714,IF(H716="GREENLIFE",PR!$AA714,IF(H716="HLINE",PR!$AB714,IF(H716="ROTECH",PR!$AC714,IF(H716="ISN",PR!$AD714,IF(H716="JAWA",PR!$AE714,IF(H716="LAYO",PR!$AF714,IF(H716="LEADWAY",PR!$AG714,IF(H716="LHV",PR!$AH714,IF(H716="MANOLA",PR!$AI714,IF(H716="MARCSON",PR!$AJ714,IF(H716="M&amp;B",PR!$AK714,IF(H716="MTRUST",PR!$AL714,IF(H716="MWORLD",PR!$AM714,IF(H716="MEGA",PR!$AN714,IF(H716="MICRONOVA",PR!$AO714,IF(H716="MFLASH",PR!$AP714,IF(H716="MORISON",PR!$AQ714,IF(H716="NEMEL",PR!$AR714,IF(H716="NHP",PR!$AS714,IF(H716="NHC",PR!$AT714,IF(H716="OLEAF",PR!$AU714,IF(H716="OCULUS",PR!$AV714,IF(H716="PACIFIC",PR!$AW714,IF(H716="PHAMATEX",PR!$AX714,IF(H716="PETHICS",PR!$AY714,IF(H716="PHILIPS",PR!$AZ714,IF(H716="RANBAXY",PR!$BA714,IF(H716="REALS",PR!$BB714,IF(H716="ROYAL",PR!$BC714,IF(H716="SAM",PR!$BD714,IF(H716="SEAGREEN",PR!$BE714,IF(H716="SKG",PR!$BF714,IF(H716="TAH",PR!$BG714,IF(H716="TAYLEK",PR!$BH714,IF(H716="TEMITA",PR!$BI714,IF(H716="THL",PR!$BJ714,IF(H716="UBASTIC",PR!$BK714,IF(H716="UNION",PR!$BL714,IF(H716="UNIQUE",PR!$BM714,IF(H716="VIXA",PR!$BN714,IF(H716="WWCV",PR!$BO714,IF(H716="ZOLON",PR!$BP714,"-"))))))))))))))))))))))))))))))))))))))))))))))))))))))))))))))))</f>
        <v>-</v>
      </c>
      <c r="H716" s="102"/>
      <c r="I716" s="108" t="str">
        <f>IF(J716="ALPHA",PR!$E714,IF(J716="ASSENE",PR!$F714,IF(J716="BIOFEM",PR!$G714,IF(J716="BIOMED",PR!$H714,IF(J716="CHI",PR!$I714,IF(J716="CLARION",PR!$J714,IF(J716="CODIX",PR!$K714,IF(J716="COSMADE",PR!$L714,IF(J716="SANCON",PR!$M714,IF(J716="DEVON",PR!$N714,IF(J716="DORTEMAG",PR!$O714,IF(J716="DGF",PR!$P714,IF(J716="DYNAMIC",PR!$Q714,IF(J716="EMZOR",PR!$R714,IF(J716="EUMATT",PR!$S714,IF(J716="FIDSON",PR!$T714,IF(J716="FCGLOBAL",PR!$U714,IF(J716="GENEITH",PR!$V714,IF(J716="GINOS",PR!$W714,IF(J716="GSK",PR!$X714,IF(J716="GLOBORG",PR!$Y714,IF(J716="GOODNEWS",PR!$Z714,IF(J716="GREENLIFE",PR!$AA714,IF(J716="HLINE",PR!$AB714,IF(J716="ROTECH",PR!$AC714,IF(J716="ISN",PR!$AD714,IF(J716="JAWA",PR!$AE714,IF(J716="LAYO",PR!$AF714,IF(J716="LEADWAY",PR!$AG714,IF(J716="LHV",PR!$AH714,IF(J716="MANOLA",PR!$AI714,IF(J716="MARCSON",PR!$AJ714,IF(J716="M&amp;B",PR!$AK714,IF(J716="MTRUST",PR!$AL714,IF(J716="MWORLD",PR!$AM714,IF(J716="MEGA",PR!$AN714,IF(J716="MICRONOVA",PR!$AO714,IF(J716="MFLASH",PR!$AP714,IF(J716="MORISON",PR!$AQ714,IF(J716="NEMEL",PR!$AR714,IF(J716="NHP",PR!$AS714,IF(J716="NHC",PR!$AT714,IF(J716="OLEAF",PR!$AU714,IF(J716="OCULUS",PR!$AV714,IF(J716="PACIFIC",PR!$AW714,IF(J716="PHAMATEX",PR!$AX714,IF(J716="PETHICS",PR!$AY714,IF(J716="PHILIPS",PR!$AZ714,IF(J716="RANBAXY",PR!$BA714,IF(J716="REALS",PR!$BB714,IF(J716="ROYAL",PR!$BC714,IF(J716="SAM",PR!$BD714,IF(J716="SEAGREEN",PR!$BE714,IF(J716="SKG",PR!$BF714,IF(J716="TAH",PR!$BG714,IF(J716="TAYLEK",PR!$BH714,IF(J716="TEMITA",PR!$BI714,IF(J716="THL",PR!$BJ714,IF(J716="UBASTIC",PR!$BK714,IF(J716="UNION",PR!$BL714,IF(J716="UNIQUE",PR!$BM714,IF(J716="VIXA",PR!$BN714,IF(J716="WWCV",PR!$BO714,IF(J716="ZOLON",PR!$BP714,"-"))))))))))))))))))))))))))))))))))))))))))))))))))))))))))))))))</f>
        <v>-</v>
      </c>
      <c r="J716" s="102"/>
      <c r="K716" s="433"/>
      <c r="L716" s="183" t="b">
        <f>IF(K716&gt;0,IF(K716="ALPHA",PR!$E714,IF(K716="ASSENE",PR!$F714,IF(K716="BIOFEM",PR!$G714,IF(K716="BIOMED",PR!$H714,IF(K716="CHI",PR!$I714,IF(K716="CLARION",PR!$J714,IF(K716="CODIX",PR!$K714,IF(K716="COSMADE",PR!$L714,IF(K716="SANCON",PR!$M714,IF(K716="DEVON",PR!$N714,IF(K716="DORTEMAG",PR!$O714,IF(K716="DGF",PR!$P714,IF(K716="DYNAMIC",PR!$Q714,IF(K716="EMZOR",PR!$R714,IF(K716="EUMATT",PR!$S714,IF(K716="FIDSON",PR!$T714,IF(K716="FCGLOBAL",PR!$U714,IF(K716="GENEITH",PR!$V714,IF(K716="GINOS",PR!$W714,IF(K716="GSK",PR!$X714,IF(K716="GLOBORG",PR!$Y714,IF(K716="GOODNEWS",PR!$Z714,IF(K716="GREENLIFE",PR!$AA714,IF(K716="HLINE",PR!$AB714,IF(K716="ROTECH",PR!$AC714,IF(K716="ISN",PR!$AD714,IF(K716="JAWA",PR!$AE714,IF(K716="LAYO",PR!$AF714,IF(K716="LEADWAY",PR!$AG714,IF(K716="LHV",PR!$AH714,IF(K716="MANOLA",PR!$AI714,IF(K716="MARCSON",PR!$AJ714,IF(K716="M&amp;B",PR!$AK714,IF(K716="MTRUST",PR!$AL714,IF(K716="MWORLD",PR!$AM714,IF(K716="MEGA",PR!$AN714,IF(K716="MICRONOVA",PR!$AO714,IF(K716="MFLASH",PR!$AP714,IF(K716="MORISON",PR!$AQ714,IF(K716="NEMEL",PR!$AR714,IF(K716="NHP",PR!$AS714,IF(K716="NHC",PR!$AT714,IF(K716="OLEAF",PR!$AU714,IF(K716="OCULUS",PR!$AV714,IF(K716="PACIFIC",PR!$AW714,IF(K716="PHAMATEX",PR!$AX714,IF(K716="PETHICS",PR!$AY714,IF(K716="PHILIPS",PR!$AZ714,IF(K716="RANBAXY",PR!$BA714,IF(K716="REALS",PR!$BB714,IF(K716="ROYAL",PR!$BC714,IF(K716="SAM",PR!$BD714,IF(K716="SEAGREEN",PR!$BE714,IF(K716="SKG",PR!$BF714,IF(K716="TAH",PR!$BG714,IF(K716="TAYLEK",PR!$BH714,IF(K716="TEMITA",PR!$BI714,IF(K716="THL",PR!$BJ714,IF(K716="UBASTIC",PR!$BK714,IF(K716="UNION",PR!$BL714,IF(K716="UNIQUE",PR!$BM714,IF(K716="VIXA",PR!$BN714,IF(K716="WWCV",PR!$BO714,IF(K716="ZOLON",PR!$BP714,"-")))))))))))))))))))))))))))))))))))))))))))))))))))))))))))))))))</f>
        <v>0</v>
      </c>
    </row>
    <row r="717" spans="1:12" ht="18.75" x14ac:dyDescent="0.3">
      <c r="A717" s="430">
        <f>PR!A715</f>
        <v>0</v>
      </c>
      <c r="B717" s="15" t="str">
        <f>PR!B715</f>
        <v>DERMATOLOGICAL PREPARATIONS</v>
      </c>
      <c r="C717" s="113">
        <f>PR!D715</f>
        <v>0</v>
      </c>
      <c r="D717" s="113">
        <f>PR!C715</f>
        <v>0</v>
      </c>
      <c r="E717" s="108" t="str">
        <f>IF(F717="ALPHA",PR!$E715,IF(F717="ASSENE",PR!$F715,IF(F717="BIOFEM",PR!$G715,IF(F717="BIOMED",PR!$H715,IF(F717="CHI",PR!$I715,IF(F717="CLARION",PR!$J715,IF(F717="CODIX",PR!$K715,IF(F717="COSMADE",PR!$L715,IF(F717="SANCON",PR!$M715,IF(F717="DEVON",PR!$N715,IF(F717="DORTEMAG",PR!$O715,IF(F717="DGF",PR!$P715,IF(F717="DYNAMIC",PR!$Q715,IF(F717="EMZOR",PR!$R715,IF(F717="EUMATT",PR!$S715,IF(F717="FIDSON",PR!$T715,IF(F717="FCGLOBAL",PR!$U715,IF(F717="GENEITH",PR!$V715,IF(F717="GINOS",PR!$W715,IF(F717="GSK",PR!$X715,IF(F717="GLOBORG",PR!$Y715,IF(F717="GOODNEWS",PR!$Z715,IF(F717="GREENLIFE",PR!$AA715,IF(F717="HLINE",PR!$AB715,IF(F717="ROTECH",PR!$AC715,IF(F717="ISN",PR!$AD715,IF(F717="JAWA",PR!$AE715,IF(F717="LAYO",PR!$AF715,IF(F717="LEADWAY",PR!$AG715,IF(F717="LHV",PR!$AH715,IF(F717="MANOLA",PR!$AI715,IF(F717="MARCSON",PR!$AJ715,IF(F717="M&amp;B",PR!$AK715,IF(F717="MTRUST",PR!$AL715,IF(F717="MWORLD",PR!$AM715,IF(F717="MEGA",PR!$AN715,IF(F717="MICRONOVA",PR!$AO715,IF(F717="MFLASH",PR!$AP715,IF(F717="MORISON",PR!$AQ715,IF(F717="NEMEL",PR!$AR715,IF(F717="NHP",PR!$AS715,IF(F717="NHC",PR!$AT715,IF(F717="OLEAF",PR!$AU715,IF(F717="OCULUS",PR!$AV715,IF(F717="PACIFIC",PR!$AW715,IF(F717="PHAMATEX",PR!$AX715,IF(F717="PETHICS",PR!$AY715,IF(F717="PHILIPS",PR!$AZ715,IF(F717="RANBAXY",PR!$BA715,IF(F717="REALS",PR!$BB715,IF(F717="ROYAL",PR!$BC715,IF(F717="SAM",PR!$BD715,IF(F717="SEAGREEN",PR!$BE715,IF(F717="SKG",PR!$BF715,IF(F717="TAH",PR!$BG715,IF(F717="TAYLEK",PR!$BH715,IF(F717="TEMITA",PR!$BI715,IF(F717="THL",PR!$BJ715,IF(F717="UBASTIC",PR!$BK715,IF(F717="UNION",PR!$BL715,IF(F717="UNIQUE",PR!$BM715,IF(F717="VIXA",PR!$BN715,IF(F717="WWCV",PR!$BO715,IF(F717="ZOLON",PR!$BP715,"-"))))))))))))))))))))))))))))))))))))))))))))))))))))))))))))))))</f>
        <v>-</v>
      </c>
      <c r="F717" s="102"/>
      <c r="G717" s="108" t="str">
        <f>IF(H717="ALPHA",PR!$E715,IF(H717="ASSENE",PR!$F715,IF(H717="BIOFEM",PR!$G715,IF(H717="BIOMED",PR!$H715,IF(H717="CHI",PR!$I715,IF(H717="CLARION",PR!$J715,IF(H717="CODIX",PR!$K715,IF(H717="COSMADE",PR!$L715,IF(H717="SANCON",PR!$M715,IF(H717="DEVON",PR!$N715,IF(H717="DORTEMAG",PR!$O715,IF(H717="DGF",PR!$P715,IF(H717="DYNAMIC",PR!$Q715,IF(H717="EMZOR",PR!$R715,IF(H717="EUMATT",PR!$S715,IF(H717="FIDSON",PR!$T715,IF(H717="FCGLOBAL",PR!$U715,IF(H717="GENEITH",PR!$V715,IF(H717="GINOS",PR!$W715,IF(H717="GSK",PR!$X715,IF(H717="GLOBORG",PR!$Y715,IF(H717="GOODNEWS",PR!$Z715,IF(H717="GREENLIFE",PR!$AA715,IF(H717="HLINE",PR!$AB715,IF(H717="ROTECH",PR!$AC715,IF(H717="ISN",PR!$AD715,IF(H717="JAWA",PR!$AE715,IF(H717="LAYO",PR!$AF715,IF(H717="LEADWAY",PR!$AG715,IF(H717="LHV",PR!$AH715,IF(H717="MANOLA",PR!$AI715,IF(H717="MARCSON",PR!$AJ715,IF(H717="M&amp;B",PR!$AK715,IF(H717="MTRUST",PR!$AL715,IF(H717="MWORLD",PR!$AM715,IF(H717="MEGA",PR!$AN715,IF(H717="MICRONOVA",PR!$AO715,IF(H717="MFLASH",PR!$AP715,IF(H717="MORISON",PR!$AQ715,IF(H717="NEMEL",PR!$AR715,IF(H717="NHP",PR!$AS715,IF(H717="NHC",PR!$AT715,IF(H717="OLEAF",PR!$AU715,IF(H717="OCULUS",PR!$AV715,IF(H717="PACIFIC",PR!$AW715,IF(H717="PHAMATEX",PR!$AX715,IF(H717="PETHICS",PR!$AY715,IF(H717="PHILIPS",PR!$AZ715,IF(H717="RANBAXY",PR!$BA715,IF(H717="REALS",PR!$BB715,IF(H717="ROYAL",PR!$BC715,IF(H717="SAM",PR!$BD715,IF(H717="SEAGREEN",PR!$BE715,IF(H717="SKG",PR!$BF715,IF(H717="TAH",PR!$BG715,IF(H717="TAYLEK",PR!$BH715,IF(H717="TEMITA",PR!$BI715,IF(H717="THL",PR!$BJ715,IF(H717="UBASTIC",PR!$BK715,IF(H717="UNION",PR!$BL715,IF(H717="UNIQUE",PR!$BM715,IF(H717="VIXA",PR!$BN715,IF(H717="WWCV",PR!$BO715,IF(H717="ZOLON",PR!$BP715,"-"))))))))))))))))))))))))))))))))))))))))))))))))))))))))))))))))</f>
        <v>-</v>
      </c>
      <c r="H717" s="102"/>
      <c r="I717" s="108" t="str">
        <f>IF(J717="ALPHA",PR!$E715,IF(J717="ASSENE",PR!$F715,IF(J717="BIOFEM",PR!$G715,IF(J717="BIOMED",PR!$H715,IF(J717="CHI",PR!$I715,IF(J717="CLARION",PR!$J715,IF(J717="CODIX",PR!$K715,IF(J717="COSMADE",PR!$L715,IF(J717="SANCON",PR!$M715,IF(J717="DEVON",PR!$N715,IF(J717="DORTEMAG",PR!$O715,IF(J717="DGF",PR!$P715,IF(J717="DYNAMIC",PR!$Q715,IF(J717="EMZOR",PR!$R715,IF(J717="EUMATT",PR!$S715,IF(J717="FIDSON",PR!$T715,IF(J717="FCGLOBAL",PR!$U715,IF(J717="GENEITH",PR!$V715,IF(J717="GINOS",PR!$W715,IF(J717="GSK",PR!$X715,IF(J717="GLOBORG",PR!$Y715,IF(J717="GOODNEWS",PR!$Z715,IF(J717="GREENLIFE",PR!$AA715,IF(J717="HLINE",PR!$AB715,IF(J717="ROTECH",PR!$AC715,IF(J717="ISN",PR!$AD715,IF(J717="JAWA",PR!$AE715,IF(J717="LAYO",PR!$AF715,IF(J717="LEADWAY",PR!$AG715,IF(J717="LHV",PR!$AH715,IF(J717="MANOLA",PR!$AI715,IF(J717="MARCSON",PR!$AJ715,IF(J717="M&amp;B",PR!$AK715,IF(J717="MTRUST",PR!$AL715,IF(J717="MWORLD",PR!$AM715,IF(J717="MEGA",PR!$AN715,IF(J717="MICRONOVA",PR!$AO715,IF(J717="MFLASH",PR!$AP715,IF(J717="MORISON",PR!$AQ715,IF(J717="NEMEL",PR!$AR715,IF(J717="NHP",PR!$AS715,IF(J717="NHC",PR!$AT715,IF(J717="OLEAF",PR!$AU715,IF(J717="OCULUS",PR!$AV715,IF(J717="PACIFIC",PR!$AW715,IF(J717="PHAMATEX",PR!$AX715,IF(J717="PETHICS",PR!$AY715,IF(J717="PHILIPS",PR!$AZ715,IF(J717="RANBAXY",PR!$BA715,IF(J717="REALS",PR!$BB715,IF(J717="ROYAL",PR!$BC715,IF(J717="SAM",PR!$BD715,IF(J717="SEAGREEN",PR!$BE715,IF(J717="SKG",PR!$BF715,IF(J717="TAH",PR!$BG715,IF(J717="TAYLEK",PR!$BH715,IF(J717="TEMITA",PR!$BI715,IF(J717="THL",PR!$BJ715,IF(J717="UBASTIC",PR!$BK715,IF(J717="UNION",PR!$BL715,IF(J717="UNIQUE",PR!$BM715,IF(J717="VIXA",PR!$BN715,IF(J717="WWCV",PR!$BO715,IF(J717="ZOLON",PR!$BP715,"-"))))))))))))))))))))))))))))))))))))))))))))))))))))))))))))))))</f>
        <v>-</v>
      </c>
      <c r="J717" s="102"/>
      <c r="K717" s="433"/>
      <c r="L717" s="183" t="b">
        <f>IF(K717&gt;0,IF(K717="ALPHA",PR!$E715,IF(K717="ASSENE",PR!$F715,IF(K717="BIOFEM",PR!$G715,IF(K717="BIOMED",PR!$H715,IF(K717="CHI",PR!$I715,IF(K717="CLARION",PR!$J715,IF(K717="CODIX",PR!$K715,IF(K717="COSMADE",PR!$L715,IF(K717="SANCON",PR!$M715,IF(K717="DEVON",PR!$N715,IF(K717="DORTEMAG",PR!$O715,IF(K717="DGF",PR!$P715,IF(K717="DYNAMIC",PR!$Q715,IF(K717="EMZOR",PR!$R715,IF(K717="EUMATT",PR!$S715,IF(K717="FIDSON",PR!$T715,IF(K717="FCGLOBAL",PR!$U715,IF(K717="GENEITH",PR!$V715,IF(K717="GINOS",PR!$W715,IF(K717="GSK",PR!$X715,IF(K717="GLOBORG",PR!$Y715,IF(K717="GOODNEWS",PR!$Z715,IF(K717="GREENLIFE",PR!$AA715,IF(K717="HLINE",PR!$AB715,IF(K717="ROTECH",PR!$AC715,IF(K717="ISN",PR!$AD715,IF(K717="JAWA",PR!$AE715,IF(K717="LAYO",PR!$AF715,IF(K717="LEADWAY",PR!$AG715,IF(K717="LHV",PR!$AH715,IF(K717="MANOLA",PR!$AI715,IF(K717="MARCSON",PR!$AJ715,IF(K717="M&amp;B",PR!$AK715,IF(K717="MTRUST",PR!$AL715,IF(K717="MWORLD",PR!$AM715,IF(K717="MEGA",PR!$AN715,IF(K717="MICRONOVA",PR!$AO715,IF(K717="MFLASH",PR!$AP715,IF(K717="MORISON",PR!$AQ715,IF(K717="NEMEL",PR!$AR715,IF(K717="NHP",PR!$AS715,IF(K717="NHC",PR!$AT715,IF(K717="OLEAF",PR!$AU715,IF(K717="OCULUS",PR!$AV715,IF(K717="PACIFIC",PR!$AW715,IF(K717="PHAMATEX",PR!$AX715,IF(K717="PETHICS",PR!$AY715,IF(K717="PHILIPS",PR!$AZ715,IF(K717="RANBAXY",PR!$BA715,IF(K717="REALS",PR!$BB715,IF(K717="ROYAL",PR!$BC715,IF(K717="SAM",PR!$BD715,IF(K717="SEAGREEN",PR!$BE715,IF(K717="SKG",PR!$BF715,IF(K717="TAH",PR!$BG715,IF(K717="TAYLEK",PR!$BH715,IF(K717="TEMITA",PR!$BI715,IF(K717="THL",PR!$BJ715,IF(K717="UBASTIC",PR!$BK715,IF(K717="UNION",PR!$BL715,IF(K717="UNIQUE",PR!$BM715,IF(K717="VIXA",PR!$BN715,IF(K717="WWCV",PR!$BO715,IF(K717="ZOLON",PR!$BP715,"-")))))))))))))))))))))))))))))))))))))))))))))))))))))))))))))))))</f>
        <v>0</v>
      </c>
    </row>
    <row r="718" spans="1:12" ht="18.75" x14ac:dyDescent="0.3">
      <c r="A718" s="430">
        <f>PR!A716</f>
        <v>651</v>
      </c>
      <c r="B718" s="15" t="str">
        <f>PR!B716</f>
        <v>50SPF SUNSCREEN</v>
      </c>
      <c r="C718" s="113" t="str">
        <f>PR!D716</f>
        <v>TUBE</v>
      </c>
      <c r="D718" s="113">
        <f>PR!C716</f>
        <v>20</v>
      </c>
      <c r="E718" s="108">
        <f>IF(F718="ALPHA",PR!$E716,IF(F718="ASSENE",PR!$F716,IF(F718="BIOFEM",PR!$G716,IF(F718="BIOMED",PR!$H716,IF(F718="CHI",PR!$I716,IF(F718="CLARION",PR!$J716,IF(F718="CODIX",PR!$K716,IF(F718="COSMADE",PR!$L716,IF(F718="SANCON",PR!$M716,IF(F718="DEVON",PR!$N716,IF(F718="DORTEMAG",PR!$O716,IF(F718="DGF",PR!$P716,IF(F718="DYNAMIC",PR!$Q716,IF(F718="EMZOR",PR!$R716,IF(F718="EUMATT",PR!$S716,IF(F718="FIDSON",PR!$T716,IF(F718="FCGLOBAL",PR!$U716,IF(F718="GENEITH",PR!$V716,IF(F718="GINOS",PR!$W716,IF(F718="GSK",PR!$X716,IF(F718="GLOBORG",PR!$Y716,IF(F718="GOODNEWS",PR!$Z716,IF(F718="GREENLIFE",PR!$AA716,IF(F718="HLINE",PR!$AB716,IF(F718="ROTECH",PR!$AC716,IF(F718="ISN",PR!$AD716,IF(F718="JAWA",PR!$AE716,IF(F718="LAYO",PR!$AF716,IF(F718="LEADWAY",PR!$AG716,IF(F718="LHV",PR!$AH716,IF(F718="MANOLA",PR!$AI716,IF(F718="MARCSON",PR!$AJ716,IF(F718="M&amp;B",PR!$AK716,IF(F718="MTRUST",PR!$AL716,IF(F718="MWORLD",PR!$AM716,IF(F718="MEGA",PR!$AN716,IF(F718="MICRONOVA",PR!$AO716,IF(F718="MFLASH",PR!$AP716,IF(F718="MORISON",PR!$AQ716,IF(F718="NEMEL",PR!$AR716,IF(F718="NHP",PR!$AS716,IF(F718="NHC",PR!$AT716,IF(F718="OLEAF",PR!$AU716,IF(F718="OCULUS",PR!$AV716,IF(F718="PACIFIC",PR!$AW716,IF(F718="PHAMATEX",PR!$AX716,IF(F718="PETHICS",PR!$AY716,IF(F718="PHILIPS",PR!$AZ716,IF(F718="RANBAXY",PR!$BA716,IF(F718="REALS",PR!$BB716,IF(F718="ROYAL",PR!$BC716,IF(F718="SAM",PR!$BD716,IF(F718="SEAGREEN",PR!$BE716,IF(F718="SKG",PR!$BF716,IF(F718="TAH",PR!$BG716,IF(F718="TAYLEK",PR!$BH716,IF(F718="TEMITA",PR!$BI716,IF(F718="THL",PR!$BJ716,IF(F718="UBASTIC",PR!$BK716,IF(F718="UNION",PR!$BL716,IF(F718="UNIQUE",PR!$BM716,IF(F718="VIXA",PR!$BN716,IF(F718="WWCV",PR!$BO716,IF(F718="ZOLON",PR!$BP716,"-"))))))))))))))))))))))))))))))))))))))))))))))))))))))))))))))))</f>
        <v>3300</v>
      </c>
      <c r="F718" s="102" t="str">
        <f>EV!L910</f>
        <v>EUMATT</v>
      </c>
      <c r="G718" s="108">
        <f>IF(H718="ALPHA",PR!$E716,IF(H718="ASSENE",PR!$F716,IF(H718="BIOFEM",PR!$G716,IF(H718="BIOMED",PR!$H716,IF(H718="CHI",PR!$I716,IF(H718="CLARION",PR!$J716,IF(H718="CODIX",PR!$K716,IF(H718="COSMADE",PR!$L716,IF(H718="SANCON",PR!$M716,IF(H718="DEVON",PR!$N716,IF(H718="DORTEMAG",PR!$O716,IF(H718="DGF",PR!$P716,IF(H718="DYNAMIC",PR!$Q716,IF(H718="EMZOR",PR!$R716,IF(H718="EUMATT",PR!$S716,IF(H718="FIDSON",PR!$T716,IF(H718="FCGLOBAL",PR!$U716,IF(H718="GENEITH",PR!$V716,IF(H718="GINOS",PR!$W716,IF(H718="GSK",PR!$X716,IF(H718="GLOBORG",PR!$Y716,IF(H718="GOODNEWS",PR!$Z716,IF(H718="GREENLIFE",PR!$AA716,IF(H718="HLINE",PR!$AB716,IF(H718="ROTECH",PR!$AC716,IF(H718="ISN",PR!$AD716,IF(H718="JAWA",PR!$AE716,IF(H718="LAYO",PR!$AF716,IF(H718="LEADWAY",PR!$AG716,IF(H718="LHV",PR!$AH716,IF(H718="MANOLA",PR!$AI716,IF(H718="MARCSON",PR!$AJ716,IF(H718="M&amp;B",PR!$AK716,IF(H718="MTRUST",PR!$AL716,IF(H718="MWORLD",PR!$AM716,IF(H718="MEGA",PR!$AN716,IF(H718="MICRONOVA",PR!$AO716,IF(H718="MFLASH",PR!$AP716,IF(H718="MORISON",PR!$AQ716,IF(H718="NEMEL",PR!$AR716,IF(H718="NHP",PR!$AS716,IF(H718="NHC",PR!$AT716,IF(H718="OLEAF",PR!$AU716,IF(H718="OCULUS",PR!$AV716,IF(H718="PACIFIC",PR!$AW716,IF(H718="PHAMATEX",PR!$AX716,IF(H718="PETHICS",PR!$AY716,IF(H718="PHILIPS",PR!$AZ716,IF(H718="RANBAXY",PR!$BA716,IF(H718="REALS",PR!$BB716,IF(H718="ROYAL",PR!$BC716,IF(H718="SAM",PR!$BD716,IF(H718="SEAGREEN",PR!$BE716,IF(H718="SKG",PR!$BF716,IF(H718="TAH",PR!$BG716,IF(H718="TAYLEK",PR!$BH716,IF(H718="TEMITA",PR!$BI716,IF(H718="THL",PR!$BJ716,IF(H718="UBASTIC",PR!$BK716,IF(H718="UNION",PR!$BL716,IF(H718="UNIQUE",PR!$BM716,IF(H718="VIXA",PR!$BN716,IF(H718="WWCV",PR!$BO716,IF(H718="ZOLON",PR!$BP716,"-"))))))))))))))))))))))))))))))))))))))))))))))))))))))))))))))))</f>
        <v>4000</v>
      </c>
      <c r="H718" s="102" t="str">
        <f>EV!M910</f>
        <v>HLINE</v>
      </c>
      <c r="I718" s="108" t="str">
        <f>IF(J718="ALPHA",PR!$E716,IF(J718="ASSENE",PR!$F716,IF(J718="BIOFEM",PR!$G716,IF(J718="BIOMED",PR!$H716,IF(J718="CHI",PR!$I716,IF(J718="CLARION",PR!$J716,IF(J718="CODIX",PR!$K716,IF(J718="COSMADE",PR!$L716,IF(J718="SANCON",PR!$M716,IF(J718="DEVON",PR!$N716,IF(J718="DORTEMAG",PR!$O716,IF(J718="DGF",PR!$P716,IF(J718="DYNAMIC",PR!$Q716,IF(J718="EMZOR",PR!$R716,IF(J718="EUMATT",PR!$S716,IF(J718="FIDSON",PR!$T716,IF(J718="FCGLOBAL",PR!$U716,IF(J718="GENEITH",PR!$V716,IF(J718="GINOS",PR!$W716,IF(J718="GSK",PR!$X716,IF(J718="GLOBORG",PR!$Y716,IF(J718="GOODNEWS",PR!$Z716,IF(J718="GREENLIFE",PR!$AA716,IF(J718="HLINE",PR!$AB716,IF(J718="ROTECH",PR!$AC716,IF(J718="ISN",PR!$AD716,IF(J718="JAWA",PR!$AE716,IF(J718="LAYO",PR!$AF716,IF(J718="LEADWAY",PR!$AG716,IF(J718="LHV",PR!$AH716,IF(J718="MANOLA",PR!$AI716,IF(J718="MARCSON",PR!$AJ716,IF(J718="M&amp;B",PR!$AK716,IF(J718="MTRUST",PR!$AL716,IF(J718="MWORLD",PR!$AM716,IF(J718="MEGA",PR!$AN716,IF(J718="MICRONOVA",PR!$AO716,IF(J718="MFLASH",PR!$AP716,IF(J718="MORISON",PR!$AQ716,IF(J718="NEMEL",PR!$AR716,IF(J718="NHP",PR!$AS716,IF(J718="NHC",PR!$AT716,IF(J718="OLEAF",PR!$AU716,IF(J718="OCULUS",PR!$AV716,IF(J718="PACIFIC",PR!$AW716,IF(J718="PHAMATEX",PR!$AX716,IF(J718="PETHICS",PR!$AY716,IF(J718="PHILIPS",PR!$AZ716,IF(J718="RANBAXY",PR!$BA716,IF(J718="REALS",PR!$BB716,IF(J718="ROYAL",PR!$BC716,IF(J718="SAM",PR!$BD716,IF(J718="SEAGREEN",PR!$BE716,IF(J718="SKG",PR!$BF716,IF(J718="TAH",PR!$BG716,IF(J718="TAYLEK",PR!$BH716,IF(J718="TEMITA",PR!$BI716,IF(J718="THL",PR!$BJ716,IF(J718="UBASTIC",PR!$BK716,IF(J718="UNION",PR!$BL716,IF(J718="UNIQUE",PR!$BM716,IF(J718="VIXA",PR!$BN716,IF(J718="WWCV",PR!$BO716,IF(J718="ZOLON",PR!$BP716,"-"))))))))))))))))))))))))))))))))))))))))))))))))))))))))))))))))</f>
        <v>-</v>
      </c>
      <c r="J718" s="102">
        <f>EV!N910</f>
        <v>0</v>
      </c>
      <c r="K718" s="433" t="s">
        <v>821</v>
      </c>
      <c r="L718" s="183">
        <f>IF(K718&gt;0,IF(K718="ALPHA",PR!$E716,IF(K718="ASSENE",PR!$F716,IF(K718="BIOFEM",PR!$G716,IF(K718="BIOMED",PR!$H716,IF(K718="CHI",PR!$I716,IF(K718="CLARION",PR!$J716,IF(K718="CODIX",PR!$K716,IF(K718="COSMADE",PR!$L716,IF(K718="SANCON",PR!$M716,IF(K718="DEVON",PR!$N716,IF(K718="DORTEMAG",PR!$O716,IF(K718="DGF",PR!$P716,IF(K718="DYNAMIC",PR!$Q716,IF(K718="EMZOR",PR!$R716,IF(K718="EUMATT",PR!$S716,IF(K718="FIDSON",PR!$T716,IF(K718="FCGLOBAL",PR!$U716,IF(K718="GENEITH",PR!$V716,IF(K718="GINOS",PR!$W716,IF(K718="GSK",PR!$X716,IF(K718="GLOBORG",PR!$Y716,IF(K718="GOODNEWS",PR!$Z716,IF(K718="GREENLIFE",PR!$AA716,IF(K718="HLINE",PR!$AB716,IF(K718="ROTECH",PR!$AC716,IF(K718="ISN",PR!$AD716,IF(K718="JAWA",PR!$AE716,IF(K718="LAYO",PR!$AF716,IF(K718="LEADWAY",PR!$AG716,IF(K718="LHV",PR!$AH716,IF(K718="MANOLA",PR!$AI716,IF(K718="MARCSON",PR!$AJ716,IF(K718="M&amp;B",PR!$AK716,IF(K718="MTRUST",PR!$AL716,IF(K718="MWORLD",PR!$AM716,IF(K718="MEGA",PR!$AN716,IF(K718="MICRONOVA",PR!$AO716,IF(K718="MFLASH",PR!$AP716,IF(K718="MORISON",PR!$AQ716,IF(K718="NEMEL",PR!$AR716,IF(K718="NHP",PR!$AS716,IF(K718="NHC",PR!$AT716,IF(K718="OLEAF",PR!$AU716,IF(K718="OCULUS",PR!$AV716,IF(K718="PACIFIC",PR!$AW716,IF(K718="PHAMATEX",PR!$AX716,IF(K718="PETHICS",PR!$AY716,IF(K718="PHILIPS",PR!$AZ716,IF(K718="RANBAXY",PR!$BA716,IF(K718="REALS",PR!$BB716,IF(K718="ROYAL",PR!$BC716,IF(K718="SAM",PR!$BD716,IF(K718="SEAGREEN",PR!$BE716,IF(K718="SKG",PR!$BF716,IF(K718="TAH",PR!$BG716,IF(K718="TAYLEK",PR!$BH716,IF(K718="TEMITA",PR!$BI716,IF(K718="THL",PR!$BJ716,IF(K718="UBASTIC",PR!$BK716,IF(K718="UNION",PR!$BL716,IF(K718="UNIQUE",PR!$BM716,IF(K718="VIXA",PR!$BN716,IF(K718="WWCV",PR!$BO716,IF(K718="ZOLON",PR!$BP716,"-")))))))))))))))))))))))))))))))))))))))))))))))))))))))))))))))))</f>
        <v>3300</v>
      </c>
    </row>
    <row r="719" spans="1:12" ht="18.75" x14ac:dyDescent="0.3">
      <c r="A719" s="430">
        <f>PR!A717</f>
        <v>652</v>
      </c>
      <c r="B719" s="15" t="str">
        <f>PR!B717</f>
        <v>BENZOYL PEROXIDE 10% CREAM</v>
      </c>
      <c r="C719" s="113" t="str">
        <f>PR!D717</f>
        <v>TUBE</v>
      </c>
      <c r="D719" s="113">
        <f>PR!C717</f>
        <v>20</v>
      </c>
      <c r="E719" s="108">
        <f>IF(F719="ALPHA",PR!$E717,IF(F719="ASSENE",PR!$F717,IF(F719="BIOFEM",PR!$G717,IF(F719="BIOMED",PR!$H717,IF(F719="CHI",PR!$I717,IF(F719="CLARION",PR!$J717,IF(F719="CODIX",PR!$K717,IF(F719="COSMADE",PR!$L717,IF(F719="SANCON",PR!$M717,IF(F719="DEVON",PR!$N717,IF(F719="DORTEMAG",PR!$O717,IF(F719="DGF",PR!$P717,IF(F719="DYNAMIC",PR!$Q717,IF(F719="EMZOR",PR!$R717,IF(F719="EUMATT",PR!$S717,IF(F719="FIDSON",PR!$T717,IF(F719="FCGLOBAL",PR!$U717,IF(F719="GENEITH",PR!$V717,IF(F719="GINOS",PR!$W717,IF(F719="GSK",PR!$X717,IF(F719="GLOBORG",PR!$Y717,IF(F719="GOODNEWS",PR!$Z717,IF(F719="GREENLIFE",PR!$AA717,IF(F719="HLINE",PR!$AB717,IF(F719="ROTECH",PR!$AC717,IF(F719="ISN",PR!$AD717,IF(F719="JAWA",PR!$AE717,IF(F719="LAYO",PR!$AF717,IF(F719="LEADWAY",PR!$AG717,IF(F719="LHV",PR!$AH717,IF(F719="MANOLA",PR!$AI717,IF(F719="MARCSON",PR!$AJ717,IF(F719="M&amp;B",PR!$AK717,IF(F719="MTRUST",PR!$AL717,IF(F719="MWORLD",PR!$AM717,IF(F719="MEGA",PR!$AN717,IF(F719="MICRONOVA",PR!$AO717,IF(F719="MFLASH",PR!$AP717,IF(F719="MORISON",PR!$AQ717,IF(F719="NEMEL",PR!$AR717,IF(F719="NHP",PR!$AS717,IF(F719="NHC",PR!$AT717,IF(F719="OLEAF",PR!$AU717,IF(F719="OCULUS",PR!$AV717,IF(F719="PACIFIC",PR!$AW717,IF(F719="PHAMATEX",PR!$AX717,IF(F719="PETHICS",PR!$AY717,IF(F719="PHILIPS",PR!$AZ717,IF(F719="RANBAXY",PR!$BA717,IF(F719="REALS",PR!$BB717,IF(F719="ROYAL",PR!$BC717,IF(F719="SAM",PR!$BD717,IF(F719="SEAGREEN",PR!$BE717,IF(F719="SKG",PR!$BF717,IF(F719="TAH",PR!$BG717,IF(F719="TAYLEK",PR!$BH717,IF(F719="TEMITA",PR!$BI717,IF(F719="THL",PR!$BJ717,IF(F719="UBASTIC",PR!$BK717,IF(F719="UNION",PR!$BL717,IF(F719="UNIQUE",PR!$BM717,IF(F719="VIXA",PR!$BN717,IF(F719="WWCV",PR!$BO717,IF(F719="ZOLON",PR!$BP717,"-"))))))))))))))))))))))))))))))))))))))))))))))))))))))))))))))))</f>
        <v>1550</v>
      </c>
      <c r="F719" s="102" t="str">
        <f>EV!L911</f>
        <v>EUMATT</v>
      </c>
      <c r="G719" s="108" t="str">
        <f>IF(H719="ALPHA",PR!$E717,IF(H719="ASSENE",PR!$F717,IF(H719="BIOFEM",PR!$G717,IF(H719="BIOMED",PR!$H717,IF(H719="CHI",PR!$I717,IF(H719="CLARION",PR!$J717,IF(H719="CODIX",PR!$K717,IF(H719="COSMADE",PR!$L717,IF(H719="SANCON",PR!$M717,IF(H719="DEVON",PR!$N717,IF(H719="DORTEMAG",PR!$O717,IF(H719="DGF",PR!$P717,IF(H719="DYNAMIC",PR!$Q717,IF(H719="EMZOR",PR!$R717,IF(H719="EUMATT",PR!$S717,IF(H719="FIDSON",PR!$T717,IF(H719="FCGLOBAL",PR!$U717,IF(H719="GENEITH",PR!$V717,IF(H719="GINOS",PR!$W717,IF(H719="GSK",PR!$X717,IF(H719="GLOBORG",PR!$Y717,IF(H719="GOODNEWS",PR!$Z717,IF(H719="GREENLIFE",PR!$AA717,IF(H719="HLINE",PR!$AB717,IF(H719="ROTECH",PR!$AC717,IF(H719="ISN",PR!$AD717,IF(H719="JAWA",PR!$AE717,IF(H719="LAYO",PR!$AF717,IF(H719="LEADWAY",PR!$AG717,IF(H719="LHV",PR!$AH717,IF(H719="MANOLA",PR!$AI717,IF(H719="MARCSON",PR!$AJ717,IF(H719="M&amp;B",PR!$AK717,IF(H719="MTRUST",PR!$AL717,IF(H719="MWORLD",PR!$AM717,IF(H719="MEGA",PR!$AN717,IF(H719="MICRONOVA",PR!$AO717,IF(H719="MFLASH",PR!$AP717,IF(H719="MORISON",PR!$AQ717,IF(H719="NEMEL",PR!$AR717,IF(H719="NHP",PR!$AS717,IF(H719="NHC",PR!$AT717,IF(H719="OLEAF",PR!$AU717,IF(H719="OCULUS",PR!$AV717,IF(H719="PACIFIC",PR!$AW717,IF(H719="PHAMATEX",PR!$AX717,IF(H719="PETHICS",PR!$AY717,IF(H719="PHILIPS",PR!$AZ717,IF(H719="RANBAXY",PR!$BA717,IF(H719="REALS",PR!$BB717,IF(H719="ROYAL",PR!$BC717,IF(H719="SAM",PR!$BD717,IF(H719="SEAGREEN",PR!$BE717,IF(H719="SKG",PR!$BF717,IF(H719="TAH",PR!$BG717,IF(H719="TAYLEK",PR!$BH717,IF(H719="TEMITA",PR!$BI717,IF(H719="THL",PR!$BJ717,IF(H719="UBASTIC",PR!$BK717,IF(H719="UNION",PR!$BL717,IF(H719="UNIQUE",PR!$BM717,IF(H719="VIXA",PR!$BN717,IF(H719="WWCV",PR!$BO717,IF(H719="ZOLON",PR!$BP717,"-"))))))))))))))))))))))))))))))))))))))))))))))))))))))))))))))))</f>
        <v>-</v>
      </c>
      <c r="H719" s="102">
        <f>EV!M911</f>
        <v>0</v>
      </c>
      <c r="I719" s="108" t="str">
        <f>IF(J719="ALPHA",PR!$E717,IF(J719="ASSENE",PR!$F717,IF(J719="BIOFEM",PR!$G717,IF(J719="BIOMED",PR!$H717,IF(J719="CHI",PR!$I717,IF(J719="CLARION",PR!$J717,IF(J719="CODIX",PR!$K717,IF(J719="COSMADE",PR!$L717,IF(J719="SANCON",PR!$M717,IF(J719="DEVON",PR!$N717,IF(J719="DORTEMAG",PR!$O717,IF(J719="DGF",PR!$P717,IF(J719="DYNAMIC",PR!$Q717,IF(J719="EMZOR",PR!$R717,IF(J719="EUMATT",PR!$S717,IF(J719="FIDSON",PR!$T717,IF(J719="FCGLOBAL",PR!$U717,IF(J719="GENEITH",PR!$V717,IF(J719="GINOS",PR!$W717,IF(J719="GSK",PR!$X717,IF(J719="GLOBORG",PR!$Y717,IF(J719="GOODNEWS",PR!$Z717,IF(J719="GREENLIFE",PR!$AA717,IF(J719="HLINE",PR!$AB717,IF(J719="ROTECH",PR!$AC717,IF(J719="ISN",PR!$AD717,IF(J719="JAWA",PR!$AE717,IF(J719="LAYO",PR!$AF717,IF(J719="LEADWAY",PR!$AG717,IF(J719="LHV",PR!$AH717,IF(J719="MANOLA",PR!$AI717,IF(J719="MARCSON",PR!$AJ717,IF(J719="M&amp;B",PR!$AK717,IF(J719="MTRUST",PR!$AL717,IF(J719="MWORLD",PR!$AM717,IF(J719="MEGA",PR!$AN717,IF(J719="MICRONOVA",PR!$AO717,IF(J719="MFLASH",PR!$AP717,IF(J719="MORISON",PR!$AQ717,IF(J719="NEMEL",PR!$AR717,IF(J719="NHP",PR!$AS717,IF(J719="NHC",PR!$AT717,IF(J719="OLEAF",PR!$AU717,IF(J719="OCULUS",PR!$AV717,IF(J719="PACIFIC",PR!$AW717,IF(J719="PHAMATEX",PR!$AX717,IF(J719="PETHICS",PR!$AY717,IF(J719="PHILIPS",PR!$AZ717,IF(J719="RANBAXY",PR!$BA717,IF(J719="REALS",PR!$BB717,IF(J719="ROYAL",PR!$BC717,IF(J719="SAM",PR!$BD717,IF(J719="SEAGREEN",PR!$BE717,IF(J719="SKG",PR!$BF717,IF(J719="TAH",PR!$BG717,IF(J719="TAYLEK",PR!$BH717,IF(J719="TEMITA",PR!$BI717,IF(J719="THL",PR!$BJ717,IF(J719="UBASTIC",PR!$BK717,IF(J719="UNION",PR!$BL717,IF(J719="UNIQUE",PR!$BM717,IF(J719="VIXA",PR!$BN717,IF(J719="WWCV",PR!$BO717,IF(J719="ZOLON",PR!$BP717,"-"))))))))))))))))))))))))))))))))))))))))))))))))))))))))))))))))</f>
        <v>-</v>
      </c>
      <c r="J719" s="102">
        <f>EV!N911</f>
        <v>0</v>
      </c>
      <c r="K719" s="433" t="s">
        <v>821</v>
      </c>
      <c r="L719" s="183">
        <f>IF(K719&gt;0,IF(K719="ALPHA",PR!$E717,IF(K719="ASSENE",PR!$F717,IF(K719="BIOFEM",PR!$G717,IF(K719="BIOMED",PR!$H717,IF(K719="CHI",PR!$I717,IF(K719="CLARION",PR!$J717,IF(K719="CODIX",PR!$K717,IF(K719="COSMADE",PR!$L717,IF(K719="SANCON",PR!$M717,IF(K719="DEVON",PR!$N717,IF(K719="DORTEMAG",PR!$O717,IF(K719="DGF",PR!$P717,IF(K719="DYNAMIC",PR!$Q717,IF(K719="EMZOR",PR!$R717,IF(K719="EUMATT",PR!$S717,IF(K719="FIDSON",PR!$T717,IF(K719="FCGLOBAL",PR!$U717,IF(K719="GENEITH",PR!$V717,IF(K719="GINOS",PR!$W717,IF(K719="GSK",PR!$X717,IF(K719="GLOBORG",PR!$Y717,IF(K719="GOODNEWS",PR!$Z717,IF(K719="GREENLIFE",PR!$AA717,IF(K719="HLINE",PR!$AB717,IF(K719="ROTECH",PR!$AC717,IF(K719="ISN",PR!$AD717,IF(K719="JAWA",PR!$AE717,IF(K719="LAYO",PR!$AF717,IF(K719="LEADWAY",PR!$AG717,IF(K719="LHV",PR!$AH717,IF(K719="MANOLA",PR!$AI717,IF(K719="MARCSON",PR!$AJ717,IF(K719="M&amp;B",PR!$AK717,IF(K719="MTRUST",PR!$AL717,IF(K719="MWORLD",PR!$AM717,IF(K719="MEGA",PR!$AN717,IF(K719="MICRONOVA",PR!$AO717,IF(K719="MFLASH",PR!$AP717,IF(K719="MORISON",PR!$AQ717,IF(K719="NEMEL",PR!$AR717,IF(K719="NHP",PR!$AS717,IF(K719="NHC",PR!$AT717,IF(K719="OLEAF",PR!$AU717,IF(K719="OCULUS",PR!$AV717,IF(K719="PACIFIC",PR!$AW717,IF(K719="PHAMATEX",PR!$AX717,IF(K719="PETHICS",PR!$AY717,IF(K719="PHILIPS",PR!$AZ717,IF(K719="RANBAXY",PR!$BA717,IF(K719="REALS",PR!$BB717,IF(K719="ROYAL",PR!$BC717,IF(K719="SAM",PR!$BD717,IF(K719="SEAGREEN",PR!$BE717,IF(K719="SKG",PR!$BF717,IF(K719="TAH",PR!$BG717,IF(K719="TAYLEK",PR!$BH717,IF(K719="TEMITA",PR!$BI717,IF(K719="THL",PR!$BJ717,IF(K719="UBASTIC",PR!$BK717,IF(K719="UNION",PR!$BL717,IF(K719="UNIQUE",PR!$BM717,IF(K719="VIXA",PR!$BN717,IF(K719="WWCV",PR!$BO717,IF(K719="ZOLON",PR!$BP717,"-")))))))))))))))))))))))))))))))))))))))))))))))))))))))))))))))))</f>
        <v>1550</v>
      </c>
    </row>
    <row r="720" spans="1:12" ht="18.75" x14ac:dyDescent="0.3">
      <c r="A720" s="430">
        <f>PR!A718</f>
        <v>653</v>
      </c>
      <c r="B720" s="15" t="str">
        <f>PR!B718</f>
        <v>BENZOYL PEROXIDE 5% CREAM</v>
      </c>
      <c r="C720" s="113" t="str">
        <f>PR!D718</f>
        <v>TUBE</v>
      </c>
      <c r="D720" s="113">
        <f>PR!C718</f>
        <v>20</v>
      </c>
      <c r="E720" s="108">
        <f>IF(F720="ALPHA",PR!$E718,IF(F720="ASSENE",PR!$F718,IF(F720="BIOFEM",PR!$G718,IF(F720="BIOMED",PR!$H718,IF(F720="CHI",PR!$I718,IF(F720="CLARION",PR!$J718,IF(F720="CODIX",PR!$K718,IF(F720="COSMADE",PR!$L718,IF(F720="SANCON",PR!$M718,IF(F720="DEVON",PR!$N718,IF(F720="DORTEMAG",PR!$O718,IF(F720="DGF",PR!$P718,IF(F720="DYNAMIC",PR!$Q718,IF(F720="EMZOR",PR!$R718,IF(F720="EUMATT",PR!$S718,IF(F720="FIDSON",PR!$T718,IF(F720="FCGLOBAL",PR!$U718,IF(F720="GENEITH",PR!$V718,IF(F720="GINOS",PR!$W718,IF(F720="GSK",PR!$X718,IF(F720="GLOBORG",PR!$Y718,IF(F720="GOODNEWS",PR!$Z718,IF(F720="GREENLIFE",PR!$AA718,IF(F720="HLINE",PR!$AB718,IF(F720="ROTECH",PR!$AC718,IF(F720="ISN",PR!$AD718,IF(F720="JAWA",PR!$AE718,IF(F720="LAYO",PR!$AF718,IF(F720="LEADWAY",PR!$AG718,IF(F720="LHV",PR!$AH718,IF(F720="MANOLA",PR!$AI718,IF(F720="MARCSON",PR!$AJ718,IF(F720="M&amp;B",PR!$AK718,IF(F720="MTRUST",PR!$AL718,IF(F720="MWORLD",PR!$AM718,IF(F720="MEGA",PR!$AN718,IF(F720="MICRONOVA",PR!$AO718,IF(F720="MFLASH",PR!$AP718,IF(F720="MORISON",PR!$AQ718,IF(F720="NEMEL",PR!$AR718,IF(F720="NHP",PR!$AS718,IF(F720="NHC",PR!$AT718,IF(F720="OLEAF",PR!$AU718,IF(F720="OCULUS",PR!$AV718,IF(F720="PACIFIC",PR!$AW718,IF(F720="PHAMATEX",PR!$AX718,IF(F720="PETHICS",PR!$AY718,IF(F720="PHILIPS",PR!$AZ718,IF(F720="RANBAXY",PR!$BA718,IF(F720="REALS",PR!$BB718,IF(F720="ROYAL",PR!$BC718,IF(F720="SAM",PR!$BD718,IF(F720="SEAGREEN",PR!$BE718,IF(F720="SKG",PR!$BF718,IF(F720="TAH",PR!$BG718,IF(F720="TAYLEK",PR!$BH718,IF(F720="TEMITA",PR!$BI718,IF(F720="THL",PR!$BJ718,IF(F720="UBASTIC",PR!$BK718,IF(F720="UNION",PR!$BL718,IF(F720="UNIQUE",PR!$BM718,IF(F720="VIXA",PR!$BN718,IF(F720="WWCV",PR!$BO718,IF(F720="ZOLON",PR!$BP718,"-"))))))))))))))))))))))))))))))))))))))))))))))))))))))))))))))))</f>
        <v>1550</v>
      </c>
      <c r="F720" s="102" t="str">
        <f>EV!L912</f>
        <v>EUMATT</v>
      </c>
      <c r="G720" s="108" t="str">
        <f>IF(H720="ALPHA",PR!$E718,IF(H720="ASSENE",PR!$F718,IF(H720="BIOFEM",PR!$G718,IF(H720="BIOMED",PR!$H718,IF(H720="CHI",PR!$I718,IF(H720="CLARION",PR!$J718,IF(H720="CODIX",PR!$K718,IF(H720="COSMADE",PR!$L718,IF(H720="SANCON",PR!$M718,IF(H720="DEVON",PR!$N718,IF(H720="DORTEMAG",PR!$O718,IF(H720="DGF",PR!$P718,IF(H720="DYNAMIC",PR!$Q718,IF(H720="EMZOR",PR!$R718,IF(H720="EUMATT",PR!$S718,IF(H720="FIDSON",PR!$T718,IF(H720="FCGLOBAL",PR!$U718,IF(H720="GENEITH",PR!$V718,IF(H720="GINOS",PR!$W718,IF(H720="GSK",PR!$X718,IF(H720="GLOBORG",PR!$Y718,IF(H720="GOODNEWS",PR!$Z718,IF(H720="GREENLIFE",PR!$AA718,IF(H720="HLINE",PR!$AB718,IF(H720="ROTECH",PR!$AC718,IF(H720="ISN",PR!$AD718,IF(H720="JAWA",PR!$AE718,IF(H720="LAYO",PR!$AF718,IF(H720="LEADWAY",PR!$AG718,IF(H720="LHV",PR!$AH718,IF(H720="MANOLA",PR!$AI718,IF(H720="MARCSON",PR!$AJ718,IF(H720="M&amp;B",PR!$AK718,IF(H720="MTRUST",PR!$AL718,IF(H720="MWORLD",PR!$AM718,IF(H720="MEGA",PR!$AN718,IF(H720="MICRONOVA",PR!$AO718,IF(H720="MFLASH",PR!$AP718,IF(H720="MORISON",PR!$AQ718,IF(H720="NEMEL",PR!$AR718,IF(H720="NHP",PR!$AS718,IF(H720="NHC",PR!$AT718,IF(H720="OLEAF",PR!$AU718,IF(H720="OCULUS",PR!$AV718,IF(H720="PACIFIC",PR!$AW718,IF(H720="PHAMATEX",PR!$AX718,IF(H720="PETHICS",PR!$AY718,IF(H720="PHILIPS",PR!$AZ718,IF(H720="RANBAXY",PR!$BA718,IF(H720="REALS",PR!$BB718,IF(H720="ROYAL",PR!$BC718,IF(H720="SAM",PR!$BD718,IF(H720="SEAGREEN",PR!$BE718,IF(H720="SKG",PR!$BF718,IF(H720="TAH",PR!$BG718,IF(H720="TAYLEK",PR!$BH718,IF(H720="TEMITA",PR!$BI718,IF(H720="THL",PR!$BJ718,IF(H720="UBASTIC",PR!$BK718,IF(H720="UNION",PR!$BL718,IF(H720="UNIQUE",PR!$BM718,IF(H720="VIXA",PR!$BN718,IF(H720="WWCV",PR!$BO718,IF(H720="ZOLON",PR!$BP718,"-"))))))))))))))))))))))))))))))))))))))))))))))))))))))))))))))))</f>
        <v>-</v>
      </c>
      <c r="H720" s="102">
        <f>EV!M912</f>
        <v>0</v>
      </c>
      <c r="I720" s="108" t="str">
        <f>IF(J720="ALPHA",PR!$E718,IF(J720="ASSENE",PR!$F718,IF(J720="BIOFEM",PR!$G718,IF(J720="BIOMED",PR!$H718,IF(J720="CHI",PR!$I718,IF(J720="CLARION",PR!$J718,IF(J720="CODIX",PR!$K718,IF(J720="COSMADE",PR!$L718,IF(J720="SANCON",PR!$M718,IF(J720="DEVON",PR!$N718,IF(J720="DORTEMAG",PR!$O718,IF(J720="DGF",PR!$P718,IF(J720="DYNAMIC",PR!$Q718,IF(J720="EMZOR",PR!$R718,IF(J720="EUMATT",PR!$S718,IF(J720="FIDSON",PR!$T718,IF(J720="FCGLOBAL",PR!$U718,IF(J720="GENEITH",PR!$V718,IF(J720="GINOS",PR!$W718,IF(J720="GSK",PR!$X718,IF(J720="GLOBORG",PR!$Y718,IF(J720="GOODNEWS",PR!$Z718,IF(J720="GREENLIFE",PR!$AA718,IF(J720="HLINE",PR!$AB718,IF(J720="ROTECH",PR!$AC718,IF(J720="ISN",PR!$AD718,IF(J720="JAWA",PR!$AE718,IF(J720="LAYO",PR!$AF718,IF(J720="LEADWAY",PR!$AG718,IF(J720="LHV",PR!$AH718,IF(J720="MANOLA",PR!$AI718,IF(J720="MARCSON",PR!$AJ718,IF(J720="M&amp;B",PR!$AK718,IF(J720="MTRUST",PR!$AL718,IF(J720="MWORLD",PR!$AM718,IF(J720="MEGA",PR!$AN718,IF(J720="MICRONOVA",PR!$AO718,IF(J720="MFLASH",PR!$AP718,IF(J720="MORISON",PR!$AQ718,IF(J720="NEMEL",PR!$AR718,IF(J720="NHP",PR!$AS718,IF(J720="NHC",PR!$AT718,IF(J720="OLEAF",PR!$AU718,IF(J720="OCULUS",PR!$AV718,IF(J720="PACIFIC",PR!$AW718,IF(J720="PHAMATEX",PR!$AX718,IF(J720="PETHICS",PR!$AY718,IF(J720="PHILIPS",PR!$AZ718,IF(J720="RANBAXY",PR!$BA718,IF(J720="REALS",PR!$BB718,IF(J720="ROYAL",PR!$BC718,IF(J720="SAM",PR!$BD718,IF(J720="SEAGREEN",PR!$BE718,IF(J720="SKG",PR!$BF718,IF(J720="TAH",PR!$BG718,IF(J720="TAYLEK",PR!$BH718,IF(J720="TEMITA",PR!$BI718,IF(J720="THL",PR!$BJ718,IF(J720="UBASTIC",PR!$BK718,IF(J720="UNION",PR!$BL718,IF(J720="UNIQUE",PR!$BM718,IF(J720="VIXA",PR!$BN718,IF(J720="WWCV",PR!$BO718,IF(J720="ZOLON",PR!$BP718,"-"))))))))))))))))))))))))))))))))))))))))))))))))))))))))))))))))</f>
        <v>-</v>
      </c>
      <c r="J720" s="102">
        <f>EV!N912</f>
        <v>0</v>
      </c>
      <c r="K720" s="433" t="s">
        <v>821</v>
      </c>
      <c r="L720" s="183">
        <f>IF(K720&gt;0,IF(K720="ALPHA",PR!$E718,IF(K720="ASSENE",PR!$F718,IF(K720="BIOFEM",PR!$G718,IF(K720="BIOMED",PR!$H718,IF(K720="CHI",PR!$I718,IF(K720="CLARION",PR!$J718,IF(K720="CODIX",PR!$K718,IF(K720="COSMADE",PR!$L718,IF(K720="SANCON",PR!$M718,IF(K720="DEVON",PR!$N718,IF(K720="DORTEMAG",PR!$O718,IF(K720="DGF",PR!$P718,IF(K720="DYNAMIC",PR!$Q718,IF(K720="EMZOR",PR!$R718,IF(K720="EUMATT",PR!$S718,IF(K720="FIDSON",PR!$T718,IF(K720="FCGLOBAL",PR!$U718,IF(K720="GENEITH",PR!$V718,IF(K720="GINOS",PR!$W718,IF(K720="GSK",PR!$X718,IF(K720="GLOBORG",PR!$Y718,IF(K720="GOODNEWS",PR!$Z718,IF(K720="GREENLIFE",PR!$AA718,IF(K720="HLINE",PR!$AB718,IF(K720="ROTECH",PR!$AC718,IF(K720="ISN",PR!$AD718,IF(K720="JAWA",PR!$AE718,IF(K720="LAYO",PR!$AF718,IF(K720="LEADWAY",PR!$AG718,IF(K720="LHV",PR!$AH718,IF(K720="MANOLA",PR!$AI718,IF(K720="MARCSON",PR!$AJ718,IF(K720="M&amp;B",PR!$AK718,IF(K720="MTRUST",PR!$AL718,IF(K720="MWORLD",PR!$AM718,IF(K720="MEGA",PR!$AN718,IF(K720="MICRONOVA",PR!$AO718,IF(K720="MFLASH",PR!$AP718,IF(K720="MORISON",PR!$AQ718,IF(K720="NEMEL",PR!$AR718,IF(K720="NHP",PR!$AS718,IF(K720="NHC",PR!$AT718,IF(K720="OLEAF",PR!$AU718,IF(K720="OCULUS",PR!$AV718,IF(K720="PACIFIC",PR!$AW718,IF(K720="PHAMATEX",PR!$AX718,IF(K720="PETHICS",PR!$AY718,IF(K720="PHILIPS",PR!$AZ718,IF(K720="RANBAXY",PR!$BA718,IF(K720="REALS",PR!$BB718,IF(K720="ROYAL",PR!$BC718,IF(K720="SAM",PR!$BD718,IF(K720="SEAGREEN",PR!$BE718,IF(K720="SKG",PR!$BF718,IF(K720="TAH",PR!$BG718,IF(K720="TAYLEK",PR!$BH718,IF(K720="TEMITA",PR!$BI718,IF(K720="THL",PR!$BJ718,IF(K720="UBASTIC",PR!$BK718,IF(K720="UNION",PR!$BL718,IF(K720="UNIQUE",PR!$BM718,IF(K720="VIXA",PR!$BN718,IF(K720="WWCV",PR!$BO718,IF(K720="ZOLON",PR!$BP718,"-")))))))))))))))))))))))))))))))))))))))))))))))))))))))))))))))))</f>
        <v>1550</v>
      </c>
    </row>
    <row r="721" spans="1:12" ht="18.75" x14ac:dyDescent="0.3">
      <c r="A721" s="430">
        <f>PR!A719</f>
        <v>654</v>
      </c>
      <c r="B721" s="15" t="str">
        <f>PR!B719</f>
        <v>BENZYL BENZOATE 25% LOTION</v>
      </c>
      <c r="C721" s="113" t="str">
        <f>PR!D719</f>
        <v>BOTT</v>
      </c>
      <c r="D721" s="113">
        <f>PR!C719</f>
        <v>600</v>
      </c>
      <c r="E721" s="108">
        <f>IF(F721="ALPHA",PR!$E719,IF(F721="ASSENE",PR!$F719,IF(F721="BIOFEM",PR!$G719,IF(F721="BIOMED",PR!$H719,IF(F721="CHI",PR!$I719,IF(F721="CLARION",PR!$J719,IF(F721="CODIX",PR!$K719,IF(F721="COSMADE",PR!$L719,IF(F721="SANCON",PR!$M719,IF(F721="DEVON",PR!$N719,IF(F721="DORTEMAG",PR!$O719,IF(F721="DGF",PR!$P719,IF(F721="DYNAMIC",PR!$Q719,IF(F721="EMZOR",PR!$R719,IF(F721="EUMATT",PR!$S719,IF(F721="FIDSON",PR!$T719,IF(F721="FCGLOBAL",PR!$U719,IF(F721="GENEITH",PR!$V719,IF(F721="GINOS",PR!$W719,IF(F721="GSK",PR!$X719,IF(F721="GLOBORG",PR!$Y719,IF(F721="GOODNEWS",PR!$Z719,IF(F721="GREENLIFE",PR!$AA719,IF(F721="HLINE",PR!$AB719,IF(F721="ROTECH",PR!$AC719,IF(F721="ISN",PR!$AD719,IF(F721="JAWA",PR!$AE719,IF(F721="LAYO",PR!$AF719,IF(F721="LEADWAY",PR!$AG719,IF(F721="LHV",PR!$AH719,IF(F721="MANOLA",PR!$AI719,IF(F721="MARCSON",PR!$AJ719,IF(F721="M&amp;B",PR!$AK719,IF(F721="MTRUST",PR!$AL719,IF(F721="MWORLD",PR!$AM719,IF(F721="MEGA",PR!$AN719,IF(F721="MICRONOVA",PR!$AO719,IF(F721="MFLASH",PR!$AP719,IF(F721="MORISON",PR!$AQ719,IF(F721="NEMEL",PR!$AR719,IF(F721="NHP",PR!$AS719,IF(F721="NHC",PR!$AT719,IF(F721="OLEAF",PR!$AU719,IF(F721="OCULUS",PR!$AV719,IF(F721="PACIFIC",PR!$AW719,IF(F721="PHAMATEX",PR!$AX719,IF(F721="PETHICS",PR!$AY719,IF(F721="PHILIPS",PR!$AZ719,IF(F721="RANBAXY",PR!$BA719,IF(F721="REALS",PR!$BB719,IF(F721="ROYAL",PR!$BC719,IF(F721="SAM",PR!$BD719,IF(F721="SEAGREEN",PR!$BE719,IF(F721="SKG",PR!$BF719,IF(F721="TAH",PR!$BG719,IF(F721="TAYLEK",PR!$BH719,IF(F721="TEMITA",PR!$BI719,IF(F721="THL",PR!$BJ719,IF(F721="UBASTIC",PR!$BK719,IF(F721="UNION",PR!$BL719,IF(F721="UNIQUE",PR!$BM719,IF(F721="VIXA",PR!$BN719,IF(F721="WWCV",PR!$BO719,IF(F721="ZOLON",PR!$BP719,"-"))))))))))))))))))))))))))))))))))))))))))))))))))))))))))))))))</f>
        <v>400</v>
      </c>
      <c r="F721" s="102" t="str">
        <f>EV!L913</f>
        <v>SEAGREEN</v>
      </c>
      <c r="G721" s="108" t="str">
        <f>IF(H721="ALPHA",PR!$E719,IF(H721="ASSENE",PR!$F719,IF(H721="BIOFEM",PR!$G719,IF(H721="BIOMED",PR!$H719,IF(H721="CHI",PR!$I719,IF(H721="CLARION",PR!$J719,IF(H721="CODIX",PR!$K719,IF(H721="COSMADE",PR!$L719,IF(H721="SANCON",PR!$M719,IF(H721="DEVON",PR!$N719,IF(H721="DORTEMAG",PR!$O719,IF(H721="DGF",PR!$P719,IF(H721="DYNAMIC",PR!$Q719,IF(H721="EMZOR",PR!$R719,IF(H721="EUMATT",PR!$S719,IF(H721="FIDSON",PR!$T719,IF(H721="FCGLOBAL",PR!$U719,IF(H721="GENEITH",PR!$V719,IF(H721="GINOS",PR!$W719,IF(H721="GSK",PR!$X719,IF(H721="GLOBORG",PR!$Y719,IF(H721="GOODNEWS",PR!$Z719,IF(H721="GREENLIFE",PR!$AA719,IF(H721="HLINE",PR!$AB719,IF(H721="ROTECH",PR!$AC719,IF(H721="ISN",PR!$AD719,IF(H721="JAWA",PR!$AE719,IF(H721="LAYO",PR!$AF719,IF(H721="LEADWAY",PR!$AG719,IF(H721="LHV",PR!$AH719,IF(H721="MANOLA",PR!$AI719,IF(H721="MARCSON",PR!$AJ719,IF(H721="M&amp;B",PR!$AK719,IF(H721="MTRUST",PR!$AL719,IF(H721="MWORLD",PR!$AM719,IF(H721="MEGA",PR!$AN719,IF(H721="MICRONOVA",PR!$AO719,IF(H721="MFLASH",PR!$AP719,IF(H721="MORISON",PR!$AQ719,IF(H721="NEMEL",PR!$AR719,IF(H721="NHP",PR!$AS719,IF(H721="NHC",PR!$AT719,IF(H721="OLEAF",PR!$AU719,IF(H721="OCULUS",PR!$AV719,IF(H721="PACIFIC",PR!$AW719,IF(H721="PHAMATEX",PR!$AX719,IF(H721="PETHICS",PR!$AY719,IF(H721="PHILIPS",PR!$AZ719,IF(H721="RANBAXY",PR!$BA719,IF(H721="REALS",PR!$BB719,IF(H721="ROYAL",PR!$BC719,IF(H721="SAM",PR!$BD719,IF(H721="SEAGREEN",PR!$BE719,IF(H721="SKG",PR!$BF719,IF(H721="TAH",PR!$BG719,IF(H721="TAYLEK",PR!$BH719,IF(H721="TEMITA",PR!$BI719,IF(H721="THL",PR!$BJ719,IF(H721="UBASTIC",PR!$BK719,IF(H721="UNION",PR!$BL719,IF(H721="UNIQUE",PR!$BM719,IF(H721="VIXA",PR!$BN719,IF(H721="WWCV",PR!$BO719,IF(H721="ZOLON",PR!$BP719,"-"))))))))))))))))))))))))))))))))))))))))))))))))))))))))))))))))</f>
        <v>-</v>
      </c>
      <c r="H721" s="102">
        <f>EV!M913</f>
        <v>0</v>
      </c>
      <c r="I721" s="108" t="str">
        <f>IF(J721="ALPHA",PR!$E719,IF(J721="ASSENE",PR!$F719,IF(J721="BIOFEM",PR!$G719,IF(J721="BIOMED",PR!$H719,IF(J721="CHI",PR!$I719,IF(J721="CLARION",PR!$J719,IF(J721="CODIX",PR!$K719,IF(J721="COSMADE",PR!$L719,IF(J721="SANCON",PR!$M719,IF(J721="DEVON",PR!$N719,IF(J721="DORTEMAG",PR!$O719,IF(J721="DGF",PR!$P719,IF(J721="DYNAMIC",PR!$Q719,IF(J721="EMZOR",PR!$R719,IF(J721="EUMATT",PR!$S719,IF(J721="FIDSON",PR!$T719,IF(J721="FCGLOBAL",PR!$U719,IF(J721="GENEITH",PR!$V719,IF(J721="GINOS",PR!$W719,IF(J721="GSK",PR!$X719,IF(J721="GLOBORG",PR!$Y719,IF(J721="GOODNEWS",PR!$Z719,IF(J721="GREENLIFE",PR!$AA719,IF(J721="HLINE",PR!$AB719,IF(J721="ROTECH",PR!$AC719,IF(J721="ISN",PR!$AD719,IF(J721="JAWA",PR!$AE719,IF(J721="LAYO",PR!$AF719,IF(J721="LEADWAY",PR!$AG719,IF(J721="LHV",PR!$AH719,IF(J721="MANOLA",PR!$AI719,IF(J721="MARCSON",PR!$AJ719,IF(J721="M&amp;B",PR!$AK719,IF(J721="MTRUST",PR!$AL719,IF(J721="MWORLD",PR!$AM719,IF(J721="MEGA",PR!$AN719,IF(J721="MICRONOVA",PR!$AO719,IF(J721="MFLASH",PR!$AP719,IF(J721="MORISON",PR!$AQ719,IF(J721="NEMEL",PR!$AR719,IF(J721="NHP",PR!$AS719,IF(J721="NHC",PR!$AT719,IF(J721="OLEAF",PR!$AU719,IF(J721="OCULUS",PR!$AV719,IF(J721="PACIFIC",PR!$AW719,IF(J721="PHAMATEX",PR!$AX719,IF(J721="PETHICS",PR!$AY719,IF(J721="PHILIPS",PR!$AZ719,IF(J721="RANBAXY",PR!$BA719,IF(J721="REALS",PR!$BB719,IF(J721="ROYAL",PR!$BC719,IF(J721="SAM",PR!$BD719,IF(J721="SEAGREEN",PR!$BE719,IF(J721="SKG",PR!$BF719,IF(J721="TAH",PR!$BG719,IF(J721="TAYLEK",PR!$BH719,IF(J721="TEMITA",PR!$BI719,IF(J721="THL",PR!$BJ719,IF(J721="UBASTIC",PR!$BK719,IF(J721="UNION",PR!$BL719,IF(J721="UNIQUE",PR!$BM719,IF(J721="VIXA",PR!$BN719,IF(J721="WWCV",PR!$BO719,IF(J721="ZOLON",PR!$BP719,"-"))))))))))))))))))))))))))))))))))))))))))))))))))))))))))))))))</f>
        <v>-</v>
      </c>
      <c r="J721" s="102">
        <f>EV!N913</f>
        <v>0</v>
      </c>
      <c r="K721" s="433"/>
      <c r="L721" s="183" t="b">
        <f>IF(K721&gt;0,IF(K721="ALPHA",PR!$E719,IF(K721="ASSENE",PR!$F719,IF(K721="BIOFEM",PR!$G719,IF(K721="BIOMED",PR!$H719,IF(K721="CHI",PR!$I719,IF(K721="CLARION",PR!$J719,IF(K721="CODIX",PR!$K719,IF(K721="COSMADE",PR!$L719,IF(K721="SANCON",PR!$M719,IF(K721="DEVON",PR!$N719,IF(K721="DORTEMAG",PR!$O719,IF(K721="DGF",PR!$P719,IF(K721="DYNAMIC",PR!$Q719,IF(K721="EMZOR",PR!$R719,IF(K721="EUMATT",PR!$S719,IF(K721="FIDSON",PR!$T719,IF(K721="FCGLOBAL",PR!$U719,IF(K721="GENEITH",PR!$V719,IF(K721="GINOS",PR!$W719,IF(K721="GSK",PR!$X719,IF(K721="GLOBORG",PR!$Y719,IF(K721="GOODNEWS",PR!$Z719,IF(K721="GREENLIFE",PR!$AA719,IF(K721="HLINE",PR!$AB719,IF(K721="ROTECH",PR!$AC719,IF(K721="ISN",PR!$AD719,IF(K721="JAWA",PR!$AE719,IF(K721="LAYO",PR!$AF719,IF(K721="LEADWAY",PR!$AG719,IF(K721="LHV",PR!$AH719,IF(K721="MANOLA",PR!$AI719,IF(K721="MARCSON",PR!$AJ719,IF(K721="M&amp;B",PR!$AK719,IF(K721="MTRUST",PR!$AL719,IF(K721="MWORLD",PR!$AM719,IF(K721="MEGA",PR!$AN719,IF(K721="MICRONOVA",PR!$AO719,IF(K721="MFLASH",PR!$AP719,IF(K721="MORISON",PR!$AQ719,IF(K721="NEMEL",PR!$AR719,IF(K721="NHP",PR!$AS719,IF(K721="NHC",PR!$AT719,IF(K721="OLEAF",PR!$AU719,IF(K721="OCULUS",PR!$AV719,IF(K721="PACIFIC",PR!$AW719,IF(K721="PHAMATEX",PR!$AX719,IF(K721="PETHICS",PR!$AY719,IF(K721="PHILIPS",PR!$AZ719,IF(K721="RANBAXY",PR!$BA719,IF(K721="REALS",PR!$BB719,IF(K721="ROYAL",PR!$BC719,IF(K721="SAM",PR!$BD719,IF(K721="SEAGREEN",PR!$BE719,IF(K721="SKG",PR!$BF719,IF(K721="TAH",PR!$BG719,IF(K721="TAYLEK",PR!$BH719,IF(K721="TEMITA",PR!$BI719,IF(K721="THL",PR!$BJ719,IF(K721="UBASTIC",PR!$BK719,IF(K721="UNION",PR!$BL719,IF(K721="UNIQUE",PR!$BM719,IF(K721="VIXA",PR!$BN719,IF(K721="WWCV",PR!$BO719,IF(K721="ZOLON",PR!$BP719,"-")))))))))))))))))))))))))))))))))))))))))))))))))))))))))))))))))</f>
        <v>0</v>
      </c>
    </row>
    <row r="722" spans="1:12" ht="18.75" x14ac:dyDescent="0.3">
      <c r="A722" s="430">
        <f>PR!A720</f>
        <v>655</v>
      </c>
      <c r="B722" s="15" t="str">
        <f>PR!B720</f>
        <v>BETAMETHASONE SCALP WASH</v>
      </c>
      <c r="C722" s="113" t="str">
        <f>PR!D720</f>
        <v>PCS</v>
      </c>
      <c r="D722" s="113">
        <f>PR!C720</f>
        <v>20</v>
      </c>
      <c r="E722" s="108" t="str">
        <f>IF(F722="ALPHA",PR!$E720,IF(F722="ASSENE",PR!$F720,IF(F722="BIOFEM",PR!$G720,IF(F722="BIOMED",PR!$H720,IF(F722="CHI",PR!$I720,IF(F722="CLARION",PR!$J720,IF(F722="CODIX",PR!$K720,IF(F722="COSMADE",PR!$L720,IF(F722="SANCON",PR!$M720,IF(F722="DEVON",PR!$N720,IF(F722="DORTEMAG",PR!$O720,IF(F722="DGF",PR!$P720,IF(F722="DYNAMIC",PR!$Q720,IF(F722="EMZOR",PR!$R720,IF(F722="EUMATT",PR!$S720,IF(F722="FIDSON",PR!$T720,IF(F722="FCGLOBAL",PR!$U720,IF(F722="GENEITH",PR!$V720,IF(F722="GINOS",PR!$W720,IF(F722="GSK",PR!$X720,IF(F722="GLOBORG",PR!$Y720,IF(F722="GOODNEWS",PR!$Z720,IF(F722="GREENLIFE",PR!$AA720,IF(F722="HLINE",PR!$AB720,IF(F722="ROTECH",PR!$AC720,IF(F722="ISN",PR!$AD720,IF(F722="JAWA",PR!$AE720,IF(F722="LAYO",PR!$AF720,IF(F722="LEADWAY",PR!$AG720,IF(F722="LHV",PR!$AH720,IF(F722="MANOLA",PR!$AI720,IF(F722="MARCSON",PR!$AJ720,IF(F722="M&amp;B",PR!$AK720,IF(F722="MTRUST",PR!$AL720,IF(F722="MWORLD",PR!$AM720,IF(F722="MEGA",PR!$AN720,IF(F722="MICRONOVA",PR!$AO720,IF(F722="MFLASH",PR!$AP720,IF(F722="MORISON",PR!$AQ720,IF(F722="NEMEL",PR!$AR720,IF(F722="NHP",PR!$AS720,IF(F722="NHC",PR!$AT720,IF(F722="OLEAF",PR!$AU720,IF(F722="OCULUS",PR!$AV720,IF(F722="PACIFIC",PR!$AW720,IF(F722="PHAMATEX",PR!$AX720,IF(F722="PETHICS",PR!$AY720,IF(F722="PHILIPS",PR!$AZ720,IF(F722="RANBAXY",PR!$BA720,IF(F722="REALS",PR!$BB720,IF(F722="ROYAL",PR!$BC720,IF(F722="SAM",PR!$BD720,IF(F722="SEAGREEN",PR!$BE720,IF(F722="SKG",PR!$BF720,IF(F722="TAH",PR!$BG720,IF(F722="TAYLEK",PR!$BH720,IF(F722="TEMITA",PR!$BI720,IF(F722="THL",PR!$BJ720,IF(F722="UBASTIC",PR!$BK720,IF(F722="UNION",PR!$BL720,IF(F722="UNIQUE",PR!$BM720,IF(F722="VIXA",PR!$BN720,IF(F722="WWCV",PR!$BO720,IF(F722="ZOLON",PR!$BP720,"-"))))))))))))))))))))))))))))))))))))))))))))))))))))))))))))))))</f>
        <v>-</v>
      </c>
      <c r="F722" s="102">
        <f>EV!L914</f>
        <v>0</v>
      </c>
      <c r="G722" s="108" t="str">
        <f>IF(H722="ALPHA",PR!$E720,IF(H722="ASSENE",PR!$F720,IF(H722="BIOFEM",PR!$G720,IF(H722="BIOMED",PR!$H720,IF(H722="CHI",PR!$I720,IF(H722="CLARION",PR!$J720,IF(H722="CODIX",PR!$K720,IF(H722="COSMADE",PR!$L720,IF(H722="SANCON",PR!$M720,IF(H722="DEVON",PR!$N720,IF(H722="DORTEMAG",PR!$O720,IF(H722="DGF",PR!$P720,IF(H722="DYNAMIC",PR!$Q720,IF(H722="EMZOR",PR!$R720,IF(H722="EUMATT",PR!$S720,IF(H722="FIDSON",PR!$T720,IF(H722="FCGLOBAL",PR!$U720,IF(H722="GENEITH",PR!$V720,IF(H722="GINOS",PR!$W720,IF(H722="GSK",PR!$X720,IF(H722="GLOBORG",PR!$Y720,IF(H722="GOODNEWS",PR!$Z720,IF(H722="GREENLIFE",PR!$AA720,IF(H722="HLINE",PR!$AB720,IF(H722="ROTECH",PR!$AC720,IF(H722="ISN",PR!$AD720,IF(H722="JAWA",PR!$AE720,IF(H722="LAYO",PR!$AF720,IF(H722="LEADWAY",PR!$AG720,IF(H722="LHV",PR!$AH720,IF(H722="MANOLA",PR!$AI720,IF(H722="MARCSON",PR!$AJ720,IF(H722="M&amp;B",PR!$AK720,IF(H722="MTRUST",PR!$AL720,IF(H722="MWORLD",PR!$AM720,IF(H722="MEGA",PR!$AN720,IF(H722="MICRONOVA",PR!$AO720,IF(H722="MFLASH",PR!$AP720,IF(H722="MORISON",PR!$AQ720,IF(H722="NEMEL",PR!$AR720,IF(H722="NHP",PR!$AS720,IF(H722="NHC",PR!$AT720,IF(H722="OLEAF",PR!$AU720,IF(H722="OCULUS",PR!$AV720,IF(H722="PACIFIC",PR!$AW720,IF(H722="PHAMATEX",PR!$AX720,IF(H722="PETHICS",PR!$AY720,IF(H722="PHILIPS",PR!$AZ720,IF(H722="RANBAXY",PR!$BA720,IF(H722="REALS",PR!$BB720,IF(H722="ROYAL",PR!$BC720,IF(H722="SAM",PR!$BD720,IF(H722="SEAGREEN",PR!$BE720,IF(H722="SKG",PR!$BF720,IF(H722="TAH",PR!$BG720,IF(H722="TAYLEK",PR!$BH720,IF(H722="TEMITA",PR!$BI720,IF(H722="THL",PR!$BJ720,IF(H722="UBASTIC",PR!$BK720,IF(H722="UNION",PR!$BL720,IF(H722="UNIQUE",PR!$BM720,IF(H722="VIXA",PR!$BN720,IF(H722="WWCV",PR!$BO720,IF(H722="ZOLON",PR!$BP720,"-"))))))))))))))))))))))))))))))))))))))))))))))))))))))))))))))))</f>
        <v>-</v>
      </c>
      <c r="H722" s="102">
        <f>EV!M914</f>
        <v>0</v>
      </c>
      <c r="I722" s="108" t="str">
        <f>IF(J722="ALPHA",PR!$E720,IF(J722="ASSENE",PR!$F720,IF(J722="BIOFEM",PR!$G720,IF(J722="BIOMED",PR!$H720,IF(J722="CHI",PR!$I720,IF(J722="CLARION",PR!$J720,IF(J722="CODIX",PR!$K720,IF(J722="COSMADE",PR!$L720,IF(J722="SANCON",PR!$M720,IF(J722="DEVON",PR!$N720,IF(J722="DORTEMAG",PR!$O720,IF(J722="DGF",PR!$P720,IF(J722="DYNAMIC",PR!$Q720,IF(J722="EMZOR",PR!$R720,IF(J722="EUMATT",PR!$S720,IF(J722="FIDSON",PR!$T720,IF(J722="FCGLOBAL",PR!$U720,IF(J722="GENEITH",PR!$V720,IF(J722="GINOS",PR!$W720,IF(J722="GSK",PR!$X720,IF(J722="GLOBORG",PR!$Y720,IF(J722="GOODNEWS",PR!$Z720,IF(J722="GREENLIFE",PR!$AA720,IF(J722="HLINE",PR!$AB720,IF(J722="ROTECH",PR!$AC720,IF(J722="ISN",PR!$AD720,IF(J722="JAWA",PR!$AE720,IF(J722="LAYO",PR!$AF720,IF(J722="LEADWAY",PR!$AG720,IF(J722="LHV",PR!$AH720,IF(J722="MANOLA",PR!$AI720,IF(J722="MARCSON",PR!$AJ720,IF(J722="M&amp;B",PR!$AK720,IF(J722="MTRUST",PR!$AL720,IF(J722="MWORLD",PR!$AM720,IF(J722="MEGA",PR!$AN720,IF(J722="MICRONOVA",PR!$AO720,IF(J722="MFLASH",PR!$AP720,IF(J722="MORISON",PR!$AQ720,IF(J722="NEMEL",PR!$AR720,IF(J722="NHP",PR!$AS720,IF(J722="NHC",PR!$AT720,IF(J722="OLEAF",PR!$AU720,IF(J722="OCULUS",PR!$AV720,IF(J722="PACIFIC",PR!$AW720,IF(J722="PHAMATEX",PR!$AX720,IF(J722="PETHICS",PR!$AY720,IF(J722="PHILIPS",PR!$AZ720,IF(J722="RANBAXY",PR!$BA720,IF(J722="REALS",PR!$BB720,IF(J722="ROYAL",PR!$BC720,IF(J722="SAM",PR!$BD720,IF(J722="SEAGREEN",PR!$BE720,IF(J722="SKG",PR!$BF720,IF(J722="TAH",PR!$BG720,IF(J722="TAYLEK",PR!$BH720,IF(J722="TEMITA",PR!$BI720,IF(J722="THL",PR!$BJ720,IF(J722="UBASTIC",PR!$BK720,IF(J722="UNION",PR!$BL720,IF(J722="UNIQUE",PR!$BM720,IF(J722="VIXA",PR!$BN720,IF(J722="WWCV",PR!$BO720,IF(J722="ZOLON",PR!$BP720,"-"))))))))))))))))))))))))))))))))))))))))))))))))))))))))))))))))</f>
        <v>-</v>
      </c>
      <c r="J722" s="102">
        <f>EV!N914</f>
        <v>0</v>
      </c>
      <c r="K722" s="433"/>
      <c r="L722" s="183" t="b">
        <f>IF(K722&gt;0,IF(K722="ALPHA",PR!$E720,IF(K722="ASSENE",PR!$F720,IF(K722="BIOFEM",PR!$G720,IF(K722="BIOMED",PR!$H720,IF(K722="CHI",PR!$I720,IF(K722="CLARION",PR!$J720,IF(K722="CODIX",PR!$K720,IF(K722="COSMADE",PR!$L720,IF(K722="SANCON",PR!$M720,IF(K722="DEVON",PR!$N720,IF(K722="DORTEMAG",PR!$O720,IF(K722="DGF",PR!$P720,IF(K722="DYNAMIC",PR!$Q720,IF(K722="EMZOR",PR!$R720,IF(K722="EUMATT",PR!$S720,IF(K722="FIDSON",PR!$T720,IF(K722="FCGLOBAL",PR!$U720,IF(K722="GENEITH",PR!$V720,IF(K722="GINOS",PR!$W720,IF(K722="GSK",PR!$X720,IF(K722="GLOBORG",PR!$Y720,IF(K722="GOODNEWS",PR!$Z720,IF(K722="GREENLIFE",PR!$AA720,IF(K722="HLINE",PR!$AB720,IF(K722="ROTECH",PR!$AC720,IF(K722="ISN",PR!$AD720,IF(K722="JAWA",PR!$AE720,IF(K722="LAYO",PR!$AF720,IF(K722="LEADWAY",PR!$AG720,IF(K722="LHV",PR!$AH720,IF(K722="MANOLA",PR!$AI720,IF(K722="MARCSON",PR!$AJ720,IF(K722="M&amp;B",PR!$AK720,IF(K722="MTRUST",PR!$AL720,IF(K722="MWORLD",PR!$AM720,IF(K722="MEGA",PR!$AN720,IF(K722="MICRONOVA",PR!$AO720,IF(K722="MFLASH",PR!$AP720,IF(K722="MORISON",PR!$AQ720,IF(K722="NEMEL",PR!$AR720,IF(K722="NHP",PR!$AS720,IF(K722="NHC",PR!$AT720,IF(K722="OLEAF",PR!$AU720,IF(K722="OCULUS",PR!$AV720,IF(K722="PACIFIC",PR!$AW720,IF(K722="PHAMATEX",PR!$AX720,IF(K722="PETHICS",PR!$AY720,IF(K722="PHILIPS",PR!$AZ720,IF(K722="RANBAXY",PR!$BA720,IF(K722="REALS",PR!$BB720,IF(K722="ROYAL",PR!$BC720,IF(K722="SAM",PR!$BD720,IF(K722="SEAGREEN",PR!$BE720,IF(K722="SKG",PR!$BF720,IF(K722="TAH",PR!$BG720,IF(K722="TAYLEK",PR!$BH720,IF(K722="TEMITA",PR!$BI720,IF(K722="THL",PR!$BJ720,IF(K722="UBASTIC",PR!$BK720,IF(K722="UNION",PR!$BL720,IF(K722="UNIQUE",PR!$BM720,IF(K722="VIXA",PR!$BN720,IF(K722="WWCV",PR!$BO720,IF(K722="ZOLON",PR!$BP720,"-")))))))))))))))))))))))))))))))))))))))))))))))))))))))))))))))))</f>
        <v>0</v>
      </c>
    </row>
    <row r="723" spans="1:12" ht="18.75" x14ac:dyDescent="0.3">
      <c r="A723" s="430">
        <f>PR!A721</f>
        <v>656</v>
      </c>
      <c r="B723" s="15" t="str">
        <f>PR!B721</f>
        <v>BETNOVATE CREAM 0.05% (PLAIN)</v>
      </c>
      <c r="C723" s="113" t="str">
        <f>PR!D721</f>
        <v>TUBE</v>
      </c>
      <c r="D723" s="113">
        <f>PR!C721</f>
        <v>20</v>
      </c>
      <c r="E723" s="108">
        <f>IF(F723="ALPHA",PR!$E721,IF(F723="ASSENE",PR!$F721,IF(F723="BIOFEM",PR!$G721,IF(F723="BIOMED",PR!$H721,IF(F723="CHI",PR!$I721,IF(F723="CLARION",PR!$J721,IF(F723="CODIX",PR!$K721,IF(F723="COSMADE",PR!$L721,IF(F723="SANCON",PR!$M721,IF(F723="DEVON",PR!$N721,IF(F723="DORTEMAG",PR!$O721,IF(F723="DGF",PR!$P721,IF(F723="DYNAMIC",PR!$Q721,IF(F723="EMZOR",PR!$R721,IF(F723="EUMATT",PR!$S721,IF(F723="FIDSON",PR!$T721,IF(F723="FCGLOBAL",PR!$U721,IF(F723="GENEITH",PR!$V721,IF(F723="GINOS",PR!$W721,IF(F723="GSK",PR!$X721,IF(F723="GLOBORG",PR!$Y721,IF(F723="GOODNEWS",PR!$Z721,IF(F723="GREENLIFE",PR!$AA721,IF(F723="HLINE",PR!$AB721,IF(F723="ROTECH",PR!$AC721,IF(F723="ISN",PR!$AD721,IF(F723="JAWA",PR!$AE721,IF(F723="LAYO",PR!$AF721,IF(F723="LEADWAY",PR!$AG721,IF(F723="LHV",PR!$AH721,IF(F723="MANOLA",PR!$AI721,IF(F723="MARCSON",PR!$AJ721,IF(F723="M&amp;B",PR!$AK721,IF(F723="MTRUST",PR!$AL721,IF(F723="MWORLD",PR!$AM721,IF(F723="MEGA",PR!$AN721,IF(F723="MICRONOVA",PR!$AO721,IF(F723="MFLASH",PR!$AP721,IF(F723="MORISON",PR!$AQ721,IF(F723="NEMEL",PR!$AR721,IF(F723="NHP",PR!$AS721,IF(F723="NHC",PR!$AT721,IF(F723="OLEAF",PR!$AU721,IF(F723="OCULUS",PR!$AV721,IF(F723="PACIFIC",PR!$AW721,IF(F723="PHAMATEX",PR!$AX721,IF(F723="PETHICS",PR!$AY721,IF(F723="PHILIPS",PR!$AZ721,IF(F723="RANBAXY",PR!$BA721,IF(F723="REALS",PR!$BB721,IF(F723="ROYAL",PR!$BC721,IF(F723="SAM",PR!$BD721,IF(F723="SEAGREEN",PR!$BE721,IF(F723="SKG",PR!$BF721,IF(F723="TAH",PR!$BG721,IF(F723="TAYLEK",PR!$BH721,IF(F723="TEMITA",PR!$BI721,IF(F723="THL",PR!$BJ721,IF(F723="UBASTIC",PR!$BK721,IF(F723="UNION",PR!$BL721,IF(F723="UNIQUE",PR!$BM721,IF(F723="VIXA",PR!$BN721,IF(F723="WWCV",PR!$BO721,IF(F723="ZOLON",PR!$BP721,"-"))))))))))))))))))))))))))))))))))))))))))))))))))))))))))))))))</f>
        <v>2700</v>
      </c>
      <c r="F723" s="102" t="str">
        <f>EV!L915</f>
        <v>EUMATT</v>
      </c>
      <c r="G723" s="108" t="str">
        <f>IF(H723="ALPHA",PR!$E721,IF(H723="ASSENE",PR!$F721,IF(H723="BIOFEM",PR!$G721,IF(H723="BIOMED",PR!$H721,IF(H723="CHI",PR!$I721,IF(H723="CLARION",PR!$J721,IF(H723="CODIX",PR!$K721,IF(H723="COSMADE",PR!$L721,IF(H723="SANCON",PR!$M721,IF(H723="DEVON",PR!$N721,IF(H723="DORTEMAG",PR!$O721,IF(H723="DGF",PR!$P721,IF(H723="DYNAMIC",PR!$Q721,IF(H723="EMZOR",PR!$R721,IF(H723="EUMATT",PR!$S721,IF(H723="FIDSON",PR!$T721,IF(H723="FCGLOBAL",PR!$U721,IF(H723="GENEITH",PR!$V721,IF(H723="GINOS",PR!$W721,IF(H723="GSK",PR!$X721,IF(H723="GLOBORG",PR!$Y721,IF(H723="GOODNEWS",PR!$Z721,IF(H723="GREENLIFE",PR!$AA721,IF(H723="HLINE",PR!$AB721,IF(H723="ROTECH",PR!$AC721,IF(H723="ISN",PR!$AD721,IF(H723="JAWA",PR!$AE721,IF(H723="LAYO",PR!$AF721,IF(H723="LEADWAY",PR!$AG721,IF(H723="LHV",PR!$AH721,IF(H723="MANOLA",PR!$AI721,IF(H723="MARCSON",PR!$AJ721,IF(H723="M&amp;B",PR!$AK721,IF(H723="MTRUST",PR!$AL721,IF(H723="MWORLD",PR!$AM721,IF(H723="MEGA",PR!$AN721,IF(H723="MICRONOVA",PR!$AO721,IF(H723="MFLASH",PR!$AP721,IF(H723="MORISON",PR!$AQ721,IF(H723="NEMEL",PR!$AR721,IF(H723="NHP",PR!$AS721,IF(H723="NHC",PR!$AT721,IF(H723="OLEAF",PR!$AU721,IF(H723="OCULUS",PR!$AV721,IF(H723="PACIFIC",PR!$AW721,IF(H723="PHAMATEX",PR!$AX721,IF(H723="PETHICS",PR!$AY721,IF(H723="PHILIPS",PR!$AZ721,IF(H723="RANBAXY",PR!$BA721,IF(H723="REALS",PR!$BB721,IF(H723="ROYAL",PR!$BC721,IF(H723="SAM",PR!$BD721,IF(H723="SEAGREEN",PR!$BE721,IF(H723="SKG",PR!$BF721,IF(H723="TAH",PR!$BG721,IF(H723="TAYLEK",PR!$BH721,IF(H723="TEMITA",PR!$BI721,IF(H723="THL",PR!$BJ721,IF(H723="UBASTIC",PR!$BK721,IF(H723="UNION",PR!$BL721,IF(H723="UNIQUE",PR!$BM721,IF(H723="VIXA",PR!$BN721,IF(H723="WWCV",PR!$BO721,IF(H723="ZOLON",PR!$BP721,"-"))))))))))))))))))))))))))))))))))))))))))))))))))))))))))))))))</f>
        <v>-</v>
      </c>
      <c r="H723" s="102">
        <f>EV!M915</f>
        <v>0</v>
      </c>
      <c r="I723" s="108" t="str">
        <f>IF(J723="ALPHA",PR!$E721,IF(J723="ASSENE",PR!$F721,IF(J723="BIOFEM",PR!$G721,IF(J723="BIOMED",PR!$H721,IF(J723="CHI",PR!$I721,IF(J723="CLARION",PR!$J721,IF(J723="CODIX",PR!$K721,IF(J723="COSMADE",PR!$L721,IF(J723="SANCON",PR!$M721,IF(J723="DEVON",PR!$N721,IF(J723="DORTEMAG",PR!$O721,IF(J723="DGF",PR!$P721,IF(J723="DYNAMIC",PR!$Q721,IF(J723="EMZOR",PR!$R721,IF(J723="EUMATT",PR!$S721,IF(J723="FIDSON",PR!$T721,IF(J723="FCGLOBAL",PR!$U721,IF(J723="GENEITH",PR!$V721,IF(J723="GINOS",PR!$W721,IF(J723="GSK",PR!$X721,IF(J723="GLOBORG",PR!$Y721,IF(J723="GOODNEWS",PR!$Z721,IF(J723="GREENLIFE",PR!$AA721,IF(J723="HLINE",PR!$AB721,IF(J723="ROTECH",PR!$AC721,IF(J723="ISN",PR!$AD721,IF(J723="JAWA",PR!$AE721,IF(J723="LAYO",PR!$AF721,IF(J723="LEADWAY",PR!$AG721,IF(J723="LHV",PR!$AH721,IF(J723="MANOLA",PR!$AI721,IF(J723="MARCSON",PR!$AJ721,IF(J723="M&amp;B",PR!$AK721,IF(J723="MTRUST",PR!$AL721,IF(J723="MWORLD",PR!$AM721,IF(J723="MEGA",PR!$AN721,IF(J723="MICRONOVA",PR!$AO721,IF(J723="MFLASH",PR!$AP721,IF(J723="MORISON",PR!$AQ721,IF(J723="NEMEL",PR!$AR721,IF(J723="NHP",PR!$AS721,IF(J723="NHC",PR!$AT721,IF(J723="OLEAF",PR!$AU721,IF(J723="OCULUS",PR!$AV721,IF(J723="PACIFIC",PR!$AW721,IF(J723="PHAMATEX",PR!$AX721,IF(J723="PETHICS",PR!$AY721,IF(J723="PHILIPS",PR!$AZ721,IF(J723="RANBAXY",PR!$BA721,IF(J723="REALS",PR!$BB721,IF(J723="ROYAL",PR!$BC721,IF(J723="SAM",PR!$BD721,IF(J723="SEAGREEN",PR!$BE721,IF(J723="SKG",PR!$BF721,IF(J723="TAH",PR!$BG721,IF(J723="TAYLEK",PR!$BH721,IF(J723="TEMITA",PR!$BI721,IF(J723="THL",PR!$BJ721,IF(J723="UBASTIC",PR!$BK721,IF(J723="UNION",PR!$BL721,IF(J723="UNIQUE",PR!$BM721,IF(J723="VIXA",PR!$BN721,IF(J723="WWCV",PR!$BO721,IF(J723="ZOLON",PR!$BP721,"-"))))))))))))))))))))))))))))))))))))))))))))))))))))))))))))))))</f>
        <v>-</v>
      </c>
      <c r="J723" s="102">
        <f>EV!N915</f>
        <v>0</v>
      </c>
      <c r="K723" s="433" t="s">
        <v>821</v>
      </c>
      <c r="L723" s="183">
        <f>IF(K723&gt;0,IF(K723="ALPHA",PR!$E721,IF(K723="ASSENE",PR!$F721,IF(K723="BIOFEM",PR!$G721,IF(K723="BIOMED",PR!$H721,IF(K723="CHI",PR!$I721,IF(K723="CLARION",PR!$J721,IF(K723="CODIX",PR!$K721,IF(K723="COSMADE",PR!$L721,IF(K723="SANCON",PR!$M721,IF(K723="DEVON",PR!$N721,IF(K723="DORTEMAG",PR!$O721,IF(K723="DGF",PR!$P721,IF(K723="DYNAMIC",PR!$Q721,IF(K723="EMZOR",PR!$R721,IF(K723="EUMATT",PR!$S721,IF(K723="FIDSON",PR!$T721,IF(K723="FCGLOBAL",PR!$U721,IF(K723="GENEITH",PR!$V721,IF(K723="GINOS",PR!$W721,IF(K723="GSK",PR!$X721,IF(K723="GLOBORG",PR!$Y721,IF(K723="GOODNEWS",PR!$Z721,IF(K723="GREENLIFE",PR!$AA721,IF(K723="HLINE",PR!$AB721,IF(K723="ROTECH",PR!$AC721,IF(K723="ISN",PR!$AD721,IF(K723="JAWA",PR!$AE721,IF(K723="LAYO",PR!$AF721,IF(K723="LEADWAY",PR!$AG721,IF(K723="LHV",PR!$AH721,IF(K723="MANOLA",PR!$AI721,IF(K723="MARCSON",PR!$AJ721,IF(K723="M&amp;B",PR!$AK721,IF(K723="MTRUST",PR!$AL721,IF(K723="MWORLD",PR!$AM721,IF(K723="MEGA",PR!$AN721,IF(K723="MICRONOVA",PR!$AO721,IF(K723="MFLASH",PR!$AP721,IF(K723="MORISON",PR!$AQ721,IF(K723="NEMEL",PR!$AR721,IF(K723="NHP",PR!$AS721,IF(K723="NHC",PR!$AT721,IF(K723="OLEAF",PR!$AU721,IF(K723="OCULUS",PR!$AV721,IF(K723="PACIFIC",PR!$AW721,IF(K723="PHAMATEX",PR!$AX721,IF(K723="PETHICS",PR!$AY721,IF(K723="PHILIPS",PR!$AZ721,IF(K723="RANBAXY",PR!$BA721,IF(K723="REALS",PR!$BB721,IF(K723="ROYAL",PR!$BC721,IF(K723="SAM",PR!$BD721,IF(K723="SEAGREEN",PR!$BE721,IF(K723="SKG",PR!$BF721,IF(K723="TAH",PR!$BG721,IF(K723="TAYLEK",PR!$BH721,IF(K723="TEMITA",PR!$BI721,IF(K723="THL",PR!$BJ721,IF(K723="UBASTIC",PR!$BK721,IF(K723="UNION",PR!$BL721,IF(K723="UNIQUE",PR!$BM721,IF(K723="VIXA",PR!$BN721,IF(K723="WWCV",PR!$BO721,IF(K723="ZOLON",PR!$BP721,"-")))))))))))))))))))))))))))))))))))))))))))))))))))))))))))))))))</f>
        <v>2700</v>
      </c>
    </row>
    <row r="724" spans="1:12" ht="18.75" x14ac:dyDescent="0.3">
      <c r="A724" s="430">
        <f>PR!A722</f>
        <v>657</v>
      </c>
      <c r="B724" s="15" t="str">
        <f>PR!B722</f>
        <v>CLINDAMYCIN CREAM</v>
      </c>
      <c r="C724" s="113" t="str">
        <f>PR!D722</f>
        <v>TUBE</v>
      </c>
      <c r="D724" s="113">
        <f>PR!C722</f>
        <v>20</v>
      </c>
      <c r="E724" s="108" t="str">
        <f>IF(F724="ALPHA",PR!$E722,IF(F724="ASSENE",PR!$F722,IF(F724="BIOFEM",PR!$G722,IF(F724="BIOMED",PR!$H722,IF(F724="CHI",PR!$I722,IF(F724="CLARION",PR!$J722,IF(F724="CODIX",PR!$K722,IF(F724="COSMADE",PR!$L722,IF(F724="SANCON",PR!$M722,IF(F724="DEVON",PR!$N722,IF(F724="DORTEMAG",PR!$O722,IF(F724="DGF",PR!$P722,IF(F724="DYNAMIC",PR!$Q722,IF(F724="EMZOR",PR!$R722,IF(F724="EUMATT",PR!$S722,IF(F724="FIDSON",PR!$T722,IF(F724="FCGLOBAL",PR!$U722,IF(F724="GENEITH",PR!$V722,IF(F724="GINOS",PR!$W722,IF(F724="GSK",PR!$X722,IF(F724="GLOBORG",PR!$Y722,IF(F724="GOODNEWS",PR!$Z722,IF(F724="GREENLIFE",PR!$AA722,IF(F724="HLINE",PR!$AB722,IF(F724="ROTECH",PR!$AC722,IF(F724="ISN",PR!$AD722,IF(F724="JAWA",PR!$AE722,IF(F724="LAYO",PR!$AF722,IF(F724="LEADWAY",PR!$AG722,IF(F724="LHV",PR!$AH722,IF(F724="MANOLA",PR!$AI722,IF(F724="MARCSON",PR!$AJ722,IF(F724="M&amp;B",PR!$AK722,IF(F724="MTRUST",PR!$AL722,IF(F724="MWORLD",PR!$AM722,IF(F724="MEGA",PR!$AN722,IF(F724="MICRONOVA",PR!$AO722,IF(F724="MFLASH",PR!$AP722,IF(F724="MORISON",PR!$AQ722,IF(F724="NEMEL",PR!$AR722,IF(F724="NHP",PR!$AS722,IF(F724="NHC",PR!$AT722,IF(F724="OLEAF",PR!$AU722,IF(F724="OCULUS",PR!$AV722,IF(F724="PACIFIC",PR!$AW722,IF(F724="PHAMATEX",PR!$AX722,IF(F724="PETHICS",PR!$AY722,IF(F724="PHILIPS",PR!$AZ722,IF(F724="RANBAXY",PR!$BA722,IF(F724="REALS",PR!$BB722,IF(F724="ROYAL",PR!$BC722,IF(F724="SAM",PR!$BD722,IF(F724="SEAGREEN",PR!$BE722,IF(F724="SKG",PR!$BF722,IF(F724="TAH",PR!$BG722,IF(F724="TAYLEK",PR!$BH722,IF(F724="TEMITA",PR!$BI722,IF(F724="THL",PR!$BJ722,IF(F724="UBASTIC",PR!$BK722,IF(F724="UNION",PR!$BL722,IF(F724="UNIQUE",PR!$BM722,IF(F724="VIXA",PR!$BN722,IF(F724="WWCV",PR!$BO722,IF(F724="ZOLON",PR!$BP722,"-"))))))))))))))))))))))))))))))))))))))))))))))))))))))))))))))))</f>
        <v>-</v>
      </c>
      <c r="F724" s="102">
        <f>EV!L916</f>
        <v>0</v>
      </c>
      <c r="G724" s="108" t="str">
        <f>IF(H724="ALPHA",PR!$E722,IF(H724="ASSENE",PR!$F722,IF(H724="BIOFEM",PR!$G722,IF(H724="BIOMED",PR!$H722,IF(H724="CHI",PR!$I722,IF(H724="CLARION",PR!$J722,IF(H724="CODIX",PR!$K722,IF(H724="COSMADE",PR!$L722,IF(H724="SANCON",PR!$M722,IF(H724="DEVON",PR!$N722,IF(H724="DORTEMAG",PR!$O722,IF(H724="DGF",PR!$P722,IF(H724="DYNAMIC",PR!$Q722,IF(H724="EMZOR",PR!$R722,IF(H724="EUMATT",PR!$S722,IF(H724="FIDSON",PR!$T722,IF(H724="FCGLOBAL",PR!$U722,IF(H724="GENEITH",PR!$V722,IF(H724="GINOS",PR!$W722,IF(H724="GSK",PR!$X722,IF(H724="GLOBORG",PR!$Y722,IF(H724="GOODNEWS",PR!$Z722,IF(H724="GREENLIFE",PR!$AA722,IF(H724="HLINE",PR!$AB722,IF(H724="ROTECH",PR!$AC722,IF(H724="ISN",PR!$AD722,IF(H724="JAWA",PR!$AE722,IF(H724="LAYO",PR!$AF722,IF(H724="LEADWAY",PR!$AG722,IF(H724="LHV",PR!$AH722,IF(H724="MANOLA",PR!$AI722,IF(H724="MARCSON",PR!$AJ722,IF(H724="M&amp;B",PR!$AK722,IF(H724="MTRUST",PR!$AL722,IF(H724="MWORLD",PR!$AM722,IF(H724="MEGA",PR!$AN722,IF(H724="MICRONOVA",PR!$AO722,IF(H724="MFLASH",PR!$AP722,IF(H724="MORISON",PR!$AQ722,IF(H724="NEMEL",PR!$AR722,IF(H724="NHP",PR!$AS722,IF(H724="NHC",PR!$AT722,IF(H724="OLEAF",PR!$AU722,IF(H724="OCULUS",PR!$AV722,IF(H724="PACIFIC",PR!$AW722,IF(H724="PHAMATEX",PR!$AX722,IF(H724="PETHICS",PR!$AY722,IF(H724="PHILIPS",PR!$AZ722,IF(H724="RANBAXY",PR!$BA722,IF(H724="REALS",PR!$BB722,IF(H724="ROYAL",PR!$BC722,IF(H724="SAM",PR!$BD722,IF(H724="SEAGREEN",PR!$BE722,IF(H724="SKG",PR!$BF722,IF(H724="TAH",PR!$BG722,IF(H724="TAYLEK",PR!$BH722,IF(H724="TEMITA",PR!$BI722,IF(H724="THL",PR!$BJ722,IF(H724="UBASTIC",PR!$BK722,IF(H724="UNION",PR!$BL722,IF(H724="UNIQUE",PR!$BM722,IF(H724="VIXA",PR!$BN722,IF(H724="WWCV",PR!$BO722,IF(H724="ZOLON",PR!$BP722,"-"))))))))))))))))))))))))))))))))))))))))))))))))))))))))))))))))</f>
        <v>-</v>
      </c>
      <c r="H724" s="102">
        <f>EV!M916</f>
        <v>0</v>
      </c>
      <c r="I724" s="108" t="str">
        <f>IF(J724="ALPHA",PR!$E722,IF(J724="ASSENE",PR!$F722,IF(J724="BIOFEM",PR!$G722,IF(J724="BIOMED",PR!$H722,IF(J724="CHI",PR!$I722,IF(J724="CLARION",PR!$J722,IF(J724="CODIX",PR!$K722,IF(J724="COSMADE",PR!$L722,IF(J724="SANCON",PR!$M722,IF(J724="DEVON",PR!$N722,IF(J724="DORTEMAG",PR!$O722,IF(J724="DGF",PR!$P722,IF(J724="DYNAMIC",PR!$Q722,IF(J724="EMZOR",PR!$R722,IF(J724="EUMATT",PR!$S722,IF(J724="FIDSON",PR!$T722,IF(J724="FCGLOBAL",PR!$U722,IF(J724="GENEITH",PR!$V722,IF(J724="GINOS",PR!$W722,IF(J724="GSK",PR!$X722,IF(J724="GLOBORG",PR!$Y722,IF(J724="GOODNEWS",PR!$Z722,IF(J724="GREENLIFE",PR!$AA722,IF(J724="HLINE",PR!$AB722,IF(J724="ROTECH",PR!$AC722,IF(J724="ISN",PR!$AD722,IF(J724="JAWA",PR!$AE722,IF(J724="LAYO",PR!$AF722,IF(J724="LEADWAY",PR!$AG722,IF(J724="LHV",PR!$AH722,IF(J724="MANOLA",PR!$AI722,IF(J724="MARCSON",PR!$AJ722,IF(J724="M&amp;B",PR!$AK722,IF(J724="MTRUST",PR!$AL722,IF(J724="MWORLD",PR!$AM722,IF(J724="MEGA",PR!$AN722,IF(J724="MICRONOVA",PR!$AO722,IF(J724="MFLASH",PR!$AP722,IF(J724="MORISON",PR!$AQ722,IF(J724="NEMEL",PR!$AR722,IF(J724="NHP",PR!$AS722,IF(J724="NHC",PR!$AT722,IF(J724="OLEAF",PR!$AU722,IF(J724="OCULUS",PR!$AV722,IF(J724="PACIFIC",PR!$AW722,IF(J724="PHAMATEX",PR!$AX722,IF(J724="PETHICS",PR!$AY722,IF(J724="PHILIPS",PR!$AZ722,IF(J724="RANBAXY",PR!$BA722,IF(J724="REALS",PR!$BB722,IF(J724="ROYAL",PR!$BC722,IF(J724="SAM",PR!$BD722,IF(J724="SEAGREEN",PR!$BE722,IF(J724="SKG",PR!$BF722,IF(J724="TAH",PR!$BG722,IF(J724="TAYLEK",PR!$BH722,IF(J724="TEMITA",PR!$BI722,IF(J724="THL",PR!$BJ722,IF(J724="UBASTIC",PR!$BK722,IF(J724="UNION",PR!$BL722,IF(J724="UNIQUE",PR!$BM722,IF(J724="VIXA",PR!$BN722,IF(J724="WWCV",PR!$BO722,IF(J724="ZOLON",PR!$BP722,"-"))))))))))))))))))))))))))))))))))))))))))))))))))))))))))))))))</f>
        <v>-</v>
      </c>
      <c r="J724" s="102">
        <f>EV!N916</f>
        <v>0</v>
      </c>
      <c r="K724" s="433"/>
      <c r="L724" s="183" t="b">
        <f>IF(K724&gt;0,IF(K724="ALPHA",PR!$E722,IF(K724="ASSENE",PR!$F722,IF(K724="BIOFEM",PR!$G722,IF(K724="BIOMED",PR!$H722,IF(K724="CHI",PR!$I722,IF(K724="CLARION",PR!$J722,IF(K724="CODIX",PR!$K722,IF(K724="COSMADE",PR!$L722,IF(K724="SANCON",PR!$M722,IF(K724="DEVON",PR!$N722,IF(K724="DORTEMAG",PR!$O722,IF(K724="DGF",PR!$P722,IF(K724="DYNAMIC",PR!$Q722,IF(K724="EMZOR",PR!$R722,IF(K724="EUMATT",PR!$S722,IF(K724="FIDSON",PR!$T722,IF(K724="FCGLOBAL",PR!$U722,IF(K724="GENEITH",PR!$V722,IF(K724="GINOS",PR!$W722,IF(K724="GSK",PR!$X722,IF(K724="GLOBORG",PR!$Y722,IF(K724="GOODNEWS",PR!$Z722,IF(K724="GREENLIFE",PR!$AA722,IF(K724="HLINE",PR!$AB722,IF(K724="ROTECH",PR!$AC722,IF(K724="ISN",PR!$AD722,IF(K724="JAWA",PR!$AE722,IF(K724="LAYO",PR!$AF722,IF(K724="LEADWAY",PR!$AG722,IF(K724="LHV",PR!$AH722,IF(K724="MANOLA",PR!$AI722,IF(K724="MARCSON",PR!$AJ722,IF(K724="M&amp;B",PR!$AK722,IF(K724="MTRUST",PR!$AL722,IF(K724="MWORLD",PR!$AM722,IF(K724="MEGA",PR!$AN722,IF(K724="MICRONOVA",PR!$AO722,IF(K724="MFLASH",PR!$AP722,IF(K724="MORISON",PR!$AQ722,IF(K724="NEMEL",PR!$AR722,IF(K724="NHP",PR!$AS722,IF(K724="NHC",PR!$AT722,IF(K724="OLEAF",PR!$AU722,IF(K724="OCULUS",PR!$AV722,IF(K724="PACIFIC",PR!$AW722,IF(K724="PHAMATEX",PR!$AX722,IF(K724="PETHICS",PR!$AY722,IF(K724="PHILIPS",PR!$AZ722,IF(K724="RANBAXY",PR!$BA722,IF(K724="REALS",PR!$BB722,IF(K724="ROYAL",PR!$BC722,IF(K724="SAM",PR!$BD722,IF(K724="SEAGREEN",PR!$BE722,IF(K724="SKG",PR!$BF722,IF(K724="TAH",PR!$BG722,IF(K724="TAYLEK",PR!$BH722,IF(K724="TEMITA",PR!$BI722,IF(K724="THL",PR!$BJ722,IF(K724="UBASTIC",PR!$BK722,IF(K724="UNION",PR!$BL722,IF(K724="UNIQUE",PR!$BM722,IF(K724="VIXA",PR!$BN722,IF(K724="WWCV",PR!$BO722,IF(K724="ZOLON",PR!$BP722,"-")))))))))))))))))))))))))))))))))))))))))))))))))))))))))))))))))</f>
        <v>0</v>
      </c>
    </row>
    <row r="725" spans="1:12" ht="18.75" x14ac:dyDescent="0.3">
      <c r="A725" s="430">
        <f>PR!A723</f>
        <v>658</v>
      </c>
      <c r="B725" s="15" t="str">
        <f>PR!B723</f>
        <v>CLOBESTASOL 0.05% CREAM</v>
      </c>
      <c r="C725" s="113" t="str">
        <f>PR!D723</f>
        <v>TUBE</v>
      </c>
      <c r="D725" s="113">
        <f>PR!C723</f>
        <v>20</v>
      </c>
      <c r="E725" s="108">
        <f>IF(F725="ALPHA",PR!$E723,IF(F725="ASSENE",PR!$F723,IF(F725="BIOFEM",PR!$G723,IF(F725="BIOMED",PR!$H723,IF(F725="CHI",PR!$I723,IF(F725="CLARION",PR!$J723,IF(F725="CODIX",PR!$K723,IF(F725="COSMADE",PR!$L723,IF(F725="SANCON",PR!$M723,IF(F725="DEVON",PR!$N723,IF(F725="DORTEMAG",PR!$O723,IF(F725="DGF",PR!$P723,IF(F725="DYNAMIC",PR!$Q723,IF(F725="EMZOR",PR!$R723,IF(F725="EUMATT",PR!$S723,IF(F725="FIDSON",PR!$T723,IF(F725="FCGLOBAL",PR!$U723,IF(F725="GENEITH",PR!$V723,IF(F725="GINOS",PR!$W723,IF(F725="GSK",PR!$X723,IF(F725="GLOBORG",PR!$Y723,IF(F725="GOODNEWS",PR!$Z723,IF(F725="GREENLIFE",PR!$AA723,IF(F725="HLINE",PR!$AB723,IF(F725="ROTECH",PR!$AC723,IF(F725="ISN",PR!$AD723,IF(F725="JAWA",PR!$AE723,IF(F725="LAYO",PR!$AF723,IF(F725="LEADWAY",PR!$AG723,IF(F725="LHV",PR!$AH723,IF(F725="MANOLA",PR!$AI723,IF(F725="MARCSON",PR!$AJ723,IF(F725="M&amp;B",PR!$AK723,IF(F725="MTRUST",PR!$AL723,IF(F725="MWORLD",PR!$AM723,IF(F725="MEGA",PR!$AN723,IF(F725="MICRONOVA",PR!$AO723,IF(F725="MFLASH",PR!$AP723,IF(F725="MORISON",PR!$AQ723,IF(F725="NEMEL",PR!$AR723,IF(F725="NHP",PR!$AS723,IF(F725="NHC",PR!$AT723,IF(F725="OLEAF",PR!$AU723,IF(F725="OCULUS",PR!$AV723,IF(F725="PACIFIC",PR!$AW723,IF(F725="PHAMATEX",PR!$AX723,IF(F725="PETHICS",PR!$AY723,IF(F725="PHILIPS",PR!$AZ723,IF(F725="RANBAXY",PR!$BA723,IF(F725="REALS",PR!$BB723,IF(F725="ROYAL",PR!$BC723,IF(F725="SAM",PR!$BD723,IF(F725="SEAGREEN",PR!$BE723,IF(F725="SKG",PR!$BF723,IF(F725="TAH",PR!$BG723,IF(F725="TAYLEK",PR!$BH723,IF(F725="TEMITA",PR!$BI723,IF(F725="THL",PR!$BJ723,IF(F725="UBASTIC",PR!$BK723,IF(F725="UNION",PR!$BL723,IF(F725="UNIQUE",PR!$BM723,IF(F725="VIXA",PR!$BN723,IF(F725="WWCV",PR!$BO723,IF(F725="ZOLON",PR!$BP723,"-"))))))))))))))))))))))))))))))))))))))))))))))))))))))))))))))))</f>
        <v>170</v>
      </c>
      <c r="F725" s="102" t="str">
        <f>EV!L917</f>
        <v>GREENLIFE</v>
      </c>
      <c r="G725" s="108" t="str">
        <f>IF(H725="ALPHA",PR!$E723,IF(H725="ASSENE",PR!$F723,IF(H725="BIOFEM",PR!$G723,IF(H725="BIOMED",PR!$H723,IF(H725="CHI",PR!$I723,IF(H725="CLARION",PR!$J723,IF(H725="CODIX",PR!$K723,IF(H725="COSMADE",PR!$L723,IF(H725="SANCON",PR!$M723,IF(H725="DEVON",PR!$N723,IF(H725="DORTEMAG",PR!$O723,IF(H725="DGF",PR!$P723,IF(H725="DYNAMIC",PR!$Q723,IF(H725="EMZOR",PR!$R723,IF(H725="EUMATT",PR!$S723,IF(H725="FIDSON",PR!$T723,IF(H725="FCGLOBAL",PR!$U723,IF(H725="GENEITH",PR!$V723,IF(H725="GINOS",PR!$W723,IF(H725="GSK",PR!$X723,IF(H725="GLOBORG",PR!$Y723,IF(H725="GOODNEWS",PR!$Z723,IF(H725="GREENLIFE",PR!$AA723,IF(H725="HLINE",PR!$AB723,IF(H725="ROTECH",PR!$AC723,IF(H725="ISN",PR!$AD723,IF(H725="JAWA",PR!$AE723,IF(H725="LAYO",PR!$AF723,IF(H725="LEADWAY",PR!$AG723,IF(H725="LHV",PR!$AH723,IF(H725="MANOLA",PR!$AI723,IF(H725="MARCSON",PR!$AJ723,IF(H725="M&amp;B",PR!$AK723,IF(H725="MTRUST",PR!$AL723,IF(H725="MWORLD",PR!$AM723,IF(H725="MEGA",PR!$AN723,IF(H725="MICRONOVA",PR!$AO723,IF(H725="MFLASH",PR!$AP723,IF(H725="MORISON",PR!$AQ723,IF(H725="NEMEL",PR!$AR723,IF(H725="NHP",PR!$AS723,IF(H725="NHC",PR!$AT723,IF(H725="OLEAF",PR!$AU723,IF(H725="OCULUS",PR!$AV723,IF(H725="PACIFIC",PR!$AW723,IF(H725="PHAMATEX",PR!$AX723,IF(H725="PETHICS",PR!$AY723,IF(H725="PHILIPS",PR!$AZ723,IF(H725="RANBAXY",PR!$BA723,IF(H725="REALS",PR!$BB723,IF(H725="ROYAL",PR!$BC723,IF(H725="SAM",PR!$BD723,IF(H725="SEAGREEN",PR!$BE723,IF(H725="SKG",PR!$BF723,IF(H725="TAH",PR!$BG723,IF(H725="TAYLEK",PR!$BH723,IF(H725="TEMITA",PR!$BI723,IF(H725="THL",PR!$BJ723,IF(H725="UBASTIC",PR!$BK723,IF(H725="UNION",PR!$BL723,IF(H725="UNIQUE",PR!$BM723,IF(H725="VIXA",PR!$BN723,IF(H725="WWCV",PR!$BO723,IF(H725="ZOLON",PR!$BP723,"-"))))))))))))))))))))))))))))))))))))))))))))))))))))))))))))))))</f>
        <v>-</v>
      </c>
      <c r="H725" s="102">
        <f>EV!M917</f>
        <v>0</v>
      </c>
      <c r="I725" s="108" t="str">
        <f>IF(J725="ALPHA",PR!$E723,IF(J725="ASSENE",PR!$F723,IF(J725="BIOFEM",PR!$G723,IF(J725="BIOMED",PR!$H723,IF(J725="CHI",PR!$I723,IF(J725="CLARION",PR!$J723,IF(J725="CODIX",PR!$K723,IF(J725="COSMADE",PR!$L723,IF(J725="SANCON",PR!$M723,IF(J725="DEVON",PR!$N723,IF(J725="DORTEMAG",PR!$O723,IF(J725="DGF",PR!$P723,IF(J725="DYNAMIC",PR!$Q723,IF(J725="EMZOR",PR!$R723,IF(J725="EUMATT",PR!$S723,IF(J725="FIDSON",PR!$T723,IF(J725="FCGLOBAL",PR!$U723,IF(J725="GENEITH",PR!$V723,IF(J725="GINOS",PR!$W723,IF(J725="GSK",PR!$X723,IF(J725="GLOBORG",PR!$Y723,IF(J725="GOODNEWS",PR!$Z723,IF(J725="GREENLIFE",PR!$AA723,IF(J725="HLINE",PR!$AB723,IF(J725="ROTECH",PR!$AC723,IF(J725="ISN",PR!$AD723,IF(J725="JAWA",PR!$AE723,IF(J725="LAYO",PR!$AF723,IF(J725="LEADWAY",PR!$AG723,IF(J725="LHV",PR!$AH723,IF(J725="MANOLA",PR!$AI723,IF(J725="MARCSON",PR!$AJ723,IF(J725="M&amp;B",PR!$AK723,IF(J725="MTRUST",PR!$AL723,IF(J725="MWORLD",PR!$AM723,IF(J725="MEGA",PR!$AN723,IF(J725="MICRONOVA",PR!$AO723,IF(J725="MFLASH",PR!$AP723,IF(J725="MORISON",PR!$AQ723,IF(J725="NEMEL",PR!$AR723,IF(J725="NHP",PR!$AS723,IF(J725="NHC",PR!$AT723,IF(J725="OLEAF",PR!$AU723,IF(J725="OCULUS",PR!$AV723,IF(J725="PACIFIC",PR!$AW723,IF(J725="PHAMATEX",PR!$AX723,IF(J725="PETHICS",PR!$AY723,IF(J725="PHILIPS",PR!$AZ723,IF(J725="RANBAXY",PR!$BA723,IF(J725="REALS",PR!$BB723,IF(J725="ROYAL",PR!$BC723,IF(J725="SAM",PR!$BD723,IF(J725="SEAGREEN",PR!$BE723,IF(J725="SKG",PR!$BF723,IF(J725="TAH",PR!$BG723,IF(J725="TAYLEK",PR!$BH723,IF(J725="TEMITA",PR!$BI723,IF(J725="THL",PR!$BJ723,IF(J725="UBASTIC",PR!$BK723,IF(J725="UNION",PR!$BL723,IF(J725="UNIQUE",PR!$BM723,IF(J725="VIXA",PR!$BN723,IF(J725="WWCV",PR!$BO723,IF(J725="ZOLON",PR!$BP723,"-"))))))))))))))))))))))))))))))))))))))))))))))))))))))))))))))))</f>
        <v>-</v>
      </c>
      <c r="J725" s="102">
        <f>EV!N917</f>
        <v>0</v>
      </c>
      <c r="K725" s="433" t="s">
        <v>635</v>
      </c>
      <c r="L725" s="183">
        <f>IF(K725&gt;0,IF(K725="ALPHA",PR!$E723,IF(K725="ASSENE",PR!$F723,IF(K725="BIOFEM",PR!$G723,IF(K725="BIOMED",PR!$H723,IF(K725="CHI",PR!$I723,IF(K725="CLARION",PR!$J723,IF(K725="CODIX",PR!$K723,IF(K725="COSMADE",PR!$L723,IF(K725="SANCON",PR!$M723,IF(K725="DEVON",PR!$N723,IF(K725="DORTEMAG",PR!$O723,IF(K725="DGF",PR!$P723,IF(K725="DYNAMIC",PR!$Q723,IF(K725="EMZOR",PR!$R723,IF(K725="EUMATT",PR!$S723,IF(K725="FIDSON",PR!$T723,IF(K725="FCGLOBAL",PR!$U723,IF(K725="GENEITH",PR!$V723,IF(K725="GINOS",PR!$W723,IF(K725="GSK",PR!$X723,IF(K725="GLOBORG",PR!$Y723,IF(K725="GOODNEWS",PR!$Z723,IF(K725="GREENLIFE",PR!$AA723,IF(K725="HLINE",PR!$AB723,IF(K725="ROTECH",PR!$AC723,IF(K725="ISN",PR!$AD723,IF(K725="JAWA",PR!$AE723,IF(K725="LAYO",PR!$AF723,IF(K725="LEADWAY",PR!$AG723,IF(K725="LHV",PR!$AH723,IF(K725="MANOLA",PR!$AI723,IF(K725="MARCSON",PR!$AJ723,IF(K725="M&amp;B",PR!$AK723,IF(K725="MTRUST",PR!$AL723,IF(K725="MWORLD",PR!$AM723,IF(K725="MEGA",PR!$AN723,IF(K725="MICRONOVA",PR!$AO723,IF(K725="MFLASH",PR!$AP723,IF(K725="MORISON",PR!$AQ723,IF(K725="NEMEL",PR!$AR723,IF(K725="NHP",PR!$AS723,IF(K725="NHC",PR!$AT723,IF(K725="OLEAF",PR!$AU723,IF(K725="OCULUS",PR!$AV723,IF(K725="PACIFIC",PR!$AW723,IF(K725="PHAMATEX",PR!$AX723,IF(K725="PETHICS",PR!$AY723,IF(K725="PHILIPS",PR!$AZ723,IF(K725="RANBAXY",PR!$BA723,IF(K725="REALS",PR!$BB723,IF(K725="ROYAL",PR!$BC723,IF(K725="SAM",PR!$BD723,IF(K725="SEAGREEN",PR!$BE723,IF(K725="SKG",PR!$BF723,IF(K725="TAH",PR!$BG723,IF(K725="TAYLEK",PR!$BH723,IF(K725="TEMITA",PR!$BI723,IF(K725="THL",PR!$BJ723,IF(K725="UBASTIC",PR!$BK723,IF(K725="UNION",PR!$BL723,IF(K725="UNIQUE",PR!$BM723,IF(K725="VIXA",PR!$BN723,IF(K725="WWCV",PR!$BO723,IF(K725="ZOLON",PR!$BP723,"-")))))))))))))))))))))))))))))))))))))))))))))))))))))))))))))))))</f>
        <v>170</v>
      </c>
    </row>
    <row r="726" spans="1:12" ht="18.75" x14ac:dyDescent="0.3">
      <c r="A726" s="430">
        <f>PR!A724</f>
        <v>659</v>
      </c>
      <c r="B726" s="15" t="str">
        <f>PR!B724</f>
        <v>DIPROSALIC OINTMENT</v>
      </c>
      <c r="C726" s="113" t="str">
        <f>PR!D724</f>
        <v>TUBE</v>
      </c>
      <c r="D726" s="113">
        <f>PR!C724</f>
        <v>20</v>
      </c>
      <c r="E726" s="108">
        <f>IF(F726="ALPHA",PR!$E724,IF(F726="ASSENE",PR!$F724,IF(F726="BIOFEM",PR!$G724,IF(F726="BIOMED",PR!$H724,IF(F726="CHI",PR!$I724,IF(F726="CLARION",PR!$J724,IF(F726="CODIX",PR!$K724,IF(F726="COSMADE",PR!$L724,IF(F726="SANCON",PR!$M724,IF(F726="DEVON",PR!$N724,IF(F726="DORTEMAG",PR!$O724,IF(F726="DGF",PR!$P724,IF(F726="DYNAMIC",PR!$Q724,IF(F726="EMZOR",PR!$R724,IF(F726="EUMATT",PR!$S724,IF(F726="FIDSON",PR!$T724,IF(F726="FCGLOBAL",PR!$U724,IF(F726="GENEITH",PR!$V724,IF(F726="GINOS",PR!$W724,IF(F726="GSK",PR!$X724,IF(F726="GLOBORG",PR!$Y724,IF(F726="GOODNEWS",PR!$Z724,IF(F726="GREENLIFE",PR!$AA724,IF(F726="HLINE",PR!$AB724,IF(F726="ROTECH",PR!$AC724,IF(F726="ISN",PR!$AD724,IF(F726="JAWA",PR!$AE724,IF(F726="LAYO",PR!$AF724,IF(F726="LEADWAY",PR!$AG724,IF(F726="LHV",PR!$AH724,IF(F726="MANOLA",PR!$AI724,IF(F726="MARCSON",PR!$AJ724,IF(F726="M&amp;B",PR!$AK724,IF(F726="MTRUST",PR!$AL724,IF(F726="MWORLD",PR!$AM724,IF(F726="MEGA",PR!$AN724,IF(F726="MICRONOVA",PR!$AO724,IF(F726="MFLASH",PR!$AP724,IF(F726="MORISON",PR!$AQ724,IF(F726="NEMEL",PR!$AR724,IF(F726="NHP",PR!$AS724,IF(F726="NHC",PR!$AT724,IF(F726="OLEAF",PR!$AU724,IF(F726="OCULUS",PR!$AV724,IF(F726="PACIFIC",PR!$AW724,IF(F726="PHAMATEX",PR!$AX724,IF(F726="PETHICS",PR!$AY724,IF(F726="PHILIPS",PR!$AZ724,IF(F726="RANBAXY",PR!$BA724,IF(F726="REALS",PR!$BB724,IF(F726="ROYAL",PR!$BC724,IF(F726="SAM",PR!$BD724,IF(F726="SEAGREEN",PR!$BE724,IF(F726="SKG",PR!$BF724,IF(F726="TAH",PR!$BG724,IF(F726="TAYLEK",PR!$BH724,IF(F726="TEMITA",PR!$BI724,IF(F726="THL",PR!$BJ724,IF(F726="UBASTIC",PR!$BK724,IF(F726="UNION",PR!$BL724,IF(F726="UNIQUE",PR!$BM724,IF(F726="VIXA",PR!$BN724,IF(F726="WWCV",PR!$BO724,IF(F726="ZOLON",PR!$BP724,"-"))))))))))))))))))))))))))))))))))))))))))))))))))))))))))))))))</f>
        <v>2750</v>
      </c>
      <c r="F726" s="102" t="str">
        <f>EV!L918</f>
        <v>EUMATT</v>
      </c>
      <c r="G726" s="108" t="str">
        <f>IF(H726="ALPHA",PR!$E724,IF(H726="ASSENE",PR!$F724,IF(H726="BIOFEM",PR!$G724,IF(H726="BIOMED",PR!$H724,IF(H726="CHI",PR!$I724,IF(H726="CLARION",PR!$J724,IF(H726="CODIX",PR!$K724,IF(H726="COSMADE",PR!$L724,IF(H726="SANCON",PR!$M724,IF(H726="DEVON",PR!$N724,IF(H726="DORTEMAG",PR!$O724,IF(H726="DGF",PR!$P724,IF(H726="DYNAMIC",PR!$Q724,IF(H726="EMZOR",PR!$R724,IF(H726="EUMATT",PR!$S724,IF(H726="FIDSON",PR!$T724,IF(H726="FCGLOBAL",PR!$U724,IF(H726="GENEITH",PR!$V724,IF(H726="GINOS",PR!$W724,IF(H726="GSK",PR!$X724,IF(H726="GLOBORG",PR!$Y724,IF(H726="GOODNEWS",PR!$Z724,IF(H726="GREENLIFE",PR!$AA724,IF(H726="HLINE",PR!$AB724,IF(H726="ROTECH",PR!$AC724,IF(H726="ISN",PR!$AD724,IF(H726="JAWA",PR!$AE724,IF(H726="LAYO",PR!$AF724,IF(H726="LEADWAY",PR!$AG724,IF(H726="LHV",PR!$AH724,IF(H726="MANOLA",PR!$AI724,IF(H726="MARCSON",PR!$AJ724,IF(H726="M&amp;B",PR!$AK724,IF(H726="MTRUST",PR!$AL724,IF(H726="MWORLD",PR!$AM724,IF(H726="MEGA",PR!$AN724,IF(H726="MICRONOVA",PR!$AO724,IF(H726="MFLASH",PR!$AP724,IF(H726="MORISON",PR!$AQ724,IF(H726="NEMEL",PR!$AR724,IF(H726="NHP",PR!$AS724,IF(H726="NHC",PR!$AT724,IF(H726="OLEAF",PR!$AU724,IF(H726="OCULUS",PR!$AV724,IF(H726="PACIFIC",PR!$AW724,IF(H726="PHAMATEX",PR!$AX724,IF(H726="PETHICS",PR!$AY724,IF(H726="PHILIPS",PR!$AZ724,IF(H726="RANBAXY",PR!$BA724,IF(H726="REALS",PR!$BB724,IF(H726="ROYAL",PR!$BC724,IF(H726="SAM",PR!$BD724,IF(H726="SEAGREEN",PR!$BE724,IF(H726="SKG",PR!$BF724,IF(H726="TAH",PR!$BG724,IF(H726="TAYLEK",PR!$BH724,IF(H726="TEMITA",PR!$BI724,IF(H726="THL",PR!$BJ724,IF(H726="UBASTIC",PR!$BK724,IF(H726="UNION",PR!$BL724,IF(H726="UNIQUE",PR!$BM724,IF(H726="VIXA",PR!$BN724,IF(H726="WWCV",PR!$BO724,IF(H726="ZOLON",PR!$BP724,"-"))))))))))))))))))))))))))))))))))))))))))))))))))))))))))))))))</f>
        <v>-</v>
      </c>
      <c r="H726" s="102">
        <f>EV!M918</f>
        <v>0</v>
      </c>
      <c r="I726" s="108" t="str">
        <f>IF(J726="ALPHA",PR!$E724,IF(J726="ASSENE",PR!$F724,IF(J726="BIOFEM",PR!$G724,IF(J726="BIOMED",PR!$H724,IF(J726="CHI",PR!$I724,IF(J726="CLARION",PR!$J724,IF(J726="CODIX",PR!$K724,IF(J726="COSMADE",PR!$L724,IF(J726="SANCON",PR!$M724,IF(J726="DEVON",PR!$N724,IF(J726="DORTEMAG",PR!$O724,IF(J726="DGF",PR!$P724,IF(J726="DYNAMIC",PR!$Q724,IF(J726="EMZOR",PR!$R724,IF(J726="EUMATT",PR!$S724,IF(J726="FIDSON",PR!$T724,IF(J726="FCGLOBAL",PR!$U724,IF(J726="GENEITH",PR!$V724,IF(J726="GINOS",PR!$W724,IF(J726="GSK",PR!$X724,IF(J726="GLOBORG",PR!$Y724,IF(J726="GOODNEWS",PR!$Z724,IF(J726="GREENLIFE",PR!$AA724,IF(J726="HLINE",PR!$AB724,IF(J726="ROTECH",PR!$AC724,IF(J726="ISN",PR!$AD724,IF(J726="JAWA",PR!$AE724,IF(J726="LAYO",PR!$AF724,IF(J726="LEADWAY",PR!$AG724,IF(J726="LHV",PR!$AH724,IF(J726="MANOLA",PR!$AI724,IF(J726="MARCSON",PR!$AJ724,IF(J726="M&amp;B",PR!$AK724,IF(J726="MTRUST",PR!$AL724,IF(J726="MWORLD",PR!$AM724,IF(J726="MEGA",PR!$AN724,IF(J726="MICRONOVA",PR!$AO724,IF(J726="MFLASH",PR!$AP724,IF(J726="MORISON",PR!$AQ724,IF(J726="NEMEL",PR!$AR724,IF(J726="NHP",PR!$AS724,IF(J726="NHC",PR!$AT724,IF(J726="OLEAF",PR!$AU724,IF(J726="OCULUS",PR!$AV724,IF(J726="PACIFIC",PR!$AW724,IF(J726="PHAMATEX",PR!$AX724,IF(J726="PETHICS",PR!$AY724,IF(J726="PHILIPS",PR!$AZ724,IF(J726="RANBAXY",PR!$BA724,IF(J726="REALS",PR!$BB724,IF(J726="ROYAL",PR!$BC724,IF(J726="SAM",PR!$BD724,IF(J726="SEAGREEN",PR!$BE724,IF(J726="SKG",PR!$BF724,IF(J726="TAH",PR!$BG724,IF(J726="TAYLEK",PR!$BH724,IF(J726="TEMITA",PR!$BI724,IF(J726="THL",PR!$BJ724,IF(J726="UBASTIC",PR!$BK724,IF(J726="UNION",PR!$BL724,IF(J726="UNIQUE",PR!$BM724,IF(J726="VIXA",PR!$BN724,IF(J726="WWCV",PR!$BO724,IF(J726="ZOLON",PR!$BP724,"-"))))))))))))))))))))))))))))))))))))))))))))))))))))))))))))))))</f>
        <v>-</v>
      </c>
      <c r="J726" s="102">
        <f>EV!N918</f>
        <v>0</v>
      </c>
      <c r="K726" s="433" t="s">
        <v>821</v>
      </c>
      <c r="L726" s="183">
        <f>IF(K726&gt;0,IF(K726="ALPHA",PR!$E724,IF(K726="ASSENE",PR!$F724,IF(K726="BIOFEM",PR!$G724,IF(K726="BIOMED",PR!$H724,IF(K726="CHI",PR!$I724,IF(K726="CLARION",PR!$J724,IF(K726="CODIX",PR!$K724,IF(K726="COSMADE",PR!$L724,IF(K726="SANCON",PR!$M724,IF(K726="DEVON",PR!$N724,IF(K726="DORTEMAG",PR!$O724,IF(K726="DGF",PR!$P724,IF(K726="DYNAMIC",PR!$Q724,IF(K726="EMZOR",PR!$R724,IF(K726="EUMATT",PR!$S724,IF(K726="FIDSON",PR!$T724,IF(K726="FCGLOBAL",PR!$U724,IF(K726="GENEITH",PR!$V724,IF(K726="GINOS",PR!$W724,IF(K726="GSK",PR!$X724,IF(K726="GLOBORG",PR!$Y724,IF(K726="GOODNEWS",PR!$Z724,IF(K726="GREENLIFE",PR!$AA724,IF(K726="HLINE",PR!$AB724,IF(K726="ROTECH",PR!$AC724,IF(K726="ISN",PR!$AD724,IF(K726="JAWA",PR!$AE724,IF(K726="LAYO",PR!$AF724,IF(K726="LEADWAY",PR!$AG724,IF(K726="LHV",PR!$AH724,IF(K726="MANOLA",PR!$AI724,IF(K726="MARCSON",PR!$AJ724,IF(K726="M&amp;B",PR!$AK724,IF(K726="MTRUST",PR!$AL724,IF(K726="MWORLD",PR!$AM724,IF(K726="MEGA",PR!$AN724,IF(K726="MICRONOVA",PR!$AO724,IF(K726="MFLASH",PR!$AP724,IF(K726="MORISON",PR!$AQ724,IF(K726="NEMEL",PR!$AR724,IF(K726="NHP",PR!$AS724,IF(K726="NHC",PR!$AT724,IF(K726="OLEAF",PR!$AU724,IF(K726="OCULUS",PR!$AV724,IF(K726="PACIFIC",PR!$AW724,IF(K726="PHAMATEX",PR!$AX724,IF(K726="PETHICS",PR!$AY724,IF(K726="PHILIPS",PR!$AZ724,IF(K726="RANBAXY",PR!$BA724,IF(K726="REALS",PR!$BB724,IF(K726="ROYAL",PR!$BC724,IF(K726="SAM",PR!$BD724,IF(K726="SEAGREEN",PR!$BE724,IF(K726="SKG",PR!$BF724,IF(K726="TAH",PR!$BG724,IF(K726="TAYLEK",PR!$BH724,IF(K726="TEMITA",PR!$BI724,IF(K726="THL",PR!$BJ724,IF(K726="UBASTIC",PR!$BK724,IF(K726="UNION",PR!$BL724,IF(K726="UNIQUE",PR!$BM724,IF(K726="VIXA",PR!$BN724,IF(K726="WWCV",PR!$BO724,IF(K726="ZOLON",PR!$BP724,"-")))))))))))))))))))))))))))))))))))))))))))))))))))))))))))))))))</f>
        <v>2750</v>
      </c>
    </row>
    <row r="727" spans="1:12" ht="18.75" x14ac:dyDescent="0.3">
      <c r="A727" s="430">
        <f>PR!A725</f>
        <v>660</v>
      </c>
      <c r="B727" s="15" t="str">
        <f>PR!B725</f>
        <v>IVERMECTIN TAB</v>
      </c>
      <c r="C727" s="113">
        <f>PR!D725</f>
        <v>500</v>
      </c>
      <c r="D727" s="113">
        <f>PR!C725</f>
        <v>1</v>
      </c>
      <c r="E727" s="108" t="str">
        <f>IF(F727="ALPHA",PR!$E725,IF(F727="ASSENE",PR!$F725,IF(F727="BIOFEM",PR!$G725,IF(F727="BIOMED",PR!$H725,IF(F727="CHI",PR!$I725,IF(F727="CLARION",PR!$J725,IF(F727="CODIX",PR!$K725,IF(F727="COSMADE",PR!$L725,IF(F727="SANCON",PR!$M725,IF(F727="DEVON",PR!$N725,IF(F727="DORTEMAG",PR!$O725,IF(F727="DGF",PR!$P725,IF(F727="DYNAMIC",PR!$Q725,IF(F727="EMZOR",PR!$R725,IF(F727="EUMATT",PR!$S725,IF(F727="FIDSON",PR!$T725,IF(F727="FCGLOBAL",PR!$U725,IF(F727="GENEITH",PR!$V725,IF(F727="GINOS",PR!$W725,IF(F727="GSK",PR!$X725,IF(F727="GLOBORG",PR!$Y725,IF(F727="GOODNEWS",PR!$Z725,IF(F727="GREENLIFE",PR!$AA725,IF(F727="HLINE",PR!$AB725,IF(F727="ROTECH",PR!$AC725,IF(F727="ISN",PR!$AD725,IF(F727="JAWA",PR!$AE725,IF(F727="LAYO",PR!$AF725,IF(F727="LEADWAY",PR!$AG725,IF(F727="LHV",PR!$AH725,IF(F727="MANOLA",PR!$AI725,IF(F727="MARCSON",PR!$AJ725,IF(F727="M&amp;B",PR!$AK725,IF(F727="MTRUST",PR!$AL725,IF(F727="MWORLD",PR!$AM725,IF(F727="MEGA",PR!$AN725,IF(F727="MICRONOVA",PR!$AO725,IF(F727="MFLASH",PR!$AP725,IF(F727="MORISON",PR!$AQ725,IF(F727="NEMEL",PR!$AR725,IF(F727="NHP",PR!$AS725,IF(F727="NHC",PR!$AT725,IF(F727="OLEAF",PR!$AU725,IF(F727="OCULUS",PR!$AV725,IF(F727="PACIFIC",PR!$AW725,IF(F727="PHAMATEX",PR!$AX725,IF(F727="PETHICS",PR!$AY725,IF(F727="PHILIPS",PR!$AZ725,IF(F727="RANBAXY",PR!$BA725,IF(F727="REALS",PR!$BB725,IF(F727="ROYAL",PR!$BC725,IF(F727="SAM",PR!$BD725,IF(F727="SEAGREEN",PR!$BE725,IF(F727="SKG",PR!$BF725,IF(F727="TAH",PR!$BG725,IF(F727="TAYLEK",PR!$BH725,IF(F727="TEMITA",PR!$BI725,IF(F727="THL",PR!$BJ725,IF(F727="UBASTIC",PR!$BK725,IF(F727="UNION",PR!$BL725,IF(F727="UNIQUE",PR!$BM725,IF(F727="VIXA",PR!$BN725,IF(F727="WWCV",PR!$BO725,IF(F727="ZOLON",PR!$BP725,"-"))))))))))))))))))))))))))))))))))))))))))))))))))))))))))))))))</f>
        <v>-</v>
      </c>
      <c r="F727" s="102">
        <f>EV!L919</f>
        <v>0</v>
      </c>
      <c r="G727" s="108" t="str">
        <f>IF(H727="ALPHA",PR!$E725,IF(H727="ASSENE",PR!$F725,IF(H727="BIOFEM",PR!$G725,IF(H727="BIOMED",PR!$H725,IF(H727="CHI",PR!$I725,IF(H727="CLARION",PR!$J725,IF(H727="CODIX",PR!$K725,IF(H727="COSMADE",PR!$L725,IF(H727="SANCON",PR!$M725,IF(H727="DEVON",PR!$N725,IF(H727="DORTEMAG",PR!$O725,IF(H727="DGF",PR!$P725,IF(H727="DYNAMIC",PR!$Q725,IF(H727="EMZOR",PR!$R725,IF(H727="EUMATT",PR!$S725,IF(H727="FIDSON",PR!$T725,IF(H727="FCGLOBAL",PR!$U725,IF(H727="GENEITH",PR!$V725,IF(H727="GINOS",PR!$W725,IF(H727="GSK",PR!$X725,IF(H727="GLOBORG",PR!$Y725,IF(H727="GOODNEWS",PR!$Z725,IF(H727="GREENLIFE",PR!$AA725,IF(H727="HLINE",PR!$AB725,IF(H727="ROTECH",PR!$AC725,IF(H727="ISN",PR!$AD725,IF(H727="JAWA",PR!$AE725,IF(H727="LAYO",PR!$AF725,IF(H727="LEADWAY",PR!$AG725,IF(H727="LHV",PR!$AH725,IF(H727="MANOLA",PR!$AI725,IF(H727="MARCSON",PR!$AJ725,IF(H727="M&amp;B",PR!$AK725,IF(H727="MTRUST",PR!$AL725,IF(H727="MWORLD",PR!$AM725,IF(H727="MEGA",PR!$AN725,IF(H727="MICRONOVA",PR!$AO725,IF(H727="MFLASH",PR!$AP725,IF(H727="MORISON",PR!$AQ725,IF(H727="NEMEL",PR!$AR725,IF(H727="NHP",PR!$AS725,IF(H727="NHC",PR!$AT725,IF(H727="OLEAF",PR!$AU725,IF(H727="OCULUS",PR!$AV725,IF(H727="PACIFIC",PR!$AW725,IF(H727="PHAMATEX",PR!$AX725,IF(H727="PETHICS",PR!$AY725,IF(H727="PHILIPS",PR!$AZ725,IF(H727="RANBAXY",PR!$BA725,IF(H727="REALS",PR!$BB725,IF(H727="ROYAL",PR!$BC725,IF(H727="SAM",PR!$BD725,IF(H727="SEAGREEN",PR!$BE725,IF(H727="SKG",PR!$BF725,IF(H727="TAH",PR!$BG725,IF(H727="TAYLEK",PR!$BH725,IF(H727="TEMITA",PR!$BI725,IF(H727="THL",PR!$BJ725,IF(H727="UBASTIC",PR!$BK725,IF(H727="UNION",PR!$BL725,IF(H727="UNIQUE",PR!$BM725,IF(H727="VIXA",PR!$BN725,IF(H727="WWCV",PR!$BO725,IF(H727="ZOLON",PR!$BP725,"-"))))))))))))))))))))))))))))))))))))))))))))))))))))))))))))))))</f>
        <v>-</v>
      </c>
      <c r="H727" s="102">
        <f>EV!M919</f>
        <v>0</v>
      </c>
      <c r="I727" s="108" t="str">
        <f>IF(J727="ALPHA",PR!$E725,IF(J727="ASSENE",PR!$F725,IF(J727="BIOFEM",PR!$G725,IF(J727="BIOMED",PR!$H725,IF(J727="CHI",PR!$I725,IF(J727="CLARION",PR!$J725,IF(J727="CODIX",PR!$K725,IF(J727="COSMADE",PR!$L725,IF(J727="SANCON",PR!$M725,IF(J727="DEVON",PR!$N725,IF(J727="DORTEMAG",PR!$O725,IF(J727="DGF",PR!$P725,IF(J727="DYNAMIC",PR!$Q725,IF(J727="EMZOR",PR!$R725,IF(J727="EUMATT",PR!$S725,IF(J727="FIDSON",PR!$T725,IF(J727="FCGLOBAL",PR!$U725,IF(J727="GENEITH",PR!$V725,IF(J727="GINOS",PR!$W725,IF(J727="GSK",PR!$X725,IF(J727="GLOBORG",PR!$Y725,IF(J727="GOODNEWS",PR!$Z725,IF(J727="GREENLIFE",PR!$AA725,IF(J727="HLINE",PR!$AB725,IF(J727="ROTECH",PR!$AC725,IF(J727="ISN",PR!$AD725,IF(J727="JAWA",PR!$AE725,IF(J727="LAYO",PR!$AF725,IF(J727="LEADWAY",PR!$AG725,IF(J727="LHV",PR!$AH725,IF(J727="MANOLA",PR!$AI725,IF(J727="MARCSON",PR!$AJ725,IF(J727="M&amp;B",PR!$AK725,IF(J727="MTRUST",PR!$AL725,IF(J727="MWORLD",PR!$AM725,IF(J727="MEGA",PR!$AN725,IF(J727="MICRONOVA",PR!$AO725,IF(J727="MFLASH",PR!$AP725,IF(J727="MORISON",PR!$AQ725,IF(J727="NEMEL",PR!$AR725,IF(J727="NHP",PR!$AS725,IF(J727="NHC",PR!$AT725,IF(J727="OLEAF",PR!$AU725,IF(J727="OCULUS",PR!$AV725,IF(J727="PACIFIC",PR!$AW725,IF(J727="PHAMATEX",PR!$AX725,IF(J727="PETHICS",PR!$AY725,IF(J727="PHILIPS",PR!$AZ725,IF(J727="RANBAXY",PR!$BA725,IF(J727="REALS",PR!$BB725,IF(J727="ROYAL",PR!$BC725,IF(J727="SAM",PR!$BD725,IF(J727="SEAGREEN",PR!$BE725,IF(J727="SKG",PR!$BF725,IF(J727="TAH",PR!$BG725,IF(J727="TAYLEK",PR!$BH725,IF(J727="TEMITA",PR!$BI725,IF(J727="THL",PR!$BJ725,IF(J727="UBASTIC",PR!$BK725,IF(J727="UNION",PR!$BL725,IF(J727="UNIQUE",PR!$BM725,IF(J727="VIXA",PR!$BN725,IF(J727="WWCV",PR!$BO725,IF(J727="ZOLON",PR!$BP725,"-"))))))))))))))))))))))))))))))))))))))))))))))))))))))))))))))))</f>
        <v>-</v>
      </c>
      <c r="J727" s="102">
        <f>EV!N919</f>
        <v>0</v>
      </c>
      <c r="K727" s="433"/>
      <c r="L727" s="183" t="b">
        <f>IF(K727&gt;0,IF(K727="ALPHA",PR!$E725,IF(K727="ASSENE",PR!$F725,IF(K727="BIOFEM",PR!$G725,IF(K727="BIOMED",PR!$H725,IF(K727="CHI",PR!$I725,IF(K727="CLARION",PR!$J725,IF(K727="CODIX",PR!$K725,IF(K727="COSMADE",PR!$L725,IF(K727="SANCON",PR!$M725,IF(K727="DEVON",PR!$N725,IF(K727="DORTEMAG",PR!$O725,IF(K727="DGF",PR!$P725,IF(K727="DYNAMIC",PR!$Q725,IF(K727="EMZOR",PR!$R725,IF(K727="EUMATT",PR!$S725,IF(K727="FIDSON",PR!$T725,IF(K727="FCGLOBAL",PR!$U725,IF(K727="GENEITH",PR!$V725,IF(K727="GINOS",PR!$W725,IF(K727="GSK",PR!$X725,IF(K727="GLOBORG",PR!$Y725,IF(K727="GOODNEWS",PR!$Z725,IF(K727="GREENLIFE",PR!$AA725,IF(K727="HLINE",PR!$AB725,IF(K727="ROTECH",PR!$AC725,IF(K727="ISN",PR!$AD725,IF(K727="JAWA",PR!$AE725,IF(K727="LAYO",PR!$AF725,IF(K727="LEADWAY",PR!$AG725,IF(K727="LHV",PR!$AH725,IF(K727="MANOLA",PR!$AI725,IF(K727="MARCSON",PR!$AJ725,IF(K727="M&amp;B",PR!$AK725,IF(K727="MTRUST",PR!$AL725,IF(K727="MWORLD",PR!$AM725,IF(K727="MEGA",PR!$AN725,IF(K727="MICRONOVA",PR!$AO725,IF(K727="MFLASH",PR!$AP725,IF(K727="MORISON",PR!$AQ725,IF(K727="NEMEL",PR!$AR725,IF(K727="NHP",PR!$AS725,IF(K727="NHC",PR!$AT725,IF(K727="OLEAF",PR!$AU725,IF(K727="OCULUS",PR!$AV725,IF(K727="PACIFIC",PR!$AW725,IF(K727="PHAMATEX",PR!$AX725,IF(K727="PETHICS",PR!$AY725,IF(K727="PHILIPS",PR!$AZ725,IF(K727="RANBAXY",PR!$BA725,IF(K727="REALS",PR!$BB725,IF(K727="ROYAL",PR!$BC725,IF(K727="SAM",PR!$BD725,IF(K727="SEAGREEN",PR!$BE725,IF(K727="SKG",PR!$BF725,IF(K727="TAH",PR!$BG725,IF(K727="TAYLEK",PR!$BH725,IF(K727="TEMITA",PR!$BI725,IF(K727="THL",PR!$BJ725,IF(K727="UBASTIC",PR!$BK725,IF(K727="UNION",PR!$BL725,IF(K727="UNIQUE",PR!$BM725,IF(K727="VIXA",PR!$BN725,IF(K727="WWCV",PR!$BO725,IF(K727="ZOLON",PR!$BP725,"-")))))))))))))))))))))))))))))))))))))))))))))))))))))))))))))))))</f>
        <v>0</v>
      </c>
    </row>
    <row r="728" spans="1:12" ht="18.75" x14ac:dyDescent="0.3">
      <c r="A728" s="430">
        <f>PR!A726</f>
        <v>661</v>
      </c>
      <c r="B728" s="15" t="str">
        <f>PR!B726</f>
        <v>MUPIROCIN CREAM</v>
      </c>
      <c r="C728" s="113" t="str">
        <f>PR!D726</f>
        <v>TUBE</v>
      </c>
      <c r="D728" s="113">
        <f>PR!C726</f>
        <v>20</v>
      </c>
      <c r="E728" s="108">
        <f>IF(F728="ALPHA",PR!$E726,IF(F728="ASSENE",PR!$F726,IF(F728="BIOFEM",PR!$G726,IF(F728="BIOMED",PR!$H726,IF(F728="CHI",PR!$I726,IF(F728="CLARION",PR!$J726,IF(F728="CODIX",PR!$K726,IF(F728="COSMADE",PR!$L726,IF(F728="SANCON",PR!$M726,IF(F728="DEVON",PR!$N726,IF(F728="DORTEMAG",PR!$O726,IF(F728="DGF",PR!$P726,IF(F728="DYNAMIC",PR!$Q726,IF(F728="EMZOR",PR!$R726,IF(F728="EUMATT",PR!$S726,IF(F728="FIDSON",PR!$T726,IF(F728="FCGLOBAL",PR!$U726,IF(F728="GENEITH",PR!$V726,IF(F728="GINOS",PR!$W726,IF(F728="GSK",PR!$X726,IF(F728="GLOBORG",PR!$Y726,IF(F728="GOODNEWS",PR!$Z726,IF(F728="GREENLIFE",PR!$AA726,IF(F728="HLINE",PR!$AB726,IF(F728="ROTECH",PR!$AC726,IF(F728="ISN",PR!$AD726,IF(F728="JAWA",PR!$AE726,IF(F728="LAYO",PR!$AF726,IF(F728="LEADWAY",PR!$AG726,IF(F728="LHV",PR!$AH726,IF(F728="MANOLA",PR!$AI726,IF(F728="MARCSON",PR!$AJ726,IF(F728="M&amp;B",PR!$AK726,IF(F728="MTRUST",PR!$AL726,IF(F728="MWORLD",PR!$AM726,IF(F728="MEGA",PR!$AN726,IF(F728="MICRONOVA",PR!$AO726,IF(F728="MFLASH",PR!$AP726,IF(F728="MORISON",PR!$AQ726,IF(F728="NEMEL",PR!$AR726,IF(F728="NHP",PR!$AS726,IF(F728="NHC",PR!$AT726,IF(F728="OLEAF",PR!$AU726,IF(F728="OCULUS",PR!$AV726,IF(F728="PACIFIC",PR!$AW726,IF(F728="PHAMATEX",PR!$AX726,IF(F728="PETHICS",PR!$AY726,IF(F728="PHILIPS",PR!$AZ726,IF(F728="RANBAXY",PR!$BA726,IF(F728="REALS",PR!$BB726,IF(F728="ROYAL",PR!$BC726,IF(F728="SAM",PR!$BD726,IF(F728="SEAGREEN",PR!$BE726,IF(F728="SKG",PR!$BF726,IF(F728="TAH",PR!$BG726,IF(F728="TAYLEK",PR!$BH726,IF(F728="TEMITA",PR!$BI726,IF(F728="THL",PR!$BJ726,IF(F728="UBASTIC",PR!$BK726,IF(F728="UNION",PR!$BL726,IF(F728="UNIQUE",PR!$BM726,IF(F728="VIXA",PR!$BN726,IF(F728="WWCV",PR!$BO726,IF(F728="ZOLON",PR!$BP726,"-"))))))))))))))))))))))))))))))))))))))))))))))))))))))))))))))))</f>
        <v>1200</v>
      </c>
      <c r="F728" s="102" t="str">
        <f>EV!L945</f>
        <v>HLINE</v>
      </c>
      <c r="G728" s="108">
        <f>IF(H728="ALPHA",PR!$E726,IF(H728="ASSENE",PR!$F726,IF(H728="BIOFEM",PR!$G726,IF(H728="BIOMED",PR!$H726,IF(H728="CHI",PR!$I726,IF(H728="CLARION",PR!$J726,IF(H728="CODIX",PR!$K726,IF(H728="COSMADE",PR!$L726,IF(H728="SANCON",PR!$M726,IF(H728="DEVON",PR!$N726,IF(H728="DORTEMAG",PR!$O726,IF(H728="DGF",PR!$P726,IF(H728="DYNAMIC",PR!$Q726,IF(H728="EMZOR",PR!$R726,IF(H728="EUMATT",PR!$S726,IF(H728="FIDSON",PR!$T726,IF(H728="FCGLOBAL",PR!$U726,IF(H728="GENEITH",PR!$V726,IF(H728="GINOS",PR!$W726,IF(H728="GSK",PR!$X726,IF(H728="GLOBORG",PR!$Y726,IF(H728="GOODNEWS",PR!$Z726,IF(H728="GREENLIFE",PR!$AA726,IF(H728="HLINE",PR!$AB726,IF(H728="ROTECH",PR!$AC726,IF(H728="ISN",PR!$AD726,IF(H728="JAWA",PR!$AE726,IF(H728="LAYO",PR!$AF726,IF(H728="LEADWAY",PR!$AG726,IF(H728="LHV",PR!$AH726,IF(H728="MANOLA",PR!$AI726,IF(H728="MARCSON",PR!$AJ726,IF(H728="M&amp;B",PR!$AK726,IF(H728="MTRUST",PR!$AL726,IF(H728="MWORLD",PR!$AM726,IF(H728="MEGA",PR!$AN726,IF(H728="MICRONOVA",PR!$AO726,IF(H728="MFLASH",PR!$AP726,IF(H728="MORISON",PR!$AQ726,IF(H728="NEMEL",PR!$AR726,IF(H728="NHP",PR!$AS726,IF(H728="NHC",PR!$AT726,IF(H728="OLEAF",PR!$AU726,IF(H728="OCULUS",PR!$AV726,IF(H728="PACIFIC",PR!$AW726,IF(H728="PHAMATEX",PR!$AX726,IF(H728="PETHICS",PR!$AY726,IF(H728="PHILIPS",PR!$AZ726,IF(H728="RANBAXY",PR!$BA726,IF(H728="REALS",PR!$BB726,IF(H728="ROYAL",PR!$BC726,IF(H728="SAM",PR!$BD726,IF(H728="SEAGREEN",PR!$BE726,IF(H728="SKG",PR!$BF726,IF(H728="TAH",PR!$BG726,IF(H728="TAYLEK",PR!$BH726,IF(H728="TEMITA",PR!$BI726,IF(H728="THL",PR!$BJ726,IF(H728="UBASTIC",PR!$BK726,IF(H728="UNION",PR!$BL726,IF(H728="UNIQUE",PR!$BM726,IF(H728="VIXA",PR!$BN726,IF(H728="WWCV",PR!$BO726,IF(H728="ZOLON",PR!$BP726,"-"))))))))))))))))))))))))))))))))))))))))))))))))))))))))))))))))</f>
        <v>1800</v>
      </c>
      <c r="H728" s="102" t="str">
        <f>EV!M945</f>
        <v>EUMATT</v>
      </c>
      <c r="I728" s="108" t="str">
        <f>IF(J728="ALPHA",PR!$E726,IF(J728="ASSENE",PR!$F726,IF(J728="BIOFEM",PR!$G726,IF(J728="BIOMED",PR!$H726,IF(J728="CHI",PR!$I726,IF(J728="CLARION",PR!$J726,IF(J728="CODIX",PR!$K726,IF(J728="COSMADE",PR!$L726,IF(J728="SANCON",PR!$M726,IF(J728="DEVON",PR!$N726,IF(J728="DORTEMAG",PR!$O726,IF(J728="DGF",PR!$P726,IF(J728="DYNAMIC",PR!$Q726,IF(J728="EMZOR",PR!$R726,IF(J728="EUMATT",PR!$S726,IF(J728="FIDSON",PR!$T726,IF(J728="FCGLOBAL",PR!$U726,IF(J728="GENEITH",PR!$V726,IF(J728="GINOS",PR!$W726,IF(J728="GSK",PR!$X726,IF(J728="GLOBORG",PR!$Y726,IF(J728="GOODNEWS",PR!$Z726,IF(J728="GREENLIFE",PR!$AA726,IF(J728="HLINE",PR!$AB726,IF(J728="ROTECH",PR!$AC726,IF(J728="ISN",PR!$AD726,IF(J728="JAWA",PR!$AE726,IF(J728="LAYO",PR!$AF726,IF(J728="LEADWAY",PR!$AG726,IF(J728="LHV",PR!$AH726,IF(J728="MANOLA",PR!$AI726,IF(J728="MARCSON",PR!$AJ726,IF(J728="M&amp;B",PR!$AK726,IF(J728="MTRUST",PR!$AL726,IF(J728="MWORLD",PR!$AM726,IF(J728="MEGA",PR!$AN726,IF(J728="MICRONOVA",PR!$AO726,IF(J728="MFLASH",PR!$AP726,IF(J728="MORISON",PR!$AQ726,IF(J728="NEMEL",PR!$AR726,IF(J728="NHP",PR!$AS726,IF(J728="NHC",PR!$AT726,IF(J728="OLEAF",PR!$AU726,IF(J728="OCULUS",PR!$AV726,IF(J728="PACIFIC",PR!$AW726,IF(J728="PHAMATEX",PR!$AX726,IF(J728="PETHICS",PR!$AY726,IF(J728="PHILIPS",PR!$AZ726,IF(J728="RANBAXY",PR!$BA726,IF(J728="REALS",PR!$BB726,IF(J728="ROYAL",PR!$BC726,IF(J728="SAM",PR!$BD726,IF(J728="SEAGREEN",PR!$BE726,IF(J728="SKG",PR!$BF726,IF(J728="TAH",PR!$BG726,IF(J728="TAYLEK",PR!$BH726,IF(J728="TEMITA",PR!$BI726,IF(J728="THL",PR!$BJ726,IF(J728="UBASTIC",PR!$BK726,IF(J728="UNION",PR!$BL726,IF(J728="UNIQUE",PR!$BM726,IF(J728="VIXA",PR!$BN726,IF(J728="WWCV",PR!$BO726,IF(J728="ZOLON",PR!$BP726,"-"))))))))))))))))))))))))))))))))))))))))))))))))))))))))))))))))</f>
        <v>-</v>
      </c>
      <c r="J728" s="102">
        <f>EV!N945</f>
        <v>0</v>
      </c>
      <c r="K728" s="433" t="s">
        <v>1243</v>
      </c>
      <c r="L728" s="183">
        <f>IF(K728&gt;0,IF(K728="ALPHA",PR!$E726,IF(K728="ASSENE",PR!$F726,IF(K728="BIOFEM",PR!$G726,IF(K728="BIOMED",PR!$H726,IF(K728="CHI",PR!$I726,IF(K728="CLARION",PR!$J726,IF(K728="CODIX",PR!$K726,IF(K728="COSMADE",PR!$L726,IF(K728="SANCON",PR!$M726,IF(K728="DEVON",PR!$N726,IF(K728="DORTEMAG",PR!$O726,IF(K728="DGF",PR!$P726,IF(K728="DYNAMIC",PR!$Q726,IF(K728="EMZOR",PR!$R726,IF(K728="EUMATT",PR!$S726,IF(K728="FIDSON",PR!$T726,IF(K728="FCGLOBAL",PR!$U726,IF(K728="GENEITH",PR!$V726,IF(K728="GINOS",PR!$W726,IF(K728="GSK",PR!$X726,IF(K728="GLOBORG",PR!$Y726,IF(K728="GOODNEWS",PR!$Z726,IF(K728="GREENLIFE",PR!$AA726,IF(K728="HLINE",PR!$AB726,IF(K728="ROTECH",PR!$AC726,IF(K728="ISN",PR!$AD726,IF(K728="JAWA",PR!$AE726,IF(K728="LAYO",PR!$AF726,IF(K728="LEADWAY",PR!$AG726,IF(K728="LHV",PR!$AH726,IF(K728="MANOLA",PR!$AI726,IF(K728="MARCSON",PR!$AJ726,IF(K728="M&amp;B",PR!$AK726,IF(K728="MTRUST",PR!$AL726,IF(K728="MWORLD",PR!$AM726,IF(K728="MEGA",PR!$AN726,IF(K728="MICRONOVA",PR!$AO726,IF(K728="MFLASH",PR!$AP726,IF(K728="MORISON",PR!$AQ726,IF(K728="NEMEL",PR!$AR726,IF(K728="NHP",PR!$AS726,IF(K728="NHC",PR!$AT726,IF(K728="OLEAF",PR!$AU726,IF(K728="OCULUS",PR!$AV726,IF(K728="PACIFIC",PR!$AW726,IF(K728="PHAMATEX",PR!$AX726,IF(K728="PETHICS",PR!$AY726,IF(K728="PHILIPS",PR!$AZ726,IF(K728="RANBAXY",PR!$BA726,IF(K728="REALS",PR!$BB726,IF(K728="ROYAL",PR!$BC726,IF(K728="SAM",PR!$BD726,IF(K728="SEAGREEN",PR!$BE726,IF(K728="SKG",PR!$BF726,IF(K728="TAH",PR!$BG726,IF(K728="TAYLEK",PR!$BH726,IF(K728="TEMITA",PR!$BI726,IF(K728="THL",PR!$BJ726,IF(K728="UBASTIC",PR!$BK726,IF(K728="UNION",PR!$BL726,IF(K728="UNIQUE",PR!$BM726,IF(K728="VIXA",PR!$BN726,IF(K728="WWCV",PR!$BO726,IF(K728="ZOLON",PR!$BP726,"-")))))))))))))))))))))))))))))))))))))))))))))))))))))))))))))))))</f>
        <v>1200</v>
      </c>
    </row>
    <row r="729" spans="1:12" ht="18.75" x14ac:dyDescent="0.3">
      <c r="A729" s="430">
        <f>PR!A727</f>
        <v>662</v>
      </c>
      <c r="B729" s="15" t="str">
        <f>PR!B727</f>
        <v>PERMETHRIN CREAM</v>
      </c>
      <c r="C729" s="113" t="str">
        <f>PR!D727</f>
        <v>TUBE</v>
      </c>
      <c r="D729" s="113">
        <f>PR!C727</f>
        <v>20</v>
      </c>
      <c r="E729" s="108">
        <f>IF(F729="ALPHA",PR!$E727,IF(F729="ASSENE",PR!$F727,IF(F729="BIOFEM",PR!$G727,IF(F729="BIOMED",PR!$H727,IF(F729="CHI",PR!$I727,IF(F729="CLARION",PR!$J727,IF(F729="CODIX",PR!$K727,IF(F729="COSMADE",PR!$L727,IF(F729="SANCON",PR!$M727,IF(F729="DEVON",PR!$N727,IF(F729="DORTEMAG",PR!$O727,IF(F729="DGF",PR!$P727,IF(F729="DYNAMIC",PR!$Q727,IF(F729="EMZOR",PR!$R727,IF(F729="EUMATT",PR!$S727,IF(F729="FIDSON",PR!$T727,IF(F729="FCGLOBAL",PR!$U727,IF(F729="GENEITH",PR!$V727,IF(F729="GINOS",PR!$W727,IF(F729="GSK",PR!$X727,IF(F729="GLOBORG",PR!$Y727,IF(F729="GOODNEWS",PR!$Z727,IF(F729="GREENLIFE",PR!$AA727,IF(F729="HLINE",PR!$AB727,IF(F729="ROTECH",PR!$AC727,IF(F729="ISN",PR!$AD727,IF(F729="JAWA",PR!$AE727,IF(F729="LAYO",PR!$AF727,IF(F729="LEADWAY",PR!$AG727,IF(F729="LHV",PR!$AH727,IF(F729="MANOLA",PR!$AI727,IF(F729="MARCSON",PR!$AJ727,IF(F729="M&amp;B",PR!$AK727,IF(F729="MTRUST",PR!$AL727,IF(F729="MWORLD",PR!$AM727,IF(F729="MEGA",PR!$AN727,IF(F729="MICRONOVA",PR!$AO727,IF(F729="MFLASH",PR!$AP727,IF(F729="MORISON",PR!$AQ727,IF(F729="NEMEL",PR!$AR727,IF(F729="NHP",PR!$AS727,IF(F729="NHC",PR!$AT727,IF(F729="OLEAF",PR!$AU727,IF(F729="OCULUS",PR!$AV727,IF(F729="PACIFIC",PR!$AW727,IF(F729="PHAMATEX",PR!$AX727,IF(F729="PETHICS",PR!$AY727,IF(F729="PHILIPS",PR!$AZ727,IF(F729="RANBAXY",PR!$BA727,IF(F729="REALS",PR!$BB727,IF(F729="ROYAL",PR!$BC727,IF(F729="SAM",PR!$BD727,IF(F729="SEAGREEN",PR!$BE727,IF(F729="SKG",PR!$BF727,IF(F729="TAH",PR!$BG727,IF(F729="TAYLEK",PR!$BH727,IF(F729="TEMITA",PR!$BI727,IF(F729="THL",PR!$BJ727,IF(F729="UBASTIC",PR!$BK727,IF(F729="UNION",PR!$BL727,IF(F729="UNIQUE",PR!$BM727,IF(F729="VIXA",PR!$BN727,IF(F729="WWCV",PR!$BO727,IF(F729="ZOLON",PR!$BP727,"-"))))))))))))))))))))))))))))))))))))))))))))))))))))))))))))))))</f>
        <v>1800</v>
      </c>
      <c r="F729" s="102" t="str">
        <f>EV!L946</f>
        <v>EUMATT</v>
      </c>
      <c r="G729" s="108" t="str">
        <f>IF(H729="ALPHA",PR!$E727,IF(H729="ASSENE",PR!$F727,IF(H729="BIOFEM",PR!$G727,IF(H729="BIOMED",PR!$H727,IF(H729="CHI",PR!$I727,IF(H729="CLARION",PR!$J727,IF(H729="CODIX",PR!$K727,IF(H729="COSMADE",PR!$L727,IF(H729="SANCON",PR!$M727,IF(H729="DEVON",PR!$N727,IF(H729="DORTEMAG",PR!$O727,IF(H729="DGF",PR!$P727,IF(H729="DYNAMIC",PR!$Q727,IF(H729="EMZOR",PR!$R727,IF(H729="EUMATT",PR!$S727,IF(H729="FIDSON",PR!$T727,IF(H729="FCGLOBAL",PR!$U727,IF(H729="GENEITH",PR!$V727,IF(H729="GINOS",PR!$W727,IF(H729="GSK",PR!$X727,IF(H729="GLOBORG",PR!$Y727,IF(H729="GOODNEWS",PR!$Z727,IF(H729="GREENLIFE",PR!$AA727,IF(H729="HLINE",PR!$AB727,IF(H729="ROTECH",PR!$AC727,IF(H729="ISN",PR!$AD727,IF(H729="JAWA",PR!$AE727,IF(H729="LAYO",PR!$AF727,IF(H729="LEADWAY",PR!$AG727,IF(H729="LHV",PR!$AH727,IF(H729="MANOLA",PR!$AI727,IF(H729="MARCSON",PR!$AJ727,IF(H729="M&amp;B",PR!$AK727,IF(H729="MTRUST",PR!$AL727,IF(H729="MWORLD",PR!$AM727,IF(H729="MEGA",PR!$AN727,IF(H729="MICRONOVA",PR!$AO727,IF(H729="MFLASH",PR!$AP727,IF(H729="MORISON",PR!$AQ727,IF(H729="NEMEL",PR!$AR727,IF(H729="NHP",PR!$AS727,IF(H729="NHC",PR!$AT727,IF(H729="OLEAF",PR!$AU727,IF(H729="OCULUS",PR!$AV727,IF(H729="PACIFIC",PR!$AW727,IF(H729="PHAMATEX",PR!$AX727,IF(H729="PETHICS",PR!$AY727,IF(H729="PHILIPS",PR!$AZ727,IF(H729="RANBAXY",PR!$BA727,IF(H729="REALS",PR!$BB727,IF(H729="ROYAL",PR!$BC727,IF(H729="SAM",PR!$BD727,IF(H729="SEAGREEN",PR!$BE727,IF(H729="SKG",PR!$BF727,IF(H729="TAH",PR!$BG727,IF(H729="TAYLEK",PR!$BH727,IF(H729="TEMITA",PR!$BI727,IF(H729="THL",PR!$BJ727,IF(H729="UBASTIC",PR!$BK727,IF(H729="UNION",PR!$BL727,IF(H729="UNIQUE",PR!$BM727,IF(H729="VIXA",PR!$BN727,IF(H729="WWCV",PR!$BO727,IF(H729="ZOLON",PR!$BP727,"-"))))))))))))))))))))))))))))))))))))))))))))))))))))))))))))))))</f>
        <v>-</v>
      </c>
      <c r="H729" s="102">
        <f>EV!M946</f>
        <v>0</v>
      </c>
      <c r="I729" s="108" t="str">
        <f>IF(J729="ALPHA",PR!$E727,IF(J729="ASSENE",PR!$F727,IF(J729="BIOFEM",PR!$G727,IF(J729="BIOMED",PR!$H727,IF(J729="CHI",PR!$I727,IF(J729="CLARION",PR!$J727,IF(J729="CODIX",PR!$K727,IF(J729="COSMADE",PR!$L727,IF(J729="SANCON",PR!$M727,IF(J729="DEVON",PR!$N727,IF(J729="DORTEMAG",PR!$O727,IF(J729="DGF",PR!$P727,IF(J729="DYNAMIC",PR!$Q727,IF(J729="EMZOR",PR!$R727,IF(J729="EUMATT",PR!$S727,IF(J729="FIDSON",PR!$T727,IF(J729="FCGLOBAL",PR!$U727,IF(J729="GENEITH",PR!$V727,IF(J729="GINOS",PR!$W727,IF(J729="GSK",PR!$X727,IF(J729="GLOBORG",PR!$Y727,IF(J729="GOODNEWS",PR!$Z727,IF(J729="GREENLIFE",PR!$AA727,IF(J729="HLINE",PR!$AB727,IF(J729="ROTECH",PR!$AC727,IF(J729="ISN",PR!$AD727,IF(J729="JAWA",PR!$AE727,IF(J729="LAYO",PR!$AF727,IF(J729="LEADWAY",PR!$AG727,IF(J729="LHV",PR!$AH727,IF(J729="MANOLA",PR!$AI727,IF(J729="MARCSON",PR!$AJ727,IF(J729="M&amp;B",PR!$AK727,IF(J729="MTRUST",PR!$AL727,IF(J729="MWORLD",PR!$AM727,IF(J729="MEGA",PR!$AN727,IF(J729="MICRONOVA",PR!$AO727,IF(J729="MFLASH",PR!$AP727,IF(J729="MORISON",PR!$AQ727,IF(J729="NEMEL",PR!$AR727,IF(J729="NHP",PR!$AS727,IF(J729="NHC",PR!$AT727,IF(J729="OLEAF",PR!$AU727,IF(J729="OCULUS",PR!$AV727,IF(J729="PACIFIC",PR!$AW727,IF(J729="PHAMATEX",PR!$AX727,IF(J729="PETHICS",PR!$AY727,IF(J729="PHILIPS",PR!$AZ727,IF(J729="RANBAXY",PR!$BA727,IF(J729="REALS",PR!$BB727,IF(J729="ROYAL",PR!$BC727,IF(J729="SAM",PR!$BD727,IF(J729="SEAGREEN",PR!$BE727,IF(J729="SKG",PR!$BF727,IF(J729="TAH",PR!$BG727,IF(J729="TAYLEK",PR!$BH727,IF(J729="TEMITA",PR!$BI727,IF(J729="THL",PR!$BJ727,IF(J729="UBASTIC",PR!$BK727,IF(J729="UNION",PR!$BL727,IF(J729="UNIQUE",PR!$BM727,IF(J729="VIXA",PR!$BN727,IF(J729="WWCV",PR!$BO727,IF(J729="ZOLON",PR!$BP727,"-"))))))))))))))))))))))))))))))))))))))))))))))))))))))))))))))))</f>
        <v>-</v>
      </c>
      <c r="J729" s="102">
        <f>EV!N946</f>
        <v>0</v>
      </c>
      <c r="K729" s="433" t="s">
        <v>821</v>
      </c>
      <c r="L729" s="183">
        <f>IF(K729&gt;0,IF(K729="ALPHA",PR!$E727,IF(K729="ASSENE",PR!$F727,IF(K729="BIOFEM",PR!$G727,IF(K729="BIOMED",PR!$H727,IF(K729="CHI",PR!$I727,IF(K729="CLARION",PR!$J727,IF(K729="CODIX",PR!$K727,IF(K729="COSMADE",PR!$L727,IF(K729="SANCON",PR!$M727,IF(K729="DEVON",PR!$N727,IF(K729="DORTEMAG",PR!$O727,IF(K729="DGF",PR!$P727,IF(K729="DYNAMIC",PR!$Q727,IF(K729="EMZOR",PR!$R727,IF(K729="EUMATT",PR!$S727,IF(K729="FIDSON",PR!$T727,IF(K729="FCGLOBAL",PR!$U727,IF(K729="GENEITH",PR!$V727,IF(K729="GINOS",PR!$W727,IF(K729="GSK",PR!$X727,IF(K729="GLOBORG",PR!$Y727,IF(K729="GOODNEWS",PR!$Z727,IF(K729="GREENLIFE",PR!$AA727,IF(K729="HLINE",PR!$AB727,IF(K729="ROTECH",PR!$AC727,IF(K729="ISN",PR!$AD727,IF(K729="JAWA",PR!$AE727,IF(K729="LAYO",PR!$AF727,IF(K729="LEADWAY",PR!$AG727,IF(K729="LHV",PR!$AH727,IF(K729="MANOLA",PR!$AI727,IF(K729="MARCSON",PR!$AJ727,IF(K729="M&amp;B",PR!$AK727,IF(K729="MTRUST",PR!$AL727,IF(K729="MWORLD",PR!$AM727,IF(K729="MEGA",PR!$AN727,IF(K729="MICRONOVA",PR!$AO727,IF(K729="MFLASH",PR!$AP727,IF(K729="MORISON",PR!$AQ727,IF(K729="NEMEL",PR!$AR727,IF(K729="NHP",PR!$AS727,IF(K729="NHC",PR!$AT727,IF(K729="OLEAF",PR!$AU727,IF(K729="OCULUS",PR!$AV727,IF(K729="PACIFIC",PR!$AW727,IF(K729="PHAMATEX",PR!$AX727,IF(K729="PETHICS",PR!$AY727,IF(K729="PHILIPS",PR!$AZ727,IF(K729="RANBAXY",PR!$BA727,IF(K729="REALS",PR!$BB727,IF(K729="ROYAL",PR!$BC727,IF(K729="SAM",PR!$BD727,IF(K729="SEAGREEN",PR!$BE727,IF(K729="SKG",PR!$BF727,IF(K729="TAH",PR!$BG727,IF(K729="TAYLEK",PR!$BH727,IF(K729="TEMITA",PR!$BI727,IF(K729="THL",PR!$BJ727,IF(K729="UBASTIC",PR!$BK727,IF(K729="UNION",PR!$BL727,IF(K729="UNIQUE",PR!$BM727,IF(K729="VIXA",PR!$BN727,IF(K729="WWCV",PR!$BO727,IF(K729="ZOLON",PR!$BP727,"-")))))))))))))))))))))))))))))))))))))))))))))))))))))))))))))))))</f>
        <v>1800</v>
      </c>
    </row>
    <row r="730" spans="1:12" ht="18.75" x14ac:dyDescent="0.3">
      <c r="A730" s="430">
        <f>PR!A728</f>
        <v>663</v>
      </c>
      <c r="B730" s="15" t="str">
        <f>PR!B728</f>
        <v>POVIDONE IODINE OINTMENT</v>
      </c>
      <c r="C730" s="113" t="str">
        <f>PR!D728</f>
        <v>TUBE</v>
      </c>
      <c r="D730" s="113">
        <f>PR!C728</f>
        <v>200</v>
      </c>
      <c r="E730" s="108">
        <f>IF(F730="ALPHA",PR!$E728,IF(F730="ASSENE",PR!$F728,IF(F730="BIOFEM",PR!$G728,IF(F730="BIOMED",PR!$H728,IF(F730="CHI",PR!$I728,IF(F730="CLARION",PR!$J728,IF(F730="CODIX",PR!$K728,IF(F730="COSMADE",PR!$L728,IF(F730="SANCON",PR!$M728,IF(F730="DEVON",PR!$N728,IF(F730="DORTEMAG",PR!$O728,IF(F730="DGF",PR!$P728,IF(F730="DYNAMIC",PR!$Q728,IF(F730="EMZOR",PR!$R728,IF(F730="EUMATT",PR!$S728,IF(F730="FIDSON",PR!$T728,IF(F730="FCGLOBAL",PR!$U728,IF(F730="GENEITH",PR!$V728,IF(F730="GINOS",PR!$W728,IF(F730="GSK",PR!$X728,IF(F730="GLOBORG",PR!$Y728,IF(F730="GOODNEWS",PR!$Z728,IF(F730="GREENLIFE",PR!$AA728,IF(F730="HLINE",PR!$AB728,IF(F730="ROTECH",PR!$AC728,IF(F730="ISN",PR!$AD728,IF(F730="JAWA",PR!$AE728,IF(F730="LAYO",PR!$AF728,IF(F730="LEADWAY",PR!$AG728,IF(F730="LHV",PR!$AH728,IF(F730="MANOLA",PR!$AI728,IF(F730="MARCSON",PR!$AJ728,IF(F730="M&amp;B",PR!$AK728,IF(F730="MTRUST",PR!$AL728,IF(F730="MWORLD",PR!$AM728,IF(F730="MEGA",PR!$AN728,IF(F730="MICRONOVA",PR!$AO728,IF(F730="MFLASH",PR!$AP728,IF(F730="MORISON",PR!$AQ728,IF(F730="NEMEL",PR!$AR728,IF(F730="NHP",PR!$AS728,IF(F730="NHC",PR!$AT728,IF(F730="OLEAF",PR!$AU728,IF(F730="OCULUS",PR!$AV728,IF(F730="PACIFIC",PR!$AW728,IF(F730="PHAMATEX",PR!$AX728,IF(F730="PETHICS",PR!$AY728,IF(F730="PHILIPS",PR!$AZ728,IF(F730="RANBAXY",PR!$BA728,IF(F730="REALS",PR!$BB728,IF(F730="ROYAL",PR!$BC728,IF(F730="SAM",PR!$BD728,IF(F730="SEAGREEN",PR!$BE728,IF(F730="SKG",PR!$BF728,IF(F730="TAH",PR!$BG728,IF(F730="TAYLEK",PR!$BH728,IF(F730="TEMITA",PR!$BI728,IF(F730="THL",PR!$BJ728,IF(F730="UBASTIC",PR!$BK728,IF(F730="UNION",PR!$BL728,IF(F730="UNIQUE",PR!$BM728,IF(F730="VIXA",PR!$BN728,IF(F730="WWCV",PR!$BO728,IF(F730="ZOLON",PR!$BP728,"-"))))))))))))))))))))))))))))))))))))))))))))))))))))))))))))))))</f>
        <v>165</v>
      </c>
      <c r="F730" s="102" t="str">
        <f>EV!L947</f>
        <v>JAWA</v>
      </c>
      <c r="G730" s="108" t="str">
        <f>IF(H730="ALPHA",PR!$E728,IF(H730="ASSENE",PR!$F728,IF(H730="BIOFEM",PR!$G728,IF(H730="BIOMED",PR!$H728,IF(H730="CHI",PR!$I728,IF(H730="CLARION",PR!$J728,IF(H730="CODIX",PR!$K728,IF(H730="COSMADE",PR!$L728,IF(H730="SANCON",PR!$M728,IF(H730="DEVON",PR!$N728,IF(H730="DORTEMAG",PR!$O728,IF(H730="DGF",PR!$P728,IF(H730="DYNAMIC",PR!$Q728,IF(H730="EMZOR",PR!$R728,IF(H730="EUMATT",PR!$S728,IF(H730="FIDSON",PR!$T728,IF(H730="FCGLOBAL",PR!$U728,IF(H730="GENEITH",PR!$V728,IF(H730="GINOS",PR!$W728,IF(H730="GSK",PR!$X728,IF(H730="GLOBORG",PR!$Y728,IF(H730="GOODNEWS",PR!$Z728,IF(H730="GREENLIFE",PR!$AA728,IF(H730="HLINE",PR!$AB728,IF(H730="ROTECH",PR!$AC728,IF(H730="ISN",PR!$AD728,IF(H730="JAWA",PR!$AE728,IF(H730="LAYO",PR!$AF728,IF(H730="LEADWAY",PR!$AG728,IF(H730="LHV",PR!$AH728,IF(H730="MANOLA",PR!$AI728,IF(H730="MARCSON",PR!$AJ728,IF(H730="M&amp;B",PR!$AK728,IF(H730="MTRUST",PR!$AL728,IF(H730="MWORLD",PR!$AM728,IF(H730="MEGA",PR!$AN728,IF(H730="MICRONOVA",PR!$AO728,IF(H730="MFLASH",PR!$AP728,IF(H730="MORISON",PR!$AQ728,IF(H730="NEMEL",PR!$AR728,IF(H730="NHP",PR!$AS728,IF(H730="NHC",PR!$AT728,IF(H730="OLEAF",PR!$AU728,IF(H730="OCULUS",PR!$AV728,IF(H730="PACIFIC",PR!$AW728,IF(H730="PHAMATEX",PR!$AX728,IF(H730="PETHICS",PR!$AY728,IF(H730="PHILIPS",PR!$AZ728,IF(H730="RANBAXY",PR!$BA728,IF(H730="REALS",PR!$BB728,IF(H730="ROYAL",PR!$BC728,IF(H730="SAM",PR!$BD728,IF(H730="SEAGREEN",PR!$BE728,IF(H730="SKG",PR!$BF728,IF(H730="TAH",PR!$BG728,IF(H730="TAYLEK",PR!$BH728,IF(H730="TEMITA",PR!$BI728,IF(H730="THL",PR!$BJ728,IF(H730="UBASTIC",PR!$BK728,IF(H730="UNION",PR!$BL728,IF(H730="UNIQUE",PR!$BM728,IF(H730="VIXA",PR!$BN728,IF(H730="WWCV",PR!$BO728,IF(H730="ZOLON",PR!$BP728,"-"))))))))))))))))))))))))))))))))))))))))))))))))))))))))))))))))</f>
        <v>-</v>
      </c>
      <c r="H730" s="102">
        <f>EV!M947</f>
        <v>0</v>
      </c>
      <c r="I730" s="108" t="str">
        <f>IF(J730="ALPHA",PR!$E728,IF(J730="ASSENE",PR!$F728,IF(J730="BIOFEM",PR!$G728,IF(J730="BIOMED",PR!$H728,IF(J730="CHI",PR!$I728,IF(J730="CLARION",PR!$J728,IF(J730="CODIX",PR!$K728,IF(J730="COSMADE",PR!$L728,IF(J730="SANCON",PR!$M728,IF(J730="DEVON",PR!$N728,IF(J730="DORTEMAG",PR!$O728,IF(J730="DGF",PR!$P728,IF(J730="DYNAMIC",PR!$Q728,IF(J730="EMZOR",PR!$R728,IF(J730="EUMATT",PR!$S728,IF(J730="FIDSON",PR!$T728,IF(J730="FCGLOBAL",PR!$U728,IF(J730="GENEITH",PR!$V728,IF(J730="GINOS",PR!$W728,IF(J730="GSK",PR!$X728,IF(J730="GLOBORG",PR!$Y728,IF(J730="GOODNEWS",PR!$Z728,IF(J730="GREENLIFE",PR!$AA728,IF(J730="HLINE",PR!$AB728,IF(J730="ROTECH",PR!$AC728,IF(J730="ISN",PR!$AD728,IF(J730="JAWA",PR!$AE728,IF(J730="LAYO",PR!$AF728,IF(J730="LEADWAY",PR!$AG728,IF(J730="LHV",PR!$AH728,IF(J730="MANOLA",PR!$AI728,IF(J730="MARCSON",PR!$AJ728,IF(J730="M&amp;B",PR!$AK728,IF(J730="MTRUST",PR!$AL728,IF(J730="MWORLD",PR!$AM728,IF(J730="MEGA",PR!$AN728,IF(J730="MICRONOVA",PR!$AO728,IF(J730="MFLASH",PR!$AP728,IF(J730="MORISON",PR!$AQ728,IF(J730="NEMEL",PR!$AR728,IF(J730="NHP",PR!$AS728,IF(J730="NHC",PR!$AT728,IF(J730="OLEAF",PR!$AU728,IF(J730="OCULUS",PR!$AV728,IF(J730="PACIFIC",PR!$AW728,IF(J730="PHAMATEX",PR!$AX728,IF(J730="PETHICS",PR!$AY728,IF(J730="PHILIPS",PR!$AZ728,IF(J730="RANBAXY",PR!$BA728,IF(J730="REALS",PR!$BB728,IF(J730="ROYAL",PR!$BC728,IF(J730="SAM",PR!$BD728,IF(J730="SEAGREEN",PR!$BE728,IF(J730="SKG",PR!$BF728,IF(J730="TAH",PR!$BG728,IF(J730="TAYLEK",PR!$BH728,IF(J730="TEMITA",PR!$BI728,IF(J730="THL",PR!$BJ728,IF(J730="UBASTIC",PR!$BK728,IF(J730="UNION",PR!$BL728,IF(J730="UNIQUE",PR!$BM728,IF(J730="VIXA",PR!$BN728,IF(J730="WWCV",PR!$BO728,IF(J730="ZOLON",PR!$BP728,"-"))))))))))))))))))))))))))))))))))))))))))))))))))))))))))))))))</f>
        <v>-</v>
      </c>
      <c r="J730" s="102">
        <f>EV!N947</f>
        <v>0</v>
      </c>
      <c r="K730" s="433" t="s">
        <v>630</v>
      </c>
      <c r="L730" s="183">
        <f>IF(K730&gt;0,IF(K730="ALPHA",PR!$E728,IF(K730="ASSENE",PR!$F728,IF(K730="BIOFEM",PR!$G728,IF(K730="BIOMED",PR!$H728,IF(K730="CHI",PR!$I728,IF(K730="CLARION",PR!$J728,IF(K730="CODIX",PR!$K728,IF(K730="COSMADE",PR!$L728,IF(K730="SANCON",PR!$M728,IF(K730="DEVON",PR!$N728,IF(K730="DORTEMAG",PR!$O728,IF(K730="DGF",PR!$P728,IF(K730="DYNAMIC",PR!$Q728,IF(K730="EMZOR",PR!$R728,IF(K730="EUMATT",PR!$S728,IF(K730="FIDSON",PR!$T728,IF(K730="FCGLOBAL",PR!$U728,IF(K730="GENEITH",PR!$V728,IF(K730="GINOS",PR!$W728,IF(K730="GSK",PR!$X728,IF(K730="GLOBORG",PR!$Y728,IF(K730="GOODNEWS",PR!$Z728,IF(K730="GREENLIFE",PR!$AA728,IF(K730="HLINE",PR!$AB728,IF(K730="ROTECH",PR!$AC728,IF(K730="ISN",PR!$AD728,IF(K730="JAWA",PR!$AE728,IF(K730="LAYO",PR!$AF728,IF(K730="LEADWAY",PR!$AG728,IF(K730="LHV",PR!$AH728,IF(K730="MANOLA",PR!$AI728,IF(K730="MARCSON",PR!$AJ728,IF(K730="M&amp;B",PR!$AK728,IF(K730="MTRUST",PR!$AL728,IF(K730="MWORLD",PR!$AM728,IF(K730="MEGA",PR!$AN728,IF(K730="MICRONOVA",PR!$AO728,IF(K730="MFLASH",PR!$AP728,IF(K730="MORISON",PR!$AQ728,IF(K730="NEMEL",PR!$AR728,IF(K730="NHP",PR!$AS728,IF(K730="NHC",PR!$AT728,IF(K730="OLEAF",PR!$AU728,IF(K730="OCULUS",PR!$AV728,IF(K730="PACIFIC",PR!$AW728,IF(K730="PHAMATEX",PR!$AX728,IF(K730="PETHICS",PR!$AY728,IF(K730="PHILIPS",PR!$AZ728,IF(K730="RANBAXY",PR!$BA728,IF(K730="REALS",PR!$BB728,IF(K730="ROYAL",PR!$BC728,IF(K730="SAM",PR!$BD728,IF(K730="SEAGREEN",PR!$BE728,IF(K730="SKG",PR!$BF728,IF(K730="TAH",PR!$BG728,IF(K730="TAYLEK",PR!$BH728,IF(K730="TEMITA",PR!$BI728,IF(K730="THL",PR!$BJ728,IF(K730="UBASTIC",PR!$BK728,IF(K730="UNION",PR!$BL728,IF(K730="UNIQUE",PR!$BM728,IF(K730="VIXA",PR!$BN728,IF(K730="WWCV",PR!$BO728,IF(K730="ZOLON",PR!$BP728,"-")))))))))))))))))))))))))))))))))))))))))))))))))))))))))))))))))</f>
        <v>165</v>
      </c>
    </row>
    <row r="731" spans="1:12" ht="18.75" x14ac:dyDescent="0.3">
      <c r="A731" s="430">
        <f>PR!A729</f>
        <v>664</v>
      </c>
      <c r="B731" s="15" t="str">
        <f>PR!B729</f>
        <v>RETIN A GEL</v>
      </c>
      <c r="C731" s="113" t="str">
        <f>PR!D729</f>
        <v>TUBE</v>
      </c>
      <c r="D731" s="113">
        <f>PR!C729</f>
        <v>20</v>
      </c>
      <c r="E731" s="108">
        <f>IF(F731="ALPHA",PR!$E729,IF(F731="ASSENE",PR!$F729,IF(F731="BIOFEM",PR!$G729,IF(F731="BIOMED",PR!$H729,IF(F731="CHI",PR!$I729,IF(F731="CLARION",PR!$J729,IF(F731="CODIX",PR!$K729,IF(F731="COSMADE",PR!$L729,IF(F731="SANCON",PR!$M729,IF(F731="DEVON",PR!$N729,IF(F731="DORTEMAG",PR!$O729,IF(F731="DGF",PR!$P729,IF(F731="DYNAMIC",PR!$Q729,IF(F731="EMZOR",PR!$R729,IF(F731="EUMATT",PR!$S729,IF(F731="FIDSON",PR!$T729,IF(F731="FCGLOBAL",PR!$U729,IF(F731="GENEITH",PR!$V729,IF(F731="GINOS",PR!$W729,IF(F731="GSK",PR!$X729,IF(F731="GLOBORG",PR!$Y729,IF(F731="GOODNEWS",PR!$Z729,IF(F731="GREENLIFE",PR!$AA729,IF(F731="HLINE",PR!$AB729,IF(F731="ROTECH",PR!$AC729,IF(F731="ISN",PR!$AD729,IF(F731="JAWA",PR!$AE729,IF(F731="LAYO",PR!$AF729,IF(F731="LEADWAY",PR!$AG729,IF(F731="LHV",PR!$AH729,IF(F731="MANOLA",PR!$AI729,IF(F731="MARCSON",PR!$AJ729,IF(F731="M&amp;B",PR!$AK729,IF(F731="MTRUST",PR!$AL729,IF(F731="MWORLD",PR!$AM729,IF(F731="MEGA",PR!$AN729,IF(F731="MICRONOVA",PR!$AO729,IF(F731="MFLASH",PR!$AP729,IF(F731="MORISON",PR!$AQ729,IF(F731="NEMEL",PR!$AR729,IF(F731="NHP",PR!$AS729,IF(F731="NHC",PR!$AT729,IF(F731="OLEAF",PR!$AU729,IF(F731="OCULUS",PR!$AV729,IF(F731="PACIFIC",PR!$AW729,IF(F731="PHAMATEX",PR!$AX729,IF(F731="PETHICS",PR!$AY729,IF(F731="PHILIPS",PR!$AZ729,IF(F731="RANBAXY",PR!$BA729,IF(F731="REALS",PR!$BB729,IF(F731="ROYAL",PR!$BC729,IF(F731="SAM",PR!$BD729,IF(F731="SEAGREEN",PR!$BE729,IF(F731="SKG",PR!$BF729,IF(F731="TAH",PR!$BG729,IF(F731="TAYLEK",PR!$BH729,IF(F731="TEMITA",PR!$BI729,IF(F731="THL",PR!$BJ729,IF(F731="UBASTIC",PR!$BK729,IF(F731="UNION",PR!$BL729,IF(F731="UNIQUE",PR!$BM729,IF(F731="VIXA",PR!$BN729,IF(F731="WWCV",PR!$BO729,IF(F731="ZOLON",PR!$BP729,"-"))))))))))))))))))))))))))))))))))))))))))))))))))))))))))))))))</f>
        <v>3000</v>
      </c>
      <c r="F731" s="102" t="str">
        <f>EV!L948</f>
        <v>EUMATT</v>
      </c>
      <c r="G731" s="108" t="str">
        <f>IF(H731="ALPHA",PR!$E729,IF(H731="ASSENE",PR!$F729,IF(H731="BIOFEM",PR!$G729,IF(H731="BIOMED",PR!$H729,IF(H731="CHI",PR!$I729,IF(H731="CLARION",PR!$J729,IF(H731="CODIX",PR!$K729,IF(H731="COSMADE",PR!$L729,IF(H731="SANCON",PR!$M729,IF(H731="DEVON",PR!$N729,IF(H731="DORTEMAG",PR!$O729,IF(H731="DGF",PR!$P729,IF(H731="DYNAMIC",PR!$Q729,IF(H731="EMZOR",PR!$R729,IF(H731="EUMATT",PR!$S729,IF(H731="FIDSON",PR!$T729,IF(H731="FCGLOBAL",PR!$U729,IF(H731="GENEITH",PR!$V729,IF(H731="GINOS",PR!$W729,IF(H731="GSK",PR!$X729,IF(H731="GLOBORG",PR!$Y729,IF(H731="GOODNEWS",PR!$Z729,IF(H731="GREENLIFE",PR!$AA729,IF(H731="HLINE",PR!$AB729,IF(H731="ROTECH",PR!$AC729,IF(H731="ISN",PR!$AD729,IF(H731="JAWA",PR!$AE729,IF(H731="LAYO",PR!$AF729,IF(H731="LEADWAY",PR!$AG729,IF(H731="LHV",PR!$AH729,IF(H731="MANOLA",PR!$AI729,IF(H731="MARCSON",PR!$AJ729,IF(H731="M&amp;B",PR!$AK729,IF(H731="MTRUST",PR!$AL729,IF(H731="MWORLD",PR!$AM729,IF(H731="MEGA",PR!$AN729,IF(H731="MICRONOVA",PR!$AO729,IF(H731="MFLASH",PR!$AP729,IF(H731="MORISON",PR!$AQ729,IF(H731="NEMEL",PR!$AR729,IF(H731="NHP",PR!$AS729,IF(H731="NHC",PR!$AT729,IF(H731="OLEAF",PR!$AU729,IF(H731="OCULUS",PR!$AV729,IF(H731="PACIFIC",PR!$AW729,IF(H731="PHAMATEX",PR!$AX729,IF(H731="PETHICS",PR!$AY729,IF(H731="PHILIPS",PR!$AZ729,IF(H731="RANBAXY",PR!$BA729,IF(H731="REALS",PR!$BB729,IF(H731="ROYAL",PR!$BC729,IF(H731="SAM",PR!$BD729,IF(H731="SEAGREEN",PR!$BE729,IF(H731="SKG",PR!$BF729,IF(H731="TAH",PR!$BG729,IF(H731="TAYLEK",PR!$BH729,IF(H731="TEMITA",PR!$BI729,IF(H731="THL",PR!$BJ729,IF(H731="UBASTIC",PR!$BK729,IF(H731="UNION",PR!$BL729,IF(H731="UNIQUE",PR!$BM729,IF(H731="VIXA",PR!$BN729,IF(H731="WWCV",PR!$BO729,IF(H731="ZOLON",PR!$BP729,"-"))))))))))))))))))))))))))))))))))))))))))))))))))))))))))))))))</f>
        <v>-</v>
      </c>
      <c r="H731" s="102">
        <f>EV!M948</f>
        <v>0</v>
      </c>
      <c r="I731" s="108" t="str">
        <f>IF(J731="ALPHA",PR!$E729,IF(J731="ASSENE",PR!$F729,IF(J731="BIOFEM",PR!$G729,IF(J731="BIOMED",PR!$H729,IF(J731="CHI",PR!$I729,IF(J731="CLARION",PR!$J729,IF(J731="CODIX",PR!$K729,IF(J731="COSMADE",PR!$L729,IF(J731="SANCON",PR!$M729,IF(J731="DEVON",PR!$N729,IF(J731="DORTEMAG",PR!$O729,IF(J731="DGF",PR!$P729,IF(J731="DYNAMIC",PR!$Q729,IF(J731="EMZOR",PR!$R729,IF(J731="EUMATT",PR!$S729,IF(J731="FIDSON",PR!$T729,IF(J731="FCGLOBAL",PR!$U729,IF(J731="GENEITH",PR!$V729,IF(J731="GINOS",PR!$W729,IF(J731="GSK",PR!$X729,IF(J731="GLOBORG",PR!$Y729,IF(J731="GOODNEWS",PR!$Z729,IF(J731="GREENLIFE",PR!$AA729,IF(J731="HLINE",PR!$AB729,IF(J731="ROTECH",PR!$AC729,IF(J731="ISN",PR!$AD729,IF(J731="JAWA",PR!$AE729,IF(J731="LAYO",PR!$AF729,IF(J731="LEADWAY",PR!$AG729,IF(J731="LHV",PR!$AH729,IF(J731="MANOLA",PR!$AI729,IF(J731="MARCSON",PR!$AJ729,IF(J731="M&amp;B",PR!$AK729,IF(J731="MTRUST",PR!$AL729,IF(J731="MWORLD",PR!$AM729,IF(J731="MEGA",PR!$AN729,IF(J731="MICRONOVA",PR!$AO729,IF(J731="MFLASH",PR!$AP729,IF(J731="MORISON",PR!$AQ729,IF(J731="NEMEL",PR!$AR729,IF(J731="NHP",PR!$AS729,IF(J731="NHC",PR!$AT729,IF(J731="OLEAF",PR!$AU729,IF(J731="OCULUS",PR!$AV729,IF(J731="PACIFIC",PR!$AW729,IF(J731="PHAMATEX",PR!$AX729,IF(J731="PETHICS",PR!$AY729,IF(J731="PHILIPS",PR!$AZ729,IF(J731="RANBAXY",PR!$BA729,IF(J731="REALS",PR!$BB729,IF(J731="ROYAL",PR!$BC729,IF(J731="SAM",PR!$BD729,IF(J731="SEAGREEN",PR!$BE729,IF(J731="SKG",PR!$BF729,IF(J731="TAH",PR!$BG729,IF(J731="TAYLEK",PR!$BH729,IF(J731="TEMITA",PR!$BI729,IF(J731="THL",PR!$BJ729,IF(J731="UBASTIC",PR!$BK729,IF(J731="UNION",PR!$BL729,IF(J731="UNIQUE",PR!$BM729,IF(J731="VIXA",PR!$BN729,IF(J731="WWCV",PR!$BO729,IF(J731="ZOLON",PR!$BP729,"-"))))))))))))))))))))))))))))))))))))))))))))))))))))))))))))))))</f>
        <v>-</v>
      </c>
      <c r="J731" s="102">
        <f>EV!N948</f>
        <v>0</v>
      </c>
      <c r="K731" s="433" t="s">
        <v>821</v>
      </c>
      <c r="L731" s="183">
        <f>IF(K731&gt;0,IF(K731="ALPHA",PR!$E729,IF(K731="ASSENE",PR!$F729,IF(K731="BIOFEM",PR!$G729,IF(K731="BIOMED",PR!$H729,IF(K731="CHI",PR!$I729,IF(K731="CLARION",PR!$J729,IF(K731="CODIX",PR!$K729,IF(K731="COSMADE",PR!$L729,IF(K731="SANCON",PR!$M729,IF(K731="DEVON",PR!$N729,IF(K731="DORTEMAG",PR!$O729,IF(K731="DGF",PR!$P729,IF(K731="DYNAMIC",PR!$Q729,IF(K731="EMZOR",PR!$R729,IF(K731="EUMATT",PR!$S729,IF(K731="FIDSON",PR!$T729,IF(K731="FCGLOBAL",PR!$U729,IF(K731="GENEITH",PR!$V729,IF(K731="GINOS",PR!$W729,IF(K731="GSK",PR!$X729,IF(K731="GLOBORG",PR!$Y729,IF(K731="GOODNEWS",PR!$Z729,IF(K731="GREENLIFE",PR!$AA729,IF(K731="HLINE",PR!$AB729,IF(K731="ROTECH",PR!$AC729,IF(K731="ISN",PR!$AD729,IF(K731="JAWA",PR!$AE729,IF(K731="LAYO",PR!$AF729,IF(K731="LEADWAY",PR!$AG729,IF(K731="LHV",PR!$AH729,IF(K731="MANOLA",PR!$AI729,IF(K731="MARCSON",PR!$AJ729,IF(K731="M&amp;B",PR!$AK729,IF(K731="MTRUST",PR!$AL729,IF(K731="MWORLD",PR!$AM729,IF(K731="MEGA",PR!$AN729,IF(K731="MICRONOVA",PR!$AO729,IF(K731="MFLASH",PR!$AP729,IF(K731="MORISON",PR!$AQ729,IF(K731="NEMEL",PR!$AR729,IF(K731="NHP",PR!$AS729,IF(K731="NHC",PR!$AT729,IF(K731="OLEAF",PR!$AU729,IF(K731="OCULUS",PR!$AV729,IF(K731="PACIFIC",PR!$AW729,IF(K731="PHAMATEX",PR!$AX729,IF(K731="PETHICS",PR!$AY729,IF(K731="PHILIPS",PR!$AZ729,IF(K731="RANBAXY",PR!$BA729,IF(K731="REALS",PR!$BB729,IF(K731="ROYAL",PR!$BC729,IF(K731="SAM",PR!$BD729,IF(K731="SEAGREEN",PR!$BE729,IF(K731="SKG",PR!$BF729,IF(K731="TAH",PR!$BG729,IF(K731="TAYLEK",PR!$BH729,IF(K731="TEMITA",PR!$BI729,IF(K731="THL",PR!$BJ729,IF(K731="UBASTIC",PR!$BK729,IF(K731="UNION",PR!$BL729,IF(K731="UNIQUE",PR!$BM729,IF(K731="VIXA",PR!$BN729,IF(K731="WWCV",PR!$BO729,IF(K731="ZOLON",PR!$BP729,"-")))))))))))))))))))))))))))))))))))))))))))))))))))))))))))))))))</f>
        <v>3000</v>
      </c>
    </row>
    <row r="732" spans="1:12" ht="18.75" x14ac:dyDescent="0.3">
      <c r="A732" s="430">
        <f>PR!A730</f>
        <v>665</v>
      </c>
      <c r="B732" s="15" t="str">
        <f>PR!B730</f>
        <v>SALICYLIC ACID OINTMENT 20%</v>
      </c>
      <c r="C732" s="113" t="str">
        <f>PR!D730</f>
        <v>TUBE</v>
      </c>
      <c r="D732" s="113">
        <f>PR!C730</f>
        <v>40</v>
      </c>
      <c r="E732" s="108" t="str">
        <f>IF(F732="ALPHA",PR!$E730,IF(F732="ASSENE",PR!$F730,IF(F732="BIOFEM",PR!$G730,IF(F732="BIOMED",PR!$H730,IF(F732="CHI",PR!$I730,IF(F732="CLARION",PR!$J730,IF(F732="CODIX",PR!$K730,IF(F732="COSMADE",PR!$L730,IF(F732="SANCON",PR!$M730,IF(F732="DEVON",PR!$N730,IF(F732="DORTEMAG",PR!$O730,IF(F732="DGF",PR!$P730,IF(F732="DYNAMIC",PR!$Q730,IF(F732="EMZOR",PR!$R730,IF(F732="EUMATT",PR!$S730,IF(F732="FIDSON",PR!$T730,IF(F732="FCGLOBAL",PR!$U730,IF(F732="GENEITH",PR!$V730,IF(F732="GINOS",PR!$W730,IF(F732="GSK",PR!$X730,IF(F732="GLOBORG",PR!$Y730,IF(F732="GOODNEWS",PR!$Z730,IF(F732="GREENLIFE",PR!$AA730,IF(F732="HLINE",PR!$AB730,IF(F732="ROTECH",PR!$AC730,IF(F732="ISN",PR!$AD730,IF(F732="JAWA",PR!$AE730,IF(F732="LAYO",PR!$AF730,IF(F732="LEADWAY",PR!$AG730,IF(F732="LHV",PR!$AH730,IF(F732="MANOLA",PR!$AI730,IF(F732="MARCSON",PR!$AJ730,IF(F732="M&amp;B",PR!$AK730,IF(F732="MTRUST",PR!$AL730,IF(F732="MWORLD",PR!$AM730,IF(F732="MEGA",PR!$AN730,IF(F732="MICRONOVA",PR!$AO730,IF(F732="MFLASH",PR!$AP730,IF(F732="MORISON",PR!$AQ730,IF(F732="NEMEL",PR!$AR730,IF(F732="NHP",PR!$AS730,IF(F732="NHC",PR!$AT730,IF(F732="OLEAF",PR!$AU730,IF(F732="OCULUS",PR!$AV730,IF(F732="PACIFIC",PR!$AW730,IF(F732="PHAMATEX",PR!$AX730,IF(F732="PETHICS",PR!$AY730,IF(F732="PHILIPS",PR!$AZ730,IF(F732="RANBAXY",PR!$BA730,IF(F732="REALS",PR!$BB730,IF(F732="ROYAL",PR!$BC730,IF(F732="SAM",PR!$BD730,IF(F732="SEAGREEN",PR!$BE730,IF(F732="SKG",PR!$BF730,IF(F732="TAH",PR!$BG730,IF(F732="TAYLEK",PR!$BH730,IF(F732="TEMITA",PR!$BI730,IF(F732="THL",PR!$BJ730,IF(F732="UBASTIC",PR!$BK730,IF(F732="UNION",PR!$BL730,IF(F732="UNIQUE",PR!$BM730,IF(F732="VIXA",PR!$BN730,IF(F732="WWCV",PR!$BO730,IF(F732="ZOLON",PR!$BP730,"-"))))))))))))))))))))))))))))))))))))))))))))))))))))))))))))))))</f>
        <v>-</v>
      </c>
      <c r="F732" s="102">
        <f>EV!L949</f>
        <v>0</v>
      </c>
      <c r="G732" s="108" t="str">
        <f>IF(H732="ALPHA",PR!$E730,IF(H732="ASSENE",PR!$F730,IF(H732="BIOFEM",PR!$G730,IF(H732="BIOMED",PR!$H730,IF(H732="CHI",PR!$I730,IF(H732="CLARION",PR!$J730,IF(H732="CODIX",PR!$K730,IF(H732="COSMADE",PR!$L730,IF(H732="SANCON",PR!$M730,IF(H732="DEVON",PR!$N730,IF(H732="DORTEMAG",PR!$O730,IF(H732="DGF",PR!$P730,IF(H732="DYNAMIC",PR!$Q730,IF(H732="EMZOR",PR!$R730,IF(H732="EUMATT",PR!$S730,IF(H732="FIDSON",PR!$T730,IF(H732="FCGLOBAL",PR!$U730,IF(H732="GENEITH",PR!$V730,IF(H732="GINOS",PR!$W730,IF(H732="GSK",PR!$X730,IF(H732="GLOBORG",PR!$Y730,IF(H732="GOODNEWS",PR!$Z730,IF(H732="GREENLIFE",PR!$AA730,IF(H732="HLINE",PR!$AB730,IF(H732="ROTECH",PR!$AC730,IF(H732="ISN",PR!$AD730,IF(H732="JAWA",PR!$AE730,IF(H732="LAYO",PR!$AF730,IF(H732="LEADWAY",PR!$AG730,IF(H732="LHV",PR!$AH730,IF(H732="MANOLA",PR!$AI730,IF(H732="MARCSON",PR!$AJ730,IF(H732="M&amp;B",PR!$AK730,IF(H732="MTRUST",PR!$AL730,IF(H732="MWORLD",PR!$AM730,IF(H732="MEGA",PR!$AN730,IF(H732="MICRONOVA",PR!$AO730,IF(H732="MFLASH",PR!$AP730,IF(H732="MORISON",PR!$AQ730,IF(H732="NEMEL",PR!$AR730,IF(H732="NHP",PR!$AS730,IF(H732="NHC",PR!$AT730,IF(H732="OLEAF",PR!$AU730,IF(H732="OCULUS",PR!$AV730,IF(H732="PACIFIC",PR!$AW730,IF(H732="PHAMATEX",PR!$AX730,IF(H732="PETHICS",PR!$AY730,IF(H732="PHILIPS",PR!$AZ730,IF(H732="RANBAXY",PR!$BA730,IF(H732="REALS",PR!$BB730,IF(H732="ROYAL",PR!$BC730,IF(H732="SAM",PR!$BD730,IF(H732="SEAGREEN",PR!$BE730,IF(H732="SKG",PR!$BF730,IF(H732="TAH",PR!$BG730,IF(H732="TAYLEK",PR!$BH730,IF(H732="TEMITA",PR!$BI730,IF(H732="THL",PR!$BJ730,IF(H732="UBASTIC",PR!$BK730,IF(H732="UNION",PR!$BL730,IF(H732="UNIQUE",PR!$BM730,IF(H732="VIXA",PR!$BN730,IF(H732="WWCV",PR!$BO730,IF(H732="ZOLON",PR!$BP730,"-"))))))))))))))))))))))))))))))))))))))))))))))))))))))))))))))))</f>
        <v>-</v>
      </c>
      <c r="H732" s="102">
        <f>EV!M949</f>
        <v>0</v>
      </c>
      <c r="I732" s="108" t="str">
        <f>IF(J732="ALPHA",PR!$E730,IF(J732="ASSENE",PR!$F730,IF(J732="BIOFEM",PR!$G730,IF(J732="BIOMED",PR!$H730,IF(J732="CHI",PR!$I730,IF(J732="CLARION",PR!$J730,IF(J732="CODIX",PR!$K730,IF(J732="COSMADE",PR!$L730,IF(J732="SANCON",PR!$M730,IF(J732="DEVON",PR!$N730,IF(J732="DORTEMAG",PR!$O730,IF(J732="DGF",PR!$P730,IF(J732="DYNAMIC",PR!$Q730,IF(J732="EMZOR",PR!$R730,IF(J732="EUMATT",PR!$S730,IF(J732="FIDSON",PR!$T730,IF(J732="FCGLOBAL",PR!$U730,IF(J732="GENEITH",PR!$V730,IF(J732="GINOS",PR!$W730,IF(J732="GSK",PR!$X730,IF(J732="GLOBORG",PR!$Y730,IF(J732="GOODNEWS",PR!$Z730,IF(J732="GREENLIFE",PR!$AA730,IF(J732="HLINE",PR!$AB730,IF(J732="ROTECH",PR!$AC730,IF(J732="ISN",PR!$AD730,IF(J732="JAWA",PR!$AE730,IF(J732="LAYO",PR!$AF730,IF(J732="LEADWAY",PR!$AG730,IF(J732="LHV",PR!$AH730,IF(J732="MANOLA",PR!$AI730,IF(J732="MARCSON",PR!$AJ730,IF(J732="M&amp;B",PR!$AK730,IF(J732="MTRUST",PR!$AL730,IF(J732="MWORLD",PR!$AM730,IF(J732="MEGA",PR!$AN730,IF(J732="MICRONOVA",PR!$AO730,IF(J732="MFLASH",PR!$AP730,IF(J732="MORISON",PR!$AQ730,IF(J732="NEMEL",PR!$AR730,IF(J732="NHP",PR!$AS730,IF(J732="NHC",PR!$AT730,IF(J732="OLEAF",PR!$AU730,IF(J732="OCULUS",PR!$AV730,IF(J732="PACIFIC",PR!$AW730,IF(J732="PHAMATEX",PR!$AX730,IF(J732="PETHICS",PR!$AY730,IF(J732="PHILIPS",PR!$AZ730,IF(J732="RANBAXY",PR!$BA730,IF(J732="REALS",PR!$BB730,IF(J732="ROYAL",PR!$BC730,IF(J732="SAM",PR!$BD730,IF(J732="SEAGREEN",PR!$BE730,IF(J732="SKG",PR!$BF730,IF(J732="TAH",PR!$BG730,IF(J732="TAYLEK",PR!$BH730,IF(J732="TEMITA",PR!$BI730,IF(J732="THL",PR!$BJ730,IF(J732="UBASTIC",PR!$BK730,IF(J732="UNION",PR!$BL730,IF(J732="UNIQUE",PR!$BM730,IF(J732="VIXA",PR!$BN730,IF(J732="WWCV",PR!$BO730,IF(J732="ZOLON",PR!$BP730,"-"))))))))))))))))))))))))))))))))))))))))))))))))))))))))))))))))</f>
        <v>-</v>
      </c>
      <c r="J732" s="102">
        <f>EV!N949</f>
        <v>0</v>
      </c>
      <c r="K732" s="433"/>
      <c r="L732" s="183" t="b">
        <f>IF(K732&gt;0,IF(K732="ALPHA",PR!$E730,IF(K732="ASSENE",PR!$F730,IF(K732="BIOFEM",PR!$G730,IF(K732="BIOMED",PR!$H730,IF(K732="CHI",PR!$I730,IF(K732="CLARION",PR!$J730,IF(K732="CODIX",PR!$K730,IF(K732="COSMADE",PR!$L730,IF(K732="SANCON",PR!$M730,IF(K732="DEVON",PR!$N730,IF(K732="DORTEMAG",PR!$O730,IF(K732="DGF",PR!$P730,IF(K732="DYNAMIC",PR!$Q730,IF(K732="EMZOR",PR!$R730,IF(K732="EUMATT",PR!$S730,IF(K732="FIDSON",PR!$T730,IF(K732="FCGLOBAL",PR!$U730,IF(K732="GENEITH",PR!$V730,IF(K732="GINOS",PR!$W730,IF(K732="GSK",PR!$X730,IF(K732="GLOBORG",PR!$Y730,IF(K732="GOODNEWS",PR!$Z730,IF(K732="GREENLIFE",PR!$AA730,IF(K732="HLINE",PR!$AB730,IF(K732="ROTECH",PR!$AC730,IF(K732="ISN",PR!$AD730,IF(K732="JAWA",PR!$AE730,IF(K732="LAYO",PR!$AF730,IF(K732="LEADWAY",PR!$AG730,IF(K732="LHV",PR!$AH730,IF(K732="MANOLA",PR!$AI730,IF(K732="MARCSON",PR!$AJ730,IF(K732="M&amp;B",PR!$AK730,IF(K732="MTRUST",PR!$AL730,IF(K732="MWORLD",PR!$AM730,IF(K732="MEGA",PR!$AN730,IF(K732="MICRONOVA",PR!$AO730,IF(K732="MFLASH",PR!$AP730,IF(K732="MORISON",PR!$AQ730,IF(K732="NEMEL",PR!$AR730,IF(K732="NHP",PR!$AS730,IF(K732="NHC",PR!$AT730,IF(K732="OLEAF",PR!$AU730,IF(K732="OCULUS",PR!$AV730,IF(K732="PACIFIC",PR!$AW730,IF(K732="PHAMATEX",PR!$AX730,IF(K732="PETHICS",PR!$AY730,IF(K732="PHILIPS",PR!$AZ730,IF(K732="RANBAXY",PR!$BA730,IF(K732="REALS",PR!$BB730,IF(K732="ROYAL",PR!$BC730,IF(K732="SAM",PR!$BD730,IF(K732="SEAGREEN",PR!$BE730,IF(K732="SKG",PR!$BF730,IF(K732="TAH",PR!$BG730,IF(K732="TAYLEK",PR!$BH730,IF(K732="TEMITA",PR!$BI730,IF(K732="THL",PR!$BJ730,IF(K732="UBASTIC",PR!$BK730,IF(K732="UNION",PR!$BL730,IF(K732="UNIQUE",PR!$BM730,IF(K732="VIXA",PR!$BN730,IF(K732="WWCV",PR!$BO730,IF(K732="ZOLON",PR!$BP730,"-")))))))))))))))))))))))))))))))))))))))))))))))))))))))))))))))))</f>
        <v>0</v>
      </c>
    </row>
    <row r="733" spans="1:12" ht="18.75" x14ac:dyDescent="0.3">
      <c r="A733" s="430">
        <f>PR!A731</f>
        <v>666</v>
      </c>
      <c r="B733" s="15" t="str">
        <f>PR!B731</f>
        <v>SEBAMED CREAM/SHAMPOO</v>
      </c>
      <c r="C733" s="113" t="str">
        <f>PR!D731</f>
        <v>PCS</v>
      </c>
      <c r="D733" s="113">
        <f>PR!C731</f>
        <v>20</v>
      </c>
      <c r="E733" s="108" t="str">
        <f>IF(F733="ALPHA",PR!$E731,IF(F733="ASSENE",PR!$F731,IF(F733="BIOFEM",PR!$G731,IF(F733="BIOMED",PR!$H731,IF(F733="CHI",PR!$I731,IF(F733="CLARION",PR!$J731,IF(F733="CODIX",PR!$K731,IF(F733="COSMADE",PR!$L731,IF(F733="SANCON",PR!$M731,IF(F733="DEVON",PR!$N731,IF(F733="DORTEMAG",PR!$O731,IF(F733="DGF",PR!$P731,IF(F733="DYNAMIC",PR!$Q731,IF(F733="EMZOR",PR!$R731,IF(F733="EUMATT",PR!$S731,IF(F733="FIDSON",PR!$T731,IF(F733="FCGLOBAL",PR!$U731,IF(F733="GENEITH",PR!$V731,IF(F733="GINOS",PR!$W731,IF(F733="GSK",PR!$X731,IF(F733="GLOBORG",PR!$Y731,IF(F733="GOODNEWS",PR!$Z731,IF(F733="GREENLIFE",PR!$AA731,IF(F733="HLINE",PR!$AB731,IF(F733="ROTECH",PR!$AC731,IF(F733="ISN",PR!$AD731,IF(F733="JAWA",PR!$AE731,IF(F733="LAYO",PR!$AF731,IF(F733="LEADWAY",PR!$AG731,IF(F733="LHV",PR!$AH731,IF(F733="MANOLA",PR!$AI731,IF(F733="MARCSON",PR!$AJ731,IF(F733="M&amp;B",PR!$AK731,IF(F733="MTRUST",PR!$AL731,IF(F733="MWORLD",PR!$AM731,IF(F733="MEGA",PR!$AN731,IF(F733="MICRONOVA",PR!$AO731,IF(F733="MFLASH",PR!$AP731,IF(F733="MORISON",PR!$AQ731,IF(F733="NEMEL",PR!$AR731,IF(F733="NHP",PR!$AS731,IF(F733="NHC",PR!$AT731,IF(F733="OLEAF",PR!$AU731,IF(F733="OCULUS",PR!$AV731,IF(F733="PACIFIC",PR!$AW731,IF(F733="PHAMATEX",PR!$AX731,IF(F733="PETHICS",PR!$AY731,IF(F733="PHILIPS",PR!$AZ731,IF(F733="RANBAXY",PR!$BA731,IF(F733="REALS",PR!$BB731,IF(F733="ROYAL",PR!$BC731,IF(F733="SAM",PR!$BD731,IF(F733="SEAGREEN",PR!$BE731,IF(F733="SKG",PR!$BF731,IF(F733="TAH",PR!$BG731,IF(F733="TAYLEK",PR!$BH731,IF(F733="TEMITA",PR!$BI731,IF(F733="THL",PR!$BJ731,IF(F733="UBASTIC",PR!$BK731,IF(F733="UNION",PR!$BL731,IF(F733="UNIQUE",PR!$BM731,IF(F733="VIXA",PR!$BN731,IF(F733="WWCV",PR!$BO731,IF(F733="ZOLON",PR!$BP731,"-"))))))))))))))))))))))))))))))))))))))))))))))))))))))))))))))))</f>
        <v>-</v>
      </c>
      <c r="F733" s="102">
        <f>EV!L950</f>
        <v>0</v>
      </c>
      <c r="G733" s="108" t="str">
        <f>IF(H733="ALPHA",PR!$E731,IF(H733="ASSENE",PR!$F731,IF(H733="BIOFEM",PR!$G731,IF(H733="BIOMED",PR!$H731,IF(H733="CHI",PR!$I731,IF(H733="CLARION",PR!$J731,IF(H733="CODIX",PR!$K731,IF(H733="COSMADE",PR!$L731,IF(H733="SANCON",PR!$M731,IF(H733="DEVON",PR!$N731,IF(H733="DORTEMAG",PR!$O731,IF(H733="DGF",PR!$P731,IF(H733="DYNAMIC",PR!$Q731,IF(H733="EMZOR",PR!$R731,IF(H733="EUMATT",PR!$S731,IF(H733="FIDSON",PR!$T731,IF(H733="FCGLOBAL",PR!$U731,IF(H733="GENEITH",PR!$V731,IF(H733="GINOS",PR!$W731,IF(H733="GSK",PR!$X731,IF(H733="GLOBORG",PR!$Y731,IF(H733="GOODNEWS",PR!$Z731,IF(H733="GREENLIFE",PR!$AA731,IF(H733="HLINE",PR!$AB731,IF(H733="ROTECH",PR!$AC731,IF(H733="ISN",PR!$AD731,IF(H733="JAWA",PR!$AE731,IF(H733="LAYO",PR!$AF731,IF(H733="LEADWAY",PR!$AG731,IF(H733="LHV",PR!$AH731,IF(H733="MANOLA",PR!$AI731,IF(H733="MARCSON",PR!$AJ731,IF(H733="M&amp;B",PR!$AK731,IF(H733="MTRUST",PR!$AL731,IF(H733="MWORLD",PR!$AM731,IF(H733="MEGA",PR!$AN731,IF(H733="MICRONOVA",PR!$AO731,IF(H733="MFLASH",PR!$AP731,IF(H733="MORISON",PR!$AQ731,IF(H733="NEMEL",PR!$AR731,IF(H733="NHP",PR!$AS731,IF(H733="NHC",PR!$AT731,IF(H733="OLEAF",PR!$AU731,IF(H733="OCULUS",PR!$AV731,IF(H733="PACIFIC",PR!$AW731,IF(H733="PHAMATEX",PR!$AX731,IF(H733="PETHICS",PR!$AY731,IF(H733="PHILIPS",PR!$AZ731,IF(H733="RANBAXY",PR!$BA731,IF(H733="REALS",PR!$BB731,IF(H733="ROYAL",PR!$BC731,IF(H733="SAM",PR!$BD731,IF(H733="SEAGREEN",PR!$BE731,IF(H733="SKG",PR!$BF731,IF(H733="TAH",PR!$BG731,IF(H733="TAYLEK",PR!$BH731,IF(H733="TEMITA",PR!$BI731,IF(H733="THL",PR!$BJ731,IF(H733="UBASTIC",PR!$BK731,IF(H733="UNION",PR!$BL731,IF(H733="UNIQUE",PR!$BM731,IF(H733="VIXA",PR!$BN731,IF(H733="WWCV",PR!$BO731,IF(H733="ZOLON",PR!$BP731,"-"))))))))))))))))))))))))))))))))))))))))))))))))))))))))))))))))</f>
        <v>-</v>
      </c>
      <c r="H733" s="102">
        <f>EV!M950</f>
        <v>0</v>
      </c>
      <c r="I733" s="108" t="str">
        <f>IF(J733="ALPHA",PR!$E731,IF(J733="ASSENE",PR!$F731,IF(J733="BIOFEM",PR!$G731,IF(J733="BIOMED",PR!$H731,IF(J733="CHI",PR!$I731,IF(J733="CLARION",PR!$J731,IF(J733="CODIX",PR!$K731,IF(J733="COSMADE",PR!$L731,IF(J733="SANCON",PR!$M731,IF(J733="DEVON",PR!$N731,IF(J733="DORTEMAG",PR!$O731,IF(J733="DGF",PR!$P731,IF(J733="DYNAMIC",PR!$Q731,IF(J733="EMZOR",PR!$R731,IF(J733="EUMATT",PR!$S731,IF(J733="FIDSON",PR!$T731,IF(J733="FCGLOBAL",PR!$U731,IF(J733="GENEITH",PR!$V731,IF(J733="GINOS",PR!$W731,IF(J733="GSK",PR!$X731,IF(J733="GLOBORG",PR!$Y731,IF(J733="GOODNEWS",PR!$Z731,IF(J733="GREENLIFE",PR!$AA731,IF(J733="HLINE",PR!$AB731,IF(J733="ROTECH",PR!$AC731,IF(J733="ISN",PR!$AD731,IF(J733="JAWA",PR!$AE731,IF(J733="LAYO",PR!$AF731,IF(J733="LEADWAY",PR!$AG731,IF(J733="LHV",PR!$AH731,IF(J733="MANOLA",PR!$AI731,IF(J733="MARCSON",PR!$AJ731,IF(J733="M&amp;B",PR!$AK731,IF(J733="MTRUST",PR!$AL731,IF(J733="MWORLD",PR!$AM731,IF(J733="MEGA",PR!$AN731,IF(J733="MICRONOVA",PR!$AO731,IF(J733="MFLASH",PR!$AP731,IF(J733="MORISON",PR!$AQ731,IF(J733="NEMEL",PR!$AR731,IF(J733="NHP",PR!$AS731,IF(J733="NHC",PR!$AT731,IF(J733="OLEAF",PR!$AU731,IF(J733="OCULUS",PR!$AV731,IF(J733="PACIFIC",PR!$AW731,IF(J733="PHAMATEX",PR!$AX731,IF(J733="PETHICS",PR!$AY731,IF(J733="PHILIPS",PR!$AZ731,IF(J733="RANBAXY",PR!$BA731,IF(J733="REALS",PR!$BB731,IF(J733="ROYAL",PR!$BC731,IF(J733="SAM",PR!$BD731,IF(J733="SEAGREEN",PR!$BE731,IF(J733="SKG",PR!$BF731,IF(J733="TAH",PR!$BG731,IF(J733="TAYLEK",PR!$BH731,IF(J733="TEMITA",PR!$BI731,IF(J733="THL",PR!$BJ731,IF(J733="UBASTIC",PR!$BK731,IF(J733="UNION",PR!$BL731,IF(J733="UNIQUE",PR!$BM731,IF(J733="VIXA",PR!$BN731,IF(J733="WWCV",PR!$BO731,IF(J733="ZOLON",PR!$BP731,"-"))))))))))))))))))))))))))))))))))))))))))))))))))))))))))))))))</f>
        <v>-</v>
      </c>
      <c r="J733" s="102">
        <f>EV!N950</f>
        <v>0</v>
      </c>
      <c r="K733" s="433"/>
      <c r="L733" s="183" t="b">
        <f>IF(K733&gt;0,IF(K733="ALPHA",PR!$E731,IF(K733="ASSENE",PR!$F731,IF(K733="BIOFEM",PR!$G731,IF(K733="BIOMED",PR!$H731,IF(K733="CHI",PR!$I731,IF(K733="CLARION",PR!$J731,IF(K733="CODIX",PR!$K731,IF(K733="COSMADE",PR!$L731,IF(K733="SANCON",PR!$M731,IF(K733="DEVON",PR!$N731,IF(K733="DORTEMAG",PR!$O731,IF(K733="DGF",PR!$P731,IF(K733="DYNAMIC",PR!$Q731,IF(K733="EMZOR",PR!$R731,IF(K733="EUMATT",PR!$S731,IF(K733="FIDSON",PR!$T731,IF(K733="FCGLOBAL",PR!$U731,IF(K733="GENEITH",PR!$V731,IF(K733="GINOS",PR!$W731,IF(K733="GSK",PR!$X731,IF(K733="GLOBORG",PR!$Y731,IF(K733="GOODNEWS",PR!$Z731,IF(K733="GREENLIFE",PR!$AA731,IF(K733="HLINE",PR!$AB731,IF(K733="ROTECH",PR!$AC731,IF(K733="ISN",PR!$AD731,IF(K733="JAWA",PR!$AE731,IF(K733="LAYO",PR!$AF731,IF(K733="LEADWAY",PR!$AG731,IF(K733="LHV",PR!$AH731,IF(K733="MANOLA",PR!$AI731,IF(K733="MARCSON",PR!$AJ731,IF(K733="M&amp;B",PR!$AK731,IF(K733="MTRUST",PR!$AL731,IF(K733="MWORLD",PR!$AM731,IF(K733="MEGA",PR!$AN731,IF(K733="MICRONOVA",PR!$AO731,IF(K733="MFLASH",PR!$AP731,IF(K733="MORISON",PR!$AQ731,IF(K733="NEMEL",PR!$AR731,IF(K733="NHP",PR!$AS731,IF(K733="NHC",PR!$AT731,IF(K733="OLEAF",PR!$AU731,IF(K733="OCULUS",PR!$AV731,IF(K733="PACIFIC",PR!$AW731,IF(K733="PHAMATEX",PR!$AX731,IF(K733="PETHICS",PR!$AY731,IF(K733="PHILIPS",PR!$AZ731,IF(K733="RANBAXY",PR!$BA731,IF(K733="REALS",PR!$BB731,IF(K733="ROYAL",PR!$BC731,IF(K733="SAM",PR!$BD731,IF(K733="SEAGREEN",PR!$BE731,IF(K733="SKG",PR!$BF731,IF(K733="TAH",PR!$BG731,IF(K733="TAYLEK",PR!$BH731,IF(K733="TEMITA",PR!$BI731,IF(K733="THL",PR!$BJ731,IF(K733="UBASTIC",PR!$BK731,IF(K733="UNION",PR!$BL731,IF(K733="UNIQUE",PR!$BM731,IF(K733="VIXA",PR!$BN731,IF(K733="WWCV",PR!$BO731,IF(K733="ZOLON",PR!$BP731,"-")))))))))))))))))))))))))))))))))))))))))))))))))))))))))))))))))</f>
        <v>0</v>
      </c>
    </row>
    <row r="734" spans="1:12" ht="18.75" x14ac:dyDescent="0.3">
      <c r="A734" s="430">
        <f>PR!A732</f>
        <v>667</v>
      </c>
      <c r="B734" s="15" t="str">
        <f>PR!B732</f>
        <v xml:space="preserve">SELENIUM SULPHIDE SHAMPOO (SELSUN) </v>
      </c>
      <c r="C734" s="113" t="str">
        <f>PR!D732</f>
        <v>PCS</v>
      </c>
      <c r="D734" s="113">
        <f>PR!C732</f>
        <v>20</v>
      </c>
      <c r="E734" s="108">
        <f>IF(F734="ALPHA",PR!$E732,IF(F734="ASSENE",PR!$F732,IF(F734="BIOFEM",PR!$G732,IF(F734="BIOMED",PR!$H732,IF(F734="CHI",PR!$I732,IF(F734="CLARION",PR!$J732,IF(F734="CODIX",PR!$K732,IF(F734="COSMADE",PR!$L732,IF(F734="SANCON",PR!$M732,IF(F734="DEVON",PR!$N732,IF(F734="DORTEMAG",PR!$O732,IF(F734="DGF",PR!$P732,IF(F734="DYNAMIC",PR!$Q732,IF(F734="EMZOR",PR!$R732,IF(F734="EUMATT",PR!$S732,IF(F734="FIDSON",PR!$T732,IF(F734="FCGLOBAL",PR!$U732,IF(F734="GENEITH",PR!$V732,IF(F734="GINOS",PR!$W732,IF(F734="GSK",PR!$X732,IF(F734="GLOBORG",PR!$Y732,IF(F734="GOODNEWS",PR!$Z732,IF(F734="GREENLIFE",PR!$AA732,IF(F734="HLINE",PR!$AB732,IF(F734="ROTECH",PR!$AC732,IF(F734="ISN",PR!$AD732,IF(F734="JAWA",PR!$AE732,IF(F734="LAYO",PR!$AF732,IF(F734="LEADWAY",PR!$AG732,IF(F734="LHV",PR!$AH732,IF(F734="MANOLA",PR!$AI732,IF(F734="MARCSON",PR!$AJ732,IF(F734="M&amp;B",PR!$AK732,IF(F734="MTRUST",PR!$AL732,IF(F734="MWORLD",PR!$AM732,IF(F734="MEGA",PR!$AN732,IF(F734="MICRONOVA",PR!$AO732,IF(F734="MFLASH",PR!$AP732,IF(F734="MORISON",PR!$AQ732,IF(F734="NEMEL",PR!$AR732,IF(F734="NHP",PR!$AS732,IF(F734="NHC",PR!$AT732,IF(F734="OLEAF",PR!$AU732,IF(F734="OCULUS",PR!$AV732,IF(F734="PACIFIC",PR!$AW732,IF(F734="PHAMATEX",PR!$AX732,IF(F734="PETHICS",PR!$AY732,IF(F734="PHILIPS",PR!$AZ732,IF(F734="RANBAXY",PR!$BA732,IF(F734="REALS",PR!$BB732,IF(F734="ROYAL",PR!$BC732,IF(F734="SAM",PR!$BD732,IF(F734="SEAGREEN",PR!$BE732,IF(F734="SKG",PR!$BF732,IF(F734="TAH",PR!$BG732,IF(F734="TAYLEK",PR!$BH732,IF(F734="TEMITA",PR!$BI732,IF(F734="THL",PR!$BJ732,IF(F734="UBASTIC",PR!$BK732,IF(F734="UNION",PR!$BL732,IF(F734="UNIQUE",PR!$BM732,IF(F734="VIXA",PR!$BN732,IF(F734="WWCV",PR!$BO732,IF(F734="ZOLON",PR!$BP732,"-"))))))))))))))))))))))))))))))))))))))))))))))))))))))))))))))))</f>
        <v>2200</v>
      </c>
      <c r="F734" s="102" t="str">
        <f>EV!L951</f>
        <v>EUMATT</v>
      </c>
      <c r="G734" s="108" t="str">
        <f>IF(H734="ALPHA",PR!$E732,IF(H734="ASSENE",PR!$F732,IF(H734="BIOFEM",PR!$G732,IF(H734="BIOMED",PR!$H732,IF(H734="CHI",PR!$I732,IF(H734="CLARION",PR!$J732,IF(H734="CODIX",PR!$K732,IF(H734="COSMADE",PR!$L732,IF(H734="SANCON",PR!$M732,IF(H734="DEVON",PR!$N732,IF(H734="DORTEMAG",PR!$O732,IF(H734="DGF",PR!$P732,IF(H734="DYNAMIC",PR!$Q732,IF(H734="EMZOR",PR!$R732,IF(H734="EUMATT",PR!$S732,IF(H734="FIDSON",PR!$T732,IF(H734="FCGLOBAL",PR!$U732,IF(H734="GENEITH",PR!$V732,IF(H734="GINOS",PR!$W732,IF(H734="GSK",PR!$X732,IF(H734="GLOBORG",PR!$Y732,IF(H734="GOODNEWS",PR!$Z732,IF(H734="GREENLIFE",PR!$AA732,IF(H734="HLINE",PR!$AB732,IF(H734="ROTECH",PR!$AC732,IF(H734="ISN",PR!$AD732,IF(H734="JAWA",PR!$AE732,IF(H734="LAYO",PR!$AF732,IF(H734="LEADWAY",PR!$AG732,IF(H734="LHV",PR!$AH732,IF(H734="MANOLA",PR!$AI732,IF(H734="MARCSON",PR!$AJ732,IF(H734="M&amp;B",PR!$AK732,IF(H734="MTRUST",PR!$AL732,IF(H734="MWORLD",PR!$AM732,IF(H734="MEGA",PR!$AN732,IF(H734="MICRONOVA",PR!$AO732,IF(H734="MFLASH",PR!$AP732,IF(H734="MORISON",PR!$AQ732,IF(H734="NEMEL",PR!$AR732,IF(H734="NHP",PR!$AS732,IF(H734="NHC",PR!$AT732,IF(H734="OLEAF",PR!$AU732,IF(H734="OCULUS",PR!$AV732,IF(H734="PACIFIC",PR!$AW732,IF(H734="PHAMATEX",PR!$AX732,IF(H734="PETHICS",PR!$AY732,IF(H734="PHILIPS",PR!$AZ732,IF(H734="RANBAXY",PR!$BA732,IF(H734="REALS",PR!$BB732,IF(H734="ROYAL",PR!$BC732,IF(H734="SAM",PR!$BD732,IF(H734="SEAGREEN",PR!$BE732,IF(H734="SKG",PR!$BF732,IF(H734="TAH",PR!$BG732,IF(H734="TAYLEK",PR!$BH732,IF(H734="TEMITA",PR!$BI732,IF(H734="THL",PR!$BJ732,IF(H734="UBASTIC",PR!$BK732,IF(H734="UNION",PR!$BL732,IF(H734="UNIQUE",PR!$BM732,IF(H734="VIXA",PR!$BN732,IF(H734="WWCV",PR!$BO732,IF(H734="ZOLON",PR!$BP732,"-"))))))))))))))))))))))))))))))))))))))))))))))))))))))))))))))))</f>
        <v>-</v>
      </c>
      <c r="H734" s="102">
        <f>EV!M951</f>
        <v>0</v>
      </c>
      <c r="I734" s="108" t="str">
        <f>IF(J734="ALPHA",PR!$E732,IF(J734="ASSENE",PR!$F732,IF(J734="BIOFEM",PR!$G732,IF(J734="BIOMED",PR!$H732,IF(J734="CHI",PR!$I732,IF(J734="CLARION",PR!$J732,IF(J734="CODIX",PR!$K732,IF(J734="COSMADE",PR!$L732,IF(J734="SANCON",PR!$M732,IF(J734="DEVON",PR!$N732,IF(J734="DORTEMAG",PR!$O732,IF(J734="DGF",PR!$P732,IF(J734="DYNAMIC",PR!$Q732,IF(J734="EMZOR",PR!$R732,IF(J734="EUMATT",PR!$S732,IF(J734="FIDSON",PR!$T732,IF(J734="FCGLOBAL",PR!$U732,IF(J734="GENEITH",PR!$V732,IF(J734="GINOS",PR!$W732,IF(J734="GSK",PR!$X732,IF(J734="GLOBORG",PR!$Y732,IF(J734="GOODNEWS",PR!$Z732,IF(J734="GREENLIFE",PR!$AA732,IF(J734="HLINE",PR!$AB732,IF(J734="ROTECH",PR!$AC732,IF(J734="ISN",PR!$AD732,IF(J734="JAWA",PR!$AE732,IF(J734="LAYO",PR!$AF732,IF(J734="LEADWAY",PR!$AG732,IF(J734="LHV",PR!$AH732,IF(J734="MANOLA",PR!$AI732,IF(J734="MARCSON",PR!$AJ732,IF(J734="M&amp;B",PR!$AK732,IF(J734="MTRUST",PR!$AL732,IF(J734="MWORLD",PR!$AM732,IF(J734="MEGA",PR!$AN732,IF(J734="MICRONOVA",PR!$AO732,IF(J734="MFLASH",PR!$AP732,IF(J734="MORISON",PR!$AQ732,IF(J734="NEMEL",PR!$AR732,IF(J734="NHP",PR!$AS732,IF(J734="NHC",PR!$AT732,IF(J734="OLEAF",PR!$AU732,IF(J734="OCULUS",PR!$AV732,IF(J734="PACIFIC",PR!$AW732,IF(J734="PHAMATEX",PR!$AX732,IF(J734="PETHICS",PR!$AY732,IF(J734="PHILIPS",PR!$AZ732,IF(J734="RANBAXY",PR!$BA732,IF(J734="REALS",PR!$BB732,IF(J734="ROYAL",PR!$BC732,IF(J734="SAM",PR!$BD732,IF(J734="SEAGREEN",PR!$BE732,IF(J734="SKG",PR!$BF732,IF(J734="TAH",PR!$BG732,IF(J734="TAYLEK",PR!$BH732,IF(J734="TEMITA",PR!$BI732,IF(J734="THL",PR!$BJ732,IF(J734="UBASTIC",PR!$BK732,IF(J734="UNION",PR!$BL732,IF(J734="UNIQUE",PR!$BM732,IF(J734="VIXA",PR!$BN732,IF(J734="WWCV",PR!$BO732,IF(J734="ZOLON",PR!$BP732,"-"))))))))))))))))))))))))))))))))))))))))))))))))))))))))))))))))</f>
        <v>-</v>
      </c>
      <c r="J734" s="102">
        <f>EV!N951</f>
        <v>0</v>
      </c>
      <c r="K734" s="433" t="s">
        <v>821</v>
      </c>
      <c r="L734" s="183">
        <f>IF(K734&gt;0,IF(K734="ALPHA",PR!$E732,IF(K734="ASSENE",PR!$F732,IF(K734="BIOFEM",PR!$G732,IF(K734="BIOMED",PR!$H732,IF(K734="CHI",PR!$I732,IF(K734="CLARION",PR!$J732,IF(K734="CODIX",PR!$K732,IF(K734="COSMADE",PR!$L732,IF(K734="SANCON",PR!$M732,IF(K734="DEVON",PR!$N732,IF(K734="DORTEMAG",PR!$O732,IF(K734="DGF",PR!$P732,IF(K734="DYNAMIC",PR!$Q732,IF(K734="EMZOR",PR!$R732,IF(K734="EUMATT",PR!$S732,IF(K734="FIDSON",PR!$T732,IF(K734="FCGLOBAL",PR!$U732,IF(K734="GENEITH",PR!$V732,IF(K734="GINOS",PR!$W732,IF(K734="GSK",PR!$X732,IF(K734="GLOBORG",PR!$Y732,IF(K734="GOODNEWS",PR!$Z732,IF(K734="GREENLIFE",PR!$AA732,IF(K734="HLINE",PR!$AB732,IF(K734="ROTECH",PR!$AC732,IF(K734="ISN",PR!$AD732,IF(K734="JAWA",PR!$AE732,IF(K734="LAYO",PR!$AF732,IF(K734="LEADWAY",PR!$AG732,IF(K734="LHV",PR!$AH732,IF(K734="MANOLA",PR!$AI732,IF(K734="MARCSON",PR!$AJ732,IF(K734="M&amp;B",PR!$AK732,IF(K734="MTRUST",PR!$AL732,IF(K734="MWORLD",PR!$AM732,IF(K734="MEGA",PR!$AN732,IF(K734="MICRONOVA",PR!$AO732,IF(K734="MFLASH",PR!$AP732,IF(K734="MORISON",PR!$AQ732,IF(K734="NEMEL",PR!$AR732,IF(K734="NHP",PR!$AS732,IF(K734="NHC",PR!$AT732,IF(K734="OLEAF",PR!$AU732,IF(K734="OCULUS",PR!$AV732,IF(K734="PACIFIC",PR!$AW732,IF(K734="PHAMATEX",PR!$AX732,IF(K734="PETHICS",PR!$AY732,IF(K734="PHILIPS",PR!$AZ732,IF(K734="RANBAXY",PR!$BA732,IF(K734="REALS",PR!$BB732,IF(K734="ROYAL",PR!$BC732,IF(K734="SAM",PR!$BD732,IF(K734="SEAGREEN",PR!$BE732,IF(K734="SKG",PR!$BF732,IF(K734="TAH",PR!$BG732,IF(K734="TAYLEK",PR!$BH732,IF(K734="TEMITA",PR!$BI732,IF(K734="THL",PR!$BJ732,IF(K734="UBASTIC",PR!$BK732,IF(K734="UNION",PR!$BL732,IF(K734="UNIQUE",PR!$BM732,IF(K734="VIXA",PR!$BN732,IF(K734="WWCV",PR!$BO732,IF(K734="ZOLON",PR!$BP732,"-")))))))))))))))))))))))))))))))))))))))))))))))))))))))))))))))))</f>
        <v>2200</v>
      </c>
    </row>
    <row r="735" spans="1:12" ht="18.75" x14ac:dyDescent="0.3">
      <c r="A735" s="430">
        <f>PR!A733</f>
        <v>668</v>
      </c>
      <c r="B735" s="15" t="str">
        <f>PR!B733</f>
        <v>UREA 50% CREAM</v>
      </c>
      <c r="C735" s="113" t="str">
        <f>PR!D733</f>
        <v>TUBE</v>
      </c>
      <c r="D735" s="113">
        <f>PR!C733</f>
        <v>20</v>
      </c>
      <c r="E735" s="108" t="str">
        <f>IF(F735="ALPHA",PR!$E733,IF(F735="ASSENE",PR!$F733,IF(F735="BIOFEM",PR!$G733,IF(F735="BIOMED",PR!$H733,IF(F735="CHI",PR!$I733,IF(F735="CLARION",PR!$J733,IF(F735="CODIX",PR!$K733,IF(F735="COSMADE",PR!$L733,IF(F735="SANCON",PR!$M733,IF(F735="DEVON",PR!$N733,IF(F735="DORTEMAG",PR!$O733,IF(F735="DGF",PR!$P733,IF(F735="DYNAMIC",PR!$Q733,IF(F735="EMZOR",PR!$R733,IF(F735="EUMATT",PR!$S733,IF(F735="FIDSON",PR!$T733,IF(F735="FCGLOBAL",PR!$U733,IF(F735="GENEITH",PR!$V733,IF(F735="GINOS",PR!$W733,IF(F735="GSK",PR!$X733,IF(F735="GLOBORG",PR!$Y733,IF(F735="GOODNEWS",PR!$Z733,IF(F735="GREENLIFE",PR!$AA733,IF(F735="HLINE",PR!$AB733,IF(F735="ROTECH",PR!$AC733,IF(F735="ISN",PR!$AD733,IF(F735="JAWA",PR!$AE733,IF(F735="LAYO",PR!$AF733,IF(F735="LEADWAY",PR!$AG733,IF(F735="LHV",PR!$AH733,IF(F735="MANOLA",PR!$AI733,IF(F735="MARCSON",PR!$AJ733,IF(F735="M&amp;B",PR!$AK733,IF(F735="MTRUST",PR!$AL733,IF(F735="MWORLD",PR!$AM733,IF(F735="MEGA",PR!$AN733,IF(F735="MICRONOVA",PR!$AO733,IF(F735="MFLASH",PR!$AP733,IF(F735="MORISON",PR!$AQ733,IF(F735="NEMEL",PR!$AR733,IF(F735="NHP",PR!$AS733,IF(F735="NHC",PR!$AT733,IF(F735="OLEAF",PR!$AU733,IF(F735="OCULUS",PR!$AV733,IF(F735="PACIFIC",PR!$AW733,IF(F735="PHAMATEX",PR!$AX733,IF(F735="PETHICS",PR!$AY733,IF(F735="PHILIPS",PR!$AZ733,IF(F735="RANBAXY",PR!$BA733,IF(F735="REALS",PR!$BB733,IF(F735="ROYAL",PR!$BC733,IF(F735="SAM",PR!$BD733,IF(F735="SEAGREEN",PR!$BE733,IF(F735="SKG",PR!$BF733,IF(F735="TAH",PR!$BG733,IF(F735="TAYLEK",PR!$BH733,IF(F735="TEMITA",PR!$BI733,IF(F735="THL",PR!$BJ733,IF(F735="UBASTIC",PR!$BK733,IF(F735="UNION",PR!$BL733,IF(F735="UNIQUE",PR!$BM733,IF(F735="VIXA",PR!$BN733,IF(F735="WWCV",PR!$BO733,IF(F735="ZOLON",PR!$BP733,"-"))))))))))))))))))))))))))))))))))))))))))))))))))))))))))))))))</f>
        <v>-</v>
      </c>
      <c r="F735" s="102">
        <f>EV!L952</f>
        <v>0</v>
      </c>
      <c r="G735" s="108" t="str">
        <f>IF(H735="ALPHA",PR!$E733,IF(H735="ASSENE",PR!$F733,IF(H735="BIOFEM",PR!$G733,IF(H735="BIOMED",PR!$H733,IF(H735="CHI",PR!$I733,IF(H735="CLARION",PR!$J733,IF(H735="CODIX",PR!$K733,IF(H735="COSMADE",PR!$L733,IF(H735="SANCON",PR!$M733,IF(H735="DEVON",PR!$N733,IF(H735="DORTEMAG",PR!$O733,IF(H735="DGF",PR!$P733,IF(H735="DYNAMIC",PR!$Q733,IF(H735="EMZOR",PR!$R733,IF(H735="EUMATT",PR!$S733,IF(H735="FIDSON",PR!$T733,IF(H735="FCGLOBAL",PR!$U733,IF(H735="GENEITH",PR!$V733,IF(H735="GINOS",PR!$W733,IF(H735="GSK",PR!$X733,IF(H735="GLOBORG",PR!$Y733,IF(H735="GOODNEWS",PR!$Z733,IF(H735="GREENLIFE",PR!$AA733,IF(H735="HLINE",PR!$AB733,IF(H735="ROTECH",PR!$AC733,IF(H735="ISN",PR!$AD733,IF(H735="JAWA",PR!$AE733,IF(H735="LAYO",PR!$AF733,IF(H735="LEADWAY",PR!$AG733,IF(H735="LHV",PR!$AH733,IF(H735="MANOLA",PR!$AI733,IF(H735="MARCSON",PR!$AJ733,IF(H735="M&amp;B",PR!$AK733,IF(H735="MTRUST",PR!$AL733,IF(H735="MWORLD",PR!$AM733,IF(H735="MEGA",PR!$AN733,IF(H735="MICRONOVA",PR!$AO733,IF(H735="MFLASH",PR!$AP733,IF(H735="MORISON",PR!$AQ733,IF(H735="NEMEL",PR!$AR733,IF(H735="NHP",PR!$AS733,IF(H735="NHC",PR!$AT733,IF(H735="OLEAF",PR!$AU733,IF(H735="OCULUS",PR!$AV733,IF(H735="PACIFIC",PR!$AW733,IF(H735="PHAMATEX",PR!$AX733,IF(H735="PETHICS",PR!$AY733,IF(H735="PHILIPS",PR!$AZ733,IF(H735="RANBAXY",PR!$BA733,IF(H735="REALS",PR!$BB733,IF(H735="ROYAL",PR!$BC733,IF(H735="SAM",PR!$BD733,IF(H735="SEAGREEN",PR!$BE733,IF(H735="SKG",PR!$BF733,IF(H735="TAH",PR!$BG733,IF(H735="TAYLEK",PR!$BH733,IF(H735="TEMITA",PR!$BI733,IF(H735="THL",PR!$BJ733,IF(H735="UBASTIC",PR!$BK733,IF(H735="UNION",PR!$BL733,IF(H735="UNIQUE",PR!$BM733,IF(H735="VIXA",PR!$BN733,IF(H735="WWCV",PR!$BO733,IF(H735="ZOLON",PR!$BP733,"-"))))))))))))))))))))))))))))))))))))))))))))))))))))))))))))))))</f>
        <v>-</v>
      </c>
      <c r="H735" s="102">
        <f>EV!M952</f>
        <v>0</v>
      </c>
      <c r="I735" s="108" t="str">
        <f>IF(J735="ALPHA",PR!$E733,IF(J735="ASSENE",PR!$F733,IF(J735="BIOFEM",PR!$G733,IF(J735="BIOMED",PR!$H733,IF(J735="CHI",PR!$I733,IF(J735="CLARION",PR!$J733,IF(J735="CODIX",PR!$K733,IF(J735="COSMADE",PR!$L733,IF(J735="SANCON",PR!$M733,IF(J735="DEVON",PR!$N733,IF(J735="DORTEMAG",PR!$O733,IF(J735="DGF",PR!$P733,IF(J735="DYNAMIC",PR!$Q733,IF(J735="EMZOR",PR!$R733,IF(J735="EUMATT",PR!$S733,IF(J735="FIDSON",PR!$T733,IF(J735="FCGLOBAL",PR!$U733,IF(J735="GENEITH",PR!$V733,IF(J735="GINOS",PR!$W733,IF(J735="GSK",PR!$X733,IF(J735="GLOBORG",PR!$Y733,IF(J735="GOODNEWS",PR!$Z733,IF(J735="GREENLIFE",PR!$AA733,IF(J735="HLINE",PR!$AB733,IF(J735="ROTECH",PR!$AC733,IF(J735="ISN",PR!$AD733,IF(J735="JAWA",PR!$AE733,IF(J735="LAYO",PR!$AF733,IF(J735="LEADWAY",PR!$AG733,IF(J735="LHV",PR!$AH733,IF(J735="MANOLA",PR!$AI733,IF(J735="MARCSON",PR!$AJ733,IF(J735="M&amp;B",PR!$AK733,IF(J735="MTRUST",PR!$AL733,IF(J735="MWORLD",PR!$AM733,IF(J735="MEGA",PR!$AN733,IF(J735="MICRONOVA",PR!$AO733,IF(J735="MFLASH",PR!$AP733,IF(J735="MORISON",PR!$AQ733,IF(J735="NEMEL",PR!$AR733,IF(J735="NHP",PR!$AS733,IF(J735="NHC",PR!$AT733,IF(J735="OLEAF",PR!$AU733,IF(J735="OCULUS",PR!$AV733,IF(J735="PACIFIC",PR!$AW733,IF(J735="PHAMATEX",PR!$AX733,IF(J735="PETHICS",PR!$AY733,IF(J735="PHILIPS",PR!$AZ733,IF(J735="RANBAXY",PR!$BA733,IF(J735="REALS",PR!$BB733,IF(J735="ROYAL",PR!$BC733,IF(J735="SAM",PR!$BD733,IF(J735="SEAGREEN",PR!$BE733,IF(J735="SKG",PR!$BF733,IF(J735="TAH",PR!$BG733,IF(J735="TAYLEK",PR!$BH733,IF(J735="TEMITA",PR!$BI733,IF(J735="THL",PR!$BJ733,IF(J735="UBASTIC",PR!$BK733,IF(J735="UNION",PR!$BL733,IF(J735="UNIQUE",PR!$BM733,IF(J735="VIXA",PR!$BN733,IF(J735="WWCV",PR!$BO733,IF(J735="ZOLON",PR!$BP733,"-"))))))))))))))))))))))))))))))))))))))))))))))))))))))))))))))))</f>
        <v>-</v>
      </c>
      <c r="J735" s="102">
        <f>EV!N952</f>
        <v>0</v>
      </c>
      <c r="K735" s="433"/>
      <c r="L735" s="183" t="b">
        <f>IF(K735&gt;0,IF(K735="ALPHA",PR!$E733,IF(K735="ASSENE",PR!$F733,IF(K735="BIOFEM",PR!$G733,IF(K735="BIOMED",PR!$H733,IF(K735="CHI",PR!$I733,IF(K735="CLARION",PR!$J733,IF(K735="CODIX",PR!$K733,IF(K735="COSMADE",PR!$L733,IF(K735="SANCON",PR!$M733,IF(K735="DEVON",PR!$N733,IF(K735="DORTEMAG",PR!$O733,IF(K735="DGF",PR!$P733,IF(K735="DYNAMIC",PR!$Q733,IF(K735="EMZOR",PR!$R733,IF(K735="EUMATT",PR!$S733,IF(K735="FIDSON",PR!$T733,IF(K735="FCGLOBAL",PR!$U733,IF(K735="GENEITH",PR!$V733,IF(K735="GINOS",PR!$W733,IF(K735="GSK",PR!$X733,IF(K735="GLOBORG",PR!$Y733,IF(K735="GOODNEWS",PR!$Z733,IF(K735="GREENLIFE",PR!$AA733,IF(K735="HLINE",PR!$AB733,IF(K735="ROTECH",PR!$AC733,IF(K735="ISN",PR!$AD733,IF(K735="JAWA",PR!$AE733,IF(K735="LAYO",PR!$AF733,IF(K735="LEADWAY",PR!$AG733,IF(K735="LHV",PR!$AH733,IF(K735="MANOLA",PR!$AI733,IF(K735="MARCSON",PR!$AJ733,IF(K735="M&amp;B",PR!$AK733,IF(K735="MTRUST",PR!$AL733,IF(K735="MWORLD",PR!$AM733,IF(K735="MEGA",PR!$AN733,IF(K735="MICRONOVA",PR!$AO733,IF(K735="MFLASH",PR!$AP733,IF(K735="MORISON",PR!$AQ733,IF(K735="NEMEL",PR!$AR733,IF(K735="NHP",PR!$AS733,IF(K735="NHC",PR!$AT733,IF(K735="OLEAF",PR!$AU733,IF(K735="OCULUS",PR!$AV733,IF(K735="PACIFIC",PR!$AW733,IF(K735="PHAMATEX",PR!$AX733,IF(K735="PETHICS",PR!$AY733,IF(K735="PHILIPS",PR!$AZ733,IF(K735="RANBAXY",PR!$BA733,IF(K735="REALS",PR!$BB733,IF(K735="ROYAL",PR!$BC733,IF(K735="SAM",PR!$BD733,IF(K735="SEAGREEN",PR!$BE733,IF(K735="SKG",PR!$BF733,IF(K735="TAH",PR!$BG733,IF(K735="TAYLEK",PR!$BH733,IF(K735="TEMITA",PR!$BI733,IF(K735="THL",PR!$BJ733,IF(K735="UBASTIC",PR!$BK733,IF(K735="UNION",PR!$BL733,IF(K735="UNIQUE",PR!$BM733,IF(K735="VIXA",PR!$BN733,IF(K735="WWCV",PR!$BO733,IF(K735="ZOLON",PR!$BP733,"-")))))))))))))))))))))))))))))))))))))))))))))))))))))))))))))))))</f>
        <v>0</v>
      </c>
    </row>
    <row r="736" spans="1:12" ht="18.75" x14ac:dyDescent="0.3">
      <c r="A736" s="430">
        <f>PR!A734</f>
        <v>0</v>
      </c>
      <c r="B736" s="15">
        <f>PR!B734</f>
        <v>0</v>
      </c>
      <c r="C736" s="113">
        <f>PR!D734</f>
        <v>0</v>
      </c>
      <c r="D736" s="113">
        <f>PR!C734</f>
        <v>0</v>
      </c>
      <c r="E736" s="108" t="str">
        <f>IF(F736="ALPHA",PR!$E734,IF(F736="ASSENE",PR!$F734,IF(F736="BIOFEM",PR!$G734,IF(F736="BIOMED",PR!$H734,IF(F736="CHI",PR!$I734,IF(F736="CLARION",PR!$J734,IF(F736="CODIX",PR!$K734,IF(F736="COSMADE",PR!$L734,IF(F736="SANCON",PR!$M734,IF(F736="DEVON",PR!$N734,IF(F736="DORTEMAG",PR!$O734,IF(F736="DGF",PR!$P734,IF(F736="DYNAMIC",PR!$Q734,IF(F736="EMZOR",PR!$R734,IF(F736="EUMATT",PR!$S734,IF(F736="FIDSON",PR!$T734,IF(F736="FCGLOBAL",PR!$U734,IF(F736="GENEITH",PR!$V734,IF(F736="GINOS",PR!$W734,IF(F736="GSK",PR!$X734,IF(F736="GLOBORG",PR!$Y734,IF(F736="GOODNEWS",PR!$Z734,IF(F736="GREENLIFE",PR!$AA734,IF(F736="HLINE",PR!$AB734,IF(F736="ROTECH",PR!$AC734,IF(F736="ISN",PR!$AD734,IF(F736="JAWA",PR!$AE734,IF(F736="LAYO",PR!$AF734,IF(F736="LEADWAY",PR!$AG734,IF(F736="LHV",PR!$AH734,IF(F736="MANOLA",PR!$AI734,IF(F736="MARCSON",PR!$AJ734,IF(F736="M&amp;B",PR!$AK734,IF(F736="MTRUST",PR!$AL734,IF(F736="MWORLD",PR!$AM734,IF(F736="MEGA",PR!$AN734,IF(F736="MICRONOVA",PR!$AO734,IF(F736="MFLASH",PR!$AP734,IF(F736="MORISON",PR!$AQ734,IF(F736="NEMEL",PR!$AR734,IF(F736="NHP",PR!$AS734,IF(F736="NHC",PR!$AT734,IF(F736="OLEAF",PR!$AU734,IF(F736="OCULUS",PR!$AV734,IF(F736="PACIFIC",PR!$AW734,IF(F736="PHAMATEX",PR!$AX734,IF(F736="PETHICS",PR!$AY734,IF(F736="PHILIPS",PR!$AZ734,IF(F736="RANBAXY",PR!$BA734,IF(F736="REALS",PR!$BB734,IF(F736="ROYAL",PR!$BC734,IF(F736="SAM",PR!$BD734,IF(F736="SEAGREEN",PR!$BE734,IF(F736="SKG",PR!$BF734,IF(F736="TAH",PR!$BG734,IF(F736="TAYLEK",PR!$BH734,IF(F736="TEMITA",PR!$BI734,IF(F736="THL",PR!$BJ734,IF(F736="UBASTIC",PR!$BK734,IF(F736="UNION",PR!$BL734,IF(F736="UNIQUE",PR!$BM734,IF(F736="VIXA",PR!$BN734,IF(F736="WWCV",PR!$BO734,IF(F736="ZOLON",PR!$BP734,"-"))))))))))))))))))))))))))))))))))))))))))))))))))))))))))))))))</f>
        <v>-</v>
      </c>
      <c r="F736" s="102"/>
      <c r="G736" s="108" t="str">
        <f>IF(H736="ALPHA",PR!$E734,IF(H736="ASSENE",PR!$F734,IF(H736="BIOFEM",PR!$G734,IF(H736="BIOMED",PR!$H734,IF(H736="CHI",PR!$I734,IF(H736="CLARION",PR!$J734,IF(H736="CODIX",PR!$K734,IF(H736="COSMADE",PR!$L734,IF(H736="SANCON",PR!$M734,IF(H736="DEVON",PR!$N734,IF(H736="DORTEMAG",PR!$O734,IF(H736="DGF",PR!$P734,IF(H736="DYNAMIC",PR!$Q734,IF(H736="EMZOR",PR!$R734,IF(H736="EUMATT",PR!$S734,IF(H736="FIDSON",PR!$T734,IF(H736="FCGLOBAL",PR!$U734,IF(H736="GENEITH",PR!$V734,IF(H736="GINOS",PR!$W734,IF(H736="GSK",PR!$X734,IF(H736="GLOBORG",PR!$Y734,IF(H736="GOODNEWS",PR!$Z734,IF(H736="GREENLIFE",PR!$AA734,IF(H736="HLINE",PR!$AB734,IF(H736="ROTECH",PR!$AC734,IF(H736="ISN",PR!$AD734,IF(H736="JAWA",PR!$AE734,IF(H736="LAYO",PR!$AF734,IF(H736="LEADWAY",PR!$AG734,IF(H736="LHV",PR!$AH734,IF(H736="MANOLA",PR!$AI734,IF(H736="MARCSON",PR!$AJ734,IF(H736="M&amp;B",PR!$AK734,IF(H736="MTRUST",PR!$AL734,IF(H736="MWORLD",PR!$AM734,IF(H736="MEGA",PR!$AN734,IF(H736="MICRONOVA",PR!$AO734,IF(H736="MFLASH",PR!$AP734,IF(H736="MORISON",PR!$AQ734,IF(H736="NEMEL",PR!$AR734,IF(H736="NHP",PR!$AS734,IF(H736="NHC",PR!$AT734,IF(H736="OLEAF",PR!$AU734,IF(H736="OCULUS",PR!$AV734,IF(H736="PACIFIC",PR!$AW734,IF(H736="PHAMATEX",PR!$AX734,IF(H736="PETHICS",PR!$AY734,IF(H736="PHILIPS",PR!$AZ734,IF(H736="RANBAXY",PR!$BA734,IF(H736="REALS",PR!$BB734,IF(H736="ROYAL",PR!$BC734,IF(H736="SAM",PR!$BD734,IF(H736="SEAGREEN",PR!$BE734,IF(H736="SKG",PR!$BF734,IF(H736="TAH",PR!$BG734,IF(H736="TAYLEK",PR!$BH734,IF(H736="TEMITA",PR!$BI734,IF(H736="THL",PR!$BJ734,IF(H736="UBASTIC",PR!$BK734,IF(H736="UNION",PR!$BL734,IF(H736="UNIQUE",PR!$BM734,IF(H736="VIXA",PR!$BN734,IF(H736="WWCV",PR!$BO734,IF(H736="ZOLON",PR!$BP734,"-"))))))))))))))))))))))))))))))))))))))))))))))))))))))))))))))))</f>
        <v>-</v>
      </c>
      <c r="H736" s="102"/>
      <c r="I736" s="108" t="str">
        <f>IF(J736="ALPHA",PR!$E734,IF(J736="ASSENE",PR!$F734,IF(J736="BIOFEM",PR!$G734,IF(J736="BIOMED",PR!$H734,IF(J736="CHI",PR!$I734,IF(J736="CLARION",PR!$J734,IF(J736="CODIX",PR!$K734,IF(J736="COSMADE",PR!$L734,IF(J736="SANCON",PR!$M734,IF(J736="DEVON",PR!$N734,IF(J736="DORTEMAG",PR!$O734,IF(J736="DGF",PR!$P734,IF(J736="DYNAMIC",PR!$Q734,IF(J736="EMZOR",PR!$R734,IF(J736="EUMATT",PR!$S734,IF(J736="FIDSON",PR!$T734,IF(J736="FCGLOBAL",PR!$U734,IF(J736="GENEITH",PR!$V734,IF(J736="GINOS",PR!$W734,IF(J736="GSK",PR!$X734,IF(J736="GLOBORG",PR!$Y734,IF(J736="GOODNEWS",PR!$Z734,IF(J736="GREENLIFE",PR!$AA734,IF(J736="HLINE",PR!$AB734,IF(J736="ROTECH",PR!$AC734,IF(J736="ISN",PR!$AD734,IF(J736="JAWA",PR!$AE734,IF(J736="LAYO",PR!$AF734,IF(J736="LEADWAY",PR!$AG734,IF(J736="LHV",PR!$AH734,IF(J736="MANOLA",PR!$AI734,IF(J736="MARCSON",PR!$AJ734,IF(J736="M&amp;B",PR!$AK734,IF(J736="MTRUST",PR!$AL734,IF(J736="MWORLD",PR!$AM734,IF(J736="MEGA",PR!$AN734,IF(J736="MICRONOVA",PR!$AO734,IF(J736="MFLASH",PR!$AP734,IF(J736="MORISON",PR!$AQ734,IF(J736="NEMEL",PR!$AR734,IF(J736="NHP",PR!$AS734,IF(J736="NHC",PR!$AT734,IF(J736="OLEAF",PR!$AU734,IF(J736="OCULUS",PR!$AV734,IF(J736="PACIFIC",PR!$AW734,IF(J736="PHAMATEX",PR!$AX734,IF(J736="PETHICS",PR!$AY734,IF(J736="PHILIPS",PR!$AZ734,IF(J736="RANBAXY",PR!$BA734,IF(J736="REALS",PR!$BB734,IF(J736="ROYAL",PR!$BC734,IF(J736="SAM",PR!$BD734,IF(J736="SEAGREEN",PR!$BE734,IF(J736="SKG",PR!$BF734,IF(J736="TAH",PR!$BG734,IF(J736="TAYLEK",PR!$BH734,IF(J736="TEMITA",PR!$BI734,IF(J736="THL",PR!$BJ734,IF(J736="UBASTIC",PR!$BK734,IF(J736="UNION",PR!$BL734,IF(J736="UNIQUE",PR!$BM734,IF(J736="VIXA",PR!$BN734,IF(J736="WWCV",PR!$BO734,IF(J736="ZOLON",PR!$BP734,"-"))))))))))))))))))))))))))))))))))))))))))))))))))))))))))))))))</f>
        <v>-</v>
      </c>
      <c r="J736" s="102"/>
      <c r="K736" s="433"/>
      <c r="L736" s="183" t="b">
        <f>IF(K736&gt;0,IF(K736="ALPHA",PR!$E734,IF(K736="ASSENE",PR!$F734,IF(K736="BIOFEM",PR!$G734,IF(K736="BIOMED",PR!$H734,IF(K736="CHI",PR!$I734,IF(K736="CLARION",PR!$J734,IF(K736="CODIX",PR!$K734,IF(K736="COSMADE",PR!$L734,IF(K736="SANCON",PR!$M734,IF(K736="DEVON",PR!$N734,IF(K736="DORTEMAG",PR!$O734,IF(K736="DGF",PR!$P734,IF(K736="DYNAMIC",PR!$Q734,IF(K736="EMZOR",PR!$R734,IF(K736="EUMATT",PR!$S734,IF(K736="FIDSON",PR!$T734,IF(K736="FCGLOBAL",PR!$U734,IF(K736="GENEITH",PR!$V734,IF(K736="GINOS",PR!$W734,IF(K736="GSK",PR!$X734,IF(K736="GLOBORG",PR!$Y734,IF(K736="GOODNEWS",PR!$Z734,IF(K736="GREENLIFE",PR!$AA734,IF(K736="HLINE",PR!$AB734,IF(K736="ROTECH",PR!$AC734,IF(K736="ISN",PR!$AD734,IF(K736="JAWA",PR!$AE734,IF(K736="LAYO",PR!$AF734,IF(K736="LEADWAY",PR!$AG734,IF(K736="LHV",PR!$AH734,IF(K736="MANOLA",PR!$AI734,IF(K736="MARCSON",PR!$AJ734,IF(K736="M&amp;B",PR!$AK734,IF(K736="MTRUST",PR!$AL734,IF(K736="MWORLD",PR!$AM734,IF(K736="MEGA",PR!$AN734,IF(K736="MICRONOVA",PR!$AO734,IF(K736="MFLASH",PR!$AP734,IF(K736="MORISON",PR!$AQ734,IF(K736="NEMEL",PR!$AR734,IF(K736="NHP",PR!$AS734,IF(K736="NHC",PR!$AT734,IF(K736="OLEAF",PR!$AU734,IF(K736="OCULUS",PR!$AV734,IF(K736="PACIFIC",PR!$AW734,IF(K736="PHAMATEX",PR!$AX734,IF(K736="PETHICS",PR!$AY734,IF(K736="PHILIPS",PR!$AZ734,IF(K736="RANBAXY",PR!$BA734,IF(K736="REALS",PR!$BB734,IF(K736="ROYAL",PR!$BC734,IF(K736="SAM",PR!$BD734,IF(K736="SEAGREEN",PR!$BE734,IF(K736="SKG",PR!$BF734,IF(K736="TAH",PR!$BG734,IF(K736="TAYLEK",PR!$BH734,IF(K736="TEMITA",PR!$BI734,IF(K736="THL",PR!$BJ734,IF(K736="UBASTIC",PR!$BK734,IF(K736="UNION",PR!$BL734,IF(K736="UNIQUE",PR!$BM734,IF(K736="VIXA",PR!$BN734,IF(K736="WWCV",PR!$BO734,IF(K736="ZOLON",PR!$BP734,"-")))))))))))))))))))))))))))))))))))))))))))))))))))))))))))))))))</f>
        <v>0</v>
      </c>
    </row>
    <row r="737" spans="1:12" ht="18.75" x14ac:dyDescent="0.3">
      <c r="A737" s="430">
        <f>PR!A735</f>
        <v>0</v>
      </c>
      <c r="B737" s="15">
        <f>PR!B735</f>
        <v>0</v>
      </c>
      <c r="C737" s="113">
        <f>PR!D735</f>
        <v>0</v>
      </c>
      <c r="D737" s="113">
        <f>PR!C735</f>
        <v>0</v>
      </c>
      <c r="E737" s="108" t="str">
        <f>IF(F737="ALPHA",PR!$E735,IF(F737="ASSENE",PR!$F735,IF(F737="BIOFEM",PR!$G735,IF(F737="BIOMED",PR!$H735,IF(F737="CHI",PR!$I735,IF(F737="CLARION",PR!$J735,IF(F737="CODIX",PR!$K735,IF(F737="COSMADE",PR!$L735,IF(F737="SANCON",PR!$M735,IF(F737="DEVON",PR!$N735,IF(F737="DORTEMAG",PR!$O735,IF(F737="DGF",PR!$P735,IF(F737="DYNAMIC",PR!$Q735,IF(F737="EMZOR",PR!$R735,IF(F737="EUMATT",PR!$S735,IF(F737="FIDSON",PR!$T735,IF(F737="FCGLOBAL",PR!$U735,IF(F737="GENEITH",PR!$V735,IF(F737="GINOS",PR!$W735,IF(F737="GSK",PR!$X735,IF(F737="GLOBORG",PR!$Y735,IF(F737="GOODNEWS",PR!$Z735,IF(F737="GREENLIFE",PR!$AA735,IF(F737="HLINE",PR!$AB735,IF(F737="ROTECH",PR!$AC735,IF(F737="ISN",PR!$AD735,IF(F737="JAWA",PR!$AE735,IF(F737="LAYO",PR!$AF735,IF(F737="LEADWAY",PR!$AG735,IF(F737="LHV",PR!$AH735,IF(F737="MANOLA",PR!$AI735,IF(F737="MARCSON",PR!$AJ735,IF(F737="M&amp;B",PR!$AK735,IF(F737="MTRUST",PR!$AL735,IF(F737="MWORLD",PR!$AM735,IF(F737="MEGA",PR!$AN735,IF(F737="MICRONOVA",PR!$AO735,IF(F737="MFLASH",PR!$AP735,IF(F737="MORISON",PR!$AQ735,IF(F737="NEMEL",PR!$AR735,IF(F737="NHP",PR!$AS735,IF(F737="NHC",PR!$AT735,IF(F737="OLEAF",PR!$AU735,IF(F737="OCULUS",PR!$AV735,IF(F737="PACIFIC",PR!$AW735,IF(F737="PHAMATEX",PR!$AX735,IF(F737="PETHICS",PR!$AY735,IF(F737="PHILIPS",PR!$AZ735,IF(F737="RANBAXY",PR!$BA735,IF(F737="REALS",PR!$BB735,IF(F737="ROYAL",PR!$BC735,IF(F737="SAM",PR!$BD735,IF(F737="SEAGREEN",PR!$BE735,IF(F737="SKG",PR!$BF735,IF(F737="TAH",PR!$BG735,IF(F737="TAYLEK",PR!$BH735,IF(F737="TEMITA",PR!$BI735,IF(F737="THL",PR!$BJ735,IF(F737="UBASTIC",PR!$BK735,IF(F737="UNION",PR!$BL735,IF(F737="UNIQUE",PR!$BM735,IF(F737="VIXA",PR!$BN735,IF(F737="WWCV",PR!$BO735,IF(F737="ZOLON",PR!$BP735,"-"))))))))))))))))))))))))))))))))))))))))))))))))))))))))))))))))</f>
        <v>-</v>
      </c>
      <c r="F737" s="102"/>
      <c r="G737" s="108" t="str">
        <f>IF(H737="ALPHA",PR!$E735,IF(H737="ASSENE",PR!$F735,IF(H737="BIOFEM",PR!$G735,IF(H737="BIOMED",PR!$H735,IF(H737="CHI",PR!$I735,IF(H737="CLARION",PR!$J735,IF(H737="CODIX",PR!$K735,IF(H737="COSMADE",PR!$L735,IF(H737="SANCON",PR!$M735,IF(H737="DEVON",PR!$N735,IF(H737="DORTEMAG",PR!$O735,IF(H737="DGF",PR!$P735,IF(H737="DYNAMIC",PR!$Q735,IF(H737="EMZOR",PR!$R735,IF(H737="EUMATT",PR!$S735,IF(H737="FIDSON",PR!$T735,IF(H737="FCGLOBAL",PR!$U735,IF(H737="GENEITH",PR!$V735,IF(H737="GINOS",PR!$W735,IF(H737="GSK",PR!$X735,IF(H737="GLOBORG",PR!$Y735,IF(H737="GOODNEWS",PR!$Z735,IF(H737="GREENLIFE",PR!$AA735,IF(H737="HLINE",PR!$AB735,IF(H737="ROTECH",PR!$AC735,IF(H737="ISN",PR!$AD735,IF(H737="JAWA",PR!$AE735,IF(H737="LAYO",PR!$AF735,IF(H737="LEADWAY",PR!$AG735,IF(H737="LHV",PR!$AH735,IF(H737="MANOLA",PR!$AI735,IF(H737="MARCSON",PR!$AJ735,IF(H737="M&amp;B",PR!$AK735,IF(H737="MTRUST",PR!$AL735,IF(H737="MWORLD",PR!$AM735,IF(H737="MEGA",PR!$AN735,IF(H737="MICRONOVA",PR!$AO735,IF(H737="MFLASH",PR!$AP735,IF(H737="MORISON",PR!$AQ735,IF(H737="NEMEL",PR!$AR735,IF(H737="NHP",PR!$AS735,IF(H737="NHC",PR!$AT735,IF(H737="OLEAF",PR!$AU735,IF(H737="OCULUS",PR!$AV735,IF(H737="PACIFIC",PR!$AW735,IF(H737="PHAMATEX",PR!$AX735,IF(H737="PETHICS",PR!$AY735,IF(H737="PHILIPS",PR!$AZ735,IF(H737="RANBAXY",PR!$BA735,IF(H737="REALS",PR!$BB735,IF(H737="ROYAL",PR!$BC735,IF(H737="SAM",PR!$BD735,IF(H737="SEAGREEN",PR!$BE735,IF(H737="SKG",PR!$BF735,IF(H737="TAH",PR!$BG735,IF(H737="TAYLEK",PR!$BH735,IF(H737="TEMITA",PR!$BI735,IF(H737="THL",PR!$BJ735,IF(H737="UBASTIC",PR!$BK735,IF(H737="UNION",PR!$BL735,IF(H737="UNIQUE",PR!$BM735,IF(H737="VIXA",PR!$BN735,IF(H737="WWCV",PR!$BO735,IF(H737="ZOLON",PR!$BP735,"-"))))))))))))))))))))))))))))))))))))))))))))))))))))))))))))))))</f>
        <v>-</v>
      </c>
      <c r="H737" s="102"/>
      <c r="I737" s="108" t="str">
        <f>IF(J737="ALPHA",PR!$E735,IF(J737="ASSENE",PR!$F735,IF(J737="BIOFEM",PR!$G735,IF(J737="BIOMED",PR!$H735,IF(J737="CHI",PR!$I735,IF(J737="CLARION",PR!$J735,IF(J737="CODIX",PR!$K735,IF(J737="COSMADE",PR!$L735,IF(J737="SANCON",PR!$M735,IF(J737="DEVON",PR!$N735,IF(J737="DORTEMAG",PR!$O735,IF(J737="DGF",PR!$P735,IF(J737="DYNAMIC",PR!$Q735,IF(J737="EMZOR",PR!$R735,IF(J737="EUMATT",PR!$S735,IF(J737="FIDSON",PR!$T735,IF(J737="FCGLOBAL",PR!$U735,IF(J737="GENEITH",PR!$V735,IF(J737="GINOS",PR!$W735,IF(J737="GSK",PR!$X735,IF(J737="GLOBORG",PR!$Y735,IF(J737="GOODNEWS",PR!$Z735,IF(J737="GREENLIFE",PR!$AA735,IF(J737="HLINE",PR!$AB735,IF(J737="ROTECH",PR!$AC735,IF(J737="ISN",PR!$AD735,IF(J737="JAWA",PR!$AE735,IF(J737="LAYO",PR!$AF735,IF(J737="LEADWAY",PR!$AG735,IF(J737="LHV",PR!$AH735,IF(J737="MANOLA",PR!$AI735,IF(J737="MARCSON",PR!$AJ735,IF(J737="M&amp;B",PR!$AK735,IF(J737="MTRUST",PR!$AL735,IF(J737="MWORLD",PR!$AM735,IF(J737="MEGA",PR!$AN735,IF(J737="MICRONOVA",PR!$AO735,IF(J737="MFLASH",PR!$AP735,IF(J737="MORISON",PR!$AQ735,IF(J737="NEMEL",PR!$AR735,IF(J737="NHP",PR!$AS735,IF(J737="NHC",PR!$AT735,IF(J737="OLEAF",PR!$AU735,IF(J737="OCULUS",PR!$AV735,IF(J737="PACIFIC",PR!$AW735,IF(J737="PHAMATEX",PR!$AX735,IF(J737="PETHICS",PR!$AY735,IF(J737="PHILIPS",PR!$AZ735,IF(J737="RANBAXY",PR!$BA735,IF(J737="REALS",PR!$BB735,IF(J737="ROYAL",PR!$BC735,IF(J737="SAM",PR!$BD735,IF(J737="SEAGREEN",PR!$BE735,IF(J737="SKG",PR!$BF735,IF(J737="TAH",PR!$BG735,IF(J737="TAYLEK",PR!$BH735,IF(J737="TEMITA",PR!$BI735,IF(J737="THL",PR!$BJ735,IF(J737="UBASTIC",PR!$BK735,IF(J737="UNION",PR!$BL735,IF(J737="UNIQUE",PR!$BM735,IF(J737="VIXA",PR!$BN735,IF(J737="WWCV",PR!$BO735,IF(J737="ZOLON",PR!$BP735,"-"))))))))))))))))))))))))))))))))))))))))))))))))))))))))))))))))</f>
        <v>-</v>
      </c>
      <c r="J737" s="102"/>
      <c r="K737" s="433"/>
      <c r="L737" s="183" t="b">
        <f>IF(K737&gt;0,IF(K737="ALPHA",PR!$E735,IF(K737="ASSENE",PR!$F735,IF(K737="BIOFEM",PR!$G735,IF(K737="BIOMED",PR!$H735,IF(K737="CHI",PR!$I735,IF(K737="CLARION",PR!$J735,IF(K737="CODIX",PR!$K735,IF(K737="COSMADE",PR!$L735,IF(K737="SANCON",PR!$M735,IF(K737="DEVON",PR!$N735,IF(K737="DORTEMAG",PR!$O735,IF(K737="DGF",PR!$P735,IF(K737="DYNAMIC",PR!$Q735,IF(K737="EMZOR",PR!$R735,IF(K737="EUMATT",PR!$S735,IF(K737="FIDSON",PR!$T735,IF(K737="FCGLOBAL",PR!$U735,IF(K737="GENEITH",PR!$V735,IF(K737="GINOS",PR!$W735,IF(K737="GSK",PR!$X735,IF(K737="GLOBORG",PR!$Y735,IF(K737="GOODNEWS",PR!$Z735,IF(K737="GREENLIFE",PR!$AA735,IF(K737="HLINE",PR!$AB735,IF(K737="ROTECH",PR!$AC735,IF(K737="ISN",PR!$AD735,IF(K737="JAWA",PR!$AE735,IF(K737="LAYO",PR!$AF735,IF(K737="LEADWAY",PR!$AG735,IF(K737="LHV",PR!$AH735,IF(K737="MANOLA",PR!$AI735,IF(K737="MARCSON",PR!$AJ735,IF(K737="M&amp;B",PR!$AK735,IF(K737="MTRUST",PR!$AL735,IF(K737="MWORLD",PR!$AM735,IF(K737="MEGA",PR!$AN735,IF(K737="MICRONOVA",PR!$AO735,IF(K737="MFLASH",PR!$AP735,IF(K737="MORISON",PR!$AQ735,IF(K737="NEMEL",PR!$AR735,IF(K737="NHP",PR!$AS735,IF(K737="NHC",PR!$AT735,IF(K737="OLEAF",PR!$AU735,IF(K737="OCULUS",PR!$AV735,IF(K737="PACIFIC",PR!$AW735,IF(K737="PHAMATEX",PR!$AX735,IF(K737="PETHICS",PR!$AY735,IF(K737="PHILIPS",PR!$AZ735,IF(K737="RANBAXY",PR!$BA735,IF(K737="REALS",PR!$BB735,IF(K737="ROYAL",PR!$BC735,IF(K737="SAM",PR!$BD735,IF(K737="SEAGREEN",PR!$BE735,IF(K737="SKG",PR!$BF735,IF(K737="TAH",PR!$BG735,IF(K737="TAYLEK",PR!$BH735,IF(K737="TEMITA",PR!$BI735,IF(K737="THL",PR!$BJ735,IF(K737="UBASTIC",PR!$BK735,IF(K737="UNION",PR!$BL735,IF(K737="UNIQUE",PR!$BM735,IF(K737="VIXA",PR!$BN735,IF(K737="WWCV",PR!$BO735,IF(K737="ZOLON",PR!$BP735,"-")))))))))))))))))))))))))))))))))))))))))))))))))))))))))))))))))</f>
        <v>0</v>
      </c>
    </row>
    <row r="738" spans="1:12" ht="18.75" x14ac:dyDescent="0.3">
      <c r="A738" s="430">
        <f>PR!A736</f>
        <v>0</v>
      </c>
      <c r="B738" s="15" t="str">
        <f>PR!B736</f>
        <v>DISINFECTANTS</v>
      </c>
      <c r="C738" s="113">
        <f>PR!D736</f>
        <v>0</v>
      </c>
      <c r="D738" s="113">
        <f>PR!C736</f>
        <v>0</v>
      </c>
      <c r="E738" s="108" t="str">
        <f>IF(F738="ALPHA",PR!$E736,IF(F738="ASSENE",PR!$F736,IF(F738="BIOFEM",PR!$G736,IF(F738="BIOMED",PR!$H736,IF(F738="CHI",PR!$I736,IF(F738="CLARION",PR!$J736,IF(F738="CODIX",PR!$K736,IF(F738="COSMADE",PR!$L736,IF(F738="SANCON",PR!$M736,IF(F738="DEVON",PR!$N736,IF(F738="DORTEMAG",PR!$O736,IF(F738="DGF",PR!$P736,IF(F738="DYNAMIC",PR!$Q736,IF(F738="EMZOR",PR!$R736,IF(F738="EUMATT",PR!$S736,IF(F738="FIDSON",PR!$T736,IF(F738="FCGLOBAL",PR!$U736,IF(F738="GENEITH",PR!$V736,IF(F738="GINOS",PR!$W736,IF(F738="GSK",PR!$X736,IF(F738="GLOBORG",PR!$Y736,IF(F738="GOODNEWS",PR!$Z736,IF(F738="GREENLIFE",PR!$AA736,IF(F738="HLINE",PR!$AB736,IF(F738="ROTECH",PR!$AC736,IF(F738="ISN",PR!$AD736,IF(F738="JAWA",PR!$AE736,IF(F738="LAYO",PR!$AF736,IF(F738="LEADWAY",PR!$AG736,IF(F738="LHV",PR!$AH736,IF(F738="MANOLA",PR!$AI736,IF(F738="MARCSON",PR!$AJ736,IF(F738="M&amp;B",PR!$AK736,IF(F738="MTRUST",PR!$AL736,IF(F738="MWORLD",PR!$AM736,IF(F738="MEGA",PR!$AN736,IF(F738="MICRONOVA",PR!$AO736,IF(F738="MFLASH",PR!$AP736,IF(F738="MORISON",PR!$AQ736,IF(F738="NEMEL",PR!$AR736,IF(F738="NHP",PR!$AS736,IF(F738="NHC",PR!$AT736,IF(F738="OLEAF",PR!$AU736,IF(F738="OCULUS",PR!$AV736,IF(F738="PACIFIC",PR!$AW736,IF(F738="PHAMATEX",PR!$AX736,IF(F738="PETHICS",PR!$AY736,IF(F738="PHILIPS",PR!$AZ736,IF(F738="RANBAXY",PR!$BA736,IF(F738="REALS",PR!$BB736,IF(F738="ROYAL",PR!$BC736,IF(F738="SAM",PR!$BD736,IF(F738="SEAGREEN",PR!$BE736,IF(F738="SKG",PR!$BF736,IF(F738="TAH",PR!$BG736,IF(F738="TAYLEK",PR!$BH736,IF(F738="TEMITA",PR!$BI736,IF(F738="THL",PR!$BJ736,IF(F738="UBASTIC",PR!$BK736,IF(F738="UNION",PR!$BL736,IF(F738="UNIQUE",PR!$BM736,IF(F738="VIXA",PR!$BN736,IF(F738="WWCV",PR!$BO736,IF(F738="ZOLON",PR!$BP736,"-"))))))))))))))))))))))))))))))))))))))))))))))))))))))))))))))))</f>
        <v>-</v>
      </c>
      <c r="F738" s="102"/>
      <c r="G738" s="108" t="str">
        <f>IF(H738="ALPHA",PR!$E736,IF(H738="ASSENE",PR!$F736,IF(H738="BIOFEM",PR!$G736,IF(H738="BIOMED",PR!$H736,IF(H738="CHI",PR!$I736,IF(H738="CLARION",PR!$J736,IF(H738="CODIX",PR!$K736,IF(H738="COSMADE",PR!$L736,IF(H738="SANCON",PR!$M736,IF(H738="DEVON",PR!$N736,IF(H738="DORTEMAG",PR!$O736,IF(H738="DGF",PR!$P736,IF(H738="DYNAMIC",PR!$Q736,IF(H738="EMZOR",PR!$R736,IF(H738="EUMATT",PR!$S736,IF(H738="FIDSON",PR!$T736,IF(H738="FCGLOBAL",PR!$U736,IF(H738="GENEITH",PR!$V736,IF(H738="GINOS",PR!$W736,IF(H738="GSK",PR!$X736,IF(H738="GLOBORG",PR!$Y736,IF(H738="GOODNEWS",PR!$Z736,IF(H738="GREENLIFE",PR!$AA736,IF(H738="HLINE",PR!$AB736,IF(H738="ROTECH",PR!$AC736,IF(H738="ISN",PR!$AD736,IF(H738="JAWA",PR!$AE736,IF(H738="LAYO",PR!$AF736,IF(H738="LEADWAY",PR!$AG736,IF(H738="LHV",PR!$AH736,IF(H738="MANOLA",PR!$AI736,IF(H738="MARCSON",PR!$AJ736,IF(H738="M&amp;B",PR!$AK736,IF(H738="MTRUST",PR!$AL736,IF(H738="MWORLD",PR!$AM736,IF(H738="MEGA",PR!$AN736,IF(H738="MICRONOVA",PR!$AO736,IF(H738="MFLASH",PR!$AP736,IF(H738="MORISON",PR!$AQ736,IF(H738="NEMEL",PR!$AR736,IF(H738="NHP",PR!$AS736,IF(H738="NHC",PR!$AT736,IF(H738="OLEAF",PR!$AU736,IF(H738="OCULUS",PR!$AV736,IF(H738="PACIFIC",PR!$AW736,IF(H738="PHAMATEX",PR!$AX736,IF(H738="PETHICS",PR!$AY736,IF(H738="PHILIPS",PR!$AZ736,IF(H738="RANBAXY",PR!$BA736,IF(H738="REALS",PR!$BB736,IF(H738="ROYAL",PR!$BC736,IF(H738="SAM",PR!$BD736,IF(H738="SEAGREEN",PR!$BE736,IF(H738="SKG",PR!$BF736,IF(H738="TAH",PR!$BG736,IF(H738="TAYLEK",PR!$BH736,IF(H738="TEMITA",PR!$BI736,IF(H738="THL",PR!$BJ736,IF(H738="UBASTIC",PR!$BK736,IF(H738="UNION",PR!$BL736,IF(H738="UNIQUE",PR!$BM736,IF(H738="VIXA",PR!$BN736,IF(H738="WWCV",PR!$BO736,IF(H738="ZOLON",PR!$BP736,"-"))))))))))))))))))))))))))))))))))))))))))))))))))))))))))))))))</f>
        <v>-</v>
      </c>
      <c r="H738" s="102"/>
      <c r="I738" s="108" t="str">
        <f>IF(J738="ALPHA",PR!$E736,IF(J738="ASSENE",PR!$F736,IF(J738="BIOFEM",PR!$G736,IF(J738="BIOMED",PR!$H736,IF(J738="CHI",PR!$I736,IF(J738="CLARION",PR!$J736,IF(J738="CODIX",PR!$K736,IF(J738="COSMADE",PR!$L736,IF(J738="SANCON",PR!$M736,IF(J738="DEVON",PR!$N736,IF(J738="DORTEMAG",PR!$O736,IF(J738="DGF",PR!$P736,IF(J738="DYNAMIC",PR!$Q736,IF(J738="EMZOR",PR!$R736,IF(J738="EUMATT",PR!$S736,IF(J738="FIDSON",PR!$T736,IF(J738="FCGLOBAL",PR!$U736,IF(J738="GENEITH",PR!$V736,IF(J738="GINOS",PR!$W736,IF(J738="GSK",PR!$X736,IF(J738="GLOBORG",PR!$Y736,IF(J738="GOODNEWS",PR!$Z736,IF(J738="GREENLIFE",PR!$AA736,IF(J738="HLINE",PR!$AB736,IF(J738="ROTECH",PR!$AC736,IF(J738="ISN",PR!$AD736,IF(J738="JAWA",PR!$AE736,IF(J738="LAYO",PR!$AF736,IF(J738="LEADWAY",PR!$AG736,IF(J738="LHV",PR!$AH736,IF(J738="MANOLA",PR!$AI736,IF(J738="MARCSON",PR!$AJ736,IF(J738="M&amp;B",PR!$AK736,IF(J738="MTRUST",PR!$AL736,IF(J738="MWORLD",PR!$AM736,IF(J738="MEGA",PR!$AN736,IF(J738="MICRONOVA",PR!$AO736,IF(J738="MFLASH",PR!$AP736,IF(J738="MORISON",PR!$AQ736,IF(J738="NEMEL",PR!$AR736,IF(J738="NHP",PR!$AS736,IF(J738="NHC",PR!$AT736,IF(J738="OLEAF",PR!$AU736,IF(J738="OCULUS",PR!$AV736,IF(J738="PACIFIC",PR!$AW736,IF(J738="PHAMATEX",PR!$AX736,IF(J738="PETHICS",PR!$AY736,IF(J738="PHILIPS",PR!$AZ736,IF(J738="RANBAXY",PR!$BA736,IF(J738="REALS",PR!$BB736,IF(J738="ROYAL",PR!$BC736,IF(J738="SAM",PR!$BD736,IF(J738="SEAGREEN",PR!$BE736,IF(J738="SKG",PR!$BF736,IF(J738="TAH",PR!$BG736,IF(J738="TAYLEK",PR!$BH736,IF(J738="TEMITA",PR!$BI736,IF(J738="THL",PR!$BJ736,IF(J738="UBASTIC",PR!$BK736,IF(J738="UNION",PR!$BL736,IF(J738="UNIQUE",PR!$BM736,IF(J738="VIXA",PR!$BN736,IF(J738="WWCV",PR!$BO736,IF(J738="ZOLON",PR!$BP736,"-"))))))))))))))))))))))))))))))))))))))))))))))))))))))))))))))))</f>
        <v>-</v>
      </c>
      <c r="J738" s="102"/>
      <c r="K738" s="433"/>
      <c r="L738" s="183" t="b">
        <f>IF(K738&gt;0,IF(K738="ALPHA",PR!$E736,IF(K738="ASSENE",PR!$F736,IF(K738="BIOFEM",PR!$G736,IF(K738="BIOMED",PR!$H736,IF(K738="CHI",PR!$I736,IF(K738="CLARION",PR!$J736,IF(K738="CODIX",PR!$K736,IF(K738="COSMADE",PR!$L736,IF(K738="SANCON",PR!$M736,IF(K738="DEVON",PR!$N736,IF(K738="DORTEMAG",PR!$O736,IF(K738="DGF",PR!$P736,IF(K738="DYNAMIC",PR!$Q736,IF(K738="EMZOR",PR!$R736,IF(K738="EUMATT",PR!$S736,IF(K738="FIDSON",PR!$T736,IF(K738="FCGLOBAL",PR!$U736,IF(K738="GENEITH",PR!$V736,IF(K738="GINOS",PR!$W736,IF(K738="GSK",PR!$X736,IF(K738="GLOBORG",PR!$Y736,IF(K738="GOODNEWS",PR!$Z736,IF(K738="GREENLIFE",PR!$AA736,IF(K738="HLINE",PR!$AB736,IF(K738="ROTECH",PR!$AC736,IF(K738="ISN",PR!$AD736,IF(K738="JAWA",PR!$AE736,IF(K738="LAYO",PR!$AF736,IF(K738="LEADWAY",PR!$AG736,IF(K738="LHV",PR!$AH736,IF(K738="MANOLA",PR!$AI736,IF(K738="MARCSON",PR!$AJ736,IF(K738="M&amp;B",PR!$AK736,IF(K738="MTRUST",PR!$AL736,IF(K738="MWORLD",PR!$AM736,IF(K738="MEGA",PR!$AN736,IF(K738="MICRONOVA",PR!$AO736,IF(K738="MFLASH",PR!$AP736,IF(K738="MORISON",PR!$AQ736,IF(K738="NEMEL",PR!$AR736,IF(K738="NHP",PR!$AS736,IF(K738="NHC",PR!$AT736,IF(K738="OLEAF",PR!$AU736,IF(K738="OCULUS",PR!$AV736,IF(K738="PACIFIC",PR!$AW736,IF(K738="PHAMATEX",PR!$AX736,IF(K738="PETHICS",PR!$AY736,IF(K738="PHILIPS",PR!$AZ736,IF(K738="RANBAXY",PR!$BA736,IF(K738="REALS",PR!$BB736,IF(K738="ROYAL",PR!$BC736,IF(K738="SAM",PR!$BD736,IF(K738="SEAGREEN",PR!$BE736,IF(K738="SKG",PR!$BF736,IF(K738="TAH",PR!$BG736,IF(K738="TAYLEK",PR!$BH736,IF(K738="TEMITA",PR!$BI736,IF(K738="THL",PR!$BJ736,IF(K738="UBASTIC",PR!$BK736,IF(K738="UNION",PR!$BL736,IF(K738="UNIQUE",PR!$BM736,IF(K738="VIXA",PR!$BN736,IF(K738="WWCV",PR!$BO736,IF(K738="ZOLON",PR!$BP736,"-")))))))))))))))))))))))))))))))))))))))))))))))))))))))))))))))))</f>
        <v>0</v>
      </c>
    </row>
    <row r="739" spans="1:12" ht="18.75" x14ac:dyDescent="0.3">
      <c r="A739" s="430">
        <f>PR!A737</f>
        <v>669</v>
      </c>
      <c r="B739" s="15" t="str">
        <f>PR!B737</f>
        <v>BORIC ACID 1% + CHLORINATED LIME 1%</v>
      </c>
      <c r="C739" s="113" t="str">
        <f>PR!D737</f>
        <v>2L</v>
      </c>
      <c r="D739" s="113">
        <f>PR!C737</f>
        <v>4</v>
      </c>
      <c r="E739" s="108" t="str">
        <f>IF(F739="ALPHA",PR!$E737,IF(F739="ASSENE",PR!$F737,IF(F739="BIOFEM",PR!$G737,IF(F739="BIOMED",PR!$H737,IF(F739="CHI",PR!$I737,IF(F739="CLARION",PR!$J737,IF(F739="CODIX",PR!$K737,IF(F739="COSMADE",PR!$L737,IF(F739="SANCON",PR!$M737,IF(F739="DEVON",PR!$N737,IF(F739="DORTEMAG",PR!$O737,IF(F739="DGF",PR!$P737,IF(F739="DYNAMIC",PR!$Q737,IF(F739="EMZOR",PR!$R737,IF(F739="EUMATT",PR!$S737,IF(F739="FIDSON",PR!$T737,IF(F739="FCGLOBAL",PR!$U737,IF(F739="GENEITH",PR!$V737,IF(F739="GINOS",PR!$W737,IF(F739="GSK",PR!$X737,IF(F739="GLOBORG",PR!$Y737,IF(F739="GOODNEWS",PR!$Z737,IF(F739="GREENLIFE",PR!$AA737,IF(F739="HLINE",PR!$AB737,IF(F739="ROTECH",PR!$AC737,IF(F739="ISN",PR!$AD737,IF(F739="JAWA",PR!$AE737,IF(F739="LAYO",PR!$AF737,IF(F739="LEADWAY",PR!$AG737,IF(F739="LHV",PR!$AH737,IF(F739="MANOLA",PR!$AI737,IF(F739="MARCSON",PR!$AJ737,IF(F739="M&amp;B",PR!$AK737,IF(F739="MTRUST",PR!$AL737,IF(F739="MWORLD",PR!$AM737,IF(F739="MEGA",PR!$AN737,IF(F739="MICRONOVA",PR!$AO737,IF(F739="MFLASH",PR!$AP737,IF(F739="MORISON",PR!$AQ737,IF(F739="NEMEL",PR!$AR737,IF(F739="NHP",PR!$AS737,IF(F739="NHC",PR!$AT737,IF(F739="OLEAF",PR!$AU737,IF(F739="OCULUS",PR!$AV737,IF(F739="PACIFIC",PR!$AW737,IF(F739="PHAMATEX",PR!$AX737,IF(F739="PETHICS",PR!$AY737,IF(F739="PHILIPS",PR!$AZ737,IF(F739="RANBAXY",PR!$BA737,IF(F739="REALS",PR!$BB737,IF(F739="ROYAL",PR!$BC737,IF(F739="SAM",PR!$BD737,IF(F739="SEAGREEN",PR!$BE737,IF(F739="SKG",PR!$BF737,IF(F739="TAH",PR!$BG737,IF(F739="TAYLEK",PR!$BH737,IF(F739="TEMITA",PR!$BI737,IF(F739="THL",PR!$BJ737,IF(F739="UBASTIC",PR!$BK737,IF(F739="UNION",PR!$BL737,IF(F739="UNIQUE",PR!$BM737,IF(F739="VIXA",PR!$BN737,IF(F739="WWCV",PR!$BO737,IF(F739="ZOLON",PR!$BP737,"-"))))))))))))))))))))))))))))))))))))))))))))))))))))))))))))))))</f>
        <v>-</v>
      </c>
      <c r="F739" s="102">
        <f>EV!L953</f>
        <v>0</v>
      </c>
      <c r="G739" s="108" t="str">
        <f>IF(H739="ALPHA",PR!$E737,IF(H739="ASSENE",PR!$F737,IF(H739="BIOFEM",PR!$G737,IF(H739="BIOMED",PR!$H737,IF(H739="CHI",PR!$I737,IF(H739="CLARION",PR!$J737,IF(H739="CODIX",PR!$K737,IF(H739="COSMADE",PR!$L737,IF(H739="SANCON",PR!$M737,IF(H739="DEVON",PR!$N737,IF(H739="DORTEMAG",PR!$O737,IF(H739="DGF",PR!$P737,IF(H739="DYNAMIC",PR!$Q737,IF(H739="EMZOR",PR!$R737,IF(H739="EUMATT",PR!$S737,IF(H739="FIDSON",PR!$T737,IF(H739="FCGLOBAL",PR!$U737,IF(H739="GENEITH",PR!$V737,IF(H739="GINOS",PR!$W737,IF(H739="GSK",PR!$X737,IF(H739="GLOBORG",PR!$Y737,IF(H739="GOODNEWS",PR!$Z737,IF(H739="GREENLIFE",PR!$AA737,IF(H739="HLINE",PR!$AB737,IF(H739="ROTECH",PR!$AC737,IF(H739="ISN",PR!$AD737,IF(H739="JAWA",PR!$AE737,IF(H739="LAYO",PR!$AF737,IF(H739="LEADWAY",PR!$AG737,IF(H739="LHV",PR!$AH737,IF(H739="MANOLA",PR!$AI737,IF(H739="MARCSON",PR!$AJ737,IF(H739="M&amp;B",PR!$AK737,IF(H739="MTRUST",PR!$AL737,IF(H739="MWORLD",PR!$AM737,IF(H739="MEGA",PR!$AN737,IF(H739="MICRONOVA",PR!$AO737,IF(H739="MFLASH",PR!$AP737,IF(H739="MORISON",PR!$AQ737,IF(H739="NEMEL",PR!$AR737,IF(H739="NHP",PR!$AS737,IF(H739="NHC",PR!$AT737,IF(H739="OLEAF",PR!$AU737,IF(H739="OCULUS",PR!$AV737,IF(H739="PACIFIC",PR!$AW737,IF(H739="PHAMATEX",PR!$AX737,IF(H739="PETHICS",PR!$AY737,IF(H739="PHILIPS",PR!$AZ737,IF(H739="RANBAXY",PR!$BA737,IF(H739="REALS",PR!$BB737,IF(H739="ROYAL",PR!$BC737,IF(H739="SAM",PR!$BD737,IF(H739="SEAGREEN",PR!$BE737,IF(H739="SKG",PR!$BF737,IF(H739="TAH",PR!$BG737,IF(H739="TAYLEK",PR!$BH737,IF(H739="TEMITA",PR!$BI737,IF(H739="THL",PR!$BJ737,IF(H739="UBASTIC",PR!$BK737,IF(H739="UNION",PR!$BL737,IF(H739="UNIQUE",PR!$BM737,IF(H739="VIXA",PR!$BN737,IF(H739="WWCV",PR!$BO737,IF(H739="ZOLON",PR!$BP737,"-"))))))))))))))))))))))))))))))))))))))))))))))))))))))))))))))))</f>
        <v>-</v>
      </c>
      <c r="H739" s="102">
        <f>EV!M953</f>
        <v>0</v>
      </c>
      <c r="I739" s="108" t="str">
        <f>IF(J739="ALPHA",PR!$E737,IF(J739="ASSENE",PR!$F737,IF(J739="BIOFEM",PR!$G737,IF(J739="BIOMED",PR!$H737,IF(J739="CHI",PR!$I737,IF(J739="CLARION",PR!$J737,IF(J739="CODIX",PR!$K737,IF(J739="COSMADE",PR!$L737,IF(J739="SANCON",PR!$M737,IF(J739="DEVON",PR!$N737,IF(J739="DORTEMAG",PR!$O737,IF(J739="DGF",PR!$P737,IF(J739="DYNAMIC",PR!$Q737,IF(J739="EMZOR",PR!$R737,IF(J739="EUMATT",PR!$S737,IF(J739="FIDSON",PR!$T737,IF(J739="FCGLOBAL",PR!$U737,IF(J739="GENEITH",PR!$V737,IF(J739="GINOS",PR!$W737,IF(J739="GSK",PR!$X737,IF(J739="GLOBORG",PR!$Y737,IF(J739="GOODNEWS",PR!$Z737,IF(J739="GREENLIFE",PR!$AA737,IF(J739="HLINE",PR!$AB737,IF(J739="ROTECH",PR!$AC737,IF(J739="ISN",PR!$AD737,IF(J739="JAWA",PR!$AE737,IF(J739="LAYO",PR!$AF737,IF(J739="LEADWAY",PR!$AG737,IF(J739="LHV",PR!$AH737,IF(J739="MANOLA",PR!$AI737,IF(J739="MARCSON",PR!$AJ737,IF(J739="M&amp;B",PR!$AK737,IF(J739="MTRUST",PR!$AL737,IF(J739="MWORLD",PR!$AM737,IF(J739="MEGA",PR!$AN737,IF(J739="MICRONOVA",PR!$AO737,IF(J739="MFLASH",PR!$AP737,IF(J739="MORISON",PR!$AQ737,IF(J739="NEMEL",PR!$AR737,IF(J739="NHP",PR!$AS737,IF(J739="NHC",PR!$AT737,IF(J739="OLEAF",PR!$AU737,IF(J739="OCULUS",PR!$AV737,IF(J739="PACIFIC",PR!$AW737,IF(J739="PHAMATEX",PR!$AX737,IF(J739="PETHICS",PR!$AY737,IF(J739="PHILIPS",PR!$AZ737,IF(J739="RANBAXY",PR!$BA737,IF(J739="REALS",PR!$BB737,IF(J739="ROYAL",PR!$BC737,IF(J739="SAM",PR!$BD737,IF(J739="SEAGREEN",PR!$BE737,IF(J739="SKG",PR!$BF737,IF(J739="TAH",PR!$BG737,IF(J739="TAYLEK",PR!$BH737,IF(J739="TEMITA",PR!$BI737,IF(J739="THL",PR!$BJ737,IF(J739="UBASTIC",PR!$BK737,IF(J739="UNION",PR!$BL737,IF(J739="UNIQUE",PR!$BM737,IF(J739="VIXA",PR!$BN737,IF(J739="WWCV",PR!$BO737,IF(J739="ZOLON",PR!$BP737,"-"))))))))))))))))))))))))))))))))))))))))))))))))))))))))))))))))</f>
        <v>-</v>
      </c>
      <c r="J739" s="102">
        <f>EV!N953</f>
        <v>0</v>
      </c>
      <c r="K739" s="433"/>
      <c r="L739" s="183" t="b">
        <f>IF(K739&gt;0,IF(K739="ALPHA",PR!$E737,IF(K739="ASSENE",PR!$F737,IF(K739="BIOFEM",PR!$G737,IF(K739="BIOMED",PR!$H737,IF(K739="CHI",PR!$I737,IF(K739="CLARION",PR!$J737,IF(K739="CODIX",PR!$K737,IF(K739="COSMADE",PR!$L737,IF(K739="SANCON",PR!$M737,IF(K739="DEVON",PR!$N737,IF(K739="DORTEMAG",PR!$O737,IF(K739="DGF",PR!$P737,IF(K739="DYNAMIC",PR!$Q737,IF(K739="EMZOR",PR!$R737,IF(K739="EUMATT",PR!$S737,IF(K739="FIDSON",PR!$T737,IF(K739="FCGLOBAL",PR!$U737,IF(K739="GENEITH",PR!$V737,IF(K739="GINOS",PR!$W737,IF(K739="GSK",PR!$X737,IF(K739="GLOBORG",PR!$Y737,IF(K739="GOODNEWS",PR!$Z737,IF(K739="GREENLIFE",PR!$AA737,IF(K739="HLINE",PR!$AB737,IF(K739="ROTECH",PR!$AC737,IF(K739="ISN",PR!$AD737,IF(K739="JAWA",PR!$AE737,IF(K739="LAYO",PR!$AF737,IF(K739="LEADWAY",PR!$AG737,IF(K739="LHV",PR!$AH737,IF(K739="MANOLA",PR!$AI737,IF(K739="MARCSON",PR!$AJ737,IF(K739="M&amp;B",PR!$AK737,IF(K739="MTRUST",PR!$AL737,IF(K739="MWORLD",PR!$AM737,IF(K739="MEGA",PR!$AN737,IF(K739="MICRONOVA",PR!$AO737,IF(K739="MFLASH",PR!$AP737,IF(K739="MORISON",PR!$AQ737,IF(K739="NEMEL",PR!$AR737,IF(K739="NHP",PR!$AS737,IF(K739="NHC",PR!$AT737,IF(K739="OLEAF",PR!$AU737,IF(K739="OCULUS",PR!$AV737,IF(K739="PACIFIC",PR!$AW737,IF(K739="PHAMATEX",PR!$AX737,IF(K739="PETHICS",PR!$AY737,IF(K739="PHILIPS",PR!$AZ737,IF(K739="RANBAXY",PR!$BA737,IF(K739="REALS",PR!$BB737,IF(K739="ROYAL",PR!$BC737,IF(K739="SAM",PR!$BD737,IF(K739="SEAGREEN",PR!$BE737,IF(K739="SKG",PR!$BF737,IF(K739="TAH",PR!$BG737,IF(K739="TAYLEK",PR!$BH737,IF(K739="TEMITA",PR!$BI737,IF(K739="THL",PR!$BJ737,IF(K739="UBASTIC",PR!$BK737,IF(K739="UNION",PR!$BL737,IF(K739="UNIQUE",PR!$BM737,IF(K739="VIXA",PR!$BN737,IF(K739="WWCV",PR!$BO737,IF(K739="ZOLON",PR!$BP737,"-")))))))))))))))))))))))))))))))))))))))))))))))))))))))))))))))))</f>
        <v>0</v>
      </c>
    </row>
    <row r="740" spans="1:12" ht="18.75" x14ac:dyDescent="0.3">
      <c r="A740" s="430">
        <f>PR!A738</f>
        <v>670</v>
      </c>
      <c r="B740" s="15" t="str">
        <f>PR!B738</f>
        <v>CHLORHEXIDINE GLUCONATE 4% (HIBISCRUB)</v>
      </c>
      <c r="C740" s="113" t="str">
        <f>PR!D738</f>
        <v>500ML</v>
      </c>
      <c r="D740" s="113">
        <f>PR!C738</f>
        <v>128</v>
      </c>
      <c r="E740" s="108">
        <f>IF(F740="ALPHA",PR!$E738,IF(F740="ASSENE",PR!$F738,IF(F740="BIOFEM",PR!$G738,IF(F740="BIOMED",PR!$H738,IF(F740="CHI",PR!$I738,IF(F740="CLARION",PR!$J738,IF(F740="CODIX",PR!$K738,IF(F740="COSMADE",PR!$L738,IF(F740="SANCON",PR!$M738,IF(F740="DEVON",PR!$N738,IF(F740="DORTEMAG",PR!$O738,IF(F740="DGF",PR!$P738,IF(F740="DYNAMIC",PR!$Q738,IF(F740="EMZOR",PR!$R738,IF(F740="EUMATT",PR!$S738,IF(F740="FIDSON",PR!$T738,IF(F740="FCGLOBAL",PR!$U738,IF(F740="GENEITH",PR!$V738,IF(F740="GINOS",PR!$W738,IF(F740="GSK",PR!$X738,IF(F740="GLOBORG",PR!$Y738,IF(F740="GOODNEWS",PR!$Z738,IF(F740="GREENLIFE",PR!$AA738,IF(F740="HLINE",PR!$AB738,IF(F740="ROTECH",PR!$AC738,IF(F740="ISN",PR!$AD738,IF(F740="JAWA",PR!$AE738,IF(F740="LAYO",PR!$AF738,IF(F740="LEADWAY",PR!$AG738,IF(F740="LHV",PR!$AH738,IF(F740="MANOLA",PR!$AI738,IF(F740="MARCSON",PR!$AJ738,IF(F740="M&amp;B",PR!$AK738,IF(F740="MTRUST",PR!$AL738,IF(F740="MWORLD",PR!$AM738,IF(F740="MEGA",PR!$AN738,IF(F740="MICRONOVA",PR!$AO738,IF(F740="MFLASH",PR!$AP738,IF(F740="MORISON",PR!$AQ738,IF(F740="NEMEL",PR!$AR738,IF(F740="NHP",PR!$AS738,IF(F740="NHC",PR!$AT738,IF(F740="OLEAF",PR!$AU738,IF(F740="OCULUS",PR!$AV738,IF(F740="PACIFIC",PR!$AW738,IF(F740="PHAMATEX",PR!$AX738,IF(F740="PETHICS",PR!$AY738,IF(F740="PHILIPS",PR!$AZ738,IF(F740="RANBAXY",PR!$BA738,IF(F740="REALS",PR!$BB738,IF(F740="ROYAL",PR!$BC738,IF(F740="SAM",PR!$BD738,IF(F740="SEAGREEN",PR!$BE738,IF(F740="SKG",PR!$BF738,IF(F740="TAH",PR!$BG738,IF(F740="TAYLEK",PR!$BH738,IF(F740="TEMITA",PR!$BI738,IF(F740="THL",PR!$BJ738,IF(F740="UBASTIC",PR!$BK738,IF(F740="UNION",PR!$BL738,IF(F740="UNIQUE",PR!$BM738,IF(F740="VIXA",PR!$BN738,IF(F740="WWCV",PR!$BO738,IF(F740="ZOLON",PR!$BP738,"-"))))))))))))))))))))))))))))))))))))))))))))))))))))))))))))))))</f>
        <v>7500</v>
      </c>
      <c r="F740" s="102" t="str">
        <f>EV!L954</f>
        <v>ROYAL</v>
      </c>
      <c r="G740" s="108" t="str">
        <f>IF(H740="ALPHA",PR!$E738,IF(H740="ASSENE",PR!$F738,IF(H740="BIOFEM",PR!$G738,IF(H740="BIOMED",PR!$H738,IF(H740="CHI",PR!$I738,IF(H740="CLARION",PR!$J738,IF(H740="CODIX",PR!$K738,IF(H740="COSMADE",PR!$L738,IF(H740="SANCON",PR!$M738,IF(H740="DEVON",PR!$N738,IF(H740="DORTEMAG",PR!$O738,IF(H740="DGF",PR!$P738,IF(H740="DYNAMIC",PR!$Q738,IF(H740="EMZOR",PR!$R738,IF(H740="EUMATT",PR!$S738,IF(H740="FIDSON",PR!$T738,IF(H740="FCGLOBAL",PR!$U738,IF(H740="GENEITH",PR!$V738,IF(H740="GINOS",PR!$W738,IF(H740="GSK",PR!$X738,IF(H740="GLOBORG",PR!$Y738,IF(H740="GOODNEWS",PR!$Z738,IF(H740="GREENLIFE",PR!$AA738,IF(H740="HLINE",PR!$AB738,IF(H740="ROTECH",PR!$AC738,IF(H740="ISN",PR!$AD738,IF(H740="JAWA",PR!$AE738,IF(H740="LAYO",PR!$AF738,IF(H740="LEADWAY",PR!$AG738,IF(H740="LHV",PR!$AH738,IF(H740="MANOLA",PR!$AI738,IF(H740="MARCSON",PR!$AJ738,IF(H740="M&amp;B",PR!$AK738,IF(H740="MTRUST",PR!$AL738,IF(H740="MWORLD",PR!$AM738,IF(H740="MEGA",PR!$AN738,IF(H740="MICRONOVA",PR!$AO738,IF(H740="MFLASH",PR!$AP738,IF(H740="MORISON",PR!$AQ738,IF(H740="NEMEL",PR!$AR738,IF(H740="NHP",PR!$AS738,IF(H740="NHC",PR!$AT738,IF(H740="OLEAF",PR!$AU738,IF(H740="OCULUS",PR!$AV738,IF(H740="PACIFIC",PR!$AW738,IF(H740="PHAMATEX",PR!$AX738,IF(H740="PETHICS",PR!$AY738,IF(H740="PHILIPS",PR!$AZ738,IF(H740="RANBAXY",PR!$BA738,IF(H740="REALS",PR!$BB738,IF(H740="ROYAL",PR!$BC738,IF(H740="SAM",PR!$BD738,IF(H740="SEAGREEN",PR!$BE738,IF(H740="SKG",PR!$BF738,IF(H740="TAH",PR!$BG738,IF(H740="TAYLEK",PR!$BH738,IF(H740="TEMITA",PR!$BI738,IF(H740="THL",PR!$BJ738,IF(H740="UBASTIC",PR!$BK738,IF(H740="UNION",PR!$BL738,IF(H740="UNIQUE",PR!$BM738,IF(H740="VIXA",PR!$BN738,IF(H740="WWCV",PR!$BO738,IF(H740="ZOLON",PR!$BP738,"-"))))))))))))))))))))))))))))))))))))))))))))))))))))))))))))))))</f>
        <v>-</v>
      </c>
      <c r="H740" s="102">
        <f>EV!M954</f>
        <v>0</v>
      </c>
      <c r="I740" s="108" t="str">
        <f>IF(J740="ALPHA",PR!$E738,IF(J740="ASSENE",PR!$F738,IF(J740="BIOFEM",PR!$G738,IF(J740="BIOMED",PR!$H738,IF(J740="CHI",PR!$I738,IF(J740="CLARION",PR!$J738,IF(J740="CODIX",PR!$K738,IF(J740="COSMADE",PR!$L738,IF(J740="SANCON",PR!$M738,IF(J740="DEVON",PR!$N738,IF(J740="DORTEMAG",PR!$O738,IF(J740="DGF",PR!$P738,IF(J740="DYNAMIC",PR!$Q738,IF(J740="EMZOR",PR!$R738,IF(J740="EUMATT",PR!$S738,IF(J740="FIDSON",PR!$T738,IF(J740="FCGLOBAL",PR!$U738,IF(J740="GENEITH",PR!$V738,IF(J740="GINOS",PR!$W738,IF(J740="GSK",PR!$X738,IF(J740="GLOBORG",PR!$Y738,IF(J740="GOODNEWS",PR!$Z738,IF(J740="GREENLIFE",PR!$AA738,IF(J740="HLINE",PR!$AB738,IF(J740="ROTECH",PR!$AC738,IF(J740="ISN",PR!$AD738,IF(J740="JAWA",PR!$AE738,IF(J740="LAYO",PR!$AF738,IF(J740="LEADWAY",PR!$AG738,IF(J740="LHV",PR!$AH738,IF(J740="MANOLA",PR!$AI738,IF(J740="MARCSON",PR!$AJ738,IF(J740="M&amp;B",PR!$AK738,IF(J740="MTRUST",PR!$AL738,IF(J740="MWORLD",PR!$AM738,IF(J740="MEGA",PR!$AN738,IF(J740="MICRONOVA",PR!$AO738,IF(J740="MFLASH",PR!$AP738,IF(J740="MORISON",PR!$AQ738,IF(J740="NEMEL",PR!$AR738,IF(J740="NHP",PR!$AS738,IF(J740="NHC",PR!$AT738,IF(J740="OLEAF",PR!$AU738,IF(J740="OCULUS",PR!$AV738,IF(J740="PACIFIC",PR!$AW738,IF(J740="PHAMATEX",PR!$AX738,IF(J740="PETHICS",PR!$AY738,IF(J740="PHILIPS",PR!$AZ738,IF(J740="RANBAXY",PR!$BA738,IF(J740="REALS",PR!$BB738,IF(J740="ROYAL",PR!$BC738,IF(J740="SAM",PR!$BD738,IF(J740="SEAGREEN",PR!$BE738,IF(J740="SKG",PR!$BF738,IF(J740="TAH",PR!$BG738,IF(J740="TAYLEK",PR!$BH738,IF(J740="TEMITA",PR!$BI738,IF(J740="THL",PR!$BJ738,IF(J740="UBASTIC",PR!$BK738,IF(J740="UNION",PR!$BL738,IF(J740="UNIQUE",PR!$BM738,IF(J740="VIXA",PR!$BN738,IF(J740="WWCV",PR!$BO738,IF(J740="ZOLON",PR!$BP738,"-"))))))))))))))))))))))))))))))))))))))))))))))))))))))))))))))))</f>
        <v>-</v>
      </c>
      <c r="J740" s="102">
        <f>EV!N954</f>
        <v>0</v>
      </c>
      <c r="K740" s="433" t="s">
        <v>625</v>
      </c>
      <c r="L740" s="183">
        <f>IF(K740&gt;0,IF(K740="ALPHA",PR!$E738,IF(K740="ASSENE",PR!$F738,IF(K740="BIOFEM",PR!$G738,IF(K740="BIOMED",PR!$H738,IF(K740="CHI",PR!$I738,IF(K740="CLARION",PR!$J738,IF(K740="CODIX",PR!$K738,IF(K740="COSMADE",PR!$L738,IF(K740="SANCON",PR!$M738,IF(K740="DEVON",PR!$N738,IF(K740="DORTEMAG",PR!$O738,IF(K740="DGF",PR!$P738,IF(K740="DYNAMIC",PR!$Q738,IF(K740="EMZOR",PR!$R738,IF(K740="EUMATT",PR!$S738,IF(K740="FIDSON",PR!$T738,IF(K740="FCGLOBAL",PR!$U738,IF(K740="GENEITH",PR!$V738,IF(K740="GINOS",PR!$W738,IF(K740="GSK",PR!$X738,IF(K740="GLOBORG",PR!$Y738,IF(K740="GOODNEWS",PR!$Z738,IF(K740="GREENLIFE",PR!$AA738,IF(K740="HLINE",PR!$AB738,IF(K740="ROTECH",PR!$AC738,IF(K740="ISN",PR!$AD738,IF(K740="JAWA",PR!$AE738,IF(K740="LAYO",PR!$AF738,IF(K740="LEADWAY",PR!$AG738,IF(K740="LHV",PR!$AH738,IF(K740="MANOLA",PR!$AI738,IF(K740="MARCSON",PR!$AJ738,IF(K740="M&amp;B",PR!$AK738,IF(K740="MTRUST",PR!$AL738,IF(K740="MWORLD",PR!$AM738,IF(K740="MEGA",PR!$AN738,IF(K740="MICRONOVA",PR!$AO738,IF(K740="MFLASH",PR!$AP738,IF(K740="MORISON",PR!$AQ738,IF(K740="NEMEL",PR!$AR738,IF(K740="NHP",PR!$AS738,IF(K740="NHC",PR!$AT738,IF(K740="OLEAF",PR!$AU738,IF(K740="OCULUS",PR!$AV738,IF(K740="PACIFIC",PR!$AW738,IF(K740="PHAMATEX",PR!$AX738,IF(K740="PETHICS",PR!$AY738,IF(K740="PHILIPS",PR!$AZ738,IF(K740="RANBAXY",PR!$BA738,IF(K740="REALS",PR!$BB738,IF(K740="ROYAL",PR!$BC738,IF(K740="SAM",PR!$BD738,IF(K740="SEAGREEN",PR!$BE738,IF(K740="SKG",PR!$BF738,IF(K740="TAH",PR!$BG738,IF(K740="TAYLEK",PR!$BH738,IF(K740="TEMITA",PR!$BI738,IF(K740="THL",PR!$BJ738,IF(K740="UBASTIC",PR!$BK738,IF(K740="UNION",PR!$BL738,IF(K740="UNIQUE",PR!$BM738,IF(K740="VIXA",PR!$BN738,IF(K740="WWCV",PR!$BO738,IF(K740="ZOLON",PR!$BP738,"-")))))))))))))))))))))))))))))))))))))))))))))))))))))))))))))))))</f>
        <v>7500</v>
      </c>
    </row>
    <row r="741" spans="1:12" ht="18.75" x14ac:dyDescent="0.3">
      <c r="A741" s="430">
        <f>PR!A739</f>
        <v>671</v>
      </c>
      <c r="B741" s="15" t="str">
        <f>PR!B739</f>
        <v>CHLORHEXIDINE GLUCONATE 5% (HIBITANE)</v>
      </c>
      <c r="C741" s="113" t="str">
        <f>PR!D739</f>
        <v>4L</v>
      </c>
      <c r="D741" s="113">
        <f>PR!C739</f>
        <v>30</v>
      </c>
      <c r="E741" s="108">
        <f>IF(F741="ALPHA",PR!$E739,IF(F741="ASSENE",PR!$F739,IF(F741="BIOFEM",PR!$G739,IF(F741="BIOMED",PR!$H739,IF(F741="CHI",PR!$I739,IF(F741="CLARION",PR!$J739,IF(F741="CODIX",PR!$K739,IF(F741="COSMADE",PR!$L739,IF(F741="SANCON",PR!$M739,IF(F741="DEVON",PR!$N739,IF(F741="DORTEMAG",PR!$O739,IF(F741="DGF",PR!$P739,IF(F741="DYNAMIC",PR!$Q739,IF(F741="EMZOR",PR!$R739,IF(F741="EUMATT",PR!$S739,IF(F741="FIDSON",PR!$T739,IF(F741="FCGLOBAL",PR!$U739,IF(F741="GENEITH",PR!$V739,IF(F741="GINOS",PR!$W739,IF(F741="GSK",PR!$X739,IF(F741="GLOBORG",PR!$Y739,IF(F741="GOODNEWS",PR!$Z739,IF(F741="GREENLIFE",PR!$AA739,IF(F741="HLINE",PR!$AB739,IF(F741="ROTECH",PR!$AC739,IF(F741="ISN",PR!$AD739,IF(F741="JAWA",PR!$AE739,IF(F741="LAYO",PR!$AF739,IF(F741="LEADWAY",PR!$AG739,IF(F741="LHV",PR!$AH739,IF(F741="MANOLA",PR!$AI739,IF(F741="MARCSON",PR!$AJ739,IF(F741="M&amp;B",PR!$AK739,IF(F741="MTRUST",PR!$AL739,IF(F741="MWORLD",PR!$AM739,IF(F741="MEGA",PR!$AN739,IF(F741="MICRONOVA",PR!$AO739,IF(F741="MFLASH",PR!$AP739,IF(F741="MORISON",PR!$AQ739,IF(F741="NEMEL",PR!$AR739,IF(F741="NHP",PR!$AS739,IF(F741="NHC",PR!$AT739,IF(F741="OLEAF",PR!$AU739,IF(F741="OCULUS",PR!$AV739,IF(F741="PACIFIC",PR!$AW739,IF(F741="PHAMATEX",PR!$AX739,IF(F741="PETHICS",PR!$AY739,IF(F741="PHILIPS",PR!$AZ739,IF(F741="RANBAXY",PR!$BA739,IF(F741="REALS",PR!$BB739,IF(F741="ROYAL",PR!$BC739,IF(F741="SAM",PR!$BD739,IF(F741="SEAGREEN",PR!$BE739,IF(F741="SKG",PR!$BF739,IF(F741="TAH",PR!$BG739,IF(F741="TAYLEK",PR!$BH739,IF(F741="TEMITA",PR!$BI739,IF(F741="THL",PR!$BJ739,IF(F741="UBASTIC",PR!$BK739,IF(F741="UNION",PR!$BL739,IF(F741="UNIQUE",PR!$BM739,IF(F741="VIXA",PR!$BN739,IF(F741="WWCV",PR!$BO739,IF(F741="ZOLON",PR!$BP739,"-"))))))))))))))))))))))))))))))))))))))))))))))))))))))))))))))))</f>
        <v>7400</v>
      </c>
      <c r="F741" s="102" t="str">
        <f>EV!L955</f>
        <v>MORISON</v>
      </c>
      <c r="G741" s="108">
        <f>IF(H741="ALPHA",PR!$E739,IF(H741="ASSENE",PR!$F739,IF(H741="BIOFEM",PR!$G739,IF(H741="BIOMED",PR!$H739,IF(H741="CHI",PR!$I739,IF(H741="CLARION",PR!$J739,IF(H741="CODIX",PR!$K739,IF(H741="COSMADE",PR!$L739,IF(H741="SANCON",PR!$M739,IF(H741="DEVON",PR!$N739,IF(H741="DORTEMAG",PR!$O739,IF(H741="DGF",PR!$P739,IF(H741="DYNAMIC",PR!$Q739,IF(H741="EMZOR",PR!$R739,IF(H741="EUMATT",PR!$S739,IF(H741="FIDSON",PR!$T739,IF(H741="FCGLOBAL",PR!$U739,IF(H741="GENEITH",PR!$V739,IF(H741="GINOS",PR!$W739,IF(H741="GSK",PR!$X739,IF(H741="GLOBORG",PR!$Y739,IF(H741="GOODNEWS",PR!$Z739,IF(H741="GREENLIFE",PR!$AA739,IF(H741="HLINE",PR!$AB739,IF(H741="ROTECH",PR!$AC739,IF(H741="ISN",PR!$AD739,IF(H741="JAWA",PR!$AE739,IF(H741="LAYO",PR!$AF739,IF(H741="LEADWAY",PR!$AG739,IF(H741="LHV",PR!$AH739,IF(H741="MANOLA",PR!$AI739,IF(H741="MARCSON",PR!$AJ739,IF(H741="M&amp;B",PR!$AK739,IF(H741="MTRUST",PR!$AL739,IF(H741="MWORLD",PR!$AM739,IF(H741="MEGA",PR!$AN739,IF(H741="MICRONOVA",PR!$AO739,IF(H741="MFLASH",PR!$AP739,IF(H741="MORISON",PR!$AQ739,IF(H741="NEMEL",PR!$AR739,IF(H741="NHP",PR!$AS739,IF(H741="NHC",PR!$AT739,IF(H741="OLEAF",PR!$AU739,IF(H741="OCULUS",PR!$AV739,IF(H741="PACIFIC",PR!$AW739,IF(H741="PHAMATEX",PR!$AX739,IF(H741="PETHICS",PR!$AY739,IF(H741="PHILIPS",PR!$AZ739,IF(H741="RANBAXY",PR!$BA739,IF(H741="REALS",PR!$BB739,IF(H741="ROYAL",PR!$BC739,IF(H741="SAM",PR!$BD739,IF(H741="SEAGREEN",PR!$BE739,IF(H741="SKG",PR!$BF739,IF(H741="TAH",PR!$BG739,IF(H741="TAYLEK",PR!$BH739,IF(H741="TEMITA",PR!$BI739,IF(H741="THL",PR!$BJ739,IF(H741="UBASTIC",PR!$BK739,IF(H741="UNION",PR!$BL739,IF(H741="UNIQUE",PR!$BM739,IF(H741="VIXA",PR!$BN739,IF(H741="WWCV",PR!$BO739,IF(H741="ZOLON",PR!$BP739,"-"))))))))))))))))))))))))))))))))))))))))))))))))))))))))))))))))</f>
        <v>8000</v>
      </c>
      <c r="H741" s="102" t="str">
        <f>EV!M955</f>
        <v>ROYAL</v>
      </c>
      <c r="I741" s="108" t="str">
        <f>IF(J741="ALPHA",PR!$E739,IF(J741="ASSENE",PR!$F739,IF(J741="BIOFEM",PR!$G739,IF(J741="BIOMED",PR!$H739,IF(J741="CHI",PR!$I739,IF(J741="CLARION",PR!$J739,IF(J741="CODIX",PR!$K739,IF(J741="COSMADE",PR!$L739,IF(J741="SANCON",PR!$M739,IF(J741="DEVON",PR!$N739,IF(J741="DORTEMAG",PR!$O739,IF(J741="DGF",PR!$P739,IF(J741="DYNAMIC",PR!$Q739,IF(J741="EMZOR",PR!$R739,IF(J741="EUMATT",PR!$S739,IF(J741="FIDSON",PR!$T739,IF(J741="FCGLOBAL",PR!$U739,IF(J741="GENEITH",PR!$V739,IF(J741="GINOS",PR!$W739,IF(J741="GSK",PR!$X739,IF(J741="GLOBORG",PR!$Y739,IF(J741="GOODNEWS",PR!$Z739,IF(J741="GREENLIFE",PR!$AA739,IF(J741="HLINE",PR!$AB739,IF(J741="ROTECH",PR!$AC739,IF(J741="ISN",PR!$AD739,IF(J741="JAWA",PR!$AE739,IF(J741="LAYO",PR!$AF739,IF(J741="LEADWAY",PR!$AG739,IF(J741="LHV",PR!$AH739,IF(J741="MANOLA",PR!$AI739,IF(J741="MARCSON",PR!$AJ739,IF(J741="M&amp;B",PR!$AK739,IF(J741="MTRUST",PR!$AL739,IF(J741="MWORLD",PR!$AM739,IF(J741="MEGA",PR!$AN739,IF(J741="MICRONOVA",PR!$AO739,IF(J741="MFLASH",PR!$AP739,IF(J741="MORISON",PR!$AQ739,IF(J741="NEMEL",PR!$AR739,IF(J741="NHP",PR!$AS739,IF(J741="NHC",PR!$AT739,IF(J741="OLEAF",PR!$AU739,IF(J741="OCULUS",PR!$AV739,IF(J741="PACIFIC",PR!$AW739,IF(J741="PHAMATEX",PR!$AX739,IF(J741="PETHICS",PR!$AY739,IF(J741="PHILIPS",PR!$AZ739,IF(J741="RANBAXY",PR!$BA739,IF(J741="REALS",PR!$BB739,IF(J741="ROYAL",PR!$BC739,IF(J741="SAM",PR!$BD739,IF(J741="SEAGREEN",PR!$BE739,IF(J741="SKG",PR!$BF739,IF(J741="TAH",PR!$BG739,IF(J741="TAYLEK",PR!$BH739,IF(J741="TEMITA",PR!$BI739,IF(J741="THL",PR!$BJ739,IF(J741="UBASTIC",PR!$BK739,IF(J741="UNION",PR!$BL739,IF(J741="UNIQUE",PR!$BM739,IF(J741="VIXA",PR!$BN739,IF(J741="WWCV",PR!$BO739,IF(J741="ZOLON",PR!$BP739,"-"))))))))))))))))))))))))))))))))))))))))))))))))))))))))))))))))</f>
        <v>-</v>
      </c>
      <c r="J741" s="102">
        <f>EV!N955</f>
        <v>0</v>
      </c>
      <c r="K741" s="433" t="s">
        <v>831</v>
      </c>
      <c r="L741" s="183">
        <f>IF(K741&gt;0,IF(K741="ALPHA",PR!$E739,IF(K741="ASSENE",PR!$F739,IF(K741="BIOFEM",PR!$G739,IF(K741="BIOMED",PR!$H739,IF(K741="CHI",PR!$I739,IF(K741="CLARION",PR!$J739,IF(K741="CODIX",PR!$K739,IF(K741="COSMADE",PR!$L739,IF(K741="SANCON",PR!$M739,IF(K741="DEVON",PR!$N739,IF(K741="DORTEMAG",PR!$O739,IF(K741="DGF",PR!$P739,IF(K741="DYNAMIC",PR!$Q739,IF(K741="EMZOR",PR!$R739,IF(K741="EUMATT",PR!$S739,IF(K741="FIDSON",PR!$T739,IF(K741="FCGLOBAL",PR!$U739,IF(K741="GENEITH",PR!$V739,IF(K741="GINOS",PR!$W739,IF(K741="GSK",PR!$X739,IF(K741="GLOBORG",PR!$Y739,IF(K741="GOODNEWS",PR!$Z739,IF(K741="GREENLIFE",PR!$AA739,IF(K741="HLINE",PR!$AB739,IF(K741="ROTECH",PR!$AC739,IF(K741="ISN",PR!$AD739,IF(K741="JAWA",PR!$AE739,IF(K741="LAYO",PR!$AF739,IF(K741="LEADWAY",PR!$AG739,IF(K741="LHV",PR!$AH739,IF(K741="MANOLA",PR!$AI739,IF(K741="MARCSON",PR!$AJ739,IF(K741="M&amp;B",PR!$AK739,IF(K741="MTRUST",PR!$AL739,IF(K741="MWORLD",PR!$AM739,IF(K741="MEGA",PR!$AN739,IF(K741="MICRONOVA",PR!$AO739,IF(K741="MFLASH",PR!$AP739,IF(K741="MORISON",PR!$AQ739,IF(K741="NEMEL",PR!$AR739,IF(K741="NHP",PR!$AS739,IF(K741="NHC",PR!$AT739,IF(K741="OLEAF",PR!$AU739,IF(K741="OCULUS",PR!$AV739,IF(K741="PACIFIC",PR!$AW739,IF(K741="PHAMATEX",PR!$AX739,IF(K741="PETHICS",PR!$AY739,IF(K741="PHILIPS",PR!$AZ739,IF(K741="RANBAXY",PR!$BA739,IF(K741="REALS",PR!$BB739,IF(K741="ROYAL",PR!$BC739,IF(K741="SAM",PR!$BD739,IF(K741="SEAGREEN",PR!$BE739,IF(K741="SKG",PR!$BF739,IF(K741="TAH",PR!$BG739,IF(K741="TAYLEK",PR!$BH739,IF(K741="TEMITA",PR!$BI739,IF(K741="THL",PR!$BJ739,IF(K741="UBASTIC",PR!$BK739,IF(K741="UNION",PR!$BL739,IF(K741="UNIQUE",PR!$BM739,IF(K741="VIXA",PR!$BN739,IF(K741="WWCV",PR!$BO739,IF(K741="ZOLON",PR!$BP739,"-")))))))))))))))))))))))))))))))))))))))))))))))))))))))))))))))))</f>
        <v>7400</v>
      </c>
    </row>
    <row r="742" spans="1:12" ht="18.75" x14ac:dyDescent="0.3">
      <c r="A742" s="430">
        <f>PR!A740</f>
        <v>672</v>
      </c>
      <c r="B742" s="15" t="str">
        <f>PR!B740</f>
        <v>CHLORHEXIDINE GLUCONATE+CETRIMIDE LOTION 100ML  (VALON)</v>
      </c>
      <c r="C742" s="113" t="str">
        <f>PR!D740</f>
        <v>BOTT</v>
      </c>
      <c r="D742" s="113">
        <f>PR!C740</f>
        <v>2600</v>
      </c>
      <c r="E742" s="108">
        <f>IF(F742="ALPHA",PR!$E740,IF(F742="ASSENE",PR!$F740,IF(F742="BIOFEM",PR!$G740,IF(F742="BIOMED",PR!$H740,IF(F742="CHI",PR!$I740,IF(F742="CLARION",PR!$J740,IF(F742="CODIX",PR!$K740,IF(F742="COSMADE",PR!$L740,IF(F742="SANCON",PR!$M740,IF(F742="DEVON",PR!$N740,IF(F742="DORTEMAG",PR!$O740,IF(F742="DGF",PR!$P740,IF(F742="DYNAMIC",PR!$Q740,IF(F742="EMZOR",PR!$R740,IF(F742="EUMATT",PR!$S740,IF(F742="FIDSON",PR!$T740,IF(F742="FCGLOBAL",PR!$U740,IF(F742="GENEITH",PR!$V740,IF(F742="GINOS",PR!$W740,IF(F742="GSK",PR!$X740,IF(F742="GLOBORG",PR!$Y740,IF(F742="GOODNEWS",PR!$Z740,IF(F742="GREENLIFE",PR!$AA740,IF(F742="HLINE",PR!$AB740,IF(F742="ROTECH",PR!$AC740,IF(F742="ISN",PR!$AD740,IF(F742="JAWA",PR!$AE740,IF(F742="LAYO",PR!$AF740,IF(F742="LEADWAY",PR!$AG740,IF(F742="LHV",PR!$AH740,IF(F742="MANOLA",PR!$AI740,IF(F742="MARCSON",PR!$AJ740,IF(F742="M&amp;B",PR!$AK740,IF(F742="MTRUST",PR!$AL740,IF(F742="MWORLD",PR!$AM740,IF(F742="MEGA",PR!$AN740,IF(F742="MICRONOVA",PR!$AO740,IF(F742="MFLASH",PR!$AP740,IF(F742="MORISON",PR!$AQ740,IF(F742="NEMEL",PR!$AR740,IF(F742="NHP",PR!$AS740,IF(F742="NHC",PR!$AT740,IF(F742="OLEAF",PR!$AU740,IF(F742="OCULUS",PR!$AV740,IF(F742="PACIFIC",PR!$AW740,IF(F742="PHAMATEX",PR!$AX740,IF(F742="PETHICS",PR!$AY740,IF(F742="PHILIPS",PR!$AZ740,IF(F742="RANBAXY",PR!$BA740,IF(F742="REALS",PR!$BB740,IF(F742="ROYAL",PR!$BC740,IF(F742="SAM",PR!$BD740,IF(F742="SEAGREEN",PR!$BE740,IF(F742="SKG",PR!$BF740,IF(F742="TAH",PR!$BG740,IF(F742="TAYLEK",PR!$BH740,IF(F742="TEMITA",PR!$BI740,IF(F742="THL",PR!$BJ740,IF(F742="UBASTIC",PR!$BK740,IF(F742="UNION",PR!$BL740,IF(F742="UNIQUE",PR!$BM740,IF(F742="VIXA",PR!$BN740,IF(F742="WWCV",PR!$BO740,IF(F742="ZOLON",PR!$BP740,"-"))))))))))))))))))))))))))))))))))))))))))))))))))))))))))))))))</f>
        <v>200</v>
      </c>
      <c r="F742" s="102" t="str">
        <f>EV!L956</f>
        <v>ROYAL</v>
      </c>
      <c r="G742" s="108">
        <f>IF(H742="ALPHA",PR!$E740,IF(H742="ASSENE",PR!$F740,IF(H742="BIOFEM",PR!$G740,IF(H742="BIOMED",PR!$H740,IF(H742="CHI",PR!$I740,IF(H742="CLARION",PR!$J740,IF(H742="CODIX",PR!$K740,IF(H742="COSMADE",PR!$L740,IF(H742="SANCON",PR!$M740,IF(H742="DEVON",PR!$N740,IF(H742="DORTEMAG",PR!$O740,IF(H742="DGF",PR!$P740,IF(H742="DYNAMIC",PR!$Q740,IF(H742="EMZOR",PR!$R740,IF(H742="EUMATT",PR!$S740,IF(H742="FIDSON",PR!$T740,IF(H742="FCGLOBAL",PR!$U740,IF(H742="GENEITH",PR!$V740,IF(H742="GINOS",PR!$W740,IF(H742="GSK",PR!$X740,IF(H742="GLOBORG",PR!$Y740,IF(H742="GOODNEWS",PR!$Z740,IF(H742="GREENLIFE",PR!$AA740,IF(H742="HLINE",PR!$AB740,IF(H742="ROTECH",PR!$AC740,IF(H742="ISN",PR!$AD740,IF(H742="JAWA",PR!$AE740,IF(H742="LAYO",PR!$AF740,IF(H742="LEADWAY",PR!$AG740,IF(H742="LHV",PR!$AH740,IF(H742="MANOLA",PR!$AI740,IF(H742="MARCSON",PR!$AJ740,IF(H742="M&amp;B",PR!$AK740,IF(H742="MTRUST",PR!$AL740,IF(H742="MWORLD",PR!$AM740,IF(H742="MEGA",PR!$AN740,IF(H742="MICRONOVA",PR!$AO740,IF(H742="MFLASH",PR!$AP740,IF(H742="MORISON",PR!$AQ740,IF(H742="NEMEL",PR!$AR740,IF(H742="NHP",PR!$AS740,IF(H742="NHC",PR!$AT740,IF(H742="OLEAF",PR!$AU740,IF(H742="OCULUS",PR!$AV740,IF(H742="PACIFIC",PR!$AW740,IF(H742="PHAMATEX",PR!$AX740,IF(H742="PETHICS",PR!$AY740,IF(H742="PHILIPS",PR!$AZ740,IF(H742="RANBAXY",PR!$BA740,IF(H742="REALS",PR!$BB740,IF(H742="ROYAL",PR!$BC740,IF(H742="SAM",PR!$BD740,IF(H742="SEAGREEN",PR!$BE740,IF(H742="SKG",PR!$BF740,IF(H742="TAH",PR!$BG740,IF(H742="TAYLEK",PR!$BH740,IF(H742="TEMITA",PR!$BI740,IF(H742="THL",PR!$BJ740,IF(H742="UBASTIC",PR!$BK740,IF(H742="UNION",PR!$BL740,IF(H742="UNIQUE",PR!$BM740,IF(H742="VIXA",PR!$BN740,IF(H742="WWCV",PR!$BO740,IF(H742="ZOLON",PR!$BP740,"-"))))))))))))))))))))))))))))))))))))))))))))))))))))))))))))))))</f>
        <v>208.33</v>
      </c>
      <c r="H742" s="102" t="str">
        <f>EV!M956</f>
        <v>MORISON</v>
      </c>
      <c r="I742" s="108" t="str">
        <f>IF(J742="ALPHA",PR!$E740,IF(J742="ASSENE",PR!$F740,IF(J742="BIOFEM",PR!$G740,IF(J742="BIOMED",PR!$H740,IF(J742="CHI",PR!$I740,IF(J742="CLARION",PR!$J740,IF(J742="CODIX",PR!$K740,IF(J742="COSMADE",PR!$L740,IF(J742="SANCON",PR!$M740,IF(J742="DEVON",PR!$N740,IF(J742="DORTEMAG",PR!$O740,IF(J742="DGF",PR!$P740,IF(J742="DYNAMIC",PR!$Q740,IF(J742="EMZOR",PR!$R740,IF(J742="EUMATT",PR!$S740,IF(J742="FIDSON",PR!$T740,IF(J742="FCGLOBAL",PR!$U740,IF(J742="GENEITH",PR!$V740,IF(J742="GINOS",PR!$W740,IF(J742="GSK",PR!$X740,IF(J742="GLOBORG",PR!$Y740,IF(J742="GOODNEWS",PR!$Z740,IF(J742="GREENLIFE",PR!$AA740,IF(J742="HLINE",PR!$AB740,IF(J742="ROTECH",PR!$AC740,IF(J742="ISN",PR!$AD740,IF(J742="JAWA",PR!$AE740,IF(J742="LAYO",PR!$AF740,IF(J742="LEADWAY",PR!$AG740,IF(J742="LHV",PR!$AH740,IF(J742="MANOLA",PR!$AI740,IF(J742="MARCSON",PR!$AJ740,IF(J742="M&amp;B",PR!$AK740,IF(J742="MTRUST",PR!$AL740,IF(J742="MWORLD",PR!$AM740,IF(J742="MEGA",PR!$AN740,IF(J742="MICRONOVA",PR!$AO740,IF(J742="MFLASH",PR!$AP740,IF(J742="MORISON",PR!$AQ740,IF(J742="NEMEL",PR!$AR740,IF(J742="NHP",PR!$AS740,IF(J742="NHC",PR!$AT740,IF(J742="OLEAF",PR!$AU740,IF(J742="OCULUS",PR!$AV740,IF(J742="PACIFIC",PR!$AW740,IF(J742="PHAMATEX",PR!$AX740,IF(J742="PETHICS",PR!$AY740,IF(J742="PHILIPS",PR!$AZ740,IF(J742="RANBAXY",PR!$BA740,IF(J742="REALS",PR!$BB740,IF(J742="ROYAL",PR!$BC740,IF(J742="SAM",PR!$BD740,IF(J742="SEAGREEN",PR!$BE740,IF(J742="SKG",PR!$BF740,IF(J742="TAH",PR!$BG740,IF(J742="TAYLEK",PR!$BH740,IF(J742="TEMITA",PR!$BI740,IF(J742="THL",PR!$BJ740,IF(J742="UBASTIC",PR!$BK740,IF(J742="UNION",PR!$BL740,IF(J742="UNIQUE",PR!$BM740,IF(J742="VIXA",PR!$BN740,IF(J742="WWCV",PR!$BO740,IF(J742="ZOLON",PR!$BP740,"-"))))))))))))))))))))))))))))))))))))))))))))))))))))))))))))))))</f>
        <v>-</v>
      </c>
      <c r="J742" s="102">
        <f>EV!N956</f>
        <v>0</v>
      </c>
      <c r="K742" s="433" t="s">
        <v>625</v>
      </c>
      <c r="L742" s="183">
        <f>IF(K742&gt;0,IF(K742="ALPHA",PR!$E740,IF(K742="ASSENE",PR!$F740,IF(K742="BIOFEM",PR!$G740,IF(K742="BIOMED",PR!$H740,IF(K742="CHI",PR!$I740,IF(K742="CLARION",PR!$J740,IF(K742="CODIX",PR!$K740,IF(K742="COSMADE",PR!$L740,IF(K742="SANCON",PR!$M740,IF(K742="DEVON",PR!$N740,IF(K742="DORTEMAG",PR!$O740,IF(K742="DGF",PR!$P740,IF(K742="DYNAMIC",PR!$Q740,IF(K742="EMZOR",PR!$R740,IF(K742="EUMATT",PR!$S740,IF(K742="FIDSON",PR!$T740,IF(K742="FCGLOBAL",PR!$U740,IF(K742="GENEITH",PR!$V740,IF(K742="GINOS",PR!$W740,IF(K742="GSK",PR!$X740,IF(K742="GLOBORG",PR!$Y740,IF(K742="GOODNEWS",PR!$Z740,IF(K742="GREENLIFE",PR!$AA740,IF(K742="HLINE",PR!$AB740,IF(K742="ROTECH",PR!$AC740,IF(K742="ISN",PR!$AD740,IF(K742="JAWA",PR!$AE740,IF(K742="LAYO",PR!$AF740,IF(K742="LEADWAY",PR!$AG740,IF(K742="LHV",PR!$AH740,IF(K742="MANOLA",PR!$AI740,IF(K742="MARCSON",PR!$AJ740,IF(K742="M&amp;B",PR!$AK740,IF(K742="MTRUST",PR!$AL740,IF(K742="MWORLD",PR!$AM740,IF(K742="MEGA",PR!$AN740,IF(K742="MICRONOVA",PR!$AO740,IF(K742="MFLASH",PR!$AP740,IF(K742="MORISON",PR!$AQ740,IF(K742="NEMEL",PR!$AR740,IF(K742="NHP",PR!$AS740,IF(K742="NHC",PR!$AT740,IF(K742="OLEAF",PR!$AU740,IF(K742="OCULUS",PR!$AV740,IF(K742="PACIFIC",PR!$AW740,IF(K742="PHAMATEX",PR!$AX740,IF(K742="PETHICS",PR!$AY740,IF(K742="PHILIPS",PR!$AZ740,IF(K742="RANBAXY",PR!$BA740,IF(K742="REALS",PR!$BB740,IF(K742="ROYAL",PR!$BC740,IF(K742="SAM",PR!$BD740,IF(K742="SEAGREEN",PR!$BE740,IF(K742="SKG",PR!$BF740,IF(K742="TAH",PR!$BG740,IF(K742="TAYLEK",PR!$BH740,IF(K742="TEMITA",PR!$BI740,IF(K742="THL",PR!$BJ740,IF(K742="UBASTIC",PR!$BK740,IF(K742="UNION",PR!$BL740,IF(K742="UNIQUE",PR!$BM740,IF(K742="VIXA",PR!$BN740,IF(K742="WWCV",PR!$BO740,IF(K742="ZOLON",PR!$BP740,"-")))))))))))))))))))))))))))))))))))))))))))))))))))))))))))))))))</f>
        <v>200</v>
      </c>
    </row>
    <row r="743" spans="1:12" ht="18.75" x14ac:dyDescent="0.3">
      <c r="A743" s="430">
        <f>PR!A741</f>
        <v>673</v>
      </c>
      <c r="B743" s="15" t="str">
        <f>PR!B741</f>
        <v xml:space="preserve">CHLORHEXIDINE GLUCONATE+CETRIMIDE LOTION 4L </v>
      </c>
      <c r="C743" s="113">
        <f>PR!D741</f>
        <v>1</v>
      </c>
      <c r="D743" s="113">
        <f>PR!C741</f>
        <v>60</v>
      </c>
      <c r="E743" s="108">
        <f>IF(F743="ALPHA",PR!$E741,IF(F743="ASSENE",PR!$F741,IF(F743="BIOFEM",PR!$G741,IF(F743="BIOMED",PR!$H741,IF(F743="CHI",PR!$I741,IF(F743="CLARION",PR!$J741,IF(F743="CODIX",PR!$K741,IF(F743="COSMADE",PR!$L741,IF(F743="SANCON",PR!$M741,IF(F743="DEVON",PR!$N741,IF(F743="DORTEMAG",PR!$O741,IF(F743="DGF",PR!$P741,IF(F743="DYNAMIC",PR!$Q741,IF(F743="EMZOR",PR!$R741,IF(F743="EUMATT",PR!$S741,IF(F743="FIDSON",PR!$T741,IF(F743="FCGLOBAL",PR!$U741,IF(F743="GENEITH",PR!$V741,IF(F743="GINOS",PR!$W741,IF(F743="GSK",PR!$X741,IF(F743="GLOBORG",PR!$Y741,IF(F743="GOODNEWS",PR!$Z741,IF(F743="GREENLIFE",PR!$AA741,IF(F743="HLINE",PR!$AB741,IF(F743="ROTECH",PR!$AC741,IF(F743="ISN",PR!$AD741,IF(F743="JAWA",PR!$AE741,IF(F743="LAYO",PR!$AF741,IF(F743="LEADWAY",PR!$AG741,IF(F743="LHV",PR!$AH741,IF(F743="MANOLA",PR!$AI741,IF(F743="MARCSON",PR!$AJ741,IF(F743="M&amp;B",PR!$AK741,IF(F743="MTRUST",PR!$AL741,IF(F743="MWORLD",PR!$AM741,IF(F743="MEGA",PR!$AN741,IF(F743="MICRONOVA",PR!$AO741,IF(F743="MFLASH",PR!$AP741,IF(F743="MORISON",PR!$AQ741,IF(F743="NEMEL",PR!$AR741,IF(F743="NHP",PR!$AS741,IF(F743="NHC",PR!$AT741,IF(F743="OLEAF",PR!$AU741,IF(F743="OCULUS",PR!$AV741,IF(F743="PACIFIC",PR!$AW741,IF(F743="PHAMATEX",PR!$AX741,IF(F743="PETHICS",PR!$AY741,IF(F743="PHILIPS",PR!$AZ741,IF(F743="RANBAXY",PR!$BA741,IF(F743="REALS",PR!$BB741,IF(F743="ROYAL",PR!$BC741,IF(F743="SAM",PR!$BD741,IF(F743="SEAGREEN",PR!$BE741,IF(F743="SKG",PR!$BF741,IF(F743="TAH",PR!$BG741,IF(F743="TAYLEK",PR!$BH741,IF(F743="TEMITA",PR!$BI741,IF(F743="THL",PR!$BJ741,IF(F743="UBASTIC",PR!$BK741,IF(F743="UNION",PR!$BL741,IF(F743="UNIQUE",PR!$BM741,IF(F743="VIXA",PR!$BN741,IF(F743="WWCV",PR!$BO741,IF(F743="ZOLON",PR!$BP741,"-"))))))))))))))))))))))))))))))))))))))))))))))))))))))))))))))))</f>
        <v>2500</v>
      </c>
      <c r="F743" s="102" t="str">
        <f>EV!L957</f>
        <v>ROYAL</v>
      </c>
      <c r="G743" s="108">
        <f>IF(H743="ALPHA",PR!$E741,IF(H743="ASSENE",PR!$F741,IF(H743="BIOFEM",PR!$G741,IF(H743="BIOMED",PR!$H741,IF(H743="CHI",PR!$I741,IF(H743="CLARION",PR!$J741,IF(H743="CODIX",PR!$K741,IF(H743="COSMADE",PR!$L741,IF(H743="SANCON",PR!$M741,IF(H743="DEVON",PR!$N741,IF(H743="DORTEMAG",PR!$O741,IF(H743="DGF",PR!$P741,IF(H743="DYNAMIC",PR!$Q741,IF(H743="EMZOR",PR!$R741,IF(H743="EUMATT",PR!$S741,IF(H743="FIDSON",PR!$T741,IF(H743="FCGLOBAL",PR!$U741,IF(H743="GENEITH",PR!$V741,IF(H743="GINOS",PR!$W741,IF(H743="GSK",PR!$X741,IF(H743="GLOBORG",PR!$Y741,IF(H743="GOODNEWS",PR!$Z741,IF(H743="GREENLIFE",PR!$AA741,IF(H743="HLINE",PR!$AB741,IF(H743="ROTECH",PR!$AC741,IF(H743="ISN",PR!$AD741,IF(H743="JAWA",PR!$AE741,IF(H743="LAYO",PR!$AF741,IF(H743="LEADWAY",PR!$AG741,IF(H743="LHV",PR!$AH741,IF(H743="MANOLA",PR!$AI741,IF(H743="MARCSON",PR!$AJ741,IF(H743="M&amp;B",PR!$AK741,IF(H743="MTRUST",PR!$AL741,IF(H743="MWORLD",PR!$AM741,IF(H743="MEGA",PR!$AN741,IF(H743="MICRONOVA",PR!$AO741,IF(H743="MFLASH",PR!$AP741,IF(H743="MORISON",PR!$AQ741,IF(H743="NEMEL",PR!$AR741,IF(H743="NHP",PR!$AS741,IF(H743="NHC",PR!$AT741,IF(H743="OLEAF",PR!$AU741,IF(H743="OCULUS",PR!$AV741,IF(H743="PACIFIC",PR!$AW741,IF(H743="PHAMATEX",PR!$AX741,IF(H743="PETHICS",PR!$AY741,IF(H743="PHILIPS",PR!$AZ741,IF(H743="RANBAXY",PR!$BA741,IF(H743="REALS",PR!$BB741,IF(H743="ROYAL",PR!$BC741,IF(H743="SAM",PR!$BD741,IF(H743="SEAGREEN",PR!$BE741,IF(H743="SKG",PR!$BF741,IF(H743="TAH",PR!$BG741,IF(H743="TAYLEK",PR!$BH741,IF(H743="TEMITA",PR!$BI741,IF(H743="THL",PR!$BJ741,IF(H743="UBASTIC",PR!$BK741,IF(H743="UNION",PR!$BL741,IF(H743="UNIQUE",PR!$BM741,IF(H743="VIXA",PR!$BN741,IF(H743="WWCV",PR!$BO741,IF(H743="ZOLON",PR!$BP741,"-"))))))))))))))))))))))))))))))))))))))))))))))))))))))))))))))))</f>
        <v>2662.5</v>
      </c>
      <c r="H743" s="102" t="str">
        <f>EV!M957</f>
        <v>MORISON</v>
      </c>
      <c r="I743" s="108" t="str">
        <f>IF(J743="ALPHA",PR!$E741,IF(J743="ASSENE",PR!$F741,IF(J743="BIOFEM",PR!$G741,IF(J743="BIOMED",PR!$H741,IF(J743="CHI",PR!$I741,IF(J743="CLARION",PR!$J741,IF(J743="CODIX",PR!$K741,IF(J743="COSMADE",PR!$L741,IF(J743="SANCON",PR!$M741,IF(J743="DEVON",PR!$N741,IF(J743="DORTEMAG",PR!$O741,IF(J743="DGF",PR!$P741,IF(J743="DYNAMIC",PR!$Q741,IF(J743="EMZOR",PR!$R741,IF(J743="EUMATT",PR!$S741,IF(J743="FIDSON",PR!$T741,IF(J743="FCGLOBAL",PR!$U741,IF(J743="GENEITH",PR!$V741,IF(J743="GINOS",PR!$W741,IF(J743="GSK",PR!$X741,IF(J743="GLOBORG",PR!$Y741,IF(J743="GOODNEWS",PR!$Z741,IF(J743="GREENLIFE",PR!$AA741,IF(J743="HLINE",PR!$AB741,IF(J743="ROTECH",PR!$AC741,IF(J743="ISN",PR!$AD741,IF(J743="JAWA",PR!$AE741,IF(J743="LAYO",PR!$AF741,IF(J743="LEADWAY",PR!$AG741,IF(J743="LHV",PR!$AH741,IF(J743="MANOLA",PR!$AI741,IF(J743="MARCSON",PR!$AJ741,IF(J743="M&amp;B",PR!$AK741,IF(J743="MTRUST",PR!$AL741,IF(J743="MWORLD",PR!$AM741,IF(J743="MEGA",PR!$AN741,IF(J743="MICRONOVA",PR!$AO741,IF(J743="MFLASH",PR!$AP741,IF(J743="MORISON",PR!$AQ741,IF(J743="NEMEL",PR!$AR741,IF(J743="NHP",PR!$AS741,IF(J743="NHC",PR!$AT741,IF(J743="OLEAF",PR!$AU741,IF(J743="OCULUS",PR!$AV741,IF(J743="PACIFIC",PR!$AW741,IF(J743="PHAMATEX",PR!$AX741,IF(J743="PETHICS",PR!$AY741,IF(J743="PHILIPS",PR!$AZ741,IF(J743="RANBAXY",PR!$BA741,IF(J743="REALS",PR!$BB741,IF(J743="ROYAL",PR!$BC741,IF(J743="SAM",PR!$BD741,IF(J743="SEAGREEN",PR!$BE741,IF(J743="SKG",PR!$BF741,IF(J743="TAH",PR!$BG741,IF(J743="TAYLEK",PR!$BH741,IF(J743="TEMITA",PR!$BI741,IF(J743="THL",PR!$BJ741,IF(J743="UBASTIC",PR!$BK741,IF(J743="UNION",PR!$BL741,IF(J743="UNIQUE",PR!$BM741,IF(J743="VIXA",PR!$BN741,IF(J743="WWCV",PR!$BO741,IF(J743="ZOLON",PR!$BP741,"-"))))))))))))))))))))))))))))))))))))))))))))))))))))))))))))))))</f>
        <v>-</v>
      </c>
      <c r="J743" s="102">
        <f>EV!N957</f>
        <v>0</v>
      </c>
      <c r="K743" s="433" t="s">
        <v>625</v>
      </c>
      <c r="L743" s="183">
        <f>IF(K743&gt;0,IF(K743="ALPHA",PR!$E741,IF(K743="ASSENE",PR!$F741,IF(K743="BIOFEM",PR!$G741,IF(K743="BIOMED",PR!$H741,IF(K743="CHI",PR!$I741,IF(K743="CLARION",PR!$J741,IF(K743="CODIX",PR!$K741,IF(K743="COSMADE",PR!$L741,IF(K743="SANCON",PR!$M741,IF(K743="DEVON",PR!$N741,IF(K743="DORTEMAG",PR!$O741,IF(K743="DGF",PR!$P741,IF(K743="DYNAMIC",PR!$Q741,IF(K743="EMZOR",PR!$R741,IF(K743="EUMATT",PR!$S741,IF(K743="FIDSON",PR!$T741,IF(K743="FCGLOBAL",PR!$U741,IF(K743="GENEITH",PR!$V741,IF(K743="GINOS",PR!$W741,IF(K743="GSK",PR!$X741,IF(K743="GLOBORG",PR!$Y741,IF(K743="GOODNEWS",PR!$Z741,IF(K743="GREENLIFE",PR!$AA741,IF(K743="HLINE",PR!$AB741,IF(K743="ROTECH",PR!$AC741,IF(K743="ISN",PR!$AD741,IF(K743="JAWA",PR!$AE741,IF(K743="LAYO",PR!$AF741,IF(K743="LEADWAY",PR!$AG741,IF(K743="LHV",PR!$AH741,IF(K743="MANOLA",PR!$AI741,IF(K743="MARCSON",PR!$AJ741,IF(K743="M&amp;B",PR!$AK741,IF(K743="MTRUST",PR!$AL741,IF(K743="MWORLD",PR!$AM741,IF(K743="MEGA",PR!$AN741,IF(K743="MICRONOVA",PR!$AO741,IF(K743="MFLASH",PR!$AP741,IF(K743="MORISON",PR!$AQ741,IF(K743="NEMEL",PR!$AR741,IF(K743="NHP",PR!$AS741,IF(K743="NHC",PR!$AT741,IF(K743="OLEAF",PR!$AU741,IF(K743="OCULUS",PR!$AV741,IF(K743="PACIFIC",PR!$AW741,IF(K743="PHAMATEX",PR!$AX741,IF(K743="PETHICS",PR!$AY741,IF(K743="PHILIPS",PR!$AZ741,IF(K743="RANBAXY",PR!$BA741,IF(K743="REALS",PR!$BB741,IF(K743="ROYAL",PR!$BC741,IF(K743="SAM",PR!$BD741,IF(K743="SEAGREEN",PR!$BE741,IF(K743="SKG",PR!$BF741,IF(K743="TAH",PR!$BG741,IF(K743="TAYLEK",PR!$BH741,IF(K743="TEMITA",PR!$BI741,IF(K743="THL",PR!$BJ741,IF(K743="UBASTIC",PR!$BK741,IF(K743="UNION",PR!$BL741,IF(K743="UNIQUE",PR!$BM741,IF(K743="VIXA",PR!$BN741,IF(K743="WWCV",PR!$BO741,IF(K743="ZOLON",PR!$BP741,"-")))))))))))))))))))))))))))))))))))))))))))))))))))))))))))))))))</f>
        <v>2500</v>
      </c>
    </row>
    <row r="744" spans="1:12" ht="18.75" x14ac:dyDescent="0.3">
      <c r="A744" s="430">
        <f>PR!A742</f>
        <v>674</v>
      </c>
      <c r="B744" s="15" t="str">
        <f>PR!B742</f>
        <v>GLUTARALDEHYDE (4 LITRES)</v>
      </c>
      <c r="C744" s="113" t="str">
        <f>PR!D742</f>
        <v>KEG</v>
      </c>
      <c r="D744" s="113">
        <f>PR!C742</f>
        <v>10</v>
      </c>
      <c r="E744" s="108">
        <f>IF(F744="ALPHA",PR!$E742,IF(F744="ASSENE",PR!$F742,IF(F744="BIOFEM",PR!$G742,IF(F744="BIOMED",PR!$H742,IF(F744="CHI",PR!$I742,IF(F744="CLARION",PR!$J742,IF(F744="CODIX",PR!$K742,IF(F744="COSMADE",PR!$L742,IF(F744="SANCON",PR!$M742,IF(F744="DEVON",PR!$N742,IF(F744="DORTEMAG",PR!$O742,IF(F744="DGF",PR!$P742,IF(F744="DYNAMIC",PR!$Q742,IF(F744="EMZOR",PR!$R742,IF(F744="EUMATT",PR!$S742,IF(F744="FIDSON",PR!$T742,IF(F744="FCGLOBAL",PR!$U742,IF(F744="GENEITH",PR!$V742,IF(F744="GINOS",PR!$W742,IF(F744="GSK",PR!$X742,IF(F744="GLOBORG",PR!$Y742,IF(F744="GOODNEWS",PR!$Z742,IF(F744="GREENLIFE",PR!$AA742,IF(F744="HLINE",PR!$AB742,IF(F744="ROTECH",PR!$AC742,IF(F744="ISN",PR!$AD742,IF(F744="JAWA",PR!$AE742,IF(F744="LAYO",PR!$AF742,IF(F744="LEADWAY",PR!$AG742,IF(F744="LHV",PR!$AH742,IF(F744="MANOLA",PR!$AI742,IF(F744="MARCSON",PR!$AJ742,IF(F744="M&amp;B",PR!$AK742,IF(F744="MTRUST",PR!$AL742,IF(F744="MWORLD",PR!$AM742,IF(F744="MEGA",PR!$AN742,IF(F744="MICRONOVA",PR!$AO742,IF(F744="MFLASH",PR!$AP742,IF(F744="MORISON",PR!$AQ742,IF(F744="NEMEL",PR!$AR742,IF(F744="NHP",PR!$AS742,IF(F744="NHC",PR!$AT742,IF(F744="OLEAF",PR!$AU742,IF(F744="OCULUS",PR!$AV742,IF(F744="PACIFIC",PR!$AW742,IF(F744="PHAMATEX",PR!$AX742,IF(F744="PETHICS",PR!$AY742,IF(F744="PHILIPS",PR!$AZ742,IF(F744="RANBAXY",PR!$BA742,IF(F744="REALS",PR!$BB742,IF(F744="ROYAL",PR!$BC742,IF(F744="SAM",PR!$BD742,IF(F744="SEAGREEN",PR!$BE742,IF(F744="SKG",PR!$BF742,IF(F744="TAH",PR!$BG742,IF(F744="TAYLEK",PR!$BH742,IF(F744="TEMITA",PR!$BI742,IF(F744="THL",PR!$BJ742,IF(F744="UBASTIC",PR!$BK742,IF(F744="UNION",PR!$BL742,IF(F744="UNIQUE",PR!$BM742,IF(F744="VIXA",PR!$BN742,IF(F744="WWCV",PR!$BO742,IF(F744="ZOLON",PR!$BP742,"-"))))))))))))))))))))))))))))))))))))))))))))))))))))))))))))))))</f>
        <v>3450</v>
      </c>
      <c r="F744" s="102" t="str">
        <f>EV!L958</f>
        <v>MORISON</v>
      </c>
      <c r="G744" s="108" t="str">
        <f>IF(H744="ALPHA",PR!$E742,IF(H744="ASSENE",PR!$F742,IF(H744="BIOFEM",PR!$G742,IF(H744="BIOMED",PR!$H742,IF(H744="CHI",PR!$I742,IF(H744="CLARION",PR!$J742,IF(H744="CODIX",PR!$K742,IF(H744="COSMADE",PR!$L742,IF(H744="SANCON",PR!$M742,IF(H744="DEVON",PR!$N742,IF(H744="DORTEMAG",PR!$O742,IF(H744="DGF",PR!$P742,IF(H744="DYNAMIC",PR!$Q742,IF(H744="EMZOR",PR!$R742,IF(H744="EUMATT",PR!$S742,IF(H744="FIDSON",PR!$T742,IF(H744="FCGLOBAL",PR!$U742,IF(H744="GENEITH",PR!$V742,IF(H744="GINOS",PR!$W742,IF(H744="GSK",PR!$X742,IF(H744="GLOBORG",PR!$Y742,IF(H744="GOODNEWS",PR!$Z742,IF(H744="GREENLIFE",PR!$AA742,IF(H744="HLINE",PR!$AB742,IF(H744="ROTECH",PR!$AC742,IF(H744="ISN",PR!$AD742,IF(H744="JAWA",PR!$AE742,IF(H744="LAYO",PR!$AF742,IF(H744="LEADWAY",PR!$AG742,IF(H744="LHV",PR!$AH742,IF(H744="MANOLA",PR!$AI742,IF(H744="MARCSON",PR!$AJ742,IF(H744="M&amp;B",PR!$AK742,IF(H744="MTRUST",PR!$AL742,IF(H744="MWORLD",PR!$AM742,IF(H744="MEGA",PR!$AN742,IF(H744="MICRONOVA",PR!$AO742,IF(H744="MFLASH",PR!$AP742,IF(H744="MORISON",PR!$AQ742,IF(H744="NEMEL",PR!$AR742,IF(H744="NHP",PR!$AS742,IF(H744="NHC",PR!$AT742,IF(H744="OLEAF",PR!$AU742,IF(H744="OCULUS",PR!$AV742,IF(H744="PACIFIC",PR!$AW742,IF(H744="PHAMATEX",PR!$AX742,IF(H744="PETHICS",PR!$AY742,IF(H744="PHILIPS",PR!$AZ742,IF(H744="RANBAXY",PR!$BA742,IF(H744="REALS",PR!$BB742,IF(H744="ROYAL",PR!$BC742,IF(H744="SAM",PR!$BD742,IF(H744="SEAGREEN",PR!$BE742,IF(H744="SKG",PR!$BF742,IF(H744="TAH",PR!$BG742,IF(H744="TAYLEK",PR!$BH742,IF(H744="TEMITA",PR!$BI742,IF(H744="THL",PR!$BJ742,IF(H744="UBASTIC",PR!$BK742,IF(H744="UNION",PR!$BL742,IF(H744="UNIQUE",PR!$BM742,IF(H744="VIXA",PR!$BN742,IF(H744="WWCV",PR!$BO742,IF(H744="ZOLON",PR!$BP742,"-"))))))))))))))))))))))))))))))))))))))))))))))))))))))))))))))))</f>
        <v>-</v>
      </c>
      <c r="H744" s="102">
        <f>EV!M958</f>
        <v>0</v>
      </c>
      <c r="I744" s="108" t="str">
        <f>IF(J744="ALPHA",PR!$E742,IF(J744="ASSENE",PR!$F742,IF(J744="BIOFEM",PR!$G742,IF(J744="BIOMED",PR!$H742,IF(J744="CHI",PR!$I742,IF(J744="CLARION",PR!$J742,IF(J744="CODIX",PR!$K742,IF(J744="COSMADE",PR!$L742,IF(J744="SANCON",PR!$M742,IF(J744="DEVON",PR!$N742,IF(J744="DORTEMAG",PR!$O742,IF(J744="DGF",PR!$P742,IF(J744="DYNAMIC",PR!$Q742,IF(J744="EMZOR",PR!$R742,IF(J744="EUMATT",PR!$S742,IF(J744="FIDSON",PR!$T742,IF(J744="FCGLOBAL",PR!$U742,IF(J744="GENEITH",PR!$V742,IF(J744="GINOS",PR!$W742,IF(J744="GSK",PR!$X742,IF(J744="GLOBORG",PR!$Y742,IF(J744="GOODNEWS",PR!$Z742,IF(J744="GREENLIFE",PR!$AA742,IF(J744="HLINE",PR!$AB742,IF(J744="ROTECH",PR!$AC742,IF(J744="ISN",PR!$AD742,IF(J744="JAWA",PR!$AE742,IF(J744="LAYO",PR!$AF742,IF(J744="LEADWAY",PR!$AG742,IF(J744="LHV",PR!$AH742,IF(J744="MANOLA",PR!$AI742,IF(J744="MARCSON",PR!$AJ742,IF(J744="M&amp;B",PR!$AK742,IF(J744="MTRUST",PR!$AL742,IF(J744="MWORLD",PR!$AM742,IF(J744="MEGA",PR!$AN742,IF(J744="MICRONOVA",PR!$AO742,IF(J744="MFLASH",PR!$AP742,IF(J744="MORISON",PR!$AQ742,IF(J744="NEMEL",PR!$AR742,IF(J744="NHP",PR!$AS742,IF(J744="NHC",PR!$AT742,IF(J744="OLEAF",PR!$AU742,IF(J744="OCULUS",PR!$AV742,IF(J744="PACIFIC",PR!$AW742,IF(J744="PHAMATEX",PR!$AX742,IF(J744="PETHICS",PR!$AY742,IF(J744="PHILIPS",PR!$AZ742,IF(J744="RANBAXY",PR!$BA742,IF(J744="REALS",PR!$BB742,IF(J744="ROYAL",PR!$BC742,IF(J744="SAM",PR!$BD742,IF(J744="SEAGREEN",PR!$BE742,IF(J744="SKG",PR!$BF742,IF(J744="TAH",PR!$BG742,IF(J744="TAYLEK",PR!$BH742,IF(J744="TEMITA",PR!$BI742,IF(J744="THL",PR!$BJ742,IF(J744="UBASTIC",PR!$BK742,IF(J744="UNION",PR!$BL742,IF(J744="UNIQUE",PR!$BM742,IF(J744="VIXA",PR!$BN742,IF(J744="WWCV",PR!$BO742,IF(J744="ZOLON",PR!$BP742,"-"))))))))))))))))))))))))))))))))))))))))))))))))))))))))))))))))</f>
        <v>-</v>
      </c>
      <c r="J744" s="102">
        <f>EV!N958</f>
        <v>0</v>
      </c>
      <c r="K744" s="433" t="s">
        <v>831</v>
      </c>
      <c r="L744" s="183">
        <f>IF(K744&gt;0,IF(K744="ALPHA",PR!$E742,IF(K744="ASSENE",PR!$F742,IF(K744="BIOFEM",PR!$G742,IF(K744="BIOMED",PR!$H742,IF(K744="CHI",PR!$I742,IF(K744="CLARION",PR!$J742,IF(K744="CODIX",PR!$K742,IF(K744="COSMADE",PR!$L742,IF(K744="SANCON",PR!$M742,IF(K744="DEVON",PR!$N742,IF(K744="DORTEMAG",PR!$O742,IF(K744="DGF",PR!$P742,IF(K744="DYNAMIC",PR!$Q742,IF(K744="EMZOR",PR!$R742,IF(K744="EUMATT",PR!$S742,IF(K744="FIDSON",PR!$T742,IF(K744="FCGLOBAL",PR!$U742,IF(K744="GENEITH",PR!$V742,IF(K744="GINOS",PR!$W742,IF(K744="GSK",PR!$X742,IF(K744="GLOBORG",PR!$Y742,IF(K744="GOODNEWS",PR!$Z742,IF(K744="GREENLIFE",PR!$AA742,IF(K744="HLINE",PR!$AB742,IF(K744="ROTECH",PR!$AC742,IF(K744="ISN",PR!$AD742,IF(K744="JAWA",PR!$AE742,IF(K744="LAYO",PR!$AF742,IF(K744="LEADWAY",PR!$AG742,IF(K744="LHV",PR!$AH742,IF(K744="MANOLA",PR!$AI742,IF(K744="MARCSON",PR!$AJ742,IF(K744="M&amp;B",PR!$AK742,IF(K744="MTRUST",PR!$AL742,IF(K744="MWORLD",PR!$AM742,IF(K744="MEGA",PR!$AN742,IF(K744="MICRONOVA",PR!$AO742,IF(K744="MFLASH",PR!$AP742,IF(K744="MORISON",PR!$AQ742,IF(K744="NEMEL",PR!$AR742,IF(K744="NHP",PR!$AS742,IF(K744="NHC",PR!$AT742,IF(K744="OLEAF",PR!$AU742,IF(K744="OCULUS",PR!$AV742,IF(K744="PACIFIC",PR!$AW742,IF(K744="PHAMATEX",PR!$AX742,IF(K744="PETHICS",PR!$AY742,IF(K744="PHILIPS",PR!$AZ742,IF(K744="RANBAXY",PR!$BA742,IF(K744="REALS",PR!$BB742,IF(K744="ROYAL",PR!$BC742,IF(K744="SAM",PR!$BD742,IF(K744="SEAGREEN",PR!$BE742,IF(K744="SKG",PR!$BF742,IF(K744="TAH",PR!$BG742,IF(K744="TAYLEK",PR!$BH742,IF(K744="TEMITA",PR!$BI742,IF(K744="THL",PR!$BJ742,IF(K744="UBASTIC",PR!$BK742,IF(K744="UNION",PR!$BL742,IF(K744="UNIQUE",PR!$BM742,IF(K744="VIXA",PR!$BN742,IF(K744="WWCV",PR!$BO742,IF(K744="ZOLON",PR!$BP742,"-")))))))))))))))))))))))))))))))))))))))))))))))))))))))))))))))))</f>
        <v>3450</v>
      </c>
    </row>
    <row r="745" spans="1:12" ht="18.75" x14ac:dyDescent="0.3">
      <c r="A745" s="430">
        <f>PR!A743</f>
        <v>675</v>
      </c>
      <c r="B745" s="15" t="str">
        <f>PR!B743</f>
        <v>HYDROGEN PEROXIDE 100ML</v>
      </c>
      <c r="C745" s="113" t="str">
        <f>PR!D743</f>
        <v>BOTT</v>
      </c>
      <c r="D745" s="113">
        <f>PR!C743</f>
        <v>1000</v>
      </c>
      <c r="E745" s="108">
        <f>IF(F745="ALPHA",PR!$E743,IF(F745="ASSENE",PR!$F743,IF(F745="BIOFEM",PR!$G743,IF(F745="BIOMED",PR!$H743,IF(F745="CHI",PR!$I743,IF(F745="CLARION",PR!$J743,IF(F745="CODIX",PR!$K743,IF(F745="COSMADE",PR!$L743,IF(F745="SANCON",PR!$M743,IF(F745="DEVON",PR!$N743,IF(F745="DORTEMAG",PR!$O743,IF(F745="DGF",PR!$P743,IF(F745="DYNAMIC",PR!$Q743,IF(F745="EMZOR",PR!$R743,IF(F745="EUMATT",PR!$S743,IF(F745="FIDSON",PR!$T743,IF(F745="FCGLOBAL",PR!$U743,IF(F745="GENEITH",PR!$V743,IF(F745="GINOS",PR!$W743,IF(F745="GSK",PR!$X743,IF(F745="GLOBORG",PR!$Y743,IF(F745="GOODNEWS",PR!$Z743,IF(F745="GREENLIFE",PR!$AA743,IF(F745="HLINE",PR!$AB743,IF(F745="ROTECH",PR!$AC743,IF(F745="ISN",PR!$AD743,IF(F745="JAWA",PR!$AE743,IF(F745="LAYO",PR!$AF743,IF(F745="LEADWAY",PR!$AG743,IF(F745="LHV",PR!$AH743,IF(F745="MANOLA",PR!$AI743,IF(F745="MARCSON",PR!$AJ743,IF(F745="M&amp;B",PR!$AK743,IF(F745="MTRUST",PR!$AL743,IF(F745="MWORLD",PR!$AM743,IF(F745="MEGA",PR!$AN743,IF(F745="MICRONOVA",PR!$AO743,IF(F745="MFLASH",PR!$AP743,IF(F745="MORISON",PR!$AQ743,IF(F745="NEMEL",PR!$AR743,IF(F745="NHP",PR!$AS743,IF(F745="NHC",PR!$AT743,IF(F745="OLEAF",PR!$AU743,IF(F745="OCULUS",PR!$AV743,IF(F745="PACIFIC",PR!$AW743,IF(F745="PHAMATEX",PR!$AX743,IF(F745="PETHICS",PR!$AY743,IF(F745="PHILIPS",PR!$AZ743,IF(F745="RANBAXY",PR!$BA743,IF(F745="REALS",PR!$BB743,IF(F745="ROYAL",PR!$BC743,IF(F745="SAM",PR!$BD743,IF(F745="SEAGREEN",PR!$BE743,IF(F745="SKG",PR!$BF743,IF(F745="TAH",PR!$BG743,IF(F745="TAYLEK",PR!$BH743,IF(F745="TEMITA",PR!$BI743,IF(F745="THL",PR!$BJ743,IF(F745="UBASTIC",PR!$BK743,IF(F745="UNION",PR!$BL743,IF(F745="UNIQUE",PR!$BM743,IF(F745="VIXA",PR!$BN743,IF(F745="WWCV",PR!$BO743,IF(F745="ZOLON",PR!$BP743,"-"))))))))))))))))))))))))))))))))))))))))))))))))))))))))))))))))</f>
        <v>123.59</v>
      </c>
      <c r="F745" s="102" t="str">
        <f>EV!L959</f>
        <v>SKG</v>
      </c>
      <c r="G745" s="108" t="str">
        <f>IF(H745="ALPHA",PR!$E743,IF(H745="ASSENE",PR!$F743,IF(H745="BIOFEM",PR!$G743,IF(H745="BIOMED",PR!$H743,IF(H745="CHI",PR!$I743,IF(H745="CLARION",PR!$J743,IF(H745="CODIX",PR!$K743,IF(H745="COSMADE",PR!$L743,IF(H745="SANCON",PR!$M743,IF(H745="DEVON",PR!$N743,IF(H745="DORTEMAG",PR!$O743,IF(H745="DGF",PR!$P743,IF(H745="DYNAMIC",PR!$Q743,IF(H745="EMZOR",PR!$R743,IF(H745="EUMATT",PR!$S743,IF(H745="FIDSON",PR!$T743,IF(H745="FCGLOBAL",PR!$U743,IF(H745="GENEITH",PR!$V743,IF(H745="GINOS",PR!$W743,IF(H745="GSK",PR!$X743,IF(H745="GLOBORG",PR!$Y743,IF(H745="GOODNEWS",PR!$Z743,IF(H745="GREENLIFE",PR!$AA743,IF(H745="HLINE",PR!$AB743,IF(H745="ROTECH",PR!$AC743,IF(H745="ISN",PR!$AD743,IF(H745="JAWA",PR!$AE743,IF(H745="LAYO",PR!$AF743,IF(H745="LEADWAY",PR!$AG743,IF(H745="LHV",PR!$AH743,IF(H745="MANOLA",PR!$AI743,IF(H745="MARCSON",PR!$AJ743,IF(H745="M&amp;B",PR!$AK743,IF(H745="MTRUST",PR!$AL743,IF(H745="MWORLD",PR!$AM743,IF(H745="MEGA",PR!$AN743,IF(H745="MICRONOVA",PR!$AO743,IF(H745="MFLASH",PR!$AP743,IF(H745="MORISON",PR!$AQ743,IF(H745="NEMEL",PR!$AR743,IF(H745="NHP",PR!$AS743,IF(H745="NHC",PR!$AT743,IF(H745="OLEAF",PR!$AU743,IF(H745="OCULUS",PR!$AV743,IF(H745="PACIFIC",PR!$AW743,IF(H745="PHAMATEX",PR!$AX743,IF(H745="PETHICS",PR!$AY743,IF(H745="PHILIPS",PR!$AZ743,IF(H745="RANBAXY",PR!$BA743,IF(H745="REALS",PR!$BB743,IF(H745="ROYAL",PR!$BC743,IF(H745="SAM",PR!$BD743,IF(H745="SEAGREEN",PR!$BE743,IF(H745="SKG",PR!$BF743,IF(H745="TAH",PR!$BG743,IF(H745="TAYLEK",PR!$BH743,IF(H745="TEMITA",PR!$BI743,IF(H745="THL",PR!$BJ743,IF(H745="UBASTIC",PR!$BK743,IF(H745="UNION",PR!$BL743,IF(H745="UNIQUE",PR!$BM743,IF(H745="VIXA",PR!$BN743,IF(H745="WWCV",PR!$BO743,IF(H745="ZOLON",PR!$BP743,"-"))))))))))))))))))))))))))))))))))))))))))))))))))))))))))))))))</f>
        <v>-</v>
      </c>
      <c r="H745" s="102">
        <f>EV!M959</f>
        <v>0</v>
      </c>
      <c r="I745" s="108" t="str">
        <f>IF(J745="ALPHA",PR!$E743,IF(J745="ASSENE",PR!$F743,IF(J745="BIOFEM",PR!$G743,IF(J745="BIOMED",PR!$H743,IF(J745="CHI",PR!$I743,IF(J745="CLARION",PR!$J743,IF(J745="CODIX",PR!$K743,IF(J745="COSMADE",PR!$L743,IF(J745="SANCON",PR!$M743,IF(J745="DEVON",PR!$N743,IF(J745="DORTEMAG",PR!$O743,IF(J745="DGF",PR!$P743,IF(J745="DYNAMIC",PR!$Q743,IF(J745="EMZOR",PR!$R743,IF(J745="EUMATT",PR!$S743,IF(J745="FIDSON",PR!$T743,IF(J745="FCGLOBAL",PR!$U743,IF(J745="GENEITH",PR!$V743,IF(J745="GINOS",PR!$W743,IF(J745="GSK",PR!$X743,IF(J745="GLOBORG",PR!$Y743,IF(J745="GOODNEWS",PR!$Z743,IF(J745="GREENLIFE",PR!$AA743,IF(J745="HLINE",PR!$AB743,IF(J745="ROTECH",PR!$AC743,IF(J745="ISN",PR!$AD743,IF(J745="JAWA",PR!$AE743,IF(J745="LAYO",PR!$AF743,IF(J745="LEADWAY",PR!$AG743,IF(J745="LHV",PR!$AH743,IF(J745="MANOLA",PR!$AI743,IF(J745="MARCSON",PR!$AJ743,IF(J745="M&amp;B",PR!$AK743,IF(J745="MTRUST",PR!$AL743,IF(J745="MWORLD",PR!$AM743,IF(J745="MEGA",PR!$AN743,IF(J745="MICRONOVA",PR!$AO743,IF(J745="MFLASH",PR!$AP743,IF(J745="MORISON",PR!$AQ743,IF(J745="NEMEL",PR!$AR743,IF(J745="NHP",PR!$AS743,IF(J745="NHC",PR!$AT743,IF(J745="OLEAF",PR!$AU743,IF(J745="OCULUS",PR!$AV743,IF(J745="PACIFIC",PR!$AW743,IF(J745="PHAMATEX",PR!$AX743,IF(J745="PETHICS",PR!$AY743,IF(J745="PHILIPS",PR!$AZ743,IF(J745="RANBAXY",PR!$BA743,IF(J745="REALS",PR!$BB743,IF(J745="ROYAL",PR!$BC743,IF(J745="SAM",PR!$BD743,IF(J745="SEAGREEN",PR!$BE743,IF(J745="SKG",PR!$BF743,IF(J745="TAH",PR!$BG743,IF(J745="TAYLEK",PR!$BH743,IF(J745="TEMITA",PR!$BI743,IF(J745="THL",PR!$BJ743,IF(J745="UBASTIC",PR!$BK743,IF(J745="UNION",PR!$BL743,IF(J745="UNIQUE",PR!$BM743,IF(J745="VIXA",PR!$BN743,IF(J745="WWCV",PR!$BO743,IF(J745="ZOLON",PR!$BP743,"-"))))))))))))))))))))))))))))))))))))))))))))))))))))))))))))))))</f>
        <v>-</v>
      </c>
      <c r="J745" s="102">
        <f>EV!N959</f>
        <v>0</v>
      </c>
      <c r="K745" s="433" t="s">
        <v>387</v>
      </c>
      <c r="L745" s="183">
        <f>IF(K745&gt;0,IF(K745="ALPHA",PR!$E743,IF(K745="ASSENE",PR!$F743,IF(K745="BIOFEM",PR!$G743,IF(K745="BIOMED",PR!$H743,IF(K745="CHI",PR!$I743,IF(K745="CLARION",PR!$J743,IF(K745="CODIX",PR!$K743,IF(K745="COSMADE",PR!$L743,IF(K745="SANCON",PR!$M743,IF(K745="DEVON",PR!$N743,IF(K745="DORTEMAG",PR!$O743,IF(K745="DGF",PR!$P743,IF(K745="DYNAMIC",PR!$Q743,IF(K745="EMZOR",PR!$R743,IF(K745="EUMATT",PR!$S743,IF(K745="FIDSON",PR!$T743,IF(K745="FCGLOBAL",PR!$U743,IF(K745="GENEITH",PR!$V743,IF(K745="GINOS",PR!$W743,IF(K745="GSK",PR!$X743,IF(K745="GLOBORG",PR!$Y743,IF(K745="GOODNEWS",PR!$Z743,IF(K745="GREENLIFE",PR!$AA743,IF(K745="HLINE",PR!$AB743,IF(K745="ROTECH",PR!$AC743,IF(K745="ISN",PR!$AD743,IF(K745="JAWA",PR!$AE743,IF(K745="LAYO",PR!$AF743,IF(K745="LEADWAY",PR!$AG743,IF(K745="LHV",PR!$AH743,IF(K745="MANOLA",PR!$AI743,IF(K745="MARCSON",PR!$AJ743,IF(K745="M&amp;B",PR!$AK743,IF(K745="MTRUST",PR!$AL743,IF(K745="MWORLD",PR!$AM743,IF(K745="MEGA",PR!$AN743,IF(K745="MICRONOVA",PR!$AO743,IF(K745="MFLASH",PR!$AP743,IF(K745="MORISON",PR!$AQ743,IF(K745="NEMEL",PR!$AR743,IF(K745="NHP",PR!$AS743,IF(K745="NHC",PR!$AT743,IF(K745="OLEAF",PR!$AU743,IF(K745="OCULUS",PR!$AV743,IF(K745="PACIFIC",PR!$AW743,IF(K745="PHAMATEX",PR!$AX743,IF(K745="PETHICS",PR!$AY743,IF(K745="PHILIPS",PR!$AZ743,IF(K745="RANBAXY",PR!$BA743,IF(K745="REALS",PR!$BB743,IF(K745="ROYAL",PR!$BC743,IF(K745="SAM",PR!$BD743,IF(K745="SEAGREEN",PR!$BE743,IF(K745="SKG",PR!$BF743,IF(K745="TAH",PR!$BG743,IF(K745="TAYLEK",PR!$BH743,IF(K745="TEMITA",PR!$BI743,IF(K745="THL",PR!$BJ743,IF(K745="UBASTIC",PR!$BK743,IF(K745="UNION",PR!$BL743,IF(K745="UNIQUE",PR!$BM743,IF(K745="VIXA",PR!$BN743,IF(K745="WWCV",PR!$BO743,IF(K745="ZOLON",PR!$BP743,"-")))))))))))))))))))))))))))))))))))))))))))))))))))))))))))))))))</f>
        <v>123.59</v>
      </c>
    </row>
    <row r="746" spans="1:12" ht="18.75" x14ac:dyDescent="0.3">
      <c r="A746" s="430">
        <f>PR!A744</f>
        <v>676</v>
      </c>
      <c r="B746" s="15" t="str">
        <f>PR!B744</f>
        <v>IOHEXOL - CONTRAST MEDIA</v>
      </c>
      <c r="C746" s="113">
        <f>PR!D744</f>
        <v>0</v>
      </c>
      <c r="D746" s="113">
        <f>PR!C744</f>
        <v>200</v>
      </c>
      <c r="E746" s="108">
        <f>IF(F746="ALPHA",PR!$E744,IF(F746="ASSENE",PR!$F744,IF(F746="BIOFEM",PR!$G744,IF(F746="BIOMED",PR!$H744,IF(F746="CHI",PR!$I744,IF(F746="CLARION",PR!$J744,IF(F746="CODIX",PR!$K744,IF(F746="COSMADE",PR!$L744,IF(F746="SANCON",PR!$M744,IF(F746="DEVON",PR!$N744,IF(F746="DORTEMAG",PR!$O744,IF(F746="DGF",PR!$P744,IF(F746="DYNAMIC",PR!$Q744,IF(F746="EMZOR",PR!$R744,IF(F746="EUMATT",PR!$S744,IF(F746="FIDSON",PR!$T744,IF(F746="FCGLOBAL",PR!$U744,IF(F746="GENEITH",PR!$V744,IF(F746="GINOS",PR!$W744,IF(F746="GSK",PR!$X744,IF(F746="GLOBORG",PR!$Y744,IF(F746="GOODNEWS",PR!$Z744,IF(F746="GREENLIFE",PR!$AA744,IF(F746="HLINE",PR!$AB744,IF(F746="ROTECH",PR!$AC744,IF(F746="ISN",PR!$AD744,IF(F746="JAWA",PR!$AE744,IF(F746="LAYO",PR!$AF744,IF(F746="LEADWAY",PR!$AG744,IF(F746="LHV",PR!$AH744,IF(F746="MANOLA",PR!$AI744,IF(F746="MARCSON",PR!$AJ744,IF(F746="M&amp;B",PR!$AK744,IF(F746="MTRUST",PR!$AL744,IF(F746="MWORLD",PR!$AM744,IF(F746="MEGA",PR!$AN744,IF(F746="MICRONOVA",PR!$AO744,IF(F746="MFLASH",PR!$AP744,IF(F746="MORISON",PR!$AQ744,IF(F746="NEMEL",PR!$AR744,IF(F746="NHP",PR!$AS744,IF(F746="NHC",PR!$AT744,IF(F746="OLEAF",PR!$AU744,IF(F746="OCULUS",PR!$AV744,IF(F746="PACIFIC",PR!$AW744,IF(F746="PHAMATEX",PR!$AX744,IF(F746="PETHICS",PR!$AY744,IF(F746="PHILIPS",PR!$AZ744,IF(F746="RANBAXY",PR!$BA744,IF(F746="REALS",PR!$BB744,IF(F746="ROYAL",PR!$BC744,IF(F746="SAM",PR!$BD744,IF(F746="SEAGREEN",PR!$BE744,IF(F746="SKG",PR!$BF744,IF(F746="TAH",PR!$BG744,IF(F746="TAYLEK",PR!$BH744,IF(F746="TEMITA",PR!$BI744,IF(F746="THL",PR!$BJ744,IF(F746="UBASTIC",PR!$BK744,IF(F746="UNION",PR!$BL744,IF(F746="UNIQUE",PR!$BM744,IF(F746="VIXA",PR!$BN744,IF(F746="WWCV",PR!$BO744,IF(F746="ZOLON",PR!$BP744,"-"))))))))))))))))))))))))))))))))))))))))))))))))))))))))))))))))</f>
        <v>9945</v>
      </c>
      <c r="F746" s="102" t="str">
        <f>EV!L960</f>
        <v>DEVON</v>
      </c>
      <c r="G746" s="108" t="str">
        <f>IF(H746="ALPHA",PR!$E744,IF(H746="ASSENE",PR!$F744,IF(H746="BIOFEM",PR!$G744,IF(H746="BIOMED",PR!$H744,IF(H746="CHI",PR!$I744,IF(H746="CLARION",PR!$J744,IF(H746="CODIX",PR!$K744,IF(H746="COSMADE",PR!$L744,IF(H746="SANCON",PR!$M744,IF(H746="DEVON",PR!$N744,IF(H746="DORTEMAG",PR!$O744,IF(H746="DGF",PR!$P744,IF(H746="DYNAMIC",PR!$Q744,IF(H746="EMZOR",PR!$R744,IF(H746="EUMATT",PR!$S744,IF(H746="FIDSON",PR!$T744,IF(H746="FCGLOBAL",PR!$U744,IF(H746="GENEITH",PR!$V744,IF(H746="GINOS",PR!$W744,IF(H746="GSK",PR!$X744,IF(H746="GLOBORG",PR!$Y744,IF(H746="GOODNEWS",PR!$Z744,IF(H746="GREENLIFE",PR!$AA744,IF(H746="HLINE",PR!$AB744,IF(H746="ROTECH",PR!$AC744,IF(H746="ISN",PR!$AD744,IF(H746="JAWA",PR!$AE744,IF(H746="LAYO",PR!$AF744,IF(H746="LEADWAY",PR!$AG744,IF(H746="LHV",PR!$AH744,IF(H746="MANOLA",PR!$AI744,IF(H746="MARCSON",PR!$AJ744,IF(H746="M&amp;B",PR!$AK744,IF(H746="MTRUST",PR!$AL744,IF(H746="MWORLD",PR!$AM744,IF(H746="MEGA",PR!$AN744,IF(H746="MICRONOVA",PR!$AO744,IF(H746="MFLASH",PR!$AP744,IF(H746="MORISON",PR!$AQ744,IF(H746="NEMEL",PR!$AR744,IF(H746="NHP",PR!$AS744,IF(H746="NHC",PR!$AT744,IF(H746="OLEAF",PR!$AU744,IF(H746="OCULUS",PR!$AV744,IF(H746="PACIFIC",PR!$AW744,IF(H746="PHAMATEX",PR!$AX744,IF(H746="PETHICS",PR!$AY744,IF(H746="PHILIPS",PR!$AZ744,IF(H746="RANBAXY",PR!$BA744,IF(H746="REALS",PR!$BB744,IF(H746="ROYAL",PR!$BC744,IF(H746="SAM",PR!$BD744,IF(H746="SEAGREEN",PR!$BE744,IF(H746="SKG",PR!$BF744,IF(H746="TAH",PR!$BG744,IF(H746="TAYLEK",PR!$BH744,IF(H746="TEMITA",PR!$BI744,IF(H746="THL",PR!$BJ744,IF(H746="UBASTIC",PR!$BK744,IF(H746="UNION",PR!$BL744,IF(H746="UNIQUE",PR!$BM744,IF(H746="VIXA",PR!$BN744,IF(H746="WWCV",PR!$BO744,IF(H746="ZOLON",PR!$BP744,"-"))))))))))))))))))))))))))))))))))))))))))))))))))))))))))))))))</f>
        <v>-</v>
      </c>
      <c r="H746" s="102">
        <f>EV!M960</f>
        <v>0</v>
      </c>
      <c r="I746" s="108" t="str">
        <f>IF(J746="ALPHA",PR!$E744,IF(J746="ASSENE",PR!$F744,IF(J746="BIOFEM",PR!$G744,IF(J746="BIOMED",PR!$H744,IF(J746="CHI",PR!$I744,IF(J746="CLARION",PR!$J744,IF(J746="CODIX",PR!$K744,IF(J746="COSMADE",PR!$L744,IF(J746="SANCON",PR!$M744,IF(J746="DEVON",PR!$N744,IF(J746="DORTEMAG",PR!$O744,IF(J746="DGF",PR!$P744,IF(J746="DYNAMIC",PR!$Q744,IF(J746="EMZOR",PR!$R744,IF(J746="EUMATT",PR!$S744,IF(J746="FIDSON",PR!$T744,IF(J746="FCGLOBAL",PR!$U744,IF(J746="GENEITH",PR!$V744,IF(J746="GINOS",PR!$W744,IF(J746="GSK",PR!$X744,IF(J746="GLOBORG",PR!$Y744,IF(J746="GOODNEWS",PR!$Z744,IF(J746="GREENLIFE",PR!$AA744,IF(J746="HLINE",PR!$AB744,IF(J746="ROTECH",PR!$AC744,IF(J746="ISN",PR!$AD744,IF(J746="JAWA",PR!$AE744,IF(J746="LAYO",PR!$AF744,IF(J746="LEADWAY",PR!$AG744,IF(J746="LHV",PR!$AH744,IF(J746="MANOLA",PR!$AI744,IF(J746="MARCSON",PR!$AJ744,IF(J746="M&amp;B",PR!$AK744,IF(J746="MTRUST",PR!$AL744,IF(J746="MWORLD",PR!$AM744,IF(J746="MEGA",PR!$AN744,IF(J746="MICRONOVA",PR!$AO744,IF(J746="MFLASH",PR!$AP744,IF(J746="MORISON",PR!$AQ744,IF(J746="NEMEL",PR!$AR744,IF(J746="NHP",PR!$AS744,IF(J746="NHC",PR!$AT744,IF(J746="OLEAF",PR!$AU744,IF(J746="OCULUS",PR!$AV744,IF(J746="PACIFIC",PR!$AW744,IF(J746="PHAMATEX",PR!$AX744,IF(J746="PETHICS",PR!$AY744,IF(J746="PHILIPS",PR!$AZ744,IF(J746="RANBAXY",PR!$BA744,IF(J746="REALS",PR!$BB744,IF(J746="ROYAL",PR!$BC744,IF(J746="SAM",PR!$BD744,IF(J746="SEAGREEN",PR!$BE744,IF(J746="SKG",PR!$BF744,IF(J746="TAH",PR!$BG744,IF(J746="TAYLEK",PR!$BH744,IF(J746="TEMITA",PR!$BI744,IF(J746="THL",PR!$BJ744,IF(J746="UBASTIC",PR!$BK744,IF(J746="UNION",PR!$BL744,IF(J746="UNIQUE",PR!$BM744,IF(J746="VIXA",PR!$BN744,IF(J746="WWCV",PR!$BO744,IF(J746="ZOLON",PR!$BP744,"-"))))))))))))))))))))))))))))))))))))))))))))))))))))))))))))))))</f>
        <v>-</v>
      </c>
      <c r="J746" s="102">
        <f>EV!N960</f>
        <v>0</v>
      </c>
      <c r="K746" s="433" t="s">
        <v>1431</v>
      </c>
      <c r="L746" s="183">
        <f>IF(K746&gt;0,IF(K746="ALPHA",PR!$E744,IF(K746="ASSENE",PR!$F744,IF(K746="BIOFEM",PR!$G744,IF(K746="BIOMED",PR!$H744,IF(K746="CHI",PR!$I744,IF(K746="CLARION",PR!$J744,IF(K746="CODIX",PR!$K744,IF(K746="COSMADE",PR!$L744,IF(K746="SANCON",PR!$M744,IF(K746="DEVON",PR!$N744,IF(K746="DORTEMAG",PR!$O744,IF(K746="DGF",PR!$P744,IF(K746="DYNAMIC",PR!$Q744,IF(K746="EMZOR",PR!$R744,IF(K746="EUMATT",PR!$S744,IF(K746="FIDSON",PR!$T744,IF(K746="FCGLOBAL",PR!$U744,IF(K746="GENEITH",PR!$V744,IF(K746="GINOS",PR!$W744,IF(K746="GSK",PR!$X744,IF(K746="GLOBORG",PR!$Y744,IF(K746="GOODNEWS",PR!$Z744,IF(K746="GREENLIFE",PR!$AA744,IF(K746="HLINE",PR!$AB744,IF(K746="ROTECH",PR!$AC744,IF(K746="ISN",PR!$AD744,IF(K746="JAWA",PR!$AE744,IF(K746="LAYO",PR!$AF744,IF(K746="LEADWAY",PR!$AG744,IF(K746="LHV",PR!$AH744,IF(K746="MANOLA",PR!$AI744,IF(K746="MARCSON",PR!$AJ744,IF(K746="M&amp;B",PR!$AK744,IF(K746="MTRUST",PR!$AL744,IF(K746="MWORLD",PR!$AM744,IF(K746="MEGA",PR!$AN744,IF(K746="MICRONOVA",PR!$AO744,IF(K746="MFLASH",PR!$AP744,IF(K746="MORISON",PR!$AQ744,IF(K746="NEMEL",PR!$AR744,IF(K746="NHP",PR!$AS744,IF(K746="NHC",PR!$AT744,IF(K746="OLEAF",PR!$AU744,IF(K746="OCULUS",PR!$AV744,IF(K746="PACIFIC",PR!$AW744,IF(K746="PHAMATEX",PR!$AX744,IF(K746="PETHICS",PR!$AY744,IF(K746="PHILIPS",PR!$AZ744,IF(K746="RANBAXY",PR!$BA744,IF(K746="REALS",PR!$BB744,IF(K746="ROYAL",PR!$BC744,IF(K746="SAM",PR!$BD744,IF(K746="SEAGREEN",PR!$BE744,IF(K746="SKG",PR!$BF744,IF(K746="TAH",PR!$BG744,IF(K746="TAYLEK",PR!$BH744,IF(K746="TEMITA",PR!$BI744,IF(K746="THL",PR!$BJ744,IF(K746="UBASTIC",PR!$BK744,IF(K746="UNION",PR!$BL744,IF(K746="UNIQUE",PR!$BM744,IF(K746="VIXA",PR!$BN744,IF(K746="WWCV",PR!$BO744,IF(K746="ZOLON",PR!$BP744,"-")))))))))))))))))))))))))))))))))))))))))))))))))))))))))))))))))</f>
        <v>9945</v>
      </c>
    </row>
    <row r="747" spans="1:12" ht="18.75" x14ac:dyDescent="0.3">
      <c r="A747" s="430">
        <f>PR!A745</f>
        <v>677</v>
      </c>
      <c r="B747" s="15" t="str">
        <f>PR!B745</f>
        <v>MORIGAD GERMICIDE (4 LITRE)</v>
      </c>
      <c r="C747" s="113" t="str">
        <f>PR!D745</f>
        <v>KEG</v>
      </c>
      <c r="D747" s="113">
        <f>PR!C745</f>
        <v>5</v>
      </c>
      <c r="E747" s="108">
        <f>IF(F747="ALPHA",PR!$E745,IF(F747="ASSENE",PR!$F745,IF(F747="BIOFEM",PR!$G745,IF(F747="BIOMED",PR!$H745,IF(F747="CHI",PR!$I745,IF(F747="CLARION",PR!$J745,IF(F747="CODIX",PR!$K745,IF(F747="COSMADE",PR!$L745,IF(F747="SANCON",PR!$M745,IF(F747="DEVON",PR!$N745,IF(F747="DORTEMAG",PR!$O745,IF(F747="DGF",PR!$P745,IF(F747="DYNAMIC",PR!$Q745,IF(F747="EMZOR",PR!$R745,IF(F747="EUMATT",PR!$S745,IF(F747="FIDSON",PR!$T745,IF(F747="FCGLOBAL",PR!$U745,IF(F747="GENEITH",PR!$V745,IF(F747="GINOS",PR!$W745,IF(F747="GSK",PR!$X745,IF(F747="GLOBORG",PR!$Y745,IF(F747="GOODNEWS",PR!$Z745,IF(F747="GREENLIFE",PR!$AA745,IF(F747="HLINE",PR!$AB745,IF(F747="ROTECH",PR!$AC745,IF(F747="ISN",PR!$AD745,IF(F747="JAWA",PR!$AE745,IF(F747="LAYO",PR!$AF745,IF(F747="LEADWAY",PR!$AG745,IF(F747="LHV",PR!$AH745,IF(F747="MANOLA",PR!$AI745,IF(F747="MARCSON",PR!$AJ745,IF(F747="M&amp;B",PR!$AK745,IF(F747="MTRUST",PR!$AL745,IF(F747="MWORLD",PR!$AM745,IF(F747="MEGA",PR!$AN745,IF(F747="MICRONOVA",PR!$AO745,IF(F747="MFLASH",PR!$AP745,IF(F747="MORISON",PR!$AQ745,IF(F747="NEMEL",PR!$AR745,IF(F747="NHP",PR!$AS745,IF(F747="NHC",PR!$AT745,IF(F747="OLEAF",PR!$AU745,IF(F747="OCULUS",PR!$AV745,IF(F747="PACIFIC",PR!$AW745,IF(F747="PHAMATEX",PR!$AX745,IF(F747="PETHICS",PR!$AY745,IF(F747="PHILIPS",PR!$AZ745,IF(F747="RANBAXY",PR!$BA745,IF(F747="REALS",PR!$BB745,IF(F747="ROYAL",PR!$BC745,IF(F747="SAM",PR!$BD745,IF(F747="SEAGREEN",PR!$BE745,IF(F747="SKG",PR!$BF745,IF(F747="TAH",PR!$BG745,IF(F747="TAYLEK",PR!$BH745,IF(F747="TEMITA",PR!$BI745,IF(F747="THL",PR!$BJ745,IF(F747="UBASTIC",PR!$BK745,IF(F747="UNION",PR!$BL745,IF(F747="UNIQUE",PR!$BM745,IF(F747="VIXA",PR!$BN745,IF(F747="WWCV",PR!$BO745,IF(F747="ZOLON",PR!$BP745,"-"))))))))))))))))))))))))))))))))))))))))))))))))))))))))))))))))</f>
        <v>5550</v>
      </c>
      <c r="F747" s="102" t="str">
        <f>EV!L961</f>
        <v>MORISON</v>
      </c>
      <c r="G747" s="108" t="str">
        <f>IF(H747="ALPHA",PR!$E745,IF(H747="ASSENE",PR!$F745,IF(H747="BIOFEM",PR!$G745,IF(H747="BIOMED",PR!$H745,IF(H747="CHI",PR!$I745,IF(H747="CLARION",PR!$J745,IF(H747="CODIX",PR!$K745,IF(H747="COSMADE",PR!$L745,IF(H747="SANCON",PR!$M745,IF(H747="DEVON",PR!$N745,IF(H747="DORTEMAG",PR!$O745,IF(H747="DGF",PR!$P745,IF(H747="DYNAMIC",PR!$Q745,IF(H747="EMZOR",PR!$R745,IF(H747="EUMATT",PR!$S745,IF(H747="FIDSON",PR!$T745,IF(H747="FCGLOBAL",PR!$U745,IF(H747="GENEITH",PR!$V745,IF(H747="GINOS",PR!$W745,IF(H747="GSK",PR!$X745,IF(H747="GLOBORG",PR!$Y745,IF(H747="GOODNEWS",PR!$Z745,IF(H747="GREENLIFE",PR!$AA745,IF(H747="HLINE",PR!$AB745,IF(H747="ROTECH",PR!$AC745,IF(H747="ISN",PR!$AD745,IF(H747="JAWA",PR!$AE745,IF(H747="LAYO",PR!$AF745,IF(H747="LEADWAY",PR!$AG745,IF(H747="LHV",PR!$AH745,IF(H747="MANOLA",PR!$AI745,IF(H747="MARCSON",PR!$AJ745,IF(H747="M&amp;B",PR!$AK745,IF(H747="MTRUST",PR!$AL745,IF(H747="MWORLD",PR!$AM745,IF(H747="MEGA",PR!$AN745,IF(H747="MICRONOVA",PR!$AO745,IF(H747="MFLASH",PR!$AP745,IF(H747="MORISON",PR!$AQ745,IF(H747="NEMEL",PR!$AR745,IF(H747="NHP",PR!$AS745,IF(H747="NHC",PR!$AT745,IF(H747="OLEAF",PR!$AU745,IF(H747="OCULUS",PR!$AV745,IF(H747="PACIFIC",PR!$AW745,IF(H747="PHAMATEX",PR!$AX745,IF(H747="PETHICS",PR!$AY745,IF(H747="PHILIPS",PR!$AZ745,IF(H747="RANBAXY",PR!$BA745,IF(H747="REALS",PR!$BB745,IF(H747="ROYAL",PR!$BC745,IF(H747="SAM",PR!$BD745,IF(H747="SEAGREEN",PR!$BE745,IF(H747="SKG",PR!$BF745,IF(H747="TAH",PR!$BG745,IF(H747="TAYLEK",PR!$BH745,IF(H747="TEMITA",PR!$BI745,IF(H747="THL",PR!$BJ745,IF(H747="UBASTIC",PR!$BK745,IF(H747="UNION",PR!$BL745,IF(H747="UNIQUE",PR!$BM745,IF(H747="VIXA",PR!$BN745,IF(H747="WWCV",PR!$BO745,IF(H747="ZOLON",PR!$BP745,"-"))))))))))))))))))))))))))))))))))))))))))))))))))))))))))))))))</f>
        <v>-</v>
      </c>
      <c r="H747" s="102">
        <f>EV!M961</f>
        <v>0</v>
      </c>
      <c r="I747" s="108" t="str">
        <f>IF(J747="ALPHA",PR!$E745,IF(J747="ASSENE",PR!$F745,IF(J747="BIOFEM",PR!$G745,IF(J747="BIOMED",PR!$H745,IF(J747="CHI",PR!$I745,IF(J747="CLARION",PR!$J745,IF(J747="CODIX",PR!$K745,IF(J747="COSMADE",PR!$L745,IF(J747="SANCON",PR!$M745,IF(J747="DEVON",PR!$N745,IF(J747="DORTEMAG",PR!$O745,IF(J747="DGF",PR!$P745,IF(J747="DYNAMIC",PR!$Q745,IF(J747="EMZOR",PR!$R745,IF(J747="EUMATT",PR!$S745,IF(J747="FIDSON",PR!$T745,IF(J747="FCGLOBAL",PR!$U745,IF(J747="GENEITH",PR!$V745,IF(J747="GINOS",PR!$W745,IF(J747="GSK",PR!$X745,IF(J747="GLOBORG",PR!$Y745,IF(J747="GOODNEWS",PR!$Z745,IF(J747="GREENLIFE",PR!$AA745,IF(J747="HLINE",PR!$AB745,IF(J747="ROTECH",PR!$AC745,IF(J747="ISN",PR!$AD745,IF(J747="JAWA",PR!$AE745,IF(J747="LAYO",PR!$AF745,IF(J747="LEADWAY",PR!$AG745,IF(J747="LHV",PR!$AH745,IF(J747="MANOLA",PR!$AI745,IF(J747="MARCSON",PR!$AJ745,IF(J747="M&amp;B",PR!$AK745,IF(J747="MTRUST",PR!$AL745,IF(J747="MWORLD",PR!$AM745,IF(J747="MEGA",PR!$AN745,IF(J747="MICRONOVA",PR!$AO745,IF(J747="MFLASH",PR!$AP745,IF(J747="MORISON",PR!$AQ745,IF(J747="NEMEL",PR!$AR745,IF(J747="NHP",PR!$AS745,IF(J747="NHC",PR!$AT745,IF(J747="OLEAF",PR!$AU745,IF(J747="OCULUS",PR!$AV745,IF(J747="PACIFIC",PR!$AW745,IF(J747="PHAMATEX",PR!$AX745,IF(J747="PETHICS",PR!$AY745,IF(J747="PHILIPS",PR!$AZ745,IF(J747="RANBAXY",PR!$BA745,IF(J747="REALS",PR!$BB745,IF(J747="ROYAL",PR!$BC745,IF(J747="SAM",PR!$BD745,IF(J747="SEAGREEN",PR!$BE745,IF(J747="SKG",PR!$BF745,IF(J747="TAH",PR!$BG745,IF(J747="TAYLEK",PR!$BH745,IF(J747="TEMITA",PR!$BI745,IF(J747="THL",PR!$BJ745,IF(J747="UBASTIC",PR!$BK745,IF(J747="UNION",PR!$BL745,IF(J747="UNIQUE",PR!$BM745,IF(J747="VIXA",PR!$BN745,IF(J747="WWCV",PR!$BO745,IF(J747="ZOLON",PR!$BP745,"-"))))))))))))))))))))))))))))))))))))))))))))))))))))))))))))))))</f>
        <v>-</v>
      </c>
      <c r="J747" s="102">
        <f>EV!N961</f>
        <v>0</v>
      </c>
      <c r="K747" s="433" t="s">
        <v>831</v>
      </c>
      <c r="L747" s="183">
        <f>IF(K747&gt;0,IF(K747="ALPHA",PR!$E745,IF(K747="ASSENE",PR!$F745,IF(K747="BIOFEM",PR!$G745,IF(K747="BIOMED",PR!$H745,IF(K747="CHI",PR!$I745,IF(K747="CLARION",PR!$J745,IF(K747="CODIX",PR!$K745,IF(K747="COSMADE",PR!$L745,IF(K747="SANCON",PR!$M745,IF(K747="DEVON",PR!$N745,IF(K747="DORTEMAG",PR!$O745,IF(K747="DGF",PR!$P745,IF(K747="DYNAMIC",PR!$Q745,IF(K747="EMZOR",PR!$R745,IF(K747="EUMATT",PR!$S745,IF(K747="FIDSON",PR!$T745,IF(K747="FCGLOBAL",PR!$U745,IF(K747="GENEITH",PR!$V745,IF(K747="GINOS",PR!$W745,IF(K747="GSK",PR!$X745,IF(K747="GLOBORG",PR!$Y745,IF(K747="GOODNEWS",PR!$Z745,IF(K747="GREENLIFE",PR!$AA745,IF(K747="HLINE",PR!$AB745,IF(K747="ROTECH",PR!$AC745,IF(K747="ISN",PR!$AD745,IF(K747="JAWA",PR!$AE745,IF(K747="LAYO",PR!$AF745,IF(K747="LEADWAY",PR!$AG745,IF(K747="LHV",PR!$AH745,IF(K747="MANOLA",PR!$AI745,IF(K747="MARCSON",PR!$AJ745,IF(K747="M&amp;B",PR!$AK745,IF(K747="MTRUST",PR!$AL745,IF(K747="MWORLD",PR!$AM745,IF(K747="MEGA",PR!$AN745,IF(K747="MICRONOVA",PR!$AO745,IF(K747="MFLASH",PR!$AP745,IF(K747="MORISON",PR!$AQ745,IF(K747="NEMEL",PR!$AR745,IF(K747="NHP",PR!$AS745,IF(K747="NHC",PR!$AT745,IF(K747="OLEAF",PR!$AU745,IF(K747="OCULUS",PR!$AV745,IF(K747="PACIFIC",PR!$AW745,IF(K747="PHAMATEX",PR!$AX745,IF(K747="PETHICS",PR!$AY745,IF(K747="PHILIPS",PR!$AZ745,IF(K747="RANBAXY",PR!$BA745,IF(K747="REALS",PR!$BB745,IF(K747="ROYAL",PR!$BC745,IF(K747="SAM",PR!$BD745,IF(K747="SEAGREEN",PR!$BE745,IF(K747="SKG",PR!$BF745,IF(K747="TAH",PR!$BG745,IF(K747="TAYLEK",PR!$BH745,IF(K747="TEMITA",PR!$BI745,IF(K747="THL",PR!$BJ745,IF(K747="UBASTIC",PR!$BK745,IF(K747="UNION",PR!$BL745,IF(K747="UNIQUE",PR!$BM745,IF(K747="VIXA",PR!$BN745,IF(K747="WWCV",PR!$BO745,IF(K747="ZOLON",PR!$BP745,"-")))))))))))))))))))))))))))))))))))))))))))))))))))))))))))))))))</f>
        <v>5550</v>
      </c>
    </row>
    <row r="748" spans="1:12" ht="18.75" x14ac:dyDescent="0.3">
      <c r="A748" s="430">
        <f>PR!A746</f>
        <v>678</v>
      </c>
      <c r="B748" s="15" t="str">
        <f>PR!B746</f>
        <v>METHYLATED SPIRIT B.P 100ML</v>
      </c>
      <c r="C748" s="113" t="str">
        <f>PR!D746</f>
        <v>BOTT</v>
      </c>
      <c r="D748" s="113">
        <f>PR!C746</f>
        <v>20000</v>
      </c>
      <c r="E748" s="108">
        <f>IF(F748="ALPHA",PR!$E746,IF(F748="ASSENE",PR!$F746,IF(F748="BIOFEM",PR!$G746,IF(F748="BIOMED",PR!$H746,IF(F748="CHI",PR!$I746,IF(F748="CLARION",PR!$J746,IF(F748="CODIX",PR!$K746,IF(F748="COSMADE",PR!$L746,IF(F748="SANCON",PR!$M746,IF(F748="DEVON",PR!$N746,IF(F748="DORTEMAG",PR!$O746,IF(F748="DGF",PR!$P746,IF(F748="DYNAMIC",PR!$Q746,IF(F748="EMZOR",PR!$R746,IF(F748="EUMATT",PR!$S746,IF(F748="FIDSON",PR!$T746,IF(F748="FCGLOBAL",PR!$U746,IF(F748="GENEITH",PR!$V746,IF(F748="GINOS",PR!$W746,IF(F748="GSK",PR!$X746,IF(F748="GLOBORG",PR!$Y746,IF(F748="GOODNEWS",PR!$Z746,IF(F748="GREENLIFE",PR!$AA746,IF(F748="HLINE",PR!$AB746,IF(F748="ROTECH",PR!$AC746,IF(F748="ISN",PR!$AD746,IF(F748="JAWA",PR!$AE746,IF(F748="LAYO",PR!$AF746,IF(F748="LEADWAY",PR!$AG746,IF(F748="LHV",PR!$AH746,IF(F748="MANOLA",PR!$AI746,IF(F748="MARCSON",PR!$AJ746,IF(F748="M&amp;B",PR!$AK746,IF(F748="MTRUST",PR!$AL746,IF(F748="MWORLD",PR!$AM746,IF(F748="MEGA",PR!$AN746,IF(F748="MICRONOVA",PR!$AO746,IF(F748="MFLASH",PR!$AP746,IF(F748="MORISON",PR!$AQ746,IF(F748="NEMEL",PR!$AR746,IF(F748="NHP",PR!$AS746,IF(F748="NHC",PR!$AT746,IF(F748="OLEAF",PR!$AU746,IF(F748="OCULUS",PR!$AV746,IF(F748="PACIFIC",PR!$AW746,IF(F748="PHAMATEX",PR!$AX746,IF(F748="PETHICS",PR!$AY746,IF(F748="PHILIPS",PR!$AZ746,IF(F748="RANBAXY",PR!$BA746,IF(F748="REALS",PR!$BB746,IF(F748="ROYAL",PR!$BC746,IF(F748="SAM",PR!$BD746,IF(F748="SEAGREEN",PR!$BE746,IF(F748="SKG",PR!$BF746,IF(F748="TAH",PR!$BG746,IF(F748="TAYLEK",PR!$BH746,IF(F748="TEMITA",PR!$BI746,IF(F748="THL",PR!$BJ746,IF(F748="UBASTIC",PR!$BK746,IF(F748="UNION",PR!$BL746,IF(F748="UNIQUE",PR!$BM746,IF(F748="VIXA",PR!$BN746,IF(F748="WWCV",PR!$BO746,IF(F748="ZOLON",PR!$BP746,"-"))))))))))))))))))))))))))))))))))))))))))))))))))))))))))))))))</f>
        <v>100</v>
      </c>
      <c r="F748" s="102" t="str">
        <f>EV!L962</f>
        <v>COSMADE</v>
      </c>
      <c r="G748" s="108">
        <f>IF(H748="ALPHA",PR!$E746,IF(H748="ASSENE",PR!$F746,IF(H748="BIOFEM",PR!$G746,IF(H748="BIOMED",PR!$H746,IF(H748="CHI",PR!$I746,IF(H748="CLARION",PR!$J746,IF(H748="CODIX",PR!$K746,IF(H748="COSMADE",PR!$L746,IF(H748="SANCON",PR!$M746,IF(H748="DEVON",PR!$N746,IF(H748="DORTEMAG",PR!$O746,IF(H748="DGF",PR!$P746,IF(H748="DYNAMIC",PR!$Q746,IF(H748="EMZOR",PR!$R746,IF(H748="EUMATT",PR!$S746,IF(H748="FIDSON",PR!$T746,IF(H748="FCGLOBAL",PR!$U746,IF(H748="GENEITH",PR!$V746,IF(H748="GINOS",PR!$W746,IF(H748="GSK",PR!$X746,IF(H748="GLOBORG",PR!$Y746,IF(H748="GOODNEWS",PR!$Z746,IF(H748="GREENLIFE",PR!$AA746,IF(H748="HLINE",PR!$AB746,IF(H748="ROTECH",PR!$AC746,IF(H748="ISN",PR!$AD746,IF(H748="JAWA",PR!$AE746,IF(H748="LAYO",PR!$AF746,IF(H748="LEADWAY",PR!$AG746,IF(H748="LHV",PR!$AH746,IF(H748="MANOLA",PR!$AI746,IF(H748="MARCSON",PR!$AJ746,IF(H748="M&amp;B",PR!$AK746,IF(H748="MTRUST",PR!$AL746,IF(H748="MWORLD",PR!$AM746,IF(H748="MEGA",PR!$AN746,IF(H748="MICRONOVA",PR!$AO746,IF(H748="MFLASH",PR!$AP746,IF(H748="MORISON",PR!$AQ746,IF(H748="NEMEL",PR!$AR746,IF(H748="NHP",PR!$AS746,IF(H748="NHC",PR!$AT746,IF(H748="OLEAF",PR!$AU746,IF(H748="OCULUS",PR!$AV746,IF(H748="PACIFIC",PR!$AW746,IF(H748="PHAMATEX",PR!$AX746,IF(H748="PETHICS",PR!$AY746,IF(H748="PHILIPS",PR!$AZ746,IF(H748="RANBAXY",PR!$BA746,IF(H748="REALS",PR!$BB746,IF(H748="ROYAL",PR!$BC746,IF(H748="SAM",PR!$BD746,IF(H748="SEAGREEN",PR!$BE746,IF(H748="SKG",PR!$BF746,IF(H748="TAH",PR!$BG746,IF(H748="TAYLEK",PR!$BH746,IF(H748="TEMITA",PR!$BI746,IF(H748="THL",PR!$BJ746,IF(H748="UBASTIC",PR!$BK746,IF(H748="UNION",PR!$BL746,IF(H748="UNIQUE",PR!$BM746,IF(H748="VIXA",PR!$BN746,IF(H748="WWCV",PR!$BO746,IF(H748="ZOLON",PR!$BP746,"-"))))))))))))))))))))))))))))))))))))))))))))))))))))))))))))))))</f>
        <v>120</v>
      </c>
      <c r="H748" s="102" t="str">
        <f>EV!M962</f>
        <v>ROYAL</v>
      </c>
      <c r="I748" s="108">
        <f>IF(J748="ALPHA",PR!$E746,IF(J748="ASSENE",PR!$F746,IF(J748="BIOFEM",PR!$G746,IF(J748="BIOMED",PR!$H746,IF(J748="CHI",PR!$I746,IF(J748="CLARION",PR!$J746,IF(J748="CODIX",PR!$K746,IF(J748="COSMADE",PR!$L746,IF(J748="SANCON",PR!$M746,IF(J748="DEVON",PR!$N746,IF(J748="DORTEMAG",PR!$O746,IF(J748="DGF",PR!$P746,IF(J748="DYNAMIC",PR!$Q746,IF(J748="EMZOR",PR!$R746,IF(J748="EUMATT",PR!$S746,IF(J748="FIDSON",PR!$T746,IF(J748="FCGLOBAL",PR!$U746,IF(J748="GENEITH",PR!$V746,IF(J748="GINOS",PR!$W746,IF(J748="GSK",PR!$X746,IF(J748="GLOBORG",PR!$Y746,IF(J748="GOODNEWS",PR!$Z746,IF(J748="GREENLIFE",PR!$AA746,IF(J748="HLINE",PR!$AB746,IF(J748="ROTECH",PR!$AC746,IF(J748="ISN",PR!$AD746,IF(J748="JAWA",PR!$AE746,IF(J748="LAYO",PR!$AF746,IF(J748="LEADWAY",PR!$AG746,IF(J748="LHV",PR!$AH746,IF(J748="MANOLA",PR!$AI746,IF(J748="MARCSON",PR!$AJ746,IF(J748="M&amp;B",PR!$AK746,IF(J748="MTRUST",PR!$AL746,IF(J748="MWORLD",PR!$AM746,IF(J748="MEGA",PR!$AN746,IF(J748="MICRONOVA",PR!$AO746,IF(J748="MFLASH",PR!$AP746,IF(J748="MORISON",PR!$AQ746,IF(J748="NEMEL",PR!$AR746,IF(J748="NHP",PR!$AS746,IF(J748="NHC",PR!$AT746,IF(J748="OLEAF",PR!$AU746,IF(J748="OCULUS",PR!$AV746,IF(J748="PACIFIC",PR!$AW746,IF(J748="PHAMATEX",PR!$AX746,IF(J748="PETHICS",PR!$AY746,IF(J748="PHILIPS",PR!$AZ746,IF(J748="RANBAXY",PR!$BA746,IF(J748="REALS",PR!$BB746,IF(J748="ROYAL",PR!$BC746,IF(J748="SAM",PR!$BD746,IF(J748="SEAGREEN",PR!$BE746,IF(J748="SKG",PR!$BF746,IF(J748="TAH",PR!$BG746,IF(J748="TAYLEK",PR!$BH746,IF(J748="TEMITA",PR!$BI746,IF(J748="THL",PR!$BJ746,IF(J748="UBASTIC",PR!$BK746,IF(J748="UNION",PR!$BL746,IF(J748="UNIQUE",PR!$BM746,IF(J748="VIXA",PR!$BN746,IF(J748="WWCV",PR!$BO746,IF(J748="ZOLON",PR!$BP746,"-"))))))))))))))))))))))))))))))))))))))))))))))))))))))))))))))))</f>
        <v>135</v>
      </c>
      <c r="J748" s="102" t="str">
        <f>EV!N962</f>
        <v>MORISON</v>
      </c>
      <c r="K748" s="433" t="s">
        <v>625</v>
      </c>
      <c r="L748" s="183">
        <f>IF(K748&gt;0,IF(K748="ALPHA",PR!$E746,IF(K748="ASSENE",PR!$F746,IF(K748="BIOFEM",PR!$G746,IF(K748="BIOMED",PR!$H746,IF(K748="CHI",PR!$I746,IF(K748="CLARION",PR!$J746,IF(K748="CODIX",PR!$K746,IF(K748="COSMADE",PR!$L746,IF(K748="SANCON",PR!$M746,IF(K748="DEVON",PR!$N746,IF(K748="DORTEMAG",PR!$O746,IF(K748="DGF",PR!$P746,IF(K748="DYNAMIC",PR!$Q746,IF(K748="EMZOR",PR!$R746,IF(K748="EUMATT",PR!$S746,IF(K748="FIDSON",PR!$T746,IF(K748="FCGLOBAL",PR!$U746,IF(K748="GENEITH",PR!$V746,IF(K748="GINOS",PR!$W746,IF(K748="GSK",PR!$X746,IF(K748="GLOBORG",PR!$Y746,IF(K748="GOODNEWS",PR!$Z746,IF(K748="GREENLIFE",PR!$AA746,IF(K748="HLINE",PR!$AB746,IF(K748="ROTECH",PR!$AC746,IF(K748="ISN",PR!$AD746,IF(K748="JAWA",PR!$AE746,IF(K748="LAYO",PR!$AF746,IF(K748="LEADWAY",PR!$AG746,IF(K748="LHV",PR!$AH746,IF(K748="MANOLA",PR!$AI746,IF(K748="MARCSON",PR!$AJ746,IF(K748="M&amp;B",PR!$AK746,IF(K748="MTRUST",PR!$AL746,IF(K748="MWORLD",PR!$AM746,IF(K748="MEGA",PR!$AN746,IF(K748="MICRONOVA",PR!$AO746,IF(K748="MFLASH",PR!$AP746,IF(K748="MORISON",PR!$AQ746,IF(K748="NEMEL",PR!$AR746,IF(K748="NHP",PR!$AS746,IF(K748="NHC",PR!$AT746,IF(K748="OLEAF",PR!$AU746,IF(K748="OCULUS",PR!$AV746,IF(K748="PACIFIC",PR!$AW746,IF(K748="PHAMATEX",PR!$AX746,IF(K748="PETHICS",PR!$AY746,IF(K748="PHILIPS",PR!$AZ746,IF(K748="RANBAXY",PR!$BA746,IF(K748="REALS",PR!$BB746,IF(K748="ROYAL",PR!$BC746,IF(K748="SAM",PR!$BD746,IF(K748="SEAGREEN",PR!$BE746,IF(K748="SKG",PR!$BF746,IF(K748="TAH",PR!$BG746,IF(K748="TAYLEK",PR!$BH746,IF(K748="TEMITA",PR!$BI746,IF(K748="THL",PR!$BJ746,IF(K748="UBASTIC",PR!$BK746,IF(K748="UNION",PR!$BL746,IF(K748="UNIQUE",PR!$BM746,IF(K748="VIXA",PR!$BN746,IF(K748="WWCV",PR!$BO746,IF(K748="ZOLON",PR!$BP746,"-")))))))))))))))))))))))))))))))))))))))))))))))))))))))))))))))))</f>
        <v>120</v>
      </c>
    </row>
    <row r="749" spans="1:12" ht="18.75" x14ac:dyDescent="0.3">
      <c r="A749" s="430">
        <f>PR!A747</f>
        <v>679</v>
      </c>
      <c r="B749" s="15" t="str">
        <f>PR!B747</f>
        <v>METHYLATED SPIRIT B.P 2L</v>
      </c>
      <c r="C749" s="113">
        <f>PR!D747</f>
        <v>1</v>
      </c>
      <c r="D749" s="113">
        <f>PR!C747</f>
        <v>440</v>
      </c>
      <c r="E749" s="108">
        <f>IF(F749="ALPHA",PR!$E747,IF(F749="ASSENE",PR!$F747,IF(F749="BIOFEM",PR!$G747,IF(F749="BIOMED",PR!$H747,IF(F749="CHI",PR!$I747,IF(F749="CLARION",PR!$J747,IF(F749="CODIX",PR!$K747,IF(F749="COSMADE",PR!$L747,IF(F749="SANCON",PR!$M747,IF(F749="DEVON",PR!$N747,IF(F749="DORTEMAG",PR!$O747,IF(F749="DGF",PR!$P747,IF(F749="DYNAMIC",PR!$Q747,IF(F749="EMZOR",PR!$R747,IF(F749="EUMATT",PR!$S747,IF(F749="FIDSON",PR!$T747,IF(F749="FCGLOBAL",PR!$U747,IF(F749="GENEITH",PR!$V747,IF(F749="GINOS",PR!$W747,IF(F749="GSK",PR!$X747,IF(F749="GLOBORG",PR!$Y747,IF(F749="GOODNEWS",PR!$Z747,IF(F749="GREENLIFE",PR!$AA747,IF(F749="HLINE",PR!$AB747,IF(F749="ROTECH",PR!$AC747,IF(F749="ISN",PR!$AD747,IF(F749="JAWA",PR!$AE747,IF(F749="LAYO",PR!$AF747,IF(F749="LEADWAY",PR!$AG747,IF(F749="LHV",PR!$AH747,IF(F749="MANOLA",PR!$AI747,IF(F749="MARCSON",PR!$AJ747,IF(F749="M&amp;B",PR!$AK747,IF(F749="MTRUST",PR!$AL747,IF(F749="MWORLD",PR!$AM747,IF(F749="MEGA",PR!$AN747,IF(F749="MICRONOVA",PR!$AO747,IF(F749="MFLASH",PR!$AP747,IF(F749="MORISON",PR!$AQ747,IF(F749="NEMEL",PR!$AR747,IF(F749="NHP",PR!$AS747,IF(F749="NHC",PR!$AT747,IF(F749="OLEAF",PR!$AU747,IF(F749="OCULUS",PR!$AV747,IF(F749="PACIFIC",PR!$AW747,IF(F749="PHAMATEX",PR!$AX747,IF(F749="PETHICS",PR!$AY747,IF(F749="PHILIPS",PR!$AZ747,IF(F749="RANBAXY",PR!$BA747,IF(F749="REALS",PR!$BB747,IF(F749="ROYAL",PR!$BC747,IF(F749="SAM",PR!$BD747,IF(F749="SEAGREEN",PR!$BE747,IF(F749="SKG",PR!$BF747,IF(F749="TAH",PR!$BG747,IF(F749="TAYLEK",PR!$BH747,IF(F749="TEMITA",PR!$BI747,IF(F749="THL",PR!$BJ747,IF(F749="UBASTIC",PR!$BK747,IF(F749="UNION",PR!$BL747,IF(F749="UNIQUE",PR!$BM747,IF(F749="VIXA",PR!$BN747,IF(F749="WWCV",PR!$BO747,IF(F749="ZOLON",PR!$BP747,"-"))))))))))))))))))))))))))))))))))))))))))))))))))))))))))))))))</f>
        <v>750</v>
      </c>
      <c r="F749" s="102" t="str">
        <f>EV!L963</f>
        <v>COSMADE</v>
      </c>
      <c r="G749" s="108">
        <f>IF(H749="ALPHA",PR!$E747,IF(H749="ASSENE",PR!$F747,IF(H749="BIOFEM",PR!$G747,IF(H749="BIOMED",PR!$H747,IF(H749="CHI",PR!$I747,IF(H749="CLARION",PR!$J747,IF(H749="CODIX",PR!$K747,IF(H749="COSMADE",PR!$L747,IF(H749="SANCON",PR!$M747,IF(H749="DEVON",PR!$N747,IF(H749="DORTEMAG",PR!$O747,IF(H749="DGF",PR!$P747,IF(H749="DYNAMIC",PR!$Q747,IF(H749="EMZOR",PR!$R747,IF(H749="EUMATT",PR!$S747,IF(H749="FIDSON",PR!$T747,IF(H749="FCGLOBAL",PR!$U747,IF(H749="GENEITH",PR!$V747,IF(H749="GINOS",PR!$W747,IF(H749="GSK",PR!$X747,IF(H749="GLOBORG",PR!$Y747,IF(H749="GOODNEWS",PR!$Z747,IF(H749="GREENLIFE",PR!$AA747,IF(H749="HLINE",PR!$AB747,IF(H749="ROTECH",PR!$AC747,IF(H749="ISN",PR!$AD747,IF(H749="JAWA",PR!$AE747,IF(H749="LAYO",PR!$AF747,IF(H749="LEADWAY",PR!$AG747,IF(H749="LHV",PR!$AH747,IF(H749="MANOLA",PR!$AI747,IF(H749="MARCSON",PR!$AJ747,IF(H749="M&amp;B",PR!$AK747,IF(H749="MTRUST",PR!$AL747,IF(H749="MWORLD",PR!$AM747,IF(H749="MEGA",PR!$AN747,IF(H749="MICRONOVA",PR!$AO747,IF(H749="MFLASH",PR!$AP747,IF(H749="MORISON",PR!$AQ747,IF(H749="NEMEL",PR!$AR747,IF(H749="NHP",PR!$AS747,IF(H749="NHC",PR!$AT747,IF(H749="OLEAF",PR!$AU747,IF(H749="OCULUS",PR!$AV747,IF(H749="PACIFIC",PR!$AW747,IF(H749="PHAMATEX",PR!$AX747,IF(H749="PETHICS",PR!$AY747,IF(H749="PHILIPS",PR!$AZ747,IF(H749="RANBAXY",PR!$BA747,IF(H749="REALS",PR!$BB747,IF(H749="ROYAL",PR!$BC747,IF(H749="SAM",PR!$BD747,IF(H749="SEAGREEN",PR!$BE747,IF(H749="SKG",PR!$BF747,IF(H749="TAH",PR!$BG747,IF(H749="TAYLEK",PR!$BH747,IF(H749="TEMITA",PR!$BI747,IF(H749="THL",PR!$BJ747,IF(H749="UBASTIC",PR!$BK747,IF(H749="UNION",PR!$BL747,IF(H749="UNIQUE",PR!$BM747,IF(H749="VIXA",PR!$BN747,IF(H749="WWCV",PR!$BO747,IF(H749="ZOLON",PR!$BP747,"-"))))))))))))))))))))))))))))))))))))))))))))))))))))))))))))))))</f>
        <v>1100</v>
      </c>
      <c r="H749" s="102" t="str">
        <f>EV!M963</f>
        <v>ROYAL</v>
      </c>
      <c r="I749" s="108">
        <f>IF(J749="ALPHA",PR!$E747,IF(J749="ASSENE",PR!$F747,IF(J749="BIOFEM",PR!$G747,IF(J749="BIOMED",PR!$H747,IF(J749="CHI",PR!$I747,IF(J749="CLARION",PR!$J747,IF(J749="CODIX",PR!$K747,IF(J749="COSMADE",PR!$L747,IF(J749="SANCON",PR!$M747,IF(J749="DEVON",PR!$N747,IF(J749="DORTEMAG",PR!$O747,IF(J749="DGF",PR!$P747,IF(J749="DYNAMIC",PR!$Q747,IF(J749="EMZOR",PR!$R747,IF(J749="EUMATT",PR!$S747,IF(J749="FIDSON",PR!$T747,IF(J749="FCGLOBAL",PR!$U747,IF(J749="GENEITH",PR!$V747,IF(J749="GINOS",PR!$W747,IF(J749="GSK",PR!$X747,IF(J749="GLOBORG",PR!$Y747,IF(J749="GOODNEWS",PR!$Z747,IF(J749="GREENLIFE",PR!$AA747,IF(J749="HLINE",PR!$AB747,IF(J749="ROTECH",PR!$AC747,IF(J749="ISN",PR!$AD747,IF(J749="JAWA",PR!$AE747,IF(J749="LAYO",PR!$AF747,IF(J749="LEADWAY",PR!$AG747,IF(J749="LHV",PR!$AH747,IF(J749="MANOLA",PR!$AI747,IF(J749="MARCSON",PR!$AJ747,IF(J749="M&amp;B",PR!$AK747,IF(J749="MTRUST",PR!$AL747,IF(J749="MWORLD",PR!$AM747,IF(J749="MEGA",PR!$AN747,IF(J749="MICRONOVA",PR!$AO747,IF(J749="MFLASH",PR!$AP747,IF(J749="MORISON",PR!$AQ747,IF(J749="NEMEL",PR!$AR747,IF(J749="NHP",PR!$AS747,IF(J749="NHC",PR!$AT747,IF(J749="OLEAF",PR!$AU747,IF(J749="OCULUS",PR!$AV747,IF(J749="PACIFIC",PR!$AW747,IF(J749="PHAMATEX",PR!$AX747,IF(J749="PETHICS",PR!$AY747,IF(J749="PHILIPS",PR!$AZ747,IF(J749="RANBAXY",PR!$BA747,IF(J749="REALS",PR!$BB747,IF(J749="ROYAL",PR!$BC747,IF(J749="SAM",PR!$BD747,IF(J749="SEAGREEN",PR!$BE747,IF(J749="SKG",PR!$BF747,IF(J749="TAH",PR!$BG747,IF(J749="TAYLEK",PR!$BH747,IF(J749="TEMITA",PR!$BI747,IF(J749="THL",PR!$BJ747,IF(J749="UBASTIC",PR!$BK747,IF(J749="UNION",PR!$BL747,IF(J749="UNIQUE",PR!$BM747,IF(J749="VIXA",PR!$BN747,IF(J749="WWCV",PR!$BO747,IF(J749="ZOLON",PR!$BP747,"-"))))))))))))))))))))))))))))))))))))))))))))))))))))))))))))))))</f>
        <v>1650</v>
      </c>
      <c r="J749" s="102" t="str">
        <f>EV!N963</f>
        <v>MORISON</v>
      </c>
      <c r="K749" s="433" t="s">
        <v>625</v>
      </c>
      <c r="L749" s="183">
        <f>IF(K749&gt;0,IF(K749="ALPHA",PR!$E747,IF(K749="ASSENE",PR!$F747,IF(K749="BIOFEM",PR!$G747,IF(K749="BIOMED",PR!$H747,IF(K749="CHI",PR!$I747,IF(K749="CLARION",PR!$J747,IF(K749="CODIX",PR!$K747,IF(K749="COSMADE",PR!$L747,IF(K749="SANCON",PR!$M747,IF(K749="DEVON",PR!$N747,IF(K749="DORTEMAG",PR!$O747,IF(K749="DGF",PR!$P747,IF(K749="DYNAMIC",PR!$Q747,IF(K749="EMZOR",PR!$R747,IF(K749="EUMATT",PR!$S747,IF(K749="FIDSON",PR!$T747,IF(K749="FCGLOBAL",PR!$U747,IF(K749="GENEITH",PR!$V747,IF(K749="GINOS",PR!$W747,IF(K749="GSK",PR!$X747,IF(K749="GLOBORG",PR!$Y747,IF(K749="GOODNEWS",PR!$Z747,IF(K749="GREENLIFE",PR!$AA747,IF(K749="HLINE",PR!$AB747,IF(K749="ROTECH",PR!$AC747,IF(K749="ISN",PR!$AD747,IF(K749="JAWA",PR!$AE747,IF(K749="LAYO",PR!$AF747,IF(K749="LEADWAY",PR!$AG747,IF(K749="LHV",PR!$AH747,IF(K749="MANOLA",PR!$AI747,IF(K749="MARCSON",PR!$AJ747,IF(K749="M&amp;B",PR!$AK747,IF(K749="MTRUST",PR!$AL747,IF(K749="MWORLD",PR!$AM747,IF(K749="MEGA",PR!$AN747,IF(K749="MICRONOVA",PR!$AO747,IF(K749="MFLASH",PR!$AP747,IF(K749="MORISON",PR!$AQ747,IF(K749="NEMEL",PR!$AR747,IF(K749="NHP",PR!$AS747,IF(K749="NHC",PR!$AT747,IF(K749="OLEAF",PR!$AU747,IF(K749="OCULUS",PR!$AV747,IF(K749="PACIFIC",PR!$AW747,IF(K749="PHAMATEX",PR!$AX747,IF(K749="PETHICS",PR!$AY747,IF(K749="PHILIPS",PR!$AZ747,IF(K749="RANBAXY",PR!$BA747,IF(K749="REALS",PR!$BB747,IF(K749="ROYAL",PR!$BC747,IF(K749="SAM",PR!$BD747,IF(K749="SEAGREEN",PR!$BE747,IF(K749="SKG",PR!$BF747,IF(K749="TAH",PR!$BG747,IF(K749="TAYLEK",PR!$BH747,IF(K749="TEMITA",PR!$BI747,IF(K749="THL",PR!$BJ747,IF(K749="UBASTIC",PR!$BK747,IF(K749="UNION",PR!$BL747,IF(K749="UNIQUE",PR!$BM747,IF(K749="VIXA",PR!$BN747,IF(K749="WWCV",PR!$BO747,IF(K749="ZOLON",PR!$BP747,"-")))))))))))))))))))))))))))))))))))))))))))))))))))))))))))))))))</f>
        <v>1100</v>
      </c>
    </row>
    <row r="750" spans="1:12" ht="18.75" x14ac:dyDescent="0.3">
      <c r="A750" s="430">
        <f>PR!A748</f>
        <v>680</v>
      </c>
      <c r="B750" s="15" t="str">
        <f>PR!B748</f>
        <v>MORIGAD DISINFECTANT (4 LITRES)</v>
      </c>
      <c r="C750" s="113" t="str">
        <f>PR!D748</f>
        <v>KEG</v>
      </c>
      <c r="D750" s="113">
        <f>PR!C748</f>
        <v>12</v>
      </c>
      <c r="E750" s="108">
        <f>IF(F750="ALPHA",PR!$E748,IF(F750="ASSENE",PR!$F748,IF(F750="BIOFEM",PR!$G748,IF(F750="BIOMED",PR!$H748,IF(F750="CHI",PR!$I748,IF(F750="CLARION",PR!$J748,IF(F750="CODIX",PR!$K748,IF(F750="COSMADE",PR!$L748,IF(F750="SANCON",PR!$M748,IF(F750="DEVON",PR!$N748,IF(F750="DORTEMAG",PR!$O748,IF(F750="DGF",PR!$P748,IF(F750="DYNAMIC",PR!$Q748,IF(F750="EMZOR",PR!$R748,IF(F750="EUMATT",PR!$S748,IF(F750="FIDSON",PR!$T748,IF(F750="FCGLOBAL",PR!$U748,IF(F750="GENEITH",PR!$V748,IF(F750="GINOS",PR!$W748,IF(F750="GSK",PR!$X748,IF(F750="GLOBORG",PR!$Y748,IF(F750="GOODNEWS",PR!$Z748,IF(F750="GREENLIFE",PR!$AA748,IF(F750="HLINE",PR!$AB748,IF(F750="ROTECH",PR!$AC748,IF(F750="ISN",PR!$AD748,IF(F750="JAWA",PR!$AE748,IF(F750="LAYO",PR!$AF748,IF(F750="LEADWAY",PR!$AG748,IF(F750="LHV",PR!$AH748,IF(F750="MANOLA",PR!$AI748,IF(F750="MARCSON",PR!$AJ748,IF(F750="M&amp;B",PR!$AK748,IF(F750="MTRUST",PR!$AL748,IF(F750="MWORLD",PR!$AM748,IF(F750="MEGA",PR!$AN748,IF(F750="MICRONOVA",PR!$AO748,IF(F750="MFLASH",PR!$AP748,IF(F750="MORISON",PR!$AQ748,IF(F750="NEMEL",PR!$AR748,IF(F750="NHP",PR!$AS748,IF(F750="NHC",PR!$AT748,IF(F750="OLEAF",PR!$AU748,IF(F750="OCULUS",PR!$AV748,IF(F750="PACIFIC",PR!$AW748,IF(F750="PHAMATEX",PR!$AX748,IF(F750="PETHICS",PR!$AY748,IF(F750="PHILIPS",PR!$AZ748,IF(F750="RANBAXY",PR!$BA748,IF(F750="REALS",PR!$BB748,IF(F750="ROYAL",PR!$BC748,IF(F750="SAM",PR!$BD748,IF(F750="SEAGREEN",PR!$BE748,IF(F750="SKG",PR!$BF748,IF(F750="TAH",PR!$BG748,IF(F750="TAYLEK",PR!$BH748,IF(F750="TEMITA",PR!$BI748,IF(F750="THL",PR!$BJ748,IF(F750="UBASTIC",PR!$BK748,IF(F750="UNION",PR!$BL748,IF(F750="UNIQUE",PR!$BM748,IF(F750="VIXA",PR!$BN748,IF(F750="WWCV",PR!$BO748,IF(F750="ZOLON",PR!$BP748,"-"))))))))))))))))))))))))))))))))))))))))))))))))))))))))))))))))</f>
        <v>5175</v>
      </c>
      <c r="F750" s="102" t="str">
        <f>EV!L964</f>
        <v>MORISON</v>
      </c>
      <c r="G750" s="108" t="str">
        <f>IF(H750="ALPHA",PR!$E748,IF(H750="ASSENE",PR!$F748,IF(H750="BIOFEM",PR!$G748,IF(H750="BIOMED",PR!$H748,IF(H750="CHI",PR!$I748,IF(H750="CLARION",PR!$J748,IF(H750="CODIX",PR!$K748,IF(H750="COSMADE",PR!$L748,IF(H750="SANCON",PR!$M748,IF(H750="DEVON",PR!$N748,IF(H750="DORTEMAG",PR!$O748,IF(H750="DGF",PR!$P748,IF(H750="DYNAMIC",PR!$Q748,IF(H750="EMZOR",PR!$R748,IF(H750="EUMATT",PR!$S748,IF(H750="FIDSON",PR!$T748,IF(H750="FCGLOBAL",PR!$U748,IF(H750="GENEITH",PR!$V748,IF(H750="GINOS",PR!$W748,IF(H750="GSK",PR!$X748,IF(H750="GLOBORG",PR!$Y748,IF(H750="GOODNEWS",PR!$Z748,IF(H750="GREENLIFE",PR!$AA748,IF(H750="HLINE",PR!$AB748,IF(H750="ROTECH",PR!$AC748,IF(H750="ISN",PR!$AD748,IF(H750="JAWA",PR!$AE748,IF(H750="LAYO",PR!$AF748,IF(H750="LEADWAY",PR!$AG748,IF(H750="LHV",PR!$AH748,IF(H750="MANOLA",PR!$AI748,IF(H750="MARCSON",PR!$AJ748,IF(H750="M&amp;B",PR!$AK748,IF(H750="MTRUST",PR!$AL748,IF(H750="MWORLD",PR!$AM748,IF(H750="MEGA",PR!$AN748,IF(H750="MICRONOVA",PR!$AO748,IF(H750="MFLASH",PR!$AP748,IF(H750="MORISON",PR!$AQ748,IF(H750="NEMEL",PR!$AR748,IF(H750="NHP",PR!$AS748,IF(H750="NHC",PR!$AT748,IF(H750="OLEAF",PR!$AU748,IF(H750="OCULUS",PR!$AV748,IF(H750="PACIFIC",PR!$AW748,IF(H750="PHAMATEX",PR!$AX748,IF(H750="PETHICS",PR!$AY748,IF(H750="PHILIPS",PR!$AZ748,IF(H750="RANBAXY",PR!$BA748,IF(H750="REALS",PR!$BB748,IF(H750="ROYAL",PR!$BC748,IF(H750="SAM",PR!$BD748,IF(H750="SEAGREEN",PR!$BE748,IF(H750="SKG",PR!$BF748,IF(H750="TAH",PR!$BG748,IF(H750="TAYLEK",PR!$BH748,IF(H750="TEMITA",PR!$BI748,IF(H750="THL",PR!$BJ748,IF(H750="UBASTIC",PR!$BK748,IF(H750="UNION",PR!$BL748,IF(H750="UNIQUE",PR!$BM748,IF(H750="VIXA",PR!$BN748,IF(H750="WWCV",PR!$BO748,IF(H750="ZOLON",PR!$BP748,"-"))))))))))))))))))))))))))))))))))))))))))))))))))))))))))))))))</f>
        <v>-</v>
      </c>
      <c r="H750" s="102">
        <f>EV!M964</f>
        <v>0</v>
      </c>
      <c r="I750" s="108" t="str">
        <f>IF(J750="ALPHA",PR!$E748,IF(J750="ASSENE",PR!$F748,IF(J750="BIOFEM",PR!$G748,IF(J750="BIOMED",PR!$H748,IF(J750="CHI",PR!$I748,IF(J750="CLARION",PR!$J748,IF(J750="CODIX",PR!$K748,IF(J750="COSMADE",PR!$L748,IF(J750="SANCON",PR!$M748,IF(J750="DEVON",PR!$N748,IF(J750="DORTEMAG",PR!$O748,IF(J750="DGF",PR!$P748,IF(J750="DYNAMIC",PR!$Q748,IF(J750="EMZOR",PR!$R748,IF(J750="EUMATT",PR!$S748,IF(J750="FIDSON",PR!$T748,IF(J750="FCGLOBAL",PR!$U748,IF(J750="GENEITH",PR!$V748,IF(J750="GINOS",PR!$W748,IF(J750="GSK",PR!$X748,IF(J750="GLOBORG",PR!$Y748,IF(J750="GOODNEWS",PR!$Z748,IF(J750="GREENLIFE",PR!$AA748,IF(J750="HLINE",PR!$AB748,IF(J750="ROTECH",PR!$AC748,IF(J750="ISN",PR!$AD748,IF(J750="JAWA",PR!$AE748,IF(J750="LAYO",PR!$AF748,IF(J750="LEADWAY",PR!$AG748,IF(J750="LHV",PR!$AH748,IF(J750="MANOLA",PR!$AI748,IF(J750="MARCSON",PR!$AJ748,IF(J750="M&amp;B",PR!$AK748,IF(J750="MTRUST",PR!$AL748,IF(J750="MWORLD",PR!$AM748,IF(J750="MEGA",PR!$AN748,IF(J750="MICRONOVA",PR!$AO748,IF(J750="MFLASH",PR!$AP748,IF(J750="MORISON",PR!$AQ748,IF(J750="NEMEL",PR!$AR748,IF(J750="NHP",PR!$AS748,IF(J750="NHC",PR!$AT748,IF(J750="OLEAF",PR!$AU748,IF(J750="OCULUS",PR!$AV748,IF(J750="PACIFIC",PR!$AW748,IF(J750="PHAMATEX",PR!$AX748,IF(J750="PETHICS",PR!$AY748,IF(J750="PHILIPS",PR!$AZ748,IF(J750="RANBAXY",PR!$BA748,IF(J750="REALS",PR!$BB748,IF(J750="ROYAL",PR!$BC748,IF(J750="SAM",PR!$BD748,IF(J750="SEAGREEN",PR!$BE748,IF(J750="SKG",PR!$BF748,IF(J750="TAH",PR!$BG748,IF(J750="TAYLEK",PR!$BH748,IF(J750="TEMITA",PR!$BI748,IF(J750="THL",PR!$BJ748,IF(J750="UBASTIC",PR!$BK748,IF(J750="UNION",PR!$BL748,IF(J750="UNIQUE",PR!$BM748,IF(J750="VIXA",PR!$BN748,IF(J750="WWCV",PR!$BO748,IF(J750="ZOLON",PR!$BP748,"-"))))))))))))))))))))))))))))))))))))))))))))))))))))))))))))))))</f>
        <v>-</v>
      </c>
      <c r="J750" s="102">
        <f>EV!N964</f>
        <v>0</v>
      </c>
      <c r="K750" s="433" t="s">
        <v>831</v>
      </c>
      <c r="L750" s="183">
        <f>IF(K750&gt;0,IF(K750="ALPHA",PR!$E748,IF(K750="ASSENE",PR!$F748,IF(K750="BIOFEM",PR!$G748,IF(K750="BIOMED",PR!$H748,IF(K750="CHI",PR!$I748,IF(K750="CLARION",PR!$J748,IF(K750="CODIX",PR!$K748,IF(K750="COSMADE",PR!$L748,IF(K750="SANCON",PR!$M748,IF(K750="DEVON",PR!$N748,IF(K750="DORTEMAG",PR!$O748,IF(K750="DGF",PR!$P748,IF(K750="DYNAMIC",PR!$Q748,IF(K750="EMZOR",PR!$R748,IF(K750="EUMATT",PR!$S748,IF(K750="FIDSON",PR!$T748,IF(K750="FCGLOBAL",PR!$U748,IF(K750="GENEITH",PR!$V748,IF(K750="GINOS",PR!$W748,IF(K750="GSK",PR!$X748,IF(K750="GLOBORG",PR!$Y748,IF(K750="GOODNEWS",PR!$Z748,IF(K750="GREENLIFE",PR!$AA748,IF(K750="HLINE",PR!$AB748,IF(K750="ROTECH",PR!$AC748,IF(K750="ISN",PR!$AD748,IF(K750="JAWA",PR!$AE748,IF(K750="LAYO",PR!$AF748,IF(K750="LEADWAY",PR!$AG748,IF(K750="LHV",PR!$AH748,IF(K750="MANOLA",PR!$AI748,IF(K750="MARCSON",PR!$AJ748,IF(K750="M&amp;B",PR!$AK748,IF(K750="MTRUST",PR!$AL748,IF(K750="MWORLD",PR!$AM748,IF(K750="MEGA",PR!$AN748,IF(K750="MICRONOVA",PR!$AO748,IF(K750="MFLASH",PR!$AP748,IF(K750="MORISON",PR!$AQ748,IF(K750="NEMEL",PR!$AR748,IF(K750="NHP",PR!$AS748,IF(K750="NHC",PR!$AT748,IF(K750="OLEAF",PR!$AU748,IF(K750="OCULUS",PR!$AV748,IF(K750="PACIFIC",PR!$AW748,IF(K750="PHAMATEX",PR!$AX748,IF(K750="PETHICS",PR!$AY748,IF(K750="PHILIPS",PR!$AZ748,IF(K750="RANBAXY",PR!$BA748,IF(K750="REALS",PR!$BB748,IF(K750="ROYAL",PR!$BC748,IF(K750="SAM",PR!$BD748,IF(K750="SEAGREEN",PR!$BE748,IF(K750="SKG",PR!$BF748,IF(K750="TAH",PR!$BG748,IF(K750="TAYLEK",PR!$BH748,IF(K750="TEMITA",PR!$BI748,IF(K750="THL",PR!$BJ748,IF(K750="UBASTIC",PR!$BK748,IF(K750="UNION",PR!$BL748,IF(K750="UNIQUE",PR!$BM748,IF(K750="VIXA",PR!$BN748,IF(K750="WWCV",PR!$BO748,IF(K750="ZOLON",PR!$BP748,"-")))))))))))))))))))))))))))))))))))))))))))))))))))))))))))))))))</f>
        <v>5175</v>
      </c>
    </row>
    <row r="751" spans="1:12" ht="18.75" x14ac:dyDescent="0.3">
      <c r="A751" s="430">
        <f>PR!A749</f>
        <v>681</v>
      </c>
      <c r="B751" s="15" t="str">
        <f>PR!B749</f>
        <v>POVIDONE IODINE 100ML 5% (100ML)</v>
      </c>
      <c r="C751" s="113" t="str">
        <f>PR!D749</f>
        <v>BOTT</v>
      </c>
      <c r="D751" s="113">
        <f>PR!C749</f>
        <v>500</v>
      </c>
      <c r="E751" s="108">
        <f>IF(F751="ALPHA",PR!$E749,IF(F751="ASSENE",PR!$F749,IF(F751="BIOFEM",PR!$G749,IF(F751="BIOMED",PR!$H749,IF(F751="CHI",PR!$I749,IF(F751="CLARION",PR!$J749,IF(F751="CODIX",PR!$K749,IF(F751="COSMADE",PR!$L749,IF(F751="SANCON",PR!$M749,IF(F751="DEVON",PR!$N749,IF(F751="DORTEMAG",PR!$O749,IF(F751="DGF",PR!$P749,IF(F751="DYNAMIC",PR!$Q749,IF(F751="EMZOR",PR!$R749,IF(F751="EUMATT",PR!$S749,IF(F751="FIDSON",PR!$T749,IF(F751="FCGLOBAL",PR!$U749,IF(F751="GENEITH",PR!$V749,IF(F751="GINOS",PR!$W749,IF(F751="GSK",PR!$X749,IF(F751="GLOBORG",PR!$Y749,IF(F751="GOODNEWS",PR!$Z749,IF(F751="GREENLIFE",PR!$AA749,IF(F751="HLINE",PR!$AB749,IF(F751="ROTECH",PR!$AC749,IF(F751="ISN",PR!$AD749,IF(F751="JAWA",PR!$AE749,IF(F751="LAYO",PR!$AF749,IF(F751="LEADWAY",PR!$AG749,IF(F751="LHV",PR!$AH749,IF(F751="MANOLA",PR!$AI749,IF(F751="MARCSON",PR!$AJ749,IF(F751="M&amp;B",PR!$AK749,IF(F751="MTRUST",PR!$AL749,IF(F751="MWORLD",PR!$AM749,IF(F751="MEGA",PR!$AN749,IF(F751="MICRONOVA",PR!$AO749,IF(F751="MFLASH",PR!$AP749,IF(F751="MORISON",PR!$AQ749,IF(F751="NEMEL",PR!$AR749,IF(F751="NHP",PR!$AS749,IF(F751="NHC",PR!$AT749,IF(F751="OLEAF",PR!$AU749,IF(F751="OCULUS",PR!$AV749,IF(F751="PACIFIC",PR!$AW749,IF(F751="PHAMATEX",PR!$AX749,IF(F751="PETHICS",PR!$AY749,IF(F751="PHILIPS",PR!$AZ749,IF(F751="RANBAXY",PR!$BA749,IF(F751="REALS",PR!$BB749,IF(F751="ROYAL",PR!$BC749,IF(F751="SAM",PR!$BD749,IF(F751="SEAGREEN",PR!$BE749,IF(F751="SKG",PR!$BF749,IF(F751="TAH",PR!$BG749,IF(F751="TAYLEK",PR!$BH749,IF(F751="TEMITA",PR!$BI749,IF(F751="THL",PR!$BJ749,IF(F751="UBASTIC",PR!$BK749,IF(F751="UNION",PR!$BL749,IF(F751="UNIQUE",PR!$BM749,IF(F751="VIXA",PR!$BN749,IF(F751="WWCV",PR!$BO749,IF(F751="ZOLON",PR!$BP749,"-"))))))))))))))))))))))))))))))))))))))))))))))))))))))))))))))))</f>
        <v>225</v>
      </c>
      <c r="F751" s="102" t="str">
        <f>EV!L965</f>
        <v>JAWA</v>
      </c>
      <c r="G751" s="108">
        <f>IF(H751="ALPHA",PR!$E749,IF(H751="ASSENE",PR!$F749,IF(H751="BIOFEM",PR!$G749,IF(H751="BIOMED",PR!$H749,IF(H751="CHI",PR!$I749,IF(H751="CLARION",PR!$J749,IF(H751="CODIX",PR!$K749,IF(H751="COSMADE",PR!$L749,IF(H751="SANCON",PR!$M749,IF(H751="DEVON",PR!$N749,IF(H751="DORTEMAG",PR!$O749,IF(H751="DGF",PR!$P749,IF(H751="DYNAMIC",PR!$Q749,IF(H751="EMZOR",PR!$R749,IF(H751="EUMATT",PR!$S749,IF(H751="FIDSON",PR!$T749,IF(H751="FCGLOBAL",PR!$U749,IF(H751="GENEITH",PR!$V749,IF(H751="GINOS",PR!$W749,IF(H751="GSK",PR!$X749,IF(H751="GLOBORG",PR!$Y749,IF(H751="GOODNEWS",PR!$Z749,IF(H751="GREENLIFE",PR!$AA749,IF(H751="HLINE",PR!$AB749,IF(H751="ROTECH",PR!$AC749,IF(H751="ISN",PR!$AD749,IF(H751="JAWA",PR!$AE749,IF(H751="LAYO",PR!$AF749,IF(H751="LEADWAY",PR!$AG749,IF(H751="LHV",PR!$AH749,IF(H751="MANOLA",PR!$AI749,IF(H751="MARCSON",PR!$AJ749,IF(H751="M&amp;B",PR!$AK749,IF(H751="MTRUST",PR!$AL749,IF(H751="MWORLD",PR!$AM749,IF(H751="MEGA",PR!$AN749,IF(H751="MICRONOVA",PR!$AO749,IF(H751="MFLASH",PR!$AP749,IF(H751="MORISON",PR!$AQ749,IF(H751="NEMEL",PR!$AR749,IF(H751="NHP",PR!$AS749,IF(H751="NHC",PR!$AT749,IF(H751="OLEAF",PR!$AU749,IF(H751="OCULUS",PR!$AV749,IF(H751="PACIFIC",PR!$AW749,IF(H751="PHAMATEX",PR!$AX749,IF(H751="PETHICS",PR!$AY749,IF(H751="PHILIPS",PR!$AZ749,IF(H751="RANBAXY",PR!$BA749,IF(H751="REALS",PR!$BB749,IF(H751="ROYAL",PR!$BC749,IF(H751="SAM",PR!$BD749,IF(H751="SEAGREEN",PR!$BE749,IF(H751="SKG",PR!$BF749,IF(H751="TAH",PR!$BG749,IF(H751="TAYLEK",PR!$BH749,IF(H751="TEMITA",PR!$BI749,IF(H751="THL",PR!$BJ749,IF(H751="UBASTIC",PR!$BK749,IF(H751="UNION",PR!$BL749,IF(H751="UNIQUE",PR!$BM749,IF(H751="VIXA",PR!$BN749,IF(H751="WWCV",PR!$BO749,IF(H751="ZOLON",PR!$BP749,"-"))))))))))))))))))))))))))))))))))))))))))))))))))))))))))))))))</f>
        <v>500</v>
      </c>
      <c r="H751" s="102" t="str">
        <f>EV!M965</f>
        <v>COSMADE</v>
      </c>
      <c r="I751" s="108" t="str">
        <f>IF(J751="ALPHA",PR!$E749,IF(J751="ASSENE",PR!$F749,IF(J751="BIOFEM",PR!$G749,IF(J751="BIOMED",PR!$H749,IF(J751="CHI",PR!$I749,IF(J751="CLARION",PR!$J749,IF(J751="CODIX",PR!$K749,IF(J751="COSMADE",PR!$L749,IF(J751="SANCON",PR!$M749,IF(J751="DEVON",PR!$N749,IF(J751="DORTEMAG",PR!$O749,IF(J751="DGF",PR!$P749,IF(J751="DYNAMIC",PR!$Q749,IF(J751="EMZOR",PR!$R749,IF(J751="EUMATT",PR!$S749,IF(J751="FIDSON",PR!$T749,IF(J751="FCGLOBAL",PR!$U749,IF(J751="GENEITH",PR!$V749,IF(J751="GINOS",PR!$W749,IF(J751="GSK",PR!$X749,IF(J751="GLOBORG",PR!$Y749,IF(J751="GOODNEWS",PR!$Z749,IF(J751="GREENLIFE",PR!$AA749,IF(J751="HLINE",PR!$AB749,IF(J751="ROTECH",PR!$AC749,IF(J751="ISN",PR!$AD749,IF(J751="JAWA",PR!$AE749,IF(J751="LAYO",PR!$AF749,IF(J751="LEADWAY",PR!$AG749,IF(J751="LHV",PR!$AH749,IF(J751="MANOLA",PR!$AI749,IF(J751="MARCSON",PR!$AJ749,IF(J751="M&amp;B",PR!$AK749,IF(J751="MTRUST",PR!$AL749,IF(J751="MWORLD",PR!$AM749,IF(J751="MEGA",PR!$AN749,IF(J751="MICRONOVA",PR!$AO749,IF(J751="MFLASH",PR!$AP749,IF(J751="MORISON",PR!$AQ749,IF(J751="NEMEL",PR!$AR749,IF(J751="NHP",PR!$AS749,IF(J751="NHC",PR!$AT749,IF(J751="OLEAF",PR!$AU749,IF(J751="OCULUS",PR!$AV749,IF(J751="PACIFIC",PR!$AW749,IF(J751="PHAMATEX",PR!$AX749,IF(J751="PETHICS",PR!$AY749,IF(J751="PHILIPS",PR!$AZ749,IF(J751="RANBAXY",PR!$BA749,IF(J751="REALS",PR!$BB749,IF(J751="ROYAL",PR!$BC749,IF(J751="SAM",PR!$BD749,IF(J751="SEAGREEN",PR!$BE749,IF(J751="SKG",PR!$BF749,IF(J751="TAH",PR!$BG749,IF(J751="TAYLEK",PR!$BH749,IF(J751="TEMITA",PR!$BI749,IF(J751="THL",PR!$BJ749,IF(J751="UBASTIC",PR!$BK749,IF(J751="UNION",PR!$BL749,IF(J751="UNIQUE",PR!$BM749,IF(J751="VIXA",PR!$BN749,IF(J751="WWCV",PR!$BO749,IF(J751="ZOLON",PR!$BP749,"-"))))))))))))))))))))))))))))))))))))))))))))))))))))))))))))))))</f>
        <v>-</v>
      </c>
      <c r="J751" s="102">
        <f>EV!N965</f>
        <v>0</v>
      </c>
      <c r="K751" s="433" t="s">
        <v>630</v>
      </c>
      <c r="L751" s="183">
        <f>IF(K751&gt;0,IF(K751="ALPHA",PR!$E749,IF(K751="ASSENE",PR!$F749,IF(K751="BIOFEM",PR!$G749,IF(K751="BIOMED",PR!$H749,IF(K751="CHI",PR!$I749,IF(K751="CLARION",PR!$J749,IF(K751="CODIX",PR!$K749,IF(K751="COSMADE",PR!$L749,IF(K751="SANCON",PR!$M749,IF(K751="DEVON",PR!$N749,IF(K751="DORTEMAG",PR!$O749,IF(K751="DGF",PR!$P749,IF(K751="DYNAMIC",PR!$Q749,IF(K751="EMZOR",PR!$R749,IF(K751="EUMATT",PR!$S749,IF(K751="FIDSON",PR!$T749,IF(K751="FCGLOBAL",PR!$U749,IF(K751="GENEITH",PR!$V749,IF(K751="GINOS",PR!$W749,IF(K751="GSK",PR!$X749,IF(K751="GLOBORG",PR!$Y749,IF(K751="GOODNEWS",PR!$Z749,IF(K751="GREENLIFE",PR!$AA749,IF(K751="HLINE",PR!$AB749,IF(K751="ROTECH",PR!$AC749,IF(K751="ISN",PR!$AD749,IF(K751="JAWA",PR!$AE749,IF(K751="LAYO",PR!$AF749,IF(K751="LEADWAY",PR!$AG749,IF(K751="LHV",PR!$AH749,IF(K751="MANOLA",PR!$AI749,IF(K751="MARCSON",PR!$AJ749,IF(K751="M&amp;B",PR!$AK749,IF(K751="MTRUST",PR!$AL749,IF(K751="MWORLD",PR!$AM749,IF(K751="MEGA",PR!$AN749,IF(K751="MICRONOVA",PR!$AO749,IF(K751="MFLASH",PR!$AP749,IF(K751="MORISON",PR!$AQ749,IF(K751="NEMEL",PR!$AR749,IF(K751="NHP",PR!$AS749,IF(K751="NHC",PR!$AT749,IF(K751="OLEAF",PR!$AU749,IF(K751="OCULUS",PR!$AV749,IF(K751="PACIFIC",PR!$AW749,IF(K751="PHAMATEX",PR!$AX749,IF(K751="PETHICS",PR!$AY749,IF(K751="PHILIPS",PR!$AZ749,IF(K751="RANBAXY",PR!$BA749,IF(K751="REALS",PR!$BB749,IF(K751="ROYAL",PR!$BC749,IF(K751="SAM",PR!$BD749,IF(K751="SEAGREEN",PR!$BE749,IF(K751="SKG",PR!$BF749,IF(K751="TAH",PR!$BG749,IF(K751="TAYLEK",PR!$BH749,IF(K751="TEMITA",PR!$BI749,IF(K751="THL",PR!$BJ749,IF(K751="UBASTIC",PR!$BK749,IF(K751="UNION",PR!$BL749,IF(K751="UNIQUE",PR!$BM749,IF(K751="VIXA",PR!$BN749,IF(K751="WWCV",PR!$BO749,IF(K751="ZOLON",PR!$BP749,"-")))))))))))))))))))))))))))))))))))))))))))))))))))))))))))))))))</f>
        <v>225</v>
      </c>
    </row>
    <row r="752" spans="1:12" ht="18.75" x14ac:dyDescent="0.3">
      <c r="A752" s="430">
        <f>PR!A750</f>
        <v>682</v>
      </c>
      <c r="B752" s="15" t="str">
        <f>PR!B750</f>
        <v>POVIDONE IODINE 100ML 10% (100ML)</v>
      </c>
      <c r="C752" s="113" t="str">
        <f>PR!D750</f>
        <v>BOTT</v>
      </c>
      <c r="D752" s="113">
        <f>PR!C750</f>
        <v>200</v>
      </c>
      <c r="E752" s="108">
        <f>IF(F752="ALPHA",PR!$E750,IF(F752="ASSENE",PR!$F750,IF(F752="BIOFEM",PR!$G750,IF(F752="BIOMED",PR!$H750,IF(F752="CHI",PR!$I750,IF(F752="CLARION",PR!$J750,IF(F752="CODIX",PR!$K750,IF(F752="COSMADE",PR!$L750,IF(F752="SANCON",PR!$M750,IF(F752="DEVON",PR!$N750,IF(F752="DORTEMAG",PR!$O750,IF(F752="DGF",PR!$P750,IF(F752="DYNAMIC",PR!$Q750,IF(F752="EMZOR",PR!$R750,IF(F752="EUMATT",PR!$S750,IF(F752="FIDSON",PR!$T750,IF(F752="FCGLOBAL",PR!$U750,IF(F752="GENEITH",PR!$V750,IF(F752="GINOS",PR!$W750,IF(F752="GSK",PR!$X750,IF(F752="GLOBORG",PR!$Y750,IF(F752="GOODNEWS",PR!$Z750,IF(F752="GREENLIFE",PR!$AA750,IF(F752="HLINE",PR!$AB750,IF(F752="ROTECH",PR!$AC750,IF(F752="ISN",PR!$AD750,IF(F752="JAWA",PR!$AE750,IF(F752="LAYO",PR!$AF750,IF(F752="LEADWAY",PR!$AG750,IF(F752="LHV",PR!$AH750,IF(F752="MANOLA",PR!$AI750,IF(F752="MARCSON",PR!$AJ750,IF(F752="M&amp;B",PR!$AK750,IF(F752="MTRUST",PR!$AL750,IF(F752="MWORLD",PR!$AM750,IF(F752="MEGA",PR!$AN750,IF(F752="MICRONOVA",PR!$AO750,IF(F752="MFLASH",PR!$AP750,IF(F752="MORISON",PR!$AQ750,IF(F752="NEMEL",PR!$AR750,IF(F752="NHP",PR!$AS750,IF(F752="NHC",PR!$AT750,IF(F752="OLEAF",PR!$AU750,IF(F752="OCULUS",PR!$AV750,IF(F752="PACIFIC",PR!$AW750,IF(F752="PHAMATEX",PR!$AX750,IF(F752="PETHICS",PR!$AY750,IF(F752="PHILIPS",PR!$AZ750,IF(F752="RANBAXY",PR!$BA750,IF(F752="REALS",PR!$BB750,IF(F752="ROYAL",PR!$BC750,IF(F752="SAM",PR!$BD750,IF(F752="SEAGREEN",PR!$BE750,IF(F752="SKG",PR!$BF750,IF(F752="TAH",PR!$BG750,IF(F752="TAYLEK",PR!$BH750,IF(F752="TEMITA",PR!$BI750,IF(F752="THL",PR!$BJ750,IF(F752="UBASTIC",PR!$BK750,IF(F752="UNION",PR!$BL750,IF(F752="UNIQUE",PR!$BM750,IF(F752="VIXA",PR!$BN750,IF(F752="WWCV",PR!$BO750,IF(F752="ZOLON",PR!$BP750,"-"))))))))))))))))))))))))))))))))))))))))))))))))))))))))))))))))</f>
        <v>375</v>
      </c>
      <c r="F752" s="102" t="str">
        <f>EV!L966</f>
        <v>JAWA</v>
      </c>
      <c r="G752" s="108">
        <f>IF(H752="ALPHA",PR!$E750,IF(H752="ASSENE",PR!$F750,IF(H752="BIOFEM",PR!$G750,IF(H752="BIOMED",PR!$H750,IF(H752="CHI",PR!$I750,IF(H752="CLARION",PR!$J750,IF(H752="CODIX",PR!$K750,IF(H752="COSMADE",PR!$L750,IF(H752="SANCON",PR!$M750,IF(H752="DEVON",PR!$N750,IF(H752="DORTEMAG",PR!$O750,IF(H752="DGF",PR!$P750,IF(H752="DYNAMIC",PR!$Q750,IF(H752="EMZOR",PR!$R750,IF(H752="EUMATT",PR!$S750,IF(H752="FIDSON",PR!$T750,IF(H752="FCGLOBAL",PR!$U750,IF(H752="GENEITH",PR!$V750,IF(H752="GINOS",PR!$W750,IF(H752="GSK",PR!$X750,IF(H752="GLOBORG",PR!$Y750,IF(H752="GOODNEWS",PR!$Z750,IF(H752="GREENLIFE",PR!$AA750,IF(H752="HLINE",PR!$AB750,IF(H752="ROTECH",PR!$AC750,IF(H752="ISN",PR!$AD750,IF(H752="JAWA",PR!$AE750,IF(H752="LAYO",PR!$AF750,IF(H752="LEADWAY",PR!$AG750,IF(H752="LHV",PR!$AH750,IF(H752="MANOLA",PR!$AI750,IF(H752="MARCSON",PR!$AJ750,IF(H752="M&amp;B",PR!$AK750,IF(H752="MTRUST",PR!$AL750,IF(H752="MWORLD",PR!$AM750,IF(H752="MEGA",PR!$AN750,IF(H752="MICRONOVA",PR!$AO750,IF(H752="MFLASH",PR!$AP750,IF(H752="MORISON",PR!$AQ750,IF(H752="NEMEL",PR!$AR750,IF(H752="NHP",PR!$AS750,IF(H752="NHC",PR!$AT750,IF(H752="OLEAF",PR!$AU750,IF(H752="OCULUS",PR!$AV750,IF(H752="PACIFIC",PR!$AW750,IF(H752="PHAMATEX",PR!$AX750,IF(H752="PETHICS",PR!$AY750,IF(H752="PHILIPS",PR!$AZ750,IF(H752="RANBAXY",PR!$BA750,IF(H752="REALS",PR!$BB750,IF(H752="ROYAL",PR!$BC750,IF(H752="SAM",PR!$BD750,IF(H752="SEAGREEN",PR!$BE750,IF(H752="SKG",PR!$BF750,IF(H752="TAH",PR!$BG750,IF(H752="TAYLEK",PR!$BH750,IF(H752="TEMITA",PR!$BI750,IF(H752="THL",PR!$BJ750,IF(H752="UBASTIC",PR!$BK750,IF(H752="UNION",PR!$BL750,IF(H752="UNIQUE",PR!$BM750,IF(H752="VIXA",PR!$BN750,IF(H752="WWCV",PR!$BO750,IF(H752="ZOLON",PR!$BP750,"-"))))))))))))))))))))))))))))))))))))))))))))))))))))))))))))))))</f>
        <v>600</v>
      </c>
      <c r="H752" s="102" t="str">
        <f>EV!M966</f>
        <v>COSMADE</v>
      </c>
      <c r="I752" s="108" t="str">
        <f>IF(J752="ALPHA",PR!$E750,IF(J752="ASSENE",PR!$F750,IF(J752="BIOFEM",PR!$G750,IF(J752="BIOMED",PR!$H750,IF(J752="CHI",PR!$I750,IF(J752="CLARION",PR!$J750,IF(J752="CODIX",PR!$K750,IF(J752="COSMADE",PR!$L750,IF(J752="SANCON",PR!$M750,IF(J752="DEVON",PR!$N750,IF(J752="DORTEMAG",PR!$O750,IF(J752="DGF",PR!$P750,IF(J752="DYNAMIC",PR!$Q750,IF(J752="EMZOR",PR!$R750,IF(J752="EUMATT",PR!$S750,IF(J752="FIDSON",PR!$T750,IF(J752="FCGLOBAL",PR!$U750,IF(J752="GENEITH",PR!$V750,IF(J752="GINOS",PR!$W750,IF(J752="GSK",PR!$X750,IF(J752="GLOBORG",PR!$Y750,IF(J752="GOODNEWS",PR!$Z750,IF(J752="GREENLIFE",PR!$AA750,IF(J752="HLINE",PR!$AB750,IF(J752="ROTECH",PR!$AC750,IF(J752="ISN",PR!$AD750,IF(J752="JAWA",PR!$AE750,IF(J752="LAYO",PR!$AF750,IF(J752="LEADWAY",PR!$AG750,IF(J752="LHV",PR!$AH750,IF(J752="MANOLA",PR!$AI750,IF(J752="MARCSON",PR!$AJ750,IF(J752="M&amp;B",PR!$AK750,IF(J752="MTRUST",PR!$AL750,IF(J752="MWORLD",PR!$AM750,IF(J752="MEGA",PR!$AN750,IF(J752="MICRONOVA",PR!$AO750,IF(J752="MFLASH",PR!$AP750,IF(J752="MORISON",PR!$AQ750,IF(J752="NEMEL",PR!$AR750,IF(J752="NHP",PR!$AS750,IF(J752="NHC",PR!$AT750,IF(J752="OLEAF",PR!$AU750,IF(J752="OCULUS",PR!$AV750,IF(J752="PACIFIC",PR!$AW750,IF(J752="PHAMATEX",PR!$AX750,IF(J752="PETHICS",PR!$AY750,IF(J752="PHILIPS",PR!$AZ750,IF(J752="RANBAXY",PR!$BA750,IF(J752="REALS",PR!$BB750,IF(J752="ROYAL",PR!$BC750,IF(J752="SAM",PR!$BD750,IF(J752="SEAGREEN",PR!$BE750,IF(J752="SKG",PR!$BF750,IF(J752="TAH",PR!$BG750,IF(J752="TAYLEK",PR!$BH750,IF(J752="TEMITA",PR!$BI750,IF(J752="THL",PR!$BJ750,IF(J752="UBASTIC",PR!$BK750,IF(J752="UNION",PR!$BL750,IF(J752="UNIQUE",PR!$BM750,IF(J752="VIXA",PR!$BN750,IF(J752="WWCV",PR!$BO750,IF(J752="ZOLON",PR!$BP750,"-"))))))))))))))))))))))))))))))))))))))))))))))))))))))))))))))))</f>
        <v>-</v>
      </c>
      <c r="J752" s="102">
        <f>EV!N966</f>
        <v>0</v>
      </c>
      <c r="K752" s="433" t="s">
        <v>630</v>
      </c>
      <c r="L752" s="183">
        <f>IF(K752&gt;0,IF(K752="ALPHA",PR!$E750,IF(K752="ASSENE",PR!$F750,IF(K752="BIOFEM",PR!$G750,IF(K752="BIOMED",PR!$H750,IF(K752="CHI",PR!$I750,IF(K752="CLARION",PR!$J750,IF(K752="CODIX",PR!$K750,IF(K752="COSMADE",PR!$L750,IF(K752="SANCON",PR!$M750,IF(K752="DEVON",PR!$N750,IF(K752="DORTEMAG",PR!$O750,IF(K752="DGF",PR!$P750,IF(K752="DYNAMIC",PR!$Q750,IF(K752="EMZOR",PR!$R750,IF(K752="EUMATT",PR!$S750,IF(K752="FIDSON",PR!$T750,IF(K752="FCGLOBAL",PR!$U750,IF(K752="GENEITH",PR!$V750,IF(K752="GINOS",PR!$W750,IF(K752="GSK",PR!$X750,IF(K752="GLOBORG",PR!$Y750,IF(K752="GOODNEWS",PR!$Z750,IF(K752="GREENLIFE",PR!$AA750,IF(K752="HLINE",PR!$AB750,IF(K752="ROTECH",PR!$AC750,IF(K752="ISN",PR!$AD750,IF(K752="JAWA",PR!$AE750,IF(K752="LAYO",PR!$AF750,IF(K752="LEADWAY",PR!$AG750,IF(K752="LHV",PR!$AH750,IF(K752="MANOLA",PR!$AI750,IF(K752="MARCSON",PR!$AJ750,IF(K752="M&amp;B",PR!$AK750,IF(K752="MTRUST",PR!$AL750,IF(K752="MWORLD",PR!$AM750,IF(K752="MEGA",PR!$AN750,IF(K752="MICRONOVA",PR!$AO750,IF(K752="MFLASH",PR!$AP750,IF(K752="MORISON",PR!$AQ750,IF(K752="NEMEL",PR!$AR750,IF(K752="NHP",PR!$AS750,IF(K752="NHC",PR!$AT750,IF(K752="OLEAF",PR!$AU750,IF(K752="OCULUS",PR!$AV750,IF(K752="PACIFIC",PR!$AW750,IF(K752="PHAMATEX",PR!$AX750,IF(K752="PETHICS",PR!$AY750,IF(K752="PHILIPS",PR!$AZ750,IF(K752="RANBAXY",PR!$BA750,IF(K752="REALS",PR!$BB750,IF(K752="ROYAL",PR!$BC750,IF(K752="SAM",PR!$BD750,IF(K752="SEAGREEN",PR!$BE750,IF(K752="SKG",PR!$BF750,IF(K752="TAH",PR!$BG750,IF(K752="TAYLEK",PR!$BH750,IF(K752="TEMITA",PR!$BI750,IF(K752="THL",PR!$BJ750,IF(K752="UBASTIC",PR!$BK750,IF(K752="UNION",PR!$BL750,IF(K752="UNIQUE",PR!$BM750,IF(K752="VIXA",PR!$BN750,IF(K752="WWCV",PR!$BO750,IF(K752="ZOLON",PR!$BP750,"-")))))))))))))))))))))))))))))))))))))))))))))))))))))))))))))))))</f>
        <v>375</v>
      </c>
    </row>
    <row r="753" spans="1:12" ht="18.75" x14ac:dyDescent="0.3">
      <c r="A753" s="430">
        <f>PR!A751</f>
        <v>683</v>
      </c>
      <c r="B753" s="15" t="str">
        <f>PR!B751</f>
        <v xml:space="preserve">SODIUM HYPOCHLORITE SOLUTION 3.5%W/V </v>
      </c>
      <c r="C753" s="113">
        <f>PR!D751</f>
        <v>12</v>
      </c>
      <c r="D753" s="113">
        <f>PR!C751</f>
        <v>1000</v>
      </c>
      <c r="E753" s="108">
        <f>IF(F753="ALPHA",PR!$E751,IF(F753="ASSENE",PR!$F751,IF(F753="BIOFEM",PR!$G751,IF(F753="BIOMED",PR!$H751,IF(F753="CHI",PR!$I751,IF(F753="CLARION",PR!$J751,IF(F753="CODIX",PR!$K751,IF(F753="COSMADE",PR!$L751,IF(F753="SANCON",PR!$M751,IF(F753="DEVON",PR!$N751,IF(F753="DORTEMAG",PR!$O751,IF(F753="DGF",PR!$P751,IF(F753="DYNAMIC",PR!$Q751,IF(F753="EMZOR",PR!$R751,IF(F753="EUMATT",PR!$S751,IF(F753="FIDSON",PR!$T751,IF(F753="FCGLOBAL",PR!$U751,IF(F753="GENEITH",PR!$V751,IF(F753="GINOS",PR!$W751,IF(F753="GSK",PR!$X751,IF(F753="GLOBORG",PR!$Y751,IF(F753="GOODNEWS",PR!$Z751,IF(F753="GREENLIFE",PR!$AA751,IF(F753="HLINE",PR!$AB751,IF(F753="ROTECH",PR!$AC751,IF(F753="ISN",PR!$AD751,IF(F753="JAWA",PR!$AE751,IF(F753="LAYO",PR!$AF751,IF(F753="LEADWAY",PR!$AG751,IF(F753="LHV",PR!$AH751,IF(F753="MANOLA",PR!$AI751,IF(F753="MARCSON",PR!$AJ751,IF(F753="M&amp;B",PR!$AK751,IF(F753="MTRUST",PR!$AL751,IF(F753="MWORLD",PR!$AM751,IF(F753="MEGA",PR!$AN751,IF(F753="MICRONOVA",PR!$AO751,IF(F753="MFLASH",PR!$AP751,IF(F753="MORISON",PR!$AQ751,IF(F753="NEMEL",PR!$AR751,IF(F753="NHP",PR!$AS751,IF(F753="NHC",PR!$AT751,IF(F753="OLEAF",PR!$AU751,IF(F753="OCULUS",PR!$AV751,IF(F753="PACIFIC",PR!$AW751,IF(F753="PHAMATEX",PR!$AX751,IF(F753="PETHICS",PR!$AY751,IF(F753="PHILIPS",PR!$AZ751,IF(F753="RANBAXY",PR!$BA751,IF(F753="REALS",PR!$BB751,IF(F753="ROYAL",PR!$BC751,IF(F753="SAM",PR!$BD751,IF(F753="SEAGREEN",PR!$BE751,IF(F753="SKG",PR!$BF751,IF(F753="TAH",PR!$BG751,IF(F753="TAYLEK",PR!$BH751,IF(F753="TEMITA",PR!$BI751,IF(F753="THL",PR!$BJ751,IF(F753="UBASTIC",PR!$BK751,IF(F753="UNION",PR!$BL751,IF(F753="UNIQUE",PR!$BM751,IF(F753="VIXA",PR!$BN751,IF(F753="WWCV",PR!$BO751,IF(F753="ZOLON",PR!$BP751,"-"))))))))))))))))))))))))))))))))))))))))))))))))))))))))))))))))</f>
        <v>4500</v>
      </c>
      <c r="F753" s="102" t="str">
        <f>EV!L967</f>
        <v>ROYAL</v>
      </c>
      <c r="G753" s="108" t="str">
        <f>IF(H753="ALPHA",PR!$E751,IF(H753="ASSENE",PR!$F751,IF(H753="BIOFEM",PR!$G751,IF(H753="BIOMED",PR!$H751,IF(H753="CHI",PR!$I751,IF(H753="CLARION",PR!$J751,IF(H753="CODIX",PR!$K751,IF(H753="COSMADE",PR!$L751,IF(H753="SANCON",PR!$M751,IF(H753="DEVON",PR!$N751,IF(H753="DORTEMAG",PR!$O751,IF(H753="DGF",PR!$P751,IF(H753="DYNAMIC",PR!$Q751,IF(H753="EMZOR",PR!$R751,IF(H753="EUMATT",PR!$S751,IF(H753="FIDSON",PR!$T751,IF(H753="FCGLOBAL",PR!$U751,IF(H753="GENEITH",PR!$V751,IF(H753="GINOS",PR!$W751,IF(H753="GSK",PR!$X751,IF(H753="GLOBORG",PR!$Y751,IF(H753="GOODNEWS",PR!$Z751,IF(H753="GREENLIFE",PR!$AA751,IF(H753="HLINE",PR!$AB751,IF(H753="ROTECH",PR!$AC751,IF(H753="ISN",PR!$AD751,IF(H753="JAWA",PR!$AE751,IF(H753="LAYO",PR!$AF751,IF(H753="LEADWAY",PR!$AG751,IF(H753="LHV",PR!$AH751,IF(H753="MANOLA",PR!$AI751,IF(H753="MARCSON",PR!$AJ751,IF(H753="M&amp;B",PR!$AK751,IF(H753="MTRUST",PR!$AL751,IF(H753="MWORLD",PR!$AM751,IF(H753="MEGA",PR!$AN751,IF(H753="MICRONOVA",PR!$AO751,IF(H753="MFLASH",PR!$AP751,IF(H753="MORISON",PR!$AQ751,IF(H753="NEMEL",PR!$AR751,IF(H753="NHP",PR!$AS751,IF(H753="NHC",PR!$AT751,IF(H753="OLEAF",PR!$AU751,IF(H753="OCULUS",PR!$AV751,IF(H753="PACIFIC",PR!$AW751,IF(H753="PHAMATEX",PR!$AX751,IF(H753="PETHICS",PR!$AY751,IF(H753="PHILIPS",PR!$AZ751,IF(H753="RANBAXY",PR!$BA751,IF(H753="REALS",PR!$BB751,IF(H753="ROYAL",PR!$BC751,IF(H753="SAM",PR!$BD751,IF(H753="SEAGREEN",PR!$BE751,IF(H753="SKG",PR!$BF751,IF(H753="TAH",PR!$BG751,IF(H753="TAYLEK",PR!$BH751,IF(H753="TEMITA",PR!$BI751,IF(H753="THL",PR!$BJ751,IF(H753="UBASTIC",PR!$BK751,IF(H753="UNION",PR!$BL751,IF(H753="UNIQUE",PR!$BM751,IF(H753="VIXA",PR!$BN751,IF(H753="WWCV",PR!$BO751,IF(H753="ZOLON",PR!$BP751,"-"))))))))))))))))))))))))))))))))))))))))))))))))))))))))))))))))</f>
        <v>-</v>
      </c>
      <c r="H753" s="102">
        <f>EV!M967</f>
        <v>0</v>
      </c>
      <c r="I753" s="108" t="str">
        <f>IF(J753="ALPHA",PR!$E751,IF(J753="ASSENE",PR!$F751,IF(J753="BIOFEM",PR!$G751,IF(J753="BIOMED",PR!$H751,IF(J753="CHI",PR!$I751,IF(J753="CLARION",PR!$J751,IF(J753="CODIX",PR!$K751,IF(J753="COSMADE",PR!$L751,IF(J753="SANCON",PR!$M751,IF(J753="DEVON",PR!$N751,IF(J753="DORTEMAG",PR!$O751,IF(J753="DGF",PR!$P751,IF(J753="DYNAMIC",PR!$Q751,IF(J753="EMZOR",PR!$R751,IF(J753="EUMATT",PR!$S751,IF(J753="FIDSON",PR!$T751,IF(J753="FCGLOBAL",PR!$U751,IF(J753="GENEITH",PR!$V751,IF(J753="GINOS",PR!$W751,IF(J753="GSK",PR!$X751,IF(J753="GLOBORG",PR!$Y751,IF(J753="GOODNEWS",PR!$Z751,IF(J753="GREENLIFE",PR!$AA751,IF(J753="HLINE",PR!$AB751,IF(J753="ROTECH",PR!$AC751,IF(J753="ISN",PR!$AD751,IF(J753="JAWA",PR!$AE751,IF(J753="LAYO",PR!$AF751,IF(J753="LEADWAY",PR!$AG751,IF(J753="LHV",PR!$AH751,IF(J753="MANOLA",PR!$AI751,IF(J753="MARCSON",PR!$AJ751,IF(J753="M&amp;B",PR!$AK751,IF(J753="MTRUST",PR!$AL751,IF(J753="MWORLD",PR!$AM751,IF(J753="MEGA",PR!$AN751,IF(J753="MICRONOVA",PR!$AO751,IF(J753="MFLASH",PR!$AP751,IF(J753="MORISON",PR!$AQ751,IF(J753="NEMEL",PR!$AR751,IF(J753="NHP",PR!$AS751,IF(J753="NHC",PR!$AT751,IF(J753="OLEAF",PR!$AU751,IF(J753="OCULUS",PR!$AV751,IF(J753="PACIFIC",PR!$AW751,IF(J753="PHAMATEX",PR!$AX751,IF(J753="PETHICS",PR!$AY751,IF(J753="PHILIPS",PR!$AZ751,IF(J753="RANBAXY",PR!$BA751,IF(J753="REALS",PR!$BB751,IF(J753="ROYAL",PR!$BC751,IF(J753="SAM",PR!$BD751,IF(J753="SEAGREEN",PR!$BE751,IF(J753="SKG",PR!$BF751,IF(J753="TAH",PR!$BG751,IF(J753="TAYLEK",PR!$BH751,IF(J753="TEMITA",PR!$BI751,IF(J753="THL",PR!$BJ751,IF(J753="UBASTIC",PR!$BK751,IF(J753="UNION",PR!$BL751,IF(J753="UNIQUE",PR!$BM751,IF(J753="VIXA",PR!$BN751,IF(J753="WWCV",PR!$BO751,IF(J753="ZOLON",PR!$BP751,"-"))))))))))))))))))))))))))))))))))))))))))))))))))))))))))))))))</f>
        <v>-</v>
      </c>
      <c r="J753" s="102">
        <f>EV!N967</f>
        <v>0</v>
      </c>
      <c r="K753" s="433" t="s">
        <v>625</v>
      </c>
      <c r="L753" s="183">
        <f>IF(K753&gt;0,IF(K753="ALPHA",PR!$E751,IF(K753="ASSENE",PR!$F751,IF(K753="BIOFEM",PR!$G751,IF(K753="BIOMED",PR!$H751,IF(K753="CHI",PR!$I751,IF(K753="CLARION",PR!$J751,IF(K753="CODIX",PR!$K751,IF(K753="COSMADE",PR!$L751,IF(K753="SANCON",PR!$M751,IF(K753="DEVON",PR!$N751,IF(K753="DORTEMAG",PR!$O751,IF(K753="DGF",PR!$P751,IF(K753="DYNAMIC",PR!$Q751,IF(K753="EMZOR",PR!$R751,IF(K753="EUMATT",PR!$S751,IF(K753="FIDSON",PR!$T751,IF(K753="FCGLOBAL",PR!$U751,IF(K753="GENEITH",PR!$V751,IF(K753="GINOS",PR!$W751,IF(K753="GSK",PR!$X751,IF(K753="GLOBORG",PR!$Y751,IF(K753="GOODNEWS",PR!$Z751,IF(K753="GREENLIFE",PR!$AA751,IF(K753="HLINE",PR!$AB751,IF(K753="ROTECH",PR!$AC751,IF(K753="ISN",PR!$AD751,IF(K753="JAWA",PR!$AE751,IF(K753="LAYO",PR!$AF751,IF(K753="LEADWAY",PR!$AG751,IF(K753="LHV",PR!$AH751,IF(K753="MANOLA",PR!$AI751,IF(K753="MARCSON",PR!$AJ751,IF(K753="M&amp;B",PR!$AK751,IF(K753="MTRUST",PR!$AL751,IF(K753="MWORLD",PR!$AM751,IF(K753="MEGA",PR!$AN751,IF(K753="MICRONOVA",PR!$AO751,IF(K753="MFLASH",PR!$AP751,IF(K753="MORISON",PR!$AQ751,IF(K753="NEMEL",PR!$AR751,IF(K753="NHP",PR!$AS751,IF(K753="NHC",PR!$AT751,IF(K753="OLEAF",PR!$AU751,IF(K753="OCULUS",PR!$AV751,IF(K753="PACIFIC",PR!$AW751,IF(K753="PHAMATEX",PR!$AX751,IF(K753="PETHICS",PR!$AY751,IF(K753="PHILIPS",PR!$AZ751,IF(K753="RANBAXY",PR!$BA751,IF(K753="REALS",PR!$BB751,IF(K753="ROYAL",PR!$BC751,IF(K753="SAM",PR!$BD751,IF(K753="SEAGREEN",PR!$BE751,IF(K753="SKG",PR!$BF751,IF(K753="TAH",PR!$BG751,IF(K753="TAYLEK",PR!$BH751,IF(K753="TEMITA",PR!$BI751,IF(K753="THL",PR!$BJ751,IF(K753="UBASTIC",PR!$BK751,IF(K753="UNION",PR!$BL751,IF(K753="UNIQUE",PR!$BM751,IF(K753="VIXA",PR!$BN751,IF(K753="WWCV",PR!$BO751,IF(K753="ZOLON",PR!$BP751,"-")))))))))))))))))))))))))))))))))))))))))))))))))))))))))))))))))</f>
        <v>4500</v>
      </c>
    </row>
    <row r="754" spans="1:12" ht="18.75" x14ac:dyDescent="0.3">
      <c r="A754" s="430">
        <f>PR!A752</f>
        <v>0</v>
      </c>
      <c r="B754" s="15">
        <f>PR!B752</f>
        <v>0</v>
      </c>
      <c r="C754" s="113">
        <f>PR!D752</f>
        <v>0</v>
      </c>
      <c r="D754" s="113">
        <f>PR!C752</f>
        <v>0</v>
      </c>
      <c r="E754" s="108" t="str">
        <f>IF(F754="ALPHA",PR!$E752,IF(F754="ASSENE",PR!$F752,IF(F754="BIOFEM",PR!$G752,IF(F754="BIOMED",PR!$H752,IF(F754="CHI",PR!$I752,IF(F754="CLARION",PR!$J752,IF(F754="CODIX",PR!$K752,IF(F754="COSMADE",PR!$L752,IF(F754="SANCON",PR!$M752,IF(F754="DEVON",PR!$N752,IF(F754="DORTEMAG",PR!$O752,IF(F754="DGF",PR!$P752,IF(F754="DYNAMIC",PR!$Q752,IF(F754="EMZOR",PR!$R752,IF(F754="EUMATT",PR!$S752,IF(F754="FIDSON",PR!$T752,IF(F754="FCGLOBAL",PR!$U752,IF(F754="GENEITH",PR!$V752,IF(F754="GINOS",PR!$W752,IF(F754="GSK",PR!$X752,IF(F754="GLOBORG",PR!$Y752,IF(F754="GOODNEWS",PR!$Z752,IF(F754="GREENLIFE",PR!$AA752,IF(F754="HLINE",PR!$AB752,IF(F754="ROTECH",PR!$AC752,IF(F754="ISN",PR!$AD752,IF(F754="JAWA",PR!$AE752,IF(F754="LAYO",PR!$AF752,IF(F754="LEADWAY",PR!$AG752,IF(F754="LHV",PR!$AH752,IF(F754="MANOLA",PR!$AI752,IF(F754="MARCSON",PR!$AJ752,IF(F754="M&amp;B",PR!$AK752,IF(F754="MTRUST",PR!$AL752,IF(F754="MWORLD",PR!$AM752,IF(F754="MEGA",PR!$AN752,IF(F754="MICRONOVA",PR!$AO752,IF(F754="MFLASH",PR!$AP752,IF(F754="MORISON",PR!$AQ752,IF(F754="NEMEL",PR!$AR752,IF(F754="NHP",PR!$AS752,IF(F754="NHC",PR!$AT752,IF(F754="OLEAF",PR!$AU752,IF(F754="OCULUS",PR!$AV752,IF(F754="PACIFIC",PR!$AW752,IF(F754="PHAMATEX",PR!$AX752,IF(F754="PETHICS",PR!$AY752,IF(F754="PHILIPS",PR!$AZ752,IF(F754="RANBAXY",PR!$BA752,IF(F754="REALS",PR!$BB752,IF(F754="ROYAL",PR!$BC752,IF(F754="SAM",PR!$BD752,IF(F754="SEAGREEN",PR!$BE752,IF(F754="SKG",PR!$BF752,IF(F754="TAH",PR!$BG752,IF(F754="TAYLEK",PR!$BH752,IF(F754="TEMITA",PR!$BI752,IF(F754="THL",PR!$BJ752,IF(F754="UBASTIC",PR!$BK752,IF(F754="UNION",PR!$BL752,IF(F754="UNIQUE",PR!$BM752,IF(F754="VIXA",PR!$BN752,IF(F754="WWCV",PR!$BO752,IF(F754="ZOLON",PR!$BP752,"-"))))))))))))))))))))))))))))))))))))))))))))))))))))))))))))))))</f>
        <v>-</v>
      </c>
      <c r="F754" s="102"/>
      <c r="G754" s="108" t="str">
        <f>IF(H754="ALPHA",PR!$E752,IF(H754="ASSENE",PR!$F752,IF(H754="BIOFEM",PR!$G752,IF(H754="BIOMED",PR!$H752,IF(H754="CHI",PR!$I752,IF(H754="CLARION",PR!$J752,IF(H754="CODIX",PR!$K752,IF(H754="COSMADE",PR!$L752,IF(H754="SANCON",PR!$M752,IF(H754="DEVON",PR!$N752,IF(H754="DORTEMAG",PR!$O752,IF(H754="DGF",PR!$P752,IF(H754="DYNAMIC",PR!$Q752,IF(H754="EMZOR",PR!$R752,IF(H754="EUMATT",PR!$S752,IF(H754="FIDSON",PR!$T752,IF(H754="FCGLOBAL",PR!$U752,IF(H754="GENEITH",PR!$V752,IF(H754="GINOS",PR!$W752,IF(H754="GSK",PR!$X752,IF(H754="GLOBORG",PR!$Y752,IF(H754="GOODNEWS",PR!$Z752,IF(H754="GREENLIFE",PR!$AA752,IF(H754="HLINE",PR!$AB752,IF(H754="ROTECH",PR!$AC752,IF(H754="ISN",PR!$AD752,IF(H754="JAWA",PR!$AE752,IF(H754="LAYO",PR!$AF752,IF(H754="LEADWAY",PR!$AG752,IF(H754="LHV",PR!$AH752,IF(H754="MANOLA",PR!$AI752,IF(H754="MARCSON",PR!$AJ752,IF(H754="M&amp;B",PR!$AK752,IF(H754="MTRUST",PR!$AL752,IF(H754="MWORLD",PR!$AM752,IF(H754="MEGA",PR!$AN752,IF(H754="MICRONOVA",PR!$AO752,IF(H754="MFLASH",PR!$AP752,IF(H754="MORISON",PR!$AQ752,IF(H754="NEMEL",PR!$AR752,IF(H754="NHP",PR!$AS752,IF(H754="NHC",PR!$AT752,IF(H754="OLEAF",PR!$AU752,IF(H754="OCULUS",PR!$AV752,IF(H754="PACIFIC",PR!$AW752,IF(H754="PHAMATEX",PR!$AX752,IF(H754="PETHICS",PR!$AY752,IF(H754="PHILIPS",PR!$AZ752,IF(H754="RANBAXY",PR!$BA752,IF(H754="REALS",PR!$BB752,IF(H754="ROYAL",PR!$BC752,IF(H754="SAM",PR!$BD752,IF(H754="SEAGREEN",PR!$BE752,IF(H754="SKG",PR!$BF752,IF(H754="TAH",PR!$BG752,IF(H754="TAYLEK",PR!$BH752,IF(H754="TEMITA",PR!$BI752,IF(H754="THL",PR!$BJ752,IF(H754="UBASTIC",PR!$BK752,IF(H754="UNION",PR!$BL752,IF(H754="UNIQUE",PR!$BM752,IF(H754="VIXA",PR!$BN752,IF(H754="WWCV",PR!$BO752,IF(H754="ZOLON",PR!$BP752,"-"))))))))))))))))))))))))))))))))))))))))))))))))))))))))))))))))</f>
        <v>-</v>
      </c>
      <c r="H754" s="102"/>
      <c r="I754" s="108" t="str">
        <f>IF(J754="ALPHA",PR!$E752,IF(J754="ASSENE",PR!$F752,IF(J754="BIOFEM",PR!$G752,IF(J754="BIOMED",PR!$H752,IF(J754="CHI",PR!$I752,IF(J754="CLARION",PR!$J752,IF(J754="CODIX",PR!$K752,IF(J754="COSMADE",PR!$L752,IF(J754="SANCON",PR!$M752,IF(J754="DEVON",PR!$N752,IF(J754="DORTEMAG",PR!$O752,IF(J754="DGF",PR!$P752,IF(J754="DYNAMIC",PR!$Q752,IF(J754="EMZOR",PR!$R752,IF(J754="EUMATT",PR!$S752,IF(J754="FIDSON",PR!$T752,IF(J754="FCGLOBAL",PR!$U752,IF(J754="GENEITH",PR!$V752,IF(J754="GINOS",PR!$W752,IF(J754="GSK",PR!$X752,IF(J754="GLOBORG",PR!$Y752,IF(J754="GOODNEWS",PR!$Z752,IF(J754="GREENLIFE",PR!$AA752,IF(J754="HLINE",PR!$AB752,IF(J754="ROTECH",PR!$AC752,IF(J754="ISN",PR!$AD752,IF(J754="JAWA",PR!$AE752,IF(J754="LAYO",PR!$AF752,IF(J754="LEADWAY",PR!$AG752,IF(J754="LHV",PR!$AH752,IF(J754="MANOLA",PR!$AI752,IF(J754="MARCSON",PR!$AJ752,IF(J754="M&amp;B",PR!$AK752,IF(J754="MTRUST",PR!$AL752,IF(J754="MWORLD",PR!$AM752,IF(J754="MEGA",PR!$AN752,IF(J754="MICRONOVA",PR!$AO752,IF(J754="MFLASH",PR!$AP752,IF(J754="MORISON",PR!$AQ752,IF(J754="NEMEL",PR!$AR752,IF(J754="NHP",PR!$AS752,IF(J754="NHC",PR!$AT752,IF(J754="OLEAF",PR!$AU752,IF(J754="OCULUS",PR!$AV752,IF(J754="PACIFIC",PR!$AW752,IF(J754="PHAMATEX",PR!$AX752,IF(J754="PETHICS",PR!$AY752,IF(J754="PHILIPS",PR!$AZ752,IF(J754="RANBAXY",PR!$BA752,IF(J754="REALS",PR!$BB752,IF(J754="ROYAL",PR!$BC752,IF(J754="SAM",PR!$BD752,IF(J754="SEAGREEN",PR!$BE752,IF(J754="SKG",PR!$BF752,IF(J754="TAH",PR!$BG752,IF(J754="TAYLEK",PR!$BH752,IF(J754="TEMITA",PR!$BI752,IF(J754="THL",PR!$BJ752,IF(J754="UBASTIC",PR!$BK752,IF(J754="UNION",PR!$BL752,IF(J754="UNIQUE",PR!$BM752,IF(J754="VIXA",PR!$BN752,IF(J754="WWCV",PR!$BO752,IF(J754="ZOLON",PR!$BP752,"-"))))))))))))))))))))))))))))))))))))))))))))))))))))))))))))))))</f>
        <v>-</v>
      </c>
      <c r="J754" s="102"/>
      <c r="K754" s="433"/>
      <c r="L754" s="183" t="b">
        <f>IF(K754&gt;0,IF(K754="ALPHA",PR!$E752,IF(K754="ASSENE",PR!$F752,IF(K754="BIOFEM",PR!$G752,IF(K754="BIOMED",PR!$H752,IF(K754="CHI",PR!$I752,IF(K754="CLARION",PR!$J752,IF(K754="CODIX",PR!$K752,IF(K754="COSMADE",PR!$L752,IF(K754="SANCON",PR!$M752,IF(K754="DEVON",PR!$N752,IF(K754="DORTEMAG",PR!$O752,IF(K754="DGF",PR!$P752,IF(K754="DYNAMIC",PR!$Q752,IF(K754="EMZOR",PR!$R752,IF(K754="EUMATT",PR!$S752,IF(K754="FIDSON",PR!$T752,IF(K754="FCGLOBAL",PR!$U752,IF(K754="GENEITH",PR!$V752,IF(K754="GINOS",PR!$W752,IF(K754="GSK",PR!$X752,IF(K754="GLOBORG",PR!$Y752,IF(K754="GOODNEWS",PR!$Z752,IF(K754="GREENLIFE",PR!$AA752,IF(K754="HLINE",PR!$AB752,IF(K754="ROTECH",PR!$AC752,IF(K754="ISN",PR!$AD752,IF(K754="JAWA",PR!$AE752,IF(K754="LAYO",PR!$AF752,IF(K754="LEADWAY",PR!$AG752,IF(K754="LHV",PR!$AH752,IF(K754="MANOLA",PR!$AI752,IF(K754="MARCSON",PR!$AJ752,IF(K754="M&amp;B",PR!$AK752,IF(K754="MTRUST",PR!$AL752,IF(K754="MWORLD",PR!$AM752,IF(K754="MEGA",PR!$AN752,IF(K754="MICRONOVA",PR!$AO752,IF(K754="MFLASH",PR!$AP752,IF(K754="MORISON",PR!$AQ752,IF(K754="NEMEL",PR!$AR752,IF(K754="NHP",PR!$AS752,IF(K754="NHC",PR!$AT752,IF(K754="OLEAF",PR!$AU752,IF(K754="OCULUS",PR!$AV752,IF(K754="PACIFIC",PR!$AW752,IF(K754="PHAMATEX",PR!$AX752,IF(K754="PETHICS",PR!$AY752,IF(K754="PHILIPS",PR!$AZ752,IF(K754="RANBAXY",PR!$BA752,IF(K754="REALS",PR!$BB752,IF(K754="ROYAL",PR!$BC752,IF(K754="SAM",PR!$BD752,IF(K754="SEAGREEN",PR!$BE752,IF(K754="SKG",PR!$BF752,IF(K754="TAH",PR!$BG752,IF(K754="TAYLEK",PR!$BH752,IF(K754="TEMITA",PR!$BI752,IF(K754="THL",PR!$BJ752,IF(K754="UBASTIC",PR!$BK752,IF(K754="UNION",PR!$BL752,IF(K754="UNIQUE",PR!$BM752,IF(K754="VIXA",PR!$BN752,IF(K754="WWCV",PR!$BO752,IF(K754="ZOLON",PR!$BP752,"-")))))))))))))))))))))))))))))))))))))))))))))))))))))))))))))))))</f>
        <v>0</v>
      </c>
    </row>
    <row r="755" spans="1:12" ht="18.75" x14ac:dyDescent="0.3">
      <c r="A755" s="430">
        <f>PR!A753</f>
        <v>0</v>
      </c>
      <c r="B755" s="15" t="str">
        <f>PR!B753</f>
        <v>OTHERS</v>
      </c>
      <c r="C755" s="113">
        <f>PR!D753</f>
        <v>0</v>
      </c>
      <c r="D755" s="113">
        <f>PR!C753</f>
        <v>0</v>
      </c>
      <c r="E755" s="108" t="str">
        <f>IF(F755="ALPHA",PR!$E753,IF(F755="ASSENE",PR!$F753,IF(F755="BIOFEM",PR!$G753,IF(F755="BIOMED",PR!$H753,IF(F755="CHI",PR!$I753,IF(F755="CLARION",PR!$J753,IF(F755="CODIX",PR!$K753,IF(F755="COSMADE",PR!$L753,IF(F755="SANCON",PR!$M753,IF(F755="DEVON",PR!$N753,IF(F755="DORTEMAG",PR!$O753,IF(F755="DGF",PR!$P753,IF(F755="DYNAMIC",PR!$Q753,IF(F755="EMZOR",PR!$R753,IF(F755="EUMATT",PR!$S753,IF(F755="FIDSON",PR!$T753,IF(F755="FCGLOBAL",PR!$U753,IF(F755="GENEITH",PR!$V753,IF(F755="GINOS",PR!$W753,IF(F755="GSK",PR!$X753,IF(F755="GLOBORG",PR!$Y753,IF(F755="GOODNEWS",PR!$Z753,IF(F755="GREENLIFE",PR!$AA753,IF(F755="HLINE",PR!$AB753,IF(F755="ROTECH",PR!$AC753,IF(F755="ISN",PR!$AD753,IF(F755="JAWA",PR!$AE753,IF(F755="LAYO",PR!$AF753,IF(F755="LEADWAY",PR!$AG753,IF(F755="LHV",PR!$AH753,IF(F755="MANOLA",PR!$AI753,IF(F755="MARCSON",PR!$AJ753,IF(F755="M&amp;B",PR!$AK753,IF(F755="MTRUST",PR!$AL753,IF(F755="MWORLD",PR!$AM753,IF(F755="MEGA",PR!$AN753,IF(F755="MICRONOVA",PR!$AO753,IF(F755="MFLASH",PR!$AP753,IF(F755="MORISON",PR!$AQ753,IF(F755="NEMEL",PR!$AR753,IF(F755="NHP",PR!$AS753,IF(F755="NHC",PR!$AT753,IF(F755="OLEAF",PR!$AU753,IF(F755="OCULUS",PR!$AV753,IF(F755="PACIFIC",PR!$AW753,IF(F755="PHAMATEX",PR!$AX753,IF(F755="PETHICS",PR!$AY753,IF(F755="PHILIPS",PR!$AZ753,IF(F755="RANBAXY",PR!$BA753,IF(F755="REALS",PR!$BB753,IF(F755="ROYAL",PR!$BC753,IF(F755="SAM",PR!$BD753,IF(F755="SEAGREEN",PR!$BE753,IF(F755="SKG",PR!$BF753,IF(F755="TAH",PR!$BG753,IF(F755="TAYLEK",PR!$BH753,IF(F755="TEMITA",PR!$BI753,IF(F755="THL",PR!$BJ753,IF(F755="UBASTIC",PR!$BK753,IF(F755="UNION",PR!$BL753,IF(F755="UNIQUE",PR!$BM753,IF(F755="VIXA",PR!$BN753,IF(F755="WWCV",PR!$BO753,IF(F755="ZOLON",PR!$BP753,"-"))))))))))))))))))))))))))))))))))))))))))))))))))))))))))))))))</f>
        <v>-</v>
      </c>
      <c r="F755" s="102"/>
      <c r="G755" s="108" t="str">
        <f>IF(H755="ALPHA",PR!$E753,IF(H755="ASSENE",PR!$F753,IF(H755="BIOFEM",PR!$G753,IF(H755="BIOMED",PR!$H753,IF(H755="CHI",PR!$I753,IF(H755="CLARION",PR!$J753,IF(H755="CODIX",PR!$K753,IF(H755="COSMADE",PR!$L753,IF(H755="SANCON",PR!$M753,IF(H755="DEVON",PR!$N753,IF(H755="DORTEMAG",PR!$O753,IF(H755="DGF",PR!$P753,IF(H755="DYNAMIC",PR!$Q753,IF(H755="EMZOR",PR!$R753,IF(H755="EUMATT",PR!$S753,IF(H755="FIDSON",PR!$T753,IF(H755="FCGLOBAL",PR!$U753,IF(H755="GENEITH",PR!$V753,IF(H755="GINOS",PR!$W753,IF(H755="GSK",PR!$X753,IF(H755="GLOBORG",PR!$Y753,IF(H755="GOODNEWS",PR!$Z753,IF(H755="GREENLIFE",PR!$AA753,IF(H755="HLINE",PR!$AB753,IF(H755="ROTECH",PR!$AC753,IF(H755="ISN",PR!$AD753,IF(H755="JAWA",PR!$AE753,IF(H755="LAYO",PR!$AF753,IF(H755="LEADWAY",PR!$AG753,IF(H755="LHV",PR!$AH753,IF(H755="MANOLA",PR!$AI753,IF(H755="MARCSON",PR!$AJ753,IF(H755="M&amp;B",PR!$AK753,IF(H755="MTRUST",PR!$AL753,IF(H755="MWORLD",PR!$AM753,IF(H755="MEGA",PR!$AN753,IF(H755="MICRONOVA",PR!$AO753,IF(H755="MFLASH",PR!$AP753,IF(H755="MORISON",PR!$AQ753,IF(H755="NEMEL",PR!$AR753,IF(H755="NHP",PR!$AS753,IF(H755="NHC",PR!$AT753,IF(H755="OLEAF",PR!$AU753,IF(H755="OCULUS",PR!$AV753,IF(H755="PACIFIC",PR!$AW753,IF(H755="PHAMATEX",PR!$AX753,IF(H755="PETHICS",PR!$AY753,IF(H755="PHILIPS",PR!$AZ753,IF(H755="RANBAXY",PR!$BA753,IF(H755="REALS",PR!$BB753,IF(H755="ROYAL",PR!$BC753,IF(H755="SAM",PR!$BD753,IF(H755="SEAGREEN",PR!$BE753,IF(H755="SKG",PR!$BF753,IF(H755="TAH",PR!$BG753,IF(H755="TAYLEK",PR!$BH753,IF(H755="TEMITA",PR!$BI753,IF(H755="THL",PR!$BJ753,IF(H755="UBASTIC",PR!$BK753,IF(H755="UNION",PR!$BL753,IF(H755="UNIQUE",PR!$BM753,IF(H755="VIXA",PR!$BN753,IF(H755="WWCV",PR!$BO753,IF(H755="ZOLON",PR!$BP753,"-"))))))))))))))))))))))))))))))))))))))))))))))))))))))))))))))))</f>
        <v>-</v>
      </c>
      <c r="H755" s="102"/>
      <c r="I755" s="108" t="str">
        <f>IF(J755="ALPHA",PR!$E753,IF(J755="ASSENE",PR!$F753,IF(J755="BIOFEM",PR!$G753,IF(J755="BIOMED",PR!$H753,IF(J755="CHI",PR!$I753,IF(J755="CLARION",PR!$J753,IF(J755="CODIX",PR!$K753,IF(J755="COSMADE",PR!$L753,IF(J755="SANCON",PR!$M753,IF(J755="DEVON",PR!$N753,IF(J755="DORTEMAG",PR!$O753,IF(J755="DGF",PR!$P753,IF(J755="DYNAMIC",PR!$Q753,IF(J755="EMZOR",PR!$R753,IF(J755="EUMATT",PR!$S753,IF(J755="FIDSON",PR!$T753,IF(J755="FCGLOBAL",PR!$U753,IF(J755="GENEITH",PR!$V753,IF(J755="GINOS",PR!$W753,IF(J755="GSK",PR!$X753,IF(J755="GLOBORG",PR!$Y753,IF(J755="GOODNEWS",PR!$Z753,IF(J755="GREENLIFE",PR!$AA753,IF(J755="HLINE",PR!$AB753,IF(J755="ROTECH",PR!$AC753,IF(J755="ISN",PR!$AD753,IF(J755="JAWA",PR!$AE753,IF(J755="LAYO",PR!$AF753,IF(J755="LEADWAY",PR!$AG753,IF(J755="LHV",PR!$AH753,IF(J755="MANOLA",PR!$AI753,IF(J755="MARCSON",PR!$AJ753,IF(J755="M&amp;B",PR!$AK753,IF(J755="MTRUST",PR!$AL753,IF(J755="MWORLD",PR!$AM753,IF(J755="MEGA",PR!$AN753,IF(J755="MICRONOVA",PR!$AO753,IF(J755="MFLASH",PR!$AP753,IF(J755="MORISON",PR!$AQ753,IF(J755="NEMEL",PR!$AR753,IF(J755="NHP",PR!$AS753,IF(J755="NHC",PR!$AT753,IF(J755="OLEAF",PR!$AU753,IF(J755="OCULUS",PR!$AV753,IF(J755="PACIFIC",PR!$AW753,IF(J755="PHAMATEX",PR!$AX753,IF(J755="PETHICS",PR!$AY753,IF(J755="PHILIPS",PR!$AZ753,IF(J755="RANBAXY",PR!$BA753,IF(J755="REALS",PR!$BB753,IF(J755="ROYAL",PR!$BC753,IF(J755="SAM",PR!$BD753,IF(J755="SEAGREEN",PR!$BE753,IF(J755="SKG",PR!$BF753,IF(J755="TAH",PR!$BG753,IF(J755="TAYLEK",PR!$BH753,IF(J755="TEMITA",PR!$BI753,IF(J755="THL",PR!$BJ753,IF(J755="UBASTIC",PR!$BK753,IF(J755="UNION",PR!$BL753,IF(J755="UNIQUE",PR!$BM753,IF(J755="VIXA",PR!$BN753,IF(J755="WWCV",PR!$BO753,IF(J755="ZOLON",PR!$BP753,"-"))))))))))))))))))))))))))))))))))))))))))))))))))))))))))))))))</f>
        <v>-</v>
      </c>
      <c r="J755" s="102"/>
      <c r="K755" s="433"/>
      <c r="L755" s="183" t="b">
        <f>IF(K755&gt;0,IF(K755="ALPHA",PR!$E753,IF(K755="ASSENE",PR!$F753,IF(K755="BIOFEM",PR!$G753,IF(K755="BIOMED",PR!$H753,IF(K755="CHI",PR!$I753,IF(K755="CLARION",PR!$J753,IF(K755="CODIX",PR!$K753,IF(K755="COSMADE",PR!$L753,IF(K755="SANCON",PR!$M753,IF(K755="DEVON",PR!$N753,IF(K755="DORTEMAG",PR!$O753,IF(K755="DGF",PR!$P753,IF(K755="DYNAMIC",PR!$Q753,IF(K755="EMZOR",PR!$R753,IF(K755="EUMATT",PR!$S753,IF(K755="FIDSON",PR!$T753,IF(K755="FCGLOBAL",PR!$U753,IF(K755="GENEITH",PR!$V753,IF(K755="GINOS",PR!$W753,IF(K755="GSK",PR!$X753,IF(K755="GLOBORG",PR!$Y753,IF(K755="GOODNEWS",PR!$Z753,IF(K755="GREENLIFE",PR!$AA753,IF(K755="HLINE",PR!$AB753,IF(K755="ROTECH",PR!$AC753,IF(K755="ISN",PR!$AD753,IF(K755="JAWA",PR!$AE753,IF(K755="LAYO",PR!$AF753,IF(K755="LEADWAY",PR!$AG753,IF(K755="LHV",PR!$AH753,IF(K755="MANOLA",PR!$AI753,IF(K755="MARCSON",PR!$AJ753,IF(K755="M&amp;B",PR!$AK753,IF(K755="MTRUST",PR!$AL753,IF(K755="MWORLD",PR!$AM753,IF(K755="MEGA",PR!$AN753,IF(K755="MICRONOVA",PR!$AO753,IF(K755="MFLASH",PR!$AP753,IF(K755="MORISON",PR!$AQ753,IF(K755="NEMEL",PR!$AR753,IF(K755="NHP",PR!$AS753,IF(K755="NHC",PR!$AT753,IF(K755="OLEAF",PR!$AU753,IF(K755="OCULUS",PR!$AV753,IF(K755="PACIFIC",PR!$AW753,IF(K755="PHAMATEX",PR!$AX753,IF(K755="PETHICS",PR!$AY753,IF(K755="PHILIPS",PR!$AZ753,IF(K755="RANBAXY",PR!$BA753,IF(K755="REALS",PR!$BB753,IF(K755="ROYAL",PR!$BC753,IF(K755="SAM",PR!$BD753,IF(K755="SEAGREEN",PR!$BE753,IF(K755="SKG",PR!$BF753,IF(K755="TAH",PR!$BG753,IF(K755="TAYLEK",PR!$BH753,IF(K755="TEMITA",PR!$BI753,IF(K755="THL",PR!$BJ753,IF(K755="UBASTIC",PR!$BK753,IF(K755="UNION",PR!$BL753,IF(K755="UNIQUE",PR!$BM753,IF(K755="VIXA",PR!$BN753,IF(K755="WWCV",PR!$BO753,IF(K755="ZOLON",PR!$BP753,"-")))))))))))))))))))))))))))))))))))))))))))))))))))))))))))))))))</f>
        <v>0</v>
      </c>
    </row>
    <row r="756" spans="1:12" ht="18.75" x14ac:dyDescent="0.3">
      <c r="A756" s="430">
        <f>PR!A754</f>
        <v>684</v>
      </c>
      <c r="B756" s="15" t="str">
        <f>PR!B754</f>
        <v>ALLENDRONATE 70MG TAB</v>
      </c>
      <c r="C756" s="113">
        <f>PR!D754</f>
        <v>2</v>
      </c>
      <c r="D756" s="113">
        <f>PR!C754</f>
        <v>10</v>
      </c>
      <c r="E756" s="108">
        <f>IF(F756="ALPHA",PR!$E754,IF(F756="ASSENE",PR!$F754,IF(F756="BIOFEM",PR!$G754,IF(F756="BIOMED",PR!$H754,IF(F756="CHI",PR!$I754,IF(F756="CLARION",PR!$J754,IF(F756="CODIX",PR!$K754,IF(F756="COSMADE",PR!$L754,IF(F756="SANCON",PR!$M754,IF(F756="DEVON",PR!$N754,IF(F756="DORTEMAG",PR!$O754,IF(F756="DGF",PR!$P754,IF(F756="DYNAMIC",PR!$Q754,IF(F756="EMZOR",PR!$R754,IF(F756="EUMATT",PR!$S754,IF(F756="FIDSON",PR!$T754,IF(F756="FCGLOBAL",PR!$U754,IF(F756="GENEITH",PR!$V754,IF(F756="GINOS",PR!$W754,IF(F756="GSK",PR!$X754,IF(F756="GLOBORG",PR!$Y754,IF(F756="GOODNEWS",PR!$Z754,IF(F756="GREENLIFE",PR!$AA754,IF(F756="HLINE",PR!$AB754,IF(F756="ROTECH",PR!$AC754,IF(F756="ISN",PR!$AD754,IF(F756="JAWA",PR!$AE754,IF(F756="LAYO",PR!$AF754,IF(F756="LEADWAY",PR!$AG754,IF(F756="LHV",PR!$AH754,IF(F756="MANOLA",PR!$AI754,IF(F756="MARCSON",PR!$AJ754,IF(F756="M&amp;B",PR!$AK754,IF(F756="MTRUST",PR!$AL754,IF(F756="MWORLD",PR!$AM754,IF(F756="MEGA",PR!$AN754,IF(F756="MICRONOVA",PR!$AO754,IF(F756="MFLASH",PR!$AP754,IF(F756="MORISON",PR!$AQ754,IF(F756="NEMEL",PR!$AR754,IF(F756="NHP",PR!$AS754,IF(F756="NHC",PR!$AT754,IF(F756="OLEAF",PR!$AU754,IF(F756="OCULUS",PR!$AV754,IF(F756="PACIFIC",PR!$AW754,IF(F756="PHAMATEX",PR!$AX754,IF(F756="PETHICS",PR!$AY754,IF(F756="PHILIPS",PR!$AZ754,IF(F756="RANBAXY",PR!$BA754,IF(F756="REALS",PR!$BB754,IF(F756="ROYAL",PR!$BC754,IF(F756="SAM",PR!$BD754,IF(F756="SEAGREEN",PR!$BE754,IF(F756="SKG",PR!$BF754,IF(F756="TAH",PR!$BG754,IF(F756="TAYLEK",PR!$BH754,IF(F756="TEMITA",PR!$BI754,IF(F756="THL",PR!$BJ754,IF(F756="UBASTIC",PR!$BK754,IF(F756="UNION",PR!$BL754,IF(F756="UNIQUE",PR!$BM754,IF(F756="VIXA",PR!$BN754,IF(F756="WWCV",PR!$BO754,IF(F756="ZOLON",PR!$BP754,"-"))))))))))))))))))))))))))))))))))))))))))))))))))))))))))))))))</f>
        <v>780</v>
      </c>
      <c r="F756" s="102" t="str">
        <f>EV!L968</f>
        <v>EUMATT</v>
      </c>
      <c r="G756" s="108" t="str">
        <f>IF(H756="ALPHA",PR!$E754,IF(H756="ASSENE",PR!$F754,IF(H756="BIOFEM",PR!$G754,IF(H756="BIOMED",PR!$H754,IF(H756="CHI",PR!$I754,IF(H756="CLARION",PR!$J754,IF(H756="CODIX",PR!$K754,IF(H756="COSMADE",PR!$L754,IF(H756="SANCON",PR!$M754,IF(H756="DEVON",PR!$N754,IF(H756="DORTEMAG",PR!$O754,IF(H756="DGF",PR!$P754,IF(H756="DYNAMIC",PR!$Q754,IF(H756="EMZOR",PR!$R754,IF(H756="EUMATT",PR!$S754,IF(H756="FIDSON",PR!$T754,IF(H756="FCGLOBAL",PR!$U754,IF(H756="GENEITH",PR!$V754,IF(H756="GINOS",PR!$W754,IF(H756="GSK",PR!$X754,IF(H756="GLOBORG",PR!$Y754,IF(H756="GOODNEWS",PR!$Z754,IF(H756="GREENLIFE",PR!$AA754,IF(H756="HLINE",PR!$AB754,IF(H756="ROTECH",PR!$AC754,IF(H756="ISN",PR!$AD754,IF(H756="JAWA",PR!$AE754,IF(H756="LAYO",PR!$AF754,IF(H756="LEADWAY",PR!$AG754,IF(H756="LHV",PR!$AH754,IF(H756="MANOLA",PR!$AI754,IF(H756="MARCSON",PR!$AJ754,IF(H756="M&amp;B",PR!$AK754,IF(H756="MTRUST",PR!$AL754,IF(H756="MWORLD",PR!$AM754,IF(H756="MEGA",PR!$AN754,IF(H756="MICRONOVA",PR!$AO754,IF(H756="MFLASH",PR!$AP754,IF(H756="MORISON",PR!$AQ754,IF(H756="NEMEL",PR!$AR754,IF(H756="NHP",PR!$AS754,IF(H756="NHC",PR!$AT754,IF(H756="OLEAF",PR!$AU754,IF(H756="OCULUS",PR!$AV754,IF(H756="PACIFIC",PR!$AW754,IF(H756="PHAMATEX",PR!$AX754,IF(H756="PETHICS",PR!$AY754,IF(H756="PHILIPS",PR!$AZ754,IF(H756="RANBAXY",PR!$BA754,IF(H756="REALS",PR!$BB754,IF(H756="ROYAL",PR!$BC754,IF(H756="SAM",PR!$BD754,IF(H756="SEAGREEN",PR!$BE754,IF(H756="SKG",PR!$BF754,IF(H756="TAH",PR!$BG754,IF(H756="TAYLEK",PR!$BH754,IF(H756="TEMITA",PR!$BI754,IF(H756="THL",PR!$BJ754,IF(H756="UBASTIC",PR!$BK754,IF(H756="UNION",PR!$BL754,IF(H756="UNIQUE",PR!$BM754,IF(H756="VIXA",PR!$BN754,IF(H756="WWCV",PR!$BO754,IF(H756="ZOLON",PR!$BP754,"-"))))))))))))))))))))))))))))))))))))))))))))))))))))))))))))))))</f>
        <v>-</v>
      </c>
      <c r="H756" s="102">
        <f>EV!M968</f>
        <v>0</v>
      </c>
      <c r="I756" s="108" t="str">
        <f>IF(J756="ALPHA",PR!$E754,IF(J756="ASSENE",PR!$F754,IF(J756="BIOFEM",PR!$G754,IF(J756="BIOMED",PR!$H754,IF(J756="CHI",PR!$I754,IF(J756="CLARION",PR!$J754,IF(J756="CODIX",PR!$K754,IF(J756="COSMADE",PR!$L754,IF(J756="SANCON",PR!$M754,IF(J756="DEVON",PR!$N754,IF(J756="DORTEMAG",PR!$O754,IF(J756="DGF",PR!$P754,IF(J756="DYNAMIC",PR!$Q754,IF(J756="EMZOR",PR!$R754,IF(J756="EUMATT",PR!$S754,IF(J756="FIDSON",PR!$T754,IF(J756="FCGLOBAL",PR!$U754,IF(J756="GENEITH",PR!$V754,IF(J756="GINOS",PR!$W754,IF(J756="GSK",PR!$X754,IF(J756="GLOBORG",PR!$Y754,IF(J756="GOODNEWS",PR!$Z754,IF(J756="GREENLIFE",PR!$AA754,IF(J756="HLINE",PR!$AB754,IF(J756="ROTECH",PR!$AC754,IF(J756="ISN",PR!$AD754,IF(J756="JAWA",PR!$AE754,IF(J756="LAYO",PR!$AF754,IF(J756="LEADWAY",PR!$AG754,IF(J756="LHV",PR!$AH754,IF(J756="MANOLA",PR!$AI754,IF(J756="MARCSON",PR!$AJ754,IF(J756="M&amp;B",PR!$AK754,IF(J756="MTRUST",PR!$AL754,IF(J756="MWORLD",PR!$AM754,IF(J756="MEGA",PR!$AN754,IF(J756="MICRONOVA",PR!$AO754,IF(J756="MFLASH",PR!$AP754,IF(J756="MORISON",PR!$AQ754,IF(J756="NEMEL",PR!$AR754,IF(J756="NHP",PR!$AS754,IF(J756="NHC",PR!$AT754,IF(J756="OLEAF",PR!$AU754,IF(J756="OCULUS",PR!$AV754,IF(J756="PACIFIC",PR!$AW754,IF(J756="PHAMATEX",PR!$AX754,IF(J756="PETHICS",PR!$AY754,IF(J756="PHILIPS",PR!$AZ754,IF(J756="RANBAXY",PR!$BA754,IF(J756="REALS",PR!$BB754,IF(J756="ROYAL",PR!$BC754,IF(J756="SAM",PR!$BD754,IF(J756="SEAGREEN",PR!$BE754,IF(J756="SKG",PR!$BF754,IF(J756="TAH",PR!$BG754,IF(J756="TAYLEK",PR!$BH754,IF(J756="TEMITA",PR!$BI754,IF(J756="THL",PR!$BJ754,IF(J756="UBASTIC",PR!$BK754,IF(J756="UNION",PR!$BL754,IF(J756="UNIQUE",PR!$BM754,IF(J756="VIXA",PR!$BN754,IF(J756="WWCV",PR!$BO754,IF(J756="ZOLON",PR!$BP754,"-"))))))))))))))))))))))))))))))))))))))))))))))))))))))))))))))))</f>
        <v>-</v>
      </c>
      <c r="J756" s="102">
        <f>EV!N968</f>
        <v>0</v>
      </c>
      <c r="K756" s="433" t="s">
        <v>821</v>
      </c>
      <c r="L756" s="183">
        <f>IF(K756&gt;0,IF(K756="ALPHA",PR!$E754,IF(K756="ASSENE",PR!$F754,IF(K756="BIOFEM",PR!$G754,IF(K756="BIOMED",PR!$H754,IF(K756="CHI",PR!$I754,IF(K756="CLARION",PR!$J754,IF(K756="CODIX",PR!$K754,IF(K756="COSMADE",PR!$L754,IF(K756="SANCON",PR!$M754,IF(K756="DEVON",PR!$N754,IF(K756="DORTEMAG",PR!$O754,IF(K756="DGF",PR!$P754,IF(K756="DYNAMIC",PR!$Q754,IF(K756="EMZOR",PR!$R754,IF(K756="EUMATT",PR!$S754,IF(K756="FIDSON",PR!$T754,IF(K756="FCGLOBAL",PR!$U754,IF(K756="GENEITH",PR!$V754,IF(K756="GINOS",PR!$W754,IF(K756="GSK",PR!$X754,IF(K756="GLOBORG",PR!$Y754,IF(K756="GOODNEWS",PR!$Z754,IF(K756="GREENLIFE",PR!$AA754,IF(K756="HLINE",PR!$AB754,IF(K756="ROTECH",PR!$AC754,IF(K756="ISN",PR!$AD754,IF(K756="JAWA",PR!$AE754,IF(K756="LAYO",PR!$AF754,IF(K756="LEADWAY",PR!$AG754,IF(K756="LHV",PR!$AH754,IF(K756="MANOLA",PR!$AI754,IF(K756="MARCSON",PR!$AJ754,IF(K756="M&amp;B",PR!$AK754,IF(K756="MTRUST",PR!$AL754,IF(K756="MWORLD",PR!$AM754,IF(K756="MEGA",PR!$AN754,IF(K756="MICRONOVA",PR!$AO754,IF(K756="MFLASH",PR!$AP754,IF(K756="MORISON",PR!$AQ754,IF(K756="NEMEL",PR!$AR754,IF(K756="NHP",PR!$AS754,IF(K756="NHC",PR!$AT754,IF(K756="OLEAF",PR!$AU754,IF(K756="OCULUS",PR!$AV754,IF(K756="PACIFIC",PR!$AW754,IF(K756="PHAMATEX",PR!$AX754,IF(K756="PETHICS",PR!$AY754,IF(K756="PHILIPS",PR!$AZ754,IF(K756="RANBAXY",PR!$BA754,IF(K756="REALS",PR!$BB754,IF(K756="ROYAL",PR!$BC754,IF(K756="SAM",PR!$BD754,IF(K756="SEAGREEN",PR!$BE754,IF(K756="SKG",PR!$BF754,IF(K756="TAH",PR!$BG754,IF(K756="TAYLEK",PR!$BH754,IF(K756="TEMITA",PR!$BI754,IF(K756="THL",PR!$BJ754,IF(K756="UBASTIC",PR!$BK754,IF(K756="UNION",PR!$BL754,IF(K756="UNIQUE",PR!$BM754,IF(K756="VIXA",PR!$BN754,IF(K756="WWCV",PR!$BO754,IF(K756="ZOLON",PR!$BP754,"-")))))))))))))))))))))))))))))))))))))))))))))))))))))))))))))))))</f>
        <v>780</v>
      </c>
    </row>
    <row r="757" spans="1:12" ht="18.75" x14ac:dyDescent="0.3">
      <c r="A757" s="430">
        <f>PR!A755</f>
        <v>685</v>
      </c>
      <c r="B757" s="15" t="str">
        <f>PR!B755</f>
        <v>CALAMINE LOTION</v>
      </c>
      <c r="C757" s="113">
        <f>PR!D755</f>
        <v>12</v>
      </c>
      <c r="D757" s="113">
        <f>PR!C755</f>
        <v>12</v>
      </c>
      <c r="E757" s="108">
        <f>IF(F757="ALPHA",PR!$E755,IF(F757="ASSENE",PR!$F755,IF(F757="BIOFEM",PR!$G755,IF(F757="BIOMED",PR!$H755,IF(F757="CHI",PR!$I755,IF(F757="CLARION",PR!$J755,IF(F757="CODIX",PR!$K755,IF(F757="COSMADE",PR!$L755,IF(F757="SANCON",PR!$M755,IF(F757="DEVON",PR!$N755,IF(F757="DORTEMAG",PR!$O755,IF(F757="DGF",PR!$P755,IF(F757="DYNAMIC",PR!$Q755,IF(F757="EMZOR",PR!$R755,IF(F757="EUMATT",PR!$S755,IF(F757="FIDSON",PR!$T755,IF(F757="FCGLOBAL",PR!$U755,IF(F757="GENEITH",PR!$V755,IF(F757="GINOS",PR!$W755,IF(F757="GSK",PR!$X755,IF(F757="GLOBORG",PR!$Y755,IF(F757="GOODNEWS",PR!$Z755,IF(F757="GREENLIFE",PR!$AA755,IF(F757="HLINE",PR!$AB755,IF(F757="ROTECH",PR!$AC755,IF(F757="ISN",PR!$AD755,IF(F757="JAWA",PR!$AE755,IF(F757="LAYO",PR!$AF755,IF(F757="LEADWAY",PR!$AG755,IF(F757="LHV",PR!$AH755,IF(F757="MANOLA",PR!$AI755,IF(F757="MARCSON",PR!$AJ755,IF(F757="M&amp;B",PR!$AK755,IF(F757="MTRUST",PR!$AL755,IF(F757="MWORLD",PR!$AM755,IF(F757="MEGA",PR!$AN755,IF(F757="MICRONOVA",PR!$AO755,IF(F757="MFLASH",PR!$AP755,IF(F757="MORISON",PR!$AQ755,IF(F757="NEMEL",PR!$AR755,IF(F757="NHP",PR!$AS755,IF(F757="NHC",PR!$AT755,IF(F757="OLEAF",PR!$AU755,IF(F757="OCULUS",PR!$AV755,IF(F757="PACIFIC",PR!$AW755,IF(F757="PHAMATEX",PR!$AX755,IF(F757="PETHICS",PR!$AY755,IF(F757="PHILIPS",PR!$AZ755,IF(F757="RANBAXY",PR!$BA755,IF(F757="REALS",PR!$BB755,IF(F757="ROYAL",PR!$BC755,IF(F757="SAM",PR!$BD755,IF(F757="SEAGREEN",PR!$BE755,IF(F757="SKG",PR!$BF755,IF(F757="TAH",PR!$BG755,IF(F757="TAYLEK",PR!$BH755,IF(F757="TEMITA",PR!$BI755,IF(F757="THL",PR!$BJ755,IF(F757="UBASTIC",PR!$BK755,IF(F757="UNION",PR!$BL755,IF(F757="UNIQUE",PR!$BM755,IF(F757="VIXA",PR!$BN755,IF(F757="WWCV",PR!$BO755,IF(F757="ZOLON",PR!$BP755,"-"))))))))))))))))))))))))))))))))))))))))))))))))))))))))))))))))</f>
        <v>1600</v>
      </c>
      <c r="F757" s="102" t="str">
        <f>EV!L969</f>
        <v>EUMATT</v>
      </c>
      <c r="G757" s="108">
        <f>IF(H757="ALPHA",PR!$E755,IF(H757="ASSENE",PR!$F755,IF(H757="BIOFEM",PR!$G755,IF(H757="BIOMED",PR!$H755,IF(H757="CHI",PR!$I755,IF(H757="CLARION",PR!$J755,IF(H757="CODIX",PR!$K755,IF(H757="COSMADE",PR!$L755,IF(H757="SANCON",PR!$M755,IF(H757="DEVON",PR!$N755,IF(H757="DORTEMAG",PR!$O755,IF(H757="DGF",PR!$P755,IF(H757="DYNAMIC",PR!$Q755,IF(H757="EMZOR",PR!$R755,IF(H757="EUMATT",PR!$S755,IF(H757="FIDSON",PR!$T755,IF(H757="FCGLOBAL",PR!$U755,IF(H757="GENEITH",PR!$V755,IF(H757="GINOS",PR!$W755,IF(H757="GSK",PR!$X755,IF(H757="GLOBORG",PR!$Y755,IF(H757="GOODNEWS",PR!$Z755,IF(H757="GREENLIFE",PR!$AA755,IF(H757="HLINE",PR!$AB755,IF(H757="ROTECH",PR!$AC755,IF(H757="ISN",PR!$AD755,IF(H757="JAWA",PR!$AE755,IF(H757="LAYO",PR!$AF755,IF(H757="LEADWAY",PR!$AG755,IF(H757="LHV",PR!$AH755,IF(H757="MANOLA",PR!$AI755,IF(H757="MARCSON",PR!$AJ755,IF(H757="M&amp;B",PR!$AK755,IF(H757="MTRUST",PR!$AL755,IF(H757="MWORLD",PR!$AM755,IF(H757="MEGA",PR!$AN755,IF(H757="MICRONOVA",PR!$AO755,IF(H757="MFLASH",PR!$AP755,IF(H757="MORISON",PR!$AQ755,IF(H757="NEMEL",PR!$AR755,IF(H757="NHP",PR!$AS755,IF(H757="NHC",PR!$AT755,IF(H757="OLEAF",PR!$AU755,IF(H757="OCULUS",PR!$AV755,IF(H757="PACIFIC",PR!$AW755,IF(H757="PHAMATEX",PR!$AX755,IF(H757="PETHICS",PR!$AY755,IF(H757="PHILIPS",PR!$AZ755,IF(H757="RANBAXY",PR!$BA755,IF(H757="REALS",PR!$BB755,IF(H757="ROYAL",PR!$BC755,IF(H757="SAM",PR!$BD755,IF(H757="SEAGREEN",PR!$BE755,IF(H757="SKG",PR!$BF755,IF(H757="TAH",PR!$BG755,IF(H757="TAYLEK",PR!$BH755,IF(H757="TEMITA",PR!$BI755,IF(H757="THL",PR!$BJ755,IF(H757="UBASTIC",PR!$BK755,IF(H757="UNION",PR!$BL755,IF(H757="UNIQUE",PR!$BM755,IF(H757="VIXA",PR!$BN755,IF(H757="WWCV",PR!$BO755,IF(H757="ZOLON",PR!$BP755,"-"))))))))))))))))))))))))))))))))))))))))))))))))))))))))))))))))</f>
        <v>2265</v>
      </c>
      <c r="H757" s="102" t="str">
        <f>EV!M969</f>
        <v>SKG</v>
      </c>
      <c r="I757" s="108" t="str">
        <f>IF(J757="ALPHA",PR!$E755,IF(J757="ASSENE",PR!$F755,IF(J757="BIOFEM",PR!$G755,IF(J757="BIOMED",PR!$H755,IF(J757="CHI",PR!$I755,IF(J757="CLARION",PR!$J755,IF(J757="CODIX",PR!$K755,IF(J757="COSMADE",PR!$L755,IF(J757="SANCON",PR!$M755,IF(J757="DEVON",PR!$N755,IF(J757="DORTEMAG",PR!$O755,IF(J757="DGF",PR!$P755,IF(J757="DYNAMIC",PR!$Q755,IF(J757="EMZOR",PR!$R755,IF(J757="EUMATT",PR!$S755,IF(J757="FIDSON",PR!$T755,IF(J757="FCGLOBAL",PR!$U755,IF(J757="GENEITH",PR!$V755,IF(J757="GINOS",PR!$W755,IF(J757="GSK",PR!$X755,IF(J757="GLOBORG",PR!$Y755,IF(J757="GOODNEWS",PR!$Z755,IF(J757="GREENLIFE",PR!$AA755,IF(J757="HLINE",PR!$AB755,IF(J757="ROTECH",PR!$AC755,IF(J757="ISN",PR!$AD755,IF(J757="JAWA",PR!$AE755,IF(J757="LAYO",PR!$AF755,IF(J757="LEADWAY",PR!$AG755,IF(J757="LHV",PR!$AH755,IF(J757="MANOLA",PR!$AI755,IF(J757="MARCSON",PR!$AJ755,IF(J757="M&amp;B",PR!$AK755,IF(J757="MTRUST",PR!$AL755,IF(J757="MWORLD",PR!$AM755,IF(J757="MEGA",PR!$AN755,IF(J757="MICRONOVA",PR!$AO755,IF(J757="MFLASH",PR!$AP755,IF(J757="MORISON",PR!$AQ755,IF(J757="NEMEL",PR!$AR755,IF(J757="NHP",PR!$AS755,IF(J757="NHC",PR!$AT755,IF(J757="OLEAF",PR!$AU755,IF(J757="OCULUS",PR!$AV755,IF(J757="PACIFIC",PR!$AW755,IF(J757="PHAMATEX",PR!$AX755,IF(J757="PETHICS",PR!$AY755,IF(J757="PHILIPS",PR!$AZ755,IF(J757="RANBAXY",PR!$BA755,IF(J757="REALS",PR!$BB755,IF(J757="ROYAL",PR!$BC755,IF(J757="SAM",PR!$BD755,IF(J757="SEAGREEN",PR!$BE755,IF(J757="SKG",PR!$BF755,IF(J757="TAH",PR!$BG755,IF(J757="TAYLEK",PR!$BH755,IF(J757="TEMITA",PR!$BI755,IF(J757="THL",PR!$BJ755,IF(J757="UBASTIC",PR!$BK755,IF(J757="UNION",PR!$BL755,IF(J757="UNIQUE",PR!$BM755,IF(J757="VIXA",PR!$BN755,IF(J757="WWCV",PR!$BO755,IF(J757="ZOLON",PR!$BP755,"-"))))))))))))))))))))))))))))))))))))))))))))))))))))))))))))))))</f>
        <v>-</v>
      </c>
      <c r="J757" s="102">
        <f>EV!N969</f>
        <v>0</v>
      </c>
      <c r="K757" s="433" t="s">
        <v>387</v>
      </c>
      <c r="L757" s="183">
        <f>IF(K757&gt;0,IF(K757="ALPHA",PR!$E755,IF(K757="ASSENE",PR!$F755,IF(K757="BIOFEM",PR!$G755,IF(K757="BIOMED",PR!$H755,IF(K757="CHI",PR!$I755,IF(K757="CLARION",PR!$J755,IF(K757="CODIX",PR!$K755,IF(K757="COSMADE",PR!$L755,IF(K757="SANCON",PR!$M755,IF(K757="DEVON",PR!$N755,IF(K757="DORTEMAG",PR!$O755,IF(K757="DGF",PR!$P755,IF(K757="DYNAMIC",PR!$Q755,IF(K757="EMZOR",PR!$R755,IF(K757="EUMATT",PR!$S755,IF(K757="FIDSON",PR!$T755,IF(K757="FCGLOBAL",PR!$U755,IF(K757="GENEITH",PR!$V755,IF(K757="GINOS",PR!$W755,IF(K757="GSK",PR!$X755,IF(K757="GLOBORG",PR!$Y755,IF(K757="GOODNEWS",PR!$Z755,IF(K757="GREENLIFE",PR!$AA755,IF(K757="HLINE",PR!$AB755,IF(K757="ROTECH",PR!$AC755,IF(K757="ISN",PR!$AD755,IF(K757="JAWA",PR!$AE755,IF(K757="LAYO",PR!$AF755,IF(K757="LEADWAY",PR!$AG755,IF(K757="LHV",PR!$AH755,IF(K757="MANOLA",PR!$AI755,IF(K757="MARCSON",PR!$AJ755,IF(K757="M&amp;B",PR!$AK755,IF(K757="MTRUST",PR!$AL755,IF(K757="MWORLD",PR!$AM755,IF(K757="MEGA",PR!$AN755,IF(K757="MICRONOVA",PR!$AO755,IF(K757="MFLASH",PR!$AP755,IF(K757="MORISON",PR!$AQ755,IF(K757="NEMEL",PR!$AR755,IF(K757="NHP",PR!$AS755,IF(K757="NHC",PR!$AT755,IF(K757="OLEAF",PR!$AU755,IF(K757="OCULUS",PR!$AV755,IF(K757="PACIFIC",PR!$AW755,IF(K757="PHAMATEX",PR!$AX755,IF(K757="PETHICS",PR!$AY755,IF(K757="PHILIPS",PR!$AZ755,IF(K757="RANBAXY",PR!$BA755,IF(K757="REALS",PR!$BB755,IF(K757="ROYAL",PR!$BC755,IF(K757="SAM",PR!$BD755,IF(K757="SEAGREEN",PR!$BE755,IF(K757="SKG",PR!$BF755,IF(K757="TAH",PR!$BG755,IF(K757="TAYLEK",PR!$BH755,IF(K757="TEMITA",PR!$BI755,IF(K757="THL",PR!$BJ755,IF(K757="UBASTIC",PR!$BK755,IF(K757="UNION",PR!$BL755,IF(K757="UNIQUE",PR!$BM755,IF(K757="VIXA",PR!$BN755,IF(K757="WWCV",PR!$BO755,IF(K757="ZOLON",PR!$BP755,"-")))))))))))))))))))))))))))))))))))))))))))))))))))))))))))))))))</f>
        <v>2265</v>
      </c>
    </row>
    <row r="758" spans="1:12" ht="18.75" x14ac:dyDescent="0.3">
      <c r="A758" s="430">
        <f>PR!A756</f>
        <v>686</v>
      </c>
      <c r="B758" s="15" t="str">
        <f>PR!B756</f>
        <v>CALCIUM GLUCONATE INJ</v>
      </c>
      <c r="C758" s="113">
        <f>PR!D756</f>
        <v>10</v>
      </c>
      <c r="D758" s="113">
        <f>PR!C756</f>
        <v>160</v>
      </c>
      <c r="E758" s="108">
        <f>IF(F758="ALPHA",PR!$E756,IF(F758="ASSENE",PR!$F756,IF(F758="BIOFEM",PR!$G756,IF(F758="BIOMED",PR!$H756,IF(F758="CHI",PR!$I756,IF(F758="CLARION",PR!$J756,IF(F758="CODIX",PR!$K756,IF(F758="COSMADE",PR!$L756,IF(F758="SANCON",PR!$M756,IF(F758="DEVON",PR!$N756,IF(F758="DORTEMAG",PR!$O756,IF(F758="DGF",PR!$P756,IF(F758="DYNAMIC",PR!$Q756,IF(F758="EMZOR",PR!$R756,IF(F758="EUMATT",PR!$S756,IF(F758="FIDSON",PR!$T756,IF(F758="FCGLOBAL",PR!$U756,IF(F758="GENEITH",PR!$V756,IF(F758="GINOS",PR!$W756,IF(F758="GSK",PR!$X756,IF(F758="GLOBORG",PR!$Y756,IF(F758="GOODNEWS",PR!$Z756,IF(F758="GREENLIFE",PR!$AA756,IF(F758="HLINE",PR!$AB756,IF(F758="ROTECH",PR!$AC756,IF(F758="ISN",PR!$AD756,IF(F758="JAWA",PR!$AE756,IF(F758="LAYO",PR!$AF756,IF(F758="LEADWAY",PR!$AG756,IF(F758="LHV",PR!$AH756,IF(F758="MANOLA",PR!$AI756,IF(F758="MARCSON",PR!$AJ756,IF(F758="M&amp;B",PR!$AK756,IF(F758="MTRUST",PR!$AL756,IF(F758="MWORLD",PR!$AM756,IF(F758="MEGA",PR!$AN756,IF(F758="MICRONOVA",PR!$AO756,IF(F758="MFLASH",PR!$AP756,IF(F758="MORISON",PR!$AQ756,IF(F758="NEMEL",PR!$AR756,IF(F758="NHP",PR!$AS756,IF(F758="NHC",PR!$AT756,IF(F758="OLEAF",PR!$AU756,IF(F758="OCULUS",PR!$AV756,IF(F758="PACIFIC",PR!$AW756,IF(F758="PHAMATEX",PR!$AX756,IF(F758="PETHICS",PR!$AY756,IF(F758="PHILIPS",PR!$AZ756,IF(F758="RANBAXY",PR!$BA756,IF(F758="REALS",PR!$BB756,IF(F758="ROYAL",PR!$BC756,IF(F758="SAM",PR!$BD756,IF(F758="SEAGREEN",PR!$BE756,IF(F758="SKG",PR!$BF756,IF(F758="TAH",PR!$BG756,IF(F758="TAYLEK",PR!$BH756,IF(F758="TEMITA",PR!$BI756,IF(F758="THL",PR!$BJ756,IF(F758="UBASTIC",PR!$BK756,IF(F758="UNION",PR!$BL756,IF(F758="UNIQUE",PR!$BM756,IF(F758="VIXA",PR!$BN756,IF(F758="WWCV",PR!$BO756,IF(F758="ZOLON",PR!$BP756,"-"))))))))))))))))))))))))))))))))))))))))))))))))))))))))))))))))</f>
        <v>400</v>
      </c>
      <c r="F758" s="102" t="str">
        <f>EV!L970</f>
        <v>EUMATT</v>
      </c>
      <c r="G758" s="108">
        <f>IF(H758="ALPHA",PR!$E756,IF(H758="ASSENE",PR!$F756,IF(H758="BIOFEM",PR!$G756,IF(H758="BIOMED",PR!$H756,IF(H758="CHI",PR!$I756,IF(H758="CLARION",PR!$J756,IF(H758="CODIX",PR!$K756,IF(H758="COSMADE",PR!$L756,IF(H758="SANCON",PR!$M756,IF(H758="DEVON",PR!$N756,IF(H758="DORTEMAG",PR!$O756,IF(H758="DGF",PR!$P756,IF(H758="DYNAMIC",PR!$Q756,IF(H758="EMZOR",PR!$R756,IF(H758="EUMATT",PR!$S756,IF(H758="FIDSON",PR!$T756,IF(H758="FCGLOBAL",PR!$U756,IF(H758="GENEITH",PR!$V756,IF(H758="GINOS",PR!$W756,IF(H758="GSK",PR!$X756,IF(H758="GLOBORG",PR!$Y756,IF(H758="GOODNEWS",PR!$Z756,IF(H758="GREENLIFE",PR!$AA756,IF(H758="HLINE",PR!$AB756,IF(H758="ROTECH",PR!$AC756,IF(H758="ISN",PR!$AD756,IF(H758="JAWA",PR!$AE756,IF(H758="LAYO",PR!$AF756,IF(H758="LEADWAY",PR!$AG756,IF(H758="LHV",PR!$AH756,IF(H758="MANOLA",PR!$AI756,IF(H758="MARCSON",PR!$AJ756,IF(H758="M&amp;B",PR!$AK756,IF(H758="MTRUST",PR!$AL756,IF(H758="MWORLD",PR!$AM756,IF(H758="MEGA",PR!$AN756,IF(H758="MICRONOVA",PR!$AO756,IF(H758="MFLASH",PR!$AP756,IF(H758="MORISON",PR!$AQ756,IF(H758="NEMEL",PR!$AR756,IF(H758="NHP",PR!$AS756,IF(H758="NHC",PR!$AT756,IF(H758="OLEAF",PR!$AU756,IF(H758="OCULUS",PR!$AV756,IF(H758="PACIFIC",PR!$AW756,IF(H758="PHAMATEX",PR!$AX756,IF(H758="PETHICS",PR!$AY756,IF(H758="PHILIPS",PR!$AZ756,IF(H758="RANBAXY",PR!$BA756,IF(H758="REALS",PR!$BB756,IF(H758="ROYAL",PR!$BC756,IF(H758="SAM",PR!$BD756,IF(H758="SEAGREEN",PR!$BE756,IF(H758="SKG",PR!$BF756,IF(H758="TAH",PR!$BG756,IF(H758="TAYLEK",PR!$BH756,IF(H758="TEMITA",PR!$BI756,IF(H758="THL",PR!$BJ756,IF(H758="UBASTIC",PR!$BK756,IF(H758="UNION",PR!$BL756,IF(H758="UNIQUE",PR!$BM756,IF(H758="VIXA",PR!$BN756,IF(H758="WWCV",PR!$BO756,IF(H758="ZOLON",PR!$BP756,"-"))))))))))))))))))))))))))))))))))))))))))))))))))))))))))))))))</f>
        <v>7000</v>
      </c>
      <c r="H758" s="102" t="str">
        <f>EV!M970</f>
        <v>ALPHA</v>
      </c>
      <c r="I758" s="108" t="str">
        <f>IF(J758="ALPHA",PR!$E756,IF(J758="ASSENE",PR!$F756,IF(J758="BIOFEM",PR!$G756,IF(J758="BIOMED",PR!$H756,IF(J758="CHI",PR!$I756,IF(J758="CLARION",PR!$J756,IF(J758="CODIX",PR!$K756,IF(J758="COSMADE",PR!$L756,IF(J758="SANCON",PR!$M756,IF(J758="DEVON",PR!$N756,IF(J758="DORTEMAG",PR!$O756,IF(J758="DGF",PR!$P756,IF(J758="DYNAMIC",PR!$Q756,IF(J758="EMZOR",PR!$R756,IF(J758="EUMATT",PR!$S756,IF(J758="FIDSON",PR!$T756,IF(J758="FCGLOBAL",PR!$U756,IF(J758="GENEITH",PR!$V756,IF(J758="GINOS",PR!$W756,IF(J758="GSK",PR!$X756,IF(J758="GLOBORG",PR!$Y756,IF(J758="GOODNEWS",PR!$Z756,IF(J758="GREENLIFE",PR!$AA756,IF(J758="HLINE",PR!$AB756,IF(J758="ROTECH",PR!$AC756,IF(J758="ISN",PR!$AD756,IF(J758="JAWA",PR!$AE756,IF(J758="LAYO",PR!$AF756,IF(J758="LEADWAY",PR!$AG756,IF(J758="LHV",PR!$AH756,IF(J758="MANOLA",PR!$AI756,IF(J758="MARCSON",PR!$AJ756,IF(J758="M&amp;B",PR!$AK756,IF(J758="MTRUST",PR!$AL756,IF(J758="MWORLD",PR!$AM756,IF(J758="MEGA",PR!$AN756,IF(J758="MICRONOVA",PR!$AO756,IF(J758="MFLASH",PR!$AP756,IF(J758="MORISON",PR!$AQ756,IF(J758="NEMEL",PR!$AR756,IF(J758="NHP",PR!$AS756,IF(J758="NHC",PR!$AT756,IF(J758="OLEAF",PR!$AU756,IF(J758="OCULUS",PR!$AV756,IF(J758="PACIFIC",PR!$AW756,IF(J758="PHAMATEX",PR!$AX756,IF(J758="PETHICS",PR!$AY756,IF(J758="PHILIPS",PR!$AZ756,IF(J758="RANBAXY",PR!$BA756,IF(J758="REALS",PR!$BB756,IF(J758="ROYAL",PR!$BC756,IF(J758="SAM",PR!$BD756,IF(J758="SEAGREEN",PR!$BE756,IF(J758="SKG",PR!$BF756,IF(J758="TAH",PR!$BG756,IF(J758="TAYLEK",PR!$BH756,IF(J758="TEMITA",PR!$BI756,IF(J758="THL",PR!$BJ756,IF(J758="UBASTIC",PR!$BK756,IF(J758="UNION",PR!$BL756,IF(J758="UNIQUE",PR!$BM756,IF(J758="VIXA",PR!$BN756,IF(J758="WWCV",PR!$BO756,IF(J758="ZOLON",PR!$BP756,"-"))))))))))))))))))))))))))))))))))))))))))))))))))))))))))))))))</f>
        <v>-</v>
      </c>
      <c r="J758" s="102">
        <f>EV!N970</f>
        <v>0</v>
      </c>
      <c r="K758" s="433" t="s">
        <v>821</v>
      </c>
      <c r="L758" s="183">
        <f>IF(K758&gt;0,IF(K758="ALPHA",PR!$E756,IF(K758="ASSENE",PR!$F756,IF(K758="BIOFEM",PR!$G756,IF(K758="BIOMED",PR!$H756,IF(K758="CHI",PR!$I756,IF(K758="CLARION",PR!$J756,IF(K758="CODIX",PR!$K756,IF(K758="COSMADE",PR!$L756,IF(K758="SANCON",PR!$M756,IF(K758="DEVON",PR!$N756,IF(K758="DORTEMAG",PR!$O756,IF(K758="DGF",PR!$P756,IF(K758="DYNAMIC",PR!$Q756,IF(K758="EMZOR",PR!$R756,IF(K758="EUMATT",PR!$S756,IF(K758="FIDSON",PR!$T756,IF(K758="FCGLOBAL",PR!$U756,IF(K758="GENEITH",PR!$V756,IF(K758="GINOS",PR!$W756,IF(K758="GSK",PR!$X756,IF(K758="GLOBORG",PR!$Y756,IF(K758="GOODNEWS",PR!$Z756,IF(K758="GREENLIFE",PR!$AA756,IF(K758="HLINE",PR!$AB756,IF(K758="ROTECH",PR!$AC756,IF(K758="ISN",PR!$AD756,IF(K758="JAWA",PR!$AE756,IF(K758="LAYO",PR!$AF756,IF(K758="LEADWAY",PR!$AG756,IF(K758="LHV",PR!$AH756,IF(K758="MANOLA",PR!$AI756,IF(K758="MARCSON",PR!$AJ756,IF(K758="M&amp;B",PR!$AK756,IF(K758="MTRUST",PR!$AL756,IF(K758="MWORLD",PR!$AM756,IF(K758="MEGA",PR!$AN756,IF(K758="MICRONOVA",PR!$AO756,IF(K758="MFLASH",PR!$AP756,IF(K758="MORISON",PR!$AQ756,IF(K758="NEMEL",PR!$AR756,IF(K758="NHP",PR!$AS756,IF(K758="NHC",PR!$AT756,IF(K758="OLEAF",PR!$AU756,IF(K758="OCULUS",PR!$AV756,IF(K758="PACIFIC",PR!$AW756,IF(K758="PHAMATEX",PR!$AX756,IF(K758="PETHICS",PR!$AY756,IF(K758="PHILIPS",PR!$AZ756,IF(K758="RANBAXY",PR!$BA756,IF(K758="REALS",PR!$BB756,IF(K758="ROYAL",PR!$BC756,IF(K758="SAM",PR!$BD756,IF(K758="SEAGREEN",PR!$BE756,IF(K758="SKG",PR!$BF756,IF(K758="TAH",PR!$BG756,IF(K758="TAYLEK",PR!$BH756,IF(K758="TEMITA",PR!$BI756,IF(K758="THL",PR!$BJ756,IF(K758="UBASTIC",PR!$BK756,IF(K758="UNION",PR!$BL756,IF(K758="UNIQUE",PR!$BM756,IF(K758="VIXA",PR!$BN756,IF(K758="WWCV",PR!$BO756,IF(K758="ZOLON",PR!$BP756,"-")))))))))))))))))))))))))))))))))))))))))))))))))))))))))))))))))</f>
        <v>400</v>
      </c>
    </row>
    <row r="759" spans="1:12" ht="18.75" x14ac:dyDescent="0.3">
      <c r="A759" s="430">
        <f>PR!A757</f>
        <v>687</v>
      </c>
      <c r="B759" s="15" t="str">
        <f>PR!B757</f>
        <v>CARBIMAZOLE 5MG TAB</v>
      </c>
      <c r="C759" s="113">
        <f>PR!D757</f>
        <v>100</v>
      </c>
      <c r="D759" s="113">
        <f>PR!C757</f>
        <v>256</v>
      </c>
      <c r="E759" s="108" t="str">
        <f>IF(F759="ALPHA",PR!$E757,IF(F759="ASSENE",PR!$F757,IF(F759="BIOFEM",PR!$G757,IF(F759="BIOMED",PR!$H757,IF(F759="CHI",PR!$I757,IF(F759="CLARION",PR!$J757,IF(F759="CODIX",PR!$K757,IF(F759="COSMADE",PR!$L757,IF(F759="SANCON",PR!$M757,IF(F759="DEVON",PR!$N757,IF(F759="DORTEMAG",PR!$O757,IF(F759="DGF",PR!$P757,IF(F759="DYNAMIC",PR!$Q757,IF(F759="EMZOR",PR!$R757,IF(F759="EUMATT",PR!$S757,IF(F759="FIDSON",PR!$T757,IF(F759="FCGLOBAL",PR!$U757,IF(F759="GENEITH",PR!$V757,IF(F759="GINOS",PR!$W757,IF(F759="GSK",PR!$X757,IF(F759="GLOBORG",PR!$Y757,IF(F759="GOODNEWS",PR!$Z757,IF(F759="GREENLIFE",PR!$AA757,IF(F759="HLINE",PR!$AB757,IF(F759="ROTECH",PR!$AC757,IF(F759="ISN",PR!$AD757,IF(F759="JAWA",PR!$AE757,IF(F759="LAYO",PR!$AF757,IF(F759="LEADWAY",PR!$AG757,IF(F759="LHV",PR!$AH757,IF(F759="MANOLA",PR!$AI757,IF(F759="MARCSON",PR!$AJ757,IF(F759="M&amp;B",PR!$AK757,IF(F759="MTRUST",PR!$AL757,IF(F759="MWORLD",PR!$AM757,IF(F759="MEGA",PR!$AN757,IF(F759="MICRONOVA",PR!$AO757,IF(F759="MFLASH",PR!$AP757,IF(F759="MORISON",PR!$AQ757,IF(F759="NEMEL",PR!$AR757,IF(F759="NHP",PR!$AS757,IF(F759="NHC",PR!$AT757,IF(F759="OLEAF",PR!$AU757,IF(F759="OCULUS",PR!$AV757,IF(F759="PACIFIC",PR!$AW757,IF(F759="PHAMATEX",PR!$AX757,IF(F759="PETHICS",PR!$AY757,IF(F759="PHILIPS",PR!$AZ757,IF(F759="RANBAXY",PR!$BA757,IF(F759="REALS",PR!$BB757,IF(F759="ROYAL",PR!$BC757,IF(F759="SAM",PR!$BD757,IF(F759="SEAGREEN",PR!$BE757,IF(F759="SKG",PR!$BF757,IF(F759="TAH",PR!$BG757,IF(F759="TAYLEK",PR!$BH757,IF(F759="TEMITA",PR!$BI757,IF(F759="THL",PR!$BJ757,IF(F759="UBASTIC",PR!$BK757,IF(F759="UNION",PR!$BL757,IF(F759="UNIQUE",PR!$BM757,IF(F759="VIXA",PR!$BN757,IF(F759="WWCV",PR!$BO757,IF(F759="ZOLON",PR!$BP757,"-"))))))))))))))))))))))))))))))))))))))))))))))))))))))))))))))))</f>
        <v>-</v>
      </c>
      <c r="F759" s="102">
        <f>EV!L971</f>
        <v>0</v>
      </c>
      <c r="G759" s="108" t="str">
        <f>IF(H759="ALPHA",PR!$E757,IF(H759="ASSENE",PR!$F757,IF(H759="BIOFEM",PR!$G757,IF(H759="BIOMED",PR!$H757,IF(H759="CHI",PR!$I757,IF(H759="CLARION",PR!$J757,IF(H759="CODIX",PR!$K757,IF(H759="COSMADE",PR!$L757,IF(H759="SANCON",PR!$M757,IF(H759="DEVON",PR!$N757,IF(H759="DORTEMAG",PR!$O757,IF(H759="DGF",PR!$P757,IF(H759="DYNAMIC",PR!$Q757,IF(H759="EMZOR",PR!$R757,IF(H759="EUMATT",PR!$S757,IF(H759="FIDSON",PR!$T757,IF(H759="FCGLOBAL",PR!$U757,IF(H759="GENEITH",PR!$V757,IF(H759="GINOS",PR!$W757,IF(H759="GSK",PR!$X757,IF(H759="GLOBORG",PR!$Y757,IF(H759="GOODNEWS",PR!$Z757,IF(H759="GREENLIFE",PR!$AA757,IF(H759="HLINE",PR!$AB757,IF(H759="ROTECH",PR!$AC757,IF(H759="ISN",PR!$AD757,IF(H759="JAWA",PR!$AE757,IF(H759="LAYO",PR!$AF757,IF(H759="LEADWAY",PR!$AG757,IF(H759="LHV",PR!$AH757,IF(H759="MANOLA",PR!$AI757,IF(H759="MARCSON",PR!$AJ757,IF(H759="M&amp;B",PR!$AK757,IF(H759="MTRUST",PR!$AL757,IF(H759="MWORLD",PR!$AM757,IF(H759="MEGA",PR!$AN757,IF(H759="MICRONOVA",PR!$AO757,IF(H759="MFLASH",PR!$AP757,IF(H759="MORISON",PR!$AQ757,IF(H759="NEMEL",PR!$AR757,IF(H759="NHP",PR!$AS757,IF(H759="NHC",PR!$AT757,IF(H759="OLEAF",PR!$AU757,IF(H759="OCULUS",PR!$AV757,IF(H759="PACIFIC",PR!$AW757,IF(H759="PHAMATEX",PR!$AX757,IF(H759="PETHICS",PR!$AY757,IF(H759="PHILIPS",PR!$AZ757,IF(H759="RANBAXY",PR!$BA757,IF(H759="REALS",PR!$BB757,IF(H759="ROYAL",PR!$BC757,IF(H759="SAM",PR!$BD757,IF(H759="SEAGREEN",PR!$BE757,IF(H759="SKG",PR!$BF757,IF(H759="TAH",PR!$BG757,IF(H759="TAYLEK",PR!$BH757,IF(H759="TEMITA",PR!$BI757,IF(H759="THL",PR!$BJ757,IF(H759="UBASTIC",PR!$BK757,IF(H759="UNION",PR!$BL757,IF(H759="UNIQUE",PR!$BM757,IF(H759="VIXA",PR!$BN757,IF(H759="WWCV",PR!$BO757,IF(H759="ZOLON",PR!$BP757,"-"))))))))))))))))))))))))))))))))))))))))))))))))))))))))))))))))</f>
        <v>-</v>
      </c>
      <c r="H759" s="102">
        <f>EV!M971</f>
        <v>0</v>
      </c>
      <c r="I759" s="108" t="str">
        <f>IF(J759="ALPHA",PR!$E757,IF(J759="ASSENE",PR!$F757,IF(J759="BIOFEM",PR!$G757,IF(J759="BIOMED",PR!$H757,IF(J759="CHI",PR!$I757,IF(J759="CLARION",PR!$J757,IF(J759="CODIX",PR!$K757,IF(J759="COSMADE",PR!$L757,IF(J759="SANCON",PR!$M757,IF(J759="DEVON",PR!$N757,IF(J759="DORTEMAG",PR!$O757,IF(J759="DGF",PR!$P757,IF(J759="DYNAMIC",PR!$Q757,IF(J759="EMZOR",PR!$R757,IF(J759="EUMATT",PR!$S757,IF(J759="FIDSON",PR!$T757,IF(J759="FCGLOBAL",PR!$U757,IF(J759="GENEITH",PR!$V757,IF(J759="GINOS",PR!$W757,IF(J759="GSK",PR!$X757,IF(J759="GLOBORG",PR!$Y757,IF(J759="GOODNEWS",PR!$Z757,IF(J759="GREENLIFE",PR!$AA757,IF(J759="HLINE",PR!$AB757,IF(J759="ROTECH",PR!$AC757,IF(J759="ISN",PR!$AD757,IF(J759="JAWA",PR!$AE757,IF(J759="LAYO",PR!$AF757,IF(J759="LEADWAY",PR!$AG757,IF(J759="LHV",PR!$AH757,IF(J759="MANOLA",PR!$AI757,IF(J759="MARCSON",PR!$AJ757,IF(J759="M&amp;B",PR!$AK757,IF(J759="MTRUST",PR!$AL757,IF(J759="MWORLD",PR!$AM757,IF(J759="MEGA",PR!$AN757,IF(J759="MICRONOVA",PR!$AO757,IF(J759="MFLASH",PR!$AP757,IF(J759="MORISON",PR!$AQ757,IF(J759="NEMEL",PR!$AR757,IF(J759="NHP",PR!$AS757,IF(J759="NHC",PR!$AT757,IF(J759="OLEAF",PR!$AU757,IF(J759="OCULUS",PR!$AV757,IF(J759="PACIFIC",PR!$AW757,IF(J759="PHAMATEX",PR!$AX757,IF(J759="PETHICS",PR!$AY757,IF(J759="PHILIPS",PR!$AZ757,IF(J759="RANBAXY",PR!$BA757,IF(J759="REALS",PR!$BB757,IF(J759="ROYAL",PR!$BC757,IF(J759="SAM",PR!$BD757,IF(J759="SEAGREEN",PR!$BE757,IF(J759="SKG",PR!$BF757,IF(J759="TAH",PR!$BG757,IF(J759="TAYLEK",PR!$BH757,IF(J759="TEMITA",PR!$BI757,IF(J759="THL",PR!$BJ757,IF(J759="UBASTIC",PR!$BK757,IF(J759="UNION",PR!$BL757,IF(J759="UNIQUE",PR!$BM757,IF(J759="VIXA",PR!$BN757,IF(J759="WWCV",PR!$BO757,IF(J759="ZOLON",PR!$BP757,"-"))))))))))))))))))))))))))))))))))))))))))))))))))))))))))))))))</f>
        <v>-</v>
      </c>
      <c r="J759" s="102">
        <f>EV!N971</f>
        <v>0</v>
      </c>
      <c r="K759" s="433"/>
      <c r="L759" s="183" t="b">
        <f>IF(K759&gt;0,IF(K759="ALPHA",PR!$E757,IF(K759="ASSENE",PR!$F757,IF(K759="BIOFEM",PR!$G757,IF(K759="BIOMED",PR!$H757,IF(K759="CHI",PR!$I757,IF(K759="CLARION",PR!$J757,IF(K759="CODIX",PR!$K757,IF(K759="COSMADE",PR!$L757,IF(K759="SANCON",PR!$M757,IF(K759="DEVON",PR!$N757,IF(K759="DORTEMAG",PR!$O757,IF(K759="DGF",PR!$P757,IF(K759="DYNAMIC",PR!$Q757,IF(K759="EMZOR",PR!$R757,IF(K759="EUMATT",PR!$S757,IF(K759="FIDSON",PR!$T757,IF(K759="FCGLOBAL",PR!$U757,IF(K759="GENEITH",PR!$V757,IF(K759="GINOS",PR!$W757,IF(K759="GSK",PR!$X757,IF(K759="GLOBORG",PR!$Y757,IF(K759="GOODNEWS",PR!$Z757,IF(K759="GREENLIFE",PR!$AA757,IF(K759="HLINE",PR!$AB757,IF(K759="ROTECH",PR!$AC757,IF(K759="ISN",PR!$AD757,IF(K759="JAWA",PR!$AE757,IF(K759="LAYO",PR!$AF757,IF(K759="LEADWAY",PR!$AG757,IF(K759="LHV",PR!$AH757,IF(K759="MANOLA",PR!$AI757,IF(K759="MARCSON",PR!$AJ757,IF(K759="M&amp;B",PR!$AK757,IF(K759="MTRUST",PR!$AL757,IF(K759="MWORLD",PR!$AM757,IF(K759="MEGA",PR!$AN757,IF(K759="MICRONOVA",PR!$AO757,IF(K759="MFLASH",PR!$AP757,IF(K759="MORISON",PR!$AQ757,IF(K759="NEMEL",PR!$AR757,IF(K759="NHP",PR!$AS757,IF(K759="NHC",PR!$AT757,IF(K759="OLEAF",PR!$AU757,IF(K759="OCULUS",PR!$AV757,IF(K759="PACIFIC",PR!$AW757,IF(K759="PHAMATEX",PR!$AX757,IF(K759="PETHICS",PR!$AY757,IF(K759="PHILIPS",PR!$AZ757,IF(K759="RANBAXY",PR!$BA757,IF(K759="REALS",PR!$BB757,IF(K759="ROYAL",PR!$BC757,IF(K759="SAM",PR!$BD757,IF(K759="SEAGREEN",PR!$BE757,IF(K759="SKG",PR!$BF757,IF(K759="TAH",PR!$BG757,IF(K759="TAYLEK",PR!$BH757,IF(K759="TEMITA",PR!$BI757,IF(K759="THL",PR!$BJ757,IF(K759="UBASTIC",PR!$BK757,IF(K759="UNION",PR!$BL757,IF(K759="UNIQUE",PR!$BM757,IF(K759="VIXA",PR!$BN757,IF(K759="WWCV",PR!$BO757,IF(K759="ZOLON",PR!$BP757,"-")))))))))))))))))))))))))))))))))))))))))))))))))))))))))))))))))</f>
        <v>0</v>
      </c>
    </row>
    <row r="760" spans="1:12" ht="18.75" x14ac:dyDescent="0.3">
      <c r="A760" s="430">
        <f>PR!A758</f>
        <v>688</v>
      </c>
      <c r="B760" s="15" t="str">
        <f>PR!B758</f>
        <v>CHLORHEXIDINE GEL 25G</v>
      </c>
      <c r="C760" s="113" t="str">
        <f>PR!D758</f>
        <v>TUBE</v>
      </c>
      <c r="D760" s="113">
        <f>PR!C758</f>
        <v>52</v>
      </c>
      <c r="E760" s="108">
        <f>IF(F760="ALPHA",PR!$E758,IF(F760="ASSENE",PR!$F758,IF(F760="BIOFEM",PR!$G758,IF(F760="BIOMED",PR!$H758,IF(F760="CHI",PR!$I758,IF(F760="CLARION",PR!$J758,IF(F760="CODIX",PR!$K758,IF(F760="COSMADE",PR!$L758,IF(F760="SANCON",PR!$M758,IF(F760="DEVON",PR!$N758,IF(F760="DORTEMAG",PR!$O758,IF(F760="DGF",PR!$P758,IF(F760="DYNAMIC",PR!$Q758,IF(F760="EMZOR",PR!$R758,IF(F760="EUMATT",PR!$S758,IF(F760="FIDSON",PR!$T758,IF(F760="FCGLOBAL",PR!$U758,IF(F760="GENEITH",PR!$V758,IF(F760="GINOS",PR!$W758,IF(F760="GSK",PR!$X758,IF(F760="GLOBORG",PR!$Y758,IF(F760="GOODNEWS",PR!$Z758,IF(F760="GREENLIFE",PR!$AA758,IF(F760="HLINE",PR!$AB758,IF(F760="ROTECH",PR!$AC758,IF(F760="ISN",PR!$AD758,IF(F760="JAWA",PR!$AE758,IF(F760="LAYO",PR!$AF758,IF(F760="LEADWAY",PR!$AG758,IF(F760="LHV",PR!$AH758,IF(F760="MANOLA",PR!$AI758,IF(F760="MARCSON",PR!$AJ758,IF(F760="M&amp;B",PR!$AK758,IF(F760="MTRUST",PR!$AL758,IF(F760="MWORLD",PR!$AM758,IF(F760="MEGA",PR!$AN758,IF(F760="MICRONOVA",PR!$AO758,IF(F760="MFLASH",PR!$AP758,IF(F760="MORISON",PR!$AQ758,IF(F760="NEMEL",PR!$AR758,IF(F760="NHP",PR!$AS758,IF(F760="NHC",PR!$AT758,IF(F760="OLEAF",PR!$AU758,IF(F760="OCULUS",PR!$AV758,IF(F760="PACIFIC",PR!$AW758,IF(F760="PHAMATEX",PR!$AX758,IF(F760="PETHICS",PR!$AY758,IF(F760="PHILIPS",PR!$AZ758,IF(F760="RANBAXY",PR!$BA758,IF(F760="REALS",PR!$BB758,IF(F760="ROYAL",PR!$BC758,IF(F760="SAM",PR!$BD758,IF(F760="SEAGREEN",PR!$BE758,IF(F760="SKG",PR!$BF758,IF(F760="TAH",PR!$BG758,IF(F760="TAYLEK",PR!$BH758,IF(F760="TEMITA",PR!$BI758,IF(F760="THL",PR!$BJ758,IF(F760="UBASTIC",PR!$BK758,IF(F760="UNION",PR!$BL758,IF(F760="UNIQUE",PR!$BM758,IF(F760="VIXA",PR!$BN758,IF(F760="WWCV",PR!$BO758,IF(F760="ZOLON",PR!$BP758,"-"))))))))))))))))))))))))))))))))))))))))))))))))))))))))))))))))</f>
        <v>120</v>
      </c>
      <c r="F760" s="102" t="str">
        <f>EV!L972</f>
        <v>EMZOR</v>
      </c>
      <c r="G760" s="108">
        <f>IF(H760="ALPHA",PR!$E758,IF(H760="ASSENE",PR!$F758,IF(H760="BIOFEM",PR!$G758,IF(H760="BIOMED",PR!$H758,IF(H760="CHI",PR!$I758,IF(H760="CLARION",PR!$J758,IF(H760="CODIX",PR!$K758,IF(H760="COSMADE",PR!$L758,IF(H760="SANCON",PR!$M758,IF(H760="DEVON",PR!$N758,IF(H760="DORTEMAG",PR!$O758,IF(H760="DGF",PR!$P758,IF(H760="DYNAMIC",PR!$Q758,IF(H760="EMZOR",PR!$R758,IF(H760="EUMATT",PR!$S758,IF(H760="FIDSON",PR!$T758,IF(H760="FCGLOBAL",PR!$U758,IF(H760="GENEITH",PR!$V758,IF(H760="GINOS",PR!$W758,IF(H760="GSK",PR!$X758,IF(H760="GLOBORG",PR!$Y758,IF(H760="GOODNEWS",PR!$Z758,IF(H760="GREENLIFE",PR!$AA758,IF(H760="HLINE",PR!$AB758,IF(H760="ROTECH",PR!$AC758,IF(H760="ISN",PR!$AD758,IF(H760="JAWA",PR!$AE758,IF(H760="LAYO",PR!$AF758,IF(H760="LEADWAY",PR!$AG758,IF(H760="LHV",PR!$AH758,IF(H760="MANOLA",PR!$AI758,IF(H760="MARCSON",PR!$AJ758,IF(H760="M&amp;B",PR!$AK758,IF(H760="MTRUST",PR!$AL758,IF(H760="MWORLD",PR!$AM758,IF(H760="MEGA",PR!$AN758,IF(H760="MICRONOVA",PR!$AO758,IF(H760="MFLASH",PR!$AP758,IF(H760="MORISON",PR!$AQ758,IF(H760="NEMEL",PR!$AR758,IF(H760="NHP",PR!$AS758,IF(H760="NHC",PR!$AT758,IF(H760="OLEAF",PR!$AU758,IF(H760="OCULUS",PR!$AV758,IF(H760="PACIFIC",PR!$AW758,IF(H760="PHAMATEX",PR!$AX758,IF(H760="PETHICS",PR!$AY758,IF(H760="PHILIPS",PR!$AZ758,IF(H760="RANBAXY",PR!$BA758,IF(H760="REALS",PR!$BB758,IF(H760="ROYAL",PR!$BC758,IF(H760="SAM",PR!$BD758,IF(H760="SEAGREEN",PR!$BE758,IF(H760="SKG",PR!$BF758,IF(H760="TAH",PR!$BG758,IF(H760="TAYLEK",PR!$BH758,IF(H760="TEMITA",PR!$BI758,IF(H760="THL",PR!$BJ758,IF(H760="UBASTIC",PR!$BK758,IF(H760="UNION",PR!$BL758,IF(H760="UNIQUE",PR!$BM758,IF(H760="VIXA",PR!$BN758,IF(H760="WWCV",PR!$BO758,IF(H760="ZOLON",PR!$BP758,"-"))))))))))))))))))))))))))))))))))))))))))))))))))))))))))))))))</f>
        <v>150</v>
      </c>
      <c r="H760" s="102" t="str">
        <f>EV!M972</f>
        <v>JAWA</v>
      </c>
      <c r="I760" s="108">
        <f>IF(J760="ALPHA",PR!$E758,IF(J760="ASSENE",PR!$F758,IF(J760="BIOFEM",PR!$G758,IF(J760="BIOMED",PR!$H758,IF(J760="CHI",PR!$I758,IF(J760="CLARION",PR!$J758,IF(J760="CODIX",PR!$K758,IF(J760="COSMADE",PR!$L758,IF(J760="SANCON",PR!$M758,IF(J760="DEVON",PR!$N758,IF(J760="DORTEMAG",PR!$O758,IF(J760="DGF",PR!$P758,IF(J760="DYNAMIC",PR!$Q758,IF(J760="EMZOR",PR!$R758,IF(J760="EUMATT",PR!$S758,IF(J760="FIDSON",PR!$T758,IF(J760="FCGLOBAL",PR!$U758,IF(J760="GENEITH",PR!$V758,IF(J760="GINOS",PR!$W758,IF(J760="GSK",PR!$X758,IF(J760="GLOBORG",PR!$Y758,IF(J760="GOODNEWS",PR!$Z758,IF(J760="GREENLIFE",PR!$AA758,IF(J760="HLINE",PR!$AB758,IF(J760="ROTECH",PR!$AC758,IF(J760="ISN",PR!$AD758,IF(J760="JAWA",PR!$AE758,IF(J760="LAYO",PR!$AF758,IF(J760="LEADWAY",PR!$AG758,IF(J760="LHV",PR!$AH758,IF(J760="MANOLA",PR!$AI758,IF(J760="MARCSON",PR!$AJ758,IF(J760="M&amp;B",PR!$AK758,IF(J760="MTRUST",PR!$AL758,IF(J760="MWORLD",PR!$AM758,IF(J760="MEGA",PR!$AN758,IF(J760="MICRONOVA",PR!$AO758,IF(J760="MFLASH",PR!$AP758,IF(J760="MORISON",PR!$AQ758,IF(J760="NEMEL",PR!$AR758,IF(J760="NHP",PR!$AS758,IF(J760="NHC",PR!$AT758,IF(J760="OLEAF",PR!$AU758,IF(J760="OCULUS",PR!$AV758,IF(J760="PACIFIC",PR!$AW758,IF(J760="PHAMATEX",PR!$AX758,IF(J760="PETHICS",PR!$AY758,IF(J760="PHILIPS",PR!$AZ758,IF(J760="RANBAXY",PR!$BA758,IF(J760="REALS",PR!$BB758,IF(J760="ROYAL",PR!$BC758,IF(J760="SAM",PR!$BD758,IF(J760="SEAGREEN",PR!$BE758,IF(J760="SKG",PR!$BF758,IF(J760="TAH",PR!$BG758,IF(J760="TAYLEK",PR!$BH758,IF(J760="TEMITA",PR!$BI758,IF(J760="THL",PR!$BJ758,IF(J760="UBASTIC",PR!$BK758,IF(J760="UNION",PR!$BL758,IF(J760="UNIQUE",PR!$BM758,IF(J760="VIXA",PR!$BN758,IF(J760="WWCV",PR!$BO758,IF(J760="ZOLON",PR!$BP758,"-"))))))))))))))))))))))))))))))))))))))))))))))))))))))))))))))))</f>
        <v>168</v>
      </c>
      <c r="J760" s="102" t="str">
        <f>EV!N972</f>
        <v>DGF</v>
      </c>
      <c r="K760" s="433" t="s">
        <v>614</v>
      </c>
      <c r="L760" s="183">
        <f>IF(K760&gt;0,IF(K760="ALPHA",PR!$E758,IF(K760="ASSENE",PR!$F758,IF(K760="BIOFEM",PR!$G758,IF(K760="BIOMED",PR!$H758,IF(K760="CHI",PR!$I758,IF(K760="CLARION",PR!$J758,IF(K760="CODIX",PR!$K758,IF(K760="COSMADE",PR!$L758,IF(K760="SANCON",PR!$M758,IF(K760="DEVON",PR!$N758,IF(K760="DORTEMAG",PR!$O758,IF(K760="DGF",PR!$P758,IF(K760="DYNAMIC",PR!$Q758,IF(K760="EMZOR",PR!$R758,IF(K760="EUMATT",PR!$S758,IF(K760="FIDSON",PR!$T758,IF(K760="FCGLOBAL",PR!$U758,IF(K760="GENEITH",PR!$V758,IF(K760="GINOS",PR!$W758,IF(K760="GSK",PR!$X758,IF(K760="GLOBORG",PR!$Y758,IF(K760="GOODNEWS",PR!$Z758,IF(K760="GREENLIFE",PR!$AA758,IF(K760="HLINE",PR!$AB758,IF(K760="ROTECH",PR!$AC758,IF(K760="ISN",PR!$AD758,IF(K760="JAWA",PR!$AE758,IF(K760="LAYO",PR!$AF758,IF(K760="LEADWAY",PR!$AG758,IF(K760="LHV",PR!$AH758,IF(K760="MANOLA",PR!$AI758,IF(K760="MARCSON",PR!$AJ758,IF(K760="M&amp;B",PR!$AK758,IF(K760="MTRUST",PR!$AL758,IF(K760="MWORLD",PR!$AM758,IF(K760="MEGA",PR!$AN758,IF(K760="MICRONOVA",PR!$AO758,IF(K760="MFLASH",PR!$AP758,IF(K760="MORISON",PR!$AQ758,IF(K760="NEMEL",PR!$AR758,IF(K760="NHP",PR!$AS758,IF(K760="NHC",PR!$AT758,IF(K760="OLEAF",PR!$AU758,IF(K760="OCULUS",PR!$AV758,IF(K760="PACIFIC",PR!$AW758,IF(K760="PHAMATEX",PR!$AX758,IF(K760="PETHICS",PR!$AY758,IF(K760="PHILIPS",PR!$AZ758,IF(K760="RANBAXY",PR!$BA758,IF(K760="REALS",PR!$BB758,IF(K760="ROYAL",PR!$BC758,IF(K760="SAM",PR!$BD758,IF(K760="SEAGREEN",PR!$BE758,IF(K760="SKG",PR!$BF758,IF(K760="TAH",PR!$BG758,IF(K760="TAYLEK",PR!$BH758,IF(K760="TEMITA",PR!$BI758,IF(K760="THL",PR!$BJ758,IF(K760="UBASTIC",PR!$BK758,IF(K760="UNION",PR!$BL758,IF(K760="UNIQUE",PR!$BM758,IF(K760="VIXA",PR!$BN758,IF(K760="WWCV",PR!$BO758,IF(K760="ZOLON",PR!$BP758,"-")))))))))))))))))))))))))))))))))))))))))))))))))))))))))))))))))</f>
        <v>120</v>
      </c>
    </row>
    <row r="761" spans="1:12" ht="18.75" x14ac:dyDescent="0.3">
      <c r="A761" s="430">
        <f>PR!A759</f>
        <v>689</v>
      </c>
      <c r="B761" s="15" t="str">
        <f>PR!B759</f>
        <v>CHLORHEXIDINE GEL 3G</v>
      </c>
      <c r="C761" s="113" t="str">
        <f>PR!D759</f>
        <v>TUBE</v>
      </c>
      <c r="D761" s="113">
        <f>PR!C759</f>
        <v>20</v>
      </c>
      <c r="E761" s="108" t="str">
        <f>IF(F761="ALPHA",PR!$E759,IF(F761="ASSENE",PR!$F759,IF(F761="BIOFEM",PR!$G759,IF(F761="BIOMED",PR!$H759,IF(F761="CHI",PR!$I759,IF(F761="CLARION",PR!$J759,IF(F761="CODIX",PR!$K759,IF(F761="COSMADE",PR!$L759,IF(F761="SANCON",PR!$M759,IF(F761="DEVON",PR!$N759,IF(F761="DORTEMAG",PR!$O759,IF(F761="DGF",PR!$P759,IF(F761="DYNAMIC",PR!$Q759,IF(F761="EMZOR",PR!$R759,IF(F761="EUMATT",PR!$S759,IF(F761="FIDSON",PR!$T759,IF(F761="FCGLOBAL",PR!$U759,IF(F761="GENEITH",PR!$V759,IF(F761="GINOS",PR!$W759,IF(F761="GSK",PR!$X759,IF(F761="GLOBORG",PR!$Y759,IF(F761="GOODNEWS",PR!$Z759,IF(F761="GREENLIFE",PR!$AA759,IF(F761="HLINE",PR!$AB759,IF(F761="ROTECH",PR!$AC759,IF(F761="ISN",PR!$AD759,IF(F761="JAWA",PR!$AE759,IF(F761="LAYO",PR!$AF759,IF(F761="LEADWAY",PR!$AG759,IF(F761="LHV",PR!$AH759,IF(F761="MANOLA",PR!$AI759,IF(F761="MARCSON",PR!$AJ759,IF(F761="M&amp;B",PR!$AK759,IF(F761="MTRUST",PR!$AL759,IF(F761="MWORLD",PR!$AM759,IF(F761="MEGA",PR!$AN759,IF(F761="MICRONOVA",PR!$AO759,IF(F761="MFLASH",PR!$AP759,IF(F761="MORISON",PR!$AQ759,IF(F761="NEMEL",PR!$AR759,IF(F761="NHP",PR!$AS759,IF(F761="NHC",PR!$AT759,IF(F761="OLEAF",PR!$AU759,IF(F761="OCULUS",PR!$AV759,IF(F761="PACIFIC",PR!$AW759,IF(F761="PHAMATEX",PR!$AX759,IF(F761="PETHICS",PR!$AY759,IF(F761="PHILIPS",PR!$AZ759,IF(F761="RANBAXY",PR!$BA759,IF(F761="REALS",PR!$BB759,IF(F761="ROYAL",PR!$BC759,IF(F761="SAM",PR!$BD759,IF(F761="SEAGREEN",PR!$BE759,IF(F761="SKG",PR!$BF759,IF(F761="TAH",PR!$BG759,IF(F761="TAYLEK",PR!$BH759,IF(F761="TEMITA",PR!$BI759,IF(F761="THL",PR!$BJ759,IF(F761="UBASTIC",PR!$BK759,IF(F761="UNION",PR!$BL759,IF(F761="UNIQUE",PR!$BM759,IF(F761="VIXA",PR!$BN759,IF(F761="WWCV",PR!$BO759,IF(F761="ZOLON",PR!$BP759,"-"))))))))))))))))))))))))))))))))))))))))))))))))))))))))))))))))</f>
        <v>-</v>
      </c>
      <c r="F761" s="102">
        <f>EV!L973</f>
        <v>0</v>
      </c>
      <c r="G761" s="108" t="str">
        <f>IF(H761="ALPHA",PR!$E759,IF(H761="ASSENE",PR!$F759,IF(H761="BIOFEM",PR!$G759,IF(H761="BIOMED",PR!$H759,IF(H761="CHI",PR!$I759,IF(H761="CLARION",PR!$J759,IF(H761="CODIX",PR!$K759,IF(H761="COSMADE",PR!$L759,IF(H761="SANCON",PR!$M759,IF(H761="DEVON",PR!$N759,IF(H761="DORTEMAG",PR!$O759,IF(H761="DGF",PR!$P759,IF(H761="DYNAMIC",PR!$Q759,IF(H761="EMZOR",PR!$R759,IF(H761="EUMATT",PR!$S759,IF(H761="FIDSON",PR!$T759,IF(H761="FCGLOBAL",PR!$U759,IF(H761="GENEITH",PR!$V759,IF(H761="GINOS",PR!$W759,IF(H761="GSK",PR!$X759,IF(H761="GLOBORG",PR!$Y759,IF(H761="GOODNEWS",PR!$Z759,IF(H761="GREENLIFE",PR!$AA759,IF(H761="HLINE",PR!$AB759,IF(H761="ROTECH",PR!$AC759,IF(H761="ISN",PR!$AD759,IF(H761="JAWA",PR!$AE759,IF(H761="LAYO",PR!$AF759,IF(H761="LEADWAY",PR!$AG759,IF(H761="LHV",PR!$AH759,IF(H761="MANOLA",PR!$AI759,IF(H761="MARCSON",PR!$AJ759,IF(H761="M&amp;B",PR!$AK759,IF(H761="MTRUST",PR!$AL759,IF(H761="MWORLD",PR!$AM759,IF(H761="MEGA",PR!$AN759,IF(H761="MICRONOVA",PR!$AO759,IF(H761="MFLASH",PR!$AP759,IF(H761="MORISON",PR!$AQ759,IF(H761="NEMEL",PR!$AR759,IF(H761="NHP",PR!$AS759,IF(H761="NHC",PR!$AT759,IF(H761="OLEAF",PR!$AU759,IF(H761="OCULUS",PR!$AV759,IF(H761="PACIFIC",PR!$AW759,IF(H761="PHAMATEX",PR!$AX759,IF(H761="PETHICS",PR!$AY759,IF(H761="PHILIPS",PR!$AZ759,IF(H761="RANBAXY",PR!$BA759,IF(H761="REALS",PR!$BB759,IF(H761="ROYAL",PR!$BC759,IF(H761="SAM",PR!$BD759,IF(H761="SEAGREEN",PR!$BE759,IF(H761="SKG",PR!$BF759,IF(H761="TAH",PR!$BG759,IF(H761="TAYLEK",PR!$BH759,IF(H761="TEMITA",PR!$BI759,IF(H761="THL",PR!$BJ759,IF(H761="UBASTIC",PR!$BK759,IF(H761="UNION",PR!$BL759,IF(H761="UNIQUE",PR!$BM759,IF(H761="VIXA",PR!$BN759,IF(H761="WWCV",PR!$BO759,IF(H761="ZOLON",PR!$BP759,"-"))))))))))))))))))))))))))))))))))))))))))))))))))))))))))))))))</f>
        <v>-</v>
      </c>
      <c r="H761" s="102">
        <f>EV!M973</f>
        <v>0</v>
      </c>
      <c r="I761" s="108" t="str">
        <f>IF(J761="ALPHA",PR!$E759,IF(J761="ASSENE",PR!$F759,IF(J761="BIOFEM",PR!$G759,IF(J761="BIOMED",PR!$H759,IF(J761="CHI",PR!$I759,IF(J761="CLARION",PR!$J759,IF(J761="CODIX",PR!$K759,IF(J761="COSMADE",PR!$L759,IF(J761="SANCON",PR!$M759,IF(J761="DEVON",PR!$N759,IF(J761="DORTEMAG",PR!$O759,IF(J761="DGF",PR!$P759,IF(J761="DYNAMIC",PR!$Q759,IF(J761="EMZOR",PR!$R759,IF(J761="EUMATT",PR!$S759,IF(J761="FIDSON",PR!$T759,IF(J761="FCGLOBAL",PR!$U759,IF(J761="GENEITH",PR!$V759,IF(J761="GINOS",PR!$W759,IF(J761="GSK",PR!$X759,IF(J761="GLOBORG",PR!$Y759,IF(J761="GOODNEWS",PR!$Z759,IF(J761="GREENLIFE",PR!$AA759,IF(J761="HLINE",PR!$AB759,IF(J761="ROTECH",PR!$AC759,IF(J761="ISN",PR!$AD759,IF(J761="JAWA",PR!$AE759,IF(J761="LAYO",PR!$AF759,IF(J761="LEADWAY",PR!$AG759,IF(J761="LHV",PR!$AH759,IF(J761="MANOLA",PR!$AI759,IF(J761="MARCSON",PR!$AJ759,IF(J761="M&amp;B",PR!$AK759,IF(J761="MTRUST",PR!$AL759,IF(J761="MWORLD",PR!$AM759,IF(J761="MEGA",PR!$AN759,IF(J761="MICRONOVA",PR!$AO759,IF(J761="MFLASH",PR!$AP759,IF(J761="MORISON",PR!$AQ759,IF(J761="NEMEL",PR!$AR759,IF(J761="NHP",PR!$AS759,IF(J761="NHC",PR!$AT759,IF(J761="OLEAF",PR!$AU759,IF(J761="OCULUS",PR!$AV759,IF(J761="PACIFIC",PR!$AW759,IF(J761="PHAMATEX",PR!$AX759,IF(J761="PETHICS",PR!$AY759,IF(J761="PHILIPS",PR!$AZ759,IF(J761="RANBAXY",PR!$BA759,IF(J761="REALS",PR!$BB759,IF(J761="ROYAL",PR!$BC759,IF(J761="SAM",PR!$BD759,IF(J761="SEAGREEN",PR!$BE759,IF(J761="SKG",PR!$BF759,IF(J761="TAH",PR!$BG759,IF(J761="TAYLEK",PR!$BH759,IF(J761="TEMITA",PR!$BI759,IF(J761="THL",PR!$BJ759,IF(J761="UBASTIC",PR!$BK759,IF(J761="UNION",PR!$BL759,IF(J761="UNIQUE",PR!$BM759,IF(J761="VIXA",PR!$BN759,IF(J761="WWCV",PR!$BO759,IF(J761="ZOLON",PR!$BP759,"-"))))))))))))))))))))))))))))))))))))))))))))))))))))))))))))))))</f>
        <v>-</v>
      </c>
      <c r="J761" s="102">
        <f>EV!N973</f>
        <v>0</v>
      </c>
      <c r="K761" s="433"/>
      <c r="L761" s="183" t="b">
        <f>IF(K761&gt;0,IF(K761="ALPHA",PR!$E759,IF(K761="ASSENE",PR!$F759,IF(K761="BIOFEM",PR!$G759,IF(K761="BIOMED",PR!$H759,IF(K761="CHI",PR!$I759,IF(K761="CLARION",PR!$J759,IF(K761="CODIX",PR!$K759,IF(K761="COSMADE",PR!$L759,IF(K761="SANCON",PR!$M759,IF(K761="DEVON",PR!$N759,IF(K761="DORTEMAG",PR!$O759,IF(K761="DGF",PR!$P759,IF(K761="DYNAMIC",PR!$Q759,IF(K761="EMZOR",PR!$R759,IF(K761="EUMATT",PR!$S759,IF(K761="FIDSON",PR!$T759,IF(K761="FCGLOBAL",PR!$U759,IF(K761="GENEITH",PR!$V759,IF(K761="GINOS",PR!$W759,IF(K761="GSK",PR!$X759,IF(K761="GLOBORG",PR!$Y759,IF(K761="GOODNEWS",PR!$Z759,IF(K761="GREENLIFE",PR!$AA759,IF(K761="HLINE",PR!$AB759,IF(K761="ROTECH",PR!$AC759,IF(K761="ISN",PR!$AD759,IF(K761="JAWA",PR!$AE759,IF(K761="LAYO",PR!$AF759,IF(K761="LEADWAY",PR!$AG759,IF(K761="LHV",PR!$AH759,IF(K761="MANOLA",PR!$AI759,IF(K761="MARCSON",PR!$AJ759,IF(K761="M&amp;B",PR!$AK759,IF(K761="MTRUST",PR!$AL759,IF(K761="MWORLD",PR!$AM759,IF(K761="MEGA",PR!$AN759,IF(K761="MICRONOVA",PR!$AO759,IF(K761="MFLASH",PR!$AP759,IF(K761="MORISON",PR!$AQ759,IF(K761="NEMEL",PR!$AR759,IF(K761="NHP",PR!$AS759,IF(K761="NHC",PR!$AT759,IF(K761="OLEAF",PR!$AU759,IF(K761="OCULUS",PR!$AV759,IF(K761="PACIFIC",PR!$AW759,IF(K761="PHAMATEX",PR!$AX759,IF(K761="PETHICS",PR!$AY759,IF(K761="PHILIPS",PR!$AZ759,IF(K761="RANBAXY",PR!$BA759,IF(K761="REALS",PR!$BB759,IF(K761="ROYAL",PR!$BC759,IF(K761="SAM",PR!$BD759,IF(K761="SEAGREEN",PR!$BE759,IF(K761="SKG",PR!$BF759,IF(K761="TAH",PR!$BG759,IF(K761="TAYLEK",PR!$BH759,IF(K761="TEMITA",PR!$BI759,IF(K761="THL",PR!$BJ759,IF(K761="UBASTIC",PR!$BK759,IF(K761="UNION",PR!$BL759,IF(K761="UNIQUE",PR!$BM759,IF(K761="VIXA",PR!$BN759,IF(K761="WWCV",PR!$BO759,IF(K761="ZOLON",PR!$BP759,"-")))))))))))))))))))))))))))))))))))))))))))))))))))))))))))))))))</f>
        <v>0</v>
      </c>
    </row>
    <row r="762" spans="1:12" ht="18.75" x14ac:dyDescent="0.3">
      <c r="A762" s="430">
        <f>PR!A760</f>
        <v>690</v>
      </c>
      <c r="B762" s="15" t="str">
        <f>PR!B760</f>
        <v>CIKLAVIT SYR</v>
      </c>
      <c r="C762" s="113" t="str">
        <f>PR!D760</f>
        <v>200ML</v>
      </c>
      <c r="D762" s="113">
        <f>PR!C760</f>
        <v>20</v>
      </c>
      <c r="E762" s="108">
        <f>IF(F762="ALPHA",PR!$E760,IF(F762="ASSENE",PR!$F760,IF(F762="BIOFEM",PR!$G760,IF(F762="BIOMED",PR!$H760,IF(F762="CHI",PR!$I760,IF(F762="CLARION",PR!$J760,IF(F762="CODIX",PR!$K760,IF(F762="COSMADE",PR!$L760,IF(F762="SANCON",PR!$M760,IF(F762="DEVON",PR!$N760,IF(F762="DORTEMAG",PR!$O760,IF(F762="DGF",PR!$P760,IF(F762="DYNAMIC",PR!$Q760,IF(F762="EMZOR",PR!$R760,IF(F762="EUMATT",PR!$S760,IF(F762="FIDSON",PR!$T760,IF(F762="FCGLOBAL",PR!$U760,IF(F762="GENEITH",PR!$V760,IF(F762="GINOS",PR!$W760,IF(F762="GSK",PR!$X760,IF(F762="GLOBORG",PR!$Y760,IF(F762="GOODNEWS",PR!$Z760,IF(F762="GREENLIFE",PR!$AA760,IF(F762="HLINE",PR!$AB760,IF(F762="ROTECH",PR!$AC760,IF(F762="ISN",PR!$AD760,IF(F762="JAWA",PR!$AE760,IF(F762="LAYO",PR!$AF760,IF(F762="LEADWAY",PR!$AG760,IF(F762="LHV",PR!$AH760,IF(F762="MANOLA",PR!$AI760,IF(F762="MARCSON",PR!$AJ760,IF(F762="M&amp;B",PR!$AK760,IF(F762="MTRUST",PR!$AL760,IF(F762="MWORLD",PR!$AM760,IF(F762="MEGA",PR!$AN760,IF(F762="MICRONOVA",PR!$AO760,IF(F762="MFLASH",PR!$AP760,IF(F762="MORISON",PR!$AQ760,IF(F762="NEMEL",PR!$AR760,IF(F762="NHP",PR!$AS760,IF(F762="NHC",PR!$AT760,IF(F762="OLEAF",PR!$AU760,IF(F762="OCULUS",PR!$AV760,IF(F762="PACIFIC",PR!$AW760,IF(F762="PHAMATEX",PR!$AX760,IF(F762="PETHICS",PR!$AY760,IF(F762="PHILIPS",PR!$AZ760,IF(F762="RANBAXY",PR!$BA760,IF(F762="REALS",PR!$BB760,IF(F762="ROYAL",PR!$BC760,IF(F762="SAM",PR!$BD760,IF(F762="SEAGREEN",PR!$BE760,IF(F762="SKG",PR!$BF760,IF(F762="TAH",PR!$BG760,IF(F762="TAYLEK",PR!$BH760,IF(F762="TEMITA",PR!$BI760,IF(F762="THL",PR!$BJ760,IF(F762="UBASTIC",PR!$BK760,IF(F762="UNION",PR!$BL760,IF(F762="UNIQUE",PR!$BM760,IF(F762="VIXA",PR!$BN760,IF(F762="WWCV",PR!$BO760,IF(F762="ZOLON",PR!$BP760,"-"))))))))))))))))))))))))))))))))))))))))))))))))))))))))))))))))</f>
        <v>1200</v>
      </c>
      <c r="F762" s="102" t="str">
        <f>EV!L974</f>
        <v>EUMATT</v>
      </c>
      <c r="G762" s="108" t="str">
        <f>IF(H762="ALPHA",PR!$E760,IF(H762="ASSENE",PR!$F760,IF(H762="BIOFEM",PR!$G760,IF(H762="BIOMED",PR!$H760,IF(H762="CHI",PR!$I760,IF(H762="CLARION",PR!$J760,IF(H762="CODIX",PR!$K760,IF(H762="COSMADE",PR!$L760,IF(H762="SANCON",PR!$M760,IF(H762="DEVON",PR!$N760,IF(H762="DORTEMAG",PR!$O760,IF(H762="DGF",PR!$P760,IF(H762="DYNAMIC",PR!$Q760,IF(H762="EMZOR",PR!$R760,IF(H762="EUMATT",PR!$S760,IF(H762="FIDSON",PR!$T760,IF(H762="FCGLOBAL",PR!$U760,IF(H762="GENEITH",PR!$V760,IF(H762="GINOS",PR!$W760,IF(H762="GSK",PR!$X760,IF(H762="GLOBORG",PR!$Y760,IF(H762="GOODNEWS",PR!$Z760,IF(H762="GREENLIFE",PR!$AA760,IF(H762="HLINE",PR!$AB760,IF(H762="ROTECH",PR!$AC760,IF(H762="ISN",PR!$AD760,IF(H762="JAWA",PR!$AE760,IF(H762="LAYO",PR!$AF760,IF(H762="LEADWAY",PR!$AG760,IF(H762="LHV",PR!$AH760,IF(H762="MANOLA",PR!$AI760,IF(H762="MARCSON",PR!$AJ760,IF(H762="M&amp;B",PR!$AK760,IF(H762="MTRUST",PR!$AL760,IF(H762="MWORLD",PR!$AM760,IF(H762="MEGA",PR!$AN760,IF(H762="MICRONOVA",PR!$AO760,IF(H762="MFLASH",PR!$AP760,IF(H762="MORISON",PR!$AQ760,IF(H762="NEMEL",PR!$AR760,IF(H762="NHP",PR!$AS760,IF(H762="NHC",PR!$AT760,IF(H762="OLEAF",PR!$AU760,IF(H762="OCULUS",PR!$AV760,IF(H762="PACIFIC",PR!$AW760,IF(H762="PHAMATEX",PR!$AX760,IF(H762="PETHICS",PR!$AY760,IF(H762="PHILIPS",PR!$AZ760,IF(H762="RANBAXY",PR!$BA760,IF(H762="REALS",PR!$BB760,IF(H762="ROYAL",PR!$BC760,IF(H762="SAM",PR!$BD760,IF(H762="SEAGREEN",PR!$BE760,IF(H762="SKG",PR!$BF760,IF(H762="TAH",PR!$BG760,IF(H762="TAYLEK",PR!$BH760,IF(H762="TEMITA",PR!$BI760,IF(H762="THL",PR!$BJ760,IF(H762="UBASTIC",PR!$BK760,IF(H762="UNION",PR!$BL760,IF(H762="UNIQUE",PR!$BM760,IF(H762="VIXA",PR!$BN760,IF(H762="WWCV",PR!$BO760,IF(H762="ZOLON",PR!$BP760,"-"))))))))))))))))))))))))))))))))))))))))))))))))))))))))))))))))</f>
        <v>-</v>
      </c>
      <c r="H762" s="102">
        <f>EV!M974</f>
        <v>0</v>
      </c>
      <c r="I762" s="108" t="str">
        <f>IF(J762="ALPHA",PR!$E760,IF(J762="ASSENE",PR!$F760,IF(J762="BIOFEM",PR!$G760,IF(J762="BIOMED",PR!$H760,IF(J762="CHI",PR!$I760,IF(J762="CLARION",PR!$J760,IF(J762="CODIX",PR!$K760,IF(J762="COSMADE",PR!$L760,IF(J762="SANCON",PR!$M760,IF(J762="DEVON",PR!$N760,IF(J762="DORTEMAG",PR!$O760,IF(J762="DGF",PR!$P760,IF(J762="DYNAMIC",PR!$Q760,IF(J762="EMZOR",PR!$R760,IF(J762="EUMATT",PR!$S760,IF(J762="FIDSON",PR!$T760,IF(J762="FCGLOBAL",PR!$U760,IF(J762="GENEITH",PR!$V760,IF(J762="GINOS",PR!$W760,IF(J762="GSK",PR!$X760,IF(J762="GLOBORG",PR!$Y760,IF(J762="GOODNEWS",PR!$Z760,IF(J762="GREENLIFE",PR!$AA760,IF(J762="HLINE",PR!$AB760,IF(J762="ROTECH",PR!$AC760,IF(J762="ISN",PR!$AD760,IF(J762="JAWA",PR!$AE760,IF(J762="LAYO",PR!$AF760,IF(J762="LEADWAY",PR!$AG760,IF(J762="LHV",PR!$AH760,IF(J762="MANOLA",PR!$AI760,IF(J762="MARCSON",PR!$AJ760,IF(J762="M&amp;B",PR!$AK760,IF(J762="MTRUST",PR!$AL760,IF(J762="MWORLD",PR!$AM760,IF(J762="MEGA",PR!$AN760,IF(J762="MICRONOVA",PR!$AO760,IF(J762="MFLASH",PR!$AP760,IF(J762="MORISON",PR!$AQ760,IF(J762="NEMEL",PR!$AR760,IF(J762="NHP",PR!$AS760,IF(J762="NHC",PR!$AT760,IF(J762="OLEAF",PR!$AU760,IF(J762="OCULUS",PR!$AV760,IF(J762="PACIFIC",PR!$AW760,IF(J762="PHAMATEX",PR!$AX760,IF(J762="PETHICS",PR!$AY760,IF(J762="PHILIPS",PR!$AZ760,IF(J762="RANBAXY",PR!$BA760,IF(J762="REALS",PR!$BB760,IF(J762="ROYAL",PR!$BC760,IF(J762="SAM",PR!$BD760,IF(J762="SEAGREEN",PR!$BE760,IF(J762="SKG",PR!$BF760,IF(J762="TAH",PR!$BG760,IF(J762="TAYLEK",PR!$BH760,IF(J762="TEMITA",PR!$BI760,IF(J762="THL",PR!$BJ760,IF(J762="UBASTIC",PR!$BK760,IF(J762="UNION",PR!$BL760,IF(J762="UNIQUE",PR!$BM760,IF(J762="VIXA",PR!$BN760,IF(J762="WWCV",PR!$BO760,IF(J762="ZOLON",PR!$BP760,"-"))))))))))))))))))))))))))))))))))))))))))))))))))))))))))))))))</f>
        <v>-</v>
      </c>
      <c r="J762" s="102">
        <f>EV!N974</f>
        <v>0</v>
      </c>
      <c r="K762" s="433" t="s">
        <v>821</v>
      </c>
      <c r="L762" s="183">
        <f>IF(K762&gt;0,IF(K762="ALPHA",PR!$E760,IF(K762="ASSENE",PR!$F760,IF(K762="BIOFEM",PR!$G760,IF(K762="BIOMED",PR!$H760,IF(K762="CHI",PR!$I760,IF(K762="CLARION",PR!$J760,IF(K762="CODIX",PR!$K760,IF(K762="COSMADE",PR!$L760,IF(K762="SANCON",PR!$M760,IF(K762="DEVON",PR!$N760,IF(K762="DORTEMAG",PR!$O760,IF(K762="DGF",PR!$P760,IF(K762="DYNAMIC",PR!$Q760,IF(K762="EMZOR",PR!$R760,IF(K762="EUMATT",PR!$S760,IF(K762="FIDSON",PR!$T760,IF(K762="FCGLOBAL",PR!$U760,IF(K762="GENEITH",PR!$V760,IF(K762="GINOS",PR!$W760,IF(K762="GSK",PR!$X760,IF(K762="GLOBORG",PR!$Y760,IF(K762="GOODNEWS",PR!$Z760,IF(K762="GREENLIFE",PR!$AA760,IF(K762="HLINE",PR!$AB760,IF(K762="ROTECH",PR!$AC760,IF(K762="ISN",PR!$AD760,IF(K762="JAWA",PR!$AE760,IF(K762="LAYO",PR!$AF760,IF(K762="LEADWAY",PR!$AG760,IF(K762="LHV",PR!$AH760,IF(K762="MANOLA",PR!$AI760,IF(K762="MARCSON",PR!$AJ760,IF(K762="M&amp;B",PR!$AK760,IF(K762="MTRUST",PR!$AL760,IF(K762="MWORLD",PR!$AM760,IF(K762="MEGA",PR!$AN760,IF(K762="MICRONOVA",PR!$AO760,IF(K762="MFLASH",PR!$AP760,IF(K762="MORISON",PR!$AQ760,IF(K762="NEMEL",PR!$AR760,IF(K762="NHP",PR!$AS760,IF(K762="NHC",PR!$AT760,IF(K762="OLEAF",PR!$AU760,IF(K762="OCULUS",PR!$AV760,IF(K762="PACIFIC",PR!$AW760,IF(K762="PHAMATEX",PR!$AX760,IF(K762="PETHICS",PR!$AY760,IF(K762="PHILIPS",PR!$AZ760,IF(K762="RANBAXY",PR!$BA760,IF(K762="REALS",PR!$BB760,IF(K762="ROYAL",PR!$BC760,IF(K762="SAM",PR!$BD760,IF(K762="SEAGREEN",PR!$BE760,IF(K762="SKG",PR!$BF760,IF(K762="TAH",PR!$BG760,IF(K762="TAYLEK",PR!$BH760,IF(K762="TEMITA",PR!$BI760,IF(K762="THL",PR!$BJ760,IF(K762="UBASTIC",PR!$BK760,IF(K762="UNION",PR!$BL760,IF(K762="UNIQUE",PR!$BM760,IF(K762="VIXA",PR!$BN760,IF(K762="WWCV",PR!$BO760,IF(K762="ZOLON",PR!$BP760,"-")))))))))))))))))))))))))))))))))))))))))))))))))))))))))))))))))</f>
        <v>1200</v>
      </c>
    </row>
    <row r="763" spans="1:12" ht="18.75" x14ac:dyDescent="0.3">
      <c r="A763" s="430">
        <f>PR!A761</f>
        <v>691</v>
      </c>
      <c r="B763" s="15" t="str">
        <f>PR!B761</f>
        <v>DUTASTERIDE+TAMSULOSIN   0.5MG/0.4MG</v>
      </c>
      <c r="C763" s="113">
        <f>PR!D761</f>
        <v>30</v>
      </c>
      <c r="D763" s="113">
        <f>PR!C761</f>
        <v>20</v>
      </c>
      <c r="E763" s="108">
        <f>IF(F763="ALPHA",PR!$E761,IF(F763="ASSENE",PR!$F761,IF(F763="BIOFEM",PR!$G761,IF(F763="BIOMED",PR!$H761,IF(F763="CHI",PR!$I761,IF(F763="CLARION",PR!$J761,IF(F763="CODIX",PR!$K761,IF(F763="COSMADE",PR!$L761,IF(F763="SANCON",PR!$M761,IF(F763="DEVON",PR!$N761,IF(F763="DORTEMAG",PR!$O761,IF(F763="DGF",PR!$P761,IF(F763="DYNAMIC",PR!$Q761,IF(F763="EMZOR",PR!$R761,IF(F763="EUMATT",PR!$S761,IF(F763="FIDSON",PR!$T761,IF(F763="FCGLOBAL",PR!$U761,IF(F763="GENEITH",PR!$V761,IF(F763="GINOS",PR!$W761,IF(F763="GSK",PR!$X761,IF(F763="GLOBORG",PR!$Y761,IF(F763="GOODNEWS",PR!$Z761,IF(F763="GREENLIFE",PR!$AA761,IF(F763="HLINE",PR!$AB761,IF(F763="ROTECH",PR!$AC761,IF(F763="ISN",PR!$AD761,IF(F763="JAWA",PR!$AE761,IF(F763="LAYO",PR!$AF761,IF(F763="LEADWAY",PR!$AG761,IF(F763="LHV",PR!$AH761,IF(F763="MANOLA",PR!$AI761,IF(F763="MARCSON",PR!$AJ761,IF(F763="M&amp;B",PR!$AK761,IF(F763="MTRUST",PR!$AL761,IF(F763="MWORLD",PR!$AM761,IF(F763="MEGA",PR!$AN761,IF(F763="MICRONOVA",PR!$AO761,IF(F763="MFLASH",PR!$AP761,IF(F763="MORISON",PR!$AQ761,IF(F763="NEMEL",PR!$AR761,IF(F763="NHP",PR!$AS761,IF(F763="NHC",PR!$AT761,IF(F763="OLEAF",PR!$AU761,IF(F763="OCULUS",PR!$AV761,IF(F763="PACIFIC",PR!$AW761,IF(F763="PHAMATEX",PR!$AX761,IF(F763="PETHICS",PR!$AY761,IF(F763="PHILIPS",PR!$AZ761,IF(F763="RANBAXY",PR!$BA761,IF(F763="REALS",PR!$BB761,IF(F763="ROYAL",PR!$BC761,IF(F763="SAM",PR!$BD761,IF(F763="SEAGREEN",PR!$BE761,IF(F763="SKG",PR!$BF761,IF(F763="TAH",PR!$BG761,IF(F763="TAYLEK",PR!$BH761,IF(F763="TEMITA",PR!$BI761,IF(F763="THL",PR!$BJ761,IF(F763="UBASTIC",PR!$BK761,IF(F763="UNION",PR!$BL761,IF(F763="UNIQUE",PR!$BM761,IF(F763="VIXA",PR!$BN761,IF(F763="WWCV",PR!$BO761,IF(F763="ZOLON",PR!$BP761,"-"))))))))))))))))))))))))))))))))))))))))))))))))))))))))))))))))</f>
        <v>5493.76</v>
      </c>
      <c r="F763" s="102" t="str">
        <f>EV!L975</f>
        <v>GSK</v>
      </c>
      <c r="G763" s="108">
        <f>IF(H763="ALPHA",PR!$E761,IF(H763="ASSENE",PR!$F761,IF(H763="BIOFEM",PR!$G761,IF(H763="BIOMED",PR!$H761,IF(H763="CHI",PR!$I761,IF(H763="CLARION",PR!$J761,IF(H763="CODIX",PR!$K761,IF(H763="COSMADE",PR!$L761,IF(H763="SANCON",PR!$M761,IF(H763="DEVON",PR!$N761,IF(H763="DORTEMAG",PR!$O761,IF(H763="DGF",PR!$P761,IF(H763="DYNAMIC",PR!$Q761,IF(H763="EMZOR",PR!$R761,IF(H763="EUMATT",PR!$S761,IF(H763="FIDSON",PR!$T761,IF(H763="FCGLOBAL",PR!$U761,IF(H763="GENEITH",PR!$V761,IF(H763="GINOS",PR!$W761,IF(H763="GSK",PR!$X761,IF(H763="GLOBORG",PR!$Y761,IF(H763="GOODNEWS",PR!$Z761,IF(H763="GREENLIFE",PR!$AA761,IF(H763="HLINE",PR!$AB761,IF(H763="ROTECH",PR!$AC761,IF(H763="ISN",PR!$AD761,IF(H763="JAWA",PR!$AE761,IF(H763="LAYO",PR!$AF761,IF(H763="LEADWAY",PR!$AG761,IF(H763="LHV",PR!$AH761,IF(H763="MANOLA",PR!$AI761,IF(H763="MARCSON",PR!$AJ761,IF(H763="M&amp;B",PR!$AK761,IF(H763="MTRUST",PR!$AL761,IF(H763="MWORLD",PR!$AM761,IF(H763="MEGA",PR!$AN761,IF(H763="MICRONOVA",PR!$AO761,IF(H763="MFLASH",PR!$AP761,IF(H763="MORISON",PR!$AQ761,IF(H763="NEMEL",PR!$AR761,IF(H763="NHP",PR!$AS761,IF(H763="NHC",PR!$AT761,IF(H763="OLEAF",PR!$AU761,IF(H763="OCULUS",PR!$AV761,IF(H763="PACIFIC",PR!$AW761,IF(H763="PHAMATEX",PR!$AX761,IF(H763="PETHICS",PR!$AY761,IF(H763="PHILIPS",PR!$AZ761,IF(H763="RANBAXY",PR!$BA761,IF(H763="REALS",PR!$BB761,IF(H763="ROYAL",PR!$BC761,IF(H763="SAM",PR!$BD761,IF(H763="SEAGREEN",PR!$BE761,IF(H763="SKG",PR!$BF761,IF(H763="TAH",PR!$BG761,IF(H763="TAYLEK",PR!$BH761,IF(H763="TEMITA",PR!$BI761,IF(H763="THL",PR!$BJ761,IF(H763="UBASTIC",PR!$BK761,IF(H763="UNION",PR!$BL761,IF(H763="UNIQUE",PR!$BM761,IF(H763="VIXA",PR!$BN761,IF(H763="WWCV",PR!$BO761,IF(H763="ZOLON",PR!$BP761,"-"))))))))))))))))))))))))))))))))))))))))))))))))))))))))))))))))</f>
        <v>7200</v>
      </c>
      <c r="H763" s="102" t="str">
        <f>EV!M975</f>
        <v>EUMATT</v>
      </c>
      <c r="I763" s="108" t="str">
        <f>IF(J763="ALPHA",PR!$E761,IF(J763="ASSENE",PR!$F761,IF(J763="BIOFEM",PR!$G761,IF(J763="BIOMED",PR!$H761,IF(J763="CHI",PR!$I761,IF(J763="CLARION",PR!$J761,IF(J763="CODIX",PR!$K761,IF(J763="COSMADE",PR!$L761,IF(J763="SANCON",PR!$M761,IF(J763="DEVON",PR!$N761,IF(J763="DORTEMAG",PR!$O761,IF(J763="DGF",PR!$P761,IF(J763="DYNAMIC",PR!$Q761,IF(J763="EMZOR",PR!$R761,IF(J763="EUMATT",PR!$S761,IF(J763="FIDSON",PR!$T761,IF(J763="FCGLOBAL",PR!$U761,IF(J763="GENEITH",PR!$V761,IF(J763="GINOS",PR!$W761,IF(J763="GSK",PR!$X761,IF(J763="GLOBORG",PR!$Y761,IF(J763="GOODNEWS",PR!$Z761,IF(J763="GREENLIFE",PR!$AA761,IF(J763="HLINE",PR!$AB761,IF(J763="ROTECH",PR!$AC761,IF(J763="ISN",PR!$AD761,IF(J763="JAWA",PR!$AE761,IF(J763="LAYO",PR!$AF761,IF(J763="LEADWAY",PR!$AG761,IF(J763="LHV",PR!$AH761,IF(J763="MANOLA",PR!$AI761,IF(J763="MARCSON",PR!$AJ761,IF(J763="M&amp;B",PR!$AK761,IF(J763="MTRUST",PR!$AL761,IF(J763="MWORLD",PR!$AM761,IF(J763="MEGA",PR!$AN761,IF(J763="MICRONOVA",PR!$AO761,IF(J763="MFLASH",PR!$AP761,IF(J763="MORISON",PR!$AQ761,IF(J763="NEMEL",PR!$AR761,IF(J763="NHP",PR!$AS761,IF(J763="NHC",PR!$AT761,IF(J763="OLEAF",PR!$AU761,IF(J763="OCULUS",PR!$AV761,IF(J763="PACIFIC",PR!$AW761,IF(J763="PHAMATEX",PR!$AX761,IF(J763="PETHICS",PR!$AY761,IF(J763="PHILIPS",PR!$AZ761,IF(J763="RANBAXY",PR!$BA761,IF(J763="REALS",PR!$BB761,IF(J763="ROYAL",PR!$BC761,IF(J763="SAM",PR!$BD761,IF(J763="SEAGREEN",PR!$BE761,IF(J763="SKG",PR!$BF761,IF(J763="TAH",PR!$BG761,IF(J763="TAYLEK",PR!$BH761,IF(J763="TEMITA",PR!$BI761,IF(J763="THL",PR!$BJ761,IF(J763="UBASTIC",PR!$BK761,IF(J763="UNION",PR!$BL761,IF(J763="UNIQUE",PR!$BM761,IF(J763="VIXA",PR!$BN761,IF(J763="WWCV",PR!$BO761,IF(J763="ZOLON",PR!$BP761,"-"))))))))))))))))))))))))))))))))))))))))))))))))))))))))))))))))</f>
        <v>-</v>
      </c>
      <c r="J763" s="102">
        <f>EV!N975</f>
        <v>0</v>
      </c>
      <c r="K763" s="433" t="s">
        <v>837</v>
      </c>
      <c r="L763" s="183">
        <f>IF(K763&gt;0,IF(K763="ALPHA",PR!$E761,IF(K763="ASSENE",PR!$F761,IF(K763="BIOFEM",PR!$G761,IF(K763="BIOMED",PR!$H761,IF(K763="CHI",PR!$I761,IF(K763="CLARION",PR!$J761,IF(K763="CODIX",PR!$K761,IF(K763="COSMADE",PR!$L761,IF(K763="SANCON",PR!$M761,IF(K763="DEVON",PR!$N761,IF(K763="DORTEMAG",PR!$O761,IF(K763="DGF",PR!$P761,IF(K763="DYNAMIC",PR!$Q761,IF(K763="EMZOR",PR!$R761,IF(K763="EUMATT",PR!$S761,IF(K763="FIDSON",PR!$T761,IF(K763="FCGLOBAL",PR!$U761,IF(K763="GENEITH",PR!$V761,IF(K763="GINOS",PR!$W761,IF(K763="GSK",PR!$X761,IF(K763="GLOBORG",PR!$Y761,IF(K763="GOODNEWS",PR!$Z761,IF(K763="GREENLIFE",PR!$AA761,IF(K763="HLINE",PR!$AB761,IF(K763="ROTECH",PR!$AC761,IF(K763="ISN",PR!$AD761,IF(K763="JAWA",PR!$AE761,IF(K763="LAYO",PR!$AF761,IF(K763="LEADWAY",PR!$AG761,IF(K763="LHV",PR!$AH761,IF(K763="MANOLA",PR!$AI761,IF(K763="MARCSON",PR!$AJ761,IF(K763="M&amp;B",PR!$AK761,IF(K763="MTRUST",PR!$AL761,IF(K763="MWORLD",PR!$AM761,IF(K763="MEGA",PR!$AN761,IF(K763="MICRONOVA",PR!$AO761,IF(K763="MFLASH",PR!$AP761,IF(K763="MORISON",PR!$AQ761,IF(K763="NEMEL",PR!$AR761,IF(K763="NHP",PR!$AS761,IF(K763="NHC",PR!$AT761,IF(K763="OLEAF",PR!$AU761,IF(K763="OCULUS",PR!$AV761,IF(K763="PACIFIC",PR!$AW761,IF(K763="PHAMATEX",PR!$AX761,IF(K763="PETHICS",PR!$AY761,IF(K763="PHILIPS",PR!$AZ761,IF(K763="RANBAXY",PR!$BA761,IF(K763="REALS",PR!$BB761,IF(K763="ROYAL",PR!$BC761,IF(K763="SAM",PR!$BD761,IF(K763="SEAGREEN",PR!$BE761,IF(K763="SKG",PR!$BF761,IF(K763="TAH",PR!$BG761,IF(K763="TAYLEK",PR!$BH761,IF(K763="TEMITA",PR!$BI761,IF(K763="THL",PR!$BJ761,IF(K763="UBASTIC",PR!$BK761,IF(K763="UNION",PR!$BL761,IF(K763="UNIQUE",PR!$BM761,IF(K763="VIXA",PR!$BN761,IF(K763="WWCV",PR!$BO761,IF(K763="ZOLON",PR!$BP761,"-")))))))))))))))))))))))))))))))))))))))))))))))))))))))))))))))))</f>
        <v>5493.76</v>
      </c>
    </row>
    <row r="764" spans="1:12" ht="18.75" x14ac:dyDescent="0.3">
      <c r="A764" s="430">
        <f>PR!A762</f>
        <v>692</v>
      </c>
      <c r="B764" s="15" t="str">
        <f>PR!B762</f>
        <v>HEXETIDINE MOUTH WASH</v>
      </c>
      <c r="C764" s="113" t="str">
        <f>PR!D762</f>
        <v>BOTT</v>
      </c>
      <c r="D764" s="113">
        <f>PR!C762</f>
        <v>520</v>
      </c>
      <c r="E764" s="108">
        <f>IF(F764="ALPHA",PR!$E762,IF(F764="ASSENE",PR!$F762,IF(F764="BIOFEM",PR!$G762,IF(F764="BIOMED",PR!$H762,IF(F764="CHI",PR!$I762,IF(F764="CLARION",PR!$J762,IF(F764="CODIX",PR!$K762,IF(F764="COSMADE",PR!$L762,IF(F764="SANCON",PR!$M762,IF(F764="DEVON",PR!$N762,IF(F764="DORTEMAG",PR!$O762,IF(F764="DGF",PR!$P762,IF(F764="DYNAMIC",PR!$Q762,IF(F764="EMZOR",PR!$R762,IF(F764="EUMATT",PR!$S762,IF(F764="FIDSON",PR!$T762,IF(F764="FCGLOBAL",PR!$U762,IF(F764="GENEITH",PR!$V762,IF(F764="GINOS",PR!$W762,IF(F764="GSK",PR!$X762,IF(F764="GLOBORG",PR!$Y762,IF(F764="GOODNEWS",PR!$Z762,IF(F764="GREENLIFE",PR!$AA762,IF(F764="HLINE",PR!$AB762,IF(F764="ROTECH",PR!$AC762,IF(F764="ISN",PR!$AD762,IF(F764="JAWA",PR!$AE762,IF(F764="LAYO",PR!$AF762,IF(F764="LEADWAY",PR!$AG762,IF(F764="LHV",PR!$AH762,IF(F764="MANOLA",PR!$AI762,IF(F764="MARCSON",PR!$AJ762,IF(F764="M&amp;B",PR!$AK762,IF(F764="MTRUST",PR!$AL762,IF(F764="MWORLD",PR!$AM762,IF(F764="MEGA",PR!$AN762,IF(F764="MICRONOVA",PR!$AO762,IF(F764="MFLASH",PR!$AP762,IF(F764="MORISON",PR!$AQ762,IF(F764="NEMEL",PR!$AR762,IF(F764="NHP",PR!$AS762,IF(F764="NHC",PR!$AT762,IF(F764="OLEAF",PR!$AU762,IF(F764="OCULUS",PR!$AV762,IF(F764="PACIFIC",PR!$AW762,IF(F764="PHAMATEX",PR!$AX762,IF(F764="PETHICS",PR!$AY762,IF(F764="PHILIPS",PR!$AZ762,IF(F764="RANBAXY",PR!$BA762,IF(F764="REALS",PR!$BB762,IF(F764="ROYAL",PR!$BC762,IF(F764="SAM",PR!$BD762,IF(F764="SEAGREEN",PR!$BE762,IF(F764="SKG",PR!$BF762,IF(F764="TAH",PR!$BG762,IF(F764="TAYLEK",PR!$BH762,IF(F764="TEMITA",PR!$BI762,IF(F764="THL",PR!$BJ762,IF(F764="UBASTIC",PR!$BK762,IF(F764="UNION",PR!$BL762,IF(F764="UNIQUE",PR!$BM762,IF(F764="VIXA",PR!$BN762,IF(F764="WWCV",PR!$BO762,IF(F764="ZOLON",PR!$BP762,"-"))))))))))))))))))))))))))))))))))))))))))))))))))))))))))))))))</f>
        <v>500</v>
      </c>
      <c r="F764" s="102" t="str">
        <f>EV!L976</f>
        <v>EUMATT</v>
      </c>
      <c r="G764" s="108" t="str">
        <f>IF(H764="ALPHA",PR!$E762,IF(H764="ASSENE",PR!$F762,IF(H764="BIOFEM",PR!$G762,IF(H764="BIOMED",PR!$H762,IF(H764="CHI",PR!$I762,IF(H764="CLARION",PR!$J762,IF(H764="CODIX",PR!$K762,IF(H764="COSMADE",PR!$L762,IF(H764="SANCON",PR!$M762,IF(H764="DEVON",PR!$N762,IF(H764="DORTEMAG",PR!$O762,IF(H764="DGF",PR!$P762,IF(H764="DYNAMIC",PR!$Q762,IF(H764="EMZOR",PR!$R762,IF(H764="EUMATT",PR!$S762,IF(H764="FIDSON",PR!$T762,IF(H764="FCGLOBAL",PR!$U762,IF(H764="GENEITH",PR!$V762,IF(H764="GINOS",PR!$W762,IF(H764="GSK",PR!$X762,IF(H764="GLOBORG",PR!$Y762,IF(H764="GOODNEWS",PR!$Z762,IF(H764="GREENLIFE",PR!$AA762,IF(H764="HLINE",PR!$AB762,IF(H764="ROTECH",PR!$AC762,IF(H764="ISN",PR!$AD762,IF(H764="JAWA",PR!$AE762,IF(H764="LAYO",PR!$AF762,IF(H764="LEADWAY",PR!$AG762,IF(H764="LHV",PR!$AH762,IF(H764="MANOLA",PR!$AI762,IF(H764="MARCSON",PR!$AJ762,IF(H764="M&amp;B",PR!$AK762,IF(H764="MTRUST",PR!$AL762,IF(H764="MWORLD",PR!$AM762,IF(H764="MEGA",PR!$AN762,IF(H764="MICRONOVA",PR!$AO762,IF(H764="MFLASH",PR!$AP762,IF(H764="MORISON",PR!$AQ762,IF(H764="NEMEL",PR!$AR762,IF(H764="NHP",PR!$AS762,IF(H764="NHC",PR!$AT762,IF(H764="OLEAF",PR!$AU762,IF(H764="OCULUS",PR!$AV762,IF(H764="PACIFIC",PR!$AW762,IF(H764="PHAMATEX",PR!$AX762,IF(H764="PETHICS",PR!$AY762,IF(H764="PHILIPS",PR!$AZ762,IF(H764="RANBAXY",PR!$BA762,IF(H764="REALS",PR!$BB762,IF(H764="ROYAL",PR!$BC762,IF(H764="SAM",PR!$BD762,IF(H764="SEAGREEN",PR!$BE762,IF(H764="SKG",PR!$BF762,IF(H764="TAH",PR!$BG762,IF(H764="TAYLEK",PR!$BH762,IF(H764="TEMITA",PR!$BI762,IF(H764="THL",PR!$BJ762,IF(H764="UBASTIC",PR!$BK762,IF(H764="UNION",PR!$BL762,IF(H764="UNIQUE",PR!$BM762,IF(H764="VIXA",PR!$BN762,IF(H764="WWCV",PR!$BO762,IF(H764="ZOLON",PR!$BP762,"-"))))))))))))))))))))))))))))))))))))))))))))))))))))))))))))))))</f>
        <v>-</v>
      </c>
      <c r="H764" s="102">
        <f>EV!M976</f>
        <v>0</v>
      </c>
      <c r="I764" s="108" t="str">
        <f>IF(J764="ALPHA",PR!$E762,IF(J764="ASSENE",PR!$F762,IF(J764="BIOFEM",PR!$G762,IF(J764="BIOMED",PR!$H762,IF(J764="CHI",PR!$I762,IF(J764="CLARION",PR!$J762,IF(J764="CODIX",PR!$K762,IF(J764="COSMADE",PR!$L762,IF(J764="SANCON",PR!$M762,IF(J764="DEVON",PR!$N762,IF(J764="DORTEMAG",PR!$O762,IF(J764="DGF",PR!$P762,IF(J764="DYNAMIC",PR!$Q762,IF(J764="EMZOR",PR!$R762,IF(J764="EUMATT",PR!$S762,IF(J764="FIDSON",PR!$T762,IF(J764="FCGLOBAL",PR!$U762,IF(J764="GENEITH",PR!$V762,IF(J764="GINOS",PR!$W762,IF(J764="GSK",PR!$X762,IF(J764="GLOBORG",PR!$Y762,IF(J764="GOODNEWS",PR!$Z762,IF(J764="GREENLIFE",PR!$AA762,IF(J764="HLINE",PR!$AB762,IF(J764="ROTECH",PR!$AC762,IF(J764="ISN",PR!$AD762,IF(J764="JAWA",PR!$AE762,IF(J764="LAYO",PR!$AF762,IF(J764="LEADWAY",PR!$AG762,IF(J764="LHV",PR!$AH762,IF(J764="MANOLA",PR!$AI762,IF(J764="MARCSON",PR!$AJ762,IF(J764="M&amp;B",PR!$AK762,IF(J764="MTRUST",PR!$AL762,IF(J764="MWORLD",PR!$AM762,IF(J764="MEGA",PR!$AN762,IF(J764="MICRONOVA",PR!$AO762,IF(J764="MFLASH",PR!$AP762,IF(J764="MORISON",PR!$AQ762,IF(J764="NEMEL",PR!$AR762,IF(J764="NHP",PR!$AS762,IF(J764="NHC",PR!$AT762,IF(J764="OLEAF",PR!$AU762,IF(J764="OCULUS",PR!$AV762,IF(J764="PACIFIC",PR!$AW762,IF(J764="PHAMATEX",PR!$AX762,IF(J764="PETHICS",PR!$AY762,IF(J764="PHILIPS",PR!$AZ762,IF(J764="RANBAXY",PR!$BA762,IF(J764="REALS",PR!$BB762,IF(J764="ROYAL",PR!$BC762,IF(J764="SAM",PR!$BD762,IF(J764="SEAGREEN",PR!$BE762,IF(J764="SKG",PR!$BF762,IF(J764="TAH",PR!$BG762,IF(J764="TAYLEK",PR!$BH762,IF(J764="TEMITA",PR!$BI762,IF(J764="THL",PR!$BJ762,IF(J764="UBASTIC",PR!$BK762,IF(J764="UNION",PR!$BL762,IF(J764="UNIQUE",PR!$BM762,IF(J764="VIXA",PR!$BN762,IF(J764="WWCV",PR!$BO762,IF(J764="ZOLON",PR!$BP762,"-"))))))))))))))))))))))))))))))))))))))))))))))))))))))))))))))))</f>
        <v>-</v>
      </c>
      <c r="J764" s="102">
        <f>EV!N976</f>
        <v>0</v>
      </c>
      <c r="K764" s="433" t="s">
        <v>821</v>
      </c>
      <c r="L764" s="183">
        <f>IF(K764&gt;0,IF(K764="ALPHA",PR!$E762,IF(K764="ASSENE",PR!$F762,IF(K764="BIOFEM",PR!$G762,IF(K764="BIOMED",PR!$H762,IF(K764="CHI",PR!$I762,IF(K764="CLARION",PR!$J762,IF(K764="CODIX",PR!$K762,IF(K764="COSMADE",PR!$L762,IF(K764="SANCON",PR!$M762,IF(K764="DEVON",PR!$N762,IF(K764="DORTEMAG",PR!$O762,IF(K764="DGF",PR!$P762,IF(K764="DYNAMIC",PR!$Q762,IF(K764="EMZOR",PR!$R762,IF(K764="EUMATT",PR!$S762,IF(K764="FIDSON",PR!$T762,IF(K764="FCGLOBAL",PR!$U762,IF(K764="GENEITH",PR!$V762,IF(K764="GINOS",PR!$W762,IF(K764="GSK",PR!$X762,IF(K764="GLOBORG",PR!$Y762,IF(K764="GOODNEWS",PR!$Z762,IF(K764="GREENLIFE",PR!$AA762,IF(K764="HLINE",PR!$AB762,IF(K764="ROTECH",PR!$AC762,IF(K764="ISN",PR!$AD762,IF(K764="JAWA",PR!$AE762,IF(K764="LAYO",PR!$AF762,IF(K764="LEADWAY",PR!$AG762,IF(K764="LHV",PR!$AH762,IF(K764="MANOLA",PR!$AI762,IF(K764="MARCSON",PR!$AJ762,IF(K764="M&amp;B",PR!$AK762,IF(K764="MTRUST",PR!$AL762,IF(K764="MWORLD",PR!$AM762,IF(K764="MEGA",PR!$AN762,IF(K764="MICRONOVA",PR!$AO762,IF(K764="MFLASH",PR!$AP762,IF(K764="MORISON",PR!$AQ762,IF(K764="NEMEL",PR!$AR762,IF(K764="NHP",PR!$AS762,IF(K764="NHC",PR!$AT762,IF(K764="OLEAF",PR!$AU762,IF(K764="OCULUS",PR!$AV762,IF(K764="PACIFIC",PR!$AW762,IF(K764="PHAMATEX",PR!$AX762,IF(K764="PETHICS",PR!$AY762,IF(K764="PHILIPS",PR!$AZ762,IF(K764="RANBAXY",PR!$BA762,IF(K764="REALS",PR!$BB762,IF(K764="ROYAL",PR!$BC762,IF(K764="SAM",PR!$BD762,IF(K764="SEAGREEN",PR!$BE762,IF(K764="SKG",PR!$BF762,IF(K764="TAH",PR!$BG762,IF(K764="TAYLEK",PR!$BH762,IF(K764="TEMITA",PR!$BI762,IF(K764="THL",PR!$BJ762,IF(K764="UBASTIC",PR!$BK762,IF(K764="UNION",PR!$BL762,IF(K764="UNIQUE",PR!$BM762,IF(K764="VIXA",PR!$BN762,IF(K764="WWCV",PR!$BO762,IF(K764="ZOLON",PR!$BP762,"-")))))))))))))))))))))))))))))))))))))))))))))))))))))))))))))))))</f>
        <v>500</v>
      </c>
    </row>
    <row r="765" spans="1:12" ht="18.75" x14ac:dyDescent="0.3">
      <c r="A765" s="430">
        <f>PR!A763</f>
        <v>693</v>
      </c>
      <c r="B765" s="15" t="str">
        <f>PR!B763</f>
        <v>HYDROCORTICONE  CREAM</v>
      </c>
      <c r="C765" s="113" t="str">
        <f>PR!D763</f>
        <v>TUBE</v>
      </c>
      <c r="D765" s="113">
        <f>PR!C763</f>
        <v>200</v>
      </c>
      <c r="E765" s="108">
        <f>IF(F765="ALPHA",PR!$E763,IF(F765="ASSENE",PR!$F763,IF(F765="BIOFEM",PR!$G763,IF(F765="BIOMED",PR!$H763,IF(F765="CHI",PR!$I763,IF(F765="CLARION",PR!$J763,IF(F765="CODIX",PR!$K763,IF(F765="COSMADE",PR!$L763,IF(F765="SANCON",PR!$M763,IF(F765="DEVON",PR!$N763,IF(F765="DORTEMAG",PR!$O763,IF(F765="DGF",PR!$P763,IF(F765="DYNAMIC",PR!$Q763,IF(F765="EMZOR",PR!$R763,IF(F765="EUMATT",PR!$S763,IF(F765="FIDSON",PR!$T763,IF(F765="FCGLOBAL",PR!$U763,IF(F765="GENEITH",PR!$V763,IF(F765="GINOS",PR!$W763,IF(F765="GSK",PR!$X763,IF(F765="GLOBORG",PR!$Y763,IF(F765="GOODNEWS",PR!$Z763,IF(F765="GREENLIFE",PR!$AA763,IF(F765="HLINE",PR!$AB763,IF(F765="ROTECH",PR!$AC763,IF(F765="ISN",PR!$AD763,IF(F765="JAWA",PR!$AE763,IF(F765="LAYO",PR!$AF763,IF(F765="LEADWAY",PR!$AG763,IF(F765="LHV",PR!$AH763,IF(F765="MANOLA",PR!$AI763,IF(F765="MARCSON",PR!$AJ763,IF(F765="M&amp;B",PR!$AK763,IF(F765="MTRUST",PR!$AL763,IF(F765="MWORLD",PR!$AM763,IF(F765="MEGA",PR!$AN763,IF(F765="MICRONOVA",PR!$AO763,IF(F765="MFLASH",PR!$AP763,IF(F765="MORISON",PR!$AQ763,IF(F765="NEMEL",PR!$AR763,IF(F765="NHP",PR!$AS763,IF(F765="NHC",PR!$AT763,IF(F765="OLEAF",PR!$AU763,IF(F765="OCULUS",PR!$AV763,IF(F765="PACIFIC",PR!$AW763,IF(F765="PHAMATEX",PR!$AX763,IF(F765="PETHICS",PR!$AY763,IF(F765="PHILIPS",PR!$AZ763,IF(F765="RANBAXY",PR!$BA763,IF(F765="REALS",PR!$BB763,IF(F765="ROYAL",PR!$BC763,IF(F765="SAM",PR!$BD763,IF(F765="SEAGREEN",PR!$BE763,IF(F765="SKG",PR!$BF763,IF(F765="TAH",PR!$BG763,IF(F765="TAYLEK",PR!$BH763,IF(F765="TEMITA",PR!$BI763,IF(F765="THL",PR!$BJ763,IF(F765="UBASTIC",PR!$BK763,IF(F765="UNION",PR!$BL763,IF(F765="UNIQUE",PR!$BM763,IF(F765="VIXA",PR!$BN763,IF(F765="WWCV",PR!$BO763,IF(F765="ZOLON",PR!$BP763,"-"))))))))))))))))))))))))))))))))))))))))))))))))))))))))))))))))</f>
        <v>300</v>
      </c>
      <c r="F765" s="102" t="str">
        <f>EV!L977</f>
        <v>DGF</v>
      </c>
      <c r="G765" s="108">
        <f>IF(H765="ALPHA",PR!$E763,IF(H765="ASSENE",PR!$F763,IF(H765="BIOFEM",PR!$G763,IF(H765="BIOMED",PR!$H763,IF(H765="CHI",PR!$I763,IF(H765="CLARION",PR!$J763,IF(H765="CODIX",PR!$K763,IF(H765="COSMADE",PR!$L763,IF(H765="SANCON",PR!$M763,IF(H765="DEVON",PR!$N763,IF(H765="DORTEMAG",PR!$O763,IF(H765="DGF",PR!$P763,IF(H765="DYNAMIC",PR!$Q763,IF(H765="EMZOR",PR!$R763,IF(H765="EUMATT",PR!$S763,IF(H765="FIDSON",PR!$T763,IF(H765="FCGLOBAL",PR!$U763,IF(H765="GENEITH",PR!$V763,IF(H765="GINOS",PR!$W763,IF(H765="GSK",PR!$X763,IF(H765="GLOBORG",PR!$Y763,IF(H765="GOODNEWS",PR!$Z763,IF(H765="GREENLIFE",PR!$AA763,IF(H765="HLINE",PR!$AB763,IF(H765="ROTECH",PR!$AC763,IF(H765="ISN",PR!$AD763,IF(H765="JAWA",PR!$AE763,IF(H765="LAYO",PR!$AF763,IF(H765="LEADWAY",PR!$AG763,IF(H765="LHV",PR!$AH763,IF(H765="MANOLA",PR!$AI763,IF(H765="MARCSON",PR!$AJ763,IF(H765="M&amp;B",PR!$AK763,IF(H765="MTRUST",PR!$AL763,IF(H765="MWORLD",PR!$AM763,IF(H765="MEGA",PR!$AN763,IF(H765="MICRONOVA",PR!$AO763,IF(H765="MFLASH",PR!$AP763,IF(H765="MORISON",PR!$AQ763,IF(H765="NEMEL",PR!$AR763,IF(H765="NHP",PR!$AS763,IF(H765="NHC",PR!$AT763,IF(H765="OLEAF",PR!$AU763,IF(H765="OCULUS",PR!$AV763,IF(H765="PACIFIC",PR!$AW763,IF(H765="PHAMATEX",PR!$AX763,IF(H765="PETHICS",PR!$AY763,IF(H765="PHILIPS",PR!$AZ763,IF(H765="RANBAXY",PR!$BA763,IF(H765="REALS",PR!$BB763,IF(H765="ROYAL",PR!$BC763,IF(H765="SAM",PR!$BD763,IF(H765="SEAGREEN",PR!$BE763,IF(H765="SKG",PR!$BF763,IF(H765="TAH",PR!$BG763,IF(H765="TAYLEK",PR!$BH763,IF(H765="TEMITA",PR!$BI763,IF(H765="THL",PR!$BJ763,IF(H765="UBASTIC",PR!$BK763,IF(H765="UNION",PR!$BL763,IF(H765="UNIQUE",PR!$BM763,IF(H765="VIXA",PR!$BN763,IF(H765="WWCV",PR!$BO763,IF(H765="ZOLON",PR!$BP763,"-"))))))))))))))))))))))))))))))))))))))))))))))))))))))))))))))))</f>
        <v>400</v>
      </c>
      <c r="H765" s="102" t="str">
        <f>EV!M977</f>
        <v>EUMATT</v>
      </c>
      <c r="I765" s="108" t="str">
        <f>IF(J765="ALPHA",PR!$E763,IF(J765="ASSENE",PR!$F763,IF(J765="BIOFEM",PR!$G763,IF(J765="BIOMED",PR!$H763,IF(J765="CHI",PR!$I763,IF(J765="CLARION",PR!$J763,IF(J765="CODIX",PR!$K763,IF(J765="COSMADE",PR!$L763,IF(J765="SANCON",PR!$M763,IF(J765="DEVON",PR!$N763,IF(J765="DORTEMAG",PR!$O763,IF(J765="DGF",PR!$P763,IF(J765="DYNAMIC",PR!$Q763,IF(J765="EMZOR",PR!$R763,IF(J765="EUMATT",PR!$S763,IF(J765="FIDSON",PR!$T763,IF(J765="FCGLOBAL",PR!$U763,IF(J765="GENEITH",PR!$V763,IF(J765="GINOS",PR!$W763,IF(J765="GSK",PR!$X763,IF(J765="GLOBORG",PR!$Y763,IF(J765="GOODNEWS",PR!$Z763,IF(J765="GREENLIFE",PR!$AA763,IF(J765="HLINE",PR!$AB763,IF(J765="ROTECH",PR!$AC763,IF(J765="ISN",PR!$AD763,IF(J765="JAWA",PR!$AE763,IF(J765="LAYO",PR!$AF763,IF(J765="LEADWAY",PR!$AG763,IF(J765="LHV",PR!$AH763,IF(J765="MANOLA",PR!$AI763,IF(J765="MARCSON",PR!$AJ763,IF(J765="M&amp;B",PR!$AK763,IF(J765="MTRUST",PR!$AL763,IF(J765="MWORLD",PR!$AM763,IF(J765="MEGA",PR!$AN763,IF(J765="MICRONOVA",PR!$AO763,IF(J765="MFLASH",PR!$AP763,IF(J765="MORISON",PR!$AQ763,IF(J765="NEMEL",PR!$AR763,IF(J765="NHP",PR!$AS763,IF(J765="NHC",PR!$AT763,IF(J765="OLEAF",PR!$AU763,IF(J765="OCULUS",PR!$AV763,IF(J765="PACIFIC",PR!$AW763,IF(J765="PHAMATEX",PR!$AX763,IF(J765="PETHICS",PR!$AY763,IF(J765="PHILIPS",PR!$AZ763,IF(J765="RANBAXY",PR!$BA763,IF(J765="REALS",PR!$BB763,IF(J765="ROYAL",PR!$BC763,IF(J765="SAM",PR!$BD763,IF(J765="SEAGREEN",PR!$BE763,IF(J765="SKG",PR!$BF763,IF(J765="TAH",PR!$BG763,IF(J765="TAYLEK",PR!$BH763,IF(J765="TEMITA",PR!$BI763,IF(J765="THL",PR!$BJ763,IF(J765="UBASTIC",PR!$BK763,IF(J765="UNION",PR!$BL763,IF(J765="UNIQUE",PR!$BM763,IF(J765="VIXA",PR!$BN763,IF(J765="WWCV",PR!$BO763,IF(J765="ZOLON",PR!$BP763,"-"))))))))))))))))))))))))))))))))))))))))))))))))))))))))))))))))</f>
        <v>-</v>
      </c>
      <c r="J765" s="102">
        <f>EV!N977</f>
        <v>0</v>
      </c>
      <c r="K765" s="433" t="s">
        <v>829</v>
      </c>
      <c r="L765" s="183">
        <f>IF(K765&gt;0,IF(K765="ALPHA",PR!$E763,IF(K765="ASSENE",PR!$F763,IF(K765="BIOFEM",PR!$G763,IF(K765="BIOMED",PR!$H763,IF(K765="CHI",PR!$I763,IF(K765="CLARION",PR!$J763,IF(K765="CODIX",PR!$K763,IF(K765="COSMADE",PR!$L763,IF(K765="SANCON",PR!$M763,IF(K765="DEVON",PR!$N763,IF(K765="DORTEMAG",PR!$O763,IF(K765="DGF",PR!$P763,IF(K765="DYNAMIC",PR!$Q763,IF(K765="EMZOR",PR!$R763,IF(K765="EUMATT",PR!$S763,IF(K765="FIDSON",PR!$T763,IF(K765="FCGLOBAL",PR!$U763,IF(K765="GENEITH",PR!$V763,IF(K765="GINOS",PR!$W763,IF(K765="GSK",PR!$X763,IF(K765="GLOBORG",PR!$Y763,IF(K765="GOODNEWS",PR!$Z763,IF(K765="GREENLIFE",PR!$AA763,IF(K765="HLINE",PR!$AB763,IF(K765="ROTECH",PR!$AC763,IF(K765="ISN",PR!$AD763,IF(K765="JAWA",PR!$AE763,IF(K765="LAYO",PR!$AF763,IF(K765="LEADWAY",PR!$AG763,IF(K765="LHV",PR!$AH763,IF(K765="MANOLA",PR!$AI763,IF(K765="MARCSON",PR!$AJ763,IF(K765="M&amp;B",PR!$AK763,IF(K765="MTRUST",PR!$AL763,IF(K765="MWORLD",PR!$AM763,IF(K765="MEGA",PR!$AN763,IF(K765="MICRONOVA",PR!$AO763,IF(K765="MFLASH",PR!$AP763,IF(K765="MORISON",PR!$AQ763,IF(K765="NEMEL",PR!$AR763,IF(K765="NHP",PR!$AS763,IF(K765="NHC",PR!$AT763,IF(K765="OLEAF",PR!$AU763,IF(K765="OCULUS",PR!$AV763,IF(K765="PACIFIC",PR!$AW763,IF(K765="PHAMATEX",PR!$AX763,IF(K765="PETHICS",PR!$AY763,IF(K765="PHILIPS",PR!$AZ763,IF(K765="RANBAXY",PR!$BA763,IF(K765="REALS",PR!$BB763,IF(K765="ROYAL",PR!$BC763,IF(K765="SAM",PR!$BD763,IF(K765="SEAGREEN",PR!$BE763,IF(K765="SKG",PR!$BF763,IF(K765="TAH",PR!$BG763,IF(K765="TAYLEK",PR!$BH763,IF(K765="TEMITA",PR!$BI763,IF(K765="THL",PR!$BJ763,IF(K765="UBASTIC",PR!$BK763,IF(K765="UNION",PR!$BL763,IF(K765="UNIQUE",PR!$BM763,IF(K765="VIXA",PR!$BN763,IF(K765="WWCV",PR!$BO763,IF(K765="ZOLON",PR!$BP763,"-")))))))))))))))))))))))))))))))))))))))))))))))))))))))))))))))))</f>
        <v>300</v>
      </c>
    </row>
    <row r="766" spans="1:12" ht="18.75" x14ac:dyDescent="0.3">
      <c r="A766" s="430">
        <f>PR!A764</f>
        <v>694</v>
      </c>
      <c r="B766" s="15" t="str">
        <f>PR!B764</f>
        <v>LEUPROLIDE ACETATE 3.75MG INJ (DEPOT)</v>
      </c>
      <c r="C766" s="113" t="str">
        <f>PR!D764</f>
        <v>VIAL</v>
      </c>
      <c r="D766" s="113">
        <f>PR!C764</f>
        <v>12</v>
      </c>
      <c r="E766" s="108" t="str">
        <f>IF(F766="ALPHA",PR!$E764,IF(F766="ASSENE",PR!$F764,IF(F766="BIOFEM",PR!$G764,IF(F766="BIOMED",PR!$H764,IF(F766="CHI",PR!$I764,IF(F766="CLARION",PR!$J764,IF(F766="CODIX",PR!$K764,IF(F766="COSMADE",PR!$L764,IF(F766="SANCON",PR!$M764,IF(F766="DEVON",PR!$N764,IF(F766="DORTEMAG",PR!$O764,IF(F766="DGF",PR!$P764,IF(F766="DYNAMIC",PR!$Q764,IF(F766="EMZOR",PR!$R764,IF(F766="EUMATT",PR!$S764,IF(F766="FIDSON",PR!$T764,IF(F766="FCGLOBAL",PR!$U764,IF(F766="GENEITH",PR!$V764,IF(F766="GINOS",PR!$W764,IF(F766="GSK",PR!$X764,IF(F766="GLOBORG",PR!$Y764,IF(F766="GOODNEWS",PR!$Z764,IF(F766="GREENLIFE",PR!$AA764,IF(F766="HLINE",PR!$AB764,IF(F766="ROTECH",PR!$AC764,IF(F766="ISN",PR!$AD764,IF(F766="JAWA",PR!$AE764,IF(F766="LAYO",PR!$AF764,IF(F766="LEADWAY",PR!$AG764,IF(F766="LHV",PR!$AH764,IF(F766="MANOLA",PR!$AI764,IF(F766="MARCSON",PR!$AJ764,IF(F766="M&amp;B",PR!$AK764,IF(F766="MTRUST",PR!$AL764,IF(F766="MWORLD",PR!$AM764,IF(F766="MEGA",PR!$AN764,IF(F766="MICRONOVA",PR!$AO764,IF(F766="MFLASH",PR!$AP764,IF(F766="MORISON",PR!$AQ764,IF(F766="NEMEL",PR!$AR764,IF(F766="NHP",PR!$AS764,IF(F766="NHC",PR!$AT764,IF(F766="OLEAF",PR!$AU764,IF(F766="OCULUS",PR!$AV764,IF(F766="PACIFIC",PR!$AW764,IF(F766="PHAMATEX",PR!$AX764,IF(F766="PETHICS",PR!$AY764,IF(F766="PHILIPS",PR!$AZ764,IF(F766="RANBAXY",PR!$BA764,IF(F766="REALS",PR!$BB764,IF(F766="ROYAL",PR!$BC764,IF(F766="SAM",PR!$BD764,IF(F766="SEAGREEN",PR!$BE764,IF(F766="SKG",PR!$BF764,IF(F766="TAH",PR!$BG764,IF(F766="TAYLEK",PR!$BH764,IF(F766="TEMITA",PR!$BI764,IF(F766="THL",PR!$BJ764,IF(F766="UBASTIC",PR!$BK764,IF(F766="UNION",PR!$BL764,IF(F766="UNIQUE",PR!$BM764,IF(F766="VIXA",PR!$BN764,IF(F766="WWCV",PR!$BO764,IF(F766="ZOLON",PR!$BP764,"-"))))))))))))))))))))))))))))))))))))))))))))))))))))))))))))))))</f>
        <v>-</v>
      </c>
      <c r="F766" s="102">
        <f>EV!L978</f>
        <v>0</v>
      </c>
      <c r="G766" s="108" t="str">
        <f>IF(H766="ALPHA",PR!$E764,IF(H766="ASSENE",PR!$F764,IF(H766="BIOFEM",PR!$G764,IF(H766="BIOMED",PR!$H764,IF(H766="CHI",PR!$I764,IF(H766="CLARION",PR!$J764,IF(H766="CODIX",PR!$K764,IF(H766="COSMADE",PR!$L764,IF(H766="SANCON",PR!$M764,IF(H766="DEVON",PR!$N764,IF(H766="DORTEMAG",PR!$O764,IF(H766="DGF",PR!$P764,IF(H766="DYNAMIC",PR!$Q764,IF(H766="EMZOR",PR!$R764,IF(H766="EUMATT",PR!$S764,IF(H766="FIDSON",PR!$T764,IF(H766="FCGLOBAL",PR!$U764,IF(H766="GENEITH",PR!$V764,IF(H766="GINOS",PR!$W764,IF(H766="GSK",PR!$X764,IF(H766="GLOBORG",PR!$Y764,IF(H766="GOODNEWS",PR!$Z764,IF(H766="GREENLIFE",PR!$AA764,IF(H766="HLINE",PR!$AB764,IF(H766="ROTECH",PR!$AC764,IF(H766="ISN",PR!$AD764,IF(H766="JAWA",PR!$AE764,IF(H766="LAYO",PR!$AF764,IF(H766="LEADWAY",PR!$AG764,IF(H766="LHV",PR!$AH764,IF(H766="MANOLA",PR!$AI764,IF(H766="MARCSON",PR!$AJ764,IF(H766="M&amp;B",PR!$AK764,IF(H766="MTRUST",PR!$AL764,IF(H766="MWORLD",PR!$AM764,IF(H766="MEGA",PR!$AN764,IF(H766="MICRONOVA",PR!$AO764,IF(H766="MFLASH",PR!$AP764,IF(H766="MORISON",PR!$AQ764,IF(H766="NEMEL",PR!$AR764,IF(H766="NHP",PR!$AS764,IF(H766="NHC",PR!$AT764,IF(H766="OLEAF",PR!$AU764,IF(H766="OCULUS",PR!$AV764,IF(H766="PACIFIC",PR!$AW764,IF(H766="PHAMATEX",PR!$AX764,IF(H766="PETHICS",PR!$AY764,IF(H766="PHILIPS",PR!$AZ764,IF(H766="RANBAXY",PR!$BA764,IF(H766="REALS",PR!$BB764,IF(H766="ROYAL",PR!$BC764,IF(H766="SAM",PR!$BD764,IF(H766="SEAGREEN",PR!$BE764,IF(H766="SKG",PR!$BF764,IF(H766="TAH",PR!$BG764,IF(H766="TAYLEK",PR!$BH764,IF(H766="TEMITA",PR!$BI764,IF(H766="THL",PR!$BJ764,IF(H766="UBASTIC",PR!$BK764,IF(H766="UNION",PR!$BL764,IF(H766="UNIQUE",PR!$BM764,IF(H766="VIXA",PR!$BN764,IF(H766="WWCV",PR!$BO764,IF(H766="ZOLON",PR!$BP764,"-"))))))))))))))))))))))))))))))))))))))))))))))))))))))))))))))))</f>
        <v>-</v>
      </c>
      <c r="H766" s="102">
        <f>EV!M978</f>
        <v>0</v>
      </c>
      <c r="I766" s="108" t="str">
        <f>IF(J766="ALPHA",PR!$E764,IF(J766="ASSENE",PR!$F764,IF(J766="BIOFEM",PR!$G764,IF(J766="BIOMED",PR!$H764,IF(J766="CHI",PR!$I764,IF(J766="CLARION",PR!$J764,IF(J766="CODIX",PR!$K764,IF(J766="COSMADE",PR!$L764,IF(J766="SANCON",PR!$M764,IF(J766="DEVON",PR!$N764,IF(J766="DORTEMAG",PR!$O764,IF(J766="DGF",PR!$P764,IF(J766="DYNAMIC",PR!$Q764,IF(J766="EMZOR",PR!$R764,IF(J766="EUMATT",PR!$S764,IF(J766="FIDSON",PR!$T764,IF(J766="FCGLOBAL",PR!$U764,IF(J766="GENEITH",PR!$V764,IF(J766="GINOS",PR!$W764,IF(J766="GSK",PR!$X764,IF(J766="GLOBORG",PR!$Y764,IF(J766="GOODNEWS",PR!$Z764,IF(J766="GREENLIFE",PR!$AA764,IF(J766="HLINE",PR!$AB764,IF(J766="ROTECH",PR!$AC764,IF(J766="ISN",PR!$AD764,IF(J766="JAWA",PR!$AE764,IF(J766="LAYO",PR!$AF764,IF(J766="LEADWAY",PR!$AG764,IF(J766="LHV",PR!$AH764,IF(J766="MANOLA",PR!$AI764,IF(J766="MARCSON",PR!$AJ764,IF(J766="M&amp;B",PR!$AK764,IF(J766="MTRUST",PR!$AL764,IF(J766="MWORLD",PR!$AM764,IF(J766="MEGA",PR!$AN764,IF(J766="MICRONOVA",PR!$AO764,IF(J766="MFLASH",PR!$AP764,IF(J766="MORISON",PR!$AQ764,IF(J766="NEMEL",PR!$AR764,IF(J766="NHP",PR!$AS764,IF(J766="NHC",PR!$AT764,IF(J766="OLEAF",PR!$AU764,IF(J766="OCULUS",PR!$AV764,IF(J766="PACIFIC",PR!$AW764,IF(J766="PHAMATEX",PR!$AX764,IF(J766="PETHICS",PR!$AY764,IF(J766="PHILIPS",PR!$AZ764,IF(J766="RANBAXY",PR!$BA764,IF(J766="REALS",PR!$BB764,IF(J766="ROYAL",PR!$BC764,IF(J766="SAM",PR!$BD764,IF(J766="SEAGREEN",PR!$BE764,IF(J766="SKG",PR!$BF764,IF(J766="TAH",PR!$BG764,IF(J766="TAYLEK",PR!$BH764,IF(J766="TEMITA",PR!$BI764,IF(J766="THL",PR!$BJ764,IF(J766="UBASTIC",PR!$BK764,IF(J766="UNION",PR!$BL764,IF(J766="UNIQUE",PR!$BM764,IF(J766="VIXA",PR!$BN764,IF(J766="WWCV",PR!$BO764,IF(J766="ZOLON",PR!$BP764,"-"))))))))))))))))))))))))))))))))))))))))))))))))))))))))))))))))</f>
        <v>-</v>
      </c>
      <c r="J766" s="102">
        <f>EV!N978</f>
        <v>0</v>
      </c>
      <c r="K766" s="433"/>
      <c r="L766" s="183" t="b">
        <f>IF(K766&gt;0,IF(K766="ALPHA",PR!$E764,IF(K766="ASSENE",PR!$F764,IF(K766="BIOFEM",PR!$G764,IF(K766="BIOMED",PR!$H764,IF(K766="CHI",PR!$I764,IF(K766="CLARION",PR!$J764,IF(K766="CODIX",PR!$K764,IF(K766="COSMADE",PR!$L764,IF(K766="SANCON",PR!$M764,IF(K766="DEVON",PR!$N764,IF(K766="DORTEMAG",PR!$O764,IF(K766="DGF",PR!$P764,IF(K766="DYNAMIC",PR!$Q764,IF(K766="EMZOR",PR!$R764,IF(K766="EUMATT",PR!$S764,IF(K766="FIDSON",PR!$T764,IF(K766="FCGLOBAL",PR!$U764,IF(K766="GENEITH",PR!$V764,IF(K766="GINOS",PR!$W764,IF(K766="GSK",PR!$X764,IF(K766="GLOBORG",PR!$Y764,IF(K766="GOODNEWS",PR!$Z764,IF(K766="GREENLIFE",PR!$AA764,IF(K766="HLINE",PR!$AB764,IF(K766="ROTECH",PR!$AC764,IF(K766="ISN",PR!$AD764,IF(K766="JAWA",PR!$AE764,IF(K766="LAYO",PR!$AF764,IF(K766="LEADWAY",PR!$AG764,IF(K766="LHV",PR!$AH764,IF(K766="MANOLA",PR!$AI764,IF(K766="MARCSON",PR!$AJ764,IF(K766="M&amp;B",PR!$AK764,IF(K766="MTRUST",PR!$AL764,IF(K766="MWORLD",PR!$AM764,IF(K766="MEGA",PR!$AN764,IF(K766="MICRONOVA",PR!$AO764,IF(K766="MFLASH",PR!$AP764,IF(K766="MORISON",PR!$AQ764,IF(K766="NEMEL",PR!$AR764,IF(K766="NHP",PR!$AS764,IF(K766="NHC",PR!$AT764,IF(K766="OLEAF",PR!$AU764,IF(K766="OCULUS",PR!$AV764,IF(K766="PACIFIC",PR!$AW764,IF(K766="PHAMATEX",PR!$AX764,IF(K766="PETHICS",PR!$AY764,IF(K766="PHILIPS",PR!$AZ764,IF(K766="RANBAXY",PR!$BA764,IF(K766="REALS",PR!$BB764,IF(K766="ROYAL",PR!$BC764,IF(K766="SAM",PR!$BD764,IF(K766="SEAGREEN",PR!$BE764,IF(K766="SKG",PR!$BF764,IF(K766="TAH",PR!$BG764,IF(K766="TAYLEK",PR!$BH764,IF(K766="TEMITA",PR!$BI764,IF(K766="THL",PR!$BJ764,IF(K766="UBASTIC",PR!$BK764,IF(K766="UNION",PR!$BL764,IF(K766="UNIQUE",PR!$BM764,IF(K766="VIXA",PR!$BN764,IF(K766="WWCV",PR!$BO764,IF(K766="ZOLON",PR!$BP764,"-")))))))))))))))))))))))))))))))))))))))))))))))))))))))))))))))))</f>
        <v>0</v>
      </c>
    </row>
    <row r="767" spans="1:12" ht="18.75" x14ac:dyDescent="0.3">
      <c r="A767" s="430">
        <f>PR!A765</f>
        <v>695</v>
      </c>
      <c r="B767" s="15" t="str">
        <f>PR!B765</f>
        <v>MIST. POTASSIUM CITRATE 200ML</v>
      </c>
      <c r="C767" s="113" t="str">
        <f>PR!D765</f>
        <v>BOTT</v>
      </c>
      <c r="D767" s="113">
        <f>PR!C765</f>
        <v>600</v>
      </c>
      <c r="E767" s="108">
        <f>IF(F767="ALPHA",PR!$E765,IF(F767="ASSENE",PR!$F765,IF(F767="BIOFEM",PR!$G765,IF(F767="BIOMED",PR!$H765,IF(F767="CHI",PR!$I765,IF(F767="CLARION",PR!$J765,IF(F767="CODIX",PR!$K765,IF(F767="COSMADE",PR!$L765,IF(F767="SANCON",PR!$M765,IF(F767="DEVON",PR!$N765,IF(F767="DORTEMAG",PR!$O765,IF(F767="DGF",PR!$P765,IF(F767="DYNAMIC",PR!$Q765,IF(F767="EMZOR",PR!$R765,IF(F767="EUMATT",PR!$S765,IF(F767="FIDSON",PR!$T765,IF(F767="FCGLOBAL",PR!$U765,IF(F767="GENEITH",PR!$V765,IF(F767="GINOS",PR!$W765,IF(F767="GSK",PR!$X765,IF(F767="GLOBORG",PR!$Y765,IF(F767="GOODNEWS",PR!$Z765,IF(F767="GREENLIFE",PR!$AA765,IF(F767="HLINE",PR!$AB765,IF(F767="ROTECH",PR!$AC765,IF(F767="ISN",PR!$AD765,IF(F767="JAWA",PR!$AE765,IF(F767="LAYO",PR!$AF765,IF(F767="LEADWAY",PR!$AG765,IF(F767="LHV",PR!$AH765,IF(F767="MANOLA",PR!$AI765,IF(F767="MARCSON",PR!$AJ765,IF(F767="M&amp;B",PR!$AK765,IF(F767="MTRUST",PR!$AL765,IF(F767="MWORLD",PR!$AM765,IF(F767="MEGA",PR!$AN765,IF(F767="MICRONOVA",PR!$AO765,IF(F767="MFLASH",PR!$AP765,IF(F767="MORISON",PR!$AQ765,IF(F767="NEMEL",PR!$AR765,IF(F767="NHP",PR!$AS765,IF(F767="NHC",PR!$AT765,IF(F767="OLEAF",PR!$AU765,IF(F767="OCULUS",PR!$AV765,IF(F767="PACIFIC",PR!$AW765,IF(F767="PHAMATEX",PR!$AX765,IF(F767="PETHICS",PR!$AY765,IF(F767="PHILIPS",PR!$AZ765,IF(F767="RANBAXY",PR!$BA765,IF(F767="REALS",PR!$BB765,IF(F767="ROYAL",PR!$BC765,IF(F767="SAM",PR!$BD765,IF(F767="SEAGREEN",PR!$BE765,IF(F767="SKG",PR!$BF765,IF(F767="TAH",PR!$BG765,IF(F767="TAYLEK",PR!$BH765,IF(F767="TEMITA",PR!$BI765,IF(F767="THL",PR!$BJ765,IF(F767="UBASTIC",PR!$BK765,IF(F767="UNION",PR!$BL765,IF(F767="UNIQUE",PR!$BM765,IF(F767="VIXA",PR!$BN765,IF(F767="WWCV",PR!$BO765,IF(F767="ZOLON",PR!$BP765,"-"))))))))))))))))))))))))))))))))))))))))))))))))))))))))))))))))</f>
        <v>295</v>
      </c>
      <c r="F767" s="102" t="str">
        <f>EV!L979</f>
        <v>JAWA</v>
      </c>
      <c r="G767" s="108">
        <f>IF(H767="ALPHA",PR!$E765,IF(H767="ASSENE",PR!$F765,IF(H767="BIOFEM",PR!$G765,IF(H767="BIOMED",PR!$H765,IF(H767="CHI",PR!$I765,IF(H767="CLARION",PR!$J765,IF(H767="CODIX",PR!$K765,IF(H767="COSMADE",PR!$L765,IF(H767="SANCON",PR!$M765,IF(H767="DEVON",PR!$N765,IF(H767="DORTEMAG",PR!$O765,IF(H767="DGF",PR!$P765,IF(H767="DYNAMIC",PR!$Q765,IF(H767="EMZOR",PR!$R765,IF(H767="EUMATT",PR!$S765,IF(H767="FIDSON",PR!$T765,IF(H767="FCGLOBAL",PR!$U765,IF(H767="GENEITH",PR!$V765,IF(H767="GINOS",PR!$W765,IF(H767="GSK",PR!$X765,IF(H767="GLOBORG",PR!$Y765,IF(H767="GOODNEWS",PR!$Z765,IF(H767="GREENLIFE",PR!$AA765,IF(H767="HLINE",PR!$AB765,IF(H767="ROTECH",PR!$AC765,IF(H767="ISN",PR!$AD765,IF(H767="JAWA",PR!$AE765,IF(H767="LAYO",PR!$AF765,IF(H767="LEADWAY",PR!$AG765,IF(H767="LHV",PR!$AH765,IF(H767="MANOLA",PR!$AI765,IF(H767="MARCSON",PR!$AJ765,IF(H767="M&amp;B",PR!$AK765,IF(H767="MTRUST",PR!$AL765,IF(H767="MWORLD",PR!$AM765,IF(H767="MEGA",PR!$AN765,IF(H767="MICRONOVA",PR!$AO765,IF(H767="MFLASH",PR!$AP765,IF(H767="MORISON",PR!$AQ765,IF(H767="NEMEL",PR!$AR765,IF(H767="NHP",PR!$AS765,IF(H767="NHC",PR!$AT765,IF(H767="OLEAF",PR!$AU765,IF(H767="OCULUS",PR!$AV765,IF(H767="PACIFIC",PR!$AW765,IF(H767="PHAMATEX",PR!$AX765,IF(H767="PETHICS",PR!$AY765,IF(H767="PHILIPS",PR!$AZ765,IF(H767="RANBAXY",PR!$BA765,IF(H767="REALS",PR!$BB765,IF(H767="ROYAL",PR!$BC765,IF(H767="SAM",PR!$BD765,IF(H767="SEAGREEN",PR!$BE765,IF(H767="SKG",PR!$BF765,IF(H767="TAH",PR!$BG765,IF(H767="TAYLEK",PR!$BH765,IF(H767="TEMITA",PR!$BI765,IF(H767="THL",PR!$BJ765,IF(H767="UBASTIC",PR!$BK765,IF(H767="UNION",PR!$BL765,IF(H767="UNIQUE",PR!$BM765,IF(H767="VIXA",PR!$BN765,IF(H767="WWCV",PR!$BO765,IF(H767="ZOLON",PR!$BP765,"-"))))))))))))))))))))))))))))))))))))))))))))))))))))))))))))))))</f>
        <v>350</v>
      </c>
      <c r="H767" s="102" t="str">
        <f>EV!M979</f>
        <v>EUMATT</v>
      </c>
      <c r="I767" s="108" t="str">
        <f>IF(J767="ALPHA",PR!$E765,IF(J767="ASSENE",PR!$F765,IF(J767="BIOFEM",PR!$G765,IF(J767="BIOMED",PR!$H765,IF(J767="CHI",PR!$I765,IF(J767="CLARION",PR!$J765,IF(J767="CODIX",PR!$K765,IF(J767="COSMADE",PR!$L765,IF(J767="SANCON",PR!$M765,IF(J767="DEVON",PR!$N765,IF(J767="DORTEMAG",PR!$O765,IF(J767="DGF",PR!$P765,IF(J767="DYNAMIC",PR!$Q765,IF(J767="EMZOR",PR!$R765,IF(J767="EUMATT",PR!$S765,IF(J767="FIDSON",PR!$T765,IF(J767="FCGLOBAL",PR!$U765,IF(J767="GENEITH",PR!$V765,IF(J767="GINOS",PR!$W765,IF(J767="GSK",PR!$X765,IF(J767="GLOBORG",PR!$Y765,IF(J767="GOODNEWS",PR!$Z765,IF(J767="GREENLIFE",PR!$AA765,IF(J767="HLINE",PR!$AB765,IF(J767="ROTECH",PR!$AC765,IF(J767="ISN",PR!$AD765,IF(J767="JAWA",PR!$AE765,IF(J767="LAYO",PR!$AF765,IF(J767="LEADWAY",PR!$AG765,IF(J767="LHV",PR!$AH765,IF(J767="MANOLA",PR!$AI765,IF(J767="MARCSON",PR!$AJ765,IF(J767="M&amp;B",PR!$AK765,IF(J767="MTRUST",PR!$AL765,IF(J767="MWORLD",PR!$AM765,IF(J767="MEGA",PR!$AN765,IF(J767="MICRONOVA",PR!$AO765,IF(J767="MFLASH",PR!$AP765,IF(J767="MORISON",PR!$AQ765,IF(J767="NEMEL",PR!$AR765,IF(J767="NHP",PR!$AS765,IF(J767="NHC",PR!$AT765,IF(J767="OLEAF",PR!$AU765,IF(J767="OCULUS",PR!$AV765,IF(J767="PACIFIC",PR!$AW765,IF(J767="PHAMATEX",PR!$AX765,IF(J767="PETHICS",PR!$AY765,IF(J767="PHILIPS",PR!$AZ765,IF(J767="RANBAXY",PR!$BA765,IF(J767="REALS",PR!$BB765,IF(J767="ROYAL",PR!$BC765,IF(J767="SAM",PR!$BD765,IF(J767="SEAGREEN",PR!$BE765,IF(J767="SKG",PR!$BF765,IF(J767="TAH",PR!$BG765,IF(J767="TAYLEK",PR!$BH765,IF(J767="TEMITA",PR!$BI765,IF(J767="THL",PR!$BJ765,IF(J767="UBASTIC",PR!$BK765,IF(J767="UNION",PR!$BL765,IF(J767="UNIQUE",PR!$BM765,IF(J767="VIXA",PR!$BN765,IF(J767="WWCV",PR!$BO765,IF(J767="ZOLON",PR!$BP765,"-"))))))))))))))))))))))))))))))))))))))))))))))))))))))))))))))))</f>
        <v>-</v>
      </c>
      <c r="J767" s="102">
        <f>EV!N979</f>
        <v>0</v>
      </c>
      <c r="K767" s="433" t="s">
        <v>630</v>
      </c>
      <c r="L767" s="183">
        <f>IF(K767&gt;0,IF(K767="ALPHA",PR!$E765,IF(K767="ASSENE",PR!$F765,IF(K767="BIOFEM",PR!$G765,IF(K767="BIOMED",PR!$H765,IF(K767="CHI",PR!$I765,IF(K767="CLARION",PR!$J765,IF(K767="CODIX",PR!$K765,IF(K767="COSMADE",PR!$L765,IF(K767="SANCON",PR!$M765,IF(K767="DEVON",PR!$N765,IF(K767="DORTEMAG",PR!$O765,IF(K767="DGF",PR!$P765,IF(K767="DYNAMIC",PR!$Q765,IF(K767="EMZOR",PR!$R765,IF(K767="EUMATT",PR!$S765,IF(K767="FIDSON",PR!$T765,IF(K767="FCGLOBAL",PR!$U765,IF(K767="GENEITH",PR!$V765,IF(K767="GINOS",PR!$W765,IF(K767="GSK",PR!$X765,IF(K767="GLOBORG",PR!$Y765,IF(K767="GOODNEWS",PR!$Z765,IF(K767="GREENLIFE",PR!$AA765,IF(K767="HLINE",PR!$AB765,IF(K767="ROTECH",PR!$AC765,IF(K767="ISN",PR!$AD765,IF(K767="JAWA",PR!$AE765,IF(K767="LAYO",PR!$AF765,IF(K767="LEADWAY",PR!$AG765,IF(K767="LHV",PR!$AH765,IF(K767="MANOLA",PR!$AI765,IF(K767="MARCSON",PR!$AJ765,IF(K767="M&amp;B",PR!$AK765,IF(K767="MTRUST",PR!$AL765,IF(K767="MWORLD",PR!$AM765,IF(K767="MEGA",PR!$AN765,IF(K767="MICRONOVA",PR!$AO765,IF(K767="MFLASH",PR!$AP765,IF(K767="MORISON",PR!$AQ765,IF(K767="NEMEL",PR!$AR765,IF(K767="NHP",PR!$AS765,IF(K767="NHC",PR!$AT765,IF(K767="OLEAF",PR!$AU765,IF(K767="OCULUS",PR!$AV765,IF(K767="PACIFIC",PR!$AW765,IF(K767="PHAMATEX",PR!$AX765,IF(K767="PETHICS",PR!$AY765,IF(K767="PHILIPS",PR!$AZ765,IF(K767="RANBAXY",PR!$BA765,IF(K767="REALS",PR!$BB765,IF(K767="ROYAL",PR!$BC765,IF(K767="SAM",PR!$BD765,IF(K767="SEAGREEN",PR!$BE765,IF(K767="SKG",PR!$BF765,IF(K767="TAH",PR!$BG765,IF(K767="TAYLEK",PR!$BH765,IF(K767="TEMITA",PR!$BI765,IF(K767="THL",PR!$BJ765,IF(K767="UBASTIC",PR!$BK765,IF(K767="UNION",PR!$BL765,IF(K767="UNIQUE",PR!$BM765,IF(K767="VIXA",PR!$BN765,IF(K767="WWCV",PR!$BO765,IF(K767="ZOLON",PR!$BP765,"-")))))))))))))))))))))))))))))))))))))))))))))))))))))))))))))))))</f>
        <v>295</v>
      </c>
    </row>
    <row r="768" spans="1:12" ht="18.75" x14ac:dyDescent="0.3">
      <c r="A768" s="430">
        <f>PR!A766</f>
        <v>696</v>
      </c>
      <c r="B768" s="15" t="str">
        <f>PR!B766</f>
        <v>POVIDONE IODINE+METRONIDAZOLE OINTMENT</v>
      </c>
      <c r="C768" s="113">
        <f>PR!D766</f>
        <v>10</v>
      </c>
      <c r="D768" s="113">
        <f>PR!C766</f>
        <v>10</v>
      </c>
      <c r="E768" s="108" t="str">
        <f>IF(F768="ALPHA",PR!$E766,IF(F768="ASSENE",PR!$F766,IF(F768="BIOFEM",PR!$G766,IF(F768="BIOMED",PR!$H766,IF(F768="CHI",PR!$I766,IF(F768="CLARION",PR!$J766,IF(F768="CODIX",PR!$K766,IF(F768="COSMADE",PR!$L766,IF(F768="SANCON",PR!$M766,IF(F768="DEVON",PR!$N766,IF(F768="DORTEMAG",PR!$O766,IF(F768="DGF",PR!$P766,IF(F768="DYNAMIC",PR!$Q766,IF(F768="EMZOR",PR!$R766,IF(F768="EUMATT",PR!$S766,IF(F768="FIDSON",PR!$T766,IF(F768="FCGLOBAL",PR!$U766,IF(F768="GENEITH",PR!$V766,IF(F768="GINOS",PR!$W766,IF(F768="GSK",PR!$X766,IF(F768="GLOBORG",PR!$Y766,IF(F768="GOODNEWS",PR!$Z766,IF(F768="GREENLIFE",PR!$AA766,IF(F768="HLINE",PR!$AB766,IF(F768="ROTECH",PR!$AC766,IF(F768="ISN",PR!$AD766,IF(F768="JAWA",PR!$AE766,IF(F768="LAYO",PR!$AF766,IF(F768="LEADWAY",PR!$AG766,IF(F768="LHV",PR!$AH766,IF(F768="MANOLA",PR!$AI766,IF(F768="MARCSON",PR!$AJ766,IF(F768="M&amp;B",PR!$AK766,IF(F768="MTRUST",PR!$AL766,IF(F768="MWORLD",PR!$AM766,IF(F768="MEGA",PR!$AN766,IF(F768="MICRONOVA",PR!$AO766,IF(F768="MFLASH",PR!$AP766,IF(F768="MORISON",PR!$AQ766,IF(F768="NEMEL",PR!$AR766,IF(F768="NHP",PR!$AS766,IF(F768="NHC",PR!$AT766,IF(F768="OLEAF",PR!$AU766,IF(F768="OCULUS",PR!$AV766,IF(F768="PACIFIC",PR!$AW766,IF(F768="PHAMATEX",PR!$AX766,IF(F768="PETHICS",PR!$AY766,IF(F768="PHILIPS",PR!$AZ766,IF(F768="RANBAXY",PR!$BA766,IF(F768="REALS",PR!$BB766,IF(F768="ROYAL",PR!$BC766,IF(F768="SAM",PR!$BD766,IF(F768="SEAGREEN",PR!$BE766,IF(F768="SKG",PR!$BF766,IF(F768="TAH",PR!$BG766,IF(F768="TAYLEK",PR!$BH766,IF(F768="TEMITA",PR!$BI766,IF(F768="THL",PR!$BJ766,IF(F768="UBASTIC",PR!$BK766,IF(F768="UNION",PR!$BL766,IF(F768="UNIQUE",PR!$BM766,IF(F768="VIXA",PR!$BN766,IF(F768="WWCV",PR!$BO766,IF(F768="ZOLON",PR!$BP766,"-"))))))))))))))))))))))))))))))))))))))))))))))))))))))))))))))))</f>
        <v>-</v>
      </c>
      <c r="F768" s="102">
        <f>EV!L980</f>
        <v>0</v>
      </c>
      <c r="G768" s="108" t="str">
        <f>IF(H768="ALPHA",PR!$E766,IF(H768="ASSENE",PR!$F766,IF(H768="BIOFEM",PR!$G766,IF(H768="BIOMED",PR!$H766,IF(H768="CHI",PR!$I766,IF(H768="CLARION",PR!$J766,IF(H768="CODIX",PR!$K766,IF(H768="COSMADE",PR!$L766,IF(H768="SANCON",PR!$M766,IF(H768="DEVON",PR!$N766,IF(H768="DORTEMAG",PR!$O766,IF(H768="DGF",PR!$P766,IF(H768="DYNAMIC",PR!$Q766,IF(H768="EMZOR",PR!$R766,IF(H768="EUMATT",PR!$S766,IF(H768="FIDSON",PR!$T766,IF(H768="FCGLOBAL",PR!$U766,IF(H768="GENEITH",PR!$V766,IF(H768="GINOS",PR!$W766,IF(H768="GSK",PR!$X766,IF(H768="GLOBORG",PR!$Y766,IF(H768="GOODNEWS",PR!$Z766,IF(H768="GREENLIFE",PR!$AA766,IF(H768="HLINE",PR!$AB766,IF(H768="ROTECH",PR!$AC766,IF(H768="ISN",PR!$AD766,IF(H768="JAWA",PR!$AE766,IF(H768="LAYO",PR!$AF766,IF(H768="LEADWAY",PR!$AG766,IF(H768="LHV",PR!$AH766,IF(H768="MANOLA",PR!$AI766,IF(H768="MARCSON",PR!$AJ766,IF(H768="M&amp;B",PR!$AK766,IF(H768="MTRUST",PR!$AL766,IF(H768="MWORLD",PR!$AM766,IF(H768="MEGA",PR!$AN766,IF(H768="MICRONOVA",PR!$AO766,IF(H768="MFLASH",PR!$AP766,IF(H768="MORISON",PR!$AQ766,IF(H768="NEMEL",PR!$AR766,IF(H768="NHP",PR!$AS766,IF(H768="NHC",PR!$AT766,IF(H768="OLEAF",PR!$AU766,IF(H768="OCULUS",PR!$AV766,IF(H768="PACIFIC",PR!$AW766,IF(H768="PHAMATEX",PR!$AX766,IF(H768="PETHICS",PR!$AY766,IF(H768="PHILIPS",PR!$AZ766,IF(H768="RANBAXY",PR!$BA766,IF(H768="REALS",PR!$BB766,IF(H768="ROYAL",PR!$BC766,IF(H768="SAM",PR!$BD766,IF(H768="SEAGREEN",PR!$BE766,IF(H768="SKG",PR!$BF766,IF(H768="TAH",PR!$BG766,IF(H768="TAYLEK",PR!$BH766,IF(H768="TEMITA",PR!$BI766,IF(H768="THL",PR!$BJ766,IF(H768="UBASTIC",PR!$BK766,IF(H768="UNION",PR!$BL766,IF(H768="UNIQUE",PR!$BM766,IF(H768="VIXA",PR!$BN766,IF(H768="WWCV",PR!$BO766,IF(H768="ZOLON",PR!$BP766,"-"))))))))))))))))))))))))))))))))))))))))))))))))))))))))))))))))</f>
        <v>-</v>
      </c>
      <c r="H768" s="102">
        <f>EV!M980</f>
        <v>0</v>
      </c>
      <c r="I768" s="108" t="str">
        <f>IF(J768="ALPHA",PR!$E766,IF(J768="ASSENE",PR!$F766,IF(J768="BIOFEM",PR!$G766,IF(J768="BIOMED",PR!$H766,IF(J768="CHI",PR!$I766,IF(J768="CLARION",PR!$J766,IF(J768="CODIX",PR!$K766,IF(J768="COSMADE",PR!$L766,IF(J768="SANCON",PR!$M766,IF(J768="DEVON",PR!$N766,IF(J768="DORTEMAG",PR!$O766,IF(J768="DGF",PR!$P766,IF(J768="DYNAMIC",PR!$Q766,IF(J768="EMZOR",PR!$R766,IF(J768="EUMATT",PR!$S766,IF(J768="FIDSON",PR!$T766,IF(J768="FCGLOBAL",PR!$U766,IF(J768="GENEITH",PR!$V766,IF(J768="GINOS",PR!$W766,IF(J768="GSK",PR!$X766,IF(J768="GLOBORG",PR!$Y766,IF(J768="GOODNEWS",PR!$Z766,IF(J768="GREENLIFE",PR!$AA766,IF(J768="HLINE",PR!$AB766,IF(J768="ROTECH",PR!$AC766,IF(J768="ISN",PR!$AD766,IF(J768="JAWA",PR!$AE766,IF(J768="LAYO",PR!$AF766,IF(J768="LEADWAY",PR!$AG766,IF(J768="LHV",PR!$AH766,IF(J768="MANOLA",PR!$AI766,IF(J768="MARCSON",PR!$AJ766,IF(J768="M&amp;B",PR!$AK766,IF(J768="MTRUST",PR!$AL766,IF(J768="MWORLD",PR!$AM766,IF(J768="MEGA",PR!$AN766,IF(J768="MICRONOVA",PR!$AO766,IF(J768="MFLASH",PR!$AP766,IF(J768="MORISON",PR!$AQ766,IF(J768="NEMEL",PR!$AR766,IF(J768="NHP",PR!$AS766,IF(J768="NHC",PR!$AT766,IF(J768="OLEAF",PR!$AU766,IF(J768="OCULUS",PR!$AV766,IF(J768="PACIFIC",PR!$AW766,IF(J768="PHAMATEX",PR!$AX766,IF(J768="PETHICS",PR!$AY766,IF(J768="PHILIPS",PR!$AZ766,IF(J768="RANBAXY",PR!$BA766,IF(J768="REALS",PR!$BB766,IF(J768="ROYAL",PR!$BC766,IF(J768="SAM",PR!$BD766,IF(J768="SEAGREEN",PR!$BE766,IF(J768="SKG",PR!$BF766,IF(J768="TAH",PR!$BG766,IF(J768="TAYLEK",PR!$BH766,IF(J768="TEMITA",PR!$BI766,IF(J768="THL",PR!$BJ766,IF(J768="UBASTIC",PR!$BK766,IF(J768="UNION",PR!$BL766,IF(J768="UNIQUE",PR!$BM766,IF(J768="VIXA",PR!$BN766,IF(J768="WWCV",PR!$BO766,IF(J768="ZOLON",PR!$BP766,"-"))))))))))))))))))))))))))))))))))))))))))))))))))))))))))))))))</f>
        <v>-</v>
      </c>
      <c r="J768" s="102">
        <f>EV!N980</f>
        <v>0</v>
      </c>
      <c r="K768" s="433"/>
      <c r="L768" s="183" t="b">
        <f>IF(K768&gt;0,IF(K768="ALPHA",PR!$E766,IF(K768="ASSENE",PR!$F766,IF(K768="BIOFEM",PR!$G766,IF(K768="BIOMED",PR!$H766,IF(K768="CHI",PR!$I766,IF(K768="CLARION",PR!$J766,IF(K768="CODIX",PR!$K766,IF(K768="COSMADE",PR!$L766,IF(K768="SANCON",PR!$M766,IF(K768="DEVON",PR!$N766,IF(K768="DORTEMAG",PR!$O766,IF(K768="DGF",PR!$P766,IF(K768="DYNAMIC",PR!$Q766,IF(K768="EMZOR",PR!$R766,IF(K768="EUMATT",PR!$S766,IF(K768="FIDSON",PR!$T766,IF(K768="FCGLOBAL",PR!$U766,IF(K768="GENEITH",PR!$V766,IF(K768="GINOS",PR!$W766,IF(K768="GSK",PR!$X766,IF(K768="GLOBORG",PR!$Y766,IF(K768="GOODNEWS",PR!$Z766,IF(K768="GREENLIFE",PR!$AA766,IF(K768="HLINE",PR!$AB766,IF(K768="ROTECH",PR!$AC766,IF(K768="ISN",PR!$AD766,IF(K768="JAWA",PR!$AE766,IF(K768="LAYO",PR!$AF766,IF(K768="LEADWAY",PR!$AG766,IF(K768="LHV",PR!$AH766,IF(K768="MANOLA",PR!$AI766,IF(K768="MARCSON",PR!$AJ766,IF(K768="M&amp;B",PR!$AK766,IF(K768="MTRUST",PR!$AL766,IF(K768="MWORLD",PR!$AM766,IF(K768="MEGA",PR!$AN766,IF(K768="MICRONOVA",PR!$AO766,IF(K768="MFLASH",PR!$AP766,IF(K768="MORISON",PR!$AQ766,IF(K768="NEMEL",PR!$AR766,IF(K768="NHP",PR!$AS766,IF(K768="NHC",PR!$AT766,IF(K768="OLEAF",PR!$AU766,IF(K768="OCULUS",PR!$AV766,IF(K768="PACIFIC",PR!$AW766,IF(K768="PHAMATEX",PR!$AX766,IF(K768="PETHICS",PR!$AY766,IF(K768="PHILIPS",PR!$AZ766,IF(K768="RANBAXY",PR!$BA766,IF(K768="REALS",PR!$BB766,IF(K768="ROYAL",PR!$BC766,IF(K768="SAM",PR!$BD766,IF(K768="SEAGREEN",PR!$BE766,IF(K768="SKG",PR!$BF766,IF(K768="TAH",PR!$BG766,IF(K768="TAYLEK",PR!$BH766,IF(K768="TEMITA",PR!$BI766,IF(K768="THL",PR!$BJ766,IF(K768="UBASTIC",PR!$BK766,IF(K768="UNION",PR!$BL766,IF(K768="UNIQUE",PR!$BM766,IF(K768="VIXA",PR!$BN766,IF(K768="WWCV",PR!$BO766,IF(K768="ZOLON",PR!$BP766,"-")))))))))))))))))))))))))))))))))))))))))))))))))))))))))))))))))</f>
        <v>0</v>
      </c>
    </row>
    <row r="769" spans="1:12" ht="18.75" x14ac:dyDescent="0.3">
      <c r="A769" s="430">
        <f>PR!A767</f>
        <v>697</v>
      </c>
      <c r="B769" s="15" t="str">
        <f>PR!B767</f>
        <v>POVIDONE IODINE+METRONIDAZOLE POWDER</v>
      </c>
      <c r="C769" s="113">
        <f>PR!D767</f>
        <v>10</v>
      </c>
      <c r="D769" s="113">
        <f>PR!C767</f>
        <v>10</v>
      </c>
      <c r="E769" s="108" t="str">
        <f>IF(F769="ALPHA",PR!$E767,IF(F769="ASSENE",PR!$F767,IF(F769="BIOFEM",PR!$G767,IF(F769="BIOMED",PR!$H767,IF(F769="CHI",PR!$I767,IF(F769="CLARION",PR!$J767,IF(F769="CODIX",PR!$K767,IF(F769="COSMADE",PR!$L767,IF(F769="SANCON",PR!$M767,IF(F769="DEVON",PR!$N767,IF(F769="DORTEMAG",PR!$O767,IF(F769="DGF",PR!$P767,IF(F769="DYNAMIC",PR!$Q767,IF(F769="EMZOR",PR!$R767,IF(F769="EUMATT",PR!$S767,IF(F769="FIDSON",PR!$T767,IF(F769="FCGLOBAL",PR!$U767,IF(F769="GENEITH",PR!$V767,IF(F769="GINOS",PR!$W767,IF(F769="GSK",PR!$X767,IF(F769="GLOBORG",PR!$Y767,IF(F769="GOODNEWS",PR!$Z767,IF(F769="GREENLIFE",PR!$AA767,IF(F769="HLINE",PR!$AB767,IF(F769="ROTECH",PR!$AC767,IF(F769="ISN",PR!$AD767,IF(F769="JAWA",PR!$AE767,IF(F769="LAYO",PR!$AF767,IF(F769="LEADWAY",PR!$AG767,IF(F769="LHV",PR!$AH767,IF(F769="MANOLA",PR!$AI767,IF(F769="MARCSON",PR!$AJ767,IF(F769="M&amp;B",PR!$AK767,IF(F769="MTRUST",PR!$AL767,IF(F769="MWORLD",PR!$AM767,IF(F769="MEGA",PR!$AN767,IF(F769="MICRONOVA",PR!$AO767,IF(F769="MFLASH",PR!$AP767,IF(F769="MORISON",PR!$AQ767,IF(F769="NEMEL",PR!$AR767,IF(F769="NHP",PR!$AS767,IF(F769="NHC",PR!$AT767,IF(F769="OLEAF",PR!$AU767,IF(F769="OCULUS",PR!$AV767,IF(F769="PACIFIC",PR!$AW767,IF(F769="PHAMATEX",PR!$AX767,IF(F769="PETHICS",PR!$AY767,IF(F769="PHILIPS",PR!$AZ767,IF(F769="RANBAXY",PR!$BA767,IF(F769="REALS",PR!$BB767,IF(F769="ROYAL",PR!$BC767,IF(F769="SAM",PR!$BD767,IF(F769="SEAGREEN",PR!$BE767,IF(F769="SKG",PR!$BF767,IF(F769="TAH",PR!$BG767,IF(F769="TAYLEK",PR!$BH767,IF(F769="TEMITA",PR!$BI767,IF(F769="THL",PR!$BJ767,IF(F769="UBASTIC",PR!$BK767,IF(F769="UNION",PR!$BL767,IF(F769="UNIQUE",PR!$BM767,IF(F769="VIXA",PR!$BN767,IF(F769="WWCV",PR!$BO767,IF(F769="ZOLON",PR!$BP767,"-"))))))))))))))))))))))))))))))))))))))))))))))))))))))))))))))))</f>
        <v>-</v>
      </c>
      <c r="F769" s="102">
        <f>EV!L981</f>
        <v>0</v>
      </c>
      <c r="G769" s="108" t="str">
        <f>IF(H769="ALPHA",PR!$E767,IF(H769="ASSENE",PR!$F767,IF(H769="BIOFEM",PR!$G767,IF(H769="BIOMED",PR!$H767,IF(H769="CHI",PR!$I767,IF(H769="CLARION",PR!$J767,IF(H769="CODIX",PR!$K767,IF(H769="COSMADE",PR!$L767,IF(H769="SANCON",PR!$M767,IF(H769="DEVON",PR!$N767,IF(H769="DORTEMAG",PR!$O767,IF(H769="DGF",PR!$P767,IF(H769="DYNAMIC",PR!$Q767,IF(H769="EMZOR",PR!$R767,IF(H769="EUMATT",PR!$S767,IF(H769="FIDSON",PR!$T767,IF(H769="FCGLOBAL",PR!$U767,IF(H769="GENEITH",PR!$V767,IF(H769="GINOS",PR!$W767,IF(H769="GSK",PR!$X767,IF(H769="GLOBORG",PR!$Y767,IF(H769="GOODNEWS",PR!$Z767,IF(H769="GREENLIFE",PR!$AA767,IF(H769="HLINE",PR!$AB767,IF(H769="ROTECH",PR!$AC767,IF(H769="ISN",PR!$AD767,IF(H769="JAWA",PR!$AE767,IF(H769="LAYO",PR!$AF767,IF(H769="LEADWAY",PR!$AG767,IF(H769="LHV",PR!$AH767,IF(H769="MANOLA",PR!$AI767,IF(H769="MARCSON",PR!$AJ767,IF(H769="M&amp;B",PR!$AK767,IF(H769="MTRUST",PR!$AL767,IF(H769="MWORLD",PR!$AM767,IF(H769="MEGA",PR!$AN767,IF(H769="MICRONOVA",PR!$AO767,IF(H769="MFLASH",PR!$AP767,IF(H769="MORISON",PR!$AQ767,IF(H769="NEMEL",PR!$AR767,IF(H769="NHP",PR!$AS767,IF(H769="NHC",PR!$AT767,IF(H769="OLEAF",PR!$AU767,IF(H769="OCULUS",PR!$AV767,IF(H769="PACIFIC",PR!$AW767,IF(H769="PHAMATEX",PR!$AX767,IF(H769="PETHICS",PR!$AY767,IF(H769="PHILIPS",PR!$AZ767,IF(H769="RANBAXY",PR!$BA767,IF(H769="REALS",PR!$BB767,IF(H769="ROYAL",PR!$BC767,IF(H769="SAM",PR!$BD767,IF(H769="SEAGREEN",PR!$BE767,IF(H769="SKG",PR!$BF767,IF(H769="TAH",PR!$BG767,IF(H769="TAYLEK",PR!$BH767,IF(H769="TEMITA",PR!$BI767,IF(H769="THL",PR!$BJ767,IF(H769="UBASTIC",PR!$BK767,IF(H769="UNION",PR!$BL767,IF(H769="UNIQUE",PR!$BM767,IF(H769="VIXA",PR!$BN767,IF(H769="WWCV",PR!$BO767,IF(H769="ZOLON",PR!$BP767,"-"))))))))))))))))))))))))))))))))))))))))))))))))))))))))))))))))</f>
        <v>-</v>
      </c>
      <c r="H769" s="102">
        <f>EV!M981</f>
        <v>0</v>
      </c>
      <c r="I769" s="108" t="str">
        <f>IF(J769="ALPHA",PR!$E767,IF(J769="ASSENE",PR!$F767,IF(J769="BIOFEM",PR!$G767,IF(J769="BIOMED",PR!$H767,IF(J769="CHI",PR!$I767,IF(J769="CLARION",PR!$J767,IF(J769="CODIX",PR!$K767,IF(J769="COSMADE",PR!$L767,IF(J769="SANCON",PR!$M767,IF(J769="DEVON",PR!$N767,IF(J769="DORTEMAG",PR!$O767,IF(J769="DGF",PR!$P767,IF(J769="DYNAMIC",PR!$Q767,IF(J769="EMZOR",PR!$R767,IF(J769="EUMATT",PR!$S767,IF(J769="FIDSON",PR!$T767,IF(J769="FCGLOBAL",PR!$U767,IF(J769="GENEITH",PR!$V767,IF(J769="GINOS",PR!$W767,IF(J769="GSK",PR!$X767,IF(J769="GLOBORG",PR!$Y767,IF(J769="GOODNEWS",PR!$Z767,IF(J769="GREENLIFE",PR!$AA767,IF(J769="HLINE",PR!$AB767,IF(J769="ROTECH",PR!$AC767,IF(J769="ISN",PR!$AD767,IF(J769="JAWA",PR!$AE767,IF(J769="LAYO",PR!$AF767,IF(J769="LEADWAY",PR!$AG767,IF(J769="LHV",PR!$AH767,IF(J769="MANOLA",PR!$AI767,IF(J769="MARCSON",PR!$AJ767,IF(J769="M&amp;B",PR!$AK767,IF(J769="MTRUST",PR!$AL767,IF(J769="MWORLD",PR!$AM767,IF(J769="MEGA",PR!$AN767,IF(J769="MICRONOVA",PR!$AO767,IF(J769="MFLASH",PR!$AP767,IF(J769="MORISON",PR!$AQ767,IF(J769="NEMEL",PR!$AR767,IF(J769="NHP",PR!$AS767,IF(J769="NHC",PR!$AT767,IF(J769="OLEAF",PR!$AU767,IF(J769="OCULUS",PR!$AV767,IF(J769="PACIFIC",PR!$AW767,IF(J769="PHAMATEX",PR!$AX767,IF(J769="PETHICS",PR!$AY767,IF(J769="PHILIPS",PR!$AZ767,IF(J769="RANBAXY",PR!$BA767,IF(J769="REALS",PR!$BB767,IF(J769="ROYAL",PR!$BC767,IF(J769="SAM",PR!$BD767,IF(J769="SEAGREEN",PR!$BE767,IF(J769="SKG",PR!$BF767,IF(J769="TAH",PR!$BG767,IF(J769="TAYLEK",PR!$BH767,IF(J769="TEMITA",PR!$BI767,IF(J769="THL",PR!$BJ767,IF(J769="UBASTIC",PR!$BK767,IF(J769="UNION",PR!$BL767,IF(J769="UNIQUE",PR!$BM767,IF(J769="VIXA",PR!$BN767,IF(J769="WWCV",PR!$BO767,IF(J769="ZOLON",PR!$BP767,"-"))))))))))))))))))))))))))))))))))))))))))))))))))))))))))))))))</f>
        <v>-</v>
      </c>
      <c r="J769" s="102">
        <f>EV!N981</f>
        <v>0</v>
      </c>
      <c r="K769" s="433"/>
      <c r="L769" s="183" t="b">
        <f>IF(K769&gt;0,IF(K769="ALPHA",PR!$E767,IF(K769="ASSENE",PR!$F767,IF(K769="BIOFEM",PR!$G767,IF(K769="BIOMED",PR!$H767,IF(K769="CHI",PR!$I767,IF(K769="CLARION",PR!$J767,IF(K769="CODIX",PR!$K767,IF(K769="COSMADE",PR!$L767,IF(K769="SANCON",PR!$M767,IF(K769="DEVON",PR!$N767,IF(K769="DORTEMAG",PR!$O767,IF(K769="DGF",PR!$P767,IF(K769="DYNAMIC",PR!$Q767,IF(K769="EMZOR",PR!$R767,IF(K769="EUMATT",PR!$S767,IF(K769="FIDSON",PR!$T767,IF(K769="FCGLOBAL",PR!$U767,IF(K769="GENEITH",PR!$V767,IF(K769="GINOS",PR!$W767,IF(K769="GSK",PR!$X767,IF(K769="GLOBORG",PR!$Y767,IF(K769="GOODNEWS",PR!$Z767,IF(K769="GREENLIFE",PR!$AA767,IF(K769="HLINE",PR!$AB767,IF(K769="ROTECH",PR!$AC767,IF(K769="ISN",PR!$AD767,IF(K769="JAWA",PR!$AE767,IF(K769="LAYO",PR!$AF767,IF(K769="LEADWAY",PR!$AG767,IF(K769="LHV",PR!$AH767,IF(K769="MANOLA",PR!$AI767,IF(K769="MARCSON",PR!$AJ767,IF(K769="M&amp;B",PR!$AK767,IF(K769="MTRUST",PR!$AL767,IF(K769="MWORLD",PR!$AM767,IF(K769="MEGA",PR!$AN767,IF(K769="MICRONOVA",PR!$AO767,IF(K769="MFLASH",PR!$AP767,IF(K769="MORISON",PR!$AQ767,IF(K769="NEMEL",PR!$AR767,IF(K769="NHP",PR!$AS767,IF(K769="NHC",PR!$AT767,IF(K769="OLEAF",PR!$AU767,IF(K769="OCULUS",PR!$AV767,IF(K769="PACIFIC",PR!$AW767,IF(K769="PHAMATEX",PR!$AX767,IF(K769="PETHICS",PR!$AY767,IF(K769="PHILIPS",PR!$AZ767,IF(K769="RANBAXY",PR!$BA767,IF(K769="REALS",PR!$BB767,IF(K769="ROYAL",PR!$BC767,IF(K769="SAM",PR!$BD767,IF(K769="SEAGREEN",PR!$BE767,IF(K769="SKG",PR!$BF767,IF(K769="TAH",PR!$BG767,IF(K769="TAYLEK",PR!$BH767,IF(K769="TEMITA",PR!$BI767,IF(K769="THL",PR!$BJ767,IF(K769="UBASTIC",PR!$BK767,IF(K769="UNION",PR!$BL767,IF(K769="UNIQUE",PR!$BM767,IF(K769="VIXA",PR!$BN767,IF(K769="WWCV",PR!$BO767,IF(K769="ZOLON",PR!$BP767,"-")))))))))))))))))))))))))))))))))))))))))))))))))))))))))))))))))</f>
        <v>0</v>
      </c>
    </row>
    <row r="770" spans="1:12" ht="18.75" x14ac:dyDescent="0.3">
      <c r="A770" s="430">
        <f>PR!A768</f>
        <v>698</v>
      </c>
      <c r="B770" s="15" t="str">
        <f>PR!B768</f>
        <v>POVIDONE IODINE+METRONIDAZOLE SOLUTION 30MLS</v>
      </c>
      <c r="C770" s="113">
        <f>PR!D768</f>
        <v>10</v>
      </c>
      <c r="D770" s="113">
        <f>PR!C768</f>
        <v>100</v>
      </c>
      <c r="E770" s="108" t="str">
        <f>IF(F770="ALPHA",PR!$E768,IF(F770="ASSENE",PR!$F768,IF(F770="BIOFEM",PR!$G768,IF(F770="BIOMED",PR!$H768,IF(F770="CHI",PR!$I768,IF(F770="CLARION",PR!$J768,IF(F770="CODIX",PR!$K768,IF(F770="COSMADE",PR!$L768,IF(F770="SANCON",PR!$M768,IF(F770="DEVON",PR!$N768,IF(F770="DORTEMAG",PR!$O768,IF(F770="DGF",PR!$P768,IF(F770="DYNAMIC",PR!$Q768,IF(F770="EMZOR",PR!$R768,IF(F770="EUMATT",PR!$S768,IF(F770="FIDSON",PR!$T768,IF(F770="FCGLOBAL",PR!$U768,IF(F770="GENEITH",PR!$V768,IF(F770="GINOS",PR!$W768,IF(F770="GSK",PR!$X768,IF(F770="GLOBORG",PR!$Y768,IF(F770="GOODNEWS",PR!$Z768,IF(F770="GREENLIFE",PR!$AA768,IF(F770="HLINE",PR!$AB768,IF(F770="ROTECH",PR!$AC768,IF(F770="ISN",PR!$AD768,IF(F770="JAWA",PR!$AE768,IF(F770="LAYO",PR!$AF768,IF(F770="LEADWAY",PR!$AG768,IF(F770="LHV",PR!$AH768,IF(F770="MANOLA",PR!$AI768,IF(F770="MARCSON",PR!$AJ768,IF(F770="M&amp;B",PR!$AK768,IF(F770="MTRUST",PR!$AL768,IF(F770="MWORLD",PR!$AM768,IF(F770="MEGA",PR!$AN768,IF(F770="MICRONOVA",PR!$AO768,IF(F770="MFLASH",PR!$AP768,IF(F770="MORISON",PR!$AQ768,IF(F770="NEMEL",PR!$AR768,IF(F770="NHP",PR!$AS768,IF(F770="NHC",PR!$AT768,IF(F770="OLEAF",PR!$AU768,IF(F770="OCULUS",PR!$AV768,IF(F770="PACIFIC",PR!$AW768,IF(F770="PHAMATEX",PR!$AX768,IF(F770="PETHICS",PR!$AY768,IF(F770="PHILIPS",PR!$AZ768,IF(F770="RANBAXY",PR!$BA768,IF(F770="REALS",PR!$BB768,IF(F770="ROYAL",PR!$BC768,IF(F770="SAM",PR!$BD768,IF(F770="SEAGREEN",PR!$BE768,IF(F770="SKG",PR!$BF768,IF(F770="TAH",PR!$BG768,IF(F770="TAYLEK",PR!$BH768,IF(F770="TEMITA",PR!$BI768,IF(F770="THL",PR!$BJ768,IF(F770="UBASTIC",PR!$BK768,IF(F770="UNION",PR!$BL768,IF(F770="UNIQUE",PR!$BM768,IF(F770="VIXA",PR!$BN768,IF(F770="WWCV",PR!$BO768,IF(F770="ZOLON",PR!$BP768,"-"))))))))))))))))))))))))))))))))))))))))))))))))))))))))))))))))</f>
        <v>-</v>
      </c>
      <c r="F770" s="102">
        <f>EV!L982</f>
        <v>0</v>
      </c>
      <c r="G770" s="108" t="str">
        <f>IF(H770="ALPHA",PR!$E768,IF(H770="ASSENE",PR!$F768,IF(H770="BIOFEM",PR!$G768,IF(H770="BIOMED",PR!$H768,IF(H770="CHI",PR!$I768,IF(H770="CLARION",PR!$J768,IF(H770="CODIX",PR!$K768,IF(H770="COSMADE",PR!$L768,IF(H770="SANCON",PR!$M768,IF(H770="DEVON",PR!$N768,IF(H770="DORTEMAG",PR!$O768,IF(H770="DGF",PR!$P768,IF(H770="DYNAMIC",PR!$Q768,IF(H770="EMZOR",PR!$R768,IF(H770="EUMATT",PR!$S768,IF(H770="FIDSON",PR!$T768,IF(H770="FCGLOBAL",PR!$U768,IF(H770="GENEITH",PR!$V768,IF(H770="GINOS",PR!$W768,IF(H770="GSK",PR!$X768,IF(H770="GLOBORG",PR!$Y768,IF(H770="GOODNEWS",PR!$Z768,IF(H770="GREENLIFE",PR!$AA768,IF(H770="HLINE",PR!$AB768,IF(H770="ROTECH",PR!$AC768,IF(H770="ISN",PR!$AD768,IF(H770="JAWA",PR!$AE768,IF(H770="LAYO",PR!$AF768,IF(H770="LEADWAY",PR!$AG768,IF(H770="LHV",PR!$AH768,IF(H770="MANOLA",PR!$AI768,IF(H770="MARCSON",PR!$AJ768,IF(H770="M&amp;B",PR!$AK768,IF(H770="MTRUST",PR!$AL768,IF(H770="MWORLD",PR!$AM768,IF(H770="MEGA",PR!$AN768,IF(H770="MICRONOVA",PR!$AO768,IF(H770="MFLASH",PR!$AP768,IF(H770="MORISON",PR!$AQ768,IF(H770="NEMEL",PR!$AR768,IF(H770="NHP",PR!$AS768,IF(H770="NHC",PR!$AT768,IF(H770="OLEAF",PR!$AU768,IF(H770="OCULUS",PR!$AV768,IF(H770="PACIFIC",PR!$AW768,IF(H770="PHAMATEX",PR!$AX768,IF(H770="PETHICS",PR!$AY768,IF(H770="PHILIPS",PR!$AZ768,IF(H770="RANBAXY",PR!$BA768,IF(H770="REALS",PR!$BB768,IF(H770="ROYAL",PR!$BC768,IF(H770="SAM",PR!$BD768,IF(H770="SEAGREEN",PR!$BE768,IF(H770="SKG",PR!$BF768,IF(H770="TAH",PR!$BG768,IF(H770="TAYLEK",PR!$BH768,IF(H770="TEMITA",PR!$BI768,IF(H770="THL",PR!$BJ768,IF(H770="UBASTIC",PR!$BK768,IF(H770="UNION",PR!$BL768,IF(H770="UNIQUE",PR!$BM768,IF(H770="VIXA",PR!$BN768,IF(H770="WWCV",PR!$BO768,IF(H770="ZOLON",PR!$BP768,"-"))))))))))))))))))))))))))))))))))))))))))))))))))))))))))))))))</f>
        <v>-</v>
      </c>
      <c r="H770" s="102">
        <f>EV!M982</f>
        <v>0</v>
      </c>
      <c r="I770" s="108" t="str">
        <f>IF(J770="ALPHA",PR!$E768,IF(J770="ASSENE",PR!$F768,IF(J770="BIOFEM",PR!$G768,IF(J770="BIOMED",PR!$H768,IF(J770="CHI",PR!$I768,IF(J770="CLARION",PR!$J768,IF(J770="CODIX",PR!$K768,IF(J770="COSMADE",PR!$L768,IF(J770="SANCON",PR!$M768,IF(J770="DEVON",PR!$N768,IF(J770="DORTEMAG",PR!$O768,IF(J770="DGF",PR!$P768,IF(J770="DYNAMIC",PR!$Q768,IF(J770="EMZOR",PR!$R768,IF(J770="EUMATT",PR!$S768,IF(J770="FIDSON",PR!$T768,IF(J770="FCGLOBAL",PR!$U768,IF(J770="GENEITH",PR!$V768,IF(J770="GINOS",PR!$W768,IF(J770="GSK",PR!$X768,IF(J770="GLOBORG",PR!$Y768,IF(J770="GOODNEWS",PR!$Z768,IF(J770="GREENLIFE",PR!$AA768,IF(J770="HLINE",PR!$AB768,IF(J770="ROTECH",PR!$AC768,IF(J770="ISN",PR!$AD768,IF(J770="JAWA",PR!$AE768,IF(J770="LAYO",PR!$AF768,IF(J770="LEADWAY",PR!$AG768,IF(J770="LHV",PR!$AH768,IF(J770="MANOLA",PR!$AI768,IF(J770="MARCSON",PR!$AJ768,IF(J770="M&amp;B",PR!$AK768,IF(J770="MTRUST",PR!$AL768,IF(J770="MWORLD",PR!$AM768,IF(J770="MEGA",PR!$AN768,IF(J770="MICRONOVA",PR!$AO768,IF(J770="MFLASH",PR!$AP768,IF(J770="MORISON",PR!$AQ768,IF(J770="NEMEL",PR!$AR768,IF(J770="NHP",PR!$AS768,IF(J770="NHC",PR!$AT768,IF(J770="OLEAF",PR!$AU768,IF(J770="OCULUS",PR!$AV768,IF(J770="PACIFIC",PR!$AW768,IF(J770="PHAMATEX",PR!$AX768,IF(J770="PETHICS",PR!$AY768,IF(J770="PHILIPS",PR!$AZ768,IF(J770="RANBAXY",PR!$BA768,IF(J770="REALS",PR!$BB768,IF(J770="ROYAL",PR!$BC768,IF(J770="SAM",PR!$BD768,IF(J770="SEAGREEN",PR!$BE768,IF(J770="SKG",PR!$BF768,IF(J770="TAH",PR!$BG768,IF(J770="TAYLEK",PR!$BH768,IF(J770="TEMITA",PR!$BI768,IF(J770="THL",PR!$BJ768,IF(J770="UBASTIC",PR!$BK768,IF(J770="UNION",PR!$BL768,IF(J770="UNIQUE",PR!$BM768,IF(J770="VIXA",PR!$BN768,IF(J770="WWCV",PR!$BO768,IF(J770="ZOLON",PR!$BP768,"-"))))))))))))))))))))))))))))))))))))))))))))))))))))))))))))))))</f>
        <v>-</v>
      </c>
      <c r="J770" s="102">
        <f>EV!N982</f>
        <v>0</v>
      </c>
      <c r="K770" s="433"/>
      <c r="L770" s="183" t="b">
        <f>IF(K770&gt;0,IF(K770="ALPHA",PR!$E768,IF(K770="ASSENE",PR!$F768,IF(K770="BIOFEM",PR!$G768,IF(K770="BIOMED",PR!$H768,IF(K770="CHI",PR!$I768,IF(K770="CLARION",PR!$J768,IF(K770="CODIX",PR!$K768,IF(K770="COSMADE",PR!$L768,IF(K770="SANCON",PR!$M768,IF(K770="DEVON",PR!$N768,IF(K770="DORTEMAG",PR!$O768,IF(K770="DGF",PR!$P768,IF(K770="DYNAMIC",PR!$Q768,IF(K770="EMZOR",PR!$R768,IF(K770="EUMATT",PR!$S768,IF(K770="FIDSON",PR!$T768,IF(K770="FCGLOBAL",PR!$U768,IF(K770="GENEITH",PR!$V768,IF(K770="GINOS",PR!$W768,IF(K770="GSK",PR!$X768,IF(K770="GLOBORG",PR!$Y768,IF(K770="GOODNEWS",PR!$Z768,IF(K770="GREENLIFE",PR!$AA768,IF(K770="HLINE",PR!$AB768,IF(K770="ROTECH",PR!$AC768,IF(K770="ISN",PR!$AD768,IF(K770="JAWA",PR!$AE768,IF(K770="LAYO",PR!$AF768,IF(K770="LEADWAY",PR!$AG768,IF(K770="LHV",PR!$AH768,IF(K770="MANOLA",PR!$AI768,IF(K770="MARCSON",PR!$AJ768,IF(K770="M&amp;B",PR!$AK768,IF(K770="MTRUST",PR!$AL768,IF(K770="MWORLD",PR!$AM768,IF(K770="MEGA",PR!$AN768,IF(K770="MICRONOVA",PR!$AO768,IF(K770="MFLASH",PR!$AP768,IF(K770="MORISON",PR!$AQ768,IF(K770="NEMEL",PR!$AR768,IF(K770="NHP",PR!$AS768,IF(K770="NHC",PR!$AT768,IF(K770="OLEAF",PR!$AU768,IF(K770="OCULUS",PR!$AV768,IF(K770="PACIFIC",PR!$AW768,IF(K770="PHAMATEX",PR!$AX768,IF(K770="PETHICS",PR!$AY768,IF(K770="PHILIPS",PR!$AZ768,IF(K770="RANBAXY",PR!$BA768,IF(K770="REALS",PR!$BB768,IF(K770="ROYAL",PR!$BC768,IF(K770="SAM",PR!$BD768,IF(K770="SEAGREEN",PR!$BE768,IF(K770="SKG",PR!$BF768,IF(K770="TAH",PR!$BG768,IF(K770="TAYLEK",PR!$BH768,IF(K770="TEMITA",PR!$BI768,IF(K770="THL",PR!$BJ768,IF(K770="UBASTIC",PR!$BK768,IF(K770="UNION",PR!$BL768,IF(K770="UNIQUE",PR!$BM768,IF(K770="VIXA",PR!$BN768,IF(K770="WWCV",PR!$BO768,IF(K770="ZOLON",PR!$BP768,"-")))))))))))))))))))))))))))))))))))))))))))))))))))))))))))))))))</f>
        <v>0</v>
      </c>
    </row>
    <row r="771" spans="1:12" ht="18.75" x14ac:dyDescent="0.3">
      <c r="A771" s="430">
        <f>PR!A769</f>
        <v>699</v>
      </c>
      <c r="B771" s="15" t="str">
        <f>PR!B769</f>
        <v>SILVER NITRATE SOLUTION (250ML)</v>
      </c>
      <c r="C771" s="113" t="str">
        <f>PR!D769</f>
        <v>BOTT</v>
      </c>
      <c r="D771" s="113">
        <f>PR!C769</f>
        <v>20</v>
      </c>
      <c r="E771" s="108">
        <f>IF(F771="ALPHA",PR!$E769,IF(F771="ASSENE",PR!$F769,IF(F771="BIOFEM",PR!$G769,IF(F771="BIOMED",PR!$H769,IF(F771="CHI",PR!$I769,IF(F771="CLARION",PR!$J769,IF(F771="CODIX",PR!$K769,IF(F771="COSMADE",PR!$L769,IF(F771="SANCON",PR!$M769,IF(F771="DEVON",PR!$N769,IF(F771="DORTEMAG",PR!$O769,IF(F771="DGF",PR!$P769,IF(F771="DYNAMIC",PR!$Q769,IF(F771="EMZOR",PR!$R769,IF(F771="EUMATT",PR!$S769,IF(F771="FIDSON",PR!$T769,IF(F771="FCGLOBAL",PR!$U769,IF(F771="GENEITH",PR!$V769,IF(F771="GINOS",PR!$W769,IF(F771="GSK",PR!$X769,IF(F771="GLOBORG",PR!$Y769,IF(F771="GOODNEWS",PR!$Z769,IF(F771="GREENLIFE",PR!$AA769,IF(F771="HLINE",PR!$AB769,IF(F771="ROTECH",PR!$AC769,IF(F771="ISN",PR!$AD769,IF(F771="JAWA",PR!$AE769,IF(F771="LAYO",PR!$AF769,IF(F771="LEADWAY",PR!$AG769,IF(F771="LHV",PR!$AH769,IF(F771="MANOLA",PR!$AI769,IF(F771="MARCSON",PR!$AJ769,IF(F771="M&amp;B",PR!$AK769,IF(F771="MTRUST",PR!$AL769,IF(F771="MWORLD",PR!$AM769,IF(F771="MEGA",PR!$AN769,IF(F771="MICRONOVA",PR!$AO769,IF(F771="MFLASH",PR!$AP769,IF(F771="MORISON",PR!$AQ769,IF(F771="NEMEL",PR!$AR769,IF(F771="NHP",PR!$AS769,IF(F771="NHC",PR!$AT769,IF(F771="OLEAF",PR!$AU769,IF(F771="OCULUS",PR!$AV769,IF(F771="PACIFIC",PR!$AW769,IF(F771="PHAMATEX",PR!$AX769,IF(F771="PETHICS",PR!$AY769,IF(F771="PHILIPS",PR!$AZ769,IF(F771="RANBAXY",PR!$BA769,IF(F771="REALS",PR!$BB769,IF(F771="ROYAL",PR!$BC769,IF(F771="SAM",PR!$BD769,IF(F771="SEAGREEN",PR!$BE769,IF(F771="SKG",PR!$BF769,IF(F771="TAH",PR!$BG769,IF(F771="TAYLEK",PR!$BH769,IF(F771="TEMITA",PR!$BI769,IF(F771="THL",PR!$BJ769,IF(F771="UBASTIC",PR!$BK769,IF(F771="UNION",PR!$BL769,IF(F771="UNIQUE",PR!$BM769,IF(F771="VIXA",PR!$BN769,IF(F771="WWCV",PR!$BO769,IF(F771="ZOLON",PR!$BP769,"-"))))))))))))))))))))))))))))))))))))))))))))))))))))))))))))))))</f>
        <v>17982</v>
      </c>
      <c r="F771" s="102" t="str">
        <f>EV!L983</f>
        <v>MANOLA</v>
      </c>
      <c r="G771" s="108" t="str">
        <f>IF(H771="ALPHA",PR!$E769,IF(H771="ASSENE",PR!$F769,IF(H771="BIOFEM",PR!$G769,IF(H771="BIOMED",PR!$H769,IF(H771="CHI",PR!$I769,IF(H771="CLARION",PR!$J769,IF(H771="CODIX",PR!$K769,IF(H771="COSMADE",PR!$L769,IF(H771="SANCON",PR!$M769,IF(H771="DEVON",PR!$N769,IF(H771="DORTEMAG",PR!$O769,IF(H771="DGF",PR!$P769,IF(H771="DYNAMIC",PR!$Q769,IF(H771="EMZOR",PR!$R769,IF(H771="EUMATT",PR!$S769,IF(H771="FIDSON",PR!$T769,IF(H771="FCGLOBAL",PR!$U769,IF(H771="GENEITH",PR!$V769,IF(H771="GINOS",PR!$W769,IF(H771="GSK",PR!$X769,IF(H771="GLOBORG",PR!$Y769,IF(H771="GOODNEWS",PR!$Z769,IF(H771="GREENLIFE",PR!$AA769,IF(H771="HLINE",PR!$AB769,IF(H771="ROTECH",PR!$AC769,IF(H771="ISN",PR!$AD769,IF(H771="JAWA",PR!$AE769,IF(H771="LAYO",PR!$AF769,IF(H771="LEADWAY",PR!$AG769,IF(H771="LHV",PR!$AH769,IF(H771="MANOLA",PR!$AI769,IF(H771="MARCSON",PR!$AJ769,IF(H771="M&amp;B",PR!$AK769,IF(H771="MTRUST",PR!$AL769,IF(H771="MWORLD",PR!$AM769,IF(H771="MEGA",PR!$AN769,IF(H771="MICRONOVA",PR!$AO769,IF(H771="MFLASH",PR!$AP769,IF(H771="MORISON",PR!$AQ769,IF(H771="NEMEL",PR!$AR769,IF(H771="NHP",PR!$AS769,IF(H771="NHC",PR!$AT769,IF(H771="OLEAF",PR!$AU769,IF(H771="OCULUS",PR!$AV769,IF(H771="PACIFIC",PR!$AW769,IF(H771="PHAMATEX",PR!$AX769,IF(H771="PETHICS",PR!$AY769,IF(H771="PHILIPS",PR!$AZ769,IF(H771="RANBAXY",PR!$BA769,IF(H771="REALS",PR!$BB769,IF(H771="ROYAL",PR!$BC769,IF(H771="SAM",PR!$BD769,IF(H771="SEAGREEN",PR!$BE769,IF(H771="SKG",PR!$BF769,IF(H771="TAH",PR!$BG769,IF(H771="TAYLEK",PR!$BH769,IF(H771="TEMITA",PR!$BI769,IF(H771="THL",PR!$BJ769,IF(H771="UBASTIC",PR!$BK769,IF(H771="UNION",PR!$BL769,IF(H771="UNIQUE",PR!$BM769,IF(H771="VIXA",PR!$BN769,IF(H771="WWCV",PR!$BO769,IF(H771="ZOLON",PR!$BP769,"-"))))))))))))))))))))))))))))))))))))))))))))))))))))))))))))))))</f>
        <v>-</v>
      </c>
      <c r="H771" s="102">
        <f>EV!M983</f>
        <v>0</v>
      </c>
      <c r="I771" s="108" t="str">
        <f>IF(J771="ALPHA",PR!$E769,IF(J771="ASSENE",PR!$F769,IF(J771="BIOFEM",PR!$G769,IF(J771="BIOMED",PR!$H769,IF(J771="CHI",PR!$I769,IF(J771="CLARION",PR!$J769,IF(J771="CODIX",PR!$K769,IF(J771="COSMADE",PR!$L769,IF(J771="SANCON",PR!$M769,IF(J771="DEVON",PR!$N769,IF(J771="DORTEMAG",PR!$O769,IF(J771="DGF",PR!$P769,IF(J771="DYNAMIC",PR!$Q769,IF(J771="EMZOR",PR!$R769,IF(J771="EUMATT",PR!$S769,IF(J771="FIDSON",PR!$T769,IF(J771="FCGLOBAL",PR!$U769,IF(J771="GENEITH",PR!$V769,IF(J771="GINOS",PR!$W769,IF(J771="GSK",PR!$X769,IF(J771="GLOBORG",PR!$Y769,IF(J771="GOODNEWS",PR!$Z769,IF(J771="GREENLIFE",PR!$AA769,IF(J771="HLINE",PR!$AB769,IF(J771="ROTECH",PR!$AC769,IF(J771="ISN",PR!$AD769,IF(J771="JAWA",PR!$AE769,IF(J771="LAYO",PR!$AF769,IF(J771="LEADWAY",PR!$AG769,IF(J771="LHV",PR!$AH769,IF(J771="MANOLA",PR!$AI769,IF(J771="MARCSON",PR!$AJ769,IF(J771="M&amp;B",PR!$AK769,IF(J771="MTRUST",PR!$AL769,IF(J771="MWORLD",PR!$AM769,IF(J771="MEGA",PR!$AN769,IF(J771="MICRONOVA",PR!$AO769,IF(J771="MFLASH",PR!$AP769,IF(J771="MORISON",PR!$AQ769,IF(J771="NEMEL",PR!$AR769,IF(J771="NHP",PR!$AS769,IF(J771="NHC",PR!$AT769,IF(J771="OLEAF",PR!$AU769,IF(J771="OCULUS",PR!$AV769,IF(J771="PACIFIC",PR!$AW769,IF(J771="PHAMATEX",PR!$AX769,IF(J771="PETHICS",PR!$AY769,IF(J771="PHILIPS",PR!$AZ769,IF(J771="RANBAXY",PR!$BA769,IF(J771="REALS",PR!$BB769,IF(J771="ROYAL",PR!$BC769,IF(J771="SAM",PR!$BD769,IF(J771="SEAGREEN",PR!$BE769,IF(J771="SKG",PR!$BF769,IF(J771="TAH",PR!$BG769,IF(J771="TAYLEK",PR!$BH769,IF(J771="TEMITA",PR!$BI769,IF(J771="THL",PR!$BJ769,IF(J771="UBASTIC",PR!$BK769,IF(J771="UNION",PR!$BL769,IF(J771="UNIQUE",PR!$BM769,IF(J771="VIXA",PR!$BN769,IF(J771="WWCV",PR!$BO769,IF(J771="ZOLON",PR!$BP769,"-"))))))))))))))))))))))))))))))))))))))))))))))))))))))))))))))))</f>
        <v>-</v>
      </c>
      <c r="J771" s="102">
        <f>EV!N983</f>
        <v>0</v>
      </c>
      <c r="K771" s="433" t="s">
        <v>820</v>
      </c>
      <c r="L771" s="183">
        <f>IF(K771&gt;0,IF(K771="ALPHA",PR!$E769,IF(K771="ASSENE",PR!$F769,IF(K771="BIOFEM",PR!$G769,IF(K771="BIOMED",PR!$H769,IF(K771="CHI",PR!$I769,IF(K771="CLARION",PR!$J769,IF(K771="CODIX",PR!$K769,IF(K771="COSMADE",PR!$L769,IF(K771="SANCON",PR!$M769,IF(K771="DEVON",PR!$N769,IF(K771="DORTEMAG",PR!$O769,IF(K771="DGF",PR!$P769,IF(K771="DYNAMIC",PR!$Q769,IF(K771="EMZOR",PR!$R769,IF(K771="EUMATT",PR!$S769,IF(K771="FIDSON",PR!$T769,IF(K771="FCGLOBAL",PR!$U769,IF(K771="GENEITH",PR!$V769,IF(K771="GINOS",PR!$W769,IF(K771="GSK",PR!$X769,IF(K771="GLOBORG",PR!$Y769,IF(K771="GOODNEWS",PR!$Z769,IF(K771="GREENLIFE",PR!$AA769,IF(K771="HLINE",PR!$AB769,IF(K771="ROTECH",PR!$AC769,IF(K771="ISN",PR!$AD769,IF(K771="JAWA",PR!$AE769,IF(K771="LAYO",PR!$AF769,IF(K771="LEADWAY",PR!$AG769,IF(K771="LHV",PR!$AH769,IF(K771="MANOLA",PR!$AI769,IF(K771="MARCSON",PR!$AJ769,IF(K771="M&amp;B",PR!$AK769,IF(K771="MTRUST",PR!$AL769,IF(K771="MWORLD",PR!$AM769,IF(K771="MEGA",PR!$AN769,IF(K771="MICRONOVA",PR!$AO769,IF(K771="MFLASH",PR!$AP769,IF(K771="MORISON",PR!$AQ769,IF(K771="NEMEL",PR!$AR769,IF(K771="NHP",PR!$AS769,IF(K771="NHC",PR!$AT769,IF(K771="OLEAF",PR!$AU769,IF(K771="OCULUS",PR!$AV769,IF(K771="PACIFIC",PR!$AW769,IF(K771="PHAMATEX",PR!$AX769,IF(K771="PETHICS",PR!$AY769,IF(K771="PHILIPS",PR!$AZ769,IF(K771="RANBAXY",PR!$BA769,IF(K771="REALS",PR!$BB769,IF(K771="ROYAL",PR!$BC769,IF(K771="SAM",PR!$BD769,IF(K771="SEAGREEN",PR!$BE769,IF(K771="SKG",PR!$BF769,IF(K771="TAH",PR!$BG769,IF(K771="TAYLEK",PR!$BH769,IF(K771="TEMITA",PR!$BI769,IF(K771="THL",PR!$BJ769,IF(K771="UBASTIC",PR!$BK769,IF(K771="UNION",PR!$BL769,IF(K771="UNIQUE",PR!$BM769,IF(K771="VIXA",PR!$BN769,IF(K771="WWCV",PR!$BO769,IF(K771="ZOLON",PR!$BP769,"-")))))))))))))))))))))))))))))))))))))))))))))))))))))))))))))))))</f>
        <v>17982</v>
      </c>
    </row>
    <row r="772" spans="1:12" ht="18.75" x14ac:dyDescent="0.3">
      <c r="A772" s="430">
        <f>PR!A770</f>
        <v>700</v>
      </c>
      <c r="B772" s="15" t="str">
        <f>PR!B770</f>
        <v xml:space="preserve">TAMSULOSIN 0.4MG TAB  </v>
      </c>
      <c r="C772" s="113">
        <f>PR!D770</f>
        <v>20</v>
      </c>
      <c r="D772" s="113">
        <f>PR!C770</f>
        <v>750</v>
      </c>
      <c r="E772" s="108">
        <f>IF(F772="ALPHA",PR!$E770,IF(F772="ASSENE",PR!$F770,IF(F772="BIOFEM",PR!$G770,IF(F772="BIOMED",PR!$H770,IF(F772="CHI",PR!$I770,IF(F772="CLARION",PR!$J770,IF(F772="CODIX",PR!$K770,IF(F772="COSMADE",PR!$L770,IF(F772="SANCON",PR!$M770,IF(F772="DEVON",PR!$N770,IF(F772="DORTEMAG",PR!$O770,IF(F772="DGF",PR!$P770,IF(F772="DYNAMIC",PR!$Q770,IF(F772="EMZOR",PR!$R770,IF(F772="EUMATT",PR!$S770,IF(F772="FIDSON",PR!$T770,IF(F772="FCGLOBAL",PR!$U770,IF(F772="GENEITH",PR!$V770,IF(F772="GINOS",PR!$W770,IF(F772="GSK",PR!$X770,IF(F772="GLOBORG",PR!$Y770,IF(F772="GOODNEWS",PR!$Z770,IF(F772="GREENLIFE",PR!$AA770,IF(F772="HLINE",PR!$AB770,IF(F772="ROTECH",PR!$AC770,IF(F772="ISN",PR!$AD770,IF(F772="JAWA",PR!$AE770,IF(F772="LAYO",PR!$AF770,IF(F772="LEADWAY",PR!$AG770,IF(F772="LHV",PR!$AH770,IF(F772="MANOLA",PR!$AI770,IF(F772="MARCSON",PR!$AJ770,IF(F772="M&amp;B",PR!$AK770,IF(F772="MTRUST",PR!$AL770,IF(F772="MWORLD",PR!$AM770,IF(F772="MEGA",PR!$AN770,IF(F772="MICRONOVA",PR!$AO770,IF(F772="MFLASH",PR!$AP770,IF(F772="MORISON",PR!$AQ770,IF(F772="NEMEL",PR!$AR770,IF(F772="NHP",PR!$AS770,IF(F772="NHC",PR!$AT770,IF(F772="OLEAF",PR!$AU770,IF(F772="OCULUS",PR!$AV770,IF(F772="PACIFIC",PR!$AW770,IF(F772="PHAMATEX",PR!$AX770,IF(F772="PETHICS",PR!$AY770,IF(F772="PHILIPS",PR!$AZ770,IF(F772="RANBAXY",PR!$BA770,IF(F772="REALS",PR!$BB770,IF(F772="ROYAL",PR!$BC770,IF(F772="SAM",PR!$BD770,IF(F772="SEAGREEN",PR!$BE770,IF(F772="SKG",PR!$BF770,IF(F772="TAH",PR!$BG770,IF(F772="TAYLEK",PR!$BH770,IF(F772="TEMITA",PR!$BI770,IF(F772="THL",PR!$BJ770,IF(F772="UBASTIC",PR!$BK770,IF(F772="UNION",PR!$BL770,IF(F772="UNIQUE",PR!$BM770,IF(F772="VIXA",PR!$BN770,IF(F772="WWCV",PR!$BO770,IF(F772="ZOLON",PR!$BP770,"-"))))))))))))))))))))))))))))))))))))))))))))))))))))))))))))))))</f>
        <v>800</v>
      </c>
      <c r="F772" s="102" t="str">
        <f>EV!L984</f>
        <v>EUMATT</v>
      </c>
      <c r="G772" s="108">
        <f>IF(H772="ALPHA",PR!$E770,IF(H772="ASSENE",PR!$F770,IF(H772="BIOFEM",PR!$G770,IF(H772="BIOMED",PR!$H770,IF(H772="CHI",PR!$I770,IF(H772="CLARION",PR!$J770,IF(H772="CODIX",PR!$K770,IF(H772="COSMADE",PR!$L770,IF(H772="SANCON",PR!$M770,IF(H772="DEVON",PR!$N770,IF(H772="DORTEMAG",PR!$O770,IF(H772="DGF",PR!$P770,IF(H772="DYNAMIC",PR!$Q770,IF(H772="EMZOR",PR!$R770,IF(H772="EUMATT",PR!$S770,IF(H772="FIDSON",PR!$T770,IF(H772="FCGLOBAL",PR!$U770,IF(H772="GENEITH",PR!$V770,IF(H772="GINOS",PR!$W770,IF(H772="GSK",PR!$X770,IF(H772="GLOBORG",PR!$Y770,IF(H772="GOODNEWS",PR!$Z770,IF(H772="GREENLIFE",PR!$AA770,IF(H772="HLINE",PR!$AB770,IF(H772="ROTECH",PR!$AC770,IF(H772="ISN",PR!$AD770,IF(H772="JAWA",PR!$AE770,IF(H772="LAYO",PR!$AF770,IF(H772="LEADWAY",PR!$AG770,IF(H772="LHV",PR!$AH770,IF(H772="MANOLA",PR!$AI770,IF(H772="MARCSON",PR!$AJ770,IF(H772="M&amp;B",PR!$AK770,IF(H772="MTRUST",PR!$AL770,IF(H772="MWORLD",PR!$AM770,IF(H772="MEGA",PR!$AN770,IF(H772="MICRONOVA",PR!$AO770,IF(H772="MFLASH",PR!$AP770,IF(H772="MORISON",PR!$AQ770,IF(H772="NEMEL",PR!$AR770,IF(H772="NHP",PR!$AS770,IF(H772="NHC",PR!$AT770,IF(H772="OLEAF",PR!$AU770,IF(H772="OCULUS",PR!$AV770,IF(H772="PACIFIC",PR!$AW770,IF(H772="PHAMATEX",PR!$AX770,IF(H772="PETHICS",PR!$AY770,IF(H772="PHILIPS",PR!$AZ770,IF(H772="RANBAXY",PR!$BA770,IF(H772="REALS",PR!$BB770,IF(H772="ROYAL",PR!$BC770,IF(H772="SAM",PR!$BD770,IF(H772="SEAGREEN",PR!$BE770,IF(H772="SKG",PR!$BF770,IF(H772="TAH",PR!$BG770,IF(H772="TAYLEK",PR!$BH770,IF(H772="TEMITA",PR!$BI770,IF(H772="THL",PR!$BJ770,IF(H772="UBASTIC",PR!$BK770,IF(H772="UNION",PR!$BL770,IF(H772="UNIQUE",PR!$BM770,IF(H772="VIXA",PR!$BN770,IF(H772="WWCV",PR!$BO770,IF(H772="ZOLON",PR!$BP770,"-"))))))))))))))))))))))))))))))))))))))))))))))))))))))))))))))))</f>
        <v>2990</v>
      </c>
      <c r="H772" s="102" t="str">
        <f>EV!M984</f>
        <v>RANBAXY</v>
      </c>
      <c r="I772" s="108" t="str">
        <f>IF(J772="ALPHA",PR!$E770,IF(J772="ASSENE",PR!$F770,IF(J772="BIOFEM",PR!$G770,IF(J772="BIOMED",PR!$H770,IF(J772="CHI",PR!$I770,IF(J772="CLARION",PR!$J770,IF(J772="CODIX",PR!$K770,IF(J772="COSMADE",PR!$L770,IF(J772="SANCON",PR!$M770,IF(J772="DEVON",PR!$N770,IF(J772="DORTEMAG",PR!$O770,IF(J772="DGF",PR!$P770,IF(J772="DYNAMIC",PR!$Q770,IF(J772="EMZOR",PR!$R770,IF(J772="EUMATT",PR!$S770,IF(J772="FIDSON",PR!$T770,IF(J772="FCGLOBAL",PR!$U770,IF(J772="GENEITH",PR!$V770,IF(J772="GINOS",PR!$W770,IF(J772="GSK",PR!$X770,IF(J772="GLOBORG",PR!$Y770,IF(J772="GOODNEWS",PR!$Z770,IF(J772="GREENLIFE",PR!$AA770,IF(J772="HLINE",PR!$AB770,IF(J772="ROTECH",PR!$AC770,IF(J772="ISN",PR!$AD770,IF(J772="JAWA",PR!$AE770,IF(J772="LAYO",PR!$AF770,IF(J772="LEADWAY",PR!$AG770,IF(J772="LHV",PR!$AH770,IF(J772="MANOLA",PR!$AI770,IF(J772="MARCSON",PR!$AJ770,IF(J772="M&amp;B",PR!$AK770,IF(J772="MTRUST",PR!$AL770,IF(J772="MWORLD",PR!$AM770,IF(J772="MEGA",PR!$AN770,IF(J772="MICRONOVA",PR!$AO770,IF(J772="MFLASH",PR!$AP770,IF(J772="MORISON",PR!$AQ770,IF(J772="NEMEL",PR!$AR770,IF(J772="NHP",PR!$AS770,IF(J772="NHC",PR!$AT770,IF(J772="OLEAF",PR!$AU770,IF(J772="OCULUS",PR!$AV770,IF(J772="PACIFIC",PR!$AW770,IF(J772="PHAMATEX",PR!$AX770,IF(J772="PETHICS",PR!$AY770,IF(J772="PHILIPS",PR!$AZ770,IF(J772="RANBAXY",PR!$BA770,IF(J772="REALS",PR!$BB770,IF(J772="ROYAL",PR!$BC770,IF(J772="SAM",PR!$BD770,IF(J772="SEAGREEN",PR!$BE770,IF(J772="SKG",PR!$BF770,IF(J772="TAH",PR!$BG770,IF(J772="TAYLEK",PR!$BH770,IF(J772="TEMITA",PR!$BI770,IF(J772="THL",PR!$BJ770,IF(J772="UBASTIC",PR!$BK770,IF(J772="UNION",PR!$BL770,IF(J772="UNIQUE",PR!$BM770,IF(J772="VIXA",PR!$BN770,IF(J772="WWCV",PR!$BO770,IF(J772="ZOLON",PR!$BP770,"-"))))))))))))))))))))))))))))))))))))))))))))))))))))))))))))))))</f>
        <v>-</v>
      </c>
      <c r="J772" s="102">
        <f>EV!N984</f>
        <v>0</v>
      </c>
      <c r="K772" s="433" t="s">
        <v>821</v>
      </c>
      <c r="L772" s="183">
        <f>IF(K772&gt;0,IF(K772="ALPHA",PR!$E770,IF(K772="ASSENE",PR!$F770,IF(K772="BIOFEM",PR!$G770,IF(K772="BIOMED",PR!$H770,IF(K772="CHI",PR!$I770,IF(K772="CLARION",PR!$J770,IF(K772="CODIX",PR!$K770,IF(K772="COSMADE",PR!$L770,IF(K772="SANCON",PR!$M770,IF(K772="DEVON",PR!$N770,IF(K772="DORTEMAG",PR!$O770,IF(K772="DGF",PR!$P770,IF(K772="DYNAMIC",PR!$Q770,IF(K772="EMZOR",PR!$R770,IF(K772="EUMATT",PR!$S770,IF(K772="FIDSON",PR!$T770,IF(K772="FCGLOBAL",PR!$U770,IF(K772="GENEITH",PR!$V770,IF(K772="GINOS",PR!$W770,IF(K772="GSK",PR!$X770,IF(K772="GLOBORG",PR!$Y770,IF(K772="GOODNEWS",PR!$Z770,IF(K772="GREENLIFE",PR!$AA770,IF(K772="HLINE",PR!$AB770,IF(K772="ROTECH",PR!$AC770,IF(K772="ISN",PR!$AD770,IF(K772="JAWA",PR!$AE770,IF(K772="LAYO",PR!$AF770,IF(K772="LEADWAY",PR!$AG770,IF(K772="LHV",PR!$AH770,IF(K772="MANOLA",PR!$AI770,IF(K772="MARCSON",PR!$AJ770,IF(K772="M&amp;B",PR!$AK770,IF(K772="MTRUST",PR!$AL770,IF(K772="MWORLD",PR!$AM770,IF(K772="MEGA",PR!$AN770,IF(K772="MICRONOVA",PR!$AO770,IF(K772="MFLASH",PR!$AP770,IF(K772="MORISON",PR!$AQ770,IF(K772="NEMEL",PR!$AR770,IF(K772="NHP",PR!$AS770,IF(K772="NHC",PR!$AT770,IF(K772="OLEAF",PR!$AU770,IF(K772="OCULUS",PR!$AV770,IF(K772="PACIFIC",PR!$AW770,IF(K772="PHAMATEX",PR!$AX770,IF(K772="PETHICS",PR!$AY770,IF(K772="PHILIPS",PR!$AZ770,IF(K772="RANBAXY",PR!$BA770,IF(K772="REALS",PR!$BB770,IF(K772="ROYAL",PR!$BC770,IF(K772="SAM",PR!$BD770,IF(K772="SEAGREEN",PR!$BE770,IF(K772="SKG",PR!$BF770,IF(K772="TAH",PR!$BG770,IF(K772="TAYLEK",PR!$BH770,IF(K772="TEMITA",PR!$BI770,IF(K772="THL",PR!$BJ770,IF(K772="UBASTIC",PR!$BK770,IF(K772="UNION",PR!$BL770,IF(K772="UNIQUE",PR!$BM770,IF(K772="VIXA",PR!$BN770,IF(K772="WWCV",PR!$BO770,IF(K772="ZOLON",PR!$BP770,"-")))))))))))))))))))))))))))))))))))))))))))))))))))))))))))))))))</f>
        <v>800</v>
      </c>
    </row>
    <row r="773" spans="1:12" ht="18.75" x14ac:dyDescent="0.3">
      <c r="A773" s="430">
        <f>PR!A771</f>
        <v>701</v>
      </c>
      <c r="B773" s="15" t="str">
        <f>PR!B771</f>
        <v>TOLTERODINE 2MG</v>
      </c>
      <c r="C773" s="113">
        <f>PR!D771</f>
        <v>10</v>
      </c>
      <c r="D773" s="113">
        <f>PR!C771</f>
        <v>60</v>
      </c>
      <c r="E773" s="108">
        <f>IF(F773="ALPHA",PR!$E771,IF(F773="ASSENE",PR!$F771,IF(F773="BIOFEM",PR!$G771,IF(F773="BIOMED",PR!$H771,IF(F773="CHI",PR!$I771,IF(F773="CLARION",PR!$J771,IF(F773="CODIX",PR!$K771,IF(F773="COSMADE",PR!$L771,IF(F773="SANCON",PR!$M771,IF(F773="DEVON",PR!$N771,IF(F773="DORTEMAG",PR!$O771,IF(F773="DGF",PR!$P771,IF(F773="DYNAMIC",PR!$Q771,IF(F773="EMZOR",PR!$R771,IF(F773="EUMATT",PR!$S771,IF(F773="FIDSON",PR!$T771,IF(F773="FCGLOBAL",PR!$U771,IF(F773="GENEITH",PR!$V771,IF(F773="GINOS",PR!$W771,IF(F773="GSK",PR!$X771,IF(F773="GLOBORG",PR!$Y771,IF(F773="GOODNEWS",PR!$Z771,IF(F773="GREENLIFE",PR!$AA771,IF(F773="HLINE",PR!$AB771,IF(F773="ROTECH",PR!$AC771,IF(F773="ISN",PR!$AD771,IF(F773="JAWA",PR!$AE771,IF(F773="LAYO",PR!$AF771,IF(F773="LEADWAY",PR!$AG771,IF(F773="LHV",PR!$AH771,IF(F773="MANOLA",PR!$AI771,IF(F773="MARCSON",PR!$AJ771,IF(F773="M&amp;B",PR!$AK771,IF(F773="MTRUST",PR!$AL771,IF(F773="MWORLD",PR!$AM771,IF(F773="MEGA",PR!$AN771,IF(F773="MICRONOVA",PR!$AO771,IF(F773="MFLASH",PR!$AP771,IF(F773="MORISON",PR!$AQ771,IF(F773="NEMEL",PR!$AR771,IF(F773="NHP",PR!$AS771,IF(F773="NHC",PR!$AT771,IF(F773="OLEAF",PR!$AU771,IF(F773="OCULUS",PR!$AV771,IF(F773="PACIFIC",PR!$AW771,IF(F773="PHAMATEX",PR!$AX771,IF(F773="PETHICS",PR!$AY771,IF(F773="PHILIPS",PR!$AZ771,IF(F773="RANBAXY",PR!$BA771,IF(F773="REALS",PR!$BB771,IF(F773="ROYAL",PR!$BC771,IF(F773="SAM",PR!$BD771,IF(F773="SEAGREEN",PR!$BE771,IF(F773="SKG",PR!$BF771,IF(F773="TAH",PR!$BG771,IF(F773="TAYLEK",PR!$BH771,IF(F773="TEMITA",PR!$BI771,IF(F773="THL",PR!$BJ771,IF(F773="UBASTIC",PR!$BK771,IF(F773="UNION",PR!$BL771,IF(F773="UNIQUE",PR!$BM771,IF(F773="VIXA",PR!$BN771,IF(F773="WWCV",PR!$BO771,IF(F773="ZOLON",PR!$BP771,"-"))))))))))))))))))))))))))))))))))))))))))))))))))))))))))))))))</f>
        <v>1656</v>
      </c>
      <c r="F773" s="102" t="str">
        <f>EV!L985</f>
        <v>RANBAXY</v>
      </c>
      <c r="G773" s="108" t="str">
        <f>IF(H773="ALPHA",PR!$E771,IF(H773="ASSENE",PR!$F771,IF(H773="BIOFEM",PR!$G771,IF(H773="BIOMED",PR!$H771,IF(H773="CHI",PR!$I771,IF(H773="CLARION",PR!$J771,IF(H773="CODIX",PR!$K771,IF(H773="COSMADE",PR!$L771,IF(H773="SANCON",PR!$M771,IF(H773="DEVON",PR!$N771,IF(H773="DORTEMAG",PR!$O771,IF(H773="DGF",PR!$P771,IF(H773="DYNAMIC",PR!$Q771,IF(H773="EMZOR",PR!$R771,IF(H773="EUMATT",PR!$S771,IF(H773="FIDSON",PR!$T771,IF(H773="FCGLOBAL",PR!$U771,IF(H773="GENEITH",PR!$V771,IF(H773="GINOS",PR!$W771,IF(H773="GSK",PR!$X771,IF(H773="GLOBORG",PR!$Y771,IF(H773="GOODNEWS",PR!$Z771,IF(H773="GREENLIFE",PR!$AA771,IF(H773="HLINE",PR!$AB771,IF(H773="ROTECH",PR!$AC771,IF(H773="ISN",PR!$AD771,IF(H773="JAWA",PR!$AE771,IF(H773="LAYO",PR!$AF771,IF(H773="LEADWAY",PR!$AG771,IF(H773="LHV",PR!$AH771,IF(H773="MANOLA",PR!$AI771,IF(H773="MARCSON",PR!$AJ771,IF(H773="M&amp;B",PR!$AK771,IF(H773="MTRUST",PR!$AL771,IF(H773="MWORLD",PR!$AM771,IF(H773="MEGA",PR!$AN771,IF(H773="MICRONOVA",PR!$AO771,IF(H773="MFLASH",PR!$AP771,IF(H773="MORISON",PR!$AQ771,IF(H773="NEMEL",PR!$AR771,IF(H773="NHP",PR!$AS771,IF(H773="NHC",PR!$AT771,IF(H773="OLEAF",PR!$AU771,IF(H773="OCULUS",PR!$AV771,IF(H773="PACIFIC",PR!$AW771,IF(H773="PHAMATEX",PR!$AX771,IF(H773="PETHICS",PR!$AY771,IF(H773="PHILIPS",PR!$AZ771,IF(H773="RANBAXY",PR!$BA771,IF(H773="REALS",PR!$BB771,IF(H773="ROYAL",PR!$BC771,IF(H773="SAM",PR!$BD771,IF(H773="SEAGREEN",PR!$BE771,IF(H773="SKG",PR!$BF771,IF(H773="TAH",PR!$BG771,IF(H773="TAYLEK",PR!$BH771,IF(H773="TEMITA",PR!$BI771,IF(H773="THL",PR!$BJ771,IF(H773="UBASTIC",PR!$BK771,IF(H773="UNION",PR!$BL771,IF(H773="UNIQUE",PR!$BM771,IF(H773="VIXA",PR!$BN771,IF(H773="WWCV",PR!$BO771,IF(H773="ZOLON",PR!$BP771,"-"))))))))))))))))))))))))))))))))))))))))))))))))))))))))))))))))</f>
        <v>-</v>
      </c>
      <c r="H773" s="102">
        <f>EV!M985</f>
        <v>0</v>
      </c>
      <c r="I773" s="108" t="str">
        <f>IF(J773="ALPHA",PR!$E771,IF(J773="ASSENE",PR!$F771,IF(J773="BIOFEM",PR!$G771,IF(J773="BIOMED",PR!$H771,IF(J773="CHI",PR!$I771,IF(J773="CLARION",PR!$J771,IF(J773="CODIX",PR!$K771,IF(J773="COSMADE",PR!$L771,IF(J773="SANCON",PR!$M771,IF(J773="DEVON",PR!$N771,IF(J773="DORTEMAG",PR!$O771,IF(J773="DGF",PR!$P771,IF(J773="DYNAMIC",PR!$Q771,IF(J773="EMZOR",PR!$R771,IF(J773="EUMATT",PR!$S771,IF(J773="FIDSON",PR!$T771,IF(J773="FCGLOBAL",PR!$U771,IF(J773="GENEITH",PR!$V771,IF(J773="GINOS",PR!$W771,IF(J773="GSK",PR!$X771,IF(J773="GLOBORG",PR!$Y771,IF(J773="GOODNEWS",PR!$Z771,IF(J773="GREENLIFE",PR!$AA771,IF(J773="HLINE",PR!$AB771,IF(J773="ROTECH",PR!$AC771,IF(J773="ISN",PR!$AD771,IF(J773="JAWA",PR!$AE771,IF(J773="LAYO",PR!$AF771,IF(J773="LEADWAY",PR!$AG771,IF(J773="LHV",PR!$AH771,IF(J773="MANOLA",PR!$AI771,IF(J773="MARCSON",PR!$AJ771,IF(J773="M&amp;B",PR!$AK771,IF(J773="MTRUST",PR!$AL771,IF(J773="MWORLD",PR!$AM771,IF(J773="MEGA",PR!$AN771,IF(J773="MICRONOVA",PR!$AO771,IF(J773="MFLASH",PR!$AP771,IF(J773="MORISON",PR!$AQ771,IF(J773="NEMEL",PR!$AR771,IF(J773="NHP",PR!$AS771,IF(J773="NHC",PR!$AT771,IF(J773="OLEAF",PR!$AU771,IF(J773="OCULUS",PR!$AV771,IF(J773="PACIFIC",PR!$AW771,IF(J773="PHAMATEX",PR!$AX771,IF(J773="PETHICS",PR!$AY771,IF(J773="PHILIPS",PR!$AZ771,IF(J773="RANBAXY",PR!$BA771,IF(J773="REALS",PR!$BB771,IF(J773="ROYAL",PR!$BC771,IF(J773="SAM",PR!$BD771,IF(J773="SEAGREEN",PR!$BE771,IF(J773="SKG",PR!$BF771,IF(J773="TAH",PR!$BG771,IF(J773="TAYLEK",PR!$BH771,IF(J773="TEMITA",PR!$BI771,IF(J773="THL",PR!$BJ771,IF(J773="UBASTIC",PR!$BK771,IF(J773="UNION",PR!$BL771,IF(J773="UNIQUE",PR!$BM771,IF(J773="VIXA",PR!$BN771,IF(J773="WWCV",PR!$BO771,IF(J773="ZOLON",PR!$BP771,"-"))))))))))))))))))))))))))))))))))))))))))))))))))))))))))))))))</f>
        <v>-</v>
      </c>
      <c r="J773" s="102">
        <f>EV!N985</f>
        <v>0</v>
      </c>
      <c r="K773" s="433" t="s">
        <v>636</v>
      </c>
      <c r="L773" s="183">
        <f>IF(K773&gt;0,IF(K773="ALPHA",PR!$E771,IF(K773="ASSENE",PR!$F771,IF(K773="BIOFEM",PR!$G771,IF(K773="BIOMED",PR!$H771,IF(K773="CHI",PR!$I771,IF(K773="CLARION",PR!$J771,IF(K773="CODIX",PR!$K771,IF(K773="COSMADE",PR!$L771,IF(K773="SANCON",PR!$M771,IF(K773="DEVON",PR!$N771,IF(K773="DORTEMAG",PR!$O771,IF(K773="DGF",PR!$P771,IF(K773="DYNAMIC",PR!$Q771,IF(K773="EMZOR",PR!$R771,IF(K773="EUMATT",PR!$S771,IF(K773="FIDSON",PR!$T771,IF(K773="FCGLOBAL",PR!$U771,IF(K773="GENEITH",PR!$V771,IF(K773="GINOS",PR!$W771,IF(K773="GSK",PR!$X771,IF(K773="GLOBORG",PR!$Y771,IF(K773="GOODNEWS",PR!$Z771,IF(K773="GREENLIFE",PR!$AA771,IF(K773="HLINE",PR!$AB771,IF(K773="ROTECH",PR!$AC771,IF(K773="ISN",PR!$AD771,IF(K773="JAWA",PR!$AE771,IF(K773="LAYO",PR!$AF771,IF(K773="LEADWAY",PR!$AG771,IF(K773="LHV",PR!$AH771,IF(K773="MANOLA",PR!$AI771,IF(K773="MARCSON",PR!$AJ771,IF(K773="M&amp;B",PR!$AK771,IF(K773="MTRUST",PR!$AL771,IF(K773="MWORLD",PR!$AM771,IF(K773="MEGA",PR!$AN771,IF(K773="MICRONOVA",PR!$AO771,IF(K773="MFLASH",PR!$AP771,IF(K773="MORISON",PR!$AQ771,IF(K773="NEMEL",PR!$AR771,IF(K773="NHP",PR!$AS771,IF(K773="NHC",PR!$AT771,IF(K773="OLEAF",PR!$AU771,IF(K773="OCULUS",PR!$AV771,IF(K773="PACIFIC",PR!$AW771,IF(K773="PHAMATEX",PR!$AX771,IF(K773="PETHICS",PR!$AY771,IF(K773="PHILIPS",PR!$AZ771,IF(K773="RANBAXY",PR!$BA771,IF(K773="REALS",PR!$BB771,IF(K773="ROYAL",PR!$BC771,IF(K773="SAM",PR!$BD771,IF(K773="SEAGREEN",PR!$BE771,IF(K773="SKG",PR!$BF771,IF(K773="TAH",PR!$BG771,IF(K773="TAYLEK",PR!$BH771,IF(K773="TEMITA",PR!$BI771,IF(K773="THL",PR!$BJ771,IF(K773="UBASTIC",PR!$BK771,IF(K773="UNION",PR!$BL771,IF(K773="UNIQUE",PR!$BM771,IF(K773="VIXA",PR!$BN771,IF(K773="WWCV",PR!$BO771,IF(K773="ZOLON",PR!$BP771,"-")))))))))))))))))))))))))))))))))))))))))))))))))))))))))))))))))</f>
        <v>1656</v>
      </c>
    </row>
    <row r="774" spans="1:12" ht="18.75" x14ac:dyDescent="0.3">
      <c r="A774" s="430">
        <f>PR!A772</f>
        <v>0</v>
      </c>
      <c r="B774" s="15">
        <f>PR!B772</f>
        <v>0</v>
      </c>
      <c r="C774" s="113">
        <f>PR!D772</f>
        <v>0</v>
      </c>
      <c r="D774" s="113">
        <f>PR!C772</f>
        <v>0</v>
      </c>
      <c r="E774" s="108" t="str">
        <f>IF(F774="ALPHA",PR!$E772,IF(F774="ASSENE",PR!$F772,IF(F774="BIOFEM",PR!$G772,IF(F774="BIOMED",PR!$H772,IF(F774="CHI",PR!$I772,IF(F774="CLARION",PR!$J772,IF(F774="CODIX",PR!$K772,IF(F774="COSMADE",PR!$L772,IF(F774="SANCON",PR!$M772,IF(F774="DEVON",PR!$N772,IF(F774="DORTEMAG",PR!$O772,IF(F774="DGF",PR!$P772,IF(F774="DYNAMIC",PR!$Q772,IF(F774="EMZOR",PR!$R772,IF(F774="EUMATT",PR!$S772,IF(F774="FIDSON",PR!$T772,IF(F774="FCGLOBAL",PR!$U772,IF(F774="GENEITH",PR!$V772,IF(F774="GINOS",PR!$W772,IF(F774="GSK",PR!$X772,IF(F774="GLOBORG",PR!$Y772,IF(F774="GOODNEWS",PR!$Z772,IF(F774="GREENLIFE",PR!$AA772,IF(F774="HLINE",PR!$AB772,IF(F774="ROTECH",PR!$AC772,IF(F774="ISN",PR!$AD772,IF(F774="JAWA",PR!$AE772,IF(F774="LAYO",PR!$AF772,IF(F774="LEADWAY",PR!$AG772,IF(F774="LHV",PR!$AH772,IF(F774="MANOLA",PR!$AI772,IF(F774="MARCSON",PR!$AJ772,IF(F774="M&amp;B",PR!$AK772,IF(F774="MTRUST",PR!$AL772,IF(F774="MWORLD",PR!$AM772,IF(F774="MEGA",PR!$AN772,IF(F774="MICRONOVA",PR!$AO772,IF(F774="MFLASH",PR!$AP772,IF(F774="MORISON",PR!$AQ772,IF(F774="NEMEL",PR!$AR772,IF(F774="NHP",PR!$AS772,IF(F774="NHC",PR!$AT772,IF(F774="OLEAF",PR!$AU772,IF(F774="OCULUS",PR!$AV772,IF(F774="PACIFIC",PR!$AW772,IF(F774="PHAMATEX",PR!$AX772,IF(F774="PETHICS",PR!$AY772,IF(F774="PHILIPS",PR!$AZ772,IF(F774="RANBAXY",PR!$BA772,IF(F774="REALS",PR!$BB772,IF(F774="ROYAL",PR!$BC772,IF(F774="SAM",PR!$BD772,IF(F774="SEAGREEN",PR!$BE772,IF(F774="SKG",PR!$BF772,IF(F774="TAH",PR!$BG772,IF(F774="TAYLEK",PR!$BH772,IF(F774="TEMITA",PR!$BI772,IF(F774="THL",PR!$BJ772,IF(F774="UBASTIC",PR!$BK772,IF(F774="UNION",PR!$BL772,IF(F774="UNIQUE",PR!$BM772,IF(F774="VIXA",PR!$BN772,IF(F774="WWCV",PR!$BO772,IF(F774="ZOLON",PR!$BP772,"-"))))))))))))))))))))))))))))))))))))))))))))))))))))))))))))))))</f>
        <v>-</v>
      </c>
      <c r="F774" s="102"/>
      <c r="G774" s="108" t="str">
        <f>IF(H774="ALPHA",PR!$E772,IF(H774="ASSENE",PR!$F772,IF(H774="BIOFEM",PR!$G772,IF(H774="BIOMED",PR!$H772,IF(H774="CHI",PR!$I772,IF(H774="CLARION",PR!$J772,IF(H774="CODIX",PR!$K772,IF(H774="COSMADE",PR!$L772,IF(H774="SANCON",PR!$M772,IF(H774="DEVON",PR!$N772,IF(H774="DORTEMAG",PR!$O772,IF(H774="DGF",PR!$P772,IF(H774="DYNAMIC",PR!$Q772,IF(H774="EMZOR",PR!$R772,IF(H774="EUMATT",PR!$S772,IF(H774="FIDSON",PR!$T772,IF(H774="FCGLOBAL",PR!$U772,IF(H774="GENEITH",PR!$V772,IF(H774="GINOS",PR!$W772,IF(H774="GSK",PR!$X772,IF(H774="GLOBORG",PR!$Y772,IF(H774="GOODNEWS",PR!$Z772,IF(H774="GREENLIFE",PR!$AA772,IF(H774="HLINE",PR!$AB772,IF(H774="ROTECH",PR!$AC772,IF(H774="ISN",PR!$AD772,IF(H774="JAWA",PR!$AE772,IF(H774="LAYO",PR!$AF772,IF(H774="LEADWAY",PR!$AG772,IF(H774="LHV",PR!$AH772,IF(H774="MANOLA",PR!$AI772,IF(H774="MARCSON",PR!$AJ772,IF(H774="M&amp;B",PR!$AK772,IF(H774="MTRUST",PR!$AL772,IF(H774="MWORLD",PR!$AM772,IF(H774="MEGA",PR!$AN772,IF(H774="MICRONOVA",PR!$AO772,IF(H774="MFLASH",PR!$AP772,IF(H774="MORISON",PR!$AQ772,IF(H774="NEMEL",PR!$AR772,IF(H774="NHP",PR!$AS772,IF(H774="NHC",PR!$AT772,IF(H774="OLEAF",PR!$AU772,IF(H774="OCULUS",PR!$AV772,IF(H774="PACIFIC",PR!$AW772,IF(H774="PHAMATEX",PR!$AX772,IF(H774="PETHICS",PR!$AY772,IF(H774="PHILIPS",PR!$AZ772,IF(H774="RANBAXY",PR!$BA772,IF(H774="REALS",PR!$BB772,IF(H774="ROYAL",PR!$BC772,IF(H774="SAM",PR!$BD772,IF(H774="SEAGREEN",PR!$BE772,IF(H774="SKG",PR!$BF772,IF(H774="TAH",PR!$BG772,IF(H774="TAYLEK",PR!$BH772,IF(H774="TEMITA",PR!$BI772,IF(H774="THL",PR!$BJ772,IF(H774="UBASTIC",PR!$BK772,IF(H774="UNION",PR!$BL772,IF(H774="UNIQUE",PR!$BM772,IF(H774="VIXA",PR!$BN772,IF(H774="WWCV",PR!$BO772,IF(H774="ZOLON",PR!$BP772,"-"))))))))))))))))))))))))))))))))))))))))))))))))))))))))))))))))</f>
        <v>-</v>
      </c>
      <c r="H774" s="102"/>
      <c r="I774" s="108" t="str">
        <f>IF(J774="ALPHA",PR!$E772,IF(J774="ASSENE",PR!$F772,IF(J774="BIOFEM",PR!$G772,IF(J774="BIOMED",PR!$H772,IF(J774="CHI",PR!$I772,IF(J774="CLARION",PR!$J772,IF(J774="CODIX",PR!$K772,IF(J774="COSMADE",PR!$L772,IF(J774="SANCON",PR!$M772,IF(J774="DEVON",PR!$N772,IF(J774="DORTEMAG",PR!$O772,IF(J774="DGF",PR!$P772,IF(J774="DYNAMIC",PR!$Q772,IF(J774="EMZOR",PR!$R772,IF(J774="EUMATT",PR!$S772,IF(J774="FIDSON",PR!$T772,IF(J774="FCGLOBAL",PR!$U772,IF(J774="GENEITH",PR!$V772,IF(J774="GINOS",PR!$W772,IF(J774="GSK",PR!$X772,IF(J774="GLOBORG",PR!$Y772,IF(J774="GOODNEWS",PR!$Z772,IF(J774="GREENLIFE",PR!$AA772,IF(J774="HLINE",PR!$AB772,IF(J774="ROTECH",PR!$AC772,IF(J774="ISN",PR!$AD772,IF(J774="JAWA",PR!$AE772,IF(J774="LAYO",PR!$AF772,IF(J774="LEADWAY",PR!$AG772,IF(J774="LHV",PR!$AH772,IF(J774="MANOLA",PR!$AI772,IF(J774="MARCSON",PR!$AJ772,IF(J774="M&amp;B",PR!$AK772,IF(J774="MTRUST",PR!$AL772,IF(J774="MWORLD",PR!$AM772,IF(J774="MEGA",PR!$AN772,IF(J774="MICRONOVA",PR!$AO772,IF(J774="MFLASH",PR!$AP772,IF(J774="MORISON",PR!$AQ772,IF(J774="NEMEL",PR!$AR772,IF(J774="NHP",PR!$AS772,IF(J774="NHC",PR!$AT772,IF(J774="OLEAF",PR!$AU772,IF(J774="OCULUS",PR!$AV772,IF(J774="PACIFIC",PR!$AW772,IF(J774="PHAMATEX",PR!$AX772,IF(J774="PETHICS",PR!$AY772,IF(J774="PHILIPS",PR!$AZ772,IF(J774="RANBAXY",PR!$BA772,IF(J774="REALS",PR!$BB772,IF(J774="ROYAL",PR!$BC772,IF(J774="SAM",PR!$BD772,IF(J774="SEAGREEN",PR!$BE772,IF(J774="SKG",PR!$BF772,IF(J774="TAH",PR!$BG772,IF(J774="TAYLEK",PR!$BH772,IF(J774="TEMITA",PR!$BI772,IF(J774="THL",PR!$BJ772,IF(J774="UBASTIC",PR!$BK772,IF(J774="UNION",PR!$BL772,IF(J774="UNIQUE",PR!$BM772,IF(J774="VIXA",PR!$BN772,IF(J774="WWCV",PR!$BO772,IF(J774="ZOLON",PR!$BP772,"-"))))))))))))))))))))))))))))))))))))))))))))))))))))))))))))))))</f>
        <v>-</v>
      </c>
      <c r="J774" s="102"/>
      <c r="K774" s="433"/>
      <c r="L774" s="183" t="b">
        <f>IF(K774&gt;0,IF(K774="ALPHA",PR!$E772,IF(K774="ASSENE",PR!$F772,IF(K774="BIOFEM",PR!$G772,IF(K774="BIOMED",PR!$H772,IF(K774="CHI",PR!$I772,IF(K774="CLARION",PR!$J772,IF(K774="CODIX",PR!$K772,IF(K774="COSMADE",PR!$L772,IF(K774="SANCON",PR!$M772,IF(K774="DEVON",PR!$N772,IF(K774="DORTEMAG",PR!$O772,IF(K774="DGF",PR!$P772,IF(K774="DYNAMIC",PR!$Q772,IF(K774="EMZOR",PR!$R772,IF(K774="EUMATT",PR!$S772,IF(K774="FIDSON",PR!$T772,IF(K774="FCGLOBAL",PR!$U772,IF(K774="GENEITH",PR!$V772,IF(K774="GINOS",PR!$W772,IF(K774="GSK",PR!$X772,IF(K774="GLOBORG",PR!$Y772,IF(K774="GOODNEWS",PR!$Z772,IF(K774="GREENLIFE",PR!$AA772,IF(K774="HLINE",PR!$AB772,IF(K774="ROTECH",PR!$AC772,IF(K774="ISN",PR!$AD772,IF(K774="JAWA",PR!$AE772,IF(K774="LAYO",PR!$AF772,IF(K774="LEADWAY",PR!$AG772,IF(K774="LHV",PR!$AH772,IF(K774="MANOLA",PR!$AI772,IF(K774="MARCSON",PR!$AJ772,IF(K774="M&amp;B",PR!$AK772,IF(K774="MTRUST",PR!$AL772,IF(K774="MWORLD",PR!$AM772,IF(K774="MEGA",PR!$AN772,IF(K774="MICRONOVA",PR!$AO772,IF(K774="MFLASH",PR!$AP772,IF(K774="MORISON",PR!$AQ772,IF(K774="NEMEL",PR!$AR772,IF(K774="NHP",PR!$AS772,IF(K774="NHC",PR!$AT772,IF(K774="OLEAF",PR!$AU772,IF(K774="OCULUS",PR!$AV772,IF(K774="PACIFIC",PR!$AW772,IF(K774="PHAMATEX",PR!$AX772,IF(K774="PETHICS",PR!$AY772,IF(K774="PHILIPS",PR!$AZ772,IF(K774="RANBAXY",PR!$BA772,IF(K774="REALS",PR!$BB772,IF(K774="ROYAL",PR!$BC772,IF(K774="SAM",PR!$BD772,IF(K774="SEAGREEN",PR!$BE772,IF(K774="SKG",PR!$BF772,IF(K774="TAH",PR!$BG772,IF(K774="TAYLEK",PR!$BH772,IF(K774="TEMITA",PR!$BI772,IF(K774="THL",PR!$BJ772,IF(K774="UBASTIC",PR!$BK772,IF(K774="UNION",PR!$BL772,IF(K774="UNIQUE",PR!$BM772,IF(K774="VIXA",PR!$BN772,IF(K774="WWCV",PR!$BO772,IF(K774="ZOLON",PR!$BP772,"-")))))))))))))))))))))))))))))))))))))))))))))))))))))))))))))))))</f>
        <v>0</v>
      </c>
    </row>
    <row r="775" spans="1:12" ht="18.75" x14ac:dyDescent="0.3">
      <c r="A775" s="430">
        <f>PR!A773</f>
        <v>0</v>
      </c>
      <c r="B775" s="15" t="str">
        <f>PR!B773</f>
        <v>SUTURES</v>
      </c>
      <c r="C775" s="113">
        <f>PR!D773</f>
        <v>0</v>
      </c>
      <c r="D775" s="113">
        <f>PR!C773</f>
        <v>0</v>
      </c>
      <c r="E775" s="108" t="str">
        <f>IF(F775="ALPHA",PR!$E773,IF(F775="ASSENE",PR!$F773,IF(F775="BIOFEM",PR!$G773,IF(F775="BIOMED",PR!$H773,IF(F775="CHI",PR!$I773,IF(F775="CLARION",PR!$J773,IF(F775="CODIX",PR!$K773,IF(F775="COSMADE",PR!$L773,IF(F775="SANCON",PR!$M773,IF(F775="DEVON",PR!$N773,IF(F775="DORTEMAG",PR!$O773,IF(F775="DGF",PR!$P773,IF(F775="DYNAMIC",PR!$Q773,IF(F775="EMZOR",PR!$R773,IF(F775="EUMATT",PR!$S773,IF(F775="FIDSON",PR!$T773,IF(F775="FCGLOBAL",PR!$U773,IF(F775="GENEITH",PR!$V773,IF(F775="GINOS",PR!$W773,IF(F775="GSK",PR!$X773,IF(F775="GLOBORG",PR!$Y773,IF(F775="GOODNEWS",PR!$Z773,IF(F775="GREENLIFE",PR!$AA773,IF(F775="HLINE",PR!$AB773,IF(F775="ROTECH",PR!$AC773,IF(F775="ISN",PR!$AD773,IF(F775="JAWA",PR!$AE773,IF(F775="LAYO",PR!$AF773,IF(F775="LEADWAY",PR!$AG773,IF(F775="LHV",PR!$AH773,IF(F775="MANOLA",PR!$AI773,IF(F775="MARCSON",PR!$AJ773,IF(F775="M&amp;B",PR!$AK773,IF(F775="MTRUST",PR!$AL773,IF(F775="MWORLD",PR!$AM773,IF(F775="MEGA",PR!$AN773,IF(F775="MICRONOVA",PR!$AO773,IF(F775="MFLASH",PR!$AP773,IF(F775="MORISON",PR!$AQ773,IF(F775="NEMEL",PR!$AR773,IF(F775="NHP",PR!$AS773,IF(F775="NHC",PR!$AT773,IF(F775="OLEAF",PR!$AU773,IF(F775="OCULUS",PR!$AV773,IF(F775="PACIFIC",PR!$AW773,IF(F775="PHAMATEX",PR!$AX773,IF(F775="PETHICS",PR!$AY773,IF(F775="PHILIPS",PR!$AZ773,IF(F775="RANBAXY",PR!$BA773,IF(F775="REALS",PR!$BB773,IF(F775="ROYAL",PR!$BC773,IF(F775="SAM",PR!$BD773,IF(F775="SEAGREEN",PR!$BE773,IF(F775="SKG",PR!$BF773,IF(F775="TAH",PR!$BG773,IF(F775="TAYLEK",PR!$BH773,IF(F775="TEMITA",PR!$BI773,IF(F775="THL",PR!$BJ773,IF(F775="UBASTIC",PR!$BK773,IF(F775="UNION",PR!$BL773,IF(F775="UNIQUE",PR!$BM773,IF(F775="VIXA",PR!$BN773,IF(F775="WWCV",PR!$BO773,IF(F775="ZOLON",PR!$BP773,"-"))))))))))))))))))))))))))))))))))))))))))))))))))))))))))))))))</f>
        <v>-</v>
      </c>
      <c r="F775" s="102"/>
      <c r="G775" s="108" t="str">
        <f>IF(H775="ALPHA",PR!$E773,IF(H775="ASSENE",PR!$F773,IF(H775="BIOFEM",PR!$G773,IF(H775="BIOMED",PR!$H773,IF(H775="CHI",PR!$I773,IF(H775="CLARION",PR!$J773,IF(H775="CODIX",PR!$K773,IF(H775="COSMADE",PR!$L773,IF(H775="SANCON",PR!$M773,IF(H775="DEVON",PR!$N773,IF(H775="DORTEMAG",PR!$O773,IF(H775="DGF",PR!$P773,IF(H775="DYNAMIC",PR!$Q773,IF(H775="EMZOR",PR!$R773,IF(H775="EUMATT",PR!$S773,IF(H775="FIDSON",PR!$T773,IF(H775="FCGLOBAL",PR!$U773,IF(H775="GENEITH",PR!$V773,IF(H775="GINOS",PR!$W773,IF(H775="GSK",PR!$X773,IF(H775="GLOBORG",PR!$Y773,IF(H775="GOODNEWS",PR!$Z773,IF(H775="GREENLIFE",PR!$AA773,IF(H775="HLINE",PR!$AB773,IF(H775="ROTECH",PR!$AC773,IF(H775="ISN",PR!$AD773,IF(H775="JAWA",PR!$AE773,IF(H775="LAYO",PR!$AF773,IF(H775="LEADWAY",PR!$AG773,IF(H775="LHV",PR!$AH773,IF(H775="MANOLA",PR!$AI773,IF(H775="MARCSON",PR!$AJ773,IF(H775="M&amp;B",PR!$AK773,IF(H775="MTRUST",PR!$AL773,IF(H775="MWORLD",PR!$AM773,IF(H775="MEGA",PR!$AN773,IF(H775="MICRONOVA",PR!$AO773,IF(H775="MFLASH",PR!$AP773,IF(H775="MORISON",PR!$AQ773,IF(H775="NEMEL",PR!$AR773,IF(H775="NHP",PR!$AS773,IF(H775="NHC",PR!$AT773,IF(H775="OLEAF",PR!$AU773,IF(H775="OCULUS",PR!$AV773,IF(H775="PACIFIC",PR!$AW773,IF(H775="PHAMATEX",PR!$AX773,IF(H775="PETHICS",PR!$AY773,IF(H775="PHILIPS",PR!$AZ773,IF(H775="RANBAXY",PR!$BA773,IF(H775="REALS",PR!$BB773,IF(H775="ROYAL",PR!$BC773,IF(H775="SAM",PR!$BD773,IF(H775="SEAGREEN",PR!$BE773,IF(H775="SKG",PR!$BF773,IF(H775="TAH",PR!$BG773,IF(H775="TAYLEK",PR!$BH773,IF(H775="TEMITA",PR!$BI773,IF(H775="THL",PR!$BJ773,IF(H775="UBASTIC",PR!$BK773,IF(H775="UNION",PR!$BL773,IF(H775="UNIQUE",PR!$BM773,IF(H775="VIXA",PR!$BN773,IF(H775="WWCV",PR!$BO773,IF(H775="ZOLON",PR!$BP773,"-"))))))))))))))))))))))))))))))))))))))))))))))))))))))))))))))))</f>
        <v>-</v>
      </c>
      <c r="H775" s="102"/>
      <c r="I775" s="108" t="str">
        <f>IF(J775="ALPHA",PR!$E773,IF(J775="ASSENE",PR!$F773,IF(J775="BIOFEM",PR!$G773,IF(J775="BIOMED",PR!$H773,IF(J775="CHI",PR!$I773,IF(J775="CLARION",PR!$J773,IF(J775="CODIX",PR!$K773,IF(J775="COSMADE",PR!$L773,IF(J775="SANCON",PR!$M773,IF(J775="DEVON",PR!$N773,IF(J775="DORTEMAG",PR!$O773,IF(J775="DGF",PR!$P773,IF(J775="DYNAMIC",PR!$Q773,IF(J775="EMZOR",PR!$R773,IF(J775="EUMATT",PR!$S773,IF(J775="FIDSON",PR!$T773,IF(J775="FCGLOBAL",PR!$U773,IF(J775="GENEITH",PR!$V773,IF(J775="GINOS",PR!$W773,IF(J775="GSK",PR!$X773,IF(J775="GLOBORG",PR!$Y773,IF(J775="GOODNEWS",PR!$Z773,IF(J775="GREENLIFE",PR!$AA773,IF(J775="HLINE",PR!$AB773,IF(J775="ROTECH",PR!$AC773,IF(J775="ISN",PR!$AD773,IF(J775="JAWA",PR!$AE773,IF(J775="LAYO",PR!$AF773,IF(J775="LEADWAY",PR!$AG773,IF(J775="LHV",PR!$AH773,IF(J775="MANOLA",PR!$AI773,IF(J775="MARCSON",PR!$AJ773,IF(J775="M&amp;B",PR!$AK773,IF(J775="MTRUST",PR!$AL773,IF(J775="MWORLD",PR!$AM773,IF(J775="MEGA",PR!$AN773,IF(J775="MICRONOVA",PR!$AO773,IF(J775="MFLASH",PR!$AP773,IF(J775="MORISON",PR!$AQ773,IF(J775="NEMEL",PR!$AR773,IF(J775="NHP",PR!$AS773,IF(J775="NHC",PR!$AT773,IF(J775="OLEAF",PR!$AU773,IF(J775="OCULUS",PR!$AV773,IF(J775="PACIFIC",PR!$AW773,IF(J775="PHAMATEX",PR!$AX773,IF(J775="PETHICS",PR!$AY773,IF(J775="PHILIPS",PR!$AZ773,IF(J775="RANBAXY",PR!$BA773,IF(J775="REALS",PR!$BB773,IF(J775="ROYAL",PR!$BC773,IF(J775="SAM",PR!$BD773,IF(J775="SEAGREEN",PR!$BE773,IF(J775="SKG",PR!$BF773,IF(J775="TAH",PR!$BG773,IF(J775="TAYLEK",PR!$BH773,IF(J775="TEMITA",PR!$BI773,IF(J775="THL",PR!$BJ773,IF(J775="UBASTIC",PR!$BK773,IF(J775="UNION",PR!$BL773,IF(J775="UNIQUE",PR!$BM773,IF(J775="VIXA",PR!$BN773,IF(J775="WWCV",PR!$BO773,IF(J775="ZOLON",PR!$BP773,"-"))))))))))))))))))))))))))))))))))))))))))))))))))))))))))))))))</f>
        <v>-</v>
      </c>
      <c r="J775" s="102"/>
      <c r="K775" s="433"/>
      <c r="L775" s="183" t="b">
        <f>IF(K775&gt;0,IF(K775="ALPHA",PR!$E773,IF(K775="ASSENE",PR!$F773,IF(K775="BIOFEM",PR!$G773,IF(K775="BIOMED",PR!$H773,IF(K775="CHI",PR!$I773,IF(K775="CLARION",PR!$J773,IF(K775="CODIX",PR!$K773,IF(K775="COSMADE",PR!$L773,IF(K775="SANCON",PR!$M773,IF(K775="DEVON",PR!$N773,IF(K775="DORTEMAG",PR!$O773,IF(K775="DGF",PR!$P773,IF(K775="DYNAMIC",PR!$Q773,IF(K775="EMZOR",PR!$R773,IF(K775="EUMATT",PR!$S773,IF(K775="FIDSON",PR!$T773,IF(K775="FCGLOBAL",PR!$U773,IF(K775="GENEITH",PR!$V773,IF(K775="GINOS",PR!$W773,IF(K775="GSK",PR!$X773,IF(K775="GLOBORG",PR!$Y773,IF(K775="GOODNEWS",PR!$Z773,IF(K775="GREENLIFE",PR!$AA773,IF(K775="HLINE",PR!$AB773,IF(K775="ROTECH",PR!$AC773,IF(K775="ISN",PR!$AD773,IF(K775="JAWA",PR!$AE773,IF(K775="LAYO",PR!$AF773,IF(K775="LEADWAY",PR!$AG773,IF(K775="LHV",PR!$AH773,IF(K775="MANOLA",PR!$AI773,IF(K775="MARCSON",PR!$AJ773,IF(K775="M&amp;B",PR!$AK773,IF(K775="MTRUST",PR!$AL773,IF(K775="MWORLD",PR!$AM773,IF(K775="MEGA",PR!$AN773,IF(K775="MICRONOVA",PR!$AO773,IF(K775="MFLASH",PR!$AP773,IF(K775="MORISON",PR!$AQ773,IF(K775="NEMEL",PR!$AR773,IF(K775="NHP",PR!$AS773,IF(K775="NHC",PR!$AT773,IF(K775="OLEAF",PR!$AU773,IF(K775="OCULUS",PR!$AV773,IF(K775="PACIFIC",PR!$AW773,IF(K775="PHAMATEX",PR!$AX773,IF(K775="PETHICS",PR!$AY773,IF(K775="PHILIPS",PR!$AZ773,IF(K775="RANBAXY",PR!$BA773,IF(K775="REALS",PR!$BB773,IF(K775="ROYAL",PR!$BC773,IF(K775="SAM",PR!$BD773,IF(K775="SEAGREEN",PR!$BE773,IF(K775="SKG",PR!$BF773,IF(K775="TAH",PR!$BG773,IF(K775="TAYLEK",PR!$BH773,IF(K775="TEMITA",PR!$BI773,IF(K775="THL",PR!$BJ773,IF(K775="UBASTIC",PR!$BK773,IF(K775="UNION",PR!$BL773,IF(K775="UNIQUE",PR!$BM773,IF(K775="VIXA",PR!$BN773,IF(K775="WWCV",PR!$BO773,IF(K775="ZOLON",PR!$BP773,"-")))))))))))))))))))))))))))))))))))))))))))))))))))))))))))))))))</f>
        <v>0</v>
      </c>
    </row>
    <row r="776" spans="1:12" ht="18.75" x14ac:dyDescent="0.3">
      <c r="A776" s="430">
        <f>PR!A774</f>
        <v>702</v>
      </c>
      <c r="B776" s="15" t="str">
        <f>PR!B774</f>
        <v>CHROMIC 1</v>
      </c>
      <c r="C776" s="113">
        <f>PR!D774</f>
        <v>12</v>
      </c>
      <c r="D776" s="113">
        <f>PR!C774</f>
        <v>20</v>
      </c>
      <c r="E776" s="108">
        <f>IF(F776="ALPHA",PR!$E774,IF(F776="ASSENE",PR!$F774,IF(F776="BIOFEM",PR!$G774,IF(F776="BIOMED",PR!$H774,IF(F776="CHI",PR!$I774,IF(F776="CLARION",PR!$J774,IF(F776="CODIX",PR!$K774,IF(F776="COSMADE",PR!$L774,IF(F776="SANCON",PR!$M774,IF(F776="DEVON",PR!$N774,IF(F776="DORTEMAG",PR!$O774,IF(F776="DGF",PR!$P774,IF(F776="DYNAMIC",PR!$Q774,IF(F776="EMZOR",PR!$R774,IF(F776="EUMATT",PR!$S774,IF(F776="FIDSON",PR!$T774,IF(F776="FCGLOBAL",PR!$U774,IF(F776="GENEITH",PR!$V774,IF(F776="GINOS",PR!$W774,IF(F776="GSK",PR!$X774,IF(F776="GLOBORG",PR!$Y774,IF(F776="GOODNEWS",PR!$Z774,IF(F776="GREENLIFE",PR!$AA774,IF(F776="HLINE",PR!$AB774,IF(F776="ROTECH",PR!$AC774,IF(F776="ISN",PR!$AD774,IF(F776="JAWA",PR!$AE774,IF(F776="LAYO",PR!$AF774,IF(F776="LEADWAY",PR!$AG774,IF(F776="LHV",PR!$AH774,IF(F776="MANOLA",PR!$AI774,IF(F776="MARCSON",PR!$AJ774,IF(F776="M&amp;B",PR!$AK774,IF(F776="MTRUST",PR!$AL774,IF(F776="MWORLD",PR!$AM774,IF(F776="MEGA",PR!$AN774,IF(F776="MICRONOVA",PR!$AO774,IF(F776="MFLASH",PR!$AP774,IF(F776="MORISON",PR!$AQ774,IF(F776="NEMEL",PR!$AR774,IF(F776="NHP",PR!$AS774,IF(F776="NHC",PR!$AT774,IF(F776="OLEAF",PR!$AU774,IF(F776="OCULUS",PR!$AV774,IF(F776="PACIFIC",PR!$AW774,IF(F776="PHAMATEX",PR!$AX774,IF(F776="PETHICS",PR!$AY774,IF(F776="PHILIPS",PR!$AZ774,IF(F776="RANBAXY",PR!$BA774,IF(F776="REALS",PR!$BB774,IF(F776="ROYAL",PR!$BC774,IF(F776="SAM",PR!$BD774,IF(F776="SEAGREEN",PR!$BE774,IF(F776="SKG",PR!$BF774,IF(F776="TAH",PR!$BG774,IF(F776="TAYLEK",PR!$BH774,IF(F776="TEMITA",PR!$BI774,IF(F776="THL",PR!$BJ774,IF(F776="UBASTIC",PR!$BK774,IF(F776="UNION",PR!$BL774,IF(F776="UNIQUE",PR!$BM774,IF(F776="VIXA",PR!$BN774,IF(F776="WWCV",PR!$BO774,IF(F776="ZOLON",PR!$BP774,"-"))))))))))))))))))))))))))))))))))))))))))))))))))))))))))))))))</f>
        <v>980</v>
      </c>
      <c r="F776" s="102" t="str">
        <f>EV!L986</f>
        <v>EUMATT</v>
      </c>
      <c r="G776" s="108">
        <f>IF(H776="ALPHA",PR!$E774,IF(H776="ASSENE",PR!$F774,IF(H776="BIOFEM",PR!$G774,IF(H776="BIOMED",PR!$H774,IF(H776="CHI",PR!$I774,IF(H776="CLARION",PR!$J774,IF(H776="CODIX",PR!$K774,IF(H776="COSMADE",PR!$L774,IF(H776="SANCON",PR!$M774,IF(H776="DEVON",PR!$N774,IF(H776="DORTEMAG",PR!$O774,IF(H776="DGF",PR!$P774,IF(H776="DYNAMIC",PR!$Q774,IF(H776="EMZOR",PR!$R774,IF(H776="EUMATT",PR!$S774,IF(H776="FIDSON",PR!$T774,IF(H776="FCGLOBAL",PR!$U774,IF(H776="GENEITH",PR!$V774,IF(H776="GINOS",PR!$W774,IF(H776="GSK",PR!$X774,IF(H776="GLOBORG",PR!$Y774,IF(H776="GOODNEWS",PR!$Z774,IF(H776="GREENLIFE",PR!$AA774,IF(H776="HLINE",PR!$AB774,IF(H776="ROTECH",PR!$AC774,IF(H776="ISN",PR!$AD774,IF(H776="JAWA",PR!$AE774,IF(H776="LAYO",PR!$AF774,IF(H776="LEADWAY",PR!$AG774,IF(H776="LHV",PR!$AH774,IF(H776="MANOLA",PR!$AI774,IF(H776="MARCSON",PR!$AJ774,IF(H776="M&amp;B",PR!$AK774,IF(H776="MTRUST",PR!$AL774,IF(H776="MWORLD",PR!$AM774,IF(H776="MEGA",PR!$AN774,IF(H776="MICRONOVA",PR!$AO774,IF(H776="MFLASH",PR!$AP774,IF(H776="MORISON",PR!$AQ774,IF(H776="NEMEL",PR!$AR774,IF(H776="NHP",PR!$AS774,IF(H776="NHC",PR!$AT774,IF(H776="OLEAF",PR!$AU774,IF(H776="OCULUS",PR!$AV774,IF(H776="PACIFIC",PR!$AW774,IF(H776="PHAMATEX",PR!$AX774,IF(H776="PETHICS",PR!$AY774,IF(H776="PHILIPS",PR!$AZ774,IF(H776="RANBAXY",PR!$BA774,IF(H776="REALS",PR!$BB774,IF(H776="ROYAL",PR!$BC774,IF(H776="SAM",PR!$BD774,IF(H776="SEAGREEN",PR!$BE774,IF(H776="SKG",PR!$BF774,IF(H776="TAH",PR!$BG774,IF(H776="TAYLEK",PR!$BH774,IF(H776="TEMITA",PR!$BI774,IF(H776="THL",PR!$BJ774,IF(H776="UBASTIC",PR!$BK774,IF(H776="UNION",PR!$BL774,IF(H776="UNIQUE",PR!$BM774,IF(H776="VIXA",PR!$BN774,IF(H776="WWCV",PR!$BO774,IF(H776="ZOLON",PR!$BP774,"-"))))))))))))))))))))))))))))))))))))))))))))))))))))))))))))))))</f>
        <v>1000</v>
      </c>
      <c r="H776" s="102" t="str">
        <f>EV!M986</f>
        <v>SANCON</v>
      </c>
      <c r="I776" s="108">
        <f>IF(J776="ALPHA",PR!$E774,IF(J776="ASSENE",PR!$F774,IF(J776="BIOFEM",PR!$G774,IF(J776="BIOMED",PR!$H774,IF(J776="CHI",PR!$I774,IF(J776="CLARION",PR!$J774,IF(J776="CODIX",PR!$K774,IF(J776="COSMADE",PR!$L774,IF(J776="SANCON",PR!$M774,IF(J776="DEVON",PR!$N774,IF(J776="DORTEMAG",PR!$O774,IF(J776="DGF",PR!$P774,IF(J776="DYNAMIC",PR!$Q774,IF(J776="EMZOR",PR!$R774,IF(J776="EUMATT",PR!$S774,IF(J776="FIDSON",PR!$T774,IF(J776="FCGLOBAL",PR!$U774,IF(J776="GENEITH",PR!$V774,IF(J776="GINOS",PR!$W774,IF(J776="GSK",PR!$X774,IF(J776="GLOBORG",PR!$Y774,IF(J776="GOODNEWS",PR!$Z774,IF(J776="GREENLIFE",PR!$AA774,IF(J776="HLINE",PR!$AB774,IF(J776="ROTECH",PR!$AC774,IF(J776="ISN",PR!$AD774,IF(J776="JAWA",PR!$AE774,IF(J776="LAYO",PR!$AF774,IF(J776="LEADWAY",PR!$AG774,IF(J776="LHV",PR!$AH774,IF(J776="MANOLA",PR!$AI774,IF(J776="MARCSON",PR!$AJ774,IF(J776="M&amp;B",PR!$AK774,IF(J776="MTRUST",PR!$AL774,IF(J776="MWORLD",PR!$AM774,IF(J776="MEGA",PR!$AN774,IF(J776="MICRONOVA",PR!$AO774,IF(J776="MFLASH",PR!$AP774,IF(J776="MORISON",PR!$AQ774,IF(J776="NEMEL",PR!$AR774,IF(J776="NHP",PR!$AS774,IF(J776="NHC",PR!$AT774,IF(J776="OLEAF",PR!$AU774,IF(J776="OCULUS",PR!$AV774,IF(J776="PACIFIC",PR!$AW774,IF(J776="PHAMATEX",PR!$AX774,IF(J776="PETHICS",PR!$AY774,IF(J776="PHILIPS",PR!$AZ774,IF(J776="RANBAXY",PR!$BA774,IF(J776="REALS",PR!$BB774,IF(J776="ROYAL",PR!$BC774,IF(J776="SAM",PR!$BD774,IF(J776="SEAGREEN",PR!$BE774,IF(J776="SKG",PR!$BF774,IF(J776="TAH",PR!$BG774,IF(J776="TAYLEK",PR!$BH774,IF(J776="TEMITA",PR!$BI774,IF(J776="THL",PR!$BJ774,IF(J776="UBASTIC",PR!$BK774,IF(J776="UNION",PR!$BL774,IF(J776="UNIQUE",PR!$BM774,IF(J776="VIXA",PR!$BN774,IF(J776="WWCV",PR!$BO774,IF(J776="ZOLON",PR!$BP774,"-"))))))))))))))))))))))))))))))))))))))))))))))))))))))))))))))))</f>
        <v>1200</v>
      </c>
      <c r="J776" s="102" t="str">
        <f>EV!N986</f>
        <v>GINOS</v>
      </c>
      <c r="K776" s="433" t="s">
        <v>821</v>
      </c>
      <c r="L776" s="183">
        <f>IF(K776&gt;0,IF(K776="ALPHA",PR!$E774,IF(K776="ASSENE",PR!$F774,IF(K776="BIOFEM",PR!$G774,IF(K776="BIOMED",PR!$H774,IF(K776="CHI",PR!$I774,IF(K776="CLARION",PR!$J774,IF(K776="CODIX",PR!$K774,IF(K776="COSMADE",PR!$L774,IF(K776="SANCON",PR!$M774,IF(K776="DEVON",PR!$N774,IF(K776="DORTEMAG",PR!$O774,IF(K776="DGF",PR!$P774,IF(K776="DYNAMIC",PR!$Q774,IF(K776="EMZOR",PR!$R774,IF(K776="EUMATT",PR!$S774,IF(K776="FIDSON",PR!$T774,IF(K776="FCGLOBAL",PR!$U774,IF(K776="GENEITH",PR!$V774,IF(K776="GINOS",PR!$W774,IF(K776="GSK",PR!$X774,IF(K776="GLOBORG",PR!$Y774,IF(K776="GOODNEWS",PR!$Z774,IF(K776="GREENLIFE",PR!$AA774,IF(K776="HLINE",PR!$AB774,IF(K776="ROTECH",PR!$AC774,IF(K776="ISN",PR!$AD774,IF(K776="JAWA",PR!$AE774,IF(K776="LAYO",PR!$AF774,IF(K776="LEADWAY",PR!$AG774,IF(K776="LHV",PR!$AH774,IF(K776="MANOLA",PR!$AI774,IF(K776="MARCSON",PR!$AJ774,IF(K776="M&amp;B",PR!$AK774,IF(K776="MTRUST",PR!$AL774,IF(K776="MWORLD",PR!$AM774,IF(K776="MEGA",PR!$AN774,IF(K776="MICRONOVA",PR!$AO774,IF(K776="MFLASH",PR!$AP774,IF(K776="MORISON",PR!$AQ774,IF(K776="NEMEL",PR!$AR774,IF(K776="NHP",PR!$AS774,IF(K776="NHC",PR!$AT774,IF(K776="OLEAF",PR!$AU774,IF(K776="OCULUS",PR!$AV774,IF(K776="PACIFIC",PR!$AW774,IF(K776="PHAMATEX",PR!$AX774,IF(K776="PETHICS",PR!$AY774,IF(K776="PHILIPS",PR!$AZ774,IF(K776="RANBAXY",PR!$BA774,IF(K776="REALS",PR!$BB774,IF(K776="ROYAL",PR!$BC774,IF(K776="SAM",PR!$BD774,IF(K776="SEAGREEN",PR!$BE774,IF(K776="SKG",PR!$BF774,IF(K776="TAH",PR!$BG774,IF(K776="TAYLEK",PR!$BH774,IF(K776="TEMITA",PR!$BI774,IF(K776="THL",PR!$BJ774,IF(K776="UBASTIC",PR!$BK774,IF(K776="UNION",PR!$BL774,IF(K776="UNIQUE",PR!$BM774,IF(K776="VIXA",PR!$BN774,IF(K776="WWCV",PR!$BO774,IF(K776="ZOLON",PR!$BP774,"-")))))))))))))))))))))))))))))))))))))))))))))))))))))))))))))))))</f>
        <v>980</v>
      </c>
    </row>
    <row r="777" spans="1:12" ht="18.75" x14ac:dyDescent="0.3">
      <c r="A777" s="430">
        <f>PR!A775</f>
        <v>703</v>
      </c>
      <c r="B777" s="15" t="str">
        <f>PR!B775</f>
        <v>CHROMIC 2</v>
      </c>
      <c r="C777" s="113">
        <f>PR!D775</f>
        <v>12</v>
      </c>
      <c r="D777" s="113">
        <f>PR!C775</f>
        <v>32</v>
      </c>
      <c r="E777" s="108">
        <f>IF(F777="ALPHA",PR!$E775,IF(F777="ASSENE",PR!$F775,IF(F777="BIOFEM",PR!$G775,IF(F777="BIOMED",PR!$H775,IF(F777="CHI",PR!$I775,IF(F777="CLARION",PR!$J775,IF(F777="CODIX",PR!$K775,IF(F777="COSMADE",PR!$L775,IF(F777="SANCON",PR!$M775,IF(F777="DEVON",PR!$N775,IF(F777="DORTEMAG",PR!$O775,IF(F777="DGF",PR!$P775,IF(F777="DYNAMIC",PR!$Q775,IF(F777="EMZOR",PR!$R775,IF(F777="EUMATT",PR!$S775,IF(F777="FIDSON",PR!$T775,IF(F777="FCGLOBAL",PR!$U775,IF(F777="GENEITH",PR!$V775,IF(F777="GINOS",PR!$W775,IF(F777="GSK",PR!$X775,IF(F777="GLOBORG",PR!$Y775,IF(F777="GOODNEWS",PR!$Z775,IF(F777="GREENLIFE",PR!$AA775,IF(F777="HLINE",PR!$AB775,IF(F777="ROTECH",PR!$AC775,IF(F777="ISN",PR!$AD775,IF(F777="JAWA",PR!$AE775,IF(F777="LAYO",PR!$AF775,IF(F777="LEADWAY",PR!$AG775,IF(F777="LHV",PR!$AH775,IF(F777="MANOLA",PR!$AI775,IF(F777="MARCSON",PR!$AJ775,IF(F777="M&amp;B",PR!$AK775,IF(F777="MTRUST",PR!$AL775,IF(F777="MWORLD",PR!$AM775,IF(F777="MEGA",PR!$AN775,IF(F777="MICRONOVA",PR!$AO775,IF(F777="MFLASH",PR!$AP775,IF(F777="MORISON",PR!$AQ775,IF(F777="NEMEL",PR!$AR775,IF(F777="NHP",PR!$AS775,IF(F777="NHC",PR!$AT775,IF(F777="OLEAF",PR!$AU775,IF(F777="OCULUS",PR!$AV775,IF(F777="PACIFIC",PR!$AW775,IF(F777="PHAMATEX",PR!$AX775,IF(F777="PETHICS",PR!$AY775,IF(F777="PHILIPS",PR!$AZ775,IF(F777="RANBAXY",PR!$BA775,IF(F777="REALS",PR!$BB775,IF(F777="ROYAL",PR!$BC775,IF(F777="SAM",PR!$BD775,IF(F777="SEAGREEN",PR!$BE775,IF(F777="SKG",PR!$BF775,IF(F777="TAH",PR!$BG775,IF(F777="TAYLEK",PR!$BH775,IF(F777="TEMITA",PR!$BI775,IF(F777="THL",PR!$BJ775,IF(F777="UBASTIC",PR!$BK775,IF(F777="UNION",PR!$BL775,IF(F777="UNIQUE",PR!$BM775,IF(F777="VIXA",PR!$BN775,IF(F777="WWCV",PR!$BO775,IF(F777="ZOLON",PR!$BP775,"-"))))))))))))))))))))))))))))))))))))))))))))))))))))))))))))))))</f>
        <v>980</v>
      </c>
      <c r="F777" s="102" t="str">
        <f>EV!L987</f>
        <v>EUMATT</v>
      </c>
      <c r="G777" s="108">
        <f>IF(H777="ALPHA",PR!$E775,IF(H777="ASSENE",PR!$F775,IF(H777="BIOFEM",PR!$G775,IF(H777="BIOMED",PR!$H775,IF(H777="CHI",PR!$I775,IF(H777="CLARION",PR!$J775,IF(H777="CODIX",PR!$K775,IF(H777="COSMADE",PR!$L775,IF(H777="SANCON",PR!$M775,IF(H777="DEVON",PR!$N775,IF(H777="DORTEMAG",PR!$O775,IF(H777="DGF",PR!$P775,IF(H777="DYNAMIC",PR!$Q775,IF(H777="EMZOR",PR!$R775,IF(H777="EUMATT",PR!$S775,IF(H777="FIDSON",PR!$T775,IF(H777="FCGLOBAL",PR!$U775,IF(H777="GENEITH",PR!$V775,IF(H777="GINOS",PR!$W775,IF(H777="GSK",PR!$X775,IF(H777="GLOBORG",PR!$Y775,IF(H777="GOODNEWS",PR!$Z775,IF(H777="GREENLIFE",PR!$AA775,IF(H777="HLINE",PR!$AB775,IF(H777="ROTECH",PR!$AC775,IF(H777="ISN",PR!$AD775,IF(H777="JAWA",PR!$AE775,IF(H777="LAYO",PR!$AF775,IF(H777="LEADWAY",PR!$AG775,IF(H777="LHV",PR!$AH775,IF(H777="MANOLA",PR!$AI775,IF(H777="MARCSON",PR!$AJ775,IF(H777="M&amp;B",PR!$AK775,IF(H777="MTRUST",PR!$AL775,IF(H777="MWORLD",PR!$AM775,IF(H777="MEGA",PR!$AN775,IF(H777="MICRONOVA",PR!$AO775,IF(H777="MFLASH",PR!$AP775,IF(H777="MORISON",PR!$AQ775,IF(H777="NEMEL",PR!$AR775,IF(H777="NHP",PR!$AS775,IF(H777="NHC",PR!$AT775,IF(H777="OLEAF",PR!$AU775,IF(H777="OCULUS",PR!$AV775,IF(H777="PACIFIC",PR!$AW775,IF(H777="PHAMATEX",PR!$AX775,IF(H777="PETHICS",PR!$AY775,IF(H777="PHILIPS",PR!$AZ775,IF(H777="RANBAXY",PR!$BA775,IF(H777="REALS",PR!$BB775,IF(H777="ROYAL",PR!$BC775,IF(H777="SAM",PR!$BD775,IF(H777="SEAGREEN",PR!$BE775,IF(H777="SKG",PR!$BF775,IF(H777="TAH",PR!$BG775,IF(H777="TAYLEK",PR!$BH775,IF(H777="TEMITA",PR!$BI775,IF(H777="THL",PR!$BJ775,IF(H777="UBASTIC",PR!$BK775,IF(H777="UNION",PR!$BL775,IF(H777="UNIQUE",PR!$BM775,IF(H777="VIXA",PR!$BN775,IF(H777="WWCV",PR!$BO775,IF(H777="ZOLON",PR!$BP775,"-"))))))))))))))))))))))))))))))))))))))))))))))))))))))))))))))))</f>
        <v>1050</v>
      </c>
      <c r="H777" s="102" t="str">
        <f>EV!M987</f>
        <v>SANCON</v>
      </c>
      <c r="I777" s="108">
        <f>IF(J777="ALPHA",PR!$E775,IF(J777="ASSENE",PR!$F775,IF(J777="BIOFEM",PR!$G775,IF(J777="BIOMED",PR!$H775,IF(J777="CHI",PR!$I775,IF(J777="CLARION",PR!$J775,IF(J777="CODIX",PR!$K775,IF(J777="COSMADE",PR!$L775,IF(J777="SANCON",PR!$M775,IF(J777="DEVON",PR!$N775,IF(J777="DORTEMAG",PR!$O775,IF(J777="DGF",PR!$P775,IF(J777="DYNAMIC",PR!$Q775,IF(J777="EMZOR",PR!$R775,IF(J777="EUMATT",PR!$S775,IF(J777="FIDSON",PR!$T775,IF(J777="FCGLOBAL",PR!$U775,IF(J777="GENEITH",PR!$V775,IF(J777="GINOS",PR!$W775,IF(J777="GSK",PR!$X775,IF(J777="GLOBORG",PR!$Y775,IF(J777="GOODNEWS",PR!$Z775,IF(J777="GREENLIFE",PR!$AA775,IF(J777="HLINE",PR!$AB775,IF(J777="ROTECH",PR!$AC775,IF(J777="ISN",PR!$AD775,IF(J777="JAWA",PR!$AE775,IF(J777="LAYO",PR!$AF775,IF(J777="LEADWAY",PR!$AG775,IF(J777="LHV",PR!$AH775,IF(J777="MANOLA",PR!$AI775,IF(J777="MARCSON",PR!$AJ775,IF(J777="M&amp;B",PR!$AK775,IF(J777="MTRUST",PR!$AL775,IF(J777="MWORLD",PR!$AM775,IF(J777="MEGA",PR!$AN775,IF(J777="MICRONOVA",PR!$AO775,IF(J777="MFLASH",PR!$AP775,IF(J777="MORISON",PR!$AQ775,IF(J777="NEMEL",PR!$AR775,IF(J777="NHP",PR!$AS775,IF(J777="NHC",PR!$AT775,IF(J777="OLEAF",PR!$AU775,IF(J777="OCULUS",PR!$AV775,IF(J777="PACIFIC",PR!$AW775,IF(J777="PHAMATEX",PR!$AX775,IF(J777="PETHICS",PR!$AY775,IF(J777="PHILIPS",PR!$AZ775,IF(J777="RANBAXY",PR!$BA775,IF(J777="REALS",PR!$BB775,IF(J777="ROYAL",PR!$BC775,IF(J777="SAM",PR!$BD775,IF(J777="SEAGREEN",PR!$BE775,IF(J777="SKG",PR!$BF775,IF(J777="TAH",PR!$BG775,IF(J777="TAYLEK",PR!$BH775,IF(J777="TEMITA",PR!$BI775,IF(J777="THL",PR!$BJ775,IF(J777="UBASTIC",PR!$BK775,IF(J777="UNION",PR!$BL775,IF(J777="UNIQUE",PR!$BM775,IF(J777="VIXA",PR!$BN775,IF(J777="WWCV",PR!$BO775,IF(J777="ZOLON",PR!$BP775,"-"))))))))))))))))))))))))))))))))))))))))))))))))))))))))))))))))</f>
        <v>1200</v>
      </c>
      <c r="J777" s="102" t="str">
        <f>EV!N987</f>
        <v>GINOS</v>
      </c>
      <c r="K777" s="433" t="s">
        <v>821</v>
      </c>
      <c r="L777" s="183">
        <f>IF(K777&gt;0,IF(K777="ALPHA",PR!$E775,IF(K777="ASSENE",PR!$F775,IF(K777="BIOFEM",PR!$G775,IF(K777="BIOMED",PR!$H775,IF(K777="CHI",PR!$I775,IF(K777="CLARION",PR!$J775,IF(K777="CODIX",PR!$K775,IF(K777="COSMADE",PR!$L775,IF(K777="SANCON",PR!$M775,IF(K777="DEVON",PR!$N775,IF(K777="DORTEMAG",PR!$O775,IF(K777="DGF",PR!$P775,IF(K777="DYNAMIC",PR!$Q775,IF(K777="EMZOR",PR!$R775,IF(K777="EUMATT",PR!$S775,IF(K777="FIDSON",PR!$T775,IF(K777="FCGLOBAL",PR!$U775,IF(K777="GENEITH",PR!$V775,IF(K777="GINOS",PR!$W775,IF(K777="GSK",PR!$X775,IF(K777="GLOBORG",PR!$Y775,IF(K777="GOODNEWS",PR!$Z775,IF(K777="GREENLIFE",PR!$AA775,IF(K777="HLINE",PR!$AB775,IF(K777="ROTECH",PR!$AC775,IF(K777="ISN",PR!$AD775,IF(K777="JAWA",PR!$AE775,IF(K777="LAYO",PR!$AF775,IF(K777="LEADWAY",PR!$AG775,IF(K777="LHV",PR!$AH775,IF(K777="MANOLA",PR!$AI775,IF(K777="MARCSON",PR!$AJ775,IF(K777="M&amp;B",PR!$AK775,IF(K777="MTRUST",PR!$AL775,IF(K777="MWORLD",PR!$AM775,IF(K777="MEGA",PR!$AN775,IF(K777="MICRONOVA",PR!$AO775,IF(K777="MFLASH",PR!$AP775,IF(K777="MORISON",PR!$AQ775,IF(K777="NEMEL",PR!$AR775,IF(K777="NHP",PR!$AS775,IF(K777="NHC",PR!$AT775,IF(K777="OLEAF",PR!$AU775,IF(K777="OCULUS",PR!$AV775,IF(K777="PACIFIC",PR!$AW775,IF(K777="PHAMATEX",PR!$AX775,IF(K777="PETHICS",PR!$AY775,IF(K777="PHILIPS",PR!$AZ775,IF(K777="RANBAXY",PR!$BA775,IF(K777="REALS",PR!$BB775,IF(K777="ROYAL",PR!$BC775,IF(K777="SAM",PR!$BD775,IF(K777="SEAGREEN",PR!$BE775,IF(K777="SKG",PR!$BF775,IF(K777="TAH",PR!$BG775,IF(K777="TAYLEK",PR!$BH775,IF(K777="TEMITA",PR!$BI775,IF(K777="THL",PR!$BJ775,IF(K777="UBASTIC",PR!$BK775,IF(K777="UNION",PR!$BL775,IF(K777="UNIQUE",PR!$BM775,IF(K777="VIXA",PR!$BN775,IF(K777="WWCV",PR!$BO775,IF(K777="ZOLON",PR!$BP775,"-")))))))))))))))))))))))))))))))))))))))))))))))))))))))))))))))))</f>
        <v>980</v>
      </c>
    </row>
    <row r="778" spans="1:12" ht="18.75" x14ac:dyDescent="0.3">
      <c r="A778" s="430">
        <f>PR!A776</f>
        <v>704</v>
      </c>
      <c r="B778" s="15" t="str">
        <f>PR!B776</f>
        <v>CHROMIC 2/0</v>
      </c>
      <c r="C778" s="113">
        <f>PR!D776</f>
        <v>12</v>
      </c>
      <c r="D778" s="113">
        <f>PR!C776</f>
        <v>32</v>
      </c>
      <c r="E778" s="108">
        <f>IF(F778="ALPHA",PR!$E776,IF(F778="ASSENE",PR!$F776,IF(F778="BIOFEM",PR!$G776,IF(F778="BIOMED",PR!$H776,IF(F778="CHI",PR!$I776,IF(F778="CLARION",PR!$J776,IF(F778="CODIX",PR!$K776,IF(F778="COSMADE",PR!$L776,IF(F778="SANCON",PR!$M776,IF(F778="DEVON",PR!$N776,IF(F778="DORTEMAG",PR!$O776,IF(F778="DGF",PR!$P776,IF(F778="DYNAMIC",PR!$Q776,IF(F778="EMZOR",PR!$R776,IF(F778="EUMATT",PR!$S776,IF(F778="FIDSON",PR!$T776,IF(F778="FCGLOBAL",PR!$U776,IF(F778="GENEITH",PR!$V776,IF(F778="GINOS",PR!$W776,IF(F778="GSK",PR!$X776,IF(F778="GLOBORG",PR!$Y776,IF(F778="GOODNEWS",PR!$Z776,IF(F778="GREENLIFE",PR!$AA776,IF(F778="HLINE",PR!$AB776,IF(F778="ROTECH",PR!$AC776,IF(F778="ISN",PR!$AD776,IF(F778="JAWA",PR!$AE776,IF(F778="LAYO",PR!$AF776,IF(F778="LEADWAY",PR!$AG776,IF(F778="LHV",PR!$AH776,IF(F778="MANOLA",PR!$AI776,IF(F778="MARCSON",PR!$AJ776,IF(F778="M&amp;B",PR!$AK776,IF(F778="MTRUST",PR!$AL776,IF(F778="MWORLD",PR!$AM776,IF(F778="MEGA",PR!$AN776,IF(F778="MICRONOVA",PR!$AO776,IF(F778="MFLASH",PR!$AP776,IF(F778="MORISON",PR!$AQ776,IF(F778="NEMEL",PR!$AR776,IF(F778="NHP",PR!$AS776,IF(F778="NHC",PR!$AT776,IF(F778="OLEAF",PR!$AU776,IF(F778="OCULUS",PR!$AV776,IF(F778="PACIFIC",PR!$AW776,IF(F778="PHAMATEX",PR!$AX776,IF(F778="PETHICS",PR!$AY776,IF(F778="PHILIPS",PR!$AZ776,IF(F778="RANBAXY",PR!$BA776,IF(F778="REALS",PR!$BB776,IF(F778="ROYAL",PR!$BC776,IF(F778="SAM",PR!$BD776,IF(F778="SEAGREEN",PR!$BE776,IF(F778="SKG",PR!$BF776,IF(F778="TAH",PR!$BG776,IF(F778="TAYLEK",PR!$BH776,IF(F778="TEMITA",PR!$BI776,IF(F778="THL",PR!$BJ776,IF(F778="UBASTIC",PR!$BK776,IF(F778="UNION",PR!$BL776,IF(F778="UNIQUE",PR!$BM776,IF(F778="VIXA",PR!$BN776,IF(F778="WWCV",PR!$BO776,IF(F778="ZOLON",PR!$BP776,"-"))))))))))))))))))))))))))))))))))))))))))))))))))))))))))))))))</f>
        <v>980</v>
      </c>
      <c r="F778" s="102" t="str">
        <f>EV!L988</f>
        <v>EUMATT</v>
      </c>
      <c r="G778" s="108">
        <f>IF(H778="ALPHA",PR!$E776,IF(H778="ASSENE",PR!$F776,IF(H778="BIOFEM",PR!$G776,IF(H778="BIOMED",PR!$H776,IF(H778="CHI",PR!$I776,IF(H778="CLARION",PR!$J776,IF(H778="CODIX",PR!$K776,IF(H778="COSMADE",PR!$L776,IF(H778="SANCON",PR!$M776,IF(H778="DEVON",PR!$N776,IF(H778="DORTEMAG",PR!$O776,IF(H778="DGF",PR!$P776,IF(H778="DYNAMIC",PR!$Q776,IF(H778="EMZOR",PR!$R776,IF(H778="EUMATT",PR!$S776,IF(H778="FIDSON",PR!$T776,IF(H778="FCGLOBAL",PR!$U776,IF(H778="GENEITH",PR!$V776,IF(H778="GINOS",PR!$W776,IF(H778="GSK",PR!$X776,IF(H778="GLOBORG",PR!$Y776,IF(H778="GOODNEWS",PR!$Z776,IF(H778="GREENLIFE",PR!$AA776,IF(H778="HLINE",PR!$AB776,IF(H778="ROTECH",PR!$AC776,IF(H778="ISN",PR!$AD776,IF(H778="JAWA",PR!$AE776,IF(H778="LAYO",PR!$AF776,IF(H778="LEADWAY",PR!$AG776,IF(H778="LHV",PR!$AH776,IF(H778="MANOLA",PR!$AI776,IF(H778="MARCSON",PR!$AJ776,IF(H778="M&amp;B",PR!$AK776,IF(H778="MTRUST",PR!$AL776,IF(H778="MWORLD",PR!$AM776,IF(H778="MEGA",PR!$AN776,IF(H778="MICRONOVA",PR!$AO776,IF(H778="MFLASH",PR!$AP776,IF(H778="MORISON",PR!$AQ776,IF(H778="NEMEL",PR!$AR776,IF(H778="NHP",PR!$AS776,IF(H778="NHC",PR!$AT776,IF(H778="OLEAF",PR!$AU776,IF(H778="OCULUS",PR!$AV776,IF(H778="PACIFIC",PR!$AW776,IF(H778="PHAMATEX",PR!$AX776,IF(H778="PETHICS",PR!$AY776,IF(H778="PHILIPS",PR!$AZ776,IF(H778="RANBAXY",PR!$BA776,IF(H778="REALS",PR!$BB776,IF(H778="ROYAL",PR!$BC776,IF(H778="SAM",PR!$BD776,IF(H778="SEAGREEN",PR!$BE776,IF(H778="SKG",PR!$BF776,IF(H778="TAH",PR!$BG776,IF(H778="TAYLEK",PR!$BH776,IF(H778="TEMITA",PR!$BI776,IF(H778="THL",PR!$BJ776,IF(H778="UBASTIC",PR!$BK776,IF(H778="UNION",PR!$BL776,IF(H778="UNIQUE",PR!$BM776,IF(H778="VIXA",PR!$BN776,IF(H778="WWCV",PR!$BO776,IF(H778="ZOLON",PR!$BP776,"-"))))))))))))))))))))))))))))))))))))))))))))))))))))))))))))))))</f>
        <v>1000</v>
      </c>
      <c r="H778" s="102" t="str">
        <f>EV!M988</f>
        <v>SANCON</v>
      </c>
      <c r="I778" s="108">
        <f>IF(J778="ALPHA",PR!$E776,IF(J778="ASSENE",PR!$F776,IF(J778="BIOFEM",PR!$G776,IF(J778="BIOMED",PR!$H776,IF(J778="CHI",PR!$I776,IF(J778="CLARION",PR!$J776,IF(J778="CODIX",PR!$K776,IF(J778="COSMADE",PR!$L776,IF(J778="SANCON",PR!$M776,IF(J778="DEVON",PR!$N776,IF(J778="DORTEMAG",PR!$O776,IF(J778="DGF",PR!$P776,IF(J778="DYNAMIC",PR!$Q776,IF(J778="EMZOR",PR!$R776,IF(J778="EUMATT",PR!$S776,IF(J778="FIDSON",PR!$T776,IF(J778="FCGLOBAL",PR!$U776,IF(J778="GENEITH",PR!$V776,IF(J778="GINOS",PR!$W776,IF(J778="GSK",PR!$X776,IF(J778="GLOBORG",PR!$Y776,IF(J778="GOODNEWS",PR!$Z776,IF(J778="GREENLIFE",PR!$AA776,IF(J778="HLINE",PR!$AB776,IF(J778="ROTECH",PR!$AC776,IF(J778="ISN",PR!$AD776,IF(J778="JAWA",PR!$AE776,IF(J778="LAYO",PR!$AF776,IF(J778="LEADWAY",PR!$AG776,IF(J778="LHV",PR!$AH776,IF(J778="MANOLA",PR!$AI776,IF(J778="MARCSON",PR!$AJ776,IF(J778="M&amp;B",PR!$AK776,IF(J778="MTRUST",PR!$AL776,IF(J778="MWORLD",PR!$AM776,IF(J778="MEGA",PR!$AN776,IF(J778="MICRONOVA",PR!$AO776,IF(J778="MFLASH",PR!$AP776,IF(J778="MORISON",PR!$AQ776,IF(J778="NEMEL",PR!$AR776,IF(J778="NHP",PR!$AS776,IF(J778="NHC",PR!$AT776,IF(J778="OLEAF",PR!$AU776,IF(J778="OCULUS",PR!$AV776,IF(J778="PACIFIC",PR!$AW776,IF(J778="PHAMATEX",PR!$AX776,IF(J778="PETHICS",PR!$AY776,IF(J778="PHILIPS",PR!$AZ776,IF(J778="RANBAXY",PR!$BA776,IF(J778="REALS",PR!$BB776,IF(J778="ROYAL",PR!$BC776,IF(J778="SAM",PR!$BD776,IF(J778="SEAGREEN",PR!$BE776,IF(J778="SKG",PR!$BF776,IF(J778="TAH",PR!$BG776,IF(J778="TAYLEK",PR!$BH776,IF(J778="TEMITA",PR!$BI776,IF(J778="THL",PR!$BJ776,IF(J778="UBASTIC",PR!$BK776,IF(J778="UNION",PR!$BL776,IF(J778="UNIQUE",PR!$BM776,IF(J778="VIXA",PR!$BN776,IF(J778="WWCV",PR!$BO776,IF(J778="ZOLON",PR!$BP776,"-"))))))))))))))))))))))))))))))))))))))))))))))))))))))))))))))))</f>
        <v>1200</v>
      </c>
      <c r="J778" s="102" t="str">
        <f>EV!N988</f>
        <v>GINOS</v>
      </c>
      <c r="K778" s="433" t="s">
        <v>821</v>
      </c>
      <c r="L778" s="183">
        <f>IF(K778&gt;0,IF(K778="ALPHA",PR!$E776,IF(K778="ASSENE",PR!$F776,IF(K778="BIOFEM",PR!$G776,IF(K778="BIOMED",PR!$H776,IF(K778="CHI",PR!$I776,IF(K778="CLARION",PR!$J776,IF(K778="CODIX",PR!$K776,IF(K778="COSMADE",PR!$L776,IF(K778="SANCON",PR!$M776,IF(K778="DEVON",PR!$N776,IF(K778="DORTEMAG",PR!$O776,IF(K778="DGF",PR!$P776,IF(K778="DYNAMIC",PR!$Q776,IF(K778="EMZOR",PR!$R776,IF(K778="EUMATT",PR!$S776,IF(K778="FIDSON",PR!$T776,IF(K778="FCGLOBAL",PR!$U776,IF(K778="GENEITH",PR!$V776,IF(K778="GINOS",PR!$W776,IF(K778="GSK",PR!$X776,IF(K778="GLOBORG",PR!$Y776,IF(K778="GOODNEWS",PR!$Z776,IF(K778="GREENLIFE",PR!$AA776,IF(K778="HLINE",PR!$AB776,IF(K778="ROTECH",PR!$AC776,IF(K778="ISN",PR!$AD776,IF(K778="JAWA",PR!$AE776,IF(K778="LAYO",PR!$AF776,IF(K778="LEADWAY",PR!$AG776,IF(K778="LHV",PR!$AH776,IF(K778="MANOLA",PR!$AI776,IF(K778="MARCSON",PR!$AJ776,IF(K778="M&amp;B",PR!$AK776,IF(K778="MTRUST",PR!$AL776,IF(K778="MWORLD",PR!$AM776,IF(K778="MEGA",PR!$AN776,IF(K778="MICRONOVA",PR!$AO776,IF(K778="MFLASH",PR!$AP776,IF(K778="MORISON",PR!$AQ776,IF(K778="NEMEL",PR!$AR776,IF(K778="NHP",PR!$AS776,IF(K778="NHC",PR!$AT776,IF(K778="OLEAF",PR!$AU776,IF(K778="OCULUS",PR!$AV776,IF(K778="PACIFIC",PR!$AW776,IF(K778="PHAMATEX",PR!$AX776,IF(K778="PETHICS",PR!$AY776,IF(K778="PHILIPS",PR!$AZ776,IF(K778="RANBAXY",PR!$BA776,IF(K778="REALS",PR!$BB776,IF(K778="ROYAL",PR!$BC776,IF(K778="SAM",PR!$BD776,IF(K778="SEAGREEN",PR!$BE776,IF(K778="SKG",PR!$BF776,IF(K778="TAH",PR!$BG776,IF(K778="TAYLEK",PR!$BH776,IF(K778="TEMITA",PR!$BI776,IF(K778="THL",PR!$BJ776,IF(K778="UBASTIC",PR!$BK776,IF(K778="UNION",PR!$BL776,IF(K778="UNIQUE",PR!$BM776,IF(K778="VIXA",PR!$BN776,IF(K778="WWCV",PR!$BO776,IF(K778="ZOLON",PR!$BP776,"-")))))))))))))))))))))))))))))))))))))))))))))))))))))))))))))))))</f>
        <v>980</v>
      </c>
    </row>
    <row r="779" spans="1:12" ht="18.75" x14ac:dyDescent="0.3">
      <c r="A779" s="430">
        <f>PR!A777</f>
        <v>705</v>
      </c>
      <c r="B779" s="15" t="str">
        <f>PR!B777</f>
        <v>NYLON 2</v>
      </c>
      <c r="C779" s="113">
        <f>PR!D777</f>
        <v>12</v>
      </c>
      <c r="D779" s="113">
        <f>PR!C777</f>
        <v>10</v>
      </c>
      <c r="E779" s="108">
        <f>IF(F779="ALPHA",PR!$E777,IF(F779="ASSENE",PR!$F777,IF(F779="BIOFEM",PR!$G777,IF(F779="BIOMED",PR!$H777,IF(F779="CHI",PR!$I777,IF(F779="CLARION",PR!$J777,IF(F779="CODIX",PR!$K777,IF(F779="COSMADE",PR!$L777,IF(F779="SANCON",PR!$M777,IF(F779="DEVON",PR!$N777,IF(F779="DORTEMAG",PR!$O777,IF(F779="DGF",PR!$P777,IF(F779="DYNAMIC",PR!$Q777,IF(F779="EMZOR",PR!$R777,IF(F779="EUMATT",PR!$S777,IF(F779="FIDSON",PR!$T777,IF(F779="FCGLOBAL",PR!$U777,IF(F779="GENEITH",PR!$V777,IF(F779="GINOS",PR!$W777,IF(F779="GSK",PR!$X777,IF(F779="GLOBORG",PR!$Y777,IF(F779="GOODNEWS",PR!$Z777,IF(F779="GREENLIFE",PR!$AA777,IF(F779="HLINE",PR!$AB777,IF(F779="ROTECH",PR!$AC777,IF(F779="ISN",PR!$AD777,IF(F779="JAWA",PR!$AE777,IF(F779="LAYO",PR!$AF777,IF(F779="LEADWAY",PR!$AG777,IF(F779="LHV",PR!$AH777,IF(F779="MANOLA",PR!$AI777,IF(F779="MARCSON",PR!$AJ777,IF(F779="M&amp;B",PR!$AK777,IF(F779="MTRUST",PR!$AL777,IF(F779="MWORLD",PR!$AM777,IF(F779="MEGA",PR!$AN777,IF(F779="MICRONOVA",PR!$AO777,IF(F779="MFLASH",PR!$AP777,IF(F779="MORISON",PR!$AQ777,IF(F779="NEMEL",PR!$AR777,IF(F779="NHP",PR!$AS777,IF(F779="NHC",PR!$AT777,IF(F779="OLEAF",PR!$AU777,IF(F779="OCULUS",PR!$AV777,IF(F779="PACIFIC",PR!$AW777,IF(F779="PHAMATEX",PR!$AX777,IF(F779="PETHICS",PR!$AY777,IF(F779="PHILIPS",PR!$AZ777,IF(F779="RANBAXY",PR!$BA777,IF(F779="REALS",PR!$BB777,IF(F779="ROYAL",PR!$BC777,IF(F779="SAM",PR!$BD777,IF(F779="SEAGREEN",PR!$BE777,IF(F779="SKG",PR!$BF777,IF(F779="TAH",PR!$BG777,IF(F779="TAYLEK",PR!$BH777,IF(F779="TEMITA",PR!$BI777,IF(F779="THL",PR!$BJ777,IF(F779="UBASTIC",PR!$BK777,IF(F779="UNION",PR!$BL777,IF(F779="UNIQUE",PR!$BM777,IF(F779="VIXA",PR!$BN777,IF(F779="WWCV",PR!$BO777,IF(F779="ZOLON",PR!$BP777,"-"))))))))))))))))))))))))))))))))))))))))))))))))))))))))))))))))</f>
        <v>700</v>
      </c>
      <c r="F779" s="102" t="str">
        <f>EV!L989</f>
        <v>EUMATT</v>
      </c>
      <c r="G779" s="108">
        <f>IF(H779="ALPHA",PR!$E777,IF(H779="ASSENE",PR!$F777,IF(H779="BIOFEM",PR!$G777,IF(H779="BIOMED",PR!$H777,IF(H779="CHI",PR!$I777,IF(H779="CLARION",PR!$J777,IF(H779="CODIX",PR!$K777,IF(H779="COSMADE",PR!$L777,IF(H779="SANCON",PR!$M777,IF(H779="DEVON",PR!$N777,IF(H779="DORTEMAG",PR!$O777,IF(H779="DGF",PR!$P777,IF(H779="DYNAMIC",PR!$Q777,IF(H779="EMZOR",PR!$R777,IF(H779="EUMATT",PR!$S777,IF(H779="FIDSON",PR!$T777,IF(H779="FCGLOBAL",PR!$U777,IF(H779="GENEITH",PR!$V777,IF(H779="GINOS",PR!$W777,IF(H779="GSK",PR!$X777,IF(H779="GLOBORG",PR!$Y777,IF(H779="GOODNEWS",PR!$Z777,IF(H779="GREENLIFE",PR!$AA777,IF(H779="HLINE",PR!$AB777,IF(H779="ROTECH",PR!$AC777,IF(H779="ISN",PR!$AD777,IF(H779="JAWA",PR!$AE777,IF(H779="LAYO",PR!$AF777,IF(H779="LEADWAY",PR!$AG777,IF(H779="LHV",PR!$AH777,IF(H779="MANOLA",PR!$AI777,IF(H779="MARCSON",PR!$AJ777,IF(H779="M&amp;B",PR!$AK777,IF(H779="MTRUST",PR!$AL777,IF(H779="MWORLD",PR!$AM777,IF(H779="MEGA",PR!$AN777,IF(H779="MICRONOVA",PR!$AO777,IF(H779="MFLASH",PR!$AP777,IF(H779="MORISON",PR!$AQ777,IF(H779="NEMEL",PR!$AR777,IF(H779="NHP",PR!$AS777,IF(H779="NHC",PR!$AT777,IF(H779="OLEAF",PR!$AU777,IF(H779="OCULUS",PR!$AV777,IF(H779="PACIFIC",PR!$AW777,IF(H779="PHAMATEX",PR!$AX777,IF(H779="PETHICS",PR!$AY777,IF(H779="PHILIPS",PR!$AZ777,IF(H779="RANBAXY",PR!$BA777,IF(H779="REALS",PR!$BB777,IF(H779="ROYAL",PR!$BC777,IF(H779="SAM",PR!$BD777,IF(H779="SEAGREEN",PR!$BE777,IF(H779="SKG",PR!$BF777,IF(H779="TAH",PR!$BG777,IF(H779="TAYLEK",PR!$BH777,IF(H779="TEMITA",PR!$BI777,IF(H779="THL",PR!$BJ777,IF(H779="UBASTIC",PR!$BK777,IF(H779="UNION",PR!$BL777,IF(H779="UNIQUE",PR!$BM777,IF(H779="VIXA",PR!$BN777,IF(H779="WWCV",PR!$BO777,IF(H779="ZOLON",PR!$BP777,"-"))))))))))))))))))))))))))))))))))))))))))))))))))))))))))))))))</f>
        <v>800</v>
      </c>
      <c r="H779" s="102" t="str">
        <f>EV!M989</f>
        <v>SANCON</v>
      </c>
      <c r="I779" s="108">
        <f>IF(J779="ALPHA",PR!$E777,IF(J779="ASSENE",PR!$F777,IF(J779="BIOFEM",PR!$G777,IF(J779="BIOMED",PR!$H777,IF(J779="CHI",PR!$I777,IF(J779="CLARION",PR!$J777,IF(J779="CODIX",PR!$K777,IF(J779="COSMADE",PR!$L777,IF(J779="SANCON",PR!$M777,IF(J779="DEVON",PR!$N777,IF(J779="DORTEMAG",PR!$O777,IF(J779="DGF",PR!$P777,IF(J779="DYNAMIC",PR!$Q777,IF(J779="EMZOR",PR!$R777,IF(J779="EUMATT",PR!$S777,IF(J779="FIDSON",PR!$T777,IF(J779="FCGLOBAL",PR!$U777,IF(J779="GENEITH",PR!$V777,IF(J779="GINOS",PR!$W777,IF(J779="GSK",PR!$X777,IF(J779="GLOBORG",PR!$Y777,IF(J779="GOODNEWS",PR!$Z777,IF(J779="GREENLIFE",PR!$AA777,IF(J779="HLINE",PR!$AB777,IF(J779="ROTECH",PR!$AC777,IF(J779="ISN",PR!$AD777,IF(J779="JAWA",PR!$AE777,IF(J779="LAYO",PR!$AF777,IF(J779="LEADWAY",PR!$AG777,IF(J779="LHV",PR!$AH777,IF(J779="MANOLA",PR!$AI777,IF(J779="MARCSON",PR!$AJ777,IF(J779="M&amp;B",PR!$AK777,IF(J779="MTRUST",PR!$AL777,IF(J779="MWORLD",PR!$AM777,IF(J779="MEGA",PR!$AN777,IF(J779="MICRONOVA",PR!$AO777,IF(J779="MFLASH",PR!$AP777,IF(J779="MORISON",PR!$AQ777,IF(J779="NEMEL",PR!$AR777,IF(J779="NHP",PR!$AS777,IF(J779="NHC",PR!$AT777,IF(J779="OLEAF",PR!$AU777,IF(J779="OCULUS",PR!$AV777,IF(J779="PACIFIC",PR!$AW777,IF(J779="PHAMATEX",PR!$AX777,IF(J779="PETHICS",PR!$AY777,IF(J779="PHILIPS",PR!$AZ777,IF(J779="RANBAXY",PR!$BA777,IF(J779="REALS",PR!$BB777,IF(J779="ROYAL",PR!$BC777,IF(J779="SAM",PR!$BD777,IF(J779="SEAGREEN",PR!$BE777,IF(J779="SKG",PR!$BF777,IF(J779="TAH",PR!$BG777,IF(J779="TAYLEK",PR!$BH777,IF(J779="TEMITA",PR!$BI777,IF(J779="THL",PR!$BJ777,IF(J779="UBASTIC",PR!$BK777,IF(J779="UNION",PR!$BL777,IF(J779="UNIQUE",PR!$BM777,IF(J779="VIXA",PR!$BN777,IF(J779="WWCV",PR!$BO777,IF(J779="ZOLON",PR!$BP777,"-"))))))))))))))))))))))))))))))))))))))))))))))))))))))))))))))))</f>
        <v>800</v>
      </c>
      <c r="J779" s="102" t="str">
        <f>EV!N989</f>
        <v>COSMADE</v>
      </c>
      <c r="K779" s="433" t="s">
        <v>821</v>
      </c>
      <c r="L779" s="183">
        <f>IF(K779&gt;0,IF(K779="ALPHA",PR!$E777,IF(K779="ASSENE",PR!$F777,IF(K779="BIOFEM",PR!$G777,IF(K779="BIOMED",PR!$H777,IF(K779="CHI",PR!$I777,IF(K779="CLARION",PR!$J777,IF(K779="CODIX",PR!$K777,IF(K779="COSMADE",PR!$L777,IF(K779="SANCON",PR!$M777,IF(K779="DEVON",PR!$N777,IF(K779="DORTEMAG",PR!$O777,IF(K779="DGF",PR!$P777,IF(K779="DYNAMIC",PR!$Q777,IF(K779="EMZOR",PR!$R777,IF(K779="EUMATT",PR!$S777,IF(K779="FIDSON",PR!$T777,IF(K779="FCGLOBAL",PR!$U777,IF(K779="GENEITH",PR!$V777,IF(K779="GINOS",PR!$W777,IF(K779="GSK",PR!$X777,IF(K779="GLOBORG",PR!$Y777,IF(K779="GOODNEWS",PR!$Z777,IF(K779="GREENLIFE",PR!$AA777,IF(K779="HLINE",PR!$AB777,IF(K779="ROTECH",PR!$AC777,IF(K779="ISN",PR!$AD777,IF(K779="JAWA",PR!$AE777,IF(K779="LAYO",PR!$AF777,IF(K779="LEADWAY",PR!$AG777,IF(K779="LHV",PR!$AH777,IF(K779="MANOLA",PR!$AI777,IF(K779="MARCSON",PR!$AJ777,IF(K779="M&amp;B",PR!$AK777,IF(K779="MTRUST",PR!$AL777,IF(K779="MWORLD",PR!$AM777,IF(K779="MEGA",PR!$AN777,IF(K779="MICRONOVA",PR!$AO777,IF(K779="MFLASH",PR!$AP777,IF(K779="MORISON",PR!$AQ777,IF(K779="NEMEL",PR!$AR777,IF(K779="NHP",PR!$AS777,IF(K779="NHC",PR!$AT777,IF(K779="OLEAF",PR!$AU777,IF(K779="OCULUS",PR!$AV777,IF(K779="PACIFIC",PR!$AW777,IF(K779="PHAMATEX",PR!$AX777,IF(K779="PETHICS",PR!$AY777,IF(K779="PHILIPS",PR!$AZ777,IF(K779="RANBAXY",PR!$BA777,IF(K779="REALS",PR!$BB777,IF(K779="ROYAL",PR!$BC777,IF(K779="SAM",PR!$BD777,IF(K779="SEAGREEN",PR!$BE777,IF(K779="SKG",PR!$BF777,IF(K779="TAH",PR!$BG777,IF(K779="TAYLEK",PR!$BH777,IF(K779="TEMITA",PR!$BI777,IF(K779="THL",PR!$BJ777,IF(K779="UBASTIC",PR!$BK777,IF(K779="UNION",PR!$BL777,IF(K779="UNIQUE",PR!$BM777,IF(K779="VIXA",PR!$BN777,IF(K779="WWCV",PR!$BO777,IF(K779="ZOLON",PR!$BP777,"-")))))))))))))))))))))))))))))))))))))))))))))))))))))))))))))))))</f>
        <v>700</v>
      </c>
    </row>
    <row r="780" spans="1:12" ht="18.75" x14ac:dyDescent="0.3">
      <c r="A780" s="430">
        <f>PR!A778</f>
        <v>706</v>
      </c>
      <c r="B780" s="15" t="str">
        <f>PR!B778</f>
        <v>NYLON 2/0  (40-45) LONG NEEDLE</v>
      </c>
      <c r="C780" s="113">
        <f>PR!D778</f>
        <v>12</v>
      </c>
      <c r="D780" s="113">
        <f>PR!C778</f>
        <v>100</v>
      </c>
      <c r="E780" s="108">
        <f>IF(F780="ALPHA",PR!$E778,IF(F780="ASSENE",PR!$F778,IF(F780="BIOFEM",PR!$G778,IF(F780="BIOMED",PR!$H778,IF(F780="CHI",PR!$I778,IF(F780="CLARION",PR!$J778,IF(F780="CODIX",PR!$K778,IF(F780="COSMADE",PR!$L778,IF(F780="SANCON",PR!$M778,IF(F780="DEVON",PR!$N778,IF(F780="DORTEMAG",PR!$O778,IF(F780="DGF",PR!$P778,IF(F780="DYNAMIC",PR!$Q778,IF(F780="EMZOR",PR!$R778,IF(F780="EUMATT",PR!$S778,IF(F780="FIDSON",PR!$T778,IF(F780="FCGLOBAL",PR!$U778,IF(F780="GENEITH",PR!$V778,IF(F780="GINOS",PR!$W778,IF(F780="GSK",PR!$X778,IF(F780="GLOBORG",PR!$Y778,IF(F780="GOODNEWS",PR!$Z778,IF(F780="GREENLIFE",PR!$AA778,IF(F780="HLINE",PR!$AB778,IF(F780="ROTECH",PR!$AC778,IF(F780="ISN",PR!$AD778,IF(F780="JAWA",PR!$AE778,IF(F780="LAYO",PR!$AF778,IF(F780="LEADWAY",PR!$AG778,IF(F780="LHV",PR!$AH778,IF(F780="MANOLA",PR!$AI778,IF(F780="MARCSON",PR!$AJ778,IF(F780="M&amp;B",PR!$AK778,IF(F780="MTRUST",PR!$AL778,IF(F780="MWORLD",PR!$AM778,IF(F780="MEGA",PR!$AN778,IF(F780="MICRONOVA",PR!$AO778,IF(F780="MFLASH",PR!$AP778,IF(F780="MORISON",PR!$AQ778,IF(F780="NEMEL",PR!$AR778,IF(F780="NHP",PR!$AS778,IF(F780="NHC",PR!$AT778,IF(F780="OLEAF",PR!$AU778,IF(F780="OCULUS",PR!$AV778,IF(F780="PACIFIC",PR!$AW778,IF(F780="PHAMATEX",PR!$AX778,IF(F780="PETHICS",PR!$AY778,IF(F780="PHILIPS",PR!$AZ778,IF(F780="RANBAXY",PR!$BA778,IF(F780="REALS",PR!$BB778,IF(F780="ROYAL",PR!$BC778,IF(F780="SAM",PR!$BD778,IF(F780="SEAGREEN",PR!$BE778,IF(F780="SKG",PR!$BF778,IF(F780="TAH",PR!$BG778,IF(F780="TAYLEK",PR!$BH778,IF(F780="TEMITA",PR!$BI778,IF(F780="THL",PR!$BJ778,IF(F780="UBASTIC",PR!$BK778,IF(F780="UNION",PR!$BL778,IF(F780="UNIQUE",PR!$BM778,IF(F780="VIXA",PR!$BN778,IF(F780="WWCV",PR!$BO778,IF(F780="ZOLON",PR!$BP778,"-"))))))))))))))))))))))))))))))))))))))))))))))))))))))))))))))))</f>
        <v>700</v>
      </c>
      <c r="F780" s="102" t="str">
        <f>EV!L990</f>
        <v>SANCON</v>
      </c>
      <c r="G780" s="108">
        <f>IF(H780="ALPHA",PR!$E778,IF(H780="ASSENE",PR!$F778,IF(H780="BIOFEM",PR!$G778,IF(H780="BIOMED",PR!$H778,IF(H780="CHI",PR!$I778,IF(H780="CLARION",PR!$J778,IF(H780="CODIX",PR!$K778,IF(H780="COSMADE",PR!$L778,IF(H780="SANCON",PR!$M778,IF(H780="DEVON",PR!$N778,IF(H780="DORTEMAG",PR!$O778,IF(H780="DGF",PR!$P778,IF(H780="DYNAMIC",PR!$Q778,IF(H780="EMZOR",PR!$R778,IF(H780="EUMATT",PR!$S778,IF(H780="FIDSON",PR!$T778,IF(H780="FCGLOBAL",PR!$U778,IF(H780="GENEITH",PR!$V778,IF(H780="GINOS",PR!$W778,IF(H780="GSK",PR!$X778,IF(H780="GLOBORG",PR!$Y778,IF(H780="GOODNEWS",PR!$Z778,IF(H780="GREENLIFE",PR!$AA778,IF(H780="HLINE",PR!$AB778,IF(H780="ROTECH",PR!$AC778,IF(H780="ISN",PR!$AD778,IF(H780="JAWA",PR!$AE778,IF(H780="LAYO",PR!$AF778,IF(H780="LEADWAY",PR!$AG778,IF(H780="LHV",PR!$AH778,IF(H780="MANOLA",PR!$AI778,IF(H780="MARCSON",PR!$AJ778,IF(H780="M&amp;B",PR!$AK778,IF(H780="MTRUST",PR!$AL778,IF(H780="MWORLD",PR!$AM778,IF(H780="MEGA",PR!$AN778,IF(H780="MICRONOVA",PR!$AO778,IF(H780="MFLASH",PR!$AP778,IF(H780="MORISON",PR!$AQ778,IF(H780="NEMEL",PR!$AR778,IF(H780="NHP",PR!$AS778,IF(H780="NHC",PR!$AT778,IF(H780="OLEAF",PR!$AU778,IF(H780="OCULUS",PR!$AV778,IF(H780="PACIFIC",PR!$AW778,IF(H780="PHAMATEX",PR!$AX778,IF(H780="PETHICS",PR!$AY778,IF(H780="PHILIPS",PR!$AZ778,IF(H780="RANBAXY",PR!$BA778,IF(H780="REALS",PR!$BB778,IF(H780="ROYAL",PR!$BC778,IF(H780="SAM",PR!$BD778,IF(H780="SEAGREEN",PR!$BE778,IF(H780="SKG",PR!$BF778,IF(H780="TAH",PR!$BG778,IF(H780="TAYLEK",PR!$BH778,IF(H780="TEMITA",PR!$BI778,IF(H780="THL",PR!$BJ778,IF(H780="UBASTIC",PR!$BK778,IF(H780="UNION",PR!$BL778,IF(H780="UNIQUE",PR!$BM778,IF(H780="VIXA",PR!$BN778,IF(H780="WWCV",PR!$BO778,IF(H780="ZOLON",PR!$BP778,"-"))))))))))))))))))))))))))))))))))))))))))))))))))))))))))))))))</f>
        <v>700</v>
      </c>
      <c r="H780" s="102" t="str">
        <f>EV!M990</f>
        <v>EUMATT</v>
      </c>
      <c r="I780" s="108">
        <f>IF(J780="ALPHA",PR!$E778,IF(J780="ASSENE",PR!$F778,IF(J780="BIOFEM",PR!$G778,IF(J780="BIOMED",PR!$H778,IF(J780="CHI",PR!$I778,IF(J780="CLARION",PR!$J778,IF(J780="CODIX",PR!$K778,IF(J780="COSMADE",PR!$L778,IF(J780="SANCON",PR!$M778,IF(J780="DEVON",PR!$N778,IF(J780="DORTEMAG",PR!$O778,IF(J780="DGF",PR!$P778,IF(J780="DYNAMIC",PR!$Q778,IF(J780="EMZOR",PR!$R778,IF(J780="EUMATT",PR!$S778,IF(J780="FIDSON",PR!$T778,IF(J780="FCGLOBAL",PR!$U778,IF(J780="GENEITH",PR!$V778,IF(J780="GINOS",PR!$W778,IF(J780="GSK",PR!$X778,IF(J780="GLOBORG",PR!$Y778,IF(J780="GOODNEWS",PR!$Z778,IF(J780="GREENLIFE",PR!$AA778,IF(J780="HLINE",PR!$AB778,IF(J780="ROTECH",PR!$AC778,IF(J780="ISN",PR!$AD778,IF(J780="JAWA",PR!$AE778,IF(J780="LAYO",PR!$AF778,IF(J780="LEADWAY",PR!$AG778,IF(J780="LHV",PR!$AH778,IF(J780="MANOLA",PR!$AI778,IF(J780="MARCSON",PR!$AJ778,IF(J780="M&amp;B",PR!$AK778,IF(J780="MTRUST",PR!$AL778,IF(J780="MWORLD",PR!$AM778,IF(J780="MEGA",PR!$AN778,IF(J780="MICRONOVA",PR!$AO778,IF(J780="MFLASH",PR!$AP778,IF(J780="MORISON",PR!$AQ778,IF(J780="NEMEL",PR!$AR778,IF(J780="NHP",PR!$AS778,IF(J780="NHC",PR!$AT778,IF(J780="OLEAF",PR!$AU778,IF(J780="OCULUS",PR!$AV778,IF(J780="PACIFIC",PR!$AW778,IF(J780="PHAMATEX",PR!$AX778,IF(J780="PETHICS",PR!$AY778,IF(J780="PHILIPS",PR!$AZ778,IF(J780="RANBAXY",PR!$BA778,IF(J780="REALS",PR!$BB778,IF(J780="ROYAL",PR!$BC778,IF(J780="SAM",PR!$BD778,IF(J780="SEAGREEN",PR!$BE778,IF(J780="SKG",PR!$BF778,IF(J780="TAH",PR!$BG778,IF(J780="TAYLEK",PR!$BH778,IF(J780="TEMITA",PR!$BI778,IF(J780="THL",PR!$BJ778,IF(J780="UBASTIC",PR!$BK778,IF(J780="UNION",PR!$BL778,IF(J780="UNIQUE",PR!$BM778,IF(J780="VIXA",PR!$BN778,IF(J780="WWCV",PR!$BO778,IF(J780="ZOLON",PR!$BP778,"-"))))))))))))))))))))))))))))))))))))))))))))))))))))))))))))))))</f>
        <v>800</v>
      </c>
      <c r="J780" s="102" t="str">
        <f>EV!N990</f>
        <v>GINOS</v>
      </c>
      <c r="K780" s="433" t="s">
        <v>2154</v>
      </c>
      <c r="L780" s="183" t="str">
        <f>IF(K780&gt;0,IF(K780="ALPHA",PR!$E778,IF(K780="ASSENE",PR!$F778,IF(K780="BIOFEM",PR!$G778,IF(K780="BIOMED",PR!$H778,IF(K780="CHI",PR!$I778,IF(K780="CLARION",PR!$J778,IF(K780="CODIX",PR!$K778,IF(K780="COSMADE",PR!$L778,IF(K780="SANCON",PR!$M778,IF(K780="DEVON",PR!$N778,IF(K780="DORTEMAG",PR!$O778,IF(K780="DGF",PR!$P778,IF(K780="DYNAMIC",PR!$Q778,IF(K780="EMZOR",PR!$R778,IF(K780="EUMATT",PR!$S778,IF(K780="FIDSON",PR!$T778,IF(K780="FCGLOBAL",PR!$U778,IF(K780="GENEITH",PR!$V778,IF(K780="GINOS",PR!$W778,IF(K780="GSK",PR!$X778,IF(K780="GLOBORG",PR!$Y778,IF(K780="GOODNEWS",PR!$Z778,IF(K780="GREENLIFE",PR!$AA778,IF(K780="HLINE",PR!$AB778,IF(K780="ROTECH",PR!$AC778,IF(K780="ISN",PR!$AD778,IF(K780="JAWA",PR!$AE778,IF(K780="LAYO",PR!$AF778,IF(K780="LEADWAY",PR!$AG778,IF(K780="LHV",PR!$AH778,IF(K780="MANOLA",PR!$AI778,IF(K780="MARCSON",PR!$AJ778,IF(K780="M&amp;B",PR!$AK778,IF(K780="MTRUST",PR!$AL778,IF(K780="MWORLD",PR!$AM778,IF(K780="MEGA",PR!$AN778,IF(K780="MICRONOVA",PR!$AO778,IF(K780="MFLASH",PR!$AP778,IF(K780="MORISON",PR!$AQ778,IF(K780="NEMEL",PR!$AR778,IF(K780="NHP",PR!$AS778,IF(K780="NHC",PR!$AT778,IF(K780="OLEAF",PR!$AU778,IF(K780="OCULUS",PR!$AV778,IF(K780="PACIFIC",PR!$AW778,IF(K780="PHAMATEX",PR!$AX778,IF(K780="PETHICS",PR!$AY778,IF(K780="PHILIPS",PR!$AZ778,IF(K780="RANBAXY",PR!$BA778,IF(K780="REALS",PR!$BB778,IF(K780="ROYAL",PR!$BC778,IF(K780="SAM",PR!$BD778,IF(K780="SEAGREEN",PR!$BE778,IF(K780="SKG",PR!$BF778,IF(K780="TAH",PR!$BG778,IF(K780="TAYLEK",PR!$BH778,IF(K780="TEMITA",PR!$BI778,IF(K780="THL",PR!$BJ778,IF(K780="UBASTIC",PR!$BK778,IF(K780="UNION",PR!$BL778,IF(K780="UNIQUE",PR!$BM778,IF(K780="VIXA",PR!$BN778,IF(K780="WWCV",PR!$BO778,IF(K780="ZOLON",PR!$BP778,"-")))))))))))))))))))))))))))))))))))))))))))))))))))))))))))))))))</f>
        <v>-</v>
      </c>
    </row>
    <row r="781" spans="1:12" ht="18.75" x14ac:dyDescent="0.3">
      <c r="A781" s="430">
        <f>PR!A779</f>
        <v>707</v>
      </c>
      <c r="B781" s="15" t="str">
        <f>PR!B779</f>
        <v>PROLYENE</v>
      </c>
      <c r="C781" s="113">
        <f>PR!D779</f>
        <v>12</v>
      </c>
      <c r="D781" s="113">
        <f>PR!C779</f>
        <v>12</v>
      </c>
      <c r="E781" s="108">
        <f>IF(F781="ALPHA",PR!$E779,IF(F781="ASSENE",PR!$F779,IF(F781="BIOFEM",PR!$G779,IF(F781="BIOMED",PR!$H779,IF(F781="CHI",PR!$I779,IF(F781="CLARION",PR!$J779,IF(F781="CODIX",PR!$K779,IF(F781="COSMADE",PR!$L779,IF(F781="SANCON",PR!$M779,IF(F781="DEVON",PR!$N779,IF(F781="DORTEMAG",PR!$O779,IF(F781="DGF",PR!$P779,IF(F781="DYNAMIC",PR!$Q779,IF(F781="EMZOR",PR!$R779,IF(F781="EUMATT",PR!$S779,IF(F781="FIDSON",PR!$T779,IF(F781="FCGLOBAL",PR!$U779,IF(F781="GENEITH",PR!$V779,IF(F781="GINOS",PR!$W779,IF(F781="GSK",PR!$X779,IF(F781="GLOBORG",PR!$Y779,IF(F781="GOODNEWS",PR!$Z779,IF(F781="GREENLIFE",PR!$AA779,IF(F781="HLINE",PR!$AB779,IF(F781="ROTECH",PR!$AC779,IF(F781="ISN",PR!$AD779,IF(F781="JAWA",PR!$AE779,IF(F781="LAYO",PR!$AF779,IF(F781="LEADWAY",PR!$AG779,IF(F781="LHV",PR!$AH779,IF(F781="MANOLA",PR!$AI779,IF(F781="MARCSON",PR!$AJ779,IF(F781="M&amp;B",PR!$AK779,IF(F781="MTRUST",PR!$AL779,IF(F781="MWORLD",PR!$AM779,IF(F781="MEGA",PR!$AN779,IF(F781="MICRONOVA",PR!$AO779,IF(F781="MFLASH",PR!$AP779,IF(F781="MORISON",PR!$AQ779,IF(F781="NEMEL",PR!$AR779,IF(F781="NHP",PR!$AS779,IF(F781="NHC",PR!$AT779,IF(F781="OLEAF",PR!$AU779,IF(F781="OCULUS",PR!$AV779,IF(F781="PACIFIC",PR!$AW779,IF(F781="PHAMATEX",PR!$AX779,IF(F781="PETHICS",PR!$AY779,IF(F781="PHILIPS",PR!$AZ779,IF(F781="RANBAXY",PR!$BA779,IF(F781="REALS",PR!$BB779,IF(F781="ROYAL",PR!$BC779,IF(F781="SAM",PR!$BD779,IF(F781="SEAGREEN",PR!$BE779,IF(F781="SKG",PR!$BF779,IF(F781="TAH",PR!$BG779,IF(F781="TAYLEK",PR!$BH779,IF(F781="TEMITA",PR!$BI779,IF(F781="THL",PR!$BJ779,IF(F781="UBASTIC",PR!$BK779,IF(F781="UNION",PR!$BL779,IF(F781="UNIQUE",PR!$BM779,IF(F781="VIXA",PR!$BN779,IF(F781="WWCV",PR!$BO779,IF(F781="ZOLON",PR!$BP779,"-"))))))))))))))))))))))))))))))))))))))))))))))))))))))))))))))))</f>
        <v>5500</v>
      </c>
      <c r="F781" s="102" t="str">
        <f>EV!L991</f>
        <v>GINOS</v>
      </c>
      <c r="G781" s="108">
        <f>IF(H781="ALPHA",PR!$E779,IF(H781="ASSENE",PR!$F779,IF(H781="BIOFEM",PR!$G779,IF(H781="BIOMED",PR!$H779,IF(H781="CHI",PR!$I779,IF(H781="CLARION",PR!$J779,IF(H781="CODIX",PR!$K779,IF(H781="COSMADE",PR!$L779,IF(H781="SANCON",PR!$M779,IF(H781="DEVON",PR!$N779,IF(H781="DORTEMAG",PR!$O779,IF(H781="DGF",PR!$P779,IF(H781="DYNAMIC",PR!$Q779,IF(H781="EMZOR",PR!$R779,IF(H781="EUMATT",PR!$S779,IF(H781="FIDSON",PR!$T779,IF(H781="FCGLOBAL",PR!$U779,IF(H781="GENEITH",PR!$V779,IF(H781="GINOS",PR!$W779,IF(H781="GSK",PR!$X779,IF(H781="GLOBORG",PR!$Y779,IF(H781="GOODNEWS",PR!$Z779,IF(H781="GREENLIFE",PR!$AA779,IF(H781="HLINE",PR!$AB779,IF(H781="ROTECH",PR!$AC779,IF(H781="ISN",PR!$AD779,IF(H781="JAWA",PR!$AE779,IF(H781="LAYO",PR!$AF779,IF(H781="LEADWAY",PR!$AG779,IF(H781="LHV",PR!$AH779,IF(H781="MANOLA",PR!$AI779,IF(H781="MARCSON",PR!$AJ779,IF(H781="M&amp;B",PR!$AK779,IF(H781="MTRUST",PR!$AL779,IF(H781="MWORLD",PR!$AM779,IF(H781="MEGA",PR!$AN779,IF(H781="MICRONOVA",PR!$AO779,IF(H781="MFLASH",PR!$AP779,IF(H781="MORISON",PR!$AQ779,IF(H781="NEMEL",PR!$AR779,IF(H781="NHP",PR!$AS779,IF(H781="NHC",PR!$AT779,IF(H781="OLEAF",PR!$AU779,IF(H781="OCULUS",PR!$AV779,IF(H781="PACIFIC",PR!$AW779,IF(H781="PHAMATEX",PR!$AX779,IF(H781="PETHICS",PR!$AY779,IF(H781="PHILIPS",PR!$AZ779,IF(H781="RANBAXY",PR!$BA779,IF(H781="REALS",PR!$BB779,IF(H781="ROYAL",PR!$BC779,IF(H781="SAM",PR!$BD779,IF(H781="SEAGREEN",PR!$BE779,IF(H781="SKG",PR!$BF779,IF(H781="TAH",PR!$BG779,IF(H781="TAYLEK",PR!$BH779,IF(H781="TEMITA",PR!$BI779,IF(H781="THL",PR!$BJ779,IF(H781="UBASTIC",PR!$BK779,IF(H781="UNION",PR!$BL779,IF(H781="UNIQUE",PR!$BM779,IF(H781="VIXA",PR!$BN779,IF(H781="WWCV",PR!$BO779,IF(H781="ZOLON",PR!$BP779,"-"))))))))))))))))))))))))))))))))))))))))))))))))))))))))))))))))</f>
        <v>5500</v>
      </c>
      <c r="H781" s="102" t="str">
        <f>EV!M991</f>
        <v>EUMATT</v>
      </c>
      <c r="I781" s="108">
        <f>IF(J781="ALPHA",PR!$E779,IF(J781="ASSENE",PR!$F779,IF(J781="BIOFEM",PR!$G779,IF(J781="BIOMED",PR!$H779,IF(J781="CHI",PR!$I779,IF(J781="CLARION",PR!$J779,IF(J781="CODIX",PR!$K779,IF(J781="COSMADE",PR!$L779,IF(J781="SANCON",PR!$M779,IF(J781="DEVON",PR!$N779,IF(J781="DORTEMAG",PR!$O779,IF(J781="DGF",PR!$P779,IF(J781="DYNAMIC",PR!$Q779,IF(J781="EMZOR",PR!$R779,IF(J781="EUMATT",PR!$S779,IF(J781="FIDSON",PR!$T779,IF(J781="FCGLOBAL",PR!$U779,IF(J781="GENEITH",PR!$V779,IF(J781="GINOS",PR!$W779,IF(J781="GSK",PR!$X779,IF(J781="GLOBORG",PR!$Y779,IF(J781="GOODNEWS",PR!$Z779,IF(J781="GREENLIFE",PR!$AA779,IF(J781="HLINE",PR!$AB779,IF(J781="ROTECH",PR!$AC779,IF(J781="ISN",PR!$AD779,IF(J781="JAWA",PR!$AE779,IF(J781="LAYO",PR!$AF779,IF(J781="LEADWAY",PR!$AG779,IF(J781="LHV",PR!$AH779,IF(J781="MANOLA",PR!$AI779,IF(J781="MARCSON",PR!$AJ779,IF(J781="M&amp;B",PR!$AK779,IF(J781="MTRUST",PR!$AL779,IF(J781="MWORLD",PR!$AM779,IF(J781="MEGA",PR!$AN779,IF(J781="MICRONOVA",PR!$AO779,IF(J781="MFLASH",PR!$AP779,IF(J781="MORISON",PR!$AQ779,IF(J781="NEMEL",PR!$AR779,IF(J781="NHP",PR!$AS779,IF(J781="NHC",PR!$AT779,IF(J781="OLEAF",PR!$AU779,IF(J781="OCULUS",PR!$AV779,IF(J781="PACIFIC",PR!$AW779,IF(J781="PHAMATEX",PR!$AX779,IF(J781="PETHICS",PR!$AY779,IF(J781="PHILIPS",PR!$AZ779,IF(J781="RANBAXY",PR!$BA779,IF(J781="REALS",PR!$BB779,IF(J781="ROYAL",PR!$BC779,IF(J781="SAM",PR!$BD779,IF(J781="SEAGREEN",PR!$BE779,IF(J781="SKG",PR!$BF779,IF(J781="TAH",PR!$BG779,IF(J781="TAYLEK",PR!$BH779,IF(J781="TEMITA",PR!$BI779,IF(J781="THL",PR!$BJ779,IF(J781="UBASTIC",PR!$BK779,IF(J781="UNION",PR!$BL779,IF(J781="UNIQUE",PR!$BM779,IF(J781="VIXA",PR!$BN779,IF(J781="WWCV",PR!$BO779,IF(J781="ZOLON",PR!$BP779,"-"))))))))))))))))))))))))))))))))))))))))))))))))))))))))))))))))</f>
        <v>8000</v>
      </c>
      <c r="J781" s="102" t="str">
        <f>EV!N991</f>
        <v>COSMADE</v>
      </c>
      <c r="K781" s="433"/>
      <c r="L781" s="183" t="b">
        <f>IF(K781&gt;0,IF(K781="ALPHA",PR!$E779,IF(K781="ASSENE",PR!$F779,IF(K781="BIOFEM",PR!$G779,IF(K781="BIOMED",PR!$H779,IF(K781="CHI",PR!$I779,IF(K781="CLARION",PR!$J779,IF(K781="CODIX",PR!$K779,IF(K781="COSMADE",PR!$L779,IF(K781="SANCON",PR!$M779,IF(K781="DEVON",PR!$N779,IF(K781="DORTEMAG",PR!$O779,IF(K781="DGF",PR!$P779,IF(K781="DYNAMIC",PR!$Q779,IF(K781="EMZOR",PR!$R779,IF(K781="EUMATT",PR!$S779,IF(K781="FIDSON",PR!$T779,IF(K781="FCGLOBAL",PR!$U779,IF(K781="GENEITH",PR!$V779,IF(K781="GINOS",PR!$W779,IF(K781="GSK",PR!$X779,IF(K781="GLOBORG",PR!$Y779,IF(K781="GOODNEWS",PR!$Z779,IF(K781="GREENLIFE",PR!$AA779,IF(K781="HLINE",PR!$AB779,IF(K781="ROTECH",PR!$AC779,IF(K781="ISN",PR!$AD779,IF(K781="JAWA",PR!$AE779,IF(K781="LAYO",PR!$AF779,IF(K781="LEADWAY",PR!$AG779,IF(K781="LHV",PR!$AH779,IF(K781="MANOLA",PR!$AI779,IF(K781="MARCSON",PR!$AJ779,IF(K781="M&amp;B",PR!$AK779,IF(K781="MTRUST",PR!$AL779,IF(K781="MWORLD",PR!$AM779,IF(K781="MEGA",PR!$AN779,IF(K781="MICRONOVA",PR!$AO779,IF(K781="MFLASH",PR!$AP779,IF(K781="MORISON",PR!$AQ779,IF(K781="NEMEL",PR!$AR779,IF(K781="NHP",PR!$AS779,IF(K781="NHC",PR!$AT779,IF(K781="OLEAF",PR!$AU779,IF(K781="OCULUS",PR!$AV779,IF(K781="PACIFIC",PR!$AW779,IF(K781="PHAMATEX",PR!$AX779,IF(K781="PETHICS",PR!$AY779,IF(K781="PHILIPS",PR!$AZ779,IF(K781="RANBAXY",PR!$BA779,IF(K781="REALS",PR!$BB779,IF(K781="ROYAL",PR!$BC779,IF(K781="SAM",PR!$BD779,IF(K781="SEAGREEN",PR!$BE779,IF(K781="SKG",PR!$BF779,IF(K781="TAH",PR!$BG779,IF(K781="TAYLEK",PR!$BH779,IF(K781="TEMITA",PR!$BI779,IF(K781="THL",PR!$BJ779,IF(K781="UBASTIC",PR!$BK779,IF(K781="UNION",PR!$BL779,IF(K781="UNIQUE",PR!$BM779,IF(K781="VIXA",PR!$BN779,IF(K781="WWCV",PR!$BO779,IF(K781="ZOLON",PR!$BP779,"-")))))))))))))))))))))))))))))))))))))))))))))))))))))))))))))))))</f>
        <v>0</v>
      </c>
    </row>
    <row r="782" spans="1:12" ht="18.75" x14ac:dyDescent="0.3">
      <c r="A782" s="430">
        <f>PR!A780</f>
        <v>708</v>
      </c>
      <c r="B782" s="15" t="str">
        <f>PR!B780</f>
        <v>VICRYL 2/0</v>
      </c>
      <c r="C782" s="113">
        <f>PR!D780</f>
        <v>12</v>
      </c>
      <c r="D782" s="113">
        <f>PR!C780</f>
        <v>10</v>
      </c>
      <c r="E782" s="108">
        <f>IF(F782="ALPHA",PR!$E780,IF(F782="ASSENE",PR!$F780,IF(F782="BIOFEM",PR!$G780,IF(F782="BIOMED",PR!$H780,IF(F782="CHI",PR!$I780,IF(F782="CLARION",PR!$J780,IF(F782="CODIX",PR!$K780,IF(F782="COSMADE",PR!$L780,IF(F782="SANCON",PR!$M780,IF(F782="DEVON",PR!$N780,IF(F782="DORTEMAG",PR!$O780,IF(F782="DGF",PR!$P780,IF(F782="DYNAMIC",PR!$Q780,IF(F782="EMZOR",PR!$R780,IF(F782="EUMATT",PR!$S780,IF(F782="FIDSON",PR!$T780,IF(F782="FCGLOBAL",PR!$U780,IF(F782="GENEITH",PR!$V780,IF(F782="GINOS",PR!$W780,IF(F782="GSK",PR!$X780,IF(F782="GLOBORG",PR!$Y780,IF(F782="GOODNEWS",PR!$Z780,IF(F782="GREENLIFE",PR!$AA780,IF(F782="HLINE",PR!$AB780,IF(F782="ROTECH",PR!$AC780,IF(F782="ISN",PR!$AD780,IF(F782="JAWA",PR!$AE780,IF(F782="LAYO",PR!$AF780,IF(F782="LEADWAY",PR!$AG780,IF(F782="LHV",PR!$AH780,IF(F782="MANOLA",PR!$AI780,IF(F782="MARCSON",PR!$AJ780,IF(F782="M&amp;B",PR!$AK780,IF(F782="MTRUST",PR!$AL780,IF(F782="MWORLD",PR!$AM780,IF(F782="MEGA",PR!$AN780,IF(F782="MICRONOVA",PR!$AO780,IF(F782="MFLASH",PR!$AP780,IF(F782="MORISON",PR!$AQ780,IF(F782="NEMEL",PR!$AR780,IF(F782="NHP",PR!$AS780,IF(F782="NHC",PR!$AT780,IF(F782="OLEAF",PR!$AU780,IF(F782="OCULUS",PR!$AV780,IF(F782="PACIFIC",PR!$AW780,IF(F782="PHAMATEX",PR!$AX780,IF(F782="PETHICS",PR!$AY780,IF(F782="PHILIPS",PR!$AZ780,IF(F782="RANBAXY",PR!$BA780,IF(F782="REALS",PR!$BB780,IF(F782="ROYAL",PR!$BC780,IF(F782="SAM",PR!$BD780,IF(F782="SEAGREEN",PR!$BE780,IF(F782="SKG",PR!$BF780,IF(F782="TAH",PR!$BG780,IF(F782="TAYLEK",PR!$BH780,IF(F782="TEMITA",PR!$BI780,IF(F782="THL",PR!$BJ780,IF(F782="UBASTIC",PR!$BK780,IF(F782="UNION",PR!$BL780,IF(F782="UNIQUE",PR!$BM780,IF(F782="VIXA",PR!$BN780,IF(F782="WWCV",PR!$BO780,IF(F782="ZOLON",PR!$BP780,"-"))))))))))))))))))))))))))))))))))))))))))))))))))))))))))))))))</f>
        <v>4500</v>
      </c>
      <c r="F782" s="102" t="str">
        <f>EV!L992</f>
        <v>EUMATT</v>
      </c>
      <c r="G782" s="108">
        <f>IF(H782="ALPHA",PR!$E780,IF(H782="ASSENE",PR!$F780,IF(H782="BIOFEM",PR!$G780,IF(H782="BIOMED",PR!$H780,IF(H782="CHI",PR!$I780,IF(H782="CLARION",PR!$J780,IF(H782="CODIX",PR!$K780,IF(H782="COSMADE",PR!$L780,IF(H782="SANCON",PR!$M780,IF(H782="DEVON",PR!$N780,IF(H782="DORTEMAG",PR!$O780,IF(H782="DGF",PR!$P780,IF(H782="DYNAMIC",PR!$Q780,IF(H782="EMZOR",PR!$R780,IF(H782="EUMATT",PR!$S780,IF(H782="FIDSON",PR!$T780,IF(H782="FCGLOBAL",PR!$U780,IF(H782="GENEITH",PR!$V780,IF(H782="GINOS",PR!$W780,IF(H782="GSK",PR!$X780,IF(H782="GLOBORG",PR!$Y780,IF(H782="GOODNEWS",PR!$Z780,IF(H782="GREENLIFE",PR!$AA780,IF(H782="HLINE",PR!$AB780,IF(H782="ROTECH",PR!$AC780,IF(H782="ISN",PR!$AD780,IF(H782="JAWA",PR!$AE780,IF(H782="LAYO",PR!$AF780,IF(H782="LEADWAY",PR!$AG780,IF(H782="LHV",PR!$AH780,IF(H782="MANOLA",PR!$AI780,IF(H782="MARCSON",PR!$AJ780,IF(H782="M&amp;B",PR!$AK780,IF(H782="MTRUST",PR!$AL780,IF(H782="MWORLD",PR!$AM780,IF(H782="MEGA",PR!$AN780,IF(H782="MICRONOVA",PR!$AO780,IF(H782="MFLASH",PR!$AP780,IF(H782="MORISON",PR!$AQ780,IF(H782="NEMEL",PR!$AR780,IF(H782="NHP",PR!$AS780,IF(H782="NHC",PR!$AT780,IF(H782="OLEAF",PR!$AU780,IF(H782="OCULUS",PR!$AV780,IF(H782="PACIFIC",PR!$AW780,IF(H782="PHAMATEX",PR!$AX780,IF(H782="PETHICS",PR!$AY780,IF(H782="PHILIPS",PR!$AZ780,IF(H782="RANBAXY",PR!$BA780,IF(H782="REALS",PR!$BB780,IF(H782="ROYAL",PR!$BC780,IF(H782="SAM",PR!$BD780,IF(H782="SEAGREEN",PR!$BE780,IF(H782="SKG",PR!$BF780,IF(H782="TAH",PR!$BG780,IF(H782="TAYLEK",PR!$BH780,IF(H782="TEMITA",PR!$BI780,IF(H782="THL",PR!$BJ780,IF(H782="UBASTIC",PR!$BK780,IF(H782="UNION",PR!$BL780,IF(H782="UNIQUE",PR!$BM780,IF(H782="VIXA",PR!$BN780,IF(H782="WWCV",PR!$BO780,IF(H782="ZOLON",PR!$BP780,"-"))))))))))))))))))))))))))))))))))))))))))))))))))))))))))))))))</f>
        <v>6000</v>
      </c>
      <c r="H782" s="102" t="str">
        <f>EV!M992</f>
        <v>GINOS</v>
      </c>
      <c r="I782" s="108">
        <f>IF(J782="ALPHA",PR!$E780,IF(J782="ASSENE",PR!$F780,IF(J782="BIOFEM",PR!$G780,IF(J782="BIOMED",PR!$H780,IF(J782="CHI",PR!$I780,IF(J782="CLARION",PR!$J780,IF(J782="CODIX",PR!$K780,IF(J782="COSMADE",PR!$L780,IF(J782="SANCON",PR!$M780,IF(J782="DEVON",PR!$N780,IF(J782="DORTEMAG",PR!$O780,IF(J782="DGF",PR!$P780,IF(J782="DYNAMIC",PR!$Q780,IF(J782="EMZOR",PR!$R780,IF(J782="EUMATT",PR!$S780,IF(J782="FIDSON",PR!$T780,IF(J782="FCGLOBAL",PR!$U780,IF(J782="GENEITH",PR!$V780,IF(J782="GINOS",PR!$W780,IF(J782="GSK",PR!$X780,IF(J782="GLOBORG",PR!$Y780,IF(J782="GOODNEWS",PR!$Z780,IF(J782="GREENLIFE",PR!$AA780,IF(J782="HLINE",PR!$AB780,IF(J782="ROTECH",PR!$AC780,IF(J782="ISN",PR!$AD780,IF(J782="JAWA",PR!$AE780,IF(J782="LAYO",PR!$AF780,IF(J782="LEADWAY",PR!$AG780,IF(J782="LHV",PR!$AH780,IF(J782="MANOLA",PR!$AI780,IF(J782="MARCSON",PR!$AJ780,IF(J782="M&amp;B",PR!$AK780,IF(J782="MTRUST",PR!$AL780,IF(J782="MWORLD",PR!$AM780,IF(J782="MEGA",PR!$AN780,IF(J782="MICRONOVA",PR!$AO780,IF(J782="MFLASH",PR!$AP780,IF(J782="MORISON",PR!$AQ780,IF(J782="NEMEL",PR!$AR780,IF(J782="NHP",PR!$AS780,IF(J782="NHC",PR!$AT780,IF(J782="OLEAF",PR!$AU780,IF(J782="OCULUS",PR!$AV780,IF(J782="PACIFIC",PR!$AW780,IF(J782="PHAMATEX",PR!$AX780,IF(J782="PETHICS",PR!$AY780,IF(J782="PHILIPS",PR!$AZ780,IF(J782="RANBAXY",PR!$BA780,IF(J782="REALS",PR!$BB780,IF(J782="ROYAL",PR!$BC780,IF(J782="SAM",PR!$BD780,IF(J782="SEAGREEN",PR!$BE780,IF(J782="SKG",PR!$BF780,IF(J782="TAH",PR!$BG780,IF(J782="TAYLEK",PR!$BH780,IF(J782="TEMITA",PR!$BI780,IF(J782="THL",PR!$BJ780,IF(J782="UBASTIC",PR!$BK780,IF(J782="UNION",PR!$BL780,IF(J782="UNIQUE",PR!$BM780,IF(J782="VIXA",PR!$BN780,IF(J782="WWCV",PR!$BO780,IF(J782="ZOLON",PR!$BP780,"-"))))))))))))))))))))))))))))))))))))))))))))))))))))))))))))))))</f>
        <v>7500</v>
      </c>
      <c r="J782" s="102" t="str">
        <f>EV!N992</f>
        <v>COSMADE</v>
      </c>
      <c r="K782" s="433" t="s">
        <v>821</v>
      </c>
      <c r="L782" s="183">
        <f>IF(K782&gt;0,IF(K782="ALPHA",PR!$E780,IF(K782="ASSENE",PR!$F780,IF(K782="BIOFEM",PR!$G780,IF(K782="BIOMED",PR!$H780,IF(K782="CHI",PR!$I780,IF(K782="CLARION",PR!$J780,IF(K782="CODIX",PR!$K780,IF(K782="COSMADE",PR!$L780,IF(K782="SANCON",PR!$M780,IF(K782="DEVON",PR!$N780,IF(K782="DORTEMAG",PR!$O780,IF(K782="DGF",PR!$P780,IF(K782="DYNAMIC",PR!$Q780,IF(K782="EMZOR",PR!$R780,IF(K782="EUMATT",PR!$S780,IF(K782="FIDSON",PR!$T780,IF(K782="FCGLOBAL",PR!$U780,IF(K782="GENEITH",PR!$V780,IF(K782="GINOS",PR!$W780,IF(K782="GSK",PR!$X780,IF(K782="GLOBORG",PR!$Y780,IF(K782="GOODNEWS",PR!$Z780,IF(K782="GREENLIFE",PR!$AA780,IF(K782="HLINE",PR!$AB780,IF(K782="ROTECH",PR!$AC780,IF(K782="ISN",PR!$AD780,IF(K782="JAWA",PR!$AE780,IF(K782="LAYO",PR!$AF780,IF(K782="LEADWAY",PR!$AG780,IF(K782="LHV",PR!$AH780,IF(K782="MANOLA",PR!$AI780,IF(K782="MARCSON",PR!$AJ780,IF(K782="M&amp;B",PR!$AK780,IF(K782="MTRUST",PR!$AL780,IF(K782="MWORLD",PR!$AM780,IF(K782="MEGA",PR!$AN780,IF(K782="MICRONOVA",PR!$AO780,IF(K782="MFLASH",PR!$AP780,IF(K782="MORISON",PR!$AQ780,IF(K782="NEMEL",PR!$AR780,IF(K782="NHP",PR!$AS780,IF(K782="NHC",PR!$AT780,IF(K782="OLEAF",PR!$AU780,IF(K782="OCULUS",PR!$AV780,IF(K782="PACIFIC",PR!$AW780,IF(K782="PHAMATEX",PR!$AX780,IF(K782="PETHICS",PR!$AY780,IF(K782="PHILIPS",PR!$AZ780,IF(K782="RANBAXY",PR!$BA780,IF(K782="REALS",PR!$BB780,IF(K782="ROYAL",PR!$BC780,IF(K782="SAM",PR!$BD780,IF(K782="SEAGREEN",PR!$BE780,IF(K782="SKG",PR!$BF780,IF(K782="TAH",PR!$BG780,IF(K782="TAYLEK",PR!$BH780,IF(K782="TEMITA",PR!$BI780,IF(K782="THL",PR!$BJ780,IF(K782="UBASTIC",PR!$BK780,IF(K782="UNION",PR!$BL780,IF(K782="UNIQUE",PR!$BM780,IF(K782="VIXA",PR!$BN780,IF(K782="WWCV",PR!$BO780,IF(K782="ZOLON",PR!$BP780,"-")))))))))))))))))))))))))))))))))))))))))))))))))))))))))))))))))</f>
        <v>4500</v>
      </c>
    </row>
    <row r="783" spans="1:12" ht="18.75" x14ac:dyDescent="0.3">
      <c r="A783" s="430">
        <f>PR!A781</f>
        <v>0</v>
      </c>
      <c r="B783" s="15">
        <f>PR!B781</f>
        <v>0</v>
      </c>
      <c r="C783" s="113">
        <f>PR!D781</f>
        <v>0</v>
      </c>
      <c r="D783" s="113">
        <f>PR!C781</f>
        <v>0</v>
      </c>
      <c r="E783" s="108" t="str">
        <f>IF(F783="ALPHA",PR!$E781,IF(F783="ASSENE",PR!$F781,IF(F783="BIOFEM",PR!$G781,IF(F783="BIOMED",PR!$H781,IF(F783="CHI",PR!$I781,IF(F783="CLARION",PR!$J781,IF(F783="CODIX",PR!$K781,IF(F783="COSMADE",PR!$L781,IF(F783="SANCON",PR!$M781,IF(F783="DEVON",PR!$N781,IF(F783="DORTEMAG",PR!$O781,IF(F783="DGF",PR!$P781,IF(F783="DYNAMIC",PR!$Q781,IF(F783="EMZOR",PR!$R781,IF(F783="EUMATT",PR!$S781,IF(F783="FIDSON",PR!$T781,IF(F783="FCGLOBAL",PR!$U781,IF(F783="GENEITH",PR!$V781,IF(F783="GINOS",PR!$W781,IF(F783="GSK",PR!$X781,IF(F783="GLOBORG",PR!$Y781,IF(F783="GOODNEWS",PR!$Z781,IF(F783="GREENLIFE",PR!$AA781,IF(F783="HLINE",PR!$AB781,IF(F783="ROTECH",PR!$AC781,IF(F783="ISN",PR!$AD781,IF(F783="JAWA",PR!$AE781,IF(F783="LAYO",PR!$AF781,IF(F783="LEADWAY",PR!$AG781,IF(F783="LHV",PR!$AH781,IF(F783="MANOLA",PR!$AI781,IF(F783="MARCSON",PR!$AJ781,IF(F783="M&amp;B",PR!$AK781,IF(F783="MTRUST",PR!$AL781,IF(F783="MWORLD",PR!$AM781,IF(F783="MEGA",PR!$AN781,IF(F783="MICRONOVA",PR!$AO781,IF(F783="MFLASH",PR!$AP781,IF(F783="MORISON",PR!$AQ781,IF(F783="NEMEL",PR!$AR781,IF(F783="NHP",PR!$AS781,IF(F783="NHC",PR!$AT781,IF(F783="OLEAF",PR!$AU781,IF(F783="OCULUS",PR!$AV781,IF(F783="PACIFIC",PR!$AW781,IF(F783="PHAMATEX",PR!$AX781,IF(F783="PETHICS",PR!$AY781,IF(F783="PHILIPS",PR!$AZ781,IF(F783="RANBAXY",PR!$BA781,IF(F783="REALS",PR!$BB781,IF(F783="ROYAL",PR!$BC781,IF(F783="SAM",PR!$BD781,IF(F783="SEAGREEN",PR!$BE781,IF(F783="SKG",PR!$BF781,IF(F783="TAH",PR!$BG781,IF(F783="TAYLEK",PR!$BH781,IF(F783="TEMITA",PR!$BI781,IF(F783="THL",PR!$BJ781,IF(F783="UBASTIC",PR!$BK781,IF(F783="UNION",PR!$BL781,IF(F783="UNIQUE",PR!$BM781,IF(F783="VIXA",PR!$BN781,IF(F783="WWCV",PR!$BO781,IF(F783="ZOLON",PR!$BP781,"-"))))))))))))))))))))))))))))))))))))))))))))))))))))))))))))))))</f>
        <v>-</v>
      </c>
      <c r="F783" s="102"/>
      <c r="G783" s="108" t="str">
        <f>IF(H783="ALPHA",PR!$E781,IF(H783="ASSENE",PR!$F781,IF(H783="BIOFEM",PR!$G781,IF(H783="BIOMED",PR!$H781,IF(H783="CHI",PR!$I781,IF(H783="CLARION",PR!$J781,IF(H783="CODIX",PR!$K781,IF(H783="COSMADE",PR!$L781,IF(H783="SANCON",PR!$M781,IF(H783="DEVON",PR!$N781,IF(H783="DORTEMAG",PR!$O781,IF(H783="DGF",PR!$P781,IF(H783="DYNAMIC",PR!$Q781,IF(H783="EMZOR",PR!$R781,IF(H783="EUMATT",PR!$S781,IF(H783="FIDSON",PR!$T781,IF(H783="FCGLOBAL",PR!$U781,IF(H783="GENEITH",PR!$V781,IF(H783="GINOS",PR!$W781,IF(H783="GSK",PR!$X781,IF(H783="GLOBORG",PR!$Y781,IF(H783="GOODNEWS",PR!$Z781,IF(H783="GREENLIFE",PR!$AA781,IF(H783="HLINE",PR!$AB781,IF(H783="ROTECH",PR!$AC781,IF(H783="ISN",PR!$AD781,IF(H783="JAWA",PR!$AE781,IF(H783="LAYO",PR!$AF781,IF(H783="LEADWAY",PR!$AG781,IF(H783="LHV",PR!$AH781,IF(H783="MANOLA",PR!$AI781,IF(H783="MARCSON",PR!$AJ781,IF(H783="M&amp;B",PR!$AK781,IF(H783="MTRUST",PR!$AL781,IF(H783="MWORLD",PR!$AM781,IF(H783="MEGA",PR!$AN781,IF(H783="MICRONOVA",PR!$AO781,IF(H783="MFLASH",PR!$AP781,IF(H783="MORISON",PR!$AQ781,IF(H783="NEMEL",PR!$AR781,IF(H783="NHP",PR!$AS781,IF(H783="NHC",PR!$AT781,IF(H783="OLEAF",PR!$AU781,IF(H783="OCULUS",PR!$AV781,IF(H783="PACIFIC",PR!$AW781,IF(H783="PHAMATEX",PR!$AX781,IF(H783="PETHICS",PR!$AY781,IF(H783="PHILIPS",PR!$AZ781,IF(H783="RANBAXY",PR!$BA781,IF(H783="REALS",PR!$BB781,IF(H783="ROYAL",PR!$BC781,IF(H783="SAM",PR!$BD781,IF(H783="SEAGREEN",PR!$BE781,IF(H783="SKG",PR!$BF781,IF(H783="TAH",PR!$BG781,IF(H783="TAYLEK",PR!$BH781,IF(H783="TEMITA",PR!$BI781,IF(H783="THL",PR!$BJ781,IF(H783="UBASTIC",PR!$BK781,IF(H783="UNION",PR!$BL781,IF(H783="UNIQUE",PR!$BM781,IF(H783="VIXA",PR!$BN781,IF(H783="WWCV",PR!$BO781,IF(H783="ZOLON",PR!$BP781,"-"))))))))))))))))))))))))))))))))))))))))))))))))))))))))))))))))</f>
        <v>-</v>
      </c>
      <c r="H783" s="102"/>
      <c r="I783" s="108" t="str">
        <f>IF(J783="ALPHA",PR!$E781,IF(J783="ASSENE",PR!$F781,IF(J783="BIOFEM",PR!$G781,IF(J783="BIOMED",PR!$H781,IF(J783="CHI",PR!$I781,IF(J783="CLARION",PR!$J781,IF(J783="CODIX",PR!$K781,IF(J783="COSMADE",PR!$L781,IF(J783="SANCON",PR!$M781,IF(J783="DEVON",PR!$N781,IF(J783="DORTEMAG",PR!$O781,IF(J783="DGF",PR!$P781,IF(J783="DYNAMIC",PR!$Q781,IF(J783="EMZOR",PR!$R781,IF(J783="EUMATT",PR!$S781,IF(J783="FIDSON",PR!$T781,IF(J783="FCGLOBAL",PR!$U781,IF(J783="GENEITH",PR!$V781,IF(J783="GINOS",PR!$W781,IF(J783="GSK",PR!$X781,IF(J783="GLOBORG",PR!$Y781,IF(J783="GOODNEWS",PR!$Z781,IF(J783="GREENLIFE",PR!$AA781,IF(J783="HLINE",PR!$AB781,IF(J783="ROTECH",PR!$AC781,IF(J783="ISN",PR!$AD781,IF(J783="JAWA",PR!$AE781,IF(J783="LAYO",PR!$AF781,IF(J783="LEADWAY",PR!$AG781,IF(J783="LHV",PR!$AH781,IF(J783="MANOLA",PR!$AI781,IF(J783="MARCSON",PR!$AJ781,IF(J783="M&amp;B",PR!$AK781,IF(J783="MTRUST",PR!$AL781,IF(J783="MWORLD",PR!$AM781,IF(J783="MEGA",PR!$AN781,IF(J783="MICRONOVA",PR!$AO781,IF(J783="MFLASH",PR!$AP781,IF(J783="MORISON",PR!$AQ781,IF(J783="NEMEL",PR!$AR781,IF(J783="NHP",PR!$AS781,IF(J783="NHC",PR!$AT781,IF(J783="OLEAF",PR!$AU781,IF(J783="OCULUS",PR!$AV781,IF(J783="PACIFIC",PR!$AW781,IF(J783="PHAMATEX",PR!$AX781,IF(J783="PETHICS",PR!$AY781,IF(J783="PHILIPS",PR!$AZ781,IF(J783="RANBAXY",PR!$BA781,IF(J783="REALS",PR!$BB781,IF(J783="ROYAL",PR!$BC781,IF(J783="SAM",PR!$BD781,IF(J783="SEAGREEN",PR!$BE781,IF(J783="SKG",PR!$BF781,IF(J783="TAH",PR!$BG781,IF(J783="TAYLEK",PR!$BH781,IF(J783="TEMITA",PR!$BI781,IF(J783="THL",PR!$BJ781,IF(J783="UBASTIC",PR!$BK781,IF(J783="UNION",PR!$BL781,IF(J783="UNIQUE",PR!$BM781,IF(J783="VIXA",PR!$BN781,IF(J783="WWCV",PR!$BO781,IF(J783="ZOLON",PR!$BP781,"-"))))))))))))))))))))))))))))))))))))))))))))))))))))))))))))))))</f>
        <v>-</v>
      </c>
      <c r="J783" s="102"/>
      <c r="K783" s="433"/>
      <c r="L783" s="183" t="b">
        <f>IF(K783&gt;0,IF(K783="ALPHA",PR!$E781,IF(K783="ASSENE",PR!$F781,IF(K783="BIOFEM",PR!$G781,IF(K783="BIOMED",PR!$H781,IF(K783="CHI",PR!$I781,IF(K783="CLARION",PR!$J781,IF(K783="CODIX",PR!$K781,IF(K783="COSMADE",PR!$L781,IF(K783="SANCON",PR!$M781,IF(K783="DEVON",PR!$N781,IF(K783="DORTEMAG",PR!$O781,IF(K783="DGF",PR!$P781,IF(K783="DYNAMIC",PR!$Q781,IF(K783="EMZOR",PR!$R781,IF(K783="EUMATT",PR!$S781,IF(K783="FIDSON",PR!$T781,IF(K783="FCGLOBAL",PR!$U781,IF(K783="GENEITH",PR!$V781,IF(K783="GINOS",PR!$W781,IF(K783="GSK",PR!$X781,IF(K783="GLOBORG",PR!$Y781,IF(K783="GOODNEWS",PR!$Z781,IF(K783="GREENLIFE",PR!$AA781,IF(K783="HLINE",PR!$AB781,IF(K783="ROTECH",PR!$AC781,IF(K783="ISN",PR!$AD781,IF(K783="JAWA",PR!$AE781,IF(K783="LAYO",PR!$AF781,IF(K783="LEADWAY",PR!$AG781,IF(K783="LHV",PR!$AH781,IF(K783="MANOLA",PR!$AI781,IF(K783="MARCSON",PR!$AJ781,IF(K783="M&amp;B",PR!$AK781,IF(K783="MTRUST",PR!$AL781,IF(K783="MWORLD",PR!$AM781,IF(K783="MEGA",PR!$AN781,IF(K783="MICRONOVA",PR!$AO781,IF(K783="MFLASH",PR!$AP781,IF(K783="MORISON",PR!$AQ781,IF(K783="NEMEL",PR!$AR781,IF(K783="NHP",PR!$AS781,IF(K783="NHC",PR!$AT781,IF(K783="OLEAF",PR!$AU781,IF(K783="OCULUS",PR!$AV781,IF(K783="PACIFIC",PR!$AW781,IF(K783="PHAMATEX",PR!$AX781,IF(K783="PETHICS",PR!$AY781,IF(K783="PHILIPS",PR!$AZ781,IF(K783="RANBAXY",PR!$BA781,IF(K783="REALS",PR!$BB781,IF(K783="ROYAL",PR!$BC781,IF(K783="SAM",PR!$BD781,IF(K783="SEAGREEN",PR!$BE781,IF(K783="SKG",PR!$BF781,IF(K783="TAH",PR!$BG781,IF(K783="TAYLEK",PR!$BH781,IF(K783="TEMITA",PR!$BI781,IF(K783="THL",PR!$BJ781,IF(K783="UBASTIC",PR!$BK781,IF(K783="UNION",PR!$BL781,IF(K783="UNIQUE",PR!$BM781,IF(K783="VIXA",PR!$BN781,IF(K783="WWCV",PR!$BO781,IF(K783="ZOLON",PR!$BP781,"-")))))))))))))))))))))))))))))))))))))))))))))))))))))))))))))))))</f>
        <v>0</v>
      </c>
    </row>
    <row r="784" spans="1:12" ht="18.75" x14ac:dyDescent="0.3">
      <c r="A784" s="430">
        <f>PR!A782</f>
        <v>0</v>
      </c>
      <c r="B784" s="15">
        <f>PR!B782</f>
        <v>0</v>
      </c>
      <c r="C784" s="113">
        <f>PR!D782</f>
        <v>0</v>
      </c>
      <c r="D784" s="113">
        <f>PR!C782</f>
        <v>0</v>
      </c>
      <c r="E784" s="108" t="str">
        <f>IF(F784="ALPHA",PR!$E782,IF(F784="ASSENE",PR!$F782,IF(F784="BIOFEM",PR!$G782,IF(F784="BIOMED",PR!$H782,IF(F784="CHI",PR!$I782,IF(F784="CLARION",PR!$J782,IF(F784="CODIX",PR!$K782,IF(F784="COSMADE",PR!$L782,IF(F784="SANCON",PR!$M782,IF(F784="DEVON",PR!$N782,IF(F784="DORTEMAG",PR!$O782,IF(F784="DGF",PR!$P782,IF(F784="DYNAMIC",PR!$Q782,IF(F784="EMZOR",PR!$R782,IF(F784="EUMATT",PR!$S782,IF(F784="FIDSON",PR!$T782,IF(F784="FCGLOBAL",PR!$U782,IF(F784="GENEITH",PR!$V782,IF(F784="GINOS",PR!$W782,IF(F784="GSK",PR!$X782,IF(F784="GLOBORG",PR!$Y782,IF(F784="GOODNEWS",PR!$Z782,IF(F784="GREENLIFE",PR!$AA782,IF(F784="HLINE",PR!$AB782,IF(F784="ROTECH",PR!$AC782,IF(F784="ISN",PR!$AD782,IF(F784="JAWA",PR!$AE782,IF(F784="LAYO",PR!$AF782,IF(F784="LEADWAY",PR!$AG782,IF(F784="LHV",PR!$AH782,IF(F784="MANOLA",PR!$AI782,IF(F784="MARCSON",PR!$AJ782,IF(F784="M&amp;B",PR!$AK782,IF(F784="MTRUST",PR!$AL782,IF(F784="MWORLD",PR!$AM782,IF(F784="MEGA",PR!$AN782,IF(F784="MICRONOVA",PR!$AO782,IF(F784="MFLASH",PR!$AP782,IF(F784="MORISON",PR!$AQ782,IF(F784="NEMEL",PR!$AR782,IF(F784="NHP",PR!$AS782,IF(F784="NHC",PR!$AT782,IF(F784="OLEAF",PR!$AU782,IF(F784="OCULUS",PR!$AV782,IF(F784="PACIFIC",PR!$AW782,IF(F784="PHAMATEX",PR!$AX782,IF(F784="PETHICS",PR!$AY782,IF(F784="PHILIPS",PR!$AZ782,IF(F784="RANBAXY",PR!$BA782,IF(F784="REALS",PR!$BB782,IF(F784="ROYAL",PR!$BC782,IF(F784="SAM",PR!$BD782,IF(F784="SEAGREEN",PR!$BE782,IF(F784="SKG",PR!$BF782,IF(F784="TAH",PR!$BG782,IF(F784="TAYLEK",PR!$BH782,IF(F784="TEMITA",PR!$BI782,IF(F784="THL",PR!$BJ782,IF(F784="UBASTIC",PR!$BK782,IF(F784="UNION",PR!$BL782,IF(F784="UNIQUE",PR!$BM782,IF(F784="VIXA",PR!$BN782,IF(F784="WWCV",PR!$BO782,IF(F784="ZOLON",PR!$BP782,"-"))))))))))))))))))))))))))))))))))))))))))))))))))))))))))))))))</f>
        <v>-</v>
      </c>
      <c r="F784" s="102"/>
      <c r="G784" s="108" t="str">
        <f>IF(H784="ALPHA",PR!$E782,IF(H784="ASSENE",PR!$F782,IF(H784="BIOFEM",PR!$G782,IF(H784="BIOMED",PR!$H782,IF(H784="CHI",PR!$I782,IF(H784="CLARION",PR!$J782,IF(H784="CODIX",PR!$K782,IF(H784="COSMADE",PR!$L782,IF(H784="SANCON",PR!$M782,IF(H784="DEVON",PR!$N782,IF(H784="DORTEMAG",PR!$O782,IF(H784="DGF",PR!$P782,IF(H784="DYNAMIC",PR!$Q782,IF(H784="EMZOR",PR!$R782,IF(H784="EUMATT",PR!$S782,IF(H784="FIDSON",PR!$T782,IF(H784="FCGLOBAL",PR!$U782,IF(H784="GENEITH",PR!$V782,IF(H784="GINOS",PR!$W782,IF(H784="GSK",PR!$X782,IF(H784="GLOBORG",PR!$Y782,IF(H784="GOODNEWS",PR!$Z782,IF(H784="GREENLIFE",PR!$AA782,IF(H784="HLINE",PR!$AB782,IF(H784="ROTECH",PR!$AC782,IF(H784="ISN",PR!$AD782,IF(H784="JAWA",PR!$AE782,IF(H784="LAYO",PR!$AF782,IF(H784="LEADWAY",PR!$AG782,IF(H784="LHV",PR!$AH782,IF(H784="MANOLA",PR!$AI782,IF(H784="MARCSON",PR!$AJ782,IF(H784="M&amp;B",PR!$AK782,IF(H784="MTRUST",PR!$AL782,IF(H784="MWORLD",PR!$AM782,IF(H784="MEGA",PR!$AN782,IF(H784="MICRONOVA",PR!$AO782,IF(H784="MFLASH",PR!$AP782,IF(H784="MORISON",PR!$AQ782,IF(H784="NEMEL",PR!$AR782,IF(H784="NHP",PR!$AS782,IF(H784="NHC",PR!$AT782,IF(H784="OLEAF",PR!$AU782,IF(H784="OCULUS",PR!$AV782,IF(H784="PACIFIC",PR!$AW782,IF(H784="PHAMATEX",PR!$AX782,IF(H784="PETHICS",PR!$AY782,IF(H784="PHILIPS",PR!$AZ782,IF(H784="RANBAXY",PR!$BA782,IF(H784="REALS",PR!$BB782,IF(H784="ROYAL",PR!$BC782,IF(H784="SAM",PR!$BD782,IF(H784="SEAGREEN",PR!$BE782,IF(H784="SKG",PR!$BF782,IF(H784="TAH",PR!$BG782,IF(H784="TAYLEK",PR!$BH782,IF(H784="TEMITA",PR!$BI782,IF(H784="THL",PR!$BJ782,IF(H784="UBASTIC",PR!$BK782,IF(H784="UNION",PR!$BL782,IF(H784="UNIQUE",PR!$BM782,IF(H784="VIXA",PR!$BN782,IF(H784="WWCV",PR!$BO782,IF(H784="ZOLON",PR!$BP782,"-"))))))))))))))))))))))))))))))))))))))))))))))))))))))))))))))))</f>
        <v>-</v>
      </c>
      <c r="H784" s="102"/>
      <c r="I784" s="108" t="str">
        <f>IF(J784="ALPHA",PR!$E782,IF(J784="ASSENE",PR!$F782,IF(J784="BIOFEM",PR!$G782,IF(J784="BIOMED",PR!$H782,IF(J784="CHI",PR!$I782,IF(J784="CLARION",PR!$J782,IF(J784="CODIX",PR!$K782,IF(J784="COSMADE",PR!$L782,IF(J784="SANCON",PR!$M782,IF(J784="DEVON",PR!$N782,IF(J784="DORTEMAG",PR!$O782,IF(J784="DGF",PR!$P782,IF(J784="DYNAMIC",PR!$Q782,IF(J784="EMZOR",PR!$R782,IF(J784="EUMATT",PR!$S782,IF(J784="FIDSON",PR!$T782,IF(J784="FCGLOBAL",PR!$U782,IF(J784="GENEITH",PR!$V782,IF(J784="GINOS",PR!$W782,IF(J784="GSK",PR!$X782,IF(J784="GLOBORG",PR!$Y782,IF(J784="GOODNEWS",PR!$Z782,IF(J784="GREENLIFE",PR!$AA782,IF(J784="HLINE",PR!$AB782,IF(J784="ROTECH",PR!$AC782,IF(J784="ISN",PR!$AD782,IF(J784="JAWA",PR!$AE782,IF(J784="LAYO",PR!$AF782,IF(J784="LEADWAY",PR!$AG782,IF(J784="LHV",PR!$AH782,IF(J784="MANOLA",PR!$AI782,IF(J784="MARCSON",PR!$AJ782,IF(J784="M&amp;B",PR!$AK782,IF(J784="MTRUST",PR!$AL782,IF(J784="MWORLD",PR!$AM782,IF(J784="MEGA",PR!$AN782,IF(J784="MICRONOVA",PR!$AO782,IF(J784="MFLASH",PR!$AP782,IF(J784="MORISON",PR!$AQ782,IF(J784="NEMEL",PR!$AR782,IF(J784="NHP",PR!$AS782,IF(J784="NHC",PR!$AT782,IF(J784="OLEAF",PR!$AU782,IF(J784="OCULUS",PR!$AV782,IF(J784="PACIFIC",PR!$AW782,IF(J784="PHAMATEX",PR!$AX782,IF(J784="PETHICS",PR!$AY782,IF(J784="PHILIPS",PR!$AZ782,IF(J784="RANBAXY",PR!$BA782,IF(J784="REALS",PR!$BB782,IF(J784="ROYAL",PR!$BC782,IF(J784="SAM",PR!$BD782,IF(J784="SEAGREEN",PR!$BE782,IF(J784="SKG",PR!$BF782,IF(J784="TAH",PR!$BG782,IF(J784="TAYLEK",PR!$BH782,IF(J784="TEMITA",PR!$BI782,IF(J784="THL",PR!$BJ782,IF(J784="UBASTIC",PR!$BK782,IF(J784="UNION",PR!$BL782,IF(J784="UNIQUE",PR!$BM782,IF(J784="VIXA",PR!$BN782,IF(J784="WWCV",PR!$BO782,IF(J784="ZOLON",PR!$BP782,"-"))))))))))))))))))))))))))))))))))))))))))))))))))))))))))))))))</f>
        <v>-</v>
      </c>
      <c r="J784" s="102"/>
      <c r="K784" s="433"/>
      <c r="L784" s="183" t="b">
        <f>IF(K784&gt;0,IF(K784="ALPHA",PR!$E782,IF(K784="ASSENE",PR!$F782,IF(K784="BIOFEM",PR!$G782,IF(K784="BIOMED",PR!$H782,IF(K784="CHI",PR!$I782,IF(K784="CLARION",PR!$J782,IF(K784="CODIX",PR!$K782,IF(K784="COSMADE",PR!$L782,IF(K784="SANCON",PR!$M782,IF(K784="DEVON",PR!$N782,IF(K784="DORTEMAG",PR!$O782,IF(K784="DGF",PR!$P782,IF(K784="DYNAMIC",PR!$Q782,IF(K784="EMZOR",PR!$R782,IF(K784="EUMATT",PR!$S782,IF(K784="FIDSON",PR!$T782,IF(K784="FCGLOBAL",PR!$U782,IF(K784="GENEITH",PR!$V782,IF(K784="GINOS",PR!$W782,IF(K784="GSK",PR!$X782,IF(K784="GLOBORG",PR!$Y782,IF(K784="GOODNEWS",PR!$Z782,IF(K784="GREENLIFE",PR!$AA782,IF(K784="HLINE",PR!$AB782,IF(K784="ROTECH",PR!$AC782,IF(K784="ISN",PR!$AD782,IF(K784="JAWA",PR!$AE782,IF(K784="LAYO",PR!$AF782,IF(K784="LEADWAY",PR!$AG782,IF(K784="LHV",PR!$AH782,IF(K784="MANOLA",PR!$AI782,IF(K784="MARCSON",PR!$AJ782,IF(K784="M&amp;B",PR!$AK782,IF(K784="MTRUST",PR!$AL782,IF(K784="MWORLD",PR!$AM782,IF(K784="MEGA",PR!$AN782,IF(K784="MICRONOVA",PR!$AO782,IF(K784="MFLASH",PR!$AP782,IF(K784="MORISON",PR!$AQ782,IF(K784="NEMEL",PR!$AR782,IF(K784="NHP",PR!$AS782,IF(K784="NHC",PR!$AT782,IF(K784="OLEAF",PR!$AU782,IF(K784="OCULUS",PR!$AV782,IF(K784="PACIFIC",PR!$AW782,IF(K784="PHAMATEX",PR!$AX782,IF(K784="PETHICS",PR!$AY782,IF(K784="PHILIPS",PR!$AZ782,IF(K784="RANBAXY",PR!$BA782,IF(K784="REALS",PR!$BB782,IF(K784="ROYAL",PR!$BC782,IF(K784="SAM",PR!$BD782,IF(K784="SEAGREEN",PR!$BE782,IF(K784="SKG",PR!$BF782,IF(K784="TAH",PR!$BG782,IF(K784="TAYLEK",PR!$BH782,IF(K784="TEMITA",PR!$BI782,IF(K784="THL",PR!$BJ782,IF(K784="UBASTIC",PR!$BK782,IF(K784="UNION",PR!$BL782,IF(K784="UNIQUE",PR!$BM782,IF(K784="VIXA",PR!$BN782,IF(K784="WWCV",PR!$BO782,IF(K784="ZOLON",PR!$BP782,"-")))))))))))))))))))))))))))))))))))))))))))))))))))))))))))))))))</f>
        <v>0</v>
      </c>
    </row>
    <row r="785" spans="1:12" ht="18.75" x14ac:dyDescent="0.3">
      <c r="A785" s="430">
        <f>PR!A783</f>
        <v>0</v>
      </c>
      <c r="B785" s="15">
        <f>PR!B783</f>
        <v>0</v>
      </c>
      <c r="C785" s="113">
        <f>PR!D783</f>
        <v>0</v>
      </c>
      <c r="D785" s="113">
        <f>PR!C783</f>
        <v>0</v>
      </c>
      <c r="E785" s="108" t="str">
        <f>IF(F785="ALPHA",PR!$E783,IF(F785="ASSENE",PR!$F783,IF(F785="BIOFEM",PR!$G783,IF(F785="BIOMED",PR!$H783,IF(F785="CHI",PR!$I783,IF(F785="CLARION",PR!$J783,IF(F785="CODIX",PR!$K783,IF(F785="COSMADE",PR!$L783,IF(F785="SANCON",PR!$M783,IF(F785="DEVON",PR!$N783,IF(F785="DORTEMAG",PR!$O783,IF(F785="DGF",PR!$P783,IF(F785="DYNAMIC",PR!$Q783,IF(F785="EMZOR",PR!$R783,IF(F785="EUMATT",PR!$S783,IF(F785="FIDSON",PR!$T783,IF(F785="FCGLOBAL",PR!$U783,IF(F785="GENEITH",PR!$V783,IF(F785="GINOS",PR!$W783,IF(F785="GSK",PR!$X783,IF(F785="GLOBORG",PR!$Y783,IF(F785="GOODNEWS",PR!$Z783,IF(F785="GREENLIFE",PR!$AA783,IF(F785="HLINE",PR!$AB783,IF(F785="ROTECH",PR!$AC783,IF(F785="ISN",PR!$AD783,IF(F785="JAWA",PR!$AE783,IF(F785="LAYO",PR!$AF783,IF(F785="LEADWAY",PR!$AG783,IF(F785="LHV",PR!$AH783,IF(F785="MANOLA",PR!$AI783,IF(F785="MARCSON",PR!$AJ783,IF(F785="M&amp;B",PR!$AK783,IF(F785="MTRUST",PR!$AL783,IF(F785="MWORLD",PR!$AM783,IF(F785="MEGA",PR!$AN783,IF(F785="MICRONOVA",PR!$AO783,IF(F785="MFLASH",PR!$AP783,IF(F785="MORISON",PR!$AQ783,IF(F785="NEMEL",PR!$AR783,IF(F785="NHP",PR!$AS783,IF(F785="NHC",PR!$AT783,IF(F785="OLEAF",PR!$AU783,IF(F785="OCULUS",PR!$AV783,IF(F785="PACIFIC",PR!$AW783,IF(F785="PHAMATEX",PR!$AX783,IF(F785="PETHICS",PR!$AY783,IF(F785="PHILIPS",PR!$AZ783,IF(F785="RANBAXY",PR!$BA783,IF(F785="REALS",PR!$BB783,IF(F785="ROYAL",PR!$BC783,IF(F785="SAM",PR!$BD783,IF(F785="SEAGREEN",PR!$BE783,IF(F785="SKG",PR!$BF783,IF(F785="TAH",PR!$BG783,IF(F785="TAYLEK",PR!$BH783,IF(F785="TEMITA",PR!$BI783,IF(F785="THL",PR!$BJ783,IF(F785="UBASTIC",PR!$BK783,IF(F785="UNION",PR!$BL783,IF(F785="UNIQUE",PR!$BM783,IF(F785="VIXA",PR!$BN783,IF(F785="WWCV",PR!$BO783,IF(F785="ZOLON",PR!$BP783,"-"))))))))))))))))))))))))))))))))))))))))))))))))))))))))))))))))</f>
        <v>-</v>
      </c>
      <c r="F785" s="102"/>
      <c r="G785" s="108" t="str">
        <f>IF(H785="ALPHA",PR!$E783,IF(H785="ASSENE",PR!$F783,IF(H785="BIOFEM",PR!$G783,IF(H785="BIOMED",PR!$H783,IF(H785="CHI",PR!$I783,IF(H785="CLARION",PR!$J783,IF(H785="CODIX",PR!$K783,IF(H785="COSMADE",PR!$L783,IF(H785="SANCON",PR!$M783,IF(H785="DEVON",PR!$N783,IF(H785="DORTEMAG",PR!$O783,IF(H785="DGF",PR!$P783,IF(H785="DYNAMIC",PR!$Q783,IF(H785="EMZOR",PR!$R783,IF(H785="EUMATT",PR!$S783,IF(H785="FIDSON",PR!$T783,IF(H785="FCGLOBAL",PR!$U783,IF(H785="GENEITH",PR!$V783,IF(H785="GINOS",PR!$W783,IF(H785="GSK",PR!$X783,IF(H785="GLOBORG",PR!$Y783,IF(H785="GOODNEWS",PR!$Z783,IF(H785="GREENLIFE",PR!$AA783,IF(H785="HLINE",PR!$AB783,IF(H785="ROTECH",PR!$AC783,IF(H785="ISN",PR!$AD783,IF(H785="JAWA",PR!$AE783,IF(H785="LAYO",PR!$AF783,IF(H785="LEADWAY",PR!$AG783,IF(H785="LHV",PR!$AH783,IF(H785="MANOLA",PR!$AI783,IF(H785="MARCSON",PR!$AJ783,IF(H785="M&amp;B",PR!$AK783,IF(H785="MTRUST",PR!$AL783,IF(H785="MWORLD",PR!$AM783,IF(H785="MEGA",PR!$AN783,IF(H785="MICRONOVA",PR!$AO783,IF(H785="MFLASH",PR!$AP783,IF(H785="MORISON",PR!$AQ783,IF(H785="NEMEL",PR!$AR783,IF(H785="NHP",PR!$AS783,IF(H785="NHC",PR!$AT783,IF(H785="OLEAF",PR!$AU783,IF(H785="OCULUS",PR!$AV783,IF(H785="PACIFIC",PR!$AW783,IF(H785="PHAMATEX",PR!$AX783,IF(H785="PETHICS",PR!$AY783,IF(H785="PHILIPS",PR!$AZ783,IF(H785="RANBAXY",PR!$BA783,IF(H785="REALS",PR!$BB783,IF(H785="ROYAL",PR!$BC783,IF(H785="SAM",PR!$BD783,IF(H785="SEAGREEN",PR!$BE783,IF(H785="SKG",PR!$BF783,IF(H785="TAH",PR!$BG783,IF(H785="TAYLEK",PR!$BH783,IF(H785="TEMITA",PR!$BI783,IF(H785="THL",PR!$BJ783,IF(H785="UBASTIC",PR!$BK783,IF(H785="UNION",PR!$BL783,IF(H785="UNIQUE",PR!$BM783,IF(H785="VIXA",PR!$BN783,IF(H785="WWCV",PR!$BO783,IF(H785="ZOLON",PR!$BP783,"-"))))))))))))))))))))))))))))))))))))))))))))))))))))))))))))))))</f>
        <v>-</v>
      </c>
      <c r="H785" s="102"/>
      <c r="I785" s="108" t="str">
        <f>IF(J785="ALPHA",PR!$E783,IF(J785="ASSENE",PR!$F783,IF(J785="BIOFEM",PR!$G783,IF(J785="BIOMED",PR!$H783,IF(J785="CHI",PR!$I783,IF(J785="CLARION",PR!$J783,IF(J785="CODIX",PR!$K783,IF(J785="COSMADE",PR!$L783,IF(J785="SANCON",PR!$M783,IF(J785="DEVON",PR!$N783,IF(J785="DORTEMAG",PR!$O783,IF(J785="DGF",PR!$P783,IF(J785="DYNAMIC",PR!$Q783,IF(J785="EMZOR",PR!$R783,IF(J785="EUMATT",PR!$S783,IF(J785="FIDSON",PR!$T783,IF(J785="FCGLOBAL",PR!$U783,IF(J785="GENEITH",PR!$V783,IF(J785="GINOS",PR!$W783,IF(J785="GSK",PR!$X783,IF(J785="GLOBORG",PR!$Y783,IF(J785="GOODNEWS",PR!$Z783,IF(J785="GREENLIFE",PR!$AA783,IF(J785="HLINE",PR!$AB783,IF(J785="ROTECH",PR!$AC783,IF(J785="ISN",PR!$AD783,IF(J785="JAWA",PR!$AE783,IF(J785="LAYO",PR!$AF783,IF(J785="LEADWAY",PR!$AG783,IF(J785="LHV",PR!$AH783,IF(J785="MANOLA",PR!$AI783,IF(J785="MARCSON",PR!$AJ783,IF(J785="M&amp;B",PR!$AK783,IF(J785="MTRUST",PR!$AL783,IF(J785="MWORLD",PR!$AM783,IF(J785="MEGA",PR!$AN783,IF(J785="MICRONOVA",PR!$AO783,IF(J785="MFLASH",PR!$AP783,IF(J785="MORISON",PR!$AQ783,IF(J785="NEMEL",PR!$AR783,IF(J785="NHP",PR!$AS783,IF(J785="NHC",PR!$AT783,IF(J785="OLEAF",PR!$AU783,IF(J785="OCULUS",PR!$AV783,IF(J785="PACIFIC",PR!$AW783,IF(J785="PHAMATEX",PR!$AX783,IF(J785="PETHICS",PR!$AY783,IF(J785="PHILIPS",PR!$AZ783,IF(J785="RANBAXY",PR!$BA783,IF(J785="REALS",PR!$BB783,IF(J785="ROYAL",PR!$BC783,IF(J785="SAM",PR!$BD783,IF(J785="SEAGREEN",PR!$BE783,IF(J785="SKG",PR!$BF783,IF(J785="TAH",PR!$BG783,IF(J785="TAYLEK",PR!$BH783,IF(J785="TEMITA",PR!$BI783,IF(J785="THL",PR!$BJ783,IF(J785="UBASTIC",PR!$BK783,IF(J785="UNION",PR!$BL783,IF(J785="UNIQUE",PR!$BM783,IF(J785="VIXA",PR!$BN783,IF(J785="WWCV",PR!$BO783,IF(J785="ZOLON",PR!$BP783,"-"))))))))))))))))))))))))))))))))))))))))))))))))))))))))))))))))</f>
        <v>-</v>
      </c>
      <c r="J785" s="102"/>
      <c r="K785" s="433"/>
      <c r="L785" s="183" t="b">
        <f>IF(K785&gt;0,IF(K785="ALPHA",PR!$E783,IF(K785="ASSENE",PR!$F783,IF(K785="BIOFEM",PR!$G783,IF(K785="BIOMED",PR!$H783,IF(K785="CHI",PR!$I783,IF(K785="CLARION",PR!$J783,IF(K785="CODIX",PR!$K783,IF(K785="COSMADE",PR!$L783,IF(K785="SANCON",PR!$M783,IF(K785="DEVON",PR!$N783,IF(K785="DORTEMAG",PR!$O783,IF(K785="DGF",PR!$P783,IF(K785="DYNAMIC",PR!$Q783,IF(K785="EMZOR",PR!$R783,IF(K785="EUMATT",PR!$S783,IF(K785="FIDSON",PR!$T783,IF(K785="FCGLOBAL",PR!$U783,IF(K785="GENEITH",PR!$V783,IF(K785="GINOS",PR!$W783,IF(K785="GSK",PR!$X783,IF(K785="GLOBORG",PR!$Y783,IF(K785="GOODNEWS",PR!$Z783,IF(K785="GREENLIFE",PR!$AA783,IF(K785="HLINE",PR!$AB783,IF(K785="ROTECH",PR!$AC783,IF(K785="ISN",PR!$AD783,IF(K785="JAWA",PR!$AE783,IF(K785="LAYO",PR!$AF783,IF(K785="LEADWAY",PR!$AG783,IF(K785="LHV",PR!$AH783,IF(K785="MANOLA",PR!$AI783,IF(K785="MARCSON",PR!$AJ783,IF(K785="M&amp;B",PR!$AK783,IF(K785="MTRUST",PR!$AL783,IF(K785="MWORLD",PR!$AM783,IF(K785="MEGA",PR!$AN783,IF(K785="MICRONOVA",PR!$AO783,IF(K785="MFLASH",PR!$AP783,IF(K785="MORISON",PR!$AQ783,IF(K785="NEMEL",PR!$AR783,IF(K785="NHP",PR!$AS783,IF(K785="NHC",PR!$AT783,IF(K785="OLEAF",PR!$AU783,IF(K785="OCULUS",PR!$AV783,IF(K785="PACIFIC",PR!$AW783,IF(K785="PHAMATEX",PR!$AX783,IF(K785="PETHICS",PR!$AY783,IF(K785="PHILIPS",PR!$AZ783,IF(K785="RANBAXY",PR!$BA783,IF(K785="REALS",PR!$BB783,IF(K785="ROYAL",PR!$BC783,IF(K785="SAM",PR!$BD783,IF(K785="SEAGREEN",PR!$BE783,IF(K785="SKG",PR!$BF783,IF(K785="TAH",PR!$BG783,IF(K785="TAYLEK",PR!$BH783,IF(K785="TEMITA",PR!$BI783,IF(K785="THL",PR!$BJ783,IF(K785="UBASTIC",PR!$BK783,IF(K785="UNION",PR!$BL783,IF(K785="UNIQUE",PR!$BM783,IF(K785="VIXA",PR!$BN783,IF(K785="WWCV",PR!$BO783,IF(K785="ZOLON",PR!$BP783,"-")))))))))))))))))))))))))))))))))))))))))))))))))))))))))))))))))</f>
        <v>0</v>
      </c>
    </row>
    <row r="786" spans="1:12" ht="18.75" x14ac:dyDescent="0.3">
      <c r="A786" s="430" t="str">
        <f>PR!A784</f>
        <v>LOT 14</v>
      </c>
      <c r="B786" s="15" t="str">
        <f>PR!B784</f>
        <v>RADIOLOGY DEPARTMENT</v>
      </c>
      <c r="C786" s="113">
        <f>PR!D784</f>
        <v>0</v>
      </c>
      <c r="D786" s="113">
        <f>PR!C784</f>
        <v>0</v>
      </c>
      <c r="E786" s="108" t="str">
        <f>IF(F786="ALPHA",PR!$E784,IF(F786="ASSENE",PR!$F784,IF(F786="BIOFEM",PR!$G784,IF(F786="BIOMED",PR!$H784,IF(F786="CHI",PR!$I784,IF(F786="CLARION",PR!$J784,IF(F786="CODIX",PR!$K784,IF(F786="COSMADE",PR!$L784,IF(F786="SANCON",PR!$M784,IF(F786="DEVON",PR!$N784,IF(F786="DORTEMAG",PR!$O784,IF(F786="DGF",PR!$P784,IF(F786="DYNAMIC",PR!$Q784,IF(F786="EMZOR",PR!$R784,IF(F786="EUMATT",PR!$S784,IF(F786="FIDSON",PR!$T784,IF(F786="FCGLOBAL",PR!$U784,IF(F786="GENEITH",PR!$V784,IF(F786="GINOS",PR!$W784,IF(F786="GSK",PR!$X784,IF(F786="GLOBORG",PR!$Y784,IF(F786="GOODNEWS",PR!$Z784,IF(F786="GREENLIFE",PR!$AA784,IF(F786="HLINE",PR!$AB784,IF(F786="ROTECH",PR!$AC784,IF(F786="ISN",PR!$AD784,IF(F786="JAWA",PR!$AE784,IF(F786="LAYO",PR!$AF784,IF(F786="LEADWAY",PR!$AG784,IF(F786="LHV",PR!$AH784,IF(F786="MANOLA",PR!$AI784,IF(F786="MARCSON",PR!$AJ784,IF(F786="M&amp;B",PR!$AK784,IF(F786="MTRUST",PR!$AL784,IF(F786="MWORLD",PR!$AM784,IF(F786="MEGA",PR!$AN784,IF(F786="MICRONOVA",PR!$AO784,IF(F786="MFLASH",PR!$AP784,IF(F786="MORISON",PR!$AQ784,IF(F786="NEMEL",PR!$AR784,IF(F786="NHP",PR!$AS784,IF(F786="NHC",PR!$AT784,IF(F786="OLEAF",PR!$AU784,IF(F786="OCULUS",PR!$AV784,IF(F786="PACIFIC",PR!$AW784,IF(F786="PHAMATEX",PR!$AX784,IF(F786="PETHICS",PR!$AY784,IF(F786="PHILIPS",PR!$AZ784,IF(F786="RANBAXY",PR!$BA784,IF(F786="REALS",PR!$BB784,IF(F786="ROYAL",PR!$BC784,IF(F786="SAM",PR!$BD784,IF(F786="SEAGREEN",PR!$BE784,IF(F786="SKG",PR!$BF784,IF(F786="TAH",PR!$BG784,IF(F786="TAYLEK",PR!$BH784,IF(F786="TEMITA",PR!$BI784,IF(F786="THL",PR!$BJ784,IF(F786="UBASTIC",PR!$BK784,IF(F786="UNION",PR!$BL784,IF(F786="UNIQUE",PR!$BM784,IF(F786="VIXA",PR!$BN784,IF(F786="WWCV",PR!$BO784,IF(F786="ZOLON",PR!$BP784,"-"))))))))))))))))))))))))))))))))))))))))))))))))))))))))))))))))</f>
        <v>-</v>
      </c>
      <c r="F786" s="102"/>
      <c r="G786" s="108" t="str">
        <f>IF(H786="ALPHA",PR!$E784,IF(H786="ASSENE",PR!$F784,IF(H786="BIOFEM",PR!$G784,IF(H786="BIOMED",PR!$H784,IF(H786="CHI",PR!$I784,IF(H786="CLARION",PR!$J784,IF(H786="CODIX",PR!$K784,IF(H786="COSMADE",PR!$L784,IF(H786="SANCON",PR!$M784,IF(H786="DEVON",PR!$N784,IF(H786="DORTEMAG",PR!$O784,IF(H786="DGF",PR!$P784,IF(H786="DYNAMIC",PR!$Q784,IF(H786="EMZOR",PR!$R784,IF(H786="EUMATT",PR!$S784,IF(H786="FIDSON",PR!$T784,IF(H786="FCGLOBAL",PR!$U784,IF(H786="GENEITH",PR!$V784,IF(H786="GINOS",PR!$W784,IF(H786="GSK",PR!$X784,IF(H786="GLOBORG",PR!$Y784,IF(H786="GOODNEWS",PR!$Z784,IF(H786="GREENLIFE",PR!$AA784,IF(H786="HLINE",PR!$AB784,IF(H786="ROTECH",PR!$AC784,IF(H786="ISN",PR!$AD784,IF(H786="JAWA",PR!$AE784,IF(H786="LAYO",PR!$AF784,IF(H786="LEADWAY",PR!$AG784,IF(H786="LHV",PR!$AH784,IF(H786="MANOLA",PR!$AI784,IF(H786="MARCSON",PR!$AJ784,IF(H786="M&amp;B",PR!$AK784,IF(H786="MTRUST",PR!$AL784,IF(H786="MWORLD",PR!$AM784,IF(H786="MEGA",PR!$AN784,IF(H786="MICRONOVA",PR!$AO784,IF(H786="MFLASH",PR!$AP784,IF(H786="MORISON",PR!$AQ784,IF(H786="NEMEL",PR!$AR784,IF(H786="NHP",PR!$AS784,IF(H786="NHC",PR!$AT784,IF(H786="OLEAF",PR!$AU784,IF(H786="OCULUS",PR!$AV784,IF(H786="PACIFIC",PR!$AW784,IF(H786="PHAMATEX",PR!$AX784,IF(H786="PETHICS",PR!$AY784,IF(H786="PHILIPS",PR!$AZ784,IF(H786="RANBAXY",PR!$BA784,IF(H786="REALS",PR!$BB784,IF(H786="ROYAL",PR!$BC784,IF(H786="SAM",PR!$BD784,IF(H786="SEAGREEN",PR!$BE784,IF(H786="SKG",PR!$BF784,IF(H786="TAH",PR!$BG784,IF(H786="TAYLEK",PR!$BH784,IF(H786="TEMITA",PR!$BI784,IF(H786="THL",PR!$BJ784,IF(H786="UBASTIC",PR!$BK784,IF(H786="UNION",PR!$BL784,IF(H786="UNIQUE",PR!$BM784,IF(H786="VIXA",PR!$BN784,IF(H786="WWCV",PR!$BO784,IF(H786="ZOLON",PR!$BP784,"-"))))))))))))))))))))))))))))))))))))))))))))))))))))))))))))))))</f>
        <v>-</v>
      </c>
      <c r="H786" s="102"/>
      <c r="I786" s="108" t="str">
        <f>IF(J786="ALPHA",PR!$E784,IF(J786="ASSENE",PR!$F784,IF(J786="BIOFEM",PR!$G784,IF(J786="BIOMED",PR!$H784,IF(J786="CHI",PR!$I784,IF(J786="CLARION",PR!$J784,IF(J786="CODIX",PR!$K784,IF(J786="COSMADE",PR!$L784,IF(J786="SANCON",PR!$M784,IF(J786="DEVON",PR!$N784,IF(J786="DORTEMAG",PR!$O784,IF(J786="DGF",PR!$P784,IF(J786="DYNAMIC",PR!$Q784,IF(J786="EMZOR",PR!$R784,IF(J786="EUMATT",PR!$S784,IF(J786="FIDSON",PR!$T784,IF(J786="FCGLOBAL",PR!$U784,IF(J786="GENEITH",PR!$V784,IF(J786="GINOS",PR!$W784,IF(J786="GSK",PR!$X784,IF(J786="GLOBORG",PR!$Y784,IF(J786="GOODNEWS",PR!$Z784,IF(J786="GREENLIFE",PR!$AA784,IF(J786="HLINE",PR!$AB784,IF(J786="ROTECH",PR!$AC784,IF(J786="ISN",PR!$AD784,IF(J786="JAWA",PR!$AE784,IF(J786="LAYO",PR!$AF784,IF(J786="LEADWAY",PR!$AG784,IF(J786="LHV",PR!$AH784,IF(J786="MANOLA",PR!$AI784,IF(J786="MARCSON",PR!$AJ784,IF(J786="M&amp;B",PR!$AK784,IF(J786="MTRUST",PR!$AL784,IF(J786="MWORLD",PR!$AM784,IF(J786="MEGA",PR!$AN784,IF(J786="MICRONOVA",PR!$AO784,IF(J786="MFLASH",PR!$AP784,IF(J786="MORISON",PR!$AQ784,IF(J786="NEMEL",PR!$AR784,IF(J786="NHP",PR!$AS784,IF(J786="NHC",PR!$AT784,IF(J786="OLEAF",PR!$AU784,IF(J786="OCULUS",PR!$AV784,IF(J786="PACIFIC",PR!$AW784,IF(J786="PHAMATEX",PR!$AX784,IF(J786="PETHICS",PR!$AY784,IF(J786="PHILIPS",PR!$AZ784,IF(J786="RANBAXY",PR!$BA784,IF(J786="REALS",PR!$BB784,IF(J786="ROYAL",PR!$BC784,IF(J786="SAM",PR!$BD784,IF(J786="SEAGREEN",PR!$BE784,IF(J786="SKG",PR!$BF784,IF(J786="TAH",PR!$BG784,IF(J786="TAYLEK",PR!$BH784,IF(J786="TEMITA",PR!$BI784,IF(J786="THL",PR!$BJ784,IF(J786="UBASTIC",PR!$BK784,IF(J786="UNION",PR!$BL784,IF(J786="UNIQUE",PR!$BM784,IF(J786="VIXA",PR!$BN784,IF(J786="WWCV",PR!$BO784,IF(J786="ZOLON",PR!$BP784,"-"))))))))))))))))))))))))))))))))))))))))))))))))))))))))))))))))</f>
        <v>-</v>
      </c>
      <c r="J786" s="102"/>
      <c r="K786" s="433"/>
      <c r="L786" s="183" t="b">
        <f>IF(K786&gt;0,IF(K786="ALPHA",PR!$E784,IF(K786="ASSENE",PR!$F784,IF(K786="BIOFEM",PR!$G784,IF(K786="BIOMED",PR!$H784,IF(K786="CHI",PR!$I784,IF(K786="CLARION",PR!$J784,IF(K786="CODIX",PR!$K784,IF(K786="COSMADE",PR!$L784,IF(K786="SANCON",PR!$M784,IF(K786="DEVON",PR!$N784,IF(K786="DORTEMAG",PR!$O784,IF(K786="DGF",PR!$P784,IF(K786="DYNAMIC",PR!$Q784,IF(K786="EMZOR",PR!$R784,IF(K786="EUMATT",PR!$S784,IF(K786="FIDSON",PR!$T784,IF(K786="FCGLOBAL",PR!$U784,IF(K786="GENEITH",PR!$V784,IF(K786="GINOS",PR!$W784,IF(K786="GSK",PR!$X784,IF(K786="GLOBORG",PR!$Y784,IF(K786="GOODNEWS",PR!$Z784,IF(K786="GREENLIFE",PR!$AA784,IF(K786="HLINE",PR!$AB784,IF(K786="ROTECH",PR!$AC784,IF(K786="ISN",PR!$AD784,IF(K786="JAWA",PR!$AE784,IF(K786="LAYO",PR!$AF784,IF(K786="LEADWAY",PR!$AG784,IF(K786="LHV",PR!$AH784,IF(K786="MANOLA",PR!$AI784,IF(K786="MARCSON",PR!$AJ784,IF(K786="M&amp;B",PR!$AK784,IF(K786="MTRUST",PR!$AL784,IF(K786="MWORLD",PR!$AM784,IF(K786="MEGA",PR!$AN784,IF(K786="MICRONOVA",PR!$AO784,IF(K786="MFLASH",PR!$AP784,IF(K786="MORISON",PR!$AQ784,IF(K786="NEMEL",PR!$AR784,IF(K786="NHP",PR!$AS784,IF(K786="NHC",PR!$AT784,IF(K786="OLEAF",PR!$AU784,IF(K786="OCULUS",PR!$AV784,IF(K786="PACIFIC",PR!$AW784,IF(K786="PHAMATEX",PR!$AX784,IF(K786="PETHICS",PR!$AY784,IF(K786="PHILIPS",PR!$AZ784,IF(K786="RANBAXY",PR!$BA784,IF(K786="REALS",PR!$BB784,IF(K786="ROYAL",PR!$BC784,IF(K786="SAM",PR!$BD784,IF(K786="SEAGREEN",PR!$BE784,IF(K786="SKG",PR!$BF784,IF(K786="TAH",PR!$BG784,IF(K786="TAYLEK",PR!$BH784,IF(K786="TEMITA",PR!$BI784,IF(K786="THL",PR!$BJ784,IF(K786="UBASTIC",PR!$BK784,IF(K786="UNION",PR!$BL784,IF(K786="UNIQUE",PR!$BM784,IF(K786="VIXA",PR!$BN784,IF(K786="WWCV",PR!$BO784,IF(K786="ZOLON",PR!$BP784,"-")))))))))))))))))))))))))))))))))))))))))))))))))))))))))))))))))</f>
        <v>0</v>
      </c>
    </row>
    <row r="787" spans="1:12" ht="18.75" x14ac:dyDescent="0.3">
      <c r="A787" s="430">
        <f>PR!A785</f>
        <v>0</v>
      </c>
      <c r="B787" s="15">
        <f>PR!B785</f>
        <v>0</v>
      </c>
      <c r="C787" s="113">
        <f>PR!D785</f>
        <v>0</v>
      </c>
      <c r="D787" s="113">
        <f>PR!C785</f>
        <v>0</v>
      </c>
      <c r="E787" s="108" t="str">
        <f>IF(F787="ALPHA",PR!$E785,IF(F787="ASSENE",PR!$F785,IF(F787="BIOFEM",PR!$G785,IF(F787="BIOMED",PR!$H785,IF(F787="CHI",PR!$I785,IF(F787="CLARION",PR!$J785,IF(F787="CODIX",PR!$K785,IF(F787="COSMADE",PR!$L785,IF(F787="SANCON",PR!$M785,IF(F787="DEVON",PR!$N785,IF(F787="DORTEMAG",PR!$O785,IF(F787="DGF",PR!$P785,IF(F787="DYNAMIC",PR!$Q785,IF(F787="EMZOR",PR!$R785,IF(F787="EUMATT",PR!$S785,IF(F787="FIDSON",PR!$T785,IF(F787="FCGLOBAL",PR!$U785,IF(F787="GENEITH",PR!$V785,IF(F787="GINOS",PR!$W785,IF(F787="GSK",PR!$X785,IF(F787="GLOBORG",PR!$Y785,IF(F787="GOODNEWS",PR!$Z785,IF(F787="GREENLIFE",PR!$AA785,IF(F787="HLINE",PR!$AB785,IF(F787="ROTECH",PR!$AC785,IF(F787="ISN",PR!$AD785,IF(F787="JAWA",PR!$AE785,IF(F787="LAYO",PR!$AF785,IF(F787="LEADWAY",PR!$AG785,IF(F787="LHV",PR!$AH785,IF(F787="MANOLA",PR!$AI785,IF(F787="MARCSON",PR!$AJ785,IF(F787="M&amp;B",PR!$AK785,IF(F787="MTRUST",PR!$AL785,IF(F787="MWORLD",PR!$AM785,IF(F787="MEGA",PR!$AN785,IF(F787="MICRONOVA",PR!$AO785,IF(F787="MFLASH",PR!$AP785,IF(F787="MORISON",PR!$AQ785,IF(F787="NEMEL",PR!$AR785,IF(F787="NHP",PR!$AS785,IF(F787="NHC",PR!$AT785,IF(F787="OLEAF",PR!$AU785,IF(F787="OCULUS",PR!$AV785,IF(F787="PACIFIC",PR!$AW785,IF(F787="PHAMATEX",PR!$AX785,IF(F787="PETHICS",PR!$AY785,IF(F787="PHILIPS",PR!$AZ785,IF(F787="RANBAXY",PR!$BA785,IF(F787="REALS",PR!$BB785,IF(F787="ROYAL",PR!$BC785,IF(F787="SAM",PR!$BD785,IF(F787="SEAGREEN",PR!$BE785,IF(F787="SKG",PR!$BF785,IF(F787="TAH",PR!$BG785,IF(F787="TAYLEK",PR!$BH785,IF(F787="TEMITA",PR!$BI785,IF(F787="THL",PR!$BJ785,IF(F787="UBASTIC",PR!$BK785,IF(F787="UNION",PR!$BL785,IF(F787="UNIQUE",PR!$BM785,IF(F787="VIXA",PR!$BN785,IF(F787="WWCV",PR!$BO785,IF(F787="ZOLON",PR!$BP785,"-"))))))))))))))))))))))))))))))))))))))))))))))))))))))))))))))))</f>
        <v>-</v>
      </c>
      <c r="F787" s="102"/>
      <c r="G787" s="108" t="str">
        <f>IF(H787="ALPHA",PR!$E785,IF(H787="ASSENE",PR!$F785,IF(H787="BIOFEM",PR!$G785,IF(H787="BIOMED",PR!$H785,IF(H787="CHI",PR!$I785,IF(H787="CLARION",PR!$J785,IF(H787="CODIX",PR!$K785,IF(H787="COSMADE",PR!$L785,IF(H787="SANCON",PR!$M785,IF(H787="DEVON",PR!$N785,IF(H787="DORTEMAG",PR!$O785,IF(H787="DGF",PR!$P785,IF(H787="DYNAMIC",PR!$Q785,IF(H787="EMZOR",PR!$R785,IF(H787="EUMATT",PR!$S785,IF(H787="FIDSON",PR!$T785,IF(H787="FCGLOBAL",PR!$U785,IF(H787="GENEITH",PR!$V785,IF(H787="GINOS",PR!$W785,IF(H787="GSK",PR!$X785,IF(H787="GLOBORG",PR!$Y785,IF(H787="GOODNEWS",PR!$Z785,IF(H787="GREENLIFE",PR!$AA785,IF(H787="HLINE",PR!$AB785,IF(H787="ROTECH",PR!$AC785,IF(H787="ISN",PR!$AD785,IF(H787="JAWA",PR!$AE785,IF(H787="LAYO",PR!$AF785,IF(H787="LEADWAY",PR!$AG785,IF(H787="LHV",PR!$AH785,IF(H787="MANOLA",PR!$AI785,IF(H787="MARCSON",PR!$AJ785,IF(H787="M&amp;B",PR!$AK785,IF(H787="MTRUST",PR!$AL785,IF(H787="MWORLD",PR!$AM785,IF(H787="MEGA",PR!$AN785,IF(H787="MICRONOVA",PR!$AO785,IF(H787="MFLASH",PR!$AP785,IF(H787="MORISON",PR!$AQ785,IF(H787="NEMEL",PR!$AR785,IF(H787="NHP",PR!$AS785,IF(H787="NHC",PR!$AT785,IF(H787="OLEAF",PR!$AU785,IF(H787="OCULUS",PR!$AV785,IF(H787="PACIFIC",PR!$AW785,IF(H787="PHAMATEX",PR!$AX785,IF(H787="PETHICS",PR!$AY785,IF(H787="PHILIPS",PR!$AZ785,IF(H787="RANBAXY",PR!$BA785,IF(H787="REALS",PR!$BB785,IF(H787="ROYAL",PR!$BC785,IF(H787="SAM",PR!$BD785,IF(H787="SEAGREEN",PR!$BE785,IF(H787="SKG",PR!$BF785,IF(H787="TAH",PR!$BG785,IF(H787="TAYLEK",PR!$BH785,IF(H787="TEMITA",PR!$BI785,IF(H787="THL",PR!$BJ785,IF(H787="UBASTIC",PR!$BK785,IF(H787="UNION",PR!$BL785,IF(H787="UNIQUE",PR!$BM785,IF(H787="VIXA",PR!$BN785,IF(H787="WWCV",PR!$BO785,IF(H787="ZOLON",PR!$BP785,"-"))))))))))))))))))))))))))))))))))))))))))))))))))))))))))))))))</f>
        <v>-</v>
      </c>
      <c r="H787" s="102"/>
      <c r="I787" s="108" t="str">
        <f>IF(J787="ALPHA",PR!$E785,IF(J787="ASSENE",PR!$F785,IF(J787="BIOFEM",PR!$G785,IF(J787="BIOMED",PR!$H785,IF(J787="CHI",PR!$I785,IF(J787="CLARION",PR!$J785,IF(J787="CODIX",PR!$K785,IF(J787="COSMADE",PR!$L785,IF(J787="SANCON",PR!$M785,IF(J787="DEVON",PR!$N785,IF(J787="DORTEMAG",PR!$O785,IF(J787="DGF",PR!$P785,IF(J787="DYNAMIC",PR!$Q785,IF(J787="EMZOR",PR!$R785,IF(J787="EUMATT",PR!$S785,IF(J787="FIDSON",PR!$T785,IF(J787="FCGLOBAL",PR!$U785,IF(J787="GENEITH",PR!$V785,IF(J787="GINOS",PR!$W785,IF(J787="GSK",PR!$X785,IF(J787="GLOBORG",PR!$Y785,IF(J787="GOODNEWS",PR!$Z785,IF(J787="GREENLIFE",PR!$AA785,IF(J787="HLINE",PR!$AB785,IF(J787="ROTECH",PR!$AC785,IF(J787="ISN",PR!$AD785,IF(J787="JAWA",PR!$AE785,IF(J787="LAYO",PR!$AF785,IF(J787="LEADWAY",PR!$AG785,IF(J787="LHV",PR!$AH785,IF(J787="MANOLA",PR!$AI785,IF(J787="MARCSON",PR!$AJ785,IF(J787="M&amp;B",PR!$AK785,IF(J787="MTRUST",PR!$AL785,IF(J787="MWORLD",PR!$AM785,IF(J787="MEGA",PR!$AN785,IF(J787="MICRONOVA",PR!$AO785,IF(J787="MFLASH",PR!$AP785,IF(J787="MORISON",PR!$AQ785,IF(J787="NEMEL",PR!$AR785,IF(J787="NHP",PR!$AS785,IF(J787="NHC",PR!$AT785,IF(J787="OLEAF",PR!$AU785,IF(J787="OCULUS",PR!$AV785,IF(J787="PACIFIC",PR!$AW785,IF(J787="PHAMATEX",PR!$AX785,IF(J787="PETHICS",PR!$AY785,IF(J787="PHILIPS",PR!$AZ785,IF(J787="RANBAXY",PR!$BA785,IF(J787="REALS",PR!$BB785,IF(J787="ROYAL",PR!$BC785,IF(J787="SAM",PR!$BD785,IF(J787="SEAGREEN",PR!$BE785,IF(J787="SKG",PR!$BF785,IF(J787="TAH",PR!$BG785,IF(J787="TAYLEK",PR!$BH785,IF(J787="TEMITA",PR!$BI785,IF(J787="THL",PR!$BJ785,IF(J787="UBASTIC",PR!$BK785,IF(J787="UNION",PR!$BL785,IF(J787="UNIQUE",PR!$BM785,IF(J787="VIXA",PR!$BN785,IF(J787="WWCV",PR!$BO785,IF(J787="ZOLON",PR!$BP785,"-"))))))))))))))))))))))))))))))))))))))))))))))))))))))))))))))))</f>
        <v>-</v>
      </c>
      <c r="J787" s="102"/>
      <c r="K787" s="433"/>
      <c r="L787" s="183" t="b">
        <f>IF(K787&gt;0,IF(K787="ALPHA",PR!$E785,IF(K787="ASSENE",PR!$F785,IF(K787="BIOFEM",PR!$G785,IF(K787="BIOMED",PR!$H785,IF(K787="CHI",PR!$I785,IF(K787="CLARION",PR!$J785,IF(K787="CODIX",PR!$K785,IF(K787="COSMADE",PR!$L785,IF(K787="SANCON",PR!$M785,IF(K787="DEVON",PR!$N785,IF(K787="DORTEMAG",PR!$O785,IF(K787="DGF",PR!$P785,IF(K787="DYNAMIC",PR!$Q785,IF(K787="EMZOR",PR!$R785,IF(K787="EUMATT",PR!$S785,IF(K787="FIDSON",PR!$T785,IF(K787="FCGLOBAL",PR!$U785,IF(K787="GENEITH",PR!$V785,IF(K787="GINOS",PR!$W785,IF(K787="GSK",PR!$X785,IF(K787="GLOBORG",PR!$Y785,IF(K787="GOODNEWS",PR!$Z785,IF(K787="GREENLIFE",PR!$AA785,IF(K787="HLINE",PR!$AB785,IF(K787="ROTECH",PR!$AC785,IF(K787="ISN",PR!$AD785,IF(K787="JAWA",PR!$AE785,IF(K787="LAYO",PR!$AF785,IF(K787="LEADWAY",PR!$AG785,IF(K787="LHV",PR!$AH785,IF(K787="MANOLA",PR!$AI785,IF(K787="MARCSON",PR!$AJ785,IF(K787="M&amp;B",PR!$AK785,IF(K787="MTRUST",PR!$AL785,IF(K787="MWORLD",PR!$AM785,IF(K787="MEGA",PR!$AN785,IF(K787="MICRONOVA",PR!$AO785,IF(K787="MFLASH",PR!$AP785,IF(K787="MORISON",PR!$AQ785,IF(K787="NEMEL",PR!$AR785,IF(K787="NHP",PR!$AS785,IF(K787="NHC",PR!$AT785,IF(K787="OLEAF",PR!$AU785,IF(K787="OCULUS",PR!$AV785,IF(K787="PACIFIC",PR!$AW785,IF(K787="PHAMATEX",PR!$AX785,IF(K787="PETHICS",PR!$AY785,IF(K787="PHILIPS",PR!$AZ785,IF(K787="RANBAXY",PR!$BA785,IF(K787="REALS",PR!$BB785,IF(K787="ROYAL",PR!$BC785,IF(K787="SAM",PR!$BD785,IF(K787="SEAGREEN",PR!$BE785,IF(K787="SKG",PR!$BF785,IF(K787="TAH",PR!$BG785,IF(K787="TAYLEK",PR!$BH785,IF(K787="TEMITA",PR!$BI785,IF(K787="THL",PR!$BJ785,IF(K787="UBASTIC",PR!$BK785,IF(K787="UNION",PR!$BL785,IF(K787="UNIQUE",PR!$BM785,IF(K787="VIXA",PR!$BN785,IF(K787="WWCV",PR!$BO785,IF(K787="ZOLON",PR!$BP785,"-")))))))))))))))))))))))))))))))))))))))))))))))))))))))))))))))))</f>
        <v>0</v>
      </c>
    </row>
    <row r="788" spans="1:12" ht="18.75" x14ac:dyDescent="0.3">
      <c r="A788" s="430">
        <f>PR!A786</f>
        <v>709</v>
      </c>
      <c r="B788" s="15" t="str">
        <f>PR!B786</f>
        <v>FILMS AGFA 14" X 17" DRYSTAR DT 5 B (DRY MEDICAL FILM) 7</v>
      </c>
      <c r="C788" s="113">
        <f>PR!D786</f>
        <v>12</v>
      </c>
      <c r="D788" s="113">
        <f>PR!C786</f>
        <v>100</v>
      </c>
      <c r="E788" s="108">
        <f>IF(F788="ALPHA",PR!$E786,IF(F788="ASSENE",PR!$F786,IF(F788="BIOFEM",PR!$G786,IF(F788="BIOMED",PR!$H786,IF(F788="CHI",PR!$I786,IF(F788="CLARION",PR!$J786,IF(F788="CODIX",PR!$K786,IF(F788="COSMADE",PR!$L786,IF(F788="SANCON",PR!$M786,IF(F788="DEVON",PR!$N786,IF(F788="DORTEMAG",PR!$O786,IF(F788="DGF",PR!$P786,IF(F788="DYNAMIC",PR!$Q786,IF(F788="EMZOR",PR!$R786,IF(F788="EUMATT",PR!$S786,IF(F788="FIDSON",PR!$T786,IF(F788="FCGLOBAL",PR!$U786,IF(F788="GENEITH",PR!$V786,IF(F788="GINOS",PR!$W786,IF(F788="GSK",PR!$X786,IF(F788="GLOBORG",PR!$Y786,IF(F788="GOODNEWS",PR!$Z786,IF(F788="GREENLIFE",PR!$AA786,IF(F788="HLINE",PR!$AB786,IF(F788="ROTECH",PR!$AC786,IF(F788="ISN",PR!$AD786,IF(F788="JAWA",PR!$AE786,IF(F788="LAYO",PR!$AF786,IF(F788="LEADWAY",PR!$AG786,IF(F788="LHV",PR!$AH786,IF(F788="MANOLA",PR!$AI786,IF(F788="MARCSON",PR!$AJ786,IF(F788="M&amp;B",PR!$AK786,IF(F788="MTRUST",PR!$AL786,IF(F788="MWORLD",PR!$AM786,IF(F788="MEGA",PR!$AN786,IF(F788="MICRONOVA",PR!$AO786,IF(F788="MFLASH",PR!$AP786,IF(F788="MORISON",PR!$AQ786,IF(F788="NEMEL",PR!$AR786,IF(F788="NHP",PR!$AS786,IF(F788="NHC",PR!$AT786,IF(F788="OLEAF",PR!$AU786,IF(F788="OCULUS",PR!$AV786,IF(F788="PACIFIC",PR!$AW786,IF(F788="PHAMATEX",PR!$AX786,IF(F788="PETHICS",PR!$AY786,IF(F788="PHILIPS",PR!$AZ786,IF(F788="RANBAXY",PR!$BA786,IF(F788="REALS",PR!$BB786,IF(F788="ROYAL",PR!$BC786,IF(F788="SAM",PR!$BD786,IF(F788="SEAGREEN",PR!$BE786,IF(F788="SKG",PR!$BF786,IF(F788="TAH",PR!$BG786,IF(F788="TAYLEK",PR!$BH786,IF(F788="TEMITA",PR!$BI786,IF(F788="THL",PR!$BJ786,IF(F788="UBASTIC",PR!$BK786,IF(F788="UNION",PR!$BL786,IF(F788="UNIQUE",PR!$BM786,IF(F788="VIXA",PR!$BN786,IF(F788="WWCV",PR!$BO786,IF(F788="ZOLON",PR!$BP786,"-"))))))))))))))))))))))))))))))))))))))))))))))))))))))))))))))))</f>
        <v>78000</v>
      </c>
      <c r="F788" s="102" t="str">
        <f>EV!L993</f>
        <v>COSMADE</v>
      </c>
      <c r="G788" s="108">
        <f>IF(H788="ALPHA",PR!$E786,IF(H788="ASSENE",PR!$F786,IF(H788="BIOFEM",PR!$G786,IF(H788="BIOMED",PR!$H786,IF(H788="CHI",PR!$I786,IF(H788="CLARION",PR!$J786,IF(H788="CODIX",PR!$K786,IF(H788="COSMADE",PR!$L786,IF(H788="SANCON",PR!$M786,IF(H788="DEVON",PR!$N786,IF(H788="DORTEMAG",PR!$O786,IF(H788="DGF",PR!$P786,IF(H788="DYNAMIC",PR!$Q786,IF(H788="EMZOR",PR!$R786,IF(H788="EUMATT",PR!$S786,IF(H788="FIDSON",PR!$T786,IF(H788="FCGLOBAL",PR!$U786,IF(H788="GENEITH",PR!$V786,IF(H788="GINOS",PR!$W786,IF(H788="GSK",PR!$X786,IF(H788="GLOBORG",PR!$Y786,IF(H788="GOODNEWS",PR!$Z786,IF(H788="GREENLIFE",PR!$AA786,IF(H788="HLINE",PR!$AB786,IF(H788="ROTECH",PR!$AC786,IF(H788="ISN",PR!$AD786,IF(H788="JAWA",PR!$AE786,IF(H788="LAYO",PR!$AF786,IF(H788="LEADWAY",PR!$AG786,IF(H788="LHV",PR!$AH786,IF(H788="MANOLA",PR!$AI786,IF(H788="MARCSON",PR!$AJ786,IF(H788="M&amp;B",PR!$AK786,IF(H788="MTRUST",PR!$AL786,IF(H788="MWORLD",PR!$AM786,IF(H788="MEGA",PR!$AN786,IF(H788="MICRONOVA",PR!$AO786,IF(H788="MFLASH",PR!$AP786,IF(H788="MORISON",PR!$AQ786,IF(H788="NEMEL",PR!$AR786,IF(H788="NHP",PR!$AS786,IF(H788="NHC",PR!$AT786,IF(H788="OLEAF",PR!$AU786,IF(H788="OCULUS",PR!$AV786,IF(H788="PACIFIC",PR!$AW786,IF(H788="PHAMATEX",PR!$AX786,IF(H788="PETHICS",PR!$AY786,IF(H788="PHILIPS",PR!$AZ786,IF(H788="RANBAXY",PR!$BA786,IF(H788="REALS",PR!$BB786,IF(H788="ROYAL",PR!$BC786,IF(H788="SAM",PR!$BD786,IF(H788="SEAGREEN",PR!$BE786,IF(H788="SKG",PR!$BF786,IF(H788="TAH",PR!$BG786,IF(H788="TAYLEK",PR!$BH786,IF(H788="TEMITA",PR!$BI786,IF(H788="THL",PR!$BJ786,IF(H788="UBASTIC",PR!$BK786,IF(H788="UNION",PR!$BL786,IF(H788="UNIQUE",PR!$BM786,IF(H788="VIXA",PR!$BN786,IF(H788="WWCV",PR!$BO786,IF(H788="ZOLON",PR!$BP786,"-"))))))))))))))))))))))))))))))))))))))))))))))))))))))))))))))))</f>
        <v>82500</v>
      </c>
      <c r="H788" s="102" t="str">
        <f>EV!M993</f>
        <v>ROTECH</v>
      </c>
      <c r="I788" s="108">
        <f>IF(J788="ALPHA",PR!$E786,IF(J788="ASSENE",PR!$F786,IF(J788="BIOFEM",PR!$G786,IF(J788="BIOMED",PR!$H786,IF(J788="CHI",PR!$I786,IF(J788="CLARION",PR!$J786,IF(J788="CODIX",PR!$K786,IF(J788="COSMADE",PR!$L786,IF(J788="SANCON",PR!$M786,IF(J788="DEVON",PR!$N786,IF(J788="DORTEMAG",PR!$O786,IF(J788="DGF",PR!$P786,IF(J788="DYNAMIC",PR!$Q786,IF(J788="EMZOR",PR!$R786,IF(J788="EUMATT",PR!$S786,IF(J788="FIDSON",PR!$T786,IF(J788="FCGLOBAL",PR!$U786,IF(J788="GENEITH",PR!$V786,IF(J788="GINOS",PR!$W786,IF(J788="GSK",PR!$X786,IF(J788="GLOBORG",PR!$Y786,IF(J788="GOODNEWS",PR!$Z786,IF(J788="GREENLIFE",PR!$AA786,IF(J788="HLINE",PR!$AB786,IF(J788="ROTECH",PR!$AC786,IF(J788="ISN",PR!$AD786,IF(J788="JAWA",PR!$AE786,IF(J788="LAYO",PR!$AF786,IF(J788="LEADWAY",PR!$AG786,IF(J788="LHV",PR!$AH786,IF(J788="MANOLA",PR!$AI786,IF(J788="MARCSON",PR!$AJ786,IF(J788="M&amp;B",PR!$AK786,IF(J788="MTRUST",PR!$AL786,IF(J788="MWORLD",PR!$AM786,IF(J788="MEGA",PR!$AN786,IF(J788="MICRONOVA",PR!$AO786,IF(J788="MFLASH",PR!$AP786,IF(J788="MORISON",PR!$AQ786,IF(J788="NEMEL",PR!$AR786,IF(J788="NHP",PR!$AS786,IF(J788="NHC",PR!$AT786,IF(J788="OLEAF",PR!$AU786,IF(J788="OCULUS",PR!$AV786,IF(J788="PACIFIC",PR!$AW786,IF(J788="PHAMATEX",PR!$AX786,IF(J788="PETHICS",PR!$AY786,IF(J788="PHILIPS",PR!$AZ786,IF(J788="RANBAXY",PR!$BA786,IF(J788="REALS",PR!$BB786,IF(J788="ROYAL",PR!$BC786,IF(J788="SAM",PR!$BD786,IF(J788="SEAGREEN",PR!$BE786,IF(J788="SKG",PR!$BF786,IF(J788="TAH",PR!$BG786,IF(J788="TAYLEK",PR!$BH786,IF(J788="TEMITA",PR!$BI786,IF(J788="THL",PR!$BJ786,IF(J788="UBASTIC",PR!$BK786,IF(J788="UNION",PR!$BL786,IF(J788="UNIQUE",PR!$BM786,IF(J788="VIXA",PR!$BN786,IF(J788="WWCV",PR!$BO786,IF(J788="ZOLON",PR!$BP786,"-"))))))))))))))))))))))))))))))))))))))))))))))))))))))))))))))))</f>
        <v>93750</v>
      </c>
      <c r="J788" s="102" t="str">
        <f>EV!N993</f>
        <v>DYNAMIC</v>
      </c>
      <c r="K788" s="433" t="s">
        <v>1452</v>
      </c>
      <c r="L788" s="183">
        <f>IF(K788&gt;0,IF(K788="ALPHA",PR!$E786,IF(K788="ASSENE",PR!$F786,IF(K788="BIOFEM",PR!$G786,IF(K788="BIOMED",PR!$H786,IF(K788="CHI",PR!$I786,IF(K788="CLARION",PR!$J786,IF(K788="CODIX",PR!$K786,IF(K788="COSMADE",PR!$L786,IF(K788="SANCON",PR!$M786,IF(K788="DEVON",PR!$N786,IF(K788="DORTEMAG",PR!$O786,IF(K788="DGF",PR!$P786,IF(K788="DYNAMIC",PR!$Q786,IF(K788="EMZOR",PR!$R786,IF(K788="EUMATT",PR!$S786,IF(K788="FIDSON",PR!$T786,IF(K788="FCGLOBAL",PR!$U786,IF(K788="GENEITH",PR!$V786,IF(K788="GINOS",PR!$W786,IF(K788="GSK",PR!$X786,IF(K788="GLOBORG",PR!$Y786,IF(K788="GOODNEWS",PR!$Z786,IF(K788="GREENLIFE",PR!$AA786,IF(K788="HLINE",PR!$AB786,IF(K788="ROTECH",PR!$AC786,IF(K788="ISN",PR!$AD786,IF(K788="JAWA",PR!$AE786,IF(K788="LAYO",PR!$AF786,IF(K788="LEADWAY",PR!$AG786,IF(K788="LHV",PR!$AH786,IF(K788="MANOLA",PR!$AI786,IF(K788="MARCSON",PR!$AJ786,IF(K788="M&amp;B",PR!$AK786,IF(K788="MTRUST",PR!$AL786,IF(K788="MWORLD",PR!$AM786,IF(K788="MEGA",PR!$AN786,IF(K788="MICRONOVA",PR!$AO786,IF(K788="MFLASH",PR!$AP786,IF(K788="MORISON",PR!$AQ786,IF(K788="NEMEL",PR!$AR786,IF(K788="NHP",PR!$AS786,IF(K788="NHC",PR!$AT786,IF(K788="OLEAF",PR!$AU786,IF(K788="OCULUS",PR!$AV786,IF(K788="PACIFIC",PR!$AW786,IF(K788="PHAMATEX",PR!$AX786,IF(K788="PETHICS",PR!$AY786,IF(K788="PHILIPS",PR!$AZ786,IF(K788="RANBAXY",PR!$BA786,IF(K788="REALS",PR!$BB786,IF(K788="ROYAL",PR!$BC786,IF(K788="SAM",PR!$BD786,IF(K788="SEAGREEN",PR!$BE786,IF(K788="SKG",PR!$BF786,IF(K788="TAH",PR!$BG786,IF(K788="TAYLEK",PR!$BH786,IF(K788="TEMITA",PR!$BI786,IF(K788="THL",PR!$BJ786,IF(K788="UBASTIC",PR!$BK786,IF(K788="UNION",PR!$BL786,IF(K788="UNIQUE",PR!$BM786,IF(K788="VIXA",PR!$BN786,IF(K788="WWCV",PR!$BO786,IF(K788="ZOLON",PR!$BP786,"-")))))))))))))))))))))))))))))))))))))))))))))))))))))))))))))))))</f>
        <v>78000</v>
      </c>
    </row>
    <row r="789" spans="1:12" ht="18.75" x14ac:dyDescent="0.3">
      <c r="A789" s="430">
        <f>PR!A787</f>
        <v>710</v>
      </c>
      <c r="B789" s="15" t="str">
        <f>PR!B787</f>
        <v>FILMS AGFA 10" x 12" DRYSTAR DT 5 B (DRY MEDICAL FILM) 5</v>
      </c>
      <c r="C789" s="113">
        <f>PR!D787</f>
        <v>12</v>
      </c>
      <c r="D789" s="113">
        <f>PR!C787</f>
        <v>90</v>
      </c>
      <c r="E789" s="108">
        <f>IF(F789="ALPHA",PR!$E787,IF(F789="ASSENE",PR!$F787,IF(F789="BIOFEM",PR!$G787,IF(F789="BIOMED",PR!$H787,IF(F789="CHI",PR!$I787,IF(F789="CLARION",PR!$J787,IF(F789="CODIX",PR!$K787,IF(F789="COSMADE",PR!$L787,IF(F789="SANCON",PR!$M787,IF(F789="DEVON",PR!$N787,IF(F789="DORTEMAG",PR!$O787,IF(F789="DGF",PR!$P787,IF(F789="DYNAMIC",PR!$Q787,IF(F789="EMZOR",PR!$R787,IF(F789="EUMATT",PR!$S787,IF(F789="FIDSON",PR!$T787,IF(F789="FCGLOBAL",PR!$U787,IF(F789="GENEITH",PR!$V787,IF(F789="GINOS",PR!$W787,IF(F789="GSK",PR!$X787,IF(F789="GLOBORG",PR!$Y787,IF(F789="GOODNEWS",PR!$Z787,IF(F789="GREENLIFE",PR!$AA787,IF(F789="HLINE",PR!$AB787,IF(F789="ROTECH",PR!$AC787,IF(F789="ISN",PR!$AD787,IF(F789="JAWA",PR!$AE787,IF(F789="LAYO",PR!$AF787,IF(F789="LEADWAY",PR!$AG787,IF(F789="LHV",PR!$AH787,IF(F789="MANOLA",PR!$AI787,IF(F789="MARCSON",PR!$AJ787,IF(F789="M&amp;B",PR!$AK787,IF(F789="MTRUST",PR!$AL787,IF(F789="MWORLD",PR!$AM787,IF(F789="MEGA",PR!$AN787,IF(F789="MICRONOVA",PR!$AO787,IF(F789="MFLASH",PR!$AP787,IF(F789="MORISON",PR!$AQ787,IF(F789="NEMEL",PR!$AR787,IF(F789="NHP",PR!$AS787,IF(F789="NHC",PR!$AT787,IF(F789="OLEAF",PR!$AU787,IF(F789="OCULUS",PR!$AV787,IF(F789="PACIFIC",PR!$AW787,IF(F789="PHAMATEX",PR!$AX787,IF(F789="PETHICS",PR!$AY787,IF(F789="PHILIPS",PR!$AZ787,IF(F789="RANBAXY",PR!$BA787,IF(F789="REALS",PR!$BB787,IF(F789="ROYAL",PR!$BC787,IF(F789="SAM",PR!$BD787,IF(F789="SEAGREEN",PR!$BE787,IF(F789="SKG",PR!$BF787,IF(F789="TAH",PR!$BG787,IF(F789="TAYLEK",PR!$BH787,IF(F789="TEMITA",PR!$BI787,IF(F789="THL",PR!$BJ787,IF(F789="UBASTIC",PR!$BK787,IF(F789="UNION",PR!$BL787,IF(F789="UNIQUE",PR!$BM787,IF(F789="VIXA",PR!$BN787,IF(F789="WWCV",PR!$BO787,IF(F789="ZOLON",PR!$BP787,"-"))))))))))))))))))))))))))))))))))))))))))))))))))))))))))))))))</f>
        <v>60500</v>
      </c>
      <c r="F789" s="102" t="str">
        <f>EV!L994</f>
        <v>ROTECH</v>
      </c>
      <c r="G789" s="108">
        <f>IF(H789="ALPHA",PR!$E787,IF(H789="ASSENE",PR!$F787,IF(H789="BIOFEM",PR!$G787,IF(H789="BIOMED",PR!$H787,IF(H789="CHI",PR!$I787,IF(H789="CLARION",PR!$J787,IF(H789="CODIX",PR!$K787,IF(H789="COSMADE",PR!$L787,IF(H789="SANCON",PR!$M787,IF(H789="DEVON",PR!$N787,IF(H789="DORTEMAG",PR!$O787,IF(H789="DGF",PR!$P787,IF(H789="DYNAMIC",PR!$Q787,IF(H789="EMZOR",PR!$R787,IF(H789="EUMATT",PR!$S787,IF(H789="FIDSON",PR!$T787,IF(H789="FCGLOBAL",PR!$U787,IF(H789="GENEITH",PR!$V787,IF(H789="GINOS",PR!$W787,IF(H789="GSK",PR!$X787,IF(H789="GLOBORG",PR!$Y787,IF(H789="GOODNEWS",PR!$Z787,IF(H789="GREENLIFE",PR!$AA787,IF(H789="HLINE",PR!$AB787,IF(H789="ROTECH",PR!$AC787,IF(H789="ISN",PR!$AD787,IF(H789="JAWA",PR!$AE787,IF(H789="LAYO",PR!$AF787,IF(H789="LEADWAY",PR!$AG787,IF(H789="LHV",PR!$AH787,IF(H789="MANOLA",PR!$AI787,IF(H789="MARCSON",PR!$AJ787,IF(H789="M&amp;B",PR!$AK787,IF(H789="MTRUST",PR!$AL787,IF(H789="MWORLD",PR!$AM787,IF(H789="MEGA",PR!$AN787,IF(H789="MICRONOVA",PR!$AO787,IF(H789="MFLASH",PR!$AP787,IF(H789="MORISON",PR!$AQ787,IF(H789="NEMEL",PR!$AR787,IF(H789="NHP",PR!$AS787,IF(H789="NHC",PR!$AT787,IF(H789="OLEAF",PR!$AU787,IF(H789="OCULUS",PR!$AV787,IF(H789="PACIFIC",PR!$AW787,IF(H789="PHAMATEX",PR!$AX787,IF(H789="PETHICS",PR!$AY787,IF(H789="PHILIPS",PR!$AZ787,IF(H789="RANBAXY",PR!$BA787,IF(H789="REALS",PR!$BB787,IF(H789="ROYAL",PR!$BC787,IF(H789="SAM",PR!$BD787,IF(H789="SEAGREEN",PR!$BE787,IF(H789="SKG",PR!$BF787,IF(H789="TAH",PR!$BG787,IF(H789="TAYLEK",PR!$BH787,IF(H789="TEMITA",PR!$BI787,IF(H789="THL",PR!$BJ787,IF(H789="UBASTIC",PR!$BK787,IF(H789="UNION",PR!$BL787,IF(H789="UNIQUE",PR!$BM787,IF(H789="VIXA",PR!$BN787,IF(H789="WWCV",PR!$BO787,IF(H789="ZOLON",PR!$BP787,"-"))))))))))))))))))))))))))))))))))))))))))))))))))))))))))))))))</f>
        <v>65000</v>
      </c>
      <c r="H789" s="102" t="str">
        <f>EV!M994</f>
        <v>COSMADE</v>
      </c>
      <c r="I789" s="108">
        <f>IF(J789="ALPHA",PR!$E787,IF(J789="ASSENE",PR!$F787,IF(J789="BIOFEM",PR!$G787,IF(J789="BIOMED",PR!$H787,IF(J789="CHI",PR!$I787,IF(J789="CLARION",PR!$J787,IF(J789="CODIX",PR!$K787,IF(J789="COSMADE",PR!$L787,IF(J789="SANCON",PR!$M787,IF(J789="DEVON",PR!$N787,IF(J789="DORTEMAG",PR!$O787,IF(J789="DGF",PR!$P787,IF(J789="DYNAMIC",PR!$Q787,IF(J789="EMZOR",PR!$R787,IF(J789="EUMATT",PR!$S787,IF(J789="FIDSON",PR!$T787,IF(J789="FCGLOBAL",PR!$U787,IF(J789="GENEITH",PR!$V787,IF(J789="GINOS",PR!$W787,IF(J789="GSK",PR!$X787,IF(J789="GLOBORG",PR!$Y787,IF(J789="GOODNEWS",PR!$Z787,IF(J789="GREENLIFE",PR!$AA787,IF(J789="HLINE",PR!$AB787,IF(J789="ROTECH",PR!$AC787,IF(J789="ISN",PR!$AD787,IF(J789="JAWA",PR!$AE787,IF(J789="LAYO",PR!$AF787,IF(J789="LEADWAY",PR!$AG787,IF(J789="LHV",PR!$AH787,IF(J789="MANOLA",PR!$AI787,IF(J789="MARCSON",PR!$AJ787,IF(J789="M&amp;B",PR!$AK787,IF(J789="MTRUST",PR!$AL787,IF(J789="MWORLD",PR!$AM787,IF(J789="MEGA",PR!$AN787,IF(J789="MICRONOVA",PR!$AO787,IF(J789="MFLASH",PR!$AP787,IF(J789="MORISON",PR!$AQ787,IF(J789="NEMEL",PR!$AR787,IF(J789="NHP",PR!$AS787,IF(J789="NHC",PR!$AT787,IF(J789="OLEAF",PR!$AU787,IF(J789="OCULUS",PR!$AV787,IF(J789="PACIFIC",PR!$AW787,IF(J789="PHAMATEX",PR!$AX787,IF(J789="PETHICS",PR!$AY787,IF(J789="PHILIPS",PR!$AZ787,IF(J789="RANBAXY",PR!$BA787,IF(J789="REALS",PR!$BB787,IF(J789="ROYAL",PR!$BC787,IF(J789="SAM",PR!$BD787,IF(J789="SEAGREEN",PR!$BE787,IF(J789="SKG",PR!$BF787,IF(J789="TAH",PR!$BG787,IF(J789="TAYLEK",PR!$BH787,IF(J789="TEMITA",PR!$BI787,IF(J789="THL",PR!$BJ787,IF(J789="UBASTIC",PR!$BK787,IF(J789="UNION",PR!$BL787,IF(J789="UNIQUE",PR!$BM787,IF(J789="VIXA",PR!$BN787,IF(J789="WWCV",PR!$BO787,IF(J789="ZOLON",PR!$BP787,"-"))))))))))))))))))))))))))))))))))))))))))))))))))))))))))))))))</f>
        <v>68750</v>
      </c>
      <c r="J789" s="102" t="str">
        <f>EV!N994</f>
        <v>DYNAMIC</v>
      </c>
      <c r="K789" s="433" t="s">
        <v>825</v>
      </c>
      <c r="L789" s="183">
        <f>IF(K789&gt;0,IF(K789="ALPHA",PR!$E787,IF(K789="ASSENE",PR!$F787,IF(K789="BIOFEM",PR!$G787,IF(K789="BIOMED",PR!$H787,IF(K789="CHI",PR!$I787,IF(K789="CLARION",PR!$J787,IF(K789="CODIX",PR!$K787,IF(K789="COSMADE",PR!$L787,IF(K789="SANCON",PR!$M787,IF(K789="DEVON",PR!$N787,IF(K789="DORTEMAG",PR!$O787,IF(K789="DGF",PR!$P787,IF(K789="DYNAMIC",PR!$Q787,IF(K789="EMZOR",PR!$R787,IF(K789="EUMATT",PR!$S787,IF(K789="FIDSON",PR!$T787,IF(K789="FCGLOBAL",PR!$U787,IF(K789="GENEITH",PR!$V787,IF(K789="GINOS",PR!$W787,IF(K789="GSK",PR!$X787,IF(K789="GLOBORG",PR!$Y787,IF(K789="GOODNEWS",PR!$Z787,IF(K789="GREENLIFE",PR!$AA787,IF(K789="HLINE",PR!$AB787,IF(K789="ROTECH",PR!$AC787,IF(K789="ISN",PR!$AD787,IF(K789="JAWA",PR!$AE787,IF(K789="LAYO",PR!$AF787,IF(K789="LEADWAY",PR!$AG787,IF(K789="LHV",PR!$AH787,IF(K789="MANOLA",PR!$AI787,IF(K789="MARCSON",PR!$AJ787,IF(K789="M&amp;B",PR!$AK787,IF(K789="MTRUST",PR!$AL787,IF(K789="MWORLD",PR!$AM787,IF(K789="MEGA",PR!$AN787,IF(K789="MICRONOVA",PR!$AO787,IF(K789="MFLASH",PR!$AP787,IF(K789="MORISON",PR!$AQ787,IF(K789="NEMEL",PR!$AR787,IF(K789="NHP",PR!$AS787,IF(K789="NHC",PR!$AT787,IF(K789="OLEAF",PR!$AU787,IF(K789="OCULUS",PR!$AV787,IF(K789="PACIFIC",PR!$AW787,IF(K789="PHAMATEX",PR!$AX787,IF(K789="PETHICS",PR!$AY787,IF(K789="PHILIPS",PR!$AZ787,IF(K789="RANBAXY",PR!$BA787,IF(K789="REALS",PR!$BB787,IF(K789="ROYAL",PR!$BC787,IF(K789="SAM",PR!$BD787,IF(K789="SEAGREEN",PR!$BE787,IF(K789="SKG",PR!$BF787,IF(K789="TAH",PR!$BG787,IF(K789="TAYLEK",PR!$BH787,IF(K789="TEMITA",PR!$BI787,IF(K789="THL",PR!$BJ787,IF(K789="UBASTIC",PR!$BK787,IF(K789="UNION",PR!$BL787,IF(K789="UNIQUE",PR!$BM787,IF(K789="VIXA",PR!$BN787,IF(K789="WWCV",PR!$BO787,IF(K789="ZOLON",PR!$BP787,"-")))))))))))))))))))))))))))))))))))))))))))))))))))))))))))))))))</f>
        <v>60500</v>
      </c>
    </row>
    <row r="790" spans="1:12" ht="18.75" x14ac:dyDescent="0.3">
      <c r="A790" s="430">
        <f>PR!A788</f>
        <v>711</v>
      </c>
      <c r="B790" s="15" t="str">
        <f>PR!B788</f>
        <v>CARESTREAM DRY VIEW LASER IMAGING FILM 17" x 14"</v>
      </c>
      <c r="C790" s="113" t="str">
        <f>PR!D788</f>
        <v>PACK</v>
      </c>
      <c r="D790" s="113">
        <f>PR!C788</f>
        <v>25</v>
      </c>
      <c r="E790" s="108">
        <f>IF(F790="ALPHA",PR!$E788,IF(F790="ASSENE",PR!$F788,IF(F790="BIOFEM",PR!$G788,IF(F790="BIOMED",PR!$H788,IF(F790="CHI",PR!$I788,IF(F790="CLARION",PR!$J788,IF(F790="CODIX",PR!$K788,IF(F790="COSMADE",PR!$L788,IF(F790="SANCON",PR!$M788,IF(F790="DEVON",PR!$N788,IF(F790="DORTEMAG",PR!$O788,IF(F790="DGF",PR!$P788,IF(F790="DYNAMIC",PR!$Q788,IF(F790="EMZOR",PR!$R788,IF(F790="EUMATT",PR!$S788,IF(F790="FIDSON",PR!$T788,IF(F790="FCGLOBAL",PR!$U788,IF(F790="GENEITH",PR!$V788,IF(F790="GINOS",PR!$W788,IF(F790="GSK",PR!$X788,IF(F790="GLOBORG",PR!$Y788,IF(F790="GOODNEWS",PR!$Z788,IF(F790="GREENLIFE",PR!$AA788,IF(F790="HLINE",PR!$AB788,IF(F790="ROTECH",PR!$AC788,IF(F790="ISN",PR!$AD788,IF(F790="JAWA",PR!$AE788,IF(F790="LAYO",PR!$AF788,IF(F790="LEADWAY",PR!$AG788,IF(F790="LHV",PR!$AH788,IF(F790="MANOLA",PR!$AI788,IF(F790="MARCSON",PR!$AJ788,IF(F790="M&amp;B",PR!$AK788,IF(F790="MTRUST",PR!$AL788,IF(F790="MWORLD",PR!$AM788,IF(F790="MEGA",PR!$AN788,IF(F790="MICRONOVA",PR!$AO788,IF(F790="MFLASH",PR!$AP788,IF(F790="MORISON",PR!$AQ788,IF(F790="NEMEL",PR!$AR788,IF(F790="NHP",PR!$AS788,IF(F790="NHC",PR!$AT788,IF(F790="OLEAF",PR!$AU788,IF(F790="OCULUS",PR!$AV788,IF(F790="PACIFIC",PR!$AW788,IF(F790="PHAMATEX",PR!$AX788,IF(F790="PETHICS",PR!$AY788,IF(F790="PHILIPS",PR!$AZ788,IF(F790="RANBAXY",PR!$BA788,IF(F790="REALS",PR!$BB788,IF(F790="ROYAL",PR!$BC788,IF(F790="SAM",PR!$BD788,IF(F790="SEAGREEN",PR!$BE788,IF(F790="SKG",PR!$BF788,IF(F790="TAH",PR!$BG788,IF(F790="TAYLEK",PR!$BH788,IF(F790="TEMITA",PR!$BI788,IF(F790="THL",PR!$BJ788,IF(F790="UBASTIC",PR!$BK788,IF(F790="UNION",PR!$BL788,IF(F790="UNIQUE",PR!$BM788,IF(F790="VIXA",PR!$BN788,IF(F790="WWCV",PR!$BO788,IF(F790="ZOLON",PR!$BP788,"-"))))))))))))))))))))))))))))))))))))))))))))))))))))))))))))))))</f>
        <v>120000</v>
      </c>
      <c r="F790" s="102" t="str">
        <f>EV!L995</f>
        <v>COSMADE</v>
      </c>
      <c r="G790" s="108">
        <f>IF(H790="ALPHA",PR!$E788,IF(H790="ASSENE",PR!$F788,IF(H790="BIOFEM",PR!$G788,IF(H790="BIOMED",PR!$H788,IF(H790="CHI",PR!$I788,IF(H790="CLARION",PR!$J788,IF(H790="CODIX",PR!$K788,IF(H790="COSMADE",PR!$L788,IF(H790="SANCON",PR!$M788,IF(H790="DEVON",PR!$N788,IF(H790="DORTEMAG",PR!$O788,IF(H790="DGF",PR!$P788,IF(H790="DYNAMIC",PR!$Q788,IF(H790="EMZOR",PR!$R788,IF(H790="EUMATT",PR!$S788,IF(H790="FIDSON",PR!$T788,IF(H790="FCGLOBAL",PR!$U788,IF(H790="GENEITH",PR!$V788,IF(H790="GINOS",PR!$W788,IF(H790="GSK",PR!$X788,IF(H790="GLOBORG",PR!$Y788,IF(H790="GOODNEWS",PR!$Z788,IF(H790="GREENLIFE",PR!$AA788,IF(H790="HLINE",PR!$AB788,IF(H790="ROTECH",PR!$AC788,IF(H790="ISN",PR!$AD788,IF(H790="JAWA",PR!$AE788,IF(H790="LAYO",PR!$AF788,IF(H790="LEADWAY",PR!$AG788,IF(H790="LHV",PR!$AH788,IF(H790="MANOLA",PR!$AI788,IF(H790="MARCSON",PR!$AJ788,IF(H790="M&amp;B",PR!$AK788,IF(H790="MTRUST",PR!$AL788,IF(H790="MWORLD",PR!$AM788,IF(H790="MEGA",PR!$AN788,IF(H790="MICRONOVA",PR!$AO788,IF(H790="MFLASH",PR!$AP788,IF(H790="MORISON",PR!$AQ788,IF(H790="NEMEL",PR!$AR788,IF(H790="NHP",PR!$AS788,IF(H790="NHC",PR!$AT788,IF(H790="OLEAF",PR!$AU788,IF(H790="OCULUS",PR!$AV788,IF(H790="PACIFIC",PR!$AW788,IF(H790="PHAMATEX",PR!$AX788,IF(H790="PETHICS",PR!$AY788,IF(H790="PHILIPS",PR!$AZ788,IF(H790="RANBAXY",PR!$BA788,IF(H790="REALS",PR!$BB788,IF(H790="ROYAL",PR!$BC788,IF(H790="SAM",PR!$BD788,IF(H790="SEAGREEN",PR!$BE788,IF(H790="SKG",PR!$BF788,IF(H790="TAH",PR!$BG788,IF(H790="TAYLEK",PR!$BH788,IF(H790="TEMITA",PR!$BI788,IF(H790="THL",PR!$BJ788,IF(H790="UBASTIC",PR!$BK788,IF(H790="UNION",PR!$BL788,IF(H790="UNIQUE",PR!$BM788,IF(H790="VIXA",PR!$BN788,IF(H790="WWCV",PR!$BO788,IF(H790="ZOLON",PR!$BP788,"-"))))))))))))))))))))))))))))))))))))))))))))))))))))))))))))))))</f>
        <v>143750</v>
      </c>
      <c r="H790" s="102" t="str">
        <f>EV!M995</f>
        <v>DYNAMIC</v>
      </c>
      <c r="I790" s="108" t="str">
        <f>IF(J790="ALPHA",PR!$E788,IF(J790="ASSENE",PR!$F788,IF(J790="BIOFEM",PR!$G788,IF(J790="BIOMED",PR!$H788,IF(J790="CHI",PR!$I788,IF(J790="CLARION",PR!$J788,IF(J790="CODIX",PR!$K788,IF(J790="COSMADE",PR!$L788,IF(J790="SANCON",PR!$M788,IF(J790="DEVON",PR!$N788,IF(J790="DORTEMAG",PR!$O788,IF(J790="DGF",PR!$P788,IF(J790="DYNAMIC",PR!$Q788,IF(J790="EMZOR",PR!$R788,IF(J790="EUMATT",PR!$S788,IF(J790="FIDSON",PR!$T788,IF(J790="FCGLOBAL",PR!$U788,IF(J790="GENEITH",PR!$V788,IF(J790="GINOS",PR!$W788,IF(J790="GSK",PR!$X788,IF(J790="GLOBORG",PR!$Y788,IF(J790="GOODNEWS",PR!$Z788,IF(J790="GREENLIFE",PR!$AA788,IF(J790="HLINE",PR!$AB788,IF(J790="ROTECH",PR!$AC788,IF(J790="ISN",PR!$AD788,IF(J790="JAWA",PR!$AE788,IF(J790="LAYO",PR!$AF788,IF(J790="LEADWAY",PR!$AG788,IF(J790="LHV",PR!$AH788,IF(J790="MANOLA",PR!$AI788,IF(J790="MARCSON",PR!$AJ788,IF(J790="M&amp;B",PR!$AK788,IF(J790="MTRUST",PR!$AL788,IF(J790="MWORLD",PR!$AM788,IF(J790="MEGA",PR!$AN788,IF(J790="MICRONOVA",PR!$AO788,IF(J790="MFLASH",PR!$AP788,IF(J790="MORISON",PR!$AQ788,IF(J790="NEMEL",PR!$AR788,IF(J790="NHP",PR!$AS788,IF(J790="NHC",PR!$AT788,IF(J790="OLEAF",PR!$AU788,IF(J790="OCULUS",PR!$AV788,IF(J790="PACIFIC",PR!$AW788,IF(J790="PHAMATEX",PR!$AX788,IF(J790="PETHICS",PR!$AY788,IF(J790="PHILIPS",PR!$AZ788,IF(J790="RANBAXY",PR!$BA788,IF(J790="REALS",PR!$BB788,IF(J790="ROYAL",PR!$BC788,IF(J790="SAM",PR!$BD788,IF(J790="SEAGREEN",PR!$BE788,IF(J790="SKG",PR!$BF788,IF(J790="TAH",PR!$BG788,IF(J790="TAYLEK",PR!$BH788,IF(J790="TEMITA",PR!$BI788,IF(J790="THL",PR!$BJ788,IF(J790="UBASTIC",PR!$BK788,IF(J790="UNION",PR!$BL788,IF(J790="UNIQUE",PR!$BM788,IF(J790="VIXA",PR!$BN788,IF(J790="WWCV",PR!$BO788,IF(J790="ZOLON",PR!$BP788,"-"))))))))))))))))))))))))))))))))))))))))))))))))))))))))))))))))</f>
        <v>-</v>
      </c>
      <c r="J790" s="102">
        <f>EV!N995</f>
        <v>0</v>
      </c>
      <c r="K790" s="433" t="s">
        <v>1452</v>
      </c>
      <c r="L790" s="183">
        <f>IF(K790&gt;0,IF(K790="ALPHA",PR!$E788,IF(K790="ASSENE",PR!$F788,IF(K790="BIOFEM",PR!$G788,IF(K790="BIOMED",PR!$H788,IF(K790="CHI",PR!$I788,IF(K790="CLARION",PR!$J788,IF(K790="CODIX",PR!$K788,IF(K790="COSMADE",PR!$L788,IF(K790="SANCON",PR!$M788,IF(K790="DEVON",PR!$N788,IF(K790="DORTEMAG",PR!$O788,IF(K790="DGF",PR!$P788,IF(K790="DYNAMIC",PR!$Q788,IF(K790="EMZOR",PR!$R788,IF(K790="EUMATT",PR!$S788,IF(K790="FIDSON",PR!$T788,IF(K790="FCGLOBAL",PR!$U788,IF(K790="GENEITH",PR!$V788,IF(K790="GINOS",PR!$W788,IF(K790="GSK",PR!$X788,IF(K790="GLOBORG",PR!$Y788,IF(K790="GOODNEWS",PR!$Z788,IF(K790="GREENLIFE",PR!$AA788,IF(K790="HLINE",PR!$AB788,IF(K790="ROTECH",PR!$AC788,IF(K790="ISN",PR!$AD788,IF(K790="JAWA",PR!$AE788,IF(K790="LAYO",PR!$AF788,IF(K790="LEADWAY",PR!$AG788,IF(K790="LHV",PR!$AH788,IF(K790="MANOLA",PR!$AI788,IF(K790="MARCSON",PR!$AJ788,IF(K790="M&amp;B",PR!$AK788,IF(K790="MTRUST",PR!$AL788,IF(K790="MWORLD",PR!$AM788,IF(K790="MEGA",PR!$AN788,IF(K790="MICRONOVA",PR!$AO788,IF(K790="MFLASH",PR!$AP788,IF(K790="MORISON",PR!$AQ788,IF(K790="NEMEL",PR!$AR788,IF(K790="NHP",PR!$AS788,IF(K790="NHC",PR!$AT788,IF(K790="OLEAF",PR!$AU788,IF(K790="OCULUS",PR!$AV788,IF(K790="PACIFIC",PR!$AW788,IF(K790="PHAMATEX",PR!$AX788,IF(K790="PETHICS",PR!$AY788,IF(K790="PHILIPS",PR!$AZ788,IF(K790="RANBAXY",PR!$BA788,IF(K790="REALS",PR!$BB788,IF(K790="ROYAL",PR!$BC788,IF(K790="SAM",PR!$BD788,IF(K790="SEAGREEN",PR!$BE788,IF(K790="SKG",PR!$BF788,IF(K790="TAH",PR!$BG788,IF(K790="TAYLEK",PR!$BH788,IF(K790="TEMITA",PR!$BI788,IF(K790="THL",PR!$BJ788,IF(K790="UBASTIC",PR!$BK788,IF(K790="UNION",PR!$BL788,IF(K790="UNIQUE",PR!$BM788,IF(K790="VIXA",PR!$BN788,IF(K790="WWCV",PR!$BO788,IF(K790="ZOLON",PR!$BP788,"-")))))))))))))))))))))))))))))))))))))))))))))))))))))))))))))))))</f>
        <v>120000</v>
      </c>
    </row>
    <row r="791" spans="1:12" ht="18.75" x14ac:dyDescent="0.3">
      <c r="A791" s="430">
        <f>PR!A789</f>
        <v>712</v>
      </c>
      <c r="B791" s="15" t="str">
        <f>PR!B789</f>
        <v>CARESTREAM DRY VIEW LASER IMAGING FILM 12" x 10"</v>
      </c>
      <c r="C791" s="113" t="str">
        <f>PR!D789</f>
        <v>PACK</v>
      </c>
      <c r="D791" s="113">
        <f>PR!C789</f>
        <v>28</v>
      </c>
      <c r="E791" s="108">
        <f>IF(F791="ALPHA",PR!$E789,IF(F791="ASSENE",PR!$F789,IF(F791="BIOFEM",PR!$G789,IF(F791="BIOMED",PR!$H789,IF(F791="CHI",PR!$I789,IF(F791="CLARION",PR!$J789,IF(F791="CODIX",PR!$K789,IF(F791="COSMADE",PR!$L789,IF(F791="SANCON",PR!$M789,IF(F791="DEVON",PR!$N789,IF(F791="DORTEMAG",PR!$O789,IF(F791="DGF",PR!$P789,IF(F791="DYNAMIC",PR!$Q789,IF(F791="EMZOR",PR!$R789,IF(F791="EUMATT",PR!$S789,IF(F791="FIDSON",PR!$T789,IF(F791="FCGLOBAL",PR!$U789,IF(F791="GENEITH",PR!$V789,IF(F791="GINOS",PR!$W789,IF(F791="GSK",PR!$X789,IF(F791="GLOBORG",PR!$Y789,IF(F791="GOODNEWS",PR!$Z789,IF(F791="GREENLIFE",PR!$AA789,IF(F791="HLINE",PR!$AB789,IF(F791="ROTECH",PR!$AC789,IF(F791="ISN",PR!$AD789,IF(F791="JAWA",PR!$AE789,IF(F791="LAYO",PR!$AF789,IF(F791="LEADWAY",PR!$AG789,IF(F791="LHV",PR!$AH789,IF(F791="MANOLA",PR!$AI789,IF(F791="MARCSON",PR!$AJ789,IF(F791="M&amp;B",PR!$AK789,IF(F791="MTRUST",PR!$AL789,IF(F791="MWORLD",PR!$AM789,IF(F791="MEGA",PR!$AN789,IF(F791="MICRONOVA",PR!$AO789,IF(F791="MFLASH",PR!$AP789,IF(F791="MORISON",PR!$AQ789,IF(F791="NEMEL",PR!$AR789,IF(F791="NHP",PR!$AS789,IF(F791="NHC",PR!$AT789,IF(F791="OLEAF",PR!$AU789,IF(F791="OCULUS",PR!$AV789,IF(F791="PACIFIC",PR!$AW789,IF(F791="PHAMATEX",PR!$AX789,IF(F791="PETHICS",PR!$AY789,IF(F791="PHILIPS",PR!$AZ789,IF(F791="RANBAXY",PR!$BA789,IF(F791="REALS",PR!$BB789,IF(F791="ROYAL",PR!$BC789,IF(F791="SAM",PR!$BD789,IF(F791="SEAGREEN",PR!$BE789,IF(F791="SKG",PR!$BF789,IF(F791="TAH",PR!$BG789,IF(F791="TAYLEK",PR!$BH789,IF(F791="TEMITA",PR!$BI789,IF(F791="THL",PR!$BJ789,IF(F791="UBASTIC",PR!$BK789,IF(F791="UNION",PR!$BL789,IF(F791="UNIQUE",PR!$BM789,IF(F791="VIXA",PR!$BN789,IF(F791="WWCV",PR!$BO789,IF(F791="ZOLON",PR!$BP789,"-"))))))))))))))))))))))))))))))))))))))))))))))))))))))))))))))))</f>
        <v>95000</v>
      </c>
      <c r="F791" s="102" t="str">
        <f>EV!L996</f>
        <v>DYNAMIC</v>
      </c>
      <c r="G791" s="108" t="str">
        <f>IF(H791="ALPHA",PR!$E789,IF(H791="ASSENE",PR!$F789,IF(H791="BIOFEM",PR!$G789,IF(H791="BIOMED",PR!$H789,IF(H791="CHI",PR!$I789,IF(H791="CLARION",PR!$J789,IF(H791="CODIX",PR!$K789,IF(H791="COSMADE",PR!$L789,IF(H791="SANCON",PR!$M789,IF(H791="DEVON",PR!$N789,IF(H791="DORTEMAG",PR!$O789,IF(H791="DGF",PR!$P789,IF(H791="DYNAMIC",PR!$Q789,IF(H791="EMZOR",PR!$R789,IF(H791="EUMATT",PR!$S789,IF(H791="FIDSON",PR!$T789,IF(H791="FCGLOBAL",PR!$U789,IF(H791="GENEITH",PR!$V789,IF(H791="GINOS",PR!$W789,IF(H791="GSK",PR!$X789,IF(H791="GLOBORG",PR!$Y789,IF(H791="GOODNEWS",PR!$Z789,IF(H791="GREENLIFE",PR!$AA789,IF(H791="HLINE",PR!$AB789,IF(H791="ROTECH",PR!$AC789,IF(H791="ISN",PR!$AD789,IF(H791="JAWA",PR!$AE789,IF(H791="LAYO",PR!$AF789,IF(H791="LEADWAY",PR!$AG789,IF(H791="LHV",PR!$AH789,IF(H791="MANOLA",PR!$AI789,IF(H791="MARCSON",PR!$AJ789,IF(H791="M&amp;B",PR!$AK789,IF(H791="MTRUST",PR!$AL789,IF(H791="MWORLD",PR!$AM789,IF(H791="MEGA",PR!$AN789,IF(H791="MICRONOVA",PR!$AO789,IF(H791="MFLASH",PR!$AP789,IF(H791="MORISON",PR!$AQ789,IF(H791="NEMEL",PR!$AR789,IF(H791="NHP",PR!$AS789,IF(H791="NHC",PR!$AT789,IF(H791="OLEAF",PR!$AU789,IF(H791="OCULUS",PR!$AV789,IF(H791="PACIFIC",PR!$AW789,IF(H791="PHAMATEX",PR!$AX789,IF(H791="PETHICS",PR!$AY789,IF(H791="PHILIPS",PR!$AZ789,IF(H791="RANBAXY",PR!$BA789,IF(H791="REALS",PR!$BB789,IF(H791="ROYAL",PR!$BC789,IF(H791="SAM",PR!$BD789,IF(H791="SEAGREEN",PR!$BE789,IF(H791="SKG",PR!$BF789,IF(H791="TAH",PR!$BG789,IF(H791="TAYLEK",PR!$BH789,IF(H791="TEMITA",PR!$BI789,IF(H791="THL",PR!$BJ789,IF(H791="UBASTIC",PR!$BK789,IF(H791="UNION",PR!$BL789,IF(H791="UNIQUE",PR!$BM789,IF(H791="VIXA",PR!$BN789,IF(H791="WWCV",PR!$BO789,IF(H791="ZOLON",PR!$BP789,"-"))))))))))))))))))))))))))))))))))))))))))))))))))))))))))))))))</f>
        <v>-</v>
      </c>
      <c r="H791" s="102">
        <f>EV!M996</f>
        <v>0</v>
      </c>
      <c r="I791" s="108" t="str">
        <f>IF(J791="ALPHA",PR!$E789,IF(J791="ASSENE",PR!$F789,IF(J791="BIOFEM",PR!$G789,IF(J791="BIOMED",PR!$H789,IF(J791="CHI",PR!$I789,IF(J791="CLARION",PR!$J789,IF(J791="CODIX",PR!$K789,IF(J791="COSMADE",PR!$L789,IF(J791="SANCON",PR!$M789,IF(J791="DEVON",PR!$N789,IF(J791="DORTEMAG",PR!$O789,IF(J791="DGF",PR!$P789,IF(J791="DYNAMIC",PR!$Q789,IF(J791="EMZOR",PR!$R789,IF(J791="EUMATT",PR!$S789,IF(J791="FIDSON",PR!$T789,IF(J791="FCGLOBAL",PR!$U789,IF(J791="GENEITH",PR!$V789,IF(J791="GINOS",PR!$W789,IF(J791="GSK",PR!$X789,IF(J791="GLOBORG",PR!$Y789,IF(J791="GOODNEWS",PR!$Z789,IF(J791="GREENLIFE",PR!$AA789,IF(J791="HLINE",PR!$AB789,IF(J791="ROTECH",PR!$AC789,IF(J791="ISN",PR!$AD789,IF(J791="JAWA",PR!$AE789,IF(J791="LAYO",PR!$AF789,IF(J791="LEADWAY",PR!$AG789,IF(J791="LHV",PR!$AH789,IF(J791="MANOLA",PR!$AI789,IF(J791="MARCSON",PR!$AJ789,IF(J791="M&amp;B",PR!$AK789,IF(J791="MTRUST",PR!$AL789,IF(J791="MWORLD",PR!$AM789,IF(J791="MEGA",PR!$AN789,IF(J791="MICRONOVA",PR!$AO789,IF(J791="MFLASH",PR!$AP789,IF(J791="MORISON",PR!$AQ789,IF(J791="NEMEL",PR!$AR789,IF(J791="NHP",PR!$AS789,IF(J791="NHC",PR!$AT789,IF(J791="OLEAF",PR!$AU789,IF(J791="OCULUS",PR!$AV789,IF(J791="PACIFIC",PR!$AW789,IF(J791="PHAMATEX",PR!$AX789,IF(J791="PETHICS",PR!$AY789,IF(J791="PHILIPS",PR!$AZ789,IF(J791="RANBAXY",PR!$BA789,IF(J791="REALS",PR!$BB789,IF(J791="ROYAL",PR!$BC789,IF(J791="SAM",PR!$BD789,IF(J791="SEAGREEN",PR!$BE789,IF(J791="SKG",PR!$BF789,IF(J791="TAH",PR!$BG789,IF(J791="TAYLEK",PR!$BH789,IF(J791="TEMITA",PR!$BI789,IF(J791="THL",PR!$BJ789,IF(J791="UBASTIC",PR!$BK789,IF(J791="UNION",PR!$BL789,IF(J791="UNIQUE",PR!$BM789,IF(J791="VIXA",PR!$BN789,IF(J791="WWCV",PR!$BO789,IF(J791="ZOLON",PR!$BP789,"-"))))))))))))))))))))))))))))))))))))))))))))))))))))))))))))))))</f>
        <v>-</v>
      </c>
      <c r="J791" s="102">
        <f>EV!N996</f>
        <v>0</v>
      </c>
      <c r="K791" s="433" t="s">
        <v>626</v>
      </c>
      <c r="L791" s="183">
        <f>IF(K791&gt;0,IF(K791="ALPHA",PR!$E789,IF(K791="ASSENE",PR!$F789,IF(K791="BIOFEM",PR!$G789,IF(K791="BIOMED",PR!$H789,IF(K791="CHI",PR!$I789,IF(K791="CLARION",PR!$J789,IF(K791="CODIX",PR!$K789,IF(K791="COSMADE",PR!$L789,IF(K791="SANCON",PR!$M789,IF(K791="DEVON",PR!$N789,IF(K791="DORTEMAG",PR!$O789,IF(K791="DGF",PR!$P789,IF(K791="DYNAMIC",PR!$Q789,IF(K791="EMZOR",PR!$R789,IF(K791="EUMATT",PR!$S789,IF(K791="FIDSON",PR!$T789,IF(K791="FCGLOBAL",PR!$U789,IF(K791="GENEITH",PR!$V789,IF(K791="GINOS",PR!$W789,IF(K791="GSK",PR!$X789,IF(K791="GLOBORG",PR!$Y789,IF(K791="GOODNEWS",PR!$Z789,IF(K791="GREENLIFE",PR!$AA789,IF(K791="HLINE",PR!$AB789,IF(K791="ROTECH",PR!$AC789,IF(K791="ISN",PR!$AD789,IF(K791="JAWA",PR!$AE789,IF(K791="LAYO",PR!$AF789,IF(K791="LEADWAY",PR!$AG789,IF(K791="LHV",PR!$AH789,IF(K791="MANOLA",PR!$AI789,IF(K791="MARCSON",PR!$AJ789,IF(K791="M&amp;B",PR!$AK789,IF(K791="MTRUST",PR!$AL789,IF(K791="MWORLD",PR!$AM789,IF(K791="MEGA",PR!$AN789,IF(K791="MICRONOVA",PR!$AO789,IF(K791="MFLASH",PR!$AP789,IF(K791="MORISON",PR!$AQ789,IF(K791="NEMEL",PR!$AR789,IF(K791="NHP",PR!$AS789,IF(K791="NHC",PR!$AT789,IF(K791="OLEAF",PR!$AU789,IF(K791="OCULUS",PR!$AV789,IF(K791="PACIFIC",PR!$AW789,IF(K791="PHAMATEX",PR!$AX789,IF(K791="PETHICS",PR!$AY789,IF(K791="PHILIPS",PR!$AZ789,IF(K791="RANBAXY",PR!$BA789,IF(K791="REALS",PR!$BB789,IF(K791="ROYAL",PR!$BC789,IF(K791="SAM",PR!$BD789,IF(K791="SEAGREEN",PR!$BE789,IF(K791="SKG",PR!$BF789,IF(K791="TAH",PR!$BG789,IF(K791="TAYLEK",PR!$BH789,IF(K791="TEMITA",PR!$BI789,IF(K791="THL",PR!$BJ789,IF(K791="UBASTIC",PR!$BK789,IF(K791="UNION",PR!$BL789,IF(K791="UNIQUE",PR!$BM789,IF(K791="VIXA",PR!$BN789,IF(K791="WWCV",PR!$BO789,IF(K791="ZOLON",PR!$BP789,"-")))))))))))))))))))))))))))))))))))))))))))))))))))))))))))))))))</f>
        <v>95000</v>
      </c>
    </row>
    <row r="792" spans="1:12" ht="18.75" x14ac:dyDescent="0.3">
      <c r="A792" s="430">
        <f>PR!A790</f>
        <v>713</v>
      </c>
      <c r="B792" s="15" t="str">
        <f>PR!B790</f>
        <v>ULTRASOUND GEL</v>
      </c>
      <c r="C792" s="113" t="str">
        <f>PR!D790</f>
        <v>5L</v>
      </c>
      <c r="D792" s="113">
        <f>PR!C790</f>
        <v>15</v>
      </c>
      <c r="E792" s="108">
        <f>IF(F792="ALPHA",PR!$E790,IF(F792="ASSENE",PR!$F790,IF(F792="BIOFEM",PR!$G790,IF(F792="BIOMED",PR!$H790,IF(F792="CHI",PR!$I790,IF(F792="CLARION",PR!$J790,IF(F792="CODIX",PR!$K790,IF(F792="COSMADE",PR!$L790,IF(F792="SANCON",PR!$M790,IF(F792="DEVON",PR!$N790,IF(F792="DORTEMAG",PR!$O790,IF(F792="DGF",PR!$P790,IF(F792="DYNAMIC",PR!$Q790,IF(F792="EMZOR",PR!$R790,IF(F792="EUMATT",PR!$S790,IF(F792="FIDSON",PR!$T790,IF(F792="FCGLOBAL",PR!$U790,IF(F792="GENEITH",PR!$V790,IF(F792="GINOS",PR!$W790,IF(F792="GSK",PR!$X790,IF(F792="GLOBORG",PR!$Y790,IF(F792="GOODNEWS",PR!$Z790,IF(F792="GREENLIFE",PR!$AA790,IF(F792="HLINE",PR!$AB790,IF(F792="ROTECH",PR!$AC790,IF(F792="ISN",PR!$AD790,IF(F792="JAWA",PR!$AE790,IF(F792="LAYO",PR!$AF790,IF(F792="LEADWAY",PR!$AG790,IF(F792="LHV",PR!$AH790,IF(F792="MANOLA",PR!$AI790,IF(F792="MARCSON",PR!$AJ790,IF(F792="M&amp;B",PR!$AK790,IF(F792="MTRUST",PR!$AL790,IF(F792="MWORLD",PR!$AM790,IF(F792="MEGA",PR!$AN790,IF(F792="MICRONOVA",PR!$AO790,IF(F792="MFLASH",PR!$AP790,IF(F792="MORISON",PR!$AQ790,IF(F792="NEMEL",PR!$AR790,IF(F792="NHP",PR!$AS790,IF(F792="NHC",PR!$AT790,IF(F792="OLEAF",PR!$AU790,IF(F792="OCULUS",PR!$AV790,IF(F792="PACIFIC",PR!$AW790,IF(F792="PHAMATEX",PR!$AX790,IF(F792="PETHICS",PR!$AY790,IF(F792="PHILIPS",PR!$AZ790,IF(F792="RANBAXY",PR!$BA790,IF(F792="REALS",PR!$BB790,IF(F792="ROYAL",PR!$BC790,IF(F792="SAM",PR!$BD790,IF(F792="SEAGREEN",PR!$BE790,IF(F792="SKG",PR!$BF790,IF(F792="TAH",PR!$BG790,IF(F792="TAYLEK",PR!$BH790,IF(F792="TEMITA",PR!$BI790,IF(F792="THL",PR!$BJ790,IF(F792="UBASTIC",PR!$BK790,IF(F792="UNION",PR!$BL790,IF(F792="UNIQUE",PR!$BM790,IF(F792="VIXA",PR!$BN790,IF(F792="WWCV",PR!$BO790,IF(F792="ZOLON",PR!$BP790,"-"))))))))))))))))))))))))))))))))))))))))))))))))))))))))))))))))</f>
        <v>3850</v>
      </c>
      <c r="F792" s="102" t="str">
        <f>EV!L997</f>
        <v>ROTECH</v>
      </c>
      <c r="G792" s="108">
        <f>IF(H792="ALPHA",PR!$E790,IF(H792="ASSENE",PR!$F790,IF(H792="BIOFEM",PR!$G790,IF(H792="BIOMED",PR!$H790,IF(H792="CHI",PR!$I790,IF(H792="CLARION",PR!$J790,IF(H792="CODIX",PR!$K790,IF(H792="COSMADE",PR!$L790,IF(H792="SANCON",PR!$M790,IF(H792="DEVON",PR!$N790,IF(H792="DORTEMAG",PR!$O790,IF(H792="DGF",PR!$P790,IF(H792="DYNAMIC",PR!$Q790,IF(H792="EMZOR",PR!$R790,IF(H792="EUMATT",PR!$S790,IF(H792="FIDSON",PR!$T790,IF(H792="FCGLOBAL",PR!$U790,IF(H792="GENEITH",PR!$V790,IF(H792="GINOS",PR!$W790,IF(H792="GSK",PR!$X790,IF(H792="GLOBORG",PR!$Y790,IF(H792="GOODNEWS",PR!$Z790,IF(H792="GREENLIFE",PR!$AA790,IF(H792="HLINE",PR!$AB790,IF(H792="ROTECH",PR!$AC790,IF(H792="ISN",PR!$AD790,IF(H792="JAWA",PR!$AE790,IF(H792="LAYO",PR!$AF790,IF(H792="LEADWAY",PR!$AG790,IF(H792="LHV",PR!$AH790,IF(H792="MANOLA",PR!$AI790,IF(H792="MARCSON",PR!$AJ790,IF(H792="M&amp;B",PR!$AK790,IF(H792="MTRUST",PR!$AL790,IF(H792="MWORLD",PR!$AM790,IF(H792="MEGA",PR!$AN790,IF(H792="MICRONOVA",PR!$AO790,IF(H792="MFLASH",PR!$AP790,IF(H792="MORISON",PR!$AQ790,IF(H792="NEMEL",PR!$AR790,IF(H792="NHP",PR!$AS790,IF(H792="NHC",PR!$AT790,IF(H792="OLEAF",PR!$AU790,IF(H792="OCULUS",PR!$AV790,IF(H792="PACIFIC",PR!$AW790,IF(H792="PHAMATEX",PR!$AX790,IF(H792="PETHICS",PR!$AY790,IF(H792="PHILIPS",PR!$AZ790,IF(H792="RANBAXY",PR!$BA790,IF(H792="REALS",PR!$BB790,IF(H792="ROYAL",PR!$BC790,IF(H792="SAM",PR!$BD790,IF(H792="SEAGREEN",PR!$BE790,IF(H792="SKG",PR!$BF790,IF(H792="TAH",PR!$BG790,IF(H792="TAYLEK",PR!$BH790,IF(H792="TEMITA",PR!$BI790,IF(H792="THL",PR!$BJ790,IF(H792="UBASTIC",PR!$BK790,IF(H792="UNION",PR!$BL790,IF(H792="UNIQUE",PR!$BM790,IF(H792="VIXA",PR!$BN790,IF(H792="WWCV",PR!$BO790,IF(H792="ZOLON",PR!$BP790,"-"))))))))))))))))))))))))))))))))))))))))))))))))))))))))))))))))</f>
        <v>4000</v>
      </c>
      <c r="H792" s="102" t="str">
        <f>EV!M997</f>
        <v>COSMADE</v>
      </c>
      <c r="I792" s="108">
        <f>IF(J792="ALPHA",PR!$E790,IF(J792="ASSENE",PR!$F790,IF(J792="BIOFEM",PR!$G790,IF(J792="BIOMED",PR!$H790,IF(J792="CHI",PR!$I790,IF(J792="CLARION",PR!$J790,IF(J792="CODIX",PR!$K790,IF(J792="COSMADE",PR!$L790,IF(J792="SANCON",PR!$M790,IF(J792="DEVON",PR!$N790,IF(J792="DORTEMAG",PR!$O790,IF(J792="DGF",PR!$P790,IF(J792="DYNAMIC",PR!$Q790,IF(J792="EMZOR",PR!$R790,IF(J792="EUMATT",PR!$S790,IF(J792="FIDSON",PR!$T790,IF(J792="FCGLOBAL",PR!$U790,IF(J792="GENEITH",PR!$V790,IF(J792="GINOS",PR!$W790,IF(J792="GSK",PR!$X790,IF(J792="GLOBORG",PR!$Y790,IF(J792="GOODNEWS",PR!$Z790,IF(J792="GREENLIFE",PR!$AA790,IF(J792="HLINE",PR!$AB790,IF(J792="ROTECH",PR!$AC790,IF(J792="ISN",PR!$AD790,IF(J792="JAWA",PR!$AE790,IF(J792="LAYO",PR!$AF790,IF(J792="LEADWAY",PR!$AG790,IF(J792="LHV",PR!$AH790,IF(J792="MANOLA",PR!$AI790,IF(J792="MARCSON",PR!$AJ790,IF(J792="M&amp;B",PR!$AK790,IF(J792="MTRUST",PR!$AL790,IF(J792="MWORLD",PR!$AM790,IF(J792="MEGA",PR!$AN790,IF(J792="MICRONOVA",PR!$AO790,IF(J792="MFLASH",PR!$AP790,IF(J792="MORISON",PR!$AQ790,IF(J792="NEMEL",PR!$AR790,IF(J792="NHP",PR!$AS790,IF(J792="NHC",PR!$AT790,IF(J792="OLEAF",PR!$AU790,IF(J792="OCULUS",PR!$AV790,IF(J792="PACIFIC",PR!$AW790,IF(J792="PHAMATEX",PR!$AX790,IF(J792="PETHICS",PR!$AY790,IF(J792="PHILIPS",PR!$AZ790,IF(J792="RANBAXY",PR!$BA790,IF(J792="REALS",PR!$BB790,IF(J792="ROYAL",PR!$BC790,IF(J792="SAM",PR!$BD790,IF(J792="SEAGREEN",PR!$BE790,IF(J792="SKG",PR!$BF790,IF(J792="TAH",PR!$BG790,IF(J792="TAYLEK",PR!$BH790,IF(J792="TEMITA",PR!$BI790,IF(J792="THL",PR!$BJ790,IF(J792="UBASTIC",PR!$BK790,IF(J792="UNION",PR!$BL790,IF(J792="UNIQUE",PR!$BM790,IF(J792="VIXA",PR!$BN790,IF(J792="WWCV",PR!$BO790,IF(J792="ZOLON",PR!$BP790,"-"))))))))))))))))))))))))))))))))))))))))))))))))))))))))))))))))</f>
        <v>4500</v>
      </c>
      <c r="J792" s="102" t="str">
        <f>EV!N997</f>
        <v>UNION</v>
      </c>
      <c r="K792" s="433" t="s">
        <v>825</v>
      </c>
      <c r="L792" s="183">
        <f>IF(K792&gt;0,IF(K792="ALPHA",PR!$E790,IF(K792="ASSENE",PR!$F790,IF(K792="BIOFEM",PR!$G790,IF(K792="BIOMED",PR!$H790,IF(K792="CHI",PR!$I790,IF(K792="CLARION",PR!$J790,IF(K792="CODIX",PR!$K790,IF(K792="COSMADE",PR!$L790,IF(K792="SANCON",PR!$M790,IF(K792="DEVON",PR!$N790,IF(K792="DORTEMAG",PR!$O790,IF(K792="DGF",PR!$P790,IF(K792="DYNAMIC",PR!$Q790,IF(K792="EMZOR",PR!$R790,IF(K792="EUMATT",PR!$S790,IF(K792="FIDSON",PR!$T790,IF(K792="FCGLOBAL",PR!$U790,IF(K792="GENEITH",PR!$V790,IF(K792="GINOS",PR!$W790,IF(K792="GSK",PR!$X790,IF(K792="GLOBORG",PR!$Y790,IF(K792="GOODNEWS",PR!$Z790,IF(K792="GREENLIFE",PR!$AA790,IF(K792="HLINE",PR!$AB790,IF(K792="ROTECH",PR!$AC790,IF(K792="ISN",PR!$AD790,IF(K792="JAWA",PR!$AE790,IF(K792="LAYO",PR!$AF790,IF(K792="LEADWAY",PR!$AG790,IF(K792="LHV",PR!$AH790,IF(K792="MANOLA",PR!$AI790,IF(K792="MARCSON",PR!$AJ790,IF(K792="M&amp;B",PR!$AK790,IF(K792="MTRUST",PR!$AL790,IF(K792="MWORLD",PR!$AM790,IF(K792="MEGA",PR!$AN790,IF(K792="MICRONOVA",PR!$AO790,IF(K792="MFLASH",PR!$AP790,IF(K792="MORISON",PR!$AQ790,IF(K792="NEMEL",PR!$AR790,IF(K792="NHP",PR!$AS790,IF(K792="NHC",PR!$AT790,IF(K792="OLEAF",PR!$AU790,IF(K792="OCULUS",PR!$AV790,IF(K792="PACIFIC",PR!$AW790,IF(K792="PHAMATEX",PR!$AX790,IF(K792="PETHICS",PR!$AY790,IF(K792="PHILIPS",PR!$AZ790,IF(K792="RANBAXY",PR!$BA790,IF(K792="REALS",PR!$BB790,IF(K792="ROYAL",PR!$BC790,IF(K792="SAM",PR!$BD790,IF(K792="SEAGREEN",PR!$BE790,IF(K792="SKG",PR!$BF790,IF(K792="TAH",PR!$BG790,IF(K792="TAYLEK",PR!$BH790,IF(K792="TEMITA",PR!$BI790,IF(K792="THL",PR!$BJ790,IF(K792="UBASTIC",PR!$BK790,IF(K792="UNION",PR!$BL790,IF(K792="UNIQUE",PR!$BM790,IF(K792="VIXA",PR!$BN790,IF(K792="WWCV",PR!$BO790,IF(K792="ZOLON",PR!$BP790,"-")))))))))))))))))))))))))))))))))))))))))))))))))))))))))))))))))</f>
        <v>3850</v>
      </c>
    </row>
    <row r="793" spans="1:12" ht="18.75" x14ac:dyDescent="0.3">
      <c r="A793" s="430">
        <f>PR!A791</f>
        <v>714</v>
      </c>
      <c r="B793" s="15" t="str">
        <f>PR!B791</f>
        <v>TOILET ROLL</v>
      </c>
      <c r="C793" s="113">
        <f>PR!D791</f>
        <v>48</v>
      </c>
      <c r="D793" s="113">
        <f>PR!C791</f>
        <v>50</v>
      </c>
      <c r="E793" s="108">
        <f>IF(F793="ALPHA",PR!$E791,IF(F793="ASSENE",PR!$F791,IF(F793="BIOFEM",PR!$G791,IF(F793="BIOMED",PR!$H791,IF(F793="CHI",PR!$I791,IF(F793="CLARION",PR!$J791,IF(F793="CODIX",PR!$K791,IF(F793="COSMADE",PR!$L791,IF(F793="SANCON",PR!$M791,IF(F793="DEVON",PR!$N791,IF(F793="DORTEMAG",PR!$O791,IF(F793="DGF",PR!$P791,IF(F793="DYNAMIC",PR!$Q791,IF(F793="EMZOR",PR!$R791,IF(F793="EUMATT",PR!$S791,IF(F793="FIDSON",PR!$T791,IF(F793="FCGLOBAL",PR!$U791,IF(F793="GENEITH",PR!$V791,IF(F793="GINOS",PR!$W791,IF(F793="GSK",PR!$X791,IF(F793="GLOBORG",PR!$Y791,IF(F793="GOODNEWS",PR!$Z791,IF(F793="GREENLIFE",PR!$AA791,IF(F793="HLINE",PR!$AB791,IF(F793="ROTECH",PR!$AC791,IF(F793="ISN",PR!$AD791,IF(F793="JAWA",PR!$AE791,IF(F793="LAYO",PR!$AF791,IF(F793="LEADWAY",PR!$AG791,IF(F793="LHV",PR!$AH791,IF(F793="MANOLA",PR!$AI791,IF(F793="MARCSON",PR!$AJ791,IF(F793="M&amp;B",PR!$AK791,IF(F793="MTRUST",PR!$AL791,IF(F793="MWORLD",PR!$AM791,IF(F793="MEGA",PR!$AN791,IF(F793="MICRONOVA",PR!$AO791,IF(F793="MFLASH",PR!$AP791,IF(F793="MORISON",PR!$AQ791,IF(F793="NEMEL",PR!$AR791,IF(F793="NHP",PR!$AS791,IF(F793="NHC",PR!$AT791,IF(F793="OLEAF",PR!$AU791,IF(F793="OCULUS",PR!$AV791,IF(F793="PACIFIC",PR!$AW791,IF(F793="PHAMATEX",PR!$AX791,IF(F793="PETHICS",PR!$AY791,IF(F793="PHILIPS",PR!$AZ791,IF(F793="RANBAXY",PR!$BA791,IF(F793="REALS",PR!$BB791,IF(F793="ROYAL",PR!$BC791,IF(F793="SAM",PR!$BD791,IF(F793="SEAGREEN",PR!$BE791,IF(F793="SKG",PR!$BF791,IF(F793="TAH",PR!$BG791,IF(F793="TAYLEK",PR!$BH791,IF(F793="TEMITA",PR!$BI791,IF(F793="THL",PR!$BJ791,IF(F793="UBASTIC",PR!$BK791,IF(F793="UNION",PR!$BL791,IF(F793="UNIQUE",PR!$BM791,IF(F793="VIXA",PR!$BN791,IF(F793="WWCV",PR!$BO791,IF(F793="ZOLON",PR!$BP791,"-"))))))))))))))))))))))))))))))))))))))))))))))))))))))))))))))))</f>
        <v>4125</v>
      </c>
      <c r="F793" s="102" t="str">
        <f>EV!L998</f>
        <v>DYNAMIC</v>
      </c>
      <c r="G793" s="108" t="str">
        <f>IF(H793="ALPHA",PR!$E791,IF(H793="ASSENE",PR!$F791,IF(H793="BIOFEM",PR!$G791,IF(H793="BIOMED",PR!$H791,IF(H793="CHI",PR!$I791,IF(H793="CLARION",PR!$J791,IF(H793="CODIX",PR!$K791,IF(H793="COSMADE",PR!$L791,IF(H793="SANCON",PR!$M791,IF(H793="DEVON",PR!$N791,IF(H793="DORTEMAG",PR!$O791,IF(H793="DGF",PR!$P791,IF(H793="DYNAMIC",PR!$Q791,IF(H793="EMZOR",PR!$R791,IF(H793="EUMATT",PR!$S791,IF(H793="FIDSON",PR!$T791,IF(H793="FCGLOBAL",PR!$U791,IF(H793="GENEITH",PR!$V791,IF(H793="GINOS",PR!$W791,IF(H793="GSK",PR!$X791,IF(H793="GLOBORG",PR!$Y791,IF(H793="GOODNEWS",PR!$Z791,IF(H793="GREENLIFE",PR!$AA791,IF(H793="HLINE",PR!$AB791,IF(H793="ROTECH",PR!$AC791,IF(H793="ISN",PR!$AD791,IF(H793="JAWA",PR!$AE791,IF(H793="LAYO",PR!$AF791,IF(H793="LEADWAY",PR!$AG791,IF(H793="LHV",PR!$AH791,IF(H793="MANOLA",PR!$AI791,IF(H793="MARCSON",PR!$AJ791,IF(H793="M&amp;B",PR!$AK791,IF(H793="MTRUST",PR!$AL791,IF(H793="MWORLD",PR!$AM791,IF(H793="MEGA",PR!$AN791,IF(H793="MICRONOVA",PR!$AO791,IF(H793="MFLASH",PR!$AP791,IF(H793="MORISON",PR!$AQ791,IF(H793="NEMEL",PR!$AR791,IF(H793="NHP",PR!$AS791,IF(H793="NHC",PR!$AT791,IF(H793="OLEAF",PR!$AU791,IF(H793="OCULUS",PR!$AV791,IF(H793="PACIFIC",PR!$AW791,IF(H793="PHAMATEX",PR!$AX791,IF(H793="PETHICS",PR!$AY791,IF(H793="PHILIPS",PR!$AZ791,IF(H793="RANBAXY",PR!$BA791,IF(H793="REALS",PR!$BB791,IF(H793="ROYAL",PR!$BC791,IF(H793="SAM",PR!$BD791,IF(H793="SEAGREEN",PR!$BE791,IF(H793="SKG",PR!$BF791,IF(H793="TAH",PR!$BG791,IF(H793="TAYLEK",PR!$BH791,IF(H793="TEMITA",PR!$BI791,IF(H793="THL",PR!$BJ791,IF(H793="UBASTIC",PR!$BK791,IF(H793="UNION",PR!$BL791,IF(H793="UNIQUE",PR!$BM791,IF(H793="VIXA",PR!$BN791,IF(H793="WWCV",PR!$BO791,IF(H793="ZOLON",PR!$BP791,"-"))))))))))))))))))))))))))))))))))))))))))))))))))))))))))))))))</f>
        <v>-</v>
      </c>
      <c r="H793" s="102">
        <f>EV!M998</f>
        <v>0</v>
      </c>
      <c r="I793" s="108" t="str">
        <f>IF(J793="ALPHA",PR!$E791,IF(J793="ASSENE",PR!$F791,IF(J793="BIOFEM",PR!$G791,IF(J793="BIOMED",PR!$H791,IF(J793="CHI",PR!$I791,IF(J793="CLARION",PR!$J791,IF(J793="CODIX",PR!$K791,IF(J793="COSMADE",PR!$L791,IF(J793="SANCON",PR!$M791,IF(J793="DEVON",PR!$N791,IF(J793="DORTEMAG",PR!$O791,IF(J793="DGF",PR!$P791,IF(J793="DYNAMIC",PR!$Q791,IF(J793="EMZOR",PR!$R791,IF(J793="EUMATT",PR!$S791,IF(J793="FIDSON",PR!$T791,IF(J793="FCGLOBAL",PR!$U791,IF(J793="GENEITH",PR!$V791,IF(J793="GINOS",PR!$W791,IF(J793="GSK",PR!$X791,IF(J793="GLOBORG",PR!$Y791,IF(J793="GOODNEWS",PR!$Z791,IF(J793="GREENLIFE",PR!$AA791,IF(J793="HLINE",PR!$AB791,IF(J793="ROTECH",PR!$AC791,IF(J793="ISN",PR!$AD791,IF(J793="JAWA",PR!$AE791,IF(J793="LAYO",PR!$AF791,IF(J793="LEADWAY",PR!$AG791,IF(J793="LHV",PR!$AH791,IF(J793="MANOLA",PR!$AI791,IF(J793="MARCSON",PR!$AJ791,IF(J793="M&amp;B",PR!$AK791,IF(J793="MTRUST",PR!$AL791,IF(J793="MWORLD",PR!$AM791,IF(J793="MEGA",PR!$AN791,IF(J793="MICRONOVA",PR!$AO791,IF(J793="MFLASH",PR!$AP791,IF(J793="MORISON",PR!$AQ791,IF(J793="NEMEL",PR!$AR791,IF(J793="NHP",PR!$AS791,IF(J793="NHC",PR!$AT791,IF(J793="OLEAF",PR!$AU791,IF(J793="OCULUS",PR!$AV791,IF(J793="PACIFIC",PR!$AW791,IF(J793="PHAMATEX",PR!$AX791,IF(J793="PETHICS",PR!$AY791,IF(J793="PHILIPS",PR!$AZ791,IF(J793="RANBAXY",PR!$BA791,IF(J793="REALS",PR!$BB791,IF(J793="ROYAL",PR!$BC791,IF(J793="SAM",PR!$BD791,IF(J793="SEAGREEN",PR!$BE791,IF(J793="SKG",PR!$BF791,IF(J793="TAH",PR!$BG791,IF(J793="TAYLEK",PR!$BH791,IF(J793="TEMITA",PR!$BI791,IF(J793="THL",PR!$BJ791,IF(J793="UBASTIC",PR!$BK791,IF(J793="UNION",PR!$BL791,IF(J793="UNIQUE",PR!$BM791,IF(J793="VIXA",PR!$BN791,IF(J793="WWCV",PR!$BO791,IF(J793="ZOLON",PR!$BP791,"-"))))))))))))))))))))))))))))))))))))))))))))))))))))))))))))))))</f>
        <v>-</v>
      </c>
      <c r="J793" s="102">
        <f>EV!N998</f>
        <v>0</v>
      </c>
      <c r="K793" s="433" t="s">
        <v>626</v>
      </c>
      <c r="L793" s="183">
        <f>IF(K793&gt;0,IF(K793="ALPHA",PR!$E791,IF(K793="ASSENE",PR!$F791,IF(K793="BIOFEM",PR!$G791,IF(K793="BIOMED",PR!$H791,IF(K793="CHI",PR!$I791,IF(K793="CLARION",PR!$J791,IF(K793="CODIX",PR!$K791,IF(K793="COSMADE",PR!$L791,IF(K793="SANCON",PR!$M791,IF(K793="DEVON",PR!$N791,IF(K793="DORTEMAG",PR!$O791,IF(K793="DGF",PR!$P791,IF(K793="DYNAMIC",PR!$Q791,IF(K793="EMZOR",PR!$R791,IF(K793="EUMATT",PR!$S791,IF(K793="FIDSON",PR!$T791,IF(K793="FCGLOBAL",PR!$U791,IF(K793="GENEITH",PR!$V791,IF(K793="GINOS",PR!$W791,IF(K793="GSK",PR!$X791,IF(K793="GLOBORG",PR!$Y791,IF(K793="GOODNEWS",PR!$Z791,IF(K793="GREENLIFE",PR!$AA791,IF(K793="HLINE",PR!$AB791,IF(K793="ROTECH",PR!$AC791,IF(K793="ISN",PR!$AD791,IF(K793="JAWA",PR!$AE791,IF(K793="LAYO",PR!$AF791,IF(K793="LEADWAY",PR!$AG791,IF(K793="LHV",PR!$AH791,IF(K793="MANOLA",PR!$AI791,IF(K793="MARCSON",PR!$AJ791,IF(K793="M&amp;B",PR!$AK791,IF(K793="MTRUST",PR!$AL791,IF(K793="MWORLD",PR!$AM791,IF(K793="MEGA",PR!$AN791,IF(K793="MICRONOVA",PR!$AO791,IF(K793="MFLASH",PR!$AP791,IF(K793="MORISON",PR!$AQ791,IF(K793="NEMEL",PR!$AR791,IF(K793="NHP",PR!$AS791,IF(K793="NHC",PR!$AT791,IF(K793="OLEAF",PR!$AU791,IF(K793="OCULUS",PR!$AV791,IF(K793="PACIFIC",PR!$AW791,IF(K793="PHAMATEX",PR!$AX791,IF(K793="PETHICS",PR!$AY791,IF(K793="PHILIPS",PR!$AZ791,IF(K793="RANBAXY",PR!$BA791,IF(K793="REALS",PR!$BB791,IF(K793="ROYAL",PR!$BC791,IF(K793="SAM",PR!$BD791,IF(K793="SEAGREEN",PR!$BE791,IF(K793="SKG",PR!$BF791,IF(K793="TAH",PR!$BG791,IF(K793="TAYLEK",PR!$BH791,IF(K793="TEMITA",PR!$BI791,IF(K793="THL",PR!$BJ791,IF(K793="UBASTIC",PR!$BK791,IF(K793="UNION",PR!$BL791,IF(K793="UNIQUE",PR!$BM791,IF(K793="VIXA",PR!$BN791,IF(K793="WWCV",PR!$BO791,IF(K793="ZOLON",PR!$BP791,"-")))))))))))))))))))))))))))))))))))))))))))))))))))))))))))))))))</f>
        <v>4125</v>
      </c>
    </row>
    <row r="794" spans="1:12" ht="18.75" x14ac:dyDescent="0.3">
      <c r="A794" s="430">
        <f>PR!A792</f>
        <v>715</v>
      </c>
      <c r="B794" s="15" t="str">
        <f>PR!B792</f>
        <v>CONDOM</v>
      </c>
      <c r="C794" s="113" t="str">
        <f>PR!D792</f>
        <v>BOXES</v>
      </c>
      <c r="D794" s="113">
        <f>PR!C792</f>
        <v>20</v>
      </c>
      <c r="E794" s="108">
        <f>IF(F794="ALPHA",PR!$E792,IF(F794="ASSENE",PR!$F792,IF(F794="BIOFEM",PR!$G792,IF(F794="BIOMED",PR!$H792,IF(F794="CHI",PR!$I792,IF(F794="CLARION",PR!$J792,IF(F794="CODIX",PR!$K792,IF(F794="COSMADE",PR!$L792,IF(F794="SANCON",PR!$M792,IF(F794="DEVON",PR!$N792,IF(F794="DORTEMAG",PR!$O792,IF(F794="DGF",PR!$P792,IF(F794="DYNAMIC",PR!$Q792,IF(F794="EMZOR",PR!$R792,IF(F794="EUMATT",PR!$S792,IF(F794="FIDSON",PR!$T792,IF(F794="FCGLOBAL",PR!$U792,IF(F794="GENEITH",PR!$V792,IF(F794="GINOS",PR!$W792,IF(F794="GSK",PR!$X792,IF(F794="GLOBORG",PR!$Y792,IF(F794="GOODNEWS",PR!$Z792,IF(F794="GREENLIFE",PR!$AA792,IF(F794="HLINE",PR!$AB792,IF(F794="ROTECH",PR!$AC792,IF(F794="ISN",PR!$AD792,IF(F794="JAWA",PR!$AE792,IF(F794="LAYO",PR!$AF792,IF(F794="LEADWAY",PR!$AG792,IF(F794="LHV",PR!$AH792,IF(F794="MANOLA",PR!$AI792,IF(F794="MARCSON",PR!$AJ792,IF(F794="M&amp;B",PR!$AK792,IF(F794="MTRUST",PR!$AL792,IF(F794="MWORLD",PR!$AM792,IF(F794="MEGA",PR!$AN792,IF(F794="MICRONOVA",PR!$AO792,IF(F794="MFLASH",PR!$AP792,IF(F794="MORISON",PR!$AQ792,IF(F794="NEMEL",PR!$AR792,IF(F794="NHP",PR!$AS792,IF(F794="NHC",PR!$AT792,IF(F794="OLEAF",PR!$AU792,IF(F794="OCULUS",PR!$AV792,IF(F794="PACIFIC",PR!$AW792,IF(F794="PHAMATEX",PR!$AX792,IF(F794="PETHICS",PR!$AY792,IF(F794="PHILIPS",PR!$AZ792,IF(F794="RANBAXY",PR!$BA792,IF(F794="REALS",PR!$BB792,IF(F794="ROYAL",PR!$BC792,IF(F794="SAM",PR!$BD792,IF(F794="SEAGREEN",PR!$BE792,IF(F794="SKG",PR!$BF792,IF(F794="TAH",PR!$BG792,IF(F794="TAYLEK",PR!$BH792,IF(F794="TEMITA",PR!$BI792,IF(F794="THL",PR!$BJ792,IF(F794="UBASTIC",PR!$BK792,IF(F794="UNION",PR!$BL792,IF(F794="UNIQUE",PR!$BM792,IF(F794="VIXA",PR!$BN792,IF(F794="WWCV",PR!$BO792,IF(F794="ZOLON",PR!$BP792,"-"))))))))))))))))))))))))))))))))))))))))))))))))))))))))))))))))</f>
        <v>1625</v>
      </c>
      <c r="F794" s="102" t="str">
        <f>EV!L999</f>
        <v>DYNAMIC</v>
      </c>
      <c r="G794" s="108">
        <f>IF(H794="ALPHA",PR!$E792,IF(H794="ASSENE",PR!$F792,IF(H794="BIOFEM",PR!$G792,IF(H794="BIOMED",PR!$H792,IF(H794="CHI",PR!$I792,IF(H794="CLARION",PR!$J792,IF(H794="CODIX",PR!$K792,IF(H794="COSMADE",PR!$L792,IF(H794="SANCON",PR!$M792,IF(H794="DEVON",PR!$N792,IF(H794="DORTEMAG",PR!$O792,IF(H794="DGF",PR!$P792,IF(H794="DYNAMIC",PR!$Q792,IF(H794="EMZOR",PR!$R792,IF(H794="EUMATT",PR!$S792,IF(H794="FIDSON",PR!$T792,IF(H794="FCGLOBAL",PR!$U792,IF(H794="GENEITH",PR!$V792,IF(H794="GINOS",PR!$W792,IF(H794="GSK",PR!$X792,IF(H794="GLOBORG",PR!$Y792,IF(H794="GOODNEWS",PR!$Z792,IF(H794="GREENLIFE",PR!$AA792,IF(H794="HLINE",PR!$AB792,IF(H794="ROTECH",PR!$AC792,IF(H794="ISN",PR!$AD792,IF(H794="JAWA",PR!$AE792,IF(H794="LAYO",PR!$AF792,IF(H794="LEADWAY",PR!$AG792,IF(H794="LHV",PR!$AH792,IF(H794="MANOLA",PR!$AI792,IF(H794="MARCSON",PR!$AJ792,IF(H794="M&amp;B",PR!$AK792,IF(H794="MTRUST",PR!$AL792,IF(H794="MWORLD",PR!$AM792,IF(H794="MEGA",PR!$AN792,IF(H794="MICRONOVA",PR!$AO792,IF(H794="MFLASH",PR!$AP792,IF(H794="MORISON",PR!$AQ792,IF(H794="NEMEL",PR!$AR792,IF(H794="NHP",PR!$AS792,IF(H794="NHC",PR!$AT792,IF(H794="OLEAF",PR!$AU792,IF(H794="OCULUS",PR!$AV792,IF(H794="PACIFIC",PR!$AW792,IF(H794="PHAMATEX",PR!$AX792,IF(H794="PETHICS",PR!$AY792,IF(H794="PHILIPS",PR!$AZ792,IF(H794="RANBAXY",PR!$BA792,IF(H794="REALS",PR!$BB792,IF(H794="ROYAL",PR!$BC792,IF(H794="SAM",PR!$BD792,IF(H794="SEAGREEN",PR!$BE792,IF(H794="SKG",PR!$BF792,IF(H794="TAH",PR!$BG792,IF(H794="TAYLEK",PR!$BH792,IF(H794="TEMITA",PR!$BI792,IF(H794="THL",PR!$BJ792,IF(H794="UBASTIC",PR!$BK792,IF(H794="UNION",PR!$BL792,IF(H794="UNIQUE",PR!$BM792,IF(H794="VIXA",PR!$BN792,IF(H794="WWCV",PR!$BO792,IF(H794="ZOLON",PR!$BP792,"-"))))))))))))))))))))))))))))))))))))))))))))))))))))))))))))))))</f>
        <v>5000</v>
      </c>
      <c r="H794" s="102" t="str">
        <f>EV!M999</f>
        <v>COSMADE</v>
      </c>
      <c r="I794" s="108" t="str">
        <f>IF(J794="ALPHA",PR!$E792,IF(J794="ASSENE",PR!$F792,IF(J794="BIOFEM",PR!$G792,IF(J794="BIOMED",PR!$H792,IF(J794="CHI",PR!$I792,IF(J794="CLARION",PR!$J792,IF(J794="CODIX",PR!$K792,IF(J794="COSMADE",PR!$L792,IF(J794="SANCON",PR!$M792,IF(J794="DEVON",PR!$N792,IF(J794="DORTEMAG",PR!$O792,IF(J794="DGF",PR!$P792,IF(J794="DYNAMIC",PR!$Q792,IF(J794="EMZOR",PR!$R792,IF(J794="EUMATT",PR!$S792,IF(J794="FIDSON",PR!$T792,IF(J794="FCGLOBAL",PR!$U792,IF(J794="GENEITH",PR!$V792,IF(J794="GINOS",PR!$W792,IF(J794="GSK",PR!$X792,IF(J794="GLOBORG",PR!$Y792,IF(J794="GOODNEWS",PR!$Z792,IF(J794="GREENLIFE",PR!$AA792,IF(J794="HLINE",PR!$AB792,IF(J794="ROTECH",PR!$AC792,IF(J794="ISN",PR!$AD792,IF(J794="JAWA",PR!$AE792,IF(J794="LAYO",PR!$AF792,IF(J794="LEADWAY",PR!$AG792,IF(J794="LHV",PR!$AH792,IF(J794="MANOLA",PR!$AI792,IF(J794="MARCSON",PR!$AJ792,IF(J794="M&amp;B",PR!$AK792,IF(J794="MTRUST",PR!$AL792,IF(J794="MWORLD",PR!$AM792,IF(J794="MEGA",PR!$AN792,IF(J794="MICRONOVA",PR!$AO792,IF(J794="MFLASH",PR!$AP792,IF(J794="MORISON",PR!$AQ792,IF(J794="NEMEL",PR!$AR792,IF(J794="NHP",PR!$AS792,IF(J794="NHC",PR!$AT792,IF(J794="OLEAF",PR!$AU792,IF(J794="OCULUS",PR!$AV792,IF(J794="PACIFIC",PR!$AW792,IF(J794="PHAMATEX",PR!$AX792,IF(J794="PETHICS",PR!$AY792,IF(J794="PHILIPS",PR!$AZ792,IF(J794="RANBAXY",PR!$BA792,IF(J794="REALS",PR!$BB792,IF(J794="ROYAL",PR!$BC792,IF(J794="SAM",PR!$BD792,IF(J794="SEAGREEN",PR!$BE792,IF(J794="SKG",PR!$BF792,IF(J794="TAH",PR!$BG792,IF(J794="TAYLEK",PR!$BH792,IF(J794="TEMITA",PR!$BI792,IF(J794="THL",PR!$BJ792,IF(J794="UBASTIC",PR!$BK792,IF(J794="UNION",PR!$BL792,IF(J794="UNIQUE",PR!$BM792,IF(J794="VIXA",PR!$BN792,IF(J794="WWCV",PR!$BO792,IF(J794="ZOLON",PR!$BP792,"-"))))))))))))))))))))))))))))))))))))))))))))))))))))))))))))))))</f>
        <v>-</v>
      </c>
      <c r="J794" s="102">
        <f>EV!N999</f>
        <v>0</v>
      </c>
      <c r="K794" s="433" t="s">
        <v>626</v>
      </c>
      <c r="L794" s="183">
        <f>IF(K794&gt;0,IF(K794="ALPHA",PR!$E792,IF(K794="ASSENE",PR!$F792,IF(K794="BIOFEM",PR!$G792,IF(K794="BIOMED",PR!$H792,IF(K794="CHI",PR!$I792,IF(K794="CLARION",PR!$J792,IF(K794="CODIX",PR!$K792,IF(K794="COSMADE",PR!$L792,IF(K794="SANCON",PR!$M792,IF(K794="DEVON",PR!$N792,IF(K794="DORTEMAG",PR!$O792,IF(K794="DGF",PR!$P792,IF(K794="DYNAMIC",PR!$Q792,IF(K794="EMZOR",PR!$R792,IF(K794="EUMATT",PR!$S792,IF(K794="FIDSON",PR!$T792,IF(K794="FCGLOBAL",PR!$U792,IF(K794="GENEITH",PR!$V792,IF(K794="GINOS",PR!$W792,IF(K794="GSK",PR!$X792,IF(K794="GLOBORG",PR!$Y792,IF(K794="GOODNEWS",PR!$Z792,IF(K794="GREENLIFE",PR!$AA792,IF(K794="HLINE",PR!$AB792,IF(K794="ROTECH",PR!$AC792,IF(K794="ISN",PR!$AD792,IF(K794="JAWA",PR!$AE792,IF(K794="LAYO",PR!$AF792,IF(K794="LEADWAY",PR!$AG792,IF(K794="LHV",PR!$AH792,IF(K794="MANOLA",PR!$AI792,IF(K794="MARCSON",PR!$AJ792,IF(K794="M&amp;B",PR!$AK792,IF(K794="MTRUST",PR!$AL792,IF(K794="MWORLD",PR!$AM792,IF(K794="MEGA",PR!$AN792,IF(K794="MICRONOVA",PR!$AO792,IF(K794="MFLASH",PR!$AP792,IF(K794="MORISON",PR!$AQ792,IF(K794="NEMEL",PR!$AR792,IF(K794="NHP",PR!$AS792,IF(K794="NHC",PR!$AT792,IF(K794="OLEAF",PR!$AU792,IF(K794="OCULUS",PR!$AV792,IF(K794="PACIFIC",PR!$AW792,IF(K794="PHAMATEX",PR!$AX792,IF(K794="PETHICS",PR!$AY792,IF(K794="PHILIPS",PR!$AZ792,IF(K794="RANBAXY",PR!$BA792,IF(K794="REALS",PR!$BB792,IF(K794="ROYAL",PR!$BC792,IF(K794="SAM",PR!$BD792,IF(K794="SEAGREEN",PR!$BE792,IF(K794="SKG",PR!$BF792,IF(K794="TAH",PR!$BG792,IF(K794="TAYLEK",PR!$BH792,IF(K794="TEMITA",PR!$BI792,IF(K794="THL",PR!$BJ792,IF(K794="UBASTIC",PR!$BK792,IF(K794="UNION",PR!$BL792,IF(K794="UNIQUE",PR!$BM792,IF(K794="VIXA",PR!$BN792,IF(K794="WWCV",PR!$BO792,IF(K794="ZOLON",PR!$BP792,"-")))))))))))))))))))))))))))))))))))))))))))))))))))))))))))))))))</f>
        <v>1625</v>
      </c>
    </row>
    <row r="795" spans="1:12" ht="18.75" x14ac:dyDescent="0.3">
      <c r="A795" s="430">
        <f>PR!A793</f>
        <v>716</v>
      </c>
      <c r="B795" s="15" t="str">
        <f>PR!B793</f>
        <v>FACE MASK</v>
      </c>
      <c r="C795" s="113" t="str">
        <f>PR!D793</f>
        <v>BOXES</v>
      </c>
      <c r="D795" s="113">
        <f>PR!C793</f>
        <v>15</v>
      </c>
      <c r="E795" s="108">
        <f>IF(F795="ALPHA",PR!$E793,IF(F795="ASSENE",PR!$F793,IF(F795="BIOFEM",PR!$G793,IF(F795="BIOMED",PR!$H793,IF(F795="CHI",PR!$I793,IF(F795="CLARION",PR!$J793,IF(F795="CODIX",PR!$K793,IF(F795="COSMADE",PR!$L793,IF(F795="SANCON",PR!$M793,IF(F795="DEVON",PR!$N793,IF(F795="DORTEMAG",PR!$O793,IF(F795="DGF",PR!$P793,IF(F795="DYNAMIC",PR!$Q793,IF(F795="EMZOR",PR!$R793,IF(F795="EUMATT",PR!$S793,IF(F795="FIDSON",PR!$T793,IF(F795="FCGLOBAL",PR!$U793,IF(F795="GENEITH",PR!$V793,IF(F795="GINOS",PR!$W793,IF(F795="GSK",PR!$X793,IF(F795="GLOBORG",PR!$Y793,IF(F795="GOODNEWS",PR!$Z793,IF(F795="GREENLIFE",PR!$AA793,IF(F795="HLINE",PR!$AB793,IF(F795="ROTECH",PR!$AC793,IF(F795="ISN",PR!$AD793,IF(F795="JAWA",PR!$AE793,IF(F795="LAYO",PR!$AF793,IF(F795="LEADWAY",PR!$AG793,IF(F795="LHV",PR!$AH793,IF(F795="MANOLA",PR!$AI793,IF(F795="MARCSON",PR!$AJ793,IF(F795="M&amp;B",PR!$AK793,IF(F795="MTRUST",PR!$AL793,IF(F795="MWORLD",PR!$AM793,IF(F795="MEGA",PR!$AN793,IF(F795="MICRONOVA",PR!$AO793,IF(F795="MFLASH",PR!$AP793,IF(F795="MORISON",PR!$AQ793,IF(F795="NEMEL",PR!$AR793,IF(F795="NHP",PR!$AS793,IF(F795="NHC",PR!$AT793,IF(F795="OLEAF",PR!$AU793,IF(F795="OCULUS",PR!$AV793,IF(F795="PACIFIC",PR!$AW793,IF(F795="PHAMATEX",PR!$AX793,IF(F795="PETHICS",PR!$AY793,IF(F795="PHILIPS",PR!$AZ793,IF(F795="RANBAXY",PR!$BA793,IF(F795="REALS",PR!$BB793,IF(F795="ROYAL",PR!$BC793,IF(F795="SAM",PR!$BD793,IF(F795="SEAGREEN",PR!$BE793,IF(F795="SKG",PR!$BF793,IF(F795="TAH",PR!$BG793,IF(F795="TAYLEK",PR!$BH793,IF(F795="TEMITA",PR!$BI793,IF(F795="THL",PR!$BJ793,IF(F795="UBASTIC",PR!$BK793,IF(F795="UNION",PR!$BL793,IF(F795="UNIQUE",PR!$BM793,IF(F795="VIXA",PR!$BN793,IF(F795="WWCV",PR!$BO793,IF(F795="ZOLON",PR!$BP793,"-"))))))))))))))))))))))))))))))))))))))))))))))))))))))))))))))))</f>
        <v>330</v>
      </c>
      <c r="F795" s="102" t="str">
        <f>EV!L1000</f>
        <v>ROTECH</v>
      </c>
      <c r="G795" s="108">
        <f>IF(H795="ALPHA",PR!$E793,IF(H795="ASSENE",PR!$F793,IF(H795="BIOFEM",PR!$G793,IF(H795="BIOMED",PR!$H793,IF(H795="CHI",PR!$I793,IF(H795="CLARION",PR!$J793,IF(H795="CODIX",PR!$K793,IF(H795="COSMADE",PR!$L793,IF(H795="SANCON",PR!$M793,IF(H795="DEVON",PR!$N793,IF(H795="DORTEMAG",PR!$O793,IF(H795="DGF",PR!$P793,IF(H795="DYNAMIC",PR!$Q793,IF(H795="EMZOR",PR!$R793,IF(H795="EUMATT",PR!$S793,IF(H795="FIDSON",PR!$T793,IF(H795="FCGLOBAL",PR!$U793,IF(H795="GENEITH",PR!$V793,IF(H795="GINOS",PR!$W793,IF(H795="GSK",PR!$X793,IF(H795="GLOBORG",PR!$Y793,IF(H795="GOODNEWS",PR!$Z793,IF(H795="GREENLIFE",PR!$AA793,IF(H795="HLINE",PR!$AB793,IF(H795="ROTECH",PR!$AC793,IF(H795="ISN",PR!$AD793,IF(H795="JAWA",PR!$AE793,IF(H795="LAYO",PR!$AF793,IF(H795="LEADWAY",PR!$AG793,IF(H795="LHV",PR!$AH793,IF(H795="MANOLA",PR!$AI793,IF(H795="MARCSON",PR!$AJ793,IF(H795="M&amp;B",PR!$AK793,IF(H795="MTRUST",PR!$AL793,IF(H795="MWORLD",PR!$AM793,IF(H795="MEGA",PR!$AN793,IF(H795="MICRONOVA",PR!$AO793,IF(H795="MFLASH",PR!$AP793,IF(H795="MORISON",PR!$AQ793,IF(H795="NEMEL",PR!$AR793,IF(H795="NHP",PR!$AS793,IF(H795="NHC",PR!$AT793,IF(H795="OLEAF",PR!$AU793,IF(H795="OCULUS",PR!$AV793,IF(H795="PACIFIC",PR!$AW793,IF(H795="PHAMATEX",PR!$AX793,IF(H795="PETHICS",PR!$AY793,IF(H795="PHILIPS",PR!$AZ793,IF(H795="RANBAXY",PR!$BA793,IF(H795="REALS",PR!$BB793,IF(H795="ROYAL",PR!$BC793,IF(H795="SAM",PR!$BD793,IF(H795="SEAGREEN",PR!$BE793,IF(H795="SKG",PR!$BF793,IF(H795="TAH",PR!$BG793,IF(H795="TAYLEK",PR!$BH793,IF(H795="TEMITA",PR!$BI793,IF(H795="THL",PR!$BJ793,IF(H795="UBASTIC",PR!$BK793,IF(H795="UNION",PR!$BL793,IF(H795="UNIQUE",PR!$BM793,IF(H795="VIXA",PR!$BN793,IF(H795="WWCV",PR!$BO793,IF(H795="ZOLON",PR!$BP793,"-"))))))))))))))))))))))))))))))))))))))))))))))))))))))))))))))))</f>
        <v>500</v>
      </c>
      <c r="H795" s="102" t="str">
        <f>EV!M1000</f>
        <v>COSMADE</v>
      </c>
      <c r="I795" s="108">
        <f>IF(J795="ALPHA",PR!$E793,IF(J795="ASSENE",PR!$F793,IF(J795="BIOFEM",PR!$G793,IF(J795="BIOMED",PR!$H793,IF(J795="CHI",PR!$I793,IF(J795="CLARION",PR!$J793,IF(J795="CODIX",PR!$K793,IF(J795="COSMADE",PR!$L793,IF(J795="SANCON",PR!$M793,IF(J795="DEVON",PR!$N793,IF(J795="DORTEMAG",PR!$O793,IF(J795="DGF",PR!$P793,IF(J795="DYNAMIC",PR!$Q793,IF(J795="EMZOR",PR!$R793,IF(J795="EUMATT",PR!$S793,IF(J795="FIDSON",PR!$T793,IF(J795="FCGLOBAL",PR!$U793,IF(J795="GENEITH",PR!$V793,IF(J795="GINOS",PR!$W793,IF(J795="GSK",PR!$X793,IF(J795="GLOBORG",PR!$Y793,IF(J795="GOODNEWS",PR!$Z793,IF(J795="GREENLIFE",PR!$AA793,IF(J795="HLINE",PR!$AB793,IF(J795="ROTECH",PR!$AC793,IF(J795="ISN",PR!$AD793,IF(J795="JAWA",PR!$AE793,IF(J795="LAYO",PR!$AF793,IF(J795="LEADWAY",PR!$AG793,IF(J795="LHV",PR!$AH793,IF(J795="MANOLA",PR!$AI793,IF(J795="MARCSON",PR!$AJ793,IF(J795="M&amp;B",PR!$AK793,IF(J795="MTRUST",PR!$AL793,IF(J795="MWORLD",PR!$AM793,IF(J795="MEGA",PR!$AN793,IF(J795="MICRONOVA",PR!$AO793,IF(J795="MFLASH",PR!$AP793,IF(J795="MORISON",PR!$AQ793,IF(J795="NEMEL",PR!$AR793,IF(J795="NHP",PR!$AS793,IF(J795="NHC",PR!$AT793,IF(J795="OLEAF",PR!$AU793,IF(J795="OCULUS",PR!$AV793,IF(J795="PACIFIC",PR!$AW793,IF(J795="PHAMATEX",PR!$AX793,IF(J795="PETHICS",PR!$AY793,IF(J795="PHILIPS",PR!$AZ793,IF(J795="RANBAXY",PR!$BA793,IF(J795="REALS",PR!$BB793,IF(J795="ROYAL",PR!$BC793,IF(J795="SAM",PR!$BD793,IF(J795="SEAGREEN",PR!$BE793,IF(J795="SKG",PR!$BF793,IF(J795="TAH",PR!$BG793,IF(J795="TAYLEK",PR!$BH793,IF(J795="TEMITA",PR!$BI793,IF(J795="THL",PR!$BJ793,IF(J795="UBASTIC",PR!$BK793,IF(J795="UNION",PR!$BL793,IF(J795="UNIQUE",PR!$BM793,IF(J795="VIXA",PR!$BN793,IF(J795="WWCV",PR!$BO793,IF(J795="ZOLON",PR!$BP793,"-"))))))))))))))))))))))))))))))))))))))))))))))))))))))))))))))))</f>
        <v>500</v>
      </c>
      <c r="J795" s="102" t="str">
        <f>EV!N1000</f>
        <v>DYNAMIC</v>
      </c>
      <c r="K795" s="433" t="s">
        <v>825</v>
      </c>
      <c r="L795" s="183">
        <f>IF(K795&gt;0,IF(K795="ALPHA",PR!$E793,IF(K795="ASSENE",PR!$F793,IF(K795="BIOFEM",PR!$G793,IF(K795="BIOMED",PR!$H793,IF(K795="CHI",PR!$I793,IF(K795="CLARION",PR!$J793,IF(K795="CODIX",PR!$K793,IF(K795="COSMADE",PR!$L793,IF(K795="SANCON",PR!$M793,IF(K795="DEVON",PR!$N793,IF(K795="DORTEMAG",PR!$O793,IF(K795="DGF",PR!$P793,IF(K795="DYNAMIC",PR!$Q793,IF(K795="EMZOR",PR!$R793,IF(K795="EUMATT",PR!$S793,IF(K795="FIDSON",PR!$T793,IF(K795="FCGLOBAL",PR!$U793,IF(K795="GENEITH",PR!$V793,IF(K795="GINOS",PR!$W793,IF(K795="GSK",PR!$X793,IF(K795="GLOBORG",PR!$Y793,IF(K795="GOODNEWS",PR!$Z793,IF(K795="GREENLIFE",PR!$AA793,IF(K795="HLINE",PR!$AB793,IF(K795="ROTECH",PR!$AC793,IF(K795="ISN",PR!$AD793,IF(K795="JAWA",PR!$AE793,IF(K795="LAYO",PR!$AF793,IF(K795="LEADWAY",PR!$AG793,IF(K795="LHV",PR!$AH793,IF(K795="MANOLA",PR!$AI793,IF(K795="MARCSON",PR!$AJ793,IF(K795="M&amp;B",PR!$AK793,IF(K795="MTRUST",PR!$AL793,IF(K795="MWORLD",PR!$AM793,IF(K795="MEGA",PR!$AN793,IF(K795="MICRONOVA",PR!$AO793,IF(K795="MFLASH",PR!$AP793,IF(K795="MORISON",PR!$AQ793,IF(K795="NEMEL",PR!$AR793,IF(K795="NHP",PR!$AS793,IF(K795="NHC",PR!$AT793,IF(K795="OLEAF",PR!$AU793,IF(K795="OCULUS",PR!$AV793,IF(K795="PACIFIC",PR!$AW793,IF(K795="PHAMATEX",PR!$AX793,IF(K795="PETHICS",PR!$AY793,IF(K795="PHILIPS",PR!$AZ793,IF(K795="RANBAXY",PR!$BA793,IF(K795="REALS",PR!$BB793,IF(K795="ROYAL",PR!$BC793,IF(K795="SAM",PR!$BD793,IF(K795="SEAGREEN",PR!$BE793,IF(K795="SKG",PR!$BF793,IF(K795="TAH",PR!$BG793,IF(K795="TAYLEK",PR!$BH793,IF(K795="TEMITA",PR!$BI793,IF(K795="THL",PR!$BJ793,IF(K795="UBASTIC",PR!$BK793,IF(K795="UNION",PR!$BL793,IF(K795="UNIQUE",PR!$BM793,IF(K795="VIXA",PR!$BN793,IF(K795="WWCV",PR!$BO793,IF(K795="ZOLON",PR!$BP793,"-")))))))))))))))))))))))))))))))))))))))))))))))))))))))))))))))))</f>
        <v>330</v>
      </c>
    </row>
    <row r="796" spans="1:12" ht="18.75" x14ac:dyDescent="0.3">
      <c r="A796" s="430">
        <f>PR!A794</f>
        <v>717</v>
      </c>
      <c r="B796" s="15" t="str">
        <f>PR!B794</f>
        <v>UROGRAPHIN</v>
      </c>
      <c r="C796" s="113" t="str">
        <f>PR!D794</f>
        <v>PACK</v>
      </c>
      <c r="D796" s="113">
        <f>PR!C794</f>
        <v>60</v>
      </c>
      <c r="E796" s="108">
        <f>IF(F796="ALPHA",PR!$E794,IF(F796="ASSENE",PR!$F794,IF(F796="BIOFEM",PR!$G794,IF(F796="BIOMED",PR!$H794,IF(F796="CHI",PR!$I794,IF(F796="CLARION",PR!$J794,IF(F796="CODIX",PR!$K794,IF(F796="COSMADE",PR!$L794,IF(F796="SANCON",PR!$M794,IF(F796="DEVON",PR!$N794,IF(F796="DORTEMAG",PR!$O794,IF(F796="DGF",PR!$P794,IF(F796="DYNAMIC",PR!$Q794,IF(F796="EMZOR",PR!$R794,IF(F796="EUMATT",PR!$S794,IF(F796="FIDSON",PR!$T794,IF(F796="FCGLOBAL",PR!$U794,IF(F796="GENEITH",PR!$V794,IF(F796="GINOS",PR!$W794,IF(F796="GSK",PR!$X794,IF(F796="GLOBORG",PR!$Y794,IF(F796="GOODNEWS",PR!$Z794,IF(F796="GREENLIFE",PR!$AA794,IF(F796="HLINE",PR!$AB794,IF(F796="ROTECH",PR!$AC794,IF(F796="ISN",PR!$AD794,IF(F796="JAWA",PR!$AE794,IF(F796="LAYO",PR!$AF794,IF(F796="LEADWAY",PR!$AG794,IF(F796="LHV",PR!$AH794,IF(F796="MANOLA",PR!$AI794,IF(F796="MARCSON",PR!$AJ794,IF(F796="M&amp;B",PR!$AK794,IF(F796="MTRUST",PR!$AL794,IF(F796="MWORLD",PR!$AM794,IF(F796="MEGA",PR!$AN794,IF(F796="MICRONOVA",PR!$AO794,IF(F796="MFLASH",PR!$AP794,IF(F796="MORISON",PR!$AQ794,IF(F796="NEMEL",PR!$AR794,IF(F796="NHP",PR!$AS794,IF(F796="NHC",PR!$AT794,IF(F796="OLEAF",PR!$AU794,IF(F796="OCULUS",PR!$AV794,IF(F796="PACIFIC",PR!$AW794,IF(F796="PHAMATEX",PR!$AX794,IF(F796="PETHICS",PR!$AY794,IF(F796="PHILIPS",PR!$AZ794,IF(F796="RANBAXY",PR!$BA794,IF(F796="REALS",PR!$BB794,IF(F796="ROYAL",PR!$BC794,IF(F796="SAM",PR!$BD794,IF(F796="SEAGREEN",PR!$BE794,IF(F796="SKG",PR!$BF794,IF(F796="TAH",PR!$BG794,IF(F796="TAYLEK",PR!$BH794,IF(F796="TEMITA",PR!$BI794,IF(F796="THL",PR!$BJ794,IF(F796="UBASTIC",PR!$BK794,IF(F796="UNION",PR!$BL794,IF(F796="UNIQUE",PR!$BM794,IF(F796="VIXA",PR!$BN794,IF(F796="WWCV",PR!$BO794,IF(F796="ZOLON",PR!$BP794,"-"))))))))))))))))))))))))))))))))))))))))))))))))))))))))))))))))</f>
        <v>15000</v>
      </c>
      <c r="F796" s="102" t="str">
        <f>EV!L1001</f>
        <v>COSMADE</v>
      </c>
      <c r="G796" s="108">
        <f>IF(H796="ALPHA",PR!$E794,IF(H796="ASSENE",PR!$F794,IF(H796="BIOFEM",PR!$G794,IF(H796="BIOMED",PR!$H794,IF(H796="CHI",PR!$I794,IF(H796="CLARION",PR!$J794,IF(H796="CODIX",PR!$K794,IF(H796="COSMADE",PR!$L794,IF(H796="SANCON",PR!$M794,IF(H796="DEVON",PR!$N794,IF(H796="DORTEMAG",PR!$O794,IF(H796="DGF",PR!$P794,IF(H796="DYNAMIC",PR!$Q794,IF(H796="EMZOR",PR!$R794,IF(H796="EUMATT",PR!$S794,IF(H796="FIDSON",PR!$T794,IF(H796="FCGLOBAL",PR!$U794,IF(H796="GENEITH",PR!$V794,IF(H796="GINOS",PR!$W794,IF(H796="GSK",PR!$X794,IF(H796="GLOBORG",PR!$Y794,IF(H796="GOODNEWS",PR!$Z794,IF(H796="GREENLIFE",PR!$AA794,IF(H796="HLINE",PR!$AB794,IF(H796="ROTECH",PR!$AC794,IF(H796="ISN",PR!$AD794,IF(H796="JAWA",PR!$AE794,IF(H796="LAYO",PR!$AF794,IF(H796="LEADWAY",PR!$AG794,IF(H796="LHV",PR!$AH794,IF(H796="MANOLA",PR!$AI794,IF(H796="MARCSON",PR!$AJ794,IF(H796="M&amp;B",PR!$AK794,IF(H796="MTRUST",PR!$AL794,IF(H796="MWORLD",PR!$AM794,IF(H796="MEGA",PR!$AN794,IF(H796="MICRONOVA",PR!$AO794,IF(H796="MFLASH",PR!$AP794,IF(H796="MORISON",PR!$AQ794,IF(H796="NEMEL",PR!$AR794,IF(H796="NHP",PR!$AS794,IF(H796="NHC",PR!$AT794,IF(H796="OLEAF",PR!$AU794,IF(H796="OCULUS",PR!$AV794,IF(H796="PACIFIC",PR!$AW794,IF(H796="PHAMATEX",PR!$AX794,IF(H796="PETHICS",PR!$AY794,IF(H796="PHILIPS",PR!$AZ794,IF(H796="RANBAXY",PR!$BA794,IF(H796="REALS",PR!$BB794,IF(H796="ROYAL",PR!$BC794,IF(H796="SAM",PR!$BD794,IF(H796="SEAGREEN",PR!$BE794,IF(H796="SKG",PR!$BF794,IF(H796="TAH",PR!$BG794,IF(H796="TAYLEK",PR!$BH794,IF(H796="TEMITA",PR!$BI794,IF(H796="THL",PR!$BJ794,IF(H796="UBASTIC",PR!$BK794,IF(H796="UNION",PR!$BL794,IF(H796="UNIQUE",PR!$BM794,IF(H796="VIXA",PR!$BN794,IF(H796="WWCV",PR!$BO794,IF(H796="ZOLON",PR!$BP794,"-"))))))))))))))))))))))))))))))))))))))))))))))))))))))))))))))))</f>
        <v>15625</v>
      </c>
      <c r="H796" s="102" t="str">
        <f>EV!M1001</f>
        <v>DYNAMIC</v>
      </c>
      <c r="I796" s="108">
        <f>IF(J796="ALPHA",PR!$E794,IF(J796="ASSENE",PR!$F794,IF(J796="BIOFEM",PR!$G794,IF(J796="BIOMED",PR!$H794,IF(J796="CHI",PR!$I794,IF(J796="CLARION",PR!$J794,IF(J796="CODIX",PR!$K794,IF(J796="COSMADE",PR!$L794,IF(J796="SANCON",PR!$M794,IF(J796="DEVON",PR!$N794,IF(J796="DORTEMAG",PR!$O794,IF(J796="DGF",PR!$P794,IF(J796="DYNAMIC",PR!$Q794,IF(J796="EMZOR",PR!$R794,IF(J796="EUMATT",PR!$S794,IF(J796="FIDSON",PR!$T794,IF(J796="FCGLOBAL",PR!$U794,IF(J796="GENEITH",PR!$V794,IF(J796="GINOS",PR!$W794,IF(J796="GSK",PR!$X794,IF(J796="GLOBORG",PR!$Y794,IF(J796="GOODNEWS",PR!$Z794,IF(J796="GREENLIFE",PR!$AA794,IF(J796="HLINE",PR!$AB794,IF(J796="ROTECH",PR!$AC794,IF(J796="ISN",PR!$AD794,IF(J796="JAWA",PR!$AE794,IF(J796="LAYO",PR!$AF794,IF(J796="LEADWAY",PR!$AG794,IF(J796="LHV",PR!$AH794,IF(J796="MANOLA",PR!$AI794,IF(J796="MARCSON",PR!$AJ794,IF(J796="M&amp;B",PR!$AK794,IF(J796="MTRUST",PR!$AL794,IF(J796="MWORLD",PR!$AM794,IF(J796="MEGA",PR!$AN794,IF(J796="MICRONOVA",PR!$AO794,IF(J796="MFLASH",PR!$AP794,IF(J796="MORISON",PR!$AQ794,IF(J796="NEMEL",PR!$AR794,IF(J796="NHP",PR!$AS794,IF(J796="NHC",PR!$AT794,IF(J796="OLEAF",PR!$AU794,IF(J796="OCULUS",PR!$AV794,IF(J796="PACIFIC",PR!$AW794,IF(J796="PHAMATEX",PR!$AX794,IF(J796="PETHICS",PR!$AY794,IF(J796="PHILIPS",PR!$AZ794,IF(J796="RANBAXY",PR!$BA794,IF(J796="REALS",PR!$BB794,IF(J796="ROYAL",PR!$BC794,IF(J796="SAM",PR!$BD794,IF(J796="SEAGREEN",PR!$BE794,IF(J796="SKG",PR!$BF794,IF(J796="TAH",PR!$BG794,IF(J796="TAYLEK",PR!$BH794,IF(J796="TEMITA",PR!$BI794,IF(J796="THL",PR!$BJ794,IF(J796="UBASTIC",PR!$BK794,IF(J796="UNION",PR!$BL794,IF(J796="UNIQUE",PR!$BM794,IF(J796="VIXA",PR!$BN794,IF(J796="WWCV",PR!$BO794,IF(J796="ZOLON",PR!$BP794,"-"))))))))))))))))))))))))))))))))))))))))))))))))))))))))))))))))</f>
        <v>17920</v>
      </c>
      <c r="J796" s="102" t="str">
        <f>EV!N1001</f>
        <v>ROTECH</v>
      </c>
      <c r="K796" s="433" t="s">
        <v>1452</v>
      </c>
      <c r="L796" s="183">
        <f>IF(K796&gt;0,IF(K796="ALPHA",PR!$E794,IF(K796="ASSENE",PR!$F794,IF(K796="BIOFEM",PR!$G794,IF(K796="BIOMED",PR!$H794,IF(K796="CHI",PR!$I794,IF(K796="CLARION",PR!$J794,IF(K796="CODIX",PR!$K794,IF(K796="COSMADE",PR!$L794,IF(K796="SANCON",PR!$M794,IF(K796="DEVON",PR!$N794,IF(K796="DORTEMAG",PR!$O794,IF(K796="DGF",PR!$P794,IF(K796="DYNAMIC",PR!$Q794,IF(K796="EMZOR",PR!$R794,IF(K796="EUMATT",PR!$S794,IF(K796="FIDSON",PR!$T794,IF(K796="FCGLOBAL",PR!$U794,IF(K796="GENEITH",PR!$V794,IF(K796="GINOS",PR!$W794,IF(K796="GSK",PR!$X794,IF(K796="GLOBORG",PR!$Y794,IF(K796="GOODNEWS",PR!$Z794,IF(K796="GREENLIFE",PR!$AA794,IF(K796="HLINE",PR!$AB794,IF(K796="ROTECH",PR!$AC794,IF(K796="ISN",PR!$AD794,IF(K796="JAWA",PR!$AE794,IF(K796="LAYO",PR!$AF794,IF(K796="LEADWAY",PR!$AG794,IF(K796="LHV",PR!$AH794,IF(K796="MANOLA",PR!$AI794,IF(K796="MARCSON",PR!$AJ794,IF(K796="M&amp;B",PR!$AK794,IF(K796="MTRUST",PR!$AL794,IF(K796="MWORLD",PR!$AM794,IF(K796="MEGA",PR!$AN794,IF(K796="MICRONOVA",PR!$AO794,IF(K796="MFLASH",PR!$AP794,IF(K796="MORISON",PR!$AQ794,IF(K796="NEMEL",PR!$AR794,IF(K796="NHP",PR!$AS794,IF(K796="NHC",PR!$AT794,IF(K796="OLEAF",PR!$AU794,IF(K796="OCULUS",PR!$AV794,IF(K796="PACIFIC",PR!$AW794,IF(K796="PHAMATEX",PR!$AX794,IF(K796="PETHICS",PR!$AY794,IF(K796="PHILIPS",PR!$AZ794,IF(K796="RANBAXY",PR!$BA794,IF(K796="REALS",PR!$BB794,IF(K796="ROYAL",PR!$BC794,IF(K796="SAM",PR!$BD794,IF(K796="SEAGREEN",PR!$BE794,IF(K796="SKG",PR!$BF794,IF(K796="TAH",PR!$BG794,IF(K796="TAYLEK",PR!$BH794,IF(K796="TEMITA",PR!$BI794,IF(K796="THL",PR!$BJ794,IF(K796="UBASTIC",PR!$BK794,IF(K796="UNION",PR!$BL794,IF(K796="UNIQUE",PR!$BM794,IF(K796="VIXA",PR!$BN794,IF(K796="WWCV",PR!$BO794,IF(K796="ZOLON",PR!$BP794,"-")))))))))))))))))))))))))))))))))))))))))))))))))))))))))))))))))</f>
        <v>15000</v>
      </c>
    </row>
    <row r="797" spans="1:12" ht="18.75" x14ac:dyDescent="0.3">
      <c r="A797" s="430">
        <f>PR!A795</f>
        <v>718</v>
      </c>
      <c r="B797" s="15" t="str">
        <f>PR!B795</f>
        <v>BLADDER SYRINGE 50ML</v>
      </c>
      <c r="C797" s="113" t="str">
        <f>PR!D795</f>
        <v>CARTON</v>
      </c>
      <c r="D797" s="113">
        <f>PR!C795</f>
        <v>5</v>
      </c>
      <c r="E797" s="108">
        <f>IF(F797="ALPHA",PR!$E795,IF(F797="ASSENE",PR!$F795,IF(F797="BIOFEM",PR!$G795,IF(F797="BIOMED",PR!$H795,IF(F797="CHI",PR!$I795,IF(F797="CLARION",PR!$J795,IF(F797="CODIX",PR!$K795,IF(F797="COSMADE",PR!$L795,IF(F797="SANCON",PR!$M795,IF(F797="DEVON",PR!$N795,IF(F797="DORTEMAG",PR!$O795,IF(F797="DGF",PR!$P795,IF(F797="DYNAMIC",PR!$Q795,IF(F797="EMZOR",PR!$R795,IF(F797="EUMATT",PR!$S795,IF(F797="FIDSON",PR!$T795,IF(F797="FCGLOBAL",PR!$U795,IF(F797="GENEITH",PR!$V795,IF(F797="GINOS",PR!$W795,IF(F797="GSK",PR!$X795,IF(F797="GLOBORG",PR!$Y795,IF(F797="GOODNEWS",PR!$Z795,IF(F797="GREENLIFE",PR!$AA795,IF(F797="HLINE",PR!$AB795,IF(F797="ROTECH",PR!$AC795,IF(F797="ISN",PR!$AD795,IF(F797="JAWA",PR!$AE795,IF(F797="LAYO",PR!$AF795,IF(F797="LEADWAY",PR!$AG795,IF(F797="LHV",PR!$AH795,IF(F797="MANOLA",PR!$AI795,IF(F797="MARCSON",PR!$AJ795,IF(F797="M&amp;B",PR!$AK795,IF(F797="MTRUST",PR!$AL795,IF(F797="MWORLD",PR!$AM795,IF(F797="MEGA",PR!$AN795,IF(F797="MICRONOVA",PR!$AO795,IF(F797="MFLASH",PR!$AP795,IF(F797="MORISON",PR!$AQ795,IF(F797="NEMEL",PR!$AR795,IF(F797="NHP",PR!$AS795,IF(F797="NHC",PR!$AT795,IF(F797="OLEAF",PR!$AU795,IF(F797="OCULUS",PR!$AV795,IF(F797="PACIFIC",PR!$AW795,IF(F797="PHAMATEX",PR!$AX795,IF(F797="PETHICS",PR!$AY795,IF(F797="PHILIPS",PR!$AZ795,IF(F797="RANBAXY",PR!$BA795,IF(F797="REALS",PR!$BB795,IF(F797="ROYAL",PR!$BC795,IF(F797="SAM",PR!$BD795,IF(F797="SEAGREEN",PR!$BE795,IF(F797="SKG",PR!$BF795,IF(F797="TAH",PR!$BG795,IF(F797="TAYLEK",PR!$BH795,IF(F797="TEMITA",PR!$BI795,IF(F797="THL",PR!$BJ795,IF(F797="UBASTIC",PR!$BK795,IF(F797="UNION",PR!$BL795,IF(F797="UNIQUE",PR!$BM795,IF(F797="VIXA",PR!$BN795,IF(F797="WWCV",PR!$BO795,IF(F797="ZOLON",PR!$BP795,"-"))))))))))))))))))))))))))))))))))))))))))))))))))))))))))))))))</f>
        <v>17000</v>
      </c>
      <c r="F797" s="102" t="str">
        <f>EV!L1002</f>
        <v>ROTECH</v>
      </c>
      <c r="G797" s="108">
        <f>IF(H797="ALPHA",PR!$E795,IF(H797="ASSENE",PR!$F795,IF(H797="BIOFEM",PR!$G795,IF(H797="BIOMED",PR!$H795,IF(H797="CHI",PR!$I795,IF(H797="CLARION",PR!$J795,IF(H797="CODIX",PR!$K795,IF(H797="COSMADE",PR!$L795,IF(H797="SANCON",PR!$M795,IF(H797="DEVON",PR!$N795,IF(H797="DORTEMAG",PR!$O795,IF(H797="DGF",PR!$P795,IF(H797="DYNAMIC",PR!$Q795,IF(H797="EMZOR",PR!$R795,IF(H797="EUMATT",PR!$S795,IF(H797="FIDSON",PR!$T795,IF(H797="FCGLOBAL",PR!$U795,IF(H797="GENEITH",PR!$V795,IF(H797="GINOS",PR!$W795,IF(H797="GSK",PR!$X795,IF(H797="GLOBORG",PR!$Y795,IF(H797="GOODNEWS",PR!$Z795,IF(H797="GREENLIFE",PR!$AA795,IF(H797="HLINE",PR!$AB795,IF(H797="ROTECH",PR!$AC795,IF(H797="ISN",PR!$AD795,IF(H797="JAWA",PR!$AE795,IF(H797="LAYO",PR!$AF795,IF(H797="LEADWAY",PR!$AG795,IF(H797="LHV",PR!$AH795,IF(H797="MANOLA",PR!$AI795,IF(H797="MARCSON",PR!$AJ795,IF(H797="M&amp;B",PR!$AK795,IF(H797="MTRUST",PR!$AL795,IF(H797="MWORLD",PR!$AM795,IF(H797="MEGA",PR!$AN795,IF(H797="MICRONOVA",PR!$AO795,IF(H797="MFLASH",PR!$AP795,IF(H797="MORISON",PR!$AQ795,IF(H797="NEMEL",PR!$AR795,IF(H797="NHP",PR!$AS795,IF(H797="NHC",PR!$AT795,IF(H797="OLEAF",PR!$AU795,IF(H797="OCULUS",PR!$AV795,IF(H797="PACIFIC",PR!$AW795,IF(H797="PHAMATEX",PR!$AX795,IF(H797="PETHICS",PR!$AY795,IF(H797="PHILIPS",PR!$AZ795,IF(H797="RANBAXY",PR!$BA795,IF(H797="REALS",PR!$BB795,IF(H797="ROYAL",PR!$BC795,IF(H797="SAM",PR!$BD795,IF(H797="SEAGREEN",PR!$BE795,IF(H797="SKG",PR!$BF795,IF(H797="TAH",PR!$BG795,IF(H797="TAYLEK",PR!$BH795,IF(H797="TEMITA",PR!$BI795,IF(H797="THL",PR!$BJ795,IF(H797="UBASTIC",PR!$BK795,IF(H797="UNION",PR!$BL795,IF(H797="UNIQUE",PR!$BM795,IF(H797="VIXA",PR!$BN795,IF(H797="WWCV",PR!$BO795,IF(H797="ZOLON",PR!$BP795,"-"))))))))))))))))))))))))))))))))))))))))))))))))))))))))))))))))</f>
        <v>57500</v>
      </c>
      <c r="H797" s="102" t="str">
        <f>EV!M1002</f>
        <v>DYNAMIC</v>
      </c>
      <c r="I797" s="108" t="str">
        <f>IF(J797="ALPHA",PR!$E795,IF(J797="ASSENE",PR!$F795,IF(J797="BIOFEM",PR!$G795,IF(J797="BIOMED",PR!$H795,IF(J797="CHI",PR!$I795,IF(J797="CLARION",PR!$J795,IF(J797="CODIX",PR!$K795,IF(J797="COSMADE",PR!$L795,IF(J797="SANCON",PR!$M795,IF(J797="DEVON",PR!$N795,IF(J797="DORTEMAG",PR!$O795,IF(J797="DGF",PR!$P795,IF(J797="DYNAMIC",PR!$Q795,IF(J797="EMZOR",PR!$R795,IF(J797="EUMATT",PR!$S795,IF(J797="FIDSON",PR!$T795,IF(J797="FCGLOBAL",PR!$U795,IF(J797="GENEITH",PR!$V795,IF(J797="GINOS",PR!$W795,IF(J797="GSK",PR!$X795,IF(J797="GLOBORG",PR!$Y795,IF(J797="GOODNEWS",PR!$Z795,IF(J797="GREENLIFE",PR!$AA795,IF(J797="HLINE",PR!$AB795,IF(J797="ROTECH",PR!$AC795,IF(J797="ISN",PR!$AD795,IF(J797="JAWA",PR!$AE795,IF(J797="LAYO",PR!$AF795,IF(J797="LEADWAY",PR!$AG795,IF(J797="LHV",PR!$AH795,IF(J797="MANOLA",PR!$AI795,IF(J797="MARCSON",PR!$AJ795,IF(J797="M&amp;B",PR!$AK795,IF(J797="MTRUST",PR!$AL795,IF(J797="MWORLD",PR!$AM795,IF(J797="MEGA",PR!$AN795,IF(J797="MICRONOVA",PR!$AO795,IF(J797="MFLASH",PR!$AP795,IF(J797="MORISON",PR!$AQ795,IF(J797="NEMEL",PR!$AR795,IF(J797="NHP",PR!$AS795,IF(J797="NHC",PR!$AT795,IF(J797="OLEAF",PR!$AU795,IF(J797="OCULUS",PR!$AV795,IF(J797="PACIFIC",PR!$AW795,IF(J797="PHAMATEX",PR!$AX795,IF(J797="PETHICS",PR!$AY795,IF(J797="PHILIPS",PR!$AZ795,IF(J797="RANBAXY",PR!$BA795,IF(J797="REALS",PR!$BB795,IF(J797="ROYAL",PR!$BC795,IF(J797="SAM",PR!$BD795,IF(J797="SEAGREEN",PR!$BE795,IF(J797="SKG",PR!$BF795,IF(J797="TAH",PR!$BG795,IF(J797="TAYLEK",PR!$BH795,IF(J797="TEMITA",PR!$BI795,IF(J797="THL",PR!$BJ795,IF(J797="UBASTIC",PR!$BK795,IF(J797="UNION",PR!$BL795,IF(J797="UNIQUE",PR!$BM795,IF(J797="VIXA",PR!$BN795,IF(J797="WWCV",PR!$BO795,IF(J797="ZOLON",PR!$BP795,"-"))))))))))))))))))))))))))))))))))))))))))))))))))))))))))))))))</f>
        <v>-</v>
      </c>
      <c r="J797" s="102">
        <f>EV!N1002</f>
        <v>0</v>
      </c>
      <c r="K797" s="433" t="s">
        <v>825</v>
      </c>
      <c r="L797" s="183">
        <f>IF(K797&gt;0,IF(K797="ALPHA",PR!$E795,IF(K797="ASSENE",PR!$F795,IF(K797="BIOFEM",PR!$G795,IF(K797="BIOMED",PR!$H795,IF(K797="CHI",PR!$I795,IF(K797="CLARION",PR!$J795,IF(K797="CODIX",PR!$K795,IF(K797="COSMADE",PR!$L795,IF(K797="SANCON",PR!$M795,IF(K797="DEVON",PR!$N795,IF(K797="DORTEMAG",PR!$O795,IF(K797="DGF",PR!$P795,IF(K797="DYNAMIC",PR!$Q795,IF(K797="EMZOR",PR!$R795,IF(K797="EUMATT",PR!$S795,IF(K797="FIDSON",PR!$T795,IF(K797="FCGLOBAL",PR!$U795,IF(K797="GENEITH",PR!$V795,IF(K797="GINOS",PR!$W795,IF(K797="GSK",PR!$X795,IF(K797="GLOBORG",PR!$Y795,IF(K797="GOODNEWS",PR!$Z795,IF(K797="GREENLIFE",PR!$AA795,IF(K797="HLINE",PR!$AB795,IF(K797="ROTECH",PR!$AC795,IF(K797="ISN",PR!$AD795,IF(K797="JAWA",PR!$AE795,IF(K797="LAYO",PR!$AF795,IF(K797="LEADWAY",PR!$AG795,IF(K797="LHV",PR!$AH795,IF(K797="MANOLA",PR!$AI795,IF(K797="MARCSON",PR!$AJ795,IF(K797="M&amp;B",PR!$AK795,IF(K797="MTRUST",PR!$AL795,IF(K797="MWORLD",PR!$AM795,IF(K797="MEGA",PR!$AN795,IF(K797="MICRONOVA",PR!$AO795,IF(K797="MFLASH",PR!$AP795,IF(K797="MORISON",PR!$AQ795,IF(K797="NEMEL",PR!$AR795,IF(K797="NHP",PR!$AS795,IF(K797="NHC",PR!$AT795,IF(K797="OLEAF",PR!$AU795,IF(K797="OCULUS",PR!$AV795,IF(K797="PACIFIC",PR!$AW795,IF(K797="PHAMATEX",PR!$AX795,IF(K797="PETHICS",PR!$AY795,IF(K797="PHILIPS",PR!$AZ795,IF(K797="RANBAXY",PR!$BA795,IF(K797="REALS",PR!$BB795,IF(K797="ROYAL",PR!$BC795,IF(K797="SAM",PR!$BD795,IF(K797="SEAGREEN",PR!$BE795,IF(K797="SKG",PR!$BF795,IF(K797="TAH",PR!$BG795,IF(K797="TAYLEK",PR!$BH795,IF(K797="TEMITA",PR!$BI795,IF(K797="THL",PR!$BJ795,IF(K797="UBASTIC",PR!$BK795,IF(K797="UNION",PR!$BL795,IF(K797="UNIQUE",PR!$BM795,IF(K797="VIXA",PR!$BN795,IF(K797="WWCV",PR!$BO795,IF(K797="ZOLON",PR!$BP795,"-")))))))))))))))))))))))))))))))))))))))))))))))))))))))))))))))))</f>
        <v>17000</v>
      </c>
    </row>
    <row r="798" spans="1:12" ht="18.75" x14ac:dyDescent="0.3">
      <c r="A798" s="430">
        <f>PR!A796</f>
        <v>719</v>
      </c>
      <c r="B798" s="15" t="str">
        <f>PR!B796</f>
        <v>REQUEST FORMS</v>
      </c>
      <c r="C798" s="113" t="str">
        <f>PR!D796</f>
        <v>PCS</v>
      </c>
      <c r="D798" s="113">
        <f>PR!C796</f>
        <v>5000</v>
      </c>
      <c r="E798" s="108">
        <f>IF(F798="ALPHA",PR!$E796,IF(F798="ASSENE",PR!$F796,IF(F798="BIOFEM",PR!$G796,IF(F798="BIOMED",PR!$H796,IF(F798="CHI",PR!$I796,IF(F798="CLARION",PR!$J796,IF(F798="CODIX",PR!$K796,IF(F798="COSMADE",PR!$L796,IF(F798="SANCON",PR!$M796,IF(F798="DEVON",PR!$N796,IF(F798="DORTEMAG",PR!$O796,IF(F798="DGF",PR!$P796,IF(F798="DYNAMIC",PR!$Q796,IF(F798="EMZOR",PR!$R796,IF(F798="EUMATT",PR!$S796,IF(F798="FIDSON",PR!$T796,IF(F798="FCGLOBAL",PR!$U796,IF(F798="GENEITH",PR!$V796,IF(F798="GINOS",PR!$W796,IF(F798="GSK",PR!$X796,IF(F798="GLOBORG",PR!$Y796,IF(F798="GOODNEWS",PR!$Z796,IF(F798="GREENLIFE",PR!$AA796,IF(F798="HLINE",PR!$AB796,IF(F798="ROTECH",PR!$AC796,IF(F798="ISN",PR!$AD796,IF(F798="JAWA",PR!$AE796,IF(F798="LAYO",PR!$AF796,IF(F798="LEADWAY",PR!$AG796,IF(F798="LHV",PR!$AH796,IF(F798="MANOLA",PR!$AI796,IF(F798="MARCSON",PR!$AJ796,IF(F798="M&amp;B",PR!$AK796,IF(F798="MTRUST",PR!$AL796,IF(F798="MWORLD",PR!$AM796,IF(F798="MEGA",PR!$AN796,IF(F798="MICRONOVA",PR!$AO796,IF(F798="MFLASH",PR!$AP796,IF(F798="MORISON",PR!$AQ796,IF(F798="NEMEL",PR!$AR796,IF(F798="NHP",PR!$AS796,IF(F798="NHC",PR!$AT796,IF(F798="OLEAF",PR!$AU796,IF(F798="OCULUS",PR!$AV796,IF(F798="PACIFIC",PR!$AW796,IF(F798="PHAMATEX",PR!$AX796,IF(F798="PETHICS",PR!$AY796,IF(F798="PHILIPS",PR!$AZ796,IF(F798="RANBAXY",PR!$BA796,IF(F798="REALS",PR!$BB796,IF(F798="ROYAL",PR!$BC796,IF(F798="SAM",PR!$BD796,IF(F798="SEAGREEN",PR!$BE796,IF(F798="SKG",PR!$BF796,IF(F798="TAH",PR!$BG796,IF(F798="TAYLEK",PR!$BH796,IF(F798="TEMITA",PR!$BI796,IF(F798="THL",PR!$BJ796,IF(F798="UBASTIC",PR!$BK796,IF(F798="UNION",PR!$BL796,IF(F798="UNIQUE",PR!$BM796,IF(F798="VIXA",PR!$BN796,IF(F798="WWCV",PR!$BO796,IF(F798="ZOLON",PR!$BP796,"-"))))))))))))))))))))))))))))))))))))))))))))))))))))))))))))))))</f>
        <v>14</v>
      </c>
      <c r="F798" s="102" t="str">
        <f>EV!L1003</f>
        <v>DYNAMIC</v>
      </c>
      <c r="G798" s="108" t="str">
        <f>IF(H798="ALPHA",PR!$E796,IF(H798="ASSENE",PR!$F796,IF(H798="BIOFEM",PR!$G796,IF(H798="BIOMED",PR!$H796,IF(H798="CHI",PR!$I796,IF(H798="CLARION",PR!$J796,IF(H798="CODIX",PR!$K796,IF(H798="COSMADE",PR!$L796,IF(H798="SANCON",PR!$M796,IF(H798="DEVON",PR!$N796,IF(H798="DORTEMAG",PR!$O796,IF(H798="DGF",PR!$P796,IF(H798="DYNAMIC",PR!$Q796,IF(H798="EMZOR",PR!$R796,IF(H798="EUMATT",PR!$S796,IF(H798="FIDSON",PR!$T796,IF(H798="FCGLOBAL",PR!$U796,IF(H798="GENEITH",PR!$V796,IF(H798="GINOS",PR!$W796,IF(H798="GSK",PR!$X796,IF(H798="GLOBORG",PR!$Y796,IF(H798="GOODNEWS",PR!$Z796,IF(H798="GREENLIFE",PR!$AA796,IF(H798="HLINE",PR!$AB796,IF(H798="ROTECH",PR!$AC796,IF(H798="ISN",PR!$AD796,IF(H798="JAWA",PR!$AE796,IF(H798="LAYO",PR!$AF796,IF(H798="LEADWAY",PR!$AG796,IF(H798="LHV",PR!$AH796,IF(H798="MANOLA",PR!$AI796,IF(H798="MARCSON",PR!$AJ796,IF(H798="M&amp;B",PR!$AK796,IF(H798="MTRUST",PR!$AL796,IF(H798="MWORLD",PR!$AM796,IF(H798="MEGA",PR!$AN796,IF(H798="MICRONOVA",PR!$AO796,IF(H798="MFLASH",PR!$AP796,IF(H798="MORISON",PR!$AQ796,IF(H798="NEMEL",PR!$AR796,IF(H798="NHP",PR!$AS796,IF(H798="NHC",PR!$AT796,IF(H798="OLEAF",PR!$AU796,IF(H798="OCULUS",PR!$AV796,IF(H798="PACIFIC",PR!$AW796,IF(H798="PHAMATEX",PR!$AX796,IF(H798="PETHICS",PR!$AY796,IF(H798="PHILIPS",PR!$AZ796,IF(H798="RANBAXY",PR!$BA796,IF(H798="REALS",PR!$BB796,IF(H798="ROYAL",PR!$BC796,IF(H798="SAM",PR!$BD796,IF(H798="SEAGREEN",PR!$BE796,IF(H798="SKG",PR!$BF796,IF(H798="TAH",PR!$BG796,IF(H798="TAYLEK",PR!$BH796,IF(H798="TEMITA",PR!$BI796,IF(H798="THL",PR!$BJ796,IF(H798="UBASTIC",PR!$BK796,IF(H798="UNION",PR!$BL796,IF(H798="UNIQUE",PR!$BM796,IF(H798="VIXA",PR!$BN796,IF(H798="WWCV",PR!$BO796,IF(H798="ZOLON",PR!$BP796,"-"))))))))))))))))))))))))))))))))))))))))))))))))))))))))))))))))</f>
        <v>-</v>
      </c>
      <c r="H798" s="102">
        <f>EV!M1003</f>
        <v>0</v>
      </c>
      <c r="I798" s="108" t="str">
        <f>IF(J798="ALPHA",PR!$E796,IF(J798="ASSENE",PR!$F796,IF(J798="BIOFEM",PR!$G796,IF(J798="BIOMED",PR!$H796,IF(J798="CHI",PR!$I796,IF(J798="CLARION",PR!$J796,IF(J798="CODIX",PR!$K796,IF(J798="COSMADE",PR!$L796,IF(J798="SANCON",PR!$M796,IF(J798="DEVON",PR!$N796,IF(J798="DORTEMAG",PR!$O796,IF(J798="DGF",PR!$P796,IF(J798="DYNAMIC",PR!$Q796,IF(J798="EMZOR",PR!$R796,IF(J798="EUMATT",PR!$S796,IF(J798="FIDSON",PR!$T796,IF(J798="FCGLOBAL",PR!$U796,IF(J798="GENEITH",PR!$V796,IF(J798="GINOS",PR!$W796,IF(J798="GSK",PR!$X796,IF(J798="GLOBORG",PR!$Y796,IF(J798="GOODNEWS",PR!$Z796,IF(J798="GREENLIFE",PR!$AA796,IF(J798="HLINE",PR!$AB796,IF(J798="ROTECH",PR!$AC796,IF(J798="ISN",PR!$AD796,IF(J798="JAWA",PR!$AE796,IF(J798="LAYO",PR!$AF796,IF(J798="LEADWAY",PR!$AG796,IF(J798="LHV",PR!$AH796,IF(J798="MANOLA",PR!$AI796,IF(J798="MARCSON",PR!$AJ796,IF(J798="M&amp;B",PR!$AK796,IF(J798="MTRUST",PR!$AL796,IF(J798="MWORLD",PR!$AM796,IF(J798="MEGA",PR!$AN796,IF(J798="MICRONOVA",PR!$AO796,IF(J798="MFLASH",PR!$AP796,IF(J798="MORISON",PR!$AQ796,IF(J798="NEMEL",PR!$AR796,IF(J798="NHP",PR!$AS796,IF(J798="NHC",PR!$AT796,IF(J798="OLEAF",PR!$AU796,IF(J798="OCULUS",PR!$AV796,IF(J798="PACIFIC",PR!$AW796,IF(J798="PHAMATEX",PR!$AX796,IF(J798="PETHICS",PR!$AY796,IF(J798="PHILIPS",PR!$AZ796,IF(J798="RANBAXY",PR!$BA796,IF(J798="REALS",PR!$BB796,IF(J798="ROYAL",PR!$BC796,IF(J798="SAM",PR!$BD796,IF(J798="SEAGREEN",PR!$BE796,IF(J798="SKG",PR!$BF796,IF(J798="TAH",PR!$BG796,IF(J798="TAYLEK",PR!$BH796,IF(J798="TEMITA",PR!$BI796,IF(J798="THL",PR!$BJ796,IF(J798="UBASTIC",PR!$BK796,IF(J798="UNION",PR!$BL796,IF(J798="UNIQUE",PR!$BM796,IF(J798="VIXA",PR!$BN796,IF(J798="WWCV",PR!$BO796,IF(J798="ZOLON",PR!$BP796,"-"))))))))))))))))))))))))))))))))))))))))))))))))))))))))))))))))</f>
        <v>-</v>
      </c>
      <c r="J798" s="102">
        <f>EV!N1003</f>
        <v>0</v>
      </c>
      <c r="K798" s="433" t="s">
        <v>626</v>
      </c>
      <c r="L798" s="183">
        <f>IF(K798&gt;0,IF(K798="ALPHA",PR!$E796,IF(K798="ASSENE",PR!$F796,IF(K798="BIOFEM",PR!$G796,IF(K798="BIOMED",PR!$H796,IF(K798="CHI",PR!$I796,IF(K798="CLARION",PR!$J796,IF(K798="CODIX",PR!$K796,IF(K798="COSMADE",PR!$L796,IF(K798="SANCON",PR!$M796,IF(K798="DEVON",PR!$N796,IF(K798="DORTEMAG",PR!$O796,IF(K798="DGF",PR!$P796,IF(K798="DYNAMIC",PR!$Q796,IF(K798="EMZOR",PR!$R796,IF(K798="EUMATT",PR!$S796,IF(K798="FIDSON",PR!$T796,IF(K798="FCGLOBAL",PR!$U796,IF(K798="GENEITH",PR!$V796,IF(K798="GINOS",PR!$W796,IF(K798="GSK",PR!$X796,IF(K798="GLOBORG",PR!$Y796,IF(K798="GOODNEWS",PR!$Z796,IF(K798="GREENLIFE",PR!$AA796,IF(K798="HLINE",PR!$AB796,IF(K798="ROTECH",PR!$AC796,IF(K798="ISN",PR!$AD796,IF(K798="JAWA",PR!$AE796,IF(K798="LAYO",PR!$AF796,IF(K798="LEADWAY",PR!$AG796,IF(K798="LHV",PR!$AH796,IF(K798="MANOLA",PR!$AI796,IF(K798="MARCSON",PR!$AJ796,IF(K798="M&amp;B",PR!$AK796,IF(K798="MTRUST",PR!$AL796,IF(K798="MWORLD",PR!$AM796,IF(K798="MEGA",PR!$AN796,IF(K798="MICRONOVA",PR!$AO796,IF(K798="MFLASH",PR!$AP796,IF(K798="MORISON",PR!$AQ796,IF(K798="NEMEL",PR!$AR796,IF(K798="NHP",PR!$AS796,IF(K798="NHC",PR!$AT796,IF(K798="OLEAF",PR!$AU796,IF(K798="OCULUS",PR!$AV796,IF(K798="PACIFIC",PR!$AW796,IF(K798="PHAMATEX",PR!$AX796,IF(K798="PETHICS",PR!$AY796,IF(K798="PHILIPS",PR!$AZ796,IF(K798="RANBAXY",PR!$BA796,IF(K798="REALS",PR!$BB796,IF(K798="ROYAL",PR!$BC796,IF(K798="SAM",PR!$BD796,IF(K798="SEAGREEN",PR!$BE796,IF(K798="SKG",PR!$BF796,IF(K798="TAH",PR!$BG796,IF(K798="TAYLEK",PR!$BH796,IF(K798="TEMITA",PR!$BI796,IF(K798="THL",PR!$BJ796,IF(K798="UBASTIC",PR!$BK796,IF(K798="UNION",PR!$BL796,IF(K798="UNIQUE",PR!$BM796,IF(K798="VIXA",PR!$BN796,IF(K798="WWCV",PR!$BO796,IF(K798="ZOLON",PR!$BP796,"-")))))))))))))))))))))))))))))))))))))))))))))))))))))))))))))))))</f>
        <v>14</v>
      </c>
    </row>
    <row r="799" spans="1:12" ht="18.75" x14ac:dyDescent="0.3">
      <c r="A799" s="430">
        <f>PR!A797</f>
        <v>720</v>
      </c>
      <c r="B799" s="15" t="str">
        <f>PR!B797</f>
        <v>ENVELOPES LARGE (18" X 15")</v>
      </c>
      <c r="C799" s="113" t="str">
        <f>PR!D797</f>
        <v>PCS</v>
      </c>
      <c r="D799" s="113">
        <f>PR!C797</f>
        <v>5000</v>
      </c>
      <c r="E799" s="108">
        <f>IF(F799="ALPHA",PR!$E797,IF(F799="ASSENE",PR!$F797,IF(F799="BIOFEM",PR!$G797,IF(F799="BIOMED",PR!$H797,IF(F799="CHI",PR!$I797,IF(F799="CLARION",PR!$J797,IF(F799="CODIX",PR!$K797,IF(F799="COSMADE",PR!$L797,IF(F799="SANCON",PR!$M797,IF(F799="DEVON",PR!$N797,IF(F799="DORTEMAG",PR!$O797,IF(F799="DGF",PR!$P797,IF(F799="DYNAMIC",PR!$Q797,IF(F799="EMZOR",PR!$R797,IF(F799="EUMATT",PR!$S797,IF(F799="FIDSON",PR!$T797,IF(F799="FCGLOBAL",PR!$U797,IF(F799="GENEITH",PR!$V797,IF(F799="GINOS",PR!$W797,IF(F799="GSK",PR!$X797,IF(F799="GLOBORG",PR!$Y797,IF(F799="GOODNEWS",PR!$Z797,IF(F799="GREENLIFE",PR!$AA797,IF(F799="HLINE",PR!$AB797,IF(F799="ROTECH",PR!$AC797,IF(F799="ISN",PR!$AD797,IF(F799="JAWA",PR!$AE797,IF(F799="LAYO",PR!$AF797,IF(F799="LEADWAY",PR!$AG797,IF(F799="LHV",PR!$AH797,IF(F799="MANOLA",PR!$AI797,IF(F799="MARCSON",PR!$AJ797,IF(F799="M&amp;B",PR!$AK797,IF(F799="MTRUST",PR!$AL797,IF(F799="MWORLD",PR!$AM797,IF(F799="MEGA",PR!$AN797,IF(F799="MICRONOVA",PR!$AO797,IF(F799="MFLASH",PR!$AP797,IF(F799="MORISON",PR!$AQ797,IF(F799="NEMEL",PR!$AR797,IF(F799="NHP",PR!$AS797,IF(F799="NHC",PR!$AT797,IF(F799="OLEAF",PR!$AU797,IF(F799="OCULUS",PR!$AV797,IF(F799="PACIFIC",PR!$AW797,IF(F799="PHAMATEX",PR!$AX797,IF(F799="PETHICS",PR!$AY797,IF(F799="PHILIPS",PR!$AZ797,IF(F799="RANBAXY",PR!$BA797,IF(F799="REALS",PR!$BB797,IF(F799="ROYAL",PR!$BC797,IF(F799="SAM",PR!$BD797,IF(F799="SEAGREEN",PR!$BE797,IF(F799="SKG",PR!$BF797,IF(F799="TAH",PR!$BG797,IF(F799="TAYLEK",PR!$BH797,IF(F799="TEMITA",PR!$BI797,IF(F799="THL",PR!$BJ797,IF(F799="UBASTIC",PR!$BK797,IF(F799="UNION",PR!$BL797,IF(F799="UNIQUE",PR!$BM797,IF(F799="VIXA",PR!$BN797,IF(F799="WWCV",PR!$BO797,IF(F799="ZOLON",PR!$BP797,"-"))))))))))))))))))))))))))))))))))))))))))))))))))))))))))))))))</f>
        <v>113</v>
      </c>
      <c r="F799" s="102" t="str">
        <f>EV!L1004</f>
        <v>DYNAMIC</v>
      </c>
      <c r="G799" s="108">
        <f>IF(H799="ALPHA",PR!$E797,IF(H799="ASSENE",PR!$F797,IF(H799="BIOFEM",PR!$G797,IF(H799="BIOMED",PR!$H797,IF(H799="CHI",PR!$I797,IF(H799="CLARION",PR!$J797,IF(H799="CODIX",PR!$K797,IF(H799="COSMADE",PR!$L797,IF(H799="SANCON",PR!$M797,IF(H799="DEVON",PR!$N797,IF(H799="DORTEMAG",PR!$O797,IF(H799="DGF",PR!$P797,IF(H799="DYNAMIC",PR!$Q797,IF(H799="EMZOR",PR!$R797,IF(H799="EUMATT",PR!$S797,IF(H799="FIDSON",PR!$T797,IF(H799="FCGLOBAL",PR!$U797,IF(H799="GENEITH",PR!$V797,IF(H799="GINOS",PR!$W797,IF(H799="GSK",PR!$X797,IF(H799="GLOBORG",PR!$Y797,IF(H799="GOODNEWS",PR!$Z797,IF(H799="GREENLIFE",PR!$AA797,IF(H799="HLINE",PR!$AB797,IF(H799="ROTECH",PR!$AC797,IF(H799="ISN",PR!$AD797,IF(H799="JAWA",PR!$AE797,IF(H799="LAYO",PR!$AF797,IF(H799="LEADWAY",PR!$AG797,IF(H799="LHV",PR!$AH797,IF(H799="MANOLA",PR!$AI797,IF(H799="MARCSON",PR!$AJ797,IF(H799="M&amp;B",PR!$AK797,IF(H799="MTRUST",PR!$AL797,IF(H799="MWORLD",PR!$AM797,IF(H799="MEGA",PR!$AN797,IF(H799="MICRONOVA",PR!$AO797,IF(H799="MFLASH",PR!$AP797,IF(H799="MORISON",PR!$AQ797,IF(H799="NEMEL",PR!$AR797,IF(H799="NHP",PR!$AS797,IF(H799="NHC",PR!$AT797,IF(H799="OLEAF",PR!$AU797,IF(H799="OCULUS",PR!$AV797,IF(H799="PACIFIC",PR!$AW797,IF(H799="PHAMATEX",PR!$AX797,IF(H799="PETHICS",PR!$AY797,IF(H799="PHILIPS",PR!$AZ797,IF(H799="RANBAXY",PR!$BA797,IF(H799="REALS",PR!$BB797,IF(H799="ROYAL",PR!$BC797,IF(H799="SAM",PR!$BD797,IF(H799="SEAGREEN",PR!$BE797,IF(H799="SKG",PR!$BF797,IF(H799="TAH",PR!$BG797,IF(H799="TAYLEK",PR!$BH797,IF(H799="TEMITA",PR!$BI797,IF(H799="THL",PR!$BJ797,IF(H799="UBASTIC",PR!$BK797,IF(H799="UNION",PR!$BL797,IF(H799="UNIQUE",PR!$BM797,IF(H799="VIXA",PR!$BN797,IF(H799="WWCV",PR!$BO797,IF(H799="ZOLON",PR!$BP797,"-"))))))))))))))))))))))))))))))))))))))))))))))))))))))))))))))))</f>
        <v>946</v>
      </c>
      <c r="H799" s="102" t="str">
        <f>EV!M1004</f>
        <v>ROTECH</v>
      </c>
      <c r="I799" s="108" t="str">
        <f>IF(J799="ALPHA",PR!$E797,IF(J799="ASSENE",PR!$F797,IF(J799="BIOFEM",PR!$G797,IF(J799="BIOMED",PR!$H797,IF(J799="CHI",PR!$I797,IF(J799="CLARION",PR!$J797,IF(J799="CODIX",PR!$K797,IF(J799="COSMADE",PR!$L797,IF(J799="SANCON",PR!$M797,IF(J799="DEVON",PR!$N797,IF(J799="DORTEMAG",PR!$O797,IF(J799="DGF",PR!$P797,IF(J799="DYNAMIC",PR!$Q797,IF(J799="EMZOR",PR!$R797,IF(J799="EUMATT",PR!$S797,IF(J799="FIDSON",PR!$T797,IF(J799="FCGLOBAL",PR!$U797,IF(J799="GENEITH",PR!$V797,IF(J799="GINOS",PR!$W797,IF(J799="GSK",PR!$X797,IF(J799="GLOBORG",PR!$Y797,IF(J799="GOODNEWS",PR!$Z797,IF(J799="GREENLIFE",PR!$AA797,IF(J799="HLINE",PR!$AB797,IF(J799="ROTECH",PR!$AC797,IF(J799="ISN",PR!$AD797,IF(J799="JAWA",PR!$AE797,IF(J799="LAYO",PR!$AF797,IF(J799="LEADWAY",PR!$AG797,IF(J799="LHV",PR!$AH797,IF(J799="MANOLA",PR!$AI797,IF(J799="MARCSON",PR!$AJ797,IF(J799="M&amp;B",PR!$AK797,IF(J799="MTRUST",PR!$AL797,IF(J799="MWORLD",PR!$AM797,IF(J799="MEGA",PR!$AN797,IF(J799="MICRONOVA",PR!$AO797,IF(J799="MFLASH",PR!$AP797,IF(J799="MORISON",PR!$AQ797,IF(J799="NEMEL",PR!$AR797,IF(J799="NHP",PR!$AS797,IF(J799="NHC",PR!$AT797,IF(J799="OLEAF",PR!$AU797,IF(J799="OCULUS",PR!$AV797,IF(J799="PACIFIC",PR!$AW797,IF(J799="PHAMATEX",PR!$AX797,IF(J799="PETHICS",PR!$AY797,IF(J799="PHILIPS",PR!$AZ797,IF(J799="RANBAXY",PR!$BA797,IF(J799="REALS",PR!$BB797,IF(J799="ROYAL",PR!$BC797,IF(J799="SAM",PR!$BD797,IF(J799="SEAGREEN",PR!$BE797,IF(J799="SKG",PR!$BF797,IF(J799="TAH",PR!$BG797,IF(J799="TAYLEK",PR!$BH797,IF(J799="TEMITA",PR!$BI797,IF(J799="THL",PR!$BJ797,IF(J799="UBASTIC",PR!$BK797,IF(J799="UNION",PR!$BL797,IF(J799="UNIQUE",PR!$BM797,IF(J799="VIXA",PR!$BN797,IF(J799="WWCV",PR!$BO797,IF(J799="ZOLON",PR!$BP797,"-"))))))))))))))))))))))))))))))))))))))))))))))))))))))))))))))))</f>
        <v>-</v>
      </c>
      <c r="J799" s="102">
        <f>EV!N1004</f>
        <v>0</v>
      </c>
      <c r="K799" s="433" t="s">
        <v>626</v>
      </c>
      <c r="L799" s="183">
        <f>IF(K799&gt;0,IF(K799="ALPHA",PR!$E797,IF(K799="ASSENE",PR!$F797,IF(K799="BIOFEM",PR!$G797,IF(K799="BIOMED",PR!$H797,IF(K799="CHI",PR!$I797,IF(K799="CLARION",PR!$J797,IF(K799="CODIX",PR!$K797,IF(K799="COSMADE",PR!$L797,IF(K799="SANCON",PR!$M797,IF(K799="DEVON",PR!$N797,IF(K799="DORTEMAG",PR!$O797,IF(K799="DGF",PR!$P797,IF(K799="DYNAMIC",PR!$Q797,IF(K799="EMZOR",PR!$R797,IF(K799="EUMATT",PR!$S797,IF(K799="FIDSON",PR!$T797,IF(K799="FCGLOBAL",PR!$U797,IF(K799="GENEITH",PR!$V797,IF(K799="GINOS",PR!$W797,IF(K799="GSK",PR!$X797,IF(K799="GLOBORG",PR!$Y797,IF(K799="GOODNEWS",PR!$Z797,IF(K799="GREENLIFE",PR!$AA797,IF(K799="HLINE",PR!$AB797,IF(K799="ROTECH",PR!$AC797,IF(K799="ISN",PR!$AD797,IF(K799="JAWA",PR!$AE797,IF(K799="LAYO",PR!$AF797,IF(K799="LEADWAY",PR!$AG797,IF(K799="LHV",PR!$AH797,IF(K799="MANOLA",PR!$AI797,IF(K799="MARCSON",PR!$AJ797,IF(K799="M&amp;B",PR!$AK797,IF(K799="MTRUST",PR!$AL797,IF(K799="MWORLD",PR!$AM797,IF(K799="MEGA",PR!$AN797,IF(K799="MICRONOVA",PR!$AO797,IF(K799="MFLASH",PR!$AP797,IF(K799="MORISON",PR!$AQ797,IF(K799="NEMEL",PR!$AR797,IF(K799="NHP",PR!$AS797,IF(K799="NHC",PR!$AT797,IF(K799="OLEAF",PR!$AU797,IF(K799="OCULUS",PR!$AV797,IF(K799="PACIFIC",PR!$AW797,IF(K799="PHAMATEX",PR!$AX797,IF(K799="PETHICS",PR!$AY797,IF(K799="PHILIPS",PR!$AZ797,IF(K799="RANBAXY",PR!$BA797,IF(K799="REALS",PR!$BB797,IF(K799="ROYAL",PR!$BC797,IF(K799="SAM",PR!$BD797,IF(K799="SEAGREEN",PR!$BE797,IF(K799="SKG",PR!$BF797,IF(K799="TAH",PR!$BG797,IF(K799="TAYLEK",PR!$BH797,IF(K799="TEMITA",PR!$BI797,IF(K799="THL",PR!$BJ797,IF(K799="UBASTIC",PR!$BK797,IF(K799="UNION",PR!$BL797,IF(K799="UNIQUE",PR!$BM797,IF(K799="VIXA",PR!$BN797,IF(K799="WWCV",PR!$BO797,IF(K799="ZOLON",PR!$BP797,"-")))))))))))))))))))))))))))))))))))))))))))))))))))))))))))))))))</f>
        <v>113</v>
      </c>
    </row>
    <row r="800" spans="1:12" ht="18.75" x14ac:dyDescent="0.3">
      <c r="A800" s="430">
        <f>PR!A798</f>
        <v>721</v>
      </c>
      <c r="B800" s="15" t="str">
        <f>PR!B798</f>
        <v>ENVELOPES MEDIUM (14" X 12")</v>
      </c>
      <c r="C800" s="113" t="str">
        <f>PR!D798</f>
        <v>PCS</v>
      </c>
      <c r="D800" s="113">
        <f>PR!C798</f>
        <v>5000</v>
      </c>
      <c r="E800" s="108">
        <f>IF(F800="ALPHA",PR!$E798,IF(F800="ASSENE",PR!$F798,IF(F800="BIOFEM",PR!$G798,IF(F800="BIOMED",PR!$H798,IF(F800="CHI",PR!$I798,IF(F800="CLARION",PR!$J798,IF(F800="CODIX",PR!$K798,IF(F800="COSMADE",PR!$L798,IF(F800="SANCON",PR!$M798,IF(F800="DEVON",PR!$N798,IF(F800="DORTEMAG",PR!$O798,IF(F800="DGF",PR!$P798,IF(F800="DYNAMIC",PR!$Q798,IF(F800="EMZOR",PR!$R798,IF(F800="EUMATT",PR!$S798,IF(F800="FIDSON",PR!$T798,IF(F800="FCGLOBAL",PR!$U798,IF(F800="GENEITH",PR!$V798,IF(F800="GINOS",PR!$W798,IF(F800="GSK",PR!$X798,IF(F800="GLOBORG",PR!$Y798,IF(F800="GOODNEWS",PR!$Z798,IF(F800="GREENLIFE",PR!$AA798,IF(F800="HLINE",PR!$AB798,IF(F800="ROTECH",PR!$AC798,IF(F800="ISN",PR!$AD798,IF(F800="JAWA",PR!$AE798,IF(F800="LAYO",PR!$AF798,IF(F800="LEADWAY",PR!$AG798,IF(F800="LHV",PR!$AH798,IF(F800="MANOLA",PR!$AI798,IF(F800="MARCSON",PR!$AJ798,IF(F800="M&amp;B",PR!$AK798,IF(F800="MTRUST",PR!$AL798,IF(F800="MWORLD",PR!$AM798,IF(F800="MEGA",PR!$AN798,IF(F800="MICRONOVA",PR!$AO798,IF(F800="MFLASH",PR!$AP798,IF(F800="MORISON",PR!$AQ798,IF(F800="NEMEL",PR!$AR798,IF(F800="NHP",PR!$AS798,IF(F800="NHC",PR!$AT798,IF(F800="OLEAF",PR!$AU798,IF(F800="OCULUS",PR!$AV798,IF(F800="PACIFIC",PR!$AW798,IF(F800="PHAMATEX",PR!$AX798,IF(F800="PETHICS",PR!$AY798,IF(F800="PHILIPS",PR!$AZ798,IF(F800="RANBAXY",PR!$BA798,IF(F800="REALS",PR!$BB798,IF(F800="ROYAL",PR!$BC798,IF(F800="SAM",PR!$BD798,IF(F800="SEAGREEN",PR!$BE798,IF(F800="SKG",PR!$BF798,IF(F800="TAH",PR!$BG798,IF(F800="TAYLEK",PR!$BH798,IF(F800="TEMITA",PR!$BI798,IF(F800="THL",PR!$BJ798,IF(F800="UBASTIC",PR!$BK798,IF(F800="UNION",PR!$BL798,IF(F800="UNIQUE",PR!$BM798,IF(F800="VIXA",PR!$BN798,IF(F800="WWCV",PR!$BO798,IF(F800="ZOLON",PR!$BP798,"-"))))))))))))))))))))))))))))))))))))))))))))))))))))))))))))))))</f>
        <v>30</v>
      </c>
      <c r="F800" s="102" t="str">
        <f>EV!L1030</f>
        <v>MTRUST</v>
      </c>
      <c r="G800" s="108">
        <f>IF(H800="ALPHA",PR!$E798,IF(H800="ASSENE",PR!$F798,IF(H800="BIOFEM",PR!$G798,IF(H800="BIOMED",PR!$H798,IF(H800="CHI",PR!$I798,IF(H800="CLARION",PR!$J798,IF(H800="CODIX",PR!$K798,IF(H800="COSMADE",PR!$L798,IF(H800="SANCON",PR!$M798,IF(H800="DEVON",PR!$N798,IF(H800="DORTEMAG",PR!$O798,IF(H800="DGF",PR!$P798,IF(H800="DYNAMIC",PR!$Q798,IF(H800="EMZOR",PR!$R798,IF(H800="EUMATT",PR!$S798,IF(H800="FIDSON",PR!$T798,IF(H800="FCGLOBAL",PR!$U798,IF(H800="GENEITH",PR!$V798,IF(H800="GINOS",PR!$W798,IF(H800="GSK",PR!$X798,IF(H800="GLOBORG",PR!$Y798,IF(H800="GOODNEWS",PR!$Z798,IF(H800="GREENLIFE",PR!$AA798,IF(H800="HLINE",PR!$AB798,IF(H800="ROTECH",PR!$AC798,IF(H800="ISN",PR!$AD798,IF(H800="JAWA",PR!$AE798,IF(H800="LAYO",PR!$AF798,IF(H800="LEADWAY",PR!$AG798,IF(H800="LHV",PR!$AH798,IF(H800="MANOLA",PR!$AI798,IF(H800="MARCSON",PR!$AJ798,IF(H800="M&amp;B",PR!$AK798,IF(H800="MTRUST",PR!$AL798,IF(H800="MWORLD",PR!$AM798,IF(H800="MEGA",PR!$AN798,IF(H800="MICRONOVA",PR!$AO798,IF(H800="MFLASH",PR!$AP798,IF(H800="MORISON",PR!$AQ798,IF(H800="NEMEL",PR!$AR798,IF(H800="NHP",PR!$AS798,IF(H800="NHC",PR!$AT798,IF(H800="OLEAF",PR!$AU798,IF(H800="OCULUS",PR!$AV798,IF(H800="PACIFIC",PR!$AW798,IF(H800="PHAMATEX",PR!$AX798,IF(H800="PETHICS",PR!$AY798,IF(H800="PHILIPS",PR!$AZ798,IF(H800="RANBAXY",PR!$BA798,IF(H800="REALS",PR!$BB798,IF(H800="ROYAL",PR!$BC798,IF(H800="SAM",PR!$BD798,IF(H800="SEAGREEN",PR!$BE798,IF(H800="SKG",PR!$BF798,IF(H800="TAH",PR!$BG798,IF(H800="TAYLEK",PR!$BH798,IF(H800="TEMITA",PR!$BI798,IF(H800="THL",PR!$BJ798,IF(H800="UBASTIC",PR!$BK798,IF(H800="UNION",PR!$BL798,IF(H800="UNIQUE",PR!$BM798,IF(H800="VIXA",PR!$BN798,IF(H800="WWCV",PR!$BO798,IF(H800="ZOLON",PR!$BP798,"-"))))))))))))))))))))))))))))))))))))))))))))))))))))))))))))))))</f>
        <v>81</v>
      </c>
      <c r="H800" s="102" t="str">
        <f>EV!M1030</f>
        <v>DYNAMIC</v>
      </c>
      <c r="I800" s="108">
        <f>IF(J800="ALPHA",PR!$E798,IF(J800="ASSENE",PR!$F798,IF(J800="BIOFEM",PR!$G798,IF(J800="BIOMED",PR!$H798,IF(J800="CHI",PR!$I798,IF(J800="CLARION",PR!$J798,IF(J800="CODIX",PR!$K798,IF(J800="COSMADE",PR!$L798,IF(J800="SANCON",PR!$M798,IF(J800="DEVON",PR!$N798,IF(J800="DORTEMAG",PR!$O798,IF(J800="DGF",PR!$P798,IF(J800="DYNAMIC",PR!$Q798,IF(J800="EMZOR",PR!$R798,IF(J800="EUMATT",PR!$S798,IF(J800="FIDSON",PR!$T798,IF(J800="FCGLOBAL",PR!$U798,IF(J800="GENEITH",PR!$V798,IF(J800="GINOS",PR!$W798,IF(J800="GSK",PR!$X798,IF(J800="GLOBORG",PR!$Y798,IF(J800="GOODNEWS",PR!$Z798,IF(J800="GREENLIFE",PR!$AA798,IF(J800="HLINE",PR!$AB798,IF(J800="ROTECH",PR!$AC798,IF(J800="ISN",PR!$AD798,IF(J800="JAWA",PR!$AE798,IF(J800="LAYO",PR!$AF798,IF(J800="LEADWAY",PR!$AG798,IF(J800="LHV",PR!$AH798,IF(J800="MANOLA",PR!$AI798,IF(J800="MARCSON",PR!$AJ798,IF(J800="M&amp;B",PR!$AK798,IF(J800="MTRUST",PR!$AL798,IF(J800="MWORLD",PR!$AM798,IF(J800="MEGA",PR!$AN798,IF(J800="MICRONOVA",PR!$AO798,IF(J800="MFLASH",PR!$AP798,IF(J800="MORISON",PR!$AQ798,IF(J800="NEMEL",PR!$AR798,IF(J800="NHP",PR!$AS798,IF(J800="NHC",PR!$AT798,IF(J800="OLEAF",PR!$AU798,IF(J800="OCULUS",PR!$AV798,IF(J800="PACIFIC",PR!$AW798,IF(J800="PHAMATEX",PR!$AX798,IF(J800="PETHICS",PR!$AY798,IF(J800="PHILIPS",PR!$AZ798,IF(J800="RANBAXY",PR!$BA798,IF(J800="REALS",PR!$BB798,IF(J800="ROYAL",PR!$BC798,IF(J800="SAM",PR!$BD798,IF(J800="SEAGREEN",PR!$BE798,IF(J800="SKG",PR!$BF798,IF(J800="TAH",PR!$BG798,IF(J800="TAYLEK",PR!$BH798,IF(J800="TEMITA",PR!$BI798,IF(J800="THL",PR!$BJ798,IF(J800="UBASTIC",PR!$BK798,IF(J800="UNION",PR!$BL798,IF(J800="UNIQUE",PR!$BM798,IF(J800="VIXA",PR!$BN798,IF(J800="WWCV",PR!$BO798,IF(J800="ZOLON",PR!$BP798,"-"))))))))))))))))))))))))))))))))))))))))))))))))))))))))))))))))</f>
        <v>770</v>
      </c>
      <c r="J800" s="102" t="str">
        <f>EV!N1030</f>
        <v>ROTECH</v>
      </c>
      <c r="K800" s="433" t="s">
        <v>1472</v>
      </c>
      <c r="L800" s="183">
        <f>IF(K800&gt;0,IF(K800="ALPHA",PR!$E798,IF(K800="ASSENE",PR!$F798,IF(K800="BIOFEM",PR!$G798,IF(K800="BIOMED",PR!$H798,IF(K800="CHI",PR!$I798,IF(K800="CLARION",PR!$J798,IF(K800="CODIX",PR!$K798,IF(K800="COSMADE",PR!$L798,IF(K800="SANCON",PR!$M798,IF(K800="DEVON",PR!$N798,IF(K800="DORTEMAG",PR!$O798,IF(K800="DGF",PR!$P798,IF(K800="DYNAMIC",PR!$Q798,IF(K800="EMZOR",PR!$R798,IF(K800="EUMATT",PR!$S798,IF(K800="FIDSON",PR!$T798,IF(K800="FCGLOBAL",PR!$U798,IF(K800="GENEITH",PR!$V798,IF(K800="GINOS",PR!$W798,IF(K800="GSK",PR!$X798,IF(K800="GLOBORG",PR!$Y798,IF(K800="GOODNEWS",PR!$Z798,IF(K800="GREENLIFE",PR!$AA798,IF(K800="HLINE",PR!$AB798,IF(K800="ROTECH",PR!$AC798,IF(K800="ISN",PR!$AD798,IF(K800="JAWA",PR!$AE798,IF(K800="LAYO",PR!$AF798,IF(K800="LEADWAY",PR!$AG798,IF(K800="LHV",PR!$AH798,IF(K800="MANOLA",PR!$AI798,IF(K800="MARCSON",PR!$AJ798,IF(K800="M&amp;B",PR!$AK798,IF(K800="MTRUST",PR!$AL798,IF(K800="MWORLD",PR!$AM798,IF(K800="MEGA",PR!$AN798,IF(K800="MICRONOVA",PR!$AO798,IF(K800="MFLASH",PR!$AP798,IF(K800="MORISON",PR!$AQ798,IF(K800="NEMEL",PR!$AR798,IF(K800="NHP",PR!$AS798,IF(K800="NHC",PR!$AT798,IF(K800="OLEAF",PR!$AU798,IF(K800="OCULUS",PR!$AV798,IF(K800="PACIFIC",PR!$AW798,IF(K800="PHAMATEX",PR!$AX798,IF(K800="PETHICS",PR!$AY798,IF(K800="PHILIPS",PR!$AZ798,IF(K800="RANBAXY",PR!$BA798,IF(K800="REALS",PR!$BB798,IF(K800="ROYAL",PR!$BC798,IF(K800="SAM",PR!$BD798,IF(K800="SEAGREEN",PR!$BE798,IF(K800="SKG",PR!$BF798,IF(K800="TAH",PR!$BG798,IF(K800="TAYLEK",PR!$BH798,IF(K800="TEMITA",PR!$BI798,IF(K800="THL",PR!$BJ798,IF(K800="UBASTIC",PR!$BK798,IF(K800="UNION",PR!$BL798,IF(K800="UNIQUE",PR!$BM798,IF(K800="VIXA",PR!$BN798,IF(K800="WWCV",PR!$BO798,IF(K800="ZOLON",PR!$BP798,"-")))))))))))))))))))))))))))))))))))))))))))))))))))))))))))))))))</f>
        <v>30</v>
      </c>
    </row>
    <row r="801" spans="1:12" ht="18.75" x14ac:dyDescent="0.3">
      <c r="A801" s="430">
        <f>PR!A799</f>
        <v>0</v>
      </c>
      <c r="B801" s="15">
        <f>PR!B799</f>
        <v>0</v>
      </c>
      <c r="C801" s="113">
        <f>PR!D799</f>
        <v>0</v>
      </c>
      <c r="D801" s="113">
        <f>PR!C799</f>
        <v>0</v>
      </c>
      <c r="E801" s="108" t="str">
        <f>IF(F801="ALPHA",PR!$E799,IF(F801="ASSENE",PR!$F799,IF(F801="BIOFEM",PR!$G799,IF(F801="BIOMED",PR!$H799,IF(F801="CHI",PR!$I799,IF(F801="CLARION",PR!$J799,IF(F801="CODIX",PR!$K799,IF(F801="COSMADE",PR!$L799,IF(F801="SANCON",PR!$M799,IF(F801="DEVON",PR!$N799,IF(F801="DORTEMAG",PR!$O799,IF(F801="DGF",PR!$P799,IF(F801="DYNAMIC",PR!$Q799,IF(F801="EMZOR",PR!$R799,IF(F801="EUMATT",PR!$S799,IF(F801="FIDSON",PR!$T799,IF(F801="FCGLOBAL",PR!$U799,IF(F801="GENEITH",PR!$V799,IF(F801="GINOS",PR!$W799,IF(F801="GSK",PR!$X799,IF(F801="GLOBORG",PR!$Y799,IF(F801="GOODNEWS",PR!$Z799,IF(F801="GREENLIFE",PR!$AA799,IF(F801="HLINE",PR!$AB799,IF(F801="ROTECH",PR!$AC799,IF(F801="ISN",PR!$AD799,IF(F801="JAWA",PR!$AE799,IF(F801="LAYO",PR!$AF799,IF(F801="LEADWAY",PR!$AG799,IF(F801="LHV",PR!$AH799,IF(F801="MANOLA",PR!$AI799,IF(F801="MARCSON",PR!$AJ799,IF(F801="M&amp;B",PR!$AK799,IF(F801="MTRUST",PR!$AL799,IF(F801="MWORLD",PR!$AM799,IF(F801="MEGA",PR!$AN799,IF(F801="MICRONOVA",PR!$AO799,IF(F801="MFLASH",PR!$AP799,IF(F801="MORISON",PR!$AQ799,IF(F801="NEMEL",PR!$AR799,IF(F801="NHP",PR!$AS799,IF(F801="NHC",PR!$AT799,IF(F801="OLEAF",PR!$AU799,IF(F801="OCULUS",PR!$AV799,IF(F801="PACIFIC",PR!$AW799,IF(F801="PHAMATEX",PR!$AX799,IF(F801="PETHICS",PR!$AY799,IF(F801="PHILIPS",PR!$AZ799,IF(F801="RANBAXY",PR!$BA799,IF(F801="REALS",PR!$BB799,IF(F801="ROYAL",PR!$BC799,IF(F801="SAM",PR!$BD799,IF(F801="SEAGREEN",PR!$BE799,IF(F801="SKG",PR!$BF799,IF(F801="TAH",PR!$BG799,IF(F801="TAYLEK",PR!$BH799,IF(F801="TEMITA",PR!$BI799,IF(F801="THL",PR!$BJ799,IF(F801="UBASTIC",PR!$BK799,IF(F801="UNION",PR!$BL799,IF(F801="UNIQUE",PR!$BM799,IF(F801="VIXA",PR!$BN799,IF(F801="WWCV",PR!$BO799,IF(F801="ZOLON",PR!$BP799,"-"))))))))))))))))))))))))))))))))))))))))))))))))))))))))))))))))</f>
        <v>-</v>
      </c>
      <c r="F801" s="102"/>
      <c r="G801" s="108" t="str">
        <f>IF(H801="ALPHA",PR!$E799,IF(H801="ASSENE",PR!$F799,IF(H801="BIOFEM",PR!$G799,IF(H801="BIOMED",PR!$H799,IF(H801="CHI",PR!$I799,IF(H801="CLARION",PR!$J799,IF(H801="CODIX",PR!$K799,IF(H801="COSMADE",PR!$L799,IF(H801="SANCON",PR!$M799,IF(H801="DEVON",PR!$N799,IF(H801="DORTEMAG",PR!$O799,IF(H801="DGF",PR!$P799,IF(H801="DYNAMIC",PR!$Q799,IF(H801="EMZOR",PR!$R799,IF(H801="EUMATT",PR!$S799,IF(H801="FIDSON",PR!$T799,IF(H801="FCGLOBAL",PR!$U799,IF(H801="GENEITH",PR!$V799,IF(H801="GINOS",PR!$W799,IF(H801="GSK",PR!$X799,IF(H801="GLOBORG",PR!$Y799,IF(H801="GOODNEWS",PR!$Z799,IF(H801="GREENLIFE",PR!$AA799,IF(H801="HLINE",PR!$AB799,IF(H801="ROTECH",PR!$AC799,IF(H801="ISN",PR!$AD799,IF(H801="JAWA",PR!$AE799,IF(H801="LAYO",PR!$AF799,IF(H801="LEADWAY",PR!$AG799,IF(H801="LHV",PR!$AH799,IF(H801="MANOLA",PR!$AI799,IF(H801="MARCSON",PR!$AJ799,IF(H801="M&amp;B",PR!$AK799,IF(H801="MTRUST",PR!$AL799,IF(H801="MWORLD",PR!$AM799,IF(H801="MEGA",PR!$AN799,IF(H801="MICRONOVA",PR!$AO799,IF(H801="MFLASH",PR!$AP799,IF(H801="MORISON",PR!$AQ799,IF(H801="NEMEL",PR!$AR799,IF(H801="NHP",PR!$AS799,IF(H801="NHC",PR!$AT799,IF(H801="OLEAF",PR!$AU799,IF(H801="OCULUS",PR!$AV799,IF(H801="PACIFIC",PR!$AW799,IF(H801="PHAMATEX",PR!$AX799,IF(H801="PETHICS",PR!$AY799,IF(H801="PHILIPS",PR!$AZ799,IF(H801="RANBAXY",PR!$BA799,IF(H801="REALS",PR!$BB799,IF(H801="ROYAL",PR!$BC799,IF(H801="SAM",PR!$BD799,IF(H801="SEAGREEN",PR!$BE799,IF(H801="SKG",PR!$BF799,IF(H801="TAH",PR!$BG799,IF(H801="TAYLEK",PR!$BH799,IF(H801="TEMITA",PR!$BI799,IF(H801="THL",PR!$BJ799,IF(H801="UBASTIC",PR!$BK799,IF(H801="UNION",PR!$BL799,IF(H801="UNIQUE",PR!$BM799,IF(H801="VIXA",PR!$BN799,IF(H801="WWCV",PR!$BO799,IF(H801="ZOLON",PR!$BP799,"-"))))))))))))))))))))))))))))))))))))))))))))))))))))))))))))))))</f>
        <v>-</v>
      </c>
      <c r="H801" s="102"/>
      <c r="I801" s="108" t="str">
        <f>IF(J801="ALPHA",PR!$E799,IF(J801="ASSENE",PR!$F799,IF(J801="BIOFEM",PR!$G799,IF(J801="BIOMED",PR!$H799,IF(J801="CHI",PR!$I799,IF(J801="CLARION",PR!$J799,IF(J801="CODIX",PR!$K799,IF(J801="COSMADE",PR!$L799,IF(J801="SANCON",PR!$M799,IF(J801="DEVON",PR!$N799,IF(J801="DORTEMAG",PR!$O799,IF(J801="DGF",PR!$P799,IF(J801="DYNAMIC",PR!$Q799,IF(J801="EMZOR",PR!$R799,IF(J801="EUMATT",PR!$S799,IF(J801="FIDSON",PR!$T799,IF(J801="FCGLOBAL",PR!$U799,IF(J801="GENEITH",PR!$V799,IF(J801="GINOS",PR!$W799,IF(J801="GSK",PR!$X799,IF(J801="GLOBORG",PR!$Y799,IF(J801="GOODNEWS",PR!$Z799,IF(J801="GREENLIFE",PR!$AA799,IF(J801="HLINE",PR!$AB799,IF(J801="ROTECH",PR!$AC799,IF(J801="ISN",PR!$AD799,IF(J801="JAWA",PR!$AE799,IF(J801="LAYO",PR!$AF799,IF(J801="LEADWAY",PR!$AG799,IF(J801="LHV",PR!$AH799,IF(J801="MANOLA",PR!$AI799,IF(J801="MARCSON",PR!$AJ799,IF(J801="M&amp;B",PR!$AK799,IF(J801="MTRUST",PR!$AL799,IF(J801="MWORLD",PR!$AM799,IF(J801="MEGA",PR!$AN799,IF(J801="MICRONOVA",PR!$AO799,IF(J801="MFLASH",PR!$AP799,IF(J801="MORISON",PR!$AQ799,IF(J801="NEMEL",PR!$AR799,IF(J801="NHP",PR!$AS799,IF(J801="NHC",PR!$AT799,IF(J801="OLEAF",PR!$AU799,IF(J801="OCULUS",PR!$AV799,IF(J801="PACIFIC",PR!$AW799,IF(J801="PHAMATEX",PR!$AX799,IF(J801="PETHICS",PR!$AY799,IF(J801="PHILIPS",PR!$AZ799,IF(J801="RANBAXY",PR!$BA799,IF(J801="REALS",PR!$BB799,IF(J801="ROYAL",PR!$BC799,IF(J801="SAM",PR!$BD799,IF(J801="SEAGREEN",PR!$BE799,IF(J801="SKG",PR!$BF799,IF(J801="TAH",PR!$BG799,IF(J801="TAYLEK",PR!$BH799,IF(J801="TEMITA",PR!$BI799,IF(J801="THL",PR!$BJ799,IF(J801="UBASTIC",PR!$BK799,IF(J801="UNION",PR!$BL799,IF(J801="UNIQUE",PR!$BM799,IF(J801="VIXA",PR!$BN799,IF(J801="WWCV",PR!$BO799,IF(J801="ZOLON",PR!$BP799,"-"))))))))))))))))))))))))))))))))))))))))))))))))))))))))))))))))</f>
        <v>-</v>
      </c>
      <c r="J801" s="102"/>
      <c r="K801" s="433"/>
      <c r="L801" s="183" t="b">
        <f>IF(K801&gt;0,IF(K801="ALPHA",PR!$E799,IF(K801="ASSENE",PR!$F799,IF(K801="BIOFEM",PR!$G799,IF(K801="BIOMED",PR!$H799,IF(K801="CHI",PR!$I799,IF(K801="CLARION",PR!$J799,IF(K801="CODIX",PR!$K799,IF(K801="COSMADE",PR!$L799,IF(K801="SANCON",PR!$M799,IF(K801="DEVON",PR!$N799,IF(K801="DORTEMAG",PR!$O799,IF(K801="DGF",PR!$P799,IF(K801="DYNAMIC",PR!$Q799,IF(K801="EMZOR",PR!$R799,IF(K801="EUMATT",PR!$S799,IF(K801="FIDSON",PR!$T799,IF(K801="FCGLOBAL",PR!$U799,IF(K801="GENEITH",PR!$V799,IF(K801="GINOS",PR!$W799,IF(K801="GSK",PR!$X799,IF(K801="GLOBORG",PR!$Y799,IF(K801="GOODNEWS",PR!$Z799,IF(K801="GREENLIFE",PR!$AA799,IF(K801="HLINE",PR!$AB799,IF(K801="ROTECH",PR!$AC799,IF(K801="ISN",PR!$AD799,IF(K801="JAWA",PR!$AE799,IF(K801="LAYO",PR!$AF799,IF(K801="LEADWAY",PR!$AG799,IF(K801="LHV",PR!$AH799,IF(K801="MANOLA",PR!$AI799,IF(K801="MARCSON",PR!$AJ799,IF(K801="M&amp;B",PR!$AK799,IF(K801="MTRUST",PR!$AL799,IF(K801="MWORLD",PR!$AM799,IF(K801="MEGA",PR!$AN799,IF(K801="MICRONOVA",PR!$AO799,IF(K801="MFLASH",PR!$AP799,IF(K801="MORISON",PR!$AQ799,IF(K801="NEMEL",PR!$AR799,IF(K801="NHP",PR!$AS799,IF(K801="NHC",PR!$AT799,IF(K801="OLEAF",PR!$AU799,IF(K801="OCULUS",PR!$AV799,IF(K801="PACIFIC",PR!$AW799,IF(K801="PHAMATEX",PR!$AX799,IF(K801="PETHICS",PR!$AY799,IF(K801="PHILIPS",PR!$AZ799,IF(K801="RANBAXY",PR!$BA799,IF(K801="REALS",PR!$BB799,IF(K801="ROYAL",PR!$BC799,IF(K801="SAM",PR!$BD799,IF(K801="SEAGREEN",PR!$BE799,IF(K801="SKG",PR!$BF799,IF(K801="TAH",PR!$BG799,IF(K801="TAYLEK",PR!$BH799,IF(K801="TEMITA",PR!$BI799,IF(K801="THL",PR!$BJ799,IF(K801="UBASTIC",PR!$BK799,IF(K801="UNION",PR!$BL799,IF(K801="UNIQUE",PR!$BM799,IF(K801="VIXA",PR!$BN799,IF(K801="WWCV",PR!$BO799,IF(K801="ZOLON",PR!$BP799,"-")))))))))))))))))))))))))))))))))))))))))))))))))))))))))))))))))</f>
        <v>0</v>
      </c>
    </row>
    <row r="802" spans="1:12" ht="18.75" x14ac:dyDescent="0.3">
      <c r="A802" s="430">
        <f>PR!A800</f>
        <v>0</v>
      </c>
      <c r="B802" s="15">
        <f>PR!B800</f>
        <v>0</v>
      </c>
      <c r="C802" s="113">
        <f>PR!D800</f>
        <v>0</v>
      </c>
      <c r="D802" s="113">
        <f>PR!C800</f>
        <v>0</v>
      </c>
      <c r="E802" s="108" t="str">
        <f>IF(F802="ALPHA",PR!$E800,IF(F802="ASSENE",PR!$F800,IF(F802="BIOFEM",PR!$G800,IF(F802="BIOMED",PR!$H800,IF(F802="CHI",PR!$I800,IF(F802="CLARION",PR!$J800,IF(F802="CODIX",PR!$K800,IF(F802="COSMADE",PR!$L800,IF(F802="SANCON",PR!$M800,IF(F802="DEVON",PR!$N800,IF(F802="DORTEMAG",PR!$O800,IF(F802="DGF",PR!$P800,IF(F802="DYNAMIC",PR!$Q800,IF(F802="EMZOR",PR!$R800,IF(F802="EUMATT",PR!$S800,IF(F802="FIDSON",PR!$T800,IF(F802="FCGLOBAL",PR!$U800,IF(F802="GENEITH",PR!$V800,IF(F802="GINOS",PR!$W800,IF(F802="GSK",PR!$X800,IF(F802="GLOBORG",PR!$Y800,IF(F802="GOODNEWS",PR!$Z800,IF(F802="GREENLIFE",PR!$AA800,IF(F802="HLINE",PR!$AB800,IF(F802="ROTECH",PR!$AC800,IF(F802="ISN",PR!$AD800,IF(F802="JAWA",PR!$AE800,IF(F802="LAYO",PR!$AF800,IF(F802="LEADWAY",PR!$AG800,IF(F802="LHV",PR!$AH800,IF(F802="MANOLA",PR!$AI800,IF(F802="MARCSON",PR!$AJ800,IF(F802="M&amp;B",PR!$AK800,IF(F802="MTRUST",PR!$AL800,IF(F802="MWORLD",PR!$AM800,IF(F802="MEGA",PR!$AN800,IF(F802="MICRONOVA",PR!$AO800,IF(F802="MFLASH",PR!$AP800,IF(F802="MORISON",PR!$AQ800,IF(F802="NEMEL",PR!$AR800,IF(F802="NHP",PR!$AS800,IF(F802="NHC",PR!$AT800,IF(F802="OLEAF",PR!$AU800,IF(F802="OCULUS",PR!$AV800,IF(F802="PACIFIC",PR!$AW800,IF(F802="PHAMATEX",PR!$AX800,IF(F802="PETHICS",PR!$AY800,IF(F802="PHILIPS",PR!$AZ800,IF(F802="RANBAXY",PR!$BA800,IF(F802="REALS",PR!$BB800,IF(F802="ROYAL",PR!$BC800,IF(F802="SAM",PR!$BD800,IF(F802="SEAGREEN",PR!$BE800,IF(F802="SKG",PR!$BF800,IF(F802="TAH",PR!$BG800,IF(F802="TAYLEK",PR!$BH800,IF(F802="TEMITA",PR!$BI800,IF(F802="THL",PR!$BJ800,IF(F802="UBASTIC",PR!$BK800,IF(F802="UNION",PR!$BL800,IF(F802="UNIQUE",PR!$BM800,IF(F802="VIXA",PR!$BN800,IF(F802="WWCV",PR!$BO800,IF(F802="ZOLON",PR!$BP800,"-"))))))))))))))))))))))))))))))))))))))))))))))))))))))))))))))))</f>
        <v>-</v>
      </c>
      <c r="F802" s="102"/>
      <c r="G802" s="108" t="str">
        <f>IF(H802="ALPHA",PR!$E800,IF(H802="ASSENE",PR!$F800,IF(H802="BIOFEM",PR!$G800,IF(H802="BIOMED",PR!$H800,IF(H802="CHI",PR!$I800,IF(H802="CLARION",PR!$J800,IF(H802="CODIX",PR!$K800,IF(H802="COSMADE",PR!$L800,IF(H802="SANCON",PR!$M800,IF(H802="DEVON",PR!$N800,IF(H802="DORTEMAG",PR!$O800,IF(H802="DGF",PR!$P800,IF(H802="DYNAMIC",PR!$Q800,IF(H802="EMZOR",PR!$R800,IF(H802="EUMATT",PR!$S800,IF(H802="FIDSON",PR!$T800,IF(H802="FCGLOBAL",PR!$U800,IF(H802="GENEITH",PR!$V800,IF(H802="GINOS",PR!$W800,IF(H802="GSK",PR!$X800,IF(H802="GLOBORG",PR!$Y800,IF(H802="GOODNEWS",PR!$Z800,IF(H802="GREENLIFE",PR!$AA800,IF(H802="HLINE",PR!$AB800,IF(H802="ROTECH",PR!$AC800,IF(H802="ISN",PR!$AD800,IF(H802="JAWA",PR!$AE800,IF(H802="LAYO",PR!$AF800,IF(H802="LEADWAY",PR!$AG800,IF(H802="LHV",PR!$AH800,IF(H802="MANOLA",PR!$AI800,IF(H802="MARCSON",PR!$AJ800,IF(H802="M&amp;B",PR!$AK800,IF(H802="MTRUST",PR!$AL800,IF(H802="MWORLD",PR!$AM800,IF(H802="MEGA",PR!$AN800,IF(H802="MICRONOVA",PR!$AO800,IF(H802="MFLASH",PR!$AP800,IF(H802="MORISON",PR!$AQ800,IF(H802="NEMEL",PR!$AR800,IF(H802="NHP",PR!$AS800,IF(H802="NHC",PR!$AT800,IF(H802="OLEAF",PR!$AU800,IF(H802="OCULUS",PR!$AV800,IF(H802="PACIFIC",PR!$AW800,IF(H802="PHAMATEX",PR!$AX800,IF(H802="PETHICS",PR!$AY800,IF(H802="PHILIPS",PR!$AZ800,IF(H802="RANBAXY",PR!$BA800,IF(H802="REALS",PR!$BB800,IF(H802="ROYAL",PR!$BC800,IF(H802="SAM",PR!$BD800,IF(H802="SEAGREEN",PR!$BE800,IF(H802="SKG",PR!$BF800,IF(H802="TAH",PR!$BG800,IF(H802="TAYLEK",PR!$BH800,IF(H802="TEMITA",PR!$BI800,IF(H802="THL",PR!$BJ800,IF(H802="UBASTIC",PR!$BK800,IF(H802="UNION",PR!$BL800,IF(H802="UNIQUE",PR!$BM800,IF(H802="VIXA",PR!$BN800,IF(H802="WWCV",PR!$BO800,IF(H802="ZOLON",PR!$BP800,"-"))))))))))))))))))))))))))))))))))))))))))))))))))))))))))))))))</f>
        <v>-</v>
      </c>
      <c r="H802" s="102"/>
      <c r="I802" s="108" t="str">
        <f>IF(J802="ALPHA",PR!$E800,IF(J802="ASSENE",PR!$F800,IF(J802="BIOFEM",PR!$G800,IF(J802="BIOMED",PR!$H800,IF(J802="CHI",PR!$I800,IF(J802="CLARION",PR!$J800,IF(J802="CODIX",PR!$K800,IF(J802="COSMADE",PR!$L800,IF(J802="SANCON",PR!$M800,IF(J802="DEVON",PR!$N800,IF(J802="DORTEMAG",PR!$O800,IF(J802="DGF",PR!$P800,IF(J802="DYNAMIC",PR!$Q800,IF(J802="EMZOR",PR!$R800,IF(J802="EUMATT",PR!$S800,IF(J802="FIDSON",PR!$T800,IF(J802="FCGLOBAL",PR!$U800,IF(J802="GENEITH",PR!$V800,IF(J802="GINOS",PR!$W800,IF(J802="GSK",PR!$X800,IF(J802="GLOBORG",PR!$Y800,IF(J802="GOODNEWS",PR!$Z800,IF(J802="GREENLIFE",PR!$AA800,IF(J802="HLINE",PR!$AB800,IF(J802="ROTECH",PR!$AC800,IF(J802="ISN",PR!$AD800,IF(J802="JAWA",PR!$AE800,IF(J802="LAYO",PR!$AF800,IF(J802="LEADWAY",PR!$AG800,IF(J802="LHV",PR!$AH800,IF(J802="MANOLA",PR!$AI800,IF(J802="MARCSON",PR!$AJ800,IF(J802="M&amp;B",PR!$AK800,IF(J802="MTRUST",PR!$AL800,IF(J802="MWORLD",PR!$AM800,IF(J802="MEGA",PR!$AN800,IF(J802="MICRONOVA",PR!$AO800,IF(J802="MFLASH",PR!$AP800,IF(J802="MORISON",PR!$AQ800,IF(J802="NEMEL",PR!$AR800,IF(J802="NHP",PR!$AS800,IF(J802="NHC",PR!$AT800,IF(J802="OLEAF",PR!$AU800,IF(J802="OCULUS",PR!$AV800,IF(J802="PACIFIC",PR!$AW800,IF(J802="PHAMATEX",PR!$AX800,IF(J802="PETHICS",PR!$AY800,IF(J802="PHILIPS",PR!$AZ800,IF(J802="RANBAXY",PR!$BA800,IF(J802="REALS",PR!$BB800,IF(J802="ROYAL",PR!$BC800,IF(J802="SAM",PR!$BD800,IF(J802="SEAGREEN",PR!$BE800,IF(J802="SKG",PR!$BF800,IF(J802="TAH",PR!$BG800,IF(J802="TAYLEK",PR!$BH800,IF(J802="TEMITA",PR!$BI800,IF(J802="THL",PR!$BJ800,IF(J802="UBASTIC",PR!$BK800,IF(J802="UNION",PR!$BL800,IF(J802="UNIQUE",PR!$BM800,IF(J802="VIXA",PR!$BN800,IF(J802="WWCV",PR!$BO800,IF(J802="ZOLON",PR!$BP800,"-"))))))))))))))))))))))))))))))))))))))))))))))))))))))))))))))))</f>
        <v>-</v>
      </c>
      <c r="J802" s="102"/>
      <c r="K802" s="433"/>
      <c r="L802" s="183" t="b">
        <f>IF(K802&gt;0,IF(K802="ALPHA",PR!$E800,IF(K802="ASSENE",PR!$F800,IF(K802="BIOFEM",PR!$G800,IF(K802="BIOMED",PR!$H800,IF(K802="CHI",PR!$I800,IF(K802="CLARION",PR!$J800,IF(K802="CODIX",PR!$K800,IF(K802="COSMADE",PR!$L800,IF(K802="SANCON",PR!$M800,IF(K802="DEVON",PR!$N800,IF(K802="DORTEMAG",PR!$O800,IF(K802="DGF",PR!$P800,IF(K802="DYNAMIC",PR!$Q800,IF(K802="EMZOR",PR!$R800,IF(K802="EUMATT",PR!$S800,IF(K802="FIDSON",PR!$T800,IF(K802="FCGLOBAL",PR!$U800,IF(K802="GENEITH",PR!$V800,IF(K802="GINOS",PR!$W800,IF(K802="GSK",PR!$X800,IF(K802="GLOBORG",PR!$Y800,IF(K802="GOODNEWS",PR!$Z800,IF(K802="GREENLIFE",PR!$AA800,IF(K802="HLINE",PR!$AB800,IF(K802="ROTECH",PR!$AC800,IF(K802="ISN",PR!$AD800,IF(K802="JAWA",PR!$AE800,IF(K802="LAYO",PR!$AF800,IF(K802="LEADWAY",PR!$AG800,IF(K802="LHV",PR!$AH800,IF(K802="MANOLA",PR!$AI800,IF(K802="MARCSON",PR!$AJ800,IF(K802="M&amp;B",PR!$AK800,IF(K802="MTRUST",PR!$AL800,IF(K802="MWORLD",PR!$AM800,IF(K802="MEGA",PR!$AN800,IF(K802="MICRONOVA",PR!$AO800,IF(K802="MFLASH",PR!$AP800,IF(K802="MORISON",PR!$AQ800,IF(K802="NEMEL",PR!$AR800,IF(K802="NHP",PR!$AS800,IF(K802="NHC",PR!$AT800,IF(K802="OLEAF",PR!$AU800,IF(K802="OCULUS",PR!$AV800,IF(K802="PACIFIC",PR!$AW800,IF(K802="PHAMATEX",PR!$AX800,IF(K802="PETHICS",PR!$AY800,IF(K802="PHILIPS",PR!$AZ800,IF(K802="RANBAXY",PR!$BA800,IF(K802="REALS",PR!$BB800,IF(K802="ROYAL",PR!$BC800,IF(K802="SAM",PR!$BD800,IF(K802="SEAGREEN",PR!$BE800,IF(K802="SKG",PR!$BF800,IF(K802="TAH",PR!$BG800,IF(K802="TAYLEK",PR!$BH800,IF(K802="TEMITA",PR!$BI800,IF(K802="THL",PR!$BJ800,IF(K802="UBASTIC",PR!$BK800,IF(K802="UNION",PR!$BL800,IF(K802="UNIQUE",PR!$BM800,IF(K802="VIXA",PR!$BN800,IF(K802="WWCV",PR!$BO800,IF(K802="ZOLON",PR!$BP800,"-")))))))))))))))))))))))))))))))))))))))))))))))))))))))))))))))))</f>
        <v>0</v>
      </c>
    </row>
    <row r="803" spans="1:12" ht="18.75" x14ac:dyDescent="0.3">
      <c r="A803" s="430">
        <f>PR!A801</f>
        <v>0</v>
      </c>
      <c r="B803" s="15">
        <f>PR!B801</f>
        <v>0</v>
      </c>
      <c r="C803" s="113">
        <f>PR!D801</f>
        <v>0</v>
      </c>
      <c r="D803" s="113">
        <f>PR!C801</f>
        <v>0</v>
      </c>
      <c r="E803" s="108" t="str">
        <f>IF(F803="ALPHA",PR!$E801,IF(F803="ASSENE",PR!$F801,IF(F803="BIOFEM",PR!$G801,IF(F803="BIOMED",PR!$H801,IF(F803="CHI",PR!$I801,IF(F803="CLARION",PR!$J801,IF(F803="CODIX",PR!$K801,IF(F803="COSMADE",PR!$L801,IF(F803="SANCON",PR!$M801,IF(F803="DEVON",PR!$N801,IF(F803="DORTEMAG",PR!$O801,IF(F803="DGF",PR!$P801,IF(F803="DYNAMIC",PR!$Q801,IF(F803="EMZOR",PR!$R801,IF(F803="EUMATT",PR!$S801,IF(F803="FIDSON",PR!$T801,IF(F803="FCGLOBAL",PR!$U801,IF(F803="GENEITH",PR!$V801,IF(F803="GINOS",PR!$W801,IF(F803="GSK",PR!$X801,IF(F803="GLOBORG",PR!$Y801,IF(F803="GOODNEWS",PR!$Z801,IF(F803="GREENLIFE",PR!$AA801,IF(F803="HLINE",PR!$AB801,IF(F803="ROTECH",PR!$AC801,IF(F803="ISN",PR!$AD801,IF(F803="JAWA",PR!$AE801,IF(F803="LAYO",PR!$AF801,IF(F803="LEADWAY",PR!$AG801,IF(F803="LHV",PR!$AH801,IF(F803="MANOLA",PR!$AI801,IF(F803="MARCSON",PR!$AJ801,IF(F803="M&amp;B",PR!$AK801,IF(F803="MTRUST",PR!$AL801,IF(F803="MWORLD",PR!$AM801,IF(F803="MEGA",PR!$AN801,IF(F803="MICRONOVA",PR!$AO801,IF(F803="MFLASH",PR!$AP801,IF(F803="MORISON",PR!$AQ801,IF(F803="NEMEL",PR!$AR801,IF(F803="NHP",PR!$AS801,IF(F803="NHC",PR!$AT801,IF(F803="OLEAF",PR!$AU801,IF(F803="OCULUS",PR!$AV801,IF(F803="PACIFIC",PR!$AW801,IF(F803="PHAMATEX",PR!$AX801,IF(F803="PETHICS",PR!$AY801,IF(F803="PHILIPS",PR!$AZ801,IF(F803="RANBAXY",PR!$BA801,IF(F803="REALS",PR!$BB801,IF(F803="ROYAL",PR!$BC801,IF(F803="SAM",PR!$BD801,IF(F803="SEAGREEN",PR!$BE801,IF(F803="SKG",PR!$BF801,IF(F803="TAH",PR!$BG801,IF(F803="TAYLEK",PR!$BH801,IF(F803="TEMITA",PR!$BI801,IF(F803="THL",PR!$BJ801,IF(F803="UBASTIC",PR!$BK801,IF(F803="UNION",PR!$BL801,IF(F803="UNIQUE",PR!$BM801,IF(F803="VIXA",PR!$BN801,IF(F803="WWCV",PR!$BO801,IF(F803="ZOLON",PR!$BP801,"-"))))))))))))))))))))))))))))))))))))))))))))))))))))))))))))))))</f>
        <v>-</v>
      </c>
      <c r="F803" s="102"/>
      <c r="G803" s="108" t="str">
        <f>IF(H803="ALPHA",PR!$E801,IF(H803="ASSENE",PR!$F801,IF(H803="BIOFEM",PR!$G801,IF(H803="BIOMED",PR!$H801,IF(H803="CHI",PR!$I801,IF(H803="CLARION",PR!$J801,IF(H803="CODIX",PR!$K801,IF(H803="COSMADE",PR!$L801,IF(H803="SANCON",PR!$M801,IF(H803="DEVON",PR!$N801,IF(H803="DORTEMAG",PR!$O801,IF(H803="DGF",PR!$P801,IF(H803="DYNAMIC",PR!$Q801,IF(H803="EMZOR",PR!$R801,IF(H803="EUMATT",PR!$S801,IF(H803="FIDSON",PR!$T801,IF(H803="FCGLOBAL",PR!$U801,IF(H803="GENEITH",PR!$V801,IF(H803="GINOS",PR!$W801,IF(H803="GSK",PR!$X801,IF(H803="GLOBORG",PR!$Y801,IF(H803="GOODNEWS",PR!$Z801,IF(H803="GREENLIFE",PR!$AA801,IF(H803="HLINE",PR!$AB801,IF(H803="ROTECH",PR!$AC801,IF(H803="ISN",PR!$AD801,IF(H803="JAWA",PR!$AE801,IF(H803="LAYO",PR!$AF801,IF(H803="LEADWAY",PR!$AG801,IF(H803="LHV",PR!$AH801,IF(H803="MANOLA",PR!$AI801,IF(H803="MARCSON",PR!$AJ801,IF(H803="M&amp;B",PR!$AK801,IF(H803="MTRUST",PR!$AL801,IF(H803="MWORLD",PR!$AM801,IF(H803="MEGA",PR!$AN801,IF(H803="MICRONOVA",PR!$AO801,IF(H803="MFLASH",PR!$AP801,IF(H803="MORISON",PR!$AQ801,IF(H803="NEMEL",PR!$AR801,IF(H803="NHP",PR!$AS801,IF(H803="NHC",PR!$AT801,IF(H803="OLEAF",PR!$AU801,IF(H803="OCULUS",PR!$AV801,IF(H803="PACIFIC",PR!$AW801,IF(H803="PHAMATEX",PR!$AX801,IF(H803="PETHICS",PR!$AY801,IF(H803="PHILIPS",PR!$AZ801,IF(H803="RANBAXY",PR!$BA801,IF(H803="REALS",PR!$BB801,IF(H803="ROYAL",PR!$BC801,IF(H803="SAM",PR!$BD801,IF(H803="SEAGREEN",PR!$BE801,IF(H803="SKG",PR!$BF801,IF(H803="TAH",PR!$BG801,IF(H803="TAYLEK",PR!$BH801,IF(H803="TEMITA",PR!$BI801,IF(H803="THL",PR!$BJ801,IF(H803="UBASTIC",PR!$BK801,IF(H803="UNION",PR!$BL801,IF(H803="UNIQUE",PR!$BM801,IF(H803="VIXA",PR!$BN801,IF(H803="WWCV",PR!$BO801,IF(H803="ZOLON",PR!$BP801,"-"))))))))))))))))))))))))))))))))))))))))))))))))))))))))))))))))</f>
        <v>-</v>
      </c>
      <c r="H803" s="102"/>
      <c r="I803" s="108" t="str">
        <f>IF(J803="ALPHA",PR!$E801,IF(J803="ASSENE",PR!$F801,IF(J803="BIOFEM",PR!$G801,IF(J803="BIOMED",PR!$H801,IF(J803="CHI",PR!$I801,IF(J803="CLARION",PR!$J801,IF(J803="CODIX",PR!$K801,IF(J803="COSMADE",PR!$L801,IF(J803="SANCON",PR!$M801,IF(J803="DEVON",PR!$N801,IF(J803="DORTEMAG",PR!$O801,IF(J803="DGF",PR!$P801,IF(J803="DYNAMIC",PR!$Q801,IF(J803="EMZOR",PR!$R801,IF(J803="EUMATT",PR!$S801,IF(J803="FIDSON",PR!$T801,IF(J803="FCGLOBAL",PR!$U801,IF(J803="GENEITH",PR!$V801,IF(J803="GINOS",PR!$W801,IF(J803="GSK",PR!$X801,IF(J803="GLOBORG",PR!$Y801,IF(J803="GOODNEWS",PR!$Z801,IF(J803="GREENLIFE",PR!$AA801,IF(J803="HLINE",PR!$AB801,IF(J803="ROTECH",PR!$AC801,IF(J803="ISN",PR!$AD801,IF(J803="JAWA",PR!$AE801,IF(J803="LAYO",PR!$AF801,IF(J803="LEADWAY",PR!$AG801,IF(J803="LHV",PR!$AH801,IF(J803="MANOLA",PR!$AI801,IF(J803="MARCSON",PR!$AJ801,IF(J803="M&amp;B",PR!$AK801,IF(J803="MTRUST",PR!$AL801,IF(J803="MWORLD",PR!$AM801,IF(J803="MEGA",PR!$AN801,IF(J803="MICRONOVA",PR!$AO801,IF(J803="MFLASH",PR!$AP801,IF(J803="MORISON",PR!$AQ801,IF(J803="NEMEL",PR!$AR801,IF(J803="NHP",PR!$AS801,IF(J803="NHC",PR!$AT801,IF(J803="OLEAF",PR!$AU801,IF(J803="OCULUS",PR!$AV801,IF(J803="PACIFIC",PR!$AW801,IF(J803="PHAMATEX",PR!$AX801,IF(J803="PETHICS",PR!$AY801,IF(J803="PHILIPS",PR!$AZ801,IF(J803="RANBAXY",PR!$BA801,IF(J803="REALS",PR!$BB801,IF(J803="ROYAL",PR!$BC801,IF(J803="SAM",PR!$BD801,IF(J803="SEAGREEN",PR!$BE801,IF(J803="SKG",PR!$BF801,IF(J803="TAH",PR!$BG801,IF(J803="TAYLEK",PR!$BH801,IF(J803="TEMITA",PR!$BI801,IF(J803="THL",PR!$BJ801,IF(J803="UBASTIC",PR!$BK801,IF(J803="UNION",PR!$BL801,IF(J803="UNIQUE",PR!$BM801,IF(J803="VIXA",PR!$BN801,IF(J803="WWCV",PR!$BO801,IF(J803="ZOLON",PR!$BP801,"-"))))))))))))))))))))))))))))))))))))))))))))))))))))))))))))))))</f>
        <v>-</v>
      </c>
      <c r="J803" s="102"/>
      <c r="K803" s="433"/>
      <c r="L803" s="183" t="b">
        <f>IF(K803&gt;0,IF(K803="ALPHA",PR!$E801,IF(K803="ASSENE",PR!$F801,IF(K803="BIOFEM",PR!$G801,IF(K803="BIOMED",PR!$H801,IF(K803="CHI",PR!$I801,IF(K803="CLARION",PR!$J801,IF(K803="CODIX",PR!$K801,IF(K803="COSMADE",PR!$L801,IF(K803="SANCON",PR!$M801,IF(K803="DEVON",PR!$N801,IF(K803="DORTEMAG",PR!$O801,IF(K803="DGF",PR!$P801,IF(K803="DYNAMIC",PR!$Q801,IF(K803="EMZOR",PR!$R801,IF(K803="EUMATT",PR!$S801,IF(K803="FIDSON",PR!$T801,IF(K803="FCGLOBAL",PR!$U801,IF(K803="GENEITH",PR!$V801,IF(K803="GINOS",PR!$W801,IF(K803="GSK",PR!$X801,IF(K803="GLOBORG",PR!$Y801,IF(K803="GOODNEWS",PR!$Z801,IF(K803="GREENLIFE",PR!$AA801,IF(K803="HLINE",PR!$AB801,IF(K803="ROTECH",PR!$AC801,IF(K803="ISN",PR!$AD801,IF(K803="JAWA",PR!$AE801,IF(K803="LAYO",PR!$AF801,IF(K803="LEADWAY",PR!$AG801,IF(K803="LHV",PR!$AH801,IF(K803="MANOLA",PR!$AI801,IF(K803="MARCSON",PR!$AJ801,IF(K803="M&amp;B",PR!$AK801,IF(K803="MTRUST",PR!$AL801,IF(K803="MWORLD",PR!$AM801,IF(K803="MEGA",PR!$AN801,IF(K803="MICRONOVA",PR!$AO801,IF(K803="MFLASH",PR!$AP801,IF(K803="MORISON",PR!$AQ801,IF(K803="NEMEL",PR!$AR801,IF(K803="NHP",PR!$AS801,IF(K803="NHC",PR!$AT801,IF(K803="OLEAF",PR!$AU801,IF(K803="OCULUS",PR!$AV801,IF(K803="PACIFIC",PR!$AW801,IF(K803="PHAMATEX",PR!$AX801,IF(K803="PETHICS",PR!$AY801,IF(K803="PHILIPS",PR!$AZ801,IF(K803="RANBAXY",PR!$BA801,IF(K803="REALS",PR!$BB801,IF(K803="ROYAL",PR!$BC801,IF(K803="SAM",PR!$BD801,IF(K803="SEAGREEN",PR!$BE801,IF(K803="SKG",PR!$BF801,IF(K803="TAH",PR!$BG801,IF(K803="TAYLEK",PR!$BH801,IF(K803="TEMITA",PR!$BI801,IF(K803="THL",PR!$BJ801,IF(K803="UBASTIC",PR!$BK801,IF(K803="UNION",PR!$BL801,IF(K803="UNIQUE",PR!$BM801,IF(K803="VIXA",PR!$BN801,IF(K803="WWCV",PR!$BO801,IF(K803="ZOLON",PR!$BP801,"-")))))))))))))))))))))))))))))))))))))))))))))))))))))))))))))))))</f>
        <v>0</v>
      </c>
    </row>
    <row r="804" spans="1:12" ht="18.75" x14ac:dyDescent="0.3">
      <c r="A804" s="430">
        <f>PR!A802</f>
        <v>0</v>
      </c>
      <c r="B804" s="15">
        <f>PR!B802</f>
        <v>0</v>
      </c>
      <c r="C804" s="113">
        <f>PR!D802</f>
        <v>0</v>
      </c>
      <c r="D804" s="113">
        <f>PR!C802</f>
        <v>0</v>
      </c>
      <c r="E804" s="108" t="str">
        <f>IF(F804="ALPHA",PR!$E802,IF(F804="ASSENE",PR!$F802,IF(F804="BIOFEM",PR!$G802,IF(F804="BIOMED",PR!$H802,IF(F804="CHI",PR!$I802,IF(F804="CLARION",PR!$J802,IF(F804="CODIX",PR!$K802,IF(F804="COSMADE",PR!$L802,IF(F804="SANCON",PR!$M802,IF(F804="DEVON",PR!$N802,IF(F804="DORTEMAG",PR!$O802,IF(F804="DGF",PR!$P802,IF(F804="DYNAMIC",PR!$Q802,IF(F804="EMZOR",PR!$R802,IF(F804="EUMATT",PR!$S802,IF(F804="FIDSON",PR!$T802,IF(F804="FCGLOBAL",PR!$U802,IF(F804="GENEITH",PR!$V802,IF(F804="GINOS",PR!$W802,IF(F804="GSK",PR!$X802,IF(F804="GLOBORG",PR!$Y802,IF(F804="GOODNEWS",PR!$Z802,IF(F804="GREENLIFE",PR!$AA802,IF(F804="HLINE",PR!$AB802,IF(F804="ROTECH",PR!$AC802,IF(F804="ISN",PR!$AD802,IF(F804="JAWA",PR!$AE802,IF(F804="LAYO",PR!$AF802,IF(F804="LEADWAY",PR!$AG802,IF(F804="LHV",PR!$AH802,IF(F804="MANOLA",PR!$AI802,IF(F804="MARCSON",PR!$AJ802,IF(F804="M&amp;B",PR!$AK802,IF(F804="MTRUST",PR!$AL802,IF(F804="MWORLD",PR!$AM802,IF(F804="MEGA",PR!$AN802,IF(F804="MICRONOVA",PR!$AO802,IF(F804="MFLASH",PR!$AP802,IF(F804="MORISON",PR!$AQ802,IF(F804="NEMEL",PR!$AR802,IF(F804="NHP",PR!$AS802,IF(F804="NHC",PR!$AT802,IF(F804="OLEAF",PR!$AU802,IF(F804="OCULUS",PR!$AV802,IF(F804="PACIFIC",PR!$AW802,IF(F804="PHAMATEX",PR!$AX802,IF(F804="PETHICS",PR!$AY802,IF(F804="PHILIPS",PR!$AZ802,IF(F804="RANBAXY",PR!$BA802,IF(F804="REALS",PR!$BB802,IF(F804="ROYAL",PR!$BC802,IF(F804="SAM",PR!$BD802,IF(F804="SEAGREEN",PR!$BE802,IF(F804="SKG",PR!$BF802,IF(F804="TAH",PR!$BG802,IF(F804="TAYLEK",PR!$BH802,IF(F804="TEMITA",PR!$BI802,IF(F804="THL",PR!$BJ802,IF(F804="UBASTIC",PR!$BK802,IF(F804="UNION",PR!$BL802,IF(F804="UNIQUE",PR!$BM802,IF(F804="VIXA",PR!$BN802,IF(F804="WWCV",PR!$BO802,IF(F804="ZOLON",PR!$BP802,"-"))))))))))))))))))))))))))))))))))))))))))))))))))))))))))))))))</f>
        <v>-</v>
      </c>
      <c r="F804" s="102"/>
      <c r="G804" s="108" t="str">
        <f>IF(H804="ALPHA",PR!$E802,IF(H804="ASSENE",PR!$F802,IF(H804="BIOFEM",PR!$G802,IF(H804="BIOMED",PR!$H802,IF(H804="CHI",PR!$I802,IF(H804="CLARION",PR!$J802,IF(H804="CODIX",PR!$K802,IF(H804="COSMADE",PR!$L802,IF(H804="SANCON",PR!$M802,IF(H804="DEVON",PR!$N802,IF(H804="DORTEMAG",PR!$O802,IF(H804="DGF",PR!$P802,IF(H804="DYNAMIC",PR!$Q802,IF(H804="EMZOR",PR!$R802,IF(H804="EUMATT",PR!$S802,IF(H804="FIDSON",PR!$T802,IF(H804="FCGLOBAL",PR!$U802,IF(H804="GENEITH",PR!$V802,IF(H804="GINOS",PR!$W802,IF(H804="GSK",PR!$X802,IF(H804="GLOBORG",PR!$Y802,IF(H804="GOODNEWS",PR!$Z802,IF(H804="GREENLIFE",PR!$AA802,IF(H804="HLINE",PR!$AB802,IF(H804="ROTECH",PR!$AC802,IF(H804="ISN",PR!$AD802,IF(H804="JAWA",PR!$AE802,IF(H804="LAYO",PR!$AF802,IF(H804="LEADWAY",PR!$AG802,IF(H804="LHV",PR!$AH802,IF(H804="MANOLA",PR!$AI802,IF(H804="MARCSON",PR!$AJ802,IF(H804="M&amp;B",PR!$AK802,IF(H804="MTRUST",PR!$AL802,IF(H804="MWORLD",PR!$AM802,IF(H804="MEGA",PR!$AN802,IF(H804="MICRONOVA",PR!$AO802,IF(H804="MFLASH",PR!$AP802,IF(H804="MORISON",PR!$AQ802,IF(H804="NEMEL",PR!$AR802,IF(H804="NHP",PR!$AS802,IF(H804="NHC",PR!$AT802,IF(H804="OLEAF",PR!$AU802,IF(H804="OCULUS",PR!$AV802,IF(H804="PACIFIC",PR!$AW802,IF(H804="PHAMATEX",PR!$AX802,IF(H804="PETHICS",PR!$AY802,IF(H804="PHILIPS",PR!$AZ802,IF(H804="RANBAXY",PR!$BA802,IF(H804="REALS",PR!$BB802,IF(H804="ROYAL",PR!$BC802,IF(H804="SAM",PR!$BD802,IF(H804="SEAGREEN",PR!$BE802,IF(H804="SKG",PR!$BF802,IF(H804="TAH",PR!$BG802,IF(H804="TAYLEK",PR!$BH802,IF(H804="TEMITA",PR!$BI802,IF(H804="THL",PR!$BJ802,IF(H804="UBASTIC",PR!$BK802,IF(H804="UNION",PR!$BL802,IF(H804="UNIQUE",PR!$BM802,IF(H804="VIXA",PR!$BN802,IF(H804="WWCV",PR!$BO802,IF(H804="ZOLON",PR!$BP802,"-"))))))))))))))))))))))))))))))))))))))))))))))))))))))))))))))))</f>
        <v>-</v>
      </c>
      <c r="H804" s="102"/>
      <c r="I804" s="108" t="str">
        <f>IF(J804="ALPHA",PR!$E802,IF(J804="ASSENE",PR!$F802,IF(J804="BIOFEM",PR!$G802,IF(J804="BIOMED",PR!$H802,IF(J804="CHI",PR!$I802,IF(J804="CLARION",PR!$J802,IF(J804="CODIX",PR!$K802,IF(J804="COSMADE",PR!$L802,IF(J804="SANCON",PR!$M802,IF(J804="DEVON",PR!$N802,IF(J804="DORTEMAG",PR!$O802,IF(J804="DGF",PR!$P802,IF(J804="DYNAMIC",PR!$Q802,IF(J804="EMZOR",PR!$R802,IF(J804="EUMATT",PR!$S802,IF(J804="FIDSON",PR!$T802,IF(J804="FCGLOBAL",PR!$U802,IF(J804="GENEITH",PR!$V802,IF(J804="GINOS",PR!$W802,IF(J804="GSK",PR!$X802,IF(J804="GLOBORG",PR!$Y802,IF(J804="GOODNEWS",PR!$Z802,IF(J804="GREENLIFE",PR!$AA802,IF(J804="HLINE",PR!$AB802,IF(J804="ROTECH",PR!$AC802,IF(J804="ISN",PR!$AD802,IF(J804="JAWA",PR!$AE802,IF(J804="LAYO",PR!$AF802,IF(J804="LEADWAY",PR!$AG802,IF(J804="LHV",PR!$AH802,IF(J804="MANOLA",PR!$AI802,IF(J804="MARCSON",PR!$AJ802,IF(J804="M&amp;B",PR!$AK802,IF(J804="MTRUST",PR!$AL802,IF(J804="MWORLD",PR!$AM802,IF(J804="MEGA",PR!$AN802,IF(J804="MICRONOVA",PR!$AO802,IF(J804="MFLASH",PR!$AP802,IF(J804="MORISON",PR!$AQ802,IF(J804="NEMEL",PR!$AR802,IF(J804="NHP",PR!$AS802,IF(J804="NHC",PR!$AT802,IF(J804="OLEAF",PR!$AU802,IF(J804="OCULUS",PR!$AV802,IF(J804="PACIFIC",PR!$AW802,IF(J804="PHAMATEX",PR!$AX802,IF(J804="PETHICS",PR!$AY802,IF(J804="PHILIPS",PR!$AZ802,IF(J804="RANBAXY",PR!$BA802,IF(J804="REALS",PR!$BB802,IF(J804="ROYAL",PR!$BC802,IF(J804="SAM",PR!$BD802,IF(J804="SEAGREEN",PR!$BE802,IF(J804="SKG",PR!$BF802,IF(J804="TAH",PR!$BG802,IF(J804="TAYLEK",PR!$BH802,IF(J804="TEMITA",PR!$BI802,IF(J804="THL",PR!$BJ802,IF(J804="UBASTIC",PR!$BK802,IF(J804="UNION",PR!$BL802,IF(J804="UNIQUE",PR!$BM802,IF(J804="VIXA",PR!$BN802,IF(J804="WWCV",PR!$BO802,IF(J804="ZOLON",PR!$BP802,"-"))))))))))))))))))))))))))))))))))))))))))))))))))))))))))))))))</f>
        <v>-</v>
      </c>
      <c r="J804" s="102"/>
      <c r="K804" s="433"/>
      <c r="L804" s="183" t="b">
        <f>IF(K804&gt;0,IF(K804="ALPHA",PR!$E802,IF(K804="ASSENE",PR!$F802,IF(K804="BIOFEM",PR!$G802,IF(K804="BIOMED",PR!$H802,IF(K804="CHI",PR!$I802,IF(K804="CLARION",PR!$J802,IF(K804="CODIX",PR!$K802,IF(K804="COSMADE",PR!$L802,IF(K804="SANCON",PR!$M802,IF(K804="DEVON",PR!$N802,IF(K804="DORTEMAG",PR!$O802,IF(K804="DGF",PR!$P802,IF(K804="DYNAMIC",PR!$Q802,IF(K804="EMZOR",PR!$R802,IF(K804="EUMATT",PR!$S802,IF(K804="FIDSON",PR!$T802,IF(K804="FCGLOBAL",PR!$U802,IF(K804="GENEITH",PR!$V802,IF(K804="GINOS",PR!$W802,IF(K804="GSK",PR!$X802,IF(K804="GLOBORG",PR!$Y802,IF(K804="GOODNEWS",PR!$Z802,IF(K804="GREENLIFE",PR!$AA802,IF(K804="HLINE",PR!$AB802,IF(K804="ROTECH",PR!$AC802,IF(K804="ISN",PR!$AD802,IF(K804="JAWA",PR!$AE802,IF(K804="LAYO",PR!$AF802,IF(K804="LEADWAY",PR!$AG802,IF(K804="LHV",PR!$AH802,IF(K804="MANOLA",PR!$AI802,IF(K804="MARCSON",PR!$AJ802,IF(K804="M&amp;B",PR!$AK802,IF(K804="MTRUST",PR!$AL802,IF(K804="MWORLD",PR!$AM802,IF(K804="MEGA",PR!$AN802,IF(K804="MICRONOVA",PR!$AO802,IF(K804="MFLASH",PR!$AP802,IF(K804="MORISON",PR!$AQ802,IF(K804="NEMEL",PR!$AR802,IF(K804="NHP",PR!$AS802,IF(K804="NHC",PR!$AT802,IF(K804="OLEAF",PR!$AU802,IF(K804="OCULUS",PR!$AV802,IF(K804="PACIFIC",PR!$AW802,IF(K804="PHAMATEX",PR!$AX802,IF(K804="PETHICS",PR!$AY802,IF(K804="PHILIPS",PR!$AZ802,IF(K804="RANBAXY",PR!$BA802,IF(K804="REALS",PR!$BB802,IF(K804="ROYAL",PR!$BC802,IF(K804="SAM",PR!$BD802,IF(K804="SEAGREEN",PR!$BE802,IF(K804="SKG",PR!$BF802,IF(K804="TAH",PR!$BG802,IF(K804="TAYLEK",PR!$BH802,IF(K804="TEMITA",PR!$BI802,IF(K804="THL",PR!$BJ802,IF(K804="UBASTIC",PR!$BK802,IF(K804="UNION",PR!$BL802,IF(K804="UNIQUE",PR!$BM802,IF(K804="VIXA",PR!$BN802,IF(K804="WWCV",PR!$BO802,IF(K804="ZOLON",PR!$BP802,"-")))))))))))))))))))))))))))))))))))))))))))))))))))))))))))))))))</f>
        <v>0</v>
      </c>
    </row>
    <row r="805" spans="1:12" ht="18.75" x14ac:dyDescent="0.3">
      <c r="A805" s="430">
        <f>PR!A803</f>
        <v>0</v>
      </c>
      <c r="B805" s="15">
        <f>PR!B803</f>
        <v>0</v>
      </c>
      <c r="C805" s="113">
        <f>PR!D803</f>
        <v>0</v>
      </c>
      <c r="D805" s="113">
        <f>PR!C803</f>
        <v>0</v>
      </c>
      <c r="E805" s="108" t="str">
        <f>IF(F805="ALPHA",PR!$E803,IF(F805="ASSENE",PR!$F803,IF(F805="BIOFEM",PR!$G803,IF(F805="BIOMED",PR!$H803,IF(F805="CHI",PR!$I803,IF(F805="CLARION",PR!$J803,IF(F805="CODIX",PR!$K803,IF(F805="COSMADE",PR!$L803,IF(F805="SANCON",PR!$M803,IF(F805="DEVON",PR!$N803,IF(F805="DORTEMAG",PR!$O803,IF(F805="DGF",PR!$P803,IF(F805="DYNAMIC",PR!$Q803,IF(F805="EMZOR",PR!$R803,IF(F805="EUMATT",PR!$S803,IF(F805="FIDSON",PR!$T803,IF(F805="FCGLOBAL",PR!$U803,IF(F805="GENEITH",PR!$V803,IF(F805="GINOS",PR!$W803,IF(F805="GSK",PR!$X803,IF(F805="GLOBORG",PR!$Y803,IF(F805="GOODNEWS",PR!$Z803,IF(F805="GREENLIFE",PR!$AA803,IF(F805="HLINE",PR!$AB803,IF(F805="ROTECH",PR!$AC803,IF(F805="ISN",PR!$AD803,IF(F805="JAWA",PR!$AE803,IF(F805="LAYO",PR!$AF803,IF(F805="LEADWAY",PR!$AG803,IF(F805="LHV",PR!$AH803,IF(F805="MANOLA",PR!$AI803,IF(F805="MARCSON",PR!$AJ803,IF(F805="M&amp;B",PR!$AK803,IF(F805="MTRUST",PR!$AL803,IF(F805="MWORLD",PR!$AM803,IF(F805="MEGA",PR!$AN803,IF(F805="MICRONOVA",PR!$AO803,IF(F805="MFLASH",PR!$AP803,IF(F805="MORISON",PR!$AQ803,IF(F805="NEMEL",PR!$AR803,IF(F805="NHP",PR!$AS803,IF(F805="NHC",PR!$AT803,IF(F805="OLEAF",PR!$AU803,IF(F805="OCULUS",PR!$AV803,IF(F805="PACIFIC",PR!$AW803,IF(F805="PHAMATEX",PR!$AX803,IF(F805="PETHICS",PR!$AY803,IF(F805="PHILIPS",PR!$AZ803,IF(F805="RANBAXY",PR!$BA803,IF(F805="REALS",PR!$BB803,IF(F805="ROYAL",PR!$BC803,IF(F805="SAM",PR!$BD803,IF(F805="SEAGREEN",PR!$BE803,IF(F805="SKG",PR!$BF803,IF(F805="TAH",PR!$BG803,IF(F805="TAYLEK",PR!$BH803,IF(F805="TEMITA",PR!$BI803,IF(F805="THL",PR!$BJ803,IF(F805="UBASTIC",PR!$BK803,IF(F805="UNION",PR!$BL803,IF(F805="UNIQUE",PR!$BM803,IF(F805="VIXA",PR!$BN803,IF(F805="WWCV",PR!$BO803,IF(F805="ZOLON",PR!$BP803,"-"))))))))))))))))))))))))))))))))))))))))))))))))))))))))))))))))</f>
        <v>-</v>
      </c>
      <c r="F805" s="102"/>
      <c r="G805" s="108" t="str">
        <f>IF(H805="ALPHA",PR!$E803,IF(H805="ASSENE",PR!$F803,IF(H805="BIOFEM",PR!$G803,IF(H805="BIOMED",PR!$H803,IF(H805="CHI",PR!$I803,IF(H805="CLARION",PR!$J803,IF(H805="CODIX",PR!$K803,IF(H805="COSMADE",PR!$L803,IF(H805="SANCON",PR!$M803,IF(H805="DEVON",PR!$N803,IF(H805="DORTEMAG",PR!$O803,IF(H805="DGF",PR!$P803,IF(H805="DYNAMIC",PR!$Q803,IF(H805="EMZOR",PR!$R803,IF(H805="EUMATT",PR!$S803,IF(H805="FIDSON",PR!$T803,IF(H805="FCGLOBAL",PR!$U803,IF(H805="GENEITH",PR!$V803,IF(H805="GINOS",PR!$W803,IF(H805="GSK",PR!$X803,IF(H805="GLOBORG",PR!$Y803,IF(H805="GOODNEWS",PR!$Z803,IF(H805="GREENLIFE",PR!$AA803,IF(H805="HLINE",PR!$AB803,IF(H805="ROTECH",PR!$AC803,IF(H805="ISN",PR!$AD803,IF(H805="JAWA",PR!$AE803,IF(H805="LAYO",PR!$AF803,IF(H805="LEADWAY",PR!$AG803,IF(H805="LHV",PR!$AH803,IF(H805="MANOLA",PR!$AI803,IF(H805="MARCSON",PR!$AJ803,IF(H805="M&amp;B",PR!$AK803,IF(H805="MTRUST",PR!$AL803,IF(H805="MWORLD",PR!$AM803,IF(H805="MEGA",PR!$AN803,IF(H805="MICRONOVA",PR!$AO803,IF(H805="MFLASH",PR!$AP803,IF(H805="MORISON",PR!$AQ803,IF(H805="NEMEL",PR!$AR803,IF(H805="NHP",PR!$AS803,IF(H805="NHC",PR!$AT803,IF(H805="OLEAF",PR!$AU803,IF(H805="OCULUS",PR!$AV803,IF(H805="PACIFIC",PR!$AW803,IF(H805="PHAMATEX",PR!$AX803,IF(H805="PETHICS",PR!$AY803,IF(H805="PHILIPS",PR!$AZ803,IF(H805="RANBAXY",PR!$BA803,IF(H805="REALS",PR!$BB803,IF(H805="ROYAL",PR!$BC803,IF(H805="SAM",PR!$BD803,IF(H805="SEAGREEN",PR!$BE803,IF(H805="SKG",PR!$BF803,IF(H805="TAH",PR!$BG803,IF(H805="TAYLEK",PR!$BH803,IF(H805="TEMITA",PR!$BI803,IF(H805="THL",PR!$BJ803,IF(H805="UBASTIC",PR!$BK803,IF(H805="UNION",PR!$BL803,IF(H805="UNIQUE",PR!$BM803,IF(H805="VIXA",PR!$BN803,IF(H805="WWCV",PR!$BO803,IF(H805="ZOLON",PR!$BP803,"-"))))))))))))))))))))))))))))))))))))))))))))))))))))))))))))))))</f>
        <v>-</v>
      </c>
      <c r="H805" s="102"/>
      <c r="I805" s="108" t="str">
        <f>IF(J805="ALPHA",PR!$E803,IF(J805="ASSENE",PR!$F803,IF(J805="BIOFEM",PR!$G803,IF(J805="BIOMED",PR!$H803,IF(J805="CHI",PR!$I803,IF(J805="CLARION",PR!$J803,IF(J805="CODIX",PR!$K803,IF(J805="COSMADE",PR!$L803,IF(J805="SANCON",PR!$M803,IF(J805="DEVON",PR!$N803,IF(J805="DORTEMAG",PR!$O803,IF(J805="DGF",PR!$P803,IF(J805="DYNAMIC",PR!$Q803,IF(J805="EMZOR",PR!$R803,IF(J805="EUMATT",PR!$S803,IF(J805="FIDSON",PR!$T803,IF(J805="FCGLOBAL",PR!$U803,IF(J805="GENEITH",PR!$V803,IF(J805="GINOS",PR!$W803,IF(J805="GSK",PR!$X803,IF(J805="GLOBORG",PR!$Y803,IF(J805="GOODNEWS",PR!$Z803,IF(J805="GREENLIFE",PR!$AA803,IF(J805="HLINE",PR!$AB803,IF(J805="ROTECH",PR!$AC803,IF(J805="ISN",PR!$AD803,IF(J805="JAWA",PR!$AE803,IF(J805="LAYO",PR!$AF803,IF(J805="LEADWAY",PR!$AG803,IF(J805="LHV",PR!$AH803,IF(J805="MANOLA",PR!$AI803,IF(J805="MARCSON",PR!$AJ803,IF(J805="M&amp;B",PR!$AK803,IF(J805="MTRUST",PR!$AL803,IF(J805="MWORLD",PR!$AM803,IF(J805="MEGA",PR!$AN803,IF(J805="MICRONOVA",PR!$AO803,IF(J805="MFLASH",PR!$AP803,IF(J805="MORISON",PR!$AQ803,IF(J805="NEMEL",PR!$AR803,IF(J805="NHP",PR!$AS803,IF(J805="NHC",PR!$AT803,IF(J805="OLEAF",PR!$AU803,IF(J805="OCULUS",PR!$AV803,IF(J805="PACIFIC",PR!$AW803,IF(J805="PHAMATEX",PR!$AX803,IF(J805="PETHICS",PR!$AY803,IF(J805="PHILIPS",PR!$AZ803,IF(J805="RANBAXY",PR!$BA803,IF(J805="REALS",PR!$BB803,IF(J805="ROYAL",PR!$BC803,IF(J805="SAM",PR!$BD803,IF(J805="SEAGREEN",PR!$BE803,IF(J805="SKG",PR!$BF803,IF(J805="TAH",PR!$BG803,IF(J805="TAYLEK",PR!$BH803,IF(J805="TEMITA",PR!$BI803,IF(J805="THL",PR!$BJ803,IF(J805="UBASTIC",PR!$BK803,IF(J805="UNION",PR!$BL803,IF(J805="UNIQUE",PR!$BM803,IF(J805="VIXA",PR!$BN803,IF(J805="WWCV",PR!$BO803,IF(J805="ZOLON",PR!$BP803,"-"))))))))))))))))))))))))))))))))))))))))))))))))))))))))))))))))</f>
        <v>-</v>
      </c>
      <c r="J805" s="102"/>
      <c r="K805" s="433"/>
      <c r="L805" s="183" t="b">
        <f>IF(K805&gt;0,IF(K805="ALPHA",PR!$E803,IF(K805="ASSENE",PR!$F803,IF(K805="BIOFEM",PR!$G803,IF(K805="BIOMED",PR!$H803,IF(K805="CHI",PR!$I803,IF(K805="CLARION",PR!$J803,IF(K805="CODIX",PR!$K803,IF(K805="COSMADE",PR!$L803,IF(K805="SANCON",PR!$M803,IF(K805="DEVON",PR!$N803,IF(K805="DORTEMAG",PR!$O803,IF(K805="DGF",PR!$P803,IF(K805="DYNAMIC",PR!$Q803,IF(K805="EMZOR",PR!$R803,IF(K805="EUMATT",PR!$S803,IF(K805="FIDSON",PR!$T803,IF(K805="FCGLOBAL",PR!$U803,IF(K805="GENEITH",PR!$V803,IF(K805="GINOS",PR!$W803,IF(K805="GSK",PR!$X803,IF(K805="GLOBORG",PR!$Y803,IF(K805="GOODNEWS",PR!$Z803,IF(K805="GREENLIFE",PR!$AA803,IF(K805="HLINE",PR!$AB803,IF(K805="ROTECH",PR!$AC803,IF(K805="ISN",PR!$AD803,IF(K805="JAWA",PR!$AE803,IF(K805="LAYO",PR!$AF803,IF(K805="LEADWAY",PR!$AG803,IF(K805="LHV",PR!$AH803,IF(K805="MANOLA",PR!$AI803,IF(K805="MARCSON",PR!$AJ803,IF(K805="M&amp;B",PR!$AK803,IF(K805="MTRUST",PR!$AL803,IF(K805="MWORLD",PR!$AM803,IF(K805="MEGA",PR!$AN803,IF(K805="MICRONOVA",PR!$AO803,IF(K805="MFLASH",PR!$AP803,IF(K805="MORISON",PR!$AQ803,IF(K805="NEMEL",PR!$AR803,IF(K805="NHP",PR!$AS803,IF(K805="NHC",PR!$AT803,IF(K805="OLEAF",PR!$AU803,IF(K805="OCULUS",PR!$AV803,IF(K805="PACIFIC",PR!$AW803,IF(K805="PHAMATEX",PR!$AX803,IF(K805="PETHICS",PR!$AY803,IF(K805="PHILIPS",PR!$AZ803,IF(K805="RANBAXY",PR!$BA803,IF(K805="REALS",PR!$BB803,IF(K805="ROYAL",PR!$BC803,IF(K805="SAM",PR!$BD803,IF(K805="SEAGREEN",PR!$BE803,IF(K805="SKG",PR!$BF803,IF(K805="TAH",PR!$BG803,IF(K805="TAYLEK",PR!$BH803,IF(K805="TEMITA",PR!$BI803,IF(K805="THL",PR!$BJ803,IF(K805="UBASTIC",PR!$BK803,IF(K805="UNION",PR!$BL803,IF(K805="UNIQUE",PR!$BM803,IF(K805="VIXA",PR!$BN803,IF(K805="WWCV",PR!$BO803,IF(K805="ZOLON",PR!$BP803,"-")))))))))))))))))))))))))))))))))))))))))))))))))))))))))))))))))</f>
        <v>0</v>
      </c>
    </row>
    <row r="806" spans="1:12" ht="18.75" x14ac:dyDescent="0.3">
      <c r="A806" s="430" t="str">
        <f>PR!A804</f>
        <v>LOT 15</v>
      </c>
      <c r="B806" s="15" t="str">
        <f>PR!B804</f>
        <v>THEATRE DEPARTMENT</v>
      </c>
      <c r="C806" s="113">
        <f>PR!D804</f>
        <v>0</v>
      </c>
      <c r="D806" s="113">
        <f>PR!C804</f>
        <v>0</v>
      </c>
      <c r="E806" s="108" t="str">
        <f>IF(F806="ALPHA",PR!$E804,IF(F806="ASSENE",PR!$F804,IF(F806="BIOFEM",PR!$G804,IF(F806="BIOMED",PR!$H804,IF(F806="CHI",PR!$I804,IF(F806="CLARION",PR!$J804,IF(F806="CODIX",PR!$K804,IF(F806="COSMADE",PR!$L804,IF(F806="SANCON",PR!$M804,IF(F806="DEVON",PR!$N804,IF(F806="DORTEMAG",PR!$O804,IF(F806="DGF",PR!$P804,IF(F806="DYNAMIC",PR!$Q804,IF(F806="EMZOR",PR!$R804,IF(F806="EUMATT",PR!$S804,IF(F806="FIDSON",PR!$T804,IF(F806="FCGLOBAL",PR!$U804,IF(F806="GENEITH",PR!$V804,IF(F806="GINOS",PR!$W804,IF(F806="GSK",PR!$X804,IF(F806="GLOBORG",PR!$Y804,IF(F806="GOODNEWS",PR!$Z804,IF(F806="GREENLIFE",PR!$AA804,IF(F806="HLINE",PR!$AB804,IF(F806="ROTECH",PR!$AC804,IF(F806="ISN",PR!$AD804,IF(F806="JAWA",PR!$AE804,IF(F806="LAYO",PR!$AF804,IF(F806="LEADWAY",PR!$AG804,IF(F806="LHV",PR!$AH804,IF(F806="MANOLA",PR!$AI804,IF(F806="MARCSON",PR!$AJ804,IF(F806="M&amp;B",PR!$AK804,IF(F806="MTRUST",PR!$AL804,IF(F806="MWORLD",PR!$AM804,IF(F806="MEGA",PR!$AN804,IF(F806="MICRONOVA",PR!$AO804,IF(F806="MFLASH",PR!$AP804,IF(F806="MORISON",PR!$AQ804,IF(F806="NEMEL",PR!$AR804,IF(F806="NHP",PR!$AS804,IF(F806="NHC",PR!$AT804,IF(F806="OLEAF",PR!$AU804,IF(F806="OCULUS",PR!$AV804,IF(F806="PACIFIC",PR!$AW804,IF(F806="PHAMATEX",PR!$AX804,IF(F806="PETHICS",PR!$AY804,IF(F806="PHILIPS",PR!$AZ804,IF(F806="RANBAXY",PR!$BA804,IF(F806="REALS",PR!$BB804,IF(F806="ROYAL",PR!$BC804,IF(F806="SAM",PR!$BD804,IF(F806="SEAGREEN",PR!$BE804,IF(F806="SKG",PR!$BF804,IF(F806="TAH",PR!$BG804,IF(F806="TAYLEK",PR!$BH804,IF(F806="TEMITA",PR!$BI804,IF(F806="THL",PR!$BJ804,IF(F806="UBASTIC",PR!$BK804,IF(F806="UNION",PR!$BL804,IF(F806="UNIQUE",PR!$BM804,IF(F806="VIXA",PR!$BN804,IF(F806="WWCV",PR!$BO804,IF(F806="ZOLON",PR!$BP804,"-"))))))))))))))))))))))))))))))))))))))))))))))))))))))))))))))))</f>
        <v>-</v>
      </c>
      <c r="F806" s="102"/>
      <c r="G806" s="108" t="str">
        <f>IF(H806="ALPHA",PR!$E804,IF(H806="ASSENE",PR!$F804,IF(H806="BIOFEM",PR!$G804,IF(H806="BIOMED",PR!$H804,IF(H806="CHI",PR!$I804,IF(H806="CLARION",PR!$J804,IF(H806="CODIX",PR!$K804,IF(H806="COSMADE",PR!$L804,IF(H806="SANCON",PR!$M804,IF(H806="DEVON",PR!$N804,IF(H806="DORTEMAG",PR!$O804,IF(H806="DGF",PR!$P804,IF(H806="DYNAMIC",PR!$Q804,IF(H806="EMZOR",PR!$R804,IF(H806="EUMATT",PR!$S804,IF(H806="FIDSON",PR!$T804,IF(H806="FCGLOBAL",PR!$U804,IF(H806="GENEITH",PR!$V804,IF(H806="GINOS",PR!$W804,IF(H806="GSK",PR!$X804,IF(H806="GLOBORG",PR!$Y804,IF(H806="GOODNEWS",PR!$Z804,IF(H806="GREENLIFE",PR!$AA804,IF(H806="HLINE",PR!$AB804,IF(H806="ROTECH",PR!$AC804,IF(H806="ISN",PR!$AD804,IF(H806="JAWA",PR!$AE804,IF(H806="LAYO",PR!$AF804,IF(H806="LEADWAY",PR!$AG804,IF(H806="LHV",PR!$AH804,IF(H806="MANOLA",PR!$AI804,IF(H806="MARCSON",PR!$AJ804,IF(H806="M&amp;B",PR!$AK804,IF(H806="MTRUST",PR!$AL804,IF(H806="MWORLD",PR!$AM804,IF(H806="MEGA",PR!$AN804,IF(H806="MICRONOVA",PR!$AO804,IF(H806="MFLASH",PR!$AP804,IF(H806="MORISON",PR!$AQ804,IF(H806="NEMEL",PR!$AR804,IF(H806="NHP",PR!$AS804,IF(H806="NHC",PR!$AT804,IF(H806="OLEAF",PR!$AU804,IF(H806="OCULUS",PR!$AV804,IF(H806="PACIFIC",PR!$AW804,IF(H806="PHAMATEX",PR!$AX804,IF(H806="PETHICS",PR!$AY804,IF(H806="PHILIPS",PR!$AZ804,IF(H806="RANBAXY",PR!$BA804,IF(H806="REALS",PR!$BB804,IF(H806="ROYAL",PR!$BC804,IF(H806="SAM",PR!$BD804,IF(H806="SEAGREEN",PR!$BE804,IF(H806="SKG",PR!$BF804,IF(H806="TAH",PR!$BG804,IF(H806="TAYLEK",PR!$BH804,IF(H806="TEMITA",PR!$BI804,IF(H806="THL",PR!$BJ804,IF(H806="UBASTIC",PR!$BK804,IF(H806="UNION",PR!$BL804,IF(H806="UNIQUE",PR!$BM804,IF(H806="VIXA",PR!$BN804,IF(H806="WWCV",PR!$BO804,IF(H806="ZOLON",PR!$BP804,"-"))))))))))))))))))))))))))))))))))))))))))))))))))))))))))))))))</f>
        <v>-</v>
      </c>
      <c r="H806" s="102"/>
      <c r="I806" s="108" t="str">
        <f>IF(J806="ALPHA",PR!$E804,IF(J806="ASSENE",PR!$F804,IF(J806="BIOFEM",PR!$G804,IF(J806="BIOMED",PR!$H804,IF(J806="CHI",PR!$I804,IF(J806="CLARION",PR!$J804,IF(J806="CODIX",PR!$K804,IF(J806="COSMADE",PR!$L804,IF(J806="SANCON",PR!$M804,IF(J806="DEVON",PR!$N804,IF(J806="DORTEMAG",PR!$O804,IF(J806="DGF",PR!$P804,IF(J806="DYNAMIC",PR!$Q804,IF(J806="EMZOR",PR!$R804,IF(J806="EUMATT",PR!$S804,IF(J806="FIDSON",PR!$T804,IF(J806="FCGLOBAL",PR!$U804,IF(J806="GENEITH",PR!$V804,IF(J806="GINOS",PR!$W804,IF(J806="GSK",PR!$X804,IF(J806="GLOBORG",PR!$Y804,IF(J806="GOODNEWS",PR!$Z804,IF(J806="GREENLIFE",PR!$AA804,IF(J806="HLINE",PR!$AB804,IF(J806="ROTECH",PR!$AC804,IF(J806="ISN",PR!$AD804,IF(J806="JAWA",PR!$AE804,IF(J806="LAYO",PR!$AF804,IF(J806="LEADWAY",PR!$AG804,IF(J806="LHV",PR!$AH804,IF(J806="MANOLA",PR!$AI804,IF(J806="MARCSON",PR!$AJ804,IF(J806="M&amp;B",PR!$AK804,IF(J806="MTRUST",PR!$AL804,IF(J806="MWORLD",PR!$AM804,IF(J806="MEGA",PR!$AN804,IF(J806="MICRONOVA",PR!$AO804,IF(J806="MFLASH",PR!$AP804,IF(J806="MORISON",PR!$AQ804,IF(J806="NEMEL",PR!$AR804,IF(J806="NHP",PR!$AS804,IF(J806="NHC",PR!$AT804,IF(J806="OLEAF",PR!$AU804,IF(J806="OCULUS",PR!$AV804,IF(J806="PACIFIC",PR!$AW804,IF(J806="PHAMATEX",PR!$AX804,IF(J806="PETHICS",PR!$AY804,IF(J806="PHILIPS",PR!$AZ804,IF(J806="RANBAXY",PR!$BA804,IF(J806="REALS",PR!$BB804,IF(J806="ROYAL",PR!$BC804,IF(J806="SAM",PR!$BD804,IF(J806="SEAGREEN",PR!$BE804,IF(J806="SKG",PR!$BF804,IF(J806="TAH",PR!$BG804,IF(J806="TAYLEK",PR!$BH804,IF(J806="TEMITA",PR!$BI804,IF(J806="THL",PR!$BJ804,IF(J806="UBASTIC",PR!$BK804,IF(J806="UNION",PR!$BL804,IF(J806="UNIQUE",PR!$BM804,IF(J806="VIXA",PR!$BN804,IF(J806="WWCV",PR!$BO804,IF(J806="ZOLON",PR!$BP804,"-"))))))))))))))))))))))))))))))))))))))))))))))))))))))))))))))))</f>
        <v>-</v>
      </c>
      <c r="J806" s="102"/>
      <c r="K806" s="433"/>
      <c r="L806" s="183" t="b">
        <f>IF(K806&gt;0,IF(K806="ALPHA",PR!$E804,IF(K806="ASSENE",PR!$F804,IF(K806="BIOFEM",PR!$G804,IF(K806="BIOMED",PR!$H804,IF(K806="CHI",PR!$I804,IF(K806="CLARION",PR!$J804,IF(K806="CODIX",PR!$K804,IF(K806="COSMADE",PR!$L804,IF(K806="SANCON",PR!$M804,IF(K806="DEVON",PR!$N804,IF(K806="DORTEMAG",PR!$O804,IF(K806="DGF",PR!$P804,IF(K806="DYNAMIC",PR!$Q804,IF(K806="EMZOR",PR!$R804,IF(K806="EUMATT",PR!$S804,IF(K806="FIDSON",PR!$T804,IF(K806="FCGLOBAL",PR!$U804,IF(K806="GENEITH",PR!$V804,IF(K806="GINOS",PR!$W804,IF(K806="GSK",PR!$X804,IF(K806="GLOBORG",PR!$Y804,IF(K806="GOODNEWS",PR!$Z804,IF(K806="GREENLIFE",PR!$AA804,IF(K806="HLINE",PR!$AB804,IF(K806="ROTECH",PR!$AC804,IF(K806="ISN",PR!$AD804,IF(K806="JAWA",PR!$AE804,IF(K806="LAYO",PR!$AF804,IF(K806="LEADWAY",PR!$AG804,IF(K806="LHV",PR!$AH804,IF(K806="MANOLA",PR!$AI804,IF(K806="MARCSON",PR!$AJ804,IF(K806="M&amp;B",PR!$AK804,IF(K806="MTRUST",PR!$AL804,IF(K806="MWORLD",PR!$AM804,IF(K806="MEGA",PR!$AN804,IF(K806="MICRONOVA",PR!$AO804,IF(K806="MFLASH",PR!$AP804,IF(K806="MORISON",PR!$AQ804,IF(K806="NEMEL",PR!$AR804,IF(K806="NHP",PR!$AS804,IF(K806="NHC",PR!$AT804,IF(K806="OLEAF",PR!$AU804,IF(K806="OCULUS",PR!$AV804,IF(K806="PACIFIC",PR!$AW804,IF(K806="PHAMATEX",PR!$AX804,IF(K806="PETHICS",PR!$AY804,IF(K806="PHILIPS",PR!$AZ804,IF(K806="RANBAXY",PR!$BA804,IF(K806="REALS",PR!$BB804,IF(K806="ROYAL",PR!$BC804,IF(K806="SAM",PR!$BD804,IF(K806="SEAGREEN",PR!$BE804,IF(K806="SKG",PR!$BF804,IF(K806="TAH",PR!$BG804,IF(K806="TAYLEK",PR!$BH804,IF(K806="TEMITA",PR!$BI804,IF(K806="THL",PR!$BJ804,IF(K806="UBASTIC",PR!$BK804,IF(K806="UNION",PR!$BL804,IF(K806="UNIQUE",PR!$BM804,IF(K806="VIXA",PR!$BN804,IF(K806="WWCV",PR!$BO804,IF(K806="ZOLON",PR!$BP804,"-")))))))))))))))))))))))))))))))))))))))))))))))))))))))))))))))))</f>
        <v>0</v>
      </c>
    </row>
    <row r="807" spans="1:12" ht="18.75" x14ac:dyDescent="0.3">
      <c r="A807" s="430">
        <f>PR!A805</f>
        <v>0</v>
      </c>
      <c r="B807" s="15">
        <f>PR!B805</f>
        <v>0</v>
      </c>
      <c r="C807" s="113">
        <f>PR!D805</f>
        <v>0</v>
      </c>
      <c r="D807" s="113">
        <f>PR!C805</f>
        <v>0</v>
      </c>
      <c r="E807" s="108" t="str">
        <f>IF(F807="ALPHA",PR!$E805,IF(F807="ASSENE",PR!$F805,IF(F807="BIOFEM",PR!$G805,IF(F807="BIOMED",PR!$H805,IF(F807="CHI",PR!$I805,IF(F807="CLARION",PR!$J805,IF(F807="CODIX",PR!$K805,IF(F807="COSMADE",PR!$L805,IF(F807="SANCON",PR!$M805,IF(F807="DEVON",PR!$N805,IF(F807="DORTEMAG",PR!$O805,IF(F807="DGF",PR!$P805,IF(F807="DYNAMIC",PR!$Q805,IF(F807="EMZOR",PR!$R805,IF(F807="EUMATT",PR!$S805,IF(F807="FIDSON",PR!$T805,IF(F807="FCGLOBAL",PR!$U805,IF(F807="GENEITH",PR!$V805,IF(F807="GINOS",PR!$W805,IF(F807="GSK",PR!$X805,IF(F807="GLOBORG",PR!$Y805,IF(F807="GOODNEWS",PR!$Z805,IF(F807="GREENLIFE",PR!$AA805,IF(F807="HLINE",PR!$AB805,IF(F807="ROTECH",PR!$AC805,IF(F807="ISN",PR!$AD805,IF(F807="JAWA",PR!$AE805,IF(F807="LAYO",PR!$AF805,IF(F807="LEADWAY",PR!$AG805,IF(F807="LHV",PR!$AH805,IF(F807="MANOLA",PR!$AI805,IF(F807="MARCSON",PR!$AJ805,IF(F807="M&amp;B",PR!$AK805,IF(F807="MTRUST",PR!$AL805,IF(F807="MWORLD",PR!$AM805,IF(F807="MEGA",PR!$AN805,IF(F807="MICRONOVA",PR!$AO805,IF(F807="MFLASH",PR!$AP805,IF(F807="MORISON",PR!$AQ805,IF(F807="NEMEL",PR!$AR805,IF(F807="NHP",PR!$AS805,IF(F807="NHC",PR!$AT805,IF(F807="OLEAF",PR!$AU805,IF(F807="OCULUS",PR!$AV805,IF(F807="PACIFIC",PR!$AW805,IF(F807="PHAMATEX",PR!$AX805,IF(F807="PETHICS",PR!$AY805,IF(F807="PHILIPS",PR!$AZ805,IF(F807="RANBAXY",PR!$BA805,IF(F807="REALS",PR!$BB805,IF(F807="ROYAL",PR!$BC805,IF(F807="SAM",PR!$BD805,IF(F807="SEAGREEN",PR!$BE805,IF(F807="SKG",PR!$BF805,IF(F807="TAH",PR!$BG805,IF(F807="TAYLEK",PR!$BH805,IF(F807="TEMITA",PR!$BI805,IF(F807="THL",PR!$BJ805,IF(F807="UBASTIC",PR!$BK805,IF(F807="UNION",PR!$BL805,IF(F807="UNIQUE",PR!$BM805,IF(F807="VIXA",PR!$BN805,IF(F807="WWCV",PR!$BO805,IF(F807="ZOLON",PR!$BP805,"-"))))))))))))))))))))))))))))))))))))))))))))))))))))))))))))))))</f>
        <v>-</v>
      </c>
      <c r="F807" s="102"/>
      <c r="G807" s="108" t="str">
        <f>IF(H807="ALPHA",PR!$E805,IF(H807="ASSENE",PR!$F805,IF(H807="BIOFEM",PR!$G805,IF(H807="BIOMED",PR!$H805,IF(H807="CHI",PR!$I805,IF(H807="CLARION",PR!$J805,IF(H807="CODIX",PR!$K805,IF(H807="COSMADE",PR!$L805,IF(H807="SANCON",PR!$M805,IF(H807="DEVON",PR!$N805,IF(H807="DORTEMAG",PR!$O805,IF(H807="DGF",PR!$P805,IF(H807="DYNAMIC",PR!$Q805,IF(H807="EMZOR",PR!$R805,IF(H807="EUMATT",PR!$S805,IF(H807="FIDSON",PR!$T805,IF(H807="FCGLOBAL",PR!$U805,IF(H807="GENEITH",PR!$V805,IF(H807="GINOS",PR!$W805,IF(H807="GSK",PR!$X805,IF(H807="GLOBORG",PR!$Y805,IF(H807="GOODNEWS",PR!$Z805,IF(H807="GREENLIFE",PR!$AA805,IF(H807="HLINE",PR!$AB805,IF(H807="ROTECH",PR!$AC805,IF(H807="ISN",PR!$AD805,IF(H807="JAWA",PR!$AE805,IF(H807="LAYO",PR!$AF805,IF(H807="LEADWAY",PR!$AG805,IF(H807="LHV",PR!$AH805,IF(H807="MANOLA",PR!$AI805,IF(H807="MARCSON",PR!$AJ805,IF(H807="M&amp;B",PR!$AK805,IF(H807="MTRUST",PR!$AL805,IF(H807="MWORLD",PR!$AM805,IF(H807="MEGA",PR!$AN805,IF(H807="MICRONOVA",PR!$AO805,IF(H807="MFLASH",PR!$AP805,IF(H807="MORISON",PR!$AQ805,IF(H807="NEMEL",PR!$AR805,IF(H807="NHP",PR!$AS805,IF(H807="NHC",PR!$AT805,IF(H807="OLEAF",PR!$AU805,IF(H807="OCULUS",PR!$AV805,IF(H807="PACIFIC",PR!$AW805,IF(H807="PHAMATEX",PR!$AX805,IF(H807="PETHICS",PR!$AY805,IF(H807="PHILIPS",PR!$AZ805,IF(H807="RANBAXY",PR!$BA805,IF(H807="REALS",PR!$BB805,IF(H807="ROYAL",PR!$BC805,IF(H807="SAM",PR!$BD805,IF(H807="SEAGREEN",PR!$BE805,IF(H807="SKG",PR!$BF805,IF(H807="TAH",PR!$BG805,IF(H807="TAYLEK",PR!$BH805,IF(H807="TEMITA",PR!$BI805,IF(H807="THL",PR!$BJ805,IF(H807="UBASTIC",PR!$BK805,IF(H807="UNION",PR!$BL805,IF(H807="UNIQUE",PR!$BM805,IF(H807="VIXA",PR!$BN805,IF(H807="WWCV",PR!$BO805,IF(H807="ZOLON",PR!$BP805,"-"))))))))))))))))))))))))))))))))))))))))))))))))))))))))))))))))</f>
        <v>-</v>
      </c>
      <c r="H807" s="102"/>
      <c r="I807" s="108" t="str">
        <f>IF(J807="ALPHA",PR!$E805,IF(J807="ASSENE",PR!$F805,IF(J807="BIOFEM",PR!$G805,IF(J807="BIOMED",PR!$H805,IF(J807="CHI",PR!$I805,IF(J807="CLARION",PR!$J805,IF(J807="CODIX",PR!$K805,IF(J807="COSMADE",PR!$L805,IF(J807="SANCON",PR!$M805,IF(J807="DEVON",PR!$N805,IF(J807="DORTEMAG",PR!$O805,IF(J807="DGF",PR!$P805,IF(J807="DYNAMIC",PR!$Q805,IF(J807="EMZOR",PR!$R805,IF(J807="EUMATT",PR!$S805,IF(J807="FIDSON",PR!$T805,IF(J807="FCGLOBAL",PR!$U805,IF(J807="GENEITH",PR!$V805,IF(J807="GINOS",PR!$W805,IF(J807="GSK",PR!$X805,IF(J807="GLOBORG",PR!$Y805,IF(J807="GOODNEWS",PR!$Z805,IF(J807="GREENLIFE",PR!$AA805,IF(J807="HLINE",PR!$AB805,IF(J807="ROTECH",PR!$AC805,IF(J807="ISN",PR!$AD805,IF(J807="JAWA",PR!$AE805,IF(J807="LAYO",PR!$AF805,IF(J807="LEADWAY",PR!$AG805,IF(J807="LHV",PR!$AH805,IF(J807="MANOLA",PR!$AI805,IF(J807="MARCSON",PR!$AJ805,IF(J807="M&amp;B",PR!$AK805,IF(J807="MTRUST",PR!$AL805,IF(J807="MWORLD",PR!$AM805,IF(J807="MEGA",PR!$AN805,IF(J807="MICRONOVA",PR!$AO805,IF(J807="MFLASH",PR!$AP805,IF(J807="MORISON",PR!$AQ805,IF(J807="NEMEL",PR!$AR805,IF(J807="NHP",PR!$AS805,IF(J807="NHC",PR!$AT805,IF(J807="OLEAF",PR!$AU805,IF(J807="OCULUS",PR!$AV805,IF(J807="PACIFIC",PR!$AW805,IF(J807="PHAMATEX",PR!$AX805,IF(J807="PETHICS",PR!$AY805,IF(J807="PHILIPS",PR!$AZ805,IF(J807="RANBAXY",PR!$BA805,IF(J807="REALS",PR!$BB805,IF(J807="ROYAL",PR!$BC805,IF(J807="SAM",PR!$BD805,IF(J807="SEAGREEN",PR!$BE805,IF(J807="SKG",PR!$BF805,IF(J807="TAH",PR!$BG805,IF(J807="TAYLEK",PR!$BH805,IF(J807="TEMITA",PR!$BI805,IF(J807="THL",PR!$BJ805,IF(J807="UBASTIC",PR!$BK805,IF(J807="UNION",PR!$BL805,IF(J807="UNIQUE",PR!$BM805,IF(J807="VIXA",PR!$BN805,IF(J807="WWCV",PR!$BO805,IF(J807="ZOLON",PR!$BP805,"-"))))))))))))))))))))))))))))))))))))))))))))))))))))))))))))))))</f>
        <v>-</v>
      </c>
      <c r="J807" s="102"/>
      <c r="K807" s="433"/>
      <c r="L807" s="183" t="b">
        <f>IF(K807&gt;0,IF(K807="ALPHA",PR!$E805,IF(K807="ASSENE",PR!$F805,IF(K807="BIOFEM",PR!$G805,IF(K807="BIOMED",PR!$H805,IF(K807="CHI",PR!$I805,IF(K807="CLARION",PR!$J805,IF(K807="CODIX",PR!$K805,IF(K807="COSMADE",PR!$L805,IF(K807="SANCON",PR!$M805,IF(K807="DEVON",PR!$N805,IF(K807="DORTEMAG",PR!$O805,IF(K807="DGF",PR!$P805,IF(K807="DYNAMIC",PR!$Q805,IF(K807="EMZOR",PR!$R805,IF(K807="EUMATT",PR!$S805,IF(K807="FIDSON",PR!$T805,IF(K807="FCGLOBAL",PR!$U805,IF(K807="GENEITH",PR!$V805,IF(K807="GINOS",PR!$W805,IF(K807="GSK",PR!$X805,IF(K807="GLOBORG",PR!$Y805,IF(K807="GOODNEWS",PR!$Z805,IF(K807="GREENLIFE",PR!$AA805,IF(K807="HLINE",PR!$AB805,IF(K807="ROTECH",PR!$AC805,IF(K807="ISN",PR!$AD805,IF(K807="JAWA",PR!$AE805,IF(K807="LAYO",PR!$AF805,IF(K807="LEADWAY",PR!$AG805,IF(K807="LHV",PR!$AH805,IF(K807="MANOLA",PR!$AI805,IF(K807="MARCSON",PR!$AJ805,IF(K807="M&amp;B",PR!$AK805,IF(K807="MTRUST",PR!$AL805,IF(K807="MWORLD",PR!$AM805,IF(K807="MEGA",PR!$AN805,IF(K807="MICRONOVA",PR!$AO805,IF(K807="MFLASH",PR!$AP805,IF(K807="MORISON",PR!$AQ805,IF(K807="NEMEL",PR!$AR805,IF(K807="NHP",PR!$AS805,IF(K807="NHC",PR!$AT805,IF(K807="OLEAF",PR!$AU805,IF(K807="OCULUS",PR!$AV805,IF(K807="PACIFIC",PR!$AW805,IF(K807="PHAMATEX",PR!$AX805,IF(K807="PETHICS",PR!$AY805,IF(K807="PHILIPS",PR!$AZ805,IF(K807="RANBAXY",PR!$BA805,IF(K807="REALS",PR!$BB805,IF(K807="ROYAL",PR!$BC805,IF(K807="SAM",PR!$BD805,IF(K807="SEAGREEN",PR!$BE805,IF(K807="SKG",PR!$BF805,IF(K807="TAH",PR!$BG805,IF(K807="TAYLEK",PR!$BH805,IF(K807="TEMITA",PR!$BI805,IF(K807="THL",PR!$BJ805,IF(K807="UBASTIC",PR!$BK805,IF(K807="UNION",PR!$BL805,IF(K807="UNIQUE",PR!$BM805,IF(K807="VIXA",PR!$BN805,IF(K807="WWCV",PR!$BO805,IF(K807="ZOLON",PR!$BP805,"-")))))))))))))))))))))))))))))))))))))))))))))))))))))))))))))))))</f>
        <v>0</v>
      </c>
    </row>
    <row r="808" spans="1:12" ht="18.75" x14ac:dyDescent="0.3">
      <c r="A808" s="430">
        <f>PR!A806</f>
        <v>722</v>
      </c>
      <c r="B808" s="15" t="str">
        <f>PR!B806</f>
        <v>SILK 1 CUTTING 1/2 CIRCLE (ETHICON)</v>
      </c>
      <c r="C808" s="113">
        <f>PR!D806</f>
        <v>12</v>
      </c>
      <c r="D808" s="113">
        <f>PR!C806</f>
        <v>3</v>
      </c>
      <c r="E808" s="108">
        <f>IF(F808="ALPHA",PR!$E806,IF(F808="ASSENE",PR!$F806,IF(F808="BIOFEM",PR!$G806,IF(F808="BIOMED",PR!$H806,IF(F808="CHI",PR!$I806,IF(F808="CLARION",PR!$J806,IF(F808="CODIX",PR!$K806,IF(F808="COSMADE",PR!$L806,IF(F808="SANCON",PR!$M806,IF(F808="DEVON",PR!$N806,IF(F808="DORTEMAG",PR!$O806,IF(F808="DGF",PR!$P806,IF(F808="DYNAMIC",PR!$Q806,IF(F808="EMZOR",PR!$R806,IF(F808="EUMATT",PR!$S806,IF(F808="FIDSON",PR!$T806,IF(F808="FCGLOBAL",PR!$U806,IF(F808="GENEITH",PR!$V806,IF(F808="GINOS",PR!$W806,IF(F808="GSK",PR!$X806,IF(F808="GLOBORG",PR!$Y806,IF(F808="GOODNEWS",PR!$Z806,IF(F808="GREENLIFE",PR!$AA806,IF(F808="HLINE",PR!$AB806,IF(F808="ROTECH",PR!$AC806,IF(F808="ISN",PR!$AD806,IF(F808="JAWA",PR!$AE806,IF(F808="LAYO",PR!$AF806,IF(F808="LEADWAY",PR!$AG806,IF(F808="LHV",PR!$AH806,IF(F808="MANOLA",PR!$AI806,IF(F808="MARCSON",PR!$AJ806,IF(F808="M&amp;B",PR!$AK806,IF(F808="MTRUST",PR!$AL806,IF(F808="MWORLD",PR!$AM806,IF(F808="MEGA",PR!$AN806,IF(F808="MICRONOVA",PR!$AO806,IF(F808="MFLASH",PR!$AP806,IF(F808="MORISON",PR!$AQ806,IF(F808="NEMEL",PR!$AR806,IF(F808="NHP",PR!$AS806,IF(F808="NHC",PR!$AT806,IF(F808="OLEAF",PR!$AU806,IF(F808="OCULUS",PR!$AV806,IF(F808="PACIFIC",PR!$AW806,IF(F808="PHAMATEX",PR!$AX806,IF(F808="PETHICS",PR!$AY806,IF(F808="PHILIPS",PR!$AZ806,IF(F808="RANBAXY",PR!$BA806,IF(F808="REALS",PR!$BB806,IF(F808="ROYAL",PR!$BC806,IF(F808="SAM",PR!$BD806,IF(F808="SEAGREEN",PR!$BE806,IF(F808="SKG",PR!$BF806,IF(F808="TAH",PR!$BG806,IF(F808="TAYLEK",PR!$BH806,IF(F808="TEMITA",PR!$BI806,IF(F808="THL",PR!$BJ806,IF(F808="UBASTIC",PR!$BK806,IF(F808="UNION",PR!$BL806,IF(F808="UNIQUE",PR!$BM806,IF(F808="VIXA",PR!$BN806,IF(F808="WWCV",PR!$BO806,IF(F808="ZOLON",PR!$BP806,"-"))))))))))))))))))))))))))))))))))))))))))))))))))))))))))))))))</f>
        <v>6000</v>
      </c>
      <c r="F808" s="102" t="str">
        <f>EV!L1031</f>
        <v>GINOS</v>
      </c>
      <c r="G808" s="108">
        <f>IF(H808="ALPHA",PR!$E806,IF(H808="ASSENE",PR!$F806,IF(H808="BIOFEM",PR!$G806,IF(H808="BIOMED",PR!$H806,IF(H808="CHI",PR!$I806,IF(H808="CLARION",PR!$J806,IF(H808="CODIX",PR!$K806,IF(H808="COSMADE",PR!$L806,IF(H808="SANCON",PR!$M806,IF(H808="DEVON",PR!$N806,IF(H808="DORTEMAG",PR!$O806,IF(H808="DGF",PR!$P806,IF(H808="DYNAMIC",PR!$Q806,IF(H808="EMZOR",PR!$R806,IF(H808="EUMATT",PR!$S806,IF(H808="FIDSON",PR!$T806,IF(H808="FCGLOBAL",PR!$U806,IF(H808="GENEITH",PR!$V806,IF(H808="GINOS",PR!$W806,IF(H808="GSK",PR!$X806,IF(H808="GLOBORG",PR!$Y806,IF(H808="GOODNEWS",PR!$Z806,IF(H808="GREENLIFE",PR!$AA806,IF(H808="HLINE",PR!$AB806,IF(H808="ROTECH",PR!$AC806,IF(H808="ISN",PR!$AD806,IF(H808="JAWA",PR!$AE806,IF(H808="LAYO",PR!$AF806,IF(H808="LEADWAY",PR!$AG806,IF(H808="LHV",PR!$AH806,IF(H808="MANOLA",PR!$AI806,IF(H808="MARCSON",PR!$AJ806,IF(H808="M&amp;B",PR!$AK806,IF(H808="MTRUST",PR!$AL806,IF(H808="MWORLD",PR!$AM806,IF(H808="MEGA",PR!$AN806,IF(H808="MICRONOVA",PR!$AO806,IF(H808="MFLASH",PR!$AP806,IF(H808="MORISON",PR!$AQ806,IF(H808="NEMEL",PR!$AR806,IF(H808="NHP",PR!$AS806,IF(H808="NHC",PR!$AT806,IF(H808="OLEAF",PR!$AU806,IF(H808="OCULUS",PR!$AV806,IF(H808="PACIFIC",PR!$AW806,IF(H808="PHAMATEX",PR!$AX806,IF(H808="PETHICS",PR!$AY806,IF(H808="PHILIPS",PR!$AZ806,IF(H808="RANBAXY",PR!$BA806,IF(H808="REALS",PR!$BB806,IF(H808="ROYAL",PR!$BC806,IF(H808="SAM",PR!$BD806,IF(H808="SEAGREEN",PR!$BE806,IF(H808="SKG",PR!$BF806,IF(H808="TAH",PR!$BG806,IF(H808="TAYLEK",PR!$BH806,IF(H808="TEMITA",PR!$BI806,IF(H808="THL",PR!$BJ806,IF(H808="UBASTIC",PR!$BK806,IF(H808="UNION",PR!$BL806,IF(H808="UNIQUE",PR!$BM806,IF(H808="VIXA",PR!$BN806,IF(H808="WWCV",PR!$BO806,IF(H808="ZOLON",PR!$BP806,"-"))))))))))))))))))))))))))))))))))))))))))))))))))))))))))))))))</f>
        <v>7500</v>
      </c>
      <c r="H808" s="102" t="str">
        <f>EV!M1031</f>
        <v>DYNAMIC</v>
      </c>
      <c r="I808" s="108" t="str">
        <f>IF(J808="ALPHA",PR!$E806,IF(J808="ASSENE",PR!$F806,IF(J808="BIOFEM",PR!$G806,IF(J808="BIOMED",PR!$H806,IF(J808="CHI",PR!$I806,IF(J808="CLARION",PR!$J806,IF(J808="CODIX",PR!$K806,IF(J808="COSMADE",PR!$L806,IF(J808="SANCON",PR!$M806,IF(J808="DEVON",PR!$N806,IF(J808="DORTEMAG",PR!$O806,IF(J808="DGF",PR!$P806,IF(J808="DYNAMIC",PR!$Q806,IF(J808="EMZOR",PR!$R806,IF(J808="EUMATT",PR!$S806,IF(J808="FIDSON",PR!$T806,IF(J808="FCGLOBAL",PR!$U806,IF(J808="GENEITH",PR!$V806,IF(J808="GINOS",PR!$W806,IF(J808="GSK",PR!$X806,IF(J808="GLOBORG",PR!$Y806,IF(J808="GOODNEWS",PR!$Z806,IF(J808="GREENLIFE",PR!$AA806,IF(J808="HLINE",PR!$AB806,IF(J808="ROTECH",PR!$AC806,IF(J808="ISN",PR!$AD806,IF(J808="JAWA",PR!$AE806,IF(J808="LAYO",PR!$AF806,IF(J808="LEADWAY",PR!$AG806,IF(J808="LHV",PR!$AH806,IF(J808="MANOLA",PR!$AI806,IF(J808="MARCSON",PR!$AJ806,IF(J808="M&amp;B",PR!$AK806,IF(J808="MTRUST",PR!$AL806,IF(J808="MWORLD",PR!$AM806,IF(J808="MEGA",PR!$AN806,IF(J808="MICRONOVA",PR!$AO806,IF(J808="MFLASH",PR!$AP806,IF(J808="MORISON",PR!$AQ806,IF(J808="NEMEL",PR!$AR806,IF(J808="NHP",PR!$AS806,IF(J808="NHC",PR!$AT806,IF(J808="OLEAF",PR!$AU806,IF(J808="OCULUS",PR!$AV806,IF(J808="PACIFIC",PR!$AW806,IF(J808="PHAMATEX",PR!$AX806,IF(J808="PETHICS",PR!$AY806,IF(J808="PHILIPS",PR!$AZ806,IF(J808="RANBAXY",PR!$BA806,IF(J808="REALS",PR!$BB806,IF(J808="ROYAL",PR!$BC806,IF(J808="SAM",PR!$BD806,IF(J808="SEAGREEN",PR!$BE806,IF(J808="SKG",PR!$BF806,IF(J808="TAH",PR!$BG806,IF(J808="TAYLEK",PR!$BH806,IF(J808="TEMITA",PR!$BI806,IF(J808="THL",PR!$BJ806,IF(J808="UBASTIC",PR!$BK806,IF(J808="UNION",PR!$BL806,IF(J808="UNIQUE",PR!$BM806,IF(J808="VIXA",PR!$BN806,IF(J808="WWCV",PR!$BO806,IF(J808="ZOLON",PR!$BP806,"-"))))))))))))))))))))))))))))))))))))))))))))))))))))))))))))))))</f>
        <v>-</v>
      </c>
      <c r="J808" s="102">
        <f>EV!N1031</f>
        <v>0</v>
      </c>
      <c r="K808" s="433" t="s">
        <v>1454</v>
      </c>
      <c r="L808" s="183">
        <f>IF(K808&gt;0,IF(K808="ALPHA",PR!$E806,IF(K808="ASSENE",PR!$F806,IF(K808="BIOFEM",PR!$G806,IF(K808="BIOMED",PR!$H806,IF(K808="CHI",PR!$I806,IF(K808="CLARION",PR!$J806,IF(K808="CODIX",PR!$K806,IF(K808="COSMADE",PR!$L806,IF(K808="SANCON",PR!$M806,IF(K808="DEVON",PR!$N806,IF(K808="DORTEMAG",PR!$O806,IF(K808="DGF",PR!$P806,IF(K808="DYNAMIC",PR!$Q806,IF(K808="EMZOR",PR!$R806,IF(K808="EUMATT",PR!$S806,IF(K808="FIDSON",PR!$T806,IF(K808="FCGLOBAL",PR!$U806,IF(K808="GENEITH",PR!$V806,IF(K808="GINOS",PR!$W806,IF(K808="GSK",PR!$X806,IF(K808="GLOBORG",PR!$Y806,IF(K808="GOODNEWS",PR!$Z806,IF(K808="GREENLIFE",PR!$AA806,IF(K808="HLINE",PR!$AB806,IF(K808="ROTECH",PR!$AC806,IF(K808="ISN",PR!$AD806,IF(K808="JAWA",PR!$AE806,IF(K808="LAYO",PR!$AF806,IF(K808="LEADWAY",PR!$AG806,IF(K808="LHV",PR!$AH806,IF(K808="MANOLA",PR!$AI806,IF(K808="MARCSON",PR!$AJ806,IF(K808="M&amp;B",PR!$AK806,IF(K808="MTRUST",PR!$AL806,IF(K808="MWORLD",PR!$AM806,IF(K808="MEGA",PR!$AN806,IF(K808="MICRONOVA",PR!$AO806,IF(K808="MFLASH",PR!$AP806,IF(K808="MORISON",PR!$AQ806,IF(K808="NEMEL",PR!$AR806,IF(K808="NHP",PR!$AS806,IF(K808="NHC",PR!$AT806,IF(K808="OLEAF",PR!$AU806,IF(K808="OCULUS",PR!$AV806,IF(K808="PACIFIC",PR!$AW806,IF(K808="PHAMATEX",PR!$AX806,IF(K808="PETHICS",PR!$AY806,IF(K808="PHILIPS",PR!$AZ806,IF(K808="RANBAXY",PR!$BA806,IF(K808="REALS",PR!$BB806,IF(K808="ROYAL",PR!$BC806,IF(K808="SAM",PR!$BD806,IF(K808="SEAGREEN",PR!$BE806,IF(K808="SKG",PR!$BF806,IF(K808="TAH",PR!$BG806,IF(K808="TAYLEK",PR!$BH806,IF(K808="TEMITA",PR!$BI806,IF(K808="THL",PR!$BJ806,IF(K808="UBASTIC",PR!$BK806,IF(K808="UNION",PR!$BL806,IF(K808="UNIQUE",PR!$BM806,IF(K808="VIXA",PR!$BN806,IF(K808="WWCV",PR!$BO806,IF(K808="ZOLON",PR!$BP806,"-")))))))))))))))))))))))))))))))))))))))))))))))))))))))))))))))))</f>
        <v>6000</v>
      </c>
    </row>
    <row r="809" spans="1:12" ht="18.75" x14ac:dyDescent="0.3">
      <c r="A809" s="430">
        <f>PR!A807</f>
        <v>723</v>
      </c>
      <c r="B809" s="15" t="str">
        <f>PR!B807</f>
        <v>SILK 2/0 ROUND BODY 1/2 CIRCLE (ETHICON)</v>
      </c>
      <c r="C809" s="113">
        <f>PR!D807</f>
        <v>12</v>
      </c>
      <c r="D809" s="113">
        <f>PR!C807</f>
        <v>3</v>
      </c>
      <c r="E809" s="108">
        <f>IF(F809="ALPHA",PR!$E807,IF(F809="ASSENE",PR!$F807,IF(F809="BIOFEM",PR!$G807,IF(F809="BIOMED",PR!$H807,IF(F809="CHI",PR!$I807,IF(F809="CLARION",PR!$J807,IF(F809="CODIX",PR!$K807,IF(F809="COSMADE",PR!$L807,IF(F809="SANCON",PR!$M807,IF(F809="DEVON",PR!$N807,IF(F809="DORTEMAG",PR!$O807,IF(F809="DGF",PR!$P807,IF(F809="DYNAMIC",PR!$Q807,IF(F809="EMZOR",PR!$R807,IF(F809="EUMATT",PR!$S807,IF(F809="FIDSON",PR!$T807,IF(F809="FCGLOBAL",PR!$U807,IF(F809="GENEITH",PR!$V807,IF(F809="GINOS",PR!$W807,IF(F809="GSK",PR!$X807,IF(F809="GLOBORG",PR!$Y807,IF(F809="GOODNEWS",PR!$Z807,IF(F809="GREENLIFE",PR!$AA807,IF(F809="HLINE",PR!$AB807,IF(F809="ROTECH",PR!$AC807,IF(F809="ISN",PR!$AD807,IF(F809="JAWA",PR!$AE807,IF(F809="LAYO",PR!$AF807,IF(F809="LEADWAY",PR!$AG807,IF(F809="LHV",PR!$AH807,IF(F809="MANOLA",PR!$AI807,IF(F809="MARCSON",PR!$AJ807,IF(F809="M&amp;B",PR!$AK807,IF(F809="MTRUST",PR!$AL807,IF(F809="MWORLD",PR!$AM807,IF(F809="MEGA",PR!$AN807,IF(F809="MICRONOVA",PR!$AO807,IF(F809="MFLASH",PR!$AP807,IF(F809="MORISON",PR!$AQ807,IF(F809="NEMEL",PR!$AR807,IF(F809="NHP",PR!$AS807,IF(F809="NHC",PR!$AT807,IF(F809="OLEAF",PR!$AU807,IF(F809="OCULUS",PR!$AV807,IF(F809="PACIFIC",PR!$AW807,IF(F809="PHAMATEX",PR!$AX807,IF(F809="PETHICS",PR!$AY807,IF(F809="PHILIPS",PR!$AZ807,IF(F809="RANBAXY",PR!$BA807,IF(F809="REALS",PR!$BB807,IF(F809="ROYAL",PR!$BC807,IF(F809="SAM",PR!$BD807,IF(F809="SEAGREEN",PR!$BE807,IF(F809="SKG",PR!$BF807,IF(F809="TAH",PR!$BG807,IF(F809="TAYLEK",PR!$BH807,IF(F809="TEMITA",PR!$BI807,IF(F809="THL",PR!$BJ807,IF(F809="UBASTIC",PR!$BK807,IF(F809="UNION",PR!$BL807,IF(F809="UNIQUE",PR!$BM807,IF(F809="VIXA",PR!$BN807,IF(F809="WWCV",PR!$BO807,IF(F809="ZOLON",PR!$BP807,"-"))))))))))))))))))))))))))))))))))))))))))))))))))))))))))))))))</f>
        <v>6000</v>
      </c>
      <c r="F809" s="102" t="str">
        <f>EV!L1032</f>
        <v>GINOS</v>
      </c>
      <c r="G809" s="108">
        <f>IF(H809="ALPHA",PR!$E807,IF(H809="ASSENE",PR!$F807,IF(H809="BIOFEM",PR!$G807,IF(H809="BIOMED",PR!$H807,IF(H809="CHI",PR!$I807,IF(H809="CLARION",PR!$J807,IF(H809="CODIX",PR!$K807,IF(H809="COSMADE",PR!$L807,IF(H809="SANCON",PR!$M807,IF(H809="DEVON",PR!$N807,IF(H809="DORTEMAG",PR!$O807,IF(H809="DGF",PR!$P807,IF(H809="DYNAMIC",PR!$Q807,IF(H809="EMZOR",PR!$R807,IF(H809="EUMATT",PR!$S807,IF(H809="FIDSON",PR!$T807,IF(H809="FCGLOBAL",PR!$U807,IF(H809="GENEITH",PR!$V807,IF(H809="GINOS",PR!$W807,IF(H809="GSK",PR!$X807,IF(H809="GLOBORG",PR!$Y807,IF(H809="GOODNEWS",PR!$Z807,IF(H809="GREENLIFE",PR!$AA807,IF(H809="HLINE",PR!$AB807,IF(H809="ROTECH",PR!$AC807,IF(H809="ISN",PR!$AD807,IF(H809="JAWA",PR!$AE807,IF(H809="LAYO",PR!$AF807,IF(H809="LEADWAY",PR!$AG807,IF(H809="LHV",PR!$AH807,IF(H809="MANOLA",PR!$AI807,IF(H809="MARCSON",PR!$AJ807,IF(H809="M&amp;B",PR!$AK807,IF(H809="MTRUST",PR!$AL807,IF(H809="MWORLD",PR!$AM807,IF(H809="MEGA",PR!$AN807,IF(H809="MICRONOVA",PR!$AO807,IF(H809="MFLASH",PR!$AP807,IF(H809="MORISON",PR!$AQ807,IF(H809="NEMEL",PR!$AR807,IF(H809="NHP",PR!$AS807,IF(H809="NHC",PR!$AT807,IF(H809="OLEAF",PR!$AU807,IF(H809="OCULUS",PR!$AV807,IF(H809="PACIFIC",PR!$AW807,IF(H809="PHAMATEX",PR!$AX807,IF(H809="PETHICS",PR!$AY807,IF(H809="PHILIPS",PR!$AZ807,IF(H809="RANBAXY",PR!$BA807,IF(H809="REALS",PR!$BB807,IF(H809="ROYAL",PR!$BC807,IF(H809="SAM",PR!$BD807,IF(H809="SEAGREEN",PR!$BE807,IF(H809="SKG",PR!$BF807,IF(H809="TAH",PR!$BG807,IF(H809="TAYLEK",PR!$BH807,IF(H809="TEMITA",PR!$BI807,IF(H809="THL",PR!$BJ807,IF(H809="UBASTIC",PR!$BK807,IF(H809="UNION",PR!$BL807,IF(H809="UNIQUE",PR!$BM807,IF(H809="VIXA",PR!$BN807,IF(H809="WWCV",PR!$BO807,IF(H809="ZOLON",PR!$BP807,"-"))))))))))))))))))))))))))))))))))))))))))))))))))))))))))))))))</f>
        <v>6264</v>
      </c>
      <c r="H809" s="102" t="str">
        <f>EV!M1032</f>
        <v>PACIFIC</v>
      </c>
      <c r="I809" s="108">
        <f>IF(J809="ALPHA",PR!$E807,IF(J809="ASSENE",PR!$F807,IF(J809="BIOFEM",PR!$G807,IF(J809="BIOMED",PR!$H807,IF(J809="CHI",PR!$I807,IF(J809="CLARION",PR!$J807,IF(J809="CODIX",PR!$K807,IF(J809="COSMADE",PR!$L807,IF(J809="SANCON",PR!$M807,IF(J809="DEVON",PR!$N807,IF(J809="DORTEMAG",PR!$O807,IF(J809="DGF",PR!$P807,IF(J809="DYNAMIC",PR!$Q807,IF(J809="EMZOR",PR!$R807,IF(J809="EUMATT",PR!$S807,IF(J809="FIDSON",PR!$T807,IF(J809="FCGLOBAL",PR!$U807,IF(J809="GENEITH",PR!$V807,IF(J809="GINOS",PR!$W807,IF(J809="GSK",PR!$X807,IF(J809="GLOBORG",PR!$Y807,IF(J809="GOODNEWS",PR!$Z807,IF(J809="GREENLIFE",PR!$AA807,IF(J809="HLINE",PR!$AB807,IF(J809="ROTECH",PR!$AC807,IF(J809="ISN",PR!$AD807,IF(J809="JAWA",PR!$AE807,IF(J809="LAYO",PR!$AF807,IF(J809="LEADWAY",PR!$AG807,IF(J809="LHV",PR!$AH807,IF(J809="MANOLA",PR!$AI807,IF(J809="MARCSON",PR!$AJ807,IF(J809="M&amp;B",PR!$AK807,IF(J809="MTRUST",PR!$AL807,IF(J809="MWORLD",PR!$AM807,IF(J809="MEGA",PR!$AN807,IF(J809="MICRONOVA",PR!$AO807,IF(J809="MFLASH",PR!$AP807,IF(J809="MORISON",PR!$AQ807,IF(J809="NEMEL",PR!$AR807,IF(J809="NHP",PR!$AS807,IF(J809="NHC",PR!$AT807,IF(J809="OLEAF",PR!$AU807,IF(J809="OCULUS",PR!$AV807,IF(J809="PACIFIC",PR!$AW807,IF(J809="PHAMATEX",PR!$AX807,IF(J809="PETHICS",PR!$AY807,IF(J809="PHILIPS",PR!$AZ807,IF(J809="RANBAXY",PR!$BA807,IF(J809="REALS",PR!$BB807,IF(J809="ROYAL",PR!$BC807,IF(J809="SAM",PR!$BD807,IF(J809="SEAGREEN",PR!$BE807,IF(J809="SKG",PR!$BF807,IF(J809="TAH",PR!$BG807,IF(J809="TAYLEK",PR!$BH807,IF(J809="TEMITA",PR!$BI807,IF(J809="THL",PR!$BJ807,IF(J809="UBASTIC",PR!$BK807,IF(J809="UNION",PR!$BL807,IF(J809="UNIQUE",PR!$BM807,IF(J809="VIXA",PR!$BN807,IF(J809="WWCV",PR!$BO807,IF(J809="ZOLON",PR!$BP807,"-"))))))))))))))))))))))))))))))))))))))))))))))))))))))))))))))))</f>
        <v>6875</v>
      </c>
      <c r="J809" s="102" t="str">
        <f>EV!N1032</f>
        <v>DYNAMIC</v>
      </c>
      <c r="K809" s="433" t="s">
        <v>1457</v>
      </c>
      <c r="L809" s="183">
        <f>IF(K809&gt;0,IF(K809="ALPHA",PR!$E807,IF(K809="ASSENE",PR!$F807,IF(K809="BIOFEM",PR!$G807,IF(K809="BIOMED",PR!$H807,IF(K809="CHI",PR!$I807,IF(K809="CLARION",PR!$J807,IF(K809="CODIX",PR!$K807,IF(K809="COSMADE",PR!$L807,IF(K809="SANCON",PR!$M807,IF(K809="DEVON",PR!$N807,IF(K809="DORTEMAG",PR!$O807,IF(K809="DGF",PR!$P807,IF(K809="DYNAMIC",PR!$Q807,IF(K809="EMZOR",PR!$R807,IF(K809="EUMATT",PR!$S807,IF(K809="FIDSON",PR!$T807,IF(K809="FCGLOBAL",PR!$U807,IF(K809="GENEITH",PR!$V807,IF(K809="GINOS",PR!$W807,IF(K809="GSK",PR!$X807,IF(K809="GLOBORG",PR!$Y807,IF(K809="GOODNEWS",PR!$Z807,IF(K809="GREENLIFE",PR!$AA807,IF(K809="HLINE",PR!$AB807,IF(K809="ROTECH",PR!$AC807,IF(K809="ISN",PR!$AD807,IF(K809="JAWA",PR!$AE807,IF(K809="LAYO",PR!$AF807,IF(K809="LEADWAY",PR!$AG807,IF(K809="LHV",PR!$AH807,IF(K809="MANOLA",PR!$AI807,IF(K809="MARCSON",PR!$AJ807,IF(K809="M&amp;B",PR!$AK807,IF(K809="MTRUST",PR!$AL807,IF(K809="MWORLD",PR!$AM807,IF(K809="MEGA",PR!$AN807,IF(K809="MICRONOVA",PR!$AO807,IF(K809="MFLASH",PR!$AP807,IF(K809="MORISON",PR!$AQ807,IF(K809="NEMEL",PR!$AR807,IF(K809="NHP",PR!$AS807,IF(K809="NHC",PR!$AT807,IF(K809="OLEAF",PR!$AU807,IF(K809="OCULUS",PR!$AV807,IF(K809="PACIFIC",PR!$AW807,IF(K809="PHAMATEX",PR!$AX807,IF(K809="PETHICS",PR!$AY807,IF(K809="PHILIPS",PR!$AZ807,IF(K809="RANBAXY",PR!$BA807,IF(K809="REALS",PR!$BB807,IF(K809="ROYAL",PR!$BC807,IF(K809="SAM",PR!$BD807,IF(K809="SEAGREEN",PR!$BE807,IF(K809="SKG",PR!$BF807,IF(K809="TAH",PR!$BG807,IF(K809="TAYLEK",PR!$BH807,IF(K809="TEMITA",PR!$BI807,IF(K809="THL",PR!$BJ807,IF(K809="UBASTIC",PR!$BK807,IF(K809="UNION",PR!$BL807,IF(K809="UNIQUE",PR!$BM807,IF(K809="VIXA",PR!$BN807,IF(K809="WWCV",PR!$BO807,IF(K809="ZOLON",PR!$BP807,"-")))))))))))))))))))))))))))))))))))))))))))))))))))))))))))))))))</f>
        <v>6264</v>
      </c>
    </row>
    <row r="810" spans="1:12" ht="18.75" x14ac:dyDescent="0.3">
      <c r="A810" s="430">
        <f>PR!A808</f>
        <v>724</v>
      </c>
      <c r="B810" s="15" t="str">
        <f>PR!B808</f>
        <v>SILK 2/0 CUTTING 1/2 CIRCLE (ETHICON)</v>
      </c>
      <c r="C810" s="113">
        <f>PR!D808</f>
        <v>12</v>
      </c>
      <c r="D810" s="113">
        <f>PR!C808</f>
        <v>4</v>
      </c>
      <c r="E810" s="108">
        <f>IF(F810="ALPHA",PR!$E808,IF(F810="ASSENE",PR!$F808,IF(F810="BIOFEM",PR!$G808,IF(F810="BIOMED",PR!$H808,IF(F810="CHI",PR!$I808,IF(F810="CLARION",PR!$J808,IF(F810="CODIX",PR!$K808,IF(F810="COSMADE",PR!$L808,IF(F810="SANCON",PR!$M808,IF(F810="DEVON",PR!$N808,IF(F810="DORTEMAG",PR!$O808,IF(F810="DGF",PR!$P808,IF(F810="DYNAMIC",PR!$Q808,IF(F810="EMZOR",PR!$R808,IF(F810="EUMATT",PR!$S808,IF(F810="FIDSON",PR!$T808,IF(F810="FCGLOBAL",PR!$U808,IF(F810="GENEITH",PR!$V808,IF(F810="GINOS",PR!$W808,IF(F810="GSK",PR!$X808,IF(F810="GLOBORG",PR!$Y808,IF(F810="GOODNEWS",PR!$Z808,IF(F810="GREENLIFE",PR!$AA808,IF(F810="HLINE",PR!$AB808,IF(F810="ROTECH",PR!$AC808,IF(F810="ISN",PR!$AD808,IF(F810="JAWA",PR!$AE808,IF(F810="LAYO",PR!$AF808,IF(F810="LEADWAY",PR!$AG808,IF(F810="LHV",PR!$AH808,IF(F810="MANOLA",PR!$AI808,IF(F810="MARCSON",PR!$AJ808,IF(F810="M&amp;B",PR!$AK808,IF(F810="MTRUST",PR!$AL808,IF(F810="MWORLD",PR!$AM808,IF(F810="MEGA",PR!$AN808,IF(F810="MICRONOVA",PR!$AO808,IF(F810="MFLASH",PR!$AP808,IF(F810="MORISON",PR!$AQ808,IF(F810="NEMEL",PR!$AR808,IF(F810="NHP",PR!$AS808,IF(F810="NHC",PR!$AT808,IF(F810="OLEAF",PR!$AU808,IF(F810="OCULUS",PR!$AV808,IF(F810="PACIFIC",PR!$AW808,IF(F810="PHAMATEX",PR!$AX808,IF(F810="PETHICS",PR!$AY808,IF(F810="PHILIPS",PR!$AZ808,IF(F810="RANBAXY",PR!$BA808,IF(F810="REALS",PR!$BB808,IF(F810="ROYAL",PR!$BC808,IF(F810="SAM",PR!$BD808,IF(F810="SEAGREEN",PR!$BE808,IF(F810="SKG",PR!$BF808,IF(F810="TAH",PR!$BG808,IF(F810="TAYLEK",PR!$BH808,IF(F810="TEMITA",PR!$BI808,IF(F810="THL",PR!$BJ808,IF(F810="UBASTIC",PR!$BK808,IF(F810="UNION",PR!$BL808,IF(F810="UNIQUE",PR!$BM808,IF(F810="VIXA",PR!$BN808,IF(F810="WWCV",PR!$BO808,IF(F810="ZOLON",PR!$BP808,"-"))))))))))))))))))))))))))))))))))))))))))))))))))))))))))))))))</f>
        <v>6000</v>
      </c>
      <c r="F810" s="102" t="str">
        <f>EV!L1033</f>
        <v>GINOS</v>
      </c>
      <c r="G810" s="108">
        <f>IF(H810="ALPHA",PR!$E808,IF(H810="ASSENE",PR!$F808,IF(H810="BIOFEM",PR!$G808,IF(H810="BIOMED",PR!$H808,IF(H810="CHI",PR!$I808,IF(H810="CLARION",PR!$J808,IF(H810="CODIX",PR!$K808,IF(H810="COSMADE",PR!$L808,IF(H810="SANCON",PR!$M808,IF(H810="DEVON",PR!$N808,IF(H810="DORTEMAG",PR!$O808,IF(H810="DGF",PR!$P808,IF(H810="DYNAMIC",PR!$Q808,IF(H810="EMZOR",PR!$R808,IF(H810="EUMATT",PR!$S808,IF(H810="FIDSON",PR!$T808,IF(H810="FCGLOBAL",PR!$U808,IF(H810="GENEITH",PR!$V808,IF(H810="GINOS",PR!$W808,IF(H810="GSK",PR!$X808,IF(H810="GLOBORG",PR!$Y808,IF(H810="GOODNEWS",PR!$Z808,IF(H810="GREENLIFE",PR!$AA808,IF(H810="HLINE",PR!$AB808,IF(H810="ROTECH",PR!$AC808,IF(H810="ISN",PR!$AD808,IF(H810="JAWA",PR!$AE808,IF(H810="LAYO",PR!$AF808,IF(H810="LEADWAY",PR!$AG808,IF(H810="LHV",PR!$AH808,IF(H810="MANOLA",PR!$AI808,IF(H810="MARCSON",PR!$AJ808,IF(H810="M&amp;B",PR!$AK808,IF(H810="MTRUST",PR!$AL808,IF(H810="MWORLD",PR!$AM808,IF(H810="MEGA",PR!$AN808,IF(H810="MICRONOVA",PR!$AO808,IF(H810="MFLASH",PR!$AP808,IF(H810="MORISON",PR!$AQ808,IF(H810="NEMEL",PR!$AR808,IF(H810="NHP",PR!$AS808,IF(H810="NHC",PR!$AT808,IF(H810="OLEAF",PR!$AU808,IF(H810="OCULUS",PR!$AV808,IF(H810="PACIFIC",PR!$AW808,IF(H810="PHAMATEX",PR!$AX808,IF(H810="PETHICS",PR!$AY808,IF(H810="PHILIPS",PR!$AZ808,IF(H810="RANBAXY",PR!$BA808,IF(H810="REALS",PR!$BB808,IF(H810="ROYAL",PR!$BC808,IF(H810="SAM",PR!$BD808,IF(H810="SEAGREEN",PR!$BE808,IF(H810="SKG",PR!$BF808,IF(H810="TAH",PR!$BG808,IF(H810="TAYLEK",PR!$BH808,IF(H810="TEMITA",PR!$BI808,IF(H810="THL",PR!$BJ808,IF(H810="UBASTIC",PR!$BK808,IF(H810="UNION",PR!$BL808,IF(H810="UNIQUE",PR!$BM808,IF(H810="VIXA",PR!$BN808,IF(H810="WWCV",PR!$BO808,IF(H810="ZOLON",PR!$BP808,"-"))))))))))))))))))))))))))))))))))))))))))))))))))))))))))))))))</f>
        <v>7500</v>
      </c>
      <c r="H810" s="102" t="str">
        <f>EV!M1033</f>
        <v>DYNAMIC</v>
      </c>
      <c r="I810" s="108">
        <f>IF(J810="ALPHA",PR!$E808,IF(J810="ASSENE",PR!$F808,IF(J810="BIOFEM",PR!$G808,IF(J810="BIOMED",PR!$H808,IF(J810="CHI",PR!$I808,IF(J810="CLARION",PR!$J808,IF(J810="CODIX",PR!$K808,IF(J810="COSMADE",PR!$L808,IF(J810="SANCON",PR!$M808,IF(J810="DEVON",PR!$N808,IF(J810="DORTEMAG",PR!$O808,IF(J810="DGF",PR!$P808,IF(J810="DYNAMIC",PR!$Q808,IF(J810="EMZOR",PR!$R808,IF(J810="EUMATT",PR!$S808,IF(J810="FIDSON",PR!$T808,IF(J810="FCGLOBAL",PR!$U808,IF(J810="GENEITH",PR!$V808,IF(J810="GINOS",PR!$W808,IF(J810="GSK",PR!$X808,IF(J810="GLOBORG",PR!$Y808,IF(J810="GOODNEWS",PR!$Z808,IF(J810="GREENLIFE",PR!$AA808,IF(J810="HLINE",PR!$AB808,IF(J810="ROTECH",PR!$AC808,IF(J810="ISN",PR!$AD808,IF(J810="JAWA",PR!$AE808,IF(J810="LAYO",PR!$AF808,IF(J810="LEADWAY",PR!$AG808,IF(J810="LHV",PR!$AH808,IF(J810="MANOLA",PR!$AI808,IF(J810="MARCSON",PR!$AJ808,IF(J810="M&amp;B",PR!$AK808,IF(J810="MTRUST",PR!$AL808,IF(J810="MWORLD",PR!$AM808,IF(J810="MEGA",PR!$AN808,IF(J810="MICRONOVA",PR!$AO808,IF(J810="MFLASH",PR!$AP808,IF(J810="MORISON",PR!$AQ808,IF(J810="NEMEL",PR!$AR808,IF(J810="NHP",PR!$AS808,IF(J810="NHC",PR!$AT808,IF(J810="OLEAF",PR!$AU808,IF(J810="OCULUS",PR!$AV808,IF(J810="PACIFIC",PR!$AW808,IF(J810="PHAMATEX",PR!$AX808,IF(J810="PETHICS",PR!$AY808,IF(J810="PHILIPS",PR!$AZ808,IF(J810="RANBAXY",PR!$BA808,IF(J810="REALS",PR!$BB808,IF(J810="ROYAL",PR!$BC808,IF(J810="SAM",PR!$BD808,IF(J810="SEAGREEN",PR!$BE808,IF(J810="SKG",PR!$BF808,IF(J810="TAH",PR!$BG808,IF(J810="TAYLEK",PR!$BH808,IF(J810="TEMITA",PR!$BI808,IF(J810="THL",PR!$BJ808,IF(J810="UBASTIC",PR!$BK808,IF(J810="UNION",PR!$BL808,IF(J810="UNIQUE",PR!$BM808,IF(J810="VIXA",PR!$BN808,IF(J810="WWCV",PR!$BO808,IF(J810="ZOLON",PR!$BP808,"-"))))))))))))))))))))))))))))))))))))))))))))))))))))))))))))))))</f>
        <v>9684.84</v>
      </c>
      <c r="J810" s="102" t="str">
        <f>EV!N1033</f>
        <v>PACIFIC</v>
      </c>
      <c r="K810" s="433" t="s">
        <v>1457</v>
      </c>
      <c r="L810" s="183">
        <f>IF(K810&gt;0,IF(K810="ALPHA",PR!$E808,IF(K810="ASSENE",PR!$F808,IF(K810="BIOFEM",PR!$G808,IF(K810="BIOMED",PR!$H808,IF(K810="CHI",PR!$I808,IF(K810="CLARION",PR!$J808,IF(K810="CODIX",PR!$K808,IF(K810="COSMADE",PR!$L808,IF(K810="SANCON",PR!$M808,IF(K810="DEVON",PR!$N808,IF(K810="DORTEMAG",PR!$O808,IF(K810="DGF",PR!$P808,IF(K810="DYNAMIC",PR!$Q808,IF(K810="EMZOR",PR!$R808,IF(K810="EUMATT",PR!$S808,IF(K810="FIDSON",PR!$T808,IF(K810="FCGLOBAL",PR!$U808,IF(K810="GENEITH",PR!$V808,IF(K810="GINOS",PR!$W808,IF(K810="GSK",PR!$X808,IF(K810="GLOBORG",PR!$Y808,IF(K810="GOODNEWS",PR!$Z808,IF(K810="GREENLIFE",PR!$AA808,IF(K810="HLINE",PR!$AB808,IF(K810="ROTECH",PR!$AC808,IF(K810="ISN",PR!$AD808,IF(K810="JAWA",PR!$AE808,IF(K810="LAYO",PR!$AF808,IF(K810="LEADWAY",PR!$AG808,IF(K810="LHV",PR!$AH808,IF(K810="MANOLA",PR!$AI808,IF(K810="MARCSON",PR!$AJ808,IF(K810="M&amp;B",PR!$AK808,IF(K810="MTRUST",PR!$AL808,IF(K810="MWORLD",PR!$AM808,IF(K810="MEGA",PR!$AN808,IF(K810="MICRONOVA",PR!$AO808,IF(K810="MFLASH",PR!$AP808,IF(K810="MORISON",PR!$AQ808,IF(K810="NEMEL",PR!$AR808,IF(K810="NHP",PR!$AS808,IF(K810="NHC",PR!$AT808,IF(K810="OLEAF",PR!$AU808,IF(K810="OCULUS",PR!$AV808,IF(K810="PACIFIC",PR!$AW808,IF(K810="PHAMATEX",PR!$AX808,IF(K810="PETHICS",PR!$AY808,IF(K810="PHILIPS",PR!$AZ808,IF(K810="RANBAXY",PR!$BA808,IF(K810="REALS",PR!$BB808,IF(K810="ROYAL",PR!$BC808,IF(K810="SAM",PR!$BD808,IF(K810="SEAGREEN",PR!$BE808,IF(K810="SKG",PR!$BF808,IF(K810="TAH",PR!$BG808,IF(K810="TAYLEK",PR!$BH808,IF(K810="TEMITA",PR!$BI808,IF(K810="THL",PR!$BJ808,IF(K810="UBASTIC",PR!$BK808,IF(K810="UNION",PR!$BL808,IF(K810="UNIQUE",PR!$BM808,IF(K810="VIXA",PR!$BN808,IF(K810="WWCV",PR!$BO808,IF(K810="ZOLON",PR!$BP808,"-")))))))))))))))))))))))))))))))))))))))))))))))))))))))))))))))))</f>
        <v>9684.84</v>
      </c>
    </row>
    <row r="811" spans="1:12" ht="18.75" x14ac:dyDescent="0.3">
      <c r="A811" s="430">
        <f>PR!A809</f>
        <v>725</v>
      </c>
      <c r="B811" s="15" t="str">
        <f>PR!B809</f>
        <v>SILK 3/0 CUTTING 1/2 CIRCLE (ETHICON)</v>
      </c>
      <c r="C811" s="113">
        <f>PR!D809</f>
        <v>12</v>
      </c>
      <c r="D811" s="113">
        <f>PR!C809</f>
        <v>3</v>
      </c>
      <c r="E811" s="108">
        <f>IF(F811="ALPHA",PR!$E809,IF(F811="ASSENE",PR!$F809,IF(F811="BIOFEM",PR!$G809,IF(F811="BIOMED",PR!$H809,IF(F811="CHI",PR!$I809,IF(F811="CLARION",PR!$J809,IF(F811="CODIX",PR!$K809,IF(F811="COSMADE",PR!$L809,IF(F811="SANCON",PR!$M809,IF(F811="DEVON",PR!$N809,IF(F811="DORTEMAG",PR!$O809,IF(F811="DGF",PR!$P809,IF(F811="DYNAMIC",PR!$Q809,IF(F811="EMZOR",PR!$R809,IF(F811="EUMATT",PR!$S809,IF(F811="FIDSON",PR!$T809,IF(F811="FCGLOBAL",PR!$U809,IF(F811="GENEITH",PR!$V809,IF(F811="GINOS",PR!$W809,IF(F811="GSK",PR!$X809,IF(F811="GLOBORG",PR!$Y809,IF(F811="GOODNEWS",PR!$Z809,IF(F811="GREENLIFE",PR!$AA809,IF(F811="HLINE",PR!$AB809,IF(F811="ROTECH",PR!$AC809,IF(F811="ISN",PR!$AD809,IF(F811="JAWA",PR!$AE809,IF(F811="LAYO",PR!$AF809,IF(F811="LEADWAY",PR!$AG809,IF(F811="LHV",PR!$AH809,IF(F811="MANOLA",PR!$AI809,IF(F811="MARCSON",PR!$AJ809,IF(F811="M&amp;B",PR!$AK809,IF(F811="MTRUST",PR!$AL809,IF(F811="MWORLD",PR!$AM809,IF(F811="MEGA",PR!$AN809,IF(F811="MICRONOVA",PR!$AO809,IF(F811="MFLASH",PR!$AP809,IF(F811="MORISON",PR!$AQ809,IF(F811="NEMEL",PR!$AR809,IF(F811="NHP",PR!$AS809,IF(F811="NHC",PR!$AT809,IF(F811="OLEAF",PR!$AU809,IF(F811="OCULUS",PR!$AV809,IF(F811="PACIFIC",PR!$AW809,IF(F811="PHAMATEX",PR!$AX809,IF(F811="PETHICS",PR!$AY809,IF(F811="PHILIPS",PR!$AZ809,IF(F811="RANBAXY",PR!$BA809,IF(F811="REALS",PR!$BB809,IF(F811="ROYAL",PR!$BC809,IF(F811="SAM",PR!$BD809,IF(F811="SEAGREEN",PR!$BE809,IF(F811="SKG",PR!$BF809,IF(F811="TAH",PR!$BG809,IF(F811="TAYLEK",PR!$BH809,IF(F811="TEMITA",PR!$BI809,IF(F811="THL",PR!$BJ809,IF(F811="UBASTIC",PR!$BK809,IF(F811="UNION",PR!$BL809,IF(F811="UNIQUE",PR!$BM809,IF(F811="VIXA",PR!$BN809,IF(F811="WWCV",PR!$BO809,IF(F811="ZOLON",PR!$BP809,"-"))))))))))))))))))))))))))))))))))))))))))))))))))))))))))))))))</f>
        <v>6000</v>
      </c>
      <c r="F811" s="102" t="str">
        <f>EV!L1034</f>
        <v>GINOS</v>
      </c>
      <c r="G811" s="108">
        <f>IF(H811="ALPHA",PR!$E809,IF(H811="ASSENE",PR!$F809,IF(H811="BIOFEM",PR!$G809,IF(H811="BIOMED",PR!$H809,IF(H811="CHI",PR!$I809,IF(H811="CLARION",PR!$J809,IF(H811="CODIX",PR!$K809,IF(H811="COSMADE",PR!$L809,IF(H811="SANCON",PR!$M809,IF(H811="DEVON",PR!$N809,IF(H811="DORTEMAG",PR!$O809,IF(H811="DGF",PR!$P809,IF(H811="DYNAMIC",PR!$Q809,IF(H811="EMZOR",PR!$R809,IF(H811="EUMATT",PR!$S809,IF(H811="FIDSON",PR!$T809,IF(H811="FCGLOBAL",PR!$U809,IF(H811="GENEITH",PR!$V809,IF(H811="GINOS",PR!$W809,IF(H811="GSK",PR!$X809,IF(H811="GLOBORG",PR!$Y809,IF(H811="GOODNEWS",PR!$Z809,IF(H811="GREENLIFE",PR!$AA809,IF(H811="HLINE",PR!$AB809,IF(H811="ROTECH",PR!$AC809,IF(H811="ISN",PR!$AD809,IF(H811="JAWA",PR!$AE809,IF(H811="LAYO",PR!$AF809,IF(H811="LEADWAY",PR!$AG809,IF(H811="LHV",PR!$AH809,IF(H811="MANOLA",PR!$AI809,IF(H811="MARCSON",PR!$AJ809,IF(H811="M&amp;B",PR!$AK809,IF(H811="MTRUST",PR!$AL809,IF(H811="MWORLD",PR!$AM809,IF(H811="MEGA",PR!$AN809,IF(H811="MICRONOVA",PR!$AO809,IF(H811="MFLASH",PR!$AP809,IF(H811="MORISON",PR!$AQ809,IF(H811="NEMEL",PR!$AR809,IF(H811="NHP",PR!$AS809,IF(H811="NHC",PR!$AT809,IF(H811="OLEAF",PR!$AU809,IF(H811="OCULUS",PR!$AV809,IF(H811="PACIFIC",PR!$AW809,IF(H811="PHAMATEX",PR!$AX809,IF(H811="PETHICS",PR!$AY809,IF(H811="PHILIPS",PR!$AZ809,IF(H811="RANBAXY",PR!$BA809,IF(H811="REALS",PR!$BB809,IF(H811="ROYAL",PR!$BC809,IF(H811="SAM",PR!$BD809,IF(H811="SEAGREEN",PR!$BE809,IF(H811="SKG",PR!$BF809,IF(H811="TAH",PR!$BG809,IF(H811="TAYLEK",PR!$BH809,IF(H811="TEMITA",PR!$BI809,IF(H811="THL",PR!$BJ809,IF(H811="UBASTIC",PR!$BK809,IF(H811="UNION",PR!$BL809,IF(H811="UNIQUE",PR!$BM809,IF(H811="VIXA",PR!$BN809,IF(H811="WWCV",PR!$BO809,IF(H811="ZOLON",PR!$BP809,"-"))))))))))))))))))))))))))))))))))))))))))))))))))))))))))))))))</f>
        <v>6960</v>
      </c>
      <c r="H811" s="102" t="str">
        <f>EV!M1034</f>
        <v>PACIFIC</v>
      </c>
      <c r="I811" s="108">
        <f>IF(J811="ALPHA",PR!$E809,IF(J811="ASSENE",PR!$F809,IF(J811="BIOFEM",PR!$G809,IF(J811="BIOMED",PR!$H809,IF(J811="CHI",PR!$I809,IF(J811="CLARION",PR!$J809,IF(J811="CODIX",PR!$K809,IF(J811="COSMADE",PR!$L809,IF(J811="SANCON",PR!$M809,IF(J811="DEVON",PR!$N809,IF(J811="DORTEMAG",PR!$O809,IF(J811="DGF",PR!$P809,IF(J811="DYNAMIC",PR!$Q809,IF(J811="EMZOR",PR!$R809,IF(J811="EUMATT",PR!$S809,IF(J811="FIDSON",PR!$T809,IF(J811="FCGLOBAL",PR!$U809,IF(J811="GENEITH",PR!$V809,IF(J811="GINOS",PR!$W809,IF(J811="GSK",PR!$X809,IF(J811="GLOBORG",PR!$Y809,IF(J811="GOODNEWS",PR!$Z809,IF(J811="GREENLIFE",PR!$AA809,IF(J811="HLINE",PR!$AB809,IF(J811="ROTECH",PR!$AC809,IF(J811="ISN",PR!$AD809,IF(J811="JAWA",PR!$AE809,IF(J811="LAYO",PR!$AF809,IF(J811="LEADWAY",PR!$AG809,IF(J811="LHV",PR!$AH809,IF(J811="MANOLA",PR!$AI809,IF(J811="MARCSON",PR!$AJ809,IF(J811="M&amp;B",PR!$AK809,IF(J811="MTRUST",PR!$AL809,IF(J811="MWORLD",PR!$AM809,IF(J811="MEGA",PR!$AN809,IF(J811="MICRONOVA",PR!$AO809,IF(J811="MFLASH",PR!$AP809,IF(J811="MORISON",PR!$AQ809,IF(J811="NEMEL",PR!$AR809,IF(J811="NHP",PR!$AS809,IF(J811="NHC",PR!$AT809,IF(J811="OLEAF",PR!$AU809,IF(J811="OCULUS",PR!$AV809,IF(J811="PACIFIC",PR!$AW809,IF(J811="PHAMATEX",PR!$AX809,IF(J811="PETHICS",PR!$AY809,IF(J811="PHILIPS",PR!$AZ809,IF(J811="RANBAXY",PR!$BA809,IF(J811="REALS",PR!$BB809,IF(J811="ROYAL",PR!$BC809,IF(J811="SAM",PR!$BD809,IF(J811="SEAGREEN",PR!$BE809,IF(J811="SKG",PR!$BF809,IF(J811="TAH",PR!$BG809,IF(J811="TAYLEK",PR!$BH809,IF(J811="TEMITA",PR!$BI809,IF(J811="THL",PR!$BJ809,IF(J811="UBASTIC",PR!$BK809,IF(J811="UNION",PR!$BL809,IF(J811="UNIQUE",PR!$BM809,IF(J811="VIXA",PR!$BN809,IF(J811="WWCV",PR!$BO809,IF(J811="ZOLON",PR!$BP809,"-"))))))))))))))))))))))))))))))))))))))))))))))))))))))))))))))))</f>
        <v>7500</v>
      </c>
      <c r="J811" s="102" t="str">
        <f>EV!N1034</f>
        <v>DYNAMIC</v>
      </c>
      <c r="K811" s="433" t="s">
        <v>1457</v>
      </c>
      <c r="L811" s="183">
        <f>IF(K811&gt;0,IF(K811="ALPHA",PR!$E809,IF(K811="ASSENE",PR!$F809,IF(K811="BIOFEM",PR!$G809,IF(K811="BIOMED",PR!$H809,IF(K811="CHI",PR!$I809,IF(K811="CLARION",PR!$J809,IF(K811="CODIX",PR!$K809,IF(K811="COSMADE",PR!$L809,IF(K811="SANCON",PR!$M809,IF(K811="DEVON",PR!$N809,IF(K811="DORTEMAG",PR!$O809,IF(K811="DGF",PR!$P809,IF(K811="DYNAMIC",PR!$Q809,IF(K811="EMZOR",PR!$R809,IF(K811="EUMATT",PR!$S809,IF(K811="FIDSON",PR!$T809,IF(K811="FCGLOBAL",PR!$U809,IF(K811="GENEITH",PR!$V809,IF(K811="GINOS",PR!$W809,IF(K811="GSK",PR!$X809,IF(K811="GLOBORG",PR!$Y809,IF(K811="GOODNEWS",PR!$Z809,IF(K811="GREENLIFE",PR!$AA809,IF(K811="HLINE",PR!$AB809,IF(K811="ROTECH",PR!$AC809,IF(K811="ISN",PR!$AD809,IF(K811="JAWA",PR!$AE809,IF(K811="LAYO",PR!$AF809,IF(K811="LEADWAY",PR!$AG809,IF(K811="LHV",PR!$AH809,IF(K811="MANOLA",PR!$AI809,IF(K811="MARCSON",PR!$AJ809,IF(K811="M&amp;B",PR!$AK809,IF(K811="MTRUST",PR!$AL809,IF(K811="MWORLD",PR!$AM809,IF(K811="MEGA",PR!$AN809,IF(K811="MICRONOVA",PR!$AO809,IF(K811="MFLASH",PR!$AP809,IF(K811="MORISON",PR!$AQ809,IF(K811="NEMEL",PR!$AR809,IF(K811="NHP",PR!$AS809,IF(K811="NHC",PR!$AT809,IF(K811="OLEAF",PR!$AU809,IF(K811="OCULUS",PR!$AV809,IF(K811="PACIFIC",PR!$AW809,IF(K811="PHAMATEX",PR!$AX809,IF(K811="PETHICS",PR!$AY809,IF(K811="PHILIPS",PR!$AZ809,IF(K811="RANBAXY",PR!$BA809,IF(K811="REALS",PR!$BB809,IF(K811="ROYAL",PR!$BC809,IF(K811="SAM",PR!$BD809,IF(K811="SEAGREEN",PR!$BE809,IF(K811="SKG",PR!$BF809,IF(K811="TAH",PR!$BG809,IF(K811="TAYLEK",PR!$BH809,IF(K811="TEMITA",PR!$BI809,IF(K811="THL",PR!$BJ809,IF(K811="UBASTIC",PR!$BK809,IF(K811="UNION",PR!$BL809,IF(K811="UNIQUE",PR!$BM809,IF(K811="VIXA",PR!$BN809,IF(K811="WWCV",PR!$BO809,IF(K811="ZOLON",PR!$BP809,"-")))))))))))))))))))))))))))))))))))))))))))))))))))))))))))))))))</f>
        <v>6960</v>
      </c>
    </row>
    <row r="812" spans="1:12" ht="18.75" x14ac:dyDescent="0.3">
      <c r="A812" s="430">
        <f>PR!A810</f>
        <v>726</v>
      </c>
      <c r="B812" s="15" t="str">
        <f>PR!B810</f>
        <v>SILK 3/0 ROUND BODY 1/2 CIRCLE (ETHICON)</v>
      </c>
      <c r="C812" s="113">
        <f>PR!D810</f>
        <v>12</v>
      </c>
      <c r="D812" s="113">
        <f>PR!C810</f>
        <v>5</v>
      </c>
      <c r="E812" s="108">
        <f>IF(F812="ALPHA",PR!$E810,IF(F812="ASSENE",PR!$F810,IF(F812="BIOFEM",PR!$G810,IF(F812="BIOMED",PR!$H810,IF(F812="CHI",PR!$I810,IF(F812="CLARION",PR!$J810,IF(F812="CODIX",PR!$K810,IF(F812="COSMADE",PR!$L810,IF(F812="SANCON",PR!$M810,IF(F812="DEVON",PR!$N810,IF(F812="DORTEMAG",PR!$O810,IF(F812="DGF",PR!$P810,IF(F812="DYNAMIC",PR!$Q810,IF(F812="EMZOR",PR!$R810,IF(F812="EUMATT",PR!$S810,IF(F812="FIDSON",PR!$T810,IF(F812="FCGLOBAL",PR!$U810,IF(F812="GENEITH",PR!$V810,IF(F812="GINOS",PR!$W810,IF(F812="GSK",PR!$X810,IF(F812="GLOBORG",PR!$Y810,IF(F812="GOODNEWS",PR!$Z810,IF(F812="GREENLIFE",PR!$AA810,IF(F812="HLINE",PR!$AB810,IF(F812="ROTECH",PR!$AC810,IF(F812="ISN",PR!$AD810,IF(F812="JAWA",PR!$AE810,IF(F812="LAYO",PR!$AF810,IF(F812="LEADWAY",PR!$AG810,IF(F812="LHV",PR!$AH810,IF(F812="MANOLA",PR!$AI810,IF(F812="MARCSON",PR!$AJ810,IF(F812="M&amp;B",PR!$AK810,IF(F812="MTRUST",PR!$AL810,IF(F812="MWORLD",PR!$AM810,IF(F812="MEGA",PR!$AN810,IF(F812="MICRONOVA",PR!$AO810,IF(F812="MFLASH",PR!$AP810,IF(F812="MORISON",PR!$AQ810,IF(F812="NEMEL",PR!$AR810,IF(F812="NHP",PR!$AS810,IF(F812="NHC",PR!$AT810,IF(F812="OLEAF",PR!$AU810,IF(F812="OCULUS",PR!$AV810,IF(F812="PACIFIC",PR!$AW810,IF(F812="PHAMATEX",PR!$AX810,IF(F812="PETHICS",PR!$AY810,IF(F812="PHILIPS",PR!$AZ810,IF(F812="RANBAXY",PR!$BA810,IF(F812="REALS",PR!$BB810,IF(F812="ROYAL",PR!$BC810,IF(F812="SAM",PR!$BD810,IF(F812="SEAGREEN",PR!$BE810,IF(F812="SKG",PR!$BF810,IF(F812="TAH",PR!$BG810,IF(F812="TAYLEK",PR!$BH810,IF(F812="TEMITA",PR!$BI810,IF(F812="THL",PR!$BJ810,IF(F812="UBASTIC",PR!$BK810,IF(F812="UNION",PR!$BL810,IF(F812="UNIQUE",PR!$BM810,IF(F812="VIXA",PR!$BN810,IF(F812="WWCV",PR!$BO810,IF(F812="ZOLON",PR!$BP810,"-"))))))))))))))))))))))))))))))))))))))))))))))))))))))))))))))))</f>
        <v>6000</v>
      </c>
      <c r="F812" s="102" t="str">
        <f>EV!L1035</f>
        <v>GINOS</v>
      </c>
      <c r="G812" s="108">
        <f>IF(H812="ALPHA",PR!$E810,IF(H812="ASSENE",PR!$F810,IF(H812="BIOFEM",PR!$G810,IF(H812="BIOMED",PR!$H810,IF(H812="CHI",PR!$I810,IF(H812="CLARION",PR!$J810,IF(H812="CODIX",PR!$K810,IF(H812="COSMADE",PR!$L810,IF(H812="SANCON",PR!$M810,IF(H812="DEVON",PR!$N810,IF(H812="DORTEMAG",PR!$O810,IF(H812="DGF",PR!$P810,IF(H812="DYNAMIC",PR!$Q810,IF(H812="EMZOR",PR!$R810,IF(H812="EUMATT",PR!$S810,IF(H812="FIDSON",PR!$T810,IF(H812="FCGLOBAL",PR!$U810,IF(H812="GENEITH",PR!$V810,IF(H812="GINOS",PR!$W810,IF(H812="GSK",PR!$X810,IF(H812="GLOBORG",PR!$Y810,IF(H812="GOODNEWS",PR!$Z810,IF(H812="GREENLIFE",PR!$AA810,IF(H812="HLINE",PR!$AB810,IF(H812="ROTECH",PR!$AC810,IF(H812="ISN",PR!$AD810,IF(H812="JAWA",PR!$AE810,IF(H812="LAYO",PR!$AF810,IF(H812="LEADWAY",PR!$AG810,IF(H812="LHV",PR!$AH810,IF(H812="MANOLA",PR!$AI810,IF(H812="MARCSON",PR!$AJ810,IF(H812="M&amp;B",PR!$AK810,IF(H812="MTRUST",PR!$AL810,IF(H812="MWORLD",PR!$AM810,IF(H812="MEGA",PR!$AN810,IF(H812="MICRONOVA",PR!$AO810,IF(H812="MFLASH",PR!$AP810,IF(H812="MORISON",PR!$AQ810,IF(H812="NEMEL",PR!$AR810,IF(H812="NHP",PR!$AS810,IF(H812="NHC",PR!$AT810,IF(H812="OLEAF",PR!$AU810,IF(H812="OCULUS",PR!$AV810,IF(H812="PACIFIC",PR!$AW810,IF(H812="PHAMATEX",PR!$AX810,IF(H812="PETHICS",PR!$AY810,IF(H812="PHILIPS",PR!$AZ810,IF(H812="RANBAXY",PR!$BA810,IF(H812="REALS",PR!$BB810,IF(H812="ROYAL",PR!$BC810,IF(H812="SAM",PR!$BD810,IF(H812="SEAGREEN",PR!$BE810,IF(H812="SKG",PR!$BF810,IF(H812="TAH",PR!$BG810,IF(H812="TAYLEK",PR!$BH810,IF(H812="TEMITA",PR!$BI810,IF(H812="THL",PR!$BJ810,IF(H812="UBASTIC",PR!$BK810,IF(H812="UNION",PR!$BL810,IF(H812="UNIQUE",PR!$BM810,IF(H812="VIXA",PR!$BN810,IF(H812="WWCV",PR!$BO810,IF(H812="ZOLON",PR!$BP810,"-"))))))))))))))))))))))))))))))))))))))))))))))))))))))))))))))))</f>
        <v>6875</v>
      </c>
      <c r="H812" s="102" t="str">
        <f>EV!M1035</f>
        <v>DYNAMIC</v>
      </c>
      <c r="I812" s="108">
        <f>IF(J812="ALPHA",PR!$E810,IF(J812="ASSENE",PR!$F810,IF(J812="BIOFEM",PR!$G810,IF(J812="BIOMED",PR!$H810,IF(J812="CHI",PR!$I810,IF(J812="CLARION",PR!$J810,IF(J812="CODIX",PR!$K810,IF(J812="COSMADE",PR!$L810,IF(J812="SANCON",PR!$M810,IF(J812="DEVON",PR!$N810,IF(J812="DORTEMAG",PR!$O810,IF(J812="DGF",PR!$P810,IF(J812="DYNAMIC",PR!$Q810,IF(J812="EMZOR",PR!$R810,IF(J812="EUMATT",PR!$S810,IF(J812="FIDSON",PR!$T810,IF(J812="FCGLOBAL",PR!$U810,IF(J812="GENEITH",PR!$V810,IF(J812="GINOS",PR!$W810,IF(J812="GSK",PR!$X810,IF(J812="GLOBORG",PR!$Y810,IF(J812="GOODNEWS",PR!$Z810,IF(J812="GREENLIFE",PR!$AA810,IF(J812="HLINE",PR!$AB810,IF(J812="ROTECH",PR!$AC810,IF(J812="ISN",PR!$AD810,IF(J812="JAWA",PR!$AE810,IF(J812="LAYO",PR!$AF810,IF(J812="LEADWAY",PR!$AG810,IF(J812="LHV",PR!$AH810,IF(J812="MANOLA",PR!$AI810,IF(J812="MARCSON",PR!$AJ810,IF(J812="M&amp;B",PR!$AK810,IF(J812="MTRUST",PR!$AL810,IF(J812="MWORLD",PR!$AM810,IF(J812="MEGA",PR!$AN810,IF(J812="MICRONOVA",PR!$AO810,IF(J812="MFLASH",PR!$AP810,IF(J812="MORISON",PR!$AQ810,IF(J812="NEMEL",PR!$AR810,IF(J812="NHP",PR!$AS810,IF(J812="NHC",PR!$AT810,IF(J812="OLEAF",PR!$AU810,IF(J812="OCULUS",PR!$AV810,IF(J812="PACIFIC",PR!$AW810,IF(J812="PHAMATEX",PR!$AX810,IF(J812="PETHICS",PR!$AY810,IF(J812="PHILIPS",PR!$AZ810,IF(J812="RANBAXY",PR!$BA810,IF(J812="REALS",PR!$BB810,IF(J812="ROYAL",PR!$BC810,IF(J812="SAM",PR!$BD810,IF(J812="SEAGREEN",PR!$BE810,IF(J812="SKG",PR!$BF810,IF(J812="TAH",PR!$BG810,IF(J812="TAYLEK",PR!$BH810,IF(J812="TEMITA",PR!$BI810,IF(J812="THL",PR!$BJ810,IF(J812="UBASTIC",PR!$BK810,IF(J812="UNION",PR!$BL810,IF(J812="UNIQUE",PR!$BM810,IF(J812="VIXA",PR!$BN810,IF(J812="WWCV",PR!$BO810,IF(J812="ZOLON",PR!$BP810,"-"))))))))))))))))))))))))))))))))))))))))))))))))))))))))))))))))</f>
        <v>7949.8666666666659</v>
      </c>
      <c r="J812" s="102" t="str">
        <f>EV!N1035</f>
        <v>PACIFIC</v>
      </c>
      <c r="K812" s="433" t="s">
        <v>1457</v>
      </c>
      <c r="L812" s="183">
        <f>IF(K812&gt;0,IF(K812="ALPHA",PR!$E810,IF(K812="ASSENE",PR!$F810,IF(K812="BIOFEM",PR!$G810,IF(K812="BIOMED",PR!$H810,IF(K812="CHI",PR!$I810,IF(K812="CLARION",PR!$J810,IF(K812="CODIX",PR!$K810,IF(K812="COSMADE",PR!$L810,IF(K812="SANCON",PR!$M810,IF(K812="DEVON",PR!$N810,IF(K812="DORTEMAG",PR!$O810,IF(K812="DGF",PR!$P810,IF(K812="DYNAMIC",PR!$Q810,IF(K812="EMZOR",PR!$R810,IF(K812="EUMATT",PR!$S810,IF(K812="FIDSON",PR!$T810,IF(K812="FCGLOBAL",PR!$U810,IF(K812="GENEITH",PR!$V810,IF(K812="GINOS",PR!$W810,IF(K812="GSK",PR!$X810,IF(K812="GLOBORG",PR!$Y810,IF(K812="GOODNEWS",PR!$Z810,IF(K812="GREENLIFE",PR!$AA810,IF(K812="HLINE",PR!$AB810,IF(K812="ROTECH",PR!$AC810,IF(K812="ISN",PR!$AD810,IF(K812="JAWA",PR!$AE810,IF(K812="LAYO",PR!$AF810,IF(K812="LEADWAY",PR!$AG810,IF(K812="LHV",PR!$AH810,IF(K812="MANOLA",PR!$AI810,IF(K812="MARCSON",PR!$AJ810,IF(K812="M&amp;B",PR!$AK810,IF(K812="MTRUST",PR!$AL810,IF(K812="MWORLD",PR!$AM810,IF(K812="MEGA",PR!$AN810,IF(K812="MICRONOVA",PR!$AO810,IF(K812="MFLASH",PR!$AP810,IF(K812="MORISON",PR!$AQ810,IF(K812="NEMEL",PR!$AR810,IF(K812="NHP",PR!$AS810,IF(K812="NHC",PR!$AT810,IF(K812="OLEAF",PR!$AU810,IF(K812="OCULUS",PR!$AV810,IF(K812="PACIFIC",PR!$AW810,IF(K812="PHAMATEX",PR!$AX810,IF(K812="PETHICS",PR!$AY810,IF(K812="PHILIPS",PR!$AZ810,IF(K812="RANBAXY",PR!$BA810,IF(K812="REALS",PR!$BB810,IF(K812="ROYAL",PR!$BC810,IF(K812="SAM",PR!$BD810,IF(K812="SEAGREEN",PR!$BE810,IF(K812="SKG",PR!$BF810,IF(K812="TAH",PR!$BG810,IF(K812="TAYLEK",PR!$BH810,IF(K812="TEMITA",PR!$BI810,IF(K812="THL",PR!$BJ810,IF(K812="UBASTIC",PR!$BK810,IF(K812="UNION",PR!$BL810,IF(K812="UNIQUE",PR!$BM810,IF(K812="VIXA",PR!$BN810,IF(K812="WWCV",PR!$BO810,IF(K812="ZOLON",PR!$BP810,"-")))))))))))))))))))))))))))))))))))))))))))))))))))))))))))))))))</f>
        <v>7949.8666666666659</v>
      </c>
    </row>
    <row r="813" spans="1:12" ht="18.75" x14ac:dyDescent="0.3">
      <c r="A813" s="430">
        <f>PR!A811</f>
        <v>727</v>
      </c>
      <c r="B813" s="15" t="str">
        <f>PR!B811</f>
        <v>NYLON 0 ROUND BODY 1/2 CIRCLE (ETHICON)</v>
      </c>
      <c r="C813" s="113">
        <f>PR!D811</f>
        <v>12</v>
      </c>
      <c r="D813" s="113">
        <f>PR!C811</f>
        <v>10</v>
      </c>
      <c r="E813" s="108">
        <f>IF(F813="ALPHA",PR!$E811,IF(F813="ASSENE",PR!$F811,IF(F813="BIOFEM",PR!$G811,IF(F813="BIOMED",PR!$H811,IF(F813="CHI",PR!$I811,IF(F813="CLARION",PR!$J811,IF(F813="CODIX",PR!$K811,IF(F813="COSMADE",PR!$L811,IF(F813="SANCON",PR!$M811,IF(F813="DEVON",PR!$N811,IF(F813="DORTEMAG",PR!$O811,IF(F813="DGF",PR!$P811,IF(F813="DYNAMIC",PR!$Q811,IF(F813="EMZOR",PR!$R811,IF(F813="EUMATT",PR!$S811,IF(F813="FIDSON",PR!$T811,IF(F813="FCGLOBAL",PR!$U811,IF(F813="GENEITH",PR!$V811,IF(F813="GINOS",PR!$W811,IF(F813="GSK",PR!$X811,IF(F813="GLOBORG",PR!$Y811,IF(F813="GOODNEWS",PR!$Z811,IF(F813="GREENLIFE",PR!$AA811,IF(F813="HLINE",PR!$AB811,IF(F813="ROTECH",PR!$AC811,IF(F813="ISN",PR!$AD811,IF(F813="JAWA",PR!$AE811,IF(F813="LAYO",PR!$AF811,IF(F813="LEADWAY",PR!$AG811,IF(F813="LHV",PR!$AH811,IF(F813="MANOLA",PR!$AI811,IF(F813="MARCSON",PR!$AJ811,IF(F813="M&amp;B",PR!$AK811,IF(F813="MTRUST",PR!$AL811,IF(F813="MWORLD",PR!$AM811,IF(F813="MEGA",PR!$AN811,IF(F813="MICRONOVA",PR!$AO811,IF(F813="MFLASH",PR!$AP811,IF(F813="MORISON",PR!$AQ811,IF(F813="NEMEL",PR!$AR811,IF(F813="NHP",PR!$AS811,IF(F813="NHC",PR!$AT811,IF(F813="OLEAF",PR!$AU811,IF(F813="OCULUS",PR!$AV811,IF(F813="PACIFIC",PR!$AW811,IF(F813="PHAMATEX",PR!$AX811,IF(F813="PETHICS",PR!$AY811,IF(F813="PHILIPS",PR!$AZ811,IF(F813="RANBAXY",PR!$BA811,IF(F813="REALS",PR!$BB811,IF(F813="ROYAL",PR!$BC811,IF(F813="SAM",PR!$BD811,IF(F813="SEAGREEN",PR!$BE811,IF(F813="SKG",PR!$BF811,IF(F813="TAH",PR!$BG811,IF(F813="TAYLEK",PR!$BH811,IF(F813="TEMITA",PR!$BI811,IF(F813="THL",PR!$BJ811,IF(F813="UBASTIC",PR!$BK811,IF(F813="UNION",PR!$BL811,IF(F813="UNIQUE",PR!$BM811,IF(F813="VIXA",PR!$BN811,IF(F813="WWCV",PR!$BO811,IF(F813="ZOLON",PR!$BP811,"-"))))))))))))))))))))))))))))))))))))))))))))))))))))))))))))))))</f>
        <v>5000</v>
      </c>
      <c r="F813" s="102" t="str">
        <f>EV!L1036</f>
        <v>GINOS</v>
      </c>
      <c r="G813" s="108">
        <f>IF(H813="ALPHA",PR!$E811,IF(H813="ASSENE",PR!$F811,IF(H813="BIOFEM",PR!$G811,IF(H813="BIOMED",PR!$H811,IF(H813="CHI",PR!$I811,IF(H813="CLARION",PR!$J811,IF(H813="CODIX",PR!$K811,IF(H813="COSMADE",PR!$L811,IF(H813="SANCON",PR!$M811,IF(H813="DEVON",PR!$N811,IF(H813="DORTEMAG",PR!$O811,IF(H813="DGF",PR!$P811,IF(H813="DYNAMIC",PR!$Q811,IF(H813="EMZOR",PR!$R811,IF(H813="EUMATT",PR!$S811,IF(H813="FIDSON",PR!$T811,IF(H813="FCGLOBAL",PR!$U811,IF(H813="GENEITH",PR!$V811,IF(H813="GINOS",PR!$W811,IF(H813="GSK",PR!$X811,IF(H813="GLOBORG",PR!$Y811,IF(H813="GOODNEWS",PR!$Z811,IF(H813="GREENLIFE",PR!$AA811,IF(H813="HLINE",PR!$AB811,IF(H813="ROTECH",PR!$AC811,IF(H813="ISN",PR!$AD811,IF(H813="JAWA",PR!$AE811,IF(H813="LAYO",PR!$AF811,IF(H813="LEADWAY",PR!$AG811,IF(H813="LHV",PR!$AH811,IF(H813="MANOLA",PR!$AI811,IF(H813="MARCSON",PR!$AJ811,IF(H813="M&amp;B",PR!$AK811,IF(H813="MTRUST",PR!$AL811,IF(H813="MWORLD",PR!$AM811,IF(H813="MEGA",PR!$AN811,IF(H813="MICRONOVA",PR!$AO811,IF(H813="MFLASH",PR!$AP811,IF(H813="MORISON",PR!$AQ811,IF(H813="NEMEL",PR!$AR811,IF(H813="NHP",PR!$AS811,IF(H813="NHC",PR!$AT811,IF(H813="OLEAF",PR!$AU811,IF(H813="OCULUS",PR!$AV811,IF(H813="PACIFIC",PR!$AW811,IF(H813="PHAMATEX",PR!$AX811,IF(H813="PETHICS",PR!$AY811,IF(H813="PHILIPS",PR!$AZ811,IF(H813="RANBAXY",PR!$BA811,IF(H813="REALS",PR!$BB811,IF(H813="ROYAL",PR!$BC811,IF(H813="SAM",PR!$BD811,IF(H813="SEAGREEN",PR!$BE811,IF(H813="SKG",PR!$BF811,IF(H813="TAH",PR!$BG811,IF(H813="TAYLEK",PR!$BH811,IF(H813="TEMITA",PR!$BI811,IF(H813="THL",PR!$BJ811,IF(H813="UBASTIC",PR!$BK811,IF(H813="UNION",PR!$BL811,IF(H813="UNIQUE",PR!$BM811,IF(H813="VIXA",PR!$BN811,IF(H813="WWCV",PR!$BO811,IF(H813="ZOLON",PR!$BP811,"-"))))))))))))))))))))))))))))))))))))))))))))))))))))))))))))))))</f>
        <v>6500</v>
      </c>
      <c r="H813" s="102" t="str">
        <f>EV!M1036</f>
        <v>DYNAMIC</v>
      </c>
      <c r="I813" s="108">
        <f>IF(J813="ALPHA",PR!$E811,IF(J813="ASSENE",PR!$F811,IF(J813="BIOFEM",PR!$G811,IF(J813="BIOMED",PR!$H811,IF(J813="CHI",PR!$I811,IF(J813="CLARION",PR!$J811,IF(J813="CODIX",PR!$K811,IF(J813="COSMADE",PR!$L811,IF(J813="SANCON",PR!$M811,IF(J813="DEVON",PR!$N811,IF(J813="DORTEMAG",PR!$O811,IF(J813="DGF",PR!$P811,IF(J813="DYNAMIC",PR!$Q811,IF(J813="EMZOR",PR!$R811,IF(J813="EUMATT",PR!$S811,IF(J813="FIDSON",PR!$T811,IF(J813="FCGLOBAL",PR!$U811,IF(J813="GENEITH",PR!$V811,IF(J813="GINOS",PR!$W811,IF(J813="GSK",PR!$X811,IF(J813="GLOBORG",PR!$Y811,IF(J813="GOODNEWS",PR!$Z811,IF(J813="GREENLIFE",PR!$AA811,IF(J813="HLINE",PR!$AB811,IF(J813="ROTECH",PR!$AC811,IF(J813="ISN",PR!$AD811,IF(J813="JAWA",PR!$AE811,IF(J813="LAYO",PR!$AF811,IF(J813="LEADWAY",PR!$AG811,IF(J813="LHV",PR!$AH811,IF(J813="MANOLA",PR!$AI811,IF(J813="MARCSON",PR!$AJ811,IF(J813="M&amp;B",PR!$AK811,IF(J813="MTRUST",PR!$AL811,IF(J813="MWORLD",PR!$AM811,IF(J813="MEGA",PR!$AN811,IF(J813="MICRONOVA",PR!$AO811,IF(J813="MFLASH",PR!$AP811,IF(J813="MORISON",PR!$AQ811,IF(J813="NEMEL",PR!$AR811,IF(J813="NHP",PR!$AS811,IF(J813="NHC",PR!$AT811,IF(J813="OLEAF",PR!$AU811,IF(J813="OCULUS",PR!$AV811,IF(J813="PACIFIC",PR!$AW811,IF(J813="PHAMATEX",PR!$AX811,IF(J813="PETHICS",PR!$AY811,IF(J813="PHILIPS",PR!$AZ811,IF(J813="RANBAXY",PR!$BA811,IF(J813="REALS",PR!$BB811,IF(J813="ROYAL",PR!$BC811,IF(J813="SAM",PR!$BD811,IF(J813="SEAGREEN",PR!$BE811,IF(J813="SKG",PR!$BF811,IF(J813="TAH",PR!$BG811,IF(J813="TAYLEK",PR!$BH811,IF(J813="TEMITA",PR!$BI811,IF(J813="THL",PR!$BJ811,IF(J813="UBASTIC",PR!$BK811,IF(J813="UNION",PR!$BL811,IF(J813="UNIQUE",PR!$BM811,IF(J813="VIXA",PR!$BN811,IF(J813="WWCV",PR!$BO811,IF(J813="ZOLON",PR!$BP811,"-"))))))))))))))))))))))))))))))))))))))))))))))))))))))))))))))))</f>
        <v>8247.6</v>
      </c>
      <c r="J813" s="102" t="str">
        <f>EV!N1036</f>
        <v>PACIFIC</v>
      </c>
      <c r="K813" s="433" t="s">
        <v>1457</v>
      </c>
      <c r="L813" s="183">
        <f>IF(K813&gt;0,IF(K813="ALPHA",PR!$E811,IF(K813="ASSENE",PR!$F811,IF(K813="BIOFEM",PR!$G811,IF(K813="BIOMED",PR!$H811,IF(K813="CHI",PR!$I811,IF(K813="CLARION",PR!$J811,IF(K813="CODIX",PR!$K811,IF(K813="COSMADE",PR!$L811,IF(K813="SANCON",PR!$M811,IF(K813="DEVON",PR!$N811,IF(K813="DORTEMAG",PR!$O811,IF(K813="DGF",PR!$P811,IF(K813="DYNAMIC",PR!$Q811,IF(K813="EMZOR",PR!$R811,IF(K813="EUMATT",PR!$S811,IF(K813="FIDSON",PR!$T811,IF(K813="FCGLOBAL",PR!$U811,IF(K813="GENEITH",PR!$V811,IF(K813="GINOS",PR!$W811,IF(K813="GSK",PR!$X811,IF(K813="GLOBORG",PR!$Y811,IF(K813="GOODNEWS",PR!$Z811,IF(K813="GREENLIFE",PR!$AA811,IF(K813="HLINE",PR!$AB811,IF(K813="ROTECH",PR!$AC811,IF(K813="ISN",PR!$AD811,IF(K813="JAWA",PR!$AE811,IF(K813="LAYO",PR!$AF811,IF(K813="LEADWAY",PR!$AG811,IF(K813="LHV",PR!$AH811,IF(K813="MANOLA",PR!$AI811,IF(K813="MARCSON",PR!$AJ811,IF(K813="M&amp;B",PR!$AK811,IF(K813="MTRUST",PR!$AL811,IF(K813="MWORLD",PR!$AM811,IF(K813="MEGA",PR!$AN811,IF(K813="MICRONOVA",PR!$AO811,IF(K813="MFLASH",PR!$AP811,IF(K813="MORISON",PR!$AQ811,IF(K813="NEMEL",PR!$AR811,IF(K813="NHP",PR!$AS811,IF(K813="NHC",PR!$AT811,IF(K813="OLEAF",PR!$AU811,IF(K813="OCULUS",PR!$AV811,IF(K813="PACIFIC",PR!$AW811,IF(K813="PHAMATEX",PR!$AX811,IF(K813="PETHICS",PR!$AY811,IF(K813="PHILIPS",PR!$AZ811,IF(K813="RANBAXY",PR!$BA811,IF(K813="REALS",PR!$BB811,IF(K813="ROYAL",PR!$BC811,IF(K813="SAM",PR!$BD811,IF(K813="SEAGREEN",PR!$BE811,IF(K813="SKG",PR!$BF811,IF(K813="TAH",PR!$BG811,IF(K813="TAYLEK",PR!$BH811,IF(K813="TEMITA",PR!$BI811,IF(K813="THL",PR!$BJ811,IF(K813="UBASTIC",PR!$BK811,IF(K813="UNION",PR!$BL811,IF(K813="UNIQUE",PR!$BM811,IF(K813="VIXA",PR!$BN811,IF(K813="WWCV",PR!$BO811,IF(K813="ZOLON",PR!$BP811,"-")))))))))))))))))))))))))))))))))))))))))))))))))))))))))))))))))</f>
        <v>8247.6</v>
      </c>
    </row>
    <row r="814" spans="1:12" ht="18.75" x14ac:dyDescent="0.3">
      <c r="A814" s="430">
        <f>PR!A812</f>
        <v>728</v>
      </c>
      <c r="B814" s="15" t="str">
        <f>PR!B812</f>
        <v>NYLON 1 ROUND BODY 1/2 CIRCLE (ETHICON)</v>
      </c>
      <c r="C814" s="113">
        <f>PR!D812</f>
        <v>12</v>
      </c>
      <c r="D814" s="113">
        <f>PR!C812</f>
        <v>10</v>
      </c>
      <c r="E814" s="108">
        <f>IF(F814="ALPHA",PR!$E812,IF(F814="ASSENE",PR!$F812,IF(F814="BIOFEM",PR!$G812,IF(F814="BIOMED",PR!$H812,IF(F814="CHI",PR!$I812,IF(F814="CLARION",PR!$J812,IF(F814="CODIX",PR!$K812,IF(F814="COSMADE",PR!$L812,IF(F814="SANCON",PR!$M812,IF(F814="DEVON",PR!$N812,IF(F814="DORTEMAG",PR!$O812,IF(F814="DGF",PR!$P812,IF(F814="DYNAMIC",PR!$Q812,IF(F814="EMZOR",PR!$R812,IF(F814="EUMATT",PR!$S812,IF(F814="FIDSON",PR!$T812,IF(F814="FCGLOBAL",PR!$U812,IF(F814="GENEITH",PR!$V812,IF(F814="GINOS",PR!$W812,IF(F814="GSK",PR!$X812,IF(F814="GLOBORG",PR!$Y812,IF(F814="GOODNEWS",PR!$Z812,IF(F814="GREENLIFE",PR!$AA812,IF(F814="HLINE",PR!$AB812,IF(F814="ROTECH",PR!$AC812,IF(F814="ISN",PR!$AD812,IF(F814="JAWA",PR!$AE812,IF(F814="LAYO",PR!$AF812,IF(F814="LEADWAY",PR!$AG812,IF(F814="LHV",PR!$AH812,IF(F814="MANOLA",PR!$AI812,IF(F814="MARCSON",PR!$AJ812,IF(F814="M&amp;B",PR!$AK812,IF(F814="MTRUST",PR!$AL812,IF(F814="MWORLD",PR!$AM812,IF(F814="MEGA",PR!$AN812,IF(F814="MICRONOVA",PR!$AO812,IF(F814="MFLASH",PR!$AP812,IF(F814="MORISON",PR!$AQ812,IF(F814="NEMEL",PR!$AR812,IF(F814="NHP",PR!$AS812,IF(F814="NHC",PR!$AT812,IF(F814="OLEAF",PR!$AU812,IF(F814="OCULUS",PR!$AV812,IF(F814="PACIFIC",PR!$AW812,IF(F814="PHAMATEX",PR!$AX812,IF(F814="PETHICS",PR!$AY812,IF(F814="PHILIPS",PR!$AZ812,IF(F814="RANBAXY",PR!$BA812,IF(F814="REALS",PR!$BB812,IF(F814="ROYAL",PR!$BC812,IF(F814="SAM",PR!$BD812,IF(F814="SEAGREEN",PR!$BE812,IF(F814="SKG",PR!$BF812,IF(F814="TAH",PR!$BG812,IF(F814="TAYLEK",PR!$BH812,IF(F814="TEMITA",PR!$BI812,IF(F814="THL",PR!$BJ812,IF(F814="UBASTIC",PR!$BK812,IF(F814="UNION",PR!$BL812,IF(F814="UNIQUE",PR!$BM812,IF(F814="VIXA",PR!$BN812,IF(F814="WWCV",PR!$BO812,IF(F814="ZOLON",PR!$BP812,"-"))))))))))))))))))))))))))))))))))))))))))))))))))))))))))))))))</f>
        <v>4375</v>
      </c>
      <c r="F814" s="102" t="str">
        <f>EV!L1037</f>
        <v>UBASTIC</v>
      </c>
      <c r="G814" s="108">
        <f>IF(H814="ALPHA",PR!$E812,IF(H814="ASSENE",PR!$F812,IF(H814="BIOFEM",PR!$G812,IF(H814="BIOMED",PR!$H812,IF(H814="CHI",PR!$I812,IF(H814="CLARION",PR!$J812,IF(H814="CODIX",PR!$K812,IF(H814="COSMADE",PR!$L812,IF(H814="SANCON",PR!$M812,IF(H814="DEVON",PR!$N812,IF(H814="DORTEMAG",PR!$O812,IF(H814="DGF",PR!$P812,IF(H814="DYNAMIC",PR!$Q812,IF(H814="EMZOR",PR!$R812,IF(H814="EUMATT",PR!$S812,IF(H814="FIDSON",PR!$T812,IF(H814="FCGLOBAL",PR!$U812,IF(H814="GENEITH",PR!$V812,IF(H814="GINOS",PR!$W812,IF(H814="GSK",PR!$X812,IF(H814="GLOBORG",PR!$Y812,IF(H814="GOODNEWS",PR!$Z812,IF(H814="GREENLIFE",PR!$AA812,IF(H814="HLINE",PR!$AB812,IF(H814="ROTECH",PR!$AC812,IF(H814="ISN",PR!$AD812,IF(H814="JAWA",PR!$AE812,IF(H814="LAYO",PR!$AF812,IF(H814="LEADWAY",PR!$AG812,IF(H814="LHV",PR!$AH812,IF(H814="MANOLA",PR!$AI812,IF(H814="MARCSON",PR!$AJ812,IF(H814="M&amp;B",PR!$AK812,IF(H814="MTRUST",PR!$AL812,IF(H814="MWORLD",PR!$AM812,IF(H814="MEGA",PR!$AN812,IF(H814="MICRONOVA",PR!$AO812,IF(H814="MFLASH",PR!$AP812,IF(H814="MORISON",PR!$AQ812,IF(H814="NEMEL",PR!$AR812,IF(H814="NHP",PR!$AS812,IF(H814="NHC",PR!$AT812,IF(H814="OLEAF",PR!$AU812,IF(H814="OCULUS",PR!$AV812,IF(H814="PACIFIC",PR!$AW812,IF(H814="PHAMATEX",PR!$AX812,IF(H814="PETHICS",PR!$AY812,IF(H814="PHILIPS",PR!$AZ812,IF(H814="RANBAXY",PR!$BA812,IF(H814="REALS",PR!$BB812,IF(H814="ROYAL",PR!$BC812,IF(H814="SAM",PR!$BD812,IF(H814="SEAGREEN",PR!$BE812,IF(H814="SKG",PR!$BF812,IF(H814="TAH",PR!$BG812,IF(H814="TAYLEK",PR!$BH812,IF(H814="TEMITA",PR!$BI812,IF(H814="THL",PR!$BJ812,IF(H814="UBASTIC",PR!$BK812,IF(H814="UNION",PR!$BL812,IF(H814="UNIQUE",PR!$BM812,IF(H814="VIXA",PR!$BN812,IF(H814="WWCV",PR!$BO812,IF(H814="ZOLON",PR!$BP812,"-"))))))))))))))))))))))))))))))))))))))))))))))))))))))))))))))))</f>
        <v>5000</v>
      </c>
      <c r="H814" s="102" t="str">
        <f>EV!M1037</f>
        <v>GINOS</v>
      </c>
      <c r="I814" s="108">
        <f>IF(J814="ALPHA",PR!$E812,IF(J814="ASSENE",PR!$F812,IF(J814="BIOFEM",PR!$G812,IF(J814="BIOMED",PR!$H812,IF(J814="CHI",PR!$I812,IF(J814="CLARION",PR!$J812,IF(J814="CODIX",PR!$K812,IF(J814="COSMADE",PR!$L812,IF(J814="SANCON",PR!$M812,IF(J814="DEVON",PR!$N812,IF(J814="DORTEMAG",PR!$O812,IF(J814="DGF",PR!$P812,IF(J814="DYNAMIC",PR!$Q812,IF(J814="EMZOR",PR!$R812,IF(J814="EUMATT",PR!$S812,IF(J814="FIDSON",PR!$T812,IF(J814="FCGLOBAL",PR!$U812,IF(J814="GENEITH",PR!$V812,IF(J814="GINOS",PR!$W812,IF(J814="GSK",PR!$X812,IF(J814="GLOBORG",PR!$Y812,IF(J814="GOODNEWS",PR!$Z812,IF(J814="GREENLIFE",PR!$AA812,IF(J814="HLINE",PR!$AB812,IF(J814="ROTECH",PR!$AC812,IF(J814="ISN",PR!$AD812,IF(J814="JAWA",PR!$AE812,IF(J814="LAYO",PR!$AF812,IF(J814="LEADWAY",PR!$AG812,IF(J814="LHV",PR!$AH812,IF(J814="MANOLA",PR!$AI812,IF(J814="MARCSON",PR!$AJ812,IF(J814="M&amp;B",PR!$AK812,IF(J814="MTRUST",PR!$AL812,IF(J814="MWORLD",PR!$AM812,IF(J814="MEGA",PR!$AN812,IF(J814="MICRONOVA",PR!$AO812,IF(J814="MFLASH",PR!$AP812,IF(J814="MORISON",PR!$AQ812,IF(J814="NEMEL",PR!$AR812,IF(J814="NHP",PR!$AS812,IF(J814="NHC",PR!$AT812,IF(J814="OLEAF",PR!$AU812,IF(J814="OCULUS",PR!$AV812,IF(J814="PACIFIC",PR!$AW812,IF(J814="PHAMATEX",PR!$AX812,IF(J814="PETHICS",PR!$AY812,IF(J814="PHILIPS",PR!$AZ812,IF(J814="RANBAXY",PR!$BA812,IF(J814="REALS",PR!$BB812,IF(J814="ROYAL",PR!$BC812,IF(J814="SAM",PR!$BD812,IF(J814="SEAGREEN",PR!$BE812,IF(J814="SKG",PR!$BF812,IF(J814="TAH",PR!$BG812,IF(J814="TAYLEK",PR!$BH812,IF(J814="TEMITA",PR!$BI812,IF(J814="THL",PR!$BJ812,IF(J814="UBASTIC",PR!$BK812,IF(J814="UNION",PR!$BL812,IF(J814="UNIQUE",PR!$BM812,IF(J814="VIXA",PR!$BN812,IF(J814="WWCV",PR!$BO812,IF(J814="ZOLON",PR!$BP812,"-"))))))))))))))))))))))))))))))))))))))))))))))))))))))))))))))))</f>
        <v>6500</v>
      </c>
      <c r="J814" s="102" t="str">
        <f>EV!N1037</f>
        <v>DYNAMIC</v>
      </c>
      <c r="K814" s="433" t="s">
        <v>1457</v>
      </c>
      <c r="L814" s="183">
        <f>IF(K814&gt;0,IF(K814="ALPHA",PR!$E812,IF(K814="ASSENE",PR!$F812,IF(K814="BIOFEM",PR!$G812,IF(K814="BIOMED",PR!$H812,IF(K814="CHI",PR!$I812,IF(K814="CLARION",PR!$J812,IF(K814="CODIX",PR!$K812,IF(K814="COSMADE",PR!$L812,IF(K814="SANCON",PR!$M812,IF(K814="DEVON",PR!$N812,IF(K814="DORTEMAG",PR!$O812,IF(K814="DGF",PR!$P812,IF(K814="DYNAMIC",PR!$Q812,IF(K814="EMZOR",PR!$R812,IF(K814="EUMATT",PR!$S812,IF(K814="FIDSON",PR!$T812,IF(K814="FCGLOBAL",PR!$U812,IF(K814="GENEITH",PR!$V812,IF(K814="GINOS",PR!$W812,IF(K814="GSK",PR!$X812,IF(K814="GLOBORG",PR!$Y812,IF(K814="GOODNEWS",PR!$Z812,IF(K814="GREENLIFE",PR!$AA812,IF(K814="HLINE",PR!$AB812,IF(K814="ROTECH",PR!$AC812,IF(K814="ISN",PR!$AD812,IF(K814="JAWA",PR!$AE812,IF(K814="LAYO",PR!$AF812,IF(K814="LEADWAY",PR!$AG812,IF(K814="LHV",PR!$AH812,IF(K814="MANOLA",PR!$AI812,IF(K814="MARCSON",PR!$AJ812,IF(K814="M&amp;B",PR!$AK812,IF(K814="MTRUST",PR!$AL812,IF(K814="MWORLD",PR!$AM812,IF(K814="MEGA",PR!$AN812,IF(K814="MICRONOVA",PR!$AO812,IF(K814="MFLASH",PR!$AP812,IF(K814="MORISON",PR!$AQ812,IF(K814="NEMEL",PR!$AR812,IF(K814="NHP",PR!$AS812,IF(K814="NHC",PR!$AT812,IF(K814="OLEAF",PR!$AU812,IF(K814="OCULUS",PR!$AV812,IF(K814="PACIFIC",PR!$AW812,IF(K814="PHAMATEX",PR!$AX812,IF(K814="PETHICS",PR!$AY812,IF(K814="PHILIPS",PR!$AZ812,IF(K814="RANBAXY",PR!$BA812,IF(K814="REALS",PR!$BB812,IF(K814="ROYAL",PR!$BC812,IF(K814="SAM",PR!$BD812,IF(K814="SEAGREEN",PR!$BE812,IF(K814="SKG",PR!$BF812,IF(K814="TAH",PR!$BG812,IF(K814="TAYLEK",PR!$BH812,IF(K814="TEMITA",PR!$BI812,IF(K814="THL",PR!$BJ812,IF(K814="UBASTIC",PR!$BK812,IF(K814="UNION",PR!$BL812,IF(K814="UNIQUE",PR!$BM812,IF(K814="VIXA",PR!$BN812,IF(K814="WWCV",PR!$BO812,IF(K814="ZOLON",PR!$BP812,"-")))))))))))))))))))))))))))))))))))))))))))))))))))))))))))))))))</f>
        <v>8247.6</v>
      </c>
    </row>
    <row r="815" spans="1:12" ht="18.75" x14ac:dyDescent="0.3">
      <c r="A815" s="430">
        <f>PR!A813</f>
        <v>729</v>
      </c>
      <c r="B815" s="15" t="str">
        <f>PR!B813</f>
        <v>NYLON 2/0 CUTTING 1/2 CIRCLE (ETHICON)</v>
      </c>
      <c r="C815" s="113">
        <f>PR!D813</f>
        <v>12</v>
      </c>
      <c r="D815" s="113">
        <f>PR!C813</f>
        <v>12</v>
      </c>
      <c r="E815" s="108">
        <f>IF(F815="ALPHA",PR!$E813,IF(F815="ASSENE",PR!$F813,IF(F815="BIOFEM",PR!$G813,IF(F815="BIOMED",PR!$H813,IF(F815="CHI",PR!$I813,IF(F815="CLARION",PR!$J813,IF(F815="CODIX",PR!$K813,IF(F815="COSMADE",PR!$L813,IF(F815="SANCON",PR!$M813,IF(F815="DEVON",PR!$N813,IF(F815="DORTEMAG",PR!$O813,IF(F815="DGF",PR!$P813,IF(F815="DYNAMIC",PR!$Q813,IF(F815="EMZOR",PR!$R813,IF(F815="EUMATT",PR!$S813,IF(F815="FIDSON",PR!$T813,IF(F815="FCGLOBAL",PR!$U813,IF(F815="GENEITH",PR!$V813,IF(F815="GINOS",PR!$W813,IF(F815="GSK",PR!$X813,IF(F815="GLOBORG",PR!$Y813,IF(F815="GOODNEWS",PR!$Z813,IF(F815="GREENLIFE",PR!$AA813,IF(F815="HLINE",PR!$AB813,IF(F815="ROTECH",PR!$AC813,IF(F815="ISN",PR!$AD813,IF(F815="JAWA",PR!$AE813,IF(F815="LAYO",PR!$AF813,IF(F815="LEADWAY",PR!$AG813,IF(F815="LHV",PR!$AH813,IF(F815="MANOLA",PR!$AI813,IF(F815="MARCSON",PR!$AJ813,IF(F815="M&amp;B",PR!$AK813,IF(F815="MTRUST",PR!$AL813,IF(F815="MWORLD",PR!$AM813,IF(F815="MEGA",PR!$AN813,IF(F815="MICRONOVA",PR!$AO813,IF(F815="MFLASH",PR!$AP813,IF(F815="MORISON",PR!$AQ813,IF(F815="NEMEL",PR!$AR813,IF(F815="NHP",PR!$AS813,IF(F815="NHC",PR!$AT813,IF(F815="OLEAF",PR!$AU813,IF(F815="OCULUS",PR!$AV813,IF(F815="PACIFIC",PR!$AW813,IF(F815="PHAMATEX",PR!$AX813,IF(F815="PETHICS",PR!$AY813,IF(F815="PHILIPS",PR!$AZ813,IF(F815="RANBAXY",PR!$BA813,IF(F815="REALS",PR!$BB813,IF(F815="ROYAL",PR!$BC813,IF(F815="SAM",PR!$BD813,IF(F815="SEAGREEN",PR!$BE813,IF(F815="SKG",PR!$BF813,IF(F815="TAH",PR!$BG813,IF(F815="TAYLEK",PR!$BH813,IF(F815="TEMITA",PR!$BI813,IF(F815="THL",PR!$BJ813,IF(F815="UBASTIC",PR!$BK813,IF(F815="UNION",PR!$BL813,IF(F815="UNIQUE",PR!$BM813,IF(F815="VIXA",PR!$BN813,IF(F815="WWCV",PR!$BO813,IF(F815="ZOLON",PR!$BP813,"-"))))))))))))))))))))))))))))))))))))))))))))))))))))))))))))))))</f>
        <v>4375</v>
      </c>
      <c r="F815" s="102" t="str">
        <f>EV!L1038</f>
        <v>UBASTIC</v>
      </c>
      <c r="G815" s="108">
        <f>IF(H815="ALPHA",PR!$E813,IF(H815="ASSENE",PR!$F813,IF(H815="BIOFEM",PR!$G813,IF(H815="BIOMED",PR!$H813,IF(H815="CHI",PR!$I813,IF(H815="CLARION",PR!$J813,IF(H815="CODIX",PR!$K813,IF(H815="COSMADE",PR!$L813,IF(H815="SANCON",PR!$M813,IF(H815="DEVON",PR!$N813,IF(H815="DORTEMAG",PR!$O813,IF(H815="DGF",PR!$P813,IF(H815="DYNAMIC",PR!$Q813,IF(H815="EMZOR",PR!$R813,IF(H815="EUMATT",PR!$S813,IF(H815="FIDSON",PR!$T813,IF(H815="FCGLOBAL",PR!$U813,IF(H815="GENEITH",PR!$V813,IF(H815="GINOS",PR!$W813,IF(H815="GSK",PR!$X813,IF(H815="GLOBORG",PR!$Y813,IF(H815="GOODNEWS",PR!$Z813,IF(H815="GREENLIFE",PR!$AA813,IF(H815="HLINE",PR!$AB813,IF(H815="ROTECH",PR!$AC813,IF(H815="ISN",PR!$AD813,IF(H815="JAWA",PR!$AE813,IF(H815="LAYO",PR!$AF813,IF(H815="LEADWAY",PR!$AG813,IF(H815="LHV",PR!$AH813,IF(H815="MANOLA",PR!$AI813,IF(H815="MARCSON",PR!$AJ813,IF(H815="M&amp;B",PR!$AK813,IF(H815="MTRUST",PR!$AL813,IF(H815="MWORLD",PR!$AM813,IF(H815="MEGA",PR!$AN813,IF(H815="MICRONOVA",PR!$AO813,IF(H815="MFLASH",PR!$AP813,IF(H815="MORISON",PR!$AQ813,IF(H815="NEMEL",PR!$AR813,IF(H815="NHP",PR!$AS813,IF(H815="NHC",PR!$AT813,IF(H815="OLEAF",PR!$AU813,IF(H815="OCULUS",PR!$AV813,IF(H815="PACIFIC",PR!$AW813,IF(H815="PHAMATEX",PR!$AX813,IF(H815="PETHICS",PR!$AY813,IF(H815="PHILIPS",PR!$AZ813,IF(H815="RANBAXY",PR!$BA813,IF(H815="REALS",PR!$BB813,IF(H815="ROYAL",PR!$BC813,IF(H815="SAM",PR!$BD813,IF(H815="SEAGREEN",PR!$BE813,IF(H815="SKG",PR!$BF813,IF(H815="TAH",PR!$BG813,IF(H815="TAYLEK",PR!$BH813,IF(H815="TEMITA",PR!$BI813,IF(H815="THL",PR!$BJ813,IF(H815="UBASTIC",PR!$BK813,IF(H815="UNION",PR!$BL813,IF(H815="UNIQUE",PR!$BM813,IF(H815="VIXA",PR!$BN813,IF(H815="WWCV",PR!$BO813,IF(H815="ZOLON",PR!$BP813,"-"))))))))))))))))))))))))))))))))))))))))))))))))))))))))))))))))</f>
        <v>5500</v>
      </c>
      <c r="H815" s="102" t="str">
        <f>EV!M1038</f>
        <v>GINOS</v>
      </c>
      <c r="I815" s="108">
        <f>IF(J815="ALPHA",PR!$E813,IF(J815="ASSENE",PR!$F813,IF(J815="BIOFEM",PR!$G813,IF(J815="BIOMED",PR!$H813,IF(J815="CHI",PR!$I813,IF(J815="CLARION",PR!$J813,IF(J815="CODIX",PR!$K813,IF(J815="COSMADE",PR!$L813,IF(J815="SANCON",PR!$M813,IF(J815="DEVON",PR!$N813,IF(J815="DORTEMAG",PR!$O813,IF(J815="DGF",PR!$P813,IF(J815="DYNAMIC",PR!$Q813,IF(J815="EMZOR",PR!$R813,IF(J815="EUMATT",PR!$S813,IF(J815="FIDSON",PR!$T813,IF(J815="FCGLOBAL",PR!$U813,IF(J815="GENEITH",PR!$V813,IF(J815="GINOS",PR!$W813,IF(J815="GSK",PR!$X813,IF(J815="GLOBORG",PR!$Y813,IF(J815="GOODNEWS",PR!$Z813,IF(J815="GREENLIFE",PR!$AA813,IF(J815="HLINE",PR!$AB813,IF(J815="ROTECH",PR!$AC813,IF(J815="ISN",PR!$AD813,IF(J815="JAWA",PR!$AE813,IF(J815="LAYO",PR!$AF813,IF(J815="LEADWAY",PR!$AG813,IF(J815="LHV",PR!$AH813,IF(J815="MANOLA",PR!$AI813,IF(J815="MARCSON",PR!$AJ813,IF(J815="M&amp;B",PR!$AK813,IF(J815="MTRUST",PR!$AL813,IF(J815="MWORLD",PR!$AM813,IF(J815="MEGA",PR!$AN813,IF(J815="MICRONOVA",PR!$AO813,IF(J815="MFLASH",PR!$AP813,IF(J815="MORISON",PR!$AQ813,IF(J815="NEMEL",PR!$AR813,IF(J815="NHP",PR!$AS813,IF(J815="NHC",PR!$AT813,IF(J815="OLEAF",PR!$AU813,IF(J815="OCULUS",PR!$AV813,IF(J815="PACIFIC",PR!$AW813,IF(J815="PHAMATEX",PR!$AX813,IF(J815="PETHICS",PR!$AY813,IF(J815="PHILIPS",PR!$AZ813,IF(J815="RANBAXY",PR!$BA813,IF(J815="REALS",PR!$BB813,IF(J815="ROYAL",PR!$BC813,IF(J815="SAM",PR!$BD813,IF(J815="SEAGREEN",PR!$BE813,IF(J815="SKG",PR!$BF813,IF(J815="TAH",PR!$BG813,IF(J815="TAYLEK",PR!$BH813,IF(J815="TEMITA",PR!$BI813,IF(J815="THL",PR!$BJ813,IF(J815="UBASTIC",PR!$BK813,IF(J815="UNION",PR!$BL813,IF(J815="UNIQUE",PR!$BM813,IF(J815="VIXA",PR!$BN813,IF(J815="WWCV",PR!$BO813,IF(J815="ZOLON",PR!$BP813,"-"))))))))))))))))))))))))))))))))))))))))))))))))))))))))))))))))</f>
        <v>8500</v>
      </c>
      <c r="J815" s="102" t="str">
        <f>EV!N1038</f>
        <v>DYNAMIC</v>
      </c>
      <c r="K815" s="433" t="s">
        <v>1457</v>
      </c>
      <c r="L815" s="183">
        <f>IF(K815&gt;0,IF(K815="ALPHA",PR!$E813,IF(K815="ASSENE",PR!$F813,IF(K815="BIOFEM",PR!$G813,IF(K815="BIOMED",PR!$H813,IF(K815="CHI",PR!$I813,IF(K815="CLARION",PR!$J813,IF(K815="CODIX",PR!$K813,IF(K815="COSMADE",PR!$L813,IF(K815="SANCON",PR!$M813,IF(K815="DEVON",PR!$N813,IF(K815="DORTEMAG",PR!$O813,IF(K815="DGF",PR!$P813,IF(K815="DYNAMIC",PR!$Q813,IF(K815="EMZOR",PR!$R813,IF(K815="EUMATT",PR!$S813,IF(K815="FIDSON",PR!$T813,IF(K815="FCGLOBAL",PR!$U813,IF(K815="GENEITH",PR!$V813,IF(K815="GINOS",PR!$W813,IF(K815="GSK",PR!$X813,IF(K815="GLOBORG",PR!$Y813,IF(K815="GOODNEWS",PR!$Z813,IF(K815="GREENLIFE",PR!$AA813,IF(K815="HLINE",PR!$AB813,IF(K815="ROTECH",PR!$AC813,IF(K815="ISN",PR!$AD813,IF(K815="JAWA",PR!$AE813,IF(K815="LAYO",PR!$AF813,IF(K815="LEADWAY",PR!$AG813,IF(K815="LHV",PR!$AH813,IF(K815="MANOLA",PR!$AI813,IF(K815="MARCSON",PR!$AJ813,IF(K815="M&amp;B",PR!$AK813,IF(K815="MTRUST",PR!$AL813,IF(K815="MWORLD",PR!$AM813,IF(K815="MEGA",PR!$AN813,IF(K815="MICRONOVA",PR!$AO813,IF(K815="MFLASH",PR!$AP813,IF(K815="MORISON",PR!$AQ813,IF(K815="NEMEL",PR!$AR813,IF(K815="NHP",PR!$AS813,IF(K815="NHC",PR!$AT813,IF(K815="OLEAF",PR!$AU813,IF(K815="OCULUS",PR!$AV813,IF(K815="PACIFIC",PR!$AW813,IF(K815="PHAMATEX",PR!$AX813,IF(K815="PETHICS",PR!$AY813,IF(K815="PHILIPS",PR!$AZ813,IF(K815="RANBAXY",PR!$BA813,IF(K815="REALS",PR!$BB813,IF(K815="ROYAL",PR!$BC813,IF(K815="SAM",PR!$BD813,IF(K815="SEAGREEN",PR!$BE813,IF(K815="SKG",PR!$BF813,IF(K815="TAH",PR!$BG813,IF(K815="TAYLEK",PR!$BH813,IF(K815="TEMITA",PR!$BI813,IF(K815="THL",PR!$BJ813,IF(K815="UBASTIC",PR!$BK813,IF(K815="UNION",PR!$BL813,IF(K815="UNIQUE",PR!$BM813,IF(K815="VIXA",PR!$BN813,IF(K815="WWCV",PR!$BO813,IF(K815="ZOLON",PR!$BP813,"-")))))))))))))))))))))))))))))))))))))))))))))))))))))))))))))))))</f>
        <v>9562.75</v>
      </c>
    </row>
    <row r="816" spans="1:12" ht="18.75" x14ac:dyDescent="0.3">
      <c r="A816" s="430">
        <f>PR!A814</f>
        <v>730</v>
      </c>
      <c r="B816" s="15" t="str">
        <f>PR!B814</f>
        <v>NYLON 4/0 CUTTING 1/2 CIRCLE</v>
      </c>
      <c r="C816" s="113">
        <f>PR!D814</f>
        <v>12</v>
      </c>
      <c r="D816" s="113">
        <f>PR!C814</f>
        <v>14</v>
      </c>
      <c r="E816" s="108">
        <f>IF(F816="ALPHA",PR!$E814,IF(F816="ASSENE",PR!$F814,IF(F816="BIOFEM",PR!$G814,IF(F816="BIOMED",PR!$H814,IF(F816="CHI",PR!$I814,IF(F816="CLARION",PR!$J814,IF(F816="CODIX",PR!$K814,IF(F816="COSMADE",PR!$L814,IF(F816="SANCON",PR!$M814,IF(F816="DEVON",PR!$N814,IF(F816="DORTEMAG",PR!$O814,IF(F816="DGF",PR!$P814,IF(F816="DYNAMIC",PR!$Q814,IF(F816="EMZOR",PR!$R814,IF(F816="EUMATT",PR!$S814,IF(F816="FIDSON",PR!$T814,IF(F816="FCGLOBAL",PR!$U814,IF(F816="GENEITH",PR!$V814,IF(F816="GINOS",PR!$W814,IF(F816="GSK",PR!$X814,IF(F816="GLOBORG",PR!$Y814,IF(F816="GOODNEWS",PR!$Z814,IF(F816="GREENLIFE",PR!$AA814,IF(F816="HLINE",PR!$AB814,IF(F816="ROTECH",PR!$AC814,IF(F816="ISN",PR!$AD814,IF(F816="JAWA",PR!$AE814,IF(F816="LAYO",PR!$AF814,IF(F816="LEADWAY",PR!$AG814,IF(F816="LHV",PR!$AH814,IF(F816="MANOLA",PR!$AI814,IF(F816="MARCSON",PR!$AJ814,IF(F816="M&amp;B",PR!$AK814,IF(F816="MTRUST",PR!$AL814,IF(F816="MWORLD",PR!$AM814,IF(F816="MEGA",PR!$AN814,IF(F816="MICRONOVA",PR!$AO814,IF(F816="MFLASH",PR!$AP814,IF(F816="MORISON",PR!$AQ814,IF(F816="NEMEL",PR!$AR814,IF(F816="NHP",PR!$AS814,IF(F816="NHC",PR!$AT814,IF(F816="OLEAF",PR!$AU814,IF(F816="OCULUS",PR!$AV814,IF(F816="PACIFIC",PR!$AW814,IF(F816="PHAMATEX",PR!$AX814,IF(F816="PETHICS",PR!$AY814,IF(F816="PHILIPS",PR!$AZ814,IF(F816="RANBAXY",PR!$BA814,IF(F816="REALS",PR!$BB814,IF(F816="ROYAL",PR!$BC814,IF(F816="SAM",PR!$BD814,IF(F816="SEAGREEN",PR!$BE814,IF(F816="SKG",PR!$BF814,IF(F816="TAH",PR!$BG814,IF(F816="TAYLEK",PR!$BH814,IF(F816="TEMITA",PR!$BI814,IF(F816="THL",PR!$BJ814,IF(F816="UBASTIC",PR!$BK814,IF(F816="UNION",PR!$BL814,IF(F816="UNIQUE",PR!$BM814,IF(F816="VIXA",PR!$BN814,IF(F816="WWCV",PR!$BO814,IF(F816="ZOLON",PR!$BP814,"-"))))))))))))))))))))))))))))))))))))))))))))))))))))))))))))))))</f>
        <v>5500</v>
      </c>
      <c r="F816" s="102" t="str">
        <f>EV!L1039</f>
        <v>GINOS</v>
      </c>
      <c r="G816" s="108">
        <f>IF(H816="ALPHA",PR!$E814,IF(H816="ASSENE",PR!$F814,IF(H816="BIOFEM",PR!$G814,IF(H816="BIOMED",PR!$H814,IF(H816="CHI",PR!$I814,IF(H816="CLARION",PR!$J814,IF(H816="CODIX",PR!$K814,IF(H816="COSMADE",PR!$L814,IF(H816="SANCON",PR!$M814,IF(H816="DEVON",PR!$N814,IF(H816="DORTEMAG",PR!$O814,IF(H816="DGF",PR!$P814,IF(H816="DYNAMIC",PR!$Q814,IF(H816="EMZOR",PR!$R814,IF(H816="EUMATT",PR!$S814,IF(H816="FIDSON",PR!$T814,IF(H816="FCGLOBAL",PR!$U814,IF(H816="GENEITH",PR!$V814,IF(H816="GINOS",PR!$W814,IF(H816="GSK",PR!$X814,IF(H816="GLOBORG",PR!$Y814,IF(H816="GOODNEWS",PR!$Z814,IF(H816="GREENLIFE",PR!$AA814,IF(H816="HLINE",PR!$AB814,IF(H816="ROTECH",PR!$AC814,IF(H816="ISN",PR!$AD814,IF(H816="JAWA",PR!$AE814,IF(H816="LAYO",PR!$AF814,IF(H816="LEADWAY",PR!$AG814,IF(H816="LHV",PR!$AH814,IF(H816="MANOLA",PR!$AI814,IF(H816="MARCSON",PR!$AJ814,IF(H816="M&amp;B",PR!$AK814,IF(H816="MTRUST",PR!$AL814,IF(H816="MWORLD",PR!$AM814,IF(H816="MEGA",PR!$AN814,IF(H816="MICRONOVA",PR!$AO814,IF(H816="MFLASH",PR!$AP814,IF(H816="MORISON",PR!$AQ814,IF(H816="NEMEL",PR!$AR814,IF(H816="NHP",PR!$AS814,IF(H816="NHC",PR!$AT814,IF(H816="OLEAF",PR!$AU814,IF(H816="OCULUS",PR!$AV814,IF(H816="PACIFIC",PR!$AW814,IF(H816="PHAMATEX",PR!$AX814,IF(H816="PETHICS",PR!$AY814,IF(H816="PHILIPS",PR!$AZ814,IF(H816="RANBAXY",PR!$BA814,IF(H816="REALS",PR!$BB814,IF(H816="ROYAL",PR!$BC814,IF(H816="SAM",PR!$BD814,IF(H816="SEAGREEN",PR!$BE814,IF(H816="SKG",PR!$BF814,IF(H816="TAH",PR!$BG814,IF(H816="TAYLEK",PR!$BH814,IF(H816="TEMITA",PR!$BI814,IF(H816="THL",PR!$BJ814,IF(H816="UBASTIC",PR!$BK814,IF(H816="UNION",PR!$BL814,IF(H816="UNIQUE",PR!$BM814,IF(H816="VIXA",PR!$BN814,IF(H816="WWCV",PR!$BO814,IF(H816="ZOLON",PR!$BP814,"-"))))))))))))))))))))))))))))))))))))))))))))))))))))))))))))))))</f>
        <v>7500</v>
      </c>
      <c r="H816" s="102" t="str">
        <f>EV!M1039</f>
        <v>UBASTIC</v>
      </c>
      <c r="I816" s="108">
        <f>IF(J816="ALPHA",PR!$E814,IF(J816="ASSENE",PR!$F814,IF(J816="BIOFEM",PR!$G814,IF(J816="BIOMED",PR!$H814,IF(J816="CHI",PR!$I814,IF(J816="CLARION",PR!$J814,IF(J816="CODIX",PR!$K814,IF(J816="COSMADE",PR!$L814,IF(J816="SANCON",PR!$M814,IF(J816="DEVON",PR!$N814,IF(J816="DORTEMAG",PR!$O814,IF(J816="DGF",PR!$P814,IF(J816="DYNAMIC",PR!$Q814,IF(J816="EMZOR",PR!$R814,IF(J816="EUMATT",PR!$S814,IF(J816="FIDSON",PR!$T814,IF(J816="FCGLOBAL",PR!$U814,IF(J816="GENEITH",PR!$V814,IF(J816="GINOS",PR!$W814,IF(J816="GSK",PR!$X814,IF(J816="GLOBORG",PR!$Y814,IF(J816="GOODNEWS",PR!$Z814,IF(J816="GREENLIFE",PR!$AA814,IF(J816="HLINE",PR!$AB814,IF(J816="ROTECH",PR!$AC814,IF(J816="ISN",PR!$AD814,IF(J816="JAWA",PR!$AE814,IF(J816="LAYO",PR!$AF814,IF(J816="LEADWAY",PR!$AG814,IF(J816="LHV",PR!$AH814,IF(J816="MANOLA",PR!$AI814,IF(J816="MARCSON",PR!$AJ814,IF(J816="M&amp;B",PR!$AK814,IF(J816="MTRUST",PR!$AL814,IF(J816="MWORLD",PR!$AM814,IF(J816="MEGA",PR!$AN814,IF(J816="MICRONOVA",PR!$AO814,IF(J816="MFLASH",PR!$AP814,IF(J816="MORISON",PR!$AQ814,IF(J816="NEMEL",PR!$AR814,IF(J816="NHP",PR!$AS814,IF(J816="NHC",PR!$AT814,IF(J816="OLEAF",PR!$AU814,IF(J816="OCULUS",PR!$AV814,IF(J816="PACIFIC",PR!$AW814,IF(J816="PHAMATEX",PR!$AX814,IF(J816="PETHICS",PR!$AY814,IF(J816="PHILIPS",PR!$AZ814,IF(J816="RANBAXY",PR!$BA814,IF(J816="REALS",PR!$BB814,IF(J816="ROYAL",PR!$BC814,IF(J816="SAM",PR!$BD814,IF(J816="SEAGREEN",PR!$BE814,IF(J816="SKG",PR!$BF814,IF(J816="TAH",PR!$BG814,IF(J816="TAYLEK",PR!$BH814,IF(J816="TEMITA",PR!$BI814,IF(J816="THL",PR!$BJ814,IF(J816="UBASTIC",PR!$BK814,IF(J816="UNION",PR!$BL814,IF(J816="UNIQUE",PR!$BM814,IF(J816="VIXA",PR!$BN814,IF(J816="WWCV",PR!$BO814,IF(J816="ZOLON",PR!$BP814,"-"))))))))))))))))))))))))))))))))))))))))))))))))))))))))))))))))</f>
        <v>8500</v>
      </c>
      <c r="J816" s="102" t="str">
        <f>EV!N1039</f>
        <v>DYNAMIC</v>
      </c>
      <c r="K816" s="433" t="s">
        <v>1457</v>
      </c>
      <c r="L816" s="183">
        <f>IF(K816&gt;0,IF(K816="ALPHA",PR!$E814,IF(K816="ASSENE",PR!$F814,IF(K816="BIOFEM",PR!$G814,IF(K816="BIOMED",PR!$H814,IF(K816="CHI",PR!$I814,IF(K816="CLARION",PR!$J814,IF(K816="CODIX",PR!$K814,IF(K816="COSMADE",PR!$L814,IF(K816="SANCON",PR!$M814,IF(K816="DEVON",PR!$N814,IF(K816="DORTEMAG",PR!$O814,IF(K816="DGF",PR!$P814,IF(K816="DYNAMIC",PR!$Q814,IF(K816="EMZOR",PR!$R814,IF(K816="EUMATT",PR!$S814,IF(K816="FIDSON",PR!$T814,IF(K816="FCGLOBAL",PR!$U814,IF(K816="GENEITH",PR!$V814,IF(K816="GINOS",PR!$W814,IF(K816="GSK",PR!$X814,IF(K816="GLOBORG",PR!$Y814,IF(K816="GOODNEWS",PR!$Z814,IF(K816="GREENLIFE",PR!$AA814,IF(K816="HLINE",PR!$AB814,IF(K816="ROTECH",PR!$AC814,IF(K816="ISN",PR!$AD814,IF(K816="JAWA",PR!$AE814,IF(K816="LAYO",PR!$AF814,IF(K816="LEADWAY",PR!$AG814,IF(K816="LHV",PR!$AH814,IF(K816="MANOLA",PR!$AI814,IF(K816="MARCSON",PR!$AJ814,IF(K816="M&amp;B",PR!$AK814,IF(K816="MTRUST",PR!$AL814,IF(K816="MWORLD",PR!$AM814,IF(K816="MEGA",PR!$AN814,IF(K816="MICRONOVA",PR!$AO814,IF(K816="MFLASH",PR!$AP814,IF(K816="MORISON",PR!$AQ814,IF(K816="NEMEL",PR!$AR814,IF(K816="NHP",PR!$AS814,IF(K816="NHC",PR!$AT814,IF(K816="OLEAF",PR!$AU814,IF(K816="OCULUS",PR!$AV814,IF(K816="PACIFIC",PR!$AW814,IF(K816="PHAMATEX",PR!$AX814,IF(K816="PETHICS",PR!$AY814,IF(K816="PHILIPS",PR!$AZ814,IF(K816="RANBAXY",PR!$BA814,IF(K816="REALS",PR!$BB814,IF(K816="ROYAL",PR!$BC814,IF(K816="SAM",PR!$BD814,IF(K816="SEAGREEN",PR!$BE814,IF(K816="SKG",PR!$BF814,IF(K816="TAH",PR!$BG814,IF(K816="TAYLEK",PR!$BH814,IF(K816="TEMITA",PR!$BI814,IF(K816="THL",PR!$BJ814,IF(K816="UBASTIC",PR!$BK814,IF(K816="UNION",PR!$BL814,IF(K816="UNIQUE",PR!$BM814,IF(K816="VIXA",PR!$BN814,IF(K816="WWCV",PR!$BO814,IF(K816="ZOLON",PR!$BP814,"-")))))))))))))))))))))))))))))))))))))))))))))))))))))))))))))))))</f>
        <v>8966.7999999999993</v>
      </c>
    </row>
    <row r="817" spans="1:12" ht="18.75" x14ac:dyDescent="0.3">
      <c r="A817" s="430">
        <f>PR!A815</f>
        <v>731</v>
      </c>
      <c r="B817" s="15" t="str">
        <f>PR!B815</f>
        <v>NYLON 9/0 ROUND  BODY 1/2 CIRCLE (AURO LAB.)</v>
      </c>
      <c r="C817" s="113">
        <f>PR!D815</f>
        <v>12</v>
      </c>
      <c r="D817" s="113">
        <f>PR!C815</f>
        <v>18</v>
      </c>
      <c r="E817" s="108">
        <f>IF(F817="ALPHA",PR!$E815,IF(F817="ASSENE",PR!$F815,IF(F817="BIOFEM",PR!$G815,IF(F817="BIOMED",PR!$H815,IF(F817="CHI",PR!$I815,IF(F817="CLARION",PR!$J815,IF(F817="CODIX",PR!$K815,IF(F817="COSMADE",PR!$L815,IF(F817="SANCON",PR!$M815,IF(F817="DEVON",PR!$N815,IF(F817="DORTEMAG",PR!$O815,IF(F817="DGF",PR!$P815,IF(F817="DYNAMIC",PR!$Q815,IF(F817="EMZOR",PR!$R815,IF(F817="EUMATT",PR!$S815,IF(F817="FIDSON",PR!$T815,IF(F817="FCGLOBAL",PR!$U815,IF(F817="GENEITH",PR!$V815,IF(F817="GINOS",PR!$W815,IF(F817="GSK",PR!$X815,IF(F817="GLOBORG",PR!$Y815,IF(F817="GOODNEWS",PR!$Z815,IF(F817="GREENLIFE",PR!$AA815,IF(F817="HLINE",PR!$AB815,IF(F817="ROTECH",PR!$AC815,IF(F817="ISN",PR!$AD815,IF(F817="JAWA",PR!$AE815,IF(F817="LAYO",PR!$AF815,IF(F817="LEADWAY",PR!$AG815,IF(F817="LHV",PR!$AH815,IF(F817="MANOLA",PR!$AI815,IF(F817="MARCSON",PR!$AJ815,IF(F817="M&amp;B",PR!$AK815,IF(F817="MTRUST",PR!$AL815,IF(F817="MWORLD",PR!$AM815,IF(F817="MEGA",PR!$AN815,IF(F817="MICRONOVA",PR!$AO815,IF(F817="MFLASH",PR!$AP815,IF(F817="MORISON",PR!$AQ815,IF(F817="NEMEL",PR!$AR815,IF(F817="NHP",PR!$AS815,IF(F817="NHC",PR!$AT815,IF(F817="OLEAF",PR!$AU815,IF(F817="OCULUS",PR!$AV815,IF(F817="PACIFIC",PR!$AW815,IF(F817="PHAMATEX",PR!$AX815,IF(F817="PETHICS",PR!$AY815,IF(F817="PHILIPS",PR!$AZ815,IF(F817="RANBAXY",PR!$BA815,IF(F817="REALS",PR!$BB815,IF(F817="ROYAL",PR!$BC815,IF(F817="SAM",PR!$BD815,IF(F817="SEAGREEN",PR!$BE815,IF(F817="SKG",PR!$BF815,IF(F817="TAH",PR!$BG815,IF(F817="TAYLEK",PR!$BH815,IF(F817="TEMITA",PR!$BI815,IF(F817="THL",PR!$BJ815,IF(F817="UBASTIC",PR!$BK815,IF(F817="UNION",PR!$BL815,IF(F817="UNIQUE",PR!$BM815,IF(F817="VIXA",PR!$BN815,IF(F817="WWCV",PR!$BO815,IF(F817="ZOLON",PR!$BP815,"-"))))))))))))))))))))))))))))))))))))))))))))))))))))))))))))))))</f>
        <v>20000</v>
      </c>
      <c r="F817" s="102" t="str">
        <f>EV!L1040</f>
        <v>UBASTIC</v>
      </c>
      <c r="G817" s="108">
        <f>IF(H817="ALPHA",PR!$E815,IF(H817="ASSENE",PR!$F815,IF(H817="BIOFEM",PR!$G815,IF(H817="BIOMED",PR!$H815,IF(H817="CHI",PR!$I815,IF(H817="CLARION",PR!$J815,IF(H817="CODIX",PR!$K815,IF(H817="COSMADE",PR!$L815,IF(H817="SANCON",PR!$M815,IF(H817="DEVON",PR!$N815,IF(H817="DORTEMAG",PR!$O815,IF(H817="DGF",PR!$P815,IF(H817="DYNAMIC",PR!$Q815,IF(H817="EMZOR",PR!$R815,IF(H817="EUMATT",PR!$S815,IF(H817="FIDSON",PR!$T815,IF(H817="FCGLOBAL",PR!$U815,IF(H817="GENEITH",PR!$V815,IF(H817="GINOS",PR!$W815,IF(H817="GSK",PR!$X815,IF(H817="GLOBORG",PR!$Y815,IF(H817="GOODNEWS",PR!$Z815,IF(H817="GREENLIFE",PR!$AA815,IF(H817="HLINE",PR!$AB815,IF(H817="ROTECH",PR!$AC815,IF(H817="ISN",PR!$AD815,IF(H817="JAWA",PR!$AE815,IF(H817="LAYO",PR!$AF815,IF(H817="LEADWAY",PR!$AG815,IF(H817="LHV",PR!$AH815,IF(H817="MANOLA",PR!$AI815,IF(H817="MARCSON",PR!$AJ815,IF(H817="M&amp;B",PR!$AK815,IF(H817="MTRUST",PR!$AL815,IF(H817="MWORLD",PR!$AM815,IF(H817="MEGA",PR!$AN815,IF(H817="MICRONOVA",PR!$AO815,IF(H817="MFLASH",PR!$AP815,IF(H817="MORISON",PR!$AQ815,IF(H817="NEMEL",PR!$AR815,IF(H817="NHP",PR!$AS815,IF(H817="NHC",PR!$AT815,IF(H817="OLEAF",PR!$AU815,IF(H817="OCULUS",PR!$AV815,IF(H817="PACIFIC",PR!$AW815,IF(H817="PHAMATEX",PR!$AX815,IF(H817="PETHICS",PR!$AY815,IF(H817="PHILIPS",PR!$AZ815,IF(H817="RANBAXY",PR!$BA815,IF(H817="REALS",PR!$BB815,IF(H817="ROYAL",PR!$BC815,IF(H817="SAM",PR!$BD815,IF(H817="SEAGREEN",PR!$BE815,IF(H817="SKG",PR!$BF815,IF(H817="TAH",PR!$BG815,IF(H817="TAYLEK",PR!$BH815,IF(H817="TEMITA",PR!$BI815,IF(H817="THL",PR!$BJ815,IF(H817="UBASTIC",PR!$BK815,IF(H817="UNION",PR!$BL815,IF(H817="UNIQUE",PR!$BM815,IF(H817="VIXA",PR!$BN815,IF(H817="WWCV",PR!$BO815,IF(H817="ZOLON",PR!$BP815,"-"))))))))))))))))))))))))))))))))))))))))))))))))))))))))))))))))</f>
        <v>22000</v>
      </c>
      <c r="H817" s="102" t="str">
        <f>EV!M1040</f>
        <v>GINOS</v>
      </c>
      <c r="I817" s="108">
        <f>IF(J817="ALPHA",PR!$E815,IF(J817="ASSENE",PR!$F815,IF(J817="BIOFEM",PR!$G815,IF(J817="BIOMED",PR!$H815,IF(J817="CHI",PR!$I815,IF(J817="CLARION",PR!$J815,IF(J817="CODIX",PR!$K815,IF(J817="COSMADE",PR!$L815,IF(J817="SANCON",PR!$M815,IF(J817="DEVON",PR!$N815,IF(J817="DORTEMAG",PR!$O815,IF(J817="DGF",PR!$P815,IF(J817="DYNAMIC",PR!$Q815,IF(J817="EMZOR",PR!$R815,IF(J817="EUMATT",PR!$S815,IF(J817="FIDSON",PR!$T815,IF(J817="FCGLOBAL",PR!$U815,IF(J817="GENEITH",PR!$V815,IF(J817="GINOS",PR!$W815,IF(J817="GSK",PR!$X815,IF(J817="GLOBORG",PR!$Y815,IF(J817="GOODNEWS",PR!$Z815,IF(J817="GREENLIFE",PR!$AA815,IF(J817="HLINE",PR!$AB815,IF(J817="ROTECH",PR!$AC815,IF(J817="ISN",PR!$AD815,IF(J817="JAWA",PR!$AE815,IF(J817="LAYO",PR!$AF815,IF(J817="LEADWAY",PR!$AG815,IF(J817="LHV",PR!$AH815,IF(J817="MANOLA",PR!$AI815,IF(J817="MARCSON",PR!$AJ815,IF(J817="M&amp;B",PR!$AK815,IF(J817="MTRUST",PR!$AL815,IF(J817="MWORLD",PR!$AM815,IF(J817="MEGA",PR!$AN815,IF(J817="MICRONOVA",PR!$AO815,IF(J817="MFLASH",PR!$AP815,IF(J817="MORISON",PR!$AQ815,IF(J817="NEMEL",PR!$AR815,IF(J817="NHP",PR!$AS815,IF(J817="NHC",PR!$AT815,IF(J817="OLEAF",PR!$AU815,IF(J817="OCULUS",PR!$AV815,IF(J817="PACIFIC",PR!$AW815,IF(J817="PHAMATEX",PR!$AX815,IF(J817="PETHICS",PR!$AY815,IF(J817="PHILIPS",PR!$AZ815,IF(J817="RANBAXY",PR!$BA815,IF(J817="REALS",PR!$BB815,IF(J817="ROYAL",PR!$BC815,IF(J817="SAM",PR!$BD815,IF(J817="SEAGREEN",PR!$BE815,IF(J817="SKG",PR!$BF815,IF(J817="TAH",PR!$BG815,IF(J817="TAYLEK",PR!$BH815,IF(J817="TEMITA",PR!$BI815,IF(J817="THL",PR!$BJ815,IF(J817="UBASTIC",PR!$BK815,IF(J817="UNION",PR!$BL815,IF(J817="UNIQUE",PR!$BM815,IF(J817="VIXA",PR!$BN815,IF(J817="WWCV",PR!$BO815,IF(J817="ZOLON",PR!$BP815,"-"))))))))))))))))))))))))))))))))))))))))))))))))))))))))))))))))</f>
        <v>25000</v>
      </c>
      <c r="J817" s="102" t="str">
        <f>EV!N1040</f>
        <v>DYNAMIC</v>
      </c>
      <c r="K817" s="433" t="s">
        <v>1457</v>
      </c>
      <c r="L817" s="183">
        <f>IF(K817&gt;0,IF(K817="ALPHA",PR!$E815,IF(K817="ASSENE",PR!$F815,IF(K817="BIOFEM",PR!$G815,IF(K817="BIOMED",PR!$H815,IF(K817="CHI",PR!$I815,IF(K817="CLARION",PR!$J815,IF(K817="CODIX",PR!$K815,IF(K817="COSMADE",PR!$L815,IF(K817="SANCON",PR!$M815,IF(K817="DEVON",PR!$N815,IF(K817="DORTEMAG",PR!$O815,IF(K817="DGF",PR!$P815,IF(K817="DYNAMIC",PR!$Q815,IF(K817="EMZOR",PR!$R815,IF(K817="EUMATT",PR!$S815,IF(K817="FIDSON",PR!$T815,IF(K817="FCGLOBAL",PR!$U815,IF(K817="GENEITH",PR!$V815,IF(K817="GINOS",PR!$W815,IF(K817="GSK",PR!$X815,IF(K817="GLOBORG",PR!$Y815,IF(K817="GOODNEWS",PR!$Z815,IF(K817="GREENLIFE",PR!$AA815,IF(K817="HLINE",PR!$AB815,IF(K817="ROTECH",PR!$AC815,IF(K817="ISN",PR!$AD815,IF(K817="JAWA",PR!$AE815,IF(K817="LAYO",PR!$AF815,IF(K817="LEADWAY",PR!$AG815,IF(K817="LHV",PR!$AH815,IF(K817="MANOLA",PR!$AI815,IF(K817="MARCSON",PR!$AJ815,IF(K817="M&amp;B",PR!$AK815,IF(K817="MTRUST",PR!$AL815,IF(K817="MWORLD",PR!$AM815,IF(K817="MEGA",PR!$AN815,IF(K817="MICRONOVA",PR!$AO815,IF(K817="MFLASH",PR!$AP815,IF(K817="MORISON",PR!$AQ815,IF(K817="NEMEL",PR!$AR815,IF(K817="NHP",PR!$AS815,IF(K817="NHC",PR!$AT815,IF(K817="OLEAF",PR!$AU815,IF(K817="OCULUS",PR!$AV815,IF(K817="PACIFIC",PR!$AW815,IF(K817="PHAMATEX",PR!$AX815,IF(K817="PETHICS",PR!$AY815,IF(K817="PHILIPS",PR!$AZ815,IF(K817="RANBAXY",PR!$BA815,IF(K817="REALS",PR!$BB815,IF(K817="ROYAL",PR!$BC815,IF(K817="SAM",PR!$BD815,IF(K817="SEAGREEN",PR!$BE815,IF(K817="SKG",PR!$BF815,IF(K817="TAH",PR!$BG815,IF(K817="TAYLEK",PR!$BH815,IF(K817="TEMITA",PR!$BI815,IF(K817="THL",PR!$BJ815,IF(K817="UBASTIC",PR!$BK815,IF(K817="UNION",PR!$BL815,IF(K817="UNIQUE",PR!$BM815,IF(K817="VIXA",PR!$BN815,IF(K817="WWCV",PR!$BO815,IF(K817="ZOLON",PR!$BP815,"-")))))))))))))))))))))))))))))))))))))))))))))))))))))))))))))))))</f>
        <v>64654.05</v>
      </c>
    </row>
    <row r="818" spans="1:12" ht="18.75" x14ac:dyDescent="0.3">
      <c r="A818" s="430">
        <f>PR!A816</f>
        <v>732</v>
      </c>
      <c r="B818" s="15" t="str">
        <f>PR!B816</f>
        <v>VICRYL 0 CUTTING 1/2 CIRCLE (ETHICON)</v>
      </c>
      <c r="C818" s="113">
        <f>PR!D816</f>
        <v>12</v>
      </c>
      <c r="D818" s="113">
        <f>PR!C816</f>
        <v>12</v>
      </c>
      <c r="E818" s="108">
        <f>IF(F818="ALPHA",PR!$E816,IF(F818="ASSENE",PR!$F816,IF(F818="BIOFEM",PR!$G816,IF(F818="BIOMED",PR!$H816,IF(F818="CHI",PR!$I816,IF(F818="CLARION",PR!$J816,IF(F818="CODIX",PR!$K816,IF(F818="COSMADE",PR!$L816,IF(F818="SANCON",PR!$M816,IF(F818="DEVON",PR!$N816,IF(F818="DORTEMAG",PR!$O816,IF(F818="DGF",PR!$P816,IF(F818="DYNAMIC",PR!$Q816,IF(F818="EMZOR",PR!$R816,IF(F818="EUMATT",PR!$S816,IF(F818="FIDSON",PR!$T816,IF(F818="FCGLOBAL",PR!$U816,IF(F818="GENEITH",PR!$V816,IF(F818="GINOS",PR!$W816,IF(F818="GSK",PR!$X816,IF(F818="GLOBORG",PR!$Y816,IF(F818="GOODNEWS",PR!$Z816,IF(F818="GREENLIFE",PR!$AA816,IF(F818="HLINE",PR!$AB816,IF(F818="ROTECH",PR!$AC816,IF(F818="ISN",PR!$AD816,IF(F818="JAWA",PR!$AE816,IF(F818="LAYO",PR!$AF816,IF(F818="LEADWAY",PR!$AG816,IF(F818="LHV",PR!$AH816,IF(F818="MANOLA",PR!$AI816,IF(F818="MARCSON",PR!$AJ816,IF(F818="M&amp;B",PR!$AK816,IF(F818="MTRUST",PR!$AL816,IF(F818="MWORLD",PR!$AM816,IF(F818="MEGA",PR!$AN816,IF(F818="MICRONOVA",PR!$AO816,IF(F818="MFLASH",PR!$AP816,IF(F818="MORISON",PR!$AQ816,IF(F818="NEMEL",PR!$AR816,IF(F818="NHP",PR!$AS816,IF(F818="NHC",PR!$AT816,IF(F818="OLEAF",PR!$AU816,IF(F818="OCULUS",PR!$AV816,IF(F818="PACIFIC",PR!$AW816,IF(F818="PHAMATEX",PR!$AX816,IF(F818="PETHICS",PR!$AY816,IF(F818="PHILIPS",PR!$AZ816,IF(F818="RANBAXY",PR!$BA816,IF(F818="REALS",PR!$BB816,IF(F818="ROYAL",PR!$BC816,IF(F818="SAM",PR!$BD816,IF(F818="SEAGREEN",PR!$BE816,IF(F818="SKG",PR!$BF816,IF(F818="TAH",PR!$BG816,IF(F818="TAYLEK",PR!$BH816,IF(F818="TEMITA",PR!$BI816,IF(F818="THL",PR!$BJ816,IF(F818="UBASTIC",PR!$BK816,IF(F818="UNION",PR!$BL816,IF(F818="UNIQUE",PR!$BM816,IF(F818="VIXA",PR!$BN816,IF(F818="WWCV",PR!$BO816,IF(F818="ZOLON",PR!$BP816,"-"))))))))))))))))))))))))))))))))))))))))))))))))))))))))))))))))</f>
        <v>7500</v>
      </c>
      <c r="F818" s="102" t="str">
        <f>EV!L1041</f>
        <v>GINOS</v>
      </c>
      <c r="G818" s="108">
        <f>IF(H818="ALPHA",PR!$E816,IF(H818="ASSENE",PR!$F816,IF(H818="BIOFEM",PR!$G816,IF(H818="BIOMED",PR!$H816,IF(H818="CHI",PR!$I816,IF(H818="CLARION",PR!$J816,IF(H818="CODIX",PR!$K816,IF(H818="COSMADE",PR!$L816,IF(H818="SANCON",PR!$M816,IF(H818="DEVON",PR!$N816,IF(H818="DORTEMAG",PR!$O816,IF(H818="DGF",PR!$P816,IF(H818="DYNAMIC",PR!$Q816,IF(H818="EMZOR",PR!$R816,IF(H818="EUMATT",PR!$S816,IF(H818="FIDSON",PR!$T816,IF(H818="FCGLOBAL",PR!$U816,IF(H818="GENEITH",PR!$V816,IF(H818="GINOS",PR!$W816,IF(H818="GSK",PR!$X816,IF(H818="GLOBORG",PR!$Y816,IF(H818="GOODNEWS",PR!$Z816,IF(H818="GREENLIFE",PR!$AA816,IF(H818="HLINE",PR!$AB816,IF(H818="ROTECH",PR!$AC816,IF(H818="ISN",PR!$AD816,IF(H818="JAWA",PR!$AE816,IF(H818="LAYO",PR!$AF816,IF(H818="LEADWAY",PR!$AG816,IF(H818="LHV",PR!$AH816,IF(H818="MANOLA",PR!$AI816,IF(H818="MARCSON",PR!$AJ816,IF(H818="M&amp;B",PR!$AK816,IF(H818="MTRUST",PR!$AL816,IF(H818="MWORLD",PR!$AM816,IF(H818="MEGA",PR!$AN816,IF(H818="MICRONOVA",PR!$AO816,IF(H818="MFLASH",PR!$AP816,IF(H818="MORISON",PR!$AQ816,IF(H818="NEMEL",PR!$AR816,IF(H818="NHP",PR!$AS816,IF(H818="NHC",PR!$AT816,IF(H818="OLEAF",PR!$AU816,IF(H818="OCULUS",PR!$AV816,IF(H818="PACIFIC",PR!$AW816,IF(H818="PHAMATEX",PR!$AX816,IF(H818="PETHICS",PR!$AY816,IF(H818="PHILIPS",PR!$AZ816,IF(H818="RANBAXY",PR!$BA816,IF(H818="REALS",PR!$BB816,IF(H818="ROYAL",PR!$BC816,IF(H818="SAM",PR!$BD816,IF(H818="SEAGREEN",PR!$BE816,IF(H818="SKG",PR!$BF816,IF(H818="TAH",PR!$BG816,IF(H818="TAYLEK",PR!$BH816,IF(H818="TEMITA",PR!$BI816,IF(H818="THL",PR!$BJ816,IF(H818="UBASTIC",PR!$BK816,IF(H818="UNION",PR!$BL816,IF(H818="UNIQUE",PR!$BM816,IF(H818="VIXA",PR!$BN816,IF(H818="WWCV",PR!$BO816,IF(H818="ZOLON",PR!$BP816,"-"))))))))))))))))))))))))))))))))))))))))))))))))))))))))))))))))</f>
        <v>11000</v>
      </c>
      <c r="H818" s="102" t="str">
        <f>EV!M1041</f>
        <v>DYNAMIC</v>
      </c>
      <c r="I818" s="108">
        <f>IF(J818="ALPHA",PR!$E816,IF(J818="ASSENE",PR!$F816,IF(J818="BIOFEM",PR!$G816,IF(J818="BIOMED",PR!$H816,IF(J818="CHI",PR!$I816,IF(J818="CLARION",PR!$J816,IF(J818="CODIX",PR!$K816,IF(J818="COSMADE",PR!$L816,IF(J818="SANCON",PR!$M816,IF(J818="DEVON",PR!$N816,IF(J818="DORTEMAG",PR!$O816,IF(J818="DGF",PR!$P816,IF(J818="DYNAMIC",PR!$Q816,IF(J818="EMZOR",PR!$R816,IF(J818="EUMATT",PR!$S816,IF(J818="FIDSON",PR!$T816,IF(J818="FCGLOBAL",PR!$U816,IF(J818="GENEITH",PR!$V816,IF(J818="GINOS",PR!$W816,IF(J818="GSK",PR!$X816,IF(J818="GLOBORG",PR!$Y816,IF(J818="GOODNEWS",PR!$Z816,IF(J818="GREENLIFE",PR!$AA816,IF(J818="HLINE",PR!$AB816,IF(J818="ROTECH",PR!$AC816,IF(J818="ISN",PR!$AD816,IF(J818="JAWA",PR!$AE816,IF(J818="LAYO",PR!$AF816,IF(J818="LEADWAY",PR!$AG816,IF(J818="LHV",PR!$AH816,IF(J818="MANOLA",PR!$AI816,IF(J818="MARCSON",PR!$AJ816,IF(J818="M&amp;B",PR!$AK816,IF(J818="MTRUST",PR!$AL816,IF(J818="MWORLD",PR!$AM816,IF(J818="MEGA",PR!$AN816,IF(J818="MICRONOVA",PR!$AO816,IF(J818="MFLASH",PR!$AP816,IF(J818="MORISON",PR!$AQ816,IF(J818="NEMEL",PR!$AR816,IF(J818="NHP",PR!$AS816,IF(J818="NHC",PR!$AT816,IF(J818="OLEAF",PR!$AU816,IF(J818="OCULUS",PR!$AV816,IF(J818="PACIFIC",PR!$AW816,IF(J818="PHAMATEX",PR!$AX816,IF(J818="PETHICS",PR!$AY816,IF(J818="PHILIPS",PR!$AZ816,IF(J818="RANBAXY",PR!$BA816,IF(J818="REALS",PR!$BB816,IF(J818="ROYAL",PR!$BC816,IF(J818="SAM",PR!$BD816,IF(J818="SEAGREEN",PR!$BE816,IF(J818="SKG",PR!$BF816,IF(J818="TAH",PR!$BG816,IF(J818="TAYLEK",PR!$BH816,IF(J818="TEMITA",PR!$BI816,IF(J818="THL",PR!$BJ816,IF(J818="UBASTIC",PR!$BK816,IF(J818="UNION",PR!$BL816,IF(J818="UNIQUE",PR!$BM816,IF(J818="VIXA",PR!$BN816,IF(J818="WWCV",PR!$BO816,IF(J818="ZOLON",PR!$BP816,"-"))))))))))))))))))))))))))))))))))))))))))))))))))))))))))))))))</f>
        <v>14584.1</v>
      </c>
      <c r="J818" s="102" t="str">
        <f>EV!N1041</f>
        <v>PACIFIC</v>
      </c>
      <c r="K818" s="433" t="s">
        <v>1457</v>
      </c>
      <c r="L818" s="183">
        <f>IF(K818&gt;0,IF(K818="ALPHA",PR!$E816,IF(K818="ASSENE",PR!$F816,IF(K818="BIOFEM",PR!$G816,IF(K818="BIOMED",PR!$H816,IF(K818="CHI",PR!$I816,IF(K818="CLARION",PR!$J816,IF(K818="CODIX",PR!$K816,IF(K818="COSMADE",PR!$L816,IF(K818="SANCON",PR!$M816,IF(K818="DEVON",PR!$N816,IF(K818="DORTEMAG",PR!$O816,IF(K818="DGF",PR!$P816,IF(K818="DYNAMIC",PR!$Q816,IF(K818="EMZOR",PR!$R816,IF(K818="EUMATT",PR!$S816,IF(K818="FIDSON",PR!$T816,IF(K818="FCGLOBAL",PR!$U816,IF(K818="GENEITH",PR!$V816,IF(K818="GINOS",PR!$W816,IF(K818="GSK",PR!$X816,IF(K818="GLOBORG",PR!$Y816,IF(K818="GOODNEWS",PR!$Z816,IF(K818="GREENLIFE",PR!$AA816,IF(K818="HLINE",PR!$AB816,IF(K818="ROTECH",PR!$AC816,IF(K818="ISN",PR!$AD816,IF(K818="JAWA",PR!$AE816,IF(K818="LAYO",PR!$AF816,IF(K818="LEADWAY",PR!$AG816,IF(K818="LHV",PR!$AH816,IF(K818="MANOLA",PR!$AI816,IF(K818="MARCSON",PR!$AJ816,IF(K818="M&amp;B",PR!$AK816,IF(K818="MTRUST",PR!$AL816,IF(K818="MWORLD",PR!$AM816,IF(K818="MEGA",PR!$AN816,IF(K818="MICRONOVA",PR!$AO816,IF(K818="MFLASH",PR!$AP816,IF(K818="MORISON",PR!$AQ816,IF(K818="NEMEL",PR!$AR816,IF(K818="NHP",PR!$AS816,IF(K818="NHC",PR!$AT816,IF(K818="OLEAF",PR!$AU816,IF(K818="OCULUS",PR!$AV816,IF(K818="PACIFIC",PR!$AW816,IF(K818="PHAMATEX",PR!$AX816,IF(K818="PETHICS",PR!$AY816,IF(K818="PHILIPS",PR!$AZ816,IF(K818="RANBAXY",PR!$BA816,IF(K818="REALS",PR!$BB816,IF(K818="ROYAL",PR!$BC816,IF(K818="SAM",PR!$BD816,IF(K818="SEAGREEN",PR!$BE816,IF(K818="SKG",PR!$BF816,IF(K818="TAH",PR!$BG816,IF(K818="TAYLEK",PR!$BH816,IF(K818="TEMITA",PR!$BI816,IF(K818="THL",PR!$BJ816,IF(K818="UBASTIC",PR!$BK816,IF(K818="UNION",PR!$BL816,IF(K818="UNIQUE",PR!$BM816,IF(K818="VIXA",PR!$BN816,IF(K818="WWCV",PR!$BO816,IF(K818="ZOLON",PR!$BP816,"-")))))))))))))))))))))))))))))))))))))))))))))))))))))))))))))))))</f>
        <v>14584.1</v>
      </c>
    </row>
    <row r="819" spans="1:12" ht="18.75" x14ac:dyDescent="0.3">
      <c r="A819" s="430">
        <f>PR!A817</f>
        <v>733</v>
      </c>
      <c r="B819" s="15" t="str">
        <f>PR!B817</f>
        <v>VICRYL 0 R/BODY 1/2 CIRCLE (ETHICON)</v>
      </c>
      <c r="C819" s="113">
        <f>PR!D817</f>
        <v>12</v>
      </c>
      <c r="D819" s="113">
        <f>PR!C817</f>
        <v>120</v>
      </c>
      <c r="E819" s="108">
        <f>IF(F819="ALPHA",PR!$E817,IF(F819="ASSENE",PR!$F817,IF(F819="BIOFEM",PR!$G817,IF(F819="BIOMED",PR!$H817,IF(F819="CHI",PR!$I817,IF(F819="CLARION",PR!$J817,IF(F819="CODIX",PR!$K817,IF(F819="COSMADE",PR!$L817,IF(F819="SANCON",PR!$M817,IF(F819="DEVON",PR!$N817,IF(F819="DORTEMAG",PR!$O817,IF(F819="DGF",PR!$P817,IF(F819="DYNAMIC",PR!$Q817,IF(F819="EMZOR",PR!$R817,IF(F819="EUMATT",PR!$S817,IF(F819="FIDSON",PR!$T817,IF(F819="FCGLOBAL",PR!$U817,IF(F819="GENEITH",PR!$V817,IF(F819="GINOS",PR!$W817,IF(F819="GSK",PR!$X817,IF(F819="GLOBORG",PR!$Y817,IF(F819="GOODNEWS",PR!$Z817,IF(F819="GREENLIFE",PR!$AA817,IF(F819="HLINE",PR!$AB817,IF(F819="ROTECH",PR!$AC817,IF(F819="ISN",PR!$AD817,IF(F819="JAWA",PR!$AE817,IF(F819="LAYO",PR!$AF817,IF(F819="LEADWAY",PR!$AG817,IF(F819="LHV",PR!$AH817,IF(F819="MANOLA",PR!$AI817,IF(F819="MARCSON",PR!$AJ817,IF(F819="M&amp;B",PR!$AK817,IF(F819="MTRUST",PR!$AL817,IF(F819="MWORLD",PR!$AM817,IF(F819="MEGA",PR!$AN817,IF(F819="MICRONOVA",PR!$AO817,IF(F819="MFLASH",PR!$AP817,IF(F819="MORISON",PR!$AQ817,IF(F819="NEMEL",PR!$AR817,IF(F819="NHP",PR!$AS817,IF(F819="NHC",PR!$AT817,IF(F819="OLEAF",PR!$AU817,IF(F819="OCULUS",PR!$AV817,IF(F819="PACIFIC",PR!$AW817,IF(F819="PHAMATEX",PR!$AX817,IF(F819="PETHICS",PR!$AY817,IF(F819="PHILIPS",PR!$AZ817,IF(F819="RANBAXY",PR!$BA817,IF(F819="REALS",PR!$BB817,IF(F819="ROYAL",PR!$BC817,IF(F819="SAM",PR!$BD817,IF(F819="SEAGREEN",PR!$BE817,IF(F819="SKG",PR!$BF817,IF(F819="TAH",PR!$BG817,IF(F819="TAYLEK",PR!$BH817,IF(F819="TEMITA",PR!$BI817,IF(F819="THL",PR!$BJ817,IF(F819="UBASTIC",PR!$BK817,IF(F819="UNION",PR!$BL817,IF(F819="UNIQUE",PR!$BM817,IF(F819="VIXA",PR!$BN817,IF(F819="WWCV",PR!$BO817,IF(F819="ZOLON",PR!$BP817,"-"))))))))))))))))))))))))))))))))))))))))))))))))))))))))))))))))</f>
        <v>7000</v>
      </c>
      <c r="F819" s="102" t="str">
        <f>EV!L1042</f>
        <v>GINOS</v>
      </c>
      <c r="G819" s="108">
        <f>IF(H819="ALPHA",PR!$E817,IF(H819="ASSENE",PR!$F817,IF(H819="BIOFEM",PR!$G817,IF(H819="BIOMED",PR!$H817,IF(H819="CHI",PR!$I817,IF(H819="CLARION",PR!$J817,IF(H819="CODIX",PR!$K817,IF(H819="COSMADE",PR!$L817,IF(H819="SANCON",PR!$M817,IF(H819="DEVON",PR!$N817,IF(H819="DORTEMAG",PR!$O817,IF(H819="DGF",PR!$P817,IF(H819="DYNAMIC",PR!$Q817,IF(H819="EMZOR",PR!$R817,IF(H819="EUMATT",PR!$S817,IF(H819="FIDSON",PR!$T817,IF(H819="FCGLOBAL",PR!$U817,IF(H819="GENEITH",PR!$V817,IF(H819="GINOS",PR!$W817,IF(H819="GSK",PR!$X817,IF(H819="GLOBORG",PR!$Y817,IF(H819="GOODNEWS",PR!$Z817,IF(H819="GREENLIFE",PR!$AA817,IF(H819="HLINE",PR!$AB817,IF(H819="ROTECH",PR!$AC817,IF(H819="ISN",PR!$AD817,IF(H819="JAWA",PR!$AE817,IF(H819="LAYO",PR!$AF817,IF(H819="LEADWAY",PR!$AG817,IF(H819="LHV",PR!$AH817,IF(H819="MANOLA",PR!$AI817,IF(H819="MARCSON",PR!$AJ817,IF(H819="M&amp;B",PR!$AK817,IF(H819="MTRUST",PR!$AL817,IF(H819="MWORLD",PR!$AM817,IF(H819="MEGA",PR!$AN817,IF(H819="MICRONOVA",PR!$AO817,IF(H819="MFLASH",PR!$AP817,IF(H819="MORISON",PR!$AQ817,IF(H819="NEMEL",PR!$AR817,IF(H819="NHP",PR!$AS817,IF(H819="NHC",PR!$AT817,IF(H819="OLEAF",PR!$AU817,IF(H819="OCULUS",PR!$AV817,IF(H819="PACIFIC",PR!$AW817,IF(H819="PHAMATEX",PR!$AX817,IF(H819="PETHICS",PR!$AY817,IF(H819="PHILIPS",PR!$AZ817,IF(H819="RANBAXY",PR!$BA817,IF(H819="REALS",PR!$BB817,IF(H819="ROYAL",PR!$BC817,IF(H819="SAM",PR!$BD817,IF(H819="SEAGREEN",PR!$BE817,IF(H819="SKG",PR!$BF817,IF(H819="TAH",PR!$BG817,IF(H819="TAYLEK",PR!$BH817,IF(H819="TEMITA",PR!$BI817,IF(H819="THL",PR!$BJ817,IF(H819="UBASTIC",PR!$BK817,IF(H819="UNION",PR!$BL817,IF(H819="UNIQUE",PR!$BM817,IF(H819="VIXA",PR!$BN817,IF(H819="WWCV",PR!$BO817,IF(H819="ZOLON",PR!$BP817,"-"))))))))))))))))))))))))))))))))))))))))))))))))))))))))))))))))</f>
        <v>8750</v>
      </c>
      <c r="H819" s="102" t="str">
        <f>EV!M1042</f>
        <v>UBASTIC</v>
      </c>
      <c r="I819" s="108">
        <f>IF(J819="ALPHA",PR!$E817,IF(J819="ASSENE",PR!$F817,IF(J819="BIOFEM",PR!$G817,IF(J819="BIOMED",PR!$H817,IF(J819="CHI",PR!$I817,IF(J819="CLARION",PR!$J817,IF(J819="CODIX",PR!$K817,IF(J819="COSMADE",PR!$L817,IF(J819="SANCON",PR!$M817,IF(J819="DEVON",PR!$N817,IF(J819="DORTEMAG",PR!$O817,IF(J819="DGF",PR!$P817,IF(J819="DYNAMIC",PR!$Q817,IF(J819="EMZOR",PR!$R817,IF(J819="EUMATT",PR!$S817,IF(J819="FIDSON",PR!$T817,IF(J819="FCGLOBAL",PR!$U817,IF(J819="GENEITH",PR!$V817,IF(J819="GINOS",PR!$W817,IF(J819="GSK",PR!$X817,IF(J819="GLOBORG",PR!$Y817,IF(J819="GOODNEWS",PR!$Z817,IF(J819="GREENLIFE",PR!$AA817,IF(J819="HLINE",PR!$AB817,IF(J819="ROTECH",PR!$AC817,IF(J819="ISN",PR!$AD817,IF(J819="JAWA",PR!$AE817,IF(J819="LAYO",PR!$AF817,IF(J819="LEADWAY",PR!$AG817,IF(J819="LHV",PR!$AH817,IF(J819="MANOLA",PR!$AI817,IF(J819="MARCSON",PR!$AJ817,IF(J819="M&amp;B",PR!$AK817,IF(J819="MTRUST",PR!$AL817,IF(J819="MWORLD",PR!$AM817,IF(J819="MEGA",PR!$AN817,IF(J819="MICRONOVA",PR!$AO817,IF(J819="MFLASH",PR!$AP817,IF(J819="MORISON",PR!$AQ817,IF(J819="NEMEL",PR!$AR817,IF(J819="NHP",PR!$AS817,IF(J819="NHC",PR!$AT817,IF(J819="OLEAF",PR!$AU817,IF(J819="OCULUS",PR!$AV817,IF(J819="PACIFIC",PR!$AW817,IF(J819="PHAMATEX",PR!$AX817,IF(J819="PETHICS",PR!$AY817,IF(J819="PHILIPS",PR!$AZ817,IF(J819="RANBAXY",PR!$BA817,IF(J819="REALS",PR!$BB817,IF(J819="ROYAL",PR!$BC817,IF(J819="SAM",PR!$BD817,IF(J819="SEAGREEN",PR!$BE817,IF(J819="SKG",PR!$BF817,IF(J819="TAH",PR!$BG817,IF(J819="TAYLEK",PR!$BH817,IF(J819="TEMITA",PR!$BI817,IF(J819="THL",PR!$BJ817,IF(J819="UBASTIC",PR!$BK817,IF(J819="UNION",PR!$BL817,IF(J819="UNIQUE",PR!$BM817,IF(J819="VIXA",PR!$BN817,IF(J819="WWCV",PR!$BO817,IF(J819="ZOLON",PR!$BP817,"-"))))))))))))))))))))))))))))))))))))))))))))))))))))))))))))))))</f>
        <v>9108.9</v>
      </c>
      <c r="J819" s="102" t="str">
        <f>EV!N1042</f>
        <v>PACIFIC</v>
      </c>
      <c r="K819" s="433" t="s">
        <v>1457</v>
      </c>
      <c r="L819" s="183">
        <f>IF(K819&gt;0,IF(K819="ALPHA",PR!$E817,IF(K819="ASSENE",PR!$F817,IF(K819="BIOFEM",PR!$G817,IF(K819="BIOMED",PR!$H817,IF(K819="CHI",PR!$I817,IF(K819="CLARION",PR!$J817,IF(K819="CODIX",PR!$K817,IF(K819="COSMADE",PR!$L817,IF(K819="SANCON",PR!$M817,IF(K819="DEVON",PR!$N817,IF(K819="DORTEMAG",PR!$O817,IF(K819="DGF",PR!$P817,IF(K819="DYNAMIC",PR!$Q817,IF(K819="EMZOR",PR!$R817,IF(K819="EUMATT",PR!$S817,IF(K819="FIDSON",PR!$T817,IF(K819="FCGLOBAL",PR!$U817,IF(K819="GENEITH",PR!$V817,IF(K819="GINOS",PR!$W817,IF(K819="GSK",PR!$X817,IF(K819="GLOBORG",PR!$Y817,IF(K819="GOODNEWS",PR!$Z817,IF(K819="GREENLIFE",PR!$AA817,IF(K819="HLINE",PR!$AB817,IF(K819="ROTECH",PR!$AC817,IF(K819="ISN",PR!$AD817,IF(K819="JAWA",PR!$AE817,IF(K819="LAYO",PR!$AF817,IF(K819="LEADWAY",PR!$AG817,IF(K819="LHV",PR!$AH817,IF(K819="MANOLA",PR!$AI817,IF(K819="MARCSON",PR!$AJ817,IF(K819="M&amp;B",PR!$AK817,IF(K819="MTRUST",PR!$AL817,IF(K819="MWORLD",PR!$AM817,IF(K819="MEGA",PR!$AN817,IF(K819="MICRONOVA",PR!$AO817,IF(K819="MFLASH",PR!$AP817,IF(K819="MORISON",PR!$AQ817,IF(K819="NEMEL",PR!$AR817,IF(K819="NHP",PR!$AS817,IF(K819="NHC",PR!$AT817,IF(K819="OLEAF",PR!$AU817,IF(K819="OCULUS",PR!$AV817,IF(K819="PACIFIC",PR!$AW817,IF(K819="PHAMATEX",PR!$AX817,IF(K819="PETHICS",PR!$AY817,IF(K819="PHILIPS",PR!$AZ817,IF(K819="RANBAXY",PR!$BA817,IF(K819="REALS",PR!$BB817,IF(K819="ROYAL",PR!$BC817,IF(K819="SAM",PR!$BD817,IF(K819="SEAGREEN",PR!$BE817,IF(K819="SKG",PR!$BF817,IF(K819="TAH",PR!$BG817,IF(K819="TAYLEK",PR!$BH817,IF(K819="TEMITA",PR!$BI817,IF(K819="THL",PR!$BJ817,IF(K819="UBASTIC",PR!$BK817,IF(K819="UNION",PR!$BL817,IF(K819="UNIQUE",PR!$BM817,IF(K819="VIXA",PR!$BN817,IF(K819="WWCV",PR!$BO817,IF(K819="ZOLON",PR!$BP817,"-")))))))))))))))))))))))))))))))))))))))))))))))))))))))))))))))))</f>
        <v>9108.9</v>
      </c>
    </row>
    <row r="820" spans="1:12" ht="18.75" x14ac:dyDescent="0.3">
      <c r="A820" s="430">
        <f>PR!A818</f>
        <v>734</v>
      </c>
      <c r="B820" s="15" t="str">
        <f>PR!B818</f>
        <v>VICRYL 1 CUTTING 1/2 CIRCLE (ETHICON)</v>
      </c>
      <c r="C820" s="113">
        <f>PR!D818</f>
        <v>12</v>
      </c>
      <c r="D820" s="113">
        <f>PR!C818</f>
        <v>10</v>
      </c>
      <c r="E820" s="108">
        <f>IF(F820="ALPHA",PR!$E818,IF(F820="ASSENE",PR!$F818,IF(F820="BIOFEM",PR!$G818,IF(F820="BIOMED",PR!$H818,IF(F820="CHI",PR!$I818,IF(F820="CLARION",PR!$J818,IF(F820="CODIX",PR!$K818,IF(F820="COSMADE",PR!$L818,IF(F820="SANCON",PR!$M818,IF(F820="DEVON",PR!$N818,IF(F820="DORTEMAG",PR!$O818,IF(F820="DGF",PR!$P818,IF(F820="DYNAMIC",PR!$Q818,IF(F820="EMZOR",PR!$R818,IF(F820="EUMATT",PR!$S818,IF(F820="FIDSON",PR!$T818,IF(F820="FCGLOBAL",PR!$U818,IF(F820="GENEITH",PR!$V818,IF(F820="GINOS",PR!$W818,IF(F820="GSK",PR!$X818,IF(F820="GLOBORG",PR!$Y818,IF(F820="GOODNEWS",PR!$Z818,IF(F820="GREENLIFE",PR!$AA818,IF(F820="HLINE",PR!$AB818,IF(F820="ROTECH",PR!$AC818,IF(F820="ISN",PR!$AD818,IF(F820="JAWA",PR!$AE818,IF(F820="LAYO",PR!$AF818,IF(F820="LEADWAY",PR!$AG818,IF(F820="LHV",PR!$AH818,IF(F820="MANOLA",PR!$AI818,IF(F820="MARCSON",PR!$AJ818,IF(F820="M&amp;B",PR!$AK818,IF(F820="MTRUST",PR!$AL818,IF(F820="MWORLD",PR!$AM818,IF(F820="MEGA",PR!$AN818,IF(F820="MICRONOVA",PR!$AO818,IF(F820="MFLASH",PR!$AP818,IF(F820="MORISON",PR!$AQ818,IF(F820="NEMEL",PR!$AR818,IF(F820="NHP",PR!$AS818,IF(F820="NHC",PR!$AT818,IF(F820="OLEAF",PR!$AU818,IF(F820="OCULUS",PR!$AV818,IF(F820="PACIFIC",PR!$AW818,IF(F820="PHAMATEX",PR!$AX818,IF(F820="PETHICS",PR!$AY818,IF(F820="PHILIPS",PR!$AZ818,IF(F820="RANBAXY",PR!$BA818,IF(F820="REALS",PR!$BB818,IF(F820="ROYAL",PR!$BC818,IF(F820="SAM",PR!$BD818,IF(F820="SEAGREEN",PR!$BE818,IF(F820="SKG",PR!$BF818,IF(F820="TAH",PR!$BG818,IF(F820="TAYLEK",PR!$BH818,IF(F820="TEMITA",PR!$BI818,IF(F820="THL",PR!$BJ818,IF(F820="UBASTIC",PR!$BK818,IF(F820="UNION",PR!$BL818,IF(F820="UNIQUE",PR!$BM818,IF(F820="VIXA",PR!$BN818,IF(F820="WWCV",PR!$BO818,IF(F820="ZOLON",PR!$BP818,"-"))))))))))))))))))))))))))))))))))))))))))))))))))))))))))))))))</f>
        <v>7500</v>
      </c>
      <c r="F820" s="102" t="str">
        <f>EV!L1043</f>
        <v>GINOS</v>
      </c>
      <c r="G820" s="108">
        <f>IF(H820="ALPHA",PR!$E818,IF(H820="ASSENE",PR!$F818,IF(H820="BIOFEM",PR!$G818,IF(H820="BIOMED",PR!$H818,IF(H820="CHI",PR!$I818,IF(H820="CLARION",PR!$J818,IF(H820="CODIX",PR!$K818,IF(H820="COSMADE",PR!$L818,IF(H820="SANCON",PR!$M818,IF(H820="DEVON",PR!$N818,IF(H820="DORTEMAG",PR!$O818,IF(H820="DGF",PR!$P818,IF(H820="DYNAMIC",PR!$Q818,IF(H820="EMZOR",PR!$R818,IF(H820="EUMATT",PR!$S818,IF(H820="FIDSON",PR!$T818,IF(H820="FCGLOBAL",PR!$U818,IF(H820="GENEITH",PR!$V818,IF(H820="GINOS",PR!$W818,IF(H820="GSK",PR!$X818,IF(H820="GLOBORG",PR!$Y818,IF(H820="GOODNEWS",PR!$Z818,IF(H820="GREENLIFE",PR!$AA818,IF(H820="HLINE",PR!$AB818,IF(H820="ROTECH",PR!$AC818,IF(H820="ISN",PR!$AD818,IF(H820="JAWA",PR!$AE818,IF(H820="LAYO",PR!$AF818,IF(H820="LEADWAY",PR!$AG818,IF(H820="LHV",PR!$AH818,IF(H820="MANOLA",PR!$AI818,IF(H820="MARCSON",PR!$AJ818,IF(H820="M&amp;B",PR!$AK818,IF(H820="MTRUST",PR!$AL818,IF(H820="MWORLD",PR!$AM818,IF(H820="MEGA",PR!$AN818,IF(H820="MICRONOVA",PR!$AO818,IF(H820="MFLASH",PR!$AP818,IF(H820="MORISON",PR!$AQ818,IF(H820="NEMEL",PR!$AR818,IF(H820="NHP",PR!$AS818,IF(H820="NHC",PR!$AT818,IF(H820="OLEAF",PR!$AU818,IF(H820="OCULUS",PR!$AV818,IF(H820="PACIFIC",PR!$AW818,IF(H820="PHAMATEX",PR!$AX818,IF(H820="PETHICS",PR!$AY818,IF(H820="PHILIPS",PR!$AZ818,IF(H820="RANBAXY",PR!$BA818,IF(H820="REALS",PR!$BB818,IF(H820="ROYAL",PR!$BC818,IF(H820="SAM",PR!$BD818,IF(H820="SEAGREEN",PR!$BE818,IF(H820="SKG",PR!$BF818,IF(H820="TAH",PR!$BG818,IF(H820="TAYLEK",PR!$BH818,IF(H820="TEMITA",PR!$BI818,IF(H820="THL",PR!$BJ818,IF(H820="UBASTIC",PR!$BK818,IF(H820="UNION",PR!$BL818,IF(H820="UNIQUE",PR!$BM818,IF(H820="VIXA",PR!$BN818,IF(H820="WWCV",PR!$BO818,IF(H820="ZOLON",PR!$BP818,"-"))))))))))))))))))))))))))))))))))))))))))))))))))))))))))))))))</f>
        <v>10000</v>
      </c>
      <c r="H820" s="102" t="str">
        <f>EV!M1043</f>
        <v>UBASTIC</v>
      </c>
      <c r="I820" s="108">
        <f>IF(J820="ALPHA",PR!$E818,IF(J820="ASSENE",PR!$F818,IF(J820="BIOFEM",PR!$G818,IF(J820="BIOMED",PR!$H818,IF(J820="CHI",PR!$I818,IF(J820="CLARION",PR!$J818,IF(J820="CODIX",PR!$K818,IF(J820="COSMADE",PR!$L818,IF(J820="SANCON",PR!$M818,IF(J820="DEVON",PR!$N818,IF(J820="DORTEMAG",PR!$O818,IF(J820="DGF",PR!$P818,IF(J820="DYNAMIC",PR!$Q818,IF(J820="EMZOR",PR!$R818,IF(J820="EUMATT",PR!$S818,IF(J820="FIDSON",PR!$T818,IF(J820="FCGLOBAL",PR!$U818,IF(J820="GENEITH",PR!$V818,IF(J820="GINOS",PR!$W818,IF(J820="GSK",PR!$X818,IF(J820="GLOBORG",PR!$Y818,IF(J820="GOODNEWS",PR!$Z818,IF(J820="GREENLIFE",PR!$AA818,IF(J820="HLINE",PR!$AB818,IF(J820="ROTECH",PR!$AC818,IF(J820="ISN",PR!$AD818,IF(J820="JAWA",PR!$AE818,IF(J820="LAYO",PR!$AF818,IF(J820="LEADWAY",PR!$AG818,IF(J820="LHV",PR!$AH818,IF(J820="MANOLA",PR!$AI818,IF(J820="MARCSON",PR!$AJ818,IF(J820="M&amp;B",PR!$AK818,IF(J820="MTRUST",PR!$AL818,IF(J820="MWORLD",PR!$AM818,IF(J820="MEGA",PR!$AN818,IF(J820="MICRONOVA",PR!$AO818,IF(J820="MFLASH",PR!$AP818,IF(J820="MORISON",PR!$AQ818,IF(J820="NEMEL",PR!$AR818,IF(J820="NHP",PR!$AS818,IF(J820="NHC",PR!$AT818,IF(J820="OLEAF",PR!$AU818,IF(J820="OCULUS",PR!$AV818,IF(J820="PACIFIC",PR!$AW818,IF(J820="PHAMATEX",PR!$AX818,IF(J820="PETHICS",PR!$AY818,IF(J820="PHILIPS",PR!$AZ818,IF(J820="RANBAXY",PR!$BA818,IF(J820="REALS",PR!$BB818,IF(J820="ROYAL",PR!$BC818,IF(J820="SAM",PR!$BD818,IF(J820="SEAGREEN",PR!$BE818,IF(J820="SKG",PR!$BF818,IF(J820="TAH",PR!$BG818,IF(J820="TAYLEK",PR!$BH818,IF(J820="TEMITA",PR!$BI818,IF(J820="THL",PR!$BJ818,IF(J820="UBASTIC",PR!$BK818,IF(J820="UNION",PR!$BL818,IF(J820="UNIQUE",PR!$BM818,IF(J820="VIXA",PR!$BN818,IF(J820="WWCV",PR!$BO818,IF(J820="ZOLON",PR!$BP818,"-"))))))))))))))))))))))))))))))))))))))))))))))))))))))))))))))))</f>
        <v>11625</v>
      </c>
      <c r="J820" s="102" t="str">
        <f>EV!N1043</f>
        <v>DYNAMIC</v>
      </c>
      <c r="K820" s="433" t="s">
        <v>1457</v>
      </c>
      <c r="L820" s="183">
        <f>IF(K820&gt;0,IF(K820="ALPHA",PR!$E818,IF(K820="ASSENE",PR!$F818,IF(K820="BIOFEM",PR!$G818,IF(K820="BIOMED",PR!$H818,IF(K820="CHI",PR!$I818,IF(K820="CLARION",PR!$J818,IF(K820="CODIX",PR!$K818,IF(K820="COSMADE",PR!$L818,IF(K820="SANCON",PR!$M818,IF(K820="DEVON",PR!$N818,IF(K820="DORTEMAG",PR!$O818,IF(K820="DGF",PR!$P818,IF(K820="DYNAMIC",PR!$Q818,IF(K820="EMZOR",PR!$R818,IF(K820="EUMATT",PR!$S818,IF(K820="FIDSON",PR!$T818,IF(K820="FCGLOBAL",PR!$U818,IF(K820="GENEITH",PR!$V818,IF(K820="GINOS",PR!$W818,IF(K820="GSK",PR!$X818,IF(K820="GLOBORG",PR!$Y818,IF(K820="GOODNEWS",PR!$Z818,IF(K820="GREENLIFE",PR!$AA818,IF(K820="HLINE",PR!$AB818,IF(K820="ROTECH",PR!$AC818,IF(K820="ISN",PR!$AD818,IF(K820="JAWA",PR!$AE818,IF(K820="LAYO",PR!$AF818,IF(K820="LEADWAY",PR!$AG818,IF(K820="LHV",PR!$AH818,IF(K820="MANOLA",PR!$AI818,IF(K820="MARCSON",PR!$AJ818,IF(K820="M&amp;B",PR!$AK818,IF(K820="MTRUST",PR!$AL818,IF(K820="MWORLD",PR!$AM818,IF(K820="MEGA",PR!$AN818,IF(K820="MICRONOVA",PR!$AO818,IF(K820="MFLASH",PR!$AP818,IF(K820="MORISON",PR!$AQ818,IF(K820="NEMEL",PR!$AR818,IF(K820="NHP",PR!$AS818,IF(K820="NHC",PR!$AT818,IF(K820="OLEAF",PR!$AU818,IF(K820="OCULUS",PR!$AV818,IF(K820="PACIFIC",PR!$AW818,IF(K820="PHAMATEX",PR!$AX818,IF(K820="PETHICS",PR!$AY818,IF(K820="PHILIPS",PR!$AZ818,IF(K820="RANBAXY",PR!$BA818,IF(K820="REALS",PR!$BB818,IF(K820="ROYAL",PR!$BC818,IF(K820="SAM",PR!$BD818,IF(K820="SEAGREEN",PR!$BE818,IF(K820="SKG",PR!$BF818,IF(K820="TAH",PR!$BG818,IF(K820="TAYLEK",PR!$BH818,IF(K820="TEMITA",PR!$BI818,IF(K820="THL",PR!$BJ818,IF(K820="UBASTIC",PR!$BK818,IF(K820="UNION",PR!$BL818,IF(K820="UNIQUE",PR!$BM818,IF(K820="VIXA",PR!$BN818,IF(K820="WWCV",PR!$BO818,IF(K820="ZOLON",PR!$BP818,"-")))))))))))))))))))))))))))))))))))))))))))))))))))))))))))))))))</f>
        <v>12006</v>
      </c>
    </row>
    <row r="821" spans="1:12" ht="18.75" x14ac:dyDescent="0.3">
      <c r="A821" s="430">
        <f>PR!A819</f>
        <v>735</v>
      </c>
      <c r="B821" s="15" t="str">
        <f>PR!B819</f>
        <v>VICRYL 1 ROUND BODY 1/2 CIRCLE (ETHICON)</v>
      </c>
      <c r="C821" s="113">
        <f>PR!D819</f>
        <v>12</v>
      </c>
      <c r="D821" s="113">
        <f>PR!C819</f>
        <v>600</v>
      </c>
      <c r="E821" s="108">
        <f>IF(F821="ALPHA",PR!$E819,IF(F821="ASSENE",PR!$F819,IF(F821="BIOFEM",PR!$G819,IF(F821="BIOMED",PR!$H819,IF(F821="CHI",PR!$I819,IF(F821="CLARION",PR!$J819,IF(F821="CODIX",PR!$K819,IF(F821="COSMADE",PR!$L819,IF(F821="SANCON",PR!$M819,IF(F821="DEVON",PR!$N819,IF(F821="DORTEMAG",PR!$O819,IF(F821="DGF",PR!$P819,IF(F821="DYNAMIC",PR!$Q819,IF(F821="EMZOR",PR!$R819,IF(F821="EUMATT",PR!$S819,IF(F821="FIDSON",PR!$T819,IF(F821="FCGLOBAL",PR!$U819,IF(F821="GENEITH",PR!$V819,IF(F821="GINOS",PR!$W819,IF(F821="GSK",PR!$X819,IF(F821="GLOBORG",PR!$Y819,IF(F821="GOODNEWS",PR!$Z819,IF(F821="GREENLIFE",PR!$AA819,IF(F821="HLINE",PR!$AB819,IF(F821="ROTECH",PR!$AC819,IF(F821="ISN",PR!$AD819,IF(F821="JAWA",PR!$AE819,IF(F821="LAYO",PR!$AF819,IF(F821="LEADWAY",PR!$AG819,IF(F821="LHV",PR!$AH819,IF(F821="MANOLA",PR!$AI819,IF(F821="MARCSON",PR!$AJ819,IF(F821="M&amp;B",PR!$AK819,IF(F821="MTRUST",PR!$AL819,IF(F821="MWORLD",PR!$AM819,IF(F821="MEGA",PR!$AN819,IF(F821="MICRONOVA",PR!$AO819,IF(F821="MFLASH",PR!$AP819,IF(F821="MORISON",PR!$AQ819,IF(F821="NEMEL",PR!$AR819,IF(F821="NHP",PR!$AS819,IF(F821="NHC",PR!$AT819,IF(F821="OLEAF",PR!$AU819,IF(F821="OCULUS",PR!$AV819,IF(F821="PACIFIC",PR!$AW819,IF(F821="PHAMATEX",PR!$AX819,IF(F821="PETHICS",PR!$AY819,IF(F821="PHILIPS",PR!$AZ819,IF(F821="RANBAXY",PR!$BA819,IF(F821="REALS",PR!$BB819,IF(F821="ROYAL",PR!$BC819,IF(F821="SAM",PR!$BD819,IF(F821="SEAGREEN",PR!$BE819,IF(F821="SKG",PR!$BF819,IF(F821="TAH",PR!$BG819,IF(F821="TAYLEK",PR!$BH819,IF(F821="TEMITA",PR!$BI819,IF(F821="THL",PR!$BJ819,IF(F821="UBASTIC",PR!$BK819,IF(F821="UNION",PR!$BL819,IF(F821="UNIQUE",PR!$BM819,IF(F821="VIXA",PR!$BN819,IF(F821="WWCV",PR!$BO819,IF(F821="ZOLON",PR!$BP819,"-"))))))))))))))))))))))))))))))))))))))))))))))))))))))))))))))))</f>
        <v>7000</v>
      </c>
      <c r="F821" s="102" t="str">
        <f>EV!L1044</f>
        <v>GINOS</v>
      </c>
      <c r="G821" s="108">
        <f>IF(H821="ALPHA",PR!$E819,IF(H821="ASSENE",PR!$F819,IF(H821="BIOFEM",PR!$G819,IF(H821="BIOMED",PR!$H819,IF(H821="CHI",PR!$I819,IF(H821="CLARION",PR!$J819,IF(H821="CODIX",PR!$K819,IF(H821="COSMADE",PR!$L819,IF(H821="SANCON",PR!$M819,IF(H821="DEVON",PR!$N819,IF(H821="DORTEMAG",PR!$O819,IF(H821="DGF",PR!$P819,IF(H821="DYNAMIC",PR!$Q819,IF(H821="EMZOR",PR!$R819,IF(H821="EUMATT",PR!$S819,IF(H821="FIDSON",PR!$T819,IF(H821="FCGLOBAL",PR!$U819,IF(H821="GENEITH",PR!$V819,IF(H821="GINOS",PR!$W819,IF(H821="GSK",PR!$X819,IF(H821="GLOBORG",PR!$Y819,IF(H821="GOODNEWS",PR!$Z819,IF(H821="GREENLIFE",PR!$AA819,IF(H821="HLINE",PR!$AB819,IF(H821="ROTECH",PR!$AC819,IF(H821="ISN",PR!$AD819,IF(H821="JAWA",PR!$AE819,IF(H821="LAYO",PR!$AF819,IF(H821="LEADWAY",PR!$AG819,IF(H821="LHV",PR!$AH819,IF(H821="MANOLA",PR!$AI819,IF(H821="MARCSON",PR!$AJ819,IF(H821="M&amp;B",PR!$AK819,IF(H821="MTRUST",PR!$AL819,IF(H821="MWORLD",PR!$AM819,IF(H821="MEGA",PR!$AN819,IF(H821="MICRONOVA",PR!$AO819,IF(H821="MFLASH",PR!$AP819,IF(H821="MORISON",PR!$AQ819,IF(H821="NEMEL",PR!$AR819,IF(H821="NHP",PR!$AS819,IF(H821="NHC",PR!$AT819,IF(H821="OLEAF",PR!$AU819,IF(H821="OCULUS",PR!$AV819,IF(H821="PACIFIC",PR!$AW819,IF(H821="PHAMATEX",PR!$AX819,IF(H821="PETHICS",PR!$AY819,IF(H821="PHILIPS",PR!$AZ819,IF(H821="RANBAXY",PR!$BA819,IF(H821="REALS",PR!$BB819,IF(H821="ROYAL",PR!$BC819,IF(H821="SAM",PR!$BD819,IF(H821="SEAGREEN",PR!$BE819,IF(H821="SKG",PR!$BF819,IF(H821="TAH",PR!$BG819,IF(H821="TAYLEK",PR!$BH819,IF(H821="TEMITA",PR!$BI819,IF(H821="THL",PR!$BJ819,IF(H821="UBASTIC",PR!$BK819,IF(H821="UNION",PR!$BL819,IF(H821="UNIQUE",PR!$BM819,IF(H821="VIXA",PR!$BN819,IF(H821="WWCV",PR!$BO819,IF(H821="ZOLON",PR!$BP819,"-"))))))))))))))))))))))))))))))))))))))))))))))))))))))))))))))))</f>
        <v>9097.2000000000007</v>
      </c>
      <c r="H821" s="102" t="str">
        <f>EV!M1044</f>
        <v>PACIFIC</v>
      </c>
      <c r="I821" s="108">
        <f>IF(J821="ALPHA",PR!$E819,IF(J821="ASSENE",PR!$F819,IF(J821="BIOFEM",PR!$G819,IF(J821="BIOMED",PR!$H819,IF(J821="CHI",PR!$I819,IF(J821="CLARION",PR!$J819,IF(J821="CODIX",PR!$K819,IF(J821="COSMADE",PR!$L819,IF(J821="SANCON",PR!$M819,IF(J821="DEVON",PR!$N819,IF(J821="DORTEMAG",PR!$O819,IF(J821="DGF",PR!$P819,IF(J821="DYNAMIC",PR!$Q819,IF(J821="EMZOR",PR!$R819,IF(J821="EUMATT",PR!$S819,IF(J821="FIDSON",PR!$T819,IF(J821="FCGLOBAL",PR!$U819,IF(J821="GENEITH",PR!$V819,IF(J821="GINOS",PR!$W819,IF(J821="GSK",PR!$X819,IF(J821="GLOBORG",PR!$Y819,IF(J821="GOODNEWS",PR!$Z819,IF(J821="GREENLIFE",PR!$AA819,IF(J821="HLINE",PR!$AB819,IF(J821="ROTECH",PR!$AC819,IF(J821="ISN",PR!$AD819,IF(J821="JAWA",PR!$AE819,IF(J821="LAYO",PR!$AF819,IF(J821="LEADWAY",PR!$AG819,IF(J821="LHV",PR!$AH819,IF(J821="MANOLA",PR!$AI819,IF(J821="MARCSON",PR!$AJ819,IF(J821="M&amp;B",PR!$AK819,IF(J821="MTRUST",PR!$AL819,IF(J821="MWORLD",PR!$AM819,IF(J821="MEGA",PR!$AN819,IF(J821="MICRONOVA",PR!$AO819,IF(J821="MFLASH",PR!$AP819,IF(J821="MORISON",PR!$AQ819,IF(J821="NEMEL",PR!$AR819,IF(J821="NHP",PR!$AS819,IF(J821="NHC",PR!$AT819,IF(J821="OLEAF",PR!$AU819,IF(J821="OCULUS",PR!$AV819,IF(J821="PACIFIC",PR!$AW819,IF(J821="PHAMATEX",PR!$AX819,IF(J821="PETHICS",PR!$AY819,IF(J821="PHILIPS",PR!$AZ819,IF(J821="RANBAXY",PR!$BA819,IF(J821="REALS",PR!$BB819,IF(J821="ROYAL",PR!$BC819,IF(J821="SAM",PR!$BD819,IF(J821="SEAGREEN",PR!$BE819,IF(J821="SKG",PR!$BF819,IF(J821="TAH",PR!$BG819,IF(J821="TAYLEK",PR!$BH819,IF(J821="TEMITA",PR!$BI819,IF(J821="THL",PR!$BJ819,IF(J821="UBASTIC",PR!$BK819,IF(J821="UNION",PR!$BL819,IF(J821="UNIQUE",PR!$BM819,IF(J821="VIXA",PR!$BN819,IF(J821="WWCV",PR!$BO819,IF(J821="ZOLON",PR!$BP819,"-"))))))))))))))))))))))))))))))))))))))))))))))))))))))))))))))))</f>
        <v>10000</v>
      </c>
      <c r="J821" s="102" t="str">
        <f>EV!N1044</f>
        <v>UBASTIC</v>
      </c>
      <c r="K821" s="433" t="s">
        <v>1457</v>
      </c>
      <c r="L821" s="183">
        <f>IF(K821&gt;0,IF(K821="ALPHA",PR!$E819,IF(K821="ASSENE",PR!$F819,IF(K821="BIOFEM",PR!$G819,IF(K821="BIOMED",PR!$H819,IF(K821="CHI",PR!$I819,IF(K821="CLARION",PR!$J819,IF(K821="CODIX",PR!$K819,IF(K821="COSMADE",PR!$L819,IF(K821="SANCON",PR!$M819,IF(K821="DEVON",PR!$N819,IF(K821="DORTEMAG",PR!$O819,IF(K821="DGF",PR!$P819,IF(K821="DYNAMIC",PR!$Q819,IF(K821="EMZOR",PR!$R819,IF(K821="EUMATT",PR!$S819,IF(K821="FIDSON",PR!$T819,IF(K821="FCGLOBAL",PR!$U819,IF(K821="GENEITH",PR!$V819,IF(K821="GINOS",PR!$W819,IF(K821="GSK",PR!$X819,IF(K821="GLOBORG",PR!$Y819,IF(K821="GOODNEWS",PR!$Z819,IF(K821="GREENLIFE",PR!$AA819,IF(K821="HLINE",PR!$AB819,IF(K821="ROTECH",PR!$AC819,IF(K821="ISN",PR!$AD819,IF(K821="JAWA",PR!$AE819,IF(K821="LAYO",PR!$AF819,IF(K821="LEADWAY",PR!$AG819,IF(K821="LHV",PR!$AH819,IF(K821="MANOLA",PR!$AI819,IF(K821="MARCSON",PR!$AJ819,IF(K821="M&amp;B",PR!$AK819,IF(K821="MTRUST",PR!$AL819,IF(K821="MWORLD",PR!$AM819,IF(K821="MEGA",PR!$AN819,IF(K821="MICRONOVA",PR!$AO819,IF(K821="MFLASH",PR!$AP819,IF(K821="MORISON",PR!$AQ819,IF(K821="NEMEL",PR!$AR819,IF(K821="NHP",PR!$AS819,IF(K821="NHC",PR!$AT819,IF(K821="OLEAF",PR!$AU819,IF(K821="OCULUS",PR!$AV819,IF(K821="PACIFIC",PR!$AW819,IF(K821="PHAMATEX",PR!$AX819,IF(K821="PETHICS",PR!$AY819,IF(K821="PHILIPS",PR!$AZ819,IF(K821="RANBAXY",PR!$BA819,IF(K821="REALS",PR!$BB819,IF(K821="ROYAL",PR!$BC819,IF(K821="SAM",PR!$BD819,IF(K821="SEAGREEN",PR!$BE819,IF(K821="SKG",PR!$BF819,IF(K821="TAH",PR!$BG819,IF(K821="TAYLEK",PR!$BH819,IF(K821="TEMITA",PR!$BI819,IF(K821="THL",PR!$BJ819,IF(K821="UBASTIC",PR!$BK819,IF(K821="UNION",PR!$BL819,IF(K821="UNIQUE",PR!$BM819,IF(K821="VIXA",PR!$BN819,IF(K821="WWCV",PR!$BO819,IF(K821="ZOLON",PR!$BP819,"-")))))))))))))))))))))))))))))))))))))))))))))))))))))))))))))))))</f>
        <v>9097.2000000000007</v>
      </c>
    </row>
    <row r="822" spans="1:12" ht="18.75" x14ac:dyDescent="0.3">
      <c r="A822" s="430">
        <f>PR!A820</f>
        <v>736</v>
      </c>
      <c r="B822" s="15" t="str">
        <f>PR!B820</f>
        <v>VICRYL 2 R/BODY 1/2 CIRCLE (ETHICON)</v>
      </c>
      <c r="C822" s="113">
        <f>PR!D820</f>
        <v>12</v>
      </c>
      <c r="D822" s="113">
        <f>PR!C820</f>
        <v>54</v>
      </c>
      <c r="E822" s="108">
        <f>IF(F822="ALPHA",PR!$E820,IF(F822="ASSENE",PR!$F820,IF(F822="BIOFEM",PR!$G820,IF(F822="BIOMED",PR!$H820,IF(F822="CHI",PR!$I820,IF(F822="CLARION",PR!$J820,IF(F822="CODIX",PR!$K820,IF(F822="COSMADE",PR!$L820,IF(F822="SANCON",PR!$M820,IF(F822="DEVON",PR!$N820,IF(F822="DORTEMAG",PR!$O820,IF(F822="DGF",PR!$P820,IF(F822="DYNAMIC",PR!$Q820,IF(F822="EMZOR",PR!$R820,IF(F822="EUMATT",PR!$S820,IF(F822="FIDSON",PR!$T820,IF(F822="FCGLOBAL",PR!$U820,IF(F822="GENEITH",PR!$V820,IF(F822="GINOS",PR!$W820,IF(F822="GSK",PR!$X820,IF(F822="GLOBORG",PR!$Y820,IF(F822="GOODNEWS",PR!$Z820,IF(F822="GREENLIFE",PR!$AA820,IF(F822="HLINE",PR!$AB820,IF(F822="ROTECH",PR!$AC820,IF(F822="ISN",PR!$AD820,IF(F822="JAWA",PR!$AE820,IF(F822="LAYO",PR!$AF820,IF(F822="LEADWAY",PR!$AG820,IF(F822="LHV",PR!$AH820,IF(F822="MANOLA",PR!$AI820,IF(F822="MARCSON",PR!$AJ820,IF(F822="M&amp;B",PR!$AK820,IF(F822="MTRUST",PR!$AL820,IF(F822="MWORLD",PR!$AM820,IF(F822="MEGA",PR!$AN820,IF(F822="MICRONOVA",PR!$AO820,IF(F822="MFLASH",PR!$AP820,IF(F822="MORISON",PR!$AQ820,IF(F822="NEMEL",PR!$AR820,IF(F822="NHP",PR!$AS820,IF(F822="NHC",PR!$AT820,IF(F822="OLEAF",PR!$AU820,IF(F822="OCULUS",PR!$AV820,IF(F822="PACIFIC",PR!$AW820,IF(F822="PHAMATEX",PR!$AX820,IF(F822="PETHICS",PR!$AY820,IF(F822="PHILIPS",PR!$AZ820,IF(F822="RANBAXY",PR!$BA820,IF(F822="REALS",PR!$BB820,IF(F822="ROYAL",PR!$BC820,IF(F822="SAM",PR!$BD820,IF(F822="SEAGREEN",PR!$BE820,IF(F822="SKG",PR!$BF820,IF(F822="TAH",PR!$BG820,IF(F822="TAYLEK",PR!$BH820,IF(F822="TEMITA",PR!$BI820,IF(F822="THL",PR!$BJ820,IF(F822="UBASTIC",PR!$BK820,IF(F822="UNION",PR!$BL820,IF(F822="UNIQUE",PR!$BM820,IF(F822="VIXA",PR!$BN820,IF(F822="WWCV",PR!$BO820,IF(F822="ZOLON",PR!$BP820,"-"))))))))))))))))))))))))))))))))))))))))))))))))))))))))))))))))</f>
        <v>8000</v>
      </c>
      <c r="F822" s="102" t="str">
        <f>EV!L1045</f>
        <v>GINOS</v>
      </c>
      <c r="G822" s="108">
        <f>IF(H822="ALPHA",PR!$E820,IF(H822="ASSENE",PR!$F820,IF(H822="BIOFEM",PR!$G820,IF(H822="BIOMED",PR!$H820,IF(H822="CHI",PR!$I820,IF(H822="CLARION",PR!$J820,IF(H822="CODIX",PR!$K820,IF(H822="COSMADE",PR!$L820,IF(H822="SANCON",PR!$M820,IF(H822="DEVON",PR!$N820,IF(H822="DORTEMAG",PR!$O820,IF(H822="DGF",PR!$P820,IF(H822="DYNAMIC",PR!$Q820,IF(H822="EMZOR",PR!$R820,IF(H822="EUMATT",PR!$S820,IF(H822="FIDSON",PR!$T820,IF(H822="FCGLOBAL",PR!$U820,IF(H822="GENEITH",PR!$V820,IF(H822="GINOS",PR!$W820,IF(H822="GSK",PR!$X820,IF(H822="GLOBORG",PR!$Y820,IF(H822="GOODNEWS",PR!$Z820,IF(H822="GREENLIFE",PR!$AA820,IF(H822="HLINE",PR!$AB820,IF(H822="ROTECH",PR!$AC820,IF(H822="ISN",PR!$AD820,IF(H822="JAWA",PR!$AE820,IF(H822="LAYO",PR!$AF820,IF(H822="LEADWAY",PR!$AG820,IF(H822="LHV",PR!$AH820,IF(H822="MANOLA",PR!$AI820,IF(H822="MARCSON",PR!$AJ820,IF(H822="M&amp;B",PR!$AK820,IF(H822="MTRUST",PR!$AL820,IF(H822="MWORLD",PR!$AM820,IF(H822="MEGA",PR!$AN820,IF(H822="MICRONOVA",PR!$AO820,IF(H822="MFLASH",PR!$AP820,IF(H822="MORISON",PR!$AQ820,IF(H822="NEMEL",PR!$AR820,IF(H822="NHP",PR!$AS820,IF(H822="NHC",PR!$AT820,IF(H822="OLEAF",PR!$AU820,IF(H822="OCULUS",PR!$AV820,IF(H822="PACIFIC",PR!$AW820,IF(H822="PHAMATEX",PR!$AX820,IF(H822="PETHICS",PR!$AY820,IF(H822="PHILIPS",PR!$AZ820,IF(H822="RANBAXY",PR!$BA820,IF(H822="REALS",PR!$BB820,IF(H822="ROYAL",PR!$BC820,IF(H822="SAM",PR!$BD820,IF(H822="SEAGREEN",PR!$BE820,IF(H822="SKG",PR!$BF820,IF(H822="TAH",PR!$BG820,IF(H822="TAYLEK",PR!$BH820,IF(H822="TEMITA",PR!$BI820,IF(H822="THL",PR!$BJ820,IF(H822="UBASTIC",PR!$BK820,IF(H822="UNION",PR!$BL820,IF(H822="UNIQUE",PR!$BM820,IF(H822="VIXA",PR!$BN820,IF(H822="WWCV",PR!$BO820,IF(H822="ZOLON",PR!$BP820,"-"))))))))))))))))))))))))))))))))))))))))))))))))))))))))))))))))</f>
        <v>11250</v>
      </c>
      <c r="H822" s="102" t="str">
        <f>EV!M1045</f>
        <v>UBASTIC</v>
      </c>
      <c r="I822" s="108">
        <f>IF(J822="ALPHA",PR!$E820,IF(J822="ASSENE",PR!$F820,IF(J822="BIOFEM",PR!$G820,IF(J822="BIOMED",PR!$H820,IF(J822="CHI",PR!$I820,IF(J822="CLARION",PR!$J820,IF(J822="CODIX",PR!$K820,IF(J822="COSMADE",PR!$L820,IF(J822="SANCON",PR!$M820,IF(J822="DEVON",PR!$N820,IF(J822="DORTEMAG",PR!$O820,IF(J822="DGF",PR!$P820,IF(J822="DYNAMIC",PR!$Q820,IF(J822="EMZOR",PR!$R820,IF(J822="EUMATT",PR!$S820,IF(J822="FIDSON",PR!$T820,IF(J822="FCGLOBAL",PR!$U820,IF(J822="GENEITH",PR!$V820,IF(J822="GINOS",PR!$W820,IF(J822="GSK",PR!$X820,IF(J822="GLOBORG",PR!$Y820,IF(J822="GOODNEWS",PR!$Z820,IF(J822="GREENLIFE",PR!$AA820,IF(J822="HLINE",PR!$AB820,IF(J822="ROTECH",PR!$AC820,IF(J822="ISN",PR!$AD820,IF(J822="JAWA",PR!$AE820,IF(J822="LAYO",PR!$AF820,IF(J822="LEADWAY",PR!$AG820,IF(J822="LHV",PR!$AH820,IF(J822="MANOLA",PR!$AI820,IF(J822="MARCSON",PR!$AJ820,IF(J822="M&amp;B",PR!$AK820,IF(J822="MTRUST",PR!$AL820,IF(J822="MWORLD",PR!$AM820,IF(J822="MEGA",PR!$AN820,IF(J822="MICRONOVA",PR!$AO820,IF(J822="MFLASH",PR!$AP820,IF(J822="MORISON",PR!$AQ820,IF(J822="NEMEL",PR!$AR820,IF(J822="NHP",PR!$AS820,IF(J822="NHC",PR!$AT820,IF(J822="OLEAF",PR!$AU820,IF(J822="OCULUS",PR!$AV820,IF(J822="PACIFIC",PR!$AW820,IF(J822="PHAMATEX",PR!$AX820,IF(J822="PETHICS",PR!$AY820,IF(J822="PHILIPS",PR!$AZ820,IF(J822="RANBAXY",PR!$BA820,IF(J822="REALS",PR!$BB820,IF(J822="ROYAL",PR!$BC820,IF(J822="SAM",PR!$BD820,IF(J822="SEAGREEN",PR!$BE820,IF(J822="SKG",PR!$BF820,IF(J822="TAH",PR!$BG820,IF(J822="TAYLEK",PR!$BH820,IF(J822="TEMITA",PR!$BI820,IF(J822="THL",PR!$BJ820,IF(J822="UBASTIC",PR!$BK820,IF(J822="UNION",PR!$BL820,IF(J822="UNIQUE",PR!$BM820,IF(J822="VIXA",PR!$BN820,IF(J822="WWCV",PR!$BO820,IF(J822="ZOLON",PR!$BP820,"-"))))))))))))))))))))))))))))))))))))))))))))))))))))))))))))))))</f>
        <v>11484</v>
      </c>
      <c r="J822" s="102" t="str">
        <f>EV!N1045</f>
        <v>PACIFIC</v>
      </c>
      <c r="K822" s="433" t="s">
        <v>1457</v>
      </c>
      <c r="L822" s="183">
        <f>IF(K822&gt;0,IF(K822="ALPHA",PR!$E820,IF(K822="ASSENE",PR!$F820,IF(K822="BIOFEM",PR!$G820,IF(K822="BIOMED",PR!$H820,IF(K822="CHI",PR!$I820,IF(K822="CLARION",PR!$J820,IF(K822="CODIX",PR!$K820,IF(K822="COSMADE",PR!$L820,IF(K822="SANCON",PR!$M820,IF(K822="DEVON",PR!$N820,IF(K822="DORTEMAG",PR!$O820,IF(K822="DGF",PR!$P820,IF(K822="DYNAMIC",PR!$Q820,IF(K822="EMZOR",PR!$R820,IF(K822="EUMATT",PR!$S820,IF(K822="FIDSON",PR!$T820,IF(K822="FCGLOBAL",PR!$U820,IF(K822="GENEITH",PR!$V820,IF(K822="GINOS",PR!$W820,IF(K822="GSK",PR!$X820,IF(K822="GLOBORG",PR!$Y820,IF(K822="GOODNEWS",PR!$Z820,IF(K822="GREENLIFE",PR!$AA820,IF(K822="HLINE",PR!$AB820,IF(K822="ROTECH",PR!$AC820,IF(K822="ISN",PR!$AD820,IF(K822="JAWA",PR!$AE820,IF(K822="LAYO",PR!$AF820,IF(K822="LEADWAY",PR!$AG820,IF(K822="LHV",PR!$AH820,IF(K822="MANOLA",PR!$AI820,IF(K822="MARCSON",PR!$AJ820,IF(K822="M&amp;B",PR!$AK820,IF(K822="MTRUST",PR!$AL820,IF(K822="MWORLD",PR!$AM820,IF(K822="MEGA",PR!$AN820,IF(K822="MICRONOVA",PR!$AO820,IF(K822="MFLASH",PR!$AP820,IF(K822="MORISON",PR!$AQ820,IF(K822="NEMEL",PR!$AR820,IF(K822="NHP",PR!$AS820,IF(K822="NHC",PR!$AT820,IF(K822="OLEAF",PR!$AU820,IF(K822="OCULUS",PR!$AV820,IF(K822="PACIFIC",PR!$AW820,IF(K822="PHAMATEX",PR!$AX820,IF(K822="PETHICS",PR!$AY820,IF(K822="PHILIPS",PR!$AZ820,IF(K822="RANBAXY",PR!$BA820,IF(K822="REALS",PR!$BB820,IF(K822="ROYAL",PR!$BC820,IF(K822="SAM",PR!$BD820,IF(K822="SEAGREEN",PR!$BE820,IF(K822="SKG",PR!$BF820,IF(K822="TAH",PR!$BG820,IF(K822="TAYLEK",PR!$BH820,IF(K822="TEMITA",PR!$BI820,IF(K822="THL",PR!$BJ820,IF(K822="UBASTIC",PR!$BK820,IF(K822="UNION",PR!$BL820,IF(K822="UNIQUE",PR!$BM820,IF(K822="VIXA",PR!$BN820,IF(K822="WWCV",PR!$BO820,IF(K822="ZOLON",PR!$BP820,"-")))))))))))))))))))))))))))))))))))))))))))))))))))))))))))))))))</f>
        <v>11484</v>
      </c>
    </row>
    <row r="823" spans="1:12" ht="18.75" x14ac:dyDescent="0.3">
      <c r="A823" s="430">
        <f>PR!A821</f>
        <v>737</v>
      </c>
      <c r="B823" s="15" t="str">
        <f>PR!B821</f>
        <v>VICRYL 2/0 CUTTING 1/2 CIRCLE (ETHICON)</v>
      </c>
      <c r="C823" s="113">
        <f>PR!D821</f>
        <v>12</v>
      </c>
      <c r="D823" s="113">
        <f>PR!C821</f>
        <v>20</v>
      </c>
      <c r="E823" s="108">
        <f>IF(F823="ALPHA",PR!$E821,IF(F823="ASSENE",PR!$F821,IF(F823="BIOFEM",PR!$G821,IF(F823="BIOMED",PR!$H821,IF(F823="CHI",PR!$I821,IF(F823="CLARION",PR!$J821,IF(F823="CODIX",PR!$K821,IF(F823="COSMADE",PR!$L821,IF(F823="SANCON",PR!$M821,IF(F823="DEVON",PR!$N821,IF(F823="DORTEMAG",PR!$O821,IF(F823="DGF",PR!$P821,IF(F823="DYNAMIC",PR!$Q821,IF(F823="EMZOR",PR!$R821,IF(F823="EUMATT",PR!$S821,IF(F823="FIDSON",PR!$T821,IF(F823="FCGLOBAL",PR!$U821,IF(F823="GENEITH",PR!$V821,IF(F823="GINOS",PR!$W821,IF(F823="GSK",PR!$X821,IF(F823="GLOBORG",PR!$Y821,IF(F823="GOODNEWS",PR!$Z821,IF(F823="GREENLIFE",PR!$AA821,IF(F823="HLINE",PR!$AB821,IF(F823="ROTECH",PR!$AC821,IF(F823="ISN",PR!$AD821,IF(F823="JAWA",PR!$AE821,IF(F823="LAYO",PR!$AF821,IF(F823="LEADWAY",PR!$AG821,IF(F823="LHV",PR!$AH821,IF(F823="MANOLA",PR!$AI821,IF(F823="MARCSON",PR!$AJ821,IF(F823="M&amp;B",PR!$AK821,IF(F823="MTRUST",PR!$AL821,IF(F823="MWORLD",PR!$AM821,IF(F823="MEGA",PR!$AN821,IF(F823="MICRONOVA",PR!$AO821,IF(F823="MFLASH",PR!$AP821,IF(F823="MORISON",PR!$AQ821,IF(F823="NEMEL",PR!$AR821,IF(F823="NHP",PR!$AS821,IF(F823="NHC",PR!$AT821,IF(F823="OLEAF",PR!$AU821,IF(F823="OCULUS",PR!$AV821,IF(F823="PACIFIC",PR!$AW821,IF(F823="PHAMATEX",PR!$AX821,IF(F823="PETHICS",PR!$AY821,IF(F823="PHILIPS",PR!$AZ821,IF(F823="RANBAXY",PR!$BA821,IF(F823="REALS",PR!$BB821,IF(F823="ROYAL",PR!$BC821,IF(F823="SAM",PR!$BD821,IF(F823="SEAGREEN",PR!$BE821,IF(F823="SKG",PR!$BF821,IF(F823="TAH",PR!$BG821,IF(F823="TAYLEK",PR!$BH821,IF(F823="TEMITA",PR!$BI821,IF(F823="THL",PR!$BJ821,IF(F823="UBASTIC",PR!$BK821,IF(F823="UNION",PR!$BL821,IF(F823="UNIQUE",PR!$BM821,IF(F823="VIXA",PR!$BN821,IF(F823="WWCV",PR!$BO821,IF(F823="ZOLON",PR!$BP821,"-"))))))))))))))))))))))))))))))))))))))))))))))))))))))))))))))))</f>
        <v>7000</v>
      </c>
      <c r="F823" s="102" t="str">
        <f>EV!L1046</f>
        <v>GINOS</v>
      </c>
      <c r="G823" s="108">
        <f>IF(H823="ALPHA",PR!$E821,IF(H823="ASSENE",PR!$F821,IF(H823="BIOFEM",PR!$G821,IF(H823="BIOMED",PR!$H821,IF(H823="CHI",PR!$I821,IF(H823="CLARION",PR!$J821,IF(H823="CODIX",PR!$K821,IF(H823="COSMADE",PR!$L821,IF(H823="SANCON",PR!$M821,IF(H823="DEVON",PR!$N821,IF(H823="DORTEMAG",PR!$O821,IF(H823="DGF",PR!$P821,IF(H823="DYNAMIC",PR!$Q821,IF(H823="EMZOR",PR!$R821,IF(H823="EUMATT",PR!$S821,IF(H823="FIDSON",PR!$T821,IF(H823="FCGLOBAL",PR!$U821,IF(H823="GENEITH",PR!$V821,IF(H823="GINOS",PR!$W821,IF(H823="GSK",PR!$X821,IF(H823="GLOBORG",PR!$Y821,IF(H823="GOODNEWS",PR!$Z821,IF(H823="GREENLIFE",PR!$AA821,IF(H823="HLINE",PR!$AB821,IF(H823="ROTECH",PR!$AC821,IF(H823="ISN",PR!$AD821,IF(H823="JAWA",PR!$AE821,IF(H823="LAYO",PR!$AF821,IF(H823="LEADWAY",PR!$AG821,IF(H823="LHV",PR!$AH821,IF(H823="MANOLA",PR!$AI821,IF(H823="MARCSON",PR!$AJ821,IF(H823="M&amp;B",PR!$AK821,IF(H823="MTRUST",PR!$AL821,IF(H823="MWORLD",PR!$AM821,IF(H823="MEGA",PR!$AN821,IF(H823="MICRONOVA",PR!$AO821,IF(H823="MFLASH",PR!$AP821,IF(H823="MORISON",PR!$AQ821,IF(H823="NEMEL",PR!$AR821,IF(H823="NHP",PR!$AS821,IF(H823="NHC",PR!$AT821,IF(H823="OLEAF",PR!$AU821,IF(H823="OCULUS",PR!$AV821,IF(H823="PACIFIC",PR!$AW821,IF(H823="PHAMATEX",PR!$AX821,IF(H823="PETHICS",PR!$AY821,IF(H823="PHILIPS",PR!$AZ821,IF(H823="RANBAXY",PR!$BA821,IF(H823="REALS",PR!$BB821,IF(H823="ROYAL",PR!$BC821,IF(H823="SAM",PR!$BD821,IF(H823="SEAGREEN",PR!$BE821,IF(H823="SKG",PR!$BF821,IF(H823="TAH",PR!$BG821,IF(H823="TAYLEK",PR!$BH821,IF(H823="TEMITA",PR!$BI821,IF(H823="THL",PR!$BJ821,IF(H823="UBASTIC",PR!$BK821,IF(H823="UNION",PR!$BL821,IF(H823="UNIQUE",PR!$BM821,IF(H823="VIXA",PR!$BN821,IF(H823="WWCV",PR!$BO821,IF(H823="ZOLON",PR!$BP821,"-"))))))))))))))))))))))))))))))))))))))))))))))))))))))))))))))))</f>
        <v>8750</v>
      </c>
      <c r="H823" s="102" t="str">
        <f>EV!M1046</f>
        <v>UBASTIC</v>
      </c>
      <c r="I823" s="108">
        <f>IF(J823="ALPHA",PR!$E821,IF(J823="ASSENE",PR!$F821,IF(J823="BIOFEM",PR!$G821,IF(J823="BIOMED",PR!$H821,IF(J823="CHI",PR!$I821,IF(J823="CLARION",PR!$J821,IF(J823="CODIX",PR!$K821,IF(J823="COSMADE",PR!$L821,IF(J823="SANCON",PR!$M821,IF(J823="DEVON",PR!$N821,IF(J823="DORTEMAG",PR!$O821,IF(J823="DGF",PR!$P821,IF(J823="DYNAMIC",PR!$Q821,IF(J823="EMZOR",PR!$R821,IF(J823="EUMATT",PR!$S821,IF(J823="FIDSON",PR!$T821,IF(J823="FCGLOBAL",PR!$U821,IF(J823="GENEITH",PR!$V821,IF(J823="GINOS",PR!$W821,IF(J823="GSK",PR!$X821,IF(J823="GLOBORG",PR!$Y821,IF(J823="GOODNEWS",PR!$Z821,IF(J823="GREENLIFE",PR!$AA821,IF(J823="HLINE",PR!$AB821,IF(J823="ROTECH",PR!$AC821,IF(J823="ISN",PR!$AD821,IF(J823="JAWA",PR!$AE821,IF(J823="LAYO",PR!$AF821,IF(J823="LEADWAY",PR!$AG821,IF(J823="LHV",PR!$AH821,IF(J823="MANOLA",PR!$AI821,IF(J823="MARCSON",PR!$AJ821,IF(J823="M&amp;B",PR!$AK821,IF(J823="MTRUST",PR!$AL821,IF(J823="MWORLD",PR!$AM821,IF(J823="MEGA",PR!$AN821,IF(J823="MICRONOVA",PR!$AO821,IF(J823="MFLASH",PR!$AP821,IF(J823="MORISON",PR!$AQ821,IF(J823="NEMEL",PR!$AR821,IF(J823="NHP",PR!$AS821,IF(J823="NHC",PR!$AT821,IF(J823="OLEAF",PR!$AU821,IF(J823="OCULUS",PR!$AV821,IF(J823="PACIFIC",PR!$AW821,IF(J823="PHAMATEX",PR!$AX821,IF(J823="PETHICS",PR!$AY821,IF(J823="PHILIPS",PR!$AZ821,IF(J823="RANBAXY",PR!$BA821,IF(J823="REALS",PR!$BB821,IF(J823="ROYAL",PR!$BC821,IF(J823="SAM",PR!$BD821,IF(J823="SEAGREEN",PR!$BE821,IF(J823="SKG",PR!$BF821,IF(J823="TAH",PR!$BG821,IF(J823="TAYLEK",PR!$BH821,IF(J823="TEMITA",PR!$BI821,IF(J823="THL",PR!$BJ821,IF(J823="UBASTIC",PR!$BK821,IF(J823="UNION",PR!$BL821,IF(J823="UNIQUE",PR!$BM821,IF(J823="VIXA",PR!$BN821,IF(J823="WWCV",PR!$BO821,IF(J823="ZOLON",PR!$BP821,"-"))))))))))))))))))))))))))))))))))))))))))))))))))))))))))))))))</f>
        <v>10440</v>
      </c>
      <c r="J823" s="102" t="str">
        <f>EV!N1046</f>
        <v>PACIFIC</v>
      </c>
      <c r="K823" s="433" t="s">
        <v>1457</v>
      </c>
      <c r="L823" s="183">
        <f>IF(K823&gt;0,IF(K823="ALPHA",PR!$E821,IF(K823="ASSENE",PR!$F821,IF(K823="BIOFEM",PR!$G821,IF(K823="BIOMED",PR!$H821,IF(K823="CHI",PR!$I821,IF(K823="CLARION",PR!$J821,IF(K823="CODIX",PR!$K821,IF(K823="COSMADE",PR!$L821,IF(K823="SANCON",PR!$M821,IF(K823="DEVON",PR!$N821,IF(K823="DORTEMAG",PR!$O821,IF(K823="DGF",PR!$P821,IF(K823="DYNAMIC",PR!$Q821,IF(K823="EMZOR",PR!$R821,IF(K823="EUMATT",PR!$S821,IF(K823="FIDSON",PR!$T821,IF(K823="FCGLOBAL",PR!$U821,IF(K823="GENEITH",PR!$V821,IF(K823="GINOS",PR!$W821,IF(K823="GSK",PR!$X821,IF(K823="GLOBORG",PR!$Y821,IF(K823="GOODNEWS",PR!$Z821,IF(K823="GREENLIFE",PR!$AA821,IF(K823="HLINE",PR!$AB821,IF(K823="ROTECH",PR!$AC821,IF(K823="ISN",PR!$AD821,IF(K823="JAWA",PR!$AE821,IF(K823="LAYO",PR!$AF821,IF(K823="LEADWAY",PR!$AG821,IF(K823="LHV",PR!$AH821,IF(K823="MANOLA",PR!$AI821,IF(K823="MARCSON",PR!$AJ821,IF(K823="M&amp;B",PR!$AK821,IF(K823="MTRUST",PR!$AL821,IF(K823="MWORLD",PR!$AM821,IF(K823="MEGA",PR!$AN821,IF(K823="MICRONOVA",PR!$AO821,IF(K823="MFLASH",PR!$AP821,IF(K823="MORISON",PR!$AQ821,IF(K823="NEMEL",PR!$AR821,IF(K823="NHP",PR!$AS821,IF(K823="NHC",PR!$AT821,IF(K823="OLEAF",PR!$AU821,IF(K823="OCULUS",PR!$AV821,IF(K823="PACIFIC",PR!$AW821,IF(K823="PHAMATEX",PR!$AX821,IF(K823="PETHICS",PR!$AY821,IF(K823="PHILIPS",PR!$AZ821,IF(K823="RANBAXY",PR!$BA821,IF(K823="REALS",PR!$BB821,IF(K823="ROYAL",PR!$BC821,IF(K823="SAM",PR!$BD821,IF(K823="SEAGREEN",PR!$BE821,IF(K823="SKG",PR!$BF821,IF(K823="TAH",PR!$BG821,IF(K823="TAYLEK",PR!$BH821,IF(K823="TEMITA",PR!$BI821,IF(K823="THL",PR!$BJ821,IF(K823="UBASTIC",PR!$BK821,IF(K823="UNION",PR!$BL821,IF(K823="UNIQUE",PR!$BM821,IF(K823="VIXA",PR!$BN821,IF(K823="WWCV",PR!$BO821,IF(K823="ZOLON",PR!$BP821,"-")))))))))))))))))))))))))))))))))))))))))))))))))))))))))))))))))</f>
        <v>10440</v>
      </c>
    </row>
    <row r="824" spans="1:12" ht="18.75" x14ac:dyDescent="0.3">
      <c r="A824" s="430">
        <f>PR!A822</f>
        <v>738</v>
      </c>
      <c r="B824" s="15" t="str">
        <f>PR!B822</f>
        <v>VICRYL 2/0 ROUND BODY 1/2 CIRCLE (ETHICON)</v>
      </c>
      <c r="C824" s="113">
        <f>PR!D822</f>
        <v>12</v>
      </c>
      <c r="D824" s="113">
        <f>PR!C822</f>
        <v>600</v>
      </c>
      <c r="E824" s="108">
        <f>IF(F824="ALPHA",PR!$E822,IF(F824="ASSENE",PR!$F822,IF(F824="BIOFEM",PR!$G822,IF(F824="BIOMED",PR!$H822,IF(F824="CHI",PR!$I822,IF(F824="CLARION",PR!$J822,IF(F824="CODIX",PR!$K822,IF(F824="COSMADE",PR!$L822,IF(F824="SANCON",PR!$M822,IF(F824="DEVON",PR!$N822,IF(F824="DORTEMAG",PR!$O822,IF(F824="DGF",PR!$P822,IF(F824="DYNAMIC",PR!$Q822,IF(F824="EMZOR",PR!$R822,IF(F824="EUMATT",PR!$S822,IF(F824="FIDSON",PR!$T822,IF(F824="FCGLOBAL",PR!$U822,IF(F824="GENEITH",PR!$V822,IF(F824="GINOS",PR!$W822,IF(F824="GSK",PR!$X822,IF(F824="GLOBORG",PR!$Y822,IF(F824="GOODNEWS",PR!$Z822,IF(F824="GREENLIFE",PR!$AA822,IF(F824="HLINE",PR!$AB822,IF(F824="ROTECH",PR!$AC822,IF(F824="ISN",PR!$AD822,IF(F824="JAWA",PR!$AE822,IF(F824="LAYO",PR!$AF822,IF(F824="LEADWAY",PR!$AG822,IF(F824="LHV",PR!$AH822,IF(F824="MANOLA",PR!$AI822,IF(F824="MARCSON",PR!$AJ822,IF(F824="M&amp;B",PR!$AK822,IF(F824="MTRUST",PR!$AL822,IF(F824="MWORLD",PR!$AM822,IF(F824="MEGA",PR!$AN822,IF(F824="MICRONOVA",PR!$AO822,IF(F824="MFLASH",PR!$AP822,IF(F824="MORISON",PR!$AQ822,IF(F824="NEMEL",PR!$AR822,IF(F824="NHP",PR!$AS822,IF(F824="NHC",PR!$AT822,IF(F824="OLEAF",PR!$AU822,IF(F824="OCULUS",PR!$AV822,IF(F824="PACIFIC",PR!$AW822,IF(F824="PHAMATEX",PR!$AX822,IF(F824="PETHICS",PR!$AY822,IF(F824="PHILIPS",PR!$AZ822,IF(F824="RANBAXY",PR!$BA822,IF(F824="REALS",PR!$BB822,IF(F824="ROYAL",PR!$BC822,IF(F824="SAM",PR!$BD822,IF(F824="SEAGREEN",PR!$BE822,IF(F824="SKG",PR!$BF822,IF(F824="TAH",PR!$BG822,IF(F824="TAYLEK",PR!$BH822,IF(F824="TEMITA",PR!$BI822,IF(F824="THL",PR!$BJ822,IF(F824="UBASTIC",PR!$BK822,IF(F824="UNION",PR!$BL822,IF(F824="UNIQUE",PR!$BM822,IF(F824="VIXA",PR!$BN822,IF(F824="WWCV",PR!$BO822,IF(F824="ZOLON",PR!$BP822,"-"))))))))))))))))))))))))))))))))))))))))))))))))))))))))))))))))</f>
        <v>6000</v>
      </c>
      <c r="F824" s="102" t="str">
        <f>EV!L1047</f>
        <v>GINOS</v>
      </c>
      <c r="G824" s="108">
        <f>IF(H824="ALPHA",PR!$E822,IF(H824="ASSENE",PR!$F822,IF(H824="BIOFEM",PR!$G822,IF(H824="BIOMED",PR!$H822,IF(H824="CHI",PR!$I822,IF(H824="CLARION",PR!$J822,IF(H824="CODIX",PR!$K822,IF(H824="COSMADE",PR!$L822,IF(H824="SANCON",PR!$M822,IF(H824="DEVON",PR!$N822,IF(H824="DORTEMAG",PR!$O822,IF(H824="DGF",PR!$P822,IF(H824="DYNAMIC",PR!$Q822,IF(H824="EMZOR",PR!$R822,IF(H824="EUMATT",PR!$S822,IF(H824="FIDSON",PR!$T822,IF(H824="FCGLOBAL",PR!$U822,IF(H824="GENEITH",PR!$V822,IF(H824="GINOS",PR!$W822,IF(H824="GSK",PR!$X822,IF(H824="GLOBORG",PR!$Y822,IF(H824="GOODNEWS",PR!$Z822,IF(H824="GREENLIFE",PR!$AA822,IF(H824="HLINE",PR!$AB822,IF(H824="ROTECH",PR!$AC822,IF(H824="ISN",PR!$AD822,IF(H824="JAWA",PR!$AE822,IF(H824="LAYO",PR!$AF822,IF(H824="LEADWAY",PR!$AG822,IF(H824="LHV",PR!$AH822,IF(H824="MANOLA",PR!$AI822,IF(H824="MARCSON",PR!$AJ822,IF(H824="M&amp;B",PR!$AK822,IF(H824="MTRUST",PR!$AL822,IF(H824="MWORLD",PR!$AM822,IF(H824="MEGA",PR!$AN822,IF(H824="MICRONOVA",PR!$AO822,IF(H824="MFLASH",PR!$AP822,IF(H824="MORISON",PR!$AQ822,IF(H824="NEMEL",PR!$AR822,IF(H824="NHP",PR!$AS822,IF(H824="NHC",PR!$AT822,IF(H824="OLEAF",PR!$AU822,IF(H824="OCULUS",PR!$AV822,IF(H824="PACIFIC",PR!$AW822,IF(H824="PHAMATEX",PR!$AX822,IF(H824="PETHICS",PR!$AY822,IF(H824="PHILIPS",PR!$AZ822,IF(H824="RANBAXY",PR!$BA822,IF(H824="REALS",PR!$BB822,IF(H824="ROYAL",PR!$BC822,IF(H824="SAM",PR!$BD822,IF(H824="SEAGREEN",PR!$BE822,IF(H824="SKG",PR!$BF822,IF(H824="TAH",PR!$BG822,IF(H824="TAYLEK",PR!$BH822,IF(H824="TEMITA",PR!$BI822,IF(H824="THL",PR!$BJ822,IF(H824="UBASTIC",PR!$BK822,IF(H824="UNION",PR!$BL822,IF(H824="UNIQUE",PR!$BM822,IF(H824="VIXA",PR!$BN822,IF(H824="WWCV",PR!$BO822,IF(H824="ZOLON",PR!$BP822,"-"))))))))))))))))))))))))))))))))))))))))))))))))))))))))))))))))</f>
        <v>8738.1</v>
      </c>
      <c r="H824" s="102" t="str">
        <f>EV!M1047</f>
        <v>PACIFIC</v>
      </c>
      <c r="I824" s="108">
        <f>IF(J824="ALPHA",PR!$E822,IF(J824="ASSENE",PR!$F822,IF(J824="BIOFEM",PR!$G822,IF(J824="BIOMED",PR!$H822,IF(J824="CHI",PR!$I822,IF(J824="CLARION",PR!$J822,IF(J824="CODIX",PR!$K822,IF(J824="COSMADE",PR!$L822,IF(J824="SANCON",PR!$M822,IF(J824="DEVON",PR!$N822,IF(J824="DORTEMAG",PR!$O822,IF(J824="DGF",PR!$P822,IF(J824="DYNAMIC",PR!$Q822,IF(J824="EMZOR",PR!$R822,IF(J824="EUMATT",PR!$S822,IF(J824="FIDSON",PR!$T822,IF(J824="FCGLOBAL",PR!$U822,IF(J824="GENEITH",PR!$V822,IF(J824="GINOS",PR!$W822,IF(J824="GSK",PR!$X822,IF(J824="GLOBORG",PR!$Y822,IF(J824="GOODNEWS",PR!$Z822,IF(J824="GREENLIFE",PR!$AA822,IF(J824="HLINE",PR!$AB822,IF(J824="ROTECH",PR!$AC822,IF(J824="ISN",PR!$AD822,IF(J824="JAWA",PR!$AE822,IF(J824="LAYO",PR!$AF822,IF(J824="LEADWAY",PR!$AG822,IF(J824="LHV",PR!$AH822,IF(J824="MANOLA",PR!$AI822,IF(J824="MARCSON",PR!$AJ822,IF(J824="M&amp;B",PR!$AK822,IF(J824="MTRUST",PR!$AL822,IF(J824="MWORLD",PR!$AM822,IF(J824="MEGA",PR!$AN822,IF(J824="MICRONOVA",PR!$AO822,IF(J824="MFLASH",PR!$AP822,IF(J824="MORISON",PR!$AQ822,IF(J824="NEMEL",PR!$AR822,IF(J824="NHP",PR!$AS822,IF(J824="NHC",PR!$AT822,IF(J824="OLEAF",PR!$AU822,IF(J824="OCULUS",PR!$AV822,IF(J824="PACIFIC",PR!$AW822,IF(J824="PHAMATEX",PR!$AX822,IF(J824="PETHICS",PR!$AY822,IF(J824="PHILIPS",PR!$AZ822,IF(J824="RANBAXY",PR!$BA822,IF(J824="REALS",PR!$BB822,IF(J824="ROYAL",PR!$BC822,IF(J824="SAM",PR!$BD822,IF(J824="SEAGREEN",PR!$BE822,IF(J824="SKG",PR!$BF822,IF(J824="TAH",PR!$BG822,IF(J824="TAYLEK",PR!$BH822,IF(J824="TEMITA",PR!$BI822,IF(J824="THL",PR!$BJ822,IF(J824="UBASTIC",PR!$BK822,IF(J824="UNION",PR!$BL822,IF(J824="UNIQUE",PR!$BM822,IF(J824="VIXA",PR!$BN822,IF(J824="WWCV",PR!$BO822,IF(J824="ZOLON",PR!$BP822,"-"))))))))))))))))))))))))))))))))))))))))))))))))))))))))))))))))</f>
        <v>8750</v>
      </c>
      <c r="J824" s="102" t="str">
        <f>EV!N1047</f>
        <v>UBASTIC</v>
      </c>
      <c r="K824" s="433" t="s">
        <v>1457</v>
      </c>
      <c r="L824" s="183">
        <f>IF(K824&gt;0,IF(K824="ALPHA",PR!$E822,IF(K824="ASSENE",PR!$F822,IF(K824="BIOFEM",PR!$G822,IF(K824="BIOMED",PR!$H822,IF(K824="CHI",PR!$I822,IF(K824="CLARION",PR!$J822,IF(K824="CODIX",PR!$K822,IF(K824="COSMADE",PR!$L822,IF(K824="SANCON",PR!$M822,IF(K824="DEVON",PR!$N822,IF(K824="DORTEMAG",PR!$O822,IF(K824="DGF",PR!$P822,IF(K824="DYNAMIC",PR!$Q822,IF(K824="EMZOR",PR!$R822,IF(K824="EUMATT",PR!$S822,IF(K824="FIDSON",PR!$T822,IF(K824="FCGLOBAL",PR!$U822,IF(K824="GENEITH",PR!$V822,IF(K824="GINOS",PR!$W822,IF(K824="GSK",PR!$X822,IF(K824="GLOBORG",PR!$Y822,IF(K824="GOODNEWS",PR!$Z822,IF(K824="GREENLIFE",PR!$AA822,IF(K824="HLINE",PR!$AB822,IF(K824="ROTECH",PR!$AC822,IF(K824="ISN",PR!$AD822,IF(K824="JAWA",PR!$AE822,IF(K824="LAYO",PR!$AF822,IF(K824="LEADWAY",PR!$AG822,IF(K824="LHV",PR!$AH822,IF(K824="MANOLA",PR!$AI822,IF(K824="MARCSON",PR!$AJ822,IF(K824="M&amp;B",PR!$AK822,IF(K824="MTRUST",PR!$AL822,IF(K824="MWORLD",PR!$AM822,IF(K824="MEGA",PR!$AN822,IF(K824="MICRONOVA",PR!$AO822,IF(K824="MFLASH",PR!$AP822,IF(K824="MORISON",PR!$AQ822,IF(K824="NEMEL",PR!$AR822,IF(K824="NHP",PR!$AS822,IF(K824="NHC",PR!$AT822,IF(K824="OLEAF",PR!$AU822,IF(K824="OCULUS",PR!$AV822,IF(K824="PACIFIC",PR!$AW822,IF(K824="PHAMATEX",PR!$AX822,IF(K824="PETHICS",PR!$AY822,IF(K824="PHILIPS",PR!$AZ822,IF(K824="RANBAXY",PR!$BA822,IF(K824="REALS",PR!$BB822,IF(K824="ROYAL",PR!$BC822,IF(K824="SAM",PR!$BD822,IF(K824="SEAGREEN",PR!$BE822,IF(K824="SKG",PR!$BF822,IF(K824="TAH",PR!$BG822,IF(K824="TAYLEK",PR!$BH822,IF(K824="TEMITA",PR!$BI822,IF(K824="THL",PR!$BJ822,IF(K824="UBASTIC",PR!$BK822,IF(K824="UNION",PR!$BL822,IF(K824="UNIQUE",PR!$BM822,IF(K824="VIXA",PR!$BN822,IF(K824="WWCV",PR!$BO822,IF(K824="ZOLON",PR!$BP822,"-")))))))))))))))))))))))))))))))))))))))))))))))))))))))))))))))))</f>
        <v>8738.1</v>
      </c>
    </row>
    <row r="825" spans="1:12" ht="18.75" x14ac:dyDescent="0.3">
      <c r="A825" s="430">
        <f>PR!A823</f>
        <v>739</v>
      </c>
      <c r="B825" s="15" t="str">
        <f>PR!B823</f>
        <v>VICRYL 3/0 CUTTING 1/2 CIRCLE (ETHICON)</v>
      </c>
      <c r="C825" s="113">
        <f>PR!D823</f>
        <v>12</v>
      </c>
      <c r="D825" s="113">
        <f>PR!C823</f>
        <v>20</v>
      </c>
      <c r="E825" s="108">
        <f>IF(F825="ALPHA",PR!$E823,IF(F825="ASSENE",PR!$F823,IF(F825="BIOFEM",PR!$G823,IF(F825="BIOMED",PR!$H823,IF(F825="CHI",PR!$I823,IF(F825="CLARION",PR!$J823,IF(F825="CODIX",PR!$K823,IF(F825="COSMADE",PR!$L823,IF(F825="SANCON",PR!$M823,IF(F825="DEVON",PR!$N823,IF(F825="DORTEMAG",PR!$O823,IF(F825="DGF",PR!$P823,IF(F825="DYNAMIC",PR!$Q823,IF(F825="EMZOR",PR!$R823,IF(F825="EUMATT",PR!$S823,IF(F825="FIDSON",PR!$T823,IF(F825="FCGLOBAL",PR!$U823,IF(F825="GENEITH",PR!$V823,IF(F825="GINOS",PR!$W823,IF(F825="GSK",PR!$X823,IF(F825="GLOBORG",PR!$Y823,IF(F825="GOODNEWS",PR!$Z823,IF(F825="GREENLIFE",PR!$AA823,IF(F825="HLINE",PR!$AB823,IF(F825="ROTECH",PR!$AC823,IF(F825="ISN",PR!$AD823,IF(F825="JAWA",PR!$AE823,IF(F825="LAYO",PR!$AF823,IF(F825="LEADWAY",PR!$AG823,IF(F825="LHV",PR!$AH823,IF(F825="MANOLA",PR!$AI823,IF(F825="MARCSON",PR!$AJ823,IF(F825="M&amp;B",PR!$AK823,IF(F825="MTRUST",PR!$AL823,IF(F825="MWORLD",PR!$AM823,IF(F825="MEGA",PR!$AN823,IF(F825="MICRONOVA",PR!$AO823,IF(F825="MFLASH",PR!$AP823,IF(F825="MORISON",PR!$AQ823,IF(F825="NEMEL",PR!$AR823,IF(F825="NHP",PR!$AS823,IF(F825="NHC",PR!$AT823,IF(F825="OLEAF",PR!$AU823,IF(F825="OCULUS",PR!$AV823,IF(F825="PACIFIC",PR!$AW823,IF(F825="PHAMATEX",PR!$AX823,IF(F825="PETHICS",PR!$AY823,IF(F825="PHILIPS",PR!$AZ823,IF(F825="RANBAXY",PR!$BA823,IF(F825="REALS",PR!$BB823,IF(F825="ROYAL",PR!$BC823,IF(F825="SAM",PR!$BD823,IF(F825="SEAGREEN",PR!$BE823,IF(F825="SKG",PR!$BF823,IF(F825="TAH",PR!$BG823,IF(F825="TAYLEK",PR!$BH823,IF(F825="TEMITA",PR!$BI823,IF(F825="THL",PR!$BJ823,IF(F825="UBASTIC",PR!$BK823,IF(F825="UNION",PR!$BL823,IF(F825="UNIQUE",PR!$BM823,IF(F825="VIXA",PR!$BN823,IF(F825="WWCV",PR!$BO823,IF(F825="ZOLON",PR!$BP823,"-"))))))))))))))))))))))))))))))))))))))))))))))))))))))))))))))))</f>
        <v>7500</v>
      </c>
      <c r="F825" s="102" t="str">
        <f>EV!L1048</f>
        <v>GINOS</v>
      </c>
      <c r="G825" s="108">
        <f>IF(H825="ALPHA",PR!$E823,IF(H825="ASSENE",PR!$F823,IF(H825="BIOFEM",PR!$G823,IF(H825="BIOMED",PR!$H823,IF(H825="CHI",PR!$I823,IF(H825="CLARION",PR!$J823,IF(H825="CODIX",PR!$K823,IF(H825="COSMADE",PR!$L823,IF(H825="SANCON",PR!$M823,IF(H825="DEVON",PR!$N823,IF(H825="DORTEMAG",PR!$O823,IF(H825="DGF",PR!$P823,IF(H825="DYNAMIC",PR!$Q823,IF(H825="EMZOR",PR!$R823,IF(H825="EUMATT",PR!$S823,IF(H825="FIDSON",PR!$T823,IF(H825="FCGLOBAL",PR!$U823,IF(H825="GENEITH",PR!$V823,IF(H825="GINOS",PR!$W823,IF(H825="GSK",PR!$X823,IF(H825="GLOBORG",PR!$Y823,IF(H825="GOODNEWS",PR!$Z823,IF(H825="GREENLIFE",PR!$AA823,IF(H825="HLINE",PR!$AB823,IF(H825="ROTECH",PR!$AC823,IF(H825="ISN",PR!$AD823,IF(H825="JAWA",PR!$AE823,IF(H825="LAYO",PR!$AF823,IF(H825="LEADWAY",PR!$AG823,IF(H825="LHV",PR!$AH823,IF(H825="MANOLA",PR!$AI823,IF(H825="MARCSON",PR!$AJ823,IF(H825="M&amp;B",PR!$AK823,IF(H825="MTRUST",PR!$AL823,IF(H825="MWORLD",PR!$AM823,IF(H825="MEGA",PR!$AN823,IF(H825="MICRONOVA",PR!$AO823,IF(H825="MFLASH",PR!$AP823,IF(H825="MORISON",PR!$AQ823,IF(H825="NEMEL",PR!$AR823,IF(H825="NHP",PR!$AS823,IF(H825="NHC",PR!$AT823,IF(H825="OLEAF",PR!$AU823,IF(H825="OCULUS",PR!$AV823,IF(H825="PACIFIC",PR!$AW823,IF(H825="PHAMATEX",PR!$AX823,IF(H825="PETHICS",PR!$AY823,IF(H825="PHILIPS",PR!$AZ823,IF(H825="RANBAXY",PR!$BA823,IF(H825="REALS",PR!$BB823,IF(H825="ROYAL",PR!$BC823,IF(H825="SAM",PR!$BD823,IF(H825="SEAGREEN",PR!$BE823,IF(H825="SKG",PR!$BF823,IF(H825="TAH",PR!$BG823,IF(H825="TAYLEK",PR!$BH823,IF(H825="TEMITA",PR!$BI823,IF(H825="THL",PR!$BJ823,IF(H825="UBASTIC",PR!$BK823,IF(H825="UNION",PR!$BL823,IF(H825="UNIQUE",PR!$BM823,IF(H825="VIXA",PR!$BN823,IF(H825="WWCV",PR!$BO823,IF(H825="ZOLON",PR!$BP823,"-"))))))))))))))))))))))))))))))))))))))))))))))))))))))))))))))))</f>
        <v>8750</v>
      </c>
      <c r="H825" s="102" t="str">
        <f>EV!M1048</f>
        <v>UBASTIC</v>
      </c>
      <c r="I825" s="108">
        <f>IF(J825="ALPHA",PR!$E823,IF(J825="ASSENE",PR!$F823,IF(J825="BIOFEM",PR!$G823,IF(J825="BIOMED",PR!$H823,IF(J825="CHI",PR!$I823,IF(J825="CLARION",PR!$J823,IF(J825="CODIX",PR!$K823,IF(J825="COSMADE",PR!$L823,IF(J825="SANCON",PR!$M823,IF(J825="DEVON",PR!$N823,IF(J825="DORTEMAG",PR!$O823,IF(J825="DGF",PR!$P823,IF(J825="DYNAMIC",PR!$Q823,IF(J825="EMZOR",PR!$R823,IF(J825="EUMATT",PR!$S823,IF(J825="FIDSON",PR!$T823,IF(J825="FCGLOBAL",PR!$U823,IF(J825="GENEITH",PR!$V823,IF(J825="GINOS",PR!$W823,IF(J825="GSK",PR!$X823,IF(J825="GLOBORG",PR!$Y823,IF(J825="GOODNEWS",PR!$Z823,IF(J825="GREENLIFE",PR!$AA823,IF(J825="HLINE",PR!$AB823,IF(J825="ROTECH",PR!$AC823,IF(J825="ISN",PR!$AD823,IF(J825="JAWA",PR!$AE823,IF(J825="LAYO",PR!$AF823,IF(J825="LEADWAY",PR!$AG823,IF(J825="LHV",PR!$AH823,IF(J825="MANOLA",PR!$AI823,IF(J825="MARCSON",PR!$AJ823,IF(J825="M&amp;B",PR!$AK823,IF(J825="MTRUST",PR!$AL823,IF(J825="MWORLD",PR!$AM823,IF(J825="MEGA",PR!$AN823,IF(J825="MICRONOVA",PR!$AO823,IF(J825="MFLASH",PR!$AP823,IF(J825="MORISON",PR!$AQ823,IF(J825="NEMEL",PR!$AR823,IF(J825="NHP",PR!$AS823,IF(J825="NHC",PR!$AT823,IF(J825="OLEAF",PR!$AU823,IF(J825="OCULUS",PR!$AV823,IF(J825="PACIFIC",PR!$AW823,IF(J825="PHAMATEX",PR!$AX823,IF(J825="PETHICS",PR!$AY823,IF(J825="PHILIPS",PR!$AZ823,IF(J825="RANBAXY",PR!$BA823,IF(J825="REALS",PR!$BB823,IF(J825="ROYAL",PR!$BC823,IF(J825="SAM",PR!$BD823,IF(J825="SEAGREEN",PR!$BE823,IF(J825="SKG",PR!$BF823,IF(J825="TAH",PR!$BG823,IF(J825="TAYLEK",PR!$BH823,IF(J825="TEMITA",PR!$BI823,IF(J825="THL",PR!$BJ823,IF(J825="UBASTIC",PR!$BK823,IF(J825="UNION",PR!$BL823,IF(J825="UNIQUE",PR!$BM823,IF(J825="VIXA",PR!$BN823,IF(J825="WWCV",PR!$BO823,IF(J825="ZOLON",PR!$BP823,"-"))))))))))))))))))))))))))))))))))))))))))))))))))))))))))))))))</f>
        <v>9630.9</v>
      </c>
      <c r="J825" s="102" t="str">
        <f>EV!N1048</f>
        <v>PACIFIC</v>
      </c>
      <c r="K825" s="433" t="s">
        <v>1457</v>
      </c>
      <c r="L825" s="183">
        <f>IF(K825&gt;0,IF(K825="ALPHA",PR!$E823,IF(K825="ASSENE",PR!$F823,IF(K825="BIOFEM",PR!$G823,IF(K825="BIOMED",PR!$H823,IF(K825="CHI",PR!$I823,IF(K825="CLARION",PR!$J823,IF(K825="CODIX",PR!$K823,IF(K825="COSMADE",PR!$L823,IF(K825="SANCON",PR!$M823,IF(K825="DEVON",PR!$N823,IF(K825="DORTEMAG",PR!$O823,IF(K825="DGF",PR!$P823,IF(K825="DYNAMIC",PR!$Q823,IF(K825="EMZOR",PR!$R823,IF(K825="EUMATT",PR!$S823,IF(K825="FIDSON",PR!$T823,IF(K825="FCGLOBAL",PR!$U823,IF(K825="GENEITH",PR!$V823,IF(K825="GINOS",PR!$W823,IF(K825="GSK",PR!$X823,IF(K825="GLOBORG",PR!$Y823,IF(K825="GOODNEWS",PR!$Z823,IF(K825="GREENLIFE",PR!$AA823,IF(K825="HLINE",PR!$AB823,IF(K825="ROTECH",PR!$AC823,IF(K825="ISN",PR!$AD823,IF(K825="JAWA",PR!$AE823,IF(K825="LAYO",PR!$AF823,IF(K825="LEADWAY",PR!$AG823,IF(K825="LHV",PR!$AH823,IF(K825="MANOLA",PR!$AI823,IF(K825="MARCSON",PR!$AJ823,IF(K825="M&amp;B",PR!$AK823,IF(K825="MTRUST",PR!$AL823,IF(K825="MWORLD",PR!$AM823,IF(K825="MEGA",PR!$AN823,IF(K825="MICRONOVA",PR!$AO823,IF(K825="MFLASH",PR!$AP823,IF(K825="MORISON",PR!$AQ823,IF(K825="NEMEL",PR!$AR823,IF(K825="NHP",PR!$AS823,IF(K825="NHC",PR!$AT823,IF(K825="OLEAF",PR!$AU823,IF(K825="OCULUS",PR!$AV823,IF(K825="PACIFIC",PR!$AW823,IF(K825="PHAMATEX",PR!$AX823,IF(K825="PETHICS",PR!$AY823,IF(K825="PHILIPS",PR!$AZ823,IF(K825="RANBAXY",PR!$BA823,IF(K825="REALS",PR!$BB823,IF(K825="ROYAL",PR!$BC823,IF(K825="SAM",PR!$BD823,IF(K825="SEAGREEN",PR!$BE823,IF(K825="SKG",PR!$BF823,IF(K825="TAH",PR!$BG823,IF(K825="TAYLEK",PR!$BH823,IF(K825="TEMITA",PR!$BI823,IF(K825="THL",PR!$BJ823,IF(K825="UBASTIC",PR!$BK823,IF(K825="UNION",PR!$BL823,IF(K825="UNIQUE",PR!$BM823,IF(K825="VIXA",PR!$BN823,IF(K825="WWCV",PR!$BO823,IF(K825="ZOLON",PR!$BP823,"-")))))))))))))))))))))))))))))))))))))))))))))))))))))))))))))))))</f>
        <v>9630.9</v>
      </c>
    </row>
    <row r="826" spans="1:12" ht="18.75" x14ac:dyDescent="0.3">
      <c r="A826" s="430">
        <f>PR!A824</f>
        <v>740</v>
      </c>
      <c r="B826" s="15" t="str">
        <f>PR!B824</f>
        <v>VICRYL 3/0 ROUND BODY 1/2 CIRCLE (ETHICON)</v>
      </c>
      <c r="C826" s="113">
        <f>PR!D824</f>
        <v>12</v>
      </c>
      <c r="D826" s="113">
        <f>PR!C824</f>
        <v>80</v>
      </c>
      <c r="E826" s="108">
        <f>IF(F826="ALPHA",PR!$E824,IF(F826="ASSENE",PR!$F824,IF(F826="BIOFEM",PR!$G824,IF(F826="BIOMED",PR!$H824,IF(F826="CHI",PR!$I824,IF(F826="CLARION",PR!$J824,IF(F826="CODIX",PR!$K824,IF(F826="COSMADE",PR!$L824,IF(F826="SANCON",PR!$M824,IF(F826="DEVON",PR!$N824,IF(F826="DORTEMAG",PR!$O824,IF(F826="DGF",PR!$P824,IF(F826="DYNAMIC",PR!$Q824,IF(F826="EMZOR",PR!$R824,IF(F826="EUMATT",PR!$S824,IF(F826="FIDSON",PR!$T824,IF(F826="FCGLOBAL",PR!$U824,IF(F826="GENEITH",PR!$V824,IF(F826="GINOS",PR!$W824,IF(F826="GSK",PR!$X824,IF(F826="GLOBORG",PR!$Y824,IF(F826="GOODNEWS",PR!$Z824,IF(F826="GREENLIFE",PR!$AA824,IF(F826="HLINE",PR!$AB824,IF(F826="ROTECH",PR!$AC824,IF(F826="ISN",PR!$AD824,IF(F826="JAWA",PR!$AE824,IF(F826="LAYO",PR!$AF824,IF(F826="LEADWAY",PR!$AG824,IF(F826="LHV",PR!$AH824,IF(F826="MANOLA",PR!$AI824,IF(F826="MARCSON",PR!$AJ824,IF(F826="M&amp;B",PR!$AK824,IF(F826="MTRUST",PR!$AL824,IF(F826="MWORLD",PR!$AM824,IF(F826="MEGA",PR!$AN824,IF(F826="MICRONOVA",PR!$AO824,IF(F826="MFLASH",PR!$AP824,IF(F826="MORISON",PR!$AQ824,IF(F826="NEMEL",PR!$AR824,IF(F826="NHP",PR!$AS824,IF(F826="NHC",PR!$AT824,IF(F826="OLEAF",PR!$AU824,IF(F826="OCULUS",PR!$AV824,IF(F826="PACIFIC",PR!$AW824,IF(F826="PHAMATEX",PR!$AX824,IF(F826="PETHICS",PR!$AY824,IF(F826="PHILIPS",PR!$AZ824,IF(F826="RANBAXY",PR!$BA824,IF(F826="REALS",PR!$BB824,IF(F826="ROYAL",PR!$BC824,IF(F826="SAM",PR!$BD824,IF(F826="SEAGREEN",PR!$BE824,IF(F826="SKG",PR!$BF824,IF(F826="TAH",PR!$BG824,IF(F826="TAYLEK",PR!$BH824,IF(F826="TEMITA",PR!$BI824,IF(F826="THL",PR!$BJ824,IF(F826="UBASTIC",PR!$BK824,IF(F826="UNION",PR!$BL824,IF(F826="UNIQUE",PR!$BM824,IF(F826="VIXA",PR!$BN824,IF(F826="WWCV",PR!$BO824,IF(F826="ZOLON",PR!$BP824,"-"))))))))))))))))))))))))))))))))))))))))))))))))))))))))))))))))</f>
        <v>7000</v>
      </c>
      <c r="F826" s="102" t="str">
        <f>EV!L1049</f>
        <v>GINOS</v>
      </c>
      <c r="G826" s="108">
        <f>IF(H826="ALPHA",PR!$E824,IF(H826="ASSENE",PR!$F824,IF(H826="BIOFEM",PR!$G824,IF(H826="BIOMED",PR!$H824,IF(H826="CHI",PR!$I824,IF(H826="CLARION",PR!$J824,IF(H826="CODIX",PR!$K824,IF(H826="COSMADE",PR!$L824,IF(H826="SANCON",PR!$M824,IF(H826="DEVON",PR!$N824,IF(H826="DORTEMAG",PR!$O824,IF(H826="DGF",PR!$P824,IF(H826="DYNAMIC",PR!$Q824,IF(H826="EMZOR",PR!$R824,IF(H826="EUMATT",PR!$S824,IF(H826="FIDSON",PR!$T824,IF(H826="FCGLOBAL",PR!$U824,IF(H826="GENEITH",PR!$V824,IF(H826="GINOS",PR!$W824,IF(H826="GSK",PR!$X824,IF(H826="GLOBORG",PR!$Y824,IF(H826="GOODNEWS",PR!$Z824,IF(H826="GREENLIFE",PR!$AA824,IF(H826="HLINE",PR!$AB824,IF(H826="ROTECH",PR!$AC824,IF(H826="ISN",PR!$AD824,IF(H826="JAWA",PR!$AE824,IF(H826="LAYO",PR!$AF824,IF(H826="LEADWAY",PR!$AG824,IF(H826="LHV",PR!$AH824,IF(H826="MANOLA",PR!$AI824,IF(H826="MARCSON",PR!$AJ824,IF(H826="M&amp;B",PR!$AK824,IF(H826="MTRUST",PR!$AL824,IF(H826="MWORLD",PR!$AM824,IF(H826="MEGA",PR!$AN824,IF(H826="MICRONOVA",PR!$AO824,IF(H826="MFLASH",PR!$AP824,IF(H826="MORISON",PR!$AQ824,IF(H826="NEMEL",PR!$AR824,IF(H826="NHP",PR!$AS824,IF(H826="NHC",PR!$AT824,IF(H826="OLEAF",PR!$AU824,IF(H826="OCULUS",PR!$AV824,IF(H826="PACIFIC",PR!$AW824,IF(H826="PHAMATEX",PR!$AX824,IF(H826="PETHICS",PR!$AY824,IF(H826="PHILIPS",PR!$AZ824,IF(H826="RANBAXY",PR!$BA824,IF(H826="REALS",PR!$BB824,IF(H826="ROYAL",PR!$BC824,IF(H826="SAM",PR!$BD824,IF(H826="SEAGREEN",PR!$BE824,IF(H826="SKG",PR!$BF824,IF(H826="TAH",PR!$BG824,IF(H826="TAYLEK",PR!$BH824,IF(H826="TEMITA",PR!$BI824,IF(H826="THL",PR!$BJ824,IF(H826="UBASTIC",PR!$BK824,IF(H826="UNION",PR!$BL824,IF(H826="UNIQUE",PR!$BM824,IF(H826="VIXA",PR!$BN824,IF(H826="WWCV",PR!$BO824,IF(H826="ZOLON",PR!$BP824,"-"))))))))))))))))))))))))))))))))))))))))))))))))))))))))))))))))</f>
        <v>8750</v>
      </c>
      <c r="H826" s="102" t="str">
        <f>EV!M1049</f>
        <v>UBASTIC</v>
      </c>
      <c r="I826" s="108">
        <f>IF(J826="ALPHA",PR!$E824,IF(J826="ASSENE",PR!$F824,IF(J826="BIOFEM",PR!$G824,IF(J826="BIOMED",PR!$H824,IF(J826="CHI",PR!$I824,IF(J826="CLARION",PR!$J824,IF(J826="CODIX",PR!$K824,IF(J826="COSMADE",PR!$L824,IF(J826="SANCON",PR!$M824,IF(J826="DEVON",PR!$N824,IF(J826="DORTEMAG",PR!$O824,IF(J826="DGF",PR!$P824,IF(J826="DYNAMIC",PR!$Q824,IF(J826="EMZOR",PR!$R824,IF(J826="EUMATT",PR!$S824,IF(J826="FIDSON",PR!$T824,IF(J826="FCGLOBAL",PR!$U824,IF(J826="GENEITH",PR!$V824,IF(J826="GINOS",PR!$W824,IF(J826="GSK",PR!$X824,IF(J826="GLOBORG",PR!$Y824,IF(J826="GOODNEWS",PR!$Z824,IF(J826="GREENLIFE",PR!$AA824,IF(J826="HLINE",PR!$AB824,IF(J826="ROTECH",PR!$AC824,IF(J826="ISN",PR!$AD824,IF(J826="JAWA",PR!$AE824,IF(J826="LAYO",PR!$AF824,IF(J826="LEADWAY",PR!$AG824,IF(J826="LHV",PR!$AH824,IF(J826="MANOLA",PR!$AI824,IF(J826="MARCSON",PR!$AJ824,IF(J826="M&amp;B",PR!$AK824,IF(J826="MTRUST",PR!$AL824,IF(J826="MWORLD",PR!$AM824,IF(J826="MEGA",PR!$AN824,IF(J826="MICRONOVA",PR!$AO824,IF(J826="MFLASH",PR!$AP824,IF(J826="MORISON",PR!$AQ824,IF(J826="NEMEL",PR!$AR824,IF(J826="NHP",PR!$AS824,IF(J826="NHC",PR!$AT824,IF(J826="OLEAF",PR!$AU824,IF(J826="OCULUS",PR!$AV824,IF(J826="PACIFIC",PR!$AW824,IF(J826="PHAMATEX",PR!$AX824,IF(J826="PETHICS",PR!$AY824,IF(J826="PHILIPS",PR!$AZ824,IF(J826="RANBAXY",PR!$BA824,IF(J826="REALS",PR!$BB824,IF(J826="ROYAL",PR!$BC824,IF(J826="SAM",PR!$BD824,IF(J826="SEAGREEN",PR!$BE824,IF(J826="SKG",PR!$BF824,IF(J826="TAH",PR!$BG824,IF(J826="TAYLEK",PR!$BH824,IF(J826="TEMITA",PR!$BI824,IF(J826="THL",PR!$BJ824,IF(J826="UBASTIC",PR!$BK824,IF(J826="UNION",PR!$BL824,IF(J826="UNIQUE",PR!$BM824,IF(J826="VIXA",PR!$BN824,IF(J826="WWCV",PR!$BO824,IF(J826="ZOLON",PR!$BP824,"-"))))))))))))))))))))))))))))))))))))))))))))))))))))))))))))))))</f>
        <v>9108.9</v>
      </c>
      <c r="J826" s="102" t="str">
        <f>EV!N1049</f>
        <v>PACIFIC</v>
      </c>
      <c r="K826" s="433" t="s">
        <v>1457</v>
      </c>
      <c r="L826" s="183">
        <f>IF(K826&gt;0,IF(K826="ALPHA",PR!$E824,IF(K826="ASSENE",PR!$F824,IF(K826="BIOFEM",PR!$G824,IF(K826="BIOMED",PR!$H824,IF(K826="CHI",PR!$I824,IF(K826="CLARION",PR!$J824,IF(K826="CODIX",PR!$K824,IF(K826="COSMADE",PR!$L824,IF(K826="SANCON",PR!$M824,IF(K826="DEVON",PR!$N824,IF(K826="DORTEMAG",PR!$O824,IF(K826="DGF",PR!$P824,IF(K826="DYNAMIC",PR!$Q824,IF(K826="EMZOR",PR!$R824,IF(K826="EUMATT",PR!$S824,IF(K826="FIDSON",PR!$T824,IF(K826="FCGLOBAL",PR!$U824,IF(K826="GENEITH",PR!$V824,IF(K826="GINOS",PR!$W824,IF(K826="GSK",PR!$X824,IF(K826="GLOBORG",PR!$Y824,IF(K826="GOODNEWS",PR!$Z824,IF(K826="GREENLIFE",PR!$AA824,IF(K826="HLINE",PR!$AB824,IF(K826="ROTECH",PR!$AC824,IF(K826="ISN",PR!$AD824,IF(K826="JAWA",PR!$AE824,IF(K826="LAYO",PR!$AF824,IF(K826="LEADWAY",PR!$AG824,IF(K826="LHV",PR!$AH824,IF(K826="MANOLA",PR!$AI824,IF(K826="MARCSON",PR!$AJ824,IF(K826="M&amp;B",PR!$AK824,IF(K826="MTRUST",PR!$AL824,IF(K826="MWORLD",PR!$AM824,IF(K826="MEGA",PR!$AN824,IF(K826="MICRONOVA",PR!$AO824,IF(K826="MFLASH",PR!$AP824,IF(K826="MORISON",PR!$AQ824,IF(K826="NEMEL",PR!$AR824,IF(K826="NHP",PR!$AS824,IF(K826="NHC",PR!$AT824,IF(K826="OLEAF",PR!$AU824,IF(K826="OCULUS",PR!$AV824,IF(K826="PACIFIC",PR!$AW824,IF(K826="PHAMATEX",PR!$AX824,IF(K826="PETHICS",PR!$AY824,IF(K826="PHILIPS",PR!$AZ824,IF(K826="RANBAXY",PR!$BA824,IF(K826="REALS",PR!$BB824,IF(K826="ROYAL",PR!$BC824,IF(K826="SAM",PR!$BD824,IF(K826="SEAGREEN",PR!$BE824,IF(K826="SKG",PR!$BF824,IF(K826="TAH",PR!$BG824,IF(K826="TAYLEK",PR!$BH824,IF(K826="TEMITA",PR!$BI824,IF(K826="THL",PR!$BJ824,IF(K826="UBASTIC",PR!$BK824,IF(K826="UNION",PR!$BL824,IF(K826="UNIQUE",PR!$BM824,IF(K826="VIXA",PR!$BN824,IF(K826="WWCV",PR!$BO824,IF(K826="ZOLON",PR!$BP824,"-")))))))))))))))))))))))))))))))))))))))))))))))))))))))))))))))))</f>
        <v>9108.9</v>
      </c>
    </row>
    <row r="827" spans="1:12" ht="18.75" x14ac:dyDescent="0.3">
      <c r="A827" s="430">
        <f>PR!A825</f>
        <v>741</v>
      </c>
      <c r="B827" s="15" t="str">
        <f>PR!B825</f>
        <v>VICRYL 4/0 ROUND BODY 1/2 CIRCLE (ETHICON)</v>
      </c>
      <c r="C827" s="113">
        <f>PR!D825</f>
        <v>12</v>
      </c>
      <c r="D827" s="113">
        <f>PR!C825</f>
        <v>24</v>
      </c>
      <c r="E827" s="108">
        <f>IF(F827="ALPHA",PR!$E825,IF(F827="ASSENE",PR!$F825,IF(F827="BIOFEM",PR!$G825,IF(F827="BIOMED",PR!$H825,IF(F827="CHI",PR!$I825,IF(F827="CLARION",PR!$J825,IF(F827="CODIX",PR!$K825,IF(F827="COSMADE",PR!$L825,IF(F827="SANCON",PR!$M825,IF(F827="DEVON",PR!$N825,IF(F827="DORTEMAG",PR!$O825,IF(F827="DGF",PR!$P825,IF(F827="DYNAMIC",PR!$Q825,IF(F827="EMZOR",PR!$R825,IF(F827="EUMATT",PR!$S825,IF(F827="FIDSON",PR!$T825,IF(F827="FCGLOBAL",PR!$U825,IF(F827="GENEITH",PR!$V825,IF(F827="GINOS",PR!$W825,IF(F827="GSK",PR!$X825,IF(F827="GLOBORG",PR!$Y825,IF(F827="GOODNEWS",PR!$Z825,IF(F827="GREENLIFE",PR!$AA825,IF(F827="HLINE",PR!$AB825,IF(F827="ROTECH",PR!$AC825,IF(F827="ISN",PR!$AD825,IF(F827="JAWA",PR!$AE825,IF(F827="LAYO",PR!$AF825,IF(F827="LEADWAY",PR!$AG825,IF(F827="LHV",PR!$AH825,IF(F827="MANOLA",PR!$AI825,IF(F827="MARCSON",PR!$AJ825,IF(F827="M&amp;B",PR!$AK825,IF(F827="MTRUST",PR!$AL825,IF(F827="MWORLD",PR!$AM825,IF(F827="MEGA",PR!$AN825,IF(F827="MICRONOVA",PR!$AO825,IF(F827="MFLASH",PR!$AP825,IF(F827="MORISON",PR!$AQ825,IF(F827="NEMEL",PR!$AR825,IF(F827="NHP",PR!$AS825,IF(F827="NHC",PR!$AT825,IF(F827="OLEAF",PR!$AU825,IF(F827="OCULUS",PR!$AV825,IF(F827="PACIFIC",PR!$AW825,IF(F827="PHAMATEX",PR!$AX825,IF(F827="PETHICS",PR!$AY825,IF(F827="PHILIPS",PR!$AZ825,IF(F827="RANBAXY",PR!$BA825,IF(F827="REALS",PR!$BB825,IF(F827="ROYAL",PR!$BC825,IF(F827="SAM",PR!$BD825,IF(F827="SEAGREEN",PR!$BE825,IF(F827="SKG",PR!$BF825,IF(F827="TAH",PR!$BG825,IF(F827="TAYLEK",PR!$BH825,IF(F827="TEMITA",PR!$BI825,IF(F827="THL",PR!$BJ825,IF(F827="UBASTIC",PR!$BK825,IF(F827="UNION",PR!$BL825,IF(F827="UNIQUE",PR!$BM825,IF(F827="VIXA",PR!$BN825,IF(F827="WWCV",PR!$BO825,IF(F827="ZOLON",PR!$BP825,"-"))))))))))))))))))))))))))))))))))))))))))))))))))))))))))))))))</f>
        <v>7000</v>
      </c>
      <c r="F827" s="102" t="str">
        <f>EV!L1050</f>
        <v>GINOS</v>
      </c>
      <c r="G827" s="108">
        <f>IF(H827="ALPHA",PR!$E825,IF(H827="ASSENE",PR!$F825,IF(H827="BIOFEM",PR!$G825,IF(H827="BIOMED",PR!$H825,IF(H827="CHI",PR!$I825,IF(H827="CLARION",PR!$J825,IF(H827="CODIX",PR!$K825,IF(H827="COSMADE",PR!$L825,IF(H827="SANCON",PR!$M825,IF(H827="DEVON",PR!$N825,IF(H827="DORTEMAG",PR!$O825,IF(H827="DGF",PR!$P825,IF(H827="DYNAMIC",PR!$Q825,IF(H827="EMZOR",PR!$R825,IF(H827="EUMATT",PR!$S825,IF(H827="FIDSON",PR!$T825,IF(H827="FCGLOBAL",PR!$U825,IF(H827="GENEITH",PR!$V825,IF(H827="GINOS",PR!$W825,IF(H827="GSK",PR!$X825,IF(H827="GLOBORG",PR!$Y825,IF(H827="GOODNEWS",PR!$Z825,IF(H827="GREENLIFE",PR!$AA825,IF(H827="HLINE",PR!$AB825,IF(H827="ROTECH",PR!$AC825,IF(H827="ISN",PR!$AD825,IF(H827="JAWA",PR!$AE825,IF(H827="LAYO",PR!$AF825,IF(H827="LEADWAY",PR!$AG825,IF(H827="LHV",PR!$AH825,IF(H827="MANOLA",PR!$AI825,IF(H827="MARCSON",PR!$AJ825,IF(H827="M&amp;B",PR!$AK825,IF(H827="MTRUST",PR!$AL825,IF(H827="MWORLD",PR!$AM825,IF(H827="MEGA",PR!$AN825,IF(H827="MICRONOVA",PR!$AO825,IF(H827="MFLASH",PR!$AP825,IF(H827="MORISON",PR!$AQ825,IF(H827="NEMEL",PR!$AR825,IF(H827="NHP",PR!$AS825,IF(H827="NHC",PR!$AT825,IF(H827="OLEAF",PR!$AU825,IF(H827="OCULUS",PR!$AV825,IF(H827="PACIFIC",PR!$AW825,IF(H827="PHAMATEX",PR!$AX825,IF(H827="PETHICS",PR!$AY825,IF(H827="PHILIPS",PR!$AZ825,IF(H827="RANBAXY",PR!$BA825,IF(H827="REALS",PR!$BB825,IF(H827="ROYAL",PR!$BC825,IF(H827="SAM",PR!$BD825,IF(H827="SEAGREEN",PR!$BE825,IF(H827="SKG",PR!$BF825,IF(H827="TAH",PR!$BG825,IF(H827="TAYLEK",PR!$BH825,IF(H827="TEMITA",PR!$BI825,IF(H827="THL",PR!$BJ825,IF(H827="UBASTIC",PR!$BK825,IF(H827="UNION",PR!$BL825,IF(H827="UNIQUE",PR!$BM825,IF(H827="VIXA",PR!$BN825,IF(H827="WWCV",PR!$BO825,IF(H827="ZOLON",PR!$BP825,"-"))))))))))))))))))))))))))))))))))))))))))))))))))))))))))))))))</f>
        <v>8750</v>
      </c>
      <c r="H827" s="102" t="str">
        <f>EV!M1050</f>
        <v>UBASTIC</v>
      </c>
      <c r="I827" s="108">
        <f>IF(J827="ALPHA",PR!$E825,IF(J827="ASSENE",PR!$F825,IF(J827="BIOFEM",PR!$G825,IF(J827="BIOMED",PR!$H825,IF(J827="CHI",PR!$I825,IF(J827="CLARION",PR!$J825,IF(J827="CODIX",PR!$K825,IF(J827="COSMADE",PR!$L825,IF(J827="SANCON",PR!$M825,IF(J827="DEVON",PR!$N825,IF(J827="DORTEMAG",PR!$O825,IF(J827="DGF",PR!$P825,IF(J827="DYNAMIC",PR!$Q825,IF(J827="EMZOR",PR!$R825,IF(J827="EUMATT",PR!$S825,IF(J827="FIDSON",PR!$T825,IF(J827="FCGLOBAL",PR!$U825,IF(J827="GENEITH",PR!$V825,IF(J827="GINOS",PR!$W825,IF(J827="GSK",PR!$X825,IF(J827="GLOBORG",PR!$Y825,IF(J827="GOODNEWS",PR!$Z825,IF(J827="GREENLIFE",PR!$AA825,IF(J827="HLINE",PR!$AB825,IF(J827="ROTECH",PR!$AC825,IF(J827="ISN",PR!$AD825,IF(J827="JAWA",PR!$AE825,IF(J827="LAYO",PR!$AF825,IF(J827="LEADWAY",PR!$AG825,IF(J827="LHV",PR!$AH825,IF(J827="MANOLA",PR!$AI825,IF(J827="MARCSON",PR!$AJ825,IF(J827="M&amp;B",PR!$AK825,IF(J827="MTRUST",PR!$AL825,IF(J827="MWORLD",PR!$AM825,IF(J827="MEGA",PR!$AN825,IF(J827="MICRONOVA",PR!$AO825,IF(J827="MFLASH",PR!$AP825,IF(J827="MORISON",PR!$AQ825,IF(J827="NEMEL",PR!$AR825,IF(J827="NHP",PR!$AS825,IF(J827="NHC",PR!$AT825,IF(J827="OLEAF",PR!$AU825,IF(J827="OCULUS",PR!$AV825,IF(J827="PACIFIC",PR!$AW825,IF(J827="PHAMATEX",PR!$AX825,IF(J827="PETHICS",PR!$AY825,IF(J827="PHILIPS",PR!$AZ825,IF(J827="RANBAXY",PR!$BA825,IF(J827="REALS",PR!$BB825,IF(J827="ROYAL",PR!$BC825,IF(J827="SAM",PR!$BD825,IF(J827="SEAGREEN",PR!$BE825,IF(J827="SKG",PR!$BF825,IF(J827="TAH",PR!$BG825,IF(J827="TAYLEK",PR!$BH825,IF(J827="TEMITA",PR!$BI825,IF(J827="THL",PR!$BJ825,IF(J827="UBASTIC",PR!$BK825,IF(J827="UNION",PR!$BL825,IF(J827="UNIQUE",PR!$BM825,IF(J827="VIXA",PR!$BN825,IF(J827="WWCV",PR!$BO825,IF(J827="ZOLON",PR!$BP825,"-"))))))))))))))))))))))))))))))))))))))))))))))))))))))))))))))))</f>
        <v>10570.5</v>
      </c>
      <c r="J827" s="102" t="str">
        <f>EV!N1050</f>
        <v>PACIFIC</v>
      </c>
      <c r="K827" s="433" t="s">
        <v>1457</v>
      </c>
      <c r="L827" s="183">
        <f>IF(K827&gt;0,IF(K827="ALPHA",PR!$E825,IF(K827="ASSENE",PR!$F825,IF(K827="BIOFEM",PR!$G825,IF(K827="BIOMED",PR!$H825,IF(K827="CHI",PR!$I825,IF(K827="CLARION",PR!$J825,IF(K827="CODIX",PR!$K825,IF(K827="COSMADE",PR!$L825,IF(K827="SANCON",PR!$M825,IF(K827="DEVON",PR!$N825,IF(K827="DORTEMAG",PR!$O825,IF(K827="DGF",PR!$P825,IF(K827="DYNAMIC",PR!$Q825,IF(K827="EMZOR",PR!$R825,IF(K827="EUMATT",PR!$S825,IF(K827="FIDSON",PR!$T825,IF(K827="FCGLOBAL",PR!$U825,IF(K827="GENEITH",PR!$V825,IF(K827="GINOS",PR!$W825,IF(K827="GSK",PR!$X825,IF(K827="GLOBORG",PR!$Y825,IF(K827="GOODNEWS",PR!$Z825,IF(K827="GREENLIFE",PR!$AA825,IF(K827="HLINE",PR!$AB825,IF(K827="ROTECH",PR!$AC825,IF(K827="ISN",PR!$AD825,IF(K827="JAWA",PR!$AE825,IF(K827="LAYO",PR!$AF825,IF(K827="LEADWAY",PR!$AG825,IF(K827="LHV",PR!$AH825,IF(K827="MANOLA",PR!$AI825,IF(K827="MARCSON",PR!$AJ825,IF(K827="M&amp;B",PR!$AK825,IF(K827="MTRUST",PR!$AL825,IF(K827="MWORLD",PR!$AM825,IF(K827="MEGA",PR!$AN825,IF(K827="MICRONOVA",PR!$AO825,IF(K827="MFLASH",PR!$AP825,IF(K827="MORISON",PR!$AQ825,IF(K827="NEMEL",PR!$AR825,IF(K827="NHP",PR!$AS825,IF(K827="NHC",PR!$AT825,IF(K827="OLEAF",PR!$AU825,IF(K827="OCULUS",PR!$AV825,IF(K827="PACIFIC",PR!$AW825,IF(K827="PHAMATEX",PR!$AX825,IF(K827="PETHICS",PR!$AY825,IF(K827="PHILIPS",PR!$AZ825,IF(K827="RANBAXY",PR!$BA825,IF(K827="REALS",PR!$BB825,IF(K827="ROYAL",PR!$BC825,IF(K827="SAM",PR!$BD825,IF(K827="SEAGREEN",PR!$BE825,IF(K827="SKG",PR!$BF825,IF(K827="TAH",PR!$BG825,IF(K827="TAYLEK",PR!$BH825,IF(K827="TEMITA",PR!$BI825,IF(K827="THL",PR!$BJ825,IF(K827="UBASTIC",PR!$BK825,IF(K827="UNION",PR!$BL825,IF(K827="UNIQUE",PR!$BM825,IF(K827="VIXA",PR!$BN825,IF(K827="WWCV",PR!$BO825,IF(K827="ZOLON",PR!$BP825,"-")))))))))))))))))))))))))))))))))))))))))))))))))))))))))))))))))</f>
        <v>10570.5</v>
      </c>
    </row>
    <row r="828" spans="1:12" ht="18.75" x14ac:dyDescent="0.3">
      <c r="A828" s="430">
        <f>PR!A826</f>
        <v>742</v>
      </c>
      <c r="B828" s="15" t="str">
        <f>PR!B826</f>
        <v xml:space="preserve"> VICRYL 6/0 ROUND BODY 1/2 CIRCLE (ETHICON)</v>
      </c>
      <c r="C828" s="113">
        <f>PR!D826</f>
        <v>12</v>
      </c>
      <c r="D828" s="113">
        <f>PR!C826</f>
        <v>12</v>
      </c>
      <c r="E828" s="108">
        <f>IF(F828="ALPHA",PR!$E826,IF(F828="ASSENE",PR!$F826,IF(F828="BIOFEM",PR!$G826,IF(F828="BIOMED",PR!$H826,IF(F828="CHI",PR!$I826,IF(F828="CLARION",PR!$J826,IF(F828="CODIX",PR!$K826,IF(F828="COSMADE",PR!$L826,IF(F828="SANCON",PR!$M826,IF(F828="DEVON",PR!$N826,IF(F828="DORTEMAG",PR!$O826,IF(F828="DGF",PR!$P826,IF(F828="DYNAMIC",PR!$Q826,IF(F828="EMZOR",PR!$R826,IF(F828="EUMATT",PR!$S826,IF(F828="FIDSON",PR!$T826,IF(F828="FCGLOBAL",PR!$U826,IF(F828="GENEITH",PR!$V826,IF(F828="GINOS",PR!$W826,IF(F828="GSK",PR!$X826,IF(F828="GLOBORG",PR!$Y826,IF(F828="GOODNEWS",PR!$Z826,IF(F828="GREENLIFE",PR!$AA826,IF(F828="HLINE",PR!$AB826,IF(F828="ROTECH",PR!$AC826,IF(F828="ISN",PR!$AD826,IF(F828="JAWA",PR!$AE826,IF(F828="LAYO",PR!$AF826,IF(F828="LEADWAY",PR!$AG826,IF(F828="LHV",PR!$AH826,IF(F828="MANOLA",PR!$AI826,IF(F828="MARCSON",PR!$AJ826,IF(F828="M&amp;B",PR!$AK826,IF(F828="MTRUST",PR!$AL826,IF(F828="MWORLD",PR!$AM826,IF(F828="MEGA",PR!$AN826,IF(F828="MICRONOVA",PR!$AO826,IF(F828="MFLASH",PR!$AP826,IF(F828="MORISON",PR!$AQ826,IF(F828="NEMEL",PR!$AR826,IF(F828="NHP",PR!$AS826,IF(F828="NHC",PR!$AT826,IF(F828="OLEAF",PR!$AU826,IF(F828="OCULUS",PR!$AV826,IF(F828="PACIFIC",PR!$AW826,IF(F828="PHAMATEX",PR!$AX826,IF(F828="PETHICS",PR!$AY826,IF(F828="PHILIPS",PR!$AZ826,IF(F828="RANBAXY",PR!$BA826,IF(F828="REALS",PR!$BB826,IF(F828="ROYAL",PR!$BC826,IF(F828="SAM",PR!$BD826,IF(F828="SEAGREEN",PR!$BE826,IF(F828="SKG",PR!$BF826,IF(F828="TAH",PR!$BG826,IF(F828="TAYLEK",PR!$BH826,IF(F828="TEMITA",PR!$BI826,IF(F828="THL",PR!$BJ826,IF(F828="UBASTIC",PR!$BK826,IF(F828="UNION",PR!$BL826,IF(F828="UNIQUE",PR!$BM826,IF(F828="VIXA",PR!$BN826,IF(F828="WWCV",PR!$BO826,IF(F828="ZOLON",PR!$BP826,"-"))))))))))))))))))))))))))))))))))))))))))))))))))))))))))))))))</f>
        <v>7000</v>
      </c>
      <c r="F828" s="102" t="str">
        <f>EV!L1051</f>
        <v>GINOS</v>
      </c>
      <c r="G828" s="108">
        <f>IF(H828="ALPHA",PR!$E826,IF(H828="ASSENE",PR!$F826,IF(H828="BIOFEM",PR!$G826,IF(H828="BIOMED",PR!$H826,IF(H828="CHI",PR!$I826,IF(H828="CLARION",PR!$J826,IF(H828="CODIX",PR!$K826,IF(H828="COSMADE",PR!$L826,IF(H828="SANCON",PR!$M826,IF(H828="DEVON",PR!$N826,IF(H828="DORTEMAG",PR!$O826,IF(H828="DGF",PR!$P826,IF(H828="DYNAMIC",PR!$Q826,IF(H828="EMZOR",PR!$R826,IF(H828="EUMATT",PR!$S826,IF(H828="FIDSON",PR!$T826,IF(H828="FCGLOBAL",PR!$U826,IF(H828="GENEITH",PR!$V826,IF(H828="GINOS",PR!$W826,IF(H828="GSK",PR!$X826,IF(H828="GLOBORG",PR!$Y826,IF(H828="GOODNEWS",PR!$Z826,IF(H828="GREENLIFE",PR!$AA826,IF(H828="HLINE",PR!$AB826,IF(H828="ROTECH",PR!$AC826,IF(H828="ISN",PR!$AD826,IF(H828="JAWA",PR!$AE826,IF(H828="LAYO",PR!$AF826,IF(H828="LEADWAY",PR!$AG826,IF(H828="LHV",PR!$AH826,IF(H828="MANOLA",PR!$AI826,IF(H828="MARCSON",PR!$AJ826,IF(H828="M&amp;B",PR!$AK826,IF(H828="MTRUST",PR!$AL826,IF(H828="MWORLD",PR!$AM826,IF(H828="MEGA",PR!$AN826,IF(H828="MICRONOVA",PR!$AO826,IF(H828="MFLASH",PR!$AP826,IF(H828="MORISON",PR!$AQ826,IF(H828="NEMEL",PR!$AR826,IF(H828="NHP",PR!$AS826,IF(H828="NHC",PR!$AT826,IF(H828="OLEAF",PR!$AU826,IF(H828="OCULUS",PR!$AV826,IF(H828="PACIFIC",PR!$AW826,IF(H828="PHAMATEX",PR!$AX826,IF(H828="PETHICS",PR!$AY826,IF(H828="PHILIPS",PR!$AZ826,IF(H828="RANBAXY",PR!$BA826,IF(H828="REALS",PR!$BB826,IF(H828="ROYAL",PR!$BC826,IF(H828="SAM",PR!$BD826,IF(H828="SEAGREEN",PR!$BE826,IF(H828="SKG",PR!$BF826,IF(H828="TAH",PR!$BG826,IF(H828="TAYLEK",PR!$BH826,IF(H828="TEMITA",PR!$BI826,IF(H828="THL",PR!$BJ826,IF(H828="UBASTIC",PR!$BK826,IF(H828="UNION",PR!$BL826,IF(H828="UNIQUE",PR!$BM826,IF(H828="VIXA",PR!$BN826,IF(H828="WWCV",PR!$BO826,IF(H828="ZOLON",PR!$BP826,"-"))))))))))))))))))))))))))))))))))))))))))))))))))))))))))))))))</f>
        <v>10000</v>
      </c>
      <c r="H828" s="102" t="str">
        <f>EV!M1051</f>
        <v>UBASTIC</v>
      </c>
      <c r="I828" s="108">
        <f>IF(J828="ALPHA",PR!$E826,IF(J828="ASSENE",PR!$F826,IF(J828="BIOFEM",PR!$G826,IF(J828="BIOMED",PR!$H826,IF(J828="CHI",PR!$I826,IF(J828="CLARION",PR!$J826,IF(J828="CODIX",PR!$K826,IF(J828="COSMADE",PR!$L826,IF(J828="SANCON",PR!$M826,IF(J828="DEVON",PR!$N826,IF(J828="DORTEMAG",PR!$O826,IF(J828="DGF",PR!$P826,IF(J828="DYNAMIC",PR!$Q826,IF(J828="EMZOR",PR!$R826,IF(J828="EUMATT",PR!$S826,IF(J828="FIDSON",PR!$T826,IF(J828="FCGLOBAL",PR!$U826,IF(J828="GENEITH",PR!$V826,IF(J828="GINOS",PR!$W826,IF(J828="GSK",PR!$X826,IF(J828="GLOBORG",PR!$Y826,IF(J828="GOODNEWS",PR!$Z826,IF(J828="GREENLIFE",PR!$AA826,IF(J828="HLINE",PR!$AB826,IF(J828="ROTECH",PR!$AC826,IF(J828="ISN",PR!$AD826,IF(J828="JAWA",PR!$AE826,IF(J828="LAYO",PR!$AF826,IF(J828="LEADWAY",PR!$AG826,IF(J828="LHV",PR!$AH826,IF(J828="MANOLA",PR!$AI826,IF(J828="MARCSON",PR!$AJ826,IF(J828="M&amp;B",PR!$AK826,IF(J828="MTRUST",PR!$AL826,IF(J828="MWORLD",PR!$AM826,IF(J828="MEGA",PR!$AN826,IF(J828="MICRONOVA",PR!$AO826,IF(J828="MFLASH",PR!$AP826,IF(J828="MORISON",PR!$AQ826,IF(J828="NEMEL",PR!$AR826,IF(J828="NHP",PR!$AS826,IF(J828="NHC",PR!$AT826,IF(J828="OLEAF",PR!$AU826,IF(J828="OCULUS",PR!$AV826,IF(J828="PACIFIC",PR!$AW826,IF(J828="PHAMATEX",PR!$AX826,IF(J828="PETHICS",PR!$AY826,IF(J828="PHILIPS",PR!$AZ826,IF(J828="RANBAXY",PR!$BA826,IF(J828="REALS",PR!$BB826,IF(J828="ROYAL",PR!$BC826,IF(J828="SAM",PR!$BD826,IF(J828="SEAGREEN",PR!$BE826,IF(J828="SKG",PR!$BF826,IF(J828="TAH",PR!$BG826,IF(J828="TAYLEK",PR!$BH826,IF(J828="TEMITA",PR!$BI826,IF(J828="THL",PR!$BJ826,IF(J828="UBASTIC",PR!$BK826,IF(J828="UNION",PR!$BL826,IF(J828="UNIQUE",PR!$BM826,IF(J828="VIXA",PR!$BN826,IF(J828="WWCV",PR!$BO826,IF(J828="ZOLON",PR!$BP826,"-"))))))))))))))))))))))))))))))))))))))))))))))))))))))))))))))))</f>
        <v>19945.62</v>
      </c>
      <c r="J828" s="102" t="str">
        <f>EV!N1051</f>
        <v>PACIFIC</v>
      </c>
      <c r="K828" s="433" t="s">
        <v>1457</v>
      </c>
      <c r="L828" s="183">
        <f>IF(K828&gt;0,IF(K828="ALPHA",PR!$E826,IF(K828="ASSENE",PR!$F826,IF(K828="BIOFEM",PR!$G826,IF(K828="BIOMED",PR!$H826,IF(K828="CHI",PR!$I826,IF(K828="CLARION",PR!$J826,IF(K828="CODIX",PR!$K826,IF(K828="COSMADE",PR!$L826,IF(K828="SANCON",PR!$M826,IF(K828="DEVON",PR!$N826,IF(K828="DORTEMAG",PR!$O826,IF(K828="DGF",PR!$P826,IF(K828="DYNAMIC",PR!$Q826,IF(K828="EMZOR",PR!$R826,IF(K828="EUMATT",PR!$S826,IF(K828="FIDSON",PR!$T826,IF(K828="FCGLOBAL",PR!$U826,IF(K828="GENEITH",PR!$V826,IF(K828="GINOS",PR!$W826,IF(K828="GSK",PR!$X826,IF(K828="GLOBORG",PR!$Y826,IF(K828="GOODNEWS",PR!$Z826,IF(K828="GREENLIFE",PR!$AA826,IF(K828="HLINE",PR!$AB826,IF(K828="ROTECH",PR!$AC826,IF(K828="ISN",PR!$AD826,IF(K828="JAWA",PR!$AE826,IF(K828="LAYO",PR!$AF826,IF(K828="LEADWAY",PR!$AG826,IF(K828="LHV",PR!$AH826,IF(K828="MANOLA",PR!$AI826,IF(K828="MARCSON",PR!$AJ826,IF(K828="M&amp;B",PR!$AK826,IF(K828="MTRUST",PR!$AL826,IF(K828="MWORLD",PR!$AM826,IF(K828="MEGA",PR!$AN826,IF(K828="MICRONOVA",PR!$AO826,IF(K828="MFLASH",PR!$AP826,IF(K828="MORISON",PR!$AQ826,IF(K828="NEMEL",PR!$AR826,IF(K828="NHP",PR!$AS826,IF(K828="NHC",PR!$AT826,IF(K828="OLEAF",PR!$AU826,IF(K828="OCULUS",PR!$AV826,IF(K828="PACIFIC",PR!$AW826,IF(K828="PHAMATEX",PR!$AX826,IF(K828="PETHICS",PR!$AY826,IF(K828="PHILIPS",PR!$AZ826,IF(K828="RANBAXY",PR!$BA826,IF(K828="REALS",PR!$BB826,IF(K828="ROYAL",PR!$BC826,IF(K828="SAM",PR!$BD826,IF(K828="SEAGREEN",PR!$BE826,IF(K828="SKG",PR!$BF826,IF(K828="TAH",PR!$BG826,IF(K828="TAYLEK",PR!$BH826,IF(K828="TEMITA",PR!$BI826,IF(K828="THL",PR!$BJ826,IF(K828="UBASTIC",PR!$BK826,IF(K828="UNION",PR!$BL826,IF(K828="UNIQUE",PR!$BM826,IF(K828="VIXA",PR!$BN826,IF(K828="WWCV",PR!$BO826,IF(K828="ZOLON",PR!$BP826,"-")))))))))))))))))))))))))))))))))))))))))))))))))))))))))))))))))</f>
        <v>19945.62</v>
      </c>
    </row>
    <row r="829" spans="1:12" ht="18.75" x14ac:dyDescent="0.3">
      <c r="A829" s="430">
        <f>PR!A827</f>
        <v>743</v>
      </c>
      <c r="B829" s="15" t="str">
        <f>PR!B827</f>
        <v>PROLENE MESH (B/BRAUN)</v>
      </c>
      <c r="C829" s="113" t="str">
        <f>PR!D827</f>
        <v>PCS</v>
      </c>
      <c r="D829" s="113">
        <f>PR!C827</f>
        <v>120</v>
      </c>
      <c r="E829" s="108">
        <f>IF(F829="ALPHA",PR!$E827,IF(F829="ASSENE",PR!$F827,IF(F829="BIOFEM",PR!$G827,IF(F829="BIOMED",PR!$H827,IF(F829="CHI",PR!$I827,IF(F829="CLARION",PR!$J827,IF(F829="CODIX",PR!$K827,IF(F829="COSMADE",PR!$L827,IF(F829="SANCON",PR!$M827,IF(F829="DEVON",PR!$N827,IF(F829="DORTEMAG",PR!$O827,IF(F829="DGF",PR!$P827,IF(F829="DYNAMIC",PR!$Q827,IF(F829="EMZOR",PR!$R827,IF(F829="EUMATT",PR!$S827,IF(F829="FIDSON",PR!$T827,IF(F829="FCGLOBAL",PR!$U827,IF(F829="GENEITH",PR!$V827,IF(F829="GINOS",PR!$W827,IF(F829="GSK",PR!$X827,IF(F829="GLOBORG",PR!$Y827,IF(F829="GOODNEWS",PR!$Z827,IF(F829="GREENLIFE",PR!$AA827,IF(F829="HLINE",PR!$AB827,IF(F829="ROTECH",PR!$AC827,IF(F829="ISN",PR!$AD827,IF(F829="JAWA",PR!$AE827,IF(F829="LAYO",PR!$AF827,IF(F829="LEADWAY",PR!$AG827,IF(F829="LHV",PR!$AH827,IF(F829="MANOLA",PR!$AI827,IF(F829="MARCSON",PR!$AJ827,IF(F829="M&amp;B",PR!$AK827,IF(F829="MTRUST",PR!$AL827,IF(F829="MWORLD",PR!$AM827,IF(F829="MEGA",PR!$AN827,IF(F829="MICRONOVA",PR!$AO827,IF(F829="MFLASH",PR!$AP827,IF(F829="MORISON",PR!$AQ827,IF(F829="NEMEL",PR!$AR827,IF(F829="NHP",PR!$AS827,IF(F829="NHC",PR!$AT827,IF(F829="OLEAF",PR!$AU827,IF(F829="OCULUS",PR!$AV827,IF(F829="PACIFIC",PR!$AW827,IF(F829="PHAMATEX",PR!$AX827,IF(F829="PETHICS",PR!$AY827,IF(F829="PHILIPS",PR!$AZ827,IF(F829="RANBAXY",PR!$BA827,IF(F829="REALS",PR!$BB827,IF(F829="ROYAL",PR!$BC827,IF(F829="SAM",PR!$BD827,IF(F829="SEAGREEN",PR!$BE827,IF(F829="SKG",PR!$BF827,IF(F829="TAH",PR!$BG827,IF(F829="TAYLEK",PR!$BH827,IF(F829="TEMITA",PR!$BI827,IF(F829="THL",PR!$BJ827,IF(F829="UBASTIC",PR!$BK827,IF(F829="UNION",PR!$BL827,IF(F829="UNIQUE",PR!$BM827,IF(F829="VIXA",PR!$BN827,IF(F829="WWCV",PR!$BO827,IF(F829="ZOLON",PR!$BP827,"-"))))))))))))))))))))))))))))))))))))))))))))))))))))))))))))))))</f>
        <v>2000</v>
      </c>
      <c r="F829" s="102" t="str">
        <f>EV!L1052</f>
        <v>DYNAMIC</v>
      </c>
      <c r="G829" s="108">
        <f>IF(H829="ALPHA",PR!$E827,IF(H829="ASSENE",PR!$F827,IF(H829="BIOFEM",PR!$G827,IF(H829="BIOMED",PR!$H827,IF(H829="CHI",PR!$I827,IF(H829="CLARION",PR!$J827,IF(H829="CODIX",PR!$K827,IF(H829="COSMADE",PR!$L827,IF(H829="SANCON",PR!$M827,IF(H829="DEVON",PR!$N827,IF(H829="DORTEMAG",PR!$O827,IF(H829="DGF",PR!$P827,IF(H829="DYNAMIC",PR!$Q827,IF(H829="EMZOR",PR!$R827,IF(H829="EUMATT",PR!$S827,IF(H829="FIDSON",PR!$T827,IF(H829="FCGLOBAL",PR!$U827,IF(H829="GENEITH",PR!$V827,IF(H829="GINOS",PR!$W827,IF(H829="GSK",PR!$X827,IF(H829="GLOBORG",PR!$Y827,IF(H829="GOODNEWS",PR!$Z827,IF(H829="GREENLIFE",PR!$AA827,IF(H829="HLINE",PR!$AB827,IF(H829="ROTECH",PR!$AC827,IF(H829="ISN",PR!$AD827,IF(H829="JAWA",PR!$AE827,IF(H829="LAYO",PR!$AF827,IF(H829="LEADWAY",PR!$AG827,IF(H829="LHV",PR!$AH827,IF(H829="MANOLA",PR!$AI827,IF(H829="MARCSON",PR!$AJ827,IF(H829="M&amp;B",PR!$AK827,IF(H829="MTRUST",PR!$AL827,IF(H829="MWORLD",PR!$AM827,IF(H829="MEGA",PR!$AN827,IF(H829="MICRONOVA",PR!$AO827,IF(H829="MFLASH",PR!$AP827,IF(H829="MORISON",PR!$AQ827,IF(H829="NEMEL",PR!$AR827,IF(H829="NHP",PR!$AS827,IF(H829="NHC",PR!$AT827,IF(H829="OLEAF",PR!$AU827,IF(H829="OCULUS",PR!$AV827,IF(H829="PACIFIC",PR!$AW827,IF(H829="PHAMATEX",PR!$AX827,IF(H829="PETHICS",PR!$AY827,IF(H829="PHILIPS",PR!$AZ827,IF(H829="RANBAXY",PR!$BA827,IF(H829="REALS",PR!$BB827,IF(H829="ROYAL",PR!$BC827,IF(H829="SAM",PR!$BD827,IF(H829="SEAGREEN",PR!$BE827,IF(H829="SKG",PR!$BF827,IF(H829="TAH",PR!$BG827,IF(H829="TAYLEK",PR!$BH827,IF(H829="TEMITA",PR!$BI827,IF(H829="THL",PR!$BJ827,IF(H829="UBASTIC",PR!$BK827,IF(H829="UNION",PR!$BL827,IF(H829="UNIQUE",PR!$BM827,IF(H829="VIXA",PR!$BN827,IF(H829="WWCV",PR!$BO827,IF(H829="ZOLON",PR!$BP827,"-"))))))))))))))))))))))))))))))))))))))))))))))))))))))))))))))))</f>
        <v>7000</v>
      </c>
      <c r="H829" s="102" t="str">
        <f>EV!M1052</f>
        <v>GINOS</v>
      </c>
      <c r="I829" s="108">
        <f>IF(J829="ALPHA",PR!$E827,IF(J829="ASSENE",PR!$F827,IF(J829="BIOFEM",PR!$G827,IF(J829="BIOMED",PR!$H827,IF(J829="CHI",PR!$I827,IF(J829="CLARION",PR!$J827,IF(J829="CODIX",PR!$K827,IF(J829="COSMADE",PR!$L827,IF(J829="SANCON",PR!$M827,IF(J829="DEVON",PR!$N827,IF(J829="DORTEMAG",PR!$O827,IF(J829="DGF",PR!$P827,IF(J829="DYNAMIC",PR!$Q827,IF(J829="EMZOR",PR!$R827,IF(J829="EUMATT",PR!$S827,IF(J829="FIDSON",PR!$T827,IF(J829="FCGLOBAL",PR!$U827,IF(J829="GENEITH",PR!$V827,IF(J829="GINOS",PR!$W827,IF(J829="GSK",PR!$X827,IF(J829="GLOBORG",PR!$Y827,IF(J829="GOODNEWS",PR!$Z827,IF(J829="GREENLIFE",PR!$AA827,IF(J829="HLINE",PR!$AB827,IF(J829="ROTECH",PR!$AC827,IF(J829="ISN",PR!$AD827,IF(J829="JAWA",PR!$AE827,IF(J829="LAYO",PR!$AF827,IF(J829="LEADWAY",PR!$AG827,IF(J829="LHV",PR!$AH827,IF(J829="MANOLA",PR!$AI827,IF(J829="MARCSON",PR!$AJ827,IF(J829="M&amp;B",PR!$AK827,IF(J829="MTRUST",PR!$AL827,IF(J829="MWORLD",PR!$AM827,IF(J829="MEGA",PR!$AN827,IF(J829="MICRONOVA",PR!$AO827,IF(J829="MFLASH",PR!$AP827,IF(J829="MORISON",PR!$AQ827,IF(J829="NEMEL",PR!$AR827,IF(J829="NHP",PR!$AS827,IF(J829="NHC",PR!$AT827,IF(J829="OLEAF",PR!$AU827,IF(J829="OCULUS",PR!$AV827,IF(J829="PACIFIC",PR!$AW827,IF(J829="PHAMATEX",PR!$AX827,IF(J829="PETHICS",PR!$AY827,IF(J829="PHILIPS",PR!$AZ827,IF(J829="RANBAXY",PR!$BA827,IF(J829="REALS",PR!$BB827,IF(J829="ROYAL",PR!$BC827,IF(J829="SAM",PR!$BD827,IF(J829="SEAGREEN",PR!$BE827,IF(J829="SKG",PR!$BF827,IF(J829="TAH",PR!$BG827,IF(J829="TAYLEK",PR!$BH827,IF(J829="TEMITA",PR!$BI827,IF(J829="THL",PR!$BJ827,IF(J829="UBASTIC",PR!$BK827,IF(J829="UNION",PR!$BL827,IF(J829="UNIQUE",PR!$BM827,IF(J829="VIXA",PR!$BN827,IF(J829="WWCV",PR!$BO827,IF(J829="ZOLON",PR!$BP827,"-"))))))))))))))))))))))))))))))))))))))))))))))))))))))))))))))))</f>
        <v>7500</v>
      </c>
      <c r="J829" s="102" t="str">
        <f>EV!N1052</f>
        <v>UBASTIC</v>
      </c>
      <c r="K829" s="433" t="s">
        <v>1454</v>
      </c>
      <c r="L829" s="183">
        <f>IF(K829&gt;0,IF(K829="ALPHA",PR!$E827,IF(K829="ASSENE",PR!$F827,IF(K829="BIOFEM",PR!$G827,IF(K829="BIOMED",PR!$H827,IF(K829="CHI",PR!$I827,IF(K829="CLARION",PR!$J827,IF(K829="CODIX",PR!$K827,IF(K829="COSMADE",PR!$L827,IF(K829="SANCON",PR!$M827,IF(K829="DEVON",PR!$N827,IF(K829="DORTEMAG",PR!$O827,IF(K829="DGF",PR!$P827,IF(K829="DYNAMIC",PR!$Q827,IF(K829="EMZOR",PR!$R827,IF(K829="EUMATT",PR!$S827,IF(K829="FIDSON",PR!$T827,IF(K829="FCGLOBAL",PR!$U827,IF(K829="GENEITH",PR!$V827,IF(K829="GINOS",PR!$W827,IF(K829="GSK",PR!$X827,IF(K829="GLOBORG",PR!$Y827,IF(K829="GOODNEWS",PR!$Z827,IF(K829="GREENLIFE",PR!$AA827,IF(K829="HLINE",PR!$AB827,IF(K829="ROTECH",PR!$AC827,IF(K829="ISN",PR!$AD827,IF(K829="JAWA",PR!$AE827,IF(K829="LAYO",PR!$AF827,IF(K829="LEADWAY",PR!$AG827,IF(K829="LHV",PR!$AH827,IF(K829="MANOLA",PR!$AI827,IF(K829="MARCSON",PR!$AJ827,IF(K829="M&amp;B",PR!$AK827,IF(K829="MTRUST",PR!$AL827,IF(K829="MWORLD",PR!$AM827,IF(K829="MEGA",PR!$AN827,IF(K829="MICRONOVA",PR!$AO827,IF(K829="MFLASH",PR!$AP827,IF(K829="MORISON",PR!$AQ827,IF(K829="NEMEL",PR!$AR827,IF(K829="NHP",PR!$AS827,IF(K829="NHC",PR!$AT827,IF(K829="OLEAF",PR!$AU827,IF(K829="OCULUS",PR!$AV827,IF(K829="PACIFIC",PR!$AW827,IF(K829="PHAMATEX",PR!$AX827,IF(K829="PETHICS",PR!$AY827,IF(K829="PHILIPS",PR!$AZ827,IF(K829="RANBAXY",PR!$BA827,IF(K829="REALS",PR!$BB827,IF(K829="ROYAL",PR!$BC827,IF(K829="SAM",PR!$BD827,IF(K829="SEAGREEN",PR!$BE827,IF(K829="SKG",PR!$BF827,IF(K829="TAH",PR!$BG827,IF(K829="TAYLEK",PR!$BH827,IF(K829="TEMITA",PR!$BI827,IF(K829="THL",PR!$BJ827,IF(K829="UBASTIC",PR!$BK827,IF(K829="UNION",PR!$BL827,IF(K829="UNIQUE",PR!$BM827,IF(K829="VIXA",PR!$BN827,IF(K829="WWCV",PR!$BO827,IF(K829="ZOLON",PR!$BP827,"-")))))))))))))))))))))))))))))))))))))))))))))))))))))))))))))))))</f>
        <v>7000</v>
      </c>
    </row>
    <row r="830" spans="1:12" ht="18.75" x14ac:dyDescent="0.3">
      <c r="A830" s="430">
        <f>PR!A828</f>
        <v>744</v>
      </c>
      <c r="B830" s="15" t="str">
        <f>PR!B828</f>
        <v>DISPOSABLE CAPS (SILVER HEALTH CARE)</v>
      </c>
      <c r="C830" s="113" t="str">
        <f>PR!D828</f>
        <v>CARTON</v>
      </c>
      <c r="D830" s="113">
        <f>PR!C828</f>
        <v>900</v>
      </c>
      <c r="E830" s="108">
        <f>IF(F830="ALPHA",PR!$E828,IF(F830="ASSENE",PR!$F828,IF(F830="BIOFEM",PR!$G828,IF(F830="BIOMED",PR!$H828,IF(F830="CHI",PR!$I828,IF(F830="CLARION",PR!$J828,IF(F830="CODIX",PR!$K828,IF(F830="COSMADE",PR!$L828,IF(F830="SANCON",PR!$M828,IF(F830="DEVON",PR!$N828,IF(F830="DORTEMAG",PR!$O828,IF(F830="DGF",PR!$P828,IF(F830="DYNAMIC",PR!$Q828,IF(F830="EMZOR",PR!$R828,IF(F830="EUMATT",PR!$S828,IF(F830="FIDSON",PR!$T828,IF(F830="FCGLOBAL",PR!$U828,IF(F830="GENEITH",PR!$V828,IF(F830="GINOS",PR!$W828,IF(F830="GSK",PR!$X828,IF(F830="GLOBORG",PR!$Y828,IF(F830="GOODNEWS",PR!$Z828,IF(F830="GREENLIFE",PR!$AA828,IF(F830="HLINE",PR!$AB828,IF(F830="ROTECH",PR!$AC828,IF(F830="ISN",PR!$AD828,IF(F830="JAWA",PR!$AE828,IF(F830="LAYO",PR!$AF828,IF(F830="LEADWAY",PR!$AG828,IF(F830="LHV",PR!$AH828,IF(F830="MANOLA",PR!$AI828,IF(F830="MARCSON",PR!$AJ828,IF(F830="M&amp;B",PR!$AK828,IF(F830="MTRUST",PR!$AL828,IF(F830="MWORLD",PR!$AM828,IF(F830="MEGA",PR!$AN828,IF(F830="MICRONOVA",PR!$AO828,IF(F830="MFLASH",PR!$AP828,IF(F830="MORISON",PR!$AQ828,IF(F830="NEMEL",PR!$AR828,IF(F830="NHP",PR!$AS828,IF(F830="NHC",PR!$AT828,IF(F830="OLEAF",PR!$AU828,IF(F830="OCULUS",PR!$AV828,IF(F830="PACIFIC",PR!$AW828,IF(F830="PHAMATEX",PR!$AX828,IF(F830="PETHICS",PR!$AY828,IF(F830="PHILIPS",PR!$AZ828,IF(F830="RANBAXY",PR!$BA828,IF(F830="REALS",PR!$BB828,IF(F830="ROYAL",PR!$BC828,IF(F830="SAM",PR!$BD828,IF(F830="SEAGREEN",PR!$BE828,IF(F830="SKG",PR!$BF828,IF(F830="TAH",PR!$BG828,IF(F830="TAYLEK",PR!$BH828,IF(F830="TEMITA",PR!$BI828,IF(F830="THL",PR!$BJ828,IF(F830="UBASTIC",PR!$BK828,IF(F830="UNION",PR!$BL828,IF(F830="UNIQUE",PR!$BM828,IF(F830="VIXA",PR!$BN828,IF(F830="WWCV",PR!$BO828,IF(F830="ZOLON",PR!$BP828,"-"))))))))))))))))))))))))))))))))))))))))))))))))))))))))))))))))</f>
        <v>5630</v>
      </c>
      <c r="F830" s="102" t="str">
        <f>EV!L1053</f>
        <v>DYNAMIC</v>
      </c>
      <c r="G830" s="108">
        <f>IF(H830="ALPHA",PR!$E828,IF(H830="ASSENE",PR!$F828,IF(H830="BIOFEM",PR!$G828,IF(H830="BIOMED",PR!$H828,IF(H830="CHI",PR!$I828,IF(H830="CLARION",PR!$J828,IF(H830="CODIX",PR!$K828,IF(H830="COSMADE",PR!$L828,IF(H830="SANCON",PR!$M828,IF(H830="DEVON",PR!$N828,IF(H830="DORTEMAG",PR!$O828,IF(H830="DGF",PR!$P828,IF(H830="DYNAMIC",PR!$Q828,IF(H830="EMZOR",PR!$R828,IF(H830="EUMATT",PR!$S828,IF(H830="FIDSON",PR!$T828,IF(H830="FCGLOBAL",PR!$U828,IF(H830="GENEITH",PR!$V828,IF(H830="GINOS",PR!$W828,IF(H830="GSK",PR!$X828,IF(H830="GLOBORG",PR!$Y828,IF(H830="GOODNEWS",PR!$Z828,IF(H830="GREENLIFE",PR!$AA828,IF(H830="HLINE",PR!$AB828,IF(H830="ROTECH",PR!$AC828,IF(H830="ISN",PR!$AD828,IF(H830="JAWA",PR!$AE828,IF(H830="LAYO",PR!$AF828,IF(H830="LEADWAY",PR!$AG828,IF(H830="LHV",PR!$AH828,IF(H830="MANOLA",PR!$AI828,IF(H830="MARCSON",PR!$AJ828,IF(H830="M&amp;B",PR!$AK828,IF(H830="MTRUST",PR!$AL828,IF(H830="MWORLD",PR!$AM828,IF(H830="MEGA",PR!$AN828,IF(H830="MICRONOVA",PR!$AO828,IF(H830="MFLASH",PR!$AP828,IF(H830="MORISON",PR!$AQ828,IF(H830="NEMEL",PR!$AR828,IF(H830="NHP",PR!$AS828,IF(H830="NHC",PR!$AT828,IF(H830="OLEAF",PR!$AU828,IF(H830="OCULUS",PR!$AV828,IF(H830="PACIFIC",PR!$AW828,IF(H830="PHAMATEX",PR!$AX828,IF(H830="PETHICS",PR!$AY828,IF(H830="PHILIPS",PR!$AZ828,IF(H830="RANBAXY",PR!$BA828,IF(H830="REALS",PR!$BB828,IF(H830="ROYAL",PR!$BC828,IF(H830="SAM",PR!$BD828,IF(H830="SEAGREEN",PR!$BE828,IF(H830="SKG",PR!$BF828,IF(H830="TAH",PR!$BG828,IF(H830="TAYLEK",PR!$BH828,IF(H830="TEMITA",PR!$BI828,IF(H830="THL",PR!$BJ828,IF(H830="UBASTIC",PR!$BK828,IF(H830="UNION",PR!$BL828,IF(H830="UNIQUE",PR!$BM828,IF(H830="VIXA",PR!$BN828,IF(H830="WWCV",PR!$BO828,IF(H830="ZOLON",PR!$BP828,"-"))))))))))))))))))))))))))))))))))))))))))))))))))))))))))))))))</f>
        <v>7150</v>
      </c>
      <c r="H830" s="102" t="str">
        <f>EV!M1053</f>
        <v>ROTECH</v>
      </c>
      <c r="I830" s="108">
        <f>IF(J830="ALPHA",PR!$E828,IF(J830="ASSENE",PR!$F828,IF(J830="BIOFEM",PR!$G828,IF(J830="BIOMED",PR!$H828,IF(J830="CHI",PR!$I828,IF(J830="CLARION",PR!$J828,IF(J830="CODIX",PR!$K828,IF(J830="COSMADE",PR!$L828,IF(J830="SANCON",PR!$M828,IF(J830="DEVON",PR!$N828,IF(J830="DORTEMAG",PR!$O828,IF(J830="DGF",PR!$P828,IF(J830="DYNAMIC",PR!$Q828,IF(J830="EMZOR",PR!$R828,IF(J830="EUMATT",PR!$S828,IF(J830="FIDSON",PR!$T828,IF(J830="FCGLOBAL",PR!$U828,IF(J830="GENEITH",PR!$V828,IF(J830="GINOS",PR!$W828,IF(J830="GSK",PR!$X828,IF(J830="GLOBORG",PR!$Y828,IF(J830="GOODNEWS",PR!$Z828,IF(J830="GREENLIFE",PR!$AA828,IF(J830="HLINE",PR!$AB828,IF(J830="ROTECH",PR!$AC828,IF(J830="ISN",PR!$AD828,IF(J830="JAWA",PR!$AE828,IF(J830="LAYO",PR!$AF828,IF(J830="LEADWAY",PR!$AG828,IF(J830="LHV",PR!$AH828,IF(J830="MANOLA",PR!$AI828,IF(J830="MARCSON",PR!$AJ828,IF(J830="M&amp;B",PR!$AK828,IF(J830="MTRUST",PR!$AL828,IF(J830="MWORLD",PR!$AM828,IF(J830="MEGA",PR!$AN828,IF(J830="MICRONOVA",PR!$AO828,IF(J830="MFLASH",PR!$AP828,IF(J830="MORISON",PR!$AQ828,IF(J830="NEMEL",PR!$AR828,IF(J830="NHP",PR!$AS828,IF(J830="NHC",PR!$AT828,IF(J830="OLEAF",PR!$AU828,IF(J830="OCULUS",PR!$AV828,IF(J830="PACIFIC",PR!$AW828,IF(J830="PHAMATEX",PR!$AX828,IF(J830="PETHICS",PR!$AY828,IF(J830="PHILIPS",PR!$AZ828,IF(J830="RANBAXY",PR!$BA828,IF(J830="REALS",PR!$BB828,IF(J830="ROYAL",PR!$BC828,IF(J830="SAM",PR!$BD828,IF(J830="SEAGREEN",PR!$BE828,IF(J830="SKG",PR!$BF828,IF(J830="TAH",PR!$BG828,IF(J830="TAYLEK",PR!$BH828,IF(J830="TEMITA",PR!$BI828,IF(J830="THL",PR!$BJ828,IF(J830="UBASTIC",PR!$BK828,IF(J830="UNION",PR!$BL828,IF(J830="UNIQUE",PR!$BM828,IF(J830="VIXA",PR!$BN828,IF(J830="WWCV",PR!$BO828,IF(J830="ZOLON",PR!$BP828,"-"))))))))))))))))))))))))))))))))))))))))))))))))))))))))))))))))</f>
        <v>7180</v>
      </c>
      <c r="J830" s="102" t="str">
        <f>EV!N1053</f>
        <v>SANCON</v>
      </c>
      <c r="K830" s="433" t="s">
        <v>626</v>
      </c>
      <c r="L830" s="183">
        <f>IF(K830&gt;0,IF(K830="ALPHA",PR!$E828,IF(K830="ASSENE",PR!$F828,IF(K830="BIOFEM",PR!$G828,IF(K830="BIOMED",PR!$H828,IF(K830="CHI",PR!$I828,IF(K830="CLARION",PR!$J828,IF(K830="CODIX",PR!$K828,IF(K830="COSMADE",PR!$L828,IF(K830="SANCON",PR!$M828,IF(K830="DEVON",PR!$N828,IF(K830="DORTEMAG",PR!$O828,IF(K830="DGF",PR!$P828,IF(K830="DYNAMIC",PR!$Q828,IF(K830="EMZOR",PR!$R828,IF(K830="EUMATT",PR!$S828,IF(K830="FIDSON",PR!$T828,IF(K830="FCGLOBAL",PR!$U828,IF(K830="GENEITH",PR!$V828,IF(K830="GINOS",PR!$W828,IF(K830="GSK",PR!$X828,IF(K830="GLOBORG",PR!$Y828,IF(K830="GOODNEWS",PR!$Z828,IF(K830="GREENLIFE",PR!$AA828,IF(K830="HLINE",PR!$AB828,IF(K830="ROTECH",PR!$AC828,IF(K830="ISN",PR!$AD828,IF(K830="JAWA",PR!$AE828,IF(K830="LAYO",PR!$AF828,IF(K830="LEADWAY",PR!$AG828,IF(K830="LHV",PR!$AH828,IF(K830="MANOLA",PR!$AI828,IF(K830="MARCSON",PR!$AJ828,IF(K830="M&amp;B",PR!$AK828,IF(K830="MTRUST",PR!$AL828,IF(K830="MWORLD",PR!$AM828,IF(K830="MEGA",PR!$AN828,IF(K830="MICRONOVA",PR!$AO828,IF(K830="MFLASH",PR!$AP828,IF(K830="MORISON",PR!$AQ828,IF(K830="NEMEL",PR!$AR828,IF(K830="NHP",PR!$AS828,IF(K830="NHC",PR!$AT828,IF(K830="OLEAF",PR!$AU828,IF(K830="OCULUS",PR!$AV828,IF(K830="PACIFIC",PR!$AW828,IF(K830="PHAMATEX",PR!$AX828,IF(K830="PETHICS",PR!$AY828,IF(K830="PHILIPS",PR!$AZ828,IF(K830="RANBAXY",PR!$BA828,IF(K830="REALS",PR!$BB828,IF(K830="ROYAL",PR!$BC828,IF(K830="SAM",PR!$BD828,IF(K830="SEAGREEN",PR!$BE828,IF(K830="SKG",PR!$BF828,IF(K830="TAH",PR!$BG828,IF(K830="TAYLEK",PR!$BH828,IF(K830="TEMITA",PR!$BI828,IF(K830="THL",PR!$BJ828,IF(K830="UBASTIC",PR!$BK828,IF(K830="UNION",PR!$BL828,IF(K830="UNIQUE",PR!$BM828,IF(K830="VIXA",PR!$BN828,IF(K830="WWCV",PR!$BO828,IF(K830="ZOLON",PR!$BP828,"-")))))))))))))))))))))))))))))))))))))))))))))))))))))))))))))))))</f>
        <v>5630</v>
      </c>
    </row>
    <row r="831" spans="1:12" ht="18.75" x14ac:dyDescent="0.3">
      <c r="A831" s="430">
        <f>PR!A829</f>
        <v>745</v>
      </c>
      <c r="B831" s="15" t="str">
        <f>PR!B829</f>
        <v>GLUTARALDEHYDE CIDEX (ASP)</v>
      </c>
      <c r="C831" s="113" t="str">
        <f>PR!D829</f>
        <v>KEG</v>
      </c>
      <c r="D831" s="113">
        <f>PR!C829</f>
        <v>30</v>
      </c>
      <c r="E831" s="108">
        <f>IF(F831="ALPHA",PR!$E829,IF(F831="ASSENE",PR!$F829,IF(F831="BIOFEM",PR!$G829,IF(F831="BIOMED",PR!$H829,IF(F831="CHI",PR!$I829,IF(F831="CLARION",PR!$J829,IF(F831="CODIX",PR!$K829,IF(F831="COSMADE",PR!$L829,IF(F831="SANCON",PR!$M829,IF(F831="DEVON",PR!$N829,IF(F831="DORTEMAG",PR!$O829,IF(F831="DGF",PR!$P829,IF(F831="DYNAMIC",PR!$Q829,IF(F831="EMZOR",PR!$R829,IF(F831="EUMATT",PR!$S829,IF(F831="FIDSON",PR!$T829,IF(F831="FCGLOBAL",PR!$U829,IF(F831="GENEITH",PR!$V829,IF(F831="GINOS",PR!$W829,IF(F831="GSK",PR!$X829,IF(F831="GLOBORG",PR!$Y829,IF(F831="GOODNEWS",PR!$Z829,IF(F831="GREENLIFE",PR!$AA829,IF(F831="HLINE",PR!$AB829,IF(F831="ROTECH",PR!$AC829,IF(F831="ISN",PR!$AD829,IF(F831="JAWA",PR!$AE829,IF(F831="LAYO",PR!$AF829,IF(F831="LEADWAY",PR!$AG829,IF(F831="LHV",PR!$AH829,IF(F831="MANOLA",PR!$AI829,IF(F831="MARCSON",PR!$AJ829,IF(F831="M&amp;B",PR!$AK829,IF(F831="MTRUST",PR!$AL829,IF(F831="MWORLD",PR!$AM829,IF(F831="MEGA",PR!$AN829,IF(F831="MICRONOVA",PR!$AO829,IF(F831="MFLASH",PR!$AP829,IF(F831="MORISON",PR!$AQ829,IF(F831="NEMEL",PR!$AR829,IF(F831="NHP",PR!$AS829,IF(F831="NHC",PR!$AT829,IF(F831="OLEAF",PR!$AU829,IF(F831="OCULUS",PR!$AV829,IF(F831="PACIFIC",PR!$AW829,IF(F831="PHAMATEX",PR!$AX829,IF(F831="PETHICS",PR!$AY829,IF(F831="PHILIPS",PR!$AZ829,IF(F831="RANBAXY",PR!$BA829,IF(F831="REALS",PR!$BB829,IF(F831="ROYAL",PR!$BC829,IF(F831="SAM",PR!$BD829,IF(F831="SEAGREEN",PR!$BE829,IF(F831="SKG",PR!$BF829,IF(F831="TAH",PR!$BG829,IF(F831="TAYLEK",PR!$BH829,IF(F831="TEMITA",PR!$BI829,IF(F831="THL",PR!$BJ829,IF(F831="UBASTIC",PR!$BK829,IF(F831="UNION",PR!$BL829,IF(F831="UNIQUE",PR!$BM829,IF(F831="VIXA",PR!$BN829,IF(F831="WWCV",PR!$BO829,IF(F831="ZOLON",PR!$BP829,"-"))))))))))))))))))))))))))))))))))))))))))))))))))))))))))))))))</f>
        <v>27120</v>
      </c>
      <c r="F831" s="102" t="str">
        <f>EV!L1054</f>
        <v>ROTECH</v>
      </c>
      <c r="G831" s="108">
        <f>IF(H831="ALPHA",PR!$E829,IF(H831="ASSENE",PR!$F829,IF(H831="BIOFEM",PR!$G829,IF(H831="BIOMED",PR!$H829,IF(H831="CHI",PR!$I829,IF(H831="CLARION",PR!$J829,IF(H831="CODIX",PR!$K829,IF(H831="COSMADE",PR!$L829,IF(H831="SANCON",PR!$M829,IF(H831="DEVON",PR!$N829,IF(H831="DORTEMAG",PR!$O829,IF(H831="DGF",PR!$P829,IF(H831="DYNAMIC",PR!$Q829,IF(H831="EMZOR",PR!$R829,IF(H831="EUMATT",PR!$S829,IF(H831="FIDSON",PR!$T829,IF(H831="FCGLOBAL",PR!$U829,IF(H831="GENEITH",PR!$V829,IF(H831="GINOS",PR!$W829,IF(H831="GSK",PR!$X829,IF(H831="GLOBORG",PR!$Y829,IF(H831="GOODNEWS",PR!$Z829,IF(H831="GREENLIFE",PR!$AA829,IF(H831="HLINE",PR!$AB829,IF(H831="ROTECH",PR!$AC829,IF(H831="ISN",PR!$AD829,IF(H831="JAWA",PR!$AE829,IF(H831="LAYO",PR!$AF829,IF(H831="LEADWAY",PR!$AG829,IF(H831="LHV",PR!$AH829,IF(H831="MANOLA",PR!$AI829,IF(H831="MARCSON",PR!$AJ829,IF(H831="M&amp;B",PR!$AK829,IF(H831="MTRUST",PR!$AL829,IF(H831="MWORLD",PR!$AM829,IF(H831="MEGA",PR!$AN829,IF(H831="MICRONOVA",PR!$AO829,IF(H831="MFLASH",PR!$AP829,IF(H831="MORISON",PR!$AQ829,IF(H831="NEMEL",PR!$AR829,IF(H831="NHP",PR!$AS829,IF(H831="NHC",PR!$AT829,IF(H831="OLEAF",PR!$AU829,IF(H831="OCULUS",PR!$AV829,IF(H831="PACIFIC",PR!$AW829,IF(H831="PHAMATEX",PR!$AX829,IF(H831="PETHICS",PR!$AY829,IF(H831="PHILIPS",PR!$AZ829,IF(H831="RANBAXY",PR!$BA829,IF(H831="REALS",PR!$BB829,IF(H831="ROYAL",PR!$BC829,IF(H831="SAM",PR!$BD829,IF(H831="SEAGREEN",PR!$BE829,IF(H831="SKG",PR!$BF829,IF(H831="TAH",PR!$BG829,IF(H831="TAYLEK",PR!$BH829,IF(H831="TEMITA",PR!$BI829,IF(H831="THL",PR!$BJ829,IF(H831="UBASTIC",PR!$BK829,IF(H831="UNION",PR!$BL829,IF(H831="UNIQUE",PR!$BM829,IF(H831="VIXA",PR!$BN829,IF(H831="WWCV",PR!$BO829,IF(H831="ZOLON",PR!$BP829,"-"))))))))))))))))))))))))))))))))))))))))))))))))))))))))))))))))</f>
        <v>28750</v>
      </c>
      <c r="H831" s="102" t="str">
        <f>EV!M1054</f>
        <v>SANCON</v>
      </c>
      <c r="I831" s="108">
        <f>IF(J831="ALPHA",PR!$E829,IF(J831="ASSENE",PR!$F829,IF(J831="BIOFEM",PR!$G829,IF(J831="BIOMED",PR!$H829,IF(J831="CHI",PR!$I829,IF(J831="CLARION",PR!$J829,IF(J831="CODIX",PR!$K829,IF(J831="COSMADE",PR!$L829,IF(J831="SANCON",PR!$M829,IF(J831="DEVON",PR!$N829,IF(J831="DORTEMAG",PR!$O829,IF(J831="DGF",PR!$P829,IF(J831="DYNAMIC",PR!$Q829,IF(J831="EMZOR",PR!$R829,IF(J831="EUMATT",PR!$S829,IF(J831="FIDSON",PR!$T829,IF(J831="FCGLOBAL",PR!$U829,IF(J831="GENEITH",PR!$V829,IF(J831="GINOS",PR!$W829,IF(J831="GSK",PR!$X829,IF(J831="GLOBORG",PR!$Y829,IF(J831="GOODNEWS",PR!$Z829,IF(J831="GREENLIFE",PR!$AA829,IF(J831="HLINE",PR!$AB829,IF(J831="ROTECH",PR!$AC829,IF(J831="ISN",PR!$AD829,IF(J831="JAWA",PR!$AE829,IF(J831="LAYO",PR!$AF829,IF(J831="LEADWAY",PR!$AG829,IF(J831="LHV",PR!$AH829,IF(J831="MANOLA",PR!$AI829,IF(J831="MARCSON",PR!$AJ829,IF(J831="M&amp;B",PR!$AK829,IF(J831="MTRUST",PR!$AL829,IF(J831="MWORLD",PR!$AM829,IF(J831="MEGA",PR!$AN829,IF(J831="MICRONOVA",PR!$AO829,IF(J831="MFLASH",PR!$AP829,IF(J831="MORISON",PR!$AQ829,IF(J831="NEMEL",PR!$AR829,IF(J831="NHP",PR!$AS829,IF(J831="NHC",PR!$AT829,IF(J831="OLEAF",PR!$AU829,IF(J831="OCULUS",PR!$AV829,IF(J831="PACIFIC",PR!$AW829,IF(J831="PHAMATEX",PR!$AX829,IF(J831="PETHICS",PR!$AY829,IF(J831="PHILIPS",PR!$AZ829,IF(J831="RANBAXY",PR!$BA829,IF(J831="REALS",PR!$BB829,IF(J831="ROYAL",PR!$BC829,IF(J831="SAM",PR!$BD829,IF(J831="SEAGREEN",PR!$BE829,IF(J831="SKG",PR!$BF829,IF(J831="TAH",PR!$BG829,IF(J831="TAYLEK",PR!$BH829,IF(J831="TEMITA",PR!$BI829,IF(J831="THL",PR!$BJ829,IF(J831="UBASTIC",PR!$BK829,IF(J831="UNION",PR!$BL829,IF(J831="UNIQUE",PR!$BM829,IF(J831="VIXA",PR!$BN829,IF(J831="WWCV",PR!$BO829,IF(J831="ZOLON",PR!$BP829,"-"))))))))))))))))))))))))))))))))))))))))))))))))))))))))))))))))</f>
        <v>40000</v>
      </c>
      <c r="J831" s="102" t="str">
        <f>EV!N1054</f>
        <v>DYNAMIC</v>
      </c>
      <c r="K831" s="433" t="s">
        <v>825</v>
      </c>
      <c r="L831" s="183">
        <f>IF(K831&gt;0,IF(K831="ALPHA",PR!$E829,IF(K831="ASSENE",PR!$F829,IF(K831="BIOFEM",PR!$G829,IF(K831="BIOMED",PR!$H829,IF(K831="CHI",PR!$I829,IF(K831="CLARION",PR!$J829,IF(K831="CODIX",PR!$K829,IF(K831="COSMADE",PR!$L829,IF(K831="SANCON",PR!$M829,IF(K831="DEVON",PR!$N829,IF(K831="DORTEMAG",PR!$O829,IF(K831="DGF",PR!$P829,IF(K831="DYNAMIC",PR!$Q829,IF(K831="EMZOR",PR!$R829,IF(K831="EUMATT",PR!$S829,IF(K831="FIDSON",PR!$T829,IF(K831="FCGLOBAL",PR!$U829,IF(K831="GENEITH",PR!$V829,IF(K831="GINOS",PR!$W829,IF(K831="GSK",PR!$X829,IF(K831="GLOBORG",PR!$Y829,IF(K831="GOODNEWS",PR!$Z829,IF(K831="GREENLIFE",PR!$AA829,IF(K831="HLINE",PR!$AB829,IF(K831="ROTECH",PR!$AC829,IF(K831="ISN",PR!$AD829,IF(K831="JAWA",PR!$AE829,IF(K831="LAYO",PR!$AF829,IF(K831="LEADWAY",PR!$AG829,IF(K831="LHV",PR!$AH829,IF(K831="MANOLA",PR!$AI829,IF(K831="MARCSON",PR!$AJ829,IF(K831="M&amp;B",PR!$AK829,IF(K831="MTRUST",PR!$AL829,IF(K831="MWORLD",PR!$AM829,IF(K831="MEGA",PR!$AN829,IF(K831="MICRONOVA",PR!$AO829,IF(K831="MFLASH",PR!$AP829,IF(K831="MORISON",PR!$AQ829,IF(K831="NEMEL",PR!$AR829,IF(K831="NHP",PR!$AS829,IF(K831="NHC",PR!$AT829,IF(K831="OLEAF",PR!$AU829,IF(K831="OCULUS",PR!$AV829,IF(K831="PACIFIC",PR!$AW829,IF(K831="PHAMATEX",PR!$AX829,IF(K831="PETHICS",PR!$AY829,IF(K831="PHILIPS",PR!$AZ829,IF(K831="RANBAXY",PR!$BA829,IF(K831="REALS",PR!$BB829,IF(K831="ROYAL",PR!$BC829,IF(K831="SAM",PR!$BD829,IF(K831="SEAGREEN",PR!$BE829,IF(K831="SKG",PR!$BF829,IF(K831="TAH",PR!$BG829,IF(K831="TAYLEK",PR!$BH829,IF(K831="TEMITA",PR!$BI829,IF(K831="THL",PR!$BJ829,IF(K831="UBASTIC",PR!$BK829,IF(K831="UNION",PR!$BL829,IF(K831="UNIQUE",PR!$BM829,IF(K831="VIXA",PR!$BN829,IF(K831="WWCV",PR!$BO829,IF(K831="ZOLON",PR!$BP829,"-")))))))))))))))))))))))))))))))))))))))))))))))))))))))))))))))))</f>
        <v>27120</v>
      </c>
    </row>
    <row r="832" spans="1:12" ht="18.75" x14ac:dyDescent="0.3">
      <c r="A832" s="430">
        <f>PR!A830</f>
        <v>746</v>
      </c>
      <c r="B832" s="15" t="str">
        <f>PR!B830</f>
        <v>CARAT SOAPS</v>
      </c>
      <c r="C832" s="113" t="str">
        <f>PR!D830</f>
        <v>PIECE</v>
      </c>
      <c r="D832" s="113">
        <f>PR!C830</f>
        <v>400</v>
      </c>
      <c r="E832" s="108">
        <f>IF(F832="ALPHA",PR!$E830,IF(F832="ASSENE",PR!$F830,IF(F832="BIOFEM",PR!$G830,IF(F832="BIOMED",PR!$H830,IF(F832="CHI",PR!$I830,IF(F832="CLARION",PR!$J830,IF(F832="CODIX",PR!$K830,IF(F832="COSMADE",PR!$L830,IF(F832="SANCON",PR!$M830,IF(F832="DEVON",PR!$N830,IF(F832="DORTEMAG",PR!$O830,IF(F832="DGF",PR!$P830,IF(F832="DYNAMIC",PR!$Q830,IF(F832="EMZOR",PR!$R830,IF(F832="EUMATT",PR!$S830,IF(F832="FIDSON",PR!$T830,IF(F832="FCGLOBAL",PR!$U830,IF(F832="GENEITH",PR!$V830,IF(F832="GINOS",PR!$W830,IF(F832="GSK",PR!$X830,IF(F832="GLOBORG",PR!$Y830,IF(F832="GOODNEWS",PR!$Z830,IF(F832="GREENLIFE",PR!$AA830,IF(F832="HLINE",PR!$AB830,IF(F832="ROTECH",PR!$AC830,IF(F832="ISN",PR!$AD830,IF(F832="JAWA",PR!$AE830,IF(F832="LAYO",PR!$AF830,IF(F832="LEADWAY",PR!$AG830,IF(F832="LHV",PR!$AH830,IF(F832="MANOLA",PR!$AI830,IF(F832="MARCSON",PR!$AJ830,IF(F832="M&amp;B",PR!$AK830,IF(F832="MTRUST",PR!$AL830,IF(F832="MWORLD",PR!$AM830,IF(F832="MEGA",PR!$AN830,IF(F832="MICRONOVA",PR!$AO830,IF(F832="MFLASH",PR!$AP830,IF(F832="MORISON",PR!$AQ830,IF(F832="NEMEL",PR!$AR830,IF(F832="NHP",PR!$AS830,IF(F832="NHC",PR!$AT830,IF(F832="OLEAF",PR!$AU830,IF(F832="OCULUS",PR!$AV830,IF(F832="PACIFIC",PR!$AW830,IF(F832="PHAMATEX",PR!$AX830,IF(F832="PETHICS",PR!$AY830,IF(F832="PHILIPS",PR!$AZ830,IF(F832="RANBAXY",PR!$BA830,IF(F832="REALS",PR!$BB830,IF(F832="ROYAL",PR!$BC830,IF(F832="SAM",PR!$BD830,IF(F832="SEAGREEN",PR!$BE830,IF(F832="SKG",PR!$BF830,IF(F832="TAH",PR!$BG830,IF(F832="TAYLEK",PR!$BH830,IF(F832="TEMITA",PR!$BI830,IF(F832="THL",PR!$BJ830,IF(F832="UBASTIC",PR!$BK830,IF(F832="UNION",PR!$BL830,IF(F832="UNIQUE",PR!$BM830,IF(F832="VIXA",PR!$BN830,IF(F832="WWCV",PR!$BO830,IF(F832="ZOLON",PR!$BP830,"-"))))))))))))))))))))))))))))))))))))))))))))))))))))))))))))))))</f>
        <v>138</v>
      </c>
      <c r="F832" s="102" t="str">
        <f>EV!L1055</f>
        <v>DYNAMIC</v>
      </c>
      <c r="G832" s="108">
        <f>IF(H832="ALPHA",PR!$E830,IF(H832="ASSENE",PR!$F830,IF(H832="BIOFEM",PR!$G830,IF(H832="BIOMED",PR!$H830,IF(H832="CHI",PR!$I830,IF(H832="CLARION",PR!$J830,IF(H832="CODIX",PR!$K830,IF(H832="COSMADE",PR!$L830,IF(H832="SANCON",PR!$M830,IF(H832="DEVON",PR!$N830,IF(H832="DORTEMAG",PR!$O830,IF(H832="DGF",PR!$P830,IF(H832="DYNAMIC",PR!$Q830,IF(H832="EMZOR",PR!$R830,IF(H832="EUMATT",PR!$S830,IF(H832="FIDSON",PR!$T830,IF(H832="FCGLOBAL",PR!$U830,IF(H832="GENEITH",PR!$V830,IF(H832="GINOS",PR!$W830,IF(H832="GSK",PR!$X830,IF(H832="GLOBORG",PR!$Y830,IF(H832="GOODNEWS",PR!$Z830,IF(H832="GREENLIFE",PR!$AA830,IF(H832="HLINE",PR!$AB830,IF(H832="ROTECH",PR!$AC830,IF(H832="ISN",PR!$AD830,IF(H832="JAWA",PR!$AE830,IF(H832="LAYO",PR!$AF830,IF(H832="LEADWAY",PR!$AG830,IF(H832="LHV",PR!$AH830,IF(H832="MANOLA",PR!$AI830,IF(H832="MARCSON",PR!$AJ830,IF(H832="M&amp;B",PR!$AK830,IF(H832="MTRUST",PR!$AL830,IF(H832="MWORLD",PR!$AM830,IF(H832="MEGA",PR!$AN830,IF(H832="MICRONOVA",PR!$AO830,IF(H832="MFLASH",PR!$AP830,IF(H832="MORISON",PR!$AQ830,IF(H832="NEMEL",PR!$AR830,IF(H832="NHP",PR!$AS830,IF(H832="NHC",PR!$AT830,IF(H832="OLEAF",PR!$AU830,IF(H832="OCULUS",PR!$AV830,IF(H832="PACIFIC",PR!$AW830,IF(H832="PHAMATEX",PR!$AX830,IF(H832="PETHICS",PR!$AY830,IF(H832="PHILIPS",PR!$AZ830,IF(H832="RANBAXY",PR!$BA830,IF(H832="REALS",PR!$BB830,IF(H832="ROYAL",PR!$BC830,IF(H832="SAM",PR!$BD830,IF(H832="SEAGREEN",PR!$BE830,IF(H832="SKG",PR!$BF830,IF(H832="TAH",PR!$BG830,IF(H832="TAYLEK",PR!$BH830,IF(H832="TEMITA",PR!$BI830,IF(H832="THL",PR!$BJ830,IF(H832="UBASTIC",PR!$BK830,IF(H832="UNION",PR!$BL830,IF(H832="UNIQUE",PR!$BM830,IF(H832="VIXA",PR!$BN830,IF(H832="WWCV",PR!$BO830,IF(H832="ZOLON",PR!$BP830,"-"))))))))))))))))))))))))))))))))))))))))))))))))))))))))))))))))</f>
        <v>150</v>
      </c>
      <c r="H832" s="102" t="str">
        <f>EV!M1055</f>
        <v>SANCON</v>
      </c>
      <c r="I832" s="108">
        <f>IF(J832="ALPHA",PR!$E830,IF(J832="ASSENE",PR!$F830,IF(J832="BIOFEM",PR!$G830,IF(J832="BIOMED",PR!$H830,IF(J832="CHI",PR!$I830,IF(J832="CLARION",PR!$J830,IF(J832="CODIX",PR!$K830,IF(J832="COSMADE",PR!$L830,IF(J832="SANCON",PR!$M830,IF(J832="DEVON",PR!$N830,IF(J832="DORTEMAG",PR!$O830,IF(J832="DGF",PR!$P830,IF(J832="DYNAMIC",PR!$Q830,IF(J832="EMZOR",PR!$R830,IF(J832="EUMATT",PR!$S830,IF(J832="FIDSON",PR!$T830,IF(J832="FCGLOBAL",PR!$U830,IF(J832="GENEITH",PR!$V830,IF(J832="GINOS",PR!$W830,IF(J832="GSK",PR!$X830,IF(J832="GLOBORG",PR!$Y830,IF(J832="GOODNEWS",PR!$Z830,IF(J832="GREENLIFE",PR!$AA830,IF(J832="HLINE",PR!$AB830,IF(J832="ROTECH",PR!$AC830,IF(J832="ISN",PR!$AD830,IF(J832="JAWA",PR!$AE830,IF(J832="LAYO",PR!$AF830,IF(J832="LEADWAY",PR!$AG830,IF(J832="LHV",PR!$AH830,IF(J832="MANOLA",PR!$AI830,IF(J832="MARCSON",PR!$AJ830,IF(J832="M&amp;B",PR!$AK830,IF(J832="MTRUST",PR!$AL830,IF(J832="MWORLD",PR!$AM830,IF(J832="MEGA",PR!$AN830,IF(J832="MICRONOVA",PR!$AO830,IF(J832="MFLASH",PR!$AP830,IF(J832="MORISON",PR!$AQ830,IF(J832="NEMEL",PR!$AR830,IF(J832="NHP",PR!$AS830,IF(J832="NHC",PR!$AT830,IF(J832="OLEAF",PR!$AU830,IF(J832="OCULUS",PR!$AV830,IF(J832="PACIFIC",PR!$AW830,IF(J832="PHAMATEX",PR!$AX830,IF(J832="PETHICS",PR!$AY830,IF(J832="PHILIPS",PR!$AZ830,IF(J832="RANBAXY",PR!$BA830,IF(J832="REALS",PR!$BB830,IF(J832="ROYAL",PR!$BC830,IF(J832="SAM",PR!$BD830,IF(J832="SEAGREEN",PR!$BE830,IF(J832="SKG",PR!$BF830,IF(J832="TAH",PR!$BG830,IF(J832="TAYLEK",PR!$BH830,IF(J832="TEMITA",PR!$BI830,IF(J832="THL",PR!$BJ830,IF(J832="UBASTIC",PR!$BK830,IF(J832="UNION",PR!$BL830,IF(J832="UNIQUE",PR!$BM830,IF(J832="VIXA",PR!$BN830,IF(J832="WWCV",PR!$BO830,IF(J832="ZOLON",PR!$BP830,"-"))))))))))))))))))))))))))))))))))))))))))))))))))))))))))))))))</f>
        <v>850</v>
      </c>
      <c r="J832" s="102" t="str">
        <f>EV!N1055</f>
        <v>COSMADE</v>
      </c>
      <c r="K832" s="433" t="s">
        <v>626</v>
      </c>
      <c r="L832" s="183">
        <f>IF(K832&gt;0,IF(K832="ALPHA",PR!$E830,IF(K832="ASSENE",PR!$F830,IF(K832="BIOFEM",PR!$G830,IF(K832="BIOMED",PR!$H830,IF(K832="CHI",PR!$I830,IF(K832="CLARION",PR!$J830,IF(K832="CODIX",PR!$K830,IF(K832="COSMADE",PR!$L830,IF(K832="SANCON",PR!$M830,IF(K832="DEVON",PR!$N830,IF(K832="DORTEMAG",PR!$O830,IF(K832="DGF",PR!$P830,IF(K832="DYNAMIC",PR!$Q830,IF(K832="EMZOR",PR!$R830,IF(K832="EUMATT",PR!$S830,IF(K832="FIDSON",PR!$T830,IF(K832="FCGLOBAL",PR!$U830,IF(K832="GENEITH",PR!$V830,IF(K832="GINOS",PR!$W830,IF(K832="GSK",PR!$X830,IF(K832="GLOBORG",PR!$Y830,IF(K832="GOODNEWS",PR!$Z830,IF(K832="GREENLIFE",PR!$AA830,IF(K832="HLINE",PR!$AB830,IF(K832="ROTECH",PR!$AC830,IF(K832="ISN",PR!$AD830,IF(K832="JAWA",PR!$AE830,IF(K832="LAYO",PR!$AF830,IF(K832="LEADWAY",PR!$AG830,IF(K832="LHV",PR!$AH830,IF(K832="MANOLA",PR!$AI830,IF(K832="MARCSON",PR!$AJ830,IF(K832="M&amp;B",PR!$AK830,IF(K832="MTRUST",PR!$AL830,IF(K832="MWORLD",PR!$AM830,IF(K832="MEGA",PR!$AN830,IF(K832="MICRONOVA",PR!$AO830,IF(K832="MFLASH",PR!$AP830,IF(K832="MORISON",PR!$AQ830,IF(K832="NEMEL",PR!$AR830,IF(K832="NHP",PR!$AS830,IF(K832="NHC",PR!$AT830,IF(K832="OLEAF",PR!$AU830,IF(K832="OCULUS",PR!$AV830,IF(K832="PACIFIC",PR!$AW830,IF(K832="PHAMATEX",PR!$AX830,IF(K832="PETHICS",PR!$AY830,IF(K832="PHILIPS",PR!$AZ830,IF(K832="RANBAXY",PR!$BA830,IF(K832="REALS",PR!$BB830,IF(K832="ROYAL",PR!$BC830,IF(K832="SAM",PR!$BD830,IF(K832="SEAGREEN",PR!$BE830,IF(K832="SKG",PR!$BF830,IF(K832="TAH",PR!$BG830,IF(K832="TAYLEK",PR!$BH830,IF(K832="TEMITA",PR!$BI830,IF(K832="THL",PR!$BJ830,IF(K832="UBASTIC",PR!$BK830,IF(K832="UNION",PR!$BL830,IF(K832="UNIQUE",PR!$BM830,IF(K832="VIXA",PR!$BN830,IF(K832="WWCV",PR!$BO830,IF(K832="ZOLON",PR!$BP830,"-")))))))))))))))))))))))))))))))))))))))))))))))))))))))))))))))))</f>
        <v>138</v>
      </c>
    </row>
    <row r="833" spans="1:12" ht="18.75" x14ac:dyDescent="0.3">
      <c r="A833" s="430">
        <f>PR!A831</f>
        <v>747</v>
      </c>
      <c r="B833" s="15" t="str">
        <f>PR!B831</f>
        <v>ENDOTRACHEAL TUBE SIZE 7.5 (DGL)</v>
      </c>
      <c r="C833" s="113" t="str">
        <f>PR!D831</f>
        <v>PACK</v>
      </c>
      <c r="D833" s="113">
        <f>PR!C831</f>
        <v>72</v>
      </c>
      <c r="E833" s="108">
        <f>IF(F833="ALPHA",PR!$E831,IF(F833="ASSENE",PR!$F831,IF(F833="BIOFEM",PR!$G831,IF(F833="BIOMED",PR!$H831,IF(F833="CHI",PR!$I831,IF(F833="CLARION",PR!$J831,IF(F833="CODIX",PR!$K831,IF(F833="COSMADE",PR!$L831,IF(F833="SANCON",PR!$M831,IF(F833="DEVON",PR!$N831,IF(F833="DORTEMAG",PR!$O831,IF(F833="DGF",PR!$P831,IF(F833="DYNAMIC",PR!$Q831,IF(F833="EMZOR",PR!$R831,IF(F833="EUMATT",PR!$S831,IF(F833="FIDSON",PR!$T831,IF(F833="FCGLOBAL",PR!$U831,IF(F833="GENEITH",PR!$V831,IF(F833="GINOS",PR!$W831,IF(F833="GSK",PR!$X831,IF(F833="GLOBORG",PR!$Y831,IF(F833="GOODNEWS",PR!$Z831,IF(F833="GREENLIFE",PR!$AA831,IF(F833="HLINE",PR!$AB831,IF(F833="ROTECH",PR!$AC831,IF(F833="ISN",PR!$AD831,IF(F833="JAWA",PR!$AE831,IF(F833="LAYO",PR!$AF831,IF(F833="LEADWAY",PR!$AG831,IF(F833="LHV",PR!$AH831,IF(F833="MANOLA",PR!$AI831,IF(F833="MARCSON",PR!$AJ831,IF(F833="M&amp;B",PR!$AK831,IF(F833="MTRUST",PR!$AL831,IF(F833="MWORLD",PR!$AM831,IF(F833="MEGA",PR!$AN831,IF(F833="MICRONOVA",PR!$AO831,IF(F833="MFLASH",PR!$AP831,IF(F833="MORISON",PR!$AQ831,IF(F833="NEMEL",PR!$AR831,IF(F833="NHP",PR!$AS831,IF(F833="NHC",PR!$AT831,IF(F833="OLEAF",PR!$AU831,IF(F833="OCULUS",PR!$AV831,IF(F833="PACIFIC",PR!$AW831,IF(F833="PHAMATEX",PR!$AX831,IF(F833="PETHICS",PR!$AY831,IF(F833="PHILIPS",PR!$AZ831,IF(F833="RANBAXY",PR!$BA831,IF(F833="REALS",PR!$BB831,IF(F833="ROYAL",PR!$BC831,IF(F833="SAM",PR!$BD831,IF(F833="SEAGREEN",PR!$BE831,IF(F833="SKG",PR!$BF831,IF(F833="TAH",PR!$BG831,IF(F833="TAYLEK",PR!$BH831,IF(F833="TEMITA",PR!$BI831,IF(F833="THL",PR!$BJ831,IF(F833="UBASTIC",PR!$BK831,IF(F833="UNION",PR!$BL831,IF(F833="UNIQUE",PR!$BM831,IF(F833="VIXA",PR!$BN831,IF(F833="WWCV",PR!$BO831,IF(F833="ZOLON",PR!$BP831,"-"))))))))))))))))))))))))))))))))))))))))))))))))))))))))))))))))</f>
        <v>2240</v>
      </c>
      <c r="F833" s="102" t="str">
        <f>EV!L1056</f>
        <v>ROTECH</v>
      </c>
      <c r="G833" s="108">
        <f>IF(H833="ALPHA",PR!$E831,IF(H833="ASSENE",PR!$F831,IF(H833="BIOFEM",PR!$G831,IF(H833="BIOMED",PR!$H831,IF(H833="CHI",PR!$I831,IF(H833="CLARION",PR!$J831,IF(H833="CODIX",PR!$K831,IF(H833="COSMADE",PR!$L831,IF(H833="SANCON",PR!$M831,IF(H833="DEVON",PR!$N831,IF(H833="DORTEMAG",PR!$O831,IF(H833="DGF",PR!$P831,IF(H833="DYNAMIC",PR!$Q831,IF(H833="EMZOR",PR!$R831,IF(H833="EUMATT",PR!$S831,IF(H833="FIDSON",PR!$T831,IF(H833="FCGLOBAL",PR!$U831,IF(H833="GENEITH",PR!$V831,IF(H833="GINOS",PR!$W831,IF(H833="GSK",PR!$X831,IF(H833="GLOBORG",PR!$Y831,IF(H833="GOODNEWS",PR!$Z831,IF(H833="GREENLIFE",PR!$AA831,IF(H833="HLINE",PR!$AB831,IF(H833="ROTECH",PR!$AC831,IF(H833="ISN",PR!$AD831,IF(H833="JAWA",PR!$AE831,IF(H833="LAYO",PR!$AF831,IF(H833="LEADWAY",PR!$AG831,IF(H833="LHV",PR!$AH831,IF(H833="MANOLA",PR!$AI831,IF(H833="MARCSON",PR!$AJ831,IF(H833="M&amp;B",PR!$AK831,IF(H833="MTRUST",PR!$AL831,IF(H833="MWORLD",PR!$AM831,IF(H833="MEGA",PR!$AN831,IF(H833="MICRONOVA",PR!$AO831,IF(H833="MFLASH",PR!$AP831,IF(H833="MORISON",PR!$AQ831,IF(H833="NEMEL",PR!$AR831,IF(H833="NHP",PR!$AS831,IF(H833="NHC",PR!$AT831,IF(H833="OLEAF",PR!$AU831,IF(H833="OCULUS",PR!$AV831,IF(H833="PACIFIC",PR!$AW831,IF(H833="PHAMATEX",PR!$AX831,IF(H833="PETHICS",PR!$AY831,IF(H833="PHILIPS",PR!$AZ831,IF(H833="RANBAXY",PR!$BA831,IF(H833="REALS",PR!$BB831,IF(H833="ROYAL",PR!$BC831,IF(H833="SAM",PR!$BD831,IF(H833="SEAGREEN",PR!$BE831,IF(H833="SKG",PR!$BF831,IF(H833="TAH",PR!$BG831,IF(H833="TAYLEK",PR!$BH831,IF(H833="TEMITA",PR!$BI831,IF(H833="THL",PR!$BJ831,IF(H833="UBASTIC",PR!$BK831,IF(H833="UNION",PR!$BL831,IF(H833="UNIQUE",PR!$BM831,IF(H833="VIXA",PR!$BN831,IF(H833="WWCV",PR!$BO831,IF(H833="ZOLON",PR!$BP831,"-"))))))))))))))))))))))))))))))))))))))))))))))))))))))))))))))))</f>
        <v>2300</v>
      </c>
      <c r="H833" s="102" t="str">
        <f>EV!M1056</f>
        <v>SANCON</v>
      </c>
      <c r="I833" s="108">
        <f>IF(J833="ALPHA",PR!$E831,IF(J833="ASSENE",PR!$F831,IF(J833="BIOFEM",PR!$G831,IF(J833="BIOMED",PR!$H831,IF(J833="CHI",PR!$I831,IF(J833="CLARION",PR!$J831,IF(J833="CODIX",PR!$K831,IF(J833="COSMADE",PR!$L831,IF(J833="SANCON",PR!$M831,IF(J833="DEVON",PR!$N831,IF(J833="DORTEMAG",PR!$O831,IF(J833="DGF",PR!$P831,IF(J833="DYNAMIC",PR!$Q831,IF(J833="EMZOR",PR!$R831,IF(J833="EUMATT",PR!$S831,IF(J833="FIDSON",PR!$T831,IF(J833="FCGLOBAL",PR!$U831,IF(J833="GENEITH",PR!$V831,IF(J833="GINOS",PR!$W831,IF(J833="GSK",PR!$X831,IF(J833="GLOBORG",PR!$Y831,IF(J833="GOODNEWS",PR!$Z831,IF(J833="GREENLIFE",PR!$AA831,IF(J833="HLINE",PR!$AB831,IF(J833="ROTECH",PR!$AC831,IF(J833="ISN",PR!$AD831,IF(J833="JAWA",PR!$AE831,IF(J833="LAYO",PR!$AF831,IF(J833="LEADWAY",PR!$AG831,IF(J833="LHV",PR!$AH831,IF(J833="MANOLA",PR!$AI831,IF(J833="MARCSON",PR!$AJ831,IF(J833="M&amp;B",PR!$AK831,IF(J833="MTRUST",PR!$AL831,IF(J833="MWORLD",PR!$AM831,IF(J833="MEGA",PR!$AN831,IF(J833="MICRONOVA",PR!$AO831,IF(J833="MFLASH",PR!$AP831,IF(J833="MORISON",PR!$AQ831,IF(J833="NEMEL",PR!$AR831,IF(J833="NHP",PR!$AS831,IF(J833="NHC",PR!$AT831,IF(J833="OLEAF",PR!$AU831,IF(J833="OCULUS",PR!$AV831,IF(J833="PACIFIC",PR!$AW831,IF(J833="PHAMATEX",PR!$AX831,IF(J833="PETHICS",PR!$AY831,IF(J833="PHILIPS",PR!$AZ831,IF(J833="RANBAXY",PR!$BA831,IF(J833="REALS",PR!$BB831,IF(J833="ROYAL",PR!$BC831,IF(J833="SAM",PR!$BD831,IF(J833="SEAGREEN",PR!$BE831,IF(J833="SKG",PR!$BF831,IF(J833="TAH",PR!$BG831,IF(J833="TAYLEK",PR!$BH831,IF(J833="TEMITA",PR!$BI831,IF(J833="THL",PR!$BJ831,IF(J833="UBASTIC",PR!$BK831,IF(J833="UNION",PR!$BL831,IF(J833="UNIQUE",PR!$BM831,IF(J833="VIXA",PR!$BN831,IF(J833="WWCV",PR!$BO831,IF(J833="ZOLON",PR!$BP831,"-"))))))))))))))))))))))))))))))))))))))))))))))))))))))))))))))))</f>
        <v>2500</v>
      </c>
      <c r="J833" s="102" t="str">
        <f>EV!N1056</f>
        <v>UBASTIC</v>
      </c>
      <c r="K833" s="433" t="s">
        <v>825</v>
      </c>
      <c r="L833" s="183">
        <f>IF(K833&gt;0,IF(K833="ALPHA",PR!$E831,IF(K833="ASSENE",PR!$F831,IF(K833="BIOFEM",PR!$G831,IF(K833="BIOMED",PR!$H831,IF(K833="CHI",PR!$I831,IF(K833="CLARION",PR!$J831,IF(K833="CODIX",PR!$K831,IF(K833="COSMADE",PR!$L831,IF(K833="SANCON",PR!$M831,IF(K833="DEVON",PR!$N831,IF(K833="DORTEMAG",PR!$O831,IF(K833="DGF",PR!$P831,IF(K833="DYNAMIC",PR!$Q831,IF(K833="EMZOR",PR!$R831,IF(K833="EUMATT",PR!$S831,IF(K833="FIDSON",PR!$T831,IF(K833="FCGLOBAL",PR!$U831,IF(K833="GENEITH",PR!$V831,IF(K833="GINOS",PR!$W831,IF(K833="GSK",PR!$X831,IF(K833="GLOBORG",PR!$Y831,IF(K833="GOODNEWS",PR!$Z831,IF(K833="GREENLIFE",PR!$AA831,IF(K833="HLINE",PR!$AB831,IF(K833="ROTECH",PR!$AC831,IF(K833="ISN",PR!$AD831,IF(K833="JAWA",PR!$AE831,IF(K833="LAYO",PR!$AF831,IF(K833="LEADWAY",PR!$AG831,IF(K833="LHV",PR!$AH831,IF(K833="MANOLA",PR!$AI831,IF(K833="MARCSON",PR!$AJ831,IF(K833="M&amp;B",PR!$AK831,IF(K833="MTRUST",PR!$AL831,IF(K833="MWORLD",PR!$AM831,IF(K833="MEGA",PR!$AN831,IF(K833="MICRONOVA",PR!$AO831,IF(K833="MFLASH",PR!$AP831,IF(K833="MORISON",PR!$AQ831,IF(K833="NEMEL",PR!$AR831,IF(K833="NHP",PR!$AS831,IF(K833="NHC",PR!$AT831,IF(K833="OLEAF",PR!$AU831,IF(K833="OCULUS",PR!$AV831,IF(K833="PACIFIC",PR!$AW831,IF(K833="PHAMATEX",PR!$AX831,IF(K833="PETHICS",PR!$AY831,IF(K833="PHILIPS",PR!$AZ831,IF(K833="RANBAXY",PR!$BA831,IF(K833="REALS",PR!$BB831,IF(K833="ROYAL",PR!$BC831,IF(K833="SAM",PR!$BD831,IF(K833="SEAGREEN",PR!$BE831,IF(K833="SKG",PR!$BF831,IF(K833="TAH",PR!$BG831,IF(K833="TAYLEK",PR!$BH831,IF(K833="TEMITA",PR!$BI831,IF(K833="THL",PR!$BJ831,IF(K833="UBASTIC",PR!$BK831,IF(K833="UNION",PR!$BL831,IF(K833="UNIQUE",PR!$BM831,IF(K833="VIXA",PR!$BN831,IF(K833="WWCV",PR!$BO831,IF(K833="ZOLON",PR!$BP831,"-")))))))))))))))))))))))))))))))))))))))))))))))))))))))))))))))))</f>
        <v>2240</v>
      </c>
    </row>
    <row r="834" spans="1:12" ht="18.75" x14ac:dyDescent="0.3">
      <c r="A834" s="430">
        <f>PR!A832</f>
        <v>748</v>
      </c>
      <c r="B834" s="15" t="str">
        <f>PR!B832</f>
        <v>FACE MASK (AGARY)</v>
      </c>
      <c r="C834" s="113" t="str">
        <f>PR!D832</f>
        <v>PACK</v>
      </c>
      <c r="D834" s="113">
        <f>PR!C832</f>
        <v>1200</v>
      </c>
      <c r="E834" s="108">
        <f>IF(F834="ALPHA",PR!$E832,IF(F834="ASSENE",PR!$F832,IF(F834="BIOFEM",PR!$G832,IF(F834="BIOMED",PR!$H832,IF(F834="CHI",PR!$I832,IF(F834="CLARION",PR!$J832,IF(F834="CODIX",PR!$K832,IF(F834="COSMADE",PR!$L832,IF(F834="SANCON",PR!$M832,IF(F834="DEVON",PR!$N832,IF(F834="DORTEMAG",PR!$O832,IF(F834="DGF",PR!$P832,IF(F834="DYNAMIC",PR!$Q832,IF(F834="EMZOR",PR!$R832,IF(F834="EUMATT",PR!$S832,IF(F834="FIDSON",PR!$T832,IF(F834="FCGLOBAL",PR!$U832,IF(F834="GENEITH",PR!$V832,IF(F834="GINOS",PR!$W832,IF(F834="GSK",PR!$X832,IF(F834="GLOBORG",PR!$Y832,IF(F834="GOODNEWS",PR!$Z832,IF(F834="GREENLIFE",PR!$AA832,IF(F834="HLINE",PR!$AB832,IF(F834="ROTECH",PR!$AC832,IF(F834="ISN",PR!$AD832,IF(F834="JAWA",PR!$AE832,IF(F834="LAYO",PR!$AF832,IF(F834="LEADWAY",PR!$AG832,IF(F834="LHV",PR!$AH832,IF(F834="MANOLA",PR!$AI832,IF(F834="MARCSON",PR!$AJ832,IF(F834="M&amp;B",PR!$AK832,IF(F834="MTRUST",PR!$AL832,IF(F834="MWORLD",PR!$AM832,IF(F834="MEGA",PR!$AN832,IF(F834="MICRONOVA",PR!$AO832,IF(F834="MFLASH",PR!$AP832,IF(F834="MORISON",PR!$AQ832,IF(F834="NEMEL",PR!$AR832,IF(F834="NHP",PR!$AS832,IF(F834="NHC",PR!$AT832,IF(F834="OLEAF",PR!$AU832,IF(F834="OCULUS",PR!$AV832,IF(F834="PACIFIC",PR!$AW832,IF(F834="PHAMATEX",PR!$AX832,IF(F834="PETHICS",PR!$AY832,IF(F834="PHILIPS",PR!$AZ832,IF(F834="RANBAXY",PR!$BA832,IF(F834="REALS",PR!$BB832,IF(F834="ROYAL",PR!$BC832,IF(F834="SAM",PR!$BD832,IF(F834="SEAGREEN",PR!$BE832,IF(F834="SKG",PR!$BF832,IF(F834="TAH",PR!$BG832,IF(F834="TAYLEK",PR!$BH832,IF(F834="TEMITA",PR!$BI832,IF(F834="THL",PR!$BJ832,IF(F834="UBASTIC",PR!$BK832,IF(F834="UNION",PR!$BL832,IF(F834="UNIQUE",PR!$BM832,IF(F834="VIXA",PR!$BN832,IF(F834="WWCV",PR!$BO832,IF(F834="ZOLON",PR!$BP832,"-"))))))))))))))))))))))))))))))))))))))))))))))))))))))))))))))))</f>
        <v>375</v>
      </c>
      <c r="F834" s="102" t="str">
        <f>EV!L1057</f>
        <v>UBASTIC</v>
      </c>
      <c r="G834" s="108">
        <f>IF(H834="ALPHA",PR!$E832,IF(H834="ASSENE",PR!$F832,IF(H834="BIOFEM",PR!$G832,IF(H834="BIOMED",PR!$H832,IF(H834="CHI",PR!$I832,IF(H834="CLARION",PR!$J832,IF(H834="CODIX",PR!$K832,IF(H834="COSMADE",PR!$L832,IF(H834="SANCON",PR!$M832,IF(H834="DEVON",PR!$N832,IF(H834="DORTEMAG",PR!$O832,IF(H834="DGF",PR!$P832,IF(H834="DYNAMIC",PR!$Q832,IF(H834="EMZOR",PR!$R832,IF(H834="EUMATT",PR!$S832,IF(H834="FIDSON",PR!$T832,IF(H834="FCGLOBAL",PR!$U832,IF(H834="GENEITH",PR!$V832,IF(H834="GINOS",PR!$W832,IF(H834="GSK",PR!$X832,IF(H834="GLOBORG",PR!$Y832,IF(H834="GOODNEWS",PR!$Z832,IF(H834="GREENLIFE",PR!$AA832,IF(H834="HLINE",PR!$AB832,IF(H834="ROTECH",PR!$AC832,IF(H834="ISN",PR!$AD832,IF(H834="JAWA",PR!$AE832,IF(H834="LAYO",PR!$AF832,IF(H834="LEADWAY",PR!$AG832,IF(H834="LHV",PR!$AH832,IF(H834="MANOLA",PR!$AI832,IF(H834="MARCSON",PR!$AJ832,IF(H834="M&amp;B",PR!$AK832,IF(H834="MTRUST",PR!$AL832,IF(H834="MWORLD",PR!$AM832,IF(H834="MEGA",PR!$AN832,IF(H834="MICRONOVA",PR!$AO832,IF(H834="MFLASH",PR!$AP832,IF(H834="MORISON",PR!$AQ832,IF(H834="NEMEL",PR!$AR832,IF(H834="NHP",PR!$AS832,IF(H834="NHC",PR!$AT832,IF(H834="OLEAF",PR!$AU832,IF(H834="OCULUS",PR!$AV832,IF(H834="PACIFIC",PR!$AW832,IF(H834="PHAMATEX",PR!$AX832,IF(H834="PETHICS",PR!$AY832,IF(H834="PHILIPS",PR!$AZ832,IF(H834="RANBAXY",PR!$BA832,IF(H834="REALS",PR!$BB832,IF(H834="ROYAL",PR!$BC832,IF(H834="SAM",PR!$BD832,IF(H834="SEAGREEN",PR!$BE832,IF(H834="SKG",PR!$BF832,IF(H834="TAH",PR!$BG832,IF(H834="TAYLEK",PR!$BH832,IF(H834="TEMITA",PR!$BI832,IF(H834="THL",PR!$BJ832,IF(H834="UBASTIC",PR!$BK832,IF(H834="UNION",PR!$BL832,IF(H834="UNIQUE",PR!$BM832,IF(H834="VIXA",PR!$BN832,IF(H834="WWCV",PR!$BO832,IF(H834="ZOLON",PR!$BP832,"-"))))))))))))))))))))))))))))))))))))))))))))))))))))))))))))))))</f>
        <v>385</v>
      </c>
      <c r="H834" s="102" t="str">
        <f>EV!M1057</f>
        <v>ROTECH</v>
      </c>
      <c r="I834" s="108">
        <f>IF(J834="ALPHA",PR!$E832,IF(J834="ASSENE",PR!$F832,IF(J834="BIOFEM",PR!$G832,IF(J834="BIOMED",PR!$H832,IF(J834="CHI",PR!$I832,IF(J834="CLARION",PR!$J832,IF(J834="CODIX",PR!$K832,IF(J834="COSMADE",PR!$L832,IF(J834="SANCON",PR!$M832,IF(J834="DEVON",PR!$N832,IF(J834="DORTEMAG",PR!$O832,IF(J834="DGF",PR!$P832,IF(J834="DYNAMIC",PR!$Q832,IF(J834="EMZOR",PR!$R832,IF(J834="EUMATT",PR!$S832,IF(J834="FIDSON",PR!$T832,IF(J834="FCGLOBAL",PR!$U832,IF(J834="GENEITH",PR!$V832,IF(J834="GINOS",PR!$W832,IF(J834="GSK",PR!$X832,IF(J834="GLOBORG",PR!$Y832,IF(J834="GOODNEWS",PR!$Z832,IF(J834="GREENLIFE",PR!$AA832,IF(J834="HLINE",PR!$AB832,IF(J834="ROTECH",PR!$AC832,IF(J834="ISN",PR!$AD832,IF(J834="JAWA",PR!$AE832,IF(J834="LAYO",PR!$AF832,IF(J834="LEADWAY",PR!$AG832,IF(J834="LHV",PR!$AH832,IF(J834="MANOLA",PR!$AI832,IF(J834="MARCSON",PR!$AJ832,IF(J834="M&amp;B",PR!$AK832,IF(J834="MTRUST",PR!$AL832,IF(J834="MWORLD",PR!$AM832,IF(J834="MEGA",PR!$AN832,IF(J834="MICRONOVA",PR!$AO832,IF(J834="MFLASH",PR!$AP832,IF(J834="MORISON",PR!$AQ832,IF(J834="NEMEL",PR!$AR832,IF(J834="NHP",PR!$AS832,IF(J834="NHC",PR!$AT832,IF(J834="OLEAF",PR!$AU832,IF(J834="OCULUS",PR!$AV832,IF(J834="PACIFIC",PR!$AW832,IF(J834="PHAMATEX",PR!$AX832,IF(J834="PETHICS",PR!$AY832,IF(J834="PHILIPS",PR!$AZ832,IF(J834="RANBAXY",PR!$BA832,IF(J834="REALS",PR!$BB832,IF(J834="ROYAL",PR!$BC832,IF(J834="SAM",PR!$BD832,IF(J834="SEAGREEN",PR!$BE832,IF(J834="SKG",PR!$BF832,IF(J834="TAH",PR!$BG832,IF(J834="TAYLEK",PR!$BH832,IF(J834="TEMITA",PR!$BI832,IF(J834="THL",PR!$BJ832,IF(J834="UBASTIC",PR!$BK832,IF(J834="UNION",PR!$BL832,IF(J834="UNIQUE",PR!$BM832,IF(J834="VIXA",PR!$BN832,IF(J834="WWCV",PR!$BO832,IF(J834="ZOLON",PR!$BP832,"-"))))))))))))))))))))))))))))))))))))))))))))))))))))))))))))))))</f>
        <v>450</v>
      </c>
      <c r="J834" s="102" t="str">
        <f>EV!N1057</f>
        <v>COSMADE</v>
      </c>
      <c r="K834" s="433" t="s">
        <v>1459</v>
      </c>
      <c r="L834" s="183">
        <f>IF(K834&gt;0,IF(K834="ALPHA",PR!$E832,IF(K834="ASSENE",PR!$F832,IF(K834="BIOFEM",PR!$G832,IF(K834="BIOMED",PR!$H832,IF(K834="CHI",PR!$I832,IF(K834="CLARION",PR!$J832,IF(K834="CODIX",PR!$K832,IF(K834="COSMADE",PR!$L832,IF(K834="SANCON",PR!$M832,IF(K834="DEVON",PR!$N832,IF(K834="DORTEMAG",PR!$O832,IF(K834="DGF",PR!$P832,IF(K834="DYNAMIC",PR!$Q832,IF(K834="EMZOR",PR!$R832,IF(K834="EUMATT",PR!$S832,IF(K834="FIDSON",PR!$T832,IF(K834="FCGLOBAL",PR!$U832,IF(K834="GENEITH",PR!$V832,IF(K834="GINOS",PR!$W832,IF(K834="GSK",PR!$X832,IF(K834="GLOBORG",PR!$Y832,IF(K834="GOODNEWS",PR!$Z832,IF(K834="GREENLIFE",PR!$AA832,IF(K834="HLINE",PR!$AB832,IF(K834="ROTECH",PR!$AC832,IF(K834="ISN",PR!$AD832,IF(K834="JAWA",PR!$AE832,IF(K834="LAYO",PR!$AF832,IF(K834="LEADWAY",PR!$AG832,IF(K834="LHV",PR!$AH832,IF(K834="MANOLA",PR!$AI832,IF(K834="MARCSON",PR!$AJ832,IF(K834="M&amp;B",PR!$AK832,IF(K834="MTRUST",PR!$AL832,IF(K834="MWORLD",PR!$AM832,IF(K834="MEGA",PR!$AN832,IF(K834="MICRONOVA",PR!$AO832,IF(K834="MFLASH",PR!$AP832,IF(K834="MORISON",PR!$AQ832,IF(K834="NEMEL",PR!$AR832,IF(K834="NHP",PR!$AS832,IF(K834="NHC",PR!$AT832,IF(K834="OLEAF",PR!$AU832,IF(K834="OCULUS",PR!$AV832,IF(K834="PACIFIC",PR!$AW832,IF(K834="PHAMATEX",PR!$AX832,IF(K834="PETHICS",PR!$AY832,IF(K834="PHILIPS",PR!$AZ832,IF(K834="RANBAXY",PR!$BA832,IF(K834="REALS",PR!$BB832,IF(K834="ROYAL",PR!$BC832,IF(K834="SAM",PR!$BD832,IF(K834="SEAGREEN",PR!$BE832,IF(K834="SKG",PR!$BF832,IF(K834="TAH",PR!$BG832,IF(K834="TAYLEK",PR!$BH832,IF(K834="TEMITA",PR!$BI832,IF(K834="THL",PR!$BJ832,IF(K834="UBASTIC",PR!$BK832,IF(K834="UNION",PR!$BL832,IF(K834="UNIQUE",PR!$BM832,IF(K834="VIXA",PR!$BN832,IF(K834="WWCV",PR!$BO832,IF(K834="ZOLON",PR!$BP832,"-")))))))))))))))))))))))))))))))))))))))))))))))))))))))))))))))))</f>
        <v>375</v>
      </c>
    </row>
    <row r="835" spans="1:12" ht="18.75" x14ac:dyDescent="0.3">
      <c r="A835" s="430">
        <f>PR!A833</f>
        <v>749</v>
      </c>
      <c r="B835" s="15" t="str">
        <f>PR!B833</f>
        <v>PURIT 4 LITRE (SAROLIFE)</v>
      </c>
      <c r="C835" s="113" t="str">
        <f>PR!D833</f>
        <v>KEG</v>
      </c>
      <c r="D835" s="113">
        <f>PR!C833</f>
        <v>100</v>
      </c>
      <c r="E835" s="108">
        <f>IF(F835="ALPHA",PR!$E833,IF(F835="ASSENE",PR!$F833,IF(F835="BIOFEM",PR!$G833,IF(F835="BIOMED",PR!$H833,IF(F835="CHI",PR!$I833,IF(F835="CLARION",PR!$J833,IF(F835="CODIX",PR!$K833,IF(F835="COSMADE",PR!$L833,IF(F835="SANCON",PR!$M833,IF(F835="DEVON",PR!$N833,IF(F835="DORTEMAG",PR!$O833,IF(F835="DGF",PR!$P833,IF(F835="DYNAMIC",PR!$Q833,IF(F835="EMZOR",PR!$R833,IF(F835="EUMATT",PR!$S833,IF(F835="FIDSON",PR!$T833,IF(F835="FCGLOBAL",PR!$U833,IF(F835="GENEITH",PR!$V833,IF(F835="GINOS",PR!$W833,IF(F835="GSK",PR!$X833,IF(F835="GLOBORG",PR!$Y833,IF(F835="GOODNEWS",PR!$Z833,IF(F835="GREENLIFE",PR!$AA833,IF(F835="HLINE",PR!$AB833,IF(F835="ROTECH",PR!$AC833,IF(F835="ISN",PR!$AD833,IF(F835="JAWA",PR!$AE833,IF(F835="LAYO",PR!$AF833,IF(F835="LEADWAY",PR!$AG833,IF(F835="LHV",PR!$AH833,IF(F835="MANOLA",PR!$AI833,IF(F835="MARCSON",PR!$AJ833,IF(F835="M&amp;B",PR!$AK833,IF(F835="MTRUST",PR!$AL833,IF(F835="MWORLD",PR!$AM833,IF(F835="MEGA",PR!$AN833,IF(F835="MICRONOVA",PR!$AO833,IF(F835="MFLASH",PR!$AP833,IF(F835="MORISON",PR!$AQ833,IF(F835="NEMEL",PR!$AR833,IF(F835="NHP",PR!$AS833,IF(F835="NHC",PR!$AT833,IF(F835="OLEAF",PR!$AU833,IF(F835="OCULUS",PR!$AV833,IF(F835="PACIFIC",PR!$AW833,IF(F835="PHAMATEX",PR!$AX833,IF(F835="PETHICS",PR!$AY833,IF(F835="PHILIPS",PR!$AZ833,IF(F835="RANBAXY",PR!$BA833,IF(F835="REALS",PR!$BB833,IF(F835="ROYAL",PR!$BC833,IF(F835="SAM",PR!$BD833,IF(F835="SEAGREEN",PR!$BE833,IF(F835="SKG",PR!$BF833,IF(F835="TAH",PR!$BG833,IF(F835="TAYLEK",PR!$BH833,IF(F835="TEMITA",PR!$BI833,IF(F835="THL",PR!$BJ833,IF(F835="UBASTIC",PR!$BK833,IF(F835="UNION",PR!$BL833,IF(F835="UNIQUE",PR!$BM833,IF(F835="VIXA",PR!$BN833,IF(F835="WWCV",PR!$BO833,IF(F835="ZOLON",PR!$BP833,"-"))))))))))))))))))))))))))))))))))))))))))))))))))))))))))))))))</f>
        <v>2650</v>
      </c>
      <c r="F835" s="102" t="str">
        <f>EV!L1058</f>
        <v>ROTECH</v>
      </c>
      <c r="G835" s="108">
        <f>IF(H835="ALPHA",PR!$E833,IF(H835="ASSENE",PR!$F833,IF(H835="BIOFEM",PR!$G833,IF(H835="BIOMED",PR!$H833,IF(H835="CHI",PR!$I833,IF(H835="CLARION",PR!$J833,IF(H835="CODIX",PR!$K833,IF(H835="COSMADE",PR!$L833,IF(H835="SANCON",PR!$M833,IF(H835="DEVON",PR!$N833,IF(H835="DORTEMAG",PR!$O833,IF(H835="DGF",PR!$P833,IF(H835="DYNAMIC",PR!$Q833,IF(H835="EMZOR",PR!$R833,IF(H835="EUMATT",PR!$S833,IF(H835="FIDSON",PR!$T833,IF(H835="FCGLOBAL",PR!$U833,IF(H835="GENEITH",PR!$V833,IF(H835="GINOS",PR!$W833,IF(H835="GSK",PR!$X833,IF(H835="GLOBORG",PR!$Y833,IF(H835="GOODNEWS",PR!$Z833,IF(H835="GREENLIFE",PR!$AA833,IF(H835="HLINE",PR!$AB833,IF(H835="ROTECH",PR!$AC833,IF(H835="ISN",PR!$AD833,IF(H835="JAWA",PR!$AE833,IF(H835="LAYO",PR!$AF833,IF(H835="LEADWAY",PR!$AG833,IF(H835="LHV",PR!$AH833,IF(H835="MANOLA",PR!$AI833,IF(H835="MARCSON",PR!$AJ833,IF(H835="M&amp;B",PR!$AK833,IF(H835="MTRUST",PR!$AL833,IF(H835="MWORLD",PR!$AM833,IF(H835="MEGA",PR!$AN833,IF(H835="MICRONOVA",PR!$AO833,IF(H835="MFLASH",PR!$AP833,IF(H835="MORISON",PR!$AQ833,IF(H835="NEMEL",PR!$AR833,IF(H835="NHP",PR!$AS833,IF(H835="NHC",PR!$AT833,IF(H835="OLEAF",PR!$AU833,IF(H835="OCULUS",PR!$AV833,IF(H835="PACIFIC",PR!$AW833,IF(H835="PHAMATEX",PR!$AX833,IF(H835="PETHICS",PR!$AY833,IF(H835="PHILIPS",PR!$AZ833,IF(H835="RANBAXY",PR!$BA833,IF(H835="REALS",PR!$BB833,IF(H835="ROYAL",PR!$BC833,IF(H835="SAM",PR!$BD833,IF(H835="SEAGREEN",PR!$BE833,IF(H835="SKG",PR!$BF833,IF(H835="TAH",PR!$BG833,IF(H835="TAYLEK",PR!$BH833,IF(H835="TEMITA",PR!$BI833,IF(H835="THL",PR!$BJ833,IF(H835="UBASTIC",PR!$BK833,IF(H835="UNION",PR!$BL833,IF(H835="UNIQUE",PR!$BM833,IF(H835="VIXA",PR!$BN833,IF(H835="WWCV",PR!$BO833,IF(H835="ZOLON",PR!$BP833,"-"))))))))))))))))))))))))))))))))))))))))))))))))))))))))))))))))</f>
        <v>2750</v>
      </c>
      <c r="H835" s="102" t="str">
        <f>EV!M1058</f>
        <v>SANCON</v>
      </c>
      <c r="I835" s="108">
        <f>IF(J835="ALPHA",PR!$E833,IF(J835="ASSENE",PR!$F833,IF(J835="BIOFEM",PR!$G833,IF(J835="BIOMED",PR!$H833,IF(J835="CHI",PR!$I833,IF(J835="CLARION",PR!$J833,IF(J835="CODIX",PR!$K833,IF(J835="COSMADE",PR!$L833,IF(J835="SANCON",PR!$M833,IF(J835="DEVON",PR!$N833,IF(J835="DORTEMAG",PR!$O833,IF(J835="DGF",PR!$P833,IF(J835="DYNAMIC",PR!$Q833,IF(J835="EMZOR",PR!$R833,IF(J835="EUMATT",PR!$S833,IF(J835="FIDSON",PR!$T833,IF(J835="FCGLOBAL",PR!$U833,IF(J835="GENEITH",PR!$V833,IF(J835="GINOS",PR!$W833,IF(J835="GSK",PR!$X833,IF(J835="GLOBORG",PR!$Y833,IF(J835="GOODNEWS",PR!$Z833,IF(J835="GREENLIFE",PR!$AA833,IF(J835="HLINE",PR!$AB833,IF(J835="ROTECH",PR!$AC833,IF(J835="ISN",PR!$AD833,IF(J835="JAWA",PR!$AE833,IF(J835="LAYO",PR!$AF833,IF(J835="LEADWAY",PR!$AG833,IF(J835="LHV",PR!$AH833,IF(J835="MANOLA",PR!$AI833,IF(J835="MARCSON",PR!$AJ833,IF(J835="M&amp;B",PR!$AK833,IF(J835="MTRUST",PR!$AL833,IF(J835="MWORLD",PR!$AM833,IF(J835="MEGA",PR!$AN833,IF(J835="MICRONOVA",PR!$AO833,IF(J835="MFLASH",PR!$AP833,IF(J835="MORISON",PR!$AQ833,IF(J835="NEMEL",PR!$AR833,IF(J835="NHP",PR!$AS833,IF(J835="NHC",PR!$AT833,IF(J835="OLEAF",PR!$AU833,IF(J835="OCULUS",PR!$AV833,IF(J835="PACIFIC",PR!$AW833,IF(J835="PHAMATEX",PR!$AX833,IF(J835="PETHICS",PR!$AY833,IF(J835="PHILIPS",PR!$AZ833,IF(J835="RANBAXY",PR!$BA833,IF(J835="REALS",PR!$BB833,IF(J835="ROYAL",PR!$BC833,IF(J835="SAM",PR!$BD833,IF(J835="SEAGREEN",PR!$BE833,IF(J835="SKG",PR!$BF833,IF(J835="TAH",PR!$BG833,IF(J835="TAYLEK",PR!$BH833,IF(J835="TEMITA",PR!$BI833,IF(J835="THL",PR!$BJ833,IF(J835="UBASTIC",PR!$BK833,IF(J835="UNION",PR!$BL833,IF(J835="UNIQUE",PR!$BM833,IF(J835="VIXA",PR!$BN833,IF(J835="WWCV",PR!$BO833,IF(J835="ZOLON",PR!$BP833,"-"))))))))))))))))))))))))))))))))))))))))))))))))))))))))))))))))</f>
        <v>3000</v>
      </c>
      <c r="J835" s="102" t="str">
        <f>EV!N1058</f>
        <v>UBASTIC</v>
      </c>
      <c r="K835" s="433" t="s">
        <v>825</v>
      </c>
      <c r="L835" s="183">
        <f>IF(K835&gt;0,IF(K835="ALPHA",PR!$E833,IF(K835="ASSENE",PR!$F833,IF(K835="BIOFEM",PR!$G833,IF(K835="BIOMED",PR!$H833,IF(K835="CHI",PR!$I833,IF(K835="CLARION",PR!$J833,IF(K835="CODIX",PR!$K833,IF(K835="COSMADE",PR!$L833,IF(K835="SANCON",PR!$M833,IF(K835="DEVON",PR!$N833,IF(K835="DORTEMAG",PR!$O833,IF(K835="DGF",PR!$P833,IF(K835="DYNAMIC",PR!$Q833,IF(K835="EMZOR",PR!$R833,IF(K835="EUMATT",PR!$S833,IF(K835="FIDSON",PR!$T833,IF(K835="FCGLOBAL",PR!$U833,IF(K835="GENEITH",PR!$V833,IF(K835="GINOS",PR!$W833,IF(K835="GSK",PR!$X833,IF(K835="GLOBORG",PR!$Y833,IF(K835="GOODNEWS",PR!$Z833,IF(K835="GREENLIFE",PR!$AA833,IF(K835="HLINE",PR!$AB833,IF(K835="ROTECH",PR!$AC833,IF(K835="ISN",PR!$AD833,IF(K835="JAWA",PR!$AE833,IF(K835="LAYO",PR!$AF833,IF(K835="LEADWAY",PR!$AG833,IF(K835="LHV",PR!$AH833,IF(K835="MANOLA",PR!$AI833,IF(K835="MARCSON",PR!$AJ833,IF(K835="M&amp;B",PR!$AK833,IF(K835="MTRUST",PR!$AL833,IF(K835="MWORLD",PR!$AM833,IF(K835="MEGA",PR!$AN833,IF(K835="MICRONOVA",PR!$AO833,IF(K835="MFLASH",PR!$AP833,IF(K835="MORISON",PR!$AQ833,IF(K835="NEMEL",PR!$AR833,IF(K835="NHP",PR!$AS833,IF(K835="NHC",PR!$AT833,IF(K835="OLEAF",PR!$AU833,IF(K835="OCULUS",PR!$AV833,IF(K835="PACIFIC",PR!$AW833,IF(K835="PHAMATEX",PR!$AX833,IF(K835="PETHICS",PR!$AY833,IF(K835="PHILIPS",PR!$AZ833,IF(K835="RANBAXY",PR!$BA833,IF(K835="REALS",PR!$BB833,IF(K835="ROYAL",PR!$BC833,IF(K835="SAM",PR!$BD833,IF(K835="SEAGREEN",PR!$BE833,IF(K835="SKG",PR!$BF833,IF(K835="TAH",PR!$BG833,IF(K835="TAYLEK",PR!$BH833,IF(K835="TEMITA",PR!$BI833,IF(K835="THL",PR!$BJ833,IF(K835="UBASTIC",PR!$BK833,IF(K835="UNION",PR!$BL833,IF(K835="UNIQUE",PR!$BM833,IF(K835="VIXA",PR!$BN833,IF(K835="WWCV",PR!$BO833,IF(K835="ZOLON",PR!$BP833,"-")))))))))))))))))))))))))))))))))))))))))))))))))))))))))))))))))</f>
        <v>2650</v>
      </c>
    </row>
    <row r="836" spans="1:12" ht="18.75" x14ac:dyDescent="0.3">
      <c r="A836" s="430">
        <f>PR!A834</f>
        <v>750</v>
      </c>
      <c r="B836" s="15" t="str">
        <f>PR!B834</f>
        <v>SODALIME 5 LITRE (SPHERASORB)</v>
      </c>
      <c r="C836" s="113" t="str">
        <f>PR!D834</f>
        <v>KEG</v>
      </c>
      <c r="D836" s="113">
        <f>PR!C834</f>
        <v>8</v>
      </c>
      <c r="E836" s="108">
        <f>IF(F836="ALPHA",PR!$E834,IF(F836="ASSENE",PR!$F834,IF(F836="BIOFEM",PR!$G834,IF(F836="BIOMED",PR!$H834,IF(F836="CHI",PR!$I834,IF(F836="CLARION",PR!$J834,IF(F836="CODIX",PR!$K834,IF(F836="COSMADE",PR!$L834,IF(F836="SANCON",PR!$M834,IF(F836="DEVON",PR!$N834,IF(F836="DORTEMAG",PR!$O834,IF(F836="DGF",PR!$P834,IF(F836="DYNAMIC",PR!$Q834,IF(F836="EMZOR",PR!$R834,IF(F836="EUMATT",PR!$S834,IF(F836="FIDSON",PR!$T834,IF(F836="FCGLOBAL",PR!$U834,IF(F836="GENEITH",PR!$V834,IF(F836="GINOS",PR!$W834,IF(F836="GSK",PR!$X834,IF(F836="GLOBORG",PR!$Y834,IF(F836="GOODNEWS",PR!$Z834,IF(F836="GREENLIFE",PR!$AA834,IF(F836="HLINE",PR!$AB834,IF(F836="ROTECH",PR!$AC834,IF(F836="ISN",PR!$AD834,IF(F836="JAWA",PR!$AE834,IF(F836="LAYO",PR!$AF834,IF(F836="LEADWAY",PR!$AG834,IF(F836="LHV",PR!$AH834,IF(F836="MANOLA",PR!$AI834,IF(F836="MARCSON",PR!$AJ834,IF(F836="M&amp;B",PR!$AK834,IF(F836="MTRUST",PR!$AL834,IF(F836="MWORLD",PR!$AM834,IF(F836="MEGA",PR!$AN834,IF(F836="MICRONOVA",PR!$AO834,IF(F836="MFLASH",PR!$AP834,IF(F836="MORISON",PR!$AQ834,IF(F836="NEMEL",PR!$AR834,IF(F836="NHP",PR!$AS834,IF(F836="NHC",PR!$AT834,IF(F836="OLEAF",PR!$AU834,IF(F836="OCULUS",PR!$AV834,IF(F836="PACIFIC",PR!$AW834,IF(F836="PHAMATEX",PR!$AX834,IF(F836="PETHICS",PR!$AY834,IF(F836="PHILIPS",PR!$AZ834,IF(F836="RANBAXY",PR!$BA834,IF(F836="REALS",PR!$BB834,IF(F836="ROYAL",PR!$BC834,IF(F836="SAM",PR!$BD834,IF(F836="SEAGREEN",PR!$BE834,IF(F836="SKG",PR!$BF834,IF(F836="TAH",PR!$BG834,IF(F836="TAYLEK",PR!$BH834,IF(F836="TEMITA",PR!$BI834,IF(F836="THL",PR!$BJ834,IF(F836="UBASTIC",PR!$BK834,IF(F836="UNION",PR!$BL834,IF(F836="UNIQUE",PR!$BM834,IF(F836="VIXA",PR!$BN834,IF(F836="WWCV",PR!$BO834,IF(F836="ZOLON",PR!$BP834,"-"))))))))))))))))))))))))))))))))))))))))))))))))))))))))))))))))</f>
        <v>59000</v>
      </c>
      <c r="F836" s="102" t="str">
        <f>EV!L1059</f>
        <v>SANCON</v>
      </c>
      <c r="G836" s="108">
        <f>IF(H836="ALPHA",PR!$E834,IF(H836="ASSENE",PR!$F834,IF(H836="BIOFEM",PR!$G834,IF(H836="BIOMED",PR!$H834,IF(H836="CHI",PR!$I834,IF(H836="CLARION",PR!$J834,IF(H836="CODIX",PR!$K834,IF(H836="COSMADE",PR!$L834,IF(H836="SANCON",PR!$M834,IF(H836="DEVON",PR!$N834,IF(H836="DORTEMAG",PR!$O834,IF(H836="DGF",PR!$P834,IF(H836="DYNAMIC",PR!$Q834,IF(H836="EMZOR",PR!$R834,IF(H836="EUMATT",PR!$S834,IF(H836="FIDSON",PR!$T834,IF(H836="FCGLOBAL",PR!$U834,IF(H836="GENEITH",PR!$V834,IF(H836="GINOS",PR!$W834,IF(H836="GSK",PR!$X834,IF(H836="GLOBORG",PR!$Y834,IF(H836="GOODNEWS",PR!$Z834,IF(H836="GREENLIFE",PR!$AA834,IF(H836="HLINE",PR!$AB834,IF(H836="ROTECH",PR!$AC834,IF(H836="ISN",PR!$AD834,IF(H836="JAWA",PR!$AE834,IF(H836="LAYO",PR!$AF834,IF(H836="LEADWAY",PR!$AG834,IF(H836="LHV",PR!$AH834,IF(H836="MANOLA",PR!$AI834,IF(H836="MARCSON",PR!$AJ834,IF(H836="M&amp;B",PR!$AK834,IF(H836="MTRUST",PR!$AL834,IF(H836="MWORLD",PR!$AM834,IF(H836="MEGA",PR!$AN834,IF(H836="MICRONOVA",PR!$AO834,IF(H836="MFLASH",PR!$AP834,IF(H836="MORISON",PR!$AQ834,IF(H836="NEMEL",PR!$AR834,IF(H836="NHP",PR!$AS834,IF(H836="NHC",PR!$AT834,IF(H836="OLEAF",PR!$AU834,IF(H836="OCULUS",PR!$AV834,IF(H836="PACIFIC",PR!$AW834,IF(H836="PHAMATEX",PR!$AX834,IF(H836="PETHICS",PR!$AY834,IF(H836="PHILIPS",PR!$AZ834,IF(H836="RANBAXY",PR!$BA834,IF(H836="REALS",PR!$BB834,IF(H836="ROYAL",PR!$BC834,IF(H836="SAM",PR!$BD834,IF(H836="SEAGREEN",PR!$BE834,IF(H836="SKG",PR!$BF834,IF(H836="TAH",PR!$BG834,IF(H836="TAYLEK",PR!$BH834,IF(H836="TEMITA",PR!$BI834,IF(H836="THL",PR!$BJ834,IF(H836="UBASTIC",PR!$BK834,IF(H836="UNION",PR!$BL834,IF(H836="UNIQUE",PR!$BM834,IF(H836="VIXA",PR!$BN834,IF(H836="WWCV",PR!$BO834,IF(H836="ZOLON",PR!$BP834,"-"))))))))))))))))))))))))))))))))))))))))))))))))))))))))))))))))</f>
        <v>62500</v>
      </c>
      <c r="H836" s="102" t="str">
        <f>EV!M1059</f>
        <v>DYNAMIC</v>
      </c>
      <c r="I836" s="108" t="str">
        <f>IF(J836="ALPHA",PR!$E834,IF(J836="ASSENE",PR!$F834,IF(J836="BIOFEM",PR!$G834,IF(J836="BIOMED",PR!$H834,IF(J836="CHI",PR!$I834,IF(J836="CLARION",PR!$J834,IF(J836="CODIX",PR!$K834,IF(J836="COSMADE",PR!$L834,IF(J836="SANCON",PR!$M834,IF(J836="DEVON",PR!$N834,IF(J836="DORTEMAG",PR!$O834,IF(J836="DGF",PR!$P834,IF(J836="DYNAMIC",PR!$Q834,IF(J836="EMZOR",PR!$R834,IF(J836="EUMATT",PR!$S834,IF(J836="FIDSON",PR!$T834,IF(J836="FCGLOBAL",PR!$U834,IF(J836="GENEITH",PR!$V834,IF(J836="GINOS",PR!$W834,IF(J836="GSK",PR!$X834,IF(J836="GLOBORG",PR!$Y834,IF(J836="GOODNEWS",PR!$Z834,IF(J836="GREENLIFE",PR!$AA834,IF(J836="HLINE",PR!$AB834,IF(J836="ROTECH",PR!$AC834,IF(J836="ISN",PR!$AD834,IF(J836="JAWA",PR!$AE834,IF(J836="LAYO",PR!$AF834,IF(J836="LEADWAY",PR!$AG834,IF(J836="LHV",PR!$AH834,IF(J836="MANOLA",PR!$AI834,IF(J836="MARCSON",PR!$AJ834,IF(J836="M&amp;B",PR!$AK834,IF(J836="MTRUST",PR!$AL834,IF(J836="MWORLD",PR!$AM834,IF(J836="MEGA",PR!$AN834,IF(J836="MICRONOVA",PR!$AO834,IF(J836="MFLASH",PR!$AP834,IF(J836="MORISON",PR!$AQ834,IF(J836="NEMEL",PR!$AR834,IF(J836="NHP",PR!$AS834,IF(J836="NHC",PR!$AT834,IF(J836="OLEAF",PR!$AU834,IF(J836="OCULUS",PR!$AV834,IF(J836="PACIFIC",PR!$AW834,IF(J836="PHAMATEX",PR!$AX834,IF(J836="PETHICS",PR!$AY834,IF(J836="PHILIPS",PR!$AZ834,IF(J836="RANBAXY",PR!$BA834,IF(J836="REALS",PR!$BB834,IF(J836="ROYAL",PR!$BC834,IF(J836="SAM",PR!$BD834,IF(J836="SEAGREEN",PR!$BE834,IF(J836="SKG",PR!$BF834,IF(J836="TAH",PR!$BG834,IF(J836="TAYLEK",PR!$BH834,IF(J836="TEMITA",PR!$BI834,IF(J836="THL",PR!$BJ834,IF(J836="UBASTIC",PR!$BK834,IF(J836="UNION",PR!$BL834,IF(J836="UNIQUE",PR!$BM834,IF(J836="VIXA",PR!$BN834,IF(J836="WWCV",PR!$BO834,IF(J836="ZOLON",PR!$BP834,"-"))))))))))))))))))))))))))))))))))))))))))))))))))))))))))))))))</f>
        <v>-</v>
      </c>
      <c r="J836" s="102">
        <f>EV!N1059</f>
        <v>0</v>
      </c>
      <c r="K836" s="433" t="s">
        <v>817</v>
      </c>
      <c r="L836" s="183">
        <f>IF(K836&gt;0,IF(K836="ALPHA",PR!$E834,IF(K836="ASSENE",PR!$F834,IF(K836="BIOFEM",PR!$G834,IF(K836="BIOMED",PR!$H834,IF(K836="CHI",PR!$I834,IF(K836="CLARION",PR!$J834,IF(K836="CODIX",PR!$K834,IF(K836="COSMADE",PR!$L834,IF(K836="SANCON",PR!$M834,IF(K836="DEVON",PR!$N834,IF(K836="DORTEMAG",PR!$O834,IF(K836="DGF",PR!$P834,IF(K836="DYNAMIC",PR!$Q834,IF(K836="EMZOR",PR!$R834,IF(K836="EUMATT",PR!$S834,IF(K836="FIDSON",PR!$T834,IF(K836="FCGLOBAL",PR!$U834,IF(K836="GENEITH",PR!$V834,IF(K836="GINOS",PR!$W834,IF(K836="GSK",PR!$X834,IF(K836="GLOBORG",PR!$Y834,IF(K836="GOODNEWS",PR!$Z834,IF(K836="GREENLIFE",PR!$AA834,IF(K836="HLINE",PR!$AB834,IF(K836="ROTECH",PR!$AC834,IF(K836="ISN",PR!$AD834,IF(K836="JAWA",PR!$AE834,IF(K836="LAYO",PR!$AF834,IF(K836="LEADWAY",PR!$AG834,IF(K836="LHV",PR!$AH834,IF(K836="MANOLA",PR!$AI834,IF(K836="MARCSON",PR!$AJ834,IF(K836="M&amp;B",PR!$AK834,IF(K836="MTRUST",PR!$AL834,IF(K836="MWORLD",PR!$AM834,IF(K836="MEGA",PR!$AN834,IF(K836="MICRONOVA",PR!$AO834,IF(K836="MFLASH",PR!$AP834,IF(K836="MORISON",PR!$AQ834,IF(K836="NEMEL",PR!$AR834,IF(K836="NHP",PR!$AS834,IF(K836="NHC",PR!$AT834,IF(K836="OLEAF",PR!$AU834,IF(K836="OCULUS",PR!$AV834,IF(K836="PACIFIC",PR!$AW834,IF(K836="PHAMATEX",PR!$AX834,IF(K836="PETHICS",PR!$AY834,IF(K836="PHILIPS",PR!$AZ834,IF(K836="RANBAXY",PR!$BA834,IF(K836="REALS",PR!$BB834,IF(K836="ROYAL",PR!$BC834,IF(K836="SAM",PR!$BD834,IF(K836="SEAGREEN",PR!$BE834,IF(K836="SKG",PR!$BF834,IF(K836="TAH",PR!$BG834,IF(K836="TAYLEK",PR!$BH834,IF(K836="TEMITA",PR!$BI834,IF(K836="THL",PR!$BJ834,IF(K836="UBASTIC",PR!$BK834,IF(K836="UNION",PR!$BL834,IF(K836="UNIQUE",PR!$BM834,IF(K836="VIXA",PR!$BN834,IF(K836="WWCV",PR!$BO834,IF(K836="ZOLON",PR!$BP834,"-")))))))))))))))))))))))))))))))))))))))))))))))))))))))))))))))))</f>
        <v>59000</v>
      </c>
    </row>
    <row r="837" spans="1:12" ht="18.75" x14ac:dyDescent="0.3">
      <c r="A837" s="430">
        <f>PR!A835</f>
        <v>751</v>
      </c>
      <c r="B837" s="15" t="str">
        <f>PR!B835</f>
        <v>AIRWAYS ADULT SIZE 3&amp;4</v>
      </c>
      <c r="C837" s="113" t="str">
        <f>PR!D835</f>
        <v>PCS</v>
      </c>
      <c r="D837" s="113">
        <f>PR!C835</f>
        <v>120</v>
      </c>
      <c r="E837" s="108">
        <f>IF(F837="ALPHA",PR!$E835,IF(F837="ASSENE",PR!$F835,IF(F837="BIOFEM",PR!$G835,IF(F837="BIOMED",PR!$H835,IF(F837="CHI",PR!$I835,IF(F837="CLARION",PR!$J835,IF(F837="CODIX",PR!$K835,IF(F837="COSMADE",PR!$L835,IF(F837="SANCON",PR!$M835,IF(F837="DEVON",PR!$N835,IF(F837="DORTEMAG",PR!$O835,IF(F837="DGF",PR!$P835,IF(F837="DYNAMIC",PR!$Q835,IF(F837="EMZOR",PR!$R835,IF(F837="EUMATT",PR!$S835,IF(F837="FIDSON",PR!$T835,IF(F837="FCGLOBAL",PR!$U835,IF(F837="GENEITH",PR!$V835,IF(F837="GINOS",PR!$W835,IF(F837="GSK",PR!$X835,IF(F837="GLOBORG",PR!$Y835,IF(F837="GOODNEWS",PR!$Z835,IF(F837="GREENLIFE",PR!$AA835,IF(F837="HLINE",PR!$AB835,IF(F837="ROTECH",PR!$AC835,IF(F837="ISN",PR!$AD835,IF(F837="JAWA",PR!$AE835,IF(F837="LAYO",PR!$AF835,IF(F837="LEADWAY",PR!$AG835,IF(F837="LHV",PR!$AH835,IF(F837="MANOLA",PR!$AI835,IF(F837="MARCSON",PR!$AJ835,IF(F837="M&amp;B",PR!$AK835,IF(F837="MTRUST",PR!$AL835,IF(F837="MWORLD",PR!$AM835,IF(F837="MEGA",PR!$AN835,IF(F837="MICRONOVA",PR!$AO835,IF(F837="MFLASH",PR!$AP835,IF(F837="MORISON",PR!$AQ835,IF(F837="NEMEL",PR!$AR835,IF(F837="NHP",PR!$AS835,IF(F837="NHC",PR!$AT835,IF(F837="OLEAF",PR!$AU835,IF(F837="OCULUS",PR!$AV835,IF(F837="PACIFIC",PR!$AW835,IF(F837="PHAMATEX",PR!$AX835,IF(F837="PETHICS",PR!$AY835,IF(F837="PHILIPS",PR!$AZ835,IF(F837="RANBAXY",PR!$BA835,IF(F837="REALS",PR!$BB835,IF(F837="ROYAL",PR!$BC835,IF(F837="SAM",PR!$BD835,IF(F837="SEAGREEN",PR!$BE835,IF(F837="SKG",PR!$BF835,IF(F837="TAH",PR!$BG835,IF(F837="TAYLEK",PR!$BH835,IF(F837="TEMITA",PR!$BI835,IF(F837="THL",PR!$BJ835,IF(F837="UBASTIC",PR!$BK835,IF(F837="UNION",PR!$BL835,IF(F837="UNIQUE",PR!$BM835,IF(F837="VIXA",PR!$BN835,IF(F837="WWCV",PR!$BO835,IF(F837="ZOLON",PR!$BP835,"-"))))))))))))))))))))))))))))))))))))))))))))))))))))))))))))))))</f>
        <v>165</v>
      </c>
      <c r="F837" s="102" t="str">
        <f>EV!L1060</f>
        <v>ROTECH</v>
      </c>
      <c r="G837" s="108">
        <f>IF(H837="ALPHA",PR!$E835,IF(H837="ASSENE",PR!$F835,IF(H837="BIOFEM",PR!$G835,IF(H837="BIOMED",PR!$H835,IF(H837="CHI",PR!$I835,IF(H837="CLARION",PR!$J835,IF(H837="CODIX",PR!$K835,IF(H837="COSMADE",PR!$L835,IF(H837="SANCON",PR!$M835,IF(H837="DEVON",PR!$N835,IF(H837="DORTEMAG",PR!$O835,IF(H837="DGF",PR!$P835,IF(H837="DYNAMIC",PR!$Q835,IF(H837="EMZOR",PR!$R835,IF(H837="EUMATT",PR!$S835,IF(H837="FIDSON",PR!$T835,IF(H837="FCGLOBAL",PR!$U835,IF(H837="GENEITH",PR!$V835,IF(H837="GINOS",PR!$W835,IF(H837="GSK",PR!$X835,IF(H837="GLOBORG",PR!$Y835,IF(H837="GOODNEWS",PR!$Z835,IF(H837="GREENLIFE",PR!$AA835,IF(H837="HLINE",PR!$AB835,IF(H837="ROTECH",PR!$AC835,IF(H837="ISN",PR!$AD835,IF(H837="JAWA",PR!$AE835,IF(H837="LAYO",PR!$AF835,IF(H837="LEADWAY",PR!$AG835,IF(H837="LHV",PR!$AH835,IF(H837="MANOLA",PR!$AI835,IF(H837="MARCSON",PR!$AJ835,IF(H837="M&amp;B",PR!$AK835,IF(H837="MTRUST",PR!$AL835,IF(H837="MWORLD",PR!$AM835,IF(H837="MEGA",PR!$AN835,IF(H837="MICRONOVA",PR!$AO835,IF(H837="MFLASH",PR!$AP835,IF(H837="MORISON",PR!$AQ835,IF(H837="NEMEL",PR!$AR835,IF(H837="NHP",PR!$AS835,IF(H837="NHC",PR!$AT835,IF(H837="OLEAF",PR!$AU835,IF(H837="OCULUS",PR!$AV835,IF(H837="PACIFIC",PR!$AW835,IF(H837="PHAMATEX",PR!$AX835,IF(H837="PETHICS",PR!$AY835,IF(H837="PHILIPS",PR!$AZ835,IF(H837="RANBAXY",PR!$BA835,IF(H837="REALS",PR!$BB835,IF(H837="ROYAL",PR!$BC835,IF(H837="SAM",PR!$BD835,IF(H837="SEAGREEN",PR!$BE835,IF(H837="SKG",PR!$BF835,IF(H837="TAH",PR!$BG835,IF(H837="TAYLEK",PR!$BH835,IF(H837="TEMITA",PR!$BI835,IF(H837="THL",PR!$BJ835,IF(H837="UBASTIC",PR!$BK835,IF(H837="UNION",PR!$BL835,IF(H837="UNIQUE",PR!$BM835,IF(H837="VIXA",PR!$BN835,IF(H837="WWCV",PR!$BO835,IF(H837="ZOLON",PR!$BP835,"-"))))))))))))))))))))))))))))))))))))))))))))))))))))))))))))))))</f>
        <v>230</v>
      </c>
      <c r="H837" s="102" t="str">
        <f>EV!M1060</f>
        <v>SANCON</v>
      </c>
      <c r="I837" s="108">
        <f>IF(J837="ALPHA",PR!$E835,IF(J837="ASSENE",PR!$F835,IF(J837="BIOFEM",PR!$G835,IF(J837="BIOMED",PR!$H835,IF(J837="CHI",PR!$I835,IF(J837="CLARION",PR!$J835,IF(J837="CODIX",PR!$K835,IF(J837="COSMADE",PR!$L835,IF(J837="SANCON",PR!$M835,IF(J837="DEVON",PR!$N835,IF(J837="DORTEMAG",PR!$O835,IF(J837="DGF",PR!$P835,IF(J837="DYNAMIC",PR!$Q835,IF(J837="EMZOR",PR!$R835,IF(J837="EUMATT",PR!$S835,IF(J837="FIDSON",PR!$T835,IF(J837="FCGLOBAL",PR!$U835,IF(J837="GENEITH",PR!$V835,IF(J837="GINOS",PR!$W835,IF(J837="GSK",PR!$X835,IF(J837="GLOBORG",PR!$Y835,IF(J837="GOODNEWS",PR!$Z835,IF(J837="GREENLIFE",PR!$AA835,IF(J837="HLINE",PR!$AB835,IF(J837="ROTECH",PR!$AC835,IF(J837="ISN",PR!$AD835,IF(J837="JAWA",PR!$AE835,IF(J837="LAYO",PR!$AF835,IF(J837="LEADWAY",PR!$AG835,IF(J837="LHV",PR!$AH835,IF(J837="MANOLA",PR!$AI835,IF(J837="MARCSON",PR!$AJ835,IF(J837="M&amp;B",PR!$AK835,IF(J837="MTRUST",PR!$AL835,IF(J837="MWORLD",PR!$AM835,IF(J837="MEGA",PR!$AN835,IF(J837="MICRONOVA",PR!$AO835,IF(J837="MFLASH",PR!$AP835,IF(J837="MORISON",PR!$AQ835,IF(J837="NEMEL",PR!$AR835,IF(J837="NHP",PR!$AS835,IF(J837="NHC",PR!$AT835,IF(J837="OLEAF",PR!$AU835,IF(J837="OCULUS",PR!$AV835,IF(J837="PACIFIC",PR!$AW835,IF(J837="PHAMATEX",PR!$AX835,IF(J837="PETHICS",PR!$AY835,IF(J837="PHILIPS",PR!$AZ835,IF(J837="RANBAXY",PR!$BA835,IF(J837="REALS",PR!$BB835,IF(J837="ROYAL",PR!$BC835,IF(J837="SAM",PR!$BD835,IF(J837="SEAGREEN",PR!$BE835,IF(J837="SKG",PR!$BF835,IF(J837="TAH",PR!$BG835,IF(J837="TAYLEK",PR!$BH835,IF(J837="TEMITA",PR!$BI835,IF(J837="THL",PR!$BJ835,IF(J837="UBASTIC",PR!$BK835,IF(J837="UNION",PR!$BL835,IF(J837="UNIQUE",PR!$BM835,IF(J837="VIXA",PR!$BN835,IF(J837="WWCV",PR!$BO835,IF(J837="ZOLON",PR!$BP835,"-"))))))))))))))))))))))))))))))))))))))))))))))))))))))))))))))))</f>
        <v>438</v>
      </c>
      <c r="J837" s="102" t="str">
        <f>EV!N1060</f>
        <v>DYNAMIC</v>
      </c>
      <c r="K837" s="433" t="s">
        <v>825</v>
      </c>
      <c r="L837" s="183">
        <f>IF(K837&gt;0,IF(K837="ALPHA",PR!$E835,IF(K837="ASSENE",PR!$F835,IF(K837="BIOFEM",PR!$G835,IF(K837="BIOMED",PR!$H835,IF(K837="CHI",PR!$I835,IF(K837="CLARION",PR!$J835,IF(K837="CODIX",PR!$K835,IF(K837="COSMADE",PR!$L835,IF(K837="SANCON",PR!$M835,IF(K837="DEVON",PR!$N835,IF(K837="DORTEMAG",PR!$O835,IF(K837="DGF",PR!$P835,IF(K837="DYNAMIC",PR!$Q835,IF(K837="EMZOR",PR!$R835,IF(K837="EUMATT",PR!$S835,IF(K837="FIDSON",PR!$T835,IF(K837="FCGLOBAL",PR!$U835,IF(K837="GENEITH",PR!$V835,IF(K837="GINOS",PR!$W835,IF(K837="GSK",PR!$X835,IF(K837="GLOBORG",PR!$Y835,IF(K837="GOODNEWS",PR!$Z835,IF(K837="GREENLIFE",PR!$AA835,IF(K837="HLINE",PR!$AB835,IF(K837="ROTECH",PR!$AC835,IF(K837="ISN",PR!$AD835,IF(K837="JAWA",PR!$AE835,IF(K837="LAYO",PR!$AF835,IF(K837="LEADWAY",PR!$AG835,IF(K837="LHV",PR!$AH835,IF(K837="MANOLA",PR!$AI835,IF(K837="MARCSON",PR!$AJ835,IF(K837="M&amp;B",PR!$AK835,IF(K837="MTRUST",PR!$AL835,IF(K837="MWORLD",PR!$AM835,IF(K837="MEGA",PR!$AN835,IF(K837="MICRONOVA",PR!$AO835,IF(K837="MFLASH",PR!$AP835,IF(K837="MORISON",PR!$AQ835,IF(K837="NEMEL",PR!$AR835,IF(K837="NHP",PR!$AS835,IF(K837="NHC",PR!$AT835,IF(K837="OLEAF",PR!$AU835,IF(K837="OCULUS",PR!$AV835,IF(K837="PACIFIC",PR!$AW835,IF(K837="PHAMATEX",PR!$AX835,IF(K837="PETHICS",PR!$AY835,IF(K837="PHILIPS",PR!$AZ835,IF(K837="RANBAXY",PR!$BA835,IF(K837="REALS",PR!$BB835,IF(K837="ROYAL",PR!$BC835,IF(K837="SAM",PR!$BD835,IF(K837="SEAGREEN",PR!$BE835,IF(K837="SKG",PR!$BF835,IF(K837="TAH",PR!$BG835,IF(K837="TAYLEK",PR!$BH835,IF(K837="TEMITA",PR!$BI835,IF(K837="THL",PR!$BJ835,IF(K837="UBASTIC",PR!$BK835,IF(K837="UNION",PR!$BL835,IF(K837="UNIQUE",PR!$BM835,IF(K837="VIXA",PR!$BN835,IF(K837="WWCV",PR!$BO835,IF(K837="ZOLON",PR!$BP835,"-")))))))))))))))))))))))))))))))))))))))))))))))))))))))))))))))))</f>
        <v>165</v>
      </c>
    </row>
    <row r="838" spans="1:12" ht="18.75" x14ac:dyDescent="0.3">
      <c r="A838" s="430">
        <f>PR!A836</f>
        <v>752</v>
      </c>
      <c r="B838" s="15" t="str">
        <f>PR!B836</f>
        <v>MORNING FRESH LIQUID 475MLS (PZ)</v>
      </c>
      <c r="C838" s="113" t="str">
        <f>PR!D836</f>
        <v>CARTON</v>
      </c>
      <c r="D838" s="113">
        <f>PR!C836</f>
        <v>28</v>
      </c>
      <c r="E838" s="108">
        <f>IF(F838="ALPHA",PR!$E836,IF(F838="ASSENE",PR!$F836,IF(F838="BIOFEM",PR!$G836,IF(F838="BIOMED",PR!$H836,IF(F838="CHI",PR!$I836,IF(F838="CLARION",PR!$J836,IF(F838="CODIX",PR!$K836,IF(F838="COSMADE",PR!$L836,IF(F838="SANCON",PR!$M836,IF(F838="DEVON",PR!$N836,IF(F838="DORTEMAG",PR!$O836,IF(F838="DGF",PR!$P836,IF(F838="DYNAMIC",PR!$Q836,IF(F838="EMZOR",PR!$R836,IF(F838="EUMATT",PR!$S836,IF(F838="FIDSON",PR!$T836,IF(F838="FCGLOBAL",PR!$U836,IF(F838="GENEITH",PR!$V836,IF(F838="GINOS",PR!$W836,IF(F838="GSK",PR!$X836,IF(F838="GLOBORG",PR!$Y836,IF(F838="GOODNEWS",PR!$Z836,IF(F838="GREENLIFE",PR!$AA836,IF(F838="HLINE",PR!$AB836,IF(F838="ROTECH",PR!$AC836,IF(F838="ISN",PR!$AD836,IF(F838="JAWA",PR!$AE836,IF(F838="LAYO",PR!$AF836,IF(F838="LEADWAY",PR!$AG836,IF(F838="LHV",PR!$AH836,IF(F838="MANOLA",PR!$AI836,IF(F838="MARCSON",PR!$AJ836,IF(F838="M&amp;B",PR!$AK836,IF(F838="MTRUST",PR!$AL836,IF(F838="MWORLD",PR!$AM836,IF(F838="MEGA",PR!$AN836,IF(F838="MICRONOVA",PR!$AO836,IF(F838="MFLASH",PR!$AP836,IF(F838="MORISON",PR!$AQ836,IF(F838="NEMEL",PR!$AR836,IF(F838="NHP",PR!$AS836,IF(F838="NHC",PR!$AT836,IF(F838="OLEAF",PR!$AU836,IF(F838="OCULUS",PR!$AV836,IF(F838="PACIFIC",PR!$AW836,IF(F838="PHAMATEX",PR!$AX836,IF(F838="PETHICS",PR!$AY836,IF(F838="PHILIPS",PR!$AZ836,IF(F838="RANBAXY",PR!$BA836,IF(F838="REALS",PR!$BB836,IF(F838="ROYAL",PR!$BC836,IF(F838="SAM",PR!$BD836,IF(F838="SEAGREEN",PR!$BE836,IF(F838="SKG",PR!$BF836,IF(F838="TAH",PR!$BG836,IF(F838="TAYLEK",PR!$BH836,IF(F838="TEMITA",PR!$BI836,IF(F838="THL",PR!$BJ836,IF(F838="UBASTIC",PR!$BK836,IF(F838="UNION",PR!$BL836,IF(F838="UNIQUE",PR!$BM836,IF(F838="VIXA",PR!$BN836,IF(F838="WWCV",PR!$BO836,IF(F838="ZOLON",PR!$BP836,"-"))))))))))))))))))))))))))))))))))))))))))))))))))))))))))))))))</f>
        <v>5300</v>
      </c>
      <c r="F838" s="102" t="str">
        <f>EV!L1061</f>
        <v>COSMADE</v>
      </c>
      <c r="G838" s="108">
        <f>IF(H838="ALPHA",PR!$E836,IF(H838="ASSENE",PR!$F836,IF(H838="BIOFEM",PR!$G836,IF(H838="BIOMED",PR!$H836,IF(H838="CHI",PR!$I836,IF(H838="CLARION",PR!$J836,IF(H838="CODIX",PR!$K836,IF(H838="COSMADE",PR!$L836,IF(H838="SANCON",PR!$M836,IF(H838="DEVON",PR!$N836,IF(H838="DORTEMAG",PR!$O836,IF(H838="DGF",PR!$P836,IF(H838="DYNAMIC",PR!$Q836,IF(H838="EMZOR",PR!$R836,IF(H838="EUMATT",PR!$S836,IF(H838="FIDSON",PR!$T836,IF(H838="FCGLOBAL",PR!$U836,IF(H838="GENEITH",PR!$V836,IF(H838="GINOS",PR!$W836,IF(H838="GSK",PR!$X836,IF(H838="GLOBORG",PR!$Y836,IF(H838="GOODNEWS",PR!$Z836,IF(H838="GREENLIFE",PR!$AA836,IF(H838="HLINE",PR!$AB836,IF(H838="ROTECH",PR!$AC836,IF(H838="ISN",PR!$AD836,IF(H838="JAWA",PR!$AE836,IF(H838="LAYO",PR!$AF836,IF(H838="LEADWAY",PR!$AG836,IF(H838="LHV",PR!$AH836,IF(H838="MANOLA",PR!$AI836,IF(H838="MARCSON",PR!$AJ836,IF(H838="M&amp;B",PR!$AK836,IF(H838="MTRUST",PR!$AL836,IF(H838="MWORLD",PR!$AM836,IF(H838="MEGA",PR!$AN836,IF(H838="MICRONOVA",PR!$AO836,IF(H838="MFLASH",PR!$AP836,IF(H838="MORISON",PR!$AQ836,IF(H838="NEMEL",PR!$AR836,IF(H838="NHP",PR!$AS836,IF(H838="NHC",PR!$AT836,IF(H838="OLEAF",PR!$AU836,IF(H838="OCULUS",PR!$AV836,IF(H838="PACIFIC",PR!$AW836,IF(H838="PHAMATEX",PR!$AX836,IF(H838="PETHICS",PR!$AY836,IF(H838="PHILIPS",PR!$AZ836,IF(H838="RANBAXY",PR!$BA836,IF(H838="REALS",PR!$BB836,IF(H838="ROYAL",PR!$BC836,IF(H838="SAM",PR!$BD836,IF(H838="SEAGREEN",PR!$BE836,IF(H838="SKG",PR!$BF836,IF(H838="TAH",PR!$BG836,IF(H838="TAYLEK",PR!$BH836,IF(H838="TEMITA",PR!$BI836,IF(H838="THL",PR!$BJ836,IF(H838="UBASTIC",PR!$BK836,IF(H838="UNION",PR!$BL836,IF(H838="UNIQUE",PR!$BM836,IF(H838="VIXA",PR!$BN836,IF(H838="WWCV",PR!$BO836,IF(H838="ZOLON",PR!$BP836,"-"))))))))))))))))))))))))))))))))))))))))))))))))))))))))))))))))</f>
        <v>5525</v>
      </c>
      <c r="H838" s="102" t="str">
        <f>EV!M1061</f>
        <v>ROTECH</v>
      </c>
      <c r="I838" s="108">
        <f>IF(J838="ALPHA",PR!$E836,IF(J838="ASSENE",PR!$F836,IF(J838="BIOFEM",PR!$G836,IF(J838="BIOMED",PR!$H836,IF(J838="CHI",PR!$I836,IF(J838="CLARION",PR!$J836,IF(J838="CODIX",PR!$K836,IF(J838="COSMADE",PR!$L836,IF(J838="SANCON",PR!$M836,IF(J838="DEVON",PR!$N836,IF(J838="DORTEMAG",PR!$O836,IF(J838="DGF",PR!$P836,IF(J838="DYNAMIC",PR!$Q836,IF(J838="EMZOR",PR!$R836,IF(J838="EUMATT",PR!$S836,IF(J838="FIDSON",PR!$T836,IF(J838="FCGLOBAL",PR!$U836,IF(J838="GENEITH",PR!$V836,IF(J838="GINOS",PR!$W836,IF(J838="GSK",PR!$X836,IF(J838="GLOBORG",PR!$Y836,IF(J838="GOODNEWS",PR!$Z836,IF(J838="GREENLIFE",PR!$AA836,IF(J838="HLINE",PR!$AB836,IF(J838="ROTECH",PR!$AC836,IF(J838="ISN",PR!$AD836,IF(J838="JAWA",PR!$AE836,IF(J838="LAYO",PR!$AF836,IF(J838="LEADWAY",PR!$AG836,IF(J838="LHV",PR!$AH836,IF(J838="MANOLA",PR!$AI836,IF(J838="MARCSON",PR!$AJ836,IF(J838="M&amp;B",PR!$AK836,IF(J838="MTRUST",PR!$AL836,IF(J838="MWORLD",PR!$AM836,IF(J838="MEGA",PR!$AN836,IF(J838="MICRONOVA",PR!$AO836,IF(J838="MFLASH",PR!$AP836,IF(J838="MORISON",PR!$AQ836,IF(J838="NEMEL",PR!$AR836,IF(J838="NHP",PR!$AS836,IF(J838="NHC",PR!$AT836,IF(J838="OLEAF",PR!$AU836,IF(J838="OCULUS",PR!$AV836,IF(J838="PACIFIC",PR!$AW836,IF(J838="PHAMATEX",PR!$AX836,IF(J838="PETHICS",PR!$AY836,IF(J838="PHILIPS",PR!$AZ836,IF(J838="RANBAXY",PR!$BA836,IF(J838="REALS",PR!$BB836,IF(J838="ROYAL",PR!$BC836,IF(J838="SAM",PR!$BD836,IF(J838="SEAGREEN",PR!$BE836,IF(J838="SKG",PR!$BF836,IF(J838="TAH",PR!$BG836,IF(J838="TAYLEK",PR!$BH836,IF(J838="TEMITA",PR!$BI836,IF(J838="THL",PR!$BJ836,IF(J838="UBASTIC",PR!$BK836,IF(J838="UNION",PR!$BL836,IF(J838="UNIQUE",PR!$BM836,IF(J838="VIXA",PR!$BN836,IF(J838="WWCV",PR!$BO836,IF(J838="ZOLON",PR!$BP836,"-"))))))))))))))))))))))))))))))))))))))))))))))))))))))))))))))))</f>
        <v>6250</v>
      </c>
      <c r="J838" s="102" t="str">
        <f>EV!N1061</f>
        <v>DYNAMIC</v>
      </c>
      <c r="K838" s="433" t="s">
        <v>1452</v>
      </c>
      <c r="L838" s="183">
        <f>IF(K838&gt;0,IF(K838="ALPHA",PR!$E836,IF(K838="ASSENE",PR!$F836,IF(K838="BIOFEM",PR!$G836,IF(K838="BIOMED",PR!$H836,IF(K838="CHI",PR!$I836,IF(K838="CLARION",PR!$J836,IF(K838="CODIX",PR!$K836,IF(K838="COSMADE",PR!$L836,IF(K838="SANCON",PR!$M836,IF(K838="DEVON",PR!$N836,IF(K838="DORTEMAG",PR!$O836,IF(K838="DGF",PR!$P836,IF(K838="DYNAMIC",PR!$Q836,IF(K838="EMZOR",PR!$R836,IF(K838="EUMATT",PR!$S836,IF(K838="FIDSON",PR!$T836,IF(K838="FCGLOBAL",PR!$U836,IF(K838="GENEITH",PR!$V836,IF(K838="GINOS",PR!$W836,IF(K838="GSK",PR!$X836,IF(K838="GLOBORG",PR!$Y836,IF(K838="GOODNEWS",PR!$Z836,IF(K838="GREENLIFE",PR!$AA836,IF(K838="HLINE",PR!$AB836,IF(K838="ROTECH",PR!$AC836,IF(K838="ISN",PR!$AD836,IF(K838="JAWA",PR!$AE836,IF(K838="LAYO",PR!$AF836,IF(K838="LEADWAY",PR!$AG836,IF(K838="LHV",PR!$AH836,IF(K838="MANOLA",PR!$AI836,IF(K838="MARCSON",PR!$AJ836,IF(K838="M&amp;B",PR!$AK836,IF(K838="MTRUST",PR!$AL836,IF(K838="MWORLD",PR!$AM836,IF(K838="MEGA",PR!$AN836,IF(K838="MICRONOVA",PR!$AO836,IF(K838="MFLASH",PR!$AP836,IF(K838="MORISON",PR!$AQ836,IF(K838="NEMEL",PR!$AR836,IF(K838="NHP",PR!$AS836,IF(K838="NHC",PR!$AT836,IF(K838="OLEAF",PR!$AU836,IF(K838="OCULUS",PR!$AV836,IF(K838="PACIFIC",PR!$AW836,IF(K838="PHAMATEX",PR!$AX836,IF(K838="PETHICS",PR!$AY836,IF(K838="PHILIPS",PR!$AZ836,IF(K838="RANBAXY",PR!$BA836,IF(K838="REALS",PR!$BB836,IF(K838="ROYAL",PR!$BC836,IF(K838="SAM",PR!$BD836,IF(K838="SEAGREEN",PR!$BE836,IF(K838="SKG",PR!$BF836,IF(K838="TAH",PR!$BG836,IF(K838="TAYLEK",PR!$BH836,IF(K838="TEMITA",PR!$BI836,IF(K838="THL",PR!$BJ836,IF(K838="UBASTIC",PR!$BK836,IF(K838="UNION",PR!$BL836,IF(K838="UNIQUE",PR!$BM836,IF(K838="VIXA",PR!$BN836,IF(K838="WWCV",PR!$BO836,IF(K838="ZOLON",PR!$BP836,"-")))))))))))))))))))))))))))))))))))))))))))))))))))))))))))))))))</f>
        <v>5300</v>
      </c>
    </row>
    <row r="839" spans="1:12" ht="18.75" x14ac:dyDescent="0.3">
      <c r="A839" s="430">
        <f>PR!A837</f>
        <v>753</v>
      </c>
      <c r="B839" s="15" t="str">
        <f>PR!B837</f>
        <v>O SHINE LIQUID SOAPS 4 LITRE</v>
      </c>
      <c r="C839" s="113" t="str">
        <f>PR!D837</f>
        <v>KEG</v>
      </c>
      <c r="D839" s="113">
        <f>PR!C837</f>
        <v>400</v>
      </c>
      <c r="E839" s="108">
        <f>IF(F839="ALPHA",PR!$E837,IF(F839="ASSENE",PR!$F837,IF(F839="BIOFEM",PR!$G837,IF(F839="BIOMED",PR!$H837,IF(F839="CHI",PR!$I837,IF(F839="CLARION",PR!$J837,IF(F839="CODIX",PR!$K837,IF(F839="COSMADE",PR!$L837,IF(F839="SANCON",PR!$M837,IF(F839="DEVON",PR!$N837,IF(F839="DORTEMAG",PR!$O837,IF(F839="DGF",PR!$P837,IF(F839="DYNAMIC",PR!$Q837,IF(F839="EMZOR",PR!$R837,IF(F839="EUMATT",PR!$S837,IF(F839="FIDSON",PR!$T837,IF(F839="FCGLOBAL",PR!$U837,IF(F839="GENEITH",PR!$V837,IF(F839="GINOS",PR!$W837,IF(F839="GSK",PR!$X837,IF(F839="GLOBORG",PR!$Y837,IF(F839="GOODNEWS",PR!$Z837,IF(F839="GREENLIFE",PR!$AA837,IF(F839="HLINE",PR!$AB837,IF(F839="ROTECH",PR!$AC837,IF(F839="ISN",PR!$AD837,IF(F839="JAWA",PR!$AE837,IF(F839="LAYO",PR!$AF837,IF(F839="LEADWAY",PR!$AG837,IF(F839="LHV",PR!$AH837,IF(F839="MANOLA",PR!$AI837,IF(F839="MARCSON",PR!$AJ837,IF(F839="M&amp;B",PR!$AK837,IF(F839="MTRUST",PR!$AL837,IF(F839="MWORLD",PR!$AM837,IF(F839="MEGA",PR!$AN837,IF(F839="MICRONOVA",PR!$AO837,IF(F839="MFLASH",PR!$AP837,IF(F839="MORISON",PR!$AQ837,IF(F839="NEMEL",PR!$AR837,IF(F839="NHP",PR!$AS837,IF(F839="NHC",PR!$AT837,IF(F839="OLEAF",PR!$AU837,IF(F839="OCULUS",PR!$AV837,IF(F839="PACIFIC",PR!$AW837,IF(F839="PHAMATEX",PR!$AX837,IF(F839="PETHICS",PR!$AY837,IF(F839="PHILIPS",PR!$AZ837,IF(F839="RANBAXY",PR!$BA837,IF(F839="REALS",PR!$BB837,IF(F839="ROYAL",PR!$BC837,IF(F839="SAM",PR!$BD837,IF(F839="SEAGREEN",PR!$BE837,IF(F839="SKG",PR!$BF837,IF(F839="TAH",PR!$BG837,IF(F839="TAYLEK",PR!$BH837,IF(F839="TEMITA",PR!$BI837,IF(F839="THL",PR!$BJ837,IF(F839="UBASTIC",PR!$BK837,IF(F839="UNION",PR!$BL837,IF(F839="UNIQUE",PR!$BM837,IF(F839="VIXA",PR!$BN837,IF(F839="WWCV",PR!$BO837,IF(F839="ZOLON",PR!$BP837,"-"))))))))))))))))))))))))))))))))))))))))))))))))))))))))))))))))</f>
        <v>1250</v>
      </c>
      <c r="F839" s="102" t="str">
        <f>EV!L1062</f>
        <v>DYNAMIC</v>
      </c>
      <c r="G839" s="108">
        <f>IF(H839="ALPHA",PR!$E837,IF(H839="ASSENE",PR!$F837,IF(H839="BIOFEM",PR!$G837,IF(H839="BIOMED",PR!$H837,IF(H839="CHI",PR!$I837,IF(H839="CLARION",PR!$J837,IF(H839="CODIX",PR!$K837,IF(H839="COSMADE",PR!$L837,IF(H839="SANCON",PR!$M837,IF(H839="DEVON",PR!$N837,IF(H839="DORTEMAG",PR!$O837,IF(H839="DGF",PR!$P837,IF(H839="DYNAMIC",PR!$Q837,IF(H839="EMZOR",PR!$R837,IF(H839="EUMATT",PR!$S837,IF(H839="FIDSON",PR!$T837,IF(H839="FCGLOBAL",PR!$U837,IF(H839="GENEITH",PR!$V837,IF(H839="GINOS",PR!$W837,IF(H839="GSK",PR!$X837,IF(H839="GLOBORG",PR!$Y837,IF(H839="GOODNEWS",PR!$Z837,IF(H839="GREENLIFE",PR!$AA837,IF(H839="HLINE",PR!$AB837,IF(H839="ROTECH",PR!$AC837,IF(H839="ISN",PR!$AD837,IF(H839="JAWA",PR!$AE837,IF(H839="LAYO",PR!$AF837,IF(H839="LEADWAY",PR!$AG837,IF(H839="LHV",PR!$AH837,IF(H839="MANOLA",PR!$AI837,IF(H839="MARCSON",PR!$AJ837,IF(H839="M&amp;B",PR!$AK837,IF(H839="MTRUST",PR!$AL837,IF(H839="MWORLD",PR!$AM837,IF(H839="MEGA",PR!$AN837,IF(H839="MICRONOVA",PR!$AO837,IF(H839="MFLASH",PR!$AP837,IF(H839="MORISON",PR!$AQ837,IF(H839="NEMEL",PR!$AR837,IF(H839="NHP",PR!$AS837,IF(H839="NHC",PR!$AT837,IF(H839="OLEAF",PR!$AU837,IF(H839="OCULUS",PR!$AV837,IF(H839="PACIFIC",PR!$AW837,IF(H839="PHAMATEX",PR!$AX837,IF(H839="PETHICS",PR!$AY837,IF(H839="PHILIPS",PR!$AZ837,IF(H839="RANBAXY",PR!$BA837,IF(H839="REALS",PR!$BB837,IF(H839="ROYAL",PR!$BC837,IF(H839="SAM",PR!$BD837,IF(H839="SEAGREEN",PR!$BE837,IF(H839="SKG",PR!$BF837,IF(H839="TAH",PR!$BG837,IF(H839="TAYLEK",PR!$BH837,IF(H839="TEMITA",PR!$BI837,IF(H839="THL",PR!$BJ837,IF(H839="UBASTIC",PR!$BK837,IF(H839="UNION",PR!$BL837,IF(H839="UNIQUE",PR!$BM837,IF(H839="VIXA",PR!$BN837,IF(H839="WWCV",PR!$BO837,IF(H839="ZOLON",PR!$BP837,"-"))))))))))))))))))))))))))))))))))))))))))))))))))))))))))))))))</f>
        <v>1700</v>
      </c>
      <c r="H839" s="102" t="str">
        <f>EV!M1062</f>
        <v>SANCON</v>
      </c>
      <c r="I839" s="108" t="str">
        <f>IF(J839="ALPHA",PR!$E837,IF(J839="ASSENE",PR!$F837,IF(J839="BIOFEM",PR!$G837,IF(J839="BIOMED",PR!$H837,IF(J839="CHI",PR!$I837,IF(J839="CLARION",PR!$J837,IF(J839="CODIX",PR!$K837,IF(J839="COSMADE",PR!$L837,IF(J839="SANCON",PR!$M837,IF(J839="DEVON",PR!$N837,IF(J839="DORTEMAG",PR!$O837,IF(J839="DGF",PR!$P837,IF(J839="DYNAMIC",PR!$Q837,IF(J839="EMZOR",PR!$R837,IF(J839="EUMATT",PR!$S837,IF(J839="FIDSON",PR!$T837,IF(J839="FCGLOBAL",PR!$U837,IF(J839="GENEITH",PR!$V837,IF(J839="GINOS",PR!$W837,IF(J839="GSK",PR!$X837,IF(J839="GLOBORG",PR!$Y837,IF(J839="GOODNEWS",PR!$Z837,IF(J839="GREENLIFE",PR!$AA837,IF(J839="HLINE",PR!$AB837,IF(J839="ROTECH",PR!$AC837,IF(J839="ISN",PR!$AD837,IF(J839="JAWA",PR!$AE837,IF(J839="LAYO",PR!$AF837,IF(J839="LEADWAY",PR!$AG837,IF(J839="LHV",PR!$AH837,IF(J839="MANOLA",PR!$AI837,IF(J839="MARCSON",PR!$AJ837,IF(J839="M&amp;B",PR!$AK837,IF(J839="MTRUST",PR!$AL837,IF(J839="MWORLD",PR!$AM837,IF(J839="MEGA",PR!$AN837,IF(J839="MICRONOVA",PR!$AO837,IF(J839="MFLASH",PR!$AP837,IF(J839="MORISON",PR!$AQ837,IF(J839="NEMEL",PR!$AR837,IF(J839="NHP",PR!$AS837,IF(J839="NHC",PR!$AT837,IF(J839="OLEAF",PR!$AU837,IF(J839="OCULUS",PR!$AV837,IF(J839="PACIFIC",PR!$AW837,IF(J839="PHAMATEX",PR!$AX837,IF(J839="PETHICS",PR!$AY837,IF(J839="PHILIPS",PR!$AZ837,IF(J839="RANBAXY",PR!$BA837,IF(J839="REALS",PR!$BB837,IF(J839="ROYAL",PR!$BC837,IF(J839="SAM",PR!$BD837,IF(J839="SEAGREEN",PR!$BE837,IF(J839="SKG",PR!$BF837,IF(J839="TAH",PR!$BG837,IF(J839="TAYLEK",PR!$BH837,IF(J839="TEMITA",PR!$BI837,IF(J839="THL",PR!$BJ837,IF(J839="UBASTIC",PR!$BK837,IF(J839="UNION",PR!$BL837,IF(J839="UNIQUE",PR!$BM837,IF(J839="VIXA",PR!$BN837,IF(J839="WWCV",PR!$BO837,IF(J839="ZOLON",PR!$BP837,"-"))))))))))))))))))))))))))))))))))))))))))))))))))))))))))))))))</f>
        <v>-</v>
      </c>
      <c r="J839" s="102">
        <f>EV!N1062</f>
        <v>0</v>
      </c>
      <c r="K839" s="433" t="s">
        <v>626</v>
      </c>
      <c r="L839" s="183">
        <f>IF(K839&gt;0,IF(K839="ALPHA",PR!$E837,IF(K839="ASSENE",PR!$F837,IF(K839="BIOFEM",PR!$G837,IF(K839="BIOMED",PR!$H837,IF(K839="CHI",PR!$I837,IF(K839="CLARION",PR!$J837,IF(K839="CODIX",PR!$K837,IF(K839="COSMADE",PR!$L837,IF(K839="SANCON",PR!$M837,IF(K839="DEVON",PR!$N837,IF(K839="DORTEMAG",PR!$O837,IF(K839="DGF",PR!$P837,IF(K839="DYNAMIC",PR!$Q837,IF(K839="EMZOR",PR!$R837,IF(K839="EUMATT",PR!$S837,IF(K839="FIDSON",PR!$T837,IF(K839="FCGLOBAL",PR!$U837,IF(K839="GENEITH",PR!$V837,IF(K839="GINOS",PR!$W837,IF(K839="GSK",PR!$X837,IF(K839="GLOBORG",PR!$Y837,IF(K839="GOODNEWS",PR!$Z837,IF(K839="GREENLIFE",PR!$AA837,IF(K839="HLINE",PR!$AB837,IF(K839="ROTECH",PR!$AC837,IF(K839="ISN",PR!$AD837,IF(K839="JAWA",PR!$AE837,IF(K839="LAYO",PR!$AF837,IF(K839="LEADWAY",PR!$AG837,IF(K839="LHV",PR!$AH837,IF(K839="MANOLA",PR!$AI837,IF(K839="MARCSON",PR!$AJ837,IF(K839="M&amp;B",PR!$AK837,IF(K839="MTRUST",PR!$AL837,IF(K839="MWORLD",PR!$AM837,IF(K839="MEGA",PR!$AN837,IF(K839="MICRONOVA",PR!$AO837,IF(K839="MFLASH",PR!$AP837,IF(K839="MORISON",PR!$AQ837,IF(K839="NEMEL",PR!$AR837,IF(K839="NHP",PR!$AS837,IF(K839="NHC",PR!$AT837,IF(K839="OLEAF",PR!$AU837,IF(K839="OCULUS",PR!$AV837,IF(K839="PACIFIC",PR!$AW837,IF(K839="PHAMATEX",PR!$AX837,IF(K839="PETHICS",PR!$AY837,IF(K839="PHILIPS",PR!$AZ837,IF(K839="RANBAXY",PR!$BA837,IF(K839="REALS",PR!$BB837,IF(K839="ROYAL",PR!$BC837,IF(K839="SAM",PR!$BD837,IF(K839="SEAGREEN",PR!$BE837,IF(K839="SKG",PR!$BF837,IF(K839="TAH",PR!$BG837,IF(K839="TAYLEK",PR!$BH837,IF(K839="TEMITA",PR!$BI837,IF(K839="THL",PR!$BJ837,IF(K839="UBASTIC",PR!$BK837,IF(K839="UNION",PR!$BL837,IF(K839="UNIQUE",PR!$BM837,IF(K839="VIXA",PR!$BN837,IF(K839="WWCV",PR!$BO837,IF(K839="ZOLON",PR!$BP837,"-")))))))))))))))))))))))))))))))))))))))))))))))))))))))))))))))))</f>
        <v>1250</v>
      </c>
    </row>
    <row r="840" spans="1:12" ht="18.75" x14ac:dyDescent="0.3">
      <c r="A840" s="430">
        <f>PR!A838</f>
        <v>754</v>
      </c>
      <c r="B840" s="15" t="str">
        <f>PR!B838</f>
        <v>COMBI 2 (URS - 2P)</v>
      </c>
      <c r="C840" s="113" t="str">
        <f>PR!D838</f>
        <v>BOTTLE</v>
      </c>
      <c r="D840" s="113">
        <f>PR!C838</f>
        <v>240</v>
      </c>
      <c r="E840" s="108">
        <f>IF(F840="ALPHA",PR!$E838,IF(F840="ASSENE",PR!$F838,IF(F840="BIOFEM",PR!$G838,IF(F840="BIOMED",PR!$H838,IF(F840="CHI",PR!$I838,IF(F840="CLARION",PR!$J838,IF(F840="CODIX",PR!$K838,IF(F840="COSMADE",PR!$L838,IF(F840="SANCON",PR!$M838,IF(F840="DEVON",PR!$N838,IF(F840="DORTEMAG",PR!$O838,IF(F840="DGF",PR!$P838,IF(F840="DYNAMIC",PR!$Q838,IF(F840="EMZOR",PR!$R838,IF(F840="EUMATT",PR!$S838,IF(F840="FIDSON",PR!$T838,IF(F840="FCGLOBAL",PR!$U838,IF(F840="GENEITH",PR!$V838,IF(F840="GINOS",PR!$W838,IF(F840="GSK",PR!$X838,IF(F840="GLOBORG",PR!$Y838,IF(F840="GOODNEWS",PR!$Z838,IF(F840="GREENLIFE",PR!$AA838,IF(F840="HLINE",PR!$AB838,IF(F840="ROTECH",PR!$AC838,IF(F840="ISN",PR!$AD838,IF(F840="JAWA",PR!$AE838,IF(F840="LAYO",PR!$AF838,IF(F840="LEADWAY",PR!$AG838,IF(F840="LHV",PR!$AH838,IF(F840="MANOLA",PR!$AI838,IF(F840="MARCSON",PR!$AJ838,IF(F840="M&amp;B",PR!$AK838,IF(F840="MTRUST",PR!$AL838,IF(F840="MWORLD",PR!$AM838,IF(F840="MEGA",PR!$AN838,IF(F840="MICRONOVA",PR!$AO838,IF(F840="MFLASH",PR!$AP838,IF(F840="MORISON",PR!$AQ838,IF(F840="NEMEL",PR!$AR838,IF(F840="NHP",PR!$AS838,IF(F840="NHC",PR!$AT838,IF(F840="OLEAF",PR!$AU838,IF(F840="OCULUS",PR!$AV838,IF(F840="PACIFIC",PR!$AW838,IF(F840="PHAMATEX",PR!$AX838,IF(F840="PETHICS",PR!$AY838,IF(F840="PHILIPS",PR!$AZ838,IF(F840="RANBAXY",PR!$BA838,IF(F840="REALS",PR!$BB838,IF(F840="ROYAL",PR!$BC838,IF(F840="SAM",PR!$BD838,IF(F840="SEAGREEN",PR!$BE838,IF(F840="SKG",PR!$BF838,IF(F840="TAH",PR!$BG838,IF(F840="TAYLEK",PR!$BH838,IF(F840="TEMITA",PR!$BI838,IF(F840="THL",PR!$BJ838,IF(F840="UBASTIC",PR!$BK838,IF(F840="UNION",PR!$BL838,IF(F840="UNIQUE",PR!$BM838,IF(F840="VIXA",PR!$BN838,IF(F840="WWCV",PR!$BO838,IF(F840="ZOLON",PR!$BP838,"-"))))))))))))))))))))))))))))))))))))))))))))))))))))))))))))))))</f>
        <v>1100</v>
      </c>
      <c r="F840" s="102" t="str">
        <f>EV!L1063</f>
        <v>ROTECH</v>
      </c>
      <c r="G840" s="108">
        <f>IF(H840="ALPHA",PR!$E838,IF(H840="ASSENE",PR!$F838,IF(H840="BIOFEM",PR!$G838,IF(H840="BIOMED",PR!$H838,IF(H840="CHI",PR!$I838,IF(H840="CLARION",PR!$J838,IF(H840="CODIX",PR!$K838,IF(H840="COSMADE",PR!$L838,IF(H840="SANCON",PR!$M838,IF(H840="DEVON",PR!$N838,IF(H840="DORTEMAG",PR!$O838,IF(H840="DGF",PR!$P838,IF(H840="DYNAMIC",PR!$Q838,IF(H840="EMZOR",PR!$R838,IF(H840="EUMATT",PR!$S838,IF(H840="FIDSON",PR!$T838,IF(H840="FCGLOBAL",PR!$U838,IF(H840="GENEITH",PR!$V838,IF(H840="GINOS",PR!$W838,IF(H840="GSK",PR!$X838,IF(H840="GLOBORG",PR!$Y838,IF(H840="GOODNEWS",PR!$Z838,IF(H840="GREENLIFE",PR!$AA838,IF(H840="HLINE",PR!$AB838,IF(H840="ROTECH",PR!$AC838,IF(H840="ISN",PR!$AD838,IF(H840="JAWA",PR!$AE838,IF(H840="LAYO",PR!$AF838,IF(H840="LEADWAY",PR!$AG838,IF(H840="LHV",PR!$AH838,IF(H840="MANOLA",PR!$AI838,IF(H840="MARCSON",PR!$AJ838,IF(H840="M&amp;B",PR!$AK838,IF(H840="MTRUST",PR!$AL838,IF(H840="MWORLD",PR!$AM838,IF(H840="MEGA",PR!$AN838,IF(H840="MICRONOVA",PR!$AO838,IF(H840="MFLASH",PR!$AP838,IF(H840="MORISON",PR!$AQ838,IF(H840="NEMEL",PR!$AR838,IF(H840="NHP",PR!$AS838,IF(H840="NHC",PR!$AT838,IF(H840="OLEAF",PR!$AU838,IF(H840="OCULUS",PR!$AV838,IF(H840="PACIFIC",PR!$AW838,IF(H840="PHAMATEX",PR!$AX838,IF(H840="PETHICS",PR!$AY838,IF(H840="PHILIPS",PR!$AZ838,IF(H840="RANBAXY",PR!$BA838,IF(H840="REALS",PR!$BB838,IF(H840="ROYAL",PR!$BC838,IF(H840="SAM",PR!$BD838,IF(H840="SEAGREEN",PR!$BE838,IF(H840="SKG",PR!$BF838,IF(H840="TAH",PR!$BG838,IF(H840="TAYLEK",PR!$BH838,IF(H840="TEMITA",PR!$BI838,IF(H840="THL",PR!$BJ838,IF(H840="UBASTIC",PR!$BK838,IF(H840="UNION",PR!$BL838,IF(H840="UNIQUE",PR!$BM838,IF(H840="VIXA",PR!$BN838,IF(H840="WWCV",PR!$BO838,IF(H840="ZOLON",PR!$BP838,"-"))))))))))))))))))))))))))))))))))))))))))))))))))))))))))))))))</f>
        <v>1200</v>
      </c>
      <c r="H840" s="102" t="str">
        <f>EV!M1063</f>
        <v>COSMADE</v>
      </c>
      <c r="I840" s="108">
        <f>IF(J840="ALPHA",PR!$E838,IF(J840="ASSENE",PR!$F838,IF(J840="BIOFEM",PR!$G838,IF(J840="BIOMED",PR!$H838,IF(J840="CHI",PR!$I838,IF(J840="CLARION",PR!$J838,IF(J840="CODIX",PR!$K838,IF(J840="COSMADE",PR!$L838,IF(J840="SANCON",PR!$M838,IF(J840="DEVON",PR!$N838,IF(J840="DORTEMAG",PR!$O838,IF(J840="DGF",PR!$P838,IF(J840="DYNAMIC",PR!$Q838,IF(J840="EMZOR",PR!$R838,IF(J840="EUMATT",PR!$S838,IF(J840="FIDSON",PR!$T838,IF(J840="FCGLOBAL",PR!$U838,IF(J840="GENEITH",PR!$V838,IF(J840="GINOS",PR!$W838,IF(J840="GSK",PR!$X838,IF(J840="GLOBORG",PR!$Y838,IF(J840="GOODNEWS",PR!$Z838,IF(J840="GREENLIFE",PR!$AA838,IF(J840="HLINE",PR!$AB838,IF(J840="ROTECH",PR!$AC838,IF(J840="ISN",PR!$AD838,IF(J840="JAWA",PR!$AE838,IF(J840="LAYO",PR!$AF838,IF(J840="LEADWAY",PR!$AG838,IF(J840="LHV",PR!$AH838,IF(J840="MANOLA",PR!$AI838,IF(J840="MARCSON",PR!$AJ838,IF(J840="M&amp;B",PR!$AK838,IF(J840="MTRUST",PR!$AL838,IF(J840="MWORLD",PR!$AM838,IF(J840="MEGA",PR!$AN838,IF(J840="MICRONOVA",PR!$AO838,IF(J840="MFLASH",PR!$AP838,IF(J840="MORISON",PR!$AQ838,IF(J840="NEMEL",PR!$AR838,IF(J840="NHP",PR!$AS838,IF(J840="NHC",PR!$AT838,IF(J840="OLEAF",PR!$AU838,IF(J840="OCULUS",PR!$AV838,IF(J840="PACIFIC",PR!$AW838,IF(J840="PHAMATEX",PR!$AX838,IF(J840="PETHICS",PR!$AY838,IF(J840="PHILIPS",PR!$AZ838,IF(J840="RANBAXY",PR!$BA838,IF(J840="REALS",PR!$BB838,IF(J840="ROYAL",PR!$BC838,IF(J840="SAM",PR!$BD838,IF(J840="SEAGREEN",PR!$BE838,IF(J840="SKG",PR!$BF838,IF(J840="TAH",PR!$BG838,IF(J840="TAYLEK",PR!$BH838,IF(J840="TEMITA",PR!$BI838,IF(J840="THL",PR!$BJ838,IF(J840="UBASTIC",PR!$BK838,IF(J840="UNION",PR!$BL838,IF(J840="UNIQUE",PR!$BM838,IF(J840="VIXA",PR!$BN838,IF(J840="WWCV",PR!$BO838,IF(J840="ZOLON",PR!$BP838,"-"))))))))))))))))))))))))))))))))))))))))))))))))))))))))))))))))</f>
        <v>1380</v>
      </c>
      <c r="J840" s="102" t="str">
        <f>EV!N1063</f>
        <v>SANCON</v>
      </c>
      <c r="K840" s="433" t="s">
        <v>825</v>
      </c>
      <c r="L840" s="183">
        <f>IF(K840&gt;0,IF(K840="ALPHA",PR!$E838,IF(K840="ASSENE",PR!$F838,IF(K840="BIOFEM",PR!$G838,IF(K840="BIOMED",PR!$H838,IF(K840="CHI",PR!$I838,IF(K840="CLARION",PR!$J838,IF(K840="CODIX",PR!$K838,IF(K840="COSMADE",PR!$L838,IF(K840="SANCON",PR!$M838,IF(K840="DEVON",PR!$N838,IF(K840="DORTEMAG",PR!$O838,IF(K840="DGF",PR!$P838,IF(K840="DYNAMIC",PR!$Q838,IF(K840="EMZOR",PR!$R838,IF(K840="EUMATT",PR!$S838,IF(K840="FIDSON",PR!$T838,IF(K840="FCGLOBAL",PR!$U838,IF(K840="GENEITH",PR!$V838,IF(K840="GINOS",PR!$W838,IF(K840="GSK",PR!$X838,IF(K840="GLOBORG",PR!$Y838,IF(K840="GOODNEWS",PR!$Z838,IF(K840="GREENLIFE",PR!$AA838,IF(K840="HLINE",PR!$AB838,IF(K840="ROTECH",PR!$AC838,IF(K840="ISN",PR!$AD838,IF(K840="JAWA",PR!$AE838,IF(K840="LAYO",PR!$AF838,IF(K840="LEADWAY",PR!$AG838,IF(K840="LHV",PR!$AH838,IF(K840="MANOLA",PR!$AI838,IF(K840="MARCSON",PR!$AJ838,IF(K840="M&amp;B",PR!$AK838,IF(K840="MTRUST",PR!$AL838,IF(K840="MWORLD",PR!$AM838,IF(K840="MEGA",PR!$AN838,IF(K840="MICRONOVA",PR!$AO838,IF(K840="MFLASH",PR!$AP838,IF(K840="MORISON",PR!$AQ838,IF(K840="NEMEL",PR!$AR838,IF(K840="NHP",PR!$AS838,IF(K840="NHC",PR!$AT838,IF(K840="OLEAF",PR!$AU838,IF(K840="OCULUS",PR!$AV838,IF(K840="PACIFIC",PR!$AW838,IF(K840="PHAMATEX",PR!$AX838,IF(K840="PETHICS",PR!$AY838,IF(K840="PHILIPS",PR!$AZ838,IF(K840="RANBAXY",PR!$BA838,IF(K840="REALS",PR!$BB838,IF(K840="ROYAL",PR!$BC838,IF(K840="SAM",PR!$BD838,IF(K840="SEAGREEN",PR!$BE838,IF(K840="SKG",PR!$BF838,IF(K840="TAH",PR!$BG838,IF(K840="TAYLEK",PR!$BH838,IF(K840="TEMITA",PR!$BI838,IF(K840="THL",PR!$BJ838,IF(K840="UBASTIC",PR!$BK838,IF(K840="UNION",PR!$BL838,IF(K840="UNIQUE",PR!$BM838,IF(K840="VIXA",PR!$BN838,IF(K840="WWCV",PR!$BO838,IF(K840="ZOLON",PR!$BP838,"-")))))))))))))))))))))))))))))))))))))))))))))))))))))))))))))))))</f>
        <v>1100</v>
      </c>
    </row>
    <row r="841" spans="1:12" ht="18.75" x14ac:dyDescent="0.3">
      <c r="A841" s="430">
        <f>PR!A839</f>
        <v>755</v>
      </c>
      <c r="B841" s="15" t="str">
        <f>PR!B839</f>
        <v>AUTOCLAVE TAPES (B-10)</v>
      </c>
      <c r="C841" s="113" t="str">
        <f>PR!D839</f>
        <v>PCS</v>
      </c>
      <c r="D841" s="113">
        <f>PR!C839</f>
        <v>250</v>
      </c>
      <c r="E841" s="108">
        <f>IF(F841="ALPHA",PR!$E839,IF(F841="ASSENE",PR!$F839,IF(F841="BIOFEM",PR!$G839,IF(F841="BIOMED",PR!$H839,IF(F841="CHI",PR!$I839,IF(F841="CLARION",PR!$J839,IF(F841="CODIX",PR!$K839,IF(F841="COSMADE",PR!$L839,IF(F841="SANCON",PR!$M839,IF(F841="DEVON",PR!$N839,IF(F841="DORTEMAG",PR!$O839,IF(F841="DGF",PR!$P839,IF(F841="DYNAMIC",PR!$Q839,IF(F841="EMZOR",PR!$R839,IF(F841="EUMATT",PR!$S839,IF(F841="FIDSON",PR!$T839,IF(F841="FCGLOBAL",PR!$U839,IF(F841="GENEITH",PR!$V839,IF(F841="GINOS",PR!$W839,IF(F841="GSK",PR!$X839,IF(F841="GLOBORG",PR!$Y839,IF(F841="GOODNEWS",PR!$Z839,IF(F841="GREENLIFE",PR!$AA839,IF(F841="HLINE",PR!$AB839,IF(F841="ROTECH",PR!$AC839,IF(F841="ISN",PR!$AD839,IF(F841="JAWA",PR!$AE839,IF(F841="LAYO",PR!$AF839,IF(F841="LEADWAY",PR!$AG839,IF(F841="LHV",PR!$AH839,IF(F841="MANOLA",PR!$AI839,IF(F841="MARCSON",PR!$AJ839,IF(F841="M&amp;B",PR!$AK839,IF(F841="MTRUST",PR!$AL839,IF(F841="MWORLD",PR!$AM839,IF(F841="MEGA",PR!$AN839,IF(F841="MICRONOVA",PR!$AO839,IF(F841="MFLASH",PR!$AP839,IF(F841="MORISON",PR!$AQ839,IF(F841="NEMEL",PR!$AR839,IF(F841="NHP",PR!$AS839,IF(F841="NHC",PR!$AT839,IF(F841="OLEAF",PR!$AU839,IF(F841="OCULUS",PR!$AV839,IF(F841="PACIFIC",PR!$AW839,IF(F841="PHAMATEX",PR!$AX839,IF(F841="PETHICS",PR!$AY839,IF(F841="PHILIPS",PR!$AZ839,IF(F841="RANBAXY",PR!$BA839,IF(F841="REALS",PR!$BB839,IF(F841="ROYAL",PR!$BC839,IF(F841="SAM",PR!$BD839,IF(F841="SEAGREEN",PR!$BE839,IF(F841="SKG",PR!$BF839,IF(F841="TAH",PR!$BG839,IF(F841="TAYLEK",PR!$BH839,IF(F841="TEMITA",PR!$BI839,IF(F841="THL",PR!$BJ839,IF(F841="UBASTIC",PR!$BK839,IF(F841="UNION",PR!$BL839,IF(F841="UNIQUE",PR!$BM839,IF(F841="VIXA",PR!$BN839,IF(F841="WWCV",PR!$BO839,IF(F841="ZOLON",PR!$BP839,"-"))))))))))))))))))))))))))))))))))))))))))))))))))))))))))))))))</f>
        <v>2200</v>
      </c>
      <c r="F841" s="102" t="str">
        <f>EV!L1064</f>
        <v>SANCON</v>
      </c>
      <c r="G841" s="108">
        <f>IF(H841="ALPHA",PR!$E839,IF(H841="ASSENE",PR!$F839,IF(H841="BIOFEM",PR!$G839,IF(H841="BIOMED",PR!$H839,IF(H841="CHI",PR!$I839,IF(H841="CLARION",PR!$J839,IF(H841="CODIX",PR!$K839,IF(H841="COSMADE",PR!$L839,IF(H841="SANCON",PR!$M839,IF(H841="DEVON",PR!$N839,IF(H841="DORTEMAG",PR!$O839,IF(H841="DGF",PR!$P839,IF(H841="DYNAMIC",PR!$Q839,IF(H841="EMZOR",PR!$R839,IF(H841="EUMATT",PR!$S839,IF(H841="FIDSON",PR!$T839,IF(H841="FCGLOBAL",PR!$U839,IF(H841="GENEITH",PR!$V839,IF(H841="GINOS",PR!$W839,IF(H841="GSK",PR!$X839,IF(H841="GLOBORG",PR!$Y839,IF(H841="GOODNEWS",PR!$Z839,IF(H841="GREENLIFE",PR!$AA839,IF(H841="HLINE",PR!$AB839,IF(H841="ROTECH",PR!$AC839,IF(H841="ISN",PR!$AD839,IF(H841="JAWA",PR!$AE839,IF(H841="LAYO",PR!$AF839,IF(H841="LEADWAY",PR!$AG839,IF(H841="LHV",PR!$AH839,IF(H841="MANOLA",PR!$AI839,IF(H841="MARCSON",PR!$AJ839,IF(H841="M&amp;B",PR!$AK839,IF(H841="MTRUST",PR!$AL839,IF(H841="MWORLD",PR!$AM839,IF(H841="MEGA",PR!$AN839,IF(H841="MICRONOVA",PR!$AO839,IF(H841="MFLASH",PR!$AP839,IF(H841="MORISON",PR!$AQ839,IF(H841="NEMEL",PR!$AR839,IF(H841="NHP",PR!$AS839,IF(H841="NHC",PR!$AT839,IF(H841="OLEAF",PR!$AU839,IF(H841="OCULUS",PR!$AV839,IF(H841="PACIFIC",PR!$AW839,IF(H841="PHAMATEX",PR!$AX839,IF(H841="PETHICS",PR!$AY839,IF(H841="PHILIPS",PR!$AZ839,IF(H841="RANBAXY",PR!$BA839,IF(H841="REALS",PR!$BB839,IF(H841="ROYAL",PR!$BC839,IF(H841="SAM",PR!$BD839,IF(H841="SEAGREEN",PR!$BE839,IF(H841="SKG",PR!$BF839,IF(H841="TAH",PR!$BG839,IF(H841="TAYLEK",PR!$BH839,IF(H841="TEMITA",PR!$BI839,IF(H841="THL",PR!$BJ839,IF(H841="UBASTIC",PR!$BK839,IF(H841="UNION",PR!$BL839,IF(H841="UNIQUE",PR!$BM839,IF(H841="VIXA",PR!$BN839,IF(H841="WWCV",PR!$BO839,IF(H841="ZOLON",PR!$BP839,"-"))))))))))))))))))))))))))))))))))))))))))))))))))))))))))))))))</f>
        <v>2200</v>
      </c>
      <c r="H841" s="102" t="str">
        <f>EV!M1064</f>
        <v>GINOS</v>
      </c>
      <c r="I841" s="108">
        <f>IF(J841="ALPHA",PR!$E839,IF(J841="ASSENE",PR!$F839,IF(J841="BIOFEM",PR!$G839,IF(J841="BIOMED",PR!$H839,IF(J841="CHI",PR!$I839,IF(J841="CLARION",PR!$J839,IF(J841="CODIX",PR!$K839,IF(J841="COSMADE",PR!$L839,IF(J841="SANCON",PR!$M839,IF(J841="DEVON",PR!$N839,IF(J841="DORTEMAG",PR!$O839,IF(J841="DGF",PR!$P839,IF(J841="DYNAMIC",PR!$Q839,IF(J841="EMZOR",PR!$R839,IF(J841="EUMATT",PR!$S839,IF(J841="FIDSON",PR!$T839,IF(J841="FCGLOBAL",PR!$U839,IF(J841="GENEITH",PR!$V839,IF(J841="GINOS",PR!$W839,IF(J841="GSK",PR!$X839,IF(J841="GLOBORG",PR!$Y839,IF(J841="GOODNEWS",PR!$Z839,IF(J841="GREENLIFE",PR!$AA839,IF(J841="HLINE",PR!$AB839,IF(J841="ROTECH",PR!$AC839,IF(J841="ISN",PR!$AD839,IF(J841="JAWA",PR!$AE839,IF(J841="LAYO",PR!$AF839,IF(J841="LEADWAY",PR!$AG839,IF(J841="LHV",PR!$AH839,IF(J841="MANOLA",PR!$AI839,IF(J841="MARCSON",PR!$AJ839,IF(J841="M&amp;B",PR!$AK839,IF(J841="MTRUST",PR!$AL839,IF(J841="MWORLD",PR!$AM839,IF(J841="MEGA",PR!$AN839,IF(J841="MICRONOVA",PR!$AO839,IF(J841="MFLASH",PR!$AP839,IF(J841="MORISON",PR!$AQ839,IF(J841="NEMEL",PR!$AR839,IF(J841="NHP",PR!$AS839,IF(J841="NHC",PR!$AT839,IF(J841="OLEAF",PR!$AU839,IF(J841="OCULUS",PR!$AV839,IF(J841="PACIFIC",PR!$AW839,IF(J841="PHAMATEX",PR!$AX839,IF(J841="PETHICS",PR!$AY839,IF(J841="PHILIPS",PR!$AZ839,IF(J841="RANBAXY",PR!$BA839,IF(J841="REALS",PR!$BB839,IF(J841="ROYAL",PR!$BC839,IF(J841="SAM",PR!$BD839,IF(J841="SEAGREEN",PR!$BE839,IF(J841="SKG",PR!$BF839,IF(J841="TAH",PR!$BG839,IF(J841="TAYLEK",PR!$BH839,IF(J841="TEMITA",PR!$BI839,IF(J841="THL",PR!$BJ839,IF(J841="UBASTIC",PR!$BK839,IF(J841="UNION",PR!$BL839,IF(J841="UNIQUE",PR!$BM839,IF(J841="VIXA",PR!$BN839,IF(J841="WWCV",PR!$BO839,IF(J841="ZOLON",PR!$BP839,"-"))))))))))))))))))))))))))))))))))))))))))))))))))))))))))))))))</f>
        <v>2200</v>
      </c>
      <c r="J841" s="102" t="str">
        <f>EV!N1064</f>
        <v>ROTECH</v>
      </c>
      <c r="K841" s="433" t="s">
        <v>817</v>
      </c>
      <c r="L841" s="183">
        <f>IF(K841&gt;0,IF(K841="ALPHA",PR!$E839,IF(K841="ASSENE",PR!$F839,IF(K841="BIOFEM",PR!$G839,IF(K841="BIOMED",PR!$H839,IF(K841="CHI",PR!$I839,IF(K841="CLARION",PR!$J839,IF(K841="CODIX",PR!$K839,IF(K841="COSMADE",PR!$L839,IF(K841="SANCON",PR!$M839,IF(K841="DEVON",PR!$N839,IF(K841="DORTEMAG",PR!$O839,IF(K841="DGF",PR!$P839,IF(K841="DYNAMIC",PR!$Q839,IF(K841="EMZOR",PR!$R839,IF(K841="EUMATT",PR!$S839,IF(K841="FIDSON",PR!$T839,IF(K841="FCGLOBAL",PR!$U839,IF(K841="GENEITH",PR!$V839,IF(K841="GINOS",PR!$W839,IF(K841="GSK",PR!$X839,IF(K841="GLOBORG",PR!$Y839,IF(K841="GOODNEWS",PR!$Z839,IF(K841="GREENLIFE",PR!$AA839,IF(K841="HLINE",PR!$AB839,IF(K841="ROTECH",PR!$AC839,IF(K841="ISN",PR!$AD839,IF(K841="JAWA",PR!$AE839,IF(K841="LAYO",PR!$AF839,IF(K841="LEADWAY",PR!$AG839,IF(K841="LHV",PR!$AH839,IF(K841="MANOLA",PR!$AI839,IF(K841="MARCSON",PR!$AJ839,IF(K841="M&amp;B",PR!$AK839,IF(K841="MTRUST",PR!$AL839,IF(K841="MWORLD",PR!$AM839,IF(K841="MEGA",PR!$AN839,IF(K841="MICRONOVA",PR!$AO839,IF(K841="MFLASH",PR!$AP839,IF(K841="MORISON",PR!$AQ839,IF(K841="NEMEL",PR!$AR839,IF(K841="NHP",PR!$AS839,IF(K841="NHC",PR!$AT839,IF(K841="OLEAF",PR!$AU839,IF(K841="OCULUS",PR!$AV839,IF(K841="PACIFIC",PR!$AW839,IF(K841="PHAMATEX",PR!$AX839,IF(K841="PETHICS",PR!$AY839,IF(K841="PHILIPS",PR!$AZ839,IF(K841="RANBAXY",PR!$BA839,IF(K841="REALS",PR!$BB839,IF(K841="ROYAL",PR!$BC839,IF(K841="SAM",PR!$BD839,IF(K841="SEAGREEN",PR!$BE839,IF(K841="SKG",PR!$BF839,IF(K841="TAH",PR!$BG839,IF(K841="TAYLEK",PR!$BH839,IF(K841="TEMITA",PR!$BI839,IF(K841="THL",PR!$BJ839,IF(K841="UBASTIC",PR!$BK839,IF(K841="UNION",PR!$BL839,IF(K841="UNIQUE",PR!$BM839,IF(K841="VIXA",PR!$BN839,IF(K841="WWCV",PR!$BO839,IF(K841="ZOLON",PR!$BP839,"-")))))))))))))))))))))))))))))))))))))))))))))))))))))))))))))))))</f>
        <v>2200</v>
      </c>
    </row>
    <row r="842" spans="1:12" ht="18.75" x14ac:dyDescent="0.3">
      <c r="A842" s="430">
        <f>PR!A840</f>
        <v>756</v>
      </c>
      <c r="B842" s="15" t="str">
        <f>PR!B840</f>
        <v>DISPOSABLE THEATRE GOWN</v>
      </c>
      <c r="C842" s="113" t="str">
        <f>PR!D840</f>
        <v>PCS</v>
      </c>
      <c r="D842" s="113">
        <f>PR!C840</f>
        <v>160</v>
      </c>
      <c r="E842" s="108">
        <f>IF(F842="ALPHA",PR!$E840,IF(F842="ASSENE",PR!$F840,IF(F842="BIOFEM",PR!$G840,IF(F842="BIOMED",PR!$H840,IF(F842="CHI",PR!$I840,IF(F842="CLARION",PR!$J840,IF(F842="CODIX",PR!$K840,IF(F842="COSMADE",PR!$L840,IF(F842="SANCON",PR!$M840,IF(F842="DEVON",PR!$N840,IF(F842="DORTEMAG",PR!$O840,IF(F842="DGF",PR!$P840,IF(F842="DYNAMIC",PR!$Q840,IF(F842="EMZOR",PR!$R840,IF(F842="EUMATT",PR!$S840,IF(F842="FIDSON",PR!$T840,IF(F842="FCGLOBAL",PR!$U840,IF(F842="GENEITH",PR!$V840,IF(F842="GINOS",PR!$W840,IF(F842="GSK",PR!$X840,IF(F842="GLOBORG",PR!$Y840,IF(F842="GOODNEWS",PR!$Z840,IF(F842="GREENLIFE",PR!$AA840,IF(F842="HLINE",PR!$AB840,IF(F842="ROTECH",PR!$AC840,IF(F842="ISN",PR!$AD840,IF(F842="JAWA",PR!$AE840,IF(F842="LAYO",PR!$AF840,IF(F842="LEADWAY",PR!$AG840,IF(F842="LHV",PR!$AH840,IF(F842="MANOLA",PR!$AI840,IF(F842="MARCSON",PR!$AJ840,IF(F842="M&amp;B",PR!$AK840,IF(F842="MTRUST",PR!$AL840,IF(F842="MWORLD",PR!$AM840,IF(F842="MEGA",PR!$AN840,IF(F842="MICRONOVA",PR!$AO840,IF(F842="MFLASH",PR!$AP840,IF(F842="MORISON",PR!$AQ840,IF(F842="NEMEL",PR!$AR840,IF(F842="NHP",PR!$AS840,IF(F842="NHC",PR!$AT840,IF(F842="OLEAF",PR!$AU840,IF(F842="OCULUS",PR!$AV840,IF(F842="PACIFIC",PR!$AW840,IF(F842="PHAMATEX",PR!$AX840,IF(F842="PETHICS",PR!$AY840,IF(F842="PHILIPS",PR!$AZ840,IF(F842="RANBAXY",PR!$BA840,IF(F842="REALS",PR!$BB840,IF(F842="ROYAL",PR!$BC840,IF(F842="SAM",PR!$BD840,IF(F842="SEAGREEN",PR!$BE840,IF(F842="SKG",PR!$BF840,IF(F842="TAH",PR!$BG840,IF(F842="TAYLEK",PR!$BH840,IF(F842="TEMITA",PR!$BI840,IF(F842="THL",PR!$BJ840,IF(F842="UBASTIC",PR!$BK840,IF(F842="UNION",PR!$BL840,IF(F842="UNIQUE",PR!$BM840,IF(F842="VIXA",PR!$BN840,IF(F842="WWCV",PR!$BO840,IF(F842="ZOLON",PR!$BP840,"-"))))))))))))))))))))))))))))))))))))))))))))))))))))))))))))))))</f>
        <v>314</v>
      </c>
      <c r="F842" s="102" t="str">
        <f>EV!L1065</f>
        <v>ROTECH</v>
      </c>
      <c r="G842" s="108">
        <f>IF(H842="ALPHA",PR!$E840,IF(H842="ASSENE",PR!$F840,IF(H842="BIOFEM",PR!$G840,IF(H842="BIOMED",PR!$H840,IF(H842="CHI",PR!$I840,IF(H842="CLARION",PR!$J840,IF(H842="CODIX",PR!$K840,IF(H842="COSMADE",PR!$L840,IF(H842="SANCON",PR!$M840,IF(H842="DEVON",PR!$N840,IF(H842="DORTEMAG",PR!$O840,IF(H842="DGF",PR!$P840,IF(H842="DYNAMIC",PR!$Q840,IF(H842="EMZOR",PR!$R840,IF(H842="EUMATT",PR!$S840,IF(H842="FIDSON",PR!$T840,IF(H842="FCGLOBAL",PR!$U840,IF(H842="GENEITH",PR!$V840,IF(H842="GINOS",PR!$W840,IF(H842="GSK",PR!$X840,IF(H842="GLOBORG",PR!$Y840,IF(H842="GOODNEWS",PR!$Z840,IF(H842="GREENLIFE",PR!$AA840,IF(H842="HLINE",PR!$AB840,IF(H842="ROTECH",PR!$AC840,IF(H842="ISN",PR!$AD840,IF(H842="JAWA",PR!$AE840,IF(H842="LAYO",PR!$AF840,IF(H842="LEADWAY",PR!$AG840,IF(H842="LHV",PR!$AH840,IF(H842="MANOLA",PR!$AI840,IF(H842="MARCSON",PR!$AJ840,IF(H842="M&amp;B",PR!$AK840,IF(H842="MTRUST",PR!$AL840,IF(H842="MWORLD",PR!$AM840,IF(H842="MEGA",PR!$AN840,IF(H842="MICRONOVA",PR!$AO840,IF(H842="MFLASH",PR!$AP840,IF(H842="MORISON",PR!$AQ840,IF(H842="NEMEL",PR!$AR840,IF(H842="NHP",PR!$AS840,IF(H842="NHC",PR!$AT840,IF(H842="OLEAF",PR!$AU840,IF(H842="OCULUS",PR!$AV840,IF(H842="PACIFIC",PR!$AW840,IF(H842="PHAMATEX",PR!$AX840,IF(H842="PETHICS",PR!$AY840,IF(H842="PHILIPS",PR!$AZ840,IF(H842="RANBAXY",PR!$BA840,IF(H842="REALS",PR!$BB840,IF(H842="ROYAL",PR!$BC840,IF(H842="SAM",PR!$BD840,IF(H842="SEAGREEN",PR!$BE840,IF(H842="SKG",PR!$BF840,IF(H842="TAH",PR!$BG840,IF(H842="TAYLEK",PR!$BH840,IF(H842="TEMITA",PR!$BI840,IF(H842="THL",PR!$BJ840,IF(H842="UBASTIC",PR!$BK840,IF(H842="UNION",PR!$BL840,IF(H842="UNIQUE",PR!$BM840,IF(H842="VIXA",PR!$BN840,IF(H842="WWCV",PR!$BO840,IF(H842="ZOLON",PR!$BP840,"-"))))))))))))))))))))))))))))))))))))))))))))))))))))))))))))))))</f>
        <v>500</v>
      </c>
      <c r="H842" s="102" t="str">
        <f>EV!M1065</f>
        <v>SANCON</v>
      </c>
      <c r="I842" s="108">
        <f>IF(J842="ALPHA",PR!$E840,IF(J842="ASSENE",PR!$F840,IF(J842="BIOFEM",PR!$G840,IF(J842="BIOMED",PR!$H840,IF(J842="CHI",PR!$I840,IF(J842="CLARION",PR!$J840,IF(J842="CODIX",PR!$K840,IF(J842="COSMADE",PR!$L840,IF(J842="SANCON",PR!$M840,IF(J842="DEVON",PR!$N840,IF(J842="DORTEMAG",PR!$O840,IF(J842="DGF",PR!$P840,IF(J842="DYNAMIC",PR!$Q840,IF(J842="EMZOR",PR!$R840,IF(J842="EUMATT",PR!$S840,IF(J842="FIDSON",PR!$T840,IF(J842="FCGLOBAL",PR!$U840,IF(J842="GENEITH",PR!$V840,IF(J842="GINOS",PR!$W840,IF(J842="GSK",PR!$X840,IF(J842="GLOBORG",PR!$Y840,IF(J842="GOODNEWS",PR!$Z840,IF(J842="GREENLIFE",PR!$AA840,IF(J842="HLINE",PR!$AB840,IF(J842="ROTECH",PR!$AC840,IF(J842="ISN",PR!$AD840,IF(J842="JAWA",PR!$AE840,IF(J842="LAYO",PR!$AF840,IF(J842="LEADWAY",PR!$AG840,IF(J842="LHV",PR!$AH840,IF(J842="MANOLA",PR!$AI840,IF(J842="MARCSON",PR!$AJ840,IF(J842="M&amp;B",PR!$AK840,IF(J842="MTRUST",PR!$AL840,IF(J842="MWORLD",PR!$AM840,IF(J842="MEGA",PR!$AN840,IF(J842="MICRONOVA",PR!$AO840,IF(J842="MFLASH",PR!$AP840,IF(J842="MORISON",PR!$AQ840,IF(J842="NEMEL",PR!$AR840,IF(J842="NHP",PR!$AS840,IF(J842="NHC",PR!$AT840,IF(J842="OLEAF",PR!$AU840,IF(J842="OCULUS",PR!$AV840,IF(J842="PACIFIC",PR!$AW840,IF(J842="PHAMATEX",PR!$AX840,IF(J842="PETHICS",PR!$AY840,IF(J842="PHILIPS",PR!$AZ840,IF(J842="RANBAXY",PR!$BA840,IF(J842="REALS",PR!$BB840,IF(J842="ROYAL",PR!$BC840,IF(J842="SAM",PR!$BD840,IF(J842="SEAGREEN",PR!$BE840,IF(J842="SKG",PR!$BF840,IF(J842="TAH",PR!$BG840,IF(J842="TAYLEK",PR!$BH840,IF(J842="TEMITA",PR!$BI840,IF(J842="THL",PR!$BJ840,IF(J842="UBASTIC",PR!$BK840,IF(J842="UNION",PR!$BL840,IF(J842="UNIQUE",PR!$BM840,IF(J842="VIXA",PR!$BN840,IF(J842="WWCV",PR!$BO840,IF(J842="ZOLON",PR!$BP840,"-"))))))))))))))))))))))))))))))))))))))))))))))))))))))))))))))))</f>
        <v>1300</v>
      </c>
      <c r="J842" s="102" t="str">
        <f>EV!N1065</f>
        <v>COSMADE</v>
      </c>
      <c r="K842" s="433" t="s">
        <v>825</v>
      </c>
      <c r="L842" s="183">
        <f>IF(K842&gt;0,IF(K842="ALPHA",PR!$E840,IF(K842="ASSENE",PR!$F840,IF(K842="BIOFEM",PR!$G840,IF(K842="BIOMED",PR!$H840,IF(K842="CHI",PR!$I840,IF(K842="CLARION",PR!$J840,IF(K842="CODIX",PR!$K840,IF(K842="COSMADE",PR!$L840,IF(K842="SANCON",PR!$M840,IF(K842="DEVON",PR!$N840,IF(K842="DORTEMAG",PR!$O840,IF(K842="DGF",PR!$P840,IF(K842="DYNAMIC",PR!$Q840,IF(K842="EMZOR",PR!$R840,IF(K842="EUMATT",PR!$S840,IF(K842="FIDSON",PR!$T840,IF(K842="FCGLOBAL",PR!$U840,IF(K842="GENEITH",PR!$V840,IF(K842="GINOS",PR!$W840,IF(K842="GSK",PR!$X840,IF(K842="GLOBORG",PR!$Y840,IF(K842="GOODNEWS",PR!$Z840,IF(K842="GREENLIFE",PR!$AA840,IF(K842="HLINE",PR!$AB840,IF(K842="ROTECH",PR!$AC840,IF(K842="ISN",PR!$AD840,IF(K842="JAWA",PR!$AE840,IF(K842="LAYO",PR!$AF840,IF(K842="LEADWAY",PR!$AG840,IF(K842="LHV",PR!$AH840,IF(K842="MANOLA",PR!$AI840,IF(K842="MARCSON",PR!$AJ840,IF(K842="M&amp;B",PR!$AK840,IF(K842="MTRUST",PR!$AL840,IF(K842="MWORLD",PR!$AM840,IF(K842="MEGA",PR!$AN840,IF(K842="MICRONOVA",PR!$AO840,IF(K842="MFLASH",PR!$AP840,IF(K842="MORISON",PR!$AQ840,IF(K842="NEMEL",PR!$AR840,IF(K842="NHP",PR!$AS840,IF(K842="NHC",PR!$AT840,IF(K842="OLEAF",PR!$AU840,IF(K842="OCULUS",PR!$AV840,IF(K842="PACIFIC",PR!$AW840,IF(K842="PHAMATEX",PR!$AX840,IF(K842="PETHICS",PR!$AY840,IF(K842="PHILIPS",PR!$AZ840,IF(K842="RANBAXY",PR!$BA840,IF(K842="REALS",PR!$BB840,IF(K842="ROYAL",PR!$BC840,IF(K842="SAM",PR!$BD840,IF(K842="SEAGREEN",PR!$BE840,IF(K842="SKG",PR!$BF840,IF(K842="TAH",PR!$BG840,IF(K842="TAYLEK",PR!$BH840,IF(K842="TEMITA",PR!$BI840,IF(K842="THL",PR!$BJ840,IF(K842="UBASTIC",PR!$BK840,IF(K842="UNION",PR!$BL840,IF(K842="UNIQUE",PR!$BM840,IF(K842="VIXA",PR!$BN840,IF(K842="WWCV",PR!$BO840,IF(K842="ZOLON",PR!$BP840,"-")))))))))))))))))))))))))))))))))))))))))))))))))))))))))))))))))</f>
        <v>314</v>
      </c>
    </row>
    <row r="843" spans="1:12" ht="18.75" x14ac:dyDescent="0.3">
      <c r="A843" s="430">
        <f>PR!A841</f>
        <v>757</v>
      </c>
      <c r="B843" s="15" t="str">
        <f>PR!B841</f>
        <v>SMALLEST BATTERY AAA (DURACELL)</v>
      </c>
      <c r="C843" s="113" t="str">
        <f>PR!D841</f>
        <v>PACK</v>
      </c>
      <c r="D843" s="113">
        <f>PR!C841</f>
        <v>90</v>
      </c>
      <c r="E843" s="108">
        <f>IF(F843="ALPHA",PR!$E841,IF(F843="ASSENE",PR!$F841,IF(F843="BIOFEM",PR!$G841,IF(F843="BIOMED",PR!$H841,IF(F843="CHI",PR!$I841,IF(F843="CLARION",PR!$J841,IF(F843="CODIX",PR!$K841,IF(F843="COSMADE",PR!$L841,IF(F843="SANCON",PR!$M841,IF(F843="DEVON",PR!$N841,IF(F843="DORTEMAG",PR!$O841,IF(F843="DGF",PR!$P841,IF(F843="DYNAMIC",PR!$Q841,IF(F843="EMZOR",PR!$R841,IF(F843="EUMATT",PR!$S841,IF(F843="FIDSON",PR!$T841,IF(F843="FCGLOBAL",PR!$U841,IF(F843="GENEITH",PR!$V841,IF(F843="GINOS",PR!$W841,IF(F843="GSK",PR!$X841,IF(F843="GLOBORG",PR!$Y841,IF(F843="GOODNEWS",PR!$Z841,IF(F843="GREENLIFE",PR!$AA841,IF(F843="HLINE",PR!$AB841,IF(F843="ROTECH",PR!$AC841,IF(F843="ISN",PR!$AD841,IF(F843="JAWA",PR!$AE841,IF(F843="LAYO",PR!$AF841,IF(F843="LEADWAY",PR!$AG841,IF(F843="LHV",PR!$AH841,IF(F843="MANOLA",PR!$AI841,IF(F843="MARCSON",PR!$AJ841,IF(F843="M&amp;B",PR!$AK841,IF(F843="MTRUST",PR!$AL841,IF(F843="MWORLD",PR!$AM841,IF(F843="MEGA",PR!$AN841,IF(F843="MICRONOVA",PR!$AO841,IF(F843="MFLASH",PR!$AP841,IF(F843="MORISON",PR!$AQ841,IF(F843="NEMEL",PR!$AR841,IF(F843="NHP",PR!$AS841,IF(F843="NHC",PR!$AT841,IF(F843="OLEAF",PR!$AU841,IF(F843="OCULUS",PR!$AV841,IF(F843="PACIFIC",PR!$AW841,IF(F843="PHAMATEX",PR!$AX841,IF(F843="PETHICS",PR!$AY841,IF(F843="PHILIPS",PR!$AZ841,IF(F843="RANBAXY",PR!$BA841,IF(F843="REALS",PR!$BB841,IF(F843="ROYAL",PR!$BC841,IF(F843="SAM",PR!$BD841,IF(F843="SEAGREEN",PR!$BE841,IF(F843="SKG",PR!$BF841,IF(F843="TAH",PR!$BG841,IF(F843="TAYLEK",PR!$BH841,IF(F843="TEMITA",PR!$BI841,IF(F843="THL",PR!$BJ841,IF(F843="UBASTIC",PR!$BK841,IF(F843="UNION",PR!$BL841,IF(F843="UNIQUE",PR!$BM841,IF(F843="VIXA",PR!$BN841,IF(F843="WWCV",PR!$BO841,IF(F843="ZOLON",PR!$BP841,"-"))))))))))))))))))))))))))))))))))))))))))))))))))))))))))))))))</f>
        <v>450</v>
      </c>
      <c r="F843" s="102" t="str">
        <f>EV!L1066</f>
        <v>UBASTIC</v>
      </c>
      <c r="G843" s="108">
        <f>IF(H843="ALPHA",PR!$E841,IF(H843="ASSENE",PR!$F841,IF(H843="BIOFEM",PR!$G841,IF(H843="BIOMED",PR!$H841,IF(H843="CHI",PR!$I841,IF(H843="CLARION",PR!$J841,IF(H843="CODIX",PR!$K841,IF(H843="COSMADE",PR!$L841,IF(H843="SANCON",PR!$M841,IF(H843="DEVON",PR!$N841,IF(H843="DORTEMAG",PR!$O841,IF(H843="DGF",PR!$P841,IF(H843="DYNAMIC",PR!$Q841,IF(H843="EMZOR",PR!$R841,IF(H843="EUMATT",PR!$S841,IF(H843="FIDSON",PR!$T841,IF(H843="FCGLOBAL",PR!$U841,IF(H843="GENEITH",PR!$V841,IF(H843="GINOS",PR!$W841,IF(H843="GSK",PR!$X841,IF(H843="GLOBORG",PR!$Y841,IF(H843="GOODNEWS",PR!$Z841,IF(H843="GREENLIFE",PR!$AA841,IF(H843="HLINE",PR!$AB841,IF(H843="ROTECH",PR!$AC841,IF(H843="ISN",PR!$AD841,IF(H843="JAWA",PR!$AE841,IF(H843="LAYO",PR!$AF841,IF(H843="LEADWAY",PR!$AG841,IF(H843="LHV",PR!$AH841,IF(H843="MANOLA",PR!$AI841,IF(H843="MARCSON",PR!$AJ841,IF(H843="M&amp;B",PR!$AK841,IF(H843="MTRUST",PR!$AL841,IF(H843="MWORLD",PR!$AM841,IF(H843="MEGA",PR!$AN841,IF(H843="MICRONOVA",PR!$AO841,IF(H843="MFLASH",PR!$AP841,IF(H843="MORISON",PR!$AQ841,IF(H843="NEMEL",PR!$AR841,IF(H843="NHP",PR!$AS841,IF(H843="NHC",PR!$AT841,IF(H843="OLEAF",PR!$AU841,IF(H843="OCULUS",PR!$AV841,IF(H843="PACIFIC",PR!$AW841,IF(H843="PHAMATEX",PR!$AX841,IF(H843="PETHICS",PR!$AY841,IF(H843="PHILIPS",PR!$AZ841,IF(H843="RANBAXY",PR!$BA841,IF(H843="REALS",PR!$BB841,IF(H843="ROYAL",PR!$BC841,IF(H843="SAM",PR!$BD841,IF(H843="SEAGREEN",PR!$BE841,IF(H843="SKG",PR!$BF841,IF(H843="TAH",PR!$BG841,IF(H843="TAYLEK",PR!$BH841,IF(H843="TEMITA",PR!$BI841,IF(H843="THL",PR!$BJ841,IF(H843="UBASTIC",PR!$BK841,IF(H843="UNION",PR!$BL841,IF(H843="UNIQUE",PR!$BM841,IF(H843="VIXA",PR!$BN841,IF(H843="WWCV",PR!$BO841,IF(H843="ZOLON",PR!$BP841,"-"))))))))))))))))))))))))))))))))))))))))))))))))))))))))))))))))</f>
        <v>475</v>
      </c>
      <c r="H843" s="102" t="str">
        <f>EV!M1066</f>
        <v>DYNAMIC</v>
      </c>
      <c r="I843" s="108">
        <f>IF(J843="ALPHA",PR!$E841,IF(J843="ASSENE",PR!$F841,IF(J843="BIOFEM",PR!$G841,IF(J843="BIOMED",PR!$H841,IF(J843="CHI",PR!$I841,IF(J843="CLARION",PR!$J841,IF(J843="CODIX",PR!$K841,IF(J843="COSMADE",PR!$L841,IF(J843="SANCON",PR!$M841,IF(J843="DEVON",PR!$N841,IF(J843="DORTEMAG",PR!$O841,IF(J843="DGF",PR!$P841,IF(J843="DYNAMIC",PR!$Q841,IF(J843="EMZOR",PR!$R841,IF(J843="EUMATT",PR!$S841,IF(J843="FIDSON",PR!$T841,IF(J843="FCGLOBAL",PR!$U841,IF(J843="GENEITH",PR!$V841,IF(J843="GINOS",PR!$W841,IF(J843="GSK",PR!$X841,IF(J843="GLOBORG",PR!$Y841,IF(J843="GOODNEWS",PR!$Z841,IF(J843="GREENLIFE",PR!$AA841,IF(J843="HLINE",PR!$AB841,IF(J843="ROTECH",PR!$AC841,IF(J843="ISN",PR!$AD841,IF(J843="JAWA",PR!$AE841,IF(J843="LAYO",PR!$AF841,IF(J843="LEADWAY",PR!$AG841,IF(J843="LHV",PR!$AH841,IF(J843="MANOLA",PR!$AI841,IF(J843="MARCSON",PR!$AJ841,IF(J843="M&amp;B",PR!$AK841,IF(J843="MTRUST",PR!$AL841,IF(J843="MWORLD",PR!$AM841,IF(J843="MEGA",PR!$AN841,IF(J843="MICRONOVA",PR!$AO841,IF(J843="MFLASH",PR!$AP841,IF(J843="MORISON",PR!$AQ841,IF(J843="NEMEL",PR!$AR841,IF(J843="NHP",PR!$AS841,IF(J843="NHC",PR!$AT841,IF(J843="OLEAF",PR!$AU841,IF(J843="OCULUS",PR!$AV841,IF(J843="PACIFIC",PR!$AW841,IF(J843="PHAMATEX",PR!$AX841,IF(J843="PETHICS",PR!$AY841,IF(J843="PHILIPS",PR!$AZ841,IF(J843="RANBAXY",PR!$BA841,IF(J843="REALS",PR!$BB841,IF(J843="ROYAL",PR!$BC841,IF(J843="SAM",PR!$BD841,IF(J843="SEAGREEN",PR!$BE841,IF(J843="SKG",PR!$BF841,IF(J843="TAH",PR!$BG841,IF(J843="TAYLEK",PR!$BH841,IF(J843="TEMITA",PR!$BI841,IF(J843="THL",PR!$BJ841,IF(J843="UBASTIC",PR!$BK841,IF(J843="UNION",PR!$BL841,IF(J843="UNIQUE",PR!$BM841,IF(J843="VIXA",PR!$BN841,IF(J843="WWCV",PR!$BO841,IF(J843="ZOLON",PR!$BP841,"-"))))))))))))))))))))))))))))))))))))))))))))))))))))))))))))))))</f>
        <v>1000</v>
      </c>
      <c r="J843" s="102" t="str">
        <f>EV!N1066</f>
        <v>COSMADE</v>
      </c>
      <c r="K843" s="433" t="s">
        <v>1459</v>
      </c>
      <c r="L843" s="183">
        <f>IF(K843&gt;0,IF(K843="ALPHA",PR!$E841,IF(K843="ASSENE",PR!$F841,IF(K843="BIOFEM",PR!$G841,IF(K843="BIOMED",PR!$H841,IF(K843="CHI",PR!$I841,IF(K843="CLARION",PR!$J841,IF(K843="CODIX",PR!$K841,IF(K843="COSMADE",PR!$L841,IF(K843="SANCON",PR!$M841,IF(K843="DEVON",PR!$N841,IF(K843="DORTEMAG",PR!$O841,IF(K843="DGF",PR!$P841,IF(K843="DYNAMIC",PR!$Q841,IF(K843="EMZOR",PR!$R841,IF(K843="EUMATT",PR!$S841,IF(K843="FIDSON",PR!$T841,IF(K843="FCGLOBAL",PR!$U841,IF(K843="GENEITH",PR!$V841,IF(K843="GINOS",PR!$W841,IF(K843="GSK",PR!$X841,IF(K843="GLOBORG",PR!$Y841,IF(K843="GOODNEWS",PR!$Z841,IF(K843="GREENLIFE",PR!$AA841,IF(K843="HLINE",PR!$AB841,IF(K843="ROTECH",PR!$AC841,IF(K843="ISN",PR!$AD841,IF(K843="JAWA",PR!$AE841,IF(K843="LAYO",PR!$AF841,IF(K843="LEADWAY",PR!$AG841,IF(K843="LHV",PR!$AH841,IF(K843="MANOLA",PR!$AI841,IF(K843="MARCSON",PR!$AJ841,IF(K843="M&amp;B",PR!$AK841,IF(K843="MTRUST",PR!$AL841,IF(K843="MWORLD",PR!$AM841,IF(K843="MEGA",PR!$AN841,IF(K843="MICRONOVA",PR!$AO841,IF(K843="MFLASH",PR!$AP841,IF(K843="MORISON",PR!$AQ841,IF(K843="NEMEL",PR!$AR841,IF(K843="NHP",PR!$AS841,IF(K843="NHC",PR!$AT841,IF(K843="OLEAF",PR!$AU841,IF(K843="OCULUS",PR!$AV841,IF(K843="PACIFIC",PR!$AW841,IF(K843="PHAMATEX",PR!$AX841,IF(K843="PETHICS",PR!$AY841,IF(K843="PHILIPS",PR!$AZ841,IF(K843="RANBAXY",PR!$BA841,IF(K843="REALS",PR!$BB841,IF(K843="ROYAL",PR!$BC841,IF(K843="SAM",PR!$BD841,IF(K843="SEAGREEN",PR!$BE841,IF(K843="SKG",PR!$BF841,IF(K843="TAH",PR!$BG841,IF(K843="TAYLEK",PR!$BH841,IF(K843="TEMITA",PR!$BI841,IF(K843="THL",PR!$BJ841,IF(K843="UBASTIC",PR!$BK841,IF(K843="UNION",PR!$BL841,IF(K843="UNIQUE",PR!$BM841,IF(K843="VIXA",PR!$BN841,IF(K843="WWCV",PR!$BO841,IF(K843="ZOLON",PR!$BP841,"-")))))))))))))))))))))))))))))))))))))))))))))))))))))))))))))))))</f>
        <v>450</v>
      </c>
    </row>
    <row r="844" spans="1:12" ht="18.75" x14ac:dyDescent="0.3">
      <c r="A844" s="430">
        <f>PR!A842</f>
        <v>758</v>
      </c>
      <c r="B844" s="15" t="str">
        <f>PR!B842</f>
        <v>SMALL BATTERY R6 (DURACELL)</v>
      </c>
      <c r="C844" s="113" t="str">
        <f>PR!D842</f>
        <v>PACK</v>
      </c>
      <c r="D844" s="113">
        <f>PR!C842</f>
        <v>90</v>
      </c>
      <c r="E844" s="108">
        <f>IF(F844="ALPHA",PR!$E842,IF(F844="ASSENE",PR!$F842,IF(F844="BIOFEM",PR!$G842,IF(F844="BIOMED",PR!$H842,IF(F844="CHI",PR!$I842,IF(F844="CLARION",PR!$J842,IF(F844="CODIX",PR!$K842,IF(F844="COSMADE",PR!$L842,IF(F844="SANCON",PR!$M842,IF(F844="DEVON",PR!$N842,IF(F844="DORTEMAG",PR!$O842,IF(F844="DGF",PR!$P842,IF(F844="DYNAMIC",PR!$Q842,IF(F844="EMZOR",PR!$R842,IF(F844="EUMATT",PR!$S842,IF(F844="FIDSON",PR!$T842,IF(F844="FCGLOBAL",PR!$U842,IF(F844="GENEITH",PR!$V842,IF(F844="GINOS",PR!$W842,IF(F844="GSK",PR!$X842,IF(F844="GLOBORG",PR!$Y842,IF(F844="GOODNEWS",PR!$Z842,IF(F844="GREENLIFE",PR!$AA842,IF(F844="HLINE",PR!$AB842,IF(F844="ROTECH",PR!$AC842,IF(F844="ISN",PR!$AD842,IF(F844="JAWA",PR!$AE842,IF(F844="LAYO",PR!$AF842,IF(F844="LEADWAY",PR!$AG842,IF(F844="LHV",PR!$AH842,IF(F844="MANOLA",PR!$AI842,IF(F844="MARCSON",PR!$AJ842,IF(F844="M&amp;B",PR!$AK842,IF(F844="MTRUST",PR!$AL842,IF(F844="MWORLD",PR!$AM842,IF(F844="MEGA",PR!$AN842,IF(F844="MICRONOVA",PR!$AO842,IF(F844="MFLASH",PR!$AP842,IF(F844="MORISON",PR!$AQ842,IF(F844="NEMEL",PR!$AR842,IF(F844="NHP",PR!$AS842,IF(F844="NHC",PR!$AT842,IF(F844="OLEAF",PR!$AU842,IF(F844="OCULUS",PR!$AV842,IF(F844="PACIFIC",PR!$AW842,IF(F844="PHAMATEX",PR!$AX842,IF(F844="PETHICS",PR!$AY842,IF(F844="PHILIPS",PR!$AZ842,IF(F844="RANBAXY",PR!$BA842,IF(F844="REALS",PR!$BB842,IF(F844="ROYAL",PR!$BC842,IF(F844="SAM",PR!$BD842,IF(F844="SEAGREEN",PR!$BE842,IF(F844="SKG",PR!$BF842,IF(F844="TAH",PR!$BG842,IF(F844="TAYLEK",PR!$BH842,IF(F844="TEMITA",PR!$BI842,IF(F844="THL",PR!$BJ842,IF(F844="UBASTIC",PR!$BK842,IF(F844="UNION",PR!$BL842,IF(F844="UNIQUE",PR!$BM842,IF(F844="VIXA",PR!$BN842,IF(F844="WWCV",PR!$BO842,IF(F844="ZOLON",PR!$BP842,"-"))))))))))))))))))))))))))))))))))))))))))))))))))))))))))))))))</f>
        <v>450</v>
      </c>
      <c r="F844" s="102" t="str">
        <f>EV!L1067</f>
        <v>UBASTIC</v>
      </c>
      <c r="G844" s="108">
        <f>IF(H844="ALPHA",PR!$E842,IF(H844="ASSENE",PR!$F842,IF(H844="BIOFEM",PR!$G842,IF(H844="BIOMED",PR!$H842,IF(H844="CHI",PR!$I842,IF(H844="CLARION",PR!$J842,IF(H844="CODIX",PR!$K842,IF(H844="COSMADE",PR!$L842,IF(H844="SANCON",PR!$M842,IF(H844="DEVON",PR!$N842,IF(H844="DORTEMAG",PR!$O842,IF(H844="DGF",PR!$P842,IF(H844="DYNAMIC",PR!$Q842,IF(H844="EMZOR",PR!$R842,IF(H844="EUMATT",PR!$S842,IF(H844="FIDSON",PR!$T842,IF(H844="FCGLOBAL",PR!$U842,IF(H844="GENEITH",PR!$V842,IF(H844="GINOS",PR!$W842,IF(H844="GSK",PR!$X842,IF(H844="GLOBORG",PR!$Y842,IF(H844="GOODNEWS",PR!$Z842,IF(H844="GREENLIFE",PR!$AA842,IF(H844="HLINE",PR!$AB842,IF(H844="ROTECH",PR!$AC842,IF(H844="ISN",PR!$AD842,IF(H844="JAWA",PR!$AE842,IF(H844="LAYO",PR!$AF842,IF(H844="LEADWAY",PR!$AG842,IF(H844="LHV",PR!$AH842,IF(H844="MANOLA",PR!$AI842,IF(H844="MARCSON",PR!$AJ842,IF(H844="M&amp;B",PR!$AK842,IF(H844="MTRUST",PR!$AL842,IF(H844="MWORLD",PR!$AM842,IF(H844="MEGA",PR!$AN842,IF(H844="MICRONOVA",PR!$AO842,IF(H844="MFLASH",PR!$AP842,IF(H844="MORISON",PR!$AQ842,IF(H844="NEMEL",PR!$AR842,IF(H844="NHP",PR!$AS842,IF(H844="NHC",PR!$AT842,IF(H844="OLEAF",PR!$AU842,IF(H844="OCULUS",PR!$AV842,IF(H844="PACIFIC",PR!$AW842,IF(H844="PHAMATEX",PR!$AX842,IF(H844="PETHICS",PR!$AY842,IF(H844="PHILIPS",PR!$AZ842,IF(H844="RANBAXY",PR!$BA842,IF(H844="REALS",PR!$BB842,IF(H844="ROYAL",PR!$BC842,IF(H844="SAM",PR!$BD842,IF(H844="SEAGREEN",PR!$BE842,IF(H844="SKG",PR!$BF842,IF(H844="TAH",PR!$BG842,IF(H844="TAYLEK",PR!$BH842,IF(H844="TEMITA",PR!$BI842,IF(H844="THL",PR!$BJ842,IF(H844="UBASTIC",PR!$BK842,IF(H844="UNION",PR!$BL842,IF(H844="UNIQUE",PR!$BM842,IF(H844="VIXA",PR!$BN842,IF(H844="WWCV",PR!$BO842,IF(H844="ZOLON",PR!$BP842,"-"))))))))))))))))))))))))))))))))))))))))))))))))))))))))))))))))</f>
        <v>475</v>
      </c>
      <c r="H844" s="102" t="str">
        <f>EV!M1067</f>
        <v>DYNAMIC</v>
      </c>
      <c r="I844" s="108">
        <f>IF(J844="ALPHA",PR!$E842,IF(J844="ASSENE",PR!$F842,IF(J844="BIOFEM",PR!$G842,IF(J844="BIOMED",PR!$H842,IF(J844="CHI",PR!$I842,IF(J844="CLARION",PR!$J842,IF(J844="CODIX",PR!$K842,IF(J844="COSMADE",PR!$L842,IF(J844="SANCON",PR!$M842,IF(J844="DEVON",PR!$N842,IF(J844="DORTEMAG",PR!$O842,IF(J844="DGF",PR!$P842,IF(J844="DYNAMIC",PR!$Q842,IF(J844="EMZOR",PR!$R842,IF(J844="EUMATT",PR!$S842,IF(J844="FIDSON",PR!$T842,IF(J844="FCGLOBAL",PR!$U842,IF(J844="GENEITH",PR!$V842,IF(J844="GINOS",PR!$W842,IF(J844="GSK",PR!$X842,IF(J844="GLOBORG",PR!$Y842,IF(J844="GOODNEWS",PR!$Z842,IF(J844="GREENLIFE",PR!$AA842,IF(J844="HLINE",PR!$AB842,IF(J844="ROTECH",PR!$AC842,IF(J844="ISN",PR!$AD842,IF(J844="JAWA",PR!$AE842,IF(J844="LAYO",PR!$AF842,IF(J844="LEADWAY",PR!$AG842,IF(J844="LHV",PR!$AH842,IF(J844="MANOLA",PR!$AI842,IF(J844="MARCSON",PR!$AJ842,IF(J844="M&amp;B",PR!$AK842,IF(J844="MTRUST",PR!$AL842,IF(J844="MWORLD",PR!$AM842,IF(J844="MEGA",PR!$AN842,IF(J844="MICRONOVA",PR!$AO842,IF(J844="MFLASH",PR!$AP842,IF(J844="MORISON",PR!$AQ842,IF(J844="NEMEL",PR!$AR842,IF(J844="NHP",PR!$AS842,IF(J844="NHC",PR!$AT842,IF(J844="OLEAF",PR!$AU842,IF(J844="OCULUS",PR!$AV842,IF(J844="PACIFIC",PR!$AW842,IF(J844="PHAMATEX",PR!$AX842,IF(J844="PETHICS",PR!$AY842,IF(J844="PHILIPS",PR!$AZ842,IF(J844="RANBAXY",PR!$BA842,IF(J844="REALS",PR!$BB842,IF(J844="ROYAL",PR!$BC842,IF(J844="SAM",PR!$BD842,IF(J844="SEAGREEN",PR!$BE842,IF(J844="SKG",PR!$BF842,IF(J844="TAH",PR!$BG842,IF(J844="TAYLEK",PR!$BH842,IF(J844="TEMITA",PR!$BI842,IF(J844="THL",PR!$BJ842,IF(J844="UBASTIC",PR!$BK842,IF(J844="UNION",PR!$BL842,IF(J844="UNIQUE",PR!$BM842,IF(J844="VIXA",PR!$BN842,IF(J844="WWCV",PR!$BO842,IF(J844="ZOLON",PR!$BP842,"-"))))))))))))))))))))))))))))))))))))))))))))))))))))))))))))))))</f>
        <v>1000</v>
      </c>
      <c r="J844" s="102" t="str">
        <f>EV!N1067</f>
        <v>COSMADE</v>
      </c>
      <c r="K844" s="433" t="s">
        <v>1459</v>
      </c>
      <c r="L844" s="183">
        <f>IF(K844&gt;0,IF(K844="ALPHA",PR!$E842,IF(K844="ASSENE",PR!$F842,IF(K844="BIOFEM",PR!$G842,IF(K844="BIOMED",PR!$H842,IF(K844="CHI",PR!$I842,IF(K844="CLARION",PR!$J842,IF(K844="CODIX",PR!$K842,IF(K844="COSMADE",PR!$L842,IF(K844="SANCON",PR!$M842,IF(K844="DEVON",PR!$N842,IF(K844="DORTEMAG",PR!$O842,IF(K844="DGF",PR!$P842,IF(K844="DYNAMIC",PR!$Q842,IF(K844="EMZOR",PR!$R842,IF(K844="EUMATT",PR!$S842,IF(K844="FIDSON",PR!$T842,IF(K844="FCGLOBAL",PR!$U842,IF(K844="GENEITH",PR!$V842,IF(K844="GINOS",PR!$W842,IF(K844="GSK",PR!$X842,IF(K844="GLOBORG",PR!$Y842,IF(K844="GOODNEWS",PR!$Z842,IF(K844="GREENLIFE",PR!$AA842,IF(K844="HLINE",PR!$AB842,IF(K844="ROTECH",PR!$AC842,IF(K844="ISN",PR!$AD842,IF(K844="JAWA",PR!$AE842,IF(K844="LAYO",PR!$AF842,IF(K844="LEADWAY",PR!$AG842,IF(K844="LHV",PR!$AH842,IF(K844="MANOLA",PR!$AI842,IF(K844="MARCSON",PR!$AJ842,IF(K844="M&amp;B",PR!$AK842,IF(K844="MTRUST",PR!$AL842,IF(K844="MWORLD",PR!$AM842,IF(K844="MEGA",PR!$AN842,IF(K844="MICRONOVA",PR!$AO842,IF(K844="MFLASH",PR!$AP842,IF(K844="MORISON",PR!$AQ842,IF(K844="NEMEL",PR!$AR842,IF(K844="NHP",PR!$AS842,IF(K844="NHC",PR!$AT842,IF(K844="OLEAF",PR!$AU842,IF(K844="OCULUS",PR!$AV842,IF(K844="PACIFIC",PR!$AW842,IF(K844="PHAMATEX",PR!$AX842,IF(K844="PETHICS",PR!$AY842,IF(K844="PHILIPS",PR!$AZ842,IF(K844="RANBAXY",PR!$BA842,IF(K844="REALS",PR!$BB842,IF(K844="ROYAL",PR!$BC842,IF(K844="SAM",PR!$BD842,IF(K844="SEAGREEN",PR!$BE842,IF(K844="SKG",PR!$BF842,IF(K844="TAH",PR!$BG842,IF(K844="TAYLEK",PR!$BH842,IF(K844="TEMITA",PR!$BI842,IF(K844="THL",PR!$BJ842,IF(K844="UBASTIC",PR!$BK842,IF(K844="UNION",PR!$BL842,IF(K844="UNIQUE",PR!$BM842,IF(K844="VIXA",PR!$BN842,IF(K844="WWCV",PR!$BO842,IF(K844="ZOLON",PR!$BP842,"-")))))))))))))))))))))))))))))))))))))))))))))))))))))))))))))))))</f>
        <v>450</v>
      </c>
    </row>
    <row r="845" spans="1:12" ht="18.75" x14ac:dyDescent="0.3">
      <c r="A845" s="430">
        <f>PR!A843</f>
        <v>759</v>
      </c>
      <c r="B845" s="15" t="str">
        <f>PR!B843</f>
        <v>EPIDURAL SETS (PORTEX)</v>
      </c>
      <c r="C845" s="113" t="str">
        <f>PR!D843</f>
        <v>PACK</v>
      </c>
      <c r="D845" s="113">
        <f>PR!C843</f>
        <v>30</v>
      </c>
      <c r="E845" s="108">
        <f>IF(F845="ALPHA",PR!$E843,IF(F845="ASSENE",PR!$F843,IF(F845="BIOFEM",PR!$G843,IF(F845="BIOMED",PR!$H843,IF(F845="CHI",PR!$I843,IF(F845="CLARION",PR!$J843,IF(F845="CODIX",PR!$K843,IF(F845="COSMADE",PR!$L843,IF(F845="SANCON",PR!$M843,IF(F845="DEVON",PR!$N843,IF(F845="DORTEMAG",PR!$O843,IF(F845="DGF",PR!$P843,IF(F845="DYNAMIC",PR!$Q843,IF(F845="EMZOR",PR!$R843,IF(F845="EUMATT",PR!$S843,IF(F845="FIDSON",PR!$T843,IF(F845="FCGLOBAL",PR!$U843,IF(F845="GENEITH",PR!$V843,IF(F845="GINOS",PR!$W843,IF(F845="GSK",PR!$X843,IF(F845="GLOBORG",PR!$Y843,IF(F845="GOODNEWS",PR!$Z843,IF(F845="GREENLIFE",PR!$AA843,IF(F845="HLINE",PR!$AB843,IF(F845="ROTECH",PR!$AC843,IF(F845="ISN",PR!$AD843,IF(F845="JAWA",PR!$AE843,IF(F845="LAYO",PR!$AF843,IF(F845="LEADWAY",PR!$AG843,IF(F845="LHV",PR!$AH843,IF(F845="MANOLA",PR!$AI843,IF(F845="MARCSON",PR!$AJ843,IF(F845="M&amp;B",PR!$AK843,IF(F845="MTRUST",PR!$AL843,IF(F845="MWORLD",PR!$AM843,IF(F845="MEGA",PR!$AN843,IF(F845="MICRONOVA",PR!$AO843,IF(F845="MFLASH",PR!$AP843,IF(F845="MORISON",PR!$AQ843,IF(F845="NEMEL",PR!$AR843,IF(F845="NHP",PR!$AS843,IF(F845="NHC",PR!$AT843,IF(F845="OLEAF",PR!$AU843,IF(F845="OCULUS",PR!$AV843,IF(F845="PACIFIC",PR!$AW843,IF(F845="PHAMATEX",PR!$AX843,IF(F845="PETHICS",PR!$AY843,IF(F845="PHILIPS",PR!$AZ843,IF(F845="RANBAXY",PR!$BA843,IF(F845="REALS",PR!$BB843,IF(F845="ROYAL",PR!$BC843,IF(F845="SAM",PR!$BD843,IF(F845="SEAGREEN",PR!$BE843,IF(F845="SKG",PR!$BF843,IF(F845="TAH",PR!$BG843,IF(F845="TAYLEK",PR!$BH843,IF(F845="TEMITA",PR!$BI843,IF(F845="THL",PR!$BJ843,IF(F845="UBASTIC",PR!$BK843,IF(F845="UNION",PR!$BL843,IF(F845="UNIQUE",PR!$BM843,IF(F845="VIXA",PR!$BN843,IF(F845="WWCV",PR!$BO843,IF(F845="ZOLON",PR!$BP843,"-"))))))))))))))))))))))))))))))))))))))))))))))))))))))))))))))))</f>
        <v>69000</v>
      </c>
      <c r="F845" s="102" t="str">
        <f>EV!L1068</f>
        <v>SANCON</v>
      </c>
      <c r="G845" s="108">
        <f>IF(H845="ALPHA",PR!$E843,IF(H845="ASSENE",PR!$F843,IF(H845="BIOFEM",PR!$G843,IF(H845="BIOMED",PR!$H843,IF(H845="CHI",PR!$I843,IF(H845="CLARION",PR!$J843,IF(H845="CODIX",PR!$K843,IF(H845="COSMADE",PR!$L843,IF(H845="SANCON",PR!$M843,IF(H845="DEVON",PR!$N843,IF(H845="DORTEMAG",PR!$O843,IF(H845="DGF",PR!$P843,IF(H845="DYNAMIC",PR!$Q843,IF(H845="EMZOR",PR!$R843,IF(H845="EUMATT",PR!$S843,IF(H845="FIDSON",PR!$T843,IF(H845="FCGLOBAL",PR!$U843,IF(H845="GENEITH",PR!$V843,IF(H845="GINOS",PR!$W843,IF(H845="GSK",PR!$X843,IF(H845="GLOBORG",PR!$Y843,IF(H845="GOODNEWS",PR!$Z843,IF(H845="GREENLIFE",PR!$AA843,IF(H845="HLINE",PR!$AB843,IF(H845="ROTECH",PR!$AC843,IF(H845="ISN",PR!$AD843,IF(H845="JAWA",PR!$AE843,IF(H845="LAYO",PR!$AF843,IF(H845="LEADWAY",PR!$AG843,IF(H845="LHV",PR!$AH843,IF(H845="MANOLA",PR!$AI843,IF(H845="MARCSON",PR!$AJ843,IF(H845="M&amp;B",PR!$AK843,IF(H845="MTRUST",PR!$AL843,IF(H845="MWORLD",PR!$AM843,IF(H845="MEGA",PR!$AN843,IF(H845="MICRONOVA",PR!$AO843,IF(H845="MFLASH",PR!$AP843,IF(H845="MORISON",PR!$AQ843,IF(H845="NEMEL",PR!$AR843,IF(H845="NHP",PR!$AS843,IF(H845="NHC",PR!$AT843,IF(H845="OLEAF",PR!$AU843,IF(H845="OCULUS",PR!$AV843,IF(H845="PACIFIC",PR!$AW843,IF(H845="PHAMATEX",PR!$AX843,IF(H845="PETHICS",PR!$AY843,IF(H845="PHILIPS",PR!$AZ843,IF(H845="RANBAXY",PR!$BA843,IF(H845="REALS",PR!$BB843,IF(H845="ROYAL",PR!$BC843,IF(H845="SAM",PR!$BD843,IF(H845="SEAGREEN",PR!$BE843,IF(H845="SKG",PR!$BF843,IF(H845="TAH",PR!$BG843,IF(H845="TAYLEK",PR!$BH843,IF(H845="TEMITA",PR!$BI843,IF(H845="THL",PR!$BJ843,IF(H845="UBASTIC",PR!$BK843,IF(H845="UNION",PR!$BL843,IF(H845="UNIQUE",PR!$BM843,IF(H845="VIXA",PR!$BN843,IF(H845="WWCV",PR!$BO843,IF(H845="ZOLON",PR!$BP843,"-"))))))))))))))))))))))))))))))))))))))))))))))))))))))))))))))))</f>
        <v>74800</v>
      </c>
      <c r="H845" s="102" t="str">
        <f>EV!M1068</f>
        <v>ROTECH</v>
      </c>
      <c r="I845" s="108">
        <f>IF(J845="ALPHA",PR!$E843,IF(J845="ASSENE",PR!$F843,IF(J845="BIOFEM",PR!$G843,IF(J845="BIOMED",PR!$H843,IF(J845="CHI",PR!$I843,IF(J845="CLARION",PR!$J843,IF(J845="CODIX",PR!$K843,IF(J845="COSMADE",PR!$L843,IF(J845="SANCON",PR!$M843,IF(J845="DEVON",PR!$N843,IF(J845="DORTEMAG",PR!$O843,IF(J845="DGF",PR!$P843,IF(J845="DYNAMIC",PR!$Q843,IF(J845="EMZOR",PR!$R843,IF(J845="EUMATT",PR!$S843,IF(J845="FIDSON",PR!$T843,IF(J845="FCGLOBAL",PR!$U843,IF(J845="GENEITH",PR!$V843,IF(J845="GINOS",PR!$W843,IF(J845="GSK",PR!$X843,IF(J845="GLOBORG",PR!$Y843,IF(J845="GOODNEWS",PR!$Z843,IF(J845="GREENLIFE",PR!$AA843,IF(J845="HLINE",PR!$AB843,IF(J845="ROTECH",PR!$AC843,IF(J845="ISN",PR!$AD843,IF(J845="JAWA",PR!$AE843,IF(J845="LAYO",PR!$AF843,IF(J845="LEADWAY",PR!$AG843,IF(J845="LHV",PR!$AH843,IF(J845="MANOLA",PR!$AI843,IF(J845="MARCSON",PR!$AJ843,IF(J845="M&amp;B",PR!$AK843,IF(J845="MTRUST",PR!$AL843,IF(J845="MWORLD",PR!$AM843,IF(J845="MEGA",PR!$AN843,IF(J845="MICRONOVA",PR!$AO843,IF(J845="MFLASH",PR!$AP843,IF(J845="MORISON",PR!$AQ843,IF(J845="NEMEL",PR!$AR843,IF(J845="NHP",PR!$AS843,IF(J845="NHC",PR!$AT843,IF(J845="OLEAF",PR!$AU843,IF(J845="OCULUS",PR!$AV843,IF(J845="PACIFIC",PR!$AW843,IF(J845="PHAMATEX",PR!$AX843,IF(J845="PETHICS",PR!$AY843,IF(J845="PHILIPS",PR!$AZ843,IF(J845="RANBAXY",PR!$BA843,IF(J845="REALS",PR!$BB843,IF(J845="ROYAL",PR!$BC843,IF(J845="SAM",PR!$BD843,IF(J845="SEAGREEN",PR!$BE843,IF(J845="SKG",PR!$BF843,IF(J845="TAH",PR!$BG843,IF(J845="TAYLEK",PR!$BH843,IF(J845="TEMITA",PR!$BI843,IF(J845="THL",PR!$BJ843,IF(J845="UBASTIC",PR!$BK843,IF(J845="UNION",PR!$BL843,IF(J845="UNIQUE",PR!$BM843,IF(J845="VIXA",PR!$BN843,IF(J845="WWCV",PR!$BO843,IF(J845="ZOLON",PR!$BP843,"-"))))))))))))))))))))))))))))))))))))))))))))))))))))))))))))))))</f>
        <v>85000</v>
      </c>
      <c r="J845" s="102" t="str">
        <f>EV!N1068</f>
        <v>COSMADE</v>
      </c>
      <c r="K845" s="433" t="s">
        <v>817</v>
      </c>
      <c r="L845" s="183">
        <f>IF(K845&gt;0,IF(K845="ALPHA",PR!$E843,IF(K845="ASSENE",PR!$F843,IF(K845="BIOFEM",PR!$G843,IF(K845="BIOMED",PR!$H843,IF(K845="CHI",PR!$I843,IF(K845="CLARION",PR!$J843,IF(K845="CODIX",PR!$K843,IF(K845="COSMADE",PR!$L843,IF(K845="SANCON",PR!$M843,IF(K845="DEVON",PR!$N843,IF(K845="DORTEMAG",PR!$O843,IF(K845="DGF",PR!$P843,IF(K845="DYNAMIC",PR!$Q843,IF(K845="EMZOR",PR!$R843,IF(K845="EUMATT",PR!$S843,IF(K845="FIDSON",PR!$T843,IF(K845="FCGLOBAL",PR!$U843,IF(K845="GENEITH",PR!$V843,IF(K845="GINOS",PR!$W843,IF(K845="GSK",PR!$X843,IF(K845="GLOBORG",PR!$Y843,IF(K845="GOODNEWS",PR!$Z843,IF(K845="GREENLIFE",PR!$AA843,IF(K845="HLINE",PR!$AB843,IF(K845="ROTECH",PR!$AC843,IF(K845="ISN",PR!$AD843,IF(K845="JAWA",PR!$AE843,IF(K845="LAYO",PR!$AF843,IF(K845="LEADWAY",PR!$AG843,IF(K845="LHV",PR!$AH843,IF(K845="MANOLA",PR!$AI843,IF(K845="MARCSON",PR!$AJ843,IF(K845="M&amp;B",PR!$AK843,IF(K845="MTRUST",PR!$AL843,IF(K845="MWORLD",PR!$AM843,IF(K845="MEGA",PR!$AN843,IF(K845="MICRONOVA",PR!$AO843,IF(K845="MFLASH",PR!$AP843,IF(K845="MORISON",PR!$AQ843,IF(K845="NEMEL",PR!$AR843,IF(K845="NHP",PR!$AS843,IF(K845="NHC",PR!$AT843,IF(K845="OLEAF",PR!$AU843,IF(K845="OCULUS",PR!$AV843,IF(K845="PACIFIC",PR!$AW843,IF(K845="PHAMATEX",PR!$AX843,IF(K845="PETHICS",PR!$AY843,IF(K845="PHILIPS",PR!$AZ843,IF(K845="RANBAXY",PR!$BA843,IF(K845="REALS",PR!$BB843,IF(K845="ROYAL",PR!$BC843,IF(K845="SAM",PR!$BD843,IF(K845="SEAGREEN",PR!$BE843,IF(K845="SKG",PR!$BF843,IF(K845="TAH",PR!$BG843,IF(K845="TAYLEK",PR!$BH843,IF(K845="TEMITA",PR!$BI843,IF(K845="THL",PR!$BJ843,IF(K845="UBASTIC",PR!$BK843,IF(K845="UNION",PR!$BL843,IF(K845="UNIQUE",PR!$BM843,IF(K845="VIXA",PR!$BN843,IF(K845="WWCV",PR!$BO843,IF(K845="ZOLON",PR!$BP843,"-")))))))))))))))))))))))))))))))))))))))))))))))))))))))))))))))))</f>
        <v>69000</v>
      </c>
    </row>
    <row r="846" spans="1:12" ht="18.75" x14ac:dyDescent="0.3">
      <c r="A846" s="430">
        <f>PR!A844</f>
        <v>0</v>
      </c>
      <c r="B846" s="15">
        <f>PR!B844</f>
        <v>0</v>
      </c>
      <c r="C846" s="113">
        <f>PR!D844</f>
        <v>0</v>
      </c>
      <c r="D846" s="113">
        <f>PR!C844</f>
        <v>0</v>
      </c>
      <c r="E846" s="108" t="str">
        <f>IF(F846="ALPHA",PR!$E844,IF(F846="ASSENE",PR!$F844,IF(F846="BIOFEM",PR!$G844,IF(F846="BIOMED",PR!$H844,IF(F846="CHI",PR!$I844,IF(F846="CLARION",PR!$J844,IF(F846="CODIX",PR!$K844,IF(F846="COSMADE",PR!$L844,IF(F846="SANCON",PR!$M844,IF(F846="DEVON",PR!$N844,IF(F846="DORTEMAG",PR!$O844,IF(F846="DGF",PR!$P844,IF(F846="DYNAMIC",PR!$Q844,IF(F846="EMZOR",PR!$R844,IF(F846="EUMATT",PR!$S844,IF(F846="FIDSON",PR!$T844,IF(F846="FCGLOBAL",PR!$U844,IF(F846="GENEITH",PR!$V844,IF(F846="GINOS",PR!$W844,IF(F846="GSK",PR!$X844,IF(F846="GLOBORG",PR!$Y844,IF(F846="GOODNEWS",PR!$Z844,IF(F846="GREENLIFE",PR!$AA844,IF(F846="HLINE",PR!$AB844,IF(F846="ROTECH",PR!$AC844,IF(F846="ISN",PR!$AD844,IF(F846="JAWA",PR!$AE844,IF(F846="LAYO",PR!$AF844,IF(F846="LEADWAY",PR!$AG844,IF(F846="LHV",PR!$AH844,IF(F846="MANOLA",PR!$AI844,IF(F846="MARCSON",PR!$AJ844,IF(F846="M&amp;B",PR!$AK844,IF(F846="MTRUST",PR!$AL844,IF(F846="MWORLD",PR!$AM844,IF(F846="MEGA",PR!$AN844,IF(F846="MICRONOVA",PR!$AO844,IF(F846="MFLASH",PR!$AP844,IF(F846="MORISON",PR!$AQ844,IF(F846="NEMEL",PR!$AR844,IF(F846="NHP",PR!$AS844,IF(F846="NHC",PR!$AT844,IF(F846="OLEAF",PR!$AU844,IF(F846="OCULUS",PR!$AV844,IF(F846="PACIFIC",PR!$AW844,IF(F846="PHAMATEX",PR!$AX844,IF(F846="PETHICS",PR!$AY844,IF(F846="PHILIPS",PR!$AZ844,IF(F846="RANBAXY",PR!$BA844,IF(F846="REALS",PR!$BB844,IF(F846="ROYAL",PR!$BC844,IF(F846="SAM",PR!$BD844,IF(F846="SEAGREEN",PR!$BE844,IF(F846="SKG",PR!$BF844,IF(F846="TAH",PR!$BG844,IF(F846="TAYLEK",PR!$BH844,IF(F846="TEMITA",PR!$BI844,IF(F846="THL",PR!$BJ844,IF(F846="UBASTIC",PR!$BK844,IF(F846="UNION",PR!$BL844,IF(F846="UNIQUE",PR!$BM844,IF(F846="VIXA",PR!$BN844,IF(F846="WWCV",PR!$BO844,IF(F846="ZOLON",PR!$BP844,"-"))))))))))))))))))))))))))))))))))))))))))))))))))))))))))))))))</f>
        <v>-</v>
      </c>
      <c r="F846" s="102"/>
      <c r="G846" s="108" t="str">
        <f>IF(H846="ALPHA",PR!$E844,IF(H846="ASSENE",PR!$F844,IF(H846="BIOFEM",PR!$G844,IF(H846="BIOMED",PR!$H844,IF(H846="CHI",PR!$I844,IF(H846="CLARION",PR!$J844,IF(H846="CODIX",PR!$K844,IF(H846="COSMADE",PR!$L844,IF(H846="SANCON",PR!$M844,IF(H846="DEVON",PR!$N844,IF(H846="DORTEMAG",PR!$O844,IF(H846="DGF",PR!$P844,IF(H846="DYNAMIC",PR!$Q844,IF(H846="EMZOR",PR!$R844,IF(H846="EUMATT",PR!$S844,IF(H846="FIDSON",PR!$T844,IF(H846="FCGLOBAL",PR!$U844,IF(H846="GENEITH",PR!$V844,IF(H846="GINOS",PR!$W844,IF(H846="GSK",PR!$X844,IF(H846="GLOBORG",PR!$Y844,IF(H846="GOODNEWS",PR!$Z844,IF(H846="GREENLIFE",PR!$AA844,IF(H846="HLINE",PR!$AB844,IF(H846="ROTECH",PR!$AC844,IF(H846="ISN",PR!$AD844,IF(H846="JAWA",PR!$AE844,IF(H846="LAYO",PR!$AF844,IF(H846="LEADWAY",PR!$AG844,IF(H846="LHV",PR!$AH844,IF(H846="MANOLA",PR!$AI844,IF(H846="MARCSON",PR!$AJ844,IF(H846="M&amp;B",PR!$AK844,IF(H846="MTRUST",PR!$AL844,IF(H846="MWORLD",PR!$AM844,IF(H846="MEGA",PR!$AN844,IF(H846="MICRONOVA",PR!$AO844,IF(H846="MFLASH",PR!$AP844,IF(H846="MORISON",PR!$AQ844,IF(H846="NEMEL",PR!$AR844,IF(H846="NHP",PR!$AS844,IF(H846="NHC",PR!$AT844,IF(H846="OLEAF",PR!$AU844,IF(H846="OCULUS",PR!$AV844,IF(H846="PACIFIC",PR!$AW844,IF(H846="PHAMATEX",PR!$AX844,IF(H846="PETHICS",PR!$AY844,IF(H846="PHILIPS",PR!$AZ844,IF(H846="RANBAXY",PR!$BA844,IF(H846="REALS",PR!$BB844,IF(H846="ROYAL",PR!$BC844,IF(H846="SAM",PR!$BD844,IF(H846="SEAGREEN",PR!$BE844,IF(H846="SKG",PR!$BF844,IF(H846="TAH",PR!$BG844,IF(H846="TAYLEK",PR!$BH844,IF(H846="TEMITA",PR!$BI844,IF(H846="THL",PR!$BJ844,IF(H846="UBASTIC",PR!$BK844,IF(H846="UNION",PR!$BL844,IF(H846="UNIQUE",PR!$BM844,IF(H846="VIXA",PR!$BN844,IF(H846="WWCV",PR!$BO844,IF(H846="ZOLON",PR!$BP844,"-"))))))))))))))))))))))))))))))))))))))))))))))))))))))))))))))))</f>
        <v>-</v>
      </c>
      <c r="H846" s="102"/>
      <c r="I846" s="108" t="str">
        <f>IF(J846="ALPHA",PR!$E844,IF(J846="ASSENE",PR!$F844,IF(J846="BIOFEM",PR!$G844,IF(J846="BIOMED",PR!$H844,IF(J846="CHI",PR!$I844,IF(J846="CLARION",PR!$J844,IF(J846="CODIX",PR!$K844,IF(J846="COSMADE",PR!$L844,IF(J846="SANCON",PR!$M844,IF(J846="DEVON",PR!$N844,IF(J846="DORTEMAG",PR!$O844,IF(J846="DGF",PR!$P844,IF(J846="DYNAMIC",PR!$Q844,IF(J846="EMZOR",PR!$R844,IF(J846="EUMATT",PR!$S844,IF(J846="FIDSON",PR!$T844,IF(J846="FCGLOBAL",PR!$U844,IF(J846="GENEITH",PR!$V844,IF(J846="GINOS",PR!$W844,IF(J846="GSK",PR!$X844,IF(J846="GLOBORG",PR!$Y844,IF(J846="GOODNEWS",PR!$Z844,IF(J846="GREENLIFE",PR!$AA844,IF(J846="HLINE",PR!$AB844,IF(J846="ROTECH",PR!$AC844,IF(J846="ISN",PR!$AD844,IF(J846="JAWA",PR!$AE844,IF(J846="LAYO",PR!$AF844,IF(J846="LEADWAY",PR!$AG844,IF(J846="LHV",PR!$AH844,IF(J846="MANOLA",PR!$AI844,IF(J846="MARCSON",PR!$AJ844,IF(J846="M&amp;B",PR!$AK844,IF(J846="MTRUST",PR!$AL844,IF(J846="MWORLD",PR!$AM844,IF(J846="MEGA",PR!$AN844,IF(J846="MICRONOVA",PR!$AO844,IF(J846="MFLASH",PR!$AP844,IF(J846="MORISON",PR!$AQ844,IF(J846="NEMEL",PR!$AR844,IF(J846="NHP",PR!$AS844,IF(J846="NHC",PR!$AT844,IF(J846="OLEAF",PR!$AU844,IF(J846="OCULUS",PR!$AV844,IF(J846="PACIFIC",PR!$AW844,IF(J846="PHAMATEX",PR!$AX844,IF(J846="PETHICS",PR!$AY844,IF(J846="PHILIPS",PR!$AZ844,IF(J846="RANBAXY",PR!$BA844,IF(J846="REALS",PR!$BB844,IF(J846="ROYAL",PR!$BC844,IF(J846="SAM",PR!$BD844,IF(J846="SEAGREEN",PR!$BE844,IF(J846="SKG",PR!$BF844,IF(J846="TAH",PR!$BG844,IF(J846="TAYLEK",PR!$BH844,IF(J846="TEMITA",PR!$BI844,IF(J846="THL",PR!$BJ844,IF(J846="UBASTIC",PR!$BK844,IF(J846="UNION",PR!$BL844,IF(J846="UNIQUE",PR!$BM844,IF(J846="VIXA",PR!$BN844,IF(J846="WWCV",PR!$BO844,IF(J846="ZOLON",PR!$BP844,"-"))))))))))))))))))))))))))))))))))))))))))))))))))))))))))))))))</f>
        <v>-</v>
      </c>
      <c r="J846" s="102"/>
      <c r="K846" s="433"/>
      <c r="L846" s="183" t="b">
        <f>IF(K846&gt;0,IF(K846="ALPHA",PR!$E844,IF(K846="ASSENE",PR!$F844,IF(K846="BIOFEM",PR!$G844,IF(K846="BIOMED",PR!$H844,IF(K846="CHI",PR!$I844,IF(K846="CLARION",PR!$J844,IF(K846="CODIX",PR!$K844,IF(K846="COSMADE",PR!$L844,IF(K846="SANCON",PR!$M844,IF(K846="DEVON",PR!$N844,IF(K846="DORTEMAG",PR!$O844,IF(K846="DGF",PR!$P844,IF(K846="DYNAMIC",PR!$Q844,IF(K846="EMZOR",PR!$R844,IF(K846="EUMATT",PR!$S844,IF(K846="FIDSON",PR!$T844,IF(K846="FCGLOBAL",PR!$U844,IF(K846="GENEITH",PR!$V844,IF(K846="GINOS",PR!$W844,IF(K846="GSK",PR!$X844,IF(K846="GLOBORG",PR!$Y844,IF(K846="GOODNEWS",PR!$Z844,IF(K846="GREENLIFE",PR!$AA844,IF(K846="HLINE",PR!$AB844,IF(K846="ROTECH",PR!$AC844,IF(K846="ISN",PR!$AD844,IF(K846="JAWA",PR!$AE844,IF(K846="LAYO",PR!$AF844,IF(K846="LEADWAY",PR!$AG844,IF(K846="LHV",PR!$AH844,IF(K846="MANOLA",PR!$AI844,IF(K846="MARCSON",PR!$AJ844,IF(K846="M&amp;B",PR!$AK844,IF(K846="MTRUST",PR!$AL844,IF(K846="MWORLD",PR!$AM844,IF(K846="MEGA",PR!$AN844,IF(K846="MICRONOVA",PR!$AO844,IF(K846="MFLASH",PR!$AP844,IF(K846="MORISON",PR!$AQ844,IF(K846="NEMEL",PR!$AR844,IF(K846="NHP",PR!$AS844,IF(K846="NHC",PR!$AT844,IF(K846="OLEAF",PR!$AU844,IF(K846="OCULUS",PR!$AV844,IF(K846="PACIFIC",PR!$AW844,IF(K846="PHAMATEX",PR!$AX844,IF(K846="PETHICS",PR!$AY844,IF(K846="PHILIPS",PR!$AZ844,IF(K846="RANBAXY",PR!$BA844,IF(K846="REALS",PR!$BB844,IF(K846="ROYAL",PR!$BC844,IF(K846="SAM",PR!$BD844,IF(K846="SEAGREEN",PR!$BE844,IF(K846="SKG",PR!$BF844,IF(K846="TAH",PR!$BG844,IF(K846="TAYLEK",PR!$BH844,IF(K846="TEMITA",PR!$BI844,IF(K846="THL",PR!$BJ844,IF(K846="UBASTIC",PR!$BK844,IF(K846="UNION",PR!$BL844,IF(K846="UNIQUE",PR!$BM844,IF(K846="VIXA",PR!$BN844,IF(K846="WWCV",PR!$BO844,IF(K846="ZOLON",PR!$BP844,"-")))))))))))))))))))))))))))))))))))))))))))))))))))))))))))))))))</f>
        <v>0</v>
      </c>
    </row>
    <row r="847" spans="1:12" ht="18.75" x14ac:dyDescent="0.3">
      <c r="A847" s="430">
        <f>PR!A845</f>
        <v>0</v>
      </c>
      <c r="B847" s="15">
        <f>PR!B845</f>
        <v>0</v>
      </c>
      <c r="C847" s="113">
        <f>PR!D845</f>
        <v>0</v>
      </c>
      <c r="D847" s="113">
        <f>PR!C845</f>
        <v>0</v>
      </c>
      <c r="E847" s="108" t="str">
        <f>IF(F847="ALPHA",PR!$E845,IF(F847="ASSENE",PR!$F845,IF(F847="BIOFEM",PR!$G845,IF(F847="BIOMED",PR!$H845,IF(F847="CHI",PR!$I845,IF(F847="CLARION",PR!$J845,IF(F847="CODIX",PR!$K845,IF(F847="COSMADE",PR!$L845,IF(F847="SANCON",PR!$M845,IF(F847="DEVON",PR!$N845,IF(F847="DORTEMAG",PR!$O845,IF(F847="DGF",PR!$P845,IF(F847="DYNAMIC",PR!$Q845,IF(F847="EMZOR",PR!$R845,IF(F847="EUMATT",PR!$S845,IF(F847="FIDSON",PR!$T845,IF(F847="FCGLOBAL",PR!$U845,IF(F847="GENEITH",PR!$V845,IF(F847="GINOS",PR!$W845,IF(F847="GSK",PR!$X845,IF(F847="GLOBORG",PR!$Y845,IF(F847="GOODNEWS",PR!$Z845,IF(F847="GREENLIFE",PR!$AA845,IF(F847="HLINE",PR!$AB845,IF(F847="ROTECH",PR!$AC845,IF(F847="ISN",PR!$AD845,IF(F847="JAWA",PR!$AE845,IF(F847="LAYO",PR!$AF845,IF(F847="LEADWAY",PR!$AG845,IF(F847="LHV",PR!$AH845,IF(F847="MANOLA",PR!$AI845,IF(F847="MARCSON",PR!$AJ845,IF(F847="M&amp;B",PR!$AK845,IF(F847="MTRUST",PR!$AL845,IF(F847="MWORLD",PR!$AM845,IF(F847="MEGA",PR!$AN845,IF(F847="MICRONOVA",PR!$AO845,IF(F847="MFLASH",PR!$AP845,IF(F847="MORISON",PR!$AQ845,IF(F847="NEMEL",PR!$AR845,IF(F847="NHP",PR!$AS845,IF(F847="NHC",PR!$AT845,IF(F847="OLEAF",PR!$AU845,IF(F847="OCULUS",PR!$AV845,IF(F847="PACIFIC",PR!$AW845,IF(F847="PHAMATEX",PR!$AX845,IF(F847="PETHICS",PR!$AY845,IF(F847="PHILIPS",PR!$AZ845,IF(F847="RANBAXY",PR!$BA845,IF(F847="REALS",PR!$BB845,IF(F847="ROYAL",PR!$BC845,IF(F847="SAM",PR!$BD845,IF(F847="SEAGREEN",PR!$BE845,IF(F847="SKG",PR!$BF845,IF(F847="TAH",PR!$BG845,IF(F847="TAYLEK",PR!$BH845,IF(F847="TEMITA",PR!$BI845,IF(F847="THL",PR!$BJ845,IF(F847="UBASTIC",PR!$BK845,IF(F847="UNION",PR!$BL845,IF(F847="UNIQUE",PR!$BM845,IF(F847="VIXA",PR!$BN845,IF(F847="WWCV",PR!$BO845,IF(F847="ZOLON",PR!$BP845,"-"))))))))))))))))))))))))))))))))))))))))))))))))))))))))))))))))</f>
        <v>-</v>
      </c>
      <c r="F847" s="102"/>
      <c r="G847" s="108" t="str">
        <f>IF(H847="ALPHA",PR!$E845,IF(H847="ASSENE",PR!$F845,IF(H847="BIOFEM",PR!$G845,IF(H847="BIOMED",PR!$H845,IF(H847="CHI",PR!$I845,IF(H847="CLARION",PR!$J845,IF(H847="CODIX",PR!$K845,IF(H847="COSMADE",PR!$L845,IF(H847="SANCON",PR!$M845,IF(H847="DEVON",PR!$N845,IF(H847="DORTEMAG",PR!$O845,IF(H847="DGF",PR!$P845,IF(H847="DYNAMIC",PR!$Q845,IF(H847="EMZOR",PR!$R845,IF(H847="EUMATT",PR!$S845,IF(H847="FIDSON",PR!$T845,IF(H847="FCGLOBAL",PR!$U845,IF(H847="GENEITH",PR!$V845,IF(H847="GINOS",PR!$W845,IF(H847="GSK",PR!$X845,IF(H847="GLOBORG",PR!$Y845,IF(H847="GOODNEWS",PR!$Z845,IF(H847="GREENLIFE",PR!$AA845,IF(H847="HLINE",PR!$AB845,IF(H847="ROTECH",PR!$AC845,IF(H847="ISN",PR!$AD845,IF(H847="JAWA",PR!$AE845,IF(H847="LAYO",PR!$AF845,IF(H847="LEADWAY",PR!$AG845,IF(H847="LHV",PR!$AH845,IF(H847="MANOLA",PR!$AI845,IF(H847="MARCSON",PR!$AJ845,IF(H847="M&amp;B",PR!$AK845,IF(H847="MTRUST",PR!$AL845,IF(H847="MWORLD",PR!$AM845,IF(H847="MEGA",PR!$AN845,IF(H847="MICRONOVA",PR!$AO845,IF(H847="MFLASH",PR!$AP845,IF(H847="MORISON",PR!$AQ845,IF(H847="NEMEL",PR!$AR845,IF(H847="NHP",PR!$AS845,IF(H847="NHC",PR!$AT845,IF(H847="OLEAF",PR!$AU845,IF(H847="OCULUS",PR!$AV845,IF(H847="PACIFIC",PR!$AW845,IF(H847="PHAMATEX",PR!$AX845,IF(H847="PETHICS",PR!$AY845,IF(H847="PHILIPS",PR!$AZ845,IF(H847="RANBAXY",PR!$BA845,IF(H847="REALS",PR!$BB845,IF(H847="ROYAL",PR!$BC845,IF(H847="SAM",PR!$BD845,IF(H847="SEAGREEN",PR!$BE845,IF(H847="SKG",PR!$BF845,IF(H847="TAH",PR!$BG845,IF(H847="TAYLEK",PR!$BH845,IF(H847="TEMITA",PR!$BI845,IF(H847="THL",PR!$BJ845,IF(H847="UBASTIC",PR!$BK845,IF(H847="UNION",PR!$BL845,IF(H847="UNIQUE",PR!$BM845,IF(H847="VIXA",PR!$BN845,IF(H847="WWCV",PR!$BO845,IF(H847="ZOLON",PR!$BP845,"-"))))))))))))))))))))))))))))))))))))))))))))))))))))))))))))))))</f>
        <v>-</v>
      </c>
      <c r="H847" s="102"/>
      <c r="I847" s="108" t="str">
        <f>IF(J847="ALPHA",PR!$E845,IF(J847="ASSENE",PR!$F845,IF(J847="BIOFEM",PR!$G845,IF(J847="BIOMED",PR!$H845,IF(J847="CHI",PR!$I845,IF(J847="CLARION",PR!$J845,IF(J847="CODIX",PR!$K845,IF(J847="COSMADE",PR!$L845,IF(J847="SANCON",PR!$M845,IF(J847="DEVON",PR!$N845,IF(J847="DORTEMAG",PR!$O845,IF(J847="DGF",PR!$P845,IF(J847="DYNAMIC",PR!$Q845,IF(J847="EMZOR",PR!$R845,IF(J847="EUMATT",PR!$S845,IF(J847="FIDSON",PR!$T845,IF(J847="FCGLOBAL",PR!$U845,IF(J847="GENEITH",PR!$V845,IF(J847="GINOS",PR!$W845,IF(J847="GSK",PR!$X845,IF(J847="GLOBORG",PR!$Y845,IF(J847="GOODNEWS",PR!$Z845,IF(J847="GREENLIFE",PR!$AA845,IF(J847="HLINE",PR!$AB845,IF(J847="ROTECH",PR!$AC845,IF(J847="ISN",PR!$AD845,IF(J847="JAWA",PR!$AE845,IF(J847="LAYO",PR!$AF845,IF(J847="LEADWAY",PR!$AG845,IF(J847="LHV",PR!$AH845,IF(J847="MANOLA",PR!$AI845,IF(J847="MARCSON",PR!$AJ845,IF(J847="M&amp;B",PR!$AK845,IF(J847="MTRUST",PR!$AL845,IF(J847="MWORLD",PR!$AM845,IF(J847="MEGA",PR!$AN845,IF(J847="MICRONOVA",PR!$AO845,IF(J847="MFLASH",PR!$AP845,IF(J847="MORISON",PR!$AQ845,IF(J847="NEMEL",PR!$AR845,IF(J847="NHP",PR!$AS845,IF(J847="NHC",PR!$AT845,IF(J847="OLEAF",PR!$AU845,IF(J847="OCULUS",PR!$AV845,IF(J847="PACIFIC",PR!$AW845,IF(J847="PHAMATEX",PR!$AX845,IF(J847="PETHICS",PR!$AY845,IF(J847="PHILIPS",PR!$AZ845,IF(J847="RANBAXY",PR!$BA845,IF(J847="REALS",PR!$BB845,IF(J847="ROYAL",PR!$BC845,IF(J847="SAM",PR!$BD845,IF(J847="SEAGREEN",PR!$BE845,IF(J847="SKG",PR!$BF845,IF(J847="TAH",PR!$BG845,IF(J847="TAYLEK",PR!$BH845,IF(J847="TEMITA",PR!$BI845,IF(J847="THL",PR!$BJ845,IF(J847="UBASTIC",PR!$BK845,IF(J847="UNION",PR!$BL845,IF(J847="UNIQUE",PR!$BM845,IF(J847="VIXA",PR!$BN845,IF(J847="WWCV",PR!$BO845,IF(J847="ZOLON",PR!$BP845,"-"))))))))))))))))))))))))))))))))))))))))))))))))))))))))))))))))</f>
        <v>-</v>
      </c>
      <c r="J847" s="102"/>
      <c r="K847" s="433"/>
      <c r="L847" s="183" t="b">
        <f>IF(K847&gt;0,IF(K847="ALPHA",PR!$E845,IF(K847="ASSENE",PR!$F845,IF(K847="BIOFEM",PR!$G845,IF(K847="BIOMED",PR!$H845,IF(K847="CHI",PR!$I845,IF(K847="CLARION",PR!$J845,IF(K847="CODIX",PR!$K845,IF(K847="COSMADE",PR!$L845,IF(K847="SANCON",PR!$M845,IF(K847="DEVON",PR!$N845,IF(K847="DORTEMAG",PR!$O845,IF(K847="DGF",PR!$P845,IF(K847="DYNAMIC",PR!$Q845,IF(K847="EMZOR",PR!$R845,IF(K847="EUMATT",PR!$S845,IF(K847="FIDSON",PR!$T845,IF(K847="FCGLOBAL",PR!$U845,IF(K847="GENEITH",PR!$V845,IF(K847="GINOS",PR!$W845,IF(K847="GSK",PR!$X845,IF(K847="GLOBORG",PR!$Y845,IF(K847="GOODNEWS",PR!$Z845,IF(K847="GREENLIFE",PR!$AA845,IF(K847="HLINE",PR!$AB845,IF(K847="ROTECH",PR!$AC845,IF(K847="ISN",PR!$AD845,IF(K847="JAWA",PR!$AE845,IF(K847="LAYO",PR!$AF845,IF(K847="LEADWAY",PR!$AG845,IF(K847="LHV",PR!$AH845,IF(K847="MANOLA",PR!$AI845,IF(K847="MARCSON",PR!$AJ845,IF(K847="M&amp;B",PR!$AK845,IF(K847="MTRUST",PR!$AL845,IF(K847="MWORLD",PR!$AM845,IF(K847="MEGA",PR!$AN845,IF(K847="MICRONOVA",PR!$AO845,IF(K847="MFLASH",PR!$AP845,IF(K847="MORISON",PR!$AQ845,IF(K847="NEMEL",PR!$AR845,IF(K847="NHP",PR!$AS845,IF(K847="NHC",PR!$AT845,IF(K847="OLEAF",PR!$AU845,IF(K847="OCULUS",PR!$AV845,IF(K847="PACIFIC",PR!$AW845,IF(K847="PHAMATEX",PR!$AX845,IF(K847="PETHICS",PR!$AY845,IF(K847="PHILIPS",PR!$AZ845,IF(K847="RANBAXY",PR!$BA845,IF(K847="REALS",PR!$BB845,IF(K847="ROYAL",PR!$BC845,IF(K847="SAM",PR!$BD845,IF(K847="SEAGREEN",PR!$BE845,IF(K847="SKG",PR!$BF845,IF(K847="TAH",PR!$BG845,IF(K847="TAYLEK",PR!$BH845,IF(K847="TEMITA",PR!$BI845,IF(K847="THL",PR!$BJ845,IF(K847="UBASTIC",PR!$BK845,IF(K847="UNION",PR!$BL845,IF(K847="UNIQUE",PR!$BM845,IF(K847="VIXA",PR!$BN845,IF(K847="WWCV",PR!$BO845,IF(K847="ZOLON",PR!$BP845,"-")))))))))))))))))))))))))))))))))))))))))))))))))))))))))))))))))</f>
        <v>0</v>
      </c>
    </row>
    <row r="848" spans="1:12" ht="18.75" x14ac:dyDescent="0.3">
      <c r="A848" s="430">
        <f>PR!A846</f>
        <v>0</v>
      </c>
      <c r="B848" s="15">
        <f>PR!B846</f>
        <v>0</v>
      </c>
      <c r="C848" s="113">
        <f>PR!D846</f>
        <v>0</v>
      </c>
      <c r="D848" s="113">
        <f>PR!C846</f>
        <v>0</v>
      </c>
      <c r="E848" s="108" t="str">
        <f>IF(F848="ALPHA",PR!$E846,IF(F848="ASSENE",PR!$F846,IF(F848="BIOFEM",PR!$G846,IF(F848="BIOMED",PR!$H846,IF(F848="CHI",PR!$I846,IF(F848="CLARION",PR!$J846,IF(F848="CODIX",PR!$K846,IF(F848="COSMADE",PR!$L846,IF(F848="SANCON",PR!$M846,IF(F848="DEVON",PR!$N846,IF(F848="DORTEMAG",PR!$O846,IF(F848="DGF",PR!$P846,IF(F848="DYNAMIC",PR!$Q846,IF(F848="EMZOR",PR!$R846,IF(F848="EUMATT",PR!$S846,IF(F848="FIDSON",PR!$T846,IF(F848="FCGLOBAL",PR!$U846,IF(F848="GENEITH",PR!$V846,IF(F848="GINOS",PR!$W846,IF(F848="GSK",PR!$X846,IF(F848="GLOBORG",PR!$Y846,IF(F848="GOODNEWS",PR!$Z846,IF(F848="GREENLIFE",PR!$AA846,IF(F848="HLINE",PR!$AB846,IF(F848="ROTECH",PR!$AC846,IF(F848="ISN",PR!$AD846,IF(F848="JAWA",PR!$AE846,IF(F848="LAYO",PR!$AF846,IF(F848="LEADWAY",PR!$AG846,IF(F848="LHV",PR!$AH846,IF(F848="MANOLA",PR!$AI846,IF(F848="MARCSON",PR!$AJ846,IF(F848="M&amp;B",PR!$AK846,IF(F848="MTRUST",PR!$AL846,IF(F848="MWORLD",PR!$AM846,IF(F848="MEGA",PR!$AN846,IF(F848="MICRONOVA",PR!$AO846,IF(F848="MFLASH",PR!$AP846,IF(F848="MORISON",PR!$AQ846,IF(F848="NEMEL",PR!$AR846,IF(F848="NHP",PR!$AS846,IF(F848="NHC",PR!$AT846,IF(F848="OLEAF",PR!$AU846,IF(F848="OCULUS",PR!$AV846,IF(F848="PACIFIC",PR!$AW846,IF(F848="PHAMATEX",PR!$AX846,IF(F848="PETHICS",PR!$AY846,IF(F848="PHILIPS",PR!$AZ846,IF(F848="RANBAXY",PR!$BA846,IF(F848="REALS",PR!$BB846,IF(F848="ROYAL",PR!$BC846,IF(F848="SAM",PR!$BD846,IF(F848="SEAGREEN",PR!$BE846,IF(F848="SKG",PR!$BF846,IF(F848="TAH",PR!$BG846,IF(F848="TAYLEK",PR!$BH846,IF(F848="TEMITA",PR!$BI846,IF(F848="THL",PR!$BJ846,IF(F848="UBASTIC",PR!$BK846,IF(F848="UNION",PR!$BL846,IF(F848="UNIQUE",PR!$BM846,IF(F848="VIXA",PR!$BN846,IF(F848="WWCV",PR!$BO846,IF(F848="ZOLON",PR!$BP846,"-"))))))))))))))))))))))))))))))))))))))))))))))))))))))))))))))))</f>
        <v>-</v>
      </c>
      <c r="F848" s="102"/>
      <c r="G848" s="108" t="str">
        <f>IF(H848="ALPHA",PR!$E846,IF(H848="ASSENE",PR!$F846,IF(H848="BIOFEM",PR!$G846,IF(H848="BIOMED",PR!$H846,IF(H848="CHI",PR!$I846,IF(H848="CLARION",PR!$J846,IF(H848="CODIX",PR!$K846,IF(H848="COSMADE",PR!$L846,IF(H848="SANCON",PR!$M846,IF(H848="DEVON",PR!$N846,IF(H848="DORTEMAG",PR!$O846,IF(H848="DGF",PR!$P846,IF(H848="DYNAMIC",PR!$Q846,IF(H848="EMZOR",PR!$R846,IF(H848="EUMATT",PR!$S846,IF(H848="FIDSON",PR!$T846,IF(H848="FCGLOBAL",PR!$U846,IF(H848="GENEITH",PR!$V846,IF(H848="GINOS",PR!$W846,IF(H848="GSK",PR!$X846,IF(H848="GLOBORG",PR!$Y846,IF(H848="GOODNEWS",PR!$Z846,IF(H848="GREENLIFE",PR!$AA846,IF(H848="HLINE",PR!$AB846,IF(H848="ROTECH",PR!$AC846,IF(H848="ISN",PR!$AD846,IF(H848="JAWA",PR!$AE846,IF(H848="LAYO",PR!$AF846,IF(H848="LEADWAY",PR!$AG846,IF(H848="LHV",PR!$AH846,IF(H848="MANOLA",PR!$AI846,IF(H848="MARCSON",PR!$AJ846,IF(H848="M&amp;B",PR!$AK846,IF(H848="MTRUST",PR!$AL846,IF(H848="MWORLD",PR!$AM846,IF(H848="MEGA",PR!$AN846,IF(H848="MICRONOVA",PR!$AO846,IF(H848="MFLASH",PR!$AP846,IF(H848="MORISON",PR!$AQ846,IF(H848="NEMEL",PR!$AR846,IF(H848="NHP",PR!$AS846,IF(H848="NHC",PR!$AT846,IF(H848="OLEAF",PR!$AU846,IF(H848="OCULUS",PR!$AV846,IF(H848="PACIFIC",PR!$AW846,IF(H848="PHAMATEX",PR!$AX846,IF(H848="PETHICS",PR!$AY846,IF(H848="PHILIPS",PR!$AZ846,IF(H848="RANBAXY",PR!$BA846,IF(H848="REALS",PR!$BB846,IF(H848="ROYAL",PR!$BC846,IF(H848="SAM",PR!$BD846,IF(H848="SEAGREEN",PR!$BE846,IF(H848="SKG",PR!$BF846,IF(H848="TAH",PR!$BG846,IF(H848="TAYLEK",PR!$BH846,IF(H848="TEMITA",PR!$BI846,IF(H848="THL",PR!$BJ846,IF(H848="UBASTIC",PR!$BK846,IF(H848="UNION",PR!$BL846,IF(H848="UNIQUE",PR!$BM846,IF(H848="VIXA",PR!$BN846,IF(H848="WWCV",PR!$BO846,IF(H848="ZOLON",PR!$BP846,"-"))))))))))))))))))))))))))))))))))))))))))))))))))))))))))))))))</f>
        <v>-</v>
      </c>
      <c r="H848" s="102"/>
      <c r="I848" s="108" t="str">
        <f>IF(J848="ALPHA",PR!$E846,IF(J848="ASSENE",PR!$F846,IF(J848="BIOFEM",PR!$G846,IF(J848="BIOMED",PR!$H846,IF(J848="CHI",PR!$I846,IF(J848="CLARION",PR!$J846,IF(J848="CODIX",PR!$K846,IF(J848="COSMADE",PR!$L846,IF(J848="SANCON",PR!$M846,IF(J848="DEVON",PR!$N846,IF(J848="DORTEMAG",PR!$O846,IF(J848="DGF",PR!$P846,IF(J848="DYNAMIC",PR!$Q846,IF(J848="EMZOR",PR!$R846,IF(J848="EUMATT",PR!$S846,IF(J848="FIDSON",PR!$T846,IF(J848="FCGLOBAL",PR!$U846,IF(J848="GENEITH",PR!$V846,IF(J848="GINOS",PR!$W846,IF(J848="GSK",PR!$X846,IF(J848="GLOBORG",PR!$Y846,IF(J848="GOODNEWS",PR!$Z846,IF(J848="GREENLIFE",PR!$AA846,IF(J848="HLINE",PR!$AB846,IF(J848="ROTECH",PR!$AC846,IF(J848="ISN",PR!$AD846,IF(J848="JAWA",PR!$AE846,IF(J848="LAYO",PR!$AF846,IF(J848="LEADWAY",PR!$AG846,IF(J848="LHV",PR!$AH846,IF(J848="MANOLA",PR!$AI846,IF(J848="MARCSON",PR!$AJ846,IF(J848="M&amp;B",PR!$AK846,IF(J848="MTRUST",PR!$AL846,IF(J848="MWORLD",PR!$AM846,IF(J848="MEGA",PR!$AN846,IF(J848="MICRONOVA",PR!$AO846,IF(J848="MFLASH",PR!$AP846,IF(J848="MORISON",PR!$AQ846,IF(J848="NEMEL",PR!$AR846,IF(J848="NHP",PR!$AS846,IF(J848="NHC",PR!$AT846,IF(J848="OLEAF",PR!$AU846,IF(J848="OCULUS",PR!$AV846,IF(J848="PACIFIC",PR!$AW846,IF(J848="PHAMATEX",PR!$AX846,IF(J848="PETHICS",PR!$AY846,IF(J848="PHILIPS",PR!$AZ846,IF(J848="RANBAXY",PR!$BA846,IF(J848="REALS",PR!$BB846,IF(J848="ROYAL",PR!$BC846,IF(J848="SAM",PR!$BD846,IF(J848="SEAGREEN",PR!$BE846,IF(J848="SKG",PR!$BF846,IF(J848="TAH",PR!$BG846,IF(J848="TAYLEK",PR!$BH846,IF(J848="TEMITA",PR!$BI846,IF(J848="THL",PR!$BJ846,IF(J848="UBASTIC",PR!$BK846,IF(J848="UNION",PR!$BL846,IF(J848="UNIQUE",PR!$BM846,IF(J848="VIXA",PR!$BN846,IF(J848="WWCV",PR!$BO846,IF(J848="ZOLON",PR!$BP846,"-"))))))))))))))))))))))))))))))))))))))))))))))))))))))))))))))))</f>
        <v>-</v>
      </c>
      <c r="J848" s="102"/>
      <c r="K848" s="433"/>
      <c r="L848" s="183" t="b">
        <f>IF(K848&gt;0,IF(K848="ALPHA",PR!$E846,IF(K848="ASSENE",PR!$F846,IF(K848="BIOFEM",PR!$G846,IF(K848="BIOMED",PR!$H846,IF(K848="CHI",PR!$I846,IF(K848="CLARION",PR!$J846,IF(K848="CODIX",PR!$K846,IF(K848="COSMADE",PR!$L846,IF(K848="SANCON",PR!$M846,IF(K848="DEVON",PR!$N846,IF(K848="DORTEMAG",PR!$O846,IF(K848="DGF",PR!$P846,IF(K848="DYNAMIC",PR!$Q846,IF(K848="EMZOR",PR!$R846,IF(K848="EUMATT",PR!$S846,IF(K848="FIDSON",PR!$T846,IF(K848="FCGLOBAL",PR!$U846,IF(K848="GENEITH",PR!$V846,IF(K848="GINOS",PR!$W846,IF(K848="GSK",PR!$X846,IF(K848="GLOBORG",PR!$Y846,IF(K848="GOODNEWS",PR!$Z846,IF(K848="GREENLIFE",PR!$AA846,IF(K848="HLINE",PR!$AB846,IF(K848="ROTECH",PR!$AC846,IF(K848="ISN",PR!$AD846,IF(K848="JAWA",PR!$AE846,IF(K848="LAYO",PR!$AF846,IF(K848="LEADWAY",PR!$AG846,IF(K848="LHV",PR!$AH846,IF(K848="MANOLA",PR!$AI846,IF(K848="MARCSON",PR!$AJ846,IF(K848="M&amp;B",PR!$AK846,IF(K848="MTRUST",PR!$AL846,IF(K848="MWORLD",PR!$AM846,IF(K848="MEGA",PR!$AN846,IF(K848="MICRONOVA",PR!$AO846,IF(K848="MFLASH",PR!$AP846,IF(K848="MORISON",PR!$AQ846,IF(K848="NEMEL",PR!$AR846,IF(K848="NHP",PR!$AS846,IF(K848="NHC",PR!$AT846,IF(K848="OLEAF",PR!$AU846,IF(K848="OCULUS",PR!$AV846,IF(K848="PACIFIC",PR!$AW846,IF(K848="PHAMATEX",PR!$AX846,IF(K848="PETHICS",PR!$AY846,IF(K848="PHILIPS",PR!$AZ846,IF(K848="RANBAXY",PR!$BA846,IF(K848="REALS",PR!$BB846,IF(K848="ROYAL",PR!$BC846,IF(K848="SAM",PR!$BD846,IF(K848="SEAGREEN",PR!$BE846,IF(K848="SKG",PR!$BF846,IF(K848="TAH",PR!$BG846,IF(K848="TAYLEK",PR!$BH846,IF(K848="TEMITA",PR!$BI846,IF(K848="THL",PR!$BJ846,IF(K848="UBASTIC",PR!$BK846,IF(K848="UNION",PR!$BL846,IF(K848="UNIQUE",PR!$BM846,IF(K848="VIXA",PR!$BN846,IF(K848="WWCV",PR!$BO846,IF(K848="ZOLON",PR!$BP846,"-")))))))))))))))))))))))))))))))))))))))))))))))))))))))))))))))))</f>
        <v>0</v>
      </c>
    </row>
    <row r="849" spans="1:12" ht="18.75" x14ac:dyDescent="0.3">
      <c r="A849" s="430">
        <f>PR!A847</f>
        <v>0</v>
      </c>
      <c r="B849" s="15">
        <f>PR!B847</f>
        <v>0</v>
      </c>
      <c r="C849" s="113">
        <f>PR!D847</f>
        <v>0</v>
      </c>
      <c r="D849" s="113">
        <f>PR!C847</f>
        <v>0</v>
      </c>
      <c r="E849" s="108" t="str">
        <f>IF(F849="ALPHA",PR!$E847,IF(F849="ASSENE",PR!$F847,IF(F849="BIOFEM",PR!$G847,IF(F849="BIOMED",PR!$H847,IF(F849="CHI",PR!$I847,IF(F849="CLARION",PR!$J847,IF(F849="CODIX",PR!$K847,IF(F849="COSMADE",PR!$L847,IF(F849="SANCON",PR!$M847,IF(F849="DEVON",PR!$N847,IF(F849="DORTEMAG",PR!$O847,IF(F849="DGF",PR!$P847,IF(F849="DYNAMIC",PR!$Q847,IF(F849="EMZOR",PR!$R847,IF(F849="EUMATT",PR!$S847,IF(F849="FIDSON",PR!$T847,IF(F849="FCGLOBAL",PR!$U847,IF(F849="GENEITH",PR!$V847,IF(F849="GINOS",PR!$W847,IF(F849="GSK",PR!$X847,IF(F849="GLOBORG",PR!$Y847,IF(F849="GOODNEWS",PR!$Z847,IF(F849="GREENLIFE",PR!$AA847,IF(F849="HLINE",PR!$AB847,IF(F849="ROTECH",PR!$AC847,IF(F849="ISN",PR!$AD847,IF(F849="JAWA",PR!$AE847,IF(F849="LAYO",PR!$AF847,IF(F849="LEADWAY",PR!$AG847,IF(F849="LHV",PR!$AH847,IF(F849="MANOLA",PR!$AI847,IF(F849="MARCSON",PR!$AJ847,IF(F849="M&amp;B",PR!$AK847,IF(F849="MTRUST",PR!$AL847,IF(F849="MWORLD",PR!$AM847,IF(F849="MEGA",PR!$AN847,IF(F849="MICRONOVA",PR!$AO847,IF(F849="MFLASH",PR!$AP847,IF(F849="MORISON",PR!$AQ847,IF(F849="NEMEL",PR!$AR847,IF(F849="NHP",PR!$AS847,IF(F849="NHC",PR!$AT847,IF(F849="OLEAF",PR!$AU847,IF(F849="OCULUS",PR!$AV847,IF(F849="PACIFIC",PR!$AW847,IF(F849="PHAMATEX",PR!$AX847,IF(F849="PETHICS",PR!$AY847,IF(F849="PHILIPS",PR!$AZ847,IF(F849="RANBAXY",PR!$BA847,IF(F849="REALS",PR!$BB847,IF(F849="ROYAL",PR!$BC847,IF(F849="SAM",PR!$BD847,IF(F849="SEAGREEN",PR!$BE847,IF(F849="SKG",PR!$BF847,IF(F849="TAH",PR!$BG847,IF(F849="TAYLEK",PR!$BH847,IF(F849="TEMITA",PR!$BI847,IF(F849="THL",PR!$BJ847,IF(F849="UBASTIC",PR!$BK847,IF(F849="UNION",PR!$BL847,IF(F849="UNIQUE",PR!$BM847,IF(F849="VIXA",PR!$BN847,IF(F849="WWCV",PR!$BO847,IF(F849="ZOLON",PR!$BP847,"-"))))))))))))))))))))))))))))))))))))))))))))))))))))))))))))))))</f>
        <v>-</v>
      </c>
      <c r="F849" s="102"/>
      <c r="G849" s="108" t="str">
        <f>IF(H849="ALPHA",PR!$E847,IF(H849="ASSENE",PR!$F847,IF(H849="BIOFEM",PR!$G847,IF(H849="BIOMED",PR!$H847,IF(H849="CHI",PR!$I847,IF(H849="CLARION",PR!$J847,IF(H849="CODIX",PR!$K847,IF(H849="COSMADE",PR!$L847,IF(H849="SANCON",PR!$M847,IF(H849="DEVON",PR!$N847,IF(H849="DORTEMAG",PR!$O847,IF(H849="DGF",PR!$P847,IF(H849="DYNAMIC",PR!$Q847,IF(H849="EMZOR",PR!$R847,IF(H849="EUMATT",PR!$S847,IF(H849="FIDSON",PR!$T847,IF(H849="FCGLOBAL",PR!$U847,IF(H849="GENEITH",PR!$V847,IF(H849="GINOS",PR!$W847,IF(H849="GSK",PR!$X847,IF(H849="GLOBORG",PR!$Y847,IF(H849="GOODNEWS",PR!$Z847,IF(H849="GREENLIFE",PR!$AA847,IF(H849="HLINE",PR!$AB847,IF(H849="ROTECH",PR!$AC847,IF(H849="ISN",PR!$AD847,IF(H849="JAWA",PR!$AE847,IF(H849="LAYO",PR!$AF847,IF(H849="LEADWAY",PR!$AG847,IF(H849="LHV",PR!$AH847,IF(H849="MANOLA",PR!$AI847,IF(H849="MARCSON",PR!$AJ847,IF(H849="M&amp;B",PR!$AK847,IF(H849="MTRUST",PR!$AL847,IF(H849="MWORLD",PR!$AM847,IF(H849="MEGA",PR!$AN847,IF(H849="MICRONOVA",PR!$AO847,IF(H849="MFLASH",PR!$AP847,IF(H849="MORISON",PR!$AQ847,IF(H849="NEMEL",PR!$AR847,IF(H849="NHP",PR!$AS847,IF(H849="NHC",PR!$AT847,IF(H849="OLEAF",PR!$AU847,IF(H849="OCULUS",PR!$AV847,IF(H849="PACIFIC",PR!$AW847,IF(H849="PHAMATEX",PR!$AX847,IF(H849="PETHICS",PR!$AY847,IF(H849="PHILIPS",PR!$AZ847,IF(H849="RANBAXY",PR!$BA847,IF(H849="REALS",PR!$BB847,IF(H849="ROYAL",PR!$BC847,IF(H849="SAM",PR!$BD847,IF(H849="SEAGREEN",PR!$BE847,IF(H849="SKG",PR!$BF847,IF(H849="TAH",PR!$BG847,IF(H849="TAYLEK",PR!$BH847,IF(H849="TEMITA",PR!$BI847,IF(H849="THL",PR!$BJ847,IF(H849="UBASTIC",PR!$BK847,IF(H849="UNION",PR!$BL847,IF(H849="UNIQUE",PR!$BM847,IF(H849="VIXA",PR!$BN847,IF(H849="WWCV",PR!$BO847,IF(H849="ZOLON",PR!$BP847,"-"))))))))))))))))))))))))))))))))))))))))))))))))))))))))))))))))</f>
        <v>-</v>
      </c>
      <c r="H849" s="102"/>
      <c r="I849" s="108" t="str">
        <f>IF(J849="ALPHA",PR!$E847,IF(J849="ASSENE",PR!$F847,IF(J849="BIOFEM",PR!$G847,IF(J849="BIOMED",PR!$H847,IF(J849="CHI",PR!$I847,IF(J849="CLARION",PR!$J847,IF(J849="CODIX",PR!$K847,IF(J849="COSMADE",PR!$L847,IF(J849="SANCON",PR!$M847,IF(J849="DEVON",PR!$N847,IF(J849="DORTEMAG",PR!$O847,IF(J849="DGF",PR!$P847,IF(J849="DYNAMIC",PR!$Q847,IF(J849="EMZOR",PR!$R847,IF(J849="EUMATT",PR!$S847,IF(J849="FIDSON",PR!$T847,IF(J849="FCGLOBAL",PR!$U847,IF(J849="GENEITH",PR!$V847,IF(J849="GINOS",PR!$W847,IF(J849="GSK",PR!$X847,IF(J849="GLOBORG",PR!$Y847,IF(J849="GOODNEWS",PR!$Z847,IF(J849="GREENLIFE",PR!$AA847,IF(J849="HLINE",PR!$AB847,IF(J849="ROTECH",PR!$AC847,IF(J849="ISN",PR!$AD847,IF(J849="JAWA",PR!$AE847,IF(J849="LAYO",PR!$AF847,IF(J849="LEADWAY",PR!$AG847,IF(J849="LHV",PR!$AH847,IF(J849="MANOLA",PR!$AI847,IF(J849="MARCSON",PR!$AJ847,IF(J849="M&amp;B",PR!$AK847,IF(J849="MTRUST",PR!$AL847,IF(J849="MWORLD",PR!$AM847,IF(J849="MEGA",PR!$AN847,IF(J849="MICRONOVA",PR!$AO847,IF(J849="MFLASH",PR!$AP847,IF(J849="MORISON",PR!$AQ847,IF(J849="NEMEL",PR!$AR847,IF(J849="NHP",PR!$AS847,IF(J849="NHC",PR!$AT847,IF(J849="OLEAF",PR!$AU847,IF(J849="OCULUS",PR!$AV847,IF(J849="PACIFIC",PR!$AW847,IF(J849="PHAMATEX",PR!$AX847,IF(J849="PETHICS",PR!$AY847,IF(J849="PHILIPS",PR!$AZ847,IF(J849="RANBAXY",PR!$BA847,IF(J849="REALS",PR!$BB847,IF(J849="ROYAL",PR!$BC847,IF(J849="SAM",PR!$BD847,IF(J849="SEAGREEN",PR!$BE847,IF(J849="SKG",PR!$BF847,IF(J849="TAH",PR!$BG847,IF(J849="TAYLEK",PR!$BH847,IF(J849="TEMITA",PR!$BI847,IF(J849="THL",PR!$BJ847,IF(J849="UBASTIC",PR!$BK847,IF(J849="UNION",PR!$BL847,IF(J849="UNIQUE",PR!$BM847,IF(J849="VIXA",PR!$BN847,IF(J849="WWCV",PR!$BO847,IF(J849="ZOLON",PR!$BP847,"-"))))))))))))))))))))))))))))))))))))))))))))))))))))))))))))))))</f>
        <v>-</v>
      </c>
      <c r="J849" s="102"/>
      <c r="K849" s="433"/>
      <c r="L849" s="183" t="b">
        <f>IF(K849&gt;0,IF(K849="ALPHA",PR!$E847,IF(K849="ASSENE",PR!$F847,IF(K849="BIOFEM",PR!$G847,IF(K849="BIOMED",PR!$H847,IF(K849="CHI",PR!$I847,IF(K849="CLARION",PR!$J847,IF(K849="CODIX",PR!$K847,IF(K849="COSMADE",PR!$L847,IF(K849="SANCON",PR!$M847,IF(K849="DEVON",PR!$N847,IF(K849="DORTEMAG",PR!$O847,IF(K849="DGF",PR!$P847,IF(K849="DYNAMIC",PR!$Q847,IF(K849="EMZOR",PR!$R847,IF(K849="EUMATT",PR!$S847,IF(K849="FIDSON",PR!$T847,IF(K849="FCGLOBAL",PR!$U847,IF(K849="GENEITH",PR!$V847,IF(K849="GINOS",PR!$W847,IF(K849="GSK",PR!$X847,IF(K849="GLOBORG",PR!$Y847,IF(K849="GOODNEWS",PR!$Z847,IF(K849="GREENLIFE",PR!$AA847,IF(K849="HLINE",PR!$AB847,IF(K849="ROTECH",PR!$AC847,IF(K849="ISN",PR!$AD847,IF(K849="JAWA",PR!$AE847,IF(K849="LAYO",PR!$AF847,IF(K849="LEADWAY",PR!$AG847,IF(K849="LHV",PR!$AH847,IF(K849="MANOLA",PR!$AI847,IF(K849="MARCSON",PR!$AJ847,IF(K849="M&amp;B",PR!$AK847,IF(K849="MTRUST",PR!$AL847,IF(K849="MWORLD",PR!$AM847,IF(K849="MEGA",PR!$AN847,IF(K849="MICRONOVA",PR!$AO847,IF(K849="MFLASH",PR!$AP847,IF(K849="MORISON",PR!$AQ847,IF(K849="NEMEL",PR!$AR847,IF(K849="NHP",PR!$AS847,IF(K849="NHC",PR!$AT847,IF(K849="OLEAF",PR!$AU847,IF(K849="OCULUS",PR!$AV847,IF(K849="PACIFIC",PR!$AW847,IF(K849="PHAMATEX",PR!$AX847,IF(K849="PETHICS",PR!$AY847,IF(K849="PHILIPS",PR!$AZ847,IF(K849="RANBAXY",PR!$BA847,IF(K849="REALS",PR!$BB847,IF(K849="ROYAL",PR!$BC847,IF(K849="SAM",PR!$BD847,IF(K849="SEAGREEN",PR!$BE847,IF(K849="SKG",PR!$BF847,IF(K849="TAH",PR!$BG847,IF(K849="TAYLEK",PR!$BH847,IF(K849="TEMITA",PR!$BI847,IF(K849="THL",PR!$BJ847,IF(K849="UBASTIC",PR!$BK847,IF(K849="UNION",PR!$BL847,IF(K849="UNIQUE",PR!$BM847,IF(K849="VIXA",PR!$BN847,IF(K849="WWCV",PR!$BO847,IF(K849="ZOLON",PR!$BP847,"-")))))))))))))))))))))))))))))))))))))))))))))))))))))))))))))))))</f>
        <v>0</v>
      </c>
    </row>
    <row r="850" spans="1:12" ht="18.75" x14ac:dyDescent="0.3">
      <c r="A850" s="430" t="str">
        <f>PR!A848</f>
        <v>LOT 16</v>
      </c>
      <c r="B850" s="15" t="str">
        <f>PR!B848</f>
        <v>LABORATORY DEPARTMENT - HAEMATOLOGY</v>
      </c>
      <c r="C850" s="113">
        <f>PR!D848</f>
        <v>0</v>
      </c>
      <c r="D850" s="113">
        <f>PR!C848</f>
        <v>0</v>
      </c>
      <c r="E850" s="108" t="str">
        <f>IF(F850="ALPHA",PR!$E848,IF(F850="ASSENE",PR!$F848,IF(F850="BIOFEM",PR!$G848,IF(F850="BIOMED",PR!$H848,IF(F850="CHI",PR!$I848,IF(F850="CLARION",PR!$J848,IF(F850="CODIX",PR!$K848,IF(F850="COSMADE",PR!$L848,IF(F850="SANCON",PR!$M848,IF(F850="DEVON",PR!$N848,IF(F850="DORTEMAG",PR!$O848,IF(F850="DGF",PR!$P848,IF(F850="DYNAMIC",PR!$Q848,IF(F850="EMZOR",PR!$R848,IF(F850="EUMATT",PR!$S848,IF(F850="FIDSON",PR!$T848,IF(F850="FCGLOBAL",PR!$U848,IF(F850="GENEITH",PR!$V848,IF(F850="GINOS",PR!$W848,IF(F850="GSK",PR!$X848,IF(F850="GLOBORG",PR!$Y848,IF(F850="GOODNEWS",PR!$Z848,IF(F850="GREENLIFE",PR!$AA848,IF(F850="HLINE",PR!$AB848,IF(F850="ROTECH",PR!$AC848,IF(F850="ISN",PR!$AD848,IF(F850="JAWA",PR!$AE848,IF(F850="LAYO",PR!$AF848,IF(F850="LEADWAY",PR!$AG848,IF(F850="LHV",PR!$AH848,IF(F850="MANOLA",PR!$AI848,IF(F850="MARCSON",PR!$AJ848,IF(F850="M&amp;B",PR!$AK848,IF(F850="MTRUST",PR!$AL848,IF(F850="MWORLD",PR!$AM848,IF(F850="MEGA",PR!$AN848,IF(F850="MICRONOVA",PR!$AO848,IF(F850="MFLASH",PR!$AP848,IF(F850="MORISON",PR!$AQ848,IF(F850="NEMEL",PR!$AR848,IF(F850="NHP",PR!$AS848,IF(F850="NHC",PR!$AT848,IF(F850="OLEAF",PR!$AU848,IF(F850="OCULUS",PR!$AV848,IF(F850="PACIFIC",PR!$AW848,IF(F850="PHAMATEX",PR!$AX848,IF(F850="PETHICS",PR!$AY848,IF(F850="PHILIPS",PR!$AZ848,IF(F850="RANBAXY",PR!$BA848,IF(F850="REALS",PR!$BB848,IF(F850="ROYAL",PR!$BC848,IF(F850="SAM",PR!$BD848,IF(F850="SEAGREEN",PR!$BE848,IF(F850="SKG",PR!$BF848,IF(F850="TAH",PR!$BG848,IF(F850="TAYLEK",PR!$BH848,IF(F850="TEMITA",PR!$BI848,IF(F850="THL",PR!$BJ848,IF(F850="UBASTIC",PR!$BK848,IF(F850="UNION",PR!$BL848,IF(F850="UNIQUE",PR!$BM848,IF(F850="VIXA",PR!$BN848,IF(F850="WWCV",PR!$BO848,IF(F850="ZOLON",PR!$BP848,"-"))))))))))))))))))))))))))))))))))))))))))))))))))))))))))))))))</f>
        <v>-</v>
      </c>
      <c r="F850" s="102"/>
      <c r="G850" s="108" t="str">
        <f>IF(H850="ALPHA",PR!$E848,IF(H850="ASSENE",PR!$F848,IF(H850="BIOFEM",PR!$G848,IF(H850="BIOMED",PR!$H848,IF(H850="CHI",PR!$I848,IF(H850="CLARION",PR!$J848,IF(H850="CODIX",PR!$K848,IF(H850="COSMADE",PR!$L848,IF(H850="SANCON",PR!$M848,IF(H850="DEVON",PR!$N848,IF(H850="DORTEMAG",PR!$O848,IF(H850="DGF",PR!$P848,IF(H850="DYNAMIC",PR!$Q848,IF(H850="EMZOR",PR!$R848,IF(H850="EUMATT",PR!$S848,IF(H850="FIDSON",PR!$T848,IF(H850="FCGLOBAL",PR!$U848,IF(H850="GENEITH",PR!$V848,IF(H850="GINOS",PR!$W848,IF(H850="GSK",PR!$X848,IF(H850="GLOBORG",PR!$Y848,IF(H850="GOODNEWS",PR!$Z848,IF(H850="GREENLIFE",PR!$AA848,IF(H850="HLINE",PR!$AB848,IF(H850="ROTECH",PR!$AC848,IF(H850="ISN",PR!$AD848,IF(H850="JAWA",PR!$AE848,IF(H850="LAYO",PR!$AF848,IF(H850="LEADWAY",PR!$AG848,IF(H850="LHV",PR!$AH848,IF(H850="MANOLA",PR!$AI848,IF(H850="MARCSON",PR!$AJ848,IF(H850="M&amp;B",PR!$AK848,IF(H850="MTRUST",PR!$AL848,IF(H850="MWORLD",PR!$AM848,IF(H850="MEGA",PR!$AN848,IF(H850="MICRONOVA",PR!$AO848,IF(H850="MFLASH",PR!$AP848,IF(H850="MORISON",PR!$AQ848,IF(H850="NEMEL",PR!$AR848,IF(H850="NHP",PR!$AS848,IF(H850="NHC",PR!$AT848,IF(H850="OLEAF",PR!$AU848,IF(H850="OCULUS",PR!$AV848,IF(H850="PACIFIC",PR!$AW848,IF(H850="PHAMATEX",PR!$AX848,IF(H850="PETHICS",PR!$AY848,IF(H850="PHILIPS",PR!$AZ848,IF(H850="RANBAXY",PR!$BA848,IF(H850="REALS",PR!$BB848,IF(H850="ROYAL",PR!$BC848,IF(H850="SAM",PR!$BD848,IF(H850="SEAGREEN",PR!$BE848,IF(H850="SKG",PR!$BF848,IF(H850="TAH",PR!$BG848,IF(H850="TAYLEK",PR!$BH848,IF(H850="TEMITA",PR!$BI848,IF(H850="THL",PR!$BJ848,IF(H850="UBASTIC",PR!$BK848,IF(H850="UNION",PR!$BL848,IF(H850="UNIQUE",PR!$BM848,IF(H850="VIXA",PR!$BN848,IF(H850="WWCV",PR!$BO848,IF(H850="ZOLON",PR!$BP848,"-"))))))))))))))))))))))))))))))))))))))))))))))))))))))))))))))))</f>
        <v>-</v>
      </c>
      <c r="H850" s="102"/>
      <c r="I850" s="108" t="str">
        <f>IF(J850="ALPHA",PR!$E848,IF(J850="ASSENE",PR!$F848,IF(J850="BIOFEM",PR!$G848,IF(J850="BIOMED",PR!$H848,IF(J850="CHI",PR!$I848,IF(J850="CLARION",PR!$J848,IF(J850="CODIX",PR!$K848,IF(J850="COSMADE",PR!$L848,IF(J850="SANCON",PR!$M848,IF(J850="DEVON",PR!$N848,IF(J850="DORTEMAG",PR!$O848,IF(J850="DGF",PR!$P848,IF(J850="DYNAMIC",PR!$Q848,IF(J850="EMZOR",PR!$R848,IF(J850="EUMATT",PR!$S848,IF(J850="FIDSON",PR!$T848,IF(J850="FCGLOBAL",PR!$U848,IF(J850="GENEITH",PR!$V848,IF(J850="GINOS",PR!$W848,IF(J850="GSK",PR!$X848,IF(J850="GLOBORG",PR!$Y848,IF(J850="GOODNEWS",PR!$Z848,IF(J850="GREENLIFE",PR!$AA848,IF(J850="HLINE",PR!$AB848,IF(J850="ROTECH",PR!$AC848,IF(J850="ISN",PR!$AD848,IF(J850="JAWA",PR!$AE848,IF(J850="LAYO",PR!$AF848,IF(J850="LEADWAY",PR!$AG848,IF(J850="LHV",PR!$AH848,IF(J850="MANOLA",PR!$AI848,IF(J850="MARCSON",PR!$AJ848,IF(J850="M&amp;B",PR!$AK848,IF(J850="MTRUST",PR!$AL848,IF(J850="MWORLD",PR!$AM848,IF(J850="MEGA",PR!$AN848,IF(J850="MICRONOVA",PR!$AO848,IF(J850="MFLASH",PR!$AP848,IF(J850="MORISON",PR!$AQ848,IF(J850="NEMEL",PR!$AR848,IF(J850="NHP",PR!$AS848,IF(J850="NHC",PR!$AT848,IF(J850="OLEAF",PR!$AU848,IF(J850="OCULUS",PR!$AV848,IF(J850="PACIFIC",PR!$AW848,IF(J850="PHAMATEX",PR!$AX848,IF(J850="PETHICS",PR!$AY848,IF(J850="PHILIPS",PR!$AZ848,IF(J850="RANBAXY",PR!$BA848,IF(J850="REALS",PR!$BB848,IF(J850="ROYAL",PR!$BC848,IF(J850="SAM",PR!$BD848,IF(J850="SEAGREEN",PR!$BE848,IF(J850="SKG",PR!$BF848,IF(J850="TAH",PR!$BG848,IF(J850="TAYLEK",PR!$BH848,IF(J850="TEMITA",PR!$BI848,IF(J850="THL",PR!$BJ848,IF(J850="UBASTIC",PR!$BK848,IF(J850="UNION",PR!$BL848,IF(J850="UNIQUE",PR!$BM848,IF(J850="VIXA",PR!$BN848,IF(J850="WWCV",PR!$BO848,IF(J850="ZOLON",PR!$BP848,"-"))))))))))))))))))))))))))))))))))))))))))))))))))))))))))))))))</f>
        <v>-</v>
      </c>
      <c r="J850" s="102"/>
      <c r="K850" s="433"/>
      <c r="L850" s="183" t="b">
        <f>IF(K850&gt;0,IF(K850="ALPHA",PR!$E848,IF(K850="ASSENE",PR!$F848,IF(K850="BIOFEM",PR!$G848,IF(K850="BIOMED",PR!$H848,IF(K850="CHI",PR!$I848,IF(K850="CLARION",PR!$J848,IF(K850="CODIX",PR!$K848,IF(K850="COSMADE",PR!$L848,IF(K850="SANCON",PR!$M848,IF(K850="DEVON",PR!$N848,IF(K850="DORTEMAG",PR!$O848,IF(K850="DGF",PR!$P848,IF(K850="DYNAMIC",PR!$Q848,IF(K850="EMZOR",PR!$R848,IF(K850="EUMATT",PR!$S848,IF(K850="FIDSON",PR!$T848,IF(K850="FCGLOBAL",PR!$U848,IF(K850="GENEITH",PR!$V848,IF(K850="GINOS",PR!$W848,IF(K850="GSK",PR!$X848,IF(K850="GLOBORG",PR!$Y848,IF(K850="GOODNEWS",PR!$Z848,IF(K850="GREENLIFE",PR!$AA848,IF(K850="HLINE",PR!$AB848,IF(K850="ROTECH",PR!$AC848,IF(K850="ISN",PR!$AD848,IF(K850="JAWA",PR!$AE848,IF(K850="LAYO",PR!$AF848,IF(K850="LEADWAY",PR!$AG848,IF(K850="LHV",PR!$AH848,IF(K850="MANOLA",PR!$AI848,IF(K850="MARCSON",PR!$AJ848,IF(K850="M&amp;B",PR!$AK848,IF(K850="MTRUST",PR!$AL848,IF(K850="MWORLD",PR!$AM848,IF(K850="MEGA",PR!$AN848,IF(K850="MICRONOVA",PR!$AO848,IF(K850="MFLASH",PR!$AP848,IF(K850="MORISON",PR!$AQ848,IF(K850="NEMEL",PR!$AR848,IF(K850="NHP",PR!$AS848,IF(K850="NHC",PR!$AT848,IF(K850="OLEAF",PR!$AU848,IF(K850="OCULUS",PR!$AV848,IF(K850="PACIFIC",PR!$AW848,IF(K850="PHAMATEX",PR!$AX848,IF(K850="PETHICS",PR!$AY848,IF(K850="PHILIPS",PR!$AZ848,IF(K850="RANBAXY",PR!$BA848,IF(K850="REALS",PR!$BB848,IF(K850="ROYAL",PR!$BC848,IF(K850="SAM",PR!$BD848,IF(K850="SEAGREEN",PR!$BE848,IF(K850="SKG",PR!$BF848,IF(K850="TAH",PR!$BG848,IF(K850="TAYLEK",PR!$BH848,IF(K850="TEMITA",PR!$BI848,IF(K850="THL",PR!$BJ848,IF(K850="UBASTIC",PR!$BK848,IF(K850="UNION",PR!$BL848,IF(K850="UNIQUE",PR!$BM848,IF(K850="VIXA",PR!$BN848,IF(K850="WWCV",PR!$BO848,IF(K850="ZOLON",PR!$BP848,"-")))))))))))))))))))))))))))))))))))))))))))))))))))))))))))))))))</f>
        <v>0</v>
      </c>
    </row>
    <row r="851" spans="1:12" ht="18.75" x14ac:dyDescent="0.3">
      <c r="A851" s="430">
        <f>PR!A849</f>
        <v>0</v>
      </c>
      <c r="B851" s="15">
        <f>PR!B849</f>
        <v>0</v>
      </c>
      <c r="C851" s="113">
        <f>PR!D849</f>
        <v>0</v>
      </c>
      <c r="D851" s="113">
        <f>PR!C849</f>
        <v>0</v>
      </c>
      <c r="E851" s="108" t="str">
        <f>IF(F851="ALPHA",PR!$E849,IF(F851="ASSENE",PR!$F849,IF(F851="BIOFEM",PR!$G849,IF(F851="BIOMED",PR!$H849,IF(F851="CHI",PR!$I849,IF(F851="CLARION",PR!$J849,IF(F851="CODIX",PR!$K849,IF(F851="COSMADE",PR!$L849,IF(F851="SANCON",PR!$M849,IF(F851="DEVON",PR!$N849,IF(F851="DORTEMAG",PR!$O849,IF(F851="DGF",PR!$P849,IF(F851="DYNAMIC",PR!$Q849,IF(F851="EMZOR",PR!$R849,IF(F851="EUMATT",PR!$S849,IF(F851="FIDSON",PR!$T849,IF(F851="FCGLOBAL",PR!$U849,IF(F851="GENEITH",PR!$V849,IF(F851="GINOS",PR!$W849,IF(F851="GSK",PR!$X849,IF(F851="GLOBORG",PR!$Y849,IF(F851="GOODNEWS",PR!$Z849,IF(F851="GREENLIFE",PR!$AA849,IF(F851="HLINE",PR!$AB849,IF(F851="ROTECH",PR!$AC849,IF(F851="ISN",PR!$AD849,IF(F851="JAWA",PR!$AE849,IF(F851="LAYO",PR!$AF849,IF(F851="LEADWAY",PR!$AG849,IF(F851="LHV",PR!$AH849,IF(F851="MANOLA",PR!$AI849,IF(F851="MARCSON",PR!$AJ849,IF(F851="M&amp;B",PR!$AK849,IF(F851="MTRUST",PR!$AL849,IF(F851="MWORLD",PR!$AM849,IF(F851="MEGA",PR!$AN849,IF(F851="MICRONOVA",PR!$AO849,IF(F851="MFLASH",PR!$AP849,IF(F851="MORISON",PR!$AQ849,IF(F851="NEMEL",PR!$AR849,IF(F851="NHP",PR!$AS849,IF(F851="NHC",PR!$AT849,IF(F851="OLEAF",PR!$AU849,IF(F851="OCULUS",PR!$AV849,IF(F851="PACIFIC",PR!$AW849,IF(F851="PHAMATEX",PR!$AX849,IF(F851="PETHICS",PR!$AY849,IF(F851="PHILIPS",PR!$AZ849,IF(F851="RANBAXY",PR!$BA849,IF(F851="REALS",PR!$BB849,IF(F851="ROYAL",PR!$BC849,IF(F851="SAM",PR!$BD849,IF(F851="SEAGREEN",PR!$BE849,IF(F851="SKG",PR!$BF849,IF(F851="TAH",PR!$BG849,IF(F851="TAYLEK",PR!$BH849,IF(F851="TEMITA",PR!$BI849,IF(F851="THL",PR!$BJ849,IF(F851="UBASTIC",PR!$BK849,IF(F851="UNION",PR!$BL849,IF(F851="UNIQUE",PR!$BM849,IF(F851="VIXA",PR!$BN849,IF(F851="WWCV",PR!$BO849,IF(F851="ZOLON",PR!$BP849,"-"))))))))))))))))))))))))))))))))))))))))))))))))))))))))))))))))</f>
        <v>-</v>
      </c>
      <c r="F851" s="102"/>
      <c r="G851" s="108" t="str">
        <f>IF(H851="ALPHA",PR!$E849,IF(H851="ASSENE",PR!$F849,IF(H851="BIOFEM",PR!$G849,IF(H851="BIOMED",PR!$H849,IF(H851="CHI",PR!$I849,IF(H851="CLARION",PR!$J849,IF(H851="CODIX",PR!$K849,IF(H851="COSMADE",PR!$L849,IF(H851="SANCON",PR!$M849,IF(H851="DEVON",PR!$N849,IF(H851="DORTEMAG",PR!$O849,IF(H851="DGF",PR!$P849,IF(H851="DYNAMIC",PR!$Q849,IF(H851="EMZOR",PR!$R849,IF(H851="EUMATT",PR!$S849,IF(H851="FIDSON",PR!$T849,IF(H851="FCGLOBAL",PR!$U849,IF(H851="GENEITH",PR!$V849,IF(H851="GINOS",PR!$W849,IF(H851="GSK",PR!$X849,IF(H851="GLOBORG",PR!$Y849,IF(H851="GOODNEWS",PR!$Z849,IF(H851="GREENLIFE",PR!$AA849,IF(H851="HLINE",PR!$AB849,IF(H851="ROTECH",PR!$AC849,IF(H851="ISN",PR!$AD849,IF(H851="JAWA",PR!$AE849,IF(H851="LAYO",PR!$AF849,IF(H851="LEADWAY",PR!$AG849,IF(H851="LHV",PR!$AH849,IF(H851="MANOLA",PR!$AI849,IF(H851="MARCSON",PR!$AJ849,IF(H851="M&amp;B",PR!$AK849,IF(H851="MTRUST",PR!$AL849,IF(H851="MWORLD",PR!$AM849,IF(H851="MEGA",PR!$AN849,IF(H851="MICRONOVA",PR!$AO849,IF(H851="MFLASH",PR!$AP849,IF(H851="MORISON",PR!$AQ849,IF(H851="NEMEL",PR!$AR849,IF(H851="NHP",PR!$AS849,IF(H851="NHC",PR!$AT849,IF(H851="OLEAF",PR!$AU849,IF(H851="OCULUS",PR!$AV849,IF(H851="PACIFIC",PR!$AW849,IF(H851="PHAMATEX",PR!$AX849,IF(H851="PETHICS",PR!$AY849,IF(H851="PHILIPS",PR!$AZ849,IF(H851="RANBAXY",PR!$BA849,IF(H851="REALS",PR!$BB849,IF(H851="ROYAL",PR!$BC849,IF(H851="SAM",PR!$BD849,IF(H851="SEAGREEN",PR!$BE849,IF(H851="SKG",PR!$BF849,IF(H851="TAH",PR!$BG849,IF(H851="TAYLEK",PR!$BH849,IF(H851="TEMITA",PR!$BI849,IF(H851="THL",PR!$BJ849,IF(H851="UBASTIC",PR!$BK849,IF(H851="UNION",PR!$BL849,IF(H851="UNIQUE",PR!$BM849,IF(H851="VIXA",PR!$BN849,IF(H851="WWCV",PR!$BO849,IF(H851="ZOLON",PR!$BP849,"-"))))))))))))))))))))))))))))))))))))))))))))))))))))))))))))))))</f>
        <v>-</v>
      </c>
      <c r="H851" s="102"/>
      <c r="I851" s="108" t="str">
        <f>IF(J851="ALPHA",PR!$E849,IF(J851="ASSENE",PR!$F849,IF(J851="BIOFEM",PR!$G849,IF(J851="BIOMED",PR!$H849,IF(J851="CHI",PR!$I849,IF(J851="CLARION",PR!$J849,IF(J851="CODIX",PR!$K849,IF(J851="COSMADE",PR!$L849,IF(J851="SANCON",PR!$M849,IF(J851="DEVON",PR!$N849,IF(J851="DORTEMAG",PR!$O849,IF(J851="DGF",PR!$P849,IF(J851="DYNAMIC",PR!$Q849,IF(J851="EMZOR",PR!$R849,IF(J851="EUMATT",PR!$S849,IF(J851="FIDSON",PR!$T849,IF(J851="FCGLOBAL",PR!$U849,IF(J851="GENEITH",PR!$V849,IF(J851="GINOS",PR!$W849,IF(J851="GSK",PR!$X849,IF(J851="GLOBORG",PR!$Y849,IF(J851="GOODNEWS",PR!$Z849,IF(J851="GREENLIFE",PR!$AA849,IF(J851="HLINE",PR!$AB849,IF(J851="ROTECH",PR!$AC849,IF(J851="ISN",PR!$AD849,IF(J851="JAWA",PR!$AE849,IF(J851="LAYO",PR!$AF849,IF(J851="LEADWAY",PR!$AG849,IF(J851="LHV",PR!$AH849,IF(J851="MANOLA",PR!$AI849,IF(J851="MARCSON",PR!$AJ849,IF(J851="M&amp;B",PR!$AK849,IF(J851="MTRUST",PR!$AL849,IF(J851="MWORLD",PR!$AM849,IF(J851="MEGA",PR!$AN849,IF(J851="MICRONOVA",PR!$AO849,IF(J851="MFLASH",PR!$AP849,IF(J851="MORISON",PR!$AQ849,IF(J851="NEMEL",PR!$AR849,IF(J851="NHP",PR!$AS849,IF(J851="NHC",PR!$AT849,IF(J851="OLEAF",PR!$AU849,IF(J851="OCULUS",PR!$AV849,IF(J851="PACIFIC",PR!$AW849,IF(J851="PHAMATEX",PR!$AX849,IF(J851="PETHICS",PR!$AY849,IF(J851="PHILIPS",PR!$AZ849,IF(J851="RANBAXY",PR!$BA849,IF(J851="REALS",PR!$BB849,IF(J851="ROYAL",PR!$BC849,IF(J851="SAM",PR!$BD849,IF(J851="SEAGREEN",PR!$BE849,IF(J851="SKG",PR!$BF849,IF(J851="TAH",PR!$BG849,IF(J851="TAYLEK",PR!$BH849,IF(J851="TEMITA",PR!$BI849,IF(J851="THL",PR!$BJ849,IF(J851="UBASTIC",PR!$BK849,IF(J851="UNION",PR!$BL849,IF(J851="UNIQUE",PR!$BM849,IF(J851="VIXA",PR!$BN849,IF(J851="WWCV",PR!$BO849,IF(J851="ZOLON",PR!$BP849,"-"))))))))))))))))))))))))))))))))))))))))))))))))))))))))))))))))</f>
        <v>-</v>
      </c>
      <c r="J851" s="102"/>
      <c r="K851" s="433"/>
      <c r="L851" s="183" t="b">
        <f>IF(K851&gt;0,IF(K851="ALPHA",PR!$E849,IF(K851="ASSENE",PR!$F849,IF(K851="BIOFEM",PR!$G849,IF(K851="BIOMED",PR!$H849,IF(K851="CHI",PR!$I849,IF(K851="CLARION",PR!$J849,IF(K851="CODIX",PR!$K849,IF(K851="COSMADE",PR!$L849,IF(K851="SANCON",PR!$M849,IF(K851="DEVON",PR!$N849,IF(K851="DORTEMAG",PR!$O849,IF(K851="DGF",PR!$P849,IF(K851="DYNAMIC",PR!$Q849,IF(K851="EMZOR",PR!$R849,IF(K851="EUMATT",PR!$S849,IF(K851="FIDSON",PR!$T849,IF(K851="FCGLOBAL",PR!$U849,IF(K851="GENEITH",PR!$V849,IF(K851="GINOS",PR!$W849,IF(K851="GSK",PR!$X849,IF(K851="GLOBORG",PR!$Y849,IF(K851="GOODNEWS",PR!$Z849,IF(K851="GREENLIFE",PR!$AA849,IF(K851="HLINE",PR!$AB849,IF(K851="ROTECH",PR!$AC849,IF(K851="ISN",PR!$AD849,IF(K851="JAWA",PR!$AE849,IF(K851="LAYO",PR!$AF849,IF(K851="LEADWAY",PR!$AG849,IF(K851="LHV",PR!$AH849,IF(K851="MANOLA",PR!$AI849,IF(K851="MARCSON",PR!$AJ849,IF(K851="M&amp;B",PR!$AK849,IF(K851="MTRUST",PR!$AL849,IF(K851="MWORLD",PR!$AM849,IF(K851="MEGA",PR!$AN849,IF(K851="MICRONOVA",PR!$AO849,IF(K851="MFLASH",PR!$AP849,IF(K851="MORISON",PR!$AQ849,IF(K851="NEMEL",PR!$AR849,IF(K851="NHP",PR!$AS849,IF(K851="NHC",PR!$AT849,IF(K851="OLEAF",PR!$AU849,IF(K851="OCULUS",PR!$AV849,IF(K851="PACIFIC",PR!$AW849,IF(K851="PHAMATEX",PR!$AX849,IF(K851="PETHICS",PR!$AY849,IF(K851="PHILIPS",PR!$AZ849,IF(K851="RANBAXY",PR!$BA849,IF(K851="REALS",PR!$BB849,IF(K851="ROYAL",PR!$BC849,IF(K851="SAM",PR!$BD849,IF(K851="SEAGREEN",PR!$BE849,IF(K851="SKG",PR!$BF849,IF(K851="TAH",PR!$BG849,IF(K851="TAYLEK",PR!$BH849,IF(K851="TEMITA",PR!$BI849,IF(K851="THL",PR!$BJ849,IF(K851="UBASTIC",PR!$BK849,IF(K851="UNION",PR!$BL849,IF(K851="UNIQUE",PR!$BM849,IF(K851="VIXA",PR!$BN849,IF(K851="WWCV",PR!$BO849,IF(K851="ZOLON",PR!$BP849,"-")))))))))))))))))))))))))))))))))))))))))))))))))))))))))))))))))</f>
        <v>0</v>
      </c>
    </row>
    <row r="852" spans="1:12" ht="18.75" x14ac:dyDescent="0.3">
      <c r="A852" s="430">
        <f>PR!A850</f>
        <v>760</v>
      </c>
      <c r="B852" s="15" t="str">
        <f>PR!B850</f>
        <v>PASTURE PIPETTE (DISPOSABLE)</v>
      </c>
      <c r="C852" s="113" t="str">
        <f>PR!D850</f>
        <v>1 pack of 100</v>
      </c>
      <c r="D852" s="113">
        <f>PR!C850</f>
        <v>3</v>
      </c>
      <c r="E852" s="108">
        <f>IF(F852="ALPHA",PR!$E850,IF(F852="ASSENE",PR!$F850,IF(F852="BIOFEM",PR!$G850,IF(F852="BIOMED",PR!$H850,IF(F852="CHI",PR!$I850,IF(F852="CLARION",PR!$J850,IF(F852="CODIX",PR!$K850,IF(F852="COSMADE",PR!$L850,IF(F852="SANCON",PR!$M850,IF(F852="DEVON",PR!$N850,IF(F852="DORTEMAG",PR!$O850,IF(F852="DGF",PR!$P850,IF(F852="DYNAMIC",PR!$Q850,IF(F852="EMZOR",PR!$R850,IF(F852="EUMATT",PR!$S850,IF(F852="FIDSON",PR!$T850,IF(F852="FCGLOBAL",PR!$U850,IF(F852="GENEITH",PR!$V850,IF(F852="GINOS",PR!$W850,IF(F852="GSK",PR!$X850,IF(F852="GLOBORG",PR!$Y850,IF(F852="GOODNEWS",PR!$Z850,IF(F852="GREENLIFE",PR!$AA850,IF(F852="HLINE",PR!$AB850,IF(F852="ROTECH",PR!$AC850,IF(F852="ISN",PR!$AD850,IF(F852="JAWA",PR!$AE850,IF(F852="LAYO",PR!$AF850,IF(F852="LEADWAY",PR!$AG850,IF(F852="LHV",PR!$AH850,IF(F852="MANOLA",PR!$AI850,IF(F852="MARCSON",PR!$AJ850,IF(F852="M&amp;B",PR!$AK850,IF(F852="MTRUST",PR!$AL850,IF(F852="MWORLD",PR!$AM850,IF(F852="MEGA",PR!$AN850,IF(F852="MICRONOVA",PR!$AO850,IF(F852="MFLASH",PR!$AP850,IF(F852="MORISON",PR!$AQ850,IF(F852="NEMEL",PR!$AR850,IF(F852="NHP",PR!$AS850,IF(F852="NHC",PR!$AT850,IF(F852="OLEAF",PR!$AU850,IF(F852="OCULUS",PR!$AV850,IF(F852="PACIFIC",PR!$AW850,IF(F852="PHAMATEX",PR!$AX850,IF(F852="PETHICS",PR!$AY850,IF(F852="PHILIPS",PR!$AZ850,IF(F852="RANBAXY",PR!$BA850,IF(F852="REALS",PR!$BB850,IF(F852="ROYAL",PR!$BC850,IF(F852="SAM",PR!$BD850,IF(F852="SEAGREEN",PR!$BE850,IF(F852="SKG",PR!$BF850,IF(F852="TAH",PR!$BG850,IF(F852="TAYLEK",PR!$BH850,IF(F852="TEMITA",PR!$BI850,IF(F852="THL",PR!$BJ850,IF(F852="UBASTIC",PR!$BK850,IF(F852="UNION",PR!$BL850,IF(F852="UNIQUE",PR!$BM850,IF(F852="VIXA",PR!$BN850,IF(F852="WWCV",PR!$BO850,IF(F852="ZOLON",PR!$BP850,"-"))))))))))))))))))))))))))))))))))))))))))))))))))))))))))))))))</f>
        <v>1000</v>
      </c>
      <c r="F852" s="102" t="str">
        <f>EV!L1069</f>
        <v>DYNAMIC</v>
      </c>
      <c r="G852" s="108">
        <f>IF(H852="ALPHA",PR!$E850,IF(H852="ASSENE",PR!$F850,IF(H852="BIOFEM",PR!$G850,IF(H852="BIOMED",PR!$H850,IF(H852="CHI",PR!$I850,IF(H852="CLARION",PR!$J850,IF(H852="CODIX",PR!$K850,IF(H852="COSMADE",PR!$L850,IF(H852="SANCON",PR!$M850,IF(H852="DEVON",PR!$N850,IF(H852="DORTEMAG",PR!$O850,IF(H852="DGF",PR!$P850,IF(H852="DYNAMIC",PR!$Q850,IF(H852="EMZOR",PR!$R850,IF(H852="EUMATT",PR!$S850,IF(H852="FIDSON",PR!$T850,IF(H852="FCGLOBAL",PR!$U850,IF(H852="GENEITH",PR!$V850,IF(H852="GINOS",PR!$W850,IF(H852="GSK",PR!$X850,IF(H852="GLOBORG",PR!$Y850,IF(H852="GOODNEWS",PR!$Z850,IF(H852="GREENLIFE",PR!$AA850,IF(H852="HLINE",PR!$AB850,IF(H852="ROTECH",PR!$AC850,IF(H852="ISN",PR!$AD850,IF(H852="JAWA",PR!$AE850,IF(H852="LAYO",PR!$AF850,IF(H852="LEADWAY",PR!$AG850,IF(H852="LHV",PR!$AH850,IF(H852="MANOLA",PR!$AI850,IF(H852="MARCSON",PR!$AJ850,IF(H852="M&amp;B",PR!$AK850,IF(H852="MTRUST",PR!$AL850,IF(H852="MWORLD",PR!$AM850,IF(H852="MEGA",PR!$AN850,IF(H852="MICRONOVA",PR!$AO850,IF(H852="MFLASH",PR!$AP850,IF(H852="MORISON",PR!$AQ850,IF(H852="NEMEL",PR!$AR850,IF(H852="NHP",PR!$AS850,IF(H852="NHC",PR!$AT850,IF(H852="OLEAF",PR!$AU850,IF(H852="OCULUS",PR!$AV850,IF(H852="PACIFIC",PR!$AW850,IF(H852="PHAMATEX",PR!$AX850,IF(H852="PETHICS",PR!$AY850,IF(H852="PHILIPS",PR!$AZ850,IF(H852="RANBAXY",PR!$BA850,IF(H852="REALS",PR!$BB850,IF(H852="ROYAL",PR!$BC850,IF(H852="SAM",PR!$BD850,IF(H852="SEAGREEN",PR!$BE850,IF(H852="SKG",PR!$BF850,IF(H852="TAH",PR!$BG850,IF(H852="TAYLEK",PR!$BH850,IF(H852="TEMITA",PR!$BI850,IF(H852="THL",PR!$BJ850,IF(H852="UBASTIC",PR!$BK850,IF(H852="UNION",PR!$BL850,IF(H852="UNIQUE",PR!$BM850,IF(H852="VIXA",PR!$BN850,IF(H852="WWCV",PR!$BO850,IF(H852="ZOLON",PR!$BP850,"-"))))))))))))))))))))))))))))))))))))))))))))))))))))))))))))))))</f>
        <v>1170</v>
      </c>
      <c r="H852" s="102" t="str">
        <f>EV!M1069</f>
        <v>LAYO</v>
      </c>
      <c r="I852" s="108">
        <f>IF(J852="ALPHA",PR!$E850,IF(J852="ASSENE",PR!$F850,IF(J852="BIOFEM",PR!$G850,IF(J852="BIOMED",PR!$H850,IF(J852="CHI",PR!$I850,IF(J852="CLARION",PR!$J850,IF(J852="CODIX",PR!$K850,IF(J852="COSMADE",PR!$L850,IF(J852="SANCON",PR!$M850,IF(J852="DEVON",PR!$N850,IF(J852="DORTEMAG",PR!$O850,IF(J852="DGF",PR!$P850,IF(J852="DYNAMIC",PR!$Q850,IF(J852="EMZOR",PR!$R850,IF(J852="EUMATT",PR!$S850,IF(J852="FIDSON",PR!$T850,IF(J852="FCGLOBAL",PR!$U850,IF(J852="GENEITH",PR!$V850,IF(J852="GINOS",PR!$W850,IF(J852="GSK",PR!$X850,IF(J852="GLOBORG",PR!$Y850,IF(J852="GOODNEWS",PR!$Z850,IF(J852="GREENLIFE",PR!$AA850,IF(J852="HLINE",PR!$AB850,IF(J852="ROTECH",PR!$AC850,IF(J852="ISN",PR!$AD850,IF(J852="JAWA",PR!$AE850,IF(J852="LAYO",PR!$AF850,IF(J852="LEADWAY",PR!$AG850,IF(J852="LHV",PR!$AH850,IF(J852="MANOLA",PR!$AI850,IF(J852="MARCSON",PR!$AJ850,IF(J852="M&amp;B",PR!$AK850,IF(J852="MTRUST",PR!$AL850,IF(J852="MWORLD",PR!$AM850,IF(J852="MEGA",PR!$AN850,IF(J852="MICRONOVA",PR!$AO850,IF(J852="MFLASH",PR!$AP850,IF(J852="MORISON",PR!$AQ850,IF(J852="NEMEL",PR!$AR850,IF(J852="NHP",PR!$AS850,IF(J852="NHC",PR!$AT850,IF(J852="OLEAF",PR!$AU850,IF(J852="OCULUS",PR!$AV850,IF(J852="PACIFIC",PR!$AW850,IF(J852="PHAMATEX",PR!$AX850,IF(J852="PETHICS",PR!$AY850,IF(J852="PHILIPS",PR!$AZ850,IF(J852="RANBAXY",PR!$BA850,IF(J852="REALS",PR!$BB850,IF(J852="ROYAL",PR!$BC850,IF(J852="SAM",PR!$BD850,IF(J852="SEAGREEN",PR!$BE850,IF(J852="SKG",PR!$BF850,IF(J852="TAH",PR!$BG850,IF(J852="TAYLEK",PR!$BH850,IF(J852="TEMITA",PR!$BI850,IF(J852="THL",PR!$BJ850,IF(J852="UBASTIC",PR!$BK850,IF(J852="UNION",PR!$BL850,IF(J852="UNIQUE",PR!$BM850,IF(J852="VIXA",PR!$BN850,IF(J852="WWCV",PR!$BO850,IF(J852="ZOLON",PR!$BP850,"-"))))))))))))))))))))))))))))))))))))))))))))))))))))))))))))))))</f>
        <v>5000</v>
      </c>
      <c r="J852" s="102" t="str">
        <f>EV!N1069</f>
        <v>COSMADE</v>
      </c>
      <c r="K852" s="433" t="s">
        <v>626</v>
      </c>
      <c r="L852" s="183">
        <f>IF(K852&gt;0,IF(K852="ALPHA",PR!$E850,IF(K852="ASSENE",PR!$F850,IF(K852="BIOFEM",PR!$G850,IF(K852="BIOMED",PR!$H850,IF(K852="CHI",PR!$I850,IF(K852="CLARION",PR!$J850,IF(K852="CODIX",PR!$K850,IF(K852="COSMADE",PR!$L850,IF(K852="SANCON",PR!$M850,IF(K852="DEVON",PR!$N850,IF(K852="DORTEMAG",PR!$O850,IF(K852="DGF",PR!$P850,IF(K852="DYNAMIC",PR!$Q850,IF(K852="EMZOR",PR!$R850,IF(K852="EUMATT",PR!$S850,IF(K852="FIDSON",PR!$T850,IF(K852="FCGLOBAL",PR!$U850,IF(K852="GENEITH",PR!$V850,IF(K852="GINOS",PR!$W850,IF(K852="GSK",PR!$X850,IF(K852="GLOBORG",PR!$Y850,IF(K852="GOODNEWS",PR!$Z850,IF(K852="GREENLIFE",PR!$AA850,IF(K852="HLINE",PR!$AB850,IF(K852="ROTECH",PR!$AC850,IF(K852="ISN",PR!$AD850,IF(K852="JAWA",PR!$AE850,IF(K852="LAYO",PR!$AF850,IF(K852="LEADWAY",PR!$AG850,IF(K852="LHV",PR!$AH850,IF(K852="MANOLA",PR!$AI850,IF(K852="MARCSON",PR!$AJ850,IF(K852="M&amp;B",PR!$AK850,IF(K852="MTRUST",PR!$AL850,IF(K852="MWORLD",PR!$AM850,IF(K852="MEGA",PR!$AN850,IF(K852="MICRONOVA",PR!$AO850,IF(K852="MFLASH",PR!$AP850,IF(K852="MORISON",PR!$AQ850,IF(K852="NEMEL",PR!$AR850,IF(K852="NHP",PR!$AS850,IF(K852="NHC",PR!$AT850,IF(K852="OLEAF",PR!$AU850,IF(K852="OCULUS",PR!$AV850,IF(K852="PACIFIC",PR!$AW850,IF(K852="PHAMATEX",PR!$AX850,IF(K852="PETHICS",PR!$AY850,IF(K852="PHILIPS",PR!$AZ850,IF(K852="RANBAXY",PR!$BA850,IF(K852="REALS",PR!$BB850,IF(K852="ROYAL",PR!$BC850,IF(K852="SAM",PR!$BD850,IF(K852="SEAGREEN",PR!$BE850,IF(K852="SKG",PR!$BF850,IF(K852="TAH",PR!$BG850,IF(K852="TAYLEK",PR!$BH850,IF(K852="TEMITA",PR!$BI850,IF(K852="THL",PR!$BJ850,IF(K852="UBASTIC",PR!$BK850,IF(K852="UNION",PR!$BL850,IF(K852="UNIQUE",PR!$BM850,IF(K852="VIXA",PR!$BN850,IF(K852="WWCV",PR!$BO850,IF(K852="ZOLON",PR!$BP850,"-")))))))))))))))))))))))))))))))))))))))))))))))))))))))))))))))))</f>
        <v>1000</v>
      </c>
    </row>
    <row r="853" spans="1:12" ht="18.75" x14ac:dyDescent="0.3">
      <c r="A853" s="430">
        <f>PR!A851</f>
        <v>761</v>
      </c>
      <c r="B853" s="15" t="str">
        <f>PR!B851</f>
        <v>AUTOMATIC MICRO PIPETTE ADJUSTABLE 0-100ML</v>
      </c>
      <c r="C853" s="113" t="str">
        <f>PR!D851</f>
        <v>2 pcs</v>
      </c>
      <c r="D853" s="113">
        <f>PR!C851</f>
        <v>2</v>
      </c>
      <c r="E853" s="108">
        <f>IF(F853="ALPHA",PR!$E851,IF(F853="ASSENE",PR!$F851,IF(F853="BIOFEM",PR!$G851,IF(F853="BIOMED",PR!$H851,IF(F853="CHI",PR!$I851,IF(F853="CLARION",PR!$J851,IF(F853="CODIX",PR!$K851,IF(F853="COSMADE",PR!$L851,IF(F853="SANCON",PR!$M851,IF(F853="DEVON",PR!$N851,IF(F853="DORTEMAG",PR!$O851,IF(F853="DGF",PR!$P851,IF(F853="DYNAMIC",PR!$Q851,IF(F853="EMZOR",PR!$R851,IF(F853="EUMATT",PR!$S851,IF(F853="FIDSON",PR!$T851,IF(F853="FCGLOBAL",PR!$U851,IF(F853="GENEITH",PR!$V851,IF(F853="GINOS",PR!$W851,IF(F853="GSK",PR!$X851,IF(F853="GLOBORG",PR!$Y851,IF(F853="GOODNEWS",PR!$Z851,IF(F853="GREENLIFE",PR!$AA851,IF(F853="HLINE",PR!$AB851,IF(F853="ROTECH",PR!$AC851,IF(F853="ISN",PR!$AD851,IF(F853="JAWA",PR!$AE851,IF(F853="LAYO",PR!$AF851,IF(F853="LEADWAY",PR!$AG851,IF(F853="LHV",PR!$AH851,IF(F853="MANOLA",PR!$AI851,IF(F853="MARCSON",PR!$AJ851,IF(F853="M&amp;B",PR!$AK851,IF(F853="MTRUST",PR!$AL851,IF(F853="MWORLD",PR!$AM851,IF(F853="MEGA",PR!$AN851,IF(F853="MICRONOVA",PR!$AO851,IF(F853="MFLASH",PR!$AP851,IF(F853="MORISON",PR!$AQ851,IF(F853="NEMEL",PR!$AR851,IF(F853="NHP",PR!$AS851,IF(F853="NHC",PR!$AT851,IF(F853="OLEAF",PR!$AU851,IF(F853="OCULUS",PR!$AV851,IF(F853="PACIFIC",PR!$AW851,IF(F853="PHAMATEX",PR!$AX851,IF(F853="PETHICS",PR!$AY851,IF(F853="PHILIPS",PR!$AZ851,IF(F853="RANBAXY",PR!$BA851,IF(F853="REALS",PR!$BB851,IF(F853="ROYAL",PR!$BC851,IF(F853="SAM",PR!$BD851,IF(F853="SEAGREEN",PR!$BE851,IF(F853="SKG",PR!$BF851,IF(F853="TAH",PR!$BG851,IF(F853="TAYLEK",PR!$BH851,IF(F853="TEMITA",PR!$BI851,IF(F853="THL",PR!$BJ851,IF(F853="UBASTIC",PR!$BK851,IF(F853="UNION",PR!$BL851,IF(F853="UNIQUE",PR!$BM851,IF(F853="VIXA",PR!$BN851,IF(F853="WWCV",PR!$BO851,IF(F853="ZOLON",PR!$BP851,"-"))))))))))))))))))))))))))))))))))))))))))))))))))))))))))))))))</f>
        <v>5500</v>
      </c>
      <c r="F853" s="102" t="str">
        <f>EV!L1070</f>
        <v>TEMITA</v>
      </c>
      <c r="G853" s="108">
        <f>IF(H853="ALPHA",PR!$E851,IF(H853="ASSENE",PR!$F851,IF(H853="BIOFEM",PR!$G851,IF(H853="BIOMED",PR!$H851,IF(H853="CHI",PR!$I851,IF(H853="CLARION",PR!$J851,IF(H853="CODIX",PR!$K851,IF(H853="COSMADE",PR!$L851,IF(H853="SANCON",PR!$M851,IF(H853="DEVON",PR!$N851,IF(H853="DORTEMAG",PR!$O851,IF(H853="DGF",PR!$P851,IF(H853="DYNAMIC",PR!$Q851,IF(H853="EMZOR",PR!$R851,IF(H853="EUMATT",PR!$S851,IF(H853="FIDSON",PR!$T851,IF(H853="FCGLOBAL",PR!$U851,IF(H853="GENEITH",PR!$V851,IF(H853="GINOS",PR!$W851,IF(H853="GSK",PR!$X851,IF(H853="GLOBORG",PR!$Y851,IF(H853="GOODNEWS",PR!$Z851,IF(H853="GREENLIFE",PR!$AA851,IF(H853="HLINE",PR!$AB851,IF(H853="ROTECH",PR!$AC851,IF(H853="ISN",PR!$AD851,IF(H853="JAWA",PR!$AE851,IF(H853="LAYO",PR!$AF851,IF(H853="LEADWAY",PR!$AG851,IF(H853="LHV",PR!$AH851,IF(H853="MANOLA",PR!$AI851,IF(H853="MARCSON",PR!$AJ851,IF(H853="M&amp;B",PR!$AK851,IF(H853="MTRUST",PR!$AL851,IF(H853="MWORLD",PR!$AM851,IF(H853="MEGA",PR!$AN851,IF(H853="MICRONOVA",PR!$AO851,IF(H853="MFLASH",PR!$AP851,IF(H853="MORISON",PR!$AQ851,IF(H853="NEMEL",PR!$AR851,IF(H853="NHP",PR!$AS851,IF(H853="NHC",PR!$AT851,IF(H853="OLEAF",PR!$AU851,IF(H853="OCULUS",PR!$AV851,IF(H853="PACIFIC",PR!$AW851,IF(H853="PHAMATEX",PR!$AX851,IF(H853="PETHICS",PR!$AY851,IF(H853="PHILIPS",PR!$AZ851,IF(H853="RANBAXY",PR!$BA851,IF(H853="REALS",PR!$BB851,IF(H853="ROYAL",PR!$BC851,IF(H853="SAM",PR!$BD851,IF(H853="SEAGREEN",PR!$BE851,IF(H853="SKG",PR!$BF851,IF(H853="TAH",PR!$BG851,IF(H853="TAYLEK",PR!$BH851,IF(H853="TEMITA",PR!$BI851,IF(H853="THL",PR!$BJ851,IF(H853="UBASTIC",PR!$BK851,IF(H853="UNION",PR!$BL851,IF(H853="UNIQUE",PR!$BM851,IF(H853="VIXA",PR!$BN851,IF(H853="WWCV",PR!$BO851,IF(H853="ZOLON",PR!$BP851,"-"))))))))))))))))))))))))))))))))))))))))))))))))))))))))))))))))</f>
        <v>6250</v>
      </c>
      <c r="H853" s="102" t="str">
        <f>EV!M1070</f>
        <v>DYNAMIC</v>
      </c>
      <c r="I853" s="108">
        <f>IF(J853="ALPHA",PR!$E851,IF(J853="ASSENE",PR!$F851,IF(J853="BIOFEM",PR!$G851,IF(J853="BIOMED",PR!$H851,IF(J853="CHI",PR!$I851,IF(J853="CLARION",PR!$J851,IF(J853="CODIX",PR!$K851,IF(J853="COSMADE",PR!$L851,IF(J853="SANCON",PR!$M851,IF(J853="DEVON",PR!$N851,IF(J853="DORTEMAG",PR!$O851,IF(J853="DGF",PR!$P851,IF(J853="DYNAMIC",PR!$Q851,IF(J853="EMZOR",PR!$R851,IF(J853="EUMATT",PR!$S851,IF(J853="FIDSON",PR!$T851,IF(J853="FCGLOBAL",PR!$U851,IF(J853="GENEITH",PR!$V851,IF(J853="GINOS",PR!$W851,IF(J853="GSK",PR!$X851,IF(J853="GLOBORG",PR!$Y851,IF(J853="GOODNEWS",PR!$Z851,IF(J853="GREENLIFE",PR!$AA851,IF(J853="HLINE",PR!$AB851,IF(J853="ROTECH",PR!$AC851,IF(J853="ISN",PR!$AD851,IF(J853="JAWA",PR!$AE851,IF(J853="LAYO",PR!$AF851,IF(J853="LEADWAY",PR!$AG851,IF(J853="LHV",PR!$AH851,IF(J853="MANOLA",PR!$AI851,IF(J853="MARCSON",PR!$AJ851,IF(J853="M&amp;B",PR!$AK851,IF(J853="MTRUST",PR!$AL851,IF(J853="MWORLD",PR!$AM851,IF(J853="MEGA",PR!$AN851,IF(J853="MICRONOVA",PR!$AO851,IF(J853="MFLASH",PR!$AP851,IF(J853="MORISON",PR!$AQ851,IF(J853="NEMEL",PR!$AR851,IF(J853="NHP",PR!$AS851,IF(J853="NHC",PR!$AT851,IF(J853="OLEAF",PR!$AU851,IF(J853="OCULUS",PR!$AV851,IF(J853="PACIFIC",PR!$AW851,IF(J853="PHAMATEX",PR!$AX851,IF(J853="PETHICS",PR!$AY851,IF(J853="PHILIPS",PR!$AZ851,IF(J853="RANBAXY",PR!$BA851,IF(J853="REALS",PR!$BB851,IF(J853="ROYAL",PR!$BC851,IF(J853="SAM",PR!$BD851,IF(J853="SEAGREEN",PR!$BE851,IF(J853="SKG",PR!$BF851,IF(J853="TAH",PR!$BG851,IF(J853="TAYLEK",PR!$BH851,IF(J853="TEMITA",PR!$BI851,IF(J853="THL",PR!$BJ851,IF(J853="UBASTIC",PR!$BK851,IF(J853="UNION",PR!$BL851,IF(J853="UNIQUE",PR!$BM851,IF(J853="VIXA",PR!$BN851,IF(J853="WWCV",PR!$BO851,IF(J853="ZOLON",PR!$BP851,"-"))))))))))))))))))))))))))))))))))))))))))))))))))))))))))))))))</f>
        <v>7000</v>
      </c>
      <c r="J853" s="102" t="str">
        <f>EV!N1070</f>
        <v>COSMADE</v>
      </c>
      <c r="K853" s="433" t="s">
        <v>1463</v>
      </c>
      <c r="L853" s="183">
        <f>IF(K853&gt;0,IF(K853="ALPHA",PR!$E851,IF(K853="ASSENE",PR!$F851,IF(K853="BIOFEM",PR!$G851,IF(K853="BIOMED",PR!$H851,IF(K853="CHI",PR!$I851,IF(K853="CLARION",PR!$J851,IF(K853="CODIX",PR!$K851,IF(K853="COSMADE",PR!$L851,IF(K853="SANCON",PR!$M851,IF(K853="DEVON",PR!$N851,IF(K853="DORTEMAG",PR!$O851,IF(K853="DGF",PR!$P851,IF(K853="DYNAMIC",PR!$Q851,IF(K853="EMZOR",PR!$R851,IF(K853="EUMATT",PR!$S851,IF(K853="FIDSON",PR!$T851,IF(K853="FCGLOBAL",PR!$U851,IF(K853="GENEITH",PR!$V851,IF(K853="GINOS",PR!$W851,IF(K853="GSK",PR!$X851,IF(K853="GLOBORG",PR!$Y851,IF(K853="GOODNEWS",PR!$Z851,IF(K853="GREENLIFE",PR!$AA851,IF(K853="HLINE",PR!$AB851,IF(K853="ROTECH",PR!$AC851,IF(K853="ISN",PR!$AD851,IF(K853="JAWA",PR!$AE851,IF(K853="LAYO",PR!$AF851,IF(K853="LEADWAY",PR!$AG851,IF(K853="LHV",PR!$AH851,IF(K853="MANOLA",PR!$AI851,IF(K853="MARCSON",PR!$AJ851,IF(K853="M&amp;B",PR!$AK851,IF(K853="MTRUST",PR!$AL851,IF(K853="MWORLD",PR!$AM851,IF(K853="MEGA",PR!$AN851,IF(K853="MICRONOVA",PR!$AO851,IF(K853="MFLASH",PR!$AP851,IF(K853="MORISON",PR!$AQ851,IF(K853="NEMEL",PR!$AR851,IF(K853="NHP",PR!$AS851,IF(K853="NHC",PR!$AT851,IF(K853="OLEAF",PR!$AU851,IF(K853="OCULUS",PR!$AV851,IF(K853="PACIFIC",PR!$AW851,IF(K853="PHAMATEX",PR!$AX851,IF(K853="PETHICS",PR!$AY851,IF(K853="PHILIPS",PR!$AZ851,IF(K853="RANBAXY",PR!$BA851,IF(K853="REALS",PR!$BB851,IF(K853="ROYAL",PR!$BC851,IF(K853="SAM",PR!$BD851,IF(K853="SEAGREEN",PR!$BE851,IF(K853="SKG",PR!$BF851,IF(K853="TAH",PR!$BG851,IF(K853="TAYLEK",PR!$BH851,IF(K853="TEMITA",PR!$BI851,IF(K853="THL",PR!$BJ851,IF(K853="UBASTIC",PR!$BK851,IF(K853="UNION",PR!$BL851,IF(K853="UNIQUE",PR!$BM851,IF(K853="VIXA",PR!$BN851,IF(K853="WWCV",PR!$BO851,IF(K853="ZOLON",PR!$BP851,"-")))))))))))))))))))))))))))))))))))))))))))))))))))))))))))))))))</f>
        <v>5500</v>
      </c>
    </row>
    <row r="854" spans="1:12" ht="18.75" x14ac:dyDescent="0.3">
      <c r="A854" s="430">
        <f>PR!A852</f>
        <v>762</v>
      </c>
      <c r="B854" s="15" t="str">
        <f>PR!B852</f>
        <v>AUTOMATIC MICRO PIPETTE ADJUSTABLE 1000 - 5000ML</v>
      </c>
      <c r="C854" s="113" t="str">
        <f>PR!D852</f>
        <v>2 pcs</v>
      </c>
      <c r="D854" s="113">
        <f>PR!C852</f>
        <v>2</v>
      </c>
      <c r="E854" s="108">
        <f>IF(F854="ALPHA",PR!$E852,IF(F854="ASSENE",PR!$F852,IF(F854="BIOFEM",PR!$G852,IF(F854="BIOMED",PR!$H852,IF(F854="CHI",PR!$I852,IF(F854="CLARION",PR!$J852,IF(F854="CODIX",PR!$K852,IF(F854="COSMADE",PR!$L852,IF(F854="SANCON",PR!$M852,IF(F854="DEVON",PR!$N852,IF(F854="DORTEMAG",PR!$O852,IF(F854="DGF",PR!$P852,IF(F854="DYNAMIC",PR!$Q852,IF(F854="EMZOR",PR!$R852,IF(F854="EUMATT",PR!$S852,IF(F854="FIDSON",PR!$T852,IF(F854="FCGLOBAL",PR!$U852,IF(F854="GENEITH",PR!$V852,IF(F854="GINOS",PR!$W852,IF(F854="GSK",PR!$X852,IF(F854="GLOBORG",PR!$Y852,IF(F854="GOODNEWS",PR!$Z852,IF(F854="GREENLIFE",PR!$AA852,IF(F854="HLINE",PR!$AB852,IF(F854="ROTECH",PR!$AC852,IF(F854="ISN",PR!$AD852,IF(F854="JAWA",PR!$AE852,IF(F854="LAYO",PR!$AF852,IF(F854="LEADWAY",PR!$AG852,IF(F854="LHV",PR!$AH852,IF(F854="MANOLA",PR!$AI852,IF(F854="MARCSON",PR!$AJ852,IF(F854="M&amp;B",PR!$AK852,IF(F854="MTRUST",PR!$AL852,IF(F854="MWORLD",PR!$AM852,IF(F854="MEGA",PR!$AN852,IF(F854="MICRONOVA",PR!$AO852,IF(F854="MFLASH",PR!$AP852,IF(F854="MORISON",PR!$AQ852,IF(F854="NEMEL",PR!$AR852,IF(F854="NHP",PR!$AS852,IF(F854="NHC",PR!$AT852,IF(F854="OLEAF",PR!$AU852,IF(F854="OCULUS",PR!$AV852,IF(F854="PACIFIC",PR!$AW852,IF(F854="PHAMATEX",PR!$AX852,IF(F854="PETHICS",PR!$AY852,IF(F854="PHILIPS",PR!$AZ852,IF(F854="RANBAXY",PR!$BA852,IF(F854="REALS",PR!$BB852,IF(F854="ROYAL",PR!$BC852,IF(F854="SAM",PR!$BD852,IF(F854="SEAGREEN",PR!$BE852,IF(F854="SKG",PR!$BF852,IF(F854="TAH",PR!$BG852,IF(F854="TAYLEK",PR!$BH852,IF(F854="TEMITA",PR!$BI852,IF(F854="THL",PR!$BJ852,IF(F854="UBASTIC",PR!$BK852,IF(F854="UNION",PR!$BL852,IF(F854="UNIQUE",PR!$BM852,IF(F854="VIXA",PR!$BN852,IF(F854="WWCV",PR!$BO852,IF(F854="ZOLON",PR!$BP852,"-"))))))))))))))))))))))))))))))))))))))))))))))))))))))))))))))))</f>
        <v>6000</v>
      </c>
      <c r="F854" s="102" t="str">
        <f>EV!L1071</f>
        <v>TEMITA</v>
      </c>
      <c r="G854" s="108">
        <f>IF(H854="ALPHA",PR!$E852,IF(H854="ASSENE",PR!$F852,IF(H854="BIOFEM",PR!$G852,IF(H854="BIOMED",PR!$H852,IF(H854="CHI",PR!$I852,IF(H854="CLARION",PR!$J852,IF(H854="CODIX",PR!$K852,IF(H854="COSMADE",PR!$L852,IF(H854="SANCON",PR!$M852,IF(H854="DEVON",PR!$N852,IF(H854="DORTEMAG",PR!$O852,IF(H854="DGF",PR!$P852,IF(H854="DYNAMIC",PR!$Q852,IF(H854="EMZOR",PR!$R852,IF(H854="EUMATT",PR!$S852,IF(H854="FIDSON",PR!$T852,IF(H854="FCGLOBAL",PR!$U852,IF(H854="GENEITH",PR!$V852,IF(H854="GINOS",PR!$W852,IF(H854="GSK",PR!$X852,IF(H854="GLOBORG",PR!$Y852,IF(H854="GOODNEWS",PR!$Z852,IF(H854="GREENLIFE",PR!$AA852,IF(H854="HLINE",PR!$AB852,IF(H854="ROTECH",PR!$AC852,IF(H854="ISN",PR!$AD852,IF(H854="JAWA",PR!$AE852,IF(H854="LAYO",PR!$AF852,IF(H854="LEADWAY",PR!$AG852,IF(H854="LHV",PR!$AH852,IF(H854="MANOLA",PR!$AI852,IF(H854="MARCSON",PR!$AJ852,IF(H854="M&amp;B",PR!$AK852,IF(H854="MTRUST",PR!$AL852,IF(H854="MWORLD",PR!$AM852,IF(H854="MEGA",PR!$AN852,IF(H854="MICRONOVA",PR!$AO852,IF(H854="MFLASH",PR!$AP852,IF(H854="MORISON",PR!$AQ852,IF(H854="NEMEL",PR!$AR852,IF(H854="NHP",PR!$AS852,IF(H854="NHC",PR!$AT852,IF(H854="OLEAF",PR!$AU852,IF(H854="OCULUS",PR!$AV852,IF(H854="PACIFIC",PR!$AW852,IF(H854="PHAMATEX",PR!$AX852,IF(H854="PETHICS",PR!$AY852,IF(H854="PHILIPS",PR!$AZ852,IF(H854="RANBAXY",PR!$BA852,IF(H854="REALS",PR!$BB852,IF(H854="ROYAL",PR!$BC852,IF(H854="SAM",PR!$BD852,IF(H854="SEAGREEN",PR!$BE852,IF(H854="SKG",PR!$BF852,IF(H854="TAH",PR!$BG852,IF(H854="TAYLEK",PR!$BH852,IF(H854="TEMITA",PR!$BI852,IF(H854="THL",PR!$BJ852,IF(H854="UBASTIC",PR!$BK852,IF(H854="UNION",PR!$BL852,IF(H854="UNIQUE",PR!$BM852,IF(H854="VIXA",PR!$BN852,IF(H854="WWCV",PR!$BO852,IF(H854="ZOLON",PR!$BP852,"-"))))))))))))))))))))))))))))))))))))))))))))))))))))))))))))))))</f>
        <v>6250</v>
      </c>
      <c r="H854" s="102" t="str">
        <f>EV!M1071</f>
        <v>DYNAMIC</v>
      </c>
      <c r="I854" s="108">
        <f>IF(J854="ALPHA",PR!$E852,IF(J854="ASSENE",PR!$F852,IF(J854="BIOFEM",PR!$G852,IF(J854="BIOMED",PR!$H852,IF(J854="CHI",PR!$I852,IF(J854="CLARION",PR!$J852,IF(J854="CODIX",PR!$K852,IF(J854="COSMADE",PR!$L852,IF(J854="SANCON",PR!$M852,IF(J854="DEVON",PR!$N852,IF(J854="DORTEMAG",PR!$O852,IF(J854="DGF",PR!$P852,IF(J854="DYNAMIC",PR!$Q852,IF(J854="EMZOR",PR!$R852,IF(J854="EUMATT",PR!$S852,IF(J854="FIDSON",PR!$T852,IF(J854="FCGLOBAL",PR!$U852,IF(J854="GENEITH",PR!$V852,IF(J854="GINOS",PR!$W852,IF(J854="GSK",PR!$X852,IF(J854="GLOBORG",PR!$Y852,IF(J854="GOODNEWS",PR!$Z852,IF(J854="GREENLIFE",PR!$AA852,IF(J854="HLINE",PR!$AB852,IF(J854="ROTECH",PR!$AC852,IF(J854="ISN",PR!$AD852,IF(J854="JAWA",PR!$AE852,IF(J854="LAYO",PR!$AF852,IF(J854="LEADWAY",PR!$AG852,IF(J854="LHV",PR!$AH852,IF(J854="MANOLA",PR!$AI852,IF(J854="MARCSON",PR!$AJ852,IF(J854="M&amp;B",PR!$AK852,IF(J854="MTRUST",PR!$AL852,IF(J854="MWORLD",PR!$AM852,IF(J854="MEGA",PR!$AN852,IF(J854="MICRONOVA",PR!$AO852,IF(J854="MFLASH",PR!$AP852,IF(J854="MORISON",PR!$AQ852,IF(J854="NEMEL",PR!$AR852,IF(J854="NHP",PR!$AS852,IF(J854="NHC",PR!$AT852,IF(J854="OLEAF",PR!$AU852,IF(J854="OCULUS",PR!$AV852,IF(J854="PACIFIC",PR!$AW852,IF(J854="PHAMATEX",PR!$AX852,IF(J854="PETHICS",PR!$AY852,IF(J854="PHILIPS",PR!$AZ852,IF(J854="RANBAXY",PR!$BA852,IF(J854="REALS",PR!$BB852,IF(J854="ROYAL",PR!$BC852,IF(J854="SAM",PR!$BD852,IF(J854="SEAGREEN",PR!$BE852,IF(J854="SKG",PR!$BF852,IF(J854="TAH",PR!$BG852,IF(J854="TAYLEK",PR!$BH852,IF(J854="TEMITA",PR!$BI852,IF(J854="THL",PR!$BJ852,IF(J854="UBASTIC",PR!$BK852,IF(J854="UNION",PR!$BL852,IF(J854="UNIQUE",PR!$BM852,IF(J854="VIXA",PR!$BN852,IF(J854="WWCV",PR!$BO852,IF(J854="ZOLON",PR!$BP852,"-"))))))))))))))))))))))))))))))))))))))))))))))))))))))))))))))))</f>
        <v>9000</v>
      </c>
      <c r="J854" s="102" t="str">
        <f>EV!N1071</f>
        <v>COSMADE</v>
      </c>
      <c r="K854" s="433" t="s">
        <v>1463</v>
      </c>
      <c r="L854" s="183">
        <f>IF(K854&gt;0,IF(K854="ALPHA",PR!$E852,IF(K854="ASSENE",PR!$F852,IF(K854="BIOFEM",PR!$G852,IF(K854="BIOMED",PR!$H852,IF(K854="CHI",PR!$I852,IF(K854="CLARION",PR!$J852,IF(K854="CODIX",PR!$K852,IF(K854="COSMADE",PR!$L852,IF(K854="SANCON",PR!$M852,IF(K854="DEVON",PR!$N852,IF(K854="DORTEMAG",PR!$O852,IF(K854="DGF",PR!$P852,IF(K854="DYNAMIC",PR!$Q852,IF(K854="EMZOR",PR!$R852,IF(K854="EUMATT",PR!$S852,IF(K854="FIDSON",PR!$T852,IF(K854="FCGLOBAL",PR!$U852,IF(K854="GENEITH",PR!$V852,IF(K854="GINOS",PR!$W852,IF(K854="GSK",PR!$X852,IF(K854="GLOBORG",PR!$Y852,IF(K854="GOODNEWS",PR!$Z852,IF(K854="GREENLIFE",PR!$AA852,IF(K854="HLINE",PR!$AB852,IF(K854="ROTECH",PR!$AC852,IF(K854="ISN",PR!$AD852,IF(K854="JAWA",PR!$AE852,IF(K854="LAYO",PR!$AF852,IF(K854="LEADWAY",PR!$AG852,IF(K854="LHV",PR!$AH852,IF(K854="MANOLA",PR!$AI852,IF(K854="MARCSON",PR!$AJ852,IF(K854="M&amp;B",PR!$AK852,IF(K854="MTRUST",PR!$AL852,IF(K854="MWORLD",PR!$AM852,IF(K854="MEGA",PR!$AN852,IF(K854="MICRONOVA",PR!$AO852,IF(K854="MFLASH",PR!$AP852,IF(K854="MORISON",PR!$AQ852,IF(K854="NEMEL",PR!$AR852,IF(K854="NHP",PR!$AS852,IF(K854="NHC",PR!$AT852,IF(K854="OLEAF",PR!$AU852,IF(K854="OCULUS",PR!$AV852,IF(K854="PACIFIC",PR!$AW852,IF(K854="PHAMATEX",PR!$AX852,IF(K854="PETHICS",PR!$AY852,IF(K854="PHILIPS",PR!$AZ852,IF(K854="RANBAXY",PR!$BA852,IF(K854="REALS",PR!$BB852,IF(K854="ROYAL",PR!$BC852,IF(K854="SAM",PR!$BD852,IF(K854="SEAGREEN",PR!$BE852,IF(K854="SKG",PR!$BF852,IF(K854="TAH",PR!$BG852,IF(K854="TAYLEK",PR!$BH852,IF(K854="TEMITA",PR!$BI852,IF(K854="THL",PR!$BJ852,IF(K854="UBASTIC",PR!$BK852,IF(K854="UNION",PR!$BL852,IF(K854="UNIQUE",PR!$BM852,IF(K854="VIXA",PR!$BN852,IF(K854="WWCV",PR!$BO852,IF(K854="ZOLON",PR!$BP852,"-")))))))))))))))))))))))))))))))))))))))))))))))))))))))))))))))))</f>
        <v>6000</v>
      </c>
    </row>
    <row r="855" spans="1:12" ht="18.75" x14ac:dyDescent="0.3">
      <c r="A855" s="430">
        <f>PR!A853</f>
        <v>763</v>
      </c>
      <c r="B855" s="15" t="str">
        <f>PR!B853</f>
        <v>AUTOMATIC MICRO PIPETTE ADJUSTABLE 5 - 50ML</v>
      </c>
      <c r="C855" s="113" t="str">
        <f>PR!D853</f>
        <v>2 pcs</v>
      </c>
      <c r="D855" s="113">
        <f>PR!C853</f>
        <v>2</v>
      </c>
      <c r="E855" s="108">
        <f>IF(F855="ALPHA",PR!$E853,IF(F855="ASSENE",PR!$F853,IF(F855="BIOFEM",PR!$G853,IF(F855="BIOMED",PR!$H853,IF(F855="CHI",PR!$I853,IF(F855="CLARION",PR!$J853,IF(F855="CODIX",PR!$K853,IF(F855="COSMADE",PR!$L853,IF(F855="SANCON",PR!$M853,IF(F855="DEVON",PR!$N853,IF(F855="DORTEMAG",PR!$O853,IF(F855="DGF",PR!$P853,IF(F855="DYNAMIC",PR!$Q853,IF(F855="EMZOR",PR!$R853,IF(F855="EUMATT",PR!$S853,IF(F855="FIDSON",PR!$T853,IF(F855="FCGLOBAL",PR!$U853,IF(F855="GENEITH",PR!$V853,IF(F855="GINOS",PR!$W853,IF(F855="GSK",PR!$X853,IF(F855="GLOBORG",PR!$Y853,IF(F855="GOODNEWS",PR!$Z853,IF(F855="GREENLIFE",PR!$AA853,IF(F855="HLINE",PR!$AB853,IF(F855="ROTECH",PR!$AC853,IF(F855="ISN",PR!$AD853,IF(F855="JAWA",PR!$AE853,IF(F855="LAYO",PR!$AF853,IF(F855="LEADWAY",PR!$AG853,IF(F855="LHV",PR!$AH853,IF(F855="MANOLA",PR!$AI853,IF(F855="MARCSON",PR!$AJ853,IF(F855="M&amp;B",PR!$AK853,IF(F855="MTRUST",PR!$AL853,IF(F855="MWORLD",PR!$AM853,IF(F855="MEGA",PR!$AN853,IF(F855="MICRONOVA",PR!$AO853,IF(F855="MFLASH",PR!$AP853,IF(F855="MORISON",PR!$AQ853,IF(F855="NEMEL",PR!$AR853,IF(F855="NHP",PR!$AS853,IF(F855="NHC",PR!$AT853,IF(F855="OLEAF",PR!$AU853,IF(F855="OCULUS",PR!$AV853,IF(F855="PACIFIC",PR!$AW853,IF(F855="PHAMATEX",PR!$AX853,IF(F855="PETHICS",PR!$AY853,IF(F855="PHILIPS",PR!$AZ853,IF(F855="RANBAXY",PR!$BA853,IF(F855="REALS",PR!$BB853,IF(F855="ROYAL",PR!$BC853,IF(F855="SAM",PR!$BD853,IF(F855="SEAGREEN",PR!$BE853,IF(F855="SKG",PR!$BF853,IF(F855="TAH",PR!$BG853,IF(F855="TAYLEK",PR!$BH853,IF(F855="TEMITA",PR!$BI853,IF(F855="THL",PR!$BJ853,IF(F855="UBASTIC",PR!$BK853,IF(F855="UNION",PR!$BL853,IF(F855="UNIQUE",PR!$BM853,IF(F855="VIXA",PR!$BN853,IF(F855="WWCV",PR!$BO853,IF(F855="ZOLON",PR!$BP853,"-"))))))))))))))))))))))))))))))))))))))))))))))))))))))))))))))))</f>
        <v>5500</v>
      </c>
      <c r="F855" s="102" t="str">
        <f>EV!L1072</f>
        <v>TEMITA</v>
      </c>
      <c r="G855" s="108">
        <f>IF(H855="ALPHA",PR!$E853,IF(H855="ASSENE",PR!$F853,IF(H855="BIOFEM",PR!$G853,IF(H855="BIOMED",PR!$H853,IF(H855="CHI",PR!$I853,IF(H855="CLARION",PR!$J853,IF(H855="CODIX",PR!$K853,IF(H855="COSMADE",PR!$L853,IF(H855="SANCON",PR!$M853,IF(H855="DEVON",PR!$N853,IF(H855="DORTEMAG",PR!$O853,IF(H855="DGF",PR!$P853,IF(H855="DYNAMIC",PR!$Q853,IF(H855="EMZOR",PR!$R853,IF(H855="EUMATT",PR!$S853,IF(H855="FIDSON",PR!$T853,IF(H855="FCGLOBAL",PR!$U853,IF(H855="GENEITH",PR!$V853,IF(H855="GINOS",PR!$W853,IF(H855="GSK",PR!$X853,IF(H855="GLOBORG",PR!$Y853,IF(H855="GOODNEWS",PR!$Z853,IF(H855="GREENLIFE",PR!$AA853,IF(H855="HLINE",PR!$AB853,IF(H855="ROTECH",PR!$AC853,IF(H855="ISN",PR!$AD853,IF(H855="JAWA",PR!$AE853,IF(H855="LAYO",PR!$AF853,IF(H855="LEADWAY",PR!$AG853,IF(H855="LHV",PR!$AH853,IF(H855="MANOLA",PR!$AI853,IF(H855="MARCSON",PR!$AJ853,IF(H855="M&amp;B",PR!$AK853,IF(H855="MTRUST",PR!$AL853,IF(H855="MWORLD",PR!$AM853,IF(H855="MEGA",PR!$AN853,IF(H855="MICRONOVA",PR!$AO853,IF(H855="MFLASH",PR!$AP853,IF(H855="MORISON",PR!$AQ853,IF(H855="NEMEL",PR!$AR853,IF(H855="NHP",PR!$AS853,IF(H855="NHC",PR!$AT853,IF(H855="OLEAF",PR!$AU853,IF(H855="OCULUS",PR!$AV853,IF(H855="PACIFIC",PR!$AW853,IF(H855="PHAMATEX",PR!$AX853,IF(H855="PETHICS",PR!$AY853,IF(H855="PHILIPS",PR!$AZ853,IF(H855="RANBAXY",PR!$BA853,IF(H855="REALS",PR!$BB853,IF(H855="ROYAL",PR!$BC853,IF(H855="SAM",PR!$BD853,IF(H855="SEAGREEN",PR!$BE853,IF(H855="SKG",PR!$BF853,IF(H855="TAH",PR!$BG853,IF(H855="TAYLEK",PR!$BH853,IF(H855="TEMITA",PR!$BI853,IF(H855="THL",PR!$BJ853,IF(H855="UBASTIC",PR!$BK853,IF(H855="UNION",PR!$BL853,IF(H855="UNIQUE",PR!$BM853,IF(H855="VIXA",PR!$BN853,IF(H855="WWCV",PR!$BO853,IF(H855="ZOLON",PR!$BP853,"-"))))))))))))))))))))))))))))))))))))))))))))))))))))))))))))))))</f>
        <v>6250</v>
      </c>
      <c r="H855" s="102" t="str">
        <f>EV!M1072</f>
        <v>DYNAMIC</v>
      </c>
      <c r="I855" s="108">
        <f>IF(J855="ALPHA",PR!$E853,IF(J855="ASSENE",PR!$F853,IF(J855="BIOFEM",PR!$G853,IF(J855="BIOMED",PR!$H853,IF(J855="CHI",PR!$I853,IF(J855="CLARION",PR!$J853,IF(J855="CODIX",PR!$K853,IF(J855="COSMADE",PR!$L853,IF(J855="SANCON",PR!$M853,IF(J855="DEVON",PR!$N853,IF(J855="DORTEMAG",PR!$O853,IF(J855="DGF",PR!$P853,IF(J855="DYNAMIC",PR!$Q853,IF(J855="EMZOR",PR!$R853,IF(J855="EUMATT",PR!$S853,IF(J855="FIDSON",PR!$T853,IF(J855="FCGLOBAL",PR!$U853,IF(J855="GENEITH",PR!$V853,IF(J855="GINOS",PR!$W853,IF(J855="GSK",PR!$X853,IF(J855="GLOBORG",PR!$Y853,IF(J855="GOODNEWS",PR!$Z853,IF(J855="GREENLIFE",PR!$AA853,IF(J855="HLINE",PR!$AB853,IF(J855="ROTECH",PR!$AC853,IF(J855="ISN",PR!$AD853,IF(J855="JAWA",PR!$AE853,IF(J855="LAYO",PR!$AF853,IF(J855="LEADWAY",PR!$AG853,IF(J855="LHV",PR!$AH853,IF(J855="MANOLA",PR!$AI853,IF(J855="MARCSON",PR!$AJ853,IF(J855="M&amp;B",PR!$AK853,IF(J855="MTRUST",PR!$AL853,IF(J855="MWORLD",PR!$AM853,IF(J855="MEGA",PR!$AN853,IF(J855="MICRONOVA",PR!$AO853,IF(J855="MFLASH",PR!$AP853,IF(J855="MORISON",PR!$AQ853,IF(J855="NEMEL",PR!$AR853,IF(J855="NHP",PR!$AS853,IF(J855="NHC",PR!$AT853,IF(J855="OLEAF",PR!$AU853,IF(J855="OCULUS",PR!$AV853,IF(J855="PACIFIC",PR!$AW853,IF(J855="PHAMATEX",PR!$AX853,IF(J855="PETHICS",PR!$AY853,IF(J855="PHILIPS",PR!$AZ853,IF(J855="RANBAXY",PR!$BA853,IF(J855="REALS",PR!$BB853,IF(J855="ROYAL",PR!$BC853,IF(J855="SAM",PR!$BD853,IF(J855="SEAGREEN",PR!$BE853,IF(J855="SKG",PR!$BF853,IF(J855="TAH",PR!$BG853,IF(J855="TAYLEK",PR!$BH853,IF(J855="TEMITA",PR!$BI853,IF(J855="THL",PR!$BJ853,IF(J855="UBASTIC",PR!$BK853,IF(J855="UNION",PR!$BL853,IF(J855="UNIQUE",PR!$BM853,IF(J855="VIXA",PR!$BN853,IF(J855="WWCV",PR!$BO853,IF(J855="ZOLON",PR!$BP853,"-"))))))))))))))))))))))))))))))))))))))))))))))))))))))))))))))))</f>
        <v>7000</v>
      </c>
      <c r="J855" s="102" t="str">
        <f>EV!N1072</f>
        <v>COSMADE</v>
      </c>
      <c r="K855" s="433" t="s">
        <v>1463</v>
      </c>
      <c r="L855" s="183">
        <f>IF(K855&gt;0,IF(K855="ALPHA",PR!$E853,IF(K855="ASSENE",PR!$F853,IF(K855="BIOFEM",PR!$G853,IF(K855="BIOMED",PR!$H853,IF(K855="CHI",PR!$I853,IF(K855="CLARION",PR!$J853,IF(K855="CODIX",PR!$K853,IF(K855="COSMADE",PR!$L853,IF(K855="SANCON",PR!$M853,IF(K855="DEVON",PR!$N853,IF(K855="DORTEMAG",PR!$O853,IF(K855="DGF",PR!$P853,IF(K855="DYNAMIC",PR!$Q853,IF(K855="EMZOR",PR!$R853,IF(K855="EUMATT",PR!$S853,IF(K855="FIDSON",PR!$T853,IF(K855="FCGLOBAL",PR!$U853,IF(K855="GENEITH",PR!$V853,IF(K855="GINOS",PR!$W853,IF(K855="GSK",PR!$X853,IF(K855="GLOBORG",PR!$Y853,IF(K855="GOODNEWS",PR!$Z853,IF(K855="GREENLIFE",PR!$AA853,IF(K855="HLINE",PR!$AB853,IF(K855="ROTECH",PR!$AC853,IF(K855="ISN",PR!$AD853,IF(K855="JAWA",PR!$AE853,IF(K855="LAYO",PR!$AF853,IF(K855="LEADWAY",PR!$AG853,IF(K855="LHV",PR!$AH853,IF(K855="MANOLA",PR!$AI853,IF(K855="MARCSON",PR!$AJ853,IF(K855="M&amp;B",PR!$AK853,IF(K855="MTRUST",PR!$AL853,IF(K855="MWORLD",PR!$AM853,IF(K855="MEGA",PR!$AN853,IF(K855="MICRONOVA",PR!$AO853,IF(K855="MFLASH",PR!$AP853,IF(K855="MORISON",PR!$AQ853,IF(K855="NEMEL",PR!$AR853,IF(K855="NHP",PR!$AS853,IF(K855="NHC",PR!$AT853,IF(K855="OLEAF",PR!$AU853,IF(K855="OCULUS",PR!$AV853,IF(K855="PACIFIC",PR!$AW853,IF(K855="PHAMATEX",PR!$AX853,IF(K855="PETHICS",PR!$AY853,IF(K855="PHILIPS",PR!$AZ853,IF(K855="RANBAXY",PR!$BA853,IF(K855="REALS",PR!$BB853,IF(K855="ROYAL",PR!$BC853,IF(K855="SAM",PR!$BD853,IF(K855="SEAGREEN",PR!$BE853,IF(K855="SKG",PR!$BF853,IF(K855="TAH",PR!$BG853,IF(K855="TAYLEK",PR!$BH853,IF(K855="TEMITA",PR!$BI853,IF(K855="THL",PR!$BJ853,IF(K855="UBASTIC",PR!$BK853,IF(K855="UNION",PR!$BL853,IF(K855="UNIQUE",PR!$BM853,IF(K855="VIXA",PR!$BN853,IF(K855="WWCV",PR!$BO853,IF(K855="ZOLON",PR!$BP853,"-")))))))))))))))))))))))))))))))))))))))))))))))))))))))))))))))))</f>
        <v>5500</v>
      </c>
    </row>
    <row r="856" spans="1:12" ht="18.75" x14ac:dyDescent="0.3">
      <c r="A856" s="430">
        <f>PR!A854</f>
        <v>764</v>
      </c>
      <c r="B856" s="15" t="str">
        <f>PR!B854</f>
        <v>WASH BOTTLES PLASTIC (BIG) 1L</v>
      </c>
      <c r="C856" s="113" t="str">
        <f>PR!D854</f>
        <v>6 pcs</v>
      </c>
      <c r="D856" s="113">
        <f>PR!C854</f>
        <v>6</v>
      </c>
      <c r="E856" s="108">
        <f>IF(F856="ALPHA",PR!$E854,IF(F856="ASSENE",PR!$F854,IF(F856="BIOFEM",PR!$G854,IF(F856="BIOMED",PR!$H854,IF(F856="CHI",PR!$I854,IF(F856="CLARION",PR!$J854,IF(F856="CODIX",PR!$K854,IF(F856="COSMADE",PR!$L854,IF(F856="SANCON",PR!$M854,IF(F856="DEVON",PR!$N854,IF(F856="DORTEMAG",PR!$O854,IF(F856="DGF",PR!$P854,IF(F856="DYNAMIC",PR!$Q854,IF(F856="EMZOR",PR!$R854,IF(F856="EUMATT",PR!$S854,IF(F856="FIDSON",PR!$T854,IF(F856="FCGLOBAL",PR!$U854,IF(F856="GENEITH",PR!$V854,IF(F856="GINOS",PR!$W854,IF(F856="GSK",PR!$X854,IF(F856="GLOBORG",PR!$Y854,IF(F856="GOODNEWS",PR!$Z854,IF(F856="GREENLIFE",PR!$AA854,IF(F856="HLINE",PR!$AB854,IF(F856="ROTECH",PR!$AC854,IF(F856="ISN",PR!$AD854,IF(F856="JAWA",PR!$AE854,IF(F856="LAYO",PR!$AF854,IF(F856="LEADWAY",PR!$AG854,IF(F856="LHV",PR!$AH854,IF(F856="MANOLA",PR!$AI854,IF(F856="MARCSON",PR!$AJ854,IF(F856="M&amp;B",PR!$AK854,IF(F856="MTRUST",PR!$AL854,IF(F856="MWORLD",PR!$AM854,IF(F856="MEGA",PR!$AN854,IF(F856="MICRONOVA",PR!$AO854,IF(F856="MFLASH",PR!$AP854,IF(F856="MORISON",PR!$AQ854,IF(F856="NEMEL",PR!$AR854,IF(F856="NHP",PR!$AS854,IF(F856="NHC",PR!$AT854,IF(F856="OLEAF",PR!$AU854,IF(F856="OCULUS",PR!$AV854,IF(F856="PACIFIC",PR!$AW854,IF(F856="PHAMATEX",PR!$AX854,IF(F856="PETHICS",PR!$AY854,IF(F856="PHILIPS",PR!$AZ854,IF(F856="RANBAXY",PR!$BA854,IF(F856="REALS",PR!$BB854,IF(F856="ROYAL",PR!$BC854,IF(F856="SAM",PR!$BD854,IF(F856="SEAGREEN",PR!$BE854,IF(F856="SKG",PR!$BF854,IF(F856="TAH",PR!$BG854,IF(F856="TAYLEK",PR!$BH854,IF(F856="TEMITA",PR!$BI854,IF(F856="THL",PR!$BJ854,IF(F856="UBASTIC",PR!$BK854,IF(F856="UNION",PR!$BL854,IF(F856="UNIQUE",PR!$BM854,IF(F856="VIXA",PR!$BN854,IF(F856="WWCV",PR!$BO854,IF(F856="ZOLON",PR!$BP854,"-"))))))))))))))))))))))))))))))))))))))))))))))))))))))))))))))))</f>
        <v>1100</v>
      </c>
      <c r="F856" s="102" t="str">
        <f>EV!L1073</f>
        <v>TEMITA</v>
      </c>
      <c r="G856" s="108">
        <f>IF(H856="ALPHA",PR!$E854,IF(H856="ASSENE",PR!$F854,IF(H856="BIOFEM",PR!$G854,IF(H856="BIOMED",PR!$H854,IF(H856="CHI",PR!$I854,IF(H856="CLARION",PR!$J854,IF(H856="CODIX",PR!$K854,IF(H856="COSMADE",PR!$L854,IF(H856="SANCON",PR!$M854,IF(H856="DEVON",PR!$N854,IF(H856="DORTEMAG",PR!$O854,IF(H856="DGF",PR!$P854,IF(H856="DYNAMIC",PR!$Q854,IF(H856="EMZOR",PR!$R854,IF(H856="EUMATT",PR!$S854,IF(H856="FIDSON",PR!$T854,IF(H856="FCGLOBAL",PR!$U854,IF(H856="GENEITH",PR!$V854,IF(H856="GINOS",PR!$W854,IF(H856="GSK",PR!$X854,IF(H856="GLOBORG",PR!$Y854,IF(H856="GOODNEWS",PR!$Z854,IF(H856="GREENLIFE",PR!$AA854,IF(H856="HLINE",PR!$AB854,IF(H856="ROTECH",PR!$AC854,IF(H856="ISN",PR!$AD854,IF(H856="JAWA",PR!$AE854,IF(H856="LAYO",PR!$AF854,IF(H856="LEADWAY",PR!$AG854,IF(H856="LHV",PR!$AH854,IF(H856="MANOLA",PR!$AI854,IF(H856="MARCSON",PR!$AJ854,IF(H856="M&amp;B",PR!$AK854,IF(H856="MTRUST",PR!$AL854,IF(H856="MWORLD",PR!$AM854,IF(H856="MEGA",PR!$AN854,IF(H856="MICRONOVA",PR!$AO854,IF(H856="MFLASH",PR!$AP854,IF(H856="MORISON",PR!$AQ854,IF(H856="NEMEL",PR!$AR854,IF(H856="NHP",PR!$AS854,IF(H856="NHC",PR!$AT854,IF(H856="OLEAF",PR!$AU854,IF(H856="OCULUS",PR!$AV854,IF(H856="PACIFIC",PR!$AW854,IF(H856="PHAMATEX",PR!$AX854,IF(H856="PETHICS",PR!$AY854,IF(H856="PHILIPS",PR!$AZ854,IF(H856="RANBAXY",PR!$BA854,IF(H856="REALS",PR!$BB854,IF(H856="ROYAL",PR!$BC854,IF(H856="SAM",PR!$BD854,IF(H856="SEAGREEN",PR!$BE854,IF(H856="SKG",PR!$BF854,IF(H856="TAH",PR!$BG854,IF(H856="TAYLEK",PR!$BH854,IF(H856="TEMITA",PR!$BI854,IF(H856="THL",PR!$BJ854,IF(H856="UBASTIC",PR!$BK854,IF(H856="UNION",PR!$BL854,IF(H856="UNIQUE",PR!$BM854,IF(H856="VIXA",PR!$BN854,IF(H856="WWCV",PR!$BO854,IF(H856="ZOLON",PR!$BP854,"-"))))))))))))))))))))))))))))))))))))))))))))))))))))))))))))))))</f>
        <v>1200</v>
      </c>
      <c r="H856" s="102" t="str">
        <f>EV!M1073</f>
        <v>SANCON</v>
      </c>
      <c r="I856" s="108">
        <f>IF(J856="ALPHA",PR!$E854,IF(J856="ASSENE",PR!$F854,IF(J856="BIOFEM",PR!$G854,IF(J856="BIOMED",PR!$H854,IF(J856="CHI",PR!$I854,IF(J856="CLARION",PR!$J854,IF(J856="CODIX",PR!$K854,IF(J856="COSMADE",PR!$L854,IF(J856="SANCON",PR!$M854,IF(J856="DEVON",PR!$N854,IF(J856="DORTEMAG",PR!$O854,IF(J856="DGF",PR!$P854,IF(J856="DYNAMIC",PR!$Q854,IF(J856="EMZOR",PR!$R854,IF(J856="EUMATT",PR!$S854,IF(J856="FIDSON",PR!$T854,IF(J856="FCGLOBAL",PR!$U854,IF(J856="GENEITH",PR!$V854,IF(J856="GINOS",PR!$W854,IF(J856="GSK",PR!$X854,IF(J856="GLOBORG",PR!$Y854,IF(J856="GOODNEWS",PR!$Z854,IF(J856="GREENLIFE",PR!$AA854,IF(J856="HLINE",PR!$AB854,IF(J856="ROTECH",PR!$AC854,IF(J856="ISN",PR!$AD854,IF(J856="JAWA",PR!$AE854,IF(J856="LAYO",PR!$AF854,IF(J856="LEADWAY",PR!$AG854,IF(J856="LHV",PR!$AH854,IF(J856="MANOLA",PR!$AI854,IF(J856="MARCSON",PR!$AJ854,IF(J856="M&amp;B",PR!$AK854,IF(J856="MTRUST",PR!$AL854,IF(J856="MWORLD",PR!$AM854,IF(J856="MEGA",PR!$AN854,IF(J856="MICRONOVA",PR!$AO854,IF(J856="MFLASH",PR!$AP854,IF(J856="MORISON",PR!$AQ854,IF(J856="NEMEL",PR!$AR854,IF(J856="NHP",PR!$AS854,IF(J856="NHC",PR!$AT854,IF(J856="OLEAF",PR!$AU854,IF(J856="OCULUS",PR!$AV854,IF(J856="PACIFIC",PR!$AW854,IF(J856="PHAMATEX",PR!$AX854,IF(J856="PETHICS",PR!$AY854,IF(J856="PHILIPS",PR!$AZ854,IF(J856="RANBAXY",PR!$BA854,IF(J856="REALS",PR!$BB854,IF(J856="ROYAL",PR!$BC854,IF(J856="SAM",PR!$BD854,IF(J856="SEAGREEN",PR!$BE854,IF(J856="SKG",PR!$BF854,IF(J856="TAH",PR!$BG854,IF(J856="TAYLEK",PR!$BH854,IF(J856="TEMITA",PR!$BI854,IF(J856="THL",PR!$BJ854,IF(J856="UBASTIC",PR!$BK854,IF(J856="UNION",PR!$BL854,IF(J856="UNIQUE",PR!$BM854,IF(J856="VIXA",PR!$BN854,IF(J856="WWCV",PR!$BO854,IF(J856="ZOLON",PR!$BP854,"-"))))))))))))))))))))))))))))))))))))))))))))))))))))))))))))))))</f>
        <v>1560</v>
      </c>
      <c r="J856" s="102" t="str">
        <f>EV!N1073</f>
        <v>LAYO</v>
      </c>
      <c r="K856" s="433" t="s">
        <v>1463</v>
      </c>
      <c r="L856" s="183">
        <f>IF(K856&gt;0,IF(K856="ALPHA",PR!$E854,IF(K856="ASSENE",PR!$F854,IF(K856="BIOFEM",PR!$G854,IF(K856="BIOMED",PR!$H854,IF(K856="CHI",PR!$I854,IF(K856="CLARION",PR!$J854,IF(K856="CODIX",PR!$K854,IF(K856="COSMADE",PR!$L854,IF(K856="SANCON",PR!$M854,IF(K856="DEVON",PR!$N854,IF(K856="DORTEMAG",PR!$O854,IF(K856="DGF",PR!$P854,IF(K856="DYNAMIC",PR!$Q854,IF(K856="EMZOR",PR!$R854,IF(K856="EUMATT",PR!$S854,IF(K856="FIDSON",PR!$T854,IF(K856="FCGLOBAL",PR!$U854,IF(K856="GENEITH",PR!$V854,IF(K856="GINOS",PR!$W854,IF(K856="GSK",PR!$X854,IF(K856="GLOBORG",PR!$Y854,IF(K856="GOODNEWS",PR!$Z854,IF(K856="GREENLIFE",PR!$AA854,IF(K856="HLINE",PR!$AB854,IF(K856="ROTECH",PR!$AC854,IF(K856="ISN",PR!$AD854,IF(K856="JAWA",PR!$AE854,IF(K856="LAYO",PR!$AF854,IF(K856="LEADWAY",PR!$AG854,IF(K856="LHV",PR!$AH854,IF(K856="MANOLA",PR!$AI854,IF(K856="MARCSON",PR!$AJ854,IF(K856="M&amp;B",PR!$AK854,IF(K856="MTRUST",PR!$AL854,IF(K856="MWORLD",PR!$AM854,IF(K856="MEGA",PR!$AN854,IF(K856="MICRONOVA",PR!$AO854,IF(K856="MFLASH",PR!$AP854,IF(K856="MORISON",PR!$AQ854,IF(K856="NEMEL",PR!$AR854,IF(K856="NHP",PR!$AS854,IF(K856="NHC",PR!$AT854,IF(K856="OLEAF",PR!$AU854,IF(K856="OCULUS",PR!$AV854,IF(K856="PACIFIC",PR!$AW854,IF(K856="PHAMATEX",PR!$AX854,IF(K856="PETHICS",PR!$AY854,IF(K856="PHILIPS",PR!$AZ854,IF(K856="RANBAXY",PR!$BA854,IF(K856="REALS",PR!$BB854,IF(K856="ROYAL",PR!$BC854,IF(K856="SAM",PR!$BD854,IF(K856="SEAGREEN",PR!$BE854,IF(K856="SKG",PR!$BF854,IF(K856="TAH",PR!$BG854,IF(K856="TAYLEK",PR!$BH854,IF(K856="TEMITA",PR!$BI854,IF(K856="THL",PR!$BJ854,IF(K856="UBASTIC",PR!$BK854,IF(K856="UNION",PR!$BL854,IF(K856="UNIQUE",PR!$BM854,IF(K856="VIXA",PR!$BN854,IF(K856="WWCV",PR!$BO854,IF(K856="ZOLON",PR!$BP854,"-")))))))))))))))))))))))))))))))))))))))))))))))))))))))))))))))))</f>
        <v>1100</v>
      </c>
    </row>
    <row r="857" spans="1:12" ht="18.75" x14ac:dyDescent="0.3">
      <c r="A857" s="430">
        <f>PR!A855</f>
        <v>765</v>
      </c>
      <c r="B857" s="15" t="str">
        <f>PR!B855</f>
        <v>BEAKER 500ML PYREX GLASS</v>
      </c>
      <c r="C857" s="113" t="str">
        <f>PR!D855</f>
        <v>10 pcs</v>
      </c>
      <c r="D857" s="113">
        <f>PR!C855</f>
        <v>10</v>
      </c>
      <c r="E857" s="108">
        <f>IF(F857="ALPHA",PR!$E855,IF(F857="ASSENE",PR!$F855,IF(F857="BIOFEM",PR!$G855,IF(F857="BIOMED",PR!$H855,IF(F857="CHI",PR!$I855,IF(F857="CLARION",PR!$J855,IF(F857="CODIX",PR!$K855,IF(F857="COSMADE",PR!$L855,IF(F857="SANCON",PR!$M855,IF(F857="DEVON",PR!$N855,IF(F857="DORTEMAG",PR!$O855,IF(F857="DGF",PR!$P855,IF(F857="DYNAMIC",PR!$Q855,IF(F857="EMZOR",PR!$R855,IF(F857="EUMATT",PR!$S855,IF(F857="FIDSON",PR!$T855,IF(F857="FCGLOBAL",PR!$U855,IF(F857="GENEITH",PR!$V855,IF(F857="GINOS",PR!$W855,IF(F857="GSK",PR!$X855,IF(F857="GLOBORG",PR!$Y855,IF(F857="GOODNEWS",PR!$Z855,IF(F857="GREENLIFE",PR!$AA855,IF(F857="HLINE",PR!$AB855,IF(F857="ROTECH",PR!$AC855,IF(F857="ISN",PR!$AD855,IF(F857="JAWA",PR!$AE855,IF(F857="LAYO",PR!$AF855,IF(F857="LEADWAY",PR!$AG855,IF(F857="LHV",PR!$AH855,IF(F857="MANOLA",PR!$AI855,IF(F857="MARCSON",PR!$AJ855,IF(F857="M&amp;B",PR!$AK855,IF(F857="MTRUST",PR!$AL855,IF(F857="MWORLD",PR!$AM855,IF(F857="MEGA",PR!$AN855,IF(F857="MICRONOVA",PR!$AO855,IF(F857="MFLASH",PR!$AP855,IF(F857="MORISON",PR!$AQ855,IF(F857="NEMEL",PR!$AR855,IF(F857="NHP",PR!$AS855,IF(F857="NHC",PR!$AT855,IF(F857="OLEAF",PR!$AU855,IF(F857="OCULUS",PR!$AV855,IF(F857="PACIFIC",PR!$AW855,IF(F857="PHAMATEX",PR!$AX855,IF(F857="PETHICS",PR!$AY855,IF(F857="PHILIPS",PR!$AZ855,IF(F857="RANBAXY",PR!$BA855,IF(F857="REALS",PR!$BB855,IF(F857="ROYAL",PR!$BC855,IF(F857="SAM",PR!$BD855,IF(F857="SEAGREEN",PR!$BE855,IF(F857="SKG",PR!$BF855,IF(F857="TAH",PR!$BG855,IF(F857="TAYLEK",PR!$BH855,IF(F857="TEMITA",PR!$BI855,IF(F857="THL",PR!$BJ855,IF(F857="UBASTIC",PR!$BK855,IF(F857="UNION",PR!$BL855,IF(F857="UNIQUE",PR!$BM855,IF(F857="VIXA",PR!$BN855,IF(F857="WWCV",PR!$BO855,IF(F857="ZOLON",PR!$BP855,"-"))))))))))))))))))))))))))))))))))))))))))))))))))))))))))))))))</f>
        <v>800</v>
      </c>
      <c r="F857" s="102" t="str">
        <f>EV!L1074</f>
        <v>SANCON</v>
      </c>
      <c r="G857" s="108">
        <f>IF(H857="ALPHA",PR!$E855,IF(H857="ASSENE",PR!$F855,IF(H857="BIOFEM",PR!$G855,IF(H857="BIOMED",PR!$H855,IF(H857="CHI",PR!$I855,IF(H857="CLARION",PR!$J855,IF(H857="CODIX",PR!$K855,IF(H857="COSMADE",PR!$L855,IF(H857="SANCON",PR!$M855,IF(H857="DEVON",PR!$N855,IF(H857="DORTEMAG",PR!$O855,IF(H857="DGF",PR!$P855,IF(H857="DYNAMIC",PR!$Q855,IF(H857="EMZOR",PR!$R855,IF(H857="EUMATT",PR!$S855,IF(H857="FIDSON",PR!$T855,IF(H857="FCGLOBAL",PR!$U855,IF(H857="GENEITH",PR!$V855,IF(H857="GINOS",PR!$W855,IF(H857="GSK",PR!$X855,IF(H857="GLOBORG",PR!$Y855,IF(H857="GOODNEWS",PR!$Z855,IF(H857="GREENLIFE",PR!$AA855,IF(H857="HLINE",PR!$AB855,IF(H857="ROTECH",PR!$AC855,IF(H857="ISN",PR!$AD855,IF(H857="JAWA",PR!$AE855,IF(H857="LAYO",PR!$AF855,IF(H857="LEADWAY",PR!$AG855,IF(H857="LHV",PR!$AH855,IF(H857="MANOLA",PR!$AI855,IF(H857="MARCSON",PR!$AJ855,IF(H857="M&amp;B",PR!$AK855,IF(H857="MTRUST",PR!$AL855,IF(H857="MWORLD",PR!$AM855,IF(H857="MEGA",PR!$AN855,IF(H857="MICRONOVA",PR!$AO855,IF(H857="MFLASH",PR!$AP855,IF(H857="MORISON",PR!$AQ855,IF(H857="NEMEL",PR!$AR855,IF(H857="NHP",PR!$AS855,IF(H857="NHC",PR!$AT855,IF(H857="OLEAF",PR!$AU855,IF(H857="OCULUS",PR!$AV855,IF(H857="PACIFIC",PR!$AW855,IF(H857="PHAMATEX",PR!$AX855,IF(H857="PETHICS",PR!$AY855,IF(H857="PHILIPS",PR!$AZ855,IF(H857="RANBAXY",PR!$BA855,IF(H857="REALS",PR!$BB855,IF(H857="ROYAL",PR!$BC855,IF(H857="SAM",PR!$BD855,IF(H857="SEAGREEN",PR!$BE855,IF(H857="SKG",PR!$BF855,IF(H857="TAH",PR!$BG855,IF(H857="TAYLEK",PR!$BH855,IF(H857="TEMITA",PR!$BI855,IF(H857="THL",PR!$BJ855,IF(H857="UBASTIC",PR!$BK855,IF(H857="UNION",PR!$BL855,IF(H857="UNIQUE",PR!$BM855,IF(H857="VIXA",PR!$BN855,IF(H857="WWCV",PR!$BO855,IF(H857="ZOLON",PR!$BP855,"-"))))))))))))))))))))))))))))))))))))))))))))))))))))))))))))))))</f>
        <v>800</v>
      </c>
      <c r="H857" s="102" t="str">
        <f>EV!M1074</f>
        <v>TEMITA</v>
      </c>
      <c r="I857" s="108">
        <f>IF(J857="ALPHA",PR!$E855,IF(J857="ASSENE",PR!$F855,IF(J857="BIOFEM",PR!$G855,IF(J857="BIOMED",PR!$H855,IF(J857="CHI",PR!$I855,IF(J857="CLARION",PR!$J855,IF(J857="CODIX",PR!$K855,IF(J857="COSMADE",PR!$L855,IF(J857="SANCON",PR!$M855,IF(J857="DEVON",PR!$N855,IF(J857="DORTEMAG",PR!$O855,IF(J857="DGF",PR!$P855,IF(J857="DYNAMIC",PR!$Q855,IF(J857="EMZOR",PR!$R855,IF(J857="EUMATT",PR!$S855,IF(J857="FIDSON",PR!$T855,IF(J857="FCGLOBAL",PR!$U855,IF(J857="GENEITH",PR!$V855,IF(J857="GINOS",PR!$W855,IF(J857="GSK",PR!$X855,IF(J857="GLOBORG",PR!$Y855,IF(J857="GOODNEWS",PR!$Z855,IF(J857="GREENLIFE",PR!$AA855,IF(J857="HLINE",PR!$AB855,IF(J857="ROTECH",PR!$AC855,IF(J857="ISN",PR!$AD855,IF(J857="JAWA",PR!$AE855,IF(J857="LAYO",PR!$AF855,IF(J857="LEADWAY",PR!$AG855,IF(J857="LHV",PR!$AH855,IF(J857="MANOLA",PR!$AI855,IF(J857="MARCSON",PR!$AJ855,IF(J857="M&amp;B",PR!$AK855,IF(J857="MTRUST",PR!$AL855,IF(J857="MWORLD",PR!$AM855,IF(J857="MEGA",PR!$AN855,IF(J857="MICRONOVA",PR!$AO855,IF(J857="MFLASH",PR!$AP855,IF(J857="MORISON",PR!$AQ855,IF(J857="NEMEL",PR!$AR855,IF(J857="NHP",PR!$AS855,IF(J857="NHC",PR!$AT855,IF(J857="OLEAF",PR!$AU855,IF(J857="OCULUS",PR!$AV855,IF(J857="PACIFIC",PR!$AW855,IF(J857="PHAMATEX",PR!$AX855,IF(J857="PETHICS",PR!$AY855,IF(J857="PHILIPS",PR!$AZ855,IF(J857="RANBAXY",PR!$BA855,IF(J857="REALS",PR!$BB855,IF(J857="ROYAL",PR!$BC855,IF(J857="SAM",PR!$BD855,IF(J857="SEAGREEN",PR!$BE855,IF(J857="SKG",PR!$BF855,IF(J857="TAH",PR!$BG855,IF(J857="TAYLEK",PR!$BH855,IF(J857="TEMITA",PR!$BI855,IF(J857="THL",PR!$BJ855,IF(J857="UBASTIC",PR!$BK855,IF(J857="UNION",PR!$BL855,IF(J857="UNIQUE",PR!$BM855,IF(J857="VIXA",PR!$BN855,IF(J857="WWCV",PR!$BO855,IF(J857="ZOLON",PR!$BP855,"-"))))))))))))))))))))))))))))))))))))))))))))))))))))))))))))))))</f>
        <v>1500</v>
      </c>
      <c r="J857" s="102" t="str">
        <f>EV!N1074</f>
        <v>COSMADE</v>
      </c>
      <c r="K857" s="433" t="s">
        <v>817</v>
      </c>
      <c r="L857" s="183">
        <f>IF(K857&gt;0,IF(K857="ALPHA",PR!$E855,IF(K857="ASSENE",PR!$F855,IF(K857="BIOFEM",PR!$G855,IF(K857="BIOMED",PR!$H855,IF(K857="CHI",PR!$I855,IF(K857="CLARION",PR!$J855,IF(K857="CODIX",PR!$K855,IF(K857="COSMADE",PR!$L855,IF(K857="SANCON",PR!$M855,IF(K857="DEVON",PR!$N855,IF(K857="DORTEMAG",PR!$O855,IF(K857="DGF",PR!$P855,IF(K857="DYNAMIC",PR!$Q855,IF(K857="EMZOR",PR!$R855,IF(K857="EUMATT",PR!$S855,IF(K857="FIDSON",PR!$T855,IF(K857="FCGLOBAL",PR!$U855,IF(K857="GENEITH",PR!$V855,IF(K857="GINOS",PR!$W855,IF(K857="GSK",PR!$X855,IF(K857="GLOBORG",PR!$Y855,IF(K857="GOODNEWS",PR!$Z855,IF(K857="GREENLIFE",PR!$AA855,IF(K857="HLINE",PR!$AB855,IF(K857="ROTECH",PR!$AC855,IF(K857="ISN",PR!$AD855,IF(K857="JAWA",PR!$AE855,IF(K857="LAYO",PR!$AF855,IF(K857="LEADWAY",PR!$AG855,IF(K857="LHV",PR!$AH855,IF(K857="MANOLA",PR!$AI855,IF(K857="MARCSON",PR!$AJ855,IF(K857="M&amp;B",PR!$AK855,IF(K857="MTRUST",PR!$AL855,IF(K857="MWORLD",PR!$AM855,IF(K857="MEGA",PR!$AN855,IF(K857="MICRONOVA",PR!$AO855,IF(K857="MFLASH",PR!$AP855,IF(K857="MORISON",PR!$AQ855,IF(K857="NEMEL",PR!$AR855,IF(K857="NHP",PR!$AS855,IF(K857="NHC",PR!$AT855,IF(K857="OLEAF",PR!$AU855,IF(K857="OCULUS",PR!$AV855,IF(K857="PACIFIC",PR!$AW855,IF(K857="PHAMATEX",PR!$AX855,IF(K857="PETHICS",PR!$AY855,IF(K857="PHILIPS",PR!$AZ855,IF(K857="RANBAXY",PR!$BA855,IF(K857="REALS",PR!$BB855,IF(K857="ROYAL",PR!$BC855,IF(K857="SAM",PR!$BD855,IF(K857="SEAGREEN",PR!$BE855,IF(K857="SKG",PR!$BF855,IF(K857="TAH",PR!$BG855,IF(K857="TAYLEK",PR!$BH855,IF(K857="TEMITA",PR!$BI855,IF(K857="THL",PR!$BJ855,IF(K857="UBASTIC",PR!$BK855,IF(K857="UNION",PR!$BL855,IF(K857="UNIQUE",PR!$BM855,IF(K857="VIXA",PR!$BN855,IF(K857="WWCV",PR!$BO855,IF(K857="ZOLON",PR!$BP855,"-")))))))))))))))))))))))))))))))))))))))))))))))))))))))))))))))))</f>
        <v>800</v>
      </c>
    </row>
    <row r="858" spans="1:12" ht="18.75" x14ac:dyDescent="0.3">
      <c r="A858" s="430">
        <f>PR!A856</f>
        <v>766</v>
      </c>
      <c r="B858" s="15" t="str">
        <f>PR!B856</f>
        <v>NON-DIGITAL LAB. THERMOMETER</v>
      </c>
      <c r="C858" s="113" t="str">
        <f>PR!D856</f>
        <v>5 pcs</v>
      </c>
      <c r="D858" s="113">
        <f>PR!C856</f>
        <v>5</v>
      </c>
      <c r="E858" s="108">
        <f>IF(F858="ALPHA",PR!$E856,IF(F858="ASSENE",PR!$F856,IF(F858="BIOFEM",PR!$G856,IF(F858="BIOMED",PR!$H856,IF(F858="CHI",PR!$I856,IF(F858="CLARION",PR!$J856,IF(F858="CODIX",PR!$K856,IF(F858="COSMADE",PR!$L856,IF(F858="SANCON",PR!$M856,IF(F858="DEVON",PR!$N856,IF(F858="DORTEMAG",PR!$O856,IF(F858="DGF",PR!$P856,IF(F858="DYNAMIC",PR!$Q856,IF(F858="EMZOR",PR!$R856,IF(F858="EUMATT",PR!$S856,IF(F858="FIDSON",PR!$T856,IF(F858="FCGLOBAL",PR!$U856,IF(F858="GENEITH",PR!$V856,IF(F858="GINOS",PR!$W856,IF(F858="GSK",PR!$X856,IF(F858="GLOBORG",PR!$Y856,IF(F858="GOODNEWS",PR!$Z856,IF(F858="GREENLIFE",PR!$AA856,IF(F858="HLINE",PR!$AB856,IF(F858="ROTECH",PR!$AC856,IF(F858="ISN",PR!$AD856,IF(F858="JAWA",PR!$AE856,IF(F858="LAYO",PR!$AF856,IF(F858="LEADWAY",PR!$AG856,IF(F858="LHV",PR!$AH856,IF(F858="MANOLA",PR!$AI856,IF(F858="MARCSON",PR!$AJ856,IF(F858="M&amp;B",PR!$AK856,IF(F858="MTRUST",PR!$AL856,IF(F858="MWORLD",PR!$AM856,IF(F858="MEGA",PR!$AN856,IF(F858="MICRONOVA",PR!$AO856,IF(F858="MFLASH",PR!$AP856,IF(F858="MORISON",PR!$AQ856,IF(F858="NEMEL",PR!$AR856,IF(F858="NHP",PR!$AS856,IF(F858="NHC",PR!$AT856,IF(F858="OLEAF",PR!$AU856,IF(F858="OCULUS",PR!$AV856,IF(F858="PACIFIC",PR!$AW856,IF(F858="PHAMATEX",PR!$AX856,IF(F858="PETHICS",PR!$AY856,IF(F858="PHILIPS",PR!$AZ856,IF(F858="RANBAXY",PR!$BA856,IF(F858="REALS",PR!$BB856,IF(F858="ROYAL",PR!$BC856,IF(F858="SAM",PR!$BD856,IF(F858="SEAGREEN",PR!$BE856,IF(F858="SKG",PR!$BF856,IF(F858="TAH",PR!$BG856,IF(F858="TAYLEK",PR!$BH856,IF(F858="TEMITA",PR!$BI856,IF(F858="THL",PR!$BJ856,IF(F858="UBASTIC",PR!$BK856,IF(F858="UNION",PR!$BL856,IF(F858="UNIQUE",PR!$BM856,IF(F858="VIXA",PR!$BN856,IF(F858="WWCV",PR!$BO856,IF(F858="ZOLON",PR!$BP856,"-"))))))))))))))))))))))))))))))))))))))))))))))))))))))))))))))))</f>
        <v>500</v>
      </c>
      <c r="F858" s="102" t="str">
        <f>EV!L1075</f>
        <v>SANCON</v>
      </c>
      <c r="G858" s="108">
        <f>IF(H858="ALPHA",PR!$E856,IF(H858="ASSENE",PR!$F856,IF(H858="BIOFEM",PR!$G856,IF(H858="BIOMED",PR!$H856,IF(H858="CHI",PR!$I856,IF(H858="CLARION",PR!$J856,IF(H858="CODIX",PR!$K856,IF(H858="COSMADE",PR!$L856,IF(H858="SANCON",PR!$M856,IF(H858="DEVON",PR!$N856,IF(H858="DORTEMAG",PR!$O856,IF(H858="DGF",PR!$P856,IF(H858="DYNAMIC",PR!$Q856,IF(H858="EMZOR",PR!$R856,IF(H858="EUMATT",PR!$S856,IF(H858="FIDSON",PR!$T856,IF(H858="FCGLOBAL",PR!$U856,IF(H858="GENEITH",PR!$V856,IF(H858="GINOS",PR!$W856,IF(H858="GSK",PR!$X856,IF(H858="GLOBORG",PR!$Y856,IF(H858="GOODNEWS",PR!$Z856,IF(H858="GREENLIFE",PR!$AA856,IF(H858="HLINE",PR!$AB856,IF(H858="ROTECH",PR!$AC856,IF(H858="ISN",PR!$AD856,IF(H858="JAWA",PR!$AE856,IF(H858="LAYO",PR!$AF856,IF(H858="LEADWAY",PR!$AG856,IF(H858="LHV",PR!$AH856,IF(H858="MANOLA",PR!$AI856,IF(H858="MARCSON",PR!$AJ856,IF(H858="M&amp;B",PR!$AK856,IF(H858="MTRUST",PR!$AL856,IF(H858="MWORLD",PR!$AM856,IF(H858="MEGA",PR!$AN856,IF(H858="MICRONOVA",PR!$AO856,IF(H858="MFLASH",PR!$AP856,IF(H858="MORISON",PR!$AQ856,IF(H858="NEMEL",PR!$AR856,IF(H858="NHP",PR!$AS856,IF(H858="NHC",PR!$AT856,IF(H858="OLEAF",PR!$AU856,IF(H858="OCULUS",PR!$AV856,IF(H858="PACIFIC",PR!$AW856,IF(H858="PHAMATEX",PR!$AX856,IF(H858="PETHICS",PR!$AY856,IF(H858="PHILIPS",PR!$AZ856,IF(H858="RANBAXY",PR!$BA856,IF(H858="REALS",PR!$BB856,IF(H858="ROYAL",PR!$BC856,IF(H858="SAM",PR!$BD856,IF(H858="SEAGREEN",PR!$BE856,IF(H858="SKG",PR!$BF856,IF(H858="TAH",PR!$BG856,IF(H858="TAYLEK",PR!$BH856,IF(H858="TEMITA",PR!$BI856,IF(H858="THL",PR!$BJ856,IF(H858="UBASTIC",PR!$BK856,IF(H858="UNION",PR!$BL856,IF(H858="UNIQUE",PR!$BM856,IF(H858="VIXA",PR!$BN856,IF(H858="WWCV",PR!$BO856,IF(H858="ZOLON",PR!$BP856,"-"))))))))))))))))))))))))))))))))))))))))))))))))))))))))))))))))</f>
        <v>1125</v>
      </c>
      <c r="H858" s="102" t="str">
        <f>EV!M1075</f>
        <v>DYNAMIC</v>
      </c>
      <c r="I858" s="108">
        <f>IF(J858="ALPHA",PR!$E856,IF(J858="ASSENE",PR!$F856,IF(J858="BIOFEM",PR!$G856,IF(J858="BIOMED",PR!$H856,IF(J858="CHI",PR!$I856,IF(J858="CLARION",PR!$J856,IF(J858="CODIX",PR!$K856,IF(J858="COSMADE",PR!$L856,IF(J858="SANCON",PR!$M856,IF(J858="DEVON",PR!$N856,IF(J858="DORTEMAG",PR!$O856,IF(J858="DGF",PR!$P856,IF(J858="DYNAMIC",PR!$Q856,IF(J858="EMZOR",PR!$R856,IF(J858="EUMATT",PR!$S856,IF(J858="FIDSON",PR!$T856,IF(J858="FCGLOBAL",PR!$U856,IF(J858="GENEITH",PR!$V856,IF(J858="GINOS",PR!$W856,IF(J858="GSK",PR!$X856,IF(J858="GLOBORG",PR!$Y856,IF(J858="GOODNEWS",PR!$Z856,IF(J858="GREENLIFE",PR!$AA856,IF(J858="HLINE",PR!$AB856,IF(J858="ROTECH",PR!$AC856,IF(J858="ISN",PR!$AD856,IF(J858="JAWA",PR!$AE856,IF(J858="LAYO",PR!$AF856,IF(J858="LEADWAY",PR!$AG856,IF(J858="LHV",PR!$AH856,IF(J858="MANOLA",PR!$AI856,IF(J858="MARCSON",PR!$AJ856,IF(J858="M&amp;B",PR!$AK856,IF(J858="MTRUST",PR!$AL856,IF(J858="MWORLD",PR!$AM856,IF(J858="MEGA",PR!$AN856,IF(J858="MICRONOVA",PR!$AO856,IF(J858="MFLASH",PR!$AP856,IF(J858="MORISON",PR!$AQ856,IF(J858="NEMEL",PR!$AR856,IF(J858="NHP",PR!$AS856,IF(J858="NHC",PR!$AT856,IF(J858="OLEAF",PR!$AU856,IF(J858="OCULUS",PR!$AV856,IF(J858="PACIFIC",PR!$AW856,IF(J858="PHAMATEX",PR!$AX856,IF(J858="PETHICS",PR!$AY856,IF(J858="PHILIPS",PR!$AZ856,IF(J858="RANBAXY",PR!$BA856,IF(J858="REALS",PR!$BB856,IF(J858="ROYAL",PR!$BC856,IF(J858="SAM",PR!$BD856,IF(J858="SEAGREEN",PR!$BE856,IF(J858="SKG",PR!$BF856,IF(J858="TAH",PR!$BG856,IF(J858="TAYLEK",PR!$BH856,IF(J858="TEMITA",PR!$BI856,IF(J858="THL",PR!$BJ856,IF(J858="UBASTIC",PR!$BK856,IF(J858="UNION",PR!$BL856,IF(J858="UNIQUE",PR!$BM856,IF(J858="VIXA",PR!$BN856,IF(J858="WWCV",PR!$BO856,IF(J858="ZOLON",PR!$BP856,"-"))))))))))))))))))))))))))))))))))))))))))))))))))))))))))))))))</f>
        <v>1300</v>
      </c>
      <c r="J858" s="102" t="str">
        <f>EV!N1075</f>
        <v>LAYO</v>
      </c>
      <c r="K858" s="433" t="s">
        <v>817</v>
      </c>
      <c r="L858" s="183">
        <f>IF(K858&gt;0,IF(K858="ALPHA",PR!$E856,IF(K858="ASSENE",PR!$F856,IF(K858="BIOFEM",PR!$G856,IF(K858="BIOMED",PR!$H856,IF(K858="CHI",PR!$I856,IF(K858="CLARION",PR!$J856,IF(K858="CODIX",PR!$K856,IF(K858="COSMADE",PR!$L856,IF(K858="SANCON",PR!$M856,IF(K858="DEVON",PR!$N856,IF(K858="DORTEMAG",PR!$O856,IF(K858="DGF",PR!$P856,IF(K858="DYNAMIC",PR!$Q856,IF(K858="EMZOR",PR!$R856,IF(K858="EUMATT",PR!$S856,IF(K858="FIDSON",PR!$T856,IF(K858="FCGLOBAL",PR!$U856,IF(K858="GENEITH",PR!$V856,IF(K858="GINOS",PR!$W856,IF(K858="GSK",PR!$X856,IF(K858="GLOBORG",PR!$Y856,IF(K858="GOODNEWS",PR!$Z856,IF(K858="GREENLIFE",PR!$AA856,IF(K858="HLINE",PR!$AB856,IF(K858="ROTECH",PR!$AC856,IF(K858="ISN",PR!$AD856,IF(K858="JAWA",PR!$AE856,IF(K858="LAYO",PR!$AF856,IF(K858="LEADWAY",PR!$AG856,IF(K858="LHV",PR!$AH856,IF(K858="MANOLA",PR!$AI856,IF(K858="MARCSON",PR!$AJ856,IF(K858="M&amp;B",PR!$AK856,IF(K858="MTRUST",PR!$AL856,IF(K858="MWORLD",PR!$AM856,IF(K858="MEGA",PR!$AN856,IF(K858="MICRONOVA",PR!$AO856,IF(K858="MFLASH",PR!$AP856,IF(K858="MORISON",PR!$AQ856,IF(K858="NEMEL",PR!$AR856,IF(K858="NHP",PR!$AS856,IF(K858="NHC",PR!$AT856,IF(K858="OLEAF",PR!$AU856,IF(K858="OCULUS",PR!$AV856,IF(K858="PACIFIC",PR!$AW856,IF(K858="PHAMATEX",PR!$AX856,IF(K858="PETHICS",PR!$AY856,IF(K858="PHILIPS",PR!$AZ856,IF(K858="RANBAXY",PR!$BA856,IF(K858="REALS",PR!$BB856,IF(K858="ROYAL",PR!$BC856,IF(K858="SAM",PR!$BD856,IF(K858="SEAGREEN",PR!$BE856,IF(K858="SKG",PR!$BF856,IF(K858="TAH",PR!$BG856,IF(K858="TAYLEK",PR!$BH856,IF(K858="TEMITA",PR!$BI856,IF(K858="THL",PR!$BJ856,IF(K858="UBASTIC",PR!$BK856,IF(K858="UNION",PR!$BL856,IF(K858="UNIQUE",PR!$BM856,IF(K858="VIXA",PR!$BN856,IF(K858="WWCV",PR!$BO856,IF(K858="ZOLON",PR!$BP856,"-")))))))))))))))))))))))))))))))))))))))))))))))))))))))))))))))))</f>
        <v>500</v>
      </c>
    </row>
    <row r="859" spans="1:12" ht="18.75" x14ac:dyDescent="0.3">
      <c r="A859" s="430">
        <f>PR!A857</f>
        <v>767</v>
      </c>
      <c r="B859" s="15" t="str">
        <f>PR!B857</f>
        <v>ELASTIC TORNIQUETS</v>
      </c>
      <c r="C859" s="113" t="str">
        <f>PR!D857</f>
        <v>6 pcs</v>
      </c>
      <c r="D859" s="113">
        <f>PR!C857</f>
        <v>6</v>
      </c>
      <c r="E859" s="108">
        <f>IF(F859="ALPHA",PR!$E857,IF(F859="ASSENE",PR!$F857,IF(F859="BIOFEM",PR!$G857,IF(F859="BIOMED",PR!$H857,IF(F859="CHI",PR!$I857,IF(F859="CLARION",PR!$J857,IF(F859="CODIX",PR!$K857,IF(F859="COSMADE",PR!$L857,IF(F859="SANCON",PR!$M857,IF(F859="DEVON",PR!$N857,IF(F859="DORTEMAG",PR!$O857,IF(F859="DGF",PR!$P857,IF(F859="DYNAMIC",PR!$Q857,IF(F859="EMZOR",PR!$R857,IF(F859="EUMATT",PR!$S857,IF(F859="FIDSON",PR!$T857,IF(F859="FCGLOBAL",PR!$U857,IF(F859="GENEITH",PR!$V857,IF(F859="GINOS",PR!$W857,IF(F859="GSK",PR!$X857,IF(F859="GLOBORG",PR!$Y857,IF(F859="GOODNEWS",PR!$Z857,IF(F859="GREENLIFE",PR!$AA857,IF(F859="HLINE",PR!$AB857,IF(F859="ROTECH",PR!$AC857,IF(F859="ISN",PR!$AD857,IF(F859="JAWA",PR!$AE857,IF(F859="LAYO",PR!$AF857,IF(F859="LEADWAY",PR!$AG857,IF(F859="LHV",PR!$AH857,IF(F859="MANOLA",PR!$AI857,IF(F859="MARCSON",PR!$AJ857,IF(F859="M&amp;B",PR!$AK857,IF(F859="MTRUST",PR!$AL857,IF(F859="MWORLD",PR!$AM857,IF(F859="MEGA",PR!$AN857,IF(F859="MICRONOVA",PR!$AO857,IF(F859="MFLASH",PR!$AP857,IF(F859="MORISON",PR!$AQ857,IF(F859="NEMEL",PR!$AR857,IF(F859="NHP",PR!$AS857,IF(F859="NHC",PR!$AT857,IF(F859="OLEAF",PR!$AU857,IF(F859="OCULUS",PR!$AV857,IF(F859="PACIFIC",PR!$AW857,IF(F859="PHAMATEX",PR!$AX857,IF(F859="PETHICS",PR!$AY857,IF(F859="PHILIPS",PR!$AZ857,IF(F859="RANBAXY",PR!$BA857,IF(F859="REALS",PR!$BB857,IF(F859="ROYAL",PR!$BC857,IF(F859="SAM",PR!$BD857,IF(F859="SEAGREEN",PR!$BE857,IF(F859="SKG",PR!$BF857,IF(F859="TAH",PR!$BG857,IF(F859="TAYLEK",PR!$BH857,IF(F859="TEMITA",PR!$BI857,IF(F859="THL",PR!$BJ857,IF(F859="UBASTIC",PR!$BK857,IF(F859="UNION",PR!$BL857,IF(F859="UNIQUE",PR!$BM857,IF(F859="VIXA",PR!$BN857,IF(F859="WWCV",PR!$BO857,IF(F859="ZOLON",PR!$BP857,"-"))))))))))))))))))))))))))))))))))))))))))))))))))))))))))))))))</f>
        <v>650</v>
      </c>
      <c r="F859" s="102" t="str">
        <f>EV!L1076</f>
        <v>UBASTIC</v>
      </c>
      <c r="G859" s="108">
        <f>IF(H859="ALPHA",PR!$E857,IF(H859="ASSENE",PR!$F857,IF(H859="BIOFEM",PR!$G857,IF(H859="BIOMED",PR!$H857,IF(H859="CHI",PR!$I857,IF(H859="CLARION",PR!$J857,IF(H859="CODIX",PR!$K857,IF(H859="COSMADE",PR!$L857,IF(H859="SANCON",PR!$M857,IF(H859="DEVON",PR!$N857,IF(H859="DORTEMAG",PR!$O857,IF(H859="DGF",PR!$P857,IF(H859="DYNAMIC",PR!$Q857,IF(H859="EMZOR",PR!$R857,IF(H859="EUMATT",PR!$S857,IF(H859="FIDSON",PR!$T857,IF(H859="FCGLOBAL",PR!$U857,IF(H859="GENEITH",PR!$V857,IF(H859="GINOS",PR!$W857,IF(H859="GSK",PR!$X857,IF(H859="GLOBORG",PR!$Y857,IF(H859="GOODNEWS",PR!$Z857,IF(H859="GREENLIFE",PR!$AA857,IF(H859="HLINE",PR!$AB857,IF(H859="ROTECH",PR!$AC857,IF(H859="ISN",PR!$AD857,IF(H859="JAWA",PR!$AE857,IF(H859="LAYO",PR!$AF857,IF(H859="LEADWAY",PR!$AG857,IF(H859="LHV",PR!$AH857,IF(H859="MANOLA",PR!$AI857,IF(H859="MARCSON",PR!$AJ857,IF(H859="M&amp;B",PR!$AK857,IF(H859="MTRUST",PR!$AL857,IF(H859="MWORLD",PR!$AM857,IF(H859="MEGA",PR!$AN857,IF(H859="MICRONOVA",PR!$AO857,IF(H859="MFLASH",PR!$AP857,IF(H859="MORISON",PR!$AQ857,IF(H859="NEMEL",PR!$AR857,IF(H859="NHP",PR!$AS857,IF(H859="NHC",PR!$AT857,IF(H859="OLEAF",PR!$AU857,IF(H859="OCULUS",PR!$AV857,IF(H859="PACIFIC",PR!$AW857,IF(H859="PHAMATEX",PR!$AX857,IF(H859="PETHICS",PR!$AY857,IF(H859="PHILIPS",PR!$AZ857,IF(H859="RANBAXY",PR!$BA857,IF(H859="REALS",PR!$BB857,IF(H859="ROYAL",PR!$BC857,IF(H859="SAM",PR!$BD857,IF(H859="SEAGREEN",PR!$BE857,IF(H859="SKG",PR!$BF857,IF(H859="TAH",PR!$BG857,IF(H859="TAYLEK",PR!$BH857,IF(H859="TEMITA",PR!$BI857,IF(H859="THL",PR!$BJ857,IF(H859="UBASTIC",PR!$BK857,IF(H859="UNION",PR!$BL857,IF(H859="UNIQUE",PR!$BM857,IF(H859="VIXA",PR!$BN857,IF(H859="WWCV",PR!$BO857,IF(H859="ZOLON",PR!$BP857,"-"))))))))))))))))))))))))))))))))))))))))))))))))))))))))))))))))</f>
        <v>750</v>
      </c>
      <c r="H859" s="102" t="str">
        <f>EV!M1076</f>
        <v>DYNAMIC</v>
      </c>
      <c r="I859" s="108">
        <f>IF(J859="ALPHA",PR!$E857,IF(J859="ASSENE",PR!$F857,IF(J859="BIOFEM",PR!$G857,IF(J859="BIOMED",PR!$H857,IF(J859="CHI",PR!$I857,IF(J859="CLARION",PR!$J857,IF(J859="CODIX",PR!$K857,IF(J859="COSMADE",PR!$L857,IF(J859="SANCON",PR!$M857,IF(J859="DEVON",PR!$N857,IF(J859="DORTEMAG",PR!$O857,IF(J859="DGF",PR!$P857,IF(J859="DYNAMIC",PR!$Q857,IF(J859="EMZOR",PR!$R857,IF(J859="EUMATT",PR!$S857,IF(J859="FIDSON",PR!$T857,IF(J859="FCGLOBAL",PR!$U857,IF(J859="GENEITH",PR!$V857,IF(J859="GINOS",PR!$W857,IF(J859="GSK",PR!$X857,IF(J859="GLOBORG",PR!$Y857,IF(J859="GOODNEWS",PR!$Z857,IF(J859="GREENLIFE",PR!$AA857,IF(J859="HLINE",PR!$AB857,IF(J859="ROTECH",PR!$AC857,IF(J859="ISN",PR!$AD857,IF(J859="JAWA",PR!$AE857,IF(J859="LAYO",PR!$AF857,IF(J859="LEADWAY",PR!$AG857,IF(J859="LHV",PR!$AH857,IF(J859="MANOLA",PR!$AI857,IF(J859="MARCSON",PR!$AJ857,IF(J859="M&amp;B",PR!$AK857,IF(J859="MTRUST",PR!$AL857,IF(J859="MWORLD",PR!$AM857,IF(J859="MEGA",PR!$AN857,IF(J859="MICRONOVA",PR!$AO857,IF(J859="MFLASH",PR!$AP857,IF(J859="MORISON",PR!$AQ857,IF(J859="NEMEL",PR!$AR857,IF(J859="NHP",PR!$AS857,IF(J859="NHC",PR!$AT857,IF(J859="OLEAF",PR!$AU857,IF(J859="OCULUS",PR!$AV857,IF(J859="PACIFIC",PR!$AW857,IF(J859="PHAMATEX",PR!$AX857,IF(J859="PETHICS",PR!$AY857,IF(J859="PHILIPS",PR!$AZ857,IF(J859="RANBAXY",PR!$BA857,IF(J859="REALS",PR!$BB857,IF(J859="ROYAL",PR!$BC857,IF(J859="SAM",PR!$BD857,IF(J859="SEAGREEN",PR!$BE857,IF(J859="SKG",PR!$BF857,IF(J859="TAH",PR!$BG857,IF(J859="TAYLEK",PR!$BH857,IF(J859="TEMITA",PR!$BI857,IF(J859="THL",PR!$BJ857,IF(J859="UBASTIC",PR!$BK857,IF(J859="UNION",PR!$BL857,IF(J859="UNIQUE",PR!$BM857,IF(J859="VIXA",PR!$BN857,IF(J859="WWCV",PR!$BO857,IF(J859="ZOLON",PR!$BP857,"-"))))))))))))))))))))))))))))))))))))))))))))))))))))))))))))))))</f>
        <v>900</v>
      </c>
      <c r="J859" s="102" t="str">
        <f>EV!N1076</f>
        <v>SANCON</v>
      </c>
      <c r="K859" s="433" t="s">
        <v>1459</v>
      </c>
      <c r="L859" s="183">
        <f>IF(K859&gt;0,IF(K859="ALPHA",PR!$E857,IF(K859="ASSENE",PR!$F857,IF(K859="BIOFEM",PR!$G857,IF(K859="BIOMED",PR!$H857,IF(K859="CHI",PR!$I857,IF(K859="CLARION",PR!$J857,IF(K859="CODIX",PR!$K857,IF(K859="COSMADE",PR!$L857,IF(K859="SANCON",PR!$M857,IF(K859="DEVON",PR!$N857,IF(K859="DORTEMAG",PR!$O857,IF(K859="DGF",PR!$P857,IF(K859="DYNAMIC",PR!$Q857,IF(K859="EMZOR",PR!$R857,IF(K859="EUMATT",PR!$S857,IF(K859="FIDSON",PR!$T857,IF(K859="FCGLOBAL",PR!$U857,IF(K859="GENEITH",PR!$V857,IF(K859="GINOS",PR!$W857,IF(K859="GSK",PR!$X857,IF(K859="GLOBORG",PR!$Y857,IF(K859="GOODNEWS",PR!$Z857,IF(K859="GREENLIFE",PR!$AA857,IF(K859="HLINE",PR!$AB857,IF(K859="ROTECH",PR!$AC857,IF(K859="ISN",PR!$AD857,IF(K859="JAWA",PR!$AE857,IF(K859="LAYO",PR!$AF857,IF(K859="LEADWAY",PR!$AG857,IF(K859="LHV",PR!$AH857,IF(K859="MANOLA",PR!$AI857,IF(K859="MARCSON",PR!$AJ857,IF(K859="M&amp;B",PR!$AK857,IF(K859="MTRUST",PR!$AL857,IF(K859="MWORLD",PR!$AM857,IF(K859="MEGA",PR!$AN857,IF(K859="MICRONOVA",PR!$AO857,IF(K859="MFLASH",PR!$AP857,IF(K859="MORISON",PR!$AQ857,IF(K859="NEMEL",PR!$AR857,IF(K859="NHP",PR!$AS857,IF(K859="NHC",PR!$AT857,IF(K859="OLEAF",PR!$AU857,IF(K859="OCULUS",PR!$AV857,IF(K859="PACIFIC",PR!$AW857,IF(K859="PHAMATEX",PR!$AX857,IF(K859="PETHICS",PR!$AY857,IF(K859="PHILIPS",PR!$AZ857,IF(K859="RANBAXY",PR!$BA857,IF(K859="REALS",PR!$BB857,IF(K859="ROYAL",PR!$BC857,IF(K859="SAM",PR!$BD857,IF(K859="SEAGREEN",PR!$BE857,IF(K859="SKG",PR!$BF857,IF(K859="TAH",PR!$BG857,IF(K859="TAYLEK",PR!$BH857,IF(K859="TEMITA",PR!$BI857,IF(K859="THL",PR!$BJ857,IF(K859="UBASTIC",PR!$BK857,IF(K859="UNION",PR!$BL857,IF(K859="UNIQUE",PR!$BM857,IF(K859="VIXA",PR!$BN857,IF(K859="WWCV",PR!$BO857,IF(K859="ZOLON",PR!$BP857,"-")))))))))))))))))))))))))))))))))))))))))))))))))))))))))))))))))</f>
        <v>650</v>
      </c>
    </row>
    <row r="860" spans="1:12" ht="18.75" x14ac:dyDescent="0.3">
      <c r="A860" s="430">
        <f>PR!A858</f>
        <v>768</v>
      </c>
      <c r="B860" s="15" t="str">
        <f>PR!B858</f>
        <v>ELECTRONIC THERMOMETER</v>
      </c>
      <c r="C860" s="113" t="str">
        <f>PR!D858</f>
        <v>4 pcs</v>
      </c>
      <c r="D860" s="113">
        <f>PR!C858</f>
        <v>4</v>
      </c>
      <c r="E860" s="108">
        <f>IF(F860="ALPHA",PR!$E858,IF(F860="ASSENE",PR!$F858,IF(F860="BIOFEM",PR!$G858,IF(F860="BIOMED",PR!$H858,IF(F860="CHI",PR!$I858,IF(F860="CLARION",PR!$J858,IF(F860="CODIX",PR!$K858,IF(F860="COSMADE",PR!$L858,IF(F860="SANCON",PR!$M858,IF(F860="DEVON",PR!$N858,IF(F860="DORTEMAG",PR!$O858,IF(F860="DGF",PR!$P858,IF(F860="DYNAMIC",PR!$Q858,IF(F860="EMZOR",PR!$R858,IF(F860="EUMATT",PR!$S858,IF(F860="FIDSON",PR!$T858,IF(F860="FCGLOBAL",PR!$U858,IF(F860="GENEITH",PR!$V858,IF(F860="GINOS",PR!$W858,IF(F860="GSK",PR!$X858,IF(F860="GLOBORG",PR!$Y858,IF(F860="GOODNEWS",PR!$Z858,IF(F860="GREENLIFE",PR!$AA858,IF(F860="HLINE",PR!$AB858,IF(F860="ROTECH",PR!$AC858,IF(F860="ISN",PR!$AD858,IF(F860="JAWA",PR!$AE858,IF(F860="LAYO",PR!$AF858,IF(F860="LEADWAY",PR!$AG858,IF(F860="LHV",PR!$AH858,IF(F860="MANOLA",PR!$AI858,IF(F860="MARCSON",PR!$AJ858,IF(F860="M&amp;B",PR!$AK858,IF(F860="MTRUST",PR!$AL858,IF(F860="MWORLD",PR!$AM858,IF(F860="MEGA",PR!$AN858,IF(F860="MICRONOVA",PR!$AO858,IF(F860="MFLASH",PR!$AP858,IF(F860="MORISON",PR!$AQ858,IF(F860="NEMEL",PR!$AR858,IF(F860="NHP",PR!$AS858,IF(F860="NHC",PR!$AT858,IF(F860="OLEAF",PR!$AU858,IF(F860="OCULUS",PR!$AV858,IF(F860="PACIFIC",PR!$AW858,IF(F860="PHAMATEX",PR!$AX858,IF(F860="PETHICS",PR!$AY858,IF(F860="PHILIPS",PR!$AZ858,IF(F860="RANBAXY",PR!$BA858,IF(F860="REALS",PR!$BB858,IF(F860="ROYAL",PR!$BC858,IF(F860="SAM",PR!$BD858,IF(F860="SEAGREEN",PR!$BE858,IF(F860="SKG",PR!$BF858,IF(F860="TAH",PR!$BG858,IF(F860="TAYLEK",PR!$BH858,IF(F860="TEMITA",PR!$BI858,IF(F860="THL",PR!$BJ858,IF(F860="UBASTIC",PR!$BK858,IF(F860="UNION",PR!$BL858,IF(F860="UNIQUE",PR!$BM858,IF(F860="VIXA",PR!$BN858,IF(F860="WWCV",PR!$BO858,IF(F860="ZOLON",PR!$BP858,"-"))))))))))))))))))))))))))))))))))))))))))))))))))))))))))))))))</f>
        <v>3900</v>
      </c>
      <c r="F860" s="102" t="str">
        <f>EV!L1077</f>
        <v>LAYO</v>
      </c>
      <c r="G860" s="108">
        <f>IF(H860="ALPHA",PR!$E858,IF(H860="ASSENE",PR!$F858,IF(H860="BIOFEM",PR!$G858,IF(H860="BIOMED",PR!$H858,IF(H860="CHI",PR!$I858,IF(H860="CLARION",PR!$J858,IF(H860="CODIX",PR!$K858,IF(H860="COSMADE",PR!$L858,IF(H860="SANCON",PR!$M858,IF(H860="DEVON",PR!$N858,IF(H860="DORTEMAG",PR!$O858,IF(H860="DGF",PR!$P858,IF(H860="DYNAMIC",PR!$Q858,IF(H860="EMZOR",PR!$R858,IF(H860="EUMATT",PR!$S858,IF(H860="FIDSON",PR!$T858,IF(H860="FCGLOBAL",PR!$U858,IF(H860="GENEITH",PR!$V858,IF(H860="GINOS",PR!$W858,IF(H860="GSK",PR!$X858,IF(H860="GLOBORG",PR!$Y858,IF(H860="GOODNEWS",PR!$Z858,IF(H860="GREENLIFE",PR!$AA858,IF(H860="HLINE",PR!$AB858,IF(H860="ROTECH",PR!$AC858,IF(H860="ISN",PR!$AD858,IF(H860="JAWA",PR!$AE858,IF(H860="LAYO",PR!$AF858,IF(H860="LEADWAY",PR!$AG858,IF(H860="LHV",PR!$AH858,IF(H860="MANOLA",PR!$AI858,IF(H860="MARCSON",PR!$AJ858,IF(H860="M&amp;B",PR!$AK858,IF(H860="MTRUST",PR!$AL858,IF(H860="MWORLD",PR!$AM858,IF(H860="MEGA",PR!$AN858,IF(H860="MICRONOVA",PR!$AO858,IF(H860="MFLASH",PR!$AP858,IF(H860="MORISON",PR!$AQ858,IF(H860="NEMEL",PR!$AR858,IF(H860="NHP",PR!$AS858,IF(H860="NHC",PR!$AT858,IF(H860="OLEAF",PR!$AU858,IF(H860="OCULUS",PR!$AV858,IF(H860="PACIFIC",PR!$AW858,IF(H860="PHAMATEX",PR!$AX858,IF(H860="PETHICS",PR!$AY858,IF(H860="PHILIPS",PR!$AZ858,IF(H860="RANBAXY",PR!$BA858,IF(H860="REALS",PR!$BB858,IF(H860="ROYAL",PR!$BC858,IF(H860="SAM",PR!$BD858,IF(H860="SEAGREEN",PR!$BE858,IF(H860="SKG",PR!$BF858,IF(H860="TAH",PR!$BG858,IF(H860="TAYLEK",PR!$BH858,IF(H860="TEMITA",PR!$BI858,IF(H860="THL",PR!$BJ858,IF(H860="UBASTIC",PR!$BK858,IF(H860="UNION",PR!$BL858,IF(H860="UNIQUE",PR!$BM858,IF(H860="VIXA",PR!$BN858,IF(H860="WWCV",PR!$BO858,IF(H860="ZOLON",PR!$BP858,"-"))))))))))))))))))))))))))))))))))))))))))))))))))))))))))))))))</f>
        <v>5000</v>
      </c>
      <c r="H860" s="102" t="str">
        <f>EV!M1077</f>
        <v>COSMADE</v>
      </c>
      <c r="I860" s="108">
        <f>IF(J860="ALPHA",PR!$E858,IF(J860="ASSENE",PR!$F858,IF(J860="BIOFEM",PR!$G858,IF(J860="BIOMED",PR!$H858,IF(J860="CHI",PR!$I858,IF(J860="CLARION",PR!$J858,IF(J860="CODIX",PR!$K858,IF(J860="COSMADE",PR!$L858,IF(J860="SANCON",PR!$M858,IF(J860="DEVON",PR!$N858,IF(J860="DORTEMAG",PR!$O858,IF(J860="DGF",PR!$P858,IF(J860="DYNAMIC",PR!$Q858,IF(J860="EMZOR",PR!$R858,IF(J860="EUMATT",PR!$S858,IF(J860="FIDSON",PR!$T858,IF(J860="FCGLOBAL",PR!$U858,IF(J860="GENEITH",PR!$V858,IF(J860="GINOS",PR!$W858,IF(J860="GSK",PR!$X858,IF(J860="GLOBORG",PR!$Y858,IF(J860="GOODNEWS",PR!$Z858,IF(J860="GREENLIFE",PR!$AA858,IF(J860="HLINE",PR!$AB858,IF(J860="ROTECH",PR!$AC858,IF(J860="ISN",PR!$AD858,IF(J860="JAWA",PR!$AE858,IF(J860="LAYO",PR!$AF858,IF(J860="LEADWAY",PR!$AG858,IF(J860="LHV",PR!$AH858,IF(J860="MANOLA",PR!$AI858,IF(J860="MARCSON",PR!$AJ858,IF(J860="M&amp;B",PR!$AK858,IF(J860="MTRUST",PR!$AL858,IF(J860="MWORLD",PR!$AM858,IF(J860="MEGA",PR!$AN858,IF(J860="MICRONOVA",PR!$AO858,IF(J860="MFLASH",PR!$AP858,IF(J860="MORISON",PR!$AQ858,IF(J860="NEMEL",PR!$AR858,IF(J860="NHP",PR!$AS858,IF(J860="NHC",PR!$AT858,IF(J860="OLEAF",PR!$AU858,IF(J860="OCULUS",PR!$AV858,IF(J860="PACIFIC",PR!$AW858,IF(J860="PHAMATEX",PR!$AX858,IF(J860="PETHICS",PR!$AY858,IF(J860="PHILIPS",PR!$AZ858,IF(J860="RANBAXY",PR!$BA858,IF(J860="REALS",PR!$BB858,IF(J860="ROYAL",PR!$BC858,IF(J860="SAM",PR!$BD858,IF(J860="SEAGREEN",PR!$BE858,IF(J860="SKG",PR!$BF858,IF(J860="TAH",PR!$BG858,IF(J860="TAYLEK",PR!$BH858,IF(J860="TEMITA",PR!$BI858,IF(J860="THL",PR!$BJ858,IF(J860="UBASTIC",PR!$BK858,IF(J860="UNION",PR!$BL858,IF(J860="UNIQUE",PR!$BM858,IF(J860="VIXA",PR!$BN858,IF(J860="WWCV",PR!$BO858,IF(J860="ZOLON",PR!$BP858,"-"))))))))))))))))))))))))))))))))))))))))))))))))))))))))))))))))</f>
        <v>5625</v>
      </c>
      <c r="J860" s="102" t="str">
        <f>EV!N1077</f>
        <v>UBASTIC</v>
      </c>
      <c r="K860" s="433" t="s">
        <v>1461</v>
      </c>
      <c r="L860" s="183">
        <f>IF(K860&gt;0,IF(K860="ALPHA",PR!$E858,IF(K860="ASSENE",PR!$F858,IF(K860="BIOFEM",PR!$G858,IF(K860="BIOMED",PR!$H858,IF(K860="CHI",PR!$I858,IF(K860="CLARION",PR!$J858,IF(K860="CODIX",PR!$K858,IF(K860="COSMADE",PR!$L858,IF(K860="SANCON",PR!$M858,IF(K860="DEVON",PR!$N858,IF(K860="DORTEMAG",PR!$O858,IF(K860="DGF",PR!$P858,IF(K860="DYNAMIC",PR!$Q858,IF(K860="EMZOR",PR!$R858,IF(K860="EUMATT",PR!$S858,IF(K860="FIDSON",PR!$T858,IF(K860="FCGLOBAL",PR!$U858,IF(K860="GENEITH",PR!$V858,IF(K860="GINOS",PR!$W858,IF(K860="GSK",PR!$X858,IF(K860="GLOBORG",PR!$Y858,IF(K860="GOODNEWS",PR!$Z858,IF(K860="GREENLIFE",PR!$AA858,IF(K860="HLINE",PR!$AB858,IF(K860="ROTECH",PR!$AC858,IF(K860="ISN",PR!$AD858,IF(K860="JAWA",PR!$AE858,IF(K860="LAYO",PR!$AF858,IF(K860="LEADWAY",PR!$AG858,IF(K860="LHV",PR!$AH858,IF(K860="MANOLA",PR!$AI858,IF(K860="MARCSON",PR!$AJ858,IF(K860="M&amp;B",PR!$AK858,IF(K860="MTRUST",PR!$AL858,IF(K860="MWORLD",PR!$AM858,IF(K860="MEGA",PR!$AN858,IF(K860="MICRONOVA",PR!$AO858,IF(K860="MFLASH",PR!$AP858,IF(K860="MORISON",PR!$AQ858,IF(K860="NEMEL",PR!$AR858,IF(K860="NHP",PR!$AS858,IF(K860="NHC",PR!$AT858,IF(K860="OLEAF",PR!$AU858,IF(K860="OCULUS",PR!$AV858,IF(K860="PACIFIC",PR!$AW858,IF(K860="PHAMATEX",PR!$AX858,IF(K860="PETHICS",PR!$AY858,IF(K860="PHILIPS",PR!$AZ858,IF(K860="RANBAXY",PR!$BA858,IF(K860="REALS",PR!$BB858,IF(K860="ROYAL",PR!$BC858,IF(K860="SAM",PR!$BD858,IF(K860="SEAGREEN",PR!$BE858,IF(K860="SKG",PR!$BF858,IF(K860="TAH",PR!$BG858,IF(K860="TAYLEK",PR!$BH858,IF(K860="TEMITA",PR!$BI858,IF(K860="THL",PR!$BJ858,IF(K860="UBASTIC",PR!$BK858,IF(K860="UNION",PR!$BL858,IF(K860="UNIQUE",PR!$BM858,IF(K860="VIXA",PR!$BN858,IF(K860="WWCV",PR!$BO858,IF(K860="ZOLON",PR!$BP858,"-")))))))))))))))))))))))))))))))))))))))))))))))))))))))))))))))))</f>
        <v>3900</v>
      </c>
    </row>
    <row r="861" spans="1:12" ht="18.75" x14ac:dyDescent="0.3">
      <c r="A861" s="430">
        <f>PR!A859</f>
        <v>769</v>
      </c>
      <c r="B861" s="15" t="str">
        <f>PR!B859</f>
        <v>DIFFERENTIAL COUNTER-7</v>
      </c>
      <c r="C861" s="113" t="str">
        <f>PR!D859</f>
        <v>2 pcs</v>
      </c>
      <c r="D861" s="113">
        <f>PR!C859</f>
        <v>2</v>
      </c>
      <c r="E861" s="108">
        <f>IF(F861="ALPHA",PR!$E859,IF(F861="ASSENE",PR!$F859,IF(F861="BIOFEM",PR!$G859,IF(F861="BIOMED",PR!$H859,IF(F861="CHI",PR!$I859,IF(F861="CLARION",PR!$J859,IF(F861="CODIX",PR!$K859,IF(F861="COSMADE",PR!$L859,IF(F861="SANCON",PR!$M859,IF(F861="DEVON",PR!$N859,IF(F861="DORTEMAG",PR!$O859,IF(F861="DGF",PR!$P859,IF(F861="DYNAMIC",PR!$Q859,IF(F861="EMZOR",PR!$R859,IF(F861="EUMATT",PR!$S859,IF(F861="FIDSON",PR!$T859,IF(F861="FCGLOBAL",PR!$U859,IF(F861="GENEITH",PR!$V859,IF(F861="GINOS",PR!$W859,IF(F861="GSK",PR!$X859,IF(F861="GLOBORG",PR!$Y859,IF(F861="GOODNEWS",PR!$Z859,IF(F861="GREENLIFE",PR!$AA859,IF(F861="HLINE",PR!$AB859,IF(F861="ROTECH",PR!$AC859,IF(F861="ISN",PR!$AD859,IF(F861="JAWA",PR!$AE859,IF(F861="LAYO",PR!$AF859,IF(F861="LEADWAY",PR!$AG859,IF(F861="LHV",PR!$AH859,IF(F861="MANOLA",PR!$AI859,IF(F861="MARCSON",PR!$AJ859,IF(F861="M&amp;B",PR!$AK859,IF(F861="MTRUST",PR!$AL859,IF(F861="MWORLD",PR!$AM859,IF(F861="MEGA",PR!$AN859,IF(F861="MICRONOVA",PR!$AO859,IF(F861="MFLASH",PR!$AP859,IF(F861="MORISON",PR!$AQ859,IF(F861="NEMEL",PR!$AR859,IF(F861="NHP",PR!$AS859,IF(F861="NHC",PR!$AT859,IF(F861="OLEAF",PR!$AU859,IF(F861="OCULUS",PR!$AV859,IF(F861="PACIFIC",PR!$AW859,IF(F861="PHAMATEX",PR!$AX859,IF(F861="PETHICS",PR!$AY859,IF(F861="PHILIPS",PR!$AZ859,IF(F861="RANBAXY",PR!$BA859,IF(F861="REALS",PR!$BB859,IF(F861="ROYAL",PR!$BC859,IF(F861="SAM",PR!$BD859,IF(F861="SEAGREEN",PR!$BE859,IF(F861="SKG",PR!$BF859,IF(F861="TAH",PR!$BG859,IF(F861="TAYLEK",PR!$BH859,IF(F861="TEMITA",PR!$BI859,IF(F861="THL",PR!$BJ859,IF(F861="UBASTIC",PR!$BK859,IF(F861="UNION",PR!$BL859,IF(F861="UNIQUE",PR!$BM859,IF(F861="VIXA",PR!$BN859,IF(F861="WWCV",PR!$BO859,IF(F861="ZOLON",PR!$BP859,"-"))))))))))))))))))))))))))))))))))))))))))))))))))))))))))))))))</f>
        <v>3250</v>
      </c>
      <c r="F861" s="102" t="str">
        <f>EV!L1078</f>
        <v>LAYO</v>
      </c>
      <c r="G861" s="108">
        <f>IF(H861="ALPHA",PR!$E859,IF(H861="ASSENE",PR!$F859,IF(H861="BIOFEM",PR!$G859,IF(H861="BIOMED",PR!$H859,IF(H861="CHI",PR!$I859,IF(H861="CLARION",PR!$J859,IF(H861="CODIX",PR!$K859,IF(H861="COSMADE",PR!$L859,IF(H861="SANCON",PR!$M859,IF(H861="DEVON",PR!$N859,IF(H861="DORTEMAG",PR!$O859,IF(H861="DGF",PR!$P859,IF(H861="DYNAMIC",PR!$Q859,IF(H861="EMZOR",PR!$R859,IF(H861="EUMATT",PR!$S859,IF(H861="FIDSON",PR!$T859,IF(H861="FCGLOBAL",PR!$U859,IF(H861="GENEITH",PR!$V859,IF(H861="GINOS",PR!$W859,IF(H861="GSK",PR!$X859,IF(H861="GLOBORG",PR!$Y859,IF(H861="GOODNEWS",PR!$Z859,IF(H861="GREENLIFE",PR!$AA859,IF(H861="HLINE",PR!$AB859,IF(H861="ROTECH",PR!$AC859,IF(H861="ISN",PR!$AD859,IF(H861="JAWA",PR!$AE859,IF(H861="LAYO",PR!$AF859,IF(H861="LEADWAY",PR!$AG859,IF(H861="LHV",PR!$AH859,IF(H861="MANOLA",PR!$AI859,IF(H861="MARCSON",PR!$AJ859,IF(H861="M&amp;B",PR!$AK859,IF(H861="MTRUST",PR!$AL859,IF(H861="MWORLD",PR!$AM859,IF(H861="MEGA",PR!$AN859,IF(H861="MICRONOVA",PR!$AO859,IF(H861="MFLASH",PR!$AP859,IF(H861="MORISON",PR!$AQ859,IF(H861="NEMEL",PR!$AR859,IF(H861="NHP",PR!$AS859,IF(H861="NHC",PR!$AT859,IF(H861="OLEAF",PR!$AU859,IF(H861="OCULUS",PR!$AV859,IF(H861="PACIFIC",PR!$AW859,IF(H861="PHAMATEX",PR!$AX859,IF(H861="PETHICS",PR!$AY859,IF(H861="PHILIPS",PR!$AZ859,IF(H861="RANBAXY",PR!$BA859,IF(H861="REALS",PR!$BB859,IF(H861="ROYAL",PR!$BC859,IF(H861="SAM",PR!$BD859,IF(H861="SEAGREEN",PR!$BE859,IF(H861="SKG",PR!$BF859,IF(H861="TAH",PR!$BG859,IF(H861="TAYLEK",PR!$BH859,IF(H861="TEMITA",PR!$BI859,IF(H861="THL",PR!$BJ859,IF(H861="UBASTIC",PR!$BK859,IF(H861="UNION",PR!$BL859,IF(H861="UNIQUE",PR!$BM859,IF(H861="VIXA",PR!$BN859,IF(H861="WWCV",PR!$BO859,IF(H861="ZOLON",PR!$BP859,"-"))))))))))))))))))))))))))))))))))))))))))))))))))))))))))))))))</f>
        <v>9600</v>
      </c>
      <c r="H861" s="102" t="str">
        <f>EV!M1078</f>
        <v>SANCON</v>
      </c>
      <c r="I861" s="108">
        <f>IF(J861="ALPHA",PR!$E859,IF(J861="ASSENE",PR!$F859,IF(J861="BIOFEM",PR!$G859,IF(J861="BIOMED",PR!$H859,IF(J861="CHI",PR!$I859,IF(J861="CLARION",PR!$J859,IF(J861="CODIX",PR!$K859,IF(J861="COSMADE",PR!$L859,IF(J861="SANCON",PR!$M859,IF(J861="DEVON",PR!$N859,IF(J861="DORTEMAG",PR!$O859,IF(J861="DGF",PR!$P859,IF(J861="DYNAMIC",PR!$Q859,IF(J861="EMZOR",PR!$R859,IF(J861="EUMATT",PR!$S859,IF(J861="FIDSON",PR!$T859,IF(J861="FCGLOBAL",PR!$U859,IF(J861="GENEITH",PR!$V859,IF(J861="GINOS",PR!$W859,IF(J861="GSK",PR!$X859,IF(J861="GLOBORG",PR!$Y859,IF(J861="GOODNEWS",PR!$Z859,IF(J861="GREENLIFE",PR!$AA859,IF(J861="HLINE",PR!$AB859,IF(J861="ROTECH",PR!$AC859,IF(J861="ISN",PR!$AD859,IF(J861="JAWA",PR!$AE859,IF(J861="LAYO",PR!$AF859,IF(J861="LEADWAY",PR!$AG859,IF(J861="LHV",PR!$AH859,IF(J861="MANOLA",PR!$AI859,IF(J861="MARCSON",PR!$AJ859,IF(J861="M&amp;B",PR!$AK859,IF(J861="MTRUST",PR!$AL859,IF(J861="MWORLD",PR!$AM859,IF(J861="MEGA",PR!$AN859,IF(J861="MICRONOVA",PR!$AO859,IF(J861="MFLASH",PR!$AP859,IF(J861="MORISON",PR!$AQ859,IF(J861="NEMEL",PR!$AR859,IF(J861="NHP",PR!$AS859,IF(J861="NHC",PR!$AT859,IF(J861="OLEAF",PR!$AU859,IF(J861="OCULUS",PR!$AV859,IF(J861="PACIFIC",PR!$AW859,IF(J861="PHAMATEX",PR!$AX859,IF(J861="PETHICS",PR!$AY859,IF(J861="PHILIPS",PR!$AZ859,IF(J861="RANBAXY",PR!$BA859,IF(J861="REALS",PR!$BB859,IF(J861="ROYAL",PR!$BC859,IF(J861="SAM",PR!$BD859,IF(J861="SEAGREEN",PR!$BE859,IF(J861="SKG",PR!$BF859,IF(J861="TAH",PR!$BG859,IF(J861="TAYLEK",PR!$BH859,IF(J861="TEMITA",PR!$BI859,IF(J861="THL",PR!$BJ859,IF(J861="UBASTIC",PR!$BK859,IF(J861="UNION",PR!$BL859,IF(J861="UNIQUE",PR!$BM859,IF(J861="VIXA",PR!$BN859,IF(J861="WWCV",PR!$BO859,IF(J861="ZOLON",PR!$BP859,"-"))))))))))))))))))))))))))))))))))))))))))))))))))))))))))))))))</f>
        <v>10000</v>
      </c>
      <c r="J861" s="102" t="str">
        <f>EV!N1078</f>
        <v>COSMADE</v>
      </c>
      <c r="K861" s="433" t="s">
        <v>1461</v>
      </c>
      <c r="L861" s="183">
        <f>IF(K861&gt;0,IF(K861="ALPHA",PR!$E859,IF(K861="ASSENE",PR!$F859,IF(K861="BIOFEM",PR!$G859,IF(K861="BIOMED",PR!$H859,IF(K861="CHI",PR!$I859,IF(K861="CLARION",PR!$J859,IF(K861="CODIX",PR!$K859,IF(K861="COSMADE",PR!$L859,IF(K861="SANCON",PR!$M859,IF(K861="DEVON",PR!$N859,IF(K861="DORTEMAG",PR!$O859,IF(K861="DGF",PR!$P859,IF(K861="DYNAMIC",PR!$Q859,IF(K861="EMZOR",PR!$R859,IF(K861="EUMATT",PR!$S859,IF(K861="FIDSON",PR!$T859,IF(K861="FCGLOBAL",PR!$U859,IF(K861="GENEITH",PR!$V859,IF(K861="GINOS",PR!$W859,IF(K861="GSK",PR!$X859,IF(K861="GLOBORG",PR!$Y859,IF(K861="GOODNEWS",PR!$Z859,IF(K861="GREENLIFE",PR!$AA859,IF(K861="HLINE",PR!$AB859,IF(K861="ROTECH",PR!$AC859,IF(K861="ISN",PR!$AD859,IF(K861="JAWA",PR!$AE859,IF(K861="LAYO",PR!$AF859,IF(K861="LEADWAY",PR!$AG859,IF(K861="LHV",PR!$AH859,IF(K861="MANOLA",PR!$AI859,IF(K861="MARCSON",PR!$AJ859,IF(K861="M&amp;B",PR!$AK859,IF(K861="MTRUST",PR!$AL859,IF(K861="MWORLD",PR!$AM859,IF(K861="MEGA",PR!$AN859,IF(K861="MICRONOVA",PR!$AO859,IF(K861="MFLASH",PR!$AP859,IF(K861="MORISON",PR!$AQ859,IF(K861="NEMEL",PR!$AR859,IF(K861="NHP",PR!$AS859,IF(K861="NHC",PR!$AT859,IF(K861="OLEAF",PR!$AU859,IF(K861="OCULUS",PR!$AV859,IF(K861="PACIFIC",PR!$AW859,IF(K861="PHAMATEX",PR!$AX859,IF(K861="PETHICS",PR!$AY859,IF(K861="PHILIPS",PR!$AZ859,IF(K861="RANBAXY",PR!$BA859,IF(K861="REALS",PR!$BB859,IF(K861="ROYAL",PR!$BC859,IF(K861="SAM",PR!$BD859,IF(K861="SEAGREEN",PR!$BE859,IF(K861="SKG",PR!$BF859,IF(K861="TAH",PR!$BG859,IF(K861="TAYLEK",PR!$BH859,IF(K861="TEMITA",PR!$BI859,IF(K861="THL",PR!$BJ859,IF(K861="UBASTIC",PR!$BK859,IF(K861="UNION",PR!$BL859,IF(K861="UNIQUE",PR!$BM859,IF(K861="VIXA",PR!$BN859,IF(K861="WWCV",PR!$BO859,IF(K861="ZOLON",PR!$BP859,"-")))))))))))))))))))))))))))))))))))))))))))))))))))))))))))))))))</f>
        <v>3250</v>
      </c>
    </row>
    <row r="862" spans="1:12" ht="18.75" x14ac:dyDescent="0.3">
      <c r="A862" s="430">
        <f>PR!A860</f>
        <v>770</v>
      </c>
      <c r="B862" s="15" t="str">
        <f>PR!B860</f>
        <v>FIN TIPS (BLUE) (0 - 100ML)</v>
      </c>
      <c r="C862" s="113" t="str">
        <f>PR!D860</f>
        <v>1 pack of 100</v>
      </c>
      <c r="D862" s="113">
        <f>PR!C860</f>
        <v>12</v>
      </c>
      <c r="E862" s="108">
        <f>IF(F862="ALPHA",PR!$E860,IF(F862="ASSENE",PR!$F860,IF(F862="BIOFEM",PR!$G860,IF(F862="BIOMED",PR!$H860,IF(F862="CHI",PR!$I860,IF(F862="CLARION",PR!$J860,IF(F862="CODIX",PR!$K860,IF(F862="COSMADE",PR!$L860,IF(F862="SANCON",PR!$M860,IF(F862="DEVON",PR!$N860,IF(F862="DORTEMAG",PR!$O860,IF(F862="DGF",PR!$P860,IF(F862="DYNAMIC",PR!$Q860,IF(F862="EMZOR",PR!$R860,IF(F862="EUMATT",PR!$S860,IF(F862="FIDSON",PR!$T860,IF(F862="FCGLOBAL",PR!$U860,IF(F862="GENEITH",PR!$V860,IF(F862="GINOS",PR!$W860,IF(F862="GSK",PR!$X860,IF(F862="GLOBORG",PR!$Y860,IF(F862="GOODNEWS",PR!$Z860,IF(F862="GREENLIFE",PR!$AA860,IF(F862="HLINE",PR!$AB860,IF(F862="ROTECH",PR!$AC860,IF(F862="ISN",PR!$AD860,IF(F862="JAWA",PR!$AE860,IF(F862="LAYO",PR!$AF860,IF(F862="LEADWAY",PR!$AG860,IF(F862="LHV",PR!$AH860,IF(F862="MANOLA",PR!$AI860,IF(F862="MARCSON",PR!$AJ860,IF(F862="M&amp;B",PR!$AK860,IF(F862="MTRUST",PR!$AL860,IF(F862="MWORLD",PR!$AM860,IF(F862="MEGA",PR!$AN860,IF(F862="MICRONOVA",PR!$AO860,IF(F862="MFLASH",PR!$AP860,IF(F862="MORISON",PR!$AQ860,IF(F862="NEMEL",PR!$AR860,IF(F862="NHP",PR!$AS860,IF(F862="NHC",PR!$AT860,IF(F862="OLEAF",PR!$AU860,IF(F862="OCULUS",PR!$AV860,IF(F862="PACIFIC",PR!$AW860,IF(F862="PHAMATEX",PR!$AX860,IF(F862="PETHICS",PR!$AY860,IF(F862="PHILIPS",PR!$AZ860,IF(F862="RANBAXY",PR!$BA860,IF(F862="REALS",PR!$BB860,IF(F862="ROYAL",PR!$BC860,IF(F862="SAM",PR!$BD860,IF(F862="SEAGREEN",PR!$BE860,IF(F862="SKG",PR!$BF860,IF(F862="TAH",PR!$BG860,IF(F862="TAYLEK",PR!$BH860,IF(F862="TEMITA",PR!$BI860,IF(F862="THL",PR!$BJ860,IF(F862="UBASTIC",PR!$BK860,IF(F862="UNION",PR!$BL860,IF(F862="UNIQUE",PR!$BM860,IF(F862="VIXA",PR!$BN860,IF(F862="WWCV",PR!$BO860,IF(F862="ZOLON",PR!$BP860,"-"))))))))))))))))))))))))))))))))))))))))))))))))))))))))))))))))</f>
        <v>900</v>
      </c>
      <c r="F862" s="102" t="str">
        <f>EV!L1079</f>
        <v>SANCON</v>
      </c>
      <c r="G862" s="108">
        <f>IF(H862="ALPHA",PR!$E860,IF(H862="ASSENE",PR!$F860,IF(H862="BIOFEM",PR!$G860,IF(H862="BIOMED",PR!$H860,IF(H862="CHI",PR!$I860,IF(H862="CLARION",PR!$J860,IF(H862="CODIX",PR!$K860,IF(H862="COSMADE",PR!$L860,IF(H862="SANCON",PR!$M860,IF(H862="DEVON",PR!$N860,IF(H862="DORTEMAG",PR!$O860,IF(H862="DGF",PR!$P860,IF(H862="DYNAMIC",PR!$Q860,IF(H862="EMZOR",PR!$R860,IF(H862="EUMATT",PR!$S860,IF(H862="FIDSON",PR!$T860,IF(H862="FCGLOBAL",PR!$U860,IF(H862="GENEITH",PR!$V860,IF(H862="GINOS",PR!$W860,IF(H862="GSK",PR!$X860,IF(H862="GLOBORG",PR!$Y860,IF(H862="GOODNEWS",PR!$Z860,IF(H862="GREENLIFE",PR!$AA860,IF(H862="HLINE",PR!$AB860,IF(H862="ROTECH",PR!$AC860,IF(H862="ISN",PR!$AD860,IF(H862="JAWA",PR!$AE860,IF(H862="LAYO",PR!$AF860,IF(H862="LEADWAY",PR!$AG860,IF(H862="LHV",PR!$AH860,IF(H862="MANOLA",PR!$AI860,IF(H862="MARCSON",PR!$AJ860,IF(H862="M&amp;B",PR!$AK860,IF(H862="MTRUST",PR!$AL860,IF(H862="MWORLD",PR!$AM860,IF(H862="MEGA",PR!$AN860,IF(H862="MICRONOVA",PR!$AO860,IF(H862="MFLASH",PR!$AP860,IF(H862="MORISON",PR!$AQ860,IF(H862="NEMEL",PR!$AR860,IF(H862="NHP",PR!$AS860,IF(H862="NHC",PR!$AT860,IF(H862="OLEAF",PR!$AU860,IF(H862="OCULUS",PR!$AV860,IF(H862="PACIFIC",PR!$AW860,IF(H862="PHAMATEX",PR!$AX860,IF(H862="PETHICS",PR!$AY860,IF(H862="PHILIPS",PR!$AZ860,IF(H862="RANBAXY",PR!$BA860,IF(H862="REALS",PR!$BB860,IF(H862="ROYAL",PR!$BC860,IF(H862="SAM",PR!$BD860,IF(H862="SEAGREEN",PR!$BE860,IF(H862="SKG",PR!$BF860,IF(H862="TAH",PR!$BG860,IF(H862="TAYLEK",PR!$BH860,IF(H862="TEMITA",PR!$BI860,IF(H862="THL",PR!$BJ860,IF(H862="UBASTIC",PR!$BK860,IF(H862="UNION",PR!$BL860,IF(H862="UNIQUE",PR!$BM860,IF(H862="VIXA",PR!$BN860,IF(H862="WWCV",PR!$BO860,IF(H862="ZOLON",PR!$BP860,"-"))))))))))))))))))))))))))))))))))))))))))))))))))))))))))))))))</f>
        <v>1000</v>
      </c>
      <c r="H862" s="102" t="str">
        <f>EV!M1079</f>
        <v>COSMADE</v>
      </c>
      <c r="I862" s="108">
        <f>IF(J862="ALPHA",PR!$E860,IF(J862="ASSENE",PR!$F860,IF(J862="BIOFEM",PR!$G860,IF(J862="BIOMED",PR!$H860,IF(J862="CHI",PR!$I860,IF(J862="CLARION",PR!$J860,IF(J862="CODIX",PR!$K860,IF(J862="COSMADE",PR!$L860,IF(J862="SANCON",PR!$M860,IF(J862="DEVON",PR!$N860,IF(J862="DORTEMAG",PR!$O860,IF(J862="DGF",PR!$P860,IF(J862="DYNAMIC",PR!$Q860,IF(J862="EMZOR",PR!$R860,IF(J862="EUMATT",PR!$S860,IF(J862="FIDSON",PR!$T860,IF(J862="FCGLOBAL",PR!$U860,IF(J862="GENEITH",PR!$V860,IF(J862="GINOS",PR!$W860,IF(J862="GSK",PR!$X860,IF(J862="GLOBORG",PR!$Y860,IF(J862="GOODNEWS",PR!$Z860,IF(J862="GREENLIFE",PR!$AA860,IF(J862="HLINE",PR!$AB860,IF(J862="ROTECH",PR!$AC860,IF(J862="ISN",PR!$AD860,IF(J862="JAWA",PR!$AE860,IF(J862="LAYO",PR!$AF860,IF(J862="LEADWAY",PR!$AG860,IF(J862="LHV",PR!$AH860,IF(J862="MANOLA",PR!$AI860,IF(J862="MARCSON",PR!$AJ860,IF(J862="M&amp;B",PR!$AK860,IF(J862="MTRUST",PR!$AL860,IF(J862="MWORLD",PR!$AM860,IF(J862="MEGA",PR!$AN860,IF(J862="MICRONOVA",PR!$AO860,IF(J862="MFLASH",PR!$AP860,IF(J862="MORISON",PR!$AQ860,IF(J862="NEMEL",PR!$AR860,IF(J862="NHP",PR!$AS860,IF(J862="NHC",PR!$AT860,IF(J862="OLEAF",PR!$AU860,IF(J862="OCULUS",PR!$AV860,IF(J862="PACIFIC",PR!$AW860,IF(J862="PHAMATEX",PR!$AX860,IF(J862="PETHICS",PR!$AY860,IF(J862="PHILIPS",PR!$AZ860,IF(J862="RANBAXY",PR!$BA860,IF(J862="REALS",PR!$BB860,IF(J862="ROYAL",PR!$BC860,IF(J862="SAM",PR!$BD860,IF(J862="SEAGREEN",PR!$BE860,IF(J862="SKG",PR!$BF860,IF(J862="TAH",PR!$BG860,IF(J862="TAYLEK",PR!$BH860,IF(J862="TEMITA",PR!$BI860,IF(J862="THL",PR!$BJ860,IF(J862="UBASTIC",PR!$BK860,IF(J862="UNION",PR!$BL860,IF(J862="UNIQUE",PR!$BM860,IF(J862="VIXA",PR!$BN860,IF(J862="WWCV",PR!$BO860,IF(J862="ZOLON",PR!$BP860,"-"))))))))))))))))))))))))))))))))))))))))))))))))))))))))))))))))</f>
        <v>1100</v>
      </c>
      <c r="J862" s="102" t="str">
        <f>EV!N1079</f>
        <v>TEMITA</v>
      </c>
      <c r="K862" s="433" t="s">
        <v>817</v>
      </c>
      <c r="L862" s="183">
        <f>IF(K862&gt;0,IF(K862="ALPHA",PR!$E860,IF(K862="ASSENE",PR!$F860,IF(K862="BIOFEM",PR!$G860,IF(K862="BIOMED",PR!$H860,IF(K862="CHI",PR!$I860,IF(K862="CLARION",PR!$J860,IF(K862="CODIX",PR!$K860,IF(K862="COSMADE",PR!$L860,IF(K862="SANCON",PR!$M860,IF(K862="DEVON",PR!$N860,IF(K862="DORTEMAG",PR!$O860,IF(K862="DGF",PR!$P860,IF(K862="DYNAMIC",PR!$Q860,IF(K862="EMZOR",PR!$R860,IF(K862="EUMATT",PR!$S860,IF(K862="FIDSON",PR!$T860,IF(K862="FCGLOBAL",PR!$U860,IF(K862="GENEITH",PR!$V860,IF(K862="GINOS",PR!$W860,IF(K862="GSK",PR!$X860,IF(K862="GLOBORG",PR!$Y860,IF(K862="GOODNEWS",PR!$Z860,IF(K862="GREENLIFE",PR!$AA860,IF(K862="HLINE",PR!$AB860,IF(K862="ROTECH",PR!$AC860,IF(K862="ISN",PR!$AD860,IF(K862="JAWA",PR!$AE860,IF(K862="LAYO",PR!$AF860,IF(K862="LEADWAY",PR!$AG860,IF(K862="LHV",PR!$AH860,IF(K862="MANOLA",PR!$AI860,IF(K862="MARCSON",PR!$AJ860,IF(K862="M&amp;B",PR!$AK860,IF(K862="MTRUST",PR!$AL860,IF(K862="MWORLD",PR!$AM860,IF(K862="MEGA",PR!$AN860,IF(K862="MICRONOVA",PR!$AO860,IF(K862="MFLASH",PR!$AP860,IF(K862="MORISON",PR!$AQ860,IF(K862="NEMEL",PR!$AR860,IF(K862="NHP",PR!$AS860,IF(K862="NHC",PR!$AT860,IF(K862="OLEAF",PR!$AU860,IF(K862="OCULUS",PR!$AV860,IF(K862="PACIFIC",PR!$AW860,IF(K862="PHAMATEX",PR!$AX860,IF(K862="PETHICS",PR!$AY860,IF(K862="PHILIPS",PR!$AZ860,IF(K862="RANBAXY",PR!$BA860,IF(K862="REALS",PR!$BB860,IF(K862="ROYAL",PR!$BC860,IF(K862="SAM",PR!$BD860,IF(K862="SEAGREEN",PR!$BE860,IF(K862="SKG",PR!$BF860,IF(K862="TAH",PR!$BG860,IF(K862="TAYLEK",PR!$BH860,IF(K862="TEMITA",PR!$BI860,IF(K862="THL",PR!$BJ860,IF(K862="UBASTIC",PR!$BK860,IF(K862="UNION",PR!$BL860,IF(K862="UNIQUE",PR!$BM860,IF(K862="VIXA",PR!$BN860,IF(K862="WWCV",PR!$BO860,IF(K862="ZOLON",PR!$BP860,"-")))))))))))))))))))))))))))))))))))))))))))))))))))))))))))))))))</f>
        <v>900</v>
      </c>
    </row>
    <row r="863" spans="1:12" ht="18.75" x14ac:dyDescent="0.3">
      <c r="A863" s="430">
        <f>PR!A861</f>
        <v>771</v>
      </c>
      <c r="B863" s="15" t="str">
        <f>PR!B861</f>
        <v>STOP WATCH</v>
      </c>
      <c r="C863" s="113" t="str">
        <f>PR!D861</f>
        <v>2 pcs</v>
      </c>
      <c r="D863" s="113">
        <f>PR!C861</f>
        <v>2</v>
      </c>
      <c r="E863" s="108">
        <f>IF(F863="ALPHA",PR!$E861,IF(F863="ASSENE",PR!$F861,IF(F863="BIOFEM",PR!$G861,IF(F863="BIOMED",PR!$H861,IF(F863="CHI",PR!$I861,IF(F863="CLARION",PR!$J861,IF(F863="CODIX",PR!$K861,IF(F863="COSMADE",PR!$L861,IF(F863="SANCON",PR!$M861,IF(F863="DEVON",PR!$N861,IF(F863="DORTEMAG",PR!$O861,IF(F863="DGF",PR!$P861,IF(F863="DYNAMIC",PR!$Q861,IF(F863="EMZOR",PR!$R861,IF(F863="EUMATT",PR!$S861,IF(F863="FIDSON",PR!$T861,IF(F863="FCGLOBAL",PR!$U861,IF(F863="GENEITH",PR!$V861,IF(F863="GINOS",PR!$W861,IF(F863="GSK",PR!$X861,IF(F863="GLOBORG",PR!$Y861,IF(F863="GOODNEWS",PR!$Z861,IF(F863="GREENLIFE",PR!$AA861,IF(F863="HLINE",PR!$AB861,IF(F863="ROTECH",PR!$AC861,IF(F863="ISN",PR!$AD861,IF(F863="JAWA",PR!$AE861,IF(F863="LAYO",PR!$AF861,IF(F863="LEADWAY",PR!$AG861,IF(F863="LHV",PR!$AH861,IF(F863="MANOLA",PR!$AI861,IF(F863="MARCSON",PR!$AJ861,IF(F863="M&amp;B",PR!$AK861,IF(F863="MTRUST",PR!$AL861,IF(F863="MWORLD",PR!$AM861,IF(F863="MEGA",PR!$AN861,IF(F863="MICRONOVA",PR!$AO861,IF(F863="MFLASH",PR!$AP861,IF(F863="MORISON",PR!$AQ861,IF(F863="NEMEL",PR!$AR861,IF(F863="NHP",PR!$AS861,IF(F863="NHC",PR!$AT861,IF(F863="OLEAF",PR!$AU861,IF(F863="OCULUS",PR!$AV861,IF(F863="PACIFIC",PR!$AW861,IF(F863="PHAMATEX",PR!$AX861,IF(F863="PETHICS",PR!$AY861,IF(F863="PHILIPS",PR!$AZ861,IF(F863="RANBAXY",PR!$BA861,IF(F863="REALS",PR!$BB861,IF(F863="ROYAL",PR!$BC861,IF(F863="SAM",PR!$BD861,IF(F863="SEAGREEN",PR!$BE861,IF(F863="SKG",PR!$BF861,IF(F863="TAH",PR!$BG861,IF(F863="TAYLEK",PR!$BH861,IF(F863="TEMITA",PR!$BI861,IF(F863="THL",PR!$BJ861,IF(F863="UBASTIC",PR!$BK861,IF(F863="UNION",PR!$BL861,IF(F863="UNIQUE",PR!$BM861,IF(F863="VIXA",PR!$BN861,IF(F863="WWCV",PR!$BO861,IF(F863="ZOLON",PR!$BP861,"-"))))))))))))))))))))))))))))))))))))))))))))))))))))))))))))))))</f>
        <v>1400</v>
      </c>
      <c r="F863" s="102" t="str">
        <f>EV!L1080</f>
        <v>TEMITA</v>
      </c>
      <c r="G863" s="108">
        <f>IF(H863="ALPHA",PR!$E861,IF(H863="ASSENE",PR!$F861,IF(H863="BIOFEM",PR!$G861,IF(H863="BIOMED",PR!$H861,IF(H863="CHI",PR!$I861,IF(H863="CLARION",PR!$J861,IF(H863="CODIX",PR!$K861,IF(H863="COSMADE",PR!$L861,IF(H863="SANCON",PR!$M861,IF(H863="DEVON",PR!$N861,IF(H863="DORTEMAG",PR!$O861,IF(H863="DGF",PR!$P861,IF(H863="DYNAMIC",PR!$Q861,IF(H863="EMZOR",PR!$R861,IF(H863="EUMATT",PR!$S861,IF(H863="FIDSON",PR!$T861,IF(H863="FCGLOBAL",PR!$U861,IF(H863="GENEITH",PR!$V861,IF(H863="GINOS",PR!$W861,IF(H863="GSK",PR!$X861,IF(H863="GLOBORG",PR!$Y861,IF(H863="GOODNEWS",PR!$Z861,IF(H863="GREENLIFE",PR!$AA861,IF(H863="HLINE",PR!$AB861,IF(H863="ROTECH",PR!$AC861,IF(H863="ISN",PR!$AD861,IF(H863="JAWA",PR!$AE861,IF(H863="LAYO",PR!$AF861,IF(H863="LEADWAY",PR!$AG861,IF(H863="LHV",PR!$AH861,IF(H863="MANOLA",PR!$AI861,IF(H863="MARCSON",PR!$AJ861,IF(H863="M&amp;B",PR!$AK861,IF(H863="MTRUST",PR!$AL861,IF(H863="MWORLD",PR!$AM861,IF(H863="MEGA",PR!$AN861,IF(H863="MICRONOVA",PR!$AO861,IF(H863="MFLASH",PR!$AP861,IF(H863="MORISON",PR!$AQ861,IF(H863="NEMEL",PR!$AR861,IF(H863="NHP",PR!$AS861,IF(H863="NHC",PR!$AT861,IF(H863="OLEAF",PR!$AU861,IF(H863="OCULUS",PR!$AV861,IF(H863="PACIFIC",PR!$AW861,IF(H863="PHAMATEX",PR!$AX861,IF(H863="PETHICS",PR!$AY861,IF(H863="PHILIPS",PR!$AZ861,IF(H863="RANBAXY",PR!$BA861,IF(H863="REALS",PR!$BB861,IF(H863="ROYAL",PR!$BC861,IF(H863="SAM",PR!$BD861,IF(H863="SEAGREEN",PR!$BE861,IF(H863="SKG",PR!$BF861,IF(H863="TAH",PR!$BG861,IF(H863="TAYLEK",PR!$BH861,IF(H863="TEMITA",PR!$BI861,IF(H863="THL",PR!$BJ861,IF(H863="UBASTIC",PR!$BK861,IF(H863="UNION",PR!$BL861,IF(H863="UNIQUE",PR!$BM861,IF(H863="VIXA",PR!$BN861,IF(H863="WWCV",PR!$BO861,IF(H863="ZOLON",PR!$BP861,"-"))))))))))))))))))))))))))))))))))))))))))))))))))))))))))))))))</f>
        <v>3000</v>
      </c>
      <c r="H863" s="102" t="str">
        <f>EV!M1080</f>
        <v>SANCON</v>
      </c>
      <c r="I863" s="108">
        <f>IF(J863="ALPHA",PR!$E861,IF(J863="ASSENE",PR!$F861,IF(J863="BIOFEM",PR!$G861,IF(J863="BIOMED",PR!$H861,IF(J863="CHI",PR!$I861,IF(J863="CLARION",PR!$J861,IF(J863="CODIX",PR!$K861,IF(J863="COSMADE",PR!$L861,IF(J863="SANCON",PR!$M861,IF(J863="DEVON",PR!$N861,IF(J863="DORTEMAG",PR!$O861,IF(J863="DGF",PR!$P861,IF(J863="DYNAMIC",PR!$Q861,IF(J863="EMZOR",PR!$R861,IF(J863="EUMATT",PR!$S861,IF(J863="FIDSON",PR!$T861,IF(J863="FCGLOBAL",PR!$U861,IF(J863="GENEITH",PR!$V861,IF(J863="GINOS",PR!$W861,IF(J863="GSK",PR!$X861,IF(J863="GLOBORG",PR!$Y861,IF(J863="GOODNEWS",PR!$Z861,IF(J863="GREENLIFE",PR!$AA861,IF(J863="HLINE",PR!$AB861,IF(J863="ROTECH",PR!$AC861,IF(J863="ISN",PR!$AD861,IF(J863="JAWA",PR!$AE861,IF(J863="LAYO",PR!$AF861,IF(J863="LEADWAY",PR!$AG861,IF(J863="LHV",PR!$AH861,IF(J863="MANOLA",PR!$AI861,IF(J863="MARCSON",PR!$AJ861,IF(J863="M&amp;B",PR!$AK861,IF(J863="MTRUST",PR!$AL861,IF(J863="MWORLD",PR!$AM861,IF(J863="MEGA",PR!$AN861,IF(J863="MICRONOVA",PR!$AO861,IF(J863="MFLASH",PR!$AP861,IF(J863="MORISON",PR!$AQ861,IF(J863="NEMEL",PR!$AR861,IF(J863="NHP",PR!$AS861,IF(J863="NHC",PR!$AT861,IF(J863="OLEAF",PR!$AU861,IF(J863="OCULUS",PR!$AV861,IF(J863="PACIFIC",PR!$AW861,IF(J863="PHAMATEX",PR!$AX861,IF(J863="PETHICS",PR!$AY861,IF(J863="PHILIPS",PR!$AZ861,IF(J863="RANBAXY",PR!$BA861,IF(J863="REALS",PR!$BB861,IF(J863="ROYAL",PR!$BC861,IF(J863="SAM",PR!$BD861,IF(J863="SEAGREEN",PR!$BE861,IF(J863="SKG",PR!$BF861,IF(J863="TAH",PR!$BG861,IF(J863="TAYLEK",PR!$BH861,IF(J863="TEMITA",PR!$BI861,IF(J863="THL",PR!$BJ861,IF(J863="UBASTIC",PR!$BK861,IF(J863="UNION",PR!$BL861,IF(J863="UNIQUE",PR!$BM861,IF(J863="VIXA",PR!$BN861,IF(J863="WWCV",PR!$BO861,IF(J863="ZOLON",PR!$BP861,"-"))))))))))))))))))))))))))))))))))))))))))))))))))))))))))))))))</f>
        <v>3500</v>
      </c>
      <c r="J863" s="102" t="str">
        <f>EV!N1080</f>
        <v>COSMADE</v>
      </c>
      <c r="K863" s="433" t="s">
        <v>817</v>
      </c>
      <c r="L863" s="183">
        <f>IF(K863&gt;0,IF(K863="ALPHA",PR!$E861,IF(K863="ASSENE",PR!$F861,IF(K863="BIOFEM",PR!$G861,IF(K863="BIOMED",PR!$H861,IF(K863="CHI",PR!$I861,IF(K863="CLARION",PR!$J861,IF(K863="CODIX",PR!$K861,IF(K863="COSMADE",PR!$L861,IF(K863="SANCON",PR!$M861,IF(K863="DEVON",PR!$N861,IF(K863="DORTEMAG",PR!$O861,IF(K863="DGF",PR!$P861,IF(K863="DYNAMIC",PR!$Q861,IF(K863="EMZOR",PR!$R861,IF(K863="EUMATT",PR!$S861,IF(K863="FIDSON",PR!$T861,IF(K863="FCGLOBAL",PR!$U861,IF(K863="GENEITH",PR!$V861,IF(K863="GINOS",PR!$W861,IF(K863="GSK",PR!$X861,IF(K863="GLOBORG",PR!$Y861,IF(K863="GOODNEWS",PR!$Z861,IF(K863="GREENLIFE",PR!$AA861,IF(K863="HLINE",PR!$AB861,IF(K863="ROTECH",PR!$AC861,IF(K863="ISN",PR!$AD861,IF(K863="JAWA",PR!$AE861,IF(K863="LAYO",PR!$AF861,IF(K863="LEADWAY",PR!$AG861,IF(K863="LHV",PR!$AH861,IF(K863="MANOLA",PR!$AI861,IF(K863="MARCSON",PR!$AJ861,IF(K863="M&amp;B",PR!$AK861,IF(K863="MTRUST",PR!$AL861,IF(K863="MWORLD",PR!$AM861,IF(K863="MEGA",PR!$AN861,IF(K863="MICRONOVA",PR!$AO861,IF(K863="MFLASH",PR!$AP861,IF(K863="MORISON",PR!$AQ861,IF(K863="NEMEL",PR!$AR861,IF(K863="NHP",PR!$AS861,IF(K863="NHC",PR!$AT861,IF(K863="OLEAF",PR!$AU861,IF(K863="OCULUS",PR!$AV861,IF(K863="PACIFIC",PR!$AW861,IF(K863="PHAMATEX",PR!$AX861,IF(K863="PETHICS",PR!$AY861,IF(K863="PHILIPS",PR!$AZ861,IF(K863="RANBAXY",PR!$BA861,IF(K863="REALS",PR!$BB861,IF(K863="ROYAL",PR!$BC861,IF(K863="SAM",PR!$BD861,IF(K863="SEAGREEN",PR!$BE861,IF(K863="SKG",PR!$BF861,IF(K863="TAH",PR!$BG861,IF(K863="TAYLEK",PR!$BH861,IF(K863="TEMITA",PR!$BI861,IF(K863="THL",PR!$BJ861,IF(K863="UBASTIC",PR!$BK861,IF(K863="UNION",PR!$BL861,IF(K863="UNIQUE",PR!$BM861,IF(K863="VIXA",PR!$BN861,IF(K863="WWCV",PR!$BO861,IF(K863="ZOLON",PR!$BP861,"-")))))))))))))))))))))))))))))))))))))))))))))))))))))))))))))))))</f>
        <v>3000</v>
      </c>
    </row>
    <row r="864" spans="1:12" ht="18.75" x14ac:dyDescent="0.3">
      <c r="A864" s="430">
        <f>PR!A862</f>
        <v>772</v>
      </c>
      <c r="B864" s="15" t="str">
        <f>PR!B862</f>
        <v>B. D VACUTAINER NEEDLE (21 x 0.8 x 32ML)</v>
      </c>
      <c r="C864" s="113" t="str">
        <f>PR!D862</f>
        <v>1 pack of 100</v>
      </c>
      <c r="D864" s="113">
        <f>PR!C862</f>
        <v>2</v>
      </c>
      <c r="E864" s="108">
        <f>IF(F864="ALPHA",PR!$E862,IF(F864="ASSENE",PR!$F862,IF(F864="BIOFEM",PR!$G862,IF(F864="BIOMED",PR!$H862,IF(F864="CHI",PR!$I862,IF(F864="CLARION",PR!$J862,IF(F864="CODIX",PR!$K862,IF(F864="COSMADE",PR!$L862,IF(F864="SANCON",PR!$M862,IF(F864="DEVON",PR!$N862,IF(F864="DORTEMAG",PR!$O862,IF(F864="DGF",PR!$P862,IF(F864="DYNAMIC",PR!$Q862,IF(F864="EMZOR",PR!$R862,IF(F864="EUMATT",PR!$S862,IF(F864="FIDSON",PR!$T862,IF(F864="FCGLOBAL",PR!$U862,IF(F864="GENEITH",PR!$V862,IF(F864="GINOS",PR!$W862,IF(F864="GSK",PR!$X862,IF(F864="GLOBORG",PR!$Y862,IF(F864="GOODNEWS",PR!$Z862,IF(F864="GREENLIFE",PR!$AA862,IF(F864="HLINE",PR!$AB862,IF(F864="ROTECH",PR!$AC862,IF(F864="ISN",PR!$AD862,IF(F864="JAWA",PR!$AE862,IF(F864="LAYO",PR!$AF862,IF(F864="LEADWAY",PR!$AG862,IF(F864="LHV",PR!$AH862,IF(F864="MANOLA",PR!$AI862,IF(F864="MARCSON",PR!$AJ862,IF(F864="M&amp;B",PR!$AK862,IF(F864="MTRUST",PR!$AL862,IF(F864="MWORLD",PR!$AM862,IF(F864="MEGA",PR!$AN862,IF(F864="MICRONOVA",PR!$AO862,IF(F864="MFLASH",PR!$AP862,IF(F864="MORISON",PR!$AQ862,IF(F864="NEMEL",PR!$AR862,IF(F864="NHP",PR!$AS862,IF(F864="NHC",PR!$AT862,IF(F864="OLEAF",PR!$AU862,IF(F864="OCULUS",PR!$AV862,IF(F864="PACIFIC",PR!$AW862,IF(F864="PHAMATEX",PR!$AX862,IF(F864="PETHICS",PR!$AY862,IF(F864="PHILIPS",PR!$AZ862,IF(F864="RANBAXY",PR!$BA862,IF(F864="REALS",PR!$BB862,IF(F864="ROYAL",PR!$BC862,IF(F864="SAM",PR!$BD862,IF(F864="SEAGREEN",PR!$BE862,IF(F864="SKG",PR!$BF862,IF(F864="TAH",PR!$BG862,IF(F864="TAYLEK",PR!$BH862,IF(F864="TEMITA",PR!$BI862,IF(F864="THL",PR!$BJ862,IF(F864="UBASTIC",PR!$BK862,IF(F864="UNION",PR!$BL862,IF(F864="UNIQUE",PR!$BM862,IF(F864="VIXA",PR!$BN862,IF(F864="WWCV",PR!$BO862,IF(F864="ZOLON",PR!$BP862,"-"))))))))))))))))))))))))))))))))))))))))))))))))))))))))))))))))</f>
        <v>2250</v>
      </c>
      <c r="F864" s="102" t="str">
        <f>EV!L1081</f>
        <v>DYNAMIC</v>
      </c>
      <c r="G864" s="108">
        <f>IF(H864="ALPHA",PR!$E862,IF(H864="ASSENE",PR!$F862,IF(H864="BIOFEM",PR!$G862,IF(H864="BIOMED",PR!$H862,IF(H864="CHI",PR!$I862,IF(H864="CLARION",PR!$J862,IF(H864="CODIX",PR!$K862,IF(H864="COSMADE",PR!$L862,IF(H864="SANCON",PR!$M862,IF(H864="DEVON",PR!$N862,IF(H864="DORTEMAG",PR!$O862,IF(H864="DGF",PR!$P862,IF(H864="DYNAMIC",PR!$Q862,IF(H864="EMZOR",PR!$R862,IF(H864="EUMATT",PR!$S862,IF(H864="FIDSON",PR!$T862,IF(H864="FCGLOBAL",PR!$U862,IF(H864="GENEITH",PR!$V862,IF(H864="GINOS",PR!$W862,IF(H864="GSK",PR!$X862,IF(H864="GLOBORG",PR!$Y862,IF(H864="GOODNEWS",PR!$Z862,IF(H864="GREENLIFE",PR!$AA862,IF(H864="HLINE",PR!$AB862,IF(H864="ROTECH",PR!$AC862,IF(H864="ISN",PR!$AD862,IF(H864="JAWA",PR!$AE862,IF(H864="LAYO",PR!$AF862,IF(H864="LEADWAY",PR!$AG862,IF(H864="LHV",PR!$AH862,IF(H864="MANOLA",PR!$AI862,IF(H864="MARCSON",PR!$AJ862,IF(H864="M&amp;B",PR!$AK862,IF(H864="MTRUST",PR!$AL862,IF(H864="MWORLD",PR!$AM862,IF(H864="MEGA",PR!$AN862,IF(H864="MICRONOVA",PR!$AO862,IF(H864="MFLASH",PR!$AP862,IF(H864="MORISON",PR!$AQ862,IF(H864="NEMEL",PR!$AR862,IF(H864="NHP",PR!$AS862,IF(H864="NHC",PR!$AT862,IF(H864="OLEAF",PR!$AU862,IF(H864="OCULUS",PR!$AV862,IF(H864="PACIFIC",PR!$AW862,IF(H864="PHAMATEX",PR!$AX862,IF(H864="PETHICS",PR!$AY862,IF(H864="PHILIPS",PR!$AZ862,IF(H864="RANBAXY",PR!$BA862,IF(H864="REALS",PR!$BB862,IF(H864="ROYAL",PR!$BC862,IF(H864="SAM",PR!$BD862,IF(H864="SEAGREEN",PR!$BE862,IF(H864="SKG",PR!$BF862,IF(H864="TAH",PR!$BG862,IF(H864="TAYLEK",PR!$BH862,IF(H864="TEMITA",PR!$BI862,IF(H864="THL",PR!$BJ862,IF(H864="UBASTIC",PR!$BK862,IF(H864="UNION",PR!$BL862,IF(H864="UNIQUE",PR!$BM862,IF(H864="VIXA",PR!$BN862,IF(H864="WWCV",PR!$BO862,IF(H864="ZOLON",PR!$BP862,"-"))))))))))))))))))))))))))))))))))))))))))))))))))))))))))))))))</f>
        <v>3000</v>
      </c>
      <c r="H864" s="102" t="str">
        <f>EV!M1081</f>
        <v>SANCON</v>
      </c>
      <c r="I864" s="108">
        <f>IF(J864="ALPHA",PR!$E862,IF(J864="ASSENE",PR!$F862,IF(J864="BIOFEM",PR!$G862,IF(J864="BIOMED",PR!$H862,IF(J864="CHI",PR!$I862,IF(J864="CLARION",PR!$J862,IF(J864="CODIX",PR!$K862,IF(J864="COSMADE",PR!$L862,IF(J864="SANCON",PR!$M862,IF(J864="DEVON",PR!$N862,IF(J864="DORTEMAG",PR!$O862,IF(J864="DGF",PR!$P862,IF(J864="DYNAMIC",PR!$Q862,IF(J864="EMZOR",PR!$R862,IF(J864="EUMATT",PR!$S862,IF(J864="FIDSON",PR!$T862,IF(J864="FCGLOBAL",PR!$U862,IF(J864="GENEITH",PR!$V862,IF(J864="GINOS",PR!$W862,IF(J864="GSK",PR!$X862,IF(J864="GLOBORG",PR!$Y862,IF(J864="GOODNEWS",PR!$Z862,IF(J864="GREENLIFE",PR!$AA862,IF(J864="HLINE",PR!$AB862,IF(J864="ROTECH",PR!$AC862,IF(J864="ISN",PR!$AD862,IF(J864="JAWA",PR!$AE862,IF(J864="LAYO",PR!$AF862,IF(J864="LEADWAY",PR!$AG862,IF(J864="LHV",PR!$AH862,IF(J864="MANOLA",PR!$AI862,IF(J864="MARCSON",PR!$AJ862,IF(J864="M&amp;B",PR!$AK862,IF(J864="MTRUST",PR!$AL862,IF(J864="MWORLD",PR!$AM862,IF(J864="MEGA",PR!$AN862,IF(J864="MICRONOVA",PR!$AO862,IF(J864="MFLASH",PR!$AP862,IF(J864="MORISON",PR!$AQ862,IF(J864="NEMEL",PR!$AR862,IF(J864="NHP",PR!$AS862,IF(J864="NHC",PR!$AT862,IF(J864="OLEAF",PR!$AU862,IF(J864="OCULUS",PR!$AV862,IF(J864="PACIFIC",PR!$AW862,IF(J864="PHAMATEX",PR!$AX862,IF(J864="PETHICS",PR!$AY862,IF(J864="PHILIPS",PR!$AZ862,IF(J864="RANBAXY",PR!$BA862,IF(J864="REALS",PR!$BB862,IF(J864="ROYAL",PR!$BC862,IF(J864="SAM",PR!$BD862,IF(J864="SEAGREEN",PR!$BE862,IF(J864="SKG",PR!$BF862,IF(J864="TAH",PR!$BG862,IF(J864="TAYLEK",PR!$BH862,IF(J864="TEMITA",PR!$BI862,IF(J864="THL",PR!$BJ862,IF(J864="UBASTIC",PR!$BK862,IF(J864="UNION",PR!$BL862,IF(J864="UNIQUE",PR!$BM862,IF(J864="VIXA",PR!$BN862,IF(J864="WWCV",PR!$BO862,IF(J864="ZOLON",PR!$BP862,"-"))))))))))))))))))))))))))))))))))))))))))))))))))))))))))))))))</f>
        <v>11050</v>
      </c>
      <c r="J864" s="102" t="str">
        <f>EV!N1081</f>
        <v>LAYO</v>
      </c>
      <c r="K864" s="433" t="s">
        <v>626</v>
      </c>
      <c r="L864" s="183">
        <f>IF(K864&gt;0,IF(K864="ALPHA",PR!$E862,IF(K864="ASSENE",PR!$F862,IF(K864="BIOFEM",PR!$G862,IF(K864="BIOMED",PR!$H862,IF(K864="CHI",PR!$I862,IF(K864="CLARION",PR!$J862,IF(K864="CODIX",PR!$K862,IF(K864="COSMADE",PR!$L862,IF(K864="SANCON",PR!$M862,IF(K864="DEVON",PR!$N862,IF(K864="DORTEMAG",PR!$O862,IF(K864="DGF",PR!$P862,IF(K864="DYNAMIC",PR!$Q862,IF(K864="EMZOR",PR!$R862,IF(K864="EUMATT",PR!$S862,IF(K864="FIDSON",PR!$T862,IF(K864="FCGLOBAL",PR!$U862,IF(K864="GENEITH",PR!$V862,IF(K864="GINOS",PR!$W862,IF(K864="GSK",PR!$X862,IF(K864="GLOBORG",PR!$Y862,IF(K864="GOODNEWS",PR!$Z862,IF(K864="GREENLIFE",PR!$AA862,IF(K864="HLINE",PR!$AB862,IF(K864="ROTECH",PR!$AC862,IF(K864="ISN",PR!$AD862,IF(K864="JAWA",PR!$AE862,IF(K864="LAYO",PR!$AF862,IF(K864="LEADWAY",PR!$AG862,IF(K864="LHV",PR!$AH862,IF(K864="MANOLA",PR!$AI862,IF(K864="MARCSON",PR!$AJ862,IF(K864="M&amp;B",PR!$AK862,IF(K864="MTRUST",PR!$AL862,IF(K864="MWORLD",PR!$AM862,IF(K864="MEGA",PR!$AN862,IF(K864="MICRONOVA",PR!$AO862,IF(K864="MFLASH",PR!$AP862,IF(K864="MORISON",PR!$AQ862,IF(K864="NEMEL",PR!$AR862,IF(K864="NHP",PR!$AS862,IF(K864="NHC",PR!$AT862,IF(K864="OLEAF",PR!$AU862,IF(K864="OCULUS",PR!$AV862,IF(K864="PACIFIC",PR!$AW862,IF(K864="PHAMATEX",PR!$AX862,IF(K864="PETHICS",PR!$AY862,IF(K864="PHILIPS",PR!$AZ862,IF(K864="RANBAXY",PR!$BA862,IF(K864="REALS",PR!$BB862,IF(K864="ROYAL",PR!$BC862,IF(K864="SAM",PR!$BD862,IF(K864="SEAGREEN",PR!$BE862,IF(K864="SKG",PR!$BF862,IF(K864="TAH",PR!$BG862,IF(K864="TAYLEK",PR!$BH862,IF(K864="TEMITA",PR!$BI862,IF(K864="THL",PR!$BJ862,IF(K864="UBASTIC",PR!$BK862,IF(K864="UNION",PR!$BL862,IF(K864="UNIQUE",PR!$BM862,IF(K864="VIXA",PR!$BN862,IF(K864="WWCV",PR!$BO862,IF(K864="ZOLON",PR!$BP862,"-")))))))))))))))))))))))))))))))))))))))))))))))))))))))))))))))))</f>
        <v>2250</v>
      </c>
    </row>
    <row r="865" spans="1:12" ht="18.75" x14ac:dyDescent="0.3">
      <c r="A865" s="430">
        <f>PR!A863</f>
        <v>773</v>
      </c>
      <c r="B865" s="15" t="str">
        <f>PR!B863</f>
        <v>LABORATORY TIMER</v>
      </c>
      <c r="C865" s="113" t="str">
        <f>PR!D863</f>
        <v>2 pcs</v>
      </c>
      <c r="D865" s="113">
        <f>PR!C863</f>
        <v>2</v>
      </c>
      <c r="E865" s="108">
        <f>IF(F865="ALPHA",PR!$E863,IF(F865="ASSENE",PR!$F863,IF(F865="BIOFEM",PR!$G863,IF(F865="BIOMED",PR!$H863,IF(F865="CHI",PR!$I863,IF(F865="CLARION",PR!$J863,IF(F865="CODIX",PR!$K863,IF(F865="COSMADE",PR!$L863,IF(F865="SANCON",PR!$M863,IF(F865="DEVON",PR!$N863,IF(F865="DORTEMAG",PR!$O863,IF(F865="DGF",PR!$P863,IF(F865="DYNAMIC",PR!$Q863,IF(F865="EMZOR",PR!$R863,IF(F865="EUMATT",PR!$S863,IF(F865="FIDSON",PR!$T863,IF(F865="FCGLOBAL",PR!$U863,IF(F865="GENEITH",PR!$V863,IF(F865="GINOS",PR!$W863,IF(F865="GSK",PR!$X863,IF(F865="GLOBORG",PR!$Y863,IF(F865="GOODNEWS",PR!$Z863,IF(F865="GREENLIFE",PR!$AA863,IF(F865="HLINE",PR!$AB863,IF(F865="ROTECH",PR!$AC863,IF(F865="ISN",PR!$AD863,IF(F865="JAWA",PR!$AE863,IF(F865="LAYO",PR!$AF863,IF(F865="LEADWAY",PR!$AG863,IF(F865="LHV",PR!$AH863,IF(F865="MANOLA",PR!$AI863,IF(F865="MARCSON",PR!$AJ863,IF(F865="M&amp;B",PR!$AK863,IF(F865="MTRUST",PR!$AL863,IF(F865="MWORLD",PR!$AM863,IF(F865="MEGA",PR!$AN863,IF(F865="MICRONOVA",PR!$AO863,IF(F865="MFLASH",PR!$AP863,IF(F865="MORISON",PR!$AQ863,IF(F865="NEMEL",PR!$AR863,IF(F865="NHP",PR!$AS863,IF(F865="NHC",PR!$AT863,IF(F865="OLEAF",PR!$AU863,IF(F865="OCULUS",PR!$AV863,IF(F865="PACIFIC",PR!$AW863,IF(F865="PHAMATEX",PR!$AX863,IF(F865="PETHICS",PR!$AY863,IF(F865="PHILIPS",PR!$AZ863,IF(F865="RANBAXY",PR!$BA863,IF(F865="REALS",PR!$BB863,IF(F865="ROYAL",PR!$BC863,IF(F865="SAM",PR!$BD863,IF(F865="SEAGREEN",PR!$BE863,IF(F865="SKG",PR!$BF863,IF(F865="TAH",PR!$BG863,IF(F865="TAYLEK",PR!$BH863,IF(F865="TEMITA",PR!$BI863,IF(F865="THL",PR!$BJ863,IF(F865="UBASTIC",PR!$BK863,IF(F865="UNION",PR!$BL863,IF(F865="UNIQUE",PR!$BM863,IF(F865="VIXA",PR!$BN863,IF(F865="WWCV",PR!$BO863,IF(F865="ZOLON",PR!$BP863,"-"))))))))))))))))))))))))))))))))))))))))))))))))))))))))))))))))</f>
        <v>2875</v>
      </c>
      <c r="F865" s="102" t="str">
        <f>EV!L1082</f>
        <v>DYNAMIC</v>
      </c>
      <c r="G865" s="108">
        <f>IF(H865="ALPHA",PR!$E863,IF(H865="ASSENE",PR!$F863,IF(H865="BIOFEM",PR!$G863,IF(H865="BIOMED",PR!$H863,IF(H865="CHI",PR!$I863,IF(H865="CLARION",PR!$J863,IF(H865="CODIX",PR!$K863,IF(H865="COSMADE",PR!$L863,IF(H865="SANCON",PR!$M863,IF(H865="DEVON",PR!$N863,IF(H865="DORTEMAG",PR!$O863,IF(H865="DGF",PR!$P863,IF(H865="DYNAMIC",PR!$Q863,IF(H865="EMZOR",PR!$R863,IF(H865="EUMATT",PR!$S863,IF(H865="FIDSON",PR!$T863,IF(H865="FCGLOBAL",PR!$U863,IF(H865="GENEITH",PR!$V863,IF(H865="GINOS",PR!$W863,IF(H865="GSK",PR!$X863,IF(H865="GLOBORG",PR!$Y863,IF(H865="GOODNEWS",PR!$Z863,IF(H865="GREENLIFE",PR!$AA863,IF(H865="HLINE",PR!$AB863,IF(H865="ROTECH",PR!$AC863,IF(H865="ISN",PR!$AD863,IF(H865="JAWA",PR!$AE863,IF(H865="LAYO",PR!$AF863,IF(H865="LEADWAY",PR!$AG863,IF(H865="LHV",PR!$AH863,IF(H865="MANOLA",PR!$AI863,IF(H865="MARCSON",PR!$AJ863,IF(H865="M&amp;B",PR!$AK863,IF(H865="MTRUST",PR!$AL863,IF(H865="MWORLD",PR!$AM863,IF(H865="MEGA",PR!$AN863,IF(H865="MICRONOVA",PR!$AO863,IF(H865="MFLASH",PR!$AP863,IF(H865="MORISON",PR!$AQ863,IF(H865="NEMEL",PR!$AR863,IF(H865="NHP",PR!$AS863,IF(H865="NHC",PR!$AT863,IF(H865="OLEAF",PR!$AU863,IF(H865="OCULUS",PR!$AV863,IF(H865="PACIFIC",PR!$AW863,IF(H865="PHAMATEX",PR!$AX863,IF(H865="PETHICS",PR!$AY863,IF(H865="PHILIPS",PR!$AZ863,IF(H865="RANBAXY",PR!$BA863,IF(H865="REALS",PR!$BB863,IF(H865="ROYAL",PR!$BC863,IF(H865="SAM",PR!$BD863,IF(H865="SEAGREEN",PR!$BE863,IF(H865="SKG",PR!$BF863,IF(H865="TAH",PR!$BG863,IF(H865="TAYLEK",PR!$BH863,IF(H865="TEMITA",PR!$BI863,IF(H865="THL",PR!$BJ863,IF(H865="UBASTIC",PR!$BK863,IF(H865="UNION",PR!$BL863,IF(H865="UNIQUE",PR!$BM863,IF(H865="VIXA",PR!$BN863,IF(H865="WWCV",PR!$BO863,IF(H865="ZOLON",PR!$BP863,"-"))))))))))))))))))))))))))))))))))))))))))))))))))))))))))))))))</f>
        <v>3000</v>
      </c>
      <c r="H865" s="102" t="str">
        <f>EV!M1082</f>
        <v>SANCON</v>
      </c>
      <c r="I865" s="108">
        <f>IF(J865="ALPHA",PR!$E863,IF(J865="ASSENE",PR!$F863,IF(J865="BIOFEM",PR!$G863,IF(J865="BIOMED",PR!$H863,IF(J865="CHI",PR!$I863,IF(J865="CLARION",PR!$J863,IF(J865="CODIX",PR!$K863,IF(J865="COSMADE",PR!$L863,IF(J865="SANCON",PR!$M863,IF(J865="DEVON",PR!$N863,IF(J865="DORTEMAG",PR!$O863,IF(J865="DGF",PR!$P863,IF(J865="DYNAMIC",PR!$Q863,IF(J865="EMZOR",PR!$R863,IF(J865="EUMATT",PR!$S863,IF(J865="FIDSON",PR!$T863,IF(J865="FCGLOBAL",PR!$U863,IF(J865="GENEITH",PR!$V863,IF(J865="GINOS",PR!$W863,IF(J865="GSK",PR!$X863,IF(J865="GLOBORG",PR!$Y863,IF(J865="GOODNEWS",PR!$Z863,IF(J865="GREENLIFE",PR!$AA863,IF(J865="HLINE",PR!$AB863,IF(J865="ROTECH",PR!$AC863,IF(J865="ISN",PR!$AD863,IF(J865="JAWA",PR!$AE863,IF(J865="LAYO",PR!$AF863,IF(J865="LEADWAY",PR!$AG863,IF(J865="LHV",PR!$AH863,IF(J865="MANOLA",PR!$AI863,IF(J865="MARCSON",PR!$AJ863,IF(J865="M&amp;B",PR!$AK863,IF(J865="MTRUST",PR!$AL863,IF(J865="MWORLD",PR!$AM863,IF(J865="MEGA",PR!$AN863,IF(J865="MICRONOVA",PR!$AO863,IF(J865="MFLASH",PR!$AP863,IF(J865="MORISON",PR!$AQ863,IF(J865="NEMEL",PR!$AR863,IF(J865="NHP",PR!$AS863,IF(J865="NHC",PR!$AT863,IF(J865="OLEAF",PR!$AU863,IF(J865="OCULUS",PR!$AV863,IF(J865="PACIFIC",PR!$AW863,IF(J865="PHAMATEX",PR!$AX863,IF(J865="PETHICS",PR!$AY863,IF(J865="PHILIPS",PR!$AZ863,IF(J865="RANBAXY",PR!$BA863,IF(J865="REALS",PR!$BB863,IF(J865="ROYAL",PR!$BC863,IF(J865="SAM",PR!$BD863,IF(J865="SEAGREEN",PR!$BE863,IF(J865="SKG",PR!$BF863,IF(J865="TAH",PR!$BG863,IF(J865="TAYLEK",PR!$BH863,IF(J865="TEMITA",PR!$BI863,IF(J865="THL",PR!$BJ863,IF(J865="UBASTIC",PR!$BK863,IF(J865="UNION",PR!$BL863,IF(J865="UNIQUE",PR!$BM863,IF(J865="VIXA",PR!$BN863,IF(J865="WWCV",PR!$BO863,IF(J865="ZOLON",PR!$BP863,"-"))))))))))))))))))))))))))))))))))))))))))))))))))))))))))))))))</f>
        <v>4000</v>
      </c>
      <c r="J865" s="102" t="str">
        <f>EV!N1082</f>
        <v>COSMADE</v>
      </c>
      <c r="K865" s="433" t="s">
        <v>626</v>
      </c>
      <c r="L865" s="183">
        <f>IF(K865&gt;0,IF(K865="ALPHA",PR!$E863,IF(K865="ASSENE",PR!$F863,IF(K865="BIOFEM",PR!$G863,IF(K865="BIOMED",PR!$H863,IF(K865="CHI",PR!$I863,IF(K865="CLARION",PR!$J863,IF(K865="CODIX",PR!$K863,IF(K865="COSMADE",PR!$L863,IF(K865="SANCON",PR!$M863,IF(K865="DEVON",PR!$N863,IF(K865="DORTEMAG",PR!$O863,IF(K865="DGF",PR!$P863,IF(K865="DYNAMIC",PR!$Q863,IF(K865="EMZOR",PR!$R863,IF(K865="EUMATT",PR!$S863,IF(K865="FIDSON",PR!$T863,IF(K865="FCGLOBAL",PR!$U863,IF(K865="GENEITH",PR!$V863,IF(K865="GINOS",PR!$W863,IF(K865="GSK",PR!$X863,IF(K865="GLOBORG",PR!$Y863,IF(K865="GOODNEWS",PR!$Z863,IF(K865="GREENLIFE",PR!$AA863,IF(K865="HLINE",PR!$AB863,IF(K865="ROTECH",PR!$AC863,IF(K865="ISN",PR!$AD863,IF(K865="JAWA",PR!$AE863,IF(K865="LAYO",PR!$AF863,IF(K865="LEADWAY",PR!$AG863,IF(K865="LHV",PR!$AH863,IF(K865="MANOLA",PR!$AI863,IF(K865="MARCSON",PR!$AJ863,IF(K865="M&amp;B",PR!$AK863,IF(K865="MTRUST",PR!$AL863,IF(K865="MWORLD",PR!$AM863,IF(K865="MEGA",PR!$AN863,IF(K865="MICRONOVA",PR!$AO863,IF(K865="MFLASH",PR!$AP863,IF(K865="MORISON",PR!$AQ863,IF(K865="NEMEL",PR!$AR863,IF(K865="NHP",PR!$AS863,IF(K865="NHC",PR!$AT863,IF(K865="OLEAF",PR!$AU863,IF(K865="OCULUS",PR!$AV863,IF(K865="PACIFIC",PR!$AW863,IF(K865="PHAMATEX",PR!$AX863,IF(K865="PETHICS",PR!$AY863,IF(K865="PHILIPS",PR!$AZ863,IF(K865="RANBAXY",PR!$BA863,IF(K865="REALS",PR!$BB863,IF(K865="ROYAL",PR!$BC863,IF(K865="SAM",PR!$BD863,IF(K865="SEAGREEN",PR!$BE863,IF(K865="SKG",PR!$BF863,IF(K865="TAH",PR!$BG863,IF(K865="TAYLEK",PR!$BH863,IF(K865="TEMITA",PR!$BI863,IF(K865="THL",PR!$BJ863,IF(K865="UBASTIC",PR!$BK863,IF(K865="UNION",PR!$BL863,IF(K865="UNIQUE",PR!$BM863,IF(K865="VIXA",PR!$BN863,IF(K865="WWCV",PR!$BO863,IF(K865="ZOLON",PR!$BP863,"-")))))))))))))))))))))))))))))))))))))))))))))))))))))))))))))))))</f>
        <v>2875</v>
      </c>
    </row>
    <row r="866" spans="1:12" ht="18.75" x14ac:dyDescent="0.3">
      <c r="A866" s="430">
        <f>PR!A864</f>
        <v>774</v>
      </c>
      <c r="B866" s="15" t="str">
        <f>PR!B864</f>
        <v>ANTI-A (BIOTEC) (10ML)</v>
      </c>
      <c r="C866" s="113" t="str">
        <f>PR!D864</f>
        <v>1 pack of 10</v>
      </c>
      <c r="D866" s="113">
        <f>PR!C864</f>
        <v>12</v>
      </c>
      <c r="E866" s="108">
        <f>IF(F866="ALPHA",PR!$E864,IF(F866="ASSENE",PR!$F864,IF(F866="BIOFEM",PR!$G864,IF(F866="BIOMED",PR!$H864,IF(F866="CHI",PR!$I864,IF(F866="CLARION",PR!$J864,IF(F866="CODIX",PR!$K864,IF(F866="COSMADE",PR!$L864,IF(F866="SANCON",PR!$M864,IF(F866="DEVON",PR!$N864,IF(F866="DORTEMAG",PR!$O864,IF(F866="DGF",PR!$P864,IF(F866="DYNAMIC",PR!$Q864,IF(F866="EMZOR",PR!$R864,IF(F866="EUMATT",PR!$S864,IF(F866="FIDSON",PR!$T864,IF(F866="FCGLOBAL",PR!$U864,IF(F866="GENEITH",PR!$V864,IF(F866="GINOS",PR!$W864,IF(F866="GSK",PR!$X864,IF(F866="GLOBORG",PR!$Y864,IF(F866="GOODNEWS",PR!$Z864,IF(F866="GREENLIFE",PR!$AA864,IF(F866="HLINE",PR!$AB864,IF(F866="ROTECH",PR!$AC864,IF(F866="ISN",PR!$AD864,IF(F866="JAWA",PR!$AE864,IF(F866="LAYO",PR!$AF864,IF(F866="LEADWAY",PR!$AG864,IF(F866="LHV",PR!$AH864,IF(F866="MANOLA",PR!$AI864,IF(F866="MARCSON",PR!$AJ864,IF(F866="M&amp;B",PR!$AK864,IF(F866="MTRUST",PR!$AL864,IF(F866="MWORLD",PR!$AM864,IF(F866="MEGA",PR!$AN864,IF(F866="MICRONOVA",PR!$AO864,IF(F866="MFLASH",PR!$AP864,IF(F866="MORISON",PR!$AQ864,IF(F866="NEMEL",PR!$AR864,IF(F866="NHP",PR!$AS864,IF(F866="NHC",PR!$AT864,IF(F866="OLEAF",PR!$AU864,IF(F866="OCULUS",PR!$AV864,IF(F866="PACIFIC",PR!$AW864,IF(F866="PHAMATEX",PR!$AX864,IF(F866="PETHICS",PR!$AY864,IF(F866="PHILIPS",PR!$AZ864,IF(F866="RANBAXY",PR!$BA864,IF(F866="REALS",PR!$BB864,IF(F866="ROYAL",PR!$BC864,IF(F866="SAM",PR!$BD864,IF(F866="SEAGREEN",PR!$BE864,IF(F866="SKG",PR!$BF864,IF(F866="TAH",PR!$BG864,IF(F866="TAYLEK",PR!$BH864,IF(F866="TEMITA",PR!$BI864,IF(F866="THL",PR!$BJ864,IF(F866="UBASTIC",PR!$BK864,IF(F866="UNION",PR!$BL864,IF(F866="UNIQUE",PR!$BM864,IF(F866="VIXA",PR!$BN864,IF(F866="WWCV",PR!$BO864,IF(F866="ZOLON",PR!$BP864,"-"))))))))))))))))))))))))))))))))))))))))))))))))))))))))))))))))</f>
        <v>10000</v>
      </c>
      <c r="F866" s="102" t="str">
        <f>EV!L1083</f>
        <v>UBASTIC</v>
      </c>
      <c r="G866" s="108">
        <f>IF(H866="ALPHA",PR!$E864,IF(H866="ASSENE",PR!$F864,IF(H866="BIOFEM",PR!$G864,IF(H866="BIOMED",PR!$H864,IF(H866="CHI",PR!$I864,IF(H866="CLARION",PR!$J864,IF(H866="CODIX",PR!$K864,IF(H866="COSMADE",PR!$L864,IF(H866="SANCON",PR!$M864,IF(H866="DEVON",PR!$N864,IF(H866="DORTEMAG",PR!$O864,IF(H866="DGF",PR!$P864,IF(H866="DYNAMIC",PR!$Q864,IF(H866="EMZOR",PR!$R864,IF(H866="EUMATT",PR!$S864,IF(H866="FIDSON",PR!$T864,IF(H866="FCGLOBAL",PR!$U864,IF(H866="GENEITH",PR!$V864,IF(H866="GINOS",PR!$W864,IF(H866="GSK",PR!$X864,IF(H866="GLOBORG",PR!$Y864,IF(H866="GOODNEWS",PR!$Z864,IF(H866="GREENLIFE",PR!$AA864,IF(H866="HLINE",PR!$AB864,IF(H866="ROTECH",PR!$AC864,IF(H866="ISN",PR!$AD864,IF(H866="JAWA",PR!$AE864,IF(H866="LAYO",PR!$AF864,IF(H866="LEADWAY",PR!$AG864,IF(H866="LHV",PR!$AH864,IF(H866="MANOLA",PR!$AI864,IF(H866="MARCSON",PR!$AJ864,IF(H866="M&amp;B",PR!$AK864,IF(H866="MTRUST",PR!$AL864,IF(H866="MWORLD",PR!$AM864,IF(H866="MEGA",PR!$AN864,IF(H866="MICRONOVA",PR!$AO864,IF(H866="MFLASH",PR!$AP864,IF(H866="MORISON",PR!$AQ864,IF(H866="NEMEL",PR!$AR864,IF(H866="NHP",PR!$AS864,IF(H866="NHC",PR!$AT864,IF(H866="OLEAF",PR!$AU864,IF(H866="OCULUS",PR!$AV864,IF(H866="PACIFIC",PR!$AW864,IF(H866="PHAMATEX",PR!$AX864,IF(H866="PETHICS",PR!$AY864,IF(H866="PHILIPS",PR!$AZ864,IF(H866="RANBAXY",PR!$BA864,IF(H866="REALS",PR!$BB864,IF(H866="ROYAL",PR!$BC864,IF(H866="SAM",PR!$BD864,IF(H866="SEAGREEN",PR!$BE864,IF(H866="SKG",PR!$BF864,IF(H866="TAH",PR!$BG864,IF(H866="TAYLEK",PR!$BH864,IF(H866="TEMITA",PR!$BI864,IF(H866="THL",PR!$BJ864,IF(H866="UBASTIC",PR!$BK864,IF(H866="UNION",PR!$BL864,IF(H866="UNIQUE",PR!$BM864,IF(H866="VIXA",PR!$BN864,IF(H866="WWCV",PR!$BO864,IF(H866="ZOLON",PR!$BP864,"-"))))))))))))))))))))))))))))))))))))))))))))))))))))))))))))))))</f>
        <v>10000</v>
      </c>
      <c r="H866" s="102" t="str">
        <f>EV!M1083</f>
        <v>COSMADE</v>
      </c>
      <c r="I866" s="108">
        <f>IF(J866="ALPHA",PR!$E864,IF(J866="ASSENE",PR!$F864,IF(J866="BIOFEM",PR!$G864,IF(J866="BIOMED",PR!$H864,IF(J866="CHI",PR!$I864,IF(J866="CLARION",PR!$J864,IF(J866="CODIX",PR!$K864,IF(J866="COSMADE",PR!$L864,IF(J866="SANCON",PR!$M864,IF(J866="DEVON",PR!$N864,IF(J866="DORTEMAG",PR!$O864,IF(J866="DGF",PR!$P864,IF(J866="DYNAMIC",PR!$Q864,IF(J866="EMZOR",PR!$R864,IF(J866="EUMATT",PR!$S864,IF(J866="FIDSON",PR!$T864,IF(J866="FCGLOBAL",PR!$U864,IF(J866="GENEITH",PR!$V864,IF(J866="GINOS",PR!$W864,IF(J866="GSK",PR!$X864,IF(J866="GLOBORG",PR!$Y864,IF(J866="GOODNEWS",PR!$Z864,IF(J866="GREENLIFE",PR!$AA864,IF(J866="HLINE",PR!$AB864,IF(J866="ROTECH",PR!$AC864,IF(J866="ISN",PR!$AD864,IF(J866="JAWA",PR!$AE864,IF(J866="LAYO",PR!$AF864,IF(J866="LEADWAY",PR!$AG864,IF(J866="LHV",PR!$AH864,IF(J866="MANOLA",PR!$AI864,IF(J866="MARCSON",PR!$AJ864,IF(J866="M&amp;B",PR!$AK864,IF(J866="MTRUST",PR!$AL864,IF(J866="MWORLD",PR!$AM864,IF(J866="MEGA",PR!$AN864,IF(J866="MICRONOVA",PR!$AO864,IF(J866="MFLASH",PR!$AP864,IF(J866="MORISON",PR!$AQ864,IF(J866="NEMEL",PR!$AR864,IF(J866="NHP",PR!$AS864,IF(J866="NHC",PR!$AT864,IF(J866="OLEAF",PR!$AU864,IF(J866="OCULUS",PR!$AV864,IF(J866="PACIFIC",PR!$AW864,IF(J866="PHAMATEX",PR!$AX864,IF(J866="PETHICS",PR!$AY864,IF(J866="PHILIPS",PR!$AZ864,IF(J866="RANBAXY",PR!$BA864,IF(J866="REALS",PR!$BB864,IF(J866="ROYAL",PR!$BC864,IF(J866="SAM",PR!$BD864,IF(J866="SEAGREEN",PR!$BE864,IF(J866="SKG",PR!$BF864,IF(J866="TAH",PR!$BG864,IF(J866="TAYLEK",PR!$BH864,IF(J866="TEMITA",PR!$BI864,IF(J866="THL",PR!$BJ864,IF(J866="UBASTIC",PR!$BK864,IF(J866="UNION",PR!$BL864,IF(J866="UNIQUE",PR!$BM864,IF(J866="VIXA",PR!$BN864,IF(J866="WWCV",PR!$BO864,IF(J866="ZOLON",PR!$BP864,"-"))))))))))))))))))))))))))))))))))))))))))))))))))))))))))))))))</f>
        <v>11500</v>
      </c>
      <c r="J866" s="102" t="str">
        <f>EV!N1083</f>
        <v>TEMITA</v>
      </c>
      <c r="K866" s="433" t="s">
        <v>1459</v>
      </c>
      <c r="L866" s="183">
        <f>IF(K866&gt;0,IF(K866="ALPHA",PR!$E864,IF(K866="ASSENE",PR!$F864,IF(K866="BIOFEM",PR!$G864,IF(K866="BIOMED",PR!$H864,IF(K866="CHI",PR!$I864,IF(K866="CLARION",PR!$J864,IF(K866="CODIX",PR!$K864,IF(K866="COSMADE",PR!$L864,IF(K866="SANCON",PR!$M864,IF(K866="DEVON",PR!$N864,IF(K866="DORTEMAG",PR!$O864,IF(K866="DGF",PR!$P864,IF(K866="DYNAMIC",PR!$Q864,IF(K866="EMZOR",PR!$R864,IF(K866="EUMATT",PR!$S864,IF(K866="FIDSON",PR!$T864,IF(K866="FCGLOBAL",PR!$U864,IF(K866="GENEITH",PR!$V864,IF(K866="GINOS",PR!$W864,IF(K866="GSK",PR!$X864,IF(K866="GLOBORG",PR!$Y864,IF(K866="GOODNEWS",PR!$Z864,IF(K866="GREENLIFE",PR!$AA864,IF(K866="HLINE",PR!$AB864,IF(K866="ROTECH",PR!$AC864,IF(K866="ISN",PR!$AD864,IF(K866="JAWA",PR!$AE864,IF(K866="LAYO",PR!$AF864,IF(K866="LEADWAY",PR!$AG864,IF(K866="LHV",PR!$AH864,IF(K866="MANOLA",PR!$AI864,IF(K866="MARCSON",PR!$AJ864,IF(K866="M&amp;B",PR!$AK864,IF(K866="MTRUST",PR!$AL864,IF(K866="MWORLD",PR!$AM864,IF(K866="MEGA",PR!$AN864,IF(K866="MICRONOVA",PR!$AO864,IF(K866="MFLASH",PR!$AP864,IF(K866="MORISON",PR!$AQ864,IF(K866="NEMEL",PR!$AR864,IF(K866="NHP",PR!$AS864,IF(K866="NHC",PR!$AT864,IF(K866="OLEAF",PR!$AU864,IF(K866="OCULUS",PR!$AV864,IF(K866="PACIFIC",PR!$AW864,IF(K866="PHAMATEX",PR!$AX864,IF(K866="PETHICS",PR!$AY864,IF(K866="PHILIPS",PR!$AZ864,IF(K866="RANBAXY",PR!$BA864,IF(K866="REALS",PR!$BB864,IF(K866="ROYAL",PR!$BC864,IF(K866="SAM",PR!$BD864,IF(K866="SEAGREEN",PR!$BE864,IF(K866="SKG",PR!$BF864,IF(K866="TAH",PR!$BG864,IF(K866="TAYLEK",PR!$BH864,IF(K866="TEMITA",PR!$BI864,IF(K866="THL",PR!$BJ864,IF(K866="UBASTIC",PR!$BK864,IF(K866="UNION",PR!$BL864,IF(K866="UNIQUE",PR!$BM864,IF(K866="VIXA",PR!$BN864,IF(K866="WWCV",PR!$BO864,IF(K866="ZOLON",PR!$BP864,"-")))))))))))))))))))))))))))))))))))))))))))))))))))))))))))))))))</f>
        <v>10000</v>
      </c>
    </row>
    <row r="867" spans="1:12" ht="18.75" x14ac:dyDescent="0.3">
      <c r="A867" s="430">
        <f>PR!A865</f>
        <v>775</v>
      </c>
      <c r="B867" s="15" t="str">
        <f>PR!B865</f>
        <v>ANTI-B (BIOTEC) (10ML)</v>
      </c>
      <c r="C867" s="113" t="str">
        <f>PR!D865</f>
        <v>1 pack of 10</v>
      </c>
      <c r="D867" s="113">
        <f>PR!C865</f>
        <v>12</v>
      </c>
      <c r="E867" s="108">
        <f>IF(F867="ALPHA",PR!$E865,IF(F867="ASSENE",PR!$F865,IF(F867="BIOFEM",PR!$G865,IF(F867="BIOMED",PR!$H865,IF(F867="CHI",PR!$I865,IF(F867="CLARION",PR!$J865,IF(F867="CODIX",PR!$K865,IF(F867="COSMADE",PR!$L865,IF(F867="SANCON",PR!$M865,IF(F867="DEVON",PR!$N865,IF(F867="DORTEMAG",PR!$O865,IF(F867="DGF",PR!$P865,IF(F867="DYNAMIC",PR!$Q865,IF(F867="EMZOR",PR!$R865,IF(F867="EUMATT",PR!$S865,IF(F867="FIDSON",PR!$T865,IF(F867="FCGLOBAL",PR!$U865,IF(F867="GENEITH",PR!$V865,IF(F867="GINOS",PR!$W865,IF(F867="GSK",PR!$X865,IF(F867="GLOBORG",PR!$Y865,IF(F867="GOODNEWS",PR!$Z865,IF(F867="GREENLIFE",PR!$AA865,IF(F867="HLINE",PR!$AB865,IF(F867="ROTECH",PR!$AC865,IF(F867="ISN",PR!$AD865,IF(F867="JAWA",PR!$AE865,IF(F867="LAYO",PR!$AF865,IF(F867="LEADWAY",PR!$AG865,IF(F867="LHV",PR!$AH865,IF(F867="MANOLA",PR!$AI865,IF(F867="MARCSON",PR!$AJ865,IF(F867="M&amp;B",PR!$AK865,IF(F867="MTRUST",PR!$AL865,IF(F867="MWORLD",PR!$AM865,IF(F867="MEGA",PR!$AN865,IF(F867="MICRONOVA",PR!$AO865,IF(F867="MFLASH",PR!$AP865,IF(F867="MORISON",PR!$AQ865,IF(F867="NEMEL",PR!$AR865,IF(F867="NHP",PR!$AS865,IF(F867="NHC",PR!$AT865,IF(F867="OLEAF",PR!$AU865,IF(F867="OCULUS",PR!$AV865,IF(F867="PACIFIC",PR!$AW865,IF(F867="PHAMATEX",PR!$AX865,IF(F867="PETHICS",PR!$AY865,IF(F867="PHILIPS",PR!$AZ865,IF(F867="RANBAXY",PR!$BA865,IF(F867="REALS",PR!$BB865,IF(F867="ROYAL",PR!$BC865,IF(F867="SAM",PR!$BD865,IF(F867="SEAGREEN",PR!$BE865,IF(F867="SKG",PR!$BF865,IF(F867="TAH",PR!$BG865,IF(F867="TAYLEK",PR!$BH865,IF(F867="TEMITA",PR!$BI865,IF(F867="THL",PR!$BJ865,IF(F867="UBASTIC",PR!$BK865,IF(F867="UNION",PR!$BL865,IF(F867="UNIQUE",PR!$BM865,IF(F867="VIXA",PR!$BN865,IF(F867="WWCV",PR!$BO865,IF(F867="ZOLON",PR!$BP865,"-"))))))))))))))))))))))))))))))))))))))))))))))))))))))))))))))))</f>
        <v>10000</v>
      </c>
      <c r="F867" s="102" t="str">
        <f>EV!L1084</f>
        <v>UBASTIC</v>
      </c>
      <c r="G867" s="108">
        <f>IF(H867="ALPHA",PR!$E865,IF(H867="ASSENE",PR!$F865,IF(H867="BIOFEM",PR!$G865,IF(H867="BIOMED",PR!$H865,IF(H867="CHI",PR!$I865,IF(H867="CLARION",PR!$J865,IF(H867="CODIX",PR!$K865,IF(H867="COSMADE",PR!$L865,IF(H867="SANCON",PR!$M865,IF(H867="DEVON",PR!$N865,IF(H867="DORTEMAG",PR!$O865,IF(H867="DGF",PR!$P865,IF(H867="DYNAMIC",PR!$Q865,IF(H867="EMZOR",PR!$R865,IF(H867="EUMATT",PR!$S865,IF(H867="FIDSON",PR!$T865,IF(H867="FCGLOBAL",PR!$U865,IF(H867="GENEITH",PR!$V865,IF(H867="GINOS",PR!$W865,IF(H867="GSK",PR!$X865,IF(H867="GLOBORG",PR!$Y865,IF(H867="GOODNEWS",PR!$Z865,IF(H867="GREENLIFE",PR!$AA865,IF(H867="HLINE",PR!$AB865,IF(H867="ROTECH",PR!$AC865,IF(H867="ISN",PR!$AD865,IF(H867="JAWA",PR!$AE865,IF(H867="LAYO",PR!$AF865,IF(H867="LEADWAY",PR!$AG865,IF(H867="LHV",PR!$AH865,IF(H867="MANOLA",PR!$AI865,IF(H867="MARCSON",PR!$AJ865,IF(H867="M&amp;B",PR!$AK865,IF(H867="MTRUST",PR!$AL865,IF(H867="MWORLD",PR!$AM865,IF(H867="MEGA",PR!$AN865,IF(H867="MICRONOVA",PR!$AO865,IF(H867="MFLASH",PR!$AP865,IF(H867="MORISON",PR!$AQ865,IF(H867="NEMEL",PR!$AR865,IF(H867="NHP",PR!$AS865,IF(H867="NHC",PR!$AT865,IF(H867="OLEAF",PR!$AU865,IF(H867="OCULUS",PR!$AV865,IF(H867="PACIFIC",PR!$AW865,IF(H867="PHAMATEX",PR!$AX865,IF(H867="PETHICS",PR!$AY865,IF(H867="PHILIPS",PR!$AZ865,IF(H867="RANBAXY",PR!$BA865,IF(H867="REALS",PR!$BB865,IF(H867="ROYAL",PR!$BC865,IF(H867="SAM",PR!$BD865,IF(H867="SEAGREEN",PR!$BE865,IF(H867="SKG",PR!$BF865,IF(H867="TAH",PR!$BG865,IF(H867="TAYLEK",PR!$BH865,IF(H867="TEMITA",PR!$BI865,IF(H867="THL",PR!$BJ865,IF(H867="UBASTIC",PR!$BK865,IF(H867="UNION",PR!$BL865,IF(H867="UNIQUE",PR!$BM865,IF(H867="VIXA",PR!$BN865,IF(H867="WWCV",PR!$BO865,IF(H867="ZOLON",PR!$BP865,"-"))))))))))))))))))))))))))))))))))))))))))))))))))))))))))))))))</f>
        <v>10000</v>
      </c>
      <c r="H867" s="102" t="str">
        <f>EV!M1084</f>
        <v>COSMADE</v>
      </c>
      <c r="I867" s="108">
        <f>IF(J867="ALPHA",PR!$E865,IF(J867="ASSENE",PR!$F865,IF(J867="BIOFEM",PR!$G865,IF(J867="BIOMED",PR!$H865,IF(J867="CHI",PR!$I865,IF(J867="CLARION",PR!$J865,IF(J867="CODIX",PR!$K865,IF(J867="COSMADE",PR!$L865,IF(J867="SANCON",PR!$M865,IF(J867="DEVON",PR!$N865,IF(J867="DORTEMAG",PR!$O865,IF(J867="DGF",PR!$P865,IF(J867="DYNAMIC",PR!$Q865,IF(J867="EMZOR",PR!$R865,IF(J867="EUMATT",PR!$S865,IF(J867="FIDSON",PR!$T865,IF(J867="FCGLOBAL",PR!$U865,IF(J867="GENEITH",PR!$V865,IF(J867="GINOS",PR!$W865,IF(J867="GSK",PR!$X865,IF(J867="GLOBORG",PR!$Y865,IF(J867="GOODNEWS",PR!$Z865,IF(J867="GREENLIFE",PR!$AA865,IF(J867="HLINE",PR!$AB865,IF(J867="ROTECH",PR!$AC865,IF(J867="ISN",PR!$AD865,IF(J867="JAWA",PR!$AE865,IF(J867="LAYO",PR!$AF865,IF(J867="LEADWAY",PR!$AG865,IF(J867="LHV",PR!$AH865,IF(J867="MANOLA",PR!$AI865,IF(J867="MARCSON",PR!$AJ865,IF(J867="M&amp;B",PR!$AK865,IF(J867="MTRUST",PR!$AL865,IF(J867="MWORLD",PR!$AM865,IF(J867="MEGA",PR!$AN865,IF(J867="MICRONOVA",PR!$AO865,IF(J867="MFLASH",PR!$AP865,IF(J867="MORISON",PR!$AQ865,IF(J867="NEMEL",PR!$AR865,IF(J867="NHP",PR!$AS865,IF(J867="NHC",PR!$AT865,IF(J867="OLEAF",PR!$AU865,IF(J867="OCULUS",PR!$AV865,IF(J867="PACIFIC",PR!$AW865,IF(J867="PHAMATEX",PR!$AX865,IF(J867="PETHICS",PR!$AY865,IF(J867="PHILIPS",PR!$AZ865,IF(J867="RANBAXY",PR!$BA865,IF(J867="REALS",PR!$BB865,IF(J867="ROYAL",PR!$BC865,IF(J867="SAM",PR!$BD865,IF(J867="SEAGREEN",PR!$BE865,IF(J867="SKG",PR!$BF865,IF(J867="TAH",PR!$BG865,IF(J867="TAYLEK",PR!$BH865,IF(J867="TEMITA",PR!$BI865,IF(J867="THL",PR!$BJ865,IF(J867="UBASTIC",PR!$BK865,IF(J867="UNION",PR!$BL865,IF(J867="UNIQUE",PR!$BM865,IF(J867="VIXA",PR!$BN865,IF(J867="WWCV",PR!$BO865,IF(J867="ZOLON",PR!$BP865,"-"))))))))))))))))))))))))))))))))))))))))))))))))))))))))))))))))</f>
        <v>11000</v>
      </c>
      <c r="J867" s="102" t="str">
        <f>EV!N1084</f>
        <v>TEMITA</v>
      </c>
      <c r="K867" s="433" t="s">
        <v>1459</v>
      </c>
      <c r="L867" s="183">
        <f>IF(K867&gt;0,IF(K867="ALPHA",PR!$E865,IF(K867="ASSENE",PR!$F865,IF(K867="BIOFEM",PR!$G865,IF(K867="BIOMED",PR!$H865,IF(K867="CHI",PR!$I865,IF(K867="CLARION",PR!$J865,IF(K867="CODIX",PR!$K865,IF(K867="COSMADE",PR!$L865,IF(K867="SANCON",PR!$M865,IF(K867="DEVON",PR!$N865,IF(K867="DORTEMAG",PR!$O865,IF(K867="DGF",PR!$P865,IF(K867="DYNAMIC",PR!$Q865,IF(K867="EMZOR",PR!$R865,IF(K867="EUMATT",PR!$S865,IF(K867="FIDSON",PR!$T865,IF(K867="FCGLOBAL",PR!$U865,IF(K867="GENEITH",PR!$V865,IF(K867="GINOS",PR!$W865,IF(K867="GSK",PR!$X865,IF(K867="GLOBORG",PR!$Y865,IF(K867="GOODNEWS",PR!$Z865,IF(K867="GREENLIFE",PR!$AA865,IF(K867="HLINE",PR!$AB865,IF(K867="ROTECH",PR!$AC865,IF(K867="ISN",PR!$AD865,IF(K867="JAWA",PR!$AE865,IF(K867="LAYO",PR!$AF865,IF(K867="LEADWAY",PR!$AG865,IF(K867="LHV",PR!$AH865,IF(K867="MANOLA",PR!$AI865,IF(K867="MARCSON",PR!$AJ865,IF(K867="M&amp;B",PR!$AK865,IF(K867="MTRUST",PR!$AL865,IF(K867="MWORLD",PR!$AM865,IF(K867="MEGA",PR!$AN865,IF(K867="MICRONOVA",PR!$AO865,IF(K867="MFLASH",PR!$AP865,IF(K867="MORISON",PR!$AQ865,IF(K867="NEMEL",PR!$AR865,IF(K867="NHP",PR!$AS865,IF(K867="NHC",PR!$AT865,IF(K867="OLEAF",PR!$AU865,IF(K867="OCULUS",PR!$AV865,IF(K867="PACIFIC",PR!$AW865,IF(K867="PHAMATEX",PR!$AX865,IF(K867="PETHICS",PR!$AY865,IF(K867="PHILIPS",PR!$AZ865,IF(K867="RANBAXY",PR!$BA865,IF(K867="REALS",PR!$BB865,IF(K867="ROYAL",PR!$BC865,IF(K867="SAM",PR!$BD865,IF(K867="SEAGREEN",PR!$BE865,IF(K867="SKG",PR!$BF865,IF(K867="TAH",PR!$BG865,IF(K867="TAYLEK",PR!$BH865,IF(K867="TEMITA",PR!$BI865,IF(K867="THL",PR!$BJ865,IF(K867="UBASTIC",PR!$BK865,IF(K867="UNION",PR!$BL865,IF(K867="UNIQUE",PR!$BM865,IF(K867="VIXA",PR!$BN865,IF(K867="WWCV",PR!$BO865,IF(K867="ZOLON",PR!$BP865,"-")))))))))))))))))))))))))))))))))))))))))))))))))))))))))))))))))</f>
        <v>10000</v>
      </c>
    </row>
    <row r="868" spans="1:12" ht="18.75" x14ac:dyDescent="0.3">
      <c r="A868" s="430">
        <f>PR!A866</f>
        <v>776</v>
      </c>
      <c r="B868" s="15" t="str">
        <f>PR!B866</f>
        <v>ANTI-A+B (BIOTEC) (10ML)</v>
      </c>
      <c r="C868" s="113" t="str">
        <f>PR!D866</f>
        <v>1 pack of 10</v>
      </c>
      <c r="D868" s="113">
        <f>PR!C866</f>
        <v>12</v>
      </c>
      <c r="E868" s="108">
        <f>IF(F868="ALPHA",PR!$E866,IF(F868="ASSENE",PR!$F866,IF(F868="BIOFEM",PR!$G866,IF(F868="BIOMED",PR!$H866,IF(F868="CHI",PR!$I866,IF(F868="CLARION",PR!$J866,IF(F868="CODIX",PR!$K866,IF(F868="COSMADE",PR!$L866,IF(F868="SANCON",PR!$M866,IF(F868="DEVON",PR!$N866,IF(F868="DORTEMAG",PR!$O866,IF(F868="DGF",PR!$P866,IF(F868="DYNAMIC",PR!$Q866,IF(F868="EMZOR",PR!$R866,IF(F868="EUMATT",PR!$S866,IF(F868="FIDSON",PR!$T866,IF(F868="FCGLOBAL",PR!$U866,IF(F868="GENEITH",PR!$V866,IF(F868="GINOS",PR!$W866,IF(F868="GSK",PR!$X866,IF(F868="GLOBORG",PR!$Y866,IF(F868="GOODNEWS",PR!$Z866,IF(F868="GREENLIFE",PR!$AA866,IF(F868="HLINE",PR!$AB866,IF(F868="ROTECH",PR!$AC866,IF(F868="ISN",PR!$AD866,IF(F868="JAWA",PR!$AE866,IF(F868="LAYO",PR!$AF866,IF(F868="LEADWAY",PR!$AG866,IF(F868="LHV",PR!$AH866,IF(F868="MANOLA",PR!$AI866,IF(F868="MARCSON",PR!$AJ866,IF(F868="M&amp;B",PR!$AK866,IF(F868="MTRUST",PR!$AL866,IF(F868="MWORLD",PR!$AM866,IF(F868="MEGA",PR!$AN866,IF(F868="MICRONOVA",PR!$AO866,IF(F868="MFLASH",PR!$AP866,IF(F868="MORISON",PR!$AQ866,IF(F868="NEMEL",PR!$AR866,IF(F868="NHP",PR!$AS866,IF(F868="NHC",PR!$AT866,IF(F868="OLEAF",PR!$AU866,IF(F868="OCULUS",PR!$AV866,IF(F868="PACIFIC",PR!$AW866,IF(F868="PHAMATEX",PR!$AX866,IF(F868="PETHICS",PR!$AY866,IF(F868="PHILIPS",PR!$AZ866,IF(F868="RANBAXY",PR!$BA866,IF(F868="REALS",PR!$BB866,IF(F868="ROYAL",PR!$BC866,IF(F868="SAM",PR!$BD866,IF(F868="SEAGREEN",PR!$BE866,IF(F868="SKG",PR!$BF866,IF(F868="TAH",PR!$BG866,IF(F868="TAYLEK",PR!$BH866,IF(F868="TEMITA",PR!$BI866,IF(F868="THL",PR!$BJ866,IF(F868="UBASTIC",PR!$BK866,IF(F868="UNION",PR!$BL866,IF(F868="UNIQUE",PR!$BM866,IF(F868="VIXA",PR!$BN866,IF(F868="WWCV",PR!$BO866,IF(F868="ZOLON",PR!$BP866,"-"))))))))))))))))))))))))))))))))))))))))))))))))))))))))))))))))</f>
        <v>13000</v>
      </c>
      <c r="F868" s="102" t="str">
        <f>EV!L1085</f>
        <v>COSMADE</v>
      </c>
      <c r="G868" s="108">
        <f>IF(H868="ALPHA",PR!$E866,IF(H868="ASSENE",PR!$F866,IF(H868="BIOFEM",PR!$G866,IF(H868="BIOMED",PR!$H866,IF(H868="CHI",PR!$I866,IF(H868="CLARION",PR!$J866,IF(H868="CODIX",PR!$K866,IF(H868="COSMADE",PR!$L866,IF(H868="SANCON",PR!$M866,IF(H868="DEVON",PR!$N866,IF(H868="DORTEMAG",PR!$O866,IF(H868="DGF",PR!$P866,IF(H868="DYNAMIC",PR!$Q866,IF(H868="EMZOR",PR!$R866,IF(H868="EUMATT",PR!$S866,IF(H868="FIDSON",PR!$T866,IF(H868="FCGLOBAL",PR!$U866,IF(H868="GENEITH",PR!$V866,IF(H868="GINOS",PR!$W866,IF(H868="GSK",PR!$X866,IF(H868="GLOBORG",PR!$Y866,IF(H868="GOODNEWS",PR!$Z866,IF(H868="GREENLIFE",PR!$AA866,IF(H868="HLINE",PR!$AB866,IF(H868="ROTECH",PR!$AC866,IF(H868="ISN",PR!$AD866,IF(H868="JAWA",PR!$AE866,IF(H868="LAYO",PR!$AF866,IF(H868="LEADWAY",PR!$AG866,IF(H868="LHV",PR!$AH866,IF(H868="MANOLA",PR!$AI866,IF(H868="MARCSON",PR!$AJ866,IF(H868="M&amp;B",PR!$AK866,IF(H868="MTRUST",PR!$AL866,IF(H868="MWORLD",PR!$AM866,IF(H868="MEGA",PR!$AN866,IF(H868="MICRONOVA",PR!$AO866,IF(H868="MFLASH",PR!$AP866,IF(H868="MORISON",PR!$AQ866,IF(H868="NEMEL",PR!$AR866,IF(H868="NHP",PR!$AS866,IF(H868="NHC",PR!$AT866,IF(H868="OLEAF",PR!$AU866,IF(H868="OCULUS",PR!$AV866,IF(H868="PACIFIC",PR!$AW866,IF(H868="PHAMATEX",PR!$AX866,IF(H868="PETHICS",PR!$AY866,IF(H868="PHILIPS",PR!$AZ866,IF(H868="RANBAXY",PR!$BA866,IF(H868="REALS",PR!$BB866,IF(H868="ROYAL",PR!$BC866,IF(H868="SAM",PR!$BD866,IF(H868="SEAGREEN",PR!$BE866,IF(H868="SKG",PR!$BF866,IF(H868="TAH",PR!$BG866,IF(H868="TAYLEK",PR!$BH866,IF(H868="TEMITA",PR!$BI866,IF(H868="THL",PR!$BJ866,IF(H868="UBASTIC",PR!$BK866,IF(H868="UNION",PR!$BL866,IF(H868="UNIQUE",PR!$BM866,IF(H868="VIXA",PR!$BN866,IF(H868="WWCV",PR!$BO866,IF(H868="ZOLON",PR!$BP866,"-"))))))))))))))))))))))))))))))))))))))))))))))))))))))))))))))))</f>
        <v>15000</v>
      </c>
      <c r="H868" s="102" t="str">
        <f>EV!M1085</f>
        <v>TEMITA</v>
      </c>
      <c r="I868" s="108">
        <f>IF(J868="ALPHA",PR!$E866,IF(J868="ASSENE",PR!$F866,IF(J868="BIOFEM",PR!$G866,IF(J868="BIOMED",PR!$H866,IF(J868="CHI",PR!$I866,IF(J868="CLARION",PR!$J866,IF(J868="CODIX",PR!$K866,IF(J868="COSMADE",PR!$L866,IF(J868="SANCON",PR!$M866,IF(J868="DEVON",PR!$N866,IF(J868="DORTEMAG",PR!$O866,IF(J868="DGF",PR!$P866,IF(J868="DYNAMIC",PR!$Q866,IF(J868="EMZOR",PR!$R866,IF(J868="EUMATT",PR!$S866,IF(J868="FIDSON",PR!$T866,IF(J868="FCGLOBAL",PR!$U866,IF(J868="GENEITH",PR!$V866,IF(J868="GINOS",PR!$W866,IF(J868="GSK",PR!$X866,IF(J868="GLOBORG",PR!$Y866,IF(J868="GOODNEWS",PR!$Z866,IF(J868="GREENLIFE",PR!$AA866,IF(J868="HLINE",PR!$AB866,IF(J868="ROTECH",PR!$AC866,IF(J868="ISN",PR!$AD866,IF(J868="JAWA",PR!$AE866,IF(J868="LAYO",PR!$AF866,IF(J868="LEADWAY",PR!$AG866,IF(J868="LHV",PR!$AH866,IF(J868="MANOLA",PR!$AI866,IF(J868="MARCSON",PR!$AJ866,IF(J868="M&amp;B",PR!$AK866,IF(J868="MTRUST",PR!$AL866,IF(J868="MWORLD",PR!$AM866,IF(J868="MEGA",PR!$AN866,IF(J868="MICRONOVA",PR!$AO866,IF(J868="MFLASH",PR!$AP866,IF(J868="MORISON",PR!$AQ866,IF(J868="NEMEL",PR!$AR866,IF(J868="NHP",PR!$AS866,IF(J868="NHC",PR!$AT866,IF(J868="OLEAF",PR!$AU866,IF(J868="OCULUS",PR!$AV866,IF(J868="PACIFIC",PR!$AW866,IF(J868="PHAMATEX",PR!$AX866,IF(J868="PETHICS",PR!$AY866,IF(J868="PHILIPS",PR!$AZ866,IF(J868="RANBAXY",PR!$BA866,IF(J868="REALS",PR!$BB866,IF(J868="ROYAL",PR!$BC866,IF(J868="SAM",PR!$BD866,IF(J868="SEAGREEN",PR!$BE866,IF(J868="SKG",PR!$BF866,IF(J868="TAH",PR!$BG866,IF(J868="TAYLEK",PR!$BH866,IF(J868="TEMITA",PR!$BI866,IF(J868="THL",PR!$BJ866,IF(J868="UBASTIC",PR!$BK866,IF(J868="UNION",PR!$BL866,IF(J868="UNIQUE",PR!$BM866,IF(J868="VIXA",PR!$BN866,IF(J868="WWCV",PR!$BO866,IF(J868="ZOLON",PR!$BP866,"-"))))))))))))))))))))))))))))))))))))))))))))))))))))))))))))))))</f>
        <v>15000</v>
      </c>
      <c r="J868" s="102" t="str">
        <f>EV!N1085</f>
        <v>UBASTIC</v>
      </c>
      <c r="K868" s="433" t="s">
        <v>1459</v>
      </c>
      <c r="L868" s="183">
        <f>IF(K868&gt;0,IF(K868="ALPHA",PR!$E866,IF(K868="ASSENE",PR!$F866,IF(K868="BIOFEM",PR!$G866,IF(K868="BIOMED",PR!$H866,IF(K868="CHI",PR!$I866,IF(K868="CLARION",PR!$J866,IF(K868="CODIX",PR!$K866,IF(K868="COSMADE",PR!$L866,IF(K868="SANCON",PR!$M866,IF(K868="DEVON",PR!$N866,IF(K868="DORTEMAG",PR!$O866,IF(K868="DGF",PR!$P866,IF(K868="DYNAMIC",PR!$Q866,IF(K868="EMZOR",PR!$R866,IF(K868="EUMATT",PR!$S866,IF(K868="FIDSON",PR!$T866,IF(K868="FCGLOBAL",PR!$U866,IF(K868="GENEITH",PR!$V866,IF(K868="GINOS",PR!$W866,IF(K868="GSK",PR!$X866,IF(K868="GLOBORG",PR!$Y866,IF(K868="GOODNEWS",PR!$Z866,IF(K868="GREENLIFE",PR!$AA866,IF(K868="HLINE",PR!$AB866,IF(K868="ROTECH",PR!$AC866,IF(K868="ISN",PR!$AD866,IF(K868="JAWA",PR!$AE866,IF(K868="LAYO",PR!$AF866,IF(K868="LEADWAY",PR!$AG866,IF(K868="LHV",PR!$AH866,IF(K868="MANOLA",PR!$AI866,IF(K868="MARCSON",PR!$AJ866,IF(K868="M&amp;B",PR!$AK866,IF(K868="MTRUST",PR!$AL866,IF(K868="MWORLD",PR!$AM866,IF(K868="MEGA",PR!$AN866,IF(K868="MICRONOVA",PR!$AO866,IF(K868="MFLASH",PR!$AP866,IF(K868="MORISON",PR!$AQ866,IF(K868="NEMEL",PR!$AR866,IF(K868="NHP",PR!$AS866,IF(K868="NHC",PR!$AT866,IF(K868="OLEAF",PR!$AU866,IF(K868="OCULUS",PR!$AV866,IF(K868="PACIFIC",PR!$AW866,IF(K868="PHAMATEX",PR!$AX866,IF(K868="PETHICS",PR!$AY866,IF(K868="PHILIPS",PR!$AZ866,IF(K868="RANBAXY",PR!$BA866,IF(K868="REALS",PR!$BB866,IF(K868="ROYAL",PR!$BC866,IF(K868="SAM",PR!$BD866,IF(K868="SEAGREEN",PR!$BE866,IF(K868="SKG",PR!$BF866,IF(K868="TAH",PR!$BG866,IF(K868="TAYLEK",PR!$BH866,IF(K868="TEMITA",PR!$BI866,IF(K868="THL",PR!$BJ866,IF(K868="UBASTIC",PR!$BK866,IF(K868="UNION",PR!$BL866,IF(K868="UNIQUE",PR!$BM866,IF(K868="VIXA",PR!$BN866,IF(K868="WWCV",PR!$BO866,IF(K868="ZOLON",PR!$BP866,"-")))))))))))))))))))))))))))))))))))))))))))))))))))))))))))))))))</f>
        <v>15000</v>
      </c>
    </row>
    <row r="869" spans="1:12" ht="18.75" x14ac:dyDescent="0.3">
      <c r="A869" s="430">
        <f>PR!A867</f>
        <v>777</v>
      </c>
      <c r="B869" s="15" t="str">
        <f>PR!B867</f>
        <v>ANTI-D (BIOTEC) (10ML)</v>
      </c>
      <c r="C869" s="113" t="str">
        <f>PR!D867</f>
        <v>1 pack of 10</v>
      </c>
      <c r="D869" s="113">
        <f>PR!C867</f>
        <v>12</v>
      </c>
      <c r="E869" s="108">
        <f>IF(F869="ALPHA",PR!$E867,IF(F869="ASSENE",PR!$F867,IF(F869="BIOFEM",PR!$G867,IF(F869="BIOMED",PR!$H867,IF(F869="CHI",PR!$I867,IF(F869="CLARION",PR!$J867,IF(F869="CODIX",PR!$K867,IF(F869="COSMADE",PR!$L867,IF(F869="SANCON",PR!$M867,IF(F869="DEVON",PR!$N867,IF(F869="DORTEMAG",PR!$O867,IF(F869="DGF",PR!$P867,IF(F869="DYNAMIC",PR!$Q867,IF(F869="EMZOR",PR!$R867,IF(F869="EUMATT",PR!$S867,IF(F869="FIDSON",PR!$T867,IF(F869="FCGLOBAL",PR!$U867,IF(F869="GENEITH",PR!$V867,IF(F869="GINOS",PR!$W867,IF(F869="GSK",PR!$X867,IF(F869="GLOBORG",PR!$Y867,IF(F869="GOODNEWS",PR!$Z867,IF(F869="GREENLIFE",PR!$AA867,IF(F869="HLINE",PR!$AB867,IF(F869="ROTECH",PR!$AC867,IF(F869="ISN",PR!$AD867,IF(F869="JAWA",PR!$AE867,IF(F869="LAYO",PR!$AF867,IF(F869="LEADWAY",PR!$AG867,IF(F869="LHV",PR!$AH867,IF(F869="MANOLA",PR!$AI867,IF(F869="MARCSON",PR!$AJ867,IF(F869="M&amp;B",PR!$AK867,IF(F869="MTRUST",PR!$AL867,IF(F869="MWORLD",PR!$AM867,IF(F869="MEGA",PR!$AN867,IF(F869="MICRONOVA",PR!$AO867,IF(F869="MFLASH",PR!$AP867,IF(F869="MORISON",PR!$AQ867,IF(F869="NEMEL",PR!$AR867,IF(F869="NHP",PR!$AS867,IF(F869="NHC",PR!$AT867,IF(F869="OLEAF",PR!$AU867,IF(F869="OCULUS",PR!$AV867,IF(F869="PACIFIC",PR!$AW867,IF(F869="PHAMATEX",PR!$AX867,IF(F869="PETHICS",PR!$AY867,IF(F869="PHILIPS",PR!$AZ867,IF(F869="RANBAXY",PR!$BA867,IF(F869="REALS",PR!$BB867,IF(F869="ROYAL",PR!$BC867,IF(F869="SAM",PR!$BD867,IF(F869="SEAGREEN",PR!$BE867,IF(F869="SKG",PR!$BF867,IF(F869="TAH",PR!$BG867,IF(F869="TAYLEK",PR!$BH867,IF(F869="TEMITA",PR!$BI867,IF(F869="THL",PR!$BJ867,IF(F869="UBASTIC",PR!$BK867,IF(F869="UNION",PR!$BL867,IF(F869="UNIQUE",PR!$BM867,IF(F869="VIXA",PR!$BN867,IF(F869="WWCV",PR!$BO867,IF(F869="ZOLON",PR!$BP867,"-"))))))))))))))))))))))))))))))))))))))))))))))))))))))))))))))))</f>
        <v>14000</v>
      </c>
      <c r="F869" s="102" t="str">
        <f>EV!L1086</f>
        <v>COSMADE</v>
      </c>
      <c r="G869" s="108">
        <f>IF(H869="ALPHA",PR!$E867,IF(H869="ASSENE",PR!$F867,IF(H869="BIOFEM",PR!$G867,IF(H869="BIOMED",PR!$H867,IF(H869="CHI",PR!$I867,IF(H869="CLARION",PR!$J867,IF(H869="CODIX",PR!$K867,IF(H869="COSMADE",PR!$L867,IF(H869="SANCON",PR!$M867,IF(H869="DEVON",PR!$N867,IF(H869="DORTEMAG",PR!$O867,IF(H869="DGF",PR!$P867,IF(H869="DYNAMIC",PR!$Q867,IF(H869="EMZOR",PR!$R867,IF(H869="EUMATT",PR!$S867,IF(H869="FIDSON",PR!$T867,IF(H869="FCGLOBAL",PR!$U867,IF(H869="GENEITH",PR!$V867,IF(H869="GINOS",PR!$W867,IF(H869="GSK",PR!$X867,IF(H869="GLOBORG",PR!$Y867,IF(H869="GOODNEWS",PR!$Z867,IF(H869="GREENLIFE",PR!$AA867,IF(H869="HLINE",PR!$AB867,IF(H869="ROTECH",PR!$AC867,IF(H869="ISN",PR!$AD867,IF(H869="JAWA",PR!$AE867,IF(H869="LAYO",PR!$AF867,IF(H869="LEADWAY",PR!$AG867,IF(H869="LHV",PR!$AH867,IF(H869="MANOLA",PR!$AI867,IF(H869="MARCSON",PR!$AJ867,IF(H869="M&amp;B",PR!$AK867,IF(H869="MTRUST",PR!$AL867,IF(H869="MWORLD",PR!$AM867,IF(H869="MEGA",PR!$AN867,IF(H869="MICRONOVA",PR!$AO867,IF(H869="MFLASH",PR!$AP867,IF(H869="MORISON",PR!$AQ867,IF(H869="NEMEL",PR!$AR867,IF(H869="NHP",PR!$AS867,IF(H869="NHC",PR!$AT867,IF(H869="OLEAF",PR!$AU867,IF(H869="OCULUS",PR!$AV867,IF(H869="PACIFIC",PR!$AW867,IF(H869="PHAMATEX",PR!$AX867,IF(H869="PETHICS",PR!$AY867,IF(H869="PHILIPS",PR!$AZ867,IF(H869="RANBAXY",PR!$BA867,IF(H869="REALS",PR!$BB867,IF(H869="ROYAL",PR!$BC867,IF(H869="SAM",PR!$BD867,IF(H869="SEAGREEN",PR!$BE867,IF(H869="SKG",PR!$BF867,IF(H869="TAH",PR!$BG867,IF(H869="TAYLEK",PR!$BH867,IF(H869="TEMITA",PR!$BI867,IF(H869="THL",PR!$BJ867,IF(H869="UBASTIC",PR!$BK867,IF(H869="UNION",PR!$BL867,IF(H869="UNIQUE",PR!$BM867,IF(H869="VIXA",PR!$BN867,IF(H869="WWCV",PR!$BO867,IF(H869="ZOLON",PR!$BP867,"-"))))))))))))))))))))))))))))))))))))))))))))))))))))))))))))))))</f>
        <v>15000</v>
      </c>
      <c r="H869" s="102" t="str">
        <f>EV!M1086</f>
        <v>UBASTIC</v>
      </c>
      <c r="I869" s="108">
        <f>IF(J869="ALPHA",PR!$E867,IF(J869="ASSENE",PR!$F867,IF(J869="BIOFEM",PR!$G867,IF(J869="BIOMED",PR!$H867,IF(J869="CHI",PR!$I867,IF(J869="CLARION",PR!$J867,IF(J869="CODIX",PR!$K867,IF(J869="COSMADE",PR!$L867,IF(J869="SANCON",PR!$M867,IF(J869="DEVON",PR!$N867,IF(J869="DORTEMAG",PR!$O867,IF(J869="DGF",PR!$P867,IF(J869="DYNAMIC",PR!$Q867,IF(J869="EMZOR",PR!$R867,IF(J869="EUMATT",PR!$S867,IF(J869="FIDSON",PR!$T867,IF(J869="FCGLOBAL",PR!$U867,IF(J869="GENEITH",PR!$V867,IF(J869="GINOS",PR!$W867,IF(J869="GSK",PR!$X867,IF(J869="GLOBORG",PR!$Y867,IF(J869="GOODNEWS",PR!$Z867,IF(J869="GREENLIFE",PR!$AA867,IF(J869="HLINE",PR!$AB867,IF(J869="ROTECH",PR!$AC867,IF(J869="ISN",PR!$AD867,IF(J869="JAWA",PR!$AE867,IF(J869="LAYO",PR!$AF867,IF(J869="LEADWAY",PR!$AG867,IF(J869="LHV",PR!$AH867,IF(J869="MANOLA",PR!$AI867,IF(J869="MARCSON",PR!$AJ867,IF(J869="M&amp;B",PR!$AK867,IF(J869="MTRUST",PR!$AL867,IF(J869="MWORLD",PR!$AM867,IF(J869="MEGA",PR!$AN867,IF(J869="MICRONOVA",PR!$AO867,IF(J869="MFLASH",PR!$AP867,IF(J869="MORISON",PR!$AQ867,IF(J869="NEMEL",PR!$AR867,IF(J869="NHP",PR!$AS867,IF(J869="NHC",PR!$AT867,IF(J869="OLEAF",PR!$AU867,IF(J869="OCULUS",PR!$AV867,IF(J869="PACIFIC",PR!$AW867,IF(J869="PHAMATEX",PR!$AX867,IF(J869="PETHICS",PR!$AY867,IF(J869="PHILIPS",PR!$AZ867,IF(J869="RANBAXY",PR!$BA867,IF(J869="REALS",PR!$BB867,IF(J869="ROYAL",PR!$BC867,IF(J869="SAM",PR!$BD867,IF(J869="SEAGREEN",PR!$BE867,IF(J869="SKG",PR!$BF867,IF(J869="TAH",PR!$BG867,IF(J869="TAYLEK",PR!$BH867,IF(J869="TEMITA",PR!$BI867,IF(J869="THL",PR!$BJ867,IF(J869="UBASTIC",PR!$BK867,IF(J869="UNION",PR!$BL867,IF(J869="UNIQUE",PR!$BM867,IF(J869="VIXA",PR!$BN867,IF(J869="WWCV",PR!$BO867,IF(J869="ZOLON",PR!$BP867,"-"))))))))))))))))))))))))))))))))))))))))))))))))))))))))))))))))</f>
        <v>19000</v>
      </c>
      <c r="J869" s="102" t="str">
        <f>EV!N1086</f>
        <v>TEMITA</v>
      </c>
      <c r="K869" s="433" t="s">
        <v>1459</v>
      </c>
      <c r="L869" s="183">
        <f>IF(K869&gt;0,IF(K869="ALPHA",PR!$E867,IF(K869="ASSENE",PR!$F867,IF(K869="BIOFEM",PR!$G867,IF(K869="BIOMED",PR!$H867,IF(K869="CHI",PR!$I867,IF(K869="CLARION",PR!$J867,IF(K869="CODIX",PR!$K867,IF(K869="COSMADE",PR!$L867,IF(K869="SANCON",PR!$M867,IF(K869="DEVON",PR!$N867,IF(K869="DORTEMAG",PR!$O867,IF(K869="DGF",PR!$P867,IF(K869="DYNAMIC",PR!$Q867,IF(K869="EMZOR",PR!$R867,IF(K869="EUMATT",PR!$S867,IF(K869="FIDSON",PR!$T867,IF(K869="FCGLOBAL",PR!$U867,IF(K869="GENEITH",PR!$V867,IF(K869="GINOS",PR!$W867,IF(K869="GSK",PR!$X867,IF(K869="GLOBORG",PR!$Y867,IF(K869="GOODNEWS",PR!$Z867,IF(K869="GREENLIFE",PR!$AA867,IF(K869="HLINE",PR!$AB867,IF(K869="ROTECH",PR!$AC867,IF(K869="ISN",PR!$AD867,IF(K869="JAWA",PR!$AE867,IF(K869="LAYO",PR!$AF867,IF(K869="LEADWAY",PR!$AG867,IF(K869="LHV",PR!$AH867,IF(K869="MANOLA",PR!$AI867,IF(K869="MARCSON",PR!$AJ867,IF(K869="M&amp;B",PR!$AK867,IF(K869="MTRUST",PR!$AL867,IF(K869="MWORLD",PR!$AM867,IF(K869="MEGA",PR!$AN867,IF(K869="MICRONOVA",PR!$AO867,IF(K869="MFLASH",PR!$AP867,IF(K869="MORISON",PR!$AQ867,IF(K869="NEMEL",PR!$AR867,IF(K869="NHP",PR!$AS867,IF(K869="NHC",PR!$AT867,IF(K869="OLEAF",PR!$AU867,IF(K869="OCULUS",PR!$AV867,IF(K869="PACIFIC",PR!$AW867,IF(K869="PHAMATEX",PR!$AX867,IF(K869="PETHICS",PR!$AY867,IF(K869="PHILIPS",PR!$AZ867,IF(K869="RANBAXY",PR!$BA867,IF(K869="REALS",PR!$BB867,IF(K869="ROYAL",PR!$BC867,IF(K869="SAM",PR!$BD867,IF(K869="SEAGREEN",PR!$BE867,IF(K869="SKG",PR!$BF867,IF(K869="TAH",PR!$BG867,IF(K869="TAYLEK",PR!$BH867,IF(K869="TEMITA",PR!$BI867,IF(K869="THL",PR!$BJ867,IF(K869="UBASTIC",PR!$BK867,IF(K869="UNION",PR!$BL867,IF(K869="UNIQUE",PR!$BM867,IF(K869="VIXA",PR!$BN867,IF(K869="WWCV",PR!$BO867,IF(K869="ZOLON",PR!$BP867,"-")))))))))))))))))))))))))))))))))))))))))))))))))))))))))))))))))</f>
        <v>15000</v>
      </c>
    </row>
    <row r="870" spans="1:12" ht="18.75" x14ac:dyDescent="0.3">
      <c r="A870" s="430">
        <f>PR!A868</f>
        <v>778</v>
      </c>
      <c r="B870" s="15" t="str">
        <f>PR!B868</f>
        <v>ANTI-HUMAN GLOBULIN (10ML)</v>
      </c>
      <c r="C870" s="113" t="str">
        <f>PR!D868</f>
        <v>1 pack of 10</v>
      </c>
      <c r="D870" s="113">
        <f>PR!C868</f>
        <v>5</v>
      </c>
      <c r="E870" s="108">
        <f>IF(F870="ALPHA",PR!$E868,IF(F870="ASSENE",PR!$F868,IF(F870="BIOFEM",PR!$G868,IF(F870="BIOMED",PR!$H868,IF(F870="CHI",PR!$I868,IF(F870="CLARION",PR!$J868,IF(F870="CODIX",PR!$K868,IF(F870="COSMADE",PR!$L868,IF(F870="SANCON",PR!$M868,IF(F870="DEVON",PR!$N868,IF(F870="DORTEMAG",PR!$O868,IF(F870="DGF",PR!$P868,IF(F870="DYNAMIC",PR!$Q868,IF(F870="EMZOR",PR!$R868,IF(F870="EUMATT",PR!$S868,IF(F870="FIDSON",PR!$T868,IF(F870="FCGLOBAL",PR!$U868,IF(F870="GENEITH",PR!$V868,IF(F870="GINOS",PR!$W868,IF(F870="GSK",PR!$X868,IF(F870="GLOBORG",PR!$Y868,IF(F870="GOODNEWS",PR!$Z868,IF(F870="GREENLIFE",PR!$AA868,IF(F870="HLINE",PR!$AB868,IF(F870="ROTECH",PR!$AC868,IF(F870="ISN",PR!$AD868,IF(F870="JAWA",PR!$AE868,IF(F870="LAYO",PR!$AF868,IF(F870="LEADWAY",PR!$AG868,IF(F870="LHV",PR!$AH868,IF(F870="MANOLA",PR!$AI868,IF(F870="MARCSON",PR!$AJ868,IF(F870="M&amp;B",PR!$AK868,IF(F870="MTRUST",PR!$AL868,IF(F870="MWORLD",PR!$AM868,IF(F870="MEGA",PR!$AN868,IF(F870="MICRONOVA",PR!$AO868,IF(F870="MFLASH",PR!$AP868,IF(F870="MORISON",PR!$AQ868,IF(F870="NEMEL",PR!$AR868,IF(F870="NHP",PR!$AS868,IF(F870="NHC",PR!$AT868,IF(F870="OLEAF",PR!$AU868,IF(F870="OCULUS",PR!$AV868,IF(F870="PACIFIC",PR!$AW868,IF(F870="PHAMATEX",PR!$AX868,IF(F870="PETHICS",PR!$AY868,IF(F870="PHILIPS",PR!$AZ868,IF(F870="RANBAXY",PR!$BA868,IF(F870="REALS",PR!$BB868,IF(F870="ROYAL",PR!$BC868,IF(F870="SAM",PR!$BD868,IF(F870="SEAGREEN",PR!$BE868,IF(F870="SKG",PR!$BF868,IF(F870="TAH",PR!$BG868,IF(F870="TAYLEK",PR!$BH868,IF(F870="TEMITA",PR!$BI868,IF(F870="THL",PR!$BJ868,IF(F870="UBASTIC",PR!$BK868,IF(F870="UNION",PR!$BL868,IF(F870="UNIQUE",PR!$BM868,IF(F870="VIXA",PR!$BN868,IF(F870="WWCV",PR!$BO868,IF(F870="ZOLON",PR!$BP868,"-"))))))))))))))))))))))))))))))))))))))))))))))))))))))))))))))))</f>
        <v>20000</v>
      </c>
      <c r="F870" s="102" t="str">
        <f>EV!L1087</f>
        <v>UBASTIC</v>
      </c>
      <c r="G870" s="108">
        <f>IF(H870="ALPHA",PR!$E868,IF(H870="ASSENE",PR!$F868,IF(H870="BIOFEM",PR!$G868,IF(H870="BIOMED",PR!$H868,IF(H870="CHI",PR!$I868,IF(H870="CLARION",PR!$J868,IF(H870="CODIX",PR!$K868,IF(H870="COSMADE",PR!$L868,IF(H870="SANCON",PR!$M868,IF(H870="DEVON",PR!$N868,IF(H870="DORTEMAG",PR!$O868,IF(H870="DGF",PR!$P868,IF(H870="DYNAMIC",PR!$Q868,IF(H870="EMZOR",PR!$R868,IF(H870="EUMATT",PR!$S868,IF(H870="FIDSON",PR!$T868,IF(H870="FCGLOBAL",PR!$U868,IF(H870="GENEITH",PR!$V868,IF(H870="GINOS",PR!$W868,IF(H870="GSK",PR!$X868,IF(H870="GLOBORG",PR!$Y868,IF(H870="GOODNEWS",PR!$Z868,IF(H870="GREENLIFE",PR!$AA868,IF(H870="HLINE",PR!$AB868,IF(H870="ROTECH",PR!$AC868,IF(H870="ISN",PR!$AD868,IF(H870="JAWA",PR!$AE868,IF(H870="LAYO",PR!$AF868,IF(H870="LEADWAY",PR!$AG868,IF(H870="LHV",PR!$AH868,IF(H870="MANOLA",PR!$AI868,IF(H870="MARCSON",PR!$AJ868,IF(H870="M&amp;B",PR!$AK868,IF(H870="MTRUST",PR!$AL868,IF(H870="MWORLD",PR!$AM868,IF(H870="MEGA",PR!$AN868,IF(H870="MICRONOVA",PR!$AO868,IF(H870="MFLASH",PR!$AP868,IF(H870="MORISON",PR!$AQ868,IF(H870="NEMEL",PR!$AR868,IF(H870="NHP",PR!$AS868,IF(H870="NHC",PR!$AT868,IF(H870="OLEAF",PR!$AU868,IF(H870="OCULUS",PR!$AV868,IF(H870="PACIFIC",PR!$AW868,IF(H870="PHAMATEX",PR!$AX868,IF(H870="PETHICS",PR!$AY868,IF(H870="PHILIPS",PR!$AZ868,IF(H870="RANBAXY",PR!$BA868,IF(H870="REALS",PR!$BB868,IF(H870="ROYAL",PR!$BC868,IF(H870="SAM",PR!$BD868,IF(H870="SEAGREEN",PR!$BE868,IF(H870="SKG",PR!$BF868,IF(H870="TAH",PR!$BG868,IF(H870="TAYLEK",PR!$BH868,IF(H870="TEMITA",PR!$BI868,IF(H870="THL",PR!$BJ868,IF(H870="UBASTIC",PR!$BK868,IF(H870="UNION",PR!$BL868,IF(H870="UNIQUE",PR!$BM868,IF(H870="VIXA",PR!$BN868,IF(H870="WWCV",PR!$BO868,IF(H870="ZOLON",PR!$BP868,"-"))))))))))))))))))))))))))))))))))))))))))))))))))))))))))))))))</f>
        <v>25000</v>
      </c>
      <c r="H870" s="102" t="str">
        <f>EV!M1087</f>
        <v>COSMADE</v>
      </c>
      <c r="I870" s="108">
        <f>IF(J870="ALPHA",PR!$E868,IF(J870="ASSENE",PR!$F868,IF(J870="BIOFEM",PR!$G868,IF(J870="BIOMED",PR!$H868,IF(J870="CHI",PR!$I868,IF(J870="CLARION",PR!$J868,IF(J870="CODIX",PR!$K868,IF(J870="COSMADE",PR!$L868,IF(J870="SANCON",PR!$M868,IF(J870="DEVON",PR!$N868,IF(J870="DORTEMAG",PR!$O868,IF(J870="DGF",PR!$P868,IF(J870="DYNAMIC",PR!$Q868,IF(J870="EMZOR",PR!$R868,IF(J870="EUMATT",PR!$S868,IF(J870="FIDSON",PR!$T868,IF(J870="FCGLOBAL",PR!$U868,IF(J870="GENEITH",PR!$V868,IF(J870="GINOS",PR!$W868,IF(J870="GSK",PR!$X868,IF(J870="GLOBORG",PR!$Y868,IF(J870="GOODNEWS",PR!$Z868,IF(J870="GREENLIFE",PR!$AA868,IF(J870="HLINE",PR!$AB868,IF(J870="ROTECH",PR!$AC868,IF(J870="ISN",PR!$AD868,IF(J870="JAWA",PR!$AE868,IF(J870="LAYO",PR!$AF868,IF(J870="LEADWAY",PR!$AG868,IF(J870="LHV",PR!$AH868,IF(J870="MANOLA",PR!$AI868,IF(J870="MARCSON",PR!$AJ868,IF(J870="M&amp;B",PR!$AK868,IF(J870="MTRUST",PR!$AL868,IF(J870="MWORLD",PR!$AM868,IF(J870="MEGA",PR!$AN868,IF(J870="MICRONOVA",PR!$AO868,IF(J870="MFLASH",PR!$AP868,IF(J870="MORISON",PR!$AQ868,IF(J870="NEMEL",PR!$AR868,IF(J870="NHP",PR!$AS868,IF(J870="NHC",PR!$AT868,IF(J870="OLEAF",PR!$AU868,IF(J870="OCULUS",PR!$AV868,IF(J870="PACIFIC",PR!$AW868,IF(J870="PHAMATEX",PR!$AX868,IF(J870="PETHICS",PR!$AY868,IF(J870="PHILIPS",PR!$AZ868,IF(J870="RANBAXY",PR!$BA868,IF(J870="REALS",PR!$BB868,IF(J870="ROYAL",PR!$BC868,IF(J870="SAM",PR!$BD868,IF(J870="SEAGREEN",PR!$BE868,IF(J870="SKG",PR!$BF868,IF(J870="TAH",PR!$BG868,IF(J870="TAYLEK",PR!$BH868,IF(J870="TEMITA",PR!$BI868,IF(J870="THL",PR!$BJ868,IF(J870="UBASTIC",PR!$BK868,IF(J870="UNION",PR!$BL868,IF(J870="UNIQUE",PR!$BM868,IF(J870="VIXA",PR!$BN868,IF(J870="WWCV",PR!$BO868,IF(J870="ZOLON",PR!$BP868,"-"))))))))))))))))))))))))))))))))))))))))))))))))))))))))))))))))</f>
        <v>26000</v>
      </c>
      <c r="J870" s="102" t="str">
        <f>EV!N1087</f>
        <v>SANCON</v>
      </c>
      <c r="K870" s="433" t="s">
        <v>1459</v>
      </c>
      <c r="L870" s="183">
        <f>IF(K870&gt;0,IF(K870="ALPHA",PR!$E868,IF(K870="ASSENE",PR!$F868,IF(K870="BIOFEM",PR!$G868,IF(K870="BIOMED",PR!$H868,IF(K870="CHI",PR!$I868,IF(K870="CLARION",PR!$J868,IF(K870="CODIX",PR!$K868,IF(K870="COSMADE",PR!$L868,IF(K870="SANCON",PR!$M868,IF(K870="DEVON",PR!$N868,IF(K870="DORTEMAG",PR!$O868,IF(K870="DGF",PR!$P868,IF(K870="DYNAMIC",PR!$Q868,IF(K870="EMZOR",PR!$R868,IF(K870="EUMATT",PR!$S868,IF(K870="FIDSON",PR!$T868,IF(K870="FCGLOBAL",PR!$U868,IF(K870="GENEITH",PR!$V868,IF(K870="GINOS",PR!$W868,IF(K870="GSK",PR!$X868,IF(K870="GLOBORG",PR!$Y868,IF(K870="GOODNEWS",PR!$Z868,IF(K870="GREENLIFE",PR!$AA868,IF(K870="HLINE",PR!$AB868,IF(K870="ROTECH",PR!$AC868,IF(K870="ISN",PR!$AD868,IF(K870="JAWA",PR!$AE868,IF(K870="LAYO",PR!$AF868,IF(K870="LEADWAY",PR!$AG868,IF(K870="LHV",PR!$AH868,IF(K870="MANOLA",PR!$AI868,IF(K870="MARCSON",PR!$AJ868,IF(K870="M&amp;B",PR!$AK868,IF(K870="MTRUST",PR!$AL868,IF(K870="MWORLD",PR!$AM868,IF(K870="MEGA",PR!$AN868,IF(K870="MICRONOVA",PR!$AO868,IF(K870="MFLASH",PR!$AP868,IF(K870="MORISON",PR!$AQ868,IF(K870="NEMEL",PR!$AR868,IF(K870="NHP",PR!$AS868,IF(K870="NHC",PR!$AT868,IF(K870="OLEAF",PR!$AU868,IF(K870="OCULUS",PR!$AV868,IF(K870="PACIFIC",PR!$AW868,IF(K870="PHAMATEX",PR!$AX868,IF(K870="PETHICS",PR!$AY868,IF(K870="PHILIPS",PR!$AZ868,IF(K870="RANBAXY",PR!$BA868,IF(K870="REALS",PR!$BB868,IF(K870="ROYAL",PR!$BC868,IF(K870="SAM",PR!$BD868,IF(K870="SEAGREEN",PR!$BE868,IF(K870="SKG",PR!$BF868,IF(K870="TAH",PR!$BG868,IF(K870="TAYLEK",PR!$BH868,IF(K870="TEMITA",PR!$BI868,IF(K870="THL",PR!$BJ868,IF(K870="UBASTIC",PR!$BK868,IF(K870="UNION",PR!$BL868,IF(K870="UNIQUE",PR!$BM868,IF(K870="VIXA",PR!$BN868,IF(K870="WWCV",PR!$BO868,IF(K870="ZOLON",PR!$BP868,"-")))))))))))))))))))))))))))))))))))))))))))))))))))))))))))))))))</f>
        <v>20000</v>
      </c>
    </row>
    <row r="871" spans="1:12" ht="18.75" x14ac:dyDescent="0.3">
      <c r="A871" s="430">
        <f>PR!A869</f>
        <v>779</v>
      </c>
      <c r="B871" s="15" t="str">
        <f>PR!B869</f>
        <v>30% BOVINE ALBUMIN</v>
      </c>
      <c r="C871" s="113" t="str">
        <f>PR!D869</f>
        <v>1 pack of 10</v>
      </c>
      <c r="D871" s="113">
        <f>PR!C869</f>
        <v>5</v>
      </c>
      <c r="E871" s="108">
        <f>IF(F871="ALPHA",PR!$E869,IF(F871="ASSENE",PR!$F869,IF(F871="BIOFEM",PR!$G869,IF(F871="BIOMED",PR!$H869,IF(F871="CHI",PR!$I869,IF(F871="CLARION",PR!$J869,IF(F871="CODIX",PR!$K869,IF(F871="COSMADE",PR!$L869,IF(F871="SANCON",PR!$M869,IF(F871="DEVON",PR!$N869,IF(F871="DORTEMAG",PR!$O869,IF(F871="DGF",PR!$P869,IF(F871="DYNAMIC",PR!$Q869,IF(F871="EMZOR",PR!$R869,IF(F871="EUMATT",PR!$S869,IF(F871="FIDSON",PR!$T869,IF(F871="FCGLOBAL",PR!$U869,IF(F871="GENEITH",PR!$V869,IF(F871="GINOS",PR!$W869,IF(F871="GSK",PR!$X869,IF(F871="GLOBORG",PR!$Y869,IF(F871="GOODNEWS",PR!$Z869,IF(F871="GREENLIFE",PR!$AA869,IF(F871="HLINE",PR!$AB869,IF(F871="ROTECH",PR!$AC869,IF(F871="ISN",PR!$AD869,IF(F871="JAWA",PR!$AE869,IF(F871="LAYO",PR!$AF869,IF(F871="LEADWAY",PR!$AG869,IF(F871="LHV",PR!$AH869,IF(F871="MANOLA",PR!$AI869,IF(F871="MARCSON",PR!$AJ869,IF(F871="M&amp;B",PR!$AK869,IF(F871="MTRUST",PR!$AL869,IF(F871="MWORLD",PR!$AM869,IF(F871="MEGA",PR!$AN869,IF(F871="MICRONOVA",PR!$AO869,IF(F871="MFLASH",PR!$AP869,IF(F871="MORISON",PR!$AQ869,IF(F871="NEMEL",PR!$AR869,IF(F871="NHP",PR!$AS869,IF(F871="NHC",PR!$AT869,IF(F871="OLEAF",PR!$AU869,IF(F871="OCULUS",PR!$AV869,IF(F871="PACIFIC",PR!$AW869,IF(F871="PHAMATEX",PR!$AX869,IF(F871="PETHICS",PR!$AY869,IF(F871="PHILIPS",PR!$AZ869,IF(F871="RANBAXY",PR!$BA869,IF(F871="REALS",PR!$BB869,IF(F871="ROYAL",PR!$BC869,IF(F871="SAM",PR!$BD869,IF(F871="SEAGREEN",PR!$BE869,IF(F871="SKG",PR!$BF869,IF(F871="TAH",PR!$BG869,IF(F871="TAYLEK",PR!$BH869,IF(F871="TEMITA",PR!$BI869,IF(F871="THL",PR!$BJ869,IF(F871="UBASTIC",PR!$BK869,IF(F871="UNION",PR!$BL869,IF(F871="UNIQUE",PR!$BM869,IF(F871="VIXA",PR!$BN869,IF(F871="WWCV",PR!$BO869,IF(F871="ZOLON",PR!$BP869,"-"))))))))))))))))))))))))))))))))))))))))))))))))))))))))))))))))</f>
        <v>20000</v>
      </c>
      <c r="F871" s="102" t="str">
        <f>EV!L1088</f>
        <v>UBASTIC</v>
      </c>
      <c r="G871" s="108">
        <f>IF(H871="ALPHA",PR!$E869,IF(H871="ASSENE",PR!$F869,IF(H871="BIOFEM",PR!$G869,IF(H871="BIOMED",PR!$H869,IF(H871="CHI",PR!$I869,IF(H871="CLARION",PR!$J869,IF(H871="CODIX",PR!$K869,IF(H871="COSMADE",PR!$L869,IF(H871="SANCON",PR!$M869,IF(H871="DEVON",PR!$N869,IF(H871="DORTEMAG",PR!$O869,IF(H871="DGF",PR!$P869,IF(H871="DYNAMIC",PR!$Q869,IF(H871="EMZOR",PR!$R869,IF(H871="EUMATT",PR!$S869,IF(H871="FIDSON",PR!$T869,IF(H871="FCGLOBAL",PR!$U869,IF(H871="GENEITH",PR!$V869,IF(H871="GINOS",PR!$W869,IF(H871="GSK",PR!$X869,IF(H871="GLOBORG",PR!$Y869,IF(H871="GOODNEWS",PR!$Z869,IF(H871="GREENLIFE",PR!$AA869,IF(H871="HLINE",PR!$AB869,IF(H871="ROTECH",PR!$AC869,IF(H871="ISN",PR!$AD869,IF(H871="JAWA",PR!$AE869,IF(H871="LAYO",PR!$AF869,IF(H871="LEADWAY",PR!$AG869,IF(H871="LHV",PR!$AH869,IF(H871="MANOLA",PR!$AI869,IF(H871="MARCSON",PR!$AJ869,IF(H871="M&amp;B",PR!$AK869,IF(H871="MTRUST",PR!$AL869,IF(H871="MWORLD",PR!$AM869,IF(H871="MEGA",PR!$AN869,IF(H871="MICRONOVA",PR!$AO869,IF(H871="MFLASH",PR!$AP869,IF(H871="MORISON",PR!$AQ869,IF(H871="NEMEL",PR!$AR869,IF(H871="NHP",PR!$AS869,IF(H871="NHC",PR!$AT869,IF(H871="OLEAF",PR!$AU869,IF(H871="OCULUS",PR!$AV869,IF(H871="PACIFIC",PR!$AW869,IF(H871="PHAMATEX",PR!$AX869,IF(H871="PETHICS",PR!$AY869,IF(H871="PHILIPS",PR!$AZ869,IF(H871="RANBAXY",PR!$BA869,IF(H871="REALS",PR!$BB869,IF(H871="ROYAL",PR!$BC869,IF(H871="SAM",PR!$BD869,IF(H871="SEAGREEN",PR!$BE869,IF(H871="SKG",PR!$BF869,IF(H871="TAH",PR!$BG869,IF(H871="TAYLEK",PR!$BH869,IF(H871="TEMITA",PR!$BI869,IF(H871="THL",PR!$BJ869,IF(H871="UBASTIC",PR!$BK869,IF(H871="UNION",PR!$BL869,IF(H871="UNIQUE",PR!$BM869,IF(H871="VIXA",PR!$BN869,IF(H871="WWCV",PR!$BO869,IF(H871="ZOLON",PR!$BP869,"-"))))))))))))))))))))))))))))))))))))))))))))))))))))))))))))))))</f>
        <v>25000</v>
      </c>
      <c r="H871" s="102" t="str">
        <f>EV!M1088</f>
        <v>COSMADE</v>
      </c>
      <c r="I871" s="108">
        <f>IF(J871="ALPHA",PR!$E869,IF(J871="ASSENE",PR!$F869,IF(J871="BIOFEM",PR!$G869,IF(J871="BIOMED",PR!$H869,IF(J871="CHI",PR!$I869,IF(J871="CLARION",PR!$J869,IF(J871="CODIX",PR!$K869,IF(J871="COSMADE",PR!$L869,IF(J871="SANCON",PR!$M869,IF(J871="DEVON",PR!$N869,IF(J871="DORTEMAG",PR!$O869,IF(J871="DGF",PR!$P869,IF(J871="DYNAMIC",PR!$Q869,IF(J871="EMZOR",PR!$R869,IF(J871="EUMATT",PR!$S869,IF(J871="FIDSON",PR!$T869,IF(J871="FCGLOBAL",PR!$U869,IF(J871="GENEITH",PR!$V869,IF(J871="GINOS",PR!$W869,IF(J871="GSK",PR!$X869,IF(J871="GLOBORG",PR!$Y869,IF(J871="GOODNEWS",PR!$Z869,IF(J871="GREENLIFE",PR!$AA869,IF(J871="HLINE",PR!$AB869,IF(J871="ROTECH",PR!$AC869,IF(J871="ISN",PR!$AD869,IF(J871="JAWA",PR!$AE869,IF(J871="LAYO",PR!$AF869,IF(J871="LEADWAY",PR!$AG869,IF(J871="LHV",PR!$AH869,IF(J871="MANOLA",PR!$AI869,IF(J871="MARCSON",PR!$AJ869,IF(J871="M&amp;B",PR!$AK869,IF(J871="MTRUST",PR!$AL869,IF(J871="MWORLD",PR!$AM869,IF(J871="MEGA",PR!$AN869,IF(J871="MICRONOVA",PR!$AO869,IF(J871="MFLASH",PR!$AP869,IF(J871="MORISON",PR!$AQ869,IF(J871="NEMEL",PR!$AR869,IF(J871="NHP",PR!$AS869,IF(J871="NHC",PR!$AT869,IF(J871="OLEAF",PR!$AU869,IF(J871="OCULUS",PR!$AV869,IF(J871="PACIFIC",PR!$AW869,IF(J871="PHAMATEX",PR!$AX869,IF(J871="PETHICS",PR!$AY869,IF(J871="PHILIPS",PR!$AZ869,IF(J871="RANBAXY",PR!$BA869,IF(J871="REALS",PR!$BB869,IF(J871="ROYAL",PR!$BC869,IF(J871="SAM",PR!$BD869,IF(J871="SEAGREEN",PR!$BE869,IF(J871="SKG",PR!$BF869,IF(J871="TAH",PR!$BG869,IF(J871="TAYLEK",PR!$BH869,IF(J871="TEMITA",PR!$BI869,IF(J871="THL",PR!$BJ869,IF(J871="UBASTIC",PR!$BK869,IF(J871="UNION",PR!$BL869,IF(J871="UNIQUE",PR!$BM869,IF(J871="VIXA",PR!$BN869,IF(J871="WWCV",PR!$BO869,IF(J871="ZOLON",PR!$BP869,"-"))))))))))))))))))))))))))))))))))))))))))))))))))))))))))))))))</f>
        <v>25000</v>
      </c>
      <c r="J871" s="102" t="str">
        <f>EV!N1088</f>
        <v>TEMITA</v>
      </c>
      <c r="K871" s="433" t="s">
        <v>1459</v>
      </c>
      <c r="L871" s="183">
        <f>IF(K871&gt;0,IF(K871="ALPHA",PR!$E869,IF(K871="ASSENE",PR!$F869,IF(K871="BIOFEM",PR!$G869,IF(K871="BIOMED",PR!$H869,IF(K871="CHI",PR!$I869,IF(K871="CLARION",PR!$J869,IF(K871="CODIX",PR!$K869,IF(K871="COSMADE",PR!$L869,IF(K871="SANCON",PR!$M869,IF(K871="DEVON",PR!$N869,IF(K871="DORTEMAG",PR!$O869,IF(K871="DGF",PR!$P869,IF(K871="DYNAMIC",PR!$Q869,IF(K871="EMZOR",PR!$R869,IF(K871="EUMATT",PR!$S869,IF(K871="FIDSON",PR!$T869,IF(K871="FCGLOBAL",PR!$U869,IF(K871="GENEITH",PR!$V869,IF(K871="GINOS",PR!$W869,IF(K871="GSK",PR!$X869,IF(K871="GLOBORG",PR!$Y869,IF(K871="GOODNEWS",PR!$Z869,IF(K871="GREENLIFE",PR!$AA869,IF(K871="HLINE",PR!$AB869,IF(K871="ROTECH",PR!$AC869,IF(K871="ISN",PR!$AD869,IF(K871="JAWA",PR!$AE869,IF(K871="LAYO",PR!$AF869,IF(K871="LEADWAY",PR!$AG869,IF(K871="LHV",PR!$AH869,IF(K871="MANOLA",PR!$AI869,IF(K871="MARCSON",PR!$AJ869,IF(K871="M&amp;B",PR!$AK869,IF(K871="MTRUST",PR!$AL869,IF(K871="MWORLD",PR!$AM869,IF(K871="MEGA",PR!$AN869,IF(K871="MICRONOVA",PR!$AO869,IF(K871="MFLASH",PR!$AP869,IF(K871="MORISON",PR!$AQ869,IF(K871="NEMEL",PR!$AR869,IF(K871="NHP",PR!$AS869,IF(K871="NHC",PR!$AT869,IF(K871="OLEAF",PR!$AU869,IF(K871="OCULUS",PR!$AV869,IF(K871="PACIFIC",PR!$AW869,IF(K871="PHAMATEX",PR!$AX869,IF(K871="PETHICS",PR!$AY869,IF(K871="PHILIPS",PR!$AZ869,IF(K871="RANBAXY",PR!$BA869,IF(K871="REALS",PR!$BB869,IF(K871="ROYAL",PR!$BC869,IF(K871="SAM",PR!$BD869,IF(K871="SEAGREEN",PR!$BE869,IF(K871="SKG",PR!$BF869,IF(K871="TAH",PR!$BG869,IF(K871="TAYLEK",PR!$BH869,IF(K871="TEMITA",PR!$BI869,IF(K871="THL",PR!$BJ869,IF(K871="UBASTIC",PR!$BK869,IF(K871="UNION",PR!$BL869,IF(K871="UNIQUE",PR!$BM869,IF(K871="VIXA",PR!$BN869,IF(K871="WWCV",PR!$BO869,IF(K871="ZOLON",PR!$BP869,"-")))))))))))))))))))))))))))))))))))))))))))))))))))))))))))))))))</f>
        <v>20000</v>
      </c>
    </row>
    <row r="872" spans="1:12" ht="18.75" x14ac:dyDescent="0.3">
      <c r="A872" s="430">
        <f>PR!A870</f>
        <v>780</v>
      </c>
      <c r="B872" s="15" t="str">
        <f>PR!B870</f>
        <v>BLOOD BAG (PAED) CPDAL (AXIOM)</v>
      </c>
      <c r="C872" s="113" t="str">
        <f>PR!D870</f>
        <v>1 cnt of 10</v>
      </c>
      <c r="D872" s="113">
        <f>PR!C870</f>
        <v>1</v>
      </c>
      <c r="E872" s="108">
        <f>IF(F872="ALPHA",PR!$E870,IF(F872="ASSENE",PR!$F870,IF(F872="BIOFEM",PR!$G870,IF(F872="BIOMED",PR!$H870,IF(F872="CHI",PR!$I870,IF(F872="CLARION",PR!$J870,IF(F872="CODIX",PR!$K870,IF(F872="COSMADE",PR!$L870,IF(F872="SANCON",PR!$M870,IF(F872="DEVON",PR!$N870,IF(F872="DORTEMAG",PR!$O870,IF(F872="DGF",PR!$P870,IF(F872="DYNAMIC",PR!$Q870,IF(F872="EMZOR",PR!$R870,IF(F872="EUMATT",PR!$S870,IF(F872="FIDSON",PR!$T870,IF(F872="FCGLOBAL",PR!$U870,IF(F872="GENEITH",PR!$V870,IF(F872="GINOS",PR!$W870,IF(F872="GSK",PR!$X870,IF(F872="GLOBORG",PR!$Y870,IF(F872="GOODNEWS",PR!$Z870,IF(F872="GREENLIFE",PR!$AA870,IF(F872="HLINE",PR!$AB870,IF(F872="ROTECH",PR!$AC870,IF(F872="ISN",PR!$AD870,IF(F872="JAWA",PR!$AE870,IF(F872="LAYO",PR!$AF870,IF(F872="LEADWAY",PR!$AG870,IF(F872="LHV",PR!$AH870,IF(F872="MANOLA",PR!$AI870,IF(F872="MARCSON",PR!$AJ870,IF(F872="M&amp;B",PR!$AK870,IF(F872="MTRUST",PR!$AL870,IF(F872="MWORLD",PR!$AM870,IF(F872="MEGA",PR!$AN870,IF(F872="MICRONOVA",PR!$AO870,IF(F872="MFLASH",PR!$AP870,IF(F872="MORISON",PR!$AQ870,IF(F872="NEMEL",PR!$AR870,IF(F872="NHP",PR!$AS870,IF(F872="NHC",PR!$AT870,IF(F872="OLEAF",PR!$AU870,IF(F872="OCULUS",PR!$AV870,IF(F872="PACIFIC",PR!$AW870,IF(F872="PHAMATEX",PR!$AX870,IF(F872="PETHICS",PR!$AY870,IF(F872="PHILIPS",PR!$AZ870,IF(F872="RANBAXY",PR!$BA870,IF(F872="REALS",PR!$BB870,IF(F872="ROYAL",PR!$BC870,IF(F872="SAM",PR!$BD870,IF(F872="SEAGREEN",PR!$BE870,IF(F872="SKG",PR!$BF870,IF(F872="TAH",PR!$BG870,IF(F872="TAYLEK",PR!$BH870,IF(F872="TEMITA",PR!$BI870,IF(F872="THL",PR!$BJ870,IF(F872="UBASTIC",PR!$BK870,IF(F872="UNION",PR!$BL870,IF(F872="UNIQUE",PR!$BM870,IF(F872="VIXA",PR!$BN870,IF(F872="WWCV",PR!$BO870,IF(F872="ZOLON",PR!$BP870,"-"))))))))))))))))))))))))))))))))))))))))))))))))))))))))))))))))</f>
        <v>40000</v>
      </c>
      <c r="F872" s="102" t="str">
        <f>EV!L1089</f>
        <v>SANCON</v>
      </c>
      <c r="G872" s="108">
        <f>IF(H872="ALPHA",PR!$E870,IF(H872="ASSENE",PR!$F870,IF(H872="BIOFEM",PR!$G870,IF(H872="BIOMED",PR!$H870,IF(H872="CHI",PR!$I870,IF(H872="CLARION",PR!$J870,IF(H872="CODIX",PR!$K870,IF(H872="COSMADE",PR!$L870,IF(H872="SANCON",PR!$M870,IF(H872="DEVON",PR!$N870,IF(H872="DORTEMAG",PR!$O870,IF(H872="DGF",PR!$P870,IF(H872="DYNAMIC",PR!$Q870,IF(H872="EMZOR",PR!$R870,IF(H872="EUMATT",PR!$S870,IF(H872="FIDSON",PR!$T870,IF(H872="FCGLOBAL",PR!$U870,IF(H872="GENEITH",PR!$V870,IF(H872="GINOS",PR!$W870,IF(H872="GSK",PR!$X870,IF(H872="GLOBORG",PR!$Y870,IF(H872="GOODNEWS",PR!$Z870,IF(H872="GREENLIFE",PR!$AA870,IF(H872="HLINE",PR!$AB870,IF(H872="ROTECH",PR!$AC870,IF(H872="ISN",PR!$AD870,IF(H872="JAWA",PR!$AE870,IF(H872="LAYO",PR!$AF870,IF(H872="LEADWAY",PR!$AG870,IF(H872="LHV",PR!$AH870,IF(H872="MANOLA",PR!$AI870,IF(H872="MARCSON",PR!$AJ870,IF(H872="M&amp;B",PR!$AK870,IF(H872="MTRUST",PR!$AL870,IF(H872="MWORLD",PR!$AM870,IF(H872="MEGA",PR!$AN870,IF(H872="MICRONOVA",PR!$AO870,IF(H872="MFLASH",PR!$AP870,IF(H872="MORISON",PR!$AQ870,IF(H872="NEMEL",PR!$AR870,IF(H872="NHP",PR!$AS870,IF(H872="NHC",PR!$AT870,IF(H872="OLEAF",PR!$AU870,IF(H872="OCULUS",PR!$AV870,IF(H872="PACIFIC",PR!$AW870,IF(H872="PHAMATEX",PR!$AX870,IF(H872="PETHICS",PR!$AY870,IF(H872="PHILIPS",PR!$AZ870,IF(H872="RANBAXY",PR!$BA870,IF(H872="REALS",PR!$BB870,IF(H872="ROYAL",PR!$BC870,IF(H872="SAM",PR!$BD870,IF(H872="SEAGREEN",PR!$BE870,IF(H872="SKG",PR!$BF870,IF(H872="TAH",PR!$BG870,IF(H872="TAYLEK",PR!$BH870,IF(H872="TEMITA",PR!$BI870,IF(H872="THL",PR!$BJ870,IF(H872="UBASTIC",PR!$BK870,IF(H872="UNION",PR!$BL870,IF(H872="UNIQUE",PR!$BM870,IF(H872="VIXA",PR!$BN870,IF(H872="WWCV",PR!$BO870,IF(H872="ZOLON",PR!$BP870,"-"))))))))))))))))))))))))))))))))))))))))))))))))))))))))))))))))</f>
        <v>42000</v>
      </c>
      <c r="H872" s="102" t="str">
        <f>EV!M1089</f>
        <v>TEMITA</v>
      </c>
      <c r="I872" s="108">
        <f>IF(J872="ALPHA",PR!$E870,IF(J872="ASSENE",PR!$F870,IF(J872="BIOFEM",PR!$G870,IF(J872="BIOMED",PR!$H870,IF(J872="CHI",PR!$I870,IF(J872="CLARION",PR!$J870,IF(J872="CODIX",PR!$K870,IF(J872="COSMADE",PR!$L870,IF(J872="SANCON",PR!$M870,IF(J872="DEVON",PR!$N870,IF(J872="DORTEMAG",PR!$O870,IF(J872="DGF",PR!$P870,IF(J872="DYNAMIC",PR!$Q870,IF(J872="EMZOR",PR!$R870,IF(J872="EUMATT",PR!$S870,IF(J872="FIDSON",PR!$T870,IF(J872="FCGLOBAL",PR!$U870,IF(J872="GENEITH",PR!$V870,IF(J872="GINOS",PR!$W870,IF(J872="GSK",PR!$X870,IF(J872="GLOBORG",PR!$Y870,IF(J872="GOODNEWS",PR!$Z870,IF(J872="GREENLIFE",PR!$AA870,IF(J872="HLINE",PR!$AB870,IF(J872="ROTECH",PR!$AC870,IF(J872="ISN",PR!$AD870,IF(J872="JAWA",PR!$AE870,IF(J872="LAYO",PR!$AF870,IF(J872="LEADWAY",PR!$AG870,IF(J872="LHV",PR!$AH870,IF(J872="MANOLA",PR!$AI870,IF(J872="MARCSON",PR!$AJ870,IF(J872="M&amp;B",PR!$AK870,IF(J872="MTRUST",PR!$AL870,IF(J872="MWORLD",PR!$AM870,IF(J872="MEGA",PR!$AN870,IF(J872="MICRONOVA",PR!$AO870,IF(J872="MFLASH",PR!$AP870,IF(J872="MORISON",PR!$AQ870,IF(J872="NEMEL",PR!$AR870,IF(J872="NHP",PR!$AS870,IF(J872="NHC",PR!$AT870,IF(J872="OLEAF",PR!$AU870,IF(J872="OCULUS",PR!$AV870,IF(J872="PACIFIC",PR!$AW870,IF(J872="PHAMATEX",PR!$AX870,IF(J872="PETHICS",PR!$AY870,IF(J872="PHILIPS",PR!$AZ870,IF(J872="RANBAXY",PR!$BA870,IF(J872="REALS",PR!$BB870,IF(J872="ROYAL",PR!$BC870,IF(J872="SAM",PR!$BD870,IF(J872="SEAGREEN",PR!$BE870,IF(J872="SKG",PR!$BF870,IF(J872="TAH",PR!$BG870,IF(J872="TAYLEK",PR!$BH870,IF(J872="TEMITA",PR!$BI870,IF(J872="THL",PR!$BJ870,IF(J872="UBASTIC",PR!$BK870,IF(J872="UNION",PR!$BL870,IF(J872="UNIQUE",PR!$BM870,IF(J872="VIXA",PR!$BN870,IF(J872="WWCV",PR!$BO870,IF(J872="ZOLON",PR!$BP870,"-"))))))))))))))))))))))))))))))))))))))))))))))))))))))))))))))))</f>
        <v>43750</v>
      </c>
      <c r="J872" s="102" t="str">
        <f>EV!N1089</f>
        <v>DYNAMIC</v>
      </c>
      <c r="K872" s="433" t="s">
        <v>817</v>
      </c>
      <c r="L872" s="183">
        <f>IF(K872&gt;0,IF(K872="ALPHA",PR!$E870,IF(K872="ASSENE",PR!$F870,IF(K872="BIOFEM",PR!$G870,IF(K872="BIOMED",PR!$H870,IF(K872="CHI",PR!$I870,IF(K872="CLARION",PR!$J870,IF(K872="CODIX",PR!$K870,IF(K872="COSMADE",PR!$L870,IF(K872="SANCON",PR!$M870,IF(K872="DEVON",PR!$N870,IF(K872="DORTEMAG",PR!$O870,IF(K872="DGF",PR!$P870,IF(K872="DYNAMIC",PR!$Q870,IF(K872="EMZOR",PR!$R870,IF(K872="EUMATT",PR!$S870,IF(K872="FIDSON",PR!$T870,IF(K872="FCGLOBAL",PR!$U870,IF(K872="GENEITH",PR!$V870,IF(K872="GINOS",PR!$W870,IF(K872="GSK",PR!$X870,IF(K872="GLOBORG",PR!$Y870,IF(K872="GOODNEWS",PR!$Z870,IF(K872="GREENLIFE",PR!$AA870,IF(K872="HLINE",PR!$AB870,IF(K872="ROTECH",PR!$AC870,IF(K872="ISN",PR!$AD870,IF(K872="JAWA",PR!$AE870,IF(K872="LAYO",PR!$AF870,IF(K872="LEADWAY",PR!$AG870,IF(K872="LHV",PR!$AH870,IF(K872="MANOLA",PR!$AI870,IF(K872="MARCSON",PR!$AJ870,IF(K872="M&amp;B",PR!$AK870,IF(K872="MTRUST",PR!$AL870,IF(K872="MWORLD",PR!$AM870,IF(K872="MEGA",PR!$AN870,IF(K872="MICRONOVA",PR!$AO870,IF(K872="MFLASH",PR!$AP870,IF(K872="MORISON",PR!$AQ870,IF(K872="NEMEL",PR!$AR870,IF(K872="NHP",PR!$AS870,IF(K872="NHC",PR!$AT870,IF(K872="OLEAF",PR!$AU870,IF(K872="OCULUS",PR!$AV870,IF(K872="PACIFIC",PR!$AW870,IF(K872="PHAMATEX",PR!$AX870,IF(K872="PETHICS",PR!$AY870,IF(K872="PHILIPS",PR!$AZ870,IF(K872="RANBAXY",PR!$BA870,IF(K872="REALS",PR!$BB870,IF(K872="ROYAL",PR!$BC870,IF(K872="SAM",PR!$BD870,IF(K872="SEAGREEN",PR!$BE870,IF(K872="SKG",PR!$BF870,IF(K872="TAH",PR!$BG870,IF(K872="TAYLEK",PR!$BH870,IF(K872="TEMITA",PR!$BI870,IF(K872="THL",PR!$BJ870,IF(K872="UBASTIC",PR!$BK870,IF(K872="UNION",PR!$BL870,IF(K872="UNIQUE",PR!$BM870,IF(K872="VIXA",PR!$BN870,IF(K872="WWCV",PR!$BO870,IF(K872="ZOLON",PR!$BP870,"-")))))))))))))))))))))))))))))))))))))))))))))))))))))))))))))))))</f>
        <v>40000</v>
      </c>
    </row>
    <row r="873" spans="1:12" ht="18.75" x14ac:dyDescent="0.3">
      <c r="A873" s="430">
        <f>PR!A871</f>
        <v>781</v>
      </c>
      <c r="B873" s="15" t="str">
        <f>PR!B871</f>
        <v>HEPATITIS B SCREENING RAPID KIT</v>
      </c>
      <c r="C873" s="113" t="str">
        <f>PR!D871</f>
        <v>1 pack of 50</v>
      </c>
      <c r="D873" s="113">
        <f>PR!C871</f>
        <v>50</v>
      </c>
      <c r="E873" s="108">
        <f>IF(F873="ALPHA",PR!$E871,IF(F873="ASSENE",PR!$F871,IF(F873="BIOFEM",PR!$G871,IF(F873="BIOMED",PR!$H871,IF(F873="CHI",PR!$I871,IF(F873="CLARION",PR!$J871,IF(F873="CODIX",PR!$K871,IF(F873="COSMADE",PR!$L871,IF(F873="SANCON",PR!$M871,IF(F873="DEVON",PR!$N871,IF(F873="DORTEMAG",PR!$O871,IF(F873="DGF",PR!$P871,IF(F873="DYNAMIC",PR!$Q871,IF(F873="EMZOR",PR!$R871,IF(F873="EUMATT",PR!$S871,IF(F873="FIDSON",PR!$T871,IF(F873="FCGLOBAL",PR!$U871,IF(F873="GENEITH",PR!$V871,IF(F873="GINOS",PR!$W871,IF(F873="GSK",PR!$X871,IF(F873="GLOBORG",PR!$Y871,IF(F873="GOODNEWS",PR!$Z871,IF(F873="GREENLIFE",PR!$AA871,IF(F873="HLINE",PR!$AB871,IF(F873="ROTECH",PR!$AC871,IF(F873="ISN",PR!$AD871,IF(F873="JAWA",PR!$AE871,IF(F873="LAYO",PR!$AF871,IF(F873="LEADWAY",PR!$AG871,IF(F873="LHV",PR!$AH871,IF(F873="MANOLA",PR!$AI871,IF(F873="MARCSON",PR!$AJ871,IF(F873="M&amp;B",PR!$AK871,IF(F873="MTRUST",PR!$AL871,IF(F873="MWORLD",PR!$AM871,IF(F873="MEGA",PR!$AN871,IF(F873="MICRONOVA",PR!$AO871,IF(F873="MFLASH",PR!$AP871,IF(F873="MORISON",PR!$AQ871,IF(F873="NEMEL",PR!$AR871,IF(F873="NHP",PR!$AS871,IF(F873="NHC",PR!$AT871,IF(F873="OLEAF",PR!$AU871,IF(F873="OCULUS",PR!$AV871,IF(F873="PACIFIC",PR!$AW871,IF(F873="PHAMATEX",PR!$AX871,IF(F873="PETHICS",PR!$AY871,IF(F873="PHILIPS",PR!$AZ871,IF(F873="RANBAXY",PR!$BA871,IF(F873="REALS",PR!$BB871,IF(F873="ROYAL",PR!$BC871,IF(F873="SAM",PR!$BD871,IF(F873="SEAGREEN",PR!$BE871,IF(F873="SKG",PR!$BF871,IF(F873="TAH",PR!$BG871,IF(F873="TAYLEK",PR!$BH871,IF(F873="TEMITA",PR!$BI871,IF(F873="THL",PR!$BJ871,IF(F873="UBASTIC",PR!$BK871,IF(F873="UNION",PR!$BL871,IF(F873="UNIQUE",PR!$BM871,IF(F873="VIXA",PR!$BN871,IF(F873="WWCV",PR!$BO871,IF(F873="ZOLON",PR!$BP871,"-"))))))))))))))))))))))))))))))))))))))))))))))))))))))))))))))))</f>
        <v>3500</v>
      </c>
      <c r="F873" s="102" t="str">
        <f>EV!L1115</f>
        <v>UBASTIC</v>
      </c>
      <c r="G873" s="108">
        <f>IF(H873="ALPHA",PR!$E871,IF(H873="ASSENE",PR!$F871,IF(H873="BIOFEM",PR!$G871,IF(H873="BIOMED",PR!$H871,IF(H873="CHI",PR!$I871,IF(H873="CLARION",PR!$J871,IF(H873="CODIX",PR!$K871,IF(H873="COSMADE",PR!$L871,IF(H873="SANCON",PR!$M871,IF(H873="DEVON",PR!$N871,IF(H873="DORTEMAG",PR!$O871,IF(H873="DGF",PR!$P871,IF(H873="DYNAMIC",PR!$Q871,IF(H873="EMZOR",PR!$R871,IF(H873="EUMATT",PR!$S871,IF(H873="FIDSON",PR!$T871,IF(H873="FCGLOBAL",PR!$U871,IF(H873="GENEITH",PR!$V871,IF(H873="GINOS",PR!$W871,IF(H873="GSK",PR!$X871,IF(H873="GLOBORG",PR!$Y871,IF(H873="GOODNEWS",PR!$Z871,IF(H873="GREENLIFE",PR!$AA871,IF(H873="HLINE",PR!$AB871,IF(H873="ROTECH",PR!$AC871,IF(H873="ISN",PR!$AD871,IF(H873="JAWA",PR!$AE871,IF(H873="LAYO",PR!$AF871,IF(H873="LEADWAY",PR!$AG871,IF(H873="LHV",PR!$AH871,IF(H873="MANOLA",PR!$AI871,IF(H873="MARCSON",PR!$AJ871,IF(H873="M&amp;B",PR!$AK871,IF(H873="MTRUST",PR!$AL871,IF(H873="MWORLD",PR!$AM871,IF(H873="MEGA",PR!$AN871,IF(H873="MICRONOVA",PR!$AO871,IF(H873="MFLASH",PR!$AP871,IF(H873="MORISON",PR!$AQ871,IF(H873="NEMEL",PR!$AR871,IF(H873="NHP",PR!$AS871,IF(H873="NHC",PR!$AT871,IF(H873="OLEAF",PR!$AU871,IF(H873="OCULUS",PR!$AV871,IF(H873="PACIFIC",PR!$AW871,IF(H873="PHAMATEX",PR!$AX871,IF(H873="PETHICS",PR!$AY871,IF(H873="PHILIPS",PR!$AZ871,IF(H873="RANBAXY",PR!$BA871,IF(H873="REALS",PR!$BB871,IF(H873="ROYAL",PR!$BC871,IF(H873="SAM",PR!$BD871,IF(H873="SEAGREEN",PR!$BE871,IF(H873="SKG",PR!$BF871,IF(H873="TAH",PR!$BG871,IF(H873="TAYLEK",PR!$BH871,IF(H873="TEMITA",PR!$BI871,IF(H873="THL",PR!$BJ871,IF(H873="UBASTIC",PR!$BK871,IF(H873="UNION",PR!$BL871,IF(H873="UNIQUE",PR!$BM871,IF(H873="VIXA",PR!$BN871,IF(H873="WWCV",PR!$BO871,IF(H873="ZOLON",PR!$BP871,"-"))))))))))))))))))))))))))))))))))))))))))))))))))))))))))))))))</f>
        <v>5000</v>
      </c>
      <c r="H873" s="102" t="str">
        <f>EV!M1115</f>
        <v>COSMADE</v>
      </c>
      <c r="I873" s="108">
        <f>IF(J873="ALPHA",PR!$E871,IF(J873="ASSENE",PR!$F871,IF(J873="BIOFEM",PR!$G871,IF(J873="BIOMED",PR!$H871,IF(J873="CHI",PR!$I871,IF(J873="CLARION",PR!$J871,IF(J873="CODIX",PR!$K871,IF(J873="COSMADE",PR!$L871,IF(J873="SANCON",PR!$M871,IF(J873="DEVON",PR!$N871,IF(J873="DORTEMAG",PR!$O871,IF(J873="DGF",PR!$P871,IF(J873="DYNAMIC",PR!$Q871,IF(J873="EMZOR",PR!$R871,IF(J873="EUMATT",PR!$S871,IF(J873="FIDSON",PR!$T871,IF(J873="FCGLOBAL",PR!$U871,IF(J873="GENEITH",PR!$V871,IF(J873="GINOS",PR!$W871,IF(J873="GSK",PR!$X871,IF(J873="GLOBORG",PR!$Y871,IF(J873="GOODNEWS",PR!$Z871,IF(J873="GREENLIFE",PR!$AA871,IF(J873="HLINE",PR!$AB871,IF(J873="ROTECH",PR!$AC871,IF(J873="ISN",PR!$AD871,IF(J873="JAWA",PR!$AE871,IF(J873="LAYO",PR!$AF871,IF(J873="LEADWAY",PR!$AG871,IF(J873="LHV",PR!$AH871,IF(J873="MANOLA",PR!$AI871,IF(J873="MARCSON",PR!$AJ871,IF(J873="M&amp;B",PR!$AK871,IF(J873="MTRUST",PR!$AL871,IF(J873="MWORLD",PR!$AM871,IF(J873="MEGA",PR!$AN871,IF(J873="MICRONOVA",PR!$AO871,IF(J873="MFLASH",PR!$AP871,IF(J873="MORISON",PR!$AQ871,IF(J873="NEMEL",PR!$AR871,IF(J873="NHP",PR!$AS871,IF(J873="NHC",PR!$AT871,IF(J873="OLEAF",PR!$AU871,IF(J873="OCULUS",PR!$AV871,IF(J873="PACIFIC",PR!$AW871,IF(J873="PHAMATEX",PR!$AX871,IF(J873="PETHICS",PR!$AY871,IF(J873="PHILIPS",PR!$AZ871,IF(J873="RANBAXY",PR!$BA871,IF(J873="REALS",PR!$BB871,IF(J873="ROYAL",PR!$BC871,IF(J873="SAM",PR!$BD871,IF(J873="SEAGREEN",PR!$BE871,IF(J873="SKG",PR!$BF871,IF(J873="TAH",PR!$BG871,IF(J873="TAYLEK",PR!$BH871,IF(J873="TEMITA",PR!$BI871,IF(J873="THL",PR!$BJ871,IF(J873="UBASTIC",PR!$BK871,IF(J873="UNION",PR!$BL871,IF(J873="UNIQUE",PR!$BM871,IF(J873="VIXA",PR!$BN871,IF(J873="WWCV",PR!$BO871,IF(J873="ZOLON",PR!$BP871,"-"))))))))))))))))))))))))))))))))))))))))))))))))))))))))))))))))</f>
        <v>4125</v>
      </c>
      <c r="J873" s="102" t="str">
        <f>EV!N1115</f>
        <v>TEMITA</v>
      </c>
      <c r="K873" s="433" t="s">
        <v>1459</v>
      </c>
      <c r="L873" s="183">
        <f>IF(K873&gt;0,IF(K873="ALPHA",PR!$E871,IF(K873="ASSENE",PR!$F871,IF(K873="BIOFEM",PR!$G871,IF(K873="BIOMED",PR!$H871,IF(K873="CHI",PR!$I871,IF(K873="CLARION",PR!$J871,IF(K873="CODIX",PR!$K871,IF(K873="COSMADE",PR!$L871,IF(K873="SANCON",PR!$M871,IF(K873="DEVON",PR!$N871,IF(K873="DORTEMAG",PR!$O871,IF(K873="DGF",PR!$P871,IF(K873="DYNAMIC",PR!$Q871,IF(K873="EMZOR",PR!$R871,IF(K873="EUMATT",PR!$S871,IF(K873="FIDSON",PR!$T871,IF(K873="FCGLOBAL",PR!$U871,IF(K873="GENEITH",PR!$V871,IF(K873="GINOS",PR!$W871,IF(K873="GSK",PR!$X871,IF(K873="GLOBORG",PR!$Y871,IF(K873="GOODNEWS",PR!$Z871,IF(K873="GREENLIFE",PR!$AA871,IF(K873="HLINE",PR!$AB871,IF(K873="ROTECH",PR!$AC871,IF(K873="ISN",PR!$AD871,IF(K873="JAWA",PR!$AE871,IF(K873="LAYO",PR!$AF871,IF(K873="LEADWAY",PR!$AG871,IF(K873="LHV",PR!$AH871,IF(K873="MANOLA",PR!$AI871,IF(K873="MARCSON",PR!$AJ871,IF(K873="M&amp;B",PR!$AK871,IF(K873="MTRUST",PR!$AL871,IF(K873="MWORLD",PR!$AM871,IF(K873="MEGA",PR!$AN871,IF(K873="MICRONOVA",PR!$AO871,IF(K873="MFLASH",PR!$AP871,IF(K873="MORISON",PR!$AQ871,IF(K873="NEMEL",PR!$AR871,IF(K873="NHP",PR!$AS871,IF(K873="NHC",PR!$AT871,IF(K873="OLEAF",PR!$AU871,IF(K873="OCULUS",PR!$AV871,IF(K873="PACIFIC",PR!$AW871,IF(K873="PHAMATEX",PR!$AX871,IF(K873="PETHICS",PR!$AY871,IF(K873="PHILIPS",PR!$AZ871,IF(K873="RANBAXY",PR!$BA871,IF(K873="REALS",PR!$BB871,IF(K873="ROYAL",PR!$BC871,IF(K873="SAM",PR!$BD871,IF(K873="SEAGREEN",PR!$BE871,IF(K873="SKG",PR!$BF871,IF(K873="TAH",PR!$BG871,IF(K873="TAYLEK",PR!$BH871,IF(K873="TEMITA",PR!$BI871,IF(K873="THL",PR!$BJ871,IF(K873="UBASTIC",PR!$BK871,IF(K873="UNION",PR!$BL871,IF(K873="UNIQUE",PR!$BM871,IF(K873="VIXA",PR!$BN871,IF(K873="WWCV",PR!$BO871,IF(K873="ZOLON",PR!$BP871,"-")))))))))))))))))))))))))))))))))))))))))))))))))))))))))))))))))</f>
        <v>3500</v>
      </c>
    </row>
    <row r="874" spans="1:12" ht="18.75" x14ac:dyDescent="0.3">
      <c r="A874" s="430">
        <f>PR!A872</f>
        <v>782</v>
      </c>
      <c r="B874" s="15" t="str">
        <f>PR!B872</f>
        <v>VDRL SCREENING RAPID KIT</v>
      </c>
      <c r="C874" s="113" t="str">
        <f>PR!D872</f>
        <v>1 pack of 50</v>
      </c>
      <c r="D874" s="113">
        <f>PR!C872</f>
        <v>1</v>
      </c>
      <c r="E874" s="108">
        <f>IF(F874="ALPHA",PR!$E872,IF(F874="ASSENE",PR!$F872,IF(F874="BIOFEM",PR!$G872,IF(F874="BIOMED",PR!$H872,IF(F874="CHI",PR!$I872,IF(F874="CLARION",PR!$J872,IF(F874="CODIX",PR!$K872,IF(F874="COSMADE",PR!$L872,IF(F874="SANCON",PR!$M872,IF(F874="DEVON",PR!$N872,IF(F874="DORTEMAG",PR!$O872,IF(F874="DGF",PR!$P872,IF(F874="DYNAMIC",PR!$Q872,IF(F874="EMZOR",PR!$R872,IF(F874="EUMATT",PR!$S872,IF(F874="FIDSON",PR!$T872,IF(F874="FCGLOBAL",PR!$U872,IF(F874="GENEITH",PR!$V872,IF(F874="GINOS",PR!$W872,IF(F874="GSK",PR!$X872,IF(F874="GLOBORG",PR!$Y872,IF(F874="GOODNEWS",PR!$Z872,IF(F874="GREENLIFE",PR!$AA872,IF(F874="HLINE",PR!$AB872,IF(F874="ROTECH",PR!$AC872,IF(F874="ISN",PR!$AD872,IF(F874="JAWA",PR!$AE872,IF(F874="LAYO",PR!$AF872,IF(F874="LEADWAY",PR!$AG872,IF(F874="LHV",PR!$AH872,IF(F874="MANOLA",PR!$AI872,IF(F874="MARCSON",PR!$AJ872,IF(F874="M&amp;B",PR!$AK872,IF(F874="MTRUST",PR!$AL872,IF(F874="MWORLD",PR!$AM872,IF(F874="MEGA",PR!$AN872,IF(F874="MICRONOVA",PR!$AO872,IF(F874="MFLASH",PR!$AP872,IF(F874="MORISON",PR!$AQ872,IF(F874="NEMEL",PR!$AR872,IF(F874="NHP",PR!$AS872,IF(F874="NHC",PR!$AT872,IF(F874="OLEAF",PR!$AU872,IF(F874="OCULUS",PR!$AV872,IF(F874="PACIFIC",PR!$AW872,IF(F874="PHAMATEX",PR!$AX872,IF(F874="PETHICS",PR!$AY872,IF(F874="PHILIPS",PR!$AZ872,IF(F874="RANBAXY",PR!$BA872,IF(F874="REALS",PR!$BB872,IF(F874="ROYAL",PR!$BC872,IF(F874="SAM",PR!$BD872,IF(F874="SEAGREEN",PR!$BE872,IF(F874="SKG",PR!$BF872,IF(F874="TAH",PR!$BG872,IF(F874="TAYLEK",PR!$BH872,IF(F874="TEMITA",PR!$BI872,IF(F874="THL",PR!$BJ872,IF(F874="UBASTIC",PR!$BK872,IF(F874="UNION",PR!$BL872,IF(F874="UNIQUE",PR!$BM872,IF(F874="VIXA",PR!$BN872,IF(F874="WWCV",PR!$BO872,IF(F874="ZOLON",PR!$BP872,"-"))))))))))))))))))))))))))))))))))))))))))))))))))))))))))))))))</f>
        <v>3500</v>
      </c>
      <c r="F874" s="102" t="str">
        <f>EV!L1116</f>
        <v>UBASTIC</v>
      </c>
      <c r="G874" s="108">
        <f>IF(H874="ALPHA",PR!$E872,IF(H874="ASSENE",PR!$F872,IF(H874="BIOFEM",PR!$G872,IF(H874="BIOMED",PR!$H872,IF(H874="CHI",PR!$I872,IF(H874="CLARION",PR!$J872,IF(H874="CODIX",PR!$K872,IF(H874="COSMADE",PR!$L872,IF(H874="SANCON",PR!$M872,IF(H874="DEVON",PR!$N872,IF(H874="DORTEMAG",PR!$O872,IF(H874="DGF",PR!$P872,IF(H874="DYNAMIC",PR!$Q872,IF(H874="EMZOR",PR!$R872,IF(H874="EUMATT",PR!$S872,IF(H874="FIDSON",PR!$T872,IF(H874="FCGLOBAL",PR!$U872,IF(H874="GENEITH",PR!$V872,IF(H874="GINOS",PR!$W872,IF(H874="GSK",PR!$X872,IF(H874="GLOBORG",PR!$Y872,IF(H874="GOODNEWS",PR!$Z872,IF(H874="GREENLIFE",PR!$AA872,IF(H874="HLINE",PR!$AB872,IF(H874="ROTECH",PR!$AC872,IF(H874="ISN",PR!$AD872,IF(H874="JAWA",PR!$AE872,IF(H874="LAYO",PR!$AF872,IF(H874="LEADWAY",PR!$AG872,IF(H874="LHV",PR!$AH872,IF(H874="MANOLA",PR!$AI872,IF(H874="MARCSON",PR!$AJ872,IF(H874="M&amp;B",PR!$AK872,IF(H874="MTRUST",PR!$AL872,IF(H874="MWORLD",PR!$AM872,IF(H874="MEGA",PR!$AN872,IF(H874="MICRONOVA",PR!$AO872,IF(H874="MFLASH",PR!$AP872,IF(H874="MORISON",PR!$AQ872,IF(H874="NEMEL",PR!$AR872,IF(H874="NHP",PR!$AS872,IF(H874="NHC",PR!$AT872,IF(H874="OLEAF",PR!$AU872,IF(H874="OCULUS",PR!$AV872,IF(H874="PACIFIC",PR!$AW872,IF(H874="PHAMATEX",PR!$AX872,IF(H874="PETHICS",PR!$AY872,IF(H874="PHILIPS",PR!$AZ872,IF(H874="RANBAXY",PR!$BA872,IF(H874="REALS",PR!$BB872,IF(H874="ROYAL",PR!$BC872,IF(H874="SAM",PR!$BD872,IF(H874="SEAGREEN",PR!$BE872,IF(H874="SKG",PR!$BF872,IF(H874="TAH",PR!$BG872,IF(H874="TAYLEK",PR!$BH872,IF(H874="TEMITA",PR!$BI872,IF(H874="THL",PR!$BJ872,IF(H874="UBASTIC",PR!$BK872,IF(H874="UNION",PR!$BL872,IF(H874="UNIQUE",PR!$BM872,IF(H874="VIXA",PR!$BN872,IF(H874="WWCV",PR!$BO872,IF(H874="ZOLON",PR!$BP872,"-"))))))))))))))))))))))))))))))))))))))))))))))))))))))))))))))))</f>
        <v>6500</v>
      </c>
      <c r="H874" s="102" t="str">
        <f>EV!M1116</f>
        <v>COSMADE</v>
      </c>
      <c r="I874" s="108">
        <f>IF(J874="ALPHA",PR!$E872,IF(J874="ASSENE",PR!$F872,IF(J874="BIOFEM",PR!$G872,IF(J874="BIOMED",PR!$H872,IF(J874="CHI",PR!$I872,IF(J874="CLARION",PR!$J872,IF(J874="CODIX",PR!$K872,IF(J874="COSMADE",PR!$L872,IF(J874="SANCON",PR!$M872,IF(J874="DEVON",PR!$N872,IF(J874="DORTEMAG",PR!$O872,IF(J874="DGF",PR!$P872,IF(J874="DYNAMIC",PR!$Q872,IF(J874="EMZOR",PR!$R872,IF(J874="EUMATT",PR!$S872,IF(J874="FIDSON",PR!$T872,IF(J874="FCGLOBAL",PR!$U872,IF(J874="GENEITH",PR!$V872,IF(J874="GINOS",PR!$W872,IF(J874="GSK",PR!$X872,IF(J874="GLOBORG",PR!$Y872,IF(J874="GOODNEWS",PR!$Z872,IF(J874="GREENLIFE",PR!$AA872,IF(J874="HLINE",PR!$AB872,IF(J874="ROTECH",PR!$AC872,IF(J874="ISN",PR!$AD872,IF(J874="JAWA",PR!$AE872,IF(J874="LAYO",PR!$AF872,IF(J874="LEADWAY",PR!$AG872,IF(J874="LHV",PR!$AH872,IF(J874="MANOLA",PR!$AI872,IF(J874="MARCSON",PR!$AJ872,IF(J874="M&amp;B",PR!$AK872,IF(J874="MTRUST",PR!$AL872,IF(J874="MWORLD",PR!$AM872,IF(J874="MEGA",PR!$AN872,IF(J874="MICRONOVA",PR!$AO872,IF(J874="MFLASH",PR!$AP872,IF(J874="MORISON",PR!$AQ872,IF(J874="NEMEL",PR!$AR872,IF(J874="NHP",PR!$AS872,IF(J874="NHC",PR!$AT872,IF(J874="OLEAF",PR!$AU872,IF(J874="OCULUS",PR!$AV872,IF(J874="PACIFIC",PR!$AW872,IF(J874="PHAMATEX",PR!$AX872,IF(J874="PETHICS",PR!$AY872,IF(J874="PHILIPS",PR!$AZ872,IF(J874="RANBAXY",PR!$BA872,IF(J874="REALS",PR!$BB872,IF(J874="ROYAL",PR!$BC872,IF(J874="SAM",PR!$BD872,IF(J874="SEAGREEN",PR!$BE872,IF(J874="SKG",PR!$BF872,IF(J874="TAH",PR!$BG872,IF(J874="TAYLEK",PR!$BH872,IF(J874="TEMITA",PR!$BI872,IF(J874="THL",PR!$BJ872,IF(J874="UBASTIC",PR!$BK872,IF(J874="UNION",PR!$BL872,IF(J874="UNIQUE",PR!$BM872,IF(J874="VIXA",PR!$BN872,IF(J874="WWCV",PR!$BO872,IF(J874="ZOLON",PR!$BP872,"-"))))))))))))))))))))))))))))))))))))))))))))))))))))))))))))))))</f>
        <v>2000</v>
      </c>
      <c r="J874" s="102" t="str">
        <f>EV!N1116</f>
        <v>TEMITA</v>
      </c>
      <c r="K874" s="433" t="s">
        <v>1459</v>
      </c>
      <c r="L874" s="183">
        <f>IF(K874&gt;0,IF(K874="ALPHA",PR!$E872,IF(K874="ASSENE",PR!$F872,IF(K874="BIOFEM",PR!$G872,IF(K874="BIOMED",PR!$H872,IF(K874="CHI",PR!$I872,IF(K874="CLARION",PR!$J872,IF(K874="CODIX",PR!$K872,IF(K874="COSMADE",PR!$L872,IF(K874="SANCON",PR!$M872,IF(K874="DEVON",PR!$N872,IF(K874="DORTEMAG",PR!$O872,IF(K874="DGF",PR!$P872,IF(K874="DYNAMIC",PR!$Q872,IF(K874="EMZOR",PR!$R872,IF(K874="EUMATT",PR!$S872,IF(K874="FIDSON",PR!$T872,IF(K874="FCGLOBAL",PR!$U872,IF(K874="GENEITH",PR!$V872,IF(K874="GINOS",PR!$W872,IF(K874="GSK",PR!$X872,IF(K874="GLOBORG",PR!$Y872,IF(K874="GOODNEWS",PR!$Z872,IF(K874="GREENLIFE",PR!$AA872,IF(K874="HLINE",PR!$AB872,IF(K874="ROTECH",PR!$AC872,IF(K874="ISN",PR!$AD872,IF(K874="JAWA",PR!$AE872,IF(K874="LAYO",PR!$AF872,IF(K874="LEADWAY",PR!$AG872,IF(K874="LHV",PR!$AH872,IF(K874="MANOLA",PR!$AI872,IF(K874="MARCSON",PR!$AJ872,IF(K874="M&amp;B",PR!$AK872,IF(K874="MTRUST",PR!$AL872,IF(K874="MWORLD",PR!$AM872,IF(K874="MEGA",PR!$AN872,IF(K874="MICRONOVA",PR!$AO872,IF(K874="MFLASH",PR!$AP872,IF(K874="MORISON",PR!$AQ872,IF(K874="NEMEL",PR!$AR872,IF(K874="NHP",PR!$AS872,IF(K874="NHC",PR!$AT872,IF(K874="OLEAF",PR!$AU872,IF(K874="OCULUS",PR!$AV872,IF(K874="PACIFIC",PR!$AW872,IF(K874="PHAMATEX",PR!$AX872,IF(K874="PETHICS",PR!$AY872,IF(K874="PHILIPS",PR!$AZ872,IF(K874="RANBAXY",PR!$BA872,IF(K874="REALS",PR!$BB872,IF(K874="ROYAL",PR!$BC872,IF(K874="SAM",PR!$BD872,IF(K874="SEAGREEN",PR!$BE872,IF(K874="SKG",PR!$BF872,IF(K874="TAH",PR!$BG872,IF(K874="TAYLEK",PR!$BH872,IF(K874="TEMITA",PR!$BI872,IF(K874="THL",PR!$BJ872,IF(K874="UBASTIC",PR!$BK872,IF(K874="UNION",PR!$BL872,IF(K874="UNIQUE",PR!$BM872,IF(K874="VIXA",PR!$BN872,IF(K874="WWCV",PR!$BO872,IF(K874="ZOLON",PR!$BP872,"-")))))))))))))))))))))))))))))))))))))))))))))))))))))))))))))))))</f>
        <v>3500</v>
      </c>
    </row>
    <row r="875" spans="1:12" ht="18.75" x14ac:dyDescent="0.3">
      <c r="A875" s="430">
        <f>PR!A873</f>
        <v>783</v>
      </c>
      <c r="B875" s="15" t="str">
        <f>PR!B873</f>
        <v>ELISA VDRL SCREENING KIT</v>
      </c>
      <c r="C875" s="113" t="str">
        <f>PR!D873</f>
        <v>1 pack of 96</v>
      </c>
      <c r="D875" s="113">
        <f>PR!C873</f>
        <v>48</v>
      </c>
      <c r="E875" s="108" t="str">
        <f>IF(F875="ALPHA",PR!$E873,IF(F875="ASSENE",PR!$F873,IF(F875="BIOFEM",PR!$G873,IF(F875="BIOMED",PR!$H873,IF(F875="CHI",PR!$I873,IF(F875="CLARION",PR!$J873,IF(F875="CODIX",PR!$K873,IF(F875="COSMADE",PR!$L873,IF(F875="SANCON",PR!$M873,IF(F875="DEVON",PR!$N873,IF(F875="DORTEMAG",PR!$O873,IF(F875="DGF",PR!$P873,IF(F875="DYNAMIC",PR!$Q873,IF(F875="EMZOR",PR!$R873,IF(F875="EUMATT",PR!$S873,IF(F875="FIDSON",PR!$T873,IF(F875="FCGLOBAL",PR!$U873,IF(F875="GENEITH",PR!$V873,IF(F875="GINOS",PR!$W873,IF(F875="GSK",PR!$X873,IF(F875="GLOBORG",PR!$Y873,IF(F875="GOODNEWS",PR!$Z873,IF(F875="GREENLIFE",PR!$AA873,IF(F875="HLINE",PR!$AB873,IF(F875="ROTECH",PR!$AC873,IF(F875="ISN",PR!$AD873,IF(F875="JAWA",PR!$AE873,IF(F875="LAYO",PR!$AF873,IF(F875="LEADWAY",PR!$AG873,IF(F875="LHV",PR!$AH873,IF(F875="MANOLA",PR!$AI873,IF(F875="MARCSON",PR!$AJ873,IF(F875="M&amp;B",PR!$AK873,IF(F875="MTRUST",PR!$AL873,IF(F875="MWORLD",PR!$AM873,IF(F875="MEGA",PR!$AN873,IF(F875="MICRONOVA",PR!$AO873,IF(F875="MFLASH",PR!$AP873,IF(F875="MORISON",PR!$AQ873,IF(F875="NEMEL",PR!$AR873,IF(F875="NHP",PR!$AS873,IF(F875="NHC",PR!$AT873,IF(F875="OLEAF",PR!$AU873,IF(F875="OCULUS",PR!$AV873,IF(F875="PACIFIC",PR!$AW873,IF(F875="PHAMATEX",PR!$AX873,IF(F875="PETHICS",PR!$AY873,IF(F875="PHILIPS",PR!$AZ873,IF(F875="RANBAXY",PR!$BA873,IF(F875="REALS",PR!$BB873,IF(F875="ROYAL",PR!$BC873,IF(F875="SAM",PR!$BD873,IF(F875="SEAGREEN",PR!$BE873,IF(F875="SKG",PR!$BF873,IF(F875="TAH",PR!$BG873,IF(F875="TAYLEK",PR!$BH873,IF(F875="TEMITA",PR!$BI873,IF(F875="THL",PR!$BJ873,IF(F875="UBASTIC",PR!$BK873,IF(F875="UNION",PR!$BL873,IF(F875="UNIQUE",PR!$BM873,IF(F875="VIXA",PR!$BN873,IF(F875="WWCV",PR!$BO873,IF(F875="ZOLON",PR!$BP873,"-"))))))))))))))))))))))))))))))))))))))))))))))))))))))))))))))))</f>
        <v>-</v>
      </c>
      <c r="F875" s="102">
        <f>EV!L1117</f>
        <v>0</v>
      </c>
      <c r="G875" s="108" t="str">
        <f>IF(H875="ALPHA",PR!$E873,IF(H875="ASSENE",PR!$F873,IF(H875="BIOFEM",PR!$G873,IF(H875="BIOMED",PR!$H873,IF(H875="CHI",PR!$I873,IF(H875="CLARION",PR!$J873,IF(H875="CODIX",PR!$K873,IF(H875="COSMADE",PR!$L873,IF(H875="SANCON",PR!$M873,IF(H875="DEVON",PR!$N873,IF(H875="DORTEMAG",PR!$O873,IF(H875="DGF",PR!$P873,IF(H875="DYNAMIC",PR!$Q873,IF(H875="EMZOR",PR!$R873,IF(H875="EUMATT",PR!$S873,IF(H875="FIDSON",PR!$T873,IF(H875="FCGLOBAL",PR!$U873,IF(H875="GENEITH",PR!$V873,IF(H875="GINOS",PR!$W873,IF(H875="GSK",PR!$X873,IF(H875="GLOBORG",PR!$Y873,IF(H875="GOODNEWS",PR!$Z873,IF(H875="GREENLIFE",PR!$AA873,IF(H875="HLINE",PR!$AB873,IF(H875="ROTECH",PR!$AC873,IF(H875="ISN",PR!$AD873,IF(H875="JAWA",PR!$AE873,IF(H875="LAYO",PR!$AF873,IF(H875="LEADWAY",PR!$AG873,IF(H875="LHV",PR!$AH873,IF(H875="MANOLA",PR!$AI873,IF(H875="MARCSON",PR!$AJ873,IF(H875="M&amp;B",PR!$AK873,IF(H875="MTRUST",PR!$AL873,IF(H875="MWORLD",PR!$AM873,IF(H875="MEGA",PR!$AN873,IF(H875="MICRONOVA",PR!$AO873,IF(H875="MFLASH",PR!$AP873,IF(H875="MORISON",PR!$AQ873,IF(H875="NEMEL",PR!$AR873,IF(H875="NHP",PR!$AS873,IF(H875="NHC",PR!$AT873,IF(H875="OLEAF",PR!$AU873,IF(H875="OCULUS",PR!$AV873,IF(H875="PACIFIC",PR!$AW873,IF(H875="PHAMATEX",PR!$AX873,IF(H875="PETHICS",PR!$AY873,IF(H875="PHILIPS",PR!$AZ873,IF(H875="RANBAXY",PR!$BA873,IF(H875="REALS",PR!$BB873,IF(H875="ROYAL",PR!$BC873,IF(H875="SAM",PR!$BD873,IF(H875="SEAGREEN",PR!$BE873,IF(H875="SKG",PR!$BF873,IF(H875="TAH",PR!$BG873,IF(H875="TAYLEK",PR!$BH873,IF(H875="TEMITA",PR!$BI873,IF(H875="THL",PR!$BJ873,IF(H875="UBASTIC",PR!$BK873,IF(H875="UNION",PR!$BL873,IF(H875="UNIQUE",PR!$BM873,IF(H875="VIXA",PR!$BN873,IF(H875="WWCV",PR!$BO873,IF(H875="ZOLON",PR!$BP873,"-"))))))))))))))))))))))))))))))))))))))))))))))))))))))))))))))))</f>
        <v>-</v>
      </c>
      <c r="H875" s="102">
        <f>EV!M1117</f>
        <v>0</v>
      </c>
      <c r="I875" s="108" t="str">
        <f>IF(J875="ALPHA",PR!$E873,IF(J875="ASSENE",PR!$F873,IF(J875="BIOFEM",PR!$G873,IF(J875="BIOMED",PR!$H873,IF(J875="CHI",PR!$I873,IF(J875="CLARION",PR!$J873,IF(J875="CODIX",PR!$K873,IF(J875="COSMADE",PR!$L873,IF(J875="SANCON",PR!$M873,IF(J875="DEVON",PR!$N873,IF(J875="DORTEMAG",PR!$O873,IF(J875="DGF",PR!$P873,IF(J875="DYNAMIC",PR!$Q873,IF(J875="EMZOR",PR!$R873,IF(J875="EUMATT",PR!$S873,IF(J875="FIDSON",PR!$T873,IF(J875="FCGLOBAL",PR!$U873,IF(J875="GENEITH",PR!$V873,IF(J875="GINOS",PR!$W873,IF(J875="GSK",PR!$X873,IF(J875="GLOBORG",PR!$Y873,IF(J875="GOODNEWS",PR!$Z873,IF(J875="GREENLIFE",PR!$AA873,IF(J875="HLINE",PR!$AB873,IF(J875="ROTECH",PR!$AC873,IF(J875="ISN",PR!$AD873,IF(J875="JAWA",PR!$AE873,IF(J875="LAYO",PR!$AF873,IF(J875="LEADWAY",PR!$AG873,IF(J875="LHV",PR!$AH873,IF(J875="MANOLA",PR!$AI873,IF(J875="MARCSON",PR!$AJ873,IF(J875="M&amp;B",PR!$AK873,IF(J875="MTRUST",PR!$AL873,IF(J875="MWORLD",PR!$AM873,IF(J875="MEGA",PR!$AN873,IF(J875="MICRONOVA",PR!$AO873,IF(J875="MFLASH",PR!$AP873,IF(J875="MORISON",PR!$AQ873,IF(J875="NEMEL",PR!$AR873,IF(J875="NHP",PR!$AS873,IF(J875="NHC",PR!$AT873,IF(J875="OLEAF",PR!$AU873,IF(J875="OCULUS",PR!$AV873,IF(J875="PACIFIC",PR!$AW873,IF(J875="PHAMATEX",PR!$AX873,IF(J875="PETHICS",PR!$AY873,IF(J875="PHILIPS",PR!$AZ873,IF(J875="RANBAXY",PR!$BA873,IF(J875="REALS",PR!$BB873,IF(J875="ROYAL",PR!$BC873,IF(J875="SAM",PR!$BD873,IF(J875="SEAGREEN",PR!$BE873,IF(J875="SKG",PR!$BF873,IF(J875="TAH",PR!$BG873,IF(J875="TAYLEK",PR!$BH873,IF(J875="TEMITA",PR!$BI873,IF(J875="THL",PR!$BJ873,IF(J875="UBASTIC",PR!$BK873,IF(J875="UNION",PR!$BL873,IF(J875="UNIQUE",PR!$BM873,IF(J875="VIXA",PR!$BN873,IF(J875="WWCV",PR!$BO873,IF(J875="ZOLON",PR!$BP873,"-"))))))))))))))))))))))))))))))))))))))))))))))))))))))))))))))))</f>
        <v>-</v>
      </c>
      <c r="J875" s="102">
        <f>EV!N1117</f>
        <v>0</v>
      </c>
      <c r="K875" s="433"/>
      <c r="L875" s="183" t="b">
        <f>IF(K875&gt;0,IF(K875="ALPHA",PR!$E873,IF(K875="ASSENE",PR!$F873,IF(K875="BIOFEM",PR!$G873,IF(K875="BIOMED",PR!$H873,IF(K875="CHI",PR!$I873,IF(K875="CLARION",PR!$J873,IF(K875="CODIX",PR!$K873,IF(K875="COSMADE",PR!$L873,IF(K875="SANCON",PR!$M873,IF(K875="DEVON",PR!$N873,IF(K875="DORTEMAG",PR!$O873,IF(K875="DGF",PR!$P873,IF(K875="DYNAMIC",PR!$Q873,IF(K875="EMZOR",PR!$R873,IF(K875="EUMATT",PR!$S873,IF(K875="FIDSON",PR!$T873,IF(K875="FCGLOBAL",PR!$U873,IF(K875="GENEITH",PR!$V873,IF(K875="GINOS",PR!$W873,IF(K875="GSK",PR!$X873,IF(K875="GLOBORG",PR!$Y873,IF(K875="GOODNEWS",PR!$Z873,IF(K875="GREENLIFE",PR!$AA873,IF(K875="HLINE",PR!$AB873,IF(K875="ROTECH",PR!$AC873,IF(K875="ISN",PR!$AD873,IF(K875="JAWA",PR!$AE873,IF(K875="LAYO",PR!$AF873,IF(K875="LEADWAY",PR!$AG873,IF(K875="LHV",PR!$AH873,IF(K875="MANOLA",PR!$AI873,IF(K875="MARCSON",PR!$AJ873,IF(K875="M&amp;B",PR!$AK873,IF(K875="MTRUST",PR!$AL873,IF(K875="MWORLD",PR!$AM873,IF(K875="MEGA",PR!$AN873,IF(K875="MICRONOVA",PR!$AO873,IF(K875="MFLASH",PR!$AP873,IF(K875="MORISON",PR!$AQ873,IF(K875="NEMEL",PR!$AR873,IF(K875="NHP",PR!$AS873,IF(K875="NHC",PR!$AT873,IF(K875="OLEAF",PR!$AU873,IF(K875="OCULUS",PR!$AV873,IF(K875="PACIFIC",PR!$AW873,IF(K875="PHAMATEX",PR!$AX873,IF(K875="PETHICS",PR!$AY873,IF(K875="PHILIPS",PR!$AZ873,IF(K875="RANBAXY",PR!$BA873,IF(K875="REALS",PR!$BB873,IF(K875="ROYAL",PR!$BC873,IF(K875="SAM",PR!$BD873,IF(K875="SEAGREEN",PR!$BE873,IF(K875="SKG",PR!$BF873,IF(K875="TAH",PR!$BG873,IF(K875="TAYLEK",PR!$BH873,IF(K875="TEMITA",PR!$BI873,IF(K875="THL",PR!$BJ873,IF(K875="UBASTIC",PR!$BK873,IF(K875="UNION",PR!$BL873,IF(K875="UNIQUE",PR!$BM873,IF(K875="VIXA",PR!$BN873,IF(K875="WWCV",PR!$BO873,IF(K875="ZOLON",PR!$BP873,"-")))))))))))))))))))))))))))))))))))))))))))))))))))))))))))))))))</f>
        <v>0</v>
      </c>
    </row>
    <row r="876" spans="1:12" ht="18.75" x14ac:dyDescent="0.3">
      <c r="A876" s="430">
        <f>PR!A874</f>
        <v>784</v>
      </c>
      <c r="B876" s="15" t="str">
        <f>PR!B874</f>
        <v>METHANOL (2.5L) (HONEY WELL)</v>
      </c>
      <c r="C876" s="113" t="str">
        <f>PR!D874</f>
        <v>30 pcs</v>
      </c>
      <c r="D876" s="113">
        <f>PR!C874</f>
        <v>30</v>
      </c>
      <c r="E876" s="108">
        <f>IF(F876="ALPHA",PR!$E874,IF(F876="ASSENE",PR!$F874,IF(F876="BIOFEM",PR!$G874,IF(F876="BIOMED",PR!$H874,IF(F876="CHI",PR!$I874,IF(F876="CLARION",PR!$J874,IF(F876="CODIX",PR!$K874,IF(F876="COSMADE",PR!$L874,IF(F876="SANCON",PR!$M874,IF(F876="DEVON",PR!$N874,IF(F876="DORTEMAG",PR!$O874,IF(F876="DGF",PR!$P874,IF(F876="DYNAMIC",PR!$Q874,IF(F876="EMZOR",PR!$R874,IF(F876="EUMATT",PR!$S874,IF(F876="FIDSON",PR!$T874,IF(F876="FCGLOBAL",PR!$U874,IF(F876="GENEITH",PR!$V874,IF(F876="GINOS",PR!$W874,IF(F876="GSK",PR!$X874,IF(F876="GLOBORG",PR!$Y874,IF(F876="GOODNEWS",PR!$Z874,IF(F876="GREENLIFE",PR!$AA874,IF(F876="HLINE",PR!$AB874,IF(F876="ROTECH",PR!$AC874,IF(F876="ISN",PR!$AD874,IF(F876="JAWA",PR!$AE874,IF(F876="LAYO",PR!$AF874,IF(F876="LEADWAY",PR!$AG874,IF(F876="LHV",PR!$AH874,IF(F876="MANOLA",PR!$AI874,IF(F876="MARCSON",PR!$AJ874,IF(F876="M&amp;B",PR!$AK874,IF(F876="MTRUST",PR!$AL874,IF(F876="MWORLD",PR!$AM874,IF(F876="MEGA",PR!$AN874,IF(F876="MICRONOVA",PR!$AO874,IF(F876="MFLASH",PR!$AP874,IF(F876="MORISON",PR!$AQ874,IF(F876="NEMEL",PR!$AR874,IF(F876="NHP",PR!$AS874,IF(F876="NHC",PR!$AT874,IF(F876="OLEAF",PR!$AU874,IF(F876="OCULUS",PR!$AV874,IF(F876="PACIFIC",PR!$AW874,IF(F876="PHAMATEX",PR!$AX874,IF(F876="PETHICS",PR!$AY874,IF(F876="PHILIPS",PR!$AZ874,IF(F876="RANBAXY",PR!$BA874,IF(F876="REALS",PR!$BB874,IF(F876="ROYAL",PR!$BC874,IF(F876="SAM",PR!$BD874,IF(F876="SEAGREEN",PR!$BE874,IF(F876="SKG",PR!$BF874,IF(F876="TAH",PR!$BG874,IF(F876="TAYLEK",PR!$BH874,IF(F876="TEMITA",PR!$BI874,IF(F876="THL",PR!$BJ874,IF(F876="UBASTIC",PR!$BK874,IF(F876="UNION",PR!$BL874,IF(F876="UNIQUE",PR!$BM874,IF(F876="VIXA",PR!$BN874,IF(F876="WWCV",PR!$BO874,IF(F876="ZOLON",PR!$BP874,"-"))))))))))))))))))))))))))))))))))))))))))))))))))))))))))))))))</f>
        <v>7000</v>
      </c>
      <c r="F876" s="102" t="str">
        <f>EV!L1118</f>
        <v>TEMITA</v>
      </c>
      <c r="G876" s="108">
        <f>IF(H876="ALPHA",PR!$E874,IF(H876="ASSENE",PR!$F874,IF(H876="BIOFEM",PR!$G874,IF(H876="BIOMED",PR!$H874,IF(H876="CHI",PR!$I874,IF(H876="CLARION",PR!$J874,IF(H876="CODIX",PR!$K874,IF(H876="COSMADE",PR!$L874,IF(H876="SANCON",PR!$M874,IF(H876="DEVON",PR!$N874,IF(H876="DORTEMAG",PR!$O874,IF(H876="DGF",PR!$P874,IF(H876="DYNAMIC",PR!$Q874,IF(H876="EMZOR",PR!$R874,IF(H876="EUMATT",PR!$S874,IF(H876="FIDSON",PR!$T874,IF(H876="FCGLOBAL",PR!$U874,IF(H876="GENEITH",PR!$V874,IF(H876="GINOS",PR!$W874,IF(H876="GSK",PR!$X874,IF(H876="GLOBORG",PR!$Y874,IF(H876="GOODNEWS",PR!$Z874,IF(H876="GREENLIFE",PR!$AA874,IF(H876="HLINE",PR!$AB874,IF(H876="ROTECH",PR!$AC874,IF(H876="ISN",PR!$AD874,IF(H876="JAWA",PR!$AE874,IF(H876="LAYO",PR!$AF874,IF(H876="LEADWAY",PR!$AG874,IF(H876="LHV",PR!$AH874,IF(H876="MANOLA",PR!$AI874,IF(H876="MARCSON",PR!$AJ874,IF(H876="M&amp;B",PR!$AK874,IF(H876="MTRUST",PR!$AL874,IF(H876="MWORLD",PR!$AM874,IF(H876="MEGA",PR!$AN874,IF(H876="MICRONOVA",PR!$AO874,IF(H876="MFLASH",PR!$AP874,IF(H876="MORISON",PR!$AQ874,IF(H876="NEMEL",PR!$AR874,IF(H876="NHP",PR!$AS874,IF(H876="NHC",PR!$AT874,IF(H876="OLEAF",PR!$AU874,IF(H876="OCULUS",PR!$AV874,IF(H876="PACIFIC",PR!$AW874,IF(H876="PHAMATEX",PR!$AX874,IF(H876="PETHICS",PR!$AY874,IF(H876="PHILIPS",PR!$AZ874,IF(H876="RANBAXY",PR!$BA874,IF(H876="REALS",PR!$BB874,IF(H876="ROYAL",PR!$BC874,IF(H876="SAM",PR!$BD874,IF(H876="SEAGREEN",PR!$BE874,IF(H876="SKG",PR!$BF874,IF(H876="TAH",PR!$BG874,IF(H876="TAYLEK",PR!$BH874,IF(H876="TEMITA",PR!$BI874,IF(H876="THL",PR!$BJ874,IF(H876="UBASTIC",PR!$BK874,IF(H876="UNION",PR!$BL874,IF(H876="UNIQUE",PR!$BM874,IF(H876="VIXA",PR!$BN874,IF(H876="WWCV",PR!$BO874,IF(H876="ZOLON",PR!$BP874,"-"))))))))))))))))))))))))))))))))))))))))))))))))))))))))))))))))</f>
        <v>7500</v>
      </c>
      <c r="H876" s="102" t="str">
        <f>EV!M1118</f>
        <v>UBASTIC</v>
      </c>
      <c r="I876" s="108">
        <f>IF(J876="ALPHA",PR!$E874,IF(J876="ASSENE",PR!$F874,IF(J876="BIOFEM",PR!$G874,IF(J876="BIOMED",PR!$H874,IF(J876="CHI",PR!$I874,IF(J876="CLARION",PR!$J874,IF(J876="CODIX",PR!$K874,IF(J876="COSMADE",PR!$L874,IF(J876="SANCON",PR!$M874,IF(J876="DEVON",PR!$N874,IF(J876="DORTEMAG",PR!$O874,IF(J876="DGF",PR!$P874,IF(J876="DYNAMIC",PR!$Q874,IF(J876="EMZOR",PR!$R874,IF(J876="EUMATT",PR!$S874,IF(J876="FIDSON",PR!$T874,IF(J876="FCGLOBAL",PR!$U874,IF(J876="GENEITH",PR!$V874,IF(J876="GINOS",PR!$W874,IF(J876="GSK",PR!$X874,IF(J876="GLOBORG",PR!$Y874,IF(J876="GOODNEWS",PR!$Z874,IF(J876="GREENLIFE",PR!$AA874,IF(J876="HLINE",PR!$AB874,IF(J876="ROTECH",PR!$AC874,IF(J876="ISN",PR!$AD874,IF(J876="JAWA",PR!$AE874,IF(J876="LAYO",PR!$AF874,IF(J876="LEADWAY",PR!$AG874,IF(J876="LHV",PR!$AH874,IF(J876="MANOLA",PR!$AI874,IF(J876="MARCSON",PR!$AJ874,IF(J876="M&amp;B",PR!$AK874,IF(J876="MTRUST",PR!$AL874,IF(J876="MWORLD",PR!$AM874,IF(J876="MEGA",PR!$AN874,IF(J876="MICRONOVA",PR!$AO874,IF(J876="MFLASH",PR!$AP874,IF(J876="MORISON",PR!$AQ874,IF(J876="NEMEL",PR!$AR874,IF(J876="NHP",PR!$AS874,IF(J876="NHC",PR!$AT874,IF(J876="OLEAF",PR!$AU874,IF(J876="OCULUS",PR!$AV874,IF(J876="PACIFIC",PR!$AW874,IF(J876="PHAMATEX",PR!$AX874,IF(J876="PETHICS",PR!$AY874,IF(J876="PHILIPS",PR!$AZ874,IF(J876="RANBAXY",PR!$BA874,IF(J876="REALS",PR!$BB874,IF(J876="ROYAL",PR!$BC874,IF(J876="SAM",PR!$BD874,IF(J876="SEAGREEN",PR!$BE874,IF(J876="SKG",PR!$BF874,IF(J876="TAH",PR!$BG874,IF(J876="TAYLEK",PR!$BH874,IF(J876="TEMITA",PR!$BI874,IF(J876="THL",PR!$BJ874,IF(J876="UBASTIC",PR!$BK874,IF(J876="UNION",PR!$BL874,IF(J876="UNIQUE",PR!$BM874,IF(J876="VIXA",PR!$BN874,IF(J876="WWCV",PR!$BO874,IF(J876="ZOLON",PR!$BP874,"-"))))))))))))))))))))))))))))))))))))))))))))))))))))))))))))))))</f>
        <v>9500</v>
      </c>
      <c r="J876" s="102" t="str">
        <f>EV!N1118</f>
        <v>COSMADE</v>
      </c>
      <c r="K876" s="433" t="s">
        <v>1459</v>
      </c>
      <c r="L876" s="183">
        <f>IF(K876&gt;0,IF(K876="ALPHA",PR!$E874,IF(K876="ASSENE",PR!$F874,IF(K876="BIOFEM",PR!$G874,IF(K876="BIOMED",PR!$H874,IF(K876="CHI",PR!$I874,IF(K876="CLARION",PR!$J874,IF(K876="CODIX",PR!$K874,IF(K876="COSMADE",PR!$L874,IF(K876="SANCON",PR!$M874,IF(K876="DEVON",PR!$N874,IF(K876="DORTEMAG",PR!$O874,IF(K876="DGF",PR!$P874,IF(K876="DYNAMIC",PR!$Q874,IF(K876="EMZOR",PR!$R874,IF(K876="EUMATT",PR!$S874,IF(K876="FIDSON",PR!$T874,IF(K876="FCGLOBAL",PR!$U874,IF(K876="GENEITH",PR!$V874,IF(K876="GINOS",PR!$W874,IF(K876="GSK",PR!$X874,IF(K876="GLOBORG",PR!$Y874,IF(K876="GOODNEWS",PR!$Z874,IF(K876="GREENLIFE",PR!$AA874,IF(K876="HLINE",PR!$AB874,IF(K876="ROTECH",PR!$AC874,IF(K876="ISN",PR!$AD874,IF(K876="JAWA",PR!$AE874,IF(K876="LAYO",PR!$AF874,IF(K876="LEADWAY",PR!$AG874,IF(K876="LHV",PR!$AH874,IF(K876="MANOLA",PR!$AI874,IF(K876="MARCSON",PR!$AJ874,IF(K876="M&amp;B",PR!$AK874,IF(K876="MTRUST",PR!$AL874,IF(K876="MWORLD",PR!$AM874,IF(K876="MEGA",PR!$AN874,IF(K876="MICRONOVA",PR!$AO874,IF(K876="MFLASH",PR!$AP874,IF(K876="MORISON",PR!$AQ874,IF(K876="NEMEL",PR!$AR874,IF(K876="NHP",PR!$AS874,IF(K876="NHC",PR!$AT874,IF(K876="OLEAF",PR!$AU874,IF(K876="OCULUS",PR!$AV874,IF(K876="PACIFIC",PR!$AW874,IF(K876="PHAMATEX",PR!$AX874,IF(K876="PETHICS",PR!$AY874,IF(K876="PHILIPS",PR!$AZ874,IF(K876="RANBAXY",PR!$BA874,IF(K876="REALS",PR!$BB874,IF(K876="ROYAL",PR!$BC874,IF(K876="SAM",PR!$BD874,IF(K876="SEAGREEN",PR!$BE874,IF(K876="SKG",PR!$BF874,IF(K876="TAH",PR!$BG874,IF(K876="TAYLEK",PR!$BH874,IF(K876="TEMITA",PR!$BI874,IF(K876="THL",PR!$BJ874,IF(K876="UBASTIC",PR!$BK874,IF(K876="UNION",PR!$BL874,IF(K876="UNIQUE",PR!$BM874,IF(K876="VIXA",PR!$BN874,IF(K876="WWCV",PR!$BO874,IF(K876="ZOLON",PR!$BP874,"-")))))))))))))))))))))))))))))))))))))))))))))))))))))))))))))))))</f>
        <v>7500</v>
      </c>
    </row>
    <row r="877" spans="1:12" ht="18.75" x14ac:dyDescent="0.3">
      <c r="A877" s="430">
        <f>PR!A875</f>
        <v>785</v>
      </c>
      <c r="B877" s="15" t="str">
        <f>PR!B875</f>
        <v>FILTER PAPER (150MM) (WHATMAN)</v>
      </c>
      <c r="C877" s="113" t="str">
        <f>PR!D875</f>
        <v>6 packs</v>
      </c>
      <c r="D877" s="113">
        <f>PR!C875</f>
        <v>6</v>
      </c>
      <c r="E877" s="108">
        <f>IF(F877="ALPHA",PR!$E875,IF(F877="ASSENE",PR!$F875,IF(F877="BIOFEM",PR!$G875,IF(F877="BIOMED",PR!$H875,IF(F877="CHI",PR!$I875,IF(F877="CLARION",PR!$J875,IF(F877="CODIX",PR!$K875,IF(F877="COSMADE",PR!$L875,IF(F877="SANCON",PR!$M875,IF(F877="DEVON",PR!$N875,IF(F877="DORTEMAG",PR!$O875,IF(F877="DGF",PR!$P875,IF(F877="DYNAMIC",PR!$Q875,IF(F877="EMZOR",PR!$R875,IF(F877="EUMATT",PR!$S875,IF(F877="FIDSON",PR!$T875,IF(F877="FCGLOBAL",PR!$U875,IF(F877="GENEITH",PR!$V875,IF(F877="GINOS",PR!$W875,IF(F877="GSK",PR!$X875,IF(F877="GLOBORG",PR!$Y875,IF(F877="GOODNEWS",PR!$Z875,IF(F877="GREENLIFE",PR!$AA875,IF(F877="HLINE",PR!$AB875,IF(F877="ROTECH",PR!$AC875,IF(F877="ISN",PR!$AD875,IF(F877="JAWA",PR!$AE875,IF(F877="LAYO",PR!$AF875,IF(F877="LEADWAY",PR!$AG875,IF(F877="LHV",PR!$AH875,IF(F877="MANOLA",PR!$AI875,IF(F877="MARCSON",PR!$AJ875,IF(F877="M&amp;B",PR!$AK875,IF(F877="MTRUST",PR!$AL875,IF(F877="MWORLD",PR!$AM875,IF(F877="MEGA",PR!$AN875,IF(F877="MICRONOVA",PR!$AO875,IF(F877="MFLASH",PR!$AP875,IF(F877="MORISON",PR!$AQ875,IF(F877="NEMEL",PR!$AR875,IF(F877="NHP",PR!$AS875,IF(F877="NHC",PR!$AT875,IF(F877="OLEAF",PR!$AU875,IF(F877="OCULUS",PR!$AV875,IF(F877="PACIFIC",PR!$AW875,IF(F877="PHAMATEX",PR!$AX875,IF(F877="PETHICS",PR!$AY875,IF(F877="PHILIPS",PR!$AZ875,IF(F877="RANBAXY",PR!$BA875,IF(F877="REALS",PR!$BB875,IF(F877="ROYAL",PR!$BC875,IF(F877="SAM",PR!$BD875,IF(F877="SEAGREEN",PR!$BE875,IF(F877="SKG",PR!$BF875,IF(F877="TAH",PR!$BG875,IF(F877="TAYLEK",PR!$BH875,IF(F877="TEMITA",PR!$BI875,IF(F877="THL",PR!$BJ875,IF(F877="UBASTIC",PR!$BK875,IF(F877="UNION",PR!$BL875,IF(F877="UNIQUE",PR!$BM875,IF(F877="VIXA",PR!$BN875,IF(F877="WWCV",PR!$BO875,IF(F877="ZOLON",PR!$BP875,"-"))))))))))))))))))))))))))))))))))))))))))))))))))))))))))))))))</f>
        <v>1600</v>
      </c>
      <c r="F877" s="102" t="str">
        <f>EV!L1119</f>
        <v>TEMITA</v>
      </c>
      <c r="G877" s="108">
        <f>IF(H877="ALPHA",PR!$E875,IF(H877="ASSENE",PR!$F875,IF(H877="BIOFEM",PR!$G875,IF(H877="BIOMED",PR!$H875,IF(H877="CHI",PR!$I875,IF(H877="CLARION",PR!$J875,IF(H877="CODIX",PR!$K875,IF(H877="COSMADE",PR!$L875,IF(H877="SANCON",PR!$M875,IF(H877="DEVON",PR!$N875,IF(H877="DORTEMAG",PR!$O875,IF(H877="DGF",PR!$P875,IF(H877="DYNAMIC",PR!$Q875,IF(H877="EMZOR",PR!$R875,IF(H877="EUMATT",PR!$S875,IF(H877="FIDSON",PR!$T875,IF(H877="FCGLOBAL",PR!$U875,IF(H877="GENEITH",PR!$V875,IF(H877="GINOS",PR!$W875,IF(H877="GSK",PR!$X875,IF(H877="GLOBORG",PR!$Y875,IF(H877="GOODNEWS",PR!$Z875,IF(H877="GREENLIFE",PR!$AA875,IF(H877="HLINE",PR!$AB875,IF(H877="ROTECH",PR!$AC875,IF(H877="ISN",PR!$AD875,IF(H877="JAWA",PR!$AE875,IF(H877="LAYO",PR!$AF875,IF(H877="LEADWAY",PR!$AG875,IF(H877="LHV",PR!$AH875,IF(H877="MANOLA",PR!$AI875,IF(H877="MARCSON",PR!$AJ875,IF(H877="M&amp;B",PR!$AK875,IF(H877="MTRUST",PR!$AL875,IF(H877="MWORLD",PR!$AM875,IF(H877="MEGA",PR!$AN875,IF(H877="MICRONOVA",PR!$AO875,IF(H877="MFLASH",PR!$AP875,IF(H877="MORISON",PR!$AQ875,IF(H877="NEMEL",PR!$AR875,IF(H877="NHP",PR!$AS875,IF(H877="NHC",PR!$AT875,IF(H877="OLEAF",PR!$AU875,IF(H877="OCULUS",PR!$AV875,IF(H877="PACIFIC",PR!$AW875,IF(H877="PHAMATEX",PR!$AX875,IF(H877="PETHICS",PR!$AY875,IF(H877="PHILIPS",PR!$AZ875,IF(H877="RANBAXY",PR!$BA875,IF(H877="REALS",PR!$BB875,IF(H877="ROYAL",PR!$BC875,IF(H877="SAM",PR!$BD875,IF(H877="SEAGREEN",PR!$BE875,IF(H877="SKG",PR!$BF875,IF(H877="TAH",PR!$BG875,IF(H877="TAYLEK",PR!$BH875,IF(H877="TEMITA",PR!$BI875,IF(H877="THL",PR!$BJ875,IF(H877="UBASTIC",PR!$BK875,IF(H877="UNION",PR!$BL875,IF(H877="UNIQUE",PR!$BM875,IF(H877="VIXA",PR!$BN875,IF(H877="WWCV",PR!$BO875,IF(H877="ZOLON",PR!$BP875,"-"))))))))))))))))))))))))))))))))))))))))))))))))))))))))))))))))</f>
        <v>1700</v>
      </c>
      <c r="H877" s="102" t="str">
        <f>EV!M1119</f>
        <v>SANCON</v>
      </c>
      <c r="I877" s="108">
        <f>IF(J877="ALPHA",PR!$E875,IF(J877="ASSENE",PR!$F875,IF(J877="BIOFEM",PR!$G875,IF(J877="BIOMED",PR!$H875,IF(J877="CHI",PR!$I875,IF(J877="CLARION",PR!$J875,IF(J877="CODIX",PR!$K875,IF(J877="COSMADE",PR!$L875,IF(J877="SANCON",PR!$M875,IF(J877="DEVON",PR!$N875,IF(J877="DORTEMAG",PR!$O875,IF(J877="DGF",PR!$P875,IF(J877="DYNAMIC",PR!$Q875,IF(J877="EMZOR",PR!$R875,IF(J877="EUMATT",PR!$S875,IF(J877="FIDSON",PR!$T875,IF(J877="FCGLOBAL",PR!$U875,IF(J877="GENEITH",PR!$V875,IF(J877="GINOS",PR!$W875,IF(J877="GSK",PR!$X875,IF(J877="GLOBORG",PR!$Y875,IF(J877="GOODNEWS",PR!$Z875,IF(J877="GREENLIFE",PR!$AA875,IF(J877="HLINE",PR!$AB875,IF(J877="ROTECH",PR!$AC875,IF(J877="ISN",PR!$AD875,IF(J877="JAWA",PR!$AE875,IF(J877="LAYO",PR!$AF875,IF(J877="LEADWAY",PR!$AG875,IF(J877="LHV",PR!$AH875,IF(J877="MANOLA",PR!$AI875,IF(J877="MARCSON",PR!$AJ875,IF(J877="M&amp;B",PR!$AK875,IF(J877="MTRUST",PR!$AL875,IF(J877="MWORLD",PR!$AM875,IF(J877="MEGA",PR!$AN875,IF(J877="MICRONOVA",PR!$AO875,IF(J877="MFLASH",PR!$AP875,IF(J877="MORISON",PR!$AQ875,IF(J877="NEMEL",PR!$AR875,IF(J877="NHP",PR!$AS875,IF(J877="NHC",PR!$AT875,IF(J877="OLEAF",PR!$AU875,IF(J877="OCULUS",PR!$AV875,IF(J877="PACIFIC",PR!$AW875,IF(J877="PHAMATEX",PR!$AX875,IF(J877="PETHICS",PR!$AY875,IF(J877="PHILIPS",PR!$AZ875,IF(J877="RANBAXY",PR!$BA875,IF(J877="REALS",PR!$BB875,IF(J877="ROYAL",PR!$BC875,IF(J877="SAM",PR!$BD875,IF(J877="SEAGREEN",PR!$BE875,IF(J877="SKG",PR!$BF875,IF(J877="TAH",PR!$BG875,IF(J877="TAYLEK",PR!$BH875,IF(J877="TEMITA",PR!$BI875,IF(J877="THL",PR!$BJ875,IF(J877="UBASTIC",PR!$BK875,IF(J877="UNION",PR!$BL875,IF(J877="UNIQUE",PR!$BM875,IF(J877="VIXA",PR!$BN875,IF(J877="WWCV",PR!$BO875,IF(J877="ZOLON",PR!$BP875,"-"))))))))))))))))))))))))))))))))))))))))))))))))))))))))))))))))</f>
        <v>2000</v>
      </c>
      <c r="J877" s="102" t="str">
        <f>EV!N1119</f>
        <v>UBASTIC</v>
      </c>
      <c r="K877" s="433" t="s">
        <v>1463</v>
      </c>
      <c r="L877" s="183">
        <f>IF(K877&gt;0,IF(K877="ALPHA",PR!$E875,IF(K877="ASSENE",PR!$F875,IF(K877="BIOFEM",PR!$G875,IF(K877="BIOMED",PR!$H875,IF(K877="CHI",PR!$I875,IF(K877="CLARION",PR!$J875,IF(K877="CODIX",PR!$K875,IF(K877="COSMADE",PR!$L875,IF(K877="SANCON",PR!$M875,IF(K877="DEVON",PR!$N875,IF(K877="DORTEMAG",PR!$O875,IF(K877="DGF",PR!$P875,IF(K877="DYNAMIC",PR!$Q875,IF(K877="EMZOR",PR!$R875,IF(K877="EUMATT",PR!$S875,IF(K877="FIDSON",PR!$T875,IF(K877="FCGLOBAL",PR!$U875,IF(K877="GENEITH",PR!$V875,IF(K877="GINOS",PR!$W875,IF(K877="GSK",PR!$X875,IF(K877="GLOBORG",PR!$Y875,IF(K877="GOODNEWS",PR!$Z875,IF(K877="GREENLIFE",PR!$AA875,IF(K877="HLINE",PR!$AB875,IF(K877="ROTECH",PR!$AC875,IF(K877="ISN",PR!$AD875,IF(K877="JAWA",PR!$AE875,IF(K877="LAYO",PR!$AF875,IF(K877="LEADWAY",PR!$AG875,IF(K877="LHV",PR!$AH875,IF(K877="MANOLA",PR!$AI875,IF(K877="MARCSON",PR!$AJ875,IF(K877="M&amp;B",PR!$AK875,IF(K877="MTRUST",PR!$AL875,IF(K877="MWORLD",PR!$AM875,IF(K877="MEGA",PR!$AN875,IF(K877="MICRONOVA",PR!$AO875,IF(K877="MFLASH",PR!$AP875,IF(K877="MORISON",PR!$AQ875,IF(K877="NEMEL",PR!$AR875,IF(K877="NHP",PR!$AS875,IF(K877="NHC",PR!$AT875,IF(K877="OLEAF",PR!$AU875,IF(K877="OCULUS",PR!$AV875,IF(K877="PACIFIC",PR!$AW875,IF(K877="PHAMATEX",PR!$AX875,IF(K877="PETHICS",PR!$AY875,IF(K877="PHILIPS",PR!$AZ875,IF(K877="RANBAXY",PR!$BA875,IF(K877="REALS",PR!$BB875,IF(K877="ROYAL",PR!$BC875,IF(K877="SAM",PR!$BD875,IF(K877="SEAGREEN",PR!$BE875,IF(K877="SKG",PR!$BF875,IF(K877="TAH",PR!$BG875,IF(K877="TAYLEK",PR!$BH875,IF(K877="TEMITA",PR!$BI875,IF(K877="THL",PR!$BJ875,IF(K877="UBASTIC",PR!$BK875,IF(K877="UNION",PR!$BL875,IF(K877="UNIQUE",PR!$BM875,IF(K877="VIXA",PR!$BN875,IF(K877="WWCV",PR!$BO875,IF(K877="ZOLON",PR!$BP875,"-")))))))))))))))))))))))))))))))))))))))))))))))))))))))))))))))))</f>
        <v>1600</v>
      </c>
    </row>
    <row r="878" spans="1:12" ht="18.75" x14ac:dyDescent="0.3">
      <c r="A878" s="430">
        <f>PR!A876</f>
        <v>786</v>
      </c>
      <c r="B878" s="15" t="str">
        <f>PR!B876</f>
        <v>WESTER GREEN TUBE/CUP</v>
      </c>
      <c r="C878" s="113" t="str">
        <f>PR!D876</f>
        <v>1 pack of 100</v>
      </c>
      <c r="D878" s="113">
        <f>PR!C876</f>
        <v>30</v>
      </c>
      <c r="E878" s="108">
        <f>IF(F878="ALPHA",PR!$E876,IF(F878="ASSENE",PR!$F876,IF(F878="BIOFEM",PR!$G876,IF(F878="BIOMED",PR!$H876,IF(F878="CHI",PR!$I876,IF(F878="CLARION",PR!$J876,IF(F878="CODIX",PR!$K876,IF(F878="COSMADE",PR!$L876,IF(F878="SANCON",PR!$M876,IF(F878="DEVON",PR!$N876,IF(F878="DORTEMAG",PR!$O876,IF(F878="DGF",PR!$P876,IF(F878="DYNAMIC",PR!$Q876,IF(F878="EMZOR",PR!$R876,IF(F878="EUMATT",PR!$S876,IF(F878="FIDSON",PR!$T876,IF(F878="FCGLOBAL",PR!$U876,IF(F878="GENEITH",PR!$V876,IF(F878="GINOS",PR!$W876,IF(F878="GSK",PR!$X876,IF(F878="GLOBORG",PR!$Y876,IF(F878="GOODNEWS",PR!$Z876,IF(F878="GREENLIFE",PR!$AA876,IF(F878="HLINE",PR!$AB876,IF(F878="ROTECH",PR!$AC876,IF(F878="ISN",PR!$AD876,IF(F878="JAWA",PR!$AE876,IF(F878="LAYO",PR!$AF876,IF(F878="LEADWAY",PR!$AG876,IF(F878="LHV",PR!$AH876,IF(F878="MANOLA",PR!$AI876,IF(F878="MARCSON",PR!$AJ876,IF(F878="M&amp;B",PR!$AK876,IF(F878="MTRUST",PR!$AL876,IF(F878="MWORLD",PR!$AM876,IF(F878="MEGA",PR!$AN876,IF(F878="MICRONOVA",PR!$AO876,IF(F878="MFLASH",PR!$AP876,IF(F878="MORISON",PR!$AQ876,IF(F878="NEMEL",PR!$AR876,IF(F878="NHP",PR!$AS876,IF(F878="NHC",PR!$AT876,IF(F878="OLEAF",PR!$AU876,IF(F878="OCULUS",PR!$AV876,IF(F878="PACIFIC",PR!$AW876,IF(F878="PHAMATEX",PR!$AX876,IF(F878="PETHICS",PR!$AY876,IF(F878="PHILIPS",PR!$AZ876,IF(F878="RANBAXY",PR!$BA876,IF(F878="REALS",PR!$BB876,IF(F878="ROYAL",PR!$BC876,IF(F878="SAM",PR!$BD876,IF(F878="SEAGREEN",PR!$BE876,IF(F878="SKG",PR!$BF876,IF(F878="TAH",PR!$BG876,IF(F878="TAYLEK",PR!$BH876,IF(F878="TEMITA",PR!$BI876,IF(F878="THL",PR!$BJ876,IF(F878="UBASTIC",PR!$BK876,IF(F878="UNION",PR!$BL876,IF(F878="UNIQUE",PR!$BM876,IF(F878="VIXA",PR!$BN876,IF(F878="WWCV",PR!$BO876,IF(F878="ZOLON",PR!$BP876,"-"))))))))))))))))))))))))))))))))))))))))))))))))))))))))))))))))</f>
        <v>10000</v>
      </c>
      <c r="F878" s="102" t="str">
        <f>EV!L1120</f>
        <v>TEMITA</v>
      </c>
      <c r="G878" s="108">
        <f>IF(H878="ALPHA",PR!$E876,IF(H878="ASSENE",PR!$F876,IF(H878="BIOFEM",PR!$G876,IF(H878="BIOMED",PR!$H876,IF(H878="CHI",PR!$I876,IF(H878="CLARION",PR!$J876,IF(H878="CODIX",PR!$K876,IF(H878="COSMADE",PR!$L876,IF(H878="SANCON",PR!$M876,IF(H878="DEVON",PR!$N876,IF(H878="DORTEMAG",PR!$O876,IF(H878="DGF",PR!$P876,IF(H878="DYNAMIC",PR!$Q876,IF(H878="EMZOR",PR!$R876,IF(H878="EUMATT",PR!$S876,IF(H878="FIDSON",PR!$T876,IF(H878="FCGLOBAL",PR!$U876,IF(H878="GENEITH",PR!$V876,IF(H878="GINOS",PR!$W876,IF(H878="GSK",PR!$X876,IF(H878="GLOBORG",PR!$Y876,IF(H878="GOODNEWS",PR!$Z876,IF(H878="GREENLIFE",PR!$AA876,IF(H878="HLINE",PR!$AB876,IF(H878="ROTECH",PR!$AC876,IF(H878="ISN",PR!$AD876,IF(H878="JAWA",PR!$AE876,IF(H878="LAYO",PR!$AF876,IF(H878="LEADWAY",PR!$AG876,IF(H878="LHV",PR!$AH876,IF(H878="MANOLA",PR!$AI876,IF(H878="MARCSON",PR!$AJ876,IF(H878="M&amp;B",PR!$AK876,IF(H878="MTRUST",PR!$AL876,IF(H878="MWORLD",PR!$AM876,IF(H878="MEGA",PR!$AN876,IF(H878="MICRONOVA",PR!$AO876,IF(H878="MFLASH",PR!$AP876,IF(H878="MORISON",PR!$AQ876,IF(H878="NEMEL",PR!$AR876,IF(H878="NHP",PR!$AS876,IF(H878="NHC",PR!$AT876,IF(H878="OLEAF",PR!$AU876,IF(H878="OCULUS",PR!$AV876,IF(H878="PACIFIC",PR!$AW876,IF(H878="PHAMATEX",PR!$AX876,IF(H878="PETHICS",PR!$AY876,IF(H878="PHILIPS",PR!$AZ876,IF(H878="RANBAXY",PR!$BA876,IF(H878="REALS",PR!$BB876,IF(H878="ROYAL",PR!$BC876,IF(H878="SAM",PR!$BD876,IF(H878="SEAGREEN",PR!$BE876,IF(H878="SKG",PR!$BF876,IF(H878="TAH",PR!$BG876,IF(H878="TAYLEK",PR!$BH876,IF(H878="TEMITA",PR!$BI876,IF(H878="THL",PR!$BJ876,IF(H878="UBASTIC",PR!$BK876,IF(H878="UNION",PR!$BL876,IF(H878="UNIQUE",PR!$BM876,IF(H878="VIXA",PR!$BN876,IF(H878="WWCV",PR!$BO876,IF(H878="ZOLON",PR!$BP876,"-"))))))))))))))))))))))))))))))))))))))))))))))))))))))))))))))))</f>
        <v>10170</v>
      </c>
      <c r="H878" s="102" t="str">
        <f>EV!M1120</f>
        <v>ROTECH</v>
      </c>
      <c r="I878" s="108">
        <f>IF(J878="ALPHA",PR!$E876,IF(J878="ASSENE",PR!$F876,IF(J878="BIOFEM",PR!$G876,IF(J878="BIOMED",PR!$H876,IF(J878="CHI",PR!$I876,IF(J878="CLARION",PR!$J876,IF(J878="CODIX",PR!$K876,IF(J878="COSMADE",PR!$L876,IF(J878="SANCON",PR!$M876,IF(J878="DEVON",PR!$N876,IF(J878="DORTEMAG",PR!$O876,IF(J878="DGF",PR!$P876,IF(J878="DYNAMIC",PR!$Q876,IF(J878="EMZOR",PR!$R876,IF(J878="EUMATT",PR!$S876,IF(J878="FIDSON",PR!$T876,IF(J878="FCGLOBAL",PR!$U876,IF(J878="GENEITH",PR!$V876,IF(J878="GINOS",PR!$W876,IF(J878="GSK",PR!$X876,IF(J878="GLOBORG",PR!$Y876,IF(J878="GOODNEWS",PR!$Z876,IF(J878="GREENLIFE",PR!$AA876,IF(J878="HLINE",PR!$AB876,IF(J878="ROTECH",PR!$AC876,IF(J878="ISN",PR!$AD876,IF(J878="JAWA",PR!$AE876,IF(J878="LAYO",PR!$AF876,IF(J878="LEADWAY",PR!$AG876,IF(J878="LHV",PR!$AH876,IF(J878="MANOLA",PR!$AI876,IF(J878="MARCSON",PR!$AJ876,IF(J878="M&amp;B",PR!$AK876,IF(J878="MTRUST",PR!$AL876,IF(J878="MWORLD",PR!$AM876,IF(J878="MEGA",PR!$AN876,IF(J878="MICRONOVA",PR!$AO876,IF(J878="MFLASH",PR!$AP876,IF(J878="MORISON",PR!$AQ876,IF(J878="NEMEL",PR!$AR876,IF(J878="NHP",PR!$AS876,IF(J878="NHC",PR!$AT876,IF(J878="OLEAF",PR!$AU876,IF(J878="OCULUS",PR!$AV876,IF(J878="PACIFIC",PR!$AW876,IF(J878="PHAMATEX",PR!$AX876,IF(J878="PETHICS",PR!$AY876,IF(J878="PHILIPS",PR!$AZ876,IF(J878="RANBAXY",PR!$BA876,IF(J878="REALS",PR!$BB876,IF(J878="ROYAL",PR!$BC876,IF(J878="SAM",PR!$BD876,IF(J878="SEAGREEN",PR!$BE876,IF(J878="SKG",PR!$BF876,IF(J878="TAH",PR!$BG876,IF(J878="TAYLEK",PR!$BH876,IF(J878="TEMITA",PR!$BI876,IF(J878="THL",PR!$BJ876,IF(J878="UBASTIC",PR!$BK876,IF(J878="UNION",PR!$BL876,IF(J878="UNIQUE",PR!$BM876,IF(J878="VIXA",PR!$BN876,IF(J878="WWCV",PR!$BO876,IF(J878="ZOLON",PR!$BP876,"-"))))))))))))))))))))))))))))))))))))))))))))))))))))))))))))))))</f>
        <v>10500</v>
      </c>
      <c r="J878" s="102" t="str">
        <f>EV!N1120</f>
        <v>SANCON</v>
      </c>
      <c r="K878" s="433" t="s">
        <v>1463</v>
      </c>
      <c r="L878" s="183">
        <f>IF(K878&gt;0,IF(K878="ALPHA",PR!$E876,IF(K878="ASSENE",PR!$F876,IF(K878="BIOFEM",PR!$G876,IF(K878="BIOMED",PR!$H876,IF(K878="CHI",PR!$I876,IF(K878="CLARION",PR!$J876,IF(K878="CODIX",PR!$K876,IF(K878="COSMADE",PR!$L876,IF(K878="SANCON",PR!$M876,IF(K878="DEVON",PR!$N876,IF(K878="DORTEMAG",PR!$O876,IF(K878="DGF",PR!$P876,IF(K878="DYNAMIC",PR!$Q876,IF(K878="EMZOR",PR!$R876,IF(K878="EUMATT",PR!$S876,IF(K878="FIDSON",PR!$T876,IF(K878="FCGLOBAL",PR!$U876,IF(K878="GENEITH",PR!$V876,IF(K878="GINOS",PR!$W876,IF(K878="GSK",PR!$X876,IF(K878="GLOBORG",PR!$Y876,IF(K878="GOODNEWS",PR!$Z876,IF(K878="GREENLIFE",PR!$AA876,IF(K878="HLINE",PR!$AB876,IF(K878="ROTECH",PR!$AC876,IF(K878="ISN",PR!$AD876,IF(K878="JAWA",PR!$AE876,IF(K878="LAYO",PR!$AF876,IF(K878="LEADWAY",PR!$AG876,IF(K878="LHV",PR!$AH876,IF(K878="MANOLA",PR!$AI876,IF(K878="MARCSON",PR!$AJ876,IF(K878="M&amp;B",PR!$AK876,IF(K878="MTRUST",PR!$AL876,IF(K878="MWORLD",PR!$AM876,IF(K878="MEGA",PR!$AN876,IF(K878="MICRONOVA",PR!$AO876,IF(K878="MFLASH",PR!$AP876,IF(K878="MORISON",PR!$AQ876,IF(K878="NEMEL",PR!$AR876,IF(K878="NHP",PR!$AS876,IF(K878="NHC",PR!$AT876,IF(K878="OLEAF",PR!$AU876,IF(K878="OCULUS",PR!$AV876,IF(K878="PACIFIC",PR!$AW876,IF(K878="PHAMATEX",PR!$AX876,IF(K878="PETHICS",PR!$AY876,IF(K878="PHILIPS",PR!$AZ876,IF(K878="RANBAXY",PR!$BA876,IF(K878="REALS",PR!$BB876,IF(K878="ROYAL",PR!$BC876,IF(K878="SAM",PR!$BD876,IF(K878="SEAGREEN",PR!$BE876,IF(K878="SKG",PR!$BF876,IF(K878="TAH",PR!$BG876,IF(K878="TAYLEK",PR!$BH876,IF(K878="TEMITA",PR!$BI876,IF(K878="THL",PR!$BJ876,IF(K878="UBASTIC",PR!$BK876,IF(K878="UNION",PR!$BL876,IF(K878="UNIQUE",PR!$BM876,IF(K878="VIXA",PR!$BN876,IF(K878="WWCV",PR!$BO876,IF(K878="ZOLON",PR!$BP876,"-")))))))))))))))))))))))))))))))))))))))))))))))))))))))))))))))))</f>
        <v>10000</v>
      </c>
    </row>
    <row r="879" spans="1:12" ht="18.75" x14ac:dyDescent="0.3">
      <c r="A879" s="430">
        <f>PR!A877</f>
        <v>787</v>
      </c>
      <c r="B879" s="15" t="str">
        <f>PR!B877</f>
        <v>GLASS SLIDES</v>
      </c>
      <c r="C879" s="113" t="str">
        <f>PR!D877</f>
        <v>1 pack of 50</v>
      </c>
      <c r="D879" s="113">
        <f>PR!C877</f>
        <v>12</v>
      </c>
      <c r="E879" s="108">
        <f>IF(F879="ALPHA",PR!$E877,IF(F879="ASSENE",PR!$F877,IF(F879="BIOFEM",PR!$G877,IF(F879="BIOMED",PR!$H877,IF(F879="CHI",PR!$I877,IF(F879="CLARION",PR!$J877,IF(F879="CODIX",PR!$K877,IF(F879="COSMADE",PR!$L877,IF(F879="SANCON",PR!$M877,IF(F879="DEVON",PR!$N877,IF(F879="DORTEMAG",PR!$O877,IF(F879="DGF",PR!$P877,IF(F879="DYNAMIC",PR!$Q877,IF(F879="EMZOR",PR!$R877,IF(F879="EUMATT",PR!$S877,IF(F879="FIDSON",PR!$T877,IF(F879="FCGLOBAL",PR!$U877,IF(F879="GENEITH",PR!$V877,IF(F879="GINOS",PR!$W877,IF(F879="GSK",PR!$X877,IF(F879="GLOBORG",PR!$Y877,IF(F879="GOODNEWS",PR!$Z877,IF(F879="GREENLIFE",PR!$AA877,IF(F879="HLINE",PR!$AB877,IF(F879="ROTECH",PR!$AC877,IF(F879="ISN",PR!$AD877,IF(F879="JAWA",PR!$AE877,IF(F879="LAYO",PR!$AF877,IF(F879="LEADWAY",PR!$AG877,IF(F879="LHV",PR!$AH877,IF(F879="MANOLA",PR!$AI877,IF(F879="MARCSON",PR!$AJ877,IF(F879="M&amp;B",PR!$AK877,IF(F879="MTRUST",PR!$AL877,IF(F879="MWORLD",PR!$AM877,IF(F879="MEGA",PR!$AN877,IF(F879="MICRONOVA",PR!$AO877,IF(F879="MFLASH",PR!$AP877,IF(F879="MORISON",PR!$AQ877,IF(F879="NEMEL",PR!$AR877,IF(F879="NHP",PR!$AS877,IF(F879="NHC",PR!$AT877,IF(F879="OLEAF",PR!$AU877,IF(F879="OCULUS",PR!$AV877,IF(F879="PACIFIC",PR!$AW877,IF(F879="PHAMATEX",PR!$AX877,IF(F879="PETHICS",PR!$AY877,IF(F879="PHILIPS",PR!$AZ877,IF(F879="RANBAXY",PR!$BA877,IF(F879="REALS",PR!$BB877,IF(F879="ROYAL",PR!$BC877,IF(F879="SAM",PR!$BD877,IF(F879="SEAGREEN",PR!$BE877,IF(F879="SKG",PR!$BF877,IF(F879="TAH",PR!$BG877,IF(F879="TAYLEK",PR!$BH877,IF(F879="TEMITA",PR!$BI877,IF(F879="THL",PR!$BJ877,IF(F879="UBASTIC",PR!$BK877,IF(F879="UNION",PR!$BL877,IF(F879="UNIQUE",PR!$BM877,IF(F879="VIXA",PR!$BN877,IF(F879="WWCV",PR!$BO877,IF(F879="ZOLON",PR!$BP877,"-"))))))))))))))))))))))))))))))))))))))))))))))))))))))))))))))))</f>
        <v>14800</v>
      </c>
      <c r="F879" s="102" t="str">
        <f>EV!L1121</f>
        <v>TEMITA</v>
      </c>
      <c r="G879" s="108">
        <f>IF(H879="ALPHA",PR!$E877,IF(H879="ASSENE",PR!$F877,IF(H879="BIOFEM",PR!$G877,IF(H879="BIOMED",PR!$H877,IF(H879="CHI",PR!$I877,IF(H879="CLARION",PR!$J877,IF(H879="CODIX",PR!$K877,IF(H879="COSMADE",PR!$L877,IF(H879="SANCON",PR!$M877,IF(H879="DEVON",PR!$N877,IF(H879="DORTEMAG",PR!$O877,IF(H879="DGF",PR!$P877,IF(H879="DYNAMIC",PR!$Q877,IF(H879="EMZOR",PR!$R877,IF(H879="EUMATT",PR!$S877,IF(H879="FIDSON",PR!$T877,IF(H879="FCGLOBAL",PR!$U877,IF(H879="GENEITH",PR!$V877,IF(H879="GINOS",PR!$W877,IF(H879="GSK",PR!$X877,IF(H879="GLOBORG",PR!$Y877,IF(H879="GOODNEWS",PR!$Z877,IF(H879="GREENLIFE",PR!$AA877,IF(H879="HLINE",PR!$AB877,IF(H879="ROTECH",PR!$AC877,IF(H879="ISN",PR!$AD877,IF(H879="JAWA",PR!$AE877,IF(H879="LAYO",PR!$AF877,IF(H879="LEADWAY",PR!$AG877,IF(H879="LHV",PR!$AH877,IF(H879="MANOLA",PR!$AI877,IF(H879="MARCSON",PR!$AJ877,IF(H879="M&amp;B",PR!$AK877,IF(H879="MTRUST",PR!$AL877,IF(H879="MWORLD",PR!$AM877,IF(H879="MEGA",PR!$AN877,IF(H879="MICRONOVA",PR!$AO877,IF(H879="MFLASH",PR!$AP877,IF(H879="MORISON",PR!$AQ877,IF(H879="NEMEL",PR!$AR877,IF(H879="NHP",PR!$AS877,IF(H879="NHC",PR!$AT877,IF(H879="OLEAF",PR!$AU877,IF(H879="OCULUS",PR!$AV877,IF(H879="PACIFIC",PR!$AW877,IF(H879="PHAMATEX",PR!$AX877,IF(H879="PETHICS",PR!$AY877,IF(H879="PHILIPS",PR!$AZ877,IF(H879="RANBAXY",PR!$BA877,IF(H879="REALS",PR!$BB877,IF(H879="ROYAL",PR!$BC877,IF(H879="SAM",PR!$BD877,IF(H879="SEAGREEN",PR!$BE877,IF(H879="SKG",PR!$BF877,IF(H879="TAH",PR!$BG877,IF(H879="TAYLEK",PR!$BH877,IF(H879="TEMITA",PR!$BI877,IF(H879="THL",PR!$BJ877,IF(H879="UBASTIC",PR!$BK877,IF(H879="UNION",PR!$BL877,IF(H879="UNIQUE",PR!$BM877,IF(H879="VIXA",PR!$BN877,IF(H879="WWCV",PR!$BO877,IF(H879="ZOLON",PR!$BP877,"-"))))))))))))))))))))))))))))))))))))))))))))))))))))))))))))))))</f>
        <v>15200</v>
      </c>
      <c r="H879" s="102" t="str">
        <f>EV!M1121</f>
        <v>SANCON</v>
      </c>
      <c r="I879" s="108">
        <f>IF(J879="ALPHA",PR!$E877,IF(J879="ASSENE",PR!$F877,IF(J879="BIOFEM",PR!$G877,IF(J879="BIOMED",PR!$H877,IF(J879="CHI",PR!$I877,IF(J879="CLARION",PR!$J877,IF(J879="CODIX",PR!$K877,IF(J879="COSMADE",PR!$L877,IF(J879="SANCON",PR!$M877,IF(J879="DEVON",PR!$N877,IF(J879="DORTEMAG",PR!$O877,IF(J879="DGF",PR!$P877,IF(J879="DYNAMIC",PR!$Q877,IF(J879="EMZOR",PR!$R877,IF(J879="EUMATT",PR!$S877,IF(J879="FIDSON",PR!$T877,IF(J879="FCGLOBAL",PR!$U877,IF(J879="GENEITH",PR!$V877,IF(J879="GINOS",PR!$W877,IF(J879="GSK",PR!$X877,IF(J879="GLOBORG",PR!$Y877,IF(J879="GOODNEWS",PR!$Z877,IF(J879="GREENLIFE",PR!$AA877,IF(J879="HLINE",PR!$AB877,IF(J879="ROTECH",PR!$AC877,IF(J879="ISN",PR!$AD877,IF(J879="JAWA",PR!$AE877,IF(J879="LAYO",PR!$AF877,IF(J879="LEADWAY",PR!$AG877,IF(J879="LHV",PR!$AH877,IF(J879="MANOLA",PR!$AI877,IF(J879="MARCSON",PR!$AJ877,IF(J879="M&amp;B",PR!$AK877,IF(J879="MTRUST",PR!$AL877,IF(J879="MWORLD",PR!$AM877,IF(J879="MEGA",PR!$AN877,IF(J879="MICRONOVA",PR!$AO877,IF(J879="MFLASH",PR!$AP877,IF(J879="MORISON",PR!$AQ877,IF(J879="NEMEL",PR!$AR877,IF(J879="NHP",PR!$AS877,IF(J879="NHC",PR!$AT877,IF(J879="OLEAF",PR!$AU877,IF(J879="OCULUS",PR!$AV877,IF(J879="PACIFIC",PR!$AW877,IF(J879="PHAMATEX",PR!$AX877,IF(J879="PETHICS",PR!$AY877,IF(J879="PHILIPS",PR!$AZ877,IF(J879="RANBAXY",PR!$BA877,IF(J879="REALS",PR!$BB877,IF(J879="ROYAL",PR!$BC877,IF(J879="SAM",PR!$BD877,IF(J879="SEAGREEN",PR!$BE877,IF(J879="SKG",PR!$BF877,IF(J879="TAH",PR!$BG877,IF(J879="TAYLEK",PR!$BH877,IF(J879="TEMITA",PR!$BI877,IF(J879="THL",PR!$BJ877,IF(J879="UBASTIC",PR!$BK877,IF(J879="UNION",PR!$BL877,IF(J879="UNIQUE",PR!$BM877,IF(J879="VIXA",PR!$BN877,IF(J879="WWCV",PR!$BO877,IF(J879="ZOLON",PR!$BP877,"-"))))))))))))))))))))))))))))))))))))))))))))))))))))))))))))))))</f>
        <v>18000</v>
      </c>
      <c r="J879" s="102" t="str">
        <f>EV!N1121</f>
        <v>COSMADE</v>
      </c>
      <c r="K879" s="433" t="s">
        <v>1463</v>
      </c>
      <c r="L879" s="183">
        <f>IF(K879&gt;0,IF(K879="ALPHA",PR!$E877,IF(K879="ASSENE",PR!$F877,IF(K879="BIOFEM",PR!$G877,IF(K879="BIOMED",PR!$H877,IF(K879="CHI",PR!$I877,IF(K879="CLARION",PR!$J877,IF(K879="CODIX",PR!$K877,IF(K879="COSMADE",PR!$L877,IF(K879="SANCON",PR!$M877,IF(K879="DEVON",PR!$N877,IF(K879="DORTEMAG",PR!$O877,IF(K879="DGF",PR!$P877,IF(K879="DYNAMIC",PR!$Q877,IF(K879="EMZOR",PR!$R877,IF(K879="EUMATT",PR!$S877,IF(K879="FIDSON",PR!$T877,IF(K879="FCGLOBAL",PR!$U877,IF(K879="GENEITH",PR!$V877,IF(K879="GINOS",PR!$W877,IF(K879="GSK",PR!$X877,IF(K879="GLOBORG",PR!$Y877,IF(K879="GOODNEWS",PR!$Z877,IF(K879="GREENLIFE",PR!$AA877,IF(K879="HLINE",PR!$AB877,IF(K879="ROTECH",PR!$AC877,IF(K879="ISN",PR!$AD877,IF(K879="JAWA",PR!$AE877,IF(K879="LAYO",PR!$AF877,IF(K879="LEADWAY",PR!$AG877,IF(K879="LHV",PR!$AH877,IF(K879="MANOLA",PR!$AI877,IF(K879="MARCSON",PR!$AJ877,IF(K879="M&amp;B",PR!$AK877,IF(K879="MTRUST",PR!$AL877,IF(K879="MWORLD",PR!$AM877,IF(K879="MEGA",PR!$AN877,IF(K879="MICRONOVA",PR!$AO877,IF(K879="MFLASH",PR!$AP877,IF(K879="MORISON",PR!$AQ877,IF(K879="NEMEL",PR!$AR877,IF(K879="NHP",PR!$AS877,IF(K879="NHC",PR!$AT877,IF(K879="OLEAF",PR!$AU877,IF(K879="OCULUS",PR!$AV877,IF(K879="PACIFIC",PR!$AW877,IF(K879="PHAMATEX",PR!$AX877,IF(K879="PETHICS",PR!$AY877,IF(K879="PHILIPS",PR!$AZ877,IF(K879="RANBAXY",PR!$BA877,IF(K879="REALS",PR!$BB877,IF(K879="ROYAL",PR!$BC877,IF(K879="SAM",PR!$BD877,IF(K879="SEAGREEN",PR!$BE877,IF(K879="SKG",PR!$BF877,IF(K879="TAH",PR!$BG877,IF(K879="TAYLEK",PR!$BH877,IF(K879="TEMITA",PR!$BI877,IF(K879="THL",PR!$BJ877,IF(K879="UBASTIC",PR!$BK877,IF(K879="UNION",PR!$BL877,IF(K879="UNIQUE",PR!$BM877,IF(K879="VIXA",PR!$BN877,IF(K879="WWCV",PR!$BO877,IF(K879="ZOLON",PR!$BP877,"-")))))))))))))))))))))))))))))))))))))))))))))))))))))))))))))))))</f>
        <v>14800</v>
      </c>
    </row>
    <row r="880" spans="1:12" ht="18.75" x14ac:dyDescent="0.3">
      <c r="A880" s="430">
        <f>PR!A878</f>
        <v>788</v>
      </c>
      <c r="B880" s="15" t="str">
        <f>PR!B878</f>
        <v>CELLULOSE ACETATE PAPER - TITIAN</v>
      </c>
      <c r="C880" s="113">
        <f>PR!D878</f>
        <v>0</v>
      </c>
      <c r="D880" s="113">
        <f>PR!C878</f>
        <v>25</v>
      </c>
      <c r="E880" s="108">
        <f>IF(F880="ALPHA",PR!$E878,IF(F880="ASSENE",PR!$F878,IF(F880="BIOFEM",PR!$G878,IF(F880="BIOMED",PR!$H878,IF(F880="CHI",PR!$I878,IF(F880="CLARION",PR!$J878,IF(F880="CODIX",PR!$K878,IF(F880="COSMADE",PR!$L878,IF(F880="SANCON",PR!$M878,IF(F880="DEVON",PR!$N878,IF(F880="DORTEMAG",PR!$O878,IF(F880="DGF",PR!$P878,IF(F880="DYNAMIC",PR!$Q878,IF(F880="EMZOR",PR!$R878,IF(F880="EUMATT",PR!$S878,IF(F880="FIDSON",PR!$T878,IF(F880="FCGLOBAL",PR!$U878,IF(F880="GENEITH",PR!$V878,IF(F880="GINOS",PR!$W878,IF(F880="GSK",PR!$X878,IF(F880="GLOBORG",PR!$Y878,IF(F880="GOODNEWS",PR!$Z878,IF(F880="GREENLIFE",PR!$AA878,IF(F880="HLINE",PR!$AB878,IF(F880="ROTECH",PR!$AC878,IF(F880="ISN",PR!$AD878,IF(F880="JAWA",PR!$AE878,IF(F880="LAYO",PR!$AF878,IF(F880="LEADWAY",PR!$AG878,IF(F880="LHV",PR!$AH878,IF(F880="MANOLA",PR!$AI878,IF(F880="MARCSON",PR!$AJ878,IF(F880="M&amp;B",PR!$AK878,IF(F880="MTRUST",PR!$AL878,IF(F880="MWORLD",PR!$AM878,IF(F880="MEGA",PR!$AN878,IF(F880="MICRONOVA",PR!$AO878,IF(F880="MFLASH",PR!$AP878,IF(F880="MORISON",PR!$AQ878,IF(F880="NEMEL",PR!$AR878,IF(F880="NHP",PR!$AS878,IF(F880="NHC",PR!$AT878,IF(F880="OLEAF",PR!$AU878,IF(F880="OCULUS",PR!$AV878,IF(F880="PACIFIC",PR!$AW878,IF(F880="PHAMATEX",PR!$AX878,IF(F880="PETHICS",PR!$AY878,IF(F880="PHILIPS",PR!$AZ878,IF(F880="RANBAXY",PR!$BA878,IF(F880="REALS",PR!$BB878,IF(F880="ROYAL",PR!$BC878,IF(F880="SAM",PR!$BD878,IF(F880="SEAGREEN",PR!$BE878,IF(F880="SKG",PR!$BF878,IF(F880="TAH",PR!$BG878,IF(F880="TAYLEK",PR!$BH878,IF(F880="TEMITA",PR!$BI878,IF(F880="THL",PR!$BJ878,IF(F880="UBASTIC",PR!$BK878,IF(F880="UNION",PR!$BL878,IF(F880="UNIQUE",PR!$BM878,IF(F880="VIXA",PR!$BN878,IF(F880="WWCV",PR!$BO878,IF(F880="ZOLON",PR!$BP878,"-"))))))))))))))))))))))))))))))))))))))))))))))))))))))))))))))))</f>
        <v>25625</v>
      </c>
      <c r="F880" s="102" t="str">
        <f>EV!L1122</f>
        <v>DYNAMIC</v>
      </c>
      <c r="G880" s="108">
        <f>IF(H880="ALPHA",PR!$E878,IF(H880="ASSENE",PR!$F878,IF(H880="BIOFEM",PR!$G878,IF(H880="BIOMED",PR!$H878,IF(H880="CHI",PR!$I878,IF(H880="CLARION",PR!$J878,IF(H880="CODIX",PR!$K878,IF(H880="COSMADE",PR!$L878,IF(H880="SANCON",PR!$M878,IF(H880="DEVON",PR!$N878,IF(H880="DORTEMAG",PR!$O878,IF(H880="DGF",PR!$P878,IF(H880="DYNAMIC",PR!$Q878,IF(H880="EMZOR",PR!$R878,IF(H880="EUMATT",PR!$S878,IF(H880="FIDSON",PR!$T878,IF(H880="FCGLOBAL",PR!$U878,IF(H880="GENEITH",PR!$V878,IF(H880="GINOS",PR!$W878,IF(H880="GSK",PR!$X878,IF(H880="GLOBORG",PR!$Y878,IF(H880="GOODNEWS",PR!$Z878,IF(H880="GREENLIFE",PR!$AA878,IF(H880="HLINE",PR!$AB878,IF(H880="ROTECH",PR!$AC878,IF(H880="ISN",PR!$AD878,IF(H880="JAWA",PR!$AE878,IF(H880="LAYO",PR!$AF878,IF(H880="LEADWAY",PR!$AG878,IF(H880="LHV",PR!$AH878,IF(H880="MANOLA",PR!$AI878,IF(H880="MARCSON",PR!$AJ878,IF(H880="M&amp;B",PR!$AK878,IF(H880="MTRUST",PR!$AL878,IF(H880="MWORLD",PR!$AM878,IF(H880="MEGA",PR!$AN878,IF(H880="MICRONOVA",PR!$AO878,IF(H880="MFLASH",PR!$AP878,IF(H880="MORISON",PR!$AQ878,IF(H880="NEMEL",PR!$AR878,IF(H880="NHP",PR!$AS878,IF(H880="NHC",PR!$AT878,IF(H880="OLEAF",PR!$AU878,IF(H880="OCULUS",PR!$AV878,IF(H880="PACIFIC",PR!$AW878,IF(H880="PHAMATEX",PR!$AX878,IF(H880="PETHICS",PR!$AY878,IF(H880="PHILIPS",PR!$AZ878,IF(H880="RANBAXY",PR!$BA878,IF(H880="REALS",PR!$BB878,IF(H880="ROYAL",PR!$BC878,IF(H880="SAM",PR!$BD878,IF(H880="SEAGREEN",PR!$BE878,IF(H880="SKG",PR!$BF878,IF(H880="TAH",PR!$BG878,IF(H880="TAYLEK",PR!$BH878,IF(H880="TEMITA",PR!$BI878,IF(H880="THL",PR!$BJ878,IF(H880="UBASTIC",PR!$BK878,IF(H880="UNION",PR!$BL878,IF(H880="UNIQUE",PR!$BM878,IF(H880="VIXA",PR!$BN878,IF(H880="WWCV",PR!$BO878,IF(H880="ZOLON",PR!$BP878,"-"))))))))))))))))))))))))))))))))))))))))))))))))))))))))))))))))</f>
        <v>30000</v>
      </c>
      <c r="H880" s="102" t="str">
        <f>EV!M1122</f>
        <v>UBASTIC</v>
      </c>
      <c r="I880" s="108">
        <f>IF(J880="ALPHA",PR!$E878,IF(J880="ASSENE",PR!$F878,IF(J880="BIOFEM",PR!$G878,IF(J880="BIOMED",PR!$H878,IF(J880="CHI",PR!$I878,IF(J880="CLARION",PR!$J878,IF(J880="CODIX",PR!$K878,IF(J880="COSMADE",PR!$L878,IF(J880="SANCON",PR!$M878,IF(J880="DEVON",PR!$N878,IF(J880="DORTEMAG",PR!$O878,IF(J880="DGF",PR!$P878,IF(J880="DYNAMIC",PR!$Q878,IF(J880="EMZOR",PR!$R878,IF(J880="EUMATT",PR!$S878,IF(J880="FIDSON",PR!$T878,IF(J880="FCGLOBAL",PR!$U878,IF(J880="GENEITH",PR!$V878,IF(J880="GINOS",PR!$W878,IF(J880="GSK",PR!$X878,IF(J880="GLOBORG",PR!$Y878,IF(J880="GOODNEWS",PR!$Z878,IF(J880="GREENLIFE",PR!$AA878,IF(J880="HLINE",PR!$AB878,IF(J880="ROTECH",PR!$AC878,IF(J880="ISN",PR!$AD878,IF(J880="JAWA",PR!$AE878,IF(J880="LAYO",PR!$AF878,IF(J880="LEADWAY",PR!$AG878,IF(J880="LHV",PR!$AH878,IF(J880="MANOLA",PR!$AI878,IF(J880="MARCSON",PR!$AJ878,IF(J880="M&amp;B",PR!$AK878,IF(J880="MTRUST",PR!$AL878,IF(J880="MWORLD",PR!$AM878,IF(J880="MEGA",PR!$AN878,IF(J880="MICRONOVA",PR!$AO878,IF(J880="MFLASH",PR!$AP878,IF(J880="MORISON",PR!$AQ878,IF(J880="NEMEL",PR!$AR878,IF(J880="NHP",PR!$AS878,IF(J880="NHC",PR!$AT878,IF(J880="OLEAF",PR!$AU878,IF(J880="OCULUS",PR!$AV878,IF(J880="PACIFIC",PR!$AW878,IF(J880="PHAMATEX",PR!$AX878,IF(J880="PETHICS",PR!$AY878,IF(J880="PHILIPS",PR!$AZ878,IF(J880="RANBAXY",PR!$BA878,IF(J880="REALS",PR!$BB878,IF(J880="ROYAL",PR!$BC878,IF(J880="SAM",PR!$BD878,IF(J880="SEAGREEN",PR!$BE878,IF(J880="SKG",PR!$BF878,IF(J880="TAH",PR!$BG878,IF(J880="TAYLEK",PR!$BH878,IF(J880="TEMITA",PR!$BI878,IF(J880="THL",PR!$BJ878,IF(J880="UBASTIC",PR!$BK878,IF(J880="UNION",PR!$BL878,IF(J880="UNIQUE",PR!$BM878,IF(J880="VIXA",PR!$BN878,IF(J880="WWCV",PR!$BO878,IF(J880="ZOLON",PR!$BP878,"-"))))))))))))))))))))))))))))))))))))))))))))))))))))))))))))))))</f>
        <v>32500</v>
      </c>
      <c r="J880" s="102" t="str">
        <f>EV!N1122</f>
        <v>LAYO</v>
      </c>
      <c r="K880" s="433" t="s">
        <v>626</v>
      </c>
      <c r="L880" s="183">
        <f>IF(K880&gt;0,IF(K880="ALPHA",PR!$E878,IF(K880="ASSENE",PR!$F878,IF(K880="BIOFEM",PR!$G878,IF(K880="BIOMED",PR!$H878,IF(K880="CHI",PR!$I878,IF(K880="CLARION",PR!$J878,IF(K880="CODIX",PR!$K878,IF(K880="COSMADE",PR!$L878,IF(K880="SANCON",PR!$M878,IF(K880="DEVON",PR!$N878,IF(K880="DORTEMAG",PR!$O878,IF(K880="DGF",PR!$P878,IF(K880="DYNAMIC",PR!$Q878,IF(K880="EMZOR",PR!$R878,IF(K880="EUMATT",PR!$S878,IF(K880="FIDSON",PR!$T878,IF(K880="FCGLOBAL",PR!$U878,IF(K880="GENEITH",PR!$V878,IF(K880="GINOS",PR!$W878,IF(K880="GSK",PR!$X878,IF(K880="GLOBORG",PR!$Y878,IF(K880="GOODNEWS",PR!$Z878,IF(K880="GREENLIFE",PR!$AA878,IF(K880="HLINE",PR!$AB878,IF(K880="ROTECH",PR!$AC878,IF(K880="ISN",PR!$AD878,IF(K880="JAWA",PR!$AE878,IF(K880="LAYO",PR!$AF878,IF(K880="LEADWAY",PR!$AG878,IF(K880="LHV",PR!$AH878,IF(K880="MANOLA",PR!$AI878,IF(K880="MARCSON",PR!$AJ878,IF(K880="M&amp;B",PR!$AK878,IF(K880="MTRUST",PR!$AL878,IF(K880="MWORLD",PR!$AM878,IF(K880="MEGA",PR!$AN878,IF(K880="MICRONOVA",PR!$AO878,IF(K880="MFLASH",PR!$AP878,IF(K880="MORISON",PR!$AQ878,IF(K880="NEMEL",PR!$AR878,IF(K880="NHP",PR!$AS878,IF(K880="NHC",PR!$AT878,IF(K880="OLEAF",PR!$AU878,IF(K880="OCULUS",PR!$AV878,IF(K880="PACIFIC",PR!$AW878,IF(K880="PHAMATEX",PR!$AX878,IF(K880="PETHICS",PR!$AY878,IF(K880="PHILIPS",PR!$AZ878,IF(K880="RANBAXY",PR!$BA878,IF(K880="REALS",PR!$BB878,IF(K880="ROYAL",PR!$BC878,IF(K880="SAM",PR!$BD878,IF(K880="SEAGREEN",PR!$BE878,IF(K880="SKG",PR!$BF878,IF(K880="TAH",PR!$BG878,IF(K880="TAYLEK",PR!$BH878,IF(K880="TEMITA",PR!$BI878,IF(K880="THL",PR!$BJ878,IF(K880="UBASTIC",PR!$BK878,IF(K880="UNION",PR!$BL878,IF(K880="UNIQUE",PR!$BM878,IF(K880="VIXA",PR!$BN878,IF(K880="WWCV",PR!$BO878,IF(K880="ZOLON",PR!$BP878,"-")))))))))))))))))))))))))))))))))))))))))))))))))))))))))))))))))</f>
        <v>25625</v>
      </c>
    </row>
    <row r="881" spans="1:12" ht="18.75" x14ac:dyDescent="0.3">
      <c r="A881" s="430">
        <f>PR!A879</f>
        <v>789</v>
      </c>
      <c r="B881" s="15" t="str">
        <f>PR!B879</f>
        <v>HIV I &amp; II SCREENING RAPID KIT</v>
      </c>
      <c r="C881" s="113" t="str">
        <f>PR!D879</f>
        <v>1 pack of 100</v>
      </c>
      <c r="D881" s="113">
        <f>PR!C879</f>
        <v>1</v>
      </c>
      <c r="E881" s="108">
        <f>IF(F881="ALPHA",PR!$E879,IF(F881="ASSENE",PR!$F879,IF(F881="BIOFEM",PR!$G879,IF(F881="BIOMED",PR!$H879,IF(F881="CHI",PR!$I879,IF(F881="CLARION",PR!$J879,IF(F881="CODIX",PR!$K879,IF(F881="COSMADE",PR!$L879,IF(F881="SANCON",PR!$M879,IF(F881="DEVON",PR!$N879,IF(F881="DORTEMAG",PR!$O879,IF(F881="DGF",PR!$P879,IF(F881="DYNAMIC",PR!$Q879,IF(F881="EMZOR",PR!$R879,IF(F881="EUMATT",PR!$S879,IF(F881="FIDSON",PR!$T879,IF(F881="FCGLOBAL",PR!$U879,IF(F881="GENEITH",PR!$V879,IF(F881="GINOS",PR!$W879,IF(F881="GSK",PR!$X879,IF(F881="GLOBORG",PR!$Y879,IF(F881="GOODNEWS",PR!$Z879,IF(F881="GREENLIFE",PR!$AA879,IF(F881="HLINE",PR!$AB879,IF(F881="ROTECH",PR!$AC879,IF(F881="ISN",PR!$AD879,IF(F881="JAWA",PR!$AE879,IF(F881="LAYO",PR!$AF879,IF(F881="LEADWAY",PR!$AG879,IF(F881="LHV",PR!$AH879,IF(F881="MANOLA",PR!$AI879,IF(F881="MARCSON",PR!$AJ879,IF(F881="M&amp;B",PR!$AK879,IF(F881="MTRUST",PR!$AL879,IF(F881="MWORLD",PR!$AM879,IF(F881="MEGA",PR!$AN879,IF(F881="MICRONOVA",PR!$AO879,IF(F881="MFLASH",PR!$AP879,IF(F881="MORISON",PR!$AQ879,IF(F881="NEMEL",PR!$AR879,IF(F881="NHP",PR!$AS879,IF(F881="NHC",PR!$AT879,IF(F881="OLEAF",PR!$AU879,IF(F881="OCULUS",PR!$AV879,IF(F881="PACIFIC",PR!$AW879,IF(F881="PHAMATEX",PR!$AX879,IF(F881="PETHICS",PR!$AY879,IF(F881="PHILIPS",PR!$AZ879,IF(F881="RANBAXY",PR!$BA879,IF(F881="REALS",PR!$BB879,IF(F881="ROYAL",PR!$BC879,IF(F881="SAM",PR!$BD879,IF(F881="SEAGREEN",PR!$BE879,IF(F881="SKG",PR!$BF879,IF(F881="TAH",PR!$BG879,IF(F881="TAYLEK",PR!$BH879,IF(F881="TEMITA",PR!$BI879,IF(F881="THL",PR!$BJ879,IF(F881="UBASTIC",PR!$BK879,IF(F881="UNION",PR!$BL879,IF(F881="UNIQUE",PR!$BM879,IF(F881="VIXA",PR!$BN879,IF(F881="WWCV",PR!$BO879,IF(F881="ZOLON",PR!$BP879,"-"))))))))))))))))))))))))))))))))))))))))))))))))))))))))))))))))</f>
        <v>18000</v>
      </c>
      <c r="F881" s="102" t="str">
        <f>EV!L1123</f>
        <v>UBASTIC</v>
      </c>
      <c r="G881" s="108">
        <f>IF(H881="ALPHA",PR!$E879,IF(H881="ASSENE",PR!$F879,IF(H881="BIOFEM",PR!$G879,IF(H881="BIOMED",PR!$H879,IF(H881="CHI",PR!$I879,IF(H881="CLARION",PR!$J879,IF(H881="CODIX",PR!$K879,IF(H881="COSMADE",PR!$L879,IF(H881="SANCON",PR!$M879,IF(H881="DEVON",PR!$N879,IF(H881="DORTEMAG",PR!$O879,IF(H881="DGF",PR!$P879,IF(H881="DYNAMIC",PR!$Q879,IF(H881="EMZOR",PR!$R879,IF(H881="EUMATT",PR!$S879,IF(H881="FIDSON",PR!$T879,IF(H881="FCGLOBAL",PR!$U879,IF(H881="GENEITH",PR!$V879,IF(H881="GINOS",PR!$W879,IF(H881="GSK",PR!$X879,IF(H881="GLOBORG",PR!$Y879,IF(H881="GOODNEWS",PR!$Z879,IF(H881="GREENLIFE",PR!$AA879,IF(H881="HLINE",PR!$AB879,IF(H881="ROTECH",PR!$AC879,IF(H881="ISN",PR!$AD879,IF(H881="JAWA",PR!$AE879,IF(H881="LAYO",PR!$AF879,IF(H881="LEADWAY",PR!$AG879,IF(H881="LHV",PR!$AH879,IF(H881="MANOLA",PR!$AI879,IF(H881="MARCSON",PR!$AJ879,IF(H881="M&amp;B",PR!$AK879,IF(H881="MTRUST",PR!$AL879,IF(H881="MWORLD",PR!$AM879,IF(H881="MEGA",PR!$AN879,IF(H881="MICRONOVA",PR!$AO879,IF(H881="MFLASH",PR!$AP879,IF(H881="MORISON",PR!$AQ879,IF(H881="NEMEL",PR!$AR879,IF(H881="NHP",PR!$AS879,IF(H881="NHC",PR!$AT879,IF(H881="OLEAF",PR!$AU879,IF(H881="OCULUS",PR!$AV879,IF(H881="PACIFIC",PR!$AW879,IF(H881="PHAMATEX",PR!$AX879,IF(H881="PETHICS",PR!$AY879,IF(H881="PHILIPS",PR!$AZ879,IF(H881="RANBAXY",PR!$BA879,IF(H881="REALS",PR!$BB879,IF(H881="ROYAL",PR!$BC879,IF(H881="SAM",PR!$BD879,IF(H881="SEAGREEN",PR!$BE879,IF(H881="SKG",PR!$BF879,IF(H881="TAH",PR!$BG879,IF(H881="TAYLEK",PR!$BH879,IF(H881="TEMITA",PR!$BI879,IF(H881="THL",PR!$BJ879,IF(H881="UBASTIC",PR!$BK879,IF(H881="UNION",PR!$BL879,IF(H881="UNIQUE",PR!$BM879,IF(H881="VIXA",PR!$BN879,IF(H881="WWCV",PR!$BO879,IF(H881="ZOLON",PR!$BP879,"-"))))))))))))))))))))))))))))))))))))))))))))))))))))))))))))))))</f>
        <v>16000</v>
      </c>
      <c r="H881" s="102" t="str">
        <f>EV!M1123</f>
        <v>COSMADE</v>
      </c>
      <c r="I881" s="108">
        <f>IF(J881="ALPHA",PR!$E879,IF(J881="ASSENE",PR!$F879,IF(J881="BIOFEM",PR!$G879,IF(J881="BIOMED",PR!$H879,IF(J881="CHI",PR!$I879,IF(J881="CLARION",PR!$J879,IF(J881="CODIX",PR!$K879,IF(J881="COSMADE",PR!$L879,IF(J881="SANCON",PR!$M879,IF(J881="DEVON",PR!$N879,IF(J881="DORTEMAG",PR!$O879,IF(J881="DGF",PR!$P879,IF(J881="DYNAMIC",PR!$Q879,IF(J881="EMZOR",PR!$R879,IF(J881="EUMATT",PR!$S879,IF(J881="FIDSON",PR!$T879,IF(J881="FCGLOBAL",PR!$U879,IF(J881="GENEITH",PR!$V879,IF(J881="GINOS",PR!$W879,IF(J881="GSK",PR!$X879,IF(J881="GLOBORG",PR!$Y879,IF(J881="GOODNEWS",PR!$Z879,IF(J881="GREENLIFE",PR!$AA879,IF(J881="HLINE",PR!$AB879,IF(J881="ROTECH",PR!$AC879,IF(J881="ISN",PR!$AD879,IF(J881="JAWA",PR!$AE879,IF(J881="LAYO",PR!$AF879,IF(J881="LEADWAY",PR!$AG879,IF(J881="LHV",PR!$AH879,IF(J881="MANOLA",PR!$AI879,IF(J881="MARCSON",PR!$AJ879,IF(J881="M&amp;B",PR!$AK879,IF(J881="MTRUST",PR!$AL879,IF(J881="MWORLD",PR!$AM879,IF(J881="MEGA",PR!$AN879,IF(J881="MICRONOVA",PR!$AO879,IF(J881="MFLASH",PR!$AP879,IF(J881="MORISON",PR!$AQ879,IF(J881="NEMEL",PR!$AR879,IF(J881="NHP",PR!$AS879,IF(J881="NHC",PR!$AT879,IF(J881="OLEAF",PR!$AU879,IF(J881="OCULUS",PR!$AV879,IF(J881="PACIFIC",PR!$AW879,IF(J881="PHAMATEX",PR!$AX879,IF(J881="PETHICS",PR!$AY879,IF(J881="PHILIPS",PR!$AZ879,IF(J881="RANBAXY",PR!$BA879,IF(J881="REALS",PR!$BB879,IF(J881="ROYAL",PR!$BC879,IF(J881="SAM",PR!$BD879,IF(J881="SEAGREEN",PR!$BE879,IF(J881="SKG",PR!$BF879,IF(J881="TAH",PR!$BG879,IF(J881="TAYLEK",PR!$BH879,IF(J881="TEMITA",PR!$BI879,IF(J881="THL",PR!$BJ879,IF(J881="UBASTIC",PR!$BK879,IF(J881="UNION",PR!$BL879,IF(J881="UNIQUE",PR!$BM879,IF(J881="VIXA",PR!$BN879,IF(J881="WWCV",PR!$BO879,IF(J881="ZOLON",PR!$BP879,"-"))))))))))))))))))))))))))))))))))))))))))))))))))))))))))))))))</f>
        <v>16875</v>
      </c>
      <c r="J881" s="102" t="str">
        <f>EV!N1123</f>
        <v>DYNAMIC</v>
      </c>
      <c r="K881" s="433" t="s">
        <v>1459</v>
      </c>
      <c r="L881" s="183">
        <f>IF(K881&gt;0,IF(K881="ALPHA",PR!$E879,IF(K881="ASSENE",PR!$F879,IF(K881="BIOFEM",PR!$G879,IF(K881="BIOMED",PR!$H879,IF(K881="CHI",PR!$I879,IF(K881="CLARION",PR!$J879,IF(K881="CODIX",PR!$K879,IF(K881="COSMADE",PR!$L879,IF(K881="SANCON",PR!$M879,IF(K881="DEVON",PR!$N879,IF(K881="DORTEMAG",PR!$O879,IF(K881="DGF",PR!$P879,IF(K881="DYNAMIC",PR!$Q879,IF(K881="EMZOR",PR!$R879,IF(K881="EUMATT",PR!$S879,IF(K881="FIDSON",PR!$T879,IF(K881="FCGLOBAL",PR!$U879,IF(K881="GENEITH",PR!$V879,IF(K881="GINOS",PR!$W879,IF(K881="GSK",PR!$X879,IF(K881="GLOBORG",PR!$Y879,IF(K881="GOODNEWS",PR!$Z879,IF(K881="GREENLIFE",PR!$AA879,IF(K881="HLINE",PR!$AB879,IF(K881="ROTECH",PR!$AC879,IF(K881="ISN",PR!$AD879,IF(K881="JAWA",PR!$AE879,IF(K881="LAYO",PR!$AF879,IF(K881="LEADWAY",PR!$AG879,IF(K881="LHV",PR!$AH879,IF(K881="MANOLA",PR!$AI879,IF(K881="MARCSON",PR!$AJ879,IF(K881="M&amp;B",PR!$AK879,IF(K881="MTRUST",PR!$AL879,IF(K881="MWORLD",PR!$AM879,IF(K881="MEGA",PR!$AN879,IF(K881="MICRONOVA",PR!$AO879,IF(K881="MFLASH",PR!$AP879,IF(K881="MORISON",PR!$AQ879,IF(K881="NEMEL",PR!$AR879,IF(K881="NHP",PR!$AS879,IF(K881="NHC",PR!$AT879,IF(K881="OLEAF",PR!$AU879,IF(K881="OCULUS",PR!$AV879,IF(K881="PACIFIC",PR!$AW879,IF(K881="PHAMATEX",PR!$AX879,IF(K881="PETHICS",PR!$AY879,IF(K881="PHILIPS",PR!$AZ879,IF(K881="RANBAXY",PR!$BA879,IF(K881="REALS",PR!$BB879,IF(K881="ROYAL",PR!$BC879,IF(K881="SAM",PR!$BD879,IF(K881="SEAGREEN",PR!$BE879,IF(K881="SKG",PR!$BF879,IF(K881="TAH",PR!$BG879,IF(K881="TAYLEK",PR!$BH879,IF(K881="TEMITA",PR!$BI879,IF(K881="THL",PR!$BJ879,IF(K881="UBASTIC",PR!$BK879,IF(K881="UNION",PR!$BL879,IF(K881="UNIQUE",PR!$BM879,IF(K881="VIXA",PR!$BN879,IF(K881="WWCV",PR!$BO879,IF(K881="ZOLON",PR!$BP879,"-")))))))))))))))))))))))))))))))))))))))))))))))))))))))))))))))))</f>
        <v>18000</v>
      </c>
    </row>
    <row r="882" spans="1:12" ht="18.75" x14ac:dyDescent="0.3">
      <c r="A882" s="430">
        <f>PR!A880</f>
        <v>790</v>
      </c>
      <c r="B882" s="15" t="str">
        <f>PR!B880</f>
        <v>HEPATITIS C SCREENING RAPID KIT</v>
      </c>
      <c r="C882" s="113" t="str">
        <f>PR!D880</f>
        <v>1 pack of 50</v>
      </c>
      <c r="D882" s="113">
        <f>PR!C880</f>
        <v>2</v>
      </c>
      <c r="E882" s="108">
        <f>IF(F882="ALPHA",PR!$E880,IF(F882="ASSENE",PR!$F880,IF(F882="BIOFEM",PR!$G880,IF(F882="BIOMED",PR!$H880,IF(F882="CHI",PR!$I880,IF(F882="CLARION",PR!$J880,IF(F882="CODIX",PR!$K880,IF(F882="COSMADE",PR!$L880,IF(F882="SANCON",PR!$M880,IF(F882="DEVON",PR!$N880,IF(F882="DORTEMAG",PR!$O880,IF(F882="DGF",PR!$P880,IF(F882="DYNAMIC",PR!$Q880,IF(F882="EMZOR",PR!$R880,IF(F882="EUMATT",PR!$S880,IF(F882="FIDSON",PR!$T880,IF(F882="FCGLOBAL",PR!$U880,IF(F882="GENEITH",PR!$V880,IF(F882="GINOS",PR!$W880,IF(F882="GSK",PR!$X880,IF(F882="GLOBORG",PR!$Y880,IF(F882="GOODNEWS",PR!$Z880,IF(F882="GREENLIFE",PR!$AA880,IF(F882="HLINE",PR!$AB880,IF(F882="ROTECH",PR!$AC880,IF(F882="ISN",PR!$AD880,IF(F882="JAWA",PR!$AE880,IF(F882="LAYO",PR!$AF880,IF(F882="LEADWAY",PR!$AG880,IF(F882="LHV",PR!$AH880,IF(F882="MANOLA",PR!$AI880,IF(F882="MARCSON",PR!$AJ880,IF(F882="M&amp;B",PR!$AK880,IF(F882="MTRUST",PR!$AL880,IF(F882="MWORLD",PR!$AM880,IF(F882="MEGA",PR!$AN880,IF(F882="MICRONOVA",PR!$AO880,IF(F882="MFLASH",PR!$AP880,IF(F882="MORISON",PR!$AQ880,IF(F882="NEMEL",PR!$AR880,IF(F882="NHP",PR!$AS880,IF(F882="NHC",PR!$AT880,IF(F882="OLEAF",PR!$AU880,IF(F882="OCULUS",PR!$AV880,IF(F882="PACIFIC",PR!$AW880,IF(F882="PHAMATEX",PR!$AX880,IF(F882="PETHICS",PR!$AY880,IF(F882="PHILIPS",PR!$AZ880,IF(F882="RANBAXY",PR!$BA880,IF(F882="REALS",PR!$BB880,IF(F882="ROYAL",PR!$BC880,IF(F882="SAM",PR!$BD880,IF(F882="SEAGREEN",PR!$BE880,IF(F882="SKG",PR!$BF880,IF(F882="TAH",PR!$BG880,IF(F882="TAYLEK",PR!$BH880,IF(F882="TEMITA",PR!$BI880,IF(F882="THL",PR!$BJ880,IF(F882="UBASTIC",PR!$BK880,IF(F882="UNION",PR!$BL880,IF(F882="UNIQUE",PR!$BM880,IF(F882="VIXA",PR!$BN880,IF(F882="WWCV",PR!$BO880,IF(F882="ZOLON",PR!$BP880,"-"))))))))))))))))))))))))))))))))))))))))))))))))))))))))))))))))</f>
        <v>5500</v>
      </c>
      <c r="F882" s="102" t="str">
        <f>EV!L1124</f>
        <v>UBASTIC</v>
      </c>
      <c r="G882" s="108">
        <f>IF(H882="ALPHA",PR!$E880,IF(H882="ASSENE",PR!$F880,IF(H882="BIOFEM",PR!$G880,IF(H882="BIOMED",PR!$H880,IF(H882="CHI",PR!$I880,IF(H882="CLARION",PR!$J880,IF(H882="CODIX",PR!$K880,IF(H882="COSMADE",PR!$L880,IF(H882="SANCON",PR!$M880,IF(H882="DEVON",PR!$N880,IF(H882="DORTEMAG",PR!$O880,IF(H882="DGF",PR!$P880,IF(H882="DYNAMIC",PR!$Q880,IF(H882="EMZOR",PR!$R880,IF(H882="EUMATT",PR!$S880,IF(H882="FIDSON",PR!$T880,IF(H882="FCGLOBAL",PR!$U880,IF(H882="GENEITH",PR!$V880,IF(H882="GINOS",PR!$W880,IF(H882="GSK",PR!$X880,IF(H882="GLOBORG",PR!$Y880,IF(H882="GOODNEWS",PR!$Z880,IF(H882="GREENLIFE",PR!$AA880,IF(H882="HLINE",PR!$AB880,IF(H882="ROTECH",PR!$AC880,IF(H882="ISN",PR!$AD880,IF(H882="JAWA",PR!$AE880,IF(H882="LAYO",PR!$AF880,IF(H882="LEADWAY",PR!$AG880,IF(H882="LHV",PR!$AH880,IF(H882="MANOLA",PR!$AI880,IF(H882="MARCSON",PR!$AJ880,IF(H882="M&amp;B",PR!$AK880,IF(H882="MTRUST",PR!$AL880,IF(H882="MWORLD",PR!$AM880,IF(H882="MEGA",PR!$AN880,IF(H882="MICRONOVA",PR!$AO880,IF(H882="MFLASH",PR!$AP880,IF(H882="MORISON",PR!$AQ880,IF(H882="NEMEL",PR!$AR880,IF(H882="NHP",PR!$AS880,IF(H882="NHC",PR!$AT880,IF(H882="OLEAF",PR!$AU880,IF(H882="OCULUS",PR!$AV880,IF(H882="PACIFIC",PR!$AW880,IF(H882="PHAMATEX",PR!$AX880,IF(H882="PETHICS",PR!$AY880,IF(H882="PHILIPS",PR!$AZ880,IF(H882="RANBAXY",PR!$BA880,IF(H882="REALS",PR!$BB880,IF(H882="ROYAL",PR!$BC880,IF(H882="SAM",PR!$BD880,IF(H882="SEAGREEN",PR!$BE880,IF(H882="SKG",PR!$BF880,IF(H882="TAH",PR!$BG880,IF(H882="TAYLEK",PR!$BH880,IF(H882="TEMITA",PR!$BI880,IF(H882="THL",PR!$BJ880,IF(H882="UBASTIC",PR!$BK880,IF(H882="UNION",PR!$BL880,IF(H882="UNIQUE",PR!$BM880,IF(H882="VIXA",PR!$BN880,IF(H882="WWCV",PR!$BO880,IF(H882="ZOLON",PR!$BP880,"-"))))))))))))))))))))))))))))))))))))))))))))))))))))))))))))))))</f>
        <v>3625</v>
      </c>
      <c r="H882" s="102" t="str">
        <f>EV!M1124</f>
        <v>DYNAMIC</v>
      </c>
      <c r="I882" s="108">
        <f>IF(J882="ALPHA",PR!$E880,IF(J882="ASSENE",PR!$F880,IF(J882="BIOFEM",PR!$G880,IF(J882="BIOMED",PR!$H880,IF(J882="CHI",PR!$I880,IF(J882="CLARION",PR!$J880,IF(J882="CODIX",PR!$K880,IF(J882="COSMADE",PR!$L880,IF(J882="SANCON",PR!$M880,IF(J882="DEVON",PR!$N880,IF(J882="DORTEMAG",PR!$O880,IF(J882="DGF",PR!$P880,IF(J882="DYNAMIC",PR!$Q880,IF(J882="EMZOR",PR!$R880,IF(J882="EUMATT",PR!$S880,IF(J882="FIDSON",PR!$T880,IF(J882="FCGLOBAL",PR!$U880,IF(J882="GENEITH",PR!$V880,IF(J882="GINOS",PR!$W880,IF(J882="GSK",PR!$X880,IF(J882="GLOBORG",PR!$Y880,IF(J882="GOODNEWS",PR!$Z880,IF(J882="GREENLIFE",PR!$AA880,IF(J882="HLINE",PR!$AB880,IF(J882="ROTECH",PR!$AC880,IF(J882="ISN",PR!$AD880,IF(J882="JAWA",PR!$AE880,IF(J882="LAYO",PR!$AF880,IF(J882="LEADWAY",PR!$AG880,IF(J882="LHV",PR!$AH880,IF(J882="MANOLA",PR!$AI880,IF(J882="MARCSON",PR!$AJ880,IF(J882="M&amp;B",PR!$AK880,IF(J882="MTRUST",PR!$AL880,IF(J882="MWORLD",PR!$AM880,IF(J882="MEGA",PR!$AN880,IF(J882="MICRONOVA",PR!$AO880,IF(J882="MFLASH",PR!$AP880,IF(J882="MORISON",PR!$AQ880,IF(J882="NEMEL",PR!$AR880,IF(J882="NHP",PR!$AS880,IF(J882="NHC",PR!$AT880,IF(J882="OLEAF",PR!$AU880,IF(J882="OCULUS",PR!$AV880,IF(J882="PACIFIC",PR!$AW880,IF(J882="PHAMATEX",PR!$AX880,IF(J882="PETHICS",PR!$AY880,IF(J882="PHILIPS",PR!$AZ880,IF(J882="RANBAXY",PR!$BA880,IF(J882="REALS",PR!$BB880,IF(J882="ROYAL",PR!$BC880,IF(J882="SAM",PR!$BD880,IF(J882="SEAGREEN",PR!$BE880,IF(J882="SKG",PR!$BF880,IF(J882="TAH",PR!$BG880,IF(J882="TAYLEK",PR!$BH880,IF(J882="TEMITA",PR!$BI880,IF(J882="THL",PR!$BJ880,IF(J882="UBASTIC",PR!$BK880,IF(J882="UNION",PR!$BL880,IF(J882="UNIQUE",PR!$BM880,IF(J882="VIXA",PR!$BN880,IF(J882="WWCV",PR!$BO880,IF(J882="ZOLON",PR!$BP880,"-"))))))))))))))))))))))))))))))))))))))))))))))))))))))))))))))))</f>
        <v>7000</v>
      </c>
      <c r="J882" s="102" t="str">
        <f>EV!N1124</f>
        <v>COSMADE</v>
      </c>
      <c r="K882" s="433" t="s">
        <v>1459</v>
      </c>
      <c r="L882" s="183">
        <f>IF(K882&gt;0,IF(K882="ALPHA",PR!$E880,IF(K882="ASSENE",PR!$F880,IF(K882="BIOFEM",PR!$G880,IF(K882="BIOMED",PR!$H880,IF(K882="CHI",PR!$I880,IF(K882="CLARION",PR!$J880,IF(K882="CODIX",PR!$K880,IF(K882="COSMADE",PR!$L880,IF(K882="SANCON",PR!$M880,IF(K882="DEVON",PR!$N880,IF(K882="DORTEMAG",PR!$O880,IF(K882="DGF",PR!$P880,IF(K882="DYNAMIC",PR!$Q880,IF(K882="EMZOR",PR!$R880,IF(K882="EUMATT",PR!$S880,IF(K882="FIDSON",PR!$T880,IF(K882="FCGLOBAL",PR!$U880,IF(K882="GENEITH",PR!$V880,IF(K882="GINOS",PR!$W880,IF(K882="GSK",PR!$X880,IF(K882="GLOBORG",PR!$Y880,IF(K882="GOODNEWS",PR!$Z880,IF(K882="GREENLIFE",PR!$AA880,IF(K882="HLINE",PR!$AB880,IF(K882="ROTECH",PR!$AC880,IF(K882="ISN",PR!$AD880,IF(K882="JAWA",PR!$AE880,IF(K882="LAYO",PR!$AF880,IF(K882="LEADWAY",PR!$AG880,IF(K882="LHV",PR!$AH880,IF(K882="MANOLA",PR!$AI880,IF(K882="MARCSON",PR!$AJ880,IF(K882="M&amp;B",PR!$AK880,IF(K882="MTRUST",PR!$AL880,IF(K882="MWORLD",PR!$AM880,IF(K882="MEGA",PR!$AN880,IF(K882="MICRONOVA",PR!$AO880,IF(K882="MFLASH",PR!$AP880,IF(K882="MORISON",PR!$AQ880,IF(K882="NEMEL",PR!$AR880,IF(K882="NHP",PR!$AS880,IF(K882="NHC",PR!$AT880,IF(K882="OLEAF",PR!$AU880,IF(K882="OCULUS",PR!$AV880,IF(K882="PACIFIC",PR!$AW880,IF(K882="PHAMATEX",PR!$AX880,IF(K882="PETHICS",PR!$AY880,IF(K882="PHILIPS",PR!$AZ880,IF(K882="RANBAXY",PR!$BA880,IF(K882="REALS",PR!$BB880,IF(K882="ROYAL",PR!$BC880,IF(K882="SAM",PR!$BD880,IF(K882="SEAGREEN",PR!$BE880,IF(K882="SKG",PR!$BF880,IF(K882="TAH",PR!$BG880,IF(K882="TAYLEK",PR!$BH880,IF(K882="TEMITA",PR!$BI880,IF(K882="THL",PR!$BJ880,IF(K882="UBASTIC",PR!$BK880,IF(K882="UNION",PR!$BL880,IF(K882="UNIQUE",PR!$BM880,IF(K882="VIXA",PR!$BN880,IF(K882="WWCV",PR!$BO880,IF(K882="ZOLON",PR!$BP880,"-")))))))))))))))))))))))))))))))))))))))))))))))))))))))))))))))))</f>
        <v>5500</v>
      </c>
    </row>
    <row r="883" spans="1:12" ht="18.75" x14ac:dyDescent="0.3">
      <c r="A883" s="430">
        <f>PR!A881</f>
        <v>791</v>
      </c>
      <c r="B883" s="15" t="str">
        <f>PR!B881</f>
        <v>POUCEAU'S STAIN POWDER (25G)</v>
      </c>
      <c r="C883" s="113" t="str">
        <f>PR!D881</f>
        <v>1 pc</v>
      </c>
      <c r="D883" s="113">
        <f>PR!C881</f>
        <v>1</v>
      </c>
      <c r="E883" s="108">
        <f>IF(F883="ALPHA",PR!$E881,IF(F883="ASSENE",PR!$F881,IF(F883="BIOFEM",PR!$G881,IF(F883="BIOMED",PR!$H881,IF(F883="CHI",PR!$I881,IF(F883="CLARION",PR!$J881,IF(F883="CODIX",PR!$K881,IF(F883="COSMADE",PR!$L881,IF(F883="SANCON",PR!$M881,IF(F883="DEVON",PR!$N881,IF(F883="DORTEMAG",PR!$O881,IF(F883="DGF",PR!$P881,IF(F883="DYNAMIC",PR!$Q881,IF(F883="EMZOR",PR!$R881,IF(F883="EUMATT",PR!$S881,IF(F883="FIDSON",PR!$T881,IF(F883="FCGLOBAL",PR!$U881,IF(F883="GENEITH",PR!$V881,IF(F883="GINOS",PR!$W881,IF(F883="GSK",PR!$X881,IF(F883="GLOBORG",PR!$Y881,IF(F883="GOODNEWS",PR!$Z881,IF(F883="GREENLIFE",PR!$AA881,IF(F883="HLINE",PR!$AB881,IF(F883="ROTECH",PR!$AC881,IF(F883="ISN",PR!$AD881,IF(F883="JAWA",PR!$AE881,IF(F883="LAYO",PR!$AF881,IF(F883="LEADWAY",PR!$AG881,IF(F883="LHV",PR!$AH881,IF(F883="MANOLA",PR!$AI881,IF(F883="MARCSON",PR!$AJ881,IF(F883="M&amp;B",PR!$AK881,IF(F883="MTRUST",PR!$AL881,IF(F883="MWORLD",PR!$AM881,IF(F883="MEGA",PR!$AN881,IF(F883="MICRONOVA",PR!$AO881,IF(F883="MFLASH",PR!$AP881,IF(F883="MORISON",PR!$AQ881,IF(F883="NEMEL",PR!$AR881,IF(F883="NHP",PR!$AS881,IF(F883="NHC",PR!$AT881,IF(F883="OLEAF",PR!$AU881,IF(F883="OCULUS",PR!$AV881,IF(F883="PACIFIC",PR!$AW881,IF(F883="PHAMATEX",PR!$AX881,IF(F883="PETHICS",PR!$AY881,IF(F883="PHILIPS",PR!$AZ881,IF(F883="RANBAXY",PR!$BA881,IF(F883="REALS",PR!$BB881,IF(F883="ROYAL",PR!$BC881,IF(F883="SAM",PR!$BD881,IF(F883="SEAGREEN",PR!$BE881,IF(F883="SKG",PR!$BF881,IF(F883="TAH",PR!$BG881,IF(F883="TAYLEK",PR!$BH881,IF(F883="TEMITA",PR!$BI881,IF(F883="THL",PR!$BJ881,IF(F883="UBASTIC",PR!$BK881,IF(F883="UNION",PR!$BL881,IF(F883="UNIQUE",PR!$BM881,IF(F883="VIXA",PR!$BN881,IF(F883="WWCV",PR!$BO881,IF(F883="ZOLON",PR!$BP881,"-"))))))))))))))))))))))))))))))))))))))))))))))))))))))))))))))))</f>
        <v>5625</v>
      </c>
      <c r="F883" s="102" t="str">
        <f>EV!L1125</f>
        <v>DYNAMIC</v>
      </c>
      <c r="G883" s="108">
        <f>IF(H883="ALPHA",PR!$E881,IF(H883="ASSENE",PR!$F881,IF(H883="BIOFEM",PR!$G881,IF(H883="BIOMED",PR!$H881,IF(H883="CHI",PR!$I881,IF(H883="CLARION",PR!$J881,IF(H883="CODIX",PR!$K881,IF(H883="COSMADE",PR!$L881,IF(H883="SANCON",PR!$M881,IF(H883="DEVON",PR!$N881,IF(H883="DORTEMAG",PR!$O881,IF(H883="DGF",PR!$P881,IF(H883="DYNAMIC",PR!$Q881,IF(H883="EMZOR",PR!$R881,IF(H883="EUMATT",PR!$S881,IF(H883="FIDSON",PR!$T881,IF(H883="FCGLOBAL",PR!$U881,IF(H883="GENEITH",PR!$V881,IF(H883="GINOS",PR!$W881,IF(H883="GSK",PR!$X881,IF(H883="GLOBORG",PR!$Y881,IF(H883="GOODNEWS",PR!$Z881,IF(H883="GREENLIFE",PR!$AA881,IF(H883="HLINE",PR!$AB881,IF(H883="ROTECH",PR!$AC881,IF(H883="ISN",PR!$AD881,IF(H883="JAWA",PR!$AE881,IF(H883="LAYO",PR!$AF881,IF(H883="LEADWAY",PR!$AG881,IF(H883="LHV",PR!$AH881,IF(H883="MANOLA",PR!$AI881,IF(H883="MARCSON",PR!$AJ881,IF(H883="M&amp;B",PR!$AK881,IF(H883="MTRUST",PR!$AL881,IF(H883="MWORLD",PR!$AM881,IF(H883="MEGA",PR!$AN881,IF(H883="MICRONOVA",PR!$AO881,IF(H883="MFLASH",PR!$AP881,IF(H883="MORISON",PR!$AQ881,IF(H883="NEMEL",PR!$AR881,IF(H883="NHP",PR!$AS881,IF(H883="NHC",PR!$AT881,IF(H883="OLEAF",PR!$AU881,IF(H883="OCULUS",PR!$AV881,IF(H883="PACIFIC",PR!$AW881,IF(H883="PHAMATEX",PR!$AX881,IF(H883="PETHICS",PR!$AY881,IF(H883="PHILIPS",PR!$AZ881,IF(H883="RANBAXY",PR!$BA881,IF(H883="REALS",PR!$BB881,IF(H883="ROYAL",PR!$BC881,IF(H883="SAM",PR!$BD881,IF(H883="SEAGREEN",PR!$BE881,IF(H883="SKG",PR!$BF881,IF(H883="TAH",PR!$BG881,IF(H883="TAYLEK",PR!$BH881,IF(H883="TEMITA",PR!$BI881,IF(H883="THL",PR!$BJ881,IF(H883="UBASTIC",PR!$BK881,IF(H883="UNION",PR!$BL881,IF(H883="UNIQUE",PR!$BM881,IF(H883="VIXA",PR!$BN881,IF(H883="WWCV",PR!$BO881,IF(H883="ZOLON",PR!$BP881,"-"))))))))))))))))))))))))))))))))))))))))))))))))))))))))))))))))</f>
        <v>7000</v>
      </c>
      <c r="H883" s="102" t="str">
        <f>EV!M1125</f>
        <v>COSMADE</v>
      </c>
      <c r="I883" s="108">
        <f>IF(J883="ALPHA",PR!$E881,IF(J883="ASSENE",PR!$F881,IF(J883="BIOFEM",PR!$G881,IF(J883="BIOMED",PR!$H881,IF(J883="CHI",PR!$I881,IF(J883="CLARION",PR!$J881,IF(J883="CODIX",PR!$K881,IF(J883="COSMADE",PR!$L881,IF(J883="SANCON",PR!$M881,IF(J883="DEVON",PR!$N881,IF(J883="DORTEMAG",PR!$O881,IF(J883="DGF",PR!$P881,IF(J883="DYNAMIC",PR!$Q881,IF(J883="EMZOR",PR!$R881,IF(J883="EUMATT",PR!$S881,IF(J883="FIDSON",PR!$T881,IF(J883="FCGLOBAL",PR!$U881,IF(J883="GENEITH",PR!$V881,IF(J883="GINOS",PR!$W881,IF(J883="GSK",PR!$X881,IF(J883="GLOBORG",PR!$Y881,IF(J883="GOODNEWS",PR!$Z881,IF(J883="GREENLIFE",PR!$AA881,IF(J883="HLINE",PR!$AB881,IF(J883="ROTECH",PR!$AC881,IF(J883="ISN",PR!$AD881,IF(J883="JAWA",PR!$AE881,IF(J883="LAYO",PR!$AF881,IF(J883="LEADWAY",PR!$AG881,IF(J883="LHV",PR!$AH881,IF(J883="MANOLA",PR!$AI881,IF(J883="MARCSON",PR!$AJ881,IF(J883="M&amp;B",PR!$AK881,IF(J883="MTRUST",PR!$AL881,IF(J883="MWORLD",PR!$AM881,IF(J883="MEGA",PR!$AN881,IF(J883="MICRONOVA",PR!$AO881,IF(J883="MFLASH",PR!$AP881,IF(J883="MORISON",PR!$AQ881,IF(J883="NEMEL",PR!$AR881,IF(J883="NHP",PR!$AS881,IF(J883="NHC",PR!$AT881,IF(J883="OLEAF",PR!$AU881,IF(J883="OCULUS",PR!$AV881,IF(J883="PACIFIC",PR!$AW881,IF(J883="PHAMATEX",PR!$AX881,IF(J883="PETHICS",PR!$AY881,IF(J883="PHILIPS",PR!$AZ881,IF(J883="RANBAXY",PR!$BA881,IF(J883="REALS",PR!$BB881,IF(J883="ROYAL",PR!$BC881,IF(J883="SAM",PR!$BD881,IF(J883="SEAGREEN",PR!$BE881,IF(J883="SKG",PR!$BF881,IF(J883="TAH",PR!$BG881,IF(J883="TAYLEK",PR!$BH881,IF(J883="TEMITA",PR!$BI881,IF(J883="THL",PR!$BJ881,IF(J883="UBASTIC",PR!$BK881,IF(J883="UNION",PR!$BL881,IF(J883="UNIQUE",PR!$BM881,IF(J883="VIXA",PR!$BN881,IF(J883="WWCV",PR!$BO881,IF(J883="ZOLON",PR!$BP881,"-"))))))))))))))))))))))))))))))))))))))))))))))))))))))))))))))))</f>
        <v>7500</v>
      </c>
      <c r="J883" s="102" t="str">
        <f>EV!N1125</f>
        <v>SANCON</v>
      </c>
      <c r="K883" s="433" t="s">
        <v>626</v>
      </c>
      <c r="L883" s="183">
        <f>IF(K883&gt;0,IF(K883="ALPHA",PR!$E881,IF(K883="ASSENE",PR!$F881,IF(K883="BIOFEM",PR!$G881,IF(K883="BIOMED",PR!$H881,IF(K883="CHI",PR!$I881,IF(K883="CLARION",PR!$J881,IF(K883="CODIX",PR!$K881,IF(K883="COSMADE",PR!$L881,IF(K883="SANCON",PR!$M881,IF(K883="DEVON",PR!$N881,IF(K883="DORTEMAG",PR!$O881,IF(K883="DGF",PR!$P881,IF(K883="DYNAMIC",PR!$Q881,IF(K883="EMZOR",PR!$R881,IF(K883="EUMATT",PR!$S881,IF(K883="FIDSON",PR!$T881,IF(K883="FCGLOBAL",PR!$U881,IF(K883="GENEITH",PR!$V881,IF(K883="GINOS",PR!$W881,IF(K883="GSK",PR!$X881,IF(K883="GLOBORG",PR!$Y881,IF(K883="GOODNEWS",PR!$Z881,IF(K883="GREENLIFE",PR!$AA881,IF(K883="HLINE",PR!$AB881,IF(K883="ROTECH",PR!$AC881,IF(K883="ISN",PR!$AD881,IF(K883="JAWA",PR!$AE881,IF(K883="LAYO",PR!$AF881,IF(K883="LEADWAY",PR!$AG881,IF(K883="LHV",PR!$AH881,IF(K883="MANOLA",PR!$AI881,IF(K883="MARCSON",PR!$AJ881,IF(K883="M&amp;B",PR!$AK881,IF(K883="MTRUST",PR!$AL881,IF(K883="MWORLD",PR!$AM881,IF(K883="MEGA",PR!$AN881,IF(K883="MICRONOVA",PR!$AO881,IF(K883="MFLASH",PR!$AP881,IF(K883="MORISON",PR!$AQ881,IF(K883="NEMEL",PR!$AR881,IF(K883="NHP",PR!$AS881,IF(K883="NHC",PR!$AT881,IF(K883="OLEAF",PR!$AU881,IF(K883="OCULUS",PR!$AV881,IF(K883="PACIFIC",PR!$AW881,IF(K883="PHAMATEX",PR!$AX881,IF(K883="PETHICS",PR!$AY881,IF(K883="PHILIPS",PR!$AZ881,IF(K883="RANBAXY",PR!$BA881,IF(K883="REALS",PR!$BB881,IF(K883="ROYAL",PR!$BC881,IF(K883="SAM",PR!$BD881,IF(K883="SEAGREEN",PR!$BE881,IF(K883="SKG",PR!$BF881,IF(K883="TAH",PR!$BG881,IF(K883="TAYLEK",PR!$BH881,IF(K883="TEMITA",PR!$BI881,IF(K883="THL",PR!$BJ881,IF(K883="UBASTIC",PR!$BK881,IF(K883="UNION",PR!$BL881,IF(K883="UNIQUE",PR!$BM881,IF(K883="VIXA",PR!$BN881,IF(K883="WWCV",PR!$BO881,IF(K883="ZOLON",PR!$BP881,"-")))))))))))))))))))))))))))))))))))))))))))))))))))))))))))))))))</f>
        <v>5625</v>
      </c>
    </row>
    <row r="884" spans="1:12" ht="18.75" x14ac:dyDescent="0.3">
      <c r="A884" s="430">
        <f>PR!A882</f>
        <v>792</v>
      </c>
      <c r="B884" s="15" t="str">
        <f>PR!B882</f>
        <v>PLAIN CAPILLARY TUBE</v>
      </c>
      <c r="C884" s="113" t="str">
        <f>PR!D882</f>
        <v>1 pack of 10</v>
      </c>
      <c r="D884" s="113">
        <f>PR!C882</f>
        <v>15</v>
      </c>
      <c r="E884" s="108">
        <f>IF(F884="ALPHA",PR!$E882,IF(F884="ASSENE",PR!$F882,IF(F884="BIOFEM",PR!$G882,IF(F884="BIOMED",PR!$H882,IF(F884="CHI",PR!$I882,IF(F884="CLARION",PR!$J882,IF(F884="CODIX",PR!$K882,IF(F884="COSMADE",PR!$L882,IF(F884="SANCON",PR!$M882,IF(F884="DEVON",PR!$N882,IF(F884="DORTEMAG",PR!$O882,IF(F884="DGF",PR!$P882,IF(F884="DYNAMIC",PR!$Q882,IF(F884="EMZOR",PR!$R882,IF(F884="EUMATT",PR!$S882,IF(F884="FIDSON",PR!$T882,IF(F884="FCGLOBAL",PR!$U882,IF(F884="GENEITH",PR!$V882,IF(F884="GINOS",PR!$W882,IF(F884="GSK",PR!$X882,IF(F884="GLOBORG",PR!$Y882,IF(F884="GOODNEWS",PR!$Z882,IF(F884="GREENLIFE",PR!$AA882,IF(F884="HLINE",PR!$AB882,IF(F884="ROTECH",PR!$AC882,IF(F884="ISN",PR!$AD882,IF(F884="JAWA",PR!$AE882,IF(F884="LAYO",PR!$AF882,IF(F884="LEADWAY",PR!$AG882,IF(F884="LHV",PR!$AH882,IF(F884="MANOLA",PR!$AI882,IF(F884="MARCSON",PR!$AJ882,IF(F884="M&amp;B",PR!$AK882,IF(F884="MTRUST",PR!$AL882,IF(F884="MWORLD",PR!$AM882,IF(F884="MEGA",PR!$AN882,IF(F884="MICRONOVA",PR!$AO882,IF(F884="MFLASH",PR!$AP882,IF(F884="MORISON",PR!$AQ882,IF(F884="NEMEL",PR!$AR882,IF(F884="NHP",PR!$AS882,IF(F884="NHC",PR!$AT882,IF(F884="OLEAF",PR!$AU882,IF(F884="OCULUS",PR!$AV882,IF(F884="PACIFIC",PR!$AW882,IF(F884="PHAMATEX",PR!$AX882,IF(F884="PETHICS",PR!$AY882,IF(F884="PHILIPS",PR!$AZ882,IF(F884="RANBAXY",PR!$BA882,IF(F884="REALS",PR!$BB882,IF(F884="ROYAL",PR!$BC882,IF(F884="SAM",PR!$BD882,IF(F884="SEAGREEN",PR!$BE882,IF(F884="SKG",PR!$BF882,IF(F884="TAH",PR!$BG882,IF(F884="TAYLEK",PR!$BH882,IF(F884="TEMITA",PR!$BI882,IF(F884="THL",PR!$BJ882,IF(F884="UBASTIC",PR!$BK882,IF(F884="UNION",PR!$BL882,IF(F884="UNIQUE",PR!$BM882,IF(F884="VIXA",PR!$BN882,IF(F884="WWCV",PR!$BO882,IF(F884="ZOLON",PR!$BP882,"-"))))))))))))))))))))))))))))))))))))))))))))))))))))))))))))))))</f>
        <v>5085</v>
      </c>
      <c r="F884" s="102" t="str">
        <f>EV!L1126</f>
        <v>ROTECH</v>
      </c>
      <c r="G884" s="108">
        <f>IF(H884="ALPHA",PR!$E882,IF(H884="ASSENE",PR!$F882,IF(H884="BIOFEM",PR!$G882,IF(H884="BIOMED",PR!$H882,IF(H884="CHI",PR!$I882,IF(H884="CLARION",PR!$J882,IF(H884="CODIX",PR!$K882,IF(H884="COSMADE",PR!$L882,IF(H884="SANCON",PR!$M882,IF(H884="DEVON",PR!$N882,IF(H884="DORTEMAG",PR!$O882,IF(H884="DGF",PR!$P882,IF(H884="DYNAMIC",PR!$Q882,IF(H884="EMZOR",PR!$R882,IF(H884="EUMATT",PR!$S882,IF(H884="FIDSON",PR!$T882,IF(H884="FCGLOBAL",PR!$U882,IF(H884="GENEITH",PR!$V882,IF(H884="GINOS",PR!$W882,IF(H884="GSK",PR!$X882,IF(H884="GLOBORG",PR!$Y882,IF(H884="GOODNEWS",PR!$Z882,IF(H884="GREENLIFE",PR!$AA882,IF(H884="HLINE",PR!$AB882,IF(H884="ROTECH",PR!$AC882,IF(H884="ISN",PR!$AD882,IF(H884="JAWA",PR!$AE882,IF(H884="LAYO",PR!$AF882,IF(H884="LEADWAY",PR!$AG882,IF(H884="LHV",PR!$AH882,IF(H884="MANOLA",PR!$AI882,IF(H884="MARCSON",PR!$AJ882,IF(H884="M&amp;B",PR!$AK882,IF(H884="MTRUST",PR!$AL882,IF(H884="MWORLD",PR!$AM882,IF(H884="MEGA",PR!$AN882,IF(H884="MICRONOVA",PR!$AO882,IF(H884="MFLASH",PR!$AP882,IF(H884="MORISON",PR!$AQ882,IF(H884="NEMEL",PR!$AR882,IF(H884="NHP",PR!$AS882,IF(H884="NHC",PR!$AT882,IF(H884="OLEAF",PR!$AU882,IF(H884="OCULUS",PR!$AV882,IF(H884="PACIFIC",PR!$AW882,IF(H884="PHAMATEX",PR!$AX882,IF(H884="PETHICS",PR!$AY882,IF(H884="PHILIPS",PR!$AZ882,IF(H884="RANBAXY",PR!$BA882,IF(H884="REALS",PR!$BB882,IF(H884="ROYAL",PR!$BC882,IF(H884="SAM",PR!$BD882,IF(H884="SEAGREEN",PR!$BE882,IF(H884="SKG",PR!$BF882,IF(H884="TAH",PR!$BG882,IF(H884="TAYLEK",PR!$BH882,IF(H884="TEMITA",PR!$BI882,IF(H884="THL",PR!$BJ882,IF(H884="UBASTIC",PR!$BK882,IF(H884="UNION",PR!$BL882,IF(H884="UNIQUE",PR!$BM882,IF(H884="VIXA",PR!$BN882,IF(H884="WWCV",PR!$BO882,IF(H884="ZOLON",PR!$BP882,"-"))))))))))))))))))))))))))))))))))))))))))))))))))))))))))))))))</f>
        <v>5500</v>
      </c>
      <c r="H884" s="102" t="str">
        <f>EV!M1126</f>
        <v>TEMITA</v>
      </c>
      <c r="I884" s="108">
        <f>IF(J884="ALPHA",PR!$E882,IF(J884="ASSENE",PR!$F882,IF(J884="BIOFEM",PR!$G882,IF(J884="BIOMED",PR!$H882,IF(J884="CHI",PR!$I882,IF(J884="CLARION",PR!$J882,IF(J884="CODIX",PR!$K882,IF(J884="COSMADE",PR!$L882,IF(J884="SANCON",PR!$M882,IF(J884="DEVON",PR!$N882,IF(J884="DORTEMAG",PR!$O882,IF(J884="DGF",PR!$P882,IF(J884="DYNAMIC",PR!$Q882,IF(J884="EMZOR",PR!$R882,IF(J884="EUMATT",PR!$S882,IF(J884="FIDSON",PR!$T882,IF(J884="FCGLOBAL",PR!$U882,IF(J884="GENEITH",PR!$V882,IF(J884="GINOS",PR!$W882,IF(J884="GSK",PR!$X882,IF(J884="GLOBORG",PR!$Y882,IF(J884="GOODNEWS",PR!$Z882,IF(J884="GREENLIFE",PR!$AA882,IF(J884="HLINE",PR!$AB882,IF(J884="ROTECH",PR!$AC882,IF(J884="ISN",PR!$AD882,IF(J884="JAWA",PR!$AE882,IF(J884="LAYO",PR!$AF882,IF(J884="LEADWAY",PR!$AG882,IF(J884="LHV",PR!$AH882,IF(J884="MANOLA",PR!$AI882,IF(J884="MARCSON",PR!$AJ882,IF(J884="M&amp;B",PR!$AK882,IF(J884="MTRUST",PR!$AL882,IF(J884="MWORLD",PR!$AM882,IF(J884="MEGA",PR!$AN882,IF(J884="MICRONOVA",PR!$AO882,IF(J884="MFLASH",PR!$AP882,IF(J884="MORISON",PR!$AQ882,IF(J884="NEMEL",PR!$AR882,IF(J884="NHP",PR!$AS882,IF(J884="NHC",PR!$AT882,IF(J884="OLEAF",PR!$AU882,IF(J884="OCULUS",PR!$AV882,IF(J884="PACIFIC",PR!$AW882,IF(J884="PHAMATEX",PR!$AX882,IF(J884="PETHICS",PR!$AY882,IF(J884="PHILIPS",PR!$AZ882,IF(J884="RANBAXY",PR!$BA882,IF(J884="REALS",PR!$BB882,IF(J884="ROYAL",PR!$BC882,IF(J884="SAM",PR!$BD882,IF(J884="SEAGREEN",PR!$BE882,IF(J884="SKG",PR!$BF882,IF(J884="TAH",PR!$BG882,IF(J884="TAYLEK",PR!$BH882,IF(J884="TEMITA",PR!$BI882,IF(J884="THL",PR!$BJ882,IF(J884="UBASTIC",PR!$BK882,IF(J884="UNION",PR!$BL882,IF(J884="UNIQUE",PR!$BM882,IF(J884="VIXA",PR!$BN882,IF(J884="WWCV",PR!$BO882,IF(J884="ZOLON",PR!$BP882,"-"))))))))))))))))))))))))))))))))))))))))))))))))))))))))))))))))</f>
        <v>5625</v>
      </c>
      <c r="J884" s="102" t="str">
        <f>EV!N1126</f>
        <v>DYNAMIC</v>
      </c>
      <c r="K884" s="433" t="s">
        <v>1463</v>
      </c>
      <c r="L884" s="183">
        <f>IF(K884&gt;0,IF(K884="ALPHA",PR!$E882,IF(K884="ASSENE",PR!$F882,IF(K884="BIOFEM",PR!$G882,IF(K884="BIOMED",PR!$H882,IF(K884="CHI",PR!$I882,IF(K884="CLARION",PR!$J882,IF(K884="CODIX",PR!$K882,IF(K884="COSMADE",PR!$L882,IF(K884="SANCON",PR!$M882,IF(K884="DEVON",PR!$N882,IF(K884="DORTEMAG",PR!$O882,IF(K884="DGF",PR!$P882,IF(K884="DYNAMIC",PR!$Q882,IF(K884="EMZOR",PR!$R882,IF(K884="EUMATT",PR!$S882,IF(K884="FIDSON",PR!$T882,IF(K884="FCGLOBAL",PR!$U882,IF(K884="GENEITH",PR!$V882,IF(K884="GINOS",PR!$W882,IF(K884="GSK",PR!$X882,IF(K884="GLOBORG",PR!$Y882,IF(K884="GOODNEWS",PR!$Z882,IF(K884="GREENLIFE",PR!$AA882,IF(K884="HLINE",PR!$AB882,IF(K884="ROTECH",PR!$AC882,IF(K884="ISN",PR!$AD882,IF(K884="JAWA",PR!$AE882,IF(K884="LAYO",PR!$AF882,IF(K884="LEADWAY",PR!$AG882,IF(K884="LHV",PR!$AH882,IF(K884="MANOLA",PR!$AI882,IF(K884="MARCSON",PR!$AJ882,IF(K884="M&amp;B",PR!$AK882,IF(K884="MTRUST",PR!$AL882,IF(K884="MWORLD",PR!$AM882,IF(K884="MEGA",PR!$AN882,IF(K884="MICRONOVA",PR!$AO882,IF(K884="MFLASH",PR!$AP882,IF(K884="MORISON",PR!$AQ882,IF(K884="NEMEL",PR!$AR882,IF(K884="NHP",PR!$AS882,IF(K884="NHC",PR!$AT882,IF(K884="OLEAF",PR!$AU882,IF(K884="OCULUS",PR!$AV882,IF(K884="PACIFIC",PR!$AW882,IF(K884="PHAMATEX",PR!$AX882,IF(K884="PETHICS",PR!$AY882,IF(K884="PHILIPS",PR!$AZ882,IF(K884="RANBAXY",PR!$BA882,IF(K884="REALS",PR!$BB882,IF(K884="ROYAL",PR!$BC882,IF(K884="SAM",PR!$BD882,IF(K884="SEAGREEN",PR!$BE882,IF(K884="SKG",PR!$BF882,IF(K884="TAH",PR!$BG882,IF(K884="TAYLEK",PR!$BH882,IF(K884="TEMITA",PR!$BI882,IF(K884="THL",PR!$BJ882,IF(K884="UBASTIC",PR!$BK882,IF(K884="UNION",PR!$BL882,IF(K884="UNIQUE",PR!$BM882,IF(K884="VIXA",PR!$BN882,IF(K884="WWCV",PR!$BO882,IF(K884="ZOLON",PR!$BP882,"-")))))))))))))))))))))))))))))))))))))))))))))))))))))))))))))))))</f>
        <v>5500</v>
      </c>
    </row>
    <row r="885" spans="1:12" ht="18.75" x14ac:dyDescent="0.3">
      <c r="A885" s="430">
        <f>PR!A883</f>
        <v>793</v>
      </c>
      <c r="B885" s="15" t="str">
        <f>PR!B883</f>
        <v>HEPARINIZED CAPILLARY TUBE</v>
      </c>
      <c r="C885" s="113" t="str">
        <f>PR!D883</f>
        <v>1 pack of 10</v>
      </c>
      <c r="D885" s="113">
        <f>PR!C883</f>
        <v>25</v>
      </c>
      <c r="E885" s="108">
        <f>IF(F885="ALPHA",PR!$E883,IF(F885="ASSENE",PR!$F883,IF(F885="BIOFEM",PR!$G883,IF(F885="BIOMED",PR!$H883,IF(F885="CHI",PR!$I883,IF(F885="CLARION",PR!$J883,IF(F885="CODIX",PR!$K883,IF(F885="COSMADE",PR!$L883,IF(F885="SANCON",PR!$M883,IF(F885="DEVON",PR!$N883,IF(F885="DORTEMAG",PR!$O883,IF(F885="DGF",PR!$P883,IF(F885="DYNAMIC",PR!$Q883,IF(F885="EMZOR",PR!$R883,IF(F885="EUMATT",PR!$S883,IF(F885="FIDSON",PR!$T883,IF(F885="FCGLOBAL",PR!$U883,IF(F885="GENEITH",PR!$V883,IF(F885="GINOS",PR!$W883,IF(F885="GSK",PR!$X883,IF(F885="GLOBORG",PR!$Y883,IF(F885="GOODNEWS",PR!$Z883,IF(F885="GREENLIFE",PR!$AA883,IF(F885="HLINE",PR!$AB883,IF(F885="ROTECH",PR!$AC883,IF(F885="ISN",PR!$AD883,IF(F885="JAWA",PR!$AE883,IF(F885="LAYO",PR!$AF883,IF(F885="LEADWAY",PR!$AG883,IF(F885="LHV",PR!$AH883,IF(F885="MANOLA",PR!$AI883,IF(F885="MARCSON",PR!$AJ883,IF(F885="M&amp;B",PR!$AK883,IF(F885="MTRUST",PR!$AL883,IF(F885="MWORLD",PR!$AM883,IF(F885="MEGA",PR!$AN883,IF(F885="MICRONOVA",PR!$AO883,IF(F885="MFLASH",PR!$AP883,IF(F885="MORISON",PR!$AQ883,IF(F885="NEMEL",PR!$AR883,IF(F885="NHP",PR!$AS883,IF(F885="NHC",PR!$AT883,IF(F885="OLEAF",PR!$AU883,IF(F885="OCULUS",PR!$AV883,IF(F885="PACIFIC",PR!$AW883,IF(F885="PHAMATEX",PR!$AX883,IF(F885="PETHICS",PR!$AY883,IF(F885="PHILIPS",PR!$AZ883,IF(F885="RANBAXY",PR!$BA883,IF(F885="REALS",PR!$BB883,IF(F885="ROYAL",PR!$BC883,IF(F885="SAM",PR!$BD883,IF(F885="SEAGREEN",PR!$BE883,IF(F885="SKG",PR!$BF883,IF(F885="TAH",PR!$BG883,IF(F885="TAYLEK",PR!$BH883,IF(F885="TEMITA",PR!$BI883,IF(F885="THL",PR!$BJ883,IF(F885="UBASTIC",PR!$BK883,IF(F885="UNION",PR!$BL883,IF(F885="UNIQUE",PR!$BM883,IF(F885="VIXA",PR!$BN883,IF(F885="WWCV",PR!$BO883,IF(F885="ZOLON",PR!$BP883,"-"))))))))))))))))))))))))))))))))))))))))))))))))))))))))))))))))</f>
        <v>5085</v>
      </c>
      <c r="F885" s="102" t="str">
        <f>EV!L1127</f>
        <v>ROTECH</v>
      </c>
      <c r="G885" s="108">
        <f>IF(H885="ALPHA",PR!$E883,IF(H885="ASSENE",PR!$F883,IF(H885="BIOFEM",PR!$G883,IF(H885="BIOMED",PR!$H883,IF(H885="CHI",PR!$I883,IF(H885="CLARION",PR!$J883,IF(H885="CODIX",PR!$K883,IF(H885="COSMADE",PR!$L883,IF(H885="SANCON",PR!$M883,IF(H885="DEVON",PR!$N883,IF(H885="DORTEMAG",PR!$O883,IF(H885="DGF",PR!$P883,IF(H885="DYNAMIC",PR!$Q883,IF(H885="EMZOR",PR!$R883,IF(H885="EUMATT",PR!$S883,IF(H885="FIDSON",PR!$T883,IF(H885="FCGLOBAL",PR!$U883,IF(H885="GENEITH",PR!$V883,IF(H885="GINOS",PR!$W883,IF(H885="GSK",PR!$X883,IF(H885="GLOBORG",PR!$Y883,IF(H885="GOODNEWS",PR!$Z883,IF(H885="GREENLIFE",PR!$AA883,IF(H885="HLINE",PR!$AB883,IF(H885="ROTECH",PR!$AC883,IF(H885="ISN",PR!$AD883,IF(H885="JAWA",PR!$AE883,IF(H885="LAYO",PR!$AF883,IF(H885="LEADWAY",PR!$AG883,IF(H885="LHV",PR!$AH883,IF(H885="MANOLA",PR!$AI883,IF(H885="MARCSON",PR!$AJ883,IF(H885="M&amp;B",PR!$AK883,IF(H885="MTRUST",PR!$AL883,IF(H885="MWORLD",PR!$AM883,IF(H885="MEGA",PR!$AN883,IF(H885="MICRONOVA",PR!$AO883,IF(H885="MFLASH",PR!$AP883,IF(H885="MORISON",PR!$AQ883,IF(H885="NEMEL",PR!$AR883,IF(H885="NHP",PR!$AS883,IF(H885="NHC",PR!$AT883,IF(H885="OLEAF",PR!$AU883,IF(H885="OCULUS",PR!$AV883,IF(H885="PACIFIC",PR!$AW883,IF(H885="PHAMATEX",PR!$AX883,IF(H885="PETHICS",PR!$AY883,IF(H885="PHILIPS",PR!$AZ883,IF(H885="RANBAXY",PR!$BA883,IF(H885="REALS",PR!$BB883,IF(H885="ROYAL",PR!$BC883,IF(H885="SAM",PR!$BD883,IF(H885="SEAGREEN",PR!$BE883,IF(H885="SKG",PR!$BF883,IF(H885="TAH",PR!$BG883,IF(H885="TAYLEK",PR!$BH883,IF(H885="TEMITA",PR!$BI883,IF(H885="THL",PR!$BJ883,IF(H885="UBASTIC",PR!$BK883,IF(H885="UNION",PR!$BL883,IF(H885="UNIQUE",PR!$BM883,IF(H885="VIXA",PR!$BN883,IF(H885="WWCV",PR!$BO883,IF(H885="ZOLON",PR!$BP883,"-"))))))))))))))))))))))))))))))))))))))))))))))))))))))))))))))))</f>
        <v>5500</v>
      </c>
      <c r="H885" s="102" t="str">
        <f>EV!M1127</f>
        <v>TEMITA</v>
      </c>
      <c r="I885" s="108">
        <f>IF(J885="ALPHA",PR!$E883,IF(J885="ASSENE",PR!$F883,IF(J885="BIOFEM",PR!$G883,IF(J885="BIOMED",PR!$H883,IF(J885="CHI",PR!$I883,IF(J885="CLARION",PR!$J883,IF(J885="CODIX",PR!$K883,IF(J885="COSMADE",PR!$L883,IF(J885="SANCON",PR!$M883,IF(J885="DEVON",PR!$N883,IF(J885="DORTEMAG",PR!$O883,IF(J885="DGF",PR!$P883,IF(J885="DYNAMIC",PR!$Q883,IF(J885="EMZOR",PR!$R883,IF(J885="EUMATT",PR!$S883,IF(J885="FIDSON",PR!$T883,IF(J885="FCGLOBAL",PR!$U883,IF(J885="GENEITH",PR!$V883,IF(J885="GINOS",PR!$W883,IF(J885="GSK",PR!$X883,IF(J885="GLOBORG",PR!$Y883,IF(J885="GOODNEWS",PR!$Z883,IF(J885="GREENLIFE",PR!$AA883,IF(J885="HLINE",PR!$AB883,IF(J885="ROTECH",PR!$AC883,IF(J885="ISN",PR!$AD883,IF(J885="JAWA",PR!$AE883,IF(J885="LAYO",PR!$AF883,IF(J885="LEADWAY",PR!$AG883,IF(J885="LHV",PR!$AH883,IF(J885="MANOLA",PR!$AI883,IF(J885="MARCSON",PR!$AJ883,IF(J885="M&amp;B",PR!$AK883,IF(J885="MTRUST",PR!$AL883,IF(J885="MWORLD",PR!$AM883,IF(J885="MEGA",PR!$AN883,IF(J885="MICRONOVA",PR!$AO883,IF(J885="MFLASH",PR!$AP883,IF(J885="MORISON",PR!$AQ883,IF(J885="NEMEL",PR!$AR883,IF(J885="NHP",PR!$AS883,IF(J885="NHC",PR!$AT883,IF(J885="OLEAF",PR!$AU883,IF(J885="OCULUS",PR!$AV883,IF(J885="PACIFIC",PR!$AW883,IF(J885="PHAMATEX",PR!$AX883,IF(J885="PETHICS",PR!$AY883,IF(J885="PHILIPS",PR!$AZ883,IF(J885="RANBAXY",PR!$BA883,IF(J885="REALS",PR!$BB883,IF(J885="ROYAL",PR!$BC883,IF(J885="SAM",PR!$BD883,IF(J885="SEAGREEN",PR!$BE883,IF(J885="SKG",PR!$BF883,IF(J885="TAH",PR!$BG883,IF(J885="TAYLEK",PR!$BH883,IF(J885="TEMITA",PR!$BI883,IF(J885="THL",PR!$BJ883,IF(J885="UBASTIC",PR!$BK883,IF(J885="UNION",PR!$BL883,IF(J885="UNIQUE",PR!$BM883,IF(J885="VIXA",PR!$BN883,IF(J885="WWCV",PR!$BO883,IF(J885="ZOLON",PR!$BP883,"-"))))))))))))))))))))))))))))))))))))))))))))))))))))))))))))))))</f>
        <v>5625</v>
      </c>
      <c r="J885" s="102" t="str">
        <f>EV!N1127</f>
        <v>DYNAMIC</v>
      </c>
      <c r="K885" s="433" t="s">
        <v>1463</v>
      </c>
      <c r="L885" s="183">
        <f>IF(K885&gt;0,IF(K885="ALPHA",PR!$E883,IF(K885="ASSENE",PR!$F883,IF(K885="BIOFEM",PR!$G883,IF(K885="BIOMED",PR!$H883,IF(K885="CHI",PR!$I883,IF(K885="CLARION",PR!$J883,IF(K885="CODIX",PR!$K883,IF(K885="COSMADE",PR!$L883,IF(K885="SANCON",PR!$M883,IF(K885="DEVON",PR!$N883,IF(K885="DORTEMAG",PR!$O883,IF(K885="DGF",PR!$P883,IF(K885="DYNAMIC",PR!$Q883,IF(K885="EMZOR",PR!$R883,IF(K885="EUMATT",PR!$S883,IF(K885="FIDSON",PR!$T883,IF(K885="FCGLOBAL",PR!$U883,IF(K885="GENEITH",PR!$V883,IF(K885="GINOS",PR!$W883,IF(K885="GSK",PR!$X883,IF(K885="GLOBORG",PR!$Y883,IF(K885="GOODNEWS",PR!$Z883,IF(K885="GREENLIFE",PR!$AA883,IF(K885="HLINE",PR!$AB883,IF(K885="ROTECH",PR!$AC883,IF(K885="ISN",PR!$AD883,IF(K885="JAWA",PR!$AE883,IF(K885="LAYO",PR!$AF883,IF(K885="LEADWAY",PR!$AG883,IF(K885="LHV",PR!$AH883,IF(K885="MANOLA",PR!$AI883,IF(K885="MARCSON",PR!$AJ883,IF(K885="M&amp;B",PR!$AK883,IF(K885="MTRUST",PR!$AL883,IF(K885="MWORLD",PR!$AM883,IF(K885="MEGA",PR!$AN883,IF(K885="MICRONOVA",PR!$AO883,IF(K885="MFLASH",PR!$AP883,IF(K885="MORISON",PR!$AQ883,IF(K885="NEMEL",PR!$AR883,IF(K885="NHP",PR!$AS883,IF(K885="NHC",PR!$AT883,IF(K885="OLEAF",PR!$AU883,IF(K885="OCULUS",PR!$AV883,IF(K885="PACIFIC",PR!$AW883,IF(K885="PHAMATEX",PR!$AX883,IF(K885="PETHICS",PR!$AY883,IF(K885="PHILIPS",PR!$AZ883,IF(K885="RANBAXY",PR!$BA883,IF(K885="REALS",PR!$BB883,IF(K885="ROYAL",PR!$BC883,IF(K885="SAM",PR!$BD883,IF(K885="SEAGREEN",PR!$BE883,IF(K885="SKG",PR!$BF883,IF(K885="TAH",PR!$BG883,IF(K885="TAYLEK",PR!$BH883,IF(K885="TEMITA",PR!$BI883,IF(K885="THL",PR!$BJ883,IF(K885="UBASTIC",PR!$BK883,IF(K885="UNION",PR!$BL883,IF(K885="UNIQUE",PR!$BM883,IF(K885="VIXA",PR!$BN883,IF(K885="WWCV",PR!$BO883,IF(K885="ZOLON",PR!$BP883,"-")))))))))))))))))))))))))))))))))))))))))))))))))))))))))))))))))</f>
        <v>5500</v>
      </c>
    </row>
    <row r="886" spans="1:12" ht="18.75" x14ac:dyDescent="0.3">
      <c r="A886" s="430">
        <f>PR!A884</f>
        <v>794</v>
      </c>
      <c r="B886" s="15" t="str">
        <f>PR!B884</f>
        <v>COVER SLIPS (22MM x 22MM)</v>
      </c>
      <c r="C886" s="113">
        <f>PR!D884</f>
        <v>0</v>
      </c>
      <c r="D886" s="113">
        <f>PR!C884</f>
        <v>15</v>
      </c>
      <c r="E886" s="108">
        <f>IF(F886="ALPHA",PR!$E884,IF(F886="ASSENE",PR!$F884,IF(F886="BIOFEM",PR!$G884,IF(F886="BIOMED",PR!$H884,IF(F886="CHI",PR!$I884,IF(F886="CLARION",PR!$J884,IF(F886="CODIX",PR!$K884,IF(F886="COSMADE",PR!$L884,IF(F886="SANCON",PR!$M884,IF(F886="DEVON",PR!$N884,IF(F886="DORTEMAG",PR!$O884,IF(F886="DGF",PR!$P884,IF(F886="DYNAMIC",PR!$Q884,IF(F886="EMZOR",PR!$R884,IF(F886="EUMATT",PR!$S884,IF(F886="FIDSON",PR!$T884,IF(F886="FCGLOBAL",PR!$U884,IF(F886="GENEITH",PR!$V884,IF(F886="GINOS",PR!$W884,IF(F886="GSK",PR!$X884,IF(F886="GLOBORG",PR!$Y884,IF(F886="GOODNEWS",PR!$Z884,IF(F886="GREENLIFE",PR!$AA884,IF(F886="HLINE",PR!$AB884,IF(F886="ROTECH",PR!$AC884,IF(F886="ISN",PR!$AD884,IF(F886="JAWA",PR!$AE884,IF(F886="LAYO",PR!$AF884,IF(F886="LEADWAY",PR!$AG884,IF(F886="LHV",PR!$AH884,IF(F886="MANOLA",PR!$AI884,IF(F886="MARCSON",PR!$AJ884,IF(F886="M&amp;B",PR!$AK884,IF(F886="MTRUST",PR!$AL884,IF(F886="MWORLD",PR!$AM884,IF(F886="MEGA",PR!$AN884,IF(F886="MICRONOVA",PR!$AO884,IF(F886="MFLASH",PR!$AP884,IF(F886="MORISON",PR!$AQ884,IF(F886="NEMEL",PR!$AR884,IF(F886="NHP",PR!$AS884,IF(F886="NHC",PR!$AT884,IF(F886="OLEAF",PR!$AU884,IF(F886="OCULUS",PR!$AV884,IF(F886="PACIFIC",PR!$AW884,IF(F886="PHAMATEX",PR!$AX884,IF(F886="PETHICS",PR!$AY884,IF(F886="PHILIPS",PR!$AZ884,IF(F886="RANBAXY",PR!$BA884,IF(F886="REALS",PR!$BB884,IF(F886="ROYAL",PR!$BC884,IF(F886="SAM",PR!$BD884,IF(F886="SEAGREEN",PR!$BE884,IF(F886="SKG",PR!$BF884,IF(F886="TAH",PR!$BG884,IF(F886="TAYLEK",PR!$BH884,IF(F886="TEMITA",PR!$BI884,IF(F886="THL",PR!$BJ884,IF(F886="UBASTIC",PR!$BK884,IF(F886="UNION",PR!$BL884,IF(F886="UNIQUE",PR!$BM884,IF(F886="VIXA",PR!$BN884,IF(F886="WWCV",PR!$BO884,IF(F886="ZOLON",PR!$BP884,"-"))))))))))))))))))))))))))))))))))))))))))))))))))))))))))))))))</f>
        <v>5500</v>
      </c>
      <c r="F886" s="102" t="str">
        <f>EV!L1128</f>
        <v>TEMITA</v>
      </c>
      <c r="G886" s="108">
        <f>IF(H886="ALPHA",PR!$E884,IF(H886="ASSENE",PR!$F884,IF(H886="BIOFEM",PR!$G884,IF(H886="BIOMED",PR!$H884,IF(H886="CHI",PR!$I884,IF(H886="CLARION",PR!$J884,IF(H886="CODIX",PR!$K884,IF(H886="COSMADE",PR!$L884,IF(H886="SANCON",PR!$M884,IF(H886="DEVON",PR!$N884,IF(H886="DORTEMAG",PR!$O884,IF(H886="DGF",PR!$P884,IF(H886="DYNAMIC",PR!$Q884,IF(H886="EMZOR",PR!$R884,IF(H886="EUMATT",PR!$S884,IF(H886="FIDSON",PR!$T884,IF(H886="FCGLOBAL",PR!$U884,IF(H886="GENEITH",PR!$V884,IF(H886="GINOS",PR!$W884,IF(H886="GSK",PR!$X884,IF(H886="GLOBORG",PR!$Y884,IF(H886="GOODNEWS",PR!$Z884,IF(H886="GREENLIFE",PR!$AA884,IF(H886="HLINE",PR!$AB884,IF(H886="ROTECH",PR!$AC884,IF(H886="ISN",PR!$AD884,IF(H886="JAWA",PR!$AE884,IF(H886="LAYO",PR!$AF884,IF(H886="LEADWAY",PR!$AG884,IF(H886="LHV",PR!$AH884,IF(H886="MANOLA",PR!$AI884,IF(H886="MARCSON",PR!$AJ884,IF(H886="M&amp;B",PR!$AK884,IF(H886="MTRUST",PR!$AL884,IF(H886="MWORLD",PR!$AM884,IF(H886="MEGA",PR!$AN884,IF(H886="MICRONOVA",PR!$AO884,IF(H886="MFLASH",PR!$AP884,IF(H886="MORISON",PR!$AQ884,IF(H886="NEMEL",PR!$AR884,IF(H886="NHP",PR!$AS884,IF(H886="NHC",PR!$AT884,IF(H886="OLEAF",PR!$AU884,IF(H886="OCULUS",PR!$AV884,IF(H886="PACIFIC",PR!$AW884,IF(H886="PHAMATEX",PR!$AX884,IF(H886="PETHICS",PR!$AY884,IF(H886="PHILIPS",PR!$AZ884,IF(H886="RANBAXY",PR!$BA884,IF(H886="REALS",PR!$BB884,IF(H886="ROYAL",PR!$BC884,IF(H886="SAM",PR!$BD884,IF(H886="SEAGREEN",PR!$BE884,IF(H886="SKG",PR!$BF884,IF(H886="TAH",PR!$BG884,IF(H886="TAYLEK",PR!$BH884,IF(H886="TEMITA",PR!$BI884,IF(H886="THL",PR!$BJ884,IF(H886="UBASTIC",PR!$BK884,IF(H886="UNION",PR!$BL884,IF(H886="UNIQUE",PR!$BM884,IF(H886="VIXA",PR!$BN884,IF(H886="WWCV",PR!$BO884,IF(H886="ZOLON",PR!$BP884,"-"))))))))))))))))))))))))))))))))))))))))))))))))))))))))))))))))</f>
        <v>6215</v>
      </c>
      <c r="H886" s="102" t="str">
        <f>EV!M1128</f>
        <v>ROTECH</v>
      </c>
      <c r="I886" s="108">
        <f>IF(J886="ALPHA",PR!$E884,IF(J886="ASSENE",PR!$F884,IF(J886="BIOFEM",PR!$G884,IF(J886="BIOMED",PR!$H884,IF(J886="CHI",PR!$I884,IF(J886="CLARION",PR!$J884,IF(J886="CODIX",PR!$K884,IF(J886="COSMADE",PR!$L884,IF(J886="SANCON",PR!$M884,IF(J886="DEVON",PR!$N884,IF(J886="DORTEMAG",PR!$O884,IF(J886="DGF",PR!$P884,IF(J886="DYNAMIC",PR!$Q884,IF(J886="EMZOR",PR!$R884,IF(J886="EUMATT",PR!$S884,IF(J886="FIDSON",PR!$T884,IF(J886="FCGLOBAL",PR!$U884,IF(J886="GENEITH",PR!$V884,IF(J886="GINOS",PR!$W884,IF(J886="GSK",PR!$X884,IF(J886="GLOBORG",PR!$Y884,IF(J886="GOODNEWS",PR!$Z884,IF(J886="GREENLIFE",PR!$AA884,IF(J886="HLINE",PR!$AB884,IF(J886="ROTECH",PR!$AC884,IF(J886="ISN",PR!$AD884,IF(J886="JAWA",PR!$AE884,IF(J886="LAYO",PR!$AF884,IF(J886="LEADWAY",PR!$AG884,IF(J886="LHV",PR!$AH884,IF(J886="MANOLA",PR!$AI884,IF(J886="MARCSON",PR!$AJ884,IF(J886="M&amp;B",PR!$AK884,IF(J886="MTRUST",PR!$AL884,IF(J886="MWORLD",PR!$AM884,IF(J886="MEGA",PR!$AN884,IF(J886="MICRONOVA",PR!$AO884,IF(J886="MFLASH",PR!$AP884,IF(J886="MORISON",PR!$AQ884,IF(J886="NEMEL",PR!$AR884,IF(J886="NHP",PR!$AS884,IF(J886="NHC",PR!$AT884,IF(J886="OLEAF",PR!$AU884,IF(J886="OCULUS",PR!$AV884,IF(J886="PACIFIC",PR!$AW884,IF(J886="PHAMATEX",PR!$AX884,IF(J886="PETHICS",PR!$AY884,IF(J886="PHILIPS",PR!$AZ884,IF(J886="RANBAXY",PR!$BA884,IF(J886="REALS",PR!$BB884,IF(J886="ROYAL",PR!$BC884,IF(J886="SAM",PR!$BD884,IF(J886="SEAGREEN",PR!$BE884,IF(J886="SKG",PR!$BF884,IF(J886="TAH",PR!$BG884,IF(J886="TAYLEK",PR!$BH884,IF(J886="TEMITA",PR!$BI884,IF(J886="THL",PR!$BJ884,IF(J886="UBASTIC",PR!$BK884,IF(J886="UNION",PR!$BL884,IF(J886="UNIQUE",PR!$BM884,IF(J886="VIXA",PR!$BN884,IF(J886="WWCV",PR!$BO884,IF(J886="ZOLON",PR!$BP884,"-"))))))))))))))))))))))))))))))))))))))))))))))))))))))))))))))))</f>
        <v>6250</v>
      </c>
      <c r="J886" s="102" t="str">
        <f>EV!N1128</f>
        <v>DYNAMIC</v>
      </c>
      <c r="K886" s="433" t="s">
        <v>1463</v>
      </c>
      <c r="L886" s="183">
        <f>IF(K886&gt;0,IF(K886="ALPHA",PR!$E884,IF(K886="ASSENE",PR!$F884,IF(K886="BIOFEM",PR!$G884,IF(K886="BIOMED",PR!$H884,IF(K886="CHI",PR!$I884,IF(K886="CLARION",PR!$J884,IF(K886="CODIX",PR!$K884,IF(K886="COSMADE",PR!$L884,IF(K886="SANCON",PR!$M884,IF(K886="DEVON",PR!$N884,IF(K886="DORTEMAG",PR!$O884,IF(K886="DGF",PR!$P884,IF(K886="DYNAMIC",PR!$Q884,IF(K886="EMZOR",PR!$R884,IF(K886="EUMATT",PR!$S884,IF(K886="FIDSON",PR!$T884,IF(K886="FCGLOBAL",PR!$U884,IF(K886="GENEITH",PR!$V884,IF(K886="GINOS",PR!$W884,IF(K886="GSK",PR!$X884,IF(K886="GLOBORG",PR!$Y884,IF(K886="GOODNEWS",PR!$Z884,IF(K886="GREENLIFE",PR!$AA884,IF(K886="HLINE",PR!$AB884,IF(K886="ROTECH",PR!$AC884,IF(K886="ISN",PR!$AD884,IF(K886="JAWA",PR!$AE884,IF(K886="LAYO",PR!$AF884,IF(K886="LEADWAY",PR!$AG884,IF(K886="LHV",PR!$AH884,IF(K886="MANOLA",PR!$AI884,IF(K886="MARCSON",PR!$AJ884,IF(K886="M&amp;B",PR!$AK884,IF(K886="MTRUST",PR!$AL884,IF(K886="MWORLD",PR!$AM884,IF(K886="MEGA",PR!$AN884,IF(K886="MICRONOVA",PR!$AO884,IF(K886="MFLASH",PR!$AP884,IF(K886="MORISON",PR!$AQ884,IF(K886="NEMEL",PR!$AR884,IF(K886="NHP",PR!$AS884,IF(K886="NHC",PR!$AT884,IF(K886="OLEAF",PR!$AU884,IF(K886="OCULUS",PR!$AV884,IF(K886="PACIFIC",PR!$AW884,IF(K886="PHAMATEX",PR!$AX884,IF(K886="PETHICS",PR!$AY884,IF(K886="PHILIPS",PR!$AZ884,IF(K886="RANBAXY",PR!$BA884,IF(K886="REALS",PR!$BB884,IF(K886="ROYAL",PR!$BC884,IF(K886="SAM",PR!$BD884,IF(K886="SEAGREEN",PR!$BE884,IF(K886="SKG",PR!$BF884,IF(K886="TAH",PR!$BG884,IF(K886="TAYLEK",PR!$BH884,IF(K886="TEMITA",PR!$BI884,IF(K886="THL",PR!$BJ884,IF(K886="UBASTIC",PR!$BK884,IF(K886="UNION",PR!$BL884,IF(K886="UNIQUE",PR!$BM884,IF(K886="VIXA",PR!$BN884,IF(K886="WWCV",PR!$BO884,IF(K886="ZOLON",PR!$BP884,"-")))))))))))))))))))))))))))))))))))))))))))))))))))))))))))))))))</f>
        <v>5500</v>
      </c>
    </row>
    <row r="887" spans="1:12" ht="18.75" x14ac:dyDescent="0.3">
      <c r="A887" s="430">
        <f>PR!A885</f>
        <v>795</v>
      </c>
      <c r="B887" s="15" t="str">
        <f>PR!B885</f>
        <v>ELISA HIV I &amp; II SCREENING KIT</v>
      </c>
      <c r="C887" s="113" t="str">
        <f>PR!D885</f>
        <v>1 pack of 96</v>
      </c>
      <c r="D887" s="113">
        <f>PR!C885</f>
        <v>48</v>
      </c>
      <c r="E887" s="108" t="str">
        <f>IF(F887="ALPHA",PR!$E885,IF(F887="ASSENE",PR!$F885,IF(F887="BIOFEM",PR!$G885,IF(F887="BIOMED",PR!$H885,IF(F887="CHI",PR!$I885,IF(F887="CLARION",PR!$J885,IF(F887="CODIX",PR!$K885,IF(F887="COSMADE",PR!$L885,IF(F887="SANCON",PR!$M885,IF(F887="DEVON",PR!$N885,IF(F887="DORTEMAG",PR!$O885,IF(F887="DGF",PR!$P885,IF(F887="DYNAMIC",PR!$Q885,IF(F887="EMZOR",PR!$R885,IF(F887="EUMATT",PR!$S885,IF(F887="FIDSON",PR!$T885,IF(F887="FCGLOBAL",PR!$U885,IF(F887="GENEITH",PR!$V885,IF(F887="GINOS",PR!$W885,IF(F887="GSK",PR!$X885,IF(F887="GLOBORG",PR!$Y885,IF(F887="GOODNEWS",PR!$Z885,IF(F887="GREENLIFE",PR!$AA885,IF(F887="HLINE",PR!$AB885,IF(F887="ROTECH",PR!$AC885,IF(F887="ISN",PR!$AD885,IF(F887="JAWA",PR!$AE885,IF(F887="LAYO",PR!$AF885,IF(F887="LEADWAY",PR!$AG885,IF(F887="LHV",PR!$AH885,IF(F887="MANOLA",PR!$AI885,IF(F887="MARCSON",PR!$AJ885,IF(F887="M&amp;B",PR!$AK885,IF(F887="MTRUST",PR!$AL885,IF(F887="MWORLD",PR!$AM885,IF(F887="MEGA",PR!$AN885,IF(F887="MICRONOVA",PR!$AO885,IF(F887="MFLASH",PR!$AP885,IF(F887="MORISON",PR!$AQ885,IF(F887="NEMEL",PR!$AR885,IF(F887="NHP",PR!$AS885,IF(F887="NHC",PR!$AT885,IF(F887="OLEAF",PR!$AU885,IF(F887="OCULUS",PR!$AV885,IF(F887="PACIFIC",PR!$AW885,IF(F887="PHAMATEX",PR!$AX885,IF(F887="PETHICS",PR!$AY885,IF(F887="PHILIPS",PR!$AZ885,IF(F887="RANBAXY",PR!$BA885,IF(F887="REALS",PR!$BB885,IF(F887="ROYAL",PR!$BC885,IF(F887="SAM",PR!$BD885,IF(F887="SEAGREEN",PR!$BE885,IF(F887="SKG",PR!$BF885,IF(F887="TAH",PR!$BG885,IF(F887="TAYLEK",PR!$BH885,IF(F887="TEMITA",PR!$BI885,IF(F887="THL",PR!$BJ885,IF(F887="UBASTIC",PR!$BK885,IF(F887="UNION",PR!$BL885,IF(F887="UNIQUE",PR!$BM885,IF(F887="VIXA",PR!$BN885,IF(F887="WWCV",PR!$BO885,IF(F887="ZOLON",PR!$BP885,"-"))))))))))))))))))))))))))))))))))))))))))))))))))))))))))))))))</f>
        <v>-</v>
      </c>
      <c r="F887" s="102">
        <f>EV!L1129</f>
        <v>0</v>
      </c>
      <c r="G887" s="108" t="str">
        <f>IF(H887="ALPHA",PR!$E885,IF(H887="ASSENE",PR!$F885,IF(H887="BIOFEM",PR!$G885,IF(H887="BIOMED",PR!$H885,IF(H887="CHI",PR!$I885,IF(H887="CLARION",PR!$J885,IF(H887="CODIX",PR!$K885,IF(H887="COSMADE",PR!$L885,IF(H887="SANCON",PR!$M885,IF(H887="DEVON",PR!$N885,IF(H887="DORTEMAG",PR!$O885,IF(H887="DGF",PR!$P885,IF(H887="DYNAMIC",PR!$Q885,IF(H887="EMZOR",PR!$R885,IF(H887="EUMATT",PR!$S885,IF(H887="FIDSON",PR!$T885,IF(H887="FCGLOBAL",PR!$U885,IF(H887="GENEITH",PR!$V885,IF(H887="GINOS",PR!$W885,IF(H887="GSK",PR!$X885,IF(H887="GLOBORG",PR!$Y885,IF(H887="GOODNEWS",PR!$Z885,IF(H887="GREENLIFE",PR!$AA885,IF(H887="HLINE",PR!$AB885,IF(H887="ROTECH",PR!$AC885,IF(H887="ISN",PR!$AD885,IF(H887="JAWA",PR!$AE885,IF(H887="LAYO",PR!$AF885,IF(H887="LEADWAY",PR!$AG885,IF(H887="LHV",PR!$AH885,IF(H887="MANOLA",PR!$AI885,IF(H887="MARCSON",PR!$AJ885,IF(H887="M&amp;B",PR!$AK885,IF(H887="MTRUST",PR!$AL885,IF(H887="MWORLD",PR!$AM885,IF(H887="MEGA",PR!$AN885,IF(H887="MICRONOVA",PR!$AO885,IF(H887="MFLASH",PR!$AP885,IF(H887="MORISON",PR!$AQ885,IF(H887="NEMEL",PR!$AR885,IF(H887="NHP",PR!$AS885,IF(H887="NHC",PR!$AT885,IF(H887="OLEAF",PR!$AU885,IF(H887="OCULUS",PR!$AV885,IF(H887="PACIFIC",PR!$AW885,IF(H887="PHAMATEX",PR!$AX885,IF(H887="PETHICS",PR!$AY885,IF(H887="PHILIPS",PR!$AZ885,IF(H887="RANBAXY",PR!$BA885,IF(H887="REALS",PR!$BB885,IF(H887="ROYAL",PR!$BC885,IF(H887="SAM",PR!$BD885,IF(H887="SEAGREEN",PR!$BE885,IF(H887="SKG",PR!$BF885,IF(H887="TAH",PR!$BG885,IF(H887="TAYLEK",PR!$BH885,IF(H887="TEMITA",PR!$BI885,IF(H887="THL",PR!$BJ885,IF(H887="UBASTIC",PR!$BK885,IF(H887="UNION",PR!$BL885,IF(H887="UNIQUE",PR!$BM885,IF(H887="VIXA",PR!$BN885,IF(H887="WWCV",PR!$BO885,IF(H887="ZOLON",PR!$BP885,"-"))))))))))))))))))))))))))))))))))))))))))))))))))))))))))))))))</f>
        <v>-</v>
      </c>
      <c r="H887" s="102">
        <f>EV!M1129</f>
        <v>0</v>
      </c>
      <c r="I887" s="108" t="str">
        <f>IF(J887="ALPHA",PR!$E885,IF(J887="ASSENE",PR!$F885,IF(J887="BIOFEM",PR!$G885,IF(J887="BIOMED",PR!$H885,IF(J887="CHI",PR!$I885,IF(J887="CLARION",PR!$J885,IF(J887="CODIX",PR!$K885,IF(J887="COSMADE",PR!$L885,IF(J887="SANCON",PR!$M885,IF(J887="DEVON",PR!$N885,IF(J887="DORTEMAG",PR!$O885,IF(J887="DGF",PR!$P885,IF(J887="DYNAMIC",PR!$Q885,IF(J887="EMZOR",PR!$R885,IF(J887="EUMATT",PR!$S885,IF(J887="FIDSON",PR!$T885,IF(J887="FCGLOBAL",PR!$U885,IF(J887="GENEITH",PR!$V885,IF(J887="GINOS",PR!$W885,IF(J887="GSK",PR!$X885,IF(J887="GLOBORG",PR!$Y885,IF(J887="GOODNEWS",PR!$Z885,IF(J887="GREENLIFE",PR!$AA885,IF(J887="HLINE",PR!$AB885,IF(J887="ROTECH",PR!$AC885,IF(J887="ISN",PR!$AD885,IF(J887="JAWA",PR!$AE885,IF(J887="LAYO",PR!$AF885,IF(J887="LEADWAY",PR!$AG885,IF(J887="LHV",PR!$AH885,IF(J887="MANOLA",PR!$AI885,IF(J887="MARCSON",PR!$AJ885,IF(J887="M&amp;B",PR!$AK885,IF(J887="MTRUST",PR!$AL885,IF(J887="MWORLD",PR!$AM885,IF(J887="MEGA",PR!$AN885,IF(J887="MICRONOVA",PR!$AO885,IF(J887="MFLASH",PR!$AP885,IF(J887="MORISON",PR!$AQ885,IF(J887="NEMEL",PR!$AR885,IF(J887="NHP",PR!$AS885,IF(J887="NHC",PR!$AT885,IF(J887="OLEAF",PR!$AU885,IF(J887="OCULUS",PR!$AV885,IF(J887="PACIFIC",PR!$AW885,IF(J887="PHAMATEX",PR!$AX885,IF(J887="PETHICS",PR!$AY885,IF(J887="PHILIPS",PR!$AZ885,IF(J887="RANBAXY",PR!$BA885,IF(J887="REALS",PR!$BB885,IF(J887="ROYAL",PR!$BC885,IF(J887="SAM",PR!$BD885,IF(J887="SEAGREEN",PR!$BE885,IF(J887="SKG",PR!$BF885,IF(J887="TAH",PR!$BG885,IF(J887="TAYLEK",PR!$BH885,IF(J887="TEMITA",PR!$BI885,IF(J887="THL",PR!$BJ885,IF(J887="UBASTIC",PR!$BK885,IF(J887="UNION",PR!$BL885,IF(J887="UNIQUE",PR!$BM885,IF(J887="VIXA",PR!$BN885,IF(J887="WWCV",PR!$BO885,IF(J887="ZOLON",PR!$BP885,"-"))))))))))))))))))))))))))))))))))))))))))))))))))))))))))))))))</f>
        <v>-</v>
      </c>
      <c r="J887" s="102">
        <f>EV!N1129</f>
        <v>0</v>
      </c>
      <c r="K887" s="433"/>
      <c r="L887" s="183" t="b">
        <f>IF(K887&gt;0,IF(K887="ALPHA",PR!$E885,IF(K887="ASSENE",PR!$F885,IF(K887="BIOFEM",PR!$G885,IF(K887="BIOMED",PR!$H885,IF(K887="CHI",PR!$I885,IF(K887="CLARION",PR!$J885,IF(K887="CODIX",PR!$K885,IF(K887="COSMADE",PR!$L885,IF(K887="SANCON",PR!$M885,IF(K887="DEVON",PR!$N885,IF(K887="DORTEMAG",PR!$O885,IF(K887="DGF",PR!$P885,IF(K887="DYNAMIC",PR!$Q885,IF(K887="EMZOR",PR!$R885,IF(K887="EUMATT",PR!$S885,IF(K887="FIDSON",PR!$T885,IF(K887="FCGLOBAL",PR!$U885,IF(K887="GENEITH",PR!$V885,IF(K887="GINOS",PR!$W885,IF(K887="GSK",PR!$X885,IF(K887="GLOBORG",PR!$Y885,IF(K887="GOODNEWS",PR!$Z885,IF(K887="GREENLIFE",PR!$AA885,IF(K887="HLINE",PR!$AB885,IF(K887="ROTECH",PR!$AC885,IF(K887="ISN",PR!$AD885,IF(K887="JAWA",PR!$AE885,IF(K887="LAYO",PR!$AF885,IF(K887="LEADWAY",PR!$AG885,IF(K887="LHV",PR!$AH885,IF(K887="MANOLA",PR!$AI885,IF(K887="MARCSON",PR!$AJ885,IF(K887="M&amp;B",PR!$AK885,IF(K887="MTRUST",PR!$AL885,IF(K887="MWORLD",PR!$AM885,IF(K887="MEGA",PR!$AN885,IF(K887="MICRONOVA",PR!$AO885,IF(K887="MFLASH",PR!$AP885,IF(K887="MORISON",PR!$AQ885,IF(K887="NEMEL",PR!$AR885,IF(K887="NHP",PR!$AS885,IF(K887="NHC",PR!$AT885,IF(K887="OLEAF",PR!$AU885,IF(K887="OCULUS",PR!$AV885,IF(K887="PACIFIC",PR!$AW885,IF(K887="PHAMATEX",PR!$AX885,IF(K887="PETHICS",PR!$AY885,IF(K887="PHILIPS",PR!$AZ885,IF(K887="RANBAXY",PR!$BA885,IF(K887="REALS",PR!$BB885,IF(K887="ROYAL",PR!$BC885,IF(K887="SAM",PR!$BD885,IF(K887="SEAGREEN",PR!$BE885,IF(K887="SKG",PR!$BF885,IF(K887="TAH",PR!$BG885,IF(K887="TAYLEK",PR!$BH885,IF(K887="TEMITA",PR!$BI885,IF(K887="THL",PR!$BJ885,IF(K887="UBASTIC",PR!$BK885,IF(K887="UNION",PR!$BL885,IF(K887="UNIQUE",PR!$BM885,IF(K887="VIXA",PR!$BN885,IF(K887="WWCV",PR!$BO885,IF(K887="ZOLON",PR!$BP885,"-")))))))))))))))))))))))))))))))))))))))))))))))))))))))))))))))))</f>
        <v>0</v>
      </c>
    </row>
    <row r="888" spans="1:12" ht="18.75" x14ac:dyDescent="0.3">
      <c r="A888" s="430">
        <f>PR!A886</f>
        <v>796</v>
      </c>
      <c r="B888" s="15" t="str">
        <f>PR!B886</f>
        <v>ELISA HEPATITIS B SCREENING KIT</v>
      </c>
      <c r="C888" s="113" t="str">
        <f>PR!D886</f>
        <v>1 pack of 96</v>
      </c>
      <c r="D888" s="113">
        <f>PR!C886</f>
        <v>48</v>
      </c>
      <c r="E888" s="108" t="str">
        <f>IF(F888="ALPHA",PR!$E886,IF(F888="ASSENE",PR!$F886,IF(F888="BIOFEM",PR!$G886,IF(F888="BIOMED",PR!$H886,IF(F888="CHI",PR!$I886,IF(F888="CLARION",PR!$J886,IF(F888="CODIX",PR!$K886,IF(F888="COSMADE",PR!$L886,IF(F888="SANCON",PR!$M886,IF(F888="DEVON",PR!$N886,IF(F888="DORTEMAG",PR!$O886,IF(F888="DGF",PR!$P886,IF(F888="DYNAMIC",PR!$Q886,IF(F888="EMZOR",PR!$R886,IF(F888="EUMATT",PR!$S886,IF(F888="FIDSON",PR!$T886,IF(F888="FCGLOBAL",PR!$U886,IF(F888="GENEITH",PR!$V886,IF(F888="GINOS",PR!$W886,IF(F888="GSK",PR!$X886,IF(F888="GLOBORG",PR!$Y886,IF(F888="GOODNEWS",PR!$Z886,IF(F888="GREENLIFE",PR!$AA886,IF(F888="HLINE",PR!$AB886,IF(F888="ROTECH",PR!$AC886,IF(F888="ISN",PR!$AD886,IF(F888="JAWA",PR!$AE886,IF(F888="LAYO",PR!$AF886,IF(F888="LEADWAY",PR!$AG886,IF(F888="LHV",PR!$AH886,IF(F888="MANOLA",PR!$AI886,IF(F888="MARCSON",PR!$AJ886,IF(F888="M&amp;B",PR!$AK886,IF(F888="MTRUST",PR!$AL886,IF(F888="MWORLD",PR!$AM886,IF(F888="MEGA",PR!$AN886,IF(F888="MICRONOVA",PR!$AO886,IF(F888="MFLASH",PR!$AP886,IF(F888="MORISON",PR!$AQ886,IF(F888="NEMEL",PR!$AR886,IF(F888="NHP",PR!$AS886,IF(F888="NHC",PR!$AT886,IF(F888="OLEAF",PR!$AU886,IF(F888="OCULUS",PR!$AV886,IF(F888="PACIFIC",PR!$AW886,IF(F888="PHAMATEX",PR!$AX886,IF(F888="PETHICS",PR!$AY886,IF(F888="PHILIPS",PR!$AZ886,IF(F888="RANBAXY",PR!$BA886,IF(F888="REALS",PR!$BB886,IF(F888="ROYAL",PR!$BC886,IF(F888="SAM",PR!$BD886,IF(F888="SEAGREEN",PR!$BE886,IF(F888="SKG",PR!$BF886,IF(F888="TAH",PR!$BG886,IF(F888="TAYLEK",PR!$BH886,IF(F888="TEMITA",PR!$BI886,IF(F888="THL",PR!$BJ886,IF(F888="UBASTIC",PR!$BK886,IF(F888="UNION",PR!$BL886,IF(F888="UNIQUE",PR!$BM886,IF(F888="VIXA",PR!$BN886,IF(F888="WWCV",PR!$BO886,IF(F888="ZOLON",PR!$BP886,"-"))))))))))))))))))))))))))))))))))))))))))))))))))))))))))))))))</f>
        <v>-</v>
      </c>
      <c r="F888" s="102">
        <f>EV!L1130</f>
        <v>0</v>
      </c>
      <c r="G888" s="108" t="str">
        <f>IF(H888="ALPHA",PR!$E886,IF(H888="ASSENE",PR!$F886,IF(H888="BIOFEM",PR!$G886,IF(H888="BIOMED",PR!$H886,IF(H888="CHI",PR!$I886,IF(H888="CLARION",PR!$J886,IF(H888="CODIX",PR!$K886,IF(H888="COSMADE",PR!$L886,IF(H888="SANCON",PR!$M886,IF(H888="DEVON",PR!$N886,IF(H888="DORTEMAG",PR!$O886,IF(H888="DGF",PR!$P886,IF(H888="DYNAMIC",PR!$Q886,IF(H888="EMZOR",PR!$R886,IF(H888="EUMATT",PR!$S886,IF(H888="FIDSON",PR!$T886,IF(H888="FCGLOBAL",PR!$U886,IF(H888="GENEITH",PR!$V886,IF(H888="GINOS",PR!$W886,IF(H888="GSK",PR!$X886,IF(H888="GLOBORG",PR!$Y886,IF(H888="GOODNEWS",PR!$Z886,IF(H888="GREENLIFE",PR!$AA886,IF(H888="HLINE",PR!$AB886,IF(H888="ROTECH",PR!$AC886,IF(H888="ISN",PR!$AD886,IF(H888="JAWA",PR!$AE886,IF(H888="LAYO",PR!$AF886,IF(H888="LEADWAY",PR!$AG886,IF(H888="LHV",PR!$AH886,IF(H888="MANOLA",PR!$AI886,IF(H888="MARCSON",PR!$AJ886,IF(H888="M&amp;B",PR!$AK886,IF(H888="MTRUST",PR!$AL886,IF(H888="MWORLD",PR!$AM886,IF(H888="MEGA",PR!$AN886,IF(H888="MICRONOVA",PR!$AO886,IF(H888="MFLASH",PR!$AP886,IF(H888="MORISON",PR!$AQ886,IF(H888="NEMEL",PR!$AR886,IF(H888="NHP",PR!$AS886,IF(H888="NHC",PR!$AT886,IF(H888="OLEAF",PR!$AU886,IF(H888="OCULUS",PR!$AV886,IF(H888="PACIFIC",PR!$AW886,IF(H888="PHAMATEX",PR!$AX886,IF(H888="PETHICS",PR!$AY886,IF(H888="PHILIPS",PR!$AZ886,IF(H888="RANBAXY",PR!$BA886,IF(H888="REALS",PR!$BB886,IF(H888="ROYAL",PR!$BC886,IF(H888="SAM",PR!$BD886,IF(H888="SEAGREEN",PR!$BE886,IF(H888="SKG",PR!$BF886,IF(H888="TAH",PR!$BG886,IF(H888="TAYLEK",PR!$BH886,IF(H888="TEMITA",PR!$BI886,IF(H888="THL",PR!$BJ886,IF(H888="UBASTIC",PR!$BK886,IF(H888="UNION",PR!$BL886,IF(H888="UNIQUE",PR!$BM886,IF(H888="VIXA",PR!$BN886,IF(H888="WWCV",PR!$BO886,IF(H888="ZOLON",PR!$BP886,"-"))))))))))))))))))))))))))))))))))))))))))))))))))))))))))))))))</f>
        <v>-</v>
      </c>
      <c r="H888" s="102">
        <f>EV!M1130</f>
        <v>0</v>
      </c>
      <c r="I888" s="108" t="str">
        <f>IF(J888="ALPHA",PR!$E886,IF(J888="ASSENE",PR!$F886,IF(J888="BIOFEM",PR!$G886,IF(J888="BIOMED",PR!$H886,IF(J888="CHI",PR!$I886,IF(J888="CLARION",PR!$J886,IF(J888="CODIX",PR!$K886,IF(J888="COSMADE",PR!$L886,IF(J888="SANCON",PR!$M886,IF(J888="DEVON",PR!$N886,IF(J888="DORTEMAG",PR!$O886,IF(J888="DGF",PR!$P886,IF(J888="DYNAMIC",PR!$Q886,IF(J888="EMZOR",PR!$R886,IF(J888="EUMATT",PR!$S886,IF(J888="FIDSON",PR!$T886,IF(J888="FCGLOBAL",PR!$U886,IF(J888="GENEITH",PR!$V886,IF(J888="GINOS",PR!$W886,IF(J888="GSK",PR!$X886,IF(J888="GLOBORG",PR!$Y886,IF(J888="GOODNEWS",PR!$Z886,IF(J888="GREENLIFE",PR!$AA886,IF(J888="HLINE",PR!$AB886,IF(J888="ROTECH",PR!$AC886,IF(J888="ISN",PR!$AD886,IF(J888="JAWA",PR!$AE886,IF(J888="LAYO",PR!$AF886,IF(J888="LEADWAY",PR!$AG886,IF(J888="LHV",PR!$AH886,IF(J888="MANOLA",PR!$AI886,IF(J888="MARCSON",PR!$AJ886,IF(J888="M&amp;B",PR!$AK886,IF(J888="MTRUST",PR!$AL886,IF(J888="MWORLD",PR!$AM886,IF(J888="MEGA",PR!$AN886,IF(J888="MICRONOVA",PR!$AO886,IF(J888="MFLASH",PR!$AP886,IF(J888="MORISON",PR!$AQ886,IF(J888="NEMEL",PR!$AR886,IF(J888="NHP",PR!$AS886,IF(J888="NHC",PR!$AT886,IF(J888="OLEAF",PR!$AU886,IF(J888="OCULUS",PR!$AV886,IF(J888="PACIFIC",PR!$AW886,IF(J888="PHAMATEX",PR!$AX886,IF(J888="PETHICS",PR!$AY886,IF(J888="PHILIPS",PR!$AZ886,IF(J888="RANBAXY",PR!$BA886,IF(J888="REALS",PR!$BB886,IF(J888="ROYAL",PR!$BC886,IF(J888="SAM",PR!$BD886,IF(J888="SEAGREEN",PR!$BE886,IF(J888="SKG",PR!$BF886,IF(J888="TAH",PR!$BG886,IF(J888="TAYLEK",PR!$BH886,IF(J888="TEMITA",PR!$BI886,IF(J888="THL",PR!$BJ886,IF(J888="UBASTIC",PR!$BK886,IF(J888="UNION",PR!$BL886,IF(J888="UNIQUE",PR!$BM886,IF(J888="VIXA",PR!$BN886,IF(J888="WWCV",PR!$BO886,IF(J888="ZOLON",PR!$BP886,"-"))))))))))))))))))))))))))))))))))))))))))))))))))))))))))))))))</f>
        <v>-</v>
      </c>
      <c r="J888" s="102">
        <f>EV!N1130</f>
        <v>0</v>
      </c>
      <c r="K888" s="433"/>
      <c r="L888" s="183" t="b">
        <f>IF(K888&gt;0,IF(K888="ALPHA",PR!$E886,IF(K888="ASSENE",PR!$F886,IF(K888="BIOFEM",PR!$G886,IF(K888="BIOMED",PR!$H886,IF(K888="CHI",PR!$I886,IF(K888="CLARION",PR!$J886,IF(K888="CODIX",PR!$K886,IF(K888="COSMADE",PR!$L886,IF(K888="SANCON",PR!$M886,IF(K888="DEVON",PR!$N886,IF(K888="DORTEMAG",PR!$O886,IF(K888="DGF",PR!$P886,IF(K888="DYNAMIC",PR!$Q886,IF(K888="EMZOR",PR!$R886,IF(K888="EUMATT",PR!$S886,IF(K888="FIDSON",PR!$T886,IF(K888="FCGLOBAL",PR!$U886,IF(K888="GENEITH",PR!$V886,IF(K888="GINOS",PR!$W886,IF(K888="GSK",PR!$X886,IF(K888="GLOBORG",PR!$Y886,IF(K888="GOODNEWS",PR!$Z886,IF(K888="GREENLIFE",PR!$AA886,IF(K888="HLINE",PR!$AB886,IF(K888="ROTECH",PR!$AC886,IF(K888="ISN",PR!$AD886,IF(K888="JAWA",PR!$AE886,IF(K888="LAYO",PR!$AF886,IF(K888="LEADWAY",PR!$AG886,IF(K888="LHV",PR!$AH886,IF(K888="MANOLA",PR!$AI886,IF(K888="MARCSON",PR!$AJ886,IF(K888="M&amp;B",PR!$AK886,IF(K888="MTRUST",PR!$AL886,IF(K888="MWORLD",PR!$AM886,IF(K888="MEGA",PR!$AN886,IF(K888="MICRONOVA",PR!$AO886,IF(K888="MFLASH",PR!$AP886,IF(K888="MORISON",PR!$AQ886,IF(K888="NEMEL",PR!$AR886,IF(K888="NHP",PR!$AS886,IF(K888="NHC",PR!$AT886,IF(K888="OLEAF",PR!$AU886,IF(K888="OCULUS",PR!$AV886,IF(K888="PACIFIC",PR!$AW886,IF(K888="PHAMATEX",PR!$AX886,IF(K888="PETHICS",PR!$AY886,IF(K888="PHILIPS",PR!$AZ886,IF(K888="RANBAXY",PR!$BA886,IF(K888="REALS",PR!$BB886,IF(K888="ROYAL",PR!$BC886,IF(K888="SAM",PR!$BD886,IF(K888="SEAGREEN",PR!$BE886,IF(K888="SKG",PR!$BF886,IF(K888="TAH",PR!$BG886,IF(K888="TAYLEK",PR!$BH886,IF(K888="TEMITA",PR!$BI886,IF(K888="THL",PR!$BJ886,IF(K888="UBASTIC",PR!$BK886,IF(K888="UNION",PR!$BL886,IF(K888="UNIQUE",PR!$BM886,IF(K888="VIXA",PR!$BN886,IF(K888="WWCV",PR!$BO886,IF(K888="ZOLON",PR!$BP886,"-")))))))))))))))))))))))))))))))))))))))))))))))))))))))))))))))))</f>
        <v>0</v>
      </c>
    </row>
    <row r="889" spans="1:12" ht="18.75" x14ac:dyDescent="0.3">
      <c r="A889" s="430">
        <f>PR!A887</f>
        <v>797</v>
      </c>
      <c r="B889" s="15" t="str">
        <f>PR!B887</f>
        <v>ELISA HEPATITIS C SCREENING KIT</v>
      </c>
      <c r="C889" s="113" t="str">
        <f>PR!D887</f>
        <v>1 pack of 96</v>
      </c>
      <c r="D889" s="113">
        <f>PR!C887</f>
        <v>48</v>
      </c>
      <c r="E889" s="108" t="str">
        <f>IF(F889="ALPHA",PR!$E887,IF(F889="ASSENE",PR!$F887,IF(F889="BIOFEM",PR!$G887,IF(F889="BIOMED",PR!$H887,IF(F889="CHI",PR!$I887,IF(F889="CLARION",PR!$J887,IF(F889="CODIX",PR!$K887,IF(F889="COSMADE",PR!$L887,IF(F889="SANCON",PR!$M887,IF(F889="DEVON",PR!$N887,IF(F889="DORTEMAG",PR!$O887,IF(F889="DGF",PR!$P887,IF(F889="DYNAMIC",PR!$Q887,IF(F889="EMZOR",PR!$R887,IF(F889="EUMATT",PR!$S887,IF(F889="FIDSON",PR!$T887,IF(F889="FCGLOBAL",PR!$U887,IF(F889="GENEITH",PR!$V887,IF(F889="GINOS",PR!$W887,IF(F889="GSK",PR!$X887,IF(F889="GLOBORG",PR!$Y887,IF(F889="GOODNEWS",PR!$Z887,IF(F889="GREENLIFE",PR!$AA887,IF(F889="HLINE",PR!$AB887,IF(F889="ROTECH",PR!$AC887,IF(F889="ISN",PR!$AD887,IF(F889="JAWA",PR!$AE887,IF(F889="LAYO",PR!$AF887,IF(F889="LEADWAY",PR!$AG887,IF(F889="LHV",PR!$AH887,IF(F889="MANOLA",PR!$AI887,IF(F889="MARCSON",PR!$AJ887,IF(F889="M&amp;B",PR!$AK887,IF(F889="MTRUST",PR!$AL887,IF(F889="MWORLD",PR!$AM887,IF(F889="MEGA",PR!$AN887,IF(F889="MICRONOVA",PR!$AO887,IF(F889="MFLASH",PR!$AP887,IF(F889="MORISON",PR!$AQ887,IF(F889="NEMEL",PR!$AR887,IF(F889="NHP",PR!$AS887,IF(F889="NHC",PR!$AT887,IF(F889="OLEAF",PR!$AU887,IF(F889="OCULUS",PR!$AV887,IF(F889="PACIFIC",PR!$AW887,IF(F889="PHAMATEX",PR!$AX887,IF(F889="PETHICS",PR!$AY887,IF(F889="PHILIPS",PR!$AZ887,IF(F889="RANBAXY",PR!$BA887,IF(F889="REALS",PR!$BB887,IF(F889="ROYAL",PR!$BC887,IF(F889="SAM",PR!$BD887,IF(F889="SEAGREEN",PR!$BE887,IF(F889="SKG",PR!$BF887,IF(F889="TAH",PR!$BG887,IF(F889="TAYLEK",PR!$BH887,IF(F889="TEMITA",PR!$BI887,IF(F889="THL",PR!$BJ887,IF(F889="UBASTIC",PR!$BK887,IF(F889="UNION",PR!$BL887,IF(F889="UNIQUE",PR!$BM887,IF(F889="VIXA",PR!$BN887,IF(F889="WWCV",PR!$BO887,IF(F889="ZOLON",PR!$BP887,"-"))))))))))))))))))))))))))))))))))))))))))))))))))))))))))))))))</f>
        <v>-</v>
      </c>
      <c r="F889" s="102">
        <f>EV!L1131</f>
        <v>0</v>
      </c>
      <c r="G889" s="108" t="str">
        <f>IF(H889="ALPHA",PR!$E887,IF(H889="ASSENE",PR!$F887,IF(H889="BIOFEM",PR!$G887,IF(H889="BIOMED",PR!$H887,IF(H889="CHI",PR!$I887,IF(H889="CLARION",PR!$J887,IF(H889="CODIX",PR!$K887,IF(H889="COSMADE",PR!$L887,IF(H889="SANCON",PR!$M887,IF(H889="DEVON",PR!$N887,IF(H889="DORTEMAG",PR!$O887,IF(H889="DGF",PR!$P887,IF(H889="DYNAMIC",PR!$Q887,IF(H889="EMZOR",PR!$R887,IF(H889="EUMATT",PR!$S887,IF(H889="FIDSON",PR!$T887,IF(H889="FCGLOBAL",PR!$U887,IF(H889="GENEITH",PR!$V887,IF(H889="GINOS",PR!$W887,IF(H889="GSK",PR!$X887,IF(H889="GLOBORG",PR!$Y887,IF(H889="GOODNEWS",PR!$Z887,IF(H889="GREENLIFE",PR!$AA887,IF(H889="HLINE",PR!$AB887,IF(H889="ROTECH",PR!$AC887,IF(H889="ISN",PR!$AD887,IF(H889="JAWA",PR!$AE887,IF(H889="LAYO",PR!$AF887,IF(H889="LEADWAY",PR!$AG887,IF(H889="LHV",PR!$AH887,IF(H889="MANOLA",PR!$AI887,IF(H889="MARCSON",PR!$AJ887,IF(H889="M&amp;B",PR!$AK887,IF(H889="MTRUST",PR!$AL887,IF(H889="MWORLD",PR!$AM887,IF(H889="MEGA",PR!$AN887,IF(H889="MICRONOVA",PR!$AO887,IF(H889="MFLASH",PR!$AP887,IF(H889="MORISON",PR!$AQ887,IF(H889="NEMEL",PR!$AR887,IF(H889="NHP",PR!$AS887,IF(H889="NHC",PR!$AT887,IF(H889="OLEAF",PR!$AU887,IF(H889="OCULUS",PR!$AV887,IF(H889="PACIFIC",PR!$AW887,IF(H889="PHAMATEX",PR!$AX887,IF(H889="PETHICS",PR!$AY887,IF(H889="PHILIPS",PR!$AZ887,IF(H889="RANBAXY",PR!$BA887,IF(H889="REALS",PR!$BB887,IF(H889="ROYAL",PR!$BC887,IF(H889="SAM",PR!$BD887,IF(H889="SEAGREEN",PR!$BE887,IF(H889="SKG",PR!$BF887,IF(H889="TAH",PR!$BG887,IF(H889="TAYLEK",PR!$BH887,IF(H889="TEMITA",PR!$BI887,IF(H889="THL",PR!$BJ887,IF(H889="UBASTIC",PR!$BK887,IF(H889="UNION",PR!$BL887,IF(H889="UNIQUE",PR!$BM887,IF(H889="VIXA",PR!$BN887,IF(H889="WWCV",PR!$BO887,IF(H889="ZOLON",PR!$BP887,"-"))))))))))))))))))))))))))))))))))))))))))))))))))))))))))))))))</f>
        <v>-</v>
      </c>
      <c r="H889" s="102">
        <f>EV!M1131</f>
        <v>0</v>
      </c>
      <c r="I889" s="108" t="str">
        <f>IF(J889="ALPHA",PR!$E887,IF(J889="ASSENE",PR!$F887,IF(J889="BIOFEM",PR!$G887,IF(J889="BIOMED",PR!$H887,IF(J889="CHI",PR!$I887,IF(J889="CLARION",PR!$J887,IF(J889="CODIX",PR!$K887,IF(J889="COSMADE",PR!$L887,IF(J889="SANCON",PR!$M887,IF(J889="DEVON",PR!$N887,IF(J889="DORTEMAG",PR!$O887,IF(J889="DGF",PR!$P887,IF(J889="DYNAMIC",PR!$Q887,IF(J889="EMZOR",PR!$R887,IF(J889="EUMATT",PR!$S887,IF(J889="FIDSON",PR!$T887,IF(J889="FCGLOBAL",PR!$U887,IF(J889="GENEITH",PR!$V887,IF(J889="GINOS",PR!$W887,IF(J889="GSK",PR!$X887,IF(J889="GLOBORG",PR!$Y887,IF(J889="GOODNEWS",PR!$Z887,IF(J889="GREENLIFE",PR!$AA887,IF(J889="HLINE",PR!$AB887,IF(J889="ROTECH",PR!$AC887,IF(J889="ISN",PR!$AD887,IF(J889="JAWA",PR!$AE887,IF(J889="LAYO",PR!$AF887,IF(J889="LEADWAY",PR!$AG887,IF(J889="LHV",PR!$AH887,IF(J889="MANOLA",PR!$AI887,IF(J889="MARCSON",PR!$AJ887,IF(J889="M&amp;B",PR!$AK887,IF(J889="MTRUST",PR!$AL887,IF(J889="MWORLD",PR!$AM887,IF(J889="MEGA",PR!$AN887,IF(J889="MICRONOVA",PR!$AO887,IF(J889="MFLASH",PR!$AP887,IF(J889="MORISON",PR!$AQ887,IF(J889="NEMEL",PR!$AR887,IF(J889="NHP",PR!$AS887,IF(J889="NHC",PR!$AT887,IF(J889="OLEAF",PR!$AU887,IF(J889="OCULUS",PR!$AV887,IF(J889="PACIFIC",PR!$AW887,IF(J889="PHAMATEX",PR!$AX887,IF(J889="PETHICS",PR!$AY887,IF(J889="PHILIPS",PR!$AZ887,IF(J889="RANBAXY",PR!$BA887,IF(J889="REALS",PR!$BB887,IF(J889="ROYAL",PR!$BC887,IF(J889="SAM",PR!$BD887,IF(J889="SEAGREEN",PR!$BE887,IF(J889="SKG",PR!$BF887,IF(J889="TAH",PR!$BG887,IF(J889="TAYLEK",PR!$BH887,IF(J889="TEMITA",PR!$BI887,IF(J889="THL",PR!$BJ887,IF(J889="UBASTIC",PR!$BK887,IF(J889="UNION",PR!$BL887,IF(J889="UNIQUE",PR!$BM887,IF(J889="VIXA",PR!$BN887,IF(J889="WWCV",PR!$BO887,IF(J889="ZOLON",PR!$BP887,"-"))))))))))))))))))))))))))))))))))))))))))))))))))))))))))))))))</f>
        <v>-</v>
      </c>
      <c r="J889" s="102">
        <f>EV!N1131</f>
        <v>0</v>
      </c>
      <c r="K889" s="433"/>
      <c r="L889" s="183" t="b">
        <f>IF(K889&gt;0,IF(K889="ALPHA",PR!$E887,IF(K889="ASSENE",PR!$F887,IF(K889="BIOFEM",PR!$G887,IF(K889="BIOMED",PR!$H887,IF(K889="CHI",PR!$I887,IF(K889="CLARION",PR!$J887,IF(K889="CODIX",PR!$K887,IF(K889="COSMADE",PR!$L887,IF(K889="SANCON",PR!$M887,IF(K889="DEVON",PR!$N887,IF(K889="DORTEMAG",PR!$O887,IF(K889="DGF",PR!$P887,IF(K889="DYNAMIC",PR!$Q887,IF(K889="EMZOR",PR!$R887,IF(K889="EUMATT",PR!$S887,IF(K889="FIDSON",PR!$T887,IF(K889="FCGLOBAL",PR!$U887,IF(K889="GENEITH",PR!$V887,IF(K889="GINOS",PR!$W887,IF(K889="GSK",PR!$X887,IF(K889="GLOBORG",PR!$Y887,IF(K889="GOODNEWS",PR!$Z887,IF(K889="GREENLIFE",PR!$AA887,IF(K889="HLINE",PR!$AB887,IF(K889="ROTECH",PR!$AC887,IF(K889="ISN",PR!$AD887,IF(K889="JAWA",PR!$AE887,IF(K889="LAYO",PR!$AF887,IF(K889="LEADWAY",PR!$AG887,IF(K889="LHV",PR!$AH887,IF(K889="MANOLA",PR!$AI887,IF(K889="MARCSON",PR!$AJ887,IF(K889="M&amp;B",PR!$AK887,IF(K889="MTRUST",PR!$AL887,IF(K889="MWORLD",PR!$AM887,IF(K889="MEGA",PR!$AN887,IF(K889="MICRONOVA",PR!$AO887,IF(K889="MFLASH",PR!$AP887,IF(K889="MORISON",PR!$AQ887,IF(K889="NEMEL",PR!$AR887,IF(K889="NHP",PR!$AS887,IF(K889="NHC",PR!$AT887,IF(K889="OLEAF",PR!$AU887,IF(K889="OCULUS",PR!$AV887,IF(K889="PACIFIC",PR!$AW887,IF(K889="PHAMATEX",PR!$AX887,IF(K889="PETHICS",PR!$AY887,IF(K889="PHILIPS",PR!$AZ887,IF(K889="RANBAXY",PR!$BA887,IF(K889="REALS",PR!$BB887,IF(K889="ROYAL",PR!$BC887,IF(K889="SAM",PR!$BD887,IF(K889="SEAGREEN",PR!$BE887,IF(K889="SKG",PR!$BF887,IF(K889="TAH",PR!$BG887,IF(K889="TAYLEK",PR!$BH887,IF(K889="TEMITA",PR!$BI887,IF(K889="THL",PR!$BJ887,IF(K889="UBASTIC",PR!$BK887,IF(K889="UNION",PR!$BL887,IF(K889="UNIQUE",PR!$BM887,IF(K889="VIXA",PR!$BN887,IF(K889="WWCV",PR!$BO887,IF(K889="ZOLON",PR!$BP887,"-")))))))))))))))))))))))))))))))))))))))))))))))))))))))))))))))))</f>
        <v>0</v>
      </c>
    </row>
    <row r="890" spans="1:12" ht="18.75" x14ac:dyDescent="0.3">
      <c r="A890" s="430">
        <f>PR!A888</f>
        <v>798</v>
      </c>
      <c r="B890" s="15" t="str">
        <f>PR!B888</f>
        <v>CELL PACK DCL (C1661628) 20L</v>
      </c>
      <c r="C890" s="113">
        <f>PR!D888</f>
        <v>0</v>
      </c>
      <c r="D890" s="113">
        <f>PR!C888</f>
        <v>50</v>
      </c>
      <c r="E890" s="108">
        <f>IF(F890="ALPHA",PR!$E888,IF(F890="ASSENE",PR!$F888,IF(F890="BIOFEM",PR!$G888,IF(F890="BIOMED",PR!$H888,IF(F890="CHI",PR!$I888,IF(F890="CLARION",PR!$J888,IF(F890="CODIX",PR!$K888,IF(F890="COSMADE",PR!$L888,IF(F890="SANCON",PR!$M888,IF(F890="DEVON",PR!$N888,IF(F890="DORTEMAG",PR!$O888,IF(F890="DGF",PR!$P888,IF(F890="DYNAMIC",PR!$Q888,IF(F890="EMZOR",PR!$R888,IF(F890="EUMATT",PR!$S888,IF(F890="FIDSON",PR!$T888,IF(F890="FCGLOBAL",PR!$U888,IF(F890="GENEITH",PR!$V888,IF(F890="GINOS",PR!$W888,IF(F890="GSK",PR!$X888,IF(F890="GLOBORG",PR!$Y888,IF(F890="GOODNEWS",PR!$Z888,IF(F890="GREENLIFE",PR!$AA888,IF(F890="HLINE",PR!$AB888,IF(F890="ROTECH",PR!$AC888,IF(F890="ISN",PR!$AD888,IF(F890="JAWA",PR!$AE888,IF(F890="LAYO",PR!$AF888,IF(F890="LEADWAY",PR!$AG888,IF(F890="LHV",PR!$AH888,IF(F890="MANOLA",PR!$AI888,IF(F890="MARCSON",PR!$AJ888,IF(F890="M&amp;B",PR!$AK888,IF(F890="MTRUST",PR!$AL888,IF(F890="MWORLD",PR!$AM888,IF(F890="MEGA",PR!$AN888,IF(F890="MICRONOVA",PR!$AO888,IF(F890="MFLASH",PR!$AP888,IF(F890="MORISON",PR!$AQ888,IF(F890="NEMEL",PR!$AR888,IF(F890="NHP",PR!$AS888,IF(F890="NHC",PR!$AT888,IF(F890="OLEAF",PR!$AU888,IF(F890="OCULUS",PR!$AV888,IF(F890="PACIFIC",PR!$AW888,IF(F890="PHAMATEX",PR!$AX888,IF(F890="PETHICS",PR!$AY888,IF(F890="PHILIPS",PR!$AZ888,IF(F890="RANBAXY",PR!$BA888,IF(F890="REALS",PR!$BB888,IF(F890="ROYAL",PR!$BC888,IF(F890="SAM",PR!$BD888,IF(F890="SEAGREEN",PR!$BE888,IF(F890="SKG",PR!$BF888,IF(F890="TAH",PR!$BG888,IF(F890="TAYLEK",PR!$BH888,IF(F890="TEMITA",PR!$BI888,IF(F890="THL",PR!$BJ888,IF(F890="UBASTIC",PR!$BK888,IF(F890="UNION",PR!$BL888,IF(F890="UNIQUE",PR!$BM888,IF(F890="VIXA",PR!$BN888,IF(F890="WWCV",PR!$BO888,IF(F890="ZOLON",PR!$BP888,"-"))))))))))))))))))))))))))))))))))))))))))))))))))))))))))))))))</f>
        <v>39450</v>
      </c>
      <c r="F890" s="102" t="str">
        <f>EV!L1132</f>
        <v>UNION</v>
      </c>
      <c r="G890" s="108" t="str">
        <f>IF(H890="ALPHA",PR!$E888,IF(H890="ASSENE",PR!$F888,IF(H890="BIOFEM",PR!$G888,IF(H890="BIOMED",PR!$H888,IF(H890="CHI",PR!$I888,IF(H890="CLARION",PR!$J888,IF(H890="CODIX",PR!$K888,IF(H890="COSMADE",PR!$L888,IF(H890="SANCON",PR!$M888,IF(H890="DEVON",PR!$N888,IF(H890="DORTEMAG",PR!$O888,IF(H890="DGF",PR!$P888,IF(H890="DYNAMIC",PR!$Q888,IF(H890="EMZOR",PR!$R888,IF(H890="EUMATT",PR!$S888,IF(H890="FIDSON",PR!$T888,IF(H890="FCGLOBAL",PR!$U888,IF(H890="GENEITH",PR!$V888,IF(H890="GINOS",PR!$W888,IF(H890="GSK",PR!$X888,IF(H890="GLOBORG",PR!$Y888,IF(H890="GOODNEWS",PR!$Z888,IF(H890="GREENLIFE",PR!$AA888,IF(H890="HLINE",PR!$AB888,IF(H890="ROTECH",PR!$AC888,IF(H890="ISN",PR!$AD888,IF(H890="JAWA",PR!$AE888,IF(H890="LAYO",PR!$AF888,IF(H890="LEADWAY",PR!$AG888,IF(H890="LHV",PR!$AH888,IF(H890="MANOLA",PR!$AI888,IF(H890="MARCSON",PR!$AJ888,IF(H890="M&amp;B",PR!$AK888,IF(H890="MTRUST",PR!$AL888,IF(H890="MWORLD",PR!$AM888,IF(H890="MEGA",PR!$AN888,IF(H890="MICRONOVA",PR!$AO888,IF(H890="MFLASH",PR!$AP888,IF(H890="MORISON",PR!$AQ888,IF(H890="NEMEL",PR!$AR888,IF(H890="NHP",PR!$AS888,IF(H890="NHC",PR!$AT888,IF(H890="OLEAF",PR!$AU888,IF(H890="OCULUS",PR!$AV888,IF(H890="PACIFIC",PR!$AW888,IF(H890="PHAMATEX",PR!$AX888,IF(H890="PETHICS",PR!$AY888,IF(H890="PHILIPS",PR!$AZ888,IF(H890="RANBAXY",PR!$BA888,IF(H890="REALS",PR!$BB888,IF(H890="ROYAL",PR!$BC888,IF(H890="SAM",PR!$BD888,IF(H890="SEAGREEN",PR!$BE888,IF(H890="SKG",PR!$BF888,IF(H890="TAH",PR!$BG888,IF(H890="TAYLEK",PR!$BH888,IF(H890="TEMITA",PR!$BI888,IF(H890="THL",PR!$BJ888,IF(H890="UBASTIC",PR!$BK888,IF(H890="UNION",PR!$BL888,IF(H890="UNIQUE",PR!$BM888,IF(H890="VIXA",PR!$BN888,IF(H890="WWCV",PR!$BO888,IF(H890="ZOLON",PR!$BP888,"-"))))))))))))))))))))))))))))))))))))))))))))))))))))))))))))))))</f>
        <v>-</v>
      </c>
      <c r="H890" s="102">
        <f>EV!M1132</f>
        <v>0</v>
      </c>
      <c r="I890" s="108" t="str">
        <f>IF(J890="ALPHA",PR!$E888,IF(J890="ASSENE",PR!$F888,IF(J890="BIOFEM",PR!$G888,IF(J890="BIOMED",PR!$H888,IF(J890="CHI",PR!$I888,IF(J890="CLARION",PR!$J888,IF(J890="CODIX",PR!$K888,IF(J890="COSMADE",PR!$L888,IF(J890="SANCON",PR!$M888,IF(J890="DEVON",PR!$N888,IF(J890="DORTEMAG",PR!$O888,IF(J890="DGF",PR!$P888,IF(J890="DYNAMIC",PR!$Q888,IF(J890="EMZOR",PR!$R888,IF(J890="EUMATT",PR!$S888,IF(J890="FIDSON",PR!$T888,IF(J890="FCGLOBAL",PR!$U888,IF(J890="GENEITH",PR!$V888,IF(J890="GINOS",PR!$W888,IF(J890="GSK",PR!$X888,IF(J890="GLOBORG",PR!$Y888,IF(J890="GOODNEWS",PR!$Z888,IF(J890="GREENLIFE",PR!$AA888,IF(J890="HLINE",PR!$AB888,IF(J890="ROTECH",PR!$AC888,IF(J890="ISN",PR!$AD888,IF(J890="JAWA",PR!$AE888,IF(J890="LAYO",PR!$AF888,IF(J890="LEADWAY",PR!$AG888,IF(J890="LHV",PR!$AH888,IF(J890="MANOLA",PR!$AI888,IF(J890="MARCSON",PR!$AJ888,IF(J890="M&amp;B",PR!$AK888,IF(J890="MTRUST",PR!$AL888,IF(J890="MWORLD",PR!$AM888,IF(J890="MEGA",PR!$AN888,IF(J890="MICRONOVA",PR!$AO888,IF(J890="MFLASH",PR!$AP888,IF(J890="MORISON",PR!$AQ888,IF(J890="NEMEL",PR!$AR888,IF(J890="NHP",PR!$AS888,IF(J890="NHC",PR!$AT888,IF(J890="OLEAF",PR!$AU888,IF(J890="OCULUS",PR!$AV888,IF(J890="PACIFIC",PR!$AW888,IF(J890="PHAMATEX",PR!$AX888,IF(J890="PETHICS",PR!$AY888,IF(J890="PHILIPS",PR!$AZ888,IF(J890="RANBAXY",PR!$BA888,IF(J890="REALS",PR!$BB888,IF(J890="ROYAL",PR!$BC888,IF(J890="SAM",PR!$BD888,IF(J890="SEAGREEN",PR!$BE888,IF(J890="SKG",PR!$BF888,IF(J890="TAH",PR!$BG888,IF(J890="TAYLEK",PR!$BH888,IF(J890="TEMITA",PR!$BI888,IF(J890="THL",PR!$BJ888,IF(J890="UBASTIC",PR!$BK888,IF(J890="UNION",PR!$BL888,IF(J890="UNIQUE",PR!$BM888,IF(J890="VIXA",PR!$BN888,IF(J890="WWCV",PR!$BO888,IF(J890="ZOLON",PR!$BP888,"-"))))))))))))))))))))))))))))))))))))))))))))))))))))))))))))))))</f>
        <v>-</v>
      </c>
      <c r="J890" s="102">
        <f>EV!N1132</f>
        <v>0</v>
      </c>
      <c r="K890" s="433" t="s">
        <v>1470</v>
      </c>
      <c r="L890" s="183">
        <f>IF(K890&gt;0,IF(K890="ALPHA",PR!$E888,IF(K890="ASSENE",PR!$F888,IF(K890="BIOFEM",PR!$G888,IF(K890="BIOMED",PR!$H888,IF(K890="CHI",PR!$I888,IF(K890="CLARION",PR!$J888,IF(K890="CODIX",PR!$K888,IF(K890="COSMADE",PR!$L888,IF(K890="SANCON",PR!$M888,IF(K890="DEVON",PR!$N888,IF(K890="DORTEMAG",PR!$O888,IF(K890="DGF",PR!$P888,IF(K890="DYNAMIC",PR!$Q888,IF(K890="EMZOR",PR!$R888,IF(K890="EUMATT",PR!$S888,IF(K890="FIDSON",PR!$T888,IF(K890="FCGLOBAL",PR!$U888,IF(K890="GENEITH",PR!$V888,IF(K890="GINOS",PR!$W888,IF(K890="GSK",PR!$X888,IF(K890="GLOBORG",PR!$Y888,IF(K890="GOODNEWS",PR!$Z888,IF(K890="GREENLIFE",PR!$AA888,IF(K890="HLINE",PR!$AB888,IF(K890="ROTECH",PR!$AC888,IF(K890="ISN",PR!$AD888,IF(K890="JAWA",PR!$AE888,IF(K890="LAYO",PR!$AF888,IF(K890="LEADWAY",PR!$AG888,IF(K890="LHV",PR!$AH888,IF(K890="MANOLA",PR!$AI888,IF(K890="MARCSON",PR!$AJ888,IF(K890="M&amp;B",PR!$AK888,IF(K890="MTRUST",PR!$AL888,IF(K890="MWORLD",PR!$AM888,IF(K890="MEGA",PR!$AN888,IF(K890="MICRONOVA",PR!$AO888,IF(K890="MFLASH",PR!$AP888,IF(K890="MORISON",PR!$AQ888,IF(K890="NEMEL",PR!$AR888,IF(K890="NHP",PR!$AS888,IF(K890="NHC",PR!$AT888,IF(K890="OLEAF",PR!$AU888,IF(K890="OCULUS",PR!$AV888,IF(K890="PACIFIC",PR!$AW888,IF(K890="PHAMATEX",PR!$AX888,IF(K890="PETHICS",PR!$AY888,IF(K890="PHILIPS",PR!$AZ888,IF(K890="RANBAXY",PR!$BA888,IF(K890="REALS",PR!$BB888,IF(K890="ROYAL",PR!$BC888,IF(K890="SAM",PR!$BD888,IF(K890="SEAGREEN",PR!$BE888,IF(K890="SKG",PR!$BF888,IF(K890="TAH",PR!$BG888,IF(K890="TAYLEK",PR!$BH888,IF(K890="TEMITA",PR!$BI888,IF(K890="THL",PR!$BJ888,IF(K890="UBASTIC",PR!$BK888,IF(K890="UNION",PR!$BL888,IF(K890="UNIQUE",PR!$BM888,IF(K890="VIXA",PR!$BN888,IF(K890="WWCV",PR!$BO888,IF(K890="ZOLON",PR!$BP888,"-")))))))))))))))))))))))))))))))))))))))))))))))))))))))))))))))))</f>
        <v>39450</v>
      </c>
    </row>
    <row r="891" spans="1:12" ht="18.75" x14ac:dyDescent="0.3">
      <c r="A891" s="430">
        <f>PR!A889</f>
        <v>799</v>
      </c>
      <c r="B891" s="15" t="str">
        <f>PR!B889</f>
        <v>CELL CLEAN (83401621) 50ML</v>
      </c>
      <c r="C891" s="113">
        <f>PR!D889</f>
        <v>0</v>
      </c>
      <c r="D891" s="113">
        <f>PR!C889</f>
        <v>6</v>
      </c>
      <c r="E891" s="108">
        <f>IF(F891="ALPHA",PR!$E889,IF(F891="ASSENE",PR!$F889,IF(F891="BIOFEM",PR!$G889,IF(F891="BIOMED",PR!$H889,IF(F891="CHI",PR!$I889,IF(F891="CLARION",PR!$J889,IF(F891="CODIX",PR!$K889,IF(F891="COSMADE",PR!$L889,IF(F891="SANCON",PR!$M889,IF(F891="DEVON",PR!$N889,IF(F891="DORTEMAG",PR!$O889,IF(F891="DGF",PR!$P889,IF(F891="DYNAMIC",PR!$Q889,IF(F891="EMZOR",PR!$R889,IF(F891="EUMATT",PR!$S889,IF(F891="FIDSON",PR!$T889,IF(F891="FCGLOBAL",PR!$U889,IF(F891="GENEITH",PR!$V889,IF(F891="GINOS",PR!$W889,IF(F891="GSK",PR!$X889,IF(F891="GLOBORG",PR!$Y889,IF(F891="GOODNEWS",PR!$Z889,IF(F891="GREENLIFE",PR!$AA889,IF(F891="HLINE",PR!$AB889,IF(F891="ROTECH",PR!$AC889,IF(F891="ISN",PR!$AD889,IF(F891="JAWA",PR!$AE889,IF(F891="LAYO",PR!$AF889,IF(F891="LEADWAY",PR!$AG889,IF(F891="LHV",PR!$AH889,IF(F891="MANOLA",PR!$AI889,IF(F891="MARCSON",PR!$AJ889,IF(F891="M&amp;B",PR!$AK889,IF(F891="MTRUST",PR!$AL889,IF(F891="MWORLD",PR!$AM889,IF(F891="MEGA",PR!$AN889,IF(F891="MICRONOVA",PR!$AO889,IF(F891="MFLASH",PR!$AP889,IF(F891="MORISON",PR!$AQ889,IF(F891="NEMEL",PR!$AR889,IF(F891="NHP",PR!$AS889,IF(F891="NHC",PR!$AT889,IF(F891="OLEAF",PR!$AU889,IF(F891="OCULUS",PR!$AV889,IF(F891="PACIFIC",PR!$AW889,IF(F891="PHAMATEX",PR!$AX889,IF(F891="PETHICS",PR!$AY889,IF(F891="PHILIPS",PR!$AZ889,IF(F891="RANBAXY",PR!$BA889,IF(F891="REALS",PR!$BB889,IF(F891="ROYAL",PR!$BC889,IF(F891="SAM",PR!$BD889,IF(F891="SEAGREEN",PR!$BE889,IF(F891="SKG",PR!$BF889,IF(F891="TAH",PR!$BG889,IF(F891="TAYLEK",PR!$BH889,IF(F891="TEMITA",PR!$BI889,IF(F891="THL",PR!$BJ889,IF(F891="UBASTIC",PR!$BK889,IF(F891="UNION",PR!$BL889,IF(F891="UNIQUE",PR!$BM889,IF(F891="VIXA",PR!$BN889,IF(F891="WWCV",PR!$BO889,IF(F891="ZOLON",PR!$BP889,"-"))))))))))))))))))))))))))))))))))))))))))))))))))))))))))))))))</f>
        <v>35702.300000000003</v>
      </c>
      <c r="F891" s="102" t="str">
        <f>EV!L1133</f>
        <v>UNION</v>
      </c>
      <c r="G891" s="108" t="str">
        <f>IF(H891="ALPHA",PR!$E889,IF(H891="ASSENE",PR!$F889,IF(H891="BIOFEM",PR!$G889,IF(H891="BIOMED",PR!$H889,IF(H891="CHI",PR!$I889,IF(H891="CLARION",PR!$J889,IF(H891="CODIX",PR!$K889,IF(H891="COSMADE",PR!$L889,IF(H891="SANCON",PR!$M889,IF(H891="DEVON",PR!$N889,IF(H891="DORTEMAG",PR!$O889,IF(H891="DGF",PR!$P889,IF(H891="DYNAMIC",PR!$Q889,IF(H891="EMZOR",PR!$R889,IF(H891="EUMATT",PR!$S889,IF(H891="FIDSON",PR!$T889,IF(H891="FCGLOBAL",PR!$U889,IF(H891="GENEITH",PR!$V889,IF(H891="GINOS",PR!$W889,IF(H891="GSK",PR!$X889,IF(H891="GLOBORG",PR!$Y889,IF(H891="GOODNEWS",PR!$Z889,IF(H891="GREENLIFE",PR!$AA889,IF(H891="HLINE",PR!$AB889,IF(H891="ROTECH",PR!$AC889,IF(H891="ISN",PR!$AD889,IF(H891="JAWA",PR!$AE889,IF(H891="LAYO",PR!$AF889,IF(H891="LEADWAY",PR!$AG889,IF(H891="LHV",PR!$AH889,IF(H891="MANOLA",PR!$AI889,IF(H891="MARCSON",PR!$AJ889,IF(H891="M&amp;B",PR!$AK889,IF(H891="MTRUST",PR!$AL889,IF(H891="MWORLD",PR!$AM889,IF(H891="MEGA",PR!$AN889,IF(H891="MICRONOVA",PR!$AO889,IF(H891="MFLASH",PR!$AP889,IF(H891="MORISON",PR!$AQ889,IF(H891="NEMEL",PR!$AR889,IF(H891="NHP",PR!$AS889,IF(H891="NHC",PR!$AT889,IF(H891="OLEAF",PR!$AU889,IF(H891="OCULUS",PR!$AV889,IF(H891="PACIFIC",PR!$AW889,IF(H891="PHAMATEX",PR!$AX889,IF(H891="PETHICS",PR!$AY889,IF(H891="PHILIPS",PR!$AZ889,IF(H891="RANBAXY",PR!$BA889,IF(H891="REALS",PR!$BB889,IF(H891="ROYAL",PR!$BC889,IF(H891="SAM",PR!$BD889,IF(H891="SEAGREEN",PR!$BE889,IF(H891="SKG",PR!$BF889,IF(H891="TAH",PR!$BG889,IF(H891="TAYLEK",PR!$BH889,IF(H891="TEMITA",PR!$BI889,IF(H891="THL",PR!$BJ889,IF(H891="UBASTIC",PR!$BK889,IF(H891="UNION",PR!$BL889,IF(H891="UNIQUE",PR!$BM889,IF(H891="VIXA",PR!$BN889,IF(H891="WWCV",PR!$BO889,IF(H891="ZOLON",PR!$BP889,"-"))))))))))))))))))))))))))))))))))))))))))))))))))))))))))))))))</f>
        <v>-</v>
      </c>
      <c r="H891" s="102">
        <f>EV!M1133</f>
        <v>0</v>
      </c>
      <c r="I891" s="108" t="str">
        <f>IF(J891="ALPHA",PR!$E889,IF(J891="ASSENE",PR!$F889,IF(J891="BIOFEM",PR!$G889,IF(J891="BIOMED",PR!$H889,IF(J891="CHI",PR!$I889,IF(J891="CLARION",PR!$J889,IF(J891="CODIX",PR!$K889,IF(J891="COSMADE",PR!$L889,IF(J891="SANCON",PR!$M889,IF(J891="DEVON",PR!$N889,IF(J891="DORTEMAG",PR!$O889,IF(J891="DGF",PR!$P889,IF(J891="DYNAMIC",PR!$Q889,IF(J891="EMZOR",PR!$R889,IF(J891="EUMATT",PR!$S889,IF(J891="FIDSON",PR!$T889,IF(J891="FCGLOBAL",PR!$U889,IF(J891="GENEITH",PR!$V889,IF(J891="GINOS",PR!$W889,IF(J891="GSK",PR!$X889,IF(J891="GLOBORG",PR!$Y889,IF(J891="GOODNEWS",PR!$Z889,IF(J891="GREENLIFE",PR!$AA889,IF(J891="HLINE",PR!$AB889,IF(J891="ROTECH",PR!$AC889,IF(J891="ISN",PR!$AD889,IF(J891="JAWA",PR!$AE889,IF(J891="LAYO",PR!$AF889,IF(J891="LEADWAY",PR!$AG889,IF(J891="LHV",PR!$AH889,IF(J891="MANOLA",PR!$AI889,IF(J891="MARCSON",PR!$AJ889,IF(J891="M&amp;B",PR!$AK889,IF(J891="MTRUST",PR!$AL889,IF(J891="MWORLD",PR!$AM889,IF(J891="MEGA",PR!$AN889,IF(J891="MICRONOVA",PR!$AO889,IF(J891="MFLASH",PR!$AP889,IF(J891="MORISON",PR!$AQ889,IF(J891="NEMEL",PR!$AR889,IF(J891="NHP",PR!$AS889,IF(J891="NHC",PR!$AT889,IF(J891="OLEAF",PR!$AU889,IF(J891="OCULUS",PR!$AV889,IF(J891="PACIFIC",PR!$AW889,IF(J891="PHAMATEX",PR!$AX889,IF(J891="PETHICS",PR!$AY889,IF(J891="PHILIPS",PR!$AZ889,IF(J891="RANBAXY",PR!$BA889,IF(J891="REALS",PR!$BB889,IF(J891="ROYAL",PR!$BC889,IF(J891="SAM",PR!$BD889,IF(J891="SEAGREEN",PR!$BE889,IF(J891="SKG",PR!$BF889,IF(J891="TAH",PR!$BG889,IF(J891="TAYLEK",PR!$BH889,IF(J891="TEMITA",PR!$BI889,IF(J891="THL",PR!$BJ889,IF(J891="UBASTIC",PR!$BK889,IF(J891="UNION",PR!$BL889,IF(J891="UNIQUE",PR!$BM889,IF(J891="VIXA",PR!$BN889,IF(J891="WWCV",PR!$BO889,IF(J891="ZOLON",PR!$BP889,"-"))))))))))))))))))))))))))))))))))))))))))))))))))))))))))))))))</f>
        <v>-</v>
      </c>
      <c r="J891" s="102">
        <f>EV!N1133</f>
        <v>0</v>
      </c>
      <c r="K891" s="433" t="s">
        <v>1470</v>
      </c>
      <c r="L891" s="183">
        <f>IF(K891&gt;0,IF(K891="ALPHA",PR!$E889,IF(K891="ASSENE",PR!$F889,IF(K891="BIOFEM",PR!$G889,IF(K891="BIOMED",PR!$H889,IF(K891="CHI",PR!$I889,IF(K891="CLARION",PR!$J889,IF(K891="CODIX",PR!$K889,IF(K891="COSMADE",PR!$L889,IF(K891="SANCON",PR!$M889,IF(K891="DEVON",PR!$N889,IF(K891="DORTEMAG",PR!$O889,IF(K891="DGF",PR!$P889,IF(K891="DYNAMIC",PR!$Q889,IF(K891="EMZOR",PR!$R889,IF(K891="EUMATT",PR!$S889,IF(K891="FIDSON",PR!$T889,IF(K891="FCGLOBAL",PR!$U889,IF(K891="GENEITH",PR!$V889,IF(K891="GINOS",PR!$W889,IF(K891="GSK",PR!$X889,IF(K891="GLOBORG",PR!$Y889,IF(K891="GOODNEWS",PR!$Z889,IF(K891="GREENLIFE",PR!$AA889,IF(K891="HLINE",PR!$AB889,IF(K891="ROTECH",PR!$AC889,IF(K891="ISN",PR!$AD889,IF(K891="JAWA",PR!$AE889,IF(K891="LAYO",PR!$AF889,IF(K891="LEADWAY",PR!$AG889,IF(K891="LHV",PR!$AH889,IF(K891="MANOLA",PR!$AI889,IF(K891="MARCSON",PR!$AJ889,IF(K891="M&amp;B",PR!$AK889,IF(K891="MTRUST",PR!$AL889,IF(K891="MWORLD",PR!$AM889,IF(K891="MEGA",PR!$AN889,IF(K891="MICRONOVA",PR!$AO889,IF(K891="MFLASH",PR!$AP889,IF(K891="MORISON",PR!$AQ889,IF(K891="NEMEL",PR!$AR889,IF(K891="NHP",PR!$AS889,IF(K891="NHC",PR!$AT889,IF(K891="OLEAF",PR!$AU889,IF(K891="OCULUS",PR!$AV889,IF(K891="PACIFIC",PR!$AW889,IF(K891="PHAMATEX",PR!$AX889,IF(K891="PETHICS",PR!$AY889,IF(K891="PHILIPS",PR!$AZ889,IF(K891="RANBAXY",PR!$BA889,IF(K891="REALS",PR!$BB889,IF(K891="ROYAL",PR!$BC889,IF(K891="SAM",PR!$BD889,IF(K891="SEAGREEN",PR!$BE889,IF(K891="SKG",PR!$BF889,IF(K891="TAH",PR!$BG889,IF(K891="TAYLEK",PR!$BH889,IF(K891="TEMITA",PR!$BI889,IF(K891="THL",PR!$BJ889,IF(K891="UBASTIC",PR!$BK889,IF(K891="UNION",PR!$BL889,IF(K891="UNIQUE",PR!$BM889,IF(K891="VIXA",PR!$BN889,IF(K891="WWCV",PR!$BO889,IF(K891="ZOLON",PR!$BP889,"-")))))))))))))))))))))))))))))))))))))))))))))))))))))))))))))))))</f>
        <v>35702.300000000003</v>
      </c>
    </row>
    <row r="892" spans="1:12" ht="18.75" x14ac:dyDescent="0.3">
      <c r="A892" s="430">
        <f>PR!A890</f>
        <v>800</v>
      </c>
      <c r="B892" s="15" t="str">
        <f>PR!B890</f>
        <v>FLUOROCELL IVDF (CV377552) 42ML</v>
      </c>
      <c r="C892" s="113">
        <f>PR!D890</f>
        <v>0</v>
      </c>
      <c r="D892" s="113">
        <f>PR!C890</f>
        <v>12</v>
      </c>
      <c r="E892" s="108">
        <f>IF(F892="ALPHA",PR!$E890,IF(F892="ASSENE",PR!$F890,IF(F892="BIOFEM",PR!$G890,IF(F892="BIOMED",PR!$H890,IF(F892="CHI",PR!$I890,IF(F892="CLARION",PR!$J890,IF(F892="CODIX",PR!$K890,IF(F892="COSMADE",PR!$L890,IF(F892="SANCON",PR!$M890,IF(F892="DEVON",PR!$N890,IF(F892="DORTEMAG",PR!$O890,IF(F892="DGF",PR!$P890,IF(F892="DYNAMIC",PR!$Q890,IF(F892="EMZOR",PR!$R890,IF(F892="EUMATT",PR!$S890,IF(F892="FIDSON",PR!$T890,IF(F892="FCGLOBAL",PR!$U890,IF(F892="GENEITH",PR!$V890,IF(F892="GINOS",PR!$W890,IF(F892="GSK",PR!$X890,IF(F892="GLOBORG",PR!$Y890,IF(F892="GOODNEWS",PR!$Z890,IF(F892="GREENLIFE",PR!$AA890,IF(F892="HLINE",PR!$AB890,IF(F892="ROTECH",PR!$AC890,IF(F892="ISN",PR!$AD890,IF(F892="JAWA",PR!$AE890,IF(F892="LAYO",PR!$AF890,IF(F892="LEADWAY",PR!$AG890,IF(F892="LHV",PR!$AH890,IF(F892="MANOLA",PR!$AI890,IF(F892="MARCSON",PR!$AJ890,IF(F892="M&amp;B",PR!$AK890,IF(F892="MTRUST",PR!$AL890,IF(F892="MWORLD",PR!$AM890,IF(F892="MEGA",PR!$AN890,IF(F892="MICRONOVA",PR!$AO890,IF(F892="MFLASH",PR!$AP890,IF(F892="MORISON",PR!$AQ890,IF(F892="NEMEL",PR!$AR890,IF(F892="NHP",PR!$AS890,IF(F892="NHC",PR!$AT890,IF(F892="OLEAF",PR!$AU890,IF(F892="OCULUS",PR!$AV890,IF(F892="PACIFIC",PR!$AW890,IF(F892="PHAMATEX",PR!$AX890,IF(F892="PETHICS",PR!$AY890,IF(F892="PHILIPS",PR!$AZ890,IF(F892="RANBAXY",PR!$BA890,IF(F892="REALS",PR!$BB890,IF(F892="ROYAL",PR!$BC890,IF(F892="SAM",PR!$BD890,IF(F892="SEAGREEN",PR!$BE890,IF(F892="SKG",PR!$BF890,IF(F892="TAH",PR!$BG890,IF(F892="TAYLEK",PR!$BH890,IF(F892="TEMITA",PR!$BI890,IF(F892="THL",PR!$BJ890,IF(F892="UBASTIC",PR!$BK890,IF(F892="UNION",PR!$BL890,IF(F892="UNIQUE",PR!$BM890,IF(F892="VIXA",PR!$BN890,IF(F892="WWCV",PR!$BO890,IF(F892="ZOLON",PR!$BP890,"-"))))))))))))))))))))))))))))))))))))))))))))))))))))))))))))))))</f>
        <v>335764.21</v>
      </c>
      <c r="F892" s="102" t="str">
        <f>EV!L1134</f>
        <v>UNION</v>
      </c>
      <c r="G892" s="108" t="str">
        <f>IF(H892="ALPHA",PR!$E890,IF(H892="ASSENE",PR!$F890,IF(H892="BIOFEM",PR!$G890,IF(H892="BIOMED",PR!$H890,IF(H892="CHI",PR!$I890,IF(H892="CLARION",PR!$J890,IF(H892="CODIX",PR!$K890,IF(H892="COSMADE",PR!$L890,IF(H892="SANCON",PR!$M890,IF(H892="DEVON",PR!$N890,IF(H892="DORTEMAG",PR!$O890,IF(H892="DGF",PR!$P890,IF(H892="DYNAMIC",PR!$Q890,IF(H892="EMZOR",PR!$R890,IF(H892="EUMATT",PR!$S890,IF(H892="FIDSON",PR!$T890,IF(H892="FCGLOBAL",PR!$U890,IF(H892="GENEITH",PR!$V890,IF(H892="GINOS",PR!$W890,IF(H892="GSK",PR!$X890,IF(H892="GLOBORG",PR!$Y890,IF(H892="GOODNEWS",PR!$Z890,IF(H892="GREENLIFE",PR!$AA890,IF(H892="HLINE",PR!$AB890,IF(H892="ROTECH",PR!$AC890,IF(H892="ISN",PR!$AD890,IF(H892="JAWA",PR!$AE890,IF(H892="LAYO",PR!$AF890,IF(H892="LEADWAY",PR!$AG890,IF(H892="LHV",PR!$AH890,IF(H892="MANOLA",PR!$AI890,IF(H892="MARCSON",PR!$AJ890,IF(H892="M&amp;B",PR!$AK890,IF(H892="MTRUST",PR!$AL890,IF(H892="MWORLD",PR!$AM890,IF(H892="MEGA",PR!$AN890,IF(H892="MICRONOVA",PR!$AO890,IF(H892="MFLASH",PR!$AP890,IF(H892="MORISON",PR!$AQ890,IF(H892="NEMEL",PR!$AR890,IF(H892="NHP",PR!$AS890,IF(H892="NHC",PR!$AT890,IF(H892="OLEAF",PR!$AU890,IF(H892="OCULUS",PR!$AV890,IF(H892="PACIFIC",PR!$AW890,IF(H892="PHAMATEX",PR!$AX890,IF(H892="PETHICS",PR!$AY890,IF(H892="PHILIPS",PR!$AZ890,IF(H892="RANBAXY",PR!$BA890,IF(H892="REALS",PR!$BB890,IF(H892="ROYAL",PR!$BC890,IF(H892="SAM",PR!$BD890,IF(H892="SEAGREEN",PR!$BE890,IF(H892="SKG",PR!$BF890,IF(H892="TAH",PR!$BG890,IF(H892="TAYLEK",PR!$BH890,IF(H892="TEMITA",PR!$BI890,IF(H892="THL",PR!$BJ890,IF(H892="UBASTIC",PR!$BK890,IF(H892="UNION",PR!$BL890,IF(H892="UNIQUE",PR!$BM890,IF(H892="VIXA",PR!$BN890,IF(H892="WWCV",PR!$BO890,IF(H892="ZOLON",PR!$BP890,"-"))))))))))))))))))))))))))))))))))))))))))))))))))))))))))))))))</f>
        <v>-</v>
      </c>
      <c r="H892" s="102">
        <f>EV!M1134</f>
        <v>0</v>
      </c>
      <c r="I892" s="108" t="str">
        <f>IF(J892="ALPHA",PR!$E890,IF(J892="ASSENE",PR!$F890,IF(J892="BIOFEM",PR!$G890,IF(J892="BIOMED",PR!$H890,IF(J892="CHI",PR!$I890,IF(J892="CLARION",PR!$J890,IF(J892="CODIX",PR!$K890,IF(J892="COSMADE",PR!$L890,IF(J892="SANCON",PR!$M890,IF(J892="DEVON",PR!$N890,IF(J892="DORTEMAG",PR!$O890,IF(J892="DGF",PR!$P890,IF(J892="DYNAMIC",PR!$Q890,IF(J892="EMZOR",PR!$R890,IF(J892="EUMATT",PR!$S890,IF(J892="FIDSON",PR!$T890,IF(J892="FCGLOBAL",PR!$U890,IF(J892="GENEITH",PR!$V890,IF(J892="GINOS",PR!$W890,IF(J892="GSK",PR!$X890,IF(J892="GLOBORG",PR!$Y890,IF(J892="GOODNEWS",PR!$Z890,IF(J892="GREENLIFE",PR!$AA890,IF(J892="HLINE",PR!$AB890,IF(J892="ROTECH",PR!$AC890,IF(J892="ISN",PR!$AD890,IF(J892="JAWA",PR!$AE890,IF(J892="LAYO",PR!$AF890,IF(J892="LEADWAY",PR!$AG890,IF(J892="LHV",PR!$AH890,IF(J892="MANOLA",PR!$AI890,IF(J892="MARCSON",PR!$AJ890,IF(J892="M&amp;B",PR!$AK890,IF(J892="MTRUST",PR!$AL890,IF(J892="MWORLD",PR!$AM890,IF(J892="MEGA",PR!$AN890,IF(J892="MICRONOVA",PR!$AO890,IF(J892="MFLASH",PR!$AP890,IF(J892="MORISON",PR!$AQ890,IF(J892="NEMEL",PR!$AR890,IF(J892="NHP",PR!$AS890,IF(J892="NHC",PR!$AT890,IF(J892="OLEAF",PR!$AU890,IF(J892="OCULUS",PR!$AV890,IF(J892="PACIFIC",PR!$AW890,IF(J892="PHAMATEX",PR!$AX890,IF(J892="PETHICS",PR!$AY890,IF(J892="PHILIPS",PR!$AZ890,IF(J892="RANBAXY",PR!$BA890,IF(J892="REALS",PR!$BB890,IF(J892="ROYAL",PR!$BC890,IF(J892="SAM",PR!$BD890,IF(J892="SEAGREEN",PR!$BE890,IF(J892="SKG",PR!$BF890,IF(J892="TAH",PR!$BG890,IF(J892="TAYLEK",PR!$BH890,IF(J892="TEMITA",PR!$BI890,IF(J892="THL",PR!$BJ890,IF(J892="UBASTIC",PR!$BK890,IF(J892="UNION",PR!$BL890,IF(J892="UNIQUE",PR!$BM890,IF(J892="VIXA",PR!$BN890,IF(J892="WWCV",PR!$BO890,IF(J892="ZOLON",PR!$BP890,"-"))))))))))))))))))))))))))))))))))))))))))))))))))))))))))))))))</f>
        <v>-</v>
      </c>
      <c r="J892" s="102">
        <f>EV!N1134</f>
        <v>0</v>
      </c>
      <c r="K892" s="433" t="s">
        <v>1470</v>
      </c>
      <c r="L892" s="183">
        <f>IF(K892&gt;0,IF(K892="ALPHA",PR!$E890,IF(K892="ASSENE",PR!$F890,IF(K892="BIOFEM",PR!$G890,IF(K892="BIOMED",PR!$H890,IF(K892="CHI",PR!$I890,IF(K892="CLARION",PR!$J890,IF(K892="CODIX",PR!$K890,IF(K892="COSMADE",PR!$L890,IF(K892="SANCON",PR!$M890,IF(K892="DEVON",PR!$N890,IF(K892="DORTEMAG",PR!$O890,IF(K892="DGF",PR!$P890,IF(K892="DYNAMIC",PR!$Q890,IF(K892="EMZOR",PR!$R890,IF(K892="EUMATT",PR!$S890,IF(K892="FIDSON",PR!$T890,IF(K892="FCGLOBAL",PR!$U890,IF(K892="GENEITH",PR!$V890,IF(K892="GINOS",PR!$W890,IF(K892="GSK",PR!$X890,IF(K892="GLOBORG",PR!$Y890,IF(K892="GOODNEWS",PR!$Z890,IF(K892="GREENLIFE",PR!$AA890,IF(K892="HLINE",PR!$AB890,IF(K892="ROTECH",PR!$AC890,IF(K892="ISN",PR!$AD890,IF(K892="JAWA",PR!$AE890,IF(K892="LAYO",PR!$AF890,IF(K892="LEADWAY",PR!$AG890,IF(K892="LHV",PR!$AH890,IF(K892="MANOLA",PR!$AI890,IF(K892="MARCSON",PR!$AJ890,IF(K892="M&amp;B",PR!$AK890,IF(K892="MTRUST",PR!$AL890,IF(K892="MWORLD",PR!$AM890,IF(K892="MEGA",PR!$AN890,IF(K892="MICRONOVA",PR!$AO890,IF(K892="MFLASH",PR!$AP890,IF(K892="MORISON",PR!$AQ890,IF(K892="NEMEL",PR!$AR890,IF(K892="NHP",PR!$AS890,IF(K892="NHC",PR!$AT890,IF(K892="OLEAF",PR!$AU890,IF(K892="OCULUS",PR!$AV890,IF(K892="PACIFIC",PR!$AW890,IF(K892="PHAMATEX",PR!$AX890,IF(K892="PETHICS",PR!$AY890,IF(K892="PHILIPS",PR!$AZ890,IF(K892="RANBAXY",PR!$BA890,IF(K892="REALS",PR!$BB890,IF(K892="ROYAL",PR!$BC890,IF(K892="SAM",PR!$BD890,IF(K892="SEAGREEN",PR!$BE890,IF(K892="SKG",PR!$BF890,IF(K892="TAH",PR!$BG890,IF(K892="TAYLEK",PR!$BH890,IF(K892="TEMITA",PR!$BI890,IF(K892="THL",PR!$BJ890,IF(K892="UBASTIC",PR!$BK890,IF(K892="UNION",PR!$BL890,IF(K892="UNIQUE",PR!$BM890,IF(K892="VIXA",PR!$BN890,IF(K892="WWCV",PR!$BO890,IF(K892="ZOLON",PR!$BP890,"-")))))))))))))))))))))))))))))))))))))))))))))))))))))))))))))))))</f>
        <v>335764.21</v>
      </c>
    </row>
    <row r="893" spans="1:12" ht="18.75" x14ac:dyDescent="0.3">
      <c r="A893" s="430">
        <f>PR!A891</f>
        <v>801</v>
      </c>
      <c r="B893" s="15" t="str">
        <f>PR!B891</f>
        <v>LYSERCELL WDF (AL337564) 5L</v>
      </c>
      <c r="C893" s="113">
        <f>PR!D891</f>
        <v>0</v>
      </c>
      <c r="D893" s="113">
        <f>PR!C891</f>
        <v>12</v>
      </c>
      <c r="E893" s="108">
        <f>IF(F893="ALPHA",PR!$E891,IF(F893="ASSENE",PR!$F891,IF(F893="BIOFEM",PR!$G891,IF(F893="BIOMED",PR!$H891,IF(F893="CHI",PR!$I891,IF(F893="CLARION",PR!$J891,IF(F893="CODIX",PR!$K891,IF(F893="COSMADE",PR!$L891,IF(F893="SANCON",PR!$M891,IF(F893="DEVON",PR!$N891,IF(F893="DORTEMAG",PR!$O891,IF(F893="DGF",PR!$P891,IF(F893="DYNAMIC",PR!$Q891,IF(F893="EMZOR",PR!$R891,IF(F893="EUMATT",PR!$S891,IF(F893="FIDSON",PR!$T891,IF(F893="FCGLOBAL",PR!$U891,IF(F893="GENEITH",PR!$V891,IF(F893="GINOS",PR!$W891,IF(F893="GSK",PR!$X891,IF(F893="GLOBORG",PR!$Y891,IF(F893="GOODNEWS",PR!$Z891,IF(F893="GREENLIFE",PR!$AA891,IF(F893="HLINE",PR!$AB891,IF(F893="ROTECH",PR!$AC891,IF(F893="ISN",PR!$AD891,IF(F893="JAWA",PR!$AE891,IF(F893="LAYO",PR!$AF891,IF(F893="LEADWAY",PR!$AG891,IF(F893="LHV",PR!$AH891,IF(F893="MANOLA",PR!$AI891,IF(F893="MARCSON",PR!$AJ891,IF(F893="M&amp;B",PR!$AK891,IF(F893="MTRUST",PR!$AL891,IF(F893="MWORLD",PR!$AM891,IF(F893="MEGA",PR!$AN891,IF(F893="MICRONOVA",PR!$AO891,IF(F893="MFLASH",PR!$AP891,IF(F893="MORISON",PR!$AQ891,IF(F893="NEMEL",PR!$AR891,IF(F893="NHP",PR!$AS891,IF(F893="NHC",PR!$AT891,IF(F893="OLEAF",PR!$AU891,IF(F893="OCULUS",PR!$AV891,IF(F893="PACIFIC",PR!$AW891,IF(F893="PHAMATEX",PR!$AX891,IF(F893="PETHICS",PR!$AY891,IF(F893="PHILIPS",PR!$AZ891,IF(F893="RANBAXY",PR!$BA891,IF(F893="REALS",PR!$BB891,IF(F893="ROYAL",PR!$BC891,IF(F893="SAM",PR!$BD891,IF(F893="SEAGREEN",PR!$BE891,IF(F893="SKG",PR!$BF891,IF(F893="TAH",PR!$BG891,IF(F893="TAYLEK",PR!$BH891,IF(F893="TEMITA",PR!$BI891,IF(F893="THL",PR!$BJ891,IF(F893="UBASTIC",PR!$BK891,IF(F893="UNION",PR!$BL891,IF(F893="UNIQUE",PR!$BM891,IF(F893="VIXA",PR!$BN891,IF(F893="WWCV",PR!$BO891,IF(F893="ZOLON",PR!$BP891,"-"))))))))))))))))))))))))))))))))))))))))))))))))))))))))))))))))</f>
        <v>110000</v>
      </c>
      <c r="F893" s="102" t="str">
        <f>EV!L1135</f>
        <v>UNION</v>
      </c>
      <c r="G893" s="108" t="str">
        <f>IF(H893="ALPHA",PR!$E891,IF(H893="ASSENE",PR!$F891,IF(H893="BIOFEM",PR!$G891,IF(H893="BIOMED",PR!$H891,IF(H893="CHI",PR!$I891,IF(H893="CLARION",PR!$J891,IF(H893="CODIX",PR!$K891,IF(H893="COSMADE",PR!$L891,IF(H893="SANCON",PR!$M891,IF(H893="DEVON",PR!$N891,IF(H893="DORTEMAG",PR!$O891,IF(H893="DGF",PR!$P891,IF(H893="DYNAMIC",PR!$Q891,IF(H893="EMZOR",PR!$R891,IF(H893="EUMATT",PR!$S891,IF(H893="FIDSON",PR!$T891,IF(H893="FCGLOBAL",PR!$U891,IF(H893="GENEITH",PR!$V891,IF(H893="GINOS",PR!$W891,IF(H893="GSK",PR!$X891,IF(H893="GLOBORG",PR!$Y891,IF(H893="GOODNEWS",PR!$Z891,IF(H893="GREENLIFE",PR!$AA891,IF(H893="HLINE",PR!$AB891,IF(H893="ROTECH",PR!$AC891,IF(H893="ISN",PR!$AD891,IF(H893="JAWA",PR!$AE891,IF(H893="LAYO",PR!$AF891,IF(H893="LEADWAY",PR!$AG891,IF(H893="LHV",PR!$AH891,IF(H893="MANOLA",PR!$AI891,IF(H893="MARCSON",PR!$AJ891,IF(H893="M&amp;B",PR!$AK891,IF(H893="MTRUST",PR!$AL891,IF(H893="MWORLD",PR!$AM891,IF(H893="MEGA",PR!$AN891,IF(H893="MICRONOVA",PR!$AO891,IF(H893="MFLASH",PR!$AP891,IF(H893="MORISON",PR!$AQ891,IF(H893="NEMEL",PR!$AR891,IF(H893="NHP",PR!$AS891,IF(H893="NHC",PR!$AT891,IF(H893="OLEAF",PR!$AU891,IF(H893="OCULUS",PR!$AV891,IF(H893="PACIFIC",PR!$AW891,IF(H893="PHAMATEX",PR!$AX891,IF(H893="PETHICS",PR!$AY891,IF(H893="PHILIPS",PR!$AZ891,IF(H893="RANBAXY",PR!$BA891,IF(H893="REALS",PR!$BB891,IF(H893="ROYAL",PR!$BC891,IF(H893="SAM",PR!$BD891,IF(H893="SEAGREEN",PR!$BE891,IF(H893="SKG",PR!$BF891,IF(H893="TAH",PR!$BG891,IF(H893="TAYLEK",PR!$BH891,IF(H893="TEMITA",PR!$BI891,IF(H893="THL",PR!$BJ891,IF(H893="UBASTIC",PR!$BK891,IF(H893="UNION",PR!$BL891,IF(H893="UNIQUE",PR!$BM891,IF(H893="VIXA",PR!$BN891,IF(H893="WWCV",PR!$BO891,IF(H893="ZOLON",PR!$BP891,"-"))))))))))))))))))))))))))))))))))))))))))))))))))))))))))))))))</f>
        <v>-</v>
      </c>
      <c r="H893" s="102">
        <f>EV!M1135</f>
        <v>0</v>
      </c>
      <c r="I893" s="108" t="str">
        <f>IF(J893="ALPHA",PR!$E891,IF(J893="ASSENE",PR!$F891,IF(J893="BIOFEM",PR!$G891,IF(J893="BIOMED",PR!$H891,IF(J893="CHI",PR!$I891,IF(J893="CLARION",PR!$J891,IF(J893="CODIX",PR!$K891,IF(J893="COSMADE",PR!$L891,IF(J893="SANCON",PR!$M891,IF(J893="DEVON",PR!$N891,IF(J893="DORTEMAG",PR!$O891,IF(J893="DGF",PR!$P891,IF(J893="DYNAMIC",PR!$Q891,IF(J893="EMZOR",PR!$R891,IF(J893="EUMATT",PR!$S891,IF(J893="FIDSON",PR!$T891,IF(J893="FCGLOBAL",PR!$U891,IF(J893="GENEITH",PR!$V891,IF(J893="GINOS",PR!$W891,IF(J893="GSK",PR!$X891,IF(J893="GLOBORG",PR!$Y891,IF(J893="GOODNEWS",PR!$Z891,IF(J893="GREENLIFE",PR!$AA891,IF(J893="HLINE",PR!$AB891,IF(J893="ROTECH",PR!$AC891,IF(J893="ISN",PR!$AD891,IF(J893="JAWA",PR!$AE891,IF(J893="LAYO",PR!$AF891,IF(J893="LEADWAY",PR!$AG891,IF(J893="LHV",PR!$AH891,IF(J893="MANOLA",PR!$AI891,IF(J893="MARCSON",PR!$AJ891,IF(J893="M&amp;B",PR!$AK891,IF(J893="MTRUST",PR!$AL891,IF(J893="MWORLD",PR!$AM891,IF(J893="MEGA",PR!$AN891,IF(J893="MICRONOVA",PR!$AO891,IF(J893="MFLASH",PR!$AP891,IF(J893="MORISON",PR!$AQ891,IF(J893="NEMEL",PR!$AR891,IF(J893="NHP",PR!$AS891,IF(J893="NHC",PR!$AT891,IF(J893="OLEAF",PR!$AU891,IF(J893="OCULUS",PR!$AV891,IF(J893="PACIFIC",PR!$AW891,IF(J893="PHAMATEX",PR!$AX891,IF(J893="PETHICS",PR!$AY891,IF(J893="PHILIPS",PR!$AZ891,IF(J893="RANBAXY",PR!$BA891,IF(J893="REALS",PR!$BB891,IF(J893="ROYAL",PR!$BC891,IF(J893="SAM",PR!$BD891,IF(J893="SEAGREEN",PR!$BE891,IF(J893="SKG",PR!$BF891,IF(J893="TAH",PR!$BG891,IF(J893="TAYLEK",PR!$BH891,IF(J893="TEMITA",PR!$BI891,IF(J893="THL",PR!$BJ891,IF(J893="UBASTIC",PR!$BK891,IF(J893="UNION",PR!$BL891,IF(J893="UNIQUE",PR!$BM891,IF(J893="VIXA",PR!$BN891,IF(J893="WWCV",PR!$BO891,IF(J893="ZOLON",PR!$BP891,"-"))))))))))))))))))))))))))))))))))))))))))))))))))))))))))))))))</f>
        <v>-</v>
      </c>
      <c r="J893" s="102">
        <f>EV!N1135</f>
        <v>0</v>
      </c>
      <c r="K893" s="433" t="s">
        <v>1470</v>
      </c>
      <c r="L893" s="183">
        <f>IF(K893&gt;0,IF(K893="ALPHA",PR!$E891,IF(K893="ASSENE",PR!$F891,IF(K893="BIOFEM",PR!$G891,IF(K893="BIOMED",PR!$H891,IF(K893="CHI",PR!$I891,IF(K893="CLARION",PR!$J891,IF(K893="CODIX",PR!$K891,IF(K893="COSMADE",PR!$L891,IF(K893="SANCON",PR!$M891,IF(K893="DEVON",PR!$N891,IF(K893="DORTEMAG",PR!$O891,IF(K893="DGF",PR!$P891,IF(K893="DYNAMIC",PR!$Q891,IF(K893="EMZOR",PR!$R891,IF(K893="EUMATT",PR!$S891,IF(K893="FIDSON",PR!$T891,IF(K893="FCGLOBAL",PR!$U891,IF(K893="GENEITH",PR!$V891,IF(K893="GINOS",PR!$W891,IF(K893="GSK",PR!$X891,IF(K893="GLOBORG",PR!$Y891,IF(K893="GOODNEWS",PR!$Z891,IF(K893="GREENLIFE",PR!$AA891,IF(K893="HLINE",PR!$AB891,IF(K893="ROTECH",PR!$AC891,IF(K893="ISN",PR!$AD891,IF(K893="JAWA",PR!$AE891,IF(K893="LAYO",PR!$AF891,IF(K893="LEADWAY",PR!$AG891,IF(K893="LHV",PR!$AH891,IF(K893="MANOLA",PR!$AI891,IF(K893="MARCSON",PR!$AJ891,IF(K893="M&amp;B",PR!$AK891,IF(K893="MTRUST",PR!$AL891,IF(K893="MWORLD",PR!$AM891,IF(K893="MEGA",PR!$AN891,IF(K893="MICRONOVA",PR!$AO891,IF(K893="MFLASH",PR!$AP891,IF(K893="MORISON",PR!$AQ891,IF(K893="NEMEL",PR!$AR891,IF(K893="NHP",PR!$AS891,IF(K893="NHC",PR!$AT891,IF(K893="OLEAF",PR!$AU891,IF(K893="OCULUS",PR!$AV891,IF(K893="PACIFIC",PR!$AW891,IF(K893="PHAMATEX",PR!$AX891,IF(K893="PETHICS",PR!$AY891,IF(K893="PHILIPS",PR!$AZ891,IF(K893="RANBAXY",PR!$BA891,IF(K893="REALS",PR!$BB891,IF(K893="ROYAL",PR!$BC891,IF(K893="SAM",PR!$BD891,IF(K893="SEAGREEN",PR!$BE891,IF(K893="SKG",PR!$BF891,IF(K893="TAH",PR!$BG891,IF(K893="TAYLEK",PR!$BH891,IF(K893="TEMITA",PR!$BI891,IF(K893="THL",PR!$BJ891,IF(K893="UBASTIC",PR!$BK891,IF(K893="UNION",PR!$BL891,IF(K893="UNIQUE",PR!$BM891,IF(K893="VIXA",PR!$BN891,IF(K893="WWCV",PR!$BO891,IF(K893="ZOLON",PR!$BP891,"-")))))))))))))))))))))))))))))))))))))))))))))))))))))))))))))))))</f>
        <v>110000</v>
      </c>
    </row>
    <row r="894" spans="1:12" ht="18.75" x14ac:dyDescent="0.3">
      <c r="A894" s="430">
        <f>PR!A892</f>
        <v>802</v>
      </c>
      <c r="B894" s="15" t="str">
        <f>PR!B892</f>
        <v>SULFOLYSER (90411317) 500ML</v>
      </c>
      <c r="C894" s="113">
        <f>PR!D892</f>
        <v>0</v>
      </c>
      <c r="D894" s="113">
        <f>PR!C892</f>
        <v>20</v>
      </c>
      <c r="E894" s="108">
        <f>IF(F894="ALPHA",PR!$E892,IF(F894="ASSENE",PR!$F892,IF(F894="BIOFEM",PR!$G892,IF(F894="BIOMED",PR!$H892,IF(F894="CHI",PR!$I892,IF(F894="CLARION",PR!$J892,IF(F894="CODIX",PR!$K892,IF(F894="COSMADE",PR!$L892,IF(F894="SANCON",PR!$M892,IF(F894="DEVON",PR!$N892,IF(F894="DORTEMAG",PR!$O892,IF(F894="DGF",PR!$P892,IF(F894="DYNAMIC",PR!$Q892,IF(F894="EMZOR",PR!$R892,IF(F894="EUMATT",PR!$S892,IF(F894="FIDSON",PR!$T892,IF(F894="FCGLOBAL",PR!$U892,IF(F894="GENEITH",PR!$V892,IF(F894="GINOS",PR!$W892,IF(F894="GSK",PR!$X892,IF(F894="GLOBORG",PR!$Y892,IF(F894="GOODNEWS",PR!$Z892,IF(F894="GREENLIFE",PR!$AA892,IF(F894="HLINE",PR!$AB892,IF(F894="ROTECH",PR!$AC892,IF(F894="ISN",PR!$AD892,IF(F894="JAWA",PR!$AE892,IF(F894="LAYO",PR!$AF892,IF(F894="LEADWAY",PR!$AG892,IF(F894="LHV",PR!$AH892,IF(F894="MANOLA",PR!$AI892,IF(F894="MARCSON",PR!$AJ892,IF(F894="M&amp;B",PR!$AK892,IF(F894="MTRUST",PR!$AL892,IF(F894="MWORLD",PR!$AM892,IF(F894="MEGA",PR!$AN892,IF(F894="MICRONOVA",PR!$AO892,IF(F894="MFLASH",PR!$AP892,IF(F894="MORISON",PR!$AQ892,IF(F894="NEMEL",PR!$AR892,IF(F894="NHP",PR!$AS892,IF(F894="NHC",PR!$AT892,IF(F894="OLEAF",PR!$AU892,IF(F894="OCULUS",PR!$AV892,IF(F894="PACIFIC",PR!$AW892,IF(F894="PHAMATEX",PR!$AX892,IF(F894="PETHICS",PR!$AY892,IF(F894="PHILIPS",PR!$AZ892,IF(F894="RANBAXY",PR!$BA892,IF(F894="REALS",PR!$BB892,IF(F894="ROYAL",PR!$BC892,IF(F894="SAM",PR!$BD892,IF(F894="SEAGREEN",PR!$BE892,IF(F894="SKG",PR!$BF892,IF(F894="TAH",PR!$BG892,IF(F894="TAYLEK",PR!$BH892,IF(F894="TEMITA",PR!$BI892,IF(F894="THL",PR!$BJ892,IF(F894="UBASTIC",PR!$BK892,IF(F894="UNION",PR!$BL892,IF(F894="UNIQUE",PR!$BM892,IF(F894="VIXA",PR!$BN892,IF(F894="WWCV",PR!$BO892,IF(F894="ZOLON",PR!$BP892,"-"))))))))))))))))))))))))))))))))))))))))))))))))))))))))))))))))</f>
        <v>20000</v>
      </c>
      <c r="F894" s="102" t="str">
        <f>EV!L1136</f>
        <v>UNION</v>
      </c>
      <c r="G894" s="108" t="str">
        <f>IF(H894="ALPHA",PR!$E892,IF(H894="ASSENE",PR!$F892,IF(H894="BIOFEM",PR!$G892,IF(H894="BIOMED",PR!$H892,IF(H894="CHI",PR!$I892,IF(H894="CLARION",PR!$J892,IF(H894="CODIX",PR!$K892,IF(H894="COSMADE",PR!$L892,IF(H894="SANCON",PR!$M892,IF(H894="DEVON",PR!$N892,IF(H894="DORTEMAG",PR!$O892,IF(H894="DGF",PR!$P892,IF(H894="DYNAMIC",PR!$Q892,IF(H894="EMZOR",PR!$R892,IF(H894="EUMATT",PR!$S892,IF(H894="FIDSON",PR!$T892,IF(H894="FCGLOBAL",PR!$U892,IF(H894="GENEITH",PR!$V892,IF(H894="GINOS",PR!$W892,IF(H894="GSK",PR!$X892,IF(H894="GLOBORG",PR!$Y892,IF(H894="GOODNEWS",PR!$Z892,IF(H894="GREENLIFE",PR!$AA892,IF(H894="HLINE",PR!$AB892,IF(H894="ROTECH",PR!$AC892,IF(H894="ISN",PR!$AD892,IF(H894="JAWA",PR!$AE892,IF(H894="LAYO",PR!$AF892,IF(H894="LEADWAY",PR!$AG892,IF(H894="LHV",PR!$AH892,IF(H894="MANOLA",PR!$AI892,IF(H894="MARCSON",PR!$AJ892,IF(H894="M&amp;B",PR!$AK892,IF(H894="MTRUST",PR!$AL892,IF(H894="MWORLD",PR!$AM892,IF(H894="MEGA",PR!$AN892,IF(H894="MICRONOVA",PR!$AO892,IF(H894="MFLASH",PR!$AP892,IF(H894="MORISON",PR!$AQ892,IF(H894="NEMEL",PR!$AR892,IF(H894="NHP",PR!$AS892,IF(H894="NHC",PR!$AT892,IF(H894="OLEAF",PR!$AU892,IF(H894="OCULUS",PR!$AV892,IF(H894="PACIFIC",PR!$AW892,IF(H894="PHAMATEX",PR!$AX892,IF(H894="PETHICS",PR!$AY892,IF(H894="PHILIPS",PR!$AZ892,IF(H894="RANBAXY",PR!$BA892,IF(H894="REALS",PR!$BB892,IF(H894="ROYAL",PR!$BC892,IF(H894="SAM",PR!$BD892,IF(H894="SEAGREEN",PR!$BE892,IF(H894="SKG",PR!$BF892,IF(H894="TAH",PR!$BG892,IF(H894="TAYLEK",PR!$BH892,IF(H894="TEMITA",PR!$BI892,IF(H894="THL",PR!$BJ892,IF(H894="UBASTIC",PR!$BK892,IF(H894="UNION",PR!$BL892,IF(H894="UNIQUE",PR!$BM892,IF(H894="VIXA",PR!$BN892,IF(H894="WWCV",PR!$BO892,IF(H894="ZOLON",PR!$BP892,"-"))))))))))))))))))))))))))))))))))))))))))))))))))))))))))))))))</f>
        <v>-</v>
      </c>
      <c r="H894" s="102">
        <f>EV!M1136</f>
        <v>0</v>
      </c>
      <c r="I894" s="108" t="str">
        <f>IF(J894="ALPHA",PR!$E892,IF(J894="ASSENE",PR!$F892,IF(J894="BIOFEM",PR!$G892,IF(J894="BIOMED",PR!$H892,IF(J894="CHI",PR!$I892,IF(J894="CLARION",PR!$J892,IF(J894="CODIX",PR!$K892,IF(J894="COSMADE",PR!$L892,IF(J894="SANCON",PR!$M892,IF(J894="DEVON",PR!$N892,IF(J894="DORTEMAG",PR!$O892,IF(J894="DGF",PR!$P892,IF(J894="DYNAMIC",PR!$Q892,IF(J894="EMZOR",PR!$R892,IF(J894="EUMATT",PR!$S892,IF(J894="FIDSON",PR!$T892,IF(J894="FCGLOBAL",PR!$U892,IF(J894="GENEITH",PR!$V892,IF(J894="GINOS",PR!$W892,IF(J894="GSK",PR!$X892,IF(J894="GLOBORG",PR!$Y892,IF(J894="GOODNEWS",PR!$Z892,IF(J894="GREENLIFE",PR!$AA892,IF(J894="HLINE",PR!$AB892,IF(J894="ROTECH",PR!$AC892,IF(J894="ISN",PR!$AD892,IF(J894="JAWA",PR!$AE892,IF(J894="LAYO",PR!$AF892,IF(J894="LEADWAY",PR!$AG892,IF(J894="LHV",PR!$AH892,IF(J894="MANOLA",PR!$AI892,IF(J894="MARCSON",PR!$AJ892,IF(J894="M&amp;B",PR!$AK892,IF(J894="MTRUST",PR!$AL892,IF(J894="MWORLD",PR!$AM892,IF(J894="MEGA",PR!$AN892,IF(J894="MICRONOVA",PR!$AO892,IF(J894="MFLASH",PR!$AP892,IF(J894="MORISON",PR!$AQ892,IF(J894="NEMEL",PR!$AR892,IF(J894="NHP",PR!$AS892,IF(J894="NHC",PR!$AT892,IF(J894="OLEAF",PR!$AU892,IF(J894="OCULUS",PR!$AV892,IF(J894="PACIFIC",PR!$AW892,IF(J894="PHAMATEX",PR!$AX892,IF(J894="PETHICS",PR!$AY892,IF(J894="PHILIPS",PR!$AZ892,IF(J894="RANBAXY",PR!$BA892,IF(J894="REALS",PR!$BB892,IF(J894="ROYAL",PR!$BC892,IF(J894="SAM",PR!$BD892,IF(J894="SEAGREEN",PR!$BE892,IF(J894="SKG",PR!$BF892,IF(J894="TAH",PR!$BG892,IF(J894="TAYLEK",PR!$BH892,IF(J894="TEMITA",PR!$BI892,IF(J894="THL",PR!$BJ892,IF(J894="UBASTIC",PR!$BK892,IF(J894="UNION",PR!$BL892,IF(J894="UNIQUE",PR!$BM892,IF(J894="VIXA",PR!$BN892,IF(J894="WWCV",PR!$BO892,IF(J894="ZOLON",PR!$BP892,"-"))))))))))))))))))))))))))))))))))))))))))))))))))))))))))))))))</f>
        <v>-</v>
      </c>
      <c r="J894" s="102">
        <f>EV!N1136</f>
        <v>0</v>
      </c>
      <c r="K894" s="433" t="s">
        <v>1470</v>
      </c>
      <c r="L894" s="183">
        <f>IF(K894&gt;0,IF(K894="ALPHA",PR!$E892,IF(K894="ASSENE",PR!$F892,IF(K894="BIOFEM",PR!$G892,IF(K894="BIOMED",PR!$H892,IF(K894="CHI",PR!$I892,IF(K894="CLARION",PR!$J892,IF(K894="CODIX",PR!$K892,IF(K894="COSMADE",PR!$L892,IF(K894="SANCON",PR!$M892,IF(K894="DEVON",PR!$N892,IF(K894="DORTEMAG",PR!$O892,IF(K894="DGF",PR!$P892,IF(K894="DYNAMIC",PR!$Q892,IF(K894="EMZOR",PR!$R892,IF(K894="EUMATT",PR!$S892,IF(K894="FIDSON",PR!$T892,IF(K894="FCGLOBAL",PR!$U892,IF(K894="GENEITH",PR!$V892,IF(K894="GINOS",PR!$W892,IF(K894="GSK",PR!$X892,IF(K894="GLOBORG",PR!$Y892,IF(K894="GOODNEWS",PR!$Z892,IF(K894="GREENLIFE",PR!$AA892,IF(K894="HLINE",PR!$AB892,IF(K894="ROTECH",PR!$AC892,IF(K894="ISN",PR!$AD892,IF(K894="JAWA",PR!$AE892,IF(K894="LAYO",PR!$AF892,IF(K894="LEADWAY",PR!$AG892,IF(K894="LHV",PR!$AH892,IF(K894="MANOLA",PR!$AI892,IF(K894="MARCSON",PR!$AJ892,IF(K894="M&amp;B",PR!$AK892,IF(K894="MTRUST",PR!$AL892,IF(K894="MWORLD",PR!$AM892,IF(K894="MEGA",PR!$AN892,IF(K894="MICRONOVA",PR!$AO892,IF(K894="MFLASH",PR!$AP892,IF(K894="MORISON",PR!$AQ892,IF(K894="NEMEL",PR!$AR892,IF(K894="NHP",PR!$AS892,IF(K894="NHC",PR!$AT892,IF(K894="OLEAF",PR!$AU892,IF(K894="OCULUS",PR!$AV892,IF(K894="PACIFIC",PR!$AW892,IF(K894="PHAMATEX",PR!$AX892,IF(K894="PETHICS",PR!$AY892,IF(K894="PHILIPS",PR!$AZ892,IF(K894="RANBAXY",PR!$BA892,IF(K894="REALS",PR!$BB892,IF(K894="ROYAL",PR!$BC892,IF(K894="SAM",PR!$BD892,IF(K894="SEAGREEN",PR!$BE892,IF(K894="SKG",PR!$BF892,IF(K894="TAH",PR!$BG892,IF(K894="TAYLEK",PR!$BH892,IF(K894="TEMITA",PR!$BI892,IF(K894="THL",PR!$BJ892,IF(K894="UBASTIC",PR!$BK892,IF(K894="UNION",PR!$BL892,IF(K894="UNIQUE",PR!$BM892,IF(K894="VIXA",PR!$BN892,IF(K894="WWCV",PR!$BO892,IF(K894="ZOLON",PR!$BP892,"-")))))))))))))))))))))))))))))))))))))))))))))))))))))))))))))))))</f>
        <v>20000</v>
      </c>
    </row>
    <row r="895" spans="1:12" ht="18.75" x14ac:dyDescent="0.3">
      <c r="A895" s="430">
        <f>PR!A893</f>
        <v>803</v>
      </c>
      <c r="B895" s="15" t="str">
        <f>PR!B893</f>
        <v>INNOVIN (B42182-40) 4ML</v>
      </c>
      <c r="C895" s="113" t="str">
        <f>PR!D893</f>
        <v>1 pack of 10</v>
      </c>
      <c r="D895" s="113">
        <f>PR!C893</f>
        <v>12</v>
      </c>
      <c r="E895" s="108">
        <f>IF(F895="ALPHA",PR!$E893,IF(F895="ASSENE",PR!$F893,IF(F895="BIOFEM",PR!$G893,IF(F895="BIOMED",PR!$H893,IF(F895="CHI",PR!$I893,IF(F895="CLARION",PR!$J893,IF(F895="CODIX",PR!$K893,IF(F895="COSMADE",PR!$L893,IF(F895="SANCON",PR!$M893,IF(F895="DEVON",PR!$N893,IF(F895="DORTEMAG",PR!$O893,IF(F895="DGF",PR!$P893,IF(F895="DYNAMIC",PR!$Q893,IF(F895="EMZOR",PR!$R893,IF(F895="EUMATT",PR!$S893,IF(F895="FIDSON",PR!$T893,IF(F895="FCGLOBAL",PR!$U893,IF(F895="GENEITH",PR!$V893,IF(F895="GINOS",PR!$W893,IF(F895="GSK",PR!$X893,IF(F895="GLOBORG",PR!$Y893,IF(F895="GOODNEWS",PR!$Z893,IF(F895="GREENLIFE",PR!$AA893,IF(F895="HLINE",PR!$AB893,IF(F895="ROTECH",PR!$AC893,IF(F895="ISN",PR!$AD893,IF(F895="JAWA",PR!$AE893,IF(F895="LAYO",PR!$AF893,IF(F895="LEADWAY",PR!$AG893,IF(F895="LHV",PR!$AH893,IF(F895="MANOLA",PR!$AI893,IF(F895="MARCSON",PR!$AJ893,IF(F895="M&amp;B",PR!$AK893,IF(F895="MTRUST",PR!$AL893,IF(F895="MWORLD",PR!$AM893,IF(F895="MEGA",PR!$AN893,IF(F895="MICRONOVA",PR!$AO893,IF(F895="MFLASH",PR!$AP893,IF(F895="MORISON",PR!$AQ893,IF(F895="NEMEL",PR!$AR893,IF(F895="NHP",PR!$AS893,IF(F895="NHC",PR!$AT893,IF(F895="OLEAF",PR!$AU893,IF(F895="OCULUS",PR!$AV893,IF(F895="PACIFIC",PR!$AW893,IF(F895="PHAMATEX",PR!$AX893,IF(F895="PETHICS",PR!$AY893,IF(F895="PHILIPS",PR!$AZ893,IF(F895="RANBAXY",PR!$BA893,IF(F895="REALS",PR!$BB893,IF(F895="ROYAL",PR!$BC893,IF(F895="SAM",PR!$BD893,IF(F895="SEAGREEN",PR!$BE893,IF(F895="SKG",PR!$BF893,IF(F895="TAH",PR!$BG893,IF(F895="TAYLEK",PR!$BH893,IF(F895="TEMITA",PR!$BI893,IF(F895="THL",PR!$BJ893,IF(F895="UBASTIC",PR!$BK893,IF(F895="UNION",PR!$BL893,IF(F895="UNIQUE",PR!$BM893,IF(F895="VIXA",PR!$BN893,IF(F895="WWCV",PR!$BO893,IF(F895="ZOLON",PR!$BP893,"-"))))))))))))))))))))))))))))))))))))))))))))))))))))))))))))))))</f>
        <v>32645.119999999999</v>
      </c>
      <c r="F895" s="102" t="str">
        <f>EV!L1137</f>
        <v>UNION</v>
      </c>
      <c r="G895" s="108" t="str">
        <f>IF(H895="ALPHA",PR!$E893,IF(H895="ASSENE",PR!$F893,IF(H895="BIOFEM",PR!$G893,IF(H895="BIOMED",PR!$H893,IF(H895="CHI",PR!$I893,IF(H895="CLARION",PR!$J893,IF(H895="CODIX",PR!$K893,IF(H895="COSMADE",PR!$L893,IF(H895="SANCON",PR!$M893,IF(H895="DEVON",PR!$N893,IF(H895="DORTEMAG",PR!$O893,IF(H895="DGF",PR!$P893,IF(H895="DYNAMIC",PR!$Q893,IF(H895="EMZOR",PR!$R893,IF(H895="EUMATT",PR!$S893,IF(H895="FIDSON",PR!$T893,IF(H895="FCGLOBAL",PR!$U893,IF(H895="GENEITH",PR!$V893,IF(H895="GINOS",PR!$W893,IF(H895="GSK",PR!$X893,IF(H895="GLOBORG",PR!$Y893,IF(H895="GOODNEWS",PR!$Z893,IF(H895="GREENLIFE",PR!$AA893,IF(H895="HLINE",PR!$AB893,IF(H895="ROTECH",PR!$AC893,IF(H895="ISN",PR!$AD893,IF(H895="JAWA",PR!$AE893,IF(H895="LAYO",PR!$AF893,IF(H895="LEADWAY",PR!$AG893,IF(H895="LHV",PR!$AH893,IF(H895="MANOLA",PR!$AI893,IF(H895="MARCSON",PR!$AJ893,IF(H895="M&amp;B",PR!$AK893,IF(H895="MTRUST",PR!$AL893,IF(H895="MWORLD",PR!$AM893,IF(H895="MEGA",PR!$AN893,IF(H895="MICRONOVA",PR!$AO893,IF(H895="MFLASH",PR!$AP893,IF(H895="MORISON",PR!$AQ893,IF(H895="NEMEL",PR!$AR893,IF(H895="NHP",PR!$AS893,IF(H895="NHC",PR!$AT893,IF(H895="OLEAF",PR!$AU893,IF(H895="OCULUS",PR!$AV893,IF(H895="PACIFIC",PR!$AW893,IF(H895="PHAMATEX",PR!$AX893,IF(H895="PETHICS",PR!$AY893,IF(H895="PHILIPS",PR!$AZ893,IF(H895="RANBAXY",PR!$BA893,IF(H895="REALS",PR!$BB893,IF(H895="ROYAL",PR!$BC893,IF(H895="SAM",PR!$BD893,IF(H895="SEAGREEN",PR!$BE893,IF(H895="SKG",PR!$BF893,IF(H895="TAH",PR!$BG893,IF(H895="TAYLEK",PR!$BH893,IF(H895="TEMITA",PR!$BI893,IF(H895="THL",PR!$BJ893,IF(H895="UBASTIC",PR!$BK893,IF(H895="UNION",PR!$BL893,IF(H895="UNIQUE",PR!$BM893,IF(H895="VIXA",PR!$BN893,IF(H895="WWCV",PR!$BO893,IF(H895="ZOLON",PR!$BP893,"-"))))))))))))))))))))))))))))))))))))))))))))))))))))))))))))))))</f>
        <v>-</v>
      </c>
      <c r="H895" s="102">
        <f>EV!M1137</f>
        <v>0</v>
      </c>
      <c r="I895" s="108" t="str">
        <f>IF(J895="ALPHA",PR!$E893,IF(J895="ASSENE",PR!$F893,IF(J895="BIOFEM",PR!$G893,IF(J895="BIOMED",PR!$H893,IF(J895="CHI",PR!$I893,IF(J895="CLARION",PR!$J893,IF(J895="CODIX",PR!$K893,IF(J895="COSMADE",PR!$L893,IF(J895="SANCON",PR!$M893,IF(J895="DEVON",PR!$N893,IF(J895="DORTEMAG",PR!$O893,IF(J895="DGF",PR!$P893,IF(J895="DYNAMIC",PR!$Q893,IF(J895="EMZOR",PR!$R893,IF(J895="EUMATT",PR!$S893,IF(J895="FIDSON",PR!$T893,IF(J895="FCGLOBAL",PR!$U893,IF(J895="GENEITH",PR!$V893,IF(J895="GINOS",PR!$W893,IF(J895="GSK",PR!$X893,IF(J895="GLOBORG",PR!$Y893,IF(J895="GOODNEWS",PR!$Z893,IF(J895="GREENLIFE",PR!$AA893,IF(J895="HLINE",PR!$AB893,IF(J895="ROTECH",PR!$AC893,IF(J895="ISN",PR!$AD893,IF(J895="JAWA",PR!$AE893,IF(J895="LAYO",PR!$AF893,IF(J895="LEADWAY",PR!$AG893,IF(J895="LHV",PR!$AH893,IF(J895="MANOLA",PR!$AI893,IF(J895="MARCSON",PR!$AJ893,IF(J895="M&amp;B",PR!$AK893,IF(J895="MTRUST",PR!$AL893,IF(J895="MWORLD",PR!$AM893,IF(J895="MEGA",PR!$AN893,IF(J895="MICRONOVA",PR!$AO893,IF(J895="MFLASH",PR!$AP893,IF(J895="MORISON",PR!$AQ893,IF(J895="NEMEL",PR!$AR893,IF(J895="NHP",PR!$AS893,IF(J895="NHC",PR!$AT893,IF(J895="OLEAF",PR!$AU893,IF(J895="OCULUS",PR!$AV893,IF(J895="PACIFIC",PR!$AW893,IF(J895="PHAMATEX",PR!$AX893,IF(J895="PETHICS",PR!$AY893,IF(J895="PHILIPS",PR!$AZ893,IF(J895="RANBAXY",PR!$BA893,IF(J895="REALS",PR!$BB893,IF(J895="ROYAL",PR!$BC893,IF(J895="SAM",PR!$BD893,IF(J895="SEAGREEN",PR!$BE893,IF(J895="SKG",PR!$BF893,IF(J895="TAH",PR!$BG893,IF(J895="TAYLEK",PR!$BH893,IF(J895="TEMITA",PR!$BI893,IF(J895="THL",PR!$BJ893,IF(J895="UBASTIC",PR!$BK893,IF(J895="UNION",PR!$BL893,IF(J895="UNIQUE",PR!$BM893,IF(J895="VIXA",PR!$BN893,IF(J895="WWCV",PR!$BO893,IF(J895="ZOLON",PR!$BP893,"-"))))))))))))))))))))))))))))))))))))))))))))))))))))))))))))))))</f>
        <v>-</v>
      </c>
      <c r="J895" s="102">
        <f>EV!N1137</f>
        <v>0</v>
      </c>
      <c r="K895" s="433" t="s">
        <v>1470</v>
      </c>
      <c r="L895" s="183">
        <f>IF(K895&gt;0,IF(K895="ALPHA",PR!$E893,IF(K895="ASSENE",PR!$F893,IF(K895="BIOFEM",PR!$G893,IF(K895="BIOMED",PR!$H893,IF(K895="CHI",PR!$I893,IF(K895="CLARION",PR!$J893,IF(K895="CODIX",PR!$K893,IF(K895="COSMADE",PR!$L893,IF(K895="SANCON",PR!$M893,IF(K895="DEVON",PR!$N893,IF(K895="DORTEMAG",PR!$O893,IF(K895="DGF",PR!$P893,IF(K895="DYNAMIC",PR!$Q893,IF(K895="EMZOR",PR!$R893,IF(K895="EUMATT",PR!$S893,IF(K895="FIDSON",PR!$T893,IF(K895="FCGLOBAL",PR!$U893,IF(K895="GENEITH",PR!$V893,IF(K895="GINOS",PR!$W893,IF(K895="GSK",PR!$X893,IF(K895="GLOBORG",PR!$Y893,IF(K895="GOODNEWS",PR!$Z893,IF(K895="GREENLIFE",PR!$AA893,IF(K895="HLINE",PR!$AB893,IF(K895="ROTECH",PR!$AC893,IF(K895="ISN",PR!$AD893,IF(K895="JAWA",PR!$AE893,IF(K895="LAYO",PR!$AF893,IF(K895="LEADWAY",PR!$AG893,IF(K895="LHV",PR!$AH893,IF(K895="MANOLA",PR!$AI893,IF(K895="MARCSON",PR!$AJ893,IF(K895="M&amp;B",PR!$AK893,IF(K895="MTRUST",PR!$AL893,IF(K895="MWORLD",PR!$AM893,IF(K895="MEGA",PR!$AN893,IF(K895="MICRONOVA",PR!$AO893,IF(K895="MFLASH",PR!$AP893,IF(K895="MORISON",PR!$AQ893,IF(K895="NEMEL",PR!$AR893,IF(K895="NHP",PR!$AS893,IF(K895="NHC",PR!$AT893,IF(K895="OLEAF",PR!$AU893,IF(K895="OCULUS",PR!$AV893,IF(K895="PACIFIC",PR!$AW893,IF(K895="PHAMATEX",PR!$AX893,IF(K895="PETHICS",PR!$AY893,IF(K895="PHILIPS",PR!$AZ893,IF(K895="RANBAXY",PR!$BA893,IF(K895="REALS",PR!$BB893,IF(K895="ROYAL",PR!$BC893,IF(K895="SAM",PR!$BD893,IF(K895="SEAGREEN",PR!$BE893,IF(K895="SKG",PR!$BF893,IF(K895="TAH",PR!$BG893,IF(K895="TAYLEK",PR!$BH893,IF(K895="TEMITA",PR!$BI893,IF(K895="THL",PR!$BJ893,IF(K895="UBASTIC",PR!$BK893,IF(K895="UNION",PR!$BL893,IF(K895="UNIQUE",PR!$BM893,IF(K895="VIXA",PR!$BN893,IF(K895="WWCV",PR!$BO893,IF(K895="ZOLON",PR!$BP893,"-")))))))))))))))))))))))))))))))))))))))))))))))))))))))))))))))))</f>
        <v>32645.119999999999</v>
      </c>
    </row>
    <row r="896" spans="1:12" ht="18.75" x14ac:dyDescent="0.3">
      <c r="A896" s="430">
        <f>PR!A894</f>
        <v>804</v>
      </c>
      <c r="B896" s="15" t="str">
        <f>PR!B894</f>
        <v>ACTIN FS (B4218-20) 4ML</v>
      </c>
      <c r="C896" s="113" t="str">
        <f>PR!D894</f>
        <v>1 pack of 10</v>
      </c>
      <c r="D896" s="113">
        <f>PR!C894</f>
        <v>6</v>
      </c>
      <c r="E896" s="108">
        <f>IF(F896="ALPHA",PR!$E894,IF(F896="ASSENE",PR!$F894,IF(F896="BIOFEM",PR!$G894,IF(F896="BIOMED",PR!$H894,IF(F896="CHI",PR!$I894,IF(F896="CLARION",PR!$J894,IF(F896="CODIX",PR!$K894,IF(F896="COSMADE",PR!$L894,IF(F896="SANCON",PR!$M894,IF(F896="DEVON",PR!$N894,IF(F896="DORTEMAG",PR!$O894,IF(F896="DGF",PR!$P894,IF(F896="DYNAMIC",PR!$Q894,IF(F896="EMZOR",PR!$R894,IF(F896="EUMATT",PR!$S894,IF(F896="FIDSON",PR!$T894,IF(F896="FCGLOBAL",PR!$U894,IF(F896="GENEITH",PR!$V894,IF(F896="GINOS",PR!$W894,IF(F896="GSK",PR!$X894,IF(F896="GLOBORG",PR!$Y894,IF(F896="GOODNEWS",PR!$Z894,IF(F896="GREENLIFE",PR!$AA894,IF(F896="HLINE",PR!$AB894,IF(F896="ROTECH",PR!$AC894,IF(F896="ISN",PR!$AD894,IF(F896="JAWA",PR!$AE894,IF(F896="LAYO",PR!$AF894,IF(F896="LEADWAY",PR!$AG894,IF(F896="LHV",PR!$AH894,IF(F896="MANOLA",PR!$AI894,IF(F896="MARCSON",PR!$AJ894,IF(F896="M&amp;B",PR!$AK894,IF(F896="MTRUST",PR!$AL894,IF(F896="MWORLD",PR!$AM894,IF(F896="MEGA",PR!$AN894,IF(F896="MICRONOVA",PR!$AO894,IF(F896="MFLASH",PR!$AP894,IF(F896="MORISON",PR!$AQ894,IF(F896="NEMEL",PR!$AR894,IF(F896="NHP",PR!$AS894,IF(F896="NHC",PR!$AT894,IF(F896="OLEAF",PR!$AU894,IF(F896="OCULUS",PR!$AV894,IF(F896="PACIFIC",PR!$AW894,IF(F896="PHAMATEX",PR!$AX894,IF(F896="PETHICS",PR!$AY894,IF(F896="PHILIPS",PR!$AZ894,IF(F896="RANBAXY",PR!$BA894,IF(F896="REALS",PR!$BB894,IF(F896="ROYAL",PR!$BC894,IF(F896="SAM",PR!$BD894,IF(F896="SEAGREEN",PR!$BE894,IF(F896="SKG",PR!$BF894,IF(F896="TAH",PR!$BG894,IF(F896="TAYLEK",PR!$BH894,IF(F896="TEMITA",PR!$BI894,IF(F896="THL",PR!$BJ894,IF(F896="UBASTIC",PR!$BK894,IF(F896="UNION",PR!$BL894,IF(F896="UNIQUE",PR!$BM894,IF(F896="VIXA",PR!$BN894,IF(F896="WWCV",PR!$BO894,IF(F896="ZOLON",PR!$BP894,"-"))))))))))))))))))))))))))))))))))))))))))))))))))))))))))))))))</f>
        <v>74922.38</v>
      </c>
      <c r="F896" s="102" t="str">
        <f>EV!L1138</f>
        <v>UNION</v>
      </c>
      <c r="G896" s="108" t="str">
        <f>IF(H896="ALPHA",PR!$E894,IF(H896="ASSENE",PR!$F894,IF(H896="BIOFEM",PR!$G894,IF(H896="BIOMED",PR!$H894,IF(H896="CHI",PR!$I894,IF(H896="CLARION",PR!$J894,IF(H896="CODIX",PR!$K894,IF(H896="COSMADE",PR!$L894,IF(H896="SANCON",PR!$M894,IF(H896="DEVON",PR!$N894,IF(H896="DORTEMAG",PR!$O894,IF(H896="DGF",PR!$P894,IF(H896="DYNAMIC",PR!$Q894,IF(H896="EMZOR",PR!$R894,IF(H896="EUMATT",PR!$S894,IF(H896="FIDSON",PR!$T894,IF(H896="FCGLOBAL",PR!$U894,IF(H896="GENEITH",PR!$V894,IF(H896="GINOS",PR!$W894,IF(H896="GSK",PR!$X894,IF(H896="GLOBORG",PR!$Y894,IF(H896="GOODNEWS",PR!$Z894,IF(H896="GREENLIFE",PR!$AA894,IF(H896="HLINE",PR!$AB894,IF(H896="ROTECH",PR!$AC894,IF(H896="ISN",PR!$AD894,IF(H896="JAWA",PR!$AE894,IF(H896="LAYO",PR!$AF894,IF(H896="LEADWAY",PR!$AG894,IF(H896="LHV",PR!$AH894,IF(H896="MANOLA",PR!$AI894,IF(H896="MARCSON",PR!$AJ894,IF(H896="M&amp;B",PR!$AK894,IF(H896="MTRUST",PR!$AL894,IF(H896="MWORLD",PR!$AM894,IF(H896="MEGA",PR!$AN894,IF(H896="MICRONOVA",PR!$AO894,IF(H896="MFLASH",PR!$AP894,IF(H896="MORISON",PR!$AQ894,IF(H896="NEMEL",PR!$AR894,IF(H896="NHP",PR!$AS894,IF(H896="NHC",PR!$AT894,IF(H896="OLEAF",PR!$AU894,IF(H896="OCULUS",PR!$AV894,IF(H896="PACIFIC",PR!$AW894,IF(H896="PHAMATEX",PR!$AX894,IF(H896="PETHICS",PR!$AY894,IF(H896="PHILIPS",PR!$AZ894,IF(H896="RANBAXY",PR!$BA894,IF(H896="REALS",PR!$BB894,IF(H896="ROYAL",PR!$BC894,IF(H896="SAM",PR!$BD894,IF(H896="SEAGREEN",PR!$BE894,IF(H896="SKG",PR!$BF894,IF(H896="TAH",PR!$BG894,IF(H896="TAYLEK",PR!$BH894,IF(H896="TEMITA",PR!$BI894,IF(H896="THL",PR!$BJ894,IF(H896="UBASTIC",PR!$BK894,IF(H896="UNION",PR!$BL894,IF(H896="UNIQUE",PR!$BM894,IF(H896="VIXA",PR!$BN894,IF(H896="WWCV",PR!$BO894,IF(H896="ZOLON",PR!$BP894,"-"))))))))))))))))))))))))))))))))))))))))))))))))))))))))))))))))</f>
        <v>-</v>
      </c>
      <c r="H896" s="102">
        <f>EV!M1138</f>
        <v>0</v>
      </c>
      <c r="I896" s="108" t="str">
        <f>IF(J896="ALPHA",PR!$E894,IF(J896="ASSENE",PR!$F894,IF(J896="BIOFEM",PR!$G894,IF(J896="BIOMED",PR!$H894,IF(J896="CHI",PR!$I894,IF(J896="CLARION",PR!$J894,IF(J896="CODIX",PR!$K894,IF(J896="COSMADE",PR!$L894,IF(J896="SANCON",PR!$M894,IF(J896="DEVON",PR!$N894,IF(J896="DORTEMAG",PR!$O894,IF(J896="DGF",PR!$P894,IF(J896="DYNAMIC",PR!$Q894,IF(J896="EMZOR",PR!$R894,IF(J896="EUMATT",PR!$S894,IF(J896="FIDSON",PR!$T894,IF(J896="FCGLOBAL",PR!$U894,IF(J896="GENEITH",PR!$V894,IF(J896="GINOS",PR!$W894,IF(J896="GSK",PR!$X894,IF(J896="GLOBORG",PR!$Y894,IF(J896="GOODNEWS",PR!$Z894,IF(J896="GREENLIFE",PR!$AA894,IF(J896="HLINE",PR!$AB894,IF(J896="ROTECH",PR!$AC894,IF(J896="ISN",PR!$AD894,IF(J896="JAWA",PR!$AE894,IF(J896="LAYO",PR!$AF894,IF(J896="LEADWAY",PR!$AG894,IF(J896="LHV",PR!$AH894,IF(J896="MANOLA",PR!$AI894,IF(J896="MARCSON",PR!$AJ894,IF(J896="M&amp;B",PR!$AK894,IF(J896="MTRUST",PR!$AL894,IF(J896="MWORLD",PR!$AM894,IF(J896="MEGA",PR!$AN894,IF(J896="MICRONOVA",PR!$AO894,IF(J896="MFLASH",PR!$AP894,IF(J896="MORISON",PR!$AQ894,IF(J896="NEMEL",PR!$AR894,IF(J896="NHP",PR!$AS894,IF(J896="NHC",PR!$AT894,IF(J896="OLEAF",PR!$AU894,IF(J896="OCULUS",PR!$AV894,IF(J896="PACIFIC",PR!$AW894,IF(J896="PHAMATEX",PR!$AX894,IF(J896="PETHICS",PR!$AY894,IF(J896="PHILIPS",PR!$AZ894,IF(J896="RANBAXY",PR!$BA894,IF(J896="REALS",PR!$BB894,IF(J896="ROYAL",PR!$BC894,IF(J896="SAM",PR!$BD894,IF(J896="SEAGREEN",PR!$BE894,IF(J896="SKG",PR!$BF894,IF(J896="TAH",PR!$BG894,IF(J896="TAYLEK",PR!$BH894,IF(J896="TEMITA",PR!$BI894,IF(J896="THL",PR!$BJ894,IF(J896="UBASTIC",PR!$BK894,IF(J896="UNION",PR!$BL894,IF(J896="UNIQUE",PR!$BM894,IF(J896="VIXA",PR!$BN894,IF(J896="WWCV",PR!$BO894,IF(J896="ZOLON",PR!$BP894,"-"))))))))))))))))))))))))))))))))))))))))))))))))))))))))))))))))</f>
        <v>-</v>
      </c>
      <c r="J896" s="102">
        <f>EV!N1138</f>
        <v>0</v>
      </c>
      <c r="K896" s="433" t="s">
        <v>1470</v>
      </c>
      <c r="L896" s="183">
        <f>IF(K896&gt;0,IF(K896="ALPHA",PR!$E894,IF(K896="ASSENE",PR!$F894,IF(K896="BIOFEM",PR!$G894,IF(K896="BIOMED",PR!$H894,IF(K896="CHI",PR!$I894,IF(K896="CLARION",PR!$J894,IF(K896="CODIX",PR!$K894,IF(K896="COSMADE",PR!$L894,IF(K896="SANCON",PR!$M894,IF(K896="DEVON",PR!$N894,IF(K896="DORTEMAG",PR!$O894,IF(K896="DGF",PR!$P894,IF(K896="DYNAMIC",PR!$Q894,IF(K896="EMZOR",PR!$R894,IF(K896="EUMATT",PR!$S894,IF(K896="FIDSON",PR!$T894,IF(K896="FCGLOBAL",PR!$U894,IF(K896="GENEITH",PR!$V894,IF(K896="GINOS",PR!$W894,IF(K896="GSK",PR!$X894,IF(K896="GLOBORG",PR!$Y894,IF(K896="GOODNEWS",PR!$Z894,IF(K896="GREENLIFE",PR!$AA894,IF(K896="HLINE",PR!$AB894,IF(K896="ROTECH",PR!$AC894,IF(K896="ISN",PR!$AD894,IF(K896="JAWA",PR!$AE894,IF(K896="LAYO",PR!$AF894,IF(K896="LEADWAY",PR!$AG894,IF(K896="LHV",PR!$AH894,IF(K896="MANOLA",PR!$AI894,IF(K896="MARCSON",PR!$AJ894,IF(K896="M&amp;B",PR!$AK894,IF(K896="MTRUST",PR!$AL894,IF(K896="MWORLD",PR!$AM894,IF(K896="MEGA",PR!$AN894,IF(K896="MICRONOVA",PR!$AO894,IF(K896="MFLASH",PR!$AP894,IF(K896="MORISON",PR!$AQ894,IF(K896="NEMEL",PR!$AR894,IF(K896="NHP",PR!$AS894,IF(K896="NHC",PR!$AT894,IF(K896="OLEAF",PR!$AU894,IF(K896="OCULUS",PR!$AV894,IF(K896="PACIFIC",PR!$AW894,IF(K896="PHAMATEX",PR!$AX894,IF(K896="PETHICS",PR!$AY894,IF(K896="PHILIPS",PR!$AZ894,IF(K896="RANBAXY",PR!$BA894,IF(K896="REALS",PR!$BB894,IF(K896="ROYAL",PR!$BC894,IF(K896="SAM",PR!$BD894,IF(K896="SEAGREEN",PR!$BE894,IF(K896="SKG",PR!$BF894,IF(K896="TAH",PR!$BG894,IF(K896="TAYLEK",PR!$BH894,IF(K896="TEMITA",PR!$BI894,IF(K896="THL",PR!$BJ894,IF(K896="UBASTIC",PR!$BK894,IF(K896="UNION",PR!$BL894,IF(K896="UNIQUE",PR!$BM894,IF(K896="VIXA",PR!$BN894,IF(K896="WWCV",PR!$BO894,IF(K896="ZOLON",PR!$BP894,"-")))))))))))))))))))))))))))))))))))))))))))))))))))))))))))))))))</f>
        <v>74922.38</v>
      </c>
    </row>
    <row r="897" spans="1:12" ht="18.75" x14ac:dyDescent="0.3">
      <c r="A897" s="430">
        <f>PR!A895</f>
        <v>805</v>
      </c>
      <c r="B897" s="15" t="str">
        <f>PR!B895</f>
        <v>C1 - TROL 1E (291070) 1ML</v>
      </c>
      <c r="C897" s="113" t="str">
        <f>PR!D895</f>
        <v>1 pack of 10</v>
      </c>
      <c r="D897" s="113">
        <f>PR!C895</f>
        <v>6</v>
      </c>
      <c r="E897" s="108">
        <f>IF(F897="ALPHA",PR!$E895,IF(F897="ASSENE",PR!$F895,IF(F897="BIOFEM",PR!$G895,IF(F897="BIOMED",PR!$H895,IF(F897="CHI",PR!$I895,IF(F897="CLARION",PR!$J895,IF(F897="CODIX",PR!$K895,IF(F897="COSMADE",PR!$L895,IF(F897="SANCON",PR!$M895,IF(F897="DEVON",PR!$N895,IF(F897="DORTEMAG",PR!$O895,IF(F897="DGF",PR!$P895,IF(F897="DYNAMIC",PR!$Q895,IF(F897="EMZOR",PR!$R895,IF(F897="EUMATT",PR!$S895,IF(F897="FIDSON",PR!$T895,IF(F897="FCGLOBAL",PR!$U895,IF(F897="GENEITH",PR!$V895,IF(F897="GINOS",PR!$W895,IF(F897="GSK",PR!$X895,IF(F897="GLOBORG",PR!$Y895,IF(F897="GOODNEWS",PR!$Z895,IF(F897="GREENLIFE",PR!$AA895,IF(F897="HLINE",PR!$AB895,IF(F897="ROTECH",PR!$AC895,IF(F897="ISN",PR!$AD895,IF(F897="JAWA",PR!$AE895,IF(F897="LAYO",PR!$AF895,IF(F897="LEADWAY",PR!$AG895,IF(F897="LHV",PR!$AH895,IF(F897="MANOLA",PR!$AI895,IF(F897="MARCSON",PR!$AJ895,IF(F897="M&amp;B",PR!$AK895,IF(F897="MTRUST",PR!$AL895,IF(F897="MWORLD",PR!$AM895,IF(F897="MEGA",PR!$AN895,IF(F897="MICRONOVA",PR!$AO895,IF(F897="MFLASH",PR!$AP895,IF(F897="MORISON",PR!$AQ895,IF(F897="NEMEL",PR!$AR895,IF(F897="NHP",PR!$AS895,IF(F897="NHC",PR!$AT895,IF(F897="OLEAF",PR!$AU895,IF(F897="OCULUS",PR!$AV895,IF(F897="PACIFIC",PR!$AW895,IF(F897="PHAMATEX",PR!$AX895,IF(F897="PETHICS",PR!$AY895,IF(F897="PHILIPS",PR!$AZ895,IF(F897="RANBAXY",PR!$BA895,IF(F897="REALS",PR!$BB895,IF(F897="ROYAL",PR!$BC895,IF(F897="SAM",PR!$BD895,IF(F897="SEAGREEN",PR!$BE895,IF(F897="SKG",PR!$BF895,IF(F897="TAH",PR!$BG895,IF(F897="TAYLEK",PR!$BH895,IF(F897="TEMITA",PR!$BI895,IF(F897="THL",PR!$BJ895,IF(F897="UBASTIC",PR!$BK895,IF(F897="UNION",PR!$BL895,IF(F897="UNIQUE",PR!$BM895,IF(F897="VIXA",PR!$BN895,IF(F897="WWCV",PR!$BO895,IF(F897="ZOLON",PR!$BP895,"-"))))))))))))))))))))))))))))))))))))))))))))))))))))))))))))))))</f>
        <v>33391.64</v>
      </c>
      <c r="F897" s="102" t="str">
        <f>EV!L1139</f>
        <v>UNION</v>
      </c>
      <c r="G897" s="108" t="str">
        <f>IF(H897="ALPHA",PR!$E895,IF(H897="ASSENE",PR!$F895,IF(H897="BIOFEM",PR!$G895,IF(H897="BIOMED",PR!$H895,IF(H897="CHI",PR!$I895,IF(H897="CLARION",PR!$J895,IF(H897="CODIX",PR!$K895,IF(H897="COSMADE",PR!$L895,IF(H897="SANCON",PR!$M895,IF(H897="DEVON",PR!$N895,IF(H897="DORTEMAG",PR!$O895,IF(H897="DGF",PR!$P895,IF(H897="DYNAMIC",PR!$Q895,IF(H897="EMZOR",PR!$R895,IF(H897="EUMATT",PR!$S895,IF(H897="FIDSON",PR!$T895,IF(H897="FCGLOBAL",PR!$U895,IF(H897="GENEITH",PR!$V895,IF(H897="GINOS",PR!$W895,IF(H897="GSK",PR!$X895,IF(H897="GLOBORG",PR!$Y895,IF(H897="GOODNEWS",PR!$Z895,IF(H897="GREENLIFE",PR!$AA895,IF(H897="HLINE",PR!$AB895,IF(H897="ROTECH",PR!$AC895,IF(H897="ISN",PR!$AD895,IF(H897="JAWA",PR!$AE895,IF(H897="LAYO",PR!$AF895,IF(H897="LEADWAY",PR!$AG895,IF(H897="LHV",PR!$AH895,IF(H897="MANOLA",PR!$AI895,IF(H897="MARCSON",PR!$AJ895,IF(H897="M&amp;B",PR!$AK895,IF(H897="MTRUST",PR!$AL895,IF(H897="MWORLD",PR!$AM895,IF(H897="MEGA",PR!$AN895,IF(H897="MICRONOVA",PR!$AO895,IF(H897="MFLASH",PR!$AP895,IF(H897="MORISON",PR!$AQ895,IF(H897="NEMEL",PR!$AR895,IF(H897="NHP",PR!$AS895,IF(H897="NHC",PR!$AT895,IF(H897="OLEAF",PR!$AU895,IF(H897="OCULUS",PR!$AV895,IF(H897="PACIFIC",PR!$AW895,IF(H897="PHAMATEX",PR!$AX895,IF(H897="PETHICS",PR!$AY895,IF(H897="PHILIPS",PR!$AZ895,IF(H897="RANBAXY",PR!$BA895,IF(H897="REALS",PR!$BB895,IF(H897="ROYAL",PR!$BC895,IF(H897="SAM",PR!$BD895,IF(H897="SEAGREEN",PR!$BE895,IF(H897="SKG",PR!$BF895,IF(H897="TAH",PR!$BG895,IF(H897="TAYLEK",PR!$BH895,IF(H897="TEMITA",PR!$BI895,IF(H897="THL",PR!$BJ895,IF(H897="UBASTIC",PR!$BK895,IF(H897="UNION",PR!$BL895,IF(H897="UNIQUE",PR!$BM895,IF(H897="VIXA",PR!$BN895,IF(H897="WWCV",PR!$BO895,IF(H897="ZOLON",PR!$BP895,"-"))))))))))))))))))))))))))))))))))))))))))))))))))))))))))))))))</f>
        <v>-</v>
      </c>
      <c r="H897" s="102">
        <f>EV!M1139</f>
        <v>0</v>
      </c>
      <c r="I897" s="108" t="str">
        <f>IF(J897="ALPHA",PR!$E895,IF(J897="ASSENE",PR!$F895,IF(J897="BIOFEM",PR!$G895,IF(J897="BIOMED",PR!$H895,IF(J897="CHI",PR!$I895,IF(J897="CLARION",PR!$J895,IF(J897="CODIX",PR!$K895,IF(J897="COSMADE",PR!$L895,IF(J897="SANCON",PR!$M895,IF(J897="DEVON",PR!$N895,IF(J897="DORTEMAG",PR!$O895,IF(J897="DGF",PR!$P895,IF(J897="DYNAMIC",PR!$Q895,IF(J897="EMZOR",PR!$R895,IF(J897="EUMATT",PR!$S895,IF(J897="FIDSON",PR!$T895,IF(J897="FCGLOBAL",PR!$U895,IF(J897="GENEITH",PR!$V895,IF(J897="GINOS",PR!$W895,IF(J897="GSK",PR!$X895,IF(J897="GLOBORG",PR!$Y895,IF(J897="GOODNEWS",PR!$Z895,IF(J897="GREENLIFE",PR!$AA895,IF(J897="HLINE",PR!$AB895,IF(J897="ROTECH",PR!$AC895,IF(J897="ISN",PR!$AD895,IF(J897="JAWA",PR!$AE895,IF(J897="LAYO",PR!$AF895,IF(J897="LEADWAY",PR!$AG895,IF(J897="LHV",PR!$AH895,IF(J897="MANOLA",PR!$AI895,IF(J897="MARCSON",PR!$AJ895,IF(J897="M&amp;B",PR!$AK895,IF(J897="MTRUST",PR!$AL895,IF(J897="MWORLD",PR!$AM895,IF(J897="MEGA",PR!$AN895,IF(J897="MICRONOVA",PR!$AO895,IF(J897="MFLASH",PR!$AP895,IF(J897="MORISON",PR!$AQ895,IF(J897="NEMEL",PR!$AR895,IF(J897="NHP",PR!$AS895,IF(J897="NHC",PR!$AT895,IF(J897="OLEAF",PR!$AU895,IF(J897="OCULUS",PR!$AV895,IF(J897="PACIFIC",PR!$AW895,IF(J897="PHAMATEX",PR!$AX895,IF(J897="PETHICS",PR!$AY895,IF(J897="PHILIPS",PR!$AZ895,IF(J897="RANBAXY",PR!$BA895,IF(J897="REALS",PR!$BB895,IF(J897="ROYAL",PR!$BC895,IF(J897="SAM",PR!$BD895,IF(J897="SEAGREEN",PR!$BE895,IF(J897="SKG",PR!$BF895,IF(J897="TAH",PR!$BG895,IF(J897="TAYLEK",PR!$BH895,IF(J897="TEMITA",PR!$BI895,IF(J897="THL",PR!$BJ895,IF(J897="UBASTIC",PR!$BK895,IF(J897="UNION",PR!$BL895,IF(J897="UNIQUE",PR!$BM895,IF(J897="VIXA",PR!$BN895,IF(J897="WWCV",PR!$BO895,IF(J897="ZOLON",PR!$BP895,"-"))))))))))))))))))))))))))))))))))))))))))))))))))))))))))))))))</f>
        <v>-</v>
      </c>
      <c r="J897" s="102">
        <f>EV!N1139</f>
        <v>0</v>
      </c>
      <c r="K897" s="433" t="s">
        <v>1470</v>
      </c>
      <c r="L897" s="183">
        <f>IF(K897&gt;0,IF(K897="ALPHA",PR!$E895,IF(K897="ASSENE",PR!$F895,IF(K897="BIOFEM",PR!$G895,IF(K897="BIOMED",PR!$H895,IF(K897="CHI",PR!$I895,IF(K897="CLARION",PR!$J895,IF(K897="CODIX",PR!$K895,IF(K897="COSMADE",PR!$L895,IF(K897="SANCON",PR!$M895,IF(K897="DEVON",PR!$N895,IF(K897="DORTEMAG",PR!$O895,IF(K897="DGF",PR!$P895,IF(K897="DYNAMIC",PR!$Q895,IF(K897="EMZOR",PR!$R895,IF(K897="EUMATT",PR!$S895,IF(K897="FIDSON",PR!$T895,IF(K897="FCGLOBAL",PR!$U895,IF(K897="GENEITH",PR!$V895,IF(K897="GINOS",PR!$W895,IF(K897="GSK",PR!$X895,IF(K897="GLOBORG",PR!$Y895,IF(K897="GOODNEWS",PR!$Z895,IF(K897="GREENLIFE",PR!$AA895,IF(K897="HLINE",PR!$AB895,IF(K897="ROTECH",PR!$AC895,IF(K897="ISN",PR!$AD895,IF(K897="JAWA",PR!$AE895,IF(K897="LAYO",PR!$AF895,IF(K897="LEADWAY",PR!$AG895,IF(K897="LHV",PR!$AH895,IF(K897="MANOLA",PR!$AI895,IF(K897="MARCSON",PR!$AJ895,IF(K897="M&amp;B",PR!$AK895,IF(K897="MTRUST",PR!$AL895,IF(K897="MWORLD",PR!$AM895,IF(K897="MEGA",PR!$AN895,IF(K897="MICRONOVA",PR!$AO895,IF(K897="MFLASH",PR!$AP895,IF(K897="MORISON",PR!$AQ895,IF(K897="NEMEL",PR!$AR895,IF(K897="NHP",PR!$AS895,IF(K897="NHC",PR!$AT895,IF(K897="OLEAF",PR!$AU895,IF(K897="OCULUS",PR!$AV895,IF(K897="PACIFIC",PR!$AW895,IF(K897="PHAMATEX",PR!$AX895,IF(K897="PETHICS",PR!$AY895,IF(K897="PHILIPS",PR!$AZ895,IF(K897="RANBAXY",PR!$BA895,IF(K897="REALS",PR!$BB895,IF(K897="ROYAL",PR!$BC895,IF(K897="SAM",PR!$BD895,IF(K897="SEAGREEN",PR!$BE895,IF(K897="SKG",PR!$BF895,IF(K897="TAH",PR!$BG895,IF(K897="TAYLEK",PR!$BH895,IF(K897="TEMITA",PR!$BI895,IF(K897="THL",PR!$BJ895,IF(K897="UBASTIC",PR!$BK895,IF(K897="UNION",PR!$BL895,IF(K897="UNIQUE",PR!$BM895,IF(K897="VIXA",PR!$BN895,IF(K897="WWCV",PR!$BO895,IF(K897="ZOLON",PR!$BP895,"-")))))))))))))))))))))))))))))))))))))))))))))))))))))))))))))))))</f>
        <v>33391.64</v>
      </c>
    </row>
    <row r="898" spans="1:12" ht="18.75" x14ac:dyDescent="0.3">
      <c r="A898" s="430">
        <f>PR!A896</f>
        <v>806</v>
      </c>
      <c r="B898" s="15" t="str">
        <f>PR!B896</f>
        <v>C2 - TROL 2E (291071) 1ML</v>
      </c>
      <c r="C898" s="113" t="str">
        <f>PR!D896</f>
        <v>1 pack of 10</v>
      </c>
      <c r="D898" s="113">
        <f>PR!C896</f>
        <v>6</v>
      </c>
      <c r="E898" s="108">
        <f>IF(F898="ALPHA",PR!$E896,IF(F898="ASSENE",PR!$F896,IF(F898="BIOFEM",PR!$G896,IF(F898="BIOMED",PR!$H896,IF(F898="CHI",PR!$I896,IF(F898="CLARION",PR!$J896,IF(F898="CODIX",PR!$K896,IF(F898="COSMADE",PR!$L896,IF(F898="SANCON",PR!$M896,IF(F898="DEVON",PR!$N896,IF(F898="DORTEMAG",PR!$O896,IF(F898="DGF",PR!$P896,IF(F898="DYNAMIC",PR!$Q896,IF(F898="EMZOR",PR!$R896,IF(F898="EUMATT",PR!$S896,IF(F898="FIDSON",PR!$T896,IF(F898="FCGLOBAL",PR!$U896,IF(F898="GENEITH",PR!$V896,IF(F898="GINOS",PR!$W896,IF(F898="GSK",PR!$X896,IF(F898="GLOBORG",PR!$Y896,IF(F898="GOODNEWS",PR!$Z896,IF(F898="GREENLIFE",PR!$AA896,IF(F898="HLINE",PR!$AB896,IF(F898="ROTECH",PR!$AC896,IF(F898="ISN",PR!$AD896,IF(F898="JAWA",PR!$AE896,IF(F898="LAYO",PR!$AF896,IF(F898="LEADWAY",PR!$AG896,IF(F898="LHV",PR!$AH896,IF(F898="MANOLA",PR!$AI896,IF(F898="MARCSON",PR!$AJ896,IF(F898="M&amp;B",PR!$AK896,IF(F898="MTRUST",PR!$AL896,IF(F898="MWORLD",PR!$AM896,IF(F898="MEGA",PR!$AN896,IF(F898="MICRONOVA",PR!$AO896,IF(F898="MFLASH",PR!$AP896,IF(F898="MORISON",PR!$AQ896,IF(F898="NEMEL",PR!$AR896,IF(F898="NHP",PR!$AS896,IF(F898="NHC",PR!$AT896,IF(F898="OLEAF",PR!$AU896,IF(F898="OCULUS",PR!$AV896,IF(F898="PACIFIC",PR!$AW896,IF(F898="PHAMATEX",PR!$AX896,IF(F898="PETHICS",PR!$AY896,IF(F898="PHILIPS",PR!$AZ896,IF(F898="RANBAXY",PR!$BA896,IF(F898="REALS",PR!$BB896,IF(F898="ROYAL",PR!$BC896,IF(F898="SAM",PR!$BD896,IF(F898="SEAGREEN",PR!$BE896,IF(F898="SKG",PR!$BF896,IF(F898="TAH",PR!$BG896,IF(F898="TAYLEK",PR!$BH896,IF(F898="TEMITA",PR!$BI896,IF(F898="THL",PR!$BJ896,IF(F898="UBASTIC",PR!$BK896,IF(F898="UNION",PR!$BL896,IF(F898="UNIQUE",PR!$BM896,IF(F898="VIXA",PR!$BN896,IF(F898="WWCV",PR!$BO896,IF(F898="ZOLON",PR!$BP896,"-"))))))))))))))))))))))))))))))))))))))))))))))))))))))))))))))))</f>
        <v>31391.64</v>
      </c>
      <c r="F898" s="102" t="str">
        <f>EV!L1140</f>
        <v>UNION</v>
      </c>
      <c r="G898" s="108" t="str">
        <f>IF(H898="ALPHA",PR!$E896,IF(H898="ASSENE",PR!$F896,IF(H898="BIOFEM",PR!$G896,IF(H898="BIOMED",PR!$H896,IF(H898="CHI",PR!$I896,IF(H898="CLARION",PR!$J896,IF(H898="CODIX",PR!$K896,IF(H898="COSMADE",PR!$L896,IF(H898="SANCON",PR!$M896,IF(H898="DEVON",PR!$N896,IF(H898="DORTEMAG",PR!$O896,IF(H898="DGF",PR!$P896,IF(H898="DYNAMIC",PR!$Q896,IF(H898="EMZOR",PR!$R896,IF(H898="EUMATT",PR!$S896,IF(H898="FIDSON",PR!$T896,IF(H898="FCGLOBAL",PR!$U896,IF(H898="GENEITH",PR!$V896,IF(H898="GINOS",PR!$W896,IF(H898="GSK",PR!$X896,IF(H898="GLOBORG",PR!$Y896,IF(H898="GOODNEWS",PR!$Z896,IF(H898="GREENLIFE",PR!$AA896,IF(H898="HLINE",PR!$AB896,IF(H898="ROTECH",PR!$AC896,IF(H898="ISN",PR!$AD896,IF(H898="JAWA",PR!$AE896,IF(H898="LAYO",PR!$AF896,IF(H898="LEADWAY",PR!$AG896,IF(H898="LHV",PR!$AH896,IF(H898="MANOLA",PR!$AI896,IF(H898="MARCSON",PR!$AJ896,IF(H898="M&amp;B",PR!$AK896,IF(H898="MTRUST",PR!$AL896,IF(H898="MWORLD",PR!$AM896,IF(H898="MEGA",PR!$AN896,IF(H898="MICRONOVA",PR!$AO896,IF(H898="MFLASH",PR!$AP896,IF(H898="MORISON",PR!$AQ896,IF(H898="NEMEL",PR!$AR896,IF(H898="NHP",PR!$AS896,IF(H898="NHC",PR!$AT896,IF(H898="OLEAF",PR!$AU896,IF(H898="OCULUS",PR!$AV896,IF(H898="PACIFIC",PR!$AW896,IF(H898="PHAMATEX",PR!$AX896,IF(H898="PETHICS",PR!$AY896,IF(H898="PHILIPS",PR!$AZ896,IF(H898="RANBAXY",PR!$BA896,IF(H898="REALS",PR!$BB896,IF(H898="ROYAL",PR!$BC896,IF(H898="SAM",PR!$BD896,IF(H898="SEAGREEN",PR!$BE896,IF(H898="SKG",PR!$BF896,IF(H898="TAH",PR!$BG896,IF(H898="TAYLEK",PR!$BH896,IF(H898="TEMITA",PR!$BI896,IF(H898="THL",PR!$BJ896,IF(H898="UBASTIC",PR!$BK896,IF(H898="UNION",PR!$BL896,IF(H898="UNIQUE",PR!$BM896,IF(H898="VIXA",PR!$BN896,IF(H898="WWCV",PR!$BO896,IF(H898="ZOLON",PR!$BP896,"-"))))))))))))))))))))))))))))))))))))))))))))))))))))))))))))))))</f>
        <v>-</v>
      </c>
      <c r="H898" s="102">
        <f>EV!M1140</f>
        <v>0</v>
      </c>
      <c r="I898" s="108" t="str">
        <f>IF(J898="ALPHA",PR!$E896,IF(J898="ASSENE",PR!$F896,IF(J898="BIOFEM",PR!$G896,IF(J898="BIOMED",PR!$H896,IF(J898="CHI",PR!$I896,IF(J898="CLARION",PR!$J896,IF(J898="CODIX",PR!$K896,IF(J898="COSMADE",PR!$L896,IF(J898="SANCON",PR!$M896,IF(J898="DEVON",PR!$N896,IF(J898="DORTEMAG",PR!$O896,IF(J898="DGF",PR!$P896,IF(J898="DYNAMIC",PR!$Q896,IF(J898="EMZOR",PR!$R896,IF(J898="EUMATT",PR!$S896,IF(J898="FIDSON",PR!$T896,IF(J898="FCGLOBAL",PR!$U896,IF(J898="GENEITH",PR!$V896,IF(J898="GINOS",PR!$W896,IF(J898="GSK",PR!$X896,IF(J898="GLOBORG",PR!$Y896,IF(J898="GOODNEWS",PR!$Z896,IF(J898="GREENLIFE",PR!$AA896,IF(J898="HLINE",PR!$AB896,IF(J898="ROTECH",PR!$AC896,IF(J898="ISN",PR!$AD896,IF(J898="JAWA",PR!$AE896,IF(J898="LAYO",PR!$AF896,IF(J898="LEADWAY",PR!$AG896,IF(J898="LHV",PR!$AH896,IF(J898="MANOLA",PR!$AI896,IF(J898="MARCSON",PR!$AJ896,IF(J898="M&amp;B",PR!$AK896,IF(J898="MTRUST",PR!$AL896,IF(J898="MWORLD",PR!$AM896,IF(J898="MEGA",PR!$AN896,IF(J898="MICRONOVA",PR!$AO896,IF(J898="MFLASH",PR!$AP896,IF(J898="MORISON",PR!$AQ896,IF(J898="NEMEL",PR!$AR896,IF(J898="NHP",PR!$AS896,IF(J898="NHC",PR!$AT896,IF(J898="OLEAF",PR!$AU896,IF(J898="OCULUS",PR!$AV896,IF(J898="PACIFIC",PR!$AW896,IF(J898="PHAMATEX",PR!$AX896,IF(J898="PETHICS",PR!$AY896,IF(J898="PHILIPS",PR!$AZ896,IF(J898="RANBAXY",PR!$BA896,IF(J898="REALS",PR!$BB896,IF(J898="ROYAL",PR!$BC896,IF(J898="SAM",PR!$BD896,IF(J898="SEAGREEN",PR!$BE896,IF(J898="SKG",PR!$BF896,IF(J898="TAH",PR!$BG896,IF(J898="TAYLEK",PR!$BH896,IF(J898="TEMITA",PR!$BI896,IF(J898="THL",PR!$BJ896,IF(J898="UBASTIC",PR!$BK896,IF(J898="UNION",PR!$BL896,IF(J898="UNIQUE",PR!$BM896,IF(J898="VIXA",PR!$BN896,IF(J898="WWCV",PR!$BO896,IF(J898="ZOLON",PR!$BP896,"-"))))))))))))))))))))))))))))))))))))))))))))))))))))))))))))))))</f>
        <v>-</v>
      </c>
      <c r="J898" s="102">
        <f>EV!N1140</f>
        <v>0</v>
      </c>
      <c r="K898" s="433" t="s">
        <v>1470</v>
      </c>
      <c r="L898" s="183">
        <f>IF(K898&gt;0,IF(K898="ALPHA",PR!$E896,IF(K898="ASSENE",PR!$F896,IF(K898="BIOFEM",PR!$G896,IF(K898="BIOMED",PR!$H896,IF(K898="CHI",PR!$I896,IF(K898="CLARION",PR!$J896,IF(K898="CODIX",PR!$K896,IF(K898="COSMADE",PR!$L896,IF(K898="SANCON",PR!$M896,IF(K898="DEVON",PR!$N896,IF(K898="DORTEMAG",PR!$O896,IF(K898="DGF",PR!$P896,IF(K898="DYNAMIC",PR!$Q896,IF(K898="EMZOR",PR!$R896,IF(K898="EUMATT",PR!$S896,IF(K898="FIDSON",PR!$T896,IF(K898="FCGLOBAL",PR!$U896,IF(K898="GENEITH",PR!$V896,IF(K898="GINOS",PR!$W896,IF(K898="GSK",PR!$X896,IF(K898="GLOBORG",PR!$Y896,IF(K898="GOODNEWS",PR!$Z896,IF(K898="GREENLIFE",PR!$AA896,IF(K898="HLINE",PR!$AB896,IF(K898="ROTECH",PR!$AC896,IF(K898="ISN",PR!$AD896,IF(K898="JAWA",PR!$AE896,IF(K898="LAYO",PR!$AF896,IF(K898="LEADWAY",PR!$AG896,IF(K898="LHV",PR!$AH896,IF(K898="MANOLA",PR!$AI896,IF(K898="MARCSON",PR!$AJ896,IF(K898="M&amp;B",PR!$AK896,IF(K898="MTRUST",PR!$AL896,IF(K898="MWORLD",PR!$AM896,IF(K898="MEGA",PR!$AN896,IF(K898="MICRONOVA",PR!$AO896,IF(K898="MFLASH",PR!$AP896,IF(K898="MORISON",PR!$AQ896,IF(K898="NEMEL",PR!$AR896,IF(K898="NHP",PR!$AS896,IF(K898="NHC",PR!$AT896,IF(K898="OLEAF",PR!$AU896,IF(K898="OCULUS",PR!$AV896,IF(K898="PACIFIC",PR!$AW896,IF(K898="PHAMATEX",PR!$AX896,IF(K898="PETHICS",PR!$AY896,IF(K898="PHILIPS",PR!$AZ896,IF(K898="RANBAXY",PR!$BA896,IF(K898="REALS",PR!$BB896,IF(K898="ROYAL",PR!$BC896,IF(K898="SAM",PR!$BD896,IF(K898="SEAGREEN",PR!$BE896,IF(K898="SKG",PR!$BF896,IF(K898="TAH",PR!$BG896,IF(K898="TAYLEK",PR!$BH896,IF(K898="TEMITA",PR!$BI896,IF(K898="THL",PR!$BJ896,IF(K898="UBASTIC",PR!$BK896,IF(K898="UNION",PR!$BL896,IF(K898="UNIQUE",PR!$BM896,IF(K898="VIXA",PR!$BN896,IF(K898="WWCV",PR!$BO896,IF(K898="ZOLON",PR!$BP896,"-")))))))))))))))))))))))))))))))))))))))))))))))))))))))))))))))))</f>
        <v>31391.64</v>
      </c>
    </row>
    <row r="899" spans="1:12" ht="18.75" x14ac:dyDescent="0.3">
      <c r="A899" s="430">
        <f>PR!A897</f>
        <v>807</v>
      </c>
      <c r="B899" s="15" t="str">
        <f>PR!B897</f>
        <v>CALCIUM CHLORIDE (OR H037) 25ML</v>
      </c>
      <c r="C899" s="113" t="str">
        <f>PR!D897</f>
        <v>1 pack of 10</v>
      </c>
      <c r="D899" s="113">
        <f>PR!C897</f>
        <v>6</v>
      </c>
      <c r="E899" s="108">
        <f>IF(F899="ALPHA",PR!$E897,IF(F899="ASSENE",PR!$F897,IF(F899="BIOFEM",PR!$G897,IF(F899="BIOMED",PR!$H897,IF(F899="CHI",PR!$I897,IF(F899="CLARION",PR!$J897,IF(F899="CODIX",PR!$K897,IF(F899="COSMADE",PR!$L897,IF(F899="SANCON",PR!$M897,IF(F899="DEVON",PR!$N897,IF(F899="DORTEMAG",PR!$O897,IF(F899="DGF",PR!$P897,IF(F899="DYNAMIC",PR!$Q897,IF(F899="EMZOR",PR!$R897,IF(F899="EUMATT",PR!$S897,IF(F899="FIDSON",PR!$T897,IF(F899="FCGLOBAL",PR!$U897,IF(F899="GENEITH",PR!$V897,IF(F899="GINOS",PR!$W897,IF(F899="GSK",PR!$X897,IF(F899="GLOBORG",PR!$Y897,IF(F899="GOODNEWS",PR!$Z897,IF(F899="GREENLIFE",PR!$AA897,IF(F899="HLINE",PR!$AB897,IF(F899="ROTECH",PR!$AC897,IF(F899="ISN",PR!$AD897,IF(F899="JAWA",PR!$AE897,IF(F899="LAYO",PR!$AF897,IF(F899="LEADWAY",PR!$AG897,IF(F899="LHV",PR!$AH897,IF(F899="MANOLA",PR!$AI897,IF(F899="MARCSON",PR!$AJ897,IF(F899="M&amp;B",PR!$AK897,IF(F899="MTRUST",PR!$AL897,IF(F899="MWORLD",PR!$AM897,IF(F899="MEGA",PR!$AN897,IF(F899="MICRONOVA",PR!$AO897,IF(F899="MFLASH",PR!$AP897,IF(F899="MORISON",PR!$AQ897,IF(F899="NEMEL",PR!$AR897,IF(F899="NHP",PR!$AS897,IF(F899="NHC",PR!$AT897,IF(F899="OLEAF",PR!$AU897,IF(F899="OCULUS",PR!$AV897,IF(F899="PACIFIC",PR!$AW897,IF(F899="PHAMATEX",PR!$AX897,IF(F899="PETHICS",PR!$AY897,IF(F899="PHILIPS",PR!$AZ897,IF(F899="RANBAXY",PR!$BA897,IF(F899="REALS",PR!$BB897,IF(F899="ROYAL",PR!$BC897,IF(F899="SAM",PR!$BD897,IF(F899="SEAGREEN",PR!$BE897,IF(F899="SKG",PR!$BF897,IF(F899="TAH",PR!$BG897,IF(F899="TAYLEK",PR!$BH897,IF(F899="TEMITA",PR!$BI897,IF(F899="THL",PR!$BJ897,IF(F899="UBASTIC",PR!$BK897,IF(F899="UNION",PR!$BL897,IF(F899="UNIQUE",PR!$BM897,IF(F899="VIXA",PR!$BN897,IF(F899="WWCV",PR!$BO897,IF(F899="ZOLON",PR!$BP897,"-"))))))))))))))))))))))))))))))))))))))))))))))))))))))))))))))))</f>
        <v>40908.1</v>
      </c>
      <c r="F899" s="102" t="str">
        <f>EV!L1141</f>
        <v>UNION</v>
      </c>
      <c r="G899" s="108" t="str">
        <f>IF(H899="ALPHA",PR!$E897,IF(H899="ASSENE",PR!$F897,IF(H899="BIOFEM",PR!$G897,IF(H899="BIOMED",PR!$H897,IF(H899="CHI",PR!$I897,IF(H899="CLARION",PR!$J897,IF(H899="CODIX",PR!$K897,IF(H899="COSMADE",PR!$L897,IF(H899="SANCON",PR!$M897,IF(H899="DEVON",PR!$N897,IF(H899="DORTEMAG",PR!$O897,IF(H899="DGF",PR!$P897,IF(H899="DYNAMIC",PR!$Q897,IF(H899="EMZOR",PR!$R897,IF(H899="EUMATT",PR!$S897,IF(H899="FIDSON",PR!$T897,IF(H899="FCGLOBAL",PR!$U897,IF(H899="GENEITH",PR!$V897,IF(H899="GINOS",PR!$W897,IF(H899="GSK",PR!$X897,IF(H899="GLOBORG",PR!$Y897,IF(H899="GOODNEWS",PR!$Z897,IF(H899="GREENLIFE",PR!$AA897,IF(H899="HLINE",PR!$AB897,IF(H899="ROTECH",PR!$AC897,IF(H899="ISN",PR!$AD897,IF(H899="JAWA",PR!$AE897,IF(H899="LAYO",PR!$AF897,IF(H899="LEADWAY",PR!$AG897,IF(H899="LHV",PR!$AH897,IF(H899="MANOLA",PR!$AI897,IF(H899="MARCSON",PR!$AJ897,IF(H899="M&amp;B",PR!$AK897,IF(H899="MTRUST",PR!$AL897,IF(H899="MWORLD",PR!$AM897,IF(H899="MEGA",PR!$AN897,IF(H899="MICRONOVA",PR!$AO897,IF(H899="MFLASH",PR!$AP897,IF(H899="MORISON",PR!$AQ897,IF(H899="NEMEL",PR!$AR897,IF(H899="NHP",PR!$AS897,IF(H899="NHC",PR!$AT897,IF(H899="OLEAF",PR!$AU897,IF(H899="OCULUS",PR!$AV897,IF(H899="PACIFIC",PR!$AW897,IF(H899="PHAMATEX",PR!$AX897,IF(H899="PETHICS",PR!$AY897,IF(H899="PHILIPS",PR!$AZ897,IF(H899="RANBAXY",PR!$BA897,IF(H899="REALS",PR!$BB897,IF(H899="ROYAL",PR!$BC897,IF(H899="SAM",PR!$BD897,IF(H899="SEAGREEN",PR!$BE897,IF(H899="SKG",PR!$BF897,IF(H899="TAH",PR!$BG897,IF(H899="TAYLEK",PR!$BH897,IF(H899="TEMITA",PR!$BI897,IF(H899="THL",PR!$BJ897,IF(H899="UBASTIC",PR!$BK897,IF(H899="UNION",PR!$BL897,IF(H899="UNIQUE",PR!$BM897,IF(H899="VIXA",PR!$BN897,IF(H899="WWCV",PR!$BO897,IF(H899="ZOLON",PR!$BP897,"-"))))))))))))))))))))))))))))))))))))))))))))))))))))))))))))))))</f>
        <v>-</v>
      </c>
      <c r="H899" s="102">
        <f>EV!M1141</f>
        <v>0</v>
      </c>
      <c r="I899" s="108" t="str">
        <f>IF(J899="ALPHA",PR!$E897,IF(J899="ASSENE",PR!$F897,IF(J899="BIOFEM",PR!$G897,IF(J899="BIOMED",PR!$H897,IF(J899="CHI",PR!$I897,IF(J899="CLARION",PR!$J897,IF(J899="CODIX",PR!$K897,IF(J899="COSMADE",PR!$L897,IF(J899="SANCON",PR!$M897,IF(J899="DEVON",PR!$N897,IF(J899="DORTEMAG",PR!$O897,IF(J899="DGF",PR!$P897,IF(J899="DYNAMIC",PR!$Q897,IF(J899="EMZOR",PR!$R897,IF(J899="EUMATT",PR!$S897,IF(J899="FIDSON",PR!$T897,IF(J899="FCGLOBAL",PR!$U897,IF(J899="GENEITH",PR!$V897,IF(J899="GINOS",PR!$W897,IF(J899="GSK",PR!$X897,IF(J899="GLOBORG",PR!$Y897,IF(J899="GOODNEWS",PR!$Z897,IF(J899="GREENLIFE",PR!$AA897,IF(J899="HLINE",PR!$AB897,IF(J899="ROTECH",PR!$AC897,IF(J899="ISN",PR!$AD897,IF(J899="JAWA",PR!$AE897,IF(J899="LAYO",PR!$AF897,IF(J899="LEADWAY",PR!$AG897,IF(J899="LHV",PR!$AH897,IF(J899="MANOLA",PR!$AI897,IF(J899="MARCSON",PR!$AJ897,IF(J899="M&amp;B",PR!$AK897,IF(J899="MTRUST",PR!$AL897,IF(J899="MWORLD",PR!$AM897,IF(J899="MEGA",PR!$AN897,IF(J899="MICRONOVA",PR!$AO897,IF(J899="MFLASH",PR!$AP897,IF(J899="MORISON",PR!$AQ897,IF(J899="NEMEL",PR!$AR897,IF(J899="NHP",PR!$AS897,IF(J899="NHC",PR!$AT897,IF(J899="OLEAF",PR!$AU897,IF(J899="OCULUS",PR!$AV897,IF(J899="PACIFIC",PR!$AW897,IF(J899="PHAMATEX",PR!$AX897,IF(J899="PETHICS",PR!$AY897,IF(J899="PHILIPS",PR!$AZ897,IF(J899="RANBAXY",PR!$BA897,IF(J899="REALS",PR!$BB897,IF(J899="ROYAL",PR!$BC897,IF(J899="SAM",PR!$BD897,IF(J899="SEAGREEN",PR!$BE897,IF(J899="SKG",PR!$BF897,IF(J899="TAH",PR!$BG897,IF(J899="TAYLEK",PR!$BH897,IF(J899="TEMITA",PR!$BI897,IF(J899="THL",PR!$BJ897,IF(J899="UBASTIC",PR!$BK897,IF(J899="UNION",PR!$BL897,IF(J899="UNIQUE",PR!$BM897,IF(J899="VIXA",PR!$BN897,IF(J899="WWCV",PR!$BO897,IF(J899="ZOLON",PR!$BP897,"-"))))))))))))))))))))))))))))))))))))))))))))))))))))))))))))))))</f>
        <v>-</v>
      </c>
      <c r="J899" s="102">
        <f>EV!N1141</f>
        <v>0</v>
      </c>
      <c r="K899" s="433" t="s">
        <v>1470</v>
      </c>
      <c r="L899" s="183">
        <f>IF(K899&gt;0,IF(K899="ALPHA",PR!$E897,IF(K899="ASSENE",PR!$F897,IF(K899="BIOFEM",PR!$G897,IF(K899="BIOMED",PR!$H897,IF(K899="CHI",PR!$I897,IF(K899="CLARION",PR!$J897,IF(K899="CODIX",PR!$K897,IF(K899="COSMADE",PR!$L897,IF(K899="SANCON",PR!$M897,IF(K899="DEVON",PR!$N897,IF(K899="DORTEMAG",PR!$O897,IF(K899="DGF",PR!$P897,IF(K899="DYNAMIC",PR!$Q897,IF(K899="EMZOR",PR!$R897,IF(K899="EUMATT",PR!$S897,IF(K899="FIDSON",PR!$T897,IF(K899="FCGLOBAL",PR!$U897,IF(K899="GENEITH",PR!$V897,IF(K899="GINOS",PR!$W897,IF(K899="GSK",PR!$X897,IF(K899="GLOBORG",PR!$Y897,IF(K899="GOODNEWS",PR!$Z897,IF(K899="GREENLIFE",PR!$AA897,IF(K899="HLINE",PR!$AB897,IF(K899="ROTECH",PR!$AC897,IF(K899="ISN",PR!$AD897,IF(K899="JAWA",PR!$AE897,IF(K899="LAYO",PR!$AF897,IF(K899="LEADWAY",PR!$AG897,IF(K899="LHV",PR!$AH897,IF(K899="MANOLA",PR!$AI897,IF(K899="MARCSON",PR!$AJ897,IF(K899="M&amp;B",PR!$AK897,IF(K899="MTRUST",PR!$AL897,IF(K899="MWORLD",PR!$AM897,IF(K899="MEGA",PR!$AN897,IF(K899="MICRONOVA",PR!$AO897,IF(K899="MFLASH",PR!$AP897,IF(K899="MORISON",PR!$AQ897,IF(K899="NEMEL",PR!$AR897,IF(K899="NHP",PR!$AS897,IF(K899="NHC",PR!$AT897,IF(K899="OLEAF",PR!$AU897,IF(K899="OCULUS",PR!$AV897,IF(K899="PACIFIC",PR!$AW897,IF(K899="PHAMATEX",PR!$AX897,IF(K899="PETHICS",PR!$AY897,IF(K899="PHILIPS",PR!$AZ897,IF(K899="RANBAXY",PR!$BA897,IF(K899="REALS",PR!$BB897,IF(K899="ROYAL",PR!$BC897,IF(K899="SAM",PR!$BD897,IF(K899="SEAGREEN",PR!$BE897,IF(K899="SKG",PR!$BF897,IF(K899="TAH",PR!$BG897,IF(K899="TAYLEK",PR!$BH897,IF(K899="TEMITA",PR!$BI897,IF(K899="THL",PR!$BJ897,IF(K899="UBASTIC",PR!$BK897,IF(K899="UNION",PR!$BL897,IF(K899="UNIQUE",PR!$BM897,IF(K899="VIXA",PR!$BN897,IF(K899="WWCV",PR!$BO897,IF(K899="ZOLON",PR!$BP897,"-")))))))))))))))))))))))))))))))))))))))))))))))))))))))))))))))))</f>
        <v>40908.1</v>
      </c>
    </row>
    <row r="900" spans="1:12" ht="18.75" x14ac:dyDescent="0.3">
      <c r="A900" s="430">
        <f>PR!A898</f>
        <v>808</v>
      </c>
      <c r="B900" s="15" t="str">
        <f>PR!B898</f>
        <v>SUL-400A CUVETTE FL (AG405069)</v>
      </c>
      <c r="C900" s="113" t="str">
        <f>PR!D898</f>
        <v>1cnt of 50</v>
      </c>
      <c r="D900" s="113">
        <f>PR!C898</f>
        <v>10</v>
      </c>
      <c r="E900" s="108">
        <f>IF(F900="ALPHA",PR!$E898,IF(F900="ASSENE",PR!$F898,IF(F900="BIOFEM",PR!$G898,IF(F900="BIOMED",PR!$H898,IF(F900="CHI",PR!$I898,IF(F900="CLARION",PR!$J898,IF(F900="CODIX",PR!$K898,IF(F900="COSMADE",PR!$L898,IF(F900="SANCON",PR!$M898,IF(F900="DEVON",PR!$N898,IF(F900="DORTEMAG",PR!$O898,IF(F900="DGF",PR!$P898,IF(F900="DYNAMIC",PR!$Q898,IF(F900="EMZOR",PR!$R898,IF(F900="EUMATT",PR!$S898,IF(F900="FIDSON",PR!$T898,IF(F900="FCGLOBAL",PR!$U898,IF(F900="GENEITH",PR!$V898,IF(F900="GINOS",PR!$W898,IF(F900="GSK",PR!$X898,IF(F900="GLOBORG",PR!$Y898,IF(F900="GOODNEWS",PR!$Z898,IF(F900="GREENLIFE",PR!$AA898,IF(F900="HLINE",PR!$AB898,IF(F900="ROTECH",PR!$AC898,IF(F900="ISN",PR!$AD898,IF(F900="JAWA",PR!$AE898,IF(F900="LAYO",PR!$AF898,IF(F900="LEADWAY",PR!$AG898,IF(F900="LHV",PR!$AH898,IF(F900="MANOLA",PR!$AI898,IF(F900="MARCSON",PR!$AJ898,IF(F900="M&amp;B",PR!$AK898,IF(F900="MTRUST",PR!$AL898,IF(F900="MWORLD",PR!$AM898,IF(F900="MEGA",PR!$AN898,IF(F900="MICRONOVA",PR!$AO898,IF(F900="MFLASH",PR!$AP898,IF(F900="MORISON",PR!$AQ898,IF(F900="NEMEL",PR!$AR898,IF(F900="NHP",PR!$AS898,IF(F900="NHC",PR!$AT898,IF(F900="OLEAF",PR!$AU898,IF(F900="OCULUS",PR!$AV898,IF(F900="PACIFIC",PR!$AW898,IF(F900="PHAMATEX",PR!$AX898,IF(F900="PETHICS",PR!$AY898,IF(F900="PHILIPS",PR!$AZ898,IF(F900="RANBAXY",PR!$BA898,IF(F900="REALS",PR!$BB898,IF(F900="ROYAL",PR!$BC898,IF(F900="SAM",PR!$BD898,IF(F900="SEAGREEN",PR!$BE898,IF(F900="SKG",PR!$BF898,IF(F900="TAH",PR!$BG898,IF(F900="TAYLEK",PR!$BH898,IF(F900="TEMITA",PR!$BI898,IF(F900="THL",PR!$BJ898,IF(F900="UBASTIC",PR!$BK898,IF(F900="UNION",PR!$BL898,IF(F900="UNIQUE",PR!$BM898,IF(F900="VIXA",PR!$BN898,IF(F900="WWCV",PR!$BO898,IF(F900="ZOLON",PR!$BP898,"-"))))))))))))))))))))))))))))))))))))))))))))))))))))))))))))))))</f>
        <v>49519.73</v>
      </c>
      <c r="F900" s="102" t="str">
        <f>EV!L1142</f>
        <v>UNION</v>
      </c>
      <c r="G900" s="108" t="str">
        <f>IF(H900="ALPHA",PR!$E898,IF(H900="ASSENE",PR!$F898,IF(H900="BIOFEM",PR!$G898,IF(H900="BIOMED",PR!$H898,IF(H900="CHI",PR!$I898,IF(H900="CLARION",PR!$J898,IF(H900="CODIX",PR!$K898,IF(H900="COSMADE",PR!$L898,IF(H900="SANCON",PR!$M898,IF(H900="DEVON",PR!$N898,IF(H900="DORTEMAG",PR!$O898,IF(H900="DGF",PR!$P898,IF(H900="DYNAMIC",PR!$Q898,IF(H900="EMZOR",PR!$R898,IF(H900="EUMATT",PR!$S898,IF(H900="FIDSON",PR!$T898,IF(H900="FCGLOBAL",PR!$U898,IF(H900="GENEITH",PR!$V898,IF(H900="GINOS",PR!$W898,IF(H900="GSK",PR!$X898,IF(H900="GLOBORG",PR!$Y898,IF(H900="GOODNEWS",PR!$Z898,IF(H900="GREENLIFE",PR!$AA898,IF(H900="HLINE",PR!$AB898,IF(H900="ROTECH",PR!$AC898,IF(H900="ISN",PR!$AD898,IF(H900="JAWA",PR!$AE898,IF(H900="LAYO",PR!$AF898,IF(H900="LEADWAY",PR!$AG898,IF(H900="LHV",PR!$AH898,IF(H900="MANOLA",PR!$AI898,IF(H900="MARCSON",PR!$AJ898,IF(H900="M&amp;B",PR!$AK898,IF(H900="MTRUST",PR!$AL898,IF(H900="MWORLD",PR!$AM898,IF(H900="MEGA",PR!$AN898,IF(H900="MICRONOVA",PR!$AO898,IF(H900="MFLASH",PR!$AP898,IF(H900="MORISON",PR!$AQ898,IF(H900="NEMEL",PR!$AR898,IF(H900="NHP",PR!$AS898,IF(H900="NHC",PR!$AT898,IF(H900="OLEAF",PR!$AU898,IF(H900="OCULUS",PR!$AV898,IF(H900="PACIFIC",PR!$AW898,IF(H900="PHAMATEX",PR!$AX898,IF(H900="PETHICS",PR!$AY898,IF(H900="PHILIPS",PR!$AZ898,IF(H900="RANBAXY",PR!$BA898,IF(H900="REALS",PR!$BB898,IF(H900="ROYAL",PR!$BC898,IF(H900="SAM",PR!$BD898,IF(H900="SEAGREEN",PR!$BE898,IF(H900="SKG",PR!$BF898,IF(H900="TAH",PR!$BG898,IF(H900="TAYLEK",PR!$BH898,IF(H900="TEMITA",PR!$BI898,IF(H900="THL",PR!$BJ898,IF(H900="UBASTIC",PR!$BK898,IF(H900="UNION",PR!$BL898,IF(H900="UNIQUE",PR!$BM898,IF(H900="VIXA",PR!$BN898,IF(H900="WWCV",PR!$BO898,IF(H900="ZOLON",PR!$BP898,"-"))))))))))))))))))))))))))))))))))))))))))))))))))))))))))))))))</f>
        <v>-</v>
      </c>
      <c r="H900" s="102">
        <f>EV!M1142</f>
        <v>0</v>
      </c>
      <c r="I900" s="108" t="str">
        <f>IF(J900="ALPHA",PR!$E898,IF(J900="ASSENE",PR!$F898,IF(J900="BIOFEM",PR!$G898,IF(J900="BIOMED",PR!$H898,IF(J900="CHI",PR!$I898,IF(J900="CLARION",PR!$J898,IF(J900="CODIX",PR!$K898,IF(J900="COSMADE",PR!$L898,IF(J900="SANCON",PR!$M898,IF(J900="DEVON",PR!$N898,IF(J900="DORTEMAG",PR!$O898,IF(J900="DGF",PR!$P898,IF(J900="DYNAMIC",PR!$Q898,IF(J900="EMZOR",PR!$R898,IF(J900="EUMATT",PR!$S898,IF(J900="FIDSON",PR!$T898,IF(J900="FCGLOBAL",PR!$U898,IF(J900="GENEITH",PR!$V898,IF(J900="GINOS",PR!$W898,IF(J900="GSK",PR!$X898,IF(J900="GLOBORG",PR!$Y898,IF(J900="GOODNEWS",PR!$Z898,IF(J900="GREENLIFE",PR!$AA898,IF(J900="HLINE",PR!$AB898,IF(J900="ROTECH",PR!$AC898,IF(J900="ISN",PR!$AD898,IF(J900="JAWA",PR!$AE898,IF(J900="LAYO",PR!$AF898,IF(J900="LEADWAY",PR!$AG898,IF(J900="LHV",PR!$AH898,IF(J900="MANOLA",PR!$AI898,IF(J900="MARCSON",PR!$AJ898,IF(J900="M&amp;B",PR!$AK898,IF(J900="MTRUST",PR!$AL898,IF(J900="MWORLD",PR!$AM898,IF(J900="MEGA",PR!$AN898,IF(J900="MICRONOVA",PR!$AO898,IF(J900="MFLASH",PR!$AP898,IF(J900="MORISON",PR!$AQ898,IF(J900="NEMEL",PR!$AR898,IF(J900="NHP",PR!$AS898,IF(J900="NHC",PR!$AT898,IF(J900="OLEAF",PR!$AU898,IF(J900="OCULUS",PR!$AV898,IF(J900="PACIFIC",PR!$AW898,IF(J900="PHAMATEX",PR!$AX898,IF(J900="PETHICS",PR!$AY898,IF(J900="PHILIPS",PR!$AZ898,IF(J900="RANBAXY",PR!$BA898,IF(J900="REALS",PR!$BB898,IF(J900="ROYAL",PR!$BC898,IF(J900="SAM",PR!$BD898,IF(J900="SEAGREEN",PR!$BE898,IF(J900="SKG",PR!$BF898,IF(J900="TAH",PR!$BG898,IF(J900="TAYLEK",PR!$BH898,IF(J900="TEMITA",PR!$BI898,IF(J900="THL",PR!$BJ898,IF(J900="UBASTIC",PR!$BK898,IF(J900="UNION",PR!$BL898,IF(J900="UNIQUE",PR!$BM898,IF(J900="VIXA",PR!$BN898,IF(J900="WWCV",PR!$BO898,IF(J900="ZOLON",PR!$BP898,"-"))))))))))))))))))))))))))))))))))))))))))))))))))))))))))))))))</f>
        <v>-</v>
      </c>
      <c r="J900" s="102">
        <f>EV!N1142</f>
        <v>0</v>
      </c>
      <c r="K900" s="433" t="s">
        <v>1470</v>
      </c>
      <c r="L900" s="183">
        <f>IF(K900&gt;0,IF(K900="ALPHA",PR!$E898,IF(K900="ASSENE",PR!$F898,IF(K900="BIOFEM",PR!$G898,IF(K900="BIOMED",PR!$H898,IF(K900="CHI",PR!$I898,IF(K900="CLARION",PR!$J898,IF(K900="CODIX",PR!$K898,IF(K900="COSMADE",PR!$L898,IF(K900="SANCON",PR!$M898,IF(K900="DEVON",PR!$N898,IF(K900="DORTEMAG",PR!$O898,IF(K900="DGF",PR!$P898,IF(K900="DYNAMIC",PR!$Q898,IF(K900="EMZOR",PR!$R898,IF(K900="EUMATT",PR!$S898,IF(K900="FIDSON",PR!$T898,IF(K900="FCGLOBAL",PR!$U898,IF(K900="GENEITH",PR!$V898,IF(K900="GINOS",PR!$W898,IF(K900="GSK",PR!$X898,IF(K900="GLOBORG",PR!$Y898,IF(K900="GOODNEWS",PR!$Z898,IF(K900="GREENLIFE",PR!$AA898,IF(K900="HLINE",PR!$AB898,IF(K900="ROTECH",PR!$AC898,IF(K900="ISN",PR!$AD898,IF(K900="JAWA",PR!$AE898,IF(K900="LAYO",PR!$AF898,IF(K900="LEADWAY",PR!$AG898,IF(K900="LHV",PR!$AH898,IF(K900="MANOLA",PR!$AI898,IF(K900="MARCSON",PR!$AJ898,IF(K900="M&amp;B",PR!$AK898,IF(K900="MTRUST",PR!$AL898,IF(K900="MWORLD",PR!$AM898,IF(K900="MEGA",PR!$AN898,IF(K900="MICRONOVA",PR!$AO898,IF(K900="MFLASH",PR!$AP898,IF(K900="MORISON",PR!$AQ898,IF(K900="NEMEL",PR!$AR898,IF(K900="NHP",PR!$AS898,IF(K900="NHC",PR!$AT898,IF(K900="OLEAF",PR!$AU898,IF(K900="OCULUS",PR!$AV898,IF(K900="PACIFIC",PR!$AW898,IF(K900="PHAMATEX",PR!$AX898,IF(K900="PETHICS",PR!$AY898,IF(K900="PHILIPS",PR!$AZ898,IF(K900="RANBAXY",PR!$BA898,IF(K900="REALS",PR!$BB898,IF(K900="ROYAL",PR!$BC898,IF(K900="SAM",PR!$BD898,IF(K900="SEAGREEN",PR!$BE898,IF(K900="SKG",PR!$BF898,IF(K900="TAH",PR!$BG898,IF(K900="TAYLEK",PR!$BH898,IF(K900="TEMITA",PR!$BI898,IF(K900="THL",PR!$BJ898,IF(K900="UBASTIC",PR!$BK898,IF(K900="UNION",PR!$BL898,IF(K900="UNIQUE",PR!$BM898,IF(K900="VIXA",PR!$BN898,IF(K900="WWCV",PR!$BO898,IF(K900="ZOLON",PR!$BP898,"-")))))))))))))))))))))))))))))))))))))))))))))))))))))))))))))))))</f>
        <v>49519.73</v>
      </c>
    </row>
    <row r="901" spans="1:12" ht="18.75" x14ac:dyDescent="0.3">
      <c r="A901" s="430">
        <f>PR!A899</f>
        <v>809</v>
      </c>
      <c r="B901" s="15" t="str">
        <f>PR!B899</f>
        <v>M-53D DILUENT (BC-5300) 20L</v>
      </c>
      <c r="C901" s="113" t="str">
        <f>PR!D899</f>
        <v>1 pack of 20L</v>
      </c>
      <c r="D901" s="113">
        <f>PR!C899</f>
        <v>20</v>
      </c>
      <c r="E901" s="108">
        <f>IF(F901="ALPHA",PR!$E899,IF(F901="ASSENE",PR!$F899,IF(F901="BIOFEM",PR!$G899,IF(F901="BIOMED",PR!$H899,IF(F901="CHI",PR!$I899,IF(F901="CLARION",PR!$J899,IF(F901="CODIX",PR!$K899,IF(F901="COSMADE",PR!$L899,IF(F901="SANCON",PR!$M899,IF(F901="DEVON",PR!$N899,IF(F901="DORTEMAG",PR!$O899,IF(F901="DGF",PR!$P899,IF(F901="DYNAMIC",PR!$Q899,IF(F901="EMZOR",PR!$R899,IF(F901="EUMATT",PR!$S899,IF(F901="FIDSON",PR!$T899,IF(F901="FCGLOBAL",PR!$U899,IF(F901="GENEITH",PR!$V899,IF(F901="GINOS",PR!$W899,IF(F901="GSK",PR!$X899,IF(F901="GLOBORG",PR!$Y899,IF(F901="GOODNEWS",PR!$Z899,IF(F901="GREENLIFE",PR!$AA899,IF(F901="HLINE",PR!$AB899,IF(F901="ROTECH",PR!$AC899,IF(F901="ISN",PR!$AD899,IF(F901="JAWA",PR!$AE899,IF(F901="LAYO",PR!$AF899,IF(F901="LEADWAY",PR!$AG899,IF(F901="LHV",PR!$AH899,IF(F901="MANOLA",PR!$AI899,IF(F901="MARCSON",PR!$AJ899,IF(F901="M&amp;B",PR!$AK899,IF(F901="MTRUST",PR!$AL899,IF(F901="MWORLD",PR!$AM899,IF(F901="MEGA",PR!$AN899,IF(F901="MICRONOVA",PR!$AO899,IF(F901="MFLASH",PR!$AP899,IF(F901="MORISON",PR!$AQ899,IF(F901="NEMEL",PR!$AR899,IF(F901="NHP",PR!$AS899,IF(F901="NHC",PR!$AT899,IF(F901="OLEAF",PR!$AU899,IF(F901="OCULUS",PR!$AV899,IF(F901="PACIFIC",PR!$AW899,IF(F901="PHAMATEX",PR!$AX899,IF(F901="PETHICS",PR!$AY899,IF(F901="PHILIPS",PR!$AZ899,IF(F901="RANBAXY",PR!$BA899,IF(F901="REALS",PR!$BB899,IF(F901="ROYAL",PR!$BC899,IF(F901="SAM",PR!$BD899,IF(F901="SEAGREEN",PR!$BE899,IF(F901="SKG",PR!$BF899,IF(F901="TAH",PR!$BG899,IF(F901="TAYLEK",PR!$BH899,IF(F901="TEMITA",PR!$BI899,IF(F901="THL",PR!$BJ899,IF(F901="UBASTIC",PR!$BK899,IF(F901="UNION",PR!$BL899,IF(F901="UNIQUE",PR!$BM899,IF(F901="VIXA",PR!$BN899,IF(F901="WWCV",PR!$BO899,IF(F901="ZOLON",PR!$BP899,"-"))))))))))))))))))))))))))))))))))))))))))))))))))))))))))))))))</f>
        <v>32000</v>
      </c>
      <c r="F901" s="102" t="str">
        <f>EV!L1143</f>
        <v>COSMADE</v>
      </c>
      <c r="G901" s="108" t="str">
        <f>IF(H901="ALPHA",PR!$E899,IF(H901="ASSENE",PR!$F899,IF(H901="BIOFEM",PR!$G899,IF(H901="BIOMED",PR!$H899,IF(H901="CHI",PR!$I899,IF(H901="CLARION",PR!$J899,IF(H901="CODIX",PR!$K899,IF(H901="COSMADE",PR!$L899,IF(H901="SANCON",PR!$M899,IF(H901="DEVON",PR!$N899,IF(H901="DORTEMAG",PR!$O899,IF(H901="DGF",PR!$P899,IF(H901="DYNAMIC",PR!$Q899,IF(H901="EMZOR",PR!$R899,IF(H901="EUMATT",PR!$S899,IF(H901="FIDSON",PR!$T899,IF(H901="FCGLOBAL",PR!$U899,IF(H901="GENEITH",PR!$V899,IF(H901="GINOS",PR!$W899,IF(H901="GSK",PR!$X899,IF(H901="GLOBORG",PR!$Y899,IF(H901="GOODNEWS",PR!$Z899,IF(H901="GREENLIFE",PR!$AA899,IF(H901="HLINE",PR!$AB899,IF(H901="ROTECH",PR!$AC899,IF(H901="ISN",PR!$AD899,IF(H901="JAWA",PR!$AE899,IF(H901="LAYO",PR!$AF899,IF(H901="LEADWAY",PR!$AG899,IF(H901="LHV",PR!$AH899,IF(H901="MANOLA",PR!$AI899,IF(H901="MARCSON",PR!$AJ899,IF(H901="M&amp;B",PR!$AK899,IF(H901="MTRUST",PR!$AL899,IF(H901="MWORLD",PR!$AM899,IF(H901="MEGA",PR!$AN899,IF(H901="MICRONOVA",PR!$AO899,IF(H901="MFLASH",PR!$AP899,IF(H901="MORISON",PR!$AQ899,IF(H901="NEMEL",PR!$AR899,IF(H901="NHP",PR!$AS899,IF(H901="NHC",PR!$AT899,IF(H901="OLEAF",PR!$AU899,IF(H901="OCULUS",PR!$AV899,IF(H901="PACIFIC",PR!$AW899,IF(H901="PHAMATEX",PR!$AX899,IF(H901="PETHICS",PR!$AY899,IF(H901="PHILIPS",PR!$AZ899,IF(H901="RANBAXY",PR!$BA899,IF(H901="REALS",PR!$BB899,IF(H901="ROYAL",PR!$BC899,IF(H901="SAM",PR!$BD899,IF(H901="SEAGREEN",PR!$BE899,IF(H901="SKG",PR!$BF899,IF(H901="TAH",PR!$BG899,IF(H901="TAYLEK",PR!$BH899,IF(H901="TEMITA",PR!$BI899,IF(H901="THL",PR!$BJ899,IF(H901="UBASTIC",PR!$BK899,IF(H901="UNION",PR!$BL899,IF(H901="UNIQUE",PR!$BM899,IF(H901="VIXA",PR!$BN899,IF(H901="WWCV",PR!$BO899,IF(H901="ZOLON",PR!$BP899,"-"))))))))))))))))))))))))))))))))))))))))))))))))))))))))))))))))</f>
        <v>-</v>
      </c>
      <c r="H901" s="102">
        <f>EV!M1143</f>
        <v>0</v>
      </c>
      <c r="I901" s="108" t="str">
        <f>IF(J901="ALPHA",PR!$E899,IF(J901="ASSENE",PR!$F899,IF(J901="BIOFEM",PR!$G899,IF(J901="BIOMED",PR!$H899,IF(J901="CHI",PR!$I899,IF(J901="CLARION",PR!$J899,IF(J901="CODIX",PR!$K899,IF(J901="COSMADE",PR!$L899,IF(J901="SANCON",PR!$M899,IF(J901="DEVON",PR!$N899,IF(J901="DORTEMAG",PR!$O899,IF(J901="DGF",PR!$P899,IF(J901="DYNAMIC",PR!$Q899,IF(J901="EMZOR",PR!$R899,IF(J901="EUMATT",PR!$S899,IF(J901="FIDSON",PR!$T899,IF(J901="FCGLOBAL",PR!$U899,IF(J901="GENEITH",PR!$V899,IF(J901="GINOS",PR!$W899,IF(J901="GSK",PR!$X899,IF(J901="GLOBORG",PR!$Y899,IF(J901="GOODNEWS",PR!$Z899,IF(J901="GREENLIFE",PR!$AA899,IF(J901="HLINE",PR!$AB899,IF(J901="ROTECH",PR!$AC899,IF(J901="ISN",PR!$AD899,IF(J901="JAWA",PR!$AE899,IF(J901="LAYO",PR!$AF899,IF(J901="LEADWAY",PR!$AG899,IF(J901="LHV",PR!$AH899,IF(J901="MANOLA",PR!$AI899,IF(J901="MARCSON",PR!$AJ899,IF(J901="M&amp;B",PR!$AK899,IF(J901="MTRUST",PR!$AL899,IF(J901="MWORLD",PR!$AM899,IF(J901="MEGA",PR!$AN899,IF(J901="MICRONOVA",PR!$AO899,IF(J901="MFLASH",PR!$AP899,IF(J901="MORISON",PR!$AQ899,IF(J901="NEMEL",PR!$AR899,IF(J901="NHP",PR!$AS899,IF(J901="NHC",PR!$AT899,IF(J901="OLEAF",PR!$AU899,IF(J901="OCULUS",PR!$AV899,IF(J901="PACIFIC",PR!$AW899,IF(J901="PHAMATEX",PR!$AX899,IF(J901="PETHICS",PR!$AY899,IF(J901="PHILIPS",PR!$AZ899,IF(J901="RANBAXY",PR!$BA899,IF(J901="REALS",PR!$BB899,IF(J901="ROYAL",PR!$BC899,IF(J901="SAM",PR!$BD899,IF(J901="SEAGREEN",PR!$BE899,IF(J901="SKG",PR!$BF899,IF(J901="TAH",PR!$BG899,IF(J901="TAYLEK",PR!$BH899,IF(J901="TEMITA",PR!$BI899,IF(J901="THL",PR!$BJ899,IF(J901="UBASTIC",PR!$BK899,IF(J901="UNION",PR!$BL899,IF(J901="UNIQUE",PR!$BM899,IF(J901="VIXA",PR!$BN899,IF(J901="WWCV",PR!$BO899,IF(J901="ZOLON",PR!$BP899,"-"))))))))))))))))))))))))))))))))))))))))))))))))))))))))))))))))</f>
        <v>-</v>
      </c>
      <c r="J901" s="102">
        <f>EV!N1143</f>
        <v>0</v>
      </c>
      <c r="K901" s="433" t="s">
        <v>1452</v>
      </c>
      <c r="L901" s="183">
        <f>IF(K901&gt;0,IF(K901="ALPHA",PR!$E899,IF(K901="ASSENE",PR!$F899,IF(K901="BIOFEM",PR!$G899,IF(K901="BIOMED",PR!$H899,IF(K901="CHI",PR!$I899,IF(K901="CLARION",PR!$J899,IF(K901="CODIX",PR!$K899,IF(K901="COSMADE",PR!$L899,IF(K901="SANCON",PR!$M899,IF(K901="DEVON",PR!$N899,IF(K901="DORTEMAG",PR!$O899,IF(K901="DGF",PR!$P899,IF(K901="DYNAMIC",PR!$Q899,IF(K901="EMZOR",PR!$R899,IF(K901="EUMATT",PR!$S899,IF(K901="FIDSON",PR!$T899,IF(K901="FCGLOBAL",PR!$U899,IF(K901="GENEITH",PR!$V899,IF(K901="GINOS",PR!$W899,IF(K901="GSK",PR!$X899,IF(K901="GLOBORG",PR!$Y899,IF(K901="GOODNEWS",PR!$Z899,IF(K901="GREENLIFE",PR!$AA899,IF(K901="HLINE",PR!$AB899,IF(K901="ROTECH",PR!$AC899,IF(K901="ISN",PR!$AD899,IF(K901="JAWA",PR!$AE899,IF(K901="LAYO",PR!$AF899,IF(K901="LEADWAY",PR!$AG899,IF(K901="LHV",PR!$AH899,IF(K901="MANOLA",PR!$AI899,IF(K901="MARCSON",PR!$AJ899,IF(K901="M&amp;B",PR!$AK899,IF(K901="MTRUST",PR!$AL899,IF(K901="MWORLD",PR!$AM899,IF(K901="MEGA",PR!$AN899,IF(K901="MICRONOVA",PR!$AO899,IF(K901="MFLASH",PR!$AP899,IF(K901="MORISON",PR!$AQ899,IF(K901="NEMEL",PR!$AR899,IF(K901="NHP",PR!$AS899,IF(K901="NHC",PR!$AT899,IF(K901="OLEAF",PR!$AU899,IF(K901="OCULUS",PR!$AV899,IF(K901="PACIFIC",PR!$AW899,IF(K901="PHAMATEX",PR!$AX899,IF(K901="PETHICS",PR!$AY899,IF(K901="PHILIPS",PR!$AZ899,IF(K901="RANBAXY",PR!$BA899,IF(K901="REALS",PR!$BB899,IF(K901="ROYAL",PR!$BC899,IF(K901="SAM",PR!$BD899,IF(K901="SEAGREEN",PR!$BE899,IF(K901="SKG",PR!$BF899,IF(K901="TAH",PR!$BG899,IF(K901="TAYLEK",PR!$BH899,IF(K901="TEMITA",PR!$BI899,IF(K901="THL",PR!$BJ899,IF(K901="UBASTIC",PR!$BK899,IF(K901="UNION",PR!$BL899,IF(K901="UNIQUE",PR!$BM899,IF(K901="VIXA",PR!$BN899,IF(K901="WWCV",PR!$BO899,IF(K901="ZOLON",PR!$BP899,"-")))))))))))))))))))))))))))))))))))))))))))))))))))))))))))))))))</f>
        <v>32000</v>
      </c>
    </row>
    <row r="902" spans="1:12" ht="18.75" x14ac:dyDescent="0.3">
      <c r="A902" s="430">
        <f>PR!A900</f>
        <v>810</v>
      </c>
      <c r="B902" s="15" t="str">
        <f>PR!B900</f>
        <v>M-53-LEO (I) LYSE (BC-5300) 1L</v>
      </c>
      <c r="C902" s="113" t="str">
        <f>PR!D900</f>
        <v>1 cnt of 1</v>
      </c>
      <c r="D902" s="113">
        <f>PR!C900</f>
        <v>8</v>
      </c>
      <c r="E902" s="108">
        <f>IF(F902="ALPHA",PR!$E900,IF(F902="ASSENE",PR!$F900,IF(F902="BIOFEM",PR!$G900,IF(F902="BIOMED",PR!$H900,IF(F902="CHI",PR!$I900,IF(F902="CLARION",PR!$J900,IF(F902="CODIX",PR!$K900,IF(F902="COSMADE",PR!$L900,IF(F902="SANCON",PR!$M900,IF(F902="DEVON",PR!$N900,IF(F902="DORTEMAG",PR!$O900,IF(F902="DGF",PR!$P900,IF(F902="DYNAMIC",PR!$Q900,IF(F902="EMZOR",PR!$R900,IF(F902="EUMATT",PR!$S900,IF(F902="FIDSON",PR!$T900,IF(F902="FCGLOBAL",PR!$U900,IF(F902="GENEITH",PR!$V900,IF(F902="GINOS",PR!$W900,IF(F902="GSK",PR!$X900,IF(F902="GLOBORG",PR!$Y900,IF(F902="GOODNEWS",PR!$Z900,IF(F902="GREENLIFE",PR!$AA900,IF(F902="HLINE",PR!$AB900,IF(F902="ROTECH",PR!$AC900,IF(F902="ISN",PR!$AD900,IF(F902="JAWA",PR!$AE900,IF(F902="LAYO",PR!$AF900,IF(F902="LEADWAY",PR!$AG900,IF(F902="LHV",PR!$AH900,IF(F902="MANOLA",PR!$AI900,IF(F902="MARCSON",PR!$AJ900,IF(F902="M&amp;B",PR!$AK900,IF(F902="MTRUST",PR!$AL900,IF(F902="MWORLD",PR!$AM900,IF(F902="MEGA",PR!$AN900,IF(F902="MICRONOVA",PR!$AO900,IF(F902="MFLASH",PR!$AP900,IF(F902="MORISON",PR!$AQ900,IF(F902="NEMEL",PR!$AR900,IF(F902="NHP",PR!$AS900,IF(F902="NHC",PR!$AT900,IF(F902="OLEAF",PR!$AU900,IF(F902="OCULUS",PR!$AV900,IF(F902="PACIFIC",PR!$AW900,IF(F902="PHAMATEX",PR!$AX900,IF(F902="PETHICS",PR!$AY900,IF(F902="PHILIPS",PR!$AZ900,IF(F902="RANBAXY",PR!$BA900,IF(F902="REALS",PR!$BB900,IF(F902="ROYAL",PR!$BC900,IF(F902="SAM",PR!$BD900,IF(F902="SEAGREEN",PR!$BE900,IF(F902="SKG",PR!$BF900,IF(F902="TAH",PR!$BG900,IF(F902="TAYLEK",PR!$BH900,IF(F902="TEMITA",PR!$BI900,IF(F902="THL",PR!$BJ900,IF(F902="UBASTIC",PR!$BK900,IF(F902="UNION",PR!$BL900,IF(F902="UNIQUE",PR!$BM900,IF(F902="VIXA",PR!$BN900,IF(F902="WWCV",PR!$BO900,IF(F902="ZOLON",PR!$BP900,"-"))))))))))))))))))))))))))))))))))))))))))))))))))))))))))))))))</f>
        <v>130000</v>
      </c>
      <c r="F902" s="102" t="str">
        <f>EV!L1144</f>
        <v>COSMADE</v>
      </c>
      <c r="G902" s="108" t="str">
        <f>IF(H902="ALPHA",PR!$E900,IF(H902="ASSENE",PR!$F900,IF(H902="BIOFEM",PR!$G900,IF(H902="BIOMED",PR!$H900,IF(H902="CHI",PR!$I900,IF(H902="CLARION",PR!$J900,IF(H902="CODIX",PR!$K900,IF(H902="COSMADE",PR!$L900,IF(H902="SANCON",PR!$M900,IF(H902="DEVON",PR!$N900,IF(H902="DORTEMAG",PR!$O900,IF(H902="DGF",PR!$P900,IF(H902="DYNAMIC",PR!$Q900,IF(H902="EMZOR",PR!$R900,IF(H902="EUMATT",PR!$S900,IF(H902="FIDSON",PR!$T900,IF(H902="FCGLOBAL",PR!$U900,IF(H902="GENEITH",PR!$V900,IF(H902="GINOS",PR!$W900,IF(H902="GSK",PR!$X900,IF(H902="GLOBORG",PR!$Y900,IF(H902="GOODNEWS",PR!$Z900,IF(H902="GREENLIFE",PR!$AA900,IF(H902="HLINE",PR!$AB900,IF(H902="ROTECH",PR!$AC900,IF(H902="ISN",PR!$AD900,IF(H902="JAWA",PR!$AE900,IF(H902="LAYO",PR!$AF900,IF(H902="LEADWAY",PR!$AG900,IF(H902="LHV",PR!$AH900,IF(H902="MANOLA",PR!$AI900,IF(H902="MARCSON",PR!$AJ900,IF(H902="M&amp;B",PR!$AK900,IF(H902="MTRUST",PR!$AL900,IF(H902="MWORLD",PR!$AM900,IF(H902="MEGA",PR!$AN900,IF(H902="MICRONOVA",PR!$AO900,IF(H902="MFLASH",PR!$AP900,IF(H902="MORISON",PR!$AQ900,IF(H902="NEMEL",PR!$AR900,IF(H902="NHP",PR!$AS900,IF(H902="NHC",PR!$AT900,IF(H902="OLEAF",PR!$AU900,IF(H902="OCULUS",PR!$AV900,IF(H902="PACIFIC",PR!$AW900,IF(H902="PHAMATEX",PR!$AX900,IF(H902="PETHICS",PR!$AY900,IF(H902="PHILIPS",PR!$AZ900,IF(H902="RANBAXY",PR!$BA900,IF(H902="REALS",PR!$BB900,IF(H902="ROYAL",PR!$BC900,IF(H902="SAM",PR!$BD900,IF(H902="SEAGREEN",PR!$BE900,IF(H902="SKG",PR!$BF900,IF(H902="TAH",PR!$BG900,IF(H902="TAYLEK",PR!$BH900,IF(H902="TEMITA",PR!$BI900,IF(H902="THL",PR!$BJ900,IF(H902="UBASTIC",PR!$BK900,IF(H902="UNION",PR!$BL900,IF(H902="UNIQUE",PR!$BM900,IF(H902="VIXA",PR!$BN900,IF(H902="WWCV",PR!$BO900,IF(H902="ZOLON",PR!$BP900,"-"))))))))))))))))))))))))))))))))))))))))))))))))))))))))))))))))</f>
        <v>-</v>
      </c>
      <c r="H902" s="102">
        <f>EV!M1144</f>
        <v>0</v>
      </c>
      <c r="I902" s="108" t="str">
        <f>IF(J902="ALPHA",PR!$E900,IF(J902="ASSENE",PR!$F900,IF(J902="BIOFEM",PR!$G900,IF(J902="BIOMED",PR!$H900,IF(J902="CHI",PR!$I900,IF(J902="CLARION",PR!$J900,IF(J902="CODIX",PR!$K900,IF(J902="COSMADE",PR!$L900,IF(J902="SANCON",PR!$M900,IF(J902="DEVON",PR!$N900,IF(J902="DORTEMAG",PR!$O900,IF(J902="DGF",PR!$P900,IF(J902="DYNAMIC",PR!$Q900,IF(J902="EMZOR",PR!$R900,IF(J902="EUMATT",PR!$S900,IF(J902="FIDSON",PR!$T900,IF(J902="FCGLOBAL",PR!$U900,IF(J902="GENEITH",PR!$V900,IF(J902="GINOS",PR!$W900,IF(J902="GSK",PR!$X900,IF(J902="GLOBORG",PR!$Y900,IF(J902="GOODNEWS",PR!$Z900,IF(J902="GREENLIFE",PR!$AA900,IF(J902="HLINE",PR!$AB900,IF(J902="ROTECH",PR!$AC900,IF(J902="ISN",PR!$AD900,IF(J902="JAWA",PR!$AE900,IF(J902="LAYO",PR!$AF900,IF(J902="LEADWAY",PR!$AG900,IF(J902="LHV",PR!$AH900,IF(J902="MANOLA",PR!$AI900,IF(J902="MARCSON",PR!$AJ900,IF(J902="M&amp;B",PR!$AK900,IF(J902="MTRUST",PR!$AL900,IF(J902="MWORLD",PR!$AM900,IF(J902="MEGA",PR!$AN900,IF(J902="MICRONOVA",PR!$AO900,IF(J902="MFLASH",PR!$AP900,IF(J902="MORISON",PR!$AQ900,IF(J902="NEMEL",PR!$AR900,IF(J902="NHP",PR!$AS900,IF(J902="NHC",PR!$AT900,IF(J902="OLEAF",PR!$AU900,IF(J902="OCULUS",PR!$AV900,IF(J902="PACIFIC",PR!$AW900,IF(J902="PHAMATEX",PR!$AX900,IF(J902="PETHICS",PR!$AY900,IF(J902="PHILIPS",PR!$AZ900,IF(J902="RANBAXY",PR!$BA900,IF(J902="REALS",PR!$BB900,IF(J902="ROYAL",PR!$BC900,IF(J902="SAM",PR!$BD900,IF(J902="SEAGREEN",PR!$BE900,IF(J902="SKG",PR!$BF900,IF(J902="TAH",PR!$BG900,IF(J902="TAYLEK",PR!$BH900,IF(J902="TEMITA",PR!$BI900,IF(J902="THL",PR!$BJ900,IF(J902="UBASTIC",PR!$BK900,IF(J902="UNION",PR!$BL900,IF(J902="UNIQUE",PR!$BM900,IF(J902="VIXA",PR!$BN900,IF(J902="WWCV",PR!$BO900,IF(J902="ZOLON",PR!$BP900,"-"))))))))))))))))))))))))))))))))))))))))))))))))))))))))))))))))</f>
        <v>-</v>
      </c>
      <c r="J902" s="102">
        <f>EV!N1144</f>
        <v>0</v>
      </c>
      <c r="K902" s="433" t="s">
        <v>1452</v>
      </c>
      <c r="L902" s="183">
        <f>IF(K902&gt;0,IF(K902="ALPHA",PR!$E900,IF(K902="ASSENE",PR!$F900,IF(K902="BIOFEM",PR!$G900,IF(K902="BIOMED",PR!$H900,IF(K902="CHI",PR!$I900,IF(K902="CLARION",PR!$J900,IF(K902="CODIX",PR!$K900,IF(K902="COSMADE",PR!$L900,IF(K902="SANCON",PR!$M900,IF(K902="DEVON",PR!$N900,IF(K902="DORTEMAG",PR!$O900,IF(K902="DGF",PR!$P900,IF(K902="DYNAMIC",PR!$Q900,IF(K902="EMZOR",PR!$R900,IF(K902="EUMATT",PR!$S900,IF(K902="FIDSON",PR!$T900,IF(K902="FCGLOBAL",PR!$U900,IF(K902="GENEITH",PR!$V900,IF(K902="GINOS",PR!$W900,IF(K902="GSK",PR!$X900,IF(K902="GLOBORG",PR!$Y900,IF(K902="GOODNEWS",PR!$Z900,IF(K902="GREENLIFE",PR!$AA900,IF(K902="HLINE",PR!$AB900,IF(K902="ROTECH",PR!$AC900,IF(K902="ISN",PR!$AD900,IF(K902="JAWA",PR!$AE900,IF(K902="LAYO",PR!$AF900,IF(K902="LEADWAY",PR!$AG900,IF(K902="LHV",PR!$AH900,IF(K902="MANOLA",PR!$AI900,IF(K902="MARCSON",PR!$AJ900,IF(K902="M&amp;B",PR!$AK900,IF(K902="MTRUST",PR!$AL900,IF(K902="MWORLD",PR!$AM900,IF(K902="MEGA",PR!$AN900,IF(K902="MICRONOVA",PR!$AO900,IF(K902="MFLASH",PR!$AP900,IF(K902="MORISON",PR!$AQ900,IF(K902="NEMEL",PR!$AR900,IF(K902="NHP",PR!$AS900,IF(K902="NHC",PR!$AT900,IF(K902="OLEAF",PR!$AU900,IF(K902="OCULUS",PR!$AV900,IF(K902="PACIFIC",PR!$AW900,IF(K902="PHAMATEX",PR!$AX900,IF(K902="PETHICS",PR!$AY900,IF(K902="PHILIPS",PR!$AZ900,IF(K902="RANBAXY",PR!$BA900,IF(K902="REALS",PR!$BB900,IF(K902="ROYAL",PR!$BC900,IF(K902="SAM",PR!$BD900,IF(K902="SEAGREEN",PR!$BE900,IF(K902="SKG",PR!$BF900,IF(K902="TAH",PR!$BG900,IF(K902="TAYLEK",PR!$BH900,IF(K902="TEMITA",PR!$BI900,IF(K902="THL",PR!$BJ900,IF(K902="UBASTIC",PR!$BK900,IF(K902="UNION",PR!$BL900,IF(K902="UNIQUE",PR!$BM900,IF(K902="VIXA",PR!$BN900,IF(K902="WWCV",PR!$BO900,IF(K902="ZOLON",PR!$BP900,"-")))))))))))))))))))))))))))))))))))))))))))))))))))))))))))))))))</f>
        <v>130000</v>
      </c>
    </row>
    <row r="903" spans="1:12" ht="18.75" x14ac:dyDescent="0.3">
      <c r="A903" s="430">
        <f>PR!A901</f>
        <v>811</v>
      </c>
      <c r="B903" s="15" t="str">
        <f>PR!B901</f>
        <v>M-53-LEO (II) LYSE (BC-5300) 400ML</v>
      </c>
      <c r="C903" s="113" t="str">
        <f>PR!D901</f>
        <v>1 cnt x 40</v>
      </c>
      <c r="D903" s="113">
        <f>PR!C901</f>
        <v>20</v>
      </c>
      <c r="E903" s="108">
        <f>IF(F903="ALPHA",PR!$E901,IF(F903="ASSENE",PR!$F901,IF(F903="BIOFEM",PR!$G901,IF(F903="BIOMED",PR!$H901,IF(F903="CHI",PR!$I901,IF(F903="CLARION",PR!$J901,IF(F903="CODIX",PR!$K901,IF(F903="COSMADE",PR!$L901,IF(F903="SANCON",PR!$M901,IF(F903="DEVON",PR!$N901,IF(F903="DORTEMAG",PR!$O901,IF(F903="DGF",PR!$P901,IF(F903="DYNAMIC",PR!$Q901,IF(F903="EMZOR",PR!$R901,IF(F903="EUMATT",PR!$S901,IF(F903="FIDSON",PR!$T901,IF(F903="FCGLOBAL",PR!$U901,IF(F903="GENEITH",PR!$V901,IF(F903="GINOS",PR!$W901,IF(F903="GSK",PR!$X901,IF(F903="GLOBORG",PR!$Y901,IF(F903="GOODNEWS",PR!$Z901,IF(F903="GREENLIFE",PR!$AA901,IF(F903="HLINE",PR!$AB901,IF(F903="ROTECH",PR!$AC901,IF(F903="ISN",PR!$AD901,IF(F903="JAWA",PR!$AE901,IF(F903="LAYO",PR!$AF901,IF(F903="LEADWAY",PR!$AG901,IF(F903="LHV",PR!$AH901,IF(F903="MANOLA",PR!$AI901,IF(F903="MARCSON",PR!$AJ901,IF(F903="M&amp;B",PR!$AK901,IF(F903="MTRUST",PR!$AL901,IF(F903="MWORLD",PR!$AM901,IF(F903="MEGA",PR!$AN901,IF(F903="MICRONOVA",PR!$AO901,IF(F903="MFLASH",PR!$AP901,IF(F903="MORISON",PR!$AQ901,IF(F903="NEMEL",PR!$AR901,IF(F903="NHP",PR!$AS901,IF(F903="NHC",PR!$AT901,IF(F903="OLEAF",PR!$AU901,IF(F903="OCULUS",PR!$AV901,IF(F903="PACIFIC",PR!$AW901,IF(F903="PHAMATEX",PR!$AX901,IF(F903="PETHICS",PR!$AY901,IF(F903="PHILIPS",PR!$AZ901,IF(F903="RANBAXY",PR!$BA901,IF(F903="REALS",PR!$BB901,IF(F903="ROYAL",PR!$BC901,IF(F903="SAM",PR!$BD901,IF(F903="SEAGREEN",PR!$BE901,IF(F903="SKG",PR!$BF901,IF(F903="TAH",PR!$BG901,IF(F903="TAYLEK",PR!$BH901,IF(F903="TEMITA",PR!$BI901,IF(F903="THL",PR!$BJ901,IF(F903="UBASTIC",PR!$BK901,IF(F903="UNION",PR!$BL901,IF(F903="UNIQUE",PR!$BM901,IF(F903="VIXA",PR!$BN901,IF(F903="WWCV",PR!$BO901,IF(F903="ZOLON",PR!$BP901,"-"))))))))))))))))))))))))))))))))))))))))))))))))))))))))))))))))</f>
        <v>184000</v>
      </c>
      <c r="F903" s="102" t="str">
        <f>EV!L1145</f>
        <v>COSMADE</v>
      </c>
      <c r="G903" s="108" t="str">
        <f>IF(H903="ALPHA",PR!$E901,IF(H903="ASSENE",PR!$F901,IF(H903="BIOFEM",PR!$G901,IF(H903="BIOMED",PR!$H901,IF(H903="CHI",PR!$I901,IF(H903="CLARION",PR!$J901,IF(H903="CODIX",PR!$K901,IF(H903="COSMADE",PR!$L901,IF(H903="SANCON",PR!$M901,IF(H903="DEVON",PR!$N901,IF(H903="DORTEMAG",PR!$O901,IF(H903="DGF",PR!$P901,IF(H903="DYNAMIC",PR!$Q901,IF(H903="EMZOR",PR!$R901,IF(H903="EUMATT",PR!$S901,IF(H903="FIDSON",PR!$T901,IF(H903="FCGLOBAL",PR!$U901,IF(H903="GENEITH",PR!$V901,IF(H903="GINOS",PR!$W901,IF(H903="GSK",PR!$X901,IF(H903="GLOBORG",PR!$Y901,IF(H903="GOODNEWS",PR!$Z901,IF(H903="GREENLIFE",PR!$AA901,IF(H903="HLINE",PR!$AB901,IF(H903="ROTECH",PR!$AC901,IF(H903="ISN",PR!$AD901,IF(H903="JAWA",PR!$AE901,IF(H903="LAYO",PR!$AF901,IF(H903="LEADWAY",PR!$AG901,IF(H903="LHV",PR!$AH901,IF(H903="MANOLA",PR!$AI901,IF(H903="MARCSON",PR!$AJ901,IF(H903="M&amp;B",PR!$AK901,IF(H903="MTRUST",PR!$AL901,IF(H903="MWORLD",PR!$AM901,IF(H903="MEGA",PR!$AN901,IF(H903="MICRONOVA",PR!$AO901,IF(H903="MFLASH",PR!$AP901,IF(H903="MORISON",PR!$AQ901,IF(H903="NEMEL",PR!$AR901,IF(H903="NHP",PR!$AS901,IF(H903="NHC",PR!$AT901,IF(H903="OLEAF",PR!$AU901,IF(H903="OCULUS",PR!$AV901,IF(H903="PACIFIC",PR!$AW901,IF(H903="PHAMATEX",PR!$AX901,IF(H903="PETHICS",PR!$AY901,IF(H903="PHILIPS",PR!$AZ901,IF(H903="RANBAXY",PR!$BA901,IF(H903="REALS",PR!$BB901,IF(H903="ROYAL",PR!$BC901,IF(H903="SAM",PR!$BD901,IF(H903="SEAGREEN",PR!$BE901,IF(H903="SKG",PR!$BF901,IF(H903="TAH",PR!$BG901,IF(H903="TAYLEK",PR!$BH901,IF(H903="TEMITA",PR!$BI901,IF(H903="THL",PR!$BJ901,IF(H903="UBASTIC",PR!$BK901,IF(H903="UNION",PR!$BL901,IF(H903="UNIQUE",PR!$BM901,IF(H903="VIXA",PR!$BN901,IF(H903="WWCV",PR!$BO901,IF(H903="ZOLON",PR!$BP901,"-"))))))))))))))))))))))))))))))))))))))))))))))))))))))))))))))))</f>
        <v>-</v>
      </c>
      <c r="H903" s="102">
        <f>EV!M1145</f>
        <v>0</v>
      </c>
      <c r="I903" s="108" t="str">
        <f>IF(J903="ALPHA",PR!$E901,IF(J903="ASSENE",PR!$F901,IF(J903="BIOFEM",PR!$G901,IF(J903="BIOMED",PR!$H901,IF(J903="CHI",PR!$I901,IF(J903="CLARION",PR!$J901,IF(J903="CODIX",PR!$K901,IF(J903="COSMADE",PR!$L901,IF(J903="SANCON",PR!$M901,IF(J903="DEVON",PR!$N901,IF(J903="DORTEMAG",PR!$O901,IF(J903="DGF",PR!$P901,IF(J903="DYNAMIC",PR!$Q901,IF(J903="EMZOR",PR!$R901,IF(J903="EUMATT",PR!$S901,IF(J903="FIDSON",PR!$T901,IF(J903="FCGLOBAL",PR!$U901,IF(J903="GENEITH",PR!$V901,IF(J903="GINOS",PR!$W901,IF(J903="GSK",PR!$X901,IF(J903="GLOBORG",PR!$Y901,IF(J903="GOODNEWS",PR!$Z901,IF(J903="GREENLIFE",PR!$AA901,IF(J903="HLINE",PR!$AB901,IF(J903="ROTECH",PR!$AC901,IF(J903="ISN",PR!$AD901,IF(J903="JAWA",PR!$AE901,IF(J903="LAYO",PR!$AF901,IF(J903="LEADWAY",PR!$AG901,IF(J903="LHV",PR!$AH901,IF(J903="MANOLA",PR!$AI901,IF(J903="MARCSON",PR!$AJ901,IF(J903="M&amp;B",PR!$AK901,IF(J903="MTRUST",PR!$AL901,IF(J903="MWORLD",PR!$AM901,IF(J903="MEGA",PR!$AN901,IF(J903="MICRONOVA",PR!$AO901,IF(J903="MFLASH",PR!$AP901,IF(J903="MORISON",PR!$AQ901,IF(J903="NEMEL",PR!$AR901,IF(J903="NHP",PR!$AS901,IF(J903="NHC",PR!$AT901,IF(J903="OLEAF",PR!$AU901,IF(J903="OCULUS",PR!$AV901,IF(J903="PACIFIC",PR!$AW901,IF(J903="PHAMATEX",PR!$AX901,IF(J903="PETHICS",PR!$AY901,IF(J903="PHILIPS",PR!$AZ901,IF(J903="RANBAXY",PR!$BA901,IF(J903="REALS",PR!$BB901,IF(J903="ROYAL",PR!$BC901,IF(J903="SAM",PR!$BD901,IF(J903="SEAGREEN",PR!$BE901,IF(J903="SKG",PR!$BF901,IF(J903="TAH",PR!$BG901,IF(J903="TAYLEK",PR!$BH901,IF(J903="TEMITA",PR!$BI901,IF(J903="THL",PR!$BJ901,IF(J903="UBASTIC",PR!$BK901,IF(J903="UNION",PR!$BL901,IF(J903="UNIQUE",PR!$BM901,IF(J903="VIXA",PR!$BN901,IF(J903="WWCV",PR!$BO901,IF(J903="ZOLON",PR!$BP901,"-"))))))))))))))))))))))))))))))))))))))))))))))))))))))))))))))))</f>
        <v>-</v>
      </c>
      <c r="J903" s="102">
        <f>EV!N1145</f>
        <v>0</v>
      </c>
      <c r="K903" s="433" t="s">
        <v>1452</v>
      </c>
      <c r="L903" s="183">
        <f>IF(K903&gt;0,IF(K903="ALPHA",PR!$E901,IF(K903="ASSENE",PR!$F901,IF(K903="BIOFEM",PR!$G901,IF(K903="BIOMED",PR!$H901,IF(K903="CHI",PR!$I901,IF(K903="CLARION",PR!$J901,IF(K903="CODIX",PR!$K901,IF(K903="COSMADE",PR!$L901,IF(K903="SANCON",PR!$M901,IF(K903="DEVON",PR!$N901,IF(K903="DORTEMAG",PR!$O901,IF(K903="DGF",PR!$P901,IF(K903="DYNAMIC",PR!$Q901,IF(K903="EMZOR",PR!$R901,IF(K903="EUMATT",PR!$S901,IF(K903="FIDSON",PR!$T901,IF(K903="FCGLOBAL",PR!$U901,IF(K903="GENEITH",PR!$V901,IF(K903="GINOS",PR!$W901,IF(K903="GSK",PR!$X901,IF(K903="GLOBORG",PR!$Y901,IF(K903="GOODNEWS",PR!$Z901,IF(K903="GREENLIFE",PR!$AA901,IF(K903="HLINE",PR!$AB901,IF(K903="ROTECH",PR!$AC901,IF(K903="ISN",PR!$AD901,IF(K903="JAWA",PR!$AE901,IF(K903="LAYO",PR!$AF901,IF(K903="LEADWAY",PR!$AG901,IF(K903="LHV",PR!$AH901,IF(K903="MANOLA",PR!$AI901,IF(K903="MARCSON",PR!$AJ901,IF(K903="M&amp;B",PR!$AK901,IF(K903="MTRUST",PR!$AL901,IF(K903="MWORLD",PR!$AM901,IF(K903="MEGA",PR!$AN901,IF(K903="MICRONOVA",PR!$AO901,IF(K903="MFLASH",PR!$AP901,IF(K903="MORISON",PR!$AQ901,IF(K903="NEMEL",PR!$AR901,IF(K903="NHP",PR!$AS901,IF(K903="NHC",PR!$AT901,IF(K903="OLEAF",PR!$AU901,IF(K903="OCULUS",PR!$AV901,IF(K903="PACIFIC",PR!$AW901,IF(K903="PHAMATEX",PR!$AX901,IF(K903="PETHICS",PR!$AY901,IF(K903="PHILIPS",PR!$AZ901,IF(K903="RANBAXY",PR!$BA901,IF(K903="REALS",PR!$BB901,IF(K903="ROYAL",PR!$BC901,IF(K903="SAM",PR!$BD901,IF(K903="SEAGREEN",PR!$BE901,IF(K903="SKG",PR!$BF901,IF(K903="TAH",PR!$BG901,IF(K903="TAYLEK",PR!$BH901,IF(K903="TEMITA",PR!$BI901,IF(K903="THL",PR!$BJ901,IF(K903="UBASTIC",PR!$BK901,IF(K903="UNION",PR!$BL901,IF(K903="UNIQUE",PR!$BM901,IF(K903="VIXA",PR!$BN901,IF(K903="WWCV",PR!$BO901,IF(K903="ZOLON",PR!$BP901,"-")))))))))))))))))))))))))))))))))))))))))))))))))))))))))))))))))</f>
        <v>184000</v>
      </c>
    </row>
    <row r="904" spans="1:12" ht="18.75" x14ac:dyDescent="0.3">
      <c r="A904" s="430">
        <f>PR!A902</f>
        <v>812</v>
      </c>
      <c r="B904" s="15" t="str">
        <f>PR!B902</f>
        <v>M53 LH LYSE (BC-5300) 500ML</v>
      </c>
      <c r="C904" s="113" t="str">
        <f>PR!D902</f>
        <v>1 bottle of 50</v>
      </c>
      <c r="D904" s="113">
        <f>PR!C902</f>
        <v>20</v>
      </c>
      <c r="E904" s="108">
        <f>IF(F904="ALPHA",PR!$E902,IF(F904="ASSENE",PR!$F902,IF(F904="BIOFEM",PR!$G902,IF(F904="BIOMED",PR!$H902,IF(F904="CHI",PR!$I902,IF(F904="CLARION",PR!$J902,IF(F904="CODIX",PR!$K902,IF(F904="COSMADE",PR!$L902,IF(F904="SANCON",PR!$M902,IF(F904="DEVON",PR!$N902,IF(F904="DORTEMAG",PR!$O902,IF(F904="DGF",PR!$P902,IF(F904="DYNAMIC",PR!$Q902,IF(F904="EMZOR",PR!$R902,IF(F904="EUMATT",PR!$S902,IF(F904="FIDSON",PR!$T902,IF(F904="FCGLOBAL",PR!$U902,IF(F904="GENEITH",PR!$V902,IF(F904="GINOS",PR!$W902,IF(F904="GSK",PR!$X902,IF(F904="GLOBORG",PR!$Y902,IF(F904="GOODNEWS",PR!$Z902,IF(F904="GREENLIFE",PR!$AA902,IF(F904="HLINE",PR!$AB902,IF(F904="ROTECH",PR!$AC902,IF(F904="ISN",PR!$AD902,IF(F904="JAWA",PR!$AE902,IF(F904="LAYO",PR!$AF902,IF(F904="LEADWAY",PR!$AG902,IF(F904="LHV",PR!$AH902,IF(F904="MANOLA",PR!$AI902,IF(F904="MARCSON",PR!$AJ902,IF(F904="M&amp;B",PR!$AK902,IF(F904="MTRUST",PR!$AL902,IF(F904="MWORLD",PR!$AM902,IF(F904="MEGA",PR!$AN902,IF(F904="MICRONOVA",PR!$AO902,IF(F904="MFLASH",PR!$AP902,IF(F904="MORISON",PR!$AQ902,IF(F904="NEMEL",PR!$AR902,IF(F904="NHP",PR!$AS902,IF(F904="NHC",PR!$AT902,IF(F904="OLEAF",PR!$AU902,IF(F904="OCULUS",PR!$AV902,IF(F904="PACIFIC",PR!$AW902,IF(F904="PHAMATEX",PR!$AX902,IF(F904="PETHICS",PR!$AY902,IF(F904="PHILIPS",PR!$AZ902,IF(F904="RANBAXY",PR!$BA902,IF(F904="REALS",PR!$BB902,IF(F904="ROYAL",PR!$BC902,IF(F904="SAM",PR!$BD902,IF(F904="SEAGREEN",PR!$BE902,IF(F904="SKG",PR!$BF902,IF(F904="TAH",PR!$BG902,IF(F904="TAYLEK",PR!$BH902,IF(F904="TEMITA",PR!$BI902,IF(F904="THL",PR!$BJ902,IF(F904="UBASTIC",PR!$BK902,IF(F904="UNION",PR!$BL902,IF(F904="UNIQUE",PR!$BM902,IF(F904="VIXA",PR!$BN902,IF(F904="WWCV",PR!$BO902,IF(F904="ZOLON",PR!$BP902,"-"))))))))))))))))))))))))))))))))))))))))))))))))))))))))))))))))</f>
        <v>122000</v>
      </c>
      <c r="F904" s="102" t="str">
        <f>EV!L1146</f>
        <v>COSMADE</v>
      </c>
      <c r="G904" s="108" t="str">
        <f>IF(H904="ALPHA",PR!$E902,IF(H904="ASSENE",PR!$F902,IF(H904="BIOFEM",PR!$G902,IF(H904="BIOMED",PR!$H902,IF(H904="CHI",PR!$I902,IF(H904="CLARION",PR!$J902,IF(H904="CODIX",PR!$K902,IF(H904="COSMADE",PR!$L902,IF(H904="SANCON",PR!$M902,IF(H904="DEVON",PR!$N902,IF(H904="DORTEMAG",PR!$O902,IF(H904="DGF",PR!$P902,IF(H904="DYNAMIC",PR!$Q902,IF(H904="EMZOR",PR!$R902,IF(H904="EUMATT",PR!$S902,IF(H904="FIDSON",PR!$T902,IF(H904="FCGLOBAL",PR!$U902,IF(H904="GENEITH",PR!$V902,IF(H904="GINOS",PR!$W902,IF(H904="GSK",PR!$X902,IF(H904="GLOBORG",PR!$Y902,IF(H904="GOODNEWS",PR!$Z902,IF(H904="GREENLIFE",PR!$AA902,IF(H904="HLINE",PR!$AB902,IF(H904="ROTECH",PR!$AC902,IF(H904="ISN",PR!$AD902,IF(H904="JAWA",PR!$AE902,IF(H904="LAYO",PR!$AF902,IF(H904="LEADWAY",PR!$AG902,IF(H904="LHV",PR!$AH902,IF(H904="MANOLA",PR!$AI902,IF(H904="MARCSON",PR!$AJ902,IF(H904="M&amp;B",PR!$AK902,IF(H904="MTRUST",PR!$AL902,IF(H904="MWORLD",PR!$AM902,IF(H904="MEGA",PR!$AN902,IF(H904="MICRONOVA",PR!$AO902,IF(H904="MFLASH",PR!$AP902,IF(H904="MORISON",PR!$AQ902,IF(H904="NEMEL",PR!$AR902,IF(H904="NHP",PR!$AS902,IF(H904="NHC",PR!$AT902,IF(H904="OLEAF",PR!$AU902,IF(H904="OCULUS",PR!$AV902,IF(H904="PACIFIC",PR!$AW902,IF(H904="PHAMATEX",PR!$AX902,IF(H904="PETHICS",PR!$AY902,IF(H904="PHILIPS",PR!$AZ902,IF(H904="RANBAXY",PR!$BA902,IF(H904="REALS",PR!$BB902,IF(H904="ROYAL",PR!$BC902,IF(H904="SAM",PR!$BD902,IF(H904="SEAGREEN",PR!$BE902,IF(H904="SKG",PR!$BF902,IF(H904="TAH",PR!$BG902,IF(H904="TAYLEK",PR!$BH902,IF(H904="TEMITA",PR!$BI902,IF(H904="THL",PR!$BJ902,IF(H904="UBASTIC",PR!$BK902,IF(H904="UNION",PR!$BL902,IF(H904="UNIQUE",PR!$BM902,IF(H904="VIXA",PR!$BN902,IF(H904="WWCV",PR!$BO902,IF(H904="ZOLON",PR!$BP902,"-"))))))))))))))))))))))))))))))))))))))))))))))))))))))))))))))))</f>
        <v>-</v>
      </c>
      <c r="H904" s="102">
        <f>EV!M1146</f>
        <v>0</v>
      </c>
      <c r="I904" s="108" t="str">
        <f>IF(J904="ALPHA",PR!$E902,IF(J904="ASSENE",PR!$F902,IF(J904="BIOFEM",PR!$G902,IF(J904="BIOMED",PR!$H902,IF(J904="CHI",PR!$I902,IF(J904="CLARION",PR!$J902,IF(J904="CODIX",PR!$K902,IF(J904="COSMADE",PR!$L902,IF(J904="SANCON",PR!$M902,IF(J904="DEVON",PR!$N902,IF(J904="DORTEMAG",PR!$O902,IF(J904="DGF",PR!$P902,IF(J904="DYNAMIC",PR!$Q902,IF(J904="EMZOR",PR!$R902,IF(J904="EUMATT",PR!$S902,IF(J904="FIDSON",PR!$T902,IF(J904="FCGLOBAL",PR!$U902,IF(J904="GENEITH",PR!$V902,IF(J904="GINOS",PR!$W902,IF(J904="GSK",PR!$X902,IF(J904="GLOBORG",PR!$Y902,IF(J904="GOODNEWS",PR!$Z902,IF(J904="GREENLIFE",PR!$AA902,IF(J904="HLINE",PR!$AB902,IF(J904="ROTECH",PR!$AC902,IF(J904="ISN",PR!$AD902,IF(J904="JAWA",PR!$AE902,IF(J904="LAYO",PR!$AF902,IF(J904="LEADWAY",PR!$AG902,IF(J904="LHV",PR!$AH902,IF(J904="MANOLA",PR!$AI902,IF(J904="MARCSON",PR!$AJ902,IF(J904="M&amp;B",PR!$AK902,IF(J904="MTRUST",PR!$AL902,IF(J904="MWORLD",PR!$AM902,IF(J904="MEGA",PR!$AN902,IF(J904="MICRONOVA",PR!$AO902,IF(J904="MFLASH",PR!$AP902,IF(J904="MORISON",PR!$AQ902,IF(J904="NEMEL",PR!$AR902,IF(J904="NHP",PR!$AS902,IF(J904="NHC",PR!$AT902,IF(J904="OLEAF",PR!$AU902,IF(J904="OCULUS",PR!$AV902,IF(J904="PACIFIC",PR!$AW902,IF(J904="PHAMATEX",PR!$AX902,IF(J904="PETHICS",PR!$AY902,IF(J904="PHILIPS",PR!$AZ902,IF(J904="RANBAXY",PR!$BA902,IF(J904="REALS",PR!$BB902,IF(J904="ROYAL",PR!$BC902,IF(J904="SAM",PR!$BD902,IF(J904="SEAGREEN",PR!$BE902,IF(J904="SKG",PR!$BF902,IF(J904="TAH",PR!$BG902,IF(J904="TAYLEK",PR!$BH902,IF(J904="TEMITA",PR!$BI902,IF(J904="THL",PR!$BJ902,IF(J904="UBASTIC",PR!$BK902,IF(J904="UNION",PR!$BL902,IF(J904="UNIQUE",PR!$BM902,IF(J904="VIXA",PR!$BN902,IF(J904="WWCV",PR!$BO902,IF(J904="ZOLON",PR!$BP902,"-"))))))))))))))))))))))))))))))))))))))))))))))))))))))))))))))))</f>
        <v>-</v>
      </c>
      <c r="J904" s="102">
        <f>EV!N1146</f>
        <v>0</v>
      </c>
      <c r="K904" s="433" t="s">
        <v>1452</v>
      </c>
      <c r="L904" s="183">
        <f>IF(K904&gt;0,IF(K904="ALPHA",PR!$E902,IF(K904="ASSENE",PR!$F902,IF(K904="BIOFEM",PR!$G902,IF(K904="BIOMED",PR!$H902,IF(K904="CHI",PR!$I902,IF(K904="CLARION",PR!$J902,IF(K904="CODIX",PR!$K902,IF(K904="COSMADE",PR!$L902,IF(K904="SANCON",PR!$M902,IF(K904="DEVON",PR!$N902,IF(K904="DORTEMAG",PR!$O902,IF(K904="DGF",PR!$P902,IF(K904="DYNAMIC",PR!$Q902,IF(K904="EMZOR",PR!$R902,IF(K904="EUMATT",PR!$S902,IF(K904="FIDSON",PR!$T902,IF(K904="FCGLOBAL",PR!$U902,IF(K904="GENEITH",PR!$V902,IF(K904="GINOS",PR!$W902,IF(K904="GSK",PR!$X902,IF(K904="GLOBORG",PR!$Y902,IF(K904="GOODNEWS",PR!$Z902,IF(K904="GREENLIFE",PR!$AA902,IF(K904="HLINE",PR!$AB902,IF(K904="ROTECH",PR!$AC902,IF(K904="ISN",PR!$AD902,IF(K904="JAWA",PR!$AE902,IF(K904="LAYO",PR!$AF902,IF(K904="LEADWAY",PR!$AG902,IF(K904="LHV",PR!$AH902,IF(K904="MANOLA",PR!$AI902,IF(K904="MARCSON",PR!$AJ902,IF(K904="M&amp;B",PR!$AK902,IF(K904="MTRUST",PR!$AL902,IF(K904="MWORLD",PR!$AM902,IF(K904="MEGA",PR!$AN902,IF(K904="MICRONOVA",PR!$AO902,IF(K904="MFLASH",PR!$AP902,IF(K904="MORISON",PR!$AQ902,IF(K904="NEMEL",PR!$AR902,IF(K904="NHP",PR!$AS902,IF(K904="NHC",PR!$AT902,IF(K904="OLEAF",PR!$AU902,IF(K904="OCULUS",PR!$AV902,IF(K904="PACIFIC",PR!$AW902,IF(K904="PHAMATEX",PR!$AX902,IF(K904="PETHICS",PR!$AY902,IF(K904="PHILIPS",PR!$AZ902,IF(K904="RANBAXY",PR!$BA902,IF(K904="REALS",PR!$BB902,IF(K904="ROYAL",PR!$BC902,IF(K904="SAM",PR!$BD902,IF(K904="SEAGREEN",PR!$BE902,IF(K904="SKG",PR!$BF902,IF(K904="TAH",PR!$BG902,IF(K904="TAYLEK",PR!$BH902,IF(K904="TEMITA",PR!$BI902,IF(K904="THL",PR!$BJ902,IF(K904="UBASTIC",PR!$BK902,IF(K904="UNION",PR!$BL902,IF(K904="UNIQUE",PR!$BM902,IF(K904="VIXA",PR!$BN902,IF(K904="WWCV",PR!$BO902,IF(K904="ZOLON",PR!$BP902,"-")))))))))))))))))))))))))))))))))))))))))))))))))))))))))))))))))</f>
        <v>122000</v>
      </c>
    </row>
    <row r="905" spans="1:12" ht="18.75" x14ac:dyDescent="0.3">
      <c r="A905" s="430">
        <f>PR!A903</f>
        <v>813</v>
      </c>
      <c r="B905" s="15" t="str">
        <f>PR!B903</f>
        <v>M-53 CLEANSER (BC-5300) 1 LITRE</v>
      </c>
      <c r="C905" s="113" t="str">
        <f>PR!D903</f>
        <v>1 bottle</v>
      </c>
      <c r="D905" s="113">
        <f>PR!C903</f>
        <v>5</v>
      </c>
      <c r="E905" s="108">
        <f>IF(F905="ALPHA",PR!$E903,IF(F905="ASSENE",PR!$F903,IF(F905="BIOFEM",PR!$G903,IF(F905="BIOMED",PR!$H903,IF(F905="CHI",PR!$I903,IF(F905="CLARION",PR!$J903,IF(F905="CODIX",PR!$K903,IF(F905="COSMADE",PR!$L903,IF(F905="SANCON",PR!$M903,IF(F905="DEVON",PR!$N903,IF(F905="DORTEMAG",PR!$O903,IF(F905="DGF",PR!$P903,IF(F905="DYNAMIC",PR!$Q903,IF(F905="EMZOR",PR!$R903,IF(F905="EUMATT",PR!$S903,IF(F905="FIDSON",PR!$T903,IF(F905="FCGLOBAL",PR!$U903,IF(F905="GENEITH",PR!$V903,IF(F905="GINOS",PR!$W903,IF(F905="GSK",PR!$X903,IF(F905="GLOBORG",PR!$Y903,IF(F905="GOODNEWS",PR!$Z903,IF(F905="GREENLIFE",PR!$AA903,IF(F905="HLINE",PR!$AB903,IF(F905="ROTECH",PR!$AC903,IF(F905="ISN",PR!$AD903,IF(F905="JAWA",PR!$AE903,IF(F905="LAYO",PR!$AF903,IF(F905="LEADWAY",PR!$AG903,IF(F905="LHV",PR!$AH903,IF(F905="MANOLA",PR!$AI903,IF(F905="MARCSON",PR!$AJ903,IF(F905="M&amp;B",PR!$AK903,IF(F905="MTRUST",PR!$AL903,IF(F905="MWORLD",PR!$AM903,IF(F905="MEGA",PR!$AN903,IF(F905="MICRONOVA",PR!$AO903,IF(F905="MFLASH",PR!$AP903,IF(F905="MORISON",PR!$AQ903,IF(F905="NEMEL",PR!$AR903,IF(F905="NHP",PR!$AS903,IF(F905="NHC",PR!$AT903,IF(F905="OLEAF",PR!$AU903,IF(F905="OCULUS",PR!$AV903,IF(F905="PACIFIC",PR!$AW903,IF(F905="PHAMATEX",PR!$AX903,IF(F905="PETHICS",PR!$AY903,IF(F905="PHILIPS",PR!$AZ903,IF(F905="RANBAXY",PR!$BA903,IF(F905="REALS",PR!$BB903,IF(F905="ROYAL",PR!$BC903,IF(F905="SAM",PR!$BD903,IF(F905="SEAGREEN",PR!$BE903,IF(F905="SKG",PR!$BF903,IF(F905="TAH",PR!$BG903,IF(F905="TAYLEK",PR!$BH903,IF(F905="TEMITA",PR!$BI903,IF(F905="THL",PR!$BJ903,IF(F905="UBASTIC",PR!$BK903,IF(F905="UNION",PR!$BL903,IF(F905="UNIQUE",PR!$BM903,IF(F905="VIXA",PR!$BN903,IF(F905="WWCV",PR!$BO903,IF(F905="ZOLON",PR!$BP903,"-"))))))))))))))))))))))))))))))))))))))))))))))))))))))))))))))))</f>
        <v>35000</v>
      </c>
      <c r="F905" s="102" t="str">
        <f>EV!L1147</f>
        <v>COSMADE</v>
      </c>
      <c r="G905" s="108" t="str">
        <f>IF(H905="ALPHA",PR!$E903,IF(H905="ASSENE",PR!$F903,IF(H905="BIOFEM",PR!$G903,IF(H905="BIOMED",PR!$H903,IF(H905="CHI",PR!$I903,IF(H905="CLARION",PR!$J903,IF(H905="CODIX",PR!$K903,IF(H905="COSMADE",PR!$L903,IF(H905="SANCON",PR!$M903,IF(H905="DEVON",PR!$N903,IF(H905="DORTEMAG",PR!$O903,IF(H905="DGF",PR!$P903,IF(H905="DYNAMIC",PR!$Q903,IF(H905="EMZOR",PR!$R903,IF(H905="EUMATT",PR!$S903,IF(H905="FIDSON",PR!$T903,IF(H905="FCGLOBAL",PR!$U903,IF(H905="GENEITH",PR!$V903,IF(H905="GINOS",PR!$W903,IF(H905="GSK",PR!$X903,IF(H905="GLOBORG",PR!$Y903,IF(H905="GOODNEWS",PR!$Z903,IF(H905="GREENLIFE",PR!$AA903,IF(H905="HLINE",PR!$AB903,IF(H905="ROTECH",PR!$AC903,IF(H905="ISN",PR!$AD903,IF(H905="JAWA",PR!$AE903,IF(H905="LAYO",PR!$AF903,IF(H905="LEADWAY",PR!$AG903,IF(H905="LHV",PR!$AH903,IF(H905="MANOLA",PR!$AI903,IF(H905="MARCSON",PR!$AJ903,IF(H905="M&amp;B",PR!$AK903,IF(H905="MTRUST",PR!$AL903,IF(H905="MWORLD",PR!$AM903,IF(H905="MEGA",PR!$AN903,IF(H905="MICRONOVA",PR!$AO903,IF(H905="MFLASH",PR!$AP903,IF(H905="MORISON",PR!$AQ903,IF(H905="NEMEL",PR!$AR903,IF(H905="NHP",PR!$AS903,IF(H905="NHC",PR!$AT903,IF(H905="OLEAF",PR!$AU903,IF(H905="OCULUS",PR!$AV903,IF(H905="PACIFIC",PR!$AW903,IF(H905="PHAMATEX",PR!$AX903,IF(H905="PETHICS",PR!$AY903,IF(H905="PHILIPS",PR!$AZ903,IF(H905="RANBAXY",PR!$BA903,IF(H905="REALS",PR!$BB903,IF(H905="ROYAL",PR!$BC903,IF(H905="SAM",PR!$BD903,IF(H905="SEAGREEN",PR!$BE903,IF(H905="SKG",PR!$BF903,IF(H905="TAH",PR!$BG903,IF(H905="TAYLEK",PR!$BH903,IF(H905="TEMITA",PR!$BI903,IF(H905="THL",PR!$BJ903,IF(H905="UBASTIC",PR!$BK903,IF(H905="UNION",PR!$BL903,IF(H905="UNIQUE",PR!$BM903,IF(H905="VIXA",PR!$BN903,IF(H905="WWCV",PR!$BO903,IF(H905="ZOLON",PR!$BP903,"-"))))))))))))))))))))))))))))))))))))))))))))))))))))))))))))))))</f>
        <v>-</v>
      </c>
      <c r="H905" s="102">
        <f>EV!M1147</f>
        <v>0</v>
      </c>
      <c r="I905" s="108" t="str">
        <f>IF(J905="ALPHA",PR!$E903,IF(J905="ASSENE",PR!$F903,IF(J905="BIOFEM",PR!$G903,IF(J905="BIOMED",PR!$H903,IF(J905="CHI",PR!$I903,IF(J905="CLARION",PR!$J903,IF(J905="CODIX",PR!$K903,IF(J905="COSMADE",PR!$L903,IF(J905="SANCON",PR!$M903,IF(J905="DEVON",PR!$N903,IF(J905="DORTEMAG",PR!$O903,IF(J905="DGF",PR!$P903,IF(J905="DYNAMIC",PR!$Q903,IF(J905="EMZOR",PR!$R903,IF(J905="EUMATT",PR!$S903,IF(J905="FIDSON",PR!$T903,IF(J905="FCGLOBAL",PR!$U903,IF(J905="GENEITH",PR!$V903,IF(J905="GINOS",PR!$W903,IF(J905="GSK",PR!$X903,IF(J905="GLOBORG",PR!$Y903,IF(J905="GOODNEWS",PR!$Z903,IF(J905="GREENLIFE",PR!$AA903,IF(J905="HLINE",PR!$AB903,IF(J905="ROTECH",PR!$AC903,IF(J905="ISN",PR!$AD903,IF(J905="JAWA",PR!$AE903,IF(J905="LAYO",PR!$AF903,IF(J905="LEADWAY",PR!$AG903,IF(J905="LHV",PR!$AH903,IF(J905="MANOLA",PR!$AI903,IF(J905="MARCSON",PR!$AJ903,IF(J905="M&amp;B",PR!$AK903,IF(J905="MTRUST",PR!$AL903,IF(J905="MWORLD",PR!$AM903,IF(J905="MEGA",PR!$AN903,IF(J905="MICRONOVA",PR!$AO903,IF(J905="MFLASH",PR!$AP903,IF(J905="MORISON",PR!$AQ903,IF(J905="NEMEL",PR!$AR903,IF(J905="NHP",PR!$AS903,IF(J905="NHC",PR!$AT903,IF(J905="OLEAF",PR!$AU903,IF(J905="OCULUS",PR!$AV903,IF(J905="PACIFIC",PR!$AW903,IF(J905="PHAMATEX",PR!$AX903,IF(J905="PETHICS",PR!$AY903,IF(J905="PHILIPS",PR!$AZ903,IF(J905="RANBAXY",PR!$BA903,IF(J905="REALS",PR!$BB903,IF(J905="ROYAL",PR!$BC903,IF(J905="SAM",PR!$BD903,IF(J905="SEAGREEN",PR!$BE903,IF(J905="SKG",PR!$BF903,IF(J905="TAH",PR!$BG903,IF(J905="TAYLEK",PR!$BH903,IF(J905="TEMITA",PR!$BI903,IF(J905="THL",PR!$BJ903,IF(J905="UBASTIC",PR!$BK903,IF(J905="UNION",PR!$BL903,IF(J905="UNIQUE",PR!$BM903,IF(J905="VIXA",PR!$BN903,IF(J905="WWCV",PR!$BO903,IF(J905="ZOLON",PR!$BP903,"-"))))))))))))))))))))))))))))))))))))))))))))))))))))))))))))))))</f>
        <v>-</v>
      </c>
      <c r="J905" s="102">
        <f>EV!N1147</f>
        <v>0</v>
      </c>
      <c r="K905" s="433" t="s">
        <v>1452</v>
      </c>
      <c r="L905" s="183">
        <f>IF(K905&gt;0,IF(K905="ALPHA",PR!$E903,IF(K905="ASSENE",PR!$F903,IF(K905="BIOFEM",PR!$G903,IF(K905="BIOMED",PR!$H903,IF(K905="CHI",PR!$I903,IF(K905="CLARION",PR!$J903,IF(K905="CODIX",PR!$K903,IF(K905="COSMADE",PR!$L903,IF(K905="SANCON",PR!$M903,IF(K905="DEVON",PR!$N903,IF(K905="DORTEMAG",PR!$O903,IF(K905="DGF",PR!$P903,IF(K905="DYNAMIC",PR!$Q903,IF(K905="EMZOR",PR!$R903,IF(K905="EUMATT",PR!$S903,IF(K905="FIDSON",PR!$T903,IF(K905="FCGLOBAL",PR!$U903,IF(K905="GENEITH",PR!$V903,IF(K905="GINOS",PR!$W903,IF(K905="GSK",PR!$X903,IF(K905="GLOBORG",PR!$Y903,IF(K905="GOODNEWS",PR!$Z903,IF(K905="GREENLIFE",PR!$AA903,IF(K905="HLINE",PR!$AB903,IF(K905="ROTECH",PR!$AC903,IF(K905="ISN",PR!$AD903,IF(K905="JAWA",PR!$AE903,IF(K905="LAYO",PR!$AF903,IF(K905="LEADWAY",PR!$AG903,IF(K905="LHV",PR!$AH903,IF(K905="MANOLA",PR!$AI903,IF(K905="MARCSON",PR!$AJ903,IF(K905="M&amp;B",PR!$AK903,IF(K905="MTRUST",PR!$AL903,IF(K905="MWORLD",PR!$AM903,IF(K905="MEGA",PR!$AN903,IF(K905="MICRONOVA",PR!$AO903,IF(K905="MFLASH",PR!$AP903,IF(K905="MORISON",PR!$AQ903,IF(K905="NEMEL",PR!$AR903,IF(K905="NHP",PR!$AS903,IF(K905="NHC",PR!$AT903,IF(K905="OLEAF",PR!$AU903,IF(K905="OCULUS",PR!$AV903,IF(K905="PACIFIC",PR!$AW903,IF(K905="PHAMATEX",PR!$AX903,IF(K905="PETHICS",PR!$AY903,IF(K905="PHILIPS",PR!$AZ903,IF(K905="RANBAXY",PR!$BA903,IF(K905="REALS",PR!$BB903,IF(K905="ROYAL",PR!$BC903,IF(K905="SAM",PR!$BD903,IF(K905="SEAGREEN",PR!$BE903,IF(K905="SKG",PR!$BF903,IF(K905="TAH",PR!$BG903,IF(K905="TAYLEK",PR!$BH903,IF(K905="TEMITA",PR!$BI903,IF(K905="THL",PR!$BJ903,IF(K905="UBASTIC",PR!$BK903,IF(K905="UNION",PR!$BL903,IF(K905="UNIQUE",PR!$BM903,IF(K905="VIXA",PR!$BN903,IF(K905="WWCV",PR!$BO903,IF(K905="ZOLON",PR!$BP903,"-")))))))))))))))))))))))))))))))))))))))))))))))))))))))))))))))))</f>
        <v>35000</v>
      </c>
    </row>
    <row r="906" spans="1:12" ht="18.75" x14ac:dyDescent="0.3">
      <c r="A906" s="430">
        <f>PR!A904</f>
        <v>814</v>
      </c>
      <c r="B906" s="15" t="str">
        <f>PR!B904</f>
        <v>M-53 PROBE CLEANSER (BC-5300) 50ML</v>
      </c>
      <c r="C906" s="113" t="str">
        <f>PR!D904</f>
        <v>1 bottle of 50</v>
      </c>
      <c r="D906" s="113">
        <f>PR!C904</f>
        <v>20</v>
      </c>
      <c r="E906" s="108">
        <f>IF(F906="ALPHA",PR!$E904,IF(F906="ASSENE",PR!$F904,IF(F906="BIOFEM",PR!$G904,IF(F906="BIOMED",PR!$H904,IF(F906="CHI",PR!$I904,IF(F906="CLARION",PR!$J904,IF(F906="CODIX",PR!$K904,IF(F906="COSMADE",PR!$L904,IF(F906="SANCON",PR!$M904,IF(F906="DEVON",PR!$N904,IF(F906="DORTEMAG",PR!$O904,IF(F906="DGF",PR!$P904,IF(F906="DYNAMIC",PR!$Q904,IF(F906="EMZOR",PR!$R904,IF(F906="EUMATT",PR!$S904,IF(F906="FIDSON",PR!$T904,IF(F906="FCGLOBAL",PR!$U904,IF(F906="GENEITH",PR!$V904,IF(F906="GINOS",PR!$W904,IF(F906="GSK",PR!$X904,IF(F906="GLOBORG",PR!$Y904,IF(F906="GOODNEWS",PR!$Z904,IF(F906="GREENLIFE",PR!$AA904,IF(F906="HLINE",PR!$AB904,IF(F906="ROTECH",PR!$AC904,IF(F906="ISN",PR!$AD904,IF(F906="JAWA",PR!$AE904,IF(F906="LAYO",PR!$AF904,IF(F906="LEADWAY",PR!$AG904,IF(F906="LHV",PR!$AH904,IF(F906="MANOLA",PR!$AI904,IF(F906="MARCSON",PR!$AJ904,IF(F906="M&amp;B",PR!$AK904,IF(F906="MTRUST",PR!$AL904,IF(F906="MWORLD",PR!$AM904,IF(F906="MEGA",PR!$AN904,IF(F906="MICRONOVA",PR!$AO904,IF(F906="MFLASH",PR!$AP904,IF(F906="MORISON",PR!$AQ904,IF(F906="NEMEL",PR!$AR904,IF(F906="NHP",PR!$AS904,IF(F906="NHC",PR!$AT904,IF(F906="OLEAF",PR!$AU904,IF(F906="OCULUS",PR!$AV904,IF(F906="PACIFIC",PR!$AW904,IF(F906="PHAMATEX",PR!$AX904,IF(F906="PETHICS",PR!$AY904,IF(F906="PHILIPS",PR!$AZ904,IF(F906="RANBAXY",PR!$BA904,IF(F906="REALS",PR!$BB904,IF(F906="ROYAL",PR!$BC904,IF(F906="SAM",PR!$BD904,IF(F906="SEAGREEN",PR!$BE904,IF(F906="SKG",PR!$BF904,IF(F906="TAH",PR!$BG904,IF(F906="TAYLEK",PR!$BH904,IF(F906="TEMITA",PR!$BI904,IF(F906="THL",PR!$BJ904,IF(F906="UBASTIC",PR!$BK904,IF(F906="UNION",PR!$BL904,IF(F906="UNIQUE",PR!$BM904,IF(F906="VIXA",PR!$BN904,IF(F906="WWCV",PR!$BO904,IF(F906="ZOLON",PR!$BP904,"-"))))))))))))))))))))))))))))))))))))))))))))))))))))))))))))))))</f>
        <v>5500</v>
      </c>
      <c r="F906" s="102" t="str">
        <f>EV!L1148</f>
        <v>COSMADE</v>
      </c>
      <c r="G906" s="108" t="str">
        <f>IF(H906="ALPHA",PR!$E904,IF(H906="ASSENE",PR!$F904,IF(H906="BIOFEM",PR!$G904,IF(H906="BIOMED",PR!$H904,IF(H906="CHI",PR!$I904,IF(H906="CLARION",PR!$J904,IF(H906="CODIX",PR!$K904,IF(H906="COSMADE",PR!$L904,IF(H906="SANCON",PR!$M904,IF(H906="DEVON",PR!$N904,IF(H906="DORTEMAG",PR!$O904,IF(H906="DGF",PR!$P904,IF(H906="DYNAMIC",PR!$Q904,IF(H906="EMZOR",PR!$R904,IF(H906="EUMATT",PR!$S904,IF(H906="FIDSON",PR!$T904,IF(H906="FCGLOBAL",PR!$U904,IF(H906="GENEITH",PR!$V904,IF(H906="GINOS",PR!$W904,IF(H906="GSK",PR!$X904,IF(H906="GLOBORG",PR!$Y904,IF(H906="GOODNEWS",PR!$Z904,IF(H906="GREENLIFE",PR!$AA904,IF(H906="HLINE",PR!$AB904,IF(H906="ROTECH",PR!$AC904,IF(H906="ISN",PR!$AD904,IF(H906="JAWA",PR!$AE904,IF(H906="LAYO",PR!$AF904,IF(H906="LEADWAY",PR!$AG904,IF(H906="LHV",PR!$AH904,IF(H906="MANOLA",PR!$AI904,IF(H906="MARCSON",PR!$AJ904,IF(H906="M&amp;B",PR!$AK904,IF(H906="MTRUST",PR!$AL904,IF(H906="MWORLD",PR!$AM904,IF(H906="MEGA",PR!$AN904,IF(H906="MICRONOVA",PR!$AO904,IF(H906="MFLASH",PR!$AP904,IF(H906="MORISON",PR!$AQ904,IF(H906="NEMEL",PR!$AR904,IF(H906="NHP",PR!$AS904,IF(H906="NHC",PR!$AT904,IF(H906="OLEAF",PR!$AU904,IF(H906="OCULUS",PR!$AV904,IF(H906="PACIFIC",PR!$AW904,IF(H906="PHAMATEX",PR!$AX904,IF(H906="PETHICS",PR!$AY904,IF(H906="PHILIPS",PR!$AZ904,IF(H906="RANBAXY",PR!$BA904,IF(H906="REALS",PR!$BB904,IF(H906="ROYAL",PR!$BC904,IF(H906="SAM",PR!$BD904,IF(H906="SEAGREEN",PR!$BE904,IF(H906="SKG",PR!$BF904,IF(H906="TAH",PR!$BG904,IF(H906="TAYLEK",PR!$BH904,IF(H906="TEMITA",PR!$BI904,IF(H906="THL",PR!$BJ904,IF(H906="UBASTIC",PR!$BK904,IF(H906="UNION",PR!$BL904,IF(H906="UNIQUE",PR!$BM904,IF(H906="VIXA",PR!$BN904,IF(H906="WWCV",PR!$BO904,IF(H906="ZOLON",PR!$BP904,"-"))))))))))))))))))))))))))))))))))))))))))))))))))))))))))))))))</f>
        <v>-</v>
      </c>
      <c r="H906" s="102">
        <f>EV!M1148</f>
        <v>0</v>
      </c>
      <c r="I906" s="108" t="str">
        <f>IF(J906="ALPHA",PR!$E904,IF(J906="ASSENE",PR!$F904,IF(J906="BIOFEM",PR!$G904,IF(J906="BIOMED",PR!$H904,IF(J906="CHI",PR!$I904,IF(J906="CLARION",PR!$J904,IF(J906="CODIX",PR!$K904,IF(J906="COSMADE",PR!$L904,IF(J906="SANCON",PR!$M904,IF(J906="DEVON",PR!$N904,IF(J906="DORTEMAG",PR!$O904,IF(J906="DGF",PR!$P904,IF(J906="DYNAMIC",PR!$Q904,IF(J906="EMZOR",PR!$R904,IF(J906="EUMATT",PR!$S904,IF(J906="FIDSON",PR!$T904,IF(J906="FCGLOBAL",PR!$U904,IF(J906="GENEITH",PR!$V904,IF(J906="GINOS",PR!$W904,IF(J906="GSK",PR!$X904,IF(J906="GLOBORG",PR!$Y904,IF(J906="GOODNEWS",PR!$Z904,IF(J906="GREENLIFE",PR!$AA904,IF(J906="HLINE",PR!$AB904,IF(J906="ROTECH",PR!$AC904,IF(J906="ISN",PR!$AD904,IF(J906="JAWA",PR!$AE904,IF(J906="LAYO",PR!$AF904,IF(J906="LEADWAY",PR!$AG904,IF(J906="LHV",PR!$AH904,IF(J906="MANOLA",PR!$AI904,IF(J906="MARCSON",PR!$AJ904,IF(J906="M&amp;B",PR!$AK904,IF(J906="MTRUST",PR!$AL904,IF(J906="MWORLD",PR!$AM904,IF(J906="MEGA",PR!$AN904,IF(J906="MICRONOVA",PR!$AO904,IF(J906="MFLASH",PR!$AP904,IF(J906="MORISON",PR!$AQ904,IF(J906="NEMEL",PR!$AR904,IF(J906="NHP",PR!$AS904,IF(J906="NHC",PR!$AT904,IF(J906="OLEAF",PR!$AU904,IF(J906="OCULUS",PR!$AV904,IF(J906="PACIFIC",PR!$AW904,IF(J906="PHAMATEX",PR!$AX904,IF(J906="PETHICS",PR!$AY904,IF(J906="PHILIPS",PR!$AZ904,IF(J906="RANBAXY",PR!$BA904,IF(J906="REALS",PR!$BB904,IF(J906="ROYAL",PR!$BC904,IF(J906="SAM",PR!$BD904,IF(J906="SEAGREEN",PR!$BE904,IF(J906="SKG",PR!$BF904,IF(J906="TAH",PR!$BG904,IF(J906="TAYLEK",PR!$BH904,IF(J906="TEMITA",PR!$BI904,IF(J906="THL",PR!$BJ904,IF(J906="UBASTIC",PR!$BK904,IF(J906="UNION",PR!$BL904,IF(J906="UNIQUE",PR!$BM904,IF(J906="VIXA",PR!$BN904,IF(J906="WWCV",PR!$BO904,IF(J906="ZOLON",PR!$BP904,"-"))))))))))))))))))))))))))))))))))))))))))))))))))))))))))))))))</f>
        <v>-</v>
      </c>
      <c r="J906" s="102">
        <f>EV!N1148</f>
        <v>0</v>
      </c>
      <c r="K906" s="433" t="s">
        <v>1452</v>
      </c>
      <c r="L906" s="183">
        <f>IF(K906&gt;0,IF(K906="ALPHA",PR!$E904,IF(K906="ASSENE",PR!$F904,IF(K906="BIOFEM",PR!$G904,IF(K906="BIOMED",PR!$H904,IF(K906="CHI",PR!$I904,IF(K906="CLARION",PR!$J904,IF(K906="CODIX",PR!$K904,IF(K906="COSMADE",PR!$L904,IF(K906="SANCON",PR!$M904,IF(K906="DEVON",PR!$N904,IF(K906="DORTEMAG",PR!$O904,IF(K906="DGF",PR!$P904,IF(K906="DYNAMIC",PR!$Q904,IF(K906="EMZOR",PR!$R904,IF(K906="EUMATT",PR!$S904,IF(K906="FIDSON",PR!$T904,IF(K906="FCGLOBAL",PR!$U904,IF(K906="GENEITH",PR!$V904,IF(K906="GINOS",PR!$W904,IF(K906="GSK",PR!$X904,IF(K906="GLOBORG",PR!$Y904,IF(K906="GOODNEWS",PR!$Z904,IF(K906="GREENLIFE",PR!$AA904,IF(K906="HLINE",PR!$AB904,IF(K906="ROTECH",PR!$AC904,IF(K906="ISN",PR!$AD904,IF(K906="JAWA",PR!$AE904,IF(K906="LAYO",PR!$AF904,IF(K906="LEADWAY",PR!$AG904,IF(K906="LHV",PR!$AH904,IF(K906="MANOLA",PR!$AI904,IF(K906="MARCSON",PR!$AJ904,IF(K906="M&amp;B",PR!$AK904,IF(K906="MTRUST",PR!$AL904,IF(K906="MWORLD",PR!$AM904,IF(K906="MEGA",PR!$AN904,IF(K906="MICRONOVA",PR!$AO904,IF(K906="MFLASH",PR!$AP904,IF(K906="MORISON",PR!$AQ904,IF(K906="NEMEL",PR!$AR904,IF(K906="NHP",PR!$AS904,IF(K906="NHC",PR!$AT904,IF(K906="OLEAF",PR!$AU904,IF(K906="OCULUS",PR!$AV904,IF(K906="PACIFIC",PR!$AW904,IF(K906="PHAMATEX",PR!$AX904,IF(K906="PETHICS",PR!$AY904,IF(K906="PHILIPS",PR!$AZ904,IF(K906="RANBAXY",PR!$BA904,IF(K906="REALS",PR!$BB904,IF(K906="ROYAL",PR!$BC904,IF(K906="SAM",PR!$BD904,IF(K906="SEAGREEN",PR!$BE904,IF(K906="SKG",PR!$BF904,IF(K906="TAH",PR!$BG904,IF(K906="TAYLEK",PR!$BH904,IF(K906="TEMITA",PR!$BI904,IF(K906="THL",PR!$BJ904,IF(K906="UBASTIC",PR!$BK904,IF(K906="UNION",PR!$BL904,IF(K906="UNIQUE",PR!$BM904,IF(K906="VIXA",PR!$BN904,IF(K906="WWCV",PR!$BO904,IF(K906="ZOLON",PR!$BP904,"-")))))))))))))))))))))))))))))))))))))))))))))))))))))))))))))))))</f>
        <v>5500</v>
      </c>
    </row>
    <row r="907" spans="1:12" ht="18.75" x14ac:dyDescent="0.3">
      <c r="A907" s="430">
        <f>PR!A905</f>
        <v>815</v>
      </c>
      <c r="B907" s="15" t="str">
        <f>PR!B905</f>
        <v>CONTROL XN CHECK L1 (213484) 3ML</v>
      </c>
      <c r="C907" s="113">
        <f>PR!D905</f>
        <v>0</v>
      </c>
      <c r="D907" s="113">
        <f>PR!C905</f>
        <v>24</v>
      </c>
      <c r="E907" s="108">
        <f>IF(F907="ALPHA",PR!$E905,IF(F907="ASSENE",PR!$F905,IF(F907="BIOFEM",PR!$G905,IF(F907="BIOMED",PR!$H905,IF(F907="CHI",PR!$I905,IF(F907="CLARION",PR!$J905,IF(F907="CODIX",PR!$K905,IF(F907="COSMADE",PR!$L905,IF(F907="SANCON",PR!$M905,IF(F907="DEVON",PR!$N905,IF(F907="DORTEMAG",PR!$O905,IF(F907="DGF",PR!$P905,IF(F907="DYNAMIC",PR!$Q905,IF(F907="EMZOR",PR!$R905,IF(F907="EUMATT",PR!$S905,IF(F907="FIDSON",PR!$T905,IF(F907="FCGLOBAL",PR!$U905,IF(F907="GENEITH",PR!$V905,IF(F907="GINOS",PR!$W905,IF(F907="GSK",PR!$X905,IF(F907="GLOBORG",PR!$Y905,IF(F907="GOODNEWS",PR!$Z905,IF(F907="GREENLIFE",PR!$AA905,IF(F907="HLINE",PR!$AB905,IF(F907="ROTECH",PR!$AC905,IF(F907="ISN",PR!$AD905,IF(F907="JAWA",PR!$AE905,IF(F907="LAYO",PR!$AF905,IF(F907="LEADWAY",PR!$AG905,IF(F907="LHV",PR!$AH905,IF(F907="MANOLA",PR!$AI905,IF(F907="MARCSON",PR!$AJ905,IF(F907="M&amp;B",PR!$AK905,IF(F907="MTRUST",PR!$AL905,IF(F907="MWORLD",PR!$AM905,IF(F907="MEGA",PR!$AN905,IF(F907="MICRONOVA",PR!$AO905,IF(F907="MFLASH",PR!$AP905,IF(F907="MORISON",PR!$AQ905,IF(F907="NEMEL",PR!$AR905,IF(F907="NHP",PR!$AS905,IF(F907="NHC",PR!$AT905,IF(F907="OLEAF",PR!$AU905,IF(F907="OCULUS",PR!$AV905,IF(F907="PACIFIC",PR!$AW905,IF(F907="PHAMATEX",PR!$AX905,IF(F907="PETHICS",PR!$AY905,IF(F907="PHILIPS",PR!$AZ905,IF(F907="RANBAXY",PR!$BA905,IF(F907="REALS",PR!$BB905,IF(F907="ROYAL",PR!$BC905,IF(F907="SAM",PR!$BD905,IF(F907="SEAGREEN",PR!$BE905,IF(F907="SKG",PR!$BF905,IF(F907="TAH",PR!$BG905,IF(F907="TAYLEK",PR!$BH905,IF(F907="TEMITA",PR!$BI905,IF(F907="THL",PR!$BJ905,IF(F907="UBASTIC",PR!$BK905,IF(F907="UNION",PR!$BL905,IF(F907="UNIQUE",PR!$BM905,IF(F907="VIXA",PR!$BN905,IF(F907="WWCV",PR!$BO905,IF(F907="ZOLON",PR!$BP905,"-"))))))))))))))))))))))))))))))))))))))))))))))))))))))))))))))))</f>
        <v>57716.1</v>
      </c>
      <c r="F907" s="102" t="str">
        <f>EV!L1149</f>
        <v>UNION</v>
      </c>
      <c r="G907" s="108" t="str">
        <f>IF(H907="ALPHA",PR!$E905,IF(H907="ASSENE",PR!$F905,IF(H907="BIOFEM",PR!$G905,IF(H907="BIOMED",PR!$H905,IF(H907="CHI",PR!$I905,IF(H907="CLARION",PR!$J905,IF(H907="CODIX",PR!$K905,IF(H907="COSMADE",PR!$L905,IF(H907="SANCON",PR!$M905,IF(H907="DEVON",PR!$N905,IF(H907="DORTEMAG",PR!$O905,IF(H907="DGF",PR!$P905,IF(H907="DYNAMIC",PR!$Q905,IF(H907="EMZOR",PR!$R905,IF(H907="EUMATT",PR!$S905,IF(H907="FIDSON",PR!$T905,IF(H907="FCGLOBAL",PR!$U905,IF(H907="GENEITH",PR!$V905,IF(H907="GINOS",PR!$W905,IF(H907="GSK",PR!$X905,IF(H907="GLOBORG",PR!$Y905,IF(H907="GOODNEWS",PR!$Z905,IF(H907="GREENLIFE",PR!$AA905,IF(H907="HLINE",PR!$AB905,IF(H907="ROTECH",PR!$AC905,IF(H907="ISN",PR!$AD905,IF(H907="JAWA",PR!$AE905,IF(H907="LAYO",PR!$AF905,IF(H907="LEADWAY",PR!$AG905,IF(H907="LHV",PR!$AH905,IF(H907="MANOLA",PR!$AI905,IF(H907="MARCSON",PR!$AJ905,IF(H907="M&amp;B",PR!$AK905,IF(H907="MTRUST",PR!$AL905,IF(H907="MWORLD",PR!$AM905,IF(H907="MEGA",PR!$AN905,IF(H907="MICRONOVA",PR!$AO905,IF(H907="MFLASH",PR!$AP905,IF(H907="MORISON",PR!$AQ905,IF(H907="NEMEL",PR!$AR905,IF(H907="NHP",PR!$AS905,IF(H907="NHC",PR!$AT905,IF(H907="OLEAF",PR!$AU905,IF(H907="OCULUS",PR!$AV905,IF(H907="PACIFIC",PR!$AW905,IF(H907="PHAMATEX",PR!$AX905,IF(H907="PETHICS",PR!$AY905,IF(H907="PHILIPS",PR!$AZ905,IF(H907="RANBAXY",PR!$BA905,IF(H907="REALS",PR!$BB905,IF(H907="ROYAL",PR!$BC905,IF(H907="SAM",PR!$BD905,IF(H907="SEAGREEN",PR!$BE905,IF(H907="SKG",PR!$BF905,IF(H907="TAH",PR!$BG905,IF(H907="TAYLEK",PR!$BH905,IF(H907="TEMITA",PR!$BI905,IF(H907="THL",PR!$BJ905,IF(H907="UBASTIC",PR!$BK905,IF(H907="UNION",PR!$BL905,IF(H907="UNIQUE",PR!$BM905,IF(H907="VIXA",PR!$BN905,IF(H907="WWCV",PR!$BO905,IF(H907="ZOLON",PR!$BP905,"-"))))))))))))))))))))))))))))))))))))))))))))))))))))))))))))))))</f>
        <v>-</v>
      </c>
      <c r="H907" s="102">
        <f>EV!M1149</f>
        <v>0</v>
      </c>
      <c r="I907" s="108" t="str">
        <f>IF(J907="ALPHA",PR!$E905,IF(J907="ASSENE",PR!$F905,IF(J907="BIOFEM",PR!$G905,IF(J907="BIOMED",PR!$H905,IF(J907="CHI",PR!$I905,IF(J907="CLARION",PR!$J905,IF(J907="CODIX",PR!$K905,IF(J907="COSMADE",PR!$L905,IF(J907="SANCON",PR!$M905,IF(J907="DEVON",PR!$N905,IF(J907="DORTEMAG",PR!$O905,IF(J907="DGF",PR!$P905,IF(J907="DYNAMIC",PR!$Q905,IF(J907="EMZOR",PR!$R905,IF(J907="EUMATT",PR!$S905,IF(J907="FIDSON",PR!$T905,IF(J907="FCGLOBAL",PR!$U905,IF(J907="GENEITH",PR!$V905,IF(J907="GINOS",PR!$W905,IF(J907="GSK",PR!$X905,IF(J907="GLOBORG",PR!$Y905,IF(J907="GOODNEWS",PR!$Z905,IF(J907="GREENLIFE",PR!$AA905,IF(J907="HLINE",PR!$AB905,IF(J907="ROTECH",PR!$AC905,IF(J907="ISN",PR!$AD905,IF(J907="JAWA",PR!$AE905,IF(J907="LAYO",PR!$AF905,IF(J907="LEADWAY",PR!$AG905,IF(J907="LHV",PR!$AH905,IF(J907="MANOLA",PR!$AI905,IF(J907="MARCSON",PR!$AJ905,IF(J907="M&amp;B",PR!$AK905,IF(J907="MTRUST",PR!$AL905,IF(J907="MWORLD",PR!$AM905,IF(J907="MEGA",PR!$AN905,IF(J907="MICRONOVA",PR!$AO905,IF(J907="MFLASH",PR!$AP905,IF(J907="MORISON",PR!$AQ905,IF(J907="NEMEL",PR!$AR905,IF(J907="NHP",PR!$AS905,IF(J907="NHC",PR!$AT905,IF(J907="OLEAF",PR!$AU905,IF(J907="OCULUS",PR!$AV905,IF(J907="PACIFIC",PR!$AW905,IF(J907="PHAMATEX",PR!$AX905,IF(J907="PETHICS",PR!$AY905,IF(J907="PHILIPS",PR!$AZ905,IF(J907="RANBAXY",PR!$BA905,IF(J907="REALS",PR!$BB905,IF(J907="ROYAL",PR!$BC905,IF(J907="SAM",PR!$BD905,IF(J907="SEAGREEN",PR!$BE905,IF(J907="SKG",PR!$BF905,IF(J907="TAH",PR!$BG905,IF(J907="TAYLEK",PR!$BH905,IF(J907="TEMITA",PR!$BI905,IF(J907="THL",PR!$BJ905,IF(J907="UBASTIC",PR!$BK905,IF(J907="UNION",PR!$BL905,IF(J907="UNIQUE",PR!$BM905,IF(J907="VIXA",PR!$BN905,IF(J907="WWCV",PR!$BO905,IF(J907="ZOLON",PR!$BP905,"-"))))))))))))))))))))))))))))))))))))))))))))))))))))))))))))))))</f>
        <v>-</v>
      </c>
      <c r="J907" s="102">
        <f>EV!N1149</f>
        <v>0</v>
      </c>
      <c r="K907" s="433" t="s">
        <v>1470</v>
      </c>
      <c r="L907" s="183">
        <f>IF(K907&gt;0,IF(K907="ALPHA",PR!$E905,IF(K907="ASSENE",PR!$F905,IF(K907="BIOFEM",PR!$G905,IF(K907="BIOMED",PR!$H905,IF(K907="CHI",PR!$I905,IF(K907="CLARION",PR!$J905,IF(K907="CODIX",PR!$K905,IF(K907="COSMADE",PR!$L905,IF(K907="SANCON",PR!$M905,IF(K907="DEVON",PR!$N905,IF(K907="DORTEMAG",PR!$O905,IF(K907="DGF",PR!$P905,IF(K907="DYNAMIC",PR!$Q905,IF(K907="EMZOR",PR!$R905,IF(K907="EUMATT",PR!$S905,IF(K907="FIDSON",PR!$T905,IF(K907="FCGLOBAL",PR!$U905,IF(K907="GENEITH",PR!$V905,IF(K907="GINOS",PR!$W905,IF(K907="GSK",PR!$X905,IF(K907="GLOBORG",PR!$Y905,IF(K907="GOODNEWS",PR!$Z905,IF(K907="GREENLIFE",PR!$AA905,IF(K907="HLINE",PR!$AB905,IF(K907="ROTECH",PR!$AC905,IF(K907="ISN",PR!$AD905,IF(K907="JAWA",PR!$AE905,IF(K907="LAYO",PR!$AF905,IF(K907="LEADWAY",PR!$AG905,IF(K907="LHV",PR!$AH905,IF(K907="MANOLA",PR!$AI905,IF(K907="MARCSON",PR!$AJ905,IF(K907="M&amp;B",PR!$AK905,IF(K907="MTRUST",PR!$AL905,IF(K907="MWORLD",PR!$AM905,IF(K907="MEGA",PR!$AN905,IF(K907="MICRONOVA",PR!$AO905,IF(K907="MFLASH",PR!$AP905,IF(K907="MORISON",PR!$AQ905,IF(K907="NEMEL",PR!$AR905,IF(K907="NHP",PR!$AS905,IF(K907="NHC",PR!$AT905,IF(K907="OLEAF",PR!$AU905,IF(K907="OCULUS",PR!$AV905,IF(K907="PACIFIC",PR!$AW905,IF(K907="PHAMATEX",PR!$AX905,IF(K907="PETHICS",PR!$AY905,IF(K907="PHILIPS",PR!$AZ905,IF(K907="RANBAXY",PR!$BA905,IF(K907="REALS",PR!$BB905,IF(K907="ROYAL",PR!$BC905,IF(K907="SAM",PR!$BD905,IF(K907="SEAGREEN",PR!$BE905,IF(K907="SKG",PR!$BF905,IF(K907="TAH",PR!$BG905,IF(K907="TAYLEK",PR!$BH905,IF(K907="TEMITA",PR!$BI905,IF(K907="THL",PR!$BJ905,IF(K907="UBASTIC",PR!$BK905,IF(K907="UNION",PR!$BL905,IF(K907="UNIQUE",PR!$BM905,IF(K907="VIXA",PR!$BN905,IF(K907="WWCV",PR!$BO905,IF(K907="ZOLON",PR!$BP905,"-")))))))))))))))))))))))))))))))))))))))))))))))))))))))))))))))))</f>
        <v>57716.1</v>
      </c>
    </row>
    <row r="908" spans="1:12" ht="18.75" x14ac:dyDescent="0.3">
      <c r="A908" s="430">
        <f>PR!A906</f>
        <v>816</v>
      </c>
      <c r="B908" s="15" t="str">
        <f>PR!B906</f>
        <v>CONTROL XN CHECK L2 (213485) 3ML</v>
      </c>
      <c r="C908" s="113">
        <f>PR!D906</f>
        <v>0</v>
      </c>
      <c r="D908" s="113">
        <f>PR!C906</f>
        <v>24</v>
      </c>
      <c r="E908" s="108">
        <f>IF(F908="ALPHA",PR!$E906,IF(F908="ASSENE",PR!$F906,IF(F908="BIOFEM",PR!$G906,IF(F908="BIOMED",PR!$H906,IF(F908="CHI",PR!$I906,IF(F908="CLARION",PR!$J906,IF(F908="CODIX",PR!$K906,IF(F908="COSMADE",PR!$L906,IF(F908="SANCON",PR!$M906,IF(F908="DEVON",PR!$N906,IF(F908="DORTEMAG",PR!$O906,IF(F908="DGF",PR!$P906,IF(F908="DYNAMIC",PR!$Q906,IF(F908="EMZOR",PR!$R906,IF(F908="EUMATT",PR!$S906,IF(F908="FIDSON",PR!$T906,IF(F908="FCGLOBAL",PR!$U906,IF(F908="GENEITH",PR!$V906,IF(F908="GINOS",PR!$W906,IF(F908="GSK",PR!$X906,IF(F908="GLOBORG",PR!$Y906,IF(F908="GOODNEWS",PR!$Z906,IF(F908="GREENLIFE",PR!$AA906,IF(F908="HLINE",PR!$AB906,IF(F908="ROTECH",PR!$AC906,IF(F908="ISN",PR!$AD906,IF(F908="JAWA",PR!$AE906,IF(F908="LAYO",PR!$AF906,IF(F908="LEADWAY",PR!$AG906,IF(F908="LHV",PR!$AH906,IF(F908="MANOLA",PR!$AI906,IF(F908="MARCSON",PR!$AJ906,IF(F908="M&amp;B",PR!$AK906,IF(F908="MTRUST",PR!$AL906,IF(F908="MWORLD",PR!$AM906,IF(F908="MEGA",PR!$AN906,IF(F908="MICRONOVA",PR!$AO906,IF(F908="MFLASH",PR!$AP906,IF(F908="MORISON",PR!$AQ906,IF(F908="NEMEL",PR!$AR906,IF(F908="NHP",PR!$AS906,IF(F908="NHC",PR!$AT906,IF(F908="OLEAF",PR!$AU906,IF(F908="OCULUS",PR!$AV906,IF(F908="PACIFIC",PR!$AW906,IF(F908="PHAMATEX",PR!$AX906,IF(F908="PETHICS",PR!$AY906,IF(F908="PHILIPS",PR!$AZ906,IF(F908="RANBAXY",PR!$BA906,IF(F908="REALS",PR!$BB906,IF(F908="ROYAL",PR!$BC906,IF(F908="SAM",PR!$BD906,IF(F908="SEAGREEN",PR!$BE906,IF(F908="SKG",PR!$BF906,IF(F908="TAH",PR!$BG906,IF(F908="TAYLEK",PR!$BH906,IF(F908="TEMITA",PR!$BI906,IF(F908="THL",PR!$BJ906,IF(F908="UBASTIC",PR!$BK906,IF(F908="UNION",PR!$BL906,IF(F908="UNIQUE",PR!$BM906,IF(F908="VIXA",PR!$BN906,IF(F908="WWCV",PR!$BO906,IF(F908="ZOLON",PR!$BP906,"-"))))))))))))))))))))))))))))))))))))))))))))))))))))))))))))))))</f>
        <v>57716.1</v>
      </c>
      <c r="F908" s="102" t="str">
        <f>EV!L1150</f>
        <v>UNION</v>
      </c>
      <c r="G908" s="108" t="str">
        <f>IF(H908="ALPHA",PR!$E906,IF(H908="ASSENE",PR!$F906,IF(H908="BIOFEM",PR!$G906,IF(H908="BIOMED",PR!$H906,IF(H908="CHI",PR!$I906,IF(H908="CLARION",PR!$J906,IF(H908="CODIX",PR!$K906,IF(H908="COSMADE",PR!$L906,IF(H908="SANCON",PR!$M906,IF(H908="DEVON",PR!$N906,IF(H908="DORTEMAG",PR!$O906,IF(H908="DGF",PR!$P906,IF(H908="DYNAMIC",PR!$Q906,IF(H908="EMZOR",PR!$R906,IF(H908="EUMATT",PR!$S906,IF(H908="FIDSON",PR!$T906,IF(H908="FCGLOBAL",PR!$U906,IF(H908="GENEITH",PR!$V906,IF(H908="GINOS",PR!$W906,IF(H908="GSK",PR!$X906,IF(H908="GLOBORG",PR!$Y906,IF(H908="GOODNEWS",PR!$Z906,IF(H908="GREENLIFE",PR!$AA906,IF(H908="HLINE",PR!$AB906,IF(H908="ROTECH",PR!$AC906,IF(H908="ISN",PR!$AD906,IF(H908="JAWA",PR!$AE906,IF(H908="LAYO",PR!$AF906,IF(H908="LEADWAY",PR!$AG906,IF(H908="LHV",PR!$AH906,IF(H908="MANOLA",PR!$AI906,IF(H908="MARCSON",PR!$AJ906,IF(H908="M&amp;B",PR!$AK906,IF(H908="MTRUST",PR!$AL906,IF(H908="MWORLD",PR!$AM906,IF(H908="MEGA",PR!$AN906,IF(H908="MICRONOVA",PR!$AO906,IF(H908="MFLASH",PR!$AP906,IF(H908="MORISON",PR!$AQ906,IF(H908="NEMEL",PR!$AR906,IF(H908="NHP",PR!$AS906,IF(H908="NHC",PR!$AT906,IF(H908="OLEAF",PR!$AU906,IF(H908="OCULUS",PR!$AV906,IF(H908="PACIFIC",PR!$AW906,IF(H908="PHAMATEX",PR!$AX906,IF(H908="PETHICS",PR!$AY906,IF(H908="PHILIPS",PR!$AZ906,IF(H908="RANBAXY",PR!$BA906,IF(H908="REALS",PR!$BB906,IF(H908="ROYAL",PR!$BC906,IF(H908="SAM",PR!$BD906,IF(H908="SEAGREEN",PR!$BE906,IF(H908="SKG",PR!$BF906,IF(H908="TAH",PR!$BG906,IF(H908="TAYLEK",PR!$BH906,IF(H908="TEMITA",PR!$BI906,IF(H908="THL",PR!$BJ906,IF(H908="UBASTIC",PR!$BK906,IF(H908="UNION",PR!$BL906,IF(H908="UNIQUE",PR!$BM906,IF(H908="VIXA",PR!$BN906,IF(H908="WWCV",PR!$BO906,IF(H908="ZOLON",PR!$BP906,"-"))))))))))))))))))))))))))))))))))))))))))))))))))))))))))))))))</f>
        <v>-</v>
      </c>
      <c r="H908" s="102">
        <f>EV!M1150</f>
        <v>0</v>
      </c>
      <c r="I908" s="108" t="str">
        <f>IF(J908="ALPHA",PR!$E906,IF(J908="ASSENE",PR!$F906,IF(J908="BIOFEM",PR!$G906,IF(J908="BIOMED",PR!$H906,IF(J908="CHI",PR!$I906,IF(J908="CLARION",PR!$J906,IF(J908="CODIX",PR!$K906,IF(J908="COSMADE",PR!$L906,IF(J908="SANCON",PR!$M906,IF(J908="DEVON",PR!$N906,IF(J908="DORTEMAG",PR!$O906,IF(J908="DGF",PR!$P906,IF(J908="DYNAMIC",PR!$Q906,IF(J908="EMZOR",PR!$R906,IF(J908="EUMATT",PR!$S906,IF(J908="FIDSON",PR!$T906,IF(J908="FCGLOBAL",PR!$U906,IF(J908="GENEITH",PR!$V906,IF(J908="GINOS",PR!$W906,IF(J908="GSK",PR!$X906,IF(J908="GLOBORG",PR!$Y906,IF(J908="GOODNEWS",PR!$Z906,IF(J908="GREENLIFE",PR!$AA906,IF(J908="HLINE",PR!$AB906,IF(J908="ROTECH",PR!$AC906,IF(J908="ISN",PR!$AD906,IF(J908="JAWA",PR!$AE906,IF(J908="LAYO",PR!$AF906,IF(J908="LEADWAY",PR!$AG906,IF(J908="LHV",PR!$AH906,IF(J908="MANOLA",PR!$AI906,IF(J908="MARCSON",PR!$AJ906,IF(J908="M&amp;B",PR!$AK906,IF(J908="MTRUST",PR!$AL906,IF(J908="MWORLD",PR!$AM906,IF(J908="MEGA",PR!$AN906,IF(J908="MICRONOVA",PR!$AO906,IF(J908="MFLASH",PR!$AP906,IF(J908="MORISON",PR!$AQ906,IF(J908="NEMEL",PR!$AR906,IF(J908="NHP",PR!$AS906,IF(J908="NHC",PR!$AT906,IF(J908="OLEAF",PR!$AU906,IF(J908="OCULUS",PR!$AV906,IF(J908="PACIFIC",PR!$AW906,IF(J908="PHAMATEX",PR!$AX906,IF(J908="PETHICS",PR!$AY906,IF(J908="PHILIPS",PR!$AZ906,IF(J908="RANBAXY",PR!$BA906,IF(J908="REALS",PR!$BB906,IF(J908="ROYAL",PR!$BC906,IF(J908="SAM",PR!$BD906,IF(J908="SEAGREEN",PR!$BE906,IF(J908="SKG",PR!$BF906,IF(J908="TAH",PR!$BG906,IF(J908="TAYLEK",PR!$BH906,IF(J908="TEMITA",PR!$BI906,IF(J908="THL",PR!$BJ906,IF(J908="UBASTIC",PR!$BK906,IF(J908="UNION",PR!$BL906,IF(J908="UNIQUE",PR!$BM906,IF(J908="VIXA",PR!$BN906,IF(J908="WWCV",PR!$BO906,IF(J908="ZOLON",PR!$BP906,"-"))))))))))))))))))))))))))))))))))))))))))))))))))))))))))))))))</f>
        <v>-</v>
      </c>
      <c r="J908" s="102">
        <f>EV!N1150</f>
        <v>0</v>
      </c>
      <c r="K908" s="433" t="s">
        <v>1470</v>
      </c>
      <c r="L908" s="183">
        <f>IF(K908&gt;0,IF(K908="ALPHA",PR!$E906,IF(K908="ASSENE",PR!$F906,IF(K908="BIOFEM",PR!$G906,IF(K908="BIOMED",PR!$H906,IF(K908="CHI",PR!$I906,IF(K908="CLARION",PR!$J906,IF(K908="CODIX",PR!$K906,IF(K908="COSMADE",PR!$L906,IF(K908="SANCON",PR!$M906,IF(K908="DEVON",PR!$N906,IF(K908="DORTEMAG",PR!$O906,IF(K908="DGF",PR!$P906,IF(K908="DYNAMIC",PR!$Q906,IF(K908="EMZOR",PR!$R906,IF(K908="EUMATT",PR!$S906,IF(K908="FIDSON",PR!$T906,IF(K908="FCGLOBAL",PR!$U906,IF(K908="GENEITH",PR!$V906,IF(K908="GINOS",PR!$W906,IF(K908="GSK",PR!$X906,IF(K908="GLOBORG",PR!$Y906,IF(K908="GOODNEWS",PR!$Z906,IF(K908="GREENLIFE",PR!$AA906,IF(K908="HLINE",PR!$AB906,IF(K908="ROTECH",PR!$AC906,IF(K908="ISN",PR!$AD906,IF(K908="JAWA",PR!$AE906,IF(K908="LAYO",PR!$AF906,IF(K908="LEADWAY",PR!$AG906,IF(K908="LHV",PR!$AH906,IF(K908="MANOLA",PR!$AI906,IF(K908="MARCSON",PR!$AJ906,IF(K908="M&amp;B",PR!$AK906,IF(K908="MTRUST",PR!$AL906,IF(K908="MWORLD",PR!$AM906,IF(K908="MEGA",PR!$AN906,IF(K908="MICRONOVA",PR!$AO906,IF(K908="MFLASH",PR!$AP906,IF(K908="MORISON",PR!$AQ906,IF(K908="NEMEL",PR!$AR906,IF(K908="NHP",PR!$AS906,IF(K908="NHC",PR!$AT906,IF(K908="OLEAF",PR!$AU906,IF(K908="OCULUS",PR!$AV906,IF(K908="PACIFIC",PR!$AW906,IF(K908="PHAMATEX",PR!$AX906,IF(K908="PETHICS",PR!$AY906,IF(K908="PHILIPS",PR!$AZ906,IF(K908="RANBAXY",PR!$BA906,IF(K908="REALS",PR!$BB906,IF(K908="ROYAL",PR!$BC906,IF(K908="SAM",PR!$BD906,IF(K908="SEAGREEN",PR!$BE906,IF(K908="SKG",PR!$BF906,IF(K908="TAH",PR!$BG906,IF(K908="TAYLEK",PR!$BH906,IF(K908="TEMITA",PR!$BI906,IF(K908="THL",PR!$BJ906,IF(K908="UBASTIC",PR!$BK906,IF(K908="UNION",PR!$BL906,IF(K908="UNIQUE",PR!$BM906,IF(K908="VIXA",PR!$BN906,IF(K908="WWCV",PR!$BO906,IF(K908="ZOLON",PR!$BP906,"-")))))))))))))))))))))))))))))))))))))))))))))))))))))))))))))))))</f>
        <v>57716.1</v>
      </c>
    </row>
    <row r="909" spans="1:12" ht="18.75" x14ac:dyDescent="0.3">
      <c r="A909" s="430">
        <f>PR!A907</f>
        <v>817</v>
      </c>
      <c r="B909" s="15" t="str">
        <f>PR!B907</f>
        <v>CONTROL XN CHECK L3 (213486) 3ML</v>
      </c>
      <c r="C909" s="113">
        <f>PR!D907</f>
        <v>0</v>
      </c>
      <c r="D909" s="113">
        <f>PR!C907</f>
        <v>24</v>
      </c>
      <c r="E909" s="108">
        <f>IF(F909="ALPHA",PR!$E907,IF(F909="ASSENE",PR!$F907,IF(F909="BIOFEM",PR!$G907,IF(F909="BIOMED",PR!$H907,IF(F909="CHI",PR!$I907,IF(F909="CLARION",PR!$J907,IF(F909="CODIX",PR!$K907,IF(F909="COSMADE",PR!$L907,IF(F909="SANCON",PR!$M907,IF(F909="DEVON",PR!$N907,IF(F909="DORTEMAG",PR!$O907,IF(F909="DGF",PR!$P907,IF(F909="DYNAMIC",PR!$Q907,IF(F909="EMZOR",PR!$R907,IF(F909="EUMATT",PR!$S907,IF(F909="FIDSON",PR!$T907,IF(F909="FCGLOBAL",PR!$U907,IF(F909="GENEITH",PR!$V907,IF(F909="GINOS",PR!$W907,IF(F909="GSK",PR!$X907,IF(F909="GLOBORG",PR!$Y907,IF(F909="GOODNEWS",PR!$Z907,IF(F909="GREENLIFE",PR!$AA907,IF(F909="HLINE",PR!$AB907,IF(F909="ROTECH",PR!$AC907,IF(F909="ISN",PR!$AD907,IF(F909="JAWA",PR!$AE907,IF(F909="LAYO",PR!$AF907,IF(F909="LEADWAY",PR!$AG907,IF(F909="LHV",PR!$AH907,IF(F909="MANOLA",PR!$AI907,IF(F909="MARCSON",PR!$AJ907,IF(F909="M&amp;B",PR!$AK907,IF(F909="MTRUST",PR!$AL907,IF(F909="MWORLD",PR!$AM907,IF(F909="MEGA",PR!$AN907,IF(F909="MICRONOVA",PR!$AO907,IF(F909="MFLASH",PR!$AP907,IF(F909="MORISON",PR!$AQ907,IF(F909="NEMEL",PR!$AR907,IF(F909="NHP",PR!$AS907,IF(F909="NHC",PR!$AT907,IF(F909="OLEAF",PR!$AU907,IF(F909="OCULUS",PR!$AV907,IF(F909="PACIFIC",PR!$AW907,IF(F909="PHAMATEX",PR!$AX907,IF(F909="PETHICS",PR!$AY907,IF(F909="PHILIPS",PR!$AZ907,IF(F909="RANBAXY",PR!$BA907,IF(F909="REALS",PR!$BB907,IF(F909="ROYAL",PR!$BC907,IF(F909="SAM",PR!$BD907,IF(F909="SEAGREEN",PR!$BE907,IF(F909="SKG",PR!$BF907,IF(F909="TAH",PR!$BG907,IF(F909="TAYLEK",PR!$BH907,IF(F909="TEMITA",PR!$BI907,IF(F909="THL",PR!$BJ907,IF(F909="UBASTIC",PR!$BK907,IF(F909="UNION",PR!$BL907,IF(F909="UNIQUE",PR!$BM907,IF(F909="VIXA",PR!$BN907,IF(F909="WWCV",PR!$BO907,IF(F909="ZOLON",PR!$BP907,"-"))))))))))))))))))))))))))))))))))))))))))))))))))))))))))))))))</f>
        <v>57716.1</v>
      </c>
      <c r="F909" s="102" t="str">
        <f>EV!L1151</f>
        <v>UNION</v>
      </c>
      <c r="G909" s="108" t="str">
        <f>IF(H909="ALPHA",PR!$E907,IF(H909="ASSENE",PR!$F907,IF(H909="BIOFEM",PR!$G907,IF(H909="BIOMED",PR!$H907,IF(H909="CHI",PR!$I907,IF(H909="CLARION",PR!$J907,IF(H909="CODIX",PR!$K907,IF(H909="COSMADE",PR!$L907,IF(H909="SANCON",PR!$M907,IF(H909="DEVON",PR!$N907,IF(H909="DORTEMAG",PR!$O907,IF(H909="DGF",PR!$P907,IF(H909="DYNAMIC",PR!$Q907,IF(H909="EMZOR",PR!$R907,IF(H909="EUMATT",PR!$S907,IF(H909="FIDSON",PR!$T907,IF(H909="FCGLOBAL",PR!$U907,IF(H909="GENEITH",PR!$V907,IF(H909="GINOS",PR!$W907,IF(H909="GSK",PR!$X907,IF(H909="GLOBORG",PR!$Y907,IF(H909="GOODNEWS",PR!$Z907,IF(H909="GREENLIFE",PR!$AA907,IF(H909="HLINE",PR!$AB907,IF(H909="ROTECH",PR!$AC907,IF(H909="ISN",PR!$AD907,IF(H909="JAWA",PR!$AE907,IF(H909="LAYO",PR!$AF907,IF(H909="LEADWAY",PR!$AG907,IF(H909="LHV",PR!$AH907,IF(H909="MANOLA",PR!$AI907,IF(H909="MARCSON",PR!$AJ907,IF(H909="M&amp;B",PR!$AK907,IF(H909="MTRUST",PR!$AL907,IF(H909="MWORLD",PR!$AM907,IF(H909="MEGA",PR!$AN907,IF(H909="MICRONOVA",PR!$AO907,IF(H909="MFLASH",PR!$AP907,IF(H909="MORISON",PR!$AQ907,IF(H909="NEMEL",PR!$AR907,IF(H909="NHP",PR!$AS907,IF(H909="NHC",PR!$AT907,IF(H909="OLEAF",PR!$AU907,IF(H909="OCULUS",PR!$AV907,IF(H909="PACIFIC",PR!$AW907,IF(H909="PHAMATEX",PR!$AX907,IF(H909="PETHICS",PR!$AY907,IF(H909="PHILIPS",PR!$AZ907,IF(H909="RANBAXY",PR!$BA907,IF(H909="REALS",PR!$BB907,IF(H909="ROYAL",PR!$BC907,IF(H909="SAM",PR!$BD907,IF(H909="SEAGREEN",PR!$BE907,IF(H909="SKG",PR!$BF907,IF(H909="TAH",PR!$BG907,IF(H909="TAYLEK",PR!$BH907,IF(H909="TEMITA",PR!$BI907,IF(H909="THL",PR!$BJ907,IF(H909="UBASTIC",PR!$BK907,IF(H909="UNION",PR!$BL907,IF(H909="UNIQUE",PR!$BM907,IF(H909="VIXA",PR!$BN907,IF(H909="WWCV",PR!$BO907,IF(H909="ZOLON",PR!$BP907,"-"))))))))))))))))))))))))))))))))))))))))))))))))))))))))))))))))</f>
        <v>-</v>
      </c>
      <c r="H909" s="102">
        <f>EV!M1151</f>
        <v>0</v>
      </c>
      <c r="I909" s="108" t="str">
        <f>IF(J909="ALPHA",PR!$E907,IF(J909="ASSENE",PR!$F907,IF(J909="BIOFEM",PR!$G907,IF(J909="BIOMED",PR!$H907,IF(J909="CHI",PR!$I907,IF(J909="CLARION",PR!$J907,IF(J909="CODIX",PR!$K907,IF(J909="COSMADE",PR!$L907,IF(J909="SANCON",PR!$M907,IF(J909="DEVON",PR!$N907,IF(J909="DORTEMAG",PR!$O907,IF(J909="DGF",PR!$P907,IF(J909="DYNAMIC",PR!$Q907,IF(J909="EMZOR",PR!$R907,IF(J909="EUMATT",PR!$S907,IF(J909="FIDSON",PR!$T907,IF(J909="FCGLOBAL",PR!$U907,IF(J909="GENEITH",PR!$V907,IF(J909="GINOS",PR!$W907,IF(J909="GSK",PR!$X907,IF(J909="GLOBORG",PR!$Y907,IF(J909="GOODNEWS",PR!$Z907,IF(J909="GREENLIFE",PR!$AA907,IF(J909="HLINE",PR!$AB907,IF(J909="ROTECH",PR!$AC907,IF(J909="ISN",PR!$AD907,IF(J909="JAWA",PR!$AE907,IF(J909="LAYO",PR!$AF907,IF(J909="LEADWAY",PR!$AG907,IF(J909="LHV",PR!$AH907,IF(J909="MANOLA",PR!$AI907,IF(J909="MARCSON",PR!$AJ907,IF(J909="M&amp;B",PR!$AK907,IF(J909="MTRUST",PR!$AL907,IF(J909="MWORLD",PR!$AM907,IF(J909="MEGA",PR!$AN907,IF(J909="MICRONOVA",PR!$AO907,IF(J909="MFLASH",PR!$AP907,IF(J909="MORISON",PR!$AQ907,IF(J909="NEMEL",PR!$AR907,IF(J909="NHP",PR!$AS907,IF(J909="NHC",PR!$AT907,IF(J909="OLEAF",PR!$AU907,IF(J909="OCULUS",PR!$AV907,IF(J909="PACIFIC",PR!$AW907,IF(J909="PHAMATEX",PR!$AX907,IF(J909="PETHICS",PR!$AY907,IF(J909="PHILIPS",PR!$AZ907,IF(J909="RANBAXY",PR!$BA907,IF(J909="REALS",PR!$BB907,IF(J909="ROYAL",PR!$BC907,IF(J909="SAM",PR!$BD907,IF(J909="SEAGREEN",PR!$BE907,IF(J909="SKG",PR!$BF907,IF(J909="TAH",PR!$BG907,IF(J909="TAYLEK",PR!$BH907,IF(J909="TEMITA",PR!$BI907,IF(J909="THL",PR!$BJ907,IF(J909="UBASTIC",PR!$BK907,IF(J909="UNION",PR!$BL907,IF(J909="UNIQUE",PR!$BM907,IF(J909="VIXA",PR!$BN907,IF(J909="WWCV",PR!$BO907,IF(J909="ZOLON",PR!$BP907,"-"))))))))))))))))))))))))))))))))))))))))))))))))))))))))))))))))</f>
        <v>-</v>
      </c>
      <c r="J909" s="102">
        <f>EV!N1151</f>
        <v>0</v>
      </c>
      <c r="K909" s="433" t="s">
        <v>1470</v>
      </c>
      <c r="L909" s="183">
        <f>IF(K909&gt;0,IF(K909="ALPHA",PR!$E907,IF(K909="ASSENE",PR!$F907,IF(K909="BIOFEM",PR!$G907,IF(K909="BIOMED",PR!$H907,IF(K909="CHI",PR!$I907,IF(K909="CLARION",PR!$J907,IF(K909="CODIX",PR!$K907,IF(K909="COSMADE",PR!$L907,IF(K909="SANCON",PR!$M907,IF(K909="DEVON",PR!$N907,IF(K909="DORTEMAG",PR!$O907,IF(K909="DGF",PR!$P907,IF(K909="DYNAMIC",PR!$Q907,IF(K909="EMZOR",PR!$R907,IF(K909="EUMATT",PR!$S907,IF(K909="FIDSON",PR!$T907,IF(K909="FCGLOBAL",PR!$U907,IF(K909="GENEITH",PR!$V907,IF(K909="GINOS",PR!$W907,IF(K909="GSK",PR!$X907,IF(K909="GLOBORG",PR!$Y907,IF(K909="GOODNEWS",PR!$Z907,IF(K909="GREENLIFE",PR!$AA907,IF(K909="HLINE",PR!$AB907,IF(K909="ROTECH",PR!$AC907,IF(K909="ISN",PR!$AD907,IF(K909="JAWA",PR!$AE907,IF(K909="LAYO",PR!$AF907,IF(K909="LEADWAY",PR!$AG907,IF(K909="LHV",PR!$AH907,IF(K909="MANOLA",PR!$AI907,IF(K909="MARCSON",PR!$AJ907,IF(K909="M&amp;B",PR!$AK907,IF(K909="MTRUST",PR!$AL907,IF(K909="MWORLD",PR!$AM907,IF(K909="MEGA",PR!$AN907,IF(K909="MICRONOVA",PR!$AO907,IF(K909="MFLASH",PR!$AP907,IF(K909="MORISON",PR!$AQ907,IF(K909="NEMEL",PR!$AR907,IF(K909="NHP",PR!$AS907,IF(K909="NHC",PR!$AT907,IF(K909="OLEAF",PR!$AU907,IF(K909="OCULUS",PR!$AV907,IF(K909="PACIFIC",PR!$AW907,IF(K909="PHAMATEX",PR!$AX907,IF(K909="PETHICS",PR!$AY907,IF(K909="PHILIPS",PR!$AZ907,IF(K909="RANBAXY",PR!$BA907,IF(K909="REALS",PR!$BB907,IF(K909="ROYAL",PR!$BC907,IF(K909="SAM",PR!$BD907,IF(K909="SEAGREEN",PR!$BE907,IF(K909="SKG",PR!$BF907,IF(K909="TAH",PR!$BG907,IF(K909="TAYLEK",PR!$BH907,IF(K909="TEMITA",PR!$BI907,IF(K909="THL",PR!$BJ907,IF(K909="UBASTIC",PR!$BK907,IF(K909="UNION",PR!$BL907,IF(K909="UNIQUE",PR!$BM907,IF(K909="VIXA",PR!$BN907,IF(K909="WWCV",PR!$BO907,IF(K909="ZOLON",PR!$BP907,"-")))))))))))))))))))))))))))))))))))))))))))))))))))))))))))))))))</f>
        <v>57716.1</v>
      </c>
    </row>
    <row r="910" spans="1:12" ht="18.75" x14ac:dyDescent="0.3">
      <c r="A910" s="430">
        <f>PR!A908</f>
        <v>818</v>
      </c>
      <c r="B910" s="15" t="str">
        <f>PR!B908</f>
        <v>CDC-5MR CONTROL (BC-5300)</v>
      </c>
      <c r="C910" s="113" t="str">
        <f>PR!D908</f>
        <v>1 bottle</v>
      </c>
      <c r="D910" s="113">
        <f>PR!C908</f>
        <v>12</v>
      </c>
      <c r="E910" s="108" t="str">
        <f>IF(F910="ALPHA",PR!$E908,IF(F910="ASSENE",PR!$F908,IF(F910="BIOFEM",PR!$G908,IF(F910="BIOMED",PR!$H908,IF(F910="CHI",PR!$I908,IF(F910="CLARION",PR!$J908,IF(F910="CODIX",PR!$K908,IF(F910="COSMADE",PR!$L908,IF(F910="SANCON",PR!$M908,IF(F910="DEVON",PR!$N908,IF(F910="DORTEMAG",PR!$O908,IF(F910="DGF",PR!$P908,IF(F910="DYNAMIC",PR!$Q908,IF(F910="EMZOR",PR!$R908,IF(F910="EUMATT",PR!$S908,IF(F910="FIDSON",PR!$T908,IF(F910="FCGLOBAL",PR!$U908,IF(F910="GENEITH",PR!$V908,IF(F910="GINOS",PR!$W908,IF(F910="GSK",PR!$X908,IF(F910="GLOBORG",PR!$Y908,IF(F910="GOODNEWS",PR!$Z908,IF(F910="GREENLIFE",PR!$AA908,IF(F910="HLINE",PR!$AB908,IF(F910="ROTECH",PR!$AC908,IF(F910="ISN",PR!$AD908,IF(F910="JAWA",PR!$AE908,IF(F910="LAYO",PR!$AF908,IF(F910="LEADWAY",PR!$AG908,IF(F910="LHV",PR!$AH908,IF(F910="MANOLA",PR!$AI908,IF(F910="MARCSON",PR!$AJ908,IF(F910="M&amp;B",PR!$AK908,IF(F910="MTRUST",PR!$AL908,IF(F910="MWORLD",PR!$AM908,IF(F910="MEGA",PR!$AN908,IF(F910="MICRONOVA",PR!$AO908,IF(F910="MFLASH",PR!$AP908,IF(F910="MORISON",PR!$AQ908,IF(F910="NEMEL",PR!$AR908,IF(F910="NHP",PR!$AS908,IF(F910="NHC",PR!$AT908,IF(F910="OLEAF",PR!$AU908,IF(F910="OCULUS",PR!$AV908,IF(F910="PACIFIC",PR!$AW908,IF(F910="PHAMATEX",PR!$AX908,IF(F910="PETHICS",PR!$AY908,IF(F910="PHILIPS",PR!$AZ908,IF(F910="RANBAXY",PR!$BA908,IF(F910="REALS",PR!$BB908,IF(F910="ROYAL",PR!$BC908,IF(F910="SAM",PR!$BD908,IF(F910="SEAGREEN",PR!$BE908,IF(F910="SKG",PR!$BF908,IF(F910="TAH",PR!$BG908,IF(F910="TAYLEK",PR!$BH908,IF(F910="TEMITA",PR!$BI908,IF(F910="THL",PR!$BJ908,IF(F910="UBASTIC",PR!$BK908,IF(F910="UNION",PR!$BL908,IF(F910="UNIQUE",PR!$BM908,IF(F910="VIXA",PR!$BN908,IF(F910="WWCV",PR!$BO908,IF(F910="ZOLON",PR!$BP908,"-"))))))))))))))))))))))))))))))))))))))))))))))))))))))))))))))))</f>
        <v>-</v>
      </c>
      <c r="F910" s="102">
        <f>EV!L1152</f>
        <v>0</v>
      </c>
      <c r="G910" s="108" t="str">
        <f>IF(H910="ALPHA",PR!$E908,IF(H910="ASSENE",PR!$F908,IF(H910="BIOFEM",PR!$G908,IF(H910="BIOMED",PR!$H908,IF(H910="CHI",PR!$I908,IF(H910="CLARION",PR!$J908,IF(H910="CODIX",PR!$K908,IF(H910="COSMADE",PR!$L908,IF(H910="SANCON",PR!$M908,IF(H910="DEVON",PR!$N908,IF(H910="DORTEMAG",PR!$O908,IF(H910="DGF",PR!$P908,IF(H910="DYNAMIC",PR!$Q908,IF(H910="EMZOR",PR!$R908,IF(H910="EUMATT",PR!$S908,IF(H910="FIDSON",PR!$T908,IF(H910="FCGLOBAL",PR!$U908,IF(H910="GENEITH",PR!$V908,IF(H910="GINOS",PR!$W908,IF(H910="GSK",PR!$X908,IF(H910="GLOBORG",PR!$Y908,IF(H910="GOODNEWS",PR!$Z908,IF(H910="GREENLIFE",PR!$AA908,IF(H910="HLINE",PR!$AB908,IF(H910="ROTECH",PR!$AC908,IF(H910="ISN",PR!$AD908,IF(H910="JAWA",PR!$AE908,IF(H910="LAYO",PR!$AF908,IF(H910="LEADWAY",PR!$AG908,IF(H910="LHV",PR!$AH908,IF(H910="MANOLA",PR!$AI908,IF(H910="MARCSON",PR!$AJ908,IF(H910="M&amp;B",PR!$AK908,IF(H910="MTRUST",PR!$AL908,IF(H910="MWORLD",PR!$AM908,IF(H910="MEGA",PR!$AN908,IF(H910="MICRONOVA",PR!$AO908,IF(H910="MFLASH",PR!$AP908,IF(H910="MORISON",PR!$AQ908,IF(H910="NEMEL",PR!$AR908,IF(H910="NHP",PR!$AS908,IF(H910="NHC",PR!$AT908,IF(H910="OLEAF",PR!$AU908,IF(H910="OCULUS",PR!$AV908,IF(H910="PACIFIC",PR!$AW908,IF(H910="PHAMATEX",PR!$AX908,IF(H910="PETHICS",PR!$AY908,IF(H910="PHILIPS",PR!$AZ908,IF(H910="RANBAXY",PR!$BA908,IF(H910="REALS",PR!$BB908,IF(H910="ROYAL",PR!$BC908,IF(H910="SAM",PR!$BD908,IF(H910="SEAGREEN",PR!$BE908,IF(H910="SKG",PR!$BF908,IF(H910="TAH",PR!$BG908,IF(H910="TAYLEK",PR!$BH908,IF(H910="TEMITA",PR!$BI908,IF(H910="THL",PR!$BJ908,IF(H910="UBASTIC",PR!$BK908,IF(H910="UNION",PR!$BL908,IF(H910="UNIQUE",PR!$BM908,IF(H910="VIXA",PR!$BN908,IF(H910="WWCV",PR!$BO908,IF(H910="ZOLON",PR!$BP908,"-"))))))))))))))))))))))))))))))))))))))))))))))))))))))))))))))))</f>
        <v>-</v>
      </c>
      <c r="H910" s="102">
        <f>EV!M1152</f>
        <v>0</v>
      </c>
      <c r="I910" s="108" t="str">
        <f>IF(J910="ALPHA",PR!$E908,IF(J910="ASSENE",PR!$F908,IF(J910="BIOFEM",PR!$G908,IF(J910="BIOMED",PR!$H908,IF(J910="CHI",PR!$I908,IF(J910="CLARION",PR!$J908,IF(J910="CODIX",PR!$K908,IF(J910="COSMADE",PR!$L908,IF(J910="SANCON",PR!$M908,IF(J910="DEVON",PR!$N908,IF(J910="DORTEMAG",PR!$O908,IF(J910="DGF",PR!$P908,IF(J910="DYNAMIC",PR!$Q908,IF(J910="EMZOR",PR!$R908,IF(J910="EUMATT",PR!$S908,IF(J910="FIDSON",PR!$T908,IF(J910="FCGLOBAL",PR!$U908,IF(J910="GENEITH",PR!$V908,IF(J910="GINOS",PR!$W908,IF(J910="GSK",PR!$X908,IF(J910="GLOBORG",PR!$Y908,IF(J910="GOODNEWS",PR!$Z908,IF(J910="GREENLIFE",PR!$AA908,IF(J910="HLINE",PR!$AB908,IF(J910="ROTECH",PR!$AC908,IF(J910="ISN",PR!$AD908,IF(J910="JAWA",PR!$AE908,IF(J910="LAYO",PR!$AF908,IF(J910="LEADWAY",PR!$AG908,IF(J910="LHV",PR!$AH908,IF(J910="MANOLA",PR!$AI908,IF(J910="MARCSON",PR!$AJ908,IF(J910="M&amp;B",PR!$AK908,IF(J910="MTRUST",PR!$AL908,IF(J910="MWORLD",PR!$AM908,IF(J910="MEGA",PR!$AN908,IF(J910="MICRONOVA",PR!$AO908,IF(J910="MFLASH",PR!$AP908,IF(J910="MORISON",PR!$AQ908,IF(J910="NEMEL",PR!$AR908,IF(J910="NHP",PR!$AS908,IF(J910="NHC",PR!$AT908,IF(J910="OLEAF",PR!$AU908,IF(J910="OCULUS",PR!$AV908,IF(J910="PACIFIC",PR!$AW908,IF(J910="PHAMATEX",PR!$AX908,IF(J910="PETHICS",PR!$AY908,IF(J910="PHILIPS",PR!$AZ908,IF(J910="RANBAXY",PR!$BA908,IF(J910="REALS",PR!$BB908,IF(J910="ROYAL",PR!$BC908,IF(J910="SAM",PR!$BD908,IF(J910="SEAGREEN",PR!$BE908,IF(J910="SKG",PR!$BF908,IF(J910="TAH",PR!$BG908,IF(J910="TAYLEK",PR!$BH908,IF(J910="TEMITA",PR!$BI908,IF(J910="THL",PR!$BJ908,IF(J910="UBASTIC",PR!$BK908,IF(J910="UNION",PR!$BL908,IF(J910="UNIQUE",PR!$BM908,IF(J910="VIXA",PR!$BN908,IF(J910="WWCV",PR!$BO908,IF(J910="ZOLON",PR!$BP908,"-"))))))))))))))))))))))))))))))))))))))))))))))))))))))))))))))))</f>
        <v>-</v>
      </c>
      <c r="J910" s="102">
        <f>EV!N1152</f>
        <v>0</v>
      </c>
      <c r="K910" s="433"/>
      <c r="L910" s="183" t="b">
        <f>IF(K910&gt;0,IF(K910="ALPHA",PR!$E908,IF(K910="ASSENE",PR!$F908,IF(K910="BIOFEM",PR!$G908,IF(K910="BIOMED",PR!$H908,IF(K910="CHI",PR!$I908,IF(K910="CLARION",PR!$J908,IF(K910="CODIX",PR!$K908,IF(K910="COSMADE",PR!$L908,IF(K910="SANCON",PR!$M908,IF(K910="DEVON",PR!$N908,IF(K910="DORTEMAG",PR!$O908,IF(K910="DGF",PR!$P908,IF(K910="DYNAMIC",PR!$Q908,IF(K910="EMZOR",PR!$R908,IF(K910="EUMATT",PR!$S908,IF(K910="FIDSON",PR!$T908,IF(K910="FCGLOBAL",PR!$U908,IF(K910="GENEITH",PR!$V908,IF(K910="GINOS",PR!$W908,IF(K910="GSK",PR!$X908,IF(K910="GLOBORG",PR!$Y908,IF(K910="GOODNEWS",PR!$Z908,IF(K910="GREENLIFE",PR!$AA908,IF(K910="HLINE",PR!$AB908,IF(K910="ROTECH",PR!$AC908,IF(K910="ISN",PR!$AD908,IF(K910="JAWA",PR!$AE908,IF(K910="LAYO",PR!$AF908,IF(K910="LEADWAY",PR!$AG908,IF(K910="LHV",PR!$AH908,IF(K910="MANOLA",PR!$AI908,IF(K910="MARCSON",PR!$AJ908,IF(K910="M&amp;B",PR!$AK908,IF(K910="MTRUST",PR!$AL908,IF(K910="MWORLD",PR!$AM908,IF(K910="MEGA",PR!$AN908,IF(K910="MICRONOVA",PR!$AO908,IF(K910="MFLASH",PR!$AP908,IF(K910="MORISON",PR!$AQ908,IF(K910="NEMEL",PR!$AR908,IF(K910="NHP",PR!$AS908,IF(K910="NHC",PR!$AT908,IF(K910="OLEAF",PR!$AU908,IF(K910="OCULUS",PR!$AV908,IF(K910="PACIFIC",PR!$AW908,IF(K910="PHAMATEX",PR!$AX908,IF(K910="PETHICS",PR!$AY908,IF(K910="PHILIPS",PR!$AZ908,IF(K910="RANBAXY",PR!$BA908,IF(K910="REALS",PR!$BB908,IF(K910="ROYAL",PR!$BC908,IF(K910="SAM",PR!$BD908,IF(K910="SEAGREEN",PR!$BE908,IF(K910="SKG",PR!$BF908,IF(K910="TAH",PR!$BG908,IF(K910="TAYLEK",PR!$BH908,IF(K910="TEMITA",PR!$BI908,IF(K910="THL",PR!$BJ908,IF(K910="UBASTIC",PR!$BK908,IF(K910="UNION",PR!$BL908,IF(K910="UNIQUE",PR!$BM908,IF(K910="VIXA",PR!$BN908,IF(K910="WWCV",PR!$BO908,IF(K910="ZOLON",PR!$BP908,"-")))))))))))))))))))))))))))))))))))))))))))))))))))))))))))))))))</f>
        <v>0</v>
      </c>
    </row>
    <row r="911" spans="1:12" ht="18.75" x14ac:dyDescent="0.3">
      <c r="A911" s="430">
        <f>PR!A909</f>
        <v>819</v>
      </c>
      <c r="B911" s="15" t="str">
        <f>PR!B909</f>
        <v>BLOOD BAG (ADULT) CPDAL (AXIOM)</v>
      </c>
      <c r="C911" s="113">
        <f>PR!D909</f>
        <v>0</v>
      </c>
      <c r="D911" s="113">
        <f>PR!C909</f>
        <v>30</v>
      </c>
      <c r="E911" s="108">
        <f>IF(F911="ALPHA",PR!$E909,IF(F911="ASSENE",PR!$F909,IF(F911="BIOFEM",PR!$G909,IF(F911="BIOMED",PR!$H909,IF(F911="CHI",PR!$I909,IF(F911="CLARION",PR!$J909,IF(F911="CODIX",PR!$K909,IF(F911="COSMADE",PR!$L909,IF(F911="SANCON",PR!$M909,IF(F911="DEVON",PR!$N909,IF(F911="DORTEMAG",PR!$O909,IF(F911="DGF",PR!$P909,IF(F911="DYNAMIC",PR!$Q909,IF(F911="EMZOR",PR!$R909,IF(F911="EUMATT",PR!$S909,IF(F911="FIDSON",PR!$T909,IF(F911="FCGLOBAL",PR!$U909,IF(F911="GENEITH",PR!$V909,IF(F911="GINOS",PR!$W909,IF(F911="GSK",PR!$X909,IF(F911="GLOBORG",PR!$Y909,IF(F911="GOODNEWS",PR!$Z909,IF(F911="GREENLIFE",PR!$AA909,IF(F911="HLINE",PR!$AB909,IF(F911="ROTECH",PR!$AC909,IF(F911="ISN",PR!$AD909,IF(F911="JAWA",PR!$AE909,IF(F911="LAYO",PR!$AF909,IF(F911="LEADWAY",PR!$AG909,IF(F911="LHV",PR!$AH909,IF(F911="MANOLA",PR!$AI909,IF(F911="MARCSON",PR!$AJ909,IF(F911="M&amp;B",PR!$AK909,IF(F911="MTRUST",PR!$AL909,IF(F911="MWORLD",PR!$AM909,IF(F911="MEGA",PR!$AN909,IF(F911="MICRONOVA",PR!$AO909,IF(F911="MFLASH",PR!$AP909,IF(F911="MORISON",PR!$AQ909,IF(F911="NEMEL",PR!$AR909,IF(F911="NHP",PR!$AS909,IF(F911="NHC",PR!$AT909,IF(F911="OLEAF",PR!$AU909,IF(F911="OCULUS",PR!$AV909,IF(F911="PACIFIC",PR!$AW909,IF(F911="PHAMATEX",PR!$AX909,IF(F911="PETHICS",PR!$AY909,IF(F911="PHILIPS",PR!$AZ909,IF(F911="RANBAXY",PR!$BA909,IF(F911="REALS",PR!$BB909,IF(F911="ROYAL",PR!$BC909,IF(F911="SAM",PR!$BD909,IF(F911="SEAGREEN",PR!$BE909,IF(F911="SKG",PR!$BF909,IF(F911="TAH",PR!$BG909,IF(F911="TAYLEK",PR!$BH909,IF(F911="TEMITA",PR!$BI909,IF(F911="THL",PR!$BJ909,IF(F911="UBASTIC",PR!$BK909,IF(F911="UNION",PR!$BL909,IF(F911="UNIQUE",PR!$BM909,IF(F911="VIXA",PR!$BN909,IF(F911="WWCV",PR!$BO909,IF(F911="ZOLON",PR!$BP909,"-"))))))))))))))))))))))))))))))))))))))))))))))))))))))))))))))))</f>
        <v>39000</v>
      </c>
      <c r="F911" s="102" t="str">
        <f>EV!L1153</f>
        <v>SANCON</v>
      </c>
      <c r="G911" s="108">
        <f>IF(H911="ALPHA",PR!$E909,IF(H911="ASSENE",PR!$F909,IF(H911="BIOFEM",PR!$G909,IF(H911="BIOMED",PR!$H909,IF(H911="CHI",PR!$I909,IF(H911="CLARION",PR!$J909,IF(H911="CODIX",PR!$K909,IF(H911="COSMADE",PR!$L909,IF(H911="SANCON",PR!$M909,IF(H911="DEVON",PR!$N909,IF(H911="DORTEMAG",PR!$O909,IF(H911="DGF",PR!$P909,IF(H911="DYNAMIC",PR!$Q909,IF(H911="EMZOR",PR!$R909,IF(H911="EUMATT",PR!$S909,IF(H911="FIDSON",PR!$T909,IF(H911="FCGLOBAL",PR!$U909,IF(H911="GENEITH",PR!$V909,IF(H911="GINOS",PR!$W909,IF(H911="GSK",PR!$X909,IF(H911="GLOBORG",PR!$Y909,IF(H911="GOODNEWS",PR!$Z909,IF(H911="GREENLIFE",PR!$AA909,IF(H911="HLINE",PR!$AB909,IF(H911="ROTECH",PR!$AC909,IF(H911="ISN",PR!$AD909,IF(H911="JAWA",PR!$AE909,IF(H911="LAYO",PR!$AF909,IF(H911="LEADWAY",PR!$AG909,IF(H911="LHV",PR!$AH909,IF(H911="MANOLA",PR!$AI909,IF(H911="MARCSON",PR!$AJ909,IF(H911="M&amp;B",PR!$AK909,IF(H911="MTRUST",PR!$AL909,IF(H911="MWORLD",PR!$AM909,IF(H911="MEGA",PR!$AN909,IF(H911="MICRONOVA",PR!$AO909,IF(H911="MFLASH",PR!$AP909,IF(H911="MORISON",PR!$AQ909,IF(H911="NEMEL",PR!$AR909,IF(H911="NHP",PR!$AS909,IF(H911="NHC",PR!$AT909,IF(H911="OLEAF",PR!$AU909,IF(H911="OCULUS",PR!$AV909,IF(H911="PACIFIC",PR!$AW909,IF(H911="PHAMATEX",PR!$AX909,IF(H911="PETHICS",PR!$AY909,IF(H911="PHILIPS",PR!$AZ909,IF(H911="RANBAXY",PR!$BA909,IF(H911="REALS",PR!$BB909,IF(H911="ROYAL",PR!$BC909,IF(H911="SAM",PR!$BD909,IF(H911="SEAGREEN",PR!$BE909,IF(H911="SKG",PR!$BF909,IF(H911="TAH",PR!$BG909,IF(H911="TAYLEK",PR!$BH909,IF(H911="TEMITA",PR!$BI909,IF(H911="THL",PR!$BJ909,IF(H911="UBASTIC",PR!$BK909,IF(H911="UNION",PR!$BL909,IF(H911="UNIQUE",PR!$BM909,IF(H911="VIXA",PR!$BN909,IF(H911="WWCV",PR!$BO909,IF(H911="ZOLON",PR!$BP909,"-"))))))))))))))))))))))))))))))))))))))))))))))))))))))))))))))))</f>
        <v>43750</v>
      </c>
      <c r="H911" s="102" t="str">
        <f>EV!M1153</f>
        <v>DYNAMIC</v>
      </c>
      <c r="I911" s="108">
        <f>IF(J911="ALPHA",PR!$E909,IF(J911="ASSENE",PR!$F909,IF(J911="BIOFEM",PR!$G909,IF(J911="BIOMED",PR!$H909,IF(J911="CHI",PR!$I909,IF(J911="CLARION",PR!$J909,IF(J911="CODIX",PR!$K909,IF(J911="COSMADE",PR!$L909,IF(J911="SANCON",PR!$M909,IF(J911="DEVON",PR!$N909,IF(J911="DORTEMAG",PR!$O909,IF(J911="DGF",PR!$P909,IF(J911="DYNAMIC",PR!$Q909,IF(J911="EMZOR",PR!$R909,IF(J911="EUMATT",PR!$S909,IF(J911="FIDSON",PR!$T909,IF(J911="FCGLOBAL",PR!$U909,IF(J911="GENEITH",PR!$V909,IF(J911="GINOS",PR!$W909,IF(J911="GSK",PR!$X909,IF(J911="GLOBORG",PR!$Y909,IF(J911="GOODNEWS",PR!$Z909,IF(J911="GREENLIFE",PR!$AA909,IF(J911="HLINE",PR!$AB909,IF(J911="ROTECH",PR!$AC909,IF(J911="ISN",PR!$AD909,IF(J911="JAWA",PR!$AE909,IF(J911="LAYO",PR!$AF909,IF(J911="LEADWAY",PR!$AG909,IF(J911="LHV",PR!$AH909,IF(J911="MANOLA",PR!$AI909,IF(J911="MARCSON",PR!$AJ909,IF(J911="M&amp;B",PR!$AK909,IF(J911="MTRUST",PR!$AL909,IF(J911="MWORLD",PR!$AM909,IF(J911="MEGA",PR!$AN909,IF(J911="MICRONOVA",PR!$AO909,IF(J911="MFLASH",PR!$AP909,IF(J911="MORISON",PR!$AQ909,IF(J911="NEMEL",PR!$AR909,IF(J911="NHP",PR!$AS909,IF(J911="NHC",PR!$AT909,IF(J911="OLEAF",PR!$AU909,IF(J911="OCULUS",PR!$AV909,IF(J911="PACIFIC",PR!$AW909,IF(J911="PHAMATEX",PR!$AX909,IF(J911="PETHICS",PR!$AY909,IF(J911="PHILIPS",PR!$AZ909,IF(J911="RANBAXY",PR!$BA909,IF(J911="REALS",PR!$BB909,IF(J911="ROYAL",PR!$BC909,IF(J911="SAM",PR!$BD909,IF(J911="SEAGREEN",PR!$BE909,IF(J911="SKG",PR!$BF909,IF(J911="TAH",PR!$BG909,IF(J911="TAYLEK",PR!$BH909,IF(J911="TEMITA",PR!$BI909,IF(J911="THL",PR!$BJ909,IF(J911="UBASTIC",PR!$BK909,IF(J911="UNION",PR!$BL909,IF(J911="UNIQUE",PR!$BM909,IF(J911="VIXA",PR!$BN909,IF(J911="WWCV",PR!$BO909,IF(J911="ZOLON",PR!$BP909,"-"))))))))))))))))))))))))))))))))))))))))))))))))))))))))))))))))</f>
        <v>45000</v>
      </c>
      <c r="J911" s="102" t="str">
        <f>EV!N1153</f>
        <v>COSMADE</v>
      </c>
      <c r="K911" s="433" t="s">
        <v>817</v>
      </c>
      <c r="L911" s="183">
        <f>IF(K911&gt;0,IF(K911="ALPHA",PR!$E909,IF(K911="ASSENE",PR!$F909,IF(K911="BIOFEM",PR!$G909,IF(K911="BIOMED",PR!$H909,IF(K911="CHI",PR!$I909,IF(K911="CLARION",PR!$J909,IF(K911="CODIX",PR!$K909,IF(K911="COSMADE",PR!$L909,IF(K911="SANCON",PR!$M909,IF(K911="DEVON",PR!$N909,IF(K911="DORTEMAG",PR!$O909,IF(K911="DGF",PR!$P909,IF(K911="DYNAMIC",PR!$Q909,IF(K911="EMZOR",PR!$R909,IF(K911="EUMATT",PR!$S909,IF(K911="FIDSON",PR!$T909,IF(K911="FCGLOBAL",PR!$U909,IF(K911="GENEITH",PR!$V909,IF(K911="GINOS",PR!$W909,IF(K911="GSK",PR!$X909,IF(K911="GLOBORG",PR!$Y909,IF(K911="GOODNEWS",PR!$Z909,IF(K911="GREENLIFE",PR!$AA909,IF(K911="HLINE",PR!$AB909,IF(K911="ROTECH",PR!$AC909,IF(K911="ISN",PR!$AD909,IF(K911="JAWA",PR!$AE909,IF(K911="LAYO",PR!$AF909,IF(K911="LEADWAY",PR!$AG909,IF(K911="LHV",PR!$AH909,IF(K911="MANOLA",PR!$AI909,IF(K911="MARCSON",PR!$AJ909,IF(K911="M&amp;B",PR!$AK909,IF(K911="MTRUST",PR!$AL909,IF(K911="MWORLD",PR!$AM909,IF(K911="MEGA",PR!$AN909,IF(K911="MICRONOVA",PR!$AO909,IF(K911="MFLASH",PR!$AP909,IF(K911="MORISON",PR!$AQ909,IF(K911="NEMEL",PR!$AR909,IF(K911="NHP",PR!$AS909,IF(K911="NHC",PR!$AT909,IF(K911="OLEAF",PR!$AU909,IF(K911="OCULUS",PR!$AV909,IF(K911="PACIFIC",PR!$AW909,IF(K911="PHAMATEX",PR!$AX909,IF(K911="PETHICS",PR!$AY909,IF(K911="PHILIPS",PR!$AZ909,IF(K911="RANBAXY",PR!$BA909,IF(K911="REALS",PR!$BB909,IF(K911="ROYAL",PR!$BC909,IF(K911="SAM",PR!$BD909,IF(K911="SEAGREEN",PR!$BE909,IF(K911="SKG",PR!$BF909,IF(K911="TAH",PR!$BG909,IF(K911="TAYLEK",PR!$BH909,IF(K911="TEMITA",PR!$BI909,IF(K911="THL",PR!$BJ909,IF(K911="UBASTIC",PR!$BK909,IF(K911="UNION",PR!$BL909,IF(K911="UNIQUE",PR!$BM909,IF(K911="VIXA",PR!$BN909,IF(K911="WWCV",PR!$BO909,IF(K911="ZOLON",PR!$BP909,"-")))))))))))))))))))))))))))))))))))))))))))))))))))))))))))))))))</f>
        <v>39000</v>
      </c>
    </row>
    <row r="912" spans="1:12" ht="18.75" x14ac:dyDescent="0.3">
      <c r="A912" s="430">
        <f>PR!A910</f>
        <v>820</v>
      </c>
      <c r="B912" s="15" t="str">
        <f>PR!B910</f>
        <v>TRIS BUFFER POWDER</v>
      </c>
      <c r="C912" s="113">
        <f>PR!D910</f>
        <v>0</v>
      </c>
      <c r="D912" s="113">
        <f>PR!C910</f>
        <v>2</v>
      </c>
      <c r="E912" s="108">
        <f>IF(F912="ALPHA",PR!$E910,IF(F912="ASSENE",PR!$F910,IF(F912="BIOFEM",PR!$G910,IF(F912="BIOMED",PR!$H910,IF(F912="CHI",PR!$I910,IF(F912="CLARION",PR!$J910,IF(F912="CODIX",PR!$K910,IF(F912="COSMADE",PR!$L910,IF(F912="SANCON",PR!$M910,IF(F912="DEVON",PR!$N910,IF(F912="DORTEMAG",PR!$O910,IF(F912="DGF",PR!$P910,IF(F912="DYNAMIC",PR!$Q910,IF(F912="EMZOR",PR!$R910,IF(F912="EUMATT",PR!$S910,IF(F912="FIDSON",PR!$T910,IF(F912="FCGLOBAL",PR!$U910,IF(F912="GENEITH",PR!$V910,IF(F912="GINOS",PR!$W910,IF(F912="GSK",PR!$X910,IF(F912="GLOBORG",PR!$Y910,IF(F912="GOODNEWS",PR!$Z910,IF(F912="GREENLIFE",PR!$AA910,IF(F912="HLINE",PR!$AB910,IF(F912="ROTECH",PR!$AC910,IF(F912="ISN",PR!$AD910,IF(F912="JAWA",PR!$AE910,IF(F912="LAYO",PR!$AF910,IF(F912="LEADWAY",PR!$AG910,IF(F912="LHV",PR!$AH910,IF(F912="MANOLA",PR!$AI910,IF(F912="MARCSON",PR!$AJ910,IF(F912="M&amp;B",PR!$AK910,IF(F912="MTRUST",PR!$AL910,IF(F912="MWORLD",PR!$AM910,IF(F912="MEGA",PR!$AN910,IF(F912="MICRONOVA",PR!$AO910,IF(F912="MFLASH",PR!$AP910,IF(F912="MORISON",PR!$AQ910,IF(F912="NEMEL",PR!$AR910,IF(F912="NHP",PR!$AS910,IF(F912="NHC",PR!$AT910,IF(F912="OLEAF",PR!$AU910,IF(F912="OCULUS",PR!$AV910,IF(F912="PACIFIC",PR!$AW910,IF(F912="PHAMATEX",PR!$AX910,IF(F912="PETHICS",PR!$AY910,IF(F912="PHILIPS",PR!$AZ910,IF(F912="RANBAXY",PR!$BA910,IF(F912="REALS",PR!$BB910,IF(F912="ROYAL",PR!$BC910,IF(F912="SAM",PR!$BD910,IF(F912="SEAGREEN",PR!$BE910,IF(F912="SKG",PR!$BF910,IF(F912="TAH",PR!$BG910,IF(F912="TAYLEK",PR!$BH910,IF(F912="TEMITA",PR!$BI910,IF(F912="THL",PR!$BJ910,IF(F912="UBASTIC",PR!$BK910,IF(F912="UNION",PR!$BL910,IF(F912="UNIQUE",PR!$BM910,IF(F912="VIXA",PR!$BN910,IF(F912="WWCV",PR!$BO910,IF(F912="ZOLON",PR!$BP910,"-"))))))))))))))))))))))))))))))))))))))))))))))))))))))))))))))))</f>
        <v>15000</v>
      </c>
      <c r="F912" s="102" t="str">
        <f>EV!L1154</f>
        <v>COSMADE</v>
      </c>
      <c r="G912" s="108">
        <f>IF(H912="ALPHA",PR!$E910,IF(H912="ASSENE",PR!$F910,IF(H912="BIOFEM",PR!$G910,IF(H912="BIOMED",PR!$H910,IF(H912="CHI",PR!$I910,IF(H912="CLARION",PR!$J910,IF(H912="CODIX",PR!$K910,IF(H912="COSMADE",PR!$L910,IF(H912="SANCON",PR!$M910,IF(H912="DEVON",PR!$N910,IF(H912="DORTEMAG",PR!$O910,IF(H912="DGF",PR!$P910,IF(H912="DYNAMIC",PR!$Q910,IF(H912="EMZOR",PR!$R910,IF(H912="EUMATT",PR!$S910,IF(H912="FIDSON",PR!$T910,IF(H912="FCGLOBAL",PR!$U910,IF(H912="GENEITH",PR!$V910,IF(H912="GINOS",PR!$W910,IF(H912="GSK",PR!$X910,IF(H912="GLOBORG",PR!$Y910,IF(H912="GOODNEWS",PR!$Z910,IF(H912="GREENLIFE",PR!$AA910,IF(H912="HLINE",PR!$AB910,IF(H912="ROTECH",PR!$AC910,IF(H912="ISN",PR!$AD910,IF(H912="JAWA",PR!$AE910,IF(H912="LAYO",PR!$AF910,IF(H912="LEADWAY",PR!$AG910,IF(H912="LHV",PR!$AH910,IF(H912="MANOLA",PR!$AI910,IF(H912="MARCSON",PR!$AJ910,IF(H912="M&amp;B",PR!$AK910,IF(H912="MTRUST",PR!$AL910,IF(H912="MWORLD",PR!$AM910,IF(H912="MEGA",PR!$AN910,IF(H912="MICRONOVA",PR!$AO910,IF(H912="MFLASH",PR!$AP910,IF(H912="MORISON",PR!$AQ910,IF(H912="NEMEL",PR!$AR910,IF(H912="NHP",PR!$AS910,IF(H912="NHC",PR!$AT910,IF(H912="OLEAF",PR!$AU910,IF(H912="OCULUS",PR!$AV910,IF(H912="PACIFIC",PR!$AW910,IF(H912="PHAMATEX",PR!$AX910,IF(H912="PETHICS",PR!$AY910,IF(H912="PHILIPS",PR!$AZ910,IF(H912="RANBAXY",PR!$BA910,IF(H912="REALS",PR!$BB910,IF(H912="ROYAL",PR!$BC910,IF(H912="SAM",PR!$BD910,IF(H912="SEAGREEN",PR!$BE910,IF(H912="SKG",PR!$BF910,IF(H912="TAH",PR!$BG910,IF(H912="TAYLEK",PR!$BH910,IF(H912="TEMITA",PR!$BI910,IF(H912="THL",PR!$BJ910,IF(H912="UBASTIC",PR!$BK910,IF(H912="UNION",PR!$BL910,IF(H912="UNIQUE",PR!$BM910,IF(H912="VIXA",PR!$BN910,IF(H912="WWCV",PR!$BO910,IF(H912="ZOLON",PR!$BP910,"-"))))))))))))))))))))))))))))))))))))))))))))))))))))))))))))))))</f>
        <v>24000</v>
      </c>
      <c r="H912" s="102" t="str">
        <f>EV!M1154</f>
        <v>SANCON</v>
      </c>
      <c r="I912" s="108">
        <f>IF(J912="ALPHA",PR!$E910,IF(J912="ASSENE",PR!$F910,IF(J912="BIOFEM",PR!$G910,IF(J912="BIOMED",PR!$H910,IF(J912="CHI",PR!$I910,IF(J912="CLARION",PR!$J910,IF(J912="CODIX",PR!$K910,IF(J912="COSMADE",PR!$L910,IF(J912="SANCON",PR!$M910,IF(J912="DEVON",PR!$N910,IF(J912="DORTEMAG",PR!$O910,IF(J912="DGF",PR!$P910,IF(J912="DYNAMIC",PR!$Q910,IF(J912="EMZOR",PR!$R910,IF(J912="EUMATT",PR!$S910,IF(J912="FIDSON",PR!$T910,IF(J912="FCGLOBAL",PR!$U910,IF(J912="GENEITH",PR!$V910,IF(J912="GINOS",PR!$W910,IF(J912="GSK",PR!$X910,IF(J912="GLOBORG",PR!$Y910,IF(J912="GOODNEWS",PR!$Z910,IF(J912="GREENLIFE",PR!$AA910,IF(J912="HLINE",PR!$AB910,IF(J912="ROTECH",PR!$AC910,IF(J912="ISN",PR!$AD910,IF(J912="JAWA",PR!$AE910,IF(J912="LAYO",PR!$AF910,IF(J912="LEADWAY",PR!$AG910,IF(J912="LHV",PR!$AH910,IF(J912="MANOLA",PR!$AI910,IF(J912="MARCSON",PR!$AJ910,IF(J912="M&amp;B",PR!$AK910,IF(J912="MTRUST",PR!$AL910,IF(J912="MWORLD",PR!$AM910,IF(J912="MEGA",PR!$AN910,IF(J912="MICRONOVA",PR!$AO910,IF(J912="MFLASH",PR!$AP910,IF(J912="MORISON",PR!$AQ910,IF(J912="NEMEL",PR!$AR910,IF(J912="NHP",PR!$AS910,IF(J912="NHC",PR!$AT910,IF(J912="OLEAF",PR!$AU910,IF(J912="OCULUS",PR!$AV910,IF(J912="PACIFIC",PR!$AW910,IF(J912="PHAMATEX",PR!$AX910,IF(J912="PETHICS",PR!$AY910,IF(J912="PHILIPS",PR!$AZ910,IF(J912="RANBAXY",PR!$BA910,IF(J912="REALS",PR!$BB910,IF(J912="ROYAL",PR!$BC910,IF(J912="SAM",PR!$BD910,IF(J912="SEAGREEN",PR!$BE910,IF(J912="SKG",PR!$BF910,IF(J912="TAH",PR!$BG910,IF(J912="TAYLEK",PR!$BH910,IF(J912="TEMITA",PR!$BI910,IF(J912="THL",PR!$BJ910,IF(J912="UBASTIC",PR!$BK910,IF(J912="UNION",PR!$BL910,IF(J912="UNIQUE",PR!$BM910,IF(J912="VIXA",PR!$BN910,IF(J912="WWCV",PR!$BO910,IF(J912="ZOLON",PR!$BP910,"-"))))))))))))))))))))))))))))))))))))))))))))))))))))))))))))))))</f>
        <v>25000</v>
      </c>
      <c r="J912" s="102" t="str">
        <f>EV!N1154</f>
        <v>DYNAMIC</v>
      </c>
      <c r="K912" s="433" t="s">
        <v>1452</v>
      </c>
      <c r="L912" s="183">
        <f>IF(K912&gt;0,IF(K912="ALPHA",PR!$E910,IF(K912="ASSENE",PR!$F910,IF(K912="BIOFEM",PR!$G910,IF(K912="BIOMED",PR!$H910,IF(K912="CHI",PR!$I910,IF(K912="CLARION",PR!$J910,IF(K912="CODIX",PR!$K910,IF(K912="COSMADE",PR!$L910,IF(K912="SANCON",PR!$M910,IF(K912="DEVON",PR!$N910,IF(K912="DORTEMAG",PR!$O910,IF(K912="DGF",PR!$P910,IF(K912="DYNAMIC",PR!$Q910,IF(K912="EMZOR",PR!$R910,IF(K912="EUMATT",PR!$S910,IF(K912="FIDSON",PR!$T910,IF(K912="FCGLOBAL",PR!$U910,IF(K912="GENEITH",PR!$V910,IF(K912="GINOS",PR!$W910,IF(K912="GSK",PR!$X910,IF(K912="GLOBORG",PR!$Y910,IF(K912="GOODNEWS",PR!$Z910,IF(K912="GREENLIFE",PR!$AA910,IF(K912="HLINE",PR!$AB910,IF(K912="ROTECH",PR!$AC910,IF(K912="ISN",PR!$AD910,IF(K912="JAWA",PR!$AE910,IF(K912="LAYO",PR!$AF910,IF(K912="LEADWAY",PR!$AG910,IF(K912="LHV",PR!$AH910,IF(K912="MANOLA",PR!$AI910,IF(K912="MARCSON",PR!$AJ910,IF(K912="M&amp;B",PR!$AK910,IF(K912="MTRUST",PR!$AL910,IF(K912="MWORLD",PR!$AM910,IF(K912="MEGA",PR!$AN910,IF(K912="MICRONOVA",PR!$AO910,IF(K912="MFLASH",PR!$AP910,IF(K912="MORISON",PR!$AQ910,IF(K912="NEMEL",PR!$AR910,IF(K912="NHP",PR!$AS910,IF(K912="NHC",PR!$AT910,IF(K912="OLEAF",PR!$AU910,IF(K912="OCULUS",PR!$AV910,IF(K912="PACIFIC",PR!$AW910,IF(K912="PHAMATEX",PR!$AX910,IF(K912="PETHICS",PR!$AY910,IF(K912="PHILIPS",PR!$AZ910,IF(K912="RANBAXY",PR!$BA910,IF(K912="REALS",PR!$BB910,IF(K912="ROYAL",PR!$BC910,IF(K912="SAM",PR!$BD910,IF(K912="SEAGREEN",PR!$BE910,IF(K912="SKG",PR!$BF910,IF(K912="TAH",PR!$BG910,IF(K912="TAYLEK",PR!$BH910,IF(K912="TEMITA",PR!$BI910,IF(K912="THL",PR!$BJ910,IF(K912="UBASTIC",PR!$BK910,IF(K912="UNION",PR!$BL910,IF(K912="UNIQUE",PR!$BM910,IF(K912="VIXA",PR!$BN910,IF(K912="WWCV",PR!$BO910,IF(K912="ZOLON",PR!$BP910,"-")))))))))))))))))))))))))))))))))))))))))))))))))))))))))))))))))</f>
        <v>15000</v>
      </c>
    </row>
    <row r="913" spans="1:12" ht="18.75" x14ac:dyDescent="0.3">
      <c r="A913" s="430">
        <f>PR!A911</f>
        <v>821</v>
      </c>
      <c r="B913" s="15" t="str">
        <f>PR!B911</f>
        <v>LEISHMAN STAIN POWDER (25G)</v>
      </c>
      <c r="C913" s="113">
        <f>PR!D911</f>
        <v>0</v>
      </c>
      <c r="D913" s="113">
        <f>PR!C911</f>
        <v>6</v>
      </c>
      <c r="E913" s="108">
        <f>IF(F913="ALPHA",PR!$E911,IF(F913="ASSENE",PR!$F911,IF(F913="BIOFEM",PR!$G911,IF(F913="BIOMED",PR!$H911,IF(F913="CHI",PR!$I911,IF(F913="CLARION",PR!$J911,IF(F913="CODIX",PR!$K911,IF(F913="COSMADE",PR!$L911,IF(F913="SANCON",PR!$M911,IF(F913="DEVON",PR!$N911,IF(F913="DORTEMAG",PR!$O911,IF(F913="DGF",PR!$P911,IF(F913="DYNAMIC",PR!$Q911,IF(F913="EMZOR",PR!$R911,IF(F913="EUMATT",PR!$S911,IF(F913="FIDSON",PR!$T911,IF(F913="FCGLOBAL",PR!$U911,IF(F913="GENEITH",PR!$V911,IF(F913="GINOS",PR!$W911,IF(F913="GSK",PR!$X911,IF(F913="GLOBORG",PR!$Y911,IF(F913="GOODNEWS",PR!$Z911,IF(F913="GREENLIFE",PR!$AA911,IF(F913="HLINE",PR!$AB911,IF(F913="ROTECH",PR!$AC911,IF(F913="ISN",PR!$AD911,IF(F913="JAWA",PR!$AE911,IF(F913="LAYO",PR!$AF911,IF(F913="LEADWAY",PR!$AG911,IF(F913="LHV",PR!$AH911,IF(F913="MANOLA",PR!$AI911,IF(F913="MARCSON",PR!$AJ911,IF(F913="M&amp;B",PR!$AK911,IF(F913="MTRUST",PR!$AL911,IF(F913="MWORLD",PR!$AM911,IF(F913="MEGA",PR!$AN911,IF(F913="MICRONOVA",PR!$AO911,IF(F913="MFLASH",PR!$AP911,IF(F913="MORISON",PR!$AQ911,IF(F913="NEMEL",PR!$AR911,IF(F913="NHP",PR!$AS911,IF(F913="NHC",PR!$AT911,IF(F913="OLEAF",PR!$AU911,IF(F913="OCULUS",PR!$AV911,IF(F913="PACIFIC",PR!$AW911,IF(F913="PHAMATEX",PR!$AX911,IF(F913="PETHICS",PR!$AY911,IF(F913="PHILIPS",PR!$AZ911,IF(F913="RANBAXY",PR!$BA911,IF(F913="REALS",PR!$BB911,IF(F913="ROYAL",PR!$BC911,IF(F913="SAM",PR!$BD911,IF(F913="SEAGREEN",PR!$BE911,IF(F913="SKG",PR!$BF911,IF(F913="TAH",PR!$BG911,IF(F913="TAYLEK",PR!$BH911,IF(F913="TEMITA",PR!$BI911,IF(F913="THL",PR!$BJ911,IF(F913="UBASTIC",PR!$BK911,IF(F913="UNION",PR!$BL911,IF(F913="UNIQUE",PR!$BM911,IF(F913="VIXA",PR!$BN911,IF(F913="WWCV",PR!$BO911,IF(F913="ZOLON",PR!$BP911,"-"))))))))))))))))))))))))))))))))))))))))))))))))))))))))))))))))</f>
        <v>3000</v>
      </c>
      <c r="F913" s="102" t="str">
        <f>EV!L1155</f>
        <v>SANCON</v>
      </c>
      <c r="G913" s="108">
        <f>IF(H913="ALPHA",PR!$E911,IF(H913="ASSENE",PR!$F911,IF(H913="BIOFEM",PR!$G911,IF(H913="BIOMED",PR!$H911,IF(H913="CHI",PR!$I911,IF(H913="CLARION",PR!$J911,IF(H913="CODIX",PR!$K911,IF(H913="COSMADE",PR!$L911,IF(H913="SANCON",PR!$M911,IF(H913="DEVON",PR!$N911,IF(H913="DORTEMAG",PR!$O911,IF(H913="DGF",PR!$P911,IF(H913="DYNAMIC",PR!$Q911,IF(H913="EMZOR",PR!$R911,IF(H913="EUMATT",PR!$S911,IF(H913="FIDSON",PR!$T911,IF(H913="FCGLOBAL",PR!$U911,IF(H913="GENEITH",PR!$V911,IF(H913="GINOS",PR!$W911,IF(H913="GSK",PR!$X911,IF(H913="GLOBORG",PR!$Y911,IF(H913="GOODNEWS",PR!$Z911,IF(H913="GREENLIFE",PR!$AA911,IF(H913="HLINE",PR!$AB911,IF(H913="ROTECH",PR!$AC911,IF(H913="ISN",PR!$AD911,IF(H913="JAWA",PR!$AE911,IF(H913="LAYO",PR!$AF911,IF(H913="LEADWAY",PR!$AG911,IF(H913="LHV",PR!$AH911,IF(H913="MANOLA",PR!$AI911,IF(H913="MARCSON",PR!$AJ911,IF(H913="M&amp;B",PR!$AK911,IF(H913="MTRUST",PR!$AL911,IF(H913="MWORLD",PR!$AM911,IF(H913="MEGA",PR!$AN911,IF(H913="MICRONOVA",PR!$AO911,IF(H913="MFLASH",PR!$AP911,IF(H913="MORISON",PR!$AQ911,IF(H913="NEMEL",PR!$AR911,IF(H913="NHP",PR!$AS911,IF(H913="NHC",PR!$AT911,IF(H913="OLEAF",PR!$AU911,IF(H913="OCULUS",PR!$AV911,IF(H913="PACIFIC",PR!$AW911,IF(H913="PHAMATEX",PR!$AX911,IF(H913="PETHICS",PR!$AY911,IF(H913="PHILIPS",PR!$AZ911,IF(H913="RANBAXY",PR!$BA911,IF(H913="REALS",PR!$BB911,IF(H913="ROYAL",PR!$BC911,IF(H913="SAM",PR!$BD911,IF(H913="SEAGREEN",PR!$BE911,IF(H913="SKG",PR!$BF911,IF(H913="TAH",PR!$BG911,IF(H913="TAYLEK",PR!$BH911,IF(H913="TEMITA",PR!$BI911,IF(H913="THL",PR!$BJ911,IF(H913="UBASTIC",PR!$BK911,IF(H913="UNION",PR!$BL911,IF(H913="UNIQUE",PR!$BM911,IF(H913="VIXA",PR!$BN911,IF(H913="WWCV",PR!$BO911,IF(H913="ZOLON",PR!$BP911,"-"))))))))))))))))))))))))))))))))))))))))))))))))))))))))))))))))</f>
        <v>3750</v>
      </c>
      <c r="H913" s="102" t="str">
        <f>EV!M1155</f>
        <v>DYNAMIC</v>
      </c>
      <c r="I913" s="108">
        <f>IF(J913="ALPHA",PR!$E911,IF(J913="ASSENE",PR!$F911,IF(J913="BIOFEM",PR!$G911,IF(J913="BIOMED",PR!$H911,IF(J913="CHI",PR!$I911,IF(J913="CLARION",PR!$J911,IF(J913="CODIX",PR!$K911,IF(J913="COSMADE",PR!$L911,IF(J913="SANCON",PR!$M911,IF(J913="DEVON",PR!$N911,IF(J913="DORTEMAG",PR!$O911,IF(J913="DGF",PR!$P911,IF(J913="DYNAMIC",PR!$Q911,IF(J913="EMZOR",PR!$R911,IF(J913="EUMATT",PR!$S911,IF(J913="FIDSON",PR!$T911,IF(J913="FCGLOBAL",PR!$U911,IF(J913="GENEITH",PR!$V911,IF(J913="GINOS",PR!$W911,IF(J913="GSK",PR!$X911,IF(J913="GLOBORG",PR!$Y911,IF(J913="GOODNEWS",PR!$Z911,IF(J913="GREENLIFE",PR!$AA911,IF(J913="HLINE",PR!$AB911,IF(J913="ROTECH",PR!$AC911,IF(J913="ISN",PR!$AD911,IF(J913="JAWA",PR!$AE911,IF(J913="LAYO",PR!$AF911,IF(J913="LEADWAY",PR!$AG911,IF(J913="LHV",PR!$AH911,IF(J913="MANOLA",PR!$AI911,IF(J913="MARCSON",PR!$AJ911,IF(J913="M&amp;B",PR!$AK911,IF(J913="MTRUST",PR!$AL911,IF(J913="MWORLD",PR!$AM911,IF(J913="MEGA",PR!$AN911,IF(J913="MICRONOVA",PR!$AO911,IF(J913="MFLASH",PR!$AP911,IF(J913="MORISON",PR!$AQ911,IF(J913="NEMEL",PR!$AR911,IF(J913="NHP",PR!$AS911,IF(J913="NHC",PR!$AT911,IF(J913="OLEAF",PR!$AU911,IF(J913="OCULUS",PR!$AV911,IF(J913="PACIFIC",PR!$AW911,IF(J913="PHAMATEX",PR!$AX911,IF(J913="PETHICS",PR!$AY911,IF(J913="PHILIPS",PR!$AZ911,IF(J913="RANBAXY",PR!$BA911,IF(J913="REALS",PR!$BB911,IF(J913="ROYAL",PR!$BC911,IF(J913="SAM",PR!$BD911,IF(J913="SEAGREEN",PR!$BE911,IF(J913="SKG",PR!$BF911,IF(J913="TAH",PR!$BG911,IF(J913="TAYLEK",PR!$BH911,IF(J913="TEMITA",PR!$BI911,IF(J913="THL",PR!$BJ911,IF(J913="UBASTIC",PR!$BK911,IF(J913="UNION",PR!$BL911,IF(J913="UNIQUE",PR!$BM911,IF(J913="VIXA",PR!$BN911,IF(J913="WWCV",PR!$BO911,IF(J913="ZOLON",PR!$BP911,"-"))))))))))))))))))))))))))))))))))))))))))))))))))))))))))))))))</f>
        <v>5000</v>
      </c>
      <c r="J913" s="102" t="str">
        <f>EV!N1155</f>
        <v>COSMADE</v>
      </c>
      <c r="K913" s="433" t="s">
        <v>817</v>
      </c>
      <c r="L913" s="183">
        <f>IF(K913&gt;0,IF(K913="ALPHA",PR!$E911,IF(K913="ASSENE",PR!$F911,IF(K913="BIOFEM",PR!$G911,IF(K913="BIOMED",PR!$H911,IF(K913="CHI",PR!$I911,IF(K913="CLARION",PR!$J911,IF(K913="CODIX",PR!$K911,IF(K913="COSMADE",PR!$L911,IF(K913="SANCON",PR!$M911,IF(K913="DEVON",PR!$N911,IF(K913="DORTEMAG",PR!$O911,IF(K913="DGF",PR!$P911,IF(K913="DYNAMIC",PR!$Q911,IF(K913="EMZOR",PR!$R911,IF(K913="EUMATT",PR!$S911,IF(K913="FIDSON",PR!$T911,IF(K913="FCGLOBAL",PR!$U911,IF(K913="GENEITH",PR!$V911,IF(K913="GINOS",PR!$W911,IF(K913="GSK",PR!$X911,IF(K913="GLOBORG",PR!$Y911,IF(K913="GOODNEWS",PR!$Z911,IF(K913="GREENLIFE",PR!$AA911,IF(K913="HLINE",PR!$AB911,IF(K913="ROTECH",PR!$AC911,IF(K913="ISN",PR!$AD911,IF(K913="JAWA",PR!$AE911,IF(K913="LAYO",PR!$AF911,IF(K913="LEADWAY",PR!$AG911,IF(K913="LHV",PR!$AH911,IF(K913="MANOLA",PR!$AI911,IF(K913="MARCSON",PR!$AJ911,IF(K913="M&amp;B",PR!$AK911,IF(K913="MTRUST",PR!$AL911,IF(K913="MWORLD",PR!$AM911,IF(K913="MEGA",PR!$AN911,IF(K913="MICRONOVA",PR!$AO911,IF(K913="MFLASH",PR!$AP911,IF(K913="MORISON",PR!$AQ911,IF(K913="NEMEL",PR!$AR911,IF(K913="NHP",PR!$AS911,IF(K913="NHC",PR!$AT911,IF(K913="OLEAF",PR!$AU911,IF(K913="OCULUS",PR!$AV911,IF(K913="PACIFIC",PR!$AW911,IF(K913="PHAMATEX",PR!$AX911,IF(K913="PETHICS",PR!$AY911,IF(K913="PHILIPS",PR!$AZ911,IF(K913="RANBAXY",PR!$BA911,IF(K913="REALS",PR!$BB911,IF(K913="ROYAL",PR!$BC911,IF(K913="SAM",PR!$BD911,IF(K913="SEAGREEN",PR!$BE911,IF(K913="SKG",PR!$BF911,IF(K913="TAH",PR!$BG911,IF(K913="TAYLEK",PR!$BH911,IF(K913="TEMITA",PR!$BI911,IF(K913="THL",PR!$BJ911,IF(K913="UBASTIC",PR!$BK911,IF(K913="UNION",PR!$BL911,IF(K913="UNIQUE",PR!$BM911,IF(K913="VIXA",PR!$BN911,IF(K913="WWCV",PR!$BO911,IF(K913="ZOLON",PR!$BP911,"-")))))))))))))))))))))))))))))))))))))))))))))))))))))))))))))))))</f>
        <v>3000</v>
      </c>
    </row>
    <row r="914" spans="1:12" ht="18.75" x14ac:dyDescent="0.3">
      <c r="A914" s="430">
        <f>PR!A912</f>
        <v>822</v>
      </c>
      <c r="B914" s="15" t="str">
        <f>PR!B912</f>
        <v>MALACHITE GREEN STAIN</v>
      </c>
      <c r="C914" s="113">
        <f>PR!D912</f>
        <v>0</v>
      </c>
      <c r="D914" s="113">
        <f>PR!C912</f>
        <v>1</v>
      </c>
      <c r="E914" s="108">
        <f>IF(F914="ALPHA",PR!$E912,IF(F914="ASSENE",PR!$F912,IF(F914="BIOFEM",PR!$G912,IF(F914="BIOMED",PR!$H912,IF(F914="CHI",PR!$I912,IF(F914="CLARION",PR!$J912,IF(F914="CODIX",PR!$K912,IF(F914="COSMADE",PR!$L912,IF(F914="SANCON",PR!$M912,IF(F914="DEVON",PR!$N912,IF(F914="DORTEMAG",PR!$O912,IF(F914="DGF",PR!$P912,IF(F914="DYNAMIC",PR!$Q912,IF(F914="EMZOR",PR!$R912,IF(F914="EUMATT",PR!$S912,IF(F914="FIDSON",PR!$T912,IF(F914="FCGLOBAL",PR!$U912,IF(F914="GENEITH",PR!$V912,IF(F914="GINOS",PR!$W912,IF(F914="GSK",PR!$X912,IF(F914="GLOBORG",PR!$Y912,IF(F914="GOODNEWS",PR!$Z912,IF(F914="GREENLIFE",PR!$AA912,IF(F914="HLINE",PR!$AB912,IF(F914="ROTECH",PR!$AC912,IF(F914="ISN",PR!$AD912,IF(F914="JAWA",PR!$AE912,IF(F914="LAYO",PR!$AF912,IF(F914="LEADWAY",PR!$AG912,IF(F914="LHV",PR!$AH912,IF(F914="MANOLA",PR!$AI912,IF(F914="MARCSON",PR!$AJ912,IF(F914="M&amp;B",PR!$AK912,IF(F914="MTRUST",PR!$AL912,IF(F914="MWORLD",PR!$AM912,IF(F914="MEGA",PR!$AN912,IF(F914="MICRONOVA",PR!$AO912,IF(F914="MFLASH",PR!$AP912,IF(F914="MORISON",PR!$AQ912,IF(F914="NEMEL",PR!$AR912,IF(F914="NHP",PR!$AS912,IF(F914="NHC",PR!$AT912,IF(F914="OLEAF",PR!$AU912,IF(F914="OCULUS",PR!$AV912,IF(F914="PACIFIC",PR!$AW912,IF(F914="PHAMATEX",PR!$AX912,IF(F914="PETHICS",PR!$AY912,IF(F914="PHILIPS",PR!$AZ912,IF(F914="RANBAXY",PR!$BA912,IF(F914="REALS",PR!$BB912,IF(F914="ROYAL",PR!$BC912,IF(F914="SAM",PR!$BD912,IF(F914="SEAGREEN",PR!$BE912,IF(F914="SKG",PR!$BF912,IF(F914="TAH",PR!$BG912,IF(F914="TAYLEK",PR!$BH912,IF(F914="TEMITA",PR!$BI912,IF(F914="THL",PR!$BJ912,IF(F914="UBASTIC",PR!$BK912,IF(F914="UNION",PR!$BL912,IF(F914="UNIQUE",PR!$BM912,IF(F914="VIXA",PR!$BN912,IF(F914="WWCV",PR!$BO912,IF(F914="ZOLON",PR!$BP912,"-"))))))))))))))))))))))))))))))))))))))))))))))))))))))))))))))))</f>
        <v>3500</v>
      </c>
      <c r="F914" s="102" t="str">
        <f>EV!L1156</f>
        <v>SANCON</v>
      </c>
      <c r="G914" s="108">
        <f>IF(H914="ALPHA",PR!$E912,IF(H914="ASSENE",PR!$F912,IF(H914="BIOFEM",PR!$G912,IF(H914="BIOMED",PR!$H912,IF(H914="CHI",PR!$I912,IF(H914="CLARION",PR!$J912,IF(H914="CODIX",PR!$K912,IF(H914="COSMADE",PR!$L912,IF(H914="SANCON",PR!$M912,IF(H914="DEVON",PR!$N912,IF(H914="DORTEMAG",PR!$O912,IF(H914="DGF",PR!$P912,IF(H914="DYNAMIC",PR!$Q912,IF(H914="EMZOR",PR!$R912,IF(H914="EUMATT",PR!$S912,IF(H914="FIDSON",PR!$T912,IF(H914="FCGLOBAL",PR!$U912,IF(H914="GENEITH",PR!$V912,IF(H914="GINOS",PR!$W912,IF(H914="GSK",PR!$X912,IF(H914="GLOBORG",PR!$Y912,IF(H914="GOODNEWS",PR!$Z912,IF(H914="GREENLIFE",PR!$AA912,IF(H914="HLINE",PR!$AB912,IF(H914="ROTECH",PR!$AC912,IF(H914="ISN",PR!$AD912,IF(H914="JAWA",PR!$AE912,IF(H914="LAYO",PR!$AF912,IF(H914="LEADWAY",PR!$AG912,IF(H914="LHV",PR!$AH912,IF(H914="MANOLA",PR!$AI912,IF(H914="MARCSON",PR!$AJ912,IF(H914="M&amp;B",PR!$AK912,IF(H914="MTRUST",PR!$AL912,IF(H914="MWORLD",PR!$AM912,IF(H914="MEGA",PR!$AN912,IF(H914="MICRONOVA",PR!$AO912,IF(H914="MFLASH",PR!$AP912,IF(H914="MORISON",PR!$AQ912,IF(H914="NEMEL",PR!$AR912,IF(H914="NHP",PR!$AS912,IF(H914="NHC",PR!$AT912,IF(H914="OLEAF",PR!$AU912,IF(H914="OCULUS",PR!$AV912,IF(H914="PACIFIC",PR!$AW912,IF(H914="PHAMATEX",PR!$AX912,IF(H914="PETHICS",PR!$AY912,IF(H914="PHILIPS",PR!$AZ912,IF(H914="RANBAXY",PR!$BA912,IF(H914="REALS",PR!$BB912,IF(H914="ROYAL",PR!$BC912,IF(H914="SAM",PR!$BD912,IF(H914="SEAGREEN",PR!$BE912,IF(H914="SKG",PR!$BF912,IF(H914="TAH",PR!$BG912,IF(H914="TAYLEK",PR!$BH912,IF(H914="TEMITA",PR!$BI912,IF(H914="THL",PR!$BJ912,IF(H914="UBASTIC",PR!$BK912,IF(H914="UNION",PR!$BL912,IF(H914="UNIQUE",PR!$BM912,IF(H914="VIXA",PR!$BN912,IF(H914="WWCV",PR!$BO912,IF(H914="ZOLON",PR!$BP912,"-"))))))))))))))))))))))))))))))))))))))))))))))))))))))))))))))))</f>
        <v>3750</v>
      </c>
      <c r="H914" s="102" t="str">
        <f>EV!M1156</f>
        <v>DYNAMIC</v>
      </c>
      <c r="I914" s="108">
        <f>IF(J914="ALPHA",PR!$E912,IF(J914="ASSENE",PR!$F912,IF(J914="BIOFEM",PR!$G912,IF(J914="BIOMED",PR!$H912,IF(J914="CHI",PR!$I912,IF(J914="CLARION",PR!$J912,IF(J914="CODIX",PR!$K912,IF(J914="COSMADE",PR!$L912,IF(J914="SANCON",PR!$M912,IF(J914="DEVON",PR!$N912,IF(J914="DORTEMAG",PR!$O912,IF(J914="DGF",PR!$P912,IF(J914="DYNAMIC",PR!$Q912,IF(J914="EMZOR",PR!$R912,IF(J914="EUMATT",PR!$S912,IF(J914="FIDSON",PR!$T912,IF(J914="FCGLOBAL",PR!$U912,IF(J914="GENEITH",PR!$V912,IF(J914="GINOS",PR!$W912,IF(J914="GSK",PR!$X912,IF(J914="GLOBORG",PR!$Y912,IF(J914="GOODNEWS",PR!$Z912,IF(J914="GREENLIFE",PR!$AA912,IF(J914="HLINE",PR!$AB912,IF(J914="ROTECH",PR!$AC912,IF(J914="ISN",PR!$AD912,IF(J914="JAWA",PR!$AE912,IF(J914="LAYO",PR!$AF912,IF(J914="LEADWAY",PR!$AG912,IF(J914="LHV",PR!$AH912,IF(J914="MANOLA",PR!$AI912,IF(J914="MARCSON",PR!$AJ912,IF(J914="M&amp;B",PR!$AK912,IF(J914="MTRUST",PR!$AL912,IF(J914="MWORLD",PR!$AM912,IF(J914="MEGA",PR!$AN912,IF(J914="MICRONOVA",PR!$AO912,IF(J914="MFLASH",PR!$AP912,IF(J914="MORISON",PR!$AQ912,IF(J914="NEMEL",PR!$AR912,IF(J914="NHP",PR!$AS912,IF(J914="NHC",PR!$AT912,IF(J914="OLEAF",PR!$AU912,IF(J914="OCULUS",PR!$AV912,IF(J914="PACIFIC",PR!$AW912,IF(J914="PHAMATEX",PR!$AX912,IF(J914="PETHICS",PR!$AY912,IF(J914="PHILIPS",PR!$AZ912,IF(J914="RANBAXY",PR!$BA912,IF(J914="REALS",PR!$BB912,IF(J914="ROYAL",PR!$BC912,IF(J914="SAM",PR!$BD912,IF(J914="SEAGREEN",PR!$BE912,IF(J914="SKG",PR!$BF912,IF(J914="TAH",PR!$BG912,IF(J914="TAYLEK",PR!$BH912,IF(J914="TEMITA",PR!$BI912,IF(J914="THL",PR!$BJ912,IF(J914="UBASTIC",PR!$BK912,IF(J914="UNION",PR!$BL912,IF(J914="UNIQUE",PR!$BM912,IF(J914="VIXA",PR!$BN912,IF(J914="WWCV",PR!$BO912,IF(J914="ZOLON",PR!$BP912,"-"))))))))))))))))))))))))))))))))))))))))))))))))))))))))))))))))</f>
        <v>5000</v>
      </c>
      <c r="J914" s="102" t="str">
        <f>EV!N1156</f>
        <v>COSMADE</v>
      </c>
      <c r="K914" s="433" t="s">
        <v>817</v>
      </c>
      <c r="L914" s="183">
        <f>IF(K914&gt;0,IF(K914="ALPHA",PR!$E912,IF(K914="ASSENE",PR!$F912,IF(K914="BIOFEM",PR!$G912,IF(K914="BIOMED",PR!$H912,IF(K914="CHI",PR!$I912,IF(K914="CLARION",PR!$J912,IF(K914="CODIX",PR!$K912,IF(K914="COSMADE",PR!$L912,IF(K914="SANCON",PR!$M912,IF(K914="DEVON",PR!$N912,IF(K914="DORTEMAG",PR!$O912,IF(K914="DGF",PR!$P912,IF(K914="DYNAMIC",PR!$Q912,IF(K914="EMZOR",PR!$R912,IF(K914="EUMATT",PR!$S912,IF(K914="FIDSON",PR!$T912,IF(K914="FCGLOBAL",PR!$U912,IF(K914="GENEITH",PR!$V912,IF(K914="GINOS",PR!$W912,IF(K914="GSK",PR!$X912,IF(K914="GLOBORG",PR!$Y912,IF(K914="GOODNEWS",PR!$Z912,IF(K914="GREENLIFE",PR!$AA912,IF(K914="HLINE",PR!$AB912,IF(K914="ROTECH",PR!$AC912,IF(K914="ISN",PR!$AD912,IF(K914="JAWA",PR!$AE912,IF(K914="LAYO",PR!$AF912,IF(K914="LEADWAY",PR!$AG912,IF(K914="LHV",PR!$AH912,IF(K914="MANOLA",PR!$AI912,IF(K914="MARCSON",PR!$AJ912,IF(K914="M&amp;B",PR!$AK912,IF(K914="MTRUST",PR!$AL912,IF(K914="MWORLD",PR!$AM912,IF(K914="MEGA",PR!$AN912,IF(K914="MICRONOVA",PR!$AO912,IF(K914="MFLASH",PR!$AP912,IF(K914="MORISON",PR!$AQ912,IF(K914="NEMEL",PR!$AR912,IF(K914="NHP",PR!$AS912,IF(K914="NHC",PR!$AT912,IF(K914="OLEAF",PR!$AU912,IF(K914="OCULUS",PR!$AV912,IF(K914="PACIFIC",PR!$AW912,IF(K914="PHAMATEX",PR!$AX912,IF(K914="PETHICS",PR!$AY912,IF(K914="PHILIPS",PR!$AZ912,IF(K914="RANBAXY",PR!$BA912,IF(K914="REALS",PR!$BB912,IF(K914="ROYAL",PR!$BC912,IF(K914="SAM",PR!$BD912,IF(K914="SEAGREEN",PR!$BE912,IF(K914="SKG",PR!$BF912,IF(K914="TAH",PR!$BG912,IF(K914="TAYLEK",PR!$BH912,IF(K914="TEMITA",PR!$BI912,IF(K914="THL",PR!$BJ912,IF(K914="UBASTIC",PR!$BK912,IF(K914="UNION",PR!$BL912,IF(K914="UNIQUE",PR!$BM912,IF(K914="VIXA",PR!$BN912,IF(K914="WWCV",PR!$BO912,IF(K914="ZOLON",PR!$BP912,"-")))))))))))))))))))))))))))))))))))))))))))))))))))))))))))))))))</f>
        <v>3500</v>
      </c>
    </row>
    <row r="915" spans="1:12" ht="18.75" x14ac:dyDescent="0.3">
      <c r="A915" s="430">
        <f>PR!A913</f>
        <v>823</v>
      </c>
      <c r="B915" s="15" t="str">
        <f>PR!B913</f>
        <v>NEW METHYLENE BLUE STAIN (25G)</v>
      </c>
      <c r="C915" s="113">
        <f>PR!D913</f>
        <v>0</v>
      </c>
      <c r="D915" s="113">
        <f>PR!C913</f>
        <v>2</v>
      </c>
      <c r="E915" s="108">
        <f>IF(F915="ALPHA",PR!$E913,IF(F915="ASSENE",PR!$F913,IF(F915="BIOFEM",PR!$G913,IF(F915="BIOMED",PR!$H913,IF(F915="CHI",PR!$I913,IF(F915="CLARION",PR!$J913,IF(F915="CODIX",PR!$K913,IF(F915="COSMADE",PR!$L913,IF(F915="SANCON",PR!$M913,IF(F915="DEVON",PR!$N913,IF(F915="DORTEMAG",PR!$O913,IF(F915="DGF",PR!$P913,IF(F915="DYNAMIC",PR!$Q913,IF(F915="EMZOR",PR!$R913,IF(F915="EUMATT",PR!$S913,IF(F915="FIDSON",PR!$T913,IF(F915="FCGLOBAL",PR!$U913,IF(F915="GENEITH",PR!$V913,IF(F915="GINOS",PR!$W913,IF(F915="GSK",PR!$X913,IF(F915="GLOBORG",PR!$Y913,IF(F915="GOODNEWS",PR!$Z913,IF(F915="GREENLIFE",PR!$AA913,IF(F915="HLINE",PR!$AB913,IF(F915="ROTECH",PR!$AC913,IF(F915="ISN",PR!$AD913,IF(F915="JAWA",PR!$AE913,IF(F915="LAYO",PR!$AF913,IF(F915="LEADWAY",PR!$AG913,IF(F915="LHV",PR!$AH913,IF(F915="MANOLA",PR!$AI913,IF(F915="MARCSON",PR!$AJ913,IF(F915="M&amp;B",PR!$AK913,IF(F915="MTRUST",PR!$AL913,IF(F915="MWORLD",PR!$AM913,IF(F915="MEGA",PR!$AN913,IF(F915="MICRONOVA",PR!$AO913,IF(F915="MFLASH",PR!$AP913,IF(F915="MORISON",PR!$AQ913,IF(F915="NEMEL",PR!$AR913,IF(F915="NHP",PR!$AS913,IF(F915="NHC",PR!$AT913,IF(F915="OLEAF",PR!$AU913,IF(F915="OCULUS",PR!$AV913,IF(F915="PACIFIC",PR!$AW913,IF(F915="PHAMATEX",PR!$AX913,IF(F915="PETHICS",PR!$AY913,IF(F915="PHILIPS",PR!$AZ913,IF(F915="RANBAXY",PR!$BA913,IF(F915="REALS",PR!$BB913,IF(F915="ROYAL",PR!$BC913,IF(F915="SAM",PR!$BD913,IF(F915="SEAGREEN",PR!$BE913,IF(F915="SKG",PR!$BF913,IF(F915="TAH",PR!$BG913,IF(F915="TAYLEK",PR!$BH913,IF(F915="TEMITA",PR!$BI913,IF(F915="THL",PR!$BJ913,IF(F915="UBASTIC",PR!$BK913,IF(F915="UNION",PR!$BL913,IF(F915="UNIQUE",PR!$BM913,IF(F915="VIXA",PR!$BN913,IF(F915="WWCV",PR!$BO913,IF(F915="ZOLON",PR!$BP913,"-"))))))))))))))))))))))))))))))))))))))))))))))))))))))))))))))))</f>
        <v>3000</v>
      </c>
      <c r="F915" s="102" t="str">
        <f>EV!L1157</f>
        <v>TEMITA</v>
      </c>
      <c r="G915" s="108">
        <f>IF(H915="ALPHA",PR!$E913,IF(H915="ASSENE",PR!$F913,IF(H915="BIOFEM",PR!$G913,IF(H915="BIOMED",PR!$H913,IF(H915="CHI",PR!$I913,IF(H915="CLARION",PR!$J913,IF(H915="CODIX",PR!$K913,IF(H915="COSMADE",PR!$L913,IF(H915="SANCON",PR!$M913,IF(H915="DEVON",PR!$N913,IF(H915="DORTEMAG",PR!$O913,IF(H915="DGF",PR!$P913,IF(H915="DYNAMIC",PR!$Q913,IF(H915="EMZOR",PR!$R913,IF(H915="EUMATT",PR!$S913,IF(H915="FIDSON",PR!$T913,IF(H915="FCGLOBAL",PR!$U913,IF(H915="GENEITH",PR!$V913,IF(H915="GINOS",PR!$W913,IF(H915="GSK",PR!$X913,IF(H915="GLOBORG",PR!$Y913,IF(H915="GOODNEWS",PR!$Z913,IF(H915="GREENLIFE",PR!$AA913,IF(H915="HLINE",PR!$AB913,IF(H915="ROTECH",PR!$AC913,IF(H915="ISN",PR!$AD913,IF(H915="JAWA",PR!$AE913,IF(H915="LAYO",PR!$AF913,IF(H915="LEADWAY",PR!$AG913,IF(H915="LHV",PR!$AH913,IF(H915="MANOLA",PR!$AI913,IF(H915="MARCSON",PR!$AJ913,IF(H915="M&amp;B",PR!$AK913,IF(H915="MTRUST",PR!$AL913,IF(H915="MWORLD",PR!$AM913,IF(H915="MEGA",PR!$AN913,IF(H915="MICRONOVA",PR!$AO913,IF(H915="MFLASH",PR!$AP913,IF(H915="MORISON",PR!$AQ913,IF(H915="NEMEL",PR!$AR913,IF(H915="NHP",PR!$AS913,IF(H915="NHC",PR!$AT913,IF(H915="OLEAF",PR!$AU913,IF(H915="OCULUS",PR!$AV913,IF(H915="PACIFIC",PR!$AW913,IF(H915="PHAMATEX",PR!$AX913,IF(H915="PETHICS",PR!$AY913,IF(H915="PHILIPS",PR!$AZ913,IF(H915="RANBAXY",PR!$BA913,IF(H915="REALS",PR!$BB913,IF(H915="ROYAL",PR!$BC913,IF(H915="SAM",PR!$BD913,IF(H915="SEAGREEN",PR!$BE913,IF(H915="SKG",PR!$BF913,IF(H915="TAH",PR!$BG913,IF(H915="TAYLEK",PR!$BH913,IF(H915="TEMITA",PR!$BI913,IF(H915="THL",PR!$BJ913,IF(H915="UBASTIC",PR!$BK913,IF(H915="UNION",PR!$BL913,IF(H915="UNIQUE",PR!$BM913,IF(H915="VIXA",PR!$BN913,IF(H915="WWCV",PR!$BO913,IF(H915="ZOLON",PR!$BP913,"-"))))))))))))))))))))))))))))))))))))))))))))))))))))))))))))))))</f>
        <v>3750</v>
      </c>
      <c r="H915" s="102" t="str">
        <f>EV!M1157</f>
        <v>DYNAMIC</v>
      </c>
      <c r="I915" s="108">
        <f>IF(J915="ALPHA",PR!$E913,IF(J915="ASSENE",PR!$F913,IF(J915="BIOFEM",PR!$G913,IF(J915="BIOMED",PR!$H913,IF(J915="CHI",PR!$I913,IF(J915="CLARION",PR!$J913,IF(J915="CODIX",PR!$K913,IF(J915="COSMADE",PR!$L913,IF(J915="SANCON",PR!$M913,IF(J915="DEVON",PR!$N913,IF(J915="DORTEMAG",PR!$O913,IF(J915="DGF",PR!$P913,IF(J915="DYNAMIC",PR!$Q913,IF(J915="EMZOR",PR!$R913,IF(J915="EUMATT",PR!$S913,IF(J915="FIDSON",PR!$T913,IF(J915="FCGLOBAL",PR!$U913,IF(J915="GENEITH",PR!$V913,IF(J915="GINOS",PR!$W913,IF(J915="GSK",PR!$X913,IF(J915="GLOBORG",PR!$Y913,IF(J915="GOODNEWS",PR!$Z913,IF(J915="GREENLIFE",PR!$AA913,IF(J915="HLINE",PR!$AB913,IF(J915="ROTECH",PR!$AC913,IF(J915="ISN",PR!$AD913,IF(J915="JAWA",PR!$AE913,IF(J915="LAYO",PR!$AF913,IF(J915="LEADWAY",PR!$AG913,IF(J915="LHV",PR!$AH913,IF(J915="MANOLA",PR!$AI913,IF(J915="MARCSON",PR!$AJ913,IF(J915="M&amp;B",PR!$AK913,IF(J915="MTRUST",PR!$AL913,IF(J915="MWORLD",PR!$AM913,IF(J915="MEGA",PR!$AN913,IF(J915="MICRONOVA",PR!$AO913,IF(J915="MFLASH",PR!$AP913,IF(J915="MORISON",PR!$AQ913,IF(J915="NEMEL",PR!$AR913,IF(J915="NHP",PR!$AS913,IF(J915="NHC",PR!$AT913,IF(J915="OLEAF",PR!$AU913,IF(J915="OCULUS",PR!$AV913,IF(J915="PACIFIC",PR!$AW913,IF(J915="PHAMATEX",PR!$AX913,IF(J915="PETHICS",PR!$AY913,IF(J915="PHILIPS",PR!$AZ913,IF(J915="RANBAXY",PR!$BA913,IF(J915="REALS",PR!$BB913,IF(J915="ROYAL",PR!$BC913,IF(J915="SAM",PR!$BD913,IF(J915="SEAGREEN",PR!$BE913,IF(J915="SKG",PR!$BF913,IF(J915="TAH",PR!$BG913,IF(J915="TAYLEK",PR!$BH913,IF(J915="TEMITA",PR!$BI913,IF(J915="THL",PR!$BJ913,IF(J915="UBASTIC",PR!$BK913,IF(J915="UNION",PR!$BL913,IF(J915="UNIQUE",PR!$BM913,IF(J915="VIXA",PR!$BN913,IF(J915="WWCV",PR!$BO913,IF(J915="ZOLON",PR!$BP913,"-"))))))))))))))))))))))))))))))))))))))))))))))))))))))))))))))))</f>
        <v>5000</v>
      </c>
      <c r="J915" s="102" t="str">
        <f>EV!N1157</f>
        <v>COSMADE</v>
      </c>
      <c r="K915" s="433" t="s">
        <v>1463</v>
      </c>
      <c r="L915" s="183">
        <f>IF(K915&gt;0,IF(K915="ALPHA",PR!$E913,IF(K915="ASSENE",PR!$F913,IF(K915="BIOFEM",PR!$G913,IF(K915="BIOMED",PR!$H913,IF(K915="CHI",PR!$I913,IF(K915="CLARION",PR!$J913,IF(K915="CODIX",PR!$K913,IF(K915="COSMADE",PR!$L913,IF(K915="SANCON",PR!$M913,IF(K915="DEVON",PR!$N913,IF(K915="DORTEMAG",PR!$O913,IF(K915="DGF",PR!$P913,IF(K915="DYNAMIC",PR!$Q913,IF(K915="EMZOR",PR!$R913,IF(K915="EUMATT",PR!$S913,IF(K915="FIDSON",PR!$T913,IF(K915="FCGLOBAL",PR!$U913,IF(K915="GENEITH",PR!$V913,IF(K915="GINOS",PR!$W913,IF(K915="GSK",PR!$X913,IF(K915="GLOBORG",PR!$Y913,IF(K915="GOODNEWS",PR!$Z913,IF(K915="GREENLIFE",PR!$AA913,IF(K915="HLINE",PR!$AB913,IF(K915="ROTECH",PR!$AC913,IF(K915="ISN",PR!$AD913,IF(K915="JAWA",PR!$AE913,IF(K915="LAYO",PR!$AF913,IF(K915="LEADWAY",PR!$AG913,IF(K915="LHV",PR!$AH913,IF(K915="MANOLA",PR!$AI913,IF(K915="MARCSON",PR!$AJ913,IF(K915="M&amp;B",PR!$AK913,IF(K915="MTRUST",PR!$AL913,IF(K915="MWORLD",PR!$AM913,IF(K915="MEGA",PR!$AN913,IF(K915="MICRONOVA",PR!$AO913,IF(K915="MFLASH",PR!$AP913,IF(K915="MORISON",PR!$AQ913,IF(K915="NEMEL",PR!$AR913,IF(K915="NHP",PR!$AS913,IF(K915="NHC",PR!$AT913,IF(K915="OLEAF",PR!$AU913,IF(K915="OCULUS",PR!$AV913,IF(K915="PACIFIC",PR!$AW913,IF(K915="PHAMATEX",PR!$AX913,IF(K915="PETHICS",PR!$AY913,IF(K915="PHILIPS",PR!$AZ913,IF(K915="RANBAXY",PR!$BA913,IF(K915="REALS",PR!$BB913,IF(K915="ROYAL",PR!$BC913,IF(K915="SAM",PR!$BD913,IF(K915="SEAGREEN",PR!$BE913,IF(K915="SKG",PR!$BF913,IF(K915="TAH",PR!$BG913,IF(K915="TAYLEK",PR!$BH913,IF(K915="TEMITA",PR!$BI913,IF(K915="THL",PR!$BJ913,IF(K915="UBASTIC",PR!$BK913,IF(K915="UNION",PR!$BL913,IF(K915="UNIQUE",PR!$BM913,IF(K915="VIXA",PR!$BN913,IF(K915="WWCV",PR!$BO913,IF(K915="ZOLON",PR!$BP913,"-")))))))))))))))))))))))))))))))))))))))))))))))))))))))))))))))))</f>
        <v>3000</v>
      </c>
    </row>
    <row r="916" spans="1:12" ht="18.75" x14ac:dyDescent="0.3">
      <c r="A916" s="430">
        <f>PR!A914</f>
        <v>824</v>
      </c>
      <c r="B916" s="15" t="str">
        <f>PR!B914</f>
        <v>SODIUM CHLORIDE POWDER (500MG)</v>
      </c>
      <c r="C916" s="113">
        <f>PR!D914</f>
        <v>0</v>
      </c>
      <c r="D916" s="113">
        <f>PR!C914</f>
        <v>2</v>
      </c>
      <c r="E916" s="108">
        <f>IF(F916="ALPHA",PR!$E914,IF(F916="ASSENE",PR!$F914,IF(F916="BIOFEM",PR!$G914,IF(F916="BIOMED",PR!$H914,IF(F916="CHI",PR!$I914,IF(F916="CLARION",PR!$J914,IF(F916="CODIX",PR!$K914,IF(F916="COSMADE",PR!$L914,IF(F916="SANCON",PR!$M914,IF(F916="DEVON",PR!$N914,IF(F916="DORTEMAG",PR!$O914,IF(F916="DGF",PR!$P914,IF(F916="DYNAMIC",PR!$Q914,IF(F916="EMZOR",PR!$R914,IF(F916="EUMATT",PR!$S914,IF(F916="FIDSON",PR!$T914,IF(F916="FCGLOBAL",PR!$U914,IF(F916="GENEITH",PR!$V914,IF(F916="GINOS",PR!$W914,IF(F916="GSK",PR!$X914,IF(F916="GLOBORG",PR!$Y914,IF(F916="GOODNEWS",PR!$Z914,IF(F916="GREENLIFE",PR!$AA914,IF(F916="HLINE",PR!$AB914,IF(F916="ROTECH",PR!$AC914,IF(F916="ISN",PR!$AD914,IF(F916="JAWA",PR!$AE914,IF(F916="LAYO",PR!$AF914,IF(F916="LEADWAY",PR!$AG914,IF(F916="LHV",PR!$AH914,IF(F916="MANOLA",PR!$AI914,IF(F916="MARCSON",PR!$AJ914,IF(F916="M&amp;B",PR!$AK914,IF(F916="MTRUST",PR!$AL914,IF(F916="MWORLD",PR!$AM914,IF(F916="MEGA",PR!$AN914,IF(F916="MICRONOVA",PR!$AO914,IF(F916="MFLASH",PR!$AP914,IF(F916="MORISON",PR!$AQ914,IF(F916="NEMEL",PR!$AR914,IF(F916="NHP",PR!$AS914,IF(F916="NHC",PR!$AT914,IF(F916="OLEAF",PR!$AU914,IF(F916="OCULUS",PR!$AV914,IF(F916="PACIFIC",PR!$AW914,IF(F916="PHAMATEX",PR!$AX914,IF(F916="PETHICS",PR!$AY914,IF(F916="PHILIPS",PR!$AZ914,IF(F916="RANBAXY",PR!$BA914,IF(F916="REALS",PR!$BB914,IF(F916="ROYAL",PR!$BC914,IF(F916="SAM",PR!$BD914,IF(F916="SEAGREEN",PR!$BE914,IF(F916="SKG",PR!$BF914,IF(F916="TAH",PR!$BG914,IF(F916="TAYLEK",PR!$BH914,IF(F916="TEMITA",PR!$BI914,IF(F916="THL",PR!$BJ914,IF(F916="UBASTIC",PR!$BK914,IF(F916="UNION",PR!$BL914,IF(F916="UNIQUE",PR!$BM914,IF(F916="VIXA",PR!$BN914,IF(F916="WWCV",PR!$BO914,IF(F916="ZOLON",PR!$BP914,"-"))))))))))))))))))))))))))))))))))))))))))))))))))))))))))))))))</f>
        <v>3400</v>
      </c>
      <c r="F916" s="102" t="str">
        <f>EV!L1158</f>
        <v>TEMITA</v>
      </c>
      <c r="G916" s="108">
        <f>IF(H916="ALPHA",PR!$E914,IF(H916="ASSENE",PR!$F914,IF(H916="BIOFEM",PR!$G914,IF(H916="BIOMED",PR!$H914,IF(H916="CHI",PR!$I914,IF(H916="CLARION",PR!$J914,IF(H916="CODIX",PR!$K914,IF(H916="COSMADE",PR!$L914,IF(H916="SANCON",PR!$M914,IF(H916="DEVON",PR!$N914,IF(H916="DORTEMAG",PR!$O914,IF(H916="DGF",PR!$P914,IF(H916="DYNAMIC",PR!$Q914,IF(H916="EMZOR",PR!$R914,IF(H916="EUMATT",PR!$S914,IF(H916="FIDSON",PR!$T914,IF(H916="FCGLOBAL",PR!$U914,IF(H916="GENEITH",PR!$V914,IF(H916="GINOS",PR!$W914,IF(H916="GSK",PR!$X914,IF(H916="GLOBORG",PR!$Y914,IF(H916="GOODNEWS",PR!$Z914,IF(H916="GREENLIFE",PR!$AA914,IF(H916="HLINE",PR!$AB914,IF(H916="ROTECH",PR!$AC914,IF(H916="ISN",PR!$AD914,IF(H916="JAWA",PR!$AE914,IF(H916="LAYO",PR!$AF914,IF(H916="LEADWAY",PR!$AG914,IF(H916="LHV",PR!$AH914,IF(H916="MANOLA",PR!$AI914,IF(H916="MARCSON",PR!$AJ914,IF(H916="M&amp;B",PR!$AK914,IF(H916="MTRUST",PR!$AL914,IF(H916="MWORLD",PR!$AM914,IF(H916="MEGA",PR!$AN914,IF(H916="MICRONOVA",PR!$AO914,IF(H916="MFLASH",PR!$AP914,IF(H916="MORISON",PR!$AQ914,IF(H916="NEMEL",PR!$AR914,IF(H916="NHP",PR!$AS914,IF(H916="NHC",PR!$AT914,IF(H916="OLEAF",PR!$AU914,IF(H916="OCULUS",PR!$AV914,IF(H916="PACIFIC",PR!$AW914,IF(H916="PHAMATEX",PR!$AX914,IF(H916="PETHICS",PR!$AY914,IF(H916="PHILIPS",PR!$AZ914,IF(H916="RANBAXY",PR!$BA914,IF(H916="REALS",PR!$BB914,IF(H916="ROYAL",PR!$BC914,IF(H916="SAM",PR!$BD914,IF(H916="SEAGREEN",PR!$BE914,IF(H916="SKG",PR!$BF914,IF(H916="TAH",PR!$BG914,IF(H916="TAYLEK",PR!$BH914,IF(H916="TEMITA",PR!$BI914,IF(H916="THL",PR!$BJ914,IF(H916="UBASTIC",PR!$BK914,IF(H916="UNION",PR!$BL914,IF(H916="UNIQUE",PR!$BM914,IF(H916="VIXA",PR!$BN914,IF(H916="WWCV",PR!$BO914,IF(H916="ZOLON",PR!$BP914,"-"))))))))))))))))))))))))))))))))))))))))))))))))))))))))))))))))</f>
        <v>3750</v>
      </c>
      <c r="H916" s="102" t="str">
        <f>EV!M1158</f>
        <v>DYNAMIC</v>
      </c>
      <c r="I916" s="108">
        <f>IF(J916="ALPHA",PR!$E914,IF(J916="ASSENE",PR!$F914,IF(J916="BIOFEM",PR!$G914,IF(J916="BIOMED",PR!$H914,IF(J916="CHI",PR!$I914,IF(J916="CLARION",PR!$J914,IF(J916="CODIX",PR!$K914,IF(J916="COSMADE",PR!$L914,IF(J916="SANCON",PR!$M914,IF(J916="DEVON",PR!$N914,IF(J916="DORTEMAG",PR!$O914,IF(J916="DGF",PR!$P914,IF(J916="DYNAMIC",PR!$Q914,IF(J916="EMZOR",PR!$R914,IF(J916="EUMATT",PR!$S914,IF(J916="FIDSON",PR!$T914,IF(J916="FCGLOBAL",PR!$U914,IF(J916="GENEITH",PR!$V914,IF(J916="GINOS",PR!$W914,IF(J916="GSK",PR!$X914,IF(J916="GLOBORG",PR!$Y914,IF(J916="GOODNEWS",PR!$Z914,IF(J916="GREENLIFE",PR!$AA914,IF(J916="HLINE",PR!$AB914,IF(J916="ROTECH",PR!$AC914,IF(J916="ISN",PR!$AD914,IF(J916="JAWA",PR!$AE914,IF(J916="LAYO",PR!$AF914,IF(J916="LEADWAY",PR!$AG914,IF(J916="LHV",PR!$AH914,IF(J916="MANOLA",PR!$AI914,IF(J916="MARCSON",PR!$AJ914,IF(J916="M&amp;B",PR!$AK914,IF(J916="MTRUST",PR!$AL914,IF(J916="MWORLD",PR!$AM914,IF(J916="MEGA",PR!$AN914,IF(J916="MICRONOVA",PR!$AO914,IF(J916="MFLASH",PR!$AP914,IF(J916="MORISON",PR!$AQ914,IF(J916="NEMEL",PR!$AR914,IF(J916="NHP",PR!$AS914,IF(J916="NHC",PR!$AT914,IF(J916="OLEAF",PR!$AU914,IF(J916="OCULUS",PR!$AV914,IF(J916="PACIFIC",PR!$AW914,IF(J916="PHAMATEX",PR!$AX914,IF(J916="PETHICS",PR!$AY914,IF(J916="PHILIPS",PR!$AZ914,IF(J916="RANBAXY",PR!$BA914,IF(J916="REALS",PR!$BB914,IF(J916="ROYAL",PR!$BC914,IF(J916="SAM",PR!$BD914,IF(J916="SEAGREEN",PR!$BE914,IF(J916="SKG",PR!$BF914,IF(J916="TAH",PR!$BG914,IF(J916="TAYLEK",PR!$BH914,IF(J916="TEMITA",PR!$BI914,IF(J916="THL",PR!$BJ914,IF(J916="UBASTIC",PR!$BK914,IF(J916="UNION",PR!$BL914,IF(J916="UNIQUE",PR!$BM914,IF(J916="VIXA",PR!$BN914,IF(J916="WWCV",PR!$BO914,IF(J916="ZOLON",PR!$BP914,"-"))))))))))))))))))))))))))))))))))))))))))))))))))))))))))))))))</f>
        <v>4000</v>
      </c>
      <c r="J916" s="102" t="str">
        <f>EV!N1158</f>
        <v>SANCON</v>
      </c>
      <c r="K916" s="433" t="s">
        <v>1463</v>
      </c>
      <c r="L916" s="183">
        <f>IF(K916&gt;0,IF(K916="ALPHA",PR!$E914,IF(K916="ASSENE",PR!$F914,IF(K916="BIOFEM",PR!$G914,IF(K916="BIOMED",PR!$H914,IF(K916="CHI",PR!$I914,IF(K916="CLARION",PR!$J914,IF(K916="CODIX",PR!$K914,IF(K916="COSMADE",PR!$L914,IF(K916="SANCON",PR!$M914,IF(K916="DEVON",PR!$N914,IF(K916="DORTEMAG",PR!$O914,IF(K916="DGF",PR!$P914,IF(K916="DYNAMIC",PR!$Q914,IF(K916="EMZOR",PR!$R914,IF(K916="EUMATT",PR!$S914,IF(K916="FIDSON",PR!$T914,IF(K916="FCGLOBAL",PR!$U914,IF(K916="GENEITH",PR!$V914,IF(K916="GINOS",PR!$W914,IF(K916="GSK",PR!$X914,IF(K916="GLOBORG",PR!$Y914,IF(K916="GOODNEWS",PR!$Z914,IF(K916="GREENLIFE",PR!$AA914,IF(K916="HLINE",PR!$AB914,IF(K916="ROTECH",PR!$AC914,IF(K916="ISN",PR!$AD914,IF(K916="JAWA",PR!$AE914,IF(K916="LAYO",PR!$AF914,IF(K916="LEADWAY",PR!$AG914,IF(K916="LHV",PR!$AH914,IF(K916="MANOLA",PR!$AI914,IF(K916="MARCSON",PR!$AJ914,IF(K916="M&amp;B",PR!$AK914,IF(K916="MTRUST",PR!$AL914,IF(K916="MWORLD",PR!$AM914,IF(K916="MEGA",PR!$AN914,IF(K916="MICRONOVA",PR!$AO914,IF(K916="MFLASH",PR!$AP914,IF(K916="MORISON",PR!$AQ914,IF(K916="NEMEL",PR!$AR914,IF(K916="NHP",PR!$AS914,IF(K916="NHC",PR!$AT914,IF(K916="OLEAF",PR!$AU914,IF(K916="OCULUS",PR!$AV914,IF(K916="PACIFIC",PR!$AW914,IF(K916="PHAMATEX",PR!$AX914,IF(K916="PETHICS",PR!$AY914,IF(K916="PHILIPS",PR!$AZ914,IF(K916="RANBAXY",PR!$BA914,IF(K916="REALS",PR!$BB914,IF(K916="ROYAL",PR!$BC914,IF(K916="SAM",PR!$BD914,IF(K916="SEAGREEN",PR!$BE914,IF(K916="SKG",PR!$BF914,IF(K916="TAH",PR!$BG914,IF(K916="TAYLEK",PR!$BH914,IF(K916="TEMITA",PR!$BI914,IF(K916="THL",PR!$BJ914,IF(K916="UBASTIC",PR!$BK914,IF(K916="UNION",PR!$BL914,IF(K916="UNIQUE",PR!$BM914,IF(K916="VIXA",PR!$BN914,IF(K916="WWCV",PR!$BO914,IF(K916="ZOLON",PR!$BP914,"-")))))))))))))))))))))))))))))))))))))))))))))))))))))))))))))))))</f>
        <v>3400</v>
      </c>
    </row>
    <row r="917" spans="1:12" ht="18.75" x14ac:dyDescent="0.3">
      <c r="A917" s="430">
        <f>PR!A915</f>
        <v>825</v>
      </c>
      <c r="B917" s="15" t="str">
        <f>PR!B915</f>
        <v>EDTA VACUTAINER BOTTLE</v>
      </c>
      <c r="C917" s="113" t="str">
        <f>PR!D915</f>
        <v>1 pack of 10</v>
      </c>
      <c r="D917" s="113">
        <f>PR!C915</f>
        <v>48</v>
      </c>
      <c r="E917" s="108">
        <f>IF(F917="ALPHA",PR!$E915,IF(F917="ASSENE",PR!$F915,IF(F917="BIOFEM",PR!$G915,IF(F917="BIOMED",PR!$H915,IF(F917="CHI",PR!$I915,IF(F917="CLARION",PR!$J915,IF(F917="CODIX",PR!$K915,IF(F917="COSMADE",PR!$L915,IF(F917="SANCON",PR!$M915,IF(F917="DEVON",PR!$N915,IF(F917="DORTEMAG",PR!$O915,IF(F917="DGF",PR!$P915,IF(F917="DYNAMIC",PR!$Q915,IF(F917="EMZOR",PR!$R915,IF(F917="EUMATT",PR!$S915,IF(F917="FIDSON",PR!$T915,IF(F917="FCGLOBAL",PR!$U915,IF(F917="GENEITH",PR!$V915,IF(F917="GINOS",PR!$W915,IF(F917="GSK",PR!$X915,IF(F917="GLOBORG",PR!$Y915,IF(F917="GOODNEWS",PR!$Z915,IF(F917="GREENLIFE",PR!$AA915,IF(F917="HLINE",PR!$AB915,IF(F917="ROTECH",PR!$AC915,IF(F917="ISN",PR!$AD915,IF(F917="JAWA",PR!$AE915,IF(F917="LAYO",PR!$AF915,IF(F917="LEADWAY",PR!$AG915,IF(F917="LHV",PR!$AH915,IF(F917="MANOLA",PR!$AI915,IF(F917="MARCSON",PR!$AJ915,IF(F917="M&amp;B",PR!$AK915,IF(F917="MTRUST",PR!$AL915,IF(F917="MWORLD",PR!$AM915,IF(F917="MEGA",PR!$AN915,IF(F917="MICRONOVA",PR!$AO915,IF(F917="MFLASH",PR!$AP915,IF(F917="MORISON",PR!$AQ915,IF(F917="NEMEL",PR!$AR915,IF(F917="NHP",PR!$AS915,IF(F917="NHC",PR!$AT915,IF(F917="OLEAF",PR!$AU915,IF(F917="OCULUS",PR!$AV915,IF(F917="PACIFIC",PR!$AW915,IF(F917="PHAMATEX",PR!$AX915,IF(F917="PETHICS",PR!$AY915,IF(F917="PHILIPS",PR!$AZ915,IF(F917="RANBAXY",PR!$BA915,IF(F917="REALS",PR!$BB915,IF(F917="ROYAL",PR!$BC915,IF(F917="SAM",PR!$BD915,IF(F917="SEAGREEN",PR!$BE915,IF(F917="SKG",PR!$BF915,IF(F917="TAH",PR!$BG915,IF(F917="TAYLEK",PR!$BH915,IF(F917="TEMITA",PR!$BI915,IF(F917="THL",PR!$BJ915,IF(F917="UBASTIC",PR!$BK915,IF(F917="UNION",PR!$BL915,IF(F917="UNIQUE",PR!$BM915,IF(F917="VIXA",PR!$BN915,IF(F917="WWCV",PR!$BO915,IF(F917="ZOLON",PR!$BP915,"-"))))))))))))))))))))))))))))))))))))))))))))))))))))))))))))))))</f>
        <v>16000</v>
      </c>
      <c r="F917" s="102" t="str">
        <f>EV!L1159</f>
        <v>TEMITA</v>
      </c>
      <c r="G917" s="108">
        <f>IF(H917="ALPHA",PR!$E915,IF(H917="ASSENE",PR!$F915,IF(H917="BIOFEM",PR!$G915,IF(H917="BIOMED",PR!$H915,IF(H917="CHI",PR!$I915,IF(H917="CLARION",PR!$J915,IF(H917="CODIX",PR!$K915,IF(H917="COSMADE",PR!$L915,IF(H917="SANCON",PR!$M915,IF(H917="DEVON",PR!$N915,IF(H917="DORTEMAG",PR!$O915,IF(H917="DGF",PR!$P915,IF(H917="DYNAMIC",PR!$Q915,IF(H917="EMZOR",PR!$R915,IF(H917="EUMATT",PR!$S915,IF(H917="FIDSON",PR!$T915,IF(H917="FCGLOBAL",PR!$U915,IF(H917="GENEITH",PR!$V915,IF(H917="GINOS",PR!$W915,IF(H917="GSK",PR!$X915,IF(H917="GLOBORG",PR!$Y915,IF(H917="GOODNEWS",PR!$Z915,IF(H917="GREENLIFE",PR!$AA915,IF(H917="HLINE",PR!$AB915,IF(H917="ROTECH",PR!$AC915,IF(H917="ISN",PR!$AD915,IF(H917="JAWA",PR!$AE915,IF(H917="LAYO",PR!$AF915,IF(H917="LEADWAY",PR!$AG915,IF(H917="LHV",PR!$AH915,IF(H917="MANOLA",PR!$AI915,IF(H917="MARCSON",PR!$AJ915,IF(H917="M&amp;B",PR!$AK915,IF(H917="MTRUST",PR!$AL915,IF(H917="MWORLD",PR!$AM915,IF(H917="MEGA",PR!$AN915,IF(H917="MICRONOVA",PR!$AO915,IF(H917="MFLASH",PR!$AP915,IF(H917="MORISON",PR!$AQ915,IF(H917="NEMEL",PR!$AR915,IF(H917="NHP",PR!$AS915,IF(H917="NHC",PR!$AT915,IF(H917="OLEAF",PR!$AU915,IF(H917="OCULUS",PR!$AV915,IF(H917="PACIFIC",PR!$AW915,IF(H917="PHAMATEX",PR!$AX915,IF(H917="PETHICS",PR!$AY915,IF(H917="PHILIPS",PR!$AZ915,IF(H917="RANBAXY",PR!$BA915,IF(H917="REALS",PR!$BB915,IF(H917="ROYAL",PR!$BC915,IF(H917="SAM",PR!$BD915,IF(H917="SEAGREEN",PR!$BE915,IF(H917="SKG",PR!$BF915,IF(H917="TAH",PR!$BG915,IF(H917="TAYLEK",PR!$BH915,IF(H917="TEMITA",PR!$BI915,IF(H917="THL",PR!$BJ915,IF(H917="UBASTIC",PR!$BK915,IF(H917="UNION",PR!$BL915,IF(H917="UNIQUE",PR!$BM915,IF(H917="VIXA",PR!$BN915,IF(H917="WWCV",PR!$BO915,IF(H917="ZOLON",PR!$BP915,"-"))))))))))))))))))))))))))))))))))))))))))))))))))))))))))))))))</f>
        <v>18000</v>
      </c>
      <c r="H917" s="102" t="str">
        <f>EV!M1159</f>
        <v>SANCON</v>
      </c>
      <c r="I917" s="108">
        <f>IF(J917="ALPHA",PR!$E915,IF(J917="ASSENE",PR!$F915,IF(J917="BIOFEM",PR!$G915,IF(J917="BIOMED",PR!$H915,IF(J917="CHI",PR!$I915,IF(J917="CLARION",PR!$J915,IF(J917="CODIX",PR!$K915,IF(J917="COSMADE",PR!$L915,IF(J917="SANCON",PR!$M915,IF(J917="DEVON",PR!$N915,IF(J917="DORTEMAG",PR!$O915,IF(J917="DGF",PR!$P915,IF(J917="DYNAMIC",PR!$Q915,IF(J917="EMZOR",PR!$R915,IF(J917="EUMATT",PR!$S915,IF(J917="FIDSON",PR!$T915,IF(J917="FCGLOBAL",PR!$U915,IF(J917="GENEITH",PR!$V915,IF(J917="GINOS",PR!$W915,IF(J917="GSK",PR!$X915,IF(J917="GLOBORG",PR!$Y915,IF(J917="GOODNEWS",PR!$Z915,IF(J917="GREENLIFE",PR!$AA915,IF(J917="HLINE",PR!$AB915,IF(J917="ROTECH",PR!$AC915,IF(J917="ISN",PR!$AD915,IF(J917="JAWA",PR!$AE915,IF(J917="LAYO",PR!$AF915,IF(J917="LEADWAY",PR!$AG915,IF(J917="LHV",PR!$AH915,IF(J917="MANOLA",PR!$AI915,IF(J917="MARCSON",PR!$AJ915,IF(J917="M&amp;B",PR!$AK915,IF(J917="MTRUST",PR!$AL915,IF(J917="MWORLD",PR!$AM915,IF(J917="MEGA",PR!$AN915,IF(J917="MICRONOVA",PR!$AO915,IF(J917="MFLASH",PR!$AP915,IF(J917="MORISON",PR!$AQ915,IF(J917="NEMEL",PR!$AR915,IF(J917="NHP",PR!$AS915,IF(J917="NHC",PR!$AT915,IF(J917="OLEAF",PR!$AU915,IF(J917="OCULUS",PR!$AV915,IF(J917="PACIFIC",PR!$AW915,IF(J917="PHAMATEX",PR!$AX915,IF(J917="PETHICS",PR!$AY915,IF(J917="PHILIPS",PR!$AZ915,IF(J917="RANBAXY",PR!$BA915,IF(J917="REALS",PR!$BB915,IF(J917="ROYAL",PR!$BC915,IF(J917="SAM",PR!$BD915,IF(J917="SEAGREEN",PR!$BE915,IF(J917="SKG",PR!$BF915,IF(J917="TAH",PR!$BG915,IF(J917="TAYLEK",PR!$BH915,IF(J917="TEMITA",PR!$BI915,IF(J917="THL",PR!$BJ915,IF(J917="UBASTIC",PR!$BK915,IF(J917="UNION",PR!$BL915,IF(J917="UNIQUE",PR!$BM915,IF(J917="VIXA",PR!$BN915,IF(J917="WWCV",PR!$BO915,IF(J917="ZOLON",PR!$BP915,"-"))))))))))))))))))))))))))))))))))))))))))))))))))))))))))))))))</f>
        <v>20000</v>
      </c>
      <c r="J917" s="102" t="str">
        <f>EV!N1159</f>
        <v>COSMADE</v>
      </c>
      <c r="K917" s="433" t="s">
        <v>1463</v>
      </c>
      <c r="L917" s="183">
        <f>IF(K917&gt;0,IF(K917="ALPHA",PR!$E915,IF(K917="ASSENE",PR!$F915,IF(K917="BIOFEM",PR!$G915,IF(K917="BIOMED",PR!$H915,IF(K917="CHI",PR!$I915,IF(K917="CLARION",PR!$J915,IF(K917="CODIX",PR!$K915,IF(K917="COSMADE",PR!$L915,IF(K917="SANCON",PR!$M915,IF(K917="DEVON",PR!$N915,IF(K917="DORTEMAG",PR!$O915,IF(K917="DGF",PR!$P915,IF(K917="DYNAMIC",PR!$Q915,IF(K917="EMZOR",PR!$R915,IF(K917="EUMATT",PR!$S915,IF(K917="FIDSON",PR!$T915,IF(K917="FCGLOBAL",PR!$U915,IF(K917="GENEITH",PR!$V915,IF(K917="GINOS",PR!$W915,IF(K917="GSK",PR!$X915,IF(K917="GLOBORG",PR!$Y915,IF(K917="GOODNEWS",PR!$Z915,IF(K917="GREENLIFE",PR!$AA915,IF(K917="HLINE",PR!$AB915,IF(K917="ROTECH",PR!$AC915,IF(K917="ISN",PR!$AD915,IF(K917="JAWA",PR!$AE915,IF(K917="LAYO",PR!$AF915,IF(K917="LEADWAY",PR!$AG915,IF(K917="LHV",PR!$AH915,IF(K917="MANOLA",PR!$AI915,IF(K917="MARCSON",PR!$AJ915,IF(K917="M&amp;B",PR!$AK915,IF(K917="MTRUST",PR!$AL915,IF(K917="MWORLD",PR!$AM915,IF(K917="MEGA",PR!$AN915,IF(K917="MICRONOVA",PR!$AO915,IF(K917="MFLASH",PR!$AP915,IF(K917="MORISON",PR!$AQ915,IF(K917="NEMEL",PR!$AR915,IF(K917="NHP",PR!$AS915,IF(K917="NHC",PR!$AT915,IF(K917="OLEAF",PR!$AU915,IF(K917="OCULUS",PR!$AV915,IF(K917="PACIFIC",PR!$AW915,IF(K917="PHAMATEX",PR!$AX915,IF(K917="PETHICS",PR!$AY915,IF(K917="PHILIPS",PR!$AZ915,IF(K917="RANBAXY",PR!$BA915,IF(K917="REALS",PR!$BB915,IF(K917="ROYAL",PR!$BC915,IF(K917="SAM",PR!$BD915,IF(K917="SEAGREEN",PR!$BE915,IF(K917="SKG",PR!$BF915,IF(K917="TAH",PR!$BG915,IF(K917="TAYLEK",PR!$BH915,IF(K917="TEMITA",PR!$BI915,IF(K917="THL",PR!$BJ915,IF(K917="UBASTIC",PR!$BK915,IF(K917="UNION",PR!$BL915,IF(K917="UNIQUE",PR!$BM915,IF(K917="VIXA",PR!$BN915,IF(K917="WWCV",PR!$BO915,IF(K917="ZOLON",PR!$BP915,"-")))))))))))))))))))))))))))))))))))))))))))))))))))))))))))))))))</f>
        <v>16000</v>
      </c>
    </row>
    <row r="918" spans="1:12" ht="18.75" x14ac:dyDescent="0.3">
      <c r="A918" s="430">
        <f>PR!A916</f>
        <v>826</v>
      </c>
      <c r="B918" s="15" t="str">
        <f>PR!B916</f>
        <v>PLAIN VACUTAINER BOTTLES</v>
      </c>
      <c r="C918" s="113" t="str">
        <f>PR!D916</f>
        <v>1 pack of 10</v>
      </c>
      <c r="D918" s="113">
        <f>PR!C916</f>
        <v>48</v>
      </c>
      <c r="E918" s="108">
        <f>IF(F918="ALPHA",PR!$E916,IF(F918="ASSENE",PR!$F916,IF(F918="BIOFEM",PR!$G916,IF(F918="BIOMED",PR!$H916,IF(F918="CHI",PR!$I916,IF(F918="CLARION",PR!$J916,IF(F918="CODIX",PR!$K916,IF(F918="COSMADE",PR!$L916,IF(F918="SANCON",PR!$M916,IF(F918="DEVON",PR!$N916,IF(F918="DORTEMAG",PR!$O916,IF(F918="DGF",PR!$P916,IF(F918="DYNAMIC",PR!$Q916,IF(F918="EMZOR",PR!$R916,IF(F918="EUMATT",PR!$S916,IF(F918="FIDSON",PR!$T916,IF(F918="FCGLOBAL",PR!$U916,IF(F918="GENEITH",PR!$V916,IF(F918="GINOS",PR!$W916,IF(F918="GSK",PR!$X916,IF(F918="GLOBORG",PR!$Y916,IF(F918="GOODNEWS",PR!$Z916,IF(F918="GREENLIFE",PR!$AA916,IF(F918="HLINE",PR!$AB916,IF(F918="ROTECH",PR!$AC916,IF(F918="ISN",PR!$AD916,IF(F918="JAWA",PR!$AE916,IF(F918="LAYO",PR!$AF916,IF(F918="LEADWAY",PR!$AG916,IF(F918="LHV",PR!$AH916,IF(F918="MANOLA",PR!$AI916,IF(F918="MARCSON",PR!$AJ916,IF(F918="M&amp;B",PR!$AK916,IF(F918="MTRUST",PR!$AL916,IF(F918="MWORLD",PR!$AM916,IF(F918="MEGA",PR!$AN916,IF(F918="MICRONOVA",PR!$AO916,IF(F918="MFLASH",PR!$AP916,IF(F918="MORISON",PR!$AQ916,IF(F918="NEMEL",PR!$AR916,IF(F918="NHP",PR!$AS916,IF(F918="NHC",PR!$AT916,IF(F918="OLEAF",PR!$AU916,IF(F918="OCULUS",PR!$AV916,IF(F918="PACIFIC",PR!$AW916,IF(F918="PHAMATEX",PR!$AX916,IF(F918="PETHICS",PR!$AY916,IF(F918="PHILIPS",PR!$AZ916,IF(F918="RANBAXY",PR!$BA916,IF(F918="REALS",PR!$BB916,IF(F918="ROYAL",PR!$BC916,IF(F918="SAM",PR!$BD916,IF(F918="SEAGREEN",PR!$BE916,IF(F918="SKG",PR!$BF916,IF(F918="TAH",PR!$BG916,IF(F918="TAYLEK",PR!$BH916,IF(F918="TEMITA",PR!$BI916,IF(F918="THL",PR!$BJ916,IF(F918="UBASTIC",PR!$BK916,IF(F918="UNION",PR!$BL916,IF(F918="UNIQUE",PR!$BM916,IF(F918="VIXA",PR!$BN916,IF(F918="WWCV",PR!$BO916,IF(F918="ZOLON",PR!$BP916,"-"))))))))))))))))))))))))))))))))))))))))))))))))))))))))))))))))</f>
        <v>16000</v>
      </c>
      <c r="F918" s="102" t="str">
        <f>EV!L1160</f>
        <v>TEMITA</v>
      </c>
      <c r="G918" s="108">
        <f>IF(H918="ALPHA",PR!$E916,IF(H918="ASSENE",PR!$F916,IF(H918="BIOFEM",PR!$G916,IF(H918="BIOMED",PR!$H916,IF(H918="CHI",PR!$I916,IF(H918="CLARION",PR!$J916,IF(H918="CODIX",PR!$K916,IF(H918="COSMADE",PR!$L916,IF(H918="SANCON",PR!$M916,IF(H918="DEVON",PR!$N916,IF(H918="DORTEMAG",PR!$O916,IF(H918="DGF",PR!$P916,IF(H918="DYNAMIC",PR!$Q916,IF(H918="EMZOR",PR!$R916,IF(H918="EUMATT",PR!$S916,IF(H918="FIDSON",PR!$T916,IF(H918="FCGLOBAL",PR!$U916,IF(H918="GENEITH",PR!$V916,IF(H918="GINOS",PR!$W916,IF(H918="GSK",PR!$X916,IF(H918="GLOBORG",PR!$Y916,IF(H918="GOODNEWS",PR!$Z916,IF(H918="GREENLIFE",PR!$AA916,IF(H918="HLINE",PR!$AB916,IF(H918="ROTECH",PR!$AC916,IF(H918="ISN",PR!$AD916,IF(H918="JAWA",PR!$AE916,IF(H918="LAYO",PR!$AF916,IF(H918="LEADWAY",PR!$AG916,IF(H918="LHV",PR!$AH916,IF(H918="MANOLA",PR!$AI916,IF(H918="MARCSON",PR!$AJ916,IF(H918="M&amp;B",PR!$AK916,IF(H918="MTRUST",PR!$AL916,IF(H918="MWORLD",PR!$AM916,IF(H918="MEGA",PR!$AN916,IF(H918="MICRONOVA",PR!$AO916,IF(H918="MFLASH",PR!$AP916,IF(H918="MORISON",PR!$AQ916,IF(H918="NEMEL",PR!$AR916,IF(H918="NHP",PR!$AS916,IF(H918="NHC",PR!$AT916,IF(H918="OLEAF",PR!$AU916,IF(H918="OCULUS",PR!$AV916,IF(H918="PACIFIC",PR!$AW916,IF(H918="PHAMATEX",PR!$AX916,IF(H918="PETHICS",PR!$AY916,IF(H918="PHILIPS",PR!$AZ916,IF(H918="RANBAXY",PR!$BA916,IF(H918="REALS",PR!$BB916,IF(H918="ROYAL",PR!$BC916,IF(H918="SAM",PR!$BD916,IF(H918="SEAGREEN",PR!$BE916,IF(H918="SKG",PR!$BF916,IF(H918="TAH",PR!$BG916,IF(H918="TAYLEK",PR!$BH916,IF(H918="TEMITA",PR!$BI916,IF(H918="THL",PR!$BJ916,IF(H918="UBASTIC",PR!$BK916,IF(H918="UNION",PR!$BL916,IF(H918="UNIQUE",PR!$BM916,IF(H918="VIXA",PR!$BN916,IF(H918="WWCV",PR!$BO916,IF(H918="ZOLON",PR!$BP916,"-"))))))))))))))))))))))))))))))))))))))))))))))))))))))))))))))))</f>
        <v>1800</v>
      </c>
      <c r="H918" s="102" t="str">
        <f>EV!M1160</f>
        <v>SANCON</v>
      </c>
      <c r="I918" s="108">
        <f>IF(J918="ALPHA",PR!$E916,IF(J918="ASSENE",PR!$F916,IF(J918="BIOFEM",PR!$G916,IF(J918="BIOMED",PR!$H916,IF(J918="CHI",PR!$I916,IF(J918="CLARION",PR!$J916,IF(J918="CODIX",PR!$K916,IF(J918="COSMADE",PR!$L916,IF(J918="SANCON",PR!$M916,IF(J918="DEVON",PR!$N916,IF(J918="DORTEMAG",PR!$O916,IF(J918="DGF",PR!$P916,IF(J918="DYNAMIC",PR!$Q916,IF(J918="EMZOR",PR!$R916,IF(J918="EUMATT",PR!$S916,IF(J918="FIDSON",PR!$T916,IF(J918="FCGLOBAL",PR!$U916,IF(J918="GENEITH",PR!$V916,IF(J918="GINOS",PR!$W916,IF(J918="GSK",PR!$X916,IF(J918="GLOBORG",PR!$Y916,IF(J918="GOODNEWS",PR!$Z916,IF(J918="GREENLIFE",PR!$AA916,IF(J918="HLINE",PR!$AB916,IF(J918="ROTECH",PR!$AC916,IF(J918="ISN",PR!$AD916,IF(J918="JAWA",PR!$AE916,IF(J918="LAYO",PR!$AF916,IF(J918="LEADWAY",PR!$AG916,IF(J918="LHV",PR!$AH916,IF(J918="MANOLA",PR!$AI916,IF(J918="MARCSON",PR!$AJ916,IF(J918="M&amp;B",PR!$AK916,IF(J918="MTRUST",PR!$AL916,IF(J918="MWORLD",PR!$AM916,IF(J918="MEGA",PR!$AN916,IF(J918="MICRONOVA",PR!$AO916,IF(J918="MFLASH",PR!$AP916,IF(J918="MORISON",PR!$AQ916,IF(J918="NEMEL",PR!$AR916,IF(J918="NHP",PR!$AS916,IF(J918="NHC",PR!$AT916,IF(J918="OLEAF",PR!$AU916,IF(J918="OCULUS",PR!$AV916,IF(J918="PACIFIC",PR!$AW916,IF(J918="PHAMATEX",PR!$AX916,IF(J918="PETHICS",PR!$AY916,IF(J918="PHILIPS",PR!$AZ916,IF(J918="RANBAXY",PR!$BA916,IF(J918="REALS",PR!$BB916,IF(J918="ROYAL",PR!$BC916,IF(J918="SAM",PR!$BD916,IF(J918="SEAGREEN",PR!$BE916,IF(J918="SKG",PR!$BF916,IF(J918="TAH",PR!$BG916,IF(J918="TAYLEK",PR!$BH916,IF(J918="TEMITA",PR!$BI916,IF(J918="THL",PR!$BJ916,IF(J918="UBASTIC",PR!$BK916,IF(J918="UNION",PR!$BL916,IF(J918="UNIQUE",PR!$BM916,IF(J918="VIXA",PR!$BN916,IF(J918="WWCV",PR!$BO916,IF(J918="ZOLON",PR!$BP916,"-"))))))))))))))))))))))))))))))))))))))))))))))))))))))))))))))))</f>
        <v>19375</v>
      </c>
      <c r="J918" s="102" t="str">
        <f>EV!N1160</f>
        <v>DYNAMIC</v>
      </c>
      <c r="K918" s="433" t="s">
        <v>1463</v>
      </c>
      <c r="L918" s="183">
        <f>IF(K918&gt;0,IF(K918="ALPHA",PR!$E916,IF(K918="ASSENE",PR!$F916,IF(K918="BIOFEM",PR!$G916,IF(K918="BIOMED",PR!$H916,IF(K918="CHI",PR!$I916,IF(K918="CLARION",PR!$J916,IF(K918="CODIX",PR!$K916,IF(K918="COSMADE",PR!$L916,IF(K918="SANCON",PR!$M916,IF(K918="DEVON",PR!$N916,IF(K918="DORTEMAG",PR!$O916,IF(K918="DGF",PR!$P916,IF(K918="DYNAMIC",PR!$Q916,IF(K918="EMZOR",PR!$R916,IF(K918="EUMATT",PR!$S916,IF(K918="FIDSON",PR!$T916,IF(K918="FCGLOBAL",PR!$U916,IF(K918="GENEITH",PR!$V916,IF(K918="GINOS",PR!$W916,IF(K918="GSK",PR!$X916,IF(K918="GLOBORG",PR!$Y916,IF(K918="GOODNEWS",PR!$Z916,IF(K918="GREENLIFE",PR!$AA916,IF(K918="HLINE",PR!$AB916,IF(K918="ROTECH",PR!$AC916,IF(K918="ISN",PR!$AD916,IF(K918="JAWA",PR!$AE916,IF(K918="LAYO",PR!$AF916,IF(K918="LEADWAY",PR!$AG916,IF(K918="LHV",PR!$AH916,IF(K918="MANOLA",PR!$AI916,IF(K918="MARCSON",PR!$AJ916,IF(K918="M&amp;B",PR!$AK916,IF(K918="MTRUST",PR!$AL916,IF(K918="MWORLD",PR!$AM916,IF(K918="MEGA",PR!$AN916,IF(K918="MICRONOVA",PR!$AO916,IF(K918="MFLASH",PR!$AP916,IF(K918="MORISON",PR!$AQ916,IF(K918="NEMEL",PR!$AR916,IF(K918="NHP",PR!$AS916,IF(K918="NHC",PR!$AT916,IF(K918="OLEAF",PR!$AU916,IF(K918="OCULUS",PR!$AV916,IF(K918="PACIFIC",PR!$AW916,IF(K918="PHAMATEX",PR!$AX916,IF(K918="PETHICS",PR!$AY916,IF(K918="PHILIPS",PR!$AZ916,IF(K918="RANBAXY",PR!$BA916,IF(K918="REALS",PR!$BB916,IF(K918="ROYAL",PR!$BC916,IF(K918="SAM",PR!$BD916,IF(K918="SEAGREEN",PR!$BE916,IF(K918="SKG",PR!$BF916,IF(K918="TAH",PR!$BG916,IF(K918="TAYLEK",PR!$BH916,IF(K918="TEMITA",PR!$BI916,IF(K918="THL",PR!$BJ916,IF(K918="UBASTIC",PR!$BK916,IF(K918="UNION",PR!$BL916,IF(K918="UNIQUE",PR!$BM916,IF(K918="VIXA",PR!$BN916,IF(K918="WWCV",PR!$BO916,IF(K918="ZOLON",PR!$BP916,"-")))))))))))))))))))))))))))))))))))))))))))))))))))))))))))))))))</f>
        <v>16000</v>
      </c>
    </row>
    <row r="919" spans="1:12" ht="18.75" x14ac:dyDescent="0.3">
      <c r="A919" s="430">
        <f>PR!A917</f>
        <v>827</v>
      </c>
      <c r="B919" s="15" t="str">
        <f>PR!B917</f>
        <v>PAEDIATRIC EDTA VAC. BOTTLES</v>
      </c>
      <c r="C919" s="113" t="str">
        <f>PR!D917</f>
        <v>1 pack of 10</v>
      </c>
      <c r="D919" s="113">
        <f>PR!C917</f>
        <v>3</v>
      </c>
      <c r="E919" s="108">
        <f>IF(F919="ALPHA",PR!$E917,IF(F919="ASSENE",PR!$F917,IF(F919="BIOFEM",PR!$G917,IF(F919="BIOMED",PR!$H917,IF(F919="CHI",PR!$I917,IF(F919="CLARION",PR!$J917,IF(F919="CODIX",PR!$K917,IF(F919="COSMADE",PR!$L917,IF(F919="SANCON",PR!$M917,IF(F919="DEVON",PR!$N917,IF(F919="DORTEMAG",PR!$O917,IF(F919="DGF",PR!$P917,IF(F919="DYNAMIC",PR!$Q917,IF(F919="EMZOR",PR!$R917,IF(F919="EUMATT",PR!$S917,IF(F919="FIDSON",PR!$T917,IF(F919="FCGLOBAL",PR!$U917,IF(F919="GENEITH",PR!$V917,IF(F919="GINOS",PR!$W917,IF(F919="GSK",PR!$X917,IF(F919="GLOBORG",PR!$Y917,IF(F919="GOODNEWS",PR!$Z917,IF(F919="GREENLIFE",PR!$AA917,IF(F919="HLINE",PR!$AB917,IF(F919="ROTECH",PR!$AC917,IF(F919="ISN",PR!$AD917,IF(F919="JAWA",PR!$AE917,IF(F919="LAYO",PR!$AF917,IF(F919="LEADWAY",PR!$AG917,IF(F919="LHV",PR!$AH917,IF(F919="MANOLA",PR!$AI917,IF(F919="MARCSON",PR!$AJ917,IF(F919="M&amp;B",PR!$AK917,IF(F919="MTRUST",PR!$AL917,IF(F919="MWORLD",PR!$AM917,IF(F919="MEGA",PR!$AN917,IF(F919="MICRONOVA",PR!$AO917,IF(F919="MFLASH",PR!$AP917,IF(F919="MORISON",PR!$AQ917,IF(F919="NEMEL",PR!$AR917,IF(F919="NHP",PR!$AS917,IF(F919="NHC",PR!$AT917,IF(F919="OLEAF",PR!$AU917,IF(F919="OCULUS",PR!$AV917,IF(F919="PACIFIC",PR!$AW917,IF(F919="PHAMATEX",PR!$AX917,IF(F919="PETHICS",PR!$AY917,IF(F919="PHILIPS",PR!$AZ917,IF(F919="RANBAXY",PR!$BA917,IF(F919="REALS",PR!$BB917,IF(F919="ROYAL",PR!$BC917,IF(F919="SAM",PR!$BD917,IF(F919="SEAGREEN",PR!$BE917,IF(F919="SKG",PR!$BF917,IF(F919="TAH",PR!$BG917,IF(F919="TAYLEK",PR!$BH917,IF(F919="TEMITA",PR!$BI917,IF(F919="THL",PR!$BJ917,IF(F919="UBASTIC",PR!$BK917,IF(F919="UNION",PR!$BL917,IF(F919="UNIQUE",PR!$BM917,IF(F919="VIXA",PR!$BN917,IF(F919="WWCV",PR!$BO917,IF(F919="ZOLON",PR!$BP917,"-"))))))))))))))))))))))))))))))))))))))))))))))))))))))))))))))))</f>
        <v>4500</v>
      </c>
      <c r="F919" s="102" t="str">
        <f>EV!L1161</f>
        <v>SANCON</v>
      </c>
      <c r="G919" s="108">
        <f>IF(H919="ALPHA",PR!$E917,IF(H919="ASSENE",PR!$F917,IF(H919="BIOFEM",PR!$G917,IF(H919="BIOMED",PR!$H917,IF(H919="CHI",PR!$I917,IF(H919="CLARION",PR!$J917,IF(H919="CODIX",PR!$K917,IF(H919="COSMADE",PR!$L917,IF(H919="SANCON",PR!$M917,IF(H919="DEVON",PR!$N917,IF(H919="DORTEMAG",PR!$O917,IF(H919="DGF",PR!$P917,IF(H919="DYNAMIC",PR!$Q917,IF(H919="EMZOR",PR!$R917,IF(H919="EUMATT",PR!$S917,IF(H919="FIDSON",PR!$T917,IF(H919="FCGLOBAL",PR!$U917,IF(H919="GENEITH",PR!$V917,IF(H919="GINOS",PR!$W917,IF(H919="GSK",PR!$X917,IF(H919="GLOBORG",PR!$Y917,IF(H919="GOODNEWS",PR!$Z917,IF(H919="GREENLIFE",PR!$AA917,IF(H919="HLINE",PR!$AB917,IF(H919="ROTECH",PR!$AC917,IF(H919="ISN",PR!$AD917,IF(H919="JAWA",PR!$AE917,IF(H919="LAYO",PR!$AF917,IF(H919="LEADWAY",PR!$AG917,IF(H919="LHV",PR!$AH917,IF(H919="MANOLA",PR!$AI917,IF(H919="MARCSON",PR!$AJ917,IF(H919="M&amp;B",PR!$AK917,IF(H919="MTRUST",PR!$AL917,IF(H919="MWORLD",PR!$AM917,IF(H919="MEGA",PR!$AN917,IF(H919="MICRONOVA",PR!$AO917,IF(H919="MFLASH",PR!$AP917,IF(H919="MORISON",PR!$AQ917,IF(H919="NEMEL",PR!$AR917,IF(H919="NHP",PR!$AS917,IF(H919="NHC",PR!$AT917,IF(H919="OLEAF",PR!$AU917,IF(H919="OCULUS",PR!$AV917,IF(H919="PACIFIC",PR!$AW917,IF(H919="PHAMATEX",PR!$AX917,IF(H919="PETHICS",PR!$AY917,IF(H919="PHILIPS",PR!$AZ917,IF(H919="RANBAXY",PR!$BA917,IF(H919="REALS",PR!$BB917,IF(H919="ROYAL",PR!$BC917,IF(H919="SAM",PR!$BD917,IF(H919="SEAGREEN",PR!$BE917,IF(H919="SKG",PR!$BF917,IF(H919="TAH",PR!$BG917,IF(H919="TAYLEK",PR!$BH917,IF(H919="TEMITA",PR!$BI917,IF(H919="THL",PR!$BJ917,IF(H919="UBASTIC",PR!$BK917,IF(H919="UNION",PR!$BL917,IF(H919="UNIQUE",PR!$BM917,IF(H919="VIXA",PR!$BN917,IF(H919="WWCV",PR!$BO917,IF(H919="ZOLON",PR!$BP917,"-"))))))))))))))))))))))))))))))))))))))))))))))))))))))))))))))))</f>
        <v>5000</v>
      </c>
      <c r="H919" s="102" t="str">
        <f>EV!M1161</f>
        <v>COSMADE</v>
      </c>
      <c r="I919" s="108">
        <f>IF(J919="ALPHA",PR!$E917,IF(J919="ASSENE",PR!$F917,IF(J919="BIOFEM",PR!$G917,IF(J919="BIOMED",PR!$H917,IF(J919="CHI",PR!$I917,IF(J919="CLARION",PR!$J917,IF(J919="CODIX",PR!$K917,IF(J919="COSMADE",PR!$L917,IF(J919="SANCON",PR!$M917,IF(J919="DEVON",PR!$N917,IF(J919="DORTEMAG",PR!$O917,IF(J919="DGF",PR!$P917,IF(J919="DYNAMIC",PR!$Q917,IF(J919="EMZOR",PR!$R917,IF(J919="EUMATT",PR!$S917,IF(J919="FIDSON",PR!$T917,IF(J919="FCGLOBAL",PR!$U917,IF(J919="GENEITH",PR!$V917,IF(J919="GINOS",PR!$W917,IF(J919="GSK",PR!$X917,IF(J919="GLOBORG",PR!$Y917,IF(J919="GOODNEWS",PR!$Z917,IF(J919="GREENLIFE",PR!$AA917,IF(J919="HLINE",PR!$AB917,IF(J919="ROTECH",PR!$AC917,IF(J919="ISN",PR!$AD917,IF(J919="JAWA",PR!$AE917,IF(J919="LAYO",PR!$AF917,IF(J919="LEADWAY",PR!$AG917,IF(J919="LHV",PR!$AH917,IF(J919="MANOLA",PR!$AI917,IF(J919="MARCSON",PR!$AJ917,IF(J919="M&amp;B",PR!$AK917,IF(J919="MTRUST",PR!$AL917,IF(J919="MWORLD",PR!$AM917,IF(J919="MEGA",PR!$AN917,IF(J919="MICRONOVA",PR!$AO917,IF(J919="MFLASH",PR!$AP917,IF(J919="MORISON",PR!$AQ917,IF(J919="NEMEL",PR!$AR917,IF(J919="NHP",PR!$AS917,IF(J919="NHC",PR!$AT917,IF(J919="OLEAF",PR!$AU917,IF(J919="OCULUS",PR!$AV917,IF(J919="PACIFIC",PR!$AW917,IF(J919="PHAMATEX",PR!$AX917,IF(J919="PETHICS",PR!$AY917,IF(J919="PHILIPS",PR!$AZ917,IF(J919="RANBAXY",PR!$BA917,IF(J919="REALS",PR!$BB917,IF(J919="ROYAL",PR!$BC917,IF(J919="SAM",PR!$BD917,IF(J919="SEAGREEN",PR!$BE917,IF(J919="SKG",PR!$BF917,IF(J919="TAH",PR!$BG917,IF(J919="TAYLEK",PR!$BH917,IF(J919="TEMITA",PR!$BI917,IF(J919="THL",PR!$BJ917,IF(J919="UBASTIC",PR!$BK917,IF(J919="UNION",PR!$BL917,IF(J919="UNIQUE",PR!$BM917,IF(J919="VIXA",PR!$BN917,IF(J919="WWCV",PR!$BO917,IF(J919="ZOLON",PR!$BP917,"-"))))))))))))))))))))))))))))))))))))))))))))))))))))))))))))))))</f>
        <v>6875</v>
      </c>
      <c r="J919" s="102" t="str">
        <f>EV!N1161</f>
        <v>DYNAMIC</v>
      </c>
      <c r="K919" s="433" t="s">
        <v>817</v>
      </c>
      <c r="L919" s="183">
        <f>IF(K919&gt;0,IF(K919="ALPHA",PR!$E917,IF(K919="ASSENE",PR!$F917,IF(K919="BIOFEM",PR!$G917,IF(K919="BIOMED",PR!$H917,IF(K919="CHI",PR!$I917,IF(K919="CLARION",PR!$J917,IF(K919="CODIX",PR!$K917,IF(K919="COSMADE",PR!$L917,IF(K919="SANCON",PR!$M917,IF(K919="DEVON",PR!$N917,IF(K919="DORTEMAG",PR!$O917,IF(K919="DGF",PR!$P917,IF(K919="DYNAMIC",PR!$Q917,IF(K919="EMZOR",PR!$R917,IF(K919="EUMATT",PR!$S917,IF(K919="FIDSON",PR!$T917,IF(K919="FCGLOBAL",PR!$U917,IF(K919="GENEITH",PR!$V917,IF(K919="GINOS",PR!$W917,IF(K919="GSK",PR!$X917,IF(K919="GLOBORG",PR!$Y917,IF(K919="GOODNEWS",PR!$Z917,IF(K919="GREENLIFE",PR!$AA917,IF(K919="HLINE",PR!$AB917,IF(K919="ROTECH",PR!$AC917,IF(K919="ISN",PR!$AD917,IF(K919="JAWA",PR!$AE917,IF(K919="LAYO",PR!$AF917,IF(K919="LEADWAY",PR!$AG917,IF(K919="LHV",PR!$AH917,IF(K919="MANOLA",PR!$AI917,IF(K919="MARCSON",PR!$AJ917,IF(K919="M&amp;B",PR!$AK917,IF(K919="MTRUST",PR!$AL917,IF(K919="MWORLD",PR!$AM917,IF(K919="MEGA",PR!$AN917,IF(K919="MICRONOVA",PR!$AO917,IF(K919="MFLASH",PR!$AP917,IF(K919="MORISON",PR!$AQ917,IF(K919="NEMEL",PR!$AR917,IF(K919="NHP",PR!$AS917,IF(K919="NHC",PR!$AT917,IF(K919="OLEAF",PR!$AU917,IF(K919="OCULUS",PR!$AV917,IF(K919="PACIFIC",PR!$AW917,IF(K919="PHAMATEX",PR!$AX917,IF(K919="PETHICS",PR!$AY917,IF(K919="PHILIPS",PR!$AZ917,IF(K919="RANBAXY",PR!$BA917,IF(K919="REALS",PR!$BB917,IF(K919="ROYAL",PR!$BC917,IF(K919="SAM",PR!$BD917,IF(K919="SEAGREEN",PR!$BE917,IF(K919="SKG",PR!$BF917,IF(K919="TAH",PR!$BG917,IF(K919="TAYLEK",PR!$BH917,IF(K919="TEMITA",PR!$BI917,IF(K919="THL",PR!$BJ917,IF(K919="UBASTIC",PR!$BK917,IF(K919="UNION",PR!$BL917,IF(K919="UNIQUE",PR!$BM917,IF(K919="VIXA",PR!$BN917,IF(K919="WWCV",PR!$BO917,IF(K919="ZOLON",PR!$BP917,"-")))))))))))))))))))))))))))))))))))))))))))))))))))))))))))))))))</f>
        <v>4500</v>
      </c>
    </row>
    <row r="920" spans="1:12" ht="18.75" x14ac:dyDescent="0.3">
      <c r="A920" s="430">
        <f>PR!A918</f>
        <v>828</v>
      </c>
      <c r="B920" s="15" t="str">
        <f>PR!B918</f>
        <v>CITRATE VACUTAINER BOTTLES</v>
      </c>
      <c r="C920" s="113" t="str">
        <f>PR!D918</f>
        <v>1 pack of 10</v>
      </c>
      <c r="D920" s="113">
        <f>PR!C918</f>
        <v>3</v>
      </c>
      <c r="E920" s="108">
        <f>IF(F920="ALPHA",PR!$E918,IF(F920="ASSENE",PR!$F918,IF(F920="BIOFEM",PR!$G918,IF(F920="BIOMED",PR!$H918,IF(F920="CHI",PR!$I918,IF(F920="CLARION",PR!$J918,IF(F920="CODIX",PR!$K918,IF(F920="COSMADE",PR!$L918,IF(F920="SANCON",PR!$M918,IF(F920="DEVON",PR!$N918,IF(F920="DORTEMAG",PR!$O918,IF(F920="DGF",PR!$P918,IF(F920="DYNAMIC",PR!$Q918,IF(F920="EMZOR",PR!$R918,IF(F920="EUMATT",PR!$S918,IF(F920="FIDSON",PR!$T918,IF(F920="FCGLOBAL",PR!$U918,IF(F920="GENEITH",PR!$V918,IF(F920="GINOS",PR!$W918,IF(F920="GSK",PR!$X918,IF(F920="GLOBORG",PR!$Y918,IF(F920="GOODNEWS",PR!$Z918,IF(F920="GREENLIFE",PR!$AA918,IF(F920="HLINE",PR!$AB918,IF(F920="ROTECH",PR!$AC918,IF(F920="ISN",PR!$AD918,IF(F920="JAWA",PR!$AE918,IF(F920="LAYO",PR!$AF918,IF(F920="LEADWAY",PR!$AG918,IF(F920="LHV",PR!$AH918,IF(F920="MANOLA",PR!$AI918,IF(F920="MARCSON",PR!$AJ918,IF(F920="M&amp;B",PR!$AK918,IF(F920="MTRUST",PR!$AL918,IF(F920="MWORLD",PR!$AM918,IF(F920="MEGA",PR!$AN918,IF(F920="MICRONOVA",PR!$AO918,IF(F920="MFLASH",PR!$AP918,IF(F920="MORISON",PR!$AQ918,IF(F920="NEMEL",PR!$AR918,IF(F920="NHP",PR!$AS918,IF(F920="NHC",PR!$AT918,IF(F920="OLEAF",PR!$AU918,IF(F920="OCULUS",PR!$AV918,IF(F920="PACIFIC",PR!$AW918,IF(F920="PHAMATEX",PR!$AX918,IF(F920="PETHICS",PR!$AY918,IF(F920="PHILIPS",PR!$AZ918,IF(F920="RANBAXY",PR!$BA918,IF(F920="REALS",PR!$BB918,IF(F920="ROYAL",PR!$BC918,IF(F920="SAM",PR!$BD918,IF(F920="SEAGREEN",PR!$BE918,IF(F920="SKG",PR!$BF918,IF(F920="TAH",PR!$BG918,IF(F920="TAYLEK",PR!$BH918,IF(F920="TEMITA",PR!$BI918,IF(F920="THL",PR!$BJ918,IF(F920="UBASTIC",PR!$BK918,IF(F920="UNION",PR!$BL918,IF(F920="UNIQUE",PR!$BM918,IF(F920="VIXA",PR!$BN918,IF(F920="WWCV",PR!$BO918,IF(F920="ZOLON",PR!$BP918,"-"))))))))))))))))))))))))))))))))))))))))))))))))))))))))))))))))</f>
        <v>3500</v>
      </c>
      <c r="F920" s="102" t="str">
        <f>EV!L1162</f>
        <v>TEMITA</v>
      </c>
      <c r="G920" s="108">
        <f>IF(H920="ALPHA",PR!$E918,IF(H920="ASSENE",PR!$F918,IF(H920="BIOFEM",PR!$G918,IF(H920="BIOMED",PR!$H918,IF(H920="CHI",PR!$I918,IF(H920="CLARION",PR!$J918,IF(H920="CODIX",PR!$K918,IF(H920="COSMADE",PR!$L918,IF(H920="SANCON",PR!$M918,IF(H920="DEVON",PR!$N918,IF(H920="DORTEMAG",PR!$O918,IF(H920="DGF",PR!$P918,IF(H920="DYNAMIC",PR!$Q918,IF(H920="EMZOR",PR!$R918,IF(H920="EUMATT",PR!$S918,IF(H920="FIDSON",PR!$T918,IF(H920="FCGLOBAL",PR!$U918,IF(H920="GENEITH",PR!$V918,IF(H920="GINOS",PR!$W918,IF(H920="GSK",PR!$X918,IF(H920="GLOBORG",PR!$Y918,IF(H920="GOODNEWS",PR!$Z918,IF(H920="GREENLIFE",PR!$AA918,IF(H920="HLINE",PR!$AB918,IF(H920="ROTECH",PR!$AC918,IF(H920="ISN",PR!$AD918,IF(H920="JAWA",PR!$AE918,IF(H920="LAYO",PR!$AF918,IF(H920="LEADWAY",PR!$AG918,IF(H920="LHV",PR!$AH918,IF(H920="MANOLA",PR!$AI918,IF(H920="MARCSON",PR!$AJ918,IF(H920="M&amp;B",PR!$AK918,IF(H920="MTRUST",PR!$AL918,IF(H920="MWORLD",PR!$AM918,IF(H920="MEGA",PR!$AN918,IF(H920="MICRONOVA",PR!$AO918,IF(H920="MFLASH",PR!$AP918,IF(H920="MORISON",PR!$AQ918,IF(H920="NEMEL",PR!$AR918,IF(H920="NHP",PR!$AS918,IF(H920="NHC",PR!$AT918,IF(H920="OLEAF",PR!$AU918,IF(H920="OCULUS",PR!$AV918,IF(H920="PACIFIC",PR!$AW918,IF(H920="PHAMATEX",PR!$AX918,IF(H920="PETHICS",PR!$AY918,IF(H920="PHILIPS",PR!$AZ918,IF(H920="RANBAXY",PR!$BA918,IF(H920="REALS",PR!$BB918,IF(H920="ROYAL",PR!$BC918,IF(H920="SAM",PR!$BD918,IF(H920="SEAGREEN",PR!$BE918,IF(H920="SKG",PR!$BF918,IF(H920="TAH",PR!$BG918,IF(H920="TAYLEK",PR!$BH918,IF(H920="TEMITA",PR!$BI918,IF(H920="THL",PR!$BJ918,IF(H920="UBASTIC",PR!$BK918,IF(H920="UNION",PR!$BL918,IF(H920="UNIQUE",PR!$BM918,IF(H920="VIXA",PR!$BN918,IF(H920="WWCV",PR!$BO918,IF(H920="ZOLON",PR!$BP918,"-"))))))))))))))))))))))))))))))))))))))))))))))))))))))))))))))))</f>
        <v>4500</v>
      </c>
      <c r="H920" s="102" t="str">
        <f>EV!M1162</f>
        <v>SANCON</v>
      </c>
      <c r="I920" s="108">
        <f>IF(J920="ALPHA",PR!$E918,IF(J920="ASSENE",PR!$F918,IF(J920="BIOFEM",PR!$G918,IF(J920="BIOMED",PR!$H918,IF(J920="CHI",PR!$I918,IF(J920="CLARION",PR!$J918,IF(J920="CODIX",PR!$K918,IF(J920="COSMADE",PR!$L918,IF(J920="SANCON",PR!$M918,IF(J920="DEVON",PR!$N918,IF(J920="DORTEMAG",PR!$O918,IF(J920="DGF",PR!$P918,IF(J920="DYNAMIC",PR!$Q918,IF(J920="EMZOR",PR!$R918,IF(J920="EUMATT",PR!$S918,IF(J920="FIDSON",PR!$T918,IF(J920="FCGLOBAL",PR!$U918,IF(J920="GENEITH",PR!$V918,IF(J920="GINOS",PR!$W918,IF(J920="GSK",PR!$X918,IF(J920="GLOBORG",PR!$Y918,IF(J920="GOODNEWS",PR!$Z918,IF(J920="GREENLIFE",PR!$AA918,IF(J920="HLINE",PR!$AB918,IF(J920="ROTECH",PR!$AC918,IF(J920="ISN",PR!$AD918,IF(J920="JAWA",PR!$AE918,IF(J920="LAYO",PR!$AF918,IF(J920="LEADWAY",PR!$AG918,IF(J920="LHV",PR!$AH918,IF(J920="MANOLA",PR!$AI918,IF(J920="MARCSON",PR!$AJ918,IF(J920="M&amp;B",PR!$AK918,IF(J920="MTRUST",PR!$AL918,IF(J920="MWORLD",PR!$AM918,IF(J920="MEGA",PR!$AN918,IF(J920="MICRONOVA",PR!$AO918,IF(J920="MFLASH",PR!$AP918,IF(J920="MORISON",PR!$AQ918,IF(J920="NEMEL",PR!$AR918,IF(J920="NHP",PR!$AS918,IF(J920="NHC",PR!$AT918,IF(J920="OLEAF",PR!$AU918,IF(J920="OCULUS",PR!$AV918,IF(J920="PACIFIC",PR!$AW918,IF(J920="PHAMATEX",PR!$AX918,IF(J920="PETHICS",PR!$AY918,IF(J920="PHILIPS",PR!$AZ918,IF(J920="RANBAXY",PR!$BA918,IF(J920="REALS",PR!$BB918,IF(J920="ROYAL",PR!$BC918,IF(J920="SAM",PR!$BD918,IF(J920="SEAGREEN",PR!$BE918,IF(J920="SKG",PR!$BF918,IF(J920="TAH",PR!$BG918,IF(J920="TAYLEK",PR!$BH918,IF(J920="TEMITA",PR!$BI918,IF(J920="THL",PR!$BJ918,IF(J920="UBASTIC",PR!$BK918,IF(J920="UNION",PR!$BL918,IF(J920="UNIQUE",PR!$BM918,IF(J920="VIXA",PR!$BN918,IF(J920="WWCV",PR!$BO918,IF(J920="ZOLON",PR!$BP918,"-"))))))))))))))))))))))))))))))))))))))))))))))))))))))))))))))))</f>
        <v>20000</v>
      </c>
      <c r="J920" s="102" t="str">
        <f>EV!N1162</f>
        <v>DYNAMIC</v>
      </c>
      <c r="K920" s="433" t="s">
        <v>1463</v>
      </c>
      <c r="L920" s="183">
        <f>IF(K920&gt;0,IF(K920="ALPHA",PR!$E918,IF(K920="ASSENE",PR!$F918,IF(K920="BIOFEM",PR!$G918,IF(K920="BIOMED",PR!$H918,IF(K920="CHI",PR!$I918,IF(K920="CLARION",PR!$J918,IF(K920="CODIX",PR!$K918,IF(K920="COSMADE",PR!$L918,IF(K920="SANCON",PR!$M918,IF(K920="DEVON",PR!$N918,IF(K920="DORTEMAG",PR!$O918,IF(K920="DGF",PR!$P918,IF(K920="DYNAMIC",PR!$Q918,IF(K920="EMZOR",PR!$R918,IF(K920="EUMATT",PR!$S918,IF(K920="FIDSON",PR!$T918,IF(K920="FCGLOBAL",PR!$U918,IF(K920="GENEITH",PR!$V918,IF(K920="GINOS",PR!$W918,IF(K920="GSK",PR!$X918,IF(K920="GLOBORG",PR!$Y918,IF(K920="GOODNEWS",PR!$Z918,IF(K920="GREENLIFE",PR!$AA918,IF(K920="HLINE",PR!$AB918,IF(K920="ROTECH",PR!$AC918,IF(K920="ISN",PR!$AD918,IF(K920="JAWA",PR!$AE918,IF(K920="LAYO",PR!$AF918,IF(K920="LEADWAY",PR!$AG918,IF(K920="LHV",PR!$AH918,IF(K920="MANOLA",PR!$AI918,IF(K920="MARCSON",PR!$AJ918,IF(K920="M&amp;B",PR!$AK918,IF(K920="MTRUST",PR!$AL918,IF(K920="MWORLD",PR!$AM918,IF(K920="MEGA",PR!$AN918,IF(K920="MICRONOVA",PR!$AO918,IF(K920="MFLASH",PR!$AP918,IF(K920="MORISON",PR!$AQ918,IF(K920="NEMEL",PR!$AR918,IF(K920="NHP",PR!$AS918,IF(K920="NHC",PR!$AT918,IF(K920="OLEAF",PR!$AU918,IF(K920="OCULUS",PR!$AV918,IF(K920="PACIFIC",PR!$AW918,IF(K920="PHAMATEX",PR!$AX918,IF(K920="PETHICS",PR!$AY918,IF(K920="PHILIPS",PR!$AZ918,IF(K920="RANBAXY",PR!$BA918,IF(K920="REALS",PR!$BB918,IF(K920="ROYAL",PR!$BC918,IF(K920="SAM",PR!$BD918,IF(K920="SEAGREEN",PR!$BE918,IF(K920="SKG",PR!$BF918,IF(K920="TAH",PR!$BG918,IF(K920="TAYLEK",PR!$BH918,IF(K920="TEMITA",PR!$BI918,IF(K920="THL",PR!$BJ918,IF(K920="UBASTIC",PR!$BK918,IF(K920="UNION",PR!$BL918,IF(K920="UNIQUE",PR!$BM918,IF(K920="VIXA",PR!$BN918,IF(K920="WWCV",PR!$BO918,IF(K920="ZOLON",PR!$BP918,"-")))))))))))))))))))))))))))))))))))))))))))))))))))))))))))))))))</f>
        <v>3500</v>
      </c>
    </row>
    <row r="921" spans="1:12" ht="18.75" x14ac:dyDescent="0.3">
      <c r="A921" s="430">
        <f>PR!A919</f>
        <v>829</v>
      </c>
      <c r="B921" s="15" t="str">
        <f>PR!B919</f>
        <v>KHAN TUBES</v>
      </c>
      <c r="C921" s="113" t="str">
        <f>PR!D919</f>
        <v>1 pack of 100</v>
      </c>
      <c r="D921" s="113">
        <f>PR!C919</f>
        <v>10</v>
      </c>
      <c r="E921" s="108">
        <f>IF(F921="ALPHA",PR!$E919,IF(F921="ASSENE",PR!$F919,IF(F921="BIOFEM",PR!$G919,IF(F921="BIOMED",PR!$H919,IF(F921="CHI",PR!$I919,IF(F921="CLARION",PR!$J919,IF(F921="CODIX",PR!$K919,IF(F921="COSMADE",PR!$L919,IF(F921="SANCON",PR!$M919,IF(F921="DEVON",PR!$N919,IF(F921="DORTEMAG",PR!$O919,IF(F921="DGF",PR!$P919,IF(F921="DYNAMIC",PR!$Q919,IF(F921="EMZOR",PR!$R919,IF(F921="EUMATT",PR!$S919,IF(F921="FIDSON",PR!$T919,IF(F921="FCGLOBAL",PR!$U919,IF(F921="GENEITH",PR!$V919,IF(F921="GINOS",PR!$W919,IF(F921="GSK",PR!$X919,IF(F921="GLOBORG",PR!$Y919,IF(F921="GOODNEWS",PR!$Z919,IF(F921="GREENLIFE",PR!$AA919,IF(F921="HLINE",PR!$AB919,IF(F921="ROTECH",PR!$AC919,IF(F921="ISN",PR!$AD919,IF(F921="JAWA",PR!$AE919,IF(F921="LAYO",PR!$AF919,IF(F921="LEADWAY",PR!$AG919,IF(F921="LHV",PR!$AH919,IF(F921="MANOLA",PR!$AI919,IF(F921="MARCSON",PR!$AJ919,IF(F921="M&amp;B",PR!$AK919,IF(F921="MTRUST",PR!$AL919,IF(F921="MWORLD",PR!$AM919,IF(F921="MEGA",PR!$AN919,IF(F921="MICRONOVA",PR!$AO919,IF(F921="MFLASH",PR!$AP919,IF(F921="MORISON",PR!$AQ919,IF(F921="NEMEL",PR!$AR919,IF(F921="NHP",PR!$AS919,IF(F921="NHC",PR!$AT919,IF(F921="OLEAF",PR!$AU919,IF(F921="OCULUS",PR!$AV919,IF(F921="PACIFIC",PR!$AW919,IF(F921="PHAMATEX",PR!$AX919,IF(F921="PETHICS",PR!$AY919,IF(F921="PHILIPS",PR!$AZ919,IF(F921="RANBAXY",PR!$BA919,IF(F921="REALS",PR!$BB919,IF(F921="ROYAL",PR!$BC919,IF(F921="SAM",PR!$BD919,IF(F921="SEAGREEN",PR!$BE919,IF(F921="SKG",PR!$BF919,IF(F921="TAH",PR!$BG919,IF(F921="TAYLEK",PR!$BH919,IF(F921="TEMITA",PR!$BI919,IF(F921="THL",PR!$BJ919,IF(F921="UBASTIC",PR!$BK919,IF(F921="UNION",PR!$BL919,IF(F921="UNIQUE",PR!$BM919,IF(F921="VIXA",PR!$BN919,IF(F921="WWCV",PR!$BO919,IF(F921="ZOLON",PR!$BP919,"-"))))))))))))))))))))))))))))))))))))))))))))))))))))))))))))))))</f>
        <v>3375</v>
      </c>
      <c r="F921" s="102" t="str">
        <f>EV!L1163</f>
        <v>DYNAMIC</v>
      </c>
      <c r="G921" s="108">
        <f>IF(H921="ALPHA",PR!$E919,IF(H921="ASSENE",PR!$F919,IF(H921="BIOFEM",PR!$G919,IF(H921="BIOMED",PR!$H919,IF(H921="CHI",PR!$I919,IF(H921="CLARION",PR!$J919,IF(H921="CODIX",PR!$K919,IF(H921="COSMADE",PR!$L919,IF(H921="SANCON",PR!$M919,IF(H921="DEVON",PR!$N919,IF(H921="DORTEMAG",PR!$O919,IF(H921="DGF",PR!$P919,IF(H921="DYNAMIC",PR!$Q919,IF(H921="EMZOR",PR!$R919,IF(H921="EUMATT",PR!$S919,IF(H921="FIDSON",PR!$T919,IF(H921="FCGLOBAL",PR!$U919,IF(H921="GENEITH",PR!$V919,IF(H921="GINOS",PR!$W919,IF(H921="GSK",PR!$X919,IF(H921="GLOBORG",PR!$Y919,IF(H921="GOODNEWS",PR!$Z919,IF(H921="GREENLIFE",PR!$AA919,IF(H921="HLINE",PR!$AB919,IF(H921="ROTECH",PR!$AC919,IF(H921="ISN",PR!$AD919,IF(H921="JAWA",PR!$AE919,IF(H921="LAYO",PR!$AF919,IF(H921="LEADWAY",PR!$AG919,IF(H921="LHV",PR!$AH919,IF(H921="MANOLA",PR!$AI919,IF(H921="MARCSON",PR!$AJ919,IF(H921="M&amp;B",PR!$AK919,IF(H921="MTRUST",PR!$AL919,IF(H921="MWORLD",PR!$AM919,IF(H921="MEGA",PR!$AN919,IF(H921="MICRONOVA",PR!$AO919,IF(H921="MFLASH",PR!$AP919,IF(H921="MORISON",PR!$AQ919,IF(H921="NEMEL",PR!$AR919,IF(H921="NHP",PR!$AS919,IF(H921="NHC",PR!$AT919,IF(H921="OLEAF",PR!$AU919,IF(H921="OCULUS",PR!$AV919,IF(H921="PACIFIC",PR!$AW919,IF(H921="PHAMATEX",PR!$AX919,IF(H921="PETHICS",PR!$AY919,IF(H921="PHILIPS",PR!$AZ919,IF(H921="RANBAXY",PR!$BA919,IF(H921="REALS",PR!$BB919,IF(H921="ROYAL",PR!$BC919,IF(H921="SAM",PR!$BD919,IF(H921="SEAGREEN",PR!$BE919,IF(H921="SKG",PR!$BF919,IF(H921="TAH",PR!$BG919,IF(H921="TAYLEK",PR!$BH919,IF(H921="TEMITA",PR!$BI919,IF(H921="THL",PR!$BJ919,IF(H921="UBASTIC",PR!$BK919,IF(H921="UNION",PR!$BL919,IF(H921="UNIQUE",PR!$BM919,IF(H921="VIXA",PR!$BN919,IF(H921="WWCV",PR!$BO919,IF(H921="ZOLON",PR!$BP919,"-"))))))))))))))))))))))))))))))))))))))))))))))))))))))))))))))))</f>
        <v>4000</v>
      </c>
      <c r="H921" s="102" t="str">
        <f>EV!M1163</f>
        <v>COSMADE</v>
      </c>
      <c r="I921" s="108">
        <f>IF(J921="ALPHA",PR!$E919,IF(J921="ASSENE",PR!$F919,IF(J921="BIOFEM",PR!$G919,IF(J921="BIOMED",PR!$H919,IF(J921="CHI",PR!$I919,IF(J921="CLARION",PR!$J919,IF(J921="CODIX",PR!$K919,IF(J921="COSMADE",PR!$L919,IF(J921="SANCON",PR!$M919,IF(J921="DEVON",PR!$N919,IF(J921="DORTEMAG",PR!$O919,IF(J921="DGF",PR!$P919,IF(J921="DYNAMIC",PR!$Q919,IF(J921="EMZOR",PR!$R919,IF(J921="EUMATT",PR!$S919,IF(J921="FIDSON",PR!$T919,IF(J921="FCGLOBAL",PR!$U919,IF(J921="GENEITH",PR!$V919,IF(J921="GINOS",PR!$W919,IF(J921="GSK",PR!$X919,IF(J921="GLOBORG",PR!$Y919,IF(J921="GOODNEWS",PR!$Z919,IF(J921="GREENLIFE",PR!$AA919,IF(J921="HLINE",PR!$AB919,IF(J921="ROTECH",PR!$AC919,IF(J921="ISN",PR!$AD919,IF(J921="JAWA",PR!$AE919,IF(J921="LAYO",PR!$AF919,IF(J921="LEADWAY",PR!$AG919,IF(J921="LHV",PR!$AH919,IF(J921="MANOLA",PR!$AI919,IF(J921="MARCSON",PR!$AJ919,IF(J921="M&amp;B",PR!$AK919,IF(J921="MTRUST",PR!$AL919,IF(J921="MWORLD",PR!$AM919,IF(J921="MEGA",PR!$AN919,IF(J921="MICRONOVA",PR!$AO919,IF(J921="MFLASH",PR!$AP919,IF(J921="MORISON",PR!$AQ919,IF(J921="NEMEL",PR!$AR919,IF(J921="NHP",PR!$AS919,IF(J921="NHC",PR!$AT919,IF(J921="OLEAF",PR!$AU919,IF(J921="OCULUS",PR!$AV919,IF(J921="PACIFIC",PR!$AW919,IF(J921="PHAMATEX",PR!$AX919,IF(J921="PETHICS",PR!$AY919,IF(J921="PHILIPS",PR!$AZ919,IF(J921="RANBAXY",PR!$BA919,IF(J921="REALS",PR!$BB919,IF(J921="ROYAL",PR!$BC919,IF(J921="SAM",PR!$BD919,IF(J921="SEAGREEN",PR!$BE919,IF(J921="SKG",PR!$BF919,IF(J921="TAH",PR!$BG919,IF(J921="TAYLEK",PR!$BH919,IF(J921="TEMITA",PR!$BI919,IF(J921="THL",PR!$BJ919,IF(J921="UBASTIC",PR!$BK919,IF(J921="UNION",PR!$BL919,IF(J921="UNIQUE",PR!$BM919,IF(J921="VIXA",PR!$BN919,IF(J921="WWCV",PR!$BO919,IF(J921="ZOLON",PR!$BP919,"-"))))))))))))))))))))))))))))))))))))))))))))))))))))))))))))))))</f>
        <v>4375</v>
      </c>
      <c r="J921" s="102" t="str">
        <f>EV!N1163</f>
        <v>TEMITA</v>
      </c>
      <c r="K921" s="433" t="s">
        <v>626</v>
      </c>
      <c r="L921" s="183">
        <f>IF(K921&gt;0,IF(K921="ALPHA",PR!$E919,IF(K921="ASSENE",PR!$F919,IF(K921="BIOFEM",PR!$G919,IF(K921="BIOMED",PR!$H919,IF(K921="CHI",PR!$I919,IF(K921="CLARION",PR!$J919,IF(K921="CODIX",PR!$K919,IF(K921="COSMADE",PR!$L919,IF(K921="SANCON",PR!$M919,IF(K921="DEVON",PR!$N919,IF(K921="DORTEMAG",PR!$O919,IF(K921="DGF",PR!$P919,IF(K921="DYNAMIC",PR!$Q919,IF(K921="EMZOR",PR!$R919,IF(K921="EUMATT",PR!$S919,IF(K921="FIDSON",PR!$T919,IF(K921="FCGLOBAL",PR!$U919,IF(K921="GENEITH",PR!$V919,IF(K921="GINOS",PR!$W919,IF(K921="GSK",PR!$X919,IF(K921="GLOBORG",PR!$Y919,IF(K921="GOODNEWS",PR!$Z919,IF(K921="GREENLIFE",PR!$AA919,IF(K921="HLINE",PR!$AB919,IF(K921="ROTECH",PR!$AC919,IF(K921="ISN",PR!$AD919,IF(K921="JAWA",PR!$AE919,IF(K921="LAYO",PR!$AF919,IF(K921="LEADWAY",PR!$AG919,IF(K921="LHV",PR!$AH919,IF(K921="MANOLA",PR!$AI919,IF(K921="MARCSON",PR!$AJ919,IF(K921="M&amp;B",PR!$AK919,IF(K921="MTRUST",PR!$AL919,IF(K921="MWORLD",PR!$AM919,IF(K921="MEGA",PR!$AN919,IF(K921="MICRONOVA",PR!$AO919,IF(K921="MFLASH",PR!$AP919,IF(K921="MORISON",PR!$AQ919,IF(K921="NEMEL",PR!$AR919,IF(K921="NHP",PR!$AS919,IF(K921="NHC",PR!$AT919,IF(K921="OLEAF",PR!$AU919,IF(K921="OCULUS",PR!$AV919,IF(K921="PACIFIC",PR!$AW919,IF(K921="PHAMATEX",PR!$AX919,IF(K921="PETHICS",PR!$AY919,IF(K921="PHILIPS",PR!$AZ919,IF(K921="RANBAXY",PR!$BA919,IF(K921="REALS",PR!$BB919,IF(K921="ROYAL",PR!$BC919,IF(K921="SAM",PR!$BD919,IF(K921="SEAGREEN",PR!$BE919,IF(K921="SKG",PR!$BF919,IF(K921="TAH",PR!$BG919,IF(K921="TAYLEK",PR!$BH919,IF(K921="TEMITA",PR!$BI919,IF(K921="THL",PR!$BJ919,IF(K921="UBASTIC",PR!$BK919,IF(K921="UNION",PR!$BL919,IF(K921="UNIQUE",PR!$BM919,IF(K921="VIXA",PR!$BN919,IF(K921="WWCV",PR!$BO919,IF(K921="ZOLON",PR!$BP919,"-")))))))))))))))))))))))))))))))))))))))))))))))))))))))))))))))))</f>
        <v>3375</v>
      </c>
    </row>
    <row r="922" spans="1:12" ht="18.75" x14ac:dyDescent="0.3">
      <c r="A922" s="430">
        <f>PR!A920</f>
        <v>830</v>
      </c>
      <c r="B922" s="15" t="str">
        <f>PR!B920</f>
        <v>EPPENDORF TUBE</v>
      </c>
      <c r="C922" s="113" t="str">
        <f>PR!D920</f>
        <v>1 pack of 100</v>
      </c>
      <c r="D922" s="113">
        <f>PR!C920</f>
        <v>7</v>
      </c>
      <c r="E922" s="108">
        <f>IF(F922="ALPHA",PR!$E920,IF(F922="ASSENE",PR!$F920,IF(F922="BIOFEM",PR!$G920,IF(F922="BIOMED",PR!$H920,IF(F922="CHI",PR!$I920,IF(F922="CLARION",PR!$J920,IF(F922="CODIX",PR!$K920,IF(F922="COSMADE",PR!$L920,IF(F922="SANCON",PR!$M920,IF(F922="DEVON",PR!$N920,IF(F922="DORTEMAG",PR!$O920,IF(F922="DGF",PR!$P920,IF(F922="DYNAMIC",PR!$Q920,IF(F922="EMZOR",PR!$R920,IF(F922="EUMATT",PR!$S920,IF(F922="FIDSON",PR!$T920,IF(F922="FCGLOBAL",PR!$U920,IF(F922="GENEITH",PR!$V920,IF(F922="GINOS",PR!$W920,IF(F922="GSK",PR!$X920,IF(F922="GLOBORG",PR!$Y920,IF(F922="GOODNEWS",PR!$Z920,IF(F922="GREENLIFE",PR!$AA920,IF(F922="HLINE",PR!$AB920,IF(F922="ROTECH",PR!$AC920,IF(F922="ISN",PR!$AD920,IF(F922="JAWA",PR!$AE920,IF(F922="LAYO",PR!$AF920,IF(F922="LEADWAY",PR!$AG920,IF(F922="LHV",PR!$AH920,IF(F922="MANOLA",PR!$AI920,IF(F922="MARCSON",PR!$AJ920,IF(F922="M&amp;B",PR!$AK920,IF(F922="MTRUST",PR!$AL920,IF(F922="MWORLD",PR!$AM920,IF(F922="MEGA",PR!$AN920,IF(F922="MICRONOVA",PR!$AO920,IF(F922="MFLASH",PR!$AP920,IF(F922="MORISON",PR!$AQ920,IF(F922="NEMEL",PR!$AR920,IF(F922="NHP",PR!$AS920,IF(F922="NHC",PR!$AT920,IF(F922="OLEAF",PR!$AU920,IF(F922="OCULUS",PR!$AV920,IF(F922="PACIFIC",PR!$AW920,IF(F922="PHAMATEX",PR!$AX920,IF(F922="PETHICS",PR!$AY920,IF(F922="PHILIPS",PR!$AZ920,IF(F922="RANBAXY",PR!$BA920,IF(F922="REALS",PR!$BB920,IF(F922="ROYAL",PR!$BC920,IF(F922="SAM",PR!$BD920,IF(F922="SEAGREEN",PR!$BE920,IF(F922="SKG",PR!$BF920,IF(F922="TAH",PR!$BG920,IF(F922="TAYLEK",PR!$BH920,IF(F922="TEMITA",PR!$BI920,IF(F922="THL",PR!$BJ920,IF(F922="UBASTIC",PR!$BK920,IF(F922="UNION",PR!$BL920,IF(F922="UNIQUE",PR!$BM920,IF(F922="VIXA",PR!$BN920,IF(F922="WWCV",PR!$BO920,IF(F922="ZOLON",PR!$BP920,"-"))))))))))))))))))))))))))))))))))))))))))))))))))))))))))))))))</f>
        <v>1125</v>
      </c>
      <c r="F922" s="102" t="str">
        <f>EV!L1164</f>
        <v>DYNAMIC</v>
      </c>
      <c r="G922" s="108">
        <f>IF(H922="ALPHA",PR!$E920,IF(H922="ASSENE",PR!$F920,IF(H922="BIOFEM",PR!$G920,IF(H922="BIOMED",PR!$H920,IF(H922="CHI",PR!$I920,IF(H922="CLARION",PR!$J920,IF(H922="CODIX",PR!$K920,IF(H922="COSMADE",PR!$L920,IF(H922="SANCON",PR!$M920,IF(H922="DEVON",PR!$N920,IF(H922="DORTEMAG",PR!$O920,IF(H922="DGF",PR!$P920,IF(H922="DYNAMIC",PR!$Q920,IF(H922="EMZOR",PR!$R920,IF(H922="EUMATT",PR!$S920,IF(H922="FIDSON",PR!$T920,IF(H922="FCGLOBAL",PR!$U920,IF(H922="GENEITH",PR!$V920,IF(H922="GINOS",PR!$W920,IF(H922="GSK",PR!$X920,IF(H922="GLOBORG",PR!$Y920,IF(H922="GOODNEWS",PR!$Z920,IF(H922="GREENLIFE",PR!$AA920,IF(H922="HLINE",PR!$AB920,IF(H922="ROTECH",PR!$AC920,IF(H922="ISN",PR!$AD920,IF(H922="JAWA",PR!$AE920,IF(H922="LAYO",PR!$AF920,IF(H922="LEADWAY",PR!$AG920,IF(H922="LHV",PR!$AH920,IF(H922="MANOLA",PR!$AI920,IF(H922="MARCSON",PR!$AJ920,IF(H922="M&amp;B",PR!$AK920,IF(H922="MTRUST",PR!$AL920,IF(H922="MWORLD",PR!$AM920,IF(H922="MEGA",PR!$AN920,IF(H922="MICRONOVA",PR!$AO920,IF(H922="MFLASH",PR!$AP920,IF(H922="MORISON",PR!$AQ920,IF(H922="NEMEL",PR!$AR920,IF(H922="NHP",PR!$AS920,IF(H922="NHC",PR!$AT920,IF(H922="OLEAF",PR!$AU920,IF(H922="OCULUS",PR!$AV920,IF(H922="PACIFIC",PR!$AW920,IF(H922="PHAMATEX",PR!$AX920,IF(H922="PETHICS",PR!$AY920,IF(H922="PHILIPS",PR!$AZ920,IF(H922="RANBAXY",PR!$BA920,IF(H922="REALS",PR!$BB920,IF(H922="ROYAL",PR!$BC920,IF(H922="SAM",PR!$BD920,IF(H922="SEAGREEN",PR!$BE920,IF(H922="SKG",PR!$BF920,IF(H922="TAH",PR!$BG920,IF(H922="TAYLEK",PR!$BH920,IF(H922="TEMITA",PR!$BI920,IF(H922="THL",PR!$BJ920,IF(H922="UBASTIC",PR!$BK920,IF(H922="UNION",PR!$BL920,IF(H922="UNIQUE",PR!$BM920,IF(H922="VIXA",PR!$BN920,IF(H922="WWCV",PR!$BO920,IF(H922="ZOLON",PR!$BP920,"-"))))))))))))))))))))))))))))))))))))))))))))))))))))))))))))))))</f>
        <v>4375</v>
      </c>
      <c r="H922" s="102" t="str">
        <f>EV!M1164</f>
        <v>TEMITA</v>
      </c>
      <c r="I922" s="108">
        <f>IF(J922="ALPHA",PR!$E920,IF(J922="ASSENE",PR!$F920,IF(J922="BIOFEM",PR!$G920,IF(J922="BIOMED",PR!$H920,IF(J922="CHI",PR!$I920,IF(J922="CLARION",PR!$J920,IF(J922="CODIX",PR!$K920,IF(J922="COSMADE",PR!$L920,IF(J922="SANCON",PR!$M920,IF(J922="DEVON",PR!$N920,IF(J922="DORTEMAG",PR!$O920,IF(J922="DGF",PR!$P920,IF(J922="DYNAMIC",PR!$Q920,IF(J922="EMZOR",PR!$R920,IF(J922="EUMATT",PR!$S920,IF(J922="FIDSON",PR!$T920,IF(J922="FCGLOBAL",PR!$U920,IF(J922="GENEITH",PR!$V920,IF(J922="GINOS",PR!$W920,IF(J922="GSK",PR!$X920,IF(J922="GLOBORG",PR!$Y920,IF(J922="GOODNEWS",PR!$Z920,IF(J922="GREENLIFE",PR!$AA920,IF(J922="HLINE",PR!$AB920,IF(J922="ROTECH",PR!$AC920,IF(J922="ISN",PR!$AD920,IF(J922="JAWA",PR!$AE920,IF(J922="LAYO",PR!$AF920,IF(J922="LEADWAY",PR!$AG920,IF(J922="LHV",PR!$AH920,IF(J922="MANOLA",PR!$AI920,IF(J922="MARCSON",PR!$AJ920,IF(J922="M&amp;B",PR!$AK920,IF(J922="MTRUST",PR!$AL920,IF(J922="MWORLD",PR!$AM920,IF(J922="MEGA",PR!$AN920,IF(J922="MICRONOVA",PR!$AO920,IF(J922="MFLASH",PR!$AP920,IF(J922="MORISON",PR!$AQ920,IF(J922="NEMEL",PR!$AR920,IF(J922="NHP",PR!$AS920,IF(J922="NHC",PR!$AT920,IF(J922="OLEAF",PR!$AU920,IF(J922="OCULUS",PR!$AV920,IF(J922="PACIFIC",PR!$AW920,IF(J922="PHAMATEX",PR!$AX920,IF(J922="PETHICS",PR!$AY920,IF(J922="PHILIPS",PR!$AZ920,IF(J922="RANBAXY",PR!$BA920,IF(J922="REALS",PR!$BB920,IF(J922="ROYAL",PR!$BC920,IF(J922="SAM",PR!$BD920,IF(J922="SEAGREEN",PR!$BE920,IF(J922="SKG",PR!$BF920,IF(J922="TAH",PR!$BG920,IF(J922="TAYLEK",PR!$BH920,IF(J922="TEMITA",PR!$BI920,IF(J922="THL",PR!$BJ920,IF(J922="UBASTIC",PR!$BK920,IF(J922="UNION",PR!$BL920,IF(J922="UNIQUE",PR!$BM920,IF(J922="VIXA",PR!$BN920,IF(J922="WWCV",PR!$BO920,IF(J922="ZOLON",PR!$BP920,"-"))))))))))))))))))))))))))))))))))))))))))))))))))))))))))))))))</f>
        <v>4800</v>
      </c>
      <c r="J922" s="102" t="str">
        <f>EV!N1164</f>
        <v>SANCON</v>
      </c>
      <c r="K922" s="433" t="s">
        <v>626</v>
      </c>
      <c r="L922" s="183">
        <f>IF(K922&gt;0,IF(K922="ALPHA",PR!$E920,IF(K922="ASSENE",PR!$F920,IF(K922="BIOFEM",PR!$G920,IF(K922="BIOMED",PR!$H920,IF(K922="CHI",PR!$I920,IF(K922="CLARION",PR!$J920,IF(K922="CODIX",PR!$K920,IF(K922="COSMADE",PR!$L920,IF(K922="SANCON",PR!$M920,IF(K922="DEVON",PR!$N920,IF(K922="DORTEMAG",PR!$O920,IF(K922="DGF",PR!$P920,IF(K922="DYNAMIC",PR!$Q920,IF(K922="EMZOR",PR!$R920,IF(K922="EUMATT",PR!$S920,IF(K922="FIDSON",PR!$T920,IF(K922="FCGLOBAL",PR!$U920,IF(K922="GENEITH",PR!$V920,IF(K922="GINOS",PR!$W920,IF(K922="GSK",PR!$X920,IF(K922="GLOBORG",PR!$Y920,IF(K922="GOODNEWS",PR!$Z920,IF(K922="GREENLIFE",PR!$AA920,IF(K922="HLINE",PR!$AB920,IF(K922="ROTECH",PR!$AC920,IF(K922="ISN",PR!$AD920,IF(K922="JAWA",PR!$AE920,IF(K922="LAYO",PR!$AF920,IF(K922="LEADWAY",PR!$AG920,IF(K922="LHV",PR!$AH920,IF(K922="MANOLA",PR!$AI920,IF(K922="MARCSON",PR!$AJ920,IF(K922="M&amp;B",PR!$AK920,IF(K922="MTRUST",PR!$AL920,IF(K922="MWORLD",PR!$AM920,IF(K922="MEGA",PR!$AN920,IF(K922="MICRONOVA",PR!$AO920,IF(K922="MFLASH",PR!$AP920,IF(K922="MORISON",PR!$AQ920,IF(K922="NEMEL",PR!$AR920,IF(K922="NHP",PR!$AS920,IF(K922="NHC",PR!$AT920,IF(K922="OLEAF",PR!$AU920,IF(K922="OCULUS",PR!$AV920,IF(K922="PACIFIC",PR!$AW920,IF(K922="PHAMATEX",PR!$AX920,IF(K922="PETHICS",PR!$AY920,IF(K922="PHILIPS",PR!$AZ920,IF(K922="RANBAXY",PR!$BA920,IF(K922="REALS",PR!$BB920,IF(K922="ROYAL",PR!$BC920,IF(K922="SAM",PR!$BD920,IF(K922="SEAGREEN",PR!$BE920,IF(K922="SKG",PR!$BF920,IF(K922="TAH",PR!$BG920,IF(K922="TAYLEK",PR!$BH920,IF(K922="TEMITA",PR!$BI920,IF(K922="THL",PR!$BJ920,IF(K922="UBASTIC",PR!$BK920,IF(K922="UNION",PR!$BL920,IF(K922="UNIQUE",PR!$BM920,IF(K922="VIXA",PR!$BN920,IF(K922="WWCV",PR!$BO920,IF(K922="ZOLON",PR!$BP920,"-")))))))))))))))))))))))))))))))))))))))))))))))))))))))))))))))))</f>
        <v>1125</v>
      </c>
    </row>
    <row r="923" spans="1:12" ht="18.75" x14ac:dyDescent="0.3">
      <c r="A923" s="430">
        <f>PR!A921</f>
        <v>831</v>
      </c>
      <c r="B923" s="15" t="str">
        <f>PR!B921</f>
        <v>LIQUID SOAP (500ML)</v>
      </c>
      <c r="C923" s="113" t="str">
        <f>PR!D921</f>
        <v>6 packs</v>
      </c>
      <c r="D923" s="113">
        <f>PR!C921</f>
        <v>6</v>
      </c>
      <c r="E923" s="108">
        <f>IF(F923="ALPHA",PR!$E921,IF(F923="ASSENE",PR!$F921,IF(F923="BIOFEM",PR!$G921,IF(F923="BIOMED",PR!$H921,IF(F923="CHI",PR!$I921,IF(F923="CLARION",PR!$J921,IF(F923="CODIX",PR!$K921,IF(F923="COSMADE",PR!$L921,IF(F923="SANCON",PR!$M921,IF(F923="DEVON",PR!$N921,IF(F923="DORTEMAG",PR!$O921,IF(F923="DGF",PR!$P921,IF(F923="DYNAMIC",PR!$Q921,IF(F923="EMZOR",PR!$R921,IF(F923="EUMATT",PR!$S921,IF(F923="FIDSON",PR!$T921,IF(F923="FCGLOBAL",PR!$U921,IF(F923="GENEITH",PR!$V921,IF(F923="GINOS",PR!$W921,IF(F923="GSK",PR!$X921,IF(F923="GLOBORG",PR!$Y921,IF(F923="GOODNEWS",PR!$Z921,IF(F923="GREENLIFE",PR!$AA921,IF(F923="HLINE",PR!$AB921,IF(F923="ROTECH",PR!$AC921,IF(F923="ISN",PR!$AD921,IF(F923="JAWA",PR!$AE921,IF(F923="LAYO",PR!$AF921,IF(F923="LEADWAY",PR!$AG921,IF(F923="LHV",PR!$AH921,IF(F923="MANOLA",PR!$AI921,IF(F923="MARCSON",PR!$AJ921,IF(F923="M&amp;B",PR!$AK921,IF(F923="MTRUST",PR!$AL921,IF(F923="MWORLD",PR!$AM921,IF(F923="MEGA",PR!$AN921,IF(F923="MICRONOVA",PR!$AO921,IF(F923="MFLASH",PR!$AP921,IF(F923="MORISON",PR!$AQ921,IF(F923="NEMEL",PR!$AR921,IF(F923="NHP",PR!$AS921,IF(F923="NHC",PR!$AT921,IF(F923="OLEAF",PR!$AU921,IF(F923="OCULUS",PR!$AV921,IF(F923="PACIFIC",PR!$AW921,IF(F923="PHAMATEX",PR!$AX921,IF(F923="PETHICS",PR!$AY921,IF(F923="PHILIPS",PR!$AZ921,IF(F923="RANBAXY",PR!$BA921,IF(F923="REALS",PR!$BB921,IF(F923="ROYAL",PR!$BC921,IF(F923="SAM",PR!$BD921,IF(F923="SEAGREEN",PR!$BE921,IF(F923="SKG",PR!$BF921,IF(F923="TAH",PR!$BG921,IF(F923="TAYLEK",PR!$BH921,IF(F923="TEMITA",PR!$BI921,IF(F923="THL",PR!$BJ921,IF(F923="UBASTIC",PR!$BK921,IF(F923="UNION",PR!$BL921,IF(F923="UNIQUE",PR!$BM921,IF(F923="VIXA",PR!$BN921,IF(F923="WWCV",PR!$BO921,IF(F923="ZOLON",PR!$BP921,"-"))))))))))))))))))))))))))))))))))))))))))))))))))))))))))))))))</f>
        <v>4200</v>
      </c>
      <c r="F923" s="102" t="str">
        <f>EV!L1165</f>
        <v>SANCON</v>
      </c>
      <c r="G923" s="108">
        <f>IF(H923="ALPHA",PR!$E921,IF(H923="ASSENE",PR!$F921,IF(H923="BIOFEM",PR!$G921,IF(H923="BIOMED",PR!$H921,IF(H923="CHI",PR!$I921,IF(H923="CLARION",PR!$J921,IF(H923="CODIX",PR!$K921,IF(H923="COSMADE",PR!$L921,IF(H923="SANCON",PR!$M921,IF(H923="DEVON",PR!$N921,IF(H923="DORTEMAG",PR!$O921,IF(H923="DGF",PR!$P921,IF(H923="DYNAMIC",PR!$Q921,IF(H923="EMZOR",PR!$R921,IF(H923="EUMATT",PR!$S921,IF(H923="FIDSON",PR!$T921,IF(H923="FCGLOBAL",PR!$U921,IF(H923="GENEITH",PR!$V921,IF(H923="GINOS",PR!$W921,IF(H923="GSK",PR!$X921,IF(H923="GLOBORG",PR!$Y921,IF(H923="GOODNEWS",PR!$Z921,IF(H923="GREENLIFE",PR!$AA921,IF(H923="HLINE",PR!$AB921,IF(H923="ROTECH",PR!$AC921,IF(H923="ISN",PR!$AD921,IF(H923="JAWA",PR!$AE921,IF(H923="LAYO",PR!$AF921,IF(H923="LEADWAY",PR!$AG921,IF(H923="LHV",PR!$AH921,IF(H923="MANOLA",PR!$AI921,IF(H923="MARCSON",PR!$AJ921,IF(H923="M&amp;B",PR!$AK921,IF(H923="MTRUST",PR!$AL921,IF(H923="MWORLD",PR!$AM921,IF(H923="MEGA",PR!$AN921,IF(H923="MICRONOVA",PR!$AO921,IF(H923="MFLASH",PR!$AP921,IF(H923="MORISON",PR!$AQ921,IF(H923="NEMEL",PR!$AR921,IF(H923="NHP",PR!$AS921,IF(H923="NHC",PR!$AT921,IF(H923="OLEAF",PR!$AU921,IF(H923="OCULUS",PR!$AV921,IF(H923="PACIFIC",PR!$AW921,IF(H923="PHAMATEX",PR!$AX921,IF(H923="PETHICS",PR!$AY921,IF(H923="PHILIPS",PR!$AZ921,IF(H923="RANBAXY",PR!$BA921,IF(H923="REALS",PR!$BB921,IF(H923="ROYAL",PR!$BC921,IF(H923="SAM",PR!$BD921,IF(H923="SEAGREEN",PR!$BE921,IF(H923="SKG",PR!$BF921,IF(H923="TAH",PR!$BG921,IF(H923="TAYLEK",PR!$BH921,IF(H923="TEMITA",PR!$BI921,IF(H923="THL",PR!$BJ921,IF(H923="UBASTIC",PR!$BK921,IF(H923="UNION",PR!$BL921,IF(H923="UNIQUE",PR!$BM921,IF(H923="VIXA",PR!$BN921,IF(H923="WWCV",PR!$BO921,IF(H923="ZOLON",PR!$BP921,"-"))))))))))))))))))))))))))))))))))))))))))))))))))))))))))))))))</f>
        <v>2400</v>
      </c>
      <c r="H923" s="102" t="str">
        <f>EV!M1165</f>
        <v>COSMADE</v>
      </c>
      <c r="I923" s="108">
        <f>IF(J923="ALPHA",PR!$E921,IF(J923="ASSENE",PR!$F921,IF(J923="BIOFEM",PR!$G921,IF(J923="BIOMED",PR!$H921,IF(J923="CHI",PR!$I921,IF(J923="CLARION",PR!$J921,IF(J923="CODIX",PR!$K921,IF(J923="COSMADE",PR!$L921,IF(J923="SANCON",PR!$M921,IF(J923="DEVON",PR!$N921,IF(J923="DORTEMAG",PR!$O921,IF(J923="DGF",PR!$P921,IF(J923="DYNAMIC",PR!$Q921,IF(J923="EMZOR",PR!$R921,IF(J923="EUMATT",PR!$S921,IF(J923="FIDSON",PR!$T921,IF(J923="FCGLOBAL",PR!$U921,IF(J923="GENEITH",PR!$V921,IF(J923="GINOS",PR!$W921,IF(J923="GSK",PR!$X921,IF(J923="GLOBORG",PR!$Y921,IF(J923="GOODNEWS",PR!$Z921,IF(J923="GREENLIFE",PR!$AA921,IF(J923="HLINE",PR!$AB921,IF(J923="ROTECH",PR!$AC921,IF(J923="ISN",PR!$AD921,IF(J923="JAWA",PR!$AE921,IF(J923="LAYO",PR!$AF921,IF(J923="LEADWAY",PR!$AG921,IF(J923="LHV",PR!$AH921,IF(J923="MANOLA",PR!$AI921,IF(J923="MARCSON",PR!$AJ921,IF(J923="M&amp;B",PR!$AK921,IF(J923="MTRUST",PR!$AL921,IF(J923="MWORLD",PR!$AM921,IF(J923="MEGA",PR!$AN921,IF(J923="MICRONOVA",PR!$AO921,IF(J923="MFLASH",PR!$AP921,IF(J923="MORISON",PR!$AQ921,IF(J923="NEMEL",PR!$AR921,IF(J923="NHP",PR!$AS921,IF(J923="NHC",PR!$AT921,IF(J923="OLEAF",PR!$AU921,IF(J923="OCULUS",PR!$AV921,IF(J923="PACIFIC",PR!$AW921,IF(J923="PHAMATEX",PR!$AX921,IF(J923="PETHICS",PR!$AY921,IF(J923="PHILIPS",PR!$AZ921,IF(J923="RANBAXY",PR!$BA921,IF(J923="REALS",PR!$BB921,IF(J923="ROYAL",PR!$BC921,IF(J923="SAM",PR!$BD921,IF(J923="SEAGREEN",PR!$BE921,IF(J923="SKG",PR!$BF921,IF(J923="TAH",PR!$BG921,IF(J923="TAYLEK",PR!$BH921,IF(J923="TEMITA",PR!$BI921,IF(J923="THL",PR!$BJ921,IF(J923="UBASTIC",PR!$BK921,IF(J923="UNION",PR!$BL921,IF(J923="UNIQUE",PR!$BM921,IF(J923="VIXA",PR!$BN921,IF(J923="WWCV",PR!$BO921,IF(J923="ZOLON",PR!$BP921,"-"))))))))))))))))))))))))))))))))))))))))))))))))))))))))))))))))</f>
        <v>3750</v>
      </c>
      <c r="J923" s="102" t="str">
        <f>EV!N1165</f>
        <v>DYNAMIC</v>
      </c>
      <c r="K923" s="433" t="s">
        <v>817</v>
      </c>
      <c r="L923" s="183">
        <f>IF(K923&gt;0,IF(K923="ALPHA",PR!$E921,IF(K923="ASSENE",PR!$F921,IF(K923="BIOFEM",PR!$G921,IF(K923="BIOMED",PR!$H921,IF(K923="CHI",PR!$I921,IF(K923="CLARION",PR!$J921,IF(K923="CODIX",PR!$K921,IF(K923="COSMADE",PR!$L921,IF(K923="SANCON",PR!$M921,IF(K923="DEVON",PR!$N921,IF(K923="DORTEMAG",PR!$O921,IF(K923="DGF",PR!$P921,IF(K923="DYNAMIC",PR!$Q921,IF(K923="EMZOR",PR!$R921,IF(K923="EUMATT",PR!$S921,IF(K923="FIDSON",PR!$T921,IF(K923="FCGLOBAL",PR!$U921,IF(K923="GENEITH",PR!$V921,IF(K923="GINOS",PR!$W921,IF(K923="GSK",PR!$X921,IF(K923="GLOBORG",PR!$Y921,IF(K923="GOODNEWS",PR!$Z921,IF(K923="GREENLIFE",PR!$AA921,IF(K923="HLINE",PR!$AB921,IF(K923="ROTECH",PR!$AC921,IF(K923="ISN",PR!$AD921,IF(K923="JAWA",PR!$AE921,IF(K923="LAYO",PR!$AF921,IF(K923="LEADWAY",PR!$AG921,IF(K923="LHV",PR!$AH921,IF(K923="MANOLA",PR!$AI921,IF(K923="MARCSON",PR!$AJ921,IF(K923="M&amp;B",PR!$AK921,IF(K923="MTRUST",PR!$AL921,IF(K923="MWORLD",PR!$AM921,IF(K923="MEGA",PR!$AN921,IF(K923="MICRONOVA",PR!$AO921,IF(K923="MFLASH",PR!$AP921,IF(K923="MORISON",PR!$AQ921,IF(K923="NEMEL",PR!$AR921,IF(K923="NHP",PR!$AS921,IF(K923="NHC",PR!$AT921,IF(K923="OLEAF",PR!$AU921,IF(K923="OCULUS",PR!$AV921,IF(K923="PACIFIC",PR!$AW921,IF(K923="PHAMATEX",PR!$AX921,IF(K923="PETHICS",PR!$AY921,IF(K923="PHILIPS",PR!$AZ921,IF(K923="RANBAXY",PR!$BA921,IF(K923="REALS",PR!$BB921,IF(K923="ROYAL",PR!$BC921,IF(K923="SAM",PR!$BD921,IF(K923="SEAGREEN",PR!$BE921,IF(K923="SKG",PR!$BF921,IF(K923="TAH",PR!$BG921,IF(K923="TAYLEK",PR!$BH921,IF(K923="TEMITA",PR!$BI921,IF(K923="THL",PR!$BJ921,IF(K923="UBASTIC",PR!$BK921,IF(K923="UNION",PR!$BL921,IF(K923="UNIQUE",PR!$BM921,IF(K923="VIXA",PR!$BN921,IF(K923="WWCV",PR!$BO921,IF(K923="ZOLON",PR!$BP921,"-")))))))))))))))))))))))))))))))))))))))))))))))))))))))))))))))))</f>
        <v>4200</v>
      </c>
    </row>
    <row r="924" spans="1:12" ht="18.75" x14ac:dyDescent="0.3">
      <c r="A924" s="430">
        <f>PR!A922</f>
        <v>832</v>
      </c>
      <c r="B924" s="15" t="str">
        <f>PR!B922</f>
        <v>GREASE PENCILS</v>
      </c>
      <c r="C924" s="113">
        <f>PR!D922</f>
        <v>0</v>
      </c>
      <c r="D924" s="113">
        <f>PR!C922</f>
        <v>24</v>
      </c>
      <c r="E924" s="108" t="str">
        <f>IF(F924="ALPHA",PR!$E922,IF(F924="ASSENE",PR!$F922,IF(F924="BIOFEM",PR!$G922,IF(F924="BIOMED",PR!$H922,IF(F924="CHI",PR!$I922,IF(F924="CLARION",PR!$J922,IF(F924="CODIX",PR!$K922,IF(F924="COSMADE",PR!$L922,IF(F924="SANCON",PR!$M922,IF(F924="DEVON",PR!$N922,IF(F924="DORTEMAG",PR!$O922,IF(F924="DGF",PR!$P922,IF(F924="DYNAMIC",PR!$Q922,IF(F924="EMZOR",PR!$R922,IF(F924="EUMATT",PR!$S922,IF(F924="FIDSON",PR!$T922,IF(F924="FCGLOBAL",PR!$U922,IF(F924="GENEITH",PR!$V922,IF(F924="GINOS",PR!$W922,IF(F924="GSK",PR!$X922,IF(F924="GLOBORG",PR!$Y922,IF(F924="GOODNEWS",PR!$Z922,IF(F924="GREENLIFE",PR!$AA922,IF(F924="HLINE",PR!$AB922,IF(F924="ROTECH",PR!$AC922,IF(F924="ISN",PR!$AD922,IF(F924="JAWA",PR!$AE922,IF(F924="LAYO",PR!$AF922,IF(F924="LEADWAY",PR!$AG922,IF(F924="LHV",PR!$AH922,IF(F924="MANOLA",PR!$AI922,IF(F924="MARCSON",PR!$AJ922,IF(F924="M&amp;B",PR!$AK922,IF(F924="MTRUST",PR!$AL922,IF(F924="MWORLD",PR!$AM922,IF(F924="MEGA",PR!$AN922,IF(F924="MICRONOVA",PR!$AO922,IF(F924="MFLASH",PR!$AP922,IF(F924="MORISON",PR!$AQ922,IF(F924="NEMEL",PR!$AR922,IF(F924="NHP",PR!$AS922,IF(F924="NHC",PR!$AT922,IF(F924="OLEAF",PR!$AU922,IF(F924="OCULUS",PR!$AV922,IF(F924="PACIFIC",PR!$AW922,IF(F924="PHAMATEX",PR!$AX922,IF(F924="PETHICS",PR!$AY922,IF(F924="PHILIPS",PR!$AZ922,IF(F924="RANBAXY",PR!$BA922,IF(F924="REALS",PR!$BB922,IF(F924="ROYAL",PR!$BC922,IF(F924="SAM",PR!$BD922,IF(F924="SEAGREEN",PR!$BE922,IF(F924="SKG",PR!$BF922,IF(F924="TAH",PR!$BG922,IF(F924="TAYLEK",PR!$BH922,IF(F924="TEMITA",PR!$BI922,IF(F924="THL",PR!$BJ922,IF(F924="UBASTIC",PR!$BK922,IF(F924="UNION",PR!$BL922,IF(F924="UNIQUE",PR!$BM922,IF(F924="VIXA",PR!$BN922,IF(F924="WWCV",PR!$BO922,IF(F924="ZOLON",PR!$BP922,"-"))))))))))))))))))))))))))))))))))))))))))))))))))))))))))))))))</f>
        <v>-</v>
      </c>
      <c r="F924" s="102">
        <f>EV!L1166</f>
        <v>0</v>
      </c>
      <c r="G924" s="108" t="str">
        <f>IF(H924="ALPHA",PR!$E922,IF(H924="ASSENE",PR!$F922,IF(H924="BIOFEM",PR!$G922,IF(H924="BIOMED",PR!$H922,IF(H924="CHI",PR!$I922,IF(H924="CLARION",PR!$J922,IF(H924="CODIX",PR!$K922,IF(H924="COSMADE",PR!$L922,IF(H924="SANCON",PR!$M922,IF(H924="DEVON",PR!$N922,IF(H924="DORTEMAG",PR!$O922,IF(H924="DGF",PR!$P922,IF(H924="DYNAMIC",PR!$Q922,IF(H924="EMZOR",PR!$R922,IF(H924="EUMATT",PR!$S922,IF(H924="FIDSON",PR!$T922,IF(H924="FCGLOBAL",PR!$U922,IF(H924="GENEITH",PR!$V922,IF(H924="GINOS",PR!$W922,IF(H924="GSK",PR!$X922,IF(H924="GLOBORG",PR!$Y922,IF(H924="GOODNEWS",PR!$Z922,IF(H924="GREENLIFE",PR!$AA922,IF(H924="HLINE",PR!$AB922,IF(H924="ROTECH",PR!$AC922,IF(H924="ISN",PR!$AD922,IF(H924="JAWA",PR!$AE922,IF(H924="LAYO",PR!$AF922,IF(H924="LEADWAY",PR!$AG922,IF(H924="LHV",PR!$AH922,IF(H924="MANOLA",PR!$AI922,IF(H924="MARCSON",PR!$AJ922,IF(H924="M&amp;B",PR!$AK922,IF(H924="MTRUST",PR!$AL922,IF(H924="MWORLD",PR!$AM922,IF(H924="MEGA",PR!$AN922,IF(H924="MICRONOVA",PR!$AO922,IF(H924="MFLASH",PR!$AP922,IF(H924="MORISON",PR!$AQ922,IF(H924="NEMEL",PR!$AR922,IF(H924="NHP",PR!$AS922,IF(H924="NHC",PR!$AT922,IF(H924="OLEAF",PR!$AU922,IF(H924="OCULUS",PR!$AV922,IF(H924="PACIFIC",PR!$AW922,IF(H924="PHAMATEX",PR!$AX922,IF(H924="PETHICS",PR!$AY922,IF(H924="PHILIPS",PR!$AZ922,IF(H924="RANBAXY",PR!$BA922,IF(H924="REALS",PR!$BB922,IF(H924="ROYAL",PR!$BC922,IF(H924="SAM",PR!$BD922,IF(H924="SEAGREEN",PR!$BE922,IF(H924="SKG",PR!$BF922,IF(H924="TAH",PR!$BG922,IF(H924="TAYLEK",PR!$BH922,IF(H924="TEMITA",PR!$BI922,IF(H924="THL",PR!$BJ922,IF(H924="UBASTIC",PR!$BK922,IF(H924="UNION",PR!$BL922,IF(H924="UNIQUE",PR!$BM922,IF(H924="VIXA",PR!$BN922,IF(H924="WWCV",PR!$BO922,IF(H924="ZOLON",PR!$BP922,"-"))))))))))))))))))))))))))))))))))))))))))))))))))))))))))))))))</f>
        <v>-</v>
      </c>
      <c r="H924" s="102">
        <f>EV!M1166</f>
        <v>0</v>
      </c>
      <c r="I924" s="108" t="str">
        <f>IF(J924="ALPHA",PR!$E922,IF(J924="ASSENE",PR!$F922,IF(J924="BIOFEM",PR!$G922,IF(J924="BIOMED",PR!$H922,IF(J924="CHI",PR!$I922,IF(J924="CLARION",PR!$J922,IF(J924="CODIX",PR!$K922,IF(J924="COSMADE",PR!$L922,IF(J924="SANCON",PR!$M922,IF(J924="DEVON",PR!$N922,IF(J924="DORTEMAG",PR!$O922,IF(J924="DGF",PR!$P922,IF(J924="DYNAMIC",PR!$Q922,IF(J924="EMZOR",PR!$R922,IF(J924="EUMATT",PR!$S922,IF(J924="FIDSON",PR!$T922,IF(J924="FCGLOBAL",PR!$U922,IF(J924="GENEITH",PR!$V922,IF(J924="GINOS",PR!$W922,IF(J924="GSK",PR!$X922,IF(J924="GLOBORG",PR!$Y922,IF(J924="GOODNEWS",PR!$Z922,IF(J924="GREENLIFE",PR!$AA922,IF(J924="HLINE",PR!$AB922,IF(J924="ROTECH",PR!$AC922,IF(J924="ISN",PR!$AD922,IF(J924="JAWA",PR!$AE922,IF(J924="LAYO",PR!$AF922,IF(J924="LEADWAY",PR!$AG922,IF(J924="LHV",PR!$AH922,IF(J924="MANOLA",PR!$AI922,IF(J924="MARCSON",PR!$AJ922,IF(J924="M&amp;B",PR!$AK922,IF(J924="MTRUST",PR!$AL922,IF(J924="MWORLD",PR!$AM922,IF(J924="MEGA",PR!$AN922,IF(J924="MICRONOVA",PR!$AO922,IF(J924="MFLASH",PR!$AP922,IF(J924="MORISON",PR!$AQ922,IF(J924="NEMEL",PR!$AR922,IF(J924="NHP",PR!$AS922,IF(J924="NHC",PR!$AT922,IF(J924="OLEAF",PR!$AU922,IF(J924="OCULUS",PR!$AV922,IF(J924="PACIFIC",PR!$AW922,IF(J924="PHAMATEX",PR!$AX922,IF(J924="PETHICS",PR!$AY922,IF(J924="PHILIPS",PR!$AZ922,IF(J924="RANBAXY",PR!$BA922,IF(J924="REALS",PR!$BB922,IF(J924="ROYAL",PR!$BC922,IF(J924="SAM",PR!$BD922,IF(J924="SEAGREEN",PR!$BE922,IF(J924="SKG",PR!$BF922,IF(J924="TAH",PR!$BG922,IF(J924="TAYLEK",PR!$BH922,IF(J924="TEMITA",PR!$BI922,IF(J924="THL",PR!$BJ922,IF(J924="UBASTIC",PR!$BK922,IF(J924="UNION",PR!$BL922,IF(J924="UNIQUE",PR!$BM922,IF(J924="VIXA",PR!$BN922,IF(J924="WWCV",PR!$BO922,IF(J924="ZOLON",PR!$BP922,"-"))))))))))))))))))))))))))))))))))))))))))))))))))))))))))))))))</f>
        <v>-</v>
      </c>
      <c r="J924" s="102">
        <f>EV!N1166</f>
        <v>0</v>
      </c>
      <c r="K924" s="433" t="s">
        <v>2077</v>
      </c>
      <c r="L924" s="183" t="str">
        <f>IF(K924&gt;0,IF(K924="ALPHA",PR!$E922,IF(K924="ASSENE",PR!$F922,IF(K924="BIOFEM",PR!$G922,IF(K924="BIOMED",PR!$H922,IF(K924="CHI",PR!$I922,IF(K924="CLARION",PR!$J922,IF(K924="CODIX",PR!$K922,IF(K924="COSMADE",PR!$L922,IF(K924="SANCON",PR!$M922,IF(K924="DEVON",PR!$N922,IF(K924="DORTEMAG",PR!$O922,IF(K924="DGF",PR!$P922,IF(K924="DYNAMIC",PR!$Q922,IF(K924="EMZOR",PR!$R922,IF(K924="EUMATT",PR!$S922,IF(K924="FIDSON",PR!$T922,IF(K924="FCGLOBAL",PR!$U922,IF(K924="GENEITH",PR!$V922,IF(K924="GINOS",PR!$W922,IF(K924="GSK",PR!$X922,IF(K924="GLOBORG",PR!$Y922,IF(K924="GOODNEWS",PR!$Z922,IF(K924="GREENLIFE",PR!$AA922,IF(K924="HLINE",PR!$AB922,IF(K924="ROTECH",PR!$AC922,IF(K924="ISN",PR!$AD922,IF(K924="JAWA",PR!$AE922,IF(K924="LAYO",PR!$AF922,IF(K924="LEADWAY",PR!$AG922,IF(K924="LHV",PR!$AH922,IF(K924="MANOLA",PR!$AI922,IF(K924="MARCSON",PR!$AJ922,IF(K924="M&amp;B",PR!$AK922,IF(K924="MTRUST",PR!$AL922,IF(K924="MWORLD",PR!$AM922,IF(K924="MEGA",PR!$AN922,IF(K924="MICRONOVA",PR!$AO922,IF(K924="MFLASH",PR!$AP922,IF(K924="MORISON",PR!$AQ922,IF(K924="NEMEL",PR!$AR922,IF(K924="NHP",PR!$AS922,IF(K924="NHC",PR!$AT922,IF(K924="OLEAF",PR!$AU922,IF(K924="OCULUS",PR!$AV922,IF(K924="PACIFIC",PR!$AW922,IF(K924="PHAMATEX",PR!$AX922,IF(K924="PETHICS",PR!$AY922,IF(K924="PHILIPS",PR!$AZ922,IF(K924="RANBAXY",PR!$BA922,IF(K924="REALS",PR!$BB922,IF(K924="ROYAL",PR!$BC922,IF(K924="SAM",PR!$BD922,IF(K924="SEAGREEN",PR!$BE922,IF(K924="SKG",PR!$BF922,IF(K924="TAH",PR!$BG922,IF(K924="TAYLEK",PR!$BH922,IF(K924="TEMITA",PR!$BI922,IF(K924="THL",PR!$BJ922,IF(K924="UBASTIC",PR!$BK922,IF(K924="UNION",PR!$BL922,IF(K924="UNIQUE",PR!$BM922,IF(K924="VIXA",PR!$BN922,IF(K924="WWCV",PR!$BO922,IF(K924="ZOLON",PR!$BP922,"-")))))))))))))))))))))))))))))))))))))))))))))))))))))))))))))))))</f>
        <v>-</v>
      </c>
    </row>
    <row r="925" spans="1:12" ht="18.75" x14ac:dyDescent="0.3">
      <c r="A925" s="430">
        <f>PR!A923</f>
        <v>833</v>
      </c>
      <c r="B925" s="15" t="str">
        <f>PR!B923</f>
        <v>CLINICAL THERMOMETER</v>
      </c>
      <c r="C925" s="113" t="str">
        <f>PR!D923</f>
        <v>PCS</v>
      </c>
      <c r="D925" s="113">
        <f>PR!C923</f>
        <v>12</v>
      </c>
      <c r="E925" s="108">
        <f>IF(F925="ALPHA",PR!$E923,IF(F925="ASSENE",PR!$F923,IF(F925="BIOFEM",PR!$G923,IF(F925="BIOMED",PR!$H923,IF(F925="CHI",PR!$I923,IF(F925="CLARION",PR!$J923,IF(F925="CODIX",PR!$K923,IF(F925="COSMADE",PR!$L923,IF(F925="SANCON",PR!$M923,IF(F925="DEVON",PR!$N923,IF(F925="DORTEMAG",PR!$O923,IF(F925="DGF",PR!$P923,IF(F925="DYNAMIC",PR!$Q923,IF(F925="EMZOR",PR!$R923,IF(F925="EUMATT",PR!$S923,IF(F925="FIDSON",PR!$T923,IF(F925="FCGLOBAL",PR!$U923,IF(F925="GENEITH",PR!$V923,IF(F925="GINOS",PR!$W923,IF(F925="GSK",PR!$X923,IF(F925="GLOBORG",PR!$Y923,IF(F925="GOODNEWS",PR!$Z923,IF(F925="GREENLIFE",PR!$AA923,IF(F925="HLINE",PR!$AB923,IF(F925="ROTECH",PR!$AC923,IF(F925="ISN",PR!$AD923,IF(F925="JAWA",PR!$AE923,IF(F925="LAYO",PR!$AF923,IF(F925="LEADWAY",PR!$AG923,IF(F925="LHV",PR!$AH923,IF(F925="MANOLA",PR!$AI923,IF(F925="MARCSON",PR!$AJ923,IF(F925="M&amp;B",PR!$AK923,IF(F925="MTRUST",PR!$AL923,IF(F925="MWORLD",PR!$AM923,IF(F925="MEGA",PR!$AN923,IF(F925="MICRONOVA",PR!$AO923,IF(F925="MFLASH",PR!$AP923,IF(F925="MORISON",PR!$AQ923,IF(F925="NEMEL",PR!$AR923,IF(F925="NHP",PR!$AS923,IF(F925="NHC",PR!$AT923,IF(F925="OLEAF",PR!$AU923,IF(F925="OCULUS",PR!$AV923,IF(F925="PACIFIC",PR!$AW923,IF(F925="PHAMATEX",PR!$AX923,IF(F925="PETHICS",PR!$AY923,IF(F925="PHILIPS",PR!$AZ923,IF(F925="RANBAXY",PR!$BA923,IF(F925="REALS",PR!$BB923,IF(F925="ROYAL",PR!$BC923,IF(F925="SAM",PR!$BD923,IF(F925="SEAGREEN",PR!$BE923,IF(F925="SKG",PR!$BF923,IF(F925="TAH",PR!$BG923,IF(F925="TAYLEK",PR!$BH923,IF(F925="TEMITA",PR!$BI923,IF(F925="THL",PR!$BJ923,IF(F925="UBASTIC",PR!$BK923,IF(F925="UNION",PR!$BL923,IF(F925="UNIQUE",PR!$BM923,IF(F925="VIXA",PR!$BN923,IF(F925="WWCV",PR!$BO923,IF(F925="ZOLON",PR!$BP923,"-"))))))))))))))))))))))))))))))))))))))))))))))))))))))))))))))))</f>
        <v>208.33333333333334</v>
      </c>
      <c r="F925" s="102" t="str">
        <f>EV!L1167</f>
        <v>DYNAMIC</v>
      </c>
      <c r="G925" s="108">
        <f>IF(H925="ALPHA",PR!$E923,IF(H925="ASSENE",PR!$F923,IF(H925="BIOFEM",PR!$G923,IF(H925="BIOMED",PR!$H923,IF(H925="CHI",PR!$I923,IF(H925="CLARION",PR!$J923,IF(H925="CODIX",PR!$K923,IF(H925="COSMADE",PR!$L923,IF(H925="SANCON",PR!$M923,IF(H925="DEVON",PR!$N923,IF(H925="DORTEMAG",PR!$O923,IF(H925="DGF",PR!$P923,IF(H925="DYNAMIC",PR!$Q923,IF(H925="EMZOR",PR!$R923,IF(H925="EUMATT",PR!$S923,IF(H925="FIDSON",PR!$T923,IF(H925="FCGLOBAL",PR!$U923,IF(H925="GENEITH",PR!$V923,IF(H925="GINOS",PR!$W923,IF(H925="GSK",PR!$X923,IF(H925="GLOBORG",PR!$Y923,IF(H925="GOODNEWS",PR!$Z923,IF(H925="GREENLIFE",PR!$AA923,IF(H925="HLINE",PR!$AB923,IF(H925="ROTECH",PR!$AC923,IF(H925="ISN",PR!$AD923,IF(H925="JAWA",PR!$AE923,IF(H925="LAYO",PR!$AF923,IF(H925="LEADWAY",PR!$AG923,IF(H925="LHV",PR!$AH923,IF(H925="MANOLA",PR!$AI923,IF(H925="MARCSON",PR!$AJ923,IF(H925="M&amp;B",PR!$AK923,IF(H925="MTRUST",PR!$AL923,IF(H925="MWORLD",PR!$AM923,IF(H925="MEGA",PR!$AN923,IF(H925="MICRONOVA",PR!$AO923,IF(H925="MFLASH",PR!$AP923,IF(H925="MORISON",PR!$AQ923,IF(H925="NEMEL",PR!$AR923,IF(H925="NHP",PR!$AS923,IF(H925="NHC",PR!$AT923,IF(H925="OLEAF",PR!$AU923,IF(H925="OCULUS",PR!$AV923,IF(H925="PACIFIC",PR!$AW923,IF(H925="PHAMATEX",PR!$AX923,IF(H925="PETHICS",PR!$AY923,IF(H925="PHILIPS",PR!$AZ923,IF(H925="RANBAXY",PR!$BA923,IF(H925="REALS",PR!$BB923,IF(H925="ROYAL",PR!$BC923,IF(H925="SAM",PR!$BD923,IF(H925="SEAGREEN",PR!$BE923,IF(H925="SKG",PR!$BF923,IF(H925="TAH",PR!$BG923,IF(H925="TAYLEK",PR!$BH923,IF(H925="TEMITA",PR!$BI923,IF(H925="THL",PR!$BJ923,IF(H925="UBASTIC",PR!$BK923,IF(H925="UNION",PR!$BL923,IF(H925="UNIQUE",PR!$BM923,IF(H925="VIXA",PR!$BN923,IF(H925="WWCV",PR!$BO923,IF(H925="ZOLON",PR!$BP923,"-"))))))))))))))))))))))))))))))))))))))))))))))))))))))))))))))))</f>
        <v>390</v>
      </c>
      <c r="H925" s="102" t="str">
        <f>EV!M1167</f>
        <v>TEMITA</v>
      </c>
      <c r="I925" s="108">
        <f>IF(J925="ALPHA",PR!$E923,IF(J925="ASSENE",PR!$F923,IF(J925="BIOFEM",PR!$G923,IF(J925="BIOMED",PR!$H923,IF(J925="CHI",PR!$I923,IF(J925="CLARION",PR!$J923,IF(J925="CODIX",PR!$K923,IF(J925="COSMADE",PR!$L923,IF(J925="SANCON",PR!$M923,IF(J925="DEVON",PR!$N923,IF(J925="DORTEMAG",PR!$O923,IF(J925="DGF",PR!$P923,IF(J925="DYNAMIC",PR!$Q923,IF(J925="EMZOR",PR!$R923,IF(J925="EUMATT",PR!$S923,IF(J925="FIDSON",PR!$T923,IF(J925="FCGLOBAL",PR!$U923,IF(J925="GENEITH",PR!$V923,IF(J925="GINOS",PR!$W923,IF(J925="GSK",PR!$X923,IF(J925="GLOBORG",PR!$Y923,IF(J925="GOODNEWS",PR!$Z923,IF(J925="GREENLIFE",PR!$AA923,IF(J925="HLINE",PR!$AB923,IF(J925="ROTECH",PR!$AC923,IF(J925="ISN",PR!$AD923,IF(J925="JAWA",PR!$AE923,IF(J925="LAYO",PR!$AF923,IF(J925="LEADWAY",PR!$AG923,IF(J925="LHV",PR!$AH923,IF(J925="MANOLA",PR!$AI923,IF(J925="MARCSON",PR!$AJ923,IF(J925="M&amp;B",PR!$AK923,IF(J925="MTRUST",PR!$AL923,IF(J925="MWORLD",PR!$AM923,IF(J925="MEGA",PR!$AN923,IF(J925="MICRONOVA",PR!$AO923,IF(J925="MFLASH",PR!$AP923,IF(J925="MORISON",PR!$AQ923,IF(J925="NEMEL",PR!$AR923,IF(J925="NHP",PR!$AS923,IF(J925="NHC",PR!$AT923,IF(J925="OLEAF",PR!$AU923,IF(J925="OCULUS",PR!$AV923,IF(J925="PACIFIC",PR!$AW923,IF(J925="PHAMATEX",PR!$AX923,IF(J925="PETHICS",PR!$AY923,IF(J925="PHILIPS",PR!$AZ923,IF(J925="RANBAXY",PR!$BA923,IF(J925="REALS",PR!$BB923,IF(J925="ROYAL",PR!$BC923,IF(J925="SAM",PR!$BD923,IF(J925="SEAGREEN",PR!$BE923,IF(J925="SKG",PR!$BF923,IF(J925="TAH",PR!$BG923,IF(J925="TAYLEK",PR!$BH923,IF(J925="TEMITA",PR!$BI923,IF(J925="THL",PR!$BJ923,IF(J925="UBASTIC",PR!$BK923,IF(J925="UNION",PR!$BL923,IF(J925="UNIQUE",PR!$BM923,IF(J925="VIXA",PR!$BN923,IF(J925="WWCV",PR!$BO923,IF(J925="ZOLON",PR!$BP923,"-"))))))))))))))))))))))))))))))))))))))))))))))))))))))))))))))))</f>
        <v>390</v>
      </c>
      <c r="J925" s="102" t="str">
        <f>EV!N1167</f>
        <v>LAYO</v>
      </c>
      <c r="K925" s="433" t="s">
        <v>626</v>
      </c>
      <c r="L925" s="183">
        <f>IF(K925&gt;0,IF(K925="ALPHA",PR!$E923,IF(K925="ASSENE",PR!$F923,IF(K925="BIOFEM",PR!$G923,IF(K925="BIOMED",PR!$H923,IF(K925="CHI",PR!$I923,IF(K925="CLARION",PR!$J923,IF(K925="CODIX",PR!$K923,IF(K925="COSMADE",PR!$L923,IF(K925="SANCON",PR!$M923,IF(K925="DEVON",PR!$N923,IF(K925="DORTEMAG",PR!$O923,IF(K925="DGF",PR!$P923,IF(K925="DYNAMIC",PR!$Q923,IF(K925="EMZOR",PR!$R923,IF(K925="EUMATT",PR!$S923,IF(K925="FIDSON",PR!$T923,IF(K925="FCGLOBAL",PR!$U923,IF(K925="GENEITH",PR!$V923,IF(K925="GINOS",PR!$W923,IF(K925="GSK",PR!$X923,IF(K925="GLOBORG",PR!$Y923,IF(K925="GOODNEWS",PR!$Z923,IF(K925="GREENLIFE",PR!$AA923,IF(K925="HLINE",PR!$AB923,IF(K925="ROTECH",PR!$AC923,IF(K925="ISN",PR!$AD923,IF(K925="JAWA",PR!$AE923,IF(K925="LAYO",PR!$AF923,IF(K925="LEADWAY",PR!$AG923,IF(K925="LHV",PR!$AH923,IF(K925="MANOLA",PR!$AI923,IF(K925="MARCSON",PR!$AJ923,IF(K925="M&amp;B",PR!$AK923,IF(K925="MTRUST",PR!$AL923,IF(K925="MWORLD",PR!$AM923,IF(K925="MEGA",PR!$AN923,IF(K925="MICRONOVA",PR!$AO923,IF(K925="MFLASH",PR!$AP923,IF(K925="MORISON",PR!$AQ923,IF(K925="NEMEL",PR!$AR923,IF(K925="NHP",PR!$AS923,IF(K925="NHC",PR!$AT923,IF(K925="OLEAF",PR!$AU923,IF(K925="OCULUS",PR!$AV923,IF(K925="PACIFIC",PR!$AW923,IF(K925="PHAMATEX",PR!$AX923,IF(K925="PETHICS",PR!$AY923,IF(K925="PHILIPS",PR!$AZ923,IF(K925="RANBAXY",PR!$BA923,IF(K925="REALS",PR!$BB923,IF(K925="ROYAL",PR!$BC923,IF(K925="SAM",PR!$BD923,IF(K925="SEAGREEN",PR!$BE923,IF(K925="SKG",PR!$BF923,IF(K925="TAH",PR!$BG923,IF(K925="TAYLEK",PR!$BH923,IF(K925="TEMITA",PR!$BI923,IF(K925="THL",PR!$BJ923,IF(K925="UBASTIC",PR!$BK923,IF(K925="UNION",PR!$BL923,IF(K925="UNIQUE",PR!$BM923,IF(K925="VIXA",PR!$BN923,IF(K925="WWCV",PR!$BO923,IF(K925="ZOLON",PR!$BP923,"-")))))))))))))))))))))))))))))))))))))))))))))))))))))))))))))))))</f>
        <v>208.33333333333334</v>
      </c>
    </row>
    <row r="926" spans="1:12" ht="18.75" x14ac:dyDescent="0.3">
      <c r="A926" s="430">
        <f>PR!A924</f>
        <v>834</v>
      </c>
      <c r="B926" s="15" t="str">
        <f>PR!B924</f>
        <v>DIGITAL WEIGHING BALANCE</v>
      </c>
      <c r="C926" s="113">
        <f>PR!D924</f>
        <v>0</v>
      </c>
      <c r="D926" s="113">
        <f>PR!C924</f>
        <v>3</v>
      </c>
      <c r="E926" s="108">
        <f>IF(F926="ALPHA",PR!$E924,IF(F926="ASSENE",PR!$F924,IF(F926="BIOFEM",PR!$G924,IF(F926="BIOMED",PR!$H924,IF(F926="CHI",PR!$I924,IF(F926="CLARION",PR!$J924,IF(F926="CODIX",PR!$K924,IF(F926="COSMADE",PR!$L924,IF(F926="SANCON",PR!$M924,IF(F926="DEVON",PR!$N924,IF(F926="DORTEMAG",PR!$O924,IF(F926="DGF",PR!$P924,IF(F926="DYNAMIC",PR!$Q924,IF(F926="EMZOR",PR!$R924,IF(F926="EUMATT",PR!$S924,IF(F926="FIDSON",PR!$T924,IF(F926="FCGLOBAL",PR!$U924,IF(F926="GENEITH",PR!$V924,IF(F926="GINOS",PR!$W924,IF(F926="GSK",PR!$X924,IF(F926="GLOBORG",PR!$Y924,IF(F926="GOODNEWS",PR!$Z924,IF(F926="GREENLIFE",PR!$AA924,IF(F926="HLINE",PR!$AB924,IF(F926="ROTECH",PR!$AC924,IF(F926="ISN",PR!$AD924,IF(F926="JAWA",PR!$AE924,IF(F926="LAYO",PR!$AF924,IF(F926="LEADWAY",PR!$AG924,IF(F926="LHV",PR!$AH924,IF(F926="MANOLA",PR!$AI924,IF(F926="MARCSON",PR!$AJ924,IF(F926="M&amp;B",PR!$AK924,IF(F926="MTRUST",PR!$AL924,IF(F926="MWORLD",PR!$AM924,IF(F926="MEGA",PR!$AN924,IF(F926="MICRONOVA",PR!$AO924,IF(F926="MFLASH",PR!$AP924,IF(F926="MORISON",PR!$AQ924,IF(F926="NEMEL",PR!$AR924,IF(F926="NHP",PR!$AS924,IF(F926="NHC",PR!$AT924,IF(F926="OLEAF",PR!$AU924,IF(F926="OCULUS",PR!$AV924,IF(F926="PACIFIC",PR!$AW924,IF(F926="PHAMATEX",PR!$AX924,IF(F926="PETHICS",PR!$AY924,IF(F926="PHILIPS",PR!$AZ924,IF(F926="RANBAXY",PR!$BA924,IF(F926="REALS",PR!$BB924,IF(F926="ROYAL",PR!$BC924,IF(F926="SAM",PR!$BD924,IF(F926="SEAGREEN",PR!$BE924,IF(F926="SKG",PR!$BF924,IF(F926="TAH",PR!$BG924,IF(F926="TAYLEK",PR!$BH924,IF(F926="TEMITA",PR!$BI924,IF(F926="THL",PR!$BJ924,IF(F926="UBASTIC",PR!$BK924,IF(F926="UNION",PR!$BL924,IF(F926="UNIQUE",PR!$BM924,IF(F926="VIXA",PR!$BN924,IF(F926="WWCV",PR!$BO924,IF(F926="ZOLON",PR!$BP924,"-"))))))))))))))))))))))))))))))))))))))))))))))))))))))))))))))))</f>
        <v>25000</v>
      </c>
      <c r="F926" s="102" t="str">
        <f>EV!L1168</f>
        <v>COSMADE</v>
      </c>
      <c r="G926" s="108">
        <f>IF(H926="ALPHA",PR!$E924,IF(H926="ASSENE",PR!$F924,IF(H926="BIOFEM",PR!$G924,IF(H926="BIOMED",PR!$H924,IF(H926="CHI",PR!$I924,IF(H926="CLARION",PR!$J924,IF(H926="CODIX",PR!$K924,IF(H926="COSMADE",PR!$L924,IF(H926="SANCON",PR!$M924,IF(H926="DEVON",PR!$N924,IF(H926="DORTEMAG",PR!$O924,IF(H926="DGF",PR!$P924,IF(H926="DYNAMIC",PR!$Q924,IF(H926="EMZOR",PR!$R924,IF(H926="EUMATT",PR!$S924,IF(H926="FIDSON",PR!$T924,IF(H926="FCGLOBAL",PR!$U924,IF(H926="GENEITH",PR!$V924,IF(H926="GINOS",PR!$W924,IF(H926="GSK",PR!$X924,IF(H926="GLOBORG",PR!$Y924,IF(H926="GOODNEWS",PR!$Z924,IF(H926="GREENLIFE",PR!$AA924,IF(H926="HLINE",PR!$AB924,IF(H926="ROTECH",PR!$AC924,IF(H926="ISN",PR!$AD924,IF(H926="JAWA",PR!$AE924,IF(H926="LAYO",PR!$AF924,IF(H926="LEADWAY",PR!$AG924,IF(H926="LHV",PR!$AH924,IF(H926="MANOLA",PR!$AI924,IF(H926="MARCSON",PR!$AJ924,IF(H926="M&amp;B",PR!$AK924,IF(H926="MTRUST",PR!$AL924,IF(H926="MWORLD",PR!$AM924,IF(H926="MEGA",PR!$AN924,IF(H926="MICRONOVA",PR!$AO924,IF(H926="MFLASH",PR!$AP924,IF(H926="MORISON",PR!$AQ924,IF(H926="NEMEL",PR!$AR924,IF(H926="NHP",PR!$AS924,IF(H926="NHC",PR!$AT924,IF(H926="OLEAF",PR!$AU924,IF(H926="OCULUS",PR!$AV924,IF(H926="PACIFIC",PR!$AW924,IF(H926="PHAMATEX",PR!$AX924,IF(H926="PETHICS",PR!$AY924,IF(H926="PHILIPS",PR!$AZ924,IF(H926="RANBAXY",PR!$BA924,IF(H926="REALS",PR!$BB924,IF(H926="ROYAL",PR!$BC924,IF(H926="SAM",PR!$BD924,IF(H926="SEAGREEN",PR!$BE924,IF(H926="SKG",PR!$BF924,IF(H926="TAH",PR!$BG924,IF(H926="TAYLEK",PR!$BH924,IF(H926="TEMITA",PR!$BI924,IF(H926="THL",PR!$BJ924,IF(H926="UBASTIC",PR!$BK924,IF(H926="UNION",PR!$BL924,IF(H926="UNIQUE",PR!$BM924,IF(H926="VIXA",PR!$BN924,IF(H926="WWCV",PR!$BO924,IF(H926="ZOLON",PR!$BP924,"-"))))))))))))))))))))))))))))))))))))))))))))))))))))))))))))))))</f>
        <v>42000</v>
      </c>
      <c r="H926" s="102" t="str">
        <f>EV!M1168</f>
        <v>TEMITA</v>
      </c>
      <c r="I926" s="108">
        <f>IF(J926="ALPHA",PR!$E924,IF(J926="ASSENE",PR!$F924,IF(J926="BIOFEM",PR!$G924,IF(J926="BIOMED",PR!$H924,IF(J926="CHI",PR!$I924,IF(J926="CLARION",PR!$J924,IF(J926="CODIX",PR!$K924,IF(J926="COSMADE",PR!$L924,IF(J926="SANCON",PR!$M924,IF(J926="DEVON",PR!$N924,IF(J926="DORTEMAG",PR!$O924,IF(J926="DGF",PR!$P924,IF(J926="DYNAMIC",PR!$Q924,IF(J926="EMZOR",PR!$R924,IF(J926="EUMATT",PR!$S924,IF(J926="FIDSON",PR!$T924,IF(J926="FCGLOBAL",PR!$U924,IF(J926="GENEITH",PR!$V924,IF(J926="GINOS",PR!$W924,IF(J926="GSK",PR!$X924,IF(J926="GLOBORG",PR!$Y924,IF(J926="GOODNEWS",PR!$Z924,IF(J926="GREENLIFE",PR!$AA924,IF(J926="HLINE",PR!$AB924,IF(J926="ROTECH",PR!$AC924,IF(J926="ISN",PR!$AD924,IF(J926="JAWA",PR!$AE924,IF(J926="LAYO",PR!$AF924,IF(J926="LEADWAY",PR!$AG924,IF(J926="LHV",PR!$AH924,IF(J926="MANOLA",PR!$AI924,IF(J926="MARCSON",PR!$AJ924,IF(J926="M&amp;B",PR!$AK924,IF(J926="MTRUST",PR!$AL924,IF(J926="MWORLD",PR!$AM924,IF(J926="MEGA",PR!$AN924,IF(J926="MICRONOVA",PR!$AO924,IF(J926="MFLASH",PR!$AP924,IF(J926="MORISON",PR!$AQ924,IF(J926="NEMEL",PR!$AR924,IF(J926="NHP",PR!$AS924,IF(J926="NHC",PR!$AT924,IF(J926="OLEAF",PR!$AU924,IF(J926="OCULUS",PR!$AV924,IF(J926="PACIFIC",PR!$AW924,IF(J926="PHAMATEX",PR!$AX924,IF(J926="PETHICS",PR!$AY924,IF(J926="PHILIPS",PR!$AZ924,IF(J926="RANBAXY",PR!$BA924,IF(J926="REALS",PR!$BB924,IF(J926="ROYAL",PR!$BC924,IF(J926="SAM",PR!$BD924,IF(J926="SEAGREEN",PR!$BE924,IF(J926="SKG",PR!$BF924,IF(J926="TAH",PR!$BG924,IF(J926="TAYLEK",PR!$BH924,IF(J926="TEMITA",PR!$BI924,IF(J926="THL",PR!$BJ924,IF(J926="UBASTIC",PR!$BK924,IF(J926="UNION",PR!$BL924,IF(J926="UNIQUE",PR!$BM924,IF(J926="VIXA",PR!$BN924,IF(J926="WWCV",PR!$BO924,IF(J926="ZOLON",PR!$BP924,"-"))))))))))))))))))))))))))))))))))))))))))))))))))))))))))))))))</f>
        <v>43750</v>
      </c>
      <c r="J926" s="102" t="str">
        <f>EV!N1168</f>
        <v>DYNAMIC</v>
      </c>
      <c r="K926" s="433" t="s">
        <v>1452</v>
      </c>
      <c r="L926" s="183">
        <f>IF(K926&gt;0,IF(K926="ALPHA",PR!$E924,IF(K926="ASSENE",PR!$F924,IF(K926="BIOFEM",PR!$G924,IF(K926="BIOMED",PR!$H924,IF(K926="CHI",PR!$I924,IF(K926="CLARION",PR!$J924,IF(K926="CODIX",PR!$K924,IF(K926="COSMADE",PR!$L924,IF(K926="SANCON",PR!$M924,IF(K926="DEVON",PR!$N924,IF(K926="DORTEMAG",PR!$O924,IF(K926="DGF",PR!$P924,IF(K926="DYNAMIC",PR!$Q924,IF(K926="EMZOR",PR!$R924,IF(K926="EUMATT",PR!$S924,IF(K926="FIDSON",PR!$T924,IF(K926="FCGLOBAL",PR!$U924,IF(K926="GENEITH",PR!$V924,IF(K926="GINOS",PR!$W924,IF(K926="GSK",PR!$X924,IF(K926="GLOBORG",PR!$Y924,IF(K926="GOODNEWS",PR!$Z924,IF(K926="GREENLIFE",PR!$AA924,IF(K926="HLINE",PR!$AB924,IF(K926="ROTECH",PR!$AC924,IF(K926="ISN",PR!$AD924,IF(K926="JAWA",PR!$AE924,IF(K926="LAYO",PR!$AF924,IF(K926="LEADWAY",PR!$AG924,IF(K926="LHV",PR!$AH924,IF(K926="MANOLA",PR!$AI924,IF(K926="MARCSON",PR!$AJ924,IF(K926="M&amp;B",PR!$AK924,IF(K926="MTRUST",PR!$AL924,IF(K926="MWORLD",PR!$AM924,IF(K926="MEGA",PR!$AN924,IF(K926="MICRONOVA",PR!$AO924,IF(K926="MFLASH",PR!$AP924,IF(K926="MORISON",PR!$AQ924,IF(K926="NEMEL",PR!$AR924,IF(K926="NHP",PR!$AS924,IF(K926="NHC",PR!$AT924,IF(K926="OLEAF",PR!$AU924,IF(K926="OCULUS",PR!$AV924,IF(K926="PACIFIC",PR!$AW924,IF(K926="PHAMATEX",PR!$AX924,IF(K926="PETHICS",PR!$AY924,IF(K926="PHILIPS",PR!$AZ924,IF(K926="RANBAXY",PR!$BA924,IF(K926="REALS",PR!$BB924,IF(K926="ROYAL",PR!$BC924,IF(K926="SAM",PR!$BD924,IF(K926="SEAGREEN",PR!$BE924,IF(K926="SKG",PR!$BF924,IF(K926="TAH",PR!$BG924,IF(K926="TAYLEK",PR!$BH924,IF(K926="TEMITA",PR!$BI924,IF(K926="THL",PR!$BJ924,IF(K926="UBASTIC",PR!$BK924,IF(K926="UNION",PR!$BL924,IF(K926="UNIQUE",PR!$BM924,IF(K926="VIXA",PR!$BN924,IF(K926="WWCV",PR!$BO924,IF(K926="ZOLON",PR!$BP924,"-")))))))))))))))))))))))))))))))))))))))))))))))))))))))))))))))))</f>
        <v>25000</v>
      </c>
    </row>
    <row r="927" spans="1:12" ht="18.75" x14ac:dyDescent="0.3">
      <c r="A927" s="430">
        <f>PR!A925</f>
        <v>835</v>
      </c>
      <c r="B927" s="15" t="str">
        <f>PR!B925</f>
        <v>DIGITAL SPHYGMOMANOMETER (OMRON)</v>
      </c>
      <c r="C927" s="113">
        <f>PR!D925</f>
        <v>0</v>
      </c>
      <c r="D927" s="113">
        <f>PR!C925</f>
        <v>2</v>
      </c>
      <c r="E927" s="108">
        <f>IF(F927="ALPHA",PR!$E925,IF(F927="ASSENE",PR!$F925,IF(F927="BIOFEM",PR!$G925,IF(F927="BIOMED",PR!$H925,IF(F927="CHI",PR!$I925,IF(F927="CLARION",PR!$J925,IF(F927="CODIX",PR!$K925,IF(F927="COSMADE",PR!$L925,IF(F927="SANCON",PR!$M925,IF(F927="DEVON",PR!$N925,IF(F927="DORTEMAG",PR!$O925,IF(F927="DGF",PR!$P925,IF(F927="DYNAMIC",PR!$Q925,IF(F927="EMZOR",PR!$R925,IF(F927="EUMATT",PR!$S925,IF(F927="FIDSON",PR!$T925,IF(F927="FCGLOBAL",PR!$U925,IF(F927="GENEITH",PR!$V925,IF(F927="GINOS",PR!$W925,IF(F927="GSK",PR!$X925,IF(F927="GLOBORG",PR!$Y925,IF(F927="GOODNEWS",PR!$Z925,IF(F927="GREENLIFE",PR!$AA925,IF(F927="HLINE",PR!$AB925,IF(F927="ROTECH",PR!$AC925,IF(F927="ISN",PR!$AD925,IF(F927="JAWA",PR!$AE925,IF(F927="LAYO",PR!$AF925,IF(F927="LEADWAY",PR!$AG925,IF(F927="LHV",PR!$AH925,IF(F927="MANOLA",PR!$AI925,IF(F927="MARCSON",PR!$AJ925,IF(F927="M&amp;B",PR!$AK925,IF(F927="MTRUST",PR!$AL925,IF(F927="MWORLD",PR!$AM925,IF(F927="MEGA",PR!$AN925,IF(F927="MICRONOVA",PR!$AO925,IF(F927="MFLASH",PR!$AP925,IF(F927="MORISON",PR!$AQ925,IF(F927="NEMEL",PR!$AR925,IF(F927="NHP",PR!$AS925,IF(F927="NHC",PR!$AT925,IF(F927="OLEAF",PR!$AU925,IF(F927="OCULUS",PR!$AV925,IF(F927="PACIFIC",PR!$AW925,IF(F927="PHAMATEX",PR!$AX925,IF(F927="PETHICS",PR!$AY925,IF(F927="PHILIPS",PR!$AZ925,IF(F927="RANBAXY",PR!$BA925,IF(F927="REALS",PR!$BB925,IF(F927="ROYAL",PR!$BC925,IF(F927="SAM",PR!$BD925,IF(F927="SEAGREEN",PR!$BE925,IF(F927="SKG",PR!$BF925,IF(F927="TAH",PR!$BG925,IF(F927="TAYLEK",PR!$BH925,IF(F927="TEMITA",PR!$BI925,IF(F927="THL",PR!$BJ925,IF(F927="UBASTIC",PR!$BK925,IF(F927="UNION",PR!$BL925,IF(F927="UNIQUE",PR!$BM925,IF(F927="VIXA",PR!$BN925,IF(F927="WWCV",PR!$BO925,IF(F927="ZOLON",PR!$BP925,"-"))))))))))))))))))))))))))))))))))))))))))))))))))))))))))))))))</f>
        <v>12000</v>
      </c>
      <c r="F927" s="102" t="str">
        <f>EV!L1169</f>
        <v>COSMADE</v>
      </c>
      <c r="G927" s="108">
        <f>IF(H927="ALPHA",PR!$E925,IF(H927="ASSENE",PR!$F925,IF(H927="BIOFEM",PR!$G925,IF(H927="BIOMED",PR!$H925,IF(H927="CHI",PR!$I925,IF(H927="CLARION",PR!$J925,IF(H927="CODIX",PR!$K925,IF(H927="COSMADE",PR!$L925,IF(H927="SANCON",PR!$M925,IF(H927="DEVON",PR!$N925,IF(H927="DORTEMAG",PR!$O925,IF(H927="DGF",PR!$P925,IF(H927="DYNAMIC",PR!$Q925,IF(H927="EMZOR",PR!$R925,IF(H927="EUMATT",PR!$S925,IF(H927="FIDSON",PR!$T925,IF(H927="FCGLOBAL",PR!$U925,IF(H927="GENEITH",PR!$V925,IF(H927="GINOS",PR!$W925,IF(H927="GSK",PR!$X925,IF(H927="GLOBORG",PR!$Y925,IF(H927="GOODNEWS",PR!$Z925,IF(H927="GREENLIFE",PR!$AA925,IF(H927="HLINE",PR!$AB925,IF(H927="ROTECH",PR!$AC925,IF(H927="ISN",PR!$AD925,IF(H927="JAWA",PR!$AE925,IF(H927="LAYO",PR!$AF925,IF(H927="LEADWAY",PR!$AG925,IF(H927="LHV",PR!$AH925,IF(H927="MANOLA",PR!$AI925,IF(H927="MARCSON",PR!$AJ925,IF(H927="M&amp;B",PR!$AK925,IF(H927="MTRUST",PR!$AL925,IF(H927="MWORLD",PR!$AM925,IF(H927="MEGA",PR!$AN925,IF(H927="MICRONOVA",PR!$AO925,IF(H927="MFLASH",PR!$AP925,IF(H927="MORISON",PR!$AQ925,IF(H927="NEMEL",PR!$AR925,IF(H927="NHP",PR!$AS925,IF(H927="NHC",PR!$AT925,IF(H927="OLEAF",PR!$AU925,IF(H927="OCULUS",PR!$AV925,IF(H927="PACIFIC",PR!$AW925,IF(H927="PHAMATEX",PR!$AX925,IF(H927="PETHICS",PR!$AY925,IF(H927="PHILIPS",PR!$AZ925,IF(H927="RANBAXY",PR!$BA925,IF(H927="REALS",PR!$BB925,IF(H927="ROYAL",PR!$BC925,IF(H927="SAM",PR!$BD925,IF(H927="SEAGREEN",PR!$BE925,IF(H927="SKG",PR!$BF925,IF(H927="TAH",PR!$BG925,IF(H927="TAYLEK",PR!$BH925,IF(H927="TEMITA",PR!$BI925,IF(H927="THL",PR!$BJ925,IF(H927="UBASTIC",PR!$BK925,IF(H927="UNION",PR!$BL925,IF(H927="UNIQUE",PR!$BM925,IF(H927="VIXA",PR!$BN925,IF(H927="WWCV",PR!$BO925,IF(H927="ZOLON",PR!$BP925,"-"))))))))))))))))))))))))))))))))))))))))))))))))))))))))))))))))</f>
        <v>13000</v>
      </c>
      <c r="H927" s="102" t="str">
        <f>EV!M1169</f>
        <v>LAYO</v>
      </c>
      <c r="I927" s="108">
        <f>IF(J927="ALPHA",PR!$E925,IF(J927="ASSENE",PR!$F925,IF(J927="BIOFEM",PR!$G925,IF(J927="BIOMED",PR!$H925,IF(J927="CHI",PR!$I925,IF(J927="CLARION",PR!$J925,IF(J927="CODIX",PR!$K925,IF(J927="COSMADE",PR!$L925,IF(J927="SANCON",PR!$M925,IF(J927="DEVON",PR!$N925,IF(J927="DORTEMAG",PR!$O925,IF(J927="DGF",PR!$P925,IF(J927="DYNAMIC",PR!$Q925,IF(J927="EMZOR",PR!$R925,IF(J927="EUMATT",PR!$S925,IF(J927="FIDSON",PR!$T925,IF(J927="FCGLOBAL",PR!$U925,IF(J927="GENEITH",PR!$V925,IF(J927="GINOS",PR!$W925,IF(J927="GSK",PR!$X925,IF(J927="GLOBORG",PR!$Y925,IF(J927="GOODNEWS",PR!$Z925,IF(J927="GREENLIFE",PR!$AA925,IF(J927="HLINE",PR!$AB925,IF(J927="ROTECH",PR!$AC925,IF(J927="ISN",PR!$AD925,IF(J927="JAWA",PR!$AE925,IF(J927="LAYO",PR!$AF925,IF(J927="LEADWAY",PR!$AG925,IF(J927="LHV",PR!$AH925,IF(J927="MANOLA",PR!$AI925,IF(J927="MARCSON",PR!$AJ925,IF(J927="M&amp;B",PR!$AK925,IF(J927="MTRUST",PR!$AL925,IF(J927="MWORLD",PR!$AM925,IF(J927="MEGA",PR!$AN925,IF(J927="MICRONOVA",PR!$AO925,IF(J927="MFLASH",PR!$AP925,IF(J927="MORISON",PR!$AQ925,IF(J927="NEMEL",PR!$AR925,IF(J927="NHP",PR!$AS925,IF(J927="NHC",PR!$AT925,IF(J927="OLEAF",PR!$AU925,IF(J927="OCULUS",PR!$AV925,IF(J927="PACIFIC",PR!$AW925,IF(J927="PHAMATEX",PR!$AX925,IF(J927="PETHICS",PR!$AY925,IF(J927="PHILIPS",PR!$AZ925,IF(J927="RANBAXY",PR!$BA925,IF(J927="REALS",PR!$BB925,IF(J927="ROYAL",PR!$BC925,IF(J927="SAM",PR!$BD925,IF(J927="SEAGREEN",PR!$BE925,IF(J927="SKG",PR!$BF925,IF(J927="TAH",PR!$BG925,IF(J927="TAYLEK",PR!$BH925,IF(J927="TEMITA",PR!$BI925,IF(J927="THL",PR!$BJ925,IF(J927="UBASTIC",PR!$BK925,IF(J927="UNION",PR!$BL925,IF(J927="UNIQUE",PR!$BM925,IF(J927="VIXA",PR!$BN925,IF(J927="WWCV",PR!$BO925,IF(J927="ZOLON",PR!$BP925,"-"))))))))))))))))))))))))))))))))))))))))))))))))))))))))))))))))</f>
        <v>16250</v>
      </c>
      <c r="J927" s="102" t="str">
        <f>EV!N1169</f>
        <v>DYNAMIC</v>
      </c>
      <c r="K927" s="433" t="s">
        <v>1452</v>
      </c>
      <c r="L927" s="183">
        <f>IF(K927&gt;0,IF(K927="ALPHA",PR!$E925,IF(K927="ASSENE",PR!$F925,IF(K927="BIOFEM",PR!$G925,IF(K927="BIOMED",PR!$H925,IF(K927="CHI",PR!$I925,IF(K927="CLARION",PR!$J925,IF(K927="CODIX",PR!$K925,IF(K927="COSMADE",PR!$L925,IF(K927="SANCON",PR!$M925,IF(K927="DEVON",PR!$N925,IF(K927="DORTEMAG",PR!$O925,IF(K927="DGF",PR!$P925,IF(K927="DYNAMIC",PR!$Q925,IF(K927="EMZOR",PR!$R925,IF(K927="EUMATT",PR!$S925,IF(K927="FIDSON",PR!$T925,IF(K927="FCGLOBAL",PR!$U925,IF(K927="GENEITH",PR!$V925,IF(K927="GINOS",PR!$W925,IF(K927="GSK",PR!$X925,IF(K927="GLOBORG",PR!$Y925,IF(K927="GOODNEWS",PR!$Z925,IF(K927="GREENLIFE",PR!$AA925,IF(K927="HLINE",PR!$AB925,IF(K927="ROTECH",PR!$AC925,IF(K927="ISN",PR!$AD925,IF(K927="JAWA",PR!$AE925,IF(K927="LAYO",PR!$AF925,IF(K927="LEADWAY",PR!$AG925,IF(K927="LHV",PR!$AH925,IF(K927="MANOLA",PR!$AI925,IF(K927="MARCSON",PR!$AJ925,IF(K927="M&amp;B",PR!$AK925,IF(K927="MTRUST",PR!$AL925,IF(K927="MWORLD",PR!$AM925,IF(K927="MEGA",PR!$AN925,IF(K927="MICRONOVA",PR!$AO925,IF(K927="MFLASH",PR!$AP925,IF(K927="MORISON",PR!$AQ925,IF(K927="NEMEL",PR!$AR925,IF(K927="NHP",PR!$AS925,IF(K927="NHC",PR!$AT925,IF(K927="OLEAF",PR!$AU925,IF(K927="OCULUS",PR!$AV925,IF(K927="PACIFIC",PR!$AW925,IF(K927="PHAMATEX",PR!$AX925,IF(K927="PETHICS",PR!$AY925,IF(K927="PHILIPS",PR!$AZ925,IF(K927="RANBAXY",PR!$BA925,IF(K927="REALS",PR!$BB925,IF(K927="ROYAL",PR!$BC925,IF(K927="SAM",PR!$BD925,IF(K927="SEAGREEN",PR!$BE925,IF(K927="SKG",PR!$BF925,IF(K927="TAH",PR!$BG925,IF(K927="TAYLEK",PR!$BH925,IF(K927="TEMITA",PR!$BI925,IF(K927="THL",PR!$BJ925,IF(K927="UBASTIC",PR!$BK925,IF(K927="UNION",PR!$BL925,IF(K927="UNIQUE",PR!$BM925,IF(K927="VIXA",PR!$BN925,IF(K927="WWCV",PR!$BO925,IF(K927="ZOLON",PR!$BP925,"-")))))))))))))))))))))))))))))))))))))))))))))))))))))))))))))))))</f>
        <v>12000</v>
      </c>
    </row>
    <row r="928" spans="1:12" ht="18.75" x14ac:dyDescent="0.3">
      <c r="A928" s="430">
        <f>PR!A926</f>
        <v>836</v>
      </c>
      <c r="B928" s="15" t="str">
        <f>PR!B926</f>
        <v>VACUTAINER HOLDER</v>
      </c>
      <c r="C928" s="113">
        <f>PR!D926</f>
        <v>0</v>
      </c>
      <c r="D928" s="113">
        <f>PR!C926</f>
        <v>2</v>
      </c>
      <c r="E928" s="108">
        <f>IF(F928="ALPHA",PR!$E926,IF(F928="ASSENE",PR!$F926,IF(F928="BIOFEM",PR!$G926,IF(F928="BIOMED",PR!$H926,IF(F928="CHI",PR!$I926,IF(F928="CLARION",PR!$J926,IF(F928="CODIX",PR!$K926,IF(F928="COSMADE",PR!$L926,IF(F928="SANCON",PR!$M926,IF(F928="DEVON",PR!$N926,IF(F928="DORTEMAG",PR!$O926,IF(F928="DGF",PR!$P926,IF(F928="DYNAMIC",PR!$Q926,IF(F928="EMZOR",PR!$R926,IF(F928="EUMATT",PR!$S926,IF(F928="FIDSON",PR!$T926,IF(F928="FCGLOBAL",PR!$U926,IF(F928="GENEITH",PR!$V926,IF(F928="GINOS",PR!$W926,IF(F928="GSK",PR!$X926,IF(F928="GLOBORG",PR!$Y926,IF(F928="GOODNEWS",PR!$Z926,IF(F928="GREENLIFE",PR!$AA926,IF(F928="HLINE",PR!$AB926,IF(F928="ROTECH",PR!$AC926,IF(F928="ISN",PR!$AD926,IF(F928="JAWA",PR!$AE926,IF(F928="LAYO",PR!$AF926,IF(F928="LEADWAY",PR!$AG926,IF(F928="LHV",PR!$AH926,IF(F928="MANOLA",PR!$AI926,IF(F928="MARCSON",PR!$AJ926,IF(F928="M&amp;B",PR!$AK926,IF(F928="MTRUST",PR!$AL926,IF(F928="MWORLD",PR!$AM926,IF(F928="MEGA",PR!$AN926,IF(F928="MICRONOVA",PR!$AO926,IF(F928="MFLASH",PR!$AP926,IF(F928="MORISON",PR!$AQ926,IF(F928="NEMEL",PR!$AR926,IF(F928="NHP",PR!$AS926,IF(F928="NHC",PR!$AT926,IF(F928="OLEAF",PR!$AU926,IF(F928="OCULUS",PR!$AV926,IF(F928="PACIFIC",PR!$AW926,IF(F928="PHAMATEX",PR!$AX926,IF(F928="PETHICS",PR!$AY926,IF(F928="PHILIPS",PR!$AZ926,IF(F928="RANBAXY",PR!$BA926,IF(F928="REALS",PR!$BB926,IF(F928="ROYAL",PR!$BC926,IF(F928="SAM",PR!$BD926,IF(F928="SEAGREEN",PR!$BE926,IF(F928="SKG",PR!$BF926,IF(F928="TAH",PR!$BG926,IF(F928="TAYLEK",PR!$BH926,IF(F928="TEMITA",PR!$BI926,IF(F928="THL",PR!$BJ926,IF(F928="UBASTIC",PR!$BK926,IF(F928="UNION",PR!$BL926,IF(F928="UNIQUE",PR!$BM926,IF(F928="VIXA",PR!$BN926,IF(F928="WWCV",PR!$BO926,IF(F928="ZOLON",PR!$BP926,"-"))))))))))))))))))))))))))))))))))))))))))))))))))))))))))))))))</f>
        <v>4375</v>
      </c>
      <c r="F928" s="102" t="str">
        <f>EV!L1170</f>
        <v>TEMITA</v>
      </c>
      <c r="G928" s="108">
        <f>IF(H928="ALPHA",PR!$E926,IF(H928="ASSENE",PR!$F926,IF(H928="BIOFEM",PR!$G926,IF(H928="BIOMED",PR!$H926,IF(H928="CHI",PR!$I926,IF(H928="CLARION",PR!$J926,IF(H928="CODIX",PR!$K926,IF(H928="COSMADE",PR!$L926,IF(H928="SANCON",PR!$M926,IF(H928="DEVON",PR!$N926,IF(H928="DORTEMAG",PR!$O926,IF(H928="DGF",PR!$P926,IF(H928="DYNAMIC",PR!$Q926,IF(H928="EMZOR",PR!$R926,IF(H928="EUMATT",PR!$S926,IF(H928="FIDSON",PR!$T926,IF(H928="FCGLOBAL",PR!$U926,IF(H928="GENEITH",PR!$V926,IF(H928="GINOS",PR!$W926,IF(H928="GSK",PR!$X926,IF(H928="GLOBORG",PR!$Y926,IF(H928="GOODNEWS",PR!$Z926,IF(H928="GREENLIFE",PR!$AA926,IF(H928="HLINE",PR!$AB926,IF(H928="ROTECH",PR!$AC926,IF(H928="ISN",PR!$AD926,IF(H928="JAWA",PR!$AE926,IF(H928="LAYO",PR!$AF926,IF(H928="LEADWAY",PR!$AG926,IF(H928="LHV",PR!$AH926,IF(H928="MANOLA",PR!$AI926,IF(H928="MARCSON",PR!$AJ926,IF(H928="M&amp;B",PR!$AK926,IF(H928="MTRUST",PR!$AL926,IF(H928="MWORLD",PR!$AM926,IF(H928="MEGA",PR!$AN926,IF(H928="MICRONOVA",PR!$AO926,IF(H928="MFLASH",PR!$AP926,IF(H928="MORISON",PR!$AQ926,IF(H928="NEMEL",PR!$AR926,IF(H928="NHP",PR!$AS926,IF(H928="NHC",PR!$AT926,IF(H928="OLEAF",PR!$AU926,IF(H928="OCULUS",PR!$AV926,IF(H928="PACIFIC",PR!$AW926,IF(H928="PHAMATEX",PR!$AX926,IF(H928="PETHICS",PR!$AY926,IF(H928="PHILIPS",PR!$AZ926,IF(H928="RANBAXY",PR!$BA926,IF(H928="REALS",PR!$BB926,IF(H928="ROYAL",PR!$BC926,IF(H928="SAM",PR!$BD926,IF(H928="SEAGREEN",PR!$BE926,IF(H928="SKG",PR!$BF926,IF(H928="TAH",PR!$BG926,IF(H928="TAYLEK",PR!$BH926,IF(H928="TEMITA",PR!$BI926,IF(H928="THL",PR!$BJ926,IF(H928="UBASTIC",PR!$BK926,IF(H928="UNION",PR!$BL926,IF(H928="UNIQUE",PR!$BM926,IF(H928="VIXA",PR!$BN926,IF(H928="WWCV",PR!$BO926,IF(H928="ZOLON",PR!$BP926,"-"))))))))))))))))))))))))))))))))))))))))))))))))))))))))))))))))</f>
        <v>6875</v>
      </c>
      <c r="H928" s="102" t="str">
        <f>EV!M1170</f>
        <v>DYNAMIC</v>
      </c>
      <c r="I928" s="108">
        <f>IF(J928="ALPHA",PR!$E926,IF(J928="ASSENE",PR!$F926,IF(J928="BIOFEM",PR!$G926,IF(J928="BIOMED",PR!$H926,IF(J928="CHI",PR!$I926,IF(J928="CLARION",PR!$J926,IF(J928="CODIX",PR!$K926,IF(J928="COSMADE",PR!$L926,IF(J928="SANCON",PR!$M926,IF(J928="DEVON",PR!$N926,IF(J928="DORTEMAG",PR!$O926,IF(J928="DGF",PR!$P926,IF(J928="DYNAMIC",PR!$Q926,IF(J928="EMZOR",PR!$R926,IF(J928="EUMATT",PR!$S926,IF(J928="FIDSON",PR!$T926,IF(J928="FCGLOBAL",PR!$U926,IF(J928="GENEITH",PR!$V926,IF(J928="GINOS",PR!$W926,IF(J928="GSK",PR!$X926,IF(J928="GLOBORG",PR!$Y926,IF(J928="GOODNEWS",PR!$Z926,IF(J928="GREENLIFE",PR!$AA926,IF(J928="HLINE",PR!$AB926,IF(J928="ROTECH",PR!$AC926,IF(J928="ISN",PR!$AD926,IF(J928="JAWA",PR!$AE926,IF(J928="LAYO",PR!$AF926,IF(J928="LEADWAY",PR!$AG926,IF(J928="LHV",PR!$AH926,IF(J928="MANOLA",PR!$AI926,IF(J928="MARCSON",PR!$AJ926,IF(J928="M&amp;B",PR!$AK926,IF(J928="MTRUST",PR!$AL926,IF(J928="MWORLD",PR!$AM926,IF(J928="MEGA",PR!$AN926,IF(J928="MICRONOVA",PR!$AO926,IF(J928="MFLASH",PR!$AP926,IF(J928="MORISON",PR!$AQ926,IF(J928="NEMEL",PR!$AR926,IF(J928="NHP",PR!$AS926,IF(J928="NHC",PR!$AT926,IF(J928="OLEAF",PR!$AU926,IF(J928="OCULUS",PR!$AV926,IF(J928="PACIFIC",PR!$AW926,IF(J928="PHAMATEX",PR!$AX926,IF(J928="PETHICS",PR!$AY926,IF(J928="PHILIPS",PR!$AZ926,IF(J928="RANBAXY",PR!$BA926,IF(J928="REALS",PR!$BB926,IF(J928="ROYAL",PR!$BC926,IF(J928="SAM",PR!$BD926,IF(J928="SEAGREEN",PR!$BE926,IF(J928="SKG",PR!$BF926,IF(J928="TAH",PR!$BG926,IF(J928="TAYLEK",PR!$BH926,IF(J928="TEMITA",PR!$BI926,IF(J928="THL",PR!$BJ926,IF(J928="UBASTIC",PR!$BK926,IF(J928="UNION",PR!$BL926,IF(J928="UNIQUE",PR!$BM926,IF(J928="VIXA",PR!$BN926,IF(J928="WWCV",PR!$BO926,IF(J928="ZOLON",PR!$BP926,"-"))))))))))))))))))))))))))))))))))))))))))))))))))))))))))))))))</f>
        <v>8450</v>
      </c>
      <c r="J928" s="102" t="str">
        <f>EV!N1170</f>
        <v>LAYO</v>
      </c>
      <c r="K928" s="433" t="s">
        <v>1463</v>
      </c>
      <c r="L928" s="183">
        <f>IF(K928&gt;0,IF(K928="ALPHA",PR!$E926,IF(K928="ASSENE",PR!$F926,IF(K928="BIOFEM",PR!$G926,IF(K928="BIOMED",PR!$H926,IF(K928="CHI",PR!$I926,IF(K928="CLARION",PR!$J926,IF(K928="CODIX",PR!$K926,IF(K928="COSMADE",PR!$L926,IF(K928="SANCON",PR!$M926,IF(K928="DEVON",PR!$N926,IF(K928="DORTEMAG",PR!$O926,IF(K928="DGF",PR!$P926,IF(K928="DYNAMIC",PR!$Q926,IF(K928="EMZOR",PR!$R926,IF(K928="EUMATT",PR!$S926,IF(K928="FIDSON",PR!$T926,IF(K928="FCGLOBAL",PR!$U926,IF(K928="GENEITH",PR!$V926,IF(K928="GINOS",PR!$W926,IF(K928="GSK",PR!$X926,IF(K928="GLOBORG",PR!$Y926,IF(K928="GOODNEWS",PR!$Z926,IF(K928="GREENLIFE",PR!$AA926,IF(K928="HLINE",PR!$AB926,IF(K928="ROTECH",PR!$AC926,IF(K928="ISN",PR!$AD926,IF(K928="JAWA",PR!$AE926,IF(K928="LAYO",PR!$AF926,IF(K928="LEADWAY",PR!$AG926,IF(K928="LHV",PR!$AH926,IF(K928="MANOLA",PR!$AI926,IF(K928="MARCSON",PR!$AJ926,IF(K928="M&amp;B",PR!$AK926,IF(K928="MTRUST",PR!$AL926,IF(K928="MWORLD",PR!$AM926,IF(K928="MEGA",PR!$AN926,IF(K928="MICRONOVA",PR!$AO926,IF(K928="MFLASH",PR!$AP926,IF(K928="MORISON",PR!$AQ926,IF(K928="NEMEL",PR!$AR926,IF(K928="NHP",PR!$AS926,IF(K928="NHC",PR!$AT926,IF(K928="OLEAF",PR!$AU926,IF(K928="OCULUS",PR!$AV926,IF(K928="PACIFIC",PR!$AW926,IF(K928="PHAMATEX",PR!$AX926,IF(K928="PETHICS",PR!$AY926,IF(K928="PHILIPS",PR!$AZ926,IF(K928="RANBAXY",PR!$BA926,IF(K928="REALS",PR!$BB926,IF(K928="ROYAL",PR!$BC926,IF(K928="SAM",PR!$BD926,IF(K928="SEAGREEN",PR!$BE926,IF(K928="SKG",PR!$BF926,IF(K928="TAH",PR!$BG926,IF(K928="TAYLEK",PR!$BH926,IF(K928="TEMITA",PR!$BI926,IF(K928="THL",PR!$BJ926,IF(K928="UBASTIC",PR!$BK926,IF(K928="UNION",PR!$BL926,IF(K928="UNIQUE",PR!$BM926,IF(K928="VIXA",PR!$BN926,IF(K928="WWCV",PR!$BO926,IF(K928="ZOLON",PR!$BP926,"-")))))))))))))))))))))))))))))))))))))))))))))))))))))))))))))))))</f>
        <v>4375</v>
      </c>
    </row>
    <row r="929" spans="1:12" ht="18.75" x14ac:dyDescent="0.3">
      <c r="A929" s="430">
        <f>PR!A927</f>
        <v>837</v>
      </c>
      <c r="B929" s="15" t="str">
        <f>PR!B927</f>
        <v>GROUPING TILES</v>
      </c>
      <c r="C929" s="113">
        <f>PR!D927</f>
        <v>0</v>
      </c>
      <c r="D929" s="113">
        <f>PR!C927</f>
        <v>8</v>
      </c>
      <c r="E929" s="108">
        <f>IF(F929="ALPHA",PR!$E927,IF(F929="ASSENE",PR!$F927,IF(F929="BIOFEM",PR!$G927,IF(F929="BIOMED",PR!$H927,IF(F929="CHI",PR!$I927,IF(F929="CLARION",PR!$J927,IF(F929="CODIX",PR!$K927,IF(F929="COSMADE",PR!$L927,IF(F929="SANCON",PR!$M927,IF(F929="DEVON",PR!$N927,IF(F929="DORTEMAG",PR!$O927,IF(F929="DGF",PR!$P927,IF(F929="DYNAMIC",PR!$Q927,IF(F929="EMZOR",PR!$R927,IF(F929="EUMATT",PR!$S927,IF(F929="FIDSON",PR!$T927,IF(F929="FCGLOBAL",PR!$U927,IF(F929="GENEITH",PR!$V927,IF(F929="GINOS",PR!$W927,IF(F929="GSK",PR!$X927,IF(F929="GLOBORG",PR!$Y927,IF(F929="GOODNEWS",PR!$Z927,IF(F929="GREENLIFE",PR!$AA927,IF(F929="HLINE",PR!$AB927,IF(F929="ROTECH",PR!$AC927,IF(F929="ISN",PR!$AD927,IF(F929="JAWA",PR!$AE927,IF(F929="LAYO",PR!$AF927,IF(F929="LEADWAY",PR!$AG927,IF(F929="LHV",PR!$AH927,IF(F929="MANOLA",PR!$AI927,IF(F929="MARCSON",PR!$AJ927,IF(F929="M&amp;B",PR!$AK927,IF(F929="MTRUST",PR!$AL927,IF(F929="MWORLD",PR!$AM927,IF(F929="MEGA",PR!$AN927,IF(F929="MICRONOVA",PR!$AO927,IF(F929="MFLASH",PR!$AP927,IF(F929="MORISON",PR!$AQ927,IF(F929="NEMEL",PR!$AR927,IF(F929="NHP",PR!$AS927,IF(F929="NHC",PR!$AT927,IF(F929="OLEAF",PR!$AU927,IF(F929="OCULUS",PR!$AV927,IF(F929="PACIFIC",PR!$AW927,IF(F929="PHAMATEX",PR!$AX927,IF(F929="PETHICS",PR!$AY927,IF(F929="PHILIPS",PR!$AZ927,IF(F929="RANBAXY",PR!$BA927,IF(F929="REALS",PR!$BB927,IF(F929="ROYAL",PR!$BC927,IF(F929="SAM",PR!$BD927,IF(F929="SEAGREEN",PR!$BE927,IF(F929="SKG",PR!$BF927,IF(F929="TAH",PR!$BG927,IF(F929="TAYLEK",PR!$BH927,IF(F929="TEMITA",PR!$BI927,IF(F929="THL",PR!$BJ927,IF(F929="UBASTIC",PR!$BK927,IF(F929="UNION",PR!$BL927,IF(F929="UNIQUE",PR!$BM927,IF(F929="VIXA",PR!$BN927,IF(F929="WWCV",PR!$BO927,IF(F929="ZOLON",PR!$BP927,"-"))))))))))))))))))))))))))))))))))))))))))))))))))))))))))))))))</f>
        <v>2600</v>
      </c>
      <c r="F929" s="102" t="str">
        <f>EV!L1171</f>
        <v>SANCON</v>
      </c>
      <c r="G929" s="108">
        <f>IF(H929="ALPHA",PR!$E927,IF(H929="ASSENE",PR!$F927,IF(H929="BIOFEM",PR!$G927,IF(H929="BIOMED",PR!$H927,IF(H929="CHI",PR!$I927,IF(H929="CLARION",PR!$J927,IF(H929="CODIX",PR!$K927,IF(H929="COSMADE",PR!$L927,IF(H929="SANCON",PR!$M927,IF(H929="DEVON",PR!$N927,IF(H929="DORTEMAG",PR!$O927,IF(H929="DGF",PR!$P927,IF(H929="DYNAMIC",PR!$Q927,IF(H929="EMZOR",PR!$R927,IF(H929="EUMATT",PR!$S927,IF(H929="FIDSON",PR!$T927,IF(H929="FCGLOBAL",PR!$U927,IF(H929="GENEITH",PR!$V927,IF(H929="GINOS",PR!$W927,IF(H929="GSK",PR!$X927,IF(H929="GLOBORG",PR!$Y927,IF(H929="GOODNEWS",PR!$Z927,IF(H929="GREENLIFE",PR!$AA927,IF(H929="HLINE",PR!$AB927,IF(H929="ROTECH",PR!$AC927,IF(H929="ISN",PR!$AD927,IF(H929="JAWA",PR!$AE927,IF(H929="LAYO",PR!$AF927,IF(H929="LEADWAY",PR!$AG927,IF(H929="LHV",PR!$AH927,IF(H929="MANOLA",PR!$AI927,IF(H929="MARCSON",PR!$AJ927,IF(H929="M&amp;B",PR!$AK927,IF(H929="MTRUST",PR!$AL927,IF(H929="MWORLD",PR!$AM927,IF(H929="MEGA",PR!$AN927,IF(H929="MICRONOVA",PR!$AO927,IF(H929="MFLASH",PR!$AP927,IF(H929="MORISON",PR!$AQ927,IF(H929="NEMEL",PR!$AR927,IF(H929="NHP",PR!$AS927,IF(H929="NHC",PR!$AT927,IF(H929="OLEAF",PR!$AU927,IF(H929="OCULUS",PR!$AV927,IF(H929="PACIFIC",PR!$AW927,IF(H929="PHAMATEX",PR!$AX927,IF(H929="PETHICS",PR!$AY927,IF(H929="PHILIPS",PR!$AZ927,IF(H929="RANBAXY",PR!$BA927,IF(H929="REALS",PR!$BB927,IF(H929="ROYAL",PR!$BC927,IF(H929="SAM",PR!$BD927,IF(H929="SEAGREEN",PR!$BE927,IF(H929="SKG",PR!$BF927,IF(H929="TAH",PR!$BG927,IF(H929="TAYLEK",PR!$BH927,IF(H929="TEMITA",PR!$BI927,IF(H929="THL",PR!$BJ927,IF(H929="UBASTIC",PR!$BK927,IF(H929="UNION",PR!$BL927,IF(H929="UNIQUE",PR!$BM927,IF(H929="VIXA",PR!$BN927,IF(H929="WWCV",PR!$BO927,IF(H929="ZOLON",PR!$BP927,"-"))))))))))))))))))))))))))))))))))))))))))))))))))))))))))))))))</f>
        <v>3375</v>
      </c>
      <c r="H929" s="102" t="str">
        <f>EV!M1171</f>
        <v>DYNAMIC</v>
      </c>
      <c r="I929" s="108">
        <f>IF(J929="ALPHA",PR!$E927,IF(J929="ASSENE",PR!$F927,IF(J929="BIOFEM",PR!$G927,IF(J929="BIOMED",PR!$H927,IF(J929="CHI",PR!$I927,IF(J929="CLARION",PR!$J927,IF(J929="CODIX",PR!$K927,IF(J929="COSMADE",PR!$L927,IF(J929="SANCON",PR!$M927,IF(J929="DEVON",PR!$N927,IF(J929="DORTEMAG",PR!$O927,IF(J929="DGF",PR!$P927,IF(J929="DYNAMIC",PR!$Q927,IF(J929="EMZOR",PR!$R927,IF(J929="EUMATT",PR!$S927,IF(J929="FIDSON",PR!$T927,IF(J929="FCGLOBAL",PR!$U927,IF(J929="GENEITH",PR!$V927,IF(J929="GINOS",PR!$W927,IF(J929="GSK",PR!$X927,IF(J929="GLOBORG",PR!$Y927,IF(J929="GOODNEWS",PR!$Z927,IF(J929="GREENLIFE",PR!$AA927,IF(J929="HLINE",PR!$AB927,IF(J929="ROTECH",PR!$AC927,IF(J929="ISN",PR!$AD927,IF(J929="JAWA",PR!$AE927,IF(J929="LAYO",PR!$AF927,IF(J929="LEADWAY",PR!$AG927,IF(J929="LHV",PR!$AH927,IF(J929="MANOLA",PR!$AI927,IF(J929="MARCSON",PR!$AJ927,IF(J929="M&amp;B",PR!$AK927,IF(J929="MTRUST",PR!$AL927,IF(J929="MWORLD",PR!$AM927,IF(J929="MEGA",PR!$AN927,IF(J929="MICRONOVA",PR!$AO927,IF(J929="MFLASH",PR!$AP927,IF(J929="MORISON",PR!$AQ927,IF(J929="NEMEL",PR!$AR927,IF(J929="NHP",PR!$AS927,IF(J929="NHC",PR!$AT927,IF(J929="OLEAF",PR!$AU927,IF(J929="OCULUS",PR!$AV927,IF(J929="PACIFIC",PR!$AW927,IF(J929="PHAMATEX",PR!$AX927,IF(J929="PETHICS",PR!$AY927,IF(J929="PHILIPS",PR!$AZ927,IF(J929="RANBAXY",PR!$BA927,IF(J929="REALS",PR!$BB927,IF(J929="ROYAL",PR!$BC927,IF(J929="SAM",PR!$BD927,IF(J929="SEAGREEN",PR!$BE927,IF(J929="SKG",PR!$BF927,IF(J929="TAH",PR!$BG927,IF(J929="TAYLEK",PR!$BH927,IF(J929="TEMITA",PR!$BI927,IF(J929="THL",PR!$BJ927,IF(J929="UBASTIC",PR!$BK927,IF(J929="UNION",PR!$BL927,IF(J929="UNIQUE",PR!$BM927,IF(J929="VIXA",PR!$BN927,IF(J929="WWCV",PR!$BO927,IF(J929="ZOLON",PR!$BP927,"-"))))))))))))))))))))))))))))))))))))))))))))))))))))))))))))))))</f>
        <v>4000</v>
      </c>
      <c r="J929" s="102" t="str">
        <f>EV!N1171</f>
        <v>COSMADE</v>
      </c>
      <c r="K929" s="433" t="s">
        <v>817</v>
      </c>
      <c r="L929" s="183">
        <f>IF(K929&gt;0,IF(K929="ALPHA",PR!$E927,IF(K929="ASSENE",PR!$F927,IF(K929="BIOFEM",PR!$G927,IF(K929="BIOMED",PR!$H927,IF(K929="CHI",PR!$I927,IF(K929="CLARION",PR!$J927,IF(K929="CODIX",PR!$K927,IF(K929="COSMADE",PR!$L927,IF(K929="SANCON",PR!$M927,IF(K929="DEVON",PR!$N927,IF(K929="DORTEMAG",PR!$O927,IF(K929="DGF",PR!$P927,IF(K929="DYNAMIC",PR!$Q927,IF(K929="EMZOR",PR!$R927,IF(K929="EUMATT",PR!$S927,IF(K929="FIDSON",PR!$T927,IF(K929="FCGLOBAL",PR!$U927,IF(K929="GENEITH",PR!$V927,IF(K929="GINOS",PR!$W927,IF(K929="GSK",PR!$X927,IF(K929="GLOBORG",PR!$Y927,IF(K929="GOODNEWS",PR!$Z927,IF(K929="GREENLIFE",PR!$AA927,IF(K929="HLINE",PR!$AB927,IF(K929="ROTECH",PR!$AC927,IF(K929="ISN",PR!$AD927,IF(K929="JAWA",PR!$AE927,IF(K929="LAYO",PR!$AF927,IF(K929="LEADWAY",PR!$AG927,IF(K929="LHV",PR!$AH927,IF(K929="MANOLA",PR!$AI927,IF(K929="MARCSON",PR!$AJ927,IF(K929="M&amp;B",PR!$AK927,IF(K929="MTRUST",PR!$AL927,IF(K929="MWORLD",PR!$AM927,IF(K929="MEGA",PR!$AN927,IF(K929="MICRONOVA",PR!$AO927,IF(K929="MFLASH",PR!$AP927,IF(K929="MORISON",PR!$AQ927,IF(K929="NEMEL",PR!$AR927,IF(K929="NHP",PR!$AS927,IF(K929="NHC",PR!$AT927,IF(K929="OLEAF",PR!$AU927,IF(K929="OCULUS",PR!$AV927,IF(K929="PACIFIC",PR!$AW927,IF(K929="PHAMATEX",PR!$AX927,IF(K929="PETHICS",PR!$AY927,IF(K929="PHILIPS",PR!$AZ927,IF(K929="RANBAXY",PR!$BA927,IF(K929="REALS",PR!$BB927,IF(K929="ROYAL",PR!$BC927,IF(K929="SAM",PR!$BD927,IF(K929="SEAGREEN",PR!$BE927,IF(K929="SKG",PR!$BF927,IF(K929="TAH",PR!$BG927,IF(K929="TAYLEK",PR!$BH927,IF(K929="TEMITA",PR!$BI927,IF(K929="THL",PR!$BJ927,IF(K929="UBASTIC",PR!$BK927,IF(K929="UNION",PR!$BL927,IF(K929="UNIQUE",PR!$BM927,IF(K929="VIXA",PR!$BN927,IF(K929="WWCV",PR!$BO927,IF(K929="ZOLON",PR!$BP927,"-")))))))))))))))))))))))))))))))))))))))))))))))))))))))))))))))))</f>
        <v>2600</v>
      </c>
    </row>
    <row r="930" spans="1:12" ht="18.75" x14ac:dyDescent="0.3">
      <c r="A930" s="430">
        <f>PR!A928</f>
        <v>838</v>
      </c>
      <c r="B930" s="15" t="str">
        <f>PR!B928</f>
        <v>PCV TRAY</v>
      </c>
      <c r="C930" s="113">
        <f>PR!D928</f>
        <v>0</v>
      </c>
      <c r="D930" s="113">
        <f>PR!C928</f>
        <v>3</v>
      </c>
      <c r="E930" s="108">
        <f>IF(F930="ALPHA",PR!$E928,IF(F930="ASSENE",PR!$F928,IF(F930="BIOFEM",PR!$G928,IF(F930="BIOMED",PR!$H928,IF(F930="CHI",PR!$I928,IF(F930="CLARION",PR!$J928,IF(F930="CODIX",PR!$K928,IF(F930="COSMADE",PR!$L928,IF(F930="SANCON",PR!$M928,IF(F930="DEVON",PR!$N928,IF(F930="DORTEMAG",PR!$O928,IF(F930="DGF",PR!$P928,IF(F930="DYNAMIC",PR!$Q928,IF(F930="EMZOR",PR!$R928,IF(F930="EUMATT",PR!$S928,IF(F930="FIDSON",PR!$T928,IF(F930="FCGLOBAL",PR!$U928,IF(F930="GENEITH",PR!$V928,IF(F930="GINOS",PR!$W928,IF(F930="GSK",PR!$X928,IF(F930="GLOBORG",PR!$Y928,IF(F930="GOODNEWS",PR!$Z928,IF(F930="GREENLIFE",PR!$AA928,IF(F930="HLINE",PR!$AB928,IF(F930="ROTECH",PR!$AC928,IF(F930="ISN",PR!$AD928,IF(F930="JAWA",PR!$AE928,IF(F930="LAYO",PR!$AF928,IF(F930="LEADWAY",PR!$AG928,IF(F930="LHV",PR!$AH928,IF(F930="MANOLA",PR!$AI928,IF(F930="MARCSON",PR!$AJ928,IF(F930="M&amp;B",PR!$AK928,IF(F930="MTRUST",PR!$AL928,IF(F930="MWORLD",PR!$AM928,IF(F930="MEGA",PR!$AN928,IF(F930="MICRONOVA",PR!$AO928,IF(F930="MFLASH",PR!$AP928,IF(F930="MORISON",PR!$AQ928,IF(F930="NEMEL",PR!$AR928,IF(F930="NHP",PR!$AS928,IF(F930="NHC",PR!$AT928,IF(F930="OLEAF",PR!$AU928,IF(F930="OCULUS",PR!$AV928,IF(F930="PACIFIC",PR!$AW928,IF(F930="PHAMATEX",PR!$AX928,IF(F930="PETHICS",PR!$AY928,IF(F930="PHILIPS",PR!$AZ928,IF(F930="RANBAXY",PR!$BA928,IF(F930="REALS",PR!$BB928,IF(F930="ROYAL",PR!$BC928,IF(F930="SAM",PR!$BD928,IF(F930="SEAGREEN",PR!$BE928,IF(F930="SKG",PR!$BF928,IF(F930="TAH",PR!$BG928,IF(F930="TAYLEK",PR!$BH928,IF(F930="TEMITA",PR!$BI928,IF(F930="THL",PR!$BJ928,IF(F930="UBASTIC",PR!$BK928,IF(F930="UNION",PR!$BL928,IF(F930="UNIQUE",PR!$BM928,IF(F930="VIXA",PR!$BN928,IF(F930="WWCV",PR!$BO928,IF(F930="ZOLON",PR!$BP928,"-"))))))))))))))))))))))))))))))))))))))))))))))))))))))))))))))))</f>
        <v>1250</v>
      </c>
      <c r="F930" s="102" t="str">
        <f>EV!L1172</f>
        <v>DYNAMIC</v>
      </c>
      <c r="G930" s="108">
        <f>IF(H930="ALPHA",PR!$E928,IF(H930="ASSENE",PR!$F928,IF(H930="BIOFEM",PR!$G928,IF(H930="BIOMED",PR!$H928,IF(H930="CHI",PR!$I928,IF(H930="CLARION",PR!$J928,IF(H930="CODIX",PR!$K928,IF(H930="COSMADE",PR!$L928,IF(H930="SANCON",PR!$M928,IF(H930="DEVON",PR!$N928,IF(H930="DORTEMAG",PR!$O928,IF(H930="DGF",PR!$P928,IF(H930="DYNAMIC",PR!$Q928,IF(H930="EMZOR",PR!$R928,IF(H930="EUMATT",PR!$S928,IF(H930="FIDSON",PR!$T928,IF(H930="FCGLOBAL",PR!$U928,IF(H930="GENEITH",PR!$V928,IF(H930="GINOS",PR!$W928,IF(H930="GSK",PR!$X928,IF(H930="GLOBORG",PR!$Y928,IF(H930="GOODNEWS",PR!$Z928,IF(H930="GREENLIFE",PR!$AA928,IF(H930="HLINE",PR!$AB928,IF(H930="ROTECH",PR!$AC928,IF(H930="ISN",PR!$AD928,IF(H930="JAWA",PR!$AE928,IF(H930="LAYO",PR!$AF928,IF(H930="LEADWAY",PR!$AG928,IF(H930="LHV",PR!$AH928,IF(H930="MANOLA",PR!$AI928,IF(H930="MARCSON",PR!$AJ928,IF(H930="M&amp;B",PR!$AK928,IF(H930="MTRUST",PR!$AL928,IF(H930="MWORLD",PR!$AM928,IF(H930="MEGA",PR!$AN928,IF(H930="MICRONOVA",PR!$AO928,IF(H930="MFLASH",PR!$AP928,IF(H930="MORISON",PR!$AQ928,IF(H930="NEMEL",PR!$AR928,IF(H930="NHP",PR!$AS928,IF(H930="NHC",PR!$AT928,IF(H930="OLEAF",PR!$AU928,IF(H930="OCULUS",PR!$AV928,IF(H930="PACIFIC",PR!$AW928,IF(H930="PHAMATEX",PR!$AX928,IF(H930="PETHICS",PR!$AY928,IF(H930="PHILIPS",PR!$AZ928,IF(H930="RANBAXY",PR!$BA928,IF(H930="REALS",PR!$BB928,IF(H930="ROYAL",PR!$BC928,IF(H930="SAM",PR!$BD928,IF(H930="SEAGREEN",PR!$BE928,IF(H930="SKG",PR!$BF928,IF(H930="TAH",PR!$BG928,IF(H930="TAYLEK",PR!$BH928,IF(H930="TEMITA",PR!$BI928,IF(H930="THL",PR!$BJ928,IF(H930="UBASTIC",PR!$BK928,IF(H930="UNION",PR!$BL928,IF(H930="UNIQUE",PR!$BM928,IF(H930="VIXA",PR!$BN928,IF(H930="WWCV",PR!$BO928,IF(H930="ZOLON",PR!$BP928,"-"))))))))))))))))))))))))))))))))))))))))))))))))))))))))))))))))</f>
        <v>18000</v>
      </c>
      <c r="H930" s="102" t="str">
        <f>EV!M1172</f>
        <v>SANCON</v>
      </c>
      <c r="I930" s="108" t="str">
        <f>IF(J930="ALPHA",PR!$E928,IF(J930="ASSENE",PR!$F928,IF(J930="BIOFEM",PR!$G928,IF(J930="BIOMED",PR!$H928,IF(J930="CHI",PR!$I928,IF(J930="CLARION",PR!$J928,IF(J930="CODIX",PR!$K928,IF(J930="COSMADE",PR!$L928,IF(J930="SANCON",PR!$M928,IF(J930="DEVON",PR!$N928,IF(J930="DORTEMAG",PR!$O928,IF(J930="DGF",PR!$P928,IF(J930="DYNAMIC",PR!$Q928,IF(J930="EMZOR",PR!$R928,IF(J930="EUMATT",PR!$S928,IF(J930="FIDSON",PR!$T928,IF(J930="FCGLOBAL",PR!$U928,IF(J930="GENEITH",PR!$V928,IF(J930="GINOS",PR!$W928,IF(J930="GSK",PR!$X928,IF(J930="GLOBORG",PR!$Y928,IF(J930="GOODNEWS",PR!$Z928,IF(J930="GREENLIFE",PR!$AA928,IF(J930="HLINE",PR!$AB928,IF(J930="ROTECH",PR!$AC928,IF(J930="ISN",PR!$AD928,IF(J930="JAWA",PR!$AE928,IF(J930="LAYO",PR!$AF928,IF(J930="LEADWAY",PR!$AG928,IF(J930="LHV",PR!$AH928,IF(J930="MANOLA",PR!$AI928,IF(J930="MARCSON",PR!$AJ928,IF(J930="M&amp;B",PR!$AK928,IF(J930="MTRUST",PR!$AL928,IF(J930="MWORLD",PR!$AM928,IF(J930="MEGA",PR!$AN928,IF(J930="MICRONOVA",PR!$AO928,IF(J930="MFLASH",PR!$AP928,IF(J930="MORISON",PR!$AQ928,IF(J930="NEMEL",PR!$AR928,IF(J930="NHP",PR!$AS928,IF(J930="NHC",PR!$AT928,IF(J930="OLEAF",PR!$AU928,IF(J930="OCULUS",PR!$AV928,IF(J930="PACIFIC",PR!$AW928,IF(J930="PHAMATEX",PR!$AX928,IF(J930="PETHICS",PR!$AY928,IF(J930="PHILIPS",PR!$AZ928,IF(J930="RANBAXY",PR!$BA928,IF(J930="REALS",PR!$BB928,IF(J930="ROYAL",PR!$BC928,IF(J930="SAM",PR!$BD928,IF(J930="SEAGREEN",PR!$BE928,IF(J930="SKG",PR!$BF928,IF(J930="TAH",PR!$BG928,IF(J930="TAYLEK",PR!$BH928,IF(J930="TEMITA",PR!$BI928,IF(J930="THL",PR!$BJ928,IF(J930="UBASTIC",PR!$BK928,IF(J930="UNION",PR!$BL928,IF(J930="UNIQUE",PR!$BM928,IF(J930="VIXA",PR!$BN928,IF(J930="WWCV",PR!$BO928,IF(J930="ZOLON",PR!$BP928,"-"))))))))))))))))))))))))))))))))))))))))))))))))))))))))))))))))</f>
        <v>-</v>
      </c>
      <c r="J930" s="102">
        <f>EV!N1172</f>
        <v>0</v>
      </c>
      <c r="K930" s="433" t="s">
        <v>626</v>
      </c>
      <c r="L930" s="183">
        <f>IF(K930&gt;0,IF(K930="ALPHA",PR!$E928,IF(K930="ASSENE",PR!$F928,IF(K930="BIOFEM",PR!$G928,IF(K930="BIOMED",PR!$H928,IF(K930="CHI",PR!$I928,IF(K930="CLARION",PR!$J928,IF(K930="CODIX",PR!$K928,IF(K930="COSMADE",PR!$L928,IF(K930="SANCON",PR!$M928,IF(K930="DEVON",PR!$N928,IF(K930="DORTEMAG",PR!$O928,IF(K930="DGF",PR!$P928,IF(K930="DYNAMIC",PR!$Q928,IF(K930="EMZOR",PR!$R928,IF(K930="EUMATT",PR!$S928,IF(K930="FIDSON",PR!$T928,IF(K930="FCGLOBAL",PR!$U928,IF(K930="GENEITH",PR!$V928,IF(K930="GINOS",PR!$W928,IF(K930="GSK",PR!$X928,IF(K930="GLOBORG",PR!$Y928,IF(K930="GOODNEWS",PR!$Z928,IF(K930="GREENLIFE",PR!$AA928,IF(K930="HLINE",PR!$AB928,IF(K930="ROTECH",PR!$AC928,IF(K930="ISN",PR!$AD928,IF(K930="JAWA",PR!$AE928,IF(K930="LAYO",PR!$AF928,IF(K930="LEADWAY",PR!$AG928,IF(K930="LHV",PR!$AH928,IF(K930="MANOLA",PR!$AI928,IF(K930="MARCSON",PR!$AJ928,IF(K930="M&amp;B",PR!$AK928,IF(K930="MTRUST",PR!$AL928,IF(K930="MWORLD",PR!$AM928,IF(K930="MEGA",PR!$AN928,IF(K930="MICRONOVA",PR!$AO928,IF(K930="MFLASH",PR!$AP928,IF(K930="MORISON",PR!$AQ928,IF(K930="NEMEL",PR!$AR928,IF(K930="NHP",PR!$AS928,IF(K930="NHC",PR!$AT928,IF(K930="OLEAF",PR!$AU928,IF(K930="OCULUS",PR!$AV928,IF(K930="PACIFIC",PR!$AW928,IF(K930="PHAMATEX",PR!$AX928,IF(K930="PETHICS",PR!$AY928,IF(K930="PHILIPS",PR!$AZ928,IF(K930="RANBAXY",PR!$BA928,IF(K930="REALS",PR!$BB928,IF(K930="ROYAL",PR!$BC928,IF(K930="SAM",PR!$BD928,IF(K930="SEAGREEN",PR!$BE928,IF(K930="SKG",PR!$BF928,IF(K930="TAH",PR!$BG928,IF(K930="TAYLEK",PR!$BH928,IF(K930="TEMITA",PR!$BI928,IF(K930="THL",PR!$BJ928,IF(K930="UBASTIC",PR!$BK928,IF(K930="UNION",PR!$BL928,IF(K930="UNIQUE",PR!$BM928,IF(K930="VIXA",PR!$BN928,IF(K930="WWCV",PR!$BO928,IF(K930="ZOLON",PR!$BP928,"-")))))))))))))))))))))))))))))))))))))))))))))))))))))))))))))))))</f>
        <v>1250</v>
      </c>
    </row>
    <row r="931" spans="1:12" ht="18.75" x14ac:dyDescent="0.3">
      <c r="A931" s="430">
        <f>PR!A929</f>
        <v>839</v>
      </c>
      <c r="B931" s="15" t="str">
        <f>PR!B929</f>
        <v>TENNIS BALLS</v>
      </c>
      <c r="C931" s="113" t="str">
        <f>PR!D929</f>
        <v>1 pkt of 12</v>
      </c>
      <c r="D931" s="113">
        <f>PR!C929</f>
        <v>12</v>
      </c>
      <c r="E931" s="108">
        <f>IF(F931="ALPHA",PR!$E929,IF(F931="ASSENE",PR!$F929,IF(F931="BIOFEM",PR!$G929,IF(F931="BIOMED",PR!$H929,IF(F931="CHI",PR!$I929,IF(F931="CLARION",PR!$J929,IF(F931="CODIX",PR!$K929,IF(F931="COSMADE",PR!$L929,IF(F931="SANCON",PR!$M929,IF(F931="DEVON",PR!$N929,IF(F931="DORTEMAG",PR!$O929,IF(F931="DGF",PR!$P929,IF(F931="DYNAMIC",PR!$Q929,IF(F931="EMZOR",PR!$R929,IF(F931="EUMATT",PR!$S929,IF(F931="FIDSON",PR!$T929,IF(F931="FCGLOBAL",PR!$U929,IF(F931="GENEITH",PR!$V929,IF(F931="GINOS",PR!$W929,IF(F931="GSK",PR!$X929,IF(F931="GLOBORG",PR!$Y929,IF(F931="GOODNEWS",PR!$Z929,IF(F931="GREENLIFE",PR!$AA929,IF(F931="HLINE",PR!$AB929,IF(F931="ROTECH",PR!$AC929,IF(F931="ISN",PR!$AD929,IF(F931="JAWA",PR!$AE929,IF(F931="LAYO",PR!$AF929,IF(F931="LEADWAY",PR!$AG929,IF(F931="LHV",PR!$AH929,IF(F931="MANOLA",PR!$AI929,IF(F931="MARCSON",PR!$AJ929,IF(F931="M&amp;B",PR!$AK929,IF(F931="MTRUST",PR!$AL929,IF(F931="MWORLD",PR!$AM929,IF(F931="MEGA",PR!$AN929,IF(F931="MICRONOVA",PR!$AO929,IF(F931="MFLASH",PR!$AP929,IF(F931="MORISON",PR!$AQ929,IF(F931="NEMEL",PR!$AR929,IF(F931="NHP",PR!$AS929,IF(F931="NHC",PR!$AT929,IF(F931="OLEAF",PR!$AU929,IF(F931="OCULUS",PR!$AV929,IF(F931="PACIFIC",PR!$AW929,IF(F931="PHAMATEX",PR!$AX929,IF(F931="PETHICS",PR!$AY929,IF(F931="PHILIPS",PR!$AZ929,IF(F931="RANBAXY",PR!$BA929,IF(F931="REALS",PR!$BB929,IF(F931="ROYAL",PR!$BC929,IF(F931="SAM",PR!$BD929,IF(F931="SEAGREEN",PR!$BE929,IF(F931="SKG",PR!$BF929,IF(F931="TAH",PR!$BG929,IF(F931="TAYLEK",PR!$BH929,IF(F931="TEMITA",PR!$BI929,IF(F931="THL",PR!$BJ929,IF(F931="UBASTIC",PR!$BK929,IF(F931="UNION",PR!$BL929,IF(F931="UNIQUE",PR!$BM929,IF(F931="VIXA",PR!$BN929,IF(F931="WWCV",PR!$BO929,IF(F931="ZOLON",PR!$BP929,"-"))))))))))))))))))))))))))))))))))))))))))))))))))))))))))))))))</f>
        <v>7200</v>
      </c>
      <c r="F931" s="102" t="str">
        <f>EV!L1173</f>
        <v>SANCON</v>
      </c>
      <c r="G931" s="108" t="str">
        <f>IF(H931="ALPHA",PR!$E929,IF(H931="ASSENE",PR!$F929,IF(H931="BIOFEM",PR!$G929,IF(H931="BIOMED",PR!$H929,IF(H931="CHI",PR!$I929,IF(H931="CLARION",PR!$J929,IF(H931="CODIX",PR!$K929,IF(H931="COSMADE",PR!$L929,IF(H931="SANCON",PR!$M929,IF(H931="DEVON",PR!$N929,IF(H931="DORTEMAG",PR!$O929,IF(H931="DGF",PR!$P929,IF(H931="DYNAMIC",PR!$Q929,IF(H931="EMZOR",PR!$R929,IF(H931="EUMATT",PR!$S929,IF(H931="FIDSON",PR!$T929,IF(H931="FCGLOBAL",PR!$U929,IF(H931="GENEITH",PR!$V929,IF(H931="GINOS",PR!$W929,IF(H931="GSK",PR!$X929,IF(H931="GLOBORG",PR!$Y929,IF(H931="GOODNEWS",PR!$Z929,IF(H931="GREENLIFE",PR!$AA929,IF(H931="HLINE",PR!$AB929,IF(H931="ROTECH",PR!$AC929,IF(H931="ISN",PR!$AD929,IF(H931="JAWA",PR!$AE929,IF(H931="LAYO",PR!$AF929,IF(H931="LEADWAY",PR!$AG929,IF(H931="LHV",PR!$AH929,IF(H931="MANOLA",PR!$AI929,IF(H931="MARCSON",PR!$AJ929,IF(H931="M&amp;B",PR!$AK929,IF(H931="MTRUST",PR!$AL929,IF(H931="MWORLD",PR!$AM929,IF(H931="MEGA",PR!$AN929,IF(H931="MICRONOVA",PR!$AO929,IF(H931="MFLASH",PR!$AP929,IF(H931="MORISON",PR!$AQ929,IF(H931="NEMEL",PR!$AR929,IF(H931="NHP",PR!$AS929,IF(H931="NHC",PR!$AT929,IF(H931="OLEAF",PR!$AU929,IF(H931="OCULUS",PR!$AV929,IF(H931="PACIFIC",PR!$AW929,IF(H931="PHAMATEX",PR!$AX929,IF(H931="PETHICS",PR!$AY929,IF(H931="PHILIPS",PR!$AZ929,IF(H931="RANBAXY",PR!$BA929,IF(H931="REALS",PR!$BB929,IF(H931="ROYAL",PR!$BC929,IF(H931="SAM",PR!$BD929,IF(H931="SEAGREEN",PR!$BE929,IF(H931="SKG",PR!$BF929,IF(H931="TAH",PR!$BG929,IF(H931="TAYLEK",PR!$BH929,IF(H931="TEMITA",PR!$BI929,IF(H931="THL",PR!$BJ929,IF(H931="UBASTIC",PR!$BK929,IF(H931="UNION",PR!$BL929,IF(H931="UNIQUE",PR!$BM929,IF(H931="VIXA",PR!$BN929,IF(H931="WWCV",PR!$BO929,IF(H931="ZOLON",PR!$BP929,"-"))))))))))))))))))))))))))))))))))))))))))))))))))))))))))))))))</f>
        <v>-</v>
      </c>
      <c r="H931" s="102">
        <f>EV!M1173</f>
        <v>0</v>
      </c>
      <c r="I931" s="108" t="str">
        <f>IF(J931="ALPHA",PR!$E929,IF(J931="ASSENE",PR!$F929,IF(J931="BIOFEM",PR!$G929,IF(J931="BIOMED",PR!$H929,IF(J931="CHI",PR!$I929,IF(J931="CLARION",PR!$J929,IF(J931="CODIX",PR!$K929,IF(J931="COSMADE",PR!$L929,IF(J931="SANCON",PR!$M929,IF(J931="DEVON",PR!$N929,IF(J931="DORTEMAG",PR!$O929,IF(J931="DGF",PR!$P929,IF(J931="DYNAMIC",PR!$Q929,IF(J931="EMZOR",PR!$R929,IF(J931="EUMATT",PR!$S929,IF(J931="FIDSON",PR!$T929,IF(J931="FCGLOBAL",PR!$U929,IF(J931="GENEITH",PR!$V929,IF(J931="GINOS",PR!$W929,IF(J931="GSK",PR!$X929,IF(J931="GLOBORG",PR!$Y929,IF(J931="GOODNEWS",PR!$Z929,IF(J931="GREENLIFE",PR!$AA929,IF(J931="HLINE",PR!$AB929,IF(J931="ROTECH",PR!$AC929,IF(J931="ISN",PR!$AD929,IF(J931="JAWA",PR!$AE929,IF(J931="LAYO",PR!$AF929,IF(J931="LEADWAY",PR!$AG929,IF(J931="LHV",PR!$AH929,IF(J931="MANOLA",PR!$AI929,IF(J931="MARCSON",PR!$AJ929,IF(J931="M&amp;B",PR!$AK929,IF(J931="MTRUST",PR!$AL929,IF(J931="MWORLD",PR!$AM929,IF(J931="MEGA",PR!$AN929,IF(J931="MICRONOVA",PR!$AO929,IF(J931="MFLASH",PR!$AP929,IF(J931="MORISON",PR!$AQ929,IF(J931="NEMEL",PR!$AR929,IF(J931="NHP",PR!$AS929,IF(J931="NHC",PR!$AT929,IF(J931="OLEAF",PR!$AU929,IF(J931="OCULUS",PR!$AV929,IF(J931="PACIFIC",PR!$AW929,IF(J931="PHAMATEX",PR!$AX929,IF(J931="PETHICS",PR!$AY929,IF(J931="PHILIPS",PR!$AZ929,IF(J931="RANBAXY",PR!$BA929,IF(J931="REALS",PR!$BB929,IF(J931="ROYAL",PR!$BC929,IF(J931="SAM",PR!$BD929,IF(J931="SEAGREEN",PR!$BE929,IF(J931="SKG",PR!$BF929,IF(J931="TAH",PR!$BG929,IF(J931="TAYLEK",PR!$BH929,IF(J931="TEMITA",PR!$BI929,IF(J931="THL",PR!$BJ929,IF(J931="UBASTIC",PR!$BK929,IF(J931="UNION",PR!$BL929,IF(J931="UNIQUE",PR!$BM929,IF(J931="VIXA",PR!$BN929,IF(J931="WWCV",PR!$BO929,IF(J931="ZOLON",PR!$BP929,"-"))))))))))))))))))))))))))))))))))))))))))))))))))))))))))))))))</f>
        <v>-</v>
      </c>
      <c r="J931" s="102">
        <f>EV!N1173</f>
        <v>0</v>
      </c>
      <c r="K931" s="433" t="s">
        <v>817</v>
      </c>
      <c r="L931" s="183">
        <f>IF(K931&gt;0,IF(K931="ALPHA",PR!$E929,IF(K931="ASSENE",PR!$F929,IF(K931="BIOFEM",PR!$G929,IF(K931="BIOMED",PR!$H929,IF(K931="CHI",PR!$I929,IF(K931="CLARION",PR!$J929,IF(K931="CODIX",PR!$K929,IF(K931="COSMADE",PR!$L929,IF(K931="SANCON",PR!$M929,IF(K931="DEVON",PR!$N929,IF(K931="DORTEMAG",PR!$O929,IF(K931="DGF",PR!$P929,IF(K931="DYNAMIC",PR!$Q929,IF(K931="EMZOR",PR!$R929,IF(K931="EUMATT",PR!$S929,IF(K931="FIDSON",PR!$T929,IF(K931="FCGLOBAL",PR!$U929,IF(K931="GENEITH",PR!$V929,IF(K931="GINOS",PR!$W929,IF(K931="GSK",PR!$X929,IF(K931="GLOBORG",PR!$Y929,IF(K931="GOODNEWS",PR!$Z929,IF(K931="GREENLIFE",PR!$AA929,IF(K931="HLINE",PR!$AB929,IF(K931="ROTECH",PR!$AC929,IF(K931="ISN",PR!$AD929,IF(K931="JAWA",PR!$AE929,IF(K931="LAYO",PR!$AF929,IF(K931="LEADWAY",PR!$AG929,IF(K931="LHV",PR!$AH929,IF(K931="MANOLA",PR!$AI929,IF(K931="MARCSON",PR!$AJ929,IF(K931="M&amp;B",PR!$AK929,IF(K931="MTRUST",PR!$AL929,IF(K931="MWORLD",PR!$AM929,IF(K931="MEGA",PR!$AN929,IF(K931="MICRONOVA",PR!$AO929,IF(K931="MFLASH",PR!$AP929,IF(K931="MORISON",PR!$AQ929,IF(K931="NEMEL",PR!$AR929,IF(K931="NHP",PR!$AS929,IF(K931="NHC",PR!$AT929,IF(K931="OLEAF",PR!$AU929,IF(K931="OCULUS",PR!$AV929,IF(K931="PACIFIC",PR!$AW929,IF(K931="PHAMATEX",PR!$AX929,IF(K931="PETHICS",PR!$AY929,IF(K931="PHILIPS",PR!$AZ929,IF(K931="RANBAXY",PR!$BA929,IF(K931="REALS",PR!$BB929,IF(K931="ROYAL",PR!$BC929,IF(K931="SAM",PR!$BD929,IF(K931="SEAGREEN",PR!$BE929,IF(K931="SKG",PR!$BF929,IF(K931="TAH",PR!$BG929,IF(K931="TAYLEK",PR!$BH929,IF(K931="TEMITA",PR!$BI929,IF(K931="THL",PR!$BJ929,IF(K931="UBASTIC",PR!$BK929,IF(K931="UNION",PR!$BL929,IF(K931="UNIQUE",PR!$BM929,IF(K931="VIXA",PR!$BN929,IF(K931="WWCV",PR!$BO929,IF(K931="ZOLON",PR!$BP929,"-")))))))))))))))))))))))))))))))))))))))))))))))))))))))))))))))))</f>
        <v>7200</v>
      </c>
    </row>
    <row r="932" spans="1:12" ht="18.75" x14ac:dyDescent="0.3">
      <c r="A932" s="430">
        <f>PR!A930</f>
        <v>840</v>
      </c>
      <c r="B932" s="15" t="str">
        <f>PR!B930</f>
        <v>CALCIUM RABIT BRAIN THROMBOPLASTIN</v>
      </c>
      <c r="C932" s="113" t="str">
        <f>PR!D930</f>
        <v>1 packs of 6</v>
      </c>
      <c r="D932" s="113">
        <f>PR!C930</f>
        <v>1</v>
      </c>
      <c r="E932" s="108">
        <f>IF(F932="ALPHA",PR!$E930,IF(F932="ASSENE",PR!$F930,IF(F932="BIOFEM",PR!$G930,IF(F932="BIOMED",PR!$H930,IF(F932="CHI",PR!$I930,IF(F932="CLARION",PR!$J930,IF(F932="CODIX",PR!$K930,IF(F932="COSMADE",PR!$L930,IF(F932="SANCON",PR!$M930,IF(F932="DEVON",PR!$N930,IF(F932="DORTEMAG",PR!$O930,IF(F932="DGF",PR!$P930,IF(F932="DYNAMIC",PR!$Q930,IF(F932="EMZOR",PR!$R930,IF(F932="EUMATT",PR!$S930,IF(F932="FIDSON",PR!$T930,IF(F932="FCGLOBAL",PR!$U930,IF(F932="GENEITH",PR!$V930,IF(F932="GINOS",PR!$W930,IF(F932="GSK",PR!$X930,IF(F932="GLOBORG",PR!$Y930,IF(F932="GOODNEWS",PR!$Z930,IF(F932="GREENLIFE",PR!$AA930,IF(F932="HLINE",PR!$AB930,IF(F932="ROTECH",PR!$AC930,IF(F932="ISN",PR!$AD930,IF(F932="JAWA",PR!$AE930,IF(F932="LAYO",PR!$AF930,IF(F932="LEADWAY",PR!$AG930,IF(F932="LHV",PR!$AH930,IF(F932="MANOLA",PR!$AI930,IF(F932="MARCSON",PR!$AJ930,IF(F932="M&amp;B",PR!$AK930,IF(F932="MTRUST",PR!$AL930,IF(F932="MWORLD",PR!$AM930,IF(F932="MEGA",PR!$AN930,IF(F932="MICRONOVA",PR!$AO930,IF(F932="MFLASH",PR!$AP930,IF(F932="MORISON",PR!$AQ930,IF(F932="NEMEL",PR!$AR930,IF(F932="NHP",PR!$AS930,IF(F932="NHC",PR!$AT930,IF(F932="OLEAF",PR!$AU930,IF(F932="OCULUS",PR!$AV930,IF(F932="PACIFIC",PR!$AW930,IF(F932="PHAMATEX",PR!$AX930,IF(F932="PETHICS",PR!$AY930,IF(F932="PHILIPS",PR!$AZ930,IF(F932="RANBAXY",PR!$BA930,IF(F932="REALS",PR!$BB930,IF(F932="ROYAL",PR!$BC930,IF(F932="SAM",PR!$BD930,IF(F932="SEAGREEN",PR!$BE930,IF(F932="SKG",PR!$BF930,IF(F932="TAH",PR!$BG930,IF(F932="TAYLEK",PR!$BH930,IF(F932="TEMITA",PR!$BI930,IF(F932="THL",PR!$BJ930,IF(F932="UBASTIC",PR!$BK930,IF(F932="UNION",PR!$BL930,IF(F932="UNIQUE",PR!$BM930,IF(F932="VIXA",PR!$BN930,IF(F932="WWCV",PR!$BO930,IF(F932="ZOLON",PR!$BP930,"-"))))))))))))))))))))))))))))))))))))))))))))))))))))))))))))))))</f>
        <v>41250</v>
      </c>
      <c r="F932" s="102" t="str">
        <f>EV!L1174</f>
        <v>DYNAMIC</v>
      </c>
      <c r="G932" s="108">
        <f>IF(H932="ALPHA",PR!$E930,IF(H932="ASSENE",PR!$F930,IF(H932="BIOFEM",PR!$G930,IF(H932="BIOMED",PR!$H930,IF(H932="CHI",PR!$I930,IF(H932="CLARION",PR!$J930,IF(H932="CODIX",PR!$K930,IF(H932="COSMADE",PR!$L930,IF(H932="SANCON",PR!$M930,IF(H932="DEVON",PR!$N930,IF(H932="DORTEMAG",PR!$O930,IF(H932="DGF",PR!$P930,IF(H932="DYNAMIC",PR!$Q930,IF(H932="EMZOR",PR!$R930,IF(H932="EUMATT",PR!$S930,IF(H932="FIDSON",PR!$T930,IF(H932="FCGLOBAL",PR!$U930,IF(H932="GENEITH",PR!$V930,IF(H932="GINOS",PR!$W930,IF(H932="GSK",PR!$X930,IF(H932="GLOBORG",PR!$Y930,IF(H932="GOODNEWS",PR!$Z930,IF(H932="GREENLIFE",PR!$AA930,IF(H932="HLINE",PR!$AB930,IF(H932="ROTECH",PR!$AC930,IF(H932="ISN",PR!$AD930,IF(H932="JAWA",PR!$AE930,IF(H932="LAYO",PR!$AF930,IF(H932="LEADWAY",PR!$AG930,IF(H932="LHV",PR!$AH930,IF(H932="MANOLA",PR!$AI930,IF(H932="MARCSON",PR!$AJ930,IF(H932="M&amp;B",PR!$AK930,IF(H932="MTRUST",PR!$AL930,IF(H932="MWORLD",PR!$AM930,IF(H932="MEGA",PR!$AN930,IF(H932="MICRONOVA",PR!$AO930,IF(H932="MFLASH",PR!$AP930,IF(H932="MORISON",PR!$AQ930,IF(H932="NEMEL",PR!$AR930,IF(H932="NHP",PR!$AS930,IF(H932="NHC",PR!$AT930,IF(H932="OLEAF",PR!$AU930,IF(H932="OCULUS",PR!$AV930,IF(H932="PACIFIC",PR!$AW930,IF(H932="PHAMATEX",PR!$AX930,IF(H932="PETHICS",PR!$AY930,IF(H932="PHILIPS",PR!$AZ930,IF(H932="RANBAXY",PR!$BA930,IF(H932="REALS",PR!$BB930,IF(H932="ROYAL",PR!$BC930,IF(H932="SAM",PR!$BD930,IF(H932="SEAGREEN",PR!$BE930,IF(H932="SKG",PR!$BF930,IF(H932="TAH",PR!$BG930,IF(H932="TAYLEK",PR!$BH930,IF(H932="TEMITA",PR!$BI930,IF(H932="THL",PR!$BJ930,IF(H932="UBASTIC",PR!$BK930,IF(H932="UNION",PR!$BL930,IF(H932="UNIQUE",PR!$BM930,IF(H932="VIXA",PR!$BN930,IF(H932="WWCV",PR!$BO930,IF(H932="ZOLON",PR!$BP930,"-"))))))))))))))))))))))))))))))))))))))))))))))))))))))))))))))))</f>
        <v>45500</v>
      </c>
      <c r="H932" s="102" t="str">
        <f>EV!M1174</f>
        <v>LAYO</v>
      </c>
      <c r="I932" s="108" t="str">
        <f>IF(J932="ALPHA",PR!$E930,IF(J932="ASSENE",PR!$F930,IF(J932="BIOFEM",PR!$G930,IF(J932="BIOMED",PR!$H930,IF(J932="CHI",PR!$I930,IF(J932="CLARION",PR!$J930,IF(J932="CODIX",PR!$K930,IF(J932="COSMADE",PR!$L930,IF(J932="SANCON",PR!$M930,IF(J932="DEVON",PR!$N930,IF(J932="DORTEMAG",PR!$O930,IF(J932="DGF",PR!$P930,IF(J932="DYNAMIC",PR!$Q930,IF(J932="EMZOR",PR!$R930,IF(J932="EUMATT",PR!$S930,IF(J932="FIDSON",PR!$T930,IF(J932="FCGLOBAL",PR!$U930,IF(J932="GENEITH",PR!$V930,IF(J932="GINOS",PR!$W930,IF(J932="GSK",PR!$X930,IF(J932="GLOBORG",PR!$Y930,IF(J932="GOODNEWS",PR!$Z930,IF(J932="GREENLIFE",PR!$AA930,IF(J932="HLINE",PR!$AB930,IF(J932="ROTECH",PR!$AC930,IF(J932="ISN",PR!$AD930,IF(J932="JAWA",PR!$AE930,IF(J932="LAYO",PR!$AF930,IF(J932="LEADWAY",PR!$AG930,IF(J932="LHV",PR!$AH930,IF(J932="MANOLA",PR!$AI930,IF(J932="MARCSON",PR!$AJ930,IF(J932="M&amp;B",PR!$AK930,IF(J932="MTRUST",PR!$AL930,IF(J932="MWORLD",PR!$AM930,IF(J932="MEGA",PR!$AN930,IF(J932="MICRONOVA",PR!$AO930,IF(J932="MFLASH",PR!$AP930,IF(J932="MORISON",PR!$AQ930,IF(J932="NEMEL",PR!$AR930,IF(J932="NHP",PR!$AS930,IF(J932="NHC",PR!$AT930,IF(J932="OLEAF",PR!$AU930,IF(J932="OCULUS",PR!$AV930,IF(J932="PACIFIC",PR!$AW930,IF(J932="PHAMATEX",PR!$AX930,IF(J932="PETHICS",PR!$AY930,IF(J932="PHILIPS",PR!$AZ930,IF(J932="RANBAXY",PR!$BA930,IF(J932="REALS",PR!$BB930,IF(J932="ROYAL",PR!$BC930,IF(J932="SAM",PR!$BD930,IF(J932="SEAGREEN",PR!$BE930,IF(J932="SKG",PR!$BF930,IF(J932="TAH",PR!$BG930,IF(J932="TAYLEK",PR!$BH930,IF(J932="TEMITA",PR!$BI930,IF(J932="THL",PR!$BJ930,IF(J932="UBASTIC",PR!$BK930,IF(J932="UNION",PR!$BL930,IF(J932="UNIQUE",PR!$BM930,IF(J932="VIXA",PR!$BN930,IF(J932="WWCV",PR!$BO930,IF(J932="ZOLON",PR!$BP930,"-"))))))))))))))))))))))))))))))))))))))))))))))))))))))))))))))))</f>
        <v>-</v>
      </c>
      <c r="J932" s="102">
        <f>EV!N1174</f>
        <v>0</v>
      </c>
      <c r="K932" s="433" t="s">
        <v>626</v>
      </c>
      <c r="L932" s="183">
        <f>IF(K932&gt;0,IF(K932="ALPHA",PR!$E930,IF(K932="ASSENE",PR!$F930,IF(K932="BIOFEM",PR!$G930,IF(K932="BIOMED",PR!$H930,IF(K932="CHI",PR!$I930,IF(K932="CLARION",PR!$J930,IF(K932="CODIX",PR!$K930,IF(K932="COSMADE",PR!$L930,IF(K932="SANCON",PR!$M930,IF(K932="DEVON",PR!$N930,IF(K932="DORTEMAG",PR!$O930,IF(K932="DGF",PR!$P930,IF(K932="DYNAMIC",PR!$Q930,IF(K932="EMZOR",PR!$R930,IF(K932="EUMATT",PR!$S930,IF(K932="FIDSON",PR!$T930,IF(K932="FCGLOBAL",PR!$U930,IF(K932="GENEITH",PR!$V930,IF(K932="GINOS",PR!$W930,IF(K932="GSK",PR!$X930,IF(K932="GLOBORG",PR!$Y930,IF(K932="GOODNEWS",PR!$Z930,IF(K932="GREENLIFE",PR!$AA930,IF(K932="HLINE",PR!$AB930,IF(K932="ROTECH",PR!$AC930,IF(K932="ISN",PR!$AD930,IF(K932="JAWA",PR!$AE930,IF(K932="LAYO",PR!$AF930,IF(K932="LEADWAY",PR!$AG930,IF(K932="LHV",PR!$AH930,IF(K932="MANOLA",PR!$AI930,IF(K932="MARCSON",PR!$AJ930,IF(K932="M&amp;B",PR!$AK930,IF(K932="MTRUST",PR!$AL930,IF(K932="MWORLD",PR!$AM930,IF(K932="MEGA",PR!$AN930,IF(K932="MICRONOVA",PR!$AO930,IF(K932="MFLASH",PR!$AP930,IF(K932="MORISON",PR!$AQ930,IF(K932="NEMEL",PR!$AR930,IF(K932="NHP",PR!$AS930,IF(K932="NHC",PR!$AT930,IF(K932="OLEAF",PR!$AU930,IF(K932="OCULUS",PR!$AV930,IF(K932="PACIFIC",PR!$AW930,IF(K932="PHAMATEX",PR!$AX930,IF(K932="PETHICS",PR!$AY930,IF(K932="PHILIPS",PR!$AZ930,IF(K932="RANBAXY",PR!$BA930,IF(K932="REALS",PR!$BB930,IF(K932="ROYAL",PR!$BC930,IF(K932="SAM",PR!$BD930,IF(K932="SEAGREEN",PR!$BE930,IF(K932="SKG",PR!$BF930,IF(K932="TAH",PR!$BG930,IF(K932="TAYLEK",PR!$BH930,IF(K932="TEMITA",PR!$BI930,IF(K932="THL",PR!$BJ930,IF(K932="UBASTIC",PR!$BK930,IF(K932="UNION",PR!$BL930,IF(K932="UNIQUE",PR!$BM930,IF(K932="VIXA",PR!$BN930,IF(K932="WWCV",PR!$BO930,IF(K932="ZOLON",PR!$BP930,"-")))))))))))))))))))))))))))))))))))))))))))))))))))))))))))))))))</f>
        <v>41250</v>
      </c>
    </row>
    <row r="933" spans="1:12" ht="18.75" x14ac:dyDescent="0.3">
      <c r="A933" s="430">
        <f>PR!A931</f>
        <v>841</v>
      </c>
      <c r="B933" s="15" t="str">
        <f>PR!B931</f>
        <v>KAOLIN PLATELET SUBSTITUTE</v>
      </c>
      <c r="C933" s="113" t="str">
        <f>PR!D931</f>
        <v>1 pc</v>
      </c>
      <c r="D933" s="113">
        <f>PR!C931</f>
        <v>1</v>
      </c>
      <c r="E933" s="108">
        <f>IF(F933="ALPHA",PR!$E931,IF(F933="ASSENE",PR!$F931,IF(F933="BIOFEM",PR!$G931,IF(F933="BIOMED",PR!$H931,IF(F933="CHI",PR!$I931,IF(F933="CLARION",PR!$J931,IF(F933="CODIX",PR!$K931,IF(F933="COSMADE",PR!$L931,IF(F933="SANCON",PR!$M931,IF(F933="DEVON",PR!$N931,IF(F933="DORTEMAG",PR!$O931,IF(F933="DGF",PR!$P931,IF(F933="DYNAMIC",PR!$Q931,IF(F933="EMZOR",PR!$R931,IF(F933="EUMATT",PR!$S931,IF(F933="FIDSON",PR!$T931,IF(F933="FCGLOBAL",PR!$U931,IF(F933="GENEITH",PR!$V931,IF(F933="GINOS",PR!$W931,IF(F933="GSK",PR!$X931,IF(F933="GLOBORG",PR!$Y931,IF(F933="GOODNEWS",PR!$Z931,IF(F933="GREENLIFE",PR!$AA931,IF(F933="HLINE",PR!$AB931,IF(F933="ROTECH",PR!$AC931,IF(F933="ISN",PR!$AD931,IF(F933="JAWA",PR!$AE931,IF(F933="LAYO",PR!$AF931,IF(F933="LEADWAY",PR!$AG931,IF(F933="LHV",PR!$AH931,IF(F933="MANOLA",PR!$AI931,IF(F933="MARCSON",PR!$AJ931,IF(F933="M&amp;B",PR!$AK931,IF(F933="MTRUST",PR!$AL931,IF(F933="MWORLD",PR!$AM931,IF(F933="MEGA",PR!$AN931,IF(F933="MICRONOVA",PR!$AO931,IF(F933="MFLASH",PR!$AP931,IF(F933="MORISON",PR!$AQ931,IF(F933="NEMEL",PR!$AR931,IF(F933="NHP",PR!$AS931,IF(F933="NHC",PR!$AT931,IF(F933="OLEAF",PR!$AU931,IF(F933="OCULUS",PR!$AV931,IF(F933="PACIFIC",PR!$AW931,IF(F933="PHAMATEX",PR!$AX931,IF(F933="PETHICS",PR!$AY931,IF(F933="PHILIPS",PR!$AZ931,IF(F933="RANBAXY",PR!$BA931,IF(F933="REALS",PR!$BB931,IF(F933="ROYAL",PR!$BC931,IF(F933="SAM",PR!$BD931,IF(F933="SEAGREEN",PR!$BE931,IF(F933="SKG",PR!$BF931,IF(F933="TAH",PR!$BG931,IF(F933="TAYLEK",PR!$BH931,IF(F933="TEMITA",PR!$BI931,IF(F933="THL",PR!$BJ931,IF(F933="UBASTIC",PR!$BK931,IF(F933="UNION",PR!$BL931,IF(F933="UNIQUE",PR!$BM931,IF(F933="VIXA",PR!$BN931,IF(F933="WWCV",PR!$BO931,IF(F933="ZOLON",PR!$BP931,"-"))))))))))))))))))))))))))))))))))))))))))))))))))))))))))))))))</f>
        <v>38750</v>
      </c>
      <c r="F933" s="102" t="str">
        <f>EV!L1200</f>
        <v>DYNAMIC</v>
      </c>
      <c r="G933" s="108">
        <f>IF(H933="ALPHA",PR!$E931,IF(H933="ASSENE",PR!$F931,IF(H933="BIOFEM",PR!$G931,IF(H933="BIOMED",PR!$H931,IF(H933="CHI",PR!$I931,IF(H933="CLARION",PR!$J931,IF(H933="CODIX",PR!$K931,IF(H933="COSMADE",PR!$L931,IF(H933="SANCON",PR!$M931,IF(H933="DEVON",PR!$N931,IF(H933="DORTEMAG",PR!$O931,IF(H933="DGF",PR!$P931,IF(H933="DYNAMIC",PR!$Q931,IF(H933="EMZOR",PR!$R931,IF(H933="EUMATT",PR!$S931,IF(H933="FIDSON",PR!$T931,IF(H933="FCGLOBAL",PR!$U931,IF(H933="GENEITH",PR!$V931,IF(H933="GINOS",PR!$W931,IF(H933="GSK",PR!$X931,IF(H933="GLOBORG",PR!$Y931,IF(H933="GOODNEWS",PR!$Z931,IF(H933="GREENLIFE",PR!$AA931,IF(H933="HLINE",PR!$AB931,IF(H933="ROTECH",PR!$AC931,IF(H933="ISN",PR!$AD931,IF(H933="JAWA",PR!$AE931,IF(H933="LAYO",PR!$AF931,IF(H933="LEADWAY",PR!$AG931,IF(H933="LHV",PR!$AH931,IF(H933="MANOLA",PR!$AI931,IF(H933="MARCSON",PR!$AJ931,IF(H933="M&amp;B",PR!$AK931,IF(H933="MTRUST",PR!$AL931,IF(H933="MWORLD",PR!$AM931,IF(H933="MEGA",PR!$AN931,IF(H933="MICRONOVA",PR!$AO931,IF(H933="MFLASH",PR!$AP931,IF(H933="MORISON",PR!$AQ931,IF(H933="NEMEL",PR!$AR931,IF(H933="NHP",PR!$AS931,IF(H933="NHC",PR!$AT931,IF(H933="OLEAF",PR!$AU931,IF(H933="OCULUS",PR!$AV931,IF(H933="PACIFIC",PR!$AW931,IF(H933="PHAMATEX",PR!$AX931,IF(H933="PETHICS",PR!$AY931,IF(H933="PHILIPS",PR!$AZ931,IF(H933="RANBAXY",PR!$BA931,IF(H933="REALS",PR!$BB931,IF(H933="ROYAL",PR!$BC931,IF(H933="SAM",PR!$BD931,IF(H933="SEAGREEN",PR!$BE931,IF(H933="SKG",PR!$BF931,IF(H933="TAH",PR!$BG931,IF(H933="TAYLEK",PR!$BH931,IF(H933="TEMITA",PR!$BI931,IF(H933="THL",PR!$BJ931,IF(H933="UBASTIC",PR!$BK931,IF(H933="UNION",PR!$BL931,IF(H933="UNIQUE",PR!$BM931,IF(H933="VIXA",PR!$BN931,IF(H933="WWCV",PR!$BO931,IF(H933="ZOLON",PR!$BP931,"-"))))))))))))))))))))))))))))))))))))))))))))))))))))))))))))))))</f>
        <v>45500</v>
      </c>
      <c r="H933" s="102" t="str">
        <f>EV!M1200</f>
        <v>LAYO</v>
      </c>
      <c r="I933" s="108" t="str">
        <f>IF(J933="ALPHA",PR!$E931,IF(J933="ASSENE",PR!$F931,IF(J933="BIOFEM",PR!$G931,IF(J933="BIOMED",PR!$H931,IF(J933="CHI",PR!$I931,IF(J933="CLARION",PR!$J931,IF(J933="CODIX",PR!$K931,IF(J933="COSMADE",PR!$L931,IF(J933="SANCON",PR!$M931,IF(J933="DEVON",PR!$N931,IF(J933="DORTEMAG",PR!$O931,IF(J933="DGF",PR!$P931,IF(J933="DYNAMIC",PR!$Q931,IF(J933="EMZOR",PR!$R931,IF(J933="EUMATT",PR!$S931,IF(J933="FIDSON",PR!$T931,IF(J933="FCGLOBAL",PR!$U931,IF(J933="GENEITH",PR!$V931,IF(J933="GINOS",PR!$W931,IF(J933="GSK",PR!$X931,IF(J933="GLOBORG",PR!$Y931,IF(J933="GOODNEWS",PR!$Z931,IF(J933="GREENLIFE",PR!$AA931,IF(J933="HLINE",PR!$AB931,IF(J933="ROTECH",PR!$AC931,IF(J933="ISN",PR!$AD931,IF(J933="JAWA",PR!$AE931,IF(J933="LAYO",PR!$AF931,IF(J933="LEADWAY",PR!$AG931,IF(J933="LHV",PR!$AH931,IF(J933="MANOLA",PR!$AI931,IF(J933="MARCSON",PR!$AJ931,IF(J933="M&amp;B",PR!$AK931,IF(J933="MTRUST",PR!$AL931,IF(J933="MWORLD",PR!$AM931,IF(J933="MEGA",PR!$AN931,IF(J933="MICRONOVA",PR!$AO931,IF(J933="MFLASH",PR!$AP931,IF(J933="MORISON",PR!$AQ931,IF(J933="NEMEL",PR!$AR931,IF(J933="NHP",PR!$AS931,IF(J933="NHC",PR!$AT931,IF(J933="OLEAF",PR!$AU931,IF(J933="OCULUS",PR!$AV931,IF(J933="PACIFIC",PR!$AW931,IF(J933="PHAMATEX",PR!$AX931,IF(J933="PETHICS",PR!$AY931,IF(J933="PHILIPS",PR!$AZ931,IF(J933="RANBAXY",PR!$BA931,IF(J933="REALS",PR!$BB931,IF(J933="ROYAL",PR!$BC931,IF(J933="SAM",PR!$BD931,IF(J933="SEAGREEN",PR!$BE931,IF(J933="SKG",PR!$BF931,IF(J933="TAH",PR!$BG931,IF(J933="TAYLEK",PR!$BH931,IF(J933="TEMITA",PR!$BI931,IF(J933="THL",PR!$BJ931,IF(J933="UBASTIC",PR!$BK931,IF(J933="UNION",PR!$BL931,IF(J933="UNIQUE",PR!$BM931,IF(J933="VIXA",PR!$BN931,IF(J933="WWCV",PR!$BO931,IF(J933="ZOLON",PR!$BP931,"-"))))))))))))))))))))))))))))))))))))))))))))))))))))))))))))))))</f>
        <v>-</v>
      </c>
      <c r="J933" s="102">
        <f>EV!N1200</f>
        <v>0</v>
      </c>
      <c r="K933" s="433" t="s">
        <v>626</v>
      </c>
      <c r="L933" s="183">
        <f>IF(K933&gt;0,IF(K933="ALPHA",PR!$E931,IF(K933="ASSENE",PR!$F931,IF(K933="BIOFEM",PR!$G931,IF(K933="BIOMED",PR!$H931,IF(K933="CHI",PR!$I931,IF(K933="CLARION",PR!$J931,IF(K933="CODIX",PR!$K931,IF(K933="COSMADE",PR!$L931,IF(K933="SANCON",PR!$M931,IF(K933="DEVON",PR!$N931,IF(K933="DORTEMAG",PR!$O931,IF(K933="DGF",PR!$P931,IF(K933="DYNAMIC",PR!$Q931,IF(K933="EMZOR",PR!$R931,IF(K933="EUMATT",PR!$S931,IF(K933="FIDSON",PR!$T931,IF(K933="FCGLOBAL",PR!$U931,IF(K933="GENEITH",PR!$V931,IF(K933="GINOS",PR!$W931,IF(K933="GSK",PR!$X931,IF(K933="GLOBORG",PR!$Y931,IF(K933="GOODNEWS",PR!$Z931,IF(K933="GREENLIFE",PR!$AA931,IF(K933="HLINE",PR!$AB931,IF(K933="ROTECH",PR!$AC931,IF(K933="ISN",PR!$AD931,IF(K933="JAWA",PR!$AE931,IF(K933="LAYO",PR!$AF931,IF(K933="LEADWAY",PR!$AG931,IF(K933="LHV",PR!$AH931,IF(K933="MANOLA",PR!$AI931,IF(K933="MARCSON",PR!$AJ931,IF(K933="M&amp;B",PR!$AK931,IF(K933="MTRUST",PR!$AL931,IF(K933="MWORLD",PR!$AM931,IF(K933="MEGA",PR!$AN931,IF(K933="MICRONOVA",PR!$AO931,IF(K933="MFLASH",PR!$AP931,IF(K933="MORISON",PR!$AQ931,IF(K933="NEMEL",PR!$AR931,IF(K933="NHP",PR!$AS931,IF(K933="NHC",PR!$AT931,IF(K933="OLEAF",PR!$AU931,IF(K933="OCULUS",PR!$AV931,IF(K933="PACIFIC",PR!$AW931,IF(K933="PHAMATEX",PR!$AX931,IF(K933="PETHICS",PR!$AY931,IF(K933="PHILIPS",PR!$AZ931,IF(K933="RANBAXY",PR!$BA931,IF(K933="REALS",PR!$BB931,IF(K933="ROYAL",PR!$BC931,IF(K933="SAM",PR!$BD931,IF(K933="SEAGREEN",PR!$BE931,IF(K933="SKG",PR!$BF931,IF(K933="TAH",PR!$BG931,IF(K933="TAYLEK",PR!$BH931,IF(K933="TEMITA",PR!$BI931,IF(K933="THL",PR!$BJ931,IF(K933="UBASTIC",PR!$BK931,IF(K933="UNION",PR!$BL931,IF(K933="UNIQUE",PR!$BM931,IF(K933="VIXA",PR!$BN931,IF(K933="WWCV",PR!$BO931,IF(K933="ZOLON",PR!$BP931,"-")))))))))))))))))))))))))))))))))))))))))))))))))))))))))))))))))</f>
        <v>38750</v>
      </c>
    </row>
    <row r="934" spans="1:12" ht="18.75" x14ac:dyDescent="0.3">
      <c r="A934" s="430">
        <f>PR!A932</f>
        <v>842</v>
      </c>
      <c r="B934" s="15" t="str">
        <f>PR!B932</f>
        <v>BLOOD WEIGHING SCALE</v>
      </c>
      <c r="C934" s="113">
        <f>PR!D932</f>
        <v>0</v>
      </c>
      <c r="D934" s="113">
        <f>PR!C932</f>
        <v>1</v>
      </c>
      <c r="E934" s="108">
        <f>IF(F934="ALPHA",PR!$E932,IF(F934="ASSENE",PR!$F932,IF(F934="BIOFEM",PR!$G932,IF(F934="BIOMED",PR!$H932,IF(F934="CHI",PR!$I932,IF(F934="CLARION",PR!$J932,IF(F934="CODIX",PR!$K932,IF(F934="COSMADE",PR!$L932,IF(F934="SANCON",PR!$M932,IF(F934="DEVON",PR!$N932,IF(F934="DORTEMAG",PR!$O932,IF(F934="DGF",PR!$P932,IF(F934="DYNAMIC",PR!$Q932,IF(F934="EMZOR",PR!$R932,IF(F934="EUMATT",PR!$S932,IF(F934="FIDSON",PR!$T932,IF(F934="FCGLOBAL",PR!$U932,IF(F934="GENEITH",PR!$V932,IF(F934="GINOS",PR!$W932,IF(F934="GSK",PR!$X932,IF(F934="GLOBORG",PR!$Y932,IF(F934="GOODNEWS",PR!$Z932,IF(F934="GREENLIFE",PR!$AA932,IF(F934="HLINE",PR!$AB932,IF(F934="ROTECH",PR!$AC932,IF(F934="ISN",PR!$AD932,IF(F934="JAWA",PR!$AE932,IF(F934="LAYO",PR!$AF932,IF(F934="LEADWAY",PR!$AG932,IF(F934="LHV",PR!$AH932,IF(F934="MANOLA",PR!$AI932,IF(F934="MARCSON",PR!$AJ932,IF(F934="M&amp;B",PR!$AK932,IF(F934="MTRUST",PR!$AL932,IF(F934="MWORLD",PR!$AM932,IF(F934="MEGA",PR!$AN932,IF(F934="MICRONOVA",PR!$AO932,IF(F934="MFLASH",PR!$AP932,IF(F934="MORISON",PR!$AQ932,IF(F934="NEMEL",PR!$AR932,IF(F934="NHP",PR!$AS932,IF(F934="NHC",PR!$AT932,IF(F934="OLEAF",PR!$AU932,IF(F934="OCULUS",PR!$AV932,IF(F934="PACIFIC",PR!$AW932,IF(F934="PHAMATEX",PR!$AX932,IF(F934="PETHICS",PR!$AY932,IF(F934="PHILIPS",PR!$AZ932,IF(F934="RANBAXY",PR!$BA932,IF(F934="REALS",PR!$BB932,IF(F934="ROYAL",PR!$BC932,IF(F934="SAM",PR!$BD932,IF(F934="SEAGREEN",PR!$BE932,IF(F934="SKG",PR!$BF932,IF(F934="TAH",PR!$BG932,IF(F934="TAYLEK",PR!$BH932,IF(F934="TEMITA",PR!$BI932,IF(F934="THL",PR!$BJ932,IF(F934="UBASTIC",PR!$BK932,IF(F934="UNION",PR!$BL932,IF(F934="UNIQUE",PR!$BM932,IF(F934="VIXA",PR!$BN932,IF(F934="WWCV",PR!$BO932,IF(F934="ZOLON",PR!$BP932,"-"))))))))))))))))))))))))))))))))))))))))))))))))))))))))))))))))</f>
        <v>296563</v>
      </c>
      <c r="F934" s="102" t="str">
        <f>EV!L1201</f>
        <v>DYNAMIC</v>
      </c>
      <c r="G934" s="108">
        <f>IF(H934="ALPHA",PR!$E932,IF(H934="ASSENE",PR!$F932,IF(H934="BIOFEM",PR!$G932,IF(H934="BIOMED",PR!$H932,IF(H934="CHI",PR!$I932,IF(H934="CLARION",PR!$J932,IF(H934="CODIX",PR!$K932,IF(H934="COSMADE",PR!$L932,IF(H934="SANCON",PR!$M932,IF(H934="DEVON",PR!$N932,IF(H934="DORTEMAG",PR!$O932,IF(H934="DGF",PR!$P932,IF(H934="DYNAMIC",PR!$Q932,IF(H934="EMZOR",PR!$R932,IF(H934="EUMATT",PR!$S932,IF(H934="FIDSON",PR!$T932,IF(H934="FCGLOBAL",PR!$U932,IF(H934="GENEITH",PR!$V932,IF(H934="GINOS",PR!$W932,IF(H934="GSK",PR!$X932,IF(H934="GLOBORG",PR!$Y932,IF(H934="GOODNEWS",PR!$Z932,IF(H934="GREENLIFE",PR!$AA932,IF(H934="HLINE",PR!$AB932,IF(H934="ROTECH",PR!$AC932,IF(H934="ISN",PR!$AD932,IF(H934="JAWA",PR!$AE932,IF(H934="LAYO",PR!$AF932,IF(H934="LEADWAY",PR!$AG932,IF(H934="LHV",PR!$AH932,IF(H934="MANOLA",PR!$AI932,IF(H934="MARCSON",PR!$AJ932,IF(H934="M&amp;B",PR!$AK932,IF(H934="MTRUST",PR!$AL932,IF(H934="MWORLD",PR!$AM932,IF(H934="MEGA",PR!$AN932,IF(H934="MICRONOVA",PR!$AO932,IF(H934="MFLASH",PR!$AP932,IF(H934="MORISON",PR!$AQ932,IF(H934="NEMEL",PR!$AR932,IF(H934="NHP",PR!$AS932,IF(H934="NHC",PR!$AT932,IF(H934="OLEAF",PR!$AU932,IF(H934="OCULUS",PR!$AV932,IF(H934="PACIFIC",PR!$AW932,IF(H934="PHAMATEX",PR!$AX932,IF(H934="PETHICS",PR!$AY932,IF(H934="PHILIPS",PR!$AZ932,IF(H934="RANBAXY",PR!$BA932,IF(H934="REALS",PR!$BB932,IF(H934="ROYAL",PR!$BC932,IF(H934="SAM",PR!$BD932,IF(H934="SEAGREEN",PR!$BE932,IF(H934="SKG",PR!$BF932,IF(H934="TAH",PR!$BG932,IF(H934="TAYLEK",PR!$BH932,IF(H934="TEMITA",PR!$BI932,IF(H934="THL",PR!$BJ932,IF(H934="UBASTIC",PR!$BK932,IF(H934="UNION",PR!$BL932,IF(H934="UNIQUE",PR!$BM932,IF(H934="VIXA",PR!$BN932,IF(H934="WWCV",PR!$BO932,IF(H934="ZOLON",PR!$BP932,"-"))))))))))))))))))))))))))))))))))))))))))))))))))))))))))))))))</f>
        <v>380000</v>
      </c>
      <c r="H934" s="102" t="str">
        <f>EV!M1201</f>
        <v>TEMITA</v>
      </c>
      <c r="I934" s="108" t="str">
        <f>IF(J934="ALPHA",PR!$E932,IF(J934="ASSENE",PR!$F932,IF(J934="BIOFEM",PR!$G932,IF(J934="BIOMED",PR!$H932,IF(J934="CHI",PR!$I932,IF(J934="CLARION",PR!$J932,IF(J934="CODIX",PR!$K932,IF(J934="COSMADE",PR!$L932,IF(J934="SANCON",PR!$M932,IF(J934="DEVON",PR!$N932,IF(J934="DORTEMAG",PR!$O932,IF(J934="DGF",PR!$P932,IF(J934="DYNAMIC",PR!$Q932,IF(J934="EMZOR",PR!$R932,IF(J934="EUMATT",PR!$S932,IF(J934="FIDSON",PR!$T932,IF(J934="FCGLOBAL",PR!$U932,IF(J934="GENEITH",PR!$V932,IF(J934="GINOS",PR!$W932,IF(J934="GSK",PR!$X932,IF(J934="GLOBORG",PR!$Y932,IF(J934="GOODNEWS",PR!$Z932,IF(J934="GREENLIFE",PR!$AA932,IF(J934="HLINE",PR!$AB932,IF(J934="ROTECH",PR!$AC932,IF(J934="ISN",PR!$AD932,IF(J934="JAWA",PR!$AE932,IF(J934="LAYO",PR!$AF932,IF(J934="LEADWAY",PR!$AG932,IF(J934="LHV",PR!$AH932,IF(J934="MANOLA",PR!$AI932,IF(J934="MARCSON",PR!$AJ932,IF(J934="M&amp;B",PR!$AK932,IF(J934="MTRUST",PR!$AL932,IF(J934="MWORLD",PR!$AM932,IF(J934="MEGA",PR!$AN932,IF(J934="MICRONOVA",PR!$AO932,IF(J934="MFLASH",PR!$AP932,IF(J934="MORISON",PR!$AQ932,IF(J934="NEMEL",PR!$AR932,IF(J934="NHP",PR!$AS932,IF(J934="NHC",PR!$AT932,IF(J934="OLEAF",PR!$AU932,IF(J934="OCULUS",PR!$AV932,IF(J934="PACIFIC",PR!$AW932,IF(J934="PHAMATEX",PR!$AX932,IF(J934="PETHICS",PR!$AY932,IF(J934="PHILIPS",PR!$AZ932,IF(J934="RANBAXY",PR!$BA932,IF(J934="REALS",PR!$BB932,IF(J934="ROYAL",PR!$BC932,IF(J934="SAM",PR!$BD932,IF(J934="SEAGREEN",PR!$BE932,IF(J934="SKG",PR!$BF932,IF(J934="TAH",PR!$BG932,IF(J934="TAYLEK",PR!$BH932,IF(J934="TEMITA",PR!$BI932,IF(J934="THL",PR!$BJ932,IF(J934="UBASTIC",PR!$BK932,IF(J934="UNION",PR!$BL932,IF(J934="UNIQUE",PR!$BM932,IF(J934="VIXA",PR!$BN932,IF(J934="WWCV",PR!$BO932,IF(J934="ZOLON",PR!$BP932,"-"))))))))))))))))))))))))))))))))))))))))))))))))))))))))))))))))</f>
        <v>-</v>
      </c>
      <c r="J934" s="102">
        <f>EV!N1201</f>
        <v>0</v>
      </c>
      <c r="K934" s="433" t="s">
        <v>626</v>
      </c>
      <c r="L934" s="183">
        <f>IF(K934&gt;0,IF(K934="ALPHA",PR!$E932,IF(K934="ASSENE",PR!$F932,IF(K934="BIOFEM",PR!$G932,IF(K934="BIOMED",PR!$H932,IF(K934="CHI",PR!$I932,IF(K934="CLARION",PR!$J932,IF(K934="CODIX",PR!$K932,IF(K934="COSMADE",PR!$L932,IF(K934="SANCON",PR!$M932,IF(K934="DEVON",PR!$N932,IF(K934="DORTEMAG",PR!$O932,IF(K934="DGF",PR!$P932,IF(K934="DYNAMIC",PR!$Q932,IF(K934="EMZOR",PR!$R932,IF(K934="EUMATT",PR!$S932,IF(K934="FIDSON",PR!$T932,IF(K934="FCGLOBAL",PR!$U932,IF(K934="GENEITH",PR!$V932,IF(K934="GINOS",PR!$W932,IF(K934="GSK",PR!$X932,IF(K934="GLOBORG",PR!$Y932,IF(K934="GOODNEWS",PR!$Z932,IF(K934="GREENLIFE",PR!$AA932,IF(K934="HLINE",PR!$AB932,IF(K934="ROTECH",PR!$AC932,IF(K934="ISN",PR!$AD932,IF(K934="JAWA",PR!$AE932,IF(K934="LAYO",PR!$AF932,IF(K934="LEADWAY",PR!$AG932,IF(K934="LHV",PR!$AH932,IF(K934="MANOLA",PR!$AI932,IF(K934="MARCSON",PR!$AJ932,IF(K934="M&amp;B",PR!$AK932,IF(K934="MTRUST",PR!$AL932,IF(K934="MWORLD",PR!$AM932,IF(K934="MEGA",PR!$AN932,IF(K934="MICRONOVA",PR!$AO932,IF(K934="MFLASH",PR!$AP932,IF(K934="MORISON",PR!$AQ932,IF(K934="NEMEL",PR!$AR932,IF(K934="NHP",PR!$AS932,IF(K934="NHC",PR!$AT932,IF(K934="OLEAF",PR!$AU932,IF(K934="OCULUS",PR!$AV932,IF(K934="PACIFIC",PR!$AW932,IF(K934="PHAMATEX",PR!$AX932,IF(K934="PETHICS",PR!$AY932,IF(K934="PHILIPS",PR!$AZ932,IF(K934="RANBAXY",PR!$BA932,IF(K934="REALS",PR!$BB932,IF(K934="ROYAL",PR!$BC932,IF(K934="SAM",PR!$BD932,IF(K934="SEAGREEN",PR!$BE932,IF(K934="SKG",PR!$BF932,IF(K934="TAH",PR!$BG932,IF(K934="TAYLEK",PR!$BH932,IF(K934="TEMITA",PR!$BI932,IF(K934="THL",PR!$BJ932,IF(K934="UBASTIC",PR!$BK932,IF(K934="UNION",PR!$BL932,IF(K934="UNIQUE",PR!$BM932,IF(K934="VIXA",PR!$BN932,IF(K934="WWCV",PR!$BO932,IF(K934="ZOLON",PR!$BP932,"-")))))))))))))))))))))))))))))))))))))))))))))))))))))))))))))))))</f>
        <v>296563</v>
      </c>
    </row>
    <row r="935" spans="1:12" ht="18.75" x14ac:dyDescent="0.3">
      <c r="A935" s="430">
        <f>PR!A933</f>
        <v>843</v>
      </c>
      <c r="B935" s="15" t="str">
        <f>PR!B933</f>
        <v>PLASTIC SLIDE BOX</v>
      </c>
      <c r="C935" s="113">
        <f>PR!D933</f>
        <v>0</v>
      </c>
      <c r="D935" s="113">
        <f>PR!C933</f>
        <v>7</v>
      </c>
      <c r="E935" s="108">
        <f>IF(F935="ALPHA",PR!$E933,IF(F935="ASSENE",PR!$F933,IF(F935="BIOFEM",PR!$G933,IF(F935="BIOMED",PR!$H933,IF(F935="CHI",PR!$I933,IF(F935="CLARION",PR!$J933,IF(F935="CODIX",PR!$K933,IF(F935="COSMADE",PR!$L933,IF(F935="SANCON",PR!$M933,IF(F935="DEVON",PR!$N933,IF(F935="DORTEMAG",PR!$O933,IF(F935="DGF",PR!$P933,IF(F935="DYNAMIC",PR!$Q933,IF(F935="EMZOR",PR!$R933,IF(F935="EUMATT",PR!$S933,IF(F935="FIDSON",PR!$T933,IF(F935="FCGLOBAL",PR!$U933,IF(F935="GENEITH",PR!$V933,IF(F935="GINOS",PR!$W933,IF(F935="GSK",PR!$X933,IF(F935="GLOBORG",PR!$Y933,IF(F935="GOODNEWS",PR!$Z933,IF(F935="GREENLIFE",PR!$AA933,IF(F935="HLINE",PR!$AB933,IF(F935="ROTECH",PR!$AC933,IF(F935="ISN",PR!$AD933,IF(F935="JAWA",PR!$AE933,IF(F935="LAYO",PR!$AF933,IF(F935="LEADWAY",PR!$AG933,IF(F935="LHV",PR!$AH933,IF(F935="MANOLA",PR!$AI933,IF(F935="MARCSON",PR!$AJ933,IF(F935="M&amp;B",PR!$AK933,IF(F935="MTRUST",PR!$AL933,IF(F935="MWORLD",PR!$AM933,IF(F935="MEGA",PR!$AN933,IF(F935="MICRONOVA",PR!$AO933,IF(F935="MFLASH",PR!$AP933,IF(F935="MORISON",PR!$AQ933,IF(F935="NEMEL",PR!$AR933,IF(F935="NHP",PR!$AS933,IF(F935="NHC",PR!$AT933,IF(F935="OLEAF",PR!$AU933,IF(F935="OCULUS",PR!$AV933,IF(F935="PACIFIC",PR!$AW933,IF(F935="PHAMATEX",PR!$AX933,IF(F935="PETHICS",PR!$AY933,IF(F935="PHILIPS",PR!$AZ933,IF(F935="RANBAXY",PR!$BA933,IF(F935="REALS",PR!$BB933,IF(F935="ROYAL",PR!$BC933,IF(F935="SAM",PR!$BD933,IF(F935="SEAGREEN",PR!$BE933,IF(F935="SKG",PR!$BF933,IF(F935="TAH",PR!$BG933,IF(F935="TAYLEK",PR!$BH933,IF(F935="TEMITA",PR!$BI933,IF(F935="THL",PR!$BJ933,IF(F935="UBASTIC",PR!$BK933,IF(F935="UNION",PR!$BL933,IF(F935="UNIQUE",PR!$BM933,IF(F935="VIXA",PR!$BN933,IF(F935="WWCV",PR!$BO933,IF(F935="ZOLON",PR!$BP933,"-"))))))))))))))))))))))))))))))))))))))))))))))))))))))))))))))))</f>
        <v>2000</v>
      </c>
      <c r="F935" s="102" t="str">
        <f>EV!L1202</f>
        <v>SANCON</v>
      </c>
      <c r="G935" s="108">
        <f>IF(H935="ALPHA",PR!$E933,IF(H935="ASSENE",PR!$F933,IF(H935="BIOFEM",PR!$G933,IF(H935="BIOMED",PR!$H933,IF(H935="CHI",PR!$I933,IF(H935="CLARION",PR!$J933,IF(H935="CODIX",PR!$K933,IF(H935="COSMADE",PR!$L933,IF(H935="SANCON",PR!$M933,IF(H935="DEVON",PR!$N933,IF(H935="DORTEMAG",PR!$O933,IF(H935="DGF",PR!$P933,IF(H935="DYNAMIC",PR!$Q933,IF(H935="EMZOR",PR!$R933,IF(H935="EUMATT",PR!$S933,IF(H935="FIDSON",PR!$T933,IF(H935="FCGLOBAL",PR!$U933,IF(H935="GENEITH",PR!$V933,IF(H935="GINOS",PR!$W933,IF(H935="GSK",PR!$X933,IF(H935="GLOBORG",PR!$Y933,IF(H935="GOODNEWS",PR!$Z933,IF(H935="GREENLIFE",PR!$AA933,IF(H935="HLINE",PR!$AB933,IF(H935="ROTECH",PR!$AC933,IF(H935="ISN",PR!$AD933,IF(H935="JAWA",PR!$AE933,IF(H935="LAYO",PR!$AF933,IF(H935="LEADWAY",PR!$AG933,IF(H935="LHV",PR!$AH933,IF(H935="MANOLA",PR!$AI933,IF(H935="MARCSON",PR!$AJ933,IF(H935="M&amp;B",PR!$AK933,IF(H935="MTRUST",PR!$AL933,IF(H935="MWORLD",PR!$AM933,IF(H935="MEGA",PR!$AN933,IF(H935="MICRONOVA",PR!$AO933,IF(H935="MFLASH",PR!$AP933,IF(H935="MORISON",PR!$AQ933,IF(H935="NEMEL",PR!$AR933,IF(H935="NHP",PR!$AS933,IF(H935="NHC",PR!$AT933,IF(H935="OLEAF",PR!$AU933,IF(H935="OCULUS",PR!$AV933,IF(H935="PACIFIC",PR!$AW933,IF(H935="PHAMATEX",PR!$AX933,IF(H935="PETHICS",PR!$AY933,IF(H935="PHILIPS",PR!$AZ933,IF(H935="RANBAXY",PR!$BA933,IF(H935="REALS",PR!$BB933,IF(H935="ROYAL",PR!$BC933,IF(H935="SAM",PR!$BD933,IF(H935="SEAGREEN",PR!$BE933,IF(H935="SKG",PR!$BF933,IF(H935="TAH",PR!$BG933,IF(H935="TAYLEK",PR!$BH933,IF(H935="TEMITA",PR!$BI933,IF(H935="THL",PR!$BJ933,IF(H935="UBASTIC",PR!$BK933,IF(H935="UNION",PR!$BL933,IF(H935="UNIQUE",PR!$BM933,IF(H935="VIXA",PR!$BN933,IF(H935="WWCV",PR!$BO933,IF(H935="ZOLON",PR!$BP933,"-"))))))))))))))))))))))))))))))))))))))))))))))))))))))))))))))))</f>
        <v>2125</v>
      </c>
      <c r="H935" s="102" t="str">
        <f>EV!M1202</f>
        <v>DYNAMIC</v>
      </c>
      <c r="I935" s="108">
        <f>IF(J935="ALPHA",PR!$E933,IF(J935="ASSENE",PR!$F933,IF(J935="BIOFEM",PR!$G933,IF(J935="BIOMED",PR!$H933,IF(J935="CHI",PR!$I933,IF(J935="CLARION",PR!$J933,IF(J935="CODIX",PR!$K933,IF(J935="COSMADE",PR!$L933,IF(J935="SANCON",PR!$M933,IF(J935="DEVON",PR!$N933,IF(J935="DORTEMAG",PR!$O933,IF(J935="DGF",PR!$P933,IF(J935="DYNAMIC",PR!$Q933,IF(J935="EMZOR",PR!$R933,IF(J935="EUMATT",PR!$S933,IF(J935="FIDSON",PR!$T933,IF(J935="FCGLOBAL",PR!$U933,IF(J935="GENEITH",PR!$V933,IF(J935="GINOS",PR!$W933,IF(J935="GSK",PR!$X933,IF(J935="GLOBORG",PR!$Y933,IF(J935="GOODNEWS",PR!$Z933,IF(J935="GREENLIFE",PR!$AA933,IF(J935="HLINE",PR!$AB933,IF(J935="ROTECH",PR!$AC933,IF(J935="ISN",PR!$AD933,IF(J935="JAWA",PR!$AE933,IF(J935="LAYO",PR!$AF933,IF(J935="LEADWAY",PR!$AG933,IF(J935="LHV",PR!$AH933,IF(J935="MANOLA",PR!$AI933,IF(J935="MARCSON",PR!$AJ933,IF(J935="M&amp;B",PR!$AK933,IF(J935="MTRUST",PR!$AL933,IF(J935="MWORLD",PR!$AM933,IF(J935="MEGA",PR!$AN933,IF(J935="MICRONOVA",PR!$AO933,IF(J935="MFLASH",PR!$AP933,IF(J935="MORISON",PR!$AQ933,IF(J935="NEMEL",PR!$AR933,IF(J935="NHP",PR!$AS933,IF(J935="NHC",PR!$AT933,IF(J935="OLEAF",PR!$AU933,IF(J935="OCULUS",PR!$AV933,IF(J935="PACIFIC",PR!$AW933,IF(J935="PHAMATEX",PR!$AX933,IF(J935="PETHICS",PR!$AY933,IF(J935="PHILIPS",PR!$AZ933,IF(J935="RANBAXY",PR!$BA933,IF(J935="REALS",PR!$BB933,IF(J935="ROYAL",PR!$BC933,IF(J935="SAM",PR!$BD933,IF(J935="SEAGREEN",PR!$BE933,IF(J935="SKG",PR!$BF933,IF(J935="TAH",PR!$BG933,IF(J935="TAYLEK",PR!$BH933,IF(J935="TEMITA",PR!$BI933,IF(J935="THL",PR!$BJ933,IF(J935="UBASTIC",PR!$BK933,IF(J935="UNION",PR!$BL933,IF(J935="UNIQUE",PR!$BM933,IF(J935="VIXA",PR!$BN933,IF(J935="WWCV",PR!$BO933,IF(J935="ZOLON",PR!$BP933,"-"))))))))))))))))))))))))))))))))))))))))))))))))))))))))))))))))</f>
        <v>2500</v>
      </c>
      <c r="J935" s="102" t="str">
        <f>EV!N1202</f>
        <v>COSMADE</v>
      </c>
      <c r="K935" s="433" t="s">
        <v>817</v>
      </c>
      <c r="L935" s="183">
        <f>IF(K935&gt;0,IF(K935="ALPHA",PR!$E933,IF(K935="ASSENE",PR!$F933,IF(K935="BIOFEM",PR!$G933,IF(K935="BIOMED",PR!$H933,IF(K935="CHI",PR!$I933,IF(K935="CLARION",PR!$J933,IF(K935="CODIX",PR!$K933,IF(K935="COSMADE",PR!$L933,IF(K935="SANCON",PR!$M933,IF(K935="DEVON",PR!$N933,IF(K935="DORTEMAG",PR!$O933,IF(K935="DGF",PR!$P933,IF(K935="DYNAMIC",PR!$Q933,IF(K935="EMZOR",PR!$R933,IF(K935="EUMATT",PR!$S933,IF(K935="FIDSON",PR!$T933,IF(K935="FCGLOBAL",PR!$U933,IF(K935="GENEITH",PR!$V933,IF(K935="GINOS",PR!$W933,IF(K935="GSK",PR!$X933,IF(K935="GLOBORG",PR!$Y933,IF(K935="GOODNEWS",PR!$Z933,IF(K935="GREENLIFE",PR!$AA933,IF(K935="HLINE",PR!$AB933,IF(K935="ROTECH",PR!$AC933,IF(K935="ISN",PR!$AD933,IF(K935="JAWA",PR!$AE933,IF(K935="LAYO",PR!$AF933,IF(K935="LEADWAY",PR!$AG933,IF(K935="LHV",PR!$AH933,IF(K935="MANOLA",PR!$AI933,IF(K935="MARCSON",PR!$AJ933,IF(K935="M&amp;B",PR!$AK933,IF(K935="MTRUST",PR!$AL933,IF(K935="MWORLD",PR!$AM933,IF(K935="MEGA",PR!$AN933,IF(K935="MICRONOVA",PR!$AO933,IF(K935="MFLASH",PR!$AP933,IF(K935="MORISON",PR!$AQ933,IF(K935="NEMEL",PR!$AR933,IF(K935="NHP",PR!$AS933,IF(K935="NHC",PR!$AT933,IF(K935="OLEAF",PR!$AU933,IF(K935="OCULUS",PR!$AV933,IF(K935="PACIFIC",PR!$AW933,IF(K935="PHAMATEX",PR!$AX933,IF(K935="PETHICS",PR!$AY933,IF(K935="PHILIPS",PR!$AZ933,IF(K935="RANBAXY",PR!$BA933,IF(K935="REALS",PR!$BB933,IF(K935="ROYAL",PR!$BC933,IF(K935="SAM",PR!$BD933,IF(K935="SEAGREEN",PR!$BE933,IF(K935="SKG",PR!$BF933,IF(K935="TAH",PR!$BG933,IF(K935="TAYLEK",PR!$BH933,IF(K935="TEMITA",PR!$BI933,IF(K935="THL",PR!$BJ933,IF(K935="UBASTIC",PR!$BK933,IF(K935="UNION",PR!$BL933,IF(K935="UNIQUE",PR!$BM933,IF(K935="VIXA",PR!$BN933,IF(K935="WWCV",PR!$BO933,IF(K935="ZOLON",PR!$BP933,"-")))))))))))))))))))))))))))))))))))))))))))))))))))))))))))))))))</f>
        <v>2000</v>
      </c>
    </row>
    <row r="936" spans="1:12" ht="18.75" x14ac:dyDescent="0.3">
      <c r="A936" s="430">
        <f>PR!A934</f>
        <v>844</v>
      </c>
      <c r="B936" s="15" t="str">
        <f>PR!B934</f>
        <v>INSULATED BLOOD BOX</v>
      </c>
      <c r="C936" s="113">
        <f>PR!D934</f>
        <v>0</v>
      </c>
      <c r="D936" s="113">
        <f>PR!C934</f>
        <v>20</v>
      </c>
      <c r="E936" s="108">
        <f>IF(F936="ALPHA",PR!$E934,IF(F936="ASSENE",PR!$F934,IF(F936="BIOFEM",PR!$G934,IF(F936="BIOMED",PR!$H934,IF(F936="CHI",PR!$I934,IF(F936="CLARION",PR!$J934,IF(F936="CODIX",PR!$K934,IF(F936="COSMADE",PR!$L934,IF(F936="SANCON",PR!$M934,IF(F936="DEVON",PR!$N934,IF(F936="DORTEMAG",PR!$O934,IF(F936="DGF",PR!$P934,IF(F936="DYNAMIC",PR!$Q934,IF(F936="EMZOR",PR!$R934,IF(F936="EUMATT",PR!$S934,IF(F936="FIDSON",PR!$T934,IF(F936="FCGLOBAL",PR!$U934,IF(F936="GENEITH",PR!$V934,IF(F936="GINOS",PR!$W934,IF(F936="GSK",PR!$X934,IF(F936="GLOBORG",PR!$Y934,IF(F936="GOODNEWS",PR!$Z934,IF(F936="GREENLIFE",PR!$AA934,IF(F936="HLINE",PR!$AB934,IF(F936="ROTECH",PR!$AC934,IF(F936="ISN",PR!$AD934,IF(F936="JAWA",PR!$AE934,IF(F936="LAYO",PR!$AF934,IF(F936="LEADWAY",PR!$AG934,IF(F936="LHV",PR!$AH934,IF(F936="MANOLA",PR!$AI934,IF(F936="MARCSON",PR!$AJ934,IF(F936="M&amp;B",PR!$AK934,IF(F936="MTRUST",PR!$AL934,IF(F936="MWORLD",PR!$AM934,IF(F936="MEGA",PR!$AN934,IF(F936="MICRONOVA",PR!$AO934,IF(F936="MFLASH",PR!$AP934,IF(F936="MORISON",PR!$AQ934,IF(F936="NEMEL",PR!$AR934,IF(F936="NHP",PR!$AS934,IF(F936="NHC",PR!$AT934,IF(F936="OLEAF",PR!$AU934,IF(F936="OCULUS",PR!$AV934,IF(F936="PACIFIC",PR!$AW934,IF(F936="PHAMATEX",PR!$AX934,IF(F936="PETHICS",PR!$AY934,IF(F936="PHILIPS",PR!$AZ934,IF(F936="RANBAXY",PR!$BA934,IF(F936="REALS",PR!$BB934,IF(F936="ROYAL",PR!$BC934,IF(F936="SAM",PR!$BD934,IF(F936="SEAGREEN",PR!$BE934,IF(F936="SKG",PR!$BF934,IF(F936="TAH",PR!$BG934,IF(F936="TAYLEK",PR!$BH934,IF(F936="TEMITA",PR!$BI934,IF(F936="THL",PR!$BJ934,IF(F936="UBASTIC",PR!$BK934,IF(F936="UNION",PR!$BL934,IF(F936="UNIQUE",PR!$BM934,IF(F936="VIXA",PR!$BN934,IF(F936="WWCV",PR!$BO934,IF(F936="ZOLON",PR!$BP934,"-"))))))))))))))))))))))))))))))))))))))))))))))))))))))))))))))))</f>
        <v>48388</v>
      </c>
      <c r="F936" s="102" t="str">
        <f>EV!L1203</f>
        <v>DYNAMIC</v>
      </c>
      <c r="G936" s="108" t="str">
        <f>IF(H936="ALPHA",PR!$E934,IF(H936="ASSENE",PR!$F934,IF(H936="BIOFEM",PR!$G934,IF(H936="BIOMED",PR!$H934,IF(H936="CHI",PR!$I934,IF(H936="CLARION",PR!$J934,IF(H936="CODIX",PR!$K934,IF(H936="COSMADE",PR!$L934,IF(H936="SANCON",PR!$M934,IF(H936="DEVON",PR!$N934,IF(H936="DORTEMAG",PR!$O934,IF(H936="DGF",PR!$P934,IF(H936="DYNAMIC",PR!$Q934,IF(H936="EMZOR",PR!$R934,IF(H936="EUMATT",PR!$S934,IF(H936="FIDSON",PR!$T934,IF(H936="FCGLOBAL",PR!$U934,IF(H936="GENEITH",PR!$V934,IF(H936="GINOS",PR!$W934,IF(H936="GSK",PR!$X934,IF(H936="GLOBORG",PR!$Y934,IF(H936="GOODNEWS",PR!$Z934,IF(H936="GREENLIFE",PR!$AA934,IF(H936="HLINE",PR!$AB934,IF(H936="ROTECH",PR!$AC934,IF(H936="ISN",PR!$AD934,IF(H936="JAWA",PR!$AE934,IF(H936="LAYO",PR!$AF934,IF(H936="LEADWAY",PR!$AG934,IF(H936="LHV",PR!$AH934,IF(H936="MANOLA",PR!$AI934,IF(H936="MARCSON",PR!$AJ934,IF(H936="M&amp;B",PR!$AK934,IF(H936="MTRUST",PR!$AL934,IF(H936="MWORLD",PR!$AM934,IF(H936="MEGA",PR!$AN934,IF(H936="MICRONOVA",PR!$AO934,IF(H936="MFLASH",PR!$AP934,IF(H936="MORISON",PR!$AQ934,IF(H936="NEMEL",PR!$AR934,IF(H936="NHP",PR!$AS934,IF(H936="NHC",PR!$AT934,IF(H936="OLEAF",PR!$AU934,IF(H936="OCULUS",PR!$AV934,IF(H936="PACIFIC",PR!$AW934,IF(H936="PHAMATEX",PR!$AX934,IF(H936="PETHICS",PR!$AY934,IF(H936="PHILIPS",PR!$AZ934,IF(H936="RANBAXY",PR!$BA934,IF(H936="REALS",PR!$BB934,IF(H936="ROYAL",PR!$BC934,IF(H936="SAM",PR!$BD934,IF(H936="SEAGREEN",PR!$BE934,IF(H936="SKG",PR!$BF934,IF(H936="TAH",PR!$BG934,IF(H936="TAYLEK",PR!$BH934,IF(H936="TEMITA",PR!$BI934,IF(H936="THL",PR!$BJ934,IF(H936="UBASTIC",PR!$BK934,IF(H936="UNION",PR!$BL934,IF(H936="UNIQUE",PR!$BM934,IF(H936="VIXA",PR!$BN934,IF(H936="WWCV",PR!$BO934,IF(H936="ZOLON",PR!$BP934,"-"))))))))))))))))))))))))))))))))))))))))))))))))))))))))))))))))</f>
        <v>-</v>
      </c>
      <c r="H936" s="102">
        <f>EV!M1203</f>
        <v>0</v>
      </c>
      <c r="I936" s="108" t="str">
        <f>IF(J936="ALPHA",PR!$E934,IF(J936="ASSENE",PR!$F934,IF(J936="BIOFEM",PR!$G934,IF(J936="BIOMED",PR!$H934,IF(J936="CHI",PR!$I934,IF(J936="CLARION",PR!$J934,IF(J936="CODIX",PR!$K934,IF(J936="COSMADE",PR!$L934,IF(J936="SANCON",PR!$M934,IF(J936="DEVON",PR!$N934,IF(J936="DORTEMAG",PR!$O934,IF(J936="DGF",PR!$P934,IF(J936="DYNAMIC",PR!$Q934,IF(J936="EMZOR",PR!$R934,IF(J936="EUMATT",PR!$S934,IF(J936="FIDSON",PR!$T934,IF(J936="FCGLOBAL",PR!$U934,IF(J936="GENEITH",PR!$V934,IF(J936="GINOS",PR!$W934,IF(J936="GSK",PR!$X934,IF(J936="GLOBORG",PR!$Y934,IF(J936="GOODNEWS",PR!$Z934,IF(J936="GREENLIFE",PR!$AA934,IF(J936="HLINE",PR!$AB934,IF(J936="ROTECH",PR!$AC934,IF(J936="ISN",PR!$AD934,IF(J936="JAWA",PR!$AE934,IF(J936="LAYO",PR!$AF934,IF(J936="LEADWAY",PR!$AG934,IF(J936="LHV",PR!$AH934,IF(J936="MANOLA",PR!$AI934,IF(J936="MARCSON",PR!$AJ934,IF(J936="M&amp;B",PR!$AK934,IF(J936="MTRUST",PR!$AL934,IF(J936="MWORLD",PR!$AM934,IF(J936="MEGA",PR!$AN934,IF(J936="MICRONOVA",PR!$AO934,IF(J936="MFLASH",PR!$AP934,IF(J936="MORISON",PR!$AQ934,IF(J936="NEMEL",PR!$AR934,IF(J936="NHP",PR!$AS934,IF(J936="NHC",PR!$AT934,IF(J936="OLEAF",PR!$AU934,IF(J936="OCULUS",PR!$AV934,IF(J936="PACIFIC",PR!$AW934,IF(J936="PHAMATEX",PR!$AX934,IF(J936="PETHICS",PR!$AY934,IF(J936="PHILIPS",PR!$AZ934,IF(J936="RANBAXY",PR!$BA934,IF(J936="REALS",PR!$BB934,IF(J936="ROYAL",PR!$BC934,IF(J936="SAM",PR!$BD934,IF(J936="SEAGREEN",PR!$BE934,IF(J936="SKG",PR!$BF934,IF(J936="TAH",PR!$BG934,IF(J936="TAYLEK",PR!$BH934,IF(J936="TEMITA",PR!$BI934,IF(J936="THL",PR!$BJ934,IF(J936="UBASTIC",PR!$BK934,IF(J936="UNION",PR!$BL934,IF(J936="UNIQUE",PR!$BM934,IF(J936="VIXA",PR!$BN934,IF(J936="WWCV",PR!$BO934,IF(J936="ZOLON",PR!$BP934,"-"))))))))))))))))))))))))))))))))))))))))))))))))))))))))))))))))</f>
        <v>-</v>
      </c>
      <c r="J936" s="102">
        <f>EV!N1203</f>
        <v>0</v>
      </c>
      <c r="K936" s="433" t="s">
        <v>626</v>
      </c>
      <c r="L936" s="183">
        <f>IF(K936&gt;0,IF(K936="ALPHA",PR!$E934,IF(K936="ASSENE",PR!$F934,IF(K936="BIOFEM",PR!$G934,IF(K936="BIOMED",PR!$H934,IF(K936="CHI",PR!$I934,IF(K936="CLARION",PR!$J934,IF(K936="CODIX",PR!$K934,IF(K936="COSMADE",PR!$L934,IF(K936="SANCON",PR!$M934,IF(K936="DEVON",PR!$N934,IF(K936="DORTEMAG",PR!$O934,IF(K936="DGF",PR!$P934,IF(K936="DYNAMIC",PR!$Q934,IF(K936="EMZOR",PR!$R934,IF(K936="EUMATT",PR!$S934,IF(K936="FIDSON",PR!$T934,IF(K936="FCGLOBAL",PR!$U934,IF(K936="GENEITH",PR!$V934,IF(K936="GINOS",PR!$W934,IF(K936="GSK",PR!$X934,IF(K936="GLOBORG",PR!$Y934,IF(K936="GOODNEWS",PR!$Z934,IF(K936="GREENLIFE",PR!$AA934,IF(K936="HLINE",PR!$AB934,IF(K936="ROTECH",PR!$AC934,IF(K936="ISN",PR!$AD934,IF(K936="JAWA",PR!$AE934,IF(K936="LAYO",PR!$AF934,IF(K936="LEADWAY",PR!$AG934,IF(K936="LHV",PR!$AH934,IF(K936="MANOLA",PR!$AI934,IF(K936="MARCSON",PR!$AJ934,IF(K936="M&amp;B",PR!$AK934,IF(K936="MTRUST",PR!$AL934,IF(K936="MWORLD",PR!$AM934,IF(K936="MEGA",PR!$AN934,IF(K936="MICRONOVA",PR!$AO934,IF(K936="MFLASH",PR!$AP934,IF(K936="MORISON",PR!$AQ934,IF(K936="NEMEL",PR!$AR934,IF(K936="NHP",PR!$AS934,IF(K936="NHC",PR!$AT934,IF(K936="OLEAF",PR!$AU934,IF(K936="OCULUS",PR!$AV934,IF(K936="PACIFIC",PR!$AW934,IF(K936="PHAMATEX",PR!$AX934,IF(K936="PETHICS",PR!$AY934,IF(K936="PHILIPS",PR!$AZ934,IF(K936="RANBAXY",PR!$BA934,IF(K936="REALS",PR!$BB934,IF(K936="ROYAL",PR!$BC934,IF(K936="SAM",PR!$BD934,IF(K936="SEAGREEN",PR!$BE934,IF(K936="SKG",PR!$BF934,IF(K936="TAH",PR!$BG934,IF(K936="TAYLEK",PR!$BH934,IF(K936="TEMITA",PR!$BI934,IF(K936="THL",PR!$BJ934,IF(K936="UBASTIC",PR!$BK934,IF(K936="UNION",PR!$BL934,IF(K936="UNIQUE",PR!$BM934,IF(K936="VIXA",PR!$BN934,IF(K936="WWCV",PR!$BO934,IF(K936="ZOLON",PR!$BP934,"-")))))))))))))))))))))))))))))))))))))))))))))))))))))))))))))))))</f>
        <v>48388</v>
      </c>
    </row>
    <row r="937" spans="1:12" ht="18.75" x14ac:dyDescent="0.3">
      <c r="A937" s="430">
        <f>PR!A935</f>
        <v>845</v>
      </c>
      <c r="B937" s="15" t="str">
        <f>PR!B935</f>
        <v>ICE PACK CONTAINER</v>
      </c>
      <c r="C937" s="113">
        <f>PR!D935</f>
        <v>0</v>
      </c>
      <c r="D937" s="113">
        <f>PR!C935</f>
        <v>20</v>
      </c>
      <c r="E937" s="108">
        <f>IF(F937="ALPHA",PR!$E935,IF(F937="ASSENE",PR!$F935,IF(F937="BIOFEM",PR!$G935,IF(F937="BIOMED",PR!$H935,IF(F937="CHI",PR!$I935,IF(F937="CLARION",PR!$J935,IF(F937="CODIX",PR!$K935,IF(F937="COSMADE",PR!$L935,IF(F937="SANCON",PR!$M935,IF(F937="DEVON",PR!$N935,IF(F937="DORTEMAG",PR!$O935,IF(F937="DGF",PR!$P935,IF(F937="DYNAMIC",PR!$Q935,IF(F937="EMZOR",PR!$R935,IF(F937="EUMATT",PR!$S935,IF(F937="FIDSON",PR!$T935,IF(F937="FCGLOBAL",PR!$U935,IF(F937="GENEITH",PR!$V935,IF(F937="GINOS",PR!$W935,IF(F937="GSK",PR!$X935,IF(F937="GLOBORG",PR!$Y935,IF(F937="GOODNEWS",PR!$Z935,IF(F937="GREENLIFE",PR!$AA935,IF(F937="HLINE",PR!$AB935,IF(F937="ROTECH",PR!$AC935,IF(F937="ISN",PR!$AD935,IF(F937="JAWA",PR!$AE935,IF(F937="LAYO",PR!$AF935,IF(F937="LEADWAY",PR!$AG935,IF(F937="LHV",PR!$AH935,IF(F937="MANOLA",PR!$AI935,IF(F937="MARCSON",PR!$AJ935,IF(F937="M&amp;B",PR!$AK935,IF(F937="MTRUST",PR!$AL935,IF(F937="MWORLD",PR!$AM935,IF(F937="MEGA",PR!$AN935,IF(F937="MICRONOVA",PR!$AO935,IF(F937="MFLASH",PR!$AP935,IF(F937="MORISON",PR!$AQ935,IF(F937="NEMEL",PR!$AR935,IF(F937="NHP",PR!$AS935,IF(F937="NHC",PR!$AT935,IF(F937="OLEAF",PR!$AU935,IF(F937="OCULUS",PR!$AV935,IF(F937="PACIFIC",PR!$AW935,IF(F937="PHAMATEX",PR!$AX935,IF(F937="PETHICS",PR!$AY935,IF(F937="PHILIPS",PR!$AZ935,IF(F937="RANBAXY",PR!$BA935,IF(F937="REALS",PR!$BB935,IF(F937="ROYAL",PR!$BC935,IF(F937="SAM",PR!$BD935,IF(F937="SEAGREEN",PR!$BE935,IF(F937="SKG",PR!$BF935,IF(F937="TAH",PR!$BG935,IF(F937="TAYLEK",PR!$BH935,IF(F937="TEMITA",PR!$BI935,IF(F937="THL",PR!$BJ935,IF(F937="UBASTIC",PR!$BK935,IF(F937="UNION",PR!$BL935,IF(F937="UNIQUE",PR!$BM935,IF(F937="VIXA",PR!$BN935,IF(F937="WWCV",PR!$BO935,IF(F937="ZOLON",PR!$BP935,"-"))))))))))))))))))))))))))))))))))))))))))))))))))))))))))))))))</f>
        <v>7800</v>
      </c>
      <c r="F937" s="102" t="str">
        <f>EV!L1204</f>
        <v>LAYO</v>
      </c>
      <c r="G937" s="108">
        <f>IF(H937="ALPHA",PR!$E935,IF(H937="ASSENE",PR!$F935,IF(H937="BIOFEM",PR!$G935,IF(H937="BIOMED",PR!$H935,IF(H937="CHI",PR!$I935,IF(H937="CLARION",PR!$J935,IF(H937="CODIX",PR!$K935,IF(H937="COSMADE",PR!$L935,IF(H937="SANCON",PR!$M935,IF(H937="DEVON",PR!$N935,IF(H937="DORTEMAG",PR!$O935,IF(H937="DGF",PR!$P935,IF(H937="DYNAMIC",PR!$Q935,IF(H937="EMZOR",PR!$R935,IF(H937="EUMATT",PR!$S935,IF(H937="FIDSON",PR!$T935,IF(H937="FCGLOBAL",PR!$U935,IF(H937="GENEITH",PR!$V935,IF(H937="GINOS",PR!$W935,IF(H937="GSK",PR!$X935,IF(H937="GLOBORG",PR!$Y935,IF(H937="GOODNEWS",PR!$Z935,IF(H937="GREENLIFE",PR!$AA935,IF(H937="HLINE",PR!$AB935,IF(H937="ROTECH",PR!$AC935,IF(H937="ISN",PR!$AD935,IF(H937="JAWA",PR!$AE935,IF(H937="LAYO",PR!$AF935,IF(H937="LEADWAY",PR!$AG935,IF(H937="LHV",PR!$AH935,IF(H937="MANOLA",PR!$AI935,IF(H937="MARCSON",PR!$AJ935,IF(H937="M&amp;B",PR!$AK935,IF(H937="MTRUST",PR!$AL935,IF(H937="MWORLD",PR!$AM935,IF(H937="MEGA",PR!$AN935,IF(H937="MICRONOVA",PR!$AO935,IF(H937="MFLASH",PR!$AP935,IF(H937="MORISON",PR!$AQ935,IF(H937="NEMEL",PR!$AR935,IF(H937="NHP",PR!$AS935,IF(H937="NHC",PR!$AT935,IF(H937="OLEAF",PR!$AU935,IF(H937="OCULUS",PR!$AV935,IF(H937="PACIFIC",PR!$AW935,IF(H937="PHAMATEX",PR!$AX935,IF(H937="PETHICS",PR!$AY935,IF(H937="PHILIPS",PR!$AZ935,IF(H937="RANBAXY",PR!$BA935,IF(H937="REALS",PR!$BB935,IF(H937="ROYAL",PR!$BC935,IF(H937="SAM",PR!$BD935,IF(H937="SEAGREEN",PR!$BE935,IF(H937="SKG",PR!$BF935,IF(H937="TAH",PR!$BG935,IF(H937="TAYLEK",PR!$BH935,IF(H937="TEMITA",PR!$BI935,IF(H937="THL",PR!$BJ935,IF(H937="UBASTIC",PR!$BK935,IF(H937="UNION",PR!$BL935,IF(H937="UNIQUE",PR!$BM935,IF(H937="VIXA",PR!$BN935,IF(H937="WWCV",PR!$BO935,IF(H937="ZOLON",PR!$BP935,"-"))))))))))))))))))))))))))))))))))))))))))))))))))))))))))))))))</f>
        <v>48388</v>
      </c>
      <c r="H937" s="102" t="str">
        <f>EV!M1204</f>
        <v>DYNAMIC</v>
      </c>
      <c r="I937" s="108" t="str">
        <f>IF(J937="ALPHA",PR!$E935,IF(J937="ASSENE",PR!$F935,IF(J937="BIOFEM",PR!$G935,IF(J937="BIOMED",PR!$H935,IF(J937="CHI",PR!$I935,IF(J937="CLARION",PR!$J935,IF(J937="CODIX",PR!$K935,IF(J937="COSMADE",PR!$L935,IF(J937="SANCON",PR!$M935,IF(J937="DEVON",PR!$N935,IF(J937="DORTEMAG",PR!$O935,IF(J937="DGF",PR!$P935,IF(J937="DYNAMIC",PR!$Q935,IF(J937="EMZOR",PR!$R935,IF(J937="EUMATT",PR!$S935,IF(J937="FIDSON",PR!$T935,IF(J937="FCGLOBAL",PR!$U935,IF(J937="GENEITH",PR!$V935,IF(J937="GINOS",PR!$W935,IF(J937="GSK",PR!$X935,IF(J937="GLOBORG",PR!$Y935,IF(J937="GOODNEWS",PR!$Z935,IF(J937="GREENLIFE",PR!$AA935,IF(J937="HLINE",PR!$AB935,IF(J937="ROTECH",PR!$AC935,IF(J937="ISN",PR!$AD935,IF(J937="JAWA",PR!$AE935,IF(J937="LAYO",PR!$AF935,IF(J937="LEADWAY",PR!$AG935,IF(J937="LHV",PR!$AH935,IF(J937="MANOLA",PR!$AI935,IF(J937="MARCSON",PR!$AJ935,IF(J937="M&amp;B",PR!$AK935,IF(J937="MTRUST",PR!$AL935,IF(J937="MWORLD",PR!$AM935,IF(J937="MEGA",PR!$AN935,IF(J937="MICRONOVA",PR!$AO935,IF(J937="MFLASH",PR!$AP935,IF(J937="MORISON",PR!$AQ935,IF(J937="NEMEL",PR!$AR935,IF(J937="NHP",PR!$AS935,IF(J937="NHC",PR!$AT935,IF(J937="OLEAF",PR!$AU935,IF(J937="OCULUS",PR!$AV935,IF(J937="PACIFIC",PR!$AW935,IF(J937="PHAMATEX",PR!$AX935,IF(J937="PETHICS",PR!$AY935,IF(J937="PHILIPS",PR!$AZ935,IF(J937="RANBAXY",PR!$BA935,IF(J937="REALS",PR!$BB935,IF(J937="ROYAL",PR!$BC935,IF(J937="SAM",PR!$BD935,IF(J937="SEAGREEN",PR!$BE935,IF(J937="SKG",PR!$BF935,IF(J937="TAH",PR!$BG935,IF(J937="TAYLEK",PR!$BH935,IF(J937="TEMITA",PR!$BI935,IF(J937="THL",PR!$BJ935,IF(J937="UBASTIC",PR!$BK935,IF(J937="UNION",PR!$BL935,IF(J937="UNIQUE",PR!$BM935,IF(J937="VIXA",PR!$BN935,IF(J937="WWCV",PR!$BO935,IF(J937="ZOLON",PR!$BP935,"-"))))))))))))))))))))))))))))))))))))))))))))))))))))))))))))))))</f>
        <v>-</v>
      </c>
      <c r="J937" s="102">
        <f>EV!N1204</f>
        <v>0</v>
      </c>
      <c r="K937" s="433" t="s">
        <v>1461</v>
      </c>
      <c r="L937" s="183">
        <f>IF(K937&gt;0,IF(K937="ALPHA",PR!$E935,IF(K937="ASSENE",PR!$F935,IF(K937="BIOFEM",PR!$G935,IF(K937="BIOMED",PR!$H935,IF(K937="CHI",PR!$I935,IF(K937="CLARION",PR!$J935,IF(K937="CODIX",PR!$K935,IF(K937="COSMADE",PR!$L935,IF(K937="SANCON",PR!$M935,IF(K937="DEVON",PR!$N935,IF(K937="DORTEMAG",PR!$O935,IF(K937="DGF",PR!$P935,IF(K937="DYNAMIC",PR!$Q935,IF(K937="EMZOR",PR!$R935,IF(K937="EUMATT",PR!$S935,IF(K937="FIDSON",PR!$T935,IF(K937="FCGLOBAL",PR!$U935,IF(K937="GENEITH",PR!$V935,IF(K937="GINOS",PR!$W935,IF(K937="GSK",PR!$X935,IF(K937="GLOBORG",PR!$Y935,IF(K937="GOODNEWS",PR!$Z935,IF(K937="GREENLIFE",PR!$AA935,IF(K937="HLINE",PR!$AB935,IF(K937="ROTECH",PR!$AC935,IF(K937="ISN",PR!$AD935,IF(K937="JAWA",PR!$AE935,IF(K937="LAYO",PR!$AF935,IF(K937="LEADWAY",PR!$AG935,IF(K937="LHV",PR!$AH935,IF(K937="MANOLA",PR!$AI935,IF(K937="MARCSON",PR!$AJ935,IF(K937="M&amp;B",PR!$AK935,IF(K937="MTRUST",PR!$AL935,IF(K937="MWORLD",PR!$AM935,IF(K937="MEGA",PR!$AN935,IF(K937="MICRONOVA",PR!$AO935,IF(K937="MFLASH",PR!$AP935,IF(K937="MORISON",PR!$AQ935,IF(K937="NEMEL",PR!$AR935,IF(K937="NHP",PR!$AS935,IF(K937="NHC",PR!$AT935,IF(K937="OLEAF",PR!$AU935,IF(K937="OCULUS",PR!$AV935,IF(K937="PACIFIC",PR!$AW935,IF(K937="PHAMATEX",PR!$AX935,IF(K937="PETHICS",PR!$AY935,IF(K937="PHILIPS",PR!$AZ935,IF(K937="RANBAXY",PR!$BA935,IF(K937="REALS",PR!$BB935,IF(K937="ROYAL",PR!$BC935,IF(K937="SAM",PR!$BD935,IF(K937="SEAGREEN",PR!$BE935,IF(K937="SKG",PR!$BF935,IF(K937="TAH",PR!$BG935,IF(K937="TAYLEK",PR!$BH935,IF(K937="TEMITA",PR!$BI935,IF(K937="THL",PR!$BJ935,IF(K937="UBASTIC",PR!$BK935,IF(K937="UNION",PR!$BL935,IF(K937="UNIQUE",PR!$BM935,IF(K937="VIXA",PR!$BN935,IF(K937="WWCV",PR!$BO935,IF(K937="ZOLON",PR!$BP935,"-")))))))))))))))))))))))))))))))))))))))))))))))))))))))))))))))))</f>
        <v>7800</v>
      </c>
    </row>
    <row r="938" spans="1:12" ht="18.75" x14ac:dyDescent="0.3">
      <c r="A938" s="430">
        <f>PR!A936</f>
        <v>0</v>
      </c>
      <c r="B938" s="15">
        <f>PR!B936</f>
        <v>0</v>
      </c>
      <c r="C938" s="113">
        <f>PR!D936</f>
        <v>0</v>
      </c>
      <c r="D938" s="113">
        <f>PR!C936</f>
        <v>0</v>
      </c>
      <c r="E938" s="108" t="str">
        <f>IF(F938="ALPHA",PR!$E936,IF(F938="ASSENE",PR!$F936,IF(F938="BIOFEM",PR!$G936,IF(F938="BIOMED",PR!$H936,IF(F938="CHI",PR!$I936,IF(F938="CLARION",PR!$J936,IF(F938="CODIX",PR!$K936,IF(F938="COSMADE",PR!$L936,IF(F938="SANCON",PR!$M936,IF(F938="DEVON",PR!$N936,IF(F938="DORTEMAG",PR!$O936,IF(F938="DGF",PR!$P936,IF(F938="DYNAMIC",PR!$Q936,IF(F938="EMZOR",PR!$R936,IF(F938="EUMATT",PR!$S936,IF(F938="FIDSON",PR!$T936,IF(F938="FCGLOBAL",PR!$U936,IF(F938="GENEITH",PR!$V936,IF(F938="GINOS",PR!$W936,IF(F938="GSK",PR!$X936,IF(F938="GLOBORG",PR!$Y936,IF(F938="GOODNEWS",PR!$Z936,IF(F938="GREENLIFE",PR!$AA936,IF(F938="HLINE",PR!$AB936,IF(F938="ROTECH",PR!$AC936,IF(F938="ISN",PR!$AD936,IF(F938="JAWA",PR!$AE936,IF(F938="LAYO",PR!$AF936,IF(F938="LEADWAY",PR!$AG936,IF(F938="LHV",PR!$AH936,IF(F938="MANOLA",PR!$AI936,IF(F938="MARCSON",PR!$AJ936,IF(F938="M&amp;B",PR!$AK936,IF(F938="MTRUST",PR!$AL936,IF(F938="MWORLD",PR!$AM936,IF(F938="MEGA",PR!$AN936,IF(F938="MICRONOVA",PR!$AO936,IF(F938="MFLASH",PR!$AP936,IF(F938="MORISON",PR!$AQ936,IF(F938="NEMEL",PR!$AR936,IF(F938="NHP",PR!$AS936,IF(F938="NHC",PR!$AT936,IF(F938="OLEAF",PR!$AU936,IF(F938="OCULUS",PR!$AV936,IF(F938="PACIFIC",PR!$AW936,IF(F938="PHAMATEX",PR!$AX936,IF(F938="PETHICS",PR!$AY936,IF(F938="PHILIPS",PR!$AZ936,IF(F938="RANBAXY",PR!$BA936,IF(F938="REALS",PR!$BB936,IF(F938="ROYAL",PR!$BC936,IF(F938="SAM",PR!$BD936,IF(F938="SEAGREEN",PR!$BE936,IF(F938="SKG",PR!$BF936,IF(F938="TAH",PR!$BG936,IF(F938="TAYLEK",PR!$BH936,IF(F938="TEMITA",PR!$BI936,IF(F938="THL",PR!$BJ936,IF(F938="UBASTIC",PR!$BK936,IF(F938="UNION",PR!$BL936,IF(F938="UNIQUE",PR!$BM936,IF(F938="VIXA",PR!$BN936,IF(F938="WWCV",PR!$BO936,IF(F938="ZOLON",PR!$BP936,"-"))))))))))))))))))))))))))))))))))))))))))))))))))))))))))))))))</f>
        <v>-</v>
      </c>
      <c r="F938" s="102"/>
      <c r="G938" s="108" t="str">
        <f>IF(H938="ALPHA",PR!$E936,IF(H938="ASSENE",PR!$F936,IF(H938="BIOFEM",PR!$G936,IF(H938="BIOMED",PR!$H936,IF(H938="CHI",PR!$I936,IF(H938="CLARION",PR!$J936,IF(H938="CODIX",PR!$K936,IF(H938="COSMADE",PR!$L936,IF(H938="SANCON",PR!$M936,IF(H938="DEVON",PR!$N936,IF(H938="DORTEMAG",PR!$O936,IF(H938="DGF",PR!$P936,IF(H938="DYNAMIC",PR!$Q936,IF(H938="EMZOR",PR!$R936,IF(H938="EUMATT",PR!$S936,IF(H938="FIDSON",PR!$T936,IF(H938="FCGLOBAL",PR!$U936,IF(H938="GENEITH",PR!$V936,IF(H938="GINOS",PR!$W936,IF(H938="GSK",PR!$X936,IF(H938="GLOBORG",PR!$Y936,IF(H938="GOODNEWS",PR!$Z936,IF(H938="GREENLIFE",PR!$AA936,IF(H938="HLINE",PR!$AB936,IF(H938="ROTECH",PR!$AC936,IF(H938="ISN",PR!$AD936,IF(H938="JAWA",PR!$AE936,IF(H938="LAYO",PR!$AF936,IF(H938="LEADWAY",PR!$AG936,IF(H938="LHV",PR!$AH936,IF(H938="MANOLA",PR!$AI936,IF(H938="MARCSON",PR!$AJ936,IF(H938="M&amp;B",PR!$AK936,IF(H938="MTRUST",PR!$AL936,IF(H938="MWORLD",PR!$AM936,IF(H938="MEGA",PR!$AN936,IF(H938="MICRONOVA",PR!$AO936,IF(H938="MFLASH",PR!$AP936,IF(H938="MORISON",PR!$AQ936,IF(H938="NEMEL",PR!$AR936,IF(H938="NHP",PR!$AS936,IF(H938="NHC",PR!$AT936,IF(H938="OLEAF",PR!$AU936,IF(H938="OCULUS",PR!$AV936,IF(H938="PACIFIC",PR!$AW936,IF(H938="PHAMATEX",PR!$AX936,IF(H938="PETHICS",PR!$AY936,IF(H938="PHILIPS",PR!$AZ936,IF(H938="RANBAXY",PR!$BA936,IF(H938="REALS",PR!$BB936,IF(H938="ROYAL",PR!$BC936,IF(H938="SAM",PR!$BD936,IF(H938="SEAGREEN",PR!$BE936,IF(H938="SKG",PR!$BF936,IF(H938="TAH",PR!$BG936,IF(H938="TAYLEK",PR!$BH936,IF(H938="TEMITA",PR!$BI936,IF(H938="THL",PR!$BJ936,IF(H938="UBASTIC",PR!$BK936,IF(H938="UNION",PR!$BL936,IF(H938="UNIQUE",PR!$BM936,IF(H938="VIXA",PR!$BN936,IF(H938="WWCV",PR!$BO936,IF(H938="ZOLON",PR!$BP936,"-"))))))))))))))))))))))))))))))))))))))))))))))))))))))))))))))))</f>
        <v>-</v>
      </c>
      <c r="H938" s="102"/>
      <c r="I938" s="108" t="str">
        <f>IF(J938="ALPHA",PR!$E936,IF(J938="ASSENE",PR!$F936,IF(J938="BIOFEM",PR!$G936,IF(J938="BIOMED",PR!$H936,IF(J938="CHI",PR!$I936,IF(J938="CLARION",PR!$J936,IF(J938="CODIX",PR!$K936,IF(J938="COSMADE",PR!$L936,IF(J938="SANCON",PR!$M936,IF(J938="DEVON",PR!$N936,IF(J938="DORTEMAG",PR!$O936,IF(J938="DGF",PR!$P936,IF(J938="DYNAMIC",PR!$Q936,IF(J938="EMZOR",PR!$R936,IF(J938="EUMATT",PR!$S936,IF(J938="FIDSON",PR!$T936,IF(J938="FCGLOBAL",PR!$U936,IF(J938="GENEITH",PR!$V936,IF(J938="GINOS",PR!$W936,IF(J938="GSK",PR!$X936,IF(J938="GLOBORG",PR!$Y936,IF(J938="GOODNEWS",PR!$Z936,IF(J938="GREENLIFE",PR!$AA936,IF(J938="HLINE",PR!$AB936,IF(J938="ROTECH",PR!$AC936,IF(J938="ISN",PR!$AD936,IF(J938="JAWA",PR!$AE936,IF(J938="LAYO",PR!$AF936,IF(J938="LEADWAY",PR!$AG936,IF(J938="LHV",PR!$AH936,IF(J938="MANOLA",PR!$AI936,IF(J938="MARCSON",PR!$AJ936,IF(J938="M&amp;B",PR!$AK936,IF(J938="MTRUST",PR!$AL936,IF(J938="MWORLD",PR!$AM936,IF(J938="MEGA",PR!$AN936,IF(J938="MICRONOVA",PR!$AO936,IF(J938="MFLASH",PR!$AP936,IF(J938="MORISON",PR!$AQ936,IF(J938="NEMEL",PR!$AR936,IF(J938="NHP",PR!$AS936,IF(J938="NHC",PR!$AT936,IF(J938="OLEAF",PR!$AU936,IF(J938="OCULUS",PR!$AV936,IF(J938="PACIFIC",PR!$AW936,IF(J938="PHAMATEX",PR!$AX936,IF(J938="PETHICS",PR!$AY936,IF(J938="PHILIPS",PR!$AZ936,IF(J938="RANBAXY",PR!$BA936,IF(J938="REALS",PR!$BB936,IF(J938="ROYAL",PR!$BC936,IF(J938="SAM",PR!$BD936,IF(J938="SEAGREEN",PR!$BE936,IF(J938="SKG",PR!$BF936,IF(J938="TAH",PR!$BG936,IF(J938="TAYLEK",PR!$BH936,IF(J938="TEMITA",PR!$BI936,IF(J938="THL",PR!$BJ936,IF(J938="UBASTIC",PR!$BK936,IF(J938="UNION",PR!$BL936,IF(J938="UNIQUE",PR!$BM936,IF(J938="VIXA",PR!$BN936,IF(J938="WWCV",PR!$BO936,IF(J938="ZOLON",PR!$BP936,"-"))))))))))))))))))))))))))))))))))))))))))))))))))))))))))))))))</f>
        <v>-</v>
      </c>
      <c r="J938" s="102"/>
      <c r="K938" s="433"/>
      <c r="L938" s="183" t="b">
        <f>IF(K938&gt;0,IF(K938="ALPHA",PR!$E936,IF(K938="ASSENE",PR!$F936,IF(K938="BIOFEM",PR!$G936,IF(K938="BIOMED",PR!$H936,IF(K938="CHI",PR!$I936,IF(K938="CLARION",PR!$J936,IF(K938="CODIX",PR!$K936,IF(K938="COSMADE",PR!$L936,IF(K938="SANCON",PR!$M936,IF(K938="DEVON",PR!$N936,IF(K938="DORTEMAG",PR!$O936,IF(K938="DGF",PR!$P936,IF(K938="DYNAMIC",PR!$Q936,IF(K938="EMZOR",PR!$R936,IF(K938="EUMATT",PR!$S936,IF(K938="FIDSON",PR!$T936,IF(K938="FCGLOBAL",PR!$U936,IF(K938="GENEITH",PR!$V936,IF(K938="GINOS",PR!$W936,IF(K938="GSK",PR!$X936,IF(K938="GLOBORG",PR!$Y936,IF(K938="GOODNEWS",PR!$Z936,IF(K938="GREENLIFE",PR!$AA936,IF(K938="HLINE",PR!$AB936,IF(K938="ROTECH",PR!$AC936,IF(K938="ISN",PR!$AD936,IF(K938="JAWA",PR!$AE936,IF(K938="LAYO",PR!$AF936,IF(K938="LEADWAY",PR!$AG936,IF(K938="LHV",PR!$AH936,IF(K938="MANOLA",PR!$AI936,IF(K938="MARCSON",PR!$AJ936,IF(K938="M&amp;B",PR!$AK936,IF(K938="MTRUST",PR!$AL936,IF(K938="MWORLD",PR!$AM936,IF(K938="MEGA",PR!$AN936,IF(K938="MICRONOVA",PR!$AO936,IF(K938="MFLASH",PR!$AP936,IF(K938="MORISON",PR!$AQ936,IF(K938="NEMEL",PR!$AR936,IF(K938="NHP",PR!$AS936,IF(K938="NHC",PR!$AT936,IF(K938="OLEAF",PR!$AU936,IF(K938="OCULUS",PR!$AV936,IF(K938="PACIFIC",PR!$AW936,IF(K938="PHAMATEX",PR!$AX936,IF(K938="PETHICS",PR!$AY936,IF(K938="PHILIPS",PR!$AZ936,IF(K938="RANBAXY",PR!$BA936,IF(K938="REALS",PR!$BB936,IF(K938="ROYAL",PR!$BC936,IF(K938="SAM",PR!$BD936,IF(K938="SEAGREEN",PR!$BE936,IF(K938="SKG",PR!$BF936,IF(K938="TAH",PR!$BG936,IF(K938="TAYLEK",PR!$BH936,IF(K938="TEMITA",PR!$BI936,IF(K938="THL",PR!$BJ936,IF(K938="UBASTIC",PR!$BK936,IF(K938="UNION",PR!$BL936,IF(K938="UNIQUE",PR!$BM936,IF(K938="VIXA",PR!$BN936,IF(K938="WWCV",PR!$BO936,IF(K938="ZOLON",PR!$BP936,"-")))))))))))))))))))))))))))))))))))))))))))))))))))))))))))))))))</f>
        <v>0</v>
      </c>
    </row>
    <row r="939" spans="1:12" ht="18.75" x14ac:dyDescent="0.3">
      <c r="A939" s="430">
        <f>PR!A937</f>
        <v>0</v>
      </c>
      <c r="B939" s="15">
        <f>PR!B937</f>
        <v>0</v>
      </c>
      <c r="C939" s="113">
        <f>PR!D937</f>
        <v>0</v>
      </c>
      <c r="D939" s="113">
        <f>PR!C937</f>
        <v>0</v>
      </c>
      <c r="E939" s="108" t="str">
        <f>IF(F939="ALPHA",PR!$E937,IF(F939="ASSENE",PR!$F937,IF(F939="BIOFEM",PR!$G937,IF(F939="BIOMED",PR!$H937,IF(F939="CHI",PR!$I937,IF(F939="CLARION",PR!$J937,IF(F939="CODIX",PR!$K937,IF(F939="COSMADE",PR!$L937,IF(F939="SANCON",PR!$M937,IF(F939="DEVON",PR!$N937,IF(F939="DORTEMAG",PR!$O937,IF(F939="DGF",PR!$P937,IF(F939="DYNAMIC",PR!$Q937,IF(F939="EMZOR",PR!$R937,IF(F939="EUMATT",PR!$S937,IF(F939="FIDSON",PR!$T937,IF(F939="FCGLOBAL",PR!$U937,IF(F939="GENEITH",PR!$V937,IF(F939="GINOS",PR!$W937,IF(F939="GSK",PR!$X937,IF(F939="GLOBORG",PR!$Y937,IF(F939="GOODNEWS",PR!$Z937,IF(F939="GREENLIFE",PR!$AA937,IF(F939="HLINE",PR!$AB937,IF(F939="ROTECH",PR!$AC937,IF(F939="ISN",PR!$AD937,IF(F939="JAWA",PR!$AE937,IF(F939="LAYO",PR!$AF937,IF(F939="LEADWAY",PR!$AG937,IF(F939="LHV",PR!$AH937,IF(F939="MANOLA",PR!$AI937,IF(F939="MARCSON",PR!$AJ937,IF(F939="M&amp;B",PR!$AK937,IF(F939="MTRUST",PR!$AL937,IF(F939="MWORLD",PR!$AM937,IF(F939="MEGA",PR!$AN937,IF(F939="MICRONOVA",PR!$AO937,IF(F939="MFLASH",PR!$AP937,IF(F939="MORISON",PR!$AQ937,IF(F939="NEMEL",PR!$AR937,IF(F939="NHP",PR!$AS937,IF(F939="NHC",PR!$AT937,IF(F939="OLEAF",PR!$AU937,IF(F939="OCULUS",PR!$AV937,IF(F939="PACIFIC",PR!$AW937,IF(F939="PHAMATEX",PR!$AX937,IF(F939="PETHICS",PR!$AY937,IF(F939="PHILIPS",PR!$AZ937,IF(F939="RANBAXY",PR!$BA937,IF(F939="REALS",PR!$BB937,IF(F939="ROYAL",PR!$BC937,IF(F939="SAM",PR!$BD937,IF(F939="SEAGREEN",PR!$BE937,IF(F939="SKG",PR!$BF937,IF(F939="TAH",PR!$BG937,IF(F939="TAYLEK",PR!$BH937,IF(F939="TEMITA",PR!$BI937,IF(F939="THL",PR!$BJ937,IF(F939="UBASTIC",PR!$BK937,IF(F939="UNION",PR!$BL937,IF(F939="UNIQUE",PR!$BM937,IF(F939="VIXA",PR!$BN937,IF(F939="WWCV",PR!$BO937,IF(F939="ZOLON",PR!$BP937,"-"))))))))))))))))))))))))))))))))))))))))))))))))))))))))))))))))</f>
        <v>-</v>
      </c>
      <c r="F939" s="102"/>
      <c r="G939" s="108" t="str">
        <f>IF(H939="ALPHA",PR!$E937,IF(H939="ASSENE",PR!$F937,IF(H939="BIOFEM",PR!$G937,IF(H939="BIOMED",PR!$H937,IF(H939="CHI",PR!$I937,IF(H939="CLARION",PR!$J937,IF(H939="CODIX",PR!$K937,IF(H939="COSMADE",PR!$L937,IF(H939="SANCON",PR!$M937,IF(H939="DEVON",PR!$N937,IF(H939="DORTEMAG",PR!$O937,IF(H939="DGF",PR!$P937,IF(H939="DYNAMIC",PR!$Q937,IF(H939="EMZOR",PR!$R937,IF(H939="EUMATT",PR!$S937,IF(H939="FIDSON",PR!$T937,IF(H939="FCGLOBAL",PR!$U937,IF(H939="GENEITH",PR!$V937,IF(H939="GINOS",PR!$W937,IF(H939="GSK",PR!$X937,IF(H939="GLOBORG",PR!$Y937,IF(H939="GOODNEWS",PR!$Z937,IF(H939="GREENLIFE",PR!$AA937,IF(H939="HLINE",PR!$AB937,IF(H939="ROTECH",PR!$AC937,IF(H939="ISN",PR!$AD937,IF(H939="JAWA",PR!$AE937,IF(H939="LAYO",PR!$AF937,IF(H939="LEADWAY",PR!$AG937,IF(H939="LHV",PR!$AH937,IF(H939="MANOLA",PR!$AI937,IF(H939="MARCSON",PR!$AJ937,IF(H939="M&amp;B",PR!$AK937,IF(H939="MTRUST",PR!$AL937,IF(H939="MWORLD",PR!$AM937,IF(H939="MEGA",PR!$AN937,IF(H939="MICRONOVA",PR!$AO937,IF(H939="MFLASH",PR!$AP937,IF(H939="MORISON",PR!$AQ937,IF(H939="NEMEL",PR!$AR937,IF(H939="NHP",PR!$AS937,IF(H939="NHC",PR!$AT937,IF(H939="OLEAF",PR!$AU937,IF(H939="OCULUS",PR!$AV937,IF(H939="PACIFIC",PR!$AW937,IF(H939="PHAMATEX",PR!$AX937,IF(H939="PETHICS",PR!$AY937,IF(H939="PHILIPS",PR!$AZ937,IF(H939="RANBAXY",PR!$BA937,IF(H939="REALS",PR!$BB937,IF(H939="ROYAL",PR!$BC937,IF(H939="SAM",PR!$BD937,IF(H939="SEAGREEN",PR!$BE937,IF(H939="SKG",PR!$BF937,IF(H939="TAH",PR!$BG937,IF(H939="TAYLEK",PR!$BH937,IF(H939="TEMITA",PR!$BI937,IF(H939="THL",PR!$BJ937,IF(H939="UBASTIC",PR!$BK937,IF(H939="UNION",PR!$BL937,IF(H939="UNIQUE",PR!$BM937,IF(H939="VIXA",PR!$BN937,IF(H939="WWCV",PR!$BO937,IF(H939="ZOLON",PR!$BP937,"-"))))))))))))))))))))))))))))))))))))))))))))))))))))))))))))))))</f>
        <v>-</v>
      </c>
      <c r="H939" s="102"/>
      <c r="I939" s="108" t="str">
        <f>IF(J939="ALPHA",PR!$E937,IF(J939="ASSENE",PR!$F937,IF(J939="BIOFEM",PR!$G937,IF(J939="BIOMED",PR!$H937,IF(J939="CHI",PR!$I937,IF(J939="CLARION",PR!$J937,IF(J939="CODIX",PR!$K937,IF(J939="COSMADE",PR!$L937,IF(J939="SANCON",PR!$M937,IF(J939="DEVON",PR!$N937,IF(J939="DORTEMAG",PR!$O937,IF(J939="DGF",PR!$P937,IF(J939="DYNAMIC",PR!$Q937,IF(J939="EMZOR",PR!$R937,IF(J939="EUMATT",PR!$S937,IF(J939="FIDSON",PR!$T937,IF(J939="FCGLOBAL",PR!$U937,IF(J939="GENEITH",PR!$V937,IF(J939="GINOS",PR!$W937,IF(J939="GSK",PR!$X937,IF(J939="GLOBORG",PR!$Y937,IF(J939="GOODNEWS",PR!$Z937,IF(J939="GREENLIFE",PR!$AA937,IF(J939="HLINE",PR!$AB937,IF(J939="ROTECH",PR!$AC937,IF(J939="ISN",PR!$AD937,IF(J939="JAWA",PR!$AE937,IF(J939="LAYO",PR!$AF937,IF(J939="LEADWAY",PR!$AG937,IF(J939="LHV",PR!$AH937,IF(J939="MANOLA",PR!$AI937,IF(J939="MARCSON",PR!$AJ937,IF(J939="M&amp;B",PR!$AK937,IF(J939="MTRUST",PR!$AL937,IF(J939="MWORLD",PR!$AM937,IF(J939="MEGA",PR!$AN937,IF(J939="MICRONOVA",PR!$AO937,IF(J939="MFLASH",PR!$AP937,IF(J939="MORISON",PR!$AQ937,IF(J939="NEMEL",PR!$AR937,IF(J939="NHP",PR!$AS937,IF(J939="NHC",PR!$AT937,IF(J939="OLEAF",PR!$AU937,IF(J939="OCULUS",PR!$AV937,IF(J939="PACIFIC",PR!$AW937,IF(J939="PHAMATEX",PR!$AX937,IF(J939="PETHICS",PR!$AY937,IF(J939="PHILIPS",PR!$AZ937,IF(J939="RANBAXY",PR!$BA937,IF(J939="REALS",PR!$BB937,IF(J939="ROYAL",PR!$BC937,IF(J939="SAM",PR!$BD937,IF(J939="SEAGREEN",PR!$BE937,IF(J939="SKG",PR!$BF937,IF(J939="TAH",PR!$BG937,IF(J939="TAYLEK",PR!$BH937,IF(J939="TEMITA",PR!$BI937,IF(J939="THL",PR!$BJ937,IF(J939="UBASTIC",PR!$BK937,IF(J939="UNION",PR!$BL937,IF(J939="UNIQUE",PR!$BM937,IF(J939="VIXA",PR!$BN937,IF(J939="WWCV",PR!$BO937,IF(J939="ZOLON",PR!$BP937,"-"))))))))))))))))))))))))))))))))))))))))))))))))))))))))))))))))</f>
        <v>-</v>
      </c>
      <c r="J939" s="102"/>
      <c r="K939" s="433"/>
      <c r="L939" s="183" t="b">
        <f>IF(K939&gt;0,IF(K939="ALPHA",PR!$E937,IF(K939="ASSENE",PR!$F937,IF(K939="BIOFEM",PR!$G937,IF(K939="BIOMED",PR!$H937,IF(K939="CHI",PR!$I937,IF(K939="CLARION",PR!$J937,IF(K939="CODIX",PR!$K937,IF(K939="COSMADE",PR!$L937,IF(K939="SANCON",PR!$M937,IF(K939="DEVON",PR!$N937,IF(K939="DORTEMAG",PR!$O937,IF(K939="DGF",PR!$P937,IF(K939="DYNAMIC",PR!$Q937,IF(K939="EMZOR",PR!$R937,IF(K939="EUMATT",PR!$S937,IF(K939="FIDSON",PR!$T937,IF(K939="FCGLOBAL",PR!$U937,IF(K939="GENEITH",PR!$V937,IF(K939="GINOS",PR!$W937,IF(K939="GSK",PR!$X937,IF(K939="GLOBORG",PR!$Y937,IF(K939="GOODNEWS",PR!$Z937,IF(K939="GREENLIFE",PR!$AA937,IF(K939="HLINE",PR!$AB937,IF(K939="ROTECH",PR!$AC937,IF(K939="ISN",PR!$AD937,IF(K939="JAWA",PR!$AE937,IF(K939="LAYO",PR!$AF937,IF(K939="LEADWAY",PR!$AG937,IF(K939="LHV",PR!$AH937,IF(K939="MANOLA",PR!$AI937,IF(K939="MARCSON",PR!$AJ937,IF(K939="M&amp;B",PR!$AK937,IF(K939="MTRUST",PR!$AL937,IF(K939="MWORLD",PR!$AM937,IF(K939="MEGA",PR!$AN937,IF(K939="MICRONOVA",PR!$AO937,IF(K939="MFLASH",PR!$AP937,IF(K939="MORISON",PR!$AQ937,IF(K939="NEMEL",PR!$AR937,IF(K939="NHP",PR!$AS937,IF(K939="NHC",PR!$AT937,IF(K939="OLEAF",PR!$AU937,IF(K939="OCULUS",PR!$AV937,IF(K939="PACIFIC",PR!$AW937,IF(K939="PHAMATEX",PR!$AX937,IF(K939="PETHICS",PR!$AY937,IF(K939="PHILIPS",PR!$AZ937,IF(K939="RANBAXY",PR!$BA937,IF(K939="REALS",PR!$BB937,IF(K939="ROYAL",PR!$BC937,IF(K939="SAM",PR!$BD937,IF(K939="SEAGREEN",PR!$BE937,IF(K939="SKG",PR!$BF937,IF(K939="TAH",PR!$BG937,IF(K939="TAYLEK",PR!$BH937,IF(K939="TEMITA",PR!$BI937,IF(K939="THL",PR!$BJ937,IF(K939="UBASTIC",PR!$BK937,IF(K939="UNION",PR!$BL937,IF(K939="UNIQUE",PR!$BM937,IF(K939="VIXA",PR!$BN937,IF(K939="WWCV",PR!$BO937,IF(K939="ZOLON",PR!$BP937,"-")))))))))))))))))))))))))))))))))))))))))))))))))))))))))))))))))</f>
        <v>0</v>
      </c>
    </row>
    <row r="940" spans="1:12" ht="18.75" x14ac:dyDescent="0.3">
      <c r="A940" s="430">
        <f>PR!A938</f>
        <v>0</v>
      </c>
      <c r="B940" s="15">
        <f>PR!B938</f>
        <v>0</v>
      </c>
      <c r="C940" s="113">
        <f>PR!D938</f>
        <v>0</v>
      </c>
      <c r="D940" s="113">
        <f>PR!C938</f>
        <v>0</v>
      </c>
      <c r="E940" s="108" t="str">
        <f>IF(F940="ALPHA",PR!$E938,IF(F940="ASSENE",PR!$F938,IF(F940="BIOFEM",PR!$G938,IF(F940="BIOMED",PR!$H938,IF(F940="CHI",PR!$I938,IF(F940="CLARION",PR!$J938,IF(F940="CODIX",PR!$K938,IF(F940="COSMADE",PR!$L938,IF(F940="SANCON",PR!$M938,IF(F940="DEVON",PR!$N938,IF(F940="DORTEMAG",PR!$O938,IF(F940="DGF",PR!$P938,IF(F940="DYNAMIC",PR!$Q938,IF(F940="EMZOR",PR!$R938,IF(F940="EUMATT",PR!$S938,IF(F940="FIDSON",PR!$T938,IF(F940="FCGLOBAL",PR!$U938,IF(F940="GENEITH",PR!$V938,IF(F940="GINOS",PR!$W938,IF(F940="GSK",PR!$X938,IF(F940="GLOBORG",PR!$Y938,IF(F940="GOODNEWS",PR!$Z938,IF(F940="GREENLIFE",PR!$AA938,IF(F940="HLINE",PR!$AB938,IF(F940="ROTECH",PR!$AC938,IF(F940="ISN",PR!$AD938,IF(F940="JAWA",PR!$AE938,IF(F940="LAYO",PR!$AF938,IF(F940="LEADWAY",PR!$AG938,IF(F940="LHV",PR!$AH938,IF(F940="MANOLA",PR!$AI938,IF(F940="MARCSON",PR!$AJ938,IF(F940="M&amp;B",PR!$AK938,IF(F940="MTRUST",PR!$AL938,IF(F940="MWORLD",PR!$AM938,IF(F940="MEGA",PR!$AN938,IF(F940="MICRONOVA",PR!$AO938,IF(F940="MFLASH",PR!$AP938,IF(F940="MORISON",PR!$AQ938,IF(F940="NEMEL",PR!$AR938,IF(F940="NHP",PR!$AS938,IF(F940="NHC",PR!$AT938,IF(F940="OLEAF",PR!$AU938,IF(F940="OCULUS",PR!$AV938,IF(F940="PACIFIC",PR!$AW938,IF(F940="PHAMATEX",PR!$AX938,IF(F940="PETHICS",PR!$AY938,IF(F940="PHILIPS",PR!$AZ938,IF(F940="RANBAXY",PR!$BA938,IF(F940="REALS",PR!$BB938,IF(F940="ROYAL",PR!$BC938,IF(F940="SAM",PR!$BD938,IF(F940="SEAGREEN",PR!$BE938,IF(F940="SKG",PR!$BF938,IF(F940="TAH",PR!$BG938,IF(F940="TAYLEK",PR!$BH938,IF(F940="TEMITA",PR!$BI938,IF(F940="THL",PR!$BJ938,IF(F940="UBASTIC",PR!$BK938,IF(F940="UNION",PR!$BL938,IF(F940="UNIQUE",PR!$BM938,IF(F940="VIXA",PR!$BN938,IF(F940="WWCV",PR!$BO938,IF(F940="ZOLON",PR!$BP938,"-"))))))))))))))))))))))))))))))))))))))))))))))))))))))))))))))))</f>
        <v>-</v>
      </c>
      <c r="F940" s="102"/>
      <c r="G940" s="108" t="str">
        <f>IF(H940="ALPHA",PR!$E938,IF(H940="ASSENE",PR!$F938,IF(H940="BIOFEM",PR!$G938,IF(H940="BIOMED",PR!$H938,IF(H940="CHI",PR!$I938,IF(H940="CLARION",PR!$J938,IF(H940="CODIX",PR!$K938,IF(H940="COSMADE",PR!$L938,IF(H940="SANCON",PR!$M938,IF(H940="DEVON",PR!$N938,IF(H940="DORTEMAG",PR!$O938,IF(H940="DGF",PR!$P938,IF(H940="DYNAMIC",PR!$Q938,IF(H940="EMZOR",PR!$R938,IF(H940="EUMATT",PR!$S938,IF(H940="FIDSON",PR!$T938,IF(H940="FCGLOBAL",PR!$U938,IF(H940="GENEITH",PR!$V938,IF(H940="GINOS",PR!$W938,IF(H940="GSK",PR!$X938,IF(H940="GLOBORG",PR!$Y938,IF(H940="GOODNEWS",PR!$Z938,IF(H940="GREENLIFE",PR!$AA938,IF(H940="HLINE",PR!$AB938,IF(H940="ROTECH",PR!$AC938,IF(H940="ISN",PR!$AD938,IF(H940="JAWA",PR!$AE938,IF(H940="LAYO",PR!$AF938,IF(H940="LEADWAY",PR!$AG938,IF(H940="LHV",PR!$AH938,IF(H940="MANOLA",PR!$AI938,IF(H940="MARCSON",PR!$AJ938,IF(H940="M&amp;B",PR!$AK938,IF(H940="MTRUST",PR!$AL938,IF(H940="MWORLD",PR!$AM938,IF(H940="MEGA",PR!$AN938,IF(H940="MICRONOVA",PR!$AO938,IF(H940="MFLASH",PR!$AP938,IF(H940="MORISON",PR!$AQ938,IF(H940="NEMEL",PR!$AR938,IF(H940="NHP",PR!$AS938,IF(H940="NHC",PR!$AT938,IF(H940="OLEAF",PR!$AU938,IF(H940="OCULUS",PR!$AV938,IF(H940="PACIFIC",PR!$AW938,IF(H940="PHAMATEX",PR!$AX938,IF(H940="PETHICS",PR!$AY938,IF(H940="PHILIPS",PR!$AZ938,IF(H940="RANBAXY",PR!$BA938,IF(H940="REALS",PR!$BB938,IF(H940="ROYAL",PR!$BC938,IF(H940="SAM",PR!$BD938,IF(H940="SEAGREEN",PR!$BE938,IF(H940="SKG",PR!$BF938,IF(H940="TAH",PR!$BG938,IF(H940="TAYLEK",PR!$BH938,IF(H940="TEMITA",PR!$BI938,IF(H940="THL",PR!$BJ938,IF(H940="UBASTIC",PR!$BK938,IF(H940="UNION",PR!$BL938,IF(H940="UNIQUE",PR!$BM938,IF(H940="VIXA",PR!$BN938,IF(H940="WWCV",PR!$BO938,IF(H940="ZOLON",PR!$BP938,"-"))))))))))))))))))))))))))))))))))))))))))))))))))))))))))))))))</f>
        <v>-</v>
      </c>
      <c r="H940" s="102"/>
      <c r="I940" s="108" t="str">
        <f>IF(J940="ALPHA",PR!$E938,IF(J940="ASSENE",PR!$F938,IF(J940="BIOFEM",PR!$G938,IF(J940="BIOMED",PR!$H938,IF(J940="CHI",PR!$I938,IF(J940="CLARION",PR!$J938,IF(J940="CODIX",PR!$K938,IF(J940="COSMADE",PR!$L938,IF(J940="SANCON",PR!$M938,IF(J940="DEVON",PR!$N938,IF(J940="DORTEMAG",PR!$O938,IF(J940="DGF",PR!$P938,IF(J940="DYNAMIC",PR!$Q938,IF(J940="EMZOR",PR!$R938,IF(J940="EUMATT",PR!$S938,IF(J940="FIDSON",PR!$T938,IF(J940="FCGLOBAL",PR!$U938,IF(J940="GENEITH",PR!$V938,IF(J940="GINOS",PR!$W938,IF(J940="GSK",PR!$X938,IF(J940="GLOBORG",PR!$Y938,IF(J940="GOODNEWS",PR!$Z938,IF(J940="GREENLIFE",PR!$AA938,IF(J940="HLINE",PR!$AB938,IF(J940="ROTECH",PR!$AC938,IF(J940="ISN",PR!$AD938,IF(J940="JAWA",PR!$AE938,IF(J940="LAYO",PR!$AF938,IF(J940="LEADWAY",PR!$AG938,IF(J940="LHV",PR!$AH938,IF(J940="MANOLA",PR!$AI938,IF(J940="MARCSON",PR!$AJ938,IF(J940="M&amp;B",PR!$AK938,IF(J940="MTRUST",PR!$AL938,IF(J940="MWORLD",PR!$AM938,IF(J940="MEGA",PR!$AN938,IF(J940="MICRONOVA",PR!$AO938,IF(J940="MFLASH",PR!$AP938,IF(J940="MORISON",PR!$AQ938,IF(J940="NEMEL",PR!$AR938,IF(J940="NHP",PR!$AS938,IF(J940="NHC",PR!$AT938,IF(J940="OLEAF",PR!$AU938,IF(J940="OCULUS",PR!$AV938,IF(J940="PACIFIC",PR!$AW938,IF(J940="PHAMATEX",PR!$AX938,IF(J940="PETHICS",PR!$AY938,IF(J940="PHILIPS",PR!$AZ938,IF(J940="RANBAXY",PR!$BA938,IF(J940="REALS",PR!$BB938,IF(J940="ROYAL",PR!$BC938,IF(J940="SAM",PR!$BD938,IF(J940="SEAGREEN",PR!$BE938,IF(J940="SKG",PR!$BF938,IF(J940="TAH",PR!$BG938,IF(J940="TAYLEK",PR!$BH938,IF(J940="TEMITA",PR!$BI938,IF(J940="THL",PR!$BJ938,IF(J940="UBASTIC",PR!$BK938,IF(J940="UNION",PR!$BL938,IF(J940="UNIQUE",PR!$BM938,IF(J940="VIXA",PR!$BN938,IF(J940="WWCV",PR!$BO938,IF(J940="ZOLON",PR!$BP938,"-"))))))))))))))))))))))))))))))))))))))))))))))))))))))))))))))))</f>
        <v>-</v>
      </c>
      <c r="J940" s="102"/>
      <c r="K940" s="433"/>
      <c r="L940" s="183" t="b">
        <f>IF(K940&gt;0,IF(K940="ALPHA",PR!$E938,IF(K940="ASSENE",PR!$F938,IF(K940="BIOFEM",PR!$G938,IF(K940="BIOMED",PR!$H938,IF(K940="CHI",PR!$I938,IF(K940="CLARION",PR!$J938,IF(K940="CODIX",PR!$K938,IF(K940="COSMADE",PR!$L938,IF(K940="SANCON",PR!$M938,IF(K940="DEVON",PR!$N938,IF(K940="DORTEMAG",PR!$O938,IF(K940="DGF",PR!$P938,IF(K940="DYNAMIC",PR!$Q938,IF(K940="EMZOR",PR!$R938,IF(K940="EUMATT",PR!$S938,IF(K940="FIDSON",PR!$T938,IF(K940="FCGLOBAL",PR!$U938,IF(K940="GENEITH",PR!$V938,IF(K940="GINOS",PR!$W938,IF(K940="GSK",PR!$X938,IF(K940="GLOBORG",PR!$Y938,IF(K940="GOODNEWS",PR!$Z938,IF(K940="GREENLIFE",PR!$AA938,IF(K940="HLINE",PR!$AB938,IF(K940="ROTECH",PR!$AC938,IF(K940="ISN",PR!$AD938,IF(K940="JAWA",PR!$AE938,IF(K940="LAYO",PR!$AF938,IF(K940="LEADWAY",PR!$AG938,IF(K940="LHV",PR!$AH938,IF(K940="MANOLA",PR!$AI938,IF(K940="MARCSON",PR!$AJ938,IF(K940="M&amp;B",PR!$AK938,IF(K940="MTRUST",PR!$AL938,IF(K940="MWORLD",PR!$AM938,IF(K940="MEGA",PR!$AN938,IF(K940="MICRONOVA",PR!$AO938,IF(K940="MFLASH",PR!$AP938,IF(K940="MORISON",PR!$AQ938,IF(K940="NEMEL",PR!$AR938,IF(K940="NHP",PR!$AS938,IF(K940="NHC",PR!$AT938,IF(K940="OLEAF",PR!$AU938,IF(K940="OCULUS",PR!$AV938,IF(K940="PACIFIC",PR!$AW938,IF(K940="PHAMATEX",PR!$AX938,IF(K940="PETHICS",PR!$AY938,IF(K940="PHILIPS",PR!$AZ938,IF(K940="RANBAXY",PR!$BA938,IF(K940="REALS",PR!$BB938,IF(K940="ROYAL",PR!$BC938,IF(K940="SAM",PR!$BD938,IF(K940="SEAGREEN",PR!$BE938,IF(K940="SKG",PR!$BF938,IF(K940="TAH",PR!$BG938,IF(K940="TAYLEK",PR!$BH938,IF(K940="TEMITA",PR!$BI938,IF(K940="THL",PR!$BJ938,IF(K940="UBASTIC",PR!$BK938,IF(K940="UNION",PR!$BL938,IF(K940="UNIQUE",PR!$BM938,IF(K940="VIXA",PR!$BN938,IF(K940="WWCV",PR!$BO938,IF(K940="ZOLON",PR!$BP938,"-")))))))))))))))))))))))))))))))))))))))))))))))))))))))))))))))))</f>
        <v>0</v>
      </c>
    </row>
    <row r="941" spans="1:12" ht="18.75" x14ac:dyDescent="0.3">
      <c r="A941" s="430">
        <f>PR!A939</f>
        <v>0</v>
      </c>
      <c r="B941" s="15">
        <f>PR!B939</f>
        <v>0</v>
      </c>
      <c r="C941" s="113">
        <f>PR!D939</f>
        <v>0</v>
      </c>
      <c r="D941" s="113">
        <f>PR!C939</f>
        <v>0</v>
      </c>
      <c r="E941" s="108" t="str">
        <f>IF(F941="ALPHA",PR!$E939,IF(F941="ASSENE",PR!$F939,IF(F941="BIOFEM",PR!$G939,IF(F941="BIOMED",PR!$H939,IF(F941="CHI",PR!$I939,IF(F941="CLARION",PR!$J939,IF(F941="CODIX",PR!$K939,IF(F941="COSMADE",PR!$L939,IF(F941="SANCON",PR!$M939,IF(F941="DEVON",PR!$N939,IF(F941="DORTEMAG",PR!$O939,IF(F941="DGF",PR!$P939,IF(F941="DYNAMIC",PR!$Q939,IF(F941="EMZOR",PR!$R939,IF(F941="EUMATT",PR!$S939,IF(F941="FIDSON",PR!$T939,IF(F941="FCGLOBAL",PR!$U939,IF(F941="GENEITH",PR!$V939,IF(F941="GINOS",PR!$W939,IF(F941="GSK",PR!$X939,IF(F941="GLOBORG",PR!$Y939,IF(F941="GOODNEWS",PR!$Z939,IF(F941="GREENLIFE",PR!$AA939,IF(F941="HLINE",PR!$AB939,IF(F941="ROTECH",PR!$AC939,IF(F941="ISN",PR!$AD939,IF(F941="JAWA",PR!$AE939,IF(F941="LAYO",PR!$AF939,IF(F941="LEADWAY",PR!$AG939,IF(F941="LHV",PR!$AH939,IF(F941="MANOLA",PR!$AI939,IF(F941="MARCSON",PR!$AJ939,IF(F941="M&amp;B",PR!$AK939,IF(F941="MTRUST",PR!$AL939,IF(F941="MWORLD",PR!$AM939,IF(F941="MEGA",PR!$AN939,IF(F941="MICRONOVA",PR!$AO939,IF(F941="MFLASH",PR!$AP939,IF(F941="MORISON",PR!$AQ939,IF(F941="NEMEL",PR!$AR939,IF(F941="NHP",PR!$AS939,IF(F941="NHC",PR!$AT939,IF(F941="OLEAF",PR!$AU939,IF(F941="OCULUS",PR!$AV939,IF(F941="PACIFIC",PR!$AW939,IF(F941="PHAMATEX",PR!$AX939,IF(F941="PETHICS",PR!$AY939,IF(F941="PHILIPS",PR!$AZ939,IF(F941="RANBAXY",PR!$BA939,IF(F941="REALS",PR!$BB939,IF(F941="ROYAL",PR!$BC939,IF(F941="SAM",PR!$BD939,IF(F941="SEAGREEN",PR!$BE939,IF(F941="SKG",PR!$BF939,IF(F941="TAH",PR!$BG939,IF(F941="TAYLEK",PR!$BH939,IF(F941="TEMITA",PR!$BI939,IF(F941="THL",PR!$BJ939,IF(F941="UBASTIC",PR!$BK939,IF(F941="UNION",PR!$BL939,IF(F941="UNIQUE",PR!$BM939,IF(F941="VIXA",PR!$BN939,IF(F941="WWCV",PR!$BO939,IF(F941="ZOLON",PR!$BP939,"-"))))))))))))))))))))))))))))))))))))))))))))))))))))))))))))))))</f>
        <v>-</v>
      </c>
      <c r="F941" s="102"/>
      <c r="G941" s="108" t="str">
        <f>IF(H941="ALPHA",PR!$E939,IF(H941="ASSENE",PR!$F939,IF(H941="BIOFEM",PR!$G939,IF(H941="BIOMED",PR!$H939,IF(H941="CHI",PR!$I939,IF(H941="CLARION",PR!$J939,IF(H941="CODIX",PR!$K939,IF(H941="COSMADE",PR!$L939,IF(H941="SANCON",PR!$M939,IF(H941="DEVON",PR!$N939,IF(H941="DORTEMAG",PR!$O939,IF(H941="DGF",PR!$P939,IF(H941="DYNAMIC",PR!$Q939,IF(H941="EMZOR",PR!$R939,IF(H941="EUMATT",PR!$S939,IF(H941="FIDSON",PR!$T939,IF(H941="FCGLOBAL",PR!$U939,IF(H941="GENEITH",PR!$V939,IF(H941="GINOS",PR!$W939,IF(H941="GSK",PR!$X939,IF(H941="GLOBORG",PR!$Y939,IF(H941="GOODNEWS",PR!$Z939,IF(H941="GREENLIFE",PR!$AA939,IF(H941="HLINE",PR!$AB939,IF(H941="ROTECH",PR!$AC939,IF(H941="ISN",PR!$AD939,IF(H941="JAWA",PR!$AE939,IF(H941="LAYO",PR!$AF939,IF(H941="LEADWAY",PR!$AG939,IF(H941="LHV",PR!$AH939,IF(H941="MANOLA",PR!$AI939,IF(H941="MARCSON",PR!$AJ939,IF(H941="M&amp;B",PR!$AK939,IF(H941="MTRUST",PR!$AL939,IF(H941="MWORLD",PR!$AM939,IF(H941="MEGA",PR!$AN939,IF(H941="MICRONOVA",PR!$AO939,IF(H941="MFLASH",PR!$AP939,IF(H941="MORISON",PR!$AQ939,IF(H941="NEMEL",PR!$AR939,IF(H941="NHP",PR!$AS939,IF(H941="NHC",PR!$AT939,IF(H941="OLEAF",PR!$AU939,IF(H941="OCULUS",PR!$AV939,IF(H941="PACIFIC",PR!$AW939,IF(H941="PHAMATEX",PR!$AX939,IF(H941="PETHICS",PR!$AY939,IF(H941="PHILIPS",PR!$AZ939,IF(H941="RANBAXY",PR!$BA939,IF(H941="REALS",PR!$BB939,IF(H941="ROYAL",PR!$BC939,IF(H941="SAM",PR!$BD939,IF(H941="SEAGREEN",PR!$BE939,IF(H941="SKG",PR!$BF939,IF(H941="TAH",PR!$BG939,IF(H941="TAYLEK",PR!$BH939,IF(H941="TEMITA",PR!$BI939,IF(H941="THL",PR!$BJ939,IF(H941="UBASTIC",PR!$BK939,IF(H941="UNION",PR!$BL939,IF(H941="UNIQUE",PR!$BM939,IF(H941="VIXA",PR!$BN939,IF(H941="WWCV",PR!$BO939,IF(H941="ZOLON",PR!$BP939,"-"))))))))))))))))))))))))))))))))))))))))))))))))))))))))))))))))</f>
        <v>-</v>
      </c>
      <c r="H941" s="102"/>
      <c r="I941" s="108" t="str">
        <f>IF(J941="ALPHA",PR!$E939,IF(J941="ASSENE",PR!$F939,IF(J941="BIOFEM",PR!$G939,IF(J941="BIOMED",PR!$H939,IF(J941="CHI",PR!$I939,IF(J941="CLARION",PR!$J939,IF(J941="CODIX",PR!$K939,IF(J941="COSMADE",PR!$L939,IF(J941="SANCON",PR!$M939,IF(J941="DEVON",PR!$N939,IF(J941="DORTEMAG",PR!$O939,IF(J941="DGF",PR!$P939,IF(J941="DYNAMIC",PR!$Q939,IF(J941="EMZOR",PR!$R939,IF(J941="EUMATT",PR!$S939,IF(J941="FIDSON",PR!$T939,IF(J941="FCGLOBAL",PR!$U939,IF(J941="GENEITH",PR!$V939,IF(J941="GINOS",PR!$W939,IF(J941="GSK",PR!$X939,IF(J941="GLOBORG",PR!$Y939,IF(J941="GOODNEWS",PR!$Z939,IF(J941="GREENLIFE",PR!$AA939,IF(J941="HLINE",PR!$AB939,IF(J941="ROTECH",PR!$AC939,IF(J941="ISN",PR!$AD939,IF(J941="JAWA",PR!$AE939,IF(J941="LAYO",PR!$AF939,IF(J941="LEADWAY",PR!$AG939,IF(J941="LHV",PR!$AH939,IF(J941="MANOLA",PR!$AI939,IF(J941="MARCSON",PR!$AJ939,IF(J941="M&amp;B",PR!$AK939,IF(J941="MTRUST",PR!$AL939,IF(J941="MWORLD",PR!$AM939,IF(J941="MEGA",PR!$AN939,IF(J941="MICRONOVA",PR!$AO939,IF(J941="MFLASH",PR!$AP939,IF(J941="MORISON",PR!$AQ939,IF(J941="NEMEL",PR!$AR939,IF(J941="NHP",PR!$AS939,IF(J941="NHC",PR!$AT939,IF(J941="OLEAF",PR!$AU939,IF(J941="OCULUS",PR!$AV939,IF(J941="PACIFIC",PR!$AW939,IF(J941="PHAMATEX",PR!$AX939,IF(J941="PETHICS",PR!$AY939,IF(J941="PHILIPS",PR!$AZ939,IF(J941="RANBAXY",PR!$BA939,IF(J941="REALS",PR!$BB939,IF(J941="ROYAL",PR!$BC939,IF(J941="SAM",PR!$BD939,IF(J941="SEAGREEN",PR!$BE939,IF(J941="SKG",PR!$BF939,IF(J941="TAH",PR!$BG939,IF(J941="TAYLEK",PR!$BH939,IF(J941="TEMITA",PR!$BI939,IF(J941="THL",PR!$BJ939,IF(J941="UBASTIC",PR!$BK939,IF(J941="UNION",PR!$BL939,IF(J941="UNIQUE",PR!$BM939,IF(J941="VIXA",PR!$BN939,IF(J941="WWCV",PR!$BO939,IF(J941="ZOLON",PR!$BP939,"-"))))))))))))))))))))))))))))))))))))))))))))))))))))))))))))))))</f>
        <v>-</v>
      </c>
      <c r="J941" s="102"/>
      <c r="K941" s="433"/>
      <c r="L941" s="183" t="b">
        <f>IF(K941&gt;0,IF(K941="ALPHA",PR!$E939,IF(K941="ASSENE",PR!$F939,IF(K941="BIOFEM",PR!$G939,IF(K941="BIOMED",PR!$H939,IF(K941="CHI",PR!$I939,IF(K941="CLARION",PR!$J939,IF(K941="CODIX",PR!$K939,IF(K941="COSMADE",PR!$L939,IF(K941="SANCON",PR!$M939,IF(K941="DEVON",PR!$N939,IF(K941="DORTEMAG",PR!$O939,IF(K941="DGF",PR!$P939,IF(K941="DYNAMIC",PR!$Q939,IF(K941="EMZOR",PR!$R939,IF(K941="EUMATT",PR!$S939,IF(K941="FIDSON",PR!$T939,IF(K941="FCGLOBAL",PR!$U939,IF(K941="GENEITH",PR!$V939,IF(K941="GINOS",PR!$W939,IF(K941="GSK",PR!$X939,IF(K941="GLOBORG",PR!$Y939,IF(K941="GOODNEWS",PR!$Z939,IF(K941="GREENLIFE",PR!$AA939,IF(K941="HLINE",PR!$AB939,IF(K941="ROTECH",PR!$AC939,IF(K941="ISN",PR!$AD939,IF(K941="JAWA",PR!$AE939,IF(K941="LAYO",PR!$AF939,IF(K941="LEADWAY",PR!$AG939,IF(K941="LHV",PR!$AH939,IF(K941="MANOLA",PR!$AI939,IF(K941="MARCSON",PR!$AJ939,IF(K941="M&amp;B",PR!$AK939,IF(K941="MTRUST",PR!$AL939,IF(K941="MWORLD",PR!$AM939,IF(K941="MEGA",PR!$AN939,IF(K941="MICRONOVA",PR!$AO939,IF(K941="MFLASH",PR!$AP939,IF(K941="MORISON",PR!$AQ939,IF(K941="NEMEL",PR!$AR939,IF(K941="NHP",PR!$AS939,IF(K941="NHC",PR!$AT939,IF(K941="OLEAF",PR!$AU939,IF(K941="OCULUS",PR!$AV939,IF(K941="PACIFIC",PR!$AW939,IF(K941="PHAMATEX",PR!$AX939,IF(K941="PETHICS",PR!$AY939,IF(K941="PHILIPS",PR!$AZ939,IF(K941="RANBAXY",PR!$BA939,IF(K941="REALS",PR!$BB939,IF(K941="ROYAL",PR!$BC939,IF(K941="SAM",PR!$BD939,IF(K941="SEAGREEN",PR!$BE939,IF(K941="SKG",PR!$BF939,IF(K941="TAH",PR!$BG939,IF(K941="TAYLEK",PR!$BH939,IF(K941="TEMITA",PR!$BI939,IF(K941="THL",PR!$BJ939,IF(K941="UBASTIC",PR!$BK939,IF(K941="UNION",PR!$BL939,IF(K941="UNIQUE",PR!$BM939,IF(K941="VIXA",PR!$BN939,IF(K941="WWCV",PR!$BO939,IF(K941="ZOLON",PR!$BP939,"-")))))))))))))))))))))))))))))))))))))))))))))))))))))))))))))))))</f>
        <v>0</v>
      </c>
    </row>
    <row r="942" spans="1:12" ht="18.75" x14ac:dyDescent="0.3">
      <c r="A942" s="430" t="str">
        <f>PR!A940</f>
        <v>LOT 17</v>
      </c>
      <c r="B942" s="15" t="str">
        <f>PR!B940</f>
        <v>LABORATORY DEPARTMENT - HISTOPATHOLOGY</v>
      </c>
      <c r="C942" s="113">
        <f>PR!D940</f>
        <v>0</v>
      </c>
      <c r="D942" s="113">
        <f>PR!C940</f>
        <v>0</v>
      </c>
      <c r="E942" s="108" t="str">
        <f>IF(F942="ALPHA",PR!$E940,IF(F942="ASSENE",PR!$F940,IF(F942="BIOFEM",PR!$G940,IF(F942="BIOMED",PR!$H940,IF(F942="CHI",PR!$I940,IF(F942="CLARION",PR!$J940,IF(F942="CODIX",PR!$K940,IF(F942="COSMADE",PR!$L940,IF(F942="SANCON",PR!$M940,IF(F942="DEVON",PR!$N940,IF(F942="DORTEMAG",PR!$O940,IF(F942="DGF",PR!$P940,IF(F942="DYNAMIC",PR!$Q940,IF(F942="EMZOR",PR!$R940,IF(F942="EUMATT",PR!$S940,IF(F942="FIDSON",PR!$T940,IF(F942="FCGLOBAL",PR!$U940,IF(F942="GENEITH",PR!$V940,IF(F942="GINOS",PR!$W940,IF(F942="GSK",PR!$X940,IF(F942="GLOBORG",PR!$Y940,IF(F942="GOODNEWS",PR!$Z940,IF(F942="GREENLIFE",PR!$AA940,IF(F942="HLINE",PR!$AB940,IF(F942="ROTECH",PR!$AC940,IF(F942="ISN",PR!$AD940,IF(F942="JAWA",PR!$AE940,IF(F942="LAYO",PR!$AF940,IF(F942="LEADWAY",PR!$AG940,IF(F942="LHV",PR!$AH940,IF(F942="MANOLA",PR!$AI940,IF(F942="MARCSON",PR!$AJ940,IF(F942="M&amp;B",PR!$AK940,IF(F942="MTRUST",PR!$AL940,IF(F942="MWORLD",PR!$AM940,IF(F942="MEGA",PR!$AN940,IF(F942="MICRONOVA",PR!$AO940,IF(F942="MFLASH",PR!$AP940,IF(F942="MORISON",PR!$AQ940,IF(F942="NEMEL",PR!$AR940,IF(F942="NHP",PR!$AS940,IF(F942="NHC",PR!$AT940,IF(F942="OLEAF",PR!$AU940,IF(F942="OCULUS",PR!$AV940,IF(F942="PACIFIC",PR!$AW940,IF(F942="PHAMATEX",PR!$AX940,IF(F942="PETHICS",PR!$AY940,IF(F942="PHILIPS",PR!$AZ940,IF(F942="RANBAXY",PR!$BA940,IF(F942="REALS",PR!$BB940,IF(F942="ROYAL",PR!$BC940,IF(F942="SAM",PR!$BD940,IF(F942="SEAGREEN",PR!$BE940,IF(F942="SKG",PR!$BF940,IF(F942="TAH",PR!$BG940,IF(F942="TAYLEK",PR!$BH940,IF(F942="TEMITA",PR!$BI940,IF(F942="THL",PR!$BJ940,IF(F942="UBASTIC",PR!$BK940,IF(F942="UNION",PR!$BL940,IF(F942="UNIQUE",PR!$BM940,IF(F942="VIXA",PR!$BN940,IF(F942="WWCV",PR!$BO940,IF(F942="ZOLON",PR!$BP940,"-"))))))))))))))))))))))))))))))))))))))))))))))))))))))))))))))))</f>
        <v>-</v>
      </c>
      <c r="F942" s="102"/>
      <c r="G942" s="108" t="str">
        <f>IF(H942="ALPHA",PR!$E940,IF(H942="ASSENE",PR!$F940,IF(H942="BIOFEM",PR!$G940,IF(H942="BIOMED",PR!$H940,IF(H942="CHI",PR!$I940,IF(H942="CLARION",PR!$J940,IF(H942="CODIX",PR!$K940,IF(H942="COSMADE",PR!$L940,IF(H942="SANCON",PR!$M940,IF(H942="DEVON",PR!$N940,IF(H942="DORTEMAG",PR!$O940,IF(H942="DGF",PR!$P940,IF(H942="DYNAMIC",PR!$Q940,IF(H942="EMZOR",PR!$R940,IF(H942="EUMATT",PR!$S940,IF(H942="FIDSON",PR!$T940,IF(H942="FCGLOBAL",PR!$U940,IF(H942="GENEITH",PR!$V940,IF(H942="GINOS",PR!$W940,IF(H942="GSK",PR!$X940,IF(H942="GLOBORG",PR!$Y940,IF(H942="GOODNEWS",PR!$Z940,IF(H942="GREENLIFE",PR!$AA940,IF(H942="HLINE",PR!$AB940,IF(H942="ROTECH",PR!$AC940,IF(H942="ISN",PR!$AD940,IF(H942="JAWA",PR!$AE940,IF(H942="LAYO",PR!$AF940,IF(H942="LEADWAY",PR!$AG940,IF(H942="LHV",PR!$AH940,IF(H942="MANOLA",PR!$AI940,IF(H942="MARCSON",PR!$AJ940,IF(H942="M&amp;B",PR!$AK940,IF(H942="MTRUST",PR!$AL940,IF(H942="MWORLD",PR!$AM940,IF(H942="MEGA",PR!$AN940,IF(H942="MICRONOVA",PR!$AO940,IF(H942="MFLASH",PR!$AP940,IF(H942="MORISON",PR!$AQ940,IF(H942="NEMEL",PR!$AR940,IF(H942="NHP",PR!$AS940,IF(H942="NHC",PR!$AT940,IF(H942="OLEAF",PR!$AU940,IF(H942="OCULUS",PR!$AV940,IF(H942="PACIFIC",PR!$AW940,IF(H942="PHAMATEX",PR!$AX940,IF(H942="PETHICS",PR!$AY940,IF(H942="PHILIPS",PR!$AZ940,IF(H942="RANBAXY",PR!$BA940,IF(H942="REALS",PR!$BB940,IF(H942="ROYAL",PR!$BC940,IF(H942="SAM",PR!$BD940,IF(H942="SEAGREEN",PR!$BE940,IF(H942="SKG",PR!$BF940,IF(H942="TAH",PR!$BG940,IF(H942="TAYLEK",PR!$BH940,IF(H942="TEMITA",PR!$BI940,IF(H942="THL",PR!$BJ940,IF(H942="UBASTIC",PR!$BK940,IF(H942="UNION",PR!$BL940,IF(H942="UNIQUE",PR!$BM940,IF(H942="VIXA",PR!$BN940,IF(H942="WWCV",PR!$BO940,IF(H942="ZOLON",PR!$BP940,"-"))))))))))))))))))))))))))))))))))))))))))))))))))))))))))))))))</f>
        <v>-</v>
      </c>
      <c r="H942" s="102"/>
      <c r="I942" s="108" t="str">
        <f>IF(J942="ALPHA",PR!$E940,IF(J942="ASSENE",PR!$F940,IF(J942="BIOFEM",PR!$G940,IF(J942="BIOMED",PR!$H940,IF(J942="CHI",PR!$I940,IF(J942="CLARION",PR!$J940,IF(J942="CODIX",PR!$K940,IF(J942="COSMADE",PR!$L940,IF(J942="SANCON",PR!$M940,IF(J942="DEVON",PR!$N940,IF(J942="DORTEMAG",PR!$O940,IF(J942="DGF",PR!$P940,IF(J942="DYNAMIC",PR!$Q940,IF(J942="EMZOR",PR!$R940,IF(J942="EUMATT",PR!$S940,IF(J942="FIDSON",PR!$T940,IF(J942="FCGLOBAL",PR!$U940,IF(J942="GENEITH",PR!$V940,IF(J942="GINOS",PR!$W940,IF(J942="GSK",PR!$X940,IF(J942="GLOBORG",PR!$Y940,IF(J942="GOODNEWS",PR!$Z940,IF(J942="GREENLIFE",PR!$AA940,IF(J942="HLINE",PR!$AB940,IF(J942="ROTECH",PR!$AC940,IF(J942="ISN",PR!$AD940,IF(J942="JAWA",PR!$AE940,IF(J942="LAYO",PR!$AF940,IF(J942="LEADWAY",PR!$AG940,IF(J942="LHV",PR!$AH940,IF(J942="MANOLA",PR!$AI940,IF(J942="MARCSON",PR!$AJ940,IF(J942="M&amp;B",PR!$AK940,IF(J942="MTRUST",PR!$AL940,IF(J942="MWORLD",PR!$AM940,IF(J942="MEGA",PR!$AN940,IF(J942="MICRONOVA",PR!$AO940,IF(J942="MFLASH",PR!$AP940,IF(J942="MORISON",PR!$AQ940,IF(J942="NEMEL",PR!$AR940,IF(J942="NHP",PR!$AS940,IF(J942="NHC",PR!$AT940,IF(J942="OLEAF",PR!$AU940,IF(J942="OCULUS",PR!$AV940,IF(J942="PACIFIC",PR!$AW940,IF(J942="PHAMATEX",PR!$AX940,IF(J942="PETHICS",PR!$AY940,IF(J942="PHILIPS",PR!$AZ940,IF(J942="RANBAXY",PR!$BA940,IF(J942="REALS",PR!$BB940,IF(J942="ROYAL",PR!$BC940,IF(J942="SAM",PR!$BD940,IF(J942="SEAGREEN",PR!$BE940,IF(J942="SKG",PR!$BF940,IF(J942="TAH",PR!$BG940,IF(J942="TAYLEK",PR!$BH940,IF(J942="TEMITA",PR!$BI940,IF(J942="THL",PR!$BJ940,IF(J942="UBASTIC",PR!$BK940,IF(J942="UNION",PR!$BL940,IF(J942="UNIQUE",PR!$BM940,IF(J942="VIXA",PR!$BN940,IF(J942="WWCV",PR!$BO940,IF(J942="ZOLON",PR!$BP940,"-"))))))))))))))))))))))))))))))))))))))))))))))))))))))))))))))))</f>
        <v>-</v>
      </c>
      <c r="J942" s="102"/>
      <c r="K942" s="433"/>
      <c r="L942" s="183" t="b">
        <f>IF(K942&gt;0,IF(K942="ALPHA",PR!$E940,IF(K942="ASSENE",PR!$F940,IF(K942="BIOFEM",PR!$G940,IF(K942="BIOMED",PR!$H940,IF(K942="CHI",PR!$I940,IF(K942="CLARION",PR!$J940,IF(K942="CODIX",PR!$K940,IF(K942="COSMADE",PR!$L940,IF(K942="SANCON",PR!$M940,IF(K942="DEVON",PR!$N940,IF(K942="DORTEMAG",PR!$O940,IF(K942="DGF",PR!$P940,IF(K942="DYNAMIC",PR!$Q940,IF(K942="EMZOR",PR!$R940,IF(K942="EUMATT",PR!$S940,IF(K942="FIDSON",PR!$T940,IF(K942="FCGLOBAL",PR!$U940,IF(K942="GENEITH",PR!$V940,IF(K942="GINOS",PR!$W940,IF(K942="GSK",PR!$X940,IF(K942="GLOBORG",PR!$Y940,IF(K942="GOODNEWS",PR!$Z940,IF(K942="GREENLIFE",PR!$AA940,IF(K942="HLINE",PR!$AB940,IF(K942="ROTECH",PR!$AC940,IF(K942="ISN",PR!$AD940,IF(K942="JAWA",PR!$AE940,IF(K942="LAYO",PR!$AF940,IF(K942="LEADWAY",PR!$AG940,IF(K942="LHV",PR!$AH940,IF(K942="MANOLA",PR!$AI940,IF(K942="MARCSON",PR!$AJ940,IF(K942="M&amp;B",PR!$AK940,IF(K942="MTRUST",PR!$AL940,IF(K942="MWORLD",PR!$AM940,IF(K942="MEGA",PR!$AN940,IF(K942="MICRONOVA",PR!$AO940,IF(K942="MFLASH",PR!$AP940,IF(K942="MORISON",PR!$AQ940,IF(K942="NEMEL",PR!$AR940,IF(K942="NHP",PR!$AS940,IF(K942="NHC",PR!$AT940,IF(K942="OLEAF",PR!$AU940,IF(K942="OCULUS",PR!$AV940,IF(K942="PACIFIC",PR!$AW940,IF(K942="PHAMATEX",PR!$AX940,IF(K942="PETHICS",PR!$AY940,IF(K942="PHILIPS",PR!$AZ940,IF(K942="RANBAXY",PR!$BA940,IF(K942="REALS",PR!$BB940,IF(K942="ROYAL",PR!$BC940,IF(K942="SAM",PR!$BD940,IF(K942="SEAGREEN",PR!$BE940,IF(K942="SKG",PR!$BF940,IF(K942="TAH",PR!$BG940,IF(K942="TAYLEK",PR!$BH940,IF(K942="TEMITA",PR!$BI940,IF(K942="THL",PR!$BJ940,IF(K942="UBASTIC",PR!$BK940,IF(K942="UNION",PR!$BL940,IF(K942="UNIQUE",PR!$BM940,IF(K942="VIXA",PR!$BN940,IF(K942="WWCV",PR!$BO940,IF(K942="ZOLON",PR!$BP940,"-")))))))))))))))))))))))))))))))))))))))))))))))))))))))))))))))))</f>
        <v>0</v>
      </c>
    </row>
    <row r="943" spans="1:12" ht="18.75" x14ac:dyDescent="0.3">
      <c r="A943" s="430">
        <f>PR!A941</f>
        <v>0</v>
      </c>
      <c r="B943" s="15">
        <f>PR!B941</f>
        <v>0</v>
      </c>
      <c r="C943" s="113">
        <f>PR!D941</f>
        <v>0</v>
      </c>
      <c r="D943" s="113">
        <f>PR!C941</f>
        <v>0</v>
      </c>
      <c r="E943" s="108" t="str">
        <f>IF(F943="ALPHA",PR!$E941,IF(F943="ASSENE",PR!$F941,IF(F943="BIOFEM",PR!$G941,IF(F943="BIOMED",PR!$H941,IF(F943="CHI",PR!$I941,IF(F943="CLARION",PR!$J941,IF(F943="CODIX",PR!$K941,IF(F943="COSMADE",PR!$L941,IF(F943="SANCON",PR!$M941,IF(F943="DEVON",PR!$N941,IF(F943="DORTEMAG",PR!$O941,IF(F943="DGF",PR!$P941,IF(F943="DYNAMIC",PR!$Q941,IF(F943="EMZOR",PR!$R941,IF(F943="EUMATT",PR!$S941,IF(F943="FIDSON",PR!$T941,IF(F943="FCGLOBAL",PR!$U941,IF(F943="GENEITH",PR!$V941,IF(F943="GINOS",PR!$W941,IF(F943="GSK",PR!$X941,IF(F943="GLOBORG",PR!$Y941,IF(F943="GOODNEWS",PR!$Z941,IF(F943="GREENLIFE",PR!$AA941,IF(F943="HLINE",PR!$AB941,IF(F943="ROTECH",PR!$AC941,IF(F943="ISN",PR!$AD941,IF(F943="JAWA",PR!$AE941,IF(F943="LAYO",PR!$AF941,IF(F943="LEADWAY",PR!$AG941,IF(F943="LHV",PR!$AH941,IF(F943="MANOLA",PR!$AI941,IF(F943="MARCSON",PR!$AJ941,IF(F943="M&amp;B",PR!$AK941,IF(F943="MTRUST",PR!$AL941,IF(F943="MWORLD",PR!$AM941,IF(F943="MEGA",PR!$AN941,IF(F943="MICRONOVA",PR!$AO941,IF(F943="MFLASH",PR!$AP941,IF(F943="MORISON",PR!$AQ941,IF(F943="NEMEL",PR!$AR941,IF(F943="NHP",PR!$AS941,IF(F943="NHC",PR!$AT941,IF(F943="OLEAF",PR!$AU941,IF(F943="OCULUS",PR!$AV941,IF(F943="PACIFIC",PR!$AW941,IF(F943="PHAMATEX",PR!$AX941,IF(F943="PETHICS",PR!$AY941,IF(F943="PHILIPS",PR!$AZ941,IF(F943="RANBAXY",PR!$BA941,IF(F943="REALS",PR!$BB941,IF(F943="ROYAL",PR!$BC941,IF(F943="SAM",PR!$BD941,IF(F943="SEAGREEN",PR!$BE941,IF(F943="SKG",PR!$BF941,IF(F943="TAH",PR!$BG941,IF(F943="TAYLEK",PR!$BH941,IF(F943="TEMITA",PR!$BI941,IF(F943="THL",PR!$BJ941,IF(F943="UBASTIC",PR!$BK941,IF(F943="UNION",PR!$BL941,IF(F943="UNIQUE",PR!$BM941,IF(F943="VIXA",PR!$BN941,IF(F943="WWCV",PR!$BO941,IF(F943="ZOLON",PR!$BP941,"-"))))))))))))))))))))))))))))))))))))))))))))))))))))))))))))))))</f>
        <v>-</v>
      </c>
      <c r="F943" s="102"/>
      <c r="G943" s="108" t="str">
        <f>IF(H943="ALPHA",PR!$E941,IF(H943="ASSENE",PR!$F941,IF(H943="BIOFEM",PR!$G941,IF(H943="BIOMED",PR!$H941,IF(H943="CHI",PR!$I941,IF(H943="CLARION",PR!$J941,IF(H943="CODIX",PR!$K941,IF(H943="COSMADE",PR!$L941,IF(H943="SANCON",PR!$M941,IF(H943="DEVON",PR!$N941,IF(H943="DORTEMAG",PR!$O941,IF(H943="DGF",PR!$P941,IF(H943="DYNAMIC",PR!$Q941,IF(H943="EMZOR",PR!$R941,IF(H943="EUMATT",PR!$S941,IF(H943="FIDSON",PR!$T941,IF(H943="FCGLOBAL",PR!$U941,IF(H943="GENEITH",PR!$V941,IF(H943="GINOS",PR!$W941,IF(H943="GSK",PR!$X941,IF(H943="GLOBORG",PR!$Y941,IF(H943="GOODNEWS",PR!$Z941,IF(H943="GREENLIFE",PR!$AA941,IF(H943="HLINE",PR!$AB941,IF(H943="ROTECH",PR!$AC941,IF(H943="ISN",PR!$AD941,IF(H943="JAWA",PR!$AE941,IF(H943="LAYO",PR!$AF941,IF(H943="LEADWAY",PR!$AG941,IF(H943="LHV",PR!$AH941,IF(H943="MANOLA",PR!$AI941,IF(H943="MARCSON",PR!$AJ941,IF(H943="M&amp;B",PR!$AK941,IF(H943="MTRUST",PR!$AL941,IF(H943="MWORLD",PR!$AM941,IF(H943="MEGA",PR!$AN941,IF(H943="MICRONOVA",PR!$AO941,IF(H943="MFLASH",PR!$AP941,IF(H943="MORISON",PR!$AQ941,IF(H943="NEMEL",PR!$AR941,IF(H943="NHP",PR!$AS941,IF(H943="NHC",PR!$AT941,IF(H943="OLEAF",PR!$AU941,IF(H943="OCULUS",PR!$AV941,IF(H943="PACIFIC",PR!$AW941,IF(H943="PHAMATEX",PR!$AX941,IF(H943="PETHICS",PR!$AY941,IF(H943="PHILIPS",PR!$AZ941,IF(H943="RANBAXY",PR!$BA941,IF(H943="REALS",PR!$BB941,IF(H943="ROYAL",PR!$BC941,IF(H943="SAM",PR!$BD941,IF(H943="SEAGREEN",PR!$BE941,IF(H943="SKG",PR!$BF941,IF(H943="TAH",PR!$BG941,IF(H943="TAYLEK",PR!$BH941,IF(H943="TEMITA",PR!$BI941,IF(H943="THL",PR!$BJ941,IF(H943="UBASTIC",PR!$BK941,IF(H943="UNION",PR!$BL941,IF(H943="UNIQUE",PR!$BM941,IF(H943="VIXA",PR!$BN941,IF(H943="WWCV",PR!$BO941,IF(H943="ZOLON",PR!$BP941,"-"))))))))))))))))))))))))))))))))))))))))))))))))))))))))))))))))</f>
        <v>-</v>
      </c>
      <c r="H943" s="102"/>
      <c r="I943" s="108" t="str">
        <f>IF(J943="ALPHA",PR!$E941,IF(J943="ASSENE",PR!$F941,IF(J943="BIOFEM",PR!$G941,IF(J943="BIOMED",PR!$H941,IF(J943="CHI",PR!$I941,IF(J943="CLARION",PR!$J941,IF(J943="CODIX",PR!$K941,IF(J943="COSMADE",PR!$L941,IF(J943="SANCON",PR!$M941,IF(J943="DEVON",PR!$N941,IF(J943="DORTEMAG",PR!$O941,IF(J943="DGF",PR!$P941,IF(J943="DYNAMIC",PR!$Q941,IF(J943="EMZOR",PR!$R941,IF(J943="EUMATT",PR!$S941,IF(J943="FIDSON",PR!$T941,IF(J943="FCGLOBAL",PR!$U941,IF(J943="GENEITH",PR!$V941,IF(J943="GINOS",PR!$W941,IF(J943="GSK",PR!$X941,IF(J943="GLOBORG",PR!$Y941,IF(J943="GOODNEWS",PR!$Z941,IF(J943="GREENLIFE",PR!$AA941,IF(J943="HLINE",PR!$AB941,IF(J943="ROTECH",PR!$AC941,IF(J943="ISN",PR!$AD941,IF(J943="JAWA",PR!$AE941,IF(J943="LAYO",PR!$AF941,IF(J943="LEADWAY",PR!$AG941,IF(J943="LHV",PR!$AH941,IF(J943="MANOLA",PR!$AI941,IF(J943="MARCSON",PR!$AJ941,IF(J943="M&amp;B",PR!$AK941,IF(J943="MTRUST",PR!$AL941,IF(J943="MWORLD",PR!$AM941,IF(J943="MEGA",PR!$AN941,IF(J943="MICRONOVA",PR!$AO941,IF(J943="MFLASH",PR!$AP941,IF(J943="MORISON",PR!$AQ941,IF(J943="NEMEL",PR!$AR941,IF(J943="NHP",PR!$AS941,IF(J943="NHC",PR!$AT941,IF(J943="OLEAF",PR!$AU941,IF(J943="OCULUS",PR!$AV941,IF(J943="PACIFIC",PR!$AW941,IF(J943="PHAMATEX",PR!$AX941,IF(J943="PETHICS",PR!$AY941,IF(J943="PHILIPS",PR!$AZ941,IF(J943="RANBAXY",PR!$BA941,IF(J943="REALS",PR!$BB941,IF(J943="ROYAL",PR!$BC941,IF(J943="SAM",PR!$BD941,IF(J943="SEAGREEN",PR!$BE941,IF(J943="SKG",PR!$BF941,IF(J943="TAH",PR!$BG941,IF(J943="TAYLEK",PR!$BH941,IF(J943="TEMITA",PR!$BI941,IF(J943="THL",PR!$BJ941,IF(J943="UBASTIC",PR!$BK941,IF(J943="UNION",PR!$BL941,IF(J943="UNIQUE",PR!$BM941,IF(J943="VIXA",PR!$BN941,IF(J943="WWCV",PR!$BO941,IF(J943="ZOLON",PR!$BP941,"-"))))))))))))))))))))))))))))))))))))))))))))))))))))))))))))))))</f>
        <v>-</v>
      </c>
      <c r="J943" s="102"/>
      <c r="K943" s="433"/>
      <c r="L943" s="183" t="b">
        <f>IF(K943&gt;0,IF(K943="ALPHA",PR!$E941,IF(K943="ASSENE",PR!$F941,IF(K943="BIOFEM",PR!$G941,IF(K943="BIOMED",PR!$H941,IF(K943="CHI",PR!$I941,IF(K943="CLARION",PR!$J941,IF(K943="CODIX",PR!$K941,IF(K943="COSMADE",PR!$L941,IF(K943="SANCON",PR!$M941,IF(K943="DEVON",PR!$N941,IF(K943="DORTEMAG",PR!$O941,IF(K943="DGF",PR!$P941,IF(K943="DYNAMIC",PR!$Q941,IF(K943="EMZOR",PR!$R941,IF(K943="EUMATT",PR!$S941,IF(K943="FIDSON",PR!$T941,IF(K943="FCGLOBAL",PR!$U941,IF(K943="GENEITH",PR!$V941,IF(K943="GINOS",PR!$W941,IF(K943="GSK",PR!$X941,IF(K943="GLOBORG",PR!$Y941,IF(K943="GOODNEWS",PR!$Z941,IF(K943="GREENLIFE",PR!$AA941,IF(K943="HLINE",PR!$AB941,IF(K943="ROTECH",PR!$AC941,IF(K943="ISN",PR!$AD941,IF(K943="JAWA",PR!$AE941,IF(K943="LAYO",PR!$AF941,IF(K943="LEADWAY",PR!$AG941,IF(K943="LHV",PR!$AH941,IF(K943="MANOLA",PR!$AI941,IF(K943="MARCSON",PR!$AJ941,IF(K943="M&amp;B",PR!$AK941,IF(K943="MTRUST",PR!$AL941,IF(K943="MWORLD",PR!$AM941,IF(K943="MEGA",PR!$AN941,IF(K943="MICRONOVA",PR!$AO941,IF(K943="MFLASH",PR!$AP941,IF(K943="MORISON",PR!$AQ941,IF(K943="NEMEL",PR!$AR941,IF(K943="NHP",PR!$AS941,IF(K943="NHC",PR!$AT941,IF(K943="OLEAF",PR!$AU941,IF(K943="OCULUS",PR!$AV941,IF(K943="PACIFIC",PR!$AW941,IF(K943="PHAMATEX",PR!$AX941,IF(K943="PETHICS",PR!$AY941,IF(K943="PHILIPS",PR!$AZ941,IF(K943="RANBAXY",PR!$BA941,IF(K943="REALS",PR!$BB941,IF(K943="ROYAL",PR!$BC941,IF(K943="SAM",PR!$BD941,IF(K943="SEAGREEN",PR!$BE941,IF(K943="SKG",PR!$BF941,IF(K943="TAH",PR!$BG941,IF(K943="TAYLEK",PR!$BH941,IF(K943="TEMITA",PR!$BI941,IF(K943="THL",PR!$BJ941,IF(K943="UBASTIC",PR!$BK941,IF(K943="UNION",PR!$BL941,IF(K943="UNIQUE",PR!$BM941,IF(K943="VIXA",PR!$BN941,IF(K943="WWCV",PR!$BO941,IF(K943="ZOLON",PR!$BP941,"-")))))))))))))))))))))))))))))))))))))))))))))))))))))))))))))))))</f>
        <v>0</v>
      </c>
    </row>
    <row r="944" spans="1:12" ht="18.75" x14ac:dyDescent="0.3">
      <c r="A944" s="430">
        <f>PR!A942</f>
        <v>846</v>
      </c>
      <c r="B944" s="15" t="str">
        <f>PR!B942</f>
        <v>ACETIC</v>
      </c>
      <c r="C944" s="113" t="str">
        <f>PR!D942</f>
        <v>Bottle (2.5L)</v>
      </c>
      <c r="D944" s="113">
        <f>PR!C942</f>
        <v>1</v>
      </c>
      <c r="E944" s="108">
        <f>IF(F944="ALPHA",PR!$E942,IF(F944="ASSENE",PR!$F942,IF(F944="BIOFEM",PR!$G942,IF(F944="BIOMED",PR!$H942,IF(F944="CHI",PR!$I942,IF(F944="CLARION",PR!$J942,IF(F944="CODIX",PR!$K942,IF(F944="COSMADE",PR!$L942,IF(F944="SANCON",PR!$M942,IF(F944="DEVON",PR!$N942,IF(F944="DORTEMAG",PR!$O942,IF(F944="DGF",PR!$P942,IF(F944="DYNAMIC",PR!$Q942,IF(F944="EMZOR",PR!$R942,IF(F944="EUMATT",PR!$S942,IF(F944="FIDSON",PR!$T942,IF(F944="FCGLOBAL",PR!$U942,IF(F944="GENEITH",PR!$V942,IF(F944="GINOS",PR!$W942,IF(F944="GSK",PR!$X942,IF(F944="GLOBORG",PR!$Y942,IF(F944="GOODNEWS",PR!$Z942,IF(F944="GREENLIFE",PR!$AA942,IF(F944="HLINE",PR!$AB942,IF(F944="ROTECH",PR!$AC942,IF(F944="ISN",PR!$AD942,IF(F944="JAWA",PR!$AE942,IF(F944="LAYO",PR!$AF942,IF(F944="LEADWAY",PR!$AG942,IF(F944="LHV",PR!$AH942,IF(F944="MANOLA",PR!$AI942,IF(F944="MARCSON",PR!$AJ942,IF(F944="M&amp;B",PR!$AK942,IF(F944="MTRUST",PR!$AL942,IF(F944="MWORLD",PR!$AM942,IF(F944="MEGA",PR!$AN942,IF(F944="MICRONOVA",PR!$AO942,IF(F944="MFLASH",PR!$AP942,IF(F944="MORISON",PR!$AQ942,IF(F944="NEMEL",PR!$AR942,IF(F944="NHP",PR!$AS942,IF(F944="NHC",PR!$AT942,IF(F944="OLEAF",PR!$AU942,IF(F944="OCULUS",PR!$AV942,IF(F944="PACIFIC",PR!$AW942,IF(F944="PHAMATEX",PR!$AX942,IF(F944="PETHICS",PR!$AY942,IF(F944="PHILIPS",PR!$AZ942,IF(F944="RANBAXY",PR!$BA942,IF(F944="REALS",PR!$BB942,IF(F944="ROYAL",PR!$BC942,IF(F944="SAM",PR!$BD942,IF(F944="SEAGREEN",PR!$BE942,IF(F944="SKG",PR!$BF942,IF(F944="TAH",PR!$BG942,IF(F944="TAYLEK",PR!$BH942,IF(F944="TEMITA",PR!$BI942,IF(F944="THL",PR!$BJ942,IF(F944="UBASTIC",PR!$BK942,IF(F944="UNION",PR!$BL942,IF(F944="UNIQUE",PR!$BM942,IF(F944="VIXA",PR!$BN942,IF(F944="WWCV",PR!$BO942,IF(F944="ZOLON",PR!$BP942,"-"))))))))))))))))))))))))))))))))))))))))))))))))))))))))))))))))</f>
        <v>10500</v>
      </c>
      <c r="F944" s="102" t="str">
        <f>EV!L1205</f>
        <v>UBASTIC</v>
      </c>
      <c r="G944" s="108">
        <f>IF(H944="ALPHA",PR!$E942,IF(H944="ASSENE",PR!$F942,IF(H944="BIOFEM",PR!$G942,IF(H944="BIOMED",PR!$H942,IF(H944="CHI",PR!$I942,IF(H944="CLARION",PR!$J942,IF(H944="CODIX",PR!$K942,IF(H944="COSMADE",PR!$L942,IF(H944="SANCON",PR!$M942,IF(H944="DEVON",PR!$N942,IF(H944="DORTEMAG",PR!$O942,IF(H944="DGF",PR!$P942,IF(H944="DYNAMIC",PR!$Q942,IF(H944="EMZOR",PR!$R942,IF(H944="EUMATT",PR!$S942,IF(H944="FIDSON",PR!$T942,IF(H944="FCGLOBAL",PR!$U942,IF(H944="GENEITH",PR!$V942,IF(H944="GINOS",PR!$W942,IF(H944="GSK",PR!$X942,IF(H944="GLOBORG",PR!$Y942,IF(H944="GOODNEWS",PR!$Z942,IF(H944="GREENLIFE",PR!$AA942,IF(H944="HLINE",PR!$AB942,IF(H944="ROTECH",PR!$AC942,IF(H944="ISN",PR!$AD942,IF(H944="JAWA",PR!$AE942,IF(H944="LAYO",PR!$AF942,IF(H944="LEADWAY",PR!$AG942,IF(H944="LHV",PR!$AH942,IF(H944="MANOLA",PR!$AI942,IF(H944="MARCSON",PR!$AJ942,IF(H944="M&amp;B",PR!$AK942,IF(H944="MTRUST",PR!$AL942,IF(H944="MWORLD",PR!$AM942,IF(H944="MEGA",PR!$AN942,IF(H944="MICRONOVA",PR!$AO942,IF(H944="MFLASH",PR!$AP942,IF(H944="MORISON",PR!$AQ942,IF(H944="NEMEL",PR!$AR942,IF(H944="NHP",PR!$AS942,IF(H944="NHC",PR!$AT942,IF(H944="OLEAF",PR!$AU942,IF(H944="OCULUS",PR!$AV942,IF(H944="PACIFIC",PR!$AW942,IF(H944="PHAMATEX",PR!$AX942,IF(H944="PETHICS",PR!$AY942,IF(H944="PHILIPS",PR!$AZ942,IF(H944="RANBAXY",PR!$BA942,IF(H944="REALS",PR!$BB942,IF(H944="ROYAL",PR!$BC942,IF(H944="SAM",PR!$BD942,IF(H944="SEAGREEN",PR!$BE942,IF(H944="SKG",PR!$BF942,IF(H944="TAH",PR!$BG942,IF(H944="TAYLEK",PR!$BH942,IF(H944="TEMITA",PR!$BI942,IF(H944="THL",PR!$BJ942,IF(H944="UBASTIC",PR!$BK942,IF(H944="UNION",PR!$BL942,IF(H944="UNIQUE",PR!$BM942,IF(H944="VIXA",PR!$BN942,IF(H944="WWCV",PR!$BO942,IF(H944="ZOLON",PR!$BP942,"-"))))))))))))))))))))))))))))))))))))))))))))))))))))))))))))))))</f>
        <v>10500</v>
      </c>
      <c r="H944" s="102" t="str">
        <f>EV!M1205</f>
        <v>TEMITA</v>
      </c>
      <c r="I944" s="108">
        <f>IF(J944="ALPHA",PR!$E942,IF(J944="ASSENE",PR!$F942,IF(J944="BIOFEM",PR!$G942,IF(J944="BIOMED",PR!$H942,IF(J944="CHI",PR!$I942,IF(J944="CLARION",PR!$J942,IF(J944="CODIX",PR!$K942,IF(J944="COSMADE",PR!$L942,IF(J944="SANCON",PR!$M942,IF(J944="DEVON",PR!$N942,IF(J944="DORTEMAG",PR!$O942,IF(J944="DGF",PR!$P942,IF(J944="DYNAMIC",PR!$Q942,IF(J944="EMZOR",PR!$R942,IF(J944="EUMATT",PR!$S942,IF(J944="FIDSON",PR!$T942,IF(J944="FCGLOBAL",PR!$U942,IF(J944="GENEITH",PR!$V942,IF(J944="GINOS",PR!$W942,IF(J944="GSK",PR!$X942,IF(J944="GLOBORG",PR!$Y942,IF(J944="GOODNEWS",PR!$Z942,IF(J944="GREENLIFE",PR!$AA942,IF(J944="HLINE",PR!$AB942,IF(J944="ROTECH",PR!$AC942,IF(J944="ISN",PR!$AD942,IF(J944="JAWA",PR!$AE942,IF(J944="LAYO",PR!$AF942,IF(J944="LEADWAY",PR!$AG942,IF(J944="LHV",PR!$AH942,IF(J944="MANOLA",PR!$AI942,IF(J944="MARCSON",PR!$AJ942,IF(J944="M&amp;B",PR!$AK942,IF(J944="MTRUST",PR!$AL942,IF(J944="MWORLD",PR!$AM942,IF(J944="MEGA",PR!$AN942,IF(J944="MICRONOVA",PR!$AO942,IF(J944="MFLASH",PR!$AP942,IF(J944="MORISON",PR!$AQ942,IF(J944="NEMEL",PR!$AR942,IF(J944="NHP",PR!$AS942,IF(J944="NHC",PR!$AT942,IF(J944="OLEAF",PR!$AU942,IF(J944="OCULUS",PR!$AV942,IF(J944="PACIFIC",PR!$AW942,IF(J944="PHAMATEX",PR!$AX942,IF(J944="PETHICS",PR!$AY942,IF(J944="PHILIPS",PR!$AZ942,IF(J944="RANBAXY",PR!$BA942,IF(J944="REALS",PR!$BB942,IF(J944="ROYAL",PR!$BC942,IF(J944="SAM",PR!$BD942,IF(J944="SEAGREEN",PR!$BE942,IF(J944="SKG",PR!$BF942,IF(J944="TAH",PR!$BG942,IF(J944="TAYLEK",PR!$BH942,IF(J944="TEMITA",PR!$BI942,IF(J944="THL",PR!$BJ942,IF(J944="UBASTIC",PR!$BK942,IF(J944="UNION",PR!$BL942,IF(J944="UNIQUE",PR!$BM942,IF(J944="VIXA",PR!$BN942,IF(J944="WWCV",PR!$BO942,IF(J944="ZOLON",PR!$BP942,"-"))))))))))))))))))))))))))))))))))))))))))))))))))))))))))))))))</f>
        <v>11800</v>
      </c>
      <c r="J944" s="102" t="str">
        <f>EV!N1205</f>
        <v>SANCON</v>
      </c>
      <c r="K944" s="433" t="s">
        <v>1459</v>
      </c>
      <c r="L944" s="183">
        <f>IF(K944&gt;0,IF(K944="ALPHA",PR!$E942,IF(K944="ASSENE",PR!$F942,IF(K944="BIOFEM",PR!$G942,IF(K944="BIOMED",PR!$H942,IF(K944="CHI",PR!$I942,IF(K944="CLARION",PR!$J942,IF(K944="CODIX",PR!$K942,IF(K944="COSMADE",PR!$L942,IF(K944="SANCON",PR!$M942,IF(K944="DEVON",PR!$N942,IF(K944="DORTEMAG",PR!$O942,IF(K944="DGF",PR!$P942,IF(K944="DYNAMIC",PR!$Q942,IF(K944="EMZOR",PR!$R942,IF(K944="EUMATT",PR!$S942,IF(K944="FIDSON",PR!$T942,IF(K944="FCGLOBAL",PR!$U942,IF(K944="GENEITH",PR!$V942,IF(K944="GINOS",PR!$W942,IF(K944="GSK",PR!$X942,IF(K944="GLOBORG",PR!$Y942,IF(K944="GOODNEWS",PR!$Z942,IF(K944="GREENLIFE",PR!$AA942,IF(K944="HLINE",PR!$AB942,IF(K944="ROTECH",PR!$AC942,IF(K944="ISN",PR!$AD942,IF(K944="JAWA",PR!$AE942,IF(K944="LAYO",PR!$AF942,IF(K944="LEADWAY",PR!$AG942,IF(K944="LHV",PR!$AH942,IF(K944="MANOLA",PR!$AI942,IF(K944="MARCSON",PR!$AJ942,IF(K944="M&amp;B",PR!$AK942,IF(K944="MTRUST",PR!$AL942,IF(K944="MWORLD",PR!$AM942,IF(K944="MEGA",PR!$AN942,IF(K944="MICRONOVA",PR!$AO942,IF(K944="MFLASH",PR!$AP942,IF(K944="MORISON",PR!$AQ942,IF(K944="NEMEL",PR!$AR942,IF(K944="NHP",PR!$AS942,IF(K944="NHC",PR!$AT942,IF(K944="OLEAF",PR!$AU942,IF(K944="OCULUS",PR!$AV942,IF(K944="PACIFIC",PR!$AW942,IF(K944="PHAMATEX",PR!$AX942,IF(K944="PETHICS",PR!$AY942,IF(K944="PHILIPS",PR!$AZ942,IF(K944="RANBAXY",PR!$BA942,IF(K944="REALS",PR!$BB942,IF(K944="ROYAL",PR!$BC942,IF(K944="SAM",PR!$BD942,IF(K944="SEAGREEN",PR!$BE942,IF(K944="SKG",PR!$BF942,IF(K944="TAH",PR!$BG942,IF(K944="TAYLEK",PR!$BH942,IF(K944="TEMITA",PR!$BI942,IF(K944="THL",PR!$BJ942,IF(K944="UBASTIC",PR!$BK942,IF(K944="UNION",PR!$BL942,IF(K944="UNIQUE",PR!$BM942,IF(K944="VIXA",PR!$BN942,IF(K944="WWCV",PR!$BO942,IF(K944="ZOLON",PR!$BP942,"-")))))))))))))))))))))))))))))))))))))))))))))))))))))))))))))))))</f>
        <v>10500</v>
      </c>
    </row>
    <row r="945" spans="1:12" ht="18.75" x14ac:dyDescent="0.3">
      <c r="A945" s="430">
        <f>PR!A943</f>
        <v>847</v>
      </c>
      <c r="B945" s="15" t="str">
        <f>PR!B943</f>
        <v>ACETONE</v>
      </c>
      <c r="C945" s="113" t="str">
        <f>PR!D943</f>
        <v>Bottle (2.5L)</v>
      </c>
      <c r="D945" s="113">
        <f>PR!C943</f>
        <v>1</v>
      </c>
      <c r="E945" s="108">
        <f>IF(F945="ALPHA",PR!$E943,IF(F945="ASSENE",PR!$F943,IF(F945="BIOFEM",PR!$G943,IF(F945="BIOMED",PR!$H943,IF(F945="CHI",PR!$I943,IF(F945="CLARION",PR!$J943,IF(F945="CODIX",PR!$K943,IF(F945="COSMADE",PR!$L943,IF(F945="SANCON",PR!$M943,IF(F945="DEVON",PR!$N943,IF(F945="DORTEMAG",PR!$O943,IF(F945="DGF",PR!$P943,IF(F945="DYNAMIC",PR!$Q943,IF(F945="EMZOR",PR!$R943,IF(F945="EUMATT",PR!$S943,IF(F945="FIDSON",PR!$T943,IF(F945="FCGLOBAL",PR!$U943,IF(F945="GENEITH",PR!$V943,IF(F945="GINOS",PR!$W943,IF(F945="GSK",PR!$X943,IF(F945="GLOBORG",PR!$Y943,IF(F945="GOODNEWS",PR!$Z943,IF(F945="GREENLIFE",PR!$AA943,IF(F945="HLINE",PR!$AB943,IF(F945="ROTECH",PR!$AC943,IF(F945="ISN",PR!$AD943,IF(F945="JAWA",PR!$AE943,IF(F945="LAYO",PR!$AF943,IF(F945="LEADWAY",PR!$AG943,IF(F945="LHV",PR!$AH943,IF(F945="MANOLA",PR!$AI943,IF(F945="MARCSON",PR!$AJ943,IF(F945="M&amp;B",PR!$AK943,IF(F945="MTRUST",PR!$AL943,IF(F945="MWORLD",PR!$AM943,IF(F945="MEGA",PR!$AN943,IF(F945="MICRONOVA",PR!$AO943,IF(F945="MFLASH",PR!$AP943,IF(F945="MORISON",PR!$AQ943,IF(F945="NEMEL",PR!$AR943,IF(F945="NHP",PR!$AS943,IF(F945="NHC",PR!$AT943,IF(F945="OLEAF",PR!$AU943,IF(F945="OCULUS",PR!$AV943,IF(F945="PACIFIC",PR!$AW943,IF(F945="PHAMATEX",PR!$AX943,IF(F945="PETHICS",PR!$AY943,IF(F945="PHILIPS",PR!$AZ943,IF(F945="RANBAXY",PR!$BA943,IF(F945="REALS",PR!$BB943,IF(F945="ROYAL",PR!$BC943,IF(F945="SAM",PR!$BD943,IF(F945="SEAGREEN",PR!$BE943,IF(F945="SKG",PR!$BF943,IF(F945="TAH",PR!$BG943,IF(F945="TAYLEK",PR!$BH943,IF(F945="TEMITA",PR!$BI943,IF(F945="THL",PR!$BJ943,IF(F945="UBASTIC",PR!$BK943,IF(F945="UNION",PR!$BL943,IF(F945="UNIQUE",PR!$BM943,IF(F945="VIXA",PR!$BN943,IF(F945="WWCV",PR!$BO943,IF(F945="ZOLON",PR!$BP943,"-"))))))))))))))))))))))))))))))))))))))))))))))))))))))))))))))))</f>
        <v>5000</v>
      </c>
      <c r="F945" s="102" t="str">
        <f>EV!L1206</f>
        <v>TEMITA</v>
      </c>
      <c r="G945" s="108">
        <f>IF(H945="ALPHA",PR!$E943,IF(H945="ASSENE",PR!$F943,IF(H945="BIOFEM",PR!$G943,IF(H945="BIOMED",PR!$H943,IF(H945="CHI",PR!$I943,IF(H945="CLARION",PR!$J943,IF(H945="CODIX",PR!$K943,IF(H945="COSMADE",PR!$L943,IF(H945="SANCON",PR!$M943,IF(H945="DEVON",PR!$N943,IF(H945="DORTEMAG",PR!$O943,IF(H945="DGF",PR!$P943,IF(H945="DYNAMIC",PR!$Q943,IF(H945="EMZOR",PR!$R943,IF(H945="EUMATT",PR!$S943,IF(H945="FIDSON",PR!$T943,IF(H945="FCGLOBAL",PR!$U943,IF(H945="GENEITH",PR!$V943,IF(H945="GINOS",PR!$W943,IF(H945="GSK",PR!$X943,IF(H945="GLOBORG",PR!$Y943,IF(H945="GOODNEWS",PR!$Z943,IF(H945="GREENLIFE",PR!$AA943,IF(H945="HLINE",PR!$AB943,IF(H945="ROTECH",PR!$AC943,IF(H945="ISN",PR!$AD943,IF(H945="JAWA",PR!$AE943,IF(H945="LAYO",PR!$AF943,IF(H945="LEADWAY",PR!$AG943,IF(H945="LHV",PR!$AH943,IF(H945="MANOLA",PR!$AI943,IF(H945="MARCSON",PR!$AJ943,IF(H945="M&amp;B",PR!$AK943,IF(H945="MTRUST",PR!$AL943,IF(H945="MWORLD",PR!$AM943,IF(H945="MEGA",PR!$AN943,IF(H945="MICRONOVA",PR!$AO943,IF(H945="MFLASH",PR!$AP943,IF(H945="MORISON",PR!$AQ943,IF(H945="NEMEL",PR!$AR943,IF(H945="NHP",PR!$AS943,IF(H945="NHC",PR!$AT943,IF(H945="OLEAF",PR!$AU943,IF(H945="OCULUS",PR!$AV943,IF(H945="PACIFIC",PR!$AW943,IF(H945="PHAMATEX",PR!$AX943,IF(H945="PETHICS",PR!$AY943,IF(H945="PHILIPS",PR!$AZ943,IF(H945="RANBAXY",PR!$BA943,IF(H945="REALS",PR!$BB943,IF(H945="ROYAL",PR!$BC943,IF(H945="SAM",PR!$BD943,IF(H945="SEAGREEN",PR!$BE943,IF(H945="SKG",PR!$BF943,IF(H945="TAH",PR!$BG943,IF(H945="TAYLEK",PR!$BH943,IF(H945="TEMITA",PR!$BI943,IF(H945="THL",PR!$BJ943,IF(H945="UBASTIC",PR!$BK943,IF(H945="UNION",PR!$BL943,IF(H945="UNIQUE",PR!$BM943,IF(H945="VIXA",PR!$BN943,IF(H945="WWCV",PR!$BO943,IF(H945="ZOLON",PR!$BP943,"-"))))))))))))))))))))))))))))))))))))))))))))))))))))))))))))))))</f>
        <v>10500</v>
      </c>
      <c r="H945" s="102" t="str">
        <f>EV!M1206</f>
        <v>UBASTIC</v>
      </c>
      <c r="I945" s="108">
        <f>IF(J945="ALPHA",PR!$E943,IF(J945="ASSENE",PR!$F943,IF(J945="BIOFEM",PR!$G943,IF(J945="BIOMED",PR!$H943,IF(J945="CHI",PR!$I943,IF(J945="CLARION",PR!$J943,IF(J945="CODIX",PR!$K943,IF(J945="COSMADE",PR!$L943,IF(J945="SANCON",PR!$M943,IF(J945="DEVON",PR!$N943,IF(J945="DORTEMAG",PR!$O943,IF(J945="DGF",PR!$P943,IF(J945="DYNAMIC",PR!$Q943,IF(J945="EMZOR",PR!$R943,IF(J945="EUMATT",PR!$S943,IF(J945="FIDSON",PR!$T943,IF(J945="FCGLOBAL",PR!$U943,IF(J945="GENEITH",PR!$V943,IF(J945="GINOS",PR!$W943,IF(J945="GSK",PR!$X943,IF(J945="GLOBORG",PR!$Y943,IF(J945="GOODNEWS",PR!$Z943,IF(J945="GREENLIFE",PR!$AA943,IF(J945="HLINE",PR!$AB943,IF(J945="ROTECH",PR!$AC943,IF(J945="ISN",PR!$AD943,IF(J945="JAWA",PR!$AE943,IF(J945="LAYO",PR!$AF943,IF(J945="LEADWAY",PR!$AG943,IF(J945="LHV",PR!$AH943,IF(J945="MANOLA",PR!$AI943,IF(J945="MARCSON",PR!$AJ943,IF(J945="M&amp;B",PR!$AK943,IF(J945="MTRUST",PR!$AL943,IF(J945="MWORLD",PR!$AM943,IF(J945="MEGA",PR!$AN943,IF(J945="MICRONOVA",PR!$AO943,IF(J945="MFLASH",PR!$AP943,IF(J945="MORISON",PR!$AQ943,IF(J945="NEMEL",PR!$AR943,IF(J945="NHP",PR!$AS943,IF(J945="NHC",PR!$AT943,IF(J945="OLEAF",PR!$AU943,IF(J945="OCULUS",PR!$AV943,IF(J945="PACIFIC",PR!$AW943,IF(J945="PHAMATEX",PR!$AX943,IF(J945="PETHICS",PR!$AY943,IF(J945="PHILIPS",PR!$AZ943,IF(J945="RANBAXY",PR!$BA943,IF(J945="REALS",PR!$BB943,IF(J945="ROYAL",PR!$BC943,IF(J945="SAM",PR!$BD943,IF(J945="SEAGREEN",PR!$BE943,IF(J945="SKG",PR!$BF943,IF(J945="TAH",PR!$BG943,IF(J945="TAYLEK",PR!$BH943,IF(J945="TEMITA",PR!$BI943,IF(J945="THL",PR!$BJ943,IF(J945="UBASTIC",PR!$BK943,IF(J945="UNION",PR!$BL943,IF(J945="UNIQUE",PR!$BM943,IF(J945="VIXA",PR!$BN943,IF(J945="WWCV",PR!$BO943,IF(J945="ZOLON",PR!$BP943,"-"))))))))))))))))))))))))))))))))))))))))))))))))))))))))))))))))</f>
        <v>11800</v>
      </c>
      <c r="J945" s="102" t="str">
        <f>EV!N1206</f>
        <v>SANCON</v>
      </c>
      <c r="K945" s="433" t="s">
        <v>1463</v>
      </c>
      <c r="L945" s="183">
        <f>IF(K945&gt;0,IF(K945="ALPHA",PR!$E943,IF(K945="ASSENE",PR!$F943,IF(K945="BIOFEM",PR!$G943,IF(K945="BIOMED",PR!$H943,IF(K945="CHI",PR!$I943,IF(K945="CLARION",PR!$J943,IF(K945="CODIX",PR!$K943,IF(K945="COSMADE",PR!$L943,IF(K945="SANCON",PR!$M943,IF(K945="DEVON",PR!$N943,IF(K945="DORTEMAG",PR!$O943,IF(K945="DGF",PR!$P943,IF(K945="DYNAMIC",PR!$Q943,IF(K945="EMZOR",PR!$R943,IF(K945="EUMATT",PR!$S943,IF(K945="FIDSON",PR!$T943,IF(K945="FCGLOBAL",PR!$U943,IF(K945="GENEITH",PR!$V943,IF(K945="GINOS",PR!$W943,IF(K945="GSK",PR!$X943,IF(K945="GLOBORG",PR!$Y943,IF(K945="GOODNEWS",PR!$Z943,IF(K945="GREENLIFE",PR!$AA943,IF(K945="HLINE",PR!$AB943,IF(K945="ROTECH",PR!$AC943,IF(K945="ISN",PR!$AD943,IF(K945="JAWA",PR!$AE943,IF(K945="LAYO",PR!$AF943,IF(K945="LEADWAY",PR!$AG943,IF(K945="LHV",PR!$AH943,IF(K945="MANOLA",PR!$AI943,IF(K945="MARCSON",PR!$AJ943,IF(K945="M&amp;B",PR!$AK943,IF(K945="MTRUST",PR!$AL943,IF(K945="MWORLD",PR!$AM943,IF(K945="MEGA",PR!$AN943,IF(K945="MICRONOVA",PR!$AO943,IF(K945="MFLASH",PR!$AP943,IF(K945="MORISON",PR!$AQ943,IF(K945="NEMEL",PR!$AR943,IF(K945="NHP",PR!$AS943,IF(K945="NHC",PR!$AT943,IF(K945="OLEAF",PR!$AU943,IF(K945="OCULUS",PR!$AV943,IF(K945="PACIFIC",PR!$AW943,IF(K945="PHAMATEX",PR!$AX943,IF(K945="PETHICS",PR!$AY943,IF(K945="PHILIPS",PR!$AZ943,IF(K945="RANBAXY",PR!$BA943,IF(K945="REALS",PR!$BB943,IF(K945="ROYAL",PR!$BC943,IF(K945="SAM",PR!$BD943,IF(K945="SEAGREEN",PR!$BE943,IF(K945="SKG",PR!$BF943,IF(K945="TAH",PR!$BG943,IF(K945="TAYLEK",PR!$BH943,IF(K945="TEMITA",PR!$BI943,IF(K945="THL",PR!$BJ943,IF(K945="UBASTIC",PR!$BK943,IF(K945="UNION",PR!$BL943,IF(K945="UNIQUE",PR!$BM943,IF(K945="VIXA",PR!$BN943,IF(K945="WWCV",PR!$BO943,IF(K945="ZOLON",PR!$BP943,"-")))))))))))))))))))))))))))))))))))))))))))))))))))))))))))))))))</f>
        <v>5000</v>
      </c>
    </row>
    <row r="946" spans="1:12" ht="18.75" x14ac:dyDescent="0.3">
      <c r="A946" s="430">
        <f>PR!A944</f>
        <v>848</v>
      </c>
      <c r="B946" s="15" t="str">
        <f>PR!B944</f>
        <v>CRESYL VIOLET</v>
      </c>
      <c r="C946" s="113" t="str">
        <f>PR!D944</f>
        <v>1 bottle (25G)</v>
      </c>
      <c r="D946" s="113">
        <f>PR!C944</f>
        <v>1</v>
      </c>
      <c r="E946" s="108">
        <f>IF(F946="ALPHA",PR!$E944,IF(F946="ASSENE",PR!$F944,IF(F946="BIOFEM",PR!$G944,IF(F946="BIOMED",PR!$H944,IF(F946="CHI",PR!$I944,IF(F946="CLARION",PR!$J944,IF(F946="CODIX",PR!$K944,IF(F946="COSMADE",PR!$L944,IF(F946="SANCON",PR!$M944,IF(F946="DEVON",PR!$N944,IF(F946="DORTEMAG",PR!$O944,IF(F946="DGF",PR!$P944,IF(F946="DYNAMIC",PR!$Q944,IF(F946="EMZOR",PR!$R944,IF(F946="EUMATT",PR!$S944,IF(F946="FIDSON",PR!$T944,IF(F946="FCGLOBAL",PR!$U944,IF(F946="GENEITH",PR!$V944,IF(F946="GINOS",PR!$W944,IF(F946="GSK",PR!$X944,IF(F946="GLOBORG",PR!$Y944,IF(F946="GOODNEWS",PR!$Z944,IF(F946="GREENLIFE",PR!$AA944,IF(F946="HLINE",PR!$AB944,IF(F946="ROTECH",PR!$AC944,IF(F946="ISN",PR!$AD944,IF(F946="JAWA",PR!$AE944,IF(F946="LAYO",PR!$AF944,IF(F946="LEADWAY",PR!$AG944,IF(F946="LHV",PR!$AH944,IF(F946="MANOLA",PR!$AI944,IF(F946="MARCSON",PR!$AJ944,IF(F946="M&amp;B",PR!$AK944,IF(F946="MTRUST",PR!$AL944,IF(F946="MWORLD",PR!$AM944,IF(F946="MEGA",PR!$AN944,IF(F946="MICRONOVA",PR!$AO944,IF(F946="MFLASH",PR!$AP944,IF(F946="MORISON",PR!$AQ944,IF(F946="NEMEL",PR!$AR944,IF(F946="NHP",PR!$AS944,IF(F946="NHC",PR!$AT944,IF(F946="OLEAF",PR!$AU944,IF(F946="OCULUS",PR!$AV944,IF(F946="PACIFIC",PR!$AW944,IF(F946="PHAMATEX",PR!$AX944,IF(F946="PETHICS",PR!$AY944,IF(F946="PHILIPS",PR!$AZ944,IF(F946="RANBAXY",PR!$BA944,IF(F946="REALS",PR!$BB944,IF(F946="ROYAL",PR!$BC944,IF(F946="SAM",PR!$BD944,IF(F946="SEAGREEN",PR!$BE944,IF(F946="SKG",PR!$BF944,IF(F946="TAH",PR!$BG944,IF(F946="TAYLEK",PR!$BH944,IF(F946="TEMITA",PR!$BI944,IF(F946="THL",PR!$BJ944,IF(F946="UBASTIC",PR!$BK944,IF(F946="UNION",PR!$BL944,IF(F946="UNIQUE",PR!$BM944,IF(F946="VIXA",PR!$BN944,IF(F946="WWCV",PR!$BO944,IF(F946="ZOLON",PR!$BP944,"-"))))))))))))))))))))))))))))))))))))))))))))))))))))))))))))))))</f>
        <v>3500</v>
      </c>
      <c r="F946" s="102" t="str">
        <f>EV!L1207</f>
        <v>DYNAMIC</v>
      </c>
      <c r="G946" s="108">
        <f>IF(H946="ALPHA",PR!$E944,IF(H946="ASSENE",PR!$F944,IF(H946="BIOFEM",PR!$G944,IF(H946="BIOMED",PR!$H944,IF(H946="CHI",PR!$I944,IF(H946="CLARION",PR!$J944,IF(H946="CODIX",PR!$K944,IF(H946="COSMADE",PR!$L944,IF(H946="SANCON",PR!$M944,IF(H946="DEVON",PR!$N944,IF(H946="DORTEMAG",PR!$O944,IF(H946="DGF",PR!$P944,IF(H946="DYNAMIC",PR!$Q944,IF(H946="EMZOR",PR!$R944,IF(H946="EUMATT",PR!$S944,IF(H946="FIDSON",PR!$T944,IF(H946="FCGLOBAL",PR!$U944,IF(H946="GENEITH",PR!$V944,IF(H946="GINOS",PR!$W944,IF(H946="GSK",PR!$X944,IF(H946="GLOBORG",PR!$Y944,IF(H946="GOODNEWS",PR!$Z944,IF(H946="GREENLIFE",PR!$AA944,IF(H946="HLINE",PR!$AB944,IF(H946="ROTECH",PR!$AC944,IF(H946="ISN",PR!$AD944,IF(H946="JAWA",PR!$AE944,IF(H946="LAYO",PR!$AF944,IF(H946="LEADWAY",PR!$AG944,IF(H946="LHV",PR!$AH944,IF(H946="MANOLA",PR!$AI944,IF(H946="MARCSON",PR!$AJ944,IF(H946="M&amp;B",PR!$AK944,IF(H946="MTRUST",PR!$AL944,IF(H946="MWORLD",PR!$AM944,IF(H946="MEGA",PR!$AN944,IF(H946="MICRONOVA",PR!$AO944,IF(H946="MFLASH",PR!$AP944,IF(H946="MORISON",PR!$AQ944,IF(H946="NEMEL",PR!$AR944,IF(H946="NHP",PR!$AS944,IF(H946="NHC",PR!$AT944,IF(H946="OLEAF",PR!$AU944,IF(H946="OCULUS",PR!$AV944,IF(H946="PACIFIC",PR!$AW944,IF(H946="PHAMATEX",PR!$AX944,IF(H946="PETHICS",PR!$AY944,IF(H946="PHILIPS",PR!$AZ944,IF(H946="RANBAXY",PR!$BA944,IF(H946="REALS",PR!$BB944,IF(H946="ROYAL",PR!$BC944,IF(H946="SAM",PR!$BD944,IF(H946="SEAGREEN",PR!$BE944,IF(H946="SKG",PR!$BF944,IF(H946="TAH",PR!$BG944,IF(H946="TAYLEK",PR!$BH944,IF(H946="TEMITA",PR!$BI944,IF(H946="THL",PR!$BJ944,IF(H946="UBASTIC",PR!$BK944,IF(H946="UNION",PR!$BL944,IF(H946="UNIQUE",PR!$BM944,IF(H946="VIXA",PR!$BN944,IF(H946="WWCV",PR!$BO944,IF(H946="ZOLON",PR!$BP944,"-"))))))))))))))))))))))))))))))))))))))))))))))))))))))))))))))))</f>
        <v>4000</v>
      </c>
      <c r="H946" s="102" t="str">
        <f>EV!M1207</f>
        <v>SANCON</v>
      </c>
      <c r="I946" s="108">
        <f>IF(J946="ALPHA",PR!$E944,IF(J946="ASSENE",PR!$F944,IF(J946="BIOFEM",PR!$G944,IF(J946="BIOMED",PR!$H944,IF(J946="CHI",PR!$I944,IF(J946="CLARION",PR!$J944,IF(J946="CODIX",PR!$K944,IF(J946="COSMADE",PR!$L944,IF(J946="SANCON",PR!$M944,IF(J946="DEVON",PR!$N944,IF(J946="DORTEMAG",PR!$O944,IF(J946="DGF",PR!$P944,IF(J946="DYNAMIC",PR!$Q944,IF(J946="EMZOR",PR!$R944,IF(J946="EUMATT",PR!$S944,IF(J946="FIDSON",PR!$T944,IF(J946="FCGLOBAL",PR!$U944,IF(J946="GENEITH",PR!$V944,IF(J946="GINOS",PR!$W944,IF(J946="GSK",PR!$X944,IF(J946="GLOBORG",PR!$Y944,IF(J946="GOODNEWS",PR!$Z944,IF(J946="GREENLIFE",PR!$AA944,IF(J946="HLINE",PR!$AB944,IF(J946="ROTECH",PR!$AC944,IF(J946="ISN",PR!$AD944,IF(J946="JAWA",PR!$AE944,IF(J946="LAYO",PR!$AF944,IF(J946="LEADWAY",PR!$AG944,IF(J946="LHV",PR!$AH944,IF(J946="MANOLA",PR!$AI944,IF(J946="MARCSON",PR!$AJ944,IF(J946="M&amp;B",PR!$AK944,IF(J946="MTRUST",PR!$AL944,IF(J946="MWORLD",PR!$AM944,IF(J946="MEGA",PR!$AN944,IF(J946="MICRONOVA",PR!$AO944,IF(J946="MFLASH",PR!$AP944,IF(J946="MORISON",PR!$AQ944,IF(J946="NEMEL",PR!$AR944,IF(J946="NHP",PR!$AS944,IF(J946="NHC",PR!$AT944,IF(J946="OLEAF",PR!$AU944,IF(J946="OCULUS",PR!$AV944,IF(J946="PACIFIC",PR!$AW944,IF(J946="PHAMATEX",PR!$AX944,IF(J946="PETHICS",PR!$AY944,IF(J946="PHILIPS",PR!$AZ944,IF(J946="RANBAXY",PR!$BA944,IF(J946="REALS",PR!$BB944,IF(J946="ROYAL",PR!$BC944,IF(J946="SAM",PR!$BD944,IF(J946="SEAGREEN",PR!$BE944,IF(J946="SKG",PR!$BF944,IF(J946="TAH",PR!$BG944,IF(J946="TAYLEK",PR!$BH944,IF(J946="TEMITA",PR!$BI944,IF(J946="THL",PR!$BJ944,IF(J946="UBASTIC",PR!$BK944,IF(J946="UNION",PR!$BL944,IF(J946="UNIQUE",PR!$BM944,IF(J946="VIXA",PR!$BN944,IF(J946="WWCV",PR!$BO944,IF(J946="ZOLON",PR!$BP944,"-"))))))))))))))))))))))))))))))))))))))))))))))))))))))))))))))))</f>
        <v>4000</v>
      </c>
      <c r="J946" s="102" t="str">
        <f>EV!N1207</f>
        <v>TEMITA</v>
      </c>
      <c r="K946" s="433" t="s">
        <v>626</v>
      </c>
      <c r="L946" s="183">
        <f>IF(K946&gt;0,IF(K946="ALPHA",PR!$E944,IF(K946="ASSENE",PR!$F944,IF(K946="BIOFEM",PR!$G944,IF(K946="BIOMED",PR!$H944,IF(K946="CHI",PR!$I944,IF(K946="CLARION",PR!$J944,IF(K946="CODIX",PR!$K944,IF(K946="COSMADE",PR!$L944,IF(K946="SANCON",PR!$M944,IF(K946="DEVON",PR!$N944,IF(K946="DORTEMAG",PR!$O944,IF(K946="DGF",PR!$P944,IF(K946="DYNAMIC",PR!$Q944,IF(K946="EMZOR",PR!$R944,IF(K946="EUMATT",PR!$S944,IF(K946="FIDSON",PR!$T944,IF(K946="FCGLOBAL",PR!$U944,IF(K946="GENEITH",PR!$V944,IF(K946="GINOS",PR!$W944,IF(K946="GSK",PR!$X944,IF(K946="GLOBORG",PR!$Y944,IF(K946="GOODNEWS",PR!$Z944,IF(K946="GREENLIFE",PR!$AA944,IF(K946="HLINE",PR!$AB944,IF(K946="ROTECH",PR!$AC944,IF(K946="ISN",PR!$AD944,IF(K946="JAWA",PR!$AE944,IF(K946="LAYO",PR!$AF944,IF(K946="LEADWAY",PR!$AG944,IF(K946="LHV",PR!$AH944,IF(K946="MANOLA",PR!$AI944,IF(K946="MARCSON",PR!$AJ944,IF(K946="M&amp;B",PR!$AK944,IF(K946="MTRUST",PR!$AL944,IF(K946="MWORLD",PR!$AM944,IF(K946="MEGA",PR!$AN944,IF(K946="MICRONOVA",PR!$AO944,IF(K946="MFLASH",PR!$AP944,IF(K946="MORISON",PR!$AQ944,IF(K946="NEMEL",PR!$AR944,IF(K946="NHP",PR!$AS944,IF(K946="NHC",PR!$AT944,IF(K946="OLEAF",PR!$AU944,IF(K946="OCULUS",PR!$AV944,IF(K946="PACIFIC",PR!$AW944,IF(K946="PHAMATEX",PR!$AX944,IF(K946="PETHICS",PR!$AY944,IF(K946="PHILIPS",PR!$AZ944,IF(K946="RANBAXY",PR!$BA944,IF(K946="REALS",PR!$BB944,IF(K946="ROYAL",PR!$BC944,IF(K946="SAM",PR!$BD944,IF(K946="SEAGREEN",PR!$BE944,IF(K946="SKG",PR!$BF944,IF(K946="TAH",PR!$BG944,IF(K946="TAYLEK",PR!$BH944,IF(K946="TEMITA",PR!$BI944,IF(K946="THL",PR!$BJ944,IF(K946="UBASTIC",PR!$BK944,IF(K946="UNION",PR!$BL944,IF(K946="UNIQUE",PR!$BM944,IF(K946="VIXA",PR!$BN944,IF(K946="WWCV",PR!$BO944,IF(K946="ZOLON",PR!$BP944,"-")))))))))))))))))))))))))))))))))))))))))))))))))))))))))))))))))</f>
        <v>3500</v>
      </c>
    </row>
    <row r="947" spans="1:12" ht="18.75" x14ac:dyDescent="0.3">
      <c r="A947" s="430">
        <f>PR!A945</f>
        <v>849</v>
      </c>
      <c r="B947" s="15" t="str">
        <f>PR!B945</f>
        <v>FORMALIN</v>
      </c>
      <c r="C947" s="113" t="str">
        <f>PR!D945</f>
        <v>1 keg (40 Ltrs)</v>
      </c>
      <c r="D947" s="113">
        <f>PR!C945</f>
        <v>180</v>
      </c>
      <c r="E947" s="108">
        <f>IF(F947="ALPHA",PR!$E945,IF(F947="ASSENE",PR!$F945,IF(F947="BIOFEM",PR!$G945,IF(F947="BIOMED",PR!$H945,IF(F947="CHI",PR!$I945,IF(F947="CLARION",PR!$J945,IF(F947="CODIX",PR!$K945,IF(F947="COSMADE",PR!$L945,IF(F947="SANCON",PR!$M945,IF(F947="DEVON",PR!$N945,IF(F947="DORTEMAG",PR!$O945,IF(F947="DGF",PR!$P945,IF(F947="DYNAMIC",PR!$Q945,IF(F947="EMZOR",PR!$R945,IF(F947="EUMATT",PR!$S945,IF(F947="FIDSON",PR!$T945,IF(F947="FCGLOBAL",PR!$U945,IF(F947="GENEITH",PR!$V945,IF(F947="GINOS",PR!$W945,IF(F947="GSK",PR!$X945,IF(F947="GLOBORG",PR!$Y945,IF(F947="GOODNEWS",PR!$Z945,IF(F947="GREENLIFE",PR!$AA945,IF(F947="HLINE",PR!$AB945,IF(F947="ROTECH",PR!$AC945,IF(F947="ISN",PR!$AD945,IF(F947="JAWA",PR!$AE945,IF(F947="LAYO",PR!$AF945,IF(F947="LEADWAY",PR!$AG945,IF(F947="LHV",PR!$AH945,IF(F947="MANOLA",PR!$AI945,IF(F947="MARCSON",PR!$AJ945,IF(F947="M&amp;B",PR!$AK945,IF(F947="MTRUST",PR!$AL945,IF(F947="MWORLD",PR!$AM945,IF(F947="MEGA",PR!$AN945,IF(F947="MICRONOVA",PR!$AO945,IF(F947="MFLASH",PR!$AP945,IF(F947="MORISON",PR!$AQ945,IF(F947="NEMEL",PR!$AR945,IF(F947="NHP",PR!$AS945,IF(F947="NHC",PR!$AT945,IF(F947="OLEAF",PR!$AU945,IF(F947="OCULUS",PR!$AV945,IF(F947="PACIFIC",PR!$AW945,IF(F947="PHAMATEX",PR!$AX945,IF(F947="PETHICS",PR!$AY945,IF(F947="PHILIPS",PR!$AZ945,IF(F947="RANBAXY",PR!$BA945,IF(F947="REALS",PR!$BB945,IF(F947="ROYAL",PR!$BC945,IF(F947="SAM",PR!$BD945,IF(F947="SEAGREEN",PR!$BE945,IF(F947="SKG",PR!$BF945,IF(F947="TAH",PR!$BG945,IF(F947="TAYLEK",PR!$BH945,IF(F947="TEMITA",PR!$BI945,IF(F947="THL",PR!$BJ945,IF(F947="UBASTIC",PR!$BK945,IF(F947="UNION",PR!$BL945,IF(F947="UNIQUE",PR!$BM945,IF(F947="VIXA",PR!$BN945,IF(F947="WWCV",PR!$BO945,IF(F947="ZOLON",PR!$BP945,"-"))))))))))))))))))))))))))))))))))))))))))))))))))))))))))))))))</f>
        <v>9300</v>
      </c>
      <c r="F947" s="102" t="str">
        <f>EV!L1208</f>
        <v>TEMITA</v>
      </c>
      <c r="G947" s="108">
        <f>IF(H947="ALPHA",PR!$E945,IF(H947="ASSENE",PR!$F945,IF(H947="BIOFEM",PR!$G945,IF(H947="BIOMED",PR!$H945,IF(H947="CHI",PR!$I945,IF(H947="CLARION",PR!$J945,IF(H947="CODIX",PR!$K945,IF(H947="COSMADE",PR!$L945,IF(H947="SANCON",PR!$M945,IF(H947="DEVON",PR!$N945,IF(H947="DORTEMAG",PR!$O945,IF(H947="DGF",PR!$P945,IF(H947="DYNAMIC",PR!$Q945,IF(H947="EMZOR",PR!$R945,IF(H947="EUMATT",PR!$S945,IF(H947="FIDSON",PR!$T945,IF(H947="FCGLOBAL",PR!$U945,IF(H947="GENEITH",PR!$V945,IF(H947="GINOS",PR!$W945,IF(H947="GSK",PR!$X945,IF(H947="GLOBORG",PR!$Y945,IF(H947="GOODNEWS",PR!$Z945,IF(H947="GREENLIFE",PR!$AA945,IF(H947="HLINE",PR!$AB945,IF(H947="ROTECH",PR!$AC945,IF(H947="ISN",PR!$AD945,IF(H947="JAWA",PR!$AE945,IF(H947="LAYO",PR!$AF945,IF(H947="LEADWAY",PR!$AG945,IF(H947="LHV",PR!$AH945,IF(H947="MANOLA",PR!$AI945,IF(H947="MARCSON",PR!$AJ945,IF(H947="M&amp;B",PR!$AK945,IF(H947="MTRUST",PR!$AL945,IF(H947="MWORLD",PR!$AM945,IF(H947="MEGA",PR!$AN945,IF(H947="MICRONOVA",PR!$AO945,IF(H947="MFLASH",PR!$AP945,IF(H947="MORISON",PR!$AQ945,IF(H947="NEMEL",PR!$AR945,IF(H947="NHP",PR!$AS945,IF(H947="NHC",PR!$AT945,IF(H947="OLEAF",PR!$AU945,IF(H947="OCULUS",PR!$AV945,IF(H947="PACIFIC",PR!$AW945,IF(H947="PHAMATEX",PR!$AX945,IF(H947="PETHICS",PR!$AY945,IF(H947="PHILIPS",PR!$AZ945,IF(H947="RANBAXY",PR!$BA945,IF(H947="REALS",PR!$BB945,IF(H947="ROYAL",PR!$BC945,IF(H947="SAM",PR!$BD945,IF(H947="SEAGREEN",PR!$BE945,IF(H947="SKG",PR!$BF945,IF(H947="TAH",PR!$BG945,IF(H947="TAYLEK",PR!$BH945,IF(H947="TEMITA",PR!$BI945,IF(H947="THL",PR!$BJ945,IF(H947="UBASTIC",PR!$BK945,IF(H947="UNION",PR!$BL945,IF(H947="UNIQUE",PR!$BM945,IF(H947="VIXA",PR!$BN945,IF(H947="WWCV",PR!$BO945,IF(H947="ZOLON",PR!$BP945,"-"))))))))))))))))))))))))))))))))))))))))))))))))))))))))))))))))</f>
        <v>9500</v>
      </c>
      <c r="H947" s="102" t="str">
        <f>EV!M1208</f>
        <v>COSMADE</v>
      </c>
      <c r="I947" s="108">
        <f>IF(J947="ALPHA",PR!$E945,IF(J947="ASSENE",PR!$F945,IF(J947="BIOFEM",PR!$G945,IF(J947="BIOMED",PR!$H945,IF(J947="CHI",PR!$I945,IF(J947="CLARION",PR!$J945,IF(J947="CODIX",PR!$K945,IF(J947="COSMADE",PR!$L945,IF(J947="SANCON",PR!$M945,IF(J947="DEVON",PR!$N945,IF(J947="DORTEMAG",PR!$O945,IF(J947="DGF",PR!$P945,IF(J947="DYNAMIC",PR!$Q945,IF(J947="EMZOR",PR!$R945,IF(J947="EUMATT",PR!$S945,IF(J947="FIDSON",PR!$T945,IF(J947="FCGLOBAL",PR!$U945,IF(J947="GENEITH",PR!$V945,IF(J947="GINOS",PR!$W945,IF(J947="GSK",PR!$X945,IF(J947="GLOBORG",PR!$Y945,IF(J947="GOODNEWS",PR!$Z945,IF(J947="GREENLIFE",PR!$AA945,IF(J947="HLINE",PR!$AB945,IF(J947="ROTECH",PR!$AC945,IF(J947="ISN",PR!$AD945,IF(J947="JAWA",PR!$AE945,IF(J947="LAYO",PR!$AF945,IF(J947="LEADWAY",PR!$AG945,IF(J947="LHV",PR!$AH945,IF(J947="MANOLA",PR!$AI945,IF(J947="MARCSON",PR!$AJ945,IF(J947="M&amp;B",PR!$AK945,IF(J947="MTRUST",PR!$AL945,IF(J947="MWORLD",PR!$AM945,IF(J947="MEGA",PR!$AN945,IF(J947="MICRONOVA",PR!$AO945,IF(J947="MFLASH",PR!$AP945,IF(J947="MORISON",PR!$AQ945,IF(J947="NEMEL",PR!$AR945,IF(J947="NHP",PR!$AS945,IF(J947="NHC",PR!$AT945,IF(J947="OLEAF",PR!$AU945,IF(J947="OCULUS",PR!$AV945,IF(J947="PACIFIC",PR!$AW945,IF(J947="PHAMATEX",PR!$AX945,IF(J947="PETHICS",PR!$AY945,IF(J947="PHILIPS",PR!$AZ945,IF(J947="RANBAXY",PR!$BA945,IF(J947="REALS",PR!$BB945,IF(J947="ROYAL",PR!$BC945,IF(J947="SAM",PR!$BD945,IF(J947="SEAGREEN",PR!$BE945,IF(J947="SKG",PR!$BF945,IF(J947="TAH",PR!$BG945,IF(J947="TAYLEK",PR!$BH945,IF(J947="TEMITA",PR!$BI945,IF(J947="THL",PR!$BJ945,IF(J947="UBASTIC",PR!$BK945,IF(J947="UNION",PR!$BL945,IF(J947="UNIQUE",PR!$BM945,IF(J947="VIXA",PR!$BN945,IF(J947="WWCV",PR!$BO945,IF(J947="ZOLON",PR!$BP945,"-"))))))))))))))))))))))))))))))))))))))))))))))))))))))))))))))))</f>
        <v>10300</v>
      </c>
      <c r="J947" s="102" t="str">
        <f>EV!N1208</f>
        <v>UBASTIC</v>
      </c>
      <c r="K947" s="433" t="s">
        <v>1463</v>
      </c>
      <c r="L947" s="183">
        <f>IF(K947&gt;0,IF(K947="ALPHA",PR!$E945,IF(K947="ASSENE",PR!$F945,IF(K947="BIOFEM",PR!$G945,IF(K947="BIOMED",PR!$H945,IF(K947="CHI",PR!$I945,IF(K947="CLARION",PR!$J945,IF(K947="CODIX",PR!$K945,IF(K947="COSMADE",PR!$L945,IF(K947="SANCON",PR!$M945,IF(K947="DEVON",PR!$N945,IF(K947="DORTEMAG",PR!$O945,IF(K947="DGF",PR!$P945,IF(K947="DYNAMIC",PR!$Q945,IF(K947="EMZOR",PR!$R945,IF(K947="EUMATT",PR!$S945,IF(K947="FIDSON",PR!$T945,IF(K947="FCGLOBAL",PR!$U945,IF(K947="GENEITH",PR!$V945,IF(K947="GINOS",PR!$W945,IF(K947="GSK",PR!$X945,IF(K947="GLOBORG",PR!$Y945,IF(K947="GOODNEWS",PR!$Z945,IF(K947="GREENLIFE",PR!$AA945,IF(K947="HLINE",PR!$AB945,IF(K947="ROTECH",PR!$AC945,IF(K947="ISN",PR!$AD945,IF(K947="JAWA",PR!$AE945,IF(K947="LAYO",PR!$AF945,IF(K947="LEADWAY",PR!$AG945,IF(K947="LHV",PR!$AH945,IF(K947="MANOLA",PR!$AI945,IF(K947="MARCSON",PR!$AJ945,IF(K947="M&amp;B",PR!$AK945,IF(K947="MTRUST",PR!$AL945,IF(K947="MWORLD",PR!$AM945,IF(K947="MEGA",PR!$AN945,IF(K947="MICRONOVA",PR!$AO945,IF(K947="MFLASH",PR!$AP945,IF(K947="MORISON",PR!$AQ945,IF(K947="NEMEL",PR!$AR945,IF(K947="NHP",PR!$AS945,IF(K947="NHC",PR!$AT945,IF(K947="OLEAF",PR!$AU945,IF(K947="OCULUS",PR!$AV945,IF(K947="PACIFIC",PR!$AW945,IF(K947="PHAMATEX",PR!$AX945,IF(K947="PETHICS",PR!$AY945,IF(K947="PHILIPS",PR!$AZ945,IF(K947="RANBAXY",PR!$BA945,IF(K947="REALS",PR!$BB945,IF(K947="ROYAL",PR!$BC945,IF(K947="SAM",PR!$BD945,IF(K947="SEAGREEN",PR!$BE945,IF(K947="SKG",PR!$BF945,IF(K947="TAH",PR!$BG945,IF(K947="TAYLEK",PR!$BH945,IF(K947="TEMITA",PR!$BI945,IF(K947="THL",PR!$BJ945,IF(K947="UBASTIC",PR!$BK945,IF(K947="UNION",PR!$BL945,IF(K947="UNIQUE",PR!$BM945,IF(K947="VIXA",PR!$BN945,IF(K947="WWCV",PR!$BO945,IF(K947="ZOLON",PR!$BP945,"-")))))))))))))))))))))))))))))))))))))))))))))))))))))))))))))))))</f>
        <v>9300</v>
      </c>
    </row>
    <row r="948" spans="1:12" ht="18.75" x14ac:dyDescent="0.3">
      <c r="A948" s="430">
        <f>PR!A946</f>
        <v>850</v>
      </c>
      <c r="B948" s="15" t="str">
        <f>PR!B946</f>
        <v>FROSTED END SLIDE</v>
      </c>
      <c r="C948" s="113" t="str">
        <f>PR!D946</f>
        <v>1 Carton (40packs)</v>
      </c>
      <c r="D948" s="113">
        <f>PR!C946</f>
        <v>20</v>
      </c>
      <c r="E948" s="108">
        <f>IF(F948="ALPHA",PR!$E946,IF(F948="ASSENE",PR!$F946,IF(F948="BIOFEM",PR!$G946,IF(F948="BIOMED",PR!$H946,IF(F948="CHI",PR!$I946,IF(F948="CLARION",PR!$J946,IF(F948="CODIX",PR!$K946,IF(F948="COSMADE",PR!$L946,IF(F948="SANCON",PR!$M946,IF(F948="DEVON",PR!$N946,IF(F948="DORTEMAG",PR!$O946,IF(F948="DGF",PR!$P946,IF(F948="DYNAMIC",PR!$Q946,IF(F948="EMZOR",PR!$R946,IF(F948="EUMATT",PR!$S946,IF(F948="FIDSON",PR!$T946,IF(F948="FCGLOBAL",PR!$U946,IF(F948="GENEITH",PR!$V946,IF(F948="GINOS",PR!$W946,IF(F948="GSK",PR!$X946,IF(F948="GLOBORG",PR!$Y946,IF(F948="GOODNEWS",PR!$Z946,IF(F948="GREENLIFE",PR!$AA946,IF(F948="HLINE",PR!$AB946,IF(F948="ROTECH",PR!$AC946,IF(F948="ISN",PR!$AD946,IF(F948="JAWA",PR!$AE946,IF(F948="LAYO",PR!$AF946,IF(F948="LEADWAY",PR!$AG946,IF(F948="LHV",PR!$AH946,IF(F948="MANOLA",PR!$AI946,IF(F948="MARCSON",PR!$AJ946,IF(F948="M&amp;B",PR!$AK946,IF(F948="MTRUST",PR!$AL946,IF(F948="MWORLD",PR!$AM946,IF(F948="MEGA",PR!$AN946,IF(F948="MICRONOVA",PR!$AO946,IF(F948="MFLASH",PR!$AP946,IF(F948="MORISON",PR!$AQ946,IF(F948="NEMEL",PR!$AR946,IF(F948="NHP",PR!$AS946,IF(F948="NHC",PR!$AT946,IF(F948="OLEAF",PR!$AU946,IF(F948="OCULUS",PR!$AV946,IF(F948="PACIFIC",PR!$AW946,IF(F948="PHAMATEX",PR!$AX946,IF(F948="PETHICS",PR!$AY946,IF(F948="PHILIPS",PR!$AZ946,IF(F948="RANBAXY",PR!$BA946,IF(F948="REALS",PR!$BB946,IF(F948="ROYAL",PR!$BC946,IF(F948="SAM",PR!$BD946,IF(F948="SEAGREEN",PR!$BE946,IF(F948="SKG",PR!$BF946,IF(F948="TAH",PR!$BG946,IF(F948="TAYLEK",PR!$BH946,IF(F948="TEMITA",PR!$BI946,IF(F948="THL",PR!$BJ946,IF(F948="UBASTIC",PR!$BK946,IF(F948="UNION",PR!$BL946,IF(F948="UNIQUE",PR!$BM946,IF(F948="VIXA",PR!$BN946,IF(F948="WWCV",PR!$BO946,IF(F948="ZOLON",PR!$BP946,"-"))))))))))))))))))))))))))))))))))))))))))))))))))))))))))))))))</f>
        <v>18000</v>
      </c>
      <c r="F948" s="102" t="str">
        <f>EV!L1209</f>
        <v>COSMADE</v>
      </c>
      <c r="G948" s="108">
        <f>IF(H948="ALPHA",PR!$E946,IF(H948="ASSENE",PR!$F946,IF(H948="BIOFEM",PR!$G946,IF(H948="BIOMED",PR!$H946,IF(H948="CHI",PR!$I946,IF(H948="CLARION",PR!$J946,IF(H948="CODIX",PR!$K946,IF(H948="COSMADE",PR!$L946,IF(H948="SANCON",PR!$M946,IF(H948="DEVON",PR!$N946,IF(H948="DORTEMAG",PR!$O946,IF(H948="DGF",PR!$P946,IF(H948="DYNAMIC",PR!$Q946,IF(H948="EMZOR",PR!$R946,IF(H948="EUMATT",PR!$S946,IF(H948="FIDSON",PR!$T946,IF(H948="FCGLOBAL",PR!$U946,IF(H948="GENEITH",PR!$V946,IF(H948="GINOS",PR!$W946,IF(H948="GSK",PR!$X946,IF(H948="GLOBORG",PR!$Y946,IF(H948="GOODNEWS",PR!$Z946,IF(H948="GREENLIFE",PR!$AA946,IF(H948="HLINE",PR!$AB946,IF(H948="ROTECH",PR!$AC946,IF(H948="ISN",PR!$AD946,IF(H948="JAWA",PR!$AE946,IF(H948="LAYO",PR!$AF946,IF(H948="LEADWAY",PR!$AG946,IF(H948="LHV",PR!$AH946,IF(H948="MANOLA",PR!$AI946,IF(H948="MARCSON",PR!$AJ946,IF(H948="M&amp;B",PR!$AK946,IF(H948="MTRUST",PR!$AL946,IF(H948="MWORLD",PR!$AM946,IF(H948="MEGA",PR!$AN946,IF(H948="MICRONOVA",PR!$AO946,IF(H948="MFLASH",PR!$AP946,IF(H948="MORISON",PR!$AQ946,IF(H948="NEMEL",PR!$AR946,IF(H948="NHP",PR!$AS946,IF(H948="NHC",PR!$AT946,IF(H948="OLEAF",PR!$AU946,IF(H948="OCULUS",PR!$AV946,IF(H948="PACIFIC",PR!$AW946,IF(H948="PHAMATEX",PR!$AX946,IF(H948="PETHICS",PR!$AY946,IF(H948="PHILIPS",PR!$AZ946,IF(H948="RANBAXY",PR!$BA946,IF(H948="REALS",PR!$BB946,IF(H948="ROYAL",PR!$BC946,IF(H948="SAM",PR!$BD946,IF(H948="SEAGREEN",PR!$BE946,IF(H948="SKG",PR!$BF946,IF(H948="TAH",PR!$BG946,IF(H948="TAYLEK",PR!$BH946,IF(H948="TEMITA",PR!$BI946,IF(H948="THL",PR!$BJ946,IF(H948="UBASTIC",PR!$BK946,IF(H948="UNION",PR!$BL946,IF(H948="UNIQUE",PR!$BM946,IF(H948="VIXA",PR!$BN946,IF(H948="WWCV",PR!$BO946,IF(H948="ZOLON",PR!$BP946,"-"))))))))))))))))))))))))))))))))))))))))))))))))))))))))))))))))</f>
        <v>18000</v>
      </c>
      <c r="H948" s="102" t="str">
        <f>EV!M1209</f>
        <v>SANCON</v>
      </c>
      <c r="I948" s="108">
        <f>IF(J948="ALPHA",PR!$E946,IF(J948="ASSENE",PR!$F946,IF(J948="BIOFEM",PR!$G946,IF(J948="BIOMED",PR!$H946,IF(J948="CHI",PR!$I946,IF(J948="CLARION",PR!$J946,IF(J948="CODIX",PR!$K946,IF(J948="COSMADE",PR!$L946,IF(J948="SANCON",PR!$M946,IF(J948="DEVON",PR!$N946,IF(J948="DORTEMAG",PR!$O946,IF(J948="DGF",PR!$P946,IF(J948="DYNAMIC",PR!$Q946,IF(J948="EMZOR",PR!$R946,IF(J948="EUMATT",PR!$S946,IF(J948="FIDSON",PR!$T946,IF(J948="FCGLOBAL",PR!$U946,IF(J948="GENEITH",PR!$V946,IF(J948="GINOS",PR!$W946,IF(J948="GSK",PR!$X946,IF(J948="GLOBORG",PR!$Y946,IF(J948="GOODNEWS",PR!$Z946,IF(J948="GREENLIFE",PR!$AA946,IF(J948="HLINE",PR!$AB946,IF(J948="ROTECH",PR!$AC946,IF(J948="ISN",PR!$AD946,IF(J948="JAWA",PR!$AE946,IF(J948="LAYO",PR!$AF946,IF(J948="LEADWAY",PR!$AG946,IF(J948="LHV",PR!$AH946,IF(J948="MANOLA",PR!$AI946,IF(J948="MARCSON",PR!$AJ946,IF(J948="M&amp;B",PR!$AK946,IF(J948="MTRUST",PR!$AL946,IF(J948="MWORLD",PR!$AM946,IF(J948="MEGA",PR!$AN946,IF(J948="MICRONOVA",PR!$AO946,IF(J948="MFLASH",PR!$AP946,IF(J948="MORISON",PR!$AQ946,IF(J948="NEMEL",PR!$AR946,IF(J948="NHP",PR!$AS946,IF(J948="NHC",PR!$AT946,IF(J948="OLEAF",PR!$AU946,IF(J948="OCULUS",PR!$AV946,IF(J948="PACIFIC",PR!$AW946,IF(J948="PHAMATEX",PR!$AX946,IF(J948="PETHICS",PR!$AY946,IF(J948="PHILIPS",PR!$AZ946,IF(J948="RANBAXY",PR!$BA946,IF(J948="REALS",PR!$BB946,IF(J948="ROYAL",PR!$BC946,IF(J948="SAM",PR!$BD946,IF(J948="SEAGREEN",PR!$BE946,IF(J948="SKG",PR!$BF946,IF(J948="TAH",PR!$BG946,IF(J948="TAYLEK",PR!$BH946,IF(J948="TEMITA",PR!$BI946,IF(J948="THL",PR!$BJ946,IF(J948="UBASTIC",PR!$BK946,IF(J948="UNION",PR!$BL946,IF(J948="UNIQUE",PR!$BM946,IF(J948="VIXA",PR!$BN946,IF(J948="WWCV",PR!$BO946,IF(J948="ZOLON",PR!$BP946,"-"))))))))))))))))))))))))))))))))))))))))))))))))))))))))))))))))</f>
        <v>19375</v>
      </c>
      <c r="J948" s="102" t="str">
        <f>EV!N1209</f>
        <v>DYNAMIC</v>
      </c>
      <c r="K948" s="433" t="s">
        <v>2076</v>
      </c>
      <c r="L948" s="183" t="str">
        <f>IF(K948&gt;0,IF(K948="ALPHA",PR!$E946,IF(K948="ASSENE",PR!$F946,IF(K948="BIOFEM",PR!$G946,IF(K948="BIOMED",PR!$H946,IF(K948="CHI",PR!$I946,IF(K948="CLARION",PR!$J946,IF(K948="CODIX",PR!$K946,IF(K948="COSMADE",PR!$L946,IF(K948="SANCON",PR!$M946,IF(K948="DEVON",PR!$N946,IF(K948="DORTEMAG",PR!$O946,IF(K948="DGF",PR!$P946,IF(K948="DYNAMIC",PR!$Q946,IF(K948="EMZOR",PR!$R946,IF(K948="EUMATT",PR!$S946,IF(K948="FIDSON",PR!$T946,IF(K948="FCGLOBAL",PR!$U946,IF(K948="GENEITH",PR!$V946,IF(K948="GINOS",PR!$W946,IF(K948="GSK",PR!$X946,IF(K948="GLOBORG",PR!$Y946,IF(K948="GOODNEWS",PR!$Z946,IF(K948="GREENLIFE",PR!$AA946,IF(K948="HLINE",PR!$AB946,IF(K948="ROTECH",PR!$AC946,IF(K948="ISN",PR!$AD946,IF(K948="JAWA",PR!$AE946,IF(K948="LAYO",PR!$AF946,IF(K948="LEADWAY",PR!$AG946,IF(K948="LHV",PR!$AH946,IF(K948="MANOLA",PR!$AI946,IF(K948="MARCSON",PR!$AJ946,IF(K948="M&amp;B",PR!$AK946,IF(K948="MTRUST",PR!$AL946,IF(K948="MWORLD",PR!$AM946,IF(K948="MEGA",PR!$AN946,IF(K948="MICRONOVA",PR!$AO946,IF(K948="MFLASH",PR!$AP946,IF(K948="MORISON",PR!$AQ946,IF(K948="NEMEL",PR!$AR946,IF(K948="NHP",PR!$AS946,IF(K948="NHC",PR!$AT946,IF(K948="OLEAF",PR!$AU946,IF(K948="OCULUS",PR!$AV946,IF(K948="PACIFIC",PR!$AW946,IF(K948="PHAMATEX",PR!$AX946,IF(K948="PETHICS",PR!$AY946,IF(K948="PHILIPS",PR!$AZ946,IF(K948="RANBAXY",PR!$BA946,IF(K948="REALS",PR!$BB946,IF(K948="ROYAL",PR!$BC946,IF(K948="SAM",PR!$BD946,IF(K948="SEAGREEN",PR!$BE946,IF(K948="SKG",PR!$BF946,IF(K948="TAH",PR!$BG946,IF(K948="TAYLEK",PR!$BH946,IF(K948="TEMITA",PR!$BI946,IF(K948="THL",PR!$BJ946,IF(K948="UBASTIC",PR!$BK946,IF(K948="UNION",PR!$BL946,IF(K948="UNIQUE",PR!$BM946,IF(K948="VIXA",PR!$BN946,IF(K948="WWCV",PR!$BO946,IF(K948="ZOLON",PR!$BP946,"-")))))))))))))))))))))))))))))))))))))))))))))))))))))))))))))))))</f>
        <v>-</v>
      </c>
    </row>
    <row r="949" spans="1:12" ht="18.75" x14ac:dyDescent="0.3">
      <c r="A949" s="430">
        <f>PR!A947</f>
        <v>851</v>
      </c>
      <c r="B949" s="15" t="str">
        <f>PR!B947</f>
        <v>GLACIAL ACETIC ACID</v>
      </c>
      <c r="C949" s="113" t="str">
        <f>PR!D947</f>
        <v>1 bottle (2.5L)</v>
      </c>
      <c r="D949" s="113">
        <f>PR!C947</f>
        <v>5</v>
      </c>
      <c r="E949" s="108">
        <f>IF(F949="ALPHA",PR!$E947,IF(F949="ASSENE",PR!$F947,IF(F949="BIOFEM",PR!$G947,IF(F949="BIOMED",PR!$H947,IF(F949="CHI",PR!$I947,IF(F949="CLARION",PR!$J947,IF(F949="CODIX",PR!$K947,IF(F949="COSMADE",PR!$L947,IF(F949="SANCON",PR!$M947,IF(F949="DEVON",PR!$N947,IF(F949="DORTEMAG",PR!$O947,IF(F949="DGF",PR!$P947,IF(F949="DYNAMIC",PR!$Q947,IF(F949="EMZOR",PR!$R947,IF(F949="EUMATT",PR!$S947,IF(F949="FIDSON",PR!$T947,IF(F949="FCGLOBAL",PR!$U947,IF(F949="GENEITH",PR!$V947,IF(F949="GINOS",PR!$W947,IF(F949="GSK",PR!$X947,IF(F949="GLOBORG",PR!$Y947,IF(F949="GOODNEWS",PR!$Z947,IF(F949="GREENLIFE",PR!$AA947,IF(F949="HLINE",PR!$AB947,IF(F949="ROTECH",PR!$AC947,IF(F949="ISN",PR!$AD947,IF(F949="JAWA",PR!$AE947,IF(F949="LAYO",PR!$AF947,IF(F949="LEADWAY",PR!$AG947,IF(F949="LHV",PR!$AH947,IF(F949="MANOLA",PR!$AI947,IF(F949="MARCSON",PR!$AJ947,IF(F949="M&amp;B",PR!$AK947,IF(F949="MTRUST",PR!$AL947,IF(F949="MWORLD",PR!$AM947,IF(F949="MEGA",PR!$AN947,IF(F949="MICRONOVA",PR!$AO947,IF(F949="MFLASH",PR!$AP947,IF(F949="MORISON",PR!$AQ947,IF(F949="NEMEL",PR!$AR947,IF(F949="NHP",PR!$AS947,IF(F949="NHC",PR!$AT947,IF(F949="OLEAF",PR!$AU947,IF(F949="OCULUS",PR!$AV947,IF(F949="PACIFIC",PR!$AW947,IF(F949="PHAMATEX",PR!$AX947,IF(F949="PETHICS",PR!$AY947,IF(F949="PHILIPS",PR!$AZ947,IF(F949="RANBAXY",PR!$BA947,IF(F949="REALS",PR!$BB947,IF(F949="ROYAL",PR!$BC947,IF(F949="SAM",PR!$BD947,IF(F949="SEAGREEN",PR!$BE947,IF(F949="SKG",PR!$BF947,IF(F949="TAH",PR!$BG947,IF(F949="TAYLEK",PR!$BH947,IF(F949="TEMITA",PR!$BI947,IF(F949="THL",PR!$BJ947,IF(F949="UBASTIC",PR!$BK947,IF(F949="UNION",PR!$BL947,IF(F949="UNIQUE",PR!$BM947,IF(F949="VIXA",PR!$BN947,IF(F949="WWCV",PR!$BO947,IF(F949="ZOLON",PR!$BP947,"-"))))))))))))))))))))))))))))))))))))))))))))))))))))))))))))))))</f>
        <v>7500</v>
      </c>
      <c r="F949" s="102" t="str">
        <f>EV!L1210</f>
        <v>COSMADE</v>
      </c>
      <c r="G949" s="108">
        <f>IF(H949="ALPHA",PR!$E947,IF(H949="ASSENE",PR!$F947,IF(H949="BIOFEM",PR!$G947,IF(H949="BIOMED",PR!$H947,IF(H949="CHI",PR!$I947,IF(H949="CLARION",PR!$J947,IF(H949="CODIX",PR!$K947,IF(H949="COSMADE",PR!$L947,IF(H949="SANCON",PR!$M947,IF(H949="DEVON",PR!$N947,IF(H949="DORTEMAG",PR!$O947,IF(H949="DGF",PR!$P947,IF(H949="DYNAMIC",PR!$Q947,IF(H949="EMZOR",PR!$R947,IF(H949="EUMATT",PR!$S947,IF(H949="FIDSON",PR!$T947,IF(H949="FCGLOBAL",PR!$U947,IF(H949="GENEITH",PR!$V947,IF(H949="GINOS",PR!$W947,IF(H949="GSK",PR!$X947,IF(H949="GLOBORG",PR!$Y947,IF(H949="GOODNEWS",PR!$Z947,IF(H949="GREENLIFE",PR!$AA947,IF(H949="HLINE",PR!$AB947,IF(H949="ROTECH",PR!$AC947,IF(H949="ISN",PR!$AD947,IF(H949="JAWA",PR!$AE947,IF(H949="LAYO",PR!$AF947,IF(H949="LEADWAY",PR!$AG947,IF(H949="LHV",PR!$AH947,IF(H949="MANOLA",PR!$AI947,IF(H949="MARCSON",PR!$AJ947,IF(H949="M&amp;B",PR!$AK947,IF(H949="MTRUST",PR!$AL947,IF(H949="MWORLD",PR!$AM947,IF(H949="MEGA",PR!$AN947,IF(H949="MICRONOVA",PR!$AO947,IF(H949="MFLASH",PR!$AP947,IF(H949="MORISON",PR!$AQ947,IF(H949="NEMEL",PR!$AR947,IF(H949="NHP",PR!$AS947,IF(H949="NHC",PR!$AT947,IF(H949="OLEAF",PR!$AU947,IF(H949="OCULUS",PR!$AV947,IF(H949="PACIFIC",PR!$AW947,IF(H949="PHAMATEX",PR!$AX947,IF(H949="PETHICS",PR!$AY947,IF(H949="PHILIPS",PR!$AZ947,IF(H949="RANBAXY",PR!$BA947,IF(H949="REALS",PR!$BB947,IF(H949="ROYAL",PR!$BC947,IF(H949="SAM",PR!$BD947,IF(H949="SEAGREEN",PR!$BE947,IF(H949="SKG",PR!$BF947,IF(H949="TAH",PR!$BG947,IF(H949="TAYLEK",PR!$BH947,IF(H949="TEMITA",PR!$BI947,IF(H949="THL",PR!$BJ947,IF(H949="UBASTIC",PR!$BK947,IF(H949="UNION",PR!$BL947,IF(H949="UNIQUE",PR!$BM947,IF(H949="VIXA",PR!$BN947,IF(H949="WWCV",PR!$BO947,IF(H949="ZOLON",PR!$BP947,"-"))))))))))))))))))))))))))))))))))))))))))))))))))))))))))))))))</f>
        <v>9800</v>
      </c>
      <c r="H949" s="102" t="str">
        <f>EV!M1210</f>
        <v>TEMITA</v>
      </c>
      <c r="I949" s="108">
        <f>IF(J949="ALPHA",PR!$E947,IF(J949="ASSENE",PR!$F947,IF(J949="BIOFEM",PR!$G947,IF(J949="BIOMED",PR!$H947,IF(J949="CHI",PR!$I947,IF(J949="CLARION",PR!$J947,IF(J949="CODIX",PR!$K947,IF(J949="COSMADE",PR!$L947,IF(J949="SANCON",PR!$M947,IF(J949="DEVON",PR!$N947,IF(J949="DORTEMAG",PR!$O947,IF(J949="DGF",PR!$P947,IF(J949="DYNAMIC",PR!$Q947,IF(J949="EMZOR",PR!$R947,IF(J949="EUMATT",PR!$S947,IF(J949="FIDSON",PR!$T947,IF(J949="FCGLOBAL",PR!$U947,IF(J949="GENEITH",PR!$V947,IF(J949="GINOS",PR!$W947,IF(J949="GSK",PR!$X947,IF(J949="GLOBORG",PR!$Y947,IF(J949="GOODNEWS",PR!$Z947,IF(J949="GREENLIFE",PR!$AA947,IF(J949="HLINE",PR!$AB947,IF(J949="ROTECH",PR!$AC947,IF(J949="ISN",PR!$AD947,IF(J949="JAWA",PR!$AE947,IF(J949="LAYO",PR!$AF947,IF(J949="LEADWAY",PR!$AG947,IF(J949="LHV",PR!$AH947,IF(J949="MANOLA",PR!$AI947,IF(J949="MARCSON",PR!$AJ947,IF(J949="M&amp;B",PR!$AK947,IF(J949="MTRUST",PR!$AL947,IF(J949="MWORLD",PR!$AM947,IF(J949="MEGA",PR!$AN947,IF(J949="MICRONOVA",PR!$AO947,IF(J949="MFLASH",PR!$AP947,IF(J949="MORISON",PR!$AQ947,IF(J949="NEMEL",PR!$AR947,IF(J949="NHP",PR!$AS947,IF(J949="NHC",PR!$AT947,IF(J949="OLEAF",PR!$AU947,IF(J949="OCULUS",PR!$AV947,IF(J949="PACIFIC",PR!$AW947,IF(J949="PHAMATEX",PR!$AX947,IF(J949="PETHICS",PR!$AY947,IF(J949="PHILIPS",PR!$AZ947,IF(J949="RANBAXY",PR!$BA947,IF(J949="REALS",PR!$BB947,IF(J949="ROYAL",PR!$BC947,IF(J949="SAM",PR!$BD947,IF(J949="SEAGREEN",PR!$BE947,IF(J949="SKG",PR!$BF947,IF(J949="TAH",PR!$BG947,IF(J949="TAYLEK",PR!$BH947,IF(J949="TEMITA",PR!$BI947,IF(J949="THL",PR!$BJ947,IF(J949="UBASTIC",PR!$BK947,IF(J949="UNION",PR!$BL947,IF(J949="UNIQUE",PR!$BM947,IF(J949="VIXA",PR!$BN947,IF(J949="WWCV",PR!$BO947,IF(J949="ZOLON",PR!$BP947,"-"))))))))))))))))))))))))))))))))))))))))))))))))))))))))))))))))</f>
        <v>11800</v>
      </c>
      <c r="J949" s="102" t="str">
        <f>EV!N1210</f>
        <v>SANCON</v>
      </c>
      <c r="K949" s="433" t="s">
        <v>1452</v>
      </c>
      <c r="L949" s="183">
        <f>IF(K949&gt;0,IF(K949="ALPHA",PR!$E947,IF(K949="ASSENE",PR!$F947,IF(K949="BIOFEM",PR!$G947,IF(K949="BIOMED",PR!$H947,IF(K949="CHI",PR!$I947,IF(K949="CLARION",PR!$J947,IF(K949="CODIX",PR!$K947,IF(K949="COSMADE",PR!$L947,IF(K949="SANCON",PR!$M947,IF(K949="DEVON",PR!$N947,IF(K949="DORTEMAG",PR!$O947,IF(K949="DGF",PR!$P947,IF(K949="DYNAMIC",PR!$Q947,IF(K949="EMZOR",PR!$R947,IF(K949="EUMATT",PR!$S947,IF(K949="FIDSON",PR!$T947,IF(K949="FCGLOBAL",PR!$U947,IF(K949="GENEITH",PR!$V947,IF(K949="GINOS",PR!$W947,IF(K949="GSK",PR!$X947,IF(K949="GLOBORG",PR!$Y947,IF(K949="GOODNEWS",PR!$Z947,IF(K949="GREENLIFE",PR!$AA947,IF(K949="HLINE",PR!$AB947,IF(K949="ROTECH",PR!$AC947,IF(K949="ISN",PR!$AD947,IF(K949="JAWA",PR!$AE947,IF(K949="LAYO",PR!$AF947,IF(K949="LEADWAY",PR!$AG947,IF(K949="LHV",PR!$AH947,IF(K949="MANOLA",PR!$AI947,IF(K949="MARCSON",PR!$AJ947,IF(K949="M&amp;B",PR!$AK947,IF(K949="MTRUST",PR!$AL947,IF(K949="MWORLD",PR!$AM947,IF(K949="MEGA",PR!$AN947,IF(K949="MICRONOVA",PR!$AO947,IF(K949="MFLASH",PR!$AP947,IF(K949="MORISON",PR!$AQ947,IF(K949="NEMEL",PR!$AR947,IF(K949="NHP",PR!$AS947,IF(K949="NHC",PR!$AT947,IF(K949="OLEAF",PR!$AU947,IF(K949="OCULUS",PR!$AV947,IF(K949="PACIFIC",PR!$AW947,IF(K949="PHAMATEX",PR!$AX947,IF(K949="PETHICS",PR!$AY947,IF(K949="PHILIPS",PR!$AZ947,IF(K949="RANBAXY",PR!$BA947,IF(K949="REALS",PR!$BB947,IF(K949="ROYAL",PR!$BC947,IF(K949="SAM",PR!$BD947,IF(K949="SEAGREEN",PR!$BE947,IF(K949="SKG",PR!$BF947,IF(K949="TAH",PR!$BG947,IF(K949="TAYLEK",PR!$BH947,IF(K949="TEMITA",PR!$BI947,IF(K949="THL",PR!$BJ947,IF(K949="UBASTIC",PR!$BK947,IF(K949="UNION",PR!$BL947,IF(K949="UNIQUE",PR!$BM947,IF(K949="VIXA",PR!$BN947,IF(K949="WWCV",PR!$BO947,IF(K949="ZOLON",PR!$BP947,"-")))))))))))))))))))))))))))))))))))))))))))))))))))))))))))))))))</f>
        <v>7500</v>
      </c>
    </row>
    <row r="950" spans="1:12" ht="18.75" x14ac:dyDescent="0.3">
      <c r="A950" s="430">
        <f>PR!A948</f>
        <v>852</v>
      </c>
      <c r="B950" s="15" t="str">
        <f>PR!B948</f>
        <v>GLASS COVER SLIPS 22 x 32</v>
      </c>
      <c r="C950" s="113" t="str">
        <f>PR!D948</f>
        <v>1Carton (10x100)</v>
      </c>
      <c r="D950" s="113">
        <f>PR!C948</f>
        <v>20</v>
      </c>
      <c r="E950" s="108">
        <f>IF(F950="ALPHA",PR!$E948,IF(F950="ASSENE",PR!$F948,IF(F950="BIOFEM",PR!$G948,IF(F950="BIOMED",PR!$H948,IF(F950="CHI",PR!$I948,IF(F950="CLARION",PR!$J948,IF(F950="CODIX",PR!$K948,IF(F950="COSMADE",PR!$L948,IF(F950="SANCON",PR!$M948,IF(F950="DEVON",PR!$N948,IF(F950="DORTEMAG",PR!$O948,IF(F950="DGF",PR!$P948,IF(F950="DYNAMIC",PR!$Q948,IF(F950="EMZOR",PR!$R948,IF(F950="EUMATT",PR!$S948,IF(F950="FIDSON",PR!$T948,IF(F950="FCGLOBAL",PR!$U948,IF(F950="GENEITH",PR!$V948,IF(F950="GINOS",PR!$W948,IF(F950="GSK",PR!$X948,IF(F950="GLOBORG",PR!$Y948,IF(F950="GOODNEWS",PR!$Z948,IF(F950="GREENLIFE",PR!$AA948,IF(F950="HLINE",PR!$AB948,IF(F950="ROTECH",PR!$AC948,IF(F950="ISN",PR!$AD948,IF(F950="JAWA",PR!$AE948,IF(F950="LAYO",PR!$AF948,IF(F950="LEADWAY",PR!$AG948,IF(F950="LHV",PR!$AH948,IF(F950="MANOLA",PR!$AI948,IF(F950="MARCSON",PR!$AJ948,IF(F950="M&amp;B",PR!$AK948,IF(F950="MTRUST",PR!$AL948,IF(F950="MWORLD",PR!$AM948,IF(F950="MEGA",PR!$AN948,IF(F950="MICRONOVA",PR!$AO948,IF(F950="MFLASH",PR!$AP948,IF(F950="MORISON",PR!$AQ948,IF(F950="NEMEL",PR!$AR948,IF(F950="NHP",PR!$AS948,IF(F950="NHC",PR!$AT948,IF(F950="OLEAF",PR!$AU948,IF(F950="OCULUS",PR!$AV948,IF(F950="PACIFIC",PR!$AW948,IF(F950="PHAMATEX",PR!$AX948,IF(F950="PETHICS",PR!$AY948,IF(F950="PHILIPS",PR!$AZ948,IF(F950="RANBAXY",PR!$BA948,IF(F950="REALS",PR!$BB948,IF(F950="ROYAL",PR!$BC948,IF(F950="SAM",PR!$BD948,IF(F950="SEAGREEN",PR!$BE948,IF(F950="SKG",PR!$BF948,IF(F950="TAH",PR!$BG948,IF(F950="TAYLEK",PR!$BH948,IF(F950="TEMITA",PR!$BI948,IF(F950="THL",PR!$BJ948,IF(F950="UBASTIC",PR!$BK948,IF(F950="UNION",PR!$BL948,IF(F950="UNIQUE",PR!$BM948,IF(F950="VIXA",PR!$BN948,IF(F950="WWCV",PR!$BO948,IF(F950="ZOLON",PR!$BP948,"-"))))))))))))))))))))))))))))))))))))))))))))))))))))))))))))))))</f>
        <v>5900</v>
      </c>
      <c r="F950" s="102" t="str">
        <f>EV!L1211</f>
        <v>TEMITA</v>
      </c>
      <c r="G950" s="108">
        <f>IF(H950="ALPHA",PR!$E948,IF(H950="ASSENE",PR!$F948,IF(H950="BIOFEM",PR!$G948,IF(H950="BIOMED",PR!$H948,IF(H950="CHI",PR!$I948,IF(H950="CLARION",PR!$J948,IF(H950="CODIX",PR!$K948,IF(H950="COSMADE",PR!$L948,IF(H950="SANCON",PR!$M948,IF(H950="DEVON",PR!$N948,IF(H950="DORTEMAG",PR!$O948,IF(H950="DGF",PR!$P948,IF(H950="DYNAMIC",PR!$Q948,IF(H950="EMZOR",PR!$R948,IF(H950="EUMATT",PR!$S948,IF(H950="FIDSON",PR!$T948,IF(H950="FCGLOBAL",PR!$U948,IF(H950="GENEITH",PR!$V948,IF(H950="GINOS",PR!$W948,IF(H950="GSK",PR!$X948,IF(H950="GLOBORG",PR!$Y948,IF(H950="GOODNEWS",PR!$Z948,IF(H950="GREENLIFE",PR!$AA948,IF(H950="HLINE",PR!$AB948,IF(H950="ROTECH",PR!$AC948,IF(H950="ISN",PR!$AD948,IF(H950="JAWA",PR!$AE948,IF(H950="LAYO",PR!$AF948,IF(H950="LEADWAY",PR!$AG948,IF(H950="LHV",PR!$AH948,IF(H950="MANOLA",PR!$AI948,IF(H950="MARCSON",PR!$AJ948,IF(H950="M&amp;B",PR!$AK948,IF(H950="MTRUST",PR!$AL948,IF(H950="MWORLD",PR!$AM948,IF(H950="MEGA",PR!$AN948,IF(H950="MICRONOVA",PR!$AO948,IF(H950="MFLASH",PR!$AP948,IF(H950="MORISON",PR!$AQ948,IF(H950="NEMEL",PR!$AR948,IF(H950="NHP",PR!$AS948,IF(H950="NHC",PR!$AT948,IF(H950="OLEAF",PR!$AU948,IF(H950="OCULUS",PR!$AV948,IF(H950="PACIFIC",PR!$AW948,IF(H950="PHAMATEX",PR!$AX948,IF(H950="PETHICS",PR!$AY948,IF(H950="PHILIPS",PR!$AZ948,IF(H950="RANBAXY",PR!$BA948,IF(H950="REALS",PR!$BB948,IF(H950="ROYAL",PR!$BC948,IF(H950="SAM",PR!$BD948,IF(H950="SEAGREEN",PR!$BE948,IF(H950="SKG",PR!$BF948,IF(H950="TAH",PR!$BG948,IF(H950="TAYLEK",PR!$BH948,IF(H950="TEMITA",PR!$BI948,IF(H950="THL",PR!$BJ948,IF(H950="UBASTIC",PR!$BK948,IF(H950="UNION",PR!$BL948,IF(H950="UNIQUE",PR!$BM948,IF(H950="VIXA",PR!$BN948,IF(H950="WWCV",PR!$BO948,IF(H950="ZOLON",PR!$BP948,"-"))))))))))))))))))))))))))))))))))))))))))))))))))))))))))))))))</f>
        <v>7500</v>
      </c>
      <c r="H950" s="102" t="str">
        <f>EV!M1211</f>
        <v>SANCON</v>
      </c>
      <c r="I950" s="108">
        <f>IF(J950="ALPHA",PR!$E948,IF(J950="ASSENE",PR!$F948,IF(J950="BIOFEM",PR!$G948,IF(J950="BIOMED",PR!$H948,IF(J950="CHI",PR!$I948,IF(J950="CLARION",PR!$J948,IF(J950="CODIX",PR!$K948,IF(J950="COSMADE",PR!$L948,IF(J950="SANCON",PR!$M948,IF(J950="DEVON",PR!$N948,IF(J950="DORTEMAG",PR!$O948,IF(J950="DGF",PR!$P948,IF(J950="DYNAMIC",PR!$Q948,IF(J950="EMZOR",PR!$R948,IF(J950="EUMATT",PR!$S948,IF(J950="FIDSON",PR!$T948,IF(J950="FCGLOBAL",PR!$U948,IF(J950="GENEITH",PR!$V948,IF(J950="GINOS",PR!$W948,IF(J950="GSK",PR!$X948,IF(J950="GLOBORG",PR!$Y948,IF(J950="GOODNEWS",PR!$Z948,IF(J950="GREENLIFE",PR!$AA948,IF(J950="HLINE",PR!$AB948,IF(J950="ROTECH",PR!$AC948,IF(J950="ISN",PR!$AD948,IF(J950="JAWA",PR!$AE948,IF(J950="LAYO",PR!$AF948,IF(J950="LEADWAY",PR!$AG948,IF(J950="LHV",PR!$AH948,IF(J950="MANOLA",PR!$AI948,IF(J950="MARCSON",PR!$AJ948,IF(J950="M&amp;B",PR!$AK948,IF(J950="MTRUST",PR!$AL948,IF(J950="MWORLD",PR!$AM948,IF(J950="MEGA",PR!$AN948,IF(J950="MICRONOVA",PR!$AO948,IF(J950="MFLASH",PR!$AP948,IF(J950="MORISON",PR!$AQ948,IF(J950="NEMEL",PR!$AR948,IF(J950="NHP",PR!$AS948,IF(J950="NHC",PR!$AT948,IF(J950="OLEAF",PR!$AU948,IF(J950="OCULUS",PR!$AV948,IF(J950="PACIFIC",PR!$AW948,IF(J950="PHAMATEX",PR!$AX948,IF(J950="PETHICS",PR!$AY948,IF(J950="PHILIPS",PR!$AZ948,IF(J950="RANBAXY",PR!$BA948,IF(J950="REALS",PR!$BB948,IF(J950="ROYAL",PR!$BC948,IF(J950="SAM",PR!$BD948,IF(J950="SEAGREEN",PR!$BE948,IF(J950="SKG",PR!$BF948,IF(J950="TAH",PR!$BG948,IF(J950="TAYLEK",PR!$BH948,IF(J950="TEMITA",PR!$BI948,IF(J950="THL",PR!$BJ948,IF(J950="UBASTIC",PR!$BK948,IF(J950="UNION",PR!$BL948,IF(J950="UNIQUE",PR!$BM948,IF(J950="VIXA",PR!$BN948,IF(J950="WWCV",PR!$BO948,IF(J950="ZOLON",PR!$BP948,"-"))))))))))))))))))))))))))))))))))))))))))))))))))))))))))))))))</f>
        <v>11050</v>
      </c>
      <c r="J950" s="102" t="str">
        <f>EV!N1211</f>
        <v>LAYO</v>
      </c>
      <c r="K950" s="433" t="s">
        <v>1463</v>
      </c>
      <c r="L950" s="183">
        <f>IF(K950&gt;0,IF(K950="ALPHA",PR!$E948,IF(K950="ASSENE",PR!$F948,IF(K950="BIOFEM",PR!$G948,IF(K950="BIOMED",PR!$H948,IF(K950="CHI",PR!$I948,IF(K950="CLARION",PR!$J948,IF(K950="CODIX",PR!$K948,IF(K950="COSMADE",PR!$L948,IF(K950="SANCON",PR!$M948,IF(K950="DEVON",PR!$N948,IF(K950="DORTEMAG",PR!$O948,IF(K950="DGF",PR!$P948,IF(K950="DYNAMIC",PR!$Q948,IF(K950="EMZOR",PR!$R948,IF(K950="EUMATT",PR!$S948,IF(K950="FIDSON",PR!$T948,IF(K950="FCGLOBAL",PR!$U948,IF(K950="GENEITH",PR!$V948,IF(K950="GINOS",PR!$W948,IF(K950="GSK",PR!$X948,IF(K950="GLOBORG",PR!$Y948,IF(K950="GOODNEWS",PR!$Z948,IF(K950="GREENLIFE",PR!$AA948,IF(K950="HLINE",PR!$AB948,IF(K950="ROTECH",PR!$AC948,IF(K950="ISN",PR!$AD948,IF(K950="JAWA",PR!$AE948,IF(K950="LAYO",PR!$AF948,IF(K950="LEADWAY",PR!$AG948,IF(K950="LHV",PR!$AH948,IF(K950="MANOLA",PR!$AI948,IF(K950="MARCSON",PR!$AJ948,IF(K950="M&amp;B",PR!$AK948,IF(K950="MTRUST",PR!$AL948,IF(K950="MWORLD",PR!$AM948,IF(K950="MEGA",PR!$AN948,IF(K950="MICRONOVA",PR!$AO948,IF(K950="MFLASH",PR!$AP948,IF(K950="MORISON",PR!$AQ948,IF(K950="NEMEL",PR!$AR948,IF(K950="NHP",PR!$AS948,IF(K950="NHC",PR!$AT948,IF(K950="OLEAF",PR!$AU948,IF(K950="OCULUS",PR!$AV948,IF(K950="PACIFIC",PR!$AW948,IF(K950="PHAMATEX",PR!$AX948,IF(K950="PETHICS",PR!$AY948,IF(K950="PHILIPS",PR!$AZ948,IF(K950="RANBAXY",PR!$BA948,IF(K950="REALS",PR!$BB948,IF(K950="ROYAL",PR!$BC948,IF(K950="SAM",PR!$BD948,IF(K950="SEAGREEN",PR!$BE948,IF(K950="SKG",PR!$BF948,IF(K950="TAH",PR!$BG948,IF(K950="TAYLEK",PR!$BH948,IF(K950="TEMITA",PR!$BI948,IF(K950="THL",PR!$BJ948,IF(K950="UBASTIC",PR!$BK948,IF(K950="UNION",PR!$BL948,IF(K950="UNIQUE",PR!$BM948,IF(K950="VIXA",PR!$BN948,IF(K950="WWCV",PR!$BO948,IF(K950="ZOLON",PR!$BP948,"-")))))))))))))))))))))))))))))))))))))))))))))))))))))))))))))))))</f>
        <v>5900</v>
      </c>
    </row>
    <row r="951" spans="1:12" ht="18.75" x14ac:dyDescent="0.3">
      <c r="A951" s="430">
        <f>PR!A949</f>
        <v>853</v>
      </c>
      <c r="B951" s="15" t="str">
        <f>PR!B949</f>
        <v>GLASS COVER SLIPS 22x40</v>
      </c>
      <c r="C951" s="113" t="str">
        <f>PR!D949</f>
        <v>1 Carton (10x100)</v>
      </c>
      <c r="D951" s="113">
        <f>PR!C949</f>
        <v>20</v>
      </c>
      <c r="E951" s="108">
        <f>IF(F951="ALPHA",PR!$E949,IF(F951="ASSENE",PR!$F949,IF(F951="BIOFEM",PR!$G949,IF(F951="BIOMED",PR!$H949,IF(F951="CHI",PR!$I949,IF(F951="CLARION",PR!$J949,IF(F951="CODIX",PR!$K949,IF(F951="COSMADE",PR!$L949,IF(F951="SANCON",PR!$M949,IF(F951="DEVON",PR!$N949,IF(F951="DORTEMAG",PR!$O949,IF(F951="DGF",PR!$P949,IF(F951="DYNAMIC",PR!$Q949,IF(F951="EMZOR",PR!$R949,IF(F951="EUMATT",PR!$S949,IF(F951="FIDSON",PR!$T949,IF(F951="FCGLOBAL",PR!$U949,IF(F951="GENEITH",PR!$V949,IF(F951="GINOS",PR!$W949,IF(F951="GSK",PR!$X949,IF(F951="GLOBORG",PR!$Y949,IF(F951="GOODNEWS",PR!$Z949,IF(F951="GREENLIFE",PR!$AA949,IF(F951="HLINE",PR!$AB949,IF(F951="ROTECH",PR!$AC949,IF(F951="ISN",PR!$AD949,IF(F951="JAWA",PR!$AE949,IF(F951="LAYO",PR!$AF949,IF(F951="LEADWAY",PR!$AG949,IF(F951="LHV",PR!$AH949,IF(F951="MANOLA",PR!$AI949,IF(F951="MARCSON",PR!$AJ949,IF(F951="M&amp;B",PR!$AK949,IF(F951="MTRUST",PR!$AL949,IF(F951="MWORLD",PR!$AM949,IF(F951="MEGA",PR!$AN949,IF(F951="MICRONOVA",PR!$AO949,IF(F951="MFLASH",PR!$AP949,IF(F951="MORISON",PR!$AQ949,IF(F951="NEMEL",PR!$AR949,IF(F951="NHP",PR!$AS949,IF(F951="NHC",PR!$AT949,IF(F951="OLEAF",PR!$AU949,IF(F951="OCULUS",PR!$AV949,IF(F951="PACIFIC",PR!$AW949,IF(F951="PHAMATEX",PR!$AX949,IF(F951="PETHICS",PR!$AY949,IF(F951="PHILIPS",PR!$AZ949,IF(F951="RANBAXY",PR!$BA949,IF(F951="REALS",PR!$BB949,IF(F951="ROYAL",PR!$BC949,IF(F951="SAM",PR!$BD949,IF(F951="SEAGREEN",PR!$BE949,IF(F951="SKG",PR!$BF949,IF(F951="TAH",PR!$BG949,IF(F951="TAYLEK",PR!$BH949,IF(F951="TEMITA",PR!$BI949,IF(F951="THL",PR!$BJ949,IF(F951="UBASTIC",PR!$BK949,IF(F951="UNION",PR!$BL949,IF(F951="UNIQUE",PR!$BM949,IF(F951="VIXA",PR!$BN949,IF(F951="WWCV",PR!$BO949,IF(F951="ZOLON",PR!$BP949,"-"))))))))))))))))))))))))))))))))))))))))))))))))))))))))))))))))</f>
        <v>12350</v>
      </c>
      <c r="F951" s="102" t="str">
        <f>EV!L1212</f>
        <v>LAYO</v>
      </c>
      <c r="G951" s="108">
        <f>IF(H951="ALPHA",PR!$E949,IF(H951="ASSENE",PR!$F949,IF(H951="BIOFEM",PR!$G949,IF(H951="BIOMED",PR!$H949,IF(H951="CHI",PR!$I949,IF(H951="CLARION",PR!$J949,IF(H951="CODIX",PR!$K949,IF(H951="COSMADE",PR!$L949,IF(H951="SANCON",PR!$M949,IF(H951="DEVON",PR!$N949,IF(H951="DORTEMAG",PR!$O949,IF(H951="DGF",PR!$P949,IF(H951="DYNAMIC",PR!$Q949,IF(H951="EMZOR",PR!$R949,IF(H951="EUMATT",PR!$S949,IF(H951="FIDSON",PR!$T949,IF(H951="FCGLOBAL",PR!$U949,IF(H951="GENEITH",PR!$V949,IF(H951="GINOS",PR!$W949,IF(H951="GSK",PR!$X949,IF(H951="GLOBORG",PR!$Y949,IF(H951="GOODNEWS",PR!$Z949,IF(H951="GREENLIFE",PR!$AA949,IF(H951="HLINE",PR!$AB949,IF(H951="ROTECH",PR!$AC949,IF(H951="ISN",PR!$AD949,IF(H951="JAWA",PR!$AE949,IF(H951="LAYO",PR!$AF949,IF(H951="LEADWAY",PR!$AG949,IF(H951="LHV",PR!$AH949,IF(H951="MANOLA",PR!$AI949,IF(H951="MARCSON",PR!$AJ949,IF(H951="M&amp;B",PR!$AK949,IF(H951="MTRUST",PR!$AL949,IF(H951="MWORLD",PR!$AM949,IF(H951="MEGA",PR!$AN949,IF(H951="MICRONOVA",PR!$AO949,IF(H951="MFLASH",PR!$AP949,IF(H951="MORISON",PR!$AQ949,IF(H951="NEMEL",PR!$AR949,IF(H951="NHP",PR!$AS949,IF(H951="NHC",PR!$AT949,IF(H951="OLEAF",PR!$AU949,IF(H951="OCULUS",PR!$AV949,IF(H951="PACIFIC",PR!$AW949,IF(H951="PHAMATEX",PR!$AX949,IF(H951="PETHICS",PR!$AY949,IF(H951="PHILIPS",PR!$AZ949,IF(H951="RANBAXY",PR!$BA949,IF(H951="REALS",PR!$BB949,IF(H951="ROYAL",PR!$BC949,IF(H951="SAM",PR!$BD949,IF(H951="SEAGREEN",PR!$BE949,IF(H951="SKG",PR!$BF949,IF(H951="TAH",PR!$BG949,IF(H951="TAYLEK",PR!$BH949,IF(H951="TEMITA",PR!$BI949,IF(H951="THL",PR!$BJ949,IF(H951="UBASTIC",PR!$BK949,IF(H951="UNION",PR!$BL949,IF(H951="UNIQUE",PR!$BM949,IF(H951="VIXA",PR!$BN949,IF(H951="WWCV",PR!$BO949,IF(H951="ZOLON",PR!$BP949,"-"))))))))))))))))))))))))))))))))))))))))))))))))))))))))))))))))</f>
        <v>15000</v>
      </c>
      <c r="H951" s="102" t="str">
        <f>EV!M1212</f>
        <v>COSMADE</v>
      </c>
      <c r="I951" s="108">
        <f>IF(J951="ALPHA",PR!$E949,IF(J951="ASSENE",PR!$F949,IF(J951="BIOFEM",PR!$G949,IF(J951="BIOMED",PR!$H949,IF(J951="CHI",PR!$I949,IF(J951="CLARION",PR!$J949,IF(J951="CODIX",PR!$K949,IF(J951="COSMADE",PR!$L949,IF(J951="SANCON",PR!$M949,IF(J951="DEVON",PR!$N949,IF(J951="DORTEMAG",PR!$O949,IF(J951="DGF",PR!$P949,IF(J951="DYNAMIC",PR!$Q949,IF(J951="EMZOR",PR!$R949,IF(J951="EUMATT",PR!$S949,IF(J951="FIDSON",PR!$T949,IF(J951="FCGLOBAL",PR!$U949,IF(J951="GENEITH",PR!$V949,IF(J951="GINOS",PR!$W949,IF(J951="GSK",PR!$X949,IF(J951="GLOBORG",PR!$Y949,IF(J951="GOODNEWS",PR!$Z949,IF(J951="GREENLIFE",PR!$AA949,IF(J951="HLINE",PR!$AB949,IF(J951="ROTECH",PR!$AC949,IF(J951="ISN",PR!$AD949,IF(J951="JAWA",PR!$AE949,IF(J951="LAYO",PR!$AF949,IF(J951="LEADWAY",PR!$AG949,IF(J951="LHV",PR!$AH949,IF(J951="MANOLA",PR!$AI949,IF(J951="MARCSON",PR!$AJ949,IF(J951="M&amp;B",PR!$AK949,IF(J951="MTRUST",PR!$AL949,IF(J951="MWORLD",PR!$AM949,IF(J951="MEGA",PR!$AN949,IF(J951="MICRONOVA",PR!$AO949,IF(J951="MFLASH",PR!$AP949,IF(J951="MORISON",PR!$AQ949,IF(J951="NEMEL",PR!$AR949,IF(J951="NHP",PR!$AS949,IF(J951="NHC",PR!$AT949,IF(J951="OLEAF",PR!$AU949,IF(J951="OCULUS",PR!$AV949,IF(J951="PACIFIC",PR!$AW949,IF(J951="PHAMATEX",PR!$AX949,IF(J951="PETHICS",PR!$AY949,IF(J951="PHILIPS",PR!$AZ949,IF(J951="RANBAXY",PR!$BA949,IF(J951="REALS",PR!$BB949,IF(J951="ROYAL",PR!$BC949,IF(J951="SAM",PR!$BD949,IF(J951="SEAGREEN",PR!$BE949,IF(J951="SKG",PR!$BF949,IF(J951="TAH",PR!$BG949,IF(J951="TAYLEK",PR!$BH949,IF(J951="TEMITA",PR!$BI949,IF(J951="THL",PR!$BJ949,IF(J951="UBASTIC",PR!$BK949,IF(J951="UNION",PR!$BL949,IF(J951="UNIQUE",PR!$BM949,IF(J951="VIXA",PR!$BN949,IF(J951="WWCV",PR!$BO949,IF(J951="ZOLON",PR!$BP949,"-"))))))))))))))))))))))))))))))))))))))))))))))))))))))))))))))))</f>
        <v>16875</v>
      </c>
      <c r="J951" s="102" t="str">
        <f>EV!N1212</f>
        <v>DYNAMIC</v>
      </c>
      <c r="K951" s="433" t="s">
        <v>1461</v>
      </c>
      <c r="L951" s="183">
        <f>IF(K951&gt;0,IF(K951="ALPHA",PR!$E949,IF(K951="ASSENE",PR!$F949,IF(K951="BIOFEM",PR!$G949,IF(K951="BIOMED",PR!$H949,IF(K951="CHI",PR!$I949,IF(K951="CLARION",PR!$J949,IF(K951="CODIX",PR!$K949,IF(K951="COSMADE",PR!$L949,IF(K951="SANCON",PR!$M949,IF(K951="DEVON",PR!$N949,IF(K951="DORTEMAG",PR!$O949,IF(K951="DGF",PR!$P949,IF(K951="DYNAMIC",PR!$Q949,IF(K951="EMZOR",PR!$R949,IF(K951="EUMATT",PR!$S949,IF(K951="FIDSON",PR!$T949,IF(K951="FCGLOBAL",PR!$U949,IF(K951="GENEITH",PR!$V949,IF(K951="GINOS",PR!$W949,IF(K951="GSK",PR!$X949,IF(K951="GLOBORG",PR!$Y949,IF(K951="GOODNEWS",PR!$Z949,IF(K951="GREENLIFE",PR!$AA949,IF(K951="HLINE",PR!$AB949,IF(K951="ROTECH",PR!$AC949,IF(K951="ISN",PR!$AD949,IF(K951="JAWA",PR!$AE949,IF(K951="LAYO",PR!$AF949,IF(K951="LEADWAY",PR!$AG949,IF(K951="LHV",PR!$AH949,IF(K951="MANOLA",PR!$AI949,IF(K951="MARCSON",PR!$AJ949,IF(K951="M&amp;B",PR!$AK949,IF(K951="MTRUST",PR!$AL949,IF(K951="MWORLD",PR!$AM949,IF(K951="MEGA",PR!$AN949,IF(K951="MICRONOVA",PR!$AO949,IF(K951="MFLASH",PR!$AP949,IF(K951="MORISON",PR!$AQ949,IF(K951="NEMEL",PR!$AR949,IF(K951="NHP",PR!$AS949,IF(K951="NHC",PR!$AT949,IF(K951="OLEAF",PR!$AU949,IF(K951="OCULUS",PR!$AV949,IF(K951="PACIFIC",PR!$AW949,IF(K951="PHAMATEX",PR!$AX949,IF(K951="PETHICS",PR!$AY949,IF(K951="PHILIPS",PR!$AZ949,IF(K951="RANBAXY",PR!$BA949,IF(K951="REALS",PR!$BB949,IF(K951="ROYAL",PR!$BC949,IF(K951="SAM",PR!$BD949,IF(K951="SEAGREEN",PR!$BE949,IF(K951="SKG",PR!$BF949,IF(K951="TAH",PR!$BG949,IF(K951="TAYLEK",PR!$BH949,IF(K951="TEMITA",PR!$BI949,IF(K951="THL",PR!$BJ949,IF(K951="UBASTIC",PR!$BK949,IF(K951="UNION",PR!$BL949,IF(K951="UNIQUE",PR!$BM949,IF(K951="VIXA",PR!$BN949,IF(K951="WWCV",PR!$BO949,IF(K951="ZOLON",PR!$BP949,"-")))))))))))))))))))))))))))))))))))))))))))))))))))))))))))))))))</f>
        <v>12350</v>
      </c>
    </row>
    <row r="952" spans="1:12" ht="18.75" x14ac:dyDescent="0.3">
      <c r="A952" s="430">
        <f>PR!A950</f>
        <v>854</v>
      </c>
      <c r="B952" s="15" t="str">
        <f>PR!B950</f>
        <v>GLASS COVER SLIPS 22x50</v>
      </c>
      <c r="C952" s="113" t="str">
        <f>PR!D950</f>
        <v>1Carton (10x100)</v>
      </c>
      <c r="D952" s="113">
        <f>PR!C950</f>
        <v>20</v>
      </c>
      <c r="E952" s="108">
        <f>IF(F952="ALPHA",PR!$E950,IF(F952="ASSENE",PR!$F950,IF(F952="BIOFEM",PR!$G950,IF(F952="BIOMED",PR!$H950,IF(F952="CHI",PR!$I950,IF(F952="CLARION",PR!$J950,IF(F952="CODIX",PR!$K950,IF(F952="COSMADE",PR!$L950,IF(F952="SANCON",PR!$M950,IF(F952="DEVON",PR!$N950,IF(F952="DORTEMAG",PR!$O950,IF(F952="DGF",PR!$P950,IF(F952="DYNAMIC",PR!$Q950,IF(F952="EMZOR",PR!$R950,IF(F952="EUMATT",PR!$S950,IF(F952="FIDSON",PR!$T950,IF(F952="FCGLOBAL",PR!$U950,IF(F952="GENEITH",PR!$V950,IF(F952="GINOS",PR!$W950,IF(F952="GSK",PR!$X950,IF(F952="GLOBORG",PR!$Y950,IF(F952="GOODNEWS",PR!$Z950,IF(F952="GREENLIFE",PR!$AA950,IF(F952="HLINE",PR!$AB950,IF(F952="ROTECH",PR!$AC950,IF(F952="ISN",PR!$AD950,IF(F952="JAWA",PR!$AE950,IF(F952="LAYO",PR!$AF950,IF(F952="LEADWAY",PR!$AG950,IF(F952="LHV",PR!$AH950,IF(F952="MANOLA",PR!$AI950,IF(F952="MARCSON",PR!$AJ950,IF(F952="M&amp;B",PR!$AK950,IF(F952="MTRUST",PR!$AL950,IF(F952="MWORLD",PR!$AM950,IF(F952="MEGA",PR!$AN950,IF(F952="MICRONOVA",PR!$AO950,IF(F952="MFLASH",PR!$AP950,IF(F952="MORISON",PR!$AQ950,IF(F952="NEMEL",PR!$AR950,IF(F952="NHP",PR!$AS950,IF(F952="NHC",PR!$AT950,IF(F952="OLEAF",PR!$AU950,IF(F952="OCULUS",PR!$AV950,IF(F952="PACIFIC",PR!$AW950,IF(F952="PHAMATEX",PR!$AX950,IF(F952="PETHICS",PR!$AY950,IF(F952="PHILIPS",PR!$AZ950,IF(F952="RANBAXY",PR!$BA950,IF(F952="REALS",PR!$BB950,IF(F952="ROYAL",PR!$BC950,IF(F952="SAM",PR!$BD950,IF(F952="SEAGREEN",PR!$BE950,IF(F952="SKG",PR!$BF950,IF(F952="TAH",PR!$BG950,IF(F952="TAYLEK",PR!$BH950,IF(F952="TEMITA",PR!$BI950,IF(F952="THL",PR!$BJ950,IF(F952="UBASTIC",PR!$BK950,IF(F952="UNION",PR!$BL950,IF(F952="UNIQUE",PR!$BM950,IF(F952="VIXA",PR!$BN950,IF(F952="WWCV",PR!$BO950,IF(F952="ZOLON",PR!$BP950,"-"))))))))))))))))))))))))))))))))))))))))))))))))))))))))))))))))</f>
        <v>16000</v>
      </c>
      <c r="F952" s="102" t="str">
        <f>EV!L1213</f>
        <v>COSMADE</v>
      </c>
      <c r="G952" s="108">
        <f>IF(H952="ALPHA",PR!$E950,IF(H952="ASSENE",PR!$F950,IF(H952="BIOFEM",PR!$G950,IF(H952="BIOMED",PR!$H950,IF(H952="CHI",PR!$I950,IF(H952="CLARION",PR!$J950,IF(H952="CODIX",PR!$K950,IF(H952="COSMADE",PR!$L950,IF(H952="SANCON",PR!$M950,IF(H952="DEVON",PR!$N950,IF(H952="DORTEMAG",PR!$O950,IF(H952="DGF",PR!$P950,IF(H952="DYNAMIC",PR!$Q950,IF(H952="EMZOR",PR!$R950,IF(H952="EUMATT",PR!$S950,IF(H952="FIDSON",PR!$T950,IF(H952="FCGLOBAL",PR!$U950,IF(H952="GENEITH",PR!$V950,IF(H952="GINOS",PR!$W950,IF(H952="GSK",PR!$X950,IF(H952="GLOBORG",PR!$Y950,IF(H952="GOODNEWS",PR!$Z950,IF(H952="GREENLIFE",PR!$AA950,IF(H952="HLINE",PR!$AB950,IF(H952="ROTECH",PR!$AC950,IF(H952="ISN",PR!$AD950,IF(H952="JAWA",PR!$AE950,IF(H952="LAYO",PR!$AF950,IF(H952="LEADWAY",PR!$AG950,IF(H952="LHV",PR!$AH950,IF(H952="MANOLA",PR!$AI950,IF(H952="MARCSON",PR!$AJ950,IF(H952="M&amp;B",PR!$AK950,IF(H952="MTRUST",PR!$AL950,IF(H952="MWORLD",PR!$AM950,IF(H952="MEGA",PR!$AN950,IF(H952="MICRONOVA",PR!$AO950,IF(H952="MFLASH",PR!$AP950,IF(H952="MORISON",PR!$AQ950,IF(H952="NEMEL",PR!$AR950,IF(H952="NHP",PR!$AS950,IF(H952="NHC",PR!$AT950,IF(H952="OLEAF",PR!$AU950,IF(H952="OCULUS",PR!$AV950,IF(H952="PACIFIC",PR!$AW950,IF(H952="PHAMATEX",PR!$AX950,IF(H952="PETHICS",PR!$AY950,IF(H952="PHILIPS",PR!$AZ950,IF(H952="RANBAXY",PR!$BA950,IF(H952="REALS",PR!$BB950,IF(H952="ROYAL",PR!$BC950,IF(H952="SAM",PR!$BD950,IF(H952="SEAGREEN",PR!$BE950,IF(H952="SKG",PR!$BF950,IF(H952="TAH",PR!$BG950,IF(H952="TAYLEK",PR!$BH950,IF(H952="TEMITA",PR!$BI950,IF(H952="THL",PR!$BJ950,IF(H952="UBASTIC",PR!$BK950,IF(H952="UNION",PR!$BL950,IF(H952="UNIQUE",PR!$BM950,IF(H952="VIXA",PR!$BN950,IF(H952="WWCV",PR!$BO950,IF(H952="ZOLON",PR!$BP950,"-"))))))))))))))))))))))))))))))))))))))))))))))))))))))))))))))))</f>
        <v>18125</v>
      </c>
      <c r="H952" s="102" t="str">
        <f>EV!M1213</f>
        <v>DYNAMIC</v>
      </c>
      <c r="I952" s="108">
        <f>IF(J952="ALPHA",PR!$E950,IF(J952="ASSENE",PR!$F950,IF(J952="BIOFEM",PR!$G950,IF(J952="BIOMED",PR!$H950,IF(J952="CHI",PR!$I950,IF(J952="CLARION",PR!$J950,IF(J952="CODIX",PR!$K950,IF(J952="COSMADE",PR!$L950,IF(J952="SANCON",PR!$M950,IF(J952="DEVON",PR!$N950,IF(J952="DORTEMAG",PR!$O950,IF(J952="DGF",PR!$P950,IF(J952="DYNAMIC",PR!$Q950,IF(J952="EMZOR",PR!$R950,IF(J952="EUMATT",PR!$S950,IF(J952="FIDSON",PR!$T950,IF(J952="FCGLOBAL",PR!$U950,IF(J952="GENEITH",PR!$V950,IF(J952="GINOS",PR!$W950,IF(J952="GSK",PR!$X950,IF(J952="GLOBORG",PR!$Y950,IF(J952="GOODNEWS",PR!$Z950,IF(J952="GREENLIFE",PR!$AA950,IF(J952="HLINE",PR!$AB950,IF(J952="ROTECH",PR!$AC950,IF(J952="ISN",PR!$AD950,IF(J952="JAWA",PR!$AE950,IF(J952="LAYO",PR!$AF950,IF(J952="LEADWAY",PR!$AG950,IF(J952="LHV",PR!$AH950,IF(J952="MANOLA",PR!$AI950,IF(J952="MARCSON",PR!$AJ950,IF(J952="M&amp;B",PR!$AK950,IF(J952="MTRUST",PR!$AL950,IF(J952="MWORLD",PR!$AM950,IF(J952="MEGA",PR!$AN950,IF(J952="MICRONOVA",PR!$AO950,IF(J952="MFLASH",PR!$AP950,IF(J952="MORISON",PR!$AQ950,IF(J952="NEMEL",PR!$AR950,IF(J952="NHP",PR!$AS950,IF(J952="NHC",PR!$AT950,IF(J952="OLEAF",PR!$AU950,IF(J952="OCULUS",PR!$AV950,IF(J952="PACIFIC",PR!$AW950,IF(J952="PHAMATEX",PR!$AX950,IF(J952="PETHICS",PR!$AY950,IF(J952="PHILIPS",PR!$AZ950,IF(J952="RANBAXY",PR!$BA950,IF(J952="REALS",PR!$BB950,IF(J952="ROYAL",PR!$BC950,IF(J952="SAM",PR!$BD950,IF(J952="SEAGREEN",PR!$BE950,IF(J952="SKG",PR!$BF950,IF(J952="TAH",PR!$BG950,IF(J952="TAYLEK",PR!$BH950,IF(J952="TEMITA",PR!$BI950,IF(J952="THL",PR!$BJ950,IF(J952="UBASTIC",PR!$BK950,IF(J952="UNION",PR!$BL950,IF(J952="UNIQUE",PR!$BM950,IF(J952="VIXA",PR!$BN950,IF(J952="WWCV",PR!$BO950,IF(J952="ZOLON",PR!$BP950,"-"))))))))))))))))))))))))))))))))))))))))))))))))))))))))))))))))</f>
        <v>17500</v>
      </c>
      <c r="J952" s="102" t="str">
        <f>EV!N1213</f>
        <v>TEMITA</v>
      </c>
      <c r="K952" s="433" t="s">
        <v>1452</v>
      </c>
      <c r="L952" s="183">
        <f>IF(K952&gt;0,IF(K952="ALPHA",PR!$E950,IF(K952="ASSENE",PR!$F950,IF(K952="BIOFEM",PR!$G950,IF(K952="BIOMED",PR!$H950,IF(K952="CHI",PR!$I950,IF(K952="CLARION",PR!$J950,IF(K952="CODIX",PR!$K950,IF(K952="COSMADE",PR!$L950,IF(K952="SANCON",PR!$M950,IF(K952="DEVON",PR!$N950,IF(K952="DORTEMAG",PR!$O950,IF(K952="DGF",PR!$P950,IF(K952="DYNAMIC",PR!$Q950,IF(K952="EMZOR",PR!$R950,IF(K952="EUMATT",PR!$S950,IF(K952="FIDSON",PR!$T950,IF(K952="FCGLOBAL",PR!$U950,IF(K952="GENEITH",PR!$V950,IF(K952="GINOS",PR!$W950,IF(K952="GSK",PR!$X950,IF(K952="GLOBORG",PR!$Y950,IF(K952="GOODNEWS",PR!$Z950,IF(K952="GREENLIFE",PR!$AA950,IF(K952="HLINE",PR!$AB950,IF(K952="ROTECH",PR!$AC950,IF(K952="ISN",PR!$AD950,IF(K952="JAWA",PR!$AE950,IF(K952="LAYO",PR!$AF950,IF(K952="LEADWAY",PR!$AG950,IF(K952="LHV",PR!$AH950,IF(K952="MANOLA",PR!$AI950,IF(K952="MARCSON",PR!$AJ950,IF(K952="M&amp;B",PR!$AK950,IF(K952="MTRUST",PR!$AL950,IF(K952="MWORLD",PR!$AM950,IF(K952="MEGA",PR!$AN950,IF(K952="MICRONOVA",PR!$AO950,IF(K952="MFLASH",PR!$AP950,IF(K952="MORISON",PR!$AQ950,IF(K952="NEMEL",PR!$AR950,IF(K952="NHP",PR!$AS950,IF(K952="NHC",PR!$AT950,IF(K952="OLEAF",PR!$AU950,IF(K952="OCULUS",PR!$AV950,IF(K952="PACIFIC",PR!$AW950,IF(K952="PHAMATEX",PR!$AX950,IF(K952="PETHICS",PR!$AY950,IF(K952="PHILIPS",PR!$AZ950,IF(K952="RANBAXY",PR!$BA950,IF(K952="REALS",PR!$BB950,IF(K952="ROYAL",PR!$BC950,IF(K952="SAM",PR!$BD950,IF(K952="SEAGREEN",PR!$BE950,IF(K952="SKG",PR!$BF950,IF(K952="TAH",PR!$BG950,IF(K952="TAYLEK",PR!$BH950,IF(K952="TEMITA",PR!$BI950,IF(K952="THL",PR!$BJ950,IF(K952="UBASTIC",PR!$BK950,IF(K952="UNION",PR!$BL950,IF(K952="UNIQUE",PR!$BM950,IF(K952="VIXA",PR!$BN950,IF(K952="WWCV",PR!$BO950,IF(K952="ZOLON",PR!$BP950,"-")))))))))))))))))))))))))))))))))))))))))))))))))))))))))))))))))</f>
        <v>16000</v>
      </c>
    </row>
    <row r="953" spans="1:12" ht="18.75" x14ac:dyDescent="0.3">
      <c r="A953" s="430">
        <f>PR!A951</f>
        <v>855</v>
      </c>
      <c r="B953" s="15" t="str">
        <f>PR!B951</f>
        <v>HYDROCHLORIC ACID (HCL)</v>
      </c>
      <c r="C953" s="113" t="str">
        <f>PR!D951</f>
        <v>1 bottle (2.5L)</v>
      </c>
      <c r="D953" s="113">
        <f>PR!C951</f>
        <v>1</v>
      </c>
      <c r="E953" s="108">
        <f>IF(F953="ALPHA",PR!$E951,IF(F953="ASSENE",PR!$F951,IF(F953="BIOFEM",PR!$G951,IF(F953="BIOMED",PR!$H951,IF(F953="CHI",PR!$I951,IF(F953="CLARION",PR!$J951,IF(F953="CODIX",PR!$K951,IF(F953="COSMADE",PR!$L951,IF(F953="SANCON",PR!$M951,IF(F953="DEVON",PR!$N951,IF(F953="DORTEMAG",PR!$O951,IF(F953="DGF",PR!$P951,IF(F953="DYNAMIC",PR!$Q951,IF(F953="EMZOR",PR!$R951,IF(F953="EUMATT",PR!$S951,IF(F953="FIDSON",PR!$T951,IF(F953="FCGLOBAL",PR!$U951,IF(F953="GENEITH",PR!$V951,IF(F953="GINOS",PR!$W951,IF(F953="GSK",PR!$X951,IF(F953="GLOBORG",PR!$Y951,IF(F953="GOODNEWS",PR!$Z951,IF(F953="GREENLIFE",PR!$AA951,IF(F953="HLINE",PR!$AB951,IF(F953="ROTECH",PR!$AC951,IF(F953="ISN",PR!$AD951,IF(F953="JAWA",PR!$AE951,IF(F953="LAYO",PR!$AF951,IF(F953="LEADWAY",PR!$AG951,IF(F953="LHV",PR!$AH951,IF(F953="MANOLA",PR!$AI951,IF(F953="MARCSON",PR!$AJ951,IF(F953="M&amp;B",PR!$AK951,IF(F953="MTRUST",PR!$AL951,IF(F953="MWORLD",PR!$AM951,IF(F953="MEGA",PR!$AN951,IF(F953="MICRONOVA",PR!$AO951,IF(F953="MFLASH",PR!$AP951,IF(F953="MORISON",PR!$AQ951,IF(F953="NEMEL",PR!$AR951,IF(F953="NHP",PR!$AS951,IF(F953="NHC",PR!$AT951,IF(F953="OLEAF",PR!$AU951,IF(F953="OCULUS",PR!$AV951,IF(F953="PACIFIC",PR!$AW951,IF(F953="PHAMATEX",PR!$AX951,IF(F953="PETHICS",PR!$AY951,IF(F953="PHILIPS",PR!$AZ951,IF(F953="RANBAXY",PR!$BA951,IF(F953="REALS",PR!$BB951,IF(F953="ROYAL",PR!$BC951,IF(F953="SAM",PR!$BD951,IF(F953="SEAGREEN",PR!$BE951,IF(F953="SKG",PR!$BF951,IF(F953="TAH",PR!$BG951,IF(F953="TAYLEK",PR!$BH951,IF(F953="TEMITA",PR!$BI951,IF(F953="THL",PR!$BJ951,IF(F953="UBASTIC",PR!$BK951,IF(F953="UNION",PR!$BL951,IF(F953="UNIQUE",PR!$BM951,IF(F953="VIXA",PR!$BN951,IF(F953="WWCV",PR!$BO951,IF(F953="ZOLON",PR!$BP951,"-"))))))))))))))))))))))))))))))))))))))))))))))))))))))))))))))))</f>
        <v>5000</v>
      </c>
      <c r="F953" s="102" t="str">
        <f>EV!L1214</f>
        <v>TEMITA</v>
      </c>
      <c r="G953" s="108">
        <f>IF(H953="ALPHA",PR!$E951,IF(H953="ASSENE",PR!$F951,IF(H953="BIOFEM",PR!$G951,IF(H953="BIOMED",PR!$H951,IF(H953="CHI",PR!$I951,IF(H953="CLARION",PR!$J951,IF(H953="CODIX",PR!$K951,IF(H953="COSMADE",PR!$L951,IF(H953="SANCON",PR!$M951,IF(H953="DEVON",PR!$N951,IF(H953="DORTEMAG",PR!$O951,IF(H953="DGF",PR!$P951,IF(H953="DYNAMIC",PR!$Q951,IF(H953="EMZOR",PR!$R951,IF(H953="EUMATT",PR!$S951,IF(H953="FIDSON",PR!$T951,IF(H953="FCGLOBAL",PR!$U951,IF(H953="GENEITH",PR!$V951,IF(H953="GINOS",PR!$W951,IF(H953="GSK",PR!$X951,IF(H953="GLOBORG",PR!$Y951,IF(H953="GOODNEWS",PR!$Z951,IF(H953="GREENLIFE",PR!$AA951,IF(H953="HLINE",PR!$AB951,IF(H953="ROTECH",PR!$AC951,IF(H953="ISN",PR!$AD951,IF(H953="JAWA",PR!$AE951,IF(H953="LAYO",PR!$AF951,IF(H953="LEADWAY",PR!$AG951,IF(H953="LHV",PR!$AH951,IF(H953="MANOLA",PR!$AI951,IF(H953="MARCSON",PR!$AJ951,IF(H953="M&amp;B",PR!$AK951,IF(H953="MTRUST",PR!$AL951,IF(H953="MWORLD",PR!$AM951,IF(H953="MEGA",PR!$AN951,IF(H953="MICRONOVA",PR!$AO951,IF(H953="MFLASH",PR!$AP951,IF(H953="MORISON",PR!$AQ951,IF(H953="NEMEL",PR!$AR951,IF(H953="NHP",PR!$AS951,IF(H953="NHC",PR!$AT951,IF(H953="OLEAF",PR!$AU951,IF(H953="OCULUS",PR!$AV951,IF(H953="PACIFIC",PR!$AW951,IF(H953="PHAMATEX",PR!$AX951,IF(H953="PETHICS",PR!$AY951,IF(H953="PHILIPS",PR!$AZ951,IF(H953="RANBAXY",PR!$BA951,IF(H953="REALS",PR!$BB951,IF(H953="ROYAL",PR!$BC951,IF(H953="SAM",PR!$BD951,IF(H953="SEAGREEN",PR!$BE951,IF(H953="SKG",PR!$BF951,IF(H953="TAH",PR!$BG951,IF(H953="TAYLEK",PR!$BH951,IF(H953="TEMITA",PR!$BI951,IF(H953="THL",PR!$BJ951,IF(H953="UBASTIC",PR!$BK951,IF(H953="UNION",PR!$BL951,IF(H953="UNIQUE",PR!$BM951,IF(H953="VIXA",PR!$BN951,IF(H953="WWCV",PR!$BO951,IF(H953="ZOLON",PR!$BP951,"-"))))))))))))))))))))))))))))))))))))))))))))))))))))))))))))))))</f>
        <v>6875</v>
      </c>
      <c r="H953" s="102" t="str">
        <f>EV!M1214</f>
        <v>DYNAMIC</v>
      </c>
      <c r="I953" s="108">
        <f>IF(J953="ALPHA",PR!$E951,IF(J953="ASSENE",PR!$F951,IF(J953="BIOFEM",PR!$G951,IF(J953="BIOMED",PR!$H951,IF(J953="CHI",PR!$I951,IF(J953="CLARION",PR!$J951,IF(J953="CODIX",PR!$K951,IF(J953="COSMADE",PR!$L951,IF(J953="SANCON",PR!$M951,IF(J953="DEVON",PR!$N951,IF(J953="DORTEMAG",PR!$O951,IF(J953="DGF",PR!$P951,IF(J953="DYNAMIC",PR!$Q951,IF(J953="EMZOR",PR!$R951,IF(J953="EUMATT",PR!$S951,IF(J953="FIDSON",PR!$T951,IF(J953="FCGLOBAL",PR!$U951,IF(J953="GENEITH",PR!$V951,IF(J953="GINOS",PR!$W951,IF(J953="GSK",PR!$X951,IF(J953="GLOBORG",PR!$Y951,IF(J953="GOODNEWS",PR!$Z951,IF(J953="GREENLIFE",PR!$AA951,IF(J953="HLINE",PR!$AB951,IF(J953="ROTECH",PR!$AC951,IF(J953="ISN",PR!$AD951,IF(J953="JAWA",PR!$AE951,IF(J953="LAYO",PR!$AF951,IF(J953="LEADWAY",PR!$AG951,IF(J953="LHV",PR!$AH951,IF(J953="MANOLA",PR!$AI951,IF(J953="MARCSON",PR!$AJ951,IF(J953="M&amp;B",PR!$AK951,IF(J953="MTRUST",PR!$AL951,IF(J953="MWORLD",PR!$AM951,IF(J953="MEGA",PR!$AN951,IF(J953="MICRONOVA",PR!$AO951,IF(J953="MFLASH",PR!$AP951,IF(J953="MORISON",PR!$AQ951,IF(J953="NEMEL",PR!$AR951,IF(J953="NHP",PR!$AS951,IF(J953="NHC",PR!$AT951,IF(J953="OLEAF",PR!$AU951,IF(J953="OCULUS",PR!$AV951,IF(J953="PACIFIC",PR!$AW951,IF(J953="PHAMATEX",PR!$AX951,IF(J953="PETHICS",PR!$AY951,IF(J953="PHILIPS",PR!$AZ951,IF(J953="RANBAXY",PR!$BA951,IF(J953="REALS",PR!$BB951,IF(J953="ROYAL",PR!$BC951,IF(J953="SAM",PR!$BD951,IF(J953="SEAGREEN",PR!$BE951,IF(J953="SKG",PR!$BF951,IF(J953="TAH",PR!$BG951,IF(J953="TAYLEK",PR!$BH951,IF(J953="TEMITA",PR!$BI951,IF(J953="THL",PR!$BJ951,IF(J953="UBASTIC",PR!$BK951,IF(J953="UNION",PR!$BL951,IF(J953="UNIQUE",PR!$BM951,IF(J953="VIXA",PR!$BN951,IF(J953="WWCV",PR!$BO951,IF(J953="ZOLON",PR!$BP951,"-"))))))))))))))))))))))))))))))))))))))))))))))))))))))))))))))))</f>
        <v>7000</v>
      </c>
      <c r="J953" s="102" t="str">
        <f>EV!N1214</f>
        <v>COSMADE</v>
      </c>
      <c r="K953" s="433" t="s">
        <v>1463</v>
      </c>
      <c r="L953" s="183">
        <f>IF(K953&gt;0,IF(K953="ALPHA",PR!$E951,IF(K953="ASSENE",PR!$F951,IF(K953="BIOFEM",PR!$G951,IF(K953="BIOMED",PR!$H951,IF(K953="CHI",PR!$I951,IF(K953="CLARION",PR!$J951,IF(K953="CODIX",PR!$K951,IF(K953="COSMADE",PR!$L951,IF(K953="SANCON",PR!$M951,IF(K953="DEVON",PR!$N951,IF(K953="DORTEMAG",PR!$O951,IF(K953="DGF",PR!$P951,IF(K953="DYNAMIC",PR!$Q951,IF(K953="EMZOR",PR!$R951,IF(K953="EUMATT",PR!$S951,IF(K953="FIDSON",PR!$T951,IF(K953="FCGLOBAL",PR!$U951,IF(K953="GENEITH",PR!$V951,IF(K953="GINOS",PR!$W951,IF(K953="GSK",PR!$X951,IF(K953="GLOBORG",PR!$Y951,IF(K953="GOODNEWS",PR!$Z951,IF(K953="GREENLIFE",PR!$AA951,IF(K953="HLINE",PR!$AB951,IF(K953="ROTECH",PR!$AC951,IF(K953="ISN",PR!$AD951,IF(K953="JAWA",PR!$AE951,IF(K953="LAYO",PR!$AF951,IF(K953="LEADWAY",PR!$AG951,IF(K953="LHV",PR!$AH951,IF(K953="MANOLA",PR!$AI951,IF(K953="MARCSON",PR!$AJ951,IF(K953="M&amp;B",PR!$AK951,IF(K953="MTRUST",PR!$AL951,IF(K953="MWORLD",PR!$AM951,IF(K953="MEGA",PR!$AN951,IF(K953="MICRONOVA",PR!$AO951,IF(K953="MFLASH",PR!$AP951,IF(K953="MORISON",PR!$AQ951,IF(K953="NEMEL",PR!$AR951,IF(K953="NHP",PR!$AS951,IF(K953="NHC",PR!$AT951,IF(K953="OLEAF",PR!$AU951,IF(K953="OCULUS",PR!$AV951,IF(K953="PACIFIC",PR!$AW951,IF(K953="PHAMATEX",PR!$AX951,IF(K953="PETHICS",PR!$AY951,IF(K953="PHILIPS",PR!$AZ951,IF(K953="RANBAXY",PR!$BA951,IF(K953="REALS",PR!$BB951,IF(K953="ROYAL",PR!$BC951,IF(K953="SAM",PR!$BD951,IF(K953="SEAGREEN",PR!$BE951,IF(K953="SKG",PR!$BF951,IF(K953="TAH",PR!$BG951,IF(K953="TAYLEK",PR!$BH951,IF(K953="TEMITA",PR!$BI951,IF(K953="THL",PR!$BJ951,IF(K953="UBASTIC",PR!$BK951,IF(K953="UNION",PR!$BL951,IF(K953="UNIQUE",PR!$BM951,IF(K953="VIXA",PR!$BN951,IF(K953="WWCV",PR!$BO951,IF(K953="ZOLON",PR!$BP951,"-")))))))))))))))))))))))))))))))))))))))))))))))))))))))))))))))))</f>
        <v>5000</v>
      </c>
    </row>
    <row r="954" spans="1:12" ht="18.75" x14ac:dyDescent="0.3">
      <c r="A954" s="430">
        <f>PR!A952</f>
        <v>856</v>
      </c>
      <c r="B954" s="15" t="str">
        <f>PR!B952</f>
        <v>METHANOL</v>
      </c>
      <c r="C954" s="113" t="str">
        <f>PR!D952</f>
        <v>1 bottle (2.5L)</v>
      </c>
      <c r="D954" s="113">
        <f>PR!C952</f>
        <v>10</v>
      </c>
      <c r="E954" s="108">
        <f>IF(F954="ALPHA",PR!$E952,IF(F954="ASSENE",PR!$F952,IF(F954="BIOFEM",PR!$G952,IF(F954="BIOMED",PR!$H952,IF(F954="CHI",PR!$I952,IF(F954="CLARION",PR!$J952,IF(F954="CODIX",PR!$K952,IF(F954="COSMADE",PR!$L952,IF(F954="SANCON",PR!$M952,IF(F954="DEVON",PR!$N952,IF(F954="DORTEMAG",PR!$O952,IF(F954="DGF",PR!$P952,IF(F954="DYNAMIC",PR!$Q952,IF(F954="EMZOR",PR!$R952,IF(F954="EUMATT",PR!$S952,IF(F954="FIDSON",PR!$T952,IF(F954="FCGLOBAL",PR!$U952,IF(F954="GENEITH",PR!$V952,IF(F954="GINOS",PR!$W952,IF(F954="GSK",PR!$X952,IF(F954="GLOBORG",PR!$Y952,IF(F954="GOODNEWS",PR!$Z952,IF(F954="GREENLIFE",PR!$AA952,IF(F954="HLINE",PR!$AB952,IF(F954="ROTECH",PR!$AC952,IF(F954="ISN",PR!$AD952,IF(F954="JAWA",PR!$AE952,IF(F954="LAYO",PR!$AF952,IF(F954="LEADWAY",PR!$AG952,IF(F954="LHV",PR!$AH952,IF(F954="MANOLA",PR!$AI952,IF(F954="MARCSON",PR!$AJ952,IF(F954="M&amp;B",PR!$AK952,IF(F954="MTRUST",PR!$AL952,IF(F954="MWORLD",PR!$AM952,IF(F954="MEGA",PR!$AN952,IF(F954="MICRONOVA",PR!$AO952,IF(F954="MFLASH",PR!$AP952,IF(F954="MORISON",PR!$AQ952,IF(F954="NEMEL",PR!$AR952,IF(F954="NHP",PR!$AS952,IF(F954="NHC",PR!$AT952,IF(F954="OLEAF",PR!$AU952,IF(F954="OCULUS",PR!$AV952,IF(F954="PACIFIC",PR!$AW952,IF(F954="PHAMATEX",PR!$AX952,IF(F954="PETHICS",PR!$AY952,IF(F954="PHILIPS",PR!$AZ952,IF(F954="RANBAXY",PR!$BA952,IF(F954="REALS",PR!$BB952,IF(F954="ROYAL",PR!$BC952,IF(F954="SAM",PR!$BD952,IF(F954="SEAGREEN",PR!$BE952,IF(F954="SKG",PR!$BF952,IF(F954="TAH",PR!$BG952,IF(F954="TAYLEK",PR!$BH952,IF(F954="TEMITA",PR!$BI952,IF(F954="THL",PR!$BJ952,IF(F954="UBASTIC",PR!$BK952,IF(F954="UNION",PR!$BL952,IF(F954="UNIQUE",PR!$BM952,IF(F954="VIXA",PR!$BN952,IF(F954="WWCV",PR!$BO952,IF(F954="ZOLON",PR!$BP952,"-"))))))))))))))))))))))))))))))))))))))))))))))))))))))))))))))))</f>
        <v>4500</v>
      </c>
      <c r="F954" s="102" t="str">
        <f>EV!L1215</f>
        <v>TEMITA</v>
      </c>
      <c r="G954" s="108">
        <f>IF(H954="ALPHA",PR!$E952,IF(H954="ASSENE",PR!$F952,IF(H954="BIOFEM",PR!$G952,IF(H954="BIOMED",PR!$H952,IF(H954="CHI",PR!$I952,IF(H954="CLARION",PR!$J952,IF(H954="CODIX",PR!$K952,IF(H954="COSMADE",PR!$L952,IF(H954="SANCON",PR!$M952,IF(H954="DEVON",PR!$N952,IF(H954="DORTEMAG",PR!$O952,IF(H954="DGF",PR!$P952,IF(H954="DYNAMIC",PR!$Q952,IF(H954="EMZOR",PR!$R952,IF(H954="EUMATT",PR!$S952,IF(H954="FIDSON",PR!$T952,IF(H954="FCGLOBAL",PR!$U952,IF(H954="GENEITH",PR!$V952,IF(H954="GINOS",PR!$W952,IF(H954="GSK",PR!$X952,IF(H954="GLOBORG",PR!$Y952,IF(H954="GOODNEWS",PR!$Z952,IF(H954="GREENLIFE",PR!$AA952,IF(H954="HLINE",PR!$AB952,IF(H954="ROTECH",PR!$AC952,IF(H954="ISN",PR!$AD952,IF(H954="JAWA",PR!$AE952,IF(H954="LAYO",PR!$AF952,IF(H954="LEADWAY",PR!$AG952,IF(H954="LHV",PR!$AH952,IF(H954="MANOLA",PR!$AI952,IF(H954="MARCSON",PR!$AJ952,IF(H954="M&amp;B",PR!$AK952,IF(H954="MTRUST",PR!$AL952,IF(H954="MWORLD",PR!$AM952,IF(H954="MEGA",PR!$AN952,IF(H954="MICRONOVA",PR!$AO952,IF(H954="MFLASH",PR!$AP952,IF(H954="MORISON",PR!$AQ952,IF(H954="NEMEL",PR!$AR952,IF(H954="NHP",PR!$AS952,IF(H954="NHC",PR!$AT952,IF(H954="OLEAF",PR!$AU952,IF(H954="OCULUS",PR!$AV952,IF(H954="PACIFIC",PR!$AW952,IF(H954="PHAMATEX",PR!$AX952,IF(H954="PETHICS",PR!$AY952,IF(H954="PHILIPS",PR!$AZ952,IF(H954="RANBAXY",PR!$BA952,IF(H954="REALS",PR!$BB952,IF(H954="ROYAL",PR!$BC952,IF(H954="SAM",PR!$BD952,IF(H954="SEAGREEN",PR!$BE952,IF(H954="SKG",PR!$BF952,IF(H954="TAH",PR!$BG952,IF(H954="TAYLEK",PR!$BH952,IF(H954="TEMITA",PR!$BI952,IF(H954="THL",PR!$BJ952,IF(H954="UBASTIC",PR!$BK952,IF(H954="UNION",PR!$BL952,IF(H954="UNIQUE",PR!$BM952,IF(H954="VIXA",PR!$BN952,IF(H954="WWCV",PR!$BO952,IF(H954="ZOLON",PR!$BP952,"-"))))))))))))))))))))))))))))))))))))))))))))))))))))))))))))))))</f>
        <v>4750</v>
      </c>
      <c r="H954" s="102" t="str">
        <f>EV!M1215</f>
        <v>DYNAMIC</v>
      </c>
      <c r="I954" s="108">
        <f>IF(J954="ALPHA",PR!$E952,IF(J954="ASSENE",PR!$F952,IF(J954="BIOFEM",PR!$G952,IF(J954="BIOMED",PR!$H952,IF(J954="CHI",PR!$I952,IF(J954="CLARION",PR!$J952,IF(J954="CODIX",PR!$K952,IF(J954="COSMADE",PR!$L952,IF(J954="SANCON",PR!$M952,IF(J954="DEVON",PR!$N952,IF(J954="DORTEMAG",PR!$O952,IF(J954="DGF",PR!$P952,IF(J954="DYNAMIC",PR!$Q952,IF(J954="EMZOR",PR!$R952,IF(J954="EUMATT",PR!$S952,IF(J954="FIDSON",PR!$T952,IF(J954="FCGLOBAL",PR!$U952,IF(J954="GENEITH",PR!$V952,IF(J954="GINOS",PR!$W952,IF(J954="GSK",PR!$X952,IF(J954="GLOBORG",PR!$Y952,IF(J954="GOODNEWS",PR!$Z952,IF(J954="GREENLIFE",PR!$AA952,IF(J954="HLINE",PR!$AB952,IF(J954="ROTECH",PR!$AC952,IF(J954="ISN",PR!$AD952,IF(J954="JAWA",PR!$AE952,IF(J954="LAYO",PR!$AF952,IF(J954="LEADWAY",PR!$AG952,IF(J954="LHV",PR!$AH952,IF(J954="MANOLA",PR!$AI952,IF(J954="MARCSON",PR!$AJ952,IF(J954="M&amp;B",PR!$AK952,IF(J954="MTRUST",PR!$AL952,IF(J954="MWORLD",PR!$AM952,IF(J954="MEGA",PR!$AN952,IF(J954="MICRONOVA",PR!$AO952,IF(J954="MFLASH",PR!$AP952,IF(J954="MORISON",PR!$AQ952,IF(J954="NEMEL",PR!$AR952,IF(J954="NHP",PR!$AS952,IF(J954="NHC",PR!$AT952,IF(J954="OLEAF",PR!$AU952,IF(J954="OCULUS",PR!$AV952,IF(J954="PACIFIC",PR!$AW952,IF(J954="PHAMATEX",PR!$AX952,IF(J954="PETHICS",PR!$AY952,IF(J954="PHILIPS",PR!$AZ952,IF(J954="RANBAXY",PR!$BA952,IF(J954="REALS",PR!$BB952,IF(J954="ROYAL",PR!$BC952,IF(J954="SAM",PR!$BD952,IF(J954="SEAGREEN",PR!$BE952,IF(J954="SKG",PR!$BF952,IF(J954="TAH",PR!$BG952,IF(J954="TAYLEK",PR!$BH952,IF(J954="TEMITA",PR!$BI952,IF(J954="THL",PR!$BJ952,IF(J954="UBASTIC",PR!$BK952,IF(J954="UNION",PR!$BL952,IF(J954="UNIQUE",PR!$BM952,IF(J954="VIXA",PR!$BN952,IF(J954="WWCV",PR!$BO952,IF(J954="ZOLON",PR!$BP952,"-"))))))))))))))))))))))))))))))))))))))))))))))))))))))))))))))))</f>
        <v>7500</v>
      </c>
      <c r="J954" s="102" t="str">
        <f>EV!N1215</f>
        <v>UBASTIC</v>
      </c>
      <c r="K954" s="433" t="s">
        <v>1463</v>
      </c>
      <c r="L954" s="183">
        <f>IF(K954&gt;0,IF(K954="ALPHA",PR!$E952,IF(K954="ASSENE",PR!$F952,IF(K954="BIOFEM",PR!$G952,IF(K954="BIOMED",PR!$H952,IF(K954="CHI",PR!$I952,IF(K954="CLARION",PR!$J952,IF(K954="CODIX",PR!$K952,IF(K954="COSMADE",PR!$L952,IF(K954="SANCON",PR!$M952,IF(K954="DEVON",PR!$N952,IF(K954="DORTEMAG",PR!$O952,IF(K954="DGF",PR!$P952,IF(K954="DYNAMIC",PR!$Q952,IF(K954="EMZOR",PR!$R952,IF(K954="EUMATT",PR!$S952,IF(K954="FIDSON",PR!$T952,IF(K954="FCGLOBAL",PR!$U952,IF(K954="GENEITH",PR!$V952,IF(K954="GINOS",PR!$W952,IF(K954="GSK",PR!$X952,IF(K954="GLOBORG",PR!$Y952,IF(K954="GOODNEWS",PR!$Z952,IF(K954="GREENLIFE",PR!$AA952,IF(K954="HLINE",PR!$AB952,IF(K954="ROTECH",PR!$AC952,IF(K954="ISN",PR!$AD952,IF(K954="JAWA",PR!$AE952,IF(K954="LAYO",PR!$AF952,IF(K954="LEADWAY",PR!$AG952,IF(K954="LHV",PR!$AH952,IF(K954="MANOLA",PR!$AI952,IF(K954="MARCSON",PR!$AJ952,IF(K954="M&amp;B",PR!$AK952,IF(K954="MTRUST",PR!$AL952,IF(K954="MWORLD",PR!$AM952,IF(K954="MEGA",PR!$AN952,IF(K954="MICRONOVA",PR!$AO952,IF(K954="MFLASH",PR!$AP952,IF(K954="MORISON",PR!$AQ952,IF(K954="NEMEL",PR!$AR952,IF(K954="NHP",PR!$AS952,IF(K954="NHC",PR!$AT952,IF(K954="OLEAF",PR!$AU952,IF(K954="OCULUS",PR!$AV952,IF(K954="PACIFIC",PR!$AW952,IF(K954="PHAMATEX",PR!$AX952,IF(K954="PETHICS",PR!$AY952,IF(K954="PHILIPS",PR!$AZ952,IF(K954="RANBAXY",PR!$BA952,IF(K954="REALS",PR!$BB952,IF(K954="ROYAL",PR!$BC952,IF(K954="SAM",PR!$BD952,IF(K954="SEAGREEN",PR!$BE952,IF(K954="SKG",PR!$BF952,IF(K954="TAH",PR!$BG952,IF(K954="TAYLEK",PR!$BH952,IF(K954="TEMITA",PR!$BI952,IF(K954="THL",PR!$BJ952,IF(K954="UBASTIC",PR!$BK952,IF(K954="UNION",PR!$BL952,IF(K954="UNIQUE",PR!$BM952,IF(K954="VIXA",PR!$BN952,IF(K954="WWCV",PR!$BO952,IF(K954="ZOLON",PR!$BP952,"-")))))))))))))))))))))))))))))))))))))))))))))))))))))))))))))))))</f>
        <v>4500</v>
      </c>
    </row>
    <row r="955" spans="1:12" ht="18.75" x14ac:dyDescent="0.3">
      <c r="A955" s="430">
        <f>PR!A953</f>
        <v>857</v>
      </c>
      <c r="B955" s="15" t="str">
        <f>PR!B953</f>
        <v>MICROTOME BLADE</v>
      </c>
      <c r="C955" s="113" t="str">
        <f>PR!D953</f>
        <v>1 pack (50pcs)</v>
      </c>
      <c r="D955" s="113">
        <f>PR!C953</f>
        <v>20</v>
      </c>
      <c r="E955" s="108">
        <f>IF(F955="ALPHA",PR!$E953,IF(F955="ASSENE",PR!$F953,IF(F955="BIOFEM",PR!$G953,IF(F955="BIOMED",PR!$H953,IF(F955="CHI",PR!$I953,IF(F955="CLARION",PR!$J953,IF(F955="CODIX",PR!$K953,IF(F955="COSMADE",PR!$L953,IF(F955="SANCON",PR!$M953,IF(F955="DEVON",PR!$N953,IF(F955="DORTEMAG",PR!$O953,IF(F955="DGF",PR!$P953,IF(F955="DYNAMIC",PR!$Q953,IF(F955="EMZOR",PR!$R953,IF(F955="EUMATT",PR!$S953,IF(F955="FIDSON",PR!$T953,IF(F955="FCGLOBAL",PR!$U953,IF(F955="GENEITH",PR!$V953,IF(F955="GINOS",PR!$W953,IF(F955="GSK",PR!$X953,IF(F955="GLOBORG",PR!$Y953,IF(F955="GOODNEWS",PR!$Z953,IF(F955="GREENLIFE",PR!$AA953,IF(F955="HLINE",PR!$AB953,IF(F955="ROTECH",PR!$AC953,IF(F955="ISN",PR!$AD953,IF(F955="JAWA",PR!$AE953,IF(F955="LAYO",PR!$AF953,IF(F955="LEADWAY",PR!$AG953,IF(F955="LHV",PR!$AH953,IF(F955="MANOLA",PR!$AI953,IF(F955="MARCSON",PR!$AJ953,IF(F955="M&amp;B",PR!$AK953,IF(F955="MTRUST",PR!$AL953,IF(F955="MWORLD",PR!$AM953,IF(F955="MEGA",PR!$AN953,IF(F955="MICRONOVA",PR!$AO953,IF(F955="MFLASH",PR!$AP953,IF(F955="MORISON",PR!$AQ953,IF(F955="NEMEL",PR!$AR953,IF(F955="NHP",PR!$AS953,IF(F955="NHC",PR!$AT953,IF(F955="OLEAF",PR!$AU953,IF(F955="OCULUS",PR!$AV953,IF(F955="PACIFIC",PR!$AW953,IF(F955="PHAMATEX",PR!$AX953,IF(F955="PETHICS",PR!$AY953,IF(F955="PHILIPS",PR!$AZ953,IF(F955="RANBAXY",PR!$BA953,IF(F955="REALS",PR!$BB953,IF(F955="ROYAL",PR!$BC953,IF(F955="SAM",PR!$BD953,IF(F955="SEAGREEN",PR!$BE953,IF(F955="SKG",PR!$BF953,IF(F955="TAH",PR!$BG953,IF(F955="TAYLEK",PR!$BH953,IF(F955="TEMITA",PR!$BI953,IF(F955="THL",PR!$BJ953,IF(F955="UBASTIC",PR!$BK953,IF(F955="UNION",PR!$BL953,IF(F955="UNIQUE",PR!$BM953,IF(F955="VIXA",PR!$BN953,IF(F955="WWCV",PR!$BO953,IF(F955="ZOLON",PR!$BP953,"-"))))))))))))))))))))))))))))))))))))))))))))))))))))))))))))))))</f>
        <v>40000</v>
      </c>
      <c r="F955" s="102" t="str">
        <f>EV!L1216</f>
        <v>UBASTIC</v>
      </c>
      <c r="G955" s="108">
        <f>IF(H955="ALPHA",PR!$E953,IF(H955="ASSENE",PR!$F953,IF(H955="BIOFEM",PR!$G953,IF(H955="BIOMED",PR!$H953,IF(H955="CHI",PR!$I953,IF(H955="CLARION",PR!$J953,IF(H955="CODIX",PR!$K953,IF(H955="COSMADE",PR!$L953,IF(H955="SANCON",PR!$M953,IF(H955="DEVON",PR!$N953,IF(H955="DORTEMAG",PR!$O953,IF(H955="DGF",PR!$P953,IF(H955="DYNAMIC",PR!$Q953,IF(H955="EMZOR",PR!$R953,IF(H955="EUMATT",PR!$S953,IF(H955="FIDSON",PR!$T953,IF(H955="FCGLOBAL",PR!$U953,IF(H955="GENEITH",PR!$V953,IF(H955="GINOS",PR!$W953,IF(H955="GSK",PR!$X953,IF(H955="GLOBORG",PR!$Y953,IF(H955="GOODNEWS",PR!$Z953,IF(H955="GREENLIFE",PR!$AA953,IF(H955="HLINE",PR!$AB953,IF(H955="ROTECH",PR!$AC953,IF(H955="ISN",PR!$AD953,IF(H955="JAWA",PR!$AE953,IF(H955="LAYO",PR!$AF953,IF(H955="LEADWAY",PR!$AG953,IF(H955="LHV",PR!$AH953,IF(H955="MANOLA",PR!$AI953,IF(H955="MARCSON",PR!$AJ953,IF(H955="M&amp;B",PR!$AK953,IF(H955="MTRUST",PR!$AL953,IF(H955="MWORLD",PR!$AM953,IF(H955="MEGA",PR!$AN953,IF(H955="MICRONOVA",PR!$AO953,IF(H955="MFLASH",PR!$AP953,IF(H955="MORISON",PR!$AQ953,IF(H955="NEMEL",PR!$AR953,IF(H955="NHP",PR!$AS953,IF(H955="NHC",PR!$AT953,IF(H955="OLEAF",PR!$AU953,IF(H955="OCULUS",PR!$AV953,IF(H955="PACIFIC",PR!$AW953,IF(H955="PHAMATEX",PR!$AX953,IF(H955="PETHICS",PR!$AY953,IF(H955="PHILIPS",PR!$AZ953,IF(H955="RANBAXY",PR!$BA953,IF(H955="REALS",PR!$BB953,IF(H955="ROYAL",PR!$BC953,IF(H955="SAM",PR!$BD953,IF(H955="SEAGREEN",PR!$BE953,IF(H955="SKG",PR!$BF953,IF(H955="TAH",PR!$BG953,IF(H955="TAYLEK",PR!$BH953,IF(H955="TEMITA",PR!$BI953,IF(H955="THL",PR!$BJ953,IF(H955="UBASTIC",PR!$BK953,IF(H955="UNION",PR!$BL953,IF(H955="UNIQUE",PR!$BM953,IF(H955="VIXA",PR!$BN953,IF(H955="WWCV",PR!$BO953,IF(H955="ZOLON",PR!$BP953,"-"))))))))))))))))))))))))))))))))))))))))))))))))))))))))))))))))</f>
        <v>49000</v>
      </c>
      <c r="H955" s="102" t="str">
        <f>EV!M1216</f>
        <v>COSMADE</v>
      </c>
      <c r="I955" s="108">
        <f>IF(J955="ALPHA",PR!$E953,IF(J955="ASSENE",PR!$F953,IF(J955="BIOFEM",PR!$G953,IF(J955="BIOMED",PR!$H953,IF(J955="CHI",PR!$I953,IF(J955="CLARION",PR!$J953,IF(J955="CODIX",PR!$K953,IF(J955="COSMADE",PR!$L953,IF(J955="SANCON",PR!$M953,IF(J955="DEVON",PR!$N953,IF(J955="DORTEMAG",PR!$O953,IF(J955="DGF",PR!$P953,IF(J955="DYNAMIC",PR!$Q953,IF(J955="EMZOR",PR!$R953,IF(J955="EUMATT",PR!$S953,IF(J955="FIDSON",PR!$T953,IF(J955="FCGLOBAL",PR!$U953,IF(J955="GENEITH",PR!$V953,IF(J955="GINOS",PR!$W953,IF(J955="GSK",PR!$X953,IF(J955="GLOBORG",PR!$Y953,IF(J955="GOODNEWS",PR!$Z953,IF(J955="GREENLIFE",PR!$AA953,IF(J955="HLINE",PR!$AB953,IF(J955="ROTECH",PR!$AC953,IF(J955="ISN",PR!$AD953,IF(J955="JAWA",PR!$AE953,IF(J955="LAYO",PR!$AF953,IF(J955="LEADWAY",PR!$AG953,IF(J955="LHV",PR!$AH953,IF(J955="MANOLA",PR!$AI953,IF(J955="MARCSON",PR!$AJ953,IF(J955="M&amp;B",PR!$AK953,IF(J955="MTRUST",PR!$AL953,IF(J955="MWORLD",PR!$AM953,IF(J955="MEGA",PR!$AN953,IF(J955="MICRONOVA",PR!$AO953,IF(J955="MFLASH",PR!$AP953,IF(J955="MORISON",PR!$AQ953,IF(J955="NEMEL",PR!$AR953,IF(J955="NHP",PR!$AS953,IF(J955="NHC",PR!$AT953,IF(J955="OLEAF",PR!$AU953,IF(J955="OCULUS",PR!$AV953,IF(J955="PACIFIC",PR!$AW953,IF(J955="PHAMATEX",PR!$AX953,IF(J955="PETHICS",PR!$AY953,IF(J955="PHILIPS",PR!$AZ953,IF(J955="RANBAXY",PR!$BA953,IF(J955="REALS",PR!$BB953,IF(J955="ROYAL",PR!$BC953,IF(J955="SAM",PR!$BD953,IF(J955="SEAGREEN",PR!$BE953,IF(J955="SKG",PR!$BF953,IF(J955="TAH",PR!$BG953,IF(J955="TAYLEK",PR!$BH953,IF(J955="TEMITA",PR!$BI953,IF(J955="THL",PR!$BJ953,IF(J955="UBASTIC",PR!$BK953,IF(J955="UNION",PR!$BL953,IF(J955="UNIQUE",PR!$BM953,IF(J955="VIXA",PR!$BN953,IF(J955="WWCV",PR!$BO953,IF(J955="ZOLON",PR!$BP953,"-"))))))))))))))))))))))))))))))))))))))))))))))))))))))))))))))))</f>
        <v>51250</v>
      </c>
      <c r="J955" s="102" t="str">
        <f>EV!N1216</f>
        <v>DYNAMIC</v>
      </c>
      <c r="K955" s="433" t="s">
        <v>1459</v>
      </c>
      <c r="L955" s="183">
        <f>IF(K955&gt;0,IF(K955="ALPHA",PR!$E953,IF(K955="ASSENE",PR!$F953,IF(K955="BIOFEM",PR!$G953,IF(K955="BIOMED",PR!$H953,IF(K955="CHI",PR!$I953,IF(K955="CLARION",PR!$J953,IF(K955="CODIX",PR!$K953,IF(K955="COSMADE",PR!$L953,IF(K955="SANCON",PR!$M953,IF(K955="DEVON",PR!$N953,IF(K955="DORTEMAG",PR!$O953,IF(K955="DGF",PR!$P953,IF(K955="DYNAMIC",PR!$Q953,IF(K955="EMZOR",PR!$R953,IF(K955="EUMATT",PR!$S953,IF(K955="FIDSON",PR!$T953,IF(K955="FCGLOBAL",PR!$U953,IF(K955="GENEITH",PR!$V953,IF(K955="GINOS",PR!$W953,IF(K955="GSK",PR!$X953,IF(K955="GLOBORG",PR!$Y953,IF(K955="GOODNEWS",PR!$Z953,IF(K955="GREENLIFE",PR!$AA953,IF(K955="HLINE",PR!$AB953,IF(K955="ROTECH",PR!$AC953,IF(K955="ISN",PR!$AD953,IF(K955="JAWA",PR!$AE953,IF(K955="LAYO",PR!$AF953,IF(K955="LEADWAY",PR!$AG953,IF(K955="LHV",PR!$AH953,IF(K955="MANOLA",PR!$AI953,IF(K955="MARCSON",PR!$AJ953,IF(K955="M&amp;B",PR!$AK953,IF(K955="MTRUST",PR!$AL953,IF(K955="MWORLD",PR!$AM953,IF(K955="MEGA",PR!$AN953,IF(K955="MICRONOVA",PR!$AO953,IF(K955="MFLASH",PR!$AP953,IF(K955="MORISON",PR!$AQ953,IF(K955="NEMEL",PR!$AR953,IF(K955="NHP",PR!$AS953,IF(K955="NHC",PR!$AT953,IF(K955="OLEAF",PR!$AU953,IF(K955="OCULUS",PR!$AV953,IF(K955="PACIFIC",PR!$AW953,IF(K955="PHAMATEX",PR!$AX953,IF(K955="PETHICS",PR!$AY953,IF(K955="PHILIPS",PR!$AZ953,IF(K955="RANBAXY",PR!$BA953,IF(K955="REALS",PR!$BB953,IF(K955="ROYAL",PR!$BC953,IF(K955="SAM",PR!$BD953,IF(K955="SEAGREEN",PR!$BE953,IF(K955="SKG",PR!$BF953,IF(K955="TAH",PR!$BG953,IF(K955="TAYLEK",PR!$BH953,IF(K955="TEMITA",PR!$BI953,IF(K955="THL",PR!$BJ953,IF(K955="UBASTIC",PR!$BK953,IF(K955="UNION",PR!$BL953,IF(K955="UNIQUE",PR!$BM953,IF(K955="VIXA",PR!$BN953,IF(K955="WWCV",PR!$BO953,IF(K955="ZOLON",PR!$BP953,"-")))))))))))))))))))))))))))))))))))))))))))))))))))))))))))))))))</f>
        <v>40000</v>
      </c>
    </row>
    <row r="956" spans="1:12" ht="18.75" x14ac:dyDescent="0.3">
      <c r="A956" s="430">
        <f>PR!A954</f>
        <v>858</v>
      </c>
      <c r="B956" s="15" t="str">
        <f>PR!B954</f>
        <v>NYLON APRON (DISPOSABLE)</v>
      </c>
      <c r="C956" s="113" t="str">
        <f>PR!D954</f>
        <v>1 pack (20pcs)</v>
      </c>
      <c r="D956" s="113">
        <f>PR!C954</f>
        <v>5</v>
      </c>
      <c r="E956" s="108">
        <f>IF(F956="ALPHA",PR!$E954,IF(F956="ASSENE",PR!$F954,IF(F956="BIOFEM",PR!$G954,IF(F956="BIOMED",PR!$H954,IF(F956="CHI",PR!$I954,IF(F956="CLARION",PR!$J954,IF(F956="CODIX",PR!$K954,IF(F956="COSMADE",PR!$L954,IF(F956="SANCON",PR!$M954,IF(F956="DEVON",PR!$N954,IF(F956="DORTEMAG",PR!$O954,IF(F956="DGF",PR!$P954,IF(F956="DYNAMIC",PR!$Q954,IF(F956="EMZOR",PR!$R954,IF(F956="EUMATT",PR!$S954,IF(F956="FIDSON",PR!$T954,IF(F956="FCGLOBAL",PR!$U954,IF(F956="GENEITH",PR!$V954,IF(F956="GINOS",PR!$W954,IF(F956="GSK",PR!$X954,IF(F956="GLOBORG",PR!$Y954,IF(F956="GOODNEWS",PR!$Z954,IF(F956="GREENLIFE",PR!$AA954,IF(F956="HLINE",PR!$AB954,IF(F956="ROTECH",PR!$AC954,IF(F956="ISN",PR!$AD954,IF(F956="JAWA",PR!$AE954,IF(F956="LAYO",PR!$AF954,IF(F956="LEADWAY",PR!$AG954,IF(F956="LHV",PR!$AH954,IF(F956="MANOLA",PR!$AI954,IF(F956="MARCSON",PR!$AJ954,IF(F956="M&amp;B",PR!$AK954,IF(F956="MTRUST",PR!$AL954,IF(F956="MWORLD",PR!$AM954,IF(F956="MEGA",PR!$AN954,IF(F956="MICRONOVA",PR!$AO954,IF(F956="MFLASH",PR!$AP954,IF(F956="MORISON",PR!$AQ954,IF(F956="NEMEL",PR!$AR954,IF(F956="NHP",PR!$AS954,IF(F956="NHC",PR!$AT954,IF(F956="OLEAF",PR!$AU954,IF(F956="OCULUS",PR!$AV954,IF(F956="PACIFIC",PR!$AW954,IF(F956="PHAMATEX",PR!$AX954,IF(F956="PETHICS",PR!$AY954,IF(F956="PHILIPS",PR!$AZ954,IF(F956="RANBAXY",PR!$BA954,IF(F956="REALS",PR!$BB954,IF(F956="ROYAL",PR!$BC954,IF(F956="SAM",PR!$BD954,IF(F956="SEAGREEN",PR!$BE954,IF(F956="SKG",PR!$BF954,IF(F956="TAH",PR!$BG954,IF(F956="TAYLEK",PR!$BH954,IF(F956="TEMITA",PR!$BI954,IF(F956="THL",PR!$BJ954,IF(F956="UBASTIC",PR!$BK954,IF(F956="UNION",PR!$BL954,IF(F956="UNIQUE",PR!$BM954,IF(F956="VIXA",PR!$BN954,IF(F956="WWCV",PR!$BO954,IF(F956="ZOLON",PR!$BP954,"-"))))))))))))))))))))))))))))))))))))))))))))))))))))))))))))))))</f>
        <v>2500</v>
      </c>
      <c r="F956" s="102" t="str">
        <f>EV!L1217</f>
        <v>SANCON</v>
      </c>
      <c r="G956" s="108">
        <f>IF(H956="ALPHA",PR!$E954,IF(H956="ASSENE",PR!$F954,IF(H956="BIOFEM",PR!$G954,IF(H956="BIOMED",PR!$H954,IF(H956="CHI",PR!$I954,IF(H956="CLARION",PR!$J954,IF(H956="CODIX",PR!$K954,IF(H956="COSMADE",PR!$L954,IF(H956="SANCON",PR!$M954,IF(H956="DEVON",PR!$N954,IF(H956="DORTEMAG",PR!$O954,IF(H956="DGF",PR!$P954,IF(H956="DYNAMIC",PR!$Q954,IF(H956="EMZOR",PR!$R954,IF(H956="EUMATT",PR!$S954,IF(H956="FIDSON",PR!$T954,IF(H956="FCGLOBAL",PR!$U954,IF(H956="GENEITH",PR!$V954,IF(H956="GINOS",PR!$W954,IF(H956="GSK",PR!$X954,IF(H956="GLOBORG",PR!$Y954,IF(H956="GOODNEWS",PR!$Z954,IF(H956="GREENLIFE",PR!$AA954,IF(H956="HLINE",PR!$AB954,IF(H956="ROTECH",PR!$AC954,IF(H956="ISN",PR!$AD954,IF(H956="JAWA",PR!$AE954,IF(H956="LAYO",PR!$AF954,IF(H956="LEADWAY",PR!$AG954,IF(H956="LHV",PR!$AH954,IF(H956="MANOLA",PR!$AI954,IF(H956="MARCSON",PR!$AJ954,IF(H956="M&amp;B",PR!$AK954,IF(H956="MTRUST",PR!$AL954,IF(H956="MWORLD",PR!$AM954,IF(H956="MEGA",PR!$AN954,IF(H956="MICRONOVA",PR!$AO954,IF(H956="MFLASH",PR!$AP954,IF(H956="MORISON",PR!$AQ954,IF(H956="NEMEL",PR!$AR954,IF(H956="NHP",PR!$AS954,IF(H956="NHC",PR!$AT954,IF(H956="OLEAF",PR!$AU954,IF(H956="OCULUS",PR!$AV954,IF(H956="PACIFIC",PR!$AW954,IF(H956="PHAMATEX",PR!$AX954,IF(H956="PETHICS",PR!$AY954,IF(H956="PHILIPS",PR!$AZ954,IF(H956="RANBAXY",PR!$BA954,IF(H956="REALS",PR!$BB954,IF(H956="ROYAL",PR!$BC954,IF(H956="SAM",PR!$BD954,IF(H956="SEAGREEN",PR!$BE954,IF(H956="SKG",PR!$BF954,IF(H956="TAH",PR!$BG954,IF(H956="TAYLEK",PR!$BH954,IF(H956="TEMITA",PR!$BI954,IF(H956="THL",PR!$BJ954,IF(H956="UBASTIC",PR!$BK954,IF(H956="UNION",PR!$BL954,IF(H956="UNIQUE",PR!$BM954,IF(H956="VIXA",PR!$BN954,IF(H956="WWCV",PR!$BO954,IF(H956="ZOLON",PR!$BP954,"-"))))))))))))))))))))))))))))))))))))))))))))))))))))))))))))))))</f>
        <v>3640</v>
      </c>
      <c r="H956" s="102" t="str">
        <f>EV!M1217</f>
        <v>LAYO</v>
      </c>
      <c r="I956" s="108">
        <f>IF(J956="ALPHA",PR!$E954,IF(J956="ASSENE",PR!$F954,IF(J956="BIOFEM",PR!$G954,IF(J956="BIOMED",PR!$H954,IF(J956="CHI",PR!$I954,IF(J956="CLARION",PR!$J954,IF(J956="CODIX",PR!$K954,IF(J956="COSMADE",PR!$L954,IF(J956="SANCON",PR!$M954,IF(J956="DEVON",PR!$N954,IF(J956="DORTEMAG",PR!$O954,IF(J956="DGF",PR!$P954,IF(J956="DYNAMIC",PR!$Q954,IF(J956="EMZOR",PR!$R954,IF(J956="EUMATT",PR!$S954,IF(J956="FIDSON",PR!$T954,IF(J956="FCGLOBAL",PR!$U954,IF(J956="GENEITH",PR!$V954,IF(J956="GINOS",PR!$W954,IF(J956="GSK",PR!$X954,IF(J956="GLOBORG",PR!$Y954,IF(J956="GOODNEWS",PR!$Z954,IF(J956="GREENLIFE",PR!$AA954,IF(J956="HLINE",PR!$AB954,IF(J956="ROTECH",PR!$AC954,IF(J956="ISN",PR!$AD954,IF(J956="JAWA",PR!$AE954,IF(J956="LAYO",PR!$AF954,IF(J956="LEADWAY",PR!$AG954,IF(J956="LHV",PR!$AH954,IF(J956="MANOLA",PR!$AI954,IF(J956="MARCSON",PR!$AJ954,IF(J956="M&amp;B",PR!$AK954,IF(J956="MTRUST",PR!$AL954,IF(J956="MWORLD",PR!$AM954,IF(J956="MEGA",PR!$AN954,IF(J956="MICRONOVA",PR!$AO954,IF(J956="MFLASH",PR!$AP954,IF(J956="MORISON",PR!$AQ954,IF(J956="NEMEL",PR!$AR954,IF(J956="NHP",PR!$AS954,IF(J956="NHC",PR!$AT954,IF(J956="OLEAF",PR!$AU954,IF(J956="OCULUS",PR!$AV954,IF(J956="PACIFIC",PR!$AW954,IF(J956="PHAMATEX",PR!$AX954,IF(J956="PETHICS",PR!$AY954,IF(J956="PHILIPS",PR!$AZ954,IF(J956="RANBAXY",PR!$BA954,IF(J956="REALS",PR!$BB954,IF(J956="ROYAL",PR!$BC954,IF(J956="SAM",PR!$BD954,IF(J956="SEAGREEN",PR!$BE954,IF(J956="SKG",PR!$BF954,IF(J956="TAH",PR!$BG954,IF(J956="TAYLEK",PR!$BH954,IF(J956="TEMITA",PR!$BI954,IF(J956="THL",PR!$BJ954,IF(J956="UBASTIC",PR!$BK954,IF(J956="UNION",PR!$BL954,IF(J956="UNIQUE",PR!$BM954,IF(J956="VIXA",PR!$BN954,IF(J956="WWCV",PR!$BO954,IF(J956="ZOLON",PR!$BP954,"-"))))))))))))))))))))))))))))))))))))))))))))))))))))))))))))))))</f>
        <v>6600</v>
      </c>
      <c r="J956" s="102" t="str">
        <f>EV!N1217</f>
        <v>ROTECH</v>
      </c>
      <c r="K956" s="433" t="s">
        <v>817</v>
      </c>
      <c r="L956" s="183">
        <f>IF(K956&gt;0,IF(K956="ALPHA",PR!$E954,IF(K956="ASSENE",PR!$F954,IF(K956="BIOFEM",PR!$G954,IF(K956="BIOMED",PR!$H954,IF(K956="CHI",PR!$I954,IF(K956="CLARION",PR!$J954,IF(K956="CODIX",PR!$K954,IF(K956="COSMADE",PR!$L954,IF(K956="SANCON",PR!$M954,IF(K956="DEVON",PR!$N954,IF(K956="DORTEMAG",PR!$O954,IF(K956="DGF",PR!$P954,IF(K956="DYNAMIC",PR!$Q954,IF(K956="EMZOR",PR!$R954,IF(K956="EUMATT",PR!$S954,IF(K956="FIDSON",PR!$T954,IF(K956="FCGLOBAL",PR!$U954,IF(K956="GENEITH",PR!$V954,IF(K956="GINOS",PR!$W954,IF(K956="GSK",PR!$X954,IF(K956="GLOBORG",PR!$Y954,IF(K956="GOODNEWS",PR!$Z954,IF(K956="GREENLIFE",PR!$AA954,IF(K956="HLINE",PR!$AB954,IF(K956="ROTECH",PR!$AC954,IF(K956="ISN",PR!$AD954,IF(K956="JAWA",PR!$AE954,IF(K956="LAYO",PR!$AF954,IF(K956="LEADWAY",PR!$AG954,IF(K956="LHV",PR!$AH954,IF(K956="MANOLA",PR!$AI954,IF(K956="MARCSON",PR!$AJ954,IF(K956="M&amp;B",PR!$AK954,IF(K956="MTRUST",PR!$AL954,IF(K956="MWORLD",PR!$AM954,IF(K956="MEGA",PR!$AN954,IF(K956="MICRONOVA",PR!$AO954,IF(K956="MFLASH",PR!$AP954,IF(K956="MORISON",PR!$AQ954,IF(K956="NEMEL",PR!$AR954,IF(K956="NHP",PR!$AS954,IF(K956="NHC",PR!$AT954,IF(K956="OLEAF",PR!$AU954,IF(K956="OCULUS",PR!$AV954,IF(K956="PACIFIC",PR!$AW954,IF(K956="PHAMATEX",PR!$AX954,IF(K956="PETHICS",PR!$AY954,IF(K956="PHILIPS",PR!$AZ954,IF(K956="RANBAXY",PR!$BA954,IF(K956="REALS",PR!$BB954,IF(K956="ROYAL",PR!$BC954,IF(K956="SAM",PR!$BD954,IF(K956="SEAGREEN",PR!$BE954,IF(K956="SKG",PR!$BF954,IF(K956="TAH",PR!$BG954,IF(K956="TAYLEK",PR!$BH954,IF(K956="TEMITA",PR!$BI954,IF(K956="THL",PR!$BJ954,IF(K956="UBASTIC",PR!$BK954,IF(K956="UNION",PR!$BL954,IF(K956="UNIQUE",PR!$BM954,IF(K956="VIXA",PR!$BN954,IF(K956="WWCV",PR!$BO954,IF(K956="ZOLON",PR!$BP954,"-")))))))))))))))))))))))))))))))))))))))))))))))))))))))))))))))))</f>
        <v>2500</v>
      </c>
    </row>
    <row r="957" spans="1:12" ht="18.75" x14ac:dyDescent="0.3">
      <c r="A957" s="430">
        <f>PR!A955</f>
        <v>859</v>
      </c>
      <c r="B957" s="15" t="str">
        <f>PR!B955</f>
        <v>OIL IMMERSION 100ML</v>
      </c>
      <c r="C957" s="113" t="str">
        <f>PR!D955</f>
        <v>1 bottle</v>
      </c>
      <c r="D957" s="113">
        <f>PR!C955</f>
        <v>1</v>
      </c>
      <c r="E957" s="108">
        <f>IF(F957="ALPHA",PR!$E955,IF(F957="ASSENE",PR!$F955,IF(F957="BIOFEM",PR!$G955,IF(F957="BIOMED",PR!$H955,IF(F957="CHI",PR!$I955,IF(F957="CLARION",PR!$J955,IF(F957="CODIX",PR!$K955,IF(F957="COSMADE",PR!$L955,IF(F957="SANCON",PR!$M955,IF(F957="DEVON",PR!$N955,IF(F957="DORTEMAG",PR!$O955,IF(F957="DGF",PR!$P955,IF(F957="DYNAMIC",PR!$Q955,IF(F957="EMZOR",PR!$R955,IF(F957="EUMATT",PR!$S955,IF(F957="FIDSON",PR!$T955,IF(F957="FCGLOBAL",PR!$U955,IF(F957="GENEITH",PR!$V955,IF(F957="GINOS",PR!$W955,IF(F957="GSK",PR!$X955,IF(F957="GLOBORG",PR!$Y955,IF(F957="GOODNEWS",PR!$Z955,IF(F957="GREENLIFE",PR!$AA955,IF(F957="HLINE",PR!$AB955,IF(F957="ROTECH",PR!$AC955,IF(F957="ISN",PR!$AD955,IF(F957="JAWA",PR!$AE955,IF(F957="LAYO",PR!$AF955,IF(F957="LEADWAY",PR!$AG955,IF(F957="LHV",PR!$AH955,IF(F957="MANOLA",PR!$AI955,IF(F957="MARCSON",PR!$AJ955,IF(F957="M&amp;B",PR!$AK955,IF(F957="MTRUST",PR!$AL955,IF(F957="MWORLD",PR!$AM955,IF(F957="MEGA",PR!$AN955,IF(F957="MICRONOVA",PR!$AO955,IF(F957="MFLASH",PR!$AP955,IF(F957="MORISON",PR!$AQ955,IF(F957="NEMEL",PR!$AR955,IF(F957="NHP",PR!$AS955,IF(F957="NHC",PR!$AT955,IF(F957="OLEAF",PR!$AU955,IF(F957="OCULUS",PR!$AV955,IF(F957="PACIFIC",PR!$AW955,IF(F957="PHAMATEX",PR!$AX955,IF(F957="PETHICS",PR!$AY955,IF(F957="PHILIPS",PR!$AZ955,IF(F957="RANBAXY",PR!$BA955,IF(F957="REALS",PR!$BB955,IF(F957="ROYAL",PR!$BC955,IF(F957="SAM",PR!$BD955,IF(F957="SEAGREEN",PR!$BE955,IF(F957="SKG",PR!$BF955,IF(F957="TAH",PR!$BG955,IF(F957="TAYLEK",PR!$BH955,IF(F957="TEMITA",PR!$BI955,IF(F957="THL",PR!$BJ955,IF(F957="UBASTIC",PR!$BK955,IF(F957="UNION",PR!$BL955,IF(F957="UNIQUE",PR!$BM955,IF(F957="VIXA",PR!$BN955,IF(F957="WWCV",PR!$BO955,IF(F957="ZOLON",PR!$BP955,"-"))))))))))))))))))))))))))))))))))))))))))))))))))))))))))))))))</f>
        <v>4000</v>
      </c>
      <c r="F957" s="102" t="str">
        <f>EV!L1218</f>
        <v>COSMADE</v>
      </c>
      <c r="G957" s="108">
        <f>IF(H957="ALPHA",PR!$E955,IF(H957="ASSENE",PR!$F955,IF(H957="BIOFEM",PR!$G955,IF(H957="BIOMED",PR!$H955,IF(H957="CHI",PR!$I955,IF(H957="CLARION",PR!$J955,IF(H957="CODIX",PR!$K955,IF(H957="COSMADE",PR!$L955,IF(H957="SANCON",PR!$M955,IF(H957="DEVON",PR!$N955,IF(H957="DORTEMAG",PR!$O955,IF(H957="DGF",PR!$P955,IF(H957="DYNAMIC",PR!$Q955,IF(H957="EMZOR",PR!$R955,IF(H957="EUMATT",PR!$S955,IF(H957="FIDSON",PR!$T955,IF(H957="FCGLOBAL",PR!$U955,IF(H957="GENEITH",PR!$V955,IF(H957="GINOS",PR!$W955,IF(H957="GSK",PR!$X955,IF(H957="GLOBORG",PR!$Y955,IF(H957="GOODNEWS",PR!$Z955,IF(H957="GREENLIFE",PR!$AA955,IF(H957="HLINE",PR!$AB955,IF(H957="ROTECH",PR!$AC955,IF(H957="ISN",PR!$AD955,IF(H957="JAWA",PR!$AE955,IF(H957="LAYO",PR!$AF955,IF(H957="LEADWAY",PR!$AG955,IF(H957="LHV",PR!$AH955,IF(H957="MANOLA",PR!$AI955,IF(H957="MARCSON",PR!$AJ955,IF(H957="M&amp;B",PR!$AK955,IF(H957="MTRUST",PR!$AL955,IF(H957="MWORLD",PR!$AM955,IF(H957="MEGA",PR!$AN955,IF(H957="MICRONOVA",PR!$AO955,IF(H957="MFLASH",PR!$AP955,IF(H957="MORISON",PR!$AQ955,IF(H957="NEMEL",PR!$AR955,IF(H957="NHP",PR!$AS955,IF(H957="NHC",PR!$AT955,IF(H957="OLEAF",PR!$AU955,IF(H957="OCULUS",PR!$AV955,IF(H957="PACIFIC",PR!$AW955,IF(H957="PHAMATEX",PR!$AX955,IF(H957="PETHICS",PR!$AY955,IF(H957="PHILIPS",PR!$AZ955,IF(H957="RANBAXY",PR!$BA955,IF(H957="REALS",PR!$BB955,IF(H957="ROYAL",PR!$BC955,IF(H957="SAM",PR!$BD955,IF(H957="SEAGREEN",PR!$BE955,IF(H957="SKG",PR!$BF955,IF(H957="TAH",PR!$BG955,IF(H957="TAYLEK",PR!$BH955,IF(H957="TEMITA",PR!$BI955,IF(H957="THL",PR!$BJ955,IF(H957="UBASTIC",PR!$BK955,IF(H957="UNION",PR!$BL955,IF(H957="UNIQUE",PR!$BM955,IF(H957="VIXA",PR!$BN955,IF(H957="WWCV",PR!$BO955,IF(H957="ZOLON",PR!$BP955,"-"))))))))))))))))))))))))))))))))))))))))))))))))))))))))))))))))</f>
        <v>4200</v>
      </c>
      <c r="H957" s="102" t="str">
        <f>EV!M1218</f>
        <v>SANCON</v>
      </c>
      <c r="I957" s="108">
        <f>IF(J957="ALPHA",PR!$E955,IF(J957="ASSENE",PR!$F955,IF(J957="BIOFEM",PR!$G955,IF(J957="BIOMED",PR!$H955,IF(J957="CHI",PR!$I955,IF(J957="CLARION",PR!$J955,IF(J957="CODIX",PR!$K955,IF(J957="COSMADE",PR!$L955,IF(J957="SANCON",PR!$M955,IF(J957="DEVON",PR!$N955,IF(J957="DORTEMAG",PR!$O955,IF(J957="DGF",PR!$P955,IF(J957="DYNAMIC",PR!$Q955,IF(J957="EMZOR",PR!$R955,IF(J957="EUMATT",PR!$S955,IF(J957="FIDSON",PR!$T955,IF(J957="FCGLOBAL",PR!$U955,IF(J957="GENEITH",PR!$V955,IF(J957="GINOS",PR!$W955,IF(J957="GSK",PR!$X955,IF(J957="GLOBORG",PR!$Y955,IF(J957="GOODNEWS",PR!$Z955,IF(J957="GREENLIFE",PR!$AA955,IF(J957="HLINE",PR!$AB955,IF(J957="ROTECH",PR!$AC955,IF(J957="ISN",PR!$AD955,IF(J957="JAWA",PR!$AE955,IF(J957="LAYO",PR!$AF955,IF(J957="LEADWAY",PR!$AG955,IF(J957="LHV",PR!$AH955,IF(J957="MANOLA",PR!$AI955,IF(J957="MARCSON",PR!$AJ955,IF(J957="M&amp;B",PR!$AK955,IF(J957="MTRUST",PR!$AL955,IF(J957="MWORLD",PR!$AM955,IF(J957="MEGA",PR!$AN955,IF(J957="MICRONOVA",PR!$AO955,IF(J957="MFLASH",PR!$AP955,IF(J957="MORISON",PR!$AQ955,IF(J957="NEMEL",PR!$AR955,IF(J957="NHP",PR!$AS955,IF(J957="NHC",PR!$AT955,IF(J957="OLEAF",PR!$AU955,IF(J957="OCULUS",PR!$AV955,IF(J957="PACIFIC",PR!$AW955,IF(J957="PHAMATEX",PR!$AX955,IF(J957="PETHICS",PR!$AY955,IF(J957="PHILIPS",PR!$AZ955,IF(J957="RANBAXY",PR!$BA955,IF(J957="REALS",PR!$BB955,IF(J957="ROYAL",PR!$BC955,IF(J957="SAM",PR!$BD955,IF(J957="SEAGREEN",PR!$BE955,IF(J957="SKG",PR!$BF955,IF(J957="TAH",PR!$BG955,IF(J957="TAYLEK",PR!$BH955,IF(J957="TEMITA",PR!$BI955,IF(J957="THL",PR!$BJ955,IF(J957="UBASTIC",PR!$BK955,IF(J957="UNION",PR!$BL955,IF(J957="UNIQUE",PR!$BM955,IF(J957="VIXA",PR!$BN955,IF(J957="WWCV",PR!$BO955,IF(J957="ZOLON",PR!$BP955,"-"))))))))))))))))))))))))))))))))))))))))))))))))))))))))))))))))</f>
        <v>4375</v>
      </c>
      <c r="J957" s="102" t="str">
        <f>EV!N1218</f>
        <v>DYNAMIC</v>
      </c>
      <c r="K957" s="433" t="s">
        <v>1452</v>
      </c>
      <c r="L957" s="183">
        <f>IF(K957&gt;0,IF(K957="ALPHA",PR!$E955,IF(K957="ASSENE",PR!$F955,IF(K957="BIOFEM",PR!$G955,IF(K957="BIOMED",PR!$H955,IF(K957="CHI",PR!$I955,IF(K957="CLARION",PR!$J955,IF(K957="CODIX",PR!$K955,IF(K957="COSMADE",PR!$L955,IF(K957="SANCON",PR!$M955,IF(K957="DEVON",PR!$N955,IF(K957="DORTEMAG",PR!$O955,IF(K957="DGF",PR!$P955,IF(K957="DYNAMIC",PR!$Q955,IF(K957="EMZOR",PR!$R955,IF(K957="EUMATT",PR!$S955,IF(K957="FIDSON",PR!$T955,IF(K957="FCGLOBAL",PR!$U955,IF(K957="GENEITH",PR!$V955,IF(K957="GINOS",PR!$W955,IF(K957="GSK",PR!$X955,IF(K957="GLOBORG",PR!$Y955,IF(K957="GOODNEWS",PR!$Z955,IF(K957="GREENLIFE",PR!$AA955,IF(K957="HLINE",PR!$AB955,IF(K957="ROTECH",PR!$AC955,IF(K957="ISN",PR!$AD955,IF(K957="JAWA",PR!$AE955,IF(K957="LAYO",PR!$AF955,IF(K957="LEADWAY",PR!$AG955,IF(K957="LHV",PR!$AH955,IF(K957="MANOLA",PR!$AI955,IF(K957="MARCSON",PR!$AJ955,IF(K957="M&amp;B",PR!$AK955,IF(K957="MTRUST",PR!$AL955,IF(K957="MWORLD",PR!$AM955,IF(K957="MEGA",PR!$AN955,IF(K957="MICRONOVA",PR!$AO955,IF(K957="MFLASH",PR!$AP955,IF(K957="MORISON",PR!$AQ955,IF(K957="NEMEL",PR!$AR955,IF(K957="NHP",PR!$AS955,IF(K957="NHC",PR!$AT955,IF(K957="OLEAF",PR!$AU955,IF(K957="OCULUS",PR!$AV955,IF(K957="PACIFIC",PR!$AW955,IF(K957="PHAMATEX",PR!$AX955,IF(K957="PETHICS",PR!$AY955,IF(K957="PHILIPS",PR!$AZ955,IF(K957="RANBAXY",PR!$BA955,IF(K957="REALS",PR!$BB955,IF(K957="ROYAL",PR!$BC955,IF(K957="SAM",PR!$BD955,IF(K957="SEAGREEN",PR!$BE955,IF(K957="SKG",PR!$BF955,IF(K957="TAH",PR!$BG955,IF(K957="TAYLEK",PR!$BH955,IF(K957="TEMITA",PR!$BI955,IF(K957="THL",PR!$BJ955,IF(K957="UBASTIC",PR!$BK955,IF(K957="UNION",PR!$BL955,IF(K957="UNIQUE",PR!$BM955,IF(K957="VIXA",PR!$BN955,IF(K957="WWCV",PR!$BO955,IF(K957="ZOLON",PR!$BP955,"-")))))))))))))))))))))))))))))))))))))))))))))))))))))))))))))))))</f>
        <v>4000</v>
      </c>
    </row>
    <row r="958" spans="1:12" ht="18.75" x14ac:dyDescent="0.3">
      <c r="A958" s="430">
        <f>PR!A956</f>
        <v>860</v>
      </c>
      <c r="B958" s="15" t="str">
        <f>PR!B956</f>
        <v>ORANGE G 6 (OG6)</v>
      </c>
      <c r="C958" s="113" t="str">
        <f>PR!D956</f>
        <v>1 bottle (1 liter)</v>
      </c>
      <c r="D958" s="113">
        <f>PR!C956</f>
        <v>5</v>
      </c>
      <c r="E958" s="108">
        <f>IF(F958="ALPHA",PR!$E956,IF(F958="ASSENE",PR!$F956,IF(F958="BIOFEM",PR!$G956,IF(F958="BIOMED",PR!$H956,IF(F958="CHI",PR!$I956,IF(F958="CLARION",PR!$J956,IF(F958="CODIX",PR!$K956,IF(F958="COSMADE",PR!$L956,IF(F958="SANCON",PR!$M956,IF(F958="DEVON",PR!$N956,IF(F958="DORTEMAG",PR!$O956,IF(F958="DGF",PR!$P956,IF(F958="DYNAMIC",PR!$Q956,IF(F958="EMZOR",PR!$R956,IF(F958="EUMATT",PR!$S956,IF(F958="FIDSON",PR!$T956,IF(F958="FCGLOBAL",PR!$U956,IF(F958="GENEITH",PR!$V956,IF(F958="GINOS",PR!$W956,IF(F958="GSK",PR!$X956,IF(F958="GLOBORG",PR!$Y956,IF(F958="GOODNEWS",PR!$Z956,IF(F958="GREENLIFE",PR!$AA956,IF(F958="HLINE",PR!$AB956,IF(F958="ROTECH",PR!$AC956,IF(F958="ISN",PR!$AD956,IF(F958="JAWA",PR!$AE956,IF(F958="LAYO",PR!$AF956,IF(F958="LEADWAY",PR!$AG956,IF(F958="LHV",PR!$AH956,IF(F958="MANOLA",PR!$AI956,IF(F958="MARCSON",PR!$AJ956,IF(F958="M&amp;B",PR!$AK956,IF(F958="MTRUST",PR!$AL956,IF(F958="MWORLD",PR!$AM956,IF(F958="MEGA",PR!$AN956,IF(F958="MICRONOVA",PR!$AO956,IF(F958="MFLASH",PR!$AP956,IF(F958="MORISON",PR!$AQ956,IF(F958="NEMEL",PR!$AR956,IF(F958="NHP",PR!$AS956,IF(F958="NHC",PR!$AT956,IF(F958="OLEAF",PR!$AU956,IF(F958="OCULUS",PR!$AV956,IF(F958="PACIFIC",PR!$AW956,IF(F958="PHAMATEX",PR!$AX956,IF(F958="PETHICS",PR!$AY956,IF(F958="PHILIPS",PR!$AZ956,IF(F958="RANBAXY",PR!$BA956,IF(F958="REALS",PR!$BB956,IF(F958="ROYAL",PR!$BC956,IF(F958="SAM",PR!$BD956,IF(F958="SEAGREEN",PR!$BE956,IF(F958="SKG",PR!$BF956,IF(F958="TAH",PR!$BG956,IF(F958="TAYLEK",PR!$BH956,IF(F958="TEMITA",PR!$BI956,IF(F958="THL",PR!$BJ956,IF(F958="UBASTIC",PR!$BK956,IF(F958="UNION",PR!$BL956,IF(F958="UNIQUE",PR!$BM956,IF(F958="VIXA",PR!$BN956,IF(F958="WWCV",PR!$BO956,IF(F958="ZOLON",PR!$BP956,"-"))))))))))))))))))))))))))))))))))))))))))))))))))))))))))))))))</f>
        <v>7000</v>
      </c>
      <c r="F958" s="102" t="str">
        <f>EV!L1219</f>
        <v>COSMADE</v>
      </c>
      <c r="G958" s="108">
        <f>IF(H958="ALPHA",PR!$E956,IF(H958="ASSENE",PR!$F956,IF(H958="BIOFEM",PR!$G956,IF(H958="BIOMED",PR!$H956,IF(H958="CHI",PR!$I956,IF(H958="CLARION",PR!$J956,IF(H958="CODIX",PR!$K956,IF(H958="COSMADE",PR!$L956,IF(H958="SANCON",PR!$M956,IF(H958="DEVON",PR!$N956,IF(H958="DORTEMAG",PR!$O956,IF(H958="DGF",PR!$P956,IF(H958="DYNAMIC",PR!$Q956,IF(H958="EMZOR",PR!$R956,IF(H958="EUMATT",PR!$S956,IF(H958="FIDSON",PR!$T956,IF(H958="FCGLOBAL",PR!$U956,IF(H958="GENEITH",PR!$V956,IF(H958="GINOS",PR!$W956,IF(H958="GSK",PR!$X956,IF(H958="GLOBORG",PR!$Y956,IF(H958="GOODNEWS",PR!$Z956,IF(H958="GREENLIFE",PR!$AA956,IF(H958="HLINE",PR!$AB956,IF(H958="ROTECH",PR!$AC956,IF(H958="ISN",PR!$AD956,IF(H958="JAWA",PR!$AE956,IF(H958="LAYO",PR!$AF956,IF(H958="LEADWAY",PR!$AG956,IF(H958="LHV",PR!$AH956,IF(H958="MANOLA",PR!$AI956,IF(H958="MARCSON",PR!$AJ956,IF(H958="M&amp;B",PR!$AK956,IF(H958="MTRUST",PR!$AL956,IF(H958="MWORLD",PR!$AM956,IF(H958="MEGA",PR!$AN956,IF(H958="MICRONOVA",PR!$AO956,IF(H958="MFLASH",PR!$AP956,IF(H958="MORISON",PR!$AQ956,IF(H958="NEMEL",PR!$AR956,IF(H958="NHP",PR!$AS956,IF(H958="NHC",PR!$AT956,IF(H958="OLEAF",PR!$AU956,IF(H958="OCULUS",PR!$AV956,IF(H958="PACIFIC",PR!$AW956,IF(H958="PHAMATEX",PR!$AX956,IF(H958="PETHICS",PR!$AY956,IF(H958="PHILIPS",PR!$AZ956,IF(H958="RANBAXY",PR!$BA956,IF(H958="REALS",PR!$BB956,IF(H958="ROYAL",PR!$BC956,IF(H958="SAM",PR!$BD956,IF(H958="SEAGREEN",PR!$BE956,IF(H958="SKG",PR!$BF956,IF(H958="TAH",PR!$BG956,IF(H958="TAYLEK",PR!$BH956,IF(H958="TEMITA",PR!$BI956,IF(H958="THL",PR!$BJ956,IF(H958="UBASTIC",PR!$BK956,IF(H958="UNION",PR!$BL956,IF(H958="UNIQUE",PR!$BM956,IF(H958="VIXA",PR!$BN956,IF(H958="WWCV",PR!$BO956,IF(H958="ZOLON",PR!$BP956,"-"))))))))))))))))))))))))))))))))))))))))))))))))))))))))))))))))</f>
        <v>10000</v>
      </c>
      <c r="H958" s="102" t="str">
        <f>EV!M1219</f>
        <v>UBASTIC</v>
      </c>
      <c r="I958" s="108">
        <f>IF(J958="ALPHA",PR!$E956,IF(J958="ASSENE",PR!$F956,IF(J958="BIOFEM",PR!$G956,IF(J958="BIOMED",PR!$H956,IF(J958="CHI",PR!$I956,IF(J958="CLARION",PR!$J956,IF(J958="CODIX",PR!$K956,IF(J958="COSMADE",PR!$L956,IF(J958="SANCON",PR!$M956,IF(J958="DEVON",PR!$N956,IF(J958="DORTEMAG",PR!$O956,IF(J958="DGF",PR!$P956,IF(J958="DYNAMIC",PR!$Q956,IF(J958="EMZOR",PR!$R956,IF(J958="EUMATT",PR!$S956,IF(J958="FIDSON",PR!$T956,IF(J958="FCGLOBAL",PR!$U956,IF(J958="GENEITH",PR!$V956,IF(J958="GINOS",PR!$W956,IF(J958="GSK",PR!$X956,IF(J958="GLOBORG",PR!$Y956,IF(J958="GOODNEWS",PR!$Z956,IF(J958="GREENLIFE",PR!$AA956,IF(J958="HLINE",PR!$AB956,IF(J958="ROTECH",PR!$AC956,IF(J958="ISN",PR!$AD956,IF(J958="JAWA",PR!$AE956,IF(J958="LAYO",PR!$AF956,IF(J958="LEADWAY",PR!$AG956,IF(J958="LHV",PR!$AH956,IF(J958="MANOLA",PR!$AI956,IF(J958="MARCSON",PR!$AJ956,IF(J958="M&amp;B",PR!$AK956,IF(J958="MTRUST",PR!$AL956,IF(J958="MWORLD",PR!$AM956,IF(J958="MEGA",PR!$AN956,IF(J958="MICRONOVA",PR!$AO956,IF(J958="MFLASH",PR!$AP956,IF(J958="MORISON",PR!$AQ956,IF(J958="NEMEL",PR!$AR956,IF(J958="NHP",PR!$AS956,IF(J958="NHC",PR!$AT956,IF(J958="OLEAF",PR!$AU956,IF(J958="OCULUS",PR!$AV956,IF(J958="PACIFIC",PR!$AW956,IF(J958="PHAMATEX",PR!$AX956,IF(J958="PETHICS",PR!$AY956,IF(J958="PHILIPS",PR!$AZ956,IF(J958="RANBAXY",PR!$BA956,IF(J958="REALS",PR!$BB956,IF(J958="ROYAL",PR!$BC956,IF(J958="SAM",PR!$BD956,IF(J958="SEAGREEN",PR!$BE956,IF(J958="SKG",PR!$BF956,IF(J958="TAH",PR!$BG956,IF(J958="TAYLEK",PR!$BH956,IF(J958="TEMITA",PR!$BI956,IF(J958="THL",PR!$BJ956,IF(J958="UBASTIC",PR!$BK956,IF(J958="UNION",PR!$BL956,IF(J958="UNIQUE",PR!$BM956,IF(J958="VIXA",PR!$BN956,IF(J958="WWCV",PR!$BO956,IF(J958="ZOLON",PR!$BP956,"-"))))))))))))))))))))))))))))))))))))))))))))))))))))))))))))))))</f>
        <v>16250</v>
      </c>
      <c r="J958" s="102" t="str">
        <f>EV!N1219</f>
        <v>DYNAMIC</v>
      </c>
      <c r="K958" s="433" t="s">
        <v>1452</v>
      </c>
      <c r="L958" s="183">
        <f>IF(K958&gt;0,IF(K958="ALPHA",PR!$E956,IF(K958="ASSENE",PR!$F956,IF(K958="BIOFEM",PR!$G956,IF(K958="BIOMED",PR!$H956,IF(K958="CHI",PR!$I956,IF(K958="CLARION",PR!$J956,IF(K958="CODIX",PR!$K956,IF(K958="COSMADE",PR!$L956,IF(K958="SANCON",PR!$M956,IF(K958="DEVON",PR!$N956,IF(K958="DORTEMAG",PR!$O956,IF(K958="DGF",PR!$P956,IF(K958="DYNAMIC",PR!$Q956,IF(K958="EMZOR",PR!$R956,IF(K958="EUMATT",PR!$S956,IF(K958="FIDSON",PR!$T956,IF(K958="FCGLOBAL",PR!$U956,IF(K958="GENEITH",PR!$V956,IF(K958="GINOS",PR!$W956,IF(K958="GSK",PR!$X956,IF(K958="GLOBORG",PR!$Y956,IF(K958="GOODNEWS",PR!$Z956,IF(K958="GREENLIFE",PR!$AA956,IF(K958="HLINE",PR!$AB956,IF(K958="ROTECH",PR!$AC956,IF(K958="ISN",PR!$AD956,IF(K958="JAWA",PR!$AE956,IF(K958="LAYO",PR!$AF956,IF(K958="LEADWAY",PR!$AG956,IF(K958="LHV",PR!$AH956,IF(K958="MANOLA",PR!$AI956,IF(K958="MARCSON",PR!$AJ956,IF(K958="M&amp;B",PR!$AK956,IF(K958="MTRUST",PR!$AL956,IF(K958="MWORLD",PR!$AM956,IF(K958="MEGA",PR!$AN956,IF(K958="MICRONOVA",PR!$AO956,IF(K958="MFLASH",PR!$AP956,IF(K958="MORISON",PR!$AQ956,IF(K958="NEMEL",PR!$AR956,IF(K958="NHP",PR!$AS956,IF(K958="NHC",PR!$AT956,IF(K958="OLEAF",PR!$AU956,IF(K958="OCULUS",PR!$AV956,IF(K958="PACIFIC",PR!$AW956,IF(K958="PHAMATEX",PR!$AX956,IF(K958="PETHICS",PR!$AY956,IF(K958="PHILIPS",PR!$AZ956,IF(K958="RANBAXY",PR!$BA956,IF(K958="REALS",PR!$BB956,IF(K958="ROYAL",PR!$BC956,IF(K958="SAM",PR!$BD956,IF(K958="SEAGREEN",PR!$BE956,IF(K958="SKG",PR!$BF956,IF(K958="TAH",PR!$BG956,IF(K958="TAYLEK",PR!$BH956,IF(K958="TEMITA",PR!$BI956,IF(K958="THL",PR!$BJ956,IF(K958="UBASTIC",PR!$BK956,IF(K958="UNION",PR!$BL956,IF(K958="UNIQUE",PR!$BM956,IF(K958="VIXA",PR!$BN956,IF(K958="WWCV",PR!$BO956,IF(K958="ZOLON",PR!$BP956,"-")))))))))))))))))))))))))))))))))))))))))))))))))))))))))))))))))</f>
        <v>7000</v>
      </c>
    </row>
    <row r="959" spans="1:12" ht="18.75" x14ac:dyDescent="0.3">
      <c r="A959" s="430">
        <f>PR!A957</f>
        <v>861</v>
      </c>
      <c r="B959" s="15" t="str">
        <f>PR!B957</f>
        <v>PARAFFIN WAX</v>
      </c>
      <c r="C959" s="113" t="str">
        <f>PR!D957</f>
        <v>1 pack (5 x25KG SLAB</v>
      </c>
      <c r="D959" s="113">
        <f>PR!C957</f>
        <v>15</v>
      </c>
      <c r="E959" s="108">
        <f>IF(F959="ALPHA",PR!$E957,IF(F959="ASSENE",PR!$F957,IF(F959="BIOFEM",PR!$G957,IF(F959="BIOMED",PR!$H957,IF(F959="CHI",PR!$I957,IF(F959="CLARION",PR!$J957,IF(F959="CODIX",PR!$K957,IF(F959="COSMADE",PR!$L957,IF(F959="SANCON",PR!$M957,IF(F959="DEVON",PR!$N957,IF(F959="DORTEMAG",PR!$O957,IF(F959="DGF",PR!$P957,IF(F959="DYNAMIC",PR!$Q957,IF(F959="EMZOR",PR!$R957,IF(F959="EUMATT",PR!$S957,IF(F959="FIDSON",PR!$T957,IF(F959="FCGLOBAL",PR!$U957,IF(F959="GENEITH",PR!$V957,IF(F959="GINOS",PR!$W957,IF(F959="GSK",PR!$X957,IF(F959="GLOBORG",PR!$Y957,IF(F959="GOODNEWS",PR!$Z957,IF(F959="GREENLIFE",PR!$AA957,IF(F959="HLINE",PR!$AB957,IF(F959="ROTECH",PR!$AC957,IF(F959="ISN",PR!$AD957,IF(F959="JAWA",PR!$AE957,IF(F959="LAYO",PR!$AF957,IF(F959="LEADWAY",PR!$AG957,IF(F959="LHV",PR!$AH957,IF(F959="MANOLA",PR!$AI957,IF(F959="MARCSON",PR!$AJ957,IF(F959="M&amp;B",PR!$AK957,IF(F959="MTRUST",PR!$AL957,IF(F959="MWORLD",PR!$AM957,IF(F959="MEGA",PR!$AN957,IF(F959="MICRONOVA",PR!$AO957,IF(F959="MFLASH",PR!$AP957,IF(F959="MORISON",PR!$AQ957,IF(F959="NEMEL",PR!$AR957,IF(F959="NHP",PR!$AS957,IF(F959="NHC",PR!$AT957,IF(F959="OLEAF",PR!$AU957,IF(F959="OCULUS",PR!$AV957,IF(F959="PACIFIC",PR!$AW957,IF(F959="PHAMATEX",PR!$AX957,IF(F959="PETHICS",PR!$AY957,IF(F959="PHILIPS",PR!$AZ957,IF(F959="RANBAXY",PR!$BA957,IF(F959="REALS",PR!$BB957,IF(F959="ROYAL",PR!$BC957,IF(F959="SAM",PR!$BD957,IF(F959="SEAGREEN",PR!$BE957,IF(F959="SKG",PR!$BF957,IF(F959="TAH",PR!$BG957,IF(F959="TAYLEK",PR!$BH957,IF(F959="TEMITA",PR!$BI957,IF(F959="THL",PR!$BJ957,IF(F959="UBASTIC",PR!$BK957,IF(F959="UNION",PR!$BL957,IF(F959="UNIQUE",PR!$BM957,IF(F959="VIXA",PR!$BN957,IF(F959="WWCV",PR!$BO957,IF(F959="ZOLON",PR!$BP957,"-"))))))))))))))))))))))))))))))))))))))))))))))))))))))))))))))))</f>
        <v>20000</v>
      </c>
      <c r="F959" s="102" t="str">
        <f>EV!L1220</f>
        <v>COSMADE</v>
      </c>
      <c r="G959" s="108">
        <f>IF(H959="ALPHA",PR!$E957,IF(H959="ASSENE",PR!$F957,IF(H959="BIOFEM",PR!$G957,IF(H959="BIOMED",PR!$H957,IF(H959="CHI",PR!$I957,IF(H959="CLARION",PR!$J957,IF(H959="CODIX",PR!$K957,IF(H959="COSMADE",PR!$L957,IF(H959="SANCON",PR!$M957,IF(H959="DEVON",PR!$N957,IF(H959="DORTEMAG",PR!$O957,IF(H959="DGF",PR!$P957,IF(H959="DYNAMIC",PR!$Q957,IF(H959="EMZOR",PR!$R957,IF(H959="EUMATT",PR!$S957,IF(H959="FIDSON",PR!$T957,IF(H959="FCGLOBAL",PR!$U957,IF(H959="GENEITH",PR!$V957,IF(H959="GINOS",PR!$W957,IF(H959="GSK",PR!$X957,IF(H959="GLOBORG",PR!$Y957,IF(H959="GOODNEWS",PR!$Z957,IF(H959="GREENLIFE",PR!$AA957,IF(H959="HLINE",PR!$AB957,IF(H959="ROTECH",PR!$AC957,IF(H959="ISN",PR!$AD957,IF(H959="JAWA",PR!$AE957,IF(H959="LAYO",PR!$AF957,IF(H959="LEADWAY",PR!$AG957,IF(H959="LHV",PR!$AH957,IF(H959="MANOLA",PR!$AI957,IF(H959="MARCSON",PR!$AJ957,IF(H959="M&amp;B",PR!$AK957,IF(H959="MTRUST",PR!$AL957,IF(H959="MWORLD",PR!$AM957,IF(H959="MEGA",PR!$AN957,IF(H959="MICRONOVA",PR!$AO957,IF(H959="MFLASH",PR!$AP957,IF(H959="MORISON",PR!$AQ957,IF(H959="NEMEL",PR!$AR957,IF(H959="NHP",PR!$AS957,IF(H959="NHC",PR!$AT957,IF(H959="OLEAF",PR!$AU957,IF(H959="OCULUS",PR!$AV957,IF(H959="PACIFIC",PR!$AW957,IF(H959="PHAMATEX",PR!$AX957,IF(H959="PETHICS",PR!$AY957,IF(H959="PHILIPS",PR!$AZ957,IF(H959="RANBAXY",PR!$BA957,IF(H959="REALS",PR!$BB957,IF(H959="ROYAL",PR!$BC957,IF(H959="SAM",PR!$BD957,IF(H959="SEAGREEN",PR!$BE957,IF(H959="SKG",PR!$BF957,IF(H959="TAH",PR!$BG957,IF(H959="TAYLEK",PR!$BH957,IF(H959="TEMITA",PR!$BI957,IF(H959="THL",PR!$BJ957,IF(H959="UBASTIC",PR!$BK957,IF(H959="UNION",PR!$BL957,IF(H959="UNIQUE",PR!$BM957,IF(H959="VIXA",PR!$BN957,IF(H959="WWCV",PR!$BO957,IF(H959="ZOLON",PR!$BP957,"-"))))))))))))))))))))))))))))))))))))))))))))))))))))))))))))))))</f>
        <v>21600</v>
      </c>
      <c r="H959" s="102" t="str">
        <f>EV!M1220</f>
        <v>SANCON</v>
      </c>
      <c r="I959" s="108">
        <f>IF(J959="ALPHA",PR!$E957,IF(J959="ASSENE",PR!$F957,IF(J959="BIOFEM",PR!$G957,IF(J959="BIOMED",PR!$H957,IF(J959="CHI",PR!$I957,IF(J959="CLARION",PR!$J957,IF(J959="CODIX",PR!$K957,IF(J959="COSMADE",PR!$L957,IF(J959="SANCON",PR!$M957,IF(J959="DEVON",PR!$N957,IF(J959="DORTEMAG",PR!$O957,IF(J959="DGF",PR!$P957,IF(J959="DYNAMIC",PR!$Q957,IF(J959="EMZOR",PR!$R957,IF(J959="EUMATT",PR!$S957,IF(J959="FIDSON",PR!$T957,IF(J959="FCGLOBAL",PR!$U957,IF(J959="GENEITH",PR!$V957,IF(J959="GINOS",PR!$W957,IF(J959="GSK",PR!$X957,IF(J959="GLOBORG",PR!$Y957,IF(J959="GOODNEWS",PR!$Z957,IF(J959="GREENLIFE",PR!$AA957,IF(J959="HLINE",PR!$AB957,IF(J959="ROTECH",PR!$AC957,IF(J959="ISN",PR!$AD957,IF(J959="JAWA",PR!$AE957,IF(J959="LAYO",PR!$AF957,IF(J959="LEADWAY",PR!$AG957,IF(J959="LHV",PR!$AH957,IF(J959="MANOLA",PR!$AI957,IF(J959="MARCSON",PR!$AJ957,IF(J959="M&amp;B",PR!$AK957,IF(J959="MTRUST",PR!$AL957,IF(J959="MWORLD",PR!$AM957,IF(J959="MEGA",PR!$AN957,IF(J959="MICRONOVA",PR!$AO957,IF(J959="MFLASH",PR!$AP957,IF(J959="MORISON",PR!$AQ957,IF(J959="NEMEL",PR!$AR957,IF(J959="NHP",PR!$AS957,IF(J959="NHC",PR!$AT957,IF(J959="OLEAF",PR!$AU957,IF(J959="OCULUS",PR!$AV957,IF(J959="PACIFIC",PR!$AW957,IF(J959="PHAMATEX",PR!$AX957,IF(J959="PETHICS",PR!$AY957,IF(J959="PHILIPS",PR!$AZ957,IF(J959="RANBAXY",PR!$BA957,IF(J959="REALS",PR!$BB957,IF(J959="ROYAL",PR!$BC957,IF(J959="SAM",PR!$BD957,IF(J959="SEAGREEN",PR!$BE957,IF(J959="SKG",PR!$BF957,IF(J959="TAH",PR!$BG957,IF(J959="TAYLEK",PR!$BH957,IF(J959="TEMITA",PR!$BI957,IF(J959="THL",PR!$BJ957,IF(J959="UBASTIC",PR!$BK957,IF(J959="UNION",PR!$BL957,IF(J959="UNIQUE",PR!$BM957,IF(J959="VIXA",PR!$BN957,IF(J959="WWCV",PR!$BO957,IF(J959="ZOLON",PR!$BP957,"-"))))))))))))))))))))))))))))))))))))))))))))))))))))))))))))))))</f>
        <v>25000</v>
      </c>
      <c r="J959" s="102" t="str">
        <f>EV!N1220</f>
        <v>UBASTIC</v>
      </c>
      <c r="K959" s="433" t="s">
        <v>1452</v>
      </c>
      <c r="L959" s="183">
        <f>IF(K959&gt;0,IF(K959="ALPHA",PR!$E957,IF(K959="ASSENE",PR!$F957,IF(K959="BIOFEM",PR!$G957,IF(K959="BIOMED",PR!$H957,IF(K959="CHI",PR!$I957,IF(K959="CLARION",PR!$J957,IF(K959="CODIX",PR!$K957,IF(K959="COSMADE",PR!$L957,IF(K959="SANCON",PR!$M957,IF(K959="DEVON",PR!$N957,IF(K959="DORTEMAG",PR!$O957,IF(K959="DGF",PR!$P957,IF(K959="DYNAMIC",PR!$Q957,IF(K959="EMZOR",PR!$R957,IF(K959="EUMATT",PR!$S957,IF(K959="FIDSON",PR!$T957,IF(K959="FCGLOBAL",PR!$U957,IF(K959="GENEITH",PR!$V957,IF(K959="GINOS",PR!$W957,IF(K959="GSK",PR!$X957,IF(K959="GLOBORG",PR!$Y957,IF(K959="GOODNEWS",PR!$Z957,IF(K959="GREENLIFE",PR!$AA957,IF(K959="HLINE",PR!$AB957,IF(K959="ROTECH",PR!$AC957,IF(K959="ISN",PR!$AD957,IF(K959="JAWA",PR!$AE957,IF(K959="LAYO",PR!$AF957,IF(K959="LEADWAY",PR!$AG957,IF(K959="LHV",PR!$AH957,IF(K959="MANOLA",PR!$AI957,IF(K959="MARCSON",PR!$AJ957,IF(K959="M&amp;B",PR!$AK957,IF(K959="MTRUST",PR!$AL957,IF(K959="MWORLD",PR!$AM957,IF(K959="MEGA",PR!$AN957,IF(K959="MICRONOVA",PR!$AO957,IF(K959="MFLASH",PR!$AP957,IF(K959="MORISON",PR!$AQ957,IF(K959="NEMEL",PR!$AR957,IF(K959="NHP",PR!$AS957,IF(K959="NHC",PR!$AT957,IF(K959="OLEAF",PR!$AU957,IF(K959="OCULUS",PR!$AV957,IF(K959="PACIFIC",PR!$AW957,IF(K959="PHAMATEX",PR!$AX957,IF(K959="PETHICS",PR!$AY957,IF(K959="PHILIPS",PR!$AZ957,IF(K959="RANBAXY",PR!$BA957,IF(K959="REALS",PR!$BB957,IF(K959="ROYAL",PR!$BC957,IF(K959="SAM",PR!$BD957,IF(K959="SEAGREEN",PR!$BE957,IF(K959="SKG",PR!$BF957,IF(K959="TAH",PR!$BG957,IF(K959="TAYLEK",PR!$BH957,IF(K959="TEMITA",PR!$BI957,IF(K959="THL",PR!$BJ957,IF(K959="UBASTIC",PR!$BK957,IF(K959="UNION",PR!$BL957,IF(K959="UNIQUE",PR!$BM957,IF(K959="VIXA",PR!$BN957,IF(K959="WWCV",PR!$BO957,IF(K959="ZOLON",PR!$BP957,"-")))))))))))))))))))))))))))))))))))))))))))))))))))))))))))))))))</f>
        <v>20000</v>
      </c>
    </row>
    <row r="960" spans="1:12" ht="18.75" x14ac:dyDescent="0.3">
      <c r="A960" s="430">
        <f>PR!A958</f>
        <v>862</v>
      </c>
      <c r="B960" s="15" t="str">
        <f>PR!B958</f>
        <v>POWDERED FORMALIN</v>
      </c>
      <c r="C960" s="113" t="str">
        <f>PR!D958</f>
        <v>1 bag (25KG)</v>
      </c>
      <c r="D960" s="113">
        <f>PR!C958</f>
        <v>1</v>
      </c>
      <c r="E960" s="108">
        <f>IF(F960="ALPHA",PR!$E958,IF(F960="ASSENE",PR!$F958,IF(F960="BIOFEM",PR!$G958,IF(F960="BIOMED",PR!$H958,IF(F960="CHI",PR!$I958,IF(F960="CLARION",PR!$J958,IF(F960="CODIX",PR!$K958,IF(F960="COSMADE",PR!$L958,IF(F960="SANCON",PR!$M958,IF(F960="DEVON",PR!$N958,IF(F960="DORTEMAG",PR!$O958,IF(F960="DGF",PR!$P958,IF(F960="DYNAMIC",PR!$Q958,IF(F960="EMZOR",PR!$R958,IF(F960="EUMATT",PR!$S958,IF(F960="FIDSON",PR!$T958,IF(F960="FCGLOBAL",PR!$U958,IF(F960="GENEITH",PR!$V958,IF(F960="GINOS",PR!$W958,IF(F960="GSK",PR!$X958,IF(F960="GLOBORG",PR!$Y958,IF(F960="GOODNEWS",PR!$Z958,IF(F960="GREENLIFE",PR!$AA958,IF(F960="HLINE",PR!$AB958,IF(F960="ROTECH",PR!$AC958,IF(F960="ISN",PR!$AD958,IF(F960="JAWA",PR!$AE958,IF(F960="LAYO",PR!$AF958,IF(F960="LEADWAY",PR!$AG958,IF(F960="LHV",PR!$AH958,IF(F960="MANOLA",PR!$AI958,IF(F960="MARCSON",PR!$AJ958,IF(F960="M&amp;B",PR!$AK958,IF(F960="MTRUST",PR!$AL958,IF(F960="MWORLD",PR!$AM958,IF(F960="MEGA",PR!$AN958,IF(F960="MICRONOVA",PR!$AO958,IF(F960="MFLASH",PR!$AP958,IF(F960="MORISON",PR!$AQ958,IF(F960="NEMEL",PR!$AR958,IF(F960="NHP",PR!$AS958,IF(F960="NHC",PR!$AT958,IF(F960="OLEAF",PR!$AU958,IF(F960="OCULUS",PR!$AV958,IF(F960="PACIFIC",PR!$AW958,IF(F960="PHAMATEX",PR!$AX958,IF(F960="PETHICS",PR!$AY958,IF(F960="PHILIPS",PR!$AZ958,IF(F960="RANBAXY",PR!$BA958,IF(F960="REALS",PR!$BB958,IF(F960="ROYAL",PR!$BC958,IF(F960="SAM",PR!$BD958,IF(F960="SEAGREEN",PR!$BE958,IF(F960="SKG",PR!$BF958,IF(F960="TAH",PR!$BG958,IF(F960="TAYLEK",PR!$BH958,IF(F960="TEMITA",PR!$BI958,IF(F960="THL",PR!$BJ958,IF(F960="UBASTIC",PR!$BK958,IF(F960="UNION",PR!$BL958,IF(F960="UNIQUE",PR!$BM958,IF(F960="VIXA",PR!$BN958,IF(F960="WWCV",PR!$BO958,IF(F960="ZOLON",PR!$BP958,"-"))))))))))))))))))))))))))))))))))))))))))))))))))))))))))))))))</f>
        <v>70000</v>
      </c>
      <c r="F960" s="102" t="str">
        <f>EV!L1221</f>
        <v>COSMADE</v>
      </c>
      <c r="G960" s="108" t="str">
        <f>IF(H960="ALPHA",PR!$E958,IF(H960="ASSENE",PR!$F958,IF(H960="BIOFEM",PR!$G958,IF(H960="BIOMED",PR!$H958,IF(H960="CHI",PR!$I958,IF(H960="CLARION",PR!$J958,IF(H960="CODIX",PR!$K958,IF(H960="COSMADE",PR!$L958,IF(H960="SANCON",PR!$M958,IF(H960="DEVON",PR!$N958,IF(H960="DORTEMAG",PR!$O958,IF(H960="DGF",PR!$P958,IF(H960="DYNAMIC",PR!$Q958,IF(H960="EMZOR",PR!$R958,IF(H960="EUMATT",PR!$S958,IF(H960="FIDSON",PR!$T958,IF(H960="FCGLOBAL",PR!$U958,IF(H960="GENEITH",PR!$V958,IF(H960="GINOS",PR!$W958,IF(H960="GSK",PR!$X958,IF(H960="GLOBORG",PR!$Y958,IF(H960="GOODNEWS",PR!$Z958,IF(H960="GREENLIFE",PR!$AA958,IF(H960="HLINE",PR!$AB958,IF(H960="ROTECH",PR!$AC958,IF(H960="ISN",PR!$AD958,IF(H960="JAWA",PR!$AE958,IF(H960="LAYO",PR!$AF958,IF(H960="LEADWAY",PR!$AG958,IF(H960="LHV",PR!$AH958,IF(H960="MANOLA",PR!$AI958,IF(H960="MARCSON",PR!$AJ958,IF(H960="M&amp;B",PR!$AK958,IF(H960="MTRUST",PR!$AL958,IF(H960="MWORLD",PR!$AM958,IF(H960="MEGA",PR!$AN958,IF(H960="MICRONOVA",PR!$AO958,IF(H960="MFLASH",PR!$AP958,IF(H960="MORISON",PR!$AQ958,IF(H960="NEMEL",PR!$AR958,IF(H960="NHP",PR!$AS958,IF(H960="NHC",PR!$AT958,IF(H960="OLEAF",PR!$AU958,IF(H960="OCULUS",PR!$AV958,IF(H960="PACIFIC",PR!$AW958,IF(H960="PHAMATEX",PR!$AX958,IF(H960="PETHICS",PR!$AY958,IF(H960="PHILIPS",PR!$AZ958,IF(H960="RANBAXY",PR!$BA958,IF(H960="REALS",PR!$BB958,IF(H960="ROYAL",PR!$BC958,IF(H960="SAM",PR!$BD958,IF(H960="SEAGREEN",PR!$BE958,IF(H960="SKG",PR!$BF958,IF(H960="TAH",PR!$BG958,IF(H960="TAYLEK",PR!$BH958,IF(H960="TEMITA",PR!$BI958,IF(H960="THL",PR!$BJ958,IF(H960="UBASTIC",PR!$BK958,IF(H960="UNION",PR!$BL958,IF(H960="UNIQUE",PR!$BM958,IF(H960="VIXA",PR!$BN958,IF(H960="WWCV",PR!$BO958,IF(H960="ZOLON",PR!$BP958,"-"))))))))))))))))))))))))))))))))))))))))))))))))))))))))))))))))</f>
        <v>-</v>
      </c>
      <c r="H960" s="102">
        <f>EV!M1221</f>
        <v>0</v>
      </c>
      <c r="I960" s="108" t="str">
        <f>IF(J960="ALPHA",PR!$E958,IF(J960="ASSENE",PR!$F958,IF(J960="BIOFEM",PR!$G958,IF(J960="BIOMED",PR!$H958,IF(J960="CHI",PR!$I958,IF(J960="CLARION",PR!$J958,IF(J960="CODIX",PR!$K958,IF(J960="COSMADE",PR!$L958,IF(J960="SANCON",PR!$M958,IF(J960="DEVON",PR!$N958,IF(J960="DORTEMAG",PR!$O958,IF(J960="DGF",PR!$P958,IF(J960="DYNAMIC",PR!$Q958,IF(J960="EMZOR",PR!$R958,IF(J960="EUMATT",PR!$S958,IF(J960="FIDSON",PR!$T958,IF(J960="FCGLOBAL",PR!$U958,IF(J960="GENEITH",PR!$V958,IF(J960="GINOS",PR!$W958,IF(J960="GSK",PR!$X958,IF(J960="GLOBORG",PR!$Y958,IF(J960="GOODNEWS",PR!$Z958,IF(J960="GREENLIFE",PR!$AA958,IF(J960="HLINE",PR!$AB958,IF(J960="ROTECH",PR!$AC958,IF(J960="ISN",PR!$AD958,IF(J960="JAWA",PR!$AE958,IF(J960="LAYO",PR!$AF958,IF(J960="LEADWAY",PR!$AG958,IF(J960="LHV",PR!$AH958,IF(J960="MANOLA",PR!$AI958,IF(J960="MARCSON",PR!$AJ958,IF(J960="M&amp;B",PR!$AK958,IF(J960="MTRUST",PR!$AL958,IF(J960="MWORLD",PR!$AM958,IF(J960="MEGA",PR!$AN958,IF(J960="MICRONOVA",PR!$AO958,IF(J960="MFLASH",PR!$AP958,IF(J960="MORISON",PR!$AQ958,IF(J960="NEMEL",PR!$AR958,IF(J960="NHP",PR!$AS958,IF(J960="NHC",PR!$AT958,IF(J960="OLEAF",PR!$AU958,IF(J960="OCULUS",PR!$AV958,IF(J960="PACIFIC",PR!$AW958,IF(J960="PHAMATEX",PR!$AX958,IF(J960="PETHICS",PR!$AY958,IF(J960="PHILIPS",PR!$AZ958,IF(J960="RANBAXY",PR!$BA958,IF(J960="REALS",PR!$BB958,IF(J960="ROYAL",PR!$BC958,IF(J960="SAM",PR!$BD958,IF(J960="SEAGREEN",PR!$BE958,IF(J960="SKG",PR!$BF958,IF(J960="TAH",PR!$BG958,IF(J960="TAYLEK",PR!$BH958,IF(J960="TEMITA",PR!$BI958,IF(J960="THL",PR!$BJ958,IF(J960="UBASTIC",PR!$BK958,IF(J960="UNION",PR!$BL958,IF(J960="UNIQUE",PR!$BM958,IF(J960="VIXA",PR!$BN958,IF(J960="WWCV",PR!$BO958,IF(J960="ZOLON",PR!$BP958,"-"))))))))))))))))))))))))))))))))))))))))))))))))))))))))))))))))</f>
        <v>-</v>
      </c>
      <c r="J960" s="102">
        <f>EV!N1221</f>
        <v>0</v>
      </c>
      <c r="K960" s="433" t="s">
        <v>1452</v>
      </c>
      <c r="L960" s="183">
        <f>IF(K960&gt;0,IF(K960="ALPHA",PR!$E958,IF(K960="ASSENE",PR!$F958,IF(K960="BIOFEM",PR!$G958,IF(K960="BIOMED",PR!$H958,IF(K960="CHI",PR!$I958,IF(K960="CLARION",PR!$J958,IF(K960="CODIX",PR!$K958,IF(K960="COSMADE",PR!$L958,IF(K960="SANCON",PR!$M958,IF(K960="DEVON",PR!$N958,IF(K960="DORTEMAG",PR!$O958,IF(K960="DGF",PR!$P958,IF(K960="DYNAMIC",PR!$Q958,IF(K960="EMZOR",PR!$R958,IF(K960="EUMATT",PR!$S958,IF(K960="FIDSON",PR!$T958,IF(K960="FCGLOBAL",PR!$U958,IF(K960="GENEITH",PR!$V958,IF(K960="GINOS",PR!$W958,IF(K960="GSK",PR!$X958,IF(K960="GLOBORG",PR!$Y958,IF(K960="GOODNEWS",PR!$Z958,IF(K960="GREENLIFE",PR!$AA958,IF(K960="HLINE",PR!$AB958,IF(K960="ROTECH",PR!$AC958,IF(K960="ISN",PR!$AD958,IF(K960="JAWA",PR!$AE958,IF(K960="LAYO",PR!$AF958,IF(K960="LEADWAY",PR!$AG958,IF(K960="LHV",PR!$AH958,IF(K960="MANOLA",PR!$AI958,IF(K960="MARCSON",PR!$AJ958,IF(K960="M&amp;B",PR!$AK958,IF(K960="MTRUST",PR!$AL958,IF(K960="MWORLD",PR!$AM958,IF(K960="MEGA",PR!$AN958,IF(K960="MICRONOVA",PR!$AO958,IF(K960="MFLASH",PR!$AP958,IF(K960="MORISON",PR!$AQ958,IF(K960="NEMEL",PR!$AR958,IF(K960="NHP",PR!$AS958,IF(K960="NHC",PR!$AT958,IF(K960="OLEAF",PR!$AU958,IF(K960="OCULUS",PR!$AV958,IF(K960="PACIFIC",PR!$AW958,IF(K960="PHAMATEX",PR!$AX958,IF(K960="PETHICS",PR!$AY958,IF(K960="PHILIPS",PR!$AZ958,IF(K960="RANBAXY",PR!$BA958,IF(K960="REALS",PR!$BB958,IF(K960="ROYAL",PR!$BC958,IF(K960="SAM",PR!$BD958,IF(K960="SEAGREEN",PR!$BE958,IF(K960="SKG",PR!$BF958,IF(K960="TAH",PR!$BG958,IF(K960="TAYLEK",PR!$BH958,IF(K960="TEMITA",PR!$BI958,IF(K960="THL",PR!$BJ958,IF(K960="UBASTIC",PR!$BK958,IF(K960="UNION",PR!$BL958,IF(K960="UNIQUE",PR!$BM958,IF(K960="VIXA",PR!$BN958,IF(K960="WWCV",PR!$BO958,IF(K960="ZOLON",PR!$BP958,"-")))))))))))))))))))))))))))))))))))))))))))))))))))))))))))))))))</f>
        <v>70000</v>
      </c>
    </row>
    <row r="961" spans="1:12" ht="18.75" x14ac:dyDescent="0.3">
      <c r="A961" s="430">
        <f>PR!A959</f>
        <v>863</v>
      </c>
      <c r="B961" s="15" t="str">
        <f>PR!B959</f>
        <v>TISSUE PAPER</v>
      </c>
      <c r="C961" s="113" t="str">
        <f>PR!D959</f>
        <v>1 Carton (24pcs)</v>
      </c>
      <c r="D961" s="113">
        <f>PR!C959</f>
        <v>8</v>
      </c>
      <c r="E961" s="108">
        <f>IF(F961="ALPHA",PR!$E959,IF(F961="ASSENE",PR!$F959,IF(F961="BIOFEM",PR!$G959,IF(F961="BIOMED",PR!$H959,IF(F961="CHI",PR!$I959,IF(F961="CLARION",PR!$J959,IF(F961="CODIX",PR!$K959,IF(F961="COSMADE",PR!$L959,IF(F961="SANCON",PR!$M959,IF(F961="DEVON",PR!$N959,IF(F961="DORTEMAG",PR!$O959,IF(F961="DGF",PR!$P959,IF(F961="DYNAMIC",PR!$Q959,IF(F961="EMZOR",PR!$R959,IF(F961="EUMATT",PR!$S959,IF(F961="FIDSON",PR!$T959,IF(F961="FCGLOBAL",PR!$U959,IF(F961="GENEITH",PR!$V959,IF(F961="GINOS",PR!$W959,IF(F961="GSK",PR!$X959,IF(F961="GLOBORG",PR!$Y959,IF(F961="GOODNEWS",PR!$Z959,IF(F961="GREENLIFE",PR!$AA959,IF(F961="HLINE",PR!$AB959,IF(F961="ROTECH",PR!$AC959,IF(F961="ISN",PR!$AD959,IF(F961="JAWA",PR!$AE959,IF(F961="LAYO",PR!$AF959,IF(F961="LEADWAY",PR!$AG959,IF(F961="LHV",PR!$AH959,IF(F961="MANOLA",PR!$AI959,IF(F961="MARCSON",PR!$AJ959,IF(F961="M&amp;B",PR!$AK959,IF(F961="MTRUST",PR!$AL959,IF(F961="MWORLD",PR!$AM959,IF(F961="MEGA",PR!$AN959,IF(F961="MICRONOVA",PR!$AO959,IF(F961="MFLASH",PR!$AP959,IF(F961="MORISON",PR!$AQ959,IF(F961="NEMEL",PR!$AR959,IF(F961="NHP",PR!$AS959,IF(F961="NHC",PR!$AT959,IF(F961="OLEAF",PR!$AU959,IF(F961="OCULUS",PR!$AV959,IF(F961="PACIFIC",PR!$AW959,IF(F961="PHAMATEX",PR!$AX959,IF(F961="PETHICS",PR!$AY959,IF(F961="PHILIPS",PR!$AZ959,IF(F961="RANBAXY",PR!$BA959,IF(F961="REALS",PR!$BB959,IF(F961="ROYAL",PR!$BC959,IF(F961="SAM",PR!$BD959,IF(F961="SEAGREEN",PR!$BE959,IF(F961="SKG",PR!$BF959,IF(F961="TAH",PR!$BG959,IF(F961="TAYLEK",PR!$BH959,IF(F961="TEMITA",PR!$BI959,IF(F961="THL",PR!$BJ959,IF(F961="UBASTIC",PR!$BK959,IF(F961="UNION",PR!$BL959,IF(F961="UNIQUE",PR!$BM959,IF(F961="VIXA",PR!$BN959,IF(F961="WWCV",PR!$BO959,IF(F961="ZOLON",PR!$BP959,"-"))))))))))))))))))))))))))))))))))))))))))))))))))))))))))))))))</f>
        <v>2184</v>
      </c>
      <c r="F961" s="102" t="str">
        <f>EV!L1222</f>
        <v>LAYO</v>
      </c>
      <c r="G961" s="108">
        <f>IF(H961="ALPHA",PR!$E959,IF(H961="ASSENE",PR!$F959,IF(H961="BIOFEM",PR!$G959,IF(H961="BIOMED",PR!$H959,IF(H961="CHI",PR!$I959,IF(H961="CLARION",PR!$J959,IF(H961="CODIX",PR!$K959,IF(H961="COSMADE",PR!$L959,IF(H961="SANCON",PR!$M959,IF(H961="DEVON",PR!$N959,IF(H961="DORTEMAG",PR!$O959,IF(H961="DGF",PR!$P959,IF(H961="DYNAMIC",PR!$Q959,IF(H961="EMZOR",PR!$R959,IF(H961="EUMATT",PR!$S959,IF(H961="FIDSON",PR!$T959,IF(H961="FCGLOBAL",PR!$U959,IF(H961="GENEITH",PR!$V959,IF(H961="GINOS",PR!$W959,IF(H961="GSK",PR!$X959,IF(H961="GLOBORG",PR!$Y959,IF(H961="GOODNEWS",PR!$Z959,IF(H961="GREENLIFE",PR!$AA959,IF(H961="HLINE",PR!$AB959,IF(H961="ROTECH",PR!$AC959,IF(H961="ISN",PR!$AD959,IF(H961="JAWA",PR!$AE959,IF(H961="LAYO",PR!$AF959,IF(H961="LEADWAY",PR!$AG959,IF(H961="LHV",PR!$AH959,IF(H961="MANOLA",PR!$AI959,IF(H961="MARCSON",PR!$AJ959,IF(H961="M&amp;B",PR!$AK959,IF(H961="MTRUST",PR!$AL959,IF(H961="MWORLD",PR!$AM959,IF(H961="MEGA",PR!$AN959,IF(H961="MICRONOVA",PR!$AO959,IF(H961="MFLASH",PR!$AP959,IF(H961="MORISON",PR!$AQ959,IF(H961="NEMEL",PR!$AR959,IF(H961="NHP",PR!$AS959,IF(H961="NHC",PR!$AT959,IF(H961="OLEAF",PR!$AU959,IF(H961="OCULUS",PR!$AV959,IF(H961="PACIFIC",PR!$AW959,IF(H961="PHAMATEX",PR!$AX959,IF(H961="PETHICS",PR!$AY959,IF(H961="PHILIPS",PR!$AZ959,IF(H961="RANBAXY",PR!$BA959,IF(H961="REALS",PR!$BB959,IF(H961="ROYAL",PR!$BC959,IF(H961="SAM",PR!$BD959,IF(H961="SEAGREEN",PR!$BE959,IF(H961="SKG",PR!$BF959,IF(H961="TAH",PR!$BG959,IF(H961="TAYLEK",PR!$BH959,IF(H961="TEMITA",PR!$BI959,IF(H961="THL",PR!$BJ959,IF(H961="UBASTIC",PR!$BK959,IF(H961="UNION",PR!$BL959,IF(H961="UNIQUE",PR!$BM959,IF(H961="VIXA",PR!$BN959,IF(H961="WWCV",PR!$BO959,IF(H961="ZOLON",PR!$BP959,"-"))))))))))))))))))))))))))))))))))))))))))))))))))))))))))))))))</f>
        <v>2500</v>
      </c>
      <c r="H961" s="102" t="str">
        <f>EV!M1222</f>
        <v>COSMADE</v>
      </c>
      <c r="I961" s="108">
        <f>IF(J961="ALPHA",PR!$E959,IF(J961="ASSENE",PR!$F959,IF(J961="BIOFEM",PR!$G959,IF(J961="BIOMED",PR!$H959,IF(J961="CHI",PR!$I959,IF(J961="CLARION",PR!$J959,IF(J961="CODIX",PR!$K959,IF(J961="COSMADE",PR!$L959,IF(J961="SANCON",PR!$M959,IF(J961="DEVON",PR!$N959,IF(J961="DORTEMAG",PR!$O959,IF(J961="DGF",PR!$P959,IF(J961="DYNAMIC",PR!$Q959,IF(J961="EMZOR",PR!$R959,IF(J961="EUMATT",PR!$S959,IF(J961="FIDSON",PR!$T959,IF(J961="FCGLOBAL",PR!$U959,IF(J961="GENEITH",PR!$V959,IF(J961="GINOS",PR!$W959,IF(J961="GSK",PR!$X959,IF(J961="GLOBORG",PR!$Y959,IF(J961="GOODNEWS",PR!$Z959,IF(J961="GREENLIFE",PR!$AA959,IF(J961="HLINE",PR!$AB959,IF(J961="ROTECH",PR!$AC959,IF(J961="ISN",PR!$AD959,IF(J961="JAWA",PR!$AE959,IF(J961="LAYO",PR!$AF959,IF(J961="LEADWAY",PR!$AG959,IF(J961="LHV",PR!$AH959,IF(J961="MANOLA",PR!$AI959,IF(J961="MARCSON",PR!$AJ959,IF(J961="M&amp;B",PR!$AK959,IF(J961="MTRUST",PR!$AL959,IF(J961="MWORLD",PR!$AM959,IF(J961="MEGA",PR!$AN959,IF(J961="MICRONOVA",PR!$AO959,IF(J961="MFLASH",PR!$AP959,IF(J961="MORISON",PR!$AQ959,IF(J961="NEMEL",PR!$AR959,IF(J961="NHP",PR!$AS959,IF(J961="NHC",PR!$AT959,IF(J961="OLEAF",PR!$AU959,IF(J961="OCULUS",PR!$AV959,IF(J961="PACIFIC",PR!$AW959,IF(J961="PHAMATEX",PR!$AX959,IF(J961="PETHICS",PR!$AY959,IF(J961="PHILIPS",PR!$AZ959,IF(J961="RANBAXY",PR!$BA959,IF(J961="REALS",PR!$BB959,IF(J961="ROYAL",PR!$BC959,IF(J961="SAM",PR!$BD959,IF(J961="SEAGREEN",PR!$BE959,IF(J961="SKG",PR!$BF959,IF(J961="TAH",PR!$BG959,IF(J961="TAYLEK",PR!$BH959,IF(J961="TEMITA",PR!$BI959,IF(J961="THL",PR!$BJ959,IF(J961="UBASTIC",PR!$BK959,IF(J961="UNION",PR!$BL959,IF(J961="UNIQUE",PR!$BM959,IF(J961="VIXA",PR!$BN959,IF(J961="WWCV",PR!$BO959,IF(J961="ZOLON",PR!$BP959,"-"))))))))))))))))))))))))))))))))))))))))))))))))))))))))))))))))</f>
        <v>2850</v>
      </c>
      <c r="J961" s="102" t="str">
        <f>EV!N1222</f>
        <v>SANCON</v>
      </c>
      <c r="K961" s="433" t="s">
        <v>1461</v>
      </c>
      <c r="L961" s="183">
        <f>IF(K961&gt;0,IF(K961="ALPHA",PR!$E959,IF(K961="ASSENE",PR!$F959,IF(K961="BIOFEM",PR!$G959,IF(K961="BIOMED",PR!$H959,IF(K961="CHI",PR!$I959,IF(K961="CLARION",PR!$J959,IF(K961="CODIX",PR!$K959,IF(K961="COSMADE",PR!$L959,IF(K961="SANCON",PR!$M959,IF(K961="DEVON",PR!$N959,IF(K961="DORTEMAG",PR!$O959,IF(K961="DGF",PR!$P959,IF(K961="DYNAMIC",PR!$Q959,IF(K961="EMZOR",PR!$R959,IF(K961="EUMATT",PR!$S959,IF(K961="FIDSON",PR!$T959,IF(K961="FCGLOBAL",PR!$U959,IF(K961="GENEITH",PR!$V959,IF(K961="GINOS",PR!$W959,IF(K961="GSK",PR!$X959,IF(K961="GLOBORG",PR!$Y959,IF(K961="GOODNEWS",PR!$Z959,IF(K961="GREENLIFE",PR!$AA959,IF(K961="HLINE",PR!$AB959,IF(K961="ROTECH",PR!$AC959,IF(K961="ISN",PR!$AD959,IF(K961="JAWA",PR!$AE959,IF(K961="LAYO",PR!$AF959,IF(K961="LEADWAY",PR!$AG959,IF(K961="LHV",PR!$AH959,IF(K961="MANOLA",PR!$AI959,IF(K961="MARCSON",PR!$AJ959,IF(K961="M&amp;B",PR!$AK959,IF(K961="MTRUST",PR!$AL959,IF(K961="MWORLD",PR!$AM959,IF(K961="MEGA",PR!$AN959,IF(K961="MICRONOVA",PR!$AO959,IF(K961="MFLASH",PR!$AP959,IF(K961="MORISON",PR!$AQ959,IF(K961="NEMEL",PR!$AR959,IF(K961="NHP",PR!$AS959,IF(K961="NHC",PR!$AT959,IF(K961="OLEAF",PR!$AU959,IF(K961="OCULUS",PR!$AV959,IF(K961="PACIFIC",PR!$AW959,IF(K961="PHAMATEX",PR!$AX959,IF(K961="PETHICS",PR!$AY959,IF(K961="PHILIPS",PR!$AZ959,IF(K961="RANBAXY",PR!$BA959,IF(K961="REALS",PR!$BB959,IF(K961="ROYAL",PR!$BC959,IF(K961="SAM",PR!$BD959,IF(K961="SEAGREEN",PR!$BE959,IF(K961="SKG",PR!$BF959,IF(K961="TAH",PR!$BG959,IF(K961="TAYLEK",PR!$BH959,IF(K961="TEMITA",PR!$BI959,IF(K961="THL",PR!$BJ959,IF(K961="UBASTIC",PR!$BK959,IF(K961="UNION",PR!$BL959,IF(K961="UNIQUE",PR!$BM959,IF(K961="VIXA",PR!$BN959,IF(K961="WWCV",PR!$BO959,IF(K961="ZOLON",PR!$BP959,"-")))))))))))))))))))))))))))))))))))))))))))))))))))))))))))))))))</f>
        <v>2184</v>
      </c>
    </row>
    <row r="962" spans="1:12" ht="18.75" x14ac:dyDescent="0.3">
      <c r="A962" s="430">
        <f>PR!A960</f>
        <v>864</v>
      </c>
      <c r="B962" s="15" t="str">
        <f>PR!B960</f>
        <v>CYTOFIX SOLUTION</v>
      </c>
      <c r="C962" s="113" t="str">
        <f>PR!D960</f>
        <v>1Bottle (20MLS)</v>
      </c>
      <c r="D962" s="113">
        <f>PR!C960</f>
        <v>10</v>
      </c>
      <c r="E962" s="108">
        <f>IF(F962="ALPHA",PR!$E960,IF(F962="ASSENE",PR!$F960,IF(F962="BIOFEM",PR!$G960,IF(F962="BIOMED",PR!$H960,IF(F962="CHI",PR!$I960,IF(F962="CLARION",PR!$J960,IF(F962="CODIX",PR!$K960,IF(F962="COSMADE",PR!$L960,IF(F962="SANCON",PR!$M960,IF(F962="DEVON",PR!$N960,IF(F962="DORTEMAG",PR!$O960,IF(F962="DGF",PR!$P960,IF(F962="DYNAMIC",PR!$Q960,IF(F962="EMZOR",PR!$R960,IF(F962="EUMATT",PR!$S960,IF(F962="FIDSON",PR!$T960,IF(F962="FCGLOBAL",PR!$U960,IF(F962="GENEITH",PR!$V960,IF(F962="GINOS",PR!$W960,IF(F962="GSK",PR!$X960,IF(F962="GLOBORG",PR!$Y960,IF(F962="GOODNEWS",PR!$Z960,IF(F962="GREENLIFE",PR!$AA960,IF(F962="HLINE",PR!$AB960,IF(F962="ROTECH",PR!$AC960,IF(F962="ISN",PR!$AD960,IF(F962="JAWA",PR!$AE960,IF(F962="LAYO",PR!$AF960,IF(F962="LEADWAY",PR!$AG960,IF(F962="LHV",PR!$AH960,IF(F962="MANOLA",PR!$AI960,IF(F962="MARCSON",PR!$AJ960,IF(F962="M&amp;B",PR!$AK960,IF(F962="MTRUST",PR!$AL960,IF(F962="MWORLD",PR!$AM960,IF(F962="MEGA",PR!$AN960,IF(F962="MICRONOVA",PR!$AO960,IF(F962="MFLASH",PR!$AP960,IF(F962="MORISON",PR!$AQ960,IF(F962="NEMEL",PR!$AR960,IF(F962="NHP",PR!$AS960,IF(F962="NHC",PR!$AT960,IF(F962="OLEAF",PR!$AU960,IF(F962="OCULUS",PR!$AV960,IF(F962="PACIFIC",PR!$AW960,IF(F962="PHAMATEX",PR!$AX960,IF(F962="PETHICS",PR!$AY960,IF(F962="PHILIPS",PR!$AZ960,IF(F962="RANBAXY",PR!$BA960,IF(F962="REALS",PR!$BB960,IF(F962="ROYAL",PR!$BC960,IF(F962="SAM",PR!$BD960,IF(F962="SEAGREEN",PR!$BE960,IF(F962="SKG",PR!$BF960,IF(F962="TAH",PR!$BG960,IF(F962="TAYLEK",PR!$BH960,IF(F962="TEMITA",PR!$BI960,IF(F962="THL",PR!$BJ960,IF(F962="UBASTIC",PR!$BK960,IF(F962="UNION",PR!$BL960,IF(F962="UNIQUE",PR!$BM960,IF(F962="VIXA",PR!$BN960,IF(F962="WWCV",PR!$BO960,IF(F962="ZOLON",PR!$BP960,"-"))))))))))))))))))))))))))))))))))))))))))))))))))))))))))))))))</f>
        <v>25000</v>
      </c>
      <c r="F962" s="102" t="str">
        <f>EV!L1223</f>
        <v>UBASTIC</v>
      </c>
      <c r="G962" s="108" t="str">
        <f>IF(H962="ALPHA",PR!$E960,IF(H962="ASSENE",PR!$F960,IF(H962="BIOFEM",PR!$G960,IF(H962="BIOMED",PR!$H960,IF(H962="CHI",PR!$I960,IF(H962="CLARION",PR!$J960,IF(H962="CODIX",PR!$K960,IF(H962="COSMADE",PR!$L960,IF(H962="SANCON",PR!$M960,IF(H962="DEVON",PR!$N960,IF(H962="DORTEMAG",PR!$O960,IF(H962="DGF",PR!$P960,IF(H962="DYNAMIC",PR!$Q960,IF(H962="EMZOR",PR!$R960,IF(H962="EUMATT",PR!$S960,IF(H962="FIDSON",PR!$T960,IF(H962="FCGLOBAL",PR!$U960,IF(H962="GENEITH",PR!$V960,IF(H962="GINOS",PR!$W960,IF(H962="GSK",PR!$X960,IF(H962="GLOBORG",PR!$Y960,IF(H962="GOODNEWS",PR!$Z960,IF(H962="GREENLIFE",PR!$AA960,IF(H962="HLINE",PR!$AB960,IF(H962="ROTECH",PR!$AC960,IF(H962="ISN",PR!$AD960,IF(H962="JAWA",PR!$AE960,IF(H962="LAYO",PR!$AF960,IF(H962="LEADWAY",PR!$AG960,IF(H962="LHV",PR!$AH960,IF(H962="MANOLA",PR!$AI960,IF(H962="MARCSON",PR!$AJ960,IF(H962="M&amp;B",PR!$AK960,IF(H962="MTRUST",PR!$AL960,IF(H962="MWORLD",PR!$AM960,IF(H962="MEGA",PR!$AN960,IF(H962="MICRONOVA",PR!$AO960,IF(H962="MFLASH",PR!$AP960,IF(H962="MORISON",PR!$AQ960,IF(H962="NEMEL",PR!$AR960,IF(H962="NHP",PR!$AS960,IF(H962="NHC",PR!$AT960,IF(H962="OLEAF",PR!$AU960,IF(H962="OCULUS",PR!$AV960,IF(H962="PACIFIC",PR!$AW960,IF(H962="PHAMATEX",PR!$AX960,IF(H962="PETHICS",PR!$AY960,IF(H962="PHILIPS",PR!$AZ960,IF(H962="RANBAXY",PR!$BA960,IF(H962="REALS",PR!$BB960,IF(H962="ROYAL",PR!$BC960,IF(H962="SAM",PR!$BD960,IF(H962="SEAGREEN",PR!$BE960,IF(H962="SKG",PR!$BF960,IF(H962="TAH",PR!$BG960,IF(H962="TAYLEK",PR!$BH960,IF(H962="TEMITA",PR!$BI960,IF(H962="THL",PR!$BJ960,IF(H962="UBASTIC",PR!$BK960,IF(H962="UNION",PR!$BL960,IF(H962="UNIQUE",PR!$BM960,IF(H962="VIXA",PR!$BN960,IF(H962="WWCV",PR!$BO960,IF(H962="ZOLON",PR!$BP960,"-"))))))))))))))))))))))))))))))))))))))))))))))))))))))))))))))))</f>
        <v>-</v>
      </c>
      <c r="H962" s="102">
        <f>EV!M1223</f>
        <v>0</v>
      </c>
      <c r="I962" s="108" t="str">
        <f>IF(J962="ALPHA",PR!$E960,IF(J962="ASSENE",PR!$F960,IF(J962="BIOFEM",PR!$G960,IF(J962="BIOMED",PR!$H960,IF(J962="CHI",PR!$I960,IF(J962="CLARION",PR!$J960,IF(J962="CODIX",PR!$K960,IF(J962="COSMADE",PR!$L960,IF(J962="SANCON",PR!$M960,IF(J962="DEVON",PR!$N960,IF(J962="DORTEMAG",PR!$O960,IF(J962="DGF",PR!$P960,IF(J962="DYNAMIC",PR!$Q960,IF(J962="EMZOR",PR!$R960,IF(J962="EUMATT",PR!$S960,IF(J962="FIDSON",PR!$T960,IF(J962="FCGLOBAL",PR!$U960,IF(J962="GENEITH",PR!$V960,IF(J962="GINOS",PR!$W960,IF(J962="GSK",PR!$X960,IF(J962="GLOBORG",PR!$Y960,IF(J962="GOODNEWS",PR!$Z960,IF(J962="GREENLIFE",PR!$AA960,IF(J962="HLINE",PR!$AB960,IF(J962="ROTECH",PR!$AC960,IF(J962="ISN",PR!$AD960,IF(J962="JAWA",PR!$AE960,IF(J962="LAYO",PR!$AF960,IF(J962="LEADWAY",PR!$AG960,IF(J962="LHV",PR!$AH960,IF(J962="MANOLA",PR!$AI960,IF(J962="MARCSON",PR!$AJ960,IF(J962="M&amp;B",PR!$AK960,IF(J962="MTRUST",PR!$AL960,IF(J962="MWORLD",PR!$AM960,IF(J962="MEGA",PR!$AN960,IF(J962="MICRONOVA",PR!$AO960,IF(J962="MFLASH",PR!$AP960,IF(J962="MORISON",PR!$AQ960,IF(J962="NEMEL",PR!$AR960,IF(J962="NHP",PR!$AS960,IF(J962="NHC",PR!$AT960,IF(J962="OLEAF",PR!$AU960,IF(J962="OCULUS",PR!$AV960,IF(J962="PACIFIC",PR!$AW960,IF(J962="PHAMATEX",PR!$AX960,IF(J962="PETHICS",PR!$AY960,IF(J962="PHILIPS",PR!$AZ960,IF(J962="RANBAXY",PR!$BA960,IF(J962="REALS",PR!$BB960,IF(J962="ROYAL",PR!$BC960,IF(J962="SAM",PR!$BD960,IF(J962="SEAGREEN",PR!$BE960,IF(J962="SKG",PR!$BF960,IF(J962="TAH",PR!$BG960,IF(J962="TAYLEK",PR!$BH960,IF(J962="TEMITA",PR!$BI960,IF(J962="THL",PR!$BJ960,IF(J962="UBASTIC",PR!$BK960,IF(J962="UNION",PR!$BL960,IF(J962="UNIQUE",PR!$BM960,IF(J962="VIXA",PR!$BN960,IF(J962="WWCV",PR!$BO960,IF(J962="ZOLON",PR!$BP960,"-"))))))))))))))))))))))))))))))))))))))))))))))))))))))))))))))))</f>
        <v>-</v>
      </c>
      <c r="J962" s="102">
        <f>EV!N1223</f>
        <v>0</v>
      </c>
      <c r="K962" s="433" t="s">
        <v>2077</v>
      </c>
      <c r="L962" s="183" t="str">
        <f>IF(K962&gt;0,IF(K962="ALPHA",PR!$E960,IF(K962="ASSENE",PR!$F960,IF(K962="BIOFEM",PR!$G960,IF(K962="BIOMED",PR!$H960,IF(K962="CHI",PR!$I960,IF(K962="CLARION",PR!$J960,IF(K962="CODIX",PR!$K960,IF(K962="COSMADE",PR!$L960,IF(K962="SANCON",PR!$M960,IF(K962="DEVON",PR!$N960,IF(K962="DORTEMAG",PR!$O960,IF(K962="DGF",PR!$P960,IF(K962="DYNAMIC",PR!$Q960,IF(K962="EMZOR",PR!$R960,IF(K962="EUMATT",PR!$S960,IF(K962="FIDSON",PR!$T960,IF(K962="FCGLOBAL",PR!$U960,IF(K962="GENEITH",PR!$V960,IF(K962="GINOS",PR!$W960,IF(K962="GSK",PR!$X960,IF(K962="GLOBORG",PR!$Y960,IF(K962="GOODNEWS",PR!$Z960,IF(K962="GREENLIFE",PR!$AA960,IF(K962="HLINE",PR!$AB960,IF(K962="ROTECH",PR!$AC960,IF(K962="ISN",PR!$AD960,IF(K962="JAWA",PR!$AE960,IF(K962="LAYO",PR!$AF960,IF(K962="LEADWAY",PR!$AG960,IF(K962="LHV",PR!$AH960,IF(K962="MANOLA",PR!$AI960,IF(K962="MARCSON",PR!$AJ960,IF(K962="M&amp;B",PR!$AK960,IF(K962="MTRUST",PR!$AL960,IF(K962="MWORLD",PR!$AM960,IF(K962="MEGA",PR!$AN960,IF(K962="MICRONOVA",PR!$AO960,IF(K962="MFLASH",PR!$AP960,IF(K962="MORISON",PR!$AQ960,IF(K962="NEMEL",PR!$AR960,IF(K962="NHP",PR!$AS960,IF(K962="NHC",PR!$AT960,IF(K962="OLEAF",PR!$AU960,IF(K962="OCULUS",PR!$AV960,IF(K962="PACIFIC",PR!$AW960,IF(K962="PHAMATEX",PR!$AX960,IF(K962="PETHICS",PR!$AY960,IF(K962="PHILIPS",PR!$AZ960,IF(K962="RANBAXY",PR!$BA960,IF(K962="REALS",PR!$BB960,IF(K962="ROYAL",PR!$BC960,IF(K962="SAM",PR!$BD960,IF(K962="SEAGREEN",PR!$BE960,IF(K962="SKG",PR!$BF960,IF(K962="TAH",PR!$BG960,IF(K962="TAYLEK",PR!$BH960,IF(K962="TEMITA",PR!$BI960,IF(K962="THL",PR!$BJ960,IF(K962="UBASTIC",PR!$BK960,IF(K962="UNION",PR!$BL960,IF(K962="UNIQUE",PR!$BM960,IF(K962="VIXA",PR!$BN960,IF(K962="WWCV",PR!$BO960,IF(K962="ZOLON",PR!$BP960,"-")))))))))))))))))))))))))))))))))))))))))))))))))))))))))))))))))</f>
        <v>-</v>
      </c>
    </row>
    <row r="963" spans="1:12" ht="18.75" x14ac:dyDescent="0.3">
      <c r="A963" s="430">
        <f>PR!A961</f>
        <v>865</v>
      </c>
      <c r="B963" s="15" t="str">
        <f>PR!B961</f>
        <v>DD FORCE</v>
      </c>
      <c r="C963" s="113" t="str">
        <f>PR!D961</f>
        <v>1 Carton (12 x 1 litre)</v>
      </c>
      <c r="D963" s="113">
        <f>PR!C961</f>
        <v>4</v>
      </c>
      <c r="E963" s="108">
        <f>IF(F963="ALPHA",PR!$E961,IF(F963="ASSENE",PR!$F961,IF(F963="BIOFEM",PR!$G961,IF(F963="BIOMED",PR!$H961,IF(F963="CHI",PR!$I961,IF(F963="CLARION",PR!$J961,IF(F963="CODIX",PR!$K961,IF(F963="COSMADE",PR!$L961,IF(F963="SANCON",PR!$M961,IF(F963="DEVON",PR!$N961,IF(F963="DORTEMAG",PR!$O961,IF(F963="DGF",PR!$P961,IF(F963="DYNAMIC",PR!$Q961,IF(F963="EMZOR",PR!$R961,IF(F963="EUMATT",PR!$S961,IF(F963="FIDSON",PR!$T961,IF(F963="FCGLOBAL",PR!$U961,IF(F963="GENEITH",PR!$V961,IF(F963="GINOS",PR!$W961,IF(F963="GSK",PR!$X961,IF(F963="GLOBORG",PR!$Y961,IF(F963="GOODNEWS",PR!$Z961,IF(F963="GREENLIFE",PR!$AA961,IF(F963="HLINE",PR!$AB961,IF(F963="ROTECH",PR!$AC961,IF(F963="ISN",PR!$AD961,IF(F963="JAWA",PR!$AE961,IF(F963="LAYO",PR!$AF961,IF(F963="LEADWAY",PR!$AG961,IF(F963="LHV",PR!$AH961,IF(F963="MANOLA",PR!$AI961,IF(F963="MARCSON",PR!$AJ961,IF(F963="M&amp;B",PR!$AK961,IF(F963="MTRUST",PR!$AL961,IF(F963="MWORLD",PR!$AM961,IF(F963="MEGA",PR!$AN961,IF(F963="MICRONOVA",PR!$AO961,IF(F963="MFLASH",PR!$AP961,IF(F963="MORISON",PR!$AQ961,IF(F963="NEMEL",PR!$AR961,IF(F963="NHP",PR!$AS961,IF(F963="NHC",PR!$AT961,IF(F963="OLEAF",PR!$AU961,IF(F963="OCULUS",PR!$AV961,IF(F963="PACIFIC",PR!$AW961,IF(F963="PHAMATEX",PR!$AX961,IF(F963="PETHICS",PR!$AY961,IF(F963="PHILIPS",PR!$AZ961,IF(F963="RANBAXY",PR!$BA961,IF(F963="REALS",PR!$BB961,IF(F963="ROYAL",PR!$BC961,IF(F963="SAM",PR!$BD961,IF(F963="SEAGREEN",PR!$BE961,IF(F963="SKG",PR!$BF961,IF(F963="TAH",PR!$BG961,IF(F963="TAYLEK",PR!$BH961,IF(F963="TEMITA",PR!$BI961,IF(F963="THL",PR!$BJ961,IF(F963="UBASTIC",PR!$BK961,IF(F963="UNION",PR!$BL961,IF(F963="UNIQUE",PR!$BM961,IF(F963="VIXA",PR!$BN961,IF(F963="WWCV",PR!$BO961,IF(F963="ZOLON",PR!$BP961,"-"))))))))))))))))))))))))))))))))))))))))))))))))))))))))))))))))</f>
        <v>31580</v>
      </c>
      <c r="F963" s="102" t="str">
        <f>EV!L1224</f>
        <v>ROTECH</v>
      </c>
      <c r="G963" s="108">
        <f>IF(H963="ALPHA",PR!$E961,IF(H963="ASSENE",PR!$F961,IF(H963="BIOFEM",PR!$G961,IF(H963="BIOMED",PR!$H961,IF(H963="CHI",PR!$I961,IF(H963="CLARION",PR!$J961,IF(H963="CODIX",PR!$K961,IF(H963="COSMADE",PR!$L961,IF(H963="SANCON",PR!$M961,IF(H963="DEVON",PR!$N961,IF(H963="DORTEMAG",PR!$O961,IF(H963="DGF",PR!$P961,IF(H963="DYNAMIC",PR!$Q961,IF(H963="EMZOR",PR!$R961,IF(H963="EUMATT",PR!$S961,IF(H963="FIDSON",PR!$T961,IF(H963="FCGLOBAL",PR!$U961,IF(H963="GENEITH",PR!$V961,IF(H963="GINOS",PR!$W961,IF(H963="GSK",PR!$X961,IF(H963="GLOBORG",PR!$Y961,IF(H963="GOODNEWS",PR!$Z961,IF(H963="GREENLIFE",PR!$AA961,IF(H963="HLINE",PR!$AB961,IF(H963="ROTECH",PR!$AC961,IF(H963="ISN",PR!$AD961,IF(H963="JAWA",PR!$AE961,IF(H963="LAYO",PR!$AF961,IF(H963="LEADWAY",PR!$AG961,IF(H963="LHV",PR!$AH961,IF(H963="MANOLA",PR!$AI961,IF(H963="MARCSON",PR!$AJ961,IF(H963="M&amp;B",PR!$AK961,IF(H963="MTRUST",PR!$AL961,IF(H963="MWORLD",PR!$AM961,IF(H963="MEGA",PR!$AN961,IF(H963="MICRONOVA",PR!$AO961,IF(H963="MFLASH",PR!$AP961,IF(H963="MORISON",PR!$AQ961,IF(H963="NEMEL",PR!$AR961,IF(H963="NHP",PR!$AS961,IF(H963="NHC",PR!$AT961,IF(H963="OLEAF",PR!$AU961,IF(H963="OCULUS",PR!$AV961,IF(H963="PACIFIC",PR!$AW961,IF(H963="PHAMATEX",PR!$AX961,IF(H963="PETHICS",PR!$AY961,IF(H963="PHILIPS",PR!$AZ961,IF(H963="RANBAXY",PR!$BA961,IF(H963="REALS",PR!$BB961,IF(H963="ROYAL",PR!$BC961,IF(H963="SAM",PR!$BD961,IF(H963="SEAGREEN",PR!$BE961,IF(H963="SKG",PR!$BF961,IF(H963="TAH",PR!$BG961,IF(H963="TAYLEK",PR!$BH961,IF(H963="TEMITA",PR!$BI961,IF(H963="THL",PR!$BJ961,IF(H963="UBASTIC",PR!$BK961,IF(H963="UNION",PR!$BL961,IF(H963="UNIQUE",PR!$BM961,IF(H963="VIXA",PR!$BN961,IF(H963="WWCV",PR!$BO961,IF(H963="ZOLON",PR!$BP961,"-"))))))))))))))))))))))))))))))))))))))))))))))))))))))))))))))))</f>
        <v>31600</v>
      </c>
      <c r="H963" s="102" t="str">
        <f>EV!M1224</f>
        <v>SANCON</v>
      </c>
      <c r="I963" s="108">
        <f>IF(J963="ALPHA",PR!$E961,IF(J963="ASSENE",PR!$F961,IF(J963="BIOFEM",PR!$G961,IF(J963="BIOMED",PR!$H961,IF(J963="CHI",PR!$I961,IF(J963="CLARION",PR!$J961,IF(J963="CODIX",PR!$K961,IF(J963="COSMADE",PR!$L961,IF(J963="SANCON",PR!$M961,IF(J963="DEVON",PR!$N961,IF(J963="DORTEMAG",PR!$O961,IF(J963="DGF",PR!$P961,IF(J963="DYNAMIC",PR!$Q961,IF(J963="EMZOR",PR!$R961,IF(J963="EUMATT",PR!$S961,IF(J963="FIDSON",PR!$T961,IF(J963="FCGLOBAL",PR!$U961,IF(J963="GENEITH",PR!$V961,IF(J963="GINOS",PR!$W961,IF(J963="GSK",PR!$X961,IF(J963="GLOBORG",PR!$Y961,IF(J963="GOODNEWS",PR!$Z961,IF(J963="GREENLIFE",PR!$AA961,IF(J963="HLINE",PR!$AB961,IF(J963="ROTECH",PR!$AC961,IF(J963="ISN",PR!$AD961,IF(J963="JAWA",PR!$AE961,IF(J963="LAYO",PR!$AF961,IF(J963="LEADWAY",PR!$AG961,IF(J963="LHV",PR!$AH961,IF(J963="MANOLA",PR!$AI961,IF(J963="MARCSON",PR!$AJ961,IF(J963="M&amp;B",PR!$AK961,IF(J963="MTRUST",PR!$AL961,IF(J963="MWORLD",PR!$AM961,IF(J963="MEGA",PR!$AN961,IF(J963="MICRONOVA",PR!$AO961,IF(J963="MFLASH",PR!$AP961,IF(J963="MORISON",PR!$AQ961,IF(J963="NEMEL",PR!$AR961,IF(J963="NHP",PR!$AS961,IF(J963="NHC",PR!$AT961,IF(J963="OLEAF",PR!$AU961,IF(J963="OCULUS",PR!$AV961,IF(J963="PACIFIC",PR!$AW961,IF(J963="PHAMATEX",PR!$AX961,IF(J963="PETHICS",PR!$AY961,IF(J963="PHILIPS",PR!$AZ961,IF(J963="RANBAXY",PR!$BA961,IF(J963="REALS",PR!$BB961,IF(J963="ROYAL",PR!$BC961,IF(J963="SAM",PR!$BD961,IF(J963="SEAGREEN",PR!$BE961,IF(J963="SKG",PR!$BF961,IF(J963="TAH",PR!$BG961,IF(J963="TAYLEK",PR!$BH961,IF(J963="TEMITA",PR!$BI961,IF(J963="THL",PR!$BJ961,IF(J963="UBASTIC",PR!$BK961,IF(J963="UNION",PR!$BL961,IF(J963="UNIQUE",PR!$BM961,IF(J963="VIXA",PR!$BN961,IF(J963="WWCV",PR!$BO961,IF(J963="ZOLON",PR!$BP961,"-"))))))))))))))))))))))))))))))))))))))))))))))))))))))))))))))))</f>
        <v>42000</v>
      </c>
      <c r="J963" s="102" t="str">
        <f>EV!N1224</f>
        <v>DYNAMIC</v>
      </c>
      <c r="K963" s="433" t="s">
        <v>825</v>
      </c>
      <c r="L963" s="183">
        <f>IF(K963&gt;0,IF(K963="ALPHA",PR!$E961,IF(K963="ASSENE",PR!$F961,IF(K963="BIOFEM",PR!$G961,IF(K963="BIOMED",PR!$H961,IF(K963="CHI",PR!$I961,IF(K963="CLARION",PR!$J961,IF(K963="CODIX",PR!$K961,IF(K963="COSMADE",PR!$L961,IF(K963="SANCON",PR!$M961,IF(K963="DEVON",PR!$N961,IF(K963="DORTEMAG",PR!$O961,IF(K963="DGF",PR!$P961,IF(K963="DYNAMIC",PR!$Q961,IF(K963="EMZOR",PR!$R961,IF(K963="EUMATT",PR!$S961,IF(K963="FIDSON",PR!$T961,IF(K963="FCGLOBAL",PR!$U961,IF(K963="GENEITH",PR!$V961,IF(K963="GINOS",PR!$W961,IF(K963="GSK",PR!$X961,IF(K963="GLOBORG",PR!$Y961,IF(K963="GOODNEWS",PR!$Z961,IF(K963="GREENLIFE",PR!$AA961,IF(K963="HLINE",PR!$AB961,IF(K963="ROTECH",PR!$AC961,IF(K963="ISN",PR!$AD961,IF(K963="JAWA",PR!$AE961,IF(K963="LAYO",PR!$AF961,IF(K963="LEADWAY",PR!$AG961,IF(K963="LHV",PR!$AH961,IF(K963="MANOLA",PR!$AI961,IF(K963="MARCSON",PR!$AJ961,IF(K963="M&amp;B",PR!$AK961,IF(K963="MTRUST",PR!$AL961,IF(K963="MWORLD",PR!$AM961,IF(K963="MEGA",PR!$AN961,IF(K963="MICRONOVA",PR!$AO961,IF(K963="MFLASH",PR!$AP961,IF(K963="MORISON",PR!$AQ961,IF(K963="NEMEL",PR!$AR961,IF(K963="NHP",PR!$AS961,IF(K963="NHC",PR!$AT961,IF(K963="OLEAF",PR!$AU961,IF(K963="OCULUS",PR!$AV961,IF(K963="PACIFIC",PR!$AW961,IF(K963="PHAMATEX",PR!$AX961,IF(K963="PETHICS",PR!$AY961,IF(K963="PHILIPS",PR!$AZ961,IF(K963="RANBAXY",PR!$BA961,IF(K963="REALS",PR!$BB961,IF(K963="ROYAL",PR!$BC961,IF(K963="SAM",PR!$BD961,IF(K963="SEAGREEN",PR!$BE961,IF(K963="SKG",PR!$BF961,IF(K963="TAH",PR!$BG961,IF(K963="TAYLEK",PR!$BH961,IF(K963="TEMITA",PR!$BI961,IF(K963="THL",PR!$BJ961,IF(K963="UBASTIC",PR!$BK961,IF(K963="UNION",PR!$BL961,IF(K963="UNIQUE",PR!$BM961,IF(K963="VIXA",PR!$BN961,IF(K963="WWCV",PR!$BO961,IF(K963="ZOLON",PR!$BP961,"-")))))))))))))))))))))))))))))))))))))))))))))))))))))))))))))))))</f>
        <v>31580</v>
      </c>
    </row>
    <row r="964" spans="1:12" ht="18.75" x14ac:dyDescent="0.3">
      <c r="A964" s="430">
        <f>PR!A962</f>
        <v>866</v>
      </c>
      <c r="B964" s="15" t="str">
        <f>PR!B962</f>
        <v>DELTA FORCE</v>
      </c>
      <c r="C964" s="113" t="str">
        <f>PR!D962</f>
        <v>1 Carton (10pcs)</v>
      </c>
      <c r="D964" s="113">
        <f>PR!C962</f>
        <v>4</v>
      </c>
      <c r="E964" s="108">
        <f>IF(F964="ALPHA",PR!$E962,IF(F964="ASSENE",PR!$F962,IF(F964="BIOFEM",PR!$G962,IF(F964="BIOMED",PR!$H962,IF(F964="CHI",PR!$I962,IF(F964="CLARION",PR!$J962,IF(F964="CODIX",PR!$K962,IF(F964="COSMADE",PR!$L962,IF(F964="SANCON",PR!$M962,IF(F964="DEVON",PR!$N962,IF(F964="DORTEMAG",PR!$O962,IF(F964="DGF",PR!$P962,IF(F964="DYNAMIC",PR!$Q962,IF(F964="EMZOR",PR!$R962,IF(F964="EUMATT",PR!$S962,IF(F964="FIDSON",PR!$T962,IF(F964="FCGLOBAL",PR!$U962,IF(F964="GENEITH",PR!$V962,IF(F964="GINOS",PR!$W962,IF(F964="GSK",PR!$X962,IF(F964="GLOBORG",PR!$Y962,IF(F964="GOODNEWS",PR!$Z962,IF(F964="GREENLIFE",PR!$AA962,IF(F964="HLINE",PR!$AB962,IF(F964="ROTECH",PR!$AC962,IF(F964="ISN",PR!$AD962,IF(F964="JAWA",PR!$AE962,IF(F964="LAYO",PR!$AF962,IF(F964="LEADWAY",PR!$AG962,IF(F964="LHV",PR!$AH962,IF(F964="MANOLA",PR!$AI962,IF(F964="MARCSON",PR!$AJ962,IF(F964="M&amp;B",PR!$AK962,IF(F964="MTRUST",PR!$AL962,IF(F964="MWORLD",PR!$AM962,IF(F964="MEGA",PR!$AN962,IF(F964="MICRONOVA",PR!$AO962,IF(F964="MFLASH",PR!$AP962,IF(F964="MORISON",PR!$AQ962,IF(F964="NEMEL",PR!$AR962,IF(F964="NHP",PR!$AS962,IF(F964="NHC",PR!$AT962,IF(F964="OLEAF",PR!$AU962,IF(F964="OCULUS",PR!$AV962,IF(F964="PACIFIC",PR!$AW962,IF(F964="PHAMATEX",PR!$AX962,IF(F964="PETHICS",PR!$AY962,IF(F964="PHILIPS",PR!$AZ962,IF(F964="RANBAXY",PR!$BA962,IF(F964="REALS",PR!$BB962,IF(F964="ROYAL",PR!$BC962,IF(F964="SAM",PR!$BD962,IF(F964="SEAGREEN",PR!$BE962,IF(F964="SKG",PR!$BF962,IF(F964="TAH",PR!$BG962,IF(F964="TAYLEK",PR!$BH962,IF(F964="TEMITA",PR!$BI962,IF(F964="THL",PR!$BJ962,IF(F964="UBASTIC",PR!$BK962,IF(F964="UNION",PR!$BL962,IF(F964="UNIQUE",PR!$BM962,IF(F964="VIXA",PR!$BN962,IF(F964="WWCV",PR!$BO962,IF(F964="ZOLON",PR!$BP962,"-"))))))))))))))))))))))))))))))))))))))))))))))))))))))))))))))))</f>
        <v>32600</v>
      </c>
      <c r="F964" s="102" t="str">
        <f>EV!L1225</f>
        <v>SANCON</v>
      </c>
      <c r="G964" s="108">
        <f>IF(H964="ALPHA",PR!$E962,IF(H964="ASSENE",PR!$F962,IF(H964="BIOFEM",PR!$G962,IF(H964="BIOMED",PR!$H962,IF(H964="CHI",PR!$I962,IF(H964="CLARION",PR!$J962,IF(H964="CODIX",PR!$K962,IF(H964="COSMADE",PR!$L962,IF(H964="SANCON",PR!$M962,IF(H964="DEVON",PR!$N962,IF(H964="DORTEMAG",PR!$O962,IF(H964="DGF",PR!$P962,IF(H964="DYNAMIC",PR!$Q962,IF(H964="EMZOR",PR!$R962,IF(H964="EUMATT",PR!$S962,IF(H964="FIDSON",PR!$T962,IF(H964="FCGLOBAL",PR!$U962,IF(H964="GENEITH",PR!$V962,IF(H964="GINOS",PR!$W962,IF(H964="GSK",PR!$X962,IF(H964="GLOBORG",PR!$Y962,IF(H964="GOODNEWS",PR!$Z962,IF(H964="GREENLIFE",PR!$AA962,IF(H964="HLINE",PR!$AB962,IF(H964="ROTECH",PR!$AC962,IF(H964="ISN",PR!$AD962,IF(H964="JAWA",PR!$AE962,IF(H964="LAYO",PR!$AF962,IF(H964="LEADWAY",PR!$AG962,IF(H964="LHV",PR!$AH962,IF(H964="MANOLA",PR!$AI962,IF(H964="MARCSON",PR!$AJ962,IF(H964="M&amp;B",PR!$AK962,IF(H964="MTRUST",PR!$AL962,IF(H964="MWORLD",PR!$AM962,IF(H964="MEGA",PR!$AN962,IF(H964="MICRONOVA",PR!$AO962,IF(H964="MFLASH",PR!$AP962,IF(H964="MORISON",PR!$AQ962,IF(H964="NEMEL",PR!$AR962,IF(H964="NHP",PR!$AS962,IF(H964="NHC",PR!$AT962,IF(H964="OLEAF",PR!$AU962,IF(H964="OCULUS",PR!$AV962,IF(H964="PACIFIC",PR!$AW962,IF(H964="PHAMATEX",PR!$AX962,IF(H964="PETHICS",PR!$AY962,IF(H964="PHILIPS",PR!$AZ962,IF(H964="RANBAXY",PR!$BA962,IF(H964="REALS",PR!$BB962,IF(H964="ROYAL",PR!$BC962,IF(H964="SAM",PR!$BD962,IF(H964="SEAGREEN",PR!$BE962,IF(H964="SKG",PR!$BF962,IF(H964="TAH",PR!$BG962,IF(H964="TAYLEK",PR!$BH962,IF(H964="TEMITA",PR!$BI962,IF(H964="THL",PR!$BJ962,IF(H964="UBASTIC",PR!$BK962,IF(H964="UNION",PR!$BL962,IF(H964="UNIQUE",PR!$BM962,IF(H964="VIXA",PR!$BN962,IF(H964="WWCV",PR!$BO962,IF(H964="ZOLON",PR!$BP962,"-"))))))))))))))))))))))))))))))))))))))))))))))))))))))))))))))))</f>
        <v>41250</v>
      </c>
      <c r="H964" s="102" t="str">
        <f>EV!M1225</f>
        <v>DYNAMIC</v>
      </c>
      <c r="I964" s="108" t="str">
        <f>IF(J964="ALPHA",PR!$E962,IF(J964="ASSENE",PR!$F962,IF(J964="BIOFEM",PR!$G962,IF(J964="BIOMED",PR!$H962,IF(J964="CHI",PR!$I962,IF(J964="CLARION",PR!$J962,IF(J964="CODIX",PR!$K962,IF(J964="COSMADE",PR!$L962,IF(J964="SANCON",PR!$M962,IF(J964="DEVON",PR!$N962,IF(J964="DORTEMAG",PR!$O962,IF(J964="DGF",PR!$P962,IF(J964="DYNAMIC",PR!$Q962,IF(J964="EMZOR",PR!$R962,IF(J964="EUMATT",PR!$S962,IF(J964="FIDSON",PR!$T962,IF(J964="FCGLOBAL",PR!$U962,IF(J964="GENEITH",PR!$V962,IF(J964="GINOS",PR!$W962,IF(J964="GSK",PR!$X962,IF(J964="GLOBORG",PR!$Y962,IF(J964="GOODNEWS",PR!$Z962,IF(J964="GREENLIFE",PR!$AA962,IF(J964="HLINE",PR!$AB962,IF(J964="ROTECH",PR!$AC962,IF(J964="ISN",PR!$AD962,IF(J964="JAWA",PR!$AE962,IF(J964="LAYO",PR!$AF962,IF(J964="LEADWAY",PR!$AG962,IF(J964="LHV",PR!$AH962,IF(J964="MANOLA",PR!$AI962,IF(J964="MARCSON",PR!$AJ962,IF(J964="M&amp;B",PR!$AK962,IF(J964="MTRUST",PR!$AL962,IF(J964="MWORLD",PR!$AM962,IF(J964="MEGA",PR!$AN962,IF(J964="MICRONOVA",PR!$AO962,IF(J964="MFLASH",PR!$AP962,IF(J964="MORISON",PR!$AQ962,IF(J964="NEMEL",PR!$AR962,IF(J964="NHP",PR!$AS962,IF(J964="NHC",PR!$AT962,IF(J964="OLEAF",PR!$AU962,IF(J964="OCULUS",PR!$AV962,IF(J964="PACIFIC",PR!$AW962,IF(J964="PHAMATEX",PR!$AX962,IF(J964="PETHICS",PR!$AY962,IF(J964="PHILIPS",PR!$AZ962,IF(J964="RANBAXY",PR!$BA962,IF(J964="REALS",PR!$BB962,IF(J964="ROYAL",PR!$BC962,IF(J964="SAM",PR!$BD962,IF(J964="SEAGREEN",PR!$BE962,IF(J964="SKG",PR!$BF962,IF(J964="TAH",PR!$BG962,IF(J964="TAYLEK",PR!$BH962,IF(J964="TEMITA",PR!$BI962,IF(J964="THL",PR!$BJ962,IF(J964="UBASTIC",PR!$BK962,IF(J964="UNION",PR!$BL962,IF(J964="UNIQUE",PR!$BM962,IF(J964="VIXA",PR!$BN962,IF(J964="WWCV",PR!$BO962,IF(J964="ZOLON",PR!$BP962,"-"))))))))))))))))))))))))))))))))))))))))))))))))))))))))))))))))</f>
        <v>-</v>
      </c>
      <c r="J964" s="102">
        <f>EV!N1225</f>
        <v>0</v>
      </c>
      <c r="K964" s="433" t="s">
        <v>817</v>
      </c>
      <c r="L964" s="183">
        <f>IF(K964&gt;0,IF(K964="ALPHA",PR!$E962,IF(K964="ASSENE",PR!$F962,IF(K964="BIOFEM",PR!$G962,IF(K964="BIOMED",PR!$H962,IF(K964="CHI",PR!$I962,IF(K964="CLARION",PR!$J962,IF(K964="CODIX",PR!$K962,IF(K964="COSMADE",PR!$L962,IF(K964="SANCON",PR!$M962,IF(K964="DEVON",PR!$N962,IF(K964="DORTEMAG",PR!$O962,IF(K964="DGF",PR!$P962,IF(K964="DYNAMIC",PR!$Q962,IF(K964="EMZOR",PR!$R962,IF(K964="EUMATT",PR!$S962,IF(K964="FIDSON",PR!$T962,IF(K964="FCGLOBAL",PR!$U962,IF(K964="GENEITH",PR!$V962,IF(K964="GINOS",PR!$W962,IF(K964="GSK",PR!$X962,IF(K964="GLOBORG",PR!$Y962,IF(K964="GOODNEWS",PR!$Z962,IF(K964="GREENLIFE",PR!$AA962,IF(K964="HLINE",PR!$AB962,IF(K964="ROTECH",PR!$AC962,IF(K964="ISN",PR!$AD962,IF(K964="JAWA",PR!$AE962,IF(K964="LAYO",PR!$AF962,IF(K964="LEADWAY",PR!$AG962,IF(K964="LHV",PR!$AH962,IF(K964="MANOLA",PR!$AI962,IF(K964="MARCSON",PR!$AJ962,IF(K964="M&amp;B",PR!$AK962,IF(K964="MTRUST",PR!$AL962,IF(K964="MWORLD",PR!$AM962,IF(K964="MEGA",PR!$AN962,IF(K964="MICRONOVA",PR!$AO962,IF(K964="MFLASH",PR!$AP962,IF(K964="MORISON",PR!$AQ962,IF(K964="NEMEL",PR!$AR962,IF(K964="NHP",PR!$AS962,IF(K964="NHC",PR!$AT962,IF(K964="OLEAF",PR!$AU962,IF(K964="OCULUS",PR!$AV962,IF(K964="PACIFIC",PR!$AW962,IF(K964="PHAMATEX",PR!$AX962,IF(K964="PETHICS",PR!$AY962,IF(K964="PHILIPS",PR!$AZ962,IF(K964="RANBAXY",PR!$BA962,IF(K964="REALS",PR!$BB962,IF(K964="ROYAL",PR!$BC962,IF(K964="SAM",PR!$BD962,IF(K964="SEAGREEN",PR!$BE962,IF(K964="SKG",PR!$BF962,IF(K964="TAH",PR!$BG962,IF(K964="TAYLEK",PR!$BH962,IF(K964="TEMITA",PR!$BI962,IF(K964="THL",PR!$BJ962,IF(K964="UBASTIC",PR!$BK962,IF(K964="UNION",PR!$BL962,IF(K964="UNIQUE",PR!$BM962,IF(K964="VIXA",PR!$BN962,IF(K964="WWCV",PR!$BO962,IF(K964="ZOLON",PR!$BP962,"-")))))))))))))))))))))))))))))))))))))))))))))))))))))))))))))))))</f>
        <v>32600</v>
      </c>
    </row>
    <row r="965" spans="1:12" ht="18.75" x14ac:dyDescent="0.3">
      <c r="A965" s="430">
        <f>PR!A963</f>
        <v>867</v>
      </c>
      <c r="B965" s="15" t="str">
        <f>PR!B963</f>
        <v>FACE MASK SURGICAL</v>
      </c>
      <c r="C965" s="113" t="str">
        <f>PR!D963</f>
        <v>1 Carton (50x10)</v>
      </c>
      <c r="D965" s="113">
        <f>PR!C963</f>
        <v>4</v>
      </c>
      <c r="E965" s="108">
        <f>IF(F965="ALPHA",PR!$E963,IF(F965="ASSENE",PR!$F963,IF(F965="BIOFEM",PR!$G963,IF(F965="BIOMED",PR!$H963,IF(F965="CHI",PR!$I963,IF(F965="CLARION",PR!$J963,IF(F965="CODIX",PR!$K963,IF(F965="COSMADE",PR!$L963,IF(F965="SANCON",PR!$M963,IF(F965="DEVON",PR!$N963,IF(F965="DORTEMAG",PR!$O963,IF(F965="DGF",PR!$P963,IF(F965="DYNAMIC",PR!$Q963,IF(F965="EMZOR",PR!$R963,IF(F965="EUMATT",PR!$S963,IF(F965="FIDSON",PR!$T963,IF(F965="FCGLOBAL",PR!$U963,IF(F965="GENEITH",PR!$V963,IF(F965="GINOS",PR!$W963,IF(F965="GSK",PR!$X963,IF(F965="GLOBORG",PR!$Y963,IF(F965="GOODNEWS",PR!$Z963,IF(F965="GREENLIFE",PR!$AA963,IF(F965="HLINE",PR!$AB963,IF(F965="ROTECH",PR!$AC963,IF(F965="ISN",PR!$AD963,IF(F965="JAWA",PR!$AE963,IF(F965="LAYO",PR!$AF963,IF(F965="LEADWAY",PR!$AG963,IF(F965="LHV",PR!$AH963,IF(F965="MANOLA",PR!$AI963,IF(F965="MARCSON",PR!$AJ963,IF(F965="M&amp;B",PR!$AK963,IF(F965="MTRUST",PR!$AL963,IF(F965="MWORLD",PR!$AM963,IF(F965="MEGA",PR!$AN963,IF(F965="MICRONOVA",PR!$AO963,IF(F965="MFLASH",PR!$AP963,IF(F965="MORISON",PR!$AQ963,IF(F965="NEMEL",PR!$AR963,IF(F965="NHP",PR!$AS963,IF(F965="NHC",PR!$AT963,IF(F965="OLEAF",PR!$AU963,IF(F965="OCULUS",PR!$AV963,IF(F965="PACIFIC",PR!$AW963,IF(F965="PHAMATEX",PR!$AX963,IF(F965="PETHICS",PR!$AY963,IF(F965="PHILIPS",PR!$AZ963,IF(F965="RANBAXY",PR!$BA963,IF(F965="REALS",PR!$BB963,IF(F965="ROYAL",PR!$BC963,IF(F965="SAM",PR!$BD963,IF(F965="SEAGREEN",PR!$BE963,IF(F965="SKG",PR!$BF963,IF(F965="TAH",PR!$BG963,IF(F965="TAYLEK",PR!$BH963,IF(F965="TEMITA",PR!$BI963,IF(F965="THL",PR!$BJ963,IF(F965="UBASTIC",PR!$BK963,IF(F965="UNION",PR!$BL963,IF(F965="UNIQUE",PR!$BM963,IF(F965="VIXA",PR!$BN963,IF(F965="WWCV",PR!$BO963,IF(F965="ZOLON",PR!$BP963,"-"))))))))))))))))))))))))))))))))))))))))))))))))))))))))))))))))</f>
        <v>4500</v>
      </c>
      <c r="F965" s="102" t="str">
        <f>EV!L1226</f>
        <v>SANCON</v>
      </c>
      <c r="G965" s="108">
        <f>IF(H965="ALPHA",PR!$E963,IF(H965="ASSENE",PR!$F963,IF(H965="BIOFEM",PR!$G963,IF(H965="BIOMED",PR!$H963,IF(H965="CHI",PR!$I963,IF(H965="CLARION",PR!$J963,IF(H965="CODIX",PR!$K963,IF(H965="COSMADE",PR!$L963,IF(H965="SANCON",PR!$M963,IF(H965="DEVON",PR!$N963,IF(H965="DORTEMAG",PR!$O963,IF(H965="DGF",PR!$P963,IF(H965="DYNAMIC",PR!$Q963,IF(H965="EMZOR",PR!$R963,IF(H965="EUMATT",PR!$S963,IF(H965="FIDSON",PR!$T963,IF(H965="FCGLOBAL",PR!$U963,IF(H965="GENEITH",PR!$V963,IF(H965="GINOS",PR!$W963,IF(H965="GSK",PR!$X963,IF(H965="GLOBORG",PR!$Y963,IF(H965="GOODNEWS",PR!$Z963,IF(H965="GREENLIFE",PR!$AA963,IF(H965="HLINE",PR!$AB963,IF(H965="ROTECH",PR!$AC963,IF(H965="ISN",PR!$AD963,IF(H965="JAWA",PR!$AE963,IF(H965="LAYO",PR!$AF963,IF(H965="LEADWAY",PR!$AG963,IF(H965="LHV",PR!$AH963,IF(H965="MANOLA",PR!$AI963,IF(H965="MARCSON",PR!$AJ963,IF(H965="M&amp;B",PR!$AK963,IF(H965="MTRUST",PR!$AL963,IF(H965="MWORLD",PR!$AM963,IF(H965="MEGA",PR!$AN963,IF(H965="MICRONOVA",PR!$AO963,IF(H965="MFLASH",PR!$AP963,IF(H965="MORISON",PR!$AQ963,IF(H965="NEMEL",PR!$AR963,IF(H965="NHP",PR!$AS963,IF(H965="NHC",PR!$AT963,IF(H965="OLEAF",PR!$AU963,IF(H965="OCULUS",PR!$AV963,IF(H965="PACIFIC",PR!$AW963,IF(H965="PHAMATEX",PR!$AX963,IF(H965="PETHICS",PR!$AY963,IF(H965="PHILIPS",PR!$AZ963,IF(H965="RANBAXY",PR!$BA963,IF(H965="REALS",PR!$BB963,IF(H965="ROYAL",PR!$BC963,IF(H965="SAM",PR!$BD963,IF(H965="SEAGREEN",PR!$BE963,IF(H965="SKG",PR!$BF963,IF(H965="TAH",PR!$BG963,IF(H965="TAYLEK",PR!$BH963,IF(H965="TEMITA",PR!$BI963,IF(H965="THL",PR!$BJ963,IF(H965="UBASTIC",PR!$BK963,IF(H965="UNION",PR!$BL963,IF(H965="UNIQUE",PR!$BM963,IF(H965="VIXA",PR!$BN963,IF(H965="WWCV",PR!$BO963,IF(H965="ZOLON",PR!$BP963,"-"))))))))))))))))))))))))))))))))))))))))))))))))))))))))))))))))</f>
        <v>5000</v>
      </c>
      <c r="H965" s="102" t="str">
        <f>EV!M1226</f>
        <v>DYNAMIC</v>
      </c>
      <c r="I965" s="108">
        <f>IF(J965="ALPHA",PR!$E963,IF(J965="ASSENE",PR!$F963,IF(J965="BIOFEM",PR!$G963,IF(J965="BIOMED",PR!$H963,IF(J965="CHI",PR!$I963,IF(J965="CLARION",PR!$J963,IF(J965="CODIX",PR!$K963,IF(J965="COSMADE",PR!$L963,IF(J965="SANCON",PR!$M963,IF(J965="DEVON",PR!$N963,IF(J965="DORTEMAG",PR!$O963,IF(J965="DGF",PR!$P963,IF(J965="DYNAMIC",PR!$Q963,IF(J965="EMZOR",PR!$R963,IF(J965="EUMATT",PR!$S963,IF(J965="FIDSON",PR!$T963,IF(J965="FCGLOBAL",PR!$U963,IF(J965="GENEITH",PR!$V963,IF(J965="GINOS",PR!$W963,IF(J965="GSK",PR!$X963,IF(J965="GLOBORG",PR!$Y963,IF(J965="GOODNEWS",PR!$Z963,IF(J965="GREENLIFE",PR!$AA963,IF(J965="HLINE",PR!$AB963,IF(J965="ROTECH",PR!$AC963,IF(J965="ISN",PR!$AD963,IF(J965="JAWA",PR!$AE963,IF(J965="LAYO",PR!$AF963,IF(J965="LEADWAY",PR!$AG963,IF(J965="LHV",PR!$AH963,IF(J965="MANOLA",PR!$AI963,IF(J965="MARCSON",PR!$AJ963,IF(J965="M&amp;B",PR!$AK963,IF(J965="MTRUST",PR!$AL963,IF(J965="MWORLD",PR!$AM963,IF(J965="MEGA",PR!$AN963,IF(J965="MICRONOVA",PR!$AO963,IF(J965="MFLASH",PR!$AP963,IF(J965="MORISON",PR!$AQ963,IF(J965="NEMEL",PR!$AR963,IF(J965="NHP",PR!$AS963,IF(J965="NHC",PR!$AT963,IF(J965="OLEAF",PR!$AU963,IF(J965="OCULUS",PR!$AV963,IF(J965="PACIFIC",PR!$AW963,IF(J965="PHAMATEX",PR!$AX963,IF(J965="PETHICS",PR!$AY963,IF(J965="PHILIPS",PR!$AZ963,IF(J965="RANBAXY",PR!$BA963,IF(J965="REALS",PR!$BB963,IF(J965="ROYAL",PR!$BC963,IF(J965="SAM",PR!$BD963,IF(J965="SEAGREEN",PR!$BE963,IF(J965="SKG",PR!$BF963,IF(J965="TAH",PR!$BG963,IF(J965="TAYLEK",PR!$BH963,IF(J965="TEMITA",PR!$BI963,IF(J965="THL",PR!$BJ963,IF(J965="UBASTIC",PR!$BK963,IF(J965="UNION",PR!$BL963,IF(J965="UNIQUE",PR!$BM963,IF(J965="VIXA",PR!$BN963,IF(J965="WWCV",PR!$BO963,IF(J965="ZOLON",PR!$BP963,"-"))))))))))))))))))))))))))))))))))))))))))))))))))))))))))))))))</f>
        <v>5000</v>
      </c>
      <c r="J965" s="102" t="str">
        <f>EV!N1226</f>
        <v>COSMADE</v>
      </c>
      <c r="K965" s="433" t="s">
        <v>817</v>
      </c>
      <c r="L965" s="183">
        <f>IF(K965&gt;0,IF(K965="ALPHA",PR!$E963,IF(K965="ASSENE",PR!$F963,IF(K965="BIOFEM",PR!$G963,IF(K965="BIOMED",PR!$H963,IF(K965="CHI",PR!$I963,IF(K965="CLARION",PR!$J963,IF(K965="CODIX",PR!$K963,IF(K965="COSMADE",PR!$L963,IF(K965="SANCON",PR!$M963,IF(K965="DEVON",PR!$N963,IF(K965="DORTEMAG",PR!$O963,IF(K965="DGF",PR!$P963,IF(K965="DYNAMIC",PR!$Q963,IF(K965="EMZOR",PR!$R963,IF(K965="EUMATT",PR!$S963,IF(K965="FIDSON",PR!$T963,IF(K965="FCGLOBAL",PR!$U963,IF(K965="GENEITH",PR!$V963,IF(K965="GINOS",PR!$W963,IF(K965="GSK",PR!$X963,IF(K965="GLOBORG",PR!$Y963,IF(K965="GOODNEWS",PR!$Z963,IF(K965="GREENLIFE",PR!$AA963,IF(K965="HLINE",PR!$AB963,IF(K965="ROTECH",PR!$AC963,IF(K965="ISN",PR!$AD963,IF(K965="JAWA",PR!$AE963,IF(K965="LAYO",PR!$AF963,IF(K965="LEADWAY",PR!$AG963,IF(K965="LHV",PR!$AH963,IF(K965="MANOLA",PR!$AI963,IF(K965="MARCSON",PR!$AJ963,IF(K965="M&amp;B",PR!$AK963,IF(K965="MTRUST",PR!$AL963,IF(K965="MWORLD",PR!$AM963,IF(K965="MEGA",PR!$AN963,IF(K965="MICRONOVA",PR!$AO963,IF(K965="MFLASH",PR!$AP963,IF(K965="MORISON",PR!$AQ963,IF(K965="NEMEL",PR!$AR963,IF(K965="NHP",PR!$AS963,IF(K965="NHC",PR!$AT963,IF(K965="OLEAF",PR!$AU963,IF(K965="OCULUS",PR!$AV963,IF(K965="PACIFIC",PR!$AW963,IF(K965="PHAMATEX",PR!$AX963,IF(K965="PETHICS",PR!$AY963,IF(K965="PHILIPS",PR!$AZ963,IF(K965="RANBAXY",PR!$BA963,IF(K965="REALS",PR!$BB963,IF(K965="ROYAL",PR!$BC963,IF(K965="SAM",PR!$BD963,IF(K965="SEAGREEN",PR!$BE963,IF(K965="SKG",PR!$BF963,IF(K965="TAH",PR!$BG963,IF(K965="TAYLEK",PR!$BH963,IF(K965="TEMITA",PR!$BI963,IF(K965="THL",PR!$BJ963,IF(K965="UBASTIC",PR!$BK963,IF(K965="UNION",PR!$BL963,IF(K965="UNIQUE",PR!$BM963,IF(K965="VIXA",PR!$BN963,IF(K965="WWCV",PR!$BO963,IF(K965="ZOLON",PR!$BP963,"-")))))))))))))))))))))))))))))))))))))))))))))))))))))))))))))))))</f>
        <v>4500</v>
      </c>
    </row>
    <row r="966" spans="1:12" ht="18.75" x14ac:dyDescent="0.3">
      <c r="A966" s="430">
        <f>PR!A964</f>
        <v>868</v>
      </c>
      <c r="B966" s="15" t="str">
        <f>PR!B964</f>
        <v>FILTER PAPER</v>
      </c>
      <c r="C966" s="113" t="str">
        <f>PR!D964</f>
        <v>1 pack (25pcs) Medium</v>
      </c>
      <c r="D966" s="113">
        <f>PR!C964</f>
        <v>2</v>
      </c>
      <c r="E966" s="108">
        <f>IF(F966="ALPHA",PR!$E964,IF(F966="ASSENE",PR!$F964,IF(F966="BIOFEM",PR!$G964,IF(F966="BIOMED",PR!$H964,IF(F966="CHI",PR!$I964,IF(F966="CLARION",PR!$J964,IF(F966="CODIX",PR!$K964,IF(F966="COSMADE",PR!$L964,IF(F966="SANCON",PR!$M964,IF(F966="DEVON",PR!$N964,IF(F966="DORTEMAG",PR!$O964,IF(F966="DGF",PR!$P964,IF(F966="DYNAMIC",PR!$Q964,IF(F966="EMZOR",PR!$R964,IF(F966="EUMATT",PR!$S964,IF(F966="FIDSON",PR!$T964,IF(F966="FCGLOBAL",PR!$U964,IF(F966="GENEITH",PR!$V964,IF(F966="GINOS",PR!$W964,IF(F966="GSK",PR!$X964,IF(F966="GLOBORG",PR!$Y964,IF(F966="GOODNEWS",PR!$Z964,IF(F966="GREENLIFE",PR!$AA964,IF(F966="HLINE",PR!$AB964,IF(F966="ROTECH",PR!$AC964,IF(F966="ISN",PR!$AD964,IF(F966="JAWA",PR!$AE964,IF(F966="LAYO",PR!$AF964,IF(F966="LEADWAY",PR!$AG964,IF(F966="LHV",PR!$AH964,IF(F966="MANOLA",PR!$AI964,IF(F966="MARCSON",PR!$AJ964,IF(F966="M&amp;B",PR!$AK964,IF(F966="MTRUST",PR!$AL964,IF(F966="MWORLD",PR!$AM964,IF(F966="MEGA",PR!$AN964,IF(F966="MICRONOVA",PR!$AO964,IF(F966="MFLASH",PR!$AP964,IF(F966="MORISON",PR!$AQ964,IF(F966="NEMEL",PR!$AR964,IF(F966="NHP",PR!$AS964,IF(F966="NHC",PR!$AT964,IF(F966="OLEAF",PR!$AU964,IF(F966="OCULUS",PR!$AV964,IF(F966="PACIFIC",PR!$AW964,IF(F966="PHAMATEX",PR!$AX964,IF(F966="PETHICS",PR!$AY964,IF(F966="PHILIPS",PR!$AZ964,IF(F966="RANBAXY",PR!$BA964,IF(F966="REALS",PR!$BB964,IF(F966="ROYAL",PR!$BC964,IF(F966="SAM",PR!$BD964,IF(F966="SEAGREEN",PR!$BE964,IF(F966="SKG",PR!$BF964,IF(F966="TAH",PR!$BG964,IF(F966="TAYLEK",PR!$BH964,IF(F966="TEMITA",PR!$BI964,IF(F966="THL",PR!$BJ964,IF(F966="UBASTIC",PR!$BK964,IF(F966="UNION",PR!$BL964,IF(F966="UNIQUE",PR!$BM964,IF(F966="VIXA",PR!$BN964,IF(F966="WWCV",PR!$BO964,IF(F966="ZOLON",PR!$BP964,"-"))))))))))))))))))))))))))))))))))))))))))))))))))))))))))))))))</f>
        <v>1200</v>
      </c>
      <c r="F966" s="102" t="str">
        <f>EV!L1227</f>
        <v>SANCON</v>
      </c>
      <c r="G966" s="108">
        <f>IF(H966="ALPHA",PR!$E964,IF(H966="ASSENE",PR!$F964,IF(H966="BIOFEM",PR!$G964,IF(H966="BIOMED",PR!$H964,IF(H966="CHI",PR!$I964,IF(H966="CLARION",PR!$J964,IF(H966="CODIX",PR!$K964,IF(H966="COSMADE",PR!$L964,IF(H966="SANCON",PR!$M964,IF(H966="DEVON",PR!$N964,IF(H966="DORTEMAG",PR!$O964,IF(H966="DGF",PR!$P964,IF(H966="DYNAMIC",PR!$Q964,IF(H966="EMZOR",PR!$R964,IF(H966="EUMATT",PR!$S964,IF(H966="FIDSON",PR!$T964,IF(H966="FCGLOBAL",PR!$U964,IF(H966="GENEITH",PR!$V964,IF(H966="GINOS",PR!$W964,IF(H966="GSK",PR!$X964,IF(H966="GLOBORG",PR!$Y964,IF(H966="GOODNEWS",PR!$Z964,IF(H966="GREENLIFE",PR!$AA964,IF(H966="HLINE",PR!$AB964,IF(H966="ROTECH",PR!$AC964,IF(H966="ISN",PR!$AD964,IF(H966="JAWA",PR!$AE964,IF(H966="LAYO",PR!$AF964,IF(H966="LEADWAY",PR!$AG964,IF(H966="LHV",PR!$AH964,IF(H966="MANOLA",PR!$AI964,IF(H966="MARCSON",PR!$AJ964,IF(H966="M&amp;B",PR!$AK964,IF(H966="MTRUST",PR!$AL964,IF(H966="MWORLD",PR!$AM964,IF(H966="MEGA",PR!$AN964,IF(H966="MICRONOVA",PR!$AO964,IF(H966="MFLASH",PR!$AP964,IF(H966="MORISON",PR!$AQ964,IF(H966="NEMEL",PR!$AR964,IF(H966="NHP",PR!$AS964,IF(H966="NHC",PR!$AT964,IF(H966="OLEAF",PR!$AU964,IF(H966="OCULUS",PR!$AV964,IF(H966="PACIFIC",PR!$AW964,IF(H966="PHAMATEX",PR!$AX964,IF(H966="PETHICS",PR!$AY964,IF(H966="PHILIPS",PR!$AZ964,IF(H966="RANBAXY",PR!$BA964,IF(H966="REALS",PR!$BB964,IF(H966="ROYAL",PR!$BC964,IF(H966="SAM",PR!$BD964,IF(H966="SEAGREEN",PR!$BE964,IF(H966="SKG",PR!$BF964,IF(H966="TAH",PR!$BG964,IF(H966="TAYLEK",PR!$BH964,IF(H966="TEMITA",PR!$BI964,IF(H966="THL",PR!$BJ964,IF(H966="UBASTIC",PR!$BK964,IF(H966="UNION",PR!$BL964,IF(H966="UNIQUE",PR!$BM964,IF(H966="VIXA",PR!$BN964,IF(H966="WWCV",PR!$BO964,IF(H966="ZOLON",PR!$BP964,"-"))))))))))))))))))))))))))))))))))))))))))))))))))))))))))))))))</f>
        <v>1250</v>
      </c>
      <c r="H966" s="102" t="str">
        <f>EV!M1227</f>
        <v>DYNAMIC</v>
      </c>
      <c r="I966" s="108">
        <f>IF(J966="ALPHA",PR!$E964,IF(J966="ASSENE",PR!$F964,IF(J966="BIOFEM",PR!$G964,IF(J966="BIOMED",PR!$H964,IF(J966="CHI",PR!$I964,IF(J966="CLARION",PR!$J964,IF(J966="CODIX",PR!$K964,IF(J966="COSMADE",PR!$L964,IF(J966="SANCON",PR!$M964,IF(J966="DEVON",PR!$N964,IF(J966="DORTEMAG",PR!$O964,IF(J966="DGF",PR!$P964,IF(J966="DYNAMIC",PR!$Q964,IF(J966="EMZOR",PR!$R964,IF(J966="EUMATT",PR!$S964,IF(J966="FIDSON",PR!$T964,IF(J966="FCGLOBAL",PR!$U964,IF(J966="GENEITH",PR!$V964,IF(J966="GINOS",PR!$W964,IF(J966="GSK",PR!$X964,IF(J966="GLOBORG",PR!$Y964,IF(J966="GOODNEWS",PR!$Z964,IF(J966="GREENLIFE",PR!$AA964,IF(J966="HLINE",PR!$AB964,IF(J966="ROTECH",PR!$AC964,IF(J966="ISN",PR!$AD964,IF(J966="JAWA",PR!$AE964,IF(J966="LAYO",PR!$AF964,IF(J966="LEADWAY",PR!$AG964,IF(J966="LHV",PR!$AH964,IF(J966="MANOLA",PR!$AI964,IF(J966="MARCSON",PR!$AJ964,IF(J966="M&amp;B",PR!$AK964,IF(J966="MTRUST",PR!$AL964,IF(J966="MWORLD",PR!$AM964,IF(J966="MEGA",PR!$AN964,IF(J966="MICRONOVA",PR!$AO964,IF(J966="MFLASH",PR!$AP964,IF(J966="MORISON",PR!$AQ964,IF(J966="NEMEL",PR!$AR964,IF(J966="NHP",PR!$AS964,IF(J966="NHC",PR!$AT964,IF(J966="OLEAF",PR!$AU964,IF(J966="OCULUS",PR!$AV964,IF(J966="PACIFIC",PR!$AW964,IF(J966="PHAMATEX",PR!$AX964,IF(J966="PETHICS",PR!$AY964,IF(J966="PHILIPS",PR!$AZ964,IF(J966="RANBAXY",PR!$BA964,IF(J966="REALS",PR!$BB964,IF(J966="ROYAL",PR!$BC964,IF(J966="SAM",PR!$BD964,IF(J966="SEAGREEN",PR!$BE964,IF(J966="SKG",PR!$BF964,IF(J966="TAH",PR!$BG964,IF(J966="TAYLEK",PR!$BH964,IF(J966="TEMITA",PR!$BI964,IF(J966="THL",PR!$BJ964,IF(J966="UBASTIC",PR!$BK964,IF(J966="UNION",PR!$BL964,IF(J966="UNIQUE",PR!$BM964,IF(J966="VIXA",PR!$BN964,IF(J966="WWCV",PR!$BO964,IF(J966="ZOLON",PR!$BP964,"-"))))))))))))))))))))))))))))))))))))))))))))))))))))))))))))))))</f>
        <v>1500</v>
      </c>
      <c r="J966" s="102" t="str">
        <f>EV!N1227</f>
        <v>TEMITA</v>
      </c>
      <c r="K966" s="433" t="s">
        <v>817</v>
      </c>
      <c r="L966" s="183">
        <f>IF(K966&gt;0,IF(K966="ALPHA",PR!$E964,IF(K966="ASSENE",PR!$F964,IF(K966="BIOFEM",PR!$G964,IF(K966="BIOMED",PR!$H964,IF(K966="CHI",PR!$I964,IF(K966="CLARION",PR!$J964,IF(K966="CODIX",PR!$K964,IF(K966="COSMADE",PR!$L964,IF(K966="SANCON",PR!$M964,IF(K966="DEVON",PR!$N964,IF(K966="DORTEMAG",PR!$O964,IF(K966="DGF",PR!$P964,IF(K966="DYNAMIC",PR!$Q964,IF(K966="EMZOR",PR!$R964,IF(K966="EUMATT",PR!$S964,IF(K966="FIDSON",PR!$T964,IF(K966="FCGLOBAL",PR!$U964,IF(K966="GENEITH",PR!$V964,IF(K966="GINOS",PR!$W964,IF(K966="GSK",PR!$X964,IF(K966="GLOBORG",PR!$Y964,IF(K966="GOODNEWS",PR!$Z964,IF(K966="GREENLIFE",PR!$AA964,IF(K966="HLINE",PR!$AB964,IF(K966="ROTECH",PR!$AC964,IF(K966="ISN",PR!$AD964,IF(K966="JAWA",PR!$AE964,IF(K966="LAYO",PR!$AF964,IF(K966="LEADWAY",PR!$AG964,IF(K966="LHV",PR!$AH964,IF(K966="MANOLA",PR!$AI964,IF(K966="MARCSON",PR!$AJ964,IF(K966="M&amp;B",PR!$AK964,IF(K966="MTRUST",PR!$AL964,IF(K966="MWORLD",PR!$AM964,IF(K966="MEGA",PR!$AN964,IF(K966="MICRONOVA",PR!$AO964,IF(K966="MFLASH",PR!$AP964,IF(K966="MORISON",PR!$AQ964,IF(K966="NEMEL",PR!$AR964,IF(K966="NHP",PR!$AS964,IF(K966="NHC",PR!$AT964,IF(K966="OLEAF",PR!$AU964,IF(K966="OCULUS",PR!$AV964,IF(K966="PACIFIC",PR!$AW964,IF(K966="PHAMATEX",PR!$AX964,IF(K966="PETHICS",PR!$AY964,IF(K966="PHILIPS",PR!$AZ964,IF(K966="RANBAXY",PR!$BA964,IF(K966="REALS",PR!$BB964,IF(K966="ROYAL",PR!$BC964,IF(K966="SAM",PR!$BD964,IF(K966="SEAGREEN",PR!$BE964,IF(K966="SKG",PR!$BF964,IF(K966="TAH",PR!$BG964,IF(K966="TAYLEK",PR!$BH964,IF(K966="TEMITA",PR!$BI964,IF(K966="THL",PR!$BJ964,IF(K966="UBASTIC",PR!$BK964,IF(K966="UNION",PR!$BL964,IF(K966="UNIQUE",PR!$BM964,IF(K966="VIXA",PR!$BN964,IF(K966="WWCV",PR!$BO964,IF(K966="ZOLON",PR!$BP964,"-")))))))))))))))))))))))))))))))))))))))))))))))))))))))))))))))))</f>
        <v>1200</v>
      </c>
    </row>
    <row r="967" spans="1:12" ht="18.75" x14ac:dyDescent="0.3">
      <c r="A967" s="430">
        <f>PR!A965</f>
        <v>869</v>
      </c>
      <c r="B967" s="15" t="str">
        <f>PR!B965</f>
        <v>FORCEPS NON TOOTHED</v>
      </c>
      <c r="C967" s="113" t="str">
        <f>PR!D965</f>
        <v>1 piece</v>
      </c>
      <c r="D967" s="113">
        <f>PR!C965</f>
        <v>8</v>
      </c>
      <c r="E967" s="108">
        <f>IF(F967="ALPHA",PR!$E965,IF(F967="ASSENE",PR!$F965,IF(F967="BIOFEM",PR!$G965,IF(F967="BIOMED",PR!$H965,IF(F967="CHI",PR!$I965,IF(F967="CLARION",PR!$J965,IF(F967="CODIX",PR!$K965,IF(F967="COSMADE",PR!$L965,IF(F967="SANCON",PR!$M965,IF(F967="DEVON",PR!$N965,IF(F967="DORTEMAG",PR!$O965,IF(F967="DGF",PR!$P965,IF(F967="DYNAMIC",PR!$Q965,IF(F967="EMZOR",PR!$R965,IF(F967="EUMATT",PR!$S965,IF(F967="FIDSON",PR!$T965,IF(F967="FCGLOBAL",PR!$U965,IF(F967="GENEITH",PR!$V965,IF(F967="GINOS",PR!$W965,IF(F967="GSK",PR!$X965,IF(F967="GLOBORG",PR!$Y965,IF(F967="GOODNEWS",PR!$Z965,IF(F967="GREENLIFE",PR!$AA965,IF(F967="HLINE",PR!$AB965,IF(F967="ROTECH",PR!$AC965,IF(F967="ISN",PR!$AD965,IF(F967="JAWA",PR!$AE965,IF(F967="LAYO",PR!$AF965,IF(F967="LEADWAY",PR!$AG965,IF(F967="LHV",PR!$AH965,IF(F967="MANOLA",PR!$AI965,IF(F967="MARCSON",PR!$AJ965,IF(F967="M&amp;B",PR!$AK965,IF(F967="MTRUST",PR!$AL965,IF(F967="MWORLD",PR!$AM965,IF(F967="MEGA",PR!$AN965,IF(F967="MICRONOVA",PR!$AO965,IF(F967="MFLASH",PR!$AP965,IF(F967="MORISON",PR!$AQ965,IF(F967="NEMEL",PR!$AR965,IF(F967="NHP",PR!$AS965,IF(F967="NHC",PR!$AT965,IF(F967="OLEAF",PR!$AU965,IF(F967="OCULUS",PR!$AV965,IF(F967="PACIFIC",PR!$AW965,IF(F967="PHAMATEX",PR!$AX965,IF(F967="PETHICS",PR!$AY965,IF(F967="PHILIPS",PR!$AZ965,IF(F967="RANBAXY",PR!$BA965,IF(F967="REALS",PR!$BB965,IF(F967="ROYAL",PR!$BC965,IF(F967="SAM",PR!$BD965,IF(F967="SEAGREEN",PR!$BE965,IF(F967="SKG",PR!$BF965,IF(F967="TAH",PR!$BG965,IF(F967="TAYLEK",PR!$BH965,IF(F967="TEMITA",PR!$BI965,IF(F967="THL",PR!$BJ965,IF(F967="UBASTIC",PR!$BK965,IF(F967="UNION",PR!$BL965,IF(F967="UNIQUE",PR!$BM965,IF(F967="VIXA",PR!$BN965,IF(F967="WWCV",PR!$BO965,IF(F967="ZOLON",PR!$BP965,"-"))))))))))))))))))))))))))))))))))))))))))))))))))))))))))))))))</f>
        <v>250</v>
      </c>
      <c r="F967" s="102" t="str">
        <f>EV!L1228</f>
        <v>ROTECH</v>
      </c>
      <c r="G967" s="108">
        <f>IF(H967="ALPHA",PR!$E965,IF(H967="ASSENE",PR!$F965,IF(H967="BIOFEM",PR!$G965,IF(H967="BIOMED",PR!$H965,IF(H967="CHI",PR!$I965,IF(H967="CLARION",PR!$J965,IF(H967="CODIX",PR!$K965,IF(H967="COSMADE",PR!$L965,IF(H967="SANCON",PR!$M965,IF(H967="DEVON",PR!$N965,IF(H967="DORTEMAG",PR!$O965,IF(H967="DGF",PR!$P965,IF(H967="DYNAMIC",PR!$Q965,IF(H967="EMZOR",PR!$R965,IF(H967="EUMATT",PR!$S965,IF(H967="FIDSON",PR!$T965,IF(H967="FCGLOBAL",PR!$U965,IF(H967="GENEITH",PR!$V965,IF(H967="GINOS",PR!$W965,IF(H967="GSK",PR!$X965,IF(H967="GLOBORG",PR!$Y965,IF(H967="GOODNEWS",PR!$Z965,IF(H967="GREENLIFE",PR!$AA965,IF(H967="HLINE",PR!$AB965,IF(H967="ROTECH",PR!$AC965,IF(H967="ISN",PR!$AD965,IF(H967="JAWA",PR!$AE965,IF(H967="LAYO",PR!$AF965,IF(H967="LEADWAY",PR!$AG965,IF(H967="LHV",PR!$AH965,IF(H967="MANOLA",PR!$AI965,IF(H967="MARCSON",PR!$AJ965,IF(H967="M&amp;B",PR!$AK965,IF(H967="MTRUST",PR!$AL965,IF(H967="MWORLD",PR!$AM965,IF(H967="MEGA",PR!$AN965,IF(H967="MICRONOVA",PR!$AO965,IF(H967="MFLASH",PR!$AP965,IF(H967="MORISON",PR!$AQ965,IF(H967="NEMEL",PR!$AR965,IF(H967="NHP",PR!$AS965,IF(H967="NHC",PR!$AT965,IF(H967="OLEAF",PR!$AU965,IF(H967="OCULUS",PR!$AV965,IF(H967="PACIFIC",PR!$AW965,IF(H967="PHAMATEX",PR!$AX965,IF(H967="PETHICS",PR!$AY965,IF(H967="PHILIPS",PR!$AZ965,IF(H967="RANBAXY",PR!$BA965,IF(H967="REALS",PR!$BB965,IF(H967="ROYAL",PR!$BC965,IF(H967="SAM",PR!$BD965,IF(H967="SEAGREEN",PR!$BE965,IF(H967="SKG",PR!$BF965,IF(H967="TAH",PR!$BG965,IF(H967="TAYLEK",PR!$BH965,IF(H967="TEMITA",PR!$BI965,IF(H967="THL",PR!$BJ965,IF(H967="UBASTIC",PR!$BK965,IF(H967="UNION",PR!$BL965,IF(H967="UNIQUE",PR!$BM965,IF(H967="VIXA",PR!$BN965,IF(H967="WWCV",PR!$BO965,IF(H967="ZOLON",PR!$BP965,"-"))))))))))))))))))))))))))))))))))))))))))))))))))))))))))))))))</f>
        <v>500</v>
      </c>
      <c r="H967" s="102" t="str">
        <f>EV!M1228</f>
        <v>COSMADE</v>
      </c>
      <c r="I967" s="108">
        <f>IF(J967="ALPHA",PR!$E965,IF(J967="ASSENE",PR!$F965,IF(J967="BIOFEM",PR!$G965,IF(J967="BIOMED",PR!$H965,IF(J967="CHI",PR!$I965,IF(J967="CLARION",PR!$J965,IF(J967="CODIX",PR!$K965,IF(J967="COSMADE",PR!$L965,IF(J967="SANCON",PR!$M965,IF(J967="DEVON",PR!$N965,IF(J967="DORTEMAG",PR!$O965,IF(J967="DGF",PR!$P965,IF(J967="DYNAMIC",PR!$Q965,IF(J967="EMZOR",PR!$R965,IF(J967="EUMATT",PR!$S965,IF(J967="FIDSON",PR!$T965,IF(J967="FCGLOBAL",PR!$U965,IF(J967="GENEITH",PR!$V965,IF(J967="GINOS",PR!$W965,IF(J967="GSK",PR!$X965,IF(J967="GLOBORG",PR!$Y965,IF(J967="GOODNEWS",PR!$Z965,IF(J967="GREENLIFE",PR!$AA965,IF(J967="HLINE",PR!$AB965,IF(J967="ROTECH",PR!$AC965,IF(J967="ISN",PR!$AD965,IF(J967="JAWA",PR!$AE965,IF(J967="LAYO",PR!$AF965,IF(J967="LEADWAY",PR!$AG965,IF(J967="LHV",PR!$AH965,IF(J967="MANOLA",PR!$AI965,IF(J967="MARCSON",PR!$AJ965,IF(J967="M&amp;B",PR!$AK965,IF(J967="MTRUST",PR!$AL965,IF(J967="MWORLD",PR!$AM965,IF(J967="MEGA",PR!$AN965,IF(J967="MICRONOVA",PR!$AO965,IF(J967="MFLASH",PR!$AP965,IF(J967="MORISON",PR!$AQ965,IF(J967="NEMEL",PR!$AR965,IF(J967="NHP",PR!$AS965,IF(J967="NHC",PR!$AT965,IF(J967="OLEAF",PR!$AU965,IF(J967="OCULUS",PR!$AV965,IF(J967="PACIFIC",PR!$AW965,IF(J967="PHAMATEX",PR!$AX965,IF(J967="PETHICS",PR!$AY965,IF(J967="PHILIPS",PR!$AZ965,IF(J967="RANBAXY",PR!$BA965,IF(J967="REALS",PR!$BB965,IF(J967="ROYAL",PR!$BC965,IF(J967="SAM",PR!$BD965,IF(J967="SEAGREEN",PR!$BE965,IF(J967="SKG",PR!$BF965,IF(J967="TAH",PR!$BG965,IF(J967="TAYLEK",PR!$BH965,IF(J967="TEMITA",PR!$BI965,IF(J967="THL",PR!$BJ965,IF(J967="UBASTIC",PR!$BK965,IF(J967="UNION",PR!$BL965,IF(J967="UNIQUE",PR!$BM965,IF(J967="VIXA",PR!$BN965,IF(J967="WWCV",PR!$BO965,IF(J967="ZOLON",PR!$BP965,"-"))))))))))))))))))))))))))))))))))))))))))))))))))))))))))))))))</f>
        <v>500</v>
      </c>
      <c r="J967" s="102" t="str">
        <f>EV!N1228</f>
        <v>DYNAMIC</v>
      </c>
      <c r="K967" s="433" t="s">
        <v>825</v>
      </c>
      <c r="L967" s="183">
        <f>IF(K967&gt;0,IF(K967="ALPHA",PR!$E965,IF(K967="ASSENE",PR!$F965,IF(K967="BIOFEM",PR!$G965,IF(K967="BIOMED",PR!$H965,IF(K967="CHI",PR!$I965,IF(K967="CLARION",PR!$J965,IF(K967="CODIX",PR!$K965,IF(K967="COSMADE",PR!$L965,IF(K967="SANCON",PR!$M965,IF(K967="DEVON",PR!$N965,IF(K967="DORTEMAG",PR!$O965,IF(K967="DGF",PR!$P965,IF(K967="DYNAMIC",PR!$Q965,IF(K967="EMZOR",PR!$R965,IF(K967="EUMATT",PR!$S965,IF(K967="FIDSON",PR!$T965,IF(K967="FCGLOBAL",PR!$U965,IF(K967="GENEITH",PR!$V965,IF(K967="GINOS",PR!$W965,IF(K967="GSK",PR!$X965,IF(K967="GLOBORG",PR!$Y965,IF(K967="GOODNEWS",PR!$Z965,IF(K967="GREENLIFE",PR!$AA965,IF(K967="HLINE",PR!$AB965,IF(K967="ROTECH",PR!$AC965,IF(K967="ISN",PR!$AD965,IF(K967="JAWA",PR!$AE965,IF(K967="LAYO",PR!$AF965,IF(K967="LEADWAY",PR!$AG965,IF(K967="LHV",PR!$AH965,IF(K967="MANOLA",PR!$AI965,IF(K967="MARCSON",PR!$AJ965,IF(K967="M&amp;B",PR!$AK965,IF(K967="MTRUST",PR!$AL965,IF(K967="MWORLD",PR!$AM965,IF(K967="MEGA",PR!$AN965,IF(K967="MICRONOVA",PR!$AO965,IF(K967="MFLASH",PR!$AP965,IF(K967="MORISON",PR!$AQ965,IF(K967="NEMEL",PR!$AR965,IF(K967="NHP",PR!$AS965,IF(K967="NHC",PR!$AT965,IF(K967="OLEAF",PR!$AU965,IF(K967="OCULUS",PR!$AV965,IF(K967="PACIFIC",PR!$AW965,IF(K967="PHAMATEX",PR!$AX965,IF(K967="PETHICS",PR!$AY965,IF(K967="PHILIPS",PR!$AZ965,IF(K967="RANBAXY",PR!$BA965,IF(K967="REALS",PR!$BB965,IF(K967="ROYAL",PR!$BC965,IF(K967="SAM",PR!$BD965,IF(K967="SEAGREEN",PR!$BE965,IF(K967="SKG",PR!$BF965,IF(K967="TAH",PR!$BG965,IF(K967="TAYLEK",PR!$BH965,IF(K967="TEMITA",PR!$BI965,IF(K967="THL",PR!$BJ965,IF(K967="UBASTIC",PR!$BK965,IF(K967="UNION",PR!$BL965,IF(K967="UNIQUE",PR!$BM965,IF(K967="VIXA",PR!$BN965,IF(K967="WWCV",PR!$BO965,IF(K967="ZOLON",PR!$BP965,"-")))))))))))))))))))))))))))))))))))))))))))))))))))))))))))))))))</f>
        <v>250</v>
      </c>
    </row>
    <row r="968" spans="1:12" ht="18.75" x14ac:dyDescent="0.3">
      <c r="A968" s="430">
        <f>PR!A966</f>
        <v>870</v>
      </c>
      <c r="B968" s="15" t="str">
        <f>PR!B966</f>
        <v>FORCEPS TOOTHED</v>
      </c>
      <c r="C968" s="113" t="str">
        <f>PR!D966</f>
        <v>1 piece</v>
      </c>
      <c r="D968" s="113">
        <f>PR!C966</f>
        <v>8</v>
      </c>
      <c r="E968" s="108">
        <f>IF(F968="ALPHA",PR!$E966,IF(F968="ASSENE",PR!$F966,IF(F968="BIOFEM",PR!$G966,IF(F968="BIOMED",PR!$H966,IF(F968="CHI",PR!$I966,IF(F968="CLARION",PR!$J966,IF(F968="CODIX",PR!$K966,IF(F968="COSMADE",PR!$L966,IF(F968="SANCON",PR!$M966,IF(F968="DEVON",PR!$N966,IF(F968="DORTEMAG",PR!$O966,IF(F968="DGF",PR!$P966,IF(F968="DYNAMIC",PR!$Q966,IF(F968="EMZOR",PR!$R966,IF(F968="EUMATT",PR!$S966,IF(F968="FIDSON",PR!$T966,IF(F968="FCGLOBAL",PR!$U966,IF(F968="GENEITH",PR!$V966,IF(F968="GINOS",PR!$W966,IF(F968="GSK",PR!$X966,IF(F968="GLOBORG",PR!$Y966,IF(F968="GOODNEWS",PR!$Z966,IF(F968="GREENLIFE",PR!$AA966,IF(F968="HLINE",PR!$AB966,IF(F968="ROTECH",PR!$AC966,IF(F968="ISN",PR!$AD966,IF(F968="JAWA",PR!$AE966,IF(F968="LAYO",PR!$AF966,IF(F968="LEADWAY",PR!$AG966,IF(F968="LHV",PR!$AH966,IF(F968="MANOLA",PR!$AI966,IF(F968="MARCSON",PR!$AJ966,IF(F968="M&amp;B",PR!$AK966,IF(F968="MTRUST",PR!$AL966,IF(F968="MWORLD",PR!$AM966,IF(F968="MEGA",PR!$AN966,IF(F968="MICRONOVA",PR!$AO966,IF(F968="MFLASH",PR!$AP966,IF(F968="MORISON",PR!$AQ966,IF(F968="NEMEL",PR!$AR966,IF(F968="NHP",PR!$AS966,IF(F968="NHC",PR!$AT966,IF(F968="OLEAF",PR!$AU966,IF(F968="OCULUS",PR!$AV966,IF(F968="PACIFIC",PR!$AW966,IF(F968="PHAMATEX",PR!$AX966,IF(F968="PETHICS",PR!$AY966,IF(F968="PHILIPS",PR!$AZ966,IF(F968="RANBAXY",PR!$BA966,IF(F968="REALS",PR!$BB966,IF(F968="ROYAL",PR!$BC966,IF(F968="SAM",PR!$BD966,IF(F968="SEAGREEN",PR!$BE966,IF(F968="SKG",PR!$BF966,IF(F968="TAH",PR!$BG966,IF(F968="TAYLEK",PR!$BH966,IF(F968="TEMITA",PR!$BI966,IF(F968="THL",PR!$BJ966,IF(F968="UBASTIC",PR!$BK966,IF(F968="UNION",PR!$BL966,IF(F968="UNIQUE",PR!$BM966,IF(F968="VIXA",PR!$BN966,IF(F968="WWCV",PR!$BO966,IF(F968="ZOLON",PR!$BP966,"-"))))))))))))))))))))))))))))))))))))))))))))))))))))))))))))))))</f>
        <v>250</v>
      </c>
      <c r="F968" s="102" t="str">
        <f>EV!L1229</f>
        <v>ROTECH</v>
      </c>
      <c r="G968" s="108">
        <f>IF(H968="ALPHA",PR!$E966,IF(H968="ASSENE",PR!$F966,IF(H968="BIOFEM",PR!$G966,IF(H968="BIOMED",PR!$H966,IF(H968="CHI",PR!$I966,IF(H968="CLARION",PR!$J966,IF(H968="CODIX",PR!$K966,IF(H968="COSMADE",PR!$L966,IF(H968="SANCON",PR!$M966,IF(H968="DEVON",PR!$N966,IF(H968="DORTEMAG",PR!$O966,IF(H968="DGF",PR!$P966,IF(H968="DYNAMIC",PR!$Q966,IF(H968="EMZOR",PR!$R966,IF(H968="EUMATT",PR!$S966,IF(H968="FIDSON",PR!$T966,IF(H968="FCGLOBAL",PR!$U966,IF(H968="GENEITH",PR!$V966,IF(H968="GINOS",PR!$W966,IF(H968="GSK",PR!$X966,IF(H968="GLOBORG",PR!$Y966,IF(H968="GOODNEWS",PR!$Z966,IF(H968="GREENLIFE",PR!$AA966,IF(H968="HLINE",PR!$AB966,IF(H968="ROTECH",PR!$AC966,IF(H968="ISN",PR!$AD966,IF(H968="JAWA",PR!$AE966,IF(H968="LAYO",PR!$AF966,IF(H968="LEADWAY",PR!$AG966,IF(H968="LHV",PR!$AH966,IF(H968="MANOLA",PR!$AI966,IF(H968="MARCSON",PR!$AJ966,IF(H968="M&amp;B",PR!$AK966,IF(H968="MTRUST",PR!$AL966,IF(H968="MWORLD",PR!$AM966,IF(H968="MEGA",PR!$AN966,IF(H968="MICRONOVA",PR!$AO966,IF(H968="MFLASH",PR!$AP966,IF(H968="MORISON",PR!$AQ966,IF(H968="NEMEL",PR!$AR966,IF(H968="NHP",PR!$AS966,IF(H968="NHC",PR!$AT966,IF(H968="OLEAF",PR!$AU966,IF(H968="OCULUS",PR!$AV966,IF(H968="PACIFIC",PR!$AW966,IF(H968="PHAMATEX",PR!$AX966,IF(H968="PETHICS",PR!$AY966,IF(H968="PHILIPS",PR!$AZ966,IF(H968="RANBAXY",PR!$BA966,IF(H968="REALS",PR!$BB966,IF(H968="ROYAL",PR!$BC966,IF(H968="SAM",PR!$BD966,IF(H968="SEAGREEN",PR!$BE966,IF(H968="SKG",PR!$BF966,IF(H968="TAH",PR!$BG966,IF(H968="TAYLEK",PR!$BH966,IF(H968="TEMITA",PR!$BI966,IF(H968="THL",PR!$BJ966,IF(H968="UBASTIC",PR!$BK966,IF(H968="UNION",PR!$BL966,IF(H968="UNIQUE",PR!$BM966,IF(H968="VIXA",PR!$BN966,IF(H968="WWCV",PR!$BO966,IF(H968="ZOLON",PR!$BP966,"-"))))))))))))))))))))))))))))))))))))))))))))))))))))))))))))))))</f>
        <v>500</v>
      </c>
      <c r="H968" s="102" t="str">
        <f>EV!M1229</f>
        <v>COSMADE</v>
      </c>
      <c r="I968" s="108">
        <f>IF(J968="ALPHA",PR!$E966,IF(J968="ASSENE",PR!$F966,IF(J968="BIOFEM",PR!$G966,IF(J968="BIOMED",PR!$H966,IF(J968="CHI",PR!$I966,IF(J968="CLARION",PR!$J966,IF(J968="CODIX",PR!$K966,IF(J968="COSMADE",PR!$L966,IF(J968="SANCON",PR!$M966,IF(J968="DEVON",PR!$N966,IF(J968="DORTEMAG",PR!$O966,IF(J968="DGF",PR!$P966,IF(J968="DYNAMIC",PR!$Q966,IF(J968="EMZOR",PR!$R966,IF(J968="EUMATT",PR!$S966,IF(J968="FIDSON",PR!$T966,IF(J968="FCGLOBAL",PR!$U966,IF(J968="GENEITH",PR!$V966,IF(J968="GINOS",PR!$W966,IF(J968="GSK",PR!$X966,IF(J968="GLOBORG",PR!$Y966,IF(J968="GOODNEWS",PR!$Z966,IF(J968="GREENLIFE",PR!$AA966,IF(J968="HLINE",PR!$AB966,IF(J968="ROTECH",PR!$AC966,IF(J968="ISN",PR!$AD966,IF(J968="JAWA",PR!$AE966,IF(J968="LAYO",PR!$AF966,IF(J968="LEADWAY",PR!$AG966,IF(J968="LHV",PR!$AH966,IF(J968="MANOLA",PR!$AI966,IF(J968="MARCSON",PR!$AJ966,IF(J968="M&amp;B",PR!$AK966,IF(J968="MTRUST",PR!$AL966,IF(J968="MWORLD",PR!$AM966,IF(J968="MEGA",PR!$AN966,IF(J968="MICRONOVA",PR!$AO966,IF(J968="MFLASH",PR!$AP966,IF(J968="MORISON",PR!$AQ966,IF(J968="NEMEL",PR!$AR966,IF(J968="NHP",PR!$AS966,IF(J968="NHC",PR!$AT966,IF(J968="OLEAF",PR!$AU966,IF(J968="OCULUS",PR!$AV966,IF(J968="PACIFIC",PR!$AW966,IF(J968="PHAMATEX",PR!$AX966,IF(J968="PETHICS",PR!$AY966,IF(J968="PHILIPS",PR!$AZ966,IF(J968="RANBAXY",PR!$BA966,IF(J968="REALS",PR!$BB966,IF(J968="ROYAL",PR!$BC966,IF(J968="SAM",PR!$BD966,IF(J968="SEAGREEN",PR!$BE966,IF(J968="SKG",PR!$BF966,IF(J968="TAH",PR!$BG966,IF(J968="TAYLEK",PR!$BH966,IF(J968="TEMITA",PR!$BI966,IF(J968="THL",PR!$BJ966,IF(J968="UBASTIC",PR!$BK966,IF(J968="UNION",PR!$BL966,IF(J968="UNIQUE",PR!$BM966,IF(J968="VIXA",PR!$BN966,IF(J968="WWCV",PR!$BO966,IF(J968="ZOLON",PR!$BP966,"-"))))))))))))))))))))))))))))))))))))))))))))))))))))))))))))))))</f>
        <v>500</v>
      </c>
      <c r="J968" s="102" t="str">
        <f>EV!N1229</f>
        <v>DYNAMIC</v>
      </c>
      <c r="K968" s="433" t="s">
        <v>825</v>
      </c>
      <c r="L968" s="183">
        <f>IF(K968&gt;0,IF(K968="ALPHA",PR!$E966,IF(K968="ASSENE",PR!$F966,IF(K968="BIOFEM",PR!$G966,IF(K968="BIOMED",PR!$H966,IF(K968="CHI",PR!$I966,IF(K968="CLARION",PR!$J966,IF(K968="CODIX",PR!$K966,IF(K968="COSMADE",PR!$L966,IF(K968="SANCON",PR!$M966,IF(K968="DEVON",PR!$N966,IF(K968="DORTEMAG",PR!$O966,IF(K968="DGF",PR!$P966,IF(K968="DYNAMIC",PR!$Q966,IF(K968="EMZOR",PR!$R966,IF(K968="EUMATT",PR!$S966,IF(K968="FIDSON",PR!$T966,IF(K968="FCGLOBAL",PR!$U966,IF(K968="GENEITH",PR!$V966,IF(K968="GINOS",PR!$W966,IF(K968="GSK",PR!$X966,IF(K968="GLOBORG",PR!$Y966,IF(K968="GOODNEWS",PR!$Z966,IF(K968="GREENLIFE",PR!$AA966,IF(K968="HLINE",PR!$AB966,IF(K968="ROTECH",PR!$AC966,IF(K968="ISN",PR!$AD966,IF(K968="JAWA",PR!$AE966,IF(K968="LAYO",PR!$AF966,IF(K968="LEADWAY",PR!$AG966,IF(K968="LHV",PR!$AH966,IF(K968="MANOLA",PR!$AI966,IF(K968="MARCSON",PR!$AJ966,IF(K968="M&amp;B",PR!$AK966,IF(K968="MTRUST",PR!$AL966,IF(K968="MWORLD",PR!$AM966,IF(K968="MEGA",PR!$AN966,IF(K968="MICRONOVA",PR!$AO966,IF(K968="MFLASH",PR!$AP966,IF(K968="MORISON",PR!$AQ966,IF(K968="NEMEL",PR!$AR966,IF(K968="NHP",PR!$AS966,IF(K968="NHC",PR!$AT966,IF(K968="OLEAF",PR!$AU966,IF(K968="OCULUS",PR!$AV966,IF(K968="PACIFIC",PR!$AW966,IF(K968="PHAMATEX",PR!$AX966,IF(K968="PETHICS",PR!$AY966,IF(K968="PHILIPS",PR!$AZ966,IF(K968="RANBAXY",PR!$BA966,IF(K968="REALS",PR!$BB966,IF(K968="ROYAL",PR!$BC966,IF(K968="SAM",PR!$BD966,IF(K968="SEAGREEN",PR!$BE966,IF(K968="SKG",PR!$BF966,IF(K968="TAH",PR!$BG966,IF(K968="TAYLEK",PR!$BH966,IF(K968="TEMITA",PR!$BI966,IF(K968="THL",PR!$BJ966,IF(K968="UBASTIC",PR!$BK966,IF(K968="UNION",PR!$BL966,IF(K968="UNIQUE",PR!$BM966,IF(K968="VIXA",PR!$BN966,IF(K968="WWCV",PR!$BO966,IF(K968="ZOLON",PR!$BP966,"-")))))))))))))))))))))))))))))))))))))))))))))))))))))))))))))))))</f>
        <v>250</v>
      </c>
    </row>
    <row r="969" spans="1:12" ht="18.75" x14ac:dyDescent="0.3">
      <c r="A969" s="430">
        <f>PR!A967</f>
        <v>871</v>
      </c>
      <c r="B969" s="15" t="str">
        <f>PR!B967</f>
        <v>HARPIC</v>
      </c>
      <c r="C969" s="113" t="str">
        <f>PR!D967</f>
        <v>1 bottle (500MLS)</v>
      </c>
      <c r="D969" s="113">
        <f>PR!C967</f>
        <v>12</v>
      </c>
      <c r="E969" s="108">
        <f>IF(F969="ALPHA",PR!$E967,IF(F969="ASSENE",PR!$F967,IF(F969="BIOFEM",PR!$G967,IF(F969="BIOMED",PR!$H967,IF(F969="CHI",PR!$I967,IF(F969="CLARION",PR!$J967,IF(F969="CODIX",PR!$K967,IF(F969="COSMADE",PR!$L967,IF(F969="SANCON",PR!$M967,IF(F969="DEVON",PR!$N967,IF(F969="DORTEMAG",PR!$O967,IF(F969="DGF",PR!$P967,IF(F969="DYNAMIC",PR!$Q967,IF(F969="EMZOR",PR!$R967,IF(F969="EUMATT",PR!$S967,IF(F969="FIDSON",PR!$T967,IF(F969="FCGLOBAL",PR!$U967,IF(F969="GENEITH",PR!$V967,IF(F969="GINOS",PR!$W967,IF(F969="GSK",PR!$X967,IF(F969="GLOBORG",PR!$Y967,IF(F969="GOODNEWS",PR!$Z967,IF(F969="GREENLIFE",PR!$AA967,IF(F969="HLINE",PR!$AB967,IF(F969="ROTECH",PR!$AC967,IF(F969="ISN",PR!$AD967,IF(F969="JAWA",PR!$AE967,IF(F969="LAYO",PR!$AF967,IF(F969="LEADWAY",PR!$AG967,IF(F969="LHV",PR!$AH967,IF(F969="MANOLA",PR!$AI967,IF(F969="MARCSON",PR!$AJ967,IF(F969="M&amp;B",PR!$AK967,IF(F969="MTRUST",PR!$AL967,IF(F969="MWORLD",PR!$AM967,IF(F969="MEGA",PR!$AN967,IF(F969="MICRONOVA",PR!$AO967,IF(F969="MFLASH",PR!$AP967,IF(F969="MORISON",PR!$AQ967,IF(F969="NEMEL",PR!$AR967,IF(F969="NHP",PR!$AS967,IF(F969="NHC",PR!$AT967,IF(F969="OLEAF",PR!$AU967,IF(F969="OCULUS",PR!$AV967,IF(F969="PACIFIC",PR!$AW967,IF(F969="PHAMATEX",PR!$AX967,IF(F969="PETHICS",PR!$AY967,IF(F969="PHILIPS",PR!$AZ967,IF(F969="RANBAXY",PR!$BA967,IF(F969="REALS",PR!$BB967,IF(F969="ROYAL",PR!$BC967,IF(F969="SAM",PR!$BD967,IF(F969="SEAGREEN",PR!$BE967,IF(F969="SKG",PR!$BF967,IF(F969="TAH",PR!$BG967,IF(F969="TAYLEK",PR!$BH967,IF(F969="TEMITA",PR!$BI967,IF(F969="THL",PR!$BJ967,IF(F969="UBASTIC",PR!$BK967,IF(F969="UNION",PR!$BL967,IF(F969="UNIQUE",PR!$BM967,IF(F969="VIXA",PR!$BN967,IF(F969="WWCV",PR!$BO967,IF(F969="ZOLON",PR!$BP967,"-"))))))))))))))))))))))))))))))))))))))))))))))))))))))))))))))))</f>
        <v>650</v>
      </c>
      <c r="F969" s="102" t="str">
        <f>EV!L1230</f>
        <v>UBASTIC</v>
      </c>
      <c r="G969" s="108">
        <f>IF(H969="ALPHA",PR!$E967,IF(H969="ASSENE",PR!$F967,IF(H969="BIOFEM",PR!$G967,IF(H969="BIOMED",PR!$H967,IF(H969="CHI",PR!$I967,IF(H969="CLARION",PR!$J967,IF(H969="CODIX",PR!$K967,IF(H969="COSMADE",PR!$L967,IF(H969="SANCON",PR!$M967,IF(H969="DEVON",PR!$N967,IF(H969="DORTEMAG",PR!$O967,IF(H969="DGF",PR!$P967,IF(H969="DYNAMIC",PR!$Q967,IF(H969="EMZOR",PR!$R967,IF(H969="EUMATT",PR!$S967,IF(H969="FIDSON",PR!$T967,IF(H969="FCGLOBAL",PR!$U967,IF(H969="GENEITH",PR!$V967,IF(H969="GINOS",PR!$W967,IF(H969="GSK",PR!$X967,IF(H969="GLOBORG",PR!$Y967,IF(H969="GOODNEWS",PR!$Z967,IF(H969="GREENLIFE",PR!$AA967,IF(H969="HLINE",PR!$AB967,IF(H969="ROTECH",PR!$AC967,IF(H969="ISN",PR!$AD967,IF(H969="JAWA",PR!$AE967,IF(H969="LAYO",PR!$AF967,IF(H969="LEADWAY",PR!$AG967,IF(H969="LHV",PR!$AH967,IF(H969="MANOLA",PR!$AI967,IF(H969="MARCSON",PR!$AJ967,IF(H969="M&amp;B",PR!$AK967,IF(H969="MTRUST",PR!$AL967,IF(H969="MWORLD",PR!$AM967,IF(H969="MEGA",PR!$AN967,IF(H969="MICRONOVA",PR!$AO967,IF(H969="MFLASH",PR!$AP967,IF(H969="MORISON",PR!$AQ967,IF(H969="NEMEL",PR!$AR967,IF(H969="NHP",PR!$AS967,IF(H969="NHC",PR!$AT967,IF(H969="OLEAF",PR!$AU967,IF(H969="OCULUS",PR!$AV967,IF(H969="PACIFIC",PR!$AW967,IF(H969="PHAMATEX",PR!$AX967,IF(H969="PETHICS",PR!$AY967,IF(H969="PHILIPS",PR!$AZ967,IF(H969="RANBAXY",PR!$BA967,IF(H969="REALS",PR!$BB967,IF(H969="ROYAL",PR!$BC967,IF(H969="SAM",PR!$BD967,IF(H969="SEAGREEN",PR!$BE967,IF(H969="SKG",PR!$BF967,IF(H969="TAH",PR!$BG967,IF(H969="TAYLEK",PR!$BH967,IF(H969="TEMITA",PR!$BI967,IF(H969="THL",PR!$BJ967,IF(H969="UBASTIC",PR!$BK967,IF(H969="UNION",PR!$BL967,IF(H969="UNIQUE",PR!$BM967,IF(H969="VIXA",PR!$BN967,IF(H969="WWCV",PR!$BO967,IF(H969="ZOLON",PR!$BP967,"-"))))))))))))))))))))))))))))))))))))))))))))))))))))))))))))))))</f>
        <v>715</v>
      </c>
      <c r="H969" s="102" t="str">
        <f>EV!M1230</f>
        <v>LAYO</v>
      </c>
      <c r="I969" s="108">
        <f>IF(J969="ALPHA",PR!$E967,IF(J969="ASSENE",PR!$F967,IF(J969="BIOFEM",PR!$G967,IF(J969="BIOMED",PR!$H967,IF(J969="CHI",PR!$I967,IF(J969="CLARION",PR!$J967,IF(J969="CODIX",PR!$K967,IF(J969="COSMADE",PR!$L967,IF(J969="SANCON",PR!$M967,IF(J969="DEVON",PR!$N967,IF(J969="DORTEMAG",PR!$O967,IF(J969="DGF",PR!$P967,IF(J969="DYNAMIC",PR!$Q967,IF(J969="EMZOR",PR!$R967,IF(J969="EUMATT",PR!$S967,IF(J969="FIDSON",PR!$T967,IF(J969="FCGLOBAL",PR!$U967,IF(J969="GENEITH",PR!$V967,IF(J969="GINOS",PR!$W967,IF(J969="GSK",PR!$X967,IF(J969="GLOBORG",PR!$Y967,IF(J969="GOODNEWS",PR!$Z967,IF(J969="GREENLIFE",PR!$AA967,IF(J969="HLINE",PR!$AB967,IF(J969="ROTECH",PR!$AC967,IF(J969="ISN",PR!$AD967,IF(J969="JAWA",PR!$AE967,IF(J969="LAYO",PR!$AF967,IF(J969="LEADWAY",PR!$AG967,IF(J969="LHV",PR!$AH967,IF(J969="MANOLA",PR!$AI967,IF(J969="MARCSON",PR!$AJ967,IF(J969="M&amp;B",PR!$AK967,IF(J969="MTRUST",PR!$AL967,IF(J969="MWORLD",PR!$AM967,IF(J969="MEGA",PR!$AN967,IF(J969="MICRONOVA",PR!$AO967,IF(J969="MFLASH",PR!$AP967,IF(J969="MORISON",PR!$AQ967,IF(J969="NEMEL",PR!$AR967,IF(J969="NHP",PR!$AS967,IF(J969="NHC",PR!$AT967,IF(J969="OLEAF",PR!$AU967,IF(J969="OCULUS",PR!$AV967,IF(J969="PACIFIC",PR!$AW967,IF(J969="PHAMATEX",PR!$AX967,IF(J969="PETHICS",PR!$AY967,IF(J969="PHILIPS",PR!$AZ967,IF(J969="RANBAXY",PR!$BA967,IF(J969="REALS",PR!$BB967,IF(J969="ROYAL",PR!$BC967,IF(J969="SAM",PR!$BD967,IF(J969="SEAGREEN",PR!$BE967,IF(J969="SKG",PR!$BF967,IF(J969="TAH",PR!$BG967,IF(J969="TAYLEK",PR!$BH967,IF(J969="TEMITA",PR!$BI967,IF(J969="THL",PR!$BJ967,IF(J969="UBASTIC",PR!$BK967,IF(J969="UNION",PR!$BL967,IF(J969="UNIQUE",PR!$BM967,IF(J969="VIXA",PR!$BN967,IF(J969="WWCV",PR!$BO967,IF(J969="ZOLON",PR!$BP967,"-"))))))))))))))))))))))))))))))))))))))))))))))))))))))))))))))))</f>
        <v>850</v>
      </c>
      <c r="J969" s="102" t="str">
        <f>EV!N1230</f>
        <v>SANCON</v>
      </c>
      <c r="K969" s="433" t="s">
        <v>1459</v>
      </c>
      <c r="L969" s="183">
        <f>IF(K969&gt;0,IF(K969="ALPHA",PR!$E967,IF(K969="ASSENE",PR!$F967,IF(K969="BIOFEM",PR!$G967,IF(K969="BIOMED",PR!$H967,IF(K969="CHI",PR!$I967,IF(K969="CLARION",PR!$J967,IF(K969="CODIX",PR!$K967,IF(K969="COSMADE",PR!$L967,IF(K969="SANCON",PR!$M967,IF(K969="DEVON",PR!$N967,IF(K969="DORTEMAG",PR!$O967,IF(K969="DGF",PR!$P967,IF(K969="DYNAMIC",PR!$Q967,IF(K969="EMZOR",PR!$R967,IF(K969="EUMATT",PR!$S967,IF(K969="FIDSON",PR!$T967,IF(K969="FCGLOBAL",PR!$U967,IF(K969="GENEITH",PR!$V967,IF(K969="GINOS",PR!$W967,IF(K969="GSK",PR!$X967,IF(K969="GLOBORG",PR!$Y967,IF(K969="GOODNEWS",PR!$Z967,IF(K969="GREENLIFE",PR!$AA967,IF(K969="HLINE",PR!$AB967,IF(K969="ROTECH",PR!$AC967,IF(K969="ISN",PR!$AD967,IF(K969="JAWA",PR!$AE967,IF(K969="LAYO",PR!$AF967,IF(K969="LEADWAY",PR!$AG967,IF(K969="LHV",PR!$AH967,IF(K969="MANOLA",PR!$AI967,IF(K969="MARCSON",PR!$AJ967,IF(K969="M&amp;B",PR!$AK967,IF(K969="MTRUST",PR!$AL967,IF(K969="MWORLD",PR!$AM967,IF(K969="MEGA",PR!$AN967,IF(K969="MICRONOVA",PR!$AO967,IF(K969="MFLASH",PR!$AP967,IF(K969="MORISON",PR!$AQ967,IF(K969="NEMEL",PR!$AR967,IF(K969="NHP",PR!$AS967,IF(K969="NHC",PR!$AT967,IF(K969="OLEAF",PR!$AU967,IF(K969="OCULUS",PR!$AV967,IF(K969="PACIFIC",PR!$AW967,IF(K969="PHAMATEX",PR!$AX967,IF(K969="PETHICS",PR!$AY967,IF(K969="PHILIPS",PR!$AZ967,IF(K969="RANBAXY",PR!$BA967,IF(K969="REALS",PR!$BB967,IF(K969="ROYAL",PR!$BC967,IF(K969="SAM",PR!$BD967,IF(K969="SEAGREEN",PR!$BE967,IF(K969="SKG",PR!$BF967,IF(K969="TAH",PR!$BG967,IF(K969="TAYLEK",PR!$BH967,IF(K969="TEMITA",PR!$BI967,IF(K969="THL",PR!$BJ967,IF(K969="UBASTIC",PR!$BK967,IF(K969="UNION",PR!$BL967,IF(K969="UNIQUE",PR!$BM967,IF(K969="VIXA",PR!$BN967,IF(K969="WWCV",PR!$BO967,IF(K969="ZOLON",PR!$BP967,"-")))))))))))))))))))))))))))))))))))))))))))))))))))))))))))))))))</f>
        <v>650</v>
      </c>
    </row>
    <row r="970" spans="1:12" ht="18.75" x14ac:dyDescent="0.3">
      <c r="A970" s="430">
        <f>PR!A968</f>
        <v>872</v>
      </c>
      <c r="B970" s="15" t="str">
        <f>PR!B968</f>
        <v>I P A ALCOHOL</v>
      </c>
      <c r="C970" s="113" t="str">
        <f>PR!D968</f>
        <v>1 Drum (200 LTRS</v>
      </c>
      <c r="D970" s="113">
        <f>PR!C968</f>
        <v>2</v>
      </c>
      <c r="E970" s="108">
        <f>IF(F970="ALPHA",PR!$E968,IF(F970="ASSENE",PR!$F968,IF(F970="BIOFEM",PR!$G968,IF(F970="BIOMED",PR!$H968,IF(F970="CHI",PR!$I968,IF(F970="CLARION",PR!$J968,IF(F970="CODIX",PR!$K968,IF(F970="COSMADE",PR!$L968,IF(F970="SANCON",PR!$M968,IF(F970="DEVON",PR!$N968,IF(F970="DORTEMAG",PR!$O968,IF(F970="DGF",PR!$P968,IF(F970="DYNAMIC",PR!$Q968,IF(F970="EMZOR",PR!$R968,IF(F970="EUMATT",PR!$S968,IF(F970="FIDSON",PR!$T968,IF(F970="FCGLOBAL",PR!$U968,IF(F970="GENEITH",PR!$V968,IF(F970="GINOS",PR!$W968,IF(F970="GSK",PR!$X968,IF(F970="GLOBORG",PR!$Y968,IF(F970="GOODNEWS",PR!$Z968,IF(F970="GREENLIFE",PR!$AA968,IF(F970="HLINE",PR!$AB968,IF(F970="ROTECH",PR!$AC968,IF(F970="ISN",PR!$AD968,IF(F970="JAWA",PR!$AE968,IF(F970="LAYO",PR!$AF968,IF(F970="LEADWAY",PR!$AG968,IF(F970="LHV",PR!$AH968,IF(F970="MANOLA",PR!$AI968,IF(F970="MARCSON",PR!$AJ968,IF(F970="M&amp;B",PR!$AK968,IF(F970="MTRUST",PR!$AL968,IF(F970="MWORLD",PR!$AM968,IF(F970="MEGA",PR!$AN968,IF(F970="MICRONOVA",PR!$AO968,IF(F970="MFLASH",PR!$AP968,IF(F970="MORISON",PR!$AQ968,IF(F970="NEMEL",PR!$AR968,IF(F970="NHP",PR!$AS968,IF(F970="NHC",PR!$AT968,IF(F970="OLEAF",PR!$AU968,IF(F970="OCULUS",PR!$AV968,IF(F970="PACIFIC",PR!$AW968,IF(F970="PHAMATEX",PR!$AX968,IF(F970="PETHICS",PR!$AY968,IF(F970="PHILIPS",PR!$AZ968,IF(F970="RANBAXY",PR!$BA968,IF(F970="REALS",PR!$BB968,IF(F970="ROYAL",PR!$BC968,IF(F970="SAM",PR!$BD968,IF(F970="SEAGREEN",PR!$BE968,IF(F970="SKG",PR!$BF968,IF(F970="TAH",PR!$BG968,IF(F970="TAYLEK",PR!$BH968,IF(F970="TEMITA",PR!$BI968,IF(F970="THL",PR!$BJ968,IF(F970="UBASTIC",PR!$BK968,IF(F970="UNION",PR!$BL968,IF(F970="UNIQUE",PR!$BM968,IF(F970="VIXA",PR!$BN968,IF(F970="WWCV",PR!$BO968,IF(F970="ZOLON",PR!$BP968,"-"))))))))))))))))))))))))))))))))))))))))))))))))))))))))))))))))</f>
        <v>120000</v>
      </c>
      <c r="F970" s="102" t="str">
        <f>EV!L1231</f>
        <v>SANCON</v>
      </c>
      <c r="G970" s="108">
        <f>IF(H970="ALPHA",PR!$E968,IF(H970="ASSENE",PR!$F968,IF(H970="BIOFEM",PR!$G968,IF(H970="BIOMED",PR!$H968,IF(H970="CHI",PR!$I968,IF(H970="CLARION",PR!$J968,IF(H970="CODIX",PR!$K968,IF(H970="COSMADE",PR!$L968,IF(H970="SANCON",PR!$M968,IF(H970="DEVON",PR!$N968,IF(H970="DORTEMAG",PR!$O968,IF(H970="DGF",PR!$P968,IF(H970="DYNAMIC",PR!$Q968,IF(H970="EMZOR",PR!$R968,IF(H970="EUMATT",PR!$S968,IF(H970="FIDSON",PR!$T968,IF(H970="FCGLOBAL",PR!$U968,IF(H970="GENEITH",PR!$V968,IF(H970="GINOS",PR!$W968,IF(H970="GSK",PR!$X968,IF(H970="GLOBORG",PR!$Y968,IF(H970="GOODNEWS",PR!$Z968,IF(H970="GREENLIFE",PR!$AA968,IF(H970="HLINE",PR!$AB968,IF(H970="ROTECH",PR!$AC968,IF(H970="ISN",PR!$AD968,IF(H970="JAWA",PR!$AE968,IF(H970="LAYO",PR!$AF968,IF(H970="LEADWAY",PR!$AG968,IF(H970="LHV",PR!$AH968,IF(H970="MANOLA",PR!$AI968,IF(H970="MARCSON",PR!$AJ968,IF(H970="M&amp;B",PR!$AK968,IF(H970="MTRUST",PR!$AL968,IF(H970="MWORLD",PR!$AM968,IF(H970="MEGA",PR!$AN968,IF(H970="MICRONOVA",PR!$AO968,IF(H970="MFLASH",PR!$AP968,IF(H970="MORISON",PR!$AQ968,IF(H970="NEMEL",PR!$AR968,IF(H970="NHP",PR!$AS968,IF(H970="NHC",PR!$AT968,IF(H970="OLEAF",PR!$AU968,IF(H970="OCULUS",PR!$AV968,IF(H970="PACIFIC",PR!$AW968,IF(H970="PHAMATEX",PR!$AX968,IF(H970="PETHICS",PR!$AY968,IF(H970="PHILIPS",PR!$AZ968,IF(H970="RANBAXY",PR!$BA968,IF(H970="REALS",PR!$BB968,IF(H970="ROYAL",PR!$BC968,IF(H970="SAM",PR!$BD968,IF(H970="SEAGREEN",PR!$BE968,IF(H970="SKG",PR!$BF968,IF(H970="TAH",PR!$BG968,IF(H970="TAYLEK",PR!$BH968,IF(H970="TEMITA",PR!$BI968,IF(H970="THL",PR!$BJ968,IF(H970="UBASTIC",PR!$BK968,IF(H970="UNION",PR!$BL968,IF(H970="UNIQUE",PR!$BM968,IF(H970="VIXA",PR!$BN968,IF(H970="WWCV",PR!$BO968,IF(H970="ZOLON",PR!$BP968,"-"))))))))))))))))))))))))))))))))))))))))))))))))))))))))))))))))</f>
        <v>122000</v>
      </c>
      <c r="H970" s="102" t="str">
        <f>EV!M1231</f>
        <v>TEMITA</v>
      </c>
      <c r="I970" s="108">
        <f>IF(J970="ALPHA",PR!$E968,IF(J970="ASSENE",PR!$F968,IF(J970="BIOFEM",PR!$G968,IF(J970="BIOMED",PR!$H968,IF(J970="CHI",PR!$I968,IF(J970="CLARION",PR!$J968,IF(J970="CODIX",PR!$K968,IF(J970="COSMADE",PR!$L968,IF(J970="SANCON",PR!$M968,IF(J970="DEVON",PR!$N968,IF(J970="DORTEMAG",PR!$O968,IF(J970="DGF",PR!$P968,IF(J970="DYNAMIC",PR!$Q968,IF(J970="EMZOR",PR!$R968,IF(J970="EUMATT",PR!$S968,IF(J970="FIDSON",PR!$T968,IF(J970="FCGLOBAL",PR!$U968,IF(J970="GENEITH",PR!$V968,IF(J970="GINOS",PR!$W968,IF(J970="GSK",PR!$X968,IF(J970="GLOBORG",PR!$Y968,IF(J970="GOODNEWS",PR!$Z968,IF(J970="GREENLIFE",PR!$AA968,IF(J970="HLINE",PR!$AB968,IF(J970="ROTECH",PR!$AC968,IF(J970="ISN",PR!$AD968,IF(J970="JAWA",PR!$AE968,IF(J970="LAYO",PR!$AF968,IF(J970="LEADWAY",PR!$AG968,IF(J970="LHV",PR!$AH968,IF(J970="MANOLA",PR!$AI968,IF(J970="MARCSON",PR!$AJ968,IF(J970="M&amp;B",PR!$AK968,IF(J970="MTRUST",PR!$AL968,IF(J970="MWORLD",PR!$AM968,IF(J970="MEGA",PR!$AN968,IF(J970="MICRONOVA",PR!$AO968,IF(J970="MFLASH",PR!$AP968,IF(J970="MORISON",PR!$AQ968,IF(J970="NEMEL",PR!$AR968,IF(J970="NHP",PR!$AS968,IF(J970="NHC",PR!$AT968,IF(J970="OLEAF",PR!$AU968,IF(J970="OCULUS",PR!$AV968,IF(J970="PACIFIC",PR!$AW968,IF(J970="PHAMATEX",PR!$AX968,IF(J970="PETHICS",PR!$AY968,IF(J970="PHILIPS",PR!$AZ968,IF(J970="RANBAXY",PR!$BA968,IF(J970="REALS",PR!$BB968,IF(J970="ROYAL",PR!$BC968,IF(J970="SAM",PR!$BD968,IF(J970="SEAGREEN",PR!$BE968,IF(J970="SKG",PR!$BF968,IF(J970="TAH",PR!$BG968,IF(J970="TAYLEK",PR!$BH968,IF(J970="TEMITA",PR!$BI968,IF(J970="THL",PR!$BJ968,IF(J970="UBASTIC",PR!$BK968,IF(J970="UNION",PR!$BL968,IF(J970="UNIQUE",PR!$BM968,IF(J970="VIXA",PR!$BN968,IF(J970="WWCV",PR!$BO968,IF(J970="ZOLON",PR!$BP968,"-"))))))))))))))))))))))))))))))))))))))))))))))))))))))))))))))))</f>
        <v>165000</v>
      </c>
      <c r="J970" s="102" t="str">
        <f>EV!N1231</f>
        <v>UBASTIC</v>
      </c>
      <c r="K970" s="433" t="s">
        <v>817</v>
      </c>
      <c r="L970" s="183">
        <f>IF(K970&gt;0,IF(K970="ALPHA",PR!$E968,IF(K970="ASSENE",PR!$F968,IF(K970="BIOFEM",PR!$G968,IF(K970="BIOMED",PR!$H968,IF(K970="CHI",PR!$I968,IF(K970="CLARION",PR!$J968,IF(K970="CODIX",PR!$K968,IF(K970="COSMADE",PR!$L968,IF(K970="SANCON",PR!$M968,IF(K970="DEVON",PR!$N968,IF(K970="DORTEMAG",PR!$O968,IF(K970="DGF",PR!$P968,IF(K970="DYNAMIC",PR!$Q968,IF(K970="EMZOR",PR!$R968,IF(K970="EUMATT",PR!$S968,IF(K970="FIDSON",PR!$T968,IF(K970="FCGLOBAL",PR!$U968,IF(K970="GENEITH",PR!$V968,IF(K970="GINOS",PR!$W968,IF(K970="GSK",PR!$X968,IF(K970="GLOBORG",PR!$Y968,IF(K970="GOODNEWS",PR!$Z968,IF(K970="GREENLIFE",PR!$AA968,IF(K970="HLINE",PR!$AB968,IF(K970="ROTECH",PR!$AC968,IF(K970="ISN",PR!$AD968,IF(K970="JAWA",PR!$AE968,IF(K970="LAYO",PR!$AF968,IF(K970="LEADWAY",PR!$AG968,IF(K970="LHV",PR!$AH968,IF(K970="MANOLA",PR!$AI968,IF(K970="MARCSON",PR!$AJ968,IF(K970="M&amp;B",PR!$AK968,IF(K970="MTRUST",PR!$AL968,IF(K970="MWORLD",PR!$AM968,IF(K970="MEGA",PR!$AN968,IF(K970="MICRONOVA",PR!$AO968,IF(K970="MFLASH",PR!$AP968,IF(K970="MORISON",PR!$AQ968,IF(K970="NEMEL",PR!$AR968,IF(K970="NHP",PR!$AS968,IF(K970="NHC",PR!$AT968,IF(K970="OLEAF",PR!$AU968,IF(K970="OCULUS",PR!$AV968,IF(K970="PACIFIC",PR!$AW968,IF(K970="PHAMATEX",PR!$AX968,IF(K970="PETHICS",PR!$AY968,IF(K970="PHILIPS",PR!$AZ968,IF(K970="RANBAXY",PR!$BA968,IF(K970="REALS",PR!$BB968,IF(K970="ROYAL",PR!$BC968,IF(K970="SAM",PR!$BD968,IF(K970="SEAGREEN",PR!$BE968,IF(K970="SKG",PR!$BF968,IF(K970="TAH",PR!$BG968,IF(K970="TAYLEK",PR!$BH968,IF(K970="TEMITA",PR!$BI968,IF(K970="THL",PR!$BJ968,IF(K970="UBASTIC",PR!$BK968,IF(K970="UNION",PR!$BL968,IF(K970="UNIQUE",PR!$BM968,IF(K970="VIXA",PR!$BN968,IF(K970="WWCV",PR!$BO968,IF(K970="ZOLON",PR!$BP968,"-")))))))))))))))))))))))))))))))))))))))))))))))))))))))))))))))))</f>
        <v>120000</v>
      </c>
    </row>
    <row r="971" spans="1:12" ht="18.75" x14ac:dyDescent="0.3">
      <c r="A971" s="430">
        <f>PR!A969</f>
        <v>873</v>
      </c>
      <c r="B971" s="15" t="str">
        <f>PR!B969</f>
        <v>IRON SPONGE</v>
      </c>
      <c r="C971" s="113" t="str">
        <f>PR!D969</f>
        <v>1 piece</v>
      </c>
      <c r="D971" s="113">
        <f>PR!C969</f>
        <v>6</v>
      </c>
      <c r="E971" s="108">
        <f>IF(F971="ALPHA",PR!$E969,IF(F971="ASSENE",PR!$F969,IF(F971="BIOFEM",PR!$G969,IF(F971="BIOMED",PR!$H969,IF(F971="CHI",PR!$I969,IF(F971="CLARION",PR!$J969,IF(F971="CODIX",PR!$K969,IF(F971="COSMADE",PR!$L969,IF(F971="SANCON",PR!$M969,IF(F971="DEVON",PR!$N969,IF(F971="DORTEMAG",PR!$O969,IF(F971="DGF",PR!$P969,IF(F971="DYNAMIC",PR!$Q969,IF(F971="EMZOR",PR!$R969,IF(F971="EUMATT",PR!$S969,IF(F971="FIDSON",PR!$T969,IF(F971="FCGLOBAL",PR!$U969,IF(F971="GENEITH",PR!$V969,IF(F971="GINOS",PR!$W969,IF(F971="GSK",PR!$X969,IF(F971="GLOBORG",PR!$Y969,IF(F971="GOODNEWS",PR!$Z969,IF(F971="GREENLIFE",PR!$AA969,IF(F971="HLINE",PR!$AB969,IF(F971="ROTECH",PR!$AC969,IF(F971="ISN",PR!$AD969,IF(F971="JAWA",PR!$AE969,IF(F971="LAYO",PR!$AF969,IF(F971="LEADWAY",PR!$AG969,IF(F971="LHV",PR!$AH969,IF(F971="MANOLA",PR!$AI969,IF(F971="MARCSON",PR!$AJ969,IF(F971="M&amp;B",PR!$AK969,IF(F971="MTRUST",PR!$AL969,IF(F971="MWORLD",PR!$AM969,IF(F971="MEGA",PR!$AN969,IF(F971="MICRONOVA",PR!$AO969,IF(F971="MFLASH",PR!$AP969,IF(F971="MORISON",PR!$AQ969,IF(F971="NEMEL",PR!$AR969,IF(F971="NHP",PR!$AS969,IF(F971="NHC",PR!$AT969,IF(F971="OLEAF",PR!$AU969,IF(F971="OCULUS",PR!$AV969,IF(F971="PACIFIC",PR!$AW969,IF(F971="PHAMATEX",PR!$AX969,IF(F971="PETHICS",PR!$AY969,IF(F971="PHILIPS",PR!$AZ969,IF(F971="RANBAXY",PR!$BA969,IF(F971="REALS",PR!$BB969,IF(F971="ROYAL",PR!$BC969,IF(F971="SAM",PR!$BD969,IF(F971="SEAGREEN",PR!$BE969,IF(F971="SKG",PR!$BF969,IF(F971="TAH",PR!$BG969,IF(F971="TAYLEK",PR!$BH969,IF(F971="TEMITA",PR!$BI969,IF(F971="THL",PR!$BJ969,IF(F971="UBASTIC",PR!$BK969,IF(F971="UNION",PR!$BL969,IF(F971="UNIQUE",PR!$BM969,IF(F971="VIXA",PR!$BN969,IF(F971="WWCV",PR!$BO969,IF(F971="ZOLON",PR!$BP969,"-"))))))))))))))))))))))))))))))))))))))))))))))))))))))))))))))))</f>
        <v>50</v>
      </c>
      <c r="F971" s="102" t="str">
        <f>EV!L1232</f>
        <v>UBASTIC</v>
      </c>
      <c r="G971" s="108">
        <f>IF(H971="ALPHA",PR!$E969,IF(H971="ASSENE",PR!$F969,IF(H971="BIOFEM",PR!$G969,IF(H971="BIOMED",PR!$H969,IF(H971="CHI",PR!$I969,IF(H971="CLARION",PR!$J969,IF(H971="CODIX",PR!$K969,IF(H971="COSMADE",PR!$L969,IF(H971="SANCON",PR!$M969,IF(H971="DEVON",PR!$N969,IF(H971="DORTEMAG",PR!$O969,IF(H971="DGF",PR!$P969,IF(H971="DYNAMIC",PR!$Q969,IF(H971="EMZOR",PR!$R969,IF(H971="EUMATT",PR!$S969,IF(H971="FIDSON",PR!$T969,IF(H971="FCGLOBAL",PR!$U969,IF(H971="GENEITH",PR!$V969,IF(H971="GINOS",PR!$W969,IF(H971="GSK",PR!$X969,IF(H971="GLOBORG",PR!$Y969,IF(H971="GOODNEWS",PR!$Z969,IF(H971="GREENLIFE",PR!$AA969,IF(H971="HLINE",PR!$AB969,IF(H971="ROTECH",PR!$AC969,IF(H971="ISN",PR!$AD969,IF(H971="JAWA",PR!$AE969,IF(H971="LAYO",PR!$AF969,IF(H971="LEADWAY",PR!$AG969,IF(H971="LHV",PR!$AH969,IF(H971="MANOLA",PR!$AI969,IF(H971="MARCSON",PR!$AJ969,IF(H971="M&amp;B",PR!$AK969,IF(H971="MTRUST",PR!$AL969,IF(H971="MWORLD",PR!$AM969,IF(H971="MEGA",PR!$AN969,IF(H971="MICRONOVA",PR!$AO969,IF(H971="MFLASH",PR!$AP969,IF(H971="MORISON",PR!$AQ969,IF(H971="NEMEL",PR!$AR969,IF(H971="NHP",PR!$AS969,IF(H971="NHC",PR!$AT969,IF(H971="OLEAF",PR!$AU969,IF(H971="OCULUS",PR!$AV969,IF(H971="PACIFIC",PR!$AW969,IF(H971="PHAMATEX",PR!$AX969,IF(H971="PETHICS",PR!$AY969,IF(H971="PHILIPS",PR!$AZ969,IF(H971="RANBAXY",PR!$BA969,IF(H971="REALS",PR!$BB969,IF(H971="ROYAL",PR!$BC969,IF(H971="SAM",PR!$BD969,IF(H971="SEAGREEN",PR!$BE969,IF(H971="SKG",PR!$BF969,IF(H971="TAH",PR!$BG969,IF(H971="TAYLEK",PR!$BH969,IF(H971="TEMITA",PR!$BI969,IF(H971="THL",PR!$BJ969,IF(H971="UBASTIC",PR!$BK969,IF(H971="UNION",PR!$BL969,IF(H971="UNIQUE",PR!$BM969,IF(H971="VIXA",PR!$BN969,IF(H971="WWCV",PR!$BO969,IF(H971="ZOLON",PR!$BP969,"-"))))))))))))))))))))))))))))))))))))))))))))))))))))))))))))))))</f>
        <v>65</v>
      </c>
      <c r="H971" s="102" t="str">
        <f>EV!M1232</f>
        <v>LAYO</v>
      </c>
      <c r="I971" s="108">
        <f>IF(J971="ALPHA",PR!$E969,IF(J971="ASSENE",PR!$F969,IF(J971="BIOFEM",PR!$G969,IF(J971="BIOMED",PR!$H969,IF(J971="CHI",PR!$I969,IF(J971="CLARION",PR!$J969,IF(J971="CODIX",PR!$K969,IF(J971="COSMADE",PR!$L969,IF(J971="SANCON",PR!$M969,IF(J971="DEVON",PR!$N969,IF(J971="DORTEMAG",PR!$O969,IF(J971="DGF",PR!$P969,IF(J971="DYNAMIC",PR!$Q969,IF(J971="EMZOR",PR!$R969,IF(J971="EUMATT",PR!$S969,IF(J971="FIDSON",PR!$T969,IF(J971="FCGLOBAL",PR!$U969,IF(J971="GENEITH",PR!$V969,IF(J971="GINOS",PR!$W969,IF(J971="GSK",PR!$X969,IF(J971="GLOBORG",PR!$Y969,IF(J971="GOODNEWS",PR!$Z969,IF(J971="GREENLIFE",PR!$AA969,IF(J971="HLINE",PR!$AB969,IF(J971="ROTECH",PR!$AC969,IF(J971="ISN",PR!$AD969,IF(J971="JAWA",PR!$AE969,IF(J971="LAYO",PR!$AF969,IF(J971="LEADWAY",PR!$AG969,IF(J971="LHV",PR!$AH969,IF(J971="MANOLA",PR!$AI969,IF(J971="MARCSON",PR!$AJ969,IF(J971="M&amp;B",PR!$AK969,IF(J971="MTRUST",PR!$AL969,IF(J971="MWORLD",PR!$AM969,IF(J971="MEGA",PR!$AN969,IF(J971="MICRONOVA",PR!$AO969,IF(J971="MFLASH",PR!$AP969,IF(J971="MORISON",PR!$AQ969,IF(J971="NEMEL",PR!$AR969,IF(J971="NHP",PR!$AS969,IF(J971="NHC",PR!$AT969,IF(J971="OLEAF",PR!$AU969,IF(J971="OCULUS",PR!$AV969,IF(J971="PACIFIC",PR!$AW969,IF(J971="PHAMATEX",PR!$AX969,IF(J971="PETHICS",PR!$AY969,IF(J971="PHILIPS",PR!$AZ969,IF(J971="RANBAXY",PR!$BA969,IF(J971="REALS",PR!$BB969,IF(J971="ROYAL",PR!$BC969,IF(J971="SAM",PR!$BD969,IF(J971="SEAGREEN",PR!$BE969,IF(J971="SKG",PR!$BF969,IF(J971="TAH",PR!$BG969,IF(J971="TAYLEK",PR!$BH969,IF(J971="TEMITA",PR!$BI969,IF(J971="THL",PR!$BJ969,IF(J971="UBASTIC",PR!$BK969,IF(J971="UNION",PR!$BL969,IF(J971="UNIQUE",PR!$BM969,IF(J971="VIXA",PR!$BN969,IF(J971="WWCV",PR!$BO969,IF(J971="ZOLON",PR!$BP969,"-"))))))))))))))))))))))))))))))))))))))))))))))))))))))))))))))))</f>
        <v>300</v>
      </c>
      <c r="J971" s="102" t="str">
        <f>EV!N1232</f>
        <v>SANCON</v>
      </c>
      <c r="K971" s="433" t="s">
        <v>1459</v>
      </c>
      <c r="L971" s="183">
        <f>IF(K971&gt;0,IF(K971="ALPHA",PR!$E969,IF(K971="ASSENE",PR!$F969,IF(K971="BIOFEM",PR!$G969,IF(K971="BIOMED",PR!$H969,IF(K971="CHI",PR!$I969,IF(K971="CLARION",PR!$J969,IF(K971="CODIX",PR!$K969,IF(K971="COSMADE",PR!$L969,IF(K971="SANCON",PR!$M969,IF(K971="DEVON",PR!$N969,IF(K971="DORTEMAG",PR!$O969,IF(K971="DGF",PR!$P969,IF(K971="DYNAMIC",PR!$Q969,IF(K971="EMZOR",PR!$R969,IF(K971="EUMATT",PR!$S969,IF(K971="FIDSON",PR!$T969,IF(K971="FCGLOBAL",PR!$U969,IF(K971="GENEITH",PR!$V969,IF(K971="GINOS",PR!$W969,IF(K971="GSK",PR!$X969,IF(K971="GLOBORG",PR!$Y969,IF(K971="GOODNEWS",PR!$Z969,IF(K971="GREENLIFE",PR!$AA969,IF(K971="HLINE",PR!$AB969,IF(K971="ROTECH",PR!$AC969,IF(K971="ISN",PR!$AD969,IF(K971="JAWA",PR!$AE969,IF(K971="LAYO",PR!$AF969,IF(K971="LEADWAY",PR!$AG969,IF(K971="LHV",PR!$AH969,IF(K971="MANOLA",PR!$AI969,IF(K971="MARCSON",PR!$AJ969,IF(K971="M&amp;B",PR!$AK969,IF(K971="MTRUST",PR!$AL969,IF(K971="MWORLD",PR!$AM969,IF(K971="MEGA",PR!$AN969,IF(K971="MICRONOVA",PR!$AO969,IF(K971="MFLASH",PR!$AP969,IF(K971="MORISON",PR!$AQ969,IF(K971="NEMEL",PR!$AR969,IF(K971="NHP",PR!$AS969,IF(K971="NHC",PR!$AT969,IF(K971="OLEAF",PR!$AU969,IF(K971="OCULUS",PR!$AV969,IF(K971="PACIFIC",PR!$AW969,IF(K971="PHAMATEX",PR!$AX969,IF(K971="PETHICS",PR!$AY969,IF(K971="PHILIPS",PR!$AZ969,IF(K971="RANBAXY",PR!$BA969,IF(K971="REALS",PR!$BB969,IF(K971="ROYAL",PR!$BC969,IF(K971="SAM",PR!$BD969,IF(K971="SEAGREEN",PR!$BE969,IF(K971="SKG",PR!$BF969,IF(K971="TAH",PR!$BG969,IF(K971="TAYLEK",PR!$BH969,IF(K971="TEMITA",PR!$BI969,IF(K971="THL",PR!$BJ969,IF(K971="UBASTIC",PR!$BK969,IF(K971="UNION",PR!$BL969,IF(K971="UNIQUE",PR!$BM969,IF(K971="VIXA",PR!$BN969,IF(K971="WWCV",PR!$BO969,IF(K971="ZOLON",PR!$BP969,"-")))))))))))))))))))))))))))))))))))))))))))))))))))))))))))))))))</f>
        <v>50</v>
      </c>
    </row>
    <row r="972" spans="1:12" ht="18.75" x14ac:dyDescent="0.3">
      <c r="A972" s="430">
        <f>PR!A970</f>
        <v>874</v>
      </c>
      <c r="B972" s="15" t="str">
        <f>PR!B970</f>
        <v>POTASSIUM ALUM</v>
      </c>
      <c r="C972" s="113" t="str">
        <f>PR!D970</f>
        <v>1 bottle (500g)</v>
      </c>
      <c r="D972" s="113">
        <f>PR!C970</f>
        <v>1</v>
      </c>
      <c r="E972" s="108">
        <f>IF(F972="ALPHA",PR!$E970,IF(F972="ASSENE",PR!$F970,IF(F972="BIOFEM",PR!$G970,IF(F972="BIOMED",PR!$H970,IF(F972="CHI",PR!$I970,IF(F972="CLARION",PR!$J970,IF(F972="CODIX",PR!$K970,IF(F972="COSMADE",PR!$L970,IF(F972="SANCON",PR!$M970,IF(F972="DEVON",PR!$N970,IF(F972="DORTEMAG",PR!$O970,IF(F972="DGF",PR!$P970,IF(F972="DYNAMIC",PR!$Q970,IF(F972="EMZOR",PR!$R970,IF(F972="EUMATT",PR!$S970,IF(F972="FIDSON",PR!$T970,IF(F972="FCGLOBAL",PR!$U970,IF(F972="GENEITH",PR!$V970,IF(F972="GINOS",PR!$W970,IF(F972="GSK",PR!$X970,IF(F972="GLOBORG",PR!$Y970,IF(F972="GOODNEWS",PR!$Z970,IF(F972="GREENLIFE",PR!$AA970,IF(F972="HLINE",PR!$AB970,IF(F972="ROTECH",PR!$AC970,IF(F972="ISN",PR!$AD970,IF(F972="JAWA",PR!$AE970,IF(F972="LAYO",PR!$AF970,IF(F972="LEADWAY",PR!$AG970,IF(F972="LHV",PR!$AH970,IF(F972="MANOLA",PR!$AI970,IF(F972="MARCSON",PR!$AJ970,IF(F972="M&amp;B",PR!$AK970,IF(F972="MTRUST",PR!$AL970,IF(F972="MWORLD",PR!$AM970,IF(F972="MEGA",PR!$AN970,IF(F972="MICRONOVA",PR!$AO970,IF(F972="MFLASH",PR!$AP970,IF(F972="MORISON",PR!$AQ970,IF(F972="NEMEL",PR!$AR970,IF(F972="NHP",PR!$AS970,IF(F972="NHC",PR!$AT970,IF(F972="OLEAF",PR!$AU970,IF(F972="OCULUS",PR!$AV970,IF(F972="PACIFIC",PR!$AW970,IF(F972="PHAMATEX",PR!$AX970,IF(F972="PETHICS",PR!$AY970,IF(F972="PHILIPS",PR!$AZ970,IF(F972="RANBAXY",PR!$BA970,IF(F972="REALS",PR!$BB970,IF(F972="ROYAL",PR!$BC970,IF(F972="SAM",PR!$BD970,IF(F972="SEAGREEN",PR!$BE970,IF(F972="SKG",PR!$BF970,IF(F972="TAH",PR!$BG970,IF(F972="TAYLEK",PR!$BH970,IF(F972="TEMITA",PR!$BI970,IF(F972="THL",PR!$BJ970,IF(F972="UBASTIC",PR!$BK970,IF(F972="UNION",PR!$BL970,IF(F972="UNIQUE",PR!$BM970,IF(F972="VIXA",PR!$BN970,IF(F972="WWCV",PR!$BO970,IF(F972="ZOLON",PR!$BP970,"-"))))))))))))))))))))))))))))))))))))))))))))))))))))))))))))))))</f>
        <v>5000</v>
      </c>
      <c r="F972" s="102" t="str">
        <f>EV!L1233</f>
        <v>SANCON</v>
      </c>
      <c r="G972" s="108">
        <f>IF(H972="ALPHA",PR!$E970,IF(H972="ASSENE",PR!$F970,IF(H972="BIOFEM",PR!$G970,IF(H972="BIOMED",PR!$H970,IF(H972="CHI",PR!$I970,IF(H972="CLARION",PR!$J970,IF(H972="CODIX",PR!$K970,IF(H972="COSMADE",PR!$L970,IF(H972="SANCON",PR!$M970,IF(H972="DEVON",PR!$N970,IF(H972="DORTEMAG",PR!$O970,IF(H972="DGF",PR!$P970,IF(H972="DYNAMIC",PR!$Q970,IF(H972="EMZOR",PR!$R970,IF(H972="EUMATT",PR!$S970,IF(H972="FIDSON",PR!$T970,IF(H972="FCGLOBAL",PR!$U970,IF(H972="GENEITH",PR!$V970,IF(H972="GINOS",PR!$W970,IF(H972="GSK",PR!$X970,IF(H972="GLOBORG",PR!$Y970,IF(H972="GOODNEWS",PR!$Z970,IF(H972="GREENLIFE",PR!$AA970,IF(H972="HLINE",PR!$AB970,IF(H972="ROTECH",PR!$AC970,IF(H972="ISN",PR!$AD970,IF(H972="JAWA",PR!$AE970,IF(H972="LAYO",PR!$AF970,IF(H972="LEADWAY",PR!$AG970,IF(H972="LHV",PR!$AH970,IF(H972="MANOLA",PR!$AI970,IF(H972="MARCSON",PR!$AJ970,IF(H972="M&amp;B",PR!$AK970,IF(H972="MTRUST",PR!$AL970,IF(H972="MWORLD",PR!$AM970,IF(H972="MEGA",PR!$AN970,IF(H972="MICRONOVA",PR!$AO970,IF(H972="MFLASH",PR!$AP970,IF(H972="MORISON",PR!$AQ970,IF(H972="NEMEL",PR!$AR970,IF(H972="NHP",PR!$AS970,IF(H972="NHC",PR!$AT970,IF(H972="OLEAF",PR!$AU970,IF(H972="OCULUS",PR!$AV970,IF(H972="PACIFIC",PR!$AW970,IF(H972="PHAMATEX",PR!$AX970,IF(H972="PETHICS",PR!$AY970,IF(H972="PHILIPS",PR!$AZ970,IF(H972="RANBAXY",PR!$BA970,IF(H972="REALS",PR!$BB970,IF(H972="ROYAL",PR!$BC970,IF(H972="SAM",PR!$BD970,IF(H972="SEAGREEN",PR!$BE970,IF(H972="SKG",PR!$BF970,IF(H972="TAH",PR!$BG970,IF(H972="TAYLEK",PR!$BH970,IF(H972="TEMITA",PR!$BI970,IF(H972="THL",PR!$BJ970,IF(H972="UBASTIC",PR!$BK970,IF(H972="UNION",PR!$BL970,IF(H972="UNIQUE",PR!$BM970,IF(H972="VIXA",PR!$BN970,IF(H972="WWCV",PR!$BO970,IF(H972="ZOLON",PR!$BP970,"-"))))))))))))))))))))))))))))))))))))))))))))))))))))))))))))))))</f>
        <v>5625</v>
      </c>
      <c r="H972" s="102" t="str">
        <f>EV!M1233</f>
        <v>DYNAMIC</v>
      </c>
      <c r="I972" s="108">
        <f>IF(J972="ALPHA",PR!$E970,IF(J972="ASSENE",PR!$F970,IF(J972="BIOFEM",PR!$G970,IF(J972="BIOMED",PR!$H970,IF(J972="CHI",PR!$I970,IF(J972="CLARION",PR!$J970,IF(J972="CODIX",PR!$K970,IF(J972="COSMADE",PR!$L970,IF(J972="SANCON",PR!$M970,IF(J972="DEVON",PR!$N970,IF(J972="DORTEMAG",PR!$O970,IF(J972="DGF",PR!$P970,IF(J972="DYNAMIC",PR!$Q970,IF(J972="EMZOR",PR!$R970,IF(J972="EUMATT",PR!$S970,IF(J972="FIDSON",PR!$T970,IF(J972="FCGLOBAL",PR!$U970,IF(J972="GENEITH",PR!$V970,IF(J972="GINOS",PR!$W970,IF(J972="GSK",PR!$X970,IF(J972="GLOBORG",PR!$Y970,IF(J972="GOODNEWS",PR!$Z970,IF(J972="GREENLIFE",PR!$AA970,IF(J972="HLINE",PR!$AB970,IF(J972="ROTECH",PR!$AC970,IF(J972="ISN",PR!$AD970,IF(J972="JAWA",PR!$AE970,IF(J972="LAYO",PR!$AF970,IF(J972="LEADWAY",PR!$AG970,IF(J972="LHV",PR!$AH970,IF(J972="MANOLA",PR!$AI970,IF(J972="MARCSON",PR!$AJ970,IF(J972="M&amp;B",PR!$AK970,IF(J972="MTRUST",PR!$AL970,IF(J972="MWORLD",PR!$AM970,IF(J972="MEGA",PR!$AN970,IF(J972="MICRONOVA",PR!$AO970,IF(J972="MFLASH",PR!$AP970,IF(J972="MORISON",PR!$AQ970,IF(J972="NEMEL",PR!$AR970,IF(J972="NHP",PR!$AS970,IF(J972="NHC",PR!$AT970,IF(J972="OLEAF",PR!$AU970,IF(J972="OCULUS",PR!$AV970,IF(J972="PACIFIC",PR!$AW970,IF(J972="PHAMATEX",PR!$AX970,IF(J972="PETHICS",PR!$AY970,IF(J972="PHILIPS",PR!$AZ970,IF(J972="RANBAXY",PR!$BA970,IF(J972="REALS",PR!$BB970,IF(J972="ROYAL",PR!$BC970,IF(J972="SAM",PR!$BD970,IF(J972="SEAGREEN",PR!$BE970,IF(J972="SKG",PR!$BF970,IF(J972="TAH",PR!$BG970,IF(J972="TAYLEK",PR!$BH970,IF(J972="TEMITA",PR!$BI970,IF(J972="THL",PR!$BJ970,IF(J972="UBASTIC",PR!$BK970,IF(J972="UNION",PR!$BL970,IF(J972="UNIQUE",PR!$BM970,IF(J972="VIXA",PR!$BN970,IF(J972="WWCV",PR!$BO970,IF(J972="ZOLON",PR!$BP970,"-"))))))))))))))))))))))))))))))))))))))))))))))))))))))))))))))))</f>
        <v>6500</v>
      </c>
      <c r="J972" s="102" t="str">
        <f>EV!N1233</f>
        <v>UBASTIC</v>
      </c>
      <c r="K972" s="433" t="s">
        <v>817</v>
      </c>
      <c r="L972" s="183">
        <f>IF(K972&gt;0,IF(K972="ALPHA",PR!$E970,IF(K972="ASSENE",PR!$F970,IF(K972="BIOFEM",PR!$G970,IF(K972="BIOMED",PR!$H970,IF(K972="CHI",PR!$I970,IF(K972="CLARION",PR!$J970,IF(K972="CODIX",PR!$K970,IF(K972="COSMADE",PR!$L970,IF(K972="SANCON",PR!$M970,IF(K972="DEVON",PR!$N970,IF(K972="DORTEMAG",PR!$O970,IF(K972="DGF",PR!$P970,IF(K972="DYNAMIC",PR!$Q970,IF(K972="EMZOR",PR!$R970,IF(K972="EUMATT",PR!$S970,IF(K972="FIDSON",PR!$T970,IF(K972="FCGLOBAL",PR!$U970,IF(K972="GENEITH",PR!$V970,IF(K972="GINOS",PR!$W970,IF(K972="GSK",PR!$X970,IF(K972="GLOBORG",PR!$Y970,IF(K972="GOODNEWS",PR!$Z970,IF(K972="GREENLIFE",PR!$AA970,IF(K972="HLINE",PR!$AB970,IF(K972="ROTECH",PR!$AC970,IF(K972="ISN",PR!$AD970,IF(K972="JAWA",PR!$AE970,IF(K972="LAYO",PR!$AF970,IF(K972="LEADWAY",PR!$AG970,IF(K972="LHV",PR!$AH970,IF(K972="MANOLA",PR!$AI970,IF(K972="MARCSON",PR!$AJ970,IF(K972="M&amp;B",PR!$AK970,IF(K972="MTRUST",PR!$AL970,IF(K972="MWORLD",PR!$AM970,IF(K972="MEGA",PR!$AN970,IF(K972="MICRONOVA",PR!$AO970,IF(K972="MFLASH",PR!$AP970,IF(K972="MORISON",PR!$AQ970,IF(K972="NEMEL",PR!$AR970,IF(K972="NHP",PR!$AS970,IF(K972="NHC",PR!$AT970,IF(K972="OLEAF",PR!$AU970,IF(K972="OCULUS",PR!$AV970,IF(K972="PACIFIC",PR!$AW970,IF(K972="PHAMATEX",PR!$AX970,IF(K972="PETHICS",PR!$AY970,IF(K972="PHILIPS",PR!$AZ970,IF(K972="RANBAXY",PR!$BA970,IF(K972="REALS",PR!$BB970,IF(K972="ROYAL",PR!$BC970,IF(K972="SAM",PR!$BD970,IF(K972="SEAGREEN",PR!$BE970,IF(K972="SKG",PR!$BF970,IF(K972="TAH",PR!$BG970,IF(K972="TAYLEK",PR!$BH970,IF(K972="TEMITA",PR!$BI970,IF(K972="THL",PR!$BJ970,IF(K972="UBASTIC",PR!$BK970,IF(K972="UNION",PR!$BL970,IF(K972="UNIQUE",PR!$BM970,IF(K972="VIXA",PR!$BN970,IF(K972="WWCV",PR!$BO970,IF(K972="ZOLON",PR!$BP970,"-")))))))))))))))))))))))))))))))))))))))))))))))))))))))))))))))))</f>
        <v>5000</v>
      </c>
    </row>
    <row r="973" spans="1:12" ht="18.75" x14ac:dyDescent="0.3">
      <c r="A973" s="430">
        <f>PR!A971</f>
        <v>875</v>
      </c>
      <c r="B973" s="15" t="str">
        <f>PR!B971</f>
        <v>SNAPER</v>
      </c>
      <c r="C973" s="113" t="str">
        <f>PR!D971</f>
        <v>1 Carton (10 x500ml)</v>
      </c>
      <c r="D973" s="113">
        <f>PR!C971</f>
        <v>4</v>
      </c>
      <c r="E973" s="108">
        <f>IF(F973="ALPHA",PR!$E971,IF(F973="ASSENE",PR!$F971,IF(F973="BIOFEM",PR!$G971,IF(F973="BIOMED",PR!$H971,IF(F973="CHI",PR!$I971,IF(F973="CLARION",PR!$J971,IF(F973="CODIX",PR!$K971,IF(F973="COSMADE",PR!$L971,IF(F973="SANCON",PR!$M971,IF(F973="DEVON",PR!$N971,IF(F973="DORTEMAG",PR!$O971,IF(F973="DGF",PR!$P971,IF(F973="DYNAMIC",PR!$Q971,IF(F973="EMZOR",PR!$R971,IF(F973="EUMATT",PR!$S971,IF(F973="FIDSON",PR!$T971,IF(F973="FCGLOBAL",PR!$U971,IF(F973="GENEITH",PR!$V971,IF(F973="GINOS",PR!$W971,IF(F973="GSK",PR!$X971,IF(F973="GLOBORG",PR!$Y971,IF(F973="GOODNEWS",PR!$Z971,IF(F973="GREENLIFE",PR!$AA971,IF(F973="HLINE",PR!$AB971,IF(F973="ROTECH",PR!$AC971,IF(F973="ISN",PR!$AD971,IF(F973="JAWA",PR!$AE971,IF(F973="LAYO",PR!$AF971,IF(F973="LEADWAY",PR!$AG971,IF(F973="LHV",PR!$AH971,IF(F973="MANOLA",PR!$AI971,IF(F973="MARCSON",PR!$AJ971,IF(F973="M&amp;B",PR!$AK971,IF(F973="MTRUST",PR!$AL971,IF(F973="MWORLD",PR!$AM971,IF(F973="MEGA",PR!$AN971,IF(F973="MICRONOVA",PR!$AO971,IF(F973="MFLASH",PR!$AP971,IF(F973="MORISON",PR!$AQ971,IF(F973="NEMEL",PR!$AR971,IF(F973="NHP",PR!$AS971,IF(F973="NHC",PR!$AT971,IF(F973="OLEAF",PR!$AU971,IF(F973="OCULUS",PR!$AV971,IF(F973="PACIFIC",PR!$AW971,IF(F973="PHAMATEX",PR!$AX971,IF(F973="PETHICS",PR!$AY971,IF(F973="PHILIPS",PR!$AZ971,IF(F973="RANBAXY",PR!$BA971,IF(F973="REALS",PR!$BB971,IF(F973="ROYAL",PR!$BC971,IF(F973="SAM",PR!$BD971,IF(F973="SEAGREEN",PR!$BE971,IF(F973="SKG",PR!$BF971,IF(F973="TAH",PR!$BG971,IF(F973="TAYLEK",PR!$BH971,IF(F973="TEMITA",PR!$BI971,IF(F973="THL",PR!$BJ971,IF(F973="UBASTIC",PR!$BK971,IF(F973="UNION",PR!$BL971,IF(F973="UNIQUE",PR!$BM971,IF(F973="VIXA",PR!$BN971,IF(F973="WWCV",PR!$BO971,IF(F973="ZOLON",PR!$BP971,"-"))))))))))))))))))))))))))))))))))))))))))))))))))))))))))))))))</f>
        <v>21600</v>
      </c>
      <c r="F973" s="102" t="str">
        <f>EV!L1234</f>
        <v>SANCON</v>
      </c>
      <c r="G973" s="108">
        <f>IF(H973="ALPHA",PR!$E971,IF(H973="ASSENE",PR!$F971,IF(H973="BIOFEM",PR!$G971,IF(H973="BIOMED",PR!$H971,IF(H973="CHI",PR!$I971,IF(H973="CLARION",PR!$J971,IF(H973="CODIX",PR!$K971,IF(H973="COSMADE",PR!$L971,IF(H973="SANCON",PR!$M971,IF(H973="DEVON",PR!$N971,IF(H973="DORTEMAG",PR!$O971,IF(H973="DGF",PR!$P971,IF(H973="DYNAMIC",PR!$Q971,IF(H973="EMZOR",PR!$R971,IF(H973="EUMATT",PR!$S971,IF(H973="FIDSON",PR!$T971,IF(H973="FCGLOBAL",PR!$U971,IF(H973="GENEITH",PR!$V971,IF(H973="GINOS",PR!$W971,IF(H973="GSK",PR!$X971,IF(H973="GLOBORG",PR!$Y971,IF(H973="GOODNEWS",PR!$Z971,IF(H973="GREENLIFE",PR!$AA971,IF(H973="HLINE",PR!$AB971,IF(H973="ROTECH",PR!$AC971,IF(H973="ISN",PR!$AD971,IF(H973="JAWA",PR!$AE971,IF(H973="LAYO",PR!$AF971,IF(H973="LEADWAY",PR!$AG971,IF(H973="LHV",PR!$AH971,IF(H973="MANOLA",PR!$AI971,IF(H973="MARCSON",PR!$AJ971,IF(H973="M&amp;B",PR!$AK971,IF(H973="MTRUST",PR!$AL971,IF(H973="MWORLD",PR!$AM971,IF(H973="MEGA",PR!$AN971,IF(H973="MICRONOVA",PR!$AO971,IF(H973="MFLASH",PR!$AP971,IF(H973="MORISON",PR!$AQ971,IF(H973="NEMEL",PR!$AR971,IF(H973="NHP",PR!$AS971,IF(H973="NHC",PR!$AT971,IF(H973="OLEAF",PR!$AU971,IF(H973="OCULUS",PR!$AV971,IF(H973="PACIFIC",PR!$AW971,IF(H973="PHAMATEX",PR!$AX971,IF(H973="PETHICS",PR!$AY971,IF(H973="PHILIPS",PR!$AZ971,IF(H973="RANBAXY",PR!$BA971,IF(H973="REALS",PR!$BB971,IF(H973="ROYAL",PR!$BC971,IF(H973="SAM",PR!$BD971,IF(H973="SEAGREEN",PR!$BE971,IF(H973="SKG",PR!$BF971,IF(H973="TAH",PR!$BG971,IF(H973="TAYLEK",PR!$BH971,IF(H973="TEMITA",PR!$BI971,IF(H973="THL",PR!$BJ971,IF(H973="UBASTIC",PR!$BK971,IF(H973="UNION",PR!$BL971,IF(H973="UNIQUE",PR!$BM971,IF(H973="VIXA",PR!$BN971,IF(H973="WWCV",PR!$BO971,IF(H973="ZOLON",PR!$BP971,"-"))))))))))))))))))))))))))))))))))))))))))))))))))))))))))))))))</f>
        <v>27000</v>
      </c>
      <c r="H973" s="102" t="str">
        <f>EV!M1234</f>
        <v>TEMITA</v>
      </c>
      <c r="I973" s="108">
        <f>IF(J973="ALPHA",PR!$E971,IF(J973="ASSENE",PR!$F971,IF(J973="BIOFEM",PR!$G971,IF(J973="BIOMED",PR!$H971,IF(J973="CHI",PR!$I971,IF(J973="CLARION",PR!$J971,IF(J973="CODIX",PR!$K971,IF(J973="COSMADE",PR!$L971,IF(J973="SANCON",PR!$M971,IF(J973="DEVON",PR!$N971,IF(J973="DORTEMAG",PR!$O971,IF(J973="DGF",PR!$P971,IF(J973="DYNAMIC",PR!$Q971,IF(J973="EMZOR",PR!$R971,IF(J973="EUMATT",PR!$S971,IF(J973="FIDSON",PR!$T971,IF(J973="FCGLOBAL",PR!$U971,IF(J973="GENEITH",PR!$V971,IF(J973="GINOS",PR!$W971,IF(J973="GSK",PR!$X971,IF(J973="GLOBORG",PR!$Y971,IF(J973="GOODNEWS",PR!$Z971,IF(J973="GREENLIFE",PR!$AA971,IF(J973="HLINE",PR!$AB971,IF(J973="ROTECH",PR!$AC971,IF(J973="ISN",PR!$AD971,IF(J973="JAWA",PR!$AE971,IF(J973="LAYO",PR!$AF971,IF(J973="LEADWAY",PR!$AG971,IF(J973="LHV",PR!$AH971,IF(J973="MANOLA",PR!$AI971,IF(J973="MARCSON",PR!$AJ971,IF(J973="M&amp;B",PR!$AK971,IF(J973="MTRUST",PR!$AL971,IF(J973="MWORLD",PR!$AM971,IF(J973="MEGA",PR!$AN971,IF(J973="MICRONOVA",PR!$AO971,IF(J973="MFLASH",PR!$AP971,IF(J973="MORISON",PR!$AQ971,IF(J973="NEMEL",PR!$AR971,IF(J973="NHP",PR!$AS971,IF(J973="NHC",PR!$AT971,IF(J973="OLEAF",PR!$AU971,IF(J973="OCULUS",PR!$AV971,IF(J973="PACIFIC",PR!$AW971,IF(J973="PHAMATEX",PR!$AX971,IF(J973="PETHICS",PR!$AY971,IF(J973="PHILIPS",PR!$AZ971,IF(J973="RANBAXY",PR!$BA971,IF(J973="REALS",PR!$BB971,IF(J973="ROYAL",PR!$BC971,IF(J973="SAM",PR!$BD971,IF(J973="SEAGREEN",PR!$BE971,IF(J973="SKG",PR!$BF971,IF(J973="TAH",PR!$BG971,IF(J973="TAYLEK",PR!$BH971,IF(J973="TEMITA",PR!$BI971,IF(J973="THL",PR!$BJ971,IF(J973="UBASTIC",PR!$BK971,IF(J973="UNION",PR!$BL971,IF(J973="UNIQUE",PR!$BM971,IF(J973="VIXA",PR!$BN971,IF(J973="WWCV",PR!$BO971,IF(J973="ZOLON",PR!$BP971,"-"))))))))))))))))))))))))))))))))))))))))))))))))))))))))))))))))</f>
        <v>38125</v>
      </c>
      <c r="J973" s="102" t="str">
        <f>EV!N1234</f>
        <v>UBASTIC</v>
      </c>
      <c r="K973" s="433" t="s">
        <v>817</v>
      </c>
      <c r="L973" s="183">
        <f>IF(K973&gt;0,IF(K973="ALPHA",PR!$E971,IF(K973="ASSENE",PR!$F971,IF(K973="BIOFEM",PR!$G971,IF(K973="BIOMED",PR!$H971,IF(K973="CHI",PR!$I971,IF(K973="CLARION",PR!$J971,IF(K973="CODIX",PR!$K971,IF(K973="COSMADE",PR!$L971,IF(K973="SANCON",PR!$M971,IF(K973="DEVON",PR!$N971,IF(K973="DORTEMAG",PR!$O971,IF(K973="DGF",PR!$P971,IF(K973="DYNAMIC",PR!$Q971,IF(K973="EMZOR",PR!$R971,IF(K973="EUMATT",PR!$S971,IF(K973="FIDSON",PR!$T971,IF(K973="FCGLOBAL",PR!$U971,IF(K973="GENEITH",PR!$V971,IF(K973="GINOS",PR!$W971,IF(K973="GSK",PR!$X971,IF(K973="GLOBORG",PR!$Y971,IF(K973="GOODNEWS",PR!$Z971,IF(K973="GREENLIFE",PR!$AA971,IF(K973="HLINE",PR!$AB971,IF(K973="ROTECH",PR!$AC971,IF(K973="ISN",PR!$AD971,IF(K973="JAWA",PR!$AE971,IF(K973="LAYO",PR!$AF971,IF(K973="LEADWAY",PR!$AG971,IF(K973="LHV",PR!$AH971,IF(K973="MANOLA",PR!$AI971,IF(K973="MARCSON",PR!$AJ971,IF(K973="M&amp;B",PR!$AK971,IF(K973="MTRUST",PR!$AL971,IF(K973="MWORLD",PR!$AM971,IF(K973="MEGA",PR!$AN971,IF(K973="MICRONOVA",PR!$AO971,IF(K973="MFLASH",PR!$AP971,IF(K973="MORISON",PR!$AQ971,IF(K973="NEMEL",PR!$AR971,IF(K973="NHP",PR!$AS971,IF(K973="NHC",PR!$AT971,IF(K973="OLEAF",PR!$AU971,IF(K973="OCULUS",PR!$AV971,IF(K973="PACIFIC",PR!$AW971,IF(K973="PHAMATEX",PR!$AX971,IF(K973="PETHICS",PR!$AY971,IF(K973="PHILIPS",PR!$AZ971,IF(K973="RANBAXY",PR!$BA971,IF(K973="REALS",PR!$BB971,IF(K973="ROYAL",PR!$BC971,IF(K973="SAM",PR!$BD971,IF(K973="SEAGREEN",PR!$BE971,IF(K973="SKG",PR!$BF971,IF(K973="TAH",PR!$BG971,IF(K973="TAYLEK",PR!$BH971,IF(K973="TEMITA",PR!$BI971,IF(K973="THL",PR!$BJ971,IF(K973="UBASTIC",PR!$BK971,IF(K973="UNION",PR!$BL971,IF(K973="UNIQUE",PR!$BM971,IF(K973="VIXA",PR!$BN971,IF(K973="WWCV",PR!$BO971,IF(K973="ZOLON",PR!$BP971,"-")))))))))))))))))))))))))))))))))))))))))))))))))))))))))))))))))</f>
        <v>21600</v>
      </c>
    </row>
    <row r="974" spans="1:12" ht="18.75" x14ac:dyDescent="0.3">
      <c r="A974" s="430">
        <f>PR!A972</f>
        <v>876</v>
      </c>
      <c r="B974" s="15" t="str">
        <f>PR!B972</f>
        <v>THICK RED RUBBER GLOVES</v>
      </c>
      <c r="C974" s="113" t="str">
        <f>PR!D972</f>
        <v>1 pair</v>
      </c>
      <c r="D974" s="113">
        <f>PR!C972</f>
        <v>24</v>
      </c>
      <c r="E974" s="108">
        <f>IF(F974="ALPHA",PR!$E972,IF(F974="ASSENE",PR!$F972,IF(F974="BIOFEM",PR!$G972,IF(F974="BIOMED",PR!$H972,IF(F974="CHI",PR!$I972,IF(F974="CLARION",PR!$J972,IF(F974="CODIX",PR!$K972,IF(F974="COSMADE",PR!$L972,IF(F974="SANCON",PR!$M972,IF(F974="DEVON",PR!$N972,IF(F974="DORTEMAG",PR!$O972,IF(F974="DGF",PR!$P972,IF(F974="DYNAMIC",PR!$Q972,IF(F974="EMZOR",PR!$R972,IF(F974="EUMATT",PR!$S972,IF(F974="FIDSON",PR!$T972,IF(F974="FCGLOBAL",PR!$U972,IF(F974="GENEITH",PR!$V972,IF(F974="GINOS",PR!$W972,IF(F974="GSK",PR!$X972,IF(F974="GLOBORG",PR!$Y972,IF(F974="GOODNEWS",PR!$Z972,IF(F974="GREENLIFE",PR!$AA972,IF(F974="HLINE",PR!$AB972,IF(F974="ROTECH",PR!$AC972,IF(F974="ISN",PR!$AD972,IF(F974="JAWA",PR!$AE972,IF(F974="LAYO",PR!$AF972,IF(F974="LEADWAY",PR!$AG972,IF(F974="LHV",PR!$AH972,IF(F974="MANOLA",PR!$AI972,IF(F974="MARCSON",PR!$AJ972,IF(F974="M&amp;B",PR!$AK972,IF(F974="MTRUST",PR!$AL972,IF(F974="MWORLD",PR!$AM972,IF(F974="MEGA",PR!$AN972,IF(F974="MICRONOVA",PR!$AO972,IF(F974="MFLASH",PR!$AP972,IF(F974="MORISON",PR!$AQ972,IF(F974="NEMEL",PR!$AR972,IF(F974="NHP",PR!$AS972,IF(F974="NHC",PR!$AT972,IF(F974="OLEAF",PR!$AU972,IF(F974="OCULUS",PR!$AV972,IF(F974="PACIFIC",PR!$AW972,IF(F974="PHAMATEX",PR!$AX972,IF(F974="PETHICS",PR!$AY972,IF(F974="PHILIPS",PR!$AZ972,IF(F974="RANBAXY",PR!$BA972,IF(F974="REALS",PR!$BB972,IF(F974="ROYAL",PR!$BC972,IF(F974="SAM",PR!$BD972,IF(F974="SEAGREEN",PR!$BE972,IF(F974="SKG",PR!$BF972,IF(F974="TAH",PR!$BG972,IF(F974="TAYLEK",PR!$BH972,IF(F974="TEMITA",PR!$BI972,IF(F974="THL",PR!$BJ972,IF(F974="UBASTIC",PR!$BK972,IF(F974="UNION",PR!$BL972,IF(F974="UNIQUE",PR!$BM972,IF(F974="VIXA",PR!$BN972,IF(F974="WWCV",PR!$BO972,IF(F974="ZOLON",PR!$BP972,"-"))))))))))))))))))))))))))))))))))))))))))))))))))))))))))))))))</f>
        <v>400</v>
      </c>
      <c r="F974" s="102" t="str">
        <f>EV!L1235</f>
        <v>ROTECH</v>
      </c>
      <c r="G974" s="108">
        <f>IF(H974="ALPHA",PR!$E972,IF(H974="ASSENE",PR!$F972,IF(H974="BIOFEM",PR!$G972,IF(H974="BIOMED",PR!$H972,IF(H974="CHI",PR!$I972,IF(H974="CLARION",PR!$J972,IF(H974="CODIX",PR!$K972,IF(H974="COSMADE",PR!$L972,IF(H974="SANCON",PR!$M972,IF(H974="DEVON",PR!$N972,IF(H974="DORTEMAG",PR!$O972,IF(H974="DGF",PR!$P972,IF(H974="DYNAMIC",PR!$Q972,IF(H974="EMZOR",PR!$R972,IF(H974="EUMATT",PR!$S972,IF(H974="FIDSON",PR!$T972,IF(H974="FCGLOBAL",PR!$U972,IF(H974="GENEITH",PR!$V972,IF(H974="GINOS",PR!$W972,IF(H974="GSK",PR!$X972,IF(H974="GLOBORG",PR!$Y972,IF(H974="GOODNEWS",PR!$Z972,IF(H974="GREENLIFE",PR!$AA972,IF(H974="HLINE",PR!$AB972,IF(H974="ROTECH",PR!$AC972,IF(H974="ISN",PR!$AD972,IF(H974="JAWA",PR!$AE972,IF(H974="LAYO",PR!$AF972,IF(H974="LEADWAY",PR!$AG972,IF(H974="LHV",PR!$AH972,IF(H974="MANOLA",PR!$AI972,IF(H974="MARCSON",PR!$AJ972,IF(H974="M&amp;B",PR!$AK972,IF(H974="MTRUST",PR!$AL972,IF(H974="MWORLD",PR!$AM972,IF(H974="MEGA",PR!$AN972,IF(H974="MICRONOVA",PR!$AO972,IF(H974="MFLASH",PR!$AP972,IF(H974="MORISON",PR!$AQ972,IF(H974="NEMEL",PR!$AR972,IF(H974="NHP",PR!$AS972,IF(H974="NHC",PR!$AT972,IF(H974="OLEAF",PR!$AU972,IF(H974="OCULUS",PR!$AV972,IF(H974="PACIFIC",PR!$AW972,IF(H974="PHAMATEX",PR!$AX972,IF(H974="PETHICS",PR!$AY972,IF(H974="PHILIPS",PR!$AZ972,IF(H974="RANBAXY",PR!$BA972,IF(H974="REALS",PR!$BB972,IF(H974="ROYAL",PR!$BC972,IF(H974="SAM",PR!$BD972,IF(H974="SEAGREEN",PR!$BE972,IF(H974="SKG",PR!$BF972,IF(H974="TAH",PR!$BG972,IF(H974="TAYLEK",PR!$BH972,IF(H974="TEMITA",PR!$BI972,IF(H974="THL",PR!$BJ972,IF(H974="UBASTIC",PR!$BK972,IF(H974="UNION",PR!$BL972,IF(H974="UNIQUE",PR!$BM972,IF(H974="VIXA",PR!$BN972,IF(H974="WWCV",PR!$BO972,IF(H974="ZOLON",PR!$BP972,"-"))))))))))))))))))))))))))))))))))))))))))))))))))))))))))))))))</f>
        <v>500</v>
      </c>
      <c r="H974" s="102" t="str">
        <f>EV!M1235</f>
        <v>SANCON</v>
      </c>
      <c r="I974" s="108">
        <f>IF(J974="ALPHA",PR!$E972,IF(J974="ASSENE",PR!$F972,IF(J974="BIOFEM",PR!$G972,IF(J974="BIOMED",PR!$H972,IF(J974="CHI",PR!$I972,IF(J974="CLARION",PR!$J972,IF(J974="CODIX",PR!$K972,IF(J974="COSMADE",PR!$L972,IF(J974="SANCON",PR!$M972,IF(J974="DEVON",PR!$N972,IF(J974="DORTEMAG",PR!$O972,IF(J974="DGF",PR!$P972,IF(J974="DYNAMIC",PR!$Q972,IF(J974="EMZOR",PR!$R972,IF(J974="EUMATT",PR!$S972,IF(J974="FIDSON",PR!$T972,IF(J974="FCGLOBAL",PR!$U972,IF(J974="GENEITH",PR!$V972,IF(J974="GINOS",PR!$W972,IF(J974="GSK",PR!$X972,IF(J974="GLOBORG",PR!$Y972,IF(J974="GOODNEWS",PR!$Z972,IF(J974="GREENLIFE",PR!$AA972,IF(J974="HLINE",PR!$AB972,IF(J974="ROTECH",PR!$AC972,IF(J974="ISN",PR!$AD972,IF(J974="JAWA",PR!$AE972,IF(J974="LAYO",PR!$AF972,IF(J974="LEADWAY",PR!$AG972,IF(J974="LHV",PR!$AH972,IF(J974="MANOLA",PR!$AI972,IF(J974="MARCSON",PR!$AJ972,IF(J974="M&amp;B",PR!$AK972,IF(J974="MTRUST",PR!$AL972,IF(J974="MWORLD",PR!$AM972,IF(J974="MEGA",PR!$AN972,IF(J974="MICRONOVA",PR!$AO972,IF(J974="MFLASH",PR!$AP972,IF(J974="MORISON",PR!$AQ972,IF(J974="NEMEL",PR!$AR972,IF(J974="NHP",PR!$AS972,IF(J974="NHC",PR!$AT972,IF(J974="OLEAF",PR!$AU972,IF(J974="OCULUS",PR!$AV972,IF(J974="PACIFIC",PR!$AW972,IF(J974="PHAMATEX",PR!$AX972,IF(J974="PETHICS",PR!$AY972,IF(J974="PHILIPS",PR!$AZ972,IF(J974="RANBAXY",PR!$BA972,IF(J974="REALS",PR!$BB972,IF(J974="ROYAL",PR!$BC972,IF(J974="SAM",PR!$BD972,IF(J974="SEAGREEN",PR!$BE972,IF(J974="SKG",PR!$BF972,IF(J974="TAH",PR!$BG972,IF(J974="TAYLEK",PR!$BH972,IF(J974="TEMITA",PR!$BI972,IF(J974="THL",PR!$BJ972,IF(J974="UBASTIC",PR!$BK972,IF(J974="UNION",PR!$BL972,IF(J974="UNIQUE",PR!$BM972,IF(J974="VIXA",PR!$BN972,IF(J974="WWCV",PR!$BO972,IF(J974="ZOLON",PR!$BP972,"-"))))))))))))))))))))))))))))))))))))))))))))))))))))))))))))))))</f>
        <v>800</v>
      </c>
      <c r="J974" s="102" t="str">
        <f>EV!N1235</f>
        <v>TEMITA</v>
      </c>
      <c r="K974" s="433" t="s">
        <v>825</v>
      </c>
      <c r="L974" s="183">
        <f>IF(K974&gt;0,IF(K974="ALPHA",PR!$E972,IF(K974="ASSENE",PR!$F972,IF(K974="BIOFEM",PR!$G972,IF(K974="BIOMED",PR!$H972,IF(K974="CHI",PR!$I972,IF(K974="CLARION",PR!$J972,IF(K974="CODIX",PR!$K972,IF(K974="COSMADE",PR!$L972,IF(K974="SANCON",PR!$M972,IF(K974="DEVON",PR!$N972,IF(K974="DORTEMAG",PR!$O972,IF(K974="DGF",PR!$P972,IF(K974="DYNAMIC",PR!$Q972,IF(K974="EMZOR",PR!$R972,IF(K974="EUMATT",PR!$S972,IF(K974="FIDSON",PR!$T972,IF(K974="FCGLOBAL",PR!$U972,IF(K974="GENEITH",PR!$V972,IF(K974="GINOS",PR!$W972,IF(K974="GSK",PR!$X972,IF(K974="GLOBORG",PR!$Y972,IF(K974="GOODNEWS",PR!$Z972,IF(K974="GREENLIFE",PR!$AA972,IF(K974="HLINE",PR!$AB972,IF(K974="ROTECH",PR!$AC972,IF(K974="ISN",PR!$AD972,IF(K974="JAWA",PR!$AE972,IF(K974="LAYO",PR!$AF972,IF(K974="LEADWAY",PR!$AG972,IF(K974="LHV",PR!$AH972,IF(K974="MANOLA",PR!$AI972,IF(K974="MARCSON",PR!$AJ972,IF(K974="M&amp;B",PR!$AK972,IF(K974="MTRUST",PR!$AL972,IF(K974="MWORLD",PR!$AM972,IF(K974="MEGA",PR!$AN972,IF(K974="MICRONOVA",PR!$AO972,IF(K974="MFLASH",PR!$AP972,IF(K974="MORISON",PR!$AQ972,IF(K974="NEMEL",PR!$AR972,IF(K974="NHP",PR!$AS972,IF(K974="NHC",PR!$AT972,IF(K974="OLEAF",PR!$AU972,IF(K974="OCULUS",PR!$AV972,IF(K974="PACIFIC",PR!$AW972,IF(K974="PHAMATEX",PR!$AX972,IF(K974="PETHICS",PR!$AY972,IF(K974="PHILIPS",PR!$AZ972,IF(K974="RANBAXY",PR!$BA972,IF(K974="REALS",PR!$BB972,IF(K974="ROYAL",PR!$BC972,IF(K974="SAM",PR!$BD972,IF(K974="SEAGREEN",PR!$BE972,IF(K974="SKG",PR!$BF972,IF(K974="TAH",PR!$BG972,IF(K974="TAYLEK",PR!$BH972,IF(K974="TEMITA",PR!$BI972,IF(K974="THL",PR!$BJ972,IF(K974="UBASTIC",PR!$BK972,IF(K974="UNION",PR!$BL972,IF(K974="UNIQUE",PR!$BM972,IF(K974="VIXA",PR!$BN972,IF(K974="WWCV",PR!$BO972,IF(K974="ZOLON",PR!$BP972,"-")))))))))))))))))))))))))))))))))))))))))))))))))))))))))))))))))</f>
        <v>400</v>
      </c>
    </row>
    <row r="975" spans="1:12" ht="18.75" x14ac:dyDescent="0.3">
      <c r="A975" s="430">
        <f>PR!A973</f>
        <v>877</v>
      </c>
      <c r="B975" s="15" t="str">
        <f>PR!B973</f>
        <v>XYLINE</v>
      </c>
      <c r="C975" s="113" t="str">
        <f>PR!D973</f>
        <v>1 Drum (200 LTRS)</v>
      </c>
      <c r="D975" s="113">
        <f>PR!C973</f>
        <v>2</v>
      </c>
      <c r="E975" s="108">
        <f>IF(F975="ALPHA",PR!$E973,IF(F975="ASSENE",PR!$F973,IF(F975="BIOFEM",PR!$G973,IF(F975="BIOMED",PR!$H973,IF(F975="CHI",PR!$I973,IF(F975="CLARION",PR!$J973,IF(F975="CODIX",PR!$K973,IF(F975="COSMADE",PR!$L973,IF(F975="SANCON",PR!$M973,IF(F975="DEVON",PR!$N973,IF(F975="DORTEMAG",PR!$O973,IF(F975="DGF",PR!$P973,IF(F975="DYNAMIC",PR!$Q973,IF(F975="EMZOR",PR!$R973,IF(F975="EUMATT",PR!$S973,IF(F975="FIDSON",PR!$T973,IF(F975="FCGLOBAL",PR!$U973,IF(F975="GENEITH",PR!$V973,IF(F975="GINOS",PR!$W973,IF(F975="GSK",PR!$X973,IF(F975="GLOBORG",PR!$Y973,IF(F975="GOODNEWS",PR!$Z973,IF(F975="GREENLIFE",PR!$AA973,IF(F975="HLINE",PR!$AB973,IF(F975="ROTECH",PR!$AC973,IF(F975="ISN",PR!$AD973,IF(F975="JAWA",PR!$AE973,IF(F975="LAYO",PR!$AF973,IF(F975="LEADWAY",PR!$AG973,IF(F975="LHV",PR!$AH973,IF(F975="MANOLA",PR!$AI973,IF(F975="MARCSON",PR!$AJ973,IF(F975="M&amp;B",PR!$AK973,IF(F975="MTRUST",PR!$AL973,IF(F975="MWORLD",PR!$AM973,IF(F975="MEGA",PR!$AN973,IF(F975="MICRONOVA",PR!$AO973,IF(F975="MFLASH",PR!$AP973,IF(F975="MORISON",PR!$AQ973,IF(F975="NEMEL",PR!$AR973,IF(F975="NHP",PR!$AS973,IF(F975="NHC",PR!$AT973,IF(F975="OLEAF",PR!$AU973,IF(F975="OCULUS",PR!$AV973,IF(F975="PACIFIC",PR!$AW973,IF(F975="PHAMATEX",PR!$AX973,IF(F975="PETHICS",PR!$AY973,IF(F975="PHILIPS",PR!$AZ973,IF(F975="RANBAXY",PR!$BA973,IF(F975="REALS",PR!$BB973,IF(F975="ROYAL",PR!$BC973,IF(F975="SAM",PR!$BD973,IF(F975="SEAGREEN",PR!$BE973,IF(F975="SKG",PR!$BF973,IF(F975="TAH",PR!$BG973,IF(F975="TAYLEK",PR!$BH973,IF(F975="TEMITA",PR!$BI973,IF(F975="THL",PR!$BJ973,IF(F975="UBASTIC",PR!$BK973,IF(F975="UNION",PR!$BL973,IF(F975="UNIQUE",PR!$BM973,IF(F975="VIXA",PR!$BN973,IF(F975="WWCV",PR!$BO973,IF(F975="ZOLON",PR!$BP973,"-"))))))))))))))))))))))))))))))))))))))))))))))))))))))))))))))))</f>
        <v>125000</v>
      </c>
      <c r="F975" s="102" t="str">
        <f>EV!L1236</f>
        <v>TEMITA</v>
      </c>
      <c r="G975" s="108">
        <f>IF(H975="ALPHA",PR!$E973,IF(H975="ASSENE",PR!$F973,IF(H975="BIOFEM",PR!$G973,IF(H975="BIOMED",PR!$H973,IF(H975="CHI",PR!$I973,IF(H975="CLARION",PR!$J973,IF(H975="CODIX",PR!$K973,IF(H975="COSMADE",PR!$L973,IF(H975="SANCON",PR!$M973,IF(H975="DEVON",PR!$N973,IF(H975="DORTEMAG",PR!$O973,IF(H975="DGF",PR!$P973,IF(H975="DYNAMIC",PR!$Q973,IF(H975="EMZOR",PR!$R973,IF(H975="EUMATT",PR!$S973,IF(H975="FIDSON",PR!$T973,IF(H975="FCGLOBAL",PR!$U973,IF(H975="GENEITH",PR!$V973,IF(H975="GINOS",PR!$W973,IF(H975="GSK",PR!$X973,IF(H975="GLOBORG",PR!$Y973,IF(H975="GOODNEWS",PR!$Z973,IF(H975="GREENLIFE",PR!$AA973,IF(H975="HLINE",PR!$AB973,IF(H975="ROTECH",PR!$AC973,IF(H975="ISN",PR!$AD973,IF(H975="JAWA",PR!$AE973,IF(H975="LAYO",PR!$AF973,IF(H975="LEADWAY",PR!$AG973,IF(H975="LHV",PR!$AH973,IF(H975="MANOLA",PR!$AI973,IF(H975="MARCSON",PR!$AJ973,IF(H975="M&amp;B",PR!$AK973,IF(H975="MTRUST",PR!$AL973,IF(H975="MWORLD",PR!$AM973,IF(H975="MEGA",PR!$AN973,IF(H975="MICRONOVA",PR!$AO973,IF(H975="MFLASH",PR!$AP973,IF(H975="MORISON",PR!$AQ973,IF(H975="NEMEL",PR!$AR973,IF(H975="NHP",PR!$AS973,IF(H975="NHC",PR!$AT973,IF(H975="OLEAF",PR!$AU973,IF(H975="OCULUS",PR!$AV973,IF(H975="PACIFIC",PR!$AW973,IF(H975="PHAMATEX",PR!$AX973,IF(H975="PETHICS",PR!$AY973,IF(H975="PHILIPS",PR!$AZ973,IF(H975="RANBAXY",PR!$BA973,IF(H975="REALS",PR!$BB973,IF(H975="ROYAL",PR!$BC973,IF(H975="SAM",PR!$BD973,IF(H975="SEAGREEN",PR!$BE973,IF(H975="SKG",PR!$BF973,IF(H975="TAH",PR!$BG973,IF(H975="TAYLEK",PR!$BH973,IF(H975="TEMITA",PR!$BI973,IF(H975="THL",PR!$BJ973,IF(H975="UBASTIC",PR!$BK973,IF(H975="UNION",PR!$BL973,IF(H975="UNIQUE",PR!$BM973,IF(H975="VIXA",PR!$BN973,IF(H975="WWCV",PR!$BO973,IF(H975="ZOLON",PR!$BP973,"-"))))))))))))))))))))))))))))))))))))))))))))))))))))))))))))))))</f>
        <v>180000</v>
      </c>
      <c r="H975" s="102" t="str">
        <f>EV!M1236</f>
        <v>UBASTIC</v>
      </c>
      <c r="I975" s="108">
        <f>IF(J975="ALPHA",PR!$E973,IF(J975="ASSENE",PR!$F973,IF(J975="BIOFEM",PR!$G973,IF(J975="BIOMED",PR!$H973,IF(J975="CHI",PR!$I973,IF(J975="CLARION",PR!$J973,IF(J975="CODIX",PR!$K973,IF(J975="COSMADE",PR!$L973,IF(J975="SANCON",PR!$M973,IF(J975="DEVON",PR!$N973,IF(J975="DORTEMAG",PR!$O973,IF(J975="DGF",PR!$P973,IF(J975="DYNAMIC",PR!$Q973,IF(J975="EMZOR",PR!$R973,IF(J975="EUMATT",PR!$S973,IF(J975="FIDSON",PR!$T973,IF(J975="FCGLOBAL",PR!$U973,IF(J975="GENEITH",PR!$V973,IF(J975="GINOS",PR!$W973,IF(J975="GSK",PR!$X973,IF(J975="GLOBORG",PR!$Y973,IF(J975="GOODNEWS",PR!$Z973,IF(J975="GREENLIFE",PR!$AA973,IF(J975="HLINE",PR!$AB973,IF(J975="ROTECH",PR!$AC973,IF(J975="ISN",PR!$AD973,IF(J975="JAWA",PR!$AE973,IF(J975="LAYO",PR!$AF973,IF(J975="LEADWAY",PR!$AG973,IF(J975="LHV",PR!$AH973,IF(J975="MANOLA",PR!$AI973,IF(J975="MARCSON",PR!$AJ973,IF(J975="M&amp;B",PR!$AK973,IF(J975="MTRUST",PR!$AL973,IF(J975="MWORLD",PR!$AM973,IF(J975="MEGA",PR!$AN973,IF(J975="MICRONOVA",PR!$AO973,IF(J975="MFLASH",PR!$AP973,IF(J975="MORISON",PR!$AQ973,IF(J975="NEMEL",PR!$AR973,IF(J975="NHP",PR!$AS973,IF(J975="NHC",PR!$AT973,IF(J975="OLEAF",PR!$AU973,IF(J975="OCULUS",PR!$AV973,IF(J975="PACIFIC",PR!$AW973,IF(J975="PHAMATEX",PR!$AX973,IF(J975="PETHICS",PR!$AY973,IF(J975="PHILIPS",PR!$AZ973,IF(J975="RANBAXY",PR!$BA973,IF(J975="REALS",PR!$BB973,IF(J975="ROYAL",PR!$BC973,IF(J975="SAM",PR!$BD973,IF(J975="SEAGREEN",PR!$BE973,IF(J975="SKG",PR!$BF973,IF(J975="TAH",PR!$BG973,IF(J975="TAYLEK",PR!$BH973,IF(J975="TEMITA",PR!$BI973,IF(J975="THL",PR!$BJ973,IF(J975="UBASTIC",PR!$BK973,IF(J975="UNION",PR!$BL973,IF(J975="UNIQUE",PR!$BM973,IF(J975="VIXA",PR!$BN973,IF(J975="WWCV",PR!$BO973,IF(J975="ZOLON",PR!$BP973,"-"))))))))))))))))))))))))))))))))))))))))))))))))))))))))))))))))</f>
        <v>181250</v>
      </c>
      <c r="J975" s="102" t="str">
        <f>EV!N1236</f>
        <v>DYNAMIC</v>
      </c>
      <c r="K975" s="433" t="s">
        <v>1463</v>
      </c>
      <c r="L975" s="183">
        <f>IF(K975&gt;0,IF(K975="ALPHA",PR!$E973,IF(K975="ASSENE",PR!$F973,IF(K975="BIOFEM",PR!$G973,IF(K975="BIOMED",PR!$H973,IF(K975="CHI",PR!$I973,IF(K975="CLARION",PR!$J973,IF(K975="CODIX",PR!$K973,IF(K975="COSMADE",PR!$L973,IF(K975="SANCON",PR!$M973,IF(K975="DEVON",PR!$N973,IF(K975="DORTEMAG",PR!$O973,IF(K975="DGF",PR!$P973,IF(K975="DYNAMIC",PR!$Q973,IF(K975="EMZOR",PR!$R973,IF(K975="EUMATT",PR!$S973,IF(K975="FIDSON",PR!$T973,IF(K975="FCGLOBAL",PR!$U973,IF(K975="GENEITH",PR!$V973,IF(K975="GINOS",PR!$W973,IF(K975="GSK",PR!$X973,IF(K975="GLOBORG",PR!$Y973,IF(K975="GOODNEWS",PR!$Z973,IF(K975="GREENLIFE",PR!$AA973,IF(K975="HLINE",PR!$AB973,IF(K975="ROTECH",PR!$AC973,IF(K975="ISN",PR!$AD973,IF(K975="JAWA",PR!$AE973,IF(K975="LAYO",PR!$AF973,IF(K975="LEADWAY",PR!$AG973,IF(K975="LHV",PR!$AH973,IF(K975="MANOLA",PR!$AI973,IF(K975="MARCSON",PR!$AJ973,IF(K975="M&amp;B",PR!$AK973,IF(K975="MTRUST",PR!$AL973,IF(K975="MWORLD",PR!$AM973,IF(K975="MEGA",PR!$AN973,IF(K975="MICRONOVA",PR!$AO973,IF(K975="MFLASH",PR!$AP973,IF(K975="MORISON",PR!$AQ973,IF(K975="NEMEL",PR!$AR973,IF(K975="NHP",PR!$AS973,IF(K975="NHC",PR!$AT973,IF(K975="OLEAF",PR!$AU973,IF(K975="OCULUS",PR!$AV973,IF(K975="PACIFIC",PR!$AW973,IF(K975="PHAMATEX",PR!$AX973,IF(K975="PETHICS",PR!$AY973,IF(K975="PHILIPS",PR!$AZ973,IF(K975="RANBAXY",PR!$BA973,IF(K975="REALS",PR!$BB973,IF(K975="ROYAL",PR!$BC973,IF(K975="SAM",PR!$BD973,IF(K975="SEAGREEN",PR!$BE973,IF(K975="SKG",PR!$BF973,IF(K975="TAH",PR!$BG973,IF(K975="TAYLEK",PR!$BH973,IF(K975="TEMITA",PR!$BI973,IF(K975="THL",PR!$BJ973,IF(K975="UBASTIC",PR!$BK973,IF(K975="UNION",PR!$BL973,IF(K975="UNIQUE",PR!$BM973,IF(K975="VIXA",PR!$BN973,IF(K975="WWCV",PR!$BO973,IF(K975="ZOLON",PR!$BP973,"-")))))))))))))))))))))))))))))))))))))))))))))))))))))))))))))))))</f>
        <v>125000</v>
      </c>
    </row>
    <row r="976" spans="1:12" ht="18.75" x14ac:dyDescent="0.3">
      <c r="A976" s="430">
        <f>PR!A974</f>
        <v>878</v>
      </c>
      <c r="B976" s="15" t="str">
        <f>PR!B974</f>
        <v>CONGO</v>
      </c>
      <c r="C976" s="113" t="str">
        <f>PR!D974</f>
        <v>1 bottle (25G)</v>
      </c>
      <c r="D976" s="113">
        <f>PR!C974</f>
        <v>1</v>
      </c>
      <c r="E976" s="108">
        <f>IF(F976="ALPHA",PR!$E974,IF(F976="ASSENE",PR!$F974,IF(F976="BIOFEM",PR!$G974,IF(F976="BIOMED",PR!$H974,IF(F976="CHI",PR!$I974,IF(F976="CLARION",PR!$J974,IF(F976="CODIX",PR!$K974,IF(F976="COSMADE",PR!$L974,IF(F976="SANCON",PR!$M974,IF(F976="DEVON",PR!$N974,IF(F976="DORTEMAG",PR!$O974,IF(F976="DGF",PR!$P974,IF(F976="DYNAMIC",PR!$Q974,IF(F976="EMZOR",PR!$R974,IF(F976="EUMATT",PR!$S974,IF(F976="FIDSON",PR!$T974,IF(F976="FCGLOBAL",PR!$U974,IF(F976="GENEITH",PR!$V974,IF(F976="GINOS",PR!$W974,IF(F976="GSK",PR!$X974,IF(F976="GLOBORG",PR!$Y974,IF(F976="GOODNEWS",PR!$Z974,IF(F976="GREENLIFE",PR!$AA974,IF(F976="HLINE",PR!$AB974,IF(F976="ROTECH",PR!$AC974,IF(F976="ISN",PR!$AD974,IF(F976="JAWA",PR!$AE974,IF(F976="LAYO",PR!$AF974,IF(F976="LEADWAY",PR!$AG974,IF(F976="LHV",PR!$AH974,IF(F976="MANOLA",PR!$AI974,IF(F976="MARCSON",PR!$AJ974,IF(F976="M&amp;B",PR!$AK974,IF(F976="MTRUST",PR!$AL974,IF(F976="MWORLD",PR!$AM974,IF(F976="MEGA",PR!$AN974,IF(F976="MICRONOVA",PR!$AO974,IF(F976="MFLASH",PR!$AP974,IF(F976="MORISON",PR!$AQ974,IF(F976="NEMEL",PR!$AR974,IF(F976="NHP",PR!$AS974,IF(F976="NHC",PR!$AT974,IF(F976="OLEAF",PR!$AU974,IF(F976="OCULUS",PR!$AV974,IF(F976="PACIFIC",PR!$AW974,IF(F976="PHAMATEX",PR!$AX974,IF(F976="PETHICS",PR!$AY974,IF(F976="PHILIPS",PR!$AZ974,IF(F976="RANBAXY",PR!$BA974,IF(F976="REALS",PR!$BB974,IF(F976="ROYAL",PR!$BC974,IF(F976="SAM",PR!$BD974,IF(F976="SEAGREEN",PR!$BE974,IF(F976="SKG",PR!$BF974,IF(F976="TAH",PR!$BG974,IF(F976="TAYLEK",PR!$BH974,IF(F976="TEMITA",PR!$BI974,IF(F976="THL",PR!$BJ974,IF(F976="UBASTIC",PR!$BK974,IF(F976="UNION",PR!$BL974,IF(F976="UNIQUE",PR!$BM974,IF(F976="VIXA",PR!$BN974,IF(F976="WWCV",PR!$BO974,IF(F976="ZOLON",PR!$BP974,"-"))))))))))))))))))))))))))))))))))))))))))))))))))))))))))))))))</f>
        <v>3300</v>
      </c>
      <c r="F976" s="102" t="str">
        <f>EV!L1237</f>
        <v>TEMITA</v>
      </c>
      <c r="G976" s="108">
        <f>IF(H976="ALPHA",PR!$E974,IF(H976="ASSENE",PR!$F974,IF(H976="BIOFEM",PR!$G974,IF(H976="BIOMED",PR!$H974,IF(H976="CHI",PR!$I974,IF(H976="CLARION",PR!$J974,IF(H976="CODIX",PR!$K974,IF(H976="COSMADE",PR!$L974,IF(H976="SANCON",PR!$M974,IF(H976="DEVON",PR!$N974,IF(H976="DORTEMAG",PR!$O974,IF(H976="DGF",PR!$P974,IF(H976="DYNAMIC",PR!$Q974,IF(H976="EMZOR",PR!$R974,IF(H976="EUMATT",PR!$S974,IF(H976="FIDSON",PR!$T974,IF(H976="FCGLOBAL",PR!$U974,IF(H976="GENEITH",PR!$V974,IF(H976="GINOS",PR!$W974,IF(H976="GSK",PR!$X974,IF(H976="GLOBORG",PR!$Y974,IF(H976="GOODNEWS",PR!$Z974,IF(H976="GREENLIFE",PR!$AA974,IF(H976="HLINE",PR!$AB974,IF(H976="ROTECH",PR!$AC974,IF(H976="ISN",PR!$AD974,IF(H976="JAWA",PR!$AE974,IF(H976="LAYO",PR!$AF974,IF(H976="LEADWAY",PR!$AG974,IF(H976="LHV",PR!$AH974,IF(H976="MANOLA",PR!$AI974,IF(H976="MARCSON",PR!$AJ974,IF(H976="M&amp;B",PR!$AK974,IF(H976="MTRUST",PR!$AL974,IF(H976="MWORLD",PR!$AM974,IF(H976="MEGA",PR!$AN974,IF(H976="MICRONOVA",PR!$AO974,IF(H976="MFLASH",PR!$AP974,IF(H976="MORISON",PR!$AQ974,IF(H976="NEMEL",PR!$AR974,IF(H976="NHP",PR!$AS974,IF(H976="NHC",PR!$AT974,IF(H976="OLEAF",PR!$AU974,IF(H976="OCULUS",PR!$AV974,IF(H976="PACIFIC",PR!$AW974,IF(H976="PHAMATEX",PR!$AX974,IF(H976="PETHICS",PR!$AY974,IF(H976="PHILIPS",PR!$AZ974,IF(H976="RANBAXY",PR!$BA974,IF(H976="REALS",PR!$BB974,IF(H976="ROYAL",PR!$BC974,IF(H976="SAM",PR!$BD974,IF(H976="SEAGREEN",PR!$BE974,IF(H976="SKG",PR!$BF974,IF(H976="TAH",PR!$BG974,IF(H976="TAYLEK",PR!$BH974,IF(H976="TEMITA",PR!$BI974,IF(H976="THL",PR!$BJ974,IF(H976="UBASTIC",PR!$BK974,IF(H976="UNION",PR!$BL974,IF(H976="UNIQUE",PR!$BM974,IF(H976="VIXA",PR!$BN974,IF(H976="WWCV",PR!$BO974,IF(H976="ZOLON",PR!$BP974,"-"))))))))))))))))))))))))))))))))))))))))))))))))))))))))))))))))</f>
        <v>4375</v>
      </c>
      <c r="H976" s="102" t="str">
        <f>EV!M1237</f>
        <v>DYNAMIC</v>
      </c>
      <c r="I976" s="108">
        <f>IF(J976="ALPHA",PR!$E974,IF(J976="ASSENE",PR!$F974,IF(J976="BIOFEM",PR!$G974,IF(J976="BIOMED",PR!$H974,IF(J976="CHI",PR!$I974,IF(J976="CLARION",PR!$J974,IF(J976="CODIX",PR!$K974,IF(J976="COSMADE",PR!$L974,IF(J976="SANCON",PR!$M974,IF(J976="DEVON",PR!$N974,IF(J976="DORTEMAG",PR!$O974,IF(J976="DGF",PR!$P974,IF(J976="DYNAMIC",PR!$Q974,IF(J976="EMZOR",PR!$R974,IF(J976="EUMATT",PR!$S974,IF(J976="FIDSON",PR!$T974,IF(J976="FCGLOBAL",PR!$U974,IF(J976="GENEITH",PR!$V974,IF(J976="GINOS",PR!$W974,IF(J976="GSK",PR!$X974,IF(J976="GLOBORG",PR!$Y974,IF(J976="GOODNEWS",PR!$Z974,IF(J976="GREENLIFE",PR!$AA974,IF(J976="HLINE",PR!$AB974,IF(J976="ROTECH",PR!$AC974,IF(J976="ISN",PR!$AD974,IF(J976="JAWA",PR!$AE974,IF(J976="LAYO",PR!$AF974,IF(J976="LEADWAY",PR!$AG974,IF(J976="LHV",PR!$AH974,IF(J976="MANOLA",PR!$AI974,IF(J976="MARCSON",PR!$AJ974,IF(J976="M&amp;B",PR!$AK974,IF(J976="MTRUST",PR!$AL974,IF(J976="MWORLD",PR!$AM974,IF(J976="MEGA",PR!$AN974,IF(J976="MICRONOVA",PR!$AO974,IF(J976="MFLASH",PR!$AP974,IF(J976="MORISON",PR!$AQ974,IF(J976="NEMEL",PR!$AR974,IF(J976="NHP",PR!$AS974,IF(J976="NHC",PR!$AT974,IF(J976="OLEAF",PR!$AU974,IF(J976="OCULUS",PR!$AV974,IF(J976="PACIFIC",PR!$AW974,IF(J976="PHAMATEX",PR!$AX974,IF(J976="PETHICS",PR!$AY974,IF(J976="PHILIPS",PR!$AZ974,IF(J976="RANBAXY",PR!$BA974,IF(J976="REALS",PR!$BB974,IF(J976="ROYAL",PR!$BC974,IF(J976="SAM",PR!$BD974,IF(J976="SEAGREEN",PR!$BE974,IF(J976="SKG",PR!$BF974,IF(J976="TAH",PR!$BG974,IF(J976="TAYLEK",PR!$BH974,IF(J976="TEMITA",PR!$BI974,IF(J976="THL",PR!$BJ974,IF(J976="UBASTIC",PR!$BK974,IF(J976="UNION",PR!$BL974,IF(J976="UNIQUE",PR!$BM974,IF(J976="VIXA",PR!$BN974,IF(J976="WWCV",PR!$BO974,IF(J976="ZOLON",PR!$BP974,"-"))))))))))))))))))))))))))))))))))))))))))))))))))))))))))))))))</f>
        <v>5000</v>
      </c>
      <c r="J976" s="102" t="str">
        <f>EV!N1237</f>
        <v>SANCON</v>
      </c>
      <c r="K976" s="433" t="s">
        <v>1463</v>
      </c>
      <c r="L976" s="183">
        <f>IF(K976&gt;0,IF(K976="ALPHA",PR!$E974,IF(K976="ASSENE",PR!$F974,IF(K976="BIOFEM",PR!$G974,IF(K976="BIOMED",PR!$H974,IF(K976="CHI",PR!$I974,IF(K976="CLARION",PR!$J974,IF(K976="CODIX",PR!$K974,IF(K976="COSMADE",PR!$L974,IF(K976="SANCON",PR!$M974,IF(K976="DEVON",PR!$N974,IF(K976="DORTEMAG",PR!$O974,IF(K976="DGF",PR!$P974,IF(K976="DYNAMIC",PR!$Q974,IF(K976="EMZOR",PR!$R974,IF(K976="EUMATT",PR!$S974,IF(K976="FIDSON",PR!$T974,IF(K976="FCGLOBAL",PR!$U974,IF(K976="GENEITH",PR!$V974,IF(K976="GINOS",PR!$W974,IF(K976="GSK",PR!$X974,IF(K976="GLOBORG",PR!$Y974,IF(K976="GOODNEWS",PR!$Z974,IF(K976="GREENLIFE",PR!$AA974,IF(K976="HLINE",PR!$AB974,IF(K976="ROTECH",PR!$AC974,IF(K976="ISN",PR!$AD974,IF(K976="JAWA",PR!$AE974,IF(K976="LAYO",PR!$AF974,IF(K976="LEADWAY",PR!$AG974,IF(K976="LHV",PR!$AH974,IF(K976="MANOLA",PR!$AI974,IF(K976="MARCSON",PR!$AJ974,IF(K976="M&amp;B",PR!$AK974,IF(K976="MTRUST",PR!$AL974,IF(K976="MWORLD",PR!$AM974,IF(K976="MEGA",PR!$AN974,IF(K976="MICRONOVA",PR!$AO974,IF(K976="MFLASH",PR!$AP974,IF(K976="MORISON",PR!$AQ974,IF(K976="NEMEL",PR!$AR974,IF(K976="NHP",PR!$AS974,IF(K976="NHC",PR!$AT974,IF(K976="OLEAF",PR!$AU974,IF(K976="OCULUS",PR!$AV974,IF(K976="PACIFIC",PR!$AW974,IF(K976="PHAMATEX",PR!$AX974,IF(K976="PETHICS",PR!$AY974,IF(K976="PHILIPS",PR!$AZ974,IF(K976="RANBAXY",PR!$BA974,IF(K976="REALS",PR!$BB974,IF(K976="ROYAL",PR!$BC974,IF(K976="SAM",PR!$BD974,IF(K976="SEAGREEN",PR!$BE974,IF(K976="SKG",PR!$BF974,IF(K976="TAH",PR!$BG974,IF(K976="TAYLEK",PR!$BH974,IF(K976="TEMITA",PR!$BI974,IF(K976="THL",PR!$BJ974,IF(K976="UBASTIC",PR!$BK974,IF(K976="UNION",PR!$BL974,IF(K976="UNIQUE",PR!$BM974,IF(K976="VIXA",PR!$BN974,IF(K976="WWCV",PR!$BO974,IF(K976="ZOLON",PR!$BP974,"-")))))))))))))))))))))))))))))))))))))))))))))))))))))))))))))))))</f>
        <v>3300</v>
      </c>
    </row>
    <row r="977" spans="1:12" ht="18.75" x14ac:dyDescent="0.3">
      <c r="A977" s="430">
        <f>PR!A975</f>
        <v>879</v>
      </c>
      <c r="B977" s="15" t="str">
        <f>PR!B975</f>
        <v>COUPLING JAR</v>
      </c>
      <c r="C977" s="113" t="str">
        <f>PR!D975</f>
        <v>1 pack of 5 Slides</v>
      </c>
      <c r="D977" s="113">
        <f>PR!C975</f>
        <v>10</v>
      </c>
      <c r="E977" s="108">
        <f>IF(F977="ALPHA",PR!$E975,IF(F977="ASSENE",PR!$F975,IF(F977="BIOFEM",PR!$G975,IF(F977="BIOMED",PR!$H975,IF(F977="CHI",PR!$I975,IF(F977="CLARION",PR!$J975,IF(F977="CODIX",PR!$K975,IF(F977="COSMADE",PR!$L975,IF(F977="SANCON",PR!$M975,IF(F977="DEVON",PR!$N975,IF(F977="DORTEMAG",PR!$O975,IF(F977="DGF",PR!$P975,IF(F977="DYNAMIC",PR!$Q975,IF(F977="EMZOR",PR!$R975,IF(F977="EUMATT",PR!$S975,IF(F977="FIDSON",PR!$T975,IF(F977="FCGLOBAL",PR!$U975,IF(F977="GENEITH",PR!$V975,IF(F977="GINOS",PR!$W975,IF(F977="GSK",PR!$X975,IF(F977="GLOBORG",PR!$Y975,IF(F977="GOODNEWS",PR!$Z975,IF(F977="GREENLIFE",PR!$AA975,IF(F977="HLINE",PR!$AB975,IF(F977="ROTECH",PR!$AC975,IF(F977="ISN",PR!$AD975,IF(F977="JAWA",PR!$AE975,IF(F977="LAYO",PR!$AF975,IF(F977="LEADWAY",PR!$AG975,IF(F977="LHV",PR!$AH975,IF(F977="MANOLA",PR!$AI975,IF(F977="MARCSON",PR!$AJ975,IF(F977="M&amp;B",PR!$AK975,IF(F977="MTRUST",PR!$AL975,IF(F977="MWORLD",PR!$AM975,IF(F977="MEGA",PR!$AN975,IF(F977="MICRONOVA",PR!$AO975,IF(F977="MFLASH",PR!$AP975,IF(F977="MORISON",PR!$AQ975,IF(F977="NEMEL",PR!$AR975,IF(F977="NHP",PR!$AS975,IF(F977="NHC",PR!$AT975,IF(F977="OLEAF",PR!$AU975,IF(F977="OCULUS",PR!$AV975,IF(F977="PACIFIC",PR!$AW975,IF(F977="PHAMATEX",PR!$AX975,IF(F977="PETHICS",PR!$AY975,IF(F977="PHILIPS",PR!$AZ975,IF(F977="RANBAXY",PR!$BA975,IF(F977="REALS",PR!$BB975,IF(F977="ROYAL",PR!$BC975,IF(F977="SAM",PR!$BD975,IF(F977="SEAGREEN",PR!$BE975,IF(F977="SKG",PR!$BF975,IF(F977="TAH",PR!$BG975,IF(F977="TAYLEK",PR!$BH975,IF(F977="TEMITA",PR!$BI975,IF(F977="THL",PR!$BJ975,IF(F977="UBASTIC",PR!$BK975,IF(F977="UNION",PR!$BL975,IF(F977="UNIQUE",PR!$BM975,IF(F977="VIXA",PR!$BN975,IF(F977="WWCV",PR!$BO975,IF(F977="ZOLON",PR!$BP975,"-"))))))))))))))))))))))))))))))))))))))))))))))))))))))))))))))))</f>
        <v>650</v>
      </c>
      <c r="F977" s="102" t="str">
        <f>EV!L1238</f>
        <v>LAYO</v>
      </c>
      <c r="G977" s="108">
        <f>IF(H977="ALPHA",PR!$E975,IF(H977="ASSENE",PR!$F975,IF(H977="BIOFEM",PR!$G975,IF(H977="BIOMED",PR!$H975,IF(H977="CHI",PR!$I975,IF(H977="CLARION",PR!$J975,IF(H977="CODIX",PR!$K975,IF(H977="COSMADE",PR!$L975,IF(H977="SANCON",PR!$M975,IF(H977="DEVON",PR!$N975,IF(H977="DORTEMAG",PR!$O975,IF(H977="DGF",PR!$P975,IF(H977="DYNAMIC",PR!$Q975,IF(H977="EMZOR",PR!$R975,IF(H977="EUMATT",PR!$S975,IF(H977="FIDSON",PR!$T975,IF(H977="FCGLOBAL",PR!$U975,IF(H977="GENEITH",PR!$V975,IF(H977="GINOS",PR!$W975,IF(H977="GSK",PR!$X975,IF(H977="GLOBORG",PR!$Y975,IF(H977="GOODNEWS",PR!$Z975,IF(H977="GREENLIFE",PR!$AA975,IF(H977="HLINE",PR!$AB975,IF(H977="ROTECH",PR!$AC975,IF(H977="ISN",PR!$AD975,IF(H977="JAWA",PR!$AE975,IF(H977="LAYO",PR!$AF975,IF(H977="LEADWAY",PR!$AG975,IF(H977="LHV",PR!$AH975,IF(H977="MANOLA",PR!$AI975,IF(H977="MARCSON",PR!$AJ975,IF(H977="M&amp;B",PR!$AK975,IF(H977="MTRUST",PR!$AL975,IF(H977="MWORLD",PR!$AM975,IF(H977="MEGA",PR!$AN975,IF(H977="MICRONOVA",PR!$AO975,IF(H977="MFLASH",PR!$AP975,IF(H977="MORISON",PR!$AQ975,IF(H977="NEMEL",PR!$AR975,IF(H977="NHP",PR!$AS975,IF(H977="NHC",PR!$AT975,IF(H977="OLEAF",PR!$AU975,IF(H977="OCULUS",PR!$AV975,IF(H977="PACIFIC",PR!$AW975,IF(H977="PHAMATEX",PR!$AX975,IF(H977="PETHICS",PR!$AY975,IF(H977="PHILIPS",PR!$AZ975,IF(H977="RANBAXY",PR!$BA975,IF(H977="REALS",PR!$BB975,IF(H977="ROYAL",PR!$BC975,IF(H977="SAM",PR!$BD975,IF(H977="SEAGREEN",PR!$BE975,IF(H977="SKG",PR!$BF975,IF(H977="TAH",PR!$BG975,IF(H977="TAYLEK",PR!$BH975,IF(H977="TEMITA",PR!$BI975,IF(H977="THL",PR!$BJ975,IF(H977="UBASTIC",PR!$BK975,IF(H977="UNION",PR!$BL975,IF(H977="UNIQUE",PR!$BM975,IF(H977="VIXA",PR!$BN975,IF(H977="WWCV",PR!$BO975,IF(H977="ZOLON",PR!$BP975,"-"))))))))))))))))))))))))))))))))))))))))))))))))))))))))))))))))</f>
        <v>2500</v>
      </c>
      <c r="H977" s="102" t="str">
        <f>EV!M1238</f>
        <v>SANCON</v>
      </c>
      <c r="I977" s="108">
        <f>IF(J977="ALPHA",PR!$E975,IF(J977="ASSENE",PR!$F975,IF(J977="BIOFEM",PR!$G975,IF(J977="BIOMED",PR!$H975,IF(J977="CHI",PR!$I975,IF(J977="CLARION",PR!$J975,IF(J977="CODIX",PR!$K975,IF(J977="COSMADE",PR!$L975,IF(J977="SANCON",PR!$M975,IF(J977="DEVON",PR!$N975,IF(J977="DORTEMAG",PR!$O975,IF(J977="DGF",PR!$P975,IF(J977="DYNAMIC",PR!$Q975,IF(J977="EMZOR",PR!$R975,IF(J977="EUMATT",PR!$S975,IF(J977="FIDSON",PR!$T975,IF(J977="FCGLOBAL",PR!$U975,IF(J977="GENEITH",PR!$V975,IF(J977="GINOS",PR!$W975,IF(J977="GSK",PR!$X975,IF(J977="GLOBORG",PR!$Y975,IF(J977="GOODNEWS",PR!$Z975,IF(J977="GREENLIFE",PR!$AA975,IF(J977="HLINE",PR!$AB975,IF(J977="ROTECH",PR!$AC975,IF(J977="ISN",PR!$AD975,IF(J977="JAWA",PR!$AE975,IF(J977="LAYO",PR!$AF975,IF(J977="LEADWAY",PR!$AG975,IF(J977="LHV",PR!$AH975,IF(J977="MANOLA",PR!$AI975,IF(J977="MARCSON",PR!$AJ975,IF(J977="M&amp;B",PR!$AK975,IF(J977="MTRUST",PR!$AL975,IF(J977="MWORLD",PR!$AM975,IF(J977="MEGA",PR!$AN975,IF(J977="MICRONOVA",PR!$AO975,IF(J977="MFLASH",PR!$AP975,IF(J977="MORISON",PR!$AQ975,IF(J977="NEMEL",PR!$AR975,IF(J977="NHP",PR!$AS975,IF(J977="NHC",PR!$AT975,IF(J977="OLEAF",PR!$AU975,IF(J977="OCULUS",PR!$AV975,IF(J977="PACIFIC",PR!$AW975,IF(J977="PHAMATEX",PR!$AX975,IF(J977="PETHICS",PR!$AY975,IF(J977="PHILIPS",PR!$AZ975,IF(J977="RANBAXY",PR!$BA975,IF(J977="REALS",PR!$BB975,IF(J977="ROYAL",PR!$BC975,IF(J977="SAM",PR!$BD975,IF(J977="SEAGREEN",PR!$BE975,IF(J977="SKG",PR!$BF975,IF(J977="TAH",PR!$BG975,IF(J977="TAYLEK",PR!$BH975,IF(J977="TEMITA",PR!$BI975,IF(J977="THL",PR!$BJ975,IF(J977="UBASTIC",PR!$BK975,IF(J977="UNION",PR!$BL975,IF(J977="UNIQUE",PR!$BM975,IF(J977="VIXA",PR!$BN975,IF(J977="WWCV",PR!$BO975,IF(J977="ZOLON",PR!$BP975,"-"))))))))))))))))))))))))))))))))))))))))))))))))))))))))))))))))</f>
        <v>2875</v>
      </c>
      <c r="J977" s="102" t="str">
        <f>EV!N1238</f>
        <v>DYNAMIC</v>
      </c>
      <c r="K977" s="433" t="s">
        <v>1461</v>
      </c>
      <c r="L977" s="183">
        <f>IF(K977&gt;0,IF(K977="ALPHA",PR!$E975,IF(K977="ASSENE",PR!$F975,IF(K977="BIOFEM",PR!$G975,IF(K977="BIOMED",PR!$H975,IF(K977="CHI",PR!$I975,IF(K977="CLARION",PR!$J975,IF(K977="CODIX",PR!$K975,IF(K977="COSMADE",PR!$L975,IF(K977="SANCON",PR!$M975,IF(K977="DEVON",PR!$N975,IF(K977="DORTEMAG",PR!$O975,IF(K977="DGF",PR!$P975,IF(K977="DYNAMIC",PR!$Q975,IF(K977="EMZOR",PR!$R975,IF(K977="EUMATT",PR!$S975,IF(K977="FIDSON",PR!$T975,IF(K977="FCGLOBAL",PR!$U975,IF(K977="GENEITH",PR!$V975,IF(K977="GINOS",PR!$W975,IF(K977="GSK",PR!$X975,IF(K977="GLOBORG",PR!$Y975,IF(K977="GOODNEWS",PR!$Z975,IF(K977="GREENLIFE",PR!$AA975,IF(K977="HLINE",PR!$AB975,IF(K977="ROTECH",PR!$AC975,IF(K977="ISN",PR!$AD975,IF(K977="JAWA",PR!$AE975,IF(K977="LAYO",PR!$AF975,IF(K977="LEADWAY",PR!$AG975,IF(K977="LHV",PR!$AH975,IF(K977="MANOLA",PR!$AI975,IF(K977="MARCSON",PR!$AJ975,IF(K977="M&amp;B",PR!$AK975,IF(K977="MTRUST",PR!$AL975,IF(K977="MWORLD",PR!$AM975,IF(K977="MEGA",PR!$AN975,IF(K977="MICRONOVA",PR!$AO975,IF(K977="MFLASH",PR!$AP975,IF(K977="MORISON",PR!$AQ975,IF(K977="NEMEL",PR!$AR975,IF(K977="NHP",PR!$AS975,IF(K977="NHC",PR!$AT975,IF(K977="OLEAF",PR!$AU975,IF(K977="OCULUS",PR!$AV975,IF(K977="PACIFIC",PR!$AW975,IF(K977="PHAMATEX",PR!$AX975,IF(K977="PETHICS",PR!$AY975,IF(K977="PHILIPS",PR!$AZ975,IF(K977="RANBAXY",PR!$BA975,IF(K977="REALS",PR!$BB975,IF(K977="ROYAL",PR!$BC975,IF(K977="SAM",PR!$BD975,IF(K977="SEAGREEN",PR!$BE975,IF(K977="SKG",PR!$BF975,IF(K977="TAH",PR!$BG975,IF(K977="TAYLEK",PR!$BH975,IF(K977="TEMITA",PR!$BI975,IF(K977="THL",PR!$BJ975,IF(K977="UBASTIC",PR!$BK975,IF(K977="UNION",PR!$BL975,IF(K977="UNIQUE",PR!$BM975,IF(K977="VIXA",PR!$BN975,IF(K977="WWCV",PR!$BO975,IF(K977="ZOLON",PR!$BP975,"-")))))))))))))))))))))))))))))))))))))))))))))))))))))))))))))))))</f>
        <v>650</v>
      </c>
    </row>
    <row r="978" spans="1:12" ht="18.75" x14ac:dyDescent="0.3">
      <c r="A978" s="430">
        <f>PR!A976</f>
        <v>880</v>
      </c>
      <c r="B978" s="15" t="str">
        <f>PR!B976</f>
        <v>EMBEDDING MOULD STAINLESS</v>
      </c>
      <c r="C978" s="113" t="str">
        <f>PR!D976</f>
        <v>1 pack (12pcs)</v>
      </c>
      <c r="D978" s="113">
        <f>PR!C976</f>
        <v>15</v>
      </c>
      <c r="E978" s="108">
        <f>IF(F978="ALPHA",PR!$E976,IF(F978="ASSENE",PR!$F976,IF(F978="BIOFEM",PR!$G976,IF(F978="BIOMED",PR!$H976,IF(F978="CHI",PR!$I976,IF(F978="CLARION",PR!$J976,IF(F978="CODIX",PR!$K976,IF(F978="COSMADE",PR!$L976,IF(F978="SANCON",PR!$M976,IF(F978="DEVON",PR!$N976,IF(F978="DORTEMAG",PR!$O976,IF(F978="DGF",PR!$P976,IF(F978="DYNAMIC",PR!$Q976,IF(F978="EMZOR",PR!$R976,IF(F978="EUMATT",PR!$S976,IF(F978="FIDSON",PR!$T976,IF(F978="FCGLOBAL",PR!$U976,IF(F978="GENEITH",PR!$V976,IF(F978="GINOS",PR!$W976,IF(F978="GSK",PR!$X976,IF(F978="GLOBORG",PR!$Y976,IF(F978="GOODNEWS",PR!$Z976,IF(F978="GREENLIFE",PR!$AA976,IF(F978="HLINE",PR!$AB976,IF(F978="ROTECH",PR!$AC976,IF(F978="ISN",PR!$AD976,IF(F978="JAWA",PR!$AE976,IF(F978="LAYO",PR!$AF976,IF(F978="LEADWAY",PR!$AG976,IF(F978="LHV",PR!$AH976,IF(F978="MANOLA",PR!$AI976,IF(F978="MARCSON",PR!$AJ976,IF(F978="M&amp;B",PR!$AK976,IF(F978="MTRUST",PR!$AL976,IF(F978="MWORLD",PR!$AM976,IF(F978="MEGA",PR!$AN976,IF(F978="MICRONOVA",PR!$AO976,IF(F978="MFLASH",PR!$AP976,IF(F978="MORISON",PR!$AQ976,IF(F978="NEMEL",PR!$AR976,IF(F978="NHP",PR!$AS976,IF(F978="NHC",PR!$AT976,IF(F978="OLEAF",PR!$AU976,IF(F978="OCULUS",PR!$AV976,IF(F978="PACIFIC",PR!$AW976,IF(F978="PHAMATEX",PR!$AX976,IF(F978="PETHICS",PR!$AY976,IF(F978="PHILIPS",PR!$AZ976,IF(F978="RANBAXY",PR!$BA976,IF(F978="REALS",PR!$BB976,IF(F978="ROYAL",PR!$BC976,IF(F978="SAM",PR!$BD976,IF(F978="SEAGREEN",PR!$BE976,IF(F978="SKG",PR!$BF976,IF(F978="TAH",PR!$BG976,IF(F978="TAYLEK",PR!$BH976,IF(F978="TEMITA",PR!$BI976,IF(F978="THL",PR!$BJ976,IF(F978="UBASTIC",PR!$BK976,IF(F978="UNION",PR!$BL976,IF(F978="UNIQUE",PR!$BM976,IF(F978="VIXA",PR!$BN976,IF(F978="WWCV",PR!$BO976,IF(F978="ZOLON",PR!$BP976,"-"))))))))))))))))))))))))))))))))))))))))))))))))))))))))))))))))</f>
        <v>15600</v>
      </c>
      <c r="F978" s="102" t="str">
        <f>EV!L1239</f>
        <v>LAYO</v>
      </c>
      <c r="G978" s="108">
        <f>IF(H978="ALPHA",PR!$E976,IF(H978="ASSENE",PR!$F976,IF(H978="BIOFEM",PR!$G976,IF(H978="BIOMED",PR!$H976,IF(H978="CHI",PR!$I976,IF(H978="CLARION",PR!$J976,IF(H978="CODIX",PR!$K976,IF(H978="COSMADE",PR!$L976,IF(H978="SANCON",PR!$M976,IF(H978="DEVON",PR!$N976,IF(H978="DORTEMAG",PR!$O976,IF(H978="DGF",PR!$P976,IF(H978="DYNAMIC",PR!$Q976,IF(H978="EMZOR",PR!$R976,IF(H978="EUMATT",PR!$S976,IF(H978="FIDSON",PR!$T976,IF(H978="FCGLOBAL",PR!$U976,IF(H978="GENEITH",PR!$V976,IF(H978="GINOS",PR!$W976,IF(H978="GSK",PR!$X976,IF(H978="GLOBORG",PR!$Y976,IF(H978="GOODNEWS",PR!$Z976,IF(H978="GREENLIFE",PR!$AA976,IF(H978="HLINE",PR!$AB976,IF(H978="ROTECH",PR!$AC976,IF(H978="ISN",PR!$AD976,IF(H978="JAWA",PR!$AE976,IF(H978="LAYO",PR!$AF976,IF(H978="LEADWAY",PR!$AG976,IF(H978="LHV",PR!$AH976,IF(H978="MANOLA",PR!$AI976,IF(H978="MARCSON",PR!$AJ976,IF(H978="M&amp;B",PR!$AK976,IF(H978="MTRUST",PR!$AL976,IF(H978="MWORLD",PR!$AM976,IF(H978="MEGA",PR!$AN976,IF(H978="MICRONOVA",PR!$AO976,IF(H978="MFLASH",PR!$AP976,IF(H978="MORISON",PR!$AQ976,IF(H978="NEMEL",PR!$AR976,IF(H978="NHP",PR!$AS976,IF(H978="NHC",PR!$AT976,IF(H978="OLEAF",PR!$AU976,IF(H978="OCULUS",PR!$AV976,IF(H978="PACIFIC",PR!$AW976,IF(H978="PHAMATEX",PR!$AX976,IF(H978="PETHICS",PR!$AY976,IF(H978="PHILIPS",PR!$AZ976,IF(H978="RANBAXY",PR!$BA976,IF(H978="REALS",PR!$BB976,IF(H978="ROYAL",PR!$BC976,IF(H978="SAM",PR!$BD976,IF(H978="SEAGREEN",PR!$BE976,IF(H978="SKG",PR!$BF976,IF(H978="TAH",PR!$BG976,IF(H978="TAYLEK",PR!$BH976,IF(H978="TEMITA",PR!$BI976,IF(H978="THL",PR!$BJ976,IF(H978="UBASTIC",PR!$BK976,IF(H978="UNION",PR!$BL976,IF(H978="UNIQUE",PR!$BM976,IF(H978="VIXA",PR!$BN976,IF(H978="WWCV",PR!$BO976,IF(H978="ZOLON",PR!$BP976,"-"))))))))))))))))))))))))))))))))))))))))))))))))))))))))))))))))</f>
        <v>21500</v>
      </c>
      <c r="H978" s="102" t="str">
        <f>EV!M1239</f>
        <v>SANCON</v>
      </c>
      <c r="I978" s="108">
        <f>IF(J978="ALPHA",PR!$E976,IF(J978="ASSENE",PR!$F976,IF(J978="BIOFEM",PR!$G976,IF(J978="BIOMED",PR!$H976,IF(J978="CHI",PR!$I976,IF(J978="CLARION",PR!$J976,IF(J978="CODIX",PR!$K976,IF(J978="COSMADE",PR!$L976,IF(J978="SANCON",PR!$M976,IF(J978="DEVON",PR!$N976,IF(J978="DORTEMAG",PR!$O976,IF(J978="DGF",PR!$P976,IF(J978="DYNAMIC",PR!$Q976,IF(J978="EMZOR",PR!$R976,IF(J978="EUMATT",PR!$S976,IF(J978="FIDSON",PR!$T976,IF(J978="FCGLOBAL",PR!$U976,IF(J978="GENEITH",PR!$V976,IF(J978="GINOS",PR!$W976,IF(J978="GSK",PR!$X976,IF(J978="GLOBORG",PR!$Y976,IF(J978="GOODNEWS",PR!$Z976,IF(J978="GREENLIFE",PR!$AA976,IF(J978="HLINE",PR!$AB976,IF(J978="ROTECH",PR!$AC976,IF(J978="ISN",PR!$AD976,IF(J978="JAWA",PR!$AE976,IF(J978="LAYO",PR!$AF976,IF(J978="LEADWAY",PR!$AG976,IF(J978="LHV",PR!$AH976,IF(J978="MANOLA",PR!$AI976,IF(J978="MARCSON",PR!$AJ976,IF(J978="M&amp;B",PR!$AK976,IF(J978="MTRUST",PR!$AL976,IF(J978="MWORLD",PR!$AM976,IF(J978="MEGA",PR!$AN976,IF(J978="MICRONOVA",PR!$AO976,IF(J978="MFLASH",PR!$AP976,IF(J978="MORISON",PR!$AQ976,IF(J978="NEMEL",PR!$AR976,IF(J978="NHP",PR!$AS976,IF(J978="NHC",PR!$AT976,IF(J978="OLEAF",PR!$AU976,IF(J978="OCULUS",PR!$AV976,IF(J978="PACIFIC",PR!$AW976,IF(J978="PHAMATEX",PR!$AX976,IF(J978="PETHICS",PR!$AY976,IF(J978="PHILIPS",PR!$AZ976,IF(J978="RANBAXY",PR!$BA976,IF(J978="REALS",PR!$BB976,IF(J978="ROYAL",PR!$BC976,IF(J978="SAM",PR!$BD976,IF(J978="SEAGREEN",PR!$BE976,IF(J978="SKG",PR!$BF976,IF(J978="TAH",PR!$BG976,IF(J978="TAYLEK",PR!$BH976,IF(J978="TEMITA",PR!$BI976,IF(J978="THL",PR!$BJ976,IF(J978="UBASTIC",PR!$BK976,IF(J978="UNION",PR!$BL976,IF(J978="UNIQUE",PR!$BM976,IF(J978="VIXA",PR!$BN976,IF(J978="WWCV",PR!$BO976,IF(J978="ZOLON",PR!$BP976,"-"))))))))))))))))))))))))))))))))))))))))))))))))))))))))))))))))</f>
        <v>90000</v>
      </c>
      <c r="J978" s="102" t="str">
        <f>EV!N1239</f>
        <v>UBASTIC</v>
      </c>
      <c r="K978" s="433" t="s">
        <v>1461</v>
      </c>
      <c r="L978" s="183">
        <f>IF(K978&gt;0,IF(K978="ALPHA",PR!$E976,IF(K978="ASSENE",PR!$F976,IF(K978="BIOFEM",PR!$G976,IF(K978="BIOMED",PR!$H976,IF(K978="CHI",PR!$I976,IF(K978="CLARION",PR!$J976,IF(K978="CODIX",PR!$K976,IF(K978="COSMADE",PR!$L976,IF(K978="SANCON",PR!$M976,IF(K978="DEVON",PR!$N976,IF(K978="DORTEMAG",PR!$O976,IF(K978="DGF",PR!$P976,IF(K978="DYNAMIC",PR!$Q976,IF(K978="EMZOR",PR!$R976,IF(K978="EUMATT",PR!$S976,IF(K978="FIDSON",PR!$T976,IF(K978="FCGLOBAL",PR!$U976,IF(K978="GENEITH",PR!$V976,IF(K978="GINOS",PR!$W976,IF(K978="GSK",PR!$X976,IF(K978="GLOBORG",PR!$Y976,IF(K978="GOODNEWS",PR!$Z976,IF(K978="GREENLIFE",PR!$AA976,IF(K978="HLINE",PR!$AB976,IF(K978="ROTECH",PR!$AC976,IF(K978="ISN",PR!$AD976,IF(K978="JAWA",PR!$AE976,IF(K978="LAYO",PR!$AF976,IF(K978="LEADWAY",PR!$AG976,IF(K978="LHV",PR!$AH976,IF(K978="MANOLA",PR!$AI976,IF(K978="MARCSON",PR!$AJ976,IF(K978="M&amp;B",PR!$AK976,IF(K978="MTRUST",PR!$AL976,IF(K978="MWORLD",PR!$AM976,IF(K978="MEGA",PR!$AN976,IF(K978="MICRONOVA",PR!$AO976,IF(K978="MFLASH",PR!$AP976,IF(K978="MORISON",PR!$AQ976,IF(K978="NEMEL",PR!$AR976,IF(K978="NHP",PR!$AS976,IF(K978="NHC",PR!$AT976,IF(K978="OLEAF",PR!$AU976,IF(K978="OCULUS",PR!$AV976,IF(K978="PACIFIC",PR!$AW976,IF(K978="PHAMATEX",PR!$AX976,IF(K978="PETHICS",PR!$AY976,IF(K978="PHILIPS",PR!$AZ976,IF(K978="RANBAXY",PR!$BA976,IF(K978="REALS",PR!$BB976,IF(K978="ROYAL",PR!$BC976,IF(K978="SAM",PR!$BD976,IF(K978="SEAGREEN",PR!$BE976,IF(K978="SKG",PR!$BF976,IF(K978="TAH",PR!$BG976,IF(K978="TAYLEK",PR!$BH976,IF(K978="TEMITA",PR!$BI976,IF(K978="THL",PR!$BJ976,IF(K978="UBASTIC",PR!$BK976,IF(K978="UNION",PR!$BL976,IF(K978="UNIQUE",PR!$BM976,IF(K978="VIXA",PR!$BN976,IF(K978="WWCV",PR!$BO976,IF(K978="ZOLON",PR!$BP976,"-")))))))))))))))))))))))))))))))))))))))))))))))))))))))))))))))))</f>
        <v>15600</v>
      </c>
    </row>
    <row r="979" spans="1:12" ht="18.75" x14ac:dyDescent="0.3">
      <c r="A979" s="430">
        <f>PR!A977</f>
        <v>881</v>
      </c>
      <c r="B979" s="15" t="str">
        <f>PR!B977</f>
        <v>EOSIN ESURE (EA 360R 50)</v>
      </c>
      <c r="C979" s="113" t="str">
        <f>PR!D977</f>
        <v>1 bottle (500mls)</v>
      </c>
      <c r="D979" s="113">
        <f>PR!C977</f>
        <v>5</v>
      </c>
      <c r="E979" s="108">
        <f>IF(F979="ALPHA",PR!$E977,IF(F979="ASSENE",PR!$F977,IF(F979="BIOFEM",PR!$G977,IF(F979="BIOMED",PR!$H977,IF(F979="CHI",PR!$I977,IF(F979="CLARION",PR!$J977,IF(F979="CODIX",PR!$K977,IF(F979="COSMADE",PR!$L977,IF(F979="SANCON",PR!$M977,IF(F979="DEVON",PR!$N977,IF(F979="DORTEMAG",PR!$O977,IF(F979="DGF",PR!$P977,IF(F979="DYNAMIC",PR!$Q977,IF(F979="EMZOR",PR!$R977,IF(F979="EUMATT",PR!$S977,IF(F979="FIDSON",PR!$T977,IF(F979="FCGLOBAL",PR!$U977,IF(F979="GENEITH",PR!$V977,IF(F979="GINOS",PR!$W977,IF(F979="GSK",PR!$X977,IF(F979="GLOBORG",PR!$Y977,IF(F979="GOODNEWS",PR!$Z977,IF(F979="GREENLIFE",PR!$AA977,IF(F979="HLINE",PR!$AB977,IF(F979="ROTECH",PR!$AC977,IF(F979="ISN",PR!$AD977,IF(F979="JAWA",PR!$AE977,IF(F979="LAYO",PR!$AF977,IF(F979="LEADWAY",PR!$AG977,IF(F979="LHV",PR!$AH977,IF(F979="MANOLA",PR!$AI977,IF(F979="MARCSON",PR!$AJ977,IF(F979="M&amp;B",PR!$AK977,IF(F979="MTRUST",PR!$AL977,IF(F979="MWORLD",PR!$AM977,IF(F979="MEGA",PR!$AN977,IF(F979="MICRONOVA",PR!$AO977,IF(F979="MFLASH",PR!$AP977,IF(F979="MORISON",PR!$AQ977,IF(F979="NEMEL",PR!$AR977,IF(F979="NHP",PR!$AS977,IF(F979="NHC",PR!$AT977,IF(F979="OLEAF",PR!$AU977,IF(F979="OCULUS",PR!$AV977,IF(F979="PACIFIC",PR!$AW977,IF(F979="PHAMATEX",PR!$AX977,IF(F979="PETHICS",PR!$AY977,IF(F979="PHILIPS",PR!$AZ977,IF(F979="RANBAXY",PR!$BA977,IF(F979="REALS",PR!$BB977,IF(F979="ROYAL",PR!$BC977,IF(F979="SAM",PR!$BD977,IF(F979="SEAGREEN",PR!$BE977,IF(F979="SKG",PR!$BF977,IF(F979="TAH",PR!$BG977,IF(F979="TAYLEK",PR!$BH977,IF(F979="TEMITA",PR!$BI977,IF(F979="THL",PR!$BJ977,IF(F979="UBASTIC",PR!$BK977,IF(F979="UNION",PR!$BL977,IF(F979="UNIQUE",PR!$BM977,IF(F979="VIXA",PR!$BN977,IF(F979="WWCV",PR!$BO977,IF(F979="ZOLON",PR!$BP977,"-"))))))))))))))))))))))))))))))))))))))))))))))))))))))))))))))))</f>
        <v>15625</v>
      </c>
      <c r="F979" s="102" t="str">
        <f>EV!L1240</f>
        <v>DYNAMIC</v>
      </c>
      <c r="G979" s="108">
        <f>IF(H979="ALPHA",PR!$E977,IF(H979="ASSENE",PR!$F977,IF(H979="BIOFEM",PR!$G977,IF(H979="BIOMED",PR!$H977,IF(H979="CHI",PR!$I977,IF(H979="CLARION",PR!$J977,IF(H979="CODIX",PR!$K977,IF(H979="COSMADE",PR!$L977,IF(H979="SANCON",PR!$M977,IF(H979="DEVON",PR!$N977,IF(H979="DORTEMAG",PR!$O977,IF(H979="DGF",PR!$P977,IF(H979="DYNAMIC",PR!$Q977,IF(H979="EMZOR",PR!$R977,IF(H979="EUMATT",PR!$S977,IF(H979="FIDSON",PR!$T977,IF(H979="FCGLOBAL",PR!$U977,IF(H979="GENEITH",PR!$V977,IF(H979="GINOS",PR!$W977,IF(H979="GSK",PR!$X977,IF(H979="GLOBORG",PR!$Y977,IF(H979="GOODNEWS",PR!$Z977,IF(H979="GREENLIFE",PR!$AA977,IF(H979="HLINE",PR!$AB977,IF(H979="ROTECH",PR!$AC977,IF(H979="ISN",PR!$AD977,IF(H979="JAWA",PR!$AE977,IF(H979="LAYO",PR!$AF977,IF(H979="LEADWAY",PR!$AG977,IF(H979="LHV",PR!$AH977,IF(H979="MANOLA",PR!$AI977,IF(H979="MARCSON",PR!$AJ977,IF(H979="M&amp;B",PR!$AK977,IF(H979="MTRUST",PR!$AL977,IF(H979="MWORLD",PR!$AM977,IF(H979="MEGA",PR!$AN977,IF(H979="MICRONOVA",PR!$AO977,IF(H979="MFLASH",PR!$AP977,IF(H979="MORISON",PR!$AQ977,IF(H979="NEMEL",PR!$AR977,IF(H979="NHP",PR!$AS977,IF(H979="NHC",PR!$AT977,IF(H979="OLEAF",PR!$AU977,IF(H979="OCULUS",PR!$AV977,IF(H979="PACIFIC",PR!$AW977,IF(H979="PHAMATEX",PR!$AX977,IF(H979="PETHICS",PR!$AY977,IF(H979="PHILIPS",PR!$AZ977,IF(H979="RANBAXY",PR!$BA977,IF(H979="REALS",PR!$BB977,IF(H979="ROYAL",PR!$BC977,IF(H979="SAM",PR!$BD977,IF(H979="SEAGREEN",PR!$BE977,IF(H979="SKG",PR!$BF977,IF(H979="TAH",PR!$BG977,IF(H979="TAYLEK",PR!$BH977,IF(H979="TEMITA",PR!$BI977,IF(H979="THL",PR!$BJ977,IF(H979="UBASTIC",PR!$BK977,IF(H979="UNION",PR!$BL977,IF(H979="UNIQUE",PR!$BM977,IF(H979="VIXA",PR!$BN977,IF(H979="WWCV",PR!$BO977,IF(H979="ZOLON",PR!$BP977,"-"))))))))))))))))))))))))))))))))))))))))))))))))))))))))))))))))</f>
        <v>17000</v>
      </c>
      <c r="H979" s="102" t="str">
        <f>EV!M1240</f>
        <v>COSMADE</v>
      </c>
      <c r="I979" s="108">
        <f>IF(J979="ALPHA",PR!$E977,IF(J979="ASSENE",PR!$F977,IF(J979="BIOFEM",PR!$G977,IF(J979="BIOMED",PR!$H977,IF(J979="CHI",PR!$I977,IF(J979="CLARION",PR!$J977,IF(J979="CODIX",PR!$K977,IF(J979="COSMADE",PR!$L977,IF(J979="SANCON",PR!$M977,IF(J979="DEVON",PR!$N977,IF(J979="DORTEMAG",PR!$O977,IF(J979="DGF",PR!$P977,IF(J979="DYNAMIC",PR!$Q977,IF(J979="EMZOR",PR!$R977,IF(J979="EUMATT",PR!$S977,IF(J979="FIDSON",PR!$T977,IF(J979="FCGLOBAL",PR!$U977,IF(J979="GENEITH",PR!$V977,IF(J979="GINOS",PR!$W977,IF(J979="GSK",PR!$X977,IF(J979="GLOBORG",PR!$Y977,IF(J979="GOODNEWS",PR!$Z977,IF(J979="GREENLIFE",PR!$AA977,IF(J979="HLINE",PR!$AB977,IF(J979="ROTECH",PR!$AC977,IF(J979="ISN",PR!$AD977,IF(J979="JAWA",PR!$AE977,IF(J979="LAYO",PR!$AF977,IF(J979="LEADWAY",PR!$AG977,IF(J979="LHV",PR!$AH977,IF(J979="MANOLA",PR!$AI977,IF(J979="MARCSON",PR!$AJ977,IF(J979="M&amp;B",PR!$AK977,IF(J979="MTRUST",PR!$AL977,IF(J979="MWORLD",PR!$AM977,IF(J979="MEGA",PR!$AN977,IF(J979="MICRONOVA",PR!$AO977,IF(J979="MFLASH",PR!$AP977,IF(J979="MORISON",PR!$AQ977,IF(J979="NEMEL",PR!$AR977,IF(J979="NHP",PR!$AS977,IF(J979="NHC",PR!$AT977,IF(J979="OLEAF",PR!$AU977,IF(J979="OCULUS",PR!$AV977,IF(J979="PACIFIC",PR!$AW977,IF(J979="PHAMATEX",PR!$AX977,IF(J979="PETHICS",PR!$AY977,IF(J979="PHILIPS",PR!$AZ977,IF(J979="RANBAXY",PR!$BA977,IF(J979="REALS",PR!$BB977,IF(J979="ROYAL",PR!$BC977,IF(J979="SAM",PR!$BD977,IF(J979="SEAGREEN",PR!$BE977,IF(J979="SKG",PR!$BF977,IF(J979="TAH",PR!$BG977,IF(J979="TAYLEK",PR!$BH977,IF(J979="TEMITA",PR!$BI977,IF(J979="THL",PR!$BJ977,IF(J979="UBASTIC",PR!$BK977,IF(J979="UNION",PR!$BL977,IF(J979="UNIQUE",PR!$BM977,IF(J979="VIXA",PR!$BN977,IF(J979="WWCV",PR!$BO977,IF(J979="ZOLON",PR!$BP977,"-"))))))))))))))))))))))))))))))))))))))))))))))))))))))))))))))))</f>
        <v>18000</v>
      </c>
      <c r="J979" s="102" t="str">
        <f>EV!N1240</f>
        <v>SANCON</v>
      </c>
      <c r="K979" s="433" t="s">
        <v>626</v>
      </c>
      <c r="L979" s="183">
        <f>IF(K979&gt;0,IF(K979="ALPHA",PR!$E977,IF(K979="ASSENE",PR!$F977,IF(K979="BIOFEM",PR!$G977,IF(K979="BIOMED",PR!$H977,IF(K979="CHI",PR!$I977,IF(K979="CLARION",PR!$J977,IF(K979="CODIX",PR!$K977,IF(K979="COSMADE",PR!$L977,IF(K979="SANCON",PR!$M977,IF(K979="DEVON",PR!$N977,IF(K979="DORTEMAG",PR!$O977,IF(K979="DGF",PR!$P977,IF(K979="DYNAMIC",PR!$Q977,IF(K979="EMZOR",PR!$R977,IF(K979="EUMATT",PR!$S977,IF(K979="FIDSON",PR!$T977,IF(K979="FCGLOBAL",PR!$U977,IF(K979="GENEITH",PR!$V977,IF(K979="GINOS",PR!$W977,IF(K979="GSK",PR!$X977,IF(K979="GLOBORG",PR!$Y977,IF(K979="GOODNEWS",PR!$Z977,IF(K979="GREENLIFE",PR!$AA977,IF(K979="HLINE",PR!$AB977,IF(K979="ROTECH",PR!$AC977,IF(K979="ISN",PR!$AD977,IF(K979="JAWA",PR!$AE977,IF(K979="LAYO",PR!$AF977,IF(K979="LEADWAY",PR!$AG977,IF(K979="LHV",PR!$AH977,IF(K979="MANOLA",PR!$AI977,IF(K979="MARCSON",PR!$AJ977,IF(K979="M&amp;B",PR!$AK977,IF(K979="MTRUST",PR!$AL977,IF(K979="MWORLD",PR!$AM977,IF(K979="MEGA",PR!$AN977,IF(K979="MICRONOVA",PR!$AO977,IF(K979="MFLASH",PR!$AP977,IF(K979="MORISON",PR!$AQ977,IF(K979="NEMEL",PR!$AR977,IF(K979="NHP",PR!$AS977,IF(K979="NHC",PR!$AT977,IF(K979="OLEAF",PR!$AU977,IF(K979="OCULUS",PR!$AV977,IF(K979="PACIFIC",PR!$AW977,IF(K979="PHAMATEX",PR!$AX977,IF(K979="PETHICS",PR!$AY977,IF(K979="PHILIPS",PR!$AZ977,IF(K979="RANBAXY",PR!$BA977,IF(K979="REALS",PR!$BB977,IF(K979="ROYAL",PR!$BC977,IF(K979="SAM",PR!$BD977,IF(K979="SEAGREEN",PR!$BE977,IF(K979="SKG",PR!$BF977,IF(K979="TAH",PR!$BG977,IF(K979="TAYLEK",PR!$BH977,IF(K979="TEMITA",PR!$BI977,IF(K979="THL",PR!$BJ977,IF(K979="UBASTIC",PR!$BK977,IF(K979="UNION",PR!$BL977,IF(K979="UNIQUE",PR!$BM977,IF(K979="VIXA",PR!$BN977,IF(K979="WWCV",PR!$BO977,IF(K979="ZOLON",PR!$BP977,"-")))))))))))))))))))))))))))))))))))))))))))))))))))))))))))))))))</f>
        <v>15625</v>
      </c>
    </row>
    <row r="980" spans="1:12" ht="18.75" x14ac:dyDescent="0.3">
      <c r="A980" s="430">
        <f>PR!A978</f>
        <v>882</v>
      </c>
      <c r="B980" s="15" t="str">
        <f>PR!B978</f>
        <v>IZAL</v>
      </c>
      <c r="C980" s="113" t="str">
        <f>PR!D978</f>
        <v>1 keg (1liter)</v>
      </c>
      <c r="D980" s="113">
        <f>PR!C978</f>
        <v>20</v>
      </c>
      <c r="E980" s="108">
        <f>IF(F980="ALPHA",PR!$E978,IF(F980="ASSENE",PR!$F978,IF(F980="BIOFEM",PR!$G978,IF(F980="BIOMED",PR!$H978,IF(F980="CHI",PR!$I978,IF(F980="CLARION",PR!$J978,IF(F980="CODIX",PR!$K978,IF(F980="COSMADE",PR!$L978,IF(F980="SANCON",PR!$M978,IF(F980="DEVON",PR!$N978,IF(F980="DORTEMAG",PR!$O978,IF(F980="DGF",PR!$P978,IF(F980="DYNAMIC",PR!$Q978,IF(F980="EMZOR",PR!$R978,IF(F980="EUMATT",PR!$S978,IF(F980="FIDSON",PR!$T978,IF(F980="FCGLOBAL",PR!$U978,IF(F980="GENEITH",PR!$V978,IF(F980="GINOS",PR!$W978,IF(F980="GSK",PR!$X978,IF(F980="GLOBORG",PR!$Y978,IF(F980="GOODNEWS",PR!$Z978,IF(F980="GREENLIFE",PR!$AA978,IF(F980="HLINE",PR!$AB978,IF(F980="ROTECH",PR!$AC978,IF(F980="ISN",PR!$AD978,IF(F980="JAWA",PR!$AE978,IF(F980="LAYO",PR!$AF978,IF(F980="LEADWAY",PR!$AG978,IF(F980="LHV",PR!$AH978,IF(F980="MANOLA",PR!$AI978,IF(F980="MARCSON",PR!$AJ978,IF(F980="M&amp;B",PR!$AK978,IF(F980="MTRUST",PR!$AL978,IF(F980="MWORLD",PR!$AM978,IF(F980="MEGA",PR!$AN978,IF(F980="MICRONOVA",PR!$AO978,IF(F980="MFLASH",PR!$AP978,IF(F980="MORISON",PR!$AQ978,IF(F980="NEMEL",PR!$AR978,IF(F980="NHP",PR!$AS978,IF(F980="NHC",PR!$AT978,IF(F980="OLEAF",PR!$AU978,IF(F980="OCULUS",PR!$AV978,IF(F980="PACIFIC",PR!$AW978,IF(F980="PHAMATEX",PR!$AX978,IF(F980="PETHICS",PR!$AY978,IF(F980="PHILIPS",PR!$AZ978,IF(F980="RANBAXY",PR!$BA978,IF(F980="REALS",PR!$BB978,IF(F980="ROYAL",PR!$BC978,IF(F980="SAM",PR!$BD978,IF(F980="SEAGREEN",PR!$BE978,IF(F980="SKG",PR!$BF978,IF(F980="TAH",PR!$BG978,IF(F980="TAYLEK",PR!$BH978,IF(F980="TEMITA",PR!$BI978,IF(F980="THL",PR!$BJ978,IF(F980="UBASTIC",PR!$BK978,IF(F980="UNION",PR!$BL978,IF(F980="UNIQUE",PR!$BM978,IF(F980="VIXA",PR!$BN978,IF(F980="WWCV",PR!$BO978,IF(F980="ZOLON",PR!$BP978,"-"))))))))))))))))))))))))))))))))))))))))))))))))))))))))))))))))</f>
        <v>1125</v>
      </c>
      <c r="F980" s="102" t="str">
        <f>EV!L1241</f>
        <v>DYNAMIC</v>
      </c>
      <c r="G980" s="108">
        <f>IF(H980="ALPHA",PR!$E978,IF(H980="ASSENE",PR!$F978,IF(H980="BIOFEM",PR!$G978,IF(H980="BIOMED",PR!$H978,IF(H980="CHI",PR!$I978,IF(H980="CLARION",PR!$J978,IF(H980="CODIX",PR!$K978,IF(H980="COSMADE",PR!$L978,IF(H980="SANCON",PR!$M978,IF(H980="DEVON",PR!$N978,IF(H980="DORTEMAG",PR!$O978,IF(H980="DGF",PR!$P978,IF(H980="DYNAMIC",PR!$Q978,IF(H980="EMZOR",PR!$R978,IF(H980="EUMATT",PR!$S978,IF(H980="FIDSON",PR!$T978,IF(H980="FCGLOBAL",PR!$U978,IF(H980="GENEITH",PR!$V978,IF(H980="GINOS",PR!$W978,IF(H980="GSK",PR!$X978,IF(H980="GLOBORG",PR!$Y978,IF(H980="GOODNEWS",PR!$Z978,IF(H980="GREENLIFE",PR!$AA978,IF(H980="HLINE",PR!$AB978,IF(H980="ROTECH",PR!$AC978,IF(H980="ISN",PR!$AD978,IF(H980="JAWA",PR!$AE978,IF(H980="LAYO",PR!$AF978,IF(H980="LEADWAY",PR!$AG978,IF(H980="LHV",PR!$AH978,IF(H980="MANOLA",PR!$AI978,IF(H980="MARCSON",PR!$AJ978,IF(H980="M&amp;B",PR!$AK978,IF(H980="MTRUST",PR!$AL978,IF(H980="MWORLD",PR!$AM978,IF(H980="MEGA",PR!$AN978,IF(H980="MICRONOVA",PR!$AO978,IF(H980="MFLASH",PR!$AP978,IF(H980="MORISON",PR!$AQ978,IF(H980="NEMEL",PR!$AR978,IF(H980="NHP",PR!$AS978,IF(H980="NHC",PR!$AT978,IF(H980="OLEAF",PR!$AU978,IF(H980="OCULUS",PR!$AV978,IF(H980="PACIFIC",PR!$AW978,IF(H980="PHAMATEX",PR!$AX978,IF(H980="PETHICS",PR!$AY978,IF(H980="PHILIPS",PR!$AZ978,IF(H980="RANBAXY",PR!$BA978,IF(H980="REALS",PR!$BB978,IF(H980="ROYAL",PR!$BC978,IF(H980="SAM",PR!$BD978,IF(H980="SEAGREEN",PR!$BE978,IF(H980="SKG",PR!$BF978,IF(H980="TAH",PR!$BG978,IF(H980="TAYLEK",PR!$BH978,IF(H980="TEMITA",PR!$BI978,IF(H980="THL",PR!$BJ978,IF(H980="UBASTIC",PR!$BK978,IF(H980="UNION",PR!$BL978,IF(H980="UNIQUE",PR!$BM978,IF(H980="VIXA",PR!$BN978,IF(H980="WWCV",PR!$BO978,IF(H980="ZOLON",PR!$BP978,"-"))))))))))))))))))))))))))))))))))))))))))))))))))))))))))))))))</f>
        <v>1200</v>
      </c>
      <c r="H980" s="102" t="str">
        <f>EV!M1241</f>
        <v>UBASTIC</v>
      </c>
      <c r="I980" s="108">
        <f>IF(J980="ALPHA",PR!$E978,IF(J980="ASSENE",PR!$F978,IF(J980="BIOFEM",PR!$G978,IF(J980="BIOMED",PR!$H978,IF(J980="CHI",PR!$I978,IF(J980="CLARION",PR!$J978,IF(J980="CODIX",PR!$K978,IF(J980="COSMADE",PR!$L978,IF(J980="SANCON",PR!$M978,IF(J980="DEVON",PR!$N978,IF(J980="DORTEMAG",PR!$O978,IF(J980="DGF",PR!$P978,IF(J980="DYNAMIC",PR!$Q978,IF(J980="EMZOR",PR!$R978,IF(J980="EUMATT",PR!$S978,IF(J980="FIDSON",PR!$T978,IF(J980="FCGLOBAL",PR!$U978,IF(J980="GENEITH",PR!$V978,IF(J980="GINOS",PR!$W978,IF(J980="GSK",PR!$X978,IF(J980="GLOBORG",PR!$Y978,IF(J980="GOODNEWS",PR!$Z978,IF(J980="GREENLIFE",PR!$AA978,IF(J980="HLINE",PR!$AB978,IF(J980="ROTECH",PR!$AC978,IF(J980="ISN",PR!$AD978,IF(J980="JAWA",PR!$AE978,IF(J980="LAYO",PR!$AF978,IF(J980="LEADWAY",PR!$AG978,IF(J980="LHV",PR!$AH978,IF(J980="MANOLA",PR!$AI978,IF(J980="MARCSON",PR!$AJ978,IF(J980="M&amp;B",PR!$AK978,IF(J980="MTRUST",PR!$AL978,IF(J980="MWORLD",PR!$AM978,IF(J980="MEGA",PR!$AN978,IF(J980="MICRONOVA",PR!$AO978,IF(J980="MFLASH",PR!$AP978,IF(J980="MORISON",PR!$AQ978,IF(J980="NEMEL",PR!$AR978,IF(J980="NHP",PR!$AS978,IF(J980="NHC",PR!$AT978,IF(J980="OLEAF",PR!$AU978,IF(J980="OCULUS",PR!$AV978,IF(J980="PACIFIC",PR!$AW978,IF(J980="PHAMATEX",PR!$AX978,IF(J980="PETHICS",PR!$AY978,IF(J980="PHILIPS",PR!$AZ978,IF(J980="RANBAXY",PR!$BA978,IF(J980="REALS",PR!$BB978,IF(J980="ROYAL",PR!$BC978,IF(J980="SAM",PR!$BD978,IF(J980="SEAGREEN",PR!$BE978,IF(J980="SKG",PR!$BF978,IF(J980="TAH",PR!$BG978,IF(J980="TAYLEK",PR!$BH978,IF(J980="TEMITA",PR!$BI978,IF(J980="THL",PR!$BJ978,IF(J980="UBASTIC",PR!$BK978,IF(J980="UNION",PR!$BL978,IF(J980="UNIQUE",PR!$BM978,IF(J980="VIXA",PR!$BN978,IF(J980="WWCV",PR!$BO978,IF(J980="ZOLON",PR!$BP978,"-"))))))))))))))))))))))))))))))))))))))))))))))))))))))))))))))))</f>
        <v>2400</v>
      </c>
      <c r="J980" s="102" t="str">
        <f>EV!N1241</f>
        <v>SANCON</v>
      </c>
      <c r="K980" s="433" t="s">
        <v>626</v>
      </c>
      <c r="L980" s="183">
        <f>IF(K980&gt;0,IF(K980="ALPHA",PR!$E978,IF(K980="ASSENE",PR!$F978,IF(K980="BIOFEM",PR!$G978,IF(K980="BIOMED",PR!$H978,IF(K980="CHI",PR!$I978,IF(K980="CLARION",PR!$J978,IF(K980="CODIX",PR!$K978,IF(K980="COSMADE",PR!$L978,IF(K980="SANCON",PR!$M978,IF(K980="DEVON",PR!$N978,IF(K980="DORTEMAG",PR!$O978,IF(K980="DGF",PR!$P978,IF(K980="DYNAMIC",PR!$Q978,IF(K980="EMZOR",PR!$R978,IF(K980="EUMATT",PR!$S978,IF(K980="FIDSON",PR!$T978,IF(K980="FCGLOBAL",PR!$U978,IF(K980="GENEITH",PR!$V978,IF(K980="GINOS",PR!$W978,IF(K980="GSK",PR!$X978,IF(K980="GLOBORG",PR!$Y978,IF(K980="GOODNEWS",PR!$Z978,IF(K980="GREENLIFE",PR!$AA978,IF(K980="HLINE",PR!$AB978,IF(K980="ROTECH",PR!$AC978,IF(K980="ISN",PR!$AD978,IF(K980="JAWA",PR!$AE978,IF(K980="LAYO",PR!$AF978,IF(K980="LEADWAY",PR!$AG978,IF(K980="LHV",PR!$AH978,IF(K980="MANOLA",PR!$AI978,IF(K980="MARCSON",PR!$AJ978,IF(K980="M&amp;B",PR!$AK978,IF(K980="MTRUST",PR!$AL978,IF(K980="MWORLD",PR!$AM978,IF(K980="MEGA",PR!$AN978,IF(K980="MICRONOVA",PR!$AO978,IF(K980="MFLASH",PR!$AP978,IF(K980="MORISON",PR!$AQ978,IF(K980="NEMEL",PR!$AR978,IF(K980="NHP",PR!$AS978,IF(K980="NHC",PR!$AT978,IF(K980="OLEAF",PR!$AU978,IF(K980="OCULUS",PR!$AV978,IF(K980="PACIFIC",PR!$AW978,IF(K980="PHAMATEX",PR!$AX978,IF(K980="PETHICS",PR!$AY978,IF(K980="PHILIPS",PR!$AZ978,IF(K980="RANBAXY",PR!$BA978,IF(K980="REALS",PR!$BB978,IF(K980="ROYAL",PR!$BC978,IF(K980="SAM",PR!$BD978,IF(K980="SEAGREEN",PR!$BE978,IF(K980="SKG",PR!$BF978,IF(K980="TAH",PR!$BG978,IF(K980="TAYLEK",PR!$BH978,IF(K980="TEMITA",PR!$BI978,IF(K980="THL",PR!$BJ978,IF(K980="UBASTIC",PR!$BK978,IF(K980="UNION",PR!$BL978,IF(K980="UNIQUE",PR!$BM978,IF(K980="VIXA",PR!$BN978,IF(K980="WWCV",PR!$BO978,IF(K980="ZOLON",PR!$BP978,"-")))))))))))))))))))))))))))))))))))))))))))))))))))))))))))))))))</f>
        <v>1125</v>
      </c>
    </row>
    <row r="981" spans="1:12" ht="18.75" x14ac:dyDescent="0.3">
      <c r="A981" s="430">
        <f>PR!A979</f>
        <v>883</v>
      </c>
      <c r="B981" s="15" t="str">
        <f>PR!B979</f>
        <v>LIQUID SOAPS</v>
      </c>
      <c r="C981" s="113" t="str">
        <f>PR!D979</f>
        <v>1 carton (12 x 500mls)</v>
      </c>
      <c r="D981" s="113">
        <f>PR!C979</f>
        <v>10</v>
      </c>
      <c r="E981" s="108">
        <f>IF(F981="ALPHA",PR!$E979,IF(F981="ASSENE",PR!$F979,IF(F981="BIOFEM",PR!$G979,IF(F981="BIOMED",PR!$H979,IF(F981="CHI",PR!$I979,IF(F981="CLARION",PR!$J979,IF(F981="CODIX",PR!$K979,IF(F981="COSMADE",PR!$L979,IF(F981="SANCON",PR!$M979,IF(F981="DEVON",PR!$N979,IF(F981="DORTEMAG",PR!$O979,IF(F981="DGF",PR!$P979,IF(F981="DYNAMIC",PR!$Q979,IF(F981="EMZOR",PR!$R979,IF(F981="EUMATT",PR!$S979,IF(F981="FIDSON",PR!$T979,IF(F981="FCGLOBAL",PR!$U979,IF(F981="GENEITH",PR!$V979,IF(F981="GINOS",PR!$W979,IF(F981="GSK",PR!$X979,IF(F981="GLOBORG",PR!$Y979,IF(F981="GOODNEWS",PR!$Z979,IF(F981="GREENLIFE",PR!$AA979,IF(F981="HLINE",PR!$AB979,IF(F981="ROTECH",PR!$AC979,IF(F981="ISN",PR!$AD979,IF(F981="JAWA",PR!$AE979,IF(F981="LAYO",PR!$AF979,IF(F981="LEADWAY",PR!$AG979,IF(F981="LHV",PR!$AH979,IF(F981="MANOLA",PR!$AI979,IF(F981="MARCSON",PR!$AJ979,IF(F981="M&amp;B",PR!$AK979,IF(F981="MTRUST",PR!$AL979,IF(F981="MWORLD",PR!$AM979,IF(F981="MEGA",PR!$AN979,IF(F981="MICRONOVA",PR!$AO979,IF(F981="MFLASH",PR!$AP979,IF(F981="MORISON",PR!$AQ979,IF(F981="NEMEL",PR!$AR979,IF(F981="NHP",PR!$AS979,IF(F981="NHC",PR!$AT979,IF(F981="OLEAF",PR!$AU979,IF(F981="OCULUS",PR!$AV979,IF(F981="PACIFIC",PR!$AW979,IF(F981="PHAMATEX",PR!$AX979,IF(F981="PETHICS",PR!$AY979,IF(F981="PHILIPS",PR!$AZ979,IF(F981="RANBAXY",PR!$BA979,IF(F981="REALS",PR!$BB979,IF(F981="ROYAL",PR!$BC979,IF(F981="SAM",PR!$BD979,IF(F981="SEAGREEN",PR!$BE979,IF(F981="SKG",PR!$BF979,IF(F981="TAH",PR!$BG979,IF(F981="TAYLEK",PR!$BH979,IF(F981="TEMITA",PR!$BI979,IF(F981="THL",PR!$BJ979,IF(F981="UBASTIC",PR!$BK979,IF(F981="UNION",PR!$BL979,IF(F981="UNIQUE",PR!$BM979,IF(F981="VIXA",PR!$BN979,IF(F981="WWCV",PR!$BO979,IF(F981="ZOLON",PR!$BP979,"-"))))))))))))))))))))))))))))))))))))))))))))))))))))))))))))))))</f>
        <v>4560</v>
      </c>
      <c r="F981" s="102" t="str">
        <f>EV!L1242</f>
        <v>TEMITA</v>
      </c>
      <c r="G981" s="108">
        <f>IF(H981="ALPHA",PR!$E979,IF(H981="ASSENE",PR!$F979,IF(H981="BIOFEM",PR!$G979,IF(H981="BIOMED",PR!$H979,IF(H981="CHI",PR!$I979,IF(H981="CLARION",PR!$J979,IF(H981="CODIX",PR!$K979,IF(H981="COSMADE",PR!$L979,IF(H981="SANCON",PR!$M979,IF(H981="DEVON",PR!$N979,IF(H981="DORTEMAG",PR!$O979,IF(H981="DGF",PR!$P979,IF(H981="DYNAMIC",PR!$Q979,IF(H981="EMZOR",PR!$R979,IF(H981="EUMATT",PR!$S979,IF(H981="FIDSON",PR!$T979,IF(H981="FCGLOBAL",PR!$U979,IF(H981="GENEITH",PR!$V979,IF(H981="GINOS",PR!$W979,IF(H981="GSK",PR!$X979,IF(H981="GLOBORG",PR!$Y979,IF(H981="GOODNEWS",PR!$Z979,IF(H981="GREENLIFE",PR!$AA979,IF(H981="HLINE",PR!$AB979,IF(H981="ROTECH",PR!$AC979,IF(H981="ISN",PR!$AD979,IF(H981="JAWA",PR!$AE979,IF(H981="LAYO",PR!$AF979,IF(H981="LEADWAY",PR!$AG979,IF(H981="LHV",PR!$AH979,IF(H981="MANOLA",PR!$AI979,IF(H981="MARCSON",PR!$AJ979,IF(H981="M&amp;B",PR!$AK979,IF(H981="MTRUST",PR!$AL979,IF(H981="MWORLD",PR!$AM979,IF(H981="MEGA",PR!$AN979,IF(H981="MICRONOVA",PR!$AO979,IF(H981="MFLASH",PR!$AP979,IF(H981="MORISON",PR!$AQ979,IF(H981="NEMEL",PR!$AR979,IF(H981="NHP",PR!$AS979,IF(H981="NHC",PR!$AT979,IF(H981="OLEAF",PR!$AU979,IF(H981="OCULUS",PR!$AV979,IF(H981="PACIFIC",PR!$AW979,IF(H981="PHAMATEX",PR!$AX979,IF(H981="PETHICS",PR!$AY979,IF(H981="PHILIPS",PR!$AZ979,IF(H981="RANBAXY",PR!$BA979,IF(H981="REALS",PR!$BB979,IF(H981="ROYAL",PR!$BC979,IF(H981="SAM",PR!$BD979,IF(H981="SEAGREEN",PR!$BE979,IF(H981="SKG",PR!$BF979,IF(H981="TAH",PR!$BG979,IF(H981="TAYLEK",PR!$BH979,IF(H981="TEMITA",PR!$BI979,IF(H981="THL",PR!$BJ979,IF(H981="UBASTIC",PR!$BK979,IF(H981="UNION",PR!$BL979,IF(H981="UNIQUE",PR!$BM979,IF(H981="VIXA",PR!$BN979,IF(H981="WWCV",PR!$BO979,IF(H981="ZOLON",PR!$BP979,"-"))))))))))))))))))))))))))))))))))))))))))))))))))))))))))))))))</f>
        <v>4800</v>
      </c>
      <c r="H981" s="102" t="str">
        <f>EV!M1242</f>
        <v>SANCON</v>
      </c>
      <c r="I981" s="108">
        <f>IF(J981="ALPHA",PR!$E979,IF(J981="ASSENE",PR!$F979,IF(J981="BIOFEM",PR!$G979,IF(J981="BIOMED",PR!$H979,IF(J981="CHI",PR!$I979,IF(J981="CLARION",PR!$J979,IF(J981="CODIX",PR!$K979,IF(J981="COSMADE",PR!$L979,IF(J981="SANCON",PR!$M979,IF(J981="DEVON",PR!$N979,IF(J981="DORTEMAG",PR!$O979,IF(J981="DGF",PR!$P979,IF(J981="DYNAMIC",PR!$Q979,IF(J981="EMZOR",PR!$R979,IF(J981="EUMATT",PR!$S979,IF(J981="FIDSON",PR!$T979,IF(J981="FCGLOBAL",PR!$U979,IF(J981="GENEITH",PR!$V979,IF(J981="GINOS",PR!$W979,IF(J981="GSK",PR!$X979,IF(J981="GLOBORG",PR!$Y979,IF(J981="GOODNEWS",PR!$Z979,IF(J981="GREENLIFE",PR!$AA979,IF(J981="HLINE",PR!$AB979,IF(J981="ROTECH",PR!$AC979,IF(J981="ISN",PR!$AD979,IF(J981="JAWA",PR!$AE979,IF(J981="LAYO",PR!$AF979,IF(J981="LEADWAY",PR!$AG979,IF(J981="LHV",PR!$AH979,IF(J981="MANOLA",PR!$AI979,IF(J981="MARCSON",PR!$AJ979,IF(J981="M&amp;B",PR!$AK979,IF(J981="MTRUST",PR!$AL979,IF(J981="MWORLD",PR!$AM979,IF(J981="MEGA",PR!$AN979,IF(J981="MICRONOVA",PR!$AO979,IF(J981="MFLASH",PR!$AP979,IF(J981="MORISON",PR!$AQ979,IF(J981="NEMEL",PR!$AR979,IF(J981="NHP",PR!$AS979,IF(J981="NHC",PR!$AT979,IF(J981="OLEAF",PR!$AU979,IF(J981="OCULUS",PR!$AV979,IF(J981="PACIFIC",PR!$AW979,IF(J981="PHAMATEX",PR!$AX979,IF(J981="PETHICS",PR!$AY979,IF(J981="PHILIPS",PR!$AZ979,IF(J981="RANBAXY",PR!$BA979,IF(J981="REALS",PR!$BB979,IF(J981="ROYAL",PR!$BC979,IF(J981="SAM",PR!$BD979,IF(J981="SEAGREEN",PR!$BE979,IF(J981="SKG",PR!$BF979,IF(J981="TAH",PR!$BG979,IF(J981="TAYLEK",PR!$BH979,IF(J981="TEMITA",PR!$BI979,IF(J981="THL",PR!$BJ979,IF(J981="UBASTIC",PR!$BK979,IF(J981="UNION",PR!$BL979,IF(J981="UNIQUE",PR!$BM979,IF(J981="VIXA",PR!$BN979,IF(J981="WWCV",PR!$BO979,IF(J981="ZOLON",PR!$BP979,"-"))))))))))))))))))))))))))))))))))))))))))))))))))))))))))))))))</f>
        <v>5400</v>
      </c>
      <c r="J981" s="102" t="str">
        <f>EV!N1242</f>
        <v>ROTECH</v>
      </c>
      <c r="K981" s="433" t="s">
        <v>1463</v>
      </c>
      <c r="L981" s="183">
        <f>IF(K981&gt;0,IF(K981="ALPHA",PR!$E979,IF(K981="ASSENE",PR!$F979,IF(K981="BIOFEM",PR!$G979,IF(K981="BIOMED",PR!$H979,IF(K981="CHI",PR!$I979,IF(K981="CLARION",PR!$J979,IF(K981="CODIX",PR!$K979,IF(K981="COSMADE",PR!$L979,IF(K981="SANCON",PR!$M979,IF(K981="DEVON",PR!$N979,IF(K981="DORTEMAG",PR!$O979,IF(K981="DGF",PR!$P979,IF(K981="DYNAMIC",PR!$Q979,IF(K981="EMZOR",PR!$R979,IF(K981="EUMATT",PR!$S979,IF(K981="FIDSON",PR!$T979,IF(K981="FCGLOBAL",PR!$U979,IF(K981="GENEITH",PR!$V979,IF(K981="GINOS",PR!$W979,IF(K981="GSK",PR!$X979,IF(K981="GLOBORG",PR!$Y979,IF(K981="GOODNEWS",PR!$Z979,IF(K981="GREENLIFE",PR!$AA979,IF(K981="HLINE",PR!$AB979,IF(K981="ROTECH",PR!$AC979,IF(K981="ISN",PR!$AD979,IF(K981="JAWA",PR!$AE979,IF(K981="LAYO",PR!$AF979,IF(K981="LEADWAY",PR!$AG979,IF(K981="LHV",PR!$AH979,IF(K981="MANOLA",PR!$AI979,IF(K981="MARCSON",PR!$AJ979,IF(K981="M&amp;B",PR!$AK979,IF(K981="MTRUST",PR!$AL979,IF(K981="MWORLD",PR!$AM979,IF(K981="MEGA",PR!$AN979,IF(K981="MICRONOVA",PR!$AO979,IF(K981="MFLASH",PR!$AP979,IF(K981="MORISON",PR!$AQ979,IF(K981="NEMEL",PR!$AR979,IF(K981="NHP",PR!$AS979,IF(K981="NHC",PR!$AT979,IF(K981="OLEAF",PR!$AU979,IF(K981="OCULUS",PR!$AV979,IF(K981="PACIFIC",PR!$AW979,IF(K981="PHAMATEX",PR!$AX979,IF(K981="PETHICS",PR!$AY979,IF(K981="PHILIPS",PR!$AZ979,IF(K981="RANBAXY",PR!$BA979,IF(K981="REALS",PR!$BB979,IF(K981="ROYAL",PR!$BC979,IF(K981="SAM",PR!$BD979,IF(K981="SEAGREEN",PR!$BE979,IF(K981="SKG",PR!$BF979,IF(K981="TAH",PR!$BG979,IF(K981="TAYLEK",PR!$BH979,IF(K981="TEMITA",PR!$BI979,IF(K981="THL",PR!$BJ979,IF(K981="UBASTIC",PR!$BK979,IF(K981="UNION",PR!$BL979,IF(K981="UNIQUE",PR!$BM979,IF(K981="VIXA",PR!$BN979,IF(K981="WWCV",PR!$BO979,IF(K981="ZOLON",PR!$BP979,"-")))))))))))))))))))))))))))))))))))))))))))))))))))))))))))))))))</f>
        <v>4560</v>
      </c>
    </row>
    <row r="982" spans="1:12" ht="18.75" x14ac:dyDescent="0.3">
      <c r="A982" s="430">
        <f>PR!A980</f>
        <v>884</v>
      </c>
      <c r="B982" s="15" t="str">
        <f>PR!B980</f>
        <v>MOUNTANT DPX</v>
      </c>
      <c r="C982" s="113" t="str">
        <f>PR!D980</f>
        <v>1 bottle (500ml)</v>
      </c>
      <c r="D982" s="113">
        <f>PR!C980</f>
        <v>15</v>
      </c>
      <c r="E982" s="108">
        <f>IF(F982="ALPHA",PR!$E980,IF(F982="ASSENE",PR!$F980,IF(F982="BIOFEM",PR!$G980,IF(F982="BIOMED",PR!$H980,IF(F982="CHI",PR!$I980,IF(F982="CLARION",PR!$J980,IF(F982="CODIX",PR!$K980,IF(F982="COSMADE",PR!$L980,IF(F982="SANCON",PR!$M980,IF(F982="DEVON",PR!$N980,IF(F982="DORTEMAG",PR!$O980,IF(F982="DGF",PR!$P980,IF(F982="DYNAMIC",PR!$Q980,IF(F982="EMZOR",PR!$R980,IF(F982="EUMATT",PR!$S980,IF(F982="FIDSON",PR!$T980,IF(F982="FCGLOBAL",PR!$U980,IF(F982="GENEITH",PR!$V980,IF(F982="GINOS",PR!$W980,IF(F982="GSK",PR!$X980,IF(F982="GLOBORG",PR!$Y980,IF(F982="GOODNEWS",PR!$Z980,IF(F982="GREENLIFE",PR!$AA980,IF(F982="HLINE",PR!$AB980,IF(F982="ROTECH",PR!$AC980,IF(F982="ISN",PR!$AD980,IF(F982="JAWA",PR!$AE980,IF(F982="LAYO",PR!$AF980,IF(F982="LEADWAY",PR!$AG980,IF(F982="LHV",PR!$AH980,IF(F982="MANOLA",PR!$AI980,IF(F982="MARCSON",PR!$AJ980,IF(F982="M&amp;B",PR!$AK980,IF(F982="MTRUST",PR!$AL980,IF(F982="MWORLD",PR!$AM980,IF(F982="MEGA",PR!$AN980,IF(F982="MICRONOVA",PR!$AO980,IF(F982="MFLASH",PR!$AP980,IF(F982="MORISON",PR!$AQ980,IF(F982="NEMEL",PR!$AR980,IF(F982="NHP",PR!$AS980,IF(F982="NHC",PR!$AT980,IF(F982="OLEAF",PR!$AU980,IF(F982="OCULUS",PR!$AV980,IF(F982="PACIFIC",PR!$AW980,IF(F982="PHAMATEX",PR!$AX980,IF(F982="PETHICS",PR!$AY980,IF(F982="PHILIPS",PR!$AZ980,IF(F982="RANBAXY",PR!$BA980,IF(F982="REALS",PR!$BB980,IF(F982="ROYAL",PR!$BC980,IF(F982="SAM",PR!$BD980,IF(F982="SEAGREEN",PR!$BE980,IF(F982="SKG",PR!$BF980,IF(F982="TAH",PR!$BG980,IF(F982="TAYLEK",PR!$BH980,IF(F982="TEMITA",PR!$BI980,IF(F982="THL",PR!$BJ980,IF(F982="UBASTIC",PR!$BK980,IF(F982="UNION",PR!$BL980,IF(F982="UNIQUE",PR!$BM980,IF(F982="VIXA",PR!$BN980,IF(F982="WWCV",PR!$BO980,IF(F982="ZOLON",PR!$BP980,"-"))))))))))))))))))))))))))))))))))))))))))))))))))))))))))))))))</f>
        <v>5900</v>
      </c>
      <c r="F982" s="102" t="str">
        <f>EV!L1243</f>
        <v>TEMITA</v>
      </c>
      <c r="G982" s="108">
        <f>IF(H982="ALPHA",PR!$E980,IF(H982="ASSENE",PR!$F980,IF(H982="BIOFEM",PR!$G980,IF(H982="BIOMED",PR!$H980,IF(H982="CHI",PR!$I980,IF(H982="CLARION",PR!$J980,IF(H982="CODIX",PR!$K980,IF(H982="COSMADE",PR!$L980,IF(H982="SANCON",PR!$M980,IF(H982="DEVON",PR!$N980,IF(H982="DORTEMAG",PR!$O980,IF(H982="DGF",PR!$P980,IF(H982="DYNAMIC",PR!$Q980,IF(H982="EMZOR",PR!$R980,IF(H982="EUMATT",PR!$S980,IF(H982="FIDSON",PR!$T980,IF(H982="FCGLOBAL",PR!$U980,IF(H982="GENEITH",PR!$V980,IF(H982="GINOS",PR!$W980,IF(H982="GSK",PR!$X980,IF(H982="GLOBORG",PR!$Y980,IF(H982="GOODNEWS",PR!$Z980,IF(H982="GREENLIFE",PR!$AA980,IF(H982="HLINE",PR!$AB980,IF(H982="ROTECH",PR!$AC980,IF(H982="ISN",PR!$AD980,IF(H982="JAWA",PR!$AE980,IF(H982="LAYO",PR!$AF980,IF(H982="LEADWAY",PR!$AG980,IF(H982="LHV",PR!$AH980,IF(H982="MANOLA",PR!$AI980,IF(H982="MARCSON",PR!$AJ980,IF(H982="M&amp;B",PR!$AK980,IF(H982="MTRUST",PR!$AL980,IF(H982="MWORLD",PR!$AM980,IF(H982="MEGA",PR!$AN980,IF(H982="MICRONOVA",PR!$AO980,IF(H982="MFLASH",PR!$AP980,IF(H982="MORISON",PR!$AQ980,IF(H982="NEMEL",PR!$AR980,IF(H982="NHP",PR!$AS980,IF(H982="NHC",PR!$AT980,IF(H982="OLEAF",PR!$AU980,IF(H982="OCULUS",PR!$AV980,IF(H982="PACIFIC",PR!$AW980,IF(H982="PHAMATEX",PR!$AX980,IF(H982="PETHICS",PR!$AY980,IF(H982="PHILIPS",PR!$AZ980,IF(H982="RANBAXY",PR!$BA980,IF(H982="REALS",PR!$BB980,IF(H982="ROYAL",PR!$BC980,IF(H982="SAM",PR!$BD980,IF(H982="SEAGREEN",PR!$BE980,IF(H982="SKG",PR!$BF980,IF(H982="TAH",PR!$BG980,IF(H982="TAYLEK",PR!$BH980,IF(H982="TEMITA",PR!$BI980,IF(H982="THL",PR!$BJ980,IF(H982="UBASTIC",PR!$BK980,IF(H982="UNION",PR!$BL980,IF(H982="UNIQUE",PR!$BM980,IF(H982="VIXA",PR!$BN980,IF(H982="WWCV",PR!$BO980,IF(H982="ZOLON",PR!$BP980,"-"))))))))))))))))))))))))))))))))))))))))))))))))))))))))))))))))</f>
        <v>7000</v>
      </c>
      <c r="H982" s="102" t="str">
        <f>EV!M1243</f>
        <v>COSMADE</v>
      </c>
      <c r="I982" s="108">
        <f>IF(J982="ALPHA",PR!$E980,IF(J982="ASSENE",PR!$F980,IF(J982="BIOFEM",PR!$G980,IF(J982="BIOMED",PR!$H980,IF(J982="CHI",PR!$I980,IF(J982="CLARION",PR!$J980,IF(J982="CODIX",PR!$K980,IF(J982="COSMADE",PR!$L980,IF(J982="SANCON",PR!$M980,IF(J982="DEVON",PR!$N980,IF(J982="DORTEMAG",PR!$O980,IF(J982="DGF",PR!$P980,IF(J982="DYNAMIC",PR!$Q980,IF(J982="EMZOR",PR!$R980,IF(J982="EUMATT",PR!$S980,IF(J982="FIDSON",PR!$T980,IF(J982="FCGLOBAL",PR!$U980,IF(J982="GENEITH",PR!$V980,IF(J982="GINOS",PR!$W980,IF(J982="GSK",PR!$X980,IF(J982="GLOBORG",PR!$Y980,IF(J982="GOODNEWS",PR!$Z980,IF(J982="GREENLIFE",PR!$AA980,IF(J982="HLINE",PR!$AB980,IF(J982="ROTECH",PR!$AC980,IF(J982="ISN",PR!$AD980,IF(J982="JAWA",PR!$AE980,IF(J982="LAYO",PR!$AF980,IF(J982="LEADWAY",PR!$AG980,IF(J982="LHV",PR!$AH980,IF(J982="MANOLA",PR!$AI980,IF(J982="MARCSON",PR!$AJ980,IF(J982="M&amp;B",PR!$AK980,IF(J982="MTRUST",PR!$AL980,IF(J982="MWORLD",PR!$AM980,IF(J982="MEGA",PR!$AN980,IF(J982="MICRONOVA",PR!$AO980,IF(J982="MFLASH",PR!$AP980,IF(J982="MORISON",PR!$AQ980,IF(J982="NEMEL",PR!$AR980,IF(J982="NHP",PR!$AS980,IF(J982="NHC",PR!$AT980,IF(J982="OLEAF",PR!$AU980,IF(J982="OCULUS",PR!$AV980,IF(J982="PACIFIC",PR!$AW980,IF(J982="PHAMATEX",PR!$AX980,IF(J982="PETHICS",PR!$AY980,IF(J982="PHILIPS",PR!$AZ980,IF(J982="RANBAXY",PR!$BA980,IF(J982="REALS",PR!$BB980,IF(J982="ROYAL",PR!$BC980,IF(J982="SAM",PR!$BD980,IF(J982="SEAGREEN",PR!$BE980,IF(J982="SKG",PR!$BF980,IF(J982="TAH",PR!$BG980,IF(J982="TAYLEK",PR!$BH980,IF(J982="TEMITA",PR!$BI980,IF(J982="THL",PR!$BJ980,IF(J982="UBASTIC",PR!$BK980,IF(J982="UNION",PR!$BL980,IF(J982="UNIQUE",PR!$BM980,IF(J982="VIXA",PR!$BN980,IF(J982="WWCV",PR!$BO980,IF(J982="ZOLON",PR!$BP980,"-"))))))))))))))))))))))))))))))))))))))))))))))))))))))))))))))))</f>
        <v>8125</v>
      </c>
      <c r="J982" s="102" t="str">
        <f>EV!N1243</f>
        <v>DYNAMIC</v>
      </c>
      <c r="K982" s="433" t="s">
        <v>1463</v>
      </c>
      <c r="L982" s="183">
        <f>IF(K982&gt;0,IF(K982="ALPHA",PR!$E980,IF(K982="ASSENE",PR!$F980,IF(K982="BIOFEM",PR!$G980,IF(K982="BIOMED",PR!$H980,IF(K982="CHI",PR!$I980,IF(K982="CLARION",PR!$J980,IF(K982="CODIX",PR!$K980,IF(K982="COSMADE",PR!$L980,IF(K982="SANCON",PR!$M980,IF(K982="DEVON",PR!$N980,IF(K982="DORTEMAG",PR!$O980,IF(K982="DGF",PR!$P980,IF(K982="DYNAMIC",PR!$Q980,IF(K982="EMZOR",PR!$R980,IF(K982="EUMATT",PR!$S980,IF(K982="FIDSON",PR!$T980,IF(K982="FCGLOBAL",PR!$U980,IF(K982="GENEITH",PR!$V980,IF(K982="GINOS",PR!$W980,IF(K982="GSK",PR!$X980,IF(K982="GLOBORG",PR!$Y980,IF(K982="GOODNEWS",PR!$Z980,IF(K982="GREENLIFE",PR!$AA980,IF(K982="HLINE",PR!$AB980,IF(K982="ROTECH",PR!$AC980,IF(K982="ISN",PR!$AD980,IF(K982="JAWA",PR!$AE980,IF(K982="LAYO",PR!$AF980,IF(K982="LEADWAY",PR!$AG980,IF(K982="LHV",PR!$AH980,IF(K982="MANOLA",PR!$AI980,IF(K982="MARCSON",PR!$AJ980,IF(K982="M&amp;B",PR!$AK980,IF(K982="MTRUST",PR!$AL980,IF(K982="MWORLD",PR!$AM980,IF(K982="MEGA",PR!$AN980,IF(K982="MICRONOVA",PR!$AO980,IF(K982="MFLASH",PR!$AP980,IF(K982="MORISON",PR!$AQ980,IF(K982="NEMEL",PR!$AR980,IF(K982="NHP",PR!$AS980,IF(K982="NHC",PR!$AT980,IF(K982="OLEAF",PR!$AU980,IF(K982="OCULUS",PR!$AV980,IF(K982="PACIFIC",PR!$AW980,IF(K982="PHAMATEX",PR!$AX980,IF(K982="PETHICS",PR!$AY980,IF(K982="PHILIPS",PR!$AZ980,IF(K982="RANBAXY",PR!$BA980,IF(K982="REALS",PR!$BB980,IF(K982="ROYAL",PR!$BC980,IF(K982="SAM",PR!$BD980,IF(K982="SEAGREEN",PR!$BE980,IF(K982="SKG",PR!$BF980,IF(K982="TAH",PR!$BG980,IF(K982="TAYLEK",PR!$BH980,IF(K982="TEMITA",PR!$BI980,IF(K982="THL",PR!$BJ980,IF(K982="UBASTIC",PR!$BK980,IF(K982="UNION",PR!$BL980,IF(K982="UNIQUE",PR!$BM980,IF(K982="VIXA",PR!$BN980,IF(K982="WWCV",PR!$BO980,IF(K982="ZOLON",PR!$BP980,"-")))))))))))))))))))))))))))))))))))))))))))))))))))))))))))))))))</f>
        <v>5900</v>
      </c>
    </row>
    <row r="983" spans="1:12" ht="18.75" x14ac:dyDescent="0.3">
      <c r="A983" s="430">
        <f>PR!A981</f>
        <v>885</v>
      </c>
      <c r="B983" s="15" t="str">
        <f>PR!B981</f>
        <v>PLASTIC DISPOSABLE SPECULUM</v>
      </c>
      <c r="C983" s="113" t="str">
        <f>PR!D981</f>
        <v>1 Carton (100pcs)</v>
      </c>
      <c r="D983" s="113">
        <f>PR!C981</f>
        <v>10</v>
      </c>
      <c r="E983" s="108">
        <f>IF(F983="ALPHA",PR!$E981,IF(F983="ASSENE",PR!$F981,IF(F983="BIOFEM",PR!$G981,IF(F983="BIOMED",PR!$H981,IF(F983="CHI",PR!$I981,IF(F983="CLARION",PR!$J981,IF(F983="CODIX",PR!$K981,IF(F983="COSMADE",PR!$L981,IF(F983="SANCON",PR!$M981,IF(F983="DEVON",PR!$N981,IF(F983="DORTEMAG",PR!$O981,IF(F983="DGF",PR!$P981,IF(F983="DYNAMIC",PR!$Q981,IF(F983="EMZOR",PR!$R981,IF(F983="EUMATT",PR!$S981,IF(F983="FIDSON",PR!$T981,IF(F983="FCGLOBAL",PR!$U981,IF(F983="GENEITH",PR!$V981,IF(F983="GINOS",PR!$W981,IF(F983="GSK",PR!$X981,IF(F983="GLOBORG",PR!$Y981,IF(F983="GOODNEWS",PR!$Z981,IF(F983="GREENLIFE",PR!$AA981,IF(F983="HLINE",PR!$AB981,IF(F983="ROTECH",PR!$AC981,IF(F983="ISN",PR!$AD981,IF(F983="JAWA",PR!$AE981,IF(F983="LAYO",PR!$AF981,IF(F983="LEADWAY",PR!$AG981,IF(F983="LHV",PR!$AH981,IF(F983="MANOLA",PR!$AI981,IF(F983="MARCSON",PR!$AJ981,IF(F983="M&amp;B",PR!$AK981,IF(F983="MTRUST",PR!$AL981,IF(F983="MWORLD",PR!$AM981,IF(F983="MEGA",PR!$AN981,IF(F983="MICRONOVA",PR!$AO981,IF(F983="MFLASH",PR!$AP981,IF(F983="MORISON",PR!$AQ981,IF(F983="NEMEL",PR!$AR981,IF(F983="NHP",PR!$AS981,IF(F983="NHC",PR!$AT981,IF(F983="OLEAF",PR!$AU981,IF(F983="OCULUS",PR!$AV981,IF(F983="PACIFIC",PR!$AW981,IF(F983="PHAMATEX",PR!$AX981,IF(F983="PETHICS",PR!$AY981,IF(F983="PHILIPS",PR!$AZ981,IF(F983="RANBAXY",PR!$BA981,IF(F983="REALS",PR!$BB981,IF(F983="ROYAL",PR!$BC981,IF(F983="SAM",PR!$BD981,IF(F983="SEAGREEN",PR!$BE981,IF(F983="SKG",PR!$BF981,IF(F983="TAH",PR!$BG981,IF(F983="TAYLEK",PR!$BH981,IF(F983="TEMITA",PR!$BI981,IF(F983="THL",PR!$BJ981,IF(F983="UBASTIC",PR!$BK981,IF(F983="UNION",PR!$BL981,IF(F983="UNIQUE",PR!$BM981,IF(F983="VIXA",PR!$BN981,IF(F983="WWCV",PR!$BO981,IF(F983="ZOLON",PR!$BP981,"-"))))))))))))))))))))))))))))))))))))))))))))))))))))))))))))))))</f>
        <v>13650</v>
      </c>
      <c r="F983" s="102" t="str">
        <f>EV!L1244</f>
        <v>LAYO</v>
      </c>
      <c r="G983" s="108">
        <f>IF(H983="ALPHA",PR!$E981,IF(H983="ASSENE",PR!$F981,IF(H983="BIOFEM",PR!$G981,IF(H983="BIOMED",PR!$H981,IF(H983="CHI",PR!$I981,IF(H983="CLARION",PR!$J981,IF(H983="CODIX",PR!$K981,IF(H983="COSMADE",PR!$L981,IF(H983="SANCON",PR!$M981,IF(H983="DEVON",PR!$N981,IF(H983="DORTEMAG",PR!$O981,IF(H983="DGF",PR!$P981,IF(H983="DYNAMIC",PR!$Q981,IF(H983="EMZOR",PR!$R981,IF(H983="EUMATT",PR!$S981,IF(H983="FIDSON",PR!$T981,IF(H983="FCGLOBAL",PR!$U981,IF(H983="GENEITH",PR!$V981,IF(H983="GINOS",PR!$W981,IF(H983="GSK",PR!$X981,IF(H983="GLOBORG",PR!$Y981,IF(H983="GOODNEWS",PR!$Z981,IF(H983="GREENLIFE",PR!$AA981,IF(H983="HLINE",PR!$AB981,IF(H983="ROTECH",PR!$AC981,IF(H983="ISN",PR!$AD981,IF(H983="JAWA",PR!$AE981,IF(H983="LAYO",PR!$AF981,IF(H983="LEADWAY",PR!$AG981,IF(H983="LHV",PR!$AH981,IF(H983="MANOLA",PR!$AI981,IF(H983="MARCSON",PR!$AJ981,IF(H983="M&amp;B",PR!$AK981,IF(H983="MTRUST",PR!$AL981,IF(H983="MWORLD",PR!$AM981,IF(H983="MEGA",PR!$AN981,IF(H983="MICRONOVA",PR!$AO981,IF(H983="MFLASH",PR!$AP981,IF(H983="MORISON",PR!$AQ981,IF(H983="NEMEL",PR!$AR981,IF(H983="NHP",PR!$AS981,IF(H983="NHC",PR!$AT981,IF(H983="OLEAF",PR!$AU981,IF(H983="OCULUS",PR!$AV981,IF(H983="PACIFIC",PR!$AW981,IF(H983="PHAMATEX",PR!$AX981,IF(H983="PETHICS",PR!$AY981,IF(H983="PHILIPS",PR!$AZ981,IF(H983="RANBAXY",PR!$BA981,IF(H983="REALS",PR!$BB981,IF(H983="ROYAL",PR!$BC981,IF(H983="SAM",PR!$BD981,IF(H983="SEAGREEN",PR!$BE981,IF(H983="SKG",PR!$BF981,IF(H983="TAH",PR!$BG981,IF(H983="TAYLEK",PR!$BH981,IF(H983="TEMITA",PR!$BI981,IF(H983="THL",PR!$BJ981,IF(H983="UBASTIC",PR!$BK981,IF(H983="UNION",PR!$BL981,IF(H983="UNIQUE",PR!$BM981,IF(H983="VIXA",PR!$BN981,IF(H983="WWCV",PR!$BO981,IF(H983="ZOLON",PR!$BP981,"-"))))))))))))))))))))))))))))))))))))))))))))))))))))))))))))))))</f>
        <v>13750</v>
      </c>
      <c r="H983" s="102" t="str">
        <f>EV!M1244</f>
        <v>DYNAMIC</v>
      </c>
      <c r="I983" s="108">
        <f>IF(J983="ALPHA",PR!$E981,IF(J983="ASSENE",PR!$F981,IF(J983="BIOFEM",PR!$G981,IF(J983="BIOMED",PR!$H981,IF(J983="CHI",PR!$I981,IF(J983="CLARION",PR!$J981,IF(J983="CODIX",PR!$K981,IF(J983="COSMADE",PR!$L981,IF(J983="SANCON",PR!$M981,IF(J983="DEVON",PR!$N981,IF(J983="DORTEMAG",PR!$O981,IF(J983="DGF",PR!$P981,IF(J983="DYNAMIC",PR!$Q981,IF(J983="EMZOR",PR!$R981,IF(J983="EUMATT",PR!$S981,IF(J983="FIDSON",PR!$T981,IF(J983="FCGLOBAL",PR!$U981,IF(J983="GENEITH",PR!$V981,IF(J983="GINOS",PR!$W981,IF(J983="GSK",PR!$X981,IF(J983="GLOBORG",PR!$Y981,IF(J983="GOODNEWS",PR!$Z981,IF(J983="GREENLIFE",PR!$AA981,IF(J983="HLINE",PR!$AB981,IF(J983="ROTECH",PR!$AC981,IF(J983="ISN",PR!$AD981,IF(J983="JAWA",PR!$AE981,IF(J983="LAYO",PR!$AF981,IF(J983="LEADWAY",PR!$AG981,IF(J983="LHV",PR!$AH981,IF(J983="MANOLA",PR!$AI981,IF(J983="MARCSON",PR!$AJ981,IF(J983="M&amp;B",PR!$AK981,IF(J983="MTRUST",PR!$AL981,IF(J983="MWORLD",PR!$AM981,IF(J983="MEGA",PR!$AN981,IF(J983="MICRONOVA",PR!$AO981,IF(J983="MFLASH",PR!$AP981,IF(J983="MORISON",PR!$AQ981,IF(J983="NEMEL",PR!$AR981,IF(J983="NHP",PR!$AS981,IF(J983="NHC",PR!$AT981,IF(J983="OLEAF",PR!$AU981,IF(J983="OCULUS",PR!$AV981,IF(J983="PACIFIC",PR!$AW981,IF(J983="PHAMATEX",PR!$AX981,IF(J983="PETHICS",PR!$AY981,IF(J983="PHILIPS",PR!$AZ981,IF(J983="RANBAXY",PR!$BA981,IF(J983="REALS",PR!$BB981,IF(J983="ROYAL",PR!$BC981,IF(J983="SAM",PR!$BD981,IF(J983="SEAGREEN",PR!$BE981,IF(J983="SKG",PR!$BF981,IF(J983="TAH",PR!$BG981,IF(J983="TAYLEK",PR!$BH981,IF(J983="TEMITA",PR!$BI981,IF(J983="THL",PR!$BJ981,IF(J983="UBASTIC",PR!$BK981,IF(J983="UNION",PR!$BL981,IF(J983="UNIQUE",PR!$BM981,IF(J983="VIXA",PR!$BN981,IF(J983="WWCV",PR!$BO981,IF(J983="ZOLON",PR!$BP981,"-"))))))))))))))))))))))))))))))))))))))))))))))))))))))))))))))))</f>
        <v>14000</v>
      </c>
      <c r="J983" s="102" t="str">
        <f>EV!N1244</f>
        <v>SANCON</v>
      </c>
      <c r="K983" s="433" t="s">
        <v>1461</v>
      </c>
      <c r="L983" s="183">
        <f>IF(K983&gt;0,IF(K983="ALPHA",PR!$E981,IF(K983="ASSENE",PR!$F981,IF(K983="BIOFEM",PR!$G981,IF(K983="BIOMED",PR!$H981,IF(K983="CHI",PR!$I981,IF(K983="CLARION",PR!$J981,IF(K983="CODIX",PR!$K981,IF(K983="COSMADE",PR!$L981,IF(K983="SANCON",PR!$M981,IF(K983="DEVON",PR!$N981,IF(K983="DORTEMAG",PR!$O981,IF(K983="DGF",PR!$P981,IF(K983="DYNAMIC",PR!$Q981,IF(K983="EMZOR",PR!$R981,IF(K983="EUMATT",PR!$S981,IF(K983="FIDSON",PR!$T981,IF(K983="FCGLOBAL",PR!$U981,IF(K983="GENEITH",PR!$V981,IF(K983="GINOS",PR!$W981,IF(K983="GSK",PR!$X981,IF(K983="GLOBORG",PR!$Y981,IF(K983="GOODNEWS",PR!$Z981,IF(K983="GREENLIFE",PR!$AA981,IF(K983="HLINE",PR!$AB981,IF(K983="ROTECH",PR!$AC981,IF(K983="ISN",PR!$AD981,IF(K983="JAWA",PR!$AE981,IF(K983="LAYO",PR!$AF981,IF(K983="LEADWAY",PR!$AG981,IF(K983="LHV",PR!$AH981,IF(K983="MANOLA",PR!$AI981,IF(K983="MARCSON",PR!$AJ981,IF(K983="M&amp;B",PR!$AK981,IF(K983="MTRUST",PR!$AL981,IF(K983="MWORLD",PR!$AM981,IF(K983="MEGA",PR!$AN981,IF(K983="MICRONOVA",PR!$AO981,IF(K983="MFLASH",PR!$AP981,IF(K983="MORISON",PR!$AQ981,IF(K983="NEMEL",PR!$AR981,IF(K983="NHP",PR!$AS981,IF(K983="NHC",PR!$AT981,IF(K983="OLEAF",PR!$AU981,IF(K983="OCULUS",PR!$AV981,IF(K983="PACIFIC",PR!$AW981,IF(K983="PHAMATEX",PR!$AX981,IF(K983="PETHICS",PR!$AY981,IF(K983="PHILIPS",PR!$AZ981,IF(K983="RANBAXY",PR!$BA981,IF(K983="REALS",PR!$BB981,IF(K983="ROYAL",PR!$BC981,IF(K983="SAM",PR!$BD981,IF(K983="SEAGREEN",PR!$BE981,IF(K983="SKG",PR!$BF981,IF(K983="TAH",PR!$BG981,IF(K983="TAYLEK",PR!$BH981,IF(K983="TEMITA",PR!$BI981,IF(K983="THL",PR!$BJ981,IF(K983="UBASTIC",PR!$BK981,IF(K983="UNION",PR!$BL981,IF(K983="UNIQUE",PR!$BM981,IF(K983="VIXA",PR!$BN981,IF(K983="WWCV",PR!$BO981,IF(K983="ZOLON",PR!$BP981,"-")))))))))))))))))))))))))))))))))))))))))))))))))))))))))))))))))</f>
        <v>13650</v>
      </c>
    </row>
    <row r="984" spans="1:12" ht="18.75" x14ac:dyDescent="0.3">
      <c r="A984" s="430">
        <f>PR!A982</f>
        <v>886</v>
      </c>
      <c r="B984" s="15" t="str">
        <f>PR!B982</f>
        <v>SLIDE TRAY</v>
      </c>
      <c r="C984" s="113" t="str">
        <f>PR!D982</f>
        <v>1 Carton (100pcs)</v>
      </c>
      <c r="D984" s="113">
        <f>PR!C982</f>
        <v>20</v>
      </c>
      <c r="E984" s="108">
        <f>IF(F984="ALPHA",PR!$E982,IF(F984="ASSENE",PR!$F982,IF(F984="BIOFEM",PR!$G982,IF(F984="BIOMED",PR!$H982,IF(F984="CHI",PR!$I982,IF(F984="CLARION",PR!$J982,IF(F984="CODIX",PR!$K982,IF(F984="COSMADE",PR!$L982,IF(F984="SANCON",PR!$M982,IF(F984="DEVON",PR!$N982,IF(F984="DORTEMAG",PR!$O982,IF(F984="DGF",PR!$P982,IF(F984="DYNAMIC",PR!$Q982,IF(F984="EMZOR",PR!$R982,IF(F984="EUMATT",PR!$S982,IF(F984="FIDSON",PR!$T982,IF(F984="FCGLOBAL",PR!$U982,IF(F984="GENEITH",PR!$V982,IF(F984="GINOS",PR!$W982,IF(F984="GSK",PR!$X982,IF(F984="GLOBORG",PR!$Y982,IF(F984="GOODNEWS",PR!$Z982,IF(F984="GREENLIFE",PR!$AA982,IF(F984="HLINE",PR!$AB982,IF(F984="ROTECH",PR!$AC982,IF(F984="ISN",PR!$AD982,IF(F984="JAWA",PR!$AE982,IF(F984="LAYO",PR!$AF982,IF(F984="LEADWAY",PR!$AG982,IF(F984="LHV",PR!$AH982,IF(F984="MANOLA",PR!$AI982,IF(F984="MARCSON",PR!$AJ982,IF(F984="M&amp;B",PR!$AK982,IF(F984="MTRUST",PR!$AL982,IF(F984="MWORLD",PR!$AM982,IF(F984="MEGA",PR!$AN982,IF(F984="MICRONOVA",PR!$AO982,IF(F984="MFLASH",PR!$AP982,IF(F984="MORISON",PR!$AQ982,IF(F984="NEMEL",PR!$AR982,IF(F984="NHP",PR!$AS982,IF(F984="NHC",PR!$AT982,IF(F984="OLEAF",PR!$AU982,IF(F984="OCULUS",PR!$AV982,IF(F984="PACIFIC",PR!$AW982,IF(F984="PHAMATEX",PR!$AX982,IF(F984="PETHICS",PR!$AY982,IF(F984="PHILIPS",PR!$AZ982,IF(F984="RANBAXY",PR!$BA982,IF(F984="REALS",PR!$BB982,IF(F984="ROYAL",PR!$BC982,IF(F984="SAM",PR!$BD982,IF(F984="SEAGREEN",PR!$BE982,IF(F984="SKG",PR!$BF982,IF(F984="TAH",PR!$BG982,IF(F984="TAYLEK",PR!$BH982,IF(F984="TEMITA",PR!$BI982,IF(F984="THL",PR!$BJ982,IF(F984="UBASTIC",PR!$BK982,IF(F984="UNION",PR!$BL982,IF(F984="UNIQUE",PR!$BM982,IF(F984="VIXA",PR!$BN982,IF(F984="WWCV",PR!$BO982,IF(F984="ZOLON",PR!$BP982,"-"))))))))))))))))))))))))))))))))))))))))))))))))))))))))))))))))</f>
        <v>2500</v>
      </c>
      <c r="F984" s="102" t="str">
        <f>EV!L1245</f>
        <v>SANCON</v>
      </c>
      <c r="G984" s="108">
        <f>IF(H984="ALPHA",PR!$E982,IF(H984="ASSENE",PR!$F982,IF(H984="BIOFEM",PR!$G982,IF(H984="BIOMED",PR!$H982,IF(H984="CHI",PR!$I982,IF(H984="CLARION",PR!$J982,IF(H984="CODIX",PR!$K982,IF(H984="COSMADE",PR!$L982,IF(H984="SANCON",PR!$M982,IF(H984="DEVON",PR!$N982,IF(H984="DORTEMAG",PR!$O982,IF(H984="DGF",PR!$P982,IF(H984="DYNAMIC",PR!$Q982,IF(H984="EMZOR",PR!$R982,IF(H984="EUMATT",PR!$S982,IF(H984="FIDSON",PR!$T982,IF(H984="FCGLOBAL",PR!$U982,IF(H984="GENEITH",PR!$V982,IF(H984="GINOS",PR!$W982,IF(H984="GSK",PR!$X982,IF(H984="GLOBORG",PR!$Y982,IF(H984="GOODNEWS",PR!$Z982,IF(H984="GREENLIFE",PR!$AA982,IF(H984="HLINE",PR!$AB982,IF(H984="ROTECH",PR!$AC982,IF(H984="ISN",PR!$AD982,IF(H984="JAWA",PR!$AE982,IF(H984="LAYO",PR!$AF982,IF(H984="LEADWAY",PR!$AG982,IF(H984="LHV",PR!$AH982,IF(H984="MANOLA",PR!$AI982,IF(H984="MARCSON",PR!$AJ982,IF(H984="M&amp;B",PR!$AK982,IF(H984="MTRUST",PR!$AL982,IF(H984="MWORLD",PR!$AM982,IF(H984="MEGA",PR!$AN982,IF(H984="MICRONOVA",PR!$AO982,IF(H984="MFLASH",PR!$AP982,IF(H984="MORISON",PR!$AQ982,IF(H984="NEMEL",PR!$AR982,IF(H984="NHP",PR!$AS982,IF(H984="NHC",PR!$AT982,IF(H984="OLEAF",PR!$AU982,IF(H984="OCULUS",PR!$AV982,IF(H984="PACIFIC",PR!$AW982,IF(H984="PHAMATEX",PR!$AX982,IF(H984="PETHICS",PR!$AY982,IF(H984="PHILIPS",PR!$AZ982,IF(H984="RANBAXY",PR!$BA982,IF(H984="REALS",PR!$BB982,IF(H984="ROYAL",PR!$BC982,IF(H984="SAM",PR!$BD982,IF(H984="SEAGREEN",PR!$BE982,IF(H984="SKG",PR!$BF982,IF(H984="TAH",PR!$BG982,IF(H984="TAYLEK",PR!$BH982,IF(H984="TEMITA",PR!$BI982,IF(H984="THL",PR!$BJ982,IF(H984="UBASTIC",PR!$BK982,IF(H984="UNION",PR!$BL982,IF(H984="UNIQUE",PR!$BM982,IF(H984="VIXA",PR!$BN982,IF(H984="WWCV",PR!$BO982,IF(H984="ZOLON",PR!$BP982,"-"))))))))))))))))))))))))))))))))))))))))))))))))))))))))))))))))</f>
        <v>2500</v>
      </c>
      <c r="H984" s="102" t="str">
        <f>EV!M1245</f>
        <v>UBASTIC</v>
      </c>
      <c r="I984" s="108">
        <f>IF(J984="ALPHA",PR!$E982,IF(J984="ASSENE",PR!$F982,IF(J984="BIOFEM",PR!$G982,IF(J984="BIOMED",PR!$H982,IF(J984="CHI",PR!$I982,IF(J984="CLARION",PR!$J982,IF(J984="CODIX",PR!$K982,IF(J984="COSMADE",PR!$L982,IF(J984="SANCON",PR!$M982,IF(J984="DEVON",PR!$N982,IF(J984="DORTEMAG",PR!$O982,IF(J984="DGF",PR!$P982,IF(J984="DYNAMIC",PR!$Q982,IF(J984="EMZOR",PR!$R982,IF(J984="EUMATT",PR!$S982,IF(J984="FIDSON",PR!$T982,IF(J984="FCGLOBAL",PR!$U982,IF(J984="GENEITH",PR!$V982,IF(J984="GINOS",PR!$W982,IF(J984="GSK",PR!$X982,IF(J984="GLOBORG",PR!$Y982,IF(J984="GOODNEWS",PR!$Z982,IF(J984="GREENLIFE",PR!$AA982,IF(J984="HLINE",PR!$AB982,IF(J984="ROTECH",PR!$AC982,IF(J984="ISN",PR!$AD982,IF(J984="JAWA",PR!$AE982,IF(J984="LAYO",PR!$AF982,IF(J984="LEADWAY",PR!$AG982,IF(J984="LHV",PR!$AH982,IF(J984="MANOLA",PR!$AI982,IF(J984="MARCSON",PR!$AJ982,IF(J984="M&amp;B",PR!$AK982,IF(J984="MTRUST",PR!$AL982,IF(J984="MWORLD",PR!$AM982,IF(J984="MEGA",PR!$AN982,IF(J984="MICRONOVA",PR!$AO982,IF(J984="MFLASH",PR!$AP982,IF(J984="MORISON",PR!$AQ982,IF(J984="NEMEL",PR!$AR982,IF(J984="NHP",PR!$AS982,IF(J984="NHC",PR!$AT982,IF(J984="OLEAF",PR!$AU982,IF(J984="OCULUS",PR!$AV982,IF(J984="PACIFIC",PR!$AW982,IF(J984="PHAMATEX",PR!$AX982,IF(J984="PETHICS",PR!$AY982,IF(J984="PHILIPS",PR!$AZ982,IF(J984="RANBAXY",PR!$BA982,IF(J984="REALS",PR!$BB982,IF(J984="ROYAL",PR!$BC982,IF(J984="SAM",PR!$BD982,IF(J984="SEAGREEN",PR!$BE982,IF(J984="SKG",PR!$BF982,IF(J984="TAH",PR!$BG982,IF(J984="TAYLEK",PR!$BH982,IF(J984="TEMITA",PR!$BI982,IF(J984="THL",PR!$BJ982,IF(J984="UBASTIC",PR!$BK982,IF(J984="UNION",PR!$BL982,IF(J984="UNIQUE",PR!$BM982,IF(J984="VIXA",PR!$BN982,IF(J984="WWCV",PR!$BO982,IF(J984="ZOLON",PR!$BP982,"-"))))))))))))))))))))))))))))))))))))))))))))))))))))))))))))))))</f>
        <v>3000</v>
      </c>
      <c r="J984" s="102" t="str">
        <f>EV!N1245</f>
        <v>COSMADE</v>
      </c>
      <c r="K984" s="433" t="s">
        <v>817</v>
      </c>
      <c r="L984" s="183">
        <f>IF(K984&gt;0,IF(K984="ALPHA",PR!$E982,IF(K984="ASSENE",PR!$F982,IF(K984="BIOFEM",PR!$G982,IF(K984="BIOMED",PR!$H982,IF(K984="CHI",PR!$I982,IF(K984="CLARION",PR!$J982,IF(K984="CODIX",PR!$K982,IF(K984="COSMADE",PR!$L982,IF(K984="SANCON",PR!$M982,IF(K984="DEVON",PR!$N982,IF(K984="DORTEMAG",PR!$O982,IF(K984="DGF",PR!$P982,IF(K984="DYNAMIC",PR!$Q982,IF(K984="EMZOR",PR!$R982,IF(K984="EUMATT",PR!$S982,IF(K984="FIDSON",PR!$T982,IF(K984="FCGLOBAL",PR!$U982,IF(K984="GENEITH",PR!$V982,IF(K984="GINOS",PR!$W982,IF(K984="GSK",PR!$X982,IF(K984="GLOBORG",PR!$Y982,IF(K984="GOODNEWS",PR!$Z982,IF(K984="GREENLIFE",PR!$AA982,IF(K984="HLINE",PR!$AB982,IF(K984="ROTECH",PR!$AC982,IF(K984="ISN",PR!$AD982,IF(K984="JAWA",PR!$AE982,IF(K984="LAYO",PR!$AF982,IF(K984="LEADWAY",PR!$AG982,IF(K984="LHV",PR!$AH982,IF(K984="MANOLA",PR!$AI982,IF(K984="MARCSON",PR!$AJ982,IF(K984="M&amp;B",PR!$AK982,IF(K984="MTRUST",PR!$AL982,IF(K984="MWORLD",PR!$AM982,IF(K984="MEGA",PR!$AN982,IF(K984="MICRONOVA",PR!$AO982,IF(K984="MFLASH",PR!$AP982,IF(K984="MORISON",PR!$AQ982,IF(K984="NEMEL",PR!$AR982,IF(K984="NHP",PR!$AS982,IF(K984="NHC",PR!$AT982,IF(K984="OLEAF",PR!$AU982,IF(K984="OCULUS",PR!$AV982,IF(K984="PACIFIC",PR!$AW982,IF(K984="PHAMATEX",PR!$AX982,IF(K984="PETHICS",PR!$AY982,IF(K984="PHILIPS",PR!$AZ982,IF(K984="RANBAXY",PR!$BA982,IF(K984="REALS",PR!$BB982,IF(K984="ROYAL",PR!$BC982,IF(K984="SAM",PR!$BD982,IF(K984="SEAGREEN",PR!$BE982,IF(K984="SKG",PR!$BF982,IF(K984="TAH",PR!$BG982,IF(K984="TAYLEK",PR!$BH982,IF(K984="TEMITA",PR!$BI982,IF(K984="THL",PR!$BJ982,IF(K984="UBASTIC",PR!$BK982,IF(K984="UNION",PR!$BL982,IF(K984="UNIQUE",PR!$BM982,IF(K984="VIXA",PR!$BN982,IF(K984="WWCV",PR!$BO982,IF(K984="ZOLON",PR!$BP982,"-")))))))))))))))))))))))))))))))))))))))))))))))))))))))))))))))))</f>
        <v>2500</v>
      </c>
    </row>
    <row r="985" spans="1:12" ht="18.75" x14ac:dyDescent="0.3">
      <c r="A985" s="430">
        <f>PR!A983</f>
        <v>887</v>
      </c>
      <c r="B985" s="15" t="str">
        <f>PR!B983</f>
        <v>EYES CAP</v>
      </c>
      <c r="C985" s="113" t="str">
        <f>PR!D983</f>
        <v>1 bottle (6pcs)</v>
      </c>
      <c r="D985" s="113">
        <f>PR!C983</f>
        <v>5</v>
      </c>
      <c r="E985" s="108">
        <f>IF(F985="ALPHA",PR!$E983,IF(F985="ASSENE",PR!$F983,IF(F985="BIOFEM",PR!$G983,IF(F985="BIOMED",PR!$H983,IF(F985="CHI",PR!$I983,IF(F985="CLARION",PR!$J983,IF(F985="CODIX",PR!$K983,IF(F985="COSMADE",PR!$L983,IF(F985="SANCON",PR!$M983,IF(F985="DEVON",PR!$N983,IF(F985="DORTEMAG",PR!$O983,IF(F985="DGF",PR!$P983,IF(F985="DYNAMIC",PR!$Q983,IF(F985="EMZOR",PR!$R983,IF(F985="EUMATT",PR!$S983,IF(F985="FIDSON",PR!$T983,IF(F985="FCGLOBAL",PR!$U983,IF(F985="GENEITH",PR!$V983,IF(F985="GINOS",PR!$W983,IF(F985="GSK",PR!$X983,IF(F985="GLOBORG",PR!$Y983,IF(F985="GOODNEWS",PR!$Z983,IF(F985="GREENLIFE",PR!$AA983,IF(F985="HLINE",PR!$AB983,IF(F985="ROTECH",PR!$AC983,IF(F985="ISN",PR!$AD983,IF(F985="JAWA",PR!$AE983,IF(F985="LAYO",PR!$AF983,IF(F985="LEADWAY",PR!$AG983,IF(F985="LHV",PR!$AH983,IF(F985="MANOLA",PR!$AI983,IF(F985="MARCSON",PR!$AJ983,IF(F985="M&amp;B",PR!$AK983,IF(F985="MTRUST",PR!$AL983,IF(F985="MWORLD",PR!$AM983,IF(F985="MEGA",PR!$AN983,IF(F985="MICRONOVA",PR!$AO983,IF(F985="MFLASH",PR!$AP983,IF(F985="MORISON",PR!$AQ983,IF(F985="NEMEL",PR!$AR983,IF(F985="NHP",PR!$AS983,IF(F985="NHC",PR!$AT983,IF(F985="OLEAF",PR!$AU983,IF(F985="OCULUS",PR!$AV983,IF(F985="PACIFIC",PR!$AW983,IF(F985="PHAMATEX",PR!$AX983,IF(F985="PETHICS",PR!$AY983,IF(F985="PHILIPS",PR!$AZ983,IF(F985="RANBAXY",PR!$BA983,IF(F985="REALS",PR!$BB983,IF(F985="ROYAL",PR!$BC983,IF(F985="SAM",PR!$BD983,IF(F985="SEAGREEN",PR!$BE983,IF(F985="SKG",PR!$BF983,IF(F985="TAH",PR!$BG983,IF(F985="TAYLEK",PR!$BH983,IF(F985="TEMITA",PR!$BI983,IF(F985="THL",PR!$BJ983,IF(F985="UBASTIC",PR!$BK983,IF(F985="UNION",PR!$BL983,IF(F985="UNIQUE",PR!$BM983,IF(F985="VIXA",PR!$BN983,IF(F985="WWCV",PR!$BO983,IF(F985="ZOLON",PR!$BP983,"-"))))))))))))))))))))))))))))))))))))))))))))))))))))))))))))))))</f>
        <v>1000</v>
      </c>
      <c r="F985" s="102" t="str">
        <f>EV!L1246</f>
        <v>DYNAMIC</v>
      </c>
      <c r="G985" s="108">
        <f>IF(H985="ALPHA",PR!$E983,IF(H985="ASSENE",PR!$F983,IF(H985="BIOFEM",PR!$G983,IF(H985="BIOMED",PR!$H983,IF(H985="CHI",PR!$I983,IF(H985="CLARION",PR!$J983,IF(H985="CODIX",PR!$K983,IF(H985="COSMADE",PR!$L983,IF(H985="SANCON",PR!$M983,IF(H985="DEVON",PR!$N983,IF(H985="DORTEMAG",PR!$O983,IF(H985="DGF",PR!$P983,IF(H985="DYNAMIC",PR!$Q983,IF(H985="EMZOR",PR!$R983,IF(H985="EUMATT",PR!$S983,IF(H985="FIDSON",PR!$T983,IF(H985="FCGLOBAL",PR!$U983,IF(H985="GENEITH",PR!$V983,IF(H985="GINOS",PR!$W983,IF(H985="GSK",PR!$X983,IF(H985="GLOBORG",PR!$Y983,IF(H985="GOODNEWS",PR!$Z983,IF(H985="GREENLIFE",PR!$AA983,IF(H985="HLINE",PR!$AB983,IF(H985="ROTECH",PR!$AC983,IF(H985="ISN",PR!$AD983,IF(H985="JAWA",PR!$AE983,IF(H985="LAYO",PR!$AF983,IF(H985="LEADWAY",PR!$AG983,IF(H985="LHV",PR!$AH983,IF(H985="MANOLA",PR!$AI983,IF(H985="MARCSON",PR!$AJ983,IF(H985="M&amp;B",PR!$AK983,IF(H985="MTRUST",PR!$AL983,IF(H985="MWORLD",PR!$AM983,IF(H985="MEGA",PR!$AN983,IF(H985="MICRONOVA",PR!$AO983,IF(H985="MFLASH",PR!$AP983,IF(H985="MORISON",PR!$AQ983,IF(H985="NEMEL",PR!$AR983,IF(H985="NHP",PR!$AS983,IF(H985="NHC",PR!$AT983,IF(H985="OLEAF",PR!$AU983,IF(H985="OCULUS",PR!$AV983,IF(H985="PACIFIC",PR!$AW983,IF(H985="PHAMATEX",PR!$AX983,IF(H985="PETHICS",PR!$AY983,IF(H985="PHILIPS",PR!$AZ983,IF(H985="RANBAXY",PR!$BA983,IF(H985="REALS",PR!$BB983,IF(H985="ROYAL",PR!$BC983,IF(H985="SAM",PR!$BD983,IF(H985="SEAGREEN",PR!$BE983,IF(H985="SKG",PR!$BF983,IF(H985="TAH",PR!$BG983,IF(H985="TAYLEK",PR!$BH983,IF(H985="TEMITA",PR!$BI983,IF(H985="THL",PR!$BJ983,IF(H985="UBASTIC",PR!$BK983,IF(H985="UNION",PR!$BL983,IF(H985="UNIQUE",PR!$BM983,IF(H985="VIXA",PR!$BN983,IF(H985="WWCV",PR!$BO983,IF(H985="ZOLON",PR!$BP983,"-"))))))))))))))))))))))))))))))))))))))))))))))))))))))))))))))))</f>
        <v>1695</v>
      </c>
      <c r="H985" s="102" t="str">
        <f>EV!M1246</f>
        <v>ROTECH</v>
      </c>
      <c r="I985" s="108" t="str">
        <f>IF(J985="ALPHA",PR!$E983,IF(J985="ASSENE",PR!$F983,IF(J985="BIOFEM",PR!$G983,IF(J985="BIOMED",PR!$H983,IF(J985="CHI",PR!$I983,IF(J985="CLARION",PR!$J983,IF(J985="CODIX",PR!$K983,IF(J985="COSMADE",PR!$L983,IF(J985="SANCON",PR!$M983,IF(J985="DEVON",PR!$N983,IF(J985="DORTEMAG",PR!$O983,IF(J985="DGF",PR!$P983,IF(J985="DYNAMIC",PR!$Q983,IF(J985="EMZOR",PR!$R983,IF(J985="EUMATT",PR!$S983,IF(J985="FIDSON",PR!$T983,IF(J985="FCGLOBAL",PR!$U983,IF(J985="GENEITH",PR!$V983,IF(J985="GINOS",PR!$W983,IF(J985="GSK",PR!$X983,IF(J985="GLOBORG",PR!$Y983,IF(J985="GOODNEWS",PR!$Z983,IF(J985="GREENLIFE",PR!$AA983,IF(J985="HLINE",PR!$AB983,IF(J985="ROTECH",PR!$AC983,IF(J985="ISN",PR!$AD983,IF(J985="JAWA",PR!$AE983,IF(J985="LAYO",PR!$AF983,IF(J985="LEADWAY",PR!$AG983,IF(J985="LHV",PR!$AH983,IF(J985="MANOLA",PR!$AI983,IF(J985="MARCSON",PR!$AJ983,IF(J985="M&amp;B",PR!$AK983,IF(J985="MTRUST",PR!$AL983,IF(J985="MWORLD",PR!$AM983,IF(J985="MEGA",PR!$AN983,IF(J985="MICRONOVA",PR!$AO983,IF(J985="MFLASH",PR!$AP983,IF(J985="MORISON",PR!$AQ983,IF(J985="NEMEL",PR!$AR983,IF(J985="NHP",PR!$AS983,IF(J985="NHC",PR!$AT983,IF(J985="OLEAF",PR!$AU983,IF(J985="OCULUS",PR!$AV983,IF(J985="PACIFIC",PR!$AW983,IF(J985="PHAMATEX",PR!$AX983,IF(J985="PETHICS",PR!$AY983,IF(J985="PHILIPS",PR!$AZ983,IF(J985="RANBAXY",PR!$BA983,IF(J985="REALS",PR!$BB983,IF(J985="ROYAL",PR!$BC983,IF(J985="SAM",PR!$BD983,IF(J985="SEAGREEN",PR!$BE983,IF(J985="SKG",PR!$BF983,IF(J985="TAH",PR!$BG983,IF(J985="TAYLEK",PR!$BH983,IF(J985="TEMITA",PR!$BI983,IF(J985="THL",PR!$BJ983,IF(J985="UBASTIC",PR!$BK983,IF(J985="UNION",PR!$BL983,IF(J985="UNIQUE",PR!$BM983,IF(J985="VIXA",PR!$BN983,IF(J985="WWCV",PR!$BO983,IF(J985="ZOLON",PR!$BP983,"-"))))))))))))))))))))))))))))))))))))))))))))))))))))))))))))))))</f>
        <v>-</v>
      </c>
      <c r="J985" s="102">
        <f>EV!N1246</f>
        <v>0</v>
      </c>
      <c r="K985" s="433" t="s">
        <v>626</v>
      </c>
      <c r="L985" s="183">
        <f>IF(K985&gt;0,IF(K985="ALPHA",PR!$E983,IF(K985="ASSENE",PR!$F983,IF(K985="BIOFEM",PR!$G983,IF(K985="BIOMED",PR!$H983,IF(K985="CHI",PR!$I983,IF(K985="CLARION",PR!$J983,IF(K985="CODIX",PR!$K983,IF(K985="COSMADE",PR!$L983,IF(K985="SANCON",PR!$M983,IF(K985="DEVON",PR!$N983,IF(K985="DORTEMAG",PR!$O983,IF(K985="DGF",PR!$P983,IF(K985="DYNAMIC",PR!$Q983,IF(K985="EMZOR",PR!$R983,IF(K985="EUMATT",PR!$S983,IF(K985="FIDSON",PR!$T983,IF(K985="FCGLOBAL",PR!$U983,IF(K985="GENEITH",PR!$V983,IF(K985="GINOS",PR!$W983,IF(K985="GSK",PR!$X983,IF(K985="GLOBORG",PR!$Y983,IF(K985="GOODNEWS",PR!$Z983,IF(K985="GREENLIFE",PR!$AA983,IF(K985="HLINE",PR!$AB983,IF(K985="ROTECH",PR!$AC983,IF(K985="ISN",PR!$AD983,IF(K985="JAWA",PR!$AE983,IF(K985="LAYO",PR!$AF983,IF(K985="LEADWAY",PR!$AG983,IF(K985="LHV",PR!$AH983,IF(K985="MANOLA",PR!$AI983,IF(K985="MARCSON",PR!$AJ983,IF(K985="M&amp;B",PR!$AK983,IF(K985="MTRUST",PR!$AL983,IF(K985="MWORLD",PR!$AM983,IF(K985="MEGA",PR!$AN983,IF(K985="MICRONOVA",PR!$AO983,IF(K985="MFLASH",PR!$AP983,IF(K985="MORISON",PR!$AQ983,IF(K985="NEMEL",PR!$AR983,IF(K985="NHP",PR!$AS983,IF(K985="NHC",PR!$AT983,IF(K985="OLEAF",PR!$AU983,IF(K985="OCULUS",PR!$AV983,IF(K985="PACIFIC",PR!$AW983,IF(K985="PHAMATEX",PR!$AX983,IF(K985="PETHICS",PR!$AY983,IF(K985="PHILIPS",PR!$AZ983,IF(K985="RANBAXY",PR!$BA983,IF(K985="REALS",PR!$BB983,IF(K985="ROYAL",PR!$BC983,IF(K985="SAM",PR!$BD983,IF(K985="SEAGREEN",PR!$BE983,IF(K985="SKG",PR!$BF983,IF(K985="TAH",PR!$BG983,IF(K985="TAYLEK",PR!$BH983,IF(K985="TEMITA",PR!$BI983,IF(K985="THL",PR!$BJ983,IF(K985="UBASTIC",PR!$BK983,IF(K985="UNION",PR!$BL983,IF(K985="UNIQUE",PR!$BM983,IF(K985="VIXA",PR!$BN983,IF(K985="WWCV",PR!$BO983,IF(K985="ZOLON",PR!$BP983,"-")))))))))))))))))))))))))))))))))))))))))))))))))))))))))))))))))</f>
        <v>1000</v>
      </c>
    </row>
    <row r="986" spans="1:12" ht="18.75" x14ac:dyDescent="0.3">
      <c r="A986" s="430">
        <f>PR!A984</f>
        <v>888</v>
      </c>
      <c r="B986" s="15" t="str">
        <f>PR!B984</f>
        <v>NAME LABEL (MORTUARY)</v>
      </c>
      <c r="C986" s="113" t="str">
        <f>PR!D984</f>
        <v>1 pack (10pcs)</v>
      </c>
      <c r="D986" s="113">
        <f>PR!C984</f>
        <v>10</v>
      </c>
      <c r="E986" s="108">
        <f>IF(F986="ALPHA",PR!$E984,IF(F986="ASSENE",PR!$F984,IF(F986="BIOFEM",PR!$G984,IF(F986="BIOMED",PR!$H984,IF(F986="CHI",PR!$I984,IF(F986="CLARION",PR!$J984,IF(F986="CODIX",PR!$K984,IF(F986="COSMADE",PR!$L984,IF(F986="SANCON",PR!$M984,IF(F986="DEVON",PR!$N984,IF(F986="DORTEMAG",PR!$O984,IF(F986="DGF",PR!$P984,IF(F986="DYNAMIC",PR!$Q984,IF(F986="EMZOR",PR!$R984,IF(F986="EUMATT",PR!$S984,IF(F986="FIDSON",PR!$T984,IF(F986="FCGLOBAL",PR!$U984,IF(F986="GENEITH",PR!$V984,IF(F986="GINOS",PR!$W984,IF(F986="GSK",PR!$X984,IF(F986="GLOBORG",PR!$Y984,IF(F986="GOODNEWS",PR!$Z984,IF(F986="GREENLIFE",PR!$AA984,IF(F986="HLINE",PR!$AB984,IF(F986="ROTECH",PR!$AC984,IF(F986="ISN",PR!$AD984,IF(F986="JAWA",PR!$AE984,IF(F986="LAYO",PR!$AF984,IF(F986="LEADWAY",PR!$AG984,IF(F986="LHV",PR!$AH984,IF(F986="MANOLA",PR!$AI984,IF(F986="MARCSON",PR!$AJ984,IF(F986="M&amp;B",PR!$AK984,IF(F986="MTRUST",PR!$AL984,IF(F986="MWORLD",PR!$AM984,IF(F986="MEGA",PR!$AN984,IF(F986="MICRONOVA",PR!$AO984,IF(F986="MFLASH",PR!$AP984,IF(F986="MORISON",PR!$AQ984,IF(F986="NEMEL",PR!$AR984,IF(F986="NHP",PR!$AS984,IF(F986="NHC",PR!$AT984,IF(F986="OLEAF",PR!$AU984,IF(F986="OCULUS",PR!$AV984,IF(F986="PACIFIC",PR!$AW984,IF(F986="PHAMATEX",PR!$AX984,IF(F986="PETHICS",PR!$AY984,IF(F986="PHILIPS",PR!$AZ984,IF(F986="RANBAXY",PR!$BA984,IF(F986="REALS",PR!$BB984,IF(F986="ROYAL",PR!$BC984,IF(F986="SAM",PR!$BD984,IF(F986="SEAGREEN",PR!$BE984,IF(F986="SKG",PR!$BF984,IF(F986="TAH",PR!$BG984,IF(F986="TAYLEK",PR!$BH984,IF(F986="TEMITA",PR!$BI984,IF(F986="THL",PR!$BJ984,IF(F986="UBASTIC",PR!$BK984,IF(F986="UNION",PR!$BL984,IF(F986="UNIQUE",PR!$BM984,IF(F986="VIXA",PR!$BN984,IF(F986="WWCV",PR!$BO984,IF(F986="ZOLON",PR!$BP984,"-"))))))))))))))))))))))))))))))))))))))))))))))))))))))))))))))))</f>
        <v>1875</v>
      </c>
      <c r="F986" s="102" t="str">
        <f>EV!L1247</f>
        <v>DYNAMIC</v>
      </c>
      <c r="G986" s="108">
        <f>IF(H986="ALPHA",PR!$E984,IF(H986="ASSENE",PR!$F984,IF(H986="BIOFEM",PR!$G984,IF(H986="BIOMED",PR!$H984,IF(H986="CHI",PR!$I984,IF(H986="CLARION",PR!$J984,IF(H986="CODIX",PR!$K984,IF(H986="COSMADE",PR!$L984,IF(H986="SANCON",PR!$M984,IF(H986="DEVON",PR!$N984,IF(H986="DORTEMAG",PR!$O984,IF(H986="DGF",PR!$P984,IF(H986="DYNAMIC",PR!$Q984,IF(H986="EMZOR",PR!$R984,IF(H986="EUMATT",PR!$S984,IF(H986="FIDSON",PR!$T984,IF(H986="FCGLOBAL",PR!$U984,IF(H986="GENEITH",PR!$V984,IF(H986="GINOS",PR!$W984,IF(H986="GSK",PR!$X984,IF(H986="GLOBORG",PR!$Y984,IF(H986="GOODNEWS",PR!$Z984,IF(H986="GREENLIFE",PR!$AA984,IF(H986="HLINE",PR!$AB984,IF(H986="ROTECH",PR!$AC984,IF(H986="ISN",PR!$AD984,IF(H986="JAWA",PR!$AE984,IF(H986="LAYO",PR!$AF984,IF(H986="LEADWAY",PR!$AG984,IF(H986="LHV",PR!$AH984,IF(H986="MANOLA",PR!$AI984,IF(H986="MARCSON",PR!$AJ984,IF(H986="M&amp;B",PR!$AK984,IF(H986="MTRUST",PR!$AL984,IF(H986="MWORLD",PR!$AM984,IF(H986="MEGA",PR!$AN984,IF(H986="MICRONOVA",PR!$AO984,IF(H986="MFLASH",PR!$AP984,IF(H986="MORISON",PR!$AQ984,IF(H986="NEMEL",PR!$AR984,IF(H986="NHP",PR!$AS984,IF(H986="NHC",PR!$AT984,IF(H986="OLEAF",PR!$AU984,IF(H986="OCULUS",PR!$AV984,IF(H986="PACIFIC",PR!$AW984,IF(H986="PHAMATEX",PR!$AX984,IF(H986="PETHICS",PR!$AY984,IF(H986="PHILIPS",PR!$AZ984,IF(H986="RANBAXY",PR!$BA984,IF(H986="REALS",PR!$BB984,IF(H986="ROYAL",PR!$BC984,IF(H986="SAM",PR!$BD984,IF(H986="SEAGREEN",PR!$BE984,IF(H986="SKG",PR!$BF984,IF(H986="TAH",PR!$BG984,IF(H986="TAYLEK",PR!$BH984,IF(H986="TEMITA",PR!$BI984,IF(H986="THL",PR!$BJ984,IF(H986="UBASTIC",PR!$BK984,IF(H986="UNION",PR!$BL984,IF(H986="UNIQUE",PR!$BM984,IF(H986="VIXA",PR!$BN984,IF(H986="WWCV",PR!$BO984,IF(H986="ZOLON",PR!$BP984,"-"))))))))))))))))))))))))))))))))))))))))))))))))))))))))))))))))</f>
        <v>2530</v>
      </c>
      <c r="H986" s="102" t="str">
        <f>EV!M1247</f>
        <v>ROTECH</v>
      </c>
      <c r="I986" s="108">
        <f>IF(J986="ALPHA",PR!$E984,IF(J986="ASSENE",PR!$F984,IF(J986="BIOFEM",PR!$G984,IF(J986="BIOMED",PR!$H984,IF(J986="CHI",PR!$I984,IF(J986="CLARION",PR!$J984,IF(J986="CODIX",PR!$K984,IF(J986="COSMADE",PR!$L984,IF(J986="SANCON",PR!$M984,IF(J986="DEVON",PR!$N984,IF(J986="DORTEMAG",PR!$O984,IF(J986="DGF",PR!$P984,IF(J986="DYNAMIC",PR!$Q984,IF(J986="EMZOR",PR!$R984,IF(J986="EUMATT",PR!$S984,IF(J986="FIDSON",PR!$T984,IF(J986="FCGLOBAL",PR!$U984,IF(J986="GENEITH",PR!$V984,IF(J986="GINOS",PR!$W984,IF(J986="GSK",PR!$X984,IF(J986="GLOBORG",PR!$Y984,IF(J986="GOODNEWS",PR!$Z984,IF(J986="GREENLIFE",PR!$AA984,IF(J986="HLINE",PR!$AB984,IF(J986="ROTECH",PR!$AC984,IF(J986="ISN",PR!$AD984,IF(J986="JAWA",PR!$AE984,IF(J986="LAYO",PR!$AF984,IF(J986="LEADWAY",PR!$AG984,IF(J986="LHV",PR!$AH984,IF(J986="MANOLA",PR!$AI984,IF(J986="MARCSON",PR!$AJ984,IF(J986="M&amp;B",PR!$AK984,IF(J986="MTRUST",PR!$AL984,IF(J986="MWORLD",PR!$AM984,IF(J986="MEGA",PR!$AN984,IF(J986="MICRONOVA",PR!$AO984,IF(J986="MFLASH",PR!$AP984,IF(J986="MORISON",PR!$AQ984,IF(J986="NEMEL",PR!$AR984,IF(J986="NHP",PR!$AS984,IF(J986="NHC",PR!$AT984,IF(J986="OLEAF",PR!$AU984,IF(J986="OCULUS",PR!$AV984,IF(J986="PACIFIC",PR!$AW984,IF(J986="PHAMATEX",PR!$AX984,IF(J986="PETHICS",PR!$AY984,IF(J986="PHILIPS",PR!$AZ984,IF(J986="RANBAXY",PR!$BA984,IF(J986="REALS",PR!$BB984,IF(J986="ROYAL",PR!$BC984,IF(J986="SAM",PR!$BD984,IF(J986="SEAGREEN",PR!$BE984,IF(J986="SKG",PR!$BF984,IF(J986="TAH",PR!$BG984,IF(J986="TAYLEK",PR!$BH984,IF(J986="TEMITA",PR!$BI984,IF(J986="THL",PR!$BJ984,IF(J986="UBASTIC",PR!$BK984,IF(J986="UNION",PR!$BL984,IF(J986="UNIQUE",PR!$BM984,IF(J986="VIXA",PR!$BN984,IF(J986="WWCV",PR!$BO984,IF(J986="ZOLON",PR!$BP984,"-"))))))))))))))))))))))))))))))))))))))))))))))))))))))))))))))))</f>
        <v>9500</v>
      </c>
      <c r="J986" s="102" t="str">
        <f>EV!N1247</f>
        <v>UBASTIC</v>
      </c>
      <c r="K986" s="433" t="s">
        <v>626</v>
      </c>
      <c r="L986" s="183">
        <f>IF(K986&gt;0,IF(K986="ALPHA",PR!$E984,IF(K986="ASSENE",PR!$F984,IF(K986="BIOFEM",PR!$G984,IF(K986="BIOMED",PR!$H984,IF(K986="CHI",PR!$I984,IF(K986="CLARION",PR!$J984,IF(K986="CODIX",PR!$K984,IF(K986="COSMADE",PR!$L984,IF(K986="SANCON",PR!$M984,IF(K986="DEVON",PR!$N984,IF(K986="DORTEMAG",PR!$O984,IF(K986="DGF",PR!$P984,IF(K986="DYNAMIC",PR!$Q984,IF(K986="EMZOR",PR!$R984,IF(K986="EUMATT",PR!$S984,IF(K986="FIDSON",PR!$T984,IF(K986="FCGLOBAL",PR!$U984,IF(K986="GENEITH",PR!$V984,IF(K986="GINOS",PR!$W984,IF(K986="GSK",PR!$X984,IF(K986="GLOBORG",PR!$Y984,IF(K986="GOODNEWS",PR!$Z984,IF(K986="GREENLIFE",PR!$AA984,IF(K986="HLINE",PR!$AB984,IF(K986="ROTECH",PR!$AC984,IF(K986="ISN",PR!$AD984,IF(K986="JAWA",PR!$AE984,IF(K986="LAYO",PR!$AF984,IF(K986="LEADWAY",PR!$AG984,IF(K986="LHV",PR!$AH984,IF(K986="MANOLA",PR!$AI984,IF(K986="MARCSON",PR!$AJ984,IF(K986="M&amp;B",PR!$AK984,IF(K986="MTRUST",PR!$AL984,IF(K986="MWORLD",PR!$AM984,IF(K986="MEGA",PR!$AN984,IF(K986="MICRONOVA",PR!$AO984,IF(K986="MFLASH",PR!$AP984,IF(K986="MORISON",PR!$AQ984,IF(K986="NEMEL",PR!$AR984,IF(K986="NHP",PR!$AS984,IF(K986="NHC",PR!$AT984,IF(K986="OLEAF",PR!$AU984,IF(K986="OCULUS",PR!$AV984,IF(K986="PACIFIC",PR!$AW984,IF(K986="PHAMATEX",PR!$AX984,IF(K986="PETHICS",PR!$AY984,IF(K986="PHILIPS",PR!$AZ984,IF(K986="RANBAXY",PR!$BA984,IF(K986="REALS",PR!$BB984,IF(K986="ROYAL",PR!$BC984,IF(K986="SAM",PR!$BD984,IF(K986="SEAGREEN",PR!$BE984,IF(K986="SKG",PR!$BF984,IF(K986="TAH",PR!$BG984,IF(K986="TAYLEK",PR!$BH984,IF(K986="TEMITA",PR!$BI984,IF(K986="THL",PR!$BJ984,IF(K986="UBASTIC",PR!$BK984,IF(K986="UNION",PR!$BL984,IF(K986="UNIQUE",PR!$BM984,IF(K986="VIXA",PR!$BN984,IF(K986="WWCV",PR!$BO984,IF(K986="ZOLON",PR!$BP984,"-")))))))))))))))))))))))))))))))))))))))))))))))))))))))))))))))))</f>
        <v>1875</v>
      </c>
    </row>
    <row r="987" spans="1:12" ht="18.75" x14ac:dyDescent="0.3">
      <c r="A987" s="430">
        <f>PR!A985</f>
        <v>889</v>
      </c>
      <c r="B987" s="15" t="str">
        <f>PR!B985</f>
        <v>UNIVERSAL CONTAINERS</v>
      </c>
      <c r="C987" s="113" t="str">
        <f>PR!D985</f>
        <v>1 Pack of 500 pcs</v>
      </c>
      <c r="D987" s="113">
        <f>PR!C985</f>
        <v>1</v>
      </c>
      <c r="E987" s="108">
        <f>IF(F987="ALPHA",PR!$E985,IF(F987="ASSENE",PR!$F985,IF(F987="BIOFEM",PR!$G985,IF(F987="BIOMED",PR!$H985,IF(F987="CHI",PR!$I985,IF(F987="CLARION",PR!$J985,IF(F987="CODIX",PR!$K985,IF(F987="COSMADE",PR!$L985,IF(F987="SANCON",PR!$M985,IF(F987="DEVON",PR!$N985,IF(F987="DORTEMAG",PR!$O985,IF(F987="DGF",PR!$P985,IF(F987="DYNAMIC",PR!$Q985,IF(F987="EMZOR",PR!$R985,IF(F987="EUMATT",PR!$S985,IF(F987="FIDSON",PR!$T985,IF(F987="FCGLOBAL",PR!$U985,IF(F987="GENEITH",PR!$V985,IF(F987="GINOS",PR!$W985,IF(F987="GSK",PR!$X985,IF(F987="GLOBORG",PR!$Y985,IF(F987="GOODNEWS",PR!$Z985,IF(F987="GREENLIFE",PR!$AA985,IF(F987="HLINE",PR!$AB985,IF(F987="ROTECH",PR!$AC985,IF(F987="ISN",PR!$AD985,IF(F987="JAWA",PR!$AE985,IF(F987="LAYO",PR!$AF985,IF(F987="LEADWAY",PR!$AG985,IF(F987="LHV",PR!$AH985,IF(F987="MANOLA",PR!$AI985,IF(F987="MARCSON",PR!$AJ985,IF(F987="M&amp;B",PR!$AK985,IF(F987="MTRUST",PR!$AL985,IF(F987="MWORLD",PR!$AM985,IF(F987="MEGA",PR!$AN985,IF(F987="MICRONOVA",PR!$AO985,IF(F987="MFLASH",PR!$AP985,IF(F987="MORISON",PR!$AQ985,IF(F987="NEMEL",PR!$AR985,IF(F987="NHP",PR!$AS985,IF(F987="NHC",PR!$AT985,IF(F987="OLEAF",PR!$AU985,IF(F987="OCULUS",PR!$AV985,IF(F987="PACIFIC",PR!$AW985,IF(F987="PHAMATEX",PR!$AX985,IF(F987="PETHICS",PR!$AY985,IF(F987="PHILIPS",PR!$AZ985,IF(F987="RANBAXY",PR!$BA985,IF(F987="REALS",PR!$BB985,IF(F987="ROYAL",PR!$BC985,IF(F987="SAM",PR!$BD985,IF(F987="SEAGREEN",PR!$BE985,IF(F987="SKG",PR!$BF985,IF(F987="TAH",PR!$BG985,IF(F987="TAYLEK",PR!$BH985,IF(F987="TEMITA",PR!$BI985,IF(F987="THL",PR!$BJ985,IF(F987="UBASTIC",PR!$BK985,IF(F987="UNION",PR!$BL985,IF(F987="UNIQUE",PR!$BM985,IF(F987="VIXA",PR!$BN985,IF(F987="WWCV",PR!$BO985,IF(F987="ZOLON",PR!$BP985,"-"))))))))))))))))))))))))))))))))))))))))))))))))))))))))))))))))</f>
        <v>13000</v>
      </c>
      <c r="F987" s="102" t="str">
        <f>EV!L1248</f>
        <v>COSMADE</v>
      </c>
      <c r="G987" s="108">
        <f>IF(H987="ALPHA",PR!$E985,IF(H987="ASSENE",PR!$F985,IF(H987="BIOFEM",PR!$G985,IF(H987="BIOMED",PR!$H985,IF(H987="CHI",PR!$I985,IF(H987="CLARION",PR!$J985,IF(H987="CODIX",PR!$K985,IF(H987="COSMADE",PR!$L985,IF(H987="SANCON",PR!$M985,IF(H987="DEVON",PR!$N985,IF(H987="DORTEMAG",PR!$O985,IF(H987="DGF",PR!$P985,IF(H987="DYNAMIC",PR!$Q985,IF(H987="EMZOR",PR!$R985,IF(H987="EUMATT",PR!$S985,IF(H987="FIDSON",PR!$T985,IF(H987="FCGLOBAL",PR!$U985,IF(H987="GENEITH",PR!$V985,IF(H987="GINOS",PR!$W985,IF(H987="GSK",PR!$X985,IF(H987="GLOBORG",PR!$Y985,IF(H987="GOODNEWS",PR!$Z985,IF(H987="GREENLIFE",PR!$AA985,IF(H987="HLINE",PR!$AB985,IF(H987="ROTECH",PR!$AC985,IF(H987="ISN",PR!$AD985,IF(H987="JAWA",PR!$AE985,IF(H987="LAYO",PR!$AF985,IF(H987="LEADWAY",PR!$AG985,IF(H987="LHV",PR!$AH985,IF(H987="MANOLA",PR!$AI985,IF(H987="MARCSON",PR!$AJ985,IF(H987="M&amp;B",PR!$AK985,IF(H987="MTRUST",PR!$AL985,IF(H987="MWORLD",PR!$AM985,IF(H987="MEGA",PR!$AN985,IF(H987="MICRONOVA",PR!$AO985,IF(H987="MFLASH",PR!$AP985,IF(H987="MORISON",PR!$AQ985,IF(H987="NEMEL",PR!$AR985,IF(H987="NHP",PR!$AS985,IF(H987="NHC",PR!$AT985,IF(H987="OLEAF",PR!$AU985,IF(H987="OCULUS",PR!$AV985,IF(H987="PACIFIC",PR!$AW985,IF(H987="PHAMATEX",PR!$AX985,IF(H987="PETHICS",PR!$AY985,IF(H987="PHILIPS",PR!$AZ985,IF(H987="RANBAXY",PR!$BA985,IF(H987="REALS",PR!$BB985,IF(H987="ROYAL",PR!$BC985,IF(H987="SAM",PR!$BD985,IF(H987="SEAGREEN",PR!$BE985,IF(H987="SKG",PR!$BF985,IF(H987="TAH",PR!$BG985,IF(H987="TAYLEK",PR!$BH985,IF(H987="TEMITA",PR!$BI985,IF(H987="THL",PR!$BJ985,IF(H987="UBASTIC",PR!$BK985,IF(H987="UNION",PR!$BL985,IF(H987="UNIQUE",PR!$BM985,IF(H987="VIXA",PR!$BN985,IF(H987="WWCV",PR!$BO985,IF(H987="ZOLON",PR!$BP985,"-"))))))))))))))))))))))))))))))))))))))))))))))))))))))))))))))))</f>
        <v>13125</v>
      </c>
      <c r="H987" s="102" t="str">
        <f>EV!M1248</f>
        <v>DYNAMIC</v>
      </c>
      <c r="I987" s="108">
        <f>IF(J987="ALPHA",PR!$E985,IF(J987="ASSENE",PR!$F985,IF(J987="BIOFEM",PR!$G985,IF(J987="BIOMED",PR!$H985,IF(J987="CHI",PR!$I985,IF(J987="CLARION",PR!$J985,IF(J987="CODIX",PR!$K985,IF(J987="COSMADE",PR!$L985,IF(J987="SANCON",PR!$M985,IF(J987="DEVON",PR!$N985,IF(J987="DORTEMAG",PR!$O985,IF(J987="DGF",PR!$P985,IF(J987="DYNAMIC",PR!$Q985,IF(J987="EMZOR",PR!$R985,IF(J987="EUMATT",PR!$S985,IF(J987="FIDSON",PR!$T985,IF(J987="FCGLOBAL",PR!$U985,IF(J987="GENEITH",PR!$V985,IF(J987="GINOS",PR!$W985,IF(J987="GSK",PR!$X985,IF(J987="GLOBORG",PR!$Y985,IF(J987="GOODNEWS",PR!$Z985,IF(J987="GREENLIFE",PR!$AA985,IF(J987="HLINE",PR!$AB985,IF(J987="ROTECH",PR!$AC985,IF(J987="ISN",PR!$AD985,IF(J987="JAWA",PR!$AE985,IF(J987="LAYO",PR!$AF985,IF(J987="LEADWAY",PR!$AG985,IF(J987="LHV",PR!$AH985,IF(J987="MANOLA",PR!$AI985,IF(J987="MARCSON",PR!$AJ985,IF(J987="M&amp;B",PR!$AK985,IF(J987="MTRUST",PR!$AL985,IF(J987="MWORLD",PR!$AM985,IF(J987="MEGA",PR!$AN985,IF(J987="MICRONOVA",PR!$AO985,IF(J987="MFLASH",PR!$AP985,IF(J987="MORISON",PR!$AQ985,IF(J987="NEMEL",PR!$AR985,IF(J987="NHP",PR!$AS985,IF(J987="NHC",PR!$AT985,IF(J987="OLEAF",PR!$AU985,IF(J987="OCULUS",PR!$AV985,IF(J987="PACIFIC",PR!$AW985,IF(J987="PHAMATEX",PR!$AX985,IF(J987="PETHICS",PR!$AY985,IF(J987="PHILIPS",PR!$AZ985,IF(J987="RANBAXY",PR!$BA985,IF(J987="REALS",PR!$BB985,IF(J987="ROYAL",PR!$BC985,IF(J987="SAM",PR!$BD985,IF(J987="SEAGREEN",PR!$BE985,IF(J987="SKG",PR!$BF985,IF(J987="TAH",PR!$BG985,IF(J987="TAYLEK",PR!$BH985,IF(J987="TEMITA",PR!$BI985,IF(J987="THL",PR!$BJ985,IF(J987="UBASTIC",PR!$BK985,IF(J987="UNION",PR!$BL985,IF(J987="UNIQUE",PR!$BM985,IF(J987="VIXA",PR!$BN985,IF(J987="WWCV",PR!$BO985,IF(J987="ZOLON",PR!$BP985,"-"))))))))))))))))))))))))))))))))))))))))))))))))))))))))))))))))</f>
        <v>14300</v>
      </c>
      <c r="J987" s="102" t="str">
        <f>EV!N1248</f>
        <v>LAYO</v>
      </c>
      <c r="K987" s="433" t="s">
        <v>1452</v>
      </c>
      <c r="L987" s="183">
        <f>IF(K987&gt;0,IF(K987="ALPHA",PR!$E985,IF(K987="ASSENE",PR!$F985,IF(K987="BIOFEM",PR!$G985,IF(K987="BIOMED",PR!$H985,IF(K987="CHI",PR!$I985,IF(K987="CLARION",PR!$J985,IF(K987="CODIX",PR!$K985,IF(K987="COSMADE",PR!$L985,IF(K987="SANCON",PR!$M985,IF(K987="DEVON",PR!$N985,IF(K987="DORTEMAG",PR!$O985,IF(K987="DGF",PR!$P985,IF(K987="DYNAMIC",PR!$Q985,IF(K987="EMZOR",PR!$R985,IF(K987="EUMATT",PR!$S985,IF(K987="FIDSON",PR!$T985,IF(K987="FCGLOBAL",PR!$U985,IF(K987="GENEITH",PR!$V985,IF(K987="GINOS",PR!$W985,IF(K987="GSK",PR!$X985,IF(K987="GLOBORG",PR!$Y985,IF(K987="GOODNEWS",PR!$Z985,IF(K987="GREENLIFE",PR!$AA985,IF(K987="HLINE",PR!$AB985,IF(K987="ROTECH",PR!$AC985,IF(K987="ISN",PR!$AD985,IF(K987="JAWA",PR!$AE985,IF(K987="LAYO",PR!$AF985,IF(K987="LEADWAY",PR!$AG985,IF(K987="LHV",PR!$AH985,IF(K987="MANOLA",PR!$AI985,IF(K987="MARCSON",PR!$AJ985,IF(K987="M&amp;B",PR!$AK985,IF(K987="MTRUST",PR!$AL985,IF(K987="MWORLD",PR!$AM985,IF(K987="MEGA",PR!$AN985,IF(K987="MICRONOVA",PR!$AO985,IF(K987="MFLASH",PR!$AP985,IF(K987="MORISON",PR!$AQ985,IF(K987="NEMEL",PR!$AR985,IF(K987="NHP",PR!$AS985,IF(K987="NHC",PR!$AT985,IF(K987="OLEAF",PR!$AU985,IF(K987="OCULUS",PR!$AV985,IF(K987="PACIFIC",PR!$AW985,IF(K987="PHAMATEX",PR!$AX985,IF(K987="PETHICS",PR!$AY985,IF(K987="PHILIPS",PR!$AZ985,IF(K987="RANBAXY",PR!$BA985,IF(K987="REALS",PR!$BB985,IF(K987="ROYAL",PR!$BC985,IF(K987="SAM",PR!$BD985,IF(K987="SEAGREEN",PR!$BE985,IF(K987="SKG",PR!$BF985,IF(K987="TAH",PR!$BG985,IF(K987="TAYLEK",PR!$BH985,IF(K987="TEMITA",PR!$BI985,IF(K987="THL",PR!$BJ985,IF(K987="UBASTIC",PR!$BK985,IF(K987="UNION",PR!$BL985,IF(K987="UNIQUE",PR!$BM985,IF(K987="VIXA",PR!$BN985,IF(K987="WWCV",PR!$BO985,IF(K987="ZOLON",PR!$BP985,"-")))))))))))))))))))))))))))))))))))))))))))))))))))))))))))))))))</f>
        <v>13000</v>
      </c>
    </row>
    <row r="988" spans="1:12" ht="18.75" x14ac:dyDescent="0.3">
      <c r="A988" s="430">
        <f>PR!A986</f>
        <v>890</v>
      </c>
      <c r="B988" s="15" t="str">
        <f>PR!B986</f>
        <v>CITRIC ACID</v>
      </c>
      <c r="C988" s="113" t="str">
        <f>PR!D986</f>
        <v>1 bottle (500ml)</v>
      </c>
      <c r="D988" s="113">
        <f>PR!C986</f>
        <v>2</v>
      </c>
      <c r="E988" s="108">
        <f>IF(F988="ALPHA",PR!$E986,IF(F988="ASSENE",PR!$F986,IF(F988="BIOFEM",PR!$G986,IF(F988="BIOMED",PR!$H986,IF(F988="CHI",PR!$I986,IF(F988="CLARION",PR!$J986,IF(F988="CODIX",PR!$K986,IF(F988="COSMADE",PR!$L986,IF(F988="SANCON",PR!$M986,IF(F988="DEVON",PR!$N986,IF(F988="DORTEMAG",PR!$O986,IF(F988="DGF",PR!$P986,IF(F988="DYNAMIC",PR!$Q986,IF(F988="EMZOR",PR!$R986,IF(F988="EUMATT",PR!$S986,IF(F988="FIDSON",PR!$T986,IF(F988="FCGLOBAL",PR!$U986,IF(F988="GENEITH",PR!$V986,IF(F988="GINOS",PR!$W986,IF(F988="GSK",PR!$X986,IF(F988="GLOBORG",PR!$Y986,IF(F988="GOODNEWS",PR!$Z986,IF(F988="GREENLIFE",PR!$AA986,IF(F988="HLINE",PR!$AB986,IF(F988="ROTECH",PR!$AC986,IF(F988="ISN",PR!$AD986,IF(F988="JAWA",PR!$AE986,IF(F988="LAYO",PR!$AF986,IF(F988="LEADWAY",PR!$AG986,IF(F988="LHV",PR!$AH986,IF(F988="MANOLA",PR!$AI986,IF(F988="MARCSON",PR!$AJ986,IF(F988="M&amp;B",PR!$AK986,IF(F988="MTRUST",PR!$AL986,IF(F988="MWORLD",PR!$AM986,IF(F988="MEGA",PR!$AN986,IF(F988="MICRONOVA",PR!$AO986,IF(F988="MFLASH",PR!$AP986,IF(F988="MORISON",PR!$AQ986,IF(F988="NEMEL",PR!$AR986,IF(F988="NHP",PR!$AS986,IF(F988="NHC",PR!$AT986,IF(F988="OLEAF",PR!$AU986,IF(F988="OCULUS",PR!$AV986,IF(F988="PACIFIC",PR!$AW986,IF(F988="PHAMATEX",PR!$AX986,IF(F988="PETHICS",PR!$AY986,IF(F988="PHILIPS",PR!$AZ986,IF(F988="RANBAXY",PR!$BA986,IF(F988="REALS",PR!$BB986,IF(F988="ROYAL",PR!$BC986,IF(F988="SAM",PR!$BD986,IF(F988="SEAGREEN",PR!$BE986,IF(F988="SKG",PR!$BF986,IF(F988="TAH",PR!$BG986,IF(F988="TAYLEK",PR!$BH986,IF(F988="TEMITA",PR!$BI986,IF(F988="THL",PR!$BJ986,IF(F988="UBASTIC",PR!$BK986,IF(F988="UNION",PR!$BL986,IF(F988="UNIQUE",PR!$BM986,IF(F988="VIXA",PR!$BN986,IF(F988="WWCV",PR!$BO986,IF(F988="ZOLON",PR!$BP986,"-"))))))))))))))))))))))))))))))))))))))))))))))))))))))))))))))))</f>
        <v>3800</v>
      </c>
      <c r="F988" s="102" t="str">
        <f>EV!L1249</f>
        <v>TEMITA</v>
      </c>
      <c r="G988" s="108">
        <f>IF(H988="ALPHA",PR!$E986,IF(H988="ASSENE",PR!$F986,IF(H988="BIOFEM",PR!$G986,IF(H988="BIOMED",PR!$H986,IF(H988="CHI",PR!$I986,IF(H988="CLARION",PR!$J986,IF(H988="CODIX",PR!$K986,IF(H988="COSMADE",PR!$L986,IF(H988="SANCON",PR!$M986,IF(H988="DEVON",PR!$N986,IF(H988="DORTEMAG",PR!$O986,IF(H988="DGF",PR!$P986,IF(H988="DYNAMIC",PR!$Q986,IF(H988="EMZOR",PR!$R986,IF(H988="EUMATT",PR!$S986,IF(H988="FIDSON",PR!$T986,IF(H988="FCGLOBAL",PR!$U986,IF(H988="GENEITH",PR!$V986,IF(H988="GINOS",PR!$W986,IF(H988="GSK",PR!$X986,IF(H988="GLOBORG",PR!$Y986,IF(H988="GOODNEWS",PR!$Z986,IF(H988="GREENLIFE",PR!$AA986,IF(H988="HLINE",PR!$AB986,IF(H988="ROTECH",PR!$AC986,IF(H988="ISN",PR!$AD986,IF(H988="JAWA",PR!$AE986,IF(H988="LAYO",PR!$AF986,IF(H988="LEADWAY",PR!$AG986,IF(H988="LHV",PR!$AH986,IF(H988="MANOLA",PR!$AI986,IF(H988="MARCSON",PR!$AJ986,IF(H988="M&amp;B",PR!$AK986,IF(H988="MTRUST",PR!$AL986,IF(H988="MWORLD",PR!$AM986,IF(H988="MEGA",PR!$AN986,IF(H988="MICRONOVA",PR!$AO986,IF(H988="MFLASH",PR!$AP986,IF(H988="MORISON",PR!$AQ986,IF(H988="NEMEL",PR!$AR986,IF(H988="NHP",PR!$AS986,IF(H988="NHC",PR!$AT986,IF(H988="OLEAF",PR!$AU986,IF(H988="OCULUS",PR!$AV986,IF(H988="PACIFIC",PR!$AW986,IF(H988="PHAMATEX",PR!$AX986,IF(H988="PETHICS",PR!$AY986,IF(H988="PHILIPS",PR!$AZ986,IF(H988="RANBAXY",PR!$BA986,IF(H988="REALS",PR!$BB986,IF(H988="ROYAL",PR!$BC986,IF(H988="SAM",PR!$BD986,IF(H988="SEAGREEN",PR!$BE986,IF(H988="SKG",PR!$BF986,IF(H988="TAH",PR!$BG986,IF(H988="TAYLEK",PR!$BH986,IF(H988="TEMITA",PR!$BI986,IF(H988="THL",PR!$BJ986,IF(H988="UBASTIC",PR!$BK986,IF(H988="UNION",PR!$BL986,IF(H988="UNIQUE",PR!$BM986,IF(H988="VIXA",PR!$BN986,IF(H988="WWCV",PR!$BO986,IF(H988="ZOLON",PR!$BP986,"-"))))))))))))))))))))))))))))))))))))))))))))))))))))))))))))))))</f>
        <v>5000</v>
      </c>
      <c r="H988" s="102" t="str">
        <f>EV!M1249</f>
        <v>COSMADE</v>
      </c>
      <c r="I988" s="108">
        <f>IF(J988="ALPHA",PR!$E986,IF(J988="ASSENE",PR!$F986,IF(J988="BIOFEM",PR!$G986,IF(J988="BIOMED",PR!$H986,IF(J988="CHI",PR!$I986,IF(J988="CLARION",PR!$J986,IF(J988="CODIX",PR!$K986,IF(J988="COSMADE",PR!$L986,IF(J988="SANCON",PR!$M986,IF(J988="DEVON",PR!$N986,IF(J988="DORTEMAG",PR!$O986,IF(J988="DGF",PR!$P986,IF(J988="DYNAMIC",PR!$Q986,IF(J988="EMZOR",PR!$R986,IF(J988="EUMATT",PR!$S986,IF(J988="FIDSON",PR!$T986,IF(J988="FCGLOBAL",PR!$U986,IF(J988="GENEITH",PR!$V986,IF(J988="GINOS",PR!$W986,IF(J988="GSK",PR!$X986,IF(J988="GLOBORG",PR!$Y986,IF(J988="GOODNEWS",PR!$Z986,IF(J988="GREENLIFE",PR!$AA986,IF(J988="HLINE",PR!$AB986,IF(J988="ROTECH",PR!$AC986,IF(J988="ISN",PR!$AD986,IF(J988="JAWA",PR!$AE986,IF(J988="LAYO",PR!$AF986,IF(J988="LEADWAY",PR!$AG986,IF(J988="LHV",PR!$AH986,IF(J988="MANOLA",PR!$AI986,IF(J988="MARCSON",PR!$AJ986,IF(J988="M&amp;B",PR!$AK986,IF(J988="MTRUST",PR!$AL986,IF(J988="MWORLD",PR!$AM986,IF(J988="MEGA",PR!$AN986,IF(J988="MICRONOVA",PR!$AO986,IF(J988="MFLASH",PR!$AP986,IF(J988="MORISON",PR!$AQ986,IF(J988="NEMEL",PR!$AR986,IF(J988="NHP",PR!$AS986,IF(J988="NHC",PR!$AT986,IF(J988="OLEAF",PR!$AU986,IF(J988="OCULUS",PR!$AV986,IF(J988="PACIFIC",PR!$AW986,IF(J988="PHAMATEX",PR!$AX986,IF(J988="PETHICS",PR!$AY986,IF(J988="PHILIPS",PR!$AZ986,IF(J988="RANBAXY",PR!$BA986,IF(J988="REALS",PR!$BB986,IF(J988="ROYAL",PR!$BC986,IF(J988="SAM",PR!$BD986,IF(J988="SEAGREEN",PR!$BE986,IF(J988="SKG",PR!$BF986,IF(J988="TAH",PR!$BG986,IF(J988="TAYLEK",PR!$BH986,IF(J988="TEMITA",PR!$BI986,IF(J988="THL",PR!$BJ986,IF(J988="UBASTIC",PR!$BK986,IF(J988="UNION",PR!$BL986,IF(J988="UNIQUE",PR!$BM986,IF(J988="VIXA",PR!$BN986,IF(J988="WWCV",PR!$BO986,IF(J988="ZOLON",PR!$BP986,"-"))))))))))))))))))))))))))))))))))))))))))))))))))))))))))))))))</f>
        <v>5625</v>
      </c>
      <c r="J988" s="102" t="str">
        <f>EV!N1249</f>
        <v>DYNAMIC</v>
      </c>
      <c r="K988" s="433" t="s">
        <v>1463</v>
      </c>
      <c r="L988" s="183">
        <f>IF(K988&gt;0,IF(K988="ALPHA",PR!$E986,IF(K988="ASSENE",PR!$F986,IF(K988="BIOFEM",PR!$G986,IF(K988="BIOMED",PR!$H986,IF(K988="CHI",PR!$I986,IF(K988="CLARION",PR!$J986,IF(K988="CODIX",PR!$K986,IF(K988="COSMADE",PR!$L986,IF(K988="SANCON",PR!$M986,IF(K988="DEVON",PR!$N986,IF(K988="DORTEMAG",PR!$O986,IF(K988="DGF",PR!$P986,IF(K988="DYNAMIC",PR!$Q986,IF(K988="EMZOR",PR!$R986,IF(K988="EUMATT",PR!$S986,IF(K988="FIDSON",PR!$T986,IF(K988="FCGLOBAL",PR!$U986,IF(K988="GENEITH",PR!$V986,IF(K988="GINOS",PR!$W986,IF(K988="GSK",PR!$X986,IF(K988="GLOBORG",PR!$Y986,IF(K988="GOODNEWS",PR!$Z986,IF(K988="GREENLIFE",PR!$AA986,IF(K988="HLINE",PR!$AB986,IF(K988="ROTECH",PR!$AC986,IF(K988="ISN",PR!$AD986,IF(K988="JAWA",PR!$AE986,IF(K988="LAYO",PR!$AF986,IF(K988="LEADWAY",PR!$AG986,IF(K988="LHV",PR!$AH986,IF(K988="MANOLA",PR!$AI986,IF(K988="MARCSON",PR!$AJ986,IF(K988="M&amp;B",PR!$AK986,IF(K988="MTRUST",PR!$AL986,IF(K988="MWORLD",PR!$AM986,IF(K988="MEGA",PR!$AN986,IF(K988="MICRONOVA",PR!$AO986,IF(K988="MFLASH",PR!$AP986,IF(K988="MORISON",PR!$AQ986,IF(K988="NEMEL",PR!$AR986,IF(K988="NHP",PR!$AS986,IF(K988="NHC",PR!$AT986,IF(K988="OLEAF",PR!$AU986,IF(K988="OCULUS",PR!$AV986,IF(K988="PACIFIC",PR!$AW986,IF(K988="PHAMATEX",PR!$AX986,IF(K988="PETHICS",PR!$AY986,IF(K988="PHILIPS",PR!$AZ986,IF(K988="RANBAXY",PR!$BA986,IF(K988="REALS",PR!$BB986,IF(K988="ROYAL",PR!$BC986,IF(K988="SAM",PR!$BD986,IF(K988="SEAGREEN",PR!$BE986,IF(K988="SKG",PR!$BF986,IF(K988="TAH",PR!$BG986,IF(K988="TAYLEK",PR!$BH986,IF(K988="TEMITA",PR!$BI986,IF(K988="THL",PR!$BJ986,IF(K988="UBASTIC",PR!$BK986,IF(K988="UNION",PR!$BL986,IF(K988="UNIQUE",PR!$BM986,IF(K988="VIXA",PR!$BN986,IF(K988="WWCV",PR!$BO986,IF(K988="ZOLON",PR!$BP986,"-")))))))))))))))))))))))))))))))))))))))))))))))))))))))))))))))))</f>
        <v>3800</v>
      </c>
    </row>
    <row r="989" spans="1:12" ht="18.75" x14ac:dyDescent="0.3">
      <c r="A989" s="430">
        <f>PR!A987</f>
        <v>891</v>
      </c>
      <c r="B989" s="15" t="str">
        <f>PR!B987</f>
        <v>CHLORALHYDRATE</v>
      </c>
      <c r="C989" s="113" t="str">
        <f>PR!D987</f>
        <v>1 bottle (500ml)</v>
      </c>
      <c r="D989" s="113">
        <f>PR!C987</f>
        <v>2</v>
      </c>
      <c r="E989" s="108">
        <f>IF(F989="ALPHA",PR!$E987,IF(F989="ASSENE",PR!$F987,IF(F989="BIOFEM",PR!$G987,IF(F989="BIOMED",PR!$H987,IF(F989="CHI",PR!$I987,IF(F989="CLARION",PR!$J987,IF(F989="CODIX",PR!$K987,IF(F989="COSMADE",PR!$L987,IF(F989="SANCON",PR!$M987,IF(F989="DEVON",PR!$N987,IF(F989="DORTEMAG",PR!$O987,IF(F989="DGF",PR!$P987,IF(F989="DYNAMIC",PR!$Q987,IF(F989="EMZOR",PR!$R987,IF(F989="EUMATT",PR!$S987,IF(F989="FIDSON",PR!$T987,IF(F989="FCGLOBAL",PR!$U987,IF(F989="GENEITH",PR!$V987,IF(F989="GINOS",PR!$W987,IF(F989="GSK",PR!$X987,IF(F989="GLOBORG",PR!$Y987,IF(F989="GOODNEWS",PR!$Z987,IF(F989="GREENLIFE",PR!$AA987,IF(F989="HLINE",PR!$AB987,IF(F989="ROTECH",PR!$AC987,IF(F989="ISN",PR!$AD987,IF(F989="JAWA",PR!$AE987,IF(F989="LAYO",PR!$AF987,IF(F989="LEADWAY",PR!$AG987,IF(F989="LHV",PR!$AH987,IF(F989="MANOLA",PR!$AI987,IF(F989="MARCSON",PR!$AJ987,IF(F989="M&amp;B",PR!$AK987,IF(F989="MTRUST",PR!$AL987,IF(F989="MWORLD",PR!$AM987,IF(F989="MEGA",PR!$AN987,IF(F989="MICRONOVA",PR!$AO987,IF(F989="MFLASH",PR!$AP987,IF(F989="MORISON",PR!$AQ987,IF(F989="NEMEL",PR!$AR987,IF(F989="NHP",PR!$AS987,IF(F989="NHC",PR!$AT987,IF(F989="OLEAF",PR!$AU987,IF(F989="OCULUS",PR!$AV987,IF(F989="PACIFIC",PR!$AW987,IF(F989="PHAMATEX",PR!$AX987,IF(F989="PETHICS",PR!$AY987,IF(F989="PHILIPS",PR!$AZ987,IF(F989="RANBAXY",PR!$BA987,IF(F989="REALS",PR!$BB987,IF(F989="ROYAL",PR!$BC987,IF(F989="SAM",PR!$BD987,IF(F989="SEAGREEN",PR!$BE987,IF(F989="SKG",PR!$BF987,IF(F989="TAH",PR!$BG987,IF(F989="TAYLEK",PR!$BH987,IF(F989="TEMITA",PR!$BI987,IF(F989="THL",PR!$BJ987,IF(F989="UBASTIC",PR!$BK987,IF(F989="UNION",PR!$BL987,IF(F989="UNIQUE",PR!$BM987,IF(F989="VIXA",PR!$BN987,IF(F989="WWCV",PR!$BO987,IF(F989="ZOLON",PR!$BP987,"-"))))))))))))))))))))))))))))))))))))))))))))))))))))))))))))))))</f>
        <v>6875</v>
      </c>
      <c r="F989" s="102" t="str">
        <f>EV!L1250</f>
        <v>DYNAMIC</v>
      </c>
      <c r="G989" s="108">
        <f>IF(H989="ALPHA",PR!$E987,IF(H989="ASSENE",PR!$F987,IF(H989="BIOFEM",PR!$G987,IF(H989="BIOMED",PR!$H987,IF(H989="CHI",PR!$I987,IF(H989="CLARION",PR!$J987,IF(H989="CODIX",PR!$K987,IF(H989="COSMADE",PR!$L987,IF(H989="SANCON",PR!$M987,IF(H989="DEVON",PR!$N987,IF(H989="DORTEMAG",PR!$O987,IF(H989="DGF",PR!$P987,IF(H989="DYNAMIC",PR!$Q987,IF(H989="EMZOR",PR!$R987,IF(H989="EUMATT",PR!$S987,IF(H989="FIDSON",PR!$T987,IF(H989="FCGLOBAL",PR!$U987,IF(H989="GENEITH",PR!$V987,IF(H989="GINOS",PR!$W987,IF(H989="GSK",PR!$X987,IF(H989="GLOBORG",PR!$Y987,IF(H989="GOODNEWS",PR!$Z987,IF(H989="GREENLIFE",PR!$AA987,IF(H989="HLINE",PR!$AB987,IF(H989="ROTECH",PR!$AC987,IF(H989="ISN",PR!$AD987,IF(H989="JAWA",PR!$AE987,IF(H989="LAYO",PR!$AF987,IF(H989="LEADWAY",PR!$AG987,IF(H989="LHV",PR!$AH987,IF(H989="MANOLA",PR!$AI987,IF(H989="MARCSON",PR!$AJ987,IF(H989="M&amp;B",PR!$AK987,IF(H989="MTRUST",PR!$AL987,IF(H989="MWORLD",PR!$AM987,IF(H989="MEGA",PR!$AN987,IF(H989="MICRONOVA",PR!$AO987,IF(H989="MFLASH",PR!$AP987,IF(H989="MORISON",PR!$AQ987,IF(H989="NEMEL",PR!$AR987,IF(H989="NHP",PR!$AS987,IF(H989="NHC",PR!$AT987,IF(H989="OLEAF",PR!$AU987,IF(H989="OCULUS",PR!$AV987,IF(H989="PACIFIC",PR!$AW987,IF(H989="PHAMATEX",PR!$AX987,IF(H989="PETHICS",PR!$AY987,IF(H989="PHILIPS",PR!$AZ987,IF(H989="RANBAXY",PR!$BA987,IF(H989="REALS",PR!$BB987,IF(H989="ROYAL",PR!$BC987,IF(H989="SAM",PR!$BD987,IF(H989="SEAGREEN",PR!$BE987,IF(H989="SKG",PR!$BF987,IF(H989="TAH",PR!$BG987,IF(H989="TAYLEK",PR!$BH987,IF(H989="TEMITA",PR!$BI987,IF(H989="THL",PR!$BJ987,IF(H989="UBASTIC",PR!$BK987,IF(H989="UNION",PR!$BL987,IF(H989="UNIQUE",PR!$BM987,IF(H989="VIXA",PR!$BN987,IF(H989="WWCV",PR!$BO987,IF(H989="ZOLON",PR!$BP987,"-"))))))))))))))))))))))))))))))))))))))))))))))))))))))))))))))))</f>
        <v>8000</v>
      </c>
      <c r="H989" s="102" t="str">
        <f>EV!M1250</f>
        <v>TEMITA</v>
      </c>
      <c r="I989" s="108">
        <f>IF(J989="ALPHA",PR!$E987,IF(J989="ASSENE",PR!$F987,IF(J989="BIOFEM",PR!$G987,IF(J989="BIOMED",PR!$H987,IF(J989="CHI",PR!$I987,IF(J989="CLARION",PR!$J987,IF(J989="CODIX",PR!$K987,IF(J989="COSMADE",PR!$L987,IF(J989="SANCON",PR!$M987,IF(J989="DEVON",PR!$N987,IF(J989="DORTEMAG",PR!$O987,IF(J989="DGF",PR!$P987,IF(J989="DYNAMIC",PR!$Q987,IF(J989="EMZOR",PR!$R987,IF(J989="EUMATT",PR!$S987,IF(J989="FIDSON",PR!$T987,IF(J989="FCGLOBAL",PR!$U987,IF(J989="GENEITH",PR!$V987,IF(J989="GINOS",PR!$W987,IF(J989="GSK",PR!$X987,IF(J989="GLOBORG",PR!$Y987,IF(J989="GOODNEWS",PR!$Z987,IF(J989="GREENLIFE",PR!$AA987,IF(J989="HLINE",PR!$AB987,IF(J989="ROTECH",PR!$AC987,IF(J989="ISN",PR!$AD987,IF(J989="JAWA",PR!$AE987,IF(J989="LAYO",PR!$AF987,IF(J989="LEADWAY",PR!$AG987,IF(J989="LHV",PR!$AH987,IF(J989="MANOLA",PR!$AI987,IF(J989="MARCSON",PR!$AJ987,IF(J989="M&amp;B",PR!$AK987,IF(J989="MTRUST",PR!$AL987,IF(J989="MWORLD",PR!$AM987,IF(J989="MEGA",PR!$AN987,IF(J989="MICRONOVA",PR!$AO987,IF(J989="MFLASH",PR!$AP987,IF(J989="MORISON",PR!$AQ987,IF(J989="NEMEL",PR!$AR987,IF(J989="NHP",PR!$AS987,IF(J989="NHC",PR!$AT987,IF(J989="OLEAF",PR!$AU987,IF(J989="OCULUS",PR!$AV987,IF(J989="PACIFIC",PR!$AW987,IF(J989="PHAMATEX",PR!$AX987,IF(J989="PETHICS",PR!$AY987,IF(J989="PHILIPS",PR!$AZ987,IF(J989="RANBAXY",PR!$BA987,IF(J989="REALS",PR!$BB987,IF(J989="ROYAL",PR!$BC987,IF(J989="SAM",PR!$BD987,IF(J989="SEAGREEN",PR!$BE987,IF(J989="SKG",PR!$BF987,IF(J989="TAH",PR!$BG987,IF(J989="TAYLEK",PR!$BH987,IF(J989="TEMITA",PR!$BI987,IF(J989="THL",PR!$BJ987,IF(J989="UBASTIC",PR!$BK987,IF(J989="UNION",PR!$BL987,IF(J989="UNIQUE",PR!$BM987,IF(J989="VIXA",PR!$BN987,IF(J989="WWCV",PR!$BO987,IF(J989="ZOLON",PR!$BP987,"-"))))))))))))))))))))))))))))))))))))))))))))))))))))))))))))))))</f>
        <v>15000</v>
      </c>
      <c r="J989" s="102" t="str">
        <f>EV!N1250</f>
        <v>COSMADE</v>
      </c>
      <c r="K989" s="433" t="s">
        <v>626</v>
      </c>
      <c r="L989" s="183">
        <f>IF(K989&gt;0,IF(K989="ALPHA",PR!$E987,IF(K989="ASSENE",PR!$F987,IF(K989="BIOFEM",PR!$G987,IF(K989="BIOMED",PR!$H987,IF(K989="CHI",PR!$I987,IF(K989="CLARION",PR!$J987,IF(K989="CODIX",PR!$K987,IF(K989="COSMADE",PR!$L987,IF(K989="SANCON",PR!$M987,IF(K989="DEVON",PR!$N987,IF(K989="DORTEMAG",PR!$O987,IF(K989="DGF",PR!$P987,IF(K989="DYNAMIC",PR!$Q987,IF(K989="EMZOR",PR!$R987,IF(K989="EUMATT",PR!$S987,IF(K989="FIDSON",PR!$T987,IF(K989="FCGLOBAL",PR!$U987,IF(K989="GENEITH",PR!$V987,IF(K989="GINOS",PR!$W987,IF(K989="GSK",PR!$X987,IF(K989="GLOBORG",PR!$Y987,IF(K989="GOODNEWS",PR!$Z987,IF(K989="GREENLIFE",PR!$AA987,IF(K989="HLINE",PR!$AB987,IF(K989="ROTECH",PR!$AC987,IF(K989="ISN",PR!$AD987,IF(K989="JAWA",PR!$AE987,IF(K989="LAYO",PR!$AF987,IF(K989="LEADWAY",PR!$AG987,IF(K989="LHV",PR!$AH987,IF(K989="MANOLA",PR!$AI987,IF(K989="MARCSON",PR!$AJ987,IF(K989="M&amp;B",PR!$AK987,IF(K989="MTRUST",PR!$AL987,IF(K989="MWORLD",PR!$AM987,IF(K989="MEGA",PR!$AN987,IF(K989="MICRONOVA",PR!$AO987,IF(K989="MFLASH",PR!$AP987,IF(K989="MORISON",PR!$AQ987,IF(K989="NEMEL",PR!$AR987,IF(K989="NHP",PR!$AS987,IF(K989="NHC",PR!$AT987,IF(K989="OLEAF",PR!$AU987,IF(K989="OCULUS",PR!$AV987,IF(K989="PACIFIC",PR!$AW987,IF(K989="PHAMATEX",PR!$AX987,IF(K989="PETHICS",PR!$AY987,IF(K989="PHILIPS",PR!$AZ987,IF(K989="RANBAXY",PR!$BA987,IF(K989="REALS",PR!$BB987,IF(K989="ROYAL",PR!$BC987,IF(K989="SAM",PR!$BD987,IF(K989="SEAGREEN",PR!$BE987,IF(K989="SKG",PR!$BF987,IF(K989="TAH",PR!$BG987,IF(K989="TAYLEK",PR!$BH987,IF(K989="TEMITA",PR!$BI987,IF(K989="THL",PR!$BJ987,IF(K989="UBASTIC",PR!$BK987,IF(K989="UNION",PR!$BL987,IF(K989="UNIQUE",PR!$BM987,IF(K989="VIXA",PR!$BN987,IF(K989="WWCV",PR!$BO987,IF(K989="ZOLON",PR!$BP987,"-")))))))))))))))))))))))))))))))))))))))))))))))))))))))))))))))))</f>
        <v>6875</v>
      </c>
    </row>
    <row r="990" spans="1:12" ht="18.75" x14ac:dyDescent="0.3">
      <c r="A990" s="430">
        <f>PR!A988</f>
        <v>892</v>
      </c>
      <c r="B990" s="15" t="str">
        <f>PR!B988</f>
        <v>SODIUM IODATE</v>
      </c>
      <c r="C990" s="113" t="str">
        <f>PR!D988</f>
        <v>1 bottle (500ml)</v>
      </c>
      <c r="D990" s="113">
        <f>PR!C988</f>
        <v>2</v>
      </c>
      <c r="E990" s="108">
        <f>IF(F990="ALPHA",PR!$E988,IF(F990="ASSENE",PR!$F988,IF(F990="BIOFEM",PR!$G988,IF(F990="BIOMED",PR!$H988,IF(F990="CHI",PR!$I988,IF(F990="CLARION",PR!$J988,IF(F990="CODIX",PR!$K988,IF(F990="COSMADE",PR!$L988,IF(F990="SANCON",PR!$M988,IF(F990="DEVON",PR!$N988,IF(F990="DORTEMAG",PR!$O988,IF(F990="DGF",PR!$P988,IF(F990="DYNAMIC",PR!$Q988,IF(F990="EMZOR",PR!$R988,IF(F990="EUMATT",PR!$S988,IF(F990="FIDSON",PR!$T988,IF(F990="FCGLOBAL",PR!$U988,IF(F990="GENEITH",PR!$V988,IF(F990="GINOS",PR!$W988,IF(F990="GSK",PR!$X988,IF(F990="GLOBORG",PR!$Y988,IF(F990="GOODNEWS",PR!$Z988,IF(F990="GREENLIFE",PR!$AA988,IF(F990="HLINE",PR!$AB988,IF(F990="ROTECH",PR!$AC988,IF(F990="ISN",PR!$AD988,IF(F990="JAWA",PR!$AE988,IF(F990="LAYO",PR!$AF988,IF(F990="LEADWAY",PR!$AG988,IF(F990="LHV",PR!$AH988,IF(F990="MANOLA",PR!$AI988,IF(F990="MARCSON",PR!$AJ988,IF(F990="M&amp;B",PR!$AK988,IF(F990="MTRUST",PR!$AL988,IF(F990="MWORLD",PR!$AM988,IF(F990="MEGA",PR!$AN988,IF(F990="MICRONOVA",PR!$AO988,IF(F990="MFLASH",PR!$AP988,IF(F990="MORISON",PR!$AQ988,IF(F990="NEMEL",PR!$AR988,IF(F990="NHP",PR!$AS988,IF(F990="NHC",PR!$AT988,IF(F990="OLEAF",PR!$AU988,IF(F990="OCULUS",PR!$AV988,IF(F990="PACIFIC",PR!$AW988,IF(F990="PHAMATEX",PR!$AX988,IF(F990="PETHICS",PR!$AY988,IF(F990="PHILIPS",PR!$AZ988,IF(F990="RANBAXY",PR!$BA988,IF(F990="REALS",PR!$BB988,IF(F990="ROYAL",PR!$BC988,IF(F990="SAM",PR!$BD988,IF(F990="SEAGREEN",PR!$BE988,IF(F990="SKG",PR!$BF988,IF(F990="TAH",PR!$BG988,IF(F990="TAYLEK",PR!$BH988,IF(F990="TEMITA",PR!$BI988,IF(F990="THL",PR!$BJ988,IF(F990="UBASTIC",PR!$BK988,IF(F990="UNION",PR!$BL988,IF(F990="UNIQUE",PR!$BM988,IF(F990="VIXA",PR!$BN988,IF(F990="WWCV",PR!$BO988,IF(F990="ZOLON",PR!$BP988,"-"))))))))))))))))))))))))))))))))))))))))))))))))))))))))))))))))</f>
        <v>6500</v>
      </c>
      <c r="F990" s="102" t="str">
        <f>EV!L1251</f>
        <v>TEMITA</v>
      </c>
      <c r="G990" s="108">
        <f>IF(H990="ALPHA",PR!$E988,IF(H990="ASSENE",PR!$F988,IF(H990="BIOFEM",PR!$G988,IF(H990="BIOMED",PR!$H988,IF(H990="CHI",PR!$I988,IF(H990="CLARION",PR!$J988,IF(H990="CODIX",PR!$K988,IF(H990="COSMADE",PR!$L988,IF(H990="SANCON",PR!$M988,IF(H990="DEVON",PR!$N988,IF(H990="DORTEMAG",PR!$O988,IF(H990="DGF",PR!$P988,IF(H990="DYNAMIC",PR!$Q988,IF(H990="EMZOR",PR!$R988,IF(H990="EUMATT",PR!$S988,IF(H990="FIDSON",PR!$T988,IF(H990="FCGLOBAL",PR!$U988,IF(H990="GENEITH",PR!$V988,IF(H990="GINOS",PR!$W988,IF(H990="GSK",PR!$X988,IF(H990="GLOBORG",PR!$Y988,IF(H990="GOODNEWS",PR!$Z988,IF(H990="GREENLIFE",PR!$AA988,IF(H990="HLINE",PR!$AB988,IF(H990="ROTECH",PR!$AC988,IF(H990="ISN",PR!$AD988,IF(H990="JAWA",PR!$AE988,IF(H990="LAYO",PR!$AF988,IF(H990="LEADWAY",PR!$AG988,IF(H990="LHV",PR!$AH988,IF(H990="MANOLA",PR!$AI988,IF(H990="MARCSON",PR!$AJ988,IF(H990="M&amp;B",PR!$AK988,IF(H990="MTRUST",PR!$AL988,IF(H990="MWORLD",PR!$AM988,IF(H990="MEGA",PR!$AN988,IF(H990="MICRONOVA",PR!$AO988,IF(H990="MFLASH",PR!$AP988,IF(H990="MORISON",PR!$AQ988,IF(H990="NEMEL",PR!$AR988,IF(H990="NHP",PR!$AS988,IF(H990="NHC",PR!$AT988,IF(H990="OLEAF",PR!$AU988,IF(H990="OCULUS",PR!$AV988,IF(H990="PACIFIC",PR!$AW988,IF(H990="PHAMATEX",PR!$AX988,IF(H990="PETHICS",PR!$AY988,IF(H990="PHILIPS",PR!$AZ988,IF(H990="RANBAXY",PR!$BA988,IF(H990="REALS",PR!$BB988,IF(H990="ROYAL",PR!$BC988,IF(H990="SAM",PR!$BD988,IF(H990="SEAGREEN",PR!$BE988,IF(H990="SKG",PR!$BF988,IF(H990="TAH",PR!$BG988,IF(H990="TAYLEK",PR!$BH988,IF(H990="TEMITA",PR!$BI988,IF(H990="THL",PR!$BJ988,IF(H990="UBASTIC",PR!$BK988,IF(H990="UNION",PR!$BL988,IF(H990="UNIQUE",PR!$BM988,IF(H990="VIXA",PR!$BN988,IF(H990="WWCV",PR!$BO988,IF(H990="ZOLON",PR!$BP988,"-"))))))))))))))))))))))))))))))))))))))))))))))))))))))))))))))))</f>
        <v>8125</v>
      </c>
      <c r="H990" s="102" t="str">
        <f>EV!M1251</f>
        <v>DYNAMIC</v>
      </c>
      <c r="I990" s="108">
        <f>IF(J990="ALPHA",PR!$E988,IF(J990="ASSENE",PR!$F988,IF(J990="BIOFEM",PR!$G988,IF(J990="BIOMED",PR!$H988,IF(J990="CHI",PR!$I988,IF(J990="CLARION",PR!$J988,IF(J990="CODIX",PR!$K988,IF(J990="COSMADE",PR!$L988,IF(J990="SANCON",PR!$M988,IF(J990="DEVON",PR!$N988,IF(J990="DORTEMAG",PR!$O988,IF(J990="DGF",PR!$P988,IF(J990="DYNAMIC",PR!$Q988,IF(J990="EMZOR",PR!$R988,IF(J990="EUMATT",PR!$S988,IF(J990="FIDSON",PR!$T988,IF(J990="FCGLOBAL",PR!$U988,IF(J990="GENEITH",PR!$V988,IF(J990="GINOS",PR!$W988,IF(J990="GSK",PR!$X988,IF(J990="GLOBORG",PR!$Y988,IF(J990="GOODNEWS",PR!$Z988,IF(J990="GREENLIFE",PR!$AA988,IF(J990="HLINE",PR!$AB988,IF(J990="ROTECH",PR!$AC988,IF(J990="ISN",PR!$AD988,IF(J990="JAWA",PR!$AE988,IF(J990="LAYO",PR!$AF988,IF(J990="LEADWAY",PR!$AG988,IF(J990="LHV",PR!$AH988,IF(J990="MANOLA",PR!$AI988,IF(J990="MARCSON",PR!$AJ988,IF(J990="M&amp;B",PR!$AK988,IF(J990="MTRUST",PR!$AL988,IF(J990="MWORLD",PR!$AM988,IF(J990="MEGA",PR!$AN988,IF(J990="MICRONOVA",PR!$AO988,IF(J990="MFLASH",PR!$AP988,IF(J990="MORISON",PR!$AQ988,IF(J990="NEMEL",PR!$AR988,IF(J990="NHP",PR!$AS988,IF(J990="NHC",PR!$AT988,IF(J990="OLEAF",PR!$AU988,IF(J990="OCULUS",PR!$AV988,IF(J990="PACIFIC",PR!$AW988,IF(J990="PHAMATEX",PR!$AX988,IF(J990="PETHICS",PR!$AY988,IF(J990="PHILIPS",PR!$AZ988,IF(J990="RANBAXY",PR!$BA988,IF(J990="REALS",PR!$BB988,IF(J990="ROYAL",PR!$BC988,IF(J990="SAM",PR!$BD988,IF(J990="SEAGREEN",PR!$BE988,IF(J990="SKG",PR!$BF988,IF(J990="TAH",PR!$BG988,IF(J990="TAYLEK",PR!$BH988,IF(J990="TEMITA",PR!$BI988,IF(J990="THL",PR!$BJ988,IF(J990="UBASTIC",PR!$BK988,IF(J990="UNION",PR!$BL988,IF(J990="UNIQUE",PR!$BM988,IF(J990="VIXA",PR!$BN988,IF(J990="WWCV",PR!$BO988,IF(J990="ZOLON",PR!$BP988,"-"))))))))))))))))))))))))))))))))))))))))))))))))))))))))))))))))</f>
        <v>15000</v>
      </c>
      <c r="J990" s="102" t="str">
        <f>EV!N1251</f>
        <v>COSMADE</v>
      </c>
      <c r="K990" s="433" t="s">
        <v>1463</v>
      </c>
      <c r="L990" s="183">
        <f>IF(K990&gt;0,IF(K990="ALPHA",PR!$E988,IF(K990="ASSENE",PR!$F988,IF(K990="BIOFEM",PR!$G988,IF(K990="BIOMED",PR!$H988,IF(K990="CHI",PR!$I988,IF(K990="CLARION",PR!$J988,IF(K990="CODIX",PR!$K988,IF(K990="COSMADE",PR!$L988,IF(K990="SANCON",PR!$M988,IF(K990="DEVON",PR!$N988,IF(K990="DORTEMAG",PR!$O988,IF(K990="DGF",PR!$P988,IF(K990="DYNAMIC",PR!$Q988,IF(K990="EMZOR",PR!$R988,IF(K990="EUMATT",PR!$S988,IF(K990="FIDSON",PR!$T988,IF(K990="FCGLOBAL",PR!$U988,IF(K990="GENEITH",PR!$V988,IF(K990="GINOS",PR!$W988,IF(K990="GSK",PR!$X988,IF(K990="GLOBORG",PR!$Y988,IF(K990="GOODNEWS",PR!$Z988,IF(K990="GREENLIFE",PR!$AA988,IF(K990="HLINE",PR!$AB988,IF(K990="ROTECH",PR!$AC988,IF(K990="ISN",PR!$AD988,IF(K990="JAWA",PR!$AE988,IF(K990="LAYO",PR!$AF988,IF(K990="LEADWAY",PR!$AG988,IF(K990="LHV",PR!$AH988,IF(K990="MANOLA",PR!$AI988,IF(K990="MARCSON",PR!$AJ988,IF(K990="M&amp;B",PR!$AK988,IF(K990="MTRUST",PR!$AL988,IF(K990="MWORLD",PR!$AM988,IF(K990="MEGA",PR!$AN988,IF(K990="MICRONOVA",PR!$AO988,IF(K990="MFLASH",PR!$AP988,IF(K990="MORISON",PR!$AQ988,IF(K990="NEMEL",PR!$AR988,IF(K990="NHP",PR!$AS988,IF(K990="NHC",PR!$AT988,IF(K990="OLEAF",PR!$AU988,IF(K990="OCULUS",PR!$AV988,IF(K990="PACIFIC",PR!$AW988,IF(K990="PHAMATEX",PR!$AX988,IF(K990="PETHICS",PR!$AY988,IF(K990="PHILIPS",PR!$AZ988,IF(K990="RANBAXY",PR!$BA988,IF(K990="REALS",PR!$BB988,IF(K990="ROYAL",PR!$BC988,IF(K990="SAM",PR!$BD988,IF(K990="SEAGREEN",PR!$BE988,IF(K990="SKG",PR!$BF988,IF(K990="TAH",PR!$BG988,IF(K990="TAYLEK",PR!$BH988,IF(K990="TEMITA",PR!$BI988,IF(K990="THL",PR!$BJ988,IF(K990="UBASTIC",PR!$BK988,IF(K990="UNION",PR!$BL988,IF(K990="UNIQUE",PR!$BM988,IF(K990="VIXA",PR!$BN988,IF(K990="WWCV",PR!$BO988,IF(K990="ZOLON",PR!$BP988,"-")))))))))))))))))))))))))))))))))))))))))))))))))))))))))))))))))</f>
        <v>6500</v>
      </c>
    </row>
    <row r="991" spans="1:12" ht="18.75" x14ac:dyDescent="0.3">
      <c r="A991" s="430">
        <f>PR!A989</f>
        <v>893</v>
      </c>
      <c r="B991" s="15" t="str">
        <f>PR!B989</f>
        <v>POTASSIUM FERROCYANIDE</v>
      </c>
      <c r="C991" s="113" t="str">
        <f>PR!D989</f>
        <v>500ml</v>
      </c>
      <c r="D991" s="113">
        <f>PR!C989</f>
        <v>2</v>
      </c>
      <c r="E991" s="108">
        <f>IF(F991="ALPHA",PR!$E989,IF(F991="ASSENE",PR!$F989,IF(F991="BIOFEM",PR!$G989,IF(F991="BIOMED",PR!$H989,IF(F991="CHI",PR!$I989,IF(F991="CLARION",PR!$J989,IF(F991="CODIX",PR!$K989,IF(F991="COSMADE",PR!$L989,IF(F991="SANCON",PR!$M989,IF(F991="DEVON",PR!$N989,IF(F991="DORTEMAG",PR!$O989,IF(F991="DGF",PR!$P989,IF(F991="DYNAMIC",PR!$Q989,IF(F991="EMZOR",PR!$R989,IF(F991="EUMATT",PR!$S989,IF(F991="FIDSON",PR!$T989,IF(F991="FCGLOBAL",PR!$U989,IF(F991="GENEITH",PR!$V989,IF(F991="GINOS",PR!$W989,IF(F991="GSK",PR!$X989,IF(F991="GLOBORG",PR!$Y989,IF(F991="GOODNEWS",PR!$Z989,IF(F991="GREENLIFE",PR!$AA989,IF(F991="HLINE",PR!$AB989,IF(F991="ROTECH",PR!$AC989,IF(F991="ISN",PR!$AD989,IF(F991="JAWA",PR!$AE989,IF(F991="LAYO",PR!$AF989,IF(F991="LEADWAY",PR!$AG989,IF(F991="LHV",PR!$AH989,IF(F991="MANOLA",PR!$AI989,IF(F991="MARCSON",PR!$AJ989,IF(F991="M&amp;B",PR!$AK989,IF(F991="MTRUST",PR!$AL989,IF(F991="MWORLD",PR!$AM989,IF(F991="MEGA",PR!$AN989,IF(F991="MICRONOVA",PR!$AO989,IF(F991="MFLASH",PR!$AP989,IF(F991="MORISON",PR!$AQ989,IF(F991="NEMEL",PR!$AR989,IF(F991="NHP",PR!$AS989,IF(F991="NHC",PR!$AT989,IF(F991="OLEAF",PR!$AU989,IF(F991="OCULUS",PR!$AV989,IF(F991="PACIFIC",PR!$AW989,IF(F991="PHAMATEX",PR!$AX989,IF(F991="PETHICS",PR!$AY989,IF(F991="PHILIPS",PR!$AZ989,IF(F991="RANBAXY",PR!$BA989,IF(F991="REALS",PR!$BB989,IF(F991="ROYAL",PR!$BC989,IF(F991="SAM",PR!$BD989,IF(F991="SEAGREEN",PR!$BE989,IF(F991="SKG",PR!$BF989,IF(F991="TAH",PR!$BG989,IF(F991="TAYLEK",PR!$BH989,IF(F991="TEMITA",PR!$BI989,IF(F991="THL",PR!$BJ989,IF(F991="UBASTIC",PR!$BK989,IF(F991="UNION",PR!$BL989,IF(F991="UNIQUE",PR!$BM989,IF(F991="VIXA",PR!$BN989,IF(F991="WWCV",PR!$BO989,IF(F991="ZOLON",PR!$BP989,"-"))))))))))))))))))))))))))))))))))))))))))))))))))))))))))))))))</f>
        <v>5000</v>
      </c>
      <c r="F991" s="102" t="str">
        <f>EV!L1252</f>
        <v>COSMADE</v>
      </c>
      <c r="G991" s="108">
        <f>IF(H991="ALPHA",PR!$E989,IF(H991="ASSENE",PR!$F989,IF(H991="BIOFEM",PR!$G989,IF(H991="BIOMED",PR!$H989,IF(H991="CHI",PR!$I989,IF(H991="CLARION",PR!$J989,IF(H991="CODIX",PR!$K989,IF(H991="COSMADE",PR!$L989,IF(H991="SANCON",PR!$M989,IF(H991="DEVON",PR!$N989,IF(H991="DORTEMAG",PR!$O989,IF(H991="DGF",PR!$P989,IF(H991="DYNAMIC",PR!$Q989,IF(H991="EMZOR",PR!$R989,IF(H991="EUMATT",PR!$S989,IF(H991="FIDSON",PR!$T989,IF(H991="FCGLOBAL",PR!$U989,IF(H991="GENEITH",PR!$V989,IF(H991="GINOS",PR!$W989,IF(H991="GSK",PR!$X989,IF(H991="GLOBORG",PR!$Y989,IF(H991="GOODNEWS",PR!$Z989,IF(H991="GREENLIFE",PR!$AA989,IF(H991="HLINE",PR!$AB989,IF(H991="ROTECH",PR!$AC989,IF(H991="ISN",PR!$AD989,IF(H991="JAWA",PR!$AE989,IF(H991="LAYO",PR!$AF989,IF(H991="LEADWAY",PR!$AG989,IF(H991="LHV",PR!$AH989,IF(H991="MANOLA",PR!$AI989,IF(H991="MARCSON",PR!$AJ989,IF(H991="M&amp;B",PR!$AK989,IF(H991="MTRUST",PR!$AL989,IF(H991="MWORLD",PR!$AM989,IF(H991="MEGA",PR!$AN989,IF(H991="MICRONOVA",PR!$AO989,IF(H991="MFLASH",PR!$AP989,IF(H991="MORISON",PR!$AQ989,IF(H991="NEMEL",PR!$AR989,IF(H991="NHP",PR!$AS989,IF(H991="NHC",PR!$AT989,IF(H991="OLEAF",PR!$AU989,IF(H991="OCULUS",PR!$AV989,IF(H991="PACIFIC",PR!$AW989,IF(H991="PHAMATEX",PR!$AX989,IF(H991="PETHICS",PR!$AY989,IF(H991="PHILIPS",PR!$AZ989,IF(H991="RANBAXY",PR!$BA989,IF(H991="REALS",PR!$BB989,IF(H991="ROYAL",PR!$BC989,IF(H991="SAM",PR!$BD989,IF(H991="SEAGREEN",PR!$BE989,IF(H991="SKG",PR!$BF989,IF(H991="TAH",PR!$BG989,IF(H991="TAYLEK",PR!$BH989,IF(H991="TEMITA",PR!$BI989,IF(H991="THL",PR!$BJ989,IF(H991="UBASTIC",PR!$BK989,IF(H991="UNION",PR!$BL989,IF(H991="UNIQUE",PR!$BM989,IF(H991="VIXA",PR!$BN989,IF(H991="WWCV",PR!$BO989,IF(H991="ZOLON",PR!$BP989,"-"))))))))))))))))))))))))))))))))))))))))))))))))))))))))))))))))</f>
        <v>5500</v>
      </c>
      <c r="H991" s="102" t="str">
        <f>EV!M1252</f>
        <v>TEMITA</v>
      </c>
      <c r="I991" s="108">
        <f>IF(J991="ALPHA",PR!$E989,IF(J991="ASSENE",PR!$F989,IF(J991="BIOFEM",PR!$G989,IF(J991="BIOMED",PR!$H989,IF(J991="CHI",PR!$I989,IF(J991="CLARION",PR!$J989,IF(J991="CODIX",PR!$K989,IF(J991="COSMADE",PR!$L989,IF(J991="SANCON",PR!$M989,IF(J991="DEVON",PR!$N989,IF(J991="DORTEMAG",PR!$O989,IF(J991="DGF",PR!$P989,IF(J991="DYNAMIC",PR!$Q989,IF(J991="EMZOR",PR!$R989,IF(J991="EUMATT",PR!$S989,IF(J991="FIDSON",PR!$T989,IF(J991="FCGLOBAL",PR!$U989,IF(J991="GENEITH",PR!$V989,IF(J991="GINOS",PR!$W989,IF(J991="GSK",PR!$X989,IF(J991="GLOBORG",PR!$Y989,IF(J991="GOODNEWS",PR!$Z989,IF(J991="GREENLIFE",PR!$AA989,IF(J991="HLINE",PR!$AB989,IF(J991="ROTECH",PR!$AC989,IF(J991="ISN",PR!$AD989,IF(J991="JAWA",PR!$AE989,IF(J991="LAYO",PR!$AF989,IF(J991="LEADWAY",PR!$AG989,IF(J991="LHV",PR!$AH989,IF(J991="MANOLA",PR!$AI989,IF(J991="MARCSON",PR!$AJ989,IF(J991="M&amp;B",PR!$AK989,IF(J991="MTRUST",PR!$AL989,IF(J991="MWORLD",PR!$AM989,IF(J991="MEGA",PR!$AN989,IF(J991="MICRONOVA",PR!$AO989,IF(J991="MFLASH",PR!$AP989,IF(J991="MORISON",PR!$AQ989,IF(J991="NEMEL",PR!$AR989,IF(J991="NHP",PR!$AS989,IF(J991="NHC",PR!$AT989,IF(J991="OLEAF",PR!$AU989,IF(J991="OCULUS",PR!$AV989,IF(J991="PACIFIC",PR!$AW989,IF(J991="PHAMATEX",PR!$AX989,IF(J991="PETHICS",PR!$AY989,IF(J991="PHILIPS",PR!$AZ989,IF(J991="RANBAXY",PR!$BA989,IF(J991="REALS",PR!$BB989,IF(J991="ROYAL",PR!$BC989,IF(J991="SAM",PR!$BD989,IF(J991="SEAGREEN",PR!$BE989,IF(J991="SKG",PR!$BF989,IF(J991="TAH",PR!$BG989,IF(J991="TAYLEK",PR!$BH989,IF(J991="TEMITA",PR!$BI989,IF(J991="THL",PR!$BJ989,IF(J991="UBASTIC",PR!$BK989,IF(J991="UNION",PR!$BL989,IF(J991="UNIQUE",PR!$BM989,IF(J991="VIXA",PR!$BN989,IF(J991="WWCV",PR!$BO989,IF(J991="ZOLON",PR!$BP989,"-"))))))))))))))))))))))))))))))))))))))))))))))))))))))))))))))))</f>
        <v>5800</v>
      </c>
      <c r="J991" s="102" t="str">
        <f>EV!N1252</f>
        <v>SANCON</v>
      </c>
      <c r="K991" s="433" t="s">
        <v>1452</v>
      </c>
      <c r="L991" s="183">
        <f>IF(K991&gt;0,IF(K991="ALPHA",PR!$E989,IF(K991="ASSENE",PR!$F989,IF(K991="BIOFEM",PR!$G989,IF(K991="BIOMED",PR!$H989,IF(K991="CHI",PR!$I989,IF(K991="CLARION",PR!$J989,IF(K991="CODIX",PR!$K989,IF(K991="COSMADE",PR!$L989,IF(K991="SANCON",PR!$M989,IF(K991="DEVON",PR!$N989,IF(K991="DORTEMAG",PR!$O989,IF(K991="DGF",PR!$P989,IF(K991="DYNAMIC",PR!$Q989,IF(K991="EMZOR",PR!$R989,IF(K991="EUMATT",PR!$S989,IF(K991="FIDSON",PR!$T989,IF(K991="FCGLOBAL",PR!$U989,IF(K991="GENEITH",PR!$V989,IF(K991="GINOS",PR!$W989,IF(K991="GSK",PR!$X989,IF(K991="GLOBORG",PR!$Y989,IF(K991="GOODNEWS",PR!$Z989,IF(K991="GREENLIFE",PR!$AA989,IF(K991="HLINE",PR!$AB989,IF(K991="ROTECH",PR!$AC989,IF(K991="ISN",PR!$AD989,IF(K991="JAWA",PR!$AE989,IF(K991="LAYO",PR!$AF989,IF(K991="LEADWAY",PR!$AG989,IF(K991="LHV",PR!$AH989,IF(K991="MANOLA",PR!$AI989,IF(K991="MARCSON",PR!$AJ989,IF(K991="M&amp;B",PR!$AK989,IF(K991="MTRUST",PR!$AL989,IF(K991="MWORLD",PR!$AM989,IF(K991="MEGA",PR!$AN989,IF(K991="MICRONOVA",PR!$AO989,IF(K991="MFLASH",PR!$AP989,IF(K991="MORISON",PR!$AQ989,IF(K991="NEMEL",PR!$AR989,IF(K991="NHP",PR!$AS989,IF(K991="NHC",PR!$AT989,IF(K991="OLEAF",PR!$AU989,IF(K991="OCULUS",PR!$AV989,IF(K991="PACIFIC",PR!$AW989,IF(K991="PHAMATEX",PR!$AX989,IF(K991="PETHICS",PR!$AY989,IF(K991="PHILIPS",PR!$AZ989,IF(K991="RANBAXY",PR!$BA989,IF(K991="REALS",PR!$BB989,IF(K991="ROYAL",PR!$BC989,IF(K991="SAM",PR!$BD989,IF(K991="SEAGREEN",PR!$BE989,IF(K991="SKG",PR!$BF989,IF(K991="TAH",PR!$BG989,IF(K991="TAYLEK",PR!$BH989,IF(K991="TEMITA",PR!$BI989,IF(K991="THL",PR!$BJ989,IF(K991="UBASTIC",PR!$BK989,IF(K991="UNION",PR!$BL989,IF(K991="UNIQUE",PR!$BM989,IF(K991="VIXA",PR!$BN989,IF(K991="WWCV",PR!$BO989,IF(K991="ZOLON",PR!$BP989,"-")))))))))))))))))))))))))))))))))))))))))))))))))))))))))))))))))</f>
        <v>5000</v>
      </c>
    </row>
    <row r="992" spans="1:12" ht="18.75" x14ac:dyDescent="0.3">
      <c r="A992" s="430">
        <f>PR!A990</f>
        <v>894</v>
      </c>
      <c r="B992" s="15" t="str">
        <f>PR!B990</f>
        <v>SCHIFF REGENT</v>
      </c>
      <c r="C992" s="113" t="str">
        <f>PR!D990</f>
        <v>500ml</v>
      </c>
      <c r="D992" s="113">
        <f>PR!C990</f>
        <v>2</v>
      </c>
      <c r="E992" s="108">
        <f>IF(F992="ALPHA",PR!$E990,IF(F992="ASSENE",PR!$F990,IF(F992="BIOFEM",PR!$G990,IF(F992="BIOMED",PR!$H990,IF(F992="CHI",PR!$I990,IF(F992="CLARION",PR!$J990,IF(F992="CODIX",PR!$K990,IF(F992="COSMADE",PR!$L990,IF(F992="SANCON",PR!$M990,IF(F992="DEVON",PR!$N990,IF(F992="DORTEMAG",PR!$O990,IF(F992="DGF",PR!$P990,IF(F992="DYNAMIC",PR!$Q990,IF(F992="EMZOR",PR!$R990,IF(F992="EUMATT",PR!$S990,IF(F992="FIDSON",PR!$T990,IF(F992="FCGLOBAL",PR!$U990,IF(F992="GENEITH",PR!$V990,IF(F992="GINOS",PR!$W990,IF(F992="GSK",PR!$X990,IF(F992="GLOBORG",PR!$Y990,IF(F992="GOODNEWS",PR!$Z990,IF(F992="GREENLIFE",PR!$AA990,IF(F992="HLINE",PR!$AB990,IF(F992="ROTECH",PR!$AC990,IF(F992="ISN",PR!$AD990,IF(F992="JAWA",PR!$AE990,IF(F992="LAYO",PR!$AF990,IF(F992="LEADWAY",PR!$AG990,IF(F992="LHV",PR!$AH990,IF(F992="MANOLA",PR!$AI990,IF(F992="MARCSON",PR!$AJ990,IF(F992="M&amp;B",PR!$AK990,IF(F992="MTRUST",PR!$AL990,IF(F992="MWORLD",PR!$AM990,IF(F992="MEGA",PR!$AN990,IF(F992="MICRONOVA",PR!$AO990,IF(F992="MFLASH",PR!$AP990,IF(F992="MORISON",PR!$AQ990,IF(F992="NEMEL",PR!$AR990,IF(F992="NHP",PR!$AS990,IF(F992="NHC",PR!$AT990,IF(F992="OLEAF",PR!$AU990,IF(F992="OCULUS",PR!$AV990,IF(F992="PACIFIC",PR!$AW990,IF(F992="PHAMATEX",PR!$AX990,IF(F992="PETHICS",PR!$AY990,IF(F992="PHILIPS",PR!$AZ990,IF(F992="RANBAXY",PR!$BA990,IF(F992="REALS",PR!$BB990,IF(F992="ROYAL",PR!$BC990,IF(F992="SAM",PR!$BD990,IF(F992="SEAGREEN",PR!$BE990,IF(F992="SKG",PR!$BF990,IF(F992="TAH",PR!$BG990,IF(F992="TAYLEK",PR!$BH990,IF(F992="TEMITA",PR!$BI990,IF(F992="THL",PR!$BJ990,IF(F992="UBASTIC",PR!$BK990,IF(F992="UNION",PR!$BL990,IF(F992="UNIQUE",PR!$BM990,IF(F992="VIXA",PR!$BN990,IF(F992="WWCV",PR!$BO990,IF(F992="ZOLON",PR!$BP990,"-"))))))))))))))))))))))))))))))))))))))))))))))))))))))))))))))))</f>
        <v>6000</v>
      </c>
      <c r="F992" s="102" t="str">
        <f>EV!L1253</f>
        <v>TEMITA</v>
      </c>
      <c r="G992" s="108">
        <f>IF(H992="ALPHA",PR!$E990,IF(H992="ASSENE",PR!$F990,IF(H992="BIOFEM",PR!$G990,IF(H992="BIOMED",PR!$H990,IF(H992="CHI",PR!$I990,IF(H992="CLARION",PR!$J990,IF(H992="CODIX",PR!$K990,IF(H992="COSMADE",PR!$L990,IF(H992="SANCON",PR!$M990,IF(H992="DEVON",PR!$N990,IF(H992="DORTEMAG",PR!$O990,IF(H992="DGF",PR!$P990,IF(H992="DYNAMIC",PR!$Q990,IF(H992="EMZOR",PR!$R990,IF(H992="EUMATT",PR!$S990,IF(H992="FIDSON",PR!$T990,IF(H992="FCGLOBAL",PR!$U990,IF(H992="GENEITH",PR!$V990,IF(H992="GINOS",PR!$W990,IF(H992="GSK",PR!$X990,IF(H992="GLOBORG",PR!$Y990,IF(H992="GOODNEWS",PR!$Z990,IF(H992="GREENLIFE",PR!$AA990,IF(H992="HLINE",PR!$AB990,IF(H992="ROTECH",PR!$AC990,IF(H992="ISN",PR!$AD990,IF(H992="JAWA",PR!$AE990,IF(H992="LAYO",PR!$AF990,IF(H992="LEADWAY",PR!$AG990,IF(H992="LHV",PR!$AH990,IF(H992="MANOLA",PR!$AI990,IF(H992="MARCSON",PR!$AJ990,IF(H992="M&amp;B",PR!$AK990,IF(H992="MTRUST",PR!$AL990,IF(H992="MWORLD",PR!$AM990,IF(H992="MEGA",PR!$AN990,IF(H992="MICRONOVA",PR!$AO990,IF(H992="MFLASH",PR!$AP990,IF(H992="MORISON",PR!$AQ990,IF(H992="NEMEL",PR!$AR990,IF(H992="NHP",PR!$AS990,IF(H992="NHC",PR!$AT990,IF(H992="OLEAF",PR!$AU990,IF(H992="OCULUS",PR!$AV990,IF(H992="PACIFIC",PR!$AW990,IF(H992="PHAMATEX",PR!$AX990,IF(H992="PETHICS",PR!$AY990,IF(H992="PHILIPS",PR!$AZ990,IF(H992="RANBAXY",PR!$BA990,IF(H992="REALS",PR!$BB990,IF(H992="ROYAL",PR!$BC990,IF(H992="SAM",PR!$BD990,IF(H992="SEAGREEN",PR!$BE990,IF(H992="SKG",PR!$BF990,IF(H992="TAH",PR!$BG990,IF(H992="TAYLEK",PR!$BH990,IF(H992="TEMITA",PR!$BI990,IF(H992="THL",PR!$BJ990,IF(H992="UBASTIC",PR!$BK990,IF(H992="UNION",PR!$BL990,IF(H992="UNIQUE",PR!$BM990,IF(H992="VIXA",PR!$BN990,IF(H992="WWCV",PR!$BO990,IF(H992="ZOLON",PR!$BP990,"-"))))))))))))))))))))))))))))))))))))))))))))))))))))))))))))))))</f>
        <v>8125</v>
      </c>
      <c r="H992" s="102" t="str">
        <f>EV!M1253</f>
        <v>DYNAMIC</v>
      </c>
      <c r="I992" s="108">
        <f>IF(J992="ALPHA",PR!$E990,IF(J992="ASSENE",PR!$F990,IF(J992="BIOFEM",PR!$G990,IF(J992="BIOMED",PR!$H990,IF(J992="CHI",PR!$I990,IF(J992="CLARION",PR!$J990,IF(J992="CODIX",PR!$K990,IF(J992="COSMADE",PR!$L990,IF(J992="SANCON",PR!$M990,IF(J992="DEVON",PR!$N990,IF(J992="DORTEMAG",PR!$O990,IF(J992="DGF",PR!$P990,IF(J992="DYNAMIC",PR!$Q990,IF(J992="EMZOR",PR!$R990,IF(J992="EUMATT",PR!$S990,IF(J992="FIDSON",PR!$T990,IF(J992="FCGLOBAL",PR!$U990,IF(J992="GENEITH",PR!$V990,IF(J992="GINOS",PR!$W990,IF(J992="GSK",PR!$X990,IF(J992="GLOBORG",PR!$Y990,IF(J992="GOODNEWS",PR!$Z990,IF(J992="GREENLIFE",PR!$AA990,IF(J992="HLINE",PR!$AB990,IF(J992="ROTECH",PR!$AC990,IF(J992="ISN",PR!$AD990,IF(J992="JAWA",PR!$AE990,IF(J992="LAYO",PR!$AF990,IF(J992="LEADWAY",PR!$AG990,IF(J992="LHV",PR!$AH990,IF(J992="MANOLA",PR!$AI990,IF(J992="MARCSON",PR!$AJ990,IF(J992="M&amp;B",PR!$AK990,IF(J992="MTRUST",PR!$AL990,IF(J992="MWORLD",PR!$AM990,IF(J992="MEGA",PR!$AN990,IF(J992="MICRONOVA",PR!$AO990,IF(J992="MFLASH",PR!$AP990,IF(J992="MORISON",PR!$AQ990,IF(J992="NEMEL",PR!$AR990,IF(J992="NHP",PR!$AS990,IF(J992="NHC",PR!$AT990,IF(J992="OLEAF",PR!$AU990,IF(J992="OCULUS",PR!$AV990,IF(J992="PACIFIC",PR!$AW990,IF(J992="PHAMATEX",PR!$AX990,IF(J992="PETHICS",PR!$AY990,IF(J992="PHILIPS",PR!$AZ990,IF(J992="RANBAXY",PR!$BA990,IF(J992="REALS",PR!$BB990,IF(J992="ROYAL",PR!$BC990,IF(J992="SAM",PR!$BD990,IF(J992="SEAGREEN",PR!$BE990,IF(J992="SKG",PR!$BF990,IF(J992="TAH",PR!$BG990,IF(J992="TAYLEK",PR!$BH990,IF(J992="TEMITA",PR!$BI990,IF(J992="THL",PR!$BJ990,IF(J992="UBASTIC",PR!$BK990,IF(J992="UNION",PR!$BL990,IF(J992="UNIQUE",PR!$BM990,IF(J992="VIXA",PR!$BN990,IF(J992="WWCV",PR!$BO990,IF(J992="ZOLON",PR!$BP990,"-"))))))))))))))))))))))))))))))))))))))))))))))))))))))))))))))))</f>
        <v>9500</v>
      </c>
      <c r="J992" s="102" t="str">
        <f>EV!N1253</f>
        <v>SANCON</v>
      </c>
      <c r="K992" s="433" t="s">
        <v>1463</v>
      </c>
      <c r="L992" s="183">
        <f>IF(K992&gt;0,IF(K992="ALPHA",PR!$E990,IF(K992="ASSENE",PR!$F990,IF(K992="BIOFEM",PR!$G990,IF(K992="BIOMED",PR!$H990,IF(K992="CHI",PR!$I990,IF(K992="CLARION",PR!$J990,IF(K992="CODIX",PR!$K990,IF(K992="COSMADE",PR!$L990,IF(K992="SANCON",PR!$M990,IF(K992="DEVON",PR!$N990,IF(K992="DORTEMAG",PR!$O990,IF(K992="DGF",PR!$P990,IF(K992="DYNAMIC",PR!$Q990,IF(K992="EMZOR",PR!$R990,IF(K992="EUMATT",PR!$S990,IF(K992="FIDSON",PR!$T990,IF(K992="FCGLOBAL",PR!$U990,IF(K992="GENEITH",PR!$V990,IF(K992="GINOS",PR!$W990,IF(K992="GSK",PR!$X990,IF(K992="GLOBORG",PR!$Y990,IF(K992="GOODNEWS",PR!$Z990,IF(K992="GREENLIFE",PR!$AA990,IF(K992="HLINE",PR!$AB990,IF(K992="ROTECH",PR!$AC990,IF(K992="ISN",PR!$AD990,IF(K992="JAWA",PR!$AE990,IF(K992="LAYO",PR!$AF990,IF(K992="LEADWAY",PR!$AG990,IF(K992="LHV",PR!$AH990,IF(K992="MANOLA",PR!$AI990,IF(K992="MARCSON",PR!$AJ990,IF(K992="M&amp;B",PR!$AK990,IF(K992="MTRUST",PR!$AL990,IF(K992="MWORLD",PR!$AM990,IF(K992="MEGA",PR!$AN990,IF(K992="MICRONOVA",PR!$AO990,IF(K992="MFLASH",PR!$AP990,IF(K992="MORISON",PR!$AQ990,IF(K992="NEMEL",PR!$AR990,IF(K992="NHP",PR!$AS990,IF(K992="NHC",PR!$AT990,IF(K992="OLEAF",PR!$AU990,IF(K992="OCULUS",PR!$AV990,IF(K992="PACIFIC",PR!$AW990,IF(K992="PHAMATEX",PR!$AX990,IF(K992="PETHICS",PR!$AY990,IF(K992="PHILIPS",PR!$AZ990,IF(K992="RANBAXY",PR!$BA990,IF(K992="REALS",PR!$BB990,IF(K992="ROYAL",PR!$BC990,IF(K992="SAM",PR!$BD990,IF(K992="SEAGREEN",PR!$BE990,IF(K992="SKG",PR!$BF990,IF(K992="TAH",PR!$BG990,IF(K992="TAYLEK",PR!$BH990,IF(K992="TEMITA",PR!$BI990,IF(K992="THL",PR!$BJ990,IF(K992="UBASTIC",PR!$BK990,IF(K992="UNION",PR!$BL990,IF(K992="UNIQUE",PR!$BM990,IF(K992="VIXA",PR!$BN990,IF(K992="WWCV",PR!$BO990,IF(K992="ZOLON",PR!$BP990,"-")))))))))))))))))))))))))))))))))))))))))))))))))))))))))))))))))</f>
        <v>6000</v>
      </c>
    </row>
    <row r="993" spans="1:12" ht="18.75" x14ac:dyDescent="0.3">
      <c r="A993" s="430">
        <f>PR!A991</f>
        <v>895</v>
      </c>
      <c r="B993" s="15" t="str">
        <f>PR!B991</f>
        <v>PERIODIC ACID</v>
      </c>
      <c r="C993" s="113" t="str">
        <f>PR!D991</f>
        <v>25g</v>
      </c>
      <c r="D993" s="113">
        <f>PR!C991</f>
        <v>2</v>
      </c>
      <c r="E993" s="108">
        <f>IF(F993="ALPHA",PR!$E991,IF(F993="ASSENE",PR!$F991,IF(F993="BIOFEM",PR!$G991,IF(F993="BIOMED",PR!$H991,IF(F993="CHI",PR!$I991,IF(F993="CLARION",PR!$J991,IF(F993="CODIX",PR!$K991,IF(F993="COSMADE",PR!$L991,IF(F993="SANCON",PR!$M991,IF(F993="DEVON",PR!$N991,IF(F993="DORTEMAG",PR!$O991,IF(F993="DGF",PR!$P991,IF(F993="DYNAMIC",PR!$Q991,IF(F993="EMZOR",PR!$R991,IF(F993="EUMATT",PR!$S991,IF(F993="FIDSON",PR!$T991,IF(F993="FCGLOBAL",PR!$U991,IF(F993="GENEITH",PR!$V991,IF(F993="GINOS",PR!$W991,IF(F993="GSK",PR!$X991,IF(F993="GLOBORG",PR!$Y991,IF(F993="GOODNEWS",PR!$Z991,IF(F993="GREENLIFE",PR!$AA991,IF(F993="HLINE",PR!$AB991,IF(F993="ROTECH",PR!$AC991,IF(F993="ISN",PR!$AD991,IF(F993="JAWA",PR!$AE991,IF(F993="LAYO",PR!$AF991,IF(F993="LEADWAY",PR!$AG991,IF(F993="LHV",PR!$AH991,IF(F993="MANOLA",PR!$AI991,IF(F993="MARCSON",PR!$AJ991,IF(F993="M&amp;B",PR!$AK991,IF(F993="MTRUST",PR!$AL991,IF(F993="MWORLD",PR!$AM991,IF(F993="MEGA",PR!$AN991,IF(F993="MICRONOVA",PR!$AO991,IF(F993="MFLASH",PR!$AP991,IF(F993="MORISON",PR!$AQ991,IF(F993="NEMEL",PR!$AR991,IF(F993="NHP",PR!$AS991,IF(F993="NHC",PR!$AT991,IF(F993="OLEAF",PR!$AU991,IF(F993="OCULUS",PR!$AV991,IF(F993="PACIFIC",PR!$AW991,IF(F993="PHAMATEX",PR!$AX991,IF(F993="PETHICS",PR!$AY991,IF(F993="PHILIPS",PR!$AZ991,IF(F993="RANBAXY",PR!$BA991,IF(F993="REALS",PR!$BB991,IF(F993="ROYAL",PR!$BC991,IF(F993="SAM",PR!$BD991,IF(F993="SEAGREEN",PR!$BE991,IF(F993="SKG",PR!$BF991,IF(F993="TAH",PR!$BG991,IF(F993="TAYLEK",PR!$BH991,IF(F993="TEMITA",PR!$BI991,IF(F993="THL",PR!$BJ991,IF(F993="UBASTIC",PR!$BK991,IF(F993="UNION",PR!$BL991,IF(F993="UNIQUE",PR!$BM991,IF(F993="VIXA",PR!$BN991,IF(F993="WWCV",PR!$BO991,IF(F993="ZOLON",PR!$BP991,"-"))))))))))))))))))))))))))))))))))))))))))))))))))))))))))))))))</f>
        <v>7000</v>
      </c>
      <c r="F993" s="102" t="str">
        <f>EV!L1254</f>
        <v>COSMADE</v>
      </c>
      <c r="G993" s="108">
        <f>IF(H993="ALPHA",PR!$E991,IF(H993="ASSENE",PR!$F991,IF(H993="BIOFEM",PR!$G991,IF(H993="BIOMED",PR!$H991,IF(H993="CHI",PR!$I991,IF(H993="CLARION",PR!$J991,IF(H993="CODIX",PR!$K991,IF(H993="COSMADE",PR!$L991,IF(H993="SANCON",PR!$M991,IF(H993="DEVON",PR!$N991,IF(H993="DORTEMAG",PR!$O991,IF(H993="DGF",PR!$P991,IF(H993="DYNAMIC",PR!$Q991,IF(H993="EMZOR",PR!$R991,IF(H993="EUMATT",PR!$S991,IF(H993="FIDSON",PR!$T991,IF(H993="FCGLOBAL",PR!$U991,IF(H993="GENEITH",PR!$V991,IF(H993="GINOS",PR!$W991,IF(H993="GSK",PR!$X991,IF(H993="GLOBORG",PR!$Y991,IF(H993="GOODNEWS",PR!$Z991,IF(H993="GREENLIFE",PR!$AA991,IF(H993="HLINE",PR!$AB991,IF(H993="ROTECH",PR!$AC991,IF(H993="ISN",PR!$AD991,IF(H993="JAWA",PR!$AE991,IF(H993="LAYO",PR!$AF991,IF(H993="LEADWAY",PR!$AG991,IF(H993="LHV",PR!$AH991,IF(H993="MANOLA",PR!$AI991,IF(H993="MARCSON",PR!$AJ991,IF(H993="M&amp;B",PR!$AK991,IF(H993="MTRUST",PR!$AL991,IF(H993="MWORLD",PR!$AM991,IF(H993="MEGA",PR!$AN991,IF(H993="MICRONOVA",PR!$AO991,IF(H993="MFLASH",PR!$AP991,IF(H993="MORISON",PR!$AQ991,IF(H993="NEMEL",PR!$AR991,IF(H993="NHP",PR!$AS991,IF(H993="NHC",PR!$AT991,IF(H993="OLEAF",PR!$AU991,IF(H993="OCULUS",PR!$AV991,IF(H993="PACIFIC",PR!$AW991,IF(H993="PHAMATEX",PR!$AX991,IF(H993="PETHICS",PR!$AY991,IF(H993="PHILIPS",PR!$AZ991,IF(H993="RANBAXY",PR!$BA991,IF(H993="REALS",PR!$BB991,IF(H993="ROYAL",PR!$BC991,IF(H993="SAM",PR!$BD991,IF(H993="SEAGREEN",PR!$BE991,IF(H993="SKG",PR!$BF991,IF(H993="TAH",PR!$BG991,IF(H993="TAYLEK",PR!$BH991,IF(H993="TEMITA",PR!$BI991,IF(H993="THL",PR!$BJ991,IF(H993="UBASTIC",PR!$BK991,IF(H993="UNION",PR!$BL991,IF(H993="UNIQUE",PR!$BM991,IF(H993="VIXA",PR!$BN991,IF(H993="WWCV",PR!$BO991,IF(H993="ZOLON",PR!$BP991,"-"))))))))))))))))))))))))))))))))))))))))))))))))))))))))))))))))</f>
        <v>7500</v>
      </c>
      <c r="H993" s="102" t="str">
        <f>EV!M1254</f>
        <v>TEMITA</v>
      </c>
      <c r="I993" s="108">
        <f>IF(J993="ALPHA",PR!$E991,IF(J993="ASSENE",PR!$F991,IF(J993="BIOFEM",PR!$G991,IF(J993="BIOMED",PR!$H991,IF(J993="CHI",PR!$I991,IF(J993="CLARION",PR!$J991,IF(J993="CODIX",PR!$K991,IF(J993="COSMADE",PR!$L991,IF(J993="SANCON",PR!$M991,IF(J993="DEVON",PR!$N991,IF(J993="DORTEMAG",PR!$O991,IF(J993="DGF",PR!$P991,IF(J993="DYNAMIC",PR!$Q991,IF(J993="EMZOR",PR!$R991,IF(J993="EUMATT",PR!$S991,IF(J993="FIDSON",PR!$T991,IF(J993="FCGLOBAL",PR!$U991,IF(J993="GENEITH",PR!$V991,IF(J993="GINOS",PR!$W991,IF(J993="GSK",PR!$X991,IF(J993="GLOBORG",PR!$Y991,IF(J993="GOODNEWS",PR!$Z991,IF(J993="GREENLIFE",PR!$AA991,IF(J993="HLINE",PR!$AB991,IF(J993="ROTECH",PR!$AC991,IF(J993="ISN",PR!$AD991,IF(J993="JAWA",PR!$AE991,IF(J993="LAYO",PR!$AF991,IF(J993="LEADWAY",PR!$AG991,IF(J993="LHV",PR!$AH991,IF(J993="MANOLA",PR!$AI991,IF(J993="MARCSON",PR!$AJ991,IF(J993="M&amp;B",PR!$AK991,IF(J993="MTRUST",PR!$AL991,IF(J993="MWORLD",PR!$AM991,IF(J993="MEGA",PR!$AN991,IF(J993="MICRONOVA",PR!$AO991,IF(J993="MFLASH",PR!$AP991,IF(J993="MORISON",PR!$AQ991,IF(J993="NEMEL",PR!$AR991,IF(J993="NHP",PR!$AS991,IF(J993="NHC",PR!$AT991,IF(J993="OLEAF",PR!$AU991,IF(J993="OCULUS",PR!$AV991,IF(J993="PACIFIC",PR!$AW991,IF(J993="PHAMATEX",PR!$AX991,IF(J993="PETHICS",PR!$AY991,IF(J993="PHILIPS",PR!$AZ991,IF(J993="RANBAXY",PR!$BA991,IF(J993="REALS",PR!$BB991,IF(J993="ROYAL",PR!$BC991,IF(J993="SAM",PR!$BD991,IF(J993="SEAGREEN",PR!$BE991,IF(J993="SKG",PR!$BF991,IF(J993="TAH",PR!$BG991,IF(J993="TAYLEK",PR!$BH991,IF(J993="TEMITA",PR!$BI991,IF(J993="THL",PR!$BJ991,IF(J993="UBASTIC",PR!$BK991,IF(J993="UNION",PR!$BL991,IF(J993="UNIQUE",PR!$BM991,IF(J993="VIXA",PR!$BN991,IF(J993="WWCV",PR!$BO991,IF(J993="ZOLON",PR!$BP991,"-"))))))))))))))))))))))))))))))))))))))))))))))))))))))))))))))))</f>
        <v>8500</v>
      </c>
      <c r="J993" s="102" t="str">
        <f>EV!N1254</f>
        <v>SANCON</v>
      </c>
      <c r="K993" s="433" t="s">
        <v>1452</v>
      </c>
      <c r="L993" s="183">
        <f>IF(K993&gt;0,IF(K993="ALPHA",PR!$E991,IF(K993="ASSENE",PR!$F991,IF(K993="BIOFEM",PR!$G991,IF(K993="BIOMED",PR!$H991,IF(K993="CHI",PR!$I991,IF(K993="CLARION",PR!$J991,IF(K993="CODIX",PR!$K991,IF(K993="COSMADE",PR!$L991,IF(K993="SANCON",PR!$M991,IF(K993="DEVON",PR!$N991,IF(K993="DORTEMAG",PR!$O991,IF(K993="DGF",PR!$P991,IF(K993="DYNAMIC",PR!$Q991,IF(K993="EMZOR",PR!$R991,IF(K993="EUMATT",PR!$S991,IF(K993="FIDSON",PR!$T991,IF(K993="FCGLOBAL",PR!$U991,IF(K993="GENEITH",PR!$V991,IF(K993="GINOS",PR!$W991,IF(K993="GSK",PR!$X991,IF(K993="GLOBORG",PR!$Y991,IF(K993="GOODNEWS",PR!$Z991,IF(K993="GREENLIFE",PR!$AA991,IF(K993="HLINE",PR!$AB991,IF(K993="ROTECH",PR!$AC991,IF(K993="ISN",PR!$AD991,IF(K993="JAWA",PR!$AE991,IF(K993="LAYO",PR!$AF991,IF(K993="LEADWAY",PR!$AG991,IF(K993="LHV",PR!$AH991,IF(K993="MANOLA",PR!$AI991,IF(K993="MARCSON",PR!$AJ991,IF(K993="M&amp;B",PR!$AK991,IF(K993="MTRUST",PR!$AL991,IF(K993="MWORLD",PR!$AM991,IF(K993="MEGA",PR!$AN991,IF(K993="MICRONOVA",PR!$AO991,IF(K993="MFLASH",PR!$AP991,IF(K993="MORISON",PR!$AQ991,IF(K993="NEMEL",PR!$AR991,IF(K993="NHP",PR!$AS991,IF(K993="NHC",PR!$AT991,IF(K993="OLEAF",PR!$AU991,IF(K993="OCULUS",PR!$AV991,IF(K993="PACIFIC",PR!$AW991,IF(K993="PHAMATEX",PR!$AX991,IF(K993="PETHICS",PR!$AY991,IF(K993="PHILIPS",PR!$AZ991,IF(K993="RANBAXY",PR!$BA991,IF(K993="REALS",PR!$BB991,IF(K993="ROYAL",PR!$BC991,IF(K993="SAM",PR!$BD991,IF(K993="SEAGREEN",PR!$BE991,IF(K993="SKG",PR!$BF991,IF(K993="TAH",PR!$BG991,IF(K993="TAYLEK",PR!$BH991,IF(K993="TEMITA",PR!$BI991,IF(K993="THL",PR!$BJ991,IF(K993="UBASTIC",PR!$BK991,IF(K993="UNION",PR!$BL991,IF(K993="UNIQUE",PR!$BM991,IF(K993="VIXA",PR!$BN991,IF(K993="WWCV",PR!$BO991,IF(K993="ZOLON",PR!$BP991,"-")))))))))))))))))))))))))))))))))))))))))))))))))))))))))))))))))</f>
        <v>7000</v>
      </c>
    </row>
    <row r="994" spans="1:12" ht="18.75" x14ac:dyDescent="0.3">
      <c r="A994" s="430">
        <f>PR!A992</f>
        <v>896</v>
      </c>
      <c r="B994" s="15" t="str">
        <f>PR!B992</f>
        <v>ACID FUCHSIN</v>
      </c>
      <c r="C994" s="113" t="str">
        <f>PR!D992</f>
        <v>25g</v>
      </c>
      <c r="D994" s="113">
        <f>PR!C992</f>
        <v>2</v>
      </c>
      <c r="E994" s="108">
        <f>IF(F994="ALPHA",PR!$E992,IF(F994="ASSENE",PR!$F992,IF(F994="BIOFEM",PR!$G992,IF(F994="BIOMED",PR!$H992,IF(F994="CHI",PR!$I992,IF(F994="CLARION",PR!$J992,IF(F994="CODIX",PR!$K992,IF(F994="COSMADE",PR!$L992,IF(F994="SANCON",PR!$M992,IF(F994="DEVON",PR!$N992,IF(F994="DORTEMAG",PR!$O992,IF(F994="DGF",PR!$P992,IF(F994="DYNAMIC",PR!$Q992,IF(F994="EMZOR",PR!$R992,IF(F994="EUMATT",PR!$S992,IF(F994="FIDSON",PR!$T992,IF(F994="FCGLOBAL",PR!$U992,IF(F994="GENEITH",PR!$V992,IF(F994="GINOS",PR!$W992,IF(F994="GSK",PR!$X992,IF(F994="GLOBORG",PR!$Y992,IF(F994="GOODNEWS",PR!$Z992,IF(F994="GREENLIFE",PR!$AA992,IF(F994="HLINE",PR!$AB992,IF(F994="ROTECH",PR!$AC992,IF(F994="ISN",PR!$AD992,IF(F994="JAWA",PR!$AE992,IF(F994="LAYO",PR!$AF992,IF(F994="LEADWAY",PR!$AG992,IF(F994="LHV",PR!$AH992,IF(F994="MANOLA",PR!$AI992,IF(F994="MARCSON",PR!$AJ992,IF(F994="M&amp;B",PR!$AK992,IF(F994="MTRUST",PR!$AL992,IF(F994="MWORLD",PR!$AM992,IF(F994="MEGA",PR!$AN992,IF(F994="MICRONOVA",PR!$AO992,IF(F994="MFLASH",PR!$AP992,IF(F994="MORISON",PR!$AQ992,IF(F994="NEMEL",PR!$AR992,IF(F994="NHP",PR!$AS992,IF(F994="NHC",PR!$AT992,IF(F994="OLEAF",PR!$AU992,IF(F994="OCULUS",PR!$AV992,IF(F994="PACIFIC",PR!$AW992,IF(F994="PHAMATEX",PR!$AX992,IF(F994="PETHICS",PR!$AY992,IF(F994="PHILIPS",PR!$AZ992,IF(F994="RANBAXY",PR!$BA992,IF(F994="REALS",PR!$BB992,IF(F994="ROYAL",PR!$BC992,IF(F994="SAM",PR!$BD992,IF(F994="SEAGREEN",PR!$BE992,IF(F994="SKG",PR!$BF992,IF(F994="TAH",PR!$BG992,IF(F994="TAYLEK",PR!$BH992,IF(F994="TEMITA",PR!$BI992,IF(F994="THL",PR!$BJ992,IF(F994="UBASTIC",PR!$BK992,IF(F994="UNION",PR!$BL992,IF(F994="UNIQUE",PR!$BM992,IF(F994="VIXA",PR!$BN992,IF(F994="WWCV",PR!$BO992,IF(F994="ZOLON",PR!$BP992,"-"))))))))))))))))))))))))))))))))))))))))))))))))))))))))))))))))</f>
        <v>4000</v>
      </c>
      <c r="F994" s="102" t="str">
        <f>EV!L1255</f>
        <v>SANCON</v>
      </c>
      <c r="G994" s="108">
        <f>IF(H994="ALPHA",PR!$E992,IF(H994="ASSENE",PR!$F992,IF(H994="BIOFEM",PR!$G992,IF(H994="BIOMED",PR!$H992,IF(H994="CHI",PR!$I992,IF(H994="CLARION",PR!$J992,IF(H994="CODIX",PR!$K992,IF(H994="COSMADE",PR!$L992,IF(H994="SANCON",PR!$M992,IF(H994="DEVON",PR!$N992,IF(H994="DORTEMAG",PR!$O992,IF(H994="DGF",PR!$P992,IF(H994="DYNAMIC",PR!$Q992,IF(H994="EMZOR",PR!$R992,IF(H994="EUMATT",PR!$S992,IF(H994="FIDSON",PR!$T992,IF(H994="FCGLOBAL",PR!$U992,IF(H994="GENEITH",PR!$V992,IF(H994="GINOS",PR!$W992,IF(H994="GSK",PR!$X992,IF(H994="GLOBORG",PR!$Y992,IF(H994="GOODNEWS",PR!$Z992,IF(H994="GREENLIFE",PR!$AA992,IF(H994="HLINE",PR!$AB992,IF(H994="ROTECH",PR!$AC992,IF(H994="ISN",PR!$AD992,IF(H994="JAWA",PR!$AE992,IF(H994="LAYO",PR!$AF992,IF(H994="LEADWAY",PR!$AG992,IF(H994="LHV",PR!$AH992,IF(H994="MANOLA",PR!$AI992,IF(H994="MARCSON",PR!$AJ992,IF(H994="M&amp;B",PR!$AK992,IF(H994="MTRUST",PR!$AL992,IF(H994="MWORLD",PR!$AM992,IF(H994="MEGA",PR!$AN992,IF(H994="MICRONOVA",PR!$AO992,IF(H994="MFLASH",PR!$AP992,IF(H994="MORISON",PR!$AQ992,IF(H994="NEMEL",PR!$AR992,IF(H994="NHP",PR!$AS992,IF(H994="NHC",PR!$AT992,IF(H994="OLEAF",PR!$AU992,IF(H994="OCULUS",PR!$AV992,IF(H994="PACIFIC",PR!$AW992,IF(H994="PHAMATEX",PR!$AX992,IF(H994="PETHICS",PR!$AY992,IF(H994="PHILIPS",PR!$AZ992,IF(H994="RANBAXY",PR!$BA992,IF(H994="REALS",PR!$BB992,IF(H994="ROYAL",PR!$BC992,IF(H994="SAM",PR!$BD992,IF(H994="SEAGREEN",PR!$BE992,IF(H994="SKG",PR!$BF992,IF(H994="TAH",PR!$BG992,IF(H994="TAYLEK",PR!$BH992,IF(H994="TEMITA",PR!$BI992,IF(H994="THL",PR!$BJ992,IF(H994="UBASTIC",PR!$BK992,IF(H994="UNION",PR!$BL992,IF(H994="UNIQUE",PR!$BM992,IF(H994="VIXA",PR!$BN992,IF(H994="WWCV",PR!$BO992,IF(H994="ZOLON",PR!$BP992,"-"))))))))))))))))))))))))))))))))))))))))))))))))))))))))))))))))</f>
        <v>4500</v>
      </c>
      <c r="H994" s="102" t="str">
        <f>EV!M1255</f>
        <v>TEMITA</v>
      </c>
      <c r="I994" s="108">
        <f>IF(J994="ALPHA",PR!$E992,IF(J994="ASSENE",PR!$F992,IF(J994="BIOFEM",PR!$G992,IF(J994="BIOMED",PR!$H992,IF(J994="CHI",PR!$I992,IF(J994="CLARION",PR!$J992,IF(J994="CODIX",PR!$K992,IF(J994="COSMADE",PR!$L992,IF(J994="SANCON",PR!$M992,IF(J994="DEVON",PR!$N992,IF(J994="DORTEMAG",PR!$O992,IF(J994="DGF",PR!$P992,IF(J994="DYNAMIC",PR!$Q992,IF(J994="EMZOR",PR!$R992,IF(J994="EUMATT",PR!$S992,IF(J994="FIDSON",PR!$T992,IF(J994="FCGLOBAL",PR!$U992,IF(J994="GENEITH",PR!$V992,IF(J994="GINOS",PR!$W992,IF(J994="GSK",PR!$X992,IF(J994="GLOBORG",PR!$Y992,IF(J994="GOODNEWS",PR!$Z992,IF(J994="GREENLIFE",PR!$AA992,IF(J994="HLINE",PR!$AB992,IF(J994="ROTECH",PR!$AC992,IF(J994="ISN",PR!$AD992,IF(J994="JAWA",PR!$AE992,IF(J994="LAYO",PR!$AF992,IF(J994="LEADWAY",PR!$AG992,IF(J994="LHV",PR!$AH992,IF(J994="MANOLA",PR!$AI992,IF(J994="MARCSON",PR!$AJ992,IF(J994="M&amp;B",PR!$AK992,IF(J994="MTRUST",PR!$AL992,IF(J994="MWORLD",PR!$AM992,IF(J994="MEGA",PR!$AN992,IF(J994="MICRONOVA",PR!$AO992,IF(J994="MFLASH",PR!$AP992,IF(J994="MORISON",PR!$AQ992,IF(J994="NEMEL",PR!$AR992,IF(J994="NHP",PR!$AS992,IF(J994="NHC",PR!$AT992,IF(J994="OLEAF",PR!$AU992,IF(J994="OCULUS",PR!$AV992,IF(J994="PACIFIC",PR!$AW992,IF(J994="PHAMATEX",PR!$AX992,IF(J994="PETHICS",PR!$AY992,IF(J994="PHILIPS",PR!$AZ992,IF(J994="RANBAXY",PR!$BA992,IF(J994="REALS",PR!$BB992,IF(J994="ROYAL",PR!$BC992,IF(J994="SAM",PR!$BD992,IF(J994="SEAGREEN",PR!$BE992,IF(J994="SKG",PR!$BF992,IF(J994="TAH",PR!$BG992,IF(J994="TAYLEK",PR!$BH992,IF(J994="TEMITA",PR!$BI992,IF(J994="THL",PR!$BJ992,IF(J994="UBASTIC",PR!$BK992,IF(J994="UNION",PR!$BL992,IF(J994="UNIQUE",PR!$BM992,IF(J994="VIXA",PR!$BN992,IF(J994="WWCV",PR!$BO992,IF(J994="ZOLON",PR!$BP992,"-"))))))))))))))))))))))))))))))))))))))))))))))))))))))))))))))))</f>
        <v>5000</v>
      </c>
      <c r="J994" s="102" t="str">
        <f>EV!N1255</f>
        <v>COSMADE</v>
      </c>
      <c r="K994" s="433" t="s">
        <v>817</v>
      </c>
      <c r="L994" s="183">
        <f>IF(K994&gt;0,IF(K994="ALPHA",PR!$E992,IF(K994="ASSENE",PR!$F992,IF(K994="BIOFEM",PR!$G992,IF(K994="BIOMED",PR!$H992,IF(K994="CHI",PR!$I992,IF(K994="CLARION",PR!$J992,IF(K994="CODIX",PR!$K992,IF(K994="COSMADE",PR!$L992,IF(K994="SANCON",PR!$M992,IF(K994="DEVON",PR!$N992,IF(K994="DORTEMAG",PR!$O992,IF(K994="DGF",PR!$P992,IF(K994="DYNAMIC",PR!$Q992,IF(K994="EMZOR",PR!$R992,IF(K994="EUMATT",PR!$S992,IF(K994="FIDSON",PR!$T992,IF(K994="FCGLOBAL",PR!$U992,IF(K994="GENEITH",PR!$V992,IF(K994="GINOS",PR!$W992,IF(K994="GSK",PR!$X992,IF(K994="GLOBORG",PR!$Y992,IF(K994="GOODNEWS",PR!$Z992,IF(K994="GREENLIFE",PR!$AA992,IF(K994="HLINE",PR!$AB992,IF(K994="ROTECH",PR!$AC992,IF(K994="ISN",PR!$AD992,IF(K994="JAWA",PR!$AE992,IF(K994="LAYO",PR!$AF992,IF(K994="LEADWAY",PR!$AG992,IF(K994="LHV",PR!$AH992,IF(K994="MANOLA",PR!$AI992,IF(K994="MARCSON",PR!$AJ992,IF(K994="M&amp;B",PR!$AK992,IF(K994="MTRUST",PR!$AL992,IF(K994="MWORLD",PR!$AM992,IF(K994="MEGA",PR!$AN992,IF(K994="MICRONOVA",PR!$AO992,IF(K994="MFLASH",PR!$AP992,IF(K994="MORISON",PR!$AQ992,IF(K994="NEMEL",PR!$AR992,IF(K994="NHP",PR!$AS992,IF(K994="NHC",PR!$AT992,IF(K994="OLEAF",PR!$AU992,IF(K994="OCULUS",PR!$AV992,IF(K994="PACIFIC",PR!$AW992,IF(K994="PHAMATEX",PR!$AX992,IF(K994="PETHICS",PR!$AY992,IF(K994="PHILIPS",PR!$AZ992,IF(K994="RANBAXY",PR!$BA992,IF(K994="REALS",PR!$BB992,IF(K994="ROYAL",PR!$BC992,IF(K994="SAM",PR!$BD992,IF(K994="SEAGREEN",PR!$BE992,IF(K994="SKG",PR!$BF992,IF(K994="TAH",PR!$BG992,IF(K994="TAYLEK",PR!$BH992,IF(K994="TEMITA",PR!$BI992,IF(K994="THL",PR!$BJ992,IF(K994="UBASTIC",PR!$BK992,IF(K994="UNION",PR!$BL992,IF(K994="UNIQUE",PR!$BM992,IF(K994="VIXA",PR!$BN992,IF(K994="WWCV",PR!$BO992,IF(K994="ZOLON",PR!$BP992,"-")))))))))))))))))))))))))))))))))))))))))))))))))))))))))))))))))</f>
        <v>4000</v>
      </c>
    </row>
    <row r="995" spans="1:12" ht="18.75" x14ac:dyDescent="0.3">
      <c r="A995" s="430">
        <f>PR!A993</f>
        <v>897</v>
      </c>
      <c r="B995" s="15" t="str">
        <f>PR!B993</f>
        <v>PONCEAN 2R</v>
      </c>
      <c r="C995" s="113" t="str">
        <f>PR!D993</f>
        <v>25g</v>
      </c>
      <c r="D995" s="113">
        <f>PR!C993</f>
        <v>2</v>
      </c>
      <c r="E995" s="108">
        <f>IF(F995="ALPHA",PR!$E993,IF(F995="ASSENE",PR!$F993,IF(F995="BIOFEM",PR!$G993,IF(F995="BIOMED",PR!$H993,IF(F995="CHI",PR!$I993,IF(F995="CLARION",PR!$J993,IF(F995="CODIX",PR!$K993,IF(F995="COSMADE",PR!$L993,IF(F995="SANCON",PR!$M993,IF(F995="DEVON",PR!$N993,IF(F995="DORTEMAG",PR!$O993,IF(F995="DGF",PR!$P993,IF(F995="DYNAMIC",PR!$Q993,IF(F995="EMZOR",PR!$R993,IF(F995="EUMATT",PR!$S993,IF(F995="FIDSON",PR!$T993,IF(F995="FCGLOBAL",PR!$U993,IF(F995="GENEITH",PR!$V993,IF(F995="GINOS",PR!$W993,IF(F995="GSK",PR!$X993,IF(F995="GLOBORG",PR!$Y993,IF(F995="GOODNEWS",PR!$Z993,IF(F995="GREENLIFE",PR!$AA993,IF(F995="HLINE",PR!$AB993,IF(F995="ROTECH",PR!$AC993,IF(F995="ISN",PR!$AD993,IF(F995="JAWA",PR!$AE993,IF(F995="LAYO",PR!$AF993,IF(F995="LEADWAY",PR!$AG993,IF(F995="LHV",PR!$AH993,IF(F995="MANOLA",PR!$AI993,IF(F995="MARCSON",PR!$AJ993,IF(F995="M&amp;B",PR!$AK993,IF(F995="MTRUST",PR!$AL993,IF(F995="MWORLD",PR!$AM993,IF(F995="MEGA",PR!$AN993,IF(F995="MICRONOVA",PR!$AO993,IF(F995="MFLASH",PR!$AP993,IF(F995="MORISON",PR!$AQ993,IF(F995="NEMEL",PR!$AR993,IF(F995="NHP",PR!$AS993,IF(F995="NHC",PR!$AT993,IF(F995="OLEAF",PR!$AU993,IF(F995="OCULUS",PR!$AV993,IF(F995="PACIFIC",PR!$AW993,IF(F995="PHAMATEX",PR!$AX993,IF(F995="PETHICS",PR!$AY993,IF(F995="PHILIPS",PR!$AZ993,IF(F995="RANBAXY",PR!$BA993,IF(F995="REALS",PR!$BB993,IF(F995="ROYAL",PR!$BC993,IF(F995="SAM",PR!$BD993,IF(F995="SEAGREEN",PR!$BE993,IF(F995="SKG",PR!$BF993,IF(F995="TAH",PR!$BG993,IF(F995="TAYLEK",PR!$BH993,IF(F995="TEMITA",PR!$BI993,IF(F995="THL",PR!$BJ993,IF(F995="UBASTIC",PR!$BK993,IF(F995="UNION",PR!$BL993,IF(F995="UNIQUE",PR!$BM993,IF(F995="VIXA",PR!$BN993,IF(F995="WWCV",PR!$BO993,IF(F995="ZOLON",PR!$BP993,"-"))))))))))))))))))))))))))))))))))))))))))))))))))))))))))))))))</f>
        <v>4000</v>
      </c>
      <c r="F995" s="102" t="str">
        <f>EV!L1256</f>
        <v>SANCON</v>
      </c>
      <c r="G995" s="108">
        <f>IF(H995="ALPHA",PR!$E993,IF(H995="ASSENE",PR!$F993,IF(H995="BIOFEM",PR!$G993,IF(H995="BIOMED",PR!$H993,IF(H995="CHI",PR!$I993,IF(H995="CLARION",PR!$J993,IF(H995="CODIX",PR!$K993,IF(H995="COSMADE",PR!$L993,IF(H995="SANCON",PR!$M993,IF(H995="DEVON",PR!$N993,IF(H995="DORTEMAG",PR!$O993,IF(H995="DGF",PR!$P993,IF(H995="DYNAMIC",PR!$Q993,IF(H995="EMZOR",PR!$R993,IF(H995="EUMATT",PR!$S993,IF(H995="FIDSON",PR!$T993,IF(H995="FCGLOBAL",PR!$U993,IF(H995="GENEITH",PR!$V993,IF(H995="GINOS",PR!$W993,IF(H995="GSK",PR!$X993,IF(H995="GLOBORG",PR!$Y993,IF(H995="GOODNEWS",PR!$Z993,IF(H995="GREENLIFE",PR!$AA993,IF(H995="HLINE",PR!$AB993,IF(H995="ROTECH",PR!$AC993,IF(H995="ISN",PR!$AD993,IF(H995="JAWA",PR!$AE993,IF(H995="LAYO",PR!$AF993,IF(H995="LEADWAY",PR!$AG993,IF(H995="LHV",PR!$AH993,IF(H995="MANOLA",PR!$AI993,IF(H995="MARCSON",PR!$AJ993,IF(H995="M&amp;B",PR!$AK993,IF(H995="MTRUST",PR!$AL993,IF(H995="MWORLD",PR!$AM993,IF(H995="MEGA",PR!$AN993,IF(H995="MICRONOVA",PR!$AO993,IF(H995="MFLASH",PR!$AP993,IF(H995="MORISON",PR!$AQ993,IF(H995="NEMEL",PR!$AR993,IF(H995="NHP",PR!$AS993,IF(H995="NHC",PR!$AT993,IF(H995="OLEAF",PR!$AU993,IF(H995="OCULUS",PR!$AV993,IF(H995="PACIFIC",PR!$AW993,IF(H995="PHAMATEX",PR!$AX993,IF(H995="PETHICS",PR!$AY993,IF(H995="PHILIPS",PR!$AZ993,IF(H995="RANBAXY",PR!$BA993,IF(H995="REALS",PR!$BB993,IF(H995="ROYAL",PR!$BC993,IF(H995="SAM",PR!$BD993,IF(H995="SEAGREEN",PR!$BE993,IF(H995="SKG",PR!$BF993,IF(H995="TAH",PR!$BG993,IF(H995="TAYLEK",PR!$BH993,IF(H995="TEMITA",PR!$BI993,IF(H995="THL",PR!$BJ993,IF(H995="UBASTIC",PR!$BK993,IF(H995="UNION",PR!$BL993,IF(H995="UNIQUE",PR!$BM993,IF(H995="VIXA",PR!$BN993,IF(H995="WWCV",PR!$BO993,IF(H995="ZOLON",PR!$BP993,"-"))))))))))))))))))))))))))))))))))))))))))))))))))))))))))))))))</f>
        <v>5000</v>
      </c>
      <c r="H995" s="102" t="str">
        <f>EV!M1256</f>
        <v>COSMADE</v>
      </c>
      <c r="I995" s="108">
        <f>IF(J995="ALPHA",PR!$E993,IF(J995="ASSENE",PR!$F993,IF(J995="BIOFEM",PR!$G993,IF(J995="BIOMED",PR!$H993,IF(J995="CHI",PR!$I993,IF(J995="CLARION",PR!$J993,IF(J995="CODIX",PR!$K993,IF(J995="COSMADE",PR!$L993,IF(J995="SANCON",PR!$M993,IF(J995="DEVON",PR!$N993,IF(J995="DORTEMAG",PR!$O993,IF(J995="DGF",PR!$P993,IF(J995="DYNAMIC",PR!$Q993,IF(J995="EMZOR",PR!$R993,IF(J995="EUMATT",PR!$S993,IF(J995="FIDSON",PR!$T993,IF(J995="FCGLOBAL",PR!$U993,IF(J995="GENEITH",PR!$V993,IF(J995="GINOS",PR!$W993,IF(J995="GSK",PR!$X993,IF(J995="GLOBORG",PR!$Y993,IF(J995="GOODNEWS",PR!$Z993,IF(J995="GREENLIFE",PR!$AA993,IF(J995="HLINE",PR!$AB993,IF(J995="ROTECH",PR!$AC993,IF(J995="ISN",PR!$AD993,IF(J995="JAWA",PR!$AE993,IF(J995="LAYO",PR!$AF993,IF(J995="LEADWAY",PR!$AG993,IF(J995="LHV",PR!$AH993,IF(J995="MANOLA",PR!$AI993,IF(J995="MARCSON",PR!$AJ993,IF(J995="M&amp;B",PR!$AK993,IF(J995="MTRUST",PR!$AL993,IF(J995="MWORLD",PR!$AM993,IF(J995="MEGA",PR!$AN993,IF(J995="MICRONOVA",PR!$AO993,IF(J995="MFLASH",PR!$AP993,IF(J995="MORISON",PR!$AQ993,IF(J995="NEMEL",PR!$AR993,IF(J995="NHP",PR!$AS993,IF(J995="NHC",PR!$AT993,IF(J995="OLEAF",PR!$AU993,IF(J995="OCULUS",PR!$AV993,IF(J995="PACIFIC",PR!$AW993,IF(J995="PHAMATEX",PR!$AX993,IF(J995="PETHICS",PR!$AY993,IF(J995="PHILIPS",PR!$AZ993,IF(J995="RANBAXY",PR!$BA993,IF(J995="REALS",PR!$BB993,IF(J995="ROYAL",PR!$BC993,IF(J995="SAM",PR!$BD993,IF(J995="SEAGREEN",PR!$BE993,IF(J995="SKG",PR!$BF993,IF(J995="TAH",PR!$BG993,IF(J995="TAYLEK",PR!$BH993,IF(J995="TEMITA",PR!$BI993,IF(J995="THL",PR!$BJ993,IF(J995="UBASTIC",PR!$BK993,IF(J995="UNION",PR!$BL993,IF(J995="UNIQUE",PR!$BM993,IF(J995="VIXA",PR!$BN993,IF(J995="WWCV",PR!$BO993,IF(J995="ZOLON",PR!$BP993,"-"))))))))))))))))))))))))))))))))))))))))))))))))))))))))))))))))</f>
        <v>5625</v>
      </c>
      <c r="J995" s="102" t="str">
        <f>EV!N1256</f>
        <v>DYNAMIC</v>
      </c>
      <c r="K995" s="433" t="s">
        <v>817</v>
      </c>
      <c r="L995" s="183">
        <f>IF(K995&gt;0,IF(K995="ALPHA",PR!$E993,IF(K995="ASSENE",PR!$F993,IF(K995="BIOFEM",PR!$G993,IF(K995="BIOMED",PR!$H993,IF(K995="CHI",PR!$I993,IF(K995="CLARION",PR!$J993,IF(K995="CODIX",PR!$K993,IF(K995="COSMADE",PR!$L993,IF(K995="SANCON",PR!$M993,IF(K995="DEVON",PR!$N993,IF(K995="DORTEMAG",PR!$O993,IF(K995="DGF",PR!$P993,IF(K995="DYNAMIC",PR!$Q993,IF(K995="EMZOR",PR!$R993,IF(K995="EUMATT",PR!$S993,IF(K995="FIDSON",PR!$T993,IF(K995="FCGLOBAL",PR!$U993,IF(K995="GENEITH",PR!$V993,IF(K995="GINOS",PR!$W993,IF(K995="GSK",PR!$X993,IF(K995="GLOBORG",PR!$Y993,IF(K995="GOODNEWS",PR!$Z993,IF(K995="GREENLIFE",PR!$AA993,IF(K995="HLINE",PR!$AB993,IF(K995="ROTECH",PR!$AC993,IF(K995="ISN",PR!$AD993,IF(K995="JAWA",PR!$AE993,IF(K995="LAYO",PR!$AF993,IF(K995="LEADWAY",PR!$AG993,IF(K995="LHV",PR!$AH993,IF(K995="MANOLA",PR!$AI993,IF(K995="MARCSON",PR!$AJ993,IF(K995="M&amp;B",PR!$AK993,IF(K995="MTRUST",PR!$AL993,IF(K995="MWORLD",PR!$AM993,IF(K995="MEGA",PR!$AN993,IF(K995="MICRONOVA",PR!$AO993,IF(K995="MFLASH",PR!$AP993,IF(K995="MORISON",PR!$AQ993,IF(K995="NEMEL",PR!$AR993,IF(K995="NHP",PR!$AS993,IF(K995="NHC",PR!$AT993,IF(K995="OLEAF",PR!$AU993,IF(K995="OCULUS",PR!$AV993,IF(K995="PACIFIC",PR!$AW993,IF(K995="PHAMATEX",PR!$AX993,IF(K995="PETHICS",PR!$AY993,IF(K995="PHILIPS",PR!$AZ993,IF(K995="RANBAXY",PR!$BA993,IF(K995="REALS",PR!$BB993,IF(K995="ROYAL",PR!$BC993,IF(K995="SAM",PR!$BD993,IF(K995="SEAGREEN",PR!$BE993,IF(K995="SKG",PR!$BF993,IF(K995="TAH",PR!$BG993,IF(K995="TAYLEK",PR!$BH993,IF(K995="TEMITA",PR!$BI993,IF(K995="THL",PR!$BJ993,IF(K995="UBASTIC",PR!$BK993,IF(K995="UNION",PR!$BL993,IF(K995="UNIQUE",PR!$BM993,IF(K995="VIXA",PR!$BN993,IF(K995="WWCV",PR!$BO993,IF(K995="ZOLON",PR!$BP993,"-")))))))))))))))))))))))))))))))))))))))))))))))))))))))))))))))))</f>
        <v>4000</v>
      </c>
    </row>
    <row r="996" spans="1:12" ht="18.75" x14ac:dyDescent="0.3">
      <c r="A996" s="430">
        <f>PR!A994</f>
        <v>898</v>
      </c>
      <c r="B996" s="15" t="str">
        <f>PR!B994</f>
        <v>FERRIC ACID</v>
      </c>
      <c r="C996" s="113" t="str">
        <f>PR!D994</f>
        <v>500mls</v>
      </c>
      <c r="D996" s="113">
        <f>PR!C994</f>
        <v>2</v>
      </c>
      <c r="E996" s="108">
        <f>IF(F996="ALPHA",PR!$E994,IF(F996="ASSENE",PR!$F994,IF(F996="BIOFEM",PR!$G994,IF(F996="BIOMED",PR!$H994,IF(F996="CHI",PR!$I994,IF(F996="CLARION",PR!$J994,IF(F996="CODIX",PR!$K994,IF(F996="COSMADE",PR!$L994,IF(F996="SANCON",PR!$M994,IF(F996="DEVON",PR!$N994,IF(F996="DORTEMAG",PR!$O994,IF(F996="DGF",PR!$P994,IF(F996="DYNAMIC",PR!$Q994,IF(F996="EMZOR",PR!$R994,IF(F996="EUMATT",PR!$S994,IF(F996="FIDSON",PR!$T994,IF(F996="FCGLOBAL",PR!$U994,IF(F996="GENEITH",PR!$V994,IF(F996="GINOS",PR!$W994,IF(F996="GSK",PR!$X994,IF(F996="GLOBORG",PR!$Y994,IF(F996="GOODNEWS",PR!$Z994,IF(F996="GREENLIFE",PR!$AA994,IF(F996="HLINE",PR!$AB994,IF(F996="ROTECH",PR!$AC994,IF(F996="ISN",PR!$AD994,IF(F996="JAWA",PR!$AE994,IF(F996="LAYO",PR!$AF994,IF(F996="LEADWAY",PR!$AG994,IF(F996="LHV",PR!$AH994,IF(F996="MANOLA",PR!$AI994,IF(F996="MARCSON",PR!$AJ994,IF(F996="M&amp;B",PR!$AK994,IF(F996="MTRUST",PR!$AL994,IF(F996="MWORLD",PR!$AM994,IF(F996="MEGA",PR!$AN994,IF(F996="MICRONOVA",PR!$AO994,IF(F996="MFLASH",PR!$AP994,IF(F996="MORISON",PR!$AQ994,IF(F996="NEMEL",PR!$AR994,IF(F996="NHP",PR!$AS994,IF(F996="NHC",PR!$AT994,IF(F996="OLEAF",PR!$AU994,IF(F996="OCULUS",PR!$AV994,IF(F996="PACIFIC",PR!$AW994,IF(F996="PHAMATEX",PR!$AX994,IF(F996="PETHICS",PR!$AY994,IF(F996="PHILIPS",PR!$AZ994,IF(F996="RANBAXY",PR!$BA994,IF(F996="REALS",PR!$BB994,IF(F996="ROYAL",PR!$BC994,IF(F996="SAM",PR!$BD994,IF(F996="SEAGREEN",PR!$BE994,IF(F996="SKG",PR!$BF994,IF(F996="TAH",PR!$BG994,IF(F996="TAYLEK",PR!$BH994,IF(F996="TEMITA",PR!$BI994,IF(F996="THL",PR!$BJ994,IF(F996="UBASTIC",PR!$BK994,IF(F996="UNION",PR!$BL994,IF(F996="UNIQUE",PR!$BM994,IF(F996="VIXA",PR!$BN994,IF(F996="WWCV",PR!$BO994,IF(F996="ZOLON",PR!$BP994,"-"))))))))))))))))))))))))))))))))))))))))))))))))))))))))))))))))</f>
        <v>4375</v>
      </c>
      <c r="F996" s="102" t="str">
        <f>EV!L1257</f>
        <v>DYNAMIC</v>
      </c>
      <c r="G996" s="108">
        <f>IF(H996="ALPHA",PR!$E994,IF(H996="ASSENE",PR!$F994,IF(H996="BIOFEM",PR!$G994,IF(H996="BIOMED",PR!$H994,IF(H996="CHI",PR!$I994,IF(H996="CLARION",PR!$J994,IF(H996="CODIX",PR!$K994,IF(H996="COSMADE",PR!$L994,IF(H996="SANCON",PR!$M994,IF(H996="DEVON",PR!$N994,IF(H996="DORTEMAG",PR!$O994,IF(H996="DGF",PR!$P994,IF(H996="DYNAMIC",PR!$Q994,IF(H996="EMZOR",PR!$R994,IF(H996="EUMATT",PR!$S994,IF(H996="FIDSON",PR!$T994,IF(H996="FCGLOBAL",PR!$U994,IF(H996="GENEITH",PR!$V994,IF(H996="GINOS",PR!$W994,IF(H996="GSK",PR!$X994,IF(H996="GLOBORG",PR!$Y994,IF(H996="GOODNEWS",PR!$Z994,IF(H996="GREENLIFE",PR!$AA994,IF(H996="HLINE",PR!$AB994,IF(H996="ROTECH",PR!$AC994,IF(H996="ISN",PR!$AD994,IF(H996="JAWA",PR!$AE994,IF(H996="LAYO",PR!$AF994,IF(H996="LEADWAY",PR!$AG994,IF(H996="LHV",PR!$AH994,IF(H996="MANOLA",PR!$AI994,IF(H996="MARCSON",PR!$AJ994,IF(H996="M&amp;B",PR!$AK994,IF(H996="MTRUST",PR!$AL994,IF(H996="MWORLD",PR!$AM994,IF(H996="MEGA",PR!$AN994,IF(H996="MICRONOVA",PR!$AO994,IF(H996="MFLASH",PR!$AP994,IF(H996="MORISON",PR!$AQ994,IF(H996="NEMEL",PR!$AR994,IF(H996="NHP",PR!$AS994,IF(H996="NHC",PR!$AT994,IF(H996="OLEAF",PR!$AU994,IF(H996="OCULUS",PR!$AV994,IF(H996="PACIFIC",PR!$AW994,IF(H996="PHAMATEX",PR!$AX994,IF(H996="PETHICS",PR!$AY994,IF(H996="PHILIPS",PR!$AZ994,IF(H996="RANBAXY",PR!$BA994,IF(H996="REALS",PR!$BB994,IF(H996="ROYAL",PR!$BC994,IF(H996="SAM",PR!$BD994,IF(H996="SEAGREEN",PR!$BE994,IF(H996="SKG",PR!$BF994,IF(H996="TAH",PR!$BG994,IF(H996="TAYLEK",PR!$BH994,IF(H996="TEMITA",PR!$BI994,IF(H996="THL",PR!$BJ994,IF(H996="UBASTIC",PR!$BK994,IF(H996="UNION",PR!$BL994,IF(H996="UNIQUE",PR!$BM994,IF(H996="VIXA",PR!$BN994,IF(H996="WWCV",PR!$BO994,IF(H996="ZOLON",PR!$BP994,"-"))))))))))))))))))))))))))))))))))))))))))))))))))))))))))))))))</f>
        <v>11500</v>
      </c>
      <c r="H996" s="102" t="str">
        <f>EV!M1257</f>
        <v>SANCON</v>
      </c>
      <c r="I996" s="108">
        <f>IF(J996="ALPHA",PR!$E994,IF(J996="ASSENE",PR!$F994,IF(J996="BIOFEM",PR!$G994,IF(J996="BIOMED",PR!$H994,IF(J996="CHI",PR!$I994,IF(J996="CLARION",PR!$J994,IF(J996="CODIX",PR!$K994,IF(J996="COSMADE",PR!$L994,IF(J996="SANCON",PR!$M994,IF(J996="DEVON",PR!$N994,IF(J996="DORTEMAG",PR!$O994,IF(J996="DGF",PR!$P994,IF(J996="DYNAMIC",PR!$Q994,IF(J996="EMZOR",PR!$R994,IF(J996="EUMATT",PR!$S994,IF(J996="FIDSON",PR!$T994,IF(J996="FCGLOBAL",PR!$U994,IF(J996="GENEITH",PR!$V994,IF(J996="GINOS",PR!$W994,IF(J996="GSK",PR!$X994,IF(J996="GLOBORG",PR!$Y994,IF(J996="GOODNEWS",PR!$Z994,IF(J996="GREENLIFE",PR!$AA994,IF(J996="HLINE",PR!$AB994,IF(J996="ROTECH",PR!$AC994,IF(J996="ISN",PR!$AD994,IF(J996="JAWA",PR!$AE994,IF(J996="LAYO",PR!$AF994,IF(J996="LEADWAY",PR!$AG994,IF(J996="LHV",PR!$AH994,IF(J996="MANOLA",PR!$AI994,IF(J996="MARCSON",PR!$AJ994,IF(J996="M&amp;B",PR!$AK994,IF(J996="MTRUST",PR!$AL994,IF(J996="MWORLD",PR!$AM994,IF(J996="MEGA",PR!$AN994,IF(J996="MICRONOVA",PR!$AO994,IF(J996="MFLASH",PR!$AP994,IF(J996="MORISON",PR!$AQ994,IF(J996="NEMEL",PR!$AR994,IF(J996="NHP",PR!$AS994,IF(J996="NHC",PR!$AT994,IF(J996="OLEAF",PR!$AU994,IF(J996="OCULUS",PR!$AV994,IF(J996="PACIFIC",PR!$AW994,IF(J996="PHAMATEX",PR!$AX994,IF(J996="PETHICS",PR!$AY994,IF(J996="PHILIPS",PR!$AZ994,IF(J996="RANBAXY",PR!$BA994,IF(J996="REALS",PR!$BB994,IF(J996="ROYAL",PR!$BC994,IF(J996="SAM",PR!$BD994,IF(J996="SEAGREEN",PR!$BE994,IF(J996="SKG",PR!$BF994,IF(J996="TAH",PR!$BG994,IF(J996="TAYLEK",PR!$BH994,IF(J996="TEMITA",PR!$BI994,IF(J996="THL",PR!$BJ994,IF(J996="UBASTIC",PR!$BK994,IF(J996="UNION",PR!$BL994,IF(J996="UNIQUE",PR!$BM994,IF(J996="VIXA",PR!$BN994,IF(J996="WWCV",PR!$BO994,IF(J996="ZOLON",PR!$BP994,"-"))))))))))))))))))))))))))))))))))))))))))))))))))))))))))))))))</f>
        <v>15000</v>
      </c>
      <c r="J996" s="102" t="str">
        <f>EV!N1257</f>
        <v>COSMADE</v>
      </c>
      <c r="K996" s="433" t="s">
        <v>626</v>
      </c>
      <c r="L996" s="183">
        <f>IF(K996&gt;0,IF(K996="ALPHA",PR!$E994,IF(K996="ASSENE",PR!$F994,IF(K996="BIOFEM",PR!$G994,IF(K996="BIOMED",PR!$H994,IF(K996="CHI",PR!$I994,IF(K996="CLARION",PR!$J994,IF(K996="CODIX",PR!$K994,IF(K996="COSMADE",PR!$L994,IF(K996="SANCON",PR!$M994,IF(K996="DEVON",PR!$N994,IF(K996="DORTEMAG",PR!$O994,IF(K996="DGF",PR!$P994,IF(K996="DYNAMIC",PR!$Q994,IF(K996="EMZOR",PR!$R994,IF(K996="EUMATT",PR!$S994,IF(K996="FIDSON",PR!$T994,IF(K996="FCGLOBAL",PR!$U994,IF(K996="GENEITH",PR!$V994,IF(K996="GINOS",PR!$W994,IF(K996="GSK",PR!$X994,IF(K996="GLOBORG",PR!$Y994,IF(K996="GOODNEWS",PR!$Z994,IF(K996="GREENLIFE",PR!$AA994,IF(K996="HLINE",PR!$AB994,IF(K996="ROTECH",PR!$AC994,IF(K996="ISN",PR!$AD994,IF(K996="JAWA",PR!$AE994,IF(K996="LAYO",PR!$AF994,IF(K996="LEADWAY",PR!$AG994,IF(K996="LHV",PR!$AH994,IF(K996="MANOLA",PR!$AI994,IF(K996="MARCSON",PR!$AJ994,IF(K996="M&amp;B",PR!$AK994,IF(K996="MTRUST",PR!$AL994,IF(K996="MWORLD",PR!$AM994,IF(K996="MEGA",PR!$AN994,IF(K996="MICRONOVA",PR!$AO994,IF(K996="MFLASH",PR!$AP994,IF(K996="MORISON",PR!$AQ994,IF(K996="NEMEL",PR!$AR994,IF(K996="NHP",PR!$AS994,IF(K996="NHC",PR!$AT994,IF(K996="OLEAF",PR!$AU994,IF(K996="OCULUS",PR!$AV994,IF(K996="PACIFIC",PR!$AW994,IF(K996="PHAMATEX",PR!$AX994,IF(K996="PETHICS",PR!$AY994,IF(K996="PHILIPS",PR!$AZ994,IF(K996="RANBAXY",PR!$BA994,IF(K996="REALS",PR!$BB994,IF(K996="ROYAL",PR!$BC994,IF(K996="SAM",PR!$BD994,IF(K996="SEAGREEN",PR!$BE994,IF(K996="SKG",PR!$BF994,IF(K996="TAH",PR!$BG994,IF(K996="TAYLEK",PR!$BH994,IF(K996="TEMITA",PR!$BI994,IF(K996="THL",PR!$BJ994,IF(K996="UBASTIC",PR!$BK994,IF(K996="UNION",PR!$BL994,IF(K996="UNIQUE",PR!$BM994,IF(K996="VIXA",PR!$BN994,IF(K996="WWCV",PR!$BO994,IF(K996="ZOLON",PR!$BP994,"-")))))))))))))))))))))))))))))))))))))))))))))))))))))))))))))))))</f>
        <v>4375</v>
      </c>
    </row>
    <row r="997" spans="1:12" ht="18.75" x14ac:dyDescent="0.3">
      <c r="A997" s="430">
        <f>PR!A995</f>
        <v>899</v>
      </c>
      <c r="B997" s="15" t="str">
        <f>PR!B995</f>
        <v>LIGHT GREEN ANITINE BLUE</v>
      </c>
      <c r="C997" s="113" t="str">
        <f>PR!D995</f>
        <v>25g</v>
      </c>
      <c r="D997" s="113">
        <f>PR!C995</f>
        <v>2</v>
      </c>
      <c r="E997" s="108">
        <f>IF(F997="ALPHA",PR!$E995,IF(F997="ASSENE",PR!$F995,IF(F997="BIOFEM",PR!$G995,IF(F997="BIOMED",PR!$H995,IF(F997="CHI",PR!$I995,IF(F997="CLARION",PR!$J995,IF(F997="CODIX",PR!$K995,IF(F997="COSMADE",PR!$L995,IF(F997="SANCON",PR!$M995,IF(F997="DEVON",PR!$N995,IF(F997="DORTEMAG",PR!$O995,IF(F997="DGF",PR!$P995,IF(F997="DYNAMIC",PR!$Q995,IF(F997="EMZOR",PR!$R995,IF(F997="EUMATT",PR!$S995,IF(F997="FIDSON",PR!$T995,IF(F997="FCGLOBAL",PR!$U995,IF(F997="GENEITH",PR!$V995,IF(F997="GINOS",PR!$W995,IF(F997="GSK",PR!$X995,IF(F997="GLOBORG",PR!$Y995,IF(F997="GOODNEWS",PR!$Z995,IF(F997="GREENLIFE",PR!$AA995,IF(F997="HLINE",PR!$AB995,IF(F997="ROTECH",PR!$AC995,IF(F997="ISN",PR!$AD995,IF(F997="JAWA",PR!$AE995,IF(F997="LAYO",PR!$AF995,IF(F997="LEADWAY",PR!$AG995,IF(F997="LHV",PR!$AH995,IF(F997="MANOLA",PR!$AI995,IF(F997="MARCSON",PR!$AJ995,IF(F997="M&amp;B",PR!$AK995,IF(F997="MTRUST",PR!$AL995,IF(F997="MWORLD",PR!$AM995,IF(F997="MEGA",PR!$AN995,IF(F997="MICRONOVA",PR!$AO995,IF(F997="MFLASH",PR!$AP995,IF(F997="MORISON",PR!$AQ995,IF(F997="NEMEL",PR!$AR995,IF(F997="NHP",PR!$AS995,IF(F997="NHC",PR!$AT995,IF(F997="OLEAF",PR!$AU995,IF(F997="OCULUS",PR!$AV995,IF(F997="PACIFIC",PR!$AW995,IF(F997="PHAMATEX",PR!$AX995,IF(F997="PETHICS",PR!$AY995,IF(F997="PHILIPS",PR!$AZ995,IF(F997="RANBAXY",PR!$BA995,IF(F997="REALS",PR!$BB995,IF(F997="ROYAL",PR!$BC995,IF(F997="SAM",PR!$BD995,IF(F997="SEAGREEN",PR!$BE995,IF(F997="SKG",PR!$BF995,IF(F997="TAH",PR!$BG995,IF(F997="TAYLEK",PR!$BH995,IF(F997="TEMITA",PR!$BI995,IF(F997="THL",PR!$BJ995,IF(F997="UBASTIC",PR!$BK995,IF(F997="UNION",PR!$BL995,IF(F997="UNIQUE",PR!$BM995,IF(F997="VIXA",PR!$BN995,IF(F997="WWCV",PR!$BO995,IF(F997="ZOLON",PR!$BP995,"-"))))))))))))))))))))))))))))))))))))))))))))))))))))))))))))))))</f>
        <v>7000</v>
      </c>
      <c r="F997" s="102" t="str">
        <f>EV!L1258</f>
        <v>TEMITA</v>
      </c>
      <c r="G997" s="108">
        <f>IF(H997="ALPHA",PR!$E995,IF(H997="ASSENE",PR!$F995,IF(H997="BIOFEM",PR!$G995,IF(H997="BIOMED",PR!$H995,IF(H997="CHI",PR!$I995,IF(H997="CLARION",PR!$J995,IF(H997="CODIX",PR!$K995,IF(H997="COSMADE",PR!$L995,IF(H997="SANCON",PR!$M995,IF(H997="DEVON",PR!$N995,IF(H997="DORTEMAG",PR!$O995,IF(H997="DGF",PR!$P995,IF(H997="DYNAMIC",PR!$Q995,IF(H997="EMZOR",PR!$R995,IF(H997="EUMATT",PR!$S995,IF(H997="FIDSON",PR!$T995,IF(H997="FCGLOBAL",PR!$U995,IF(H997="GENEITH",PR!$V995,IF(H997="GINOS",PR!$W995,IF(H997="GSK",PR!$X995,IF(H997="GLOBORG",PR!$Y995,IF(H997="GOODNEWS",PR!$Z995,IF(H997="GREENLIFE",PR!$AA995,IF(H997="HLINE",PR!$AB995,IF(H997="ROTECH",PR!$AC995,IF(H997="ISN",PR!$AD995,IF(H997="JAWA",PR!$AE995,IF(H997="LAYO",PR!$AF995,IF(H997="LEADWAY",PR!$AG995,IF(H997="LHV",PR!$AH995,IF(H997="MANOLA",PR!$AI995,IF(H997="MARCSON",PR!$AJ995,IF(H997="M&amp;B",PR!$AK995,IF(H997="MTRUST",PR!$AL995,IF(H997="MWORLD",PR!$AM995,IF(H997="MEGA",PR!$AN995,IF(H997="MICRONOVA",PR!$AO995,IF(H997="MFLASH",PR!$AP995,IF(H997="MORISON",PR!$AQ995,IF(H997="NEMEL",PR!$AR995,IF(H997="NHP",PR!$AS995,IF(H997="NHC",PR!$AT995,IF(H997="OLEAF",PR!$AU995,IF(H997="OCULUS",PR!$AV995,IF(H997="PACIFIC",PR!$AW995,IF(H997="PHAMATEX",PR!$AX995,IF(H997="PETHICS",PR!$AY995,IF(H997="PHILIPS",PR!$AZ995,IF(H997="RANBAXY",PR!$BA995,IF(H997="REALS",PR!$BB995,IF(H997="ROYAL",PR!$BC995,IF(H997="SAM",PR!$BD995,IF(H997="SEAGREEN",PR!$BE995,IF(H997="SKG",PR!$BF995,IF(H997="TAH",PR!$BG995,IF(H997="TAYLEK",PR!$BH995,IF(H997="TEMITA",PR!$BI995,IF(H997="THL",PR!$BJ995,IF(H997="UBASTIC",PR!$BK995,IF(H997="UNION",PR!$BL995,IF(H997="UNIQUE",PR!$BM995,IF(H997="VIXA",PR!$BN995,IF(H997="WWCV",PR!$BO995,IF(H997="ZOLON",PR!$BP995,"-"))))))))))))))))))))))))))))))))))))))))))))))))))))))))))))))))</f>
        <v>7500</v>
      </c>
      <c r="H997" s="102" t="str">
        <f>EV!M1258</f>
        <v>DYNAMIC</v>
      </c>
      <c r="I997" s="108">
        <f>IF(J997="ALPHA",PR!$E995,IF(J997="ASSENE",PR!$F995,IF(J997="BIOFEM",PR!$G995,IF(J997="BIOMED",PR!$H995,IF(J997="CHI",PR!$I995,IF(J997="CLARION",PR!$J995,IF(J997="CODIX",PR!$K995,IF(J997="COSMADE",PR!$L995,IF(J997="SANCON",PR!$M995,IF(J997="DEVON",PR!$N995,IF(J997="DORTEMAG",PR!$O995,IF(J997="DGF",PR!$P995,IF(J997="DYNAMIC",PR!$Q995,IF(J997="EMZOR",PR!$R995,IF(J997="EUMATT",PR!$S995,IF(J997="FIDSON",PR!$T995,IF(J997="FCGLOBAL",PR!$U995,IF(J997="GENEITH",PR!$V995,IF(J997="GINOS",PR!$W995,IF(J997="GSK",PR!$X995,IF(J997="GLOBORG",PR!$Y995,IF(J997="GOODNEWS",PR!$Z995,IF(J997="GREENLIFE",PR!$AA995,IF(J997="HLINE",PR!$AB995,IF(J997="ROTECH",PR!$AC995,IF(J997="ISN",PR!$AD995,IF(J997="JAWA",PR!$AE995,IF(J997="LAYO",PR!$AF995,IF(J997="LEADWAY",PR!$AG995,IF(J997="LHV",PR!$AH995,IF(J997="MANOLA",PR!$AI995,IF(J997="MARCSON",PR!$AJ995,IF(J997="M&amp;B",PR!$AK995,IF(J997="MTRUST",PR!$AL995,IF(J997="MWORLD",PR!$AM995,IF(J997="MEGA",PR!$AN995,IF(J997="MICRONOVA",PR!$AO995,IF(J997="MFLASH",PR!$AP995,IF(J997="MORISON",PR!$AQ995,IF(J997="NEMEL",PR!$AR995,IF(J997="NHP",PR!$AS995,IF(J997="NHC",PR!$AT995,IF(J997="OLEAF",PR!$AU995,IF(J997="OCULUS",PR!$AV995,IF(J997="PACIFIC",PR!$AW995,IF(J997="PHAMATEX",PR!$AX995,IF(J997="PETHICS",PR!$AY995,IF(J997="PHILIPS",PR!$AZ995,IF(J997="RANBAXY",PR!$BA995,IF(J997="REALS",PR!$BB995,IF(J997="ROYAL",PR!$BC995,IF(J997="SAM",PR!$BD995,IF(J997="SEAGREEN",PR!$BE995,IF(J997="SKG",PR!$BF995,IF(J997="TAH",PR!$BG995,IF(J997="TAYLEK",PR!$BH995,IF(J997="TEMITA",PR!$BI995,IF(J997="THL",PR!$BJ995,IF(J997="UBASTIC",PR!$BK995,IF(J997="UNION",PR!$BL995,IF(J997="UNIQUE",PR!$BM995,IF(J997="VIXA",PR!$BN995,IF(J997="WWCV",PR!$BO995,IF(J997="ZOLON",PR!$BP995,"-"))))))))))))))))))))))))))))))))))))))))))))))))))))))))))))))))</f>
        <v>15000</v>
      </c>
      <c r="J997" s="102" t="str">
        <f>EV!N1258</f>
        <v>COSMADE</v>
      </c>
      <c r="K997" s="433" t="s">
        <v>1463</v>
      </c>
      <c r="L997" s="183">
        <f>IF(K997&gt;0,IF(K997="ALPHA",PR!$E995,IF(K997="ASSENE",PR!$F995,IF(K997="BIOFEM",PR!$G995,IF(K997="BIOMED",PR!$H995,IF(K997="CHI",PR!$I995,IF(K997="CLARION",PR!$J995,IF(K997="CODIX",PR!$K995,IF(K997="COSMADE",PR!$L995,IF(K997="SANCON",PR!$M995,IF(K997="DEVON",PR!$N995,IF(K997="DORTEMAG",PR!$O995,IF(K997="DGF",PR!$P995,IF(K997="DYNAMIC",PR!$Q995,IF(K997="EMZOR",PR!$R995,IF(K997="EUMATT",PR!$S995,IF(K997="FIDSON",PR!$T995,IF(K997="FCGLOBAL",PR!$U995,IF(K997="GENEITH",PR!$V995,IF(K997="GINOS",PR!$W995,IF(K997="GSK",PR!$X995,IF(K997="GLOBORG",PR!$Y995,IF(K997="GOODNEWS",PR!$Z995,IF(K997="GREENLIFE",PR!$AA995,IF(K997="HLINE",PR!$AB995,IF(K997="ROTECH",PR!$AC995,IF(K997="ISN",PR!$AD995,IF(K997="JAWA",PR!$AE995,IF(K997="LAYO",PR!$AF995,IF(K997="LEADWAY",PR!$AG995,IF(K997="LHV",PR!$AH995,IF(K997="MANOLA",PR!$AI995,IF(K997="MARCSON",PR!$AJ995,IF(K997="M&amp;B",PR!$AK995,IF(K997="MTRUST",PR!$AL995,IF(K997="MWORLD",PR!$AM995,IF(K997="MEGA",PR!$AN995,IF(K997="MICRONOVA",PR!$AO995,IF(K997="MFLASH",PR!$AP995,IF(K997="MORISON",PR!$AQ995,IF(K997="NEMEL",PR!$AR995,IF(K997="NHP",PR!$AS995,IF(K997="NHC",PR!$AT995,IF(K997="OLEAF",PR!$AU995,IF(K997="OCULUS",PR!$AV995,IF(K997="PACIFIC",PR!$AW995,IF(K997="PHAMATEX",PR!$AX995,IF(K997="PETHICS",PR!$AY995,IF(K997="PHILIPS",PR!$AZ995,IF(K997="RANBAXY",PR!$BA995,IF(K997="REALS",PR!$BB995,IF(K997="ROYAL",PR!$BC995,IF(K997="SAM",PR!$BD995,IF(K997="SEAGREEN",PR!$BE995,IF(K997="SKG",PR!$BF995,IF(K997="TAH",PR!$BG995,IF(K997="TAYLEK",PR!$BH995,IF(K997="TEMITA",PR!$BI995,IF(K997="THL",PR!$BJ995,IF(K997="UBASTIC",PR!$BK995,IF(K997="UNION",PR!$BL995,IF(K997="UNIQUE",PR!$BM995,IF(K997="VIXA",PR!$BN995,IF(K997="WWCV",PR!$BO995,IF(K997="ZOLON",PR!$BP995,"-")))))))))))))))))))))))))))))))))))))))))))))))))))))))))))))))))</f>
        <v>7000</v>
      </c>
    </row>
    <row r="998" spans="1:12" ht="18.75" x14ac:dyDescent="0.3">
      <c r="A998" s="430">
        <f>PR!A996</f>
        <v>900</v>
      </c>
      <c r="B998" s="15" t="str">
        <f>PR!B996</f>
        <v>HEAMATOXYLIN</v>
      </c>
      <c r="C998" s="113" t="str">
        <f>PR!D996</f>
        <v>25g</v>
      </c>
      <c r="D998" s="113">
        <f>PR!C996</f>
        <v>5</v>
      </c>
      <c r="E998" s="108">
        <f>IF(F998="ALPHA",PR!$E996,IF(F998="ASSENE",PR!$F996,IF(F998="BIOFEM",PR!$G996,IF(F998="BIOMED",PR!$H996,IF(F998="CHI",PR!$I996,IF(F998="CLARION",PR!$J996,IF(F998="CODIX",PR!$K996,IF(F998="COSMADE",PR!$L996,IF(F998="SANCON",PR!$M996,IF(F998="DEVON",PR!$N996,IF(F998="DORTEMAG",PR!$O996,IF(F998="DGF",PR!$P996,IF(F998="DYNAMIC",PR!$Q996,IF(F998="EMZOR",PR!$R996,IF(F998="EUMATT",PR!$S996,IF(F998="FIDSON",PR!$T996,IF(F998="FCGLOBAL",PR!$U996,IF(F998="GENEITH",PR!$V996,IF(F998="GINOS",PR!$W996,IF(F998="GSK",PR!$X996,IF(F998="GLOBORG",PR!$Y996,IF(F998="GOODNEWS",PR!$Z996,IF(F998="GREENLIFE",PR!$AA996,IF(F998="HLINE",PR!$AB996,IF(F998="ROTECH",PR!$AC996,IF(F998="ISN",PR!$AD996,IF(F998="JAWA",PR!$AE996,IF(F998="LAYO",PR!$AF996,IF(F998="LEADWAY",PR!$AG996,IF(F998="LHV",PR!$AH996,IF(F998="MANOLA",PR!$AI996,IF(F998="MARCSON",PR!$AJ996,IF(F998="M&amp;B",PR!$AK996,IF(F998="MTRUST",PR!$AL996,IF(F998="MWORLD",PR!$AM996,IF(F998="MEGA",PR!$AN996,IF(F998="MICRONOVA",PR!$AO996,IF(F998="MFLASH",PR!$AP996,IF(F998="MORISON",PR!$AQ996,IF(F998="NEMEL",PR!$AR996,IF(F998="NHP",PR!$AS996,IF(F998="NHC",PR!$AT996,IF(F998="OLEAF",PR!$AU996,IF(F998="OCULUS",PR!$AV996,IF(F998="PACIFIC",PR!$AW996,IF(F998="PHAMATEX",PR!$AX996,IF(F998="PETHICS",PR!$AY996,IF(F998="PHILIPS",PR!$AZ996,IF(F998="RANBAXY",PR!$BA996,IF(F998="REALS",PR!$BB996,IF(F998="ROYAL",PR!$BC996,IF(F998="SAM",PR!$BD996,IF(F998="SEAGREEN",PR!$BE996,IF(F998="SKG",PR!$BF996,IF(F998="TAH",PR!$BG996,IF(F998="TAYLEK",PR!$BH996,IF(F998="TEMITA",PR!$BI996,IF(F998="THL",PR!$BJ996,IF(F998="UBASTIC",PR!$BK996,IF(F998="UNION",PR!$BL996,IF(F998="UNIQUE",PR!$BM996,IF(F998="VIXA",PR!$BN996,IF(F998="WWCV",PR!$BO996,IF(F998="ZOLON",PR!$BP996,"-"))))))))))))))))))))))))))))))))))))))))))))))))))))))))))))))))</f>
        <v>15000</v>
      </c>
      <c r="F998" s="102" t="str">
        <f>EV!L1259</f>
        <v>DYNAMIC</v>
      </c>
      <c r="G998" s="108">
        <f>IF(H998="ALPHA",PR!$E996,IF(H998="ASSENE",PR!$F996,IF(H998="BIOFEM",PR!$G996,IF(H998="BIOMED",PR!$H996,IF(H998="CHI",PR!$I996,IF(H998="CLARION",PR!$J996,IF(H998="CODIX",PR!$K996,IF(H998="COSMADE",PR!$L996,IF(H998="SANCON",PR!$M996,IF(H998="DEVON",PR!$N996,IF(H998="DORTEMAG",PR!$O996,IF(H998="DGF",PR!$P996,IF(H998="DYNAMIC",PR!$Q996,IF(H998="EMZOR",PR!$R996,IF(H998="EUMATT",PR!$S996,IF(H998="FIDSON",PR!$T996,IF(H998="FCGLOBAL",PR!$U996,IF(H998="GENEITH",PR!$V996,IF(H998="GINOS",PR!$W996,IF(H998="GSK",PR!$X996,IF(H998="GLOBORG",PR!$Y996,IF(H998="GOODNEWS",PR!$Z996,IF(H998="GREENLIFE",PR!$AA996,IF(H998="HLINE",PR!$AB996,IF(H998="ROTECH",PR!$AC996,IF(H998="ISN",PR!$AD996,IF(H998="JAWA",PR!$AE996,IF(H998="LAYO",PR!$AF996,IF(H998="LEADWAY",PR!$AG996,IF(H998="LHV",PR!$AH996,IF(H998="MANOLA",PR!$AI996,IF(H998="MARCSON",PR!$AJ996,IF(H998="M&amp;B",PR!$AK996,IF(H998="MTRUST",PR!$AL996,IF(H998="MWORLD",PR!$AM996,IF(H998="MEGA",PR!$AN996,IF(H998="MICRONOVA",PR!$AO996,IF(H998="MFLASH",PR!$AP996,IF(H998="MORISON",PR!$AQ996,IF(H998="NEMEL",PR!$AR996,IF(H998="NHP",PR!$AS996,IF(H998="NHC",PR!$AT996,IF(H998="OLEAF",PR!$AU996,IF(H998="OCULUS",PR!$AV996,IF(H998="PACIFIC",PR!$AW996,IF(H998="PHAMATEX",PR!$AX996,IF(H998="PETHICS",PR!$AY996,IF(H998="PHILIPS",PR!$AZ996,IF(H998="RANBAXY",PR!$BA996,IF(H998="REALS",PR!$BB996,IF(H998="ROYAL",PR!$BC996,IF(H998="SAM",PR!$BD996,IF(H998="SEAGREEN",PR!$BE996,IF(H998="SKG",PR!$BF996,IF(H998="TAH",PR!$BG996,IF(H998="TAYLEK",PR!$BH996,IF(H998="TEMITA",PR!$BI996,IF(H998="THL",PR!$BJ996,IF(H998="UBASTIC",PR!$BK996,IF(H998="UNION",PR!$BL996,IF(H998="UNIQUE",PR!$BM996,IF(H998="VIXA",PR!$BN996,IF(H998="WWCV",PR!$BO996,IF(H998="ZOLON",PR!$BP996,"-"))))))))))))))))))))))))))))))))))))))))))))))))))))))))))))))))</f>
        <v>15000</v>
      </c>
      <c r="H998" s="102" t="str">
        <f>EV!M1259</f>
        <v>COSMADE</v>
      </c>
      <c r="I998" s="108">
        <f>IF(J998="ALPHA",PR!$E996,IF(J998="ASSENE",PR!$F996,IF(J998="BIOFEM",PR!$G996,IF(J998="BIOMED",PR!$H996,IF(J998="CHI",PR!$I996,IF(J998="CLARION",PR!$J996,IF(J998="CODIX",PR!$K996,IF(J998="COSMADE",PR!$L996,IF(J998="SANCON",PR!$M996,IF(J998="DEVON",PR!$N996,IF(J998="DORTEMAG",PR!$O996,IF(J998="DGF",PR!$P996,IF(J998="DYNAMIC",PR!$Q996,IF(J998="EMZOR",PR!$R996,IF(J998="EUMATT",PR!$S996,IF(J998="FIDSON",PR!$T996,IF(J998="FCGLOBAL",PR!$U996,IF(J998="GENEITH",PR!$V996,IF(J998="GINOS",PR!$W996,IF(J998="GSK",PR!$X996,IF(J998="GLOBORG",PR!$Y996,IF(J998="GOODNEWS",PR!$Z996,IF(J998="GREENLIFE",PR!$AA996,IF(J998="HLINE",PR!$AB996,IF(J998="ROTECH",PR!$AC996,IF(J998="ISN",PR!$AD996,IF(J998="JAWA",PR!$AE996,IF(J998="LAYO",PR!$AF996,IF(J998="LEADWAY",PR!$AG996,IF(J998="LHV",PR!$AH996,IF(J998="MANOLA",PR!$AI996,IF(J998="MARCSON",PR!$AJ996,IF(J998="M&amp;B",PR!$AK996,IF(J998="MTRUST",PR!$AL996,IF(J998="MWORLD",PR!$AM996,IF(J998="MEGA",PR!$AN996,IF(J998="MICRONOVA",PR!$AO996,IF(J998="MFLASH",PR!$AP996,IF(J998="MORISON",PR!$AQ996,IF(J998="NEMEL",PR!$AR996,IF(J998="NHP",PR!$AS996,IF(J998="NHC",PR!$AT996,IF(J998="OLEAF",PR!$AU996,IF(J998="OCULUS",PR!$AV996,IF(J998="PACIFIC",PR!$AW996,IF(J998="PHAMATEX",PR!$AX996,IF(J998="PETHICS",PR!$AY996,IF(J998="PHILIPS",PR!$AZ996,IF(J998="RANBAXY",PR!$BA996,IF(J998="REALS",PR!$BB996,IF(J998="ROYAL",PR!$BC996,IF(J998="SAM",PR!$BD996,IF(J998="SEAGREEN",PR!$BE996,IF(J998="SKG",PR!$BF996,IF(J998="TAH",PR!$BG996,IF(J998="TAYLEK",PR!$BH996,IF(J998="TEMITA",PR!$BI996,IF(J998="THL",PR!$BJ996,IF(J998="UBASTIC",PR!$BK996,IF(J998="UNION",PR!$BL996,IF(J998="UNIQUE",PR!$BM996,IF(J998="VIXA",PR!$BN996,IF(J998="WWCV",PR!$BO996,IF(J998="ZOLON",PR!$BP996,"-"))))))))))))))))))))))))))))))))))))))))))))))))))))))))))))))))</f>
        <v>23400</v>
      </c>
      <c r="J998" s="102" t="str">
        <f>EV!N1259</f>
        <v>LAYO</v>
      </c>
      <c r="K998" s="433" t="s">
        <v>626</v>
      </c>
      <c r="L998" s="183">
        <f>IF(K998&gt;0,IF(K998="ALPHA",PR!$E996,IF(K998="ASSENE",PR!$F996,IF(K998="BIOFEM",PR!$G996,IF(K998="BIOMED",PR!$H996,IF(K998="CHI",PR!$I996,IF(K998="CLARION",PR!$J996,IF(K998="CODIX",PR!$K996,IF(K998="COSMADE",PR!$L996,IF(K998="SANCON",PR!$M996,IF(K998="DEVON",PR!$N996,IF(K998="DORTEMAG",PR!$O996,IF(K998="DGF",PR!$P996,IF(K998="DYNAMIC",PR!$Q996,IF(K998="EMZOR",PR!$R996,IF(K998="EUMATT",PR!$S996,IF(K998="FIDSON",PR!$T996,IF(K998="FCGLOBAL",PR!$U996,IF(K998="GENEITH",PR!$V996,IF(K998="GINOS",PR!$W996,IF(K998="GSK",PR!$X996,IF(K998="GLOBORG",PR!$Y996,IF(K998="GOODNEWS",PR!$Z996,IF(K998="GREENLIFE",PR!$AA996,IF(K998="HLINE",PR!$AB996,IF(K998="ROTECH",PR!$AC996,IF(K998="ISN",PR!$AD996,IF(K998="JAWA",PR!$AE996,IF(K998="LAYO",PR!$AF996,IF(K998="LEADWAY",PR!$AG996,IF(K998="LHV",PR!$AH996,IF(K998="MANOLA",PR!$AI996,IF(K998="MARCSON",PR!$AJ996,IF(K998="M&amp;B",PR!$AK996,IF(K998="MTRUST",PR!$AL996,IF(K998="MWORLD",PR!$AM996,IF(K998="MEGA",PR!$AN996,IF(K998="MICRONOVA",PR!$AO996,IF(K998="MFLASH",PR!$AP996,IF(K998="MORISON",PR!$AQ996,IF(K998="NEMEL",PR!$AR996,IF(K998="NHP",PR!$AS996,IF(K998="NHC",PR!$AT996,IF(K998="OLEAF",PR!$AU996,IF(K998="OCULUS",PR!$AV996,IF(K998="PACIFIC",PR!$AW996,IF(K998="PHAMATEX",PR!$AX996,IF(K998="PETHICS",PR!$AY996,IF(K998="PHILIPS",PR!$AZ996,IF(K998="RANBAXY",PR!$BA996,IF(K998="REALS",PR!$BB996,IF(K998="ROYAL",PR!$BC996,IF(K998="SAM",PR!$BD996,IF(K998="SEAGREEN",PR!$BE996,IF(K998="SKG",PR!$BF996,IF(K998="TAH",PR!$BG996,IF(K998="TAYLEK",PR!$BH996,IF(K998="TEMITA",PR!$BI996,IF(K998="THL",PR!$BJ996,IF(K998="UBASTIC",PR!$BK996,IF(K998="UNION",PR!$BL996,IF(K998="UNIQUE",PR!$BM996,IF(K998="VIXA",PR!$BN996,IF(K998="WWCV",PR!$BO996,IF(K998="ZOLON",PR!$BP996,"-")))))))))))))))))))))))))))))))))))))))))))))))))))))))))))))))))</f>
        <v>15000</v>
      </c>
    </row>
    <row r="999" spans="1:12" ht="18.75" x14ac:dyDescent="0.3">
      <c r="A999" s="430">
        <f>PR!A997</f>
        <v>901</v>
      </c>
      <c r="B999" s="15" t="str">
        <f>PR!B997</f>
        <v xml:space="preserve">EOSIN  </v>
      </c>
      <c r="C999" s="113" t="str">
        <f>PR!D997</f>
        <v>25g</v>
      </c>
      <c r="D999" s="113">
        <f>PR!C997</f>
        <v>5</v>
      </c>
      <c r="E999" s="108">
        <f>IF(F999="ALPHA",PR!$E997,IF(F999="ASSENE",PR!$F997,IF(F999="BIOFEM",PR!$G997,IF(F999="BIOMED",PR!$H997,IF(F999="CHI",PR!$I997,IF(F999="CLARION",PR!$J997,IF(F999="CODIX",PR!$K997,IF(F999="COSMADE",PR!$L997,IF(F999="SANCON",PR!$M997,IF(F999="DEVON",PR!$N997,IF(F999="DORTEMAG",PR!$O997,IF(F999="DGF",PR!$P997,IF(F999="DYNAMIC",PR!$Q997,IF(F999="EMZOR",PR!$R997,IF(F999="EUMATT",PR!$S997,IF(F999="FIDSON",PR!$T997,IF(F999="FCGLOBAL",PR!$U997,IF(F999="GENEITH",PR!$V997,IF(F999="GINOS",PR!$W997,IF(F999="GSK",PR!$X997,IF(F999="GLOBORG",PR!$Y997,IF(F999="GOODNEWS",PR!$Z997,IF(F999="GREENLIFE",PR!$AA997,IF(F999="HLINE",PR!$AB997,IF(F999="ROTECH",PR!$AC997,IF(F999="ISN",PR!$AD997,IF(F999="JAWA",PR!$AE997,IF(F999="LAYO",PR!$AF997,IF(F999="LEADWAY",PR!$AG997,IF(F999="LHV",PR!$AH997,IF(F999="MANOLA",PR!$AI997,IF(F999="MARCSON",PR!$AJ997,IF(F999="M&amp;B",PR!$AK997,IF(F999="MTRUST",PR!$AL997,IF(F999="MWORLD",PR!$AM997,IF(F999="MEGA",PR!$AN997,IF(F999="MICRONOVA",PR!$AO997,IF(F999="MFLASH",PR!$AP997,IF(F999="MORISON",PR!$AQ997,IF(F999="NEMEL",PR!$AR997,IF(F999="NHP",PR!$AS997,IF(F999="NHC",PR!$AT997,IF(F999="OLEAF",PR!$AU997,IF(F999="OCULUS",PR!$AV997,IF(F999="PACIFIC",PR!$AW997,IF(F999="PHAMATEX",PR!$AX997,IF(F999="PETHICS",PR!$AY997,IF(F999="PHILIPS",PR!$AZ997,IF(F999="RANBAXY",PR!$BA997,IF(F999="REALS",PR!$BB997,IF(F999="ROYAL",PR!$BC997,IF(F999="SAM",PR!$BD997,IF(F999="SEAGREEN",PR!$BE997,IF(F999="SKG",PR!$BF997,IF(F999="TAH",PR!$BG997,IF(F999="TAYLEK",PR!$BH997,IF(F999="TEMITA",PR!$BI997,IF(F999="THL",PR!$BJ997,IF(F999="UBASTIC",PR!$BK997,IF(F999="UNION",PR!$BL997,IF(F999="UNIQUE",PR!$BM997,IF(F999="VIXA",PR!$BN997,IF(F999="WWCV",PR!$BO997,IF(F999="ZOLON",PR!$BP997,"-"))))))))))))))))))))))))))))))))))))))))))))))))))))))))))))))))</f>
        <v>3125</v>
      </c>
      <c r="F999" s="102" t="str">
        <f>EV!L1285</f>
        <v>DYNAMIC</v>
      </c>
      <c r="G999" s="108">
        <f>IF(H999="ALPHA",PR!$E997,IF(H999="ASSENE",PR!$F997,IF(H999="BIOFEM",PR!$G997,IF(H999="BIOMED",PR!$H997,IF(H999="CHI",PR!$I997,IF(H999="CLARION",PR!$J997,IF(H999="CODIX",PR!$K997,IF(H999="COSMADE",PR!$L997,IF(H999="SANCON",PR!$M997,IF(H999="DEVON",PR!$N997,IF(H999="DORTEMAG",PR!$O997,IF(H999="DGF",PR!$P997,IF(H999="DYNAMIC",PR!$Q997,IF(H999="EMZOR",PR!$R997,IF(H999="EUMATT",PR!$S997,IF(H999="FIDSON",PR!$T997,IF(H999="FCGLOBAL",PR!$U997,IF(H999="GENEITH",PR!$V997,IF(H999="GINOS",PR!$W997,IF(H999="GSK",PR!$X997,IF(H999="GLOBORG",PR!$Y997,IF(H999="GOODNEWS",PR!$Z997,IF(H999="GREENLIFE",PR!$AA997,IF(H999="HLINE",PR!$AB997,IF(H999="ROTECH",PR!$AC997,IF(H999="ISN",PR!$AD997,IF(H999="JAWA",PR!$AE997,IF(H999="LAYO",PR!$AF997,IF(H999="LEADWAY",PR!$AG997,IF(H999="LHV",PR!$AH997,IF(H999="MANOLA",PR!$AI997,IF(H999="MARCSON",PR!$AJ997,IF(H999="M&amp;B",PR!$AK997,IF(H999="MTRUST",PR!$AL997,IF(H999="MWORLD",PR!$AM997,IF(H999="MEGA",PR!$AN997,IF(H999="MICRONOVA",PR!$AO997,IF(H999="MFLASH",PR!$AP997,IF(H999="MORISON",PR!$AQ997,IF(H999="NEMEL",PR!$AR997,IF(H999="NHP",PR!$AS997,IF(H999="NHC",PR!$AT997,IF(H999="OLEAF",PR!$AU997,IF(H999="OCULUS",PR!$AV997,IF(H999="PACIFIC",PR!$AW997,IF(H999="PHAMATEX",PR!$AX997,IF(H999="PETHICS",PR!$AY997,IF(H999="PHILIPS",PR!$AZ997,IF(H999="RANBAXY",PR!$BA997,IF(H999="REALS",PR!$BB997,IF(H999="ROYAL",PR!$BC997,IF(H999="SAM",PR!$BD997,IF(H999="SEAGREEN",PR!$BE997,IF(H999="SKG",PR!$BF997,IF(H999="TAH",PR!$BG997,IF(H999="TAYLEK",PR!$BH997,IF(H999="TEMITA",PR!$BI997,IF(H999="THL",PR!$BJ997,IF(H999="UBASTIC",PR!$BK997,IF(H999="UNION",PR!$BL997,IF(H999="UNIQUE",PR!$BM997,IF(H999="VIXA",PR!$BN997,IF(H999="WWCV",PR!$BO997,IF(H999="ZOLON",PR!$BP997,"-"))))))))))))))))))))))))))))))))))))))))))))))))))))))))))))))))</f>
        <v>3200</v>
      </c>
      <c r="H999" s="102" t="str">
        <f>EV!M1285</f>
        <v>TEMITA</v>
      </c>
      <c r="I999" s="108">
        <f>IF(J999="ALPHA",PR!$E997,IF(J999="ASSENE",PR!$F997,IF(J999="BIOFEM",PR!$G997,IF(J999="BIOMED",PR!$H997,IF(J999="CHI",PR!$I997,IF(J999="CLARION",PR!$J997,IF(J999="CODIX",PR!$K997,IF(J999="COSMADE",PR!$L997,IF(J999="SANCON",PR!$M997,IF(J999="DEVON",PR!$N997,IF(J999="DORTEMAG",PR!$O997,IF(J999="DGF",PR!$P997,IF(J999="DYNAMIC",PR!$Q997,IF(J999="EMZOR",PR!$R997,IF(J999="EUMATT",PR!$S997,IF(J999="FIDSON",PR!$T997,IF(J999="FCGLOBAL",PR!$U997,IF(J999="GENEITH",PR!$V997,IF(J999="GINOS",PR!$W997,IF(J999="GSK",PR!$X997,IF(J999="GLOBORG",PR!$Y997,IF(J999="GOODNEWS",PR!$Z997,IF(J999="GREENLIFE",PR!$AA997,IF(J999="HLINE",PR!$AB997,IF(J999="ROTECH",PR!$AC997,IF(J999="ISN",PR!$AD997,IF(J999="JAWA",PR!$AE997,IF(J999="LAYO",PR!$AF997,IF(J999="LEADWAY",PR!$AG997,IF(J999="LHV",PR!$AH997,IF(J999="MANOLA",PR!$AI997,IF(J999="MARCSON",PR!$AJ997,IF(J999="M&amp;B",PR!$AK997,IF(J999="MTRUST",PR!$AL997,IF(J999="MWORLD",PR!$AM997,IF(J999="MEGA",PR!$AN997,IF(J999="MICRONOVA",PR!$AO997,IF(J999="MFLASH",PR!$AP997,IF(J999="MORISON",PR!$AQ997,IF(J999="NEMEL",PR!$AR997,IF(J999="NHP",PR!$AS997,IF(J999="NHC",PR!$AT997,IF(J999="OLEAF",PR!$AU997,IF(J999="OCULUS",PR!$AV997,IF(J999="PACIFIC",PR!$AW997,IF(J999="PHAMATEX",PR!$AX997,IF(J999="PETHICS",PR!$AY997,IF(J999="PHILIPS",PR!$AZ997,IF(J999="RANBAXY",PR!$BA997,IF(J999="REALS",PR!$BB997,IF(J999="ROYAL",PR!$BC997,IF(J999="SAM",PR!$BD997,IF(J999="SEAGREEN",PR!$BE997,IF(J999="SKG",PR!$BF997,IF(J999="TAH",PR!$BG997,IF(J999="TAYLEK",PR!$BH997,IF(J999="TEMITA",PR!$BI997,IF(J999="THL",PR!$BJ997,IF(J999="UBASTIC",PR!$BK997,IF(J999="UNION",PR!$BL997,IF(J999="UNIQUE",PR!$BM997,IF(J999="VIXA",PR!$BN997,IF(J999="WWCV",PR!$BO997,IF(J999="ZOLON",PR!$BP997,"-"))))))))))))))))))))))))))))))))))))))))))))))))))))))))))))))))</f>
        <v>4000</v>
      </c>
      <c r="J999" s="102" t="str">
        <f>EV!N1285</f>
        <v>COSMADE</v>
      </c>
      <c r="K999" s="433" t="s">
        <v>626</v>
      </c>
      <c r="L999" s="183">
        <f>IF(K999&gt;0,IF(K999="ALPHA",PR!$E997,IF(K999="ASSENE",PR!$F997,IF(K999="BIOFEM",PR!$G997,IF(K999="BIOMED",PR!$H997,IF(K999="CHI",PR!$I997,IF(K999="CLARION",PR!$J997,IF(K999="CODIX",PR!$K997,IF(K999="COSMADE",PR!$L997,IF(K999="SANCON",PR!$M997,IF(K999="DEVON",PR!$N997,IF(K999="DORTEMAG",PR!$O997,IF(K999="DGF",PR!$P997,IF(K999="DYNAMIC",PR!$Q997,IF(K999="EMZOR",PR!$R997,IF(K999="EUMATT",PR!$S997,IF(K999="FIDSON",PR!$T997,IF(K999="FCGLOBAL",PR!$U997,IF(K999="GENEITH",PR!$V997,IF(K999="GINOS",PR!$W997,IF(K999="GSK",PR!$X997,IF(K999="GLOBORG",PR!$Y997,IF(K999="GOODNEWS",PR!$Z997,IF(K999="GREENLIFE",PR!$AA997,IF(K999="HLINE",PR!$AB997,IF(K999="ROTECH",PR!$AC997,IF(K999="ISN",PR!$AD997,IF(K999="JAWA",PR!$AE997,IF(K999="LAYO",PR!$AF997,IF(K999="LEADWAY",PR!$AG997,IF(K999="LHV",PR!$AH997,IF(K999="MANOLA",PR!$AI997,IF(K999="MARCSON",PR!$AJ997,IF(K999="M&amp;B",PR!$AK997,IF(K999="MTRUST",PR!$AL997,IF(K999="MWORLD",PR!$AM997,IF(K999="MEGA",PR!$AN997,IF(K999="MICRONOVA",PR!$AO997,IF(K999="MFLASH",PR!$AP997,IF(K999="MORISON",PR!$AQ997,IF(K999="NEMEL",PR!$AR997,IF(K999="NHP",PR!$AS997,IF(K999="NHC",PR!$AT997,IF(K999="OLEAF",PR!$AU997,IF(K999="OCULUS",PR!$AV997,IF(K999="PACIFIC",PR!$AW997,IF(K999="PHAMATEX",PR!$AX997,IF(K999="PETHICS",PR!$AY997,IF(K999="PHILIPS",PR!$AZ997,IF(K999="RANBAXY",PR!$BA997,IF(K999="REALS",PR!$BB997,IF(K999="ROYAL",PR!$BC997,IF(K999="SAM",PR!$BD997,IF(K999="SEAGREEN",PR!$BE997,IF(K999="SKG",PR!$BF997,IF(K999="TAH",PR!$BG997,IF(K999="TAYLEK",PR!$BH997,IF(K999="TEMITA",PR!$BI997,IF(K999="THL",PR!$BJ997,IF(K999="UBASTIC",PR!$BK997,IF(K999="UNION",PR!$BL997,IF(K999="UNIQUE",PR!$BM997,IF(K999="VIXA",PR!$BN997,IF(K999="WWCV",PR!$BO997,IF(K999="ZOLON",PR!$BP997,"-")))))))))))))))))))))))))))))))))))))))))))))))))))))))))))))))))</f>
        <v>3125</v>
      </c>
    </row>
    <row r="1000" spans="1:12" ht="18.75" x14ac:dyDescent="0.3">
      <c r="A1000" s="430">
        <f>PR!A998</f>
        <v>0</v>
      </c>
      <c r="B1000" s="15">
        <f>PR!B998</f>
        <v>0</v>
      </c>
      <c r="C1000" s="113">
        <f>PR!D998</f>
        <v>0</v>
      </c>
      <c r="D1000" s="113">
        <f>PR!C998</f>
        <v>0</v>
      </c>
      <c r="E1000" s="108" t="str">
        <f>IF(F1000="ALPHA",PR!$E998,IF(F1000="ASSENE",PR!$F998,IF(F1000="BIOFEM",PR!$G998,IF(F1000="BIOMED",PR!$H998,IF(F1000="CHI",PR!$I998,IF(F1000="CLARION",PR!$J998,IF(F1000="CODIX",PR!$K998,IF(F1000="COSMADE",PR!$L998,IF(F1000="SANCON",PR!$M998,IF(F1000="DEVON",PR!$N998,IF(F1000="DORTEMAG",PR!$O998,IF(F1000="DGF",PR!$P998,IF(F1000="DYNAMIC",PR!$Q998,IF(F1000="EMZOR",PR!$R998,IF(F1000="EUMATT",PR!$S998,IF(F1000="FIDSON",PR!$T998,IF(F1000="FCGLOBAL",PR!$U998,IF(F1000="GENEITH",PR!$V998,IF(F1000="GINOS",PR!$W998,IF(F1000="GSK",PR!$X998,IF(F1000="GLOBORG",PR!$Y998,IF(F1000="GOODNEWS",PR!$Z998,IF(F1000="GREENLIFE",PR!$AA998,IF(F1000="HLINE",PR!$AB998,IF(F1000="ROTECH",PR!$AC998,IF(F1000="ISN",PR!$AD998,IF(F1000="JAWA",PR!$AE998,IF(F1000="LAYO",PR!$AF998,IF(F1000="LEADWAY",PR!$AG998,IF(F1000="LHV",PR!$AH998,IF(F1000="MANOLA",PR!$AI998,IF(F1000="MARCSON",PR!$AJ998,IF(F1000="M&amp;B",PR!$AK998,IF(F1000="MTRUST",PR!$AL998,IF(F1000="MWORLD",PR!$AM998,IF(F1000="MEGA",PR!$AN998,IF(F1000="MICRONOVA",PR!$AO998,IF(F1000="MFLASH",PR!$AP998,IF(F1000="MORISON",PR!$AQ998,IF(F1000="NEMEL",PR!$AR998,IF(F1000="NHP",PR!$AS998,IF(F1000="NHC",PR!$AT998,IF(F1000="OLEAF",PR!$AU998,IF(F1000="OCULUS",PR!$AV998,IF(F1000="PACIFIC",PR!$AW998,IF(F1000="PHAMATEX",PR!$AX998,IF(F1000="PETHICS",PR!$AY998,IF(F1000="PHILIPS",PR!$AZ998,IF(F1000="RANBAXY",PR!$BA998,IF(F1000="REALS",PR!$BB998,IF(F1000="ROYAL",PR!$BC998,IF(F1000="SAM",PR!$BD998,IF(F1000="SEAGREEN",PR!$BE998,IF(F1000="SKG",PR!$BF998,IF(F1000="TAH",PR!$BG998,IF(F1000="TAYLEK",PR!$BH998,IF(F1000="TEMITA",PR!$BI998,IF(F1000="THL",PR!$BJ998,IF(F1000="UBASTIC",PR!$BK998,IF(F1000="UNION",PR!$BL998,IF(F1000="UNIQUE",PR!$BM998,IF(F1000="VIXA",PR!$BN998,IF(F1000="WWCV",PR!$BO998,IF(F1000="ZOLON",PR!$BP998,"-"))))))))))))))))))))))))))))))))))))))))))))))))))))))))))))))))</f>
        <v>-</v>
      </c>
      <c r="F1000" s="102"/>
      <c r="G1000" s="108" t="str">
        <f>IF(H1000="ALPHA",PR!$E998,IF(H1000="ASSENE",PR!$F998,IF(H1000="BIOFEM",PR!$G998,IF(H1000="BIOMED",PR!$H998,IF(H1000="CHI",PR!$I998,IF(H1000="CLARION",PR!$J998,IF(H1000="CODIX",PR!$K998,IF(H1000="COSMADE",PR!$L998,IF(H1000="SANCON",PR!$M998,IF(H1000="DEVON",PR!$N998,IF(H1000="DORTEMAG",PR!$O998,IF(H1000="DGF",PR!$P998,IF(H1000="DYNAMIC",PR!$Q998,IF(H1000="EMZOR",PR!$R998,IF(H1000="EUMATT",PR!$S998,IF(H1000="FIDSON",PR!$T998,IF(H1000="FCGLOBAL",PR!$U998,IF(H1000="GENEITH",PR!$V998,IF(H1000="GINOS",PR!$W998,IF(H1000="GSK",PR!$X998,IF(H1000="GLOBORG",PR!$Y998,IF(H1000="GOODNEWS",PR!$Z998,IF(H1000="GREENLIFE",PR!$AA998,IF(H1000="HLINE",PR!$AB998,IF(H1000="ROTECH",PR!$AC998,IF(H1000="ISN",PR!$AD998,IF(H1000="JAWA",PR!$AE998,IF(H1000="LAYO",PR!$AF998,IF(H1000="LEADWAY",PR!$AG998,IF(H1000="LHV",PR!$AH998,IF(H1000="MANOLA",PR!$AI998,IF(H1000="MARCSON",PR!$AJ998,IF(H1000="M&amp;B",PR!$AK998,IF(H1000="MTRUST",PR!$AL998,IF(H1000="MWORLD",PR!$AM998,IF(H1000="MEGA",PR!$AN998,IF(H1000="MICRONOVA",PR!$AO998,IF(H1000="MFLASH",PR!$AP998,IF(H1000="MORISON",PR!$AQ998,IF(H1000="NEMEL",PR!$AR998,IF(H1000="NHP",PR!$AS998,IF(H1000="NHC",PR!$AT998,IF(H1000="OLEAF",PR!$AU998,IF(H1000="OCULUS",PR!$AV998,IF(H1000="PACIFIC",PR!$AW998,IF(H1000="PHAMATEX",PR!$AX998,IF(H1000="PETHICS",PR!$AY998,IF(H1000="PHILIPS",PR!$AZ998,IF(H1000="RANBAXY",PR!$BA998,IF(H1000="REALS",PR!$BB998,IF(H1000="ROYAL",PR!$BC998,IF(H1000="SAM",PR!$BD998,IF(H1000="SEAGREEN",PR!$BE998,IF(H1000="SKG",PR!$BF998,IF(H1000="TAH",PR!$BG998,IF(H1000="TAYLEK",PR!$BH998,IF(H1000="TEMITA",PR!$BI998,IF(H1000="THL",PR!$BJ998,IF(H1000="UBASTIC",PR!$BK998,IF(H1000="UNION",PR!$BL998,IF(H1000="UNIQUE",PR!$BM998,IF(H1000="VIXA",PR!$BN998,IF(H1000="WWCV",PR!$BO998,IF(H1000="ZOLON",PR!$BP998,"-"))))))))))))))))))))))))))))))))))))))))))))))))))))))))))))))))</f>
        <v>-</v>
      </c>
      <c r="H1000" s="102"/>
      <c r="I1000" s="108" t="str">
        <f>IF(J1000="ALPHA",PR!$E998,IF(J1000="ASSENE",PR!$F998,IF(J1000="BIOFEM",PR!$G998,IF(J1000="BIOMED",PR!$H998,IF(J1000="CHI",PR!$I998,IF(J1000="CLARION",PR!$J998,IF(J1000="CODIX",PR!$K998,IF(J1000="COSMADE",PR!$L998,IF(J1000="SANCON",PR!$M998,IF(J1000="DEVON",PR!$N998,IF(J1000="DORTEMAG",PR!$O998,IF(J1000="DGF",PR!$P998,IF(J1000="DYNAMIC",PR!$Q998,IF(J1000="EMZOR",PR!$R998,IF(J1000="EUMATT",PR!$S998,IF(J1000="FIDSON",PR!$T998,IF(J1000="FCGLOBAL",PR!$U998,IF(J1000="GENEITH",PR!$V998,IF(J1000="GINOS",PR!$W998,IF(J1000="GSK",PR!$X998,IF(J1000="GLOBORG",PR!$Y998,IF(J1000="GOODNEWS",PR!$Z998,IF(J1000="GREENLIFE",PR!$AA998,IF(J1000="HLINE",PR!$AB998,IF(J1000="ROTECH",PR!$AC998,IF(J1000="ISN",PR!$AD998,IF(J1000="JAWA",PR!$AE998,IF(J1000="LAYO",PR!$AF998,IF(J1000="LEADWAY",PR!$AG998,IF(J1000="LHV",PR!$AH998,IF(J1000="MANOLA",PR!$AI998,IF(J1000="MARCSON",PR!$AJ998,IF(J1000="M&amp;B",PR!$AK998,IF(J1000="MTRUST",PR!$AL998,IF(J1000="MWORLD",PR!$AM998,IF(J1000="MEGA",PR!$AN998,IF(J1000="MICRONOVA",PR!$AO998,IF(J1000="MFLASH",PR!$AP998,IF(J1000="MORISON",PR!$AQ998,IF(J1000="NEMEL",PR!$AR998,IF(J1000="NHP",PR!$AS998,IF(J1000="NHC",PR!$AT998,IF(J1000="OLEAF",PR!$AU998,IF(J1000="OCULUS",PR!$AV998,IF(J1000="PACIFIC",PR!$AW998,IF(J1000="PHAMATEX",PR!$AX998,IF(J1000="PETHICS",PR!$AY998,IF(J1000="PHILIPS",PR!$AZ998,IF(J1000="RANBAXY",PR!$BA998,IF(J1000="REALS",PR!$BB998,IF(J1000="ROYAL",PR!$BC998,IF(J1000="SAM",PR!$BD998,IF(J1000="SEAGREEN",PR!$BE998,IF(J1000="SKG",PR!$BF998,IF(J1000="TAH",PR!$BG998,IF(J1000="TAYLEK",PR!$BH998,IF(J1000="TEMITA",PR!$BI998,IF(J1000="THL",PR!$BJ998,IF(J1000="UBASTIC",PR!$BK998,IF(J1000="UNION",PR!$BL998,IF(J1000="UNIQUE",PR!$BM998,IF(J1000="VIXA",PR!$BN998,IF(J1000="WWCV",PR!$BO998,IF(J1000="ZOLON",PR!$BP998,"-"))))))))))))))))))))))))))))))))))))))))))))))))))))))))))))))))</f>
        <v>-</v>
      </c>
      <c r="J1000" s="102"/>
      <c r="K1000" s="433"/>
      <c r="L1000" s="183" t="b">
        <f>IF(K1000&gt;0,IF(K1000="ALPHA",PR!$E998,IF(K1000="ASSENE",PR!$F998,IF(K1000="BIOFEM",PR!$G998,IF(K1000="BIOMED",PR!$H998,IF(K1000="CHI",PR!$I998,IF(K1000="CLARION",PR!$J998,IF(K1000="CODIX",PR!$K998,IF(K1000="COSMADE",PR!$L998,IF(K1000="SANCON",PR!$M998,IF(K1000="DEVON",PR!$N998,IF(K1000="DORTEMAG",PR!$O998,IF(K1000="DGF",PR!$P998,IF(K1000="DYNAMIC",PR!$Q998,IF(K1000="EMZOR",PR!$R998,IF(K1000="EUMATT",PR!$S998,IF(K1000="FIDSON",PR!$T998,IF(K1000="FCGLOBAL",PR!$U998,IF(K1000="GENEITH",PR!$V998,IF(K1000="GINOS",PR!$W998,IF(K1000="GSK",PR!$X998,IF(K1000="GLOBORG",PR!$Y998,IF(K1000="GOODNEWS",PR!$Z998,IF(K1000="GREENLIFE",PR!$AA998,IF(K1000="HLINE",PR!$AB998,IF(K1000="ROTECH",PR!$AC998,IF(K1000="ISN",PR!$AD998,IF(K1000="JAWA",PR!$AE998,IF(K1000="LAYO",PR!$AF998,IF(K1000="LEADWAY",PR!$AG998,IF(K1000="LHV",PR!$AH998,IF(K1000="MANOLA",PR!$AI998,IF(K1000="MARCSON",PR!$AJ998,IF(K1000="M&amp;B",PR!$AK998,IF(K1000="MTRUST",PR!$AL998,IF(K1000="MWORLD",PR!$AM998,IF(K1000="MEGA",PR!$AN998,IF(K1000="MICRONOVA",PR!$AO998,IF(K1000="MFLASH",PR!$AP998,IF(K1000="MORISON",PR!$AQ998,IF(K1000="NEMEL",PR!$AR998,IF(K1000="NHP",PR!$AS998,IF(K1000="NHC",PR!$AT998,IF(K1000="OLEAF",PR!$AU998,IF(K1000="OCULUS",PR!$AV998,IF(K1000="PACIFIC",PR!$AW998,IF(K1000="PHAMATEX",PR!$AX998,IF(K1000="PETHICS",PR!$AY998,IF(K1000="PHILIPS",PR!$AZ998,IF(K1000="RANBAXY",PR!$BA998,IF(K1000="REALS",PR!$BB998,IF(K1000="ROYAL",PR!$BC998,IF(K1000="SAM",PR!$BD998,IF(K1000="SEAGREEN",PR!$BE998,IF(K1000="SKG",PR!$BF998,IF(K1000="TAH",PR!$BG998,IF(K1000="TAYLEK",PR!$BH998,IF(K1000="TEMITA",PR!$BI998,IF(K1000="THL",PR!$BJ998,IF(K1000="UBASTIC",PR!$BK998,IF(K1000="UNION",PR!$BL998,IF(K1000="UNIQUE",PR!$BM998,IF(K1000="VIXA",PR!$BN998,IF(K1000="WWCV",PR!$BO998,IF(K1000="ZOLON",PR!$BP998,"-")))))))))))))))))))))))))))))))))))))))))))))))))))))))))))))))))</f>
        <v>0</v>
      </c>
    </row>
    <row r="1001" spans="1:12" ht="18.75" x14ac:dyDescent="0.3">
      <c r="A1001" s="430">
        <f>PR!A999</f>
        <v>0</v>
      </c>
      <c r="B1001" s="15">
        <f>PR!B999</f>
        <v>0</v>
      </c>
      <c r="C1001" s="113">
        <f>PR!D999</f>
        <v>0</v>
      </c>
      <c r="D1001" s="113">
        <f>PR!C999</f>
        <v>0</v>
      </c>
      <c r="E1001" s="108" t="str">
        <f>IF(F1001="ALPHA",PR!$E999,IF(F1001="ASSENE",PR!$F999,IF(F1001="BIOFEM",PR!$G999,IF(F1001="BIOMED",PR!$H999,IF(F1001="CHI",PR!$I999,IF(F1001="CLARION",PR!$J999,IF(F1001="CODIX",PR!$K999,IF(F1001="COSMADE",PR!$L999,IF(F1001="SANCON",PR!$M999,IF(F1001="DEVON",PR!$N999,IF(F1001="DORTEMAG",PR!$O999,IF(F1001="DGF",PR!$P999,IF(F1001="DYNAMIC",PR!$Q999,IF(F1001="EMZOR",PR!$R999,IF(F1001="EUMATT",PR!$S999,IF(F1001="FIDSON",PR!$T999,IF(F1001="FCGLOBAL",PR!$U999,IF(F1001="GENEITH",PR!$V999,IF(F1001="GINOS",PR!$W999,IF(F1001="GSK",PR!$X999,IF(F1001="GLOBORG",PR!$Y999,IF(F1001="GOODNEWS",PR!$Z999,IF(F1001="GREENLIFE",PR!$AA999,IF(F1001="HLINE",PR!$AB999,IF(F1001="ROTECH",PR!$AC999,IF(F1001="ISN",PR!$AD999,IF(F1001="JAWA",PR!$AE999,IF(F1001="LAYO",PR!$AF999,IF(F1001="LEADWAY",PR!$AG999,IF(F1001="LHV",PR!$AH999,IF(F1001="MANOLA",PR!$AI999,IF(F1001="MARCSON",PR!$AJ999,IF(F1001="M&amp;B",PR!$AK999,IF(F1001="MTRUST",PR!$AL999,IF(F1001="MWORLD",PR!$AM999,IF(F1001="MEGA",PR!$AN999,IF(F1001="MICRONOVA",PR!$AO999,IF(F1001="MFLASH",PR!$AP999,IF(F1001="MORISON",PR!$AQ999,IF(F1001="NEMEL",PR!$AR999,IF(F1001="NHP",PR!$AS999,IF(F1001="NHC",PR!$AT999,IF(F1001="OLEAF",PR!$AU999,IF(F1001="OCULUS",PR!$AV999,IF(F1001="PACIFIC",PR!$AW999,IF(F1001="PHAMATEX",PR!$AX999,IF(F1001="PETHICS",PR!$AY999,IF(F1001="PHILIPS",PR!$AZ999,IF(F1001="RANBAXY",PR!$BA999,IF(F1001="REALS",PR!$BB999,IF(F1001="ROYAL",PR!$BC999,IF(F1001="SAM",PR!$BD999,IF(F1001="SEAGREEN",PR!$BE999,IF(F1001="SKG",PR!$BF999,IF(F1001="TAH",PR!$BG999,IF(F1001="TAYLEK",PR!$BH999,IF(F1001="TEMITA",PR!$BI999,IF(F1001="THL",PR!$BJ999,IF(F1001="UBASTIC",PR!$BK999,IF(F1001="UNION",PR!$BL999,IF(F1001="UNIQUE",PR!$BM999,IF(F1001="VIXA",PR!$BN999,IF(F1001="WWCV",PR!$BO999,IF(F1001="ZOLON",PR!$BP999,"-"))))))))))))))))))))))))))))))))))))))))))))))))))))))))))))))))</f>
        <v>-</v>
      </c>
      <c r="F1001" s="102"/>
      <c r="G1001" s="108" t="str">
        <f>IF(H1001="ALPHA",PR!$E999,IF(H1001="ASSENE",PR!$F999,IF(H1001="BIOFEM",PR!$G999,IF(H1001="BIOMED",PR!$H999,IF(H1001="CHI",PR!$I999,IF(H1001="CLARION",PR!$J999,IF(H1001="CODIX",PR!$K999,IF(H1001="COSMADE",PR!$L999,IF(H1001="SANCON",PR!$M999,IF(H1001="DEVON",PR!$N999,IF(H1001="DORTEMAG",PR!$O999,IF(H1001="DGF",PR!$P999,IF(H1001="DYNAMIC",PR!$Q999,IF(H1001="EMZOR",PR!$R999,IF(H1001="EUMATT",PR!$S999,IF(H1001="FIDSON",PR!$T999,IF(H1001="FCGLOBAL",PR!$U999,IF(H1001="GENEITH",PR!$V999,IF(H1001="GINOS",PR!$W999,IF(H1001="GSK",PR!$X999,IF(H1001="GLOBORG",PR!$Y999,IF(H1001="GOODNEWS",PR!$Z999,IF(H1001="GREENLIFE",PR!$AA999,IF(H1001="HLINE",PR!$AB999,IF(H1001="ROTECH",PR!$AC999,IF(H1001="ISN",PR!$AD999,IF(H1001="JAWA",PR!$AE999,IF(H1001="LAYO",PR!$AF999,IF(H1001="LEADWAY",PR!$AG999,IF(H1001="LHV",PR!$AH999,IF(H1001="MANOLA",PR!$AI999,IF(H1001="MARCSON",PR!$AJ999,IF(H1001="M&amp;B",PR!$AK999,IF(H1001="MTRUST",PR!$AL999,IF(H1001="MWORLD",PR!$AM999,IF(H1001="MEGA",PR!$AN999,IF(H1001="MICRONOVA",PR!$AO999,IF(H1001="MFLASH",PR!$AP999,IF(H1001="MORISON",PR!$AQ999,IF(H1001="NEMEL",PR!$AR999,IF(H1001="NHP",PR!$AS999,IF(H1001="NHC",PR!$AT999,IF(H1001="OLEAF",PR!$AU999,IF(H1001="OCULUS",PR!$AV999,IF(H1001="PACIFIC",PR!$AW999,IF(H1001="PHAMATEX",PR!$AX999,IF(H1001="PETHICS",PR!$AY999,IF(H1001="PHILIPS",PR!$AZ999,IF(H1001="RANBAXY",PR!$BA999,IF(H1001="REALS",PR!$BB999,IF(H1001="ROYAL",PR!$BC999,IF(H1001="SAM",PR!$BD999,IF(H1001="SEAGREEN",PR!$BE999,IF(H1001="SKG",PR!$BF999,IF(H1001="TAH",PR!$BG999,IF(H1001="TAYLEK",PR!$BH999,IF(H1001="TEMITA",PR!$BI999,IF(H1001="THL",PR!$BJ999,IF(H1001="UBASTIC",PR!$BK999,IF(H1001="UNION",PR!$BL999,IF(H1001="UNIQUE",PR!$BM999,IF(H1001="VIXA",PR!$BN999,IF(H1001="WWCV",PR!$BO999,IF(H1001="ZOLON",PR!$BP999,"-"))))))))))))))))))))))))))))))))))))))))))))))))))))))))))))))))</f>
        <v>-</v>
      </c>
      <c r="H1001" s="102"/>
      <c r="I1001" s="108" t="str">
        <f>IF(J1001="ALPHA",PR!$E999,IF(J1001="ASSENE",PR!$F999,IF(J1001="BIOFEM",PR!$G999,IF(J1001="BIOMED",PR!$H999,IF(J1001="CHI",PR!$I999,IF(J1001="CLARION",PR!$J999,IF(J1001="CODIX",PR!$K999,IF(J1001="COSMADE",PR!$L999,IF(J1001="SANCON",PR!$M999,IF(J1001="DEVON",PR!$N999,IF(J1001="DORTEMAG",PR!$O999,IF(J1001="DGF",PR!$P999,IF(J1001="DYNAMIC",PR!$Q999,IF(J1001="EMZOR",PR!$R999,IF(J1001="EUMATT",PR!$S999,IF(J1001="FIDSON",PR!$T999,IF(J1001="FCGLOBAL",PR!$U999,IF(J1001="GENEITH",PR!$V999,IF(J1001="GINOS",PR!$W999,IF(J1001="GSK",PR!$X999,IF(J1001="GLOBORG",PR!$Y999,IF(J1001="GOODNEWS",PR!$Z999,IF(J1001="GREENLIFE",PR!$AA999,IF(J1001="HLINE",PR!$AB999,IF(J1001="ROTECH",PR!$AC999,IF(J1001="ISN",PR!$AD999,IF(J1001="JAWA",PR!$AE999,IF(J1001="LAYO",PR!$AF999,IF(J1001="LEADWAY",PR!$AG999,IF(J1001="LHV",PR!$AH999,IF(J1001="MANOLA",PR!$AI999,IF(J1001="MARCSON",PR!$AJ999,IF(J1001="M&amp;B",PR!$AK999,IF(J1001="MTRUST",PR!$AL999,IF(J1001="MWORLD",PR!$AM999,IF(J1001="MEGA",PR!$AN999,IF(J1001="MICRONOVA",PR!$AO999,IF(J1001="MFLASH",PR!$AP999,IF(J1001="MORISON",PR!$AQ999,IF(J1001="NEMEL",PR!$AR999,IF(J1001="NHP",PR!$AS999,IF(J1001="NHC",PR!$AT999,IF(J1001="OLEAF",PR!$AU999,IF(J1001="OCULUS",PR!$AV999,IF(J1001="PACIFIC",PR!$AW999,IF(J1001="PHAMATEX",PR!$AX999,IF(J1001="PETHICS",PR!$AY999,IF(J1001="PHILIPS",PR!$AZ999,IF(J1001="RANBAXY",PR!$BA999,IF(J1001="REALS",PR!$BB999,IF(J1001="ROYAL",PR!$BC999,IF(J1001="SAM",PR!$BD999,IF(J1001="SEAGREEN",PR!$BE999,IF(J1001="SKG",PR!$BF999,IF(J1001="TAH",PR!$BG999,IF(J1001="TAYLEK",PR!$BH999,IF(J1001="TEMITA",PR!$BI999,IF(J1001="THL",PR!$BJ999,IF(J1001="UBASTIC",PR!$BK999,IF(J1001="UNION",PR!$BL999,IF(J1001="UNIQUE",PR!$BM999,IF(J1001="VIXA",PR!$BN999,IF(J1001="WWCV",PR!$BO999,IF(J1001="ZOLON",PR!$BP999,"-"))))))))))))))))))))))))))))))))))))))))))))))))))))))))))))))))</f>
        <v>-</v>
      </c>
      <c r="J1001" s="102"/>
      <c r="K1001" s="433"/>
      <c r="L1001" s="183" t="b">
        <f>IF(K1001&gt;0,IF(K1001="ALPHA",PR!$E999,IF(K1001="ASSENE",PR!$F999,IF(K1001="BIOFEM",PR!$G999,IF(K1001="BIOMED",PR!$H999,IF(K1001="CHI",PR!$I999,IF(K1001="CLARION",PR!$J999,IF(K1001="CODIX",PR!$K999,IF(K1001="COSMADE",PR!$L999,IF(K1001="SANCON",PR!$M999,IF(K1001="DEVON",PR!$N999,IF(K1001="DORTEMAG",PR!$O999,IF(K1001="DGF",PR!$P999,IF(K1001="DYNAMIC",PR!$Q999,IF(K1001="EMZOR",PR!$R999,IF(K1001="EUMATT",PR!$S999,IF(K1001="FIDSON",PR!$T999,IF(K1001="FCGLOBAL",PR!$U999,IF(K1001="GENEITH",PR!$V999,IF(K1001="GINOS",PR!$W999,IF(K1001="GSK",PR!$X999,IF(K1001="GLOBORG",PR!$Y999,IF(K1001="GOODNEWS",PR!$Z999,IF(K1001="GREENLIFE",PR!$AA999,IF(K1001="HLINE",PR!$AB999,IF(K1001="ROTECH",PR!$AC999,IF(K1001="ISN",PR!$AD999,IF(K1001="JAWA",PR!$AE999,IF(K1001="LAYO",PR!$AF999,IF(K1001="LEADWAY",PR!$AG999,IF(K1001="LHV",PR!$AH999,IF(K1001="MANOLA",PR!$AI999,IF(K1001="MARCSON",PR!$AJ999,IF(K1001="M&amp;B",PR!$AK999,IF(K1001="MTRUST",PR!$AL999,IF(K1001="MWORLD",PR!$AM999,IF(K1001="MEGA",PR!$AN999,IF(K1001="MICRONOVA",PR!$AO999,IF(K1001="MFLASH",PR!$AP999,IF(K1001="MORISON",PR!$AQ999,IF(K1001="NEMEL",PR!$AR999,IF(K1001="NHP",PR!$AS999,IF(K1001="NHC",PR!$AT999,IF(K1001="OLEAF",PR!$AU999,IF(K1001="OCULUS",PR!$AV999,IF(K1001="PACIFIC",PR!$AW999,IF(K1001="PHAMATEX",PR!$AX999,IF(K1001="PETHICS",PR!$AY999,IF(K1001="PHILIPS",PR!$AZ999,IF(K1001="RANBAXY",PR!$BA999,IF(K1001="REALS",PR!$BB999,IF(K1001="ROYAL",PR!$BC999,IF(K1001="SAM",PR!$BD999,IF(K1001="SEAGREEN",PR!$BE999,IF(K1001="SKG",PR!$BF999,IF(K1001="TAH",PR!$BG999,IF(K1001="TAYLEK",PR!$BH999,IF(K1001="TEMITA",PR!$BI999,IF(K1001="THL",PR!$BJ999,IF(K1001="UBASTIC",PR!$BK999,IF(K1001="UNION",PR!$BL999,IF(K1001="UNIQUE",PR!$BM999,IF(K1001="VIXA",PR!$BN999,IF(K1001="WWCV",PR!$BO999,IF(K1001="ZOLON",PR!$BP999,"-")))))))))))))))))))))))))))))))))))))))))))))))))))))))))))))))))</f>
        <v>0</v>
      </c>
    </row>
    <row r="1002" spans="1:12" ht="18.75" x14ac:dyDescent="0.3">
      <c r="A1002" s="430">
        <f>PR!A1000</f>
        <v>0</v>
      </c>
      <c r="B1002" s="15">
        <f>PR!B1000</f>
        <v>0</v>
      </c>
      <c r="C1002" s="113">
        <f>PR!D1000</f>
        <v>0</v>
      </c>
      <c r="D1002" s="113">
        <f>PR!C1000</f>
        <v>0</v>
      </c>
      <c r="E1002" s="108" t="str">
        <f>IF(F1002="ALPHA",PR!$E1000,IF(F1002="ASSENE",PR!$F1000,IF(F1002="BIOFEM",PR!$G1000,IF(F1002="BIOMED",PR!$H1000,IF(F1002="CHI",PR!$I1000,IF(F1002="CLARION",PR!$J1000,IF(F1002="CODIX",PR!$K1000,IF(F1002="COSMADE",PR!$L1000,IF(F1002="SANCON",PR!$M1000,IF(F1002="DEVON",PR!$N1000,IF(F1002="DORTEMAG",PR!$O1000,IF(F1002="DGF",PR!$P1000,IF(F1002="DYNAMIC",PR!$Q1000,IF(F1002="EMZOR",PR!$R1000,IF(F1002="EUMATT",PR!$S1000,IF(F1002="FIDSON",PR!$T1000,IF(F1002="FCGLOBAL",PR!$U1000,IF(F1002="GENEITH",PR!$V1000,IF(F1002="GINOS",PR!$W1000,IF(F1002="GSK",PR!$X1000,IF(F1002="GLOBORG",PR!$Y1000,IF(F1002="GOODNEWS",PR!$Z1000,IF(F1002="GREENLIFE",PR!$AA1000,IF(F1002="HLINE",PR!$AB1000,IF(F1002="ROTECH",PR!$AC1000,IF(F1002="ISN",PR!$AD1000,IF(F1002="JAWA",PR!$AE1000,IF(F1002="LAYO",PR!$AF1000,IF(F1002="LEADWAY",PR!$AG1000,IF(F1002="LHV",PR!$AH1000,IF(F1002="MANOLA",PR!$AI1000,IF(F1002="MARCSON",PR!$AJ1000,IF(F1002="M&amp;B",PR!$AK1000,IF(F1002="MTRUST",PR!$AL1000,IF(F1002="MWORLD",PR!$AM1000,IF(F1002="MEGA",PR!$AN1000,IF(F1002="MICRONOVA",PR!$AO1000,IF(F1002="MFLASH",PR!$AP1000,IF(F1002="MORISON",PR!$AQ1000,IF(F1002="NEMEL",PR!$AR1000,IF(F1002="NHP",PR!$AS1000,IF(F1002="NHC",PR!$AT1000,IF(F1002="OLEAF",PR!$AU1000,IF(F1002="OCULUS",PR!$AV1000,IF(F1002="PACIFIC",PR!$AW1000,IF(F1002="PHAMATEX",PR!$AX1000,IF(F1002="PETHICS",PR!$AY1000,IF(F1002="PHILIPS",PR!$AZ1000,IF(F1002="RANBAXY",PR!$BA1000,IF(F1002="REALS",PR!$BB1000,IF(F1002="ROYAL",PR!$BC1000,IF(F1002="SAM",PR!$BD1000,IF(F1002="SEAGREEN",PR!$BE1000,IF(F1002="SKG",PR!$BF1000,IF(F1002="TAH",PR!$BG1000,IF(F1002="TAYLEK",PR!$BH1000,IF(F1002="TEMITA",PR!$BI1000,IF(F1002="THL",PR!$BJ1000,IF(F1002="UBASTIC",PR!$BK1000,IF(F1002="UNION",PR!$BL1000,IF(F1002="UNIQUE",PR!$BM1000,IF(F1002="VIXA",PR!$BN1000,IF(F1002="WWCV",PR!$BO1000,IF(F1002="ZOLON",PR!$BP1000,"-"))))))))))))))))))))))))))))))))))))))))))))))))))))))))))))))))</f>
        <v>-</v>
      </c>
      <c r="F1002" s="102"/>
      <c r="G1002" s="108" t="str">
        <f>IF(H1002="ALPHA",PR!$E1000,IF(H1002="ASSENE",PR!$F1000,IF(H1002="BIOFEM",PR!$G1000,IF(H1002="BIOMED",PR!$H1000,IF(H1002="CHI",PR!$I1000,IF(H1002="CLARION",PR!$J1000,IF(H1002="CODIX",PR!$K1000,IF(H1002="COSMADE",PR!$L1000,IF(H1002="SANCON",PR!$M1000,IF(H1002="DEVON",PR!$N1000,IF(H1002="DORTEMAG",PR!$O1000,IF(H1002="DGF",PR!$P1000,IF(H1002="DYNAMIC",PR!$Q1000,IF(H1002="EMZOR",PR!$R1000,IF(H1002="EUMATT",PR!$S1000,IF(H1002="FIDSON",PR!$T1000,IF(H1002="FCGLOBAL",PR!$U1000,IF(H1002="GENEITH",PR!$V1000,IF(H1002="GINOS",PR!$W1000,IF(H1002="GSK",PR!$X1000,IF(H1002="GLOBORG",PR!$Y1000,IF(H1002="GOODNEWS",PR!$Z1000,IF(H1002="GREENLIFE",PR!$AA1000,IF(H1002="HLINE",PR!$AB1000,IF(H1002="ROTECH",PR!$AC1000,IF(H1002="ISN",PR!$AD1000,IF(H1002="JAWA",PR!$AE1000,IF(H1002="LAYO",PR!$AF1000,IF(H1002="LEADWAY",PR!$AG1000,IF(H1002="LHV",PR!$AH1000,IF(H1002="MANOLA",PR!$AI1000,IF(H1002="MARCSON",PR!$AJ1000,IF(H1002="M&amp;B",PR!$AK1000,IF(H1002="MTRUST",PR!$AL1000,IF(H1002="MWORLD",PR!$AM1000,IF(H1002="MEGA",PR!$AN1000,IF(H1002="MICRONOVA",PR!$AO1000,IF(H1002="MFLASH",PR!$AP1000,IF(H1002="MORISON",PR!$AQ1000,IF(H1002="NEMEL",PR!$AR1000,IF(H1002="NHP",PR!$AS1000,IF(H1002="NHC",PR!$AT1000,IF(H1002="OLEAF",PR!$AU1000,IF(H1002="OCULUS",PR!$AV1000,IF(H1002="PACIFIC",PR!$AW1000,IF(H1002="PHAMATEX",PR!$AX1000,IF(H1002="PETHICS",PR!$AY1000,IF(H1002="PHILIPS",PR!$AZ1000,IF(H1002="RANBAXY",PR!$BA1000,IF(H1002="REALS",PR!$BB1000,IF(H1002="ROYAL",PR!$BC1000,IF(H1002="SAM",PR!$BD1000,IF(H1002="SEAGREEN",PR!$BE1000,IF(H1002="SKG",PR!$BF1000,IF(H1002="TAH",PR!$BG1000,IF(H1002="TAYLEK",PR!$BH1000,IF(H1002="TEMITA",PR!$BI1000,IF(H1002="THL",PR!$BJ1000,IF(H1002="UBASTIC",PR!$BK1000,IF(H1002="UNION",PR!$BL1000,IF(H1002="UNIQUE",PR!$BM1000,IF(H1002="VIXA",PR!$BN1000,IF(H1002="WWCV",PR!$BO1000,IF(H1002="ZOLON",PR!$BP1000,"-"))))))))))))))))))))))))))))))))))))))))))))))))))))))))))))))))</f>
        <v>-</v>
      </c>
      <c r="H1002" s="102"/>
      <c r="I1002" s="108" t="str">
        <f>IF(J1002="ALPHA",PR!$E1000,IF(J1002="ASSENE",PR!$F1000,IF(J1002="BIOFEM",PR!$G1000,IF(J1002="BIOMED",PR!$H1000,IF(J1002="CHI",PR!$I1000,IF(J1002="CLARION",PR!$J1000,IF(J1002="CODIX",PR!$K1000,IF(J1002="COSMADE",PR!$L1000,IF(J1002="SANCON",PR!$M1000,IF(J1002="DEVON",PR!$N1000,IF(J1002="DORTEMAG",PR!$O1000,IF(J1002="DGF",PR!$P1000,IF(J1002="DYNAMIC",PR!$Q1000,IF(J1002="EMZOR",PR!$R1000,IF(J1002="EUMATT",PR!$S1000,IF(J1002="FIDSON",PR!$T1000,IF(J1002="FCGLOBAL",PR!$U1000,IF(J1002="GENEITH",PR!$V1000,IF(J1002="GINOS",PR!$W1000,IF(J1002="GSK",PR!$X1000,IF(J1002="GLOBORG",PR!$Y1000,IF(J1002="GOODNEWS",PR!$Z1000,IF(J1002="GREENLIFE",PR!$AA1000,IF(J1002="HLINE",PR!$AB1000,IF(J1002="ROTECH",PR!$AC1000,IF(J1002="ISN",PR!$AD1000,IF(J1002="JAWA",PR!$AE1000,IF(J1002="LAYO",PR!$AF1000,IF(J1002="LEADWAY",PR!$AG1000,IF(J1002="LHV",PR!$AH1000,IF(J1002="MANOLA",PR!$AI1000,IF(J1002="MARCSON",PR!$AJ1000,IF(J1002="M&amp;B",PR!$AK1000,IF(J1002="MTRUST",PR!$AL1000,IF(J1002="MWORLD",PR!$AM1000,IF(J1002="MEGA",PR!$AN1000,IF(J1002="MICRONOVA",PR!$AO1000,IF(J1002="MFLASH",PR!$AP1000,IF(J1002="MORISON",PR!$AQ1000,IF(J1002="NEMEL",PR!$AR1000,IF(J1002="NHP",PR!$AS1000,IF(J1002="NHC",PR!$AT1000,IF(J1002="OLEAF",PR!$AU1000,IF(J1002="OCULUS",PR!$AV1000,IF(J1002="PACIFIC",PR!$AW1000,IF(J1002="PHAMATEX",PR!$AX1000,IF(J1002="PETHICS",PR!$AY1000,IF(J1002="PHILIPS",PR!$AZ1000,IF(J1002="RANBAXY",PR!$BA1000,IF(J1002="REALS",PR!$BB1000,IF(J1002="ROYAL",PR!$BC1000,IF(J1002="SAM",PR!$BD1000,IF(J1002="SEAGREEN",PR!$BE1000,IF(J1002="SKG",PR!$BF1000,IF(J1002="TAH",PR!$BG1000,IF(J1002="TAYLEK",PR!$BH1000,IF(J1002="TEMITA",PR!$BI1000,IF(J1002="THL",PR!$BJ1000,IF(J1002="UBASTIC",PR!$BK1000,IF(J1002="UNION",PR!$BL1000,IF(J1002="UNIQUE",PR!$BM1000,IF(J1002="VIXA",PR!$BN1000,IF(J1002="WWCV",PR!$BO1000,IF(J1002="ZOLON",PR!$BP1000,"-"))))))))))))))))))))))))))))))))))))))))))))))))))))))))))))))))</f>
        <v>-</v>
      </c>
      <c r="J1002" s="102"/>
      <c r="K1002" s="433"/>
      <c r="L1002" s="183" t="b">
        <f>IF(K1002&gt;0,IF(K1002="ALPHA",PR!$E1000,IF(K1002="ASSENE",PR!$F1000,IF(K1002="BIOFEM",PR!$G1000,IF(K1002="BIOMED",PR!$H1000,IF(K1002="CHI",PR!$I1000,IF(K1002="CLARION",PR!$J1000,IF(K1002="CODIX",PR!$K1000,IF(K1002="COSMADE",PR!$L1000,IF(K1002="SANCON",PR!$M1000,IF(K1002="DEVON",PR!$N1000,IF(K1002="DORTEMAG",PR!$O1000,IF(K1002="DGF",PR!$P1000,IF(K1002="DYNAMIC",PR!$Q1000,IF(K1002="EMZOR",PR!$R1000,IF(K1002="EUMATT",PR!$S1000,IF(K1002="FIDSON",PR!$T1000,IF(K1002="FCGLOBAL",PR!$U1000,IF(K1002="GENEITH",PR!$V1000,IF(K1002="GINOS",PR!$W1000,IF(K1002="GSK",PR!$X1000,IF(K1002="GLOBORG",PR!$Y1000,IF(K1002="GOODNEWS",PR!$Z1000,IF(K1002="GREENLIFE",PR!$AA1000,IF(K1002="HLINE",PR!$AB1000,IF(K1002="ROTECH",PR!$AC1000,IF(K1002="ISN",PR!$AD1000,IF(K1002="JAWA",PR!$AE1000,IF(K1002="LAYO",PR!$AF1000,IF(K1002="LEADWAY",PR!$AG1000,IF(K1002="LHV",PR!$AH1000,IF(K1002="MANOLA",PR!$AI1000,IF(K1002="MARCSON",PR!$AJ1000,IF(K1002="M&amp;B",PR!$AK1000,IF(K1002="MTRUST",PR!$AL1000,IF(K1002="MWORLD",PR!$AM1000,IF(K1002="MEGA",PR!$AN1000,IF(K1002="MICRONOVA",PR!$AO1000,IF(K1002="MFLASH",PR!$AP1000,IF(K1002="MORISON",PR!$AQ1000,IF(K1002="NEMEL",PR!$AR1000,IF(K1002="NHP",PR!$AS1000,IF(K1002="NHC",PR!$AT1000,IF(K1002="OLEAF",PR!$AU1000,IF(K1002="OCULUS",PR!$AV1000,IF(K1002="PACIFIC",PR!$AW1000,IF(K1002="PHAMATEX",PR!$AX1000,IF(K1002="PETHICS",PR!$AY1000,IF(K1002="PHILIPS",PR!$AZ1000,IF(K1002="RANBAXY",PR!$BA1000,IF(K1002="REALS",PR!$BB1000,IF(K1002="ROYAL",PR!$BC1000,IF(K1002="SAM",PR!$BD1000,IF(K1002="SEAGREEN",PR!$BE1000,IF(K1002="SKG",PR!$BF1000,IF(K1002="TAH",PR!$BG1000,IF(K1002="TAYLEK",PR!$BH1000,IF(K1002="TEMITA",PR!$BI1000,IF(K1002="THL",PR!$BJ1000,IF(K1002="UBASTIC",PR!$BK1000,IF(K1002="UNION",PR!$BL1000,IF(K1002="UNIQUE",PR!$BM1000,IF(K1002="VIXA",PR!$BN1000,IF(K1002="WWCV",PR!$BO1000,IF(K1002="ZOLON",PR!$BP1000,"-")))))))))))))))))))))))))))))))))))))))))))))))))))))))))))))))))</f>
        <v>0</v>
      </c>
    </row>
    <row r="1003" spans="1:12" ht="18.75" x14ac:dyDescent="0.3">
      <c r="A1003" s="430">
        <f>PR!A1001</f>
        <v>0</v>
      </c>
      <c r="B1003" s="15">
        <f>PR!B1001</f>
        <v>0</v>
      </c>
      <c r="C1003" s="113">
        <f>PR!D1001</f>
        <v>0</v>
      </c>
      <c r="D1003" s="113">
        <f>PR!C1001</f>
        <v>0</v>
      </c>
      <c r="E1003" s="108" t="str">
        <f>IF(F1003="ALPHA",PR!$E1001,IF(F1003="ASSENE",PR!$F1001,IF(F1003="BIOFEM",PR!$G1001,IF(F1003="BIOMED",PR!$H1001,IF(F1003="CHI",PR!$I1001,IF(F1003="CLARION",PR!$J1001,IF(F1003="CODIX",PR!$K1001,IF(F1003="COSMADE",PR!$L1001,IF(F1003="SANCON",PR!$M1001,IF(F1003="DEVON",PR!$N1001,IF(F1003="DORTEMAG",PR!$O1001,IF(F1003="DGF",PR!$P1001,IF(F1003="DYNAMIC",PR!$Q1001,IF(F1003="EMZOR",PR!$R1001,IF(F1003="EUMATT",PR!$S1001,IF(F1003="FIDSON",PR!$T1001,IF(F1003="FCGLOBAL",PR!$U1001,IF(F1003="GENEITH",PR!$V1001,IF(F1003="GINOS",PR!$W1001,IF(F1003="GSK",PR!$X1001,IF(F1003="GLOBORG",PR!$Y1001,IF(F1003="GOODNEWS",PR!$Z1001,IF(F1003="GREENLIFE",PR!$AA1001,IF(F1003="HLINE",PR!$AB1001,IF(F1003="ROTECH",PR!$AC1001,IF(F1003="ISN",PR!$AD1001,IF(F1003="JAWA",PR!$AE1001,IF(F1003="LAYO",PR!$AF1001,IF(F1003="LEADWAY",PR!$AG1001,IF(F1003="LHV",PR!$AH1001,IF(F1003="MANOLA",PR!$AI1001,IF(F1003="MARCSON",PR!$AJ1001,IF(F1003="M&amp;B",PR!$AK1001,IF(F1003="MTRUST",PR!$AL1001,IF(F1003="MWORLD",PR!$AM1001,IF(F1003="MEGA",PR!$AN1001,IF(F1003="MICRONOVA",PR!$AO1001,IF(F1003="MFLASH",PR!$AP1001,IF(F1003="MORISON",PR!$AQ1001,IF(F1003="NEMEL",PR!$AR1001,IF(F1003="NHP",PR!$AS1001,IF(F1003="NHC",PR!$AT1001,IF(F1003="OLEAF",PR!$AU1001,IF(F1003="OCULUS",PR!$AV1001,IF(F1003="PACIFIC",PR!$AW1001,IF(F1003="PHAMATEX",PR!$AX1001,IF(F1003="PETHICS",PR!$AY1001,IF(F1003="PHILIPS",PR!$AZ1001,IF(F1003="RANBAXY",PR!$BA1001,IF(F1003="REALS",PR!$BB1001,IF(F1003="ROYAL",PR!$BC1001,IF(F1003="SAM",PR!$BD1001,IF(F1003="SEAGREEN",PR!$BE1001,IF(F1003="SKG",PR!$BF1001,IF(F1003="TAH",PR!$BG1001,IF(F1003="TAYLEK",PR!$BH1001,IF(F1003="TEMITA",PR!$BI1001,IF(F1003="THL",PR!$BJ1001,IF(F1003="UBASTIC",PR!$BK1001,IF(F1003="UNION",PR!$BL1001,IF(F1003="UNIQUE",PR!$BM1001,IF(F1003="VIXA",PR!$BN1001,IF(F1003="WWCV",PR!$BO1001,IF(F1003="ZOLON",PR!$BP1001,"-"))))))))))))))))))))))))))))))))))))))))))))))))))))))))))))))))</f>
        <v>-</v>
      </c>
      <c r="F1003" s="102"/>
      <c r="G1003" s="108" t="str">
        <f>IF(H1003="ALPHA",PR!$E1001,IF(H1003="ASSENE",PR!$F1001,IF(H1003="BIOFEM",PR!$G1001,IF(H1003="BIOMED",PR!$H1001,IF(H1003="CHI",PR!$I1001,IF(H1003="CLARION",PR!$J1001,IF(H1003="CODIX",PR!$K1001,IF(H1003="COSMADE",PR!$L1001,IF(H1003="SANCON",PR!$M1001,IF(H1003="DEVON",PR!$N1001,IF(H1003="DORTEMAG",PR!$O1001,IF(H1003="DGF",PR!$P1001,IF(H1003="DYNAMIC",PR!$Q1001,IF(H1003="EMZOR",PR!$R1001,IF(H1003="EUMATT",PR!$S1001,IF(H1003="FIDSON",PR!$T1001,IF(H1003="FCGLOBAL",PR!$U1001,IF(H1003="GENEITH",PR!$V1001,IF(H1003="GINOS",PR!$W1001,IF(H1003="GSK",PR!$X1001,IF(H1003="GLOBORG",PR!$Y1001,IF(H1003="GOODNEWS",PR!$Z1001,IF(H1003="GREENLIFE",PR!$AA1001,IF(H1003="HLINE",PR!$AB1001,IF(H1003="ROTECH",PR!$AC1001,IF(H1003="ISN",PR!$AD1001,IF(H1003="JAWA",PR!$AE1001,IF(H1003="LAYO",PR!$AF1001,IF(H1003="LEADWAY",PR!$AG1001,IF(H1003="LHV",PR!$AH1001,IF(H1003="MANOLA",PR!$AI1001,IF(H1003="MARCSON",PR!$AJ1001,IF(H1003="M&amp;B",PR!$AK1001,IF(H1003="MTRUST",PR!$AL1001,IF(H1003="MWORLD",PR!$AM1001,IF(H1003="MEGA",PR!$AN1001,IF(H1003="MICRONOVA",PR!$AO1001,IF(H1003="MFLASH",PR!$AP1001,IF(H1003="MORISON",PR!$AQ1001,IF(H1003="NEMEL",PR!$AR1001,IF(H1003="NHP",PR!$AS1001,IF(H1003="NHC",PR!$AT1001,IF(H1003="OLEAF",PR!$AU1001,IF(H1003="OCULUS",PR!$AV1001,IF(H1003="PACIFIC",PR!$AW1001,IF(H1003="PHAMATEX",PR!$AX1001,IF(H1003="PETHICS",PR!$AY1001,IF(H1003="PHILIPS",PR!$AZ1001,IF(H1003="RANBAXY",PR!$BA1001,IF(H1003="REALS",PR!$BB1001,IF(H1003="ROYAL",PR!$BC1001,IF(H1003="SAM",PR!$BD1001,IF(H1003="SEAGREEN",PR!$BE1001,IF(H1003="SKG",PR!$BF1001,IF(H1003="TAH",PR!$BG1001,IF(H1003="TAYLEK",PR!$BH1001,IF(H1003="TEMITA",PR!$BI1001,IF(H1003="THL",PR!$BJ1001,IF(H1003="UBASTIC",PR!$BK1001,IF(H1003="UNION",PR!$BL1001,IF(H1003="UNIQUE",PR!$BM1001,IF(H1003="VIXA",PR!$BN1001,IF(H1003="WWCV",PR!$BO1001,IF(H1003="ZOLON",PR!$BP1001,"-"))))))))))))))))))))))))))))))))))))))))))))))))))))))))))))))))</f>
        <v>-</v>
      </c>
      <c r="H1003" s="102"/>
      <c r="I1003" s="108" t="str">
        <f>IF(J1003="ALPHA",PR!$E1001,IF(J1003="ASSENE",PR!$F1001,IF(J1003="BIOFEM",PR!$G1001,IF(J1003="BIOMED",PR!$H1001,IF(J1003="CHI",PR!$I1001,IF(J1003="CLARION",PR!$J1001,IF(J1003="CODIX",PR!$K1001,IF(J1003="COSMADE",PR!$L1001,IF(J1003="SANCON",PR!$M1001,IF(J1003="DEVON",PR!$N1001,IF(J1003="DORTEMAG",PR!$O1001,IF(J1003="DGF",PR!$P1001,IF(J1003="DYNAMIC",PR!$Q1001,IF(J1003="EMZOR",PR!$R1001,IF(J1003="EUMATT",PR!$S1001,IF(J1003="FIDSON",PR!$T1001,IF(J1003="FCGLOBAL",PR!$U1001,IF(J1003="GENEITH",PR!$V1001,IF(J1003="GINOS",PR!$W1001,IF(J1003="GSK",PR!$X1001,IF(J1003="GLOBORG",PR!$Y1001,IF(J1003="GOODNEWS",PR!$Z1001,IF(J1003="GREENLIFE",PR!$AA1001,IF(J1003="HLINE",PR!$AB1001,IF(J1003="ROTECH",PR!$AC1001,IF(J1003="ISN",PR!$AD1001,IF(J1003="JAWA",PR!$AE1001,IF(J1003="LAYO",PR!$AF1001,IF(J1003="LEADWAY",PR!$AG1001,IF(J1003="LHV",PR!$AH1001,IF(J1003="MANOLA",PR!$AI1001,IF(J1003="MARCSON",PR!$AJ1001,IF(J1003="M&amp;B",PR!$AK1001,IF(J1003="MTRUST",PR!$AL1001,IF(J1003="MWORLD",PR!$AM1001,IF(J1003="MEGA",PR!$AN1001,IF(J1003="MICRONOVA",PR!$AO1001,IF(J1003="MFLASH",PR!$AP1001,IF(J1003="MORISON",PR!$AQ1001,IF(J1003="NEMEL",PR!$AR1001,IF(J1003="NHP",PR!$AS1001,IF(J1003="NHC",PR!$AT1001,IF(J1003="OLEAF",PR!$AU1001,IF(J1003="OCULUS",PR!$AV1001,IF(J1003="PACIFIC",PR!$AW1001,IF(J1003="PHAMATEX",PR!$AX1001,IF(J1003="PETHICS",PR!$AY1001,IF(J1003="PHILIPS",PR!$AZ1001,IF(J1003="RANBAXY",PR!$BA1001,IF(J1003="REALS",PR!$BB1001,IF(J1003="ROYAL",PR!$BC1001,IF(J1003="SAM",PR!$BD1001,IF(J1003="SEAGREEN",PR!$BE1001,IF(J1003="SKG",PR!$BF1001,IF(J1003="TAH",PR!$BG1001,IF(J1003="TAYLEK",PR!$BH1001,IF(J1003="TEMITA",PR!$BI1001,IF(J1003="THL",PR!$BJ1001,IF(J1003="UBASTIC",PR!$BK1001,IF(J1003="UNION",PR!$BL1001,IF(J1003="UNIQUE",PR!$BM1001,IF(J1003="VIXA",PR!$BN1001,IF(J1003="WWCV",PR!$BO1001,IF(J1003="ZOLON",PR!$BP1001,"-"))))))))))))))))))))))))))))))))))))))))))))))))))))))))))))))))</f>
        <v>-</v>
      </c>
      <c r="J1003" s="102"/>
      <c r="K1003" s="433"/>
      <c r="L1003" s="183" t="b">
        <f>IF(K1003&gt;0,IF(K1003="ALPHA",PR!$E1001,IF(K1003="ASSENE",PR!$F1001,IF(K1003="BIOFEM",PR!$G1001,IF(K1003="BIOMED",PR!$H1001,IF(K1003="CHI",PR!$I1001,IF(K1003="CLARION",PR!$J1001,IF(K1003="CODIX",PR!$K1001,IF(K1003="COSMADE",PR!$L1001,IF(K1003="SANCON",PR!$M1001,IF(K1003="DEVON",PR!$N1001,IF(K1003="DORTEMAG",PR!$O1001,IF(K1003="DGF",PR!$P1001,IF(K1003="DYNAMIC",PR!$Q1001,IF(K1003="EMZOR",PR!$R1001,IF(K1003="EUMATT",PR!$S1001,IF(K1003="FIDSON",PR!$T1001,IF(K1003="FCGLOBAL",PR!$U1001,IF(K1003="GENEITH",PR!$V1001,IF(K1003="GINOS",PR!$W1001,IF(K1003="GSK",PR!$X1001,IF(K1003="GLOBORG",PR!$Y1001,IF(K1003="GOODNEWS",PR!$Z1001,IF(K1003="GREENLIFE",PR!$AA1001,IF(K1003="HLINE",PR!$AB1001,IF(K1003="ROTECH",PR!$AC1001,IF(K1003="ISN",PR!$AD1001,IF(K1003="JAWA",PR!$AE1001,IF(K1003="LAYO",PR!$AF1001,IF(K1003="LEADWAY",PR!$AG1001,IF(K1003="LHV",PR!$AH1001,IF(K1003="MANOLA",PR!$AI1001,IF(K1003="MARCSON",PR!$AJ1001,IF(K1003="M&amp;B",PR!$AK1001,IF(K1003="MTRUST",PR!$AL1001,IF(K1003="MWORLD",PR!$AM1001,IF(K1003="MEGA",PR!$AN1001,IF(K1003="MICRONOVA",PR!$AO1001,IF(K1003="MFLASH",PR!$AP1001,IF(K1003="MORISON",PR!$AQ1001,IF(K1003="NEMEL",PR!$AR1001,IF(K1003="NHP",PR!$AS1001,IF(K1003="NHC",PR!$AT1001,IF(K1003="OLEAF",PR!$AU1001,IF(K1003="OCULUS",PR!$AV1001,IF(K1003="PACIFIC",PR!$AW1001,IF(K1003="PHAMATEX",PR!$AX1001,IF(K1003="PETHICS",PR!$AY1001,IF(K1003="PHILIPS",PR!$AZ1001,IF(K1003="RANBAXY",PR!$BA1001,IF(K1003="REALS",PR!$BB1001,IF(K1003="ROYAL",PR!$BC1001,IF(K1003="SAM",PR!$BD1001,IF(K1003="SEAGREEN",PR!$BE1001,IF(K1003="SKG",PR!$BF1001,IF(K1003="TAH",PR!$BG1001,IF(K1003="TAYLEK",PR!$BH1001,IF(K1003="TEMITA",PR!$BI1001,IF(K1003="THL",PR!$BJ1001,IF(K1003="UBASTIC",PR!$BK1001,IF(K1003="UNION",PR!$BL1001,IF(K1003="UNIQUE",PR!$BM1001,IF(K1003="VIXA",PR!$BN1001,IF(K1003="WWCV",PR!$BO1001,IF(K1003="ZOLON",PR!$BP1001,"-")))))))))))))))))))))))))))))))))))))))))))))))))))))))))))))))))</f>
        <v>0</v>
      </c>
    </row>
    <row r="1004" spans="1:12" ht="18.75" x14ac:dyDescent="0.3">
      <c r="A1004" s="430" t="str">
        <f>PR!A1002</f>
        <v>LOT 18</v>
      </c>
      <c r="B1004" s="15" t="str">
        <f>PR!B1002</f>
        <v>LABORATORY DEPARTMENT - MICROBIOLOGY</v>
      </c>
      <c r="C1004" s="113">
        <f>PR!D1002</f>
        <v>0</v>
      </c>
      <c r="D1004" s="113">
        <f>PR!C1002</f>
        <v>0</v>
      </c>
      <c r="E1004" s="108" t="str">
        <f>IF(F1004="ALPHA",PR!$E1002,IF(F1004="ASSENE",PR!$F1002,IF(F1004="BIOFEM",PR!$G1002,IF(F1004="BIOMED",PR!$H1002,IF(F1004="CHI",PR!$I1002,IF(F1004="CLARION",PR!$J1002,IF(F1004="CODIX",PR!$K1002,IF(F1004="COSMADE",PR!$L1002,IF(F1004="SANCON",PR!$M1002,IF(F1004="DEVON",PR!$N1002,IF(F1004="DORTEMAG",PR!$O1002,IF(F1004="DGF",PR!$P1002,IF(F1004="DYNAMIC",PR!$Q1002,IF(F1004="EMZOR",PR!$R1002,IF(F1004="EUMATT",PR!$S1002,IF(F1004="FIDSON",PR!$T1002,IF(F1004="FCGLOBAL",PR!$U1002,IF(F1004="GENEITH",PR!$V1002,IF(F1004="GINOS",PR!$W1002,IF(F1004="GSK",PR!$X1002,IF(F1004="GLOBORG",PR!$Y1002,IF(F1004="GOODNEWS",PR!$Z1002,IF(F1004="GREENLIFE",PR!$AA1002,IF(F1004="HLINE",PR!$AB1002,IF(F1004="ROTECH",PR!$AC1002,IF(F1004="ISN",PR!$AD1002,IF(F1004="JAWA",PR!$AE1002,IF(F1004="LAYO",PR!$AF1002,IF(F1004="LEADWAY",PR!$AG1002,IF(F1004="LHV",PR!$AH1002,IF(F1004="MANOLA",PR!$AI1002,IF(F1004="MARCSON",PR!$AJ1002,IF(F1004="M&amp;B",PR!$AK1002,IF(F1004="MTRUST",PR!$AL1002,IF(F1004="MWORLD",PR!$AM1002,IF(F1004="MEGA",PR!$AN1002,IF(F1004="MICRONOVA",PR!$AO1002,IF(F1004="MFLASH",PR!$AP1002,IF(F1004="MORISON",PR!$AQ1002,IF(F1004="NEMEL",PR!$AR1002,IF(F1004="NHP",PR!$AS1002,IF(F1004="NHC",PR!$AT1002,IF(F1004="OLEAF",PR!$AU1002,IF(F1004="OCULUS",PR!$AV1002,IF(F1004="PACIFIC",PR!$AW1002,IF(F1004="PHAMATEX",PR!$AX1002,IF(F1004="PETHICS",PR!$AY1002,IF(F1004="PHILIPS",PR!$AZ1002,IF(F1004="RANBAXY",PR!$BA1002,IF(F1004="REALS",PR!$BB1002,IF(F1004="ROYAL",PR!$BC1002,IF(F1004="SAM",PR!$BD1002,IF(F1004="SEAGREEN",PR!$BE1002,IF(F1004="SKG",PR!$BF1002,IF(F1004="TAH",PR!$BG1002,IF(F1004="TAYLEK",PR!$BH1002,IF(F1004="TEMITA",PR!$BI1002,IF(F1004="THL",PR!$BJ1002,IF(F1004="UBASTIC",PR!$BK1002,IF(F1004="UNION",PR!$BL1002,IF(F1004="UNIQUE",PR!$BM1002,IF(F1004="VIXA",PR!$BN1002,IF(F1004="WWCV",PR!$BO1002,IF(F1004="ZOLON",PR!$BP1002,"-"))))))))))))))))))))))))))))))))))))))))))))))))))))))))))))))))</f>
        <v>-</v>
      </c>
      <c r="F1004" s="102"/>
      <c r="G1004" s="108" t="str">
        <f>IF(H1004="ALPHA",PR!$E1002,IF(H1004="ASSENE",PR!$F1002,IF(H1004="BIOFEM",PR!$G1002,IF(H1004="BIOMED",PR!$H1002,IF(H1004="CHI",PR!$I1002,IF(H1004="CLARION",PR!$J1002,IF(H1004="CODIX",PR!$K1002,IF(H1004="COSMADE",PR!$L1002,IF(H1004="SANCON",PR!$M1002,IF(H1004="DEVON",PR!$N1002,IF(H1004="DORTEMAG",PR!$O1002,IF(H1004="DGF",PR!$P1002,IF(H1004="DYNAMIC",PR!$Q1002,IF(H1004="EMZOR",PR!$R1002,IF(H1004="EUMATT",PR!$S1002,IF(H1004="FIDSON",PR!$T1002,IF(H1004="FCGLOBAL",PR!$U1002,IF(H1004="GENEITH",PR!$V1002,IF(H1004="GINOS",PR!$W1002,IF(H1004="GSK",PR!$X1002,IF(H1004="GLOBORG",PR!$Y1002,IF(H1004="GOODNEWS",PR!$Z1002,IF(H1004="GREENLIFE",PR!$AA1002,IF(H1004="HLINE",PR!$AB1002,IF(H1004="ROTECH",PR!$AC1002,IF(H1004="ISN",PR!$AD1002,IF(H1004="JAWA",PR!$AE1002,IF(H1004="LAYO",PR!$AF1002,IF(H1004="LEADWAY",PR!$AG1002,IF(H1004="LHV",PR!$AH1002,IF(H1004="MANOLA",PR!$AI1002,IF(H1004="MARCSON",PR!$AJ1002,IF(H1004="M&amp;B",PR!$AK1002,IF(H1004="MTRUST",PR!$AL1002,IF(H1004="MWORLD",PR!$AM1002,IF(H1004="MEGA",PR!$AN1002,IF(H1004="MICRONOVA",PR!$AO1002,IF(H1004="MFLASH",PR!$AP1002,IF(H1004="MORISON",PR!$AQ1002,IF(H1004="NEMEL",PR!$AR1002,IF(H1004="NHP",PR!$AS1002,IF(H1004="NHC",PR!$AT1002,IF(H1004="OLEAF",PR!$AU1002,IF(H1004="OCULUS",PR!$AV1002,IF(H1004="PACIFIC",PR!$AW1002,IF(H1004="PHAMATEX",PR!$AX1002,IF(H1004="PETHICS",PR!$AY1002,IF(H1004="PHILIPS",PR!$AZ1002,IF(H1004="RANBAXY",PR!$BA1002,IF(H1004="REALS",PR!$BB1002,IF(H1004="ROYAL",PR!$BC1002,IF(H1004="SAM",PR!$BD1002,IF(H1004="SEAGREEN",PR!$BE1002,IF(H1004="SKG",PR!$BF1002,IF(H1004="TAH",PR!$BG1002,IF(H1004="TAYLEK",PR!$BH1002,IF(H1004="TEMITA",PR!$BI1002,IF(H1004="THL",PR!$BJ1002,IF(H1004="UBASTIC",PR!$BK1002,IF(H1004="UNION",PR!$BL1002,IF(H1004="UNIQUE",PR!$BM1002,IF(H1004="VIXA",PR!$BN1002,IF(H1004="WWCV",PR!$BO1002,IF(H1004="ZOLON",PR!$BP1002,"-"))))))))))))))))))))))))))))))))))))))))))))))))))))))))))))))))</f>
        <v>-</v>
      </c>
      <c r="H1004" s="102"/>
      <c r="I1004" s="108" t="str">
        <f>IF(J1004="ALPHA",PR!$E1002,IF(J1004="ASSENE",PR!$F1002,IF(J1004="BIOFEM",PR!$G1002,IF(J1004="BIOMED",PR!$H1002,IF(J1004="CHI",PR!$I1002,IF(J1004="CLARION",PR!$J1002,IF(J1004="CODIX",PR!$K1002,IF(J1004="COSMADE",PR!$L1002,IF(J1004="SANCON",PR!$M1002,IF(J1004="DEVON",PR!$N1002,IF(J1004="DORTEMAG",PR!$O1002,IF(J1004="DGF",PR!$P1002,IF(J1004="DYNAMIC",PR!$Q1002,IF(J1004="EMZOR",PR!$R1002,IF(J1004="EUMATT",PR!$S1002,IF(J1004="FIDSON",PR!$T1002,IF(J1004="FCGLOBAL",PR!$U1002,IF(J1004="GENEITH",PR!$V1002,IF(J1004="GINOS",PR!$W1002,IF(J1004="GSK",PR!$X1002,IF(J1004="GLOBORG",PR!$Y1002,IF(J1004="GOODNEWS",PR!$Z1002,IF(J1004="GREENLIFE",PR!$AA1002,IF(J1004="HLINE",PR!$AB1002,IF(J1004="ROTECH",PR!$AC1002,IF(J1004="ISN",PR!$AD1002,IF(J1004="JAWA",PR!$AE1002,IF(J1004="LAYO",PR!$AF1002,IF(J1004="LEADWAY",PR!$AG1002,IF(J1004="LHV",PR!$AH1002,IF(J1004="MANOLA",PR!$AI1002,IF(J1004="MARCSON",PR!$AJ1002,IF(J1004="M&amp;B",PR!$AK1002,IF(J1004="MTRUST",PR!$AL1002,IF(J1004="MWORLD",PR!$AM1002,IF(J1004="MEGA",PR!$AN1002,IF(J1004="MICRONOVA",PR!$AO1002,IF(J1004="MFLASH",PR!$AP1002,IF(J1004="MORISON",PR!$AQ1002,IF(J1004="NEMEL",PR!$AR1002,IF(J1004="NHP",PR!$AS1002,IF(J1004="NHC",PR!$AT1002,IF(J1004="OLEAF",PR!$AU1002,IF(J1004="OCULUS",PR!$AV1002,IF(J1004="PACIFIC",PR!$AW1002,IF(J1004="PHAMATEX",PR!$AX1002,IF(J1004="PETHICS",PR!$AY1002,IF(J1004="PHILIPS",PR!$AZ1002,IF(J1004="RANBAXY",PR!$BA1002,IF(J1004="REALS",PR!$BB1002,IF(J1004="ROYAL",PR!$BC1002,IF(J1004="SAM",PR!$BD1002,IF(J1004="SEAGREEN",PR!$BE1002,IF(J1004="SKG",PR!$BF1002,IF(J1004="TAH",PR!$BG1002,IF(J1004="TAYLEK",PR!$BH1002,IF(J1004="TEMITA",PR!$BI1002,IF(J1004="THL",PR!$BJ1002,IF(J1004="UBASTIC",PR!$BK1002,IF(J1004="UNION",PR!$BL1002,IF(J1004="UNIQUE",PR!$BM1002,IF(J1004="VIXA",PR!$BN1002,IF(J1004="WWCV",PR!$BO1002,IF(J1004="ZOLON",PR!$BP1002,"-"))))))))))))))))))))))))))))))))))))))))))))))))))))))))))))))))</f>
        <v>-</v>
      </c>
      <c r="J1004" s="102"/>
      <c r="K1004" s="433"/>
      <c r="L1004" s="183" t="b">
        <f>IF(K1004&gt;0,IF(K1004="ALPHA",PR!$E1002,IF(K1004="ASSENE",PR!$F1002,IF(K1004="BIOFEM",PR!$G1002,IF(K1004="BIOMED",PR!$H1002,IF(K1004="CHI",PR!$I1002,IF(K1004="CLARION",PR!$J1002,IF(K1004="CODIX",PR!$K1002,IF(K1004="COSMADE",PR!$L1002,IF(K1004="SANCON",PR!$M1002,IF(K1004="DEVON",PR!$N1002,IF(K1004="DORTEMAG",PR!$O1002,IF(K1004="DGF",PR!$P1002,IF(K1004="DYNAMIC",PR!$Q1002,IF(K1004="EMZOR",PR!$R1002,IF(K1004="EUMATT",PR!$S1002,IF(K1004="FIDSON",PR!$T1002,IF(K1004="FCGLOBAL",PR!$U1002,IF(K1004="GENEITH",PR!$V1002,IF(K1004="GINOS",PR!$W1002,IF(K1004="GSK",PR!$X1002,IF(K1004="GLOBORG",PR!$Y1002,IF(K1004="GOODNEWS",PR!$Z1002,IF(K1004="GREENLIFE",PR!$AA1002,IF(K1004="HLINE",PR!$AB1002,IF(K1004="ROTECH",PR!$AC1002,IF(K1004="ISN",PR!$AD1002,IF(K1004="JAWA",PR!$AE1002,IF(K1004="LAYO",PR!$AF1002,IF(K1004="LEADWAY",PR!$AG1002,IF(K1004="LHV",PR!$AH1002,IF(K1004="MANOLA",PR!$AI1002,IF(K1004="MARCSON",PR!$AJ1002,IF(K1004="M&amp;B",PR!$AK1002,IF(K1004="MTRUST",PR!$AL1002,IF(K1004="MWORLD",PR!$AM1002,IF(K1004="MEGA",PR!$AN1002,IF(K1004="MICRONOVA",PR!$AO1002,IF(K1004="MFLASH",PR!$AP1002,IF(K1004="MORISON",PR!$AQ1002,IF(K1004="NEMEL",PR!$AR1002,IF(K1004="NHP",PR!$AS1002,IF(K1004="NHC",PR!$AT1002,IF(K1004="OLEAF",PR!$AU1002,IF(K1004="OCULUS",PR!$AV1002,IF(K1004="PACIFIC",PR!$AW1002,IF(K1004="PHAMATEX",PR!$AX1002,IF(K1004="PETHICS",PR!$AY1002,IF(K1004="PHILIPS",PR!$AZ1002,IF(K1004="RANBAXY",PR!$BA1002,IF(K1004="REALS",PR!$BB1002,IF(K1004="ROYAL",PR!$BC1002,IF(K1004="SAM",PR!$BD1002,IF(K1004="SEAGREEN",PR!$BE1002,IF(K1004="SKG",PR!$BF1002,IF(K1004="TAH",PR!$BG1002,IF(K1004="TAYLEK",PR!$BH1002,IF(K1004="TEMITA",PR!$BI1002,IF(K1004="THL",PR!$BJ1002,IF(K1004="UBASTIC",PR!$BK1002,IF(K1004="UNION",PR!$BL1002,IF(K1004="UNIQUE",PR!$BM1002,IF(K1004="VIXA",PR!$BN1002,IF(K1004="WWCV",PR!$BO1002,IF(K1004="ZOLON",PR!$BP1002,"-")))))))))))))))))))))))))))))))))))))))))))))))))))))))))))))))))</f>
        <v>0</v>
      </c>
    </row>
    <row r="1005" spans="1:12" ht="18.75" x14ac:dyDescent="0.3">
      <c r="A1005" s="430">
        <f>PR!A1003</f>
        <v>0</v>
      </c>
      <c r="B1005" s="15" t="str">
        <f>PR!B1003</f>
        <v>REAGENTS/KITS</v>
      </c>
      <c r="C1005" s="113">
        <f>PR!D1003</f>
        <v>0</v>
      </c>
      <c r="D1005" s="113">
        <f>PR!C1003</f>
        <v>0</v>
      </c>
      <c r="E1005" s="108" t="str">
        <f>IF(F1005="ALPHA",PR!$E1003,IF(F1005="ASSENE",PR!$F1003,IF(F1005="BIOFEM",PR!$G1003,IF(F1005="BIOMED",PR!$H1003,IF(F1005="CHI",PR!$I1003,IF(F1005="CLARION",PR!$J1003,IF(F1005="CODIX",PR!$K1003,IF(F1005="COSMADE",PR!$L1003,IF(F1005="SANCON",PR!$M1003,IF(F1005="DEVON",PR!$N1003,IF(F1005="DORTEMAG",PR!$O1003,IF(F1005="DGF",PR!$P1003,IF(F1005="DYNAMIC",PR!$Q1003,IF(F1005="EMZOR",PR!$R1003,IF(F1005="EUMATT",PR!$S1003,IF(F1005="FIDSON",PR!$T1003,IF(F1005="FCGLOBAL",PR!$U1003,IF(F1005="GENEITH",PR!$V1003,IF(F1005="GINOS",PR!$W1003,IF(F1005="GSK",PR!$X1003,IF(F1005="GLOBORG",PR!$Y1003,IF(F1005="GOODNEWS",PR!$Z1003,IF(F1005="GREENLIFE",PR!$AA1003,IF(F1005="HLINE",PR!$AB1003,IF(F1005="ROTECH",PR!$AC1003,IF(F1005="ISN",PR!$AD1003,IF(F1005="JAWA",PR!$AE1003,IF(F1005="LAYO",PR!$AF1003,IF(F1005="LEADWAY",PR!$AG1003,IF(F1005="LHV",PR!$AH1003,IF(F1005="MANOLA",PR!$AI1003,IF(F1005="MARCSON",PR!$AJ1003,IF(F1005="M&amp;B",PR!$AK1003,IF(F1005="MTRUST",PR!$AL1003,IF(F1005="MWORLD",PR!$AM1003,IF(F1005="MEGA",PR!$AN1003,IF(F1005="MICRONOVA",PR!$AO1003,IF(F1005="MFLASH",PR!$AP1003,IF(F1005="MORISON",PR!$AQ1003,IF(F1005="NEMEL",PR!$AR1003,IF(F1005="NHP",PR!$AS1003,IF(F1005="NHC",PR!$AT1003,IF(F1005="OLEAF",PR!$AU1003,IF(F1005="OCULUS",PR!$AV1003,IF(F1005="PACIFIC",PR!$AW1003,IF(F1005="PHAMATEX",PR!$AX1003,IF(F1005="PETHICS",PR!$AY1003,IF(F1005="PHILIPS",PR!$AZ1003,IF(F1005="RANBAXY",PR!$BA1003,IF(F1005="REALS",PR!$BB1003,IF(F1005="ROYAL",PR!$BC1003,IF(F1005="SAM",PR!$BD1003,IF(F1005="SEAGREEN",PR!$BE1003,IF(F1005="SKG",PR!$BF1003,IF(F1005="TAH",PR!$BG1003,IF(F1005="TAYLEK",PR!$BH1003,IF(F1005="TEMITA",PR!$BI1003,IF(F1005="THL",PR!$BJ1003,IF(F1005="UBASTIC",PR!$BK1003,IF(F1005="UNION",PR!$BL1003,IF(F1005="UNIQUE",PR!$BM1003,IF(F1005="VIXA",PR!$BN1003,IF(F1005="WWCV",PR!$BO1003,IF(F1005="ZOLON",PR!$BP1003,"-"))))))))))))))))))))))))))))))))))))))))))))))))))))))))))))))))</f>
        <v>-</v>
      </c>
      <c r="F1005" s="102"/>
      <c r="G1005" s="108" t="str">
        <f>IF(H1005="ALPHA",PR!$E1003,IF(H1005="ASSENE",PR!$F1003,IF(H1005="BIOFEM",PR!$G1003,IF(H1005="BIOMED",PR!$H1003,IF(H1005="CHI",PR!$I1003,IF(H1005="CLARION",PR!$J1003,IF(H1005="CODIX",PR!$K1003,IF(H1005="COSMADE",PR!$L1003,IF(H1005="SANCON",PR!$M1003,IF(H1005="DEVON",PR!$N1003,IF(H1005="DORTEMAG",PR!$O1003,IF(H1005="DGF",PR!$P1003,IF(H1005="DYNAMIC",PR!$Q1003,IF(H1005="EMZOR",PR!$R1003,IF(H1005="EUMATT",PR!$S1003,IF(H1005="FIDSON",PR!$T1003,IF(H1005="FCGLOBAL",PR!$U1003,IF(H1005="GENEITH",PR!$V1003,IF(H1005="GINOS",PR!$W1003,IF(H1005="GSK",PR!$X1003,IF(H1005="GLOBORG",PR!$Y1003,IF(H1005="GOODNEWS",PR!$Z1003,IF(H1005="GREENLIFE",PR!$AA1003,IF(H1005="HLINE",PR!$AB1003,IF(H1005="ROTECH",PR!$AC1003,IF(H1005="ISN",PR!$AD1003,IF(H1005="JAWA",PR!$AE1003,IF(H1005="LAYO",PR!$AF1003,IF(H1005="LEADWAY",PR!$AG1003,IF(H1005="LHV",PR!$AH1003,IF(H1005="MANOLA",PR!$AI1003,IF(H1005="MARCSON",PR!$AJ1003,IF(H1005="M&amp;B",PR!$AK1003,IF(H1005="MTRUST",PR!$AL1003,IF(H1005="MWORLD",PR!$AM1003,IF(H1005="MEGA",PR!$AN1003,IF(H1005="MICRONOVA",PR!$AO1003,IF(H1005="MFLASH",PR!$AP1003,IF(H1005="MORISON",PR!$AQ1003,IF(H1005="NEMEL",PR!$AR1003,IF(H1005="NHP",PR!$AS1003,IF(H1005="NHC",PR!$AT1003,IF(H1005="OLEAF",PR!$AU1003,IF(H1005="OCULUS",PR!$AV1003,IF(H1005="PACIFIC",PR!$AW1003,IF(H1005="PHAMATEX",PR!$AX1003,IF(H1005="PETHICS",PR!$AY1003,IF(H1005="PHILIPS",PR!$AZ1003,IF(H1005="RANBAXY",PR!$BA1003,IF(H1005="REALS",PR!$BB1003,IF(H1005="ROYAL",PR!$BC1003,IF(H1005="SAM",PR!$BD1003,IF(H1005="SEAGREEN",PR!$BE1003,IF(H1005="SKG",PR!$BF1003,IF(H1005="TAH",PR!$BG1003,IF(H1005="TAYLEK",PR!$BH1003,IF(H1005="TEMITA",PR!$BI1003,IF(H1005="THL",PR!$BJ1003,IF(H1005="UBASTIC",PR!$BK1003,IF(H1005="UNION",PR!$BL1003,IF(H1005="UNIQUE",PR!$BM1003,IF(H1005="VIXA",PR!$BN1003,IF(H1005="WWCV",PR!$BO1003,IF(H1005="ZOLON",PR!$BP1003,"-"))))))))))))))))))))))))))))))))))))))))))))))))))))))))))))))))</f>
        <v>-</v>
      </c>
      <c r="H1005" s="102"/>
      <c r="I1005" s="108" t="str">
        <f>IF(J1005="ALPHA",PR!$E1003,IF(J1005="ASSENE",PR!$F1003,IF(J1005="BIOFEM",PR!$G1003,IF(J1005="BIOMED",PR!$H1003,IF(J1005="CHI",PR!$I1003,IF(J1005="CLARION",PR!$J1003,IF(J1005="CODIX",PR!$K1003,IF(J1005="COSMADE",PR!$L1003,IF(J1005="SANCON",PR!$M1003,IF(J1005="DEVON",PR!$N1003,IF(J1005="DORTEMAG",PR!$O1003,IF(J1005="DGF",PR!$P1003,IF(J1005="DYNAMIC",PR!$Q1003,IF(J1005="EMZOR",PR!$R1003,IF(J1005="EUMATT",PR!$S1003,IF(J1005="FIDSON",PR!$T1003,IF(J1005="FCGLOBAL",PR!$U1003,IF(J1005="GENEITH",PR!$V1003,IF(J1005="GINOS",PR!$W1003,IF(J1005="GSK",PR!$X1003,IF(J1005="GLOBORG",PR!$Y1003,IF(J1005="GOODNEWS",PR!$Z1003,IF(J1005="GREENLIFE",PR!$AA1003,IF(J1005="HLINE",PR!$AB1003,IF(J1005="ROTECH",PR!$AC1003,IF(J1005="ISN",PR!$AD1003,IF(J1005="JAWA",PR!$AE1003,IF(J1005="LAYO",PR!$AF1003,IF(J1005="LEADWAY",PR!$AG1003,IF(J1005="LHV",PR!$AH1003,IF(J1005="MANOLA",PR!$AI1003,IF(J1005="MARCSON",PR!$AJ1003,IF(J1005="M&amp;B",PR!$AK1003,IF(J1005="MTRUST",PR!$AL1003,IF(J1005="MWORLD",PR!$AM1003,IF(J1005="MEGA",PR!$AN1003,IF(J1005="MICRONOVA",PR!$AO1003,IF(J1005="MFLASH",PR!$AP1003,IF(J1005="MORISON",PR!$AQ1003,IF(J1005="NEMEL",PR!$AR1003,IF(J1005="NHP",PR!$AS1003,IF(J1005="NHC",PR!$AT1003,IF(J1005="OLEAF",PR!$AU1003,IF(J1005="OCULUS",PR!$AV1003,IF(J1005="PACIFIC",PR!$AW1003,IF(J1005="PHAMATEX",PR!$AX1003,IF(J1005="PETHICS",PR!$AY1003,IF(J1005="PHILIPS",PR!$AZ1003,IF(J1005="RANBAXY",PR!$BA1003,IF(J1005="REALS",PR!$BB1003,IF(J1005="ROYAL",PR!$BC1003,IF(J1005="SAM",PR!$BD1003,IF(J1005="SEAGREEN",PR!$BE1003,IF(J1005="SKG",PR!$BF1003,IF(J1005="TAH",PR!$BG1003,IF(J1005="TAYLEK",PR!$BH1003,IF(J1005="TEMITA",PR!$BI1003,IF(J1005="THL",PR!$BJ1003,IF(J1005="UBASTIC",PR!$BK1003,IF(J1005="UNION",PR!$BL1003,IF(J1005="UNIQUE",PR!$BM1003,IF(J1005="VIXA",PR!$BN1003,IF(J1005="WWCV",PR!$BO1003,IF(J1005="ZOLON",PR!$BP1003,"-"))))))))))))))))))))))))))))))))))))))))))))))))))))))))))))))))</f>
        <v>-</v>
      </c>
      <c r="J1005" s="102"/>
      <c r="K1005" s="433"/>
      <c r="L1005" s="183" t="b">
        <f>IF(K1005&gt;0,IF(K1005="ALPHA",PR!$E1003,IF(K1005="ASSENE",PR!$F1003,IF(K1005="BIOFEM",PR!$G1003,IF(K1005="BIOMED",PR!$H1003,IF(K1005="CHI",PR!$I1003,IF(K1005="CLARION",PR!$J1003,IF(K1005="CODIX",PR!$K1003,IF(K1005="COSMADE",PR!$L1003,IF(K1005="SANCON",PR!$M1003,IF(K1005="DEVON",PR!$N1003,IF(K1005="DORTEMAG",PR!$O1003,IF(K1005="DGF",PR!$P1003,IF(K1005="DYNAMIC",PR!$Q1003,IF(K1005="EMZOR",PR!$R1003,IF(K1005="EUMATT",PR!$S1003,IF(K1005="FIDSON",PR!$T1003,IF(K1005="FCGLOBAL",PR!$U1003,IF(K1005="GENEITH",PR!$V1003,IF(K1005="GINOS",PR!$W1003,IF(K1005="GSK",PR!$X1003,IF(K1005="GLOBORG",PR!$Y1003,IF(K1005="GOODNEWS",PR!$Z1003,IF(K1005="GREENLIFE",PR!$AA1003,IF(K1005="HLINE",PR!$AB1003,IF(K1005="ROTECH",PR!$AC1003,IF(K1005="ISN",PR!$AD1003,IF(K1005="JAWA",PR!$AE1003,IF(K1005="LAYO",PR!$AF1003,IF(K1005="LEADWAY",PR!$AG1003,IF(K1005="LHV",PR!$AH1003,IF(K1005="MANOLA",PR!$AI1003,IF(K1005="MARCSON",PR!$AJ1003,IF(K1005="M&amp;B",PR!$AK1003,IF(K1005="MTRUST",PR!$AL1003,IF(K1005="MWORLD",PR!$AM1003,IF(K1005="MEGA",PR!$AN1003,IF(K1005="MICRONOVA",PR!$AO1003,IF(K1005="MFLASH",PR!$AP1003,IF(K1005="MORISON",PR!$AQ1003,IF(K1005="NEMEL",PR!$AR1003,IF(K1005="NHP",PR!$AS1003,IF(K1005="NHC",PR!$AT1003,IF(K1005="OLEAF",PR!$AU1003,IF(K1005="OCULUS",PR!$AV1003,IF(K1005="PACIFIC",PR!$AW1003,IF(K1005="PHAMATEX",PR!$AX1003,IF(K1005="PETHICS",PR!$AY1003,IF(K1005="PHILIPS",PR!$AZ1003,IF(K1005="RANBAXY",PR!$BA1003,IF(K1005="REALS",PR!$BB1003,IF(K1005="ROYAL",PR!$BC1003,IF(K1005="SAM",PR!$BD1003,IF(K1005="SEAGREEN",PR!$BE1003,IF(K1005="SKG",PR!$BF1003,IF(K1005="TAH",PR!$BG1003,IF(K1005="TAYLEK",PR!$BH1003,IF(K1005="TEMITA",PR!$BI1003,IF(K1005="THL",PR!$BJ1003,IF(K1005="UBASTIC",PR!$BK1003,IF(K1005="UNION",PR!$BL1003,IF(K1005="UNIQUE",PR!$BM1003,IF(K1005="VIXA",PR!$BN1003,IF(K1005="WWCV",PR!$BO1003,IF(K1005="ZOLON",PR!$BP1003,"-")))))))))))))))))))))))))))))))))))))))))))))))))))))))))))))))))</f>
        <v>0</v>
      </c>
    </row>
    <row r="1006" spans="1:12" ht="18.75" x14ac:dyDescent="0.3">
      <c r="A1006" s="430">
        <f>PR!A1004</f>
        <v>902</v>
      </c>
      <c r="B1006" s="15" t="str">
        <f>PR!B1004</f>
        <v>LIQUID SOAP</v>
      </c>
      <c r="C1006" s="113" t="str">
        <f>PR!D1004</f>
        <v>1 cartoon (500)</v>
      </c>
      <c r="D1006" s="113">
        <f>PR!C1004</f>
        <v>240</v>
      </c>
      <c r="E1006" s="108">
        <f>IF(F1006="ALPHA",PR!$E1004,IF(F1006="ASSENE",PR!$F1004,IF(F1006="BIOFEM",PR!$G1004,IF(F1006="BIOMED",PR!$H1004,IF(F1006="CHI",PR!$I1004,IF(F1006="CLARION",PR!$J1004,IF(F1006="CODIX",PR!$K1004,IF(F1006="COSMADE",PR!$L1004,IF(F1006="SANCON",PR!$M1004,IF(F1006="DEVON",PR!$N1004,IF(F1006="DORTEMAG",PR!$O1004,IF(F1006="DGF",PR!$P1004,IF(F1006="DYNAMIC",PR!$Q1004,IF(F1006="EMZOR",PR!$R1004,IF(F1006="EUMATT",PR!$S1004,IF(F1006="FIDSON",PR!$T1004,IF(F1006="FCGLOBAL",PR!$U1004,IF(F1006="GENEITH",PR!$V1004,IF(F1006="GINOS",PR!$W1004,IF(F1006="GSK",PR!$X1004,IF(F1006="GLOBORG",PR!$Y1004,IF(F1006="GOODNEWS",PR!$Z1004,IF(F1006="GREENLIFE",PR!$AA1004,IF(F1006="HLINE",PR!$AB1004,IF(F1006="ROTECH",PR!$AC1004,IF(F1006="ISN",PR!$AD1004,IF(F1006="JAWA",PR!$AE1004,IF(F1006="LAYO",PR!$AF1004,IF(F1006="LEADWAY",PR!$AG1004,IF(F1006="LHV",PR!$AH1004,IF(F1006="MANOLA",PR!$AI1004,IF(F1006="MARCSON",PR!$AJ1004,IF(F1006="M&amp;B",PR!$AK1004,IF(F1006="MTRUST",PR!$AL1004,IF(F1006="MWORLD",PR!$AM1004,IF(F1006="MEGA",PR!$AN1004,IF(F1006="MICRONOVA",PR!$AO1004,IF(F1006="MFLASH",PR!$AP1004,IF(F1006="MORISON",PR!$AQ1004,IF(F1006="NEMEL",PR!$AR1004,IF(F1006="NHP",PR!$AS1004,IF(F1006="NHC",PR!$AT1004,IF(F1006="OLEAF",PR!$AU1004,IF(F1006="OCULUS",PR!$AV1004,IF(F1006="PACIFIC",PR!$AW1004,IF(F1006="PHAMATEX",PR!$AX1004,IF(F1006="PETHICS",PR!$AY1004,IF(F1006="PHILIPS",PR!$AZ1004,IF(F1006="RANBAXY",PR!$BA1004,IF(F1006="REALS",PR!$BB1004,IF(F1006="ROYAL",PR!$BC1004,IF(F1006="SAM",PR!$BD1004,IF(F1006="SEAGREEN",PR!$BE1004,IF(F1006="SKG",PR!$BF1004,IF(F1006="TAH",PR!$BG1004,IF(F1006="TAYLEK",PR!$BH1004,IF(F1006="TEMITA",PR!$BI1004,IF(F1006="THL",PR!$BJ1004,IF(F1006="UBASTIC",PR!$BK1004,IF(F1006="UNION",PR!$BL1004,IF(F1006="UNIQUE",PR!$BM1004,IF(F1006="VIXA",PR!$BN1004,IF(F1006="WWCV",PR!$BO1004,IF(F1006="ZOLON",PR!$BP1004,"-"))))))))))))))))))))))))))))))))))))))))))))))))))))))))))))))))</f>
        <v>4800</v>
      </c>
      <c r="F1006" s="102" t="str">
        <f>EV!L1286</f>
        <v>SANCON</v>
      </c>
      <c r="G1006" s="108">
        <f>IF(H1006="ALPHA",PR!$E1004,IF(H1006="ASSENE",PR!$F1004,IF(H1006="BIOFEM",PR!$G1004,IF(H1006="BIOMED",PR!$H1004,IF(H1006="CHI",PR!$I1004,IF(H1006="CLARION",PR!$J1004,IF(H1006="CODIX",PR!$K1004,IF(H1006="COSMADE",PR!$L1004,IF(H1006="SANCON",PR!$M1004,IF(H1006="DEVON",PR!$N1004,IF(H1006="DORTEMAG",PR!$O1004,IF(H1006="DGF",PR!$P1004,IF(H1006="DYNAMIC",PR!$Q1004,IF(H1006="EMZOR",PR!$R1004,IF(H1006="EUMATT",PR!$S1004,IF(H1006="FIDSON",PR!$T1004,IF(H1006="FCGLOBAL",PR!$U1004,IF(H1006="GENEITH",PR!$V1004,IF(H1006="GINOS",PR!$W1004,IF(H1006="GSK",PR!$X1004,IF(H1006="GLOBORG",PR!$Y1004,IF(H1006="GOODNEWS",PR!$Z1004,IF(H1006="GREENLIFE",PR!$AA1004,IF(H1006="HLINE",PR!$AB1004,IF(H1006="ROTECH",PR!$AC1004,IF(H1006="ISN",PR!$AD1004,IF(H1006="JAWA",PR!$AE1004,IF(H1006="LAYO",PR!$AF1004,IF(H1006="LEADWAY",PR!$AG1004,IF(H1006="LHV",PR!$AH1004,IF(H1006="MANOLA",PR!$AI1004,IF(H1006="MARCSON",PR!$AJ1004,IF(H1006="M&amp;B",PR!$AK1004,IF(H1006="MTRUST",PR!$AL1004,IF(H1006="MWORLD",PR!$AM1004,IF(H1006="MEGA",PR!$AN1004,IF(H1006="MICRONOVA",PR!$AO1004,IF(H1006="MFLASH",PR!$AP1004,IF(H1006="MORISON",PR!$AQ1004,IF(H1006="NEMEL",PR!$AR1004,IF(H1006="NHP",PR!$AS1004,IF(H1006="NHC",PR!$AT1004,IF(H1006="OLEAF",PR!$AU1004,IF(H1006="OCULUS",PR!$AV1004,IF(H1006="PACIFIC",PR!$AW1004,IF(H1006="PHAMATEX",PR!$AX1004,IF(H1006="PETHICS",PR!$AY1004,IF(H1006="PHILIPS",PR!$AZ1004,IF(H1006="RANBAXY",PR!$BA1004,IF(H1006="REALS",PR!$BB1004,IF(H1006="ROYAL",PR!$BC1004,IF(H1006="SAM",PR!$BD1004,IF(H1006="SEAGREEN",PR!$BE1004,IF(H1006="SKG",PR!$BF1004,IF(H1006="TAH",PR!$BG1004,IF(H1006="TAYLEK",PR!$BH1004,IF(H1006="TEMITA",PR!$BI1004,IF(H1006="THL",PR!$BJ1004,IF(H1006="UBASTIC",PR!$BK1004,IF(H1006="UNION",PR!$BL1004,IF(H1006="UNIQUE",PR!$BM1004,IF(H1006="VIXA",PR!$BN1004,IF(H1006="WWCV",PR!$BO1004,IF(H1006="ZOLON",PR!$BP1004,"-"))))))))))))))))))))))))))))))))))))))))))))))))))))))))))))))))</f>
        <v>5625</v>
      </c>
      <c r="H1006" s="102" t="str">
        <f>EV!M1286</f>
        <v>UBASTIC</v>
      </c>
      <c r="I1006" s="108">
        <f>IF(J1006="ALPHA",PR!$E1004,IF(J1006="ASSENE",PR!$F1004,IF(J1006="BIOFEM",PR!$G1004,IF(J1006="BIOMED",PR!$H1004,IF(J1006="CHI",PR!$I1004,IF(J1006="CLARION",PR!$J1004,IF(J1006="CODIX",PR!$K1004,IF(J1006="COSMADE",PR!$L1004,IF(J1006="SANCON",PR!$M1004,IF(J1006="DEVON",PR!$N1004,IF(J1006="DORTEMAG",PR!$O1004,IF(J1006="DGF",PR!$P1004,IF(J1006="DYNAMIC",PR!$Q1004,IF(J1006="EMZOR",PR!$R1004,IF(J1006="EUMATT",PR!$S1004,IF(J1006="FIDSON",PR!$T1004,IF(J1006="FCGLOBAL",PR!$U1004,IF(J1006="GENEITH",PR!$V1004,IF(J1006="GINOS",PR!$W1004,IF(J1006="GSK",PR!$X1004,IF(J1006="GLOBORG",PR!$Y1004,IF(J1006="GOODNEWS",PR!$Z1004,IF(J1006="GREENLIFE",PR!$AA1004,IF(J1006="HLINE",PR!$AB1004,IF(J1006="ROTECH",PR!$AC1004,IF(J1006="ISN",PR!$AD1004,IF(J1006="JAWA",PR!$AE1004,IF(J1006="LAYO",PR!$AF1004,IF(J1006="LEADWAY",PR!$AG1004,IF(J1006="LHV",PR!$AH1004,IF(J1006="MANOLA",PR!$AI1004,IF(J1006="MARCSON",PR!$AJ1004,IF(J1006="M&amp;B",PR!$AK1004,IF(J1006="MTRUST",PR!$AL1004,IF(J1006="MWORLD",PR!$AM1004,IF(J1006="MEGA",PR!$AN1004,IF(J1006="MICRONOVA",PR!$AO1004,IF(J1006="MFLASH",PR!$AP1004,IF(J1006="MORISON",PR!$AQ1004,IF(J1006="NEMEL",PR!$AR1004,IF(J1006="NHP",PR!$AS1004,IF(J1006="NHC",PR!$AT1004,IF(J1006="OLEAF",PR!$AU1004,IF(J1006="OCULUS",PR!$AV1004,IF(J1006="PACIFIC",PR!$AW1004,IF(J1006="PHAMATEX",PR!$AX1004,IF(J1006="PETHICS",PR!$AY1004,IF(J1006="PHILIPS",PR!$AZ1004,IF(J1006="RANBAXY",PR!$BA1004,IF(J1006="REALS",PR!$BB1004,IF(J1006="ROYAL",PR!$BC1004,IF(J1006="SAM",PR!$BD1004,IF(J1006="SEAGREEN",PR!$BE1004,IF(J1006="SKG",PR!$BF1004,IF(J1006="TAH",PR!$BG1004,IF(J1006="TAYLEK",PR!$BH1004,IF(J1006="TEMITA",PR!$BI1004,IF(J1006="THL",PR!$BJ1004,IF(J1006="UBASTIC",PR!$BK1004,IF(J1006="UNION",PR!$BL1004,IF(J1006="UNIQUE",PR!$BM1004,IF(J1006="VIXA",PR!$BN1004,IF(J1006="WWCV",PR!$BO1004,IF(J1006="ZOLON",PR!$BP1004,"-"))))))))))))))))))))))))))))))))))))))))))))))))))))))))))))))))</f>
        <v>6300</v>
      </c>
      <c r="J1006" s="102" t="str">
        <f>EV!N1286</f>
        <v>TEMITA</v>
      </c>
      <c r="K1006" s="433" t="s">
        <v>817</v>
      </c>
      <c r="L1006" s="183">
        <f>IF(K1006&gt;0,IF(K1006="ALPHA",PR!$E1004,IF(K1006="ASSENE",PR!$F1004,IF(K1006="BIOFEM",PR!$G1004,IF(K1006="BIOMED",PR!$H1004,IF(K1006="CHI",PR!$I1004,IF(K1006="CLARION",PR!$J1004,IF(K1006="CODIX",PR!$K1004,IF(K1006="COSMADE",PR!$L1004,IF(K1006="SANCON",PR!$M1004,IF(K1006="DEVON",PR!$N1004,IF(K1006="DORTEMAG",PR!$O1004,IF(K1006="DGF",PR!$P1004,IF(K1006="DYNAMIC",PR!$Q1004,IF(K1006="EMZOR",PR!$R1004,IF(K1006="EUMATT",PR!$S1004,IF(K1006="FIDSON",PR!$T1004,IF(K1006="FCGLOBAL",PR!$U1004,IF(K1006="GENEITH",PR!$V1004,IF(K1006="GINOS",PR!$W1004,IF(K1006="GSK",PR!$X1004,IF(K1006="GLOBORG",PR!$Y1004,IF(K1006="GOODNEWS",PR!$Z1004,IF(K1006="GREENLIFE",PR!$AA1004,IF(K1006="HLINE",PR!$AB1004,IF(K1006="ROTECH",PR!$AC1004,IF(K1006="ISN",PR!$AD1004,IF(K1006="JAWA",PR!$AE1004,IF(K1006="LAYO",PR!$AF1004,IF(K1006="LEADWAY",PR!$AG1004,IF(K1006="LHV",PR!$AH1004,IF(K1006="MANOLA",PR!$AI1004,IF(K1006="MARCSON",PR!$AJ1004,IF(K1006="M&amp;B",PR!$AK1004,IF(K1006="MTRUST",PR!$AL1004,IF(K1006="MWORLD",PR!$AM1004,IF(K1006="MEGA",PR!$AN1004,IF(K1006="MICRONOVA",PR!$AO1004,IF(K1006="MFLASH",PR!$AP1004,IF(K1006="MORISON",PR!$AQ1004,IF(K1006="NEMEL",PR!$AR1004,IF(K1006="NHP",PR!$AS1004,IF(K1006="NHC",PR!$AT1004,IF(K1006="OLEAF",PR!$AU1004,IF(K1006="OCULUS",PR!$AV1004,IF(K1006="PACIFIC",PR!$AW1004,IF(K1006="PHAMATEX",PR!$AX1004,IF(K1006="PETHICS",PR!$AY1004,IF(K1006="PHILIPS",PR!$AZ1004,IF(K1006="RANBAXY",PR!$BA1004,IF(K1006="REALS",PR!$BB1004,IF(K1006="ROYAL",PR!$BC1004,IF(K1006="SAM",PR!$BD1004,IF(K1006="SEAGREEN",PR!$BE1004,IF(K1006="SKG",PR!$BF1004,IF(K1006="TAH",PR!$BG1004,IF(K1006="TAYLEK",PR!$BH1004,IF(K1006="TEMITA",PR!$BI1004,IF(K1006="THL",PR!$BJ1004,IF(K1006="UBASTIC",PR!$BK1004,IF(K1006="UNION",PR!$BL1004,IF(K1006="UNIQUE",PR!$BM1004,IF(K1006="VIXA",PR!$BN1004,IF(K1006="WWCV",PR!$BO1004,IF(K1006="ZOLON",PR!$BP1004,"-")))))))))))))))))))))))))))))))))))))))))))))))))))))))))))))))))</f>
        <v>4800</v>
      </c>
    </row>
    <row r="1007" spans="1:12" ht="18.75" x14ac:dyDescent="0.3">
      <c r="A1007" s="430">
        <f>PR!A1005</f>
        <v>903</v>
      </c>
      <c r="B1007" s="15" t="str">
        <f>PR!B1005</f>
        <v>HAND SANITIZER</v>
      </c>
      <c r="C1007" s="113" t="str">
        <f>PR!D1005</f>
        <v>1 cartoon of 24 pieces</v>
      </c>
      <c r="D1007" s="113">
        <f>PR!C1005</f>
        <v>240</v>
      </c>
      <c r="E1007" s="108">
        <f>IF(F1007="ALPHA",PR!$E1005,IF(F1007="ASSENE",PR!$F1005,IF(F1007="BIOFEM",PR!$G1005,IF(F1007="BIOMED",PR!$H1005,IF(F1007="CHI",PR!$I1005,IF(F1007="CLARION",PR!$J1005,IF(F1007="CODIX",PR!$K1005,IF(F1007="COSMADE",PR!$L1005,IF(F1007="SANCON",PR!$M1005,IF(F1007="DEVON",PR!$N1005,IF(F1007="DORTEMAG",PR!$O1005,IF(F1007="DGF",PR!$P1005,IF(F1007="DYNAMIC",PR!$Q1005,IF(F1007="EMZOR",PR!$R1005,IF(F1007="EUMATT",PR!$S1005,IF(F1007="FIDSON",PR!$T1005,IF(F1007="FCGLOBAL",PR!$U1005,IF(F1007="GENEITH",PR!$V1005,IF(F1007="GINOS",PR!$W1005,IF(F1007="GSK",PR!$X1005,IF(F1007="GLOBORG",PR!$Y1005,IF(F1007="GOODNEWS",PR!$Z1005,IF(F1007="GREENLIFE",PR!$AA1005,IF(F1007="HLINE",PR!$AB1005,IF(F1007="ROTECH",PR!$AC1005,IF(F1007="ISN",PR!$AD1005,IF(F1007="JAWA",PR!$AE1005,IF(F1007="LAYO",PR!$AF1005,IF(F1007="LEADWAY",PR!$AG1005,IF(F1007="LHV",PR!$AH1005,IF(F1007="MANOLA",PR!$AI1005,IF(F1007="MARCSON",PR!$AJ1005,IF(F1007="M&amp;B",PR!$AK1005,IF(F1007="MTRUST",PR!$AL1005,IF(F1007="MWORLD",PR!$AM1005,IF(F1007="MEGA",PR!$AN1005,IF(F1007="MICRONOVA",PR!$AO1005,IF(F1007="MFLASH",PR!$AP1005,IF(F1007="MORISON",PR!$AQ1005,IF(F1007="NEMEL",PR!$AR1005,IF(F1007="NHP",PR!$AS1005,IF(F1007="NHC",PR!$AT1005,IF(F1007="OLEAF",PR!$AU1005,IF(F1007="OCULUS",PR!$AV1005,IF(F1007="PACIFIC",PR!$AW1005,IF(F1007="PHAMATEX",PR!$AX1005,IF(F1007="PETHICS",PR!$AY1005,IF(F1007="PHILIPS",PR!$AZ1005,IF(F1007="RANBAXY",PR!$BA1005,IF(F1007="REALS",PR!$BB1005,IF(F1007="ROYAL",PR!$BC1005,IF(F1007="SAM",PR!$BD1005,IF(F1007="SEAGREEN",PR!$BE1005,IF(F1007="SKG",PR!$BF1005,IF(F1007="TAH",PR!$BG1005,IF(F1007="TAYLEK",PR!$BH1005,IF(F1007="TEMITA",PR!$BI1005,IF(F1007="THL",PR!$BJ1005,IF(F1007="UBASTIC",PR!$BK1005,IF(F1007="UNION",PR!$BL1005,IF(F1007="UNIQUE",PR!$BM1005,IF(F1007="VIXA",PR!$BN1005,IF(F1007="WWCV",PR!$BO1005,IF(F1007="ZOLON",PR!$BP1005,"-"))))))))))))))))))))))))))))))))))))))))))))))))))))))))))))))))</f>
        <v>8640</v>
      </c>
      <c r="F1007" s="102" t="str">
        <f>EV!L1287</f>
        <v>SANCON</v>
      </c>
      <c r="G1007" s="108">
        <f>IF(H1007="ALPHA",PR!$E1005,IF(H1007="ASSENE",PR!$F1005,IF(H1007="BIOFEM",PR!$G1005,IF(H1007="BIOMED",PR!$H1005,IF(H1007="CHI",PR!$I1005,IF(H1007="CLARION",PR!$J1005,IF(H1007="CODIX",PR!$K1005,IF(H1007="COSMADE",PR!$L1005,IF(H1007="SANCON",PR!$M1005,IF(H1007="DEVON",PR!$N1005,IF(H1007="DORTEMAG",PR!$O1005,IF(H1007="DGF",PR!$P1005,IF(H1007="DYNAMIC",PR!$Q1005,IF(H1007="EMZOR",PR!$R1005,IF(H1007="EUMATT",PR!$S1005,IF(H1007="FIDSON",PR!$T1005,IF(H1007="FCGLOBAL",PR!$U1005,IF(H1007="GENEITH",PR!$V1005,IF(H1007="GINOS",PR!$W1005,IF(H1007="GSK",PR!$X1005,IF(H1007="GLOBORG",PR!$Y1005,IF(H1007="GOODNEWS",PR!$Z1005,IF(H1007="GREENLIFE",PR!$AA1005,IF(H1007="HLINE",PR!$AB1005,IF(H1007="ROTECH",PR!$AC1005,IF(H1007="ISN",PR!$AD1005,IF(H1007="JAWA",PR!$AE1005,IF(H1007="LAYO",PR!$AF1005,IF(H1007="LEADWAY",PR!$AG1005,IF(H1007="LHV",PR!$AH1005,IF(H1007="MANOLA",PR!$AI1005,IF(H1007="MARCSON",PR!$AJ1005,IF(H1007="M&amp;B",PR!$AK1005,IF(H1007="MTRUST",PR!$AL1005,IF(H1007="MWORLD",PR!$AM1005,IF(H1007="MEGA",PR!$AN1005,IF(H1007="MICRONOVA",PR!$AO1005,IF(H1007="MFLASH",PR!$AP1005,IF(H1007="MORISON",PR!$AQ1005,IF(H1007="NEMEL",PR!$AR1005,IF(H1007="NHP",PR!$AS1005,IF(H1007="NHC",PR!$AT1005,IF(H1007="OLEAF",PR!$AU1005,IF(H1007="OCULUS",PR!$AV1005,IF(H1007="PACIFIC",PR!$AW1005,IF(H1007="PHAMATEX",PR!$AX1005,IF(H1007="PETHICS",PR!$AY1005,IF(H1007="PHILIPS",PR!$AZ1005,IF(H1007="RANBAXY",PR!$BA1005,IF(H1007="REALS",PR!$BB1005,IF(H1007="ROYAL",PR!$BC1005,IF(H1007="SAM",PR!$BD1005,IF(H1007="SEAGREEN",PR!$BE1005,IF(H1007="SKG",PR!$BF1005,IF(H1007="TAH",PR!$BG1005,IF(H1007="TAYLEK",PR!$BH1005,IF(H1007="TEMITA",PR!$BI1005,IF(H1007="THL",PR!$BJ1005,IF(H1007="UBASTIC",PR!$BK1005,IF(H1007="UNION",PR!$BL1005,IF(H1007="UNIQUE",PR!$BM1005,IF(H1007="VIXA",PR!$BN1005,IF(H1007="WWCV",PR!$BO1005,IF(H1007="ZOLON",PR!$BP1005,"-"))))))))))))))))))))))))))))))))))))))))))))))))))))))))))))))))</f>
        <v>9000</v>
      </c>
      <c r="H1007" s="102" t="str">
        <f>EV!M1287</f>
        <v>UBASTIC</v>
      </c>
      <c r="I1007" s="108" t="str">
        <f>IF(J1007="ALPHA",PR!$E1005,IF(J1007="ASSENE",PR!$F1005,IF(J1007="BIOFEM",PR!$G1005,IF(J1007="BIOMED",PR!$H1005,IF(J1007="CHI",PR!$I1005,IF(J1007="CLARION",PR!$J1005,IF(J1007="CODIX",PR!$K1005,IF(J1007="COSMADE",PR!$L1005,IF(J1007="SANCON",PR!$M1005,IF(J1007="DEVON",PR!$N1005,IF(J1007="DORTEMAG",PR!$O1005,IF(J1007="DGF",PR!$P1005,IF(J1007="DYNAMIC",PR!$Q1005,IF(J1007="EMZOR",PR!$R1005,IF(J1007="EUMATT",PR!$S1005,IF(J1007="FIDSON",PR!$T1005,IF(J1007="FCGLOBAL",PR!$U1005,IF(J1007="GENEITH",PR!$V1005,IF(J1007="GINOS",PR!$W1005,IF(J1007="GSK",PR!$X1005,IF(J1007="GLOBORG",PR!$Y1005,IF(J1007="GOODNEWS",PR!$Z1005,IF(J1007="GREENLIFE",PR!$AA1005,IF(J1007="HLINE",PR!$AB1005,IF(J1007="ROTECH",PR!$AC1005,IF(J1007="ISN",PR!$AD1005,IF(J1007="JAWA",PR!$AE1005,IF(J1007="LAYO",PR!$AF1005,IF(J1007="LEADWAY",PR!$AG1005,IF(J1007="LHV",PR!$AH1005,IF(J1007="MANOLA",PR!$AI1005,IF(J1007="MARCSON",PR!$AJ1005,IF(J1007="M&amp;B",PR!$AK1005,IF(J1007="MTRUST",PR!$AL1005,IF(J1007="MWORLD",PR!$AM1005,IF(J1007="MEGA",PR!$AN1005,IF(J1007="MICRONOVA",PR!$AO1005,IF(J1007="MFLASH",PR!$AP1005,IF(J1007="MORISON",PR!$AQ1005,IF(J1007="NEMEL",PR!$AR1005,IF(J1007="NHP",PR!$AS1005,IF(J1007="NHC",PR!$AT1005,IF(J1007="OLEAF",PR!$AU1005,IF(J1007="OCULUS",PR!$AV1005,IF(J1007="PACIFIC",PR!$AW1005,IF(J1007="PHAMATEX",PR!$AX1005,IF(J1007="PETHICS",PR!$AY1005,IF(J1007="PHILIPS",PR!$AZ1005,IF(J1007="RANBAXY",PR!$BA1005,IF(J1007="REALS",PR!$BB1005,IF(J1007="ROYAL",PR!$BC1005,IF(J1007="SAM",PR!$BD1005,IF(J1007="SEAGREEN",PR!$BE1005,IF(J1007="SKG",PR!$BF1005,IF(J1007="TAH",PR!$BG1005,IF(J1007="TAYLEK",PR!$BH1005,IF(J1007="TEMITA",PR!$BI1005,IF(J1007="THL",PR!$BJ1005,IF(J1007="UBASTIC",PR!$BK1005,IF(J1007="UNION",PR!$BL1005,IF(J1007="UNIQUE",PR!$BM1005,IF(J1007="VIXA",PR!$BN1005,IF(J1007="WWCV",PR!$BO1005,IF(J1007="ZOLON",PR!$BP1005,"-"))))))))))))))))))))))))))))))))))))))))))))))))))))))))))))))))</f>
        <v>-</v>
      </c>
      <c r="J1007" s="102">
        <f>EV!N1287</f>
        <v>0</v>
      </c>
      <c r="K1007" s="433" t="s">
        <v>817</v>
      </c>
      <c r="L1007" s="183">
        <f>IF(K1007&gt;0,IF(K1007="ALPHA",PR!$E1005,IF(K1007="ASSENE",PR!$F1005,IF(K1007="BIOFEM",PR!$G1005,IF(K1007="BIOMED",PR!$H1005,IF(K1007="CHI",PR!$I1005,IF(K1007="CLARION",PR!$J1005,IF(K1007="CODIX",PR!$K1005,IF(K1007="COSMADE",PR!$L1005,IF(K1007="SANCON",PR!$M1005,IF(K1007="DEVON",PR!$N1005,IF(K1007="DORTEMAG",PR!$O1005,IF(K1007="DGF",PR!$P1005,IF(K1007="DYNAMIC",PR!$Q1005,IF(K1007="EMZOR",PR!$R1005,IF(K1007="EUMATT",PR!$S1005,IF(K1007="FIDSON",PR!$T1005,IF(K1007="FCGLOBAL",PR!$U1005,IF(K1007="GENEITH",PR!$V1005,IF(K1007="GINOS",PR!$W1005,IF(K1007="GSK",PR!$X1005,IF(K1007="GLOBORG",PR!$Y1005,IF(K1007="GOODNEWS",PR!$Z1005,IF(K1007="GREENLIFE",PR!$AA1005,IF(K1007="HLINE",PR!$AB1005,IF(K1007="ROTECH",PR!$AC1005,IF(K1007="ISN",PR!$AD1005,IF(K1007="JAWA",PR!$AE1005,IF(K1007="LAYO",PR!$AF1005,IF(K1007="LEADWAY",PR!$AG1005,IF(K1007="LHV",PR!$AH1005,IF(K1007="MANOLA",PR!$AI1005,IF(K1007="MARCSON",PR!$AJ1005,IF(K1007="M&amp;B",PR!$AK1005,IF(K1007="MTRUST",PR!$AL1005,IF(K1007="MWORLD",PR!$AM1005,IF(K1007="MEGA",PR!$AN1005,IF(K1007="MICRONOVA",PR!$AO1005,IF(K1007="MFLASH",PR!$AP1005,IF(K1007="MORISON",PR!$AQ1005,IF(K1007="NEMEL",PR!$AR1005,IF(K1007="NHP",PR!$AS1005,IF(K1007="NHC",PR!$AT1005,IF(K1007="OLEAF",PR!$AU1005,IF(K1007="OCULUS",PR!$AV1005,IF(K1007="PACIFIC",PR!$AW1005,IF(K1007="PHAMATEX",PR!$AX1005,IF(K1007="PETHICS",PR!$AY1005,IF(K1007="PHILIPS",PR!$AZ1005,IF(K1007="RANBAXY",PR!$BA1005,IF(K1007="REALS",PR!$BB1005,IF(K1007="ROYAL",PR!$BC1005,IF(K1007="SAM",PR!$BD1005,IF(K1007="SEAGREEN",PR!$BE1005,IF(K1007="SKG",PR!$BF1005,IF(K1007="TAH",PR!$BG1005,IF(K1007="TAYLEK",PR!$BH1005,IF(K1007="TEMITA",PR!$BI1005,IF(K1007="THL",PR!$BJ1005,IF(K1007="UBASTIC",PR!$BK1005,IF(K1007="UNION",PR!$BL1005,IF(K1007="UNIQUE",PR!$BM1005,IF(K1007="VIXA",PR!$BN1005,IF(K1007="WWCV",PR!$BO1005,IF(K1007="ZOLON",PR!$BP1005,"-")))))))))))))))))))))))))))))))))))))))))))))))))))))))))))))))))</f>
        <v>8640</v>
      </c>
    </row>
    <row r="1008" spans="1:12" ht="18.75" x14ac:dyDescent="0.3">
      <c r="A1008" s="430">
        <f>PR!A1006</f>
        <v>904</v>
      </c>
      <c r="B1008" s="15" t="str">
        <f>PR!B1006</f>
        <v>HEPATITIS B</v>
      </c>
      <c r="C1008" s="113" t="str">
        <f>PR!D1006</f>
        <v>1 pack of 50 kit</v>
      </c>
      <c r="D1008" s="113">
        <f>PR!C1006</f>
        <v>240</v>
      </c>
      <c r="E1008" s="108">
        <f>IF(F1008="ALPHA",PR!$E1006,IF(F1008="ASSENE",PR!$F1006,IF(F1008="BIOFEM",PR!$G1006,IF(F1008="BIOMED",PR!$H1006,IF(F1008="CHI",PR!$I1006,IF(F1008="CLARION",PR!$J1006,IF(F1008="CODIX",PR!$K1006,IF(F1008="COSMADE",PR!$L1006,IF(F1008="SANCON",PR!$M1006,IF(F1008="DEVON",PR!$N1006,IF(F1008="DORTEMAG",PR!$O1006,IF(F1008="DGF",PR!$P1006,IF(F1008="DYNAMIC",PR!$Q1006,IF(F1008="EMZOR",PR!$R1006,IF(F1008="EUMATT",PR!$S1006,IF(F1008="FIDSON",PR!$T1006,IF(F1008="FCGLOBAL",PR!$U1006,IF(F1008="GENEITH",PR!$V1006,IF(F1008="GINOS",PR!$W1006,IF(F1008="GSK",PR!$X1006,IF(F1008="GLOBORG",PR!$Y1006,IF(F1008="GOODNEWS",PR!$Z1006,IF(F1008="GREENLIFE",PR!$AA1006,IF(F1008="HLINE",PR!$AB1006,IF(F1008="ROTECH",PR!$AC1006,IF(F1008="ISN",PR!$AD1006,IF(F1008="JAWA",PR!$AE1006,IF(F1008="LAYO",PR!$AF1006,IF(F1008="LEADWAY",PR!$AG1006,IF(F1008="LHV",PR!$AH1006,IF(F1008="MANOLA",PR!$AI1006,IF(F1008="MARCSON",PR!$AJ1006,IF(F1008="M&amp;B",PR!$AK1006,IF(F1008="MTRUST",PR!$AL1006,IF(F1008="MWORLD",PR!$AM1006,IF(F1008="MEGA",PR!$AN1006,IF(F1008="MICRONOVA",PR!$AO1006,IF(F1008="MFLASH",PR!$AP1006,IF(F1008="MORISON",PR!$AQ1006,IF(F1008="NEMEL",PR!$AR1006,IF(F1008="NHP",PR!$AS1006,IF(F1008="NHC",PR!$AT1006,IF(F1008="OLEAF",PR!$AU1006,IF(F1008="OCULUS",PR!$AV1006,IF(F1008="PACIFIC",PR!$AW1006,IF(F1008="PHAMATEX",PR!$AX1006,IF(F1008="PETHICS",PR!$AY1006,IF(F1008="PHILIPS",PR!$AZ1006,IF(F1008="RANBAXY",PR!$BA1006,IF(F1008="REALS",PR!$BB1006,IF(F1008="ROYAL",PR!$BC1006,IF(F1008="SAM",PR!$BD1006,IF(F1008="SEAGREEN",PR!$BE1006,IF(F1008="SKG",PR!$BF1006,IF(F1008="TAH",PR!$BG1006,IF(F1008="TAYLEK",PR!$BH1006,IF(F1008="TEMITA",PR!$BI1006,IF(F1008="THL",PR!$BJ1006,IF(F1008="UBASTIC",PR!$BK1006,IF(F1008="UNION",PR!$BL1006,IF(F1008="UNIQUE",PR!$BM1006,IF(F1008="VIXA",PR!$BN1006,IF(F1008="WWCV",PR!$BO1006,IF(F1008="ZOLON",PR!$BP1006,"-"))))))))))))))))))))))))))))))))))))))))))))))))))))))))))))))))</f>
        <v>3500</v>
      </c>
      <c r="F1008" s="102" t="str">
        <f>EV!L1288</f>
        <v>UBASTIC</v>
      </c>
      <c r="G1008" s="108">
        <f>IF(H1008="ALPHA",PR!$E1006,IF(H1008="ASSENE",PR!$F1006,IF(H1008="BIOFEM",PR!$G1006,IF(H1008="BIOMED",PR!$H1006,IF(H1008="CHI",PR!$I1006,IF(H1008="CLARION",PR!$J1006,IF(H1008="CODIX",PR!$K1006,IF(H1008="COSMADE",PR!$L1006,IF(H1008="SANCON",PR!$M1006,IF(H1008="DEVON",PR!$N1006,IF(H1008="DORTEMAG",PR!$O1006,IF(H1008="DGF",PR!$P1006,IF(H1008="DYNAMIC",PR!$Q1006,IF(H1008="EMZOR",PR!$R1006,IF(H1008="EUMATT",PR!$S1006,IF(H1008="FIDSON",PR!$T1006,IF(H1008="FCGLOBAL",PR!$U1006,IF(H1008="GENEITH",PR!$V1006,IF(H1008="GINOS",PR!$W1006,IF(H1008="GSK",PR!$X1006,IF(H1008="GLOBORG",PR!$Y1006,IF(H1008="GOODNEWS",PR!$Z1006,IF(H1008="GREENLIFE",PR!$AA1006,IF(H1008="HLINE",PR!$AB1006,IF(H1008="ROTECH",PR!$AC1006,IF(H1008="ISN",PR!$AD1006,IF(H1008="JAWA",PR!$AE1006,IF(H1008="LAYO",PR!$AF1006,IF(H1008="LEADWAY",PR!$AG1006,IF(H1008="LHV",PR!$AH1006,IF(H1008="MANOLA",PR!$AI1006,IF(H1008="MARCSON",PR!$AJ1006,IF(H1008="M&amp;B",PR!$AK1006,IF(H1008="MTRUST",PR!$AL1006,IF(H1008="MWORLD",PR!$AM1006,IF(H1008="MEGA",PR!$AN1006,IF(H1008="MICRONOVA",PR!$AO1006,IF(H1008="MFLASH",PR!$AP1006,IF(H1008="MORISON",PR!$AQ1006,IF(H1008="NEMEL",PR!$AR1006,IF(H1008="NHP",PR!$AS1006,IF(H1008="NHC",PR!$AT1006,IF(H1008="OLEAF",PR!$AU1006,IF(H1008="OCULUS",PR!$AV1006,IF(H1008="PACIFIC",PR!$AW1006,IF(H1008="PHAMATEX",PR!$AX1006,IF(H1008="PETHICS",PR!$AY1006,IF(H1008="PHILIPS",PR!$AZ1006,IF(H1008="RANBAXY",PR!$BA1006,IF(H1008="REALS",PR!$BB1006,IF(H1008="ROYAL",PR!$BC1006,IF(H1008="SAM",PR!$BD1006,IF(H1008="SEAGREEN",PR!$BE1006,IF(H1008="SKG",PR!$BF1006,IF(H1008="TAH",PR!$BG1006,IF(H1008="TAYLEK",PR!$BH1006,IF(H1008="TEMITA",PR!$BI1006,IF(H1008="THL",PR!$BJ1006,IF(H1008="UBASTIC",PR!$BK1006,IF(H1008="UNION",PR!$BL1006,IF(H1008="UNIQUE",PR!$BM1006,IF(H1008="VIXA",PR!$BN1006,IF(H1008="WWCV",PR!$BO1006,IF(H1008="ZOLON",PR!$BP1006,"-"))))))))))))))))))))))))))))))))))))))))))))))))))))))))))))))))</f>
        <v>3520</v>
      </c>
      <c r="H1008" s="102" t="str">
        <f>EV!M1288</f>
        <v>ROTECH</v>
      </c>
      <c r="I1008" s="108">
        <f>IF(J1008="ALPHA",PR!$E1006,IF(J1008="ASSENE",PR!$F1006,IF(J1008="BIOFEM",PR!$G1006,IF(J1008="BIOMED",PR!$H1006,IF(J1008="CHI",PR!$I1006,IF(J1008="CLARION",PR!$J1006,IF(J1008="CODIX",PR!$K1006,IF(J1008="COSMADE",PR!$L1006,IF(J1008="SANCON",PR!$M1006,IF(J1008="DEVON",PR!$N1006,IF(J1008="DORTEMAG",PR!$O1006,IF(J1008="DGF",PR!$P1006,IF(J1008="DYNAMIC",PR!$Q1006,IF(J1008="EMZOR",PR!$R1006,IF(J1008="EUMATT",PR!$S1006,IF(J1008="FIDSON",PR!$T1006,IF(J1008="FCGLOBAL",PR!$U1006,IF(J1008="GENEITH",PR!$V1006,IF(J1008="GINOS",PR!$W1006,IF(J1008="GSK",PR!$X1006,IF(J1008="GLOBORG",PR!$Y1006,IF(J1008="GOODNEWS",PR!$Z1006,IF(J1008="GREENLIFE",PR!$AA1006,IF(J1008="HLINE",PR!$AB1006,IF(J1008="ROTECH",PR!$AC1006,IF(J1008="ISN",PR!$AD1006,IF(J1008="JAWA",PR!$AE1006,IF(J1008="LAYO",PR!$AF1006,IF(J1008="LEADWAY",PR!$AG1006,IF(J1008="LHV",PR!$AH1006,IF(J1008="MANOLA",PR!$AI1006,IF(J1008="MARCSON",PR!$AJ1006,IF(J1008="M&amp;B",PR!$AK1006,IF(J1008="MTRUST",PR!$AL1006,IF(J1008="MWORLD",PR!$AM1006,IF(J1008="MEGA",PR!$AN1006,IF(J1008="MICRONOVA",PR!$AO1006,IF(J1008="MFLASH",PR!$AP1006,IF(J1008="MORISON",PR!$AQ1006,IF(J1008="NEMEL",PR!$AR1006,IF(J1008="NHP",PR!$AS1006,IF(J1008="NHC",PR!$AT1006,IF(J1008="OLEAF",PR!$AU1006,IF(J1008="OCULUS",PR!$AV1006,IF(J1008="PACIFIC",PR!$AW1006,IF(J1008="PHAMATEX",PR!$AX1006,IF(J1008="PETHICS",PR!$AY1006,IF(J1008="PHILIPS",PR!$AZ1006,IF(J1008="RANBAXY",PR!$BA1006,IF(J1008="REALS",PR!$BB1006,IF(J1008="ROYAL",PR!$BC1006,IF(J1008="SAM",PR!$BD1006,IF(J1008="SEAGREEN",PR!$BE1006,IF(J1008="SKG",PR!$BF1006,IF(J1008="TAH",PR!$BG1006,IF(J1008="TAYLEK",PR!$BH1006,IF(J1008="TEMITA",PR!$BI1006,IF(J1008="THL",PR!$BJ1006,IF(J1008="UBASTIC",PR!$BK1006,IF(J1008="UNION",PR!$BL1006,IF(J1008="UNIQUE",PR!$BM1006,IF(J1008="VIXA",PR!$BN1006,IF(J1008="WWCV",PR!$BO1006,IF(J1008="ZOLON",PR!$BP1006,"-"))))))))))))))))))))))))))))))))))))))))))))))))))))))))))))))))</f>
        <v>3800</v>
      </c>
      <c r="J1008" s="102" t="str">
        <f>EV!N1288</f>
        <v>TEMITA</v>
      </c>
      <c r="K1008" s="433" t="s">
        <v>1459</v>
      </c>
      <c r="L1008" s="183">
        <f>IF(K1008&gt;0,IF(K1008="ALPHA",PR!$E1006,IF(K1008="ASSENE",PR!$F1006,IF(K1008="BIOFEM",PR!$G1006,IF(K1008="BIOMED",PR!$H1006,IF(K1008="CHI",PR!$I1006,IF(K1008="CLARION",PR!$J1006,IF(K1008="CODIX",PR!$K1006,IF(K1008="COSMADE",PR!$L1006,IF(K1008="SANCON",PR!$M1006,IF(K1008="DEVON",PR!$N1006,IF(K1008="DORTEMAG",PR!$O1006,IF(K1008="DGF",PR!$P1006,IF(K1008="DYNAMIC",PR!$Q1006,IF(K1008="EMZOR",PR!$R1006,IF(K1008="EUMATT",PR!$S1006,IF(K1008="FIDSON",PR!$T1006,IF(K1008="FCGLOBAL",PR!$U1006,IF(K1008="GENEITH",PR!$V1006,IF(K1008="GINOS",PR!$W1006,IF(K1008="GSK",PR!$X1006,IF(K1008="GLOBORG",PR!$Y1006,IF(K1008="GOODNEWS",PR!$Z1006,IF(K1008="GREENLIFE",PR!$AA1006,IF(K1008="HLINE",PR!$AB1006,IF(K1008="ROTECH",PR!$AC1006,IF(K1008="ISN",PR!$AD1006,IF(K1008="JAWA",PR!$AE1006,IF(K1008="LAYO",PR!$AF1006,IF(K1008="LEADWAY",PR!$AG1006,IF(K1008="LHV",PR!$AH1006,IF(K1008="MANOLA",PR!$AI1006,IF(K1008="MARCSON",PR!$AJ1006,IF(K1008="M&amp;B",PR!$AK1006,IF(K1008="MTRUST",PR!$AL1006,IF(K1008="MWORLD",PR!$AM1006,IF(K1008="MEGA",PR!$AN1006,IF(K1008="MICRONOVA",PR!$AO1006,IF(K1008="MFLASH",PR!$AP1006,IF(K1008="MORISON",PR!$AQ1006,IF(K1008="NEMEL",PR!$AR1006,IF(K1008="NHP",PR!$AS1006,IF(K1008="NHC",PR!$AT1006,IF(K1008="OLEAF",PR!$AU1006,IF(K1008="OCULUS",PR!$AV1006,IF(K1008="PACIFIC",PR!$AW1006,IF(K1008="PHAMATEX",PR!$AX1006,IF(K1008="PETHICS",PR!$AY1006,IF(K1008="PHILIPS",PR!$AZ1006,IF(K1008="RANBAXY",PR!$BA1006,IF(K1008="REALS",PR!$BB1006,IF(K1008="ROYAL",PR!$BC1006,IF(K1008="SAM",PR!$BD1006,IF(K1008="SEAGREEN",PR!$BE1006,IF(K1008="SKG",PR!$BF1006,IF(K1008="TAH",PR!$BG1006,IF(K1008="TAYLEK",PR!$BH1006,IF(K1008="TEMITA",PR!$BI1006,IF(K1008="THL",PR!$BJ1006,IF(K1008="UBASTIC",PR!$BK1006,IF(K1008="UNION",PR!$BL1006,IF(K1008="UNIQUE",PR!$BM1006,IF(K1008="VIXA",PR!$BN1006,IF(K1008="WWCV",PR!$BO1006,IF(K1008="ZOLON",PR!$BP1006,"-")))))))))))))))))))))))))))))))))))))))))))))))))))))))))))))))))</f>
        <v>3500</v>
      </c>
    </row>
    <row r="1009" spans="1:12" ht="18.75" x14ac:dyDescent="0.3">
      <c r="A1009" s="430">
        <f>PR!A1007</f>
        <v>905</v>
      </c>
      <c r="B1009" s="15" t="str">
        <f>PR!B1007</f>
        <v>HCV (HEPATITIS C)</v>
      </c>
      <c r="C1009" s="113" t="str">
        <f>PR!D1007</f>
        <v>1 pack of 50 kit</v>
      </c>
      <c r="D1009" s="113">
        <f>PR!C1007</f>
        <v>240</v>
      </c>
      <c r="E1009" s="108">
        <f>IF(F1009="ALPHA",PR!$E1007,IF(F1009="ASSENE",PR!$F1007,IF(F1009="BIOFEM",PR!$G1007,IF(F1009="BIOMED",PR!$H1007,IF(F1009="CHI",PR!$I1007,IF(F1009="CLARION",PR!$J1007,IF(F1009="CODIX",PR!$K1007,IF(F1009="COSMADE",PR!$L1007,IF(F1009="SANCON",PR!$M1007,IF(F1009="DEVON",PR!$N1007,IF(F1009="DORTEMAG",PR!$O1007,IF(F1009="DGF",PR!$P1007,IF(F1009="DYNAMIC",PR!$Q1007,IF(F1009="EMZOR",PR!$R1007,IF(F1009="EUMATT",PR!$S1007,IF(F1009="FIDSON",PR!$T1007,IF(F1009="FCGLOBAL",PR!$U1007,IF(F1009="GENEITH",PR!$V1007,IF(F1009="GINOS",PR!$W1007,IF(F1009="GSK",PR!$X1007,IF(F1009="GLOBORG",PR!$Y1007,IF(F1009="GOODNEWS",PR!$Z1007,IF(F1009="GREENLIFE",PR!$AA1007,IF(F1009="HLINE",PR!$AB1007,IF(F1009="ROTECH",PR!$AC1007,IF(F1009="ISN",PR!$AD1007,IF(F1009="JAWA",PR!$AE1007,IF(F1009="LAYO",PR!$AF1007,IF(F1009="LEADWAY",PR!$AG1007,IF(F1009="LHV",PR!$AH1007,IF(F1009="MANOLA",PR!$AI1007,IF(F1009="MARCSON",PR!$AJ1007,IF(F1009="M&amp;B",PR!$AK1007,IF(F1009="MTRUST",PR!$AL1007,IF(F1009="MWORLD",PR!$AM1007,IF(F1009="MEGA",PR!$AN1007,IF(F1009="MICRONOVA",PR!$AO1007,IF(F1009="MFLASH",PR!$AP1007,IF(F1009="MORISON",PR!$AQ1007,IF(F1009="NEMEL",PR!$AR1007,IF(F1009="NHP",PR!$AS1007,IF(F1009="NHC",PR!$AT1007,IF(F1009="OLEAF",PR!$AU1007,IF(F1009="OCULUS",PR!$AV1007,IF(F1009="PACIFIC",PR!$AW1007,IF(F1009="PHAMATEX",PR!$AX1007,IF(F1009="PETHICS",PR!$AY1007,IF(F1009="PHILIPS",PR!$AZ1007,IF(F1009="RANBAXY",PR!$BA1007,IF(F1009="REALS",PR!$BB1007,IF(F1009="ROYAL",PR!$BC1007,IF(F1009="SAM",PR!$BD1007,IF(F1009="SEAGREEN",PR!$BE1007,IF(F1009="SKG",PR!$BF1007,IF(F1009="TAH",PR!$BG1007,IF(F1009="TAYLEK",PR!$BH1007,IF(F1009="TEMITA",PR!$BI1007,IF(F1009="THL",PR!$BJ1007,IF(F1009="UBASTIC",PR!$BK1007,IF(F1009="UNION",PR!$BL1007,IF(F1009="UNIQUE",PR!$BM1007,IF(F1009="VIXA",PR!$BN1007,IF(F1009="WWCV",PR!$BO1007,IF(F1009="ZOLON",PR!$BP1007,"-"))))))))))))))))))))))))))))))))))))))))))))))))))))))))))))))))</f>
        <v>5500</v>
      </c>
      <c r="F1009" s="102" t="str">
        <f>EV!L1289</f>
        <v>UBASTIC</v>
      </c>
      <c r="G1009" s="108">
        <f>IF(H1009="ALPHA",PR!$E1007,IF(H1009="ASSENE",PR!$F1007,IF(H1009="BIOFEM",PR!$G1007,IF(H1009="BIOMED",PR!$H1007,IF(H1009="CHI",PR!$I1007,IF(H1009="CLARION",PR!$J1007,IF(H1009="CODIX",PR!$K1007,IF(H1009="COSMADE",PR!$L1007,IF(H1009="SANCON",PR!$M1007,IF(H1009="DEVON",PR!$N1007,IF(H1009="DORTEMAG",PR!$O1007,IF(H1009="DGF",PR!$P1007,IF(H1009="DYNAMIC",PR!$Q1007,IF(H1009="EMZOR",PR!$R1007,IF(H1009="EUMATT",PR!$S1007,IF(H1009="FIDSON",PR!$T1007,IF(H1009="FCGLOBAL",PR!$U1007,IF(H1009="GENEITH",PR!$V1007,IF(H1009="GINOS",PR!$W1007,IF(H1009="GSK",PR!$X1007,IF(H1009="GLOBORG",PR!$Y1007,IF(H1009="GOODNEWS",PR!$Z1007,IF(H1009="GREENLIFE",PR!$AA1007,IF(H1009="HLINE",PR!$AB1007,IF(H1009="ROTECH",PR!$AC1007,IF(H1009="ISN",PR!$AD1007,IF(H1009="JAWA",PR!$AE1007,IF(H1009="LAYO",PR!$AF1007,IF(H1009="LEADWAY",PR!$AG1007,IF(H1009="LHV",PR!$AH1007,IF(H1009="MANOLA",PR!$AI1007,IF(H1009="MARCSON",PR!$AJ1007,IF(H1009="M&amp;B",PR!$AK1007,IF(H1009="MTRUST",PR!$AL1007,IF(H1009="MWORLD",PR!$AM1007,IF(H1009="MEGA",PR!$AN1007,IF(H1009="MICRONOVA",PR!$AO1007,IF(H1009="MFLASH",PR!$AP1007,IF(H1009="MORISON",PR!$AQ1007,IF(H1009="NEMEL",PR!$AR1007,IF(H1009="NHP",PR!$AS1007,IF(H1009="NHC",PR!$AT1007,IF(H1009="OLEAF",PR!$AU1007,IF(H1009="OCULUS",PR!$AV1007,IF(H1009="PACIFIC",PR!$AW1007,IF(H1009="PHAMATEX",PR!$AX1007,IF(H1009="PETHICS",PR!$AY1007,IF(H1009="PHILIPS",PR!$AZ1007,IF(H1009="RANBAXY",PR!$BA1007,IF(H1009="REALS",PR!$BB1007,IF(H1009="ROYAL",PR!$BC1007,IF(H1009="SAM",PR!$BD1007,IF(H1009="SEAGREEN",PR!$BE1007,IF(H1009="SKG",PR!$BF1007,IF(H1009="TAH",PR!$BG1007,IF(H1009="TAYLEK",PR!$BH1007,IF(H1009="TEMITA",PR!$BI1007,IF(H1009="THL",PR!$BJ1007,IF(H1009="UBASTIC",PR!$BK1007,IF(H1009="UNION",PR!$BL1007,IF(H1009="UNIQUE",PR!$BM1007,IF(H1009="VIXA",PR!$BN1007,IF(H1009="WWCV",PR!$BO1007,IF(H1009="ZOLON",PR!$BP1007,"-"))))))))))))))))))))))))))))))))))))))))))))))))))))))))))))))))</f>
        <v>5170</v>
      </c>
      <c r="H1009" s="102" t="str">
        <f>EV!M1289</f>
        <v>ROTECH</v>
      </c>
      <c r="I1009" s="108">
        <f>IF(J1009="ALPHA",PR!$E1007,IF(J1009="ASSENE",PR!$F1007,IF(J1009="BIOFEM",PR!$G1007,IF(J1009="BIOMED",PR!$H1007,IF(J1009="CHI",PR!$I1007,IF(J1009="CLARION",PR!$J1007,IF(J1009="CODIX",PR!$K1007,IF(J1009="COSMADE",PR!$L1007,IF(J1009="SANCON",PR!$M1007,IF(J1009="DEVON",PR!$N1007,IF(J1009="DORTEMAG",PR!$O1007,IF(J1009="DGF",PR!$P1007,IF(J1009="DYNAMIC",PR!$Q1007,IF(J1009="EMZOR",PR!$R1007,IF(J1009="EUMATT",PR!$S1007,IF(J1009="FIDSON",PR!$T1007,IF(J1009="FCGLOBAL",PR!$U1007,IF(J1009="GENEITH",PR!$V1007,IF(J1009="GINOS",PR!$W1007,IF(J1009="GSK",PR!$X1007,IF(J1009="GLOBORG",PR!$Y1007,IF(J1009="GOODNEWS",PR!$Z1007,IF(J1009="GREENLIFE",PR!$AA1007,IF(J1009="HLINE",PR!$AB1007,IF(J1009="ROTECH",PR!$AC1007,IF(J1009="ISN",PR!$AD1007,IF(J1009="JAWA",PR!$AE1007,IF(J1009="LAYO",PR!$AF1007,IF(J1009="LEADWAY",PR!$AG1007,IF(J1009="LHV",PR!$AH1007,IF(J1009="MANOLA",PR!$AI1007,IF(J1009="MARCSON",PR!$AJ1007,IF(J1009="M&amp;B",PR!$AK1007,IF(J1009="MTRUST",PR!$AL1007,IF(J1009="MWORLD",PR!$AM1007,IF(J1009="MEGA",PR!$AN1007,IF(J1009="MICRONOVA",PR!$AO1007,IF(J1009="MFLASH",PR!$AP1007,IF(J1009="MORISON",PR!$AQ1007,IF(J1009="NEMEL",PR!$AR1007,IF(J1009="NHP",PR!$AS1007,IF(J1009="NHC",PR!$AT1007,IF(J1009="OLEAF",PR!$AU1007,IF(J1009="OCULUS",PR!$AV1007,IF(J1009="PACIFIC",PR!$AW1007,IF(J1009="PHAMATEX",PR!$AX1007,IF(J1009="PETHICS",PR!$AY1007,IF(J1009="PHILIPS",PR!$AZ1007,IF(J1009="RANBAXY",PR!$BA1007,IF(J1009="REALS",PR!$BB1007,IF(J1009="ROYAL",PR!$BC1007,IF(J1009="SAM",PR!$BD1007,IF(J1009="SEAGREEN",PR!$BE1007,IF(J1009="SKG",PR!$BF1007,IF(J1009="TAH",PR!$BG1007,IF(J1009="TAYLEK",PR!$BH1007,IF(J1009="TEMITA",PR!$BI1007,IF(J1009="THL",PR!$BJ1007,IF(J1009="UBASTIC",PR!$BK1007,IF(J1009="UNION",PR!$BL1007,IF(J1009="UNIQUE",PR!$BM1007,IF(J1009="VIXA",PR!$BN1007,IF(J1009="WWCV",PR!$BO1007,IF(J1009="ZOLON",PR!$BP1007,"-"))))))))))))))))))))))))))))))))))))))))))))))))))))))))))))))))</f>
        <v>3500</v>
      </c>
      <c r="J1009" s="102" t="str">
        <f>EV!N1289</f>
        <v>TEMITA</v>
      </c>
      <c r="K1009" s="433" t="s">
        <v>1459</v>
      </c>
      <c r="L1009" s="183">
        <f>IF(K1009&gt;0,IF(K1009="ALPHA",PR!$E1007,IF(K1009="ASSENE",PR!$F1007,IF(K1009="BIOFEM",PR!$G1007,IF(K1009="BIOMED",PR!$H1007,IF(K1009="CHI",PR!$I1007,IF(K1009="CLARION",PR!$J1007,IF(K1009="CODIX",PR!$K1007,IF(K1009="COSMADE",PR!$L1007,IF(K1009="SANCON",PR!$M1007,IF(K1009="DEVON",PR!$N1007,IF(K1009="DORTEMAG",PR!$O1007,IF(K1009="DGF",PR!$P1007,IF(K1009="DYNAMIC",PR!$Q1007,IF(K1009="EMZOR",PR!$R1007,IF(K1009="EUMATT",PR!$S1007,IF(K1009="FIDSON",PR!$T1007,IF(K1009="FCGLOBAL",PR!$U1007,IF(K1009="GENEITH",PR!$V1007,IF(K1009="GINOS",PR!$W1007,IF(K1009="GSK",PR!$X1007,IF(K1009="GLOBORG",PR!$Y1007,IF(K1009="GOODNEWS",PR!$Z1007,IF(K1009="GREENLIFE",PR!$AA1007,IF(K1009="HLINE",PR!$AB1007,IF(K1009="ROTECH",PR!$AC1007,IF(K1009="ISN",PR!$AD1007,IF(K1009="JAWA",PR!$AE1007,IF(K1009="LAYO",PR!$AF1007,IF(K1009="LEADWAY",PR!$AG1007,IF(K1009="LHV",PR!$AH1007,IF(K1009="MANOLA",PR!$AI1007,IF(K1009="MARCSON",PR!$AJ1007,IF(K1009="M&amp;B",PR!$AK1007,IF(K1009="MTRUST",PR!$AL1007,IF(K1009="MWORLD",PR!$AM1007,IF(K1009="MEGA",PR!$AN1007,IF(K1009="MICRONOVA",PR!$AO1007,IF(K1009="MFLASH",PR!$AP1007,IF(K1009="MORISON",PR!$AQ1007,IF(K1009="NEMEL",PR!$AR1007,IF(K1009="NHP",PR!$AS1007,IF(K1009="NHC",PR!$AT1007,IF(K1009="OLEAF",PR!$AU1007,IF(K1009="OCULUS",PR!$AV1007,IF(K1009="PACIFIC",PR!$AW1007,IF(K1009="PHAMATEX",PR!$AX1007,IF(K1009="PETHICS",PR!$AY1007,IF(K1009="PHILIPS",PR!$AZ1007,IF(K1009="RANBAXY",PR!$BA1007,IF(K1009="REALS",PR!$BB1007,IF(K1009="ROYAL",PR!$BC1007,IF(K1009="SAM",PR!$BD1007,IF(K1009="SEAGREEN",PR!$BE1007,IF(K1009="SKG",PR!$BF1007,IF(K1009="TAH",PR!$BG1007,IF(K1009="TAYLEK",PR!$BH1007,IF(K1009="TEMITA",PR!$BI1007,IF(K1009="THL",PR!$BJ1007,IF(K1009="UBASTIC",PR!$BK1007,IF(K1009="UNION",PR!$BL1007,IF(K1009="UNIQUE",PR!$BM1007,IF(K1009="VIXA",PR!$BN1007,IF(K1009="WWCV",PR!$BO1007,IF(K1009="ZOLON",PR!$BP1007,"-")))))))))))))))))))))))))))))))))))))))))))))))))))))))))))))))))</f>
        <v>5500</v>
      </c>
    </row>
    <row r="1010" spans="1:12" ht="18.75" x14ac:dyDescent="0.3">
      <c r="A1010" s="430">
        <f>PR!A1008</f>
        <v>906</v>
      </c>
      <c r="B1010" s="15" t="str">
        <f>PR!B1008</f>
        <v>VDRL SCREENING KIT</v>
      </c>
      <c r="C1010" s="113" t="str">
        <f>PR!D1008</f>
        <v>1 pack of 50 kit</v>
      </c>
      <c r="D1010" s="113">
        <f>PR!C1008</f>
        <v>240</v>
      </c>
      <c r="E1010" s="108">
        <f>IF(F1010="ALPHA",PR!$E1008,IF(F1010="ASSENE",PR!$F1008,IF(F1010="BIOFEM",PR!$G1008,IF(F1010="BIOMED",PR!$H1008,IF(F1010="CHI",PR!$I1008,IF(F1010="CLARION",PR!$J1008,IF(F1010="CODIX",PR!$K1008,IF(F1010="COSMADE",PR!$L1008,IF(F1010="SANCON",PR!$M1008,IF(F1010="DEVON",PR!$N1008,IF(F1010="DORTEMAG",PR!$O1008,IF(F1010="DGF",PR!$P1008,IF(F1010="DYNAMIC",PR!$Q1008,IF(F1010="EMZOR",PR!$R1008,IF(F1010="EUMATT",PR!$S1008,IF(F1010="FIDSON",PR!$T1008,IF(F1010="FCGLOBAL",PR!$U1008,IF(F1010="GENEITH",PR!$V1008,IF(F1010="GINOS",PR!$W1008,IF(F1010="GSK",PR!$X1008,IF(F1010="GLOBORG",PR!$Y1008,IF(F1010="GOODNEWS",PR!$Z1008,IF(F1010="GREENLIFE",PR!$AA1008,IF(F1010="HLINE",PR!$AB1008,IF(F1010="ROTECH",PR!$AC1008,IF(F1010="ISN",PR!$AD1008,IF(F1010="JAWA",PR!$AE1008,IF(F1010="LAYO",PR!$AF1008,IF(F1010="LEADWAY",PR!$AG1008,IF(F1010="LHV",PR!$AH1008,IF(F1010="MANOLA",PR!$AI1008,IF(F1010="MARCSON",PR!$AJ1008,IF(F1010="M&amp;B",PR!$AK1008,IF(F1010="MTRUST",PR!$AL1008,IF(F1010="MWORLD",PR!$AM1008,IF(F1010="MEGA",PR!$AN1008,IF(F1010="MICRONOVA",PR!$AO1008,IF(F1010="MFLASH",PR!$AP1008,IF(F1010="MORISON",PR!$AQ1008,IF(F1010="NEMEL",PR!$AR1008,IF(F1010="NHP",PR!$AS1008,IF(F1010="NHC",PR!$AT1008,IF(F1010="OLEAF",PR!$AU1008,IF(F1010="OCULUS",PR!$AV1008,IF(F1010="PACIFIC",PR!$AW1008,IF(F1010="PHAMATEX",PR!$AX1008,IF(F1010="PETHICS",PR!$AY1008,IF(F1010="PHILIPS",PR!$AZ1008,IF(F1010="RANBAXY",PR!$BA1008,IF(F1010="REALS",PR!$BB1008,IF(F1010="ROYAL",PR!$BC1008,IF(F1010="SAM",PR!$BD1008,IF(F1010="SEAGREEN",PR!$BE1008,IF(F1010="SKG",PR!$BF1008,IF(F1010="TAH",PR!$BG1008,IF(F1010="TAYLEK",PR!$BH1008,IF(F1010="TEMITA",PR!$BI1008,IF(F1010="THL",PR!$BJ1008,IF(F1010="UBASTIC",PR!$BK1008,IF(F1010="UNION",PR!$BL1008,IF(F1010="UNIQUE",PR!$BM1008,IF(F1010="VIXA",PR!$BN1008,IF(F1010="WWCV",PR!$BO1008,IF(F1010="ZOLON",PR!$BP1008,"-"))))))))))))))))))))))))))))))))))))))))))))))))))))))))))))))))</f>
        <v>3500</v>
      </c>
      <c r="F1010" s="102" t="str">
        <f>EV!L1290</f>
        <v>UBASTIC</v>
      </c>
      <c r="G1010" s="108">
        <f>IF(H1010="ALPHA",PR!$E1008,IF(H1010="ASSENE",PR!$F1008,IF(H1010="BIOFEM",PR!$G1008,IF(H1010="BIOMED",PR!$H1008,IF(H1010="CHI",PR!$I1008,IF(H1010="CLARION",PR!$J1008,IF(H1010="CODIX",PR!$K1008,IF(H1010="COSMADE",PR!$L1008,IF(H1010="SANCON",PR!$M1008,IF(H1010="DEVON",PR!$N1008,IF(H1010="DORTEMAG",PR!$O1008,IF(H1010="DGF",PR!$P1008,IF(H1010="DYNAMIC",PR!$Q1008,IF(H1010="EMZOR",PR!$R1008,IF(H1010="EUMATT",PR!$S1008,IF(H1010="FIDSON",PR!$T1008,IF(H1010="FCGLOBAL",PR!$U1008,IF(H1010="GENEITH",PR!$V1008,IF(H1010="GINOS",PR!$W1008,IF(H1010="GSK",PR!$X1008,IF(H1010="GLOBORG",PR!$Y1008,IF(H1010="GOODNEWS",PR!$Z1008,IF(H1010="GREENLIFE",PR!$AA1008,IF(H1010="HLINE",PR!$AB1008,IF(H1010="ROTECH",PR!$AC1008,IF(H1010="ISN",PR!$AD1008,IF(H1010="JAWA",PR!$AE1008,IF(H1010="LAYO",PR!$AF1008,IF(H1010="LEADWAY",PR!$AG1008,IF(H1010="LHV",PR!$AH1008,IF(H1010="MANOLA",PR!$AI1008,IF(H1010="MARCSON",PR!$AJ1008,IF(H1010="M&amp;B",PR!$AK1008,IF(H1010="MTRUST",PR!$AL1008,IF(H1010="MWORLD",PR!$AM1008,IF(H1010="MEGA",PR!$AN1008,IF(H1010="MICRONOVA",PR!$AO1008,IF(H1010="MFLASH",PR!$AP1008,IF(H1010="MORISON",PR!$AQ1008,IF(H1010="NEMEL",PR!$AR1008,IF(H1010="NHP",PR!$AS1008,IF(H1010="NHC",PR!$AT1008,IF(H1010="OLEAF",PR!$AU1008,IF(H1010="OCULUS",PR!$AV1008,IF(H1010="PACIFIC",PR!$AW1008,IF(H1010="PHAMATEX",PR!$AX1008,IF(H1010="PETHICS",PR!$AY1008,IF(H1010="PHILIPS",PR!$AZ1008,IF(H1010="RANBAXY",PR!$BA1008,IF(H1010="REALS",PR!$BB1008,IF(H1010="ROYAL",PR!$BC1008,IF(H1010="SAM",PR!$BD1008,IF(H1010="SEAGREEN",PR!$BE1008,IF(H1010="SKG",PR!$BF1008,IF(H1010="TAH",PR!$BG1008,IF(H1010="TAYLEK",PR!$BH1008,IF(H1010="TEMITA",PR!$BI1008,IF(H1010="THL",PR!$BJ1008,IF(H1010="UBASTIC",PR!$BK1008,IF(H1010="UNION",PR!$BL1008,IF(H1010="UNIQUE",PR!$BM1008,IF(H1010="VIXA",PR!$BN1008,IF(H1010="WWCV",PR!$BO1008,IF(H1010="ZOLON",PR!$BP1008,"-"))))))))))))))))))))))))))))))))))))))))))))))))))))))))))))))))</f>
        <v>3630</v>
      </c>
      <c r="H1010" s="102" t="str">
        <f>EV!M1290</f>
        <v>ROTECH</v>
      </c>
      <c r="I1010" s="108">
        <f>IF(J1010="ALPHA",PR!$E1008,IF(J1010="ASSENE",PR!$F1008,IF(J1010="BIOFEM",PR!$G1008,IF(J1010="BIOMED",PR!$H1008,IF(J1010="CHI",PR!$I1008,IF(J1010="CLARION",PR!$J1008,IF(J1010="CODIX",PR!$K1008,IF(J1010="COSMADE",PR!$L1008,IF(J1010="SANCON",PR!$M1008,IF(J1010="DEVON",PR!$N1008,IF(J1010="DORTEMAG",PR!$O1008,IF(J1010="DGF",PR!$P1008,IF(J1010="DYNAMIC",PR!$Q1008,IF(J1010="EMZOR",PR!$R1008,IF(J1010="EUMATT",PR!$S1008,IF(J1010="FIDSON",PR!$T1008,IF(J1010="FCGLOBAL",PR!$U1008,IF(J1010="GENEITH",PR!$V1008,IF(J1010="GINOS",PR!$W1008,IF(J1010="GSK",PR!$X1008,IF(J1010="GLOBORG",PR!$Y1008,IF(J1010="GOODNEWS",PR!$Z1008,IF(J1010="GREENLIFE",PR!$AA1008,IF(J1010="HLINE",PR!$AB1008,IF(J1010="ROTECH",PR!$AC1008,IF(J1010="ISN",PR!$AD1008,IF(J1010="JAWA",PR!$AE1008,IF(J1010="LAYO",PR!$AF1008,IF(J1010="LEADWAY",PR!$AG1008,IF(J1010="LHV",PR!$AH1008,IF(J1010="MANOLA",PR!$AI1008,IF(J1010="MARCSON",PR!$AJ1008,IF(J1010="M&amp;B",PR!$AK1008,IF(J1010="MTRUST",PR!$AL1008,IF(J1010="MWORLD",PR!$AM1008,IF(J1010="MEGA",PR!$AN1008,IF(J1010="MICRONOVA",PR!$AO1008,IF(J1010="MFLASH",PR!$AP1008,IF(J1010="MORISON",PR!$AQ1008,IF(J1010="NEMEL",PR!$AR1008,IF(J1010="NHP",PR!$AS1008,IF(J1010="NHC",PR!$AT1008,IF(J1010="OLEAF",PR!$AU1008,IF(J1010="OCULUS",PR!$AV1008,IF(J1010="PACIFIC",PR!$AW1008,IF(J1010="PHAMATEX",PR!$AX1008,IF(J1010="PETHICS",PR!$AY1008,IF(J1010="PHILIPS",PR!$AZ1008,IF(J1010="RANBAXY",PR!$BA1008,IF(J1010="REALS",PR!$BB1008,IF(J1010="ROYAL",PR!$BC1008,IF(J1010="SAM",PR!$BD1008,IF(J1010="SEAGREEN",PR!$BE1008,IF(J1010="SKG",PR!$BF1008,IF(J1010="TAH",PR!$BG1008,IF(J1010="TAYLEK",PR!$BH1008,IF(J1010="TEMITA",PR!$BI1008,IF(J1010="THL",PR!$BJ1008,IF(J1010="UBASTIC",PR!$BK1008,IF(J1010="UNION",PR!$BL1008,IF(J1010="UNIQUE",PR!$BM1008,IF(J1010="VIXA",PR!$BN1008,IF(J1010="WWCV",PR!$BO1008,IF(J1010="ZOLON",PR!$BP1008,"-"))))))))))))))))))))))))))))))))))))))))))))))))))))))))))))))))</f>
        <v>2000</v>
      </c>
      <c r="J1010" s="102" t="str">
        <f>EV!N1290</f>
        <v>TEMITA</v>
      </c>
      <c r="K1010" s="433" t="s">
        <v>1459</v>
      </c>
      <c r="L1010" s="183">
        <f>IF(K1010&gt;0,IF(K1010="ALPHA",PR!$E1008,IF(K1010="ASSENE",PR!$F1008,IF(K1010="BIOFEM",PR!$G1008,IF(K1010="BIOMED",PR!$H1008,IF(K1010="CHI",PR!$I1008,IF(K1010="CLARION",PR!$J1008,IF(K1010="CODIX",PR!$K1008,IF(K1010="COSMADE",PR!$L1008,IF(K1010="SANCON",PR!$M1008,IF(K1010="DEVON",PR!$N1008,IF(K1010="DORTEMAG",PR!$O1008,IF(K1010="DGF",PR!$P1008,IF(K1010="DYNAMIC",PR!$Q1008,IF(K1010="EMZOR",PR!$R1008,IF(K1010="EUMATT",PR!$S1008,IF(K1010="FIDSON",PR!$T1008,IF(K1010="FCGLOBAL",PR!$U1008,IF(K1010="GENEITH",PR!$V1008,IF(K1010="GINOS",PR!$W1008,IF(K1010="GSK",PR!$X1008,IF(K1010="GLOBORG",PR!$Y1008,IF(K1010="GOODNEWS",PR!$Z1008,IF(K1010="GREENLIFE",PR!$AA1008,IF(K1010="HLINE",PR!$AB1008,IF(K1010="ROTECH",PR!$AC1008,IF(K1010="ISN",PR!$AD1008,IF(K1010="JAWA",PR!$AE1008,IF(K1010="LAYO",PR!$AF1008,IF(K1010="LEADWAY",PR!$AG1008,IF(K1010="LHV",PR!$AH1008,IF(K1010="MANOLA",PR!$AI1008,IF(K1010="MARCSON",PR!$AJ1008,IF(K1010="M&amp;B",PR!$AK1008,IF(K1010="MTRUST",PR!$AL1008,IF(K1010="MWORLD",PR!$AM1008,IF(K1010="MEGA",PR!$AN1008,IF(K1010="MICRONOVA",PR!$AO1008,IF(K1010="MFLASH",PR!$AP1008,IF(K1010="MORISON",PR!$AQ1008,IF(K1010="NEMEL",PR!$AR1008,IF(K1010="NHP",PR!$AS1008,IF(K1010="NHC",PR!$AT1008,IF(K1010="OLEAF",PR!$AU1008,IF(K1010="OCULUS",PR!$AV1008,IF(K1010="PACIFIC",PR!$AW1008,IF(K1010="PHAMATEX",PR!$AX1008,IF(K1010="PETHICS",PR!$AY1008,IF(K1010="PHILIPS",PR!$AZ1008,IF(K1010="RANBAXY",PR!$BA1008,IF(K1010="REALS",PR!$BB1008,IF(K1010="ROYAL",PR!$BC1008,IF(K1010="SAM",PR!$BD1008,IF(K1010="SEAGREEN",PR!$BE1008,IF(K1010="SKG",PR!$BF1008,IF(K1010="TAH",PR!$BG1008,IF(K1010="TAYLEK",PR!$BH1008,IF(K1010="TEMITA",PR!$BI1008,IF(K1010="THL",PR!$BJ1008,IF(K1010="UBASTIC",PR!$BK1008,IF(K1010="UNION",PR!$BL1008,IF(K1010="UNIQUE",PR!$BM1008,IF(K1010="VIXA",PR!$BN1008,IF(K1010="WWCV",PR!$BO1008,IF(K1010="ZOLON",PR!$BP1008,"-")))))))))))))))))))))))))))))))))))))))))))))))))))))))))))))))))</f>
        <v>3500</v>
      </c>
    </row>
    <row r="1011" spans="1:12" ht="18.75" x14ac:dyDescent="0.3">
      <c r="A1011" s="430">
        <f>PR!A1009</f>
        <v>907</v>
      </c>
      <c r="B1011" s="15" t="str">
        <f>PR!B1009</f>
        <v>ACETONE</v>
      </c>
      <c r="C1011" s="113" t="str">
        <f>PR!D1009</f>
        <v>1 bottle of 2.5L</v>
      </c>
      <c r="D1011" s="113">
        <f>PR!C1009</f>
        <v>20</v>
      </c>
      <c r="E1011" s="108">
        <f>IF(F1011="ALPHA",PR!$E1009,IF(F1011="ASSENE",PR!$F1009,IF(F1011="BIOFEM",PR!$G1009,IF(F1011="BIOMED",PR!$H1009,IF(F1011="CHI",PR!$I1009,IF(F1011="CLARION",PR!$J1009,IF(F1011="CODIX",PR!$K1009,IF(F1011="COSMADE",PR!$L1009,IF(F1011="SANCON",PR!$M1009,IF(F1011="DEVON",PR!$N1009,IF(F1011="DORTEMAG",PR!$O1009,IF(F1011="DGF",PR!$P1009,IF(F1011="DYNAMIC",PR!$Q1009,IF(F1011="EMZOR",PR!$R1009,IF(F1011="EUMATT",PR!$S1009,IF(F1011="FIDSON",PR!$T1009,IF(F1011="FCGLOBAL",PR!$U1009,IF(F1011="GENEITH",PR!$V1009,IF(F1011="GINOS",PR!$W1009,IF(F1011="GSK",PR!$X1009,IF(F1011="GLOBORG",PR!$Y1009,IF(F1011="GOODNEWS",PR!$Z1009,IF(F1011="GREENLIFE",PR!$AA1009,IF(F1011="HLINE",PR!$AB1009,IF(F1011="ROTECH",PR!$AC1009,IF(F1011="ISN",PR!$AD1009,IF(F1011="JAWA",PR!$AE1009,IF(F1011="LAYO",PR!$AF1009,IF(F1011="LEADWAY",PR!$AG1009,IF(F1011="LHV",PR!$AH1009,IF(F1011="MANOLA",PR!$AI1009,IF(F1011="MARCSON",PR!$AJ1009,IF(F1011="M&amp;B",PR!$AK1009,IF(F1011="MTRUST",PR!$AL1009,IF(F1011="MWORLD",PR!$AM1009,IF(F1011="MEGA",PR!$AN1009,IF(F1011="MICRONOVA",PR!$AO1009,IF(F1011="MFLASH",PR!$AP1009,IF(F1011="MORISON",PR!$AQ1009,IF(F1011="NEMEL",PR!$AR1009,IF(F1011="NHP",PR!$AS1009,IF(F1011="NHC",PR!$AT1009,IF(F1011="OLEAF",PR!$AU1009,IF(F1011="OCULUS",PR!$AV1009,IF(F1011="PACIFIC",PR!$AW1009,IF(F1011="PHAMATEX",PR!$AX1009,IF(F1011="PETHICS",PR!$AY1009,IF(F1011="PHILIPS",PR!$AZ1009,IF(F1011="RANBAXY",PR!$BA1009,IF(F1011="REALS",PR!$BB1009,IF(F1011="ROYAL",PR!$BC1009,IF(F1011="SAM",PR!$BD1009,IF(F1011="SEAGREEN",PR!$BE1009,IF(F1011="SKG",PR!$BF1009,IF(F1011="TAH",PR!$BG1009,IF(F1011="TAYLEK",PR!$BH1009,IF(F1011="TEMITA",PR!$BI1009,IF(F1011="THL",PR!$BJ1009,IF(F1011="UBASTIC",PR!$BK1009,IF(F1011="UNION",PR!$BL1009,IF(F1011="UNIQUE",PR!$BM1009,IF(F1011="VIXA",PR!$BN1009,IF(F1011="WWCV",PR!$BO1009,IF(F1011="ZOLON",PR!$BP1009,"-"))))))))))))))))))))))))))))))))))))))))))))))))))))))))))))))))</f>
        <v>5000</v>
      </c>
      <c r="F1011" s="102" t="str">
        <f>EV!L1291</f>
        <v>TEMITA</v>
      </c>
      <c r="G1011" s="108">
        <f>IF(H1011="ALPHA",PR!$E1009,IF(H1011="ASSENE",PR!$F1009,IF(H1011="BIOFEM",PR!$G1009,IF(H1011="BIOMED",PR!$H1009,IF(H1011="CHI",PR!$I1009,IF(H1011="CLARION",PR!$J1009,IF(H1011="CODIX",PR!$K1009,IF(H1011="COSMADE",PR!$L1009,IF(H1011="SANCON",PR!$M1009,IF(H1011="DEVON",PR!$N1009,IF(H1011="DORTEMAG",PR!$O1009,IF(H1011="DGF",PR!$P1009,IF(H1011="DYNAMIC",PR!$Q1009,IF(H1011="EMZOR",PR!$R1009,IF(H1011="EUMATT",PR!$S1009,IF(H1011="FIDSON",PR!$T1009,IF(H1011="FCGLOBAL",PR!$U1009,IF(H1011="GENEITH",PR!$V1009,IF(H1011="GINOS",PR!$W1009,IF(H1011="GSK",PR!$X1009,IF(H1011="GLOBORG",PR!$Y1009,IF(H1011="GOODNEWS",PR!$Z1009,IF(H1011="GREENLIFE",PR!$AA1009,IF(H1011="HLINE",PR!$AB1009,IF(H1011="ROTECH",PR!$AC1009,IF(H1011="ISN",PR!$AD1009,IF(H1011="JAWA",PR!$AE1009,IF(H1011="LAYO",PR!$AF1009,IF(H1011="LEADWAY",PR!$AG1009,IF(H1011="LHV",PR!$AH1009,IF(H1011="MANOLA",PR!$AI1009,IF(H1011="MARCSON",PR!$AJ1009,IF(H1011="M&amp;B",PR!$AK1009,IF(H1011="MTRUST",PR!$AL1009,IF(H1011="MWORLD",PR!$AM1009,IF(H1011="MEGA",PR!$AN1009,IF(H1011="MICRONOVA",PR!$AO1009,IF(H1011="MFLASH",PR!$AP1009,IF(H1011="MORISON",PR!$AQ1009,IF(H1011="NEMEL",PR!$AR1009,IF(H1011="NHP",PR!$AS1009,IF(H1011="NHC",PR!$AT1009,IF(H1011="OLEAF",PR!$AU1009,IF(H1011="OCULUS",PR!$AV1009,IF(H1011="PACIFIC",PR!$AW1009,IF(H1011="PHAMATEX",PR!$AX1009,IF(H1011="PETHICS",PR!$AY1009,IF(H1011="PHILIPS",PR!$AZ1009,IF(H1011="RANBAXY",PR!$BA1009,IF(H1011="REALS",PR!$BB1009,IF(H1011="ROYAL",PR!$BC1009,IF(H1011="SAM",PR!$BD1009,IF(H1011="SEAGREEN",PR!$BE1009,IF(H1011="SKG",PR!$BF1009,IF(H1011="TAH",PR!$BG1009,IF(H1011="TAYLEK",PR!$BH1009,IF(H1011="TEMITA",PR!$BI1009,IF(H1011="THL",PR!$BJ1009,IF(H1011="UBASTIC",PR!$BK1009,IF(H1011="UNION",PR!$BL1009,IF(H1011="UNIQUE",PR!$BM1009,IF(H1011="VIXA",PR!$BN1009,IF(H1011="WWCV",PR!$BO1009,IF(H1011="ZOLON",PR!$BP1009,"-"))))))))))))))))))))))))))))))))))))))))))))))))))))))))))))))))</f>
        <v>5985</v>
      </c>
      <c r="H1011" s="102" t="str">
        <f>EV!M1291</f>
        <v>DYNAMIC</v>
      </c>
      <c r="I1011" s="108">
        <f>IF(J1011="ALPHA",PR!$E1009,IF(J1011="ASSENE",PR!$F1009,IF(J1011="BIOFEM",PR!$G1009,IF(J1011="BIOMED",PR!$H1009,IF(J1011="CHI",PR!$I1009,IF(J1011="CLARION",PR!$J1009,IF(J1011="CODIX",PR!$K1009,IF(J1011="COSMADE",PR!$L1009,IF(J1011="SANCON",PR!$M1009,IF(J1011="DEVON",PR!$N1009,IF(J1011="DORTEMAG",PR!$O1009,IF(J1011="DGF",PR!$P1009,IF(J1011="DYNAMIC",PR!$Q1009,IF(J1011="EMZOR",PR!$R1009,IF(J1011="EUMATT",PR!$S1009,IF(J1011="FIDSON",PR!$T1009,IF(J1011="FCGLOBAL",PR!$U1009,IF(J1011="GENEITH",PR!$V1009,IF(J1011="GINOS",PR!$W1009,IF(J1011="GSK",PR!$X1009,IF(J1011="GLOBORG",PR!$Y1009,IF(J1011="GOODNEWS",PR!$Z1009,IF(J1011="GREENLIFE",PR!$AA1009,IF(J1011="HLINE",PR!$AB1009,IF(J1011="ROTECH",PR!$AC1009,IF(J1011="ISN",PR!$AD1009,IF(J1011="JAWA",PR!$AE1009,IF(J1011="LAYO",PR!$AF1009,IF(J1011="LEADWAY",PR!$AG1009,IF(J1011="LHV",PR!$AH1009,IF(J1011="MANOLA",PR!$AI1009,IF(J1011="MARCSON",PR!$AJ1009,IF(J1011="M&amp;B",PR!$AK1009,IF(J1011="MTRUST",PR!$AL1009,IF(J1011="MWORLD",PR!$AM1009,IF(J1011="MEGA",PR!$AN1009,IF(J1011="MICRONOVA",PR!$AO1009,IF(J1011="MFLASH",PR!$AP1009,IF(J1011="MORISON",PR!$AQ1009,IF(J1011="NEMEL",PR!$AR1009,IF(J1011="NHP",PR!$AS1009,IF(J1011="NHC",PR!$AT1009,IF(J1011="OLEAF",PR!$AU1009,IF(J1011="OCULUS",PR!$AV1009,IF(J1011="PACIFIC",PR!$AW1009,IF(J1011="PHAMATEX",PR!$AX1009,IF(J1011="PETHICS",PR!$AY1009,IF(J1011="PHILIPS",PR!$AZ1009,IF(J1011="RANBAXY",PR!$BA1009,IF(J1011="REALS",PR!$BB1009,IF(J1011="ROYAL",PR!$BC1009,IF(J1011="SAM",PR!$BD1009,IF(J1011="SEAGREEN",PR!$BE1009,IF(J1011="SKG",PR!$BF1009,IF(J1011="TAH",PR!$BG1009,IF(J1011="TAYLEK",PR!$BH1009,IF(J1011="TEMITA",PR!$BI1009,IF(J1011="THL",PR!$BJ1009,IF(J1011="UBASTIC",PR!$BK1009,IF(J1011="UNION",PR!$BL1009,IF(J1011="UNIQUE",PR!$BM1009,IF(J1011="VIXA",PR!$BN1009,IF(J1011="WWCV",PR!$BO1009,IF(J1011="ZOLON",PR!$BP1009,"-"))))))))))))))))))))))))))))))))))))))))))))))))))))))))))))))))</f>
        <v>10500</v>
      </c>
      <c r="J1011" s="102" t="str">
        <f>EV!N1291</f>
        <v>UBASTIC</v>
      </c>
      <c r="K1011" s="433" t="s">
        <v>1463</v>
      </c>
      <c r="L1011" s="183">
        <f>IF(K1011&gt;0,IF(K1011="ALPHA",PR!$E1009,IF(K1011="ASSENE",PR!$F1009,IF(K1011="BIOFEM",PR!$G1009,IF(K1011="BIOMED",PR!$H1009,IF(K1011="CHI",PR!$I1009,IF(K1011="CLARION",PR!$J1009,IF(K1011="CODIX",PR!$K1009,IF(K1011="COSMADE",PR!$L1009,IF(K1011="SANCON",PR!$M1009,IF(K1011="DEVON",PR!$N1009,IF(K1011="DORTEMAG",PR!$O1009,IF(K1011="DGF",PR!$P1009,IF(K1011="DYNAMIC",PR!$Q1009,IF(K1011="EMZOR",PR!$R1009,IF(K1011="EUMATT",PR!$S1009,IF(K1011="FIDSON",PR!$T1009,IF(K1011="FCGLOBAL",PR!$U1009,IF(K1011="GENEITH",PR!$V1009,IF(K1011="GINOS",PR!$W1009,IF(K1011="GSK",PR!$X1009,IF(K1011="GLOBORG",PR!$Y1009,IF(K1011="GOODNEWS",PR!$Z1009,IF(K1011="GREENLIFE",PR!$AA1009,IF(K1011="HLINE",PR!$AB1009,IF(K1011="ROTECH",PR!$AC1009,IF(K1011="ISN",PR!$AD1009,IF(K1011="JAWA",PR!$AE1009,IF(K1011="LAYO",PR!$AF1009,IF(K1011="LEADWAY",PR!$AG1009,IF(K1011="LHV",PR!$AH1009,IF(K1011="MANOLA",PR!$AI1009,IF(K1011="MARCSON",PR!$AJ1009,IF(K1011="M&amp;B",PR!$AK1009,IF(K1011="MTRUST",PR!$AL1009,IF(K1011="MWORLD",PR!$AM1009,IF(K1011="MEGA",PR!$AN1009,IF(K1011="MICRONOVA",PR!$AO1009,IF(K1011="MFLASH",PR!$AP1009,IF(K1011="MORISON",PR!$AQ1009,IF(K1011="NEMEL",PR!$AR1009,IF(K1011="NHP",PR!$AS1009,IF(K1011="NHC",PR!$AT1009,IF(K1011="OLEAF",PR!$AU1009,IF(K1011="OCULUS",PR!$AV1009,IF(K1011="PACIFIC",PR!$AW1009,IF(K1011="PHAMATEX",PR!$AX1009,IF(K1011="PETHICS",PR!$AY1009,IF(K1011="PHILIPS",PR!$AZ1009,IF(K1011="RANBAXY",PR!$BA1009,IF(K1011="REALS",PR!$BB1009,IF(K1011="ROYAL",PR!$BC1009,IF(K1011="SAM",PR!$BD1009,IF(K1011="SEAGREEN",PR!$BE1009,IF(K1011="SKG",PR!$BF1009,IF(K1011="TAH",PR!$BG1009,IF(K1011="TAYLEK",PR!$BH1009,IF(K1011="TEMITA",PR!$BI1009,IF(K1011="THL",PR!$BJ1009,IF(K1011="UBASTIC",PR!$BK1009,IF(K1011="UNION",PR!$BL1009,IF(K1011="UNIQUE",PR!$BM1009,IF(K1011="VIXA",PR!$BN1009,IF(K1011="WWCV",PR!$BO1009,IF(K1011="ZOLON",PR!$BP1009,"-")))))))))))))))))))))))))))))))))))))))))))))))))))))))))))))))))</f>
        <v>5000</v>
      </c>
    </row>
    <row r="1012" spans="1:12" ht="18.75" x14ac:dyDescent="0.3">
      <c r="A1012" s="430">
        <f>PR!A1010</f>
        <v>908</v>
      </c>
      <c r="B1012" s="15" t="str">
        <f>PR!B1010</f>
        <v>ETHANOL</v>
      </c>
      <c r="C1012" s="113" t="str">
        <f>PR!D1010</f>
        <v>1 bottle of 2.5L</v>
      </c>
      <c r="D1012" s="113">
        <f>PR!C1010</f>
        <v>20</v>
      </c>
      <c r="E1012" s="108">
        <f>IF(F1012="ALPHA",PR!$E1010,IF(F1012="ASSENE",PR!$F1010,IF(F1012="BIOFEM",PR!$G1010,IF(F1012="BIOMED",PR!$H1010,IF(F1012="CHI",PR!$I1010,IF(F1012="CLARION",PR!$J1010,IF(F1012="CODIX",PR!$K1010,IF(F1012="COSMADE",PR!$L1010,IF(F1012="SANCON",PR!$M1010,IF(F1012="DEVON",PR!$N1010,IF(F1012="DORTEMAG",PR!$O1010,IF(F1012="DGF",PR!$P1010,IF(F1012="DYNAMIC",PR!$Q1010,IF(F1012="EMZOR",PR!$R1010,IF(F1012="EUMATT",PR!$S1010,IF(F1012="FIDSON",PR!$T1010,IF(F1012="FCGLOBAL",PR!$U1010,IF(F1012="GENEITH",PR!$V1010,IF(F1012="GINOS",PR!$W1010,IF(F1012="GSK",PR!$X1010,IF(F1012="GLOBORG",PR!$Y1010,IF(F1012="GOODNEWS",PR!$Z1010,IF(F1012="GREENLIFE",PR!$AA1010,IF(F1012="HLINE",PR!$AB1010,IF(F1012="ROTECH",PR!$AC1010,IF(F1012="ISN",PR!$AD1010,IF(F1012="JAWA",PR!$AE1010,IF(F1012="LAYO",PR!$AF1010,IF(F1012="LEADWAY",PR!$AG1010,IF(F1012="LHV",PR!$AH1010,IF(F1012="MANOLA",PR!$AI1010,IF(F1012="MARCSON",PR!$AJ1010,IF(F1012="M&amp;B",PR!$AK1010,IF(F1012="MTRUST",PR!$AL1010,IF(F1012="MWORLD",PR!$AM1010,IF(F1012="MEGA",PR!$AN1010,IF(F1012="MICRONOVA",PR!$AO1010,IF(F1012="MFLASH",PR!$AP1010,IF(F1012="MORISON",PR!$AQ1010,IF(F1012="NEMEL",PR!$AR1010,IF(F1012="NHP",PR!$AS1010,IF(F1012="NHC",PR!$AT1010,IF(F1012="OLEAF",PR!$AU1010,IF(F1012="OCULUS",PR!$AV1010,IF(F1012="PACIFIC",PR!$AW1010,IF(F1012="PHAMATEX",PR!$AX1010,IF(F1012="PETHICS",PR!$AY1010,IF(F1012="PHILIPS",PR!$AZ1010,IF(F1012="RANBAXY",PR!$BA1010,IF(F1012="REALS",PR!$BB1010,IF(F1012="ROYAL",PR!$BC1010,IF(F1012="SAM",PR!$BD1010,IF(F1012="SEAGREEN",PR!$BE1010,IF(F1012="SKG",PR!$BF1010,IF(F1012="TAH",PR!$BG1010,IF(F1012="TAYLEK",PR!$BH1010,IF(F1012="TEMITA",PR!$BI1010,IF(F1012="THL",PR!$BJ1010,IF(F1012="UBASTIC",PR!$BK1010,IF(F1012="UNION",PR!$BL1010,IF(F1012="UNIQUE",PR!$BM1010,IF(F1012="VIXA",PR!$BN1010,IF(F1012="WWCV",PR!$BO1010,IF(F1012="ZOLON",PR!$BP1010,"-"))))))))))))))))))))))))))))))))))))))))))))))))))))))))))))))))</f>
        <v>4500</v>
      </c>
      <c r="F1012" s="102" t="str">
        <f>EV!L1292</f>
        <v>TEMITA</v>
      </c>
      <c r="G1012" s="108">
        <f>IF(H1012="ALPHA",PR!$E1010,IF(H1012="ASSENE",PR!$F1010,IF(H1012="BIOFEM",PR!$G1010,IF(H1012="BIOMED",PR!$H1010,IF(H1012="CHI",PR!$I1010,IF(H1012="CLARION",PR!$J1010,IF(H1012="CODIX",PR!$K1010,IF(H1012="COSMADE",PR!$L1010,IF(H1012="SANCON",PR!$M1010,IF(H1012="DEVON",PR!$N1010,IF(H1012="DORTEMAG",PR!$O1010,IF(H1012="DGF",PR!$P1010,IF(H1012="DYNAMIC",PR!$Q1010,IF(H1012="EMZOR",PR!$R1010,IF(H1012="EUMATT",PR!$S1010,IF(H1012="FIDSON",PR!$T1010,IF(H1012="FCGLOBAL",PR!$U1010,IF(H1012="GENEITH",PR!$V1010,IF(H1012="GINOS",PR!$W1010,IF(H1012="GSK",PR!$X1010,IF(H1012="GLOBORG",PR!$Y1010,IF(H1012="GOODNEWS",PR!$Z1010,IF(H1012="GREENLIFE",PR!$AA1010,IF(H1012="HLINE",PR!$AB1010,IF(H1012="ROTECH",PR!$AC1010,IF(H1012="ISN",PR!$AD1010,IF(H1012="JAWA",PR!$AE1010,IF(H1012="LAYO",PR!$AF1010,IF(H1012="LEADWAY",PR!$AG1010,IF(H1012="LHV",PR!$AH1010,IF(H1012="MANOLA",PR!$AI1010,IF(H1012="MARCSON",PR!$AJ1010,IF(H1012="M&amp;B",PR!$AK1010,IF(H1012="MTRUST",PR!$AL1010,IF(H1012="MWORLD",PR!$AM1010,IF(H1012="MEGA",PR!$AN1010,IF(H1012="MICRONOVA",PR!$AO1010,IF(H1012="MFLASH",PR!$AP1010,IF(H1012="MORISON",PR!$AQ1010,IF(H1012="NEMEL",PR!$AR1010,IF(H1012="NHP",PR!$AS1010,IF(H1012="NHC",PR!$AT1010,IF(H1012="OLEAF",PR!$AU1010,IF(H1012="OCULUS",PR!$AV1010,IF(H1012="PACIFIC",PR!$AW1010,IF(H1012="PHAMATEX",PR!$AX1010,IF(H1012="PETHICS",PR!$AY1010,IF(H1012="PHILIPS",PR!$AZ1010,IF(H1012="RANBAXY",PR!$BA1010,IF(H1012="REALS",PR!$BB1010,IF(H1012="ROYAL",PR!$BC1010,IF(H1012="SAM",PR!$BD1010,IF(H1012="SEAGREEN",PR!$BE1010,IF(H1012="SKG",PR!$BF1010,IF(H1012="TAH",PR!$BG1010,IF(H1012="TAYLEK",PR!$BH1010,IF(H1012="TEMITA",PR!$BI1010,IF(H1012="THL",PR!$BJ1010,IF(H1012="UBASTIC",PR!$BK1010,IF(H1012="UNION",PR!$BL1010,IF(H1012="UNIQUE",PR!$BM1010,IF(H1012="VIXA",PR!$BN1010,IF(H1012="WWCV",PR!$BO1010,IF(H1012="ZOLON",PR!$BP1010,"-"))))))))))))))))))))))))))))))))))))))))))))))))))))))))))))))))</f>
        <v>4655</v>
      </c>
      <c r="H1012" s="102" t="str">
        <f>EV!M1292</f>
        <v>DYNAMIC</v>
      </c>
      <c r="I1012" s="108">
        <f>IF(J1012="ALPHA",PR!$E1010,IF(J1012="ASSENE",PR!$F1010,IF(J1012="BIOFEM",PR!$G1010,IF(J1012="BIOMED",PR!$H1010,IF(J1012="CHI",PR!$I1010,IF(J1012="CLARION",PR!$J1010,IF(J1012="CODIX",PR!$K1010,IF(J1012="COSMADE",PR!$L1010,IF(J1012="SANCON",PR!$M1010,IF(J1012="DEVON",PR!$N1010,IF(J1012="DORTEMAG",PR!$O1010,IF(J1012="DGF",PR!$P1010,IF(J1012="DYNAMIC",PR!$Q1010,IF(J1012="EMZOR",PR!$R1010,IF(J1012="EUMATT",PR!$S1010,IF(J1012="FIDSON",PR!$T1010,IF(J1012="FCGLOBAL",PR!$U1010,IF(J1012="GENEITH",PR!$V1010,IF(J1012="GINOS",PR!$W1010,IF(J1012="GSK",PR!$X1010,IF(J1012="GLOBORG",PR!$Y1010,IF(J1012="GOODNEWS",PR!$Z1010,IF(J1012="GREENLIFE",PR!$AA1010,IF(J1012="HLINE",PR!$AB1010,IF(J1012="ROTECH",PR!$AC1010,IF(J1012="ISN",PR!$AD1010,IF(J1012="JAWA",PR!$AE1010,IF(J1012="LAYO",PR!$AF1010,IF(J1012="LEADWAY",PR!$AG1010,IF(J1012="LHV",PR!$AH1010,IF(J1012="MANOLA",PR!$AI1010,IF(J1012="MARCSON",PR!$AJ1010,IF(J1012="M&amp;B",PR!$AK1010,IF(J1012="MTRUST",PR!$AL1010,IF(J1012="MWORLD",PR!$AM1010,IF(J1012="MEGA",PR!$AN1010,IF(J1012="MICRONOVA",PR!$AO1010,IF(J1012="MFLASH",PR!$AP1010,IF(J1012="MORISON",PR!$AQ1010,IF(J1012="NEMEL",PR!$AR1010,IF(J1012="NHP",PR!$AS1010,IF(J1012="NHC",PR!$AT1010,IF(J1012="OLEAF",PR!$AU1010,IF(J1012="OCULUS",PR!$AV1010,IF(J1012="PACIFIC",PR!$AW1010,IF(J1012="PHAMATEX",PR!$AX1010,IF(J1012="PETHICS",PR!$AY1010,IF(J1012="PHILIPS",PR!$AZ1010,IF(J1012="RANBAXY",PR!$BA1010,IF(J1012="REALS",PR!$BB1010,IF(J1012="ROYAL",PR!$BC1010,IF(J1012="SAM",PR!$BD1010,IF(J1012="SEAGREEN",PR!$BE1010,IF(J1012="SKG",PR!$BF1010,IF(J1012="TAH",PR!$BG1010,IF(J1012="TAYLEK",PR!$BH1010,IF(J1012="TEMITA",PR!$BI1010,IF(J1012="THL",PR!$BJ1010,IF(J1012="UBASTIC",PR!$BK1010,IF(J1012="UNION",PR!$BL1010,IF(J1012="UNIQUE",PR!$BM1010,IF(J1012="VIXA",PR!$BN1010,IF(J1012="WWCV",PR!$BO1010,IF(J1012="ZOLON",PR!$BP1010,"-"))))))))))))))))))))))))))))))))))))))))))))))))))))))))))))))))</f>
        <v>10500</v>
      </c>
      <c r="J1012" s="102" t="str">
        <f>EV!N1292</f>
        <v>UBASTIC</v>
      </c>
      <c r="K1012" s="433" t="s">
        <v>1463</v>
      </c>
      <c r="L1012" s="183">
        <f>IF(K1012&gt;0,IF(K1012="ALPHA",PR!$E1010,IF(K1012="ASSENE",PR!$F1010,IF(K1012="BIOFEM",PR!$G1010,IF(K1012="BIOMED",PR!$H1010,IF(K1012="CHI",PR!$I1010,IF(K1012="CLARION",PR!$J1010,IF(K1012="CODIX",PR!$K1010,IF(K1012="COSMADE",PR!$L1010,IF(K1012="SANCON",PR!$M1010,IF(K1012="DEVON",PR!$N1010,IF(K1012="DORTEMAG",PR!$O1010,IF(K1012="DGF",PR!$P1010,IF(K1012="DYNAMIC",PR!$Q1010,IF(K1012="EMZOR",PR!$R1010,IF(K1012="EUMATT",PR!$S1010,IF(K1012="FIDSON",PR!$T1010,IF(K1012="FCGLOBAL",PR!$U1010,IF(K1012="GENEITH",PR!$V1010,IF(K1012="GINOS",PR!$W1010,IF(K1012="GSK",PR!$X1010,IF(K1012="GLOBORG",PR!$Y1010,IF(K1012="GOODNEWS",PR!$Z1010,IF(K1012="GREENLIFE",PR!$AA1010,IF(K1012="HLINE",PR!$AB1010,IF(K1012="ROTECH",PR!$AC1010,IF(K1012="ISN",PR!$AD1010,IF(K1012="JAWA",PR!$AE1010,IF(K1012="LAYO",PR!$AF1010,IF(K1012="LEADWAY",PR!$AG1010,IF(K1012="LHV",PR!$AH1010,IF(K1012="MANOLA",PR!$AI1010,IF(K1012="MARCSON",PR!$AJ1010,IF(K1012="M&amp;B",PR!$AK1010,IF(K1012="MTRUST",PR!$AL1010,IF(K1012="MWORLD",PR!$AM1010,IF(K1012="MEGA",PR!$AN1010,IF(K1012="MICRONOVA",PR!$AO1010,IF(K1012="MFLASH",PR!$AP1010,IF(K1012="MORISON",PR!$AQ1010,IF(K1012="NEMEL",PR!$AR1010,IF(K1012="NHP",PR!$AS1010,IF(K1012="NHC",PR!$AT1010,IF(K1012="OLEAF",PR!$AU1010,IF(K1012="OCULUS",PR!$AV1010,IF(K1012="PACIFIC",PR!$AW1010,IF(K1012="PHAMATEX",PR!$AX1010,IF(K1012="PETHICS",PR!$AY1010,IF(K1012="PHILIPS",PR!$AZ1010,IF(K1012="RANBAXY",PR!$BA1010,IF(K1012="REALS",PR!$BB1010,IF(K1012="ROYAL",PR!$BC1010,IF(K1012="SAM",PR!$BD1010,IF(K1012="SEAGREEN",PR!$BE1010,IF(K1012="SKG",PR!$BF1010,IF(K1012="TAH",PR!$BG1010,IF(K1012="TAYLEK",PR!$BH1010,IF(K1012="TEMITA",PR!$BI1010,IF(K1012="THL",PR!$BJ1010,IF(K1012="UBASTIC",PR!$BK1010,IF(K1012="UNION",PR!$BL1010,IF(K1012="UNIQUE",PR!$BM1010,IF(K1012="VIXA",PR!$BN1010,IF(K1012="WWCV",PR!$BO1010,IF(K1012="ZOLON",PR!$BP1010,"-")))))))))))))))))))))))))))))))))))))))))))))))))))))))))))))))))</f>
        <v>4500</v>
      </c>
    </row>
    <row r="1013" spans="1:12" ht="18.75" x14ac:dyDescent="0.3">
      <c r="A1013" s="430">
        <f>PR!A1011</f>
        <v>909</v>
      </c>
      <c r="B1013" s="15" t="str">
        <f>PR!B1011</f>
        <v>BLOOD AGAR BASE</v>
      </c>
      <c r="C1013" s="113" t="str">
        <f>PR!D1011</f>
        <v>1 bottle of 500g</v>
      </c>
      <c r="D1013" s="113">
        <f>PR!C1011</f>
        <v>40</v>
      </c>
      <c r="E1013" s="108">
        <f>IF(F1013="ALPHA",PR!$E1011,IF(F1013="ASSENE",PR!$F1011,IF(F1013="BIOFEM",PR!$G1011,IF(F1013="BIOMED",PR!$H1011,IF(F1013="CHI",PR!$I1011,IF(F1013="CLARION",PR!$J1011,IF(F1013="CODIX",PR!$K1011,IF(F1013="COSMADE",PR!$L1011,IF(F1013="SANCON",PR!$M1011,IF(F1013="DEVON",PR!$N1011,IF(F1013="DORTEMAG",PR!$O1011,IF(F1013="DGF",PR!$P1011,IF(F1013="DYNAMIC",PR!$Q1011,IF(F1013="EMZOR",PR!$R1011,IF(F1013="EUMATT",PR!$S1011,IF(F1013="FIDSON",PR!$T1011,IF(F1013="FCGLOBAL",PR!$U1011,IF(F1013="GENEITH",PR!$V1011,IF(F1013="GINOS",PR!$W1011,IF(F1013="GSK",PR!$X1011,IF(F1013="GLOBORG",PR!$Y1011,IF(F1013="GOODNEWS",PR!$Z1011,IF(F1013="GREENLIFE",PR!$AA1011,IF(F1013="HLINE",PR!$AB1011,IF(F1013="ROTECH",PR!$AC1011,IF(F1013="ISN",PR!$AD1011,IF(F1013="JAWA",PR!$AE1011,IF(F1013="LAYO",PR!$AF1011,IF(F1013="LEADWAY",PR!$AG1011,IF(F1013="LHV",PR!$AH1011,IF(F1013="MANOLA",PR!$AI1011,IF(F1013="MARCSON",PR!$AJ1011,IF(F1013="M&amp;B",PR!$AK1011,IF(F1013="MTRUST",PR!$AL1011,IF(F1013="MWORLD",PR!$AM1011,IF(F1013="MEGA",PR!$AN1011,IF(F1013="MICRONOVA",PR!$AO1011,IF(F1013="MFLASH",PR!$AP1011,IF(F1013="MORISON",PR!$AQ1011,IF(F1013="NEMEL",PR!$AR1011,IF(F1013="NHP",PR!$AS1011,IF(F1013="NHC",PR!$AT1011,IF(F1013="OLEAF",PR!$AU1011,IF(F1013="OCULUS",PR!$AV1011,IF(F1013="PACIFIC",PR!$AW1011,IF(F1013="PHAMATEX",PR!$AX1011,IF(F1013="PETHICS",PR!$AY1011,IF(F1013="PHILIPS",PR!$AZ1011,IF(F1013="RANBAXY",PR!$BA1011,IF(F1013="REALS",PR!$BB1011,IF(F1013="ROYAL",PR!$BC1011,IF(F1013="SAM",PR!$BD1011,IF(F1013="SEAGREEN",PR!$BE1011,IF(F1013="SKG",PR!$BF1011,IF(F1013="TAH",PR!$BG1011,IF(F1013="TAYLEK",PR!$BH1011,IF(F1013="TEMITA",PR!$BI1011,IF(F1013="THL",PR!$BJ1011,IF(F1013="UBASTIC",PR!$BK1011,IF(F1013="UNION",PR!$BL1011,IF(F1013="UNIQUE",PR!$BM1011,IF(F1013="VIXA",PR!$BN1011,IF(F1013="WWCV",PR!$BO1011,IF(F1013="ZOLON",PR!$BP1011,"-"))))))))))))))))))))))))))))))))))))))))))))))))))))))))))))))))</f>
        <v>20000</v>
      </c>
      <c r="F1013" s="102" t="str">
        <f>EV!L1293</f>
        <v>UBASTIC</v>
      </c>
      <c r="G1013" s="108">
        <f>IF(H1013="ALPHA",PR!$E1011,IF(H1013="ASSENE",PR!$F1011,IF(H1013="BIOFEM",PR!$G1011,IF(H1013="BIOMED",PR!$H1011,IF(H1013="CHI",PR!$I1011,IF(H1013="CLARION",PR!$J1011,IF(H1013="CODIX",PR!$K1011,IF(H1013="COSMADE",PR!$L1011,IF(H1013="SANCON",PR!$M1011,IF(H1013="DEVON",PR!$N1011,IF(H1013="DORTEMAG",PR!$O1011,IF(H1013="DGF",PR!$P1011,IF(H1013="DYNAMIC",PR!$Q1011,IF(H1013="EMZOR",PR!$R1011,IF(H1013="EUMATT",PR!$S1011,IF(H1013="FIDSON",PR!$T1011,IF(H1013="FCGLOBAL",PR!$U1011,IF(H1013="GENEITH",PR!$V1011,IF(H1013="GINOS",PR!$W1011,IF(H1013="GSK",PR!$X1011,IF(H1013="GLOBORG",PR!$Y1011,IF(H1013="GOODNEWS",PR!$Z1011,IF(H1013="GREENLIFE",PR!$AA1011,IF(H1013="HLINE",PR!$AB1011,IF(H1013="ROTECH",PR!$AC1011,IF(H1013="ISN",PR!$AD1011,IF(H1013="JAWA",PR!$AE1011,IF(H1013="LAYO",PR!$AF1011,IF(H1013="LEADWAY",PR!$AG1011,IF(H1013="LHV",PR!$AH1011,IF(H1013="MANOLA",PR!$AI1011,IF(H1013="MARCSON",PR!$AJ1011,IF(H1013="M&amp;B",PR!$AK1011,IF(H1013="MTRUST",PR!$AL1011,IF(H1013="MWORLD",PR!$AM1011,IF(H1013="MEGA",PR!$AN1011,IF(H1013="MICRONOVA",PR!$AO1011,IF(H1013="MFLASH",PR!$AP1011,IF(H1013="MORISON",PR!$AQ1011,IF(H1013="NEMEL",PR!$AR1011,IF(H1013="NHP",PR!$AS1011,IF(H1013="NHC",PR!$AT1011,IF(H1013="OLEAF",PR!$AU1011,IF(H1013="OCULUS",PR!$AV1011,IF(H1013="PACIFIC",PR!$AW1011,IF(H1013="PHAMATEX",PR!$AX1011,IF(H1013="PETHICS",PR!$AY1011,IF(H1013="PHILIPS",PR!$AZ1011,IF(H1013="RANBAXY",PR!$BA1011,IF(H1013="REALS",PR!$BB1011,IF(H1013="ROYAL",PR!$BC1011,IF(H1013="SAM",PR!$BD1011,IF(H1013="SEAGREEN",PR!$BE1011,IF(H1013="SKG",PR!$BF1011,IF(H1013="TAH",PR!$BG1011,IF(H1013="TAYLEK",PR!$BH1011,IF(H1013="TEMITA",PR!$BI1011,IF(H1013="THL",PR!$BJ1011,IF(H1013="UBASTIC",PR!$BK1011,IF(H1013="UNION",PR!$BL1011,IF(H1013="UNIQUE",PR!$BM1011,IF(H1013="VIXA",PR!$BN1011,IF(H1013="WWCV",PR!$BO1011,IF(H1013="ZOLON",PR!$BP1011,"-"))))))))))))))))))))))))))))))))))))))))))))))))))))))))))))))))</f>
        <v>22500</v>
      </c>
      <c r="H1013" s="102" t="str">
        <f>EV!M1293</f>
        <v>TEMITA</v>
      </c>
      <c r="I1013" s="108">
        <f>IF(J1013="ALPHA",PR!$E1011,IF(J1013="ASSENE",PR!$F1011,IF(J1013="BIOFEM",PR!$G1011,IF(J1013="BIOMED",PR!$H1011,IF(J1013="CHI",PR!$I1011,IF(J1013="CLARION",PR!$J1011,IF(J1013="CODIX",PR!$K1011,IF(J1013="COSMADE",PR!$L1011,IF(J1013="SANCON",PR!$M1011,IF(J1013="DEVON",PR!$N1011,IF(J1013="DORTEMAG",PR!$O1011,IF(J1013="DGF",PR!$P1011,IF(J1013="DYNAMIC",PR!$Q1011,IF(J1013="EMZOR",PR!$R1011,IF(J1013="EUMATT",PR!$S1011,IF(J1013="FIDSON",PR!$T1011,IF(J1013="FCGLOBAL",PR!$U1011,IF(J1013="GENEITH",PR!$V1011,IF(J1013="GINOS",PR!$W1011,IF(J1013="GSK",PR!$X1011,IF(J1013="GLOBORG",PR!$Y1011,IF(J1013="GOODNEWS",PR!$Z1011,IF(J1013="GREENLIFE",PR!$AA1011,IF(J1013="HLINE",PR!$AB1011,IF(J1013="ROTECH",PR!$AC1011,IF(J1013="ISN",PR!$AD1011,IF(J1013="JAWA",PR!$AE1011,IF(J1013="LAYO",PR!$AF1011,IF(J1013="LEADWAY",PR!$AG1011,IF(J1013="LHV",PR!$AH1011,IF(J1013="MANOLA",PR!$AI1011,IF(J1013="MARCSON",PR!$AJ1011,IF(J1013="M&amp;B",PR!$AK1011,IF(J1013="MTRUST",PR!$AL1011,IF(J1013="MWORLD",PR!$AM1011,IF(J1013="MEGA",PR!$AN1011,IF(J1013="MICRONOVA",PR!$AO1011,IF(J1013="MFLASH",PR!$AP1011,IF(J1013="MORISON",PR!$AQ1011,IF(J1013="NEMEL",PR!$AR1011,IF(J1013="NHP",PR!$AS1011,IF(J1013="NHC",PR!$AT1011,IF(J1013="OLEAF",PR!$AU1011,IF(J1013="OCULUS",PR!$AV1011,IF(J1013="PACIFIC",PR!$AW1011,IF(J1013="PHAMATEX",PR!$AX1011,IF(J1013="PETHICS",PR!$AY1011,IF(J1013="PHILIPS",PR!$AZ1011,IF(J1013="RANBAXY",PR!$BA1011,IF(J1013="REALS",PR!$BB1011,IF(J1013="ROYAL",PR!$BC1011,IF(J1013="SAM",PR!$BD1011,IF(J1013="SEAGREEN",PR!$BE1011,IF(J1013="SKG",PR!$BF1011,IF(J1013="TAH",PR!$BG1011,IF(J1013="TAYLEK",PR!$BH1011,IF(J1013="TEMITA",PR!$BI1011,IF(J1013="THL",PR!$BJ1011,IF(J1013="UBASTIC",PR!$BK1011,IF(J1013="UNION",PR!$BL1011,IF(J1013="UNIQUE",PR!$BM1011,IF(J1013="VIXA",PR!$BN1011,IF(J1013="WWCV",PR!$BO1011,IF(J1013="ZOLON",PR!$BP1011,"-"))))))))))))))))))))))))))))))))))))))))))))))))))))))))))))))))</f>
        <v>23275</v>
      </c>
      <c r="J1013" s="102" t="str">
        <f>EV!N1293</f>
        <v>DYNAMIC</v>
      </c>
      <c r="K1013" s="433" t="s">
        <v>1459</v>
      </c>
      <c r="L1013" s="183">
        <f>IF(K1013&gt;0,IF(K1013="ALPHA",PR!$E1011,IF(K1013="ASSENE",PR!$F1011,IF(K1013="BIOFEM",PR!$G1011,IF(K1013="BIOMED",PR!$H1011,IF(K1013="CHI",PR!$I1011,IF(K1013="CLARION",PR!$J1011,IF(K1013="CODIX",PR!$K1011,IF(K1013="COSMADE",PR!$L1011,IF(K1013="SANCON",PR!$M1011,IF(K1013="DEVON",PR!$N1011,IF(K1013="DORTEMAG",PR!$O1011,IF(K1013="DGF",PR!$P1011,IF(K1013="DYNAMIC",PR!$Q1011,IF(K1013="EMZOR",PR!$R1011,IF(K1013="EUMATT",PR!$S1011,IF(K1013="FIDSON",PR!$T1011,IF(K1013="FCGLOBAL",PR!$U1011,IF(K1013="GENEITH",PR!$V1011,IF(K1013="GINOS",PR!$W1011,IF(K1013="GSK",PR!$X1011,IF(K1013="GLOBORG",PR!$Y1011,IF(K1013="GOODNEWS",PR!$Z1011,IF(K1013="GREENLIFE",PR!$AA1011,IF(K1013="HLINE",PR!$AB1011,IF(K1013="ROTECH",PR!$AC1011,IF(K1013="ISN",PR!$AD1011,IF(K1013="JAWA",PR!$AE1011,IF(K1013="LAYO",PR!$AF1011,IF(K1013="LEADWAY",PR!$AG1011,IF(K1013="LHV",PR!$AH1011,IF(K1013="MANOLA",PR!$AI1011,IF(K1013="MARCSON",PR!$AJ1011,IF(K1013="M&amp;B",PR!$AK1011,IF(K1013="MTRUST",PR!$AL1011,IF(K1013="MWORLD",PR!$AM1011,IF(K1013="MEGA",PR!$AN1011,IF(K1013="MICRONOVA",PR!$AO1011,IF(K1013="MFLASH",PR!$AP1011,IF(K1013="MORISON",PR!$AQ1011,IF(K1013="NEMEL",PR!$AR1011,IF(K1013="NHP",PR!$AS1011,IF(K1013="NHC",PR!$AT1011,IF(K1013="OLEAF",PR!$AU1011,IF(K1013="OCULUS",PR!$AV1011,IF(K1013="PACIFIC",PR!$AW1011,IF(K1013="PHAMATEX",PR!$AX1011,IF(K1013="PETHICS",PR!$AY1011,IF(K1013="PHILIPS",PR!$AZ1011,IF(K1013="RANBAXY",PR!$BA1011,IF(K1013="REALS",PR!$BB1011,IF(K1013="ROYAL",PR!$BC1011,IF(K1013="SAM",PR!$BD1011,IF(K1013="SEAGREEN",PR!$BE1011,IF(K1013="SKG",PR!$BF1011,IF(K1013="TAH",PR!$BG1011,IF(K1013="TAYLEK",PR!$BH1011,IF(K1013="TEMITA",PR!$BI1011,IF(K1013="THL",PR!$BJ1011,IF(K1013="UBASTIC",PR!$BK1011,IF(K1013="UNION",PR!$BL1011,IF(K1013="UNIQUE",PR!$BM1011,IF(K1013="VIXA",PR!$BN1011,IF(K1013="WWCV",PR!$BO1011,IF(K1013="ZOLON",PR!$BP1011,"-")))))))))))))))))))))))))))))))))))))))))))))))))))))))))))))))))</f>
        <v>20000</v>
      </c>
    </row>
    <row r="1014" spans="1:12" ht="18.75" x14ac:dyDescent="0.3">
      <c r="A1014" s="430">
        <f>PR!A1012</f>
        <v>910</v>
      </c>
      <c r="B1014" s="15" t="str">
        <f>PR!B1012</f>
        <v>CLED AGAR</v>
      </c>
      <c r="C1014" s="113" t="str">
        <f>PR!D1012</f>
        <v>1 bottle of 500g</v>
      </c>
      <c r="D1014" s="113">
        <f>PR!C1012</f>
        <v>40</v>
      </c>
      <c r="E1014" s="108">
        <f>IF(F1014="ALPHA",PR!$E1012,IF(F1014="ASSENE",PR!$F1012,IF(F1014="BIOFEM",PR!$G1012,IF(F1014="BIOMED",PR!$H1012,IF(F1014="CHI",PR!$I1012,IF(F1014="CLARION",PR!$J1012,IF(F1014="CODIX",PR!$K1012,IF(F1014="COSMADE",PR!$L1012,IF(F1014="SANCON",PR!$M1012,IF(F1014="DEVON",PR!$N1012,IF(F1014="DORTEMAG",PR!$O1012,IF(F1014="DGF",PR!$P1012,IF(F1014="DYNAMIC",PR!$Q1012,IF(F1014="EMZOR",PR!$R1012,IF(F1014="EUMATT",PR!$S1012,IF(F1014="FIDSON",PR!$T1012,IF(F1014="FCGLOBAL",PR!$U1012,IF(F1014="GENEITH",PR!$V1012,IF(F1014="GINOS",PR!$W1012,IF(F1014="GSK",PR!$X1012,IF(F1014="GLOBORG",PR!$Y1012,IF(F1014="GOODNEWS",PR!$Z1012,IF(F1014="GREENLIFE",PR!$AA1012,IF(F1014="HLINE",PR!$AB1012,IF(F1014="ROTECH",PR!$AC1012,IF(F1014="ISN",PR!$AD1012,IF(F1014="JAWA",PR!$AE1012,IF(F1014="LAYO",PR!$AF1012,IF(F1014="LEADWAY",PR!$AG1012,IF(F1014="LHV",PR!$AH1012,IF(F1014="MANOLA",PR!$AI1012,IF(F1014="MARCSON",PR!$AJ1012,IF(F1014="M&amp;B",PR!$AK1012,IF(F1014="MTRUST",PR!$AL1012,IF(F1014="MWORLD",PR!$AM1012,IF(F1014="MEGA",PR!$AN1012,IF(F1014="MICRONOVA",PR!$AO1012,IF(F1014="MFLASH",PR!$AP1012,IF(F1014="MORISON",PR!$AQ1012,IF(F1014="NEMEL",PR!$AR1012,IF(F1014="NHP",PR!$AS1012,IF(F1014="NHC",PR!$AT1012,IF(F1014="OLEAF",PR!$AU1012,IF(F1014="OCULUS",PR!$AV1012,IF(F1014="PACIFIC",PR!$AW1012,IF(F1014="PHAMATEX",PR!$AX1012,IF(F1014="PETHICS",PR!$AY1012,IF(F1014="PHILIPS",PR!$AZ1012,IF(F1014="RANBAXY",PR!$BA1012,IF(F1014="REALS",PR!$BB1012,IF(F1014="ROYAL",PR!$BC1012,IF(F1014="SAM",PR!$BD1012,IF(F1014="SEAGREEN",PR!$BE1012,IF(F1014="SKG",PR!$BF1012,IF(F1014="TAH",PR!$BG1012,IF(F1014="TAYLEK",PR!$BH1012,IF(F1014="TEMITA",PR!$BI1012,IF(F1014="THL",PR!$BJ1012,IF(F1014="UBASTIC",PR!$BK1012,IF(F1014="UNION",PR!$BL1012,IF(F1014="UNIQUE",PR!$BM1012,IF(F1014="VIXA",PR!$BN1012,IF(F1014="WWCV",PR!$BO1012,IF(F1014="ZOLON",PR!$BP1012,"-"))))))))))))))))))))))))))))))))))))))))))))))))))))))))))))))))</f>
        <v>20000</v>
      </c>
      <c r="F1014" s="102" t="str">
        <f>EV!L1294</f>
        <v>UBASTIC</v>
      </c>
      <c r="G1014" s="108">
        <f>IF(H1014="ALPHA",PR!$E1012,IF(H1014="ASSENE",PR!$F1012,IF(H1014="BIOFEM",PR!$G1012,IF(H1014="BIOMED",PR!$H1012,IF(H1014="CHI",PR!$I1012,IF(H1014="CLARION",PR!$J1012,IF(H1014="CODIX",PR!$K1012,IF(H1014="COSMADE",PR!$L1012,IF(H1014="SANCON",PR!$M1012,IF(H1014="DEVON",PR!$N1012,IF(H1014="DORTEMAG",PR!$O1012,IF(H1014="DGF",PR!$P1012,IF(H1014="DYNAMIC",PR!$Q1012,IF(H1014="EMZOR",PR!$R1012,IF(H1014="EUMATT",PR!$S1012,IF(H1014="FIDSON",PR!$T1012,IF(H1014="FCGLOBAL",PR!$U1012,IF(H1014="GENEITH",PR!$V1012,IF(H1014="GINOS",PR!$W1012,IF(H1014="GSK",PR!$X1012,IF(H1014="GLOBORG",PR!$Y1012,IF(H1014="GOODNEWS",PR!$Z1012,IF(H1014="GREENLIFE",PR!$AA1012,IF(H1014="HLINE",PR!$AB1012,IF(H1014="ROTECH",PR!$AC1012,IF(H1014="ISN",PR!$AD1012,IF(H1014="JAWA",PR!$AE1012,IF(H1014="LAYO",PR!$AF1012,IF(H1014="LEADWAY",PR!$AG1012,IF(H1014="LHV",PR!$AH1012,IF(H1014="MANOLA",PR!$AI1012,IF(H1014="MARCSON",PR!$AJ1012,IF(H1014="M&amp;B",PR!$AK1012,IF(H1014="MTRUST",PR!$AL1012,IF(H1014="MWORLD",PR!$AM1012,IF(H1014="MEGA",PR!$AN1012,IF(H1014="MICRONOVA",PR!$AO1012,IF(H1014="MFLASH",PR!$AP1012,IF(H1014="MORISON",PR!$AQ1012,IF(H1014="NEMEL",PR!$AR1012,IF(H1014="NHP",PR!$AS1012,IF(H1014="NHC",PR!$AT1012,IF(H1014="OLEAF",PR!$AU1012,IF(H1014="OCULUS",PR!$AV1012,IF(H1014="PACIFIC",PR!$AW1012,IF(H1014="PHAMATEX",PR!$AX1012,IF(H1014="PETHICS",PR!$AY1012,IF(H1014="PHILIPS",PR!$AZ1012,IF(H1014="RANBAXY",PR!$BA1012,IF(H1014="REALS",PR!$BB1012,IF(H1014="ROYAL",PR!$BC1012,IF(H1014="SAM",PR!$BD1012,IF(H1014="SEAGREEN",PR!$BE1012,IF(H1014="SKG",PR!$BF1012,IF(H1014="TAH",PR!$BG1012,IF(H1014="TAYLEK",PR!$BH1012,IF(H1014="TEMITA",PR!$BI1012,IF(H1014="THL",PR!$BJ1012,IF(H1014="UBASTIC",PR!$BK1012,IF(H1014="UNION",PR!$BL1012,IF(H1014="UNIQUE",PR!$BM1012,IF(H1014="VIXA",PR!$BN1012,IF(H1014="WWCV",PR!$BO1012,IF(H1014="ZOLON",PR!$BP1012,"-"))))))))))))))))))))))))))))))))))))))))))))))))))))))))))))))))</f>
        <v>22500</v>
      </c>
      <c r="H1014" s="102" t="str">
        <f>EV!M1294</f>
        <v>TEMITA</v>
      </c>
      <c r="I1014" s="108">
        <f>IF(J1014="ALPHA",PR!$E1012,IF(J1014="ASSENE",PR!$F1012,IF(J1014="BIOFEM",PR!$G1012,IF(J1014="BIOMED",PR!$H1012,IF(J1014="CHI",PR!$I1012,IF(J1014="CLARION",PR!$J1012,IF(J1014="CODIX",PR!$K1012,IF(J1014="COSMADE",PR!$L1012,IF(J1014="SANCON",PR!$M1012,IF(J1014="DEVON",PR!$N1012,IF(J1014="DORTEMAG",PR!$O1012,IF(J1014="DGF",PR!$P1012,IF(J1014="DYNAMIC",PR!$Q1012,IF(J1014="EMZOR",PR!$R1012,IF(J1014="EUMATT",PR!$S1012,IF(J1014="FIDSON",PR!$T1012,IF(J1014="FCGLOBAL",PR!$U1012,IF(J1014="GENEITH",PR!$V1012,IF(J1014="GINOS",PR!$W1012,IF(J1014="GSK",PR!$X1012,IF(J1014="GLOBORG",PR!$Y1012,IF(J1014="GOODNEWS",PR!$Z1012,IF(J1014="GREENLIFE",PR!$AA1012,IF(J1014="HLINE",PR!$AB1012,IF(J1014="ROTECH",PR!$AC1012,IF(J1014="ISN",PR!$AD1012,IF(J1014="JAWA",PR!$AE1012,IF(J1014="LAYO",PR!$AF1012,IF(J1014="LEADWAY",PR!$AG1012,IF(J1014="LHV",PR!$AH1012,IF(J1014="MANOLA",PR!$AI1012,IF(J1014="MARCSON",PR!$AJ1012,IF(J1014="M&amp;B",PR!$AK1012,IF(J1014="MTRUST",PR!$AL1012,IF(J1014="MWORLD",PR!$AM1012,IF(J1014="MEGA",PR!$AN1012,IF(J1014="MICRONOVA",PR!$AO1012,IF(J1014="MFLASH",PR!$AP1012,IF(J1014="MORISON",PR!$AQ1012,IF(J1014="NEMEL",PR!$AR1012,IF(J1014="NHP",PR!$AS1012,IF(J1014="NHC",PR!$AT1012,IF(J1014="OLEAF",PR!$AU1012,IF(J1014="OCULUS",PR!$AV1012,IF(J1014="PACIFIC",PR!$AW1012,IF(J1014="PHAMATEX",PR!$AX1012,IF(J1014="PETHICS",PR!$AY1012,IF(J1014="PHILIPS",PR!$AZ1012,IF(J1014="RANBAXY",PR!$BA1012,IF(J1014="REALS",PR!$BB1012,IF(J1014="ROYAL",PR!$BC1012,IF(J1014="SAM",PR!$BD1012,IF(J1014="SEAGREEN",PR!$BE1012,IF(J1014="SKG",PR!$BF1012,IF(J1014="TAH",PR!$BG1012,IF(J1014="TAYLEK",PR!$BH1012,IF(J1014="TEMITA",PR!$BI1012,IF(J1014="THL",PR!$BJ1012,IF(J1014="UBASTIC",PR!$BK1012,IF(J1014="UNION",PR!$BL1012,IF(J1014="UNIQUE",PR!$BM1012,IF(J1014="VIXA",PR!$BN1012,IF(J1014="WWCV",PR!$BO1012,IF(J1014="ZOLON",PR!$BP1012,"-"))))))))))))))))))))))))))))))))))))))))))))))))))))))))))))))))</f>
        <v>22610</v>
      </c>
      <c r="J1014" s="102" t="str">
        <f>EV!N1294</f>
        <v>DYNAMIC</v>
      </c>
      <c r="K1014" s="433" t="s">
        <v>1459</v>
      </c>
      <c r="L1014" s="183">
        <f>IF(K1014&gt;0,IF(K1014="ALPHA",PR!$E1012,IF(K1014="ASSENE",PR!$F1012,IF(K1014="BIOFEM",PR!$G1012,IF(K1014="BIOMED",PR!$H1012,IF(K1014="CHI",PR!$I1012,IF(K1014="CLARION",PR!$J1012,IF(K1014="CODIX",PR!$K1012,IF(K1014="COSMADE",PR!$L1012,IF(K1014="SANCON",PR!$M1012,IF(K1014="DEVON",PR!$N1012,IF(K1014="DORTEMAG",PR!$O1012,IF(K1014="DGF",PR!$P1012,IF(K1014="DYNAMIC",PR!$Q1012,IF(K1014="EMZOR",PR!$R1012,IF(K1014="EUMATT",PR!$S1012,IF(K1014="FIDSON",PR!$T1012,IF(K1014="FCGLOBAL",PR!$U1012,IF(K1014="GENEITH",PR!$V1012,IF(K1014="GINOS",PR!$W1012,IF(K1014="GSK",PR!$X1012,IF(K1014="GLOBORG",PR!$Y1012,IF(K1014="GOODNEWS",PR!$Z1012,IF(K1014="GREENLIFE",PR!$AA1012,IF(K1014="HLINE",PR!$AB1012,IF(K1014="ROTECH",PR!$AC1012,IF(K1014="ISN",PR!$AD1012,IF(K1014="JAWA",PR!$AE1012,IF(K1014="LAYO",PR!$AF1012,IF(K1014="LEADWAY",PR!$AG1012,IF(K1014="LHV",PR!$AH1012,IF(K1014="MANOLA",PR!$AI1012,IF(K1014="MARCSON",PR!$AJ1012,IF(K1014="M&amp;B",PR!$AK1012,IF(K1014="MTRUST",PR!$AL1012,IF(K1014="MWORLD",PR!$AM1012,IF(K1014="MEGA",PR!$AN1012,IF(K1014="MICRONOVA",PR!$AO1012,IF(K1014="MFLASH",PR!$AP1012,IF(K1014="MORISON",PR!$AQ1012,IF(K1014="NEMEL",PR!$AR1012,IF(K1014="NHP",PR!$AS1012,IF(K1014="NHC",PR!$AT1012,IF(K1014="OLEAF",PR!$AU1012,IF(K1014="OCULUS",PR!$AV1012,IF(K1014="PACIFIC",PR!$AW1012,IF(K1014="PHAMATEX",PR!$AX1012,IF(K1014="PETHICS",PR!$AY1012,IF(K1014="PHILIPS",PR!$AZ1012,IF(K1014="RANBAXY",PR!$BA1012,IF(K1014="REALS",PR!$BB1012,IF(K1014="ROYAL",PR!$BC1012,IF(K1014="SAM",PR!$BD1012,IF(K1014="SEAGREEN",PR!$BE1012,IF(K1014="SKG",PR!$BF1012,IF(K1014="TAH",PR!$BG1012,IF(K1014="TAYLEK",PR!$BH1012,IF(K1014="TEMITA",PR!$BI1012,IF(K1014="THL",PR!$BJ1012,IF(K1014="UBASTIC",PR!$BK1012,IF(K1014="UNION",PR!$BL1012,IF(K1014="UNIQUE",PR!$BM1012,IF(K1014="VIXA",PR!$BN1012,IF(K1014="WWCV",PR!$BO1012,IF(K1014="ZOLON",PR!$BP1012,"-")))))))))))))))))))))))))))))))))))))))))))))))))))))))))))))))))</f>
        <v>20000</v>
      </c>
    </row>
    <row r="1015" spans="1:12" ht="18.75" x14ac:dyDescent="0.3">
      <c r="A1015" s="430">
        <f>PR!A1013</f>
        <v>911</v>
      </c>
      <c r="B1015" s="15" t="str">
        <f>PR!B1013</f>
        <v>MACCONKEY AGAR</v>
      </c>
      <c r="C1015" s="113" t="str">
        <f>PR!D1013</f>
        <v>1 bottle of 500g</v>
      </c>
      <c r="D1015" s="113">
        <f>PR!C1013</f>
        <v>40</v>
      </c>
      <c r="E1015" s="108">
        <f>IF(F1015="ALPHA",PR!$E1013,IF(F1015="ASSENE",PR!$F1013,IF(F1015="BIOFEM",PR!$G1013,IF(F1015="BIOMED",PR!$H1013,IF(F1015="CHI",PR!$I1013,IF(F1015="CLARION",PR!$J1013,IF(F1015="CODIX",PR!$K1013,IF(F1015="COSMADE",PR!$L1013,IF(F1015="SANCON",PR!$M1013,IF(F1015="DEVON",PR!$N1013,IF(F1015="DORTEMAG",PR!$O1013,IF(F1015="DGF",PR!$P1013,IF(F1015="DYNAMIC",PR!$Q1013,IF(F1015="EMZOR",PR!$R1013,IF(F1015="EUMATT",PR!$S1013,IF(F1015="FIDSON",PR!$T1013,IF(F1015="FCGLOBAL",PR!$U1013,IF(F1015="GENEITH",PR!$V1013,IF(F1015="GINOS",PR!$W1013,IF(F1015="GSK",PR!$X1013,IF(F1015="GLOBORG",PR!$Y1013,IF(F1015="GOODNEWS",PR!$Z1013,IF(F1015="GREENLIFE",PR!$AA1013,IF(F1015="HLINE",PR!$AB1013,IF(F1015="ROTECH",PR!$AC1013,IF(F1015="ISN",PR!$AD1013,IF(F1015="JAWA",PR!$AE1013,IF(F1015="LAYO",PR!$AF1013,IF(F1015="LEADWAY",PR!$AG1013,IF(F1015="LHV",PR!$AH1013,IF(F1015="MANOLA",PR!$AI1013,IF(F1015="MARCSON",PR!$AJ1013,IF(F1015="M&amp;B",PR!$AK1013,IF(F1015="MTRUST",PR!$AL1013,IF(F1015="MWORLD",PR!$AM1013,IF(F1015="MEGA",PR!$AN1013,IF(F1015="MICRONOVA",PR!$AO1013,IF(F1015="MFLASH",PR!$AP1013,IF(F1015="MORISON",PR!$AQ1013,IF(F1015="NEMEL",PR!$AR1013,IF(F1015="NHP",PR!$AS1013,IF(F1015="NHC",PR!$AT1013,IF(F1015="OLEAF",PR!$AU1013,IF(F1015="OCULUS",PR!$AV1013,IF(F1015="PACIFIC",PR!$AW1013,IF(F1015="PHAMATEX",PR!$AX1013,IF(F1015="PETHICS",PR!$AY1013,IF(F1015="PHILIPS",PR!$AZ1013,IF(F1015="RANBAXY",PR!$BA1013,IF(F1015="REALS",PR!$BB1013,IF(F1015="ROYAL",PR!$BC1013,IF(F1015="SAM",PR!$BD1013,IF(F1015="SEAGREEN",PR!$BE1013,IF(F1015="SKG",PR!$BF1013,IF(F1015="TAH",PR!$BG1013,IF(F1015="TAYLEK",PR!$BH1013,IF(F1015="TEMITA",PR!$BI1013,IF(F1015="THL",PR!$BJ1013,IF(F1015="UBASTIC",PR!$BK1013,IF(F1015="UNION",PR!$BL1013,IF(F1015="UNIQUE",PR!$BM1013,IF(F1015="VIXA",PR!$BN1013,IF(F1015="WWCV",PR!$BO1013,IF(F1015="ZOLON",PR!$BP1013,"-"))))))))))))))))))))))))))))))))))))))))))))))))))))))))))))))))</f>
        <v>20000</v>
      </c>
      <c r="F1015" s="102" t="str">
        <f>EV!L1295</f>
        <v>UBASTIC</v>
      </c>
      <c r="G1015" s="108">
        <f>IF(H1015="ALPHA",PR!$E1013,IF(H1015="ASSENE",PR!$F1013,IF(H1015="BIOFEM",PR!$G1013,IF(H1015="BIOMED",PR!$H1013,IF(H1015="CHI",PR!$I1013,IF(H1015="CLARION",PR!$J1013,IF(H1015="CODIX",PR!$K1013,IF(H1015="COSMADE",PR!$L1013,IF(H1015="SANCON",PR!$M1013,IF(H1015="DEVON",PR!$N1013,IF(H1015="DORTEMAG",PR!$O1013,IF(H1015="DGF",PR!$P1013,IF(H1015="DYNAMIC",PR!$Q1013,IF(H1015="EMZOR",PR!$R1013,IF(H1015="EUMATT",PR!$S1013,IF(H1015="FIDSON",PR!$T1013,IF(H1015="FCGLOBAL",PR!$U1013,IF(H1015="GENEITH",PR!$V1013,IF(H1015="GINOS",PR!$W1013,IF(H1015="GSK",PR!$X1013,IF(H1015="GLOBORG",PR!$Y1013,IF(H1015="GOODNEWS",PR!$Z1013,IF(H1015="GREENLIFE",PR!$AA1013,IF(H1015="HLINE",PR!$AB1013,IF(H1015="ROTECH",PR!$AC1013,IF(H1015="ISN",PR!$AD1013,IF(H1015="JAWA",PR!$AE1013,IF(H1015="LAYO",PR!$AF1013,IF(H1015="LEADWAY",PR!$AG1013,IF(H1015="LHV",PR!$AH1013,IF(H1015="MANOLA",PR!$AI1013,IF(H1015="MARCSON",PR!$AJ1013,IF(H1015="M&amp;B",PR!$AK1013,IF(H1015="MTRUST",PR!$AL1013,IF(H1015="MWORLD",PR!$AM1013,IF(H1015="MEGA",PR!$AN1013,IF(H1015="MICRONOVA",PR!$AO1013,IF(H1015="MFLASH",PR!$AP1013,IF(H1015="MORISON",PR!$AQ1013,IF(H1015="NEMEL",PR!$AR1013,IF(H1015="NHP",PR!$AS1013,IF(H1015="NHC",PR!$AT1013,IF(H1015="OLEAF",PR!$AU1013,IF(H1015="OCULUS",PR!$AV1013,IF(H1015="PACIFIC",PR!$AW1013,IF(H1015="PHAMATEX",PR!$AX1013,IF(H1015="PETHICS",PR!$AY1013,IF(H1015="PHILIPS",PR!$AZ1013,IF(H1015="RANBAXY",PR!$BA1013,IF(H1015="REALS",PR!$BB1013,IF(H1015="ROYAL",PR!$BC1013,IF(H1015="SAM",PR!$BD1013,IF(H1015="SEAGREEN",PR!$BE1013,IF(H1015="SKG",PR!$BF1013,IF(H1015="TAH",PR!$BG1013,IF(H1015="TAYLEK",PR!$BH1013,IF(H1015="TEMITA",PR!$BI1013,IF(H1015="THL",PR!$BJ1013,IF(H1015="UBASTIC",PR!$BK1013,IF(H1015="UNION",PR!$BL1013,IF(H1015="UNIQUE",PR!$BM1013,IF(H1015="VIXA",PR!$BN1013,IF(H1015="WWCV",PR!$BO1013,IF(H1015="ZOLON",PR!$BP1013,"-"))))))))))))))))))))))))))))))))))))))))))))))))))))))))))))))))</f>
        <v>21500</v>
      </c>
      <c r="H1015" s="102" t="str">
        <f>EV!M1295</f>
        <v>SANCON</v>
      </c>
      <c r="I1015" s="108">
        <f>IF(J1015="ALPHA",PR!$E1013,IF(J1015="ASSENE",PR!$F1013,IF(J1015="BIOFEM",PR!$G1013,IF(J1015="BIOMED",PR!$H1013,IF(J1015="CHI",PR!$I1013,IF(J1015="CLARION",PR!$J1013,IF(J1015="CODIX",PR!$K1013,IF(J1015="COSMADE",PR!$L1013,IF(J1015="SANCON",PR!$M1013,IF(J1015="DEVON",PR!$N1013,IF(J1015="DORTEMAG",PR!$O1013,IF(J1015="DGF",PR!$P1013,IF(J1015="DYNAMIC",PR!$Q1013,IF(J1015="EMZOR",PR!$R1013,IF(J1015="EUMATT",PR!$S1013,IF(J1015="FIDSON",PR!$T1013,IF(J1015="FCGLOBAL",PR!$U1013,IF(J1015="GENEITH",PR!$V1013,IF(J1015="GINOS",PR!$W1013,IF(J1015="GSK",PR!$X1013,IF(J1015="GLOBORG",PR!$Y1013,IF(J1015="GOODNEWS",PR!$Z1013,IF(J1015="GREENLIFE",PR!$AA1013,IF(J1015="HLINE",PR!$AB1013,IF(J1015="ROTECH",PR!$AC1013,IF(J1015="ISN",PR!$AD1013,IF(J1015="JAWA",PR!$AE1013,IF(J1015="LAYO",PR!$AF1013,IF(J1015="LEADWAY",PR!$AG1013,IF(J1015="LHV",PR!$AH1013,IF(J1015="MANOLA",PR!$AI1013,IF(J1015="MARCSON",PR!$AJ1013,IF(J1015="M&amp;B",PR!$AK1013,IF(J1015="MTRUST",PR!$AL1013,IF(J1015="MWORLD",PR!$AM1013,IF(J1015="MEGA",PR!$AN1013,IF(J1015="MICRONOVA",PR!$AO1013,IF(J1015="MFLASH",PR!$AP1013,IF(J1015="MORISON",PR!$AQ1013,IF(J1015="NEMEL",PR!$AR1013,IF(J1015="NHP",PR!$AS1013,IF(J1015="NHC",PR!$AT1013,IF(J1015="OLEAF",PR!$AU1013,IF(J1015="OCULUS",PR!$AV1013,IF(J1015="PACIFIC",PR!$AW1013,IF(J1015="PHAMATEX",PR!$AX1013,IF(J1015="PETHICS",PR!$AY1013,IF(J1015="PHILIPS",PR!$AZ1013,IF(J1015="RANBAXY",PR!$BA1013,IF(J1015="REALS",PR!$BB1013,IF(J1015="ROYAL",PR!$BC1013,IF(J1015="SAM",PR!$BD1013,IF(J1015="SEAGREEN",PR!$BE1013,IF(J1015="SKG",PR!$BF1013,IF(J1015="TAH",PR!$BG1013,IF(J1015="TAYLEK",PR!$BH1013,IF(J1015="TEMITA",PR!$BI1013,IF(J1015="THL",PR!$BJ1013,IF(J1015="UBASTIC",PR!$BK1013,IF(J1015="UNION",PR!$BL1013,IF(J1015="UNIQUE",PR!$BM1013,IF(J1015="VIXA",PR!$BN1013,IF(J1015="WWCV",PR!$BO1013,IF(J1015="ZOLON",PR!$BP1013,"-"))))))))))))))))))))))))))))))))))))))))))))))))))))))))))))))))</f>
        <v>21875</v>
      </c>
      <c r="J1015" s="102" t="str">
        <f>EV!N1295</f>
        <v>TEMITA</v>
      </c>
      <c r="K1015" s="433" t="s">
        <v>1459</v>
      </c>
      <c r="L1015" s="183">
        <f>IF(K1015&gt;0,IF(K1015="ALPHA",PR!$E1013,IF(K1015="ASSENE",PR!$F1013,IF(K1015="BIOFEM",PR!$G1013,IF(K1015="BIOMED",PR!$H1013,IF(K1015="CHI",PR!$I1013,IF(K1015="CLARION",PR!$J1013,IF(K1015="CODIX",PR!$K1013,IF(K1015="COSMADE",PR!$L1013,IF(K1015="SANCON",PR!$M1013,IF(K1015="DEVON",PR!$N1013,IF(K1015="DORTEMAG",PR!$O1013,IF(K1015="DGF",PR!$P1013,IF(K1015="DYNAMIC",PR!$Q1013,IF(K1015="EMZOR",PR!$R1013,IF(K1015="EUMATT",PR!$S1013,IF(K1015="FIDSON",PR!$T1013,IF(K1015="FCGLOBAL",PR!$U1013,IF(K1015="GENEITH",PR!$V1013,IF(K1015="GINOS",PR!$W1013,IF(K1015="GSK",PR!$X1013,IF(K1015="GLOBORG",PR!$Y1013,IF(K1015="GOODNEWS",PR!$Z1013,IF(K1015="GREENLIFE",PR!$AA1013,IF(K1015="HLINE",PR!$AB1013,IF(K1015="ROTECH",PR!$AC1013,IF(K1015="ISN",PR!$AD1013,IF(K1015="JAWA",PR!$AE1013,IF(K1015="LAYO",PR!$AF1013,IF(K1015="LEADWAY",PR!$AG1013,IF(K1015="LHV",PR!$AH1013,IF(K1015="MANOLA",PR!$AI1013,IF(K1015="MARCSON",PR!$AJ1013,IF(K1015="M&amp;B",PR!$AK1013,IF(K1015="MTRUST",PR!$AL1013,IF(K1015="MWORLD",PR!$AM1013,IF(K1015="MEGA",PR!$AN1013,IF(K1015="MICRONOVA",PR!$AO1013,IF(K1015="MFLASH",PR!$AP1013,IF(K1015="MORISON",PR!$AQ1013,IF(K1015="NEMEL",PR!$AR1013,IF(K1015="NHP",PR!$AS1013,IF(K1015="NHC",PR!$AT1013,IF(K1015="OLEAF",PR!$AU1013,IF(K1015="OCULUS",PR!$AV1013,IF(K1015="PACIFIC",PR!$AW1013,IF(K1015="PHAMATEX",PR!$AX1013,IF(K1015="PETHICS",PR!$AY1013,IF(K1015="PHILIPS",PR!$AZ1013,IF(K1015="RANBAXY",PR!$BA1013,IF(K1015="REALS",PR!$BB1013,IF(K1015="ROYAL",PR!$BC1013,IF(K1015="SAM",PR!$BD1013,IF(K1015="SEAGREEN",PR!$BE1013,IF(K1015="SKG",PR!$BF1013,IF(K1015="TAH",PR!$BG1013,IF(K1015="TAYLEK",PR!$BH1013,IF(K1015="TEMITA",PR!$BI1013,IF(K1015="THL",PR!$BJ1013,IF(K1015="UBASTIC",PR!$BK1013,IF(K1015="UNION",PR!$BL1013,IF(K1015="UNIQUE",PR!$BM1013,IF(K1015="VIXA",PR!$BN1013,IF(K1015="WWCV",PR!$BO1013,IF(K1015="ZOLON",PR!$BP1013,"-")))))))))))))))))))))))))))))))))))))))))))))))))))))))))))))))))</f>
        <v>20000</v>
      </c>
    </row>
    <row r="1016" spans="1:12" ht="18.75" x14ac:dyDescent="0.3">
      <c r="A1016" s="430">
        <f>PR!A1014</f>
        <v>912</v>
      </c>
      <c r="B1016" s="15" t="str">
        <f>PR!B1014</f>
        <v>NUTRIENT AGAR</v>
      </c>
      <c r="C1016" s="113" t="str">
        <f>PR!D1014</f>
        <v>1 bottle of500g</v>
      </c>
      <c r="D1016" s="113">
        <f>PR!C1014</f>
        <v>40</v>
      </c>
      <c r="E1016" s="108">
        <f>IF(F1016="ALPHA",PR!$E1014,IF(F1016="ASSENE",PR!$F1014,IF(F1016="BIOFEM",PR!$G1014,IF(F1016="BIOMED",PR!$H1014,IF(F1016="CHI",PR!$I1014,IF(F1016="CLARION",PR!$J1014,IF(F1016="CODIX",PR!$K1014,IF(F1016="COSMADE",PR!$L1014,IF(F1016="SANCON",PR!$M1014,IF(F1016="DEVON",PR!$N1014,IF(F1016="DORTEMAG",PR!$O1014,IF(F1016="DGF",PR!$P1014,IF(F1016="DYNAMIC",PR!$Q1014,IF(F1016="EMZOR",PR!$R1014,IF(F1016="EUMATT",PR!$S1014,IF(F1016="FIDSON",PR!$T1014,IF(F1016="FCGLOBAL",PR!$U1014,IF(F1016="GENEITH",PR!$V1014,IF(F1016="GINOS",PR!$W1014,IF(F1016="GSK",PR!$X1014,IF(F1016="GLOBORG",PR!$Y1014,IF(F1016="GOODNEWS",PR!$Z1014,IF(F1016="GREENLIFE",PR!$AA1014,IF(F1016="HLINE",PR!$AB1014,IF(F1016="ROTECH",PR!$AC1014,IF(F1016="ISN",PR!$AD1014,IF(F1016="JAWA",PR!$AE1014,IF(F1016="LAYO",PR!$AF1014,IF(F1016="LEADWAY",PR!$AG1014,IF(F1016="LHV",PR!$AH1014,IF(F1016="MANOLA",PR!$AI1014,IF(F1016="MARCSON",PR!$AJ1014,IF(F1016="M&amp;B",PR!$AK1014,IF(F1016="MTRUST",PR!$AL1014,IF(F1016="MWORLD",PR!$AM1014,IF(F1016="MEGA",PR!$AN1014,IF(F1016="MICRONOVA",PR!$AO1014,IF(F1016="MFLASH",PR!$AP1014,IF(F1016="MORISON",PR!$AQ1014,IF(F1016="NEMEL",PR!$AR1014,IF(F1016="NHP",PR!$AS1014,IF(F1016="NHC",PR!$AT1014,IF(F1016="OLEAF",PR!$AU1014,IF(F1016="OCULUS",PR!$AV1014,IF(F1016="PACIFIC",PR!$AW1014,IF(F1016="PHAMATEX",PR!$AX1014,IF(F1016="PETHICS",PR!$AY1014,IF(F1016="PHILIPS",PR!$AZ1014,IF(F1016="RANBAXY",PR!$BA1014,IF(F1016="REALS",PR!$BB1014,IF(F1016="ROYAL",PR!$BC1014,IF(F1016="SAM",PR!$BD1014,IF(F1016="SEAGREEN",PR!$BE1014,IF(F1016="SKG",PR!$BF1014,IF(F1016="TAH",PR!$BG1014,IF(F1016="TAYLEK",PR!$BH1014,IF(F1016="TEMITA",PR!$BI1014,IF(F1016="THL",PR!$BJ1014,IF(F1016="UBASTIC",PR!$BK1014,IF(F1016="UNION",PR!$BL1014,IF(F1016="UNIQUE",PR!$BM1014,IF(F1016="VIXA",PR!$BN1014,IF(F1016="WWCV",PR!$BO1014,IF(F1016="ZOLON",PR!$BP1014,"-"))))))))))))))))))))))))))))))))))))))))))))))))))))))))))))))))</f>
        <v>18000</v>
      </c>
      <c r="F1016" s="102" t="str">
        <f>EV!L1296</f>
        <v>UBASTIC</v>
      </c>
      <c r="G1016" s="108">
        <f>IF(H1016="ALPHA",PR!$E1014,IF(H1016="ASSENE",PR!$F1014,IF(H1016="BIOFEM",PR!$G1014,IF(H1016="BIOMED",PR!$H1014,IF(H1016="CHI",PR!$I1014,IF(H1016="CLARION",PR!$J1014,IF(H1016="CODIX",PR!$K1014,IF(H1016="COSMADE",PR!$L1014,IF(H1016="SANCON",PR!$M1014,IF(H1016="DEVON",PR!$N1014,IF(H1016="DORTEMAG",PR!$O1014,IF(H1016="DGF",PR!$P1014,IF(H1016="DYNAMIC",PR!$Q1014,IF(H1016="EMZOR",PR!$R1014,IF(H1016="EUMATT",PR!$S1014,IF(H1016="FIDSON",PR!$T1014,IF(H1016="FCGLOBAL",PR!$U1014,IF(H1016="GENEITH",PR!$V1014,IF(H1016="GINOS",PR!$W1014,IF(H1016="GSK",PR!$X1014,IF(H1016="GLOBORG",PR!$Y1014,IF(H1016="GOODNEWS",PR!$Z1014,IF(H1016="GREENLIFE",PR!$AA1014,IF(H1016="HLINE",PR!$AB1014,IF(H1016="ROTECH",PR!$AC1014,IF(H1016="ISN",PR!$AD1014,IF(H1016="JAWA",PR!$AE1014,IF(H1016="LAYO",PR!$AF1014,IF(H1016="LEADWAY",PR!$AG1014,IF(H1016="LHV",PR!$AH1014,IF(H1016="MANOLA",PR!$AI1014,IF(H1016="MARCSON",PR!$AJ1014,IF(H1016="M&amp;B",PR!$AK1014,IF(H1016="MTRUST",PR!$AL1014,IF(H1016="MWORLD",PR!$AM1014,IF(H1016="MEGA",PR!$AN1014,IF(H1016="MICRONOVA",PR!$AO1014,IF(H1016="MFLASH",PR!$AP1014,IF(H1016="MORISON",PR!$AQ1014,IF(H1016="NEMEL",PR!$AR1014,IF(H1016="NHP",PR!$AS1014,IF(H1016="NHC",PR!$AT1014,IF(H1016="OLEAF",PR!$AU1014,IF(H1016="OCULUS",PR!$AV1014,IF(H1016="PACIFIC",PR!$AW1014,IF(H1016="PHAMATEX",PR!$AX1014,IF(H1016="PETHICS",PR!$AY1014,IF(H1016="PHILIPS",PR!$AZ1014,IF(H1016="RANBAXY",PR!$BA1014,IF(H1016="REALS",PR!$BB1014,IF(H1016="ROYAL",PR!$BC1014,IF(H1016="SAM",PR!$BD1014,IF(H1016="SEAGREEN",PR!$BE1014,IF(H1016="SKG",PR!$BF1014,IF(H1016="TAH",PR!$BG1014,IF(H1016="TAYLEK",PR!$BH1014,IF(H1016="TEMITA",PR!$BI1014,IF(H1016="THL",PR!$BJ1014,IF(H1016="UBASTIC",PR!$BK1014,IF(H1016="UNION",PR!$BL1014,IF(H1016="UNIQUE",PR!$BM1014,IF(H1016="VIXA",PR!$BN1014,IF(H1016="WWCV",PR!$BO1014,IF(H1016="ZOLON",PR!$BP1014,"-"))))))))))))))))))))))))))))))))))))))))))))))))))))))))))))))))</f>
        <v>19375</v>
      </c>
      <c r="H1016" s="102" t="str">
        <f>EV!M1296</f>
        <v>TEMITA</v>
      </c>
      <c r="I1016" s="108">
        <f>IF(J1016="ALPHA",PR!$E1014,IF(J1016="ASSENE",PR!$F1014,IF(J1016="BIOFEM",PR!$G1014,IF(J1016="BIOMED",PR!$H1014,IF(J1016="CHI",PR!$I1014,IF(J1016="CLARION",PR!$J1014,IF(J1016="CODIX",PR!$K1014,IF(J1016="COSMADE",PR!$L1014,IF(J1016="SANCON",PR!$M1014,IF(J1016="DEVON",PR!$N1014,IF(J1016="DORTEMAG",PR!$O1014,IF(J1016="DGF",PR!$P1014,IF(J1016="DYNAMIC",PR!$Q1014,IF(J1016="EMZOR",PR!$R1014,IF(J1016="EUMATT",PR!$S1014,IF(J1016="FIDSON",PR!$T1014,IF(J1016="FCGLOBAL",PR!$U1014,IF(J1016="GENEITH",PR!$V1014,IF(J1016="GINOS",PR!$W1014,IF(J1016="GSK",PR!$X1014,IF(J1016="GLOBORG",PR!$Y1014,IF(J1016="GOODNEWS",PR!$Z1014,IF(J1016="GREENLIFE",PR!$AA1014,IF(J1016="HLINE",PR!$AB1014,IF(J1016="ROTECH",PR!$AC1014,IF(J1016="ISN",PR!$AD1014,IF(J1016="JAWA",PR!$AE1014,IF(J1016="LAYO",PR!$AF1014,IF(J1016="LEADWAY",PR!$AG1014,IF(J1016="LHV",PR!$AH1014,IF(J1016="MANOLA",PR!$AI1014,IF(J1016="MARCSON",PR!$AJ1014,IF(J1016="M&amp;B",PR!$AK1014,IF(J1016="MTRUST",PR!$AL1014,IF(J1016="MWORLD",PR!$AM1014,IF(J1016="MEGA",PR!$AN1014,IF(J1016="MICRONOVA",PR!$AO1014,IF(J1016="MFLASH",PR!$AP1014,IF(J1016="MORISON",PR!$AQ1014,IF(J1016="NEMEL",PR!$AR1014,IF(J1016="NHP",PR!$AS1014,IF(J1016="NHC",PR!$AT1014,IF(J1016="OLEAF",PR!$AU1014,IF(J1016="OCULUS",PR!$AV1014,IF(J1016="PACIFIC",PR!$AW1014,IF(J1016="PHAMATEX",PR!$AX1014,IF(J1016="PETHICS",PR!$AY1014,IF(J1016="PHILIPS",PR!$AZ1014,IF(J1016="RANBAXY",PR!$BA1014,IF(J1016="REALS",PR!$BB1014,IF(J1016="ROYAL",PR!$BC1014,IF(J1016="SAM",PR!$BD1014,IF(J1016="SEAGREEN",PR!$BE1014,IF(J1016="SKG",PR!$BF1014,IF(J1016="TAH",PR!$BG1014,IF(J1016="TAYLEK",PR!$BH1014,IF(J1016="TEMITA",PR!$BI1014,IF(J1016="THL",PR!$BJ1014,IF(J1016="UBASTIC",PR!$BK1014,IF(J1016="UNION",PR!$BL1014,IF(J1016="UNIQUE",PR!$BM1014,IF(J1016="VIXA",PR!$BN1014,IF(J1016="WWCV",PR!$BO1014,IF(J1016="ZOLON",PR!$BP1014,"-"))))))))))))))))))))))))))))))))))))))))))))))))))))))))))))))))</f>
        <v>20615</v>
      </c>
      <c r="J1016" s="102" t="str">
        <f>EV!N1296</f>
        <v>DYNAMIC</v>
      </c>
      <c r="K1016" s="433" t="s">
        <v>1459</v>
      </c>
      <c r="L1016" s="183">
        <f>IF(K1016&gt;0,IF(K1016="ALPHA",PR!$E1014,IF(K1016="ASSENE",PR!$F1014,IF(K1016="BIOFEM",PR!$G1014,IF(K1016="BIOMED",PR!$H1014,IF(K1016="CHI",PR!$I1014,IF(K1016="CLARION",PR!$J1014,IF(K1016="CODIX",PR!$K1014,IF(K1016="COSMADE",PR!$L1014,IF(K1016="SANCON",PR!$M1014,IF(K1016="DEVON",PR!$N1014,IF(K1016="DORTEMAG",PR!$O1014,IF(K1016="DGF",PR!$P1014,IF(K1016="DYNAMIC",PR!$Q1014,IF(K1016="EMZOR",PR!$R1014,IF(K1016="EUMATT",PR!$S1014,IF(K1016="FIDSON",PR!$T1014,IF(K1016="FCGLOBAL",PR!$U1014,IF(K1016="GENEITH",PR!$V1014,IF(K1016="GINOS",PR!$W1014,IF(K1016="GSK",PR!$X1014,IF(K1016="GLOBORG",PR!$Y1014,IF(K1016="GOODNEWS",PR!$Z1014,IF(K1016="GREENLIFE",PR!$AA1014,IF(K1016="HLINE",PR!$AB1014,IF(K1016="ROTECH",PR!$AC1014,IF(K1016="ISN",PR!$AD1014,IF(K1016="JAWA",PR!$AE1014,IF(K1016="LAYO",PR!$AF1014,IF(K1016="LEADWAY",PR!$AG1014,IF(K1016="LHV",PR!$AH1014,IF(K1016="MANOLA",PR!$AI1014,IF(K1016="MARCSON",PR!$AJ1014,IF(K1016="M&amp;B",PR!$AK1014,IF(K1016="MTRUST",PR!$AL1014,IF(K1016="MWORLD",PR!$AM1014,IF(K1016="MEGA",PR!$AN1014,IF(K1016="MICRONOVA",PR!$AO1014,IF(K1016="MFLASH",PR!$AP1014,IF(K1016="MORISON",PR!$AQ1014,IF(K1016="NEMEL",PR!$AR1014,IF(K1016="NHP",PR!$AS1014,IF(K1016="NHC",PR!$AT1014,IF(K1016="OLEAF",PR!$AU1014,IF(K1016="OCULUS",PR!$AV1014,IF(K1016="PACIFIC",PR!$AW1014,IF(K1016="PHAMATEX",PR!$AX1014,IF(K1016="PETHICS",PR!$AY1014,IF(K1016="PHILIPS",PR!$AZ1014,IF(K1016="RANBAXY",PR!$BA1014,IF(K1016="REALS",PR!$BB1014,IF(K1016="ROYAL",PR!$BC1014,IF(K1016="SAM",PR!$BD1014,IF(K1016="SEAGREEN",PR!$BE1014,IF(K1016="SKG",PR!$BF1014,IF(K1016="TAH",PR!$BG1014,IF(K1016="TAYLEK",PR!$BH1014,IF(K1016="TEMITA",PR!$BI1014,IF(K1016="THL",PR!$BJ1014,IF(K1016="UBASTIC",PR!$BK1014,IF(K1016="UNION",PR!$BL1014,IF(K1016="UNIQUE",PR!$BM1014,IF(K1016="VIXA",PR!$BN1014,IF(K1016="WWCV",PR!$BO1014,IF(K1016="ZOLON",PR!$BP1014,"-")))))))))))))))))))))))))))))))))))))))))))))))))))))))))))))))))</f>
        <v>18000</v>
      </c>
    </row>
    <row r="1017" spans="1:12" ht="18.75" x14ac:dyDescent="0.3">
      <c r="A1017" s="430">
        <f>PR!A1015</f>
        <v>913</v>
      </c>
      <c r="B1017" s="15" t="str">
        <f>PR!B1015</f>
        <v>MULLER HINTON AGAR</v>
      </c>
      <c r="C1017" s="113" t="str">
        <f>PR!D1015</f>
        <v>1 bottle of 500g</v>
      </c>
      <c r="D1017" s="113">
        <f>PR!C1015</f>
        <v>40</v>
      </c>
      <c r="E1017" s="108">
        <f>IF(F1017="ALPHA",PR!$E1015,IF(F1017="ASSENE",PR!$F1015,IF(F1017="BIOFEM",PR!$G1015,IF(F1017="BIOMED",PR!$H1015,IF(F1017="CHI",PR!$I1015,IF(F1017="CLARION",PR!$J1015,IF(F1017="CODIX",PR!$K1015,IF(F1017="COSMADE",PR!$L1015,IF(F1017="SANCON",PR!$M1015,IF(F1017="DEVON",PR!$N1015,IF(F1017="DORTEMAG",PR!$O1015,IF(F1017="DGF",PR!$P1015,IF(F1017="DYNAMIC",PR!$Q1015,IF(F1017="EMZOR",PR!$R1015,IF(F1017="EUMATT",PR!$S1015,IF(F1017="FIDSON",PR!$T1015,IF(F1017="FCGLOBAL",PR!$U1015,IF(F1017="GENEITH",PR!$V1015,IF(F1017="GINOS",PR!$W1015,IF(F1017="GSK",PR!$X1015,IF(F1017="GLOBORG",PR!$Y1015,IF(F1017="GOODNEWS",PR!$Z1015,IF(F1017="GREENLIFE",PR!$AA1015,IF(F1017="HLINE",PR!$AB1015,IF(F1017="ROTECH",PR!$AC1015,IF(F1017="ISN",PR!$AD1015,IF(F1017="JAWA",PR!$AE1015,IF(F1017="LAYO",PR!$AF1015,IF(F1017="LEADWAY",PR!$AG1015,IF(F1017="LHV",PR!$AH1015,IF(F1017="MANOLA",PR!$AI1015,IF(F1017="MARCSON",PR!$AJ1015,IF(F1017="M&amp;B",PR!$AK1015,IF(F1017="MTRUST",PR!$AL1015,IF(F1017="MWORLD",PR!$AM1015,IF(F1017="MEGA",PR!$AN1015,IF(F1017="MICRONOVA",PR!$AO1015,IF(F1017="MFLASH",PR!$AP1015,IF(F1017="MORISON",PR!$AQ1015,IF(F1017="NEMEL",PR!$AR1015,IF(F1017="NHP",PR!$AS1015,IF(F1017="NHC",PR!$AT1015,IF(F1017="OLEAF",PR!$AU1015,IF(F1017="OCULUS",PR!$AV1015,IF(F1017="PACIFIC",PR!$AW1015,IF(F1017="PHAMATEX",PR!$AX1015,IF(F1017="PETHICS",PR!$AY1015,IF(F1017="PHILIPS",PR!$AZ1015,IF(F1017="RANBAXY",PR!$BA1015,IF(F1017="REALS",PR!$BB1015,IF(F1017="ROYAL",PR!$BC1015,IF(F1017="SAM",PR!$BD1015,IF(F1017="SEAGREEN",PR!$BE1015,IF(F1017="SKG",PR!$BF1015,IF(F1017="TAH",PR!$BG1015,IF(F1017="TAYLEK",PR!$BH1015,IF(F1017="TEMITA",PR!$BI1015,IF(F1017="THL",PR!$BJ1015,IF(F1017="UBASTIC",PR!$BK1015,IF(F1017="UNION",PR!$BL1015,IF(F1017="UNIQUE",PR!$BM1015,IF(F1017="VIXA",PR!$BN1015,IF(F1017="WWCV",PR!$BO1015,IF(F1017="ZOLON",PR!$BP1015,"-"))))))))))))))))))))))))))))))))))))))))))))))))))))))))))))))))</f>
        <v>20000</v>
      </c>
      <c r="F1017" s="102" t="str">
        <f>EV!L1297</f>
        <v>UBASTIC</v>
      </c>
      <c r="G1017" s="108">
        <f>IF(H1017="ALPHA",PR!$E1015,IF(H1017="ASSENE",PR!$F1015,IF(H1017="BIOFEM",PR!$G1015,IF(H1017="BIOMED",PR!$H1015,IF(H1017="CHI",PR!$I1015,IF(H1017="CLARION",PR!$J1015,IF(H1017="CODIX",PR!$K1015,IF(H1017="COSMADE",PR!$L1015,IF(H1017="SANCON",PR!$M1015,IF(H1017="DEVON",PR!$N1015,IF(H1017="DORTEMAG",PR!$O1015,IF(H1017="DGF",PR!$P1015,IF(H1017="DYNAMIC",PR!$Q1015,IF(H1017="EMZOR",PR!$R1015,IF(H1017="EUMATT",PR!$S1015,IF(H1017="FIDSON",PR!$T1015,IF(H1017="FCGLOBAL",PR!$U1015,IF(H1017="GENEITH",PR!$V1015,IF(H1017="GINOS",PR!$W1015,IF(H1017="GSK",PR!$X1015,IF(H1017="GLOBORG",PR!$Y1015,IF(H1017="GOODNEWS",PR!$Z1015,IF(H1017="GREENLIFE",PR!$AA1015,IF(H1017="HLINE",PR!$AB1015,IF(H1017="ROTECH",PR!$AC1015,IF(H1017="ISN",PR!$AD1015,IF(H1017="JAWA",PR!$AE1015,IF(H1017="LAYO",PR!$AF1015,IF(H1017="LEADWAY",PR!$AG1015,IF(H1017="LHV",PR!$AH1015,IF(H1017="MANOLA",PR!$AI1015,IF(H1017="MARCSON",PR!$AJ1015,IF(H1017="M&amp;B",PR!$AK1015,IF(H1017="MTRUST",PR!$AL1015,IF(H1017="MWORLD",PR!$AM1015,IF(H1017="MEGA",PR!$AN1015,IF(H1017="MICRONOVA",PR!$AO1015,IF(H1017="MFLASH",PR!$AP1015,IF(H1017="MORISON",PR!$AQ1015,IF(H1017="NEMEL",PR!$AR1015,IF(H1017="NHP",PR!$AS1015,IF(H1017="NHC",PR!$AT1015,IF(H1017="OLEAF",PR!$AU1015,IF(H1017="OCULUS",PR!$AV1015,IF(H1017="PACIFIC",PR!$AW1015,IF(H1017="PHAMATEX",PR!$AX1015,IF(H1017="PETHICS",PR!$AY1015,IF(H1017="PHILIPS",PR!$AZ1015,IF(H1017="RANBAXY",PR!$BA1015,IF(H1017="REALS",PR!$BB1015,IF(H1017="ROYAL",PR!$BC1015,IF(H1017="SAM",PR!$BD1015,IF(H1017="SEAGREEN",PR!$BE1015,IF(H1017="SKG",PR!$BF1015,IF(H1017="TAH",PR!$BG1015,IF(H1017="TAYLEK",PR!$BH1015,IF(H1017="TEMITA",PR!$BI1015,IF(H1017="THL",PR!$BJ1015,IF(H1017="UBASTIC",PR!$BK1015,IF(H1017="UNION",PR!$BL1015,IF(H1017="UNIQUE",PR!$BM1015,IF(H1017="VIXA",PR!$BN1015,IF(H1017="WWCV",PR!$BO1015,IF(H1017="ZOLON",PR!$BP1015,"-"))))))))))))))))))))))))))))))))))))))))))))))))))))))))))))))))</f>
        <v>26000</v>
      </c>
      <c r="H1017" s="102" t="str">
        <f>EV!M1297</f>
        <v>SANCON</v>
      </c>
      <c r="I1017" s="108">
        <f>IF(J1017="ALPHA",PR!$E1015,IF(J1017="ASSENE",PR!$F1015,IF(J1017="BIOFEM",PR!$G1015,IF(J1017="BIOMED",PR!$H1015,IF(J1017="CHI",PR!$I1015,IF(J1017="CLARION",PR!$J1015,IF(J1017="CODIX",PR!$K1015,IF(J1017="COSMADE",PR!$L1015,IF(J1017="SANCON",PR!$M1015,IF(J1017="DEVON",PR!$N1015,IF(J1017="DORTEMAG",PR!$O1015,IF(J1017="DGF",PR!$P1015,IF(J1017="DYNAMIC",PR!$Q1015,IF(J1017="EMZOR",PR!$R1015,IF(J1017="EUMATT",PR!$S1015,IF(J1017="FIDSON",PR!$T1015,IF(J1017="FCGLOBAL",PR!$U1015,IF(J1017="GENEITH",PR!$V1015,IF(J1017="GINOS",PR!$W1015,IF(J1017="GSK",PR!$X1015,IF(J1017="GLOBORG",PR!$Y1015,IF(J1017="GOODNEWS",PR!$Z1015,IF(J1017="GREENLIFE",PR!$AA1015,IF(J1017="HLINE",PR!$AB1015,IF(J1017="ROTECH",PR!$AC1015,IF(J1017="ISN",PR!$AD1015,IF(J1017="JAWA",PR!$AE1015,IF(J1017="LAYO",PR!$AF1015,IF(J1017="LEADWAY",PR!$AG1015,IF(J1017="LHV",PR!$AH1015,IF(J1017="MANOLA",PR!$AI1015,IF(J1017="MARCSON",PR!$AJ1015,IF(J1017="M&amp;B",PR!$AK1015,IF(J1017="MTRUST",PR!$AL1015,IF(J1017="MWORLD",PR!$AM1015,IF(J1017="MEGA",PR!$AN1015,IF(J1017="MICRONOVA",PR!$AO1015,IF(J1017="MFLASH",PR!$AP1015,IF(J1017="MORISON",PR!$AQ1015,IF(J1017="NEMEL",PR!$AR1015,IF(J1017="NHP",PR!$AS1015,IF(J1017="NHC",PR!$AT1015,IF(J1017="OLEAF",PR!$AU1015,IF(J1017="OCULUS",PR!$AV1015,IF(J1017="PACIFIC",PR!$AW1015,IF(J1017="PHAMATEX",PR!$AX1015,IF(J1017="PETHICS",PR!$AY1015,IF(J1017="PHILIPS",PR!$AZ1015,IF(J1017="RANBAXY",PR!$BA1015,IF(J1017="REALS",PR!$BB1015,IF(J1017="ROYAL",PR!$BC1015,IF(J1017="SAM",PR!$BD1015,IF(J1017="SEAGREEN",PR!$BE1015,IF(J1017="SKG",PR!$BF1015,IF(J1017="TAH",PR!$BG1015,IF(J1017="TAYLEK",PR!$BH1015,IF(J1017="TEMITA",PR!$BI1015,IF(J1017="THL",PR!$BJ1015,IF(J1017="UBASTIC",PR!$BK1015,IF(J1017="UNION",PR!$BL1015,IF(J1017="UNIQUE",PR!$BM1015,IF(J1017="VIXA",PR!$BN1015,IF(J1017="WWCV",PR!$BO1015,IF(J1017="ZOLON",PR!$BP1015,"-"))))))))))))))))))))))))))))))))))))))))))))))))))))))))))))))))</f>
        <v>26875</v>
      </c>
      <c r="J1017" s="102" t="str">
        <f>EV!N1297</f>
        <v>TEMITA</v>
      </c>
      <c r="K1017" s="433" t="s">
        <v>1459</v>
      </c>
      <c r="L1017" s="183">
        <f>IF(K1017&gt;0,IF(K1017="ALPHA",PR!$E1015,IF(K1017="ASSENE",PR!$F1015,IF(K1017="BIOFEM",PR!$G1015,IF(K1017="BIOMED",PR!$H1015,IF(K1017="CHI",PR!$I1015,IF(K1017="CLARION",PR!$J1015,IF(K1017="CODIX",PR!$K1015,IF(K1017="COSMADE",PR!$L1015,IF(K1017="SANCON",PR!$M1015,IF(K1017="DEVON",PR!$N1015,IF(K1017="DORTEMAG",PR!$O1015,IF(K1017="DGF",PR!$P1015,IF(K1017="DYNAMIC",PR!$Q1015,IF(K1017="EMZOR",PR!$R1015,IF(K1017="EUMATT",PR!$S1015,IF(K1017="FIDSON",PR!$T1015,IF(K1017="FCGLOBAL",PR!$U1015,IF(K1017="GENEITH",PR!$V1015,IF(K1017="GINOS",PR!$W1015,IF(K1017="GSK",PR!$X1015,IF(K1017="GLOBORG",PR!$Y1015,IF(K1017="GOODNEWS",PR!$Z1015,IF(K1017="GREENLIFE",PR!$AA1015,IF(K1017="HLINE",PR!$AB1015,IF(K1017="ROTECH",PR!$AC1015,IF(K1017="ISN",PR!$AD1015,IF(K1017="JAWA",PR!$AE1015,IF(K1017="LAYO",PR!$AF1015,IF(K1017="LEADWAY",PR!$AG1015,IF(K1017="LHV",PR!$AH1015,IF(K1017="MANOLA",PR!$AI1015,IF(K1017="MARCSON",PR!$AJ1015,IF(K1017="M&amp;B",PR!$AK1015,IF(K1017="MTRUST",PR!$AL1015,IF(K1017="MWORLD",PR!$AM1015,IF(K1017="MEGA",PR!$AN1015,IF(K1017="MICRONOVA",PR!$AO1015,IF(K1017="MFLASH",PR!$AP1015,IF(K1017="MORISON",PR!$AQ1015,IF(K1017="NEMEL",PR!$AR1015,IF(K1017="NHP",PR!$AS1015,IF(K1017="NHC",PR!$AT1015,IF(K1017="OLEAF",PR!$AU1015,IF(K1017="OCULUS",PR!$AV1015,IF(K1017="PACIFIC",PR!$AW1015,IF(K1017="PHAMATEX",PR!$AX1015,IF(K1017="PETHICS",PR!$AY1015,IF(K1017="PHILIPS",PR!$AZ1015,IF(K1017="RANBAXY",PR!$BA1015,IF(K1017="REALS",PR!$BB1015,IF(K1017="ROYAL",PR!$BC1015,IF(K1017="SAM",PR!$BD1015,IF(K1017="SEAGREEN",PR!$BE1015,IF(K1017="SKG",PR!$BF1015,IF(K1017="TAH",PR!$BG1015,IF(K1017="TAYLEK",PR!$BH1015,IF(K1017="TEMITA",PR!$BI1015,IF(K1017="THL",PR!$BJ1015,IF(K1017="UBASTIC",PR!$BK1015,IF(K1017="UNION",PR!$BL1015,IF(K1017="UNIQUE",PR!$BM1015,IF(K1017="VIXA",PR!$BN1015,IF(K1017="WWCV",PR!$BO1015,IF(K1017="ZOLON",PR!$BP1015,"-")))))))))))))))))))))))))))))))))))))))))))))))))))))))))))))))))</f>
        <v>20000</v>
      </c>
    </row>
    <row r="1018" spans="1:12" ht="18.75" x14ac:dyDescent="0.3">
      <c r="A1018" s="430">
        <f>PR!A1016</f>
        <v>914</v>
      </c>
      <c r="B1018" s="15" t="str">
        <f>PR!B1016</f>
        <v>NUTRIENT BROTH AGAR</v>
      </c>
      <c r="C1018" s="113" t="str">
        <f>PR!D1016</f>
        <v>1 bottle of 500g</v>
      </c>
      <c r="D1018" s="113">
        <f>PR!C1016</f>
        <v>40</v>
      </c>
      <c r="E1018" s="108">
        <f>IF(F1018="ALPHA",PR!$E1016,IF(F1018="ASSENE",PR!$F1016,IF(F1018="BIOFEM",PR!$G1016,IF(F1018="BIOMED",PR!$H1016,IF(F1018="CHI",PR!$I1016,IF(F1018="CLARION",PR!$J1016,IF(F1018="CODIX",PR!$K1016,IF(F1018="COSMADE",PR!$L1016,IF(F1018="SANCON",PR!$M1016,IF(F1018="DEVON",PR!$N1016,IF(F1018="DORTEMAG",PR!$O1016,IF(F1018="DGF",PR!$P1016,IF(F1018="DYNAMIC",PR!$Q1016,IF(F1018="EMZOR",PR!$R1016,IF(F1018="EUMATT",PR!$S1016,IF(F1018="FIDSON",PR!$T1016,IF(F1018="FCGLOBAL",PR!$U1016,IF(F1018="GENEITH",PR!$V1016,IF(F1018="GINOS",PR!$W1016,IF(F1018="GSK",PR!$X1016,IF(F1018="GLOBORG",PR!$Y1016,IF(F1018="GOODNEWS",PR!$Z1016,IF(F1018="GREENLIFE",PR!$AA1016,IF(F1018="HLINE",PR!$AB1016,IF(F1018="ROTECH",PR!$AC1016,IF(F1018="ISN",PR!$AD1016,IF(F1018="JAWA",PR!$AE1016,IF(F1018="LAYO",PR!$AF1016,IF(F1018="LEADWAY",PR!$AG1016,IF(F1018="LHV",PR!$AH1016,IF(F1018="MANOLA",PR!$AI1016,IF(F1018="MARCSON",PR!$AJ1016,IF(F1018="M&amp;B",PR!$AK1016,IF(F1018="MTRUST",PR!$AL1016,IF(F1018="MWORLD",PR!$AM1016,IF(F1018="MEGA",PR!$AN1016,IF(F1018="MICRONOVA",PR!$AO1016,IF(F1018="MFLASH",PR!$AP1016,IF(F1018="MORISON",PR!$AQ1016,IF(F1018="NEMEL",PR!$AR1016,IF(F1018="NHP",PR!$AS1016,IF(F1018="NHC",PR!$AT1016,IF(F1018="OLEAF",PR!$AU1016,IF(F1018="OCULUS",PR!$AV1016,IF(F1018="PACIFIC",PR!$AW1016,IF(F1018="PHAMATEX",PR!$AX1016,IF(F1018="PETHICS",PR!$AY1016,IF(F1018="PHILIPS",PR!$AZ1016,IF(F1018="RANBAXY",PR!$BA1016,IF(F1018="REALS",PR!$BB1016,IF(F1018="ROYAL",PR!$BC1016,IF(F1018="SAM",PR!$BD1016,IF(F1018="SEAGREEN",PR!$BE1016,IF(F1018="SKG",PR!$BF1016,IF(F1018="TAH",PR!$BG1016,IF(F1018="TAYLEK",PR!$BH1016,IF(F1018="TEMITA",PR!$BI1016,IF(F1018="THL",PR!$BJ1016,IF(F1018="UBASTIC",PR!$BK1016,IF(F1018="UNION",PR!$BL1016,IF(F1018="UNIQUE",PR!$BM1016,IF(F1018="VIXA",PR!$BN1016,IF(F1018="WWCV",PR!$BO1016,IF(F1018="ZOLON",PR!$BP1016,"-"))))))))))))))))))))))))))))))))))))))))))))))))))))))))))))))))</f>
        <v>18750</v>
      </c>
      <c r="F1018" s="102" t="str">
        <f>EV!L1298</f>
        <v>TEMITA</v>
      </c>
      <c r="G1018" s="108">
        <f>IF(H1018="ALPHA",PR!$E1016,IF(H1018="ASSENE",PR!$F1016,IF(H1018="BIOFEM",PR!$G1016,IF(H1018="BIOMED",PR!$H1016,IF(H1018="CHI",PR!$I1016,IF(H1018="CLARION",PR!$J1016,IF(H1018="CODIX",PR!$K1016,IF(H1018="COSMADE",PR!$L1016,IF(H1018="SANCON",PR!$M1016,IF(H1018="DEVON",PR!$N1016,IF(H1018="DORTEMAG",PR!$O1016,IF(H1018="DGF",PR!$P1016,IF(H1018="DYNAMIC",PR!$Q1016,IF(H1018="EMZOR",PR!$R1016,IF(H1018="EUMATT",PR!$S1016,IF(H1018="FIDSON",PR!$T1016,IF(H1018="FCGLOBAL",PR!$U1016,IF(H1018="GENEITH",PR!$V1016,IF(H1018="GINOS",PR!$W1016,IF(H1018="GSK",PR!$X1016,IF(H1018="GLOBORG",PR!$Y1016,IF(H1018="GOODNEWS",PR!$Z1016,IF(H1018="GREENLIFE",PR!$AA1016,IF(H1018="HLINE",PR!$AB1016,IF(H1018="ROTECH",PR!$AC1016,IF(H1018="ISN",PR!$AD1016,IF(H1018="JAWA",PR!$AE1016,IF(H1018="LAYO",PR!$AF1016,IF(H1018="LEADWAY",PR!$AG1016,IF(H1018="LHV",PR!$AH1016,IF(H1018="MANOLA",PR!$AI1016,IF(H1018="MARCSON",PR!$AJ1016,IF(H1018="M&amp;B",PR!$AK1016,IF(H1018="MTRUST",PR!$AL1016,IF(H1018="MWORLD",PR!$AM1016,IF(H1018="MEGA",PR!$AN1016,IF(H1018="MICRONOVA",PR!$AO1016,IF(H1018="MFLASH",PR!$AP1016,IF(H1018="MORISON",PR!$AQ1016,IF(H1018="NEMEL",PR!$AR1016,IF(H1018="NHP",PR!$AS1016,IF(H1018="NHC",PR!$AT1016,IF(H1018="OLEAF",PR!$AU1016,IF(H1018="OCULUS",PR!$AV1016,IF(H1018="PACIFIC",PR!$AW1016,IF(H1018="PHAMATEX",PR!$AX1016,IF(H1018="PETHICS",PR!$AY1016,IF(H1018="PHILIPS",PR!$AZ1016,IF(H1018="RANBAXY",PR!$BA1016,IF(H1018="REALS",PR!$BB1016,IF(H1018="ROYAL",PR!$BC1016,IF(H1018="SAM",PR!$BD1016,IF(H1018="SEAGREEN",PR!$BE1016,IF(H1018="SKG",PR!$BF1016,IF(H1018="TAH",PR!$BG1016,IF(H1018="TAYLEK",PR!$BH1016,IF(H1018="TEMITA",PR!$BI1016,IF(H1018="THL",PR!$BJ1016,IF(H1018="UBASTIC",PR!$BK1016,IF(H1018="UNION",PR!$BL1016,IF(H1018="UNIQUE",PR!$BM1016,IF(H1018="VIXA",PR!$BN1016,IF(H1018="WWCV",PR!$BO1016,IF(H1018="ZOLON",PR!$BP1016,"-"))))))))))))))))))))))))))))))))))))))))))))))))))))))))))))))))</f>
        <v>20000</v>
      </c>
      <c r="H1018" s="102" t="str">
        <f>EV!M1298</f>
        <v>UBASTIC</v>
      </c>
      <c r="I1018" s="108">
        <f>IF(J1018="ALPHA",PR!$E1016,IF(J1018="ASSENE",PR!$F1016,IF(J1018="BIOFEM",PR!$G1016,IF(J1018="BIOMED",PR!$H1016,IF(J1018="CHI",PR!$I1016,IF(J1018="CLARION",PR!$J1016,IF(J1018="CODIX",PR!$K1016,IF(J1018="COSMADE",PR!$L1016,IF(J1018="SANCON",PR!$M1016,IF(J1018="DEVON",PR!$N1016,IF(J1018="DORTEMAG",PR!$O1016,IF(J1018="DGF",PR!$P1016,IF(J1018="DYNAMIC",PR!$Q1016,IF(J1018="EMZOR",PR!$R1016,IF(J1018="EUMATT",PR!$S1016,IF(J1018="FIDSON",PR!$T1016,IF(J1018="FCGLOBAL",PR!$U1016,IF(J1018="GENEITH",PR!$V1016,IF(J1018="GINOS",PR!$W1016,IF(J1018="GSK",PR!$X1016,IF(J1018="GLOBORG",PR!$Y1016,IF(J1018="GOODNEWS",PR!$Z1016,IF(J1018="GREENLIFE",PR!$AA1016,IF(J1018="HLINE",PR!$AB1016,IF(J1018="ROTECH",PR!$AC1016,IF(J1018="ISN",PR!$AD1016,IF(J1018="JAWA",PR!$AE1016,IF(J1018="LAYO",PR!$AF1016,IF(J1018="LEADWAY",PR!$AG1016,IF(J1018="LHV",PR!$AH1016,IF(J1018="MANOLA",PR!$AI1016,IF(J1018="MARCSON",PR!$AJ1016,IF(J1018="M&amp;B",PR!$AK1016,IF(J1018="MTRUST",PR!$AL1016,IF(J1018="MWORLD",PR!$AM1016,IF(J1018="MEGA",PR!$AN1016,IF(J1018="MICRONOVA",PR!$AO1016,IF(J1018="MFLASH",PR!$AP1016,IF(J1018="MORISON",PR!$AQ1016,IF(J1018="NEMEL",PR!$AR1016,IF(J1018="NHP",PR!$AS1016,IF(J1018="NHC",PR!$AT1016,IF(J1018="OLEAF",PR!$AU1016,IF(J1018="OCULUS",PR!$AV1016,IF(J1018="PACIFIC",PR!$AW1016,IF(J1018="PHAMATEX",PR!$AX1016,IF(J1018="PETHICS",PR!$AY1016,IF(J1018="PHILIPS",PR!$AZ1016,IF(J1018="RANBAXY",PR!$BA1016,IF(J1018="REALS",PR!$BB1016,IF(J1018="ROYAL",PR!$BC1016,IF(J1018="SAM",PR!$BD1016,IF(J1018="SEAGREEN",PR!$BE1016,IF(J1018="SKG",PR!$BF1016,IF(J1018="TAH",PR!$BG1016,IF(J1018="TAYLEK",PR!$BH1016,IF(J1018="TEMITA",PR!$BI1016,IF(J1018="THL",PR!$BJ1016,IF(J1018="UBASTIC",PR!$BK1016,IF(J1018="UNION",PR!$BL1016,IF(J1018="UNIQUE",PR!$BM1016,IF(J1018="VIXA",PR!$BN1016,IF(J1018="WWCV",PR!$BO1016,IF(J1018="ZOLON",PR!$BP1016,"-"))))))))))))))))))))))))))))))))))))))))))))))))))))))))))))))))</f>
        <v>20150</v>
      </c>
      <c r="J1018" s="102" t="str">
        <f>EV!N1298</f>
        <v>LAYO</v>
      </c>
      <c r="K1018" s="433" t="s">
        <v>1463</v>
      </c>
      <c r="L1018" s="183">
        <f>IF(K1018&gt;0,IF(K1018="ALPHA",PR!$E1016,IF(K1018="ASSENE",PR!$F1016,IF(K1018="BIOFEM",PR!$G1016,IF(K1018="BIOMED",PR!$H1016,IF(K1018="CHI",PR!$I1016,IF(K1018="CLARION",PR!$J1016,IF(K1018="CODIX",PR!$K1016,IF(K1018="COSMADE",PR!$L1016,IF(K1018="SANCON",PR!$M1016,IF(K1018="DEVON",PR!$N1016,IF(K1018="DORTEMAG",PR!$O1016,IF(K1018="DGF",PR!$P1016,IF(K1018="DYNAMIC",PR!$Q1016,IF(K1018="EMZOR",PR!$R1016,IF(K1018="EUMATT",PR!$S1016,IF(K1018="FIDSON",PR!$T1016,IF(K1018="FCGLOBAL",PR!$U1016,IF(K1018="GENEITH",PR!$V1016,IF(K1018="GINOS",PR!$W1016,IF(K1018="GSK",PR!$X1016,IF(K1018="GLOBORG",PR!$Y1016,IF(K1018="GOODNEWS",PR!$Z1016,IF(K1018="GREENLIFE",PR!$AA1016,IF(K1018="HLINE",PR!$AB1016,IF(K1018="ROTECH",PR!$AC1016,IF(K1018="ISN",PR!$AD1016,IF(K1018="JAWA",PR!$AE1016,IF(K1018="LAYO",PR!$AF1016,IF(K1018="LEADWAY",PR!$AG1016,IF(K1018="LHV",PR!$AH1016,IF(K1018="MANOLA",PR!$AI1016,IF(K1018="MARCSON",PR!$AJ1016,IF(K1018="M&amp;B",PR!$AK1016,IF(K1018="MTRUST",PR!$AL1016,IF(K1018="MWORLD",PR!$AM1016,IF(K1018="MEGA",PR!$AN1016,IF(K1018="MICRONOVA",PR!$AO1016,IF(K1018="MFLASH",PR!$AP1016,IF(K1018="MORISON",PR!$AQ1016,IF(K1018="NEMEL",PR!$AR1016,IF(K1018="NHP",PR!$AS1016,IF(K1018="NHC",PR!$AT1016,IF(K1018="OLEAF",PR!$AU1016,IF(K1018="OCULUS",PR!$AV1016,IF(K1018="PACIFIC",PR!$AW1016,IF(K1018="PHAMATEX",PR!$AX1016,IF(K1018="PETHICS",PR!$AY1016,IF(K1018="PHILIPS",PR!$AZ1016,IF(K1018="RANBAXY",PR!$BA1016,IF(K1018="REALS",PR!$BB1016,IF(K1018="ROYAL",PR!$BC1016,IF(K1018="SAM",PR!$BD1016,IF(K1018="SEAGREEN",PR!$BE1016,IF(K1018="SKG",PR!$BF1016,IF(K1018="TAH",PR!$BG1016,IF(K1018="TAYLEK",PR!$BH1016,IF(K1018="TEMITA",PR!$BI1016,IF(K1018="THL",PR!$BJ1016,IF(K1018="UBASTIC",PR!$BK1016,IF(K1018="UNION",PR!$BL1016,IF(K1018="UNIQUE",PR!$BM1016,IF(K1018="VIXA",PR!$BN1016,IF(K1018="WWCV",PR!$BO1016,IF(K1018="ZOLON",PR!$BP1016,"-")))))))))))))))))))))))))))))))))))))))))))))))))))))))))))))))))</f>
        <v>18750</v>
      </c>
    </row>
    <row r="1019" spans="1:12" ht="18.75" x14ac:dyDescent="0.3">
      <c r="A1019" s="430">
        <f>PR!A1017</f>
        <v>915</v>
      </c>
      <c r="B1019" s="15" t="str">
        <f>PR!B1017</f>
        <v>PEPTONE POWDER AGAR</v>
      </c>
      <c r="C1019" s="113" t="str">
        <f>PR!D1017</f>
        <v>1 bottle of 500g</v>
      </c>
      <c r="D1019" s="113">
        <f>PR!C1017</f>
        <v>40</v>
      </c>
      <c r="E1019" s="108">
        <f>IF(F1019="ALPHA",PR!$E1017,IF(F1019="ASSENE",PR!$F1017,IF(F1019="BIOFEM",PR!$G1017,IF(F1019="BIOMED",PR!$H1017,IF(F1019="CHI",PR!$I1017,IF(F1019="CLARION",PR!$J1017,IF(F1019="CODIX",PR!$K1017,IF(F1019="COSMADE",PR!$L1017,IF(F1019="SANCON",PR!$M1017,IF(F1019="DEVON",PR!$N1017,IF(F1019="DORTEMAG",PR!$O1017,IF(F1019="DGF",PR!$P1017,IF(F1019="DYNAMIC",PR!$Q1017,IF(F1019="EMZOR",PR!$R1017,IF(F1019="EUMATT",PR!$S1017,IF(F1019="FIDSON",PR!$T1017,IF(F1019="FCGLOBAL",PR!$U1017,IF(F1019="GENEITH",PR!$V1017,IF(F1019="GINOS",PR!$W1017,IF(F1019="GSK",PR!$X1017,IF(F1019="GLOBORG",PR!$Y1017,IF(F1019="GOODNEWS",PR!$Z1017,IF(F1019="GREENLIFE",PR!$AA1017,IF(F1019="HLINE",PR!$AB1017,IF(F1019="ROTECH",PR!$AC1017,IF(F1019="ISN",PR!$AD1017,IF(F1019="JAWA",PR!$AE1017,IF(F1019="LAYO",PR!$AF1017,IF(F1019="LEADWAY",PR!$AG1017,IF(F1019="LHV",PR!$AH1017,IF(F1019="MANOLA",PR!$AI1017,IF(F1019="MARCSON",PR!$AJ1017,IF(F1019="M&amp;B",PR!$AK1017,IF(F1019="MTRUST",PR!$AL1017,IF(F1019="MWORLD",PR!$AM1017,IF(F1019="MEGA",PR!$AN1017,IF(F1019="MICRONOVA",PR!$AO1017,IF(F1019="MFLASH",PR!$AP1017,IF(F1019="MORISON",PR!$AQ1017,IF(F1019="NEMEL",PR!$AR1017,IF(F1019="NHP",PR!$AS1017,IF(F1019="NHC",PR!$AT1017,IF(F1019="OLEAF",PR!$AU1017,IF(F1019="OCULUS",PR!$AV1017,IF(F1019="PACIFIC",PR!$AW1017,IF(F1019="PHAMATEX",PR!$AX1017,IF(F1019="PETHICS",PR!$AY1017,IF(F1019="PHILIPS",PR!$AZ1017,IF(F1019="RANBAXY",PR!$BA1017,IF(F1019="REALS",PR!$BB1017,IF(F1019="ROYAL",PR!$BC1017,IF(F1019="SAM",PR!$BD1017,IF(F1019="SEAGREEN",PR!$BE1017,IF(F1019="SKG",PR!$BF1017,IF(F1019="TAH",PR!$BG1017,IF(F1019="TAYLEK",PR!$BH1017,IF(F1019="TEMITA",PR!$BI1017,IF(F1019="THL",PR!$BJ1017,IF(F1019="UBASTIC",PR!$BK1017,IF(F1019="UNION",PR!$BL1017,IF(F1019="UNIQUE",PR!$BM1017,IF(F1019="VIXA",PR!$BN1017,IF(F1019="WWCV",PR!$BO1017,IF(F1019="ZOLON",PR!$BP1017,"-"))))))))))))))))))))))))))))))))))))))))))))))))))))))))))))))))</f>
        <v>19285</v>
      </c>
      <c r="F1019" s="102" t="str">
        <f>EV!L1299</f>
        <v>DYNAMIC</v>
      </c>
      <c r="G1019" s="108">
        <f>IF(H1019="ALPHA",PR!$E1017,IF(H1019="ASSENE",PR!$F1017,IF(H1019="BIOFEM",PR!$G1017,IF(H1019="BIOMED",PR!$H1017,IF(H1019="CHI",PR!$I1017,IF(H1019="CLARION",PR!$J1017,IF(H1019="CODIX",PR!$K1017,IF(H1019="COSMADE",PR!$L1017,IF(H1019="SANCON",PR!$M1017,IF(H1019="DEVON",PR!$N1017,IF(H1019="DORTEMAG",PR!$O1017,IF(H1019="DGF",PR!$P1017,IF(H1019="DYNAMIC",PR!$Q1017,IF(H1019="EMZOR",PR!$R1017,IF(H1019="EUMATT",PR!$S1017,IF(H1019="FIDSON",PR!$T1017,IF(H1019="FCGLOBAL",PR!$U1017,IF(H1019="GENEITH",PR!$V1017,IF(H1019="GINOS",PR!$W1017,IF(H1019="GSK",PR!$X1017,IF(H1019="GLOBORG",PR!$Y1017,IF(H1019="GOODNEWS",PR!$Z1017,IF(H1019="GREENLIFE",PR!$AA1017,IF(H1019="HLINE",PR!$AB1017,IF(H1019="ROTECH",PR!$AC1017,IF(H1019="ISN",PR!$AD1017,IF(H1019="JAWA",PR!$AE1017,IF(H1019="LAYO",PR!$AF1017,IF(H1019="LEADWAY",PR!$AG1017,IF(H1019="LHV",PR!$AH1017,IF(H1019="MANOLA",PR!$AI1017,IF(H1019="MARCSON",PR!$AJ1017,IF(H1019="M&amp;B",PR!$AK1017,IF(H1019="MTRUST",PR!$AL1017,IF(H1019="MWORLD",PR!$AM1017,IF(H1019="MEGA",PR!$AN1017,IF(H1019="MICRONOVA",PR!$AO1017,IF(H1019="MFLASH",PR!$AP1017,IF(H1019="MORISON",PR!$AQ1017,IF(H1019="NEMEL",PR!$AR1017,IF(H1019="NHP",PR!$AS1017,IF(H1019="NHC",PR!$AT1017,IF(H1019="OLEAF",PR!$AU1017,IF(H1019="OCULUS",PR!$AV1017,IF(H1019="PACIFIC",PR!$AW1017,IF(H1019="PHAMATEX",PR!$AX1017,IF(H1019="PETHICS",PR!$AY1017,IF(H1019="PHILIPS",PR!$AZ1017,IF(H1019="RANBAXY",PR!$BA1017,IF(H1019="REALS",PR!$BB1017,IF(H1019="ROYAL",PR!$BC1017,IF(H1019="SAM",PR!$BD1017,IF(H1019="SEAGREEN",PR!$BE1017,IF(H1019="SKG",PR!$BF1017,IF(H1019="TAH",PR!$BG1017,IF(H1019="TAYLEK",PR!$BH1017,IF(H1019="TEMITA",PR!$BI1017,IF(H1019="THL",PR!$BJ1017,IF(H1019="UBASTIC",PR!$BK1017,IF(H1019="UNION",PR!$BL1017,IF(H1019="UNIQUE",PR!$BM1017,IF(H1019="VIXA",PR!$BN1017,IF(H1019="WWCV",PR!$BO1017,IF(H1019="ZOLON",PR!$BP1017,"-"))))))))))))))))))))))))))))))))))))))))))))))))))))))))))))))))</f>
        <v>20000</v>
      </c>
      <c r="H1019" s="102" t="str">
        <f>EV!M1299</f>
        <v>UBASTIC</v>
      </c>
      <c r="I1019" s="108">
        <f>IF(J1019="ALPHA",PR!$E1017,IF(J1019="ASSENE",PR!$F1017,IF(J1019="BIOFEM",PR!$G1017,IF(J1019="BIOMED",PR!$H1017,IF(J1019="CHI",PR!$I1017,IF(J1019="CLARION",PR!$J1017,IF(J1019="CODIX",PR!$K1017,IF(J1019="COSMADE",PR!$L1017,IF(J1019="SANCON",PR!$M1017,IF(J1019="DEVON",PR!$N1017,IF(J1019="DORTEMAG",PR!$O1017,IF(J1019="DGF",PR!$P1017,IF(J1019="DYNAMIC",PR!$Q1017,IF(J1019="EMZOR",PR!$R1017,IF(J1019="EUMATT",PR!$S1017,IF(J1019="FIDSON",PR!$T1017,IF(J1019="FCGLOBAL",PR!$U1017,IF(J1019="GENEITH",PR!$V1017,IF(J1019="GINOS",PR!$W1017,IF(J1019="GSK",PR!$X1017,IF(J1019="GLOBORG",PR!$Y1017,IF(J1019="GOODNEWS",PR!$Z1017,IF(J1019="GREENLIFE",PR!$AA1017,IF(J1019="HLINE",PR!$AB1017,IF(J1019="ROTECH",PR!$AC1017,IF(J1019="ISN",PR!$AD1017,IF(J1019="JAWA",PR!$AE1017,IF(J1019="LAYO",PR!$AF1017,IF(J1019="LEADWAY",PR!$AG1017,IF(J1019="LHV",PR!$AH1017,IF(J1019="MANOLA",PR!$AI1017,IF(J1019="MARCSON",PR!$AJ1017,IF(J1019="M&amp;B",PR!$AK1017,IF(J1019="MTRUST",PR!$AL1017,IF(J1019="MWORLD",PR!$AM1017,IF(J1019="MEGA",PR!$AN1017,IF(J1019="MICRONOVA",PR!$AO1017,IF(J1019="MFLASH",PR!$AP1017,IF(J1019="MORISON",PR!$AQ1017,IF(J1019="NEMEL",PR!$AR1017,IF(J1019="NHP",PR!$AS1017,IF(J1019="NHC",PR!$AT1017,IF(J1019="OLEAF",PR!$AU1017,IF(J1019="OCULUS",PR!$AV1017,IF(J1019="PACIFIC",PR!$AW1017,IF(J1019="PHAMATEX",PR!$AX1017,IF(J1019="PETHICS",PR!$AY1017,IF(J1019="PHILIPS",PR!$AZ1017,IF(J1019="RANBAXY",PR!$BA1017,IF(J1019="REALS",PR!$BB1017,IF(J1019="ROYAL",PR!$BC1017,IF(J1019="SAM",PR!$BD1017,IF(J1019="SEAGREEN",PR!$BE1017,IF(J1019="SKG",PR!$BF1017,IF(J1019="TAH",PR!$BG1017,IF(J1019="TAYLEK",PR!$BH1017,IF(J1019="TEMITA",PR!$BI1017,IF(J1019="THL",PR!$BJ1017,IF(J1019="UBASTIC",PR!$BK1017,IF(J1019="UNION",PR!$BL1017,IF(J1019="UNIQUE",PR!$BM1017,IF(J1019="VIXA",PR!$BN1017,IF(J1019="WWCV",PR!$BO1017,IF(J1019="ZOLON",PR!$BP1017,"-"))))))))))))))))))))))))))))))))))))))))))))))))))))))))))))))))</f>
        <v>29000</v>
      </c>
      <c r="J1019" s="102" t="str">
        <f>EV!N1299</f>
        <v>SANCON</v>
      </c>
      <c r="K1019" s="433" t="s">
        <v>626</v>
      </c>
      <c r="L1019" s="183">
        <f>IF(K1019&gt;0,IF(K1019="ALPHA",PR!$E1017,IF(K1019="ASSENE",PR!$F1017,IF(K1019="BIOFEM",PR!$G1017,IF(K1019="BIOMED",PR!$H1017,IF(K1019="CHI",PR!$I1017,IF(K1019="CLARION",PR!$J1017,IF(K1019="CODIX",PR!$K1017,IF(K1019="COSMADE",PR!$L1017,IF(K1019="SANCON",PR!$M1017,IF(K1019="DEVON",PR!$N1017,IF(K1019="DORTEMAG",PR!$O1017,IF(K1019="DGF",PR!$P1017,IF(K1019="DYNAMIC",PR!$Q1017,IF(K1019="EMZOR",PR!$R1017,IF(K1019="EUMATT",PR!$S1017,IF(K1019="FIDSON",PR!$T1017,IF(K1019="FCGLOBAL",PR!$U1017,IF(K1019="GENEITH",PR!$V1017,IF(K1019="GINOS",PR!$W1017,IF(K1019="GSK",PR!$X1017,IF(K1019="GLOBORG",PR!$Y1017,IF(K1019="GOODNEWS",PR!$Z1017,IF(K1019="GREENLIFE",PR!$AA1017,IF(K1019="HLINE",PR!$AB1017,IF(K1019="ROTECH",PR!$AC1017,IF(K1019="ISN",PR!$AD1017,IF(K1019="JAWA",PR!$AE1017,IF(K1019="LAYO",PR!$AF1017,IF(K1019="LEADWAY",PR!$AG1017,IF(K1019="LHV",PR!$AH1017,IF(K1019="MANOLA",PR!$AI1017,IF(K1019="MARCSON",PR!$AJ1017,IF(K1019="M&amp;B",PR!$AK1017,IF(K1019="MTRUST",PR!$AL1017,IF(K1019="MWORLD",PR!$AM1017,IF(K1019="MEGA",PR!$AN1017,IF(K1019="MICRONOVA",PR!$AO1017,IF(K1019="MFLASH",PR!$AP1017,IF(K1019="MORISON",PR!$AQ1017,IF(K1019="NEMEL",PR!$AR1017,IF(K1019="NHP",PR!$AS1017,IF(K1019="NHC",PR!$AT1017,IF(K1019="OLEAF",PR!$AU1017,IF(K1019="OCULUS",PR!$AV1017,IF(K1019="PACIFIC",PR!$AW1017,IF(K1019="PHAMATEX",PR!$AX1017,IF(K1019="PETHICS",PR!$AY1017,IF(K1019="PHILIPS",PR!$AZ1017,IF(K1019="RANBAXY",PR!$BA1017,IF(K1019="REALS",PR!$BB1017,IF(K1019="ROYAL",PR!$BC1017,IF(K1019="SAM",PR!$BD1017,IF(K1019="SEAGREEN",PR!$BE1017,IF(K1019="SKG",PR!$BF1017,IF(K1019="TAH",PR!$BG1017,IF(K1019="TAYLEK",PR!$BH1017,IF(K1019="TEMITA",PR!$BI1017,IF(K1019="THL",PR!$BJ1017,IF(K1019="UBASTIC",PR!$BK1017,IF(K1019="UNION",PR!$BL1017,IF(K1019="UNIQUE",PR!$BM1017,IF(K1019="VIXA",PR!$BN1017,IF(K1019="WWCV",PR!$BO1017,IF(K1019="ZOLON",PR!$BP1017,"-")))))))))))))))))))))))))))))))))))))))))))))))))))))))))))))))))</f>
        <v>19285</v>
      </c>
    </row>
    <row r="1020" spans="1:12" ht="18.75" x14ac:dyDescent="0.3">
      <c r="A1020" s="430">
        <f>PR!A1018</f>
        <v>916</v>
      </c>
      <c r="B1020" s="15" t="str">
        <f>PR!B1018</f>
        <v>SALMONELLA SHIGELLAR AGAR</v>
      </c>
      <c r="C1020" s="113" t="str">
        <f>PR!D1018</f>
        <v>1 bottle of 500g</v>
      </c>
      <c r="D1020" s="113">
        <f>PR!C1018</f>
        <v>40</v>
      </c>
      <c r="E1020" s="108">
        <f>IF(F1020="ALPHA",PR!$E1018,IF(F1020="ASSENE",PR!$F1018,IF(F1020="BIOFEM",PR!$G1018,IF(F1020="BIOMED",PR!$H1018,IF(F1020="CHI",PR!$I1018,IF(F1020="CLARION",PR!$J1018,IF(F1020="CODIX",PR!$K1018,IF(F1020="COSMADE",PR!$L1018,IF(F1020="SANCON",PR!$M1018,IF(F1020="DEVON",PR!$N1018,IF(F1020="DORTEMAG",PR!$O1018,IF(F1020="DGF",PR!$P1018,IF(F1020="DYNAMIC",PR!$Q1018,IF(F1020="EMZOR",PR!$R1018,IF(F1020="EUMATT",PR!$S1018,IF(F1020="FIDSON",PR!$T1018,IF(F1020="FCGLOBAL",PR!$U1018,IF(F1020="GENEITH",PR!$V1018,IF(F1020="GINOS",PR!$W1018,IF(F1020="GSK",PR!$X1018,IF(F1020="GLOBORG",PR!$Y1018,IF(F1020="GOODNEWS",PR!$Z1018,IF(F1020="GREENLIFE",PR!$AA1018,IF(F1020="HLINE",PR!$AB1018,IF(F1020="ROTECH",PR!$AC1018,IF(F1020="ISN",PR!$AD1018,IF(F1020="JAWA",PR!$AE1018,IF(F1020="LAYO",PR!$AF1018,IF(F1020="LEADWAY",PR!$AG1018,IF(F1020="LHV",PR!$AH1018,IF(F1020="MANOLA",PR!$AI1018,IF(F1020="MARCSON",PR!$AJ1018,IF(F1020="M&amp;B",PR!$AK1018,IF(F1020="MTRUST",PR!$AL1018,IF(F1020="MWORLD",PR!$AM1018,IF(F1020="MEGA",PR!$AN1018,IF(F1020="MICRONOVA",PR!$AO1018,IF(F1020="MFLASH",PR!$AP1018,IF(F1020="MORISON",PR!$AQ1018,IF(F1020="NEMEL",PR!$AR1018,IF(F1020="NHP",PR!$AS1018,IF(F1020="NHC",PR!$AT1018,IF(F1020="OLEAF",PR!$AU1018,IF(F1020="OCULUS",PR!$AV1018,IF(F1020="PACIFIC",PR!$AW1018,IF(F1020="PHAMATEX",PR!$AX1018,IF(F1020="PETHICS",PR!$AY1018,IF(F1020="PHILIPS",PR!$AZ1018,IF(F1020="RANBAXY",PR!$BA1018,IF(F1020="REALS",PR!$BB1018,IF(F1020="ROYAL",PR!$BC1018,IF(F1020="SAM",PR!$BD1018,IF(F1020="SEAGREEN",PR!$BE1018,IF(F1020="SKG",PR!$BF1018,IF(F1020="TAH",PR!$BG1018,IF(F1020="TAYLEK",PR!$BH1018,IF(F1020="TEMITA",PR!$BI1018,IF(F1020="THL",PR!$BJ1018,IF(F1020="UBASTIC",PR!$BK1018,IF(F1020="UNION",PR!$BL1018,IF(F1020="UNIQUE",PR!$BM1018,IF(F1020="VIXA",PR!$BN1018,IF(F1020="WWCV",PR!$BO1018,IF(F1020="ZOLON",PR!$BP1018,"-"))))))))))))))))))))))))))))))))))))))))))))))))))))))))))))))))</f>
        <v>20000</v>
      </c>
      <c r="F1020" s="102" t="str">
        <f>EV!L1300</f>
        <v>UBASTIC</v>
      </c>
      <c r="G1020" s="108">
        <f>IF(H1020="ALPHA",PR!$E1018,IF(H1020="ASSENE",PR!$F1018,IF(H1020="BIOFEM",PR!$G1018,IF(H1020="BIOMED",PR!$H1018,IF(H1020="CHI",PR!$I1018,IF(H1020="CLARION",PR!$J1018,IF(H1020="CODIX",PR!$K1018,IF(H1020="COSMADE",PR!$L1018,IF(H1020="SANCON",PR!$M1018,IF(H1020="DEVON",PR!$N1018,IF(H1020="DORTEMAG",PR!$O1018,IF(H1020="DGF",PR!$P1018,IF(H1020="DYNAMIC",PR!$Q1018,IF(H1020="EMZOR",PR!$R1018,IF(H1020="EUMATT",PR!$S1018,IF(H1020="FIDSON",PR!$T1018,IF(H1020="FCGLOBAL",PR!$U1018,IF(H1020="GENEITH",PR!$V1018,IF(H1020="GINOS",PR!$W1018,IF(H1020="GSK",PR!$X1018,IF(H1020="GLOBORG",PR!$Y1018,IF(H1020="GOODNEWS",PR!$Z1018,IF(H1020="GREENLIFE",PR!$AA1018,IF(H1020="HLINE",PR!$AB1018,IF(H1020="ROTECH",PR!$AC1018,IF(H1020="ISN",PR!$AD1018,IF(H1020="JAWA",PR!$AE1018,IF(H1020="LAYO",PR!$AF1018,IF(H1020="LEADWAY",PR!$AG1018,IF(H1020="LHV",PR!$AH1018,IF(H1020="MANOLA",PR!$AI1018,IF(H1020="MARCSON",PR!$AJ1018,IF(H1020="M&amp;B",PR!$AK1018,IF(H1020="MTRUST",PR!$AL1018,IF(H1020="MWORLD",PR!$AM1018,IF(H1020="MEGA",PR!$AN1018,IF(H1020="MICRONOVA",PR!$AO1018,IF(H1020="MFLASH",PR!$AP1018,IF(H1020="MORISON",PR!$AQ1018,IF(H1020="NEMEL",PR!$AR1018,IF(H1020="NHP",PR!$AS1018,IF(H1020="NHC",PR!$AT1018,IF(H1020="OLEAF",PR!$AU1018,IF(H1020="OCULUS",PR!$AV1018,IF(H1020="PACIFIC",PR!$AW1018,IF(H1020="PHAMATEX",PR!$AX1018,IF(H1020="PETHICS",PR!$AY1018,IF(H1020="PHILIPS",PR!$AZ1018,IF(H1020="RANBAXY",PR!$BA1018,IF(H1020="REALS",PR!$BB1018,IF(H1020="ROYAL",PR!$BC1018,IF(H1020="SAM",PR!$BD1018,IF(H1020="SEAGREEN",PR!$BE1018,IF(H1020="SKG",PR!$BF1018,IF(H1020="TAH",PR!$BG1018,IF(H1020="TAYLEK",PR!$BH1018,IF(H1020="TEMITA",PR!$BI1018,IF(H1020="THL",PR!$BJ1018,IF(H1020="UBASTIC",PR!$BK1018,IF(H1020="UNION",PR!$BL1018,IF(H1020="UNIQUE",PR!$BM1018,IF(H1020="VIXA",PR!$BN1018,IF(H1020="WWCV",PR!$BO1018,IF(H1020="ZOLON",PR!$BP1018,"-"))))))))))))))))))))))))))))))))))))))))))))))))))))))))))))))))</f>
        <v>26250</v>
      </c>
      <c r="H1020" s="102" t="str">
        <f>EV!M1300</f>
        <v>TEMITA</v>
      </c>
      <c r="I1020" s="108">
        <f>IF(J1020="ALPHA",PR!$E1018,IF(J1020="ASSENE",PR!$F1018,IF(J1020="BIOFEM",PR!$G1018,IF(J1020="BIOMED",PR!$H1018,IF(J1020="CHI",PR!$I1018,IF(J1020="CLARION",PR!$J1018,IF(J1020="CODIX",PR!$K1018,IF(J1020="COSMADE",PR!$L1018,IF(J1020="SANCON",PR!$M1018,IF(J1020="DEVON",PR!$N1018,IF(J1020="DORTEMAG",PR!$O1018,IF(J1020="DGF",PR!$P1018,IF(J1020="DYNAMIC",PR!$Q1018,IF(J1020="EMZOR",PR!$R1018,IF(J1020="EUMATT",PR!$S1018,IF(J1020="FIDSON",PR!$T1018,IF(J1020="FCGLOBAL",PR!$U1018,IF(J1020="GENEITH",PR!$V1018,IF(J1020="GINOS",PR!$W1018,IF(J1020="GSK",PR!$X1018,IF(J1020="GLOBORG",PR!$Y1018,IF(J1020="GOODNEWS",PR!$Z1018,IF(J1020="GREENLIFE",PR!$AA1018,IF(J1020="HLINE",PR!$AB1018,IF(J1020="ROTECH",PR!$AC1018,IF(J1020="ISN",PR!$AD1018,IF(J1020="JAWA",PR!$AE1018,IF(J1020="LAYO",PR!$AF1018,IF(J1020="LEADWAY",PR!$AG1018,IF(J1020="LHV",PR!$AH1018,IF(J1020="MANOLA",PR!$AI1018,IF(J1020="MARCSON",PR!$AJ1018,IF(J1020="M&amp;B",PR!$AK1018,IF(J1020="MTRUST",PR!$AL1018,IF(J1020="MWORLD",PR!$AM1018,IF(J1020="MEGA",PR!$AN1018,IF(J1020="MICRONOVA",PR!$AO1018,IF(J1020="MFLASH",PR!$AP1018,IF(J1020="MORISON",PR!$AQ1018,IF(J1020="NEMEL",PR!$AR1018,IF(J1020="NHP",PR!$AS1018,IF(J1020="NHC",PR!$AT1018,IF(J1020="OLEAF",PR!$AU1018,IF(J1020="OCULUS",PR!$AV1018,IF(J1020="PACIFIC",PR!$AW1018,IF(J1020="PHAMATEX",PR!$AX1018,IF(J1020="PETHICS",PR!$AY1018,IF(J1020="PHILIPS",PR!$AZ1018,IF(J1020="RANBAXY",PR!$BA1018,IF(J1020="REALS",PR!$BB1018,IF(J1020="ROYAL",PR!$BC1018,IF(J1020="SAM",PR!$BD1018,IF(J1020="SEAGREEN",PR!$BE1018,IF(J1020="SKG",PR!$BF1018,IF(J1020="TAH",PR!$BG1018,IF(J1020="TAYLEK",PR!$BH1018,IF(J1020="TEMITA",PR!$BI1018,IF(J1020="THL",PR!$BJ1018,IF(J1020="UBASTIC",PR!$BK1018,IF(J1020="UNION",PR!$BL1018,IF(J1020="UNIQUE",PR!$BM1018,IF(J1020="VIXA",PR!$BN1018,IF(J1020="WWCV",PR!$BO1018,IF(J1020="ZOLON",PR!$BP1018,"-"))))))))))))))))))))))))))))))))))))))))))))))))))))))))))))))))</f>
        <v>27300</v>
      </c>
      <c r="J1020" s="102" t="str">
        <f>EV!N1300</f>
        <v>LAYO</v>
      </c>
      <c r="K1020" s="433" t="s">
        <v>1459</v>
      </c>
      <c r="L1020" s="183">
        <f>IF(K1020&gt;0,IF(K1020="ALPHA",PR!$E1018,IF(K1020="ASSENE",PR!$F1018,IF(K1020="BIOFEM",PR!$G1018,IF(K1020="BIOMED",PR!$H1018,IF(K1020="CHI",PR!$I1018,IF(K1020="CLARION",PR!$J1018,IF(K1020="CODIX",PR!$K1018,IF(K1020="COSMADE",PR!$L1018,IF(K1020="SANCON",PR!$M1018,IF(K1020="DEVON",PR!$N1018,IF(K1020="DORTEMAG",PR!$O1018,IF(K1020="DGF",PR!$P1018,IF(K1020="DYNAMIC",PR!$Q1018,IF(K1020="EMZOR",PR!$R1018,IF(K1020="EUMATT",PR!$S1018,IF(K1020="FIDSON",PR!$T1018,IF(K1020="FCGLOBAL",PR!$U1018,IF(K1020="GENEITH",PR!$V1018,IF(K1020="GINOS",PR!$W1018,IF(K1020="GSK",PR!$X1018,IF(K1020="GLOBORG",PR!$Y1018,IF(K1020="GOODNEWS",PR!$Z1018,IF(K1020="GREENLIFE",PR!$AA1018,IF(K1020="HLINE",PR!$AB1018,IF(K1020="ROTECH",PR!$AC1018,IF(K1020="ISN",PR!$AD1018,IF(K1020="JAWA",PR!$AE1018,IF(K1020="LAYO",PR!$AF1018,IF(K1020="LEADWAY",PR!$AG1018,IF(K1020="LHV",PR!$AH1018,IF(K1020="MANOLA",PR!$AI1018,IF(K1020="MARCSON",PR!$AJ1018,IF(K1020="M&amp;B",PR!$AK1018,IF(K1020="MTRUST",PR!$AL1018,IF(K1020="MWORLD",PR!$AM1018,IF(K1020="MEGA",PR!$AN1018,IF(K1020="MICRONOVA",PR!$AO1018,IF(K1020="MFLASH",PR!$AP1018,IF(K1020="MORISON",PR!$AQ1018,IF(K1020="NEMEL",PR!$AR1018,IF(K1020="NHP",PR!$AS1018,IF(K1020="NHC",PR!$AT1018,IF(K1020="OLEAF",PR!$AU1018,IF(K1020="OCULUS",PR!$AV1018,IF(K1020="PACIFIC",PR!$AW1018,IF(K1020="PHAMATEX",PR!$AX1018,IF(K1020="PETHICS",PR!$AY1018,IF(K1020="PHILIPS",PR!$AZ1018,IF(K1020="RANBAXY",PR!$BA1018,IF(K1020="REALS",PR!$BB1018,IF(K1020="ROYAL",PR!$BC1018,IF(K1020="SAM",PR!$BD1018,IF(K1020="SEAGREEN",PR!$BE1018,IF(K1020="SKG",PR!$BF1018,IF(K1020="TAH",PR!$BG1018,IF(K1020="TAYLEK",PR!$BH1018,IF(K1020="TEMITA",PR!$BI1018,IF(K1020="THL",PR!$BJ1018,IF(K1020="UBASTIC",PR!$BK1018,IF(K1020="UNION",PR!$BL1018,IF(K1020="UNIQUE",PR!$BM1018,IF(K1020="VIXA",PR!$BN1018,IF(K1020="WWCV",PR!$BO1018,IF(K1020="ZOLON",PR!$BP1018,"-")))))))))))))))))))))))))))))))))))))))))))))))))))))))))))))))))</f>
        <v>20000</v>
      </c>
    </row>
    <row r="1021" spans="1:12" ht="18.75" x14ac:dyDescent="0.3">
      <c r="A1021" s="430">
        <f>PR!A1019</f>
        <v>917</v>
      </c>
      <c r="B1021" s="15" t="str">
        <f>PR!B1019</f>
        <v>SWAB STICKS</v>
      </c>
      <c r="C1021" s="113" t="str">
        <f>PR!D1019</f>
        <v>1 cartoon of 500pieces</v>
      </c>
      <c r="D1021" s="113">
        <f>PR!C1019</f>
        <v>40</v>
      </c>
      <c r="E1021" s="108">
        <f>IF(F1021="ALPHA",PR!$E1019,IF(F1021="ASSENE",PR!$F1019,IF(F1021="BIOFEM",PR!$G1019,IF(F1021="BIOMED",PR!$H1019,IF(F1021="CHI",PR!$I1019,IF(F1021="CLARION",PR!$J1019,IF(F1021="CODIX",PR!$K1019,IF(F1021="COSMADE",PR!$L1019,IF(F1021="SANCON",PR!$M1019,IF(F1021="DEVON",PR!$N1019,IF(F1021="DORTEMAG",PR!$O1019,IF(F1021="DGF",PR!$P1019,IF(F1021="DYNAMIC",PR!$Q1019,IF(F1021="EMZOR",PR!$R1019,IF(F1021="EUMATT",PR!$S1019,IF(F1021="FIDSON",PR!$T1019,IF(F1021="FCGLOBAL",PR!$U1019,IF(F1021="GENEITH",PR!$V1019,IF(F1021="GINOS",PR!$W1019,IF(F1021="GSK",PR!$X1019,IF(F1021="GLOBORG",PR!$Y1019,IF(F1021="GOODNEWS",PR!$Z1019,IF(F1021="GREENLIFE",PR!$AA1019,IF(F1021="HLINE",PR!$AB1019,IF(F1021="ROTECH",PR!$AC1019,IF(F1021="ISN",PR!$AD1019,IF(F1021="JAWA",PR!$AE1019,IF(F1021="LAYO",PR!$AF1019,IF(F1021="LEADWAY",PR!$AG1019,IF(F1021="LHV",PR!$AH1019,IF(F1021="MANOLA",PR!$AI1019,IF(F1021="MARCSON",PR!$AJ1019,IF(F1021="M&amp;B",PR!$AK1019,IF(F1021="MTRUST",PR!$AL1019,IF(F1021="MWORLD",PR!$AM1019,IF(F1021="MEGA",PR!$AN1019,IF(F1021="MICRONOVA",PR!$AO1019,IF(F1021="MFLASH",PR!$AP1019,IF(F1021="MORISON",PR!$AQ1019,IF(F1021="NEMEL",PR!$AR1019,IF(F1021="NHP",PR!$AS1019,IF(F1021="NHC",PR!$AT1019,IF(F1021="OLEAF",PR!$AU1019,IF(F1021="OCULUS",PR!$AV1019,IF(F1021="PACIFIC",PR!$AW1019,IF(F1021="PHAMATEX",PR!$AX1019,IF(F1021="PETHICS",PR!$AY1019,IF(F1021="PHILIPS",PR!$AZ1019,IF(F1021="RANBAXY",PR!$BA1019,IF(F1021="REALS",PR!$BB1019,IF(F1021="ROYAL",PR!$BC1019,IF(F1021="SAM",PR!$BD1019,IF(F1021="SEAGREEN",PR!$BE1019,IF(F1021="SKG",PR!$BF1019,IF(F1021="TAH",PR!$BG1019,IF(F1021="TAYLEK",PR!$BH1019,IF(F1021="TEMITA",PR!$BI1019,IF(F1021="THL",PR!$BJ1019,IF(F1021="UBASTIC",PR!$BK1019,IF(F1021="UNION",PR!$BL1019,IF(F1021="UNIQUE",PR!$BM1019,IF(F1021="VIXA",PR!$BN1019,IF(F1021="WWCV",PR!$BO1019,IF(F1021="ZOLON",PR!$BP1019,"-"))))))))))))))))))))))))))))))))))))))))))))))))))))))))))))))))</f>
        <v>15000</v>
      </c>
      <c r="F1021" s="102" t="str">
        <f>EV!L1301</f>
        <v>LHV</v>
      </c>
      <c r="G1021" s="108">
        <f>IF(H1021="ALPHA",PR!$E1019,IF(H1021="ASSENE",PR!$F1019,IF(H1021="BIOFEM",PR!$G1019,IF(H1021="BIOMED",PR!$H1019,IF(H1021="CHI",PR!$I1019,IF(H1021="CLARION",PR!$J1019,IF(H1021="CODIX",PR!$K1019,IF(H1021="COSMADE",PR!$L1019,IF(H1021="SANCON",PR!$M1019,IF(H1021="DEVON",PR!$N1019,IF(H1021="DORTEMAG",PR!$O1019,IF(H1021="DGF",PR!$P1019,IF(H1021="DYNAMIC",PR!$Q1019,IF(H1021="EMZOR",PR!$R1019,IF(H1021="EUMATT",PR!$S1019,IF(H1021="FIDSON",PR!$T1019,IF(H1021="FCGLOBAL",PR!$U1019,IF(H1021="GENEITH",PR!$V1019,IF(H1021="GINOS",PR!$W1019,IF(H1021="GSK",PR!$X1019,IF(H1021="GLOBORG",PR!$Y1019,IF(H1021="GOODNEWS",PR!$Z1019,IF(H1021="GREENLIFE",PR!$AA1019,IF(H1021="HLINE",PR!$AB1019,IF(H1021="ROTECH",PR!$AC1019,IF(H1021="ISN",PR!$AD1019,IF(H1021="JAWA",PR!$AE1019,IF(H1021="LAYO",PR!$AF1019,IF(H1021="LEADWAY",PR!$AG1019,IF(H1021="LHV",PR!$AH1019,IF(H1021="MANOLA",PR!$AI1019,IF(H1021="MARCSON",PR!$AJ1019,IF(H1021="M&amp;B",PR!$AK1019,IF(H1021="MTRUST",PR!$AL1019,IF(H1021="MWORLD",PR!$AM1019,IF(H1021="MEGA",PR!$AN1019,IF(H1021="MICRONOVA",PR!$AO1019,IF(H1021="MFLASH",PR!$AP1019,IF(H1021="MORISON",PR!$AQ1019,IF(H1021="NEMEL",PR!$AR1019,IF(H1021="NHP",PR!$AS1019,IF(H1021="NHC",PR!$AT1019,IF(H1021="OLEAF",PR!$AU1019,IF(H1021="OCULUS",PR!$AV1019,IF(H1021="PACIFIC",PR!$AW1019,IF(H1021="PHAMATEX",PR!$AX1019,IF(H1021="PETHICS",PR!$AY1019,IF(H1021="PHILIPS",PR!$AZ1019,IF(H1021="RANBAXY",PR!$BA1019,IF(H1021="REALS",PR!$BB1019,IF(H1021="ROYAL",PR!$BC1019,IF(H1021="SAM",PR!$BD1019,IF(H1021="SEAGREEN",PR!$BE1019,IF(H1021="SKG",PR!$BF1019,IF(H1021="TAH",PR!$BG1019,IF(H1021="TAYLEK",PR!$BH1019,IF(H1021="TEMITA",PR!$BI1019,IF(H1021="THL",PR!$BJ1019,IF(H1021="UBASTIC",PR!$BK1019,IF(H1021="UNION",PR!$BL1019,IF(H1021="UNIQUE",PR!$BM1019,IF(H1021="VIXA",PR!$BN1019,IF(H1021="WWCV",PR!$BO1019,IF(H1021="ZOLON",PR!$BP1019,"-"))))))))))))))))))))))))))))))))))))))))))))))))))))))))))))))))</f>
        <v>28500</v>
      </c>
      <c r="H1021" s="102" t="str">
        <f>EV!M1301</f>
        <v>SANCON</v>
      </c>
      <c r="I1021" s="108">
        <f>IF(J1021="ALPHA",PR!$E1019,IF(J1021="ASSENE",PR!$F1019,IF(J1021="BIOFEM",PR!$G1019,IF(J1021="BIOMED",PR!$H1019,IF(J1021="CHI",PR!$I1019,IF(J1021="CLARION",PR!$J1019,IF(J1021="CODIX",PR!$K1019,IF(J1021="COSMADE",PR!$L1019,IF(J1021="SANCON",PR!$M1019,IF(J1021="DEVON",PR!$N1019,IF(J1021="DORTEMAG",PR!$O1019,IF(J1021="DGF",PR!$P1019,IF(J1021="DYNAMIC",PR!$Q1019,IF(J1021="EMZOR",PR!$R1019,IF(J1021="EUMATT",PR!$S1019,IF(J1021="FIDSON",PR!$T1019,IF(J1021="FCGLOBAL",PR!$U1019,IF(J1021="GENEITH",PR!$V1019,IF(J1021="GINOS",PR!$W1019,IF(J1021="GSK",PR!$X1019,IF(J1021="GLOBORG",PR!$Y1019,IF(J1021="GOODNEWS",PR!$Z1019,IF(J1021="GREENLIFE",PR!$AA1019,IF(J1021="HLINE",PR!$AB1019,IF(J1021="ROTECH",PR!$AC1019,IF(J1021="ISN",PR!$AD1019,IF(J1021="JAWA",PR!$AE1019,IF(J1021="LAYO",PR!$AF1019,IF(J1021="LEADWAY",PR!$AG1019,IF(J1021="LHV",PR!$AH1019,IF(J1021="MANOLA",PR!$AI1019,IF(J1021="MARCSON",PR!$AJ1019,IF(J1021="M&amp;B",PR!$AK1019,IF(J1021="MTRUST",PR!$AL1019,IF(J1021="MWORLD",PR!$AM1019,IF(J1021="MEGA",PR!$AN1019,IF(J1021="MICRONOVA",PR!$AO1019,IF(J1021="MFLASH",PR!$AP1019,IF(J1021="MORISON",PR!$AQ1019,IF(J1021="NEMEL",PR!$AR1019,IF(J1021="NHP",PR!$AS1019,IF(J1021="NHC",PR!$AT1019,IF(J1021="OLEAF",PR!$AU1019,IF(J1021="OCULUS",PR!$AV1019,IF(J1021="PACIFIC",PR!$AW1019,IF(J1021="PHAMATEX",PR!$AX1019,IF(J1021="PETHICS",PR!$AY1019,IF(J1021="PHILIPS",PR!$AZ1019,IF(J1021="RANBAXY",PR!$BA1019,IF(J1021="REALS",PR!$BB1019,IF(J1021="ROYAL",PR!$BC1019,IF(J1021="SAM",PR!$BD1019,IF(J1021="SEAGREEN",PR!$BE1019,IF(J1021="SKG",PR!$BF1019,IF(J1021="TAH",PR!$BG1019,IF(J1021="TAYLEK",PR!$BH1019,IF(J1021="TEMITA",PR!$BI1019,IF(J1021="THL",PR!$BJ1019,IF(J1021="UBASTIC",PR!$BK1019,IF(J1021="UNION",PR!$BL1019,IF(J1021="UNIQUE",PR!$BM1019,IF(J1021="VIXA",PR!$BN1019,IF(J1021="WWCV",PR!$BO1019,IF(J1021="ZOLON",PR!$BP1019,"-"))))))))))))))))))))))))))))))))))))))))))))))))))))))))))))))))</f>
        <v>38000</v>
      </c>
      <c r="J1021" s="102" t="str">
        <f>EV!N1301</f>
        <v>UBASTIC</v>
      </c>
      <c r="K1021" s="433" t="s">
        <v>2077</v>
      </c>
      <c r="L1021" s="183" t="str">
        <f>IF(K1021&gt;0,IF(K1021="ALPHA",PR!$E1019,IF(K1021="ASSENE",PR!$F1019,IF(K1021="BIOFEM",PR!$G1019,IF(K1021="BIOMED",PR!$H1019,IF(K1021="CHI",PR!$I1019,IF(K1021="CLARION",PR!$J1019,IF(K1021="CODIX",PR!$K1019,IF(K1021="COSMADE",PR!$L1019,IF(K1021="SANCON",PR!$M1019,IF(K1021="DEVON",PR!$N1019,IF(K1021="DORTEMAG",PR!$O1019,IF(K1021="DGF",PR!$P1019,IF(K1021="DYNAMIC",PR!$Q1019,IF(K1021="EMZOR",PR!$R1019,IF(K1021="EUMATT",PR!$S1019,IF(K1021="FIDSON",PR!$T1019,IF(K1021="FCGLOBAL",PR!$U1019,IF(K1021="GENEITH",PR!$V1019,IF(K1021="GINOS",PR!$W1019,IF(K1021="GSK",PR!$X1019,IF(K1021="GLOBORG",PR!$Y1019,IF(K1021="GOODNEWS",PR!$Z1019,IF(K1021="GREENLIFE",PR!$AA1019,IF(K1021="HLINE",PR!$AB1019,IF(K1021="ROTECH",PR!$AC1019,IF(K1021="ISN",PR!$AD1019,IF(K1021="JAWA",PR!$AE1019,IF(K1021="LAYO",PR!$AF1019,IF(K1021="LEADWAY",PR!$AG1019,IF(K1021="LHV",PR!$AH1019,IF(K1021="MANOLA",PR!$AI1019,IF(K1021="MARCSON",PR!$AJ1019,IF(K1021="M&amp;B",PR!$AK1019,IF(K1021="MTRUST",PR!$AL1019,IF(K1021="MWORLD",PR!$AM1019,IF(K1021="MEGA",PR!$AN1019,IF(K1021="MICRONOVA",PR!$AO1019,IF(K1021="MFLASH",PR!$AP1019,IF(K1021="MORISON",PR!$AQ1019,IF(K1021="NEMEL",PR!$AR1019,IF(K1021="NHP",PR!$AS1019,IF(K1021="NHC",PR!$AT1019,IF(K1021="OLEAF",PR!$AU1019,IF(K1021="OCULUS",PR!$AV1019,IF(K1021="PACIFIC",PR!$AW1019,IF(K1021="PHAMATEX",PR!$AX1019,IF(K1021="PETHICS",PR!$AY1019,IF(K1021="PHILIPS",PR!$AZ1019,IF(K1021="RANBAXY",PR!$BA1019,IF(K1021="REALS",PR!$BB1019,IF(K1021="ROYAL",PR!$BC1019,IF(K1021="SAM",PR!$BD1019,IF(K1021="SEAGREEN",PR!$BE1019,IF(K1021="SKG",PR!$BF1019,IF(K1021="TAH",PR!$BG1019,IF(K1021="TAYLEK",PR!$BH1019,IF(K1021="TEMITA",PR!$BI1019,IF(K1021="THL",PR!$BJ1019,IF(K1021="UBASTIC",PR!$BK1019,IF(K1021="UNION",PR!$BL1019,IF(K1021="UNIQUE",PR!$BM1019,IF(K1021="VIXA",PR!$BN1019,IF(K1021="WWCV",PR!$BO1019,IF(K1021="ZOLON",PR!$BP1019,"-")))))))))))))))))))))))))))))))))))))))))))))))))))))))))))))))))</f>
        <v>-</v>
      </c>
    </row>
    <row r="1022" spans="1:12" ht="18.75" x14ac:dyDescent="0.3">
      <c r="A1022" s="430">
        <f>PR!A1020</f>
        <v>918</v>
      </c>
      <c r="B1022" s="15" t="str">
        <f>PR!B1020</f>
        <v>STERILE URINE BOTTLE</v>
      </c>
      <c r="C1022" s="113" t="str">
        <f>PR!D1020</f>
        <v>1 cartoon 1000pieces</v>
      </c>
      <c r="D1022" s="113">
        <f>PR!C1020</f>
        <v>10</v>
      </c>
      <c r="E1022" s="108">
        <f>IF(F1022="ALPHA",PR!$E1020,IF(F1022="ASSENE",PR!$F1020,IF(F1022="BIOFEM",PR!$G1020,IF(F1022="BIOMED",PR!$H1020,IF(F1022="CHI",PR!$I1020,IF(F1022="CLARION",PR!$J1020,IF(F1022="CODIX",PR!$K1020,IF(F1022="COSMADE",PR!$L1020,IF(F1022="SANCON",PR!$M1020,IF(F1022="DEVON",PR!$N1020,IF(F1022="DORTEMAG",PR!$O1020,IF(F1022="DGF",PR!$P1020,IF(F1022="DYNAMIC",PR!$Q1020,IF(F1022="EMZOR",PR!$R1020,IF(F1022="EUMATT",PR!$S1020,IF(F1022="FIDSON",PR!$T1020,IF(F1022="FCGLOBAL",PR!$U1020,IF(F1022="GENEITH",PR!$V1020,IF(F1022="GINOS",PR!$W1020,IF(F1022="GSK",PR!$X1020,IF(F1022="GLOBORG",PR!$Y1020,IF(F1022="GOODNEWS",PR!$Z1020,IF(F1022="GREENLIFE",PR!$AA1020,IF(F1022="HLINE",PR!$AB1020,IF(F1022="ROTECH",PR!$AC1020,IF(F1022="ISN",PR!$AD1020,IF(F1022="JAWA",PR!$AE1020,IF(F1022="LAYO",PR!$AF1020,IF(F1022="LEADWAY",PR!$AG1020,IF(F1022="LHV",PR!$AH1020,IF(F1022="MANOLA",PR!$AI1020,IF(F1022="MARCSON",PR!$AJ1020,IF(F1022="M&amp;B",PR!$AK1020,IF(F1022="MTRUST",PR!$AL1020,IF(F1022="MWORLD",PR!$AM1020,IF(F1022="MEGA",PR!$AN1020,IF(F1022="MICRONOVA",PR!$AO1020,IF(F1022="MFLASH",PR!$AP1020,IF(F1022="MORISON",PR!$AQ1020,IF(F1022="NEMEL",PR!$AR1020,IF(F1022="NHP",PR!$AS1020,IF(F1022="NHC",PR!$AT1020,IF(F1022="OLEAF",PR!$AU1020,IF(F1022="OCULUS",PR!$AV1020,IF(F1022="PACIFIC",PR!$AW1020,IF(F1022="PHAMATEX",PR!$AX1020,IF(F1022="PETHICS",PR!$AY1020,IF(F1022="PHILIPS",PR!$AZ1020,IF(F1022="RANBAXY",PR!$BA1020,IF(F1022="REALS",PR!$BB1020,IF(F1022="ROYAL",PR!$BC1020,IF(F1022="SAM",PR!$BD1020,IF(F1022="SEAGREEN",PR!$BE1020,IF(F1022="SKG",PR!$BF1020,IF(F1022="TAH",PR!$BG1020,IF(F1022="TAYLEK",PR!$BH1020,IF(F1022="TEMITA",PR!$BI1020,IF(F1022="THL",PR!$BJ1020,IF(F1022="UBASTIC",PR!$BK1020,IF(F1022="UNION",PR!$BL1020,IF(F1022="UNIQUE",PR!$BM1020,IF(F1022="VIXA",PR!$BN1020,IF(F1022="WWCV",PR!$BO1020,IF(F1022="ZOLON",PR!$BP1020,"-"))))))))))))))))))))))))))))))))))))))))))))))))))))))))))))))))</f>
        <v>12000</v>
      </c>
      <c r="F1022" s="102" t="str">
        <f>EV!L1302</f>
        <v>SANCON</v>
      </c>
      <c r="G1022" s="108">
        <f>IF(H1022="ALPHA",PR!$E1020,IF(H1022="ASSENE",PR!$F1020,IF(H1022="BIOFEM",PR!$G1020,IF(H1022="BIOMED",PR!$H1020,IF(H1022="CHI",PR!$I1020,IF(H1022="CLARION",PR!$J1020,IF(H1022="CODIX",PR!$K1020,IF(H1022="COSMADE",PR!$L1020,IF(H1022="SANCON",PR!$M1020,IF(H1022="DEVON",PR!$N1020,IF(H1022="DORTEMAG",PR!$O1020,IF(H1022="DGF",PR!$P1020,IF(H1022="DYNAMIC",PR!$Q1020,IF(H1022="EMZOR",PR!$R1020,IF(H1022="EUMATT",PR!$S1020,IF(H1022="FIDSON",PR!$T1020,IF(H1022="FCGLOBAL",PR!$U1020,IF(H1022="GENEITH",PR!$V1020,IF(H1022="GINOS",PR!$W1020,IF(H1022="GSK",PR!$X1020,IF(H1022="GLOBORG",PR!$Y1020,IF(H1022="GOODNEWS",PR!$Z1020,IF(H1022="GREENLIFE",PR!$AA1020,IF(H1022="HLINE",PR!$AB1020,IF(H1022="ROTECH",PR!$AC1020,IF(H1022="ISN",PR!$AD1020,IF(H1022="JAWA",PR!$AE1020,IF(H1022="LAYO",PR!$AF1020,IF(H1022="LEADWAY",PR!$AG1020,IF(H1022="LHV",PR!$AH1020,IF(H1022="MANOLA",PR!$AI1020,IF(H1022="MARCSON",PR!$AJ1020,IF(H1022="M&amp;B",PR!$AK1020,IF(H1022="MTRUST",PR!$AL1020,IF(H1022="MWORLD",PR!$AM1020,IF(H1022="MEGA",PR!$AN1020,IF(H1022="MICRONOVA",PR!$AO1020,IF(H1022="MFLASH",PR!$AP1020,IF(H1022="MORISON",PR!$AQ1020,IF(H1022="NEMEL",PR!$AR1020,IF(H1022="NHP",PR!$AS1020,IF(H1022="NHC",PR!$AT1020,IF(H1022="OLEAF",PR!$AU1020,IF(H1022="OCULUS",PR!$AV1020,IF(H1022="PACIFIC",PR!$AW1020,IF(H1022="PHAMATEX",PR!$AX1020,IF(H1022="PETHICS",PR!$AY1020,IF(H1022="PHILIPS",PR!$AZ1020,IF(H1022="RANBAXY",PR!$BA1020,IF(H1022="REALS",PR!$BB1020,IF(H1022="ROYAL",PR!$BC1020,IF(H1022="SAM",PR!$BD1020,IF(H1022="SEAGREEN",PR!$BE1020,IF(H1022="SKG",PR!$BF1020,IF(H1022="TAH",PR!$BG1020,IF(H1022="TAYLEK",PR!$BH1020,IF(H1022="TEMITA",PR!$BI1020,IF(H1022="THL",PR!$BJ1020,IF(H1022="UBASTIC",PR!$BK1020,IF(H1022="UNION",PR!$BL1020,IF(H1022="UNIQUE",PR!$BM1020,IF(H1022="VIXA",PR!$BN1020,IF(H1022="WWCV",PR!$BO1020,IF(H1022="ZOLON",PR!$BP1020,"-"))))))))))))))))))))))))))))))))))))))))))))))))))))))))))))))))</f>
        <v>13965</v>
      </c>
      <c r="H1022" s="102" t="str">
        <f>EV!M1302</f>
        <v>DYNAMIC</v>
      </c>
      <c r="I1022" s="108">
        <f>IF(J1022="ALPHA",PR!$E1020,IF(J1022="ASSENE",PR!$F1020,IF(J1022="BIOFEM",PR!$G1020,IF(J1022="BIOMED",PR!$H1020,IF(J1022="CHI",PR!$I1020,IF(J1022="CLARION",PR!$J1020,IF(J1022="CODIX",PR!$K1020,IF(J1022="COSMADE",PR!$L1020,IF(J1022="SANCON",PR!$M1020,IF(J1022="DEVON",PR!$N1020,IF(J1022="DORTEMAG",PR!$O1020,IF(J1022="DGF",PR!$P1020,IF(J1022="DYNAMIC",PR!$Q1020,IF(J1022="EMZOR",PR!$R1020,IF(J1022="EUMATT",PR!$S1020,IF(J1022="FIDSON",PR!$T1020,IF(J1022="FCGLOBAL",PR!$U1020,IF(J1022="GENEITH",PR!$V1020,IF(J1022="GINOS",PR!$W1020,IF(J1022="GSK",PR!$X1020,IF(J1022="GLOBORG",PR!$Y1020,IF(J1022="GOODNEWS",PR!$Z1020,IF(J1022="GREENLIFE",PR!$AA1020,IF(J1022="HLINE",PR!$AB1020,IF(J1022="ROTECH",PR!$AC1020,IF(J1022="ISN",PR!$AD1020,IF(J1022="JAWA",PR!$AE1020,IF(J1022="LAYO",PR!$AF1020,IF(J1022="LEADWAY",PR!$AG1020,IF(J1022="LHV",PR!$AH1020,IF(J1022="MANOLA",PR!$AI1020,IF(J1022="MARCSON",PR!$AJ1020,IF(J1022="M&amp;B",PR!$AK1020,IF(J1022="MTRUST",PR!$AL1020,IF(J1022="MWORLD",PR!$AM1020,IF(J1022="MEGA",PR!$AN1020,IF(J1022="MICRONOVA",PR!$AO1020,IF(J1022="MFLASH",PR!$AP1020,IF(J1022="MORISON",PR!$AQ1020,IF(J1022="NEMEL",PR!$AR1020,IF(J1022="NHP",PR!$AS1020,IF(J1022="NHC",PR!$AT1020,IF(J1022="OLEAF",PR!$AU1020,IF(J1022="OCULUS",PR!$AV1020,IF(J1022="PACIFIC",PR!$AW1020,IF(J1022="PHAMATEX",PR!$AX1020,IF(J1022="PETHICS",PR!$AY1020,IF(J1022="PHILIPS",PR!$AZ1020,IF(J1022="RANBAXY",PR!$BA1020,IF(J1022="REALS",PR!$BB1020,IF(J1022="ROYAL",PR!$BC1020,IF(J1022="SAM",PR!$BD1020,IF(J1022="SEAGREEN",PR!$BE1020,IF(J1022="SKG",PR!$BF1020,IF(J1022="TAH",PR!$BG1020,IF(J1022="TAYLEK",PR!$BH1020,IF(J1022="TEMITA",PR!$BI1020,IF(J1022="THL",PR!$BJ1020,IF(J1022="UBASTIC",PR!$BK1020,IF(J1022="UNION",PR!$BL1020,IF(J1022="UNIQUE",PR!$BM1020,IF(J1022="VIXA",PR!$BN1020,IF(J1022="WWCV",PR!$BO1020,IF(J1022="ZOLON",PR!$BP1020,"-"))))))))))))))))))))))))))))))))))))))))))))))))))))))))))))))))</f>
        <v>35000</v>
      </c>
      <c r="J1022" s="102" t="str">
        <f>EV!N1302</f>
        <v>UBASTIC</v>
      </c>
      <c r="K1022" s="433" t="s">
        <v>817</v>
      </c>
      <c r="L1022" s="183">
        <f>IF(K1022&gt;0,IF(K1022="ALPHA",PR!$E1020,IF(K1022="ASSENE",PR!$F1020,IF(K1022="BIOFEM",PR!$G1020,IF(K1022="BIOMED",PR!$H1020,IF(K1022="CHI",PR!$I1020,IF(K1022="CLARION",PR!$J1020,IF(K1022="CODIX",PR!$K1020,IF(K1022="COSMADE",PR!$L1020,IF(K1022="SANCON",PR!$M1020,IF(K1022="DEVON",PR!$N1020,IF(K1022="DORTEMAG",PR!$O1020,IF(K1022="DGF",PR!$P1020,IF(K1022="DYNAMIC",PR!$Q1020,IF(K1022="EMZOR",PR!$R1020,IF(K1022="EUMATT",PR!$S1020,IF(K1022="FIDSON",PR!$T1020,IF(K1022="FCGLOBAL",PR!$U1020,IF(K1022="GENEITH",PR!$V1020,IF(K1022="GINOS",PR!$W1020,IF(K1022="GSK",PR!$X1020,IF(K1022="GLOBORG",PR!$Y1020,IF(K1022="GOODNEWS",PR!$Z1020,IF(K1022="GREENLIFE",PR!$AA1020,IF(K1022="HLINE",PR!$AB1020,IF(K1022="ROTECH",PR!$AC1020,IF(K1022="ISN",PR!$AD1020,IF(K1022="JAWA",PR!$AE1020,IF(K1022="LAYO",PR!$AF1020,IF(K1022="LEADWAY",PR!$AG1020,IF(K1022="LHV",PR!$AH1020,IF(K1022="MANOLA",PR!$AI1020,IF(K1022="MARCSON",PR!$AJ1020,IF(K1022="M&amp;B",PR!$AK1020,IF(K1022="MTRUST",PR!$AL1020,IF(K1022="MWORLD",PR!$AM1020,IF(K1022="MEGA",PR!$AN1020,IF(K1022="MICRONOVA",PR!$AO1020,IF(K1022="MFLASH",PR!$AP1020,IF(K1022="MORISON",PR!$AQ1020,IF(K1022="NEMEL",PR!$AR1020,IF(K1022="NHP",PR!$AS1020,IF(K1022="NHC",PR!$AT1020,IF(K1022="OLEAF",PR!$AU1020,IF(K1022="OCULUS",PR!$AV1020,IF(K1022="PACIFIC",PR!$AW1020,IF(K1022="PHAMATEX",PR!$AX1020,IF(K1022="PETHICS",PR!$AY1020,IF(K1022="PHILIPS",PR!$AZ1020,IF(K1022="RANBAXY",PR!$BA1020,IF(K1022="REALS",PR!$BB1020,IF(K1022="ROYAL",PR!$BC1020,IF(K1022="SAM",PR!$BD1020,IF(K1022="SEAGREEN",PR!$BE1020,IF(K1022="SKG",PR!$BF1020,IF(K1022="TAH",PR!$BG1020,IF(K1022="TAYLEK",PR!$BH1020,IF(K1022="TEMITA",PR!$BI1020,IF(K1022="THL",PR!$BJ1020,IF(K1022="UBASTIC",PR!$BK1020,IF(K1022="UNION",PR!$BL1020,IF(K1022="UNIQUE",PR!$BM1020,IF(K1022="VIXA",PR!$BN1020,IF(K1022="WWCV",PR!$BO1020,IF(K1022="ZOLON",PR!$BP1020,"-")))))))))))))))))))))))))))))))))))))))))))))))))))))))))))))))))</f>
        <v>12000</v>
      </c>
    </row>
    <row r="1023" spans="1:12" ht="18.75" x14ac:dyDescent="0.3">
      <c r="A1023" s="430">
        <f>PR!A1021</f>
        <v>919</v>
      </c>
      <c r="B1023" s="15" t="str">
        <f>PR!B1021</f>
        <v>WIDE MOUTH BOTTLE STERILE</v>
      </c>
      <c r="C1023" s="113" t="str">
        <f>PR!D1021</f>
        <v>1 cartoon 500pieces</v>
      </c>
      <c r="D1023" s="113">
        <f>PR!C1021</f>
        <v>20</v>
      </c>
      <c r="E1023" s="108">
        <f>IF(F1023="ALPHA",PR!$E1021,IF(F1023="ASSENE",PR!$F1021,IF(F1023="BIOFEM",PR!$G1021,IF(F1023="BIOMED",PR!$H1021,IF(F1023="CHI",PR!$I1021,IF(F1023="CLARION",PR!$J1021,IF(F1023="CODIX",PR!$K1021,IF(F1023="COSMADE",PR!$L1021,IF(F1023="SANCON",PR!$M1021,IF(F1023="DEVON",PR!$N1021,IF(F1023="DORTEMAG",PR!$O1021,IF(F1023="DGF",PR!$P1021,IF(F1023="DYNAMIC",PR!$Q1021,IF(F1023="EMZOR",PR!$R1021,IF(F1023="EUMATT",PR!$S1021,IF(F1023="FIDSON",PR!$T1021,IF(F1023="FCGLOBAL",PR!$U1021,IF(F1023="GENEITH",PR!$V1021,IF(F1023="GINOS",PR!$W1021,IF(F1023="GSK",PR!$X1021,IF(F1023="GLOBORG",PR!$Y1021,IF(F1023="GOODNEWS",PR!$Z1021,IF(F1023="GREENLIFE",PR!$AA1021,IF(F1023="HLINE",PR!$AB1021,IF(F1023="ROTECH",PR!$AC1021,IF(F1023="ISN",PR!$AD1021,IF(F1023="JAWA",PR!$AE1021,IF(F1023="LAYO",PR!$AF1021,IF(F1023="LEADWAY",PR!$AG1021,IF(F1023="LHV",PR!$AH1021,IF(F1023="MANOLA",PR!$AI1021,IF(F1023="MARCSON",PR!$AJ1021,IF(F1023="M&amp;B",PR!$AK1021,IF(F1023="MTRUST",PR!$AL1021,IF(F1023="MWORLD",PR!$AM1021,IF(F1023="MEGA",PR!$AN1021,IF(F1023="MICRONOVA",PR!$AO1021,IF(F1023="MFLASH",PR!$AP1021,IF(F1023="MORISON",PR!$AQ1021,IF(F1023="NEMEL",PR!$AR1021,IF(F1023="NHP",PR!$AS1021,IF(F1023="NHC",PR!$AT1021,IF(F1023="OLEAF",PR!$AU1021,IF(F1023="OCULUS",PR!$AV1021,IF(F1023="PACIFIC",PR!$AW1021,IF(F1023="PHAMATEX",PR!$AX1021,IF(F1023="PETHICS",PR!$AY1021,IF(F1023="PHILIPS",PR!$AZ1021,IF(F1023="RANBAXY",PR!$BA1021,IF(F1023="REALS",PR!$BB1021,IF(F1023="ROYAL",PR!$BC1021,IF(F1023="SAM",PR!$BD1021,IF(F1023="SEAGREEN",PR!$BE1021,IF(F1023="SKG",PR!$BF1021,IF(F1023="TAH",PR!$BG1021,IF(F1023="TAYLEK",PR!$BH1021,IF(F1023="TEMITA",PR!$BI1021,IF(F1023="THL",PR!$BJ1021,IF(F1023="UBASTIC",PR!$BK1021,IF(F1023="UNION",PR!$BL1021,IF(F1023="UNIQUE",PR!$BM1021,IF(F1023="VIXA",PR!$BN1021,IF(F1023="WWCV",PR!$BO1021,IF(F1023="ZOLON",PR!$BP1021,"-"))))))))))))))))))))))))))))))))))))))))))))))))))))))))))))))))</f>
        <v>33915</v>
      </c>
      <c r="F1023" s="102" t="str">
        <f>EV!L1303</f>
        <v>DYNAMIC</v>
      </c>
      <c r="G1023" s="108">
        <f>IF(H1023="ALPHA",PR!$E1021,IF(H1023="ASSENE",PR!$F1021,IF(H1023="BIOFEM",PR!$G1021,IF(H1023="BIOMED",PR!$H1021,IF(H1023="CHI",PR!$I1021,IF(H1023="CLARION",PR!$J1021,IF(H1023="CODIX",PR!$K1021,IF(H1023="COSMADE",PR!$L1021,IF(H1023="SANCON",PR!$M1021,IF(H1023="DEVON",PR!$N1021,IF(H1023="DORTEMAG",PR!$O1021,IF(H1023="DGF",PR!$P1021,IF(H1023="DYNAMIC",PR!$Q1021,IF(H1023="EMZOR",PR!$R1021,IF(H1023="EUMATT",PR!$S1021,IF(H1023="FIDSON",PR!$T1021,IF(H1023="FCGLOBAL",PR!$U1021,IF(H1023="GENEITH",PR!$V1021,IF(H1023="GINOS",PR!$W1021,IF(H1023="GSK",PR!$X1021,IF(H1023="GLOBORG",PR!$Y1021,IF(H1023="GOODNEWS",PR!$Z1021,IF(H1023="GREENLIFE",PR!$AA1021,IF(H1023="HLINE",PR!$AB1021,IF(H1023="ROTECH",PR!$AC1021,IF(H1023="ISN",PR!$AD1021,IF(H1023="JAWA",PR!$AE1021,IF(H1023="LAYO",PR!$AF1021,IF(H1023="LEADWAY",PR!$AG1021,IF(H1023="LHV",PR!$AH1021,IF(H1023="MANOLA",PR!$AI1021,IF(H1023="MARCSON",PR!$AJ1021,IF(H1023="M&amp;B",PR!$AK1021,IF(H1023="MTRUST",PR!$AL1021,IF(H1023="MWORLD",PR!$AM1021,IF(H1023="MEGA",PR!$AN1021,IF(H1023="MICRONOVA",PR!$AO1021,IF(H1023="MFLASH",PR!$AP1021,IF(H1023="MORISON",PR!$AQ1021,IF(H1023="NEMEL",PR!$AR1021,IF(H1023="NHP",PR!$AS1021,IF(H1023="NHC",PR!$AT1021,IF(H1023="OLEAF",PR!$AU1021,IF(H1023="OCULUS",PR!$AV1021,IF(H1023="PACIFIC",PR!$AW1021,IF(H1023="PHAMATEX",PR!$AX1021,IF(H1023="PETHICS",PR!$AY1021,IF(H1023="PHILIPS",PR!$AZ1021,IF(H1023="RANBAXY",PR!$BA1021,IF(H1023="REALS",PR!$BB1021,IF(H1023="ROYAL",PR!$BC1021,IF(H1023="SAM",PR!$BD1021,IF(H1023="SEAGREEN",PR!$BE1021,IF(H1023="SKG",PR!$BF1021,IF(H1023="TAH",PR!$BG1021,IF(H1023="TAYLEK",PR!$BH1021,IF(H1023="TEMITA",PR!$BI1021,IF(H1023="THL",PR!$BJ1021,IF(H1023="UBASTIC",PR!$BK1021,IF(H1023="UNION",PR!$BL1021,IF(H1023="UNIQUE",PR!$BM1021,IF(H1023="VIXA",PR!$BN1021,IF(H1023="WWCV",PR!$BO1021,IF(H1023="ZOLON",PR!$BP1021,"-"))))))))))))))))))))))))))))))))))))))))))))))))))))))))))))))))</f>
        <v>65000</v>
      </c>
      <c r="H1023" s="102" t="str">
        <f>EV!M1303</f>
        <v>UBASTIC</v>
      </c>
      <c r="I1023" s="108" t="str">
        <f>IF(J1023="ALPHA",PR!$E1021,IF(J1023="ASSENE",PR!$F1021,IF(J1023="BIOFEM",PR!$G1021,IF(J1023="BIOMED",PR!$H1021,IF(J1023="CHI",PR!$I1021,IF(J1023="CLARION",PR!$J1021,IF(J1023="CODIX",PR!$K1021,IF(J1023="COSMADE",PR!$L1021,IF(J1023="SANCON",PR!$M1021,IF(J1023="DEVON",PR!$N1021,IF(J1023="DORTEMAG",PR!$O1021,IF(J1023="DGF",PR!$P1021,IF(J1023="DYNAMIC",PR!$Q1021,IF(J1023="EMZOR",PR!$R1021,IF(J1023="EUMATT",PR!$S1021,IF(J1023="FIDSON",PR!$T1021,IF(J1023="FCGLOBAL",PR!$U1021,IF(J1023="GENEITH",PR!$V1021,IF(J1023="GINOS",PR!$W1021,IF(J1023="GSK",PR!$X1021,IF(J1023="GLOBORG",PR!$Y1021,IF(J1023="GOODNEWS",PR!$Z1021,IF(J1023="GREENLIFE",PR!$AA1021,IF(J1023="HLINE",PR!$AB1021,IF(J1023="ROTECH",PR!$AC1021,IF(J1023="ISN",PR!$AD1021,IF(J1023="JAWA",PR!$AE1021,IF(J1023="LAYO",PR!$AF1021,IF(J1023="LEADWAY",PR!$AG1021,IF(J1023="LHV",PR!$AH1021,IF(J1023="MANOLA",PR!$AI1021,IF(J1023="MARCSON",PR!$AJ1021,IF(J1023="M&amp;B",PR!$AK1021,IF(J1023="MTRUST",PR!$AL1021,IF(J1023="MWORLD",PR!$AM1021,IF(J1023="MEGA",PR!$AN1021,IF(J1023="MICRONOVA",PR!$AO1021,IF(J1023="MFLASH",PR!$AP1021,IF(J1023="MORISON",PR!$AQ1021,IF(J1023="NEMEL",PR!$AR1021,IF(J1023="NHP",PR!$AS1021,IF(J1023="NHC",PR!$AT1021,IF(J1023="OLEAF",PR!$AU1021,IF(J1023="OCULUS",PR!$AV1021,IF(J1023="PACIFIC",PR!$AW1021,IF(J1023="PHAMATEX",PR!$AX1021,IF(J1023="PETHICS",PR!$AY1021,IF(J1023="PHILIPS",PR!$AZ1021,IF(J1023="RANBAXY",PR!$BA1021,IF(J1023="REALS",PR!$BB1021,IF(J1023="ROYAL",PR!$BC1021,IF(J1023="SAM",PR!$BD1021,IF(J1023="SEAGREEN",PR!$BE1021,IF(J1023="SKG",PR!$BF1021,IF(J1023="TAH",PR!$BG1021,IF(J1023="TAYLEK",PR!$BH1021,IF(J1023="TEMITA",PR!$BI1021,IF(J1023="THL",PR!$BJ1021,IF(J1023="UBASTIC",PR!$BK1021,IF(J1023="UNION",PR!$BL1021,IF(J1023="UNIQUE",PR!$BM1021,IF(J1023="VIXA",PR!$BN1021,IF(J1023="WWCV",PR!$BO1021,IF(J1023="ZOLON",PR!$BP1021,"-"))))))))))))))))))))))))))))))))))))))))))))))))))))))))))))))))</f>
        <v>-</v>
      </c>
      <c r="J1023" s="102">
        <f>EV!N1303</f>
        <v>0</v>
      </c>
      <c r="K1023" s="433" t="s">
        <v>626</v>
      </c>
      <c r="L1023" s="183">
        <f>IF(K1023&gt;0,IF(K1023="ALPHA",PR!$E1021,IF(K1023="ASSENE",PR!$F1021,IF(K1023="BIOFEM",PR!$G1021,IF(K1023="BIOMED",PR!$H1021,IF(K1023="CHI",PR!$I1021,IF(K1023="CLARION",PR!$J1021,IF(K1023="CODIX",PR!$K1021,IF(K1023="COSMADE",PR!$L1021,IF(K1023="SANCON",PR!$M1021,IF(K1023="DEVON",PR!$N1021,IF(K1023="DORTEMAG",PR!$O1021,IF(K1023="DGF",PR!$P1021,IF(K1023="DYNAMIC",PR!$Q1021,IF(K1023="EMZOR",PR!$R1021,IF(K1023="EUMATT",PR!$S1021,IF(K1023="FIDSON",PR!$T1021,IF(K1023="FCGLOBAL",PR!$U1021,IF(K1023="GENEITH",PR!$V1021,IF(K1023="GINOS",PR!$W1021,IF(K1023="GSK",PR!$X1021,IF(K1023="GLOBORG",PR!$Y1021,IF(K1023="GOODNEWS",PR!$Z1021,IF(K1023="GREENLIFE",PR!$AA1021,IF(K1023="HLINE",PR!$AB1021,IF(K1023="ROTECH",PR!$AC1021,IF(K1023="ISN",PR!$AD1021,IF(K1023="JAWA",PR!$AE1021,IF(K1023="LAYO",PR!$AF1021,IF(K1023="LEADWAY",PR!$AG1021,IF(K1023="LHV",PR!$AH1021,IF(K1023="MANOLA",PR!$AI1021,IF(K1023="MARCSON",PR!$AJ1021,IF(K1023="M&amp;B",PR!$AK1021,IF(K1023="MTRUST",PR!$AL1021,IF(K1023="MWORLD",PR!$AM1021,IF(K1023="MEGA",PR!$AN1021,IF(K1023="MICRONOVA",PR!$AO1021,IF(K1023="MFLASH",PR!$AP1021,IF(K1023="MORISON",PR!$AQ1021,IF(K1023="NEMEL",PR!$AR1021,IF(K1023="NHP",PR!$AS1021,IF(K1023="NHC",PR!$AT1021,IF(K1023="OLEAF",PR!$AU1021,IF(K1023="OCULUS",PR!$AV1021,IF(K1023="PACIFIC",PR!$AW1021,IF(K1023="PHAMATEX",PR!$AX1021,IF(K1023="PETHICS",PR!$AY1021,IF(K1023="PHILIPS",PR!$AZ1021,IF(K1023="RANBAXY",PR!$BA1021,IF(K1023="REALS",PR!$BB1021,IF(K1023="ROYAL",PR!$BC1021,IF(K1023="SAM",PR!$BD1021,IF(K1023="SEAGREEN",PR!$BE1021,IF(K1023="SKG",PR!$BF1021,IF(K1023="TAH",PR!$BG1021,IF(K1023="TAYLEK",PR!$BH1021,IF(K1023="TEMITA",PR!$BI1021,IF(K1023="THL",PR!$BJ1021,IF(K1023="UBASTIC",PR!$BK1021,IF(K1023="UNION",PR!$BL1021,IF(K1023="UNIQUE",PR!$BM1021,IF(K1023="VIXA",PR!$BN1021,IF(K1023="WWCV",PR!$BO1021,IF(K1023="ZOLON",PR!$BP1021,"-")))))))))))))))))))))))))))))))))))))))))))))))))))))))))))))))))</f>
        <v>33915</v>
      </c>
    </row>
    <row r="1024" spans="1:12" ht="18.75" x14ac:dyDescent="0.3">
      <c r="A1024" s="430">
        <f>PR!A1022</f>
        <v>920</v>
      </c>
      <c r="B1024" s="15" t="str">
        <f>PR!B1022</f>
        <v>SIMON CITRATE AGAR</v>
      </c>
      <c r="C1024" s="113" t="str">
        <f>PR!D1022</f>
        <v>1 bottle (500g)</v>
      </c>
      <c r="D1024" s="113">
        <f>PR!C1022</f>
        <v>20</v>
      </c>
      <c r="E1024" s="108">
        <f>IF(F1024="ALPHA",PR!$E1022,IF(F1024="ASSENE",PR!$F1022,IF(F1024="BIOFEM",PR!$G1022,IF(F1024="BIOMED",PR!$H1022,IF(F1024="CHI",PR!$I1022,IF(F1024="CLARION",PR!$J1022,IF(F1024="CODIX",PR!$K1022,IF(F1024="COSMADE",PR!$L1022,IF(F1024="SANCON",PR!$M1022,IF(F1024="DEVON",PR!$N1022,IF(F1024="DORTEMAG",PR!$O1022,IF(F1024="DGF",PR!$P1022,IF(F1024="DYNAMIC",PR!$Q1022,IF(F1024="EMZOR",PR!$R1022,IF(F1024="EUMATT",PR!$S1022,IF(F1024="FIDSON",PR!$T1022,IF(F1024="FCGLOBAL",PR!$U1022,IF(F1024="GENEITH",PR!$V1022,IF(F1024="GINOS",PR!$W1022,IF(F1024="GSK",PR!$X1022,IF(F1024="GLOBORG",PR!$Y1022,IF(F1024="GOODNEWS",PR!$Z1022,IF(F1024="GREENLIFE",PR!$AA1022,IF(F1024="HLINE",PR!$AB1022,IF(F1024="ROTECH",PR!$AC1022,IF(F1024="ISN",PR!$AD1022,IF(F1024="JAWA",PR!$AE1022,IF(F1024="LAYO",PR!$AF1022,IF(F1024="LEADWAY",PR!$AG1022,IF(F1024="LHV",PR!$AH1022,IF(F1024="MANOLA",PR!$AI1022,IF(F1024="MARCSON",PR!$AJ1022,IF(F1024="M&amp;B",PR!$AK1022,IF(F1024="MTRUST",PR!$AL1022,IF(F1024="MWORLD",PR!$AM1022,IF(F1024="MEGA",PR!$AN1022,IF(F1024="MICRONOVA",PR!$AO1022,IF(F1024="MFLASH",PR!$AP1022,IF(F1024="MORISON",PR!$AQ1022,IF(F1024="NEMEL",PR!$AR1022,IF(F1024="NHP",PR!$AS1022,IF(F1024="NHC",PR!$AT1022,IF(F1024="OLEAF",PR!$AU1022,IF(F1024="OCULUS",PR!$AV1022,IF(F1024="PACIFIC",PR!$AW1022,IF(F1024="PHAMATEX",PR!$AX1022,IF(F1024="PETHICS",PR!$AY1022,IF(F1024="PHILIPS",PR!$AZ1022,IF(F1024="RANBAXY",PR!$BA1022,IF(F1024="REALS",PR!$BB1022,IF(F1024="ROYAL",PR!$BC1022,IF(F1024="SAM",PR!$BD1022,IF(F1024="SEAGREEN",PR!$BE1022,IF(F1024="SKG",PR!$BF1022,IF(F1024="TAH",PR!$BG1022,IF(F1024="TAYLEK",PR!$BH1022,IF(F1024="TEMITA",PR!$BI1022,IF(F1024="THL",PR!$BJ1022,IF(F1024="UBASTIC",PR!$BK1022,IF(F1024="UNION",PR!$BL1022,IF(F1024="UNIQUE",PR!$BM1022,IF(F1024="VIXA",PR!$BN1022,IF(F1024="WWCV",PR!$BO1022,IF(F1024="ZOLON",PR!$BP1022,"-"))))))))))))))))))))))))))))))))))))))))))))))))))))))))))))))))</f>
        <v>20000</v>
      </c>
      <c r="F1024" s="102" t="str">
        <f>EV!L1304</f>
        <v>UBASTIC</v>
      </c>
      <c r="G1024" s="108">
        <f>IF(H1024="ALPHA",PR!$E1022,IF(H1024="ASSENE",PR!$F1022,IF(H1024="BIOFEM",PR!$G1022,IF(H1024="BIOMED",PR!$H1022,IF(H1024="CHI",PR!$I1022,IF(H1024="CLARION",PR!$J1022,IF(H1024="CODIX",PR!$K1022,IF(H1024="COSMADE",PR!$L1022,IF(H1024="SANCON",PR!$M1022,IF(H1024="DEVON",PR!$N1022,IF(H1024="DORTEMAG",PR!$O1022,IF(H1024="DGF",PR!$P1022,IF(H1024="DYNAMIC",PR!$Q1022,IF(H1024="EMZOR",PR!$R1022,IF(H1024="EUMATT",PR!$S1022,IF(H1024="FIDSON",PR!$T1022,IF(H1024="FCGLOBAL",PR!$U1022,IF(H1024="GENEITH",PR!$V1022,IF(H1024="GINOS",PR!$W1022,IF(H1024="GSK",PR!$X1022,IF(H1024="GLOBORG",PR!$Y1022,IF(H1024="GOODNEWS",PR!$Z1022,IF(H1024="GREENLIFE",PR!$AA1022,IF(H1024="HLINE",PR!$AB1022,IF(H1024="ROTECH",PR!$AC1022,IF(H1024="ISN",PR!$AD1022,IF(H1024="JAWA",PR!$AE1022,IF(H1024="LAYO",PR!$AF1022,IF(H1024="LEADWAY",PR!$AG1022,IF(H1024="LHV",PR!$AH1022,IF(H1024="MANOLA",PR!$AI1022,IF(H1024="MARCSON",PR!$AJ1022,IF(H1024="M&amp;B",PR!$AK1022,IF(H1024="MTRUST",PR!$AL1022,IF(H1024="MWORLD",PR!$AM1022,IF(H1024="MEGA",PR!$AN1022,IF(H1024="MICRONOVA",PR!$AO1022,IF(H1024="MFLASH",PR!$AP1022,IF(H1024="MORISON",PR!$AQ1022,IF(H1024="NEMEL",PR!$AR1022,IF(H1024="NHP",PR!$AS1022,IF(H1024="NHC",PR!$AT1022,IF(H1024="OLEAF",PR!$AU1022,IF(H1024="OCULUS",PR!$AV1022,IF(H1024="PACIFIC",PR!$AW1022,IF(H1024="PHAMATEX",PR!$AX1022,IF(H1024="PETHICS",PR!$AY1022,IF(H1024="PHILIPS",PR!$AZ1022,IF(H1024="RANBAXY",PR!$BA1022,IF(H1024="REALS",PR!$BB1022,IF(H1024="ROYAL",PR!$BC1022,IF(H1024="SAM",PR!$BD1022,IF(H1024="SEAGREEN",PR!$BE1022,IF(H1024="SKG",PR!$BF1022,IF(H1024="TAH",PR!$BG1022,IF(H1024="TAYLEK",PR!$BH1022,IF(H1024="TEMITA",PR!$BI1022,IF(H1024="THL",PR!$BJ1022,IF(H1024="UBASTIC",PR!$BK1022,IF(H1024="UNION",PR!$BL1022,IF(H1024="UNIQUE",PR!$BM1022,IF(H1024="VIXA",PR!$BN1022,IF(H1024="WWCV",PR!$BO1022,IF(H1024="ZOLON",PR!$BP1022,"-"))))))))))))))))))))))))))))))))))))))))))))))))))))))))))))))))</f>
        <v>27100</v>
      </c>
      <c r="H1024" s="102" t="str">
        <f>EV!M1304</f>
        <v>TEMITA</v>
      </c>
      <c r="I1024" s="108">
        <f>IF(J1024="ALPHA",PR!$E1022,IF(J1024="ASSENE",PR!$F1022,IF(J1024="BIOFEM",PR!$G1022,IF(J1024="BIOMED",PR!$H1022,IF(J1024="CHI",PR!$I1022,IF(J1024="CLARION",PR!$J1022,IF(J1024="CODIX",PR!$K1022,IF(J1024="COSMADE",PR!$L1022,IF(J1024="SANCON",PR!$M1022,IF(J1024="DEVON",PR!$N1022,IF(J1024="DORTEMAG",PR!$O1022,IF(J1024="DGF",PR!$P1022,IF(J1024="DYNAMIC",PR!$Q1022,IF(J1024="EMZOR",PR!$R1022,IF(J1024="EUMATT",PR!$S1022,IF(J1024="FIDSON",PR!$T1022,IF(J1024="FCGLOBAL",PR!$U1022,IF(J1024="GENEITH",PR!$V1022,IF(J1024="GINOS",PR!$W1022,IF(J1024="GSK",PR!$X1022,IF(J1024="GLOBORG",PR!$Y1022,IF(J1024="GOODNEWS",PR!$Z1022,IF(J1024="GREENLIFE",PR!$AA1022,IF(J1024="HLINE",PR!$AB1022,IF(J1024="ROTECH",PR!$AC1022,IF(J1024="ISN",PR!$AD1022,IF(J1024="JAWA",PR!$AE1022,IF(J1024="LAYO",PR!$AF1022,IF(J1024="LEADWAY",PR!$AG1022,IF(J1024="LHV",PR!$AH1022,IF(J1024="MANOLA",PR!$AI1022,IF(J1024="MARCSON",PR!$AJ1022,IF(J1024="M&amp;B",PR!$AK1022,IF(J1024="MTRUST",PR!$AL1022,IF(J1024="MWORLD",PR!$AM1022,IF(J1024="MEGA",PR!$AN1022,IF(J1024="MICRONOVA",PR!$AO1022,IF(J1024="MFLASH",PR!$AP1022,IF(J1024="MORISON",PR!$AQ1022,IF(J1024="NEMEL",PR!$AR1022,IF(J1024="NHP",PR!$AS1022,IF(J1024="NHC",PR!$AT1022,IF(J1024="OLEAF",PR!$AU1022,IF(J1024="OCULUS",PR!$AV1022,IF(J1024="PACIFIC",PR!$AW1022,IF(J1024="PHAMATEX",PR!$AX1022,IF(J1024="PETHICS",PR!$AY1022,IF(J1024="PHILIPS",PR!$AZ1022,IF(J1024="RANBAXY",PR!$BA1022,IF(J1024="REALS",PR!$BB1022,IF(J1024="ROYAL",PR!$BC1022,IF(J1024="SAM",PR!$BD1022,IF(J1024="SEAGREEN",PR!$BE1022,IF(J1024="SKG",PR!$BF1022,IF(J1024="TAH",PR!$BG1022,IF(J1024="TAYLEK",PR!$BH1022,IF(J1024="TEMITA",PR!$BI1022,IF(J1024="THL",PR!$BJ1022,IF(J1024="UBASTIC",PR!$BK1022,IF(J1024="UNION",PR!$BL1022,IF(J1024="UNIQUE",PR!$BM1022,IF(J1024="VIXA",PR!$BN1022,IF(J1024="WWCV",PR!$BO1022,IF(J1024="ZOLON",PR!$BP1022,"-"))))))))))))))))))))))))))))))))))))))))))))))))))))))))))))))))</f>
        <v>27950</v>
      </c>
      <c r="J1024" s="102" t="str">
        <f>EV!N1304</f>
        <v>LAYO</v>
      </c>
      <c r="K1024" s="433" t="s">
        <v>1459</v>
      </c>
      <c r="L1024" s="183">
        <f>IF(K1024&gt;0,IF(K1024="ALPHA",PR!$E1022,IF(K1024="ASSENE",PR!$F1022,IF(K1024="BIOFEM",PR!$G1022,IF(K1024="BIOMED",PR!$H1022,IF(K1024="CHI",PR!$I1022,IF(K1024="CLARION",PR!$J1022,IF(K1024="CODIX",PR!$K1022,IF(K1024="COSMADE",PR!$L1022,IF(K1024="SANCON",PR!$M1022,IF(K1024="DEVON",PR!$N1022,IF(K1024="DORTEMAG",PR!$O1022,IF(K1024="DGF",PR!$P1022,IF(K1024="DYNAMIC",PR!$Q1022,IF(K1024="EMZOR",PR!$R1022,IF(K1024="EUMATT",PR!$S1022,IF(K1024="FIDSON",PR!$T1022,IF(K1024="FCGLOBAL",PR!$U1022,IF(K1024="GENEITH",PR!$V1022,IF(K1024="GINOS",PR!$W1022,IF(K1024="GSK",PR!$X1022,IF(K1024="GLOBORG",PR!$Y1022,IF(K1024="GOODNEWS",PR!$Z1022,IF(K1024="GREENLIFE",PR!$AA1022,IF(K1024="HLINE",PR!$AB1022,IF(K1024="ROTECH",PR!$AC1022,IF(K1024="ISN",PR!$AD1022,IF(K1024="JAWA",PR!$AE1022,IF(K1024="LAYO",PR!$AF1022,IF(K1024="LEADWAY",PR!$AG1022,IF(K1024="LHV",PR!$AH1022,IF(K1024="MANOLA",PR!$AI1022,IF(K1024="MARCSON",PR!$AJ1022,IF(K1024="M&amp;B",PR!$AK1022,IF(K1024="MTRUST",PR!$AL1022,IF(K1024="MWORLD",PR!$AM1022,IF(K1024="MEGA",PR!$AN1022,IF(K1024="MICRONOVA",PR!$AO1022,IF(K1024="MFLASH",PR!$AP1022,IF(K1024="MORISON",PR!$AQ1022,IF(K1024="NEMEL",PR!$AR1022,IF(K1024="NHP",PR!$AS1022,IF(K1024="NHC",PR!$AT1022,IF(K1024="OLEAF",PR!$AU1022,IF(K1024="OCULUS",PR!$AV1022,IF(K1024="PACIFIC",PR!$AW1022,IF(K1024="PHAMATEX",PR!$AX1022,IF(K1024="PETHICS",PR!$AY1022,IF(K1024="PHILIPS",PR!$AZ1022,IF(K1024="RANBAXY",PR!$BA1022,IF(K1024="REALS",PR!$BB1022,IF(K1024="ROYAL",PR!$BC1022,IF(K1024="SAM",PR!$BD1022,IF(K1024="SEAGREEN",PR!$BE1022,IF(K1024="SKG",PR!$BF1022,IF(K1024="TAH",PR!$BG1022,IF(K1024="TAYLEK",PR!$BH1022,IF(K1024="TEMITA",PR!$BI1022,IF(K1024="THL",PR!$BJ1022,IF(K1024="UBASTIC",PR!$BK1022,IF(K1024="UNION",PR!$BL1022,IF(K1024="UNIQUE",PR!$BM1022,IF(K1024="VIXA",PR!$BN1022,IF(K1024="WWCV",PR!$BO1022,IF(K1024="ZOLON",PR!$BP1022,"-")))))))))))))))))))))))))))))))))))))))))))))))))))))))))))))))))</f>
        <v>20000</v>
      </c>
    </row>
    <row r="1025" spans="1:12" ht="18.75" x14ac:dyDescent="0.3">
      <c r="A1025" s="430">
        <f>PR!A1023</f>
        <v>921</v>
      </c>
      <c r="B1025" s="15" t="str">
        <f>PR!B1023</f>
        <v>TRIPLE SUGAR IRON AGAR</v>
      </c>
      <c r="C1025" s="113" t="str">
        <f>PR!D1023</f>
        <v>1 bottle (500g)</v>
      </c>
      <c r="D1025" s="113">
        <f>PR!C1023</f>
        <v>20</v>
      </c>
      <c r="E1025" s="108">
        <f>IF(F1025="ALPHA",PR!$E1023,IF(F1025="ASSENE",PR!$F1023,IF(F1025="BIOFEM",PR!$G1023,IF(F1025="BIOMED",PR!$H1023,IF(F1025="CHI",PR!$I1023,IF(F1025="CLARION",PR!$J1023,IF(F1025="CODIX",PR!$K1023,IF(F1025="COSMADE",PR!$L1023,IF(F1025="SANCON",PR!$M1023,IF(F1025="DEVON",PR!$N1023,IF(F1025="DORTEMAG",PR!$O1023,IF(F1025="DGF",PR!$P1023,IF(F1025="DYNAMIC",PR!$Q1023,IF(F1025="EMZOR",PR!$R1023,IF(F1025="EUMATT",PR!$S1023,IF(F1025="FIDSON",PR!$T1023,IF(F1025="FCGLOBAL",PR!$U1023,IF(F1025="GENEITH",PR!$V1023,IF(F1025="GINOS",PR!$W1023,IF(F1025="GSK",PR!$X1023,IF(F1025="GLOBORG",PR!$Y1023,IF(F1025="GOODNEWS",PR!$Z1023,IF(F1025="GREENLIFE",PR!$AA1023,IF(F1025="HLINE",PR!$AB1023,IF(F1025="ROTECH",PR!$AC1023,IF(F1025="ISN",PR!$AD1023,IF(F1025="JAWA",PR!$AE1023,IF(F1025="LAYO",PR!$AF1023,IF(F1025="LEADWAY",PR!$AG1023,IF(F1025="LHV",PR!$AH1023,IF(F1025="MANOLA",PR!$AI1023,IF(F1025="MARCSON",PR!$AJ1023,IF(F1025="M&amp;B",PR!$AK1023,IF(F1025="MTRUST",PR!$AL1023,IF(F1025="MWORLD",PR!$AM1023,IF(F1025="MEGA",PR!$AN1023,IF(F1025="MICRONOVA",PR!$AO1023,IF(F1025="MFLASH",PR!$AP1023,IF(F1025="MORISON",PR!$AQ1023,IF(F1025="NEMEL",PR!$AR1023,IF(F1025="NHP",PR!$AS1023,IF(F1025="NHC",PR!$AT1023,IF(F1025="OLEAF",PR!$AU1023,IF(F1025="OCULUS",PR!$AV1023,IF(F1025="PACIFIC",PR!$AW1023,IF(F1025="PHAMATEX",PR!$AX1023,IF(F1025="PETHICS",PR!$AY1023,IF(F1025="PHILIPS",PR!$AZ1023,IF(F1025="RANBAXY",PR!$BA1023,IF(F1025="REALS",PR!$BB1023,IF(F1025="ROYAL",PR!$BC1023,IF(F1025="SAM",PR!$BD1023,IF(F1025="SEAGREEN",PR!$BE1023,IF(F1025="SKG",PR!$BF1023,IF(F1025="TAH",PR!$BG1023,IF(F1025="TAYLEK",PR!$BH1023,IF(F1025="TEMITA",PR!$BI1023,IF(F1025="THL",PR!$BJ1023,IF(F1025="UBASTIC",PR!$BK1023,IF(F1025="UNION",PR!$BL1023,IF(F1025="UNIQUE",PR!$BM1023,IF(F1025="VIXA",PR!$BN1023,IF(F1025="WWCV",PR!$BO1023,IF(F1025="ZOLON",PR!$BP1023,"-"))))))))))))))))))))))))))))))))))))))))))))))))))))))))))))))))</f>
        <v>20000</v>
      </c>
      <c r="F1025" s="102" t="str">
        <f>EV!L1305</f>
        <v>UBASTIC</v>
      </c>
      <c r="G1025" s="108">
        <f>IF(H1025="ALPHA",PR!$E1023,IF(H1025="ASSENE",PR!$F1023,IF(H1025="BIOFEM",PR!$G1023,IF(H1025="BIOMED",PR!$H1023,IF(H1025="CHI",PR!$I1023,IF(H1025="CLARION",PR!$J1023,IF(H1025="CODIX",PR!$K1023,IF(H1025="COSMADE",PR!$L1023,IF(H1025="SANCON",PR!$M1023,IF(H1025="DEVON",PR!$N1023,IF(H1025="DORTEMAG",PR!$O1023,IF(H1025="DGF",PR!$P1023,IF(H1025="DYNAMIC",PR!$Q1023,IF(H1025="EMZOR",PR!$R1023,IF(H1025="EUMATT",PR!$S1023,IF(H1025="FIDSON",PR!$T1023,IF(H1025="FCGLOBAL",PR!$U1023,IF(H1025="GENEITH",PR!$V1023,IF(H1025="GINOS",PR!$W1023,IF(H1025="GSK",PR!$X1023,IF(H1025="GLOBORG",PR!$Y1023,IF(H1025="GOODNEWS",PR!$Z1023,IF(H1025="GREENLIFE",PR!$AA1023,IF(H1025="HLINE",PR!$AB1023,IF(H1025="ROTECH",PR!$AC1023,IF(H1025="ISN",PR!$AD1023,IF(H1025="JAWA",PR!$AE1023,IF(H1025="LAYO",PR!$AF1023,IF(H1025="LEADWAY",PR!$AG1023,IF(H1025="LHV",PR!$AH1023,IF(H1025="MANOLA",PR!$AI1023,IF(H1025="MARCSON",PR!$AJ1023,IF(H1025="M&amp;B",PR!$AK1023,IF(H1025="MTRUST",PR!$AL1023,IF(H1025="MWORLD",PR!$AM1023,IF(H1025="MEGA",PR!$AN1023,IF(H1025="MICRONOVA",PR!$AO1023,IF(H1025="MFLASH",PR!$AP1023,IF(H1025="MORISON",PR!$AQ1023,IF(H1025="NEMEL",PR!$AR1023,IF(H1025="NHP",PR!$AS1023,IF(H1025="NHC",PR!$AT1023,IF(H1025="OLEAF",PR!$AU1023,IF(H1025="OCULUS",PR!$AV1023,IF(H1025="PACIFIC",PR!$AW1023,IF(H1025="PHAMATEX",PR!$AX1023,IF(H1025="PETHICS",PR!$AY1023,IF(H1025="PHILIPS",PR!$AZ1023,IF(H1025="RANBAXY",PR!$BA1023,IF(H1025="REALS",PR!$BB1023,IF(H1025="ROYAL",PR!$BC1023,IF(H1025="SAM",PR!$BD1023,IF(H1025="SEAGREEN",PR!$BE1023,IF(H1025="SKG",PR!$BF1023,IF(H1025="TAH",PR!$BG1023,IF(H1025="TAYLEK",PR!$BH1023,IF(H1025="TEMITA",PR!$BI1023,IF(H1025="THL",PR!$BJ1023,IF(H1025="UBASTIC",PR!$BK1023,IF(H1025="UNION",PR!$BL1023,IF(H1025="UNIQUE",PR!$BM1023,IF(H1025="VIXA",PR!$BN1023,IF(H1025="WWCV",PR!$BO1023,IF(H1025="ZOLON",PR!$BP1023,"-"))))))))))))))))))))))))))))))))))))))))))))))))))))))))))))))))</f>
        <v>24605</v>
      </c>
      <c r="H1025" s="102" t="str">
        <f>EV!M1305</f>
        <v>DYNAMIC</v>
      </c>
      <c r="I1025" s="108">
        <f>IF(J1025="ALPHA",PR!$E1023,IF(J1025="ASSENE",PR!$F1023,IF(J1025="BIOFEM",PR!$G1023,IF(J1025="BIOMED",PR!$H1023,IF(J1025="CHI",PR!$I1023,IF(J1025="CLARION",PR!$J1023,IF(J1025="CODIX",PR!$K1023,IF(J1025="COSMADE",PR!$L1023,IF(J1025="SANCON",PR!$M1023,IF(J1025="DEVON",PR!$N1023,IF(J1025="DORTEMAG",PR!$O1023,IF(J1025="DGF",PR!$P1023,IF(J1025="DYNAMIC",PR!$Q1023,IF(J1025="EMZOR",PR!$R1023,IF(J1025="EUMATT",PR!$S1023,IF(J1025="FIDSON",PR!$T1023,IF(J1025="FCGLOBAL",PR!$U1023,IF(J1025="GENEITH",PR!$V1023,IF(J1025="GINOS",PR!$W1023,IF(J1025="GSK",PR!$X1023,IF(J1025="GLOBORG",PR!$Y1023,IF(J1025="GOODNEWS",PR!$Z1023,IF(J1025="GREENLIFE",PR!$AA1023,IF(J1025="HLINE",PR!$AB1023,IF(J1025="ROTECH",PR!$AC1023,IF(J1025="ISN",PR!$AD1023,IF(J1025="JAWA",PR!$AE1023,IF(J1025="LAYO",PR!$AF1023,IF(J1025="LEADWAY",PR!$AG1023,IF(J1025="LHV",PR!$AH1023,IF(J1025="MANOLA",PR!$AI1023,IF(J1025="MARCSON",PR!$AJ1023,IF(J1025="M&amp;B",PR!$AK1023,IF(J1025="MTRUST",PR!$AL1023,IF(J1025="MWORLD",PR!$AM1023,IF(J1025="MEGA",PR!$AN1023,IF(J1025="MICRONOVA",PR!$AO1023,IF(J1025="MFLASH",PR!$AP1023,IF(J1025="MORISON",PR!$AQ1023,IF(J1025="NEMEL",PR!$AR1023,IF(J1025="NHP",PR!$AS1023,IF(J1025="NHC",PR!$AT1023,IF(J1025="OLEAF",PR!$AU1023,IF(J1025="OCULUS",PR!$AV1023,IF(J1025="PACIFIC",PR!$AW1023,IF(J1025="PHAMATEX",PR!$AX1023,IF(J1025="PETHICS",PR!$AY1023,IF(J1025="PHILIPS",PR!$AZ1023,IF(J1025="RANBAXY",PR!$BA1023,IF(J1025="REALS",PR!$BB1023,IF(J1025="ROYAL",PR!$BC1023,IF(J1025="SAM",PR!$BD1023,IF(J1025="SEAGREEN",PR!$BE1023,IF(J1025="SKG",PR!$BF1023,IF(J1025="TAH",PR!$BG1023,IF(J1025="TAYLEK",PR!$BH1023,IF(J1025="TEMITA",PR!$BI1023,IF(J1025="THL",PR!$BJ1023,IF(J1025="UBASTIC",PR!$BK1023,IF(J1025="UNION",PR!$BL1023,IF(J1025="UNIQUE",PR!$BM1023,IF(J1025="VIXA",PR!$BN1023,IF(J1025="WWCV",PR!$BO1023,IF(J1025="ZOLON",PR!$BP1023,"-"))))))))))))))))))))))))))))))))))))))))))))))))))))))))))))))))</f>
        <v>26875</v>
      </c>
      <c r="J1025" s="102" t="str">
        <f>EV!N1305</f>
        <v>TEMITA</v>
      </c>
      <c r="K1025" s="433" t="s">
        <v>1459</v>
      </c>
      <c r="L1025" s="183">
        <f>IF(K1025&gt;0,IF(K1025="ALPHA",PR!$E1023,IF(K1025="ASSENE",PR!$F1023,IF(K1025="BIOFEM",PR!$G1023,IF(K1025="BIOMED",PR!$H1023,IF(K1025="CHI",PR!$I1023,IF(K1025="CLARION",PR!$J1023,IF(K1025="CODIX",PR!$K1023,IF(K1025="COSMADE",PR!$L1023,IF(K1025="SANCON",PR!$M1023,IF(K1025="DEVON",PR!$N1023,IF(K1025="DORTEMAG",PR!$O1023,IF(K1025="DGF",PR!$P1023,IF(K1025="DYNAMIC",PR!$Q1023,IF(K1025="EMZOR",PR!$R1023,IF(K1025="EUMATT",PR!$S1023,IF(K1025="FIDSON",PR!$T1023,IF(K1025="FCGLOBAL",PR!$U1023,IF(K1025="GENEITH",PR!$V1023,IF(K1025="GINOS",PR!$W1023,IF(K1025="GSK",PR!$X1023,IF(K1025="GLOBORG",PR!$Y1023,IF(K1025="GOODNEWS",PR!$Z1023,IF(K1025="GREENLIFE",PR!$AA1023,IF(K1025="HLINE",PR!$AB1023,IF(K1025="ROTECH",PR!$AC1023,IF(K1025="ISN",PR!$AD1023,IF(K1025="JAWA",PR!$AE1023,IF(K1025="LAYO",PR!$AF1023,IF(K1025="LEADWAY",PR!$AG1023,IF(K1025="LHV",PR!$AH1023,IF(K1025="MANOLA",PR!$AI1023,IF(K1025="MARCSON",PR!$AJ1023,IF(K1025="M&amp;B",PR!$AK1023,IF(K1025="MTRUST",PR!$AL1023,IF(K1025="MWORLD",PR!$AM1023,IF(K1025="MEGA",PR!$AN1023,IF(K1025="MICRONOVA",PR!$AO1023,IF(K1025="MFLASH",PR!$AP1023,IF(K1025="MORISON",PR!$AQ1023,IF(K1025="NEMEL",PR!$AR1023,IF(K1025="NHP",PR!$AS1023,IF(K1025="NHC",PR!$AT1023,IF(K1025="OLEAF",PR!$AU1023,IF(K1025="OCULUS",PR!$AV1023,IF(K1025="PACIFIC",PR!$AW1023,IF(K1025="PHAMATEX",PR!$AX1023,IF(K1025="PETHICS",PR!$AY1023,IF(K1025="PHILIPS",PR!$AZ1023,IF(K1025="RANBAXY",PR!$BA1023,IF(K1025="REALS",PR!$BB1023,IF(K1025="ROYAL",PR!$BC1023,IF(K1025="SAM",PR!$BD1023,IF(K1025="SEAGREEN",PR!$BE1023,IF(K1025="SKG",PR!$BF1023,IF(K1025="TAH",PR!$BG1023,IF(K1025="TAYLEK",PR!$BH1023,IF(K1025="TEMITA",PR!$BI1023,IF(K1025="THL",PR!$BJ1023,IF(K1025="UBASTIC",PR!$BK1023,IF(K1025="UNION",PR!$BL1023,IF(K1025="UNIQUE",PR!$BM1023,IF(K1025="VIXA",PR!$BN1023,IF(K1025="WWCV",PR!$BO1023,IF(K1025="ZOLON",PR!$BP1023,"-")))))))))))))))))))))))))))))))))))))))))))))))))))))))))))))))))</f>
        <v>20000</v>
      </c>
    </row>
    <row r="1026" spans="1:12" ht="18.75" x14ac:dyDescent="0.3">
      <c r="A1026" s="430">
        <f>PR!A1024</f>
        <v>922</v>
      </c>
      <c r="B1026" s="15" t="str">
        <f>PR!B1024</f>
        <v>HAEMA SCREEN</v>
      </c>
      <c r="C1026" s="113" t="str">
        <f>PR!D1024</f>
        <v>1 pack of 100 tests</v>
      </c>
      <c r="D1026" s="113">
        <f>PR!C1024</f>
        <v>20</v>
      </c>
      <c r="E1026" s="108">
        <f>IF(F1026="ALPHA",PR!$E1024,IF(F1026="ASSENE",PR!$F1024,IF(F1026="BIOFEM",PR!$G1024,IF(F1026="BIOMED",PR!$H1024,IF(F1026="CHI",PR!$I1024,IF(F1026="CLARION",PR!$J1024,IF(F1026="CODIX",PR!$K1024,IF(F1026="COSMADE",PR!$L1024,IF(F1026="SANCON",PR!$M1024,IF(F1026="DEVON",PR!$N1024,IF(F1026="DORTEMAG",PR!$O1024,IF(F1026="DGF",PR!$P1024,IF(F1026="DYNAMIC",PR!$Q1024,IF(F1026="EMZOR",PR!$R1024,IF(F1026="EUMATT",PR!$S1024,IF(F1026="FIDSON",PR!$T1024,IF(F1026="FCGLOBAL",PR!$U1024,IF(F1026="GENEITH",PR!$V1024,IF(F1026="GINOS",PR!$W1024,IF(F1026="GSK",PR!$X1024,IF(F1026="GLOBORG",PR!$Y1024,IF(F1026="GOODNEWS",PR!$Z1024,IF(F1026="GREENLIFE",PR!$AA1024,IF(F1026="HLINE",PR!$AB1024,IF(F1026="ROTECH",PR!$AC1024,IF(F1026="ISN",PR!$AD1024,IF(F1026="JAWA",PR!$AE1024,IF(F1026="LAYO",PR!$AF1024,IF(F1026="LEADWAY",PR!$AG1024,IF(F1026="LHV",PR!$AH1024,IF(F1026="MANOLA",PR!$AI1024,IF(F1026="MARCSON",PR!$AJ1024,IF(F1026="M&amp;B",PR!$AK1024,IF(F1026="MTRUST",PR!$AL1024,IF(F1026="MWORLD",PR!$AM1024,IF(F1026="MEGA",PR!$AN1024,IF(F1026="MICRONOVA",PR!$AO1024,IF(F1026="MFLASH",PR!$AP1024,IF(F1026="MORISON",PR!$AQ1024,IF(F1026="NEMEL",PR!$AR1024,IF(F1026="NHP",PR!$AS1024,IF(F1026="NHC",PR!$AT1024,IF(F1026="OLEAF",PR!$AU1024,IF(F1026="OCULUS",PR!$AV1024,IF(F1026="PACIFIC",PR!$AW1024,IF(F1026="PHAMATEX",PR!$AX1024,IF(F1026="PETHICS",PR!$AY1024,IF(F1026="PHILIPS",PR!$AZ1024,IF(F1026="RANBAXY",PR!$BA1024,IF(F1026="REALS",PR!$BB1024,IF(F1026="ROYAL",PR!$BC1024,IF(F1026="SAM",PR!$BD1024,IF(F1026="SEAGREEN",PR!$BE1024,IF(F1026="SKG",PR!$BF1024,IF(F1026="TAH",PR!$BG1024,IF(F1026="TAYLEK",PR!$BH1024,IF(F1026="TEMITA",PR!$BI1024,IF(F1026="THL",PR!$BJ1024,IF(F1026="UBASTIC",PR!$BK1024,IF(F1026="UNION",PR!$BL1024,IF(F1026="UNIQUE",PR!$BM1024,IF(F1026="VIXA",PR!$BN1024,IF(F1026="WWCV",PR!$BO1024,IF(F1026="ZOLON",PR!$BP1024,"-"))))))))))))))))))))))))))))))))))))))))))))))))))))))))))))))))</f>
        <v>11050</v>
      </c>
      <c r="F1026" s="102" t="str">
        <f>EV!L1306</f>
        <v>LAYO</v>
      </c>
      <c r="G1026" s="108">
        <f>IF(H1026="ALPHA",PR!$E1024,IF(H1026="ASSENE",PR!$F1024,IF(H1026="BIOFEM",PR!$G1024,IF(H1026="BIOMED",PR!$H1024,IF(H1026="CHI",PR!$I1024,IF(H1026="CLARION",PR!$J1024,IF(H1026="CODIX",PR!$K1024,IF(H1026="COSMADE",PR!$L1024,IF(H1026="SANCON",PR!$M1024,IF(H1026="DEVON",PR!$N1024,IF(H1026="DORTEMAG",PR!$O1024,IF(H1026="DGF",PR!$P1024,IF(H1026="DYNAMIC",PR!$Q1024,IF(H1026="EMZOR",PR!$R1024,IF(H1026="EUMATT",PR!$S1024,IF(H1026="FIDSON",PR!$T1024,IF(H1026="FCGLOBAL",PR!$U1024,IF(H1026="GENEITH",PR!$V1024,IF(H1026="GINOS",PR!$W1024,IF(H1026="GSK",PR!$X1024,IF(H1026="GLOBORG",PR!$Y1024,IF(H1026="GOODNEWS",PR!$Z1024,IF(H1026="GREENLIFE",PR!$AA1024,IF(H1026="HLINE",PR!$AB1024,IF(H1026="ROTECH",PR!$AC1024,IF(H1026="ISN",PR!$AD1024,IF(H1026="JAWA",PR!$AE1024,IF(H1026="LAYO",PR!$AF1024,IF(H1026="LEADWAY",PR!$AG1024,IF(H1026="LHV",PR!$AH1024,IF(H1026="MANOLA",PR!$AI1024,IF(H1026="MARCSON",PR!$AJ1024,IF(H1026="M&amp;B",PR!$AK1024,IF(H1026="MTRUST",PR!$AL1024,IF(H1026="MWORLD",PR!$AM1024,IF(H1026="MEGA",PR!$AN1024,IF(H1026="MICRONOVA",PR!$AO1024,IF(H1026="MFLASH",PR!$AP1024,IF(H1026="MORISON",PR!$AQ1024,IF(H1026="NEMEL",PR!$AR1024,IF(H1026="NHP",PR!$AS1024,IF(H1026="NHC",PR!$AT1024,IF(H1026="OLEAF",PR!$AU1024,IF(H1026="OCULUS",PR!$AV1024,IF(H1026="PACIFIC",PR!$AW1024,IF(H1026="PHAMATEX",PR!$AX1024,IF(H1026="PETHICS",PR!$AY1024,IF(H1026="PHILIPS",PR!$AZ1024,IF(H1026="RANBAXY",PR!$BA1024,IF(H1026="REALS",PR!$BB1024,IF(H1026="ROYAL",PR!$BC1024,IF(H1026="SAM",PR!$BD1024,IF(H1026="SEAGREEN",PR!$BE1024,IF(H1026="SKG",PR!$BF1024,IF(H1026="TAH",PR!$BG1024,IF(H1026="TAYLEK",PR!$BH1024,IF(H1026="TEMITA",PR!$BI1024,IF(H1026="THL",PR!$BJ1024,IF(H1026="UBASTIC",PR!$BK1024,IF(H1026="UNION",PR!$BL1024,IF(H1026="UNIQUE",PR!$BM1024,IF(H1026="VIXA",PR!$BN1024,IF(H1026="WWCV",PR!$BO1024,IF(H1026="ZOLON",PR!$BP1024,"-"))))))))))))))))))))))))))))))))))))))))))))))))))))))))))))))))</f>
        <v>12635</v>
      </c>
      <c r="H1026" s="102" t="str">
        <f>EV!M1306</f>
        <v>DYNAMIC</v>
      </c>
      <c r="I1026" s="108">
        <f>IF(J1026="ALPHA",PR!$E1024,IF(J1026="ASSENE",PR!$F1024,IF(J1026="BIOFEM",PR!$G1024,IF(J1026="BIOMED",PR!$H1024,IF(J1026="CHI",PR!$I1024,IF(J1026="CLARION",PR!$J1024,IF(J1026="CODIX",PR!$K1024,IF(J1026="COSMADE",PR!$L1024,IF(J1026="SANCON",PR!$M1024,IF(J1026="DEVON",PR!$N1024,IF(J1026="DORTEMAG",PR!$O1024,IF(J1026="DGF",PR!$P1024,IF(J1026="DYNAMIC",PR!$Q1024,IF(J1026="EMZOR",PR!$R1024,IF(J1026="EUMATT",PR!$S1024,IF(J1026="FIDSON",PR!$T1024,IF(J1026="FCGLOBAL",PR!$U1024,IF(J1026="GENEITH",PR!$V1024,IF(J1026="GINOS",PR!$W1024,IF(J1026="GSK",PR!$X1024,IF(J1026="GLOBORG",PR!$Y1024,IF(J1026="GOODNEWS",PR!$Z1024,IF(J1026="GREENLIFE",PR!$AA1024,IF(J1026="HLINE",PR!$AB1024,IF(J1026="ROTECH",PR!$AC1024,IF(J1026="ISN",PR!$AD1024,IF(J1026="JAWA",PR!$AE1024,IF(J1026="LAYO",PR!$AF1024,IF(J1026="LEADWAY",PR!$AG1024,IF(J1026="LHV",PR!$AH1024,IF(J1026="MANOLA",PR!$AI1024,IF(J1026="MARCSON",PR!$AJ1024,IF(J1026="M&amp;B",PR!$AK1024,IF(J1026="MTRUST",PR!$AL1024,IF(J1026="MWORLD",PR!$AM1024,IF(J1026="MEGA",PR!$AN1024,IF(J1026="MICRONOVA",PR!$AO1024,IF(J1026="MFLASH",PR!$AP1024,IF(J1026="MORISON",PR!$AQ1024,IF(J1026="NEMEL",PR!$AR1024,IF(J1026="NHP",PR!$AS1024,IF(J1026="NHC",PR!$AT1024,IF(J1026="OLEAF",PR!$AU1024,IF(J1026="OCULUS",PR!$AV1024,IF(J1026="PACIFIC",PR!$AW1024,IF(J1026="PHAMATEX",PR!$AX1024,IF(J1026="PETHICS",PR!$AY1024,IF(J1026="PHILIPS",PR!$AZ1024,IF(J1026="RANBAXY",PR!$BA1024,IF(J1026="REALS",PR!$BB1024,IF(J1026="ROYAL",PR!$BC1024,IF(J1026="SAM",PR!$BD1024,IF(J1026="SEAGREEN",PR!$BE1024,IF(J1026="SKG",PR!$BF1024,IF(J1026="TAH",PR!$BG1024,IF(J1026="TAYLEK",PR!$BH1024,IF(J1026="TEMITA",PR!$BI1024,IF(J1026="THL",PR!$BJ1024,IF(J1026="UBASTIC",PR!$BK1024,IF(J1026="UNION",PR!$BL1024,IF(J1026="UNIQUE",PR!$BM1024,IF(J1026="VIXA",PR!$BN1024,IF(J1026="WWCV",PR!$BO1024,IF(J1026="ZOLON",PR!$BP1024,"-"))))))))))))))))))))))))))))))))))))))))))))))))))))))))))))))))</f>
        <v>16800</v>
      </c>
      <c r="J1026" s="102" t="str">
        <f>EV!N1306</f>
        <v>ROTECH</v>
      </c>
      <c r="K1026" s="433" t="s">
        <v>1461</v>
      </c>
      <c r="L1026" s="183">
        <f>IF(K1026&gt;0,IF(K1026="ALPHA",PR!$E1024,IF(K1026="ASSENE",PR!$F1024,IF(K1026="BIOFEM",PR!$G1024,IF(K1026="BIOMED",PR!$H1024,IF(K1026="CHI",PR!$I1024,IF(K1026="CLARION",PR!$J1024,IF(K1026="CODIX",PR!$K1024,IF(K1026="COSMADE",PR!$L1024,IF(K1026="SANCON",PR!$M1024,IF(K1026="DEVON",PR!$N1024,IF(K1026="DORTEMAG",PR!$O1024,IF(K1026="DGF",PR!$P1024,IF(K1026="DYNAMIC",PR!$Q1024,IF(K1026="EMZOR",PR!$R1024,IF(K1026="EUMATT",PR!$S1024,IF(K1026="FIDSON",PR!$T1024,IF(K1026="FCGLOBAL",PR!$U1024,IF(K1026="GENEITH",PR!$V1024,IF(K1026="GINOS",PR!$W1024,IF(K1026="GSK",PR!$X1024,IF(K1026="GLOBORG",PR!$Y1024,IF(K1026="GOODNEWS",PR!$Z1024,IF(K1026="GREENLIFE",PR!$AA1024,IF(K1026="HLINE",PR!$AB1024,IF(K1026="ROTECH",PR!$AC1024,IF(K1026="ISN",PR!$AD1024,IF(K1026="JAWA",PR!$AE1024,IF(K1026="LAYO",PR!$AF1024,IF(K1026="LEADWAY",PR!$AG1024,IF(K1026="LHV",PR!$AH1024,IF(K1026="MANOLA",PR!$AI1024,IF(K1026="MARCSON",PR!$AJ1024,IF(K1026="M&amp;B",PR!$AK1024,IF(K1026="MTRUST",PR!$AL1024,IF(K1026="MWORLD",PR!$AM1024,IF(K1026="MEGA",PR!$AN1024,IF(K1026="MICRONOVA",PR!$AO1024,IF(K1026="MFLASH",PR!$AP1024,IF(K1026="MORISON",PR!$AQ1024,IF(K1026="NEMEL",PR!$AR1024,IF(K1026="NHP",PR!$AS1024,IF(K1026="NHC",PR!$AT1024,IF(K1026="OLEAF",PR!$AU1024,IF(K1026="OCULUS",PR!$AV1024,IF(K1026="PACIFIC",PR!$AW1024,IF(K1026="PHAMATEX",PR!$AX1024,IF(K1026="PETHICS",PR!$AY1024,IF(K1026="PHILIPS",PR!$AZ1024,IF(K1026="RANBAXY",PR!$BA1024,IF(K1026="REALS",PR!$BB1024,IF(K1026="ROYAL",PR!$BC1024,IF(K1026="SAM",PR!$BD1024,IF(K1026="SEAGREEN",PR!$BE1024,IF(K1026="SKG",PR!$BF1024,IF(K1026="TAH",PR!$BG1024,IF(K1026="TAYLEK",PR!$BH1024,IF(K1026="TEMITA",PR!$BI1024,IF(K1026="THL",PR!$BJ1024,IF(K1026="UBASTIC",PR!$BK1024,IF(K1026="UNION",PR!$BL1024,IF(K1026="UNIQUE",PR!$BM1024,IF(K1026="VIXA",PR!$BN1024,IF(K1026="WWCV",PR!$BO1024,IF(K1026="ZOLON",PR!$BP1024,"-")))))))))))))))))))))))))))))))))))))))))))))))))))))))))))))))))</f>
        <v>11050</v>
      </c>
    </row>
    <row r="1027" spans="1:12" ht="18.75" x14ac:dyDescent="0.3">
      <c r="A1027" s="430">
        <f>PR!A1025</f>
        <v>923</v>
      </c>
      <c r="B1027" s="15" t="str">
        <f>PR!B1025</f>
        <v>UREA SALT AGAR</v>
      </c>
      <c r="C1027" s="113" t="str">
        <f>PR!D1025</f>
        <v>1 bottle of 500g</v>
      </c>
      <c r="D1027" s="113">
        <f>PR!C1025</f>
        <v>20</v>
      </c>
      <c r="E1027" s="108">
        <f>IF(F1027="ALPHA",PR!$E1025,IF(F1027="ASSENE",PR!$F1025,IF(F1027="BIOFEM",PR!$G1025,IF(F1027="BIOMED",PR!$H1025,IF(F1027="CHI",PR!$I1025,IF(F1027="CLARION",PR!$J1025,IF(F1027="CODIX",PR!$K1025,IF(F1027="COSMADE",PR!$L1025,IF(F1027="SANCON",PR!$M1025,IF(F1027="DEVON",PR!$N1025,IF(F1027="DORTEMAG",PR!$O1025,IF(F1027="DGF",PR!$P1025,IF(F1027="DYNAMIC",PR!$Q1025,IF(F1027="EMZOR",PR!$R1025,IF(F1027="EUMATT",PR!$S1025,IF(F1027="FIDSON",PR!$T1025,IF(F1027="FCGLOBAL",PR!$U1025,IF(F1027="GENEITH",PR!$V1025,IF(F1027="GINOS",PR!$W1025,IF(F1027="GSK",PR!$X1025,IF(F1027="GLOBORG",PR!$Y1025,IF(F1027="GOODNEWS",PR!$Z1025,IF(F1027="GREENLIFE",PR!$AA1025,IF(F1027="HLINE",PR!$AB1025,IF(F1027="ROTECH",PR!$AC1025,IF(F1027="ISN",PR!$AD1025,IF(F1027="JAWA",PR!$AE1025,IF(F1027="LAYO",PR!$AF1025,IF(F1027="LEADWAY",PR!$AG1025,IF(F1027="LHV",PR!$AH1025,IF(F1027="MANOLA",PR!$AI1025,IF(F1027="MARCSON",PR!$AJ1025,IF(F1027="M&amp;B",PR!$AK1025,IF(F1027="MTRUST",PR!$AL1025,IF(F1027="MWORLD",PR!$AM1025,IF(F1027="MEGA",PR!$AN1025,IF(F1027="MICRONOVA",PR!$AO1025,IF(F1027="MFLASH",PR!$AP1025,IF(F1027="MORISON",PR!$AQ1025,IF(F1027="NEMEL",PR!$AR1025,IF(F1027="NHP",PR!$AS1025,IF(F1027="NHC",PR!$AT1025,IF(F1027="OLEAF",PR!$AU1025,IF(F1027="OCULUS",PR!$AV1025,IF(F1027="PACIFIC",PR!$AW1025,IF(F1027="PHAMATEX",PR!$AX1025,IF(F1027="PETHICS",PR!$AY1025,IF(F1027="PHILIPS",PR!$AZ1025,IF(F1027="RANBAXY",PR!$BA1025,IF(F1027="REALS",PR!$BB1025,IF(F1027="ROYAL",PR!$BC1025,IF(F1027="SAM",PR!$BD1025,IF(F1027="SEAGREEN",PR!$BE1025,IF(F1027="SKG",PR!$BF1025,IF(F1027="TAH",PR!$BG1025,IF(F1027="TAYLEK",PR!$BH1025,IF(F1027="TEMITA",PR!$BI1025,IF(F1027="THL",PR!$BJ1025,IF(F1027="UBASTIC",PR!$BK1025,IF(F1027="UNION",PR!$BL1025,IF(F1027="UNIQUE",PR!$BM1025,IF(F1027="VIXA",PR!$BN1025,IF(F1027="WWCV",PR!$BO1025,IF(F1027="ZOLON",PR!$BP1025,"-"))))))))))))))))))))))))))))))))))))))))))))))))))))))))))))))))</f>
        <v>20000</v>
      </c>
      <c r="F1027" s="102" t="str">
        <f>EV!L1307</f>
        <v>UBASTIC</v>
      </c>
      <c r="G1027" s="108">
        <f>IF(H1027="ALPHA",PR!$E1025,IF(H1027="ASSENE",PR!$F1025,IF(H1027="BIOFEM",PR!$G1025,IF(H1027="BIOMED",PR!$H1025,IF(H1027="CHI",PR!$I1025,IF(H1027="CLARION",PR!$J1025,IF(H1027="CODIX",PR!$K1025,IF(H1027="COSMADE",PR!$L1025,IF(H1027="SANCON",PR!$M1025,IF(H1027="DEVON",PR!$N1025,IF(H1027="DORTEMAG",PR!$O1025,IF(H1027="DGF",PR!$P1025,IF(H1027="DYNAMIC",PR!$Q1025,IF(H1027="EMZOR",PR!$R1025,IF(H1027="EUMATT",PR!$S1025,IF(H1027="FIDSON",PR!$T1025,IF(H1027="FCGLOBAL",PR!$U1025,IF(H1027="GENEITH",PR!$V1025,IF(H1027="GINOS",PR!$W1025,IF(H1027="GSK",PR!$X1025,IF(H1027="GLOBORG",PR!$Y1025,IF(H1027="GOODNEWS",PR!$Z1025,IF(H1027="GREENLIFE",PR!$AA1025,IF(H1027="HLINE",PR!$AB1025,IF(H1027="ROTECH",PR!$AC1025,IF(H1027="ISN",PR!$AD1025,IF(H1027="JAWA",PR!$AE1025,IF(H1027="LAYO",PR!$AF1025,IF(H1027="LEADWAY",PR!$AG1025,IF(H1027="LHV",PR!$AH1025,IF(H1027="MANOLA",PR!$AI1025,IF(H1027="MARCSON",PR!$AJ1025,IF(H1027="M&amp;B",PR!$AK1025,IF(H1027="MTRUST",PR!$AL1025,IF(H1027="MWORLD",PR!$AM1025,IF(H1027="MEGA",PR!$AN1025,IF(H1027="MICRONOVA",PR!$AO1025,IF(H1027="MFLASH",PR!$AP1025,IF(H1027="MORISON",PR!$AQ1025,IF(H1027="NEMEL",PR!$AR1025,IF(H1027="NHP",PR!$AS1025,IF(H1027="NHC",PR!$AT1025,IF(H1027="OLEAF",PR!$AU1025,IF(H1027="OCULUS",PR!$AV1025,IF(H1027="PACIFIC",PR!$AW1025,IF(H1027="PHAMATEX",PR!$AX1025,IF(H1027="PETHICS",PR!$AY1025,IF(H1027="PHILIPS",PR!$AZ1025,IF(H1027="RANBAXY",PR!$BA1025,IF(H1027="REALS",PR!$BB1025,IF(H1027="ROYAL",PR!$BC1025,IF(H1027="SAM",PR!$BD1025,IF(H1027="SEAGREEN",PR!$BE1025,IF(H1027="SKG",PR!$BF1025,IF(H1027="TAH",PR!$BG1025,IF(H1027="TAYLEK",PR!$BH1025,IF(H1027="TEMITA",PR!$BI1025,IF(H1027="THL",PR!$BJ1025,IF(H1027="UBASTIC",PR!$BK1025,IF(H1027="UNION",PR!$BL1025,IF(H1027="UNIQUE",PR!$BM1025,IF(H1027="VIXA",PR!$BN1025,IF(H1027="WWCV",PR!$BO1025,IF(H1027="ZOLON",PR!$BP1025,"-"))))))))))))))))))))))))))))))))))))))))))))))))))))))))))))))))</f>
        <v>22610</v>
      </c>
      <c r="H1027" s="102" t="str">
        <f>EV!M1307</f>
        <v>DYNAMIC</v>
      </c>
      <c r="I1027" s="108">
        <f>IF(J1027="ALPHA",PR!$E1025,IF(J1027="ASSENE",PR!$F1025,IF(J1027="BIOFEM",PR!$G1025,IF(J1027="BIOMED",PR!$H1025,IF(J1027="CHI",PR!$I1025,IF(J1027="CLARION",PR!$J1025,IF(J1027="CODIX",PR!$K1025,IF(J1027="COSMADE",PR!$L1025,IF(J1027="SANCON",PR!$M1025,IF(J1027="DEVON",PR!$N1025,IF(J1027="DORTEMAG",PR!$O1025,IF(J1027="DGF",PR!$P1025,IF(J1027="DYNAMIC",PR!$Q1025,IF(J1027="EMZOR",PR!$R1025,IF(J1027="EUMATT",PR!$S1025,IF(J1027="FIDSON",PR!$T1025,IF(J1027="FCGLOBAL",PR!$U1025,IF(J1027="GENEITH",PR!$V1025,IF(J1027="GINOS",PR!$W1025,IF(J1027="GSK",PR!$X1025,IF(J1027="GLOBORG",PR!$Y1025,IF(J1027="GOODNEWS",PR!$Z1025,IF(J1027="GREENLIFE",PR!$AA1025,IF(J1027="HLINE",PR!$AB1025,IF(J1027="ROTECH",PR!$AC1025,IF(J1027="ISN",PR!$AD1025,IF(J1027="JAWA",PR!$AE1025,IF(J1027="LAYO",PR!$AF1025,IF(J1027="LEADWAY",PR!$AG1025,IF(J1027="LHV",PR!$AH1025,IF(J1027="MANOLA",PR!$AI1025,IF(J1027="MARCSON",PR!$AJ1025,IF(J1027="M&amp;B",PR!$AK1025,IF(J1027="MTRUST",PR!$AL1025,IF(J1027="MWORLD",PR!$AM1025,IF(J1027="MEGA",PR!$AN1025,IF(J1027="MICRONOVA",PR!$AO1025,IF(J1027="MFLASH",PR!$AP1025,IF(J1027="MORISON",PR!$AQ1025,IF(J1027="NEMEL",PR!$AR1025,IF(J1027="NHP",PR!$AS1025,IF(J1027="NHC",PR!$AT1025,IF(J1027="OLEAF",PR!$AU1025,IF(J1027="OCULUS",PR!$AV1025,IF(J1027="PACIFIC",PR!$AW1025,IF(J1027="PHAMATEX",PR!$AX1025,IF(J1027="PETHICS",PR!$AY1025,IF(J1027="PHILIPS",PR!$AZ1025,IF(J1027="RANBAXY",PR!$BA1025,IF(J1027="REALS",PR!$BB1025,IF(J1027="ROYAL",PR!$BC1025,IF(J1027="SAM",PR!$BD1025,IF(J1027="SEAGREEN",PR!$BE1025,IF(J1027="SKG",PR!$BF1025,IF(J1027="TAH",PR!$BG1025,IF(J1027="TAYLEK",PR!$BH1025,IF(J1027="TEMITA",PR!$BI1025,IF(J1027="THL",PR!$BJ1025,IF(J1027="UBASTIC",PR!$BK1025,IF(J1027="UNION",PR!$BL1025,IF(J1027="UNIQUE",PR!$BM1025,IF(J1027="VIXA",PR!$BN1025,IF(J1027="WWCV",PR!$BO1025,IF(J1027="ZOLON",PR!$BP1025,"-"))))))))))))))))))))))))))))))))))))))))))))))))))))))))))))))))</f>
        <v>33150</v>
      </c>
      <c r="J1027" s="102" t="str">
        <f>EV!N1307</f>
        <v>LAYO</v>
      </c>
      <c r="K1027" s="433" t="s">
        <v>1459</v>
      </c>
      <c r="L1027" s="183">
        <f>IF(K1027&gt;0,IF(K1027="ALPHA",PR!$E1025,IF(K1027="ASSENE",PR!$F1025,IF(K1027="BIOFEM",PR!$G1025,IF(K1027="BIOMED",PR!$H1025,IF(K1027="CHI",PR!$I1025,IF(K1027="CLARION",PR!$J1025,IF(K1027="CODIX",PR!$K1025,IF(K1027="COSMADE",PR!$L1025,IF(K1027="SANCON",PR!$M1025,IF(K1027="DEVON",PR!$N1025,IF(K1027="DORTEMAG",PR!$O1025,IF(K1027="DGF",PR!$P1025,IF(K1027="DYNAMIC",PR!$Q1025,IF(K1027="EMZOR",PR!$R1025,IF(K1027="EUMATT",PR!$S1025,IF(K1027="FIDSON",PR!$T1025,IF(K1027="FCGLOBAL",PR!$U1025,IF(K1027="GENEITH",PR!$V1025,IF(K1027="GINOS",PR!$W1025,IF(K1027="GSK",PR!$X1025,IF(K1027="GLOBORG",PR!$Y1025,IF(K1027="GOODNEWS",PR!$Z1025,IF(K1027="GREENLIFE",PR!$AA1025,IF(K1027="HLINE",PR!$AB1025,IF(K1027="ROTECH",PR!$AC1025,IF(K1027="ISN",PR!$AD1025,IF(K1027="JAWA",PR!$AE1025,IF(K1027="LAYO",PR!$AF1025,IF(K1027="LEADWAY",PR!$AG1025,IF(K1027="LHV",PR!$AH1025,IF(K1027="MANOLA",PR!$AI1025,IF(K1027="MARCSON",PR!$AJ1025,IF(K1027="M&amp;B",PR!$AK1025,IF(K1027="MTRUST",PR!$AL1025,IF(K1027="MWORLD",PR!$AM1025,IF(K1027="MEGA",PR!$AN1025,IF(K1027="MICRONOVA",PR!$AO1025,IF(K1027="MFLASH",PR!$AP1025,IF(K1027="MORISON",PR!$AQ1025,IF(K1027="NEMEL",PR!$AR1025,IF(K1027="NHP",PR!$AS1025,IF(K1027="NHC",PR!$AT1025,IF(K1027="OLEAF",PR!$AU1025,IF(K1027="OCULUS",PR!$AV1025,IF(K1027="PACIFIC",PR!$AW1025,IF(K1027="PHAMATEX",PR!$AX1025,IF(K1027="PETHICS",PR!$AY1025,IF(K1027="PHILIPS",PR!$AZ1025,IF(K1027="RANBAXY",PR!$BA1025,IF(K1027="REALS",PR!$BB1025,IF(K1027="ROYAL",PR!$BC1025,IF(K1027="SAM",PR!$BD1025,IF(K1027="SEAGREEN",PR!$BE1025,IF(K1027="SKG",PR!$BF1025,IF(K1027="TAH",PR!$BG1025,IF(K1027="TAYLEK",PR!$BH1025,IF(K1027="TEMITA",PR!$BI1025,IF(K1027="THL",PR!$BJ1025,IF(K1027="UBASTIC",PR!$BK1025,IF(K1027="UNION",PR!$BL1025,IF(K1027="UNIQUE",PR!$BM1025,IF(K1027="VIXA",PR!$BN1025,IF(K1027="WWCV",PR!$BO1025,IF(K1027="ZOLON",PR!$BP1025,"-")))))))))))))))))))))))))))))))))))))))))))))))))))))))))))))))))</f>
        <v>20000</v>
      </c>
    </row>
    <row r="1028" spans="1:12" ht="18.75" x14ac:dyDescent="0.3">
      <c r="A1028" s="430">
        <f>PR!A1026</f>
        <v>924</v>
      </c>
      <c r="B1028" s="15" t="str">
        <f>PR!B1026</f>
        <v>WIDAL KIT</v>
      </c>
      <c r="C1028" s="113" t="str">
        <f>PR!D1026</f>
        <v>1 box (8 bottle)</v>
      </c>
      <c r="D1028" s="113">
        <f>PR!C1026</f>
        <v>20</v>
      </c>
      <c r="E1028" s="108">
        <f>IF(F1028="ALPHA",PR!$E1026,IF(F1028="ASSENE",PR!$F1026,IF(F1028="BIOFEM",PR!$G1026,IF(F1028="BIOMED",PR!$H1026,IF(F1028="CHI",PR!$I1026,IF(F1028="CLARION",PR!$J1026,IF(F1028="CODIX",PR!$K1026,IF(F1028="COSMADE",PR!$L1026,IF(F1028="SANCON",PR!$M1026,IF(F1028="DEVON",PR!$N1026,IF(F1028="DORTEMAG",PR!$O1026,IF(F1028="DGF",PR!$P1026,IF(F1028="DYNAMIC",PR!$Q1026,IF(F1028="EMZOR",PR!$R1026,IF(F1028="EUMATT",PR!$S1026,IF(F1028="FIDSON",PR!$T1026,IF(F1028="FCGLOBAL",PR!$U1026,IF(F1028="GENEITH",PR!$V1026,IF(F1028="GINOS",PR!$W1026,IF(F1028="GSK",PR!$X1026,IF(F1028="GLOBORG",PR!$Y1026,IF(F1028="GOODNEWS",PR!$Z1026,IF(F1028="GREENLIFE",PR!$AA1026,IF(F1028="HLINE",PR!$AB1026,IF(F1028="ROTECH",PR!$AC1026,IF(F1028="ISN",PR!$AD1026,IF(F1028="JAWA",PR!$AE1026,IF(F1028="LAYO",PR!$AF1026,IF(F1028="LEADWAY",PR!$AG1026,IF(F1028="LHV",PR!$AH1026,IF(F1028="MANOLA",PR!$AI1026,IF(F1028="MARCSON",PR!$AJ1026,IF(F1028="M&amp;B",PR!$AK1026,IF(F1028="MTRUST",PR!$AL1026,IF(F1028="MWORLD",PR!$AM1026,IF(F1028="MEGA",PR!$AN1026,IF(F1028="MICRONOVA",PR!$AO1026,IF(F1028="MFLASH",PR!$AP1026,IF(F1028="MORISON",PR!$AQ1026,IF(F1028="NEMEL",PR!$AR1026,IF(F1028="NHP",PR!$AS1026,IF(F1028="NHC",PR!$AT1026,IF(F1028="OLEAF",PR!$AU1026,IF(F1028="OCULUS",PR!$AV1026,IF(F1028="PACIFIC",PR!$AW1026,IF(F1028="PHAMATEX",PR!$AX1026,IF(F1028="PETHICS",PR!$AY1026,IF(F1028="PHILIPS",PR!$AZ1026,IF(F1028="RANBAXY",PR!$BA1026,IF(F1028="REALS",PR!$BB1026,IF(F1028="ROYAL",PR!$BC1026,IF(F1028="SAM",PR!$BD1026,IF(F1028="SEAGREEN",PR!$BE1026,IF(F1028="SKG",PR!$BF1026,IF(F1028="TAH",PR!$BG1026,IF(F1028="TAYLEK",PR!$BH1026,IF(F1028="TEMITA",PR!$BI1026,IF(F1028="THL",PR!$BJ1026,IF(F1028="UBASTIC",PR!$BK1026,IF(F1028="UNION",PR!$BL1026,IF(F1028="UNIQUE",PR!$BM1026,IF(F1028="VIXA",PR!$BN1026,IF(F1028="WWCV",PR!$BO1026,IF(F1028="ZOLON",PR!$BP1026,"-"))))))))))))))))))))))))))))))))))))))))))))))))))))))))))))))))</f>
        <v>6500</v>
      </c>
      <c r="F1028" s="102" t="str">
        <f>EV!L1308</f>
        <v>UBASTIC</v>
      </c>
      <c r="G1028" s="108">
        <f>IF(H1028="ALPHA",PR!$E1026,IF(H1028="ASSENE",PR!$F1026,IF(H1028="BIOFEM",PR!$G1026,IF(H1028="BIOMED",PR!$H1026,IF(H1028="CHI",PR!$I1026,IF(H1028="CLARION",PR!$J1026,IF(H1028="CODIX",PR!$K1026,IF(H1028="COSMADE",PR!$L1026,IF(H1028="SANCON",PR!$M1026,IF(H1028="DEVON",PR!$N1026,IF(H1028="DORTEMAG",PR!$O1026,IF(H1028="DGF",PR!$P1026,IF(H1028="DYNAMIC",PR!$Q1026,IF(H1028="EMZOR",PR!$R1026,IF(H1028="EUMATT",PR!$S1026,IF(H1028="FIDSON",PR!$T1026,IF(H1028="FCGLOBAL",PR!$U1026,IF(H1028="GENEITH",PR!$V1026,IF(H1028="GINOS",PR!$W1026,IF(H1028="GSK",PR!$X1026,IF(H1028="GLOBORG",PR!$Y1026,IF(H1028="GOODNEWS",PR!$Z1026,IF(H1028="GREENLIFE",PR!$AA1026,IF(H1028="HLINE",PR!$AB1026,IF(H1028="ROTECH",PR!$AC1026,IF(H1028="ISN",PR!$AD1026,IF(H1028="JAWA",PR!$AE1026,IF(H1028="LAYO",PR!$AF1026,IF(H1028="LEADWAY",PR!$AG1026,IF(H1028="LHV",PR!$AH1026,IF(H1028="MANOLA",PR!$AI1026,IF(H1028="MARCSON",PR!$AJ1026,IF(H1028="M&amp;B",PR!$AK1026,IF(H1028="MTRUST",PR!$AL1026,IF(H1028="MWORLD",PR!$AM1026,IF(H1028="MEGA",PR!$AN1026,IF(H1028="MICRONOVA",PR!$AO1026,IF(H1028="MFLASH",PR!$AP1026,IF(H1028="MORISON",PR!$AQ1026,IF(H1028="NEMEL",PR!$AR1026,IF(H1028="NHP",PR!$AS1026,IF(H1028="NHC",PR!$AT1026,IF(H1028="OLEAF",PR!$AU1026,IF(H1028="OCULUS",PR!$AV1026,IF(H1028="PACIFIC",PR!$AW1026,IF(H1028="PHAMATEX",PR!$AX1026,IF(H1028="PETHICS",PR!$AY1026,IF(H1028="PHILIPS",PR!$AZ1026,IF(H1028="RANBAXY",PR!$BA1026,IF(H1028="REALS",PR!$BB1026,IF(H1028="ROYAL",PR!$BC1026,IF(H1028="SAM",PR!$BD1026,IF(H1028="SEAGREEN",PR!$BE1026,IF(H1028="SKG",PR!$BF1026,IF(H1028="TAH",PR!$BG1026,IF(H1028="TAYLEK",PR!$BH1026,IF(H1028="TEMITA",PR!$BI1026,IF(H1028="THL",PR!$BJ1026,IF(H1028="UBASTIC",PR!$BK1026,IF(H1028="UNION",PR!$BL1026,IF(H1028="UNIQUE",PR!$BM1026,IF(H1028="VIXA",PR!$BN1026,IF(H1028="WWCV",PR!$BO1026,IF(H1028="ZOLON",PR!$BP1026,"-"))))))))))))))))))))))))))))))))))))))))))))))))))))))))))))))))</f>
        <v>8645</v>
      </c>
      <c r="H1028" s="102" t="str">
        <f>EV!M1308</f>
        <v>DYNAMIC</v>
      </c>
      <c r="I1028" s="108">
        <f>IF(J1028="ALPHA",PR!$E1026,IF(J1028="ASSENE",PR!$F1026,IF(J1028="BIOFEM",PR!$G1026,IF(J1028="BIOMED",PR!$H1026,IF(J1028="CHI",PR!$I1026,IF(J1028="CLARION",PR!$J1026,IF(J1028="CODIX",PR!$K1026,IF(J1028="COSMADE",PR!$L1026,IF(J1028="SANCON",PR!$M1026,IF(J1028="DEVON",PR!$N1026,IF(J1028="DORTEMAG",PR!$O1026,IF(J1028="DGF",PR!$P1026,IF(J1028="DYNAMIC",PR!$Q1026,IF(J1028="EMZOR",PR!$R1026,IF(J1028="EUMATT",PR!$S1026,IF(J1028="FIDSON",PR!$T1026,IF(J1028="FCGLOBAL",PR!$U1026,IF(J1028="GENEITH",PR!$V1026,IF(J1028="GINOS",PR!$W1026,IF(J1028="GSK",PR!$X1026,IF(J1028="GLOBORG",PR!$Y1026,IF(J1028="GOODNEWS",PR!$Z1026,IF(J1028="GREENLIFE",PR!$AA1026,IF(J1028="HLINE",PR!$AB1026,IF(J1028="ROTECH",PR!$AC1026,IF(J1028="ISN",PR!$AD1026,IF(J1028="JAWA",PR!$AE1026,IF(J1028="LAYO",PR!$AF1026,IF(J1028="LEADWAY",PR!$AG1026,IF(J1028="LHV",PR!$AH1026,IF(J1028="MANOLA",PR!$AI1026,IF(J1028="MARCSON",PR!$AJ1026,IF(J1028="M&amp;B",PR!$AK1026,IF(J1028="MTRUST",PR!$AL1026,IF(J1028="MWORLD",PR!$AM1026,IF(J1028="MEGA",PR!$AN1026,IF(J1028="MICRONOVA",PR!$AO1026,IF(J1028="MFLASH",PR!$AP1026,IF(J1028="MORISON",PR!$AQ1026,IF(J1028="NEMEL",PR!$AR1026,IF(J1028="NHP",PR!$AS1026,IF(J1028="NHC",PR!$AT1026,IF(J1028="OLEAF",PR!$AU1026,IF(J1028="OCULUS",PR!$AV1026,IF(J1028="PACIFIC",PR!$AW1026,IF(J1028="PHAMATEX",PR!$AX1026,IF(J1028="PETHICS",PR!$AY1026,IF(J1028="PHILIPS",PR!$AZ1026,IF(J1028="RANBAXY",PR!$BA1026,IF(J1028="REALS",PR!$BB1026,IF(J1028="ROYAL",PR!$BC1026,IF(J1028="SAM",PR!$BD1026,IF(J1028="SEAGREEN",PR!$BE1026,IF(J1028="SKG",PR!$BF1026,IF(J1028="TAH",PR!$BG1026,IF(J1028="TAYLEK",PR!$BH1026,IF(J1028="TEMITA",PR!$BI1026,IF(J1028="THL",PR!$BJ1026,IF(J1028="UBASTIC",PR!$BK1026,IF(J1028="UNION",PR!$BL1026,IF(J1028="UNIQUE",PR!$BM1026,IF(J1028="VIXA",PR!$BN1026,IF(J1028="WWCV",PR!$BO1026,IF(J1028="ZOLON",PR!$BP1026,"-"))))))))))))))))))))))))))))))))))))))))))))))))))))))))))))))))</f>
        <v>10500</v>
      </c>
      <c r="J1028" s="102" t="str">
        <f>EV!N1308</f>
        <v>SANCON</v>
      </c>
      <c r="K1028" s="433" t="s">
        <v>1459</v>
      </c>
      <c r="L1028" s="183">
        <f>IF(K1028&gt;0,IF(K1028="ALPHA",PR!$E1026,IF(K1028="ASSENE",PR!$F1026,IF(K1028="BIOFEM",PR!$G1026,IF(K1028="BIOMED",PR!$H1026,IF(K1028="CHI",PR!$I1026,IF(K1028="CLARION",PR!$J1026,IF(K1028="CODIX",PR!$K1026,IF(K1028="COSMADE",PR!$L1026,IF(K1028="SANCON",PR!$M1026,IF(K1028="DEVON",PR!$N1026,IF(K1028="DORTEMAG",PR!$O1026,IF(K1028="DGF",PR!$P1026,IF(K1028="DYNAMIC",PR!$Q1026,IF(K1028="EMZOR",PR!$R1026,IF(K1028="EUMATT",PR!$S1026,IF(K1028="FIDSON",PR!$T1026,IF(K1028="FCGLOBAL",PR!$U1026,IF(K1028="GENEITH",PR!$V1026,IF(K1028="GINOS",PR!$W1026,IF(K1028="GSK",PR!$X1026,IF(K1028="GLOBORG",PR!$Y1026,IF(K1028="GOODNEWS",PR!$Z1026,IF(K1028="GREENLIFE",PR!$AA1026,IF(K1028="HLINE",PR!$AB1026,IF(K1028="ROTECH",PR!$AC1026,IF(K1028="ISN",PR!$AD1026,IF(K1028="JAWA",PR!$AE1026,IF(K1028="LAYO",PR!$AF1026,IF(K1028="LEADWAY",PR!$AG1026,IF(K1028="LHV",PR!$AH1026,IF(K1028="MANOLA",PR!$AI1026,IF(K1028="MARCSON",PR!$AJ1026,IF(K1028="M&amp;B",PR!$AK1026,IF(K1028="MTRUST",PR!$AL1026,IF(K1028="MWORLD",PR!$AM1026,IF(K1028="MEGA",PR!$AN1026,IF(K1028="MICRONOVA",PR!$AO1026,IF(K1028="MFLASH",PR!$AP1026,IF(K1028="MORISON",PR!$AQ1026,IF(K1028="NEMEL",PR!$AR1026,IF(K1028="NHP",PR!$AS1026,IF(K1028="NHC",PR!$AT1026,IF(K1028="OLEAF",PR!$AU1026,IF(K1028="OCULUS",PR!$AV1026,IF(K1028="PACIFIC",PR!$AW1026,IF(K1028="PHAMATEX",PR!$AX1026,IF(K1028="PETHICS",PR!$AY1026,IF(K1028="PHILIPS",PR!$AZ1026,IF(K1028="RANBAXY",PR!$BA1026,IF(K1028="REALS",PR!$BB1026,IF(K1028="ROYAL",PR!$BC1026,IF(K1028="SAM",PR!$BD1026,IF(K1028="SEAGREEN",PR!$BE1026,IF(K1028="SKG",PR!$BF1026,IF(K1028="TAH",PR!$BG1026,IF(K1028="TAYLEK",PR!$BH1026,IF(K1028="TEMITA",PR!$BI1026,IF(K1028="THL",PR!$BJ1026,IF(K1028="UBASTIC",PR!$BK1026,IF(K1028="UNION",PR!$BL1026,IF(K1028="UNIQUE",PR!$BM1026,IF(K1028="VIXA",PR!$BN1026,IF(K1028="WWCV",PR!$BO1026,IF(K1028="ZOLON",PR!$BP1026,"-")))))))))))))))))))))))))))))))))))))))))))))))))))))))))))))))))</f>
        <v>6500</v>
      </c>
    </row>
    <row r="1029" spans="1:12" ht="18.75" x14ac:dyDescent="0.3">
      <c r="A1029" s="430">
        <f>PR!A1027</f>
        <v>925</v>
      </c>
      <c r="B1029" s="15" t="str">
        <f>PR!B1027</f>
        <v>THIOGLYCOLLATE BROTH AGAR</v>
      </c>
      <c r="C1029" s="113" t="str">
        <f>PR!D1027</f>
        <v>1 bottle of 500g</v>
      </c>
      <c r="D1029" s="113">
        <f>PR!C1027</f>
        <v>20</v>
      </c>
      <c r="E1029" s="108">
        <f>IF(F1029="ALPHA",PR!$E1027,IF(F1029="ASSENE",PR!$F1027,IF(F1029="BIOFEM",PR!$G1027,IF(F1029="BIOMED",PR!$H1027,IF(F1029="CHI",PR!$I1027,IF(F1029="CLARION",PR!$J1027,IF(F1029="CODIX",PR!$K1027,IF(F1029="COSMADE",PR!$L1027,IF(F1029="SANCON",PR!$M1027,IF(F1029="DEVON",PR!$N1027,IF(F1029="DORTEMAG",PR!$O1027,IF(F1029="DGF",PR!$P1027,IF(F1029="DYNAMIC",PR!$Q1027,IF(F1029="EMZOR",PR!$R1027,IF(F1029="EUMATT",PR!$S1027,IF(F1029="FIDSON",PR!$T1027,IF(F1029="FCGLOBAL",PR!$U1027,IF(F1029="GENEITH",PR!$V1027,IF(F1029="GINOS",PR!$W1027,IF(F1029="GSK",PR!$X1027,IF(F1029="GLOBORG",PR!$Y1027,IF(F1029="GOODNEWS",PR!$Z1027,IF(F1029="GREENLIFE",PR!$AA1027,IF(F1029="HLINE",PR!$AB1027,IF(F1029="ROTECH",PR!$AC1027,IF(F1029="ISN",PR!$AD1027,IF(F1029="JAWA",PR!$AE1027,IF(F1029="LAYO",PR!$AF1027,IF(F1029="LEADWAY",PR!$AG1027,IF(F1029="LHV",PR!$AH1027,IF(F1029="MANOLA",PR!$AI1027,IF(F1029="MARCSON",PR!$AJ1027,IF(F1029="M&amp;B",PR!$AK1027,IF(F1029="MTRUST",PR!$AL1027,IF(F1029="MWORLD",PR!$AM1027,IF(F1029="MEGA",PR!$AN1027,IF(F1029="MICRONOVA",PR!$AO1027,IF(F1029="MFLASH",PR!$AP1027,IF(F1029="MORISON",PR!$AQ1027,IF(F1029="NEMEL",PR!$AR1027,IF(F1029="NHP",PR!$AS1027,IF(F1029="NHC",PR!$AT1027,IF(F1029="OLEAF",PR!$AU1027,IF(F1029="OCULUS",PR!$AV1027,IF(F1029="PACIFIC",PR!$AW1027,IF(F1029="PHAMATEX",PR!$AX1027,IF(F1029="PETHICS",PR!$AY1027,IF(F1029="PHILIPS",PR!$AZ1027,IF(F1029="RANBAXY",PR!$BA1027,IF(F1029="REALS",PR!$BB1027,IF(F1029="ROYAL",PR!$BC1027,IF(F1029="SAM",PR!$BD1027,IF(F1029="SEAGREEN",PR!$BE1027,IF(F1029="SKG",PR!$BF1027,IF(F1029="TAH",PR!$BG1027,IF(F1029="TAYLEK",PR!$BH1027,IF(F1029="TEMITA",PR!$BI1027,IF(F1029="THL",PR!$BJ1027,IF(F1029="UBASTIC",PR!$BK1027,IF(F1029="UNION",PR!$BL1027,IF(F1029="UNIQUE",PR!$BM1027,IF(F1029="VIXA",PR!$BN1027,IF(F1029="WWCV",PR!$BO1027,IF(F1029="ZOLON",PR!$BP1027,"-"))))))))))))))))))))))))))))))))))))))))))))))))))))))))))))))))</f>
        <v>19950</v>
      </c>
      <c r="F1029" s="102" t="str">
        <f>EV!L1309</f>
        <v>DYNAMIC</v>
      </c>
      <c r="G1029" s="108">
        <f>IF(H1029="ALPHA",PR!$E1027,IF(H1029="ASSENE",PR!$F1027,IF(H1029="BIOFEM",PR!$G1027,IF(H1029="BIOMED",PR!$H1027,IF(H1029="CHI",PR!$I1027,IF(H1029="CLARION",PR!$J1027,IF(H1029="CODIX",PR!$K1027,IF(H1029="COSMADE",PR!$L1027,IF(H1029="SANCON",PR!$M1027,IF(H1029="DEVON",PR!$N1027,IF(H1029="DORTEMAG",PR!$O1027,IF(H1029="DGF",PR!$P1027,IF(H1029="DYNAMIC",PR!$Q1027,IF(H1029="EMZOR",PR!$R1027,IF(H1029="EUMATT",PR!$S1027,IF(H1029="FIDSON",PR!$T1027,IF(H1029="FCGLOBAL",PR!$U1027,IF(H1029="GENEITH",PR!$V1027,IF(H1029="GINOS",PR!$W1027,IF(H1029="GSK",PR!$X1027,IF(H1029="GLOBORG",PR!$Y1027,IF(H1029="GOODNEWS",PR!$Z1027,IF(H1029="GREENLIFE",PR!$AA1027,IF(H1029="HLINE",PR!$AB1027,IF(H1029="ROTECH",PR!$AC1027,IF(H1029="ISN",PR!$AD1027,IF(H1029="JAWA",PR!$AE1027,IF(H1029="LAYO",PR!$AF1027,IF(H1029="LEADWAY",PR!$AG1027,IF(H1029="LHV",PR!$AH1027,IF(H1029="MANOLA",PR!$AI1027,IF(H1029="MARCSON",PR!$AJ1027,IF(H1029="M&amp;B",PR!$AK1027,IF(H1029="MTRUST",PR!$AL1027,IF(H1029="MWORLD",PR!$AM1027,IF(H1029="MEGA",PR!$AN1027,IF(H1029="MICRONOVA",PR!$AO1027,IF(H1029="MFLASH",PR!$AP1027,IF(H1029="MORISON",PR!$AQ1027,IF(H1029="NEMEL",PR!$AR1027,IF(H1029="NHP",PR!$AS1027,IF(H1029="NHC",PR!$AT1027,IF(H1029="OLEAF",PR!$AU1027,IF(H1029="OCULUS",PR!$AV1027,IF(H1029="PACIFIC",PR!$AW1027,IF(H1029="PHAMATEX",PR!$AX1027,IF(H1029="PETHICS",PR!$AY1027,IF(H1029="PHILIPS",PR!$AZ1027,IF(H1029="RANBAXY",PR!$BA1027,IF(H1029="REALS",PR!$BB1027,IF(H1029="ROYAL",PR!$BC1027,IF(H1029="SAM",PR!$BD1027,IF(H1029="SEAGREEN",PR!$BE1027,IF(H1029="SKG",PR!$BF1027,IF(H1029="TAH",PR!$BG1027,IF(H1029="TAYLEK",PR!$BH1027,IF(H1029="TEMITA",PR!$BI1027,IF(H1029="THL",PR!$BJ1027,IF(H1029="UBASTIC",PR!$BK1027,IF(H1029="UNION",PR!$BL1027,IF(H1029="UNIQUE",PR!$BM1027,IF(H1029="VIXA",PR!$BN1027,IF(H1029="WWCV",PR!$BO1027,IF(H1029="ZOLON",PR!$BP1027,"-"))))))))))))))))))))))))))))))))))))))))))))))))))))))))))))))))</f>
        <v>20000</v>
      </c>
      <c r="H1029" s="102" t="str">
        <f>EV!M1309</f>
        <v>UBASTIC</v>
      </c>
      <c r="I1029" s="108">
        <f>IF(J1029="ALPHA",PR!$E1027,IF(J1029="ASSENE",PR!$F1027,IF(J1029="BIOFEM",PR!$G1027,IF(J1029="BIOMED",PR!$H1027,IF(J1029="CHI",PR!$I1027,IF(J1029="CLARION",PR!$J1027,IF(J1029="CODIX",PR!$K1027,IF(J1029="COSMADE",PR!$L1027,IF(J1029="SANCON",PR!$M1027,IF(J1029="DEVON",PR!$N1027,IF(J1029="DORTEMAG",PR!$O1027,IF(J1029="DGF",PR!$P1027,IF(J1029="DYNAMIC",PR!$Q1027,IF(J1029="EMZOR",PR!$R1027,IF(J1029="EUMATT",PR!$S1027,IF(J1029="FIDSON",PR!$T1027,IF(J1029="FCGLOBAL",PR!$U1027,IF(J1029="GENEITH",PR!$V1027,IF(J1029="GINOS",PR!$W1027,IF(J1029="GSK",PR!$X1027,IF(J1029="GLOBORG",PR!$Y1027,IF(J1029="GOODNEWS",PR!$Z1027,IF(J1029="GREENLIFE",PR!$AA1027,IF(J1029="HLINE",PR!$AB1027,IF(J1029="ROTECH",PR!$AC1027,IF(J1029="ISN",PR!$AD1027,IF(J1029="JAWA",PR!$AE1027,IF(J1029="LAYO",PR!$AF1027,IF(J1029="LEADWAY",PR!$AG1027,IF(J1029="LHV",PR!$AH1027,IF(J1029="MANOLA",PR!$AI1027,IF(J1029="MARCSON",PR!$AJ1027,IF(J1029="M&amp;B",PR!$AK1027,IF(J1029="MTRUST",PR!$AL1027,IF(J1029="MWORLD",PR!$AM1027,IF(J1029="MEGA",PR!$AN1027,IF(J1029="MICRONOVA",PR!$AO1027,IF(J1029="MFLASH",PR!$AP1027,IF(J1029="MORISON",PR!$AQ1027,IF(J1029="NEMEL",PR!$AR1027,IF(J1029="NHP",PR!$AS1027,IF(J1029="NHC",PR!$AT1027,IF(J1029="OLEAF",PR!$AU1027,IF(J1029="OCULUS",PR!$AV1027,IF(J1029="PACIFIC",PR!$AW1027,IF(J1029="PHAMATEX",PR!$AX1027,IF(J1029="PETHICS",PR!$AY1027,IF(J1029="PHILIPS",PR!$AZ1027,IF(J1029="RANBAXY",PR!$BA1027,IF(J1029="REALS",PR!$BB1027,IF(J1029="ROYAL",PR!$BC1027,IF(J1029="SAM",PR!$BD1027,IF(J1029="SEAGREEN",PR!$BE1027,IF(J1029="SKG",PR!$BF1027,IF(J1029="TAH",PR!$BG1027,IF(J1029="TAYLEK",PR!$BH1027,IF(J1029="TEMITA",PR!$BI1027,IF(J1029="THL",PR!$BJ1027,IF(J1029="UBASTIC",PR!$BK1027,IF(J1029="UNION",PR!$BL1027,IF(J1029="UNIQUE",PR!$BM1027,IF(J1029="VIXA",PR!$BN1027,IF(J1029="WWCV",PR!$BO1027,IF(J1029="ZOLON",PR!$BP1027,"-"))))))))))))))))))))))))))))))))))))))))))))))))))))))))))))))))</f>
        <v>23400</v>
      </c>
      <c r="J1029" s="102" t="str">
        <f>EV!N1309</f>
        <v>LAYO</v>
      </c>
      <c r="K1029" s="433" t="s">
        <v>626</v>
      </c>
      <c r="L1029" s="183">
        <f>IF(K1029&gt;0,IF(K1029="ALPHA",PR!$E1027,IF(K1029="ASSENE",PR!$F1027,IF(K1029="BIOFEM",PR!$G1027,IF(K1029="BIOMED",PR!$H1027,IF(K1029="CHI",PR!$I1027,IF(K1029="CLARION",PR!$J1027,IF(K1029="CODIX",PR!$K1027,IF(K1029="COSMADE",PR!$L1027,IF(K1029="SANCON",PR!$M1027,IF(K1029="DEVON",PR!$N1027,IF(K1029="DORTEMAG",PR!$O1027,IF(K1029="DGF",PR!$P1027,IF(K1029="DYNAMIC",PR!$Q1027,IF(K1029="EMZOR",PR!$R1027,IF(K1029="EUMATT",PR!$S1027,IF(K1029="FIDSON",PR!$T1027,IF(K1029="FCGLOBAL",PR!$U1027,IF(K1029="GENEITH",PR!$V1027,IF(K1029="GINOS",PR!$W1027,IF(K1029="GSK",PR!$X1027,IF(K1029="GLOBORG",PR!$Y1027,IF(K1029="GOODNEWS",PR!$Z1027,IF(K1029="GREENLIFE",PR!$AA1027,IF(K1029="HLINE",PR!$AB1027,IF(K1029="ROTECH",PR!$AC1027,IF(K1029="ISN",PR!$AD1027,IF(K1029="JAWA",PR!$AE1027,IF(K1029="LAYO",PR!$AF1027,IF(K1029="LEADWAY",PR!$AG1027,IF(K1029="LHV",PR!$AH1027,IF(K1029="MANOLA",PR!$AI1027,IF(K1029="MARCSON",PR!$AJ1027,IF(K1029="M&amp;B",PR!$AK1027,IF(K1029="MTRUST",PR!$AL1027,IF(K1029="MWORLD",PR!$AM1027,IF(K1029="MEGA",PR!$AN1027,IF(K1029="MICRONOVA",PR!$AO1027,IF(K1029="MFLASH",PR!$AP1027,IF(K1029="MORISON",PR!$AQ1027,IF(K1029="NEMEL",PR!$AR1027,IF(K1029="NHP",PR!$AS1027,IF(K1029="NHC",PR!$AT1027,IF(K1029="OLEAF",PR!$AU1027,IF(K1029="OCULUS",PR!$AV1027,IF(K1029="PACIFIC",PR!$AW1027,IF(K1029="PHAMATEX",PR!$AX1027,IF(K1029="PETHICS",PR!$AY1027,IF(K1029="PHILIPS",PR!$AZ1027,IF(K1029="RANBAXY",PR!$BA1027,IF(K1029="REALS",PR!$BB1027,IF(K1029="ROYAL",PR!$BC1027,IF(K1029="SAM",PR!$BD1027,IF(K1029="SEAGREEN",PR!$BE1027,IF(K1029="SKG",PR!$BF1027,IF(K1029="TAH",PR!$BG1027,IF(K1029="TAYLEK",PR!$BH1027,IF(K1029="TEMITA",PR!$BI1027,IF(K1029="THL",PR!$BJ1027,IF(K1029="UBASTIC",PR!$BK1027,IF(K1029="UNION",PR!$BL1027,IF(K1029="UNIQUE",PR!$BM1027,IF(K1029="VIXA",PR!$BN1027,IF(K1029="WWCV",PR!$BO1027,IF(K1029="ZOLON",PR!$BP1027,"-")))))))))))))))))))))))))))))))))))))))))))))))))))))))))))))))))</f>
        <v>19950</v>
      </c>
    </row>
    <row r="1030" spans="1:12" ht="18.75" x14ac:dyDescent="0.3">
      <c r="A1030" s="430">
        <f>PR!A1028</f>
        <v>926</v>
      </c>
      <c r="B1030" s="15" t="str">
        <f>PR!B1028</f>
        <v>TSI AGAR</v>
      </c>
      <c r="C1030" s="113" t="str">
        <f>PR!D1028</f>
        <v>1 bottle of 500g</v>
      </c>
      <c r="D1030" s="113">
        <f>PR!C1028</f>
        <v>12</v>
      </c>
      <c r="E1030" s="108">
        <f>IF(F1030="ALPHA",PR!$E1028,IF(F1030="ASSENE",PR!$F1028,IF(F1030="BIOFEM",PR!$G1028,IF(F1030="BIOMED",PR!$H1028,IF(F1030="CHI",PR!$I1028,IF(F1030="CLARION",PR!$J1028,IF(F1030="CODIX",PR!$K1028,IF(F1030="COSMADE",PR!$L1028,IF(F1030="SANCON",PR!$M1028,IF(F1030="DEVON",PR!$N1028,IF(F1030="DORTEMAG",PR!$O1028,IF(F1030="DGF",PR!$P1028,IF(F1030="DYNAMIC",PR!$Q1028,IF(F1030="EMZOR",PR!$R1028,IF(F1030="EUMATT",PR!$S1028,IF(F1030="FIDSON",PR!$T1028,IF(F1030="FCGLOBAL",PR!$U1028,IF(F1030="GENEITH",PR!$V1028,IF(F1030="GINOS",PR!$W1028,IF(F1030="GSK",PR!$X1028,IF(F1030="GLOBORG",PR!$Y1028,IF(F1030="GOODNEWS",PR!$Z1028,IF(F1030="GREENLIFE",PR!$AA1028,IF(F1030="HLINE",PR!$AB1028,IF(F1030="ROTECH",PR!$AC1028,IF(F1030="ISN",PR!$AD1028,IF(F1030="JAWA",PR!$AE1028,IF(F1030="LAYO",PR!$AF1028,IF(F1030="LEADWAY",PR!$AG1028,IF(F1030="LHV",PR!$AH1028,IF(F1030="MANOLA",PR!$AI1028,IF(F1030="MARCSON",PR!$AJ1028,IF(F1030="M&amp;B",PR!$AK1028,IF(F1030="MTRUST",PR!$AL1028,IF(F1030="MWORLD",PR!$AM1028,IF(F1030="MEGA",PR!$AN1028,IF(F1030="MICRONOVA",PR!$AO1028,IF(F1030="MFLASH",PR!$AP1028,IF(F1030="MORISON",PR!$AQ1028,IF(F1030="NEMEL",PR!$AR1028,IF(F1030="NHP",PR!$AS1028,IF(F1030="NHC",PR!$AT1028,IF(F1030="OLEAF",PR!$AU1028,IF(F1030="OCULUS",PR!$AV1028,IF(F1030="PACIFIC",PR!$AW1028,IF(F1030="PHAMATEX",PR!$AX1028,IF(F1030="PETHICS",PR!$AY1028,IF(F1030="PHILIPS",PR!$AZ1028,IF(F1030="RANBAXY",PR!$BA1028,IF(F1030="REALS",PR!$BB1028,IF(F1030="ROYAL",PR!$BC1028,IF(F1030="SAM",PR!$BD1028,IF(F1030="SEAGREEN",PR!$BE1028,IF(F1030="SKG",PR!$BF1028,IF(F1030="TAH",PR!$BG1028,IF(F1030="TAYLEK",PR!$BH1028,IF(F1030="TEMITA",PR!$BI1028,IF(F1030="THL",PR!$BJ1028,IF(F1030="UBASTIC",PR!$BK1028,IF(F1030="UNION",PR!$BL1028,IF(F1030="UNIQUE",PR!$BM1028,IF(F1030="VIXA",PR!$BN1028,IF(F1030="WWCV",PR!$BO1028,IF(F1030="ZOLON",PR!$BP1028,"-"))))))))))))))))))))))))))))))))))))))))))))))))))))))))))))))))</f>
        <v>20000</v>
      </c>
      <c r="F1030" s="102" t="str">
        <f>EV!L1310</f>
        <v>UBASTIC</v>
      </c>
      <c r="G1030" s="108">
        <f>IF(H1030="ALPHA",PR!$E1028,IF(H1030="ASSENE",PR!$F1028,IF(H1030="BIOFEM",PR!$G1028,IF(H1030="BIOMED",PR!$H1028,IF(H1030="CHI",PR!$I1028,IF(H1030="CLARION",PR!$J1028,IF(H1030="CODIX",PR!$K1028,IF(H1030="COSMADE",PR!$L1028,IF(H1030="SANCON",PR!$M1028,IF(H1030="DEVON",PR!$N1028,IF(H1030="DORTEMAG",PR!$O1028,IF(H1030="DGF",PR!$P1028,IF(H1030="DYNAMIC",PR!$Q1028,IF(H1030="EMZOR",PR!$R1028,IF(H1030="EUMATT",PR!$S1028,IF(H1030="FIDSON",PR!$T1028,IF(H1030="FCGLOBAL",PR!$U1028,IF(H1030="GENEITH",PR!$V1028,IF(H1030="GINOS",PR!$W1028,IF(H1030="GSK",PR!$X1028,IF(H1030="GLOBORG",PR!$Y1028,IF(H1030="GOODNEWS",PR!$Z1028,IF(H1030="GREENLIFE",PR!$AA1028,IF(H1030="HLINE",PR!$AB1028,IF(H1030="ROTECH",PR!$AC1028,IF(H1030="ISN",PR!$AD1028,IF(H1030="JAWA",PR!$AE1028,IF(H1030="LAYO",PR!$AF1028,IF(H1030="LEADWAY",PR!$AG1028,IF(H1030="LHV",PR!$AH1028,IF(H1030="MANOLA",PR!$AI1028,IF(H1030="MARCSON",PR!$AJ1028,IF(H1030="M&amp;B",PR!$AK1028,IF(H1030="MTRUST",PR!$AL1028,IF(H1030="MWORLD",PR!$AM1028,IF(H1030="MEGA",PR!$AN1028,IF(H1030="MICRONOVA",PR!$AO1028,IF(H1030="MFLASH",PR!$AP1028,IF(H1030="MORISON",PR!$AQ1028,IF(H1030="NEMEL",PR!$AR1028,IF(H1030="NHP",PR!$AS1028,IF(H1030="NHC",PR!$AT1028,IF(H1030="OLEAF",PR!$AU1028,IF(H1030="OCULUS",PR!$AV1028,IF(H1030="PACIFIC",PR!$AW1028,IF(H1030="PHAMATEX",PR!$AX1028,IF(H1030="PETHICS",PR!$AY1028,IF(H1030="PHILIPS",PR!$AZ1028,IF(H1030="RANBAXY",PR!$BA1028,IF(H1030="REALS",PR!$BB1028,IF(H1030="ROYAL",PR!$BC1028,IF(H1030="SAM",PR!$BD1028,IF(H1030="SEAGREEN",PR!$BE1028,IF(H1030="SKG",PR!$BF1028,IF(H1030="TAH",PR!$BG1028,IF(H1030="TAYLEK",PR!$BH1028,IF(H1030="TEMITA",PR!$BI1028,IF(H1030="THL",PR!$BJ1028,IF(H1030="UBASTIC",PR!$BK1028,IF(H1030="UNION",PR!$BL1028,IF(H1030="UNIQUE",PR!$BM1028,IF(H1030="VIXA",PR!$BN1028,IF(H1030="WWCV",PR!$BO1028,IF(H1030="ZOLON",PR!$BP1028,"-"))))))))))))))))))))))))))))))))))))))))))))))))))))))))))))))))</f>
        <v>24605</v>
      </c>
      <c r="H1030" s="102" t="str">
        <f>EV!M1310</f>
        <v>DYNAMIC</v>
      </c>
      <c r="I1030" s="108">
        <f>IF(J1030="ALPHA",PR!$E1028,IF(J1030="ASSENE",PR!$F1028,IF(J1030="BIOFEM",PR!$G1028,IF(J1030="BIOMED",PR!$H1028,IF(J1030="CHI",PR!$I1028,IF(J1030="CLARION",PR!$J1028,IF(J1030="CODIX",PR!$K1028,IF(J1030="COSMADE",PR!$L1028,IF(J1030="SANCON",PR!$M1028,IF(J1030="DEVON",PR!$N1028,IF(J1030="DORTEMAG",PR!$O1028,IF(J1030="DGF",PR!$P1028,IF(J1030="DYNAMIC",PR!$Q1028,IF(J1030="EMZOR",PR!$R1028,IF(J1030="EUMATT",PR!$S1028,IF(J1030="FIDSON",PR!$T1028,IF(J1030="FCGLOBAL",PR!$U1028,IF(J1030="GENEITH",PR!$V1028,IF(J1030="GINOS",PR!$W1028,IF(J1030="GSK",PR!$X1028,IF(J1030="GLOBORG",PR!$Y1028,IF(J1030="GOODNEWS",PR!$Z1028,IF(J1030="GREENLIFE",PR!$AA1028,IF(J1030="HLINE",PR!$AB1028,IF(J1030="ROTECH",PR!$AC1028,IF(J1030="ISN",PR!$AD1028,IF(J1030="JAWA",PR!$AE1028,IF(J1030="LAYO",PR!$AF1028,IF(J1030="LEADWAY",PR!$AG1028,IF(J1030="LHV",PR!$AH1028,IF(J1030="MANOLA",PR!$AI1028,IF(J1030="MARCSON",PR!$AJ1028,IF(J1030="M&amp;B",PR!$AK1028,IF(J1030="MTRUST",PR!$AL1028,IF(J1030="MWORLD",PR!$AM1028,IF(J1030="MEGA",PR!$AN1028,IF(J1030="MICRONOVA",PR!$AO1028,IF(J1030="MFLASH",PR!$AP1028,IF(J1030="MORISON",PR!$AQ1028,IF(J1030="NEMEL",PR!$AR1028,IF(J1030="NHP",PR!$AS1028,IF(J1030="NHC",PR!$AT1028,IF(J1030="OLEAF",PR!$AU1028,IF(J1030="OCULUS",PR!$AV1028,IF(J1030="PACIFIC",PR!$AW1028,IF(J1030="PHAMATEX",PR!$AX1028,IF(J1030="PETHICS",PR!$AY1028,IF(J1030="PHILIPS",PR!$AZ1028,IF(J1030="RANBAXY",PR!$BA1028,IF(J1030="REALS",PR!$BB1028,IF(J1030="ROYAL",PR!$BC1028,IF(J1030="SAM",PR!$BD1028,IF(J1030="SEAGREEN",PR!$BE1028,IF(J1030="SKG",PR!$BF1028,IF(J1030="TAH",PR!$BG1028,IF(J1030="TAYLEK",PR!$BH1028,IF(J1030="TEMITA",PR!$BI1028,IF(J1030="THL",PR!$BJ1028,IF(J1030="UBASTIC",PR!$BK1028,IF(J1030="UNION",PR!$BL1028,IF(J1030="UNIQUE",PR!$BM1028,IF(J1030="VIXA",PR!$BN1028,IF(J1030="WWCV",PR!$BO1028,IF(J1030="ZOLON",PR!$BP1028,"-"))))))))))))))))))))))))))))))))))))))))))))))))))))))))))))))))</f>
        <v>26875</v>
      </c>
      <c r="J1030" s="102" t="str">
        <f>EV!N1310</f>
        <v>TEMITA</v>
      </c>
      <c r="K1030" s="433" t="s">
        <v>1459</v>
      </c>
      <c r="L1030" s="183">
        <f>IF(K1030&gt;0,IF(K1030="ALPHA",PR!$E1028,IF(K1030="ASSENE",PR!$F1028,IF(K1030="BIOFEM",PR!$G1028,IF(K1030="BIOMED",PR!$H1028,IF(K1030="CHI",PR!$I1028,IF(K1030="CLARION",PR!$J1028,IF(K1030="CODIX",PR!$K1028,IF(K1030="COSMADE",PR!$L1028,IF(K1030="SANCON",PR!$M1028,IF(K1030="DEVON",PR!$N1028,IF(K1030="DORTEMAG",PR!$O1028,IF(K1030="DGF",PR!$P1028,IF(K1030="DYNAMIC",PR!$Q1028,IF(K1030="EMZOR",PR!$R1028,IF(K1030="EUMATT",PR!$S1028,IF(K1030="FIDSON",PR!$T1028,IF(K1030="FCGLOBAL",PR!$U1028,IF(K1030="GENEITH",PR!$V1028,IF(K1030="GINOS",PR!$W1028,IF(K1030="GSK",PR!$X1028,IF(K1030="GLOBORG",PR!$Y1028,IF(K1030="GOODNEWS",PR!$Z1028,IF(K1030="GREENLIFE",PR!$AA1028,IF(K1030="HLINE",PR!$AB1028,IF(K1030="ROTECH",PR!$AC1028,IF(K1030="ISN",PR!$AD1028,IF(K1030="JAWA",PR!$AE1028,IF(K1030="LAYO",PR!$AF1028,IF(K1030="LEADWAY",PR!$AG1028,IF(K1030="LHV",PR!$AH1028,IF(K1030="MANOLA",PR!$AI1028,IF(K1030="MARCSON",PR!$AJ1028,IF(K1030="M&amp;B",PR!$AK1028,IF(K1030="MTRUST",PR!$AL1028,IF(K1030="MWORLD",PR!$AM1028,IF(K1030="MEGA",PR!$AN1028,IF(K1030="MICRONOVA",PR!$AO1028,IF(K1030="MFLASH",PR!$AP1028,IF(K1030="MORISON",PR!$AQ1028,IF(K1030="NEMEL",PR!$AR1028,IF(K1030="NHP",PR!$AS1028,IF(K1030="NHC",PR!$AT1028,IF(K1030="OLEAF",PR!$AU1028,IF(K1030="OCULUS",PR!$AV1028,IF(K1030="PACIFIC",PR!$AW1028,IF(K1030="PHAMATEX",PR!$AX1028,IF(K1030="PETHICS",PR!$AY1028,IF(K1030="PHILIPS",PR!$AZ1028,IF(K1030="RANBAXY",PR!$BA1028,IF(K1030="REALS",PR!$BB1028,IF(K1030="ROYAL",PR!$BC1028,IF(K1030="SAM",PR!$BD1028,IF(K1030="SEAGREEN",PR!$BE1028,IF(K1030="SKG",PR!$BF1028,IF(K1030="TAH",PR!$BG1028,IF(K1030="TAYLEK",PR!$BH1028,IF(K1030="TEMITA",PR!$BI1028,IF(K1030="THL",PR!$BJ1028,IF(K1030="UBASTIC",PR!$BK1028,IF(K1030="UNION",PR!$BL1028,IF(K1030="UNIQUE",PR!$BM1028,IF(K1030="VIXA",PR!$BN1028,IF(K1030="WWCV",PR!$BO1028,IF(K1030="ZOLON",PR!$BP1028,"-")))))))))))))))))))))))))))))))))))))))))))))))))))))))))))))))))</f>
        <v>20000</v>
      </c>
    </row>
    <row r="1031" spans="1:12" ht="18.75" x14ac:dyDescent="0.3">
      <c r="A1031" s="430">
        <f>PR!A1029</f>
        <v>927</v>
      </c>
      <c r="B1031" s="15" t="str">
        <f>PR!B1029</f>
        <v>UREA AGAR BASE</v>
      </c>
      <c r="C1031" s="113" t="str">
        <f>PR!D1029</f>
        <v>1 bottle of 500g</v>
      </c>
      <c r="D1031" s="113">
        <f>PR!C1029</f>
        <v>12</v>
      </c>
      <c r="E1031" s="108">
        <f>IF(F1031="ALPHA",PR!$E1029,IF(F1031="ASSENE",PR!$F1029,IF(F1031="BIOFEM",PR!$G1029,IF(F1031="BIOMED",PR!$H1029,IF(F1031="CHI",PR!$I1029,IF(F1031="CLARION",PR!$J1029,IF(F1031="CODIX",PR!$K1029,IF(F1031="COSMADE",PR!$L1029,IF(F1031="SANCON",PR!$M1029,IF(F1031="DEVON",PR!$N1029,IF(F1031="DORTEMAG",PR!$O1029,IF(F1031="DGF",PR!$P1029,IF(F1031="DYNAMIC",PR!$Q1029,IF(F1031="EMZOR",PR!$R1029,IF(F1031="EUMATT",PR!$S1029,IF(F1031="FIDSON",PR!$T1029,IF(F1031="FCGLOBAL",PR!$U1029,IF(F1031="GENEITH",PR!$V1029,IF(F1031="GINOS",PR!$W1029,IF(F1031="GSK",PR!$X1029,IF(F1031="GLOBORG",PR!$Y1029,IF(F1031="GOODNEWS",PR!$Z1029,IF(F1031="GREENLIFE",PR!$AA1029,IF(F1031="HLINE",PR!$AB1029,IF(F1031="ROTECH",PR!$AC1029,IF(F1031="ISN",PR!$AD1029,IF(F1031="JAWA",PR!$AE1029,IF(F1031="LAYO",PR!$AF1029,IF(F1031="LEADWAY",PR!$AG1029,IF(F1031="LHV",PR!$AH1029,IF(F1031="MANOLA",PR!$AI1029,IF(F1031="MARCSON",PR!$AJ1029,IF(F1031="M&amp;B",PR!$AK1029,IF(F1031="MTRUST",PR!$AL1029,IF(F1031="MWORLD",PR!$AM1029,IF(F1031="MEGA",PR!$AN1029,IF(F1031="MICRONOVA",PR!$AO1029,IF(F1031="MFLASH",PR!$AP1029,IF(F1031="MORISON",PR!$AQ1029,IF(F1031="NEMEL",PR!$AR1029,IF(F1031="NHP",PR!$AS1029,IF(F1031="NHC",PR!$AT1029,IF(F1031="OLEAF",PR!$AU1029,IF(F1031="OCULUS",PR!$AV1029,IF(F1031="PACIFIC",PR!$AW1029,IF(F1031="PHAMATEX",PR!$AX1029,IF(F1031="PETHICS",PR!$AY1029,IF(F1031="PHILIPS",PR!$AZ1029,IF(F1031="RANBAXY",PR!$BA1029,IF(F1031="REALS",PR!$BB1029,IF(F1031="ROYAL",PR!$BC1029,IF(F1031="SAM",PR!$BD1029,IF(F1031="SEAGREEN",PR!$BE1029,IF(F1031="SKG",PR!$BF1029,IF(F1031="TAH",PR!$BG1029,IF(F1031="TAYLEK",PR!$BH1029,IF(F1031="TEMITA",PR!$BI1029,IF(F1031="THL",PR!$BJ1029,IF(F1031="UBASTIC",PR!$BK1029,IF(F1031="UNION",PR!$BL1029,IF(F1031="UNIQUE",PR!$BM1029,IF(F1031="VIXA",PR!$BN1029,IF(F1031="WWCV",PR!$BO1029,IF(F1031="ZOLON",PR!$BP1029,"-"))))))))))))))))))))))))))))))))))))))))))))))))))))))))))))))))</f>
        <v>20000</v>
      </c>
      <c r="F1031" s="102" t="str">
        <f>EV!L1311</f>
        <v>UBASTIC</v>
      </c>
      <c r="G1031" s="108">
        <f>IF(H1031="ALPHA",PR!$E1029,IF(H1031="ASSENE",PR!$F1029,IF(H1031="BIOFEM",PR!$G1029,IF(H1031="BIOMED",PR!$H1029,IF(H1031="CHI",PR!$I1029,IF(H1031="CLARION",PR!$J1029,IF(H1031="CODIX",PR!$K1029,IF(H1031="COSMADE",PR!$L1029,IF(H1031="SANCON",PR!$M1029,IF(H1031="DEVON",PR!$N1029,IF(H1031="DORTEMAG",PR!$O1029,IF(H1031="DGF",PR!$P1029,IF(H1031="DYNAMIC",PR!$Q1029,IF(H1031="EMZOR",PR!$R1029,IF(H1031="EUMATT",PR!$S1029,IF(H1031="FIDSON",PR!$T1029,IF(H1031="FCGLOBAL",PR!$U1029,IF(H1031="GENEITH",PR!$V1029,IF(H1031="GINOS",PR!$W1029,IF(H1031="GSK",PR!$X1029,IF(H1031="GLOBORG",PR!$Y1029,IF(H1031="GOODNEWS",PR!$Z1029,IF(H1031="GREENLIFE",PR!$AA1029,IF(H1031="HLINE",PR!$AB1029,IF(H1031="ROTECH",PR!$AC1029,IF(H1031="ISN",PR!$AD1029,IF(H1031="JAWA",PR!$AE1029,IF(H1031="LAYO",PR!$AF1029,IF(H1031="LEADWAY",PR!$AG1029,IF(H1031="LHV",PR!$AH1029,IF(H1031="MANOLA",PR!$AI1029,IF(H1031="MARCSON",PR!$AJ1029,IF(H1031="M&amp;B",PR!$AK1029,IF(H1031="MTRUST",PR!$AL1029,IF(H1031="MWORLD",PR!$AM1029,IF(H1031="MEGA",PR!$AN1029,IF(H1031="MICRONOVA",PR!$AO1029,IF(H1031="MFLASH",PR!$AP1029,IF(H1031="MORISON",PR!$AQ1029,IF(H1031="NEMEL",PR!$AR1029,IF(H1031="NHP",PR!$AS1029,IF(H1031="NHC",PR!$AT1029,IF(H1031="OLEAF",PR!$AU1029,IF(H1031="OCULUS",PR!$AV1029,IF(H1031="PACIFIC",PR!$AW1029,IF(H1031="PHAMATEX",PR!$AX1029,IF(H1031="PETHICS",PR!$AY1029,IF(H1031="PHILIPS",PR!$AZ1029,IF(H1031="RANBAXY",PR!$BA1029,IF(H1031="REALS",PR!$BB1029,IF(H1031="ROYAL",PR!$BC1029,IF(H1031="SAM",PR!$BD1029,IF(H1031="SEAGREEN",PR!$BE1029,IF(H1031="SKG",PR!$BF1029,IF(H1031="TAH",PR!$BG1029,IF(H1031="TAYLEK",PR!$BH1029,IF(H1031="TEMITA",PR!$BI1029,IF(H1031="THL",PR!$BJ1029,IF(H1031="UBASTIC",PR!$BK1029,IF(H1031="UNION",PR!$BL1029,IF(H1031="UNIQUE",PR!$BM1029,IF(H1031="VIXA",PR!$BN1029,IF(H1031="WWCV",PR!$BO1029,IF(H1031="ZOLON",PR!$BP1029,"-"))))))))))))))))))))))))))))))))))))))))))))))))))))))))))))))))</f>
        <v>22610</v>
      </c>
      <c r="H1031" s="102" t="str">
        <f>EV!M1311</f>
        <v>DYNAMIC</v>
      </c>
      <c r="I1031" s="108">
        <f>IF(J1031="ALPHA",PR!$E1029,IF(J1031="ASSENE",PR!$F1029,IF(J1031="BIOFEM",PR!$G1029,IF(J1031="BIOMED",PR!$H1029,IF(J1031="CHI",PR!$I1029,IF(J1031="CLARION",PR!$J1029,IF(J1031="CODIX",PR!$K1029,IF(J1031="COSMADE",PR!$L1029,IF(J1031="SANCON",PR!$M1029,IF(J1031="DEVON",PR!$N1029,IF(J1031="DORTEMAG",PR!$O1029,IF(J1031="DGF",PR!$P1029,IF(J1031="DYNAMIC",PR!$Q1029,IF(J1031="EMZOR",PR!$R1029,IF(J1031="EUMATT",PR!$S1029,IF(J1031="FIDSON",PR!$T1029,IF(J1031="FCGLOBAL",PR!$U1029,IF(J1031="GENEITH",PR!$V1029,IF(J1031="GINOS",PR!$W1029,IF(J1031="GSK",PR!$X1029,IF(J1031="GLOBORG",PR!$Y1029,IF(J1031="GOODNEWS",PR!$Z1029,IF(J1031="GREENLIFE",PR!$AA1029,IF(J1031="HLINE",PR!$AB1029,IF(J1031="ROTECH",PR!$AC1029,IF(J1031="ISN",PR!$AD1029,IF(J1031="JAWA",PR!$AE1029,IF(J1031="LAYO",PR!$AF1029,IF(J1031="LEADWAY",PR!$AG1029,IF(J1031="LHV",PR!$AH1029,IF(J1031="MANOLA",PR!$AI1029,IF(J1031="MARCSON",PR!$AJ1029,IF(J1031="M&amp;B",PR!$AK1029,IF(J1031="MTRUST",PR!$AL1029,IF(J1031="MWORLD",PR!$AM1029,IF(J1031="MEGA",PR!$AN1029,IF(J1031="MICRONOVA",PR!$AO1029,IF(J1031="MFLASH",PR!$AP1029,IF(J1031="MORISON",PR!$AQ1029,IF(J1031="NEMEL",PR!$AR1029,IF(J1031="NHP",PR!$AS1029,IF(J1031="NHC",PR!$AT1029,IF(J1031="OLEAF",PR!$AU1029,IF(J1031="OCULUS",PR!$AV1029,IF(J1031="PACIFIC",PR!$AW1029,IF(J1031="PHAMATEX",PR!$AX1029,IF(J1031="PETHICS",PR!$AY1029,IF(J1031="PHILIPS",PR!$AZ1029,IF(J1031="RANBAXY",PR!$BA1029,IF(J1031="REALS",PR!$BB1029,IF(J1031="ROYAL",PR!$BC1029,IF(J1031="SAM",PR!$BD1029,IF(J1031="SEAGREEN",PR!$BE1029,IF(J1031="SKG",PR!$BF1029,IF(J1031="TAH",PR!$BG1029,IF(J1031="TAYLEK",PR!$BH1029,IF(J1031="TEMITA",PR!$BI1029,IF(J1031="THL",PR!$BJ1029,IF(J1031="UBASTIC",PR!$BK1029,IF(J1031="UNION",PR!$BL1029,IF(J1031="UNIQUE",PR!$BM1029,IF(J1031="VIXA",PR!$BN1029,IF(J1031="WWCV",PR!$BO1029,IF(J1031="ZOLON",PR!$BP1029,"-"))))))))))))))))))))))))))))))))))))))))))))))))))))))))))))))))</f>
        <v>26250</v>
      </c>
      <c r="J1031" s="102" t="str">
        <f>EV!N1311</f>
        <v>TEMITA</v>
      </c>
      <c r="K1031" s="433" t="s">
        <v>1459</v>
      </c>
      <c r="L1031" s="183">
        <f>IF(K1031&gt;0,IF(K1031="ALPHA",PR!$E1029,IF(K1031="ASSENE",PR!$F1029,IF(K1031="BIOFEM",PR!$G1029,IF(K1031="BIOMED",PR!$H1029,IF(K1031="CHI",PR!$I1029,IF(K1031="CLARION",PR!$J1029,IF(K1031="CODIX",PR!$K1029,IF(K1031="COSMADE",PR!$L1029,IF(K1031="SANCON",PR!$M1029,IF(K1031="DEVON",PR!$N1029,IF(K1031="DORTEMAG",PR!$O1029,IF(K1031="DGF",PR!$P1029,IF(K1031="DYNAMIC",PR!$Q1029,IF(K1031="EMZOR",PR!$R1029,IF(K1031="EUMATT",PR!$S1029,IF(K1031="FIDSON",PR!$T1029,IF(K1031="FCGLOBAL",PR!$U1029,IF(K1031="GENEITH",PR!$V1029,IF(K1031="GINOS",PR!$W1029,IF(K1031="GSK",PR!$X1029,IF(K1031="GLOBORG",PR!$Y1029,IF(K1031="GOODNEWS",PR!$Z1029,IF(K1031="GREENLIFE",PR!$AA1029,IF(K1031="HLINE",PR!$AB1029,IF(K1031="ROTECH",PR!$AC1029,IF(K1031="ISN",PR!$AD1029,IF(K1031="JAWA",PR!$AE1029,IF(K1031="LAYO",PR!$AF1029,IF(K1031="LEADWAY",PR!$AG1029,IF(K1031="LHV",PR!$AH1029,IF(K1031="MANOLA",PR!$AI1029,IF(K1031="MARCSON",PR!$AJ1029,IF(K1031="M&amp;B",PR!$AK1029,IF(K1031="MTRUST",PR!$AL1029,IF(K1031="MWORLD",PR!$AM1029,IF(K1031="MEGA",PR!$AN1029,IF(K1031="MICRONOVA",PR!$AO1029,IF(K1031="MFLASH",PR!$AP1029,IF(K1031="MORISON",PR!$AQ1029,IF(K1031="NEMEL",PR!$AR1029,IF(K1031="NHP",PR!$AS1029,IF(K1031="NHC",PR!$AT1029,IF(K1031="OLEAF",PR!$AU1029,IF(K1031="OCULUS",PR!$AV1029,IF(K1031="PACIFIC",PR!$AW1029,IF(K1031="PHAMATEX",PR!$AX1029,IF(K1031="PETHICS",PR!$AY1029,IF(K1031="PHILIPS",PR!$AZ1029,IF(K1031="RANBAXY",PR!$BA1029,IF(K1031="REALS",PR!$BB1029,IF(K1031="ROYAL",PR!$BC1029,IF(K1031="SAM",PR!$BD1029,IF(K1031="SEAGREEN",PR!$BE1029,IF(K1031="SKG",PR!$BF1029,IF(K1031="TAH",PR!$BG1029,IF(K1031="TAYLEK",PR!$BH1029,IF(K1031="TEMITA",PR!$BI1029,IF(K1031="THL",PR!$BJ1029,IF(K1031="UBASTIC",PR!$BK1029,IF(K1031="UNION",PR!$BL1029,IF(K1031="UNIQUE",PR!$BM1029,IF(K1031="VIXA",PR!$BN1029,IF(K1031="WWCV",PR!$BO1029,IF(K1031="ZOLON",PR!$BP1029,"-")))))))))))))))))))))))))))))))))))))))))))))))))))))))))))))))))</f>
        <v>20000</v>
      </c>
    </row>
    <row r="1032" spans="1:12" ht="18.75" x14ac:dyDescent="0.3">
      <c r="A1032" s="430">
        <f>PR!A1030</f>
        <v>928</v>
      </c>
      <c r="B1032" s="15" t="str">
        <f>PR!B1030</f>
        <v>IODINE CRYSTALS</v>
      </c>
      <c r="C1032" s="113" t="str">
        <f>PR!D1030</f>
        <v>1 bottle of 500g</v>
      </c>
      <c r="D1032" s="113">
        <f>PR!C1030</f>
        <v>4</v>
      </c>
      <c r="E1032" s="108">
        <f>IF(F1032="ALPHA",PR!$E1030,IF(F1032="ASSENE",PR!$F1030,IF(F1032="BIOFEM",PR!$G1030,IF(F1032="BIOMED",PR!$H1030,IF(F1032="CHI",PR!$I1030,IF(F1032="CLARION",PR!$J1030,IF(F1032="CODIX",PR!$K1030,IF(F1032="COSMADE",PR!$L1030,IF(F1032="SANCON",PR!$M1030,IF(F1032="DEVON",PR!$N1030,IF(F1032="DORTEMAG",PR!$O1030,IF(F1032="DGF",PR!$P1030,IF(F1032="DYNAMIC",PR!$Q1030,IF(F1032="EMZOR",PR!$R1030,IF(F1032="EUMATT",PR!$S1030,IF(F1032="FIDSON",PR!$T1030,IF(F1032="FCGLOBAL",PR!$U1030,IF(F1032="GENEITH",PR!$V1030,IF(F1032="GINOS",PR!$W1030,IF(F1032="GSK",PR!$X1030,IF(F1032="GLOBORG",PR!$Y1030,IF(F1032="GOODNEWS",PR!$Z1030,IF(F1032="GREENLIFE",PR!$AA1030,IF(F1032="HLINE",PR!$AB1030,IF(F1032="ROTECH",PR!$AC1030,IF(F1032="ISN",PR!$AD1030,IF(F1032="JAWA",PR!$AE1030,IF(F1032="LAYO",PR!$AF1030,IF(F1032="LEADWAY",PR!$AG1030,IF(F1032="LHV",PR!$AH1030,IF(F1032="MANOLA",PR!$AI1030,IF(F1032="MARCSON",PR!$AJ1030,IF(F1032="M&amp;B",PR!$AK1030,IF(F1032="MTRUST",PR!$AL1030,IF(F1032="MWORLD",PR!$AM1030,IF(F1032="MEGA",PR!$AN1030,IF(F1032="MICRONOVA",PR!$AO1030,IF(F1032="MFLASH",PR!$AP1030,IF(F1032="MORISON",PR!$AQ1030,IF(F1032="NEMEL",PR!$AR1030,IF(F1032="NHP",PR!$AS1030,IF(F1032="NHC",PR!$AT1030,IF(F1032="OLEAF",PR!$AU1030,IF(F1032="OCULUS",PR!$AV1030,IF(F1032="PACIFIC",PR!$AW1030,IF(F1032="PHAMATEX",PR!$AX1030,IF(F1032="PETHICS",PR!$AY1030,IF(F1032="PHILIPS",PR!$AZ1030,IF(F1032="RANBAXY",PR!$BA1030,IF(F1032="REALS",PR!$BB1030,IF(F1032="ROYAL",PR!$BC1030,IF(F1032="SAM",PR!$BD1030,IF(F1032="SEAGREEN",PR!$BE1030,IF(F1032="SKG",PR!$BF1030,IF(F1032="TAH",PR!$BG1030,IF(F1032="TAYLEK",PR!$BH1030,IF(F1032="TEMITA",PR!$BI1030,IF(F1032="THL",PR!$BJ1030,IF(F1032="UBASTIC",PR!$BK1030,IF(F1032="UNION",PR!$BL1030,IF(F1032="UNIQUE",PR!$BM1030,IF(F1032="VIXA",PR!$BN1030,IF(F1032="WWCV",PR!$BO1030,IF(F1032="ZOLON",PR!$BP1030,"-"))))))))))))))))))))))))))))))))))))))))))))))))))))))))))))))))</f>
        <v>12480</v>
      </c>
      <c r="F1032" s="102" t="str">
        <f>EV!L1312</f>
        <v>LAYO</v>
      </c>
      <c r="G1032" s="108">
        <f>IF(H1032="ALPHA",PR!$E1030,IF(H1032="ASSENE",PR!$F1030,IF(H1032="BIOFEM",PR!$G1030,IF(H1032="BIOMED",PR!$H1030,IF(H1032="CHI",PR!$I1030,IF(H1032="CLARION",PR!$J1030,IF(H1032="CODIX",PR!$K1030,IF(H1032="COSMADE",PR!$L1030,IF(H1032="SANCON",PR!$M1030,IF(H1032="DEVON",PR!$N1030,IF(H1032="DORTEMAG",PR!$O1030,IF(H1032="DGF",PR!$P1030,IF(H1032="DYNAMIC",PR!$Q1030,IF(H1032="EMZOR",PR!$R1030,IF(H1032="EUMATT",PR!$S1030,IF(H1032="FIDSON",PR!$T1030,IF(H1032="FCGLOBAL",PR!$U1030,IF(H1032="GENEITH",PR!$V1030,IF(H1032="GINOS",PR!$W1030,IF(H1032="GSK",PR!$X1030,IF(H1032="GLOBORG",PR!$Y1030,IF(H1032="GOODNEWS",PR!$Z1030,IF(H1032="GREENLIFE",PR!$AA1030,IF(H1032="HLINE",PR!$AB1030,IF(H1032="ROTECH",PR!$AC1030,IF(H1032="ISN",PR!$AD1030,IF(H1032="JAWA",PR!$AE1030,IF(H1032="LAYO",PR!$AF1030,IF(H1032="LEADWAY",PR!$AG1030,IF(H1032="LHV",PR!$AH1030,IF(H1032="MANOLA",PR!$AI1030,IF(H1032="MARCSON",PR!$AJ1030,IF(H1032="M&amp;B",PR!$AK1030,IF(H1032="MTRUST",PR!$AL1030,IF(H1032="MWORLD",PR!$AM1030,IF(H1032="MEGA",PR!$AN1030,IF(H1032="MICRONOVA",PR!$AO1030,IF(H1032="MFLASH",PR!$AP1030,IF(H1032="MORISON",PR!$AQ1030,IF(H1032="NEMEL",PR!$AR1030,IF(H1032="NHP",PR!$AS1030,IF(H1032="NHC",PR!$AT1030,IF(H1032="OLEAF",PR!$AU1030,IF(H1032="OCULUS",PR!$AV1030,IF(H1032="PACIFIC",PR!$AW1030,IF(H1032="PHAMATEX",PR!$AX1030,IF(H1032="PETHICS",PR!$AY1030,IF(H1032="PHILIPS",PR!$AZ1030,IF(H1032="RANBAXY",PR!$BA1030,IF(H1032="REALS",PR!$BB1030,IF(H1032="ROYAL",PR!$BC1030,IF(H1032="SAM",PR!$BD1030,IF(H1032="SEAGREEN",PR!$BE1030,IF(H1032="SKG",PR!$BF1030,IF(H1032="TAH",PR!$BG1030,IF(H1032="TAYLEK",PR!$BH1030,IF(H1032="TEMITA",PR!$BI1030,IF(H1032="THL",PR!$BJ1030,IF(H1032="UBASTIC",PR!$BK1030,IF(H1032="UNION",PR!$BL1030,IF(H1032="UNIQUE",PR!$BM1030,IF(H1032="VIXA",PR!$BN1030,IF(H1032="WWCV",PR!$BO1030,IF(H1032="ZOLON",PR!$BP1030,"-"))))))))))))))))))))))))))))))))))))))))))))))))))))))))))))))))</f>
        <v>13965</v>
      </c>
      <c r="H1032" s="102" t="str">
        <f>EV!M1312</f>
        <v>DYNAMIC</v>
      </c>
      <c r="I1032" s="108">
        <f>IF(J1032="ALPHA",PR!$E1030,IF(J1032="ASSENE",PR!$F1030,IF(J1032="BIOFEM",PR!$G1030,IF(J1032="BIOMED",PR!$H1030,IF(J1032="CHI",PR!$I1030,IF(J1032="CLARION",PR!$J1030,IF(J1032="CODIX",PR!$K1030,IF(J1032="COSMADE",PR!$L1030,IF(J1032="SANCON",PR!$M1030,IF(J1032="DEVON",PR!$N1030,IF(J1032="DORTEMAG",PR!$O1030,IF(J1032="DGF",PR!$P1030,IF(J1032="DYNAMIC",PR!$Q1030,IF(J1032="EMZOR",PR!$R1030,IF(J1032="EUMATT",PR!$S1030,IF(J1032="FIDSON",PR!$T1030,IF(J1032="FCGLOBAL",PR!$U1030,IF(J1032="GENEITH",PR!$V1030,IF(J1032="GINOS",PR!$W1030,IF(J1032="GSK",PR!$X1030,IF(J1032="GLOBORG",PR!$Y1030,IF(J1032="GOODNEWS",PR!$Z1030,IF(J1032="GREENLIFE",PR!$AA1030,IF(J1032="HLINE",PR!$AB1030,IF(J1032="ROTECH",PR!$AC1030,IF(J1032="ISN",PR!$AD1030,IF(J1032="JAWA",PR!$AE1030,IF(J1032="LAYO",PR!$AF1030,IF(J1032="LEADWAY",PR!$AG1030,IF(J1032="LHV",PR!$AH1030,IF(J1032="MANOLA",PR!$AI1030,IF(J1032="MARCSON",PR!$AJ1030,IF(J1032="M&amp;B",PR!$AK1030,IF(J1032="MTRUST",PR!$AL1030,IF(J1032="MWORLD",PR!$AM1030,IF(J1032="MEGA",PR!$AN1030,IF(J1032="MICRONOVA",PR!$AO1030,IF(J1032="MFLASH",PR!$AP1030,IF(J1032="MORISON",PR!$AQ1030,IF(J1032="NEMEL",PR!$AR1030,IF(J1032="NHP",PR!$AS1030,IF(J1032="NHC",PR!$AT1030,IF(J1032="OLEAF",PR!$AU1030,IF(J1032="OCULUS",PR!$AV1030,IF(J1032="PACIFIC",PR!$AW1030,IF(J1032="PHAMATEX",PR!$AX1030,IF(J1032="PETHICS",PR!$AY1030,IF(J1032="PHILIPS",PR!$AZ1030,IF(J1032="RANBAXY",PR!$BA1030,IF(J1032="REALS",PR!$BB1030,IF(J1032="ROYAL",PR!$BC1030,IF(J1032="SAM",PR!$BD1030,IF(J1032="SEAGREEN",PR!$BE1030,IF(J1032="SKG",PR!$BF1030,IF(J1032="TAH",PR!$BG1030,IF(J1032="TAYLEK",PR!$BH1030,IF(J1032="TEMITA",PR!$BI1030,IF(J1032="THL",PR!$BJ1030,IF(J1032="UBASTIC",PR!$BK1030,IF(J1032="UNION",PR!$BL1030,IF(J1032="UNIQUE",PR!$BM1030,IF(J1032="VIXA",PR!$BN1030,IF(J1032="WWCV",PR!$BO1030,IF(J1032="ZOLON",PR!$BP1030,"-"))))))))))))))))))))))))))))))))))))))))))))))))))))))))))))))))</f>
        <v>14500</v>
      </c>
      <c r="J1032" s="102" t="str">
        <f>EV!N1312</f>
        <v>TEMITA</v>
      </c>
      <c r="K1032" s="433" t="s">
        <v>1461</v>
      </c>
      <c r="L1032" s="183">
        <f>IF(K1032&gt;0,IF(K1032="ALPHA",PR!$E1030,IF(K1032="ASSENE",PR!$F1030,IF(K1032="BIOFEM",PR!$G1030,IF(K1032="BIOMED",PR!$H1030,IF(K1032="CHI",PR!$I1030,IF(K1032="CLARION",PR!$J1030,IF(K1032="CODIX",PR!$K1030,IF(K1032="COSMADE",PR!$L1030,IF(K1032="SANCON",PR!$M1030,IF(K1032="DEVON",PR!$N1030,IF(K1032="DORTEMAG",PR!$O1030,IF(K1032="DGF",PR!$P1030,IF(K1032="DYNAMIC",PR!$Q1030,IF(K1032="EMZOR",PR!$R1030,IF(K1032="EUMATT",PR!$S1030,IF(K1032="FIDSON",PR!$T1030,IF(K1032="FCGLOBAL",PR!$U1030,IF(K1032="GENEITH",PR!$V1030,IF(K1032="GINOS",PR!$W1030,IF(K1032="GSK",PR!$X1030,IF(K1032="GLOBORG",PR!$Y1030,IF(K1032="GOODNEWS",PR!$Z1030,IF(K1032="GREENLIFE",PR!$AA1030,IF(K1032="HLINE",PR!$AB1030,IF(K1032="ROTECH",PR!$AC1030,IF(K1032="ISN",PR!$AD1030,IF(K1032="JAWA",PR!$AE1030,IF(K1032="LAYO",PR!$AF1030,IF(K1032="LEADWAY",PR!$AG1030,IF(K1032="LHV",PR!$AH1030,IF(K1032="MANOLA",PR!$AI1030,IF(K1032="MARCSON",PR!$AJ1030,IF(K1032="M&amp;B",PR!$AK1030,IF(K1032="MTRUST",PR!$AL1030,IF(K1032="MWORLD",PR!$AM1030,IF(K1032="MEGA",PR!$AN1030,IF(K1032="MICRONOVA",PR!$AO1030,IF(K1032="MFLASH",PR!$AP1030,IF(K1032="MORISON",PR!$AQ1030,IF(K1032="NEMEL",PR!$AR1030,IF(K1032="NHP",PR!$AS1030,IF(K1032="NHC",PR!$AT1030,IF(K1032="OLEAF",PR!$AU1030,IF(K1032="OCULUS",PR!$AV1030,IF(K1032="PACIFIC",PR!$AW1030,IF(K1032="PHAMATEX",PR!$AX1030,IF(K1032="PETHICS",PR!$AY1030,IF(K1032="PHILIPS",PR!$AZ1030,IF(K1032="RANBAXY",PR!$BA1030,IF(K1032="REALS",PR!$BB1030,IF(K1032="ROYAL",PR!$BC1030,IF(K1032="SAM",PR!$BD1030,IF(K1032="SEAGREEN",PR!$BE1030,IF(K1032="SKG",PR!$BF1030,IF(K1032="TAH",PR!$BG1030,IF(K1032="TAYLEK",PR!$BH1030,IF(K1032="TEMITA",PR!$BI1030,IF(K1032="THL",PR!$BJ1030,IF(K1032="UBASTIC",PR!$BK1030,IF(K1032="UNION",PR!$BL1030,IF(K1032="UNIQUE",PR!$BM1030,IF(K1032="VIXA",PR!$BN1030,IF(K1032="WWCV",PR!$BO1030,IF(K1032="ZOLON",PR!$BP1030,"-")))))))))))))))))))))))))))))))))))))))))))))))))))))))))))))))))</f>
        <v>12480</v>
      </c>
    </row>
    <row r="1033" spans="1:12" ht="18.75" x14ac:dyDescent="0.3">
      <c r="A1033" s="430">
        <f>PR!A1031</f>
        <v>929</v>
      </c>
      <c r="B1033" s="15" t="str">
        <f>PR!B1031</f>
        <v>POTASSIUM IODINE</v>
      </c>
      <c r="C1033" s="113" t="str">
        <f>PR!D1031</f>
        <v>1 bottle of 1000</v>
      </c>
      <c r="D1033" s="113">
        <f>PR!C1031</f>
        <v>4</v>
      </c>
      <c r="E1033" s="108">
        <f>IF(F1033="ALPHA",PR!$E1031,IF(F1033="ASSENE",PR!$F1031,IF(F1033="BIOFEM",PR!$G1031,IF(F1033="BIOMED",PR!$H1031,IF(F1033="CHI",PR!$I1031,IF(F1033="CLARION",PR!$J1031,IF(F1033="CODIX",PR!$K1031,IF(F1033="COSMADE",PR!$L1031,IF(F1033="SANCON",PR!$M1031,IF(F1033="DEVON",PR!$N1031,IF(F1033="DORTEMAG",PR!$O1031,IF(F1033="DGF",PR!$P1031,IF(F1033="DYNAMIC",PR!$Q1031,IF(F1033="EMZOR",PR!$R1031,IF(F1033="EUMATT",PR!$S1031,IF(F1033="FIDSON",PR!$T1031,IF(F1033="FCGLOBAL",PR!$U1031,IF(F1033="GENEITH",PR!$V1031,IF(F1033="GINOS",PR!$W1031,IF(F1033="GSK",PR!$X1031,IF(F1033="GLOBORG",PR!$Y1031,IF(F1033="GOODNEWS",PR!$Z1031,IF(F1033="GREENLIFE",PR!$AA1031,IF(F1033="HLINE",PR!$AB1031,IF(F1033="ROTECH",PR!$AC1031,IF(F1033="ISN",PR!$AD1031,IF(F1033="JAWA",PR!$AE1031,IF(F1033="LAYO",PR!$AF1031,IF(F1033="LEADWAY",PR!$AG1031,IF(F1033="LHV",PR!$AH1031,IF(F1033="MANOLA",PR!$AI1031,IF(F1033="MARCSON",PR!$AJ1031,IF(F1033="M&amp;B",PR!$AK1031,IF(F1033="MTRUST",PR!$AL1031,IF(F1033="MWORLD",PR!$AM1031,IF(F1033="MEGA",PR!$AN1031,IF(F1033="MICRONOVA",PR!$AO1031,IF(F1033="MFLASH",PR!$AP1031,IF(F1033="MORISON",PR!$AQ1031,IF(F1033="NEMEL",PR!$AR1031,IF(F1033="NHP",PR!$AS1031,IF(F1033="NHC",PR!$AT1031,IF(F1033="OLEAF",PR!$AU1031,IF(F1033="OCULUS",PR!$AV1031,IF(F1033="PACIFIC",PR!$AW1031,IF(F1033="PHAMATEX",PR!$AX1031,IF(F1033="PETHICS",PR!$AY1031,IF(F1033="PHILIPS",PR!$AZ1031,IF(F1033="RANBAXY",PR!$BA1031,IF(F1033="REALS",PR!$BB1031,IF(F1033="ROYAL",PR!$BC1031,IF(F1033="SAM",PR!$BD1031,IF(F1033="SEAGREEN",PR!$BE1031,IF(F1033="SKG",PR!$BF1031,IF(F1033="TAH",PR!$BG1031,IF(F1033="TAYLEK",PR!$BH1031,IF(F1033="TEMITA",PR!$BI1031,IF(F1033="THL",PR!$BJ1031,IF(F1033="UBASTIC",PR!$BK1031,IF(F1033="UNION",PR!$BL1031,IF(F1033="UNIQUE",PR!$BM1031,IF(F1033="VIXA",PR!$BN1031,IF(F1033="WWCV",PR!$BO1031,IF(F1033="ZOLON",PR!$BP1031,"-"))))))))))))))))))))))))))))))))))))))))))))))))))))))))))))))))</f>
        <v>13000</v>
      </c>
      <c r="F1033" s="102" t="str">
        <f>EV!L1313</f>
        <v>TEMITA</v>
      </c>
      <c r="G1033" s="108">
        <f>IF(H1033="ALPHA",PR!$E1031,IF(H1033="ASSENE",PR!$F1031,IF(H1033="BIOFEM",PR!$G1031,IF(H1033="BIOMED",PR!$H1031,IF(H1033="CHI",PR!$I1031,IF(H1033="CLARION",PR!$J1031,IF(H1033="CODIX",PR!$K1031,IF(H1033="COSMADE",PR!$L1031,IF(H1033="SANCON",PR!$M1031,IF(H1033="DEVON",PR!$N1031,IF(H1033="DORTEMAG",PR!$O1031,IF(H1033="DGF",PR!$P1031,IF(H1033="DYNAMIC",PR!$Q1031,IF(H1033="EMZOR",PR!$R1031,IF(H1033="EUMATT",PR!$S1031,IF(H1033="FIDSON",PR!$T1031,IF(H1033="FCGLOBAL",PR!$U1031,IF(H1033="GENEITH",PR!$V1031,IF(H1033="GINOS",PR!$W1031,IF(H1033="GSK",PR!$X1031,IF(H1033="GLOBORG",PR!$Y1031,IF(H1033="GOODNEWS",PR!$Z1031,IF(H1033="GREENLIFE",PR!$AA1031,IF(H1033="HLINE",PR!$AB1031,IF(H1033="ROTECH",PR!$AC1031,IF(H1033="ISN",PR!$AD1031,IF(H1033="JAWA",PR!$AE1031,IF(H1033="LAYO",PR!$AF1031,IF(H1033="LEADWAY",PR!$AG1031,IF(H1033="LHV",PR!$AH1031,IF(H1033="MANOLA",PR!$AI1031,IF(H1033="MARCSON",PR!$AJ1031,IF(H1033="M&amp;B",PR!$AK1031,IF(H1033="MTRUST",PR!$AL1031,IF(H1033="MWORLD",PR!$AM1031,IF(H1033="MEGA",PR!$AN1031,IF(H1033="MICRONOVA",PR!$AO1031,IF(H1033="MFLASH",PR!$AP1031,IF(H1033="MORISON",PR!$AQ1031,IF(H1033="NEMEL",PR!$AR1031,IF(H1033="NHP",PR!$AS1031,IF(H1033="NHC",PR!$AT1031,IF(H1033="OLEAF",PR!$AU1031,IF(H1033="OCULUS",PR!$AV1031,IF(H1033="PACIFIC",PR!$AW1031,IF(H1033="PHAMATEX",PR!$AX1031,IF(H1033="PETHICS",PR!$AY1031,IF(H1033="PHILIPS",PR!$AZ1031,IF(H1033="RANBAXY",PR!$BA1031,IF(H1033="REALS",PR!$BB1031,IF(H1033="ROYAL",PR!$BC1031,IF(H1033="SAM",PR!$BD1031,IF(H1033="SEAGREEN",PR!$BE1031,IF(H1033="SKG",PR!$BF1031,IF(H1033="TAH",PR!$BG1031,IF(H1033="TAYLEK",PR!$BH1031,IF(H1033="TEMITA",PR!$BI1031,IF(H1033="THL",PR!$BJ1031,IF(H1033="UBASTIC",PR!$BK1031,IF(H1033="UNION",PR!$BL1031,IF(H1033="UNIQUE",PR!$BM1031,IF(H1033="VIXA",PR!$BN1031,IF(H1033="WWCV",PR!$BO1031,IF(H1033="ZOLON",PR!$BP1031,"-"))))))))))))))))))))))))))))))))))))))))))))))))))))))))))))))))</f>
        <v>13965</v>
      </c>
      <c r="H1033" s="102" t="str">
        <f>EV!M1313</f>
        <v>DYNAMIC</v>
      </c>
      <c r="I1033" s="108">
        <f>IF(J1033="ALPHA",PR!$E1031,IF(J1033="ASSENE",PR!$F1031,IF(J1033="BIOFEM",PR!$G1031,IF(J1033="BIOMED",PR!$H1031,IF(J1033="CHI",PR!$I1031,IF(J1033="CLARION",PR!$J1031,IF(J1033="CODIX",PR!$K1031,IF(J1033="COSMADE",PR!$L1031,IF(J1033="SANCON",PR!$M1031,IF(J1033="DEVON",PR!$N1031,IF(J1033="DORTEMAG",PR!$O1031,IF(J1033="DGF",PR!$P1031,IF(J1033="DYNAMIC",PR!$Q1031,IF(J1033="EMZOR",PR!$R1031,IF(J1033="EUMATT",PR!$S1031,IF(J1033="FIDSON",PR!$T1031,IF(J1033="FCGLOBAL",PR!$U1031,IF(J1033="GENEITH",PR!$V1031,IF(J1033="GINOS",PR!$W1031,IF(J1033="GSK",PR!$X1031,IF(J1033="GLOBORG",PR!$Y1031,IF(J1033="GOODNEWS",PR!$Z1031,IF(J1033="GREENLIFE",PR!$AA1031,IF(J1033="HLINE",PR!$AB1031,IF(J1033="ROTECH",PR!$AC1031,IF(J1033="ISN",PR!$AD1031,IF(J1033="JAWA",PR!$AE1031,IF(J1033="LAYO",PR!$AF1031,IF(J1033="LEADWAY",PR!$AG1031,IF(J1033="LHV",PR!$AH1031,IF(J1033="MANOLA",PR!$AI1031,IF(J1033="MARCSON",PR!$AJ1031,IF(J1033="M&amp;B",PR!$AK1031,IF(J1033="MTRUST",PR!$AL1031,IF(J1033="MWORLD",PR!$AM1031,IF(J1033="MEGA",PR!$AN1031,IF(J1033="MICRONOVA",PR!$AO1031,IF(J1033="MFLASH",PR!$AP1031,IF(J1033="MORISON",PR!$AQ1031,IF(J1033="NEMEL",PR!$AR1031,IF(J1033="NHP",PR!$AS1031,IF(J1033="NHC",PR!$AT1031,IF(J1033="OLEAF",PR!$AU1031,IF(J1033="OCULUS",PR!$AV1031,IF(J1033="PACIFIC",PR!$AW1031,IF(J1033="PHAMATEX",PR!$AX1031,IF(J1033="PETHICS",PR!$AY1031,IF(J1033="PHILIPS",PR!$AZ1031,IF(J1033="RANBAXY",PR!$BA1031,IF(J1033="REALS",PR!$BB1031,IF(J1033="ROYAL",PR!$BC1031,IF(J1033="SAM",PR!$BD1031,IF(J1033="SEAGREEN",PR!$BE1031,IF(J1033="SKG",PR!$BF1031,IF(J1033="TAH",PR!$BG1031,IF(J1033="TAYLEK",PR!$BH1031,IF(J1033="TEMITA",PR!$BI1031,IF(J1033="THL",PR!$BJ1031,IF(J1033="UBASTIC",PR!$BK1031,IF(J1033="UNION",PR!$BL1031,IF(J1033="UNIQUE",PR!$BM1031,IF(J1033="VIXA",PR!$BN1031,IF(J1033="WWCV",PR!$BO1031,IF(J1033="ZOLON",PR!$BP1031,"-"))))))))))))))))))))))))))))))))))))))))))))))))))))))))))))))))</f>
        <v>14500</v>
      </c>
      <c r="J1033" s="102" t="str">
        <f>EV!N1313</f>
        <v>SANCON</v>
      </c>
      <c r="K1033" s="433" t="s">
        <v>1463</v>
      </c>
      <c r="L1033" s="183">
        <f>IF(K1033&gt;0,IF(K1033="ALPHA",PR!$E1031,IF(K1033="ASSENE",PR!$F1031,IF(K1033="BIOFEM",PR!$G1031,IF(K1033="BIOMED",PR!$H1031,IF(K1033="CHI",PR!$I1031,IF(K1033="CLARION",PR!$J1031,IF(K1033="CODIX",PR!$K1031,IF(K1033="COSMADE",PR!$L1031,IF(K1033="SANCON",PR!$M1031,IF(K1033="DEVON",PR!$N1031,IF(K1033="DORTEMAG",PR!$O1031,IF(K1033="DGF",PR!$P1031,IF(K1033="DYNAMIC",PR!$Q1031,IF(K1033="EMZOR",PR!$R1031,IF(K1033="EUMATT",PR!$S1031,IF(K1033="FIDSON",PR!$T1031,IF(K1033="FCGLOBAL",PR!$U1031,IF(K1033="GENEITH",PR!$V1031,IF(K1033="GINOS",PR!$W1031,IF(K1033="GSK",PR!$X1031,IF(K1033="GLOBORG",PR!$Y1031,IF(K1033="GOODNEWS",PR!$Z1031,IF(K1033="GREENLIFE",PR!$AA1031,IF(K1033="HLINE",PR!$AB1031,IF(K1033="ROTECH",PR!$AC1031,IF(K1033="ISN",PR!$AD1031,IF(K1033="JAWA",PR!$AE1031,IF(K1033="LAYO",PR!$AF1031,IF(K1033="LEADWAY",PR!$AG1031,IF(K1033="LHV",PR!$AH1031,IF(K1033="MANOLA",PR!$AI1031,IF(K1033="MARCSON",PR!$AJ1031,IF(K1033="M&amp;B",PR!$AK1031,IF(K1033="MTRUST",PR!$AL1031,IF(K1033="MWORLD",PR!$AM1031,IF(K1033="MEGA",PR!$AN1031,IF(K1033="MICRONOVA",PR!$AO1031,IF(K1033="MFLASH",PR!$AP1031,IF(K1033="MORISON",PR!$AQ1031,IF(K1033="NEMEL",PR!$AR1031,IF(K1033="NHP",PR!$AS1031,IF(K1033="NHC",PR!$AT1031,IF(K1033="OLEAF",PR!$AU1031,IF(K1033="OCULUS",PR!$AV1031,IF(K1033="PACIFIC",PR!$AW1031,IF(K1033="PHAMATEX",PR!$AX1031,IF(K1033="PETHICS",PR!$AY1031,IF(K1033="PHILIPS",PR!$AZ1031,IF(K1033="RANBAXY",PR!$BA1031,IF(K1033="REALS",PR!$BB1031,IF(K1033="ROYAL",PR!$BC1031,IF(K1033="SAM",PR!$BD1031,IF(K1033="SEAGREEN",PR!$BE1031,IF(K1033="SKG",PR!$BF1031,IF(K1033="TAH",PR!$BG1031,IF(K1033="TAYLEK",PR!$BH1031,IF(K1033="TEMITA",PR!$BI1031,IF(K1033="THL",PR!$BJ1031,IF(K1033="UBASTIC",PR!$BK1031,IF(K1033="UNION",PR!$BL1031,IF(K1033="UNIQUE",PR!$BM1031,IF(K1033="VIXA",PR!$BN1031,IF(K1033="WWCV",PR!$BO1031,IF(K1033="ZOLON",PR!$BP1031,"-")))))))))))))))))))))))))))))))))))))))))))))))))))))))))))))))))</f>
        <v>13000</v>
      </c>
    </row>
    <row r="1034" spans="1:12" ht="18.75" x14ac:dyDescent="0.3">
      <c r="A1034" s="430">
        <f>PR!A1032</f>
        <v>930</v>
      </c>
      <c r="B1034" s="15" t="str">
        <f>PR!B1032</f>
        <v>POTASSIUM HYDROXIDE 2L</v>
      </c>
      <c r="C1034" s="113" t="str">
        <f>PR!D1032</f>
        <v>1 bottle of (2L)</v>
      </c>
      <c r="D1034" s="113">
        <f>PR!C1032</f>
        <v>10</v>
      </c>
      <c r="E1034" s="108">
        <f>IF(F1034="ALPHA",PR!$E1032,IF(F1034="ASSENE",PR!$F1032,IF(F1034="BIOFEM",PR!$G1032,IF(F1034="BIOMED",PR!$H1032,IF(F1034="CHI",PR!$I1032,IF(F1034="CLARION",PR!$J1032,IF(F1034="CODIX",PR!$K1032,IF(F1034="COSMADE",PR!$L1032,IF(F1034="SANCON",PR!$M1032,IF(F1034="DEVON",PR!$N1032,IF(F1034="DORTEMAG",PR!$O1032,IF(F1034="DGF",PR!$P1032,IF(F1034="DYNAMIC",PR!$Q1032,IF(F1034="EMZOR",PR!$R1032,IF(F1034="EUMATT",PR!$S1032,IF(F1034="FIDSON",PR!$T1032,IF(F1034="FCGLOBAL",PR!$U1032,IF(F1034="GENEITH",PR!$V1032,IF(F1034="GINOS",PR!$W1032,IF(F1034="GSK",PR!$X1032,IF(F1034="GLOBORG",PR!$Y1032,IF(F1034="GOODNEWS",PR!$Z1032,IF(F1034="GREENLIFE",PR!$AA1032,IF(F1034="HLINE",PR!$AB1032,IF(F1034="ROTECH",PR!$AC1032,IF(F1034="ISN",PR!$AD1032,IF(F1034="JAWA",PR!$AE1032,IF(F1034="LAYO",PR!$AF1032,IF(F1034="LEADWAY",PR!$AG1032,IF(F1034="LHV",PR!$AH1032,IF(F1034="MANOLA",PR!$AI1032,IF(F1034="MARCSON",PR!$AJ1032,IF(F1034="M&amp;B",PR!$AK1032,IF(F1034="MTRUST",PR!$AL1032,IF(F1034="MWORLD",PR!$AM1032,IF(F1034="MEGA",PR!$AN1032,IF(F1034="MICRONOVA",PR!$AO1032,IF(F1034="MFLASH",PR!$AP1032,IF(F1034="MORISON",PR!$AQ1032,IF(F1034="NEMEL",PR!$AR1032,IF(F1034="NHP",PR!$AS1032,IF(F1034="NHC",PR!$AT1032,IF(F1034="OLEAF",PR!$AU1032,IF(F1034="OCULUS",PR!$AV1032,IF(F1034="PACIFIC",PR!$AW1032,IF(F1034="PHAMATEX",PR!$AX1032,IF(F1034="PETHICS",PR!$AY1032,IF(F1034="PHILIPS",PR!$AZ1032,IF(F1034="RANBAXY",PR!$BA1032,IF(F1034="REALS",PR!$BB1032,IF(F1034="ROYAL",PR!$BC1032,IF(F1034="SAM",PR!$BD1032,IF(F1034="SEAGREEN",PR!$BE1032,IF(F1034="SKG",PR!$BF1032,IF(F1034="TAH",PR!$BG1032,IF(F1034="TAYLEK",PR!$BH1032,IF(F1034="TEMITA",PR!$BI1032,IF(F1034="THL",PR!$BJ1032,IF(F1034="UBASTIC",PR!$BK1032,IF(F1034="UNION",PR!$BL1032,IF(F1034="UNIQUE",PR!$BM1032,IF(F1034="VIXA",PR!$BN1032,IF(F1034="WWCV",PR!$BO1032,IF(F1034="ZOLON",PR!$BP1032,"-"))))))))))))))))))))))))))))))))))))))))))))))))))))))))))))))))</f>
        <v>3800</v>
      </c>
      <c r="F1034" s="102" t="str">
        <f>EV!L1314</f>
        <v>SANCON</v>
      </c>
      <c r="G1034" s="108">
        <f>IF(H1034="ALPHA",PR!$E1032,IF(H1034="ASSENE",PR!$F1032,IF(H1034="BIOFEM",PR!$G1032,IF(H1034="BIOMED",PR!$H1032,IF(H1034="CHI",PR!$I1032,IF(H1034="CLARION",PR!$J1032,IF(H1034="CODIX",PR!$K1032,IF(H1034="COSMADE",PR!$L1032,IF(H1034="SANCON",PR!$M1032,IF(H1034="DEVON",PR!$N1032,IF(H1034="DORTEMAG",PR!$O1032,IF(H1034="DGF",PR!$P1032,IF(H1034="DYNAMIC",PR!$Q1032,IF(H1034="EMZOR",PR!$R1032,IF(H1034="EUMATT",PR!$S1032,IF(H1034="FIDSON",PR!$T1032,IF(H1034="FCGLOBAL",PR!$U1032,IF(H1034="GENEITH",PR!$V1032,IF(H1034="GINOS",PR!$W1032,IF(H1034="GSK",PR!$X1032,IF(H1034="GLOBORG",PR!$Y1032,IF(H1034="GOODNEWS",PR!$Z1032,IF(H1034="GREENLIFE",PR!$AA1032,IF(H1034="HLINE",PR!$AB1032,IF(H1034="ROTECH",PR!$AC1032,IF(H1034="ISN",PR!$AD1032,IF(H1034="JAWA",PR!$AE1032,IF(H1034="LAYO",PR!$AF1032,IF(H1034="LEADWAY",PR!$AG1032,IF(H1034="LHV",PR!$AH1032,IF(H1034="MANOLA",PR!$AI1032,IF(H1034="MARCSON",PR!$AJ1032,IF(H1034="M&amp;B",PR!$AK1032,IF(H1034="MTRUST",PR!$AL1032,IF(H1034="MWORLD",PR!$AM1032,IF(H1034="MEGA",PR!$AN1032,IF(H1034="MICRONOVA",PR!$AO1032,IF(H1034="MFLASH",PR!$AP1032,IF(H1034="MORISON",PR!$AQ1032,IF(H1034="NEMEL",PR!$AR1032,IF(H1034="NHP",PR!$AS1032,IF(H1034="NHC",PR!$AT1032,IF(H1034="OLEAF",PR!$AU1032,IF(H1034="OCULUS",PR!$AV1032,IF(H1034="PACIFIC",PR!$AW1032,IF(H1034="PHAMATEX",PR!$AX1032,IF(H1034="PETHICS",PR!$AY1032,IF(H1034="PHILIPS",PR!$AZ1032,IF(H1034="RANBAXY",PR!$BA1032,IF(H1034="REALS",PR!$BB1032,IF(H1034="ROYAL",PR!$BC1032,IF(H1034="SAM",PR!$BD1032,IF(H1034="SEAGREEN",PR!$BE1032,IF(H1034="SKG",PR!$BF1032,IF(H1034="TAH",PR!$BG1032,IF(H1034="TAYLEK",PR!$BH1032,IF(H1034="TEMITA",PR!$BI1032,IF(H1034="THL",PR!$BJ1032,IF(H1034="UBASTIC",PR!$BK1032,IF(H1034="UNION",PR!$BL1032,IF(H1034="UNIQUE",PR!$BM1032,IF(H1034="VIXA",PR!$BN1032,IF(H1034="WWCV",PR!$BO1032,IF(H1034="ZOLON",PR!$BP1032,"-"))))))))))))))))))))))))))))))))))))))))))))))))))))))))))))))))</f>
        <v>3800</v>
      </c>
      <c r="H1034" s="102" t="str">
        <f>EV!M1314</f>
        <v>TEMITA</v>
      </c>
      <c r="I1034" s="108">
        <f>IF(J1034="ALPHA",PR!$E1032,IF(J1034="ASSENE",PR!$F1032,IF(J1034="BIOFEM",PR!$G1032,IF(J1034="BIOMED",PR!$H1032,IF(J1034="CHI",PR!$I1032,IF(J1034="CLARION",PR!$J1032,IF(J1034="CODIX",PR!$K1032,IF(J1034="COSMADE",PR!$L1032,IF(J1034="SANCON",PR!$M1032,IF(J1034="DEVON",PR!$N1032,IF(J1034="DORTEMAG",PR!$O1032,IF(J1034="DGF",PR!$P1032,IF(J1034="DYNAMIC",PR!$Q1032,IF(J1034="EMZOR",PR!$R1032,IF(J1034="EUMATT",PR!$S1032,IF(J1034="FIDSON",PR!$T1032,IF(J1034="FCGLOBAL",PR!$U1032,IF(J1034="GENEITH",PR!$V1032,IF(J1034="GINOS",PR!$W1032,IF(J1034="GSK",PR!$X1032,IF(J1034="GLOBORG",PR!$Y1032,IF(J1034="GOODNEWS",PR!$Z1032,IF(J1034="GREENLIFE",PR!$AA1032,IF(J1034="HLINE",PR!$AB1032,IF(J1034="ROTECH",PR!$AC1032,IF(J1034="ISN",PR!$AD1032,IF(J1034="JAWA",PR!$AE1032,IF(J1034="LAYO",PR!$AF1032,IF(J1034="LEADWAY",PR!$AG1032,IF(J1034="LHV",PR!$AH1032,IF(J1034="MANOLA",PR!$AI1032,IF(J1034="MARCSON",PR!$AJ1032,IF(J1034="M&amp;B",PR!$AK1032,IF(J1034="MTRUST",PR!$AL1032,IF(J1034="MWORLD",PR!$AM1032,IF(J1034="MEGA",PR!$AN1032,IF(J1034="MICRONOVA",PR!$AO1032,IF(J1034="MFLASH",PR!$AP1032,IF(J1034="MORISON",PR!$AQ1032,IF(J1034="NEMEL",PR!$AR1032,IF(J1034="NHP",PR!$AS1032,IF(J1034="NHC",PR!$AT1032,IF(J1034="OLEAF",PR!$AU1032,IF(J1034="OCULUS",PR!$AV1032,IF(J1034="PACIFIC",PR!$AW1032,IF(J1034="PHAMATEX",PR!$AX1032,IF(J1034="PETHICS",PR!$AY1032,IF(J1034="PHILIPS",PR!$AZ1032,IF(J1034="RANBAXY",PR!$BA1032,IF(J1034="REALS",PR!$BB1032,IF(J1034="ROYAL",PR!$BC1032,IF(J1034="SAM",PR!$BD1032,IF(J1034="SEAGREEN",PR!$BE1032,IF(J1034="SKG",PR!$BF1032,IF(J1034="TAH",PR!$BG1032,IF(J1034="TAYLEK",PR!$BH1032,IF(J1034="TEMITA",PR!$BI1032,IF(J1034="THL",PR!$BJ1032,IF(J1034="UBASTIC",PR!$BK1032,IF(J1034="UNION",PR!$BL1032,IF(J1034="UNIQUE",PR!$BM1032,IF(J1034="VIXA",PR!$BN1032,IF(J1034="WWCV",PR!$BO1032,IF(J1034="ZOLON",PR!$BP1032,"-"))))))))))))))))))))))))))))))))))))))))))))))))))))))))))))))))</f>
        <v>11050</v>
      </c>
      <c r="J1034" s="102" t="str">
        <f>EV!N1314</f>
        <v>LAYO</v>
      </c>
      <c r="K1034" s="433" t="s">
        <v>817</v>
      </c>
      <c r="L1034" s="183">
        <f>IF(K1034&gt;0,IF(K1034="ALPHA",PR!$E1032,IF(K1034="ASSENE",PR!$F1032,IF(K1034="BIOFEM",PR!$G1032,IF(K1034="BIOMED",PR!$H1032,IF(K1034="CHI",PR!$I1032,IF(K1034="CLARION",PR!$J1032,IF(K1034="CODIX",PR!$K1032,IF(K1034="COSMADE",PR!$L1032,IF(K1034="SANCON",PR!$M1032,IF(K1034="DEVON",PR!$N1032,IF(K1034="DORTEMAG",PR!$O1032,IF(K1034="DGF",PR!$P1032,IF(K1034="DYNAMIC",PR!$Q1032,IF(K1034="EMZOR",PR!$R1032,IF(K1034="EUMATT",PR!$S1032,IF(K1034="FIDSON",PR!$T1032,IF(K1034="FCGLOBAL",PR!$U1032,IF(K1034="GENEITH",PR!$V1032,IF(K1034="GINOS",PR!$W1032,IF(K1034="GSK",PR!$X1032,IF(K1034="GLOBORG",PR!$Y1032,IF(K1034="GOODNEWS",PR!$Z1032,IF(K1034="GREENLIFE",PR!$AA1032,IF(K1034="HLINE",PR!$AB1032,IF(K1034="ROTECH",PR!$AC1032,IF(K1034="ISN",PR!$AD1032,IF(K1034="JAWA",PR!$AE1032,IF(K1034="LAYO",PR!$AF1032,IF(K1034="LEADWAY",PR!$AG1032,IF(K1034="LHV",PR!$AH1032,IF(K1034="MANOLA",PR!$AI1032,IF(K1034="MARCSON",PR!$AJ1032,IF(K1034="M&amp;B",PR!$AK1032,IF(K1034="MTRUST",PR!$AL1032,IF(K1034="MWORLD",PR!$AM1032,IF(K1034="MEGA",PR!$AN1032,IF(K1034="MICRONOVA",PR!$AO1032,IF(K1034="MFLASH",PR!$AP1032,IF(K1034="MORISON",PR!$AQ1032,IF(K1034="NEMEL",PR!$AR1032,IF(K1034="NHP",PR!$AS1032,IF(K1034="NHC",PR!$AT1032,IF(K1034="OLEAF",PR!$AU1032,IF(K1034="OCULUS",PR!$AV1032,IF(K1034="PACIFIC",PR!$AW1032,IF(K1034="PHAMATEX",PR!$AX1032,IF(K1034="PETHICS",PR!$AY1032,IF(K1034="PHILIPS",PR!$AZ1032,IF(K1034="RANBAXY",PR!$BA1032,IF(K1034="REALS",PR!$BB1032,IF(K1034="ROYAL",PR!$BC1032,IF(K1034="SAM",PR!$BD1032,IF(K1034="SEAGREEN",PR!$BE1032,IF(K1034="SKG",PR!$BF1032,IF(K1034="TAH",PR!$BG1032,IF(K1034="TAYLEK",PR!$BH1032,IF(K1034="TEMITA",PR!$BI1032,IF(K1034="THL",PR!$BJ1032,IF(K1034="UBASTIC",PR!$BK1032,IF(K1034="UNION",PR!$BL1032,IF(K1034="UNIQUE",PR!$BM1032,IF(K1034="VIXA",PR!$BN1032,IF(K1034="WWCV",PR!$BO1032,IF(K1034="ZOLON",PR!$BP1032,"-")))))))))))))))))))))))))))))))))))))))))))))))))))))))))))))))))</f>
        <v>3800</v>
      </c>
    </row>
    <row r="1035" spans="1:12" ht="18.75" x14ac:dyDescent="0.3">
      <c r="A1035" s="430">
        <f>PR!A1033</f>
        <v>931</v>
      </c>
      <c r="B1035" s="15" t="str">
        <f>PR!B1033</f>
        <v>PHENOL CRYSTALS</v>
      </c>
      <c r="C1035" s="113" t="str">
        <f>PR!D1033</f>
        <v>1 bottle of 500g</v>
      </c>
      <c r="D1035" s="113">
        <f>PR!C1033</f>
        <v>4</v>
      </c>
      <c r="E1035" s="108">
        <f>IF(F1035="ALPHA",PR!$E1033,IF(F1035="ASSENE",PR!$F1033,IF(F1035="BIOFEM",PR!$G1033,IF(F1035="BIOMED",PR!$H1033,IF(F1035="CHI",PR!$I1033,IF(F1035="CLARION",PR!$J1033,IF(F1035="CODIX",PR!$K1033,IF(F1035="COSMADE",PR!$L1033,IF(F1035="SANCON",PR!$M1033,IF(F1035="DEVON",PR!$N1033,IF(F1035="DORTEMAG",PR!$O1033,IF(F1035="DGF",PR!$P1033,IF(F1035="DYNAMIC",PR!$Q1033,IF(F1035="EMZOR",PR!$R1033,IF(F1035="EUMATT",PR!$S1033,IF(F1035="FIDSON",PR!$T1033,IF(F1035="FCGLOBAL",PR!$U1033,IF(F1035="GENEITH",PR!$V1033,IF(F1035="GINOS",PR!$W1033,IF(F1035="GSK",PR!$X1033,IF(F1035="GLOBORG",PR!$Y1033,IF(F1035="GOODNEWS",PR!$Z1033,IF(F1035="GREENLIFE",PR!$AA1033,IF(F1035="HLINE",PR!$AB1033,IF(F1035="ROTECH",PR!$AC1033,IF(F1035="ISN",PR!$AD1033,IF(F1035="JAWA",PR!$AE1033,IF(F1035="LAYO",PR!$AF1033,IF(F1035="LEADWAY",PR!$AG1033,IF(F1035="LHV",PR!$AH1033,IF(F1035="MANOLA",PR!$AI1033,IF(F1035="MARCSON",PR!$AJ1033,IF(F1035="M&amp;B",PR!$AK1033,IF(F1035="MTRUST",PR!$AL1033,IF(F1035="MWORLD",PR!$AM1033,IF(F1035="MEGA",PR!$AN1033,IF(F1035="MICRONOVA",PR!$AO1033,IF(F1035="MFLASH",PR!$AP1033,IF(F1035="MORISON",PR!$AQ1033,IF(F1035="NEMEL",PR!$AR1033,IF(F1035="NHP",PR!$AS1033,IF(F1035="NHC",PR!$AT1033,IF(F1035="OLEAF",PR!$AU1033,IF(F1035="OCULUS",PR!$AV1033,IF(F1035="PACIFIC",PR!$AW1033,IF(F1035="PHAMATEX",PR!$AX1033,IF(F1035="PETHICS",PR!$AY1033,IF(F1035="PHILIPS",PR!$AZ1033,IF(F1035="RANBAXY",PR!$BA1033,IF(F1035="REALS",PR!$BB1033,IF(F1035="ROYAL",PR!$BC1033,IF(F1035="SAM",PR!$BD1033,IF(F1035="SEAGREEN",PR!$BE1033,IF(F1035="SKG",PR!$BF1033,IF(F1035="TAH",PR!$BG1033,IF(F1035="TAYLEK",PR!$BH1033,IF(F1035="TEMITA",PR!$BI1033,IF(F1035="THL",PR!$BJ1033,IF(F1035="UBASTIC",PR!$BK1033,IF(F1035="UNION",PR!$BL1033,IF(F1035="UNIQUE",PR!$BM1033,IF(F1035="VIXA",PR!$BN1033,IF(F1035="WWCV",PR!$BO1033,IF(F1035="ZOLON",PR!$BP1033,"-"))))))))))))))))))))))))))))))))))))))))))))))))))))))))))))))))</f>
        <v>4000</v>
      </c>
      <c r="F1035" s="102" t="str">
        <f>EV!L1315</f>
        <v>TEMITA</v>
      </c>
      <c r="G1035" s="108">
        <f>IF(H1035="ALPHA",PR!$E1033,IF(H1035="ASSENE",PR!$F1033,IF(H1035="BIOFEM",PR!$G1033,IF(H1035="BIOMED",PR!$H1033,IF(H1035="CHI",PR!$I1033,IF(H1035="CLARION",PR!$J1033,IF(H1035="CODIX",PR!$K1033,IF(H1035="COSMADE",PR!$L1033,IF(H1035="SANCON",PR!$M1033,IF(H1035="DEVON",PR!$N1033,IF(H1035="DORTEMAG",PR!$O1033,IF(H1035="DGF",PR!$P1033,IF(H1035="DYNAMIC",PR!$Q1033,IF(H1035="EMZOR",PR!$R1033,IF(H1035="EUMATT",PR!$S1033,IF(H1035="FIDSON",PR!$T1033,IF(H1035="FCGLOBAL",PR!$U1033,IF(H1035="GENEITH",PR!$V1033,IF(H1035="GINOS",PR!$W1033,IF(H1035="GSK",PR!$X1033,IF(H1035="GLOBORG",PR!$Y1033,IF(H1035="GOODNEWS",PR!$Z1033,IF(H1035="GREENLIFE",PR!$AA1033,IF(H1035="HLINE",PR!$AB1033,IF(H1035="ROTECH",PR!$AC1033,IF(H1035="ISN",PR!$AD1033,IF(H1035="JAWA",PR!$AE1033,IF(H1035="LAYO",PR!$AF1033,IF(H1035="LEADWAY",PR!$AG1033,IF(H1035="LHV",PR!$AH1033,IF(H1035="MANOLA",PR!$AI1033,IF(H1035="MARCSON",PR!$AJ1033,IF(H1035="M&amp;B",PR!$AK1033,IF(H1035="MTRUST",PR!$AL1033,IF(H1035="MWORLD",PR!$AM1033,IF(H1035="MEGA",PR!$AN1033,IF(H1035="MICRONOVA",PR!$AO1033,IF(H1035="MFLASH",PR!$AP1033,IF(H1035="MORISON",PR!$AQ1033,IF(H1035="NEMEL",PR!$AR1033,IF(H1035="NHP",PR!$AS1033,IF(H1035="NHC",PR!$AT1033,IF(H1035="OLEAF",PR!$AU1033,IF(H1035="OCULUS",PR!$AV1033,IF(H1035="PACIFIC",PR!$AW1033,IF(H1035="PHAMATEX",PR!$AX1033,IF(H1035="PETHICS",PR!$AY1033,IF(H1035="PHILIPS",PR!$AZ1033,IF(H1035="RANBAXY",PR!$BA1033,IF(H1035="REALS",PR!$BB1033,IF(H1035="ROYAL",PR!$BC1033,IF(H1035="SAM",PR!$BD1033,IF(H1035="SEAGREEN",PR!$BE1033,IF(H1035="SKG",PR!$BF1033,IF(H1035="TAH",PR!$BG1033,IF(H1035="TAYLEK",PR!$BH1033,IF(H1035="TEMITA",PR!$BI1033,IF(H1035="THL",PR!$BJ1033,IF(H1035="UBASTIC",PR!$BK1033,IF(H1035="UNION",PR!$BL1033,IF(H1035="UNIQUE",PR!$BM1033,IF(H1035="VIXA",PR!$BN1033,IF(H1035="WWCV",PR!$BO1033,IF(H1035="ZOLON",PR!$BP1033,"-"))))))))))))))))))))))))))))))))))))))))))))))))))))))))))))))))</f>
        <v>6500</v>
      </c>
      <c r="H1035" s="102" t="str">
        <f>EV!M1315</f>
        <v>UBASTIC</v>
      </c>
      <c r="I1035" s="108">
        <f>IF(J1035="ALPHA",PR!$E1033,IF(J1035="ASSENE",PR!$F1033,IF(J1035="BIOFEM",PR!$G1033,IF(J1035="BIOMED",PR!$H1033,IF(J1035="CHI",PR!$I1033,IF(J1035="CLARION",PR!$J1033,IF(J1035="CODIX",PR!$K1033,IF(J1035="COSMADE",PR!$L1033,IF(J1035="SANCON",PR!$M1033,IF(J1035="DEVON",PR!$N1033,IF(J1035="DORTEMAG",PR!$O1033,IF(J1035="DGF",PR!$P1033,IF(J1035="DYNAMIC",PR!$Q1033,IF(J1035="EMZOR",PR!$R1033,IF(J1035="EUMATT",PR!$S1033,IF(J1035="FIDSON",PR!$T1033,IF(J1035="FCGLOBAL",PR!$U1033,IF(J1035="GENEITH",PR!$V1033,IF(J1035="GINOS",PR!$W1033,IF(J1035="GSK",PR!$X1033,IF(J1035="GLOBORG",PR!$Y1033,IF(J1035="GOODNEWS",PR!$Z1033,IF(J1035="GREENLIFE",PR!$AA1033,IF(J1035="HLINE",PR!$AB1033,IF(J1035="ROTECH",PR!$AC1033,IF(J1035="ISN",PR!$AD1033,IF(J1035="JAWA",PR!$AE1033,IF(J1035="LAYO",PR!$AF1033,IF(J1035="LEADWAY",PR!$AG1033,IF(J1035="LHV",PR!$AH1033,IF(J1035="MANOLA",PR!$AI1033,IF(J1035="MARCSON",PR!$AJ1033,IF(J1035="M&amp;B",PR!$AK1033,IF(J1035="MTRUST",PR!$AL1033,IF(J1035="MWORLD",PR!$AM1033,IF(J1035="MEGA",PR!$AN1033,IF(J1035="MICRONOVA",PR!$AO1033,IF(J1035="MFLASH",PR!$AP1033,IF(J1035="MORISON",PR!$AQ1033,IF(J1035="NEMEL",PR!$AR1033,IF(J1035="NHP",PR!$AS1033,IF(J1035="NHC",PR!$AT1033,IF(J1035="OLEAF",PR!$AU1033,IF(J1035="OCULUS",PR!$AV1033,IF(J1035="PACIFIC",PR!$AW1033,IF(J1035="PHAMATEX",PR!$AX1033,IF(J1035="PETHICS",PR!$AY1033,IF(J1035="PHILIPS",PR!$AZ1033,IF(J1035="RANBAXY",PR!$BA1033,IF(J1035="REALS",PR!$BB1033,IF(J1035="ROYAL",PR!$BC1033,IF(J1035="SAM",PR!$BD1033,IF(J1035="SEAGREEN",PR!$BE1033,IF(J1035="SKG",PR!$BF1033,IF(J1035="TAH",PR!$BG1033,IF(J1035="TAYLEK",PR!$BH1033,IF(J1035="TEMITA",PR!$BI1033,IF(J1035="THL",PR!$BJ1033,IF(J1035="UBASTIC",PR!$BK1033,IF(J1035="UNION",PR!$BL1033,IF(J1035="UNIQUE",PR!$BM1033,IF(J1035="VIXA",PR!$BN1033,IF(J1035="WWCV",PR!$BO1033,IF(J1035="ZOLON",PR!$BP1033,"-"))))))))))))))))))))))))))))))))))))))))))))))))))))))))))))))))</f>
        <v>6650</v>
      </c>
      <c r="J1035" s="102" t="str">
        <f>EV!N1315</f>
        <v>DYNAMIC</v>
      </c>
      <c r="K1035" s="433" t="s">
        <v>1463</v>
      </c>
      <c r="L1035" s="183">
        <f>IF(K1035&gt;0,IF(K1035="ALPHA",PR!$E1033,IF(K1035="ASSENE",PR!$F1033,IF(K1035="BIOFEM",PR!$G1033,IF(K1035="BIOMED",PR!$H1033,IF(K1035="CHI",PR!$I1033,IF(K1035="CLARION",PR!$J1033,IF(K1035="CODIX",PR!$K1033,IF(K1035="COSMADE",PR!$L1033,IF(K1035="SANCON",PR!$M1033,IF(K1035="DEVON",PR!$N1033,IF(K1035="DORTEMAG",PR!$O1033,IF(K1035="DGF",PR!$P1033,IF(K1035="DYNAMIC",PR!$Q1033,IF(K1035="EMZOR",PR!$R1033,IF(K1035="EUMATT",PR!$S1033,IF(K1035="FIDSON",PR!$T1033,IF(K1035="FCGLOBAL",PR!$U1033,IF(K1035="GENEITH",PR!$V1033,IF(K1035="GINOS",PR!$W1033,IF(K1035="GSK",PR!$X1033,IF(K1035="GLOBORG",PR!$Y1033,IF(K1035="GOODNEWS",PR!$Z1033,IF(K1035="GREENLIFE",PR!$AA1033,IF(K1035="HLINE",PR!$AB1033,IF(K1035="ROTECH",PR!$AC1033,IF(K1035="ISN",PR!$AD1033,IF(K1035="JAWA",PR!$AE1033,IF(K1035="LAYO",PR!$AF1033,IF(K1035="LEADWAY",PR!$AG1033,IF(K1035="LHV",PR!$AH1033,IF(K1035="MANOLA",PR!$AI1033,IF(K1035="MARCSON",PR!$AJ1033,IF(K1035="M&amp;B",PR!$AK1033,IF(K1035="MTRUST",PR!$AL1033,IF(K1035="MWORLD",PR!$AM1033,IF(K1035="MEGA",PR!$AN1033,IF(K1035="MICRONOVA",PR!$AO1033,IF(K1035="MFLASH",PR!$AP1033,IF(K1035="MORISON",PR!$AQ1033,IF(K1035="NEMEL",PR!$AR1033,IF(K1035="NHP",PR!$AS1033,IF(K1035="NHC",PR!$AT1033,IF(K1035="OLEAF",PR!$AU1033,IF(K1035="OCULUS",PR!$AV1033,IF(K1035="PACIFIC",PR!$AW1033,IF(K1035="PHAMATEX",PR!$AX1033,IF(K1035="PETHICS",PR!$AY1033,IF(K1035="PHILIPS",PR!$AZ1033,IF(K1035="RANBAXY",PR!$BA1033,IF(K1035="REALS",PR!$BB1033,IF(K1035="ROYAL",PR!$BC1033,IF(K1035="SAM",PR!$BD1033,IF(K1035="SEAGREEN",PR!$BE1033,IF(K1035="SKG",PR!$BF1033,IF(K1035="TAH",PR!$BG1033,IF(K1035="TAYLEK",PR!$BH1033,IF(K1035="TEMITA",PR!$BI1033,IF(K1035="THL",PR!$BJ1033,IF(K1035="UBASTIC",PR!$BK1033,IF(K1035="UNION",PR!$BL1033,IF(K1035="UNIQUE",PR!$BM1033,IF(K1035="VIXA",PR!$BN1033,IF(K1035="WWCV",PR!$BO1033,IF(K1035="ZOLON",PR!$BP1033,"-")))))))))))))))))))))))))))))))))))))))))))))))))))))))))))))))))</f>
        <v>4000</v>
      </c>
    </row>
    <row r="1036" spans="1:12" ht="18.75" x14ac:dyDescent="0.3">
      <c r="A1036" s="430">
        <f>PR!A1034</f>
        <v>932</v>
      </c>
      <c r="B1036" s="15" t="str">
        <f>PR!B1034</f>
        <v>CARE START MALARIA SCREENING KIT</v>
      </c>
      <c r="C1036" s="113" t="str">
        <f>PR!D1034</f>
        <v>1 pack of 25kit</v>
      </c>
      <c r="D1036" s="113">
        <f>PR!C1034</f>
        <v>60</v>
      </c>
      <c r="E1036" s="108">
        <f>IF(F1036="ALPHA",PR!$E1034,IF(F1036="ASSENE",PR!$F1034,IF(F1036="BIOFEM",PR!$G1034,IF(F1036="BIOMED",PR!$H1034,IF(F1036="CHI",PR!$I1034,IF(F1036="CLARION",PR!$J1034,IF(F1036="CODIX",PR!$K1034,IF(F1036="COSMADE",PR!$L1034,IF(F1036="SANCON",PR!$M1034,IF(F1036="DEVON",PR!$N1034,IF(F1036="DORTEMAG",PR!$O1034,IF(F1036="DGF",PR!$P1034,IF(F1036="DYNAMIC",PR!$Q1034,IF(F1036="EMZOR",PR!$R1034,IF(F1036="EUMATT",PR!$S1034,IF(F1036="FIDSON",PR!$T1034,IF(F1036="FCGLOBAL",PR!$U1034,IF(F1036="GENEITH",PR!$V1034,IF(F1036="GINOS",PR!$W1034,IF(F1036="GSK",PR!$X1034,IF(F1036="GLOBORG",PR!$Y1034,IF(F1036="GOODNEWS",PR!$Z1034,IF(F1036="GREENLIFE",PR!$AA1034,IF(F1036="HLINE",PR!$AB1034,IF(F1036="ROTECH",PR!$AC1034,IF(F1036="ISN",PR!$AD1034,IF(F1036="JAWA",PR!$AE1034,IF(F1036="LAYO",PR!$AF1034,IF(F1036="LEADWAY",PR!$AG1034,IF(F1036="LHV",PR!$AH1034,IF(F1036="MANOLA",PR!$AI1034,IF(F1036="MARCSON",PR!$AJ1034,IF(F1036="M&amp;B",PR!$AK1034,IF(F1036="MTRUST",PR!$AL1034,IF(F1036="MWORLD",PR!$AM1034,IF(F1036="MEGA",PR!$AN1034,IF(F1036="MICRONOVA",PR!$AO1034,IF(F1036="MFLASH",PR!$AP1034,IF(F1036="MORISON",PR!$AQ1034,IF(F1036="NEMEL",PR!$AR1034,IF(F1036="NHP",PR!$AS1034,IF(F1036="NHC",PR!$AT1034,IF(F1036="OLEAF",PR!$AU1034,IF(F1036="OCULUS",PR!$AV1034,IF(F1036="PACIFIC",PR!$AW1034,IF(F1036="PHAMATEX",PR!$AX1034,IF(F1036="PETHICS",PR!$AY1034,IF(F1036="PHILIPS",PR!$AZ1034,IF(F1036="RANBAXY",PR!$BA1034,IF(F1036="REALS",PR!$BB1034,IF(F1036="ROYAL",PR!$BC1034,IF(F1036="SAM",PR!$BD1034,IF(F1036="SEAGREEN",PR!$BE1034,IF(F1036="SKG",PR!$BF1034,IF(F1036="TAH",PR!$BG1034,IF(F1036="TAYLEK",PR!$BH1034,IF(F1036="TEMITA",PR!$BI1034,IF(F1036="THL",PR!$BJ1034,IF(F1036="UBASTIC",PR!$BK1034,IF(F1036="UNION",PR!$BL1034,IF(F1036="UNIQUE",PR!$BM1034,IF(F1036="VIXA",PR!$BN1034,IF(F1036="WWCV",PR!$BO1034,IF(F1036="ZOLON",PR!$BP1034,"-"))))))))))))))))))))))))))))))))))))))))))))))))))))))))))))))))</f>
        <v>2400</v>
      </c>
      <c r="F1036" s="102" t="str">
        <f>EV!L1316</f>
        <v>SANCON</v>
      </c>
      <c r="G1036" s="108">
        <f>IF(H1036="ALPHA",PR!$E1034,IF(H1036="ASSENE",PR!$F1034,IF(H1036="BIOFEM",PR!$G1034,IF(H1036="BIOMED",PR!$H1034,IF(H1036="CHI",PR!$I1034,IF(H1036="CLARION",PR!$J1034,IF(H1036="CODIX",PR!$K1034,IF(H1036="COSMADE",PR!$L1034,IF(H1036="SANCON",PR!$M1034,IF(H1036="DEVON",PR!$N1034,IF(H1036="DORTEMAG",PR!$O1034,IF(H1036="DGF",PR!$P1034,IF(H1036="DYNAMIC",PR!$Q1034,IF(H1036="EMZOR",PR!$R1034,IF(H1036="EUMATT",PR!$S1034,IF(H1036="FIDSON",PR!$T1034,IF(H1036="FCGLOBAL",PR!$U1034,IF(H1036="GENEITH",PR!$V1034,IF(H1036="GINOS",PR!$W1034,IF(H1036="GSK",PR!$X1034,IF(H1036="GLOBORG",PR!$Y1034,IF(H1036="GOODNEWS",PR!$Z1034,IF(H1036="GREENLIFE",PR!$AA1034,IF(H1036="HLINE",PR!$AB1034,IF(H1036="ROTECH",PR!$AC1034,IF(H1036="ISN",PR!$AD1034,IF(H1036="JAWA",PR!$AE1034,IF(H1036="LAYO",PR!$AF1034,IF(H1036="LEADWAY",PR!$AG1034,IF(H1036="LHV",PR!$AH1034,IF(H1036="MANOLA",PR!$AI1034,IF(H1036="MARCSON",PR!$AJ1034,IF(H1036="M&amp;B",PR!$AK1034,IF(H1036="MTRUST",PR!$AL1034,IF(H1036="MWORLD",PR!$AM1034,IF(H1036="MEGA",PR!$AN1034,IF(H1036="MICRONOVA",PR!$AO1034,IF(H1036="MFLASH",PR!$AP1034,IF(H1036="MORISON",PR!$AQ1034,IF(H1036="NEMEL",PR!$AR1034,IF(H1036="NHP",PR!$AS1034,IF(H1036="NHC",PR!$AT1034,IF(H1036="OLEAF",PR!$AU1034,IF(H1036="OCULUS",PR!$AV1034,IF(H1036="PACIFIC",PR!$AW1034,IF(H1036="PHAMATEX",PR!$AX1034,IF(H1036="PETHICS",PR!$AY1034,IF(H1036="PHILIPS",PR!$AZ1034,IF(H1036="RANBAXY",PR!$BA1034,IF(H1036="REALS",PR!$BB1034,IF(H1036="ROYAL",PR!$BC1034,IF(H1036="SAM",PR!$BD1034,IF(H1036="SEAGREEN",PR!$BE1034,IF(H1036="SKG",PR!$BF1034,IF(H1036="TAH",PR!$BG1034,IF(H1036="TAYLEK",PR!$BH1034,IF(H1036="TEMITA",PR!$BI1034,IF(H1036="THL",PR!$BJ1034,IF(H1036="UBASTIC",PR!$BK1034,IF(H1036="UNION",PR!$BL1034,IF(H1036="UNIQUE",PR!$BM1034,IF(H1036="VIXA",PR!$BN1034,IF(H1036="WWCV",PR!$BO1034,IF(H1036="ZOLON",PR!$BP1034,"-"))))))))))))))))))))))))))))))))))))))))))))))))))))))))))))))))</f>
        <v>2500</v>
      </c>
      <c r="H1036" s="102" t="str">
        <f>EV!M1316</f>
        <v>TEMITA</v>
      </c>
      <c r="I1036" s="108">
        <f>IF(J1036="ALPHA",PR!$E1034,IF(J1036="ASSENE",PR!$F1034,IF(J1036="BIOFEM",PR!$G1034,IF(J1036="BIOMED",PR!$H1034,IF(J1036="CHI",PR!$I1034,IF(J1036="CLARION",PR!$J1034,IF(J1036="CODIX",PR!$K1034,IF(J1036="COSMADE",PR!$L1034,IF(J1036="SANCON",PR!$M1034,IF(J1036="DEVON",PR!$N1034,IF(J1036="DORTEMAG",PR!$O1034,IF(J1036="DGF",PR!$P1034,IF(J1036="DYNAMIC",PR!$Q1034,IF(J1036="EMZOR",PR!$R1034,IF(J1036="EUMATT",PR!$S1034,IF(J1036="FIDSON",PR!$T1034,IF(J1036="FCGLOBAL",PR!$U1034,IF(J1036="GENEITH",PR!$V1034,IF(J1036="GINOS",PR!$W1034,IF(J1036="GSK",PR!$X1034,IF(J1036="GLOBORG",PR!$Y1034,IF(J1036="GOODNEWS",PR!$Z1034,IF(J1036="GREENLIFE",PR!$AA1034,IF(J1036="HLINE",PR!$AB1034,IF(J1036="ROTECH",PR!$AC1034,IF(J1036="ISN",PR!$AD1034,IF(J1036="JAWA",PR!$AE1034,IF(J1036="LAYO",PR!$AF1034,IF(J1036="LEADWAY",PR!$AG1034,IF(J1036="LHV",PR!$AH1034,IF(J1036="MANOLA",PR!$AI1034,IF(J1036="MARCSON",PR!$AJ1034,IF(J1036="M&amp;B",PR!$AK1034,IF(J1036="MTRUST",PR!$AL1034,IF(J1036="MWORLD",PR!$AM1034,IF(J1036="MEGA",PR!$AN1034,IF(J1036="MICRONOVA",PR!$AO1034,IF(J1036="MFLASH",PR!$AP1034,IF(J1036="MORISON",PR!$AQ1034,IF(J1036="NEMEL",PR!$AR1034,IF(J1036="NHP",PR!$AS1034,IF(J1036="NHC",PR!$AT1034,IF(J1036="OLEAF",PR!$AU1034,IF(J1036="OCULUS",PR!$AV1034,IF(J1036="PACIFIC",PR!$AW1034,IF(J1036="PHAMATEX",PR!$AX1034,IF(J1036="PETHICS",PR!$AY1034,IF(J1036="PHILIPS",PR!$AZ1034,IF(J1036="RANBAXY",PR!$BA1034,IF(J1036="REALS",PR!$BB1034,IF(J1036="ROYAL",PR!$BC1034,IF(J1036="SAM",PR!$BD1034,IF(J1036="SEAGREEN",PR!$BE1034,IF(J1036="SKG",PR!$BF1034,IF(J1036="TAH",PR!$BG1034,IF(J1036="TAYLEK",PR!$BH1034,IF(J1036="TEMITA",PR!$BI1034,IF(J1036="THL",PR!$BJ1034,IF(J1036="UBASTIC",PR!$BK1034,IF(J1036="UNION",PR!$BL1034,IF(J1036="UNIQUE",PR!$BM1034,IF(J1036="VIXA",PR!$BN1034,IF(J1036="WWCV",PR!$BO1034,IF(J1036="ZOLON",PR!$BP1034,"-"))))))))))))))))))))))))))))))))))))))))))))))))))))))))))))))))</f>
        <v>2500</v>
      </c>
      <c r="J1036" s="102" t="str">
        <f>EV!N1316</f>
        <v>UBASTIC</v>
      </c>
      <c r="K1036" s="433" t="s">
        <v>817</v>
      </c>
      <c r="L1036" s="183">
        <f>IF(K1036&gt;0,IF(K1036="ALPHA",PR!$E1034,IF(K1036="ASSENE",PR!$F1034,IF(K1036="BIOFEM",PR!$G1034,IF(K1036="BIOMED",PR!$H1034,IF(K1036="CHI",PR!$I1034,IF(K1036="CLARION",PR!$J1034,IF(K1036="CODIX",PR!$K1034,IF(K1036="COSMADE",PR!$L1034,IF(K1036="SANCON",PR!$M1034,IF(K1036="DEVON",PR!$N1034,IF(K1036="DORTEMAG",PR!$O1034,IF(K1036="DGF",PR!$P1034,IF(K1036="DYNAMIC",PR!$Q1034,IF(K1036="EMZOR",PR!$R1034,IF(K1036="EUMATT",PR!$S1034,IF(K1036="FIDSON",PR!$T1034,IF(K1036="FCGLOBAL",PR!$U1034,IF(K1036="GENEITH",PR!$V1034,IF(K1036="GINOS",PR!$W1034,IF(K1036="GSK",PR!$X1034,IF(K1036="GLOBORG",PR!$Y1034,IF(K1036="GOODNEWS",PR!$Z1034,IF(K1036="GREENLIFE",PR!$AA1034,IF(K1036="HLINE",PR!$AB1034,IF(K1036="ROTECH",PR!$AC1034,IF(K1036="ISN",PR!$AD1034,IF(K1036="JAWA",PR!$AE1034,IF(K1036="LAYO",PR!$AF1034,IF(K1036="LEADWAY",PR!$AG1034,IF(K1036="LHV",PR!$AH1034,IF(K1036="MANOLA",PR!$AI1034,IF(K1036="MARCSON",PR!$AJ1034,IF(K1036="M&amp;B",PR!$AK1034,IF(K1036="MTRUST",PR!$AL1034,IF(K1036="MWORLD",PR!$AM1034,IF(K1036="MEGA",PR!$AN1034,IF(K1036="MICRONOVA",PR!$AO1034,IF(K1036="MFLASH",PR!$AP1034,IF(K1036="MORISON",PR!$AQ1034,IF(K1036="NEMEL",PR!$AR1034,IF(K1036="NHP",PR!$AS1034,IF(K1036="NHC",PR!$AT1034,IF(K1036="OLEAF",PR!$AU1034,IF(K1036="OCULUS",PR!$AV1034,IF(K1036="PACIFIC",PR!$AW1034,IF(K1036="PHAMATEX",PR!$AX1034,IF(K1036="PETHICS",PR!$AY1034,IF(K1036="PHILIPS",PR!$AZ1034,IF(K1036="RANBAXY",PR!$BA1034,IF(K1036="REALS",PR!$BB1034,IF(K1036="ROYAL",PR!$BC1034,IF(K1036="SAM",PR!$BD1034,IF(K1036="SEAGREEN",PR!$BE1034,IF(K1036="SKG",PR!$BF1034,IF(K1036="TAH",PR!$BG1034,IF(K1036="TAYLEK",PR!$BH1034,IF(K1036="TEMITA",PR!$BI1034,IF(K1036="THL",PR!$BJ1034,IF(K1036="UBASTIC",PR!$BK1034,IF(K1036="UNION",PR!$BL1034,IF(K1036="UNIQUE",PR!$BM1034,IF(K1036="VIXA",PR!$BN1034,IF(K1036="WWCV",PR!$BO1034,IF(K1036="ZOLON",PR!$BP1034,"-")))))))))))))))))))))))))))))))))))))))))))))))))))))))))))))))))</f>
        <v>2400</v>
      </c>
    </row>
    <row r="1037" spans="1:12" ht="18.75" x14ac:dyDescent="0.3">
      <c r="A1037" s="430">
        <f>PR!A1035</f>
        <v>933</v>
      </c>
      <c r="B1037" s="15" t="str">
        <f>PR!B1035</f>
        <v>GIEM STAIN POWDER</v>
      </c>
      <c r="C1037" s="113" t="str">
        <f>PR!D1035</f>
        <v>1 bottle of 25g</v>
      </c>
      <c r="D1037" s="113">
        <f>PR!C1035</f>
        <v>12</v>
      </c>
      <c r="E1037" s="108">
        <f>IF(F1037="ALPHA",PR!$E1035,IF(F1037="ASSENE",PR!$F1035,IF(F1037="BIOFEM",PR!$G1035,IF(F1037="BIOMED",PR!$H1035,IF(F1037="CHI",PR!$I1035,IF(F1037="CLARION",PR!$J1035,IF(F1037="CODIX",PR!$K1035,IF(F1037="COSMADE",PR!$L1035,IF(F1037="SANCON",PR!$M1035,IF(F1037="DEVON",PR!$N1035,IF(F1037="DORTEMAG",PR!$O1035,IF(F1037="DGF",PR!$P1035,IF(F1037="DYNAMIC",PR!$Q1035,IF(F1037="EMZOR",PR!$R1035,IF(F1037="EUMATT",PR!$S1035,IF(F1037="FIDSON",PR!$T1035,IF(F1037="FCGLOBAL",PR!$U1035,IF(F1037="GENEITH",PR!$V1035,IF(F1037="GINOS",PR!$W1035,IF(F1037="GSK",PR!$X1035,IF(F1037="GLOBORG",PR!$Y1035,IF(F1037="GOODNEWS",PR!$Z1035,IF(F1037="GREENLIFE",PR!$AA1035,IF(F1037="HLINE",PR!$AB1035,IF(F1037="ROTECH",PR!$AC1035,IF(F1037="ISN",PR!$AD1035,IF(F1037="JAWA",PR!$AE1035,IF(F1037="LAYO",PR!$AF1035,IF(F1037="LEADWAY",PR!$AG1035,IF(F1037="LHV",PR!$AH1035,IF(F1037="MANOLA",PR!$AI1035,IF(F1037="MARCSON",PR!$AJ1035,IF(F1037="M&amp;B",PR!$AK1035,IF(F1037="MTRUST",PR!$AL1035,IF(F1037="MWORLD",PR!$AM1035,IF(F1037="MEGA",PR!$AN1035,IF(F1037="MICRONOVA",PR!$AO1035,IF(F1037="MFLASH",PR!$AP1035,IF(F1037="MORISON",PR!$AQ1035,IF(F1037="NEMEL",PR!$AR1035,IF(F1037="NHP",PR!$AS1035,IF(F1037="NHC",PR!$AT1035,IF(F1037="OLEAF",PR!$AU1035,IF(F1037="OCULUS",PR!$AV1035,IF(F1037="PACIFIC",PR!$AW1035,IF(F1037="PHAMATEX",PR!$AX1035,IF(F1037="PETHICS",PR!$AY1035,IF(F1037="PHILIPS",PR!$AZ1035,IF(F1037="RANBAXY",PR!$BA1035,IF(F1037="REALS",PR!$BB1035,IF(F1037="ROYAL",PR!$BC1035,IF(F1037="SAM",PR!$BD1035,IF(F1037="SEAGREEN",PR!$BE1035,IF(F1037="SKG",PR!$BF1035,IF(F1037="TAH",PR!$BG1035,IF(F1037="TAYLEK",PR!$BH1035,IF(F1037="TEMITA",PR!$BI1035,IF(F1037="THL",PR!$BJ1035,IF(F1037="UBASTIC",PR!$BK1035,IF(F1037="UNION",PR!$BL1035,IF(F1037="UNIQUE",PR!$BM1035,IF(F1037="VIXA",PR!$BN1035,IF(F1037="WWCV",PR!$BO1035,IF(F1037="ZOLON",PR!$BP1035,"-"))))))))))))))))))))))))))))))))))))))))))))))))))))))))))))))))</f>
        <v>3500</v>
      </c>
      <c r="F1037" s="102" t="str">
        <f>EV!L1317</f>
        <v>UBASTIC</v>
      </c>
      <c r="G1037" s="108">
        <f>IF(H1037="ALPHA",PR!$E1035,IF(H1037="ASSENE",PR!$F1035,IF(H1037="BIOFEM",PR!$G1035,IF(H1037="BIOMED",PR!$H1035,IF(H1037="CHI",PR!$I1035,IF(H1037="CLARION",PR!$J1035,IF(H1037="CODIX",PR!$K1035,IF(H1037="COSMADE",PR!$L1035,IF(H1037="SANCON",PR!$M1035,IF(H1037="DEVON",PR!$N1035,IF(H1037="DORTEMAG",PR!$O1035,IF(H1037="DGF",PR!$P1035,IF(H1037="DYNAMIC",PR!$Q1035,IF(H1037="EMZOR",PR!$R1035,IF(H1037="EUMATT",PR!$S1035,IF(H1037="FIDSON",PR!$T1035,IF(H1037="FCGLOBAL",PR!$U1035,IF(H1037="GENEITH",PR!$V1035,IF(H1037="GINOS",PR!$W1035,IF(H1037="GSK",PR!$X1035,IF(H1037="GLOBORG",PR!$Y1035,IF(H1037="GOODNEWS",PR!$Z1035,IF(H1037="GREENLIFE",PR!$AA1035,IF(H1037="HLINE",PR!$AB1035,IF(H1037="ROTECH",PR!$AC1035,IF(H1037="ISN",PR!$AD1035,IF(H1037="JAWA",PR!$AE1035,IF(H1037="LAYO",PR!$AF1035,IF(H1037="LEADWAY",PR!$AG1035,IF(H1037="LHV",PR!$AH1035,IF(H1037="MANOLA",PR!$AI1035,IF(H1037="MARCSON",PR!$AJ1035,IF(H1037="M&amp;B",PR!$AK1035,IF(H1037="MTRUST",PR!$AL1035,IF(H1037="MWORLD",PR!$AM1035,IF(H1037="MEGA",PR!$AN1035,IF(H1037="MICRONOVA",PR!$AO1035,IF(H1037="MFLASH",PR!$AP1035,IF(H1037="MORISON",PR!$AQ1035,IF(H1037="NEMEL",PR!$AR1035,IF(H1037="NHP",PR!$AS1035,IF(H1037="NHC",PR!$AT1035,IF(H1037="OLEAF",PR!$AU1035,IF(H1037="OCULUS",PR!$AV1035,IF(H1037="PACIFIC",PR!$AW1035,IF(H1037="PHAMATEX",PR!$AX1035,IF(H1037="PETHICS",PR!$AY1035,IF(H1037="PHILIPS",PR!$AZ1035,IF(H1037="RANBAXY",PR!$BA1035,IF(H1037="REALS",PR!$BB1035,IF(H1037="ROYAL",PR!$BC1035,IF(H1037="SAM",PR!$BD1035,IF(H1037="SEAGREEN",PR!$BE1035,IF(H1037="SKG",PR!$BF1035,IF(H1037="TAH",PR!$BG1035,IF(H1037="TAYLEK",PR!$BH1035,IF(H1037="TEMITA",PR!$BI1035,IF(H1037="THL",PR!$BJ1035,IF(H1037="UBASTIC",PR!$BK1035,IF(H1037="UNION",PR!$BL1035,IF(H1037="UNIQUE",PR!$BM1035,IF(H1037="VIXA",PR!$BN1035,IF(H1037="WWCV",PR!$BO1035,IF(H1037="ZOLON",PR!$BP1035,"-"))))))))))))))))))))))))))))))))))))))))))))))))))))))))))))))))</f>
        <v>3900</v>
      </c>
      <c r="H1037" s="102" t="str">
        <f>EV!M1317</f>
        <v>LAYO</v>
      </c>
      <c r="I1037" s="108">
        <f>IF(J1037="ALPHA",PR!$E1035,IF(J1037="ASSENE",PR!$F1035,IF(J1037="BIOFEM",PR!$G1035,IF(J1037="BIOMED",PR!$H1035,IF(J1037="CHI",PR!$I1035,IF(J1037="CLARION",PR!$J1035,IF(J1037="CODIX",PR!$K1035,IF(J1037="COSMADE",PR!$L1035,IF(J1037="SANCON",PR!$M1035,IF(J1037="DEVON",PR!$N1035,IF(J1037="DORTEMAG",PR!$O1035,IF(J1037="DGF",PR!$P1035,IF(J1037="DYNAMIC",PR!$Q1035,IF(J1037="EMZOR",PR!$R1035,IF(J1037="EUMATT",PR!$S1035,IF(J1037="FIDSON",PR!$T1035,IF(J1037="FCGLOBAL",PR!$U1035,IF(J1037="GENEITH",PR!$V1035,IF(J1037="GINOS",PR!$W1035,IF(J1037="GSK",PR!$X1035,IF(J1037="GLOBORG",PR!$Y1035,IF(J1037="GOODNEWS",PR!$Z1035,IF(J1037="GREENLIFE",PR!$AA1035,IF(J1037="HLINE",PR!$AB1035,IF(J1037="ROTECH",PR!$AC1035,IF(J1037="ISN",PR!$AD1035,IF(J1037="JAWA",PR!$AE1035,IF(J1037="LAYO",PR!$AF1035,IF(J1037="LEADWAY",PR!$AG1035,IF(J1037="LHV",PR!$AH1035,IF(J1037="MANOLA",PR!$AI1035,IF(J1037="MARCSON",PR!$AJ1035,IF(J1037="M&amp;B",PR!$AK1035,IF(J1037="MTRUST",PR!$AL1035,IF(J1037="MWORLD",PR!$AM1035,IF(J1037="MEGA",PR!$AN1035,IF(J1037="MICRONOVA",PR!$AO1035,IF(J1037="MFLASH",PR!$AP1035,IF(J1037="MORISON",PR!$AQ1035,IF(J1037="NEMEL",PR!$AR1035,IF(J1037="NHP",PR!$AS1035,IF(J1037="NHC",PR!$AT1035,IF(J1037="OLEAF",PR!$AU1035,IF(J1037="OCULUS",PR!$AV1035,IF(J1037="PACIFIC",PR!$AW1035,IF(J1037="PHAMATEX",PR!$AX1035,IF(J1037="PETHICS",PR!$AY1035,IF(J1037="PHILIPS",PR!$AZ1035,IF(J1037="RANBAXY",PR!$BA1035,IF(J1037="REALS",PR!$BB1035,IF(J1037="ROYAL",PR!$BC1035,IF(J1037="SAM",PR!$BD1035,IF(J1037="SEAGREEN",PR!$BE1035,IF(J1037="SKG",PR!$BF1035,IF(J1037="TAH",PR!$BG1035,IF(J1037="TAYLEK",PR!$BH1035,IF(J1037="TEMITA",PR!$BI1035,IF(J1037="THL",PR!$BJ1035,IF(J1037="UBASTIC",PR!$BK1035,IF(J1037="UNION",PR!$BL1035,IF(J1037="UNIQUE",PR!$BM1035,IF(J1037="VIXA",PR!$BN1035,IF(J1037="WWCV",PR!$BO1035,IF(J1037="ZOLON",PR!$BP1035,"-"))))))))))))))))))))))))))))))))))))))))))))))))))))))))))))))))</f>
        <v>4389</v>
      </c>
      <c r="J1037" s="102" t="str">
        <f>EV!N1317</f>
        <v>DYNAMIC</v>
      </c>
      <c r="K1037" s="433" t="s">
        <v>1459</v>
      </c>
      <c r="L1037" s="183">
        <f>IF(K1037&gt;0,IF(K1037="ALPHA",PR!$E1035,IF(K1037="ASSENE",PR!$F1035,IF(K1037="BIOFEM",PR!$G1035,IF(K1037="BIOMED",PR!$H1035,IF(K1037="CHI",PR!$I1035,IF(K1037="CLARION",PR!$J1035,IF(K1037="CODIX",PR!$K1035,IF(K1037="COSMADE",PR!$L1035,IF(K1037="SANCON",PR!$M1035,IF(K1037="DEVON",PR!$N1035,IF(K1037="DORTEMAG",PR!$O1035,IF(K1037="DGF",PR!$P1035,IF(K1037="DYNAMIC",PR!$Q1035,IF(K1037="EMZOR",PR!$R1035,IF(K1037="EUMATT",PR!$S1035,IF(K1037="FIDSON",PR!$T1035,IF(K1037="FCGLOBAL",PR!$U1035,IF(K1037="GENEITH",PR!$V1035,IF(K1037="GINOS",PR!$W1035,IF(K1037="GSK",PR!$X1035,IF(K1037="GLOBORG",PR!$Y1035,IF(K1037="GOODNEWS",PR!$Z1035,IF(K1037="GREENLIFE",PR!$AA1035,IF(K1037="HLINE",PR!$AB1035,IF(K1037="ROTECH",PR!$AC1035,IF(K1037="ISN",PR!$AD1035,IF(K1037="JAWA",PR!$AE1035,IF(K1037="LAYO",PR!$AF1035,IF(K1037="LEADWAY",PR!$AG1035,IF(K1037="LHV",PR!$AH1035,IF(K1037="MANOLA",PR!$AI1035,IF(K1037="MARCSON",PR!$AJ1035,IF(K1037="M&amp;B",PR!$AK1035,IF(K1037="MTRUST",PR!$AL1035,IF(K1037="MWORLD",PR!$AM1035,IF(K1037="MEGA",PR!$AN1035,IF(K1037="MICRONOVA",PR!$AO1035,IF(K1037="MFLASH",PR!$AP1035,IF(K1037="MORISON",PR!$AQ1035,IF(K1037="NEMEL",PR!$AR1035,IF(K1037="NHP",PR!$AS1035,IF(K1037="NHC",PR!$AT1035,IF(K1037="OLEAF",PR!$AU1035,IF(K1037="OCULUS",PR!$AV1035,IF(K1037="PACIFIC",PR!$AW1035,IF(K1037="PHAMATEX",PR!$AX1035,IF(K1037="PETHICS",PR!$AY1035,IF(K1037="PHILIPS",PR!$AZ1035,IF(K1037="RANBAXY",PR!$BA1035,IF(K1037="REALS",PR!$BB1035,IF(K1037="ROYAL",PR!$BC1035,IF(K1037="SAM",PR!$BD1035,IF(K1037="SEAGREEN",PR!$BE1035,IF(K1037="SKG",PR!$BF1035,IF(K1037="TAH",PR!$BG1035,IF(K1037="TAYLEK",PR!$BH1035,IF(K1037="TEMITA",PR!$BI1035,IF(K1037="THL",PR!$BJ1035,IF(K1037="UBASTIC",PR!$BK1035,IF(K1037="UNION",PR!$BL1035,IF(K1037="UNIQUE",PR!$BM1035,IF(K1037="VIXA",PR!$BN1035,IF(K1037="WWCV",PR!$BO1035,IF(K1037="ZOLON",PR!$BP1035,"-")))))))))))))))))))))))))))))))))))))))))))))))))))))))))))))))))</f>
        <v>3500</v>
      </c>
    </row>
    <row r="1038" spans="1:12" ht="18.75" x14ac:dyDescent="0.3">
      <c r="A1038" s="430">
        <f>PR!A1036</f>
        <v>934</v>
      </c>
      <c r="B1038" s="15" t="str">
        <f>PR!B1036</f>
        <v>CRYSTAL VIOLET POWDER</v>
      </c>
      <c r="C1038" s="113" t="str">
        <f>PR!D1036</f>
        <v>1 bottle of 25g</v>
      </c>
      <c r="D1038" s="113">
        <f>PR!C1036</f>
        <v>12</v>
      </c>
      <c r="E1038" s="108">
        <f>IF(F1038="ALPHA",PR!$E1036,IF(F1038="ASSENE",PR!$F1036,IF(F1038="BIOFEM",PR!$G1036,IF(F1038="BIOMED",PR!$H1036,IF(F1038="CHI",PR!$I1036,IF(F1038="CLARION",PR!$J1036,IF(F1038="CODIX",PR!$K1036,IF(F1038="COSMADE",PR!$L1036,IF(F1038="SANCON",PR!$M1036,IF(F1038="DEVON",PR!$N1036,IF(F1038="DORTEMAG",PR!$O1036,IF(F1038="DGF",PR!$P1036,IF(F1038="DYNAMIC",PR!$Q1036,IF(F1038="EMZOR",PR!$R1036,IF(F1038="EUMATT",PR!$S1036,IF(F1038="FIDSON",PR!$T1036,IF(F1038="FCGLOBAL",PR!$U1036,IF(F1038="GENEITH",PR!$V1036,IF(F1038="GINOS",PR!$W1036,IF(F1038="GSK",PR!$X1036,IF(F1038="GLOBORG",PR!$Y1036,IF(F1038="GOODNEWS",PR!$Z1036,IF(F1038="GREENLIFE",PR!$AA1036,IF(F1038="HLINE",PR!$AB1036,IF(F1038="ROTECH",PR!$AC1036,IF(F1038="ISN",PR!$AD1036,IF(F1038="JAWA",PR!$AE1036,IF(F1038="LAYO",PR!$AF1036,IF(F1038="LEADWAY",PR!$AG1036,IF(F1038="LHV",PR!$AH1036,IF(F1038="MANOLA",PR!$AI1036,IF(F1038="MARCSON",PR!$AJ1036,IF(F1038="M&amp;B",PR!$AK1036,IF(F1038="MTRUST",PR!$AL1036,IF(F1038="MWORLD",PR!$AM1036,IF(F1038="MEGA",PR!$AN1036,IF(F1038="MICRONOVA",PR!$AO1036,IF(F1038="MFLASH",PR!$AP1036,IF(F1038="MORISON",PR!$AQ1036,IF(F1038="NEMEL",PR!$AR1036,IF(F1038="NHP",PR!$AS1036,IF(F1038="NHC",PR!$AT1036,IF(F1038="OLEAF",PR!$AU1036,IF(F1038="OCULUS",PR!$AV1036,IF(F1038="PACIFIC",PR!$AW1036,IF(F1038="PHAMATEX",PR!$AX1036,IF(F1038="PETHICS",PR!$AY1036,IF(F1038="PHILIPS",PR!$AZ1036,IF(F1038="RANBAXY",PR!$BA1036,IF(F1038="REALS",PR!$BB1036,IF(F1038="ROYAL",PR!$BC1036,IF(F1038="SAM",PR!$BD1036,IF(F1038="SEAGREEN",PR!$BE1036,IF(F1038="SKG",PR!$BF1036,IF(F1038="TAH",PR!$BG1036,IF(F1038="TAYLEK",PR!$BH1036,IF(F1038="TEMITA",PR!$BI1036,IF(F1038="THL",PR!$BJ1036,IF(F1038="UBASTIC",PR!$BK1036,IF(F1038="UNION",PR!$BL1036,IF(F1038="UNIQUE",PR!$BM1036,IF(F1038="VIXA",PR!$BN1036,IF(F1038="WWCV",PR!$BO1036,IF(F1038="ZOLON",PR!$BP1036,"-"))))))))))))))))))))))))))))))))))))))))))))))))))))))))))))))))</f>
        <v>2400</v>
      </c>
      <c r="F1038" s="102" t="str">
        <f>EV!L1318</f>
        <v>TEMITA</v>
      </c>
      <c r="G1038" s="108">
        <f>IF(H1038="ALPHA",PR!$E1036,IF(H1038="ASSENE",PR!$F1036,IF(H1038="BIOFEM",PR!$G1036,IF(H1038="BIOMED",PR!$H1036,IF(H1038="CHI",PR!$I1036,IF(H1038="CLARION",PR!$J1036,IF(H1038="CODIX",PR!$K1036,IF(H1038="COSMADE",PR!$L1036,IF(H1038="SANCON",PR!$M1036,IF(H1038="DEVON",PR!$N1036,IF(H1038="DORTEMAG",PR!$O1036,IF(H1038="DGF",PR!$P1036,IF(H1038="DYNAMIC",PR!$Q1036,IF(H1038="EMZOR",PR!$R1036,IF(H1038="EUMATT",PR!$S1036,IF(H1038="FIDSON",PR!$T1036,IF(H1038="FCGLOBAL",PR!$U1036,IF(H1038="GENEITH",PR!$V1036,IF(H1038="GINOS",PR!$W1036,IF(H1038="GSK",PR!$X1036,IF(H1038="GLOBORG",PR!$Y1036,IF(H1038="GOODNEWS",PR!$Z1036,IF(H1038="GREENLIFE",PR!$AA1036,IF(H1038="HLINE",PR!$AB1036,IF(H1038="ROTECH",PR!$AC1036,IF(H1038="ISN",PR!$AD1036,IF(H1038="JAWA",PR!$AE1036,IF(H1038="LAYO",PR!$AF1036,IF(H1038="LEADWAY",PR!$AG1036,IF(H1038="LHV",PR!$AH1036,IF(H1038="MANOLA",PR!$AI1036,IF(H1038="MARCSON",PR!$AJ1036,IF(H1038="M&amp;B",PR!$AK1036,IF(H1038="MTRUST",PR!$AL1036,IF(H1038="MWORLD",PR!$AM1036,IF(H1038="MEGA",PR!$AN1036,IF(H1038="MICRONOVA",PR!$AO1036,IF(H1038="MFLASH",PR!$AP1036,IF(H1038="MORISON",PR!$AQ1036,IF(H1038="NEMEL",PR!$AR1036,IF(H1038="NHP",PR!$AS1036,IF(H1038="NHC",PR!$AT1036,IF(H1038="OLEAF",PR!$AU1036,IF(H1038="OCULUS",PR!$AV1036,IF(H1038="PACIFIC",PR!$AW1036,IF(H1038="PHAMATEX",PR!$AX1036,IF(H1038="PETHICS",PR!$AY1036,IF(H1038="PHILIPS",PR!$AZ1036,IF(H1038="RANBAXY",PR!$BA1036,IF(H1038="REALS",PR!$BB1036,IF(H1038="ROYAL",PR!$BC1036,IF(H1038="SAM",PR!$BD1036,IF(H1038="SEAGREEN",PR!$BE1036,IF(H1038="SKG",PR!$BF1036,IF(H1038="TAH",PR!$BG1036,IF(H1038="TAYLEK",PR!$BH1036,IF(H1038="TEMITA",PR!$BI1036,IF(H1038="THL",PR!$BJ1036,IF(H1038="UBASTIC",PR!$BK1036,IF(H1038="UNION",PR!$BL1036,IF(H1038="UNIQUE",PR!$BM1036,IF(H1038="VIXA",PR!$BN1036,IF(H1038="WWCV",PR!$BO1036,IF(H1038="ZOLON",PR!$BP1036,"-"))))))))))))))))))))))))))))))))))))))))))))))))))))))))))))))))</f>
        <v>3250</v>
      </c>
      <c r="H1038" s="102" t="str">
        <f>EV!M1318</f>
        <v>LAYO</v>
      </c>
      <c r="I1038" s="108">
        <f>IF(J1038="ALPHA",PR!$E1036,IF(J1038="ASSENE",PR!$F1036,IF(J1038="BIOFEM",PR!$G1036,IF(J1038="BIOMED",PR!$H1036,IF(J1038="CHI",PR!$I1036,IF(J1038="CLARION",PR!$J1036,IF(J1038="CODIX",PR!$K1036,IF(J1038="COSMADE",PR!$L1036,IF(J1038="SANCON",PR!$M1036,IF(J1038="DEVON",PR!$N1036,IF(J1038="DORTEMAG",PR!$O1036,IF(J1038="DGF",PR!$P1036,IF(J1038="DYNAMIC",PR!$Q1036,IF(J1038="EMZOR",PR!$R1036,IF(J1038="EUMATT",PR!$S1036,IF(J1038="FIDSON",PR!$T1036,IF(J1038="FCGLOBAL",PR!$U1036,IF(J1038="GENEITH",PR!$V1036,IF(J1038="GINOS",PR!$W1036,IF(J1038="GSK",PR!$X1036,IF(J1038="GLOBORG",PR!$Y1036,IF(J1038="GOODNEWS",PR!$Z1036,IF(J1038="GREENLIFE",PR!$AA1036,IF(J1038="HLINE",PR!$AB1036,IF(J1038="ROTECH",PR!$AC1036,IF(J1038="ISN",PR!$AD1036,IF(J1038="JAWA",PR!$AE1036,IF(J1038="LAYO",PR!$AF1036,IF(J1038="LEADWAY",PR!$AG1036,IF(J1038="LHV",PR!$AH1036,IF(J1038="MANOLA",PR!$AI1036,IF(J1038="MARCSON",PR!$AJ1036,IF(J1038="M&amp;B",PR!$AK1036,IF(J1038="MTRUST",PR!$AL1036,IF(J1038="MWORLD",PR!$AM1036,IF(J1038="MEGA",PR!$AN1036,IF(J1038="MICRONOVA",PR!$AO1036,IF(J1038="MFLASH",PR!$AP1036,IF(J1038="MORISON",PR!$AQ1036,IF(J1038="NEMEL",PR!$AR1036,IF(J1038="NHP",PR!$AS1036,IF(J1038="NHC",PR!$AT1036,IF(J1038="OLEAF",PR!$AU1036,IF(J1038="OCULUS",PR!$AV1036,IF(J1038="PACIFIC",PR!$AW1036,IF(J1038="PHAMATEX",PR!$AX1036,IF(J1038="PETHICS",PR!$AY1036,IF(J1038="PHILIPS",PR!$AZ1036,IF(J1038="RANBAXY",PR!$BA1036,IF(J1038="REALS",PR!$BB1036,IF(J1038="ROYAL",PR!$BC1036,IF(J1038="SAM",PR!$BD1036,IF(J1038="SEAGREEN",PR!$BE1036,IF(J1038="SKG",PR!$BF1036,IF(J1038="TAH",PR!$BG1036,IF(J1038="TAYLEK",PR!$BH1036,IF(J1038="TEMITA",PR!$BI1036,IF(J1038="THL",PR!$BJ1036,IF(J1038="UBASTIC",PR!$BK1036,IF(J1038="UNION",PR!$BL1036,IF(J1038="UNIQUE",PR!$BM1036,IF(J1038="VIXA",PR!$BN1036,IF(J1038="WWCV",PR!$BO1036,IF(J1038="ZOLON",PR!$BP1036,"-"))))))))))))))))))))))))))))))))))))))))))))))))))))))))))))))))</f>
        <v>3724</v>
      </c>
      <c r="J1038" s="102" t="str">
        <f>EV!N1318</f>
        <v>DYNAMIC</v>
      </c>
      <c r="K1038" s="433" t="s">
        <v>1463</v>
      </c>
      <c r="L1038" s="183">
        <f>IF(K1038&gt;0,IF(K1038="ALPHA",PR!$E1036,IF(K1038="ASSENE",PR!$F1036,IF(K1038="BIOFEM",PR!$G1036,IF(K1038="BIOMED",PR!$H1036,IF(K1038="CHI",PR!$I1036,IF(K1038="CLARION",PR!$J1036,IF(K1038="CODIX",PR!$K1036,IF(K1038="COSMADE",PR!$L1036,IF(K1038="SANCON",PR!$M1036,IF(K1038="DEVON",PR!$N1036,IF(K1038="DORTEMAG",PR!$O1036,IF(K1038="DGF",PR!$P1036,IF(K1038="DYNAMIC",PR!$Q1036,IF(K1038="EMZOR",PR!$R1036,IF(K1038="EUMATT",PR!$S1036,IF(K1038="FIDSON",PR!$T1036,IF(K1038="FCGLOBAL",PR!$U1036,IF(K1038="GENEITH",PR!$V1036,IF(K1038="GINOS",PR!$W1036,IF(K1038="GSK",PR!$X1036,IF(K1038="GLOBORG",PR!$Y1036,IF(K1038="GOODNEWS",PR!$Z1036,IF(K1038="GREENLIFE",PR!$AA1036,IF(K1038="HLINE",PR!$AB1036,IF(K1038="ROTECH",PR!$AC1036,IF(K1038="ISN",PR!$AD1036,IF(K1038="JAWA",PR!$AE1036,IF(K1038="LAYO",PR!$AF1036,IF(K1038="LEADWAY",PR!$AG1036,IF(K1038="LHV",PR!$AH1036,IF(K1038="MANOLA",PR!$AI1036,IF(K1038="MARCSON",PR!$AJ1036,IF(K1038="M&amp;B",PR!$AK1036,IF(K1038="MTRUST",PR!$AL1036,IF(K1038="MWORLD",PR!$AM1036,IF(K1038="MEGA",PR!$AN1036,IF(K1038="MICRONOVA",PR!$AO1036,IF(K1038="MFLASH",PR!$AP1036,IF(K1038="MORISON",PR!$AQ1036,IF(K1038="NEMEL",PR!$AR1036,IF(K1038="NHP",PR!$AS1036,IF(K1038="NHC",PR!$AT1036,IF(K1038="OLEAF",PR!$AU1036,IF(K1038="OCULUS",PR!$AV1036,IF(K1038="PACIFIC",PR!$AW1036,IF(K1038="PHAMATEX",PR!$AX1036,IF(K1038="PETHICS",PR!$AY1036,IF(K1038="PHILIPS",PR!$AZ1036,IF(K1038="RANBAXY",PR!$BA1036,IF(K1038="REALS",PR!$BB1036,IF(K1038="ROYAL",PR!$BC1036,IF(K1038="SAM",PR!$BD1036,IF(K1038="SEAGREEN",PR!$BE1036,IF(K1038="SKG",PR!$BF1036,IF(K1038="TAH",PR!$BG1036,IF(K1038="TAYLEK",PR!$BH1036,IF(K1038="TEMITA",PR!$BI1036,IF(K1038="THL",PR!$BJ1036,IF(K1038="UBASTIC",PR!$BK1036,IF(K1038="UNION",PR!$BL1036,IF(K1038="UNIQUE",PR!$BM1036,IF(K1038="VIXA",PR!$BN1036,IF(K1038="WWCV",PR!$BO1036,IF(K1038="ZOLON",PR!$BP1036,"-")))))))))))))))))))))))))))))))))))))))))))))))))))))))))))))))))</f>
        <v>2400</v>
      </c>
    </row>
    <row r="1039" spans="1:12" ht="18.75" x14ac:dyDescent="0.3">
      <c r="A1039" s="430">
        <f>PR!A1037</f>
        <v>935</v>
      </c>
      <c r="B1039" s="15" t="str">
        <f>PR!B1037</f>
        <v>PPD PROTEIN TUBERCULIN</v>
      </c>
      <c r="C1039" s="113" t="str">
        <f>PR!D1037</f>
        <v>1 bottle of 2ml</v>
      </c>
      <c r="D1039" s="113">
        <f>PR!C1037</f>
        <v>12</v>
      </c>
      <c r="E1039" s="108">
        <f>IF(F1039="ALPHA",PR!$E1037,IF(F1039="ASSENE",PR!$F1037,IF(F1039="BIOFEM",PR!$G1037,IF(F1039="BIOMED",PR!$H1037,IF(F1039="CHI",PR!$I1037,IF(F1039="CLARION",PR!$J1037,IF(F1039="CODIX",PR!$K1037,IF(F1039="COSMADE",PR!$L1037,IF(F1039="SANCON",PR!$M1037,IF(F1039="DEVON",PR!$N1037,IF(F1039="DORTEMAG",PR!$O1037,IF(F1039="DGF",PR!$P1037,IF(F1039="DYNAMIC",PR!$Q1037,IF(F1039="EMZOR",PR!$R1037,IF(F1039="EUMATT",PR!$S1037,IF(F1039="FIDSON",PR!$T1037,IF(F1039="FCGLOBAL",PR!$U1037,IF(F1039="GENEITH",PR!$V1037,IF(F1039="GINOS",PR!$W1037,IF(F1039="GSK",PR!$X1037,IF(F1039="GLOBORG",PR!$Y1037,IF(F1039="GOODNEWS",PR!$Z1037,IF(F1039="GREENLIFE",PR!$AA1037,IF(F1039="HLINE",PR!$AB1037,IF(F1039="ROTECH",PR!$AC1037,IF(F1039="ISN",PR!$AD1037,IF(F1039="JAWA",PR!$AE1037,IF(F1039="LAYO",PR!$AF1037,IF(F1039="LEADWAY",PR!$AG1037,IF(F1039="LHV",PR!$AH1037,IF(F1039="MANOLA",PR!$AI1037,IF(F1039="MARCSON",PR!$AJ1037,IF(F1039="M&amp;B",PR!$AK1037,IF(F1039="MTRUST",PR!$AL1037,IF(F1039="MWORLD",PR!$AM1037,IF(F1039="MEGA",PR!$AN1037,IF(F1039="MICRONOVA",PR!$AO1037,IF(F1039="MFLASH",PR!$AP1037,IF(F1039="MORISON",PR!$AQ1037,IF(F1039="NEMEL",PR!$AR1037,IF(F1039="NHP",PR!$AS1037,IF(F1039="NHC",PR!$AT1037,IF(F1039="OLEAF",PR!$AU1037,IF(F1039="OCULUS",PR!$AV1037,IF(F1039="PACIFIC",PR!$AW1037,IF(F1039="PHAMATEX",PR!$AX1037,IF(F1039="PETHICS",PR!$AY1037,IF(F1039="PHILIPS",PR!$AZ1037,IF(F1039="RANBAXY",PR!$BA1037,IF(F1039="REALS",PR!$BB1037,IF(F1039="ROYAL",PR!$BC1037,IF(F1039="SAM",PR!$BD1037,IF(F1039="SEAGREEN",PR!$BE1037,IF(F1039="SKG",PR!$BF1037,IF(F1039="TAH",PR!$BG1037,IF(F1039="TAYLEK",PR!$BH1037,IF(F1039="TEMITA",PR!$BI1037,IF(F1039="THL",PR!$BJ1037,IF(F1039="UBASTIC",PR!$BK1037,IF(F1039="UNION",PR!$BL1037,IF(F1039="UNIQUE",PR!$BM1037,IF(F1039="VIXA",PR!$BN1037,IF(F1039="WWCV",PR!$BO1037,IF(F1039="ZOLON",PR!$BP1037,"-"))))))))))))))))))))))))))))))))))))))))))))))))))))))))))))))))</f>
        <v>2660</v>
      </c>
      <c r="F1039" s="102" t="str">
        <f>EV!L1319</f>
        <v>DYNAMIC</v>
      </c>
      <c r="G1039" s="108">
        <f>IF(H1039="ALPHA",PR!$E1037,IF(H1039="ASSENE",PR!$F1037,IF(H1039="BIOFEM",PR!$G1037,IF(H1039="BIOMED",PR!$H1037,IF(H1039="CHI",PR!$I1037,IF(H1039="CLARION",PR!$J1037,IF(H1039="CODIX",PR!$K1037,IF(H1039="COSMADE",PR!$L1037,IF(H1039="SANCON",PR!$M1037,IF(H1039="DEVON",PR!$N1037,IF(H1039="DORTEMAG",PR!$O1037,IF(H1039="DGF",PR!$P1037,IF(H1039="DYNAMIC",PR!$Q1037,IF(H1039="EMZOR",PR!$R1037,IF(H1039="EUMATT",PR!$S1037,IF(H1039="FIDSON",PR!$T1037,IF(H1039="FCGLOBAL",PR!$U1037,IF(H1039="GENEITH",PR!$V1037,IF(H1039="GINOS",PR!$W1037,IF(H1039="GSK",PR!$X1037,IF(H1039="GLOBORG",PR!$Y1037,IF(H1039="GOODNEWS",PR!$Z1037,IF(H1039="GREENLIFE",PR!$AA1037,IF(H1039="HLINE",PR!$AB1037,IF(H1039="ROTECH",PR!$AC1037,IF(H1039="ISN",PR!$AD1037,IF(H1039="JAWA",PR!$AE1037,IF(H1039="LAYO",PR!$AF1037,IF(H1039="LEADWAY",PR!$AG1037,IF(H1039="LHV",PR!$AH1037,IF(H1039="MANOLA",PR!$AI1037,IF(H1039="MARCSON",PR!$AJ1037,IF(H1039="M&amp;B",PR!$AK1037,IF(H1039="MTRUST",PR!$AL1037,IF(H1039="MWORLD",PR!$AM1037,IF(H1039="MEGA",PR!$AN1037,IF(H1039="MICRONOVA",PR!$AO1037,IF(H1039="MFLASH",PR!$AP1037,IF(H1039="MORISON",PR!$AQ1037,IF(H1039="NEMEL",PR!$AR1037,IF(H1039="NHP",PR!$AS1037,IF(H1039="NHC",PR!$AT1037,IF(H1039="OLEAF",PR!$AU1037,IF(H1039="OCULUS",PR!$AV1037,IF(H1039="PACIFIC",PR!$AW1037,IF(H1039="PHAMATEX",PR!$AX1037,IF(H1039="PETHICS",PR!$AY1037,IF(H1039="PHILIPS",PR!$AZ1037,IF(H1039="RANBAXY",PR!$BA1037,IF(H1039="REALS",PR!$BB1037,IF(H1039="ROYAL",PR!$BC1037,IF(H1039="SAM",PR!$BD1037,IF(H1039="SEAGREEN",PR!$BE1037,IF(H1039="SKG",PR!$BF1037,IF(H1039="TAH",PR!$BG1037,IF(H1039="TAYLEK",PR!$BH1037,IF(H1039="TEMITA",PR!$BI1037,IF(H1039="THL",PR!$BJ1037,IF(H1039="UBASTIC",PR!$BK1037,IF(H1039="UNION",PR!$BL1037,IF(H1039="UNIQUE",PR!$BM1037,IF(H1039="VIXA",PR!$BN1037,IF(H1039="WWCV",PR!$BO1037,IF(H1039="ZOLON",PR!$BP1037,"-"))))))))))))))))))))))))))))))))))))))))))))))))))))))))))))))))</f>
        <v>3250</v>
      </c>
      <c r="H1039" s="102" t="str">
        <f>EV!M1319</f>
        <v>LAYO</v>
      </c>
      <c r="I1039" s="108">
        <f>IF(J1039="ALPHA",PR!$E1037,IF(J1039="ASSENE",PR!$F1037,IF(J1039="BIOFEM",PR!$G1037,IF(J1039="BIOMED",PR!$H1037,IF(J1039="CHI",PR!$I1037,IF(J1039="CLARION",PR!$J1037,IF(J1039="CODIX",PR!$K1037,IF(J1039="COSMADE",PR!$L1037,IF(J1039="SANCON",PR!$M1037,IF(J1039="DEVON",PR!$N1037,IF(J1039="DORTEMAG",PR!$O1037,IF(J1039="DGF",PR!$P1037,IF(J1039="DYNAMIC",PR!$Q1037,IF(J1039="EMZOR",PR!$R1037,IF(J1039="EUMATT",PR!$S1037,IF(J1039="FIDSON",PR!$T1037,IF(J1039="FCGLOBAL",PR!$U1037,IF(J1039="GENEITH",PR!$V1037,IF(J1039="GINOS",PR!$W1037,IF(J1039="GSK",PR!$X1037,IF(J1039="GLOBORG",PR!$Y1037,IF(J1039="GOODNEWS",PR!$Z1037,IF(J1039="GREENLIFE",PR!$AA1037,IF(J1039="HLINE",PR!$AB1037,IF(J1039="ROTECH",PR!$AC1037,IF(J1039="ISN",PR!$AD1037,IF(J1039="JAWA",PR!$AE1037,IF(J1039="LAYO",PR!$AF1037,IF(J1039="LEADWAY",PR!$AG1037,IF(J1039="LHV",PR!$AH1037,IF(J1039="MANOLA",PR!$AI1037,IF(J1039="MARCSON",PR!$AJ1037,IF(J1039="M&amp;B",PR!$AK1037,IF(J1039="MTRUST",PR!$AL1037,IF(J1039="MWORLD",PR!$AM1037,IF(J1039="MEGA",PR!$AN1037,IF(J1039="MICRONOVA",PR!$AO1037,IF(J1039="MFLASH",PR!$AP1037,IF(J1039="MORISON",PR!$AQ1037,IF(J1039="NEMEL",PR!$AR1037,IF(J1039="NHP",PR!$AS1037,IF(J1039="NHC",PR!$AT1037,IF(J1039="OLEAF",PR!$AU1037,IF(J1039="OCULUS",PR!$AV1037,IF(J1039="PACIFIC",PR!$AW1037,IF(J1039="PHAMATEX",PR!$AX1037,IF(J1039="PETHICS",PR!$AY1037,IF(J1039="PHILIPS",PR!$AZ1037,IF(J1039="RANBAXY",PR!$BA1037,IF(J1039="REALS",PR!$BB1037,IF(J1039="ROYAL",PR!$BC1037,IF(J1039="SAM",PR!$BD1037,IF(J1039="SEAGREEN",PR!$BE1037,IF(J1039="SKG",PR!$BF1037,IF(J1039="TAH",PR!$BG1037,IF(J1039="TAYLEK",PR!$BH1037,IF(J1039="TEMITA",PR!$BI1037,IF(J1039="THL",PR!$BJ1037,IF(J1039="UBASTIC",PR!$BK1037,IF(J1039="UNION",PR!$BL1037,IF(J1039="UNIQUE",PR!$BM1037,IF(J1039="VIXA",PR!$BN1037,IF(J1039="WWCV",PR!$BO1037,IF(J1039="ZOLON",PR!$BP1037,"-"))))))))))))))))))))))))))))))))))))))))))))))))))))))))))))))))</f>
        <v>3500</v>
      </c>
      <c r="J1039" s="102" t="str">
        <f>EV!N1319</f>
        <v>UBASTIC</v>
      </c>
      <c r="K1039" s="433" t="s">
        <v>626</v>
      </c>
      <c r="L1039" s="183">
        <f>IF(K1039&gt;0,IF(K1039="ALPHA",PR!$E1037,IF(K1039="ASSENE",PR!$F1037,IF(K1039="BIOFEM",PR!$G1037,IF(K1039="BIOMED",PR!$H1037,IF(K1039="CHI",PR!$I1037,IF(K1039="CLARION",PR!$J1037,IF(K1039="CODIX",PR!$K1037,IF(K1039="COSMADE",PR!$L1037,IF(K1039="SANCON",PR!$M1037,IF(K1039="DEVON",PR!$N1037,IF(K1039="DORTEMAG",PR!$O1037,IF(K1039="DGF",PR!$P1037,IF(K1039="DYNAMIC",PR!$Q1037,IF(K1039="EMZOR",PR!$R1037,IF(K1039="EUMATT",PR!$S1037,IF(K1039="FIDSON",PR!$T1037,IF(K1039="FCGLOBAL",PR!$U1037,IF(K1039="GENEITH",PR!$V1037,IF(K1039="GINOS",PR!$W1037,IF(K1039="GSK",PR!$X1037,IF(K1039="GLOBORG",PR!$Y1037,IF(K1039="GOODNEWS",PR!$Z1037,IF(K1039="GREENLIFE",PR!$AA1037,IF(K1039="HLINE",PR!$AB1037,IF(K1039="ROTECH",PR!$AC1037,IF(K1039="ISN",PR!$AD1037,IF(K1039="JAWA",PR!$AE1037,IF(K1039="LAYO",PR!$AF1037,IF(K1039="LEADWAY",PR!$AG1037,IF(K1039="LHV",PR!$AH1037,IF(K1039="MANOLA",PR!$AI1037,IF(K1039="MARCSON",PR!$AJ1037,IF(K1039="M&amp;B",PR!$AK1037,IF(K1039="MTRUST",PR!$AL1037,IF(K1039="MWORLD",PR!$AM1037,IF(K1039="MEGA",PR!$AN1037,IF(K1039="MICRONOVA",PR!$AO1037,IF(K1039="MFLASH",PR!$AP1037,IF(K1039="MORISON",PR!$AQ1037,IF(K1039="NEMEL",PR!$AR1037,IF(K1039="NHP",PR!$AS1037,IF(K1039="NHC",PR!$AT1037,IF(K1039="OLEAF",PR!$AU1037,IF(K1039="OCULUS",PR!$AV1037,IF(K1039="PACIFIC",PR!$AW1037,IF(K1039="PHAMATEX",PR!$AX1037,IF(K1039="PETHICS",PR!$AY1037,IF(K1039="PHILIPS",PR!$AZ1037,IF(K1039="RANBAXY",PR!$BA1037,IF(K1039="REALS",PR!$BB1037,IF(K1039="ROYAL",PR!$BC1037,IF(K1039="SAM",PR!$BD1037,IF(K1039="SEAGREEN",PR!$BE1037,IF(K1039="SKG",PR!$BF1037,IF(K1039="TAH",PR!$BG1037,IF(K1039="TAYLEK",PR!$BH1037,IF(K1039="TEMITA",PR!$BI1037,IF(K1039="THL",PR!$BJ1037,IF(K1039="UBASTIC",PR!$BK1037,IF(K1039="UNION",PR!$BL1037,IF(K1039="UNIQUE",PR!$BM1037,IF(K1039="VIXA",PR!$BN1037,IF(K1039="WWCV",PR!$BO1037,IF(K1039="ZOLON",PR!$BP1037,"-")))))))))))))))))))))))))))))))))))))))))))))))))))))))))))))))))</f>
        <v>2660</v>
      </c>
    </row>
    <row r="1040" spans="1:12" ht="18.75" x14ac:dyDescent="0.3">
      <c r="A1040" s="430">
        <f>PR!A1038</f>
        <v>936</v>
      </c>
      <c r="B1040" s="15" t="str">
        <f>PR!B1038</f>
        <v>APPLICATOR STICK</v>
      </c>
      <c r="C1040" s="113" t="str">
        <f>PR!D1038</f>
        <v>1 pack of 1000pieces</v>
      </c>
      <c r="D1040" s="113">
        <f>PR!C1038</f>
        <v>20</v>
      </c>
      <c r="E1040" s="108">
        <f>IF(F1040="ALPHA",PR!$E1038,IF(F1040="ASSENE",PR!$F1038,IF(F1040="BIOFEM",PR!$G1038,IF(F1040="BIOMED",PR!$H1038,IF(F1040="CHI",PR!$I1038,IF(F1040="CLARION",PR!$J1038,IF(F1040="CODIX",PR!$K1038,IF(F1040="COSMADE",PR!$L1038,IF(F1040="SANCON",PR!$M1038,IF(F1040="DEVON",PR!$N1038,IF(F1040="DORTEMAG",PR!$O1038,IF(F1040="DGF",PR!$P1038,IF(F1040="DYNAMIC",PR!$Q1038,IF(F1040="EMZOR",PR!$R1038,IF(F1040="EUMATT",PR!$S1038,IF(F1040="FIDSON",PR!$T1038,IF(F1040="FCGLOBAL",PR!$U1038,IF(F1040="GENEITH",PR!$V1038,IF(F1040="GINOS",PR!$W1038,IF(F1040="GSK",PR!$X1038,IF(F1040="GLOBORG",PR!$Y1038,IF(F1040="GOODNEWS",PR!$Z1038,IF(F1040="GREENLIFE",PR!$AA1038,IF(F1040="HLINE",PR!$AB1038,IF(F1040="ROTECH",PR!$AC1038,IF(F1040="ISN",PR!$AD1038,IF(F1040="JAWA",PR!$AE1038,IF(F1040="LAYO",PR!$AF1038,IF(F1040="LEADWAY",PR!$AG1038,IF(F1040="LHV",PR!$AH1038,IF(F1040="MANOLA",PR!$AI1038,IF(F1040="MARCSON",PR!$AJ1038,IF(F1040="M&amp;B",PR!$AK1038,IF(F1040="MTRUST",PR!$AL1038,IF(F1040="MWORLD",PR!$AM1038,IF(F1040="MEGA",PR!$AN1038,IF(F1040="MICRONOVA",PR!$AO1038,IF(F1040="MFLASH",PR!$AP1038,IF(F1040="MORISON",PR!$AQ1038,IF(F1040="NEMEL",PR!$AR1038,IF(F1040="NHP",PR!$AS1038,IF(F1040="NHC",PR!$AT1038,IF(F1040="OLEAF",PR!$AU1038,IF(F1040="OCULUS",PR!$AV1038,IF(F1040="PACIFIC",PR!$AW1038,IF(F1040="PHAMATEX",PR!$AX1038,IF(F1040="PETHICS",PR!$AY1038,IF(F1040="PHILIPS",PR!$AZ1038,IF(F1040="RANBAXY",PR!$BA1038,IF(F1040="REALS",PR!$BB1038,IF(F1040="ROYAL",PR!$BC1038,IF(F1040="SAM",PR!$BD1038,IF(F1040="SEAGREEN",PR!$BE1038,IF(F1040="SKG",PR!$BF1038,IF(F1040="TAH",PR!$BG1038,IF(F1040="TAYLEK",PR!$BH1038,IF(F1040="TEMITA",PR!$BI1038,IF(F1040="THL",PR!$BJ1038,IF(F1040="UBASTIC",PR!$BK1038,IF(F1040="UNION",PR!$BL1038,IF(F1040="UNIQUE",PR!$BM1038,IF(F1040="VIXA",PR!$BN1038,IF(F1040="WWCV",PR!$BO1038,IF(F1040="ZOLON",PR!$BP1038,"-"))))))))))))))))))))))))))))))))))))))))))))))))))))))))))))))))</f>
        <v>3300</v>
      </c>
      <c r="F1040" s="102" t="str">
        <f>EV!L1320</f>
        <v>ROTECH</v>
      </c>
      <c r="G1040" s="108">
        <f>IF(H1040="ALPHA",PR!$E1038,IF(H1040="ASSENE",PR!$F1038,IF(H1040="BIOFEM",PR!$G1038,IF(H1040="BIOMED",PR!$H1038,IF(H1040="CHI",PR!$I1038,IF(H1040="CLARION",PR!$J1038,IF(H1040="CODIX",PR!$K1038,IF(H1040="COSMADE",PR!$L1038,IF(H1040="SANCON",PR!$M1038,IF(H1040="DEVON",PR!$N1038,IF(H1040="DORTEMAG",PR!$O1038,IF(H1040="DGF",PR!$P1038,IF(H1040="DYNAMIC",PR!$Q1038,IF(H1040="EMZOR",PR!$R1038,IF(H1040="EUMATT",PR!$S1038,IF(H1040="FIDSON",PR!$T1038,IF(H1040="FCGLOBAL",PR!$U1038,IF(H1040="GENEITH",PR!$V1038,IF(H1040="GINOS",PR!$W1038,IF(H1040="GSK",PR!$X1038,IF(H1040="GLOBORG",PR!$Y1038,IF(H1040="GOODNEWS",PR!$Z1038,IF(H1040="GREENLIFE",PR!$AA1038,IF(H1040="HLINE",PR!$AB1038,IF(H1040="ROTECH",PR!$AC1038,IF(H1040="ISN",PR!$AD1038,IF(H1040="JAWA",PR!$AE1038,IF(H1040="LAYO",PR!$AF1038,IF(H1040="LEADWAY",PR!$AG1038,IF(H1040="LHV",PR!$AH1038,IF(H1040="MANOLA",PR!$AI1038,IF(H1040="MARCSON",PR!$AJ1038,IF(H1040="M&amp;B",PR!$AK1038,IF(H1040="MTRUST",PR!$AL1038,IF(H1040="MWORLD",PR!$AM1038,IF(H1040="MEGA",PR!$AN1038,IF(H1040="MICRONOVA",PR!$AO1038,IF(H1040="MFLASH",PR!$AP1038,IF(H1040="MORISON",PR!$AQ1038,IF(H1040="NEMEL",PR!$AR1038,IF(H1040="NHP",PR!$AS1038,IF(H1040="NHC",PR!$AT1038,IF(H1040="OLEAF",PR!$AU1038,IF(H1040="OCULUS",PR!$AV1038,IF(H1040="PACIFIC",PR!$AW1038,IF(H1040="PHAMATEX",PR!$AX1038,IF(H1040="PETHICS",PR!$AY1038,IF(H1040="PHILIPS",PR!$AZ1038,IF(H1040="RANBAXY",PR!$BA1038,IF(H1040="REALS",PR!$BB1038,IF(H1040="ROYAL",PR!$BC1038,IF(H1040="SAM",PR!$BD1038,IF(H1040="SEAGREEN",PR!$BE1038,IF(H1040="SKG",PR!$BF1038,IF(H1040="TAH",PR!$BG1038,IF(H1040="TAYLEK",PR!$BH1038,IF(H1040="TEMITA",PR!$BI1038,IF(H1040="THL",PR!$BJ1038,IF(H1040="UBASTIC",PR!$BK1038,IF(H1040="UNION",PR!$BL1038,IF(H1040="UNIQUE",PR!$BM1038,IF(H1040="VIXA",PR!$BN1038,IF(H1040="WWCV",PR!$BO1038,IF(H1040="ZOLON",PR!$BP1038,"-"))))))))))))))))))))))))))))))))))))))))))))))))))))))))))))))))</f>
        <v>3990</v>
      </c>
      <c r="H1040" s="102" t="str">
        <f>EV!M1320</f>
        <v>DYNAMIC</v>
      </c>
      <c r="I1040" s="108">
        <f>IF(J1040="ALPHA",PR!$E1038,IF(J1040="ASSENE",PR!$F1038,IF(J1040="BIOFEM",PR!$G1038,IF(J1040="BIOMED",PR!$H1038,IF(J1040="CHI",PR!$I1038,IF(J1040="CLARION",PR!$J1038,IF(J1040="CODIX",PR!$K1038,IF(J1040="COSMADE",PR!$L1038,IF(J1040="SANCON",PR!$M1038,IF(J1040="DEVON",PR!$N1038,IF(J1040="DORTEMAG",PR!$O1038,IF(J1040="DGF",PR!$P1038,IF(J1040="DYNAMIC",PR!$Q1038,IF(J1040="EMZOR",PR!$R1038,IF(J1040="EUMATT",PR!$S1038,IF(J1040="FIDSON",PR!$T1038,IF(J1040="FCGLOBAL",PR!$U1038,IF(J1040="GENEITH",PR!$V1038,IF(J1040="GINOS",PR!$W1038,IF(J1040="GSK",PR!$X1038,IF(J1040="GLOBORG",PR!$Y1038,IF(J1040="GOODNEWS",PR!$Z1038,IF(J1040="GREENLIFE",PR!$AA1038,IF(J1040="HLINE",PR!$AB1038,IF(J1040="ROTECH",PR!$AC1038,IF(J1040="ISN",PR!$AD1038,IF(J1040="JAWA",PR!$AE1038,IF(J1040="LAYO",PR!$AF1038,IF(J1040="LEADWAY",PR!$AG1038,IF(J1040="LHV",PR!$AH1038,IF(J1040="MANOLA",PR!$AI1038,IF(J1040="MARCSON",PR!$AJ1038,IF(J1040="M&amp;B",PR!$AK1038,IF(J1040="MTRUST",PR!$AL1038,IF(J1040="MWORLD",PR!$AM1038,IF(J1040="MEGA",PR!$AN1038,IF(J1040="MICRONOVA",PR!$AO1038,IF(J1040="MFLASH",PR!$AP1038,IF(J1040="MORISON",PR!$AQ1038,IF(J1040="NEMEL",PR!$AR1038,IF(J1040="NHP",PR!$AS1038,IF(J1040="NHC",PR!$AT1038,IF(J1040="OLEAF",PR!$AU1038,IF(J1040="OCULUS",PR!$AV1038,IF(J1040="PACIFIC",PR!$AW1038,IF(J1040="PHAMATEX",PR!$AX1038,IF(J1040="PETHICS",PR!$AY1038,IF(J1040="PHILIPS",PR!$AZ1038,IF(J1040="RANBAXY",PR!$BA1038,IF(J1040="REALS",PR!$BB1038,IF(J1040="ROYAL",PR!$BC1038,IF(J1040="SAM",PR!$BD1038,IF(J1040="SEAGREEN",PR!$BE1038,IF(J1040="SKG",PR!$BF1038,IF(J1040="TAH",PR!$BG1038,IF(J1040="TAYLEK",PR!$BH1038,IF(J1040="TEMITA",PR!$BI1038,IF(J1040="THL",PR!$BJ1038,IF(J1040="UBASTIC",PR!$BK1038,IF(J1040="UNION",PR!$BL1038,IF(J1040="UNIQUE",PR!$BM1038,IF(J1040="VIXA",PR!$BN1038,IF(J1040="WWCV",PR!$BO1038,IF(J1040="ZOLON",PR!$BP1038,"-"))))))))))))))))))))))))))))))))))))))))))))))))))))))))))))))))</f>
        <v>5000</v>
      </c>
      <c r="J1040" s="102" t="str">
        <f>EV!N1320</f>
        <v>UBASTIC</v>
      </c>
      <c r="K1040" s="433" t="s">
        <v>825</v>
      </c>
      <c r="L1040" s="183">
        <f>IF(K1040&gt;0,IF(K1040="ALPHA",PR!$E1038,IF(K1040="ASSENE",PR!$F1038,IF(K1040="BIOFEM",PR!$G1038,IF(K1040="BIOMED",PR!$H1038,IF(K1040="CHI",PR!$I1038,IF(K1040="CLARION",PR!$J1038,IF(K1040="CODIX",PR!$K1038,IF(K1040="COSMADE",PR!$L1038,IF(K1040="SANCON",PR!$M1038,IF(K1040="DEVON",PR!$N1038,IF(K1040="DORTEMAG",PR!$O1038,IF(K1040="DGF",PR!$P1038,IF(K1040="DYNAMIC",PR!$Q1038,IF(K1040="EMZOR",PR!$R1038,IF(K1040="EUMATT",PR!$S1038,IF(K1040="FIDSON",PR!$T1038,IF(K1040="FCGLOBAL",PR!$U1038,IF(K1040="GENEITH",PR!$V1038,IF(K1040="GINOS",PR!$W1038,IF(K1040="GSK",PR!$X1038,IF(K1040="GLOBORG",PR!$Y1038,IF(K1040="GOODNEWS",PR!$Z1038,IF(K1040="GREENLIFE",PR!$AA1038,IF(K1040="HLINE",PR!$AB1038,IF(K1040="ROTECH",PR!$AC1038,IF(K1040="ISN",PR!$AD1038,IF(K1040="JAWA",PR!$AE1038,IF(K1040="LAYO",PR!$AF1038,IF(K1040="LEADWAY",PR!$AG1038,IF(K1040="LHV",PR!$AH1038,IF(K1040="MANOLA",PR!$AI1038,IF(K1040="MARCSON",PR!$AJ1038,IF(K1040="M&amp;B",PR!$AK1038,IF(K1040="MTRUST",PR!$AL1038,IF(K1040="MWORLD",PR!$AM1038,IF(K1040="MEGA",PR!$AN1038,IF(K1040="MICRONOVA",PR!$AO1038,IF(K1040="MFLASH",PR!$AP1038,IF(K1040="MORISON",PR!$AQ1038,IF(K1040="NEMEL",PR!$AR1038,IF(K1040="NHP",PR!$AS1038,IF(K1040="NHC",PR!$AT1038,IF(K1040="OLEAF",PR!$AU1038,IF(K1040="OCULUS",PR!$AV1038,IF(K1040="PACIFIC",PR!$AW1038,IF(K1040="PHAMATEX",PR!$AX1038,IF(K1040="PETHICS",PR!$AY1038,IF(K1040="PHILIPS",PR!$AZ1038,IF(K1040="RANBAXY",PR!$BA1038,IF(K1040="REALS",PR!$BB1038,IF(K1040="ROYAL",PR!$BC1038,IF(K1040="SAM",PR!$BD1038,IF(K1040="SEAGREEN",PR!$BE1038,IF(K1040="SKG",PR!$BF1038,IF(K1040="TAH",PR!$BG1038,IF(K1040="TAYLEK",PR!$BH1038,IF(K1040="TEMITA",PR!$BI1038,IF(K1040="THL",PR!$BJ1038,IF(K1040="UBASTIC",PR!$BK1038,IF(K1040="UNION",PR!$BL1038,IF(K1040="UNIQUE",PR!$BM1038,IF(K1040="VIXA",PR!$BN1038,IF(K1040="WWCV",PR!$BO1038,IF(K1040="ZOLON",PR!$BP1038,"-")))))))))))))))))))))))))))))))))))))))))))))))))))))))))))))))))</f>
        <v>3300</v>
      </c>
    </row>
    <row r="1041" spans="1:12" ht="18.75" x14ac:dyDescent="0.3">
      <c r="A1041" s="430">
        <f>PR!A1039</f>
        <v>937</v>
      </c>
      <c r="B1041" s="15" t="str">
        <f>PR!B1039</f>
        <v>COVERSLIPS (22MM)</v>
      </c>
      <c r="C1041" s="113" t="str">
        <f>PR!D1039</f>
        <v>100 x 10 pieces</v>
      </c>
      <c r="D1041" s="113">
        <f>PR!C1039</f>
        <v>40</v>
      </c>
      <c r="E1041" s="108">
        <f>IF(F1041="ALPHA",PR!$E1039,IF(F1041="ASSENE",PR!$F1039,IF(F1041="BIOFEM",PR!$G1039,IF(F1041="BIOMED",PR!$H1039,IF(F1041="CHI",PR!$I1039,IF(F1041="CLARION",PR!$J1039,IF(F1041="CODIX",PR!$K1039,IF(F1041="COSMADE",PR!$L1039,IF(F1041="SANCON",PR!$M1039,IF(F1041="DEVON",PR!$N1039,IF(F1041="DORTEMAG",PR!$O1039,IF(F1041="DGF",PR!$P1039,IF(F1041="DYNAMIC",PR!$Q1039,IF(F1041="EMZOR",PR!$R1039,IF(F1041="EUMATT",PR!$S1039,IF(F1041="FIDSON",PR!$T1039,IF(F1041="FCGLOBAL",PR!$U1039,IF(F1041="GENEITH",PR!$V1039,IF(F1041="GINOS",PR!$W1039,IF(F1041="GSK",PR!$X1039,IF(F1041="GLOBORG",PR!$Y1039,IF(F1041="GOODNEWS",PR!$Z1039,IF(F1041="GREENLIFE",PR!$AA1039,IF(F1041="HLINE",PR!$AB1039,IF(F1041="ROTECH",PR!$AC1039,IF(F1041="ISN",PR!$AD1039,IF(F1041="JAWA",PR!$AE1039,IF(F1041="LAYO",PR!$AF1039,IF(F1041="LEADWAY",PR!$AG1039,IF(F1041="LHV",PR!$AH1039,IF(F1041="MANOLA",PR!$AI1039,IF(F1041="MARCSON",PR!$AJ1039,IF(F1041="M&amp;B",PR!$AK1039,IF(F1041="MTRUST",PR!$AL1039,IF(F1041="MWORLD",PR!$AM1039,IF(F1041="MEGA",PR!$AN1039,IF(F1041="MICRONOVA",PR!$AO1039,IF(F1041="MFLASH",PR!$AP1039,IF(F1041="MORISON",PR!$AQ1039,IF(F1041="NEMEL",PR!$AR1039,IF(F1041="NHP",PR!$AS1039,IF(F1041="NHC",PR!$AT1039,IF(F1041="OLEAF",PR!$AU1039,IF(F1041="OCULUS",PR!$AV1039,IF(F1041="PACIFIC",PR!$AW1039,IF(F1041="PHAMATEX",PR!$AX1039,IF(F1041="PETHICS",PR!$AY1039,IF(F1041="PHILIPS",PR!$AZ1039,IF(F1041="RANBAXY",PR!$BA1039,IF(F1041="REALS",PR!$BB1039,IF(F1041="ROYAL",PR!$BC1039,IF(F1041="SAM",PR!$BD1039,IF(F1041="SEAGREEN",PR!$BE1039,IF(F1041="SKG",PR!$BF1039,IF(F1041="TAH",PR!$BG1039,IF(F1041="TAYLEK",PR!$BH1039,IF(F1041="TEMITA",PR!$BI1039,IF(F1041="THL",PR!$BJ1039,IF(F1041="UBASTIC",PR!$BK1039,IF(F1041="UNION",PR!$BL1039,IF(F1041="UNIQUE",PR!$BM1039,IF(F1041="VIXA",PR!$BN1039,IF(F1041="WWCV",PR!$BO1039,IF(F1041="ZOLON",PR!$BP1039,"-"))))))))))))))))))))))))))))))))))))))))))))))))))))))))))))))))</f>
        <v>7049</v>
      </c>
      <c r="F1041" s="102" t="str">
        <f>EV!L1321</f>
        <v>DYNAMIC</v>
      </c>
      <c r="G1041" s="108">
        <f>IF(H1041="ALPHA",PR!$E1039,IF(H1041="ASSENE",PR!$F1039,IF(H1041="BIOFEM",PR!$G1039,IF(H1041="BIOMED",PR!$H1039,IF(H1041="CHI",PR!$I1039,IF(H1041="CLARION",PR!$J1039,IF(H1041="CODIX",PR!$K1039,IF(H1041="COSMADE",PR!$L1039,IF(H1041="SANCON",PR!$M1039,IF(H1041="DEVON",PR!$N1039,IF(H1041="DORTEMAG",PR!$O1039,IF(H1041="DGF",PR!$P1039,IF(H1041="DYNAMIC",PR!$Q1039,IF(H1041="EMZOR",PR!$R1039,IF(H1041="EUMATT",PR!$S1039,IF(H1041="FIDSON",PR!$T1039,IF(H1041="FCGLOBAL",PR!$U1039,IF(H1041="GENEITH",PR!$V1039,IF(H1041="GINOS",PR!$W1039,IF(H1041="GSK",PR!$X1039,IF(H1041="GLOBORG",PR!$Y1039,IF(H1041="GOODNEWS",PR!$Z1039,IF(H1041="GREENLIFE",PR!$AA1039,IF(H1041="HLINE",PR!$AB1039,IF(H1041="ROTECH",PR!$AC1039,IF(H1041="ISN",PR!$AD1039,IF(H1041="JAWA",PR!$AE1039,IF(H1041="LAYO",PR!$AF1039,IF(H1041="LEADWAY",PR!$AG1039,IF(H1041="LHV",PR!$AH1039,IF(H1041="MANOLA",PR!$AI1039,IF(H1041="MARCSON",PR!$AJ1039,IF(H1041="M&amp;B",PR!$AK1039,IF(H1041="MTRUST",PR!$AL1039,IF(H1041="MWORLD",PR!$AM1039,IF(H1041="MEGA",PR!$AN1039,IF(H1041="MICRONOVA",PR!$AO1039,IF(H1041="MFLASH",PR!$AP1039,IF(H1041="MORISON",PR!$AQ1039,IF(H1041="NEMEL",PR!$AR1039,IF(H1041="NHP",PR!$AS1039,IF(H1041="NHC",PR!$AT1039,IF(H1041="OLEAF",PR!$AU1039,IF(H1041="OCULUS",PR!$AV1039,IF(H1041="PACIFIC",PR!$AW1039,IF(H1041="PHAMATEX",PR!$AX1039,IF(H1041="PETHICS",PR!$AY1039,IF(H1041="PHILIPS",PR!$AZ1039,IF(H1041="RANBAXY",PR!$BA1039,IF(H1041="REALS",PR!$BB1039,IF(H1041="ROYAL",PR!$BC1039,IF(H1041="SAM",PR!$BD1039,IF(H1041="SEAGREEN",PR!$BE1039,IF(H1041="SKG",PR!$BF1039,IF(H1041="TAH",PR!$BG1039,IF(H1041="TAYLEK",PR!$BH1039,IF(H1041="TEMITA",PR!$BI1039,IF(H1041="THL",PR!$BJ1039,IF(H1041="UBASTIC",PR!$BK1039,IF(H1041="UNION",PR!$BL1039,IF(H1041="UNIQUE",PR!$BM1039,IF(H1041="VIXA",PR!$BN1039,IF(H1041="WWCV",PR!$BO1039,IF(H1041="ZOLON",PR!$BP1039,"-"))))))))))))))))))))))))))))))))))))))))))))))))))))))))))))))))</f>
        <v>7200</v>
      </c>
      <c r="H1041" s="102" t="str">
        <f>EV!M1321</f>
        <v>SANCON</v>
      </c>
      <c r="I1041" s="108">
        <f>IF(J1041="ALPHA",PR!$E1039,IF(J1041="ASSENE",PR!$F1039,IF(J1041="BIOFEM",PR!$G1039,IF(J1041="BIOMED",PR!$H1039,IF(J1041="CHI",PR!$I1039,IF(J1041="CLARION",PR!$J1039,IF(J1041="CODIX",PR!$K1039,IF(J1041="COSMADE",PR!$L1039,IF(J1041="SANCON",PR!$M1039,IF(J1041="DEVON",PR!$N1039,IF(J1041="DORTEMAG",PR!$O1039,IF(J1041="DGF",PR!$P1039,IF(J1041="DYNAMIC",PR!$Q1039,IF(J1041="EMZOR",PR!$R1039,IF(J1041="EUMATT",PR!$S1039,IF(J1041="FIDSON",PR!$T1039,IF(J1041="FCGLOBAL",PR!$U1039,IF(J1041="GENEITH",PR!$V1039,IF(J1041="GINOS",PR!$W1039,IF(J1041="GSK",PR!$X1039,IF(J1041="GLOBORG",PR!$Y1039,IF(J1041="GOODNEWS",PR!$Z1039,IF(J1041="GREENLIFE",PR!$AA1039,IF(J1041="HLINE",PR!$AB1039,IF(J1041="ROTECH",PR!$AC1039,IF(J1041="ISN",PR!$AD1039,IF(J1041="JAWA",PR!$AE1039,IF(J1041="LAYO",PR!$AF1039,IF(J1041="LEADWAY",PR!$AG1039,IF(J1041="LHV",PR!$AH1039,IF(J1041="MANOLA",PR!$AI1039,IF(J1041="MARCSON",PR!$AJ1039,IF(J1041="M&amp;B",PR!$AK1039,IF(J1041="MTRUST",PR!$AL1039,IF(J1041="MWORLD",PR!$AM1039,IF(J1041="MEGA",PR!$AN1039,IF(J1041="MICRONOVA",PR!$AO1039,IF(J1041="MFLASH",PR!$AP1039,IF(J1041="MORISON",PR!$AQ1039,IF(J1041="NEMEL",PR!$AR1039,IF(J1041="NHP",PR!$AS1039,IF(J1041="NHC",PR!$AT1039,IF(J1041="OLEAF",PR!$AU1039,IF(J1041="OCULUS",PR!$AV1039,IF(J1041="PACIFIC",PR!$AW1039,IF(J1041="PHAMATEX",PR!$AX1039,IF(J1041="PETHICS",PR!$AY1039,IF(J1041="PHILIPS",PR!$AZ1039,IF(J1041="RANBAXY",PR!$BA1039,IF(J1041="REALS",PR!$BB1039,IF(J1041="ROYAL",PR!$BC1039,IF(J1041="SAM",PR!$BD1039,IF(J1041="SEAGREEN",PR!$BE1039,IF(J1041="SKG",PR!$BF1039,IF(J1041="TAH",PR!$BG1039,IF(J1041="TAYLEK",PR!$BH1039,IF(J1041="TEMITA",PR!$BI1039,IF(J1041="THL",PR!$BJ1039,IF(J1041="UBASTIC",PR!$BK1039,IF(J1041="UNION",PR!$BL1039,IF(J1041="UNIQUE",PR!$BM1039,IF(J1041="VIXA",PR!$BN1039,IF(J1041="WWCV",PR!$BO1039,IF(J1041="ZOLON",PR!$BP1039,"-"))))))))))))))))))))))))))))))))))))))))))))))))))))))))))))))))</f>
        <v>9500</v>
      </c>
      <c r="J1041" s="102" t="str">
        <f>EV!N1321</f>
        <v>UBASTIC</v>
      </c>
      <c r="K1041" s="433" t="s">
        <v>626</v>
      </c>
      <c r="L1041" s="183">
        <f>IF(K1041&gt;0,IF(K1041="ALPHA",PR!$E1039,IF(K1041="ASSENE",PR!$F1039,IF(K1041="BIOFEM",PR!$G1039,IF(K1041="BIOMED",PR!$H1039,IF(K1041="CHI",PR!$I1039,IF(K1041="CLARION",PR!$J1039,IF(K1041="CODIX",PR!$K1039,IF(K1041="COSMADE",PR!$L1039,IF(K1041="SANCON",PR!$M1039,IF(K1041="DEVON",PR!$N1039,IF(K1041="DORTEMAG",PR!$O1039,IF(K1041="DGF",PR!$P1039,IF(K1041="DYNAMIC",PR!$Q1039,IF(K1041="EMZOR",PR!$R1039,IF(K1041="EUMATT",PR!$S1039,IF(K1041="FIDSON",PR!$T1039,IF(K1041="FCGLOBAL",PR!$U1039,IF(K1041="GENEITH",PR!$V1039,IF(K1041="GINOS",PR!$W1039,IF(K1041="GSK",PR!$X1039,IF(K1041="GLOBORG",PR!$Y1039,IF(K1041="GOODNEWS",PR!$Z1039,IF(K1041="GREENLIFE",PR!$AA1039,IF(K1041="HLINE",PR!$AB1039,IF(K1041="ROTECH",PR!$AC1039,IF(K1041="ISN",PR!$AD1039,IF(K1041="JAWA",PR!$AE1039,IF(K1041="LAYO",PR!$AF1039,IF(K1041="LEADWAY",PR!$AG1039,IF(K1041="LHV",PR!$AH1039,IF(K1041="MANOLA",PR!$AI1039,IF(K1041="MARCSON",PR!$AJ1039,IF(K1041="M&amp;B",PR!$AK1039,IF(K1041="MTRUST",PR!$AL1039,IF(K1041="MWORLD",PR!$AM1039,IF(K1041="MEGA",PR!$AN1039,IF(K1041="MICRONOVA",PR!$AO1039,IF(K1041="MFLASH",PR!$AP1039,IF(K1041="MORISON",PR!$AQ1039,IF(K1041="NEMEL",PR!$AR1039,IF(K1041="NHP",PR!$AS1039,IF(K1041="NHC",PR!$AT1039,IF(K1041="OLEAF",PR!$AU1039,IF(K1041="OCULUS",PR!$AV1039,IF(K1041="PACIFIC",PR!$AW1039,IF(K1041="PHAMATEX",PR!$AX1039,IF(K1041="PETHICS",PR!$AY1039,IF(K1041="PHILIPS",PR!$AZ1039,IF(K1041="RANBAXY",PR!$BA1039,IF(K1041="REALS",PR!$BB1039,IF(K1041="ROYAL",PR!$BC1039,IF(K1041="SAM",PR!$BD1039,IF(K1041="SEAGREEN",PR!$BE1039,IF(K1041="SKG",PR!$BF1039,IF(K1041="TAH",PR!$BG1039,IF(K1041="TAYLEK",PR!$BH1039,IF(K1041="TEMITA",PR!$BI1039,IF(K1041="THL",PR!$BJ1039,IF(K1041="UBASTIC",PR!$BK1039,IF(K1041="UNION",PR!$BL1039,IF(K1041="UNIQUE",PR!$BM1039,IF(K1041="VIXA",PR!$BN1039,IF(K1041="WWCV",PR!$BO1039,IF(K1041="ZOLON",PR!$BP1039,"-")))))))))))))))))))))))))))))))))))))))))))))))))))))))))))))))))</f>
        <v>7049</v>
      </c>
    </row>
    <row r="1042" spans="1:12" ht="18.75" x14ac:dyDescent="0.3">
      <c r="A1042" s="430">
        <f>PR!A1040</f>
        <v>938</v>
      </c>
      <c r="B1042" s="15" t="str">
        <f>PR!B1040</f>
        <v>PLAIN VACUTAINER BOTTLE</v>
      </c>
      <c r="C1042" s="113" t="str">
        <f>PR!D1040</f>
        <v>8pack x 50 pieces</v>
      </c>
      <c r="D1042" s="113">
        <f>PR!C1040</f>
        <v>40</v>
      </c>
      <c r="E1042" s="108">
        <f>IF(F1042="ALPHA",PR!$E1040,IF(F1042="ASSENE",PR!$F1040,IF(F1042="BIOFEM",PR!$G1040,IF(F1042="BIOMED",PR!$H1040,IF(F1042="CHI",PR!$I1040,IF(F1042="CLARION",PR!$J1040,IF(F1042="CODIX",PR!$K1040,IF(F1042="COSMADE",PR!$L1040,IF(F1042="SANCON",PR!$M1040,IF(F1042="DEVON",PR!$N1040,IF(F1042="DORTEMAG",PR!$O1040,IF(F1042="DGF",PR!$P1040,IF(F1042="DYNAMIC",PR!$Q1040,IF(F1042="EMZOR",PR!$R1040,IF(F1042="EUMATT",PR!$S1040,IF(F1042="FIDSON",PR!$T1040,IF(F1042="FCGLOBAL",PR!$U1040,IF(F1042="GENEITH",PR!$V1040,IF(F1042="GINOS",PR!$W1040,IF(F1042="GSK",PR!$X1040,IF(F1042="GLOBORG",PR!$Y1040,IF(F1042="GOODNEWS",PR!$Z1040,IF(F1042="GREENLIFE",PR!$AA1040,IF(F1042="HLINE",PR!$AB1040,IF(F1042="ROTECH",PR!$AC1040,IF(F1042="ISN",PR!$AD1040,IF(F1042="JAWA",PR!$AE1040,IF(F1042="LAYO",PR!$AF1040,IF(F1042="LEADWAY",PR!$AG1040,IF(F1042="LHV",PR!$AH1040,IF(F1042="MANOLA",PR!$AI1040,IF(F1042="MARCSON",PR!$AJ1040,IF(F1042="M&amp;B",PR!$AK1040,IF(F1042="MTRUST",PR!$AL1040,IF(F1042="MWORLD",PR!$AM1040,IF(F1042="MEGA",PR!$AN1040,IF(F1042="MICRONOVA",PR!$AO1040,IF(F1042="MFLASH",PR!$AP1040,IF(F1042="MORISON",PR!$AQ1040,IF(F1042="NEMEL",PR!$AR1040,IF(F1042="NHP",PR!$AS1040,IF(F1042="NHC",PR!$AT1040,IF(F1042="OLEAF",PR!$AU1040,IF(F1042="OCULUS",PR!$AV1040,IF(F1042="PACIFIC",PR!$AW1040,IF(F1042="PHAMATEX",PR!$AX1040,IF(F1042="PETHICS",PR!$AY1040,IF(F1042="PHILIPS",PR!$AZ1040,IF(F1042="RANBAXY",PR!$BA1040,IF(F1042="REALS",PR!$BB1040,IF(F1042="ROYAL",PR!$BC1040,IF(F1042="SAM",PR!$BD1040,IF(F1042="SEAGREEN",PR!$BE1040,IF(F1042="SKG",PR!$BF1040,IF(F1042="TAH",PR!$BG1040,IF(F1042="TAYLEK",PR!$BH1040,IF(F1042="TEMITA",PR!$BI1040,IF(F1042="THL",PR!$BJ1040,IF(F1042="UBASTIC",PR!$BK1040,IF(F1042="UNION",PR!$BL1040,IF(F1042="UNIQUE",PR!$BM1040,IF(F1042="VIXA",PR!$BN1040,IF(F1042="WWCV",PR!$BO1040,IF(F1042="ZOLON",PR!$BP1040,"-"))))))))))))))))))))))))))))))))))))))))))))))))))))))))))))))))</f>
        <v>8246</v>
      </c>
      <c r="F1042" s="102" t="str">
        <f>EV!L1322</f>
        <v>DYNAMIC</v>
      </c>
      <c r="G1042" s="108">
        <f>IF(H1042="ALPHA",PR!$E1040,IF(H1042="ASSENE",PR!$F1040,IF(H1042="BIOFEM",PR!$G1040,IF(H1042="BIOMED",PR!$H1040,IF(H1042="CHI",PR!$I1040,IF(H1042="CLARION",PR!$J1040,IF(H1042="CODIX",PR!$K1040,IF(H1042="COSMADE",PR!$L1040,IF(H1042="SANCON",PR!$M1040,IF(H1042="DEVON",PR!$N1040,IF(H1042="DORTEMAG",PR!$O1040,IF(H1042="DGF",PR!$P1040,IF(H1042="DYNAMIC",PR!$Q1040,IF(H1042="EMZOR",PR!$R1040,IF(H1042="EUMATT",PR!$S1040,IF(H1042="FIDSON",PR!$T1040,IF(H1042="FCGLOBAL",PR!$U1040,IF(H1042="GENEITH",PR!$V1040,IF(H1042="GINOS",PR!$W1040,IF(H1042="GSK",PR!$X1040,IF(H1042="GLOBORG",PR!$Y1040,IF(H1042="GOODNEWS",PR!$Z1040,IF(H1042="GREENLIFE",PR!$AA1040,IF(H1042="HLINE",PR!$AB1040,IF(H1042="ROTECH",PR!$AC1040,IF(H1042="ISN",PR!$AD1040,IF(H1042="JAWA",PR!$AE1040,IF(H1042="LAYO",PR!$AF1040,IF(H1042="LEADWAY",PR!$AG1040,IF(H1042="LHV",PR!$AH1040,IF(H1042="MANOLA",PR!$AI1040,IF(H1042="MARCSON",PR!$AJ1040,IF(H1042="M&amp;B",PR!$AK1040,IF(H1042="MTRUST",PR!$AL1040,IF(H1042="MWORLD",PR!$AM1040,IF(H1042="MEGA",PR!$AN1040,IF(H1042="MICRONOVA",PR!$AO1040,IF(H1042="MFLASH",PR!$AP1040,IF(H1042="MORISON",PR!$AQ1040,IF(H1042="NEMEL",PR!$AR1040,IF(H1042="NHP",PR!$AS1040,IF(H1042="NHC",PR!$AT1040,IF(H1042="OLEAF",PR!$AU1040,IF(H1042="OCULUS",PR!$AV1040,IF(H1042="PACIFIC",PR!$AW1040,IF(H1042="PHAMATEX",PR!$AX1040,IF(H1042="PETHICS",PR!$AY1040,IF(H1042="PHILIPS",PR!$AZ1040,IF(H1042="RANBAXY",PR!$BA1040,IF(H1042="REALS",PR!$BB1040,IF(H1042="ROYAL",PR!$BC1040,IF(H1042="SAM",PR!$BD1040,IF(H1042="SEAGREEN",PR!$BE1040,IF(H1042="SKG",PR!$BF1040,IF(H1042="TAH",PR!$BG1040,IF(H1042="TAYLEK",PR!$BH1040,IF(H1042="TEMITA",PR!$BI1040,IF(H1042="THL",PR!$BJ1040,IF(H1042="UBASTIC",PR!$BK1040,IF(H1042="UNION",PR!$BL1040,IF(H1042="UNIQUE",PR!$BM1040,IF(H1042="VIXA",PR!$BN1040,IF(H1042="WWCV",PR!$BO1040,IF(H1042="ZOLON",PR!$BP1040,"-"))))))))))))))))))))))))))))))))))))))))))))))))))))))))))))))))</f>
        <v>13240</v>
      </c>
      <c r="H1042" s="102" t="str">
        <f>EV!M1322</f>
        <v>ROTECH</v>
      </c>
      <c r="I1042" s="108">
        <f>IF(J1042="ALPHA",PR!$E1040,IF(J1042="ASSENE",PR!$F1040,IF(J1042="BIOFEM",PR!$G1040,IF(J1042="BIOMED",PR!$H1040,IF(J1042="CHI",PR!$I1040,IF(J1042="CLARION",PR!$J1040,IF(J1042="CODIX",PR!$K1040,IF(J1042="COSMADE",PR!$L1040,IF(J1042="SANCON",PR!$M1040,IF(J1042="DEVON",PR!$N1040,IF(J1042="DORTEMAG",PR!$O1040,IF(J1042="DGF",PR!$P1040,IF(J1042="DYNAMIC",PR!$Q1040,IF(J1042="EMZOR",PR!$R1040,IF(J1042="EUMATT",PR!$S1040,IF(J1042="FIDSON",PR!$T1040,IF(J1042="FCGLOBAL",PR!$U1040,IF(J1042="GENEITH",PR!$V1040,IF(J1042="GINOS",PR!$W1040,IF(J1042="GSK",PR!$X1040,IF(J1042="GLOBORG",PR!$Y1040,IF(J1042="GOODNEWS",PR!$Z1040,IF(J1042="GREENLIFE",PR!$AA1040,IF(J1042="HLINE",PR!$AB1040,IF(J1042="ROTECH",PR!$AC1040,IF(J1042="ISN",PR!$AD1040,IF(J1042="JAWA",PR!$AE1040,IF(J1042="LAYO",PR!$AF1040,IF(J1042="LEADWAY",PR!$AG1040,IF(J1042="LHV",PR!$AH1040,IF(J1042="MANOLA",PR!$AI1040,IF(J1042="MARCSON",PR!$AJ1040,IF(J1042="M&amp;B",PR!$AK1040,IF(J1042="MTRUST",PR!$AL1040,IF(J1042="MWORLD",PR!$AM1040,IF(J1042="MEGA",PR!$AN1040,IF(J1042="MICRONOVA",PR!$AO1040,IF(J1042="MFLASH",PR!$AP1040,IF(J1042="MORISON",PR!$AQ1040,IF(J1042="NEMEL",PR!$AR1040,IF(J1042="NHP",PR!$AS1040,IF(J1042="NHC",PR!$AT1040,IF(J1042="OLEAF",PR!$AU1040,IF(J1042="OCULUS",PR!$AV1040,IF(J1042="PACIFIC",PR!$AW1040,IF(J1042="PHAMATEX",PR!$AX1040,IF(J1042="PETHICS",PR!$AY1040,IF(J1042="PHILIPS",PR!$AZ1040,IF(J1042="RANBAXY",PR!$BA1040,IF(J1042="REALS",PR!$BB1040,IF(J1042="ROYAL",PR!$BC1040,IF(J1042="SAM",PR!$BD1040,IF(J1042="SEAGREEN",PR!$BE1040,IF(J1042="SKG",PR!$BF1040,IF(J1042="TAH",PR!$BG1040,IF(J1042="TAYLEK",PR!$BH1040,IF(J1042="TEMITA",PR!$BI1040,IF(J1042="THL",PR!$BJ1040,IF(J1042="UBASTIC",PR!$BK1040,IF(J1042="UNION",PR!$BL1040,IF(J1042="UNIQUE",PR!$BM1040,IF(J1042="VIXA",PR!$BN1040,IF(J1042="WWCV",PR!$BO1040,IF(J1042="ZOLON",PR!$BP1040,"-"))))))))))))))))))))))))))))))))))))))))))))))))))))))))))))))))</f>
        <v>18000</v>
      </c>
      <c r="J1042" s="102" t="str">
        <f>EV!N1322</f>
        <v>SANCON</v>
      </c>
      <c r="K1042" s="433" t="s">
        <v>626</v>
      </c>
      <c r="L1042" s="183">
        <f>IF(K1042&gt;0,IF(K1042="ALPHA",PR!$E1040,IF(K1042="ASSENE",PR!$F1040,IF(K1042="BIOFEM",PR!$G1040,IF(K1042="BIOMED",PR!$H1040,IF(K1042="CHI",PR!$I1040,IF(K1042="CLARION",PR!$J1040,IF(K1042="CODIX",PR!$K1040,IF(K1042="COSMADE",PR!$L1040,IF(K1042="SANCON",PR!$M1040,IF(K1042="DEVON",PR!$N1040,IF(K1042="DORTEMAG",PR!$O1040,IF(K1042="DGF",PR!$P1040,IF(K1042="DYNAMIC",PR!$Q1040,IF(K1042="EMZOR",PR!$R1040,IF(K1042="EUMATT",PR!$S1040,IF(K1042="FIDSON",PR!$T1040,IF(K1042="FCGLOBAL",PR!$U1040,IF(K1042="GENEITH",PR!$V1040,IF(K1042="GINOS",PR!$W1040,IF(K1042="GSK",PR!$X1040,IF(K1042="GLOBORG",PR!$Y1040,IF(K1042="GOODNEWS",PR!$Z1040,IF(K1042="GREENLIFE",PR!$AA1040,IF(K1042="HLINE",PR!$AB1040,IF(K1042="ROTECH",PR!$AC1040,IF(K1042="ISN",PR!$AD1040,IF(K1042="JAWA",PR!$AE1040,IF(K1042="LAYO",PR!$AF1040,IF(K1042="LEADWAY",PR!$AG1040,IF(K1042="LHV",PR!$AH1040,IF(K1042="MANOLA",PR!$AI1040,IF(K1042="MARCSON",PR!$AJ1040,IF(K1042="M&amp;B",PR!$AK1040,IF(K1042="MTRUST",PR!$AL1040,IF(K1042="MWORLD",PR!$AM1040,IF(K1042="MEGA",PR!$AN1040,IF(K1042="MICRONOVA",PR!$AO1040,IF(K1042="MFLASH",PR!$AP1040,IF(K1042="MORISON",PR!$AQ1040,IF(K1042="NEMEL",PR!$AR1040,IF(K1042="NHP",PR!$AS1040,IF(K1042="NHC",PR!$AT1040,IF(K1042="OLEAF",PR!$AU1040,IF(K1042="OCULUS",PR!$AV1040,IF(K1042="PACIFIC",PR!$AW1040,IF(K1042="PHAMATEX",PR!$AX1040,IF(K1042="PETHICS",PR!$AY1040,IF(K1042="PHILIPS",PR!$AZ1040,IF(K1042="RANBAXY",PR!$BA1040,IF(K1042="REALS",PR!$BB1040,IF(K1042="ROYAL",PR!$BC1040,IF(K1042="SAM",PR!$BD1040,IF(K1042="SEAGREEN",PR!$BE1040,IF(K1042="SKG",PR!$BF1040,IF(K1042="TAH",PR!$BG1040,IF(K1042="TAYLEK",PR!$BH1040,IF(K1042="TEMITA",PR!$BI1040,IF(K1042="THL",PR!$BJ1040,IF(K1042="UBASTIC",PR!$BK1040,IF(K1042="UNION",PR!$BL1040,IF(K1042="UNIQUE",PR!$BM1040,IF(K1042="VIXA",PR!$BN1040,IF(K1042="WWCV",PR!$BO1040,IF(K1042="ZOLON",PR!$BP1040,"-")))))))))))))))))))))))))))))))))))))))))))))))))))))))))))))))))</f>
        <v>8246</v>
      </c>
    </row>
    <row r="1043" spans="1:12" ht="18.75" x14ac:dyDescent="0.3">
      <c r="A1043" s="430">
        <f>PR!A1041</f>
        <v>939</v>
      </c>
      <c r="B1043" s="15" t="str">
        <f>PR!B1041</f>
        <v>EDTA VACUTAINER BOTTLE</v>
      </c>
      <c r="C1043" s="113" t="str">
        <f>PR!D1041</f>
        <v>1 pack of 100</v>
      </c>
      <c r="D1043" s="113">
        <f>PR!C1041</f>
        <v>20</v>
      </c>
      <c r="E1043" s="108">
        <f>IF(F1043="ALPHA",PR!$E1041,IF(F1043="ASSENE",PR!$F1041,IF(F1043="BIOFEM",PR!$G1041,IF(F1043="BIOMED",PR!$H1041,IF(F1043="CHI",PR!$I1041,IF(F1043="CLARION",PR!$J1041,IF(F1043="CODIX",PR!$K1041,IF(F1043="COSMADE",PR!$L1041,IF(F1043="SANCON",PR!$M1041,IF(F1043="DEVON",PR!$N1041,IF(F1043="DORTEMAG",PR!$O1041,IF(F1043="DGF",PR!$P1041,IF(F1043="DYNAMIC",PR!$Q1041,IF(F1043="EMZOR",PR!$R1041,IF(F1043="EUMATT",PR!$S1041,IF(F1043="FIDSON",PR!$T1041,IF(F1043="FCGLOBAL",PR!$U1041,IF(F1043="GENEITH",PR!$V1041,IF(F1043="GINOS",PR!$W1041,IF(F1043="GSK",PR!$X1041,IF(F1043="GLOBORG",PR!$Y1041,IF(F1043="GOODNEWS",PR!$Z1041,IF(F1043="GREENLIFE",PR!$AA1041,IF(F1043="HLINE",PR!$AB1041,IF(F1043="ROTECH",PR!$AC1041,IF(F1043="ISN",PR!$AD1041,IF(F1043="JAWA",PR!$AE1041,IF(F1043="LAYO",PR!$AF1041,IF(F1043="LEADWAY",PR!$AG1041,IF(F1043="LHV",PR!$AH1041,IF(F1043="MANOLA",PR!$AI1041,IF(F1043="MARCSON",PR!$AJ1041,IF(F1043="M&amp;B",PR!$AK1041,IF(F1043="MTRUST",PR!$AL1041,IF(F1043="MWORLD",PR!$AM1041,IF(F1043="MEGA",PR!$AN1041,IF(F1043="MICRONOVA",PR!$AO1041,IF(F1043="MFLASH",PR!$AP1041,IF(F1043="MORISON",PR!$AQ1041,IF(F1043="NEMEL",PR!$AR1041,IF(F1043="NHP",PR!$AS1041,IF(F1043="NHC",PR!$AT1041,IF(F1043="OLEAF",PR!$AU1041,IF(F1043="OCULUS",PR!$AV1041,IF(F1043="PACIFIC",PR!$AW1041,IF(F1043="PHAMATEX",PR!$AX1041,IF(F1043="PETHICS",PR!$AY1041,IF(F1043="PHILIPS",PR!$AZ1041,IF(F1043="RANBAXY",PR!$BA1041,IF(F1043="REALS",PR!$BB1041,IF(F1043="ROYAL",PR!$BC1041,IF(F1043="SAM",PR!$BD1041,IF(F1043="SEAGREEN",PR!$BE1041,IF(F1043="SKG",PR!$BF1041,IF(F1043="TAH",PR!$BG1041,IF(F1043="TAYLEK",PR!$BH1041,IF(F1043="TEMITA",PR!$BI1041,IF(F1043="THL",PR!$BJ1041,IF(F1043="UBASTIC",PR!$BK1041,IF(F1043="UNION",PR!$BL1041,IF(F1043="UNIQUE",PR!$BM1041,IF(F1043="VIXA",PR!$BN1041,IF(F1043="WWCV",PR!$BO1041,IF(F1043="ZOLON",PR!$BP1041,"-"))))))))))))))))))))))))))))))))))))))))))))))))))))))))))))))))</f>
        <v>18000</v>
      </c>
      <c r="F1043" s="102" t="str">
        <f>EV!L1323</f>
        <v>SANCON</v>
      </c>
      <c r="G1043" s="108">
        <f>IF(H1043="ALPHA",PR!$E1041,IF(H1043="ASSENE",PR!$F1041,IF(H1043="BIOFEM",PR!$G1041,IF(H1043="BIOMED",PR!$H1041,IF(H1043="CHI",PR!$I1041,IF(H1043="CLARION",PR!$J1041,IF(H1043="CODIX",PR!$K1041,IF(H1043="COSMADE",PR!$L1041,IF(H1043="SANCON",PR!$M1041,IF(H1043="DEVON",PR!$N1041,IF(H1043="DORTEMAG",PR!$O1041,IF(H1043="DGF",PR!$P1041,IF(H1043="DYNAMIC",PR!$Q1041,IF(H1043="EMZOR",PR!$R1041,IF(H1043="EUMATT",PR!$S1041,IF(H1043="FIDSON",PR!$T1041,IF(H1043="FCGLOBAL",PR!$U1041,IF(H1043="GENEITH",PR!$V1041,IF(H1043="GINOS",PR!$W1041,IF(H1043="GSK",PR!$X1041,IF(H1043="GLOBORG",PR!$Y1041,IF(H1043="GOODNEWS",PR!$Z1041,IF(H1043="GREENLIFE",PR!$AA1041,IF(H1043="HLINE",PR!$AB1041,IF(H1043="ROTECH",PR!$AC1041,IF(H1043="ISN",PR!$AD1041,IF(H1043="JAWA",PR!$AE1041,IF(H1043="LAYO",PR!$AF1041,IF(H1043="LEADWAY",PR!$AG1041,IF(H1043="LHV",PR!$AH1041,IF(H1043="MANOLA",PR!$AI1041,IF(H1043="MARCSON",PR!$AJ1041,IF(H1043="M&amp;B",PR!$AK1041,IF(H1043="MTRUST",PR!$AL1041,IF(H1043="MWORLD",PR!$AM1041,IF(H1043="MEGA",PR!$AN1041,IF(H1043="MICRONOVA",PR!$AO1041,IF(H1043="MFLASH",PR!$AP1041,IF(H1043="MORISON",PR!$AQ1041,IF(H1043="NEMEL",PR!$AR1041,IF(H1043="NHP",PR!$AS1041,IF(H1043="NHC",PR!$AT1041,IF(H1043="OLEAF",PR!$AU1041,IF(H1043="OCULUS",PR!$AV1041,IF(H1043="PACIFIC",PR!$AW1041,IF(H1043="PHAMATEX",PR!$AX1041,IF(H1043="PETHICS",PR!$AY1041,IF(H1043="PHILIPS",PR!$AZ1041,IF(H1043="RANBAXY",PR!$BA1041,IF(H1043="REALS",PR!$BB1041,IF(H1043="ROYAL",PR!$BC1041,IF(H1043="SAM",PR!$BD1041,IF(H1043="SEAGREEN",PR!$BE1041,IF(H1043="SKG",PR!$BF1041,IF(H1043="TAH",PR!$BG1041,IF(H1043="TAYLEK",PR!$BH1041,IF(H1043="TEMITA",PR!$BI1041,IF(H1043="THL",PR!$BJ1041,IF(H1043="UBASTIC",PR!$BK1041,IF(H1043="UNION",PR!$BL1041,IF(H1043="UNIQUE",PR!$BM1041,IF(H1043="VIXA",PR!$BN1041,IF(H1043="WWCV",PR!$BO1041,IF(H1043="ZOLON",PR!$BP1041,"-"))))))))))))))))))))))))))))))))))))))))))))))))))))))))))))))))</f>
        <v>20000</v>
      </c>
      <c r="H1043" s="102" t="str">
        <f>EV!M1323</f>
        <v>UBASTIC</v>
      </c>
      <c r="I1043" s="108">
        <f>IF(J1043="ALPHA",PR!$E1041,IF(J1043="ASSENE",PR!$F1041,IF(J1043="BIOFEM",PR!$G1041,IF(J1043="BIOMED",PR!$H1041,IF(J1043="CHI",PR!$I1041,IF(J1043="CLARION",PR!$J1041,IF(J1043="CODIX",PR!$K1041,IF(J1043="COSMADE",PR!$L1041,IF(J1043="SANCON",PR!$M1041,IF(J1043="DEVON",PR!$N1041,IF(J1043="DORTEMAG",PR!$O1041,IF(J1043="DGF",PR!$P1041,IF(J1043="DYNAMIC",PR!$Q1041,IF(J1043="EMZOR",PR!$R1041,IF(J1043="EUMATT",PR!$S1041,IF(J1043="FIDSON",PR!$T1041,IF(J1043="FCGLOBAL",PR!$U1041,IF(J1043="GENEITH",PR!$V1041,IF(J1043="GINOS",PR!$W1041,IF(J1043="GSK",PR!$X1041,IF(J1043="GLOBORG",PR!$Y1041,IF(J1043="GOODNEWS",PR!$Z1041,IF(J1043="GREENLIFE",PR!$AA1041,IF(J1043="HLINE",PR!$AB1041,IF(J1043="ROTECH",PR!$AC1041,IF(J1043="ISN",PR!$AD1041,IF(J1043="JAWA",PR!$AE1041,IF(J1043="LAYO",PR!$AF1041,IF(J1043="LEADWAY",PR!$AG1041,IF(J1043="LHV",PR!$AH1041,IF(J1043="MANOLA",PR!$AI1041,IF(J1043="MARCSON",PR!$AJ1041,IF(J1043="M&amp;B",PR!$AK1041,IF(J1043="MTRUST",PR!$AL1041,IF(J1043="MWORLD",PR!$AM1041,IF(J1043="MEGA",PR!$AN1041,IF(J1043="MICRONOVA",PR!$AO1041,IF(J1043="MFLASH",PR!$AP1041,IF(J1043="MORISON",PR!$AQ1041,IF(J1043="NEMEL",PR!$AR1041,IF(J1043="NHP",PR!$AS1041,IF(J1043="NHC",PR!$AT1041,IF(J1043="OLEAF",PR!$AU1041,IF(J1043="OCULUS",PR!$AV1041,IF(J1043="PACIFIC",PR!$AW1041,IF(J1043="PHAMATEX",PR!$AX1041,IF(J1043="PETHICS",PR!$AY1041,IF(J1043="PHILIPS",PR!$AZ1041,IF(J1043="RANBAXY",PR!$BA1041,IF(J1043="REALS",PR!$BB1041,IF(J1043="ROYAL",PR!$BC1041,IF(J1043="SAM",PR!$BD1041,IF(J1043="SEAGREEN",PR!$BE1041,IF(J1043="SKG",PR!$BF1041,IF(J1043="TAH",PR!$BG1041,IF(J1043="TAYLEK",PR!$BH1041,IF(J1043="TEMITA",PR!$BI1041,IF(J1043="THL",PR!$BJ1041,IF(J1043="UBASTIC",PR!$BK1041,IF(J1043="UNION",PR!$BL1041,IF(J1043="UNIQUE",PR!$BM1041,IF(J1043="VIXA",PR!$BN1041,IF(J1043="WWCV",PR!$BO1041,IF(J1043="ZOLON",PR!$BP1041,"-"))))))))))))))))))))))))))))))))))))))))))))))))))))))))))))))))</f>
        <v>21950</v>
      </c>
      <c r="J1043" s="102" t="str">
        <f>EV!N1323</f>
        <v>DYNAMIC</v>
      </c>
      <c r="K1043" s="433" t="s">
        <v>817</v>
      </c>
      <c r="L1043" s="183">
        <f>IF(K1043&gt;0,IF(K1043="ALPHA",PR!$E1041,IF(K1043="ASSENE",PR!$F1041,IF(K1043="BIOFEM",PR!$G1041,IF(K1043="BIOMED",PR!$H1041,IF(K1043="CHI",PR!$I1041,IF(K1043="CLARION",PR!$J1041,IF(K1043="CODIX",PR!$K1041,IF(K1043="COSMADE",PR!$L1041,IF(K1043="SANCON",PR!$M1041,IF(K1043="DEVON",PR!$N1041,IF(K1043="DORTEMAG",PR!$O1041,IF(K1043="DGF",PR!$P1041,IF(K1043="DYNAMIC",PR!$Q1041,IF(K1043="EMZOR",PR!$R1041,IF(K1043="EUMATT",PR!$S1041,IF(K1043="FIDSON",PR!$T1041,IF(K1043="FCGLOBAL",PR!$U1041,IF(K1043="GENEITH",PR!$V1041,IF(K1043="GINOS",PR!$W1041,IF(K1043="GSK",PR!$X1041,IF(K1043="GLOBORG",PR!$Y1041,IF(K1043="GOODNEWS",PR!$Z1041,IF(K1043="GREENLIFE",PR!$AA1041,IF(K1043="HLINE",PR!$AB1041,IF(K1043="ROTECH",PR!$AC1041,IF(K1043="ISN",PR!$AD1041,IF(K1043="JAWA",PR!$AE1041,IF(K1043="LAYO",PR!$AF1041,IF(K1043="LEADWAY",PR!$AG1041,IF(K1043="LHV",PR!$AH1041,IF(K1043="MANOLA",PR!$AI1041,IF(K1043="MARCSON",PR!$AJ1041,IF(K1043="M&amp;B",PR!$AK1041,IF(K1043="MTRUST",PR!$AL1041,IF(K1043="MWORLD",PR!$AM1041,IF(K1043="MEGA",PR!$AN1041,IF(K1043="MICRONOVA",PR!$AO1041,IF(K1043="MFLASH",PR!$AP1041,IF(K1043="MORISON",PR!$AQ1041,IF(K1043="NEMEL",PR!$AR1041,IF(K1043="NHP",PR!$AS1041,IF(K1043="NHC",PR!$AT1041,IF(K1043="OLEAF",PR!$AU1041,IF(K1043="OCULUS",PR!$AV1041,IF(K1043="PACIFIC",PR!$AW1041,IF(K1043="PHAMATEX",PR!$AX1041,IF(K1043="PETHICS",PR!$AY1041,IF(K1043="PHILIPS",PR!$AZ1041,IF(K1043="RANBAXY",PR!$BA1041,IF(K1043="REALS",PR!$BB1041,IF(K1043="ROYAL",PR!$BC1041,IF(K1043="SAM",PR!$BD1041,IF(K1043="SEAGREEN",PR!$BE1041,IF(K1043="SKG",PR!$BF1041,IF(K1043="TAH",PR!$BG1041,IF(K1043="TAYLEK",PR!$BH1041,IF(K1043="TEMITA",PR!$BI1041,IF(K1043="THL",PR!$BJ1041,IF(K1043="UBASTIC",PR!$BK1041,IF(K1043="UNION",PR!$BL1041,IF(K1043="UNIQUE",PR!$BM1041,IF(K1043="VIXA",PR!$BN1041,IF(K1043="WWCV",PR!$BO1041,IF(K1043="ZOLON",PR!$BP1041,"-")))))))))))))))))))))))))))))))))))))))))))))))))))))))))))))))))</f>
        <v>18000</v>
      </c>
    </row>
    <row r="1044" spans="1:12" ht="18.75" x14ac:dyDescent="0.3">
      <c r="A1044" s="430">
        <f>PR!A1042</f>
        <v>940</v>
      </c>
      <c r="B1044" s="15" t="str">
        <f>PR!B1042</f>
        <v>BIJOU BOTTLES</v>
      </c>
      <c r="C1044" s="113" t="str">
        <f>PR!D1042</f>
        <v>1 cartoon (144)pieces</v>
      </c>
      <c r="D1044" s="113">
        <f>PR!C1042</f>
        <v>4</v>
      </c>
      <c r="E1044" s="108">
        <f>IF(F1044="ALPHA",PR!$E1042,IF(F1044="ASSENE",PR!$F1042,IF(F1044="BIOFEM",PR!$G1042,IF(F1044="BIOMED",PR!$H1042,IF(F1044="CHI",PR!$I1042,IF(F1044="CLARION",PR!$J1042,IF(F1044="CODIX",PR!$K1042,IF(F1044="COSMADE",PR!$L1042,IF(F1044="SANCON",PR!$M1042,IF(F1044="DEVON",PR!$N1042,IF(F1044="DORTEMAG",PR!$O1042,IF(F1044="DGF",PR!$P1042,IF(F1044="DYNAMIC",PR!$Q1042,IF(F1044="EMZOR",PR!$R1042,IF(F1044="EUMATT",PR!$S1042,IF(F1044="FIDSON",PR!$T1042,IF(F1044="FCGLOBAL",PR!$U1042,IF(F1044="GENEITH",PR!$V1042,IF(F1044="GINOS",PR!$W1042,IF(F1044="GSK",PR!$X1042,IF(F1044="GLOBORG",PR!$Y1042,IF(F1044="GOODNEWS",PR!$Z1042,IF(F1044="GREENLIFE",PR!$AA1042,IF(F1044="HLINE",PR!$AB1042,IF(F1044="ROTECH",PR!$AC1042,IF(F1044="ISN",PR!$AD1042,IF(F1044="JAWA",PR!$AE1042,IF(F1044="LAYO",PR!$AF1042,IF(F1044="LEADWAY",PR!$AG1042,IF(F1044="LHV",PR!$AH1042,IF(F1044="MANOLA",PR!$AI1042,IF(F1044="MARCSON",PR!$AJ1042,IF(F1044="M&amp;B",PR!$AK1042,IF(F1044="MTRUST",PR!$AL1042,IF(F1044="MWORLD",PR!$AM1042,IF(F1044="MEGA",PR!$AN1042,IF(F1044="MICRONOVA",PR!$AO1042,IF(F1044="MFLASH",PR!$AP1042,IF(F1044="MORISON",PR!$AQ1042,IF(F1044="NEMEL",PR!$AR1042,IF(F1044="NHP",PR!$AS1042,IF(F1044="NHC",PR!$AT1042,IF(F1044="OLEAF",PR!$AU1042,IF(F1044="OCULUS",PR!$AV1042,IF(F1044="PACIFIC",PR!$AW1042,IF(F1044="PHAMATEX",PR!$AX1042,IF(F1044="PETHICS",PR!$AY1042,IF(F1044="PHILIPS",PR!$AZ1042,IF(F1044="RANBAXY",PR!$BA1042,IF(F1044="REALS",PR!$BB1042,IF(F1044="ROYAL",PR!$BC1042,IF(F1044="SAM",PR!$BD1042,IF(F1044="SEAGREEN",PR!$BE1042,IF(F1044="SKG",PR!$BF1042,IF(F1044="TAH",PR!$BG1042,IF(F1044="TAYLEK",PR!$BH1042,IF(F1044="TEMITA",PR!$BI1042,IF(F1044="THL",PR!$BJ1042,IF(F1044="UBASTIC",PR!$BK1042,IF(F1044="UNION",PR!$BL1042,IF(F1044="UNIQUE",PR!$BM1042,IF(F1044="VIXA",PR!$BN1042,IF(F1044="WWCV",PR!$BO1042,IF(F1044="ZOLON",PR!$BP1042,"-"))))))))))))))))))))))))))))))))))))))))))))))))))))))))))))))))</f>
        <v>19152</v>
      </c>
      <c r="F1044" s="102" t="str">
        <f>EV!L1324</f>
        <v>DYNAMIC</v>
      </c>
      <c r="G1044" s="108">
        <f>IF(H1044="ALPHA",PR!$E1042,IF(H1044="ASSENE",PR!$F1042,IF(H1044="BIOFEM",PR!$G1042,IF(H1044="BIOMED",PR!$H1042,IF(H1044="CHI",PR!$I1042,IF(H1044="CLARION",PR!$J1042,IF(H1044="CODIX",PR!$K1042,IF(H1044="COSMADE",PR!$L1042,IF(H1044="SANCON",PR!$M1042,IF(H1044="DEVON",PR!$N1042,IF(H1044="DORTEMAG",PR!$O1042,IF(H1044="DGF",PR!$P1042,IF(H1044="DYNAMIC",PR!$Q1042,IF(H1044="EMZOR",PR!$R1042,IF(H1044="EUMATT",PR!$S1042,IF(H1044="FIDSON",PR!$T1042,IF(H1044="FCGLOBAL",PR!$U1042,IF(H1044="GENEITH",PR!$V1042,IF(H1044="GINOS",PR!$W1042,IF(H1044="GSK",PR!$X1042,IF(H1044="GLOBORG",PR!$Y1042,IF(H1044="GOODNEWS",PR!$Z1042,IF(H1044="GREENLIFE",PR!$AA1042,IF(H1044="HLINE",PR!$AB1042,IF(H1044="ROTECH",PR!$AC1042,IF(H1044="ISN",PR!$AD1042,IF(H1044="JAWA",PR!$AE1042,IF(H1044="LAYO",PR!$AF1042,IF(H1044="LEADWAY",PR!$AG1042,IF(H1044="LHV",PR!$AH1042,IF(H1044="MANOLA",PR!$AI1042,IF(H1044="MARCSON",PR!$AJ1042,IF(H1044="M&amp;B",PR!$AK1042,IF(H1044="MTRUST",PR!$AL1042,IF(H1044="MWORLD",PR!$AM1042,IF(H1044="MEGA",PR!$AN1042,IF(H1044="MICRONOVA",PR!$AO1042,IF(H1044="MFLASH",PR!$AP1042,IF(H1044="MORISON",PR!$AQ1042,IF(H1044="NEMEL",PR!$AR1042,IF(H1044="NHP",PR!$AS1042,IF(H1044="NHC",PR!$AT1042,IF(H1044="OLEAF",PR!$AU1042,IF(H1044="OCULUS",PR!$AV1042,IF(H1044="PACIFIC",PR!$AW1042,IF(H1044="PHAMATEX",PR!$AX1042,IF(H1044="PETHICS",PR!$AY1042,IF(H1044="PHILIPS",PR!$AZ1042,IF(H1044="RANBAXY",PR!$BA1042,IF(H1044="REALS",PR!$BB1042,IF(H1044="ROYAL",PR!$BC1042,IF(H1044="SAM",PR!$BD1042,IF(H1044="SEAGREEN",PR!$BE1042,IF(H1044="SKG",PR!$BF1042,IF(H1044="TAH",PR!$BG1042,IF(H1044="TAYLEK",PR!$BH1042,IF(H1044="TEMITA",PR!$BI1042,IF(H1044="THL",PR!$BJ1042,IF(H1044="UBASTIC",PR!$BK1042,IF(H1044="UNION",PR!$BL1042,IF(H1044="UNIQUE",PR!$BM1042,IF(H1044="VIXA",PR!$BN1042,IF(H1044="WWCV",PR!$BO1042,IF(H1044="ZOLON",PR!$BP1042,"-"))))))))))))))))))))))))))))))))))))))))))))))))))))))))))))))))</f>
        <v>23760</v>
      </c>
      <c r="H1044" s="102" t="str">
        <f>EV!M1324</f>
        <v>ROTECH</v>
      </c>
      <c r="I1044" s="108">
        <f>IF(J1044="ALPHA",PR!$E1042,IF(J1044="ASSENE",PR!$F1042,IF(J1044="BIOFEM",PR!$G1042,IF(J1044="BIOMED",PR!$H1042,IF(J1044="CHI",PR!$I1042,IF(J1044="CLARION",PR!$J1042,IF(J1044="CODIX",PR!$K1042,IF(J1044="COSMADE",PR!$L1042,IF(J1044="SANCON",PR!$M1042,IF(J1044="DEVON",PR!$N1042,IF(J1044="DORTEMAG",PR!$O1042,IF(J1044="DGF",PR!$P1042,IF(J1044="DYNAMIC",PR!$Q1042,IF(J1044="EMZOR",PR!$R1042,IF(J1044="EUMATT",PR!$S1042,IF(J1044="FIDSON",PR!$T1042,IF(J1044="FCGLOBAL",PR!$U1042,IF(J1044="GENEITH",PR!$V1042,IF(J1044="GINOS",PR!$W1042,IF(J1044="GSK",PR!$X1042,IF(J1044="GLOBORG",PR!$Y1042,IF(J1044="GOODNEWS",PR!$Z1042,IF(J1044="GREENLIFE",PR!$AA1042,IF(J1044="HLINE",PR!$AB1042,IF(J1044="ROTECH",PR!$AC1042,IF(J1044="ISN",PR!$AD1042,IF(J1044="JAWA",PR!$AE1042,IF(J1044="LAYO",PR!$AF1042,IF(J1044="LEADWAY",PR!$AG1042,IF(J1044="LHV",PR!$AH1042,IF(J1044="MANOLA",PR!$AI1042,IF(J1044="MARCSON",PR!$AJ1042,IF(J1044="M&amp;B",PR!$AK1042,IF(J1044="MTRUST",PR!$AL1042,IF(J1044="MWORLD",PR!$AM1042,IF(J1044="MEGA",PR!$AN1042,IF(J1044="MICRONOVA",PR!$AO1042,IF(J1044="MFLASH",PR!$AP1042,IF(J1044="MORISON",PR!$AQ1042,IF(J1044="NEMEL",PR!$AR1042,IF(J1044="NHP",PR!$AS1042,IF(J1044="NHC",PR!$AT1042,IF(J1044="OLEAF",PR!$AU1042,IF(J1044="OCULUS",PR!$AV1042,IF(J1044="PACIFIC",PR!$AW1042,IF(J1044="PHAMATEX",PR!$AX1042,IF(J1044="PETHICS",PR!$AY1042,IF(J1044="PHILIPS",PR!$AZ1042,IF(J1044="RANBAXY",PR!$BA1042,IF(J1044="REALS",PR!$BB1042,IF(J1044="ROYAL",PR!$BC1042,IF(J1044="SAM",PR!$BD1042,IF(J1044="SEAGREEN",PR!$BE1042,IF(J1044="SKG",PR!$BF1042,IF(J1044="TAH",PR!$BG1042,IF(J1044="TAYLEK",PR!$BH1042,IF(J1044="TEMITA",PR!$BI1042,IF(J1044="THL",PR!$BJ1042,IF(J1044="UBASTIC",PR!$BK1042,IF(J1044="UNION",PR!$BL1042,IF(J1044="UNIQUE",PR!$BM1042,IF(J1044="VIXA",PR!$BN1042,IF(J1044="WWCV",PR!$BO1042,IF(J1044="ZOLON",PR!$BP1042,"-"))))))))))))))))))))))))))))))))))))))))))))))))))))))))))))))))</f>
        <v>27500</v>
      </c>
      <c r="J1044" s="102" t="str">
        <f>EV!N1324</f>
        <v>SANCON</v>
      </c>
      <c r="K1044" s="433" t="s">
        <v>626</v>
      </c>
      <c r="L1044" s="183">
        <f>IF(K1044&gt;0,IF(K1044="ALPHA",PR!$E1042,IF(K1044="ASSENE",PR!$F1042,IF(K1044="BIOFEM",PR!$G1042,IF(K1044="BIOMED",PR!$H1042,IF(K1044="CHI",PR!$I1042,IF(K1044="CLARION",PR!$J1042,IF(K1044="CODIX",PR!$K1042,IF(K1044="COSMADE",PR!$L1042,IF(K1044="SANCON",PR!$M1042,IF(K1044="DEVON",PR!$N1042,IF(K1044="DORTEMAG",PR!$O1042,IF(K1044="DGF",PR!$P1042,IF(K1044="DYNAMIC",PR!$Q1042,IF(K1044="EMZOR",PR!$R1042,IF(K1044="EUMATT",PR!$S1042,IF(K1044="FIDSON",PR!$T1042,IF(K1044="FCGLOBAL",PR!$U1042,IF(K1044="GENEITH",PR!$V1042,IF(K1044="GINOS",PR!$W1042,IF(K1044="GSK",PR!$X1042,IF(K1044="GLOBORG",PR!$Y1042,IF(K1044="GOODNEWS",PR!$Z1042,IF(K1044="GREENLIFE",PR!$AA1042,IF(K1044="HLINE",PR!$AB1042,IF(K1044="ROTECH",PR!$AC1042,IF(K1044="ISN",PR!$AD1042,IF(K1044="JAWA",PR!$AE1042,IF(K1044="LAYO",PR!$AF1042,IF(K1044="LEADWAY",PR!$AG1042,IF(K1044="LHV",PR!$AH1042,IF(K1044="MANOLA",PR!$AI1042,IF(K1044="MARCSON",PR!$AJ1042,IF(K1044="M&amp;B",PR!$AK1042,IF(K1044="MTRUST",PR!$AL1042,IF(K1044="MWORLD",PR!$AM1042,IF(K1044="MEGA",PR!$AN1042,IF(K1044="MICRONOVA",PR!$AO1042,IF(K1044="MFLASH",PR!$AP1042,IF(K1044="MORISON",PR!$AQ1042,IF(K1044="NEMEL",PR!$AR1042,IF(K1044="NHP",PR!$AS1042,IF(K1044="NHC",PR!$AT1042,IF(K1044="OLEAF",PR!$AU1042,IF(K1044="OCULUS",PR!$AV1042,IF(K1044="PACIFIC",PR!$AW1042,IF(K1044="PHAMATEX",PR!$AX1042,IF(K1044="PETHICS",PR!$AY1042,IF(K1044="PHILIPS",PR!$AZ1042,IF(K1044="RANBAXY",PR!$BA1042,IF(K1044="REALS",PR!$BB1042,IF(K1044="ROYAL",PR!$BC1042,IF(K1044="SAM",PR!$BD1042,IF(K1044="SEAGREEN",PR!$BE1042,IF(K1044="SKG",PR!$BF1042,IF(K1044="TAH",PR!$BG1042,IF(K1044="TAYLEK",PR!$BH1042,IF(K1044="TEMITA",PR!$BI1042,IF(K1044="THL",PR!$BJ1042,IF(K1044="UBASTIC",PR!$BK1042,IF(K1044="UNION",PR!$BL1042,IF(K1044="UNIQUE",PR!$BM1042,IF(K1044="VIXA",PR!$BN1042,IF(K1044="WWCV",PR!$BO1042,IF(K1044="ZOLON",PR!$BP1042,"-")))))))))))))))))))))))))))))))))))))))))))))))))))))))))))))))))</f>
        <v>19152</v>
      </c>
    </row>
    <row r="1045" spans="1:12" ht="18.75" x14ac:dyDescent="0.3">
      <c r="A1045" s="430">
        <f>PR!A1043</f>
        <v>941</v>
      </c>
      <c r="B1045" s="15" t="str">
        <f>PR!B1043</f>
        <v>PLASTIC PETRI DISHES</v>
      </c>
      <c r="C1045" s="113" t="str">
        <f>PR!D1043</f>
        <v>1 pack (20 roll)</v>
      </c>
      <c r="D1045" s="113">
        <f>PR!C1043</f>
        <v>40</v>
      </c>
      <c r="E1045" s="108">
        <f>IF(F1045="ALPHA",PR!$E1043,IF(F1045="ASSENE",PR!$F1043,IF(F1045="BIOFEM",PR!$G1043,IF(F1045="BIOMED",PR!$H1043,IF(F1045="CHI",PR!$I1043,IF(F1045="CLARION",PR!$J1043,IF(F1045="CODIX",PR!$K1043,IF(F1045="COSMADE",PR!$L1043,IF(F1045="SANCON",PR!$M1043,IF(F1045="DEVON",PR!$N1043,IF(F1045="DORTEMAG",PR!$O1043,IF(F1045="DGF",PR!$P1043,IF(F1045="DYNAMIC",PR!$Q1043,IF(F1045="EMZOR",PR!$R1043,IF(F1045="EUMATT",PR!$S1043,IF(F1045="FIDSON",PR!$T1043,IF(F1045="FCGLOBAL",PR!$U1043,IF(F1045="GENEITH",PR!$V1043,IF(F1045="GINOS",PR!$W1043,IF(F1045="GSK",PR!$X1043,IF(F1045="GLOBORG",PR!$Y1043,IF(F1045="GOODNEWS",PR!$Z1043,IF(F1045="GREENLIFE",PR!$AA1043,IF(F1045="HLINE",PR!$AB1043,IF(F1045="ROTECH",PR!$AC1043,IF(F1045="ISN",PR!$AD1043,IF(F1045="JAWA",PR!$AE1043,IF(F1045="LAYO",PR!$AF1043,IF(F1045="LEADWAY",PR!$AG1043,IF(F1045="LHV",PR!$AH1043,IF(F1045="MANOLA",PR!$AI1043,IF(F1045="MARCSON",PR!$AJ1043,IF(F1045="M&amp;B",PR!$AK1043,IF(F1045="MTRUST",PR!$AL1043,IF(F1045="MWORLD",PR!$AM1043,IF(F1045="MEGA",PR!$AN1043,IF(F1045="MICRONOVA",PR!$AO1043,IF(F1045="MFLASH",PR!$AP1043,IF(F1045="MORISON",PR!$AQ1043,IF(F1045="NEMEL",PR!$AR1043,IF(F1045="NHP",PR!$AS1043,IF(F1045="NHC",PR!$AT1043,IF(F1045="OLEAF",PR!$AU1043,IF(F1045="OCULUS",PR!$AV1043,IF(F1045="PACIFIC",PR!$AW1043,IF(F1045="PHAMATEX",PR!$AX1043,IF(F1045="PETHICS",PR!$AY1043,IF(F1045="PHILIPS",PR!$AZ1043,IF(F1045="RANBAXY",PR!$BA1043,IF(F1045="REALS",PR!$BB1043,IF(F1045="ROYAL",PR!$BC1043,IF(F1045="SAM",PR!$BD1043,IF(F1045="SEAGREEN",PR!$BE1043,IF(F1045="SKG",PR!$BF1043,IF(F1045="TAH",PR!$BG1043,IF(F1045="TAYLEK",PR!$BH1043,IF(F1045="TEMITA",PR!$BI1043,IF(F1045="THL",PR!$BJ1043,IF(F1045="UBASTIC",PR!$BK1043,IF(F1045="UNION",PR!$BL1043,IF(F1045="UNIQUE",PR!$BM1043,IF(F1045="VIXA",PR!$BN1043,IF(F1045="WWCV",PR!$BO1043,IF(F1045="ZOLON",PR!$BP1043,"-"))))))))))))))))))))))))))))))))))))))))))))))))))))))))))))))))</f>
        <v>8500</v>
      </c>
      <c r="F1045" s="102" t="str">
        <f>EV!L1325</f>
        <v>SANCON</v>
      </c>
      <c r="G1045" s="108">
        <f>IF(H1045="ALPHA",PR!$E1043,IF(H1045="ASSENE",PR!$F1043,IF(H1045="BIOFEM",PR!$G1043,IF(H1045="BIOMED",PR!$H1043,IF(H1045="CHI",PR!$I1043,IF(H1045="CLARION",PR!$J1043,IF(H1045="CODIX",PR!$K1043,IF(H1045="COSMADE",PR!$L1043,IF(H1045="SANCON",PR!$M1043,IF(H1045="DEVON",PR!$N1043,IF(H1045="DORTEMAG",PR!$O1043,IF(H1045="DGF",PR!$P1043,IF(H1045="DYNAMIC",PR!$Q1043,IF(H1045="EMZOR",PR!$R1043,IF(H1045="EUMATT",PR!$S1043,IF(H1045="FIDSON",PR!$T1043,IF(H1045="FCGLOBAL",PR!$U1043,IF(H1045="GENEITH",PR!$V1043,IF(H1045="GINOS",PR!$W1043,IF(H1045="GSK",PR!$X1043,IF(H1045="GLOBORG",PR!$Y1043,IF(H1045="GOODNEWS",PR!$Z1043,IF(H1045="GREENLIFE",PR!$AA1043,IF(H1045="HLINE",PR!$AB1043,IF(H1045="ROTECH",PR!$AC1043,IF(H1045="ISN",PR!$AD1043,IF(H1045="JAWA",PR!$AE1043,IF(H1045="LAYO",PR!$AF1043,IF(H1045="LEADWAY",PR!$AG1043,IF(H1045="LHV",PR!$AH1043,IF(H1045="MANOLA",PR!$AI1043,IF(H1045="MARCSON",PR!$AJ1043,IF(H1045="M&amp;B",PR!$AK1043,IF(H1045="MTRUST",PR!$AL1043,IF(H1045="MWORLD",PR!$AM1043,IF(H1045="MEGA",PR!$AN1043,IF(H1045="MICRONOVA",PR!$AO1043,IF(H1045="MFLASH",PR!$AP1043,IF(H1045="MORISON",PR!$AQ1043,IF(H1045="NEMEL",PR!$AR1043,IF(H1045="NHP",PR!$AS1043,IF(H1045="NHC",PR!$AT1043,IF(H1045="OLEAF",PR!$AU1043,IF(H1045="OCULUS",PR!$AV1043,IF(H1045="PACIFIC",PR!$AW1043,IF(H1045="PHAMATEX",PR!$AX1043,IF(H1045="PETHICS",PR!$AY1043,IF(H1045="PHILIPS",PR!$AZ1043,IF(H1045="RANBAXY",PR!$BA1043,IF(H1045="REALS",PR!$BB1043,IF(H1045="ROYAL",PR!$BC1043,IF(H1045="SAM",PR!$BD1043,IF(H1045="SEAGREEN",PR!$BE1043,IF(H1045="SKG",PR!$BF1043,IF(H1045="TAH",PR!$BG1043,IF(H1045="TAYLEK",PR!$BH1043,IF(H1045="TEMITA",PR!$BI1043,IF(H1045="THL",PR!$BJ1043,IF(H1045="UBASTIC",PR!$BK1043,IF(H1045="UNION",PR!$BL1043,IF(H1045="UNIQUE",PR!$BM1043,IF(H1045="VIXA",PR!$BN1043,IF(H1045="WWCV",PR!$BO1043,IF(H1045="ZOLON",PR!$BP1043,"-"))))))))))))))))))))))))))))))))))))))))))))))))))))))))))))))))</f>
        <v>7710</v>
      </c>
      <c r="H1045" s="102" t="str">
        <f>EV!M1325</f>
        <v>DYNAMIC</v>
      </c>
      <c r="I1045" s="108" t="str">
        <f>IF(J1045="ALPHA",PR!$E1043,IF(J1045="ASSENE",PR!$F1043,IF(J1045="BIOFEM",PR!$G1043,IF(J1045="BIOMED",PR!$H1043,IF(J1045="CHI",PR!$I1043,IF(J1045="CLARION",PR!$J1043,IF(J1045="CODIX",PR!$K1043,IF(J1045="COSMADE",PR!$L1043,IF(J1045="SANCON",PR!$M1043,IF(J1045="DEVON",PR!$N1043,IF(J1045="DORTEMAG",PR!$O1043,IF(J1045="DGF",PR!$P1043,IF(J1045="DYNAMIC",PR!$Q1043,IF(J1045="EMZOR",PR!$R1043,IF(J1045="EUMATT",PR!$S1043,IF(J1045="FIDSON",PR!$T1043,IF(J1045="FCGLOBAL",PR!$U1043,IF(J1045="GENEITH",PR!$V1043,IF(J1045="GINOS",PR!$W1043,IF(J1045="GSK",PR!$X1043,IF(J1045="GLOBORG",PR!$Y1043,IF(J1045="GOODNEWS",PR!$Z1043,IF(J1045="GREENLIFE",PR!$AA1043,IF(J1045="HLINE",PR!$AB1043,IF(J1045="ROTECH",PR!$AC1043,IF(J1045="ISN",PR!$AD1043,IF(J1045="JAWA",PR!$AE1043,IF(J1045="LAYO",PR!$AF1043,IF(J1045="LEADWAY",PR!$AG1043,IF(J1045="LHV",PR!$AH1043,IF(J1045="MANOLA",PR!$AI1043,IF(J1045="MARCSON",PR!$AJ1043,IF(J1045="M&amp;B",PR!$AK1043,IF(J1045="MTRUST",PR!$AL1043,IF(J1045="MWORLD",PR!$AM1043,IF(J1045="MEGA",PR!$AN1043,IF(J1045="MICRONOVA",PR!$AO1043,IF(J1045="MFLASH",PR!$AP1043,IF(J1045="MORISON",PR!$AQ1043,IF(J1045="NEMEL",PR!$AR1043,IF(J1045="NHP",PR!$AS1043,IF(J1045="NHC",PR!$AT1043,IF(J1045="OLEAF",PR!$AU1043,IF(J1045="OCULUS",PR!$AV1043,IF(J1045="PACIFIC",PR!$AW1043,IF(J1045="PHAMATEX",PR!$AX1043,IF(J1045="PETHICS",PR!$AY1043,IF(J1045="PHILIPS",PR!$AZ1043,IF(J1045="RANBAXY",PR!$BA1043,IF(J1045="REALS",PR!$BB1043,IF(J1045="ROYAL",PR!$BC1043,IF(J1045="SAM",PR!$BD1043,IF(J1045="SEAGREEN",PR!$BE1043,IF(J1045="SKG",PR!$BF1043,IF(J1045="TAH",PR!$BG1043,IF(J1045="TAYLEK",PR!$BH1043,IF(J1045="TEMITA",PR!$BI1043,IF(J1045="THL",PR!$BJ1043,IF(J1045="UBASTIC",PR!$BK1043,IF(J1045="UNION",PR!$BL1043,IF(J1045="UNIQUE",PR!$BM1043,IF(J1045="VIXA",PR!$BN1043,IF(J1045="WWCV",PR!$BO1043,IF(J1045="ZOLON",PR!$BP1043,"-"))))))))))))))))))))))))))))))))))))))))))))))))))))))))))))))))</f>
        <v>-</v>
      </c>
      <c r="J1045" s="102">
        <f>EV!N1325</f>
        <v>0</v>
      </c>
      <c r="K1045" s="433" t="s">
        <v>817</v>
      </c>
      <c r="L1045" s="183">
        <f>IF(K1045&gt;0,IF(K1045="ALPHA",PR!$E1043,IF(K1045="ASSENE",PR!$F1043,IF(K1045="BIOFEM",PR!$G1043,IF(K1045="BIOMED",PR!$H1043,IF(K1045="CHI",PR!$I1043,IF(K1045="CLARION",PR!$J1043,IF(K1045="CODIX",PR!$K1043,IF(K1045="COSMADE",PR!$L1043,IF(K1045="SANCON",PR!$M1043,IF(K1045="DEVON",PR!$N1043,IF(K1045="DORTEMAG",PR!$O1043,IF(K1045="DGF",PR!$P1043,IF(K1045="DYNAMIC",PR!$Q1043,IF(K1045="EMZOR",PR!$R1043,IF(K1045="EUMATT",PR!$S1043,IF(K1045="FIDSON",PR!$T1043,IF(K1045="FCGLOBAL",PR!$U1043,IF(K1045="GENEITH",PR!$V1043,IF(K1045="GINOS",PR!$W1043,IF(K1045="GSK",PR!$X1043,IF(K1045="GLOBORG",PR!$Y1043,IF(K1045="GOODNEWS",PR!$Z1043,IF(K1045="GREENLIFE",PR!$AA1043,IF(K1045="HLINE",PR!$AB1043,IF(K1045="ROTECH",PR!$AC1043,IF(K1045="ISN",PR!$AD1043,IF(K1045="JAWA",PR!$AE1043,IF(K1045="LAYO",PR!$AF1043,IF(K1045="LEADWAY",PR!$AG1043,IF(K1045="LHV",PR!$AH1043,IF(K1045="MANOLA",PR!$AI1043,IF(K1045="MARCSON",PR!$AJ1043,IF(K1045="M&amp;B",PR!$AK1043,IF(K1045="MTRUST",PR!$AL1043,IF(K1045="MWORLD",PR!$AM1043,IF(K1045="MEGA",PR!$AN1043,IF(K1045="MICRONOVA",PR!$AO1043,IF(K1045="MFLASH",PR!$AP1043,IF(K1045="MORISON",PR!$AQ1043,IF(K1045="NEMEL",PR!$AR1043,IF(K1045="NHP",PR!$AS1043,IF(K1045="NHC",PR!$AT1043,IF(K1045="OLEAF",PR!$AU1043,IF(K1045="OCULUS",PR!$AV1043,IF(K1045="PACIFIC",PR!$AW1043,IF(K1045="PHAMATEX",PR!$AX1043,IF(K1045="PETHICS",PR!$AY1043,IF(K1045="PHILIPS",PR!$AZ1043,IF(K1045="RANBAXY",PR!$BA1043,IF(K1045="REALS",PR!$BB1043,IF(K1045="ROYAL",PR!$BC1043,IF(K1045="SAM",PR!$BD1043,IF(K1045="SEAGREEN",PR!$BE1043,IF(K1045="SKG",PR!$BF1043,IF(K1045="TAH",PR!$BG1043,IF(K1045="TAYLEK",PR!$BH1043,IF(K1045="TEMITA",PR!$BI1043,IF(K1045="THL",PR!$BJ1043,IF(K1045="UBASTIC",PR!$BK1043,IF(K1045="UNION",PR!$BL1043,IF(K1045="UNIQUE",PR!$BM1043,IF(K1045="VIXA",PR!$BN1043,IF(K1045="WWCV",PR!$BO1043,IF(K1045="ZOLON",PR!$BP1043,"-")))))))))))))))))))))))))))))))))))))))))))))))))))))))))))))))))</f>
        <v>8500</v>
      </c>
    </row>
    <row r="1046" spans="1:12" ht="18.75" x14ac:dyDescent="0.3">
      <c r="A1046" s="430">
        <f>PR!A1044</f>
        <v>942</v>
      </c>
      <c r="B1046" s="15" t="str">
        <f>PR!B1044</f>
        <v>GLASS SLIDE</v>
      </c>
      <c r="C1046" s="113" t="str">
        <f>PR!D1044</f>
        <v>1 pack of 72pieces</v>
      </c>
      <c r="D1046" s="113">
        <f>PR!C1044</f>
        <v>10</v>
      </c>
      <c r="E1046" s="108">
        <f>IF(F1046="ALPHA",PR!$E1044,IF(F1046="ASSENE",PR!$F1044,IF(F1046="BIOFEM",PR!$G1044,IF(F1046="BIOMED",PR!$H1044,IF(F1046="CHI",PR!$I1044,IF(F1046="CLARION",PR!$J1044,IF(F1046="CODIX",PR!$K1044,IF(F1046="COSMADE",PR!$L1044,IF(F1046="SANCON",PR!$M1044,IF(F1046="DEVON",PR!$N1044,IF(F1046="DORTEMAG",PR!$O1044,IF(F1046="DGF",PR!$P1044,IF(F1046="DYNAMIC",PR!$Q1044,IF(F1046="EMZOR",PR!$R1044,IF(F1046="EUMATT",PR!$S1044,IF(F1046="FIDSON",PR!$T1044,IF(F1046="FCGLOBAL",PR!$U1044,IF(F1046="GENEITH",PR!$V1044,IF(F1046="GINOS",PR!$W1044,IF(F1046="GSK",PR!$X1044,IF(F1046="GLOBORG",PR!$Y1044,IF(F1046="GOODNEWS",PR!$Z1044,IF(F1046="GREENLIFE",PR!$AA1044,IF(F1046="HLINE",PR!$AB1044,IF(F1046="ROTECH",PR!$AC1044,IF(F1046="ISN",PR!$AD1044,IF(F1046="JAWA",PR!$AE1044,IF(F1046="LAYO",PR!$AF1044,IF(F1046="LEADWAY",PR!$AG1044,IF(F1046="LHV",PR!$AH1044,IF(F1046="MANOLA",PR!$AI1044,IF(F1046="MARCSON",PR!$AJ1044,IF(F1046="M&amp;B",PR!$AK1044,IF(F1046="MTRUST",PR!$AL1044,IF(F1046="MWORLD",PR!$AM1044,IF(F1046="MEGA",PR!$AN1044,IF(F1046="MICRONOVA",PR!$AO1044,IF(F1046="MFLASH",PR!$AP1044,IF(F1046="MORISON",PR!$AQ1044,IF(F1046="NEMEL",PR!$AR1044,IF(F1046="NHP",PR!$AS1044,IF(F1046="NHC",PR!$AT1044,IF(F1046="OLEAF",PR!$AU1044,IF(F1046="OCULUS",PR!$AV1044,IF(F1046="PACIFIC",PR!$AW1044,IF(F1046="PHAMATEX",PR!$AX1044,IF(F1046="PETHICS",PR!$AY1044,IF(F1046="PHILIPS",PR!$AZ1044,IF(F1046="RANBAXY",PR!$BA1044,IF(F1046="REALS",PR!$BB1044,IF(F1046="ROYAL",PR!$BC1044,IF(F1046="SAM",PR!$BD1044,IF(F1046="SEAGREEN",PR!$BE1044,IF(F1046="SKG",PR!$BF1044,IF(F1046="TAH",PR!$BG1044,IF(F1046="TAYLEK",PR!$BH1044,IF(F1046="TEMITA",PR!$BI1044,IF(F1046="THL",PR!$BJ1044,IF(F1046="UBASTIC",PR!$BK1044,IF(F1046="UNION",PR!$BL1044,IF(F1046="UNIQUE",PR!$BM1044,IF(F1046="VIXA",PR!$BN1044,IF(F1046="WWCV",PR!$BO1044,IF(F1046="ZOLON",PR!$BP1044,"-"))))))))))))))))))))))))))))))))))))))))))))))))))))))))))))))))</f>
        <v>380</v>
      </c>
      <c r="F1046" s="102" t="str">
        <f>EV!L1326</f>
        <v>SANCON</v>
      </c>
      <c r="G1046" s="108">
        <f>IF(H1046="ALPHA",PR!$E1044,IF(H1046="ASSENE",PR!$F1044,IF(H1046="BIOFEM",PR!$G1044,IF(H1046="BIOMED",PR!$H1044,IF(H1046="CHI",PR!$I1044,IF(H1046="CLARION",PR!$J1044,IF(H1046="CODIX",PR!$K1044,IF(H1046="COSMADE",PR!$L1044,IF(H1046="SANCON",PR!$M1044,IF(H1046="DEVON",PR!$N1044,IF(H1046="DORTEMAG",PR!$O1044,IF(H1046="DGF",PR!$P1044,IF(H1046="DYNAMIC",PR!$Q1044,IF(H1046="EMZOR",PR!$R1044,IF(H1046="EUMATT",PR!$S1044,IF(H1046="FIDSON",PR!$T1044,IF(H1046="FCGLOBAL",PR!$U1044,IF(H1046="GENEITH",PR!$V1044,IF(H1046="GINOS",PR!$W1044,IF(H1046="GSK",PR!$X1044,IF(H1046="GLOBORG",PR!$Y1044,IF(H1046="GOODNEWS",PR!$Z1044,IF(H1046="GREENLIFE",PR!$AA1044,IF(H1046="HLINE",PR!$AB1044,IF(H1046="ROTECH",PR!$AC1044,IF(H1046="ISN",PR!$AD1044,IF(H1046="JAWA",PR!$AE1044,IF(H1046="LAYO",PR!$AF1044,IF(H1046="LEADWAY",PR!$AG1044,IF(H1046="LHV",PR!$AH1044,IF(H1046="MANOLA",PR!$AI1044,IF(H1046="MARCSON",PR!$AJ1044,IF(H1046="M&amp;B",PR!$AK1044,IF(H1046="MTRUST",PR!$AL1044,IF(H1046="MWORLD",PR!$AM1044,IF(H1046="MEGA",PR!$AN1044,IF(H1046="MICRONOVA",PR!$AO1044,IF(H1046="MFLASH",PR!$AP1044,IF(H1046="MORISON",PR!$AQ1044,IF(H1046="NEMEL",PR!$AR1044,IF(H1046="NHP",PR!$AS1044,IF(H1046="NHC",PR!$AT1044,IF(H1046="OLEAF",PR!$AU1044,IF(H1046="OCULUS",PR!$AV1044,IF(H1046="PACIFIC",PR!$AW1044,IF(H1046="PHAMATEX",PR!$AX1044,IF(H1046="PETHICS",PR!$AY1044,IF(H1046="PHILIPS",PR!$AZ1044,IF(H1046="RANBAXY",PR!$BA1044,IF(H1046="REALS",PR!$BB1044,IF(H1046="ROYAL",PR!$BC1044,IF(H1046="SAM",PR!$BD1044,IF(H1046="SEAGREEN",PR!$BE1044,IF(H1046="SKG",PR!$BF1044,IF(H1046="TAH",PR!$BG1044,IF(H1046="TAYLEK",PR!$BH1044,IF(H1046="TEMITA",PR!$BI1044,IF(H1046="THL",PR!$BJ1044,IF(H1046="UBASTIC",PR!$BK1044,IF(H1046="UNION",PR!$BL1044,IF(H1046="UNIQUE",PR!$BM1044,IF(H1046="VIXA",PR!$BN1044,IF(H1046="WWCV",PR!$BO1044,IF(H1046="ZOLON",PR!$BP1044,"-"))))))))))))))))))))))))))))))))))))))))))))))))))))))))))))))))</f>
        <v>390</v>
      </c>
      <c r="H1046" s="102" t="str">
        <f>EV!M1326</f>
        <v>LAYO</v>
      </c>
      <c r="I1046" s="108">
        <f>IF(J1046="ALPHA",PR!$E1044,IF(J1046="ASSENE",PR!$F1044,IF(J1046="BIOFEM",PR!$G1044,IF(J1046="BIOMED",PR!$H1044,IF(J1046="CHI",PR!$I1044,IF(J1046="CLARION",PR!$J1044,IF(J1046="CODIX",PR!$K1044,IF(J1046="COSMADE",PR!$L1044,IF(J1046="SANCON",PR!$M1044,IF(J1046="DEVON",PR!$N1044,IF(J1046="DORTEMAG",PR!$O1044,IF(J1046="DGF",PR!$P1044,IF(J1046="DYNAMIC",PR!$Q1044,IF(J1046="EMZOR",PR!$R1044,IF(J1046="EUMATT",PR!$S1044,IF(J1046="FIDSON",PR!$T1044,IF(J1046="FCGLOBAL",PR!$U1044,IF(J1046="GENEITH",PR!$V1044,IF(J1046="GINOS",PR!$W1044,IF(J1046="GSK",PR!$X1044,IF(J1046="GLOBORG",PR!$Y1044,IF(J1046="GOODNEWS",PR!$Z1044,IF(J1046="GREENLIFE",PR!$AA1044,IF(J1046="HLINE",PR!$AB1044,IF(J1046="ROTECH",PR!$AC1044,IF(J1046="ISN",PR!$AD1044,IF(J1046="JAWA",PR!$AE1044,IF(J1046="LAYO",PR!$AF1044,IF(J1046="LEADWAY",PR!$AG1044,IF(J1046="LHV",PR!$AH1044,IF(J1046="MANOLA",PR!$AI1044,IF(J1046="MARCSON",PR!$AJ1044,IF(J1046="M&amp;B",PR!$AK1044,IF(J1046="MTRUST",PR!$AL1044,IF(J1046="MWORLD",PR!$AM1044,IF(J1046="MEGA",PR!$AN1044,IF(J1046="MICRONOVA",PR!$AO1044,IF(J1046="MFLASH",PR!$AP1044,IF(J1046="MORISON",PR!$AQ1044,IF(J1046="NEMEL",PR!$AR1044,IF(J1046="NHP",PR!$AS1044,IF(J1046="NHC",PR!$AT1044,IF(J1046="OLEAF",PR!$AU1044,IF(J1046="OCULUS",PR!$AV1044,IF(J1046="PACIFIC",PR!$AW1044,IF(J1046="PHAMATEX",PR!$AX1044,IF(J1046="PETHICS",PR!$AY1044,IF(J1046="PHILIPS",PR!$AZ1044,IF(J1046="RANBAXY",PR!$BA1044,IF(J1046="REALS",PR!$BB1044,IF(J1046="ROYAL",PR!$BC1044,IF(J1046="SAM",PR!$BD1044,IF(J1046="SEAGREEN",PR!$BE1044,IF(J1046="SKG",PR!$BF1044,IF(J1046="TAH",PR!$BG1044,IF(J1046="TAYLEK",PR!$BH1044,IF(J1046="TEMITA",PR!$BI1044,IF(J1046="THL",PR!$BJ1044,IF(J1046="UBASTIC",PR!$BK1044,IF(J1046="UNION",PR!$BL1044,IF(J1046="UNIQUE",PR!$BM1044,IF(J1046="VIXA",PR!$BN1044,IF(J1046="WWCV",PR!$BO1044,IF(J1046="ZOLON",PR!$BP1044,"-"))))))))))))))))))))))))))))))))))))))))))))))))))))))))))))))))</f>
        <v>400</v>
      </c>
      <c r="J1046" s="102" t="str">
        <f>EV!N1326</f>
        <v>TEMITA</v>
      </c>
      <c r="K1046" s="433" t="s">
        <v>817</v>
      </c>
      <c r="L1046" s="183">
        <f>IF(K1046&gt;0,IF(K1046="ALPHA",PR!$E1044,IF(K1046="ASSENE",PR!$F1044,IF(K1046="BIOFEM",PR!$G1044,IF(K1046="BIOMED",PR!$H1044,IF(K1046="CHI",PR!$I1044,IF(K1046="CLARION",PR!$J1044,IF(K1046="CODIX",PR!$K1044,IF(K1046="COSMADE",PR!$L1044,IF(K1046="SANCON",PR!$M1044,IF(K1046="DEVON",PR!$N1044,IF(K1046="DORTEMAG",PR!$O1044,IF(K1046="DGF",PR!$P1044,IF(K1046="DYNAMIC",PR!$Q1044,IF(K1046="EMZOR",PR!$R1044,IF(K1046="EUMATT",PR!$S1044,IF(K1046="FIDSON",PR!$T1044,IF(K1046="FCGLOBAL",PR!$U1044,IF(K1046="GENEITH",PR!$V1044,IF(K1046="GINOS",PR!$W1044,IF(K1046="GSK",PR!$X1044,IF(K1046="GLOBORG",PR!$Y1044,IF(K1046="GOODNEWS",PR!$Z1044,IF(K1046="GREENLIFE",PR!$AA1044,IF(K1046="HLINE",PR!$AB1044,IF(K1046="ROTECH",PR!$AC1044,IF(K1046="ISN",PR!$AD1044,IF(K1046="JAWA",PR!$AE1044,IF(K1046="LAYO",PR!$AF1044,IF(K1046="LEADWAY",PR!$AG1044,IF(K1046="LHV",PR!$AH1044,IF(K1046="MANOLA",PR!$AI1044,IF(K1046="MARCSON",PR!$AJ1044,IF(K1046="M&amp;B",PR!$AK1044,IF(K1046="MTRUST",PR!$AL1044,IF(K1046="MWORLD",PR!$AM1044,IF(K1046="MEGA",PR!$AN1044,IF(K1046="MICRONOVA",PR!$AO1044,IF(K1046="MFLASH",PR!$AP1044,IF(K1046="MORISON",PR!$AQ1044,IF(K1046="NEMEL",PR!$AR1044,IF(K1046="NHP",PR!$AS1044,IF(K1046="NHC",PR!$AT1044,IF(K1046="OLEAF",PR!$AU1044,IF(K1046="OCULUS",PR!$AV1044,IF(K1046="PACIFIC",PR!$AW1044,IF(K1046="PHAMATEX",PR!$AX1044,IF(K1046="PETHICS",PR!$AY1044,IF(K1046="PHILIPS",PR!$AZ1044,IF(K1046="RANBAXY",PR!$BA1044,IF(K1046="REALS",PR!$BB1044,IF(K1046="ROYAL",PR!$BC1044,IF(K1046="SAM",PR!$BD1044,IF(K1046="SEAGREEN",PR!$BE1044,IF(K1046="SKG",PR!$BF1044,IF(K1046="TAH",PR!$BG1044,IF(K1046="TAYLEK",PR!$BH1044,IF(K1046="TEMITA",PR!$BI1044,IF(K1046="THL",PR!$BJ1044,IF(K1046="UBASTIC",PR!$BK1044,IF(K1046="UNION",PR!$BL1044,IF(K1046="UNIQUE",PR!$BM1044,IF(K1046="VIXA",PR!$BN1044,IF(K1046="WWCV",PR!$BO1044,IF(K1046="ZOLON",PR!$BP1044,"-")))))))))))))))))))))))))))))))))))))))))))))))))))))))))))))))))</f>
        <v>380</v>
      </c>
    </row>
    <row r="1047" spans="1:12" ht="18.75" x14ac:dyDescent="0.3">
      <c r="A1047" s="430">
        <f>PR!A1045</f>
        <v>943</v>
      </c>
      <c r="B1047" s="15" t="str">
        <f>PR!B1045</f>
        <v>FROOSTED SLIDE</v>
      </c>
      <c r="C1047" s="113" t="str">
        <f>PR!D1045</f>
        <v>1 pack of 72pieces</v>
      </c>
      <c r="D1047" s="113">
        <f>PR!C1045</f>
        <v>5</v>
      </c>
      <c r="E1047" s="108">
        <f>IF(F1047="ALPHA",PR!$E1045,IF(F1047="ASSENE",PR!$F1045,IF(F1047="BIOFEM",PR!$G1045,IF(F1047="BIOMED",PR!$H1045,IF(F1047="CHI",PR!$I1045,IF(F1047="CLARION",PR!$J1045,IF(F1047="CODIX",PR!$K1045,IF(F1047="COSMADE",PR!$L1045,IF(F1047="SANCON",PR!$M1045,IF(F1047="DEVON",PR!$N1045,IF(F1047="DORTEMAG",PR!$O1045,IF(F1047="DGF",PR!$P1045,IF(F1047="DYNAMIC",PR!$Q1045,IF(F1047="EMZOR",PR!$R1045,IF(F1047="EUMATT",PR!$S1045,IF(F1047="FIDSON",PR!$T1045,IF(F1047="FCGLOBAL",PR!$U1045,IF(F1047="GENEITH",PR!$V1045,IF(F1047="GINOS",PR!$W1045,IF(F1047="GSK",PR!$X1045,IF(F1047="GLOBORG",PR!$Y1045,IF(F1047="GOODNEWS",PR!$Z1045,IF(F1047="GREENLIFE",PR!$AA1045,IF(F1047="HLINE",PR!$AB1045,IF(F1047="ROTECH",PR!$AC1045,IF(F1047="ISN",PR!$AD1045,IF(F1047="JAWA",PR!$AE1045,IF(F1047="LAYO",PR!$AF1045,IF(F1047="LEADWAY",PR!$AG1045,IF(F1047="LHV",PR!$AH1045,IF(F1047="MANOLA",PR!$AI1045,IF(F1047="MARCSON",PR!$AJ1045,IF(F1047="M&amp;B",PR!$AK1045,IF(F1047="MTRUST",PR!$AL1045,IF(F1047="MWORLD",PR!$AM1045,IF(F1047="MEGA",PR!$AN1045,IF(F1047="MICRONOVA",PR!$AO1045,IF(F1047="MFLASH",PR!$AP1045,IF(F1047="MORISON",PR!$AQ1045,IF(F1047="NEMEL",PR!$AR1045,IF(F1047="NHP",PR!$AS1045,IF(F1047="NHC",PR!$AT1045,IF(F1047="OLEAF",PR!$AU1045,IF(F1047="OCULUS",PR!$AV1045,IF(F1047="PACIFIC",PR!$AW1045,IF(F1047="PHAMATEX",PR!$AX1045,IF(F1047="PETHICS",PR!$AY1045,IF(F1047="PHILIPS",PR!$AZ1045,IF(F1047="RANBAXY",PR!$BA1045,IF(F1047="REALS",PR!$BB1045,IF(F1047="ROYAL",PR!$BC1045,IF(F1047="SAM",PR!$BD1045,IF(F1047="SEAGREEN",PR!$BE1045,IF(F1047="SKG",PR!$BF1045,IF(F1047="TAH",PR!$BG1045,IF(F1047="TAYLEK",PR!$BH1045,IF(F1047="TEMITA",PR!$BI1045,IF(F1047="THL",PR!$BJ1045,IF(F1047="UBASTIC",PR!$BK1045,IF(F1047="UNION",PR!$BL1045,IF(F1047="UNIQUE",PR!$BM1045,IF(F1047="VIXA",PR!$BN1045,IF(F1047="WWCV",PR!$BO1045,IF(F1047="ZOLON",PR!$BP1045,"-"))))))))))))))))))))))))))))))))))))))))))))))))))))))))))))))))</f>
        <v>15200</v>
      </c>
      <c r="F1047" s="102" t="str">
        <f>EV!L1327</f>
        <v>SANCON</v>
      </c>
      <c r="G1047" s="108">
        <f>IF(H1047="ALPHA",PR!$E1045,IF(H1047="ASSENE",PR!$F1045,IF(H1047="BIOFEM",PR!$G1045,IF(H1047="BIOMED",PR!$H1045,IF(H1047="CHI",PR!$I1045,IF(H1047="CLARION",PR!$J1045,IF(H1047="CODIX",PR!$K1045,IF(H1047="COSMADE",PR!$L1045,IF(H1047="SANCON",PR!$M1045,IF(H1047="DEVON",PR!$N1045,IF(H1047="DORTEMAG",PR!$O1045,IF(H1047="DGF",PR!$P1045,IF(H1047="DYNAMIC",PR!$Q1045,IF(H1047="EMZOR",PR!$R1045,IF(H1047="EUMATT",PR!$S1045,IF(H1047="FIDSON",PR!$T1045,IF(H1047="FCGLOBAL",PR!$U1045,IF(H1047="GENEITH",PR!$V1045,IF(H1047="GINOS",PR!$W1045,IF(H1047="GSK",PR!$X1045,IF(H1047="GLOBORG",PR!$Y1045,IF(H1047="GOODNEWS",PR!$Z1045,IF(H1047="GREENLIFE",PR!$AA1045,IF(H1047="HLINE",PR!$AB1045,IF(H1047="ROTECH",PR!$AC1045,IF(H1047="ISN",PR!$AD1045,IF(H1047="JAWA",PR!$AE1045,IF(H1047="LAYO",PR!$AF1045,IF(H1047="LEADWAY",PR!$AG1045,IF(H1047="LHV",PR!$AH1045,IF(H1047="MANOLA",PR!$AI1045,IF(H1047="MARCSON",PR!$AJ1045,IF(H1047="M&amp;B",PR!$AK1045,IF(H1047="MTRUST",PR!$AL1045,IF(H1047="MWORLD",PR!$AM1045,IF(H1047="MEGA",PR!$AN1045,IF(H1047="MICRONOVA",PR!$AO1045,IF(H1047="MFLASH",PR!$AP1045,IF(H1047="MORISON",PR!$AQ1045,IF(H1047="NEMEL",PR!$AR1045,IF(H1047="NHP",PR!$AS1045,IF(H1047="NHC",PR!$AT1045,IF(H1047="OLEAF",PR!$AU1045,IF(H1047="OCULUS",PR!$AV1045,IF(H1047="PACIFIC",PR!$AW1045,IF(H1047="PHAMATEX",PR!$AX1045,IF(H1047="PETHICS",PR!$AY1045,IF(H1047="PHILIPS",PR!$AZ1045,IF(H1047="RANBAXY",PR!$BA1045,IF(H1047="REALS",PR!$BB1045,IF(H1047="ROYAL",PR!$BC1045,IF(H1047="SAM",PR!$BD1045,IF(H1047="SEAGREEN",PR!$BE1045,IF(H1047="SKG",PR!$BF1045,IF(H1047="TAH",PR!$BG1045,IF(H1047="TAYLEK",PR!$BH1045,IF(H1047="TEMITA",PR!$BI1045,IF(H1047="THL",PR!$BJ1045,IF(H1047="UBASTIC",PR!$BK1045,IF(H1047="UNION",PR!$BL1045,IF(H1047="UNIQUE",PR!$BM1045,IF(H1047="VIXA",PR!$BN1045,IF(H1047="WWCV",PR!$BO1045,IF(H1047="ZOLON",PR!$BP1045,"-"))))))))))))))))))))))))))))))))))))))))))))))))))))))))))))))))</f>
        <v>17600</v>
      </c>
      <c r="H1047" s="102" t="str">
        <f>EV!M1327</f>
        <v>TEMITA</v>
      </c>
      <c r="I1047" s="108">
        <f>IF(J1047="ALPHA",PR!$E1045,IF(J1047="ASSENE",PR!$F1045,IF(J1047="BIOFEM",PR!$G1045,IF(J1047="BIOMED",PR!$H1045,IF(J1047="CHI",PR!$I1045,IF(J1047="CLARION",PR!$J1045,IF(J1047="CODIX",PR!$K1045,IF(J1047="COSMADE",PR!$L1045,IF(J1047="SANCON",PR!$M1045,IF(J1047="DEVON",PR!$N1045,IF(J1047="DORTEMAG",PR!$O1045,IF(J1047="DGF",PR!$P1045,IF(J1047="DYNAMIC",PR!$Q1045,IF(J1047="EMZOR",PR!$R1045,IF(J1047="EUMATT",PR!$S1045,IF(J1047="FIDSON",PR!$T1045,IF(J1047="FCGLOBAL",PR!$U1045,IF(J1047="GENEITH",PR!$V1045,IF(J1047="GINOS",PR!$W1045,IF(J1047="GSK",PR!$X1045,IF(J1047="GLOBORG",PR!$Y1045,IF(J1047="GOODNEWS",PR!$Z1045,IF(J1047="GREENLIFE",PR!$AA1045,IF(J1047="HLINE",PR!$AB1045,IF(J1047="ROTECH",PR!$AC1045,IF(J1047="ISN",PR!$AD1045,IF(J1047="JAWA",PR!$AE1045,IF(J1047="LAYO",PR!$AF1045,IF(J1047="LEADWAY",PR!$AG1045,IF(J1047="LHV",PR!$AH1045,IF(J1047="MANOLA",PR!$AI1045,IF(J1047="MARCSON",PR!$AJ1045,IF(J1047="M&amp;B",PR!$AK1045,IF(J1047="MTRUST",PR!$AL1045,IF(J1047="MWORLD",PR!$AM1045,IF(J1047="MEGA",PR!$AN1045,IF(J1047="MICRONOVA",PR!$AO1045,IF(J1047="MFLASH",PR!$AP1045,IF(J1047="MORISON",PR!$AQ1045,IF(J1047="NEMEL",PR!$AR1045,IF(J1047="NHP",PR!$AS1045,IF(J1047="NHC",PR!$AT1045,IF(J1047="OLEAF",PR!$AU1045,IF(J1047="OCULUS",PR!$AV1045,IF(J1047="PACIFIC",PR!$AW1045,IF(J1047="PHAMATEX",PR!$AX1045,IF(J1047="PETHICS",PR!$AY1045,IF(J1047="PHILIPS",PR!$AZ1045,IF(J1047="RANBAXY",PR!$BA1045,IF(J1047="REALS",PR!$BB1045,IF(J1047="ROYAL",PR!$BC1045,IF(J1047="SAM",PR!$BD1045,IF(J1047="SEAGREEN",PR!$BE1045,IF(J1047="SKG",PR!$BF1045,IF(J1047="TAH",PR!$BG1045,IF(J1047="TAYLEK",PR!$BH1045,IF(J1047="TEMITA",PR!$BI1045,IF(J1047="THL",PR!$BJ1045,IF(J1047="UBASTIC",PR!$BK1045,IF(J1047="UNION",PR!$BL1045,IF(J1047="UNIQUE",PR!$BM1045,IF(J1047="VIXA",PR!$BN1045,IF(J1047="WWCV",PR!$BO1045,IF(J1047="ZOLON",PR!$BP1045,"-"))))))))))))))))))))))))))))))))))))))))))))))))))))))))))))))))</f>
        <v>20800</v>
      </c>
      <c r="J1047" s="102" t="str">
        <f>EV!N1327</f>
        <v>LAYO</v>
      </c>
      <c r="K1047" s="433" t="s">
        <v>817</v>
      </c>
      <c r="L1047" s="183">
        <f>IF(K1047&gt;0,IF(K1047="ALPHA",PR!$E1045,IF(K1047="ASSENE",PR!$F1045,IF(K1047="BIOFEM",PR!$G1045,IF(K1047="BIOMED",PR!$H1045,IF(K1047="CHI",PR!$I1045,IF(K1047="CLARION",PR!$J1045,IF(K1047="CODIX",PR!$K1045,IF(K1047="COSMADE",PR!$L1045,IF(K1047="SANCON",PR!$M1045,IF(K1047="DEVON",PR!$N1045,IF(K1047="DORTEMAG",PR!$O1045,IF(K1047="DGF",PR!$P1045,IF(K1047="DYNAMIC",PR!$Q1045,IF(K1047="EMZOR",PR!$R1045,IF(K1047="EUMATT",PR!$S1045,IF(K1047="FIDSON",PR!$T1045,IF(K1047="FCGLOBAL",PR!$U1045,IF(K1047="GENEITH",PR!$V1045,IF(K1047="GINOS",PR!$W1045,IF(K1047="GSK",PR!$X1045,IF(K1047="GLOBORG",PR!$Y1045,IF(K1047="GOODNEWS",PR!$Z1045,IF(K1047="GREENLIFE",PR!$AA1045,IF(K1047="HLINE",PR!$AB1045,IF(K1047="ROTECH",PR!$AC1045,IF(K1047="ISN",PR!$AD1045,IF(K1047="JAWA",PR!$AE1045,IF(K1047="LAYO",PR!$AF1045,IF(K1047="LEADWAY",PR!$AG1045,IF(K1047="LHV",PR!$AH1045,IF(K1047="MANOLA",PR!$AI1045,IF(K1047="MARCSON",PR!$AJ1045,IF(K1047="M&amp;B",PR!$AK1045,IF(K1047="MTRUST",PR!$AL1045,IF(K1047="MWORLD",PR!$AM1045,IF(K1047="MEGA",PR!$AN1045,IF(K1047="MICRONOVA",PR!$AO1045,IF(K1047="MFLASH",PR!$AP1045,IF(K1047="MORISON",PR!$AQ1045,IF(K1047="NEMEL",PR!$AR1045,IF(K1047="NHP",PR!$AS1045,IF(K1047="NHC",PR!$AT1045,IF(K1047="OLEAF",PR!$AU1045,IF(K1047="OCULUS",PR!$AV1045,IF(K1047="PACIFIC",PR!$AW1045,IF(K1047="PHAMATEX",PR!$AX1045,IF(K1047="PETHICS",PR!$AY1045,IF(K1047="PHILIPS",PR!$AZ1045,IF(K1047="RANBAXY",PR!$BA1045,IF(K1047="REALS",PR!$BB1045,IF(K1047="ROYAL",PR!$BC1045,IF(K1047="SAM",PR!$BD1045,IF(K1047="SEAGREEN",PR!$BE1045,IF(K1047="SKG",PR!$BF1045,IF(K1047="TAH",PR!$BG1045,IF(K1047="TAYLEK",PR!$BH1045,IF(K1047="TEMITA",PR!$BI1045,IF(K1047="THL",PR!$BJ1045,IF(K1047="UBASTIC",PR!$BK1045,IF(K1047="UNION",PR!$BL1045,IF(K1047="UNIQUE",PR!$BM1045,IF(K1047="VIXA",PR!$BN1045,IF(K1047="WWCV",PR!$BO1045,IF(K1047="ZOLON",PR!$BP1045,"-")))))))))))))))))))))))))))))))))))))))))))))))))))))))))))))))))</f>
        <v>15200</v>
      </c>
    </row>
    <row r="1048" spans="1:12" ht="18.75" x14ac:dyDescent="0.3">
      <c r="A1048" s="430">
        <f>PR!A1046</f>
        <v>944</v>
      </c>
      <c r="B1048" s="15" t="str">
        <f>PR!B1046</f>
        <v>IMMERSION OIL</v>
      </c>
      <c r="C1048" s="113" t="str">
        <f>PR!D1046</f>
        <v>PCS</v>
      </c>
      <c r="D1048" s="113">
        <f>PR!C1046</f>
        <v>12</v>
      </c>
      <c r="E1048" s="108">
        <f>IF(F1048="ALPHA",PR!$E1046,IF(F1048="ASSENE",PR!$F1046,IF(F1048="BIOFEM",PR!$G1046,IF(F1048="BIOMED",PR!$H1046,IF(F1048="CHI",PR!$I1046,IF(F1048="CLARION",PR!$J1046,IF(F1048="CODIX",PR!$K1046,IF(F1048="COSMADE",PR!$L1046,IF(F1048="SANCON",PR!$M1046,IF(F1048="DEVON",PR!$N1046,IF(F1048="DORTEMAG",PR!$O1046,IF(F1048="DGF",PR!$P1046,IF(F1048="DYNAMIC",PR!$Q1046,IF(F1048="EMZOR",PR!$R1046,IF(F1048="EUMATT",PR!$S1046,IF(F1048="FIDSON",PR!$T1046,IF(F1048="FCGLOBAL",PR!$U1046,IF(F1048="GENEITH",PR!$V1046,IF(F1048="GINOS",PR!$W1046,IF(F1048="GSK",PR!$X1046,IF(F1048="GLOBORG",PR!$Y1046,IF(F1048="GOODNEWS",PR!$Z1046,IF(F1048="GREENLIFE",PR!$AA1046,IF(F1048="HLINE",PR!$AB1046,IF(F1048="ROTECH",PR!$AC1046,IF(F1048="ISN",PR!$AD1046,IF(F1048="JAWA",PR!$AE1046,IF(F1048="LAYO",PR!$AF1046,IF(F1048="LEADWAY",PR!$AG1046,IF(F1048="LHV",PR!$AH1046,IF(F1048="MANOLA",PR!$AI1046,IF(F1048="MARCSON",PR!$AJ1046,IF(F1048="M&amp;B",PR!$AK1046,IF(F1048="MTRUST",PR!$AL1046,IF(F1048="MWORLD",PR!$AM1046,IF(F1048="MEGA",PR!$AN1046,IF(F1048="MICRONOVA",PR!$AO1046,IF(F1048="MFLASH",PR!$AP1046,IF(F1048="MORISON",PR!$AQ1046,IF(F1048="NEMEL",PR!$AR1046,IF(F1048="NHP",PR!$AS1046,IF(F1048="NHC",PR!$AT1046,IF(F1048="OLEAF",PR!$AU1046,IF(F1048="OCULUS",PR!$AV1046,IF(F1048="PACIFIC",PR!$AW1046,IF(F1048="PHAMATEX",PR!$AX1046,IF(F1048="PETHICS",PR!$AY1046,IF(F1048="PHILIPS",PR!$AZ1046,IF(F1048="RANBAXY",PR!$BA1046,IF(F1048="REALS",PR!$BB1046,IF(F1048="ROYAL",PR!$BC1046,IF(F1048="SAM",PR!$BD1046,IF(F1048="SEAGREEN",PR!$BE1046,IF(F1048="SKG",PR!$BF1046,IF(F1048="TAH",PR!$BG1046,IF(F1048="TAYLEK",PR!$BH1046,IF(F1048="TEMITA",PR!$BI1046,IF(F1048="THL",PR!$BJ1046,IF(F1048="UBASTIC",PR!$BK1046,IF(F1048="UNION",PR!$BL1046,IF(F1048="UNIQUE",PR!$BM1046,IF(F1048="VIXA",PR!$BN1046,IF(F1048="WWCV",PR!$BO1046,IF(F1048="ZOLON",PR!$BP1046,"-"))))))))))))))))))))))))))))))))))))))))))))))))))))))))))))))))</f>
        <v>4200</v>
      </c>
      <c r="F1048" s="102" t="str">
        <f>EV!L1328</f>
        <v>SANCON</v>
      </c>
      <c r="G1048" s="108">
        <f>IF(H1048="ALPHA",PR!$E1046,IF(H1048="ASSENE",PR!$F1046,IF(H1048="BIOFEM",PR!$G1046,IF(H1048="BIOMED",PR!$H1046,IF(H1048="CHI",PR!$I1046,IF(H1048="CLARION",PR!$J1046,IF(H1048="CODIX",PR!$K1046,IF(H1048="COSMADE",PR!$L1046,IF(H1048="SANCON",PR!$M1046,IF(H1048="DEVON",PR!$N1046,IF(H1048="DORTEMAG",PR!$O1046,IF(H1048="DGF",PR!$P1046,IF(H1048="DYNAMIC",PR!$Q1046,IF(H1048="EMZOR",PR!$R1046,IF(H1048="EUMATT",PR!$S1046,IF(H1048="FIDSON",PR!$T1046,IF(H1048="FCGLOBAL",PR!$U1046,IF(H1048="GENEITH",PR!$V1046,IF(H1048="GINOS",PR!$W1046,IF(H1048="GSK",PR!$X1046,IF(H1048="GLOBORG",PR!$Y1046,IF(H1048="GOODNEWS",PR!$Z1046,IF(H1048="GREENLIFE",PR!$AA1046,IF(H1048="HLINE",PR!$AB1046,IF(H1048="ROTECH",PR!$AC1046,IF(H1048="ISN",PR!$AD1046,IF(H1048="JAWA",PR!$AE1046,IF(H1048="LAYO",PR!$AF1046,IF(H1048="LEADWAY",PR!$AG1046,IF(H1048="LHV",PR!$AH1046,IF(H1048="MANOLA",PR!$AI1046,IF(H1048="MARCSON",PR!$AJ1046,IF(H1048="M&amp;B",PR!$AK1046,IF(H1048="MTRUST",PR!$AL1046,IF(H1048="MWORLD",PR!$AM1046,IF(H1048="MEGA",PR!$AN1046,IF(H1048="MICRONOVA",PR!$AO1046,IF(H1048="MFLASH",PR!$AP1046,IF(H1048="MORISON",PR!$AQ1046,IF(H1048="NEMEL",PR!$AR1046,IF(H1048="NHP",PR!$AS1046,IF(H1048="NHC",PR!$AT1046,IF(H1048="OLEAF",PR!$AU1046,IF(H1048="OCULUS",PR!$AV1046,IF(H1048="PACIFIC",PR!$AW1046,IF(H1048="PHAMATEX",PR!$AX1046,IF(H1048="PETHICS",PR!$AY1046,IF(H1048="PHILIPS",PR!$AZ1046,IF(H1048="RANBAXY",PR!$BA1046,IF(H1048="REALS",PR!$BB1046,IF(H1048="ROYAL",PR!$BC1046,IF(H1048="SAM",PR!$BD1046,IF(H1048="SEAGREEN",PR!$BE1046,IF(H1048="SKG",PR!$BF1046,IF(H1048="TAH",PR!$BG1046,IF(H1048="TAYLEK",PR!$BH1046,IF(H1048="TEMITA",PR!$BI1046,IF(H1048="THL",PR!$BJ1046,IF(H1048="UBASTIC",PR!$BK1046,IF(H1048="UNION",PR!$BL1046,IF(H1048="UNIQUE",PR!$BM1046,IF(H1048="VIXA",PR!$BN1046,IF(H1048="WWCV",PR!$BO1046,IF(H1048="ZOLON",PR!$BP1046,"-"))))))))))))))))))))))))))))))))))))))))))))))))))))))))))))))))</f>
        <v>4655</v>
      </c>
      <c r="H1048" s="102" t="str">
        <f>EV!M1328</f>
        <v>DYNAMIC</v>
      </c>
      <c r="I1048" s="108">
        <f>IF(J1048="ALPHA",PR!$E1046,IF(J1048="ASSENE",PR!$F1046,IF(J1048="BIOFEM",PR!$G1046,IF(J1048="BIOMED",PR!$H1046,IF(J1048="CHI",PR!$I1046,IF(J1048="CLARION",PR!$J1046,IF(J1048="CODIX",PR!$K1046,IF(J1048="COSMADE",PR!$L1046,IF(J1048="SANCON",PR!$M1046,IF(J1048="DEVON",PR!$N1046,IF(J1048="DORTEMAG",PR!$O1046,IF(J1048="DGF",PR!$P1046,IF(J1048="DYNAMIC",PR!$Q1046,IF(J1048="EMZOR",PR!$R1046,IF(J1048="EUMATT",PR!$S1046,IF(J1048="FIDSON",PR!$T1046,IF(J1048="FCGLOBAL",PR!$U1046,IF(J1048="GENEITH",PR!$V1046,IF(J1048="GINOS",PR!$W1046,IF(J1048="GSK",PR!$X1046,IF(J1048="GLOBORG",PR!$Y1046,IF(J1048="GOODNEWS",PR!$Z1046,IF(J1048="GREENLIFE",PR!$AA1046,IF(J1048="HLINE",PR!$AB1046,IF(J1048="ROTECH",PR!$AC1046,IF(J1048="ISN",PR!$AD1046,IF(J1048="JAWA",PR!$AE1046,IF(J1048="LAYO",PR!$AF1046,IF(J1048="LEADWAY",PR!$AG1046,IF(J1048="LHV",PR!$AH1046,IF(J1048="MANOLA",PR!$AI1046,IF(J1048="MARCSON",PR!$AJ1046,IF(J1048="M&amp;B",PR!$AK1046,IF(J1048="MTRUST",PR!$AL1046,IF(J1048="MWORLD",PR!$AM1046,IF(J1048="MEGA",PR!$AN1046,IF(J1048="MICRONOVA",PR!$AO1046,IF(J1048="MFLASH",PR!$AP1046,IF(J1048="MORISON",PR!$AQ1046,IF(J1048="NEMEL",PR!$AR1046,IF(J1048="NHP",PR!$AS1046,IF(J1048="NHC",PR!$AT1046,IF(J1048="OLEAF",PR!$AU1046,IF(J1048="OCULUS",PR!$AV1046,IF(J1048="PACIFIC",PR!$AW1046,IF(J1048="PHAMATEX",PR!$AX1046,IF(J1048="PETHICS",PR!$AY1046,IF(J1048="PHILIPS",PR!$AZ1046,IF(J1048="RANBAXY",PR!$BA1046,IF(J1048="REALS",PR!$BB1046,IF(J1048="ROYAL",PR!$BC1046,IF(J1048="SAM",PR!$BD1046,IF(J1048="SEAGREEN",PR!$BE1046,IF(J1048="SKG",PR!$BF1046,IF(J1048="TAH",PR!$BG1046,IF(J1048="TAYLEK",PR!$BH1046,IF(J1048="TEMITA",PR!$BI1046,IF(J1048="THL",PR!$BJ1046,IF(J1048="UBASTIC",PR!$BK1046,IF(J1048="UNION",PR!$BL1046,IF(J1048="UNIQUE",PR!$BM1046,IF(J1048="VIXA",PR!$BN1046,IF(J1048="WWCV",PR!$BO1046,IF(J1048="ZOLON",PR!$BP1046,"-"))))))))))))))))))))))))))))))))))))))))))))))))))))))))))))))))</f>
        <v>5000</v>
      </c>
      <c r="J1048" s="102" t="str">
        <f>EV!N1328</f>
        <v>UBASTIC</v>
      </c>
      <c r="K1048" s="433" t="s">
        <v>817</v>
      </c>
      <c r="L1048" s="183">
        <f>IF(K1048&gt;0,IF(K1048="ALPHA",PR!$E1046,IF(K1048="ASSENE",PR!$F1046,IF(K1048="BIOFEM",PR!$G1046,IF(K1048="BIOMED",PR!$H1046,IF(K1048="CHI",PR!$I1046,IF(K1048="CLARION",PR!$J1046,IF(K1048="CODIX",PR!$K1046,IF(K1048="COSMADE",PR!$L1046,IF(K1048="SANCON",PR!$M1046,IF(K1048="DEVON",PR!$N1046,IF(K1048="DORTEMAG",PR!$O1046,IF(K1048="DGF",PR!$P1046,IF(K1048="DYNAMIC",PR!$Q1046,IF(K1048="EMZOR",PR!$R1046,IF(K1048="EUMATT",PR!$S1046,IF(K1048="FIDSON",PR!$T1046,IF(K1048="FCGLOBAL",PR!$U1046,IF(K1048="GENEITH",PR!$V1046,IF(K1048="GINOS",PR!$W1046,IF(K1048="GSK",PR!$X1046,IF(K1048="GLOBORG",PR!$Y1046,IF(K1048="GOODNEWS",PR!$Z1046,IF(K1048="GREENLIFE",PR!$AA1046,IF(K1048="HLINE",PR!$AB1046,IF(K1048="ROTECH",PR!$AC1046,IF(K1048="ISN",PR!$AD1046,IF(K1048="JAWA",PR!$AE1046,IF(K1048="LAYO",PR!$AF1046,IF(K1048="LEADWAY",PR!$AG1046,IF(K1048="LHV",PR!$AH1046,IF(K1048="MANOLA",PR!$AI1046,IF(K1048="MARCSON",PR!$AJ1046,IF(K1048="M&amp;B",PR!$AK1046,IF(K1048="MTRUST",PR!$AL1046,IF(K1048="MWORLD",PR!$AM1046,IF(K1048="MEGA",PR!$AN1046,IF(K1048="MICRONOVA",PR!$AO1046,IF(K1048="MFLASH",PR!$AP1046,IF(K1048="MORISON",PR!$AQ1046,IF(K1048="NEMEL",PR!$AR1046,IF(K1048="NHP",PR!$AS1046,IF(K1048="NHC",PR!$AT1046,IF(K1048="OLEAF",PR!$AU1046,IF(K1048="OCULUS",PR!$AV1046,IF(K1048="PACIFIC",PR!$AW1046,IF(K1048="PHAMATEX",PR!$AX1046,IF(K1048="PETHICS",PR!$AY1046,IF(K1048="PHILIPS",PR!$AZ1046,IF(K1048="RANBAXY",PR!$BA1046,IF(K1048="REALS",PR!$BB1046,IF(K1048="ROYAL",PR!$BC1046,IF(K1048="SAM",PR!$BD1046,IF(K1048="SEAGREEN",PR!$BE1046,IF(K1048="SKG",PR!$BF1046,IF(K1048="TAH",PR!$BG1046,IF(K1048="TAYLEK",PR!$BH1046,IF(K1048="TEMITA",PR!$BI1046,IF(K1048="THL",PR!$BJ1046,IF(K1048="UBASTIC",PR!$BK1046,IF(K1048="UNION",PR!$BL1046,IF(K1048="UNIQUE",PR!$BM1046,IF(K1048="VIXA",PR!$BN1046,IF(K1048="WWCV",PR!$BO1046,IF(K1048="ZOLON",PR!$BP1046,"-")))))))))))))))))))))))))))))))))))))))))))))))))))))))))))))))))</f>
        <v>4200</v>
      </c>
    </row>
    <row r="1049" spans="1:12" ht="18.75" x14ac:dyDescent="0.3">
      <c r="A1049" s="430">
        <f>PR!A1047</f>
        <v>945</v>
      </c>
      <c r="B1049" s="15" t="str">
        <f>PR!B1047</f>
        <v>FIN TIPS</v>
      </c>
      <c r="C1049" s="113" t="str">
        <f>PR!D1047</f>
        <v>1 pack of 1000pieces</v>
      </c>
      <c r="D1049" s="113">
        <f>PR!C1047</f>
        <v>20</v>
      </c>
      <c r="E1049" s="108">
        <f>IF(F1049="ALPHA",PR!$E1047,IF(F1049="ASSENE",PR!$F1047,IF(F1049="BIOFEM",PR!$G1047,IF(F1049="BIOMED",PR!$H1047,IF(F1049="CHI",PR!$I1047,IF(F1049="CLARION",PR!$J1047,IF(F1049="CODIX",PR!$K1047,IF(F1049="COSMADE",PR!$L1047,IF(F1049="SANCON",PR!$M1047,IF(F1049="DEVON",PR!$N1047,IF(F1049="DORTEMAG",PR!$O1047,IF(F1049="DGF",PR!$P1047,IF(F1049="DYNAMIC",PR!$Q1047,IF(F1049="EMZOR",PR!$R1047,IF(F1049="EUMATT",PR!$S1047,IF(F1049="FIDSON",PR!$T1047,IF(F1049="FCGLOBAL",PR!$U1047,IF(F1049="GENEITH",PR!$V1047,IF(F1049="GINOS",PR!$W1047,IF(F1049="GSK",PR!$X1047,IF(F1049="GLOBORG",PR!$Y1047,IF(F1049="GOODNEWS",PR!$Z1047,IF(F1049="GREENLIFE",PR!$AA1047,IF(F1049="HLINE",PR!$AB1047,IF(F1049="ROTECH",PR!$AC1047,IF(F1049="ISN",PR!$AD1047,IF(F1049="JAWA",PR!$AE1047,IF(F1049="LAYO",PR!$AF1047,IF(F1049="LEADWAY",PR!$AG1047,IF(F1049="LHV",PR!$AH1047,IF(F1049="MANOLA",PR!$AI1047,IF(F1049="MARCSON",PR!$AJ1047,IF(F1049="M&amp;B",PR!$AK1047,IF(F1049="MTRUST",PR!$AL1047,IF(F1049="MWORLD",PR!$AM1047,IF(F1049="MEGA",PR!$AN1047,IF(F1049="MICRONOVA",PR!$AO1047,IF(F1049="MFLASH",PR!$AP1047,IF(F1049="MORISON",PR!$AQ1047,IF(F1049="NEMEL",PR!$AR1047,IF(F1049="NHP",PR!$AS1047,IF(F1049="NHC",PR!$AT1047,IF(F1049="OLEAF",PR!$AU1047,IF(F1049="OCULUS",PR!$AV1047,IF(F1049="PACIFIC",PR!$AW1047,IF(F1049="PHAMATEX",PR!$AX1047,IF(F1049="PETHICS",PR!$AY1047,IF(F1049="PHILIPS",PR!$AZ1047,IF(F1049="RANBAXY",PR!$BA1047,IF(F1049="REALS",PR!$BB1047,IF(F1049="ROYAL",PR!$BC1047,IF(F1049="SAM",PR!$BD1047,IF(F1049="SEAGREEN",PR!$BE1047,IF(F1049="SKG",PR!$BF1047,IF(F1049="TAH",PR!$BG1047,IF(F1049="TAYLEK",PR!$BH1047,IF(F1049="TEMITA",PR!$BI1047,IF(F1049="THL",PR!$BJ1047,IF(F1049="UBASTIC",PR!$BK1047,IF(F1049="UNION",PR!$BL1047,IF(F1049="UNIQUE",PR!$BM1047,IF(F1049="VIXA",PR!$BN1047,IF(F1049="WWCV",PR!$BO1047,IF(F1049="ZOLON",PR!$BP1047,"-"))))))))))))))))))))))))))))))))))))))))))))))))))))))))))))))))</f>
        <v>900</v>
      </c>
      <c r="F1049" s="102" t="str">
        <f>EV!L1329</f>
        <v>SANCON</v>
      </c>
      <c r="G1049" s="108">
        <f>IF(H1049="ALPHA",PR!$E1047,IF(H1049="ASSENE",PR!$F1047,IF(H1049="BIOFEM",PR!$G1047,IF(H1049="BIOMED",PR!$H1047,IF(H1049="CHI",PR!$I1047,IF(H1049="CLARION",PR!$J1047,IF(H1049="CODIX",PR!$K1047,IF(H1049="COSMADE",PR!$L1047,IF(H1049="SANCON",PR!$M1047,IF(H1049="DEVON",PR!$N1047,IF(H1049="DORTEMAG",PR!$O1047,IF(H1049="DGF",PR!$P1047,IF(H1049="DYNAMIC",PR!$Q1047,IF(H1049="EMZOR",PR!$R1047,IF(H1049="EUMATT",PR!$S1047,IF(H1049="FIDSON",PR!$T1047,IF(H1049="FCGLOBAL",PR!$U1047,IF(H1049="GENEITH",PR!$V1047,IF(H1049="GINOS",PR!$W1047,IF(H1049="GSK",PR!$X1047,IF(H1049="GLOBORG",PR!$Y1047,IF(H1049="GOODNEWS",PR!$Z1047,IF(H1049="GREENLIFE",PR!$AA1047,IF(H1049="HLINE",PR!$AB1047,IF(H1049="ROTECH",PR!$AC1047,IF(H1049="ISN",PR!$AD1047,IF(H1049="JAWA",PR!$AE1047,IF(H1049="LAYO",PR!$AF1047,IF(H1049="LEADWAY",PR!$AG1047,IF(H1049="LHV",PR!$AH1047,IF(H1049="MANOLA",PR!$AI1047,IF(H1049="MARCSON",PR!$AJ1047,IF(H1049="M&amp;B",PR!$AK1047,IF(H1049="MTRUST",PR!$AL1047,IF(H1049="MWORLD",PR!$AM1047,IF(H1049="MEGA",PR!$AN1047,IF(H1049="MICRONOVA",PR!$AO1047,IF(H1049="MFLASH",PR!$AP1047,IF(H1049="MORISON",PR!$AQ1047,IF(H1049="NEMEL",PR!$AR1047,IF(H1049="NHP",PR!$AS1047,IF(H1049="NHC",PR!$AT1047,IF(H1049="OLEAF",PR!$AU1047,IF(H1049="OCULUS",PR!$AV1047,IF(H1049="PACIFIC",PR!$AW1047,IF(H1049="PHAMATEX",PR!$AX1047,IF(H1049="PETHICS",PR!$AY1047,IF(H1049="PHILIPS",PR!$AZ1047,IF(H1049="RANBAXY",PR!$BA1047,IF(H1049="REALS",PR!$BB1047,IF(H1049="ROYAL",PR!$BC1047,IF(H1049="SAM",PR!$BD1047,IF(H1049="SEAGREEN",PR!$BE1047,IF(H1049="SKG",PR!$BF1047,IF(H1049="TAH",PR!$BG1047,IF(H1049="TAYLEK",PR!$BH1047,IF(H1049="TEMITA",PR!$BI1047,IF(H1049="THL",PR!$BJ1047,IF(H1049="UBASTIC",PR!$BK1047,IF(H1049="UNION",PR!$BL1047,IF(H1049="UNIQUE",PR!$BM1047,IF(H1049="VIXA",PR!$BN1047,IF(H1049="WWCV",PR!$BO1047,IF(H1049="ZOLON",PR!$BP1047,"-"))))))))))))))))))))))))))))))))))))))))))))))))))))))))))))))))</f>
        <v>1200</v>
      </c>
      <c r="H1049" s="102" t="str">
        <f>EV!M1329</f>
        <v>UBASTIC</v>
      </c>
      <c r="I1049" s="108">
        <f>IF(J1049="ALPHA",PR!$E1047,IF(J1049="ASSENE",PR!$F1047,IF(J1049="BIOFEM",PR!$G1047,IF(J1049="BIOMED",PR!$H1047,IF(J1049="CHI",PR!$I1047,IF(J1049="CLARION",PR!$J1047,IF(J1049="CODIX",PR!$K1047,IF(J1049="COSMADE",PR!$L1047,IF(J1049="SANCON",PR!$M1047,IF(J1049="DEVON",PR!$N1047,IF(J1049="DORTEMAG",PR!$O1047,IF(J1049="DGF",PR!$P1047,IF(J1049="DYNAMIC",PR!$Q1047,IF(J1049="EMZOR",PR!$R1047,IF(J1049="EUMATT",PR!$S1047,IF(J1049="FIDSON",PR!$T1047,IF(J1049="FCGLOBAL",PR!$U1047,IF(J1049="GENEITH",PR!$V1047,IF(J1049="GINOS",PR!$W1047,IF(J1049="GSK",PR!$X1047,IF(J1049="GLOBORG",PR!$Y1047,IF(J1049="GOODNEWS",PR!$Z1047,IF(J1049="GREENLIFE",PR!$AA1047,IF(J1049="HLINE",PR!$AB1047,IF(J1049="ROTECH",PR!$AC1047,IF(J1049="ISN",PR!$AD1047,IF(J1049="JAWA",PR!$AE1047,IF(J1049="LAYO",PR!$AF1047,IF(J1049="LEADWAY",PR!$AG1047,IF(J1049="LHV",PR!$AH1047,IF(J1049="MANOLA",PR!$AI1047,IF(J1049="MARCSON",PR!$AJ1047,IF(J1049="M&amp;B",PR!$AK1047,IF(J1049="MTRUST",PR!$AL1047,IF(J1049="MWORLD",PR!$AM1047,IF(J1049="MEGA",PR!$AN1047,IF(J1049="MICRONOVA",PR!$AO1047,IF(J1049="MFLASH",PR!$AP1047,IF(J1049="MORISON",PR!$AQ1047,IF(J1049="NEMEL",PR!$AR1047,IF(J1049="NHP",PR!$AS1047,IF(J1049="NHC",PR!$AT1047,IF(J1049="OLEAF",PR!$AU1047,IF(J1049="OCULUS",PR!$AV1047,IF(J1049="PACIFIC",PR!$AW1047,IF(J1049="PHAMATEX",PR!$AX1047,IF(J1049="PETHICS",PR!$AY1047,IF(J1049="PHILIPS",PR!$AZ1047,IF(J1049="RANBAXY",PR!$BA1047,IF(J1049="REALS",PR!$BB1047,IF(J1049="ROYAL",PR!$BC1047,IF(J1049="SAM",PR!$BD1047,IF(J1049="SEAGREEN",PR!$BE1047,IF(J1049="SKG",PR!$BF1047,IF(J1049="TAH",PR!$BG1047,IF(J1049="TAYLEK",PR!$BH1047,IF(J1049="TEMITA",PR!$BI1047,IF(J1049="THL",PR!$BJ1047,IF(J1049="UBASTIC",PR!$BK1047,IF(J1049="UNION",PR!$BL1047,IF(J1049="UNIQUE",PR!$BM1047,IF(J1049="VIXA",PR!$BN1047,IF(J1049="WWCV",PR!$BO1047,IF(J1049="ZOLON",PR!$BP1047,"-"))))))))))))))))))))))))))))))))))))))))))))))))))))))))))))))))</f>
        <v>1235</v>
      </c>
      <c r="J1049" s="102" t="str">
        <f>EV!N1329</f>
        <v>LAYO</v>
      </c>
      <c r="K1049" s="433" t="s">
        <v>817</v>
      </c>
      <c r="L1049" s="183">
        <f>IF(K1049&gt;0,IF(K1049="ALPHA",PR!$E1047,IF(K1049="ASSENE",PR!$F1047,IF(K1049="BIOFEM",PR!$G1047,IF(K1049="BIOMED",PR!$H1047,IF(K1049="CHI",PR!$I1047,IF(K1049="CLARION",PR!$J1047,IF(K1049="CODIX",PR!$K1047,IF(K1049="COSMADE",PR!$L1047,IF(K1049="SANCON",PR!$M1047,IF(K1049="DEVON",PR!$N1047,IF(K1049="DORTEMAG",PR!$O1047,IF(K1049="DGF",PR!$P1047,IF(K1049="DYNAMIC",PR!$Q1047,IF(K1049="EMZOR",PR!$R1047,IF(K1049="EUMATT",PR!$S1047,IF(K1049="FIDSON",PR!$T1047,IF(K1049="FCGLOBAL",PR!$U1047,IF(K1049="GENEITH",PR!$V1047,IF(K1049="GINOS",PR!$W1047,IF(K1049="GSK",PR!$X1047,IF(K1049="GLOBORG",PR!$Y1047,IF(K1049="GOODNEWS",PR!$Z1047,IF(K1049="GREENLIFE",PR!$AA1047,IF(K1049="HLINE",PR!$AB1047,IF(K1049="ROTECH",PR!$AC1047,IF(K1049="ISN",PR!$AD1047,IF(K1049="JAWA",PR!$AE1047,IF(K1049="LAYO",PR!$AF1047,IF(K1049="LEADWAY",PR!$AG1047,IF(K1049="LHV",PR!$AH1047,IF(K1049="MANOLA",PR!$AI1047,IF(K1049="MARCSON",PR!$AJ1047,IF(K1049="M&amp;B",PR!$AK1047,IF(K1049="MTRUST",PR!$AL1047,IF(K1049="MWORLD",PR!$AM1047,IF(K1049="MEGA",PR!$AN1047,IF(K1049="MICRONOVA",PR!$AO1047,IF(K1049="MFLASH",PR!$AP1047,IF(K1049="MORISON",PR!$AQ1047,IF(K1049="NEMEL",PR!$AR1047,IF(K1049="NHP",PR!$AS1047,IF(K1049="NHC",PR!$AT1047,IF(K1049="OLEAF",PR!$AU1047,IF(K1049="OCULUS",PR!$AV1047,IF(K1049="PACIFIC",PR!$AW1047,IF(K1049="PHAMATEX",PR!$AX1047,IF(K1049="PETHICS",PR!$AY1047,IF(K1049="PHILIPS",PR!$AZ1047,IF(K1049="RANBAXY",PR!$BA1047,IF(K1049="REALS",PR!$BB1047,IF(K1049="ROYAL",PR!$BC1047,IF(K1049="SAM",PR!$BD1047,IF(K1049="SEAGREEN",PR!$BE1047,IF(K1049="SKG",PR!$BF1047,IF(K1049="TAH",PR!$BG1047,IF(K1049="TAYLEK",PR!$BH1047,IF(K1049="TEMITA",PR!$BI1047,IF(K1049="THL",PR!$BJ1047,IF(K1049="UBASTIC",PR!$BK1047,IF(K1049="UNION",PR!$BL1047,IF(K1049="UNIQUE",PR!$BM1047,IF(K1049="VIXA",PR!$BN1047,IF(K1049="WWCV",PR!$BO1047,IF(K1049="ZOLON",PR!$BP1047,"-")))))))))))))))))))))))))))))))))))))))))))))))))))))))))))))))))</f>
        <v>900</v>
      </c>
    </row>
    <row r="1050" spans="1:12" ht="18.75" x14ac:dyDescent="0.3">
      <c r="A1050" s="430">
        <f>PR!A1048</f>
        <v>946</v>
      </c>
      <c r="B1050" s="15" t="str">
        <f>PR!B1048</f>
        <v>GREASE PENCIL</v>
      </c>
      <c r="C1050" s="113" t="str">
        <f>PR!D1048</f>
        <v>1 pack of 12pieces</v>
      </c>
      <c r="D1050" s="113">
        <f>PR!C1048</f>
        <v>40</v>
      </c>
      <c r="E1050" s="108">
        <f>IF(F1050="ALPHA",PR!$E1048,IF(F1050="ASSENE",PR!$F1048,IF(F1050="BIOFEM",PR!$G1048,IF(F1050="BIOMED",PR!$H1048,IF(F1050="CHI",PR!$I1048,IF(F1050="CLARION",PR!$J1048,IF(F1050="CODIX",PR!$K1048,IF(F1050="COSMADE",PR!$L1048,IF(F1050="SANCON",PR!$M1048,IF(F1050="DEVON",PR!$N1048,IF(F1050="DORTEMAG",PR!$O1048,IF(F1050="DGF",PR!$P1048,IF(F1050="DYNAMIC",PR!$Q1048,IF(F1050="EMZOR",PR!$R1048,IF(F1050="EUMATT",PR!$S1048,IF(F1050="FIDSON",PR!$T1048,IF(F1050="FCGLOBAL",PR!$U1048,IF(F1050="GENEITH",PR!$V1048,IF(F1050="GINOS",PR!$W1048,IF(F1050="GSK",PR!$X1048,IF(F1050="GLOBORG",PR!$Y1048,IF(F1050="GOODNEWS",PR!$Z1048,IF(F1050="GREENLIFE",PR!$AA1048,IF(F1050="HLINE",PR!$AB1048,IF(F1050="ROTECH",PR!$AC1048,IF(F1050="ISN",PR!$AD1048,IF(F1050="JAWA",PR!$AE1048,IF(F1050="LAYO",PR!$AF1048,IF(F1050="LEADWAY",PR!$AG1048,IF(F1050="LHV",PR!$AH1048,IF(F1050="MANOLA",PR!$AI1048,IF(F1050="MARCSON",PR!$AJ1048,IF(F1050="M&amp;B",PR!$AK1048,IF(F1050="MTRUST",PR!$AL1048,IF(F1050="MWORLD",PR!$AM1048,IF(F1050="MEGA",PR!$AN1048,IF(F1050="MICRONOVA",PR!$AO1048,IF(F1050="MFLASH",PR!$AP1048,IF(F1050="MORISON",PR!$AQ1048,IF(F1050="NEMEL",PR!$AR1048,IF(F1050="NHP",PR!$AS1048,IF(F1050="NHC",PR!$AT1048,IF(F1050="OLEAF",PR!$AU1048,IF(F1050="OCULUS",PR!$AV1048,IF(F1050="PACIFIC",PR!$AW1048,IF(F1050="PHAMATEX",PR!$AX1048,IF(F1050="PETHICS",PR!$AY1048,IF(F1050="PHILIPS",PR!$AZ1048,IF(F1050="RANBAXY",PR!$BA1048,IF(F1050="REALS",PR!$BB1048,IF(F1050="ROYAL",PR!$BC1048,IF(F1050="SAM",PR!$BD1048,IF(F1050="SEAGREEN",PR!$BE1048,IF(F1050="SKG",PR!$BF1048,IF(F1050="TAH",PR!$BG1048,IF(F1050="TAYLEK",PR!$BH1048,IF(F1050="TEMITA",PR!$BI1048,IF(F1050="THL",PR!$BJ1048,IF(F1050="UBASTIC",PR!$BK1048,IF(F1050="UNION",PR!$BL1048,IF(F1050="UNIQUE",PR!$BM1048,IF(F1050="VIXA",PR!$BN1048,IF(F1050="WWCV",PR!$BO1048,IF(F1050="ZOLON",PR!$BP1048,"-"))))))))))))))))))))))))))))))))))))))))))))))))))))))))))))))))</f>
        <v>7200</v>
      </c>
      <c r="F1050" s="102" t="str">
        <f>EV!L1330</f>
        <v>SANCON</v>
      </c>
      <c r="G1050" s="108">
        <f>IF(H1050="ALPHA",PR!$E1048,IF(H1050="ASSENE",PR!$F1048,IF(H1050="BIOFEM",PR!$G1048,IF(H1050="BIOMED",PR!$H1048,IF(H1050="CHI",PR!$I1048,IF(H1050="CLARION",PR!$J1048,IF(H1050="CODIX",PR!$K1048,IF(H1050="COSMADE",PR!$L1048,IF(H1050="SANCON",PR!$M1048,IF(H1050="DEVON",PR!$N1048,IF(H1050="DORTEMAG",PR!$O1048,IF(H1050="DGF",PR!$P1048,IF(H1050="DYNAMIC",PR!$Q1048,IF(H1050="EMZOR",PR!$R1048,IF(H1050="EUMATT",PR!$S1048,IF(H1050="FIDSON",PR!$T1048,IF(H1050="FCGLOBAL",PR!$U1048,IF(H1050="GENEITH",PR!$V1048,IF(H1050="GINOS",PR!$W1048,IF(H1050="GSK",PR!$X1048,IF(H1050="GLOBORG",PR!$Y1048,IF(H1050="GOODNEWS",PR!$Z1048,IF(H1050="GREENLIFE",PR!$AA1048,IF(H1050="HLINE",PR!$AB1048,IF(H1050="ROTECH",PR!$AC1048,IF(H1050="ISN",PR!$AD1048,IF(H1050="JAWA",PR!$AE1048,IF(H1050="LAYO",PR!$AF1048,IF(H1050="LEADWAY",PR!$AG1048,IF(H1050="LHV",PR!$AH1048,IF(H1050="MANOLA",PR!$AI1048,IF(H1050="MARCSON",PR!$AJ1048,IF(H1050="M&amp;B",PR!$AK1048,IF(H1050="MTRUST",PR!$AL1048,IF(H1050="MWORLD",PR!$AM1048,IF(H1050="MEGA",PR!$AN1048,IF(H1050="MICRONOVA",PR!$AO1048,IF(H1050="MFLASH",PR!$AP1048,IF(H1050="MORISON",PR!$AQ1048,IF(H1050="NEMEL",PR!$AR1048,IF(H1050="NHP",PR!$AS1048,IF(H1050="NHC",PR!$AT1048,IF(H1050="OLEAF",PR!$AU1048,IF(H1050="OCULUS",PR!$AV1048,IF(H1050="PACIFIC",PR!$AW1048,IF(H1050="PHAMATEX",PR!$AX1048,IF(H1050="PETHICS",PR!$AY1048,IF(H1050="PHILIPS",PR!$AZ1048,IF(H1050="RANBAXY",PR!$BA1048,IF(H1050="REALS",PR!$BB1048,IF(H1050="ROYAL",PR!$BC1048,IF(H1050="SAM",PR!$BD1048,IF(H1050="SEAGREEN",PR!$BE1048,IF(H1050="SKG",PR!$BF1048,IF(H1050="TAH",PR!$BG1048,IF(H1050="TAYLEK",PR!$BH1048,IF(H1050="TEMITA",PR!$BI1048,IF(H1050="THL",PR!$BJ1048,IF(H1050="UBASTIC",PR!$BK1048,IF(H1050="UNION",PR!$BL1048,IF(H1050="UNIQUE",PR!$BM1048,IF(H1050="VIXA",PR!$BN1048,IF(H1050="WWCV",PR!$BO1048,IF(H1050="ZOLON",PR!$BP1048,"-"))))))))))))))))))))))))))))))))))))))))))))))))))))))))))))))))</f>
        <v>9500</v>
      </c>
      <c r="H1050" s="102" t="str">
        <f>EV!M1330</f>
        <v>UBASTIC</v>
      </c>
      <c r="I1050" s="108">
        <f>IF(J1050="ALPHA",PR!$E1048,IF(J1050="ASSENE",PR!$F1048,IF(J1050="BIOFEM",PR!$G1048,IF(J1050="BIOMED",PR!$H1048,IF(J1050="CHI",PR!$I1048,IF(J1050="CLARION",PR!$J1048,IF(J1050="CODIX",PR!$K1048,IF(J1050="COSMADE",PR!$L1048,IF(J1050="SANCON",PR!$M1048,IF(J1050="DEVON",PR!$N1048,IF(J1050="DORTEMAG",PR!$O1048,IF(J1050="DGF",PR!$P1048,IF(J1050="DYNAMIC",PR!$Q1048,IF(J1050="EMZOR",PR!$R1048,IF(J1050="EUMATT",PR!$S1048,IF(J1050="FIDSON",PR!$T1048,IF(J1050="FCGLOBAL",PR!$U1048,IF(J1050="GENEITH",PR!$V1048,IF(J1050="GINOS",PR!$W1048,IF(J1050="GSK",PR!$X1048,IF(J1050="GLOBORG",PR!$Y1048,IF(J1050="GOODNEWS",PR!$Z1048,IF(J1050="GREENLIFE",PR!$AA1048,IF(J1050="HLINE",PR!$AB1048,IF(J1050="ROTECH",PR!$AC1048,IF(J1050="ISN",PR!$AD1048,IF(J1050="JAWA",PR!$AE1048,IF(J1050="LAYO",PR!$AF1048,IF(J1050="LEADWAY",PR!$AG1048,IF(J1050="LHV",PR!$AH1048,IF(J1050="MANOLA",PR!$AI1048,IF(J1050="MARCSON",PR!$AJ1048,IF(J1050="M&amp;B",PR!$AK1048,IF(J1050="MTRUST",PR!$AL1048,IF(J1050="MWORLD",PR!$AM1048,IF(J1050="MEGA",PR!$AN1048,IF(J1050="MICRONOVA",PR!$AO1048,IF(J1050="MFLASH",PR!$AP1048,IF(J1050="MORISON",PR!$AQ1048,IF(J1050="NEMEL",PR!$AR1048,IF(J1050="NHP",PR!$AS1048,IF(J1050="NHC",PR!$AT1048,IF(J1050="OLEAF",PR!$AU1048,IF(J1050="OCULUS",PR!$AV1048,IF(J1050="PACIFIC",PR!$AW1048,IF(J1050="PHAMATEX",PR!$AX1048,IF(J1050="PETHICS",PR!$AY1048,IF(J1050="PHILIPS",PR!$AZ1048,IF(J1050="RANBAXY",PR!$BA1048,IF(J1050="REALS",PR!$BB1048,IF(J1050="ROYAL",PR!$BC1048,IF(J1050="SAM",PR!$BD1048,IF(J1050="SEAGREEN",PR!$BE1048,IF(J1050="SKG",PR!$BF1048,IF(J1050="TAH",PR!$BG1048,IF(J1050="TAYLEK",PR!$BH1048,IF(J1050="TEMITA",PR!$BI1048,IF(J1050="THL",PR!$BJ1048,IF(J1050="UBASTIC",PR!$BK1048,IF(J1050="UNION",PR!$BL1048,IF(J1050="UNIQUE",PR!$BM1048,IF(J1050="VIXA",PR!$BN1048,IF(J1050="WWCV",PR!$BO1048,IF(J1050="ZOLON",PR!$BP1048,"-"))))))))))))))))))))))))))))))))))))))))))))))))))))))))))))))))</f>
        <v>9750</v>
      </c>
      <c r="J1050" s="102" t="str">
        <f>EV!N1330</f>
        <v>LAYO</v>
      </c>
      <c r="K1050" s="433" t="s">
        <v>817</v>
      </c>
      <c r="L1050" s="183">
        <f>IF(K1050&gt;0,IF(K1050="ALPHA",PR!$E1048,IF(K1050="ASSENE",PR!$F1048,IF(K1050="BIOFEM",PR!$G1048,IF(K1050="BIOMED",PR!$H1048,IF(K1050="CHI",PR!$I1048,IF(K1050="CLARION",PR!$J1048,IF(K1050="CODIX",PR!$K1048,IF(K1050="COSMADE",PR!$L1048,IF(K1050="SANCON",PR!$M1048,IF(K1050="DEVON",PR!$N1048,IF(K1050="DORTEMAG",PR!$O1048,IF(K1050="DGF",PR!$P1048,IF(K1050="DYNAMIC",PR!$Q1048,IF(K1050="EMZOR",PR!$R1048,IF(K1050="EUMATT",PR!$S1048,IF(K1050="FIDSON",PR!$T1048,IF(K1050="FCGLOBAL",PR!$U1048,IF(K1050="GENEITH",PR!$V1048,IF(K1050="GINOS",PR!$W1048,IF(K1050="GSK",PR!$X1048,IF(K1050="GLOBORG",PR!$Y1048,IF(K1050="GOODNEWS",PR!$Z1048,IF(K1050="GREENLIFE",PR!$AA1048,IF(K1050="HLINE",PR!$AB1048,IF(K1050="ROTECH",PR!$AC1048,IF(K1050="ISN",PR!$AD1048,IF(K1050="JAWA",PR!$AE1048,IF(K1050="LAYO",PR!$AF1048,IF(K1050="LEADWAY",PR!$AG1048,IF(K1050="LHV",PR!$AH1048,IF(K1050="MANOLA",PR!$AI1048,IF(K1050="MARCSON",PR!$AJ1048,IF(K1050="M&amp;B",PR!$AK1048,IF(K1050="MTRUST",PR!$AL1048,IF(K1050="MWORLD",PR!$AM1048,IF(K1050="MEGA",PR!$AN1048,IF(K1050="MICRONOVA",PR!$AO1048,IF(K1050="MFLASH",PR!$AP1048,IF(K1050="MORISON",PR!$AQ1048,IF(K1050="NEMEL",PR!$AR1048,IF(K1050="NHP",PR!$AS1048,IF(K1050="NHC",PR!$AT1048,IF(K1050="OLEAF",PR!$AU1048,IF(K1050="OCULUS",PR!$AV1048,IF(K1050="PACIFIC",PR!$AW1048,IF(K1050="PHAMATEX",PR!$AX1048,IF(K1050="PETHICS",PR!$AY1048,IF(K1050="PHILIPS",PR!$AZ1048,IF(K1050="RANBAXY",PR!$BA1048,IF(K1050="REALS",PR!$BB1048,IF(K1050="ROYAL",PR!$BC1048,IF(K1050="SAM",PR!$BD1048,IF(K1050="SEAGREEN",PR!$BE1048,IF(K1050="SKG",PR!$BF1048,IF(K1050="TAH",PR!$BG1048,IF(K1050="TAYLEK",PR!$BH1048,IF(K1050="TEMITA",PR!$BI1048,IF(K1050="THL",PR!$BJ1048,IF(K1050="UBASTIC",PR!$BK1048,IF(K1050="UNION",PR!$BL1048,IF(K1050="UNIQUE",PR!$BM1048,IF(K1050="VIXA",PR!$BN1048,IF(K1050="WWCV",PR!$BO1048,IF(K1050="ZOLON",PR!$BP1048,"-")))))))))))))))))))))))))))))))))))))))))))))))))))))))))))))))))</f>
        <v>7200</v>
      </c>
    </row>
    <row r="1051" spans="1:12" ht="18.75" x14ac:dyDescent="0.3">
      <c r="A1051" s="430">
        <f>PR!A1049</f>
        <v>947</v>
      </c>
      <c r="B1051" s="15" t="str">
        <f>PR!B1049</f>
        <v>BCG NEEDLES</v>
      </c>
      <c r="C1051" s="113" t="str">
        <f>PR!D1049</f>
        <v>1 pack of 100pieces</v>
      </c>
      <c r="D1051" s="113">
        <f>PR!C1049</f>
        <v>40</v>
      </c>
      <c r="E1051" s="108">
        <f>IF(F1051="ALPHA",PR!$E1049,IF(F1051="ASSENE",PR!$F1049,IF(F1051="BIOFEM",PR!$G1049,IF(F1051="BIOMED",PR!$H1049,IF(F1051="CHI",PR!$I1049,IF(F1051="CLARION",PR!$J1049,IF(F1051="CODIX",PR!$K1049,IF(F1051="COSMADE",PR!$L1049,IF(F1051="SANCON",PR!$M1049,IF(F1051="DEVON",PR!$N1049,IF(F1051="DORTEMAG",PR!$O1049,IF(F1051="DGF",PR!$P1049,IF(F1051="DYNAMIC",PR!$Q1049,IF(F1051="EMZOR",PR!$R1049,IF(F1051="EUMATT",PR!$S1049,IF(F1051="FIDSON",PR!$T1049,IF(F1051="FCGLOBAL",PR!$U1049,IF(F1051="GENEITH",PR!$V1049,IF(F1051="GINOS",PR!$W1049,IF(F1051="GSK",PR!$X1049,IF(F1051="GLOBORG",PR!$Y1049,IF(F1051="GOODNEWS",PR!$Z1049,IF(F1051="GREENLIFE",PR!$AA1049,IF(F1051="HLINE",PR!$AB1049,IF(F1051="ROTECH",PR!$AC1049,IF(F1051="ISN",PR!$AD1049,IF(F1051="JAWA",PR!$AE1049,IF(F1051="LAYO",PR!$AF1049,IF(F1051="LEADWAY",PR!$AG1049,IF(F1051="LHV",PR!$AH1049,IF(F1051="MANOLA",PR!$AI1049,IF(F1051="MARCSON",PR!$AJ1049,IF(F1051="M&amp;B",PR!$AK1049,IF(F1051="MTRUST",PR!$AL1049,IF(F1051="MWORLD",PR!$AM1049,IF(F1051="MEGA",PR!$AN1049,IF(F1051="MICRONOVA",PR!$AO1049,IF(F1051="MFLASH",PR!$AP1049,IF(F1051="MORISON",PR!$AQ1049,IF(F1051="NEMEL",PR!$AR1049,IF(F1051="NHP",PR!$AS1049,IF(F1051="NHC",PR!$AT1049,IF(F1051="OLEAF",PR!$AU1049,IF(F1051="OCULUS",PR!$AV1049,IF(F1051="PACIFIC",PR!$AW1049,IF(F1051="PHAMATEX",PR!$AX1049,IF(F1051="PETHICS",PR!$AY1049,IF(F1051="PHILIPS",PR!$AZ1049,IF(F1051="RANBAXY",PR!$BA1049,IF(F1051="REALS",PR!$BB1049,IF(F1051="ROYAL",PR!$BC1049,IF(F1051="SAM",PR!$BD1049,IF(F1051="SEAGREEN",PR!$BE1049,IF(F1051="SKG",PR!$BF1049,IF(F1051="TAH",PR!$BG1049,IF(F1051="TAYLEK",PR!$BH1049,IF(F1051="TEMITA",PR!$BI1049,IF(F1051="THL",PR!$BJ1049,IF(F1051="UBASTIC",PR!$BK1049,IF(F1051="UNION",PR!$BL1049,IF(F1051="UNIQUE",PR!$BM1049,IF(F1051="VIXA",PR!$BN1049,IF(F1051="WWCV",PR!$BO1049,IF(F1051="ZOLON",PR!$BP1049,"-"))))))))))))))))))))))))))))))))))))))))))))))))))))))))))))))))</f>
        <v>3250</v>
      </c>
      <c r="F1051" s="102" t="str">
        <f>EV!L1331</f>
        <v>LAYO</v>
      </c>
      <c r="G1051" s="108">
        <f>IF(H1051="ALPHA",PR!$E1049,IF(H1051="ASSENE",PR!$F1049,IF(H1051="BIOFEM",PR!$G1049,IF(H1051="BIOMED",PR!$H1049,IF(H1051="CHI",PR!$I1049,IF(H1051="CLARION",PR!$J1049,IF(H1051="CODIX",PR!$K1049,IF(H1051="COSMADE",PR!$L1049,IF(H1051="SANCON",PR!$M1049,IF(H1051="DEVON",PR!$N1049,IF(H1051="DORTEMAG",PR!$O1049,IF(H1051="DGF",PR!$P1049,IF(H1051="DYNAMIC",PR!$Q1049,IF(H1051="EMZOR",PR!$R1049,IF(H1051="EUMATT",PR!$S1049,IF(H1051="FIDSON",PR!$T1049,IF(H1051="FCGLOBAL",PR!$U1049,IF(H1051="GENEITH",PR!$V1049,IF(H1051="GINOS",PR!$W1049,IF(H1051="GSK",PR!$X1049,IF(H1051="GLOBORG",PR!$Y1049,IF(H1051="GOODNEWS",PR!$Z1049,IF(H1051="GREENLIFE",PR!$AA1049,IF(H1051="HLINE",PR!$AB1049,IF(H1051="ROTECH",PR!$AC1049,IF(H1051="ISN",PR!$AD1049,IF(H1051="JAWA",PR!$AE1049,IF(H1051="LAYO",PR!$AF1049,IF(H1051="LEADWAY",PR!$AG1049,IF(H1051="LHV",PR!$AH1049,IF(H1051="MANOLA",PR!$AI1049,IF(H1051="MARCSON",PR!$AJ1049,IF(H1051="M&amp;B",PR!$AK1049,IF(H1051="MTRUST",PR!$AL1049,IF(H1051="MWORLD",PR!$AM1049,IF(H1051="MEGA",PR!$AN1049,IF(H1051="MICRONOVA",PR!$AO1049,IF(H1051="MFLASH",PR!$AP1049,IF(H1051="MORISON",PR!$AQ1049,IF(H1051="NEMEL",PR!$AR1049,IF(H1051="NHP",PR!$AS1049,IF(H1051="NHC",PR!$AT1049,IF(H1051="OLEAF",PR!$AU1049,IF(H1051="OCULUS",PR!$AV1049,IF(H1051="PACIFIC",PR!$AW1049,IF(H1051="PHAMATEX",PR!$AX1049,IF(H1051="PETHICS",PR!$AY1049,IF(H1051="PHILIPS",PR!$AZ1049,IF(H1051="RANBAXY",PR!$BA1049,IF(H1051="REALS",PR!$BB1049,IF(H1051="ROYAL",PR!$BC1049,IF(H1051="SAM",PR!$BD1049,IF(H1051="SEAGREEN",PR!$BE1049,IF(H1051="SKG",PR!$BF1049,IF(H1051="TAH",PR!$BG1049,IF(H1051="TAYLEK",PR!$BH1049,IF(H1051="TEMITA",PR!$BI1049,IF(H1051="THL",PR!$BJ1049,IF(H1051="UBASTIC",PR!$BK1049,IF(H1051="UNION",PR!$BL1049,IF(H1051="UNIQUE",PR!$BM1049,IF(H1051="VIXA",PR!$BN1049,IF(H1051="WWCV",PR!$BO1049,IF(H1051="ZOLON",PR!$BP1049,"-"))))))))))))))))))))))))))))))))))))))))))))))))))))))))))))))))</f>
        <v>3500</v>
      </c>
      <c r="H1051" s="102" t="str">
        <f>EV!M1331</f>
        <v>UBASTIC</v>
      </c>
      <c r="I1051" s="108">
        <f>IF(J1051="ALPHA",PR!$E1049,IF(J1051="ASSENE",PR!$F1049,IF(J1051="BIOFEM",PR!$G1049,IF(J1051="BIOMED",PR!$H1049,IF(J1051="CHI",PR!$I1049,IF(J1051="CLARION",PR!$J1049,IF(J1051="CODIX",PR!$K1049,IF(J1051="COSMADE",PR!$L1049,IF(J1051="SANCON",PR!$M1049,IF(J1051="DEVON",PR!$N1049,IF(J1051="DORTEMAG",PR!$O1049,IF(J1051="DGF",PR!$P1049,IF(J1051="DYNAMIC",PR!$Q1049,IF(J1051="EMZOR",PR!$R1049,IF(J1051="EUMATT",PR!$S1049,IF(J1051="FIDSON",PR!$T1049,IF(J1051="FCGLOBAL",PR!$U1049,IF(J1051="GENEITH",PR!$V1049,IF(J1051="GINOS",PR!$W1049,IF(J1051="GSK",PR!$X1049,IF(J1051="GLOBORG",PR!$Y1049,IF(J1051="GOODNEWS",PR!$Z1049,IF(J1051="GREENLIFE",PR!$AA1049,IF(J1051="HLINE",PR!$AB1049,IF(J1051="ROTECH",PR!$AC1049,IF(J1051="ISN",PR!$AD1049,IF(J1051="JAWA",PR!$AE1049,IF(J1051="LAYO",PR!$AF1049,IF(J1051="LEADWAY",PR!$AG1049,IF(J1051="LHV",PR!$AH1049,IF(J1051="MANOLA",PR!$AI1049,IF(J1051="MARCSON",PR!$AJ1049,IF(J1051="M&amp;B",PR!$AK1049,IF(J1051="MTRUST",PR!$AL1049,IF(J1051="MWORLD",PR!$AM1049,IF(J1051="MEGA",PR!$AN1049,IF(J1051="MICRONOVA",PR!$AO1049,IF(J1051="MFLASH",PR!$AP1049,IF(J1051="MORISON",PR!$AQ1049,IF(J1051="NEMEL",PR!$AR1049,IF(J1051="NHP",PR!$AS1049,IF(J1051="NHC",PR!$AT1049,IF(J1051="OLEAF",PR!$AU1049,IF(J1051="OCULUS",PR!$AV1049,IF(J1051="PACIFIC",PR!$AW1049,IF(J1051="PHAMATEX",PR!$AX1049,IF(J1051="PETHICS",PR!$AY1049,IF(J1051="PHILIPS",PR!$AZ1049,IF(J1051="RANBAXY",PR!$BA1049,IF(J1051="REALS",PR!$BB1049,IF(J1051="ROYAL",PR!$BC1049,IF(J1051="SAM",PR!$BD1049,IF(J1051="SEAGREEN",PR!$BE1049,IF(J1051="SKG",PR!$BF1049,IF(J1051="TAH",PR!$BG1049,IF(J1051="TAYLEK",PR!$BH1049,IF(J1051="TEMITA",PR!$BI1049,IF(J1051="THL",PR!$BJ1049,IF(J1051="UBASTIC",PR!$BK1049,IF(J1051="UNION",PR!$BL1049,IF(J1051="UNIQUE",PR!$BM1049,IF(J1051="VIXA",PR!$BN1049,IF(J1051="WWCV",PR!$BO1049,IF(J1051="ZOLON",PR!$BP1049,"-"))))))))))))))))))))))))))))))))))))))))))))))))))))))))))))))))</f>
        <v>5985</v>
      </c>
      <c r="J1051" s="102" t="str">
        <f>EV!N1331</f>
        <v>DYNAMIC</v>
      </c>
      <c r="K1051" s="433" t="s">
        <v>1461</v>
      </c>
      <c r="L1051" s="183">
        <f>IF(K1051&gt;0,IF(K1051="ALPHA",PR!$E1049,IF(K1051="ASSENE",PR!$F1049,IF(K1051="BIOFEM",PR!$G1049,IF(K1051="BIOMED",PR!$H1049,IF(K1051="CHI",PR!$I1049,IF(K1051="CLARION",PR!$J1049,IF(K1051="CODIX",PR!$K1049,IF(K1051="COSMADE",PR!$L1049,IF(K1051="SANCON",PR!$M1049,IF(K1051="DEVON",PR!$N1049,IF(K1051="DORTEMAG",PR!$O1049,IF(K1051="DGF",PR!$P1049,IF(K1051="DYNAMIC",PR!$Q1049,IF(K1051="EMZOR",PR!$R1049,IF(K1051="EUMATT",PR!$S1049,IF(K1051="FIDSON",PR!$T1049,IF(K1051="FCGLOBAL",PR!$U1049,IF(K1051="GENEITH",PR!$V1049,IF(K1051="GINOS",PR!$W1049,IF(K1051="GSK",PR!$X1049,IF(K1051="GLOBORG",PR!$Y1049,IF(K1051="GOODNEWS",PR!$Z1049,IF(K1051="GREENLIFE",PR!$AA1049,IF(K1051="HLINE",PR!$AB1049,IF(K1051="ROTECH",PR!$AC1049,IF(K1051="ISN",PR!$AD1049,IF(K1051="JAWA",PR!$AE1049,IF(K1051="LAYO",PR!$AF1049,IF(K1051="LEADWAY",PR!$AG1049,IF(K1051="LHV",PR!$AH1049,IF(K1051="MANOLA",PR!$AI1049,IF(K1051="MARCSON",PR!$AJ1049,IF(K1051="M&amp;B",PR!$AK1049,IF(K1051="MTRUST",PR!$AL1049,IF(K1051="MWORLD",PR!$AM1049,IF(K1051="MEGA",PR!$AN1049,IF(K1051="MICRONOVA",PR!$AO1049,IF(K1051="MFLASH",PR!$AP1049,IF(K1051="MORISON",PR!$AQ1049,IF(K1051="NEMEL",PR!$AR1049,IF(K1051="NHP",PR!$AS1049,IF(K1051="NHC",PR!$AT1049,IF(K1051="OLEAF",PR!$AU1049,IF(K1051="OCULUS",PR!$AV1049,IF(K1051="PACIFIC",PR!$AW1049,IF(K1051="PHAMATEX",PR!$AX1049,IF(K1051="PETHICS",PR!$AY1049,IF(K1051="PHILIPS",PR!$AZ1049,IF(K1051="RANBAXY",PR!$BA1049,IF(K1051="REALS",PR!$BB1049,IF(K1051="ROYAL",PR!$BC1049,IF(K1051="SAM",PR!$BD1049,IF(K1051="SEAGREEN",PR!$BE1049,IF(K1051="SKG",PR!$BF1049,IF(K1051="TAH",PR!$BG1049,IF(K1051="TAYLEK",PR!$BH1049,IF(K1051="TEMITA",PR!$BI1049,IF(K1051="THL",PR!$BJ1049,IF(K1051="UBASTIC",PR!$BK1049,IF(K1051="UNION",PR!$BL1049,IF(K1051="UNIQUE",PR!$BM1049,IF(K1051="VIXA",PR!$BN1049,IF(K1051="WWCV",PR!$BO1049,IF(K1051="ZOLON",PR!$BP1049,"-")))))))))))))))))))))))))))))))))))))))))))))))))))))))))))))))))</f>
        <v>3250</v>
      </c>
    </row>
    <row r="1052" spans="1:12" ht="18.75" x14ac:dyDescent="0.3">
      <c r="A1052" s="430">
        <f>PR!A1050</f>
        <v>948</v>
      </c>
      <c r="B1052" s="15" t="str">
        <f>PR!B1050</f>
        <v>GLYCERINE</v>
      </c>
      <c r="C1052" s="113" t="str">
        <f>PR!D1050</f>
        <v>1 bottle of 2L</v>
      </c>
      <c r="D1052" s="113">
        <f>PR!C1050</f>
        <v>12</v>
      </c>
      <c r="E1052" s="108">
        <f>IF(F1052="ALPHA",PR!$E1050,IF(F1052="ASSENE",PR!$F1050,IF(F1052="BIOFEM",PR!$G1050,IF(F1052="BIOMED",PR!$H1050,IF(F1052="CHI",PR!$I1050,IF(F1052="CLARION",PR!$J1050,IF(F1052="CODIX",PR!$K1050,IF(F1052="COSMADE",PR!$L1050,IF(F1052="SANCON",PR!$M1050,IF(F1052="DEVON",PR!$N1050,IF(F1052="DORTEMAG",PR!$O1050,IF(F1052="DGF",PR!$P1050,IF(F1052="DYNAMIC",PR!$Q1050,IF(F1052="EMZOR",PR!$R1050,IF(F1052="EUMATT",PR!$S1050,IF(F1052="FIDSON",PR!$T1050,IF(F1052="FCGLOBAL",PR!$U1050,IF(F1052="GENEITH",PR!$V1050,IF(F1052="GINOS",PR!$W1050,IF(F1052="GSK",PR!$X1050,IF(F1052="GLOBORG",PR!$Y1050,IF(F1052="GOODNEWS",PR!$Z1050,IF(F1052="GREENLIFE",PR!$AA1050,IF(F1052="HLINE",PR!$AB1050,IF(F1052="ROTECH",PR!$AC1050,IF(F1052="ISN",PR!$AD1050,IF(F1052="JAWA",PR!$AE1050,IF(F1052="LAYO",PR!$AF1050,IF(F1052="LEADWAY",PR!$AG1050,IF(F1052="LHV",PR!$AH1050,IF(F1052="MANOLA",PR!$AI1050,IF(F1052="MARCSON",PR!$AJ1050,IF(F1052="M&amp;B",PR!$AK1050,IF(F1052="MTRUST",PR!$AL1050,IF(F1052="MWORLD",PR!$AM1050,IF(F1052="MEGA",PR!$AN1050,IF(F1052="MICRONOVA",PR!$AO1050,IF(F1052="MFLASH",PR!$AP1050,IF(F1052="MORISON",PR!$AQ1050,IF(F1052="NEMEL",PR!$AR1050,IF(F1052="NHP",PR!$AS1050,IF(F1052="NHC",PR!$AT1050,IF(F1052="OLEAF",PR!$AU1050,IF(F1052="OCULUS",PR!$AV1050,IF(F1052="PACIFIC",PR!$AW1050,IF(F1052="PHAMATEX",PR!$AX1050,IF(F1052="PETHICS",PR!$AY1050,IF(F1052="PHILIPS",PR!$AZ1050,IF(F1052="RANBAXY",PR!$BA1050,IF(F1052="REALS",PR!$BB1050,IF(F1052="ROYAL",PR!$BC1050,IF(F1052="SAM",PR!$BD1050,IF(F1052="SEAGREEN",PR!$BE1050,IF(F1052="SKG",PR!$BF1050,IF(F1052="TAH",PR!$BG1050,IF(F1052="TAYLEK",PR!$BH1050,IF(F1052="TEMITA",PR!$BI1050,IF(F1052="THL",PR!$BJ1050,IF(F1052="UBASTIC",PR!$BK1050,IF(F1052="UNION",PR!$BL1050,IF(F1052="UNIQUE",PR!$BM1050,IF(F1052="VIXA",PR!$BN1050,IF(F1052="WWCV",PR!$BO1050,IF(F1052="ZOLON",PR!$BP1050,"-"))))))))))))))))))))))))))))))))))))))))))))))))))))))))))))))))</f>
        <v>11000</v>
      </c>
      <c r="F1052" s="102" t="str">
        <f>EV!L1332</f>
        <v>TEMITA</v>
      </c>
      <c r="G1052" s="108">
        <f>IF(H1052="ALPHA",PR!$E1050,IF(H1052="ASSENE",PR!$F1050,IF(H1052="BIOFEM",PR!$G1050,IF(H1052="BIOMED",PR!$H1050,IF(H1052="CHI",PR!$I1050,IF(H1052="CLARION",PR!$J1050,IF(H1052="CODIX",PR!$K1050,IF(H1052="COSMADE",PR!$L1050,IF(H1052="SANCON",PR!$M1050,IF(H1052="DEVON",PR!$N1050,IF(H1052="DORTEMAG",PR!$O1050,IF(H1052="DGF",PR!$P1050,IF(H1052="DYNAMIC",PR!$Q1050,IF(H1052="EMZOR",PR!$R1050,IF(H1052="EUMATT",PR!$S1050,IF(H1052="FIDSON",PR!$T1050,IF(H1052="FCGLOBAL",PR!$U1050,IF(H1052="GENEITH",PR!$V1050,IF(H1052="GINOS",PR!$W1050,IF(H1052="GSK",PR!$X1050,IF(H1052="GLOBORG",PR!$Y1050,IF(H1052="GOODNEWS",PR!$Z1050,IF(H1052="GREENLIFE",PR!$AA1050,IF(H1052="HLINE",PR!$AB1050,IF(H1052="ROTECH",PR!$AC1050,IF(H1052="ISN",PR!$AD1050,IF(H1052="JAWA",PR!$AE1050,IF(H1052="LAYO",PR!$AF1050,IF(H1052="LEADWAY",PR!$AG1050,IF(H1052="LHV",PR!$AH1050,IF(H1052="MANOLA",PR!$AI1050,IF(H1052="MARCSON",PR!$AJ1050,IF(H1052="M&amp;B",PR!$AK1050,IF(H1052="MTRUST",PR!$AL1050,IF(H1052="MWORLD",PR!$AM1050,IF(H1052="MEGA",PR!$AN1050,IF(H1052="MICRONOVA",PR!$AO1050,IF(H1052="MFLASH",PR!$AP1050,IF(H1052="MORISON",PR!$AQ1050,IF(H1052="NEMEL",PR!$AR1050,IF(H1052="NHP",PR!$AS1050,IF(H1052="NHC",PR!$AT1050,IF(H1052="OLEAF",PR!$AU1050,IF(H1052="OCULUS",PR!$AV1050,IF(H1052="PACIFIC",PR!$AW1050,IF(H1052="PHAMATEX",PR!$AX1050,IF(H1052="PETHICS",PR!$AY1050,IF(H1052="PHILIPS",PR!$AZ1050,IF(H1052="RANBAXY",PR!$BA1050,IF(H1052="REALS",PR!$BB1050,IF(H1052="ROYAL",PR!$BC1050,IF(H1052="SAM",PR!$BD1050,IF(H1052="SEAGREEN",PR!$BE1050,IF(H1052="SKG",PR!$BF1050,IF(H1052="TAH",PR!$BG1050,IF(H1052="TAYLEK",PR!$BH1050,IF(H1052="TEMITA",PR!$BI1050,IF(H1052="THL",PR!$BJ1050,IF(H1052="UBASTIC",PR!$BK1050,IF(H1052="UNION",PR!$BL1050,IF(H1052="UNIQUE",PR!$BM1050,IF(H1052="VIXA",PR!$BN1050,IF(H1052="WWCV",PR!$BO1050,IF(H1052="ZOLON",PR!$BP1050,"-"))))))))))))))))))))))))))))))))))))))))))))))))))))))))))))))))</f>
        <v>11700</v>
      </c>
      <c r="H1052" s="102" t="str">
        <f>EV!M1332</f>
        <v>LAYO</v>
      </c>
      <c r="I1052" s="108">
        <f>IF(J1052="ALPHA",PR!$E1050,IF(J1052="ASSENE",PR!$F1050,IF(J1052="BIOFEM",PR!$G1050,IF(J1052="BIOMED",PR!$H1050,IF(J1052="CHI",PR!$I1050,IF(J1052="CLARION",PR!$J1050,IF(J1052="CODIX",PR!$K1050,IF(J1052="COSMADE",PR!$L1050,IF(J1052="SANCON",PR!$M1050,IF(J1052="DEVON",PR!$N1050,IF(J1052="DORTEMAG",PR!$O1050,IF(J1052="DGF",PR!$P1050,IF(J1052="DYNAMIC",PR!$Q1050,IF(J1052="EMZOR",PR!$R1050,IF(J1052="EUMATT",PR!$S1050,IF(J1052="FIDSON",PR!$T1050,IF(J1052="FCGLOBAL",PR!$U1050,IF(J1052="GENEITH",PR!$V1050,IF(J1052="GINOS",PR!$W1050,IF(J1052="GSK",PR!$X1050,IF(J1052="GLOBORG",PR!$Y1050,IF(J1052="GOODNEWS",PR!$Z1050,IF(J1052="GREENLIFE",PR!$AA1050,IF(J1052="HLINE",PR!$AB1050,IF(J1052="ROTECH",PR!$AC1050,IF(J1052="ISN",PR!$AD1050,IF(J1052="JAWA",PR!$AE1050,IF(J1052="LAYO",PR!$AF1050,IF(J1052="LEADWAY",PR!$AG1050,IF(J1052="LHV",PR!$AH1050,IF(J1052="MANOLA",PR!$AI1050,IF(J1052="MARCSON",PR!$AJ1050,IF(J1052="M&amp;B",PR!$AK1050,IF(J1052="MTRUST",PR!$AL1050,IF(J1052="MWORLD",PR!$AM1050,IF(J1052="MEGA",PR!$AN1050,IF(J1052="MICRONOVA",PR!$AO1050,IF(J1052="MFLASH",PR!$AP1050,IF(J1052="MORISON",PR!$AQ1050,IF(J1052="NEMEL",PR!$AR1050,IF(J1052="NHP",PR!$AS1050,IF(J1052="NHC",PR!$AT1050,IF(J1052="OLEAF",PR!$AU1050,IF(J1052="OCULUS",PR!$AV1050,IF(J1052="PACIFIC",PR!$AW1050,IF(J1052="PHAMATEX",PR!$AX1050,IF(J1052="PETHICS",PR!$AY1050,IF(J1052="PHILIPS",PR!$AZ1050,IF(J1052="RANBAXY",PR!$BA1050,IF(J1052="REALS",PR!$BB1050,IF(J1052="ROYAL",PR!$BC1050,IF(J1052="SAM",PR!$BD1050,IF(J1052="SEAGREEN",PR!$BE1050,IF(J1052="SKG",PR!$BF1050,IF(J1052="TAH",PR!$BG1050,IF(J1052="TAYLEK",PR!$BH1050,IF(J1052="TEMITA",PR!$BI1050,IF(J1052="THL",PR!$BJ1050,IF(J1052="UBASTIC",PR!$BK1050,IF(J1052="UNION",PR!$BL1050,IF(J1052="UNIQUE",PR!$BM1050,IF(J1052="VIXA",PR!$BN1050,IF(J1052="WWCV",PR!$BO1050,IF(J1052="ZOLON",PR!$BP1050,"-"))))))))))))))))))))))))))))))))))))))))))))))))))))))))))))))))</f>
        <v>15000</v>
      </c>
      <c r="J1052" s="102" t="str">
        <f>EV!N1332</f>
        <v>UBASTIC</v>
      </c>
      <c r="K1052" s="433" t="s">
        <v>1463</v>
      </c>
      <c r="L1052" s="183">
        <f>IF(K1052&gt;0,IF(K1052="ALPHA",PR!$E1050,IF(K1052="ASSENE",PR!$F1050,IF(K1052="BIOFEM",PR!$G1050,IF(K1052="BIOMED",PR!$H1050,IF(K1052="CHI",PR!$I1050,IF(K1052="CLARION",PR!$J1050,IF(K1052="CODIX",PR!$K1050,IF(K1052="COSMADE",PR!$L1050,IF(K1052="SANCON",PR!$M1050,IF(K1052="DEVON",PR!$N1050,IF(K1052="DORTEMAG",PR!$O1050,IF(K1052="DGF",PR!$P1050,IF(K1052="DYNAMIC",PR!$Q1050,IF(K1052="EMZOR",PR!$R1050,IF(K1052="EUMATT",PR!$S1050,IF(K1052="FIDSON",PR!$T1050,IF(K1052="FCGLOBAL",PR!$U1050,IF(K1052="GENEITH",PR!$V1050,IF(K1052="GINOS",PR!$W1050,IF(K1052="GSK",PR!$X1050,IF(K1052="GLOBORG",PR!$Y1050,IF(K1052="GOODNEWS",PR!$Z1050,IF(K1052="GREENLIFE",PR!$AA1050,IF(K1052="HLINE",PR!$AB1050,IF(K1052="ROTECH",PR!$AC1050,IF(K1052="ISN",PR!$AD1050,IF(K1052="JAWA",PR!$AE1050,IF(K1052="LAYO",PR!$AF1050,IF(K1052="LEADWAY",PR!$AG1050,IF(K1052="LHV",PR!$AH1050,IF(K1052="MANOLA",PR!$AI1050,IF(K1052="MARCSON",PR!$AJ1050,IF(K1052="M&amp;B",PR!$AK1050,IF(K1052="MTRUST",PR!$AL1050,IF(K1052="MWORLD",PR!$AM1050,IF(K1052="MEGA",PR!$AN1050,IF(K1052="MICRONOVA",PR!$AO1050,IF(K1052="MFLASH",PR!$AP1050,IF(K1052="MORISON",PR!$AQ1050,IF(K1052="NEMEL",PR!$AR1050,IF(K1052="NHP",PR!$AS1050,IF(K1052="NHC",PR!$AT1050,IF(K1052="OLEAF",PR!$AU1050,IF(K1052="OCULUS",PR!$AV1050,IF(K1052="PACIFIC",PR!$AW1050,IF(K1052="PHAMATEX",PR!$AX1050,IF(K1052="PETHICS",PR!$AY1050,IF(K1052="PHILIPS",PR!$AZ1050,IF(K1052="RANBAXY",PR!$BA1050,IF(K1052="REALS",PR!$BB1050,IF(K1052="ROYAL",PR!$BC1050,IF(K1052="SAM",PR!$BD1050,IF(K1052="SEAGREEN",PR!$BE1050,IF(K1052="SKG",PR!$BF1050,IF(K1052="TAH",PR!$BG1050,IF(K1052="TAYLEK",PR!$BH1050,IF(K1052="TEMITA",PR!$BI1050,IF(K1052="THL",PR!$BJ1050,IF(K1052="UBASTIC",PR!$BK1050,IF(K1052="UNION",PR!$BL1050,IF(K1052="UNIQUE",PR!$BM1050,IF(K1052="VIXA",PR!$BN1050,IF(K1052="WWCV",PR!$BO1050,IF(K1052="ZOLON",PR!$BP1050,"-")))))))))))))))))))))))))))))))))))))))))))))))))))))))))))))))))</f>
        <v>11000</v>
      </c>
    </row>
    <row r="1053" spans="1:12" ht="18.75" x14ac:dyDescent="0.3">
      <c r="A1053" s="430">
        <f>PR!A1051</f>
        <v>949</v>
      </c>
      <c r="B1053" s="15" t="str">
        <f>PR!B1051</f>
        <v>EOSIN (COLOUR INDEX 45380)</v>
      </c>
      <c r="C1053" s="113" t="str">
        <f>PR!D1051</f>
        <v>1 bottle of 250g</v>
      </c>
      <c r="D1053" s="113">
        <f>PR!C1051</f>
        <v>4</v>
      </c>
      <c r="E1053" s="108">
        <f>IF(F1053="ALPHA",PR!$E1051,IF(F1053="ASSENE",PR!$F1051,IF(F1053="BIOFEM",PR!$G1051,IF(F1053="BIOMED",PR!$H1051,IF(F1053="CHI",PR!$I1051,IF(F1053="CLARION",PR!$J1051,IF(F1053="CODIX",PR!$K1051,IF(F1053="COSMADE",PR!$L1051,IF(F1053="SANCON",PR!$M1051,IF(F1053="DEVON",PR!$N1051,IF(F1053="DORTEMAG",PR!$O1051,IF(F1053="DGF",PR!$P1051,IF(F1053="DYNAMIC",PR!$Q1051,IF(F1053="EMZOR",PR!$R1051,IF(F1053="EUMATT",PR!$S1051,IF(F1053="FIDSON",PR!$T1051,IF(F1053="FCGLOBAL",PR!$U1051,IF(F1053="GENEITH",PR!$V1051,IF(F1053="GINOS",PR!$W1051,IF(F1053="GSK",PR!$X1051,IF(F1053="GLOBORG",PR!$Y1051,IF(F1053="GOODNEWS",PR!$Z1051,IF(F1053="GREENLIFE",PR!$AA1051,IF(F1053="HLINE",PR!$AB1051,IF(F1053="ROTECH",PR!$AC1051,IF(F1053="ISN",PR!$AD1051,IF(F1053="JAWA",PR!$AE1051,IF(F1053="LAYO",PR!$AF1051,IF(F1053="LEADWAY",PR!$AG1051,IF(F1053="LHV",PR!$AH1051,IF(F1053="MANOLA",PR!$AI1051,IF(F1053="MARCSON",PR!$AJ1051,IF(F1053="M&amp;B",PR!$AK1051,IF(F1053="MTRUST",PR!$AL1051,IF(F1053="MWORLD",PR!$AM1051,IF(F1053="MEGA",PR!$AN1051,IF(F1053="MICRONOVA",PR!$AO1051,IF(F1053="MFLASH",PR!$AP1051,IF(F1053="MORISON",PR!$AQ1051,IF(F1053="NEMEL",PR!$AR1051,IF(F1053="NHP",PR!$AS1051,IF(F1053="NHC",PR!$AT1051,IF(F1053="OLEAF",PR!$AU1051,IF(F1053="OCULUS",PR!$AV1051,IF(F1053="PACIFIC",PR!$AW1051,IF(F1053="PHAMATEX",PR!$AX1051,IF(F1053="PETHICS",PR!$AY1051,IF(F1053="PHILIPS",PR!$AZ1051,IF(F1053="RANBAXY",PR!$BA1051,IF(F1053="REALS",PR!$BB1051,IF(F1053="ROYAL",PR!$BC1051,IF(F1053="SAM",PR!$BD1051,IF(F1053="SEAGREEN",PR!$BE1051,IF(F1053="SKG",PR!$BF1051,IF(F1053="TAH",PR!$BG1051,IF(F1053="TAYLEK",PR!$BH1051,IF(F1053="TEMITA",PR!$BI1051,IF(F1053="THL",PR!$BJ1051,IF(F1053="UBASTIC",PR!$BK1051,IF(F1053="UNION",PR!$BL1051,IF(F1053="UNIQUE",PR!$BM1051,IF(F1053="VIXA",PR!$BN1051,IF(F1053="WWCV",PR!$BO1051,IF(F1053="ZOLON",PR!$BP1051,"-"))))))))))))))))))))))))))))))))))))))))))))))))))))))))))))))))</f>
        <v>3724</v>
      </c>
      <c r="F1053" s="102" t="str">
        <f>EV!L1333</f>
        <v>DYNAMIC</v>
      </c>
      <c r="G1053" s="108">
        <f>IF(H1053="ALPHA",PR!$E1051,IF(H1053="ASSENE",PR!$F1051,IF(H1053="BIOFEM",PR!$G1051,IF(H1053="BIOMED",PR!$H1051,IF(H1053="CHI",PR!$I1051,IF(H1053="CLARION",PR!$J1051,IF(H1053="CODIX",PR!$K1051,IF(H1053="COSMADE",PR!$L1051,IF(H1053="SANCON",PR!$M1051,IF(H1053="DEVON",PR!$N1051,IF(H1053="DORTEMAG",PR!$O1051,IF(H1053="DGF",PR!$P1051,IF(H1053="DYNAMIC",PR!$Q1051,IF(H1053="EMZOR",PR!$R1051,IF(H1053="EUMATT",PR!$S1051,IF(H1053="FIDSON",PR!$T1051,IF(H1053="FCGLOBAL",PR!$U1051,IF(H1053="GENEITH",PR!$V1051,IF(H1053="GINOS",PR!$W1051,IF(H1053="GSK",PR!$X1051,IF(H1053="GLOBORG",PR!$Y1051,IF(H1053="GOODNEWS",PR!$Z1051,IF(H1053="GREENLIFE",PR!$AA1051,IF(H1053="HLINE",PR!$AB1051,IF(H1053="ROTECH",PR!$AC1051,IF(H1053="ISN",PR!$AD1051,IF(H1053="JAWA",PR!$AE1051,IF(H1053="LAYO",PR!$AF1051,IF(H1053="LEADWAY",PR!$AG1051,IF(H1053="LHV",PR!$AH1051,IF(H1053="MANOLA",PR!$AI1051,IF(H1053="MARCSON",PR!$AJ1051,IF(H1053="M&amp;B",PR!$AK1051,IF(H1053="MTRUST",PR!$AL1051,IF(H1053="MWORLD",PR!$AM1051,IF(H1053="MEGA",PR!$AN1051,IF(H1053="MICRONOVA",PR!$AO1051,IF(H1053="MFLASH",PR!$AP1051,IF(H1053="MORISON",PR!$AQ1051,IF(H1053="NEMEL",PR!$AR1051,IF(H1053="NHP",PR!$AS1051,IF(H1053="NHC",PR!$AT1051,IF(H1053="OLEAF",PR!$AU1051,IF(H1053="OCULUS",PR!$AV1051,IF(H1053="PACIFIC",PR!$AW1051,IF(H1053="PHAMATEX",PR!$AX1051,IF(H1053="PETHICS",PR!$AY1051,IF(H1053="PHILIPS",PR!$AZ1051,IF(H1053="RANBAXY",PR!$BA1051,IF(H1053="REALS",PR!$BB1051,IF(H1053="ROYAL",PR!$BC1051,IF(H1053="SAM",PR!$BD1051,IF(H1053="SEAGREEN",PR!$BE1051,IF(H1053="SKG",PR!$BF1051,IF(H1053="TAH",PR!$BG1051,IF(H1053="TAYLEK",PR!$BH1051,IF(H1053="TEMITA",PR!$BI1051,IF(H1053="THL",PR!$BJ1051,IF(H1053="UBASTIC",PR!$BK1051,IF(H1053="UNION",PR!$BL1051,IF(H1053="UNIQUE",PR!$BM1051,IF(H1053="VIXA",PR!$BN1051,IF(H1053="WWCV",PR!$BO1051,IF(H1053="ZOLON",PR!$BP1051,"-"))))))))))))))))))))))))))))))))))))))))))))))))))))))))))))))))</f>
        <v>50000</v>
      </c>
      <c r="H1053" s="102" t="str">
        <f>EV!M1333</f>
        <v>UBASTIC</v>
      </c>
      <c r="I1053" s="108" t="str">
        <f>IF(J1053="ALPHA",PR!$E1051,IF(J1053="ASSENE",PR!$F1051,IF(J1053="BIOFEM",PR!$G1051,IF(J1053="BIOMED",PR!$H1051,IF(J1053="CHI",PR!$I1051,IF(J1053="CLARION",PR!$J1051,IF(J1053="CODIX",PR!$K1051,IF(J1053="COSMADE",PR!$L1051,IF(J1053="SANCON",PR!$M1051,IF(J1053="DEVON",PR!$N1051,IF(J1053="DORTEMAG",PR!$O1051,IF(J1053="DGF",PR!$P1051,IF(J1053="DYNAMIC",PR!$Q1051,IF(J1053="EMZOR",PR!$R1051,IF(J1053="EUMATT",PR!$S1051,IF(J1053="FIDSON",PR!$T1051,IF(J1053="FCGLOBAL",PR!$U1051,IF(J1053="GENEITH",PR!$V1051,IF(J1053="GINOS",PR!$W1051,IF(J1053="GSK",PR!$X1051,IF(J1053="GLOBORG",PR!$Y1051,IF(J1053="GOODNEWS",PR!$Z1051,IF(J1053="GREENLIFE",PR!$AA1051,IF(J1053="HLINE",PR!$AB1051,IF(J1053="ROTECH",PR!$AC1051,IF(J1053="ISN",PR!$AD1051,IF(J1053="JAWA",PR!$AE1051,IF(J1053="LAYO",PR!$AF1051,IF(J1053="LEADWAY",PR!$AG1051,IF(J1053="LHV",PR!$AH1051,IF(J1053="MANOLA",PR!$AI1051,IF(J1053="MARCSON",PR!$AJ1051,IF(J1053="M&amp;B",PR!$AK1051,IF(J1053="MTRUST",PR!$AL1051,IF(J1053="MWORLD",PR!$AM1051,IF(J1053="MEGA",PR!$AN1051,IF(J1053="MICRONOVA",PR!$AO1051,IF(J1053="MFLASH",PR!$AP1051,IF(J1053="MORISON",PR!$AQ1051,IF(J1053="NEMEL",PR!$AR1051,IF(J1053="NHP",PR!$AS1051,IF(J1053="NHC",PR!$AT1051,IF(J1053="OLEAF",PR!$AU1051,IF(J1053="OCULUS",PR!$AV1051,IF(J1053="PACIFIC",PR!$AW1051,IF(J1053="PHAMATEX",PR!$AX1051,IF(J1053="PETHICS",PR!$AY1051,IF(J1053="PHILIPS",PR!$AZ1051,IF(J1053="RANBAXY",PR!$BA1051,IF(J1053="REALS",PR!$BB1051,IF(J1053="ROYAL",PR!$BC1051,IF(J1053="SAM",PR!$BD1051,IF(J1053="SEAGREEN",PR!$BE1051,IF(J1053="SKG",PR!$BF1051,IF(J1053="TAH",PR!$BG1051,IF(J1053="TAYLEK",PR!$BH1051,IF(J1053="TEMITA",PR!$BI1051,IF(J1053="THL",PR!$BJ1051,IF(J1053="UBASTIC",PR!$BK1051,IF(J1053="UNION",PR!$BL1051,IF(J1053="UNIQUE",PR!$BM1051,IF(J1053="VIXA",PR!$BN1051,IF(J1053="WWCV",PR!$BO1051,IF(J1053="ZOLON",PR!$BP1051,"-"))))))))))))))))))))))))))))))))))))))))))))))))))))))))))))))))</f>
        <v>-</v>
      </c>
      <c r="J1053" s="102">
        <f>EV!N1333</f>
        <v>0</v>
      </c>
      <c r="K1053" s="433" t="s">
        <v>626</v>
      </c>
      <c r="L1053" s="183">
        <f>IF(K1053&gt;0,IF(K1053="ALPHA",PR!$E1051,IF(K1053="ASSENE",PR!$F1051,IF(K1053="BIOFEM",PR!$G1051,IF(K1053="BIOMED",PR!$H1051,IF(K1053="CHI",PR!$I1051,IF(K1053="CLARION",PR!$J1051,IF(K1053="CODIX",PR!$K1051,IF(K1053="COSMADE",PR!$L1051,IF(K1053="SANCON",PR!$M1051,IF(K1053="DEVON",PR!$N1051,IF(K1053="DORTEMAG",PR!$O1051,IF(K1053="DGF",PR!$P1051,IF(K1053="DYNAMIC",PR!$Q1051,IF(K1053="EMZOR",PR!$R1051,IF(K1053="EUMATT",PR!$S1051,IF(K1053="FIDSON",PR!$T1051,IF(K1053="FCGLOBAL",PR!$U1051,IF(K1053="GENEITH",PR!$V1051,IF(K1053="GINOS",PR!$W1051,IF(K1053="GSK",PR!$X1051,IF(K1053="GLOBORG",PR!$Y1051,IF(K1053="GOODNEWS",PR!$Z1051,IF(K1053="GREENLIFE",PR!$AA1051,IF(K1053="HLINE",PR!$AB1051,IF(K1053="ROTECH",PR!$AC1051,IF(K1053="ISN",PR!$AD1051,IF(K1053="JAWA",PR!$AE1051,IF(K1053="LAYO",PR!$AF1051,IF(K1053="LEADWAY",PR!$AG1051,IF(K1053="LHV",PR!$AH1051,IF(K1053="MANOLA",PR!$AI1051,IF(K1053="MARCSON",PR!$AJ1051,IF(K1053="M&amp;B",PR!$AK1051,IF(K1053="MTRUST",PR!$AL1051,IF(K1053="MWORLD",PR!$AM1051,IF(K1053="MEGA",PR!$AN1051,IF(K1053="MICRONOVA",PR!$AO1051,IF(K1053="MFLASH",PR!$AP1051,IF(K1053="MORISON",PR!$AQ1051,IF(K1053="NEMEL",PR!$AR1051,IF(K1053="NHP",PR!$AS1051,IF(K1053="NHC",PR!$AT1051,IF(K1053="OLEAF",PR!$AU1051,IF(K1053="OCULUS",PR!$AV1051,IF(K1053="PACIFIC",PR!$AW1051,IF(K1053="PHAMATEX",PR!$AX1051,IF(K1053="PETHICS",PR!$AY1051,IF(K1053="PHILIPS",PR!$AZ1051,IF(K1053="RANBAXY",PR!$BA1051,IF(K1053="REALS",PR!$BB1051,IF(K1053="ROYAL",PR!$BC1051,IF(K1053="SAM",PR!$BD1051,IF(K1053="SEAGREEN",PR!$BE1051,IF(K1053="SKG",PR!$BF1051,IF(K1053="TAH",PR!$BG1051,IF(K1053="TAYLEK",PR!$BH1051,IF(K1053="TEMITA",PR!$BI1051,IF(K1053="THL",PR!$BJ1051,IF(K1053="UBASTIC",PR!$BK1051,IF(K1053="UNION",PR!$BL1051,IF(K1053="UNIQUE",PR!$BM1051,IF(K1053="VIXA",PR!$BN1051,IF(K1053="WWCV",PR!$BO1051,IF(K1053="ZOLON",PR!$BP1051,"-")))))))))))))))))))))))))))))))))))))))))))))))))))))))))))))))))</f>
        <v>3724</v>
      </c>
    </row>
    <row r="1054" spans="1:12" ht="18.75" x14ac:dyDescent="0.3">
      <c r="A1054" s="430">
        <f>PR!A1052</f>
        <v>950</v>
      </c>
      <c r="B1054" s="15" t="str">
        <f>PR!B1052</f>
        <v>NIGROSIN (COLOUR INDEX 50420)</v>
      </c>
      <c r="C1054" s="113" t="str">
        <f>PR!D1052</f>
        <v>1 bottle of 250g</v>
      </c>
      <c r="D1054" s="113">
        <f>PR!C1052</f>
        <v>4</v>
      </c>
      <c r="E1054" s="108">
        <f>IF(F1054="ALPHA",PR!$E1052,IF(F1054="ASSENE",PR!$F1052,IF(F1054="BIOFEM",PR!$G1052,IF(F1054="BIOMED",PR!$H1052,IF(F1054="CHI",PR!$I1052,IF(F1054="CLARION",PR!$J1052,IF(F1054="CODIX",PR!$K1052,IF(F1054="COSMADE",PR!$L1052,IF(F1054="SANCON",PR!$M1052,IF(F1054="DEVON",PR!$N1052,IF(F1054="DORTEMAG",PR!$O1052,IF(F1054="DGF",PR!$P1052,IF(F1054="DYNAMIC",PR!$Q1052,IF(F1054="EMZOR",PR!$R1052,IF(F1054="EUMATT",PR!$S1052,IF(F1054="FIDSON",PR!$T1052,IF(F1054="FCGLOBAL",PR!$U1052,IF(F1054="GENEITH",PR!$V1052,IF(F1054="GINOS",PR!$W1052,IF(F1054="GSK",PR!$X1052,IF(F1054="GLOBORG",PR!$Y1052,IF(F1054="GOODNEWS",PR!$Z1052,IF(F1054="GREENLIFE",PR!$AA1052,IF(F1054="HLINE",PR!$AB1052,IF(F1054="ROTECH",PR!$AC1052,IF(F1054="ISN",PR!$AD1052,IF(F1054="JAWA",PR!$AE1052,IF(F1054="LAYO",PR!$AF1052,IF(F1054="LEADWAY",PR!$AG1052,IF(F1054="LHV",PR!$AH1052,IF(F1054="MANOLA",PR!$AI1052,IF(F1054="MARCSON",PR!$AJ1052,IF(F1054="M&amp;B",PR!$AK1052,IF(F1054="MTRUST",PR!$AL1052,IF(F1054="MWORLD",PR!$AM1052,IF(F1054="MEGA",PR!$AN1052,IF(F1054="MICRONOVA",PR!$AO1052,IF(F1054="MFLASH",PR!$AP1052,IF(F1054="MORISON",PR!$AQ1052,IF(F1054="NEMEL",PR!$AR1052,IF(F1054="NHP",PR!$AS1052,IF(F1054="NHC",PR!$AT1052,IF(F1054="OLEAF",PR!$AU1052,IF(F1054="OCULUS",PR!$AV1052,IF(F1054="PACIFIC",PR!$AW1052,IF(F1054="PHAMATEX",PR!$AX1052,IF(F1054="PETHICS",PR!$AY1052,IF(F1054="PHILIPS",PR!$AZ1052,IF(F1054="RANBAXY",PR!$BA1052,IF(F1054="REALS",PR!$BB1052,IF(F1054="ROYAL",PR!$BC1052,IF(F1054="SAM",PR!$BD1052,IF(F1054="SEAGREEN",PR!$BE1052,IF(F1054="SKG",PR!$BF1052,IF(F1054="TAH",PR!$BG1052,IF(F1054="TAYLEK",PR!$BH1052,IF(F1054="TEMITA",PR!$BI1052,IF(F1054="THL",PR!$BJ1052,IF(F1054="UBASTIC",PR!$BK1052,IF(F1054="UNION",PR!$BL1052,IF(F1054="UNIQUE",PR!$BM1052,IF(F1054="VIXA",PR!$BN1052,IF(F1054="WWCV",PR!$BO1052,IF(F1054="ZOLON",PR!$BP1052,"-"))))))))))))))))))))))))))))))))))))))))))))))))))))))))))))))))</f>
        <v>16625</v>
      </c>
      <c r="F1054" s="102" t="str">
        <f>EV!L1334</f>
        <v>DYNAMIC</v>
      </c>
      <c r="G1054" s="108">
        <f>IF(H1054="ALPHA",PR!$E1052,IF(H1054="ASSENE",PR!$F1052,IF(H1054="BIOFEM",PR!$G1052,IF(H1054="BIOMED",PR!$H1052,IF(H1054="CHI",PR!$I1052,IF(H1054="CLARION",PR!$J1052,IF(H1054="CODIX",PR!$K1052,IF(H1054="COSMADE",PR!$L1052,IF(H1054="SANCON",PR!$M1052,IF(H1054="DEVON",PR!$N1052,IF(H1054="DORTEMAG",PR!$O1052,IF(H1054="DGF",PR!$P1052,IF(H1054="DYNAMIC",PR!$Q1052,IF(H1054="EMZOR",PR!$R1052,IF(H1054="EUMATT",PR!$S1052,IF(H1054="FIDSON",PR!$T1052,IF(H1054="FCGLOBAL",PR!$U1052,IF(H1054="GENEITH",PR!$V1052,IF(H1054="GINOS",PR!$W1052,IF(H1054="GSK",PR!$X1052,IF(H1054="GLOBORG",PR!$Y1052,IF(H1054="GOODNEWS",PR!$Z1052,IF(H1054="GREENLIFE",PR!$AA1052,IF(H1054="HLINE",PR!$AB1052,IF(H1054="ROTECH",PR!$AC1052,IF(H1054="ISN",PR!$AD1052,IF(H1054="JAWA",PR!$AE1052,IF(H1054="LAYO",PR!$AF1052,IF(H1054="LEADWAY",PR!$AG1052,IF(H1054="LHV",PR!$AH1052,IF(H1054="MANOLA",PR!$AI1052,IF(H1054="MARCSON",PR!$AJ1052,IF(H1054="M&amp;B",PR!$AK1052,IF(H1054="MTRUST",PR!$AL1052,IF(H1054="MWORLD",PR!$AM1052,IF(H1054="MEGA",PR!$AN1052,IF(H1054="MICRONOVA",PR!$AO1052,IF(H1054="MFLASH",PR!$AP1052,IF(H1054="MORISON",PR!$AQ1052,IF(H1054="NEMEL",PR!$AR1052,IF(H1054="NHP",PR!$AS1052,IF(H1054="NHC",PR!$AT1052,IF(H1054="OLEAF",PR!$AU1052,IF(H1054="OCULUS",PR!$AV1052,IF(H1054="PACIFIC",PR!$AW1052,IF(H1054="PHAMATEX",PR!$AX1052,IF(H1054="PETHICS",PR!$AY1052,IF(H1054="PHILIPS",PR!$AZ1052,IF(H1054="RANBAXY",PR!$BA1052,IF(H1054="REALS",PR!$BB1052,IF(H1054="ROYAL",PR!$BC1052,IF(H1054="SAM",PR!$BD1052,IF(H1054="SEAGREEN",PR!$BE1052,IF(H1054="SKG",PR!$BF1052,IF(H1054="TAH",PR!$BG1052,IF(H1054="TAYLEK",PR!$BH1052,IF(H1054="TEMITA",PR!$BI1052,IF(H1054="THL",PR!$BJ1052,IF(H1054="UBASTIC",PR!$BK1052,IF(H1054="UNION",PR!$BL1052,IF(H1054="UNIQUE",PR!$BM1052,IF(H1054="VIXA",PR!$BN1052,IF(H1054="WWCV",PR!$BO1052,IF(H1054="ZOLON",PR!$BP1052,"-"))))))))))))))))))))))))))))))))))))))))))))))))))))))))))))))))</f>
        <v>95000</v>
      </c>
      <c r="H1054" s="102" t="str">
        <f>EV!M1334</f>
        <v>UBASTIC</v>
      </c>
      <c r="I1054" s="108" t="str">
        <f>IF(J1054="ALPHA",PR!$E1052,IF(J1054="ASSENE",PR!$F1052,IF(J1054="BIOFEM",PR!$G1052,IF(J1054="BIOMED",PR!$H1052,IF(J1054="CHI",PR!$I1052,IF(J1054="CLARION",PR!$J1052,IF(J1054="CODIX",PR!$K1052,IF(J1054="COSMADE",PR!$L1052,IF(J1054="SANCON",PR!$M1052,IF(J1054="DEVON",PR!$N1052,IF(J1054="DORTEMAG",PR!$O1052,IF(J1054="DGF",PR!$P1052,IF(J1054="DYNAMIC",PR!$Q1052,IF(J1054="EMZOR",PR!$R1052,IF(J1054="EUMATT",PR!$S1052,IF(J1054="FIDSON",PR!$T1052,IF(J1054="FCGLOBAL",PR!$U1052,IF(J1054="GENEITH",PR!$V1052,IF(J1054="GINOS",PR!$W1052,IF(J1054="GSK",PR!$X1052,IF(J1054="GLOBORG",PR!$Y1052,IF(J1054="GOODNEWS",PR!$Z1052,IF(J1054="GREENLIFE",PR!$AA1052,IF(J1054="HLINE",PR!$AB1052,IF(J1054="ROTECH",PR!$AC1052,IF(J1054="ISN",PR!$AD1052,IF(J1054="JAWA",PR!$AE1052,IF(J1054="LAYO",PR!$AF1052,IF(J1054="LEADWAY",PR!$AG1052,IF(J1054="LHV",PR!$AH1052,IF(J1054="MANOLA",PR!$AI1052,IF(J1054="MARCSON",PR!$AJ1052,IF(J1054="M&amp;B",PR!$AK1052,IF(J1054="MTRUST",PR!$AL1052,IF(J1054="MWORLD",PR!$AM1052,IF(J1054="MEGA",PR!$AN1052,IF(J1054="MICRONOVA",PR!$AO1052,IF(J1054="MFLASH",PR!$AP1052,IF(J1054="MORISON",PR!$AQ1052,IF(J1054="NEMEL",PR!$AR1052,IF(J1054="NHP",PR!$AS1052,IF(J1054="NHC",PR!$AT1052,IF(J1054="OLEAF",PR!$AU1052,IF(J1054="OCULUS",PR!$AV1052,IF(J1054="PACIFIC",PR!$AW1052,IF(J1054="PHAMATEX",PR!$AX1052,IF(J1054="PETHICS",PR!$AY1052,IF(J1054="PHILIPS",PR!$AZ1052,IF(J1054="RANBAXY",PR!$BA1052,IF(J1054="REALS",PR!$BB1052,IF(J1054="ROYAL",PR!$BC1052,IF(J1054="SAM",PR!$BD1052,IF(J1054="SEAGREEN",PR!$BE1052,IF(J1054="SKG",PR!$BF1052,IF(J1054="TAH",PR!$BG1052,IF(J1054="TAYLEK",PR!$BH1052,IF(J1054="TEMITA",PR!$BI1052,IF(J1054="THL",PR!$BJ1052,IF(J1054="UBASTIC",PR!$BK1052,IF(J1054="UNION",PR!$BL1052,IF(J1054="UNIQUE",PR!$BM1052,IF(J1054="VIXA",PR!$BN1052,IF(J1054="WWCV",PR!$BO1052,IF(J1054="ZOLON",PR!$BP1052,"-"))))))))))))))))))))))))))))))))))))))))))))))))))))))))))))))))</f>
        <v>-</v>
      </c>
      <c r="J1054" s="102">
        <f>EV!N1334</f>
        <v>0</v>
      </c>
      <c r="K1054" s="433" t="s">
        <v>626</v>
      </c>
      <c r="L1054" s="183">
        <f>IF(K1054&gt;0,IF(K1054="ALPHA",PR!$E1052,IF(K1054="ASSENE",PR!$F1052,IF(K1054="BIOFEM",PR!$G1052,IF(K1054="BIOMED",PR!$H1052,IF(K1054="CHI",PR!$I1052,IF(K1054="CLARION",PR!$J1052,IF(K1054="CODIX",PR!$K1052,IF(K1054="COSMADE",PR!$L1052,IF(K1054="SANCON",PR!$M1052,IF(K1054="DEVON",PR!$N1052,IF(K1054="DORTEMAG",PR!$O1052,IF(K1054="DGF",PR!$P1052,IF(K1054="DYNAMIC",PR!$Q1052,IF(K1054="EMZOR",PR!$R1052,IF(K1054="EUMATT",PR!$S1052,IF(K1054="FIDSON",PR!$T1052,IF(K1054="FCGLOBAL",PR!$U1052,IF(K1054="GENEITH",PR!$V1052,IF(K1054="GINOS",PR!$W1052,IF(K1054="GSK",PR!$X1052,IF(K1054="GLOBORG",PR!$Y1052,IF(K1054="GOODNEWS",PR!$Z1052,IF(K1054="GREENLIFE",PR!$AA1052,IF(K1054="HLINE",PR!$AB1052,IF(K1054="ROTECH",PR!$AC1052,IF(K1054="ISN",PR!$AD1052,IF(K1054="JAWA",PR!$AE1052,IF(K1054="LAYO",PR!$AF1052,IF(K1054="LEADWAY",PR!$AG1052,IF(K1054="LHV",PR!$AH1052,IF(K1054="MANOLA",PR!$AI1052,IF(K1054="MARCSON",PR!$AJ1052,IF(K1054="M&amp;B",PR!$AK1052,IF(K1054="MTRUST",PR!$AL1052,IF(K1054="MWORLD",PR!$AM1052,IF(K1054="MEGA",PR!$AN1052,IF(K1054="MICRONOVA",PR!$AO1052,IF(K1054="MFLASH",PR!$AP1052,IF(K1054="MORISON",PR!$AQ1052,IF(K1054="NEMEL",PR!$AR1052,IF(K1054="NHP",PR!$AS1052,IF(K1054="NHC",PR!$AT1052,IF(K1054="OLEAF",PR!$AU1052,IF(K1054="OCULUS",PR!$AV1052,IF(K1054="PACIFIC",PR!$AW1052,IF(K1054="PHAMATEX",PR!$AX1052,IF(K1054="PETHICS",PR!$AY1052,IF(K1054="PHILIPS",PR!$AZ1052,IF(K1054="RANBAXY",PR!$BA1052,IF(K1054="REALS",PR!$BB1052,IF(K1054="ROYAL",PR!$BC1052,IF(K1054="SAM",PR!$BD1052,IF(K1054="SEAGREEN",PR!$BE1052,IF(K1054="SKG",PR!$BF1052,IF(K1054="TAH",PR!$BG1052,IF(K1054="TAYLEK",PR!$BH1052,IF(K1054="TEMITA",PR!$BI1052,IF(K1054="THL",PR!$BJ1052,IF(K1054="UBASTIC",PR!$BK1052,IF(K1054="UNION",PR!$BL1052,IF(K1054="UNIQUE",PR!$BM1052,IF(K1054="VIXA",PR!$BN1052,IF(K1054="WWCV",PR!$BO1052,IF(K1054="ZOLON",PR!$BP1052,"-")))))))))))))))))))))))))))))))))))))))))))))))))))))))))))))))))</f>
        <v>16625</v>
      </c>
    </row>
    <row r="1055" spans="1:12" ht="18.75" x14ac:dyDescent="0.3">
      <c r="A1055" s="430">
        <f>PR!A1053</f>
        <v>951</v>
      </c>
      <c r="B1055" s="15" t="str">
        <f>PR!B1053</f>
        <v>NEUBAR COUNTING CHAMBER</v>
      </c>
      <c r="C1055" s="113" t="str">
        <f>PR!D1053</f>
        <v>1 x 10 pieces</v>
      </c>
      <c r="D1055" s="113">
        <f>PR!C1053</f>
        <v>10</v>
      </c>
      <c r="E1055" s="108">
        <f>IF(F1055="ALPHA",PR!$E1053,IF(F1055="ASSENE",PR!$F1053,IF(F1055="BIOFEM",PR!$G1053,IF(F1055="BIOMED",PR!$H1053,IF(F1055="CHI",PR!$I1053,IF(F1055="CLARION",PR!$J1053,IF(F1055="CODIX",PR!$K1053,IF(F1055="COSMADE",PR!$L1053,IF(F1055="SANCON",PR!$M1053,IF(F1055="DEVON",PR!$N1053,IF(F1055="DORTEMAG",PR!$O1053,IF(F1055="DGF",PR!$P1053,IF(F1055="DYNAMIC",PR!$Q1053,IF(F1055="EMZOR",PR!$R1053,IF(F1055="EUMATT",PR!$S1053,IF(F1055="FIDSON",PR!$T1053,IF(F1055="FCGLOBAL",PR!$U1053,IF(F1055="GENEITH",PR!$V1053,IF(F1055="GINOS",PR!$W1053,IF(F1055="GSK",PR!$X1053,IF(F1055="GLOBORG",PR!$Y1053,IF(F1055="GOODNEWS",PR!$Z1053,IF(F1055="GREENLIFE",PR!$AA1053,IF(F1055="HLINE",PR!$AB1053,IF(F1055="ROTECH",PR!$AC1053,IF(F1055="ISN",PR!$AD1053,IF(F1055="JAWA",PR!$AE1053,IF(F1055="LAYO",PR!$AF1053,IF(F1055="LEADWAY",PR!$AG1053,IF(F1055="LHV",PR!$AH1053,IF(F1055="MANOLA",PR!$AI1053,IF(F1055="MARCSON",PR!$AJ1053,IF(F1055="M&amp;B",PR!$AK1053,IF(F1055="MTRUST",PR!$AL1053,IF(F1055="MWORLD",PR!$AM1053,IF(F1055="MEGA",PR!$AN1053,IF(F1055="MICRONOVA",PR!$AO1053,IF(F1055="MFLASH",PR!$AP1053,IF(F1055="MORISON",PR!$AQ1053,IF(F1055="NEMEL",PR!$AR1053,IF(F1055="NHP",PR!$AS1053,IF(F1055="NHC",PR!$AT1053,IF(F1055="OLEAF",PR!$AU1053,IF(F1055="OCULUS",PR!$AV1053,IF(F1055="PACIFIC",PR!$AW1053,IF(F1055="PHAMATEX",PR!$AX1053,IF(F1055="PETHICS",PR!$AY1053,IF(F1055="PHILIPS",PR!$AZ1053,IF(F1055="RANBAXY",PR!$BA1053,IF(F1055="REALS",PR!$BB1053,IF(F1055="ROYAL",PR!$BC1053,IF(F1055="SAM",PR!$BD1053,IF(F1055="SEAGREEN",PR!$BE1053,IF(F1055="SKG",PR!$BF1053,IF(F1055="TAH",PR!$BG1053,IF(F1055="TAYLEK",PR!$BH1053,IF(F1055="TEMITA",PR!$BI1053,IF(F1055="THL",PR!$BJ1053,IF(F1055="UBASTIC",PR!$BK1053,IF(F1055="UNION",PR!$BL1053,IF(F1055="UNIQUE",PR!$BM1053,IF(F1055="VIXA",PR!$BN1053,IF(F1055="WWCV",PR!$BO1053,IF(F1055="ZOLON",PR!$BP1053,"-"))))))))))))))))))))))))))))))))))))))))))))))))))))))))))))))))</f>
        <v>9500</v>
      </c>
      <c r="F1055" s="102" t="str">
        <f>EV!L1335</f>
        <v>SANCON</v>
      </c>
      <c r="G1055" s="108">
        <f>IF(H1055="ALPHA",PR!$E1053,IF(H1055="ASSENE",PR!$F1053,IF(H1055="BIOFEM",PR!$G1053,IF(H1055="BIOMED",PR!$H1053,IF(H1055="CHI",PR!$I1053,IF(H1055="CLARION",PR!$J1053,IF(H1055="CODIX",PR!$K1053,IF(H1055="COSMADE",PR!$L1053,IF(H1055="SANCON",PR!$M1053,IF(H1055="DEVON",PR!$N1053,IF(H1055="DORTEMAG",PR!$O1053,IF(H1055="DGF",PR!$P1053,IF(H1055="DYNAMIC",PR!$Q1053,IF(H1055="EMZOR",PR!$R1053,IF(H1055="EUMATT",PR!$S1053,IF(H1055="FIDSON",PR!$T1053,IF(H1055="FCGLOBAL",PR!$U1053,IF(H1055="GENEITH",PR!$V1053,IF(H1055="GINOS",PR!$W1053,IF(H1055="GSK",PR!$X1053,IF(H1055="GLOBORG",PR!$Y1053,IF(H1055="GOODNEWS",PR!$Z1053,IF(H1055="GREENLIFE",PR!$AA1053,IF(H1055="HLINE",PR!$AB1053,IF(H1055="ROTECH",PR!$AC1053,IF(H1055="ISN",PR!$AD1053,IF(H1055="JAWA",PR!$AE1053,IF(H1055="LAYO",PR!$AF1053,IF(H1055="LEADWAY",PR!$AG1053,IF(H1055="LHV",PR!$AH1053,IF(H1055="MANOLA",PR!$AI1053,IF(H1055="MARCSON",PR!$AJ1053,IF(H1055="M&amp;B",PR!$AK1053,IF(H1055="MTRUST",PR!$AL1053,IF(H1055="MWORLD",PR!$AM1053,IF(H1055="MEGA",PR!$AN1053,IF(H1055="MICRONOVA",PR!$AO1053,IF(H1055="MFLASH",PR!$AP1053,IF(H1055="MORISON",PR!$AQ1053,IF(H1055="NEMEL",PR!$AR1053,IF(H1055="NHP",PR!$AS1053,IF(H1055="NHC",PR!$AT1053,IF(H1055="OLEAF",PR!$AU1053,IF(H1055="OCULUS",PR!$AV1053,IF(H1055="PACIFIC",PR!$AW1053,IF(H1055="PHAMATEX",PR!$AX1053,IF(H1055="PETHICS",PR!$AY1053,IF(H1055="PHILIPS",PR!$AZ1053,IF(H1055="RANBAXY",PR!$BA1053,IF(H1055="REALS",PR!$BB1053,IF(H1055="ROYAL",PR!$BC1053,IF(H1055="SAM",PR!$BD1053,IF(H1055="SEAGREEN",PR!$BE1053,IF(H1055="SKG",PR!$BF1053,IF(H1055="TAH",PR!$BG1053,IF(H1055="TAYLEK",PR!$BH1053,IF(H1055="TEMITA",PR!$BI1053,IF(H1055="THL",PR!$BJ1053,IF(H1055="UBASTIC",PR!$BK1053,IF(H1055="UNION",PR!$BL1053,IF(H1055="UNIQUE",PR!$BM1053,IF(H1055="VIXA",PR!$BN1053,IF(H1055="WWCV",PR!$BO1053,IF(H1055="ZOLON",PR!$BP1053,"-"))))))))))))))))))))))))))))))))))))))))))))))))))))))))))))))))</f>
        <v>15600</v>
      </c>
      <c r="H1055" s="102" t="str">
        <f>EV!M1335</f>
        <v>LAYO</v>
      </c>
      <c r="I1055" s="108">
        <f>IF(J1055="ALPHA",PR!$E1053,IF(J1055="ASSENE",PR!$F1053,IF(J1055="BIOFEM",PR!$G1053,IF(J1055="BIOMED",PR!$H1053,IF(J1055="CHI",PR!$I1053,IF(J1055="CLARION",PR!$J1053,IF(J1055="CODIX",PR!$K1053,IF(J1055="COSMADE",PR!$L1053,IF(J1055="SANCON",PR!$M1053,IF(J1055="DEVON",PR!$N1053,IF(J1055="DORTEMAG",PR!$O1053,IF(J1055="DGF",PR!$P1053,IF(J1055="DYNAMIC",PR!$Q1053,IF(J1055="EMZOR",PR!$R1053,IF(J1055="EUMATT",PR!$S1053,IF(J1055="FIDSON",PR!$T1053,IF(J1055="FCGLOBAL",PR!$U1053,IF(J1055="GENEITH",PR!$V1053,IF(J1055="GINOS",PR!$W1053,IF(J1055="GSK",PR!$X1053,IF(J1055="GLOBORG",PR!$Y1053,IF(J1055="GOODNEWS",PR!$Z1053,IF(J1055="GREENLIFE",PR!$AA1053,IF(J1055="HLINE",PR!$AB1053,IF(J1055="ROTECH",PR!$AC1053,IF(J1055="ISN",PR!$AD1053,IF(J1055="JAWA",PR!$AE1053,IF(J1055="LAYO",PR!$AF1053,IF(J1055="LEADWAY",PR!$AG1053,IF(J1055="LHV",PR!$AH1053,IF(J1055="MANOLA",PR!$AI1053,IF(J1055="MARCSON",PR!$AJ1053,IF(J1055="M&amp;B",PR!$AK1053,IF(J1055="MTRUST",PR!$AL1053,IF(J1055="MWORLD",PR!$AM1053,IF(J1055="MEGA",PR!$AN1053,IF(J1055="MICRONOVA",PR!$AO1053,IF(J1055="MFLASH",PR!$AP1053,IF(J1055="MORISON",PR!$AQ1053,IF(J1055="NEMEL",PR!$AR1053,IF(J1055="NHP",PR!$AS1053,IF(J1055="NHC",PR!$AT1053,IF(J1055="OLEAF",PR!$AU1053,IF(J1055="OCULUS",PR!$AV1053,IF(J1055="PACIFIC",PR!$AW1053,IF(J1055="PHAMATEX",PR!$AX1053,IF(J1055="PETHICS",PR!$AY1053,IF(J1055="PHILIPS",PR!$AZ1053,IF(J1055="RANBAXY",PR!$BA1053,IF(J1055="REALS",PR!$BB1053,IF(J1055="ROYAL",PR!$BC1053,IF(J1055="SAM",PR!$BD1053,IF(J1055="SEAGREEN",PR!$BE1053,IF(J1055="SKG",PR!$BF1053,IF(J1055="TAH",PR!$BG1053,IF(J1055="TAYLEK",PR!$BH1053,IF(J1055="TEMITA",PR!$BI1053,IF(J1055="THL",PR!$BJ1053,IF(J1055="UBASTIC",PR!$BK1053,IF(J1055="UNION",PR!$BL1053,IF(J1055="UNIQUE",PR!$BM1053,IF(J1055="VIXA",PR!$BN1053,IF(J1055="WWCV",PR!$BO1053,IF(J1055="ZOLON",PR!$BP1053,"-"))))))))))))))))))))))))))))))))))))))))))))))))))))))))))))))))</f>
        <v>16625</v>
      </c>
      <c r="J1055" s="102" t="str">
        <f>EV!N1335</f>
        <v>DYNAMIC</v>
      </c>
      <c r="K1055" s="433" t="s">
        <v>817</v>
      </c>
      <c r="L1055" s="183">
        <f>IF(K1055&gt;0,IF(K1055="ALPHA",PR!$E1053,IF(K1055="ASSENE",PR!$F1053,IF(K1055="BIOFEM",PR!$G1053,IF(K1055="BIOMED",PR!$H1053,IF(K1055="CHI",PR!$I1053,IF(K1055="CLARION",PR!$J1053,IF(K1055="CODIX",PR!$K1053,IF(K1055="COSMADE",PR!$L1053,IF(K1055="SANCON",PR!$M1053,IF(K1055="DEVON",PR!$N1053,IF(K1055="DORTEMAG",PR!$O1053,IF(K1055="DGF",PR!$P1053,IF(K1055="DYNAMIC",PR!$Q1053,IF(K1055="EMZOR",PR!$R1053,IF(K1055="EUMATT",PR!$S1053,IF(K1055="FIDSON",PR!$T1053,IF(K1055="FCGLOBAL",PR!$U1053,IF(K1055="GENEITH",PR!$V1053,IF(K1055="GINOS",PR!$W1053,IF(K1055="GSK",PR!$X1053,IF(K1055="GLOBORG",PR!$Y1053,IF(K1055="GOODNEWS",PR!$Z1053,IF(K1055="GREENLIFE",PR!$AA1053,IF(K1055="HLINE",PR!$AB1053,IF(K1055="ROTECH",PR!$AC1053,IF(K1055="ISN",PR!$AD1053,IF(K1055="JAWA",PR!$AE1053,IF(K1055="LAYO",PR!$AF1053,IF(K1055="LEADWAY",PR!$AG1053,IF(K1055="LHV",PR!$AH1053,IF(K1055="MANOLA",PR!$AI1053,IF(K1055="MARCSON",PR!$AJ1053,IF(K1055="M&amp;B",PR!$AK1053,IF(K1055="MTRUST",PR!$AL1053,IF(K1055="MWORLD",PR!$AM1053,IF(K1055="MEGA",PR!$AN1053,IF(K1055="MICRONOVA",PR!$AO1053,IF(K1055="MFLASH",PR!$AP1053,IF(K1055="MORISON",PR!$AQ1053,IF(K1055="NEMEL",PR!$AR1053,IF(K1055="NHP",PR!$AS1053,IF(K1055="NHC",PR!$AT1053,IF(K1055="OLEAF",PR!$AU1053,IF(K1055="OCULUS",PR!$AV1053,IF(K1055="PACIFIC",PR!$AW1053,IF(K1055="PHAMATEX",PR!$AX1053,IF(K1055="PETHICS",PR!$AY1053,IF(K1055="PHILIPS",PR!$AZ1053,IF(K1055="RANBAXY",PR!$BA1053,IF(K1055="REALS",PR!$BB1053,IF(K1055="ROYAL",PR!$BC1053,IF(K1055="SAM",PR!$BD1053,IF(K1055="SEAGREEN",PR!$BE1053,IF(K1055="SKG",PR!$BF1053,IF(K1055="TAH",PR!$BG1053,IF(K1055="TAYLEK",PR!$BH1053,IF(K1055="TEMITA",PR!$BI1053,IF(K1055="THL",PR!$BJ1053,IF(K1055="UBASTIC",PR!$BK1053,IF(K1055="UNION",PR!$BL1053,IF(K1055="UNIQUE",PR!$BM1053,IF(K1055="VIXA",PR!$BN1053,IF(K1055="WWCV",PR!$BO1053,IF(K1055="ZOLON",PR!$BP1053,"-")))))))))))))))))))))))))))))))))))))))))))))))))))))))))))))))))</f>
        <v>9500</v>
      </c>
    </row>
    <row r="1056" spans="1:12" ht="18.75" x14ac:dyDescent="0.3">
      <c r="A1056" s="430">
        <f>PR!A1054</f>
        <v>952</v>
      </c>
      <c r="B1056" s="15" t="str">
        <f>PR!B1054</f>
        <v>SALMONELLA TYPING SERA</v>
      </c>
      <c r="C1056" s="113" t="str">
        <f>PR!D1054</f>
        <v>1 pack (8pcs)</v>
      </c>
      <c r="D1056" s="113">
        <f>PR!C1054</f>
        <v>10</v>
      </c>
      <c r="E1056" s="108">
        <f>IF(F1056="ALPHA",PR!$E1054,IF(F1056="ASSENE",PR!$F1054,IF(F1056="BIOFEM",PR!$G1054,IF(F1056="BIOMED",PR!$H1054,IF(F1056="CHI",PR!$I1054,IF(F1056="CLARION",PR!$J1054,IF(F1056="CODIX",PR!$K1054,IF(F1056="COSMADE",PR!$L1054,IF(F1056="SANCON",PR!$M1054,IF(F1056="DEVON",PR!$N1054,IF(F1056="DORTEMAG",PR!$O1054,IF(F1056="DGF",PR!$P1054,IF(F1056="DYNAMIC",PR!$Q1054,IF(F1056="EMZOR",PR!$R1054,IF(F1056="EUMATT",PR!$S1054,IF(F1056="FIDSON",PR!$T1054,IF(F1056="FCGLOBAL",PR!$U1054,IF(F1056="GENEITH",PR!$V1054,IF(F1056="GINOS",PR!$W1054,IF(F1056="GSK",PR!$X1054,IF(F1056="GLOBORG",PR!$Y1054,IF(F1056="GOODNEWS",PR!$Z1054,IF(F1056="GREENLIFE",PR!$AA1054,IF(F1056="HLINE",PR!$AB1054,IF(F1056="ROTECH",PR!$AC1054,IF(F1056="ISN",PR!$AD1054,IF(F1056="JAWA",PR!$AE1054,IF(F1056="LAYO",PR!$AF1054,IF(F1056="LEADWAY",PR!$AG1054,IF(F1056="LHV",PR!$AH1054,IF(F1056="MANOLA",PR!$AI1054,IF(F1056="MARCSON",PR!$AJ1054,IF(F1056="M&amp;B",PR!$AK1054,IF(F1056="MTRUST",PR!$AL1054,IF(F1056="MWORLD",PR!$AM1054,IF(F1056="MEGA",PR!$AN1054,IF(F1056="MICRONOVA",PR!$AO1054,IF(F1056="MFLASH",PR!$AP1054,IF(F1056="MORISON",PR!$AQ1054,IF(F1056="NEMEL",PR!$AR1054,IF(F1056="NHP",PR!$AS1054,IF(F1056="NHC",PR!$AT1054,IF(F1056="OLEAF",PR!$AU1054,IF(F1056="OCULUS",PR!$AV1054,IF(F1056="PACIFIC",PR!$AW1054,IF(F1056="PHAMATEX",PR!$AX1054,IF(F1056="PETHICS",PR!$AY1054,IF(F1056="PHILIPS",PR!$AZ1054,IF(F1056="RANBAXY",PR!$BA1054,IF(F1056="REALS",PR!$BB1054,IF(F1056="ROYAL",PR!$BC1054,IF(F1056="SAM",PR!$BD1054,IF(F1056="SEAGREEN",PR!$BE1054,IF(F1056="SKG",PR!$BF1054,IF(F1056="TAH",PR!$BG1054,IF(F1056="TAYLEK",PR!$BH1054,IF(F1056="TEMITA",PR!$BI1054,IF(F1056="THL",PR!$BJ1054,IF(F1056="UBASTIC",PR!$BK1054,IF(F1056="UNION",PR!$BL1054,IF(F1056="UNIQUE",PR!$BM1054,IF(F1056="VIXA",PR!$BN1054,IF(F1056="WWCV",PR!$BO1054,IF(F1056="ZOLON",PR!$BP1054,"-"))))))))))))))))))))))))))))))))))))))))))))))))))))))))))))))))</f>
        <v>15960</v>
      </c>
      <c r="F1056" s="102" t="str">
        <f>EV!L1336</f>
        <v>DYNAMIC</v>
      </c>
      <c r="G1056" s="108">
        <f>IF(H1056="ALPHA",PR!$E1054,IF(H1056="ASSENE",PR!$F1054,IF(H1056="BIOFEM",PR!$G1054,IF(H1056="BIOMED",PR!$H1054,IF(H1056="CHI",PR!$I1054,IF(H1056="CLARION",PR!$J1054,IF(H1056="CODIX",PR!$K1054,IF(H1056="COSMADE",PR!$L1054,IF(H1056="SANCON",PR!$M1054,IF(H1056="DEVON",PR!$N1054,IF(H1056="DORTEMAG",PR!$O1054,IF(H1056="DGF",PR!$P1054,IF(H1056="DYNAMIC",PR!$Q1054,IF(H1056="EMZOR",PR!$R1054,IF(H1056="EUMATT",PR!$S1054,IF(H1056="FIDSON",PR!$T1054,IF(H1056="FCGLOBAL",PR!$U1054,IF(H1056="GENEITH",PR!$V1054,IF(H1056="GINOS",PR!$W1054,IF(H1056="GSK",PR!$X1054,IF(H1056="GLOBORG",PR!$Y1054,IF(H1056="GOODNEWS",PR!$Z1054,IF(H1056="GREENLIFE",PR!$AA1054,IF(H1056="HLINE",PR!$AB1054,IF(H1056="ROTECH",PR!$AC1054,IF(H1056="ISN",PR!$AD1054,IF(H1056="JAWA",PR!$AE1054,IF(H1056="LAYO",PR!$AF1054,IF(H1056="LEADWAY",PR!$AG1054,IF(H1056="LHV",PR!$AH1054,IF(H1056="MANOLA",PR!$AI1054,IF(H1056="MARCSON",PR!$AJ1054,IF(H1056="M&amp;B",PR!$AK1054,IF(H1056="MTRUST",PR!$AL1054,IF(H1056="MWORLD",PR!$AM1054,IF(H1056="MEGA",PR!$AN1054,IF(H1056="MICRONOVA",PR!$AO1054,IF(H1056="MFLASH",PR!$AP1054,IF(H1056="MORISON",PR!$AQ1054,IF(H1056="NEMEL",PR!$AR1054,IF(H1056="NHP",PR!$AS1054,IF(H1056="NHC",PR!$AT1054,IF(H1056="OLEAF",PR!$AU1054,IF(H1056="OCULUS",PR!$AV1054,IF(H1056="PACIFIC",PR!$AW1054,IF(H1056="PHAMATEX",PR!$AX1054,IF(H1056="PETHICS",PR!$AY1054,IF(H1056="PHILIPS",PR!$AZ1054,IF(H1056="RANBAXY",PR!$BA1054,IF(H1056="REALS",PR!$BB1054,IF(H1056="ROYAL",PR!$BC1054,IF(H1056="SAM",PR!$BD1054,IF(H1056="SEAGREEN",PR!$BE1054,IF(H1056="SKG",PR!$BF1054,IF(H1056="TAH",PR!$BG1054,IF(H1056="TAYLEK",PR!$BH1054,IF(H1056="TEMITA",PR!$BI1054,IF(H1056="THL",PR!$BJ1054,IF(H1056="UBASTIC",PR!$BK1054,IF(H1056="UNION",PR!$BL1054,IF(H1056="UNIQUE",PR!$BM1054,IF(H1056="VIXA",PR!$BN1054,IF(H1056="WWCV",PR!$BO1054,IF(H1056="ZOLON",PR!$BP1054,"-"))))))))))))))))))))))))))))))))))))))))))))))))))))))))))))))))</f>
        <v>85000</v>
      </c>
      <c r="H1056" s="102" t="str">
        <f>EV!M1336</f>
        <v>UBASTIC</v>
      </c>
      <c r="I1056" s="108" t="str">
        <f>IF(J1056="ALPHA",PR!$E1054,IF(J1056="ASSENE",PR!$F1054,IF(J1056="BIOFEM",PR!$G1054,IF(J1056="BIOMED",PR!$H1054,IF(J1056="CHI",PR!$I1054,IF(J1056="CLARION",PR!$J1054,IF(J1056="CODIX",PR!$K1054,IF(J1056="COSMADE",PR!$L1054,IF(J1056="SANCON",PR!$M1054,IF(J1056="DEVON",PR!$N1054,IF(J1056="DORTEMAG",PR!$O1054,IF(J1056="DGF",PR!$P1054,IF(J1056="DYNAMIC",PR!$Q1054,IF(J1056="EMZOR",PR!$R1054,IF(J1056="EUMATT",PR!$S1054,IF(J1056="FIDSON",PR!$T1054,IF(J1056="FCGLOBAL",PR!$U1054,IF(J1056="GENEITH",PR!$V1054,IF(J1056="GINOS",PR!$W1054,IF(J1056="GSK",PR!$X1054,IF(J1056="GLOBORG",PR!$Y1054,IF(J1056="GOODNEWS",PR!$Z1054,IF(J1056="GREENLIFE",PR!$AA1054,IF(J1056="HLINE",PR!$AB1054,IF(J1056="ROTECH",PR!$AC1054,IF(J1056="ISN",PR!$AD1054,IF(J1056="JAWA",PR!$AE1054,IF(J1056="LAYO",PR!$AF1054,IF(J1056="LEADWAY",PR!$AG1054,IF(J1056="LHV",PR!$AH1054,IF(J1056="MANOLA",PR!$AI1054,IF(J1056="MARCSON",PR!$AJ1054,IF(J1056="M&amp;B",PR!$AK1054,IF(J1056="MTRUST",PR!$AL1054,IF(J1056="MWORLD",PR!$AM1054,IF(J1056="MEGA",PR!$AN1054,IF(J1056="MICRONOVA",PR!$AO1054,IF(J1056="MFLASH",PR!$AP1054,IF(J1056="MORISON",PR!$AQ1054,IF(J1056="NEMEL",PR!$AR1054,IF(J1056="NHP",PR!$AS1054,IF(J1056="NHC",PR!$AT1054,IF(J1056="OLEAF",PR!$AU1054,IF(J1056="OCULUS",PR!$AV1054,IF(J1056="PACIFIC",PR!$AW1054,IF(J1056="PHAMATEX",PR!$AX1054,IF(J1056="PETHICS",PR!$AY1054,IF(J1056="PHILIPS",PR!$AZ1054,IF(J1056="RANBAXY",PR!$BA1054,IF(J1056="REALS",PR!$BB1054,IF(J1056="ROYAL",PR!$BC1054,IF(J1056="SAM",PR!$BD1054,IF(J1056="SEAGREEN",PR!$BE1054,IF(J1056="SKG",PR!$BF1054,IF(J1056="TAH",PR!$BG1054,IF(J1056="TAYLEK",PR!$BH1054,IF(J1056="TEMITA",PR!$BI1054,IF(J1056="THL",PR!$BJ1054,IF(J1056="UBASTIC",PR!$BK1054,IF(J1056="UNION",PR!$BL1054,IF(J1056="UNIQUE",PR!$BM1054,IF(J1056="VIXA",PR!$BN1054,IF(J1056="WWCV",PR!$BO1054,IF(J1056="ZOLON",PR!$BP1054,"-"))))))))))))))))))))))))))))))))))))))))))))))))))))))))))))))))</f>
        <v>-</v>
      </c>
      <c r="J1056" s="102">
        <f>EV!N1336</f>
        <v>0</v>
      </c>
      <c r="K1056" s="433" t="s">
        <v>626</v>
      </c>
      <c r="L1056" s="183">
        <f>IF(K1056&gt;0,IF(K1056="ALPHA",PR!$E1054,IF(K1056="ASSENE",PR!$F1054,IF(K1056="BIOFEM",PR!$G1054,IF(K1056="BIOMED",PR!$H1054,IF(K1056="CHI",PR!$I1054,IF(K1056="CLARION",PR!$J1054,IF(K1056="CODIX",PR!$K1054,IF(K1056="COSMADE",PR!$L1054,IF(K1056="SANCON",PR!$M1054,IF(K1056="DEVON",PR!$N1054,IF(K1056="DORTEMAG",PR!$O1054,IF(K1056="DGF",PR!$P1054,IF(K1056="DYNAMIC",PR!$Q1054,IF(K1056="EMZOR",PR!$R1054,IF(K1056="EUMATT",PR!$S1054,IF(K1056="FIDSON",PR!$T1054,IF(K1056="FCGLOBAL",PR!$U1054,IF(K1056="GENEITH",PR!$V1054,IF(K1056="GINOS",PR!$W1054,IF(K1056="GSK",PR!$X1054,IF(K1056="GLOBORG",PR!$Y1054,IF(K1056="GOODNEWS",PR!$Z1054,IF(K1056="GREENLIFE",PR!$AA1054,IF(K1056="HLINE",PR!$AB1054,IF(K1056="ROTECH",PR!$AC1054,IF(K1056="ISN",PR!$AD1054,IF(K1056="JAWA",PR!$AE1054,IF(K1056="LAYO",PR!$AF1054,IF(K1056="LEADWAY",PR!$AG1054,IF(K1056="LHV",PR!$AH1054,IF(K1056="MANOLA",PR!$AI1054,IF(K1056="MARCSON",PR!$AJ1054,IF(K1056="M&amp;B",PR!$AK1054,IF(K1056="MTRUST",PR!$AL1054,IF(K1056="MWORLD",PR!$AM1054,IF(K1056="MEGA",PR!$AN1054,IF(K1056="MICRONOVA",PR!$AO1054,IF(K1056="MFLASH",PR!$AP1054,IF(K1056="MORISON",PR!$AQ1054,IF(K1056="NEMEL",PR!$AR1054,IF(K1056="NHP",PR!$AS1054,IF(K1056="NHC",PR!$AT1054,IF(K1056="OLEAF",PR!$AU1054,IF(K1056="OCULUS",PR!$AV1054,IF(K1056="PACIFIC",PR!$AW1054,IF(K1056="PHAMATEX",PR!$AX1054,IF(K1056="PETHICS",PR!$AY1054,IF(K1056="PHILIPS",PR!$AZ1054,IF(K1056="RANBAXY",PR!$BA1054,IF(K1056="REALS",PR!$BB1054,IF(K1056="ROYAL",PR!$BC1054,IF(K1056="SAM",PR!$BD1054,IF(K1056="SEAGREEN",PR!$BE1054,IF(K1056="SKG",PR!$BF1054,IF(K1056="TAH",PR!$BG1054,IF(K1056="TAYLEK",PR!$BH1054,IF(K1056="TEMITA",PR!$BI1054,IF(K1056="THL",PR!$BJ1054,IF(K1056="UBASTIC",PR!$BK1054,IF(K1056="UNION",PR!$BL1054,IF(K1056="UNIQUE",PR!$BM1054,IF(K1056="VIXA",PR!$BN1054,IF(K1056="WWCV",PR!$BO1054,IF(K1056="ZOLON",PR!$BP1054,"-")))))))))))))))))))))))))))))))))))))))))))))))))))))))))))))))))</f>
        <v>15960</v>
      </c>
    </row>
    <row r="1057" spans="1:12" ht="18.75" x14ac:dyDescent="0.3">
      <c r="A1057" s="430">
        <f>PR!A1055</f>
        <v>953</v>
      </c>
      <c r="B1057" s="15" t="str">
        <f>PR!B1055</f>
        <v>E COLI TYPING SERA</v>
      </c>
      <c r="C1057" s="113" t="str">
        <f>PR!D1055</f>
        <v>1 pack (8pcs)</v>
      </c>
      <c r="D1057" s="113">
        <f>PR!C1055</f>
        <v>5</v>
      </c>
      <c r="E1057" s="108">
        <f>IF(F1057="ALPHA",PR!$E1055,IF(F1057="ASSENE",PR!$F1055,IF(F1057="BIOFEM",PR!$G1055,IF(F1057="BIOMED",PR!$H1055,IF(F1057="CHI",PR!$I1055,IF(F1057="CLARION",PR!$J1055,IF(F1057="CODIX",PR!$K1055,IF(F1057="COSMADE",PR!$L1055,IF(F1057="SANCON",PR!$M1055,IF(F1057="DEVON",PR!$N1055,IF(F1057="DORTEMAG",PR!$O1055,IF(F1057="DGF",PR!$P1055,IF(F1057="DYNAMIC",PR!$Q1055,IF(F1057="EMZOR",PR!$R1055,IF(F1057="EUMATT",PR!$S1055,IF(F1057="FIDSON",PR!$T1055,IF(F1057="FCGLOBAL",PR!$U1055,IF(F1057="GENEITH",PR!$V1055,IF(F1057="GINOS",PR!$W1055,IF(F1057="GSK",PR!$X1055,IF(F1057="GLOBORG",PR!$Y1055,IF(F1057="GOODNEWS",PR!$Z1055,IF(F1057="GREENLIFE",PR!$AA1055,IF(F1057="HLINE",PR!$AB1055,IF(F1057="ROTECH",PR!$AC1055,IF(F1057="ISN",PR!$AD1055,IF(F1057="JAWA",PR!$AE1055,IF(F1057="LAYO",PR!$AF1055,IF(F1057="LEADWAY",PR!$AG1055,IF(F1057="LHV",PR!$AH1055,IF(F1057="MANOLA",PR!$AI1055,IF(F1057="MARCSON",PR!$AJ1055,IF(F1057="M&amp;B",PR!$AK1055,IF(F1057="MTRUST",PR!$AL1055,IF(F1057="MWORLD",PR!$AM1055,IF(F1057="MEGA",PR!$AN1055,IF(F1057="MICRONOVA",PR!$AO1055,IF(F1057="MFLASH",PR!$AP1055,IF(F1057="MORISON",PR!$AQ1055,IF(F1057="NEMEL",PR!$AR1055,IF(F1057="NHP",PR!$AS1055,IF(F1057="NHC",PR!$AT1055,IF(F1057="OLEAF",PR!$AU1055,IF(F1057="OCULUS",PR!$AV1055,IF(F1057="PACIFIC",PR!$AW1055,IF(F1057="PHAMATEX",PR!$AX1055,IF(F1057="PETHICS",PR!$AY1055,IF(F1057="PHILIPS",PR!$AZ1055,IF(F1057="RANBAXY",PR!$BA1055,IF(F1057="REALS",PR!$BB1055,IF(F1057="ROYAL",PR!$BC1055,IF(F1057="SAM",PR!$BD1055,IF(F1057="SEAGREEN",PR!$BE1055,IF(F1057="SKG",PR!$BF1055,IF(F1057="TAH",PR!$BG1055,IF(F1057="TAYLEK",PR!$BH1055,IF(F1057="TEMITA",PR!$BI1055,IF(F1057="THL",PR!$BJ1055,IF(F1057="UBASTIC",PR!$BK1055,IF(F1057="UNION",PR!$BL1055,IF(F1057="UNIQUE",PR!$BM1055,IF(F1057="VIXA",PR!$BN1055,IF(F1057="WWCV",PR!$BO1055,IF(F1057="ZOLON",PR!$BP1055,"-"))))))))))))))))))))))))))))))))))))))))))))))))))))))))))))))))</f>
        <v>15960</v>
      </c>
      <c r="F1057" s="102" t="str">
        <f>EV!L1337</f>
        <v>DYNAMIC</v>
      </c>
      <c r="G1057" s="108">
        <f>IF(H1057="ALPHA",PR!$E1055,IF(H1057="ASSENE",PR!$F1055,IF(H1057="BIOFEM",PR!$G1055,IF(H1057="BIOMED",PR!$H1055,IF(H1057="CHI",PR!$I1055,IF(H1057="CLARION",PR!$J1055,IF(H1057="CODIX",PR!$K1055,IF(H1057="COSMADE",PR!$L1055,IF(H1057="SANCON",PR!$M1055,IF(H1057="DEVON",PR!$N1055,IF(H1057="DORTEMAG",PR!$O1055,IF(H1057="DGF",PR!$P1055,IF(H1057="DYNAMIC",PR!$Q1055,IF(H1057="EMZOR",PR!$R1055,IF(H1057="EUMATT",PR!$S1055,IF(H1057="FIDSON",PR!$T1055,IF(H1057="FCGLOBAL",PR!$U1055,IF(H1057="GENEITH",PR!$V1055,IF(H1057="GINOS",PR!$W1055,IF(H1057="GSK",PR!$X1055,IF(H1057="GLOBORG",PR!$Y1055,IF(H1057="GOODNEWS",PR!$Z1055,IF(H1057="GREENLIFE",PR!$AA1055,IF(H1057="HLINE",PR!$AB1055,IF(H1057="ROTECH",PR!$AC1055,IF(H1057="ISN",PR!$AD1055,IF(H1057="JAWA",PR!$AE1055,IF(H1057="LAYO",PR!$AF1055,IF(H1057="LEADWAY",PR!$AG1055,IF(H1057="LHV",PR!$AH1055,IF(H1057="MANOLA",PR!$AI1055,IF(H1057="MARCSON",PR!$AJ1055,IF(H1057="M&amp;B",PR!$AK1055,IF(H1057="MTRUST",PR!$AL1055,IF(H1057="MWORLD",PR!$AM1055,IF(H1057="MEGA",PR!$AN1055,IF(H1057="MICRONOVA",PR!$AO1055,IF(H1057="MFLASH",PR!$AP1055,IF(H1057="MORISON",PR!$AQ1055,IF(H1057="NEMEL",PR!$AR1055,IF(H1057="NHP",PR!$AS1055,IF(H1057="NHC",PR!$AT1055,IF(H1057="OLEAF",PR!$AU1055,IF(H1057="OCULUS",PR!$AV1055,IF(H1057="PACIFIC",PR!$AW1055,IF(H1057="PHAMATEX",PR!$AX1055,IF(H1057="PETHICS",PR!$AY1055,IF(H1057="PHILIPS",PR!$AZ1055,IF(H1057="RANBAXY",PR!$BA1055,IF(H1057="REALS",PR!$BB1055,IF(H1057="ROYAL",PR!$BC1055,IF(H1057="SAM",PR!$BD1055,IF(H1057="SEAGREEN",PR!$BE1055,IF(H1057="SKG",PR!$BF1055,IF(H1057="TAH",PR!$BG1055,IF(H1057="TAYLEK",PR!$BH1055,IF(H1057="TEMITA",PR!$BI1055,IF(H1057="THL",PR!$BJ1055,IF(H1057="UBASTIC",PR!$BK1055,IF(H1057="UNION",PR!$BL1055,IF(H1057="UNIQUE",PR!$BM1055,IF(H1057="VIXA",PR!$BN1055,IF(H1057="WWCV",PR!$BO1055,IF(H1057="ZOLON",PR!$BP1055,"-"))))))))))))))))))))))))))))))))))))))))))))))))))))))))))))))))</f>
        <v>85000</v>
      </c>
      <c r="H1057" s="102" t="str">
        <f>EV!M1337</f>
        <v>UBASTIC</v>
      </c>
      <c r="I1057" s="108" t="str">
        <f>IF(J1057="ALPHA",PR!$E1055,IF(J1057="ASSENE",PR!$F1055,IF(J1057="BIOFEM",PR!$G1055,IF(J1057="BIOMED",PR!$H1055,IF(J1057="CHI",PR!$I1055,IF(J1057="CLARION",PR!$J1055,IF(J1057="CODIX",PR!$K1055,IF(J1057="COSMADE",PR!$L1055,IF(J1057="SANCON",PR!$M1055,IF(J1057="DEVON",PR!$N1055,IF(J1057="DORTEMAG",PR!$O1055,IF(J1057="DGF",PR!$P1055,IF(J1057="DYNAMIC",PR!$Q1055,IF(J1057="EMZOR",PR!$R1055,IF(J1057="EUMATT",PR!$S1055,IF(J1057="FIDSON",PR!$T1055,IF(J1057="FCGLOBAL",PR!$U1055,IF(J1057="GENEITH",PR!$V1055,IF(J1057="GINOS",PR!$W1055,IF(J1057="GSK",PR!$X1055,IF(J1057="GLOBORG",PR!$Y1055,IF(J1057="GOODNEWS",PR!$Z1055,IF(J1057="GREENLIFE",PR!$AA1055,IF(J1057="HLINE",PR!$AB1055,IF(J1057="ROTECH",PR!$AC1055,IF(J1057="ISN",PR!$AD1055,IF(J1057="JAWA",PR!$AE1055,IF(J1057="LAYO",PR!$AF1055,IF(J1057="LEADWAY",PR!$AG1055,IF(J1057="LHV",PR!$AH1055,IF(J1057="MANOLA",PR!$AI1055,IF(J1057="MARCSON",PR!$AJ1055,IF(J1057="M&amp;B",PR!$AK1055,IF(J1057="MTRUST",PR!$AL1055,IF(J1057="MWORLD",PR!$AM1055,IF(J1057="MEGA",PR!$AN1055,IF(J1057="MICRONOVA",PR!$AO1055,IF(J1057="MFLASH",PR!$AP1055,IF(J1057="MORISON",PR!$AQ1055,IF(J1057="NEMEL",PR!$AR1055,IF(J1057="NHP",PR!$AS1055,IF(J1057="NHC",PR!$AT1055,IF(J1057="OLEAF",PR!$AU1055,IF(J1057="OCULUS",PR!$AV1055,IF(J1057="PACIFIC",PR!$AW1055,IF(J1057="PHAMATEX",PR!$AX1055,IF(J1057="PETHICS",PR!$AY1055,IF(J1057="PHILIPS",PR!$AZ1055,IF(J1057="RANBAXY",PR!$BA1055,IF(J1057="REALS",PR!$BB1055,IF(J1057="ROYAL",PR!$BC1055,IF(J1057="SAM",PR!$BD1055,IF(J1057="SEAGREEN",PR!$BE1055,IF(J1057="SKG",PR!$BF1055,IF(J1057="TAH",PR!$BG1055,IF(J1057="TAYLEK",PR!$BH1055,IF(J1057="TEMITA",PR!$BI1055,IF(J1057="THL",PR!$BJ1055,IF(J1057="UBASTIC",PR!$BK1055,IF(J1057="UNION",PR!$BL1055,IF(J1057="UNIQUE",PR!$BM1055,IF(J1057="VIXA",PR!$BN1055,IF(J1057="WWCV",PR!$BO1055,IF(J1057="ZOLON",PR!$BP1055,"-"))))))))))))))))))))))))))))))))))))))))))))))))))))))))))))))))</f>
        <v>-</v>
      </c>
      <c r="J1057" s="102">
        <f>EV!N1337</f>
        <v>0</v>
      </c>
      <c r="K1057" s="433" t="s">
        <v>626</v>
      </c>
      <c r="L1057" s="183">
        <f>IF(K1057&gt;0,IF(K1057="ALPHA",PR!$E1055,IF(K1057="ASSENE",PR!$F1055,IF(K1057="BIOFEM",PR!$G1055,IF(K1057="BIOMED",PR!$H1055,IF(K1057="CHI",PR!$I1055,IF(K1057="CLARION",PR!$J1055,IF(K1057="CODIX",PR!$K1055,IF(K1057="COSMADE",PR!$L1055,IF(K1057="SANCON",PR!$M1055,IF(K1057="DEVON",PR!$N1055,IF(K1057="DORTEMAG",PR!$O1055,IF(K1057="DGF",PR!$P1055,IF(K1057="DYNAMIC",PR!$Q1055,IF(K1057="EMZOR",PR!$R1055,IF(K1057="EUMATT",PR!$S1055,IF(K1057="FIDSON",PR!$T1055,IF(K1057="FCGLOBAL",PR!$U1055,IF(K1057="GENEITH",PR!$V1055,IF(K1057="GINOS",PR!$W1055,IF(K1057="GSK",PR!$X1055,IF(K1057="GLOBORG",PR!$Y1055,IF(K1057="GOODNEWS",PR!$Z1055,IF(K1057="GREENLIFE",PR!$AA1055,IF(K1057="HLINE",PR!$AB1055,IF(K1057="ROTECH",PR!$AC1055,IF(K1057="ISN",PR!$AD1055,IF(K1057="JAWA",PR!$AE1055,IF(K1057="LAYO",PR!$AF1055,IF(K1057="LEADWAY",PR!$AG1055,IF(K1057="LHV",PR!$AH1055,IF(K1057="MANOLA",PR!$AI1055,IF(K1057="MARCSON",PR!$AJ1055,IF(K1057="M&amp;B",PR!$AK1055,IF(K1057="MTRUST",PR!$AL1055,IF(K1057="MWORLD",PR!$AM1055,IF(K1057="MEGA",PR!$AN1055,IF(K1057="MICRONOVA",PR!$AO1055,IF(K1057="MFLASH",PR!$AP1055,IF(K1057="MORISON",PR!$AQ1055,IF(K1057="NEMEL",PR!$AR1055,IF(K1057="NHP",PR!$AS1055,IF(K1057="NHC",PR!$AT1055,IF(K1057="OLEAF",PR!$AU1055,IF(K1057="OCULUS",PR!$AV1055,IF(K1057="PACIFIC",PR!$AW1055,IF(K1057="PHAMATEX",PR!$AX1055,IF(K1057="PETHICS",PR!$AY1055,IF(K1057="PHILIPS",PR!$AZ1055,IF(K1057="RANBAXY",PR!$BA1055,IF(K1057="REALS",PR!$BB1055,IF(K1057="ROYAL",PR!$BC1055,IF(K1057="SAM",PR!$BD1055,IF(K1057="SEAGREEN",PR!$BE1055,IF(K1057="SKG",PR!$BF1055,IF(K1057="TAH",PR!$BG1055,IF(K1057="TAYLEK",PR!$BH1055,IF(K1057="TEMITA",PR!$BI1055,IF(K1057="THL",PR!$BJ1055,IF(K1057="UBASTIC",PR!$BK1055,IF(K1057="UNION",PR!$BL1055,IF(K1057="UNIQUE",PR!$BM1055,IF(K1057="VIXA",PR!$BN1055,IF(K1057="WWCV",PR!$BO1055,IF(K1057="ZOLON",PR!$BP1055,"-")))))))))))))))))))))))))))))))))))))))))))))))))))))))))))))))))</f>
        <v>15960</v>
      </c>
    </row>
    <row r="1058" spans="1:12" ht="18.75" x14ac:dyDescent="0.3">
      <c r="A1058" s="430">
        <f>PR!A1056</f>
        <v>954</v>
      </c>
      <c r="B1058" s="15" t="str">
        <f>PR!B1056</f>
        <v>OXIDASE REAGENT</v>
      </c>
      <c r="C1058" s="113" t="str">
        <f>PR!D1056</f>
        <v>1 bottle of 25g</v>
      </c>
      <c r="D1058" s="113">
        <f>PR!C1056</f>
        <v>20</v>
      </c>
      <c r="E1058" s="108">
        <f>IF(F1058="ALPHA",PR!$E1056,IF(F1058="ASSENE",PR!$F1056,IF(F1058="BIOFEM",PR!$G1056,IF(F1058="BIOMED",PR!$H1056,IF(F1058="CHI",PR!$I1056,IF(F1058="CLARION",PR!$J1056,IF(F1058="CODIX",PR!$K1056,IF(F1058="COSMADE",PR!$L1056,IF(F1058="SANCON",PR!$M1056,IF(F1058="DEVON",PR!$N1056,IF(F1058="DORTEMAG",PR!$O1056,IF(F1058="DGF",PR!$P1056,IF(F1058="DYNAMIC",PR!$Q1056,IF(F1058="EMZOR",PR!$R1056,IF(F1058="EUMATT",PR!$S1056,IF(F1058="FIDSON",PR!$T1056,IF(F1058="FCGLOBAL",PR!$U1056,IF(F1058="GENEITH",PR!$V1056,IF(F1058="GINOS",PR!$W1056,IF(F1058="GSK",PR!$X1056,IF(F1058="GLOBORG",PR!$Y1056,IF(F1058="GOODNEWS",PR!$Z1056,IF(F1058="GREENLIFE",PR!$AA1056,IF(F1058="HLINE",PR!$AB1056,IF(F1058="ROTECH",PR!$AC1056,IF(F1058="ISN",PR!$AD1056,IF(F1058="JAWA",PR!$AE1056,IF(F1058="LAYO",PR!$AF1056,IF(F1058="LEADWAY",PR!$AG1056,IF(F1058="LHV",PR!$AH1056,IF(F1058="MANOLA",PR!$AI1056,IF(F1058="MARCSON",PR!$AJ1056,IF(F1058="M&amp;B",PR!$AK1056,IF(F1058="MTRUST",PR!$AL1056,IF(F1058="MWORLD",PR!$AM1056,IF(F1058="MEGA",PR!$AN1056,IF(F1058="MICRONOVA",PR!$AO1056,IF(F1058="MFLASH",PR!$AP1056,IF(F1058="MORISON",PR!$AQ1056,IF(F1058="NEMEL",PR!$AR1056,IF(F1058="NHP",PR!$AS1056,IF(F1058="NHC",PR!$AT1056,IF(F1058="OLEAF",PR!$AU1056,IF(F1058="OCULUS",PR!$AV1056,IF(F1058="PACIFIC",PR!$AW1056,IF(F1058="PHAMATEX",PR!$AX1056,IF(F1058="PETHICS",PR!$AY1056,IF(F1058="PHILIPS",PR!$AZ1056,IF(F1058="RANBAXY",PR!$BA1056,IF(F1058="REALS",PR!$BB1056,IF(F1058="ROYAL",PR!$BC1056,IF(F1058="SAM",PR!$BD1056,IF(F1058="SEAGREEN",PR!$BE1056,IF(F1058="SKG",PR!$BF1056,IF(F1058="TAH",PR!$BG1056,IF(F1058="TAYLEK",PR!$BH1056,IF(F1058="TEMITA",PR!$BI1056,IF(F1058="THL",PR!$BJ1056,IF(F1058="UBASTIC",PR!$BK1056,IF(F1058="UNION",PR!$BL1056,IF(F1058="UNIQUE",PR!$BM1056,IF(F1058="VIXA",PR!$BN1056,IF(F1058="WWCV",PR!$BO1056,IF(F1058="ZOLON",PR!$BP1056,"-"))))))))))))))))))))))))))))))))))))))))))))))))))))))))))))))))</f>
        <v>6650</v>
      </c>
      <c r="F1058" s="102" t="str">
        <f>EV!L1338</f>
        <v>DYNAMIC</v>
      </c>
      <c r="G1058" s="108">
        <f>IF(H1058="ALPHA",PR!$E1056,IF(H1058="ASSENE",PR!$F1056,IF(H1058="BIOFEM",PR!$G1056,IF(H1058="BIOMED",PR!$H1056,IF(H1058="CHI",PR!$I1056,IF(H1058="CLARION",PR!$J1056,IF(H1058="CODIX",PR!$K1056,IF(H1058="COSMADE",PR!$L1056,IF(H1058="SANCON",PR!$M1056,IF(H1058="DEVON",PR!$N1056,IF(H1058="DORTEMAG",PR!$O1056,IF(H1058="DGF",PR!$P1056,IF(H1058="DYNAMIC",PR!$Q1056,IF(H1058="EMZOR",PR!$R1056,IF(H1058="EUMATT",PR!$S1056,IF(H1058="FIDSON",PR!$T1056,IF(H1058="FCGLOBAL",PR!$U1056,IF(H1058="GENEITH",PR!$V1056,IF(H1058="GINOS",PR!$W1056,IF(H1058="GSK",PR!$X1056,IF(H1058="GLOBORG",PR!$Y1056,IF(H1058="GOODNEWS",PR!$Z1056,IF(H1058="GREENLIFE",PR!$AA1056,IF(H1058="HLINE",PR!$AB1056,IF(H1058="ROTECH",PR!$AC1056,IF(H1058="ISN",PR!$AD1056,IF(H1058="JAWA",PR!$AE1056,IF(H1058="LAYO",PR!$AF1056,IF(H1058="LEADWAY",PR!$AG1056,IF(H1058="LHV",PR!$AH1056,IF(H1058="MANOLA",PR!$AI1056,IF(H1058="MARCSON",PR!$AJ1056,IF(H1058="M&amp;B",PR!$AK1056,IF(H1058="MTRUST",PR!$AL1056,IF(H1058="MWORLD",PR!$AM1056,IF(H1058="MEGA",PR!$AN1056,IF(H1058="MICRONOVA",PR!$AO1056,IF(H1058="MFLASH",PR!$AP1056,IF(H1058="MORISON",PR!$AQ1056,IF(H1058="NEMEL",PR!$AR1056,IF(H1058="NHP",PR!$AS1056,IF(H1058="NHC",PR!$AT1056,IF(H1058="OLEAF",PR!$AU1056,IF(H1058="OCULUS",PR!$AV1056,IF(H1058="PACIFIC",PR!$AW1056,IF(H1058="PHAMATEX",PR!$AX1056,IF(H1058="PETHICS",PR!$AY1056,IF(H1058="PHILIPS",PR!$AZ1056,IF(H1058="RANBAXY",PR!$BA1056,IF(H1058="REALS",PR!$BB1056,IF(H1058="ROYAL",PR!$BC1056,IF(H1058="SAM",PR!$BD1056,IF(H1058="SEAGREEN",PR!$BE1056,IF(H1058="SKG",PR!$BF1056,IF(H1058="TAH",PR!$BG1056,IF(H1058="TAYLEK",PR!$BH1056,IF(H1058="TEMITA",PR!$BI1056,IF(H1058="THL",PR!$BJ1056,IF(H1058="UBASTIC",PR!$BK1056,IF(H1058="UNION",PR!$BL1056,IF(H1058="UNIQUE",PR!$BM1056,IF(H1058="VIXA",PR!$BN1056,IF(H1058="WWCV",PR!$BO1056,IF(H1058="ZOLON",PR!$BP1056,"-"))))))))))))))))))))))))))))))))))))))))))))))))))))))))))))))))</f>
        <v>25000</v>
      </c>
      <c r="H1058" s="102" t="str">
        <f>EV!M1338</f>
        <v>UBASTIC</v>
      </c>
      <c r="I1058" s="108">
        <f>IF(J1058="ALPHA",PR!$E1056,IF(J1058="ASSENE",PR!$F1056,IF(J1058="BIOFEM",PR!$G1056,IF(J1058="BIOMED",PR!$H1056,IF(J1058="CHI",PR!$I1056,IF(J1058="CLARION",PR!$J1056,IF(J1058="CODIX",PR!$K1056,IF(J1058="COSMADE",PR!$L1056,IF(J1058="SANCON",PR!$M1056,IF(J1058="DEVON",PR!$N1056,IF(J1058="DORTEMAG",PR!$O1056,IF(J1058="DGF",PR!$P1056,IF(J1058="DYNAMIC",PR!$Q1056,IF(J1058="EMZOR",PR!$R1056,IF(J1058="EUMATT",PR!$S1056,IF(J1058="FIDSON",PR!$T1056,IF(J1058="FCGLOBAL",PR!$U1056,IF(J1058="GENEITH",PR!$V1056,IF(J1058="GINOS",PR!$W1056,IF(J1058="GSK",PR!$X1056,IF(J1058="GLOBORG",PR!$Y1056,IF(J1058="GOODNEWS",PR!$Z1056,IF(J1058="GREENLIFE",PR!$AA1056,IF(J1058="HLINE",PR!$AB1056,IF(J1058="ROTECH",PR!$AC1056,IF(J1058="ISN",PR!$AD1056,IF(J1058="JAWA",PR!$AE1056,IF(J1058="LAYO",PR!$AF1056,IF(J1058="LEADWAY",PR!$AG1056,IF(J1058="LHV",PR!$AH1056,IF(J1058="MANOLA",PR!$AI1056,IF(J1058="MARCSON",PR!$AJ1056,IF(J1058="M&amp;B",PR!$AK1056,IF(J1058="MTRUST",PR!$AL1056,IF(J1058="MWORLD",PR!$AM1056,IF(J1058="MEGA",PR!$AN1056,IF(J1058="MICRONOVA",PR!$AO1056,IF(J1058="MFLASH",PR!$AP1056,IF(J1058="MORISON",PR!$AQ1056,IF(J1058="NEMEL",PR!$AR1056,IF(J1058="NHP",PR!$AS1056,IF(J1058="NHC",PR!$AT1056,IF(J1058="OLEAF",PR!$AU1056,IF(J1058="OCULUS",PR!$AV1056,IF(J1058="PACIFIC",PR!$AW1056,IF(J1058="PHAMATEX",PR!$AX1056,IF(J1058="PETHICS",PR!$AY1056,IF(J1058="PHILIPS",PR!$AZ1056,IF(J1058="RANBAXY",PR!$BA1056,IF(J1058="REALS",PR!$BB1056,IF(J1058="ROYAL",PR!$BC1056,IF(J1058="SAM",PR!$BD1056,IF(J1058="SEAGREEN",PR!$BE1056,IF(J1058="SKG",PR!$BF1056,IF(J1058="TAH",PR!$BG1056,IF(J1058="TAYLEK",PR!$BH1056,IF(J1058="TEMITA",PR!$BI1056,IF(J1058="THL",PR!$BJ1056,IF(J1058="UBASTIC",PR!$BK1056,IF(J1058="UNION",PR!$BL1056,IF(J1058="UNIQUE",PR!$BM1056,IF(J1058="VIXA",PR!$BN1056,IF(J1058="WWCV",PR!$BO1056,IF(J1058="ZOLON",PR!$BP1056,"-"))))))))))))))))))))))))))))))))))))))))))))))))))))))))))))))))</f>
        <v>120000</v>
      </c>
      <c r="J1058" s="102" t="str">
        <f>EV!N1338</f>
        <v>SANCON</v>
      </c>
      <c r="K1058" s="433" t="s">
        <v>626</v>
      </c>
      <c r="L1058" s="183">
        <f>IF(K1058&gt;0,IF(K1058="ALPHA",PR!$E1056,IF(K1058="ASSENE",PR!$F1056,IF(K1058="BIOFEM",PR!$G1056,IF(K1058="BIOMED",PR!$H1056,IF(K1058="CHI",PR!$I1056,IF(K1058="CLARION",PR!$J1056,IF(K1058="CODIX",PR!$K1056,IF(K1058="COSMADE",PR!$L1056,IF(K1058="SANCON",PR!$M1056,IF(K1058="DEVON",PR!$N1056,IF(K1058="DORTEMAG",PR!$O1056,IF(K1058="DGF",PR!$P1056,IF(K1058="DYNAMIC",PR!$Q1056,IF(K1058="EMZOR",PR!$R1056,IF(K1058="EUMATT",PR!$S1056,IF(K1058="FIDSON",PR!$T1056,IF(K1058="FCGLOBAL",PR!$U1056,IF(K1058="GENEITH",PR!$V1056,IF(K1058="GINOS",PR!$W1056,IF(K1058="GSK",PR!$X1056,IF(K1058="GLOBORG",PR!$Y1056,IF(K1058="GOODNEWS",PR!$Z1056,IF(K1058="GREENLIFE",PR!$AA1056,IF(K1058="HLINE",PR!$AB1056,IF(K1058="ROTECH",PR!$AC1056,IF(K1058="ISN",PR!$AD1056,IF(K1058="JAWA",PR!$AE1056,IF(K1058="LAYO",PR!$AF1056,IF(K1058="LEADWAY",PR!$AG1056,IF(K1058="LHV",PR!$AH1056,IF(K1058="MANOLA",PR!$AI1056,IF(K1058="MARCSON",PR!$AJ1056,IF(K1058="M&amp;B",PR!$AK1056,IF(K1058="MTRUST",PR!$AL1056,IF(K1058="MWORLD",PR!$AM1056,IF(K1058="MEGA",PR!$AN1056,IF(K1058="MICRONOVA",PR!$AO1056,IF(K1058="MFLASH",PR!$AP1056,IF(K1058="MORISON",PR!$AQ1056,IF(K1058="NEMEL",PR!$AR1056,IF(K1058="NHP",PR!$AS1056,IF(K1058="NHC",PR!$AT1056,IF(K1058="OLEAF",PR!$AU1056,IF(K1058="OCULUS",PR!$AV1056,IF(K1058="PACIFIC",PR!$AW1056,IF(K1058="PHAMATEX",PR!$AX1056,IF(K1058="PETHICS",PR!$AY1056,IF(K1058="PHILIPS",PR!$AZ1056,IF(K1058="RANBAXY",PR!$BA1056,IF(K1058="REALS",PR!$BB1056,IF(K1058="ROYAL",PR!$BC1056,IF(K1058="SAM",PR!$BD1056,IF(K1058="SEAGREEN",PR!$BE1056,IF(K1058="SKG",PR!$BF1056,IF(K1058="TAH",PR!$BG1056,IF(K1058="TAYLEK",PR!$BH1056,IF(K1058="TEMITA",PR!$BI1056,IF(K1058="THL",PR!$BJ1056,IF(K1058="UBASTIC",PR!$BK1056,IF(K1058="UNION",PR!$BL1056,IF(K1058="UNIQUE",PR!$BM1056,IF(K1058="VIXA",PR!$BN1056,IF(K1058="WWCV",PR!$BO1056,IF(K1058="ZOLON",PR!$BP1056,"-")))))))))))))))))))))))))))))))))))))))))))))))))))))))))))))))))</f>
        <v>6650</v>
      </c>
    </row>
    <row r="1059" spans="1:12" ht="18.75" x14ac:dyDescent="0.3">
      <c r="A1059" s="430">
        <f>PR!A1057</f>
        <v>955</v>
      </c>
      <c r="B1059" s="15" t="str">
        <f>PR!B1057</f>
        <v>LENS TISSUE</v>
      </c>
      <c r="C1059" s="113" t="str">
        <f>PR!D1057</f>
        <v>1 box (10 x 50) pieces</v>
      </c>
      <c r="D1059" s="113">
        <f>PR!C1057</f>
        <v>100</v>
      </c>
      <c r="E1059" s="108">
        <f>IF(F1059="ALPHA",PR!$E1057,IF(F1059="ASSENE",PR!$F1057,IF(F1059="BIOFEM",PR!$G1057,IF(F1059="BIOMED",PR!$H1057,IF(F1059="CHI",PR!$I1057,IF(F1059="CLARION",PR!$J1057,IF(F1059="CODIX",PR!$K1057,IF(F1059="COSMADE",PR!$L1057,IF(F1059="SANCON",PR!$M1057,IF(F1059="DEVON",PR!$N1057,IF(F1059="DORTEMAG",PR!$O1057,IF(F1059="DGF",PR!$P1057,IF(F1059="DYNAMIC",PR!$Q1057,IF(F1059="EMZOR",PR!$R1057,IF(F1059="EUMATT",PR!$S1057,IF(F1059="FIDSON",PR!$T1057,IF(F1059="FCGLOBAL",PR!$U1057,IF(F1059="GENEITH",PR!$V1057,IF(F1059="GINOS",PR!$W1057,IF(F1059="GSK",PR!$X1057,IF(F1059="GLOBORG",PR!$Y1057,IF(F1059="GOODNEWS",PR!$Z1057,IF(F1059="GREENLIFE",PR!$AA1057,IF(F1059="HLINE",PR!$AB1057,IF(F1059="ROTECH",PR!$AC1057,IF(F1059="ISN",PR!$AD1057,IF(F1059="JAWA",PR!$AE1057,IF(F1059="LAYO",PR!$AF1057,IF(F1059="LEADWAY",PR!$AG1057,IF(F1059="LHV",PR!$AH1057,IF(F1059="MANOLA",PR!$AI1057,IF(F1059="MARCSON",PR!$AJ1057,IF(F1059="M&amp;B",PR!$AK1057,IF(F1059="MTRUST",PR!$AL1057,IF(F1059="MWORLD",PR!$AM1057,IF(F1059="MEGA",PR!$AN1057,IF(F1059="MICRONOVA",PR!$AO1057,IF(F1059="MFLASH",PR!$AP1057,IF(F1059="MORISON",PR!$AQ1057,IF(F1059="NEMEL",PR!$AR1057,IF(F1059="NHP",PR!$AS1057,IF(F1059="NHC",PR!$AT1057,IF(F1059="OLEAF",PR!$AU1057,IF(F1059="OCULUS",PR!$AV1057,IF(F1059="PACIFIC",PR!$AW1057,IF(F1059="PHAMATEX",PR!$AX1057,IF(F1059="PETHICS",PR!$AY1057,IF(F1059="PHILIPS",PR!$AZ1057,IF(F1059="RANBAXY",PR!$BA1057,IF(F1059="REALS",PR!$BB1057,IF(F1059="ROYAL",PR!$BC1057,IF(F1059="SAM",PR!$BD1057,IF(F1059="SEAGREEN",PR!$BE1057,IF(F1059="SKG",PR!$BF1057,IF(F1059="TAH",PR!$BG1057,IF(F1059="TAYLEK",PR!$BH1057,IF(F1059="TEMITA",PR!$BI1057,IF(F1059="THL",PR!$BJ1057,IF(F1059="UBASTIC",PR!$BK1057,IF(F1059="UNION",PR!$BL1057,IF(F1059="UNIQUE",PR!$BM1057,IF(F1059="VIXA",PR!$BN1057,IF(F1059="WWCV",PR!$BO1057,IF(F1059="ZOLON",PR!$BP1057,"-"))))))))))))))))))))))))))))))))))))))))))))))))))))))))))))))))</f>
        <v>798</v>
      </c>
      <c r="F1059" s="102" t="str">
        <f>EV!L1339</f>
        <v>DYNAMIC</v>
      </c>
      <c r="G1059" s="108">
        <f>IF(H1059="ALPHA",PR!$E1057,IF(H1059="ASSENE",PR!$F1057,IF(H1059="BIOFEM",PR!$G1057,IF(H1059="BIOMED",PR!$H1057,IF(H1059="CHI",PR!$I1057,IF(H1059="CLARION",PR!$J1057,IF(H1059="CODIX",PR!$K1057,IF(H1059="COSMADE",PR!$L1057,IF(H1059="SANCON",PR!$M1057,IF(H1059="DEVON",PR!$N1057,IF(H1059="DORTEMAG",PR!$O1057,IF(H1059="DGF",PR!$P1057,IF(H1059="DYNAMIC",PR!$Q1057,IF(H1059="EMZOR",PR!$R1057,IF(H1059="EUMATT",PR!$S1057,IF(H1059="FIDSON",PR!$T1057,IF(H1059="FCGLOBAL",PR!$U1057,IF(H1059="GENEITH",PR!$V1057,IF(H1059="GINOS",PR!$W1057,IF(H1059="GSK",PR!$X1057,IF(H1059="GLOBORG",PR!$Y1057,IF(H1059="GOODNEWS",PR!$Z1057,IF(H1059="GREENLIFE",PR!$AA1057,IF(H1059="HLINE",PR!$AB1057,IF(H1059="ROTECH",PR!$AC1057,IF(H1059="ISN",PR!$AD1057,IF(H1059="JAWA",PR!$AE1057,IF(H1059="LAYO",PR!$AF1057,IF(H1059="LEADWAY",PR!$AG1057,IF(H1059="LHV",PR!$AH1057,IF(H1059="MANOLA",PR!$AI1057,IF(H1059="MARCSON",PR!$AJ1057,IF(H1059="M&amp;B",PR!$AK1057,IF(H1059="MTRUST",PR!$AL1057,IF(H1059="MWORLD",PR!$AM1057,IF(H1059="MEGA",PR!$AN1057,IF(H1059="MICRONOVA",PR!$AO1057,IF(H1059="MFLASH",PR!$AP1057,IF(H1059="MORISON",PR!$AQ1057,IF(H1059="NEMEL",PR!$AR1057,IF(H1059="NHP",PR!$AS1057,IF(H1059="NHC",PR!$AT1057,IF(H1059="OLEAF",PR!$AU1057,IF(H1059="OCULUS",PR!$AV1057,IF(H1059="PACIFIC",PR!$AW1057,IF(H1059="PHAMATEX",PR!$AX1057,IF(H1059="PETHICS",PR!$AY1057,IF(H1059="PHILIPS",PR!$AZ1057,IF(H1059="RANBAXY",PR!$BA1057,IF(H1059="REALS",PR!$BB1057,IF(H1059="ROYAL",PR!$BC1057,IF(H1059="SAM",PR!$BD1057,IF(H1059="SEAGREEN",PR!$BE1057,IF(H1059="SKG",PR!$BF1057,IF(H1059="TAH",PR!$BG1057,IF(H1059="TAYLEK",PR!$BH1057,IF(H1059="TEMITA",PR!$BI1057,IF(H1059="THL",PR!$BJ1057,IF(H1059="UBASTIC",PR!$BK1057,IF(H1059="UNION",PR!$BL1057,IF(H1059="UNIQUE",PR!$BM1057,IF(H1059="VIXA",PR!$BN1057,IF(H1059="WWCV",PR!$BO1057,IF(H1059="ZOLON",PR!$BP1057,"-"))))))))))))))))))))))))))))))))))))))))))))))))))))))))))))))))</f>
        <v>960</v>
      </c>
      <c r="H1059" s="102" t="str">
        <f>EV!M1339</f>
        <v>ROTECH</v>
      </c>
      <c r="I1059" s="108">
        <f>IF(J1059="ALPHA",PR!$E1057,IF(J1059="ASSENE",PR!$F1057,IF(J1059="BIOFEM",PR!$G1057,IF(J1059="BIOMED",PR!$H1057,IF(J1059="CHI",PR!$I1057,IF(J1059="CLARION",PR!$J1057,IF(J1059="CODIX",PR!$K1057,IF(J1059="COSMADE",PR!$L1057,IF(J1059="SANCON",PR!$M1057,IF(J1059="DEVON",PR!$N1057,IF(J1059="DORTEMAG",PR!$O1057,IF(J1059="DGF",PR!$P1057,IF(J1059="DYNAMIC",PR!$Q1057,IF(J1059="EMZOR",PR!$R1057,IF(J1059="EUMATT",PR!$S1057,IF(J1059="FIDSON",PR!$T1057,IF(J1059="FCGLOBAL",PR!$U1057,IF(J1059="GENEITH",PR!$V1057,IF(J1059="GINOS",PR!$W1057,IF(J1059="GSK",PR!$X1057,IF(J1059="GLOBORG",PR!$Y1057,IF(J1059="GOODNEWS",PR!$Z1057,IF(J1059="GREENLIFE",PR!$AA1057,IF(J1059="HLINE",PR!$AB1057,IF(J1059="ROTECH",PR!$AC1057,IF(J1059="ISN",PR!$AD1057,IF(J1059="JAWA",PR!$AE1057,IF(J1059="LAYO",PR!$AF1057,IF(J1059="LEADWAY",PR!$AG1057,IF(J1059="LHV",PR!$AH1057,IF(J1059="MANOLA",PR!$AI1057,IF(J1059="MARCSON",PR!$AJ1057,IF(J1059="M&amp;B",PR!$AK1057,IF(J1059="MTRUST",PR!$AL1057,IF(J1059="MWORLD",PR!$AM1057,IF(J1059="MEGA",PR!$AN1057,IF(J1059="MICRONOVA",PR!$AO1057,IF(J1059="MFLASH",PR!$AP1057,IF(J1059="MORISON",PR!$AQ1057,IF(J1059="NEMEL",PR!$AR1057,IF(J1059="NHP",PR!$AS1057,IF(J1059="NHC",PR!$AT1057,IF(J1059="OLEAF",PR!$AU1057,IF(J1059="OCULUS",PR!$AV1057,IF(J1059="PACIFIC",PR!$AW1057,IF(J1059="PHAMATEX",PR!$AX1057,IF(J1059="PETHICS",PR!$AY1057,IF(J1059="PHILIPS",PR!$AZ1057,IF(J1059="RANBAXY",PR!$BA1057,IF(J1059="REALS",PR!$BB1057,IF(J1059="ROYAL",PR!$BC1057,IF(J1059="SAM",PR!$BD1057,IF(J1059="SEAGREEN",PR!$BE1057,IF(J1059="SKG",PR!$BF1057,IF(J1059="TAH",PR!$BG1057,IF(J1059="TAYLEK",PR!$BH1057,IF(J1059="TEMITA",PR!$BI1057,IF(J1059="THL",PR!$BJ1057,IF(J1059="UBASTIC",PR!$BK1057,IF(J1059="UNION",PR!$BL1057,IF(J1059="UNIQUE",PR!$BM1057,IF(J1059="VIXA",PR!$BN1057,IF(J1059="WWCV",PR!$BO1057,IF(J1059="ZOLON",PR!$BP1057,"-"))))))))))))))))))))))))))))))))))))))))))))))))))))))))))))))))</f>
        <v>1170</v>
      </c>
      <c r="J1059" s="102" t="str">
        <f>EV!N1339</f>
        <v>LAYO</v>
      </c>
      <c r="K1059" s="433" t="s">
        <v>626</v>
      </c>
      <c r="L1059" s="183">
        <f>IF(K1059&gt;0,IF(K1059="ALPHA",PR!$E1057,IF(K1059="ASSENE",PR!$F1057,IF(K1059="BIOFEM",PR!$G1057,IF(K1059="BIOMED",PR!$H1057,IF(K1059="CHI",PR!$I1057,IF(K1059="CLARION",PR!$J1057,IF(K1059="CODIX",PR!$K1057,IF(K1059="COSMADE",PR!$L1057,IF(K1059="SANCON",PR!$M1057,IF(K1059="DEVON",PR!$N1057,IF(K1059="DORTEMAG",PR!$O1057,IF(K1059="DGF",PR!$P1057,IF(K1059="DYNAMIC",PR!$Q1057,IF(K1059="EMZOR",PR!$R1057,IF(K1059="EUMATT",PR!$S1057,IF(K1059="FIDSON",PR!$T1057,IF(K1059="FCGLOBAL",PR!$U1057,IF(K1059="GENEITH",PR!$V1057,IF(K1059="GINOS",PR!$W1057,IF(K1059="GSK",PR!$X1057,IF(K1059="GLOBORG",PR!$Y1057,IF(K1059="GOODNEWS",PR!$Z1057,IF(K1059="GREENLIFE",PR!$AA1057,IF(K1059="HLINE",PR!$AB1057,IF(K1059="ROTECH",PR!$AC1057,IF(K1059="ISN",PR!$AD1057,IF(K1059="JAWA",PR!$AE1057,IF(K1059="LAYO",PR!$AF1057,IF(K1059="LEADWAY",PR!$AG1057,IF(K1059="LHV",PR!$AH1057,IF(K1059="MANOLA",PR!$AI1057,IF(K1059="MARCSON",PR!$AJ1057,IF(K1059="M&amp;B",PR!$AK1057,IF(K1059="MTRUST",PR!$AL1057,IF(K1059="MWORLD",PR!$AM1057,IF(K1059="MEGA",PR!$AN1057,IF(K1059="MICRONOVA",PR!$AO1057,IF(K1059="MFLASH",PR!$AP1057,IF(K1059="MORISON",PR!$AQ1057,IF(K1059="NEMEL",PR!$AR1057,IF(K1059="NHP",PR!$AS1057,IF(K1059="NHC",PR!$AT1057,IF(K1059="OLEAF",PR!$AU1057,IF(K1059="OCULUS",PR!$AV1057,IF(K1059="PACIFIC",PR!$AW1057,IF(K1059="PHAMATEX",PR!$AX1057,IF(K1059="PETHICS",PR!$AY1057,IF(K1059="PHILIPS",PR!$AZ1057,IF(K1059="RANBAXY",PR!$BA1057,IF(K1059="REALS",PR!$BB1057,IF(K1059="ROYAL",PR!$BC1057,IF(K1059="SAM",PR!$BD1057,IF(K1059="SEAGREEN",PR!$BE1057,IF(K1059="SKG",PR!$BF1057,IF(K1059="TAH",PR!$BG1057,IF(K1059="TAYLEK",PR!$BH1057,IF(K1059="TEMITA",PR!$BI1057,IF(K1059="THL",PR!$BJ1057,IF(K1059="UBASTIC",PR!$BK1057,IF(K1059="UNION",PR!$BL1057,IF(K1059="UNIQUE",PR!$BM1057,IF(K1059="VIXA",PR!$BN1057,IF(K1059="WWCV",PR!$BO1057,IF(K1059="ZOLON",PR!$BP1057,"-")))))))))))))))))))))))))))))))))))))))))))))))))))))))))))))))))</f>
        <v>798</v>
      </c>
    </row>
    <row r="1060" spans="1:12" ht="18.75" x14ac:dyDescent="0.3">
      <c r="A1060" s="430">
        <f>PR!A1058</f>
        <v>956</v>
      </c>
      <c r="B1060" s="15" t="str">
        <f>PR!B1058</f>
        <v>HEPATITIS PROFILE SCREENING KITS</v>
      </c>
      <c r="C1060" s="113" t="str">
        <f>PR!D1058</f>
        <v>1 pack (25 pcs)</v>
      </c>
      <c r="D1060" s="113">
        <f>PR!C1058</f>
        <v>20</v>
      </c>
      <c r="E1060" s="108">
        <f>IF(F1060="ALPHA",PR!$E1058,IF(F1060="ASSENE",PR!$F1058,IF(F1060="BIOFEM",PR!$G1058,IF(F1060="BIOMED",PR!$H1058,IF(F1060="CHI",PR!$I1058,IF(F1060="CLARION",PR!$J1058,IF(F1060="CODIX",PR!$K1058,IF(F1060="COSMADE",PR!$L1058,IF(F1060="SANCON",PR!$M1058,IF(F1060="DEVON",PR!$N1058,IF(F1060="DORTEMAG",PR!$O1058,IF(F1060="DGF",PR!$P1058,IF(F1060="DYNAMIC",PR!$Q1058,IF(F1060="EMZOR",PR!$R1058,IF(F1060="EUMATT",PR!$S1058,IF(F1060="FIDSON",PR!$T1058,IF(F1060="FCGLOBAL",PR!$U1058,IF(F1060="GENEITH",PR!$V1058,IF(F1060="GINOS",PR!$W1058,IF(F1060="GSK",PR!$X1058,IF(F1060="GLOBORG",PR!$Y1058,IF(F1060="GOODNEWS",PR!$Z1058,IF(F1060="GREENLIFE",PR!$AA1058,IF(F1060="HLINE",PR!$AB1058,IF(F1060="ROTECH",PR!$AC1058,IF(F1060="ISN",PR!$AD1058,IF(F1060="JAWA",PR!$AE1058,IF(F1060="LAYO",PR!$AF1058,IF(F1060="LEADWAY",PR!$AG1058,IF(F1060="LHV",PR!$AH1058,IF(F1060="MANOLA",PR!$AI1058,IF(F1060="MARCSON",PR!$AJ1058,IF(F1060="M&amp;B",PR!$AK1058,IF(F1060="MTRUST",PR!$AL1058,IF(F1060="MWORLD",PR!$AM1058,IF(F1060="MEGA",PR!$AN1058,IF(F1060="MICRONOVA",PR!$AO1058,IF(F1060="MFLASH",PR!$AP1058,IF(F1060="MORISON",PR!$AQ1058,IF(F1060="NEMEL",PR!$AR1058,IF(F1060="NHP",PR!$AS1058,IF(F1060="NHC",PR!$AT1058,IF(F1060="OLEAF",PR!$AU1058,IF(F1060="OCULUS",PR!$AV1058,IF(F1060="PACIFIC",PR!$AW1058,IF(F1060="PHAMATEX",PR!$AX1058,IF(F1060="PETHICS",PR!$AY1058,IF(F1060="PHILIPS",PR!$AZ1058,IF(F1060="RANBAXY",PR!$BA1058,IF(F1060="REALS",PR!$BB1058,IF(F1060="ROYAL",PR!$BC1058,IF(F1060="SAM",PR!$BD1058,IF(F1060="SEAGREEN",PR!$BE1058,IF(F1060="SKG",PR!$BF1058,IF(F1060="TAH",PR!$BG1058,IF(F1060="TAYLEK",PR!$BH1058,IF(F1060="TEMITA",PR!$BI1058,IF(F1060="THL",PR!$BJ1058,IF(F1060="UBASTIC",PR!$BK1058,IF(F1060="UNION",PR!$BL1058,IF(F1060="UNIQUE",PR!$BM1058,IF(F1060="VIXA",PR!$BN1058,IF(F1060="WWCV",PR!$BO1058,IF(F1060="ZOLON",PR!$BP1058,"-"))))))))))))))))))))))))))))))))))))))))))))))))))))))))))))))))</f>
        <v>11305</v>
      </c>
      <c r="F1060" s="102" t="str">
        <f>EV!L1340</f>
        <v>DYNAMIC</v>
      </c>
      <c r="G1060" s="108">
        <f>IF(H1060="ALPHA",PR!$E1058,IF(H1060="ASSENE",PR!$F1058,IF(H1060="BIOFEM",PR!$G1058,IF(H1060="BIOMED",PR!$H1058,IF(H1060="CHI",PR!$I1058,IF(H1060="CLARION",PR!$J1058,IF(H1060="CODIX",PR!$K1058,IF(H1060="COSMADE",PR!$L1058,IF(H1060="SANCON",PR!$M1058,IF(H1060="DEVON",PR!$N1058,IF(H1060="DORTEMAG",PR!$O1058,IF(H1060="DGF",PR!$P1058,IF(H1060="DYNAMIC",PR!$Q1058,IF(H1060="EMZOR",PR!$R1058,IF(H1060="EUMATT",PR!$S1058,IF(H1060="FIDSON",PR!$T1058,IF(H1060="FCGLOBAL",PR!$U1058,IF(H1060="GENEITH",PR!$V1058,IF(H1060="GINOS",PR!$W1058,IF(H1060="GSK",PR!$X1058,IF(H1060="GLOBORG",PR!$Y1058,IF(H1060="GOODNEWS",PR!$Z1058,IF(H1060="GREENLIFE",PR!$AA1058,IF(H1060="HLINE",PR!$AB1058,IF(H1060="ROTECH",PR!$AC1058,IF(H1060="ISN",PR!$AD1058,IF(H1060="JAWA",PR!$AE1058,IF(H1060="LAYO",PR!$AF1058,IF(H1060="LEADWAY",PR!$AG1058,IF(H1060="LHV",PR!$AH1058,IF(H1060="MANOLA",PR!$AI1058,IF(H1060="MARCSON",PR!$AJ1058,IF(H1060="M&amp;B",PR!$AK1058,IF(H1060="MTRUST",PR!$AL1058,IF(H1060="MWORLD",PR!$AM1058,IF(H1060="MEGA",PR!$AN1058,IF(H1060="MICRONOVA",PR!$AO1058,IF(H1060="MFLASH",PR!$AP1058,IF(H1060="MORISON",PR!$AQ1058,IF(H1060="NEMEL",PR!$AR1058,IF(H1060="NHP",PR!$AS1058,IF(H1060="NHC",PR!$AT1058,IF(H1060="OLEAF",PR!$AU1058,IF(H1060="OCULUS",PR!$AV1058,IF(H1060="PACIFIC",PR!$AW1058,IF(H1060="PHAMATEX",PR!$AX1058,IF(H1060="PETHICS",PR!$AY1058,IF(H1060="PHILIPS",PR!$AZ1058,IF(H1060="RANBAXY",PR!$BA1058,IF(H1060="REALS",PR!$BB1058,IF(H1060="ROYAL",PR!$BC1058,IF(H1060="SAM",PR!$BD1058,IF(H1060="SEAGREEN",PR!$BE1058,IF(H1060="SKG",PR!$BF1058,IF(H1060="TAH",PR!$BG1058,IF(H1060="TAYLEK",PR!$BH1058,IF(H1060="TEMITA",PR!$BI1058,IF(H1060="THL",PR!$BJ1058,IF(H1060="UBASTIC",PR!$BK1058,IF(H1060="UNION",PR!$BL1058,IF(H1060="UNIQUE",PR!$BM1058,IF(H1060="VIXA",PR!$BN1058,IF(H1060="WWCV",PR!$BO1058,IF(H1060="ZOLON",PR!$BP1058,"-"))))))))))))))))))))))))))))))))))))))))))))))))))))))))))))))))</f>
        <v>19500</v>
      </c>
      <c r="H1060" s="102" t="str">
        <f>EV!M1340</f>
        <v>LAYO</v>
      </c>
      <c r="I1060" s="108">
        <f>IF(J1060="ALPHA",PR!$E1058,IF(J1060="ASSENE",PR!$F1058,IF(J1060="BIOFEM",PR!$G1058,IF(J1060="BIOMED",PR!$H1058,IF(J1060="CHI",PR!$I1058,IF(J1060="CLARION",PR!$J1058,IF(J1060="CODIX",PR!$K1058,IF(J1060="COSMADE",PR!$L1058,IF(J1060="SANCON",PR!$M1058,IF(J1060="DEVON",PR!$N1058,IF(J1060="DORTEMAG",PR!$O1058,IF(J1060="DGF",PR!$P1058,IF(J1060="DYNAMIC",PR!$Q1058,IF(J1060="EMZOR",PR!$R1058,IF(J1060="EUMATT",PR!$S1058,IF(J1060="FIDSON",PR!$T1058,IF(J1060="FCGLOBAL",PR!$U1058,IF(J1060="GENEITH",PR!$V1058,IF(J1060="GINOS",PR!$W1058,IF(J1060="GSK",PR!$X1058,IF(J1060="GLOBORG",PR!$Y1058,IF(J1060="GOODNEWS",PR!$Z1058,IF(J1060="GREENLIFE",PR!$AA1058,IF(J1060="HLINE",PR!$AB1058,IF(J1060="ROTECH",PR!$AC1058,IF(J1060="ISN",PR!$AD1058,IF(J1060="JAWA",PR!$AE1058,IF(J1060="LAYO",PR!$AF1058,IF(J1060="LEADWAY",PR!$AG1058,IF(J1060="LHV",PR!$AH1058,IF(J1060="MANOLA",PR!$AI1058,IF(J1060="MARCSON",PR!$AJ1058,IF(J1060="M&amp;B",PR!$AK1058,IF(J1060="MTRUST",PR!$AL1058,IF(J1060="MWORLD",PR!$AM1058,IF(J1060="MEGA",PR!$AN1058,IF(J1060="MICRONOVA",PR!$AO1058,IF(J1060="MFLASH",PR!$AP1058,IF(J1060="MORISON",PR!$AQ1058,IF(J1060="NEMEL",PR!$AR1058,IF(J1060="NHP",PR!$AS1058,IF(J1060="NHC",PR!$AT1058,IF(J1060="OLEAF",PR!$AU1058,IF(J1060="OCULUS",PR!$AV1058,IF(J1060="PACIFIC",PR!$AW1058,IF(J1060="PHAMATEX",PR!$AX1058,IF(J1060="PETHICS",PR!$AY1058,IF(J1060="PHILIPS",PR!$AZ1058,IF(J1060="RANBAXY",PR!$BA1058,IF(J1060="REALS",PR!$BB1058,IF(J1060="ROYAL",PR!$BC1058,IF(J1060="SAM",PR!$BD1058,IF(J1060="SEAGREEN",PR!$BE1058,IF(J1060="SKG",PR!$BF1058,IF(J1060="TAH",PR!$BG1058,IF(J1060="TAYLEK",PR!$BH1058,IF(J1060="TEMITA",PR!$BI1058,IF(J1060="THL",PR!$BJ1058,IF(J1060="UBASTIC",PR!$BK1058,IF(J1060="UNION",PR!$BL1058,IF(J1060="UNIQUE",PR!$BM1058,IF(J1060="VIXA",PR!$BN1058,IF(J1060="WWCV",PR!$BO1058,IF(J1060="ZOLON",PR!$BP1058,"-"))))))))))))))))))))))))))))))))))))))))))))))))))))))))))))))))</f>
        <v>35000</v>
      </c>
      <c r="J1060" s="102" t="str">
        <f>EV!N1340</f>
        <v>UBASTIC</v>
      </c>
      <c r="K1060" s="433" t="s">
        <v>626</v>
      </c>
      <c r="L1060" s="183">
        <f>IF(K1060&gt;0,IF(K1060="ALPHA",PR!$E1058,IF(K1060="ASSENE",PR!$F1058,IF(K1060="BIOFEM",PR!$G1058,IF(K1060="BIOMED",PR!$H1058,IF(K1060="CHI",PR!$I1058,IF(K1060="CLARION",PR!$J1058,IF(K1060="CODIX",PR!$K1058,IF(K1060="COSMADE",PR!$L1058,IF(K1060="SANCON",PR!$M1058,IF(K1060="DEVON",PR!$N1058,IF(K1060="DORTEMAG",PR!$O1058,IF(K1060="DGF",PR!$P1058,IF(K1060="DYNAMIC",PR!$Q1058,IF(K1060="EMZOR",PR!$R1058,IF(K1060="EUMATT",PR!$S1058,IF(K1060="FIDSON",PR!$T1058,IF(K1060="FCGLOBAL",PR!$U1058,IF(K1060="GENEITH",PR!$V1058,IF(K1060="GINOS",PR!$W1058,IF(K1060="GSK",PR!$X1058,IF(K1060="GLOBORG",PR!$Y1058,IF(K1060="GOODNEWS",PR!$Z1058,IF(K1060="GREENLIFE",PR!$AA1058,IF(K1060="HLINE",PR!$AB1058,IF(K1060="ROTECH",PR!$AC1058,IF(K1060="ISN",PR!$AD1058,IF(K1060="JAWA",PR!$AE1058,IF(K1060="LAYO",PR!$AF1058,IF(K1060="LEADWAY",PR!$AG1058,IF(K1060="LHV",PR!$AH1058,IF(K1060="MANOLA",PR!$AI1058,IF(K1060="MARCSON",PR!$AJ1058,IF(K1060="M&amp;B",PR!$AK1058,IF(K1060="MTRUST",PR!$AL1058,IF(K1060="MWORLD",PR!$AM1058,IF(K1060="MEGA",PR!$AN1058,IF(K1060="MICRONOVA",PR!$AO1058,IF(K1060="MFLASH",PR!$AP1058,IF(K1060="MORISON",PR!$AQ1058,IF(K1060="NEMEL",PR!$AR1058,IF(K1060="NHP",PR!$AS1058,IF(K1060="NHC",PR!$AT1058,IF(K1060="OLEAF",PR!$AU1058,IF(K1060="OCULUS",PR!$AV1058,IF(K1060="PACIFIC",PR!$AW1058,IF(K1060="PHAMATEX",PR!$AX1058,IF(K1060="PETHICS",PR!$AY1058,IF(K1060="PHILIPS",PR!$AZ1058,IF(K1060="RANBAXY",PR!$BA1058,IF(K1060="REALS",PR!$BB1058,IF(K1060="ROYAL",PR!$BC1058,IF(K1060="SAM",PR!$BD1058,IF(K1060="SEAGREEN",PR!$BE1058,IF(K1060="SKG",PR!$BF1058,IF(K1060="TAH",PR!$BG1058,IF(K1060="TAYLEK",PR!$BH1058,IF(K1060="TEMITA",PR!$BI1058,IF(K1060="THL",PR!$BJ1058,IF(K1060="UBASTIC",PR!$BK1058,IF(K1060="UNION",PR!$BL1058,IF(K1060="UNIQUE",PR!$BM1058,IF(K1060="VIXA",PR!$BN1058,IF(K1060="WWCV",PR!$BO1058,IF(K1060="ZOLON",PR!$BP1058,"-")))))))))))))))))))))))))))))))))))))))))))))))))))))))))))))))))</f>
        <v>11305</v>
      </c>
    </row>
    <row r="1061" spans="1:12" ht="18.75" x14ac:dyDescent="0.3">
      <c r="A1061" s="430">
        <f>PR!A1059</f>
        <v>0</v>
      </c>
      <c r="B1061" s="15">
        <f>PR!B1059</f>
        <v>0</v>
      </c>
      <c r="C1061" s="113">
        <f>PR!D1059</f>
        <v>0</v>
      </c>
      <c r="D1061" s="113">
        <f>PR!C1059</f>
        <v>0</v>
      </c>
      <c r="E1061" s="108" t="str">
        <f>IF(F1061="ALPHA",PR!$E1059,IF(F1061="ASSENE",PR!$F1059,IF(F1061="BIOFEM",PR!$G1059,IF(F1061="BIOMED",PR!$H1059,IF(F1061="CHI",PR!$I1059,IF(F1061="CLARION",PR!$J1059,IF(F1061="CODIX",PR!$K1059,IF(F1061="COSMADE",PR!$L1059,IF(F1061="SANCON",PR!$M1059,IF(F1061="DEVON",PR!$N1059,IF(F1061="DORTEMAG",PR!$O1059,IF(F1061="DGF",PR!$P1059,IF(F1061="DYNAMIC",PR!$Q1059,IF(F1061="EMZOR",PR!$R1059,IF(F1061="EUMATT",PR!$S1059,IF(F1061="FIDSON",PR!$T1059,IF(F1061="FCGLOBAL",PR!$U1059,IF(F1061="GENEITH",PR!$V1059,IF(F1061="GINOS",PR!$W1059,IF(F1061="GSK",PR!$X1059,IF(F1061="GLOBORG",PR!$Y1059,IF(F1061="GOODNEWS",PR!$Z1059,IF(F1061="GREENLIFE",PR!$AA1059,IF(F1061="HLINE",PR!$AB1059,IF(F1061="ROTECH",PR!$AC1059,IF(F1061="ISN",PR!$AD1059,IF(F1061="JAWA",PR!$AE1059,IF(F1061="LAYO",PR!$AF1059,IF(F1061="LEADWAY",PR!$AG1059,IF(F1061="LHV",PR!$AH1059,IF(F1061="MANOLA",PR!$AI1059,IF(F1061="MARCSON",PR!$AJ1059,IF(F1061="M&amp;B",PR!$AK1059,IF(F1061="MTRUST",PR!$AL1059,IF(F1061="MWORLD",PR!$AM1059,IF(F1061="MEGA",PR!$AN1059,IF(F1061="MICRONOVA",PR!$AO1059,IF(F1061="MFLASH",PR!$AP1059,IF(F1061="MORISON",PR!$AQ1059,IF(F1061="NEMEL",PR!$AR1059,IF(F1061="NHP",PR!$AS1059,IF(F1061="NHC",PR!$AT1059,IF(F1061="OLEAF",PR!$AU1059,IF(F1061="OCULUS",PR!$AV1059,IF(F1061="PACIFIC",PR!$AW1059,IF(F1061="PHAMATEX",PR!$AX1059,IF(F1061="PETHICS",PR!$AY1059,IF(F1061="PHILIPS",PR!$AZ1059,IF(F1061="RANBAXY",PR!$BA1059,IF(F1061="REALS",PR!$BB1059,IF(F1061="ROYAL",PR!$BC1059,IF(F1061="SAM",PR!$BD1059,IF(F1061="SEAGREEN",PR!$BE1059,IF(F1061="SKG",PR!$BF1059,IF(F1061="TAH",PR!$BG1059,IF(F1061="TAYLEK",PR!$BH1059,IF(F1061="TEMITA",PR!$BI1059,IF(F1061="THL",PR!$BJ1059,IF(F1061="UBASTIC",PR!$BK1059,IF(F1061="UNION",PR!$BL1059,IF(F1061="UNIQUE",PR!$BM1059,IF(F1061="VIXA",PR!$BN1059,IF(F1061="WWCV",PR!$BO1059,IF(F1061="ZOLON",PR!$BP1059,"-"))))))))))))))))))))))))))))))))))))))))))))))))))))))))))))))))</f>
        <v>-</v>
      </c>
      <c r="F1061" s="102"/>
      <c r="G1061" s="108" t="str">
        <f>IF(H1061="ALPHA",PR!$E1059,IF(H1061="ASSENE",PR!$F1059,IF(H1061="BIOFEM",PR!$G1059,IF(H1061="BIOMED",PR!$H1059,IF(H1061="CHI",PR!$I1059,IF(H1061="CLARION",PR!$J1059,IF(H1061="CODIX",PR!$K1059,IF(H1061="COSMADE",PR!$L1059,IF(H1061="SANCON",PR!$M1059,IF(H1061="DEVON",PR!$N1059,IF(H1061="DORTEMAG",PR!$O1059,IF(H1061="DGF",PR!$P1059,IF(H1061="DYNAMIC",PR!$Q1059,IF(H1061="EMZOR",PR!$R1059,IF(H1061="EUMATT",PR!$S1059,IF(H1061="FIDSON",PR!$T1059,IF(H1061="FCGLOBAL",PR!$U1059,IF(H1061="GENEITH",PR!$V1059,IF(H1061="GINOS",PR!$W1059,IF(H1061="GSK",PR!$X1059,IF(H1061="GLOBORG",PR!$Y1059,IF(H1061="GOODNEWS",PR!$Z1059,IF(H1061="GREENLIFE",PR!$AA1059,IF(H1061="HLINE",PR!$AB1059,IF(H1061="ROTECH",PR!$AC1059,IF(H1061="ISN",PR!$AD1059,IF(H1061="JAWA",PR!$AE1059,IF(H1061="LAYO",PR!$AF1059,IF(H1061="LEADWAY",PR!$AG1059,IF(H1061="LHV",PR!$AH1059,IF(H1061="MANOLA",PR!$AI1059,IF(H1061="MARCSON",PR!$AJ1059,IF(H1061="M&amp;B",PR!$AK1059,IF(H1061="MTRUST",PR!$AL1059,IF(H1061="MWORLD",PR!$AM1059,IF(H1061="MEGA",PR!$AN1059,IF(H1061="MICRONOVA",PR!$AO1059,IF(H1061="MFLASH",PR!$AP1059,IF(H1061="MORISON",PR!$AQ1059,IF(H1061="NEMEL",PR!$AR1059,IF(H1061="NHP",PR!$AS1059,IF(H1061="NHC",PR!$AT1059,IF(H1061="OLEAF",PR!$AU1059,IF(H1061="OCULUS",PR!$AV1059,IF(H1061="PACIFIC",PR!$AW1059,IF(H1061="PHAMATEX",PR!$AX1059,IF(H1061="PETHICS",PR!$AY1059,IF(H1061="PHILIPS",PR!$AZ1059,IF(H1061="RANBAXY",PR!$BA1059,IF(H1061="REALS",PR!$BB1059,IF(H1061="ROYAL",PR!$BC1059,IF(H1061="SAM",PR!$BD1059,IF(H1061="SEAGREEN",PR!$BE1059,IF(H1061="SKG",PR!$BF1059,IF(H1061="TAH",PR!$BG1059,IF(H1061="TAYLEK",PR!$BH1059,IF(H1061="TEMITA",PR!$BI1059,IF(H1061="THL",PR!$BJ1059,IF(H1061="UBASTIC",PR!$BK1059,IF(H1061="UNION",PR!$BL1059,IF(H1061="UNIQUE",PR!$BM1059,IF(H1061="VIXA",PR!$BN1059,IF(H1061="WWCV",PR!$BO1059,IF(H1061="ZOLON",PR!$BP1059,"-"))))))))))))))))))))))))))))))))))))))))))))))))))))))))))))))))</f>
        <v>-</v>
      </c>
      <c r="H1061" s="102"/>
      <c r="I1061" s="108" t="str">
        <f>IF(J1061="ALPHA",PR!$E1059,IF(J1061="ASSENE",PR!$F1059,IF(J1061="BIOFEM",PR!$G1059,IF(J1061="BIOMED",PR!$H1059,IF(J1061="CHI",PR!$I1059,IF(J1061="CLARION",PR!$J1059,IF(J1061="CODIX",PR!$K1059,IF(J1061="COSMADE",PR!$L1059,IF(J1061="SANCON",PR!$M1059,IF(J1061="DEVON",PR!$N1059,IF(J1061="DORTEMAG",PR!$O1059,IF(J1061="DGF",PR!$P1059,IF(J1061="DYNAMIC",PR!$Q1059,IF(J1061="EMZOR",PR!$R1059,IF(J1061="EUMATT",PR!$S1059,IF(J1061="FIDSON",PR!$T1059,IF(J1061="FCGLOBAL",PR!$U1059,IF(J1061="GENEITH",PR!$V1059,IF(J1061="GINOS",PR!$W1059,IF(J1061="GSK",PR!$X1059,IF(J1061="GLOBORG",PR!$Y1059,IF(J1061="GOODNEWS",PR!$Z1059,IF(J1061="GREENLIFE",PR!$AA1059,IF(J1061="HLINE",PR!$AB1059,IF(J1061="ROTECH",PR!$AC1059,IF(J1061="ISN",PR!$AD1059,IF(J1061="JAWA",PR!$AE1059,IF(J1061="LAYO",PR!$AF1059,IF(J1061="LEADWAY",PR!$AG1059,IF(J1061="LHV",PR!$AH1059,IF(J1061="MANOLA",PR!$AI1059,IF(J1061="MARCSON",PR!$AJ1059,IF(J1061="M&amp;B",PR!$AK1059,IF(J1061="MTRUST",PR!$AL1059,IF(J1061="MWORLD",PR!$AM1059,IF(J1061="MEGA",PR!$AN1059,IF(J1061="MICRONOVA",PR!$AO1059,IF(J1061="MFLASH",PR!$AP1059,IF(J1061="MORISON",PR!$AQ1059,IF(J1061="NEMEL",PR!$AR1059,IF(J1061="NHP",PR!$AS1059,IF(J1061="NHC",PR!$AT1059,IF(J1061="OLEAF",PR!$AU1059,IF(J1061="OCULUS",PR!$AV1059,IF(J1061="PACIFIC",PR!$AW1059,IF(J1061="PHAMATEX",PR!$AX1059,IF(J1061="PETHICS",PR!$AY1059,IF(J1061="PHILIPS",PR!$AZ1059,IF(J1061="RANBAXY",PR!$BA1059,IF(J1061="REALS",PR!$BB1059,IF(J1061="ROYAL",PR!$BC1059,IF(J1061="SAM",PR!$BD1059,IF(J1061="SEAGREEN",PR!$BE1059,IF(J1061="SKG",PR!$BF1059,IF(J1061="TAH",PR!$BG1059,IF(J1061="TAYLEK",PR!$BH1059,IF(J1061="TEMITA",PR!$BI1059,IF(J1061="THL",PR!$BJ1059,IF(J1061="UBASTIC",PR!$BK1059,IF(J1061="UNION",PR!$BL1059,IF(J1061="UNIQUE",PR!$BM1059,IF(J1061="VIXA",PR!$BN1059,IF(J1061="WWCV",PR!$BO1059,IF(J1061="ZOLON",PR!$BP1059,"-"))))))))))))))))))))))))))))))))))))))))))))))))))))))))))))))))</f>
        <v>-</v>
      </c>
      <c r="J1061" s="102"/>
      <c r="K1061" s="433"/>
      <c r="L1061" s="183" t="b">
        <f>IF(K1061&gt;0,IF(K1061="ALPHA",PR!$E1059,IF(K1061="ASSENE",PR!$F1059,IF(K1061="BIOFEM",PR!$G1059,IF(K1061="BIOMED",PR!$H1059,IF(K1061="CHI",PR!$I1059,IF(K1061="CLARION",PR!$J1059,IF(K1061="CODIX",PR!$K1059,IF(K1061="COSMADE",PR!$L1059,IF(K1061="SANCON",PR!$M1059,IF(K1061="DEVON",PR!$N1059,IF(K1061="DORTEMAG",PR!$O1059,IF(K1061="DGF",PR!$P1059,IF(K1061="DYNAMIC",PR!$Q1059,IF(K1061="EMZOR",PR!$R1059,IF(K1061="EUMATT",PR!$S1059,IF(K1061="FIDSON",PR!$T1059,IF(K1061="FCGLOBAL",PR!$U1059,IF(K1061="GENEITH",PR!$V1059,IF(K1061="GINOS",PR!$W1059,IF(K1061="GSK",PR!$X1059,IF(K1061="GLOBORG",PR!$Y1059,IF(K1061="GOODNEWS",PR!$Z1059,IF(K1061="GREENLIFE",PR!$AA1059,IF(K1061="HLINE",PR!$AB1059,IF(K1061="ROTECH",PR!$AC1059,IF(K1061="ISN",PR!$AD1059,IF(K1061="JAWA",PR!$AE1059,IF(K1061="LAYO",PR!$AF1059,IF(K1061="LEADWAY",PR!$AG1059,IF(K1061="LHV",PR!$AH1059,IF(K1061="MANOLA",PR!$AI1059,IF(K1061="MARCSON",PR!$AJ1059,IF(K1061="M&amp;B",PR!$AK1059,IF(K1061="MTRUST",PR!$AL1059,IF(K1061="MWORLD",PR!$AM1059,IF(K1061="MEGA",PR!$AN1059,IF(K1061="MICRONOVA",PR!$AO1059,IF(K1061="MFLASH",PR!$AP1059,IF(K1061="MORISON",PR!$AQ1059,IF(K1061="NEMEL",PR!$AR1059,IF(K1061="NHP",PR!$AS1059,IF(K1061="NHC",PR!$AT1059,IF(K1061="OLEAF",PR!$AU1059,IF(K1061="OCULUS",PR!$AV1059,IF(K1061="PACIFIC",PR!$AW1059,IF(K1061="PHAMATEX",PR!$AX1059,IF(K1061="PETHICS",PR!$AY1059,IF(K1061="PHILIPS",PR!$AZ1059,IF(K1061="RANBAXY",PR!$BA1059,IF(K1061="REALS",PR!$BB1059,IF(K1061="ROYAL",PR!$BC1059,IF(K1061="SAM",PR!$BD1059,IF(K1061="SEAGREEN",PR!$BE1059,IF(K1061="SKG",PR!$BF1059,IF(K1061="TAH",PR!$BG1059,IF(K1061="TAYLEK",PR!$BH1059,IF(K1061="TEMITA",PR!$BI1059,IF(K1061="THL",PR!$BJ1059,IF(K1061="UBASTIC",PR!$BK1059,IF(K1061="UNION",PR!$BL1059,IF(K1061="UNIQUE",PR!$BM1059,IF(K1061="VIXA",PR!$BN1059,IF(K1061="WWCV",PR!$BO1059,IF(K1061="ZOLON",PR!$BP1059,"-")))))))))))))))))))))))))))))))))))))))))))))))))))))))))))))))))</f>
        <v>0</v>
      </c>
    </row>
    <row r="1062" spans="1:12" ht="18.75" x14ac:dyDescent="0.3">
      <c r="A1062" s="430">
        <f>PR!A1060</f>
        <v>0</v>
      </c>
      <c r="B1062" s="15">
        <f>PR!B1060</f>
        <v>0</v>
      </c>
      <c r="C1062" s="113">
        <f>PR!D1060</f>
        <v>0</v>
      </c>
      <c r="D1062" s="113">
        <f>PR!C1060</f>
        <v>0</v>
      </c>
      <c r="E1062" s="108" t="str">
        <f>IF(F1062="ALPHA",PR!$E1060,IF(F1062="ASSENE",PR!$F1060,IF(F1062="BIOFEM",PR!$G1060,IF(F1062="BIOMED",PR!$H1060,IF(F1062="CHI",PR!$I1060,IF(F1062="CLARION",PR!$J1060,IF(F1062="CODIX",PR!$K1060,IF(F1062="COSMADE",PR!$L1060,IF(F1062="SANCON",PR!$M1060,IF(F1062="DEVON",PR!$N1060,IF(F1062="DORTEMAG",PR!$O1060,IF(F1062="DGF",PR!$P1060,IF(F1062="DYNAMIC",PR!$Q1060,IF(F1062="EMZOR",PR!$R1060,IF(F1062="EUMATT",PR!$S1060,IF(F1062="FIDSON",PR!$T1060,IF(F1062="FCGLOBAL",PR!$U1060,IF(F1062="GENEITH",PR!$V1060,IF(F1062="GINOS",PR!$W1060,IF(F1062="GSK",PR!$X1060,IF(F1062="GLOBORG",PR!$Y1060,IF(F1062="GOODNEWS",PR!$Z1060,IF(F1062="GREENLIFE",PR!$AA1060,IF(F1062="HLINE",PR!$AB1060,IF(F1062="ROTECH",PR!$AC1060,IF(F1062="ISN",PR!$AD1060,IF(F1062="JAWA",PR!$AE1060,IF(F1062="LAYO",PR!$AF1060,IF(F1062="LEADWAY",PR!$AG1060,IF(F1062="LHV",PR!$AH1060,IF(F1062="MANOLA",PR!$AI1060,IF(F1062="MARCSON",PR!$AJ1060,IF(F1062="M&amp;B",PR!$AK1060,IF(F1062="MTRUST",PR!$AL1060,IF(F1062="MWORLD",PR!$AM1060,IF(F1062="MEGA",PR!$AN1060,IF(F1062="MICRONOVA",PR!$AO1060,IF(F1062="MFLASH",PR!$AP1060,IF(F1062="MORISON",PR!$AQ1060,IF(F1062="NEMEL",PR!$AR1060,IF(F1062="NHP",PR!$AS1060,IF(F1062="NHC",PR!$AT1060,IF(F1062="OLEAF",PR!$AU1060,IF(F1062="OCULUS",PR!$AV1060,IF(F1062="PACIFIC",PR!$AW1060,IF(F1062="PHAMATEX",PR!$AX1060,IF(F1062="PETHICS",PR!$AY1060,IF(F1062="PHILIPS",PR!$AZ1060,IF(F1062="RANBAXY",PR!$BA1060,IF(F1062="REALS",PR!$BB1060,IF(F1062="ROYAL",PR!$BC1060,IF(F1062="SAM",PR!$BD1060,IF(F1062="SEAGREEN",PR!$BE1060,IF(F1062="SKG",PR!$BF1060,IF(F1062="TAH",PR!$BG1060,IF(F1062="TAYLEK",PR!$BH1060,IF(F1062="TEMITA",PR!$BI1060,IF(F1062="THL",PR!$BJ1060,IF(F1062="UBASTIC",PR!$BK1060,IF(F1062="UNION",PR!$BL1060,IF(F1062="UNIQUE",PR!$BM1060,IF(F1062="VIXA",PR!$BN1060,IF(F1062="WWCV",PR!$BO1060,IF(F1062="ZOLON",PR!$BP1060,"-"))))))))))))))))))))))))))))))))))))))))))))))))))))))))))))))))</f>
        <v>-</v>
      </c>
      <c r="F1062" s="102"/>
      <c r="G1062" s="108" t="str">
        <f>IF(H1062="ALPHA",PR!$E1060,IF(H1062="ASSENE",PR!$F1060,IF(H1062="BIOFEM",PR!$G1060,IF(H1062="BIOMED",PR!$H1060,IF(H1062="CHI",PR!$I1060,IF(H1062="CLARION",PR!$J1060,IF(H1062="CODIX",PR!$K1060,IF(H1062="COSMADE",PR!$L1060,IF(H1062="SANCON",PR!$M1060,IF(H1062="DEVON",PR!$N1060,IF(H1062="DORTEMAG",PR!$O1060,IF(H1062="DGF",PR!$P1060,IF(H1062="DYNAMIC",PR!$Q1060,IF(H1062="EMZOR",PR!$R1060,IF(H1062="EUMATT",PR!$S1060,IF(H1062="FIDSON",PR!$T1060,IF(H1062="FCGLOBAL",PR!$U1060,IF(H1062="GENEITH",PR!$V1060,IF(H1062="GINOS",PR!$W1060,IF(H1062="GSK",PR!$X1060,IF(H1062="GLOBORG",PR!$Y1060,IF(H1062="GOODNEWS",PR!$Z1060,IF(H1062="GREENLIFE",PR!$AA1060,IF(H1062="HLINE",PR!$AB1060,IF(H1062="ROTECH",PR!$AC1060,IF(H1062="ISN",PR!$AD1060,IF(H1062="JAWA",PR!$AE1060,IF(H1062="LAYO",PR!$AF1060,IF(H1062="LEADWAY",PR!$AG1060,IF(H1062="LHV",PR!$AH1060,IF(H1062="MANOLA",PR!$AI1060,IF(H1062="MARCSON",PR!$AJ1060,IF(H1062="M&amp;B",PR!$AK1060,IF(H1062="MTRUST",PR!$AL1060,IF(H1062="MWORLD",PR!$AM1060,IF(H1062="MEGA",PR!$AN1060,IF(H1062="MICRONOVA",PR!$AO1060,IF(H1062="MFLASH",PR!$AP1060,IF(H1062="MORISON",PR!$AQ1060,IF(H1062="NEMEL",PR!$AR1060,IF(H1062="NHP",PR!$AS1060,IF(H1062="NHC",PR!$AT1060,IF(H1062="OLEAF",PR!$AU1060,IF(H1062="OCULUS",PR!$AV1060,IF(H1062="PACIFIC",PR!$AW1060,IF(H1062="PHAMATEX",PR!$AX1060,IF(H1062="PETHICS",PR!$AY1060,IF(H1062="PHILIPS",PR!$AZ1060,IF(H1062="RANBAXY",PR!$BA1060,IF(H1062="REALS",PR!$BB1060,IF(H1062="ROYAL",PR!$BC1060,IF(H1062="SAM",PR!$BD1060,IF(H1062="SEAGREEN",PR!$BE1060,IF(H1062="SKG",PR!$BF1060,IF(H1062="TAH",PR!$BG1060,IF(H1062="TAYLEK",PR!$BH1060,IF(H1062="TEMITA",PR!$BI1060,IF(H1062="THL",PR!$BJ1060,IF(H1062="UBASTIC",PR!$BK1060,IF(H1062="UNION",PR!$BL1060,IF(H1062="UNIQUE",PR!$BM1060,IF(H1062="VIXA",PR!$BN1060,IF(H1062="WWCV",PR!$BO1060,IF(H1062="ZOLON",PR!$BP1060,"-"))))))))))))))))))))))))))))))))))))))))))))))))))))))))))))))))</f>
        <v>-</v>
      </c>
      <c r="H1062" s="102"/>
      <c r="I1062" s="108" t="str">
        <f>IF(J1062="ALPHA",PR!$E1060,IF(J1062="ASSENE",PR!$F1060,IF(J1062="BIOFEM",PR!$G1060,IF(J1062="BIOMED",PR!$H1060,IF(J1062="CHI",PR!$I1060,IF(J1062="CLARION",PR!$J1060,IF(J1062="CODIX",PR!$K1060,IF(J1062="COSMADE",PR!$L1060,IF(J1062="SANCON",PR!$M1060,IF(J1062="DEVON",PR!$N1060,IF(J1062="DORTEMAG",PR!$O1060,IF(J1062="DGF",PR!$P1060,IF(J1062="DYNAMIC",PR!$Q1060,IF(J1062="EMZOR",PR!$R1060,IF(J1062="EUMATT",PR!$S1060,IF(J1062="FIDSON",PR!$T1060,IF(J1062="FCGLOBAL",PR!$U1060,IF(J1062="GENEITH",PR!$V1060,IF(J1062="GINOS",PR!$W1060,IF(J1062="GSK",PR!$X1060,IF(J1062="GLOBORG",PR!$Y1060,IF(J1062="GOODNEWS",PR!$Z1060,IF(J1062="GREENLIFE",PR!$AA1060,IF(J1062="HLINE",PR!$AB1060,IF(J1062="ROTECH",PR!$AC1060,IF(J1062="ISN",PR!$AD1060,IF(J1062="JAWA",PR!$AE1060,IF(J1062="LAYO",PR!$AF1060,IF(J1062="LEADWAY",PR!$AG1060,IF(J1062="LHV",PR!$AH1060,IF(J1062="MANOLA",PR!$AI1060,IF(J1062="MARCSON",PR!$AJ1060,IF(J1062="M&amp;B",PR!$AK1060,IF(J1062="MTRUST",PR!$AL1060,IF(J1062="MWORLD",PR!$AM1060,IF(J1062="MEGA",PR!$AN1060,IF(J1062="MICRONOVA",PR!$AO1060,IF(J1062="MFLASH",PR!$AP1060,IF(J1062="MORISON",PR!$AQ1060,IF(J1062="NEMEL",PR!$AR1060,IF(J1062="NHP",PR!$AS1060,IF(J1062="NHC",PR!$AT1060,IF(J1062="OLEAF",PR!$AU1060,IF(J1062="OCULUS",PR!$AV1060,IF(J1062="PACIFIC",PR!$AW1060,IF(J1062="PHAMATEX",PR!$AX1060,IF(J1062="PETHICS",PR!$AY1060,IF(J1062="PHILIPS",PR!$AZ1060,IF(J1062="RANBAXY",PR!$BA1060,IF(J1062="REALS",PR!$BB1060,IF(J1062="ROYAL",PR!$BC1060,IF(J1062="SAM",PR!$BD1060,IF(J1062="SEAGREEN",PR!$BE1060,IF(J1062="SKG",PR!$BF1060,IF(J1062="TAH",PR!$BG1060,IF(J1062="TAYLEK",PR!$BH1060,IF(J1062="TEMITA",PR!$BI1060,IF(J1062="THL",PR!$BJ1060,IF(J1062="UBASTIC",PR!$BK1060,IF(J1062="UNION",PR!$BL1060,IF(J1062="UNIQUE",PR!$BM1060,IF(J1062="VIXA",PR!$BN1060,IF(J1062="WWCV",PR!$BO1060,IF(J1062="ZOLON",PR!$BP1060,"-"))))))))))))))))))))))))))))))))))))))))))))))))))))))))))))))))</f>
        <v>-</v>
      </c>
      <c r="J1062" s="102"/>
      <c r="K1062" s="433"/>
      <c r="L1062" s="183" t="b">
        <f>IF(K1062&gt;0,IF(K1062="ALPHA",PR!$E1060,IF(K1062="ASSENE",PR!$F1060,IF(K1062="BIOFEM",PR!$G1060,IF(K1062="BIOMED",PR!$H1060,IF(K1062="CHI",PR!$I1060,IF(K1062="CLARION",PR!$J1060,IF(K1062="CODIX",PR!$K1060,IF(K1062="COSMADE",PR!$L1060,IF(K1062="SANCON",PR!$M1060,IF(K1062="DEVON",PR!$N1060,IF(K1062="DORTEMAG",PR!$O1060,IF(K1062="DGF",PR!$P1060,IF(K1062="DYNAMIC",PR!$Q1060,IF(K1062="EMZOR",PR!$R1060,IF(K1062="EUMATT",PR!$S1060,IF(K1062="FIDSON",PR!$T1060,IF(K1062="FCGLOBAL",PR!$U1060,IF(K1062="GENEITH",PR!$V1060,IF(K1062="GINOS",PR!$W1060,IF(K1062="GSK",PR!$X1060,IF(K1062="GLOBORG",PR!$Y1060,IF(K1062="GOODNEWS",PR!$Z1060,IF(K1062="GREENLIFE",PR!$AA1060,IF(K1062="HLINE",PR!$AB1060,IF(K1062="ROTECH",PR!$AC1060,IF(K1062="ISN",PR!$AD1060,IF(K1062="JAWA",PR!$AE1060,IF(K1062="LAYO",PR!$AF1060,IF(K1062="LEADWAY",PR!$AG1060,IF(K1062="LHV",PR!$AH1060,IF(K1062="MANOLA",PR!$AI1060,IF(K1062="MARCSON",PR!$AJ1060,IF(K1062="M&amp;B",PR!$AK1060,IF(K1062="MTRUST",PR!$AL1060,IF(K1062="MWORLD",PR!$AM1060,IF(K1062="MEGA",PR!$AN1060,IF(K1062="MICRONOVA",PR!$AO1060,IF(K1062="MFLASH",PR!$AP1060,IF(K1062="MORISON",PR!$AQ1060,IF(K1062="NEMEL",PR!$AR1060,IF(K1062="NHP",PR!$AS1060,IF(K1062="NHC",PR!$AT1060,IF(K1062="OLEAF",PR!$AU1060,IF(K1062="OCULUS",PR!$AV1060,IF(K1062="PACIFIC",PR!$AW1060,IF(K1062="PHAMATEX",PR!$AX1060,IF(K1062="PETHICS",PR!$AY1060,IF(K1062="PHILIPS",PR!$AZ1060,IF(K1062="RANBAXY",PR!$BA1060,IF(K1062="REALS",PR!$BB1060,IF(K1062="ROYAL",PR!$BC1060,IF(K1062="SAM",PR!$BD1060,IF(K1062="SEAGREEN",PR!$BE1060,IF(K1062="SKG",PR!$BF1060,IF(K1062="TAH",PR!$BG1060,IF(K1062="TAYLEK",PR!$BH1060,IF(K1062="TEMITA",PR!$BI1060,IF(K1062="THL",PR!$BJ1060,IF(K1062="UBASTIC",PR!$BK1060,IF(K1062="UNION",PR!$BL1060,IF(K1062="UNIQUE",PR!$BM1060,IF(K1062="VIXA",PR!$BN1060,IF(K1062="WWCV",PR!$BO1060,IF(K1062="ZOLON",PR!$BP1060,"-")))))))))))))))))))))))))))))))))))))))))))))))))))))))))))))))))</f>
        <v>0</v>
      </c>
    </row>
    <row r="1063" spans="1:12" ht="18.75" x14ac:dyDescent="0.3">
      <c r="A1063" s="430" t="str">
        <f>PR!A1061</f>
        <v>LOT 19</v>
      </c>
      <c r="B1063" s="15" t="str">
        <f>PR!B1061</f>
        <v>ANTIBIOTICS SENSITIVITY DISCS</v>
      </c>
      <c r="C1063" s="113">
        <f>PR!D1061</f>
        <v>0</v>
      </c>
      <c r="D1063" s="113">
        <f>PR!C1061</f>
        <v>0</v>
      </c>
      <c r="E1063" s="108" t="str">
        <f>IF(F1063="ALPHA",PR!$E1061,IF(F1063="ASSENE",PR!$F1061,IF(F1063="BIOFEM",PR!$G1061,IF(F1063="BIOMED",PR!$H1061,IF(F1063="CHI",PR!$I1061,IF(F1063="CLARION",PR!$J1061,IF(F1063="CODIX",PR!$K1061,IF(F1063="COSMADE",PR!$L1061,IF(F1063="SANCON",PR!$M1061,IF(F1063="DEVON",PR!$N1061,IF(F1063="DORTEMAG",PR!$O1061,IF(F1063="DGF",PR!$P1061,IF(F1063="DYNAMIC",PR!$Q1061,IF(F1063="EMZOR",PR!$R1061,IF(F1063="EUMATT",PR!$S1061,IF(F1063="FIDSON",PR!$T1061,IF(F1063="FCGLOBAL",PR!$U1061,IF(F1063="GENEITH",PR!$V1061,IF(F1063="GINOS",PR!$W1061,IF(F1063="GSK",PR!$X1061,IF(F1063="GLOBORG",PR!$Y1061,IF(F1063="GOODNEWS",PR!$Z1061,IF(F1063="GREENLIFE",PR!$AA1061,IF(F1063="HLINE",PR!$AB1061,IF(F1063="ROTECH",PR!$AC1061,IF(F1063="ISN",PR!$AD1061,IF(F1063="JAWA",PR!$AE1061,IF(F1063="LAYO",PR!$AF1061,IF(F1063="LEADWAY",PR!$AG1061,IF(F1063="LHV",PR!$AH1061,IF(F1063="MANOLA",PR!$AI1061,IF(F1063="MARCSON",PR!$AJ1061,IF(F1063="M&amp;B",PR!$AK1061,IF(F1063="MTRUST",PR!$AL1061,IF(F1063="MWORLD",PR!$AM1061,IF(F1063="MEGA",PR!$AN1061,IF(F1063="MICRONOVA",PR!$AO1061,IF(F1063="MFLASH",PR!$AP1061,IF(F1063="MORISON",PR!$AQ1061,IF(F1063="NEMEL",PR!$AR1061,IF(F1063="NHP",PR!$AS1061,IF(F1063="NHC",PR!$AT1061,IF(F1063="OLEAF",PR!$AU1061,IF(F1063="OCULUS",PR!$AV1061,IF(F1063="PACIFIC",PR!$AW1061,IF(F1063="PHAMATEX",PR!$AX1061,IF(F1063="PETHICS",PR!$AY1061,IF(F1063="PHILIPS",PR!$AZ1061,IF(F1063="RANBAXY",PR!$BA1061,IF(F1063="REALS",PR!$BB1061,IF(F1063="ROYAL",PR!$BC1061,IF(F1063="SAM",PR!$BD1061,IF(F1063="SEAGREEN",PR!$BE1061,IF(F1063="SKG",PR!$BF1061,IF(F1063="TAH",PR!$BG1061,IF(F1063="TAYLEK",PR!$BH1061,IF(F1063="TEMITA",PR!$BI1061,IF(F1063="THL",PR!$BJ1061,IF(F1063="UBASTIC",PR!$BK1061,IF(F1063="UNION",PR!$BL1061,IF(F1063="UNIQUE",PR!$BM1061,IF(F1063="VIXA",PR!$BN1061,IF(F1063="WWCV",PR!$BO1061,IF(F1063="ZOLON",PR!$BP1061,"-"))))))))))))))))))))))))))))))))))))))))))))))))))))))))))))))))</f>
        <v>-</v>
      </c>
      <c r="F1063" s="102"/>
      <c r="G1063" s="108" t="str">
        <f>IF(H1063="ALPHA",PR!$E1061,IF(H1063="ASSENE",PR!$F1061,IF(H1063="BIOFEM",PR!$G1061,IF(H1063="BIOMED",PR!$H1061,IF(H1063="CHI",PR!$I1061,IF(H1063="CLARION",PR!$J1061,IF(H1063="CODIX",PR!$K1061,IF(H1063="COSMADE",PR!$L1061,IF(H1063="SANCON",PR!$M1061,IF(H1063="DEVON",PR!$N1061,IF(H1063="DORTEMAG",PR!$O1061,IF(H1063="DGF",PR!$P1061,IF(H1063="DYNAMIC",PR!$Q1061,IF(H1063="EMZOR",PR!$R1061,IF(H1063="EUMATT",PR!$S1061,IF(H1063="FIDSON",PR!$T1061,IF(H1063="FCGLOBAL",PR!$U1061,IF(H1063="GENEITH",PR!$V1061,IF(H1063="GINOS",PR!$W1061,IF(H1063="GSK",PR!$X1061,IF(H1063="GLOBORG",PR!$Y1061,IF(H1063="GOODNEWS",PR!$Z1061,IF(H1063="GREENLIFE",PR!$AA1061,IF(H1063="HLINE",PR!$AB1061,IF(H1063="ROTECH",PR!$AC1061,IF(H1063="ISN",PR!$AD1061,IF(H1063="JAWA",PR!$AE1061,IF(H1063="LAYO",PR!$AF1061,IF(H1063="LEADWAY",PR!$AG1061,IF(H1063="LHV",PR!$AH1061,IF(H1063="MANOLA",PR!$AI1061,IF(H1063="MARCSON",PR!$AJ1061,IF(H1063="M&amp;B",PR!$AK1061,IF(H1063="MTRUST",PR!$AL1061,IF(H1063="MWORLD",PR!$AM1061,IF(H1063="MEGA",PR!$AN1061,IF(H1063="MICRONOVA",PR!$AO1061,IF(H1063="MFLASH",PR!$AP1061,IF(H1063="MORISON",PR!$AQ1061,IF(H1063="NEMEL",PR!$AR1061,IF(H1063="NHP",PR!$AS1061,IF(H1063="NHC",PR!$AT1061,IF(H1063="OLEAF",PR!$AU1061,IF(H1063="OCULUS",PR!$AV1061,IF(H1063="PACIFIC",PR!$AW1061,IF(H1063="PHAMATEX",PR!$AX1061,IF(H1063="PETHICS",PR!$AY1061,IF(H1063="PHILIPS",PR!$AZ1061,IF(H1063="RANBAXY",PR!$BA1061,IF(H1063="REALS",PR!$BB1061,IF(H1063="ROYAL",PR!$BC1061,IF(H1063="SAM",PR!$BD1061,IF(H1063="SEAGREEN",PR!$BE1061,IF(H1063="SKG",PR!$BF1061,IF(H1063="TAH",PR!$BG1061,IF(H1063="TAYLEK",PR!$BH1061,IF(H1063="TEMITA",PR!$BI1061,IF(H1063="THL",PR!$BJ1061,IF(H1063="UBASTIC",PR!$BK1061,IF(H1063="UNION",PR!$BL1061,IF(H1063="UNIQUE",PR!$BM1061,IF(H1063="VIXA",PR!$BN1061,IF(H1063="WWCV",PR!$BO1061,IF(H1063="ZOLON",PR!$BP1061,"-"))))))))))))))))))))))))))))))))))))))))))))))))))))))))))))))))</f>
        <v>-</v>
      </c>
      <c r="H1063" s="102"/>
      <c r="I1063" s="108" t="str">
        <f>IF(J1063="ALPHA",PR!$E1061,IF(J1063="ASSENE",PR!$F1061,IF(J1063="BIOFEM",PR!$G1061,IF(J1063="BIOMED",PR!$H1061,IF(J1063="CHI",PR!$I1061,IF(J1063="CLARION",PR!$J1061,IF(J1063="CODIX",PR!$K1061,IF(J1063="COSMADE",PR!$L1061,IF(J1063="SANCON",PR!$M1061,IF(J1063="DEVON",PR!$N1061,IF(J1063="DORTEMAG",PR!$O1061,IF(J1063="DGF",PR!$P1061,IF(J1063="DYNAMIC",PR!$Q1061,IF(J1063="EMZOR",PR!$R1061,IF(J1063="EUMATT",PR!$S1061,IF(J1063="FIDSON",PR!$T1061,IF(J1063="FCGLOBAL",PR!$U1061,IF(J1063="GENEITH",PR!$V1061,IF(J1063="GINOS",PR!$W1061,IF(J1063="GSK",PR!$X1061,IF(J1063="GLOBORG",PR!$Y1061,IF(J1063="GOODNEWS",PR!$Z1061,IF(J1063="GREENLIFE",PR!$AA1061,IF(J1063="HLINE",PR!$AB1061,IF(J1063="ROTECH",PR!$AC1061,IF(J1063="ISN",PR!$AD1061,IF(J1063="JAWA",PR!$AE1061,IF(J1063="LAYO",PR!$AF1061,IF(J1063="LEADWAY",PR!$AG1061,IF(J1063="LHV",PR!$AH1061,IF(J1063="MANOLA",PR!$AI1061,IF(J1063="MARCSON",PR!$AJ1061,IF(J1063="M&amp;B",PR!$AK1061,IF(J1063="MTRUST",PR!$AL1061,IF(J1063="MWORLD",PR!$AM1061,IF(J1063="MEGA",PR!$AN1061,IF(J1063="MICRONOVA",PR!$AO1061,IF(J1063="MFLASH",PR!$AP1061,IF(J1063="MORISON",PR!$AQ1061,IF(J1063="NEMEL",PR!$AR1061,IF(J1063="NHP",PR!$AS1061,IF(J1063="NHC",PR!$AT1061,IF(J1063="OLEAF",PR!$AU1061,IF(J1063="OCULUS",PR!$AV1061,IF(J1063="PACIFIC",PR!$AW1061,IF(J1063="PHAMATEX",PR!$AX1061,IF(J1063="PETHICS",PR!$AY1061,IF(J1063="PHILIPS",PR!$AZ1061,IF(J1063="RANBAXY",PR!$BA1061,IF(J1063="REALS",PR!$BB1061,IF(J1063="ROYAL",PR!$BC1061,IF(J1063="SAM",PR!$BD1061,IF(J1063="SEAGREEN",PR!$BE1061,IF(J1063="SKG",PR!$BF1061,IF(J1063="TAH",PR!$BG1061,IF(J1063="TAYLEK",PR!$BH1061,IF(J1063="TEMITA",PR!$BI1061,IF(J1063="THL",PR!$BJ1061,IF(J1063="UBASTIC",PR!$BK1061,IF(J1063="UNION",PR!$BL1061,IF(J1063="UNIQUE",PR!$BM1061,IF(J1063="VIXA",PR!$BN1061,IF(J1063="WWCV",PR!$BO1061,IF(J1063="ZOLON",PR!$BP1061,"-"))))))))))))))))))))))))))))))))))))))))))))))))))))))))))))))))</f>
        <v>-</v>
      </c>
      <c r="J1063" s="102"/>
      <c r="K1063" s="433"/>
      <c r="L1063" s="183" t="b">
        <f>IF(K1063&gt;0,IF(K1063="ALPHA",PR!$E1061,IF(K1063="ASSENE",PR!$F1061,IF(K1063="BIOFEM",PR!$G1061,IF(K1063="BIOMED",PR!$H1061,IF(K1063="CHI",PR!$I1061,IF(K1063="CLARION",PR!$J1061,IF(K1063="CODIX",PR!$K1061,IF(K1063="COSMADE",PR!$L1061,IF(K1063="SANCON",PR!$M1061,IF(K1063="DEVON",PR!$N1061,IF(K1063="DORTEMAG",PR!$O1061,IF(K1063="DGF",PR!$P1061,IF(K1063="DYNAMIC",PR!$Q1061,IF(K1063="EMZOR",PR!$R1061,IF(K1063="EUMATT",PR!$S1061,IF(K1063="FIDSON",PR!$T1061,IF(K1063="FCGLOBAL",PR!$U1061,IF(K1063="GENEITH",PR!$V1061,IF(K1063="GINOS",PR!$W1061,IF(K1063="GSK",PR!$X1061,IF(K1063="GLOBORG",PR!$Y1061,IF(K1063="GOODNEWS",PR!$Z1061,IF(K1063="GREENLIFE",PR!$AA1061,IF(K1063="HLINE",PR!$AB1061,IF(K1063="ROTECH",PR!$AC1061,IF(K1063="ISN",PR!$AD1061,IF(K1063="JAWA",PR!$AE1061,IF(K1063="LAYO",PR!$AF1061,IF(K1063="LEADWAY",PR!$AG1061,IF(K1063="LHV",PR!$AH1061,IF(K1063="MANOLA",PR!$AI1061,IF(K1063="MARCSON",PR!$AJ1061,IF(K1063="M&amp;B",PR!$AK1061,IF(K1063="MTRUST",PR!$AL1061,IF(K1063="MWORLD",PR!$AM1061,IF(K1063="MEGA",PR!$AN1061,IF(K1063="MICRONOVA",PR!$AO1061,IF(K1063="MFLASH",PR!$AP1061,IF(K1063="MORISON",PR!$AQ1061,IF(K1063="NEMEL",PR!$AR1061,IF(K1063="NHP",PR!$AS1061,IF(K1063="NHC",PR!$AT1061,IF(K1063="OLEAF",PR!$AU1061,IF(K1063="OCULUS",PR!$AV1061,IF(K1063="PACIFIC",PR!$AW1061,IF(K1063="PHAMATEX",PR!$AX1061,IF(K1063="PETHICS",PR!$AY1061,IF(K1063="PHILIPS",PR!$AZ1061,IF(K1063="RANBAXY",PR!$BA1061,IF(K1063="REALS",PR!$BB1061,IF(K1063="ROYAL",PR!$BC1061,IF(K1063="SAM",PR!$BD1061,IF(K1063="SEAGREEN",PR!$BE1061,IF(K1063="SKG",PR!$BF1061,IF(K1063="TAH",PR!$BG1061,IF(K1063="TAYLEK",PR!$BH1061,IF(K1063="TEMITA",PR!$BI1061,IF(K1063="THL",PR!$BJ1061,IF(K1063="UBASTIC",PR!$BK1061,IF(K1063="UNION",PR!$BL1061,IF(K1063="UNIQUE",PR!$BM1061,IF(K1063="VIXA",PR!$BN1061,IF(K1063="WWCV",PR!$BO1061,IF(K1063="ZOLON",PR!$BP1061,"-")))))))))))))))))))))))))))))))))))))))))))))))))))))))))))))))))</f>
        <v>0</v>
      </c>
    </row>
    <row r="1064" spans="1:12" ht="18.75" x14ac:dyDescent="0.3">
      <c r="A1064" s="430">
        <f>PR!A1062</f>
        <v>957</v>
      </c>
      <c r="B1064" s="15" t="str">
        <f>PR!B1062</f>
        <v>CEFTRIAZONE</v>
      </c>
      <c r="C1064" s="113" t="str">
        <f>PR!D1062</f>
        <v>1 PACK OF 250 PCS</v>
      </c>
      <c r="D1064" s="113">
        <f>PR!C1062</f>
        <v>12</v>
      </c>
      <c r="E1064" s="108">
        <f>IF(F1064="ALPHA",PR!$E1062,IF(F1064="ASSENE",PR!$F1062,IF(F1064="BIOFEM",PR!$G1062,IF(F1064="BIOMED",PR!$H1062,IF(F1064="CHI",PR!$I1062,IF(F1064="CLARION",PR!$J1062,IF(F1064="CODIX",PR!$K1062,IF(F1064="COSMADE",PR!$L1062,IF(F1064="SANCON",PR!$M1062,IF(F1064="DEVON",PR!$N1062,IF(F1064="DORTEMAG",PR!$O1062,IF(F1064="DGF",PR!$P1062,IF(F1064="DYNAMIC",PR!$Q1062,IF(F1064="EMZOR",PR!$R1062,IF(F1064="EUMATT",PR!$S1062,IF(F1064="FIDSON",PR!$T1062,IF(F1064="FCGLOBAL",PR!$U1062,IF(F1064="GENEITH",PR!$V1062,IF(F1064="GINOS",PR!$W1062,IF(F1064="GSK",PR!$X1062,IF(F1064="GLOBORG",PR!$Y1062,IF(F1064="GOODNEWS",PR!$Z1062,IF(F1064="GREENLIFE",PR!$AA1062,IF(F1064="HLINE",PR!$AB1062,IF(F1064="ROTECH",PR!$AC1062,IF(F1064="ISN",PR!$AD1062,IF(F1064="JAWA",PR!$AE1062,IF(F1064="LAYO",PR!$AF1062,IF(F1064="LEADWAY",PR!$AG1062,IF(F1064="LHV",PR!$AH1062,IF(F1064="MANOLA",PR!$AI1062,IF(F1064="MARCSON",PR!$AJ1062,IF(F1064="M&amp;B",PR!$AK1062,IF(F1064="MTRUST",PR!$AL1062,IF(F1064="MWORLD",PR!$AM1062,IF(F1064="MEGA",PR!$AN1062,IF(F1064="MICRONOVA",PR!$AO1062,IF(F1064="MFLASH",PR!$AP1062,IF(F1064="MORISON",PR!$AQ1062,IF(F1064="NEMEL",PR!$AR1062,IF(F1064="NHP",PR!$AS1062,IF(F1064="NHC",PR!$AT1062,IF(F1064="OLEAF",PR!$AU1062,IF(F1064="OCULUS",PR!$AV1062,IF(F1064="PACIFIC",PR!$AW1062,IF(F1064="PHAMATEX",PR!$AX1062,IF(F1064="PETHICS",PR!$AY1062,IF(F1064="PHILIPS",PR!$AZ1062,IF(F1064="RANBAXY",PR!$BA1062,IF(F1064="REALS",PR!$BB1062,IF(F1064="ROYAL",PR!$BC1062,IF(F1064="SAM",PR!$BD1062,IF(F1064="SEAGREEN",PR!$BE1062,IF(F1064="SKG",PR!$BF1062,IF(F1064="TAH",PR!$BG1062,IF(F1064="TAYLEK",PR!$BH1062,IF(F1064="TEMITA",PR!$BI1062,IF(F1064="THL",PR!$BJ1062,IF(F1064="UBASTIC",PR!$BK1062,IF(F1064="UNION",PR!$BL1062,IF(F1064="UNIQUE",PR!$BM1062,IF(F1064="VIXA",PR!$BN1062,IF(F1064="WWCV",PR!$BO1062,IF(F1064="ZOLON",PR!$BP1062,"-"))))))))))))))))))))))))))))))))))))))))))))))))))))))))))))))))</f>
        <v>6000</v>
      </c>
      <c r="F1064" s="102" t="str">
        <f>EV!L1341</f>
        <v>UBASTIC</v>
      </c>
      <c r="G1064" s="108">
        <f>IF(H1064="ALPHA",PR!$E1062,IF(H1064="ASSENE",PR!$F1062,IF(H1064="BIOFEM",PR!$G1062,IF(H1064="BIOMED",PR!$H1062,IF(H1064="CHI",PR!$I1062,IF(H1064="CLARION",PR!$J1062,IF(H1064="CODIX",PR!$K1062,IF(H1064="COSMADE",PR!$L1062,IF(H1064="SANCON",PR!$M1062,IF(H1064="DEVON",PR!$N1062,IF(H1064="DORTEMAG",PR!$O1062,IF(H1064="DGF",PR!$P1062,IF(H1064="DYNAMIC",PR!$Q1062,IF(H1064="EMZOR",PR!$R1062,IF(H1064="EUMATT",PR!$S1062,IF(H1064="FIDSON",PR!$T1062,IF(H1064="FCGLOBAL",PR!$U1062,IF(H1064="GENEITH",PR!$V1062,IF(H1064="GINOS",PR!$W1062,IF(H1064="GSK",PR!$X1062,IF(H1064="GLOBORG",PR!$Y1062,IF(H1064="GOODNEWS",PR!$Z1062,IF(H1064="GREENLIFE",PR!$AA1062,IF(H1064="HLINE",PR!$AB1062,IF(H1064="ROTECH",PR!$AC1062,IF(H1064="ISN",PR!$AD1062,IF(H1064="JAWA",PR!$AE1062,IF(H1064="LAYO",PR!$AF1062,IF(H1064="LEADWAY",PR!$AG1062,IF(H1064="LHV",PR!$AH1062,IF(H1064="MANOLA",PR!$AI1062,IF(H1064="MARCSON",PR!$AJ1062,IF(H1064="M&amp;B",PR!$AK1062,IF(H1064="MTRUST",PR!$AL1062,IF(H1064="MWORLD",PR!$AM1062,IF(H1064="MEGA",PR!$AN1062,IF(H1064="MICRONOVA",PR!$AO1062,IF(H1064="MFLASH",PR!$AP1062,IF(H1064="MORISON",PR!$AQ1062,IF(H1064="NEMEL",PR!$AR1062,IF(H1064="NHP",PR!$AS1062,IF(H1064="NHC",PR!$AT1062,IF(H1064="OLEAF",PR!$AU1062,IF(H1064="OCULUS",PR!$AV1062,IF(H1064="PACIFIC",PR!$AW1062,IF(H1064="PHAMATEX",PR!$AX1062,IF(H1064="PETHICS",PR!$AY1062,IF(H1064="PHILIPS",PR!$AZ1062,IF(H1064="RANBAXY",PR!$BA1062,IF(H1064="REALS",PR!$BB1062,IF(H1064="ROYAL",PR!$BC1062,IF(H1064="SAM",PR!$BD1062,IF(H1064="SEAGREEN",PR!$BE1062,IF(H1064="SKG",PR!$BF1062,IF(H1064="TAH",PR!$BG1062,IF(H1064="TAYLEK",PR!$BH1062,IF(H1064="TEMITA",PR!$BI1062,IF(H1064="THL",PR!$BJ1062,IF(H1064="UBASTIC",PR!$BK1062,IF(H1064="UNION",PR!$BL1062,IF(H1064="UNIQUE",PR!$BM1062,IF(H1064="VIXA",PR!$BN1062,IF(H1064="WWCV",PR!$BO1062,IF(H1064="ZOLON",PR!$BP1062,"-"))))))))))))))))))))))))))))))))))))))))))))))))))))))))))))))))</f>
        <v>9044</v>
      </c>
      <c r="H1064" s="102" t="str">
        <f>EV!M1341</f>
        <v>DYNAMIC</v>
      </c>
      <c r="I1064" s="108" t="str">
        <f>IF(J1064="ALPHA",PR!$E1062,IF(J1064="ASSENE",PR!$F1062,IF(J1064="BIOFEM",PR!$G1062,IF(J1064="BIOMED",PR!$H1062,IF(J1064="CHI",PR!$I1062,IF(J1064="CLARION",PR!$J1062,IF(J1064="CODIX",PR!$K1062,IF(J1064="COSMADE",PR!$L1062,IF(J1064="SANCON",PR!$M1062,IF(J1064="DEVON",PR!$N1062,IF(J1064="DORTEMAG",PR!$O1062,IF(J1064="DGF",PR!$P1062,IF(J1064="DYNAMIC",PR!$Q1062,IF(J1064="EMZOR",PR!$R1062,IF(J1064="EUMATT",PR!$S1062,IF(J1064="FIDSON",PR!$T1062,IF(J1064="FCGLOBAL",PR!$U1062,IF(J1064="GENEITH",PR!$V1062,IF(J1064="GINOS",PR!$W1062,IF(J1064="GSK",PR!$X1062,IF(J1064="GLOBORG",PR!$Y1062,IF(J1064="GOODNEWS",PR!$Z1062,IF(J1064="GREENLIFE",PR!$AA1062,IF(J1064="HLINE",PR!$AB1062,IF(J1064="ROTECH",PR!$AC1062,IF(J1064="ISN",PR!$AD1062,IF(J1064="JAWA",PR!$AE1062,IF(J1064="LAYO",PR!$AF1062,IF(J1064="LEADWAY",PR!$AG1062,IF(J1064="LHV",PR!$AH1062,IF(J1064="MANOLA",PR!$AI1062,IF(J1064="MARCSON",PR!$AJ1062,IF(J1064="M&amp;B",PR!$AK1062,IF(J1064="MTRUST",PR!$AL1062,IF(J1064="MWORLD",PR!$AM1062,IF(J1064="MEGA",PR!$AN1062,IF(J1064="MICRONOVA",PR!$AO1062,IF(J1064="MFLASH",PR!$AP1062,IF(J1064="MORISON",PR!$AQ1062,IF(J1064="NEMEL",PR!$AR1062,IF(J1064="NHP",PR!$AS1062,IF(J1064="NHC",PR!$AT1062,IF(J1064="OLEAF",PR!$AU1062,IF(J1064="OCULUS",PR!$AV1062,IF(J1064="PACIFIC",PR!$AW1062,IF(J1064="PHAMATEX",PR!$AX1062,IF(J1064="PETHICS",PR!$AY1062,IF(J1064="PHILIPS",PR!$AZ1062,IF(J1064="RANBAXY",PR!$BA1062,IF(J1064="REALS",PR!$BB1062,IF(J1064="ROYAL",PR!$BC1062,IF(J1064="SAM",PR!$BD1062,IF(J1064="SEAGREEN",PR!$BE1062,IF(J1064="SKG",PR!$BF1062,IF(J1064="TAH",PR!$BG1062,IF(J1064="TAYLEK",PR!$BH1062,IF(J1064="TEMITA",PR!$BI1062,IF(J1064="THL",PR!$BJ1062,IF(J1064="UBASTIC",PR!$BK1062,IF(J1064="UNION",PR!$BL1062,IF(J1064="UNIQUE",PR!$BM1062,IF(J1064="VIXA",PR!$BN1062,IF(J1064="WWCV",PR!$BO1062,IF(J1064="ZOLON",PR!$BP1062,"-"))))))))))))))))))))))))))))))))))))))))))))))))))))))))))))))))</f>
        <v>-</v>
      </c>
      <c r="J1064" s="102">
        <f>EV!N1341</f>
        <v>0</v>
      </c>
      <c r="K1064" s="433" t="s">
        <v>1459</v>
      </c>
      <c r="L1064" s="183">
        <f>IF(K1064&gt;0,IF(K1064="ALPHA",PR!$E1062,IF(K1064="ASSENE",PR!$F1062,IF(K1064="BIOFEM",PR!$G1062,IF(K1064="BIOMED",PR!$H1062,IF(K1064="CHI",PR!$I1062,IF(K1064="CLARION",PR!$J1062,IF(K1064="CODIX",PR!$K1062,IF(K1064="COSMADE",PR!$L1062,IF(K1064="SANCON",PR!$M1062,IF(K1064="DEVON",PR!$N1062,IF(K1064="DORTEMAG",PR!$O1062,IF(K1064="DGF",PR!$P1062,IF(K1064="DYNAMIC",PR!$Q1062,IF(K1064="EMZOR",PR!$R1062,IF(K1064="EUMATT",PR!$S1062,IF(K1064="FIDSON",PR!$T1062,IF(K1064="FCGLOBAL",PR!$U1062,IF(K1064="GENEITH",PR!$V1062,IF(K1064="GINOS",PR!$W1062,IF(K1064="GSK",PR!$X1062,IF(K1064="GLOBORG",PR!$Y1062,IF(K1064="GOODNEWS",PR!$Z1062,IF(K1064="GREENLIFE",PR!$AA1062,IF(K1064="HLINE",PR!$AB1062,IF(K1064="ROTECH",PR!$AC1062,IF(K1064="ISN",PR!$AD1062,IF(K1064="JAWA",PR!$AE1062,IF(K1064="LAYO",PR!$AF1062,IF(K1064="LEADWAY",PR!$AG1062,IF(K1064="LHV",PR!$AH1062,IF(K1064="MANOLA",PR!$AI1062,IF(K1064="MARCSON",PR!$AJ1062,IF(K1064="M&amp;B",PR!$AK1062,IF(K1064="MTRUST",PR!$AL1062,IF(K1064="MWORLD",PR!$AM1062,IF(K1064="MEGA",PR!$AN1062,IF(K1064="MICRONOVA",PR!$AO1062,IF(K1064="MFLASH",PR!$AP1062,IF(K1064="MORISON",PR!$AQ1062,IF(K1064="NEMEL",PR!$AR1062,IF(K1064="NHP",PR!$AS1062,IF(K1064="NHC",PR!$AT1062,IF(K1064="OLEAF",PR!$AU1062,IF(K1064="OCULUS",PR!$AV1062,IF(K1064="PACIFIC",PR!$AW1062,IF(K1064="PHAMATEX",PR!$AX1062,IF(K1064="PETHICS",PR!$AY1062,IF(K1064="PHILIPS",PR!$AZ1062,IF(K1064="RANBAXY",PR!$BA1062,IF(K1064="REALS",PR!$BB1062,IF(K1064="ROYAL",PR!$BC1062,IF(K1064="SAM",PR!$BD1062,IF(K1064="SEAGREEN",PR!$BE1062,IF(K1064="SKG",PR!$BF1062,IF(K1064="TAH",PR!$BG1062,IF(K1064="TAYLEK",PR!$BH1062,IF(K1064="TEMITA",PR!$BI1062,IF(K1064="THL",PR!$BJ1062,IF(K1064="UBASTIC",PR!$BK1062,IF(K1064="UNION",PR!$BL1062,IF(K1064="UNIQUE",PR!$BM1062,IF(K1064="VIXA",PR!$BN1062,IF(K1064="WWCV",PR!$BO1062,IF(K1064="ZOLON",PR!$BP1062,"-")))))))))))))))))))))))))))))))))))))))))))))))))))))))))))))))))</f>
        <v>6000</v>
      </c>
    </row>
    <row r="1065" spans="1:12" ht="18.75" x14ac:dyDescent="0.3">
      <c r="A1065" s="430">
        <f>PR!A1063</f>
        <v>958</v>
      </c>
      <c r="B1065" s="15" t="str">
        <f>PR!B1063</f>
        <v>AMOXICILLIN</v>
      </c>
      <c r="C1065" s="113" t="str">
        <f>PR!D1063</f>
        <v>1 PACK OF 250 PCS</v>
      </c>
      <c r="D1065" s="113">
        <f>PR!C1063</f>
        <v>12</v>
      </c>
      <c r="E1065" s="108">
        <f>IF(F1065="ALPHA",PR!$E1063,IF(F1065="ASSENE",PR!$F1063,IF(F1065="BIOFEM",PR!$G1063,IF(F1065="BIOMED",PR!$H1063,IF(F1065="CHI",PR!$I1063,IF(F1065="CLARION",PR!$J1063,IF(F1065="CODIX",PR!$K1063,IF(F1065="COSMADE",PR!$L1063,IF(F1065="SANCON",PR!$M1063,IF(F1065="DEVON",PR!$N1063,IF(F1065="DORTEMAG",PR!$O1063,IF(F1065="DGF",PR!$P1063,IF(F1065="DYNAMIC",PR!$Q1063,IF(F1065="EMZOR",PR!$R1063,IF(F1065="EUMATT",PR!$S1063,IF(F1065="FIDSON",PR!$T1063,IF(F1065="FCGLOBAL",PR!$U1063,IF(F1065="GENEITH",PR!$V1063,IF(F1065="GINOS",PR!$W1063,IF(F1065="GSK",PR!$X1063,IF(F1065="GLOBORG",PR!$Y1063,IF(F1065="GOODNEWS",PR!$Z1063,IF(F1065="GREENLIFE",PR!$AA1063,IF(F1065="HLINE",PR!$AB1063,IF(F1065="ROTECH",PR!$AC1063,IF(F1065="ISN",PR!$AD1063,IF(F1065="JAWA",PR!$AE1063,IF(F1065="LAYO",PR!$AF1063,IF(F1065="LEADWAY",PR!$AG1063,IF(F1065="LHV",PR!$AH1063,IF(F1065="MANOLA",PR!$AI1063,IF(F1065="MARCSON",PR!$AJ1063,IF(F1065="M&amp;B",PR!$AK1063,IF(F1065="MTRUST",PR!$AL1063,IF(F1065="MWORLD",PR!$AM1063,IF(F1065="MEGA",PR!$AN1063,IF(F1065="MICRONOVA",PR!$AO1063,IF(F1065="MFLASH",PR!$AP1063,IF(F1065="MORISON",PR!$AQ1063,IF(F1065="NEMEL",PR!$AR1063,IF(F1065="NHP",PR!$AS1063,IF(F1065="NHC",PR!$AT1063,IF(F1065="OLEAF",PR!$AU1063,IF(F1065="OCULUS",PR!$AV1063,IF(F1065="PACIFIC",PR!$AW1063,IF(F1065="PHAMATEX",PR!$AX1063,IF(F1065="PETHICS",PR!$AY1063,IF(F1065="PHILIPS",PR!$AZ1063,IF(F1065="RANBAXY",PR!$BA1063,IF(F1065="REALS",PR!$BB1063,IF(F1065="ROYAL",PR!$BC1063,IF(F1065="SAM",PR!$BD1063,IF(F1065="SEAGREEN",PR!$BE1063,IF(F1065="SKG",PR!$BF1063,IF(F1065="TAH",PR!$BG1063,IF(F1065="TAYLEK",PR!$BH1063,IF(F1065="TEMITA",PR!$BI1063,IF(F1065="THL",PR!$BJ1063,IF(F1065="UBASTIC",PR!$BK1063,IF(F1065="UNION",PR!$BL1063,IF(F1065="UNIQUE",PR!$BM1063,IF(F1065="VIXA",PR!$BN1063,IF(F1065="WWCV",PR!$BO1063,IF(F1065="ZOLON",PR!$BP1063,"-"))))))))))))))))))))))))))))))))))))))))))))))))))))))))))))))))</f>
        <v>6000</v>
      </c>
      <c r="F1065" s="102" t="str">
        <f>EV!L1342</f>
        <v>UBASTIC</v>
      </c>
      <c r="G1065" s="108">
        <f>IF(H1065="ALPHA",PR!$E1063,IF(H1065="ASSENE",PR!$F1063,IF(H1065="BIOFEM",PR!$G1063,IF(H1065="BIOMED",PR!$H1063,IF(H1065="CHI",PR!$I1063,IF(H1065="CLARION",PR!$J1063,IF(H1065="CODIX",PR!$K1063,IF(H1065="COSMADE",PR!$L1063,IF(H1065="SANCON",PR!$M1063,IF(H1065="DEVON",PR!$N1063,IF(H1065="DORTEMAG",PR!$O1063,IF(H1065="DGF",PR!$P1063,IF(H1065="DYNAMIC",PR!$Q1063,IF(H1065="EMZOR",PR!$R1063,IF(H1065="EUMATT",PR!$S1063,IF(H1065="FIDSON",PR!$T1063,IF(H1065="FCGLOBAL",PR!$U1063,IF(H1065="GENEITH",PR!$V1063,IF(H1065="GINOS",PR!$W1063,IF(H1065="GSK",PR!$X1063,IF(H1065="GLOBORG",PR!$Y1063,IF(H1065="GOODNEWS",PR!$Z1063,IF(H1065="GREENLIFE",PR!$AA1063,IF(H1065="HLINE",PR!$AB1063,IF(H1065="ROTECH",PR!$AC1063,IF(H1065="ISN",PR!$AD1063,IF(H1065="JAWA",PR!$AE1063,IF(H1065="LAYO",PR!$AF1063,IF(H1065="LEADWAY",PR!$AG1063,IF(H1065="LHV",PR!$AH1063,IF(H1065="MANOLA",PR!$AI1063,IF(H1065="MARCSON",PR!$AJ1063,IF(H1065="M&amp;B",PR!$AK1063,IF(H1065="MTRUST",PR!$AL1063,IF(H1065="MWORLD",PR!$AM1063,IF(H1065="MEGA",PR!$AN1063,IF(H1065="MICRONOVA",PR!$AO1063,IF(H1065="MFLASH",PR!$AP1063,IF(H1065="MORISON",PR!$AQ1063,IF(H1065="NEMEL",PR!$AR1063,IF(H1065="NHP",PR!$AS1063,IF(H1065="NHC",PR!$AT1063,IF(H1065="OLEAF",PR!$AU1063,IF(H1065="OCULUS",PR!$AV1063,IF(H1065="PACIFIC",PR!$AW1063,IF(H1065="PHAMATEX",PR!$AX1063,IF(H1065="PETHICS",PR!$AY1063,IF(H1065="PHILIPS",PR!$AZ1063,IF(H1065="RANBAXY",PR!$BA1063,IF(H1065="REALS",PR!$BB1063,IF(H1065="ROYAL",PR!$BC1063,IF(H1065="SAM",PR!$BD1063,IF(H1065="SEAGREEN",PR!$BE1063,IF(H1065="SKG",PR!$BF1063,IF(H1065="TAH",PR!$BG1063,IF(H1065="TAYLEK",PR!$BH1063,IF(H1065="TEMITA",PR!$BI1063,IF(H1065="THL",PR!$BJ1063,IF(H1065="UBASTIC",PR!$BK1063,IF(H1065="UNION",PR!$BL1063,IF(H1065="UNIQUE",PR!$BM1063,IF(H1065="VIXA",PR!$BN1063,IF(H1065="WWCV",PR!$BO1063,IF(H1065="ZOLON",PR!$BP1063,"-"))))))))))))))))))))))))))))))))))))))))))))))))))))))))))))))))</f>
        <v>9044</v>
      </c>
      <c r="H1065" s="102" t="str">
        <f>EV!M1342</f>
        <v>DYNAMIC</v>
      </c>
      <c r="I1065" s="108" t="str">
        <f>IF(J1065="ALPHA",PR!$E1063,IF(J1065="ASSENE",PR!$F1063,IF(J1065="BIOFEM",PR!$G1063,IF(J1065="BIOMED",PR!$H1063,IF(J1065="CHI",PR!$I1063,IF(J1065="CLARION",PR!$J1063,IF(J1065="CODIX",PR!$K1063,IF(J1065="COSMADE",PR!$L1063,IF(J1065="SANCON",PR!$M1063,IF(J1065="DEVON",PR!$N1063,IF(J1065="DORTEMAG",PR!$O1063,IF(J1065="DGF",PR!$P1063,IF(J1065="DYNAMIC",PR!$Q1063,IF(J1065="EMZOR",PR!$R1063,IF(J1065="EUMATT",PR!$S1063,IF(J1065="FIDSON",PR!$T1063,IF(J1065="FCGLOBAL",PR!$U1063,IF(J1065="GENEITH",PR!$V1063,IF(J1065="GINOS",PR!$W1063,IF(J1065="GSK",PR!$X1063,IF(J1065="GLOBORG",PR!$Y1063,IF(J1065="GOODNEWS",PR!$Z1063,IF(J1065="GREENLIFE",PR!$AA1063,IF(J1065="HLINE",PR!$AB1063,IF(J1065="ROTECH",PR!$AC1063,IF(J1065="ISN",PR!$AD1063,IF(J1065="JAWA",PR!$AE1063,IF(J1065="LAYO",PR!$AF1063,IF(J1065="LEADWAY",PR!$AG1063,IF(J1065="LHV",PR!$AH1063,IF(J1065="MANOLA",PR!$AI1063,IF(J1065="MARCSON",PR!$AJ1063,IF(J1065="M&amp;B",PR!$AK1063,IF(J1065="MTRUST",PR!$AL1063,IF(J1065="MWORLD",PR!$AM1063,IF(J1065="MEGA",PR!$AN1063,IF(J1065="MICRONOVA",PR!$AO1063,IF(J1065="MFLASH",PR!$AP1063,IF(J1065="MORISON",PR!$AQ1063,IF(J1065="NEMEL",PR!$AR1063,IF(J1065="NHP",PR!$AS1063,IF(J1065="NHC",PR!$AT1063,IF(J1065="OLEAF",PR!$AU1063,IF(J1065="OCULUS",PR!$AV1063,IF(J1065="PACIFIC",PR!$AW1063,IF(J1065="PHAMATEX",PR!$AX1063,IF(J1065="PETHICS",PR!$AY1063,IF(J1065="PHILIPS",PR!$AZ1063,IF(J1065="RANBAXY",PR!$BA1063,IF(J1065="REALS",PR!$BB1063,IF(J1065="ROYAL",PR!$BC1063,IF(J1065="SAM",PR!$BD1063,IF(J1065="SEAGREEN",PR!$BE1063,IF(J1065="SKG",PR!$BF1063,IF(J1065="TAH",PR!$BG1063,IF(J1065="TAYLEK",PR!$BH1063,IF(J1065="TEMITA",PR!$BI1063,IF(J1065="THL",PR!$BJ1063,IF(J1065="UBASTIC",PR!$BK1063,IF(J1065="UNION",PR!$BL1063,IF(J1065="UNIQUE",PR!$BM1063,IF(J1065="VIXA",PR!$BN1063,IF(J1065="WWCV",PR!$BO1063,IF(J1065="ZOLON",PR!$BP1063,"-"))))))))))))))))))))))))))))))))))))))))))))))))))))))))))))))))</f>
        <v>-</v>
      </c>
      <c r="J1065" s="102">
        <f>EV!N1342</f>
        <v>0</v>
      </c>
      <c r="K1065" s="433" t="s">
        <v>1459</v>
      </c>
      <c r="L1065" s="183">
        <f>IF(K1065&gt;0,IF(K1065="ALPHA",PR!$E1063,IF(K1065="ASSENE",PR!$F1063,IF(K1065="BIOFEM",PR!$G1063,IF(K1065="BIOMED",PR!$H1063,IF(K1065="CHI",PR!$I1063,IF(K1065="CLARION",PR!$J1063,IF(K1065="CODIX",PR!$K1063,IF(K1065="COSMADE",PR!$L1063,IF(K1065="SANCON",PR!$M1063,IF(K1065="DEVON",PR!$N1063,IF(K1065="DORTEMAG",PR!$O1063,IF(K1065="DGF",PR!$P1063,IF(K1065="DYNAMIC",PR!$Q1063,IF(K1065="EMZOR",PR!$R1063,IF(K1065="EUMATT",PR!$S1063,IF(K1065="FIDSON",PR!$T1063,IF(K1065="FCGLOBAL",PR!$U1063,IF(K1065="GENEITH",PR!$V1063,IF(K1065="GINOS",PR!$W1063,IF(K1065="GSK",PR!$X1063,IF(K1065="GLOBORG",PR!$Y1063,IF(K1065="GOODNEWS",PR!$Z1063,IF(K1065="GREENLIFE",PR!$AA1063,IF(K1065="HLINE",PR!$AB1063,IF(K1065="ROTECH",PR!$AC1063,IF(K1065="ISN",PR!$AD1063,IF(K1065="JAWA",PR!$AE1063,IF(K1065="LAYO",PR!$AF1063,IF(K1065="LEADWAY",PR!$AG1063,IF(K1065="LHV",PR!$AH1063,IF(K1065="MANOLA",PR!$AI1063,IF(K1065="MARCSON",PR!$AJ1063,IF(K1065="M&amp;B",PR!$AK1063,IF(K1065="MTRUST",PR!$AL1063,IF(K1065="MWORLD",PR!$AM1063,IF(K1065="MEGA",PR!$AN1063,IF(K1065="MICRONOVA",PR!$AO1063,IF(K1065="MFLASH",PR!$AP1063,IF(K1065="MORISON",PR!$AQ1063,IF(K1065="NEMEL",PR!$AR1063,IF(K1065="NHP",PR!$AS1063,IF(K1065="NHC",PR!$AT1063,IF(K1065="OLEAF",PR!$AU1063,IF(K1065="OCULUS",PR!$AV1063,IF(K1065="PACIFIC",PR!$AW1063,IF(K1065="PHAMATEX",PR!$AX1063,IF(K1065="PETHICS",PR!$AY1063,IF(K1065="PHILIPS",PR!$AZ1063,IF(K1065="RANBAXY",PR!$BA1063,IF(K1065="REALS",PR!$BB1063,IF(K1065="ROYAL",PR!$BC1063,IF(K1065="SAM",PR!$BD1063,IF(K1065="SEAGREEN",PR!$BE1063,IF(K1065="SKG",PR!$BF1063,IF(K1065="TAH",PR!$BG1063,IF(K1065="TAYLEK",PR!$BH1063,IF(K1065="TEMITA",PR!$BI1063,IF(K1065="THL",PR!$BJ1063,IF(K1065="UBASTIC",PR!$BK1063,IF(K1065="UNION",PR!$BL1063,IF(K1065="UNIQUE",PR!$BM1063,IF(K1065="VIXA",PR!$BN1063,IF(K1065="WWCV",PR!$BO1063,IF(K1065="ZOLON",PR!$BP1063,"-")))))))))))))))))))))))))))))))))))))))))))))))))))))))))))))))))</f>
        <v>6000</v>
      </c>
    </row>
    <row r="1066" spans="1:12" ht="18.75" x14ac:dyDescent="0.3">
      <c r="A1066" s="430">
        <f>PR!A1064</f>
        <v>959</v>
      </c>
      <c r="B1066" s="15" t="str">
        <f>PR!B1064</f>
        <v>ERYTHROMYCIN</v>
      </c>
      <c r="C1066" s="113" t="str">
        <f>PR!D1064</f>
        <v>1 PACK OF 250 PCS</v>
      </c>
      <c r="D1066" s="113">
        <f>PR!C1064</f>
        <v>12</v>
      </c>
      <c r="E1066" s="108">
        <f>IF(F1066="ALPHA",PR!$E1064,IF(F1066="ASSENE",PR!$F1064,IF(F1066="BIOFEM",PR!$G1064,IF(F1066="BIOMED",PR!$H1064,IF(F1066="CHI",PR!$I1064,IF(F1066="CLARION",PR!$J1064,IF(F1066="CODIX",PR!$K1064,IF(F1066="COSMADE",PR!$L1064,IF(F1066="SANCON",PR!$M1064,IF(F1066="DEVON",PR!$N1064,IF(F1066="DORTEMAG",PR!$O1064,IF(F1066="DGF",PR!$P1064,IF(F1066="DYNAMIC",PR!$Q1064,IF(F1066="EMZOR",PR!$R1064,IF(F1066="EUMATT",PR!$S1064,IF(F1066="FIDSON",PR!$T1064,IF(F1066="FCGLOBAL",PR!$U1064,IF(F1066="GENEITH",PR!$V1064,IF(F1066="GINOS",PR!$W1064,IF(F1066="GSK",PR!$X1064,IF(F1066="GLOBORG",PR!$Y1064,IF(F1066="GOODNEWS",PR!$Z1064,IF(F1066="GREENLIFE",PR!$AA1064,IF(F1066="HLINE",PR!$AB1064,IF(F1066="ROTECH",PR!$AC1064,IF(F1066="ISN",PR!$AD1064,IF(F1066="JAWA",PR!$AE1064,IF(F1066="LAYO",PR!$AF1064,IF(F1066="LEADWAY",PR!$AG1064,IF(F1066="LHV",PR!$AH1064,IF(F1066="MANOLA",PR!$AI1064,IF(F1066="MARCSON",PR!$AJ1064,IF(F1066="M&amp;B",PR!$AK1064,IF(F1066="MTRUST",PR!$AL1064,IF(F1066="MWORLD",PR!$AM1064,IF(F1066="MEGA",PR!$AN1064,IF(F1066="MICRONOVA",PR!$AO1064,IF(F1066="MFLASH",PR!$AP1064,IF(F1066="MORISON",PR!$AQ1064,IF(F1066="NEMEL",PR!$AR1064,IF(F1066="NHP",PR!$AS1064,IF(F1066="NHC",PR!$AT1064,IF(F1066="OLEAF",PR!$AU1064,IF(F1066="OCULUS",PR!$AV1064,IF(F1066="PACIFIC",PR!$AW1064,IF(F1066="PHAMATEX",PR!$AX1064,IF(F1066="PETHICS",PR!$AY1064,IF(F1066="PHILIPS",PR!$AZ1064,IF(F1066="RANBAXY",PR!$BA1064,IF(F1066="REALS",PR!$BB1064,IF(F1066="ROYAL",PR!$BC1064,IF(F1066="SAM",PR!$BD1064,IF(F1066="SEAGREEN",PR!$BE1064,IF(F1066="SKG",PR!$BF1064,IF(F1066="TAH",PR!$BG1064,IF(F1066="TAYLEK",PR!$BH1064,IF(F1066="TEMITA",PR!$BI1064,IF(F1066="THL",PR!$BJ1064,IF(F1066="UBASTIC",PR!$BK1064,IF(F1066="UNION",PR!$BL1064,IF(F1066="UNIQUE",PR!$BM1064,IF(F1066="VIXA",PR!$BN1064,IF(F1066="WWCV",PR!$BO1064,IF(F1066="ZOLON",PR!$BP1064,"-"))))))))))))))))))))))))))))))))))))))))))))))))))))))))))))))))</f>
        <v>6000</v>
      </c>
      <c r="F1066" s="102" t="str">
        <f>EV!L1343</f>
        <v>UBASTIC</v>
      </c>
      <c r="G1066" s="108">
        <f>IF(H1066="ALPHA",PR!$E1064,IF(H1066="ASSENE",PR!$F1064,IF(H1066="BIOFEM",PR!$G1064,IF(H1066="BIOMED",PR!$H1064,IF(H1066="CHI",PR!$I1064,IF(H1066="CLARION",PR!$J1064,IF(H1066="CODIX",PR!$K1064,IF(H1066="COSMADE",PR!$L1064,IF(H1066="SANCON",PR!$M1064,IF(H1066="DEVON",PR!$N1064,IF(H1066="DORTEMAG",PR!$O1064,IF(H1066="DGF",PR!$P1064,IF(H1066="DYNAMIC",PR!$Q1064,IF(H1066="EMZOR",PR!$R1064,IF(H1066="EUMATT",PR!$S1064,IF(H1066="FIDSON",PR!$T1064,IF(H1066="FCGLOBAL",PR!$U1064,IF(H1066="GENEITH",PR!$V1064,IF(H1066="GINOS",PR!$W1064,IF(H1066="GSK",PR!$X1064,IF(H1066="GLOBORG",PR!$Y1064,IF(H1066="GOODNEWS",PR!$Z1064,IF(H1066="GREENLIFE",PR!$AA1064,IF(H1066="HLINE",PR!$AB1064,IF(H1066="ROTECH",PR!$AC1064,IF(H1066="ISN",PR!$AD1064,IF(H1066="JAWA",PR!$AE1064,IF(H1066="LAYO",PR!$AF1064,IF(H1066="LEADWAY",PR!$AG1064,IF(H1066="LHV",PR!$AH1064,IF(H1066="MANOLA",PR!$AI1064,IF(H1066="MARCSON",PR!$AJ1064,IF(H1066="M&amp;B",PR!$AK1064,IF(H1066="MTRUST",PR!$AL1064,IF(H1066="MWORLD",PR!$AM1064,IF(H1066="MEGA",PR!$AN1064,IF(H1066="MICRONOVA",PR!$AO1064,IF(H1066="MFLASH",PR!$AP1064,IF(H1066="MORISON",PR!$AQ1064,IF(H1066="NEMEL",PR!$AR1064,IF(H1066="NHP",PR!$AS1064,IF(H1066="NHC",PR!$AT1064,IF(H1066="OLEAF",PR!$AU1064,IF(H1066="OCULUS",PR!$AV1064,IF(H1066="PACIFIC",PR!$AW1064,IF(H1066="PHAMATEX",PR!$AX1064,IF(H1066="PETHICS",PR!$AY1064,IF(H1066="PHILIPS",PR!$AZ1064,IF(H1066="RANBAXY",PR!$BA1064,IF(H1066="REALS",PR!$BB1064,IF(H1066="ROYAL",PR!$BC1064,IF(H1066="SAM",PR!$BD1064,IF(H1066="SEAGREEN",PR!$BE1064,IF(H1066="SKG",PR!$BF1064,IF(H1066="TAH",PR!$BG1064,IF(H1066="TAYLEK",PR!$BH1064,IF(H1066="TEMITA",PR!$BI1064,IF(H1066="THL",PR!$BJ1064,IF(H1066="UBASTIC",PR!$BK1064,IF(H1066="UNION",PR!$BL1064,IF(H1066="UNIQUE",PR!$BM1064,IF(H1066="VIXA",PR!$BN1064,IF(H1066="WWCV",PR!$BO1064,IF(H1066="ZOLON",PR!$BP1064,"-"))))))))))))))))))))))))))))))))))))))))))))))))))))))))))))))))</f>
        <v>9044</v>
      </c>
      <c r="H1066" s="102" t="str">
        <f>EV!M1343</f>
        <v>DYNAMIC</v>
      </c>
      <c r="I1066" s="108" t="str">
        <f>IF(J1066="ALPHA",PR!$E1064,IF(J1066="ASSENE",PR!$F1064,IF(J1066="BIOFEM",PR!$G1064,IF(J1066="BIOMED",PR!$H1064,IF(J1066="CHI",PR!$I1064,IF(J1066="CLARION",PR!$J1064,IF(J1066="CODIX",PR!$K1064,IF(J1066="COSMADE",PR!$L1064,IF(J1066="SANCON",PR!$M1064,IF(J1066="DEVON",PR!$N1064,IF(J1066="DORTEMAG",PR!$O1064,IF(J1066="DGF",PR!$P1064,IF(J1066="DYNAMIC",PR!$Q1064,IF(J1066="EMZOR",PR!$R1064,IF(J1066="EUMATT",PR!$S1064,IF(J1066="FIDSON",PR!$T1064,IF(J1066="FCGLOBAL",PR!$U1064,IF(J1066="GENEITH",PR!$V1064,IF(J1066="GINOS",PR!$W1064,IF(J1066="GSK",PR!$X1064,IF(J1066="GLOBORG",PR!$Y1064,IF(J1066="GOODNEWS",PR!$Z1064,IF(J1066="GREENLIFE",PR!$AA1064,IF(J1066="HLINE",PR!$AB1064,IF(J1066="ROTECH",PR!$AC1064,IF(J1066="ISN",PR!$AD1064,IF(J1066="JAWA",PR!$AE1064,IF(J1066="LAYO",PR!$AF1064,IF(J1066="LEADWAY",PR!$AG1064,IF(J1066="LHV",PR!$AH1064,IF(J1066="MANOLA",PR!$AI1064,IF(J1066="MARCSON",PR!$AJ1064,IF(J1066="M&amp;B",PR!$AK1064,IF(J1066="MTRUST",PR!$AL1064,IF(J1066="MWORLD",PR!$AM1064,IF(J1066="MEGA",PR!$AN1064,IF(J1066="MICRONOVA",PR!$AO1064,IF(J1066="MFLASH",PR!$AP1064,IF(J1066="MORISON",PR!$AQ1064,IF(J1066="NEMEL",PR!$AR1064,IF(J1066="NHP",PR!$AS1064,IF(J1066="NHC",PR!$AT1064,IF(J1066="OLEAF",PR!$AU1064,IF(J1066="OCULUS",PR!$AV1064,IF(J1066="PACIFIC",PR!$AW1064,IF(J1066="PHAMATEX",PR!$AX1064,IF(J1066="PETHICS",PR!$AY1064,IF(J1066="PHILIPS",PR!$AZ1064,IF(J1066="RANBAXY",PR!$BA1064,IF(J1066="REALS",PR!$BB1064,IF(J1066="ROYAL",PR!$BC1064,IF(J1066="SAM",PR!$BD1064,IF(J1066="SEAGREEN",PR!$BE1064,IF(J1066="SKG",PR!$BF1064,IF(J1066="TAH",PR!$BG1064,IF(J1066="TAYLEK",PR!$BH1064,IF(J1066="TEMITA",PR!$BI1064,IF(J1066="THL",PR!$BJ1064,IF(J1066="UBASTIC",PR!$BK1064,IF(J1066="UNION",PR!$BL1064,IF(J1066="UNIQUE",PR!$BM1064,IF(J1066="VIXA",PR!$BN1064,IF(J1066="WWCV",PR!$BO1064,IF(J1066="ZOLON",PR!$BP1064,"-"))))))))))))))))))))))))))))))))))))))))))))))))))))))))))))))))</f>
        <v>-</v>
      </c>
      <c r="J1066" s="102">
        <f>EV!N1343</f>
        <v>0</v>
      </c>
      <c r="K1066" s="433" t="s">
        <v>1459</v>
      </c>
      <c r="L1066" s="183">
        <f>IF(K1066&gt;0,IF(K1066="ALPHA",PR!$E1064,IF(K1066="ASSENE",PR!$F1064,IF(K1066="BIOFEM",PR!$G1064,IF(K1066="BIOMED",PR!$H1064,IF(K1066="CHI",PR!$I1064,IF(K1066="CLARION",PR!$J1064,IF(K1066="CODIX",PR!$K1064,IF(K1066="COSMADE",PR!$L1064,IF(K1066="SANCON",PR!$M1064,IF(K1066="DEVON",PR!$N1064,IF(K1066="DORTEMAG",PR!$O1064,IF(K1066="DGF",PR!$P1064,IF(K1066="DYNAMIC",PR!$Q1064,IF(K1066="EMZOR",PR!$R1064,IF(K1066="EUMATT",PR!$S1064,IF(K1066="FIDSON",PR!$T1064,IF(K1066="FCGLOBAL",PR!$U1064,IF(K1066="GENEITH",PR!$V1064,IF(K1066="GINOS",PR!$W1064,IF(K1066="GSK",PR!$X1064,IF(K1066="GLOBORG",PR!$Y1064,IF(K1066="GOODNEWS",PR!$Z1064,IF(K1066="GREENLIFE",PR!$AA1064,IF(K1066="HLINE",PR!$AB1064,IF(K1066="ROTECH",PR!$AC1064,IF(K1066="ISN",PR!$AD1064,IF(K1066="JAWA",PR!$AE1064,IF(K1066="LAYO",PR!$AF1064,IF(K1066="LEADWAY",PR!$AG1064,IF(K1066="LHV",PR!$AH1064,IF(K1066="MANOLA",PR!$AI1064,IF(K1066="MARCSON",PR!$AJ1064,IF(K1066="M&amp;B",PR!$AK1064,IF(K1066="MTRUST",PR!$AL1064,IF(K1066="MWORLD",PR!$AM1064,IF(K1066="MEGA",PR!$AN1064,IF(K1066="MICRONOVA",PR!$AO1064,IF(K1066="MFLASH",PR!$AP1064,IF(K1066="MORISON",PR!$AQ1064,IF(K1066="NEMEL",PR!$AR1064,IF(K1066="NHP",PR!$AS1064,IF(K1066="NHC",PR!$AT1064,IF(K1066="OLEAF",PR!$AU1064,IF(K1066="OCULUS",PR!$AV1064,IF(K1066="PACIFIC",PR!$AW1064,IF(K1066="PHAMATEX",PR!$AX1064,IF(K1066="PETHICS",PR!$AY1064,IF(K1066="PHILIPS",PR!$AZ1064,IF(K1066="RANBAXY",PR!$BA1064,IF(K1066="REALS",PR!$BB1064,IF(K1066="ROYAL",PR!$BC1064,IF(K1066="SAM",PR!$BD1064,IF(K1066="SEAGREEN",PR!$BE1064,IF(K1066="SKG",PR!$BF1064,IF(K1066="TAH",PR!$BG1064,IF(K1066="TAYLEK",PR!$BH1064,IF(K1066="TEMITA",PR!$BI1064,IF(K1066="THL",PR!$BJ1064,IF(K1066="UBASTIC",PR!$BK1064,IF(K1066="UNION",PR!$BL1064,IF(K1066="UNIQUE",PR!$BM1064,IF(K1066="VIXA",PR!$BN1064,IF(K1066="WWCV",PR!$BO1064,IF(K1066="ZOLON",PR!$BP1064,"-")))))))))))))))))))))))))))))))))))))))))))))))))))))))))))))))))</f>
        <v>6000</v>
      </c>
    </row>
    <row r="1067" spans="1:12" ht="18.75" x14ac:dyDescent="0.3">
      <c r="A1067" s="430">
        <f>PR!A1065</f>
        <v>960</v>
      </c>
      <c r="B1067" s="15" t="str">
        <f>PR!B1065</f>
        <v>GENTAMYCIN</v>
      </c>
      <c r="C1067" s="113" t="str">
        <f>PR!D1065</f>
        <v>1 PACK OF 250 PCS</v>
      </c>
      <c r="D1067" s="113">
        <f>PR!C1065</f>
        <v>12</v>
      </c>
      <c r="E1067" s="108">
        <f>IF(F1067="ALPHA",PR!$E1065,IF(F1067="ASSENE",PR!$F1065,IF(F1067="BIOFEM",PR!$G1065,IF(F1067="BIOMED",PR!$H1065,IF(F1067="CHI",PR!$I1065,IF(F1067="CLARION",PR!$J1065,IF(F1067="CODIX",PR!$K1065,IF(F1067="COSMADE",PR!$L1065,IF(F1067="SANCON",PR!$M1065,IF(F1067="DEVON",PR!$N1065,IF(F1067="DORTEMAG",PR!$O1065,IF(F1067="DGF",PR!$P1065,IF(F1067="DYNAMIC",PR!$Q1065,IF(F1067="EMZOR",PR!$R1065,IF(F1067="EUMATT",PR!$S1065,IF(F1067="FIDSON",PR!$T1065,IF(F1067="FCGLOBAL",PR!$U1065,IF(F1067="GENEITH",PR!$V1065,IF(F1067="GINOS",PR!$W1065,IF(F1067="GSK",PR!$X1065,IF(F1067="GLOBORG",PR!$Y1065,IF(F1067="GOODNEWS",PR!$Z1065,IF(F1067="GREENLIFE",PR!$AA1065,IF(F1067="HLINE",PR!$AB1065,IF(F1067="ROTECH",PR!$AC1065,IF(F1067="ISN",PR!$AD1065,IF(F1067="JAWA",PR!$AE1065,IF(F1067="LAYO",PR!$AF1065,IF(F1067="LEADWAY",PR!$AG1065,IF(F1067="LHV",PR!$AH1065,IF(F1067="MANOLA",PR!$AI1065,IF(F1067="MARCSON",PR!$AJ1065,IF(F1067="M&amp;B",PR!$AK1065,IF(F1067="MTRUST",PR!$AL1065,IF(F1067="MWORLD",PR!$AM1065,IF(F1067="MEGA",PR!$AN1065,IF(F1067="MICRONOVA",PR!$AO1065,IF(F1067="MFLASH",PR!$AP1065,IF(F1067="MORISON",PR!$AQ1065,IF(F1067="NEMEL",PR!$AR1065,IF(F1067="NHP",PR!$AS1065,IF(F1067="NHC",PR!$AT1065,IF(F1067="OLEAF",PR!$AU1065,IF(F1067="OCULUS",PR!$AV1065,IF(F1067="PACIFIC",PR!$AW1065,IF(F1067="PHAMATEX",PR!$AX1065,IF(F1067="PETHICS",PR!$AY1065,IF(F1067="PHILIPS",PR!$AZ1065,IF(F1067="RANBAXY",PR!$BA1065,IF(F1067="REALS",PR!$BB1065,IF(F1067="ROYAL",PR!$BC1065,IF(F1067="SAM",PR!$BD1065,IF(F1067="SEAGREEN",PR!$BE1065,IF(F1067="SKG",PR!$BF1065,IF(F1067="TAH",PR!$BG1065,IF(F1067="TAYLEK",PR!$BH1065,IF(F1067="TEMITA",PR!$BI1065,IF(F1067="THL",PR!$BJ1065,IF(F1067="UBASTIC",PR!$BK1065,IF(F1067="UNION",PR!$BL1065,IF(F1067="UNIQUE",PR!$BM1065,IF(F1067="VIXA",PR!$BN1065,IF(F1067="WWCV",PR!$BO1065,IF(F1067="ZOLON",PR!$BP1065,"-"))))))))))))))))))))))))))))))))))))))))))))))))))))))))))))))))</f>
        <v>6000</v>
      </c>
      <c r="F1067" s="102" t="str">
        <f>EV!L1344</f>
        <v>UBASTIC</v>
      </c>
      <c r="G1067" s="108">
        <f>IF(H1067="ALPHA",PR!$E1065,IF(H1067="ASSENE",PR!$F1065,IF(H1067="BIOFEM",PR!$G1065,IF(H1067="BIOMED",PR!$H1065,IF(H1067="CHI",PR!$I1065,IF(H1067="CLARION",PR!$J1065,IF(H1067="CODIX",PR!$K1065,IF(H1067="COSMADE",PR!$L1065,IF(H1067="SANCON",PR!$M1065,IF(H1067="DEVON",PR!$N1065,IF(H1067="DORTEMAG",PR!$O1065,IF(H1067="DGF",PR!$P1065,IF(H1067="DYNAMIC",PR!$Q1065,IF(H1067="EMZOR",PR!$R1065,IF(H1067="EUMATT",PR!$S1065,IF(H1067="FIDSON",PR!$T1065,IF(H1067="FCGLOBAL",PR!$U1065,IF(H1067="GENEITH",PR!$V1065,IF(H1067="GINOS",PR!$W1065,IF(H1067="GSK",PR!$X1065,IF(H1067="GLOBORG",PR!$Y1065,IF(H1067="GOODNEWS",PR!$Z1065,IF(H1067="GREENLIFE",PR!$AA1065,IF(H1067="HLINE",PR!$AB1065,IF(H1067="ROTECH",PR!$AC1065,IF(H1067="ISN",PR!$AD1065,IF(H1067="JAWA",PR!$AE1065,IF(H1067="LAYO",PR!$AF1065,IF(H1067="LEADWAY",PR!$AG1065,IF(H1067="LHV",PR!$AH1065,IF(H1067="MANOLA",PR!$AI1065,IF(H1067="MARCSON",PR!$AJ1065,IF(H1067="M&amp;B",PR!$AK1065,IF(H1067="MTRUST",PR!$AL1065,IF(H1067="MWORLD",PR!$AM1065,IF(H1067="MEGA",PR!$AN1065,IF(H1067="MICRONOVA",PR!$AO1065,IF(H1067="MFLASH",PR!$AP1065,IF(H1067="MORISON",PR!$AQ1065,IF(H1067="NEMEL",PR!$AR1065,IF(H1067="NHP",PR!$AS1065,IF(H1067="NHC",PR!$AT1065,IF(H1067="OLEAF",PR!$AU1065,IF(H1067="OCULUS",PR!$AV1065,IF(H1067="PACIFIC",PR!$AW1065,IF(H1067="PHAMATEX",PR!$AX1065,IF(H1067="PETHICS",PR!$AY1065,IF(H1067="PHILIPS",PR!$AZ1065,IF(H1067="RANBAXY",PR!$BA1065,IF(H1067="REALS",PR!$BB1065,IF(H1067="ROYAL",PR!$BC1065,IF(H1067="SAM",PR!$BD1065,IF(H1067="SEAGREEN",PR!$BE1065,IF(H1067="SKG",PR!$BF1065,IF(H1067="TAH",PR!$BG1065,IF(H1067="TAYLEK",PR!$BH1065,IF(H1067="TEMITA",PR!$BI1065,IF(H1067="THL",PR!$BJ1065,IF(H1067="UBASTIC",PR!$BK1065,IF(H1067="UNION",PR!$BL1065,IF(H1067="UNIQUE",PR!$BM1065,IF(H1067="VIXA",PR!$BN1065,IF(H1067="WWCV",PR!$BO1065,IF(H1067="ZOLON",PR!$BP1065,"-"))))))))))))))))))))))))))))))))))))))))))))))))))))))))))))))))</f>
        <v>9044</v>
      </c>
      <c r="H1067" s="102" t="str">
        <f>EV!M1344</f>
        <v>DYNAMIC</v>
      </c>
      <c r="I1067" s="108" t="str">
        <f>IF(J1067="ALPHA",PR!$E1065,IF(J1067="ASSENE",PR!$F1065,IF(J1067="BIOFEM",PR!$G1065,IF(J1067="BIOMED",PR!$H1065,IF(J1067="CHI",PR!$I1065,IF(J1067="CLARION",PR!$J1065,IF(J1067="CODIX",PR!$K1065,IF(J1067="COSMADE",PR!$L1065,IF(J1067="SANCON",PR!$M1065,IF(J1067="DEVON",PR!$N1065,IF(J1067="DORTEMAG",PR!$O1065,IF(J1067="DGF",PR!$P1065,IF(J1067="DYNAMIC",PR!$Q1065,IF(J1067="EMZOR",PR!$R1065,IF(J1067="EUMATT",PR!$S1065,IF(J1067="FIDSON",PR!$T1065,IF(J1067="FCGLOBAL",PR!$U1065,IF(J1067="GENEITH",PR!$V1065,IF(J1067="GINOS",PR!$W1065,IF(J1067="GSK",PR!$X1065,IF(J1067="GLOBORG",PR!$Y1065,IF(J1067="GOODNEWS",PR!$Z1065,IF(J1067="GREENLIFE",PR!$AA1065,IF(J1067="HLINE",PR!$AB1065,IF(J1067="ROTECH",PR!$AC1065,IF(J1067="ISN",PR!$AD1065,IF(J1067="JAWA",PR!$AE1065,IF(J1067="LAYO",PR!$AF1065,IF(J1067="LEADWAY",PR!$AG1065,IF(J1067="LHV",PR!$AH1065,IF(J1067="MANOLA",PR!$AI1065,IF(J1067="MARCSON",PR!$AJ1065,IF(J1067="M&amp;B",PR!$AK1065,IF(J1067="MTRUST",PR!$AL1065,IF(J1067="MWORLD",PR!$AM1065,IF(J1067="MEGA",PR!$AN1065,IF(J1067="MICRONOVA",PR!$AO1065,IF(J1067="MFLASH",PR!$AP1065,IF(J1067="MORISON",PR!$AQ1065,IF(J1067="NEMEL",PR!$AR1065,IF(J1067="NHP",PR!$AS1065,IF(J1067="NHC",PR!$AT1065,IF(J1067="OLEAF",PR!$AU1065,IF(J1067="OCULUS",PR!$AV1065,IF(J1067="PACIFIC",PR!$AW1065,IF(J1067="PHAMATEX",PR!$AX1065,IF(J1067="PETHICS",PR!$AY1065,IF(J1067="PHILIPS",PR!$AZ1065,IF(J1067="RANBAXY",PR!$BA1065,IF(J1067="REALS",PR!$BB1065,IF(J1067="ROYAL",PR!$BC1065,IF(J1067="SAM",PR!$BD1065,IF(J1067="SEAGREEN",PR!$BE1065,IF(J1067="SKG",PR!$BF1065,IF(J1067="TAH",PR!$BG1065,IF(J1067="TAYLEK",PR!$BH1065,IF(J1067="TEMITA",PR!$BI1065,IF(J1067="THL",PR!$BJ1065,IF(J1067="UBASTIC",PR!$BK1065,IF(J1067="UNION",PR!$BL1065,IF(J1067="UNIQUE",PR!$BM1065,IF(J1067="VIXA",PR!$BN1065,IF(J1067="WWCV",PR!$BO1065,IF(J1067="ZOLON",PR!$BP1065,"-"))))))))))))))))))))))))))))))))))))))))))))))))))))))))))))))))</f>
        <v>-</v>
      </c>
      <c r="J1067" s="102">
        <f>EV!N1344</f>
        <v>0</v>
      </c>
      <c r="K1067" s="433" t="s">
        <v>1459</v>
      </c>
      <c r="L1067" s="183">
        <f>IF(K1067&gt;0,IF(K1067="ALPHA",PR!$E1065,IF(K1067="ASSENE",PR!$F1065,IF(K1067="BIOFEM",PR!$G1065,IF(K1067="BIOMED",PR!$H1065,IF(K1067="CHI",PR!$I1065,IF(K1067="CLARION",PR!$J1065,IF(K1067="CODIX",PR!$K1065,IF(K1067="COSMADE",PR!$L1065,IF(K1067="SANCON",PR!$M1065,IF(K1067="DEVON",PR!$N1065,IF(K1067="DORTEMAG",PR!$O1065,IF(K1067="DGF",PR!$P1065,IF(K1067="DYNAMIC",PR!$Q1065,IF(K1067="EMZOR",PR!$R1065,IF(K1067="EUMATT",PR!$S1065,IF(K1067="FIDSON",PR!$T1065,IF(K1067="FCGLOBAL",PR!$U1065,IF(K1067="GENEITH",PR!$V1065,IF(K1067="GINOS",PR!$W1065,IF(K1067="GSK",PR!$X1065,IF(K1067="GLOBORG",PR!$Y1065,IF(K1067="GOODNEWS",PR!$Z1065,IF(K1067="GREENLIFE",PR!$AA1065,IF(K1067="HLINE",PR!$AB1065,IF(K1067="ROTECH",PR!$AC1065,IF(K1067="ISN",PR!$AD1065,IF(K1067="JAWA",PR!$AE1065,IF(K1067="LAYO",PR!$AF1065,IF(K1067="LEADWAY",PR!$AG1065,IF(K1067="LHV",PR!$AH1065,IF(K1067="MANOLA",PR!$AI1065,IF(K1067="MARCSON",PR!$AJ1065,IF(K1067="M&amp;B",PR!$AK1065,IF(K1067="MTRUST",PR!$AL1065,IF(K1067="MWORLD",PR!$AM1065,IF(K1067="MEGA",PR!$AN1065,IF(K1067="MICRONOVA",PR!$AO1065,IF(K1067="MFLASH",PR!$AP1065,IF(K1067="MORISON",PR!$AQ1065,IF(K1067="NEMEL",PR!$AR1065,IF(K1067="NHP",PR!$AS1065,IF(K1067="NHC",PR!$AT1065,IF(K1067="OLEAF",PR!$AU1065,IF(K1067="OCULUS",PR!$AV1065,IF(K1067="PACIFIC",PR!$AW1065,IF(K1067="PHAMATEX",PR!$AX1065,IF(K1067="PETHICS",PR!$AY1065,IF(K1067="PHILIPS",PR!$AZ1065,IF(K1067="RANBAXY",PR!$BA1065,IF(K1067="REALS",PR!$BB1065,IF(K1067="ROYAL",PR!$BC1065,IF(K1067="SAM",PR!$BD1065,IF(K1067="SEAGREEN",PR!$BE1065,IF(K1067="SKG",PR!$BF1065,IF(K1067="TAH",PR!$BG1065,IF(K1067="TAYLEK",PR!$BH1065,IF(K1067="TEMITA",PR!$BI1065,IF(K1067="THL",PR!$BJ1065,IF(K1067="UBASTIC",PR!$BK1065,IF(K1067="UNION",PR!$BL1065,IF(K1067="UNIQUE",PR!$BM1065,IF(K1067="VIXA",PR!$BN1065,IF(K1067="WWCV",PR!$BO1065,IF(K1067="ZOLON",PR!$BP1065,"-")))))))))))))))))))))))))))))))))))))))))))))))))))))))))))))))))</f>
        <v>6000</v>
      </c>
    </row>
    <row r="1068" spans="1:12" ht="18.75" x14ac:dyDescent="0.3">
      <c r="A1068" s="430">
        <f>PR!A1066</f>
        <v>961</v>
      </c>
      <c r="B1068" s="15" t="str">
        <f>PR!B1066</f>
        <v>IMIPENEM</v>
      </c>
      <c r="C1068" s="113" t="str">
        <f>PR!D1066</f>
        <v>1 PACK OF 250 PCS</v>
      </c>
      <c r="D1068" s="113">
        <f>PR!C1066</f>
        <v>12</v>
      </c>
      <c r="E1068" s="108">
        <f>IF(F1068="ALPHA",PR!$E1066,IF(F1068="ASSENE",PR!$F1066,IF(F1068="BIOFEM",PR!$G1066,IF(F1068="BIOMED",PR!$H1066,IF(F1068="CHI",PR!$I1066,IF(F1068="CLARION",PR!$J1066,IF(F1068="CODIX",PR!$K1066,IF(F1068="COSMADE",PR!$L1066,IF(F1068="SANCON",PR!$M1066,IF(F1068="DEVON",PR!$N1066,IF(F1068="DORTEMAG",PR!$O1066,IF(F1068="DGF",PR!$P1066,IF(F1068="DYNAMIC",PR!$Q1066,IF(F1068="EMZOR",PR!$R1066,IF(F1068="EUMATT",PR!$S1066,IF(F1068="FIDSON",PR!$T1066,IF(F1068="FCGLOBAL",PR!$U1066,IF(F1068="GENEITH",PR!$V1066,IF(F1068="GINOS",PR!$W1066,IF(F1068="GSK",PR!$X1066,IF(F1068="GLOBORG",PR!$Y1066,IF(F1068="GOODNEWS",PR!$Z1066,IF(F1068="GREENLIFE",PR!$AA1066,IF(F1068="HLINE",PR!$AB1066,IF(F1068="ROTECH",PR!$AC1066,IF(F1068="ISN",PR!$AD1066,IF(F1068="JAWA",PR!$AE1066,IF(F1068="LAYO",PR!$AF1066,IF(F1068="LEADWAY",PR!$AG1066,IF(F1068="LHV",PR!$AH1066,IF(F1068="MANOLA",PR!$AI1066,IF(F1068="MARCSON",PR!$AJ1066,IF(F1068="M&amp;B",PR!$AK1066,IF(F1068="MTRUST",PR!$AL1066,IF(F1068="MWORLD",PR!$AM1066,IF(F1068="MEGA",PR!$AN1066,IF(F1068="MICRONOVA",PR!$AO1066,IF(F1068="MFLASH",PR!$AP1066,IF(F1068="MORISON",PR!$AQ1066,IF(F1068="NEMEL",PR!$AR1066,IF(F1068="NHP",PR!$AS1066,IF(F1068="NHC",PR!$AT1066,IF(F1068="OLEAF",PR!$AU1066,IF(F1068="OCULUS",PR!$AV1066,IF(F1068="PACIFIC",PR!$AW1066,IF(F1068="PHAMATEX",PR!$AX1066,IF(F1068="PETHICS",PR!$AY1066,IF(F1068="PHILIPS",PR!$AZ1066,IF(F1068="RANBAXY",PR!$BA1066,IF(F1068="REALS",PR!$BB1066,IF(F1068="ROYAL",PR!$BC1066,IF(F1068="SAM",PR!$BD1066,IF(F1068="SEAGREEN",PR!$BE1066,IF(F1068="SKG",PR!$BF1066,IF(F1068="TAH",PR!$BG1066,IF(F1068="TAYLEK",PR!$BH1066,IF(F1068="TEMITA",PR!$BI1066,IF(F1068="THL",PR!$BJ1066,IF(F1068="UBASTIC",PR!$BK1066,IF(F1068="UNION",PR!$BL1066,IF(F1068="UNIQUE",PR!$BM1066,IF(F1068="VIXA",PR!$BN1066,IF(F1068="WWCV",PR!$BO1066,IF(F1068="ZOLON",PR!$BP1066,"-"))))))))))))))))))))))))))))))))))))))))))))))))))))))))))))))))</f>
        <v>6000</v>
      </c>
      <c r="F1068" s="102" t="str">
        <f>EV!L1370</f>
        <v>UBASTIC</v>
      </c>
      <c r="G1068" s="108">
        <f>IF(H1068="ALPHA",PR!$E1066,IF(H1068="ASSENE",PR!$F1066,IF(H1068="BIOFEM",PR!$G1066,IF(H1068="BIOMED",PR!$H1066,IF(H1068="CHI",PR!$I1066,IF(H1068="CLARION",PR!$J1066,IF(H1068="CODIX",PR!$K1066,IF(H1068="COSMADE",PR!$L1066,IF(H1068="SANCON",PR!$M1066,IF(H1068="DEVON",PR!$N1066,IF(H1068="DORTEMAG",PR!$O1066,IF(H1068="DGF",PR!$P1066,IF(H1068="DYNAMIC",PR!$Q1066,IF(H1068="EMZOR",PR!$R1066,IF(H1068="EUMATT",PR!$S1066,IF(H1068="FIDSON",PR!$T1066,IF(H1068="FCGLOBAL",PR!$U1066,IF(H1068="GENEITH",PR!$V1066,IF(H1068="GINOS",PR!$W1066,IF(H1068="GSK",PR!$X1066,IF(H1068="GLOBORG",PR!$Y1066,IF(H1068="GOODNEWS",PR!$Z1066,IF(H1068="GREENLIFE",PR!$AA1066,IF(H1068="HLINE",PR!$AB1066,IF(H1068="ROTECH",PR!$AC1066,IF(H1068="ISN",PR!$AD1066,IF(H1068="JAWA",PR!$AE1066,IF(H1068="LAYO",PR!$AF1066,IF(H1068="LEADWAY",PR!$AG1066,IF(H1068="LHV",PR!$AH1066,IF(H1068="MANOLA",PR!$AI1066,IF(H1068="MARCSON",PR!$AJ1066,IF(H1068="M&amp;B",PR!$AK1066,IF(H1068="MTRUST",PR!$AL1066,IF(H1068="MWORLD",PR!$AM1066,IF(H1068="MEGA",PR!$AN1066,IF(H1068="MICRONOVA",PR!$AO1066,IF(H1068="MFLASH",PR!$AP1066,IF(H1068="MORISON",PR!$AQ1066,IF(H1068="NEMEL",PR!$AR1066,IF(H1068="NHP",PR!$AS1066,IF(H1068="NHC",PR!$AT1066,IF(H1068="OLEAF",PR!$AU1066,IF(H1068="OCULUS",PR!$AV1066,IF(H1068="PACIFIC",PR!$AW1066,IF(H1068="PHAMATEX",PR!$AX1066,IF(H1068="PETHICS",PR!$AY1066,IF(H1068="PHILIPS",PR!$AZ1066,IF(H1068="RANBAXY",PR!$BA1066,IF(H1068="REALS",PR!$BB1066,IF(H1068="ROYAL",PR!$BC1066,IF(H1068="SAM",PR!$BD1066,IF(H1068="SEAGREEN",PR!$BE1066,IF(H1068="SKG",PR!$BF1066,IF(H1068="TAH",PR!$BG1066,IF(H1068="TAYLEK",PR!$BH1066,IF(H1068="TEMITA",PR!$BI1066,IF(H1068="THL",PR!$BJ1066,IF(H1068="UBASTIC",PR!$BK1066,IF(H1068="UNION",PR!$BL1066,IF(H1068="UNIQUE",PR!$BM1066,IF(H1068="VIXA",PR!$BN1066,IF(H1068="WWCV",PR!$BO1066,IF(H1068="ZOLON",PR!$BP1066,"-"))))))))))))))))))))))))))))))))))))))))))))))))))))))))))))))))</f>
        <v>9044</v>
      </c>
      <c r="H1068" s="102" t="str">
        <f>EV!M1370</f>
        <v>DYNAMIC</v>
      </c>
      <c r="I1068" s="108">
        <f>IF(J1068="ALPHA",PR!$E1066,IF(J1068="ASSENE",PR!$F1066,IF(J1068="BIOFEM",PR!$G1066,IF(J1068="BIOMED",PR!$H1066,IF(J1068="CHI",PR!$I1066,IF(J1068="CLARION",PR!$J1066,IF(J1068="CODIX",PR!$K1066,IF(J1068="COSMADE",PR!$L1066,IF(J1068="SANCON",PR!$M1066,IF(J1068="DEVON",PR!$N1066,IF(J1068="DORTEMAG",PR!$O1066,IF(J1068="DGF",PR!$P1066,IF(J1068="DYNAMIC",PR!$Q1066,IF(J1068="EMZOR",PR!$R1066,IF(J1068="EUMATT",PR!$S1066,IF(J1068="FIDSON",PR!$T1066,IF(J1068="FCGLOBAL",PR!$U1066,IF(J1068="GENEITH",PR!$V1066,IF(J1068="GINOS",PR!$W1066,IF(J1068="GSK",PR!$X1066,IF(J1068="GLOBORG",PR!$Y1066,IF(J1068="GOODNEWS",PR!$Z1066,IF(J1068="GREENLIFE",PR!$AA1066,IF(J1068="HLINE",PR!$AB1066,IF(J1068="ROTECH",PR!$AC1066,IF(J1068="ISN",PR!$AD1066,IF(J1068="JAWA",PR!$AE1066,IF(J1068="LAYO",PR!$AF1066,IF(J1068="LEADWAY",PR!$AG1066,IF(J1068="LHV",PR!$AH1066,IF(J1068="MANOLA",PR!$AI1066,IF(J1068="MARCSON",PR!$AJ1066,IF(J1068="M&amp;B",PR!$AK1066,IF(J1068="MTRUST",PR!$AL1066,IF(J1068="MWORLD",PR!$AM1066,IF(J1068="MEGA",PR!$AN1066,IF(J1068="MICRONOVA",PR!$AO1066,IF(J1068="MFLASH",PR!$AP1066,IF(J1068="MORISON",PR!$AQ1066,IF(J1068="NEMEL",PR!$AR1066,IF(J1068="NHP",PR!$AS1066,IF(J1068="NHC",PR!$AT1066,IF(J1068="OLEAF",PR!$AU1066,IF(J1068="OCULUS",PR!$AV1066,IF(J1068="PACIFIC",PR!$AW1066,IF(J1068="PHAMATEX",PR!$AX1066,IF(J1068="PETHICS",PR!$AY1066,IF(J1068="PHILIPS",PR!$AZ1066,IF(J1068="RANBAXY",PR!$BA1066,IF(J1068="REALS",PR!$BB1066,IF(J1068="ROYAL",PR!$BC1066,IF(J1068="SAM",PR!$BD1066,IF(J1068="SEAGREEN",PR!$BE1066,IF(J1068="SKG",PR!$BF1066,IF(J1068="TAH",PR!$BG1066,IF(J1068="TAYLEK",PR!$BH1066,IF(J1068="TEMITA",PR!$BI1066,IF(J1068="THL",PR!$BJ1066,IF(J1068="UBASTIC",PR!$BK1066,IF(J1068="UNION",PR!$BL1066,IF(J1068="UNIQUE",PR!$BM1066,IF(J1068="VIXA",PR!$BN1066,IF(J1068="WWCV",PR!$BO1066,IF(J1068="ZOLON",PR!$BP1066,"-"))))))))))))))))))))))))))))))))))))))))))))))))))))))))))))))))</f>
        <v>14000</v>
      </c>
      <c r="J1068" s="102" t="str">
        <f>EV!N1370</f>
        <v>COSMADE</v>
      </c>
      <c r="K1068" s="433" t="s">
        <v>1459</v>
      </c>
      <c r="L1068" s="183">
        <f>IF(K1068&gt;0,IF(K1068="ALPHA",PR!$E1066,IF(K1068="ASSENE",PR!$F1066,IF(K1068="BIOFEM",PR!$G1066,IF(K1068="BIOMED",PR!$H1066,IF(K1068="CHI",PR!$I1066,IF(K1068="CLARION",PR!$J1066,IF(K1068="CODIX",PR!$K1066,IF(K1068="COSMADE",PR!$L1066,IF(K1068="SANCON",PR!$M1066,IF(K1068="DEVON",PR!$N1066,IF(K1068="DORTEMAG",PR!$O1066,IF(K1068="DGF",PR!$P1066,IF(K1068="DYNAMIC",PR!$Q1066,IF(K1068="EMZOR",PR!$R1066,IF(K1068="EUMATT",PR!$S1066,IF(K1068="FIDSON",PR!$T1066,IF(K1068="FCGLOBAL",PR!$U1066,IF(K1068="GENEITH",PR!$V1066,IF(K1068="GINOS",PR!$W1066,IF(K1068="GSK",PR!$X1066,IF(K1068="GLOBORG",PR!$Y1066,IF(K1068="GOODNEWS",PR!$Z1066,IF(K1068="GREENLIFE",PR!$AA1066,IF(K1068="HLINE",PR!$AB1066,IF(K1068="ROTECH",PR!$AC1066,IF(K1068="ISN",PR!$AD1066,IF(K1068="JAWA",PR!$AE1066,IF(K1068="LAYO",PR!$AF1066,IF(K1068="LEADWAY",PR!$AG1066,IF(K1068="LHV",PR!$AH1066,IF(K1068="MANOLA",PR!$AI1066,IF(K1068="MARCSON",PR!$AJ1066,IF(K1068="M&amp;B",PR!$AK1066,IF(K1068="MTRUST",PR!$AL1066,IF(K1068="MWORLD",PR!$AM1066,IF(K1068="MEGA",PR!$AN1066,IF(K1068="MICRONOVA",PR!$AO1066,IF(K1068="MFLASH",PR!$AP1066,IF(K1068="MORISON",PR!$AQ1066,IF(K1068="NEMEL",PR!$AR1066,IF(K1068="NHP",PR!$AS1066,IF(K1068="NHC",PR!$AT1066,IF(K1068="OLEAF",PR!$AU1066,IF(K1068="OCULUS",PR!$AV1066,IF(K1068="PACIFIC",PR!$AW1066,IF(K1068="PHAMATEX",PR!$AX1066,IF(K1068="PETHICS",PR!$AY1066,IF(K1068="PHILIPS",PR!$AZ1066,IF(K1068="RANBAXY",PR!$BA1066,IF(K1068="REALS",PR!$BB1066,IF(K1068="ROYAL",PR!$BC1066,IF(K1068="SAM",PR!$BD1066,IF(K1068="SEAGREEN",PR!$BE1066,IF(K1068="SKG",PR!$BF1066,IF(K1068="TAH",PR!$BG1066,IF(K1068="TAYLEK",PR!$BH1066,IF(K1068="TEMITA",PR!$BI1066,IF(K1068="THL",PR!$BJ1066,IF(K1068="UBASTIC",PR!$BK1066,IF(K1068="UNION",PR!$BL1066,IF(K1068="UNIQUE",PR!$BM1066,IF(K1068="VIXA",PR!$BN1066,IF(K1068="WWCV",PR!$BO1066,IF(K1068="ZOLON",PR!$BP1066,"-")))))))))))))))))))))))))))))))))))))))))))))))))))))))))))))))))</f>
        <v>6000</v>
      </c>
    </row>
    <row r="1069" spans="1:12" ht="18.75" x14ac:dyDescent="0.3">
      <c r="A1069" s="430">
        <f>PR!A1067</f>
        <v>962</v>
      </c>
      <c r="B1069" s="15" t="str">
        <f>PR!B1067</f>
        <v>CIPROFLOXACIN</v>
      </c>
      <c r="C1069" s="113" t="str">
        <f>PR!D1067</f>
        <v>1 PACK OF 250 PCS</v>
      </c>
      <c r="D1069" s="113">
        <f>PR!C1067</f>
        <v>24</v>
      </c>
      <c r="E1069" s="108">
        <f>IF(F1069="ALPHA",PR!$E1067,IF(F1069="ASSENE",PR!$F1067,IF(F1069="BIOFEM",PR!$G1067,IF(F1069="BIOMED",PR!$H1067,IF(F1069="CHI",PR!$I1067,IF(F1069="CLARION",PR!$J1067,IF(F1069="CODIX",PR!$K1067,IF(F1069="COSMADE",PR!$L1067,IF(F1069="SANCON",PR!$M1067,IF(F1069="DEVON",PR!$N1067,IF(F1069="DORTEMAG",PR!$O1067,IF(F1069="DGF",PR!$P1067,IF(F1069="DYNAMIC",PR!$Q1067,IF(F1069="EMZOR",PR!$R1067,IF(F1069="EUMATT",PR!$S1067,IF(F1069="FIDSON",PR!$T1067,IF(F1069="FCGLOBAL",PR!$U1067,IF(F1069="GENEITH",PR!$V1067,IF(F1069="GINOS",PR!$W1067,IF(F1069="GSK",PR!$X1067,IF(F1069="GLOBORG",PR!$Y1067,IF(F1069="GOODNEWS",PR!$Z1067,IF(F1069="GREENLIFE",PR!$AA1067,IF(F1069="HLINE",PR!$AB1067,IF(F1069="ROTECH",PR!$AC1067,IF(F1069="ISN",PR!$AD1067,IF(F1069="JAWA",PR!$AE1067,IF(F1069="LAYO",PR!$AF1067,IF(F1069="LEADWAY",PR!$AG1067,IF(F1069="LHV",PR!$AH1067,IF(F1069="MANOLA",PR!$AI1067,IF(F1069="MARCSON",PR!$AJ1067,IF(F1069="M&amp;B",PR!$AK1067,IF(F1069="MTRUST",PR!$AL1067,IF(F1069="MWORLD",PR!$AM1067,IF(F1069="MEGA",PR!$AN1067,IF(F1069="MICRONOVA",PR!$AO1067,IF(F1069="MFLASH",PR!$AP1067,IF(F1069="MORISON",PR!$AQ1067,IF(F1069="NEMEL",PR!$AR1067,IF(F1069="NHP",PR!$AS1067,IF(F1069="NHC",PR!$AT1067,IF(F1069="OLEAF",PR!$AU1067,IF(F1069="OCULUS",PR!$AV1067,IF(F1069="PACIFIC",PR!$AW1067,IF(F1069="PHAMATEX",PR!$AX1067,IF(F1069="PETHICS",PR!$AY1067,IF(F1069="PHILIPS",PR!$AZ1067,IF(F1069="RANBAXY",PR!$BA1067,IF(F1069="REALS",PR!$BB1067,IF(F1069="ROYAL",PR!$BC1067,IF(F1069="SAM",PR!$BD1067,IF(F1069="SEAGREEN",PR!$BE1067,IF(F1069="SKG",PR!$BF1067,IF(F1069="TAH",PR!$BG1067,IF(F1069="TAYLEK",PR!$BH1067,IF(F1069="TEMITA",PR!$BI1067,IF(F1069="THL",PR!$BJ1067,IF(F1069="UBASTIC",PR!$BK1067,IF(F1069="UNION",PR!$BL1067,IF(F1069="UNIQUE",PR!$BM1067,IF(F1069="VIXA",PR!$BN1067,IF(F1069="WWCV",PR!$BO1067,IF(F1069="ZOLON",PR!$BP1067,"-"))))))))))))))))))))))))))))))))))))))))))))))))))))))))))))))))</f>
        <v>6000</v>
      </c>
      <c r="F1069" s="102" t="str">
        <f>EV!L1371</f>
        <v>UBASTIC</v>
      </c>
      <c r="G1069" s="108">
        <f>IF(H1069="ALPHA",PR!$E1067,IF(H1069="ASSENE",PR!$F1067,IF(H1069="BIOFEM",PR!$G1067,IF(H1069="BIOMED",PR!$H1067,IF(H1069="CHI",PR!$I1067,IF(H1069="CLARION",PR!$J1067,IF(H1069="CODIX",PR!$K1067,IF(H1069="COSMADE",PR!$L1067,IF(H1069="SANCON",PR!$M1067,IF(H1069="DEVON",PR!$N1067,IF(H1069="DORTEMAG",PR!$O1067,IF(H1069="DGF",PR!$P1067,IF(H1069="DYNAMIC",PR!$Q1067,IF(H1069="EMZOR",PR!$R1067,IF(H1069="EUMATT",PR!$S1067,IF(H1069="FIDSON",PR!$T1067,IF(H1069="FCGLOBAL",PR!$U1067,IF(H1069="GENEITH",PR!$V1067,IF(H1069="GINOS",PR!$W1067,IF(H1069="GSK",PR!$X1067,IF(H1069="GLOBORG",PR!$Y1067,IF(H1069="GOODNEWS",PR!$Z1067,IF(H1069="GREENLIFE",PR!$AA1067,IF(H1069="HLINE",PR!$AB1067,IF(H1069="ROTECH",PR!$AC1067,IF(H1069="ISN",PR!$AD1067,IF(H1069="JAWA",PR!$AE1067,IF(H1069="LAYO",PR!$AF1067,IF(H1069="LEADWAY",PR!$AG1067,IF(H1069="LHV",PR!$AH1067,IF(H1069="MANOLA",PR!$AI1067,IF(H1069="MARCSON",PR!$AJ1067,IF(H1069="M&amp;B",PR!$AK1067,IF(H1069="MTRUST",PR!$AL1067,IF(H1069="MWORLD",PR!$AM1067,IF(H1069="MEGA",PR!$AN1067,IF(H1069="MICRONOVA",PR!$AO1067,IF(H1069="MFLASH",PR!$AP1067,IF(H1069="MORISON",PR!$AQ1067,IF(H1069="NEMEL",PR!$AR1067,IF(H1069="NHP",PR!$AS1067,IF(H1069="NHC",PR!$AT1067,IF(H1069="OLEAF",PR!$AU1067,IF(H1069="OCULUS",PR!$AV1067,IF(H1069="PACIFIC",PR!$AW1067,IF(H1069="PHAMATEX",PR!$AX1067,IF(H1069="PETHICS",PR!$AY1067,IF(H1069="PHILIPS",PR!$AZ1067,IF(H1069="RANBAXY",PR!$BA1067,IF(H1069="REALS",PR!$BB1067,IF(H1069="ROYAL",PR!$BC1067,IF(H1069="SAM",PR!$BD1067,IF(H1069="SEAGREEN",PR!$BE1067,IF(H1069="SKG",PR!$BF1067,IF(H1069="TAH",PR!$BG1067,IF(H1069="TAYLEK",PR!$BH1067,IF(H1069="TEMITA",PR!$BI1067,IF(H1069="THL",PR!$BJ1067,IF(H1069="UBASTIC",PR!$BK1067,IF(H1069="UNION",PR!$BL1067,IF(H1069="UNIQUE",PR!$BM1067,IF(H1069="VIXA",PR!$BN1067,IF(H1069="WWCV",PR!$BO1067,IF(H1069="ZOLON",PR!$BP1067,"-"))))))))))))))))))))))))))))))))))))))))))))))))))))))))))))))))</f>
        <v>9044</v>
      </c>
      <c r="H1069" s="102" t="str">
        <f>EV!M1371</f>
        <v>DYNAMIC</v>
      </c>
      <c r="I1069" s="108">
        <f>IF(J1069="ALPHA",PR!$E1067,IF(J1069="ASSENE",PR!$F1067,IF(J1069="BIOFEM",PR!$G1067,IF(J1069="BIOMED",PR!$H1067,IF(J1069="CHI",PR!$I1067,IF(J1069="CLARION",PR!$J1067,IF(J1069="CODIX",PR!$K1067,IF(J1069="COSMADE",PR!$L1067,IF(J1069="SANCON",PR!$M1067,IF(J1069="DEVON",PR!$N1067,IF(J1069="DORTEMAG",PR!$O1067,IF(J1069="DGF",PR!$P1067,IF(J1069="DYNAMIC",PR!$Q1067,IF(J1069="EMZOR",PR!$R1067,IF(J1069="EUMATT",PR!$S1067,IF(J1069="FIDSON",PR!$T1067,IF(J1069="FCGLOBAL",PR!$U1067,IF(J1069="GENEITH",PR!$V1067,IF(J1069="GINOS",PR!$W1067,IF(J1069="GSK",PR!$X1067,IF(J1069="GLOBORG",PR!$Y1067,IF(J1069="GOODNEWS",PR!$Z1067,IF(J1069="GREENLIFE",PR!$AA1067,IF(J1069="HLINE",PR!$AB1067,IF(J1069="ROTECH",PR!$AC1067,IF(J1069="ISN",PR!$AD1067,IF(J1069="JAWA",PR!$AE1067,IF(J1069="LAYO",PR!$AF1067,IF(J1069="LEADWAY",PR!$AG1067,IF(J1069="LHV",PR!$AH1067,IF(J1069="MANOLA",PR!$AI1067,IF(J1069="MARCSON",PR!$AJ1067,IF(J1069="M&amp;B",PR!$AK1067,IF(J1069="MTRUST",PR!$AL1067,IF(J1069="MWORLD",PR!$AM1067,IF(J1069="MEGA",PR!$AN1067,IF(J1069="MICRONOVA",PR!$AO1067,IF(J1069="MFLASH",PR!$AP1067,IF(J1069="MORISON",PR!$AQ1067,IF(J1069="NEMEL",PR!$AR1067,IF(J1069="NHP",PR!$AS1067,IF(J1069="NHC",PR!$AT1067,IF(J1069="OLEAF",PR!$AU1067,IF(J1069="OCULUS",PR!$AV1067,IF(J1069="PACIFIC",PR!$AW1067,IF(J1069="PHAMATEX",PR!$AX1067,IF(J1069="PETHICS",PR!$AY1067,IF(J1069="PHILIPS",PR!$AZ1067,IF(J1069="RANBAXY",PR!$BA1067,IF(J1069="REALS",PR!$BB1067,IF(J1069="ROYAL",PR!$BC1067,IF(J1069="SAM",PR!$BD1067,IF(J1069="SEAGREEN",PR!$BE1067,IF(J1069="SKG",PR!$BF1067,IF(J1069="TAH",PR!$BG1067,IF(J1069="TAYLEK",PR!$BH1067,IF(J1069="TEMITA",PR!$BI1067,IF(J1069="THL",PR!$BJ1067,IF(J1069="UBASTIC",PR!$BK1067,IF(J1069="UNION",PR!$BL1067,IF(J1069="UNIQUE",PR!$BM1067,IF(J1069="VIXA",PR!$BN1067,IF(J1069="WWCV",PR!$BO1067,IF(J1069="ZOLON",PR!$BP1067,"-"))))))))))))))))))))))))))))))))))))))))))))))))))))))))))))))))</f>
        <v>14000</v>
      </c>
      <c r="J1069" s="102" t="str">
        <f>EV!N1371</f>
        <v>COSMADE</v>
      </c>
      <c r="K1069" s="433" t="s">
        <v>1459</v>
      </c>
      <c r="L1069" s="183">
        <f>IF(K1069&gt;0,IF(K1069="ALPHA",PR!$E1067,IF(K1069="ASSENE",PR!$F1067,IF(K1069="BIOFEM",PR!$G1067,IF(K1069="BIOMED",PR!$H1067,IF(K1069="CHI",PR!$I1067,IF(K1069="CLARION",PR!$J1067,IF(K1069="CODIX",PR!$K1067,IF(K1069="COSMADE",PR!$L1067,IF(K1069="SANCON",PR!$M1067,IF(K1069="DEVON",PR!$N1067,IF(K1069="DORTEMAG",PR!$O1067,IF(K1069="DGF",PR!$P1067,IF(K1069="DYNAMIC",PR!$Q1067,IF(K1069="EMZOR",PR!$R1067,IF(K1069="EUMATT",PR!$S1067,IF(K1069="FIDSON",PR!$T1067,IF(K1069="FCGLOBAL",PR!$U1067,IF(K1069="GENEITH",PR!$V1067,IF(K1069="GINOS",PR!$W1067,IF(K1069="GSK",PR!$X1067,IF(K1069="GLOBORG",PR!$Y1067,IF(K1069="GOODNEWS",PR!$Z1067,IF(K1069="GREENLIFE",PR!$AA1067,IF(K1069="HLINE",PR!$AB1067,IF(K1069="ROTECH",PR!$AC1067,IF(K1069="ISN",PR!$AD1067,IF(K1069="JAWA",PR!$AE1067,IF(K1069="LAYO",PR!$AF1067,IF(K1069="LEADWAY",PR!$AG1067,IF(K1069="LHV",PR!$AH1067,IF(K1069="MANOLA",PR!$AI1067,IF(K1069="MARCSON",PR!$AJ1067,IF(K1069="M&amp;B",PR!$AK1067,IF(K1069="MTRUST",PR!$AL1067,IF(K1069="MWORLD",PR!$AM1067,IF(K1069="MEGA",PR!$AN1067,IF(K1069="MICRONOVA",PR!$AO1067,IF(K1069="MFLASH",PR!$AP1067,IF(K1069="MORISON",PR!$AQ1067,IF(K1069="NEMEL",PR!$AR1067,IF(K1069="NHP",PR!$AS1067,IF(K1069="NHC",PR!$AT1067,IF(K1069="OLEAF",PR!$AU1067,IF(K1069="OCULUS",PR!$AV1067,IF(K1069="PACIFIC",PR!$AW1067,IF(K1069="PHAMATEX",PR!$AX1067,IF(K1069="PETHICS",PR!$AY1067,IF(K1069="PHILIPS",PR!$AZ1067,IF(K1069="RANBAXY",PR!$BA1067,IF(K1069="REALS",PR!$BB1067,IF(K1069="ROYAL",PR!$BC1067,IF(K1069="SAM",PR!$BD1067,IF(K1069="SEAGREEN",PR!$BE1067,IF(K1069="SKG",PR!$BF1067,IF(K1069="TAH",PR!$BG1067,IF(K1069="TAYLEK",PR!$BH1067,IF(K1069="TEMITA",PR!$BI1067,IF(K1069="THL",PR!$BJ1067,IF(K1069="UBASTIC",PR!$BK1067,IF(K1069="UNION",PR!$BL1067,IF(K1069="UNIQUE",PR!$BM1067,IF(K1069="VIXA",PR!$BN1067,IF(K1069="WWCV",PR!$BO1067,IF(K1069="ZOLON",PR!$BP1067,"-")))))))))))))))))))))))))))))))))))))))))))))))))))))))))))))))))</f>
        <v>6000</v>
      </c>
    </row>
    <row r="1070" spans="1:12" ht="18.75" x14ac:dyDescent="0.3">
      <c r="A1070" s="430">
        <f>PR!A1068</f>
        <v>963</v>
      </c>
      <c r="B1070" s="15" t="str">
        <f>PR!B1068</f>
        <v>CEFUROXIME</v>
      </c>
      <c r="C1070" s="113" t="str">
        <f>PR!D1068</f>
        <v>1 PACK OF 250 PCS</v>
      </c>
      <c r="D1070" s="113">
        <f>PR!C1068</f>
        <v>12</v>
      </c>
      <c r="E1070" s="108">
        <f>IF(F1070="ALPHA",PR!$E1068,IF(F1070="ASSENE",PR!$F1068,IF(F1070="BIOFEM",PR!$G1068,IF(F1070="BIOMED",PR!$H1068,IF(F1070="CHI",PR!$I1068,IF(F1070="CLARION",PR!$J1068,IF(F1070="CODIX",PR!$K1068,IF(F1070="COSMADE",PR!$L1068,IF(F1070="SANCON",PR!$M1068,IF(F1070="DEVON",PR!$N1068,IF(F1070="DORTEMAG",PR!$O1068,IF(F1070="DGF",PR!$P1068,IF(F1070="DYNAMIC",PR!$Q1068,IF(F1070="EMZOR",PR!$R1068,IF(F1070="EUMATT",PR!$S1068,IF(F1070="FIDSON",PR!$T1068,IF(F1070="FCGLOBAL",PR!$U1068,IF(F1070="GENEITH",PR!$V1068,IF(F1070="GINOS",PR!$W1068,IF(F1070="GSK",PR!$X1068,IF(F1070="GLOBORG",PR!$Y1068,IF(F1070="GOODNEWS",PR!$Z1068,IF(F1070="GREENLIFE",PR!$AA1068,IF(F1070="HLINE",PR!$AB1068,IF(F1070="ROTECH",PR!$AC1068,IF(F1070="ISN",PR!$AD1068,IF(F1070="JAWA",PR!$AE1068,IF(F1070="LAYO",PR!$AF1068,IF(F1070="LEADWAY",PR!$AG1068,IF(F1070="LHV",PR!$AH1068,IF(F1070="MANOLA",PR!$AI1068,IF(F1070="MARCSON",PR!$AJ1068,IF(F1070="M&amp;B",PR!$AK1068,IF(F1070="MTRUST",PR!$AL1068,IF(F1070="MWORLD",PR!$AM1068,IF(F1070="MEGA",PR!$AN1068,IF(F1070="MICRONOVA",PR!$AO1068,IF(F1070="MFLASH",PR!$AP1068,IF(F1070="MORISON",PR!$AQ1068,IF(F1070="NEMEL",PR!$AR1068,IF(F1070="NHP",PR!$AS1068,IF(F1070="NHC",PR!$AT1068,IF(F1070="OLEAF",PR!$AU1068,IF(F1070="OCULUS",PR!$AV1068,IF(F1070="PACIFIC",PR!$AW1068,IF(F1070="PHAMATEX",PR!$AX1068,IF(F1070="PETHICS",PR!$AY1068,IF(F1070="PHILIPS",PR!$AZ1068,IF(F1070="RANBAXY",PR!$BA1068,IF(F1070="REALS",PR!$BB1068,IF(F1070="ROYAL",PR!$BC1068,IF(F1070="SAM",PR!$BD1068,IF(F1070="SEAGREEN",PR!$BE1068,IF(F1070="SKG",PR!$BF1068,IF(F1070="TAH",PR!$BG1068,IF(F1070="TAYLEK",PR!$BH1068,IF(F1070="TEMITA",PR!$BI1068,IF(F1070="THL",PR!$BJ1068,IF(F1070="UBASTIC",PR!$BK1068,IF(F1070="UNION",PR!$BL1068,IF(F1070="UNIQUE",PR!$BM1068,IF(F1070="VIXA",PR!$BN1068,IF(F1070="WWCV",PR!$BO1068,IF(F1070="ZOLON",PR!$BP1068,"-"))))))))))))))))))))))))))))))))))))))))))))))))))))))))))))))))</f>
        <v>6000</v>
      </c>
      <c r="F1070" s="102" t="str">
        <f>EV!L1372</f>
        <v>UBASTIC</v>
      </c>
      <c r="G1070" s="108">
        <f>IF(H1070="ALPHA",PR!$E1068,IF(H1070="ASSENE",PR!$F1068,IF(H1070="BIOFEM",PR!$G1068,IF(H1070="BIOMED",PR!$H1068,IF(H1070="CHI",PR!$I1068,IF(H1070="CLARION",PR!$J1068,IF(H1070="CODIX",PR!$K1068,IF(H1070="COSMADE",PR!$L1068,IF(H1070="SANCON",PR!$M1068,IF(H1070="DEVON",PR!$N1068,IF(H1070="DORTEMAG",PR!$O1068,IF(H1070="DGF",PR!$P1068,IF(H1070="DYNAMIC",PR!$Q1068,IF(H1070="EMZOR",PR!$R1068,IF(H1070="EUMATT",PR!$S1068,IF(H1070="FIDSON",PR!$T1068,IF(H1070="FCGLOBAL",PR!$U1068,IF(H1070="GENEITH",PR!$V1068,IF(H1070="GINOS",PR!$W1068,IF(H1070="GSK",PR!$X1068,IF(H1070="GLOBORG",PR!$Y1068,IF(H1070="GOODNEWS",PR!$Z1068,IF(H1070="GREENLIFE",PR!$AA1068,IF(H1070="HLINE",PR!$AB1068,IF(H1070="ROTECH",PR!$AC1068,IF(H1070="ISN",PR!$AD1068,IF(H1070="JAWA",PR!$AE1068,IF(H1070="LAYO",PR!$AF1068,IF(H1070="LEADWAY",PR!$AG1068,IF(H1070="LHV",PR!$AH1068,IF(H1070="MANOLA",PR!$AI1068,IF(H1070="MARCSON",PR!$AJ1068,IF(H1070="M&amp;B",PR!$AK1068,IF(H1070="MTRUST",PR!$AL1068,IF(H1070="MWORLD",PR!$AM1068,IF(H1070="MEGA",PR!$AN1068,IF(H1070="MICRONOVA",PR!$AO1068,IF(H1070="MFLASH",PR!$AP1068,IF(H1070="MORISON",PR!$AQ1068,IF(H1070="NEMEL",PR!$AR1068,IF(H1070="NHP",PR!$AS1068,IF(H1070="NHC",PR!$AT1068,IF(H1070="OLEAF",PR!$AU1068,IF(H1070="OCULUS",PR!$AV1068,IF(H1070="PACIFIC",PR!$AW1068,IF(H1070="PHAMATEX",PR!$AX1068,IF(H1070="PETHICS",PR!$AY1068,IF(H1070="PHILIPS",PR!$AZ1068,IF(H1070="RANBAXY",PR!$BA1068,IF(H1070="REALS",PR!$BB1068,IF(H1070="ROYAL",PR!$BC1068,IF(H1070="SAM",PR!$BD1068,IF(H1070="SEAGREEN",PR!$BE1068,IF(H1070="SKG",PR!$BF1068,IF(H1070="TAH",PR!$BG1068,IF(H1070="TAYLEK",PR!$BH1068,IF(H1070="TEMITA",PR!$BI1068,IF(H1070="THL",PR!$BJ1068,IF(H1070="UBASTIC",PR!$BK1068,IF(H1070="UNION",PR!$BL1068,IF(H1070="UNIQUE",PR!$BM1068,IF(H1070="VIXA",PR!$BN1068,IF(H1070="WWCV",PR!$BO1068,IF(H1070="ZOLON",PR!$BP1068,"-"))))))))))))))))))))))))))))))))))))))))))))))))))))))))))))))))</f>
        <v>9044</v>
      </c>
      <c r="H1070" s="102" t="str">
        <f>EV!M1372</f>
        <v>DYNAMIC</v>
      </c>
      <c r="I1070" s="108">
        <f>IF(J1070="ALPHA",PR!$E1068,IF(J1070="ASSENE",PR!$F1068,IF(J1070="BIOFEM",PR!$G1068,IF(J1070="BIOMED",PR!$H1068,IF(J1070="CHI",PR!$I1068,IF(J1070="CLARION",PR!$J1068,IF(J1070="CODIX",PR!$K1068,IF(J1070="COSMADE",PR!$L1068,IF(J1070="SANCON",PR!$M1068,IF(J1070="DEVON",PR!$N1068,IF(J1070="DORTEMAG",PR!$O1068,IF(J1070="DGF",PR!$P1068,IF(J1070="DYNAMIC",PR!$Q1068,IF(J1070="EMZOR",PR!$R1068,IF(J1070="EUMATT",PR!$S1068,IF(J1070="FIDSON",PR!$T1068,IF(J1070="FCGLOBAL",PR!$U1068,IF(J1070="GENEITH",PR!$V1068,IF(J1070="GINOS",PR!$W1068,IF(J1070="GSK",PR!$X1068,IF(J1070="GLOBORG",PR!$Y1068,IF(J1070="GOODNEWS",PR!$Z1068,IF(J1070="GREENLIFE",PR!$AA1068,IF(J1070="HLINE",PR!$AB1068,IF(J1070="ROTECH",PR!$AC1068,IF(J1070="ISN",PR!$AD1068,IF(J1070="JAWA",PR!$AE1068,IF(J1070="LAYO",PR!$AF1068,IF(J1070="LEADWAY",PR!$AG1068,IF(J1070="LHV",PR!$AH1068,IF(J1070="MANOLA",PR!$AI1068,IF(J1070="MARCSON",PR!$AJ1068,IF(J1070="M&amp;B",PR!$AK1068,IF(J1070="MTRUST",PR!$AL1068,IF(J1070="MWORLD",PR!$AM1068,IF(J1070="MEGA",PR!$AN1068,IF(J1070="MICRONOVA",PR!$AO1068,IF(J1070="MFLASH",PR!$AP1068,IF(J1070="MORISON",PR!$AQ1068,IF(J1070="NEMEL",PR!$AR1068,IF(J1070="NHP",PR!$AS1068,IF(J1070="NHC",PR!$AT1068,IF(J1070="OLEAF",PR!$AU1068,IF(J1070="OCULUS",PR!$AV1068,IF(J1070="PACIFIC",PR!$AW1068,IF(J1070="PHAMATEX",PR!$AX1068,IF(J1070="PETHICS",PR!$AY1068,IF(J1070="PHILIPS",PR!$AZ1068,IF(J1070="RANBAXY",PR!$BA1068,IF(J1070="REALS",PR!$BB1068,IF(J1070="ROYAL",PR!$BC1068,IF(J1070="SAM",PR!$BD1068,IF(J1070="SEAGREEN",PR!$BE1068,IF(J1070="SKG",PR!$BF1068,IF(J1070="TAH",PR!$BG1068,IF(J1070="TAYLEK",PR!$BH1068,IF(J1070="TEMITA",PR!$BI1068,IF(J1070="THL",PR!$BJ1068,IF(J1070="UBASTIC",PR!$BK1068,IF(J1070="UNION",PR!$BL1068,IF(J1070="UNIQUE",PR!$BM1068,IF(J1070="VIXA",PR!$BN1068,IF(J1070="WWCV",PR!$BO1068,IF(J1070="ZOLON",PR!$BP1068,"-"))))))))))))))))))))))))))))))))))))))))))))))))))))))))))))))))</f>
        <v>14000</v>
      </c>
      <c r="J1070" s="102" t="str">
        <f>EV!N1372</f>
        <v>COSMADE</v>
      </c>
      <c r="K1070" s="433" t="s">
        <v>1459</v>
      </c>
      <c r="L1070" s="183">
        <f>IF(K1070&gt;0,IF(K1070="ALPHA",PR!$E1068,IF(K1070="ASSENE",PR!$F1068,IF(K1070="BIOFEM",PR!$G1068,IF(K1070="BIOMED",PR!$H1068,IF(K1070="CHI",PR!$I1068,IF(K1070="CLARION",PR!$J1068,IF(K1070="CODIX",PR!$K1068,IF(K1070="COSMADE",PR!$L1068,IF(K1070="SANCON",PR!$M1068,IF(K1070="DEVON",PR!$N1068,IF(K1070="DORTEMAG",PR!$O1068,IF(K1070="DGF",PR!$P1068,IF(K1070="DYNAMIC",PR!$Q1068,IF(K1070="EMZOR",PR!$R1068,IF(K1070="EUMATT",PR!$S1068,IF(K1070="FIDSON",PR!$T1068,IF(K1070="FCGLOBAL",PR!$U1068,IF(K1070="GENEITH",PR!$V1068,IF(K1070="GINOS",PR!$W1068,IF(K1070="GSK",PR!$X1068,IF(K1070="GLOBORG",PR!$Y1068,IF(K1070="GOODNEWS",PR!$Z1068,IF(K1070="GREENLIFE",PR!$AA1068,IF(K1070="HLINE",PR!$AB1068,IF(K1070="ROTECH",PR!$AC1068,IF(K1070="ISN",PR!$AD1068,IF(K1070="JAWA",PR!$AE1068,IF(K1070="LAYO",PR!$AF1068,IF(K1070="LEADWAY",PR!$AG1068,IF(K1070="LHV",PR!$AH1068,IF(K1070="MANOLA",PR!$AI1068,IF(K1070="MARCSON",PR!$AJ1068,IF(K1070="M&amp;B",PR!$AK1068,IF(K1070="MTRUST",PR!$AL1068,IF(K1070="MWORLD",PR!$AM1068,IF(K1070="MEGA",PR!$AN1068,IF(K1070="MICRONOVA",PR!$AO1068,IF(K1070="MFLASH",PR!$AP1068,IF(K1070="MORISON",PR!$AQ1068,IF(K1070="NEMEL",PR!$AR1068,IF(K1070="NHP",PR!$AS1068,IF(K1070="NHC",PR!$AT1068,IF(K1070="OLEAF",PR!$AU1068,IF(K1070="OCULUS",PR!$AV1068,IF(K1070="PACIFIC",PR!$AW1068,IF(K1070="PHAMATEX",PR!$AX1068,IF(K1070="PETHICS",PR!$AY1068,IF(K1070="PHILIPS",PR!$AZ1068,IF(K1070="RANBAXY",PR!$BA1068,IF(K1070="REALS",PR!$BB1068,IF(K1070="ROYAL",PR!$BC1068,IF(K1070="SAM",PR!$BD1068,IF(K1070="SEAGREEN",PR!$BE1068,IF(K1070="SKG",PR!$BF1068,IF(K1070="TAH",PR!$BG1068,IF(K1070="TAYLEK",PR!$BH1068,IF(K1070="TEMITA",PR!$BI1068,IF(K1070="THL",PR!$BJ1068,IF(K1070="UBASTIC",PR!$BK1068,IF(K1070="UNION",PR!$BL1068,IF(K1070="UNIQUE",PR!$BM1068,IF(K1070="VIXA",PR!$BN1068,IF(K1070="WWCV",PR!$BO1068,IF(K1070="ZOLON",PR!$BP1068,"-")))))))))))))))))))))))))))))))))))))))))))))))))))))))))))))))))</f>
        <v>6000</v>
      </c>
    </row>
    <row r="1071" spans="1:12" ht="18.75" x14ac:dyDescent="0.3">
      <c r="A1071" s="430">
        <f>PR!A1069</f>
        <v>964</v>
      </c>
      <c r="B1071" s="15" t="str">
        <f>PR!B1069</f>
        <v>CEFTAZIDIME</v>
      </c>
      <c r="C1071" s="113" t="str">
        <f>PR!D1069</f>
        <v>1 PACK OF 250 PCS</v>
      </c>
      <c r="D1071" s="113">
        <f>PR!C1069</f>
        <v>12</v>
      </c>
      <c r="E1071" s="108">
        <f>IF(F1071="ALPHA",PR!$E1069,IF(F1071="ASSENE",PR!$F1069,IF(F1071="BIOFEM",PR!$G1069,IF(F1071="BIOMED",PR!$H1069,IF(F1071="CHI",PR!$I1069,IF(F1071="CLARION",PR!$J1069,IF(F1071="CODIX",PR!$K1069,IF(F1071="COSMADE",PR!$L1069,IF(F1071="SANCON",PR!$M1069,IF(F1071="DEVON",PR!$N1069,IF(F1071="DORTEMAG",PR!$O1069,IF(F1071="DGF",PR!$P1069,IF(F1071="DYNAMIC",PR!$Q1069,IF(F1071="EMZOR",PR!$R1069,IF(F1071="EUMATT",PR!$S1069,IF(F1071="FIDSON",PR!$T1069,IF(F1071="FCGLOBAL",PR!$U1069,IF(F1071="GENEITH",PR!$V1069,IF(F1071="GINOS",PR!$W1069,IF(F1071="GSK",PR!$X1069,IF(F1071="GLOBORG",PR!$Y1069,IF(F1071="GOODNEWS",PR!$Z1069,IF(F1071="GREENLIFE",PR!$AA1069,IF(F1071="HLINE",PR!$AB1069,IF(F1071="ROTECH",PR!$AC1069,IF(F1071="ISN",PR!$AD1069,IF(F1071="JAWA",PR!$AE1069,IF(F1071="LAYO",PR!$AF1069,IF(F1071="LEADWAY",PR!$AG1069,IF(F1071="LHV",PR!$AH1069,IF(F1071="MANOLA",PR!$AI1069,IF(F1071="MARCSON",PR!$AJ1069,IF(F1071="M&amp;B",PR!$AK1069,IF(F1071="MTRUST",PR!$AL1069,IF(F1071="MWORLD",PR!$AM1069,IF(F1071="MEGA",PR!$AN1069,IF(F1071="MICRONOVA",PR!$AO1069,IF(F1071="MFLASH",PR!$AP1069,IF(F1071="MORISON",PR!$AQ1069,IF(F1071="NEMEL",PR!$AR1069,IF(F1071="NHP",PR!$AS1069,IF(F1071="NHC",PR!$AT1069,IF(F1071="OLEAF",PR!$AU1069,IF(F1071="OCULUS",PR!$AV1069,IF(F1071="PACIFIC",PR!$AW1069,IF(F1071="PHAMATEX",PR!$AX1069,IF(F1071="PETHICS",PR!$AY1069,IF(F1071="PHILIPS",PR!$AZ1069,IF(F1071="RANBAXY",PR!$BA1069,IF(F1071="REALS",PR!$BB1069,IF(F1071="ROYAL",PR!$BC1069,IF(F1071="SAM",PR!$BD1069,IF(F1071="SEAGREEN",PR!$BE1069,IF(F1071="SKG",PR!$BF1069,IF(F1071="TAH",PR!$BG1069,IF(F1071="TAYLEK",PR!$BH1069,IF(F1071="TEMITA",PR!$BI1069,IF(F1071="THL",PR!$BJ1069,IF(F1071="UBASTIC",PR!$BK1069,IF(F1071="UNION",PR!$BL1069,IF(F1071="UNIQUE",PR!$BM1069,IF(F1071="VIXA",PR!$BN1069,IF(F1071="WWCV",PR!$BO1069,IF(F1071="ZOLON",PR!$BP1069,"-"))))))))))))))))))))))))))))))))))))))))))))))))))))))))))))))))</f>
        <v>6000</v>
      </c>
      <c r="F1071" s="102" t="str">
        <f>EV!L1373</f>
        <v>UBASTIC</v>
      </c>
      <c r="G1071" s="108">
        <f>IF(H1071="ALPHA",PR!$E1069,IF(H1071="ASSENE",PR!$F1069,IF(H1071="BIOFEM",PR!$G1069,IF(H1071="BIOMED",PR!$H1069,IF(H1071="CHI",PR!$I1069,IF(H1071="CLARION",PR!$J1069,IF(H1071="CODIX",PR!$K1069,IF(H1071="COSMADE",PR!$L1069,IF(H1071="SANCON",PR!$M1069,IF(H1071="DEVON",PR!$N1069,IF(H1071="DORTEMAG",PR!$O1069,IF(H1071="DGF",PR!$P1069,IF(H1071="DYNAMIC",PR!$Q1069,IF(H1071="EMZOR",PR!$R1069,IF(H1071="EUMATT",PR!$S1069,IF(H1071="FIDSON",PR!$T1069,IF(H1071="FCGLOBAL",PR!$U1069,IF(H1071="GENEITH",PR!$V1069,IF(H1071="GINOS",PR!$W1069,IF(H1071="GSK",PR!$X1069,IF(H1071="GLOBORG",PR!$Y1069,IF(H1071="GOODNEWS",PR!$Z1069,IF(H1071="GREENLIFE",PR!$AA1069,IF(H1071="HLINE",PR!$AB1069,IF(H1071="ROTECH",PR!$AC1069,IF(H1071="ISN",PR!$AD1069,IF(H1071="JAWA",PR!$AE1069,IF(H1071="LAYO",PR!$AF1069,IF(H1071="LEADWAY",PR!$AG1069,IF(H1071="LHV",PR!$AH1069,IF(H1071="MANOLA",PR!$AI1069,IF(H1071="MARCSON",PR!$AJ1069,IF(H1071="M&amp;B",PR!$AK1069,IF(H1071="MTRUST",PR!$AL1069,IF(H1071="MWORLD",PR!$AM1069,IF(H1071="MEGA",PR!$AN1069,IF(H1071="MICRONOVA",PR!$AO1069,IF(H1071="MFLASH",PR!$AP1069,IF(H1071="MORISON",PR!$AQ1069,IF(H1071="NEMEL",PR!$AR1069,IF(H1071="NHP",PR!$AS1069,IF(H1071="NHC",PR!$AT1069,IF(H1071="OLEAF",PR!$AU1069,IF(H1071="OCULUS",PR!$AV1069,IF(H1071="PACIFIC",PR!$AW1069,IF(H1071="PHAMATEX",PR!$AX1069,IF(H1071="PETHICS",PR!$AY1069,IF(H1071="PHILIPS",PR!$AZ1069,IF(H1071="RANBAXY",PR!$BA1069,IF(H1071="REALS",PR!$BB1069,IF(H1071="ROYAL",PR!$BC1069,IF(H1071="SAM",PR!$BD1069,IF(H1071="SEAGREEN",PR!$BE1069,IF(H1071="SKG",PR!$BF1069,IF(H1071="TAH",PR!$BG1069,IF(H1071="TAYLEK",PR!$BH1069,IF(H1071="TEMITA",PR!$BI1069,IF(H1071="THL",PR!$BJ1069,IF(H1071="UBASTIC",PR!$BK1069,IF(H1071="UNION",PR!$BL1069,IF(H1071="UNIQUE",PR!$BM1069,IF(H1071="VIXA",PR!$BN1069,IF(H1071="WWCV",PR!$BO1069,IF(H1071="ZOLON",PR!$BP1069,"-"))))))))))))))))))))))))))))))))))))))))))))))))))))))))))))))))</f>
        <v>9044</v>
      </c>
      <c r="H1071" s="102" t="str">
        <f>EV!M1373</f>
        <v>DYNAMIC</v>
      </c>
      <c r="I1071" s="108">
        <f>IF(J1071="ALPHA",PR!$E1069,IF(J1071="ASSENE",PR!$F1069,IF(J1071="BIOFEM",PR!$G1069,IF(J1071="BIOMED",PR!$H1069,IF(J1071="CHI",PR!$I1069,IF(J1071="CLARION",PR!$J1069,IF(J1071="CODIX",PR!$K1069,IF(J1071="COSMADE",PR!$L1069,IF(J1071="SANCON",PR!$M1069,IF(J1071="DEVON",PR!$N1069,IF(J1071="DORTEMAG",PR!$O1069,IF(J1071="DGF",PR!$P1069,IF(J1071="DYNAMIC",PR!$Q1069,IF(J1071="EMZOR",PR!$R1069,IF(J1071="EUMATT",PR!$S1069,IF(J1071="FIDSON",PR!$T1069,IF(J1071="FCGLOBAL",PR!$U1069,IF(J1071="GENEITH",PR!$V1069,IF(J1071="GINOS",PR!$W1069,IF(J1071="GSK",PR!$X1069,IF(J1071="GLOBORG",PR!$Y1069,IF(J1071="GOODNEWS",PR!$Z1069,IF(J1071="GREENLIFE",PR!$AA1069,IF(J1071="HLINE",PR!$AB1069,IF(J1071="ROTECH",PR!$AC1069,IF(J1071="ISN",PR!$AD1069,IF(J1071="JAWA",PR!$AE1069,IF(J1071="LAYO",PR!$AF1069,IF(J1071="LEADWAY",PR!$AG1069,IF(J1071="LHV",PR!$AH1069,IF(J1071="MANOLA",PR!$AI1069,IF(J1071="MARCSON",PR!$AJ1069,IF(J1071="M&amp;B",PR!$AK1069,IF(J1071="MTRUST",PR!$AL1069,IF(J1071="MWORLD",PR!$AM1069,IF(J1071="MEGA",PR!$AN1069,IF(J1071="MICRONOVA",PR!$AO1069,IF(J1071="MFLASH",PR!$AP1069,IF(J1071="MORISON",PR!$AQ1069,IF(J1071="NEMEL",PR!$AR1069,IF(J1071="NHP",PR!$AS1069,IF(J1071="NHC",PR!$AT1069,IF(J1071="OLEAF",PR!$AU1069,IF(J1071="OCULUS",PR!$AV1069,IF(J1071="PACIFIC",PR!$AW1069,IF(J1071="PHAMATEX",PR!$AX1069,IF(J1071="PETHICS",PR!$AY1069,IF(J1071="PHILIPS",PR!$AZ1069,IF(J1071="RANBAXY",PR!$BA1069,IF(J1071="REALS",PR!$BB1069,IF(J1071="ROYAL",PR!$BC1069,IF(J1071="SAM",PR!$BD1069,IF(J1071="SEAGREEN",PR!$BE1069,IF(J1071="SKG",PR!$BF1069,IF(J1071="TAH",PR!$BG1069,IF(J1071="TAYLEK",PR!$BH1069,IF(J1071="TEMITA",PR!$BI1069,IF(J1071="THL",PR!$BJ1069,IF(J1071="UBASTIC",PR!$BK1069,IF(J1071="UNION",PR!$BL1069,IF(J1071="UNIQUE",PR!$BM1069,IF(J1071="VIXA",PR!$BN1069,IF(J1071="WWCV",PR!$BO1069,IF(J1071="ZOLON",PR!$BP1069,"-"))))))))))))))))))))))))))))))))))))))))))))))))))))))))))))))))</f>
        <v>14000</v>
      </c>
      <c r="J1071" s="102" t="str">
        <f>EV!N1373</f>
        <v>COSMADE</v>
      </c>
      <c r="K1071" s="433" t="s">
        <v>1459</v>
      </c>
      <c r="L1071" s="183">
        <f>IF(K1071&gt;0,IF(K1071="ALPHA",PR!$E1069,IF(K1071="ASSENE",PR!$F1069,IF(K1071="BIOFEM",PR!$G1069,IF(K1071="BIOMED",PR!$H1069,IF(K1071="CHI",PR!$I1069,IF(K1071="CLARION",PR!$J1069,IF(K1071="CODIX",PR!$K1069,IF(K1071="COSMADE",PR!$L1069,IF(K1071="SANCON",PR!$M1069,IF(K1071="DEVON",PR!$N1069,IF(K1071="DORTEMAG",PR!$O1069,IF(K1071="DGF",PR!$P1069,IF(K1071="DYNAMIC",PR!$Q1069,IF(K1071="EMZOR",PR!$R1069,IF(K1071="EUMATT",PR!$S1069,IF(K1071="FIDSON",PR!$T1069,IF(K1071="FCGLOBAL",PR!$U1069,IF(K1071="GENEITH",PR!$V1069,IF(K1071="GINOS",PR!$W1069,IF(K1071="GSK",PR!$X1069,IF(K1071="GLOBORG",PR!$Y1069,IF(K1071="GOODNEWS",PR!$Z1069,IF(K1071="GREENLIFE",PR!$AA1069,IF(K1071="HLINE",PR!$AB1069,IF(K1071="ROTECH",PR!$AC1069,IF(K1071="ISN",PR!$AD1069,IF(K1071="JAWA",PR!$AE1069,IF(K1071="LAYO",PR!$AF1069,IF(K1071="LEADWAY",PR!$AG1069,IF(K1071="LHV",PR!$AH1069,IF(K1071="MANOLA",PR!$AI1069,IF(K1071="MARCSON",PR!$AJ1069,IF(K1071="M&amp;B",PR!$AK1069,IF(K1071="MTRUST",PR!$AL1069,IF(K1071="MWORLD",PR!$AM1069,IF(K1071="MEGA",PR!$AN1069,IF(K1071="MICRONOVA",PR!$AO1069,IF(K1071="MFLASH",PR!$AP1069,IF(K1071="MORISON",PR!$AQ1069,IF(K1071="NEMEL",PR!$AR1069,IF(K1071="NHP",PR!$AS1069,IF(K1071="NHC",PR!$AT1069,IF(K1071="OLEAF",PR!$AU1069,IF(K1071="OCULUS",PR!$AV1069,IF(K1071="PACIFIC",PR!$AW1069,IF(K1071="PHAMATEX",PR!$AX1069,IF(K1071="PETHICS",PR!$AY1069,IF(K1071="PHILIPS",PR!$AZ1069,IF(K1071="RANBAXY",PR!$BA1069,IF(K1071="REALS",PR!$BB1069,IF(K1071="ROYAL",PR!$BC1069,IF(K1071="SAM",PR!$BD1069,IF(K1071="SEAGREEN",PR!$BE1069,IF(K1071="SKG",PR!$BF1069,IF(K1071="TAH",PR!$BG1069,IF(K1071="TAYLEK",PR!$BH1069,IF(K1071="TEMITA",PR!$BI1069,IF(K1071="THL",PR!$BJ1069,IF(K1071="UBASTIC",PR!$BK1069,IF(K1071="UNION",PR!$BL1069,IF(K1071="UNIQUE",PR!$BM1069,IF(K1071="VIXA",PR!$BN1069,IF(K1071="WWCV",PR!$BO1069,IF(K1071="ZOLON",PR!$BP1069,"-")))))))))))))))))))))))))))))))))))))))))))))))))))))))))))))))))</f>
        <v>6000</v>
      </c>
    </row>
    <row r="1072" spans="1:12" ht="18.75" x14ac:dyDescent="0.3">
      <c r="A1072" s="430">
        <f>PR!A1070</f>
        <v>965</v>
      </c>
      <c r="B1072" s="15" t="str">
        <f>PR!B1070</f>
        <v>CEFOXITIN</v>
      </c>
      <c r="C1072" s="113" t="str">
        <f>PR!D1070</f>
        <v>1 PACK OF 250 PCS</v>
      </c>
      <c r="D1072" s="113">
        <f>PR!C1070</f>
        <v>12</v>
      </c>
      <c r="E1072" s="108">
        <f>IF(F1072="ALPHA",PR!$E1070,IF(F1072="ASSENE",PR!$F1070,IF(F1072="BIOFEM",PR!$G1070,IF(F1072="BIOMED",PR!$H1070,IF(F1072="CHI",PR!$I1070,IF(F1072="CLARION",PR!$J1070,IF(F1072="CODIX",PR!$K1070,IF(F1072="COSMADE",PR!$L1070,IF(F1072="SANCON",PR!$M1070,IF(F1072="DEVON",PR!$N1070,IF(F1072="DORTEMAG",PR!$O1070,IF(F1072="DGF",PR!$P1070,IF(F1072="DYNAMIC",PR!$Q1070,IF(F1072="EMZOR",PR!$R1070,IF(F1072="EUMATT",PR!$S1070,IF(F1072="FIDSON",PR!$T1070,IF(F1072="FCGLOBAL",PR!$U1070,IF(F1072="GENEITH",PR!$V1070,IF(F1072="GINOS",PR!$W1070,IF(F1072="GSK",PR!$X1070,IF(F1072="GLOBORG",PR!$Y1070,IF(F1072="GOODNEWS",PR!$Z1070,IF(F1072="GREENLIFE",PR!$AA1070,IF(F1072="HLINE",PR!$AB1070,IF(F1072="ROTECH",PR!$AC1070,IF(F1072="ISN",PR!$AD1070,IF(F1072="JAWA",PR!$AE1070,IF(F1072="LAYO",PR!$AF1070,IF(F1072="LEADWAY",PR!$AG1070,IF(F1072="LHV",PR!$AH1070,IF(F1072="MANOLA",PR!$AI1070,IF(F1072="MARCSON",PR!$AJ1070,IF(F1072="M&amp;B",PR!$AK1070,IF(F1072="MTRUST",PR!$AL1070,IF(F1072="MWORLD",PR!$AM1070,IF(F1072="MEGA",PR!$AN1070,IF(F1072="MICRONOVA",PR!$AO1070,IF(F1072="MFLASH",PR!$AP1070,IF(F1072="MORISON",PR!$AQ1070,IF(F1072="NEMEL",PR!$AR1070,IF(F1072="NHP",PR!$AS1070,IF(F1072="NHC",PR!$AT1070,IF(F1072="OLEAF",PR!$AU1070,IF(F1072="OCULUS",PR!$AV1070,IF(F1072="PACIFIC",PR!$AW1070,IF(F1072="PHAMATEX",PR!$AX1070,IF(F1072="PETHICS",PR!$AY1070,IF(F1072="PHILIPS",PR!$AZ1070,IF(F1072="RANBAXY",PR!$BA1070,IF(F1072="REALS",PR!$BB1070,IF(F1072="ROYAL",PR!$BC1070,IF(F1072="SAM",PR!$BD1070,IF(F1072="SEAGREEN",PR!$BE1070,IF(F1072="SKG",PR!$BF1070,IF(F1072="TAH",PR!$BG1070,IF(F1072="TAYLEK",PR!$BH1070,IF(F1072="TEMITA",PR!$BI1070,IF(F1072="THL",PR!$BJ1070,IF(F1072="UBASTIC",PR!$BK1070,IF(F1072="UNION",PR!$BL1070,IF(F1072="UNIQUE",PR!$BM1070,IF(F1072="VIXA",PR!$BN1070,IF(F1072="WWCV",PR!$BO1070,IF(F1072="ZOLON",PR!$BP1070,"-"))))))))))))))))))))))))))))))))))))))))))))))))))))))))))))))))</f>
        <v>6000</v>
      </c>
      <c r="F1072" s="102" t="str">
        <f>EV!L1374</f>
        <v>UBASTIC</v>
      </c>
      <c r="G1072" s="108">
        <f>IF(H1072="ALPHA",PR!$E1070,IF(H1072="ASSENE",PR!$F1070,IF(H1072="BIOFEM",PR!$G1070,IF(H1072="BIOMED",PR!$H1070,IF(H1072="CHI",PR!$I1070,IF(H1072="CLARION",PR!$J1070,IF(H1072="CODIX",PR!$K1070,IF(H1072="COSMADE",PR!$L1070,IF(H1072="SANCON",PR!$M1070,IF(H1072="DEVON",PR!$N1070,IF(H1072="DORTEMAG",PR!$O1070,IF(H1072="DGF",PR!$P1070,IF(H1072="DYNAMIC",PR!$Q1070,IF(H1072="EMZOR",PR!$R1070,IF(H1072="EUMATT",PR!$S1070,IF(H1072="FIDSON",PR!$T1070,IF(H1072="FCGLOBAL",PR!$U1070,IF(H1072="GENEITH",PR!$V1070,IF(H1072="GINOS",PR!$W1070,IF(H1072="GSK",PR!$X1070,IF(H1072="GLOBORG",PR!$Y1070,IF(H1072="GOODNEWS",PR!$Z1070,IF(H1072="GREENLIFE",PR!$AA1070,IF(H1072="HLINE",PR!$AB1070,IF(H1072="ROTECH",PR!$AC1070,IF(H1072="ISN",PR!$AD1070,IF(H1072="JAWA",PR!$AE1070,IF(H1072="LAYO",PR!$AF1070,IF(H1072="LEADWAY",PR!$AG1070,IF(H1072="LHV",PR!$AH1070,IF(H1072="MANOLA",PR!$AI1070,IF(H1072="MARCSON",PR!$AJ1070,IF(H1072="M&amp;B",PR!$AK1070,IF(H1072="MTRUST",PR!$AL1070,IF(H1072="MWORLD",PR!$AM1070,IF(H1072="MEGA",PR!$AN1070,IF(H1072="MICRONOVA",PR!$AO1070,IF(H1072="MFLASH",PR!$AP1070,IF(H1072="MORISON",PR!$AQ1070,IF(H1072="NEMEL",PR!$AR1070,IF(H1072="NHP",PR!$AS1070,IF(H1072="NHC",PR!$AT1070,IF(H1072="OLEAF",PR!$AU1070,IF(H1072="OCULUS",PR!$AV1070,IF(H1072="PACIFIC",PR!$AW1070,IF(H1072="PHAMATEX",PR!$AX1070,IF(H1072="PETHICS",PR!$AY1070,IF(H1072="PHILIPS",PR!$AZ1070,IF(H1072="RANBAXY",PR!$BA1070,IF(H1072="REALS",PR!$BB1070,IF(H1072="ROYAL",PR!$BC1070,IF(H1072="SAM",PR!$BD1070,IF(H1072="SEAGREEN",PR!$BE1070,IF(H1072="SKG",PR!$BF1070,IF(H1072="TAH",PR!$BG1070,IF(H1072="TAYLEK",PR!$BH1070,IF(H1072="TEMITA",PR!$BI1070,IF(H1072="THL",PR!$BJ1070,IF(H1072="UBASTIC",PR!$BK1070,IF(H1072="UNION",PR!$BL1070,IF(H1072="UNIQUE",PR!$BM1070,IF(H1072="VIXA",PR!$BN1070,IF(H1072="WWCV",PR!$BO1070,IF(H1072="ZOLON",PR!$BP1070,"-"))))))))))))))))))))))))))))))))))))))))))))))))))))))))))))))))</f>
        <v>9044</v>
      </c>
      <c r="H1072" s="102" t="str">
        <f>EV!M1374</f>
        <v>DYNAMIC</v>
      </c>
      <c r="I1072" s="108">
        <f>IF(J1072="ALPHA",PR!$E1070,IF(J1072="ASSENE",PR!$F1070,IF(J1072="BIOFEM",PR!$G1070,IF(J1072="BIOMED",PR!$H1070,IF(J1072="CHI",PR!$I1070,IF(J1072="CLARION",PR!$J1070,IF(J1072="CODIX",PR!$K1070,IF(J1072="COSMADE",PR!$L1070,IF(J1072="SANCON",PR!$M1070,IF(J1072="DEVON",PR!$N1070,IF(J1072="DORTEMAG",PR!$O1070,IF(J1072="DGF",PR!$P1070,IF(J1072="DYNAMIC",PR!$Q1070,IF(J1072="EMZOR",PR!$R1070,IF(J1072="EUMATT",PR!$S1070,IF(J1072="FIDSON",PR!$T1070,IF(J1072="FCGLOBAL",PR!$U1070,IF(J1072="GENEITH",PR!$V1070,IF(J1072="GINOS",PR!$W1070,IF(J1072="GSK",PR!$X1070,IF(J1072="GLOBORG",PR!$Y1070,IF(J1072="GOODNEWS",PR!$Z1070,IF(J1072="GREENLIFE",PR!$AA1070,IF(J1072="HLINE",PR!$AB1070,IF(J1072="ROTECH",PR!$AC1070,IF(J1072="ISN",PR!$AD1070,IF(J1072="JAWA",PR!$AE1070,IF(J1072="LAYO",PR!$AF1070,IF(J1072="LEADWAY",PR!$AG1070,IF(J1072="LHV",PR!$AH1070,IF(J1072="MANOLA",PR!$AI1070,IF(J1072="MARCSON",PR!$AJ1070,IF(J1072="M&amp;B",PR!$AK1070,IF(J1072="MTRUST",PR!$AL1070,IF(J1072="MWORLD",PR!$AM1070,IF(J1072="MEGA",PR!$AN1070,IF(J1072="MICRONOVA",PR!$AO1070,IF(J1072="MFLASH",PR!$AP1070,IF(J1072="MORISON",PR!$AQ1070,IF(J1072="NEMEL",PR!$AR1070,IF(J1072="NHP",PR!$AS1070,IF(J1072="NHC",PR!$AT1070,IF(J1072="OLEAF",PR!$AU1070,IF(J1072="OCULUS",PR!$AV1070,IF(J1072="PACIFIC",PR!$AW1070,IF(J1072="PHAMATEX",PR!$AX1070,IF(J1072="PETHICS",PR!$AY1070,IF(J1072="PHILIPS",PR!$AZ1070,IF(J1072="RANBAXY",PR!$BA1070,IF(J1072="REALS",PR!$BB1070,IF(J1072="ROYAL",PR!$BC1070,IF(J1072="SAM",PR!$BD1070,IF(J1072="SEAGREEN",PR!$BE1070,IF(J1072="SKG",PR!$BF1070,IF(J1072="TAH",PR!$BG1070,IF(J1072="TAYLEK",PR!$BH1070,IF(J1072="TEMITA",PR!$BI1070,IF(J1072="THL",PR!$BJ1070,IF(J1072="UBASTIC",PR!$BK1070,IF(J1072="UNION",PR!$BL1070,IF(J1072="UNIQUE",PR!$BM1070,IF(J1072="VIXA",PR!$BN1070,IF(J1072="WWCV",PR!$BO1070,IF(J1072="ZOLON",PR!$BP1070,"-"))))))))))))))))))))))))))))))))))))))))))))))))))))))))))))))))</f>
        <v>14000</v>
      </c>
      <c r="J1072" s="102" t="str">
        <f>EV!N1374</f>
        <v>COSMADE</v>
      </c>
      <c r="K1072" s="433" t="s">
        <v>1459</v>
      </c>
      <c r="L1072" s="183">
        <f>IF(K1072&gt;0,IF(K1072="ALPHA",PR!$E1070,IF(K1072="ASSENE",PR!$F1070,IF(K1072="BIOFEM",PR!$G1070,IF(K1072="BIOMED",PR!$H1070,IF(K1072="CHI",PR!$I1070,IF(K1072="CLARION",PR!$J1070,IF(K1072="CODIX",PR!$K1070,IF(K1072="COSMADE",PR!$L1070,IF(K1072="SANCON",PR!$M1070,IF(K1072="DEVON",PR!$N1070,IF(K1072="DORTEMAG",PR!$O1070,IF(K1072="DGF",PR!$P1070,IF(K1072="DYNAMIC",PR!$Q1070,IF(K1072="EMZOR",PR!$R1070,IF(K1072="EUMATT",PR!$S1070,IF(K1072="FIDSON",PR!$T1070,IF(K1072="FCGLOBAL",PR!$U1070,IF(K1072="GENEITH",PR!$V1070,IF(K1072="GINOS",PR!$W1070,IF(K1072="GSK",PR!$X1070,IF(K1072="GLOBORG",PR!$Y1070,IF(K1072="GOODNEWS",PR!$Z1070,IF(K1072="GREENLIFE",PR!$AA1070,IF(K1072="HLINE",PR!$AB1070,IF(K1072="ROTECH",PR!$AC1070,IF(K1072="ISN",PR!$AD1070,IF(K1072="JAWA",PR!$AE1070,IF(K1072="LAYO",PR!$AF1070,IF(K1072="LEADWAY",PR!$AG1070,IF(K1072="LHV",PR!$AH1070,IF(K1072="MANOLA",PR!$AI1070,IF(K1072="MARCSON",PR!$AJ1070,IF(K1072="M&amp;B",PR!$AK1070,IF(K1072="MTRUST",PR!$AL1070,IF(K1072="MWORLD",PR!$AM1070,IF(K1072="MEGA",PR!$AN1070,IF(K1072="MICRONOVA",PR!$AO1070,IF(K1072="MFLASH",PR!$AP1070,IF(K1072="MORISON",PR!$AQ1070,IF(K1072="NEMEL",PR!$AR1070,IF(K1072="NHP",PR!$AS1070,IF(K1072="NHC",PR!$AT1070,IF(K1072="OLEAF",PR!$AU1070,IF(K1072="OCULUS",PR!$AV1070,IF(K1072="PACIFIC",PR!$AW1070,IF(K1072="PHAMATEX",PR!$AX1070,IF(K1072="PETHICS",PR!$AY1070,IF(K1072="PHILIPS",PR!$AZ1070,IF(K1072="RANBAXY",PR!$BA1070,IF(K1072="REALS",PR!$BB1070,IF(K1072="ROYAL",PR!$BC1070,IF(K1072="SAM",PR!$BD1070,IF(K1072="SEAGREEN",PR!$BE1070,IF(K1072="SKG",PR!$BF1070,IF(K1072="TAH",PR!$BG1070,IF(K1072="TAYLEK",PR!$BH1070,IF(K1072="TEMITA",PR!$BI1070,IF(K1072="THL",PR!$BJ1070,IF(K1072="UBASTIC",PR!$BK1070,IF(K1072="UNION",PR!$BL1070,IF(K1072="UNIQUE",PR!$BM1070,IF(K1072="VIXA",PR!$BN1070,IF(K1072="WWCV",PR!$BO1070,IF(K1072="ZOLON",PR!$BP1070,"-")))))))))))))))))))))))))))))))))))))))))))))))))))))))))))))))))</f>
        <v>6000</v>
      </c>
    </row>
    <row r="1073" spans="1:12" ht="18.75" x14ac:dyDescent="0.3">
      <c r="A1073" s="430">
        <f>PR!A1071</f>
        <v>966</v>
      </c>
      <c r="B1073" s="15" t="str">
        <f>PR!B1071</f>
        <v>AUGMENTIN</v>
      </c>
      <c r="C1073" s="113" t="str">
        <f>PR!D1071</f>
        <v>1 PACK OF 250 PCS</v>
      </c>
      <c r="D1073" s="113">
        <f>PR!C1071</f>
        <v>24</v>
      </c>
      <c r="E1073" s="108">
        <f>IF(F1073="ALPHA",PR!$E1071,IF(F1073="ASSENE",PR!$F1071,IF(F1073="BIOFEM",PR!$G1071,IF(F1073="BIOMED",PR!$H1071,IF(F1073="CHI",PR!$I1071,IF(F1073="CLARION",PR!$J1071,IF(F1073="CODIX",PR!$K1071,IF(F1073="COSMADE",PR!$L1071,IF(F1073="SANCON",PR!$M1071,IF(F1073="DEVON",PR!$N1071,IF(F1073="DORTEMAG",PR!$O1071,IF(F1073="DGF",PR!$P1071,IF(F1073="DYNAMIC",PR!$Q1071,IF(F1073="EMZOR",PR!$R1071,IF(F1073="EUMATT",PR!$S1071,IF(F1073="FIDSON",PR!$T1071,IF(F1073="FCGLOBAL",PR!$U1071,IF(F1073="GENEITH",PR!$V1071,IF(F1073="GINOS",PR!$W1071,IF(F1073="GSK",PR!$X1071,IF(F1073="GLOBORG",PR!$Y1071,IF(F1073="GOODNEWS",PR!$Z1071,IF(F1073="GREENLIFE",PR!$AA1071,IF(F1073="HLINE",PR!$AB1071,IF(F1073="ROTECH",PR!$AC1071,IF(F1073="ISN",PR!$AD1071,IF(F1073="JAWA",PR!$AE1071,IF(F1073="LAYO",PR!$AF1071,IF(F1073="LEADWAY",PR!$AG1071,IF(F1073="LHV",PR!$AH1071,IF(F1073="MANOLA",PR!$AI1071,IF(F1073="MARCSON",PR!$AJ1071,IF(F1073="M&amp;B",PR!$AK1071,IF(F1073="MTRUST",PR!$AL1071,IF(F1073="MWORLD",PR!$AM1071,IF(F1073="MEGA",PR!$AN1071,IF(F1073="MICRONOVA",PR!$AO1071,IF(F1073="MFLASH",PR!$AP1071,IF(F1073="MORISON",PR!$AQ1071,IF(F1073="NEMEL",PR!$AR1071,IF(F1073="NHP",PR!$AS1071,IF(F1073="NHC",PR!$AT1071,IF(F1073="OLEAF",PR!$AU1071,IF(F1073="OCULUS",PR!$AV1071,IF(F1073="PACIFIC",PR!$AW1071,IF(F1073="PHAMATEX",PR!$AX1071,IF(F1073="PETHICS",PR!$AY1071,IF(F1073="PHILIPS",PR!$AZ1071,IF(F1073="RANBAXY",PR!$BA1071,IF(F1073="REALS",PR!$BB1071,IF(F1073="ROYAL",PR!$BC1071,IF(F1073="SAM",PR!$BD1071,IF(F1073="SEAGREEN",PR!$BE1071,IF(F1073="SKG",PR!$BF1071,IF(F1073="TAH",PR!$BG1071,IF(F1073="TAYLEK",PR!$BH1071,IF(F1073="TEMITA",PR!$BI1071,IF(F1073="THL",PR!$BJ1071,IF(F1073="UBASTIC",PR!$BK1071,IF(F1073="UNION",PR!$BL1071,IF(F1073="UNIQUE",PR!$BM1071,IF(F1073="VIXA",PR!$BN1071,IF(F1073="WWCV",PR!$BO1071,IF(F1073="ZOLON",PR!$BP1071,"-"))))))))))))))))))))))))))))))))))))))))))))))))))))))))))))))))</f>
        <v>6000</v>
      </c>
      <c r="F1073" s="102" t="str">
        <f>EV!L1375</f>
        <v>UBASTIC</v>
      </c>
      <c r="G1073" s="108">
        <f>IF(H1073="ALPHA",PR!$E1071,IF(H1073="ASSENE",PR!$F1071,IF(H1073="BIOFEM",PR!$G1071,IF(H1073="BIOMED",PR!$H1071,IF(H1073="CHI",PR!$I1071,IF(H1073="CLARION",PR!$J1071,IF(H1073="CODIX",PR!$K1071,IF(H1073="COSMADE",PR!$L1071,IF(H1073="SANCON",PR!$M1071,IF(H1073="DEVON",PR!$N1071,IF(H1073="DORTEMAG",PR!$O1071,IF(H1073="DGF",PR!$P1071,IF(H1073="DYNAMIC",PR!$Q1071,IF(H1073="EMZOR",PR!$R1071,IF(H1073="EUMATT",PR!$S1071,IF(H1073="FIDSON",PR!$T1071,IF(H1073="FCGLOBAL",PR!$U1071,IF(H1073="GENEITH",PR!$V1071,IF(H1073="GINOS",PR!$W1071,IF(H1073="GSK",PR!$X1071,IF(H1073="GLOBORG",PR!$Y1071,IF(H1073="GOODNEWS",PR!$Z1071,IF(H1073="GREENLIFE",PR!$AA1071,IF(H1073="HLINE",PR!$AB1071,IF(H1073="ROTECH",PR!$AC1071,IF(H1073="ISN",PR!$AD1071,IF(H1073="JAWA",PR!$AE1071,IF(H1073="LAYO",PR!$AF1071,IF(H1073="LEADWAY",PR!$AG1071,IF(H1073="LHV",PR!$AH1071,IF(H1073="MANOLA",PR!$AI1071,IF(H1073="MARCSON",PR!$AJ1071,IF(H1073="M&amp;B",PR!$AK1071,IF(H1073="MTRUST",PR!$AL1071,IF(H1073="MWORLD",PR!$AM1071,IF(H1073="MEGA",PR!$AN1071,IF(H1073="MICRONOVA",PR!$AO1071,IF(H1073="MFLASH",PR!$AP1071,IF(H1073="MORISON",PR!$AQ1071,IF(H1073="NEMEL",PR!$AR1071,IF(H1073="NHP",PR!$AS1071,IF(H1073="NHC",PR!$AT1071,IF(H1073="OLEAF",PR!$AU1071,IF(H1073="OCULUS",PR!$AV1071,IF(H1073="PACIFIC",PR!$AW1071,IF(H1073="PHAMATEX",PR!$AX1071,IF(H1073="PETHICS",PR!$AY1071,IF(H1073="PHILIPS",PR!$AZ1071,IF(H1073="RANBAXY",PR!$BA1071,IF(H1073="REALS",PR!$BB1071,IF(H1073="ROYAL",PR!$BC1071,IF(H1073="SAM",PR!$BD1071,IF(H1073="SEAGREEN",PR!$BE1071,IF(H1073="SKG",PR!$BF1071,IF(H1073="TAH",PR!$BG1071,IF(H1073="TAYLEK",PR!$BH1071,IF(H1073="TEMITA",PR!$BI1071,IF(H1073="THL",PR!$BJ1071,IF(H1073="UBASTIC",PR!$BK1071,IF(H1073="UNION",PR!$BL1071,IF(H1073="UNIQUE",PR!$BM1071,IF(H1073="VIXA",PR!$BN1071,IF(H1073="WWCV",PR!$BO1071,IF(H1073="ZOLON",PR!$BP1071,"-"))))))))))))))))))))))))))))))))))))))))))))))))))))))))))))))))</f>
        <v>9044</v>
      </c>
      <c r="H1073" s="102" t="str">
        <f>EV!M1375</f>
        <v>DYNAMIC</v>
      </c>
      <c r="I1073" s="108">
        <f>IF(J1073="ALPHA",PR!$E1071,IF(J1073="ASSENE",PR!$F1071,IF(J1073="BIOFEM",PR!$G1071,IF(J1073="BIOMED",PR!$H1071,IF(J1073="CHI",PR!$I1071,IF(J1073="CLARION",PR!$J1071,IF(J1073="CODIX",PR!$K1071,IF(J1073="COSMADE",PR!$L1071,IF(J1073="SANCON",PR!$M1071,IF(J1073="DEVON",PR!$N1071,IF(J1073="DORTEMAG",PR!$O1071,IF(J1073="DGF",PR!$P1071,IF(J1073="DYNAMIC",PR!$Q1071,IF(J1073="EMZOR",PR!$R1071,IF(J1073="EUMATT",PR!$S1071,IF(J1073="FIDSON",PR!$T1071,IF(J1073="FCGLOBAL",PR!$U1071,IF(J1073="GENEITH",PR!$V1071,IF(J1073="GINOS",PR!$W1071,IF(J1073="GSK",PR!$X1071,IF(J1073="GLOBORG",PR!$Y1071,IF(J1073="GOODNEWS",PR!$Z1071,IF(J1073="GREENLIFE",PR!$AA1071,IF(J1073="HLINE",PR!$AB1071,IF(J1073="ROTECH",PR!$AC1071,IF(J1073="ISN",PR!$AD1071,IF(J1073="JAWA",PR!$AE1071,IF(J1073="LAYO",PR!$AF1071,IF(J1073="LEADWAY",PR!$AG1071,IF(J1073="LHV",PR!$AH1071,IF(J1073="MANOLA",PR!$AI1071,IF(J1073="MARCSON",PR!$AJ1071,IF(J1073="M&amp;B",PR!$AK1071,IF(J1073="MTRUST",PR!$AL1071,IF(J1073="MWORLD",PR!$AM1071,IF(J1073="MEGA",PR!$AN1071,IF(J1073="MICRONOVA",PR!$AO1071,IF(J1073="MFLASH",PR!$AP1071,IF(J1073="MORISON",PR!$AQ1071,IF(J1073="NEMEL",PR!$AR1071,IF(J1073="NHP",PR!$AS1071,IF(J1073="NHC",PR!$AT1071,IF(J1073="OLEAF",PR!$AU1071,IF(J1073="OCULUS",PR!$AV1071,IF(J1073="PACIFIC",PR!$AW1071,IF(J1073="PHAMATEX",PR!$AX1071,IF(J1073="PETHICS",PR!$AY1071,IF(J1073="PHILIPS",PR!$AZ1071,IF(J1073="RANBAXY",PR!$BA1071,IF(J1073="REALS",PR!$BB1071,IF(J1073="ROYAL",PR!$BC1071,IF(J1073="SAM",PR!$BD1071,IF(J1073="SEAGREEN",PR!$BE1071,IF(J1073="SKG",PR!$BF1071,IF(J1073="TAH",PR!$BG1071,IF(J1073="TAYLEK",PR!$BH1071,IF(J1073="TEMITA",PR!$BI1071,IF(J1073="THL",PR!$BJ1071,IF(J1073="UBASTIC",PR!$BK1071,IF(J1073="UNION",PR!$BL1071,IF(J1073="UNIQUE",PR!$BM1071,IF(J1073="VIXA",PR!$BN1071,IF(J1073="WWCV",PR!$BO1071,IF(J1073="ZOLON",PR!$BP1071,"-"))))))))))))))))))))))))))))))))))))))))))))))))))))))))))))))))</f>
        <v>14000</v>
      </c>
      <c r="J1073" s="102" t="str">
        <f>EV!N1375</f>
        <v>COSMADE</v>
      </c>
      <c r="K1073" s="433" t="s">
        <v>1459</v>
      </c>
      <c r="L1073" s="183">
        <f>IF(K1073&gt;0,IF(K1073="ALPHA",PR!$E1071,IF(K1073="ASSENE",PR!$F1071,IF(K1073="BIOFEM",PR!$G1071,IF(K1073="BIOMED",PR!$H1071,IF(K1073="CHI",PR!$I1071,IF(K1073="CLARION",PR!$J1071,IF(K1073="CODIX",PR!$K1071,IF(K1073="COSMADE",PR!$L1071,IF(K1073="SANCON",PR!$M1071,IF(K1073="DEVON",PR!$N1071,IF(K1073="DORTEMAG",PR!$O1071,IF(K1073="DGF",PR!$P1071,IF(K1073="DYNAMIC",PR!$Q1071,IF(K1073="EMZOR",PR!$R1071,IF(K1073="EUMATT",PR!$S1071,IF(K1073="FIDSON",PR!$T1071,IF(K1073="FCGLOBAL",PR!$U1071,IF(K1073="GENEITH",PR!$V1071,IF(K1073="GINOS",PR!$W1071,IF(K1073="GSK",PR!$X1071,IF(K1073="GLOBORG",PR!$Y1071,IF(K1073="GOODNEWS",PR!$Z1071,IF(K1073="GREENLIFE",PR!$AA1071,IF(K1073="HLINE",PR!$AB1071,IF(K1073="ROTECH",PR!$AC1071,IF(K1073="ISN",PR!$AD1071,IF(K1073="JAWA",PR!$AE1071,IF(K1073="LAYO",PR!$AF1071,IF(K1073="LEADWAY",PR!$AG1071,IF(K1073="LHV",PR!$AH1071,IF(K1073="MANOLA",PR!$AI1071,IF(K1073="MARCSON",PR!$AJ1071,IF(K1073="M&amp;B",PR!$AK1071,IF(K1073="MTRUST",PR!$AL1071,IF(K1073="MWORLD",PR!$AM1071,IF(K1073="MEGA",PR!$AN1071,IF(K1073="MICRONOVA",PR!$AO1071,IF(K1073="MFLASH",PR!$AP1071,IF(K1073="MORISON",PR!$AQ1071,IF(K1073="NEMEL",PR!$AR1071,IF(K1073="NHP",PR!$AS1071,IF(K1073="NHC",PR!$AT1071,IF(K1073="OLEAF",PR!$AU1071,IF(K1073="OCULUS",PR!$AV1071,IF(K1073="PACIFIC",PR!$AW1071,IF(K1073="PHAMATEX",PR!$AX1071,IF(K1073="PETHICS",PR!$AY1071,IF(K1073="PHILIPS",PR!$AZ1071,IF(K1073="RANBAXY",PR!$BA1071,IF(K1073="REALS",PR!$BB1071,IF(K1073="ROYAL",PR!$BC1071,IF(K1073="SAM",PR!$BD1071,IF(K1073="SEAGREEN",PR!$BE1071,IF(K1073="SKG",PR!$BF1071,IF(K1073="TAH",PR!$BG1071,IF(K1073="TAYLEK",PR!$BH1071,IF(K1073="TEMITA",PR!$BI1071,IF(K1073="THL",PR!$BJ1071,IF(K1073="UBASTIC",PR!$BK1071,IF(K1073="UNION",PR!$BL1071,IF(K1073="UNIQUE",PR!$BM1071,IF(K1073="VIXA",PR!$BN1071,IF(K1073="WWCV",PR!$BO1071,IF(K1073="ZOLON",PR!$BP1071,"-")))))))))))))))))))))))))))))))))))))))))))))))))))))))))))))))))</f>
        <v>6000</v>
      </c>
    </row>
    <row r="1074" spans="1:12" ht="18.75" x14ac:dyDescent="0.3">
      <c r="A1074" s="430">
        <f>PR!A1072</f>
        <v>967</v>
      </c>
      <c r="B1074" s="15" t="str">
        <f>PR!B1072</f>
        <v>MEROPENEM</v>
      </c>
      <c r="C1074" s="113" t="str">
        <f>PR!D1072</f>
        <v>1 PACK OF 250 PCS</v>
      </c>
      <c r="D1074" s="113">
        <f>PR!C1072</f>
        <v>12</v>
      </c>
      <c r="E1074" s="108">
        <f>IF(F1074="ALPHA",PR!$E1072,IF(F1074="ASSENE",PR!$F1072,IF(F1074="BIOFEM",PR!$G1072,IF(F1074="BIOMED",PR!$H1072,IF(F1074="CHI",PR!$I1072,IF(F1074="CLARION",PR!$J1072,IF(F1074="CODIX",PR!$K1072,IF(F1074="COSMADE",PR!$L1072,IF(F1074="SANCON",PR!$M1072,IF(F1074="DEVON",PR!$N1072,IF(F1074="DORTEMAG",PR!$O1072,IF(F1074="DGF",PR!$P1072,IF(F1074="DYNAMIC",PR!$Q1072,IF(F1074="EMZOR",PR!$R1072,IF(F1074="EUMATT",PR!$S1072,IF(F1074="FIDSON",PR!$T1072,IF(F1074="FCGLOBAL",PR!$U1072,IF(F1074="GENEITH",PR!$V1072,IF(F1074="GINOS",PR!$W1072,IF(F1074="GSK",PR!$X1072,IF(F1074="GLOBORG",PR!$Y1072,IF(F1074="GOODNEWS",PR!$Z1072,IF(F1074="GREENLIFE",PR!$AA1072,IF(F1074="HLINE",PR!$AB1072,IF(F1074="ROTECH",PR!$AC1072,IF(F1074="ISN",PR!$AD1072,IF(F1074="JAWA",PR!$AE1072,IF(F1074="LAYO",PR!$AF1072,IF(F1074="LEADWAY",PR!$AG1072,IF(F1074="LHV",PR!$AH1072,IF(F1074="MANOLA",PR!$AI1072,IF(F1074="MARCSON",PR!$AJ1072,IF(F1074="M&amp;B",PR!$AK1072,IF(F1074="MTRUST",PR!$AL1072,IF(F1074="MWORLD",PR!$AM1072,IF(F1074="MEGA",PR!$AN1072,IF(F1074="MICRONOVA",PR!$AO1072,IF(F1074="MFLASH",PR!$AP1072,IF(F1074="MORISON",PR!$AQ1072,IF(F1074="NEMEL",PR!$AR1072,IF(F1074="NHP",PR!$AS1072,IF(F1074="NHC",PR!$AT1072,IF(F1074="OLEAF",PR!$AU1072,IF(F1074="OCULUS",PR!$AV1072,IF(F1074="PACIFIC",PR!$AW1072,IF(F1074="PHAMATEX",PR!$AX1072,IF(F1074="PETHICS",PR!$AY1072,IF(F1074="PHILIPS",PR!$AZ1072,IF(F1074="RANBAXY",PR!$BA1072,IF(F1074="REALS",PR!$BB1072,IF(F1074="ROYAL",PR!$BC1072,IF(F1074="SAM",PR!$BD1072,IF(F1074="SEAGREEN",PR!$BE1072,IF(F1074="SKG",PR!$BF1072,IF(F1074="TAH",PR!$BG1072,IF(F1074="TAYLEK",PR!$BH1072,IF(F1074="TEMITA",PR!$BI1072,IF(F1074="THL",PR!$BJ1072,IF(F1074="UBASTIC",PR!$BK1072,IF(F1074="UNION",PR!$BL1072,IF(F1074="UNIQUE",PR!$BM1072,IF(F1074="VIXA",PR!$BN1072,IF(F1074="WWCV",PR!$BO1072,IF(F1074="ZOLON",PR!$BP1072,"-"))))))))))))))))))))))))))))))))))))))))))))))))))))))))))))))))</f>
        <v>6000</v>
      </c>
      <c r="F1074" s="102" t="str">
        <f>EV!L1376</f>
        <v>UBASTIC</v>
      </c>
      <c r="G1074" s="108">
        <f>IF(H1074="ALPHA",PR!$E1072,IF(H1074="ASSENE",PR!$F1072,IF(H1074="BIOFEM",PR!$G1072,IF(H1074="BIOMED",PR!$H1072,IF(H1074="CHI",PR!$I1072,IF(H1074="CLARION",PR!$J1072,IF(H1074="CODIX",PR!$K1072,IF(H1074="COSMADE",PR!$L1072,IF(H1074="SANCON",PR!$M1072,IF(H1074="DEVON",PR!$N1072,IF(H1074="DORTEMAG",PR!$O1072,IF(H1074="DGF",PR!$P1072,IF(H1074="DYNAMIC",PR!$Q1072,IF(H1074="EMZOR",PR!$R1072,IF(H1074="EUMATT",PR!$S1072,IF(H1074="FIDSON",PR!$T1072,IF(H1074="FCGLOBAL",PR!$U1072,IF(H1074="GENEITH",PR!$V1072,IF(H1074="GINOS",PR!$W1072,IF(H1074="GSK",PR!$X1072,IF(H1074="GLOBORG",PR!$Y1072,IF(H1074="GOODNEWS",PR!$Z1072,IF(H1074="GREENLIFE",PR!$AA1072,IF(H1074="HLINE",PR!$AB1072,IF(H1074="ROTECH",PR!$AC1072,IF(H1074="ISN",PR!$AD1072,IF(H1074="JAWA",PR!$AE1072,IF(H1074="LAYO",PR!$AF1072,IF(H1074="LEADWAY",PR!$AG1072,IF(H1074="LHV",PR!$AH1072,IF(H1074="MANOLA",PR!$AI1072,IF(H1074="MARCSON",PR!$AJ1072,IF(H1074="M&amp;B",PR!$AK1072,IF(H1074="MTRUST",PR!$AL1072,IF(H1074="MWORLD",PR!$AM1072,IF(H1074="MEGA",PR!$AN1072,IF(H1074="MICRONOVA",PR!$AO1072,IF(H1074="MFLASH",PR!$AP1072,IF(H1074="MORISON",PR!$AQ1072,IF(H1074="NEMEL",PR!$AR1072,IF(H1074="NHP",PR!$AS1072,IF(H1074="NHC",PR!$AT1072,IF(H1074="OLEAF",PR!$AU1072,IF(H1074="OCULUS",PR!$AV1072,IF(H1074="PACIFIC",PR!$AW1072,IF(H1074="PHAMATEX",PR!$AX1072,IF(H1074="PETHICS",PR!$AY1072,IF(H1074="PHILIPS",PR!$AZ1072,IF(H1074="RANBAXY",PR!$BA1072,IF(H1074="REALS",PR!$BB1072,IF(H1074="ROYAL",PR!$BC1072,IF(H1074="SAM",PR!$BD1072,IF(H1074="SEAGREEN",PR!$BE1072,IF(H1074="SKG",PR!$BF1072,IF(H1074="TAH",PR!$BG1072,IF(H1074="TAYLEK",PR!$BH1072,IF(H1074="TEMITA",PR!$BI1072,IF(H1074="THL",PR!$BJ1072,IF(H1074="UBASTIC",PR!$BK1072,IF(H1074="UNION",PR!$BL1072,IF(H1074="UNIQUE",PR!$BM1072,IF(H1074="VIXA",PR!$BN1072,IF(H1074="WWCV",PR!$BO1072,IF(H1074="ZOLON",PR!$BP1072,"-"))))))))))))))))))))))))))))))))))))))))))))))))))))))))))))))))</f>
        <v>9044</v>
      </c>
      <c r="H1074" s="102" t="str">
        <f>EV!M1376</f>
        <v>DYNAMIC</v>
      </c>
      <c r="I1074" s="108">
        <f>IF(J1074="ALPHA",PR!$E1072,IF(J1074="ASSENE",PR!$F1072,IF(J1074="BIOFEM",PR!$G1072,IF(J1074="BIOMED",PR!$H1072,IF(J1074="CHI",PR!$I1072,IF(J1074="CLARION",PR!$J1072,IF(J1074="CODIX",PR!$K1072,IF(J1074="COSMADE",PR!$L1072,IF(J1074="SANCON",PR!$M1072,IF(J1074="DEVON",PR!$N1072,IF(J1074="DORTEMAG",PR!$O1072,IF(J1074="DGF",PR!$P1072,IF(J1074="DYNAMIC",PR!$Q1072,IF(J1074="EMZOR",PR!$R1072,IF(J1074="EUMATT",PR!$S1072,IF(J1074="FIDSON",PR!$T1072,IF(J1074="FCGLOBAL",PR!$U1072,IF(J1074="GENEITH",PR!$V1072,IF(J1074="GINOS",PR!$W1072,IF(J1074="GSK",PR!$X1072,IF(J1074="GLOBORG",PR!$Y1072,IF(J1074="GOODNEWS",PR!$Z1072,IF(J1074="GREENLIFE",PR!$AA1072,IF(J1074="HLINE",PR!$AB1072,IF(J1074="ROTECH",PR!$AC1072,IF(J1074="ISN",PR!$AD1072,IF(J1074="JAWA",PR!$AE1072,IF(J1074="LAYO",PR!$AF1072,IF(J1074="LEADWAY",PR!$AG1072,IF(J1074="LHV",PR!$AH1072,IF(J1074="MANOLA",PR!$AI1072,IF(J1074="MARCSON",PR!$AJ1072,IF(J1074="M&amp;B",PR!$AK1072,IF(J1074="MTRUST",PR!$AL1072,IF(J1074="MWORLD",PR!$AM1072,IF(J1074="MEGA",PR!$AN1072,IF(J1074="MICRONOVA",PR!$AO1072,IF(J1074="MFLASH",PR!$AP1072,IF(J1074="MORISON",PR!$AQ1072,IF(J1074="NEMEL",PR!$AR1072,IF(J1074="NHP",PR!$AS1072,IF(J1074="NHC",PR!$AT1072,IF(J1074="OLEAF",PR!$AU1072,IF(J1074="OCULUS",PR!$AV1072,IF(J1074="PACIFIC",PR!$AW1072,IF(J1074="PHAMATEX",PR!$AX1072,IF(J1074="PETHICS",PR!$AY1072,IF(J1074="PHILIPS",PR!$AZ1072,IF(J1074="RANBAXY",PR!$BA1072,IF(J1074="REALS",PR!$BB1072,IF(J1074="ROYAL",PR!$BC1072,IF(J1074="SAM",PR!$BD1072,IF(J1074="SEAGREEN",PR!$BE1072,IF(J1074="SKG",PR!$BF1072,IF(J1074="TAH",PR!$BG1072,IF(J1074="TAYLEK",PR!$BH1072,IF(J1074="TEMITA",PR!$BI1072,IF(J1074="THL",PR!$BJ1072,IF(J1074="UBASTIC",PR!$BK1072,IF(J1074="UNION",PR!$BL1072,IF(J1074="UNIQUE",PR!$BM1072,IF(J1074="VIXA",PR!$BN1072,IF(J1074="WWCV",PR!$BO1072,IF(J1074="ZOLON",PR!$BP1072,"-"))))))))))))))))))))))))))))))))))))))))))))))))))))))))))))))))</f>
        <v>14000</v>
      </c>
      <c r="J1074" s="102" t="str">
        <f>EV!N1376</f>
        <v>COSMADE</v>
      </c>
      <c r="K1074" s="433" t="s">
        <v>1459</v>
      </c>
      <c r="L1074" s="183">
        <f>IF(K1074&gt;0,IF(K1074="ALPHA",PR!$E1072,IF(K1074="ASSENE",PR!$F1072,IF(K1074="BIOFEM",PR!$G1072,IF(K1074="BIOMED",PR!$H1072,IF(K1074="CHI",PR!$I1072,IF(K1074="CLARION",PR!$J1072,IF(K1074="CODIX",PR!$K1072,IF(K1074="COSMADE",PR!$L1072,IF(K1074="SANCON",PR!$M1072,IF(K1074="DEVON",PR!$N1072,IF(K1074="DORTEMAG",PR!$O1072,IF(K1074="DGF",PR!$P1072,IF(K1074="DYNAMIC",PR!$Q1072,IF(K1074="EMZOR",PR!$R1072,IF(K1074="EUMATT",PR!$S1072,IF(K1074="FIDSON",PR!$T1072,IF(K1074="FCGLOBAL",PR!$U1072,IF(K1074="GENEITH",PR!$V1072,IF(K1074="GINOS",PR!$W1072,IF(K1074="GSK",PR!$X1072,IF(K1074="GLOBORG",PR!$Y1072,IF(K1074="GOODNEWS",PR!$Z1072,IF(K1074="GREENLIFE",PR!$AA1072,IF(K1074="HLINE",PR!$AB1072,IF(K1074="ROTECH",PR!$AC1072,IF(K1074="ISN",PR!$AD1072,IF(K1074="JAWA",PR!$AE1072,IF(K1074="LAYO",PR!$AF1072,IF(K1074="LEADWAY",PR!$AG1072,IF(K1074="LHV",PR!$AH1072,IF(K1074="MANOLA",PR!$AI1072,IF(K1074="MARCSON",PR!$AJ1072,IF(K1074="M&amp;B",PR!$AK1072,IF(K1074="MTRUST",PR!$AL1072,IF(K1074="MWORLD",PR!$AM1072,IF(K1074="MEGA",PR!$AN1072,IF(K1074="MICRONOVA",PR!$AO1072,IF(K1074="MFLASH",PR!$AP1072,IF(K1074="MORISON",PR!$AQ1072,IF(K1074="NEMEL",PR!$AR1072,IF(K1074="NHP",PR!$AS1072,IF(K1074="NHC",PR!$AT1072,IF(K1074="OLEAF",PR!$AU1072,IF(K1074="OCULUS",PR!$AV1072,IF(K1074="PACIFIC",PR!$AW1072,IF(K1074="PHAMATEX",PR!$AX1072,IF(K1074="PETHICS",PR!$AY1072,IF(K1074="PHILIPS",PR!$AZ1072,IF(K1074="RANBAXY",PR!$BA1072,IF(K1074="REALS",PR!$BB1072,IF(K1074="ROYAL",PR!$BC1072,IF(K1074="SAM",PR!$BD1072,IF(K1074="SEAGREEN",PR!$BE1072,IF(K1074="SKG",PR!$BF1072,IF(K1074="TAH",PR!$BG1072,IF(K1074="TAYLEK",PR!$BH1072,IF(K1074="TEMITA",PR!$BI1072,IF(K1074="THL",PR!$BJ1072,IF(K1074="UBASTIC",PR!$BK1072,IF(K1074="UNION",PR!$BL1072,IF(K1074="UNIQUE",PR!$BM1072,IF(K1074="VIXA",PR!$BN1072,IF(K1074="WWCV",PR!$BO1072,IF(K1074="ZOLON",PR!$BP1072,"-")))))))))))))))))))))))))))))))))))))))))))))))))))))))))))))))))</f>
        <v>6000</v>
      </c>
    </row>
    <row r="1075" spans="1:12" ht="18.75" x14ac:dyDescent="0.3">
      <c r="A1075" s="430">
        <f>PR!A1073</f>
        <v>968</v>
      </c>
      <c r="B1075" s="15" t="str">
        <f>PR!B1073</f>
        <v>OPTOCHIN DISC</v>
      </c>
      <c r="C1075" s="113" t="str">
        <f>PR!D1073</f>
        <v>1 PACK OF 250 PCS</v>
      </c>
      <c r="D1075" s="113">
        <f>PR!C1073</f>
        <v>4</v>
      </c>
      <c r="E1075" s="108">
        <f>IF(F1075="ALPHA",PR!$E1073,IF(F1075="ASSENE",PR!$F1073,IF(F1075="BIOFEM",PR!$G1073,IF(F1075="BIOMED",PR!$H1073,IF(F1075="CHI",PR!$I1073,IF(F1075="CLARION",PR!$J1073,IF(F1075="CODIX",PR!$K1073,IF(F1075="COSMADE",PR!$L1073,IF(F1075="SANCON",PR!$M1073,IF(F1075="DEVON",PR!$N1073,IF(F1075="DORTEMAG",PR!$O1073,IF(F1075="DGF",PR!$P1073,IF(F1075="DYNAMIC",PR!$Q1073,IF(F1075="EMZOR",PR!$R1073,IF(F1075="EUMATT",PR!$S1073,IF(F1075="FIDSON",PR!$T1073,IF(F1075="FCGLOBAL",PR!$U1073,IF(F1075="GENEITH",PR!$V1073,IF(F1075="GINOS",PR!$W1073,IF(F1075="GSK",PR!$X1073,IF(F1075="GLOBORG",PR!$Y1073,IF(F1075="GOODNEWS",PR!$Z1073,IF(F1075="GREENLIFE",PR!$AA1073,IF(F1075="HLINE",PR!$AB1073,IF(F1075="ROTECH",PR!$AC1073,IF(F1075="ISN",PR!$AD1073,IF(F1075="JAWA",PR!$AE1073,IF(F1075="LAYO",PR!$AF1073,IF(F1075="LEADWAY",PR!$AG1073,IF(F1075="LHV",PR!$AH1073,IF(F1075="MANOLA",PR!$AI1073,IF(F1075="MARCSON",PR!$AJ1073,IF(F1075="M&amp;B",PR!$AK1073,IF(F1075="MTRUST",PR!$AL1073,IF(F1075="MWORLD",PR!$AM1073,IF(F1075="MEGA",PR!$AN1073,IF(F1075="MICRONOVA",PR!$AO1073,IF(F1075="MFLASH",PR!$AP1073,IF(F1075="MORISON",PR!$AQ1073,IF(F1075="NEMEL",PR!$AR1073,IF(F1075="NHP",PR!$AS1073,IF(F1075="NHC",PR!$AT1073,IF(F1075="OLEAF",PR!$AU1073,IF(F1075="OCULUS",PR!$AV1073,IF(F1075="PACIFIC",PR!$AW1073,IF(F1075="PHAMATEX",PR!$AX1073,IF(F1075="PETHICS",PR!$AY1073,IF(F1075="PHILIPS",PR!$AZ1073,IF(F1075="RANBAXY",PR!$BA1073,IF(F1075="REALS",PR!$BB1073,IF(F1075="ROYAL",PR!$BC1073,IF(F1075="SAM",PR!$BD1073,IF(F1075="SEAGREEN",PR!$BE1073,IF(F1075="SKG",PR!$BF1073,IF(F1075="TAH",PR!$BG1073,IF(F1075="TAYLEK",PR!$BH1073,IF(F1075="TEMITA",PR!$BI1073,IF(F1075="THL",PR!$BJ1073,IF(F1075="UBASTIC",PR!$BK1073,IF(F1075="UNION",PR!$BL1073,IF(F1075="UNIQUE",PR!$BM1073,IF(F1075="VIXA",PR!$BN1073,IF(F1075="WWCV",PR!$BO1073,IF(F1075="ZOLON",PR!$BP1073,"-"))))))))))))))))))))))))))))))))))))))))))))))))))))))))))))))))</f>
        <v>8500</v>
      </c>
      <c r="F1075" s="102" t="str">
        <f>EV!L1377</f>
        <v>UBASTIC</v>
      </c>
      <c r="G1075" s="108">
        <f>IF(H1075="ALPHA",PR!$E1073,IF(H1075="ASSENE",PR!$F1073,IF(H1075="BIOFEM",PR!$G1073,IF(H1075="BIOMED",PR!$H1073,IF(H1075="CHI",PR!$I1073,IF(H1075="CLARION",PR!$J1073,IF(H1075="CODIX",PR!$K1073,IF(H1075="COSMADE",PR!$L1073,IF(H1075="SANCON",PR!$M1073,IF(H1075="DEVON",PR!$N1073,IF(H1075="DORTEMAG",PR!$O1073,IF(H1075="DGF",PR!$P1073,IF(H1075="DYNAMIC",PR!$Q1073,IF(H1075="EMZOR",PR!$R1073,IF(H1075="EUMATT",PR!$S1073,IF(H1075="FIDSON",PR!$T1073,IF(H1075="FCGLOBAL",PR!$U1073,IF(H1075="GENEITH",PR!$V1073,IF(H1075="GINOS",PR!$W1073,IF(H1075="GSK",PR!$X1073,IF(H1075="GLOBORG",PR!$Y1073,IF(H1075="GOODNEWS",PR!$Z1073,IF(H1075="GREENLIFE",PR!$AA1073,IF(H1075="HLINE",PR!$AB1073,IF(H1075="ROTECH",PR!$AC1073,IF(H1075="ISN",PR!$AD1073,IF(H1075="JAWA",PR!$AE1073,IF(H1075="LAYO",PR!$AF1073,IF(H1075="LEADWAY",PR!$AG1073,IF(H1075="LHV",PR!$AH1073,IF(H1075="MANOLA",PR!$AI1073,IF(H1075="MARCSON",PR!$AJ1073,IF(H1075="M&amp;B",PR!$AK1073,IF(H1075="MTRUST",PR!$AL1073,IF(H1075="MWORLD",PR!$AM1073,IF(H1075="MEGA",PR!$AN1073,IF(H1075="MICRONOVA",PR!$AO1073,IF(H1075="MFLASH",PR!$AP1073,IF(H1075="MORISON",PR!$AQ1073,IF(H1075="NEMEL",PR!$AR1073,IF(H1075="NHP",PR!$AS1073,IF(H1075="NHC",PR!$AT1073,IF(H1075="OLEAF",PR!$AU1073,IF(H1075="OCULUS",PR!$AV1073,IF(H1075="PACIFIC",PR!$AW1073,IF(H1075="PHAMATEX",PR!$AX1073,IF(H1075="PETHICS",PR!$AY1073,IF(H1075="PHILIPS",PR!$AZ1073,IF(H1075="RANBAXY",PR!$BA1073,IF(H1075="REALS",PR!$BB1073,IF(H1075="ROYAL",PR!$BC1073,IF(H1075="SAM",PR!$BD1073,IF(H1075="SEAGREEN",PR!$BE1073,IF(H1075="SKG",PR!$BF1073,IF(H1075="TAH",PR!$BG1073,IF(H1075="TAYLEK",PR!$BH1073,IF(H1075="TEMITA",PR!$BI1073,IF(H1075="THL",PR!$BJ1073,IF(H1075="UBASTIC",PR!$BK1073,IF(H1075="UNION",PR!$BL1073,IF(H1075="UNIQUE",PR!$BM1073,IF(H1075="VIXA",PR!$BN1073,IF(H1075="WWCV",PR!$BO1073,IF(H1075="ZOLON",PR!$BP1073,"-"))))))))))))))))))))))))))))))))))))))))))))))))))))))))))))))))</f>
        <v>17955</v>
      </c>
      <c r="H1075" s="102" t="str">
        <f>EV!M1377</f>
        <v>DYNAMIC</v>
      </c>
      <c r="I1075" s="108">
        <f>IF(J1075="ALPHA",PR!$E1073,IF(J1075="ASSENE",PR!$F1073,IF(J1075="BIOFEM",PR!$G1073,IF(J1075="BIOMED",PR!$H1073,IF(J1075="CHI",PR!$I1073,IF(J1075="CLARION",PR!$J1073,IF(J1075="CODIX",PR!$K1073,IF(J1075="COSMADE",PR!$L1073,IF(J1075="SANCON",PR!$M1073,IF(J1075="DEVON",PR!$N1073,IF(J1075="DORTEMAG",PR!$O1073,IF(J1075="DGF",PR!$P1073,IF(J1075="DYNAMIC",PR!$Q1073,IF(J1075="EMZOR",PR!$R1073,IF(J1075="EUMATT",PR!$S1073,IF(J1075="FIDSON",PR!$T1073,IF(J1075="FCGLOBAL",PR!$U1073,IF(J1075="GENEITH",PR!$V1073,IF(J1075="GINOS",PR!$W1073,IF(J1075="GSK",PR!$X1073,IF(J1075="GLOBORG",PR!$Y1073,IF(J1075="GOODNEWS",PR!$Z1073,IF(J1075="GREENLIFE",PR!$AA1073,IF(J1075="HLINE",PR!$AB1073,IF(J1075="ROTECH",PR!$AC1073,IF(J1075="ISN",PR!$AD1073,IF(J1075="JAWA",PR!$AE1073,IF(J1075="LAYO",PR!$AF1073,IF(J1075="LEADWAY",PR!$AG1073,IF(J1075="LHV",PR!$AH1073,IF(J1075="MANOLA",PR!$AI1073,IF(J1075="MARCSON",PR!$AJ1073,IF(J1075="M&amp;B",PR!$AK1073,IF(J1075="MTRUST",PR!$AL1073,IF(J1075="MWORLD",PR!$AM1073,IF(J1075="MEGA",PR!$AN1073,IF(J1075="MICRONOVA",PR!$AO1073,IF(J1075="MFLASH",PR!$AP1073,IF(J1075="MORISON",PR!$AQ1073,IF(J1075="NEMEL",PR!$AR1073,IF(J1075="NHP",PR!$AS1073,IF(J1075="NHC",PR!$AT1073,IF(J1075="OLEAF",PR!$AU1073,IF(J1075="OCULUS",PR!$AV1073,IF(J1075="PACIFIC",PR!$AW1073,IF(J1075="PHAMATEX",PR!$AX1073,IF(J1075="PETHICS",PR!$AY1073,IF(J1075="PHILIPS",PR!$AZ1073,IF(J1075="RANBAXY",PR!$BA1073,IF(J1075="REALS",PR!$BB1073,IF(J1075="ROYAL",PR!$BC1073,IF(J1075="SAM",PR!$BD1073,IF(J1075="SEAGREEN",PR!$BE1073,IF(J1075="SKG",PR!$BF1073,IF(J1075="TAH",PR!$BG1073,IF(J1075="TAYLEK",PR!$BH1073,IF(J1075="TEMITA",PR!$BI1073,IF(J1075="THL",PR!$BJ1073,IF(J1075="UBASTIC",PR!$BK1073,IF(J1075="UNION",PR!$BL1073,IF(J1075="UNIQUE",PR!$BM1073,IF(J1075="VIXA",PR!$BN1073,IF(J1075="WWCV",PR!$BO1073,IF(J1075="ZOLON",PR!$BP1073,"-"))))))))))))))))))))))))))))))))))))))))))))))))))))))))))))))))</f>
        <v>14000</v>
      </c>
      <c r="J1075" s="102" t="str">
        <f>EV!N1377</f>
        <v>COSMADE</v>
      </c>
      <c r="K1075" s="433" t="s">
        <v>1459</v>
      </c>
      <c r="L1075" s="183">
        <f>IF(K1075&gt;0,IF(K1075="ALPHA",PR!$E1073,IF(K1075="ASSENE",PR!$F1073,IF(K1075="BIOFEM",PR!$G1073,IF(K1075="BIOMED",PR!$H1073,IF(K1075="CHI",PR!$I1073,IF(K1075="CLARION",PR!$J1073,IF(K1075="CODIX",PR!$K1073,IF(K1075="COSMADE",PR!$L1073,IF(K1075="SANCON",PR!$M1073,IF(K1075="DEVON",PR!$N1073,IF(K1075="DORTEMAG",PR!$O1073,IF(K1075="DGF",PR!$P1073,IF(K1075="DYNAMIC",PR!$Q1073,IF(K1075="EMZOR",PR!$R1073,IF(K1075="EUMATT",PR!$S1073,IF(K1075="FIDSON",PR!$T1073,IF(K1075="FCGLOBAL",PR!$U1073,IF(K1075="GENEITH",PR!$V1073,IF(K1075="GINOS",PR!$W1073,IF(K1075="GSK",PR!$X1073,IF(K1075="GLOBORG",PR!$Y1073,IF(K1075="GOODNEWS",PR!$Z1073,IF(K1075="GREENLIFE",PR!$AA1073,IF(K1075="HLINE",PR!$AB1073,IF(K1075="ROTECH",PR!$AC1073,IF(K1075="ISN",PR!$AD1073,IF(K1075="JAWA",PR!$AE1073,IF(K1075="LAYO",PR!$AF1073,IF(K1075="LEADWAY",PR!$AG1073,IF(K1075="LHV",PR!$AH1073,IF(K1075="MANOLA",PR!$AI1073,IF(K1075="MARCSON",PR!$AJ1073,IF(K1075="M&amp;B",PR!$AK1073,IF(K1075="MTRUST",PR!$AL1073,IF(K1075="MWORLD",PR!$AM1073,IF(K1075="MEGA",PR!$AN1073,IF(K1075="MICRONOVA",PR!$AO1073,IF(K1075="MFLASH",PR!$AP1073,IF(K1075="MORISON",PR!$AQ1073,IF(K1075="NEMEL",PR!$AR1073,IF(K1075="NHP",PR!$AS1073,IF(K1075="NHC",PR!$AT1073,IF(K1075="OLEAF",PR!$AU1073,IF(K1075="OCULUS",PR!$AV1073,IF(K1075="PACIFIC",PR!$AW1073,IF(K1075="PHAMATEX",PR!$AX1073,IF(K1075="PETHICS",PR!$AY1073,IF(K1075="PHILIPS",PR!$AZ1073,IF(K1075="RANBAXY",PR!$BA1073,IF(K1075="REALS",PR!$BB1073,IF(K1075="ROYAL",PR!$BC1073,IF(K1075="SAM",PR!$BD1073,IF(K1075="SEAGREEN",PR!$BE1073,IF(K1075="SKG",PR!$BF1073,IF(K1075="TAH",PR!$BG1073,IF(K1075="TAYLEK",PR!$BH1073,IF(K1075="TEMITA",PR!$BI1073,IF(K1075="THL",PR!$BJ1073,IF(K1075="UBASTIC",PR!$BK1073,IF(K1075="UNION",PR!$BL1073,IF(K1075="UNIQUE",PR!$BM1073,IF(K1075="VIXA",PR!$BN1073,IF(K1075="WWCV",PR!$BO1073,IF(K1075="ZOLON",PR!$BP1073,"-")))))))))))))))))))))))))))))))))))))))))))))))))))))))))))))))))</f>
        <v>8500</v>
      </c>
    </row>
    <row r="1076" spans="1:12" ht="18.75" x14ac:dyDescent="0.3">
      <c r="A1076" s="430">
        <f>PR!A1074</f>
        <v>969</v>
      </c>
      <c r="B1076" s="15" t="str">
        <f>PR!B1074</f>
        <v>BACITRACIN</v>
      </c>
      <c r="C1076" s="113" t="str">
        <f>PR!D1074</f>
        <v>1 PACK OF 250 PCS</v>
      </c>
      <c r="D1076" s="113">
        <f>PR!C1074</f>
        <v>4</v>
      </c>
      <c r="E1076" s="108">
        <f>IF(F1076="ALPHA",PR!$E1074,IF(F1076="ASSENE",PR!$F1074,IF(F1076="BIOFEM",PR!$G1074,IF(F1076="BIOMED",PR!$H1074,IF(F1076="CHI",PR!$I1074,IF(F1076="CLARION",PR!$J1074,IF(F1076="CODIX",PR!$K1074,IF(F1076="COSMADE",PR!$L1074,IF(F1076="SANCON",PR!$M1074,IF(F1076="DEVON",PR!$N1074,IF(F1076="DORTEMAG",PR!$O1074,IF(F1076="DGF",PR!$P1074,IF(F1076="DYNAMIC",PR!$Q1074,IF(F1076="EMZOR",PR!$R1074,IF(F1076="EUMATT",PR!$S1074,IF(F1076="FIDSON",PR!$T1074,IF(F1076="FCGLOBAL",PR!$U1074,IF(F1076="GENEITH",PR!$V1074,IF(F1076="GINOS",PR!$W1074,IF(F1076="GSK",PR!$X1074,IF(F1076="GLOBORG",PR!$Y1074,IF(F1076="GOODNEWS",PR!$Z1074,IF(F1076="GREENLIFE",PR!$AA1074,IF(F1076="HLINE",PR!$AB1074,IF(F1076="ROTECH",PR!$AC1074,IF(F1076="ISN",PR!$AD1074,IF(F1076="JAWA",PR!$AE1074,IF(F1076="LAYO",PR!$AF1074,IF(F1076="LEADWAY",PR!$AG1074,IF(F1076="LHV",PR!$AH1074,IF(F1076="MANOLA",PR!$AI1074,IF(F1076="MARCSON",PR!$AJ1074,IF(F1076="M&amp;B",PR!$AK1074,IF(F1076="MTRUST",PR!$AL1074,IF(F1076="MWORLD",PR!$AM1074,IF(F1076="MEGA",PR!$AN1074,IF(F1076="MICRONOVA",PR!$AO1074,IF(F1076="MFLASH",PR!$AP1074,IF(F1076="MORISON",PR!$AQ1074,IF(F1076="NEMEL",PR!$AR1074,IF(F1076="NHP",PR!$AS1074,IF(F1076="NHC",PR!$AT1074,IF(F1076="OLEAF",PR!$AU1074,IF(F1076="OCULUS",PR!$AV1074,IF(F1076="PACIFIC",PR!$AW1074,IF(F1076="PHAMATEX",PR!$AX1074,IF(F1076="PETHICS",PR!$AY1074,IF(F1076="PHILIPS",PR!$AZ1074,IF(F1076="RANBAXY",PR!$BA1074,IF(F1076="REALS",PR!$BB1074,IF(F1076="ROYAL",PR!$BC1074,IF(F1076="SAM",PR!$BD1074,IF(F1076="SEAGREEN",PR!$BE1074,IF(F1076="SKG",PR!$BF1074,IF(F1076="TAH",PR!$BG1074,IF(F1076="TAYLEK",PR!$BH1074,IF(F1076="TEMITA",PR!$BI1074,IF(F1076="THL",PR!$BJ1074,IF(F1076="UBASTIC",PR!$BK1074,IF(F1076="UNION",PR!$BL1074,IF(F1076="UNIQUE",PR!$BM1074,IF(F1076="VIXA",PR!$BN1074,IF(F1076="WWCV",PR!$BO1074,IF(F1076="ZOLON",PR!$BP1074,"-"))))))))))))))))))))))))))))))))))))))))))))))))))))))))))))))))</f>
        <v>6500</v>
      </c>
      <c r="F1076" s="102" t="str">
        <f>EV!L1378</f>
        <v>UBASTIC</v>
      </c>
      <c r="G1076" s="108">
        <f>IF(H1076="ALPHA",PR!$E1074,IF(H1076="ASSENE",PR!$F1074,IF(H1076="BIOFEM",PR!$G1074,IF(H1076="BIOMED",PR!$H1074,IF(H1076="CHI",PR!$I1074,IF(H1076="CLARION",PR!$J1074,IF(H1076="CODIX",PR!$K1074,IF(H1076="COSMADE",PR!$L1074,IF(H1076="SANCON",PR!$M1074,IF(H1076="DEVON",PR!$N1074,IF(H1076="DORTEMAG",PR!$O1074,IF(H1076="DGF",PR!$P1074,IF(H1076="DYNAMIC",PR!$Q1074,IF(H1076="EMZOR",PR!$R1074,IF(H1076="EUMATT",PR!$S1074,IF(H1076="FIDSON",PR!$T1074,IF(H1076="FCGLOBAL",PR!$U1074,IF(H1076="GENEITH",PR!$V1074,IF(H1076="GINOS",PR!$W1074,IF(H1076="GSK",PR!$X1074,IF(H1076="GLOBORG",PR!$Y1074,IF(H1076="GOODNEWS",PR!$Z1074,IF(H1076="GREENLIFE",PR!$AA1074,IF(H1076="HLINE",PR!$AB1074,IF(H1076="ROTECH",PR!$AC1074,IF(H1076="ISN",PR!$AD1074,IF(H1076="JAWA",PR!$AE1074,IF(H1076="LAYO",PR!$AF1074,IF(H1076="LEADWAY",PR!$AG1074,IF(H1076="LHV",PR!$AH1074,IF(H1076="MANOLA",PR!$AI1074,IF(H1076="MARCSON",PR!$AJ1074,IF(H1076="M&amp;B",PR!$AK1074,IF(H1076="MTRUST",PR!$AL1074,IF(H1076="MWORLD",PR!$AM1074,IF(H1076="MEGA",PR!$AN1074,IF(H1076="MICRONOVA",PR!$AO1074,IF(H1076="MFLASH",PR!$AP1074,IF(H1076="MORISON",PR!$AQ1074,IF(H1076="NEMEL",PR!$AR1074,IF(H1076="NHP",PR!$AS1074,IF(H1076="NHC",PR!$AT1074,IF(H1076="OLEAF",PR!$AU1074,IF(H1076="OCULUS",PR!$AV1074,IF(H1076="PACIFIC",PR!$AW1074,IF(H1076="PHAMATEX",PR!$AX1074,IF(H1076="PETHICS",PR!$AY1074,IF(H1076="PHILIPS",PR!$AZ1074,IF(H1076="RANBAXY",PR!$BA1074,IF(H1076="REALS",PR!$BB1074,IF(H1076="ROYAL",PR!$BC1074,IF(H1076="SAM",PR!$BD1074,IF(H1076="SEAGREEN",PR!$BE1074,IF(H1076="SKG",PR!$BF1074,IF(H1076="TAH",PR!$BG1074,IF(H1076="TAYLEK",PR!$BH1074,IF(H1076="TEMITA",PR!$BI1074,IF(H1076="THL",PR!$BJ1074,IF(H1076="UBASTIC",PR!$BK1074,IF(H1076="UNION",PR!$BL1074,IF(H1076="UNIQUE",PR!$BM1074,IF(H1076="VIXA",PR!$BN1074,IF(H1076="WWCV",PR!$BO1074,IF(H1076="ZOLON",PR!$BP1074,"-"))))))))))))))))))))))))))))))))))))))))))))))))))))))))))))))))</f>
        <v>9044</v>
      </c>
      <c r="H1076" s="102" t="str">
        <f>EV!M1378</f>
        <v>DYNAMIC</v>
      </c>
      <c r="I1076" s="108">
        <f>IF(J1076="ALPHA",PR!$E1074,IF(J1076="ASSENE",PR!$F1074,IF(J1076="BIOFEM",PR!$G1074,IF(J1076="BIOMED",PR!$H1074,IF(J1076="CHI",PR!$I1074,IF(J1076="CLARION",PR!$J1074,IF(J1076="CODIX",PR!$K1074,IF(J1076="COSMADE",PR!$L1074,IF(J1076="SANCON",PR!$M1074,IF(J1076="DEVON",PR!$N1074,IF(J1076="DORTEMAG",PR!$O1074,IF(J1076="DGF",PR!$P1074,IF(J1076="DYNAMIC",PR!$Q1074,IF(J1076="EMZOR",PR!$R1074,IF(J1076="EUMATT",PR!$S1074,IF(J1076="FIDSON",PR!$T1074,IF(J1076="FCGLOBAL",PR!$U1074,IF(J1076="GENEITH",PR!$V1074,IF(J1076="GINOS",PR!$W1074,IF(J1076="GSK",PR!$X1074,IF(J1076="GLOBORG",PR!$Y1074,IF(J1076="GOODNEWS",PR!$Z1074,IF(J1076="GREENLIFE",PR!$AA1074,IF(J1076="HLINE",PR!$AB1074,IF(J1076="ROTECH",PR!$AC1074,IF(J1076="ISN",PR!$AD1074,IF(J1076="JAWA",PR!$AE1074,IF(J1076="LAYO",PR!$AF1074,IF(J1076="LEADWAY",PR!$AG1074,IF(J1076="LHV",PR!$AH1074,IF(J1076="MANOLA",PR!$AI1074,IF(J1076="MARCSON",PR!$AJ1074,IF(J1076="M&amp;B",PR!$AK1074,IF(J1076="MTRUST",PR!$AL1074,IF(J1076="MWORLD",PR!$AM1074,IF(J1076="MEGA",PR!$AN1074,IF(J1076="MICRONOVA",PR!$AO1074,IF(J1076="MFLASH",PR!$AP1074,IF(J1076="MORISON",PR!$AQ1074,IF(J1076="NEMEL",PR!$AR1074,IF(J1076="NHP",PR!$AS1074,IF(J1076="NHC",PR!$AT1074,IF(J1076="OLEAF",PR!$AU1074,IF(J1076="OCULUS",PR!$AV1074,IF(J1076="PACIFIC",PR!$AW1074,IF(J1076="PHAMATEX",PR!$AX1074,IF(J1076="PETHICS",PR!$AY1074,IF(J1076="PHILIPS",PR!$AZ1074,IF(J1076="RANBAXY",PR!$BA1074,IF(J1076="REALS",PR!$BB1074,IF(J1076="ROYAL",PR!$BC1074,IF(J1076="SAM",PR!$BD1074,IF(J1076="SEAGREEN",PR!$BE1074,IF(J1076="SKG",PR!$BF1074,IF(J1076="TAH",PR!$BG1074,IF(J1076="TAYLEK",PR!$BH1074,IF(J1076="TEMITA",PR!$BI1074,IF(J1076="THL",PR!$BJ1074,IF(J1076="UBASTIC",PR!$BK1074,IF(J1076="UNION",PR!$BL1074,IF(J1076="UNIQUE",PR!$BM1074,IF(J1076="VIXA",PR!$BN1074,IF(J1076="WWCV",PR!$BO1074,IF(J1076="ZOLON",PR!$BP1074,"-"))))))))))))))))))))))))))))))))))))))))))))))))))))))))))))))))</f>
        <v>14000</v>
      </c>
      <c r="J1076" s="102" t="str">
        <f>EV!N1378</f>
        <v>COSMADE</v>
      </c>
      <c r="K1076" s="433" t="s">
        <v>1459</v>
      </c>
      <c r="L1076" s="183">
        <f>IF(K1076&gt;0,IF(K1076="ALPHA",PR!$E1074,IF(K1076="ASSENE",PR!$F1074,IF(K1076="BIOFEM",PR!$G1074,IF(K1076="BIOMED",PR!$H1074,IF(K1076="CHI",PR!$I1074,IF(K1076="CLARION",PR!$J1074,IF(K1076="CODIX",PR!$K1074,IF(K1076="COSMADE",PR!$L1074,IF(K1076="SANCON",PR!$M1074,IF(K1076="DEVON",PR!$N1074,IF(K1076="DORTEMAG",PR!$O1074,IF(K1076="DGF",PR!$P1074,IF(K1076="DYNAMIC",PR!$Q1074,IF(K1076="EMZOR",PR!$R1074,IF(K1076="EUMATT",PR!$S1074,IF(K1076="FIDSON",PR!$T1074,IF(K1076="FCGLOBAL",PR!$U1074,IF(K1076="GENEITH",PR!$V1074,IF(K1076="GINOS",PR!$W1074,IF(K1076="GSK",PR!$X1074,IF(K1076="GLOBORG",PR!$Y1074,IF(K1076="GOODNEWS",PR!$Z1074,IF(K1076="GREENLIFE",PR!$AA1074,IF(K1076="HLINE",PR!$AB1074,IF(K1076="ROTECH",PR!$AC1074,IF(K1076="ISN",PR!$AD1074,IF(K1076="JAWA",PR!$AE1074,IF(K1076="LAYO",PR!$AF1074,IF(K1076="LEADWAY",PR!$AG1074,IF(K1076="LHV",PR!$AH1074,IF(K1076="MANOLA",PR!$AI1074,IF(K1076="MARCSON",PR!$AJ1074,IF(K1076="M&amp;B",PR!$AK1074,IF(K1076="MTRUST",PR!$AL1074,IF(K1076="MWORLD",PR!$AM1074,IF(K1076="MEGA",PR!$AN1074,IF(K1076="MICRONOVA",PR!$AO1074,IF(K1076="MFLASH",PR!$AP1074,IF(K1076="MORISON",PR!$AQ1074,IF(K1076="NEMEL",PR!$AR1074,IF(K1076="NHP",PR!$AS1074,IF(K1076="NHC",PR!$AT1074,IF(K1076="OLEAF",PR!$AU1074,IF(K1076="OCULUS",PR!$AV1074,IF(K1076="PACIFIC",PR!$AW1074,IF(K1076="PHAMATEX",PR!$AX1074,IF(K1076="PETHICS",PR!$AY1074,IF(K1076="PHILIPS",PR!$AZ1074,IF(K1076="RANBAXY",PR!$BA1074,IF(K1076="REALS",PR!$BB1074,IF(K1076="ROYAL",PR!$BC1074,IF(K1076="SAM",PR!$BD1074,IF(K1076="SEAGREEN",PR!$BE1074,IF(K1076="SKG",PR!$BF1074,IF(K1076="TAH",PR!$BG1074,IF(K1076="TAYLEK",PR!$BH1074,IF(K1076="TEMITA",PR!$BI1074,IF(K1076="THL",PR!$BJ1074,IF(K1076="UBASTIC",PR!$BK1074,IF(K1076="UNION",PR!$BL1074,IF(K1076="UNIQUE",PR!$BM1074,IF(K1076="VIXA",PR!$BN1074,IF(K1076="WWCV",PR!$BO1074,IF(K1076="ZOLON",PR!$BP1074,"-")))))))))))))))))))))))))))))))))))))))))))))))))))))))))))))))))</f>
        <v>6500</v>
      </c>
    </row>
    <row r="1077" spans="1:12" ht="18.75" x14ac:dyDescent="0.3">
      <c r="A1077" s="430">
        <f>PR!A1075</f>
        <v>970</v>
      </c>
      <c r="B1077" s="15" t="str">
        <f>PR!B1075</f>
        <v>ACETONE</v>
      </c>
      <c r="C1077" s="113" t="str">
        <f>PR!D1075</f>
        <v>BOTTLE (2.5L)</v>
      </c>
      <c r="D1077" s="113">
        <f>PR!C1075</f>
        <v>4</v>
      </c>
      <c r="E1077" s="108">
        <f>IF(F1077="ALPHA",PR!$E1075,IF(F1077="ASSENE",PR!$F1075,IF(F1077="BIOFEM",PR!$G1075,IF(F1077="BIOMED",PR!$H1075,IF(F1077="CHI",PR!$I1075,IF(F1077="CLARION",PR!$J1075,IF(F1077="CODIX",PR!$K1075,IF(F1077="COSMADE",PR!$L1075,IF(F1077="SANCON",PR!$M1075,IF(F1077="DEVON",PR!$N1075,IF(F1077="DORTEMAG",PR!$O1075,IF(F1077="DGF",PR!$P1075,IF(F1077="DYNAMIC",PR!$Q1075,IF(F1077="EMZOR",PR!$R1075,IF(F1077="EUMATT",PR!$S1075,IF(F1077="FIDSON",PR!$T1075,IF(F1077="FCGLOBAL",PR!$U1075,IF(F1077="GENEITH",PR!$V1075,IF(F1077="GINOS",PR!$W1075,IF(F1077="GSK",PR!$X1075,IF(F1077="GLOBORG",PR!$Y1075,IF(F1077="GOODNEWS",PR!$Z1075,IF(F1077="GREENLIFE",PR!$AA1075,IF(F1077="HLINE",PR!$AB1075,IF(F1077="ROTECH",PR!$AC1075,IF(F1077="ISN",PR!$AD1075,IF(F1077="JAWA",PR!$AE1075,IF(F1077="LAYO",PR!$AF1075,IF(F1077="LEADWAY",PR!$AG1075,IF(F1077="LHV",PR!$AH1075,IF(F1077="MANOLA",PR!$AI1075,IF(F1077="MARCSON",PR!$AJ1075,IF(F1077="M&amp;B",PR!$AK1075,IF(F1077="MTRUST",PR!$AL1075,IF(F1077="MWORLD",PR!$AM1075,IF(F1077="MEGA",PR!$AN1075,IF(F1077="MICRONOVA",PR!$AO1075,IF(F1077="MFLASH",PR!$AP1075,IF(F1077="MORISON",PR!$AQ1075,IF(F1077="NEMEL",PR!$AR1075,IF(F1077="NHP",PR!$AS1075,IF(F1077="NHC",PR!$AT1075,IF(F1077="OLEAF",PR!$AU1075,IF(F1077="OCULUS",PR!$AV1075,IF(F1077="PACIFIC",PR!$AW1075,IF(F1077="PHAMATEX",PR!$AX1075,IF(F1077="PETHICS",PR!$AY1075,IF(F1077="PHILIPS",PR!$AZ1075,IF(F1077="RANBAXY",PR!$BA1075,IF(F1077="REALS",PR!$BB1075,IF(F1077="ROYAL",PR!$BC1075,IF(F1077="SAM",PR!$BD1075,IF(F1077="SEAGREEN",PR!$BE1075,IF(F1077="SKG",PR!$BF1075,IF(F1077="TAH",PR!$BG1075,IF(F1077="TAYLEK",PR!$BH1075,IF(F1077="TEMITA",PR!$BI1075,IF(F1077="THL",PR!$BJ1075,IF(F1077="UBASTIC",PR!$BK1075,IF(F1077="UNION",PR!$BL1075,IF(F1077="UNIQUE",PR!$BM1075,IF(F1077="VIXA",PR!$BN1075,IF(F1077="WWCV",PR!$BO1075,IF(F1077="ZOLON",PR!$BP1075,"-"))))))))))))))))))))))))))))))))))))))))))))))))))))))))))))))))</f>
        <v>5000</v>
      </c>
      <c r="F1077" s="102" t="str">
        <f>EV!L1379</f>
        <v>TEMITA</v>
      </c>
      <c r="G1077" s="108">
        <f>IF(H1077="ALPHA",PR!$E1075,IF(H1077="ASSENE",PR!$F1075,IF(H1077="BIOFEM",PR!$G1075,IF(H1077="BIOMED",PR!$H1075,IF(H1077="CHI",PR!$I1075,IF(H1077="CLARION",PR!$J1075,IF(H1077="CODIX",PR!$K1075,IF(H1077="COSMADE",PR!$L1075,IF(H1077="SANCON",PR!$M1075,IF(H1077="DEVON",PR!$N1075,IF(H1077="DORTEMAG",PR!$O1075,IF(H1077="DGF",PR!$P1075,IF(H1077="DYNAMIC",PR!$Q1075,IF(H1077="EMZOR",PR!$R1075,IF(H1077="EUMATT",PR!$S1075,IF(H1077="FIDSON",PR!$T1075,IF(H1077="FCGLOBAL",PR!$U1075,IF(H1077="GENEITH",PR!$V1075,IF(H1077="GINOS",PR!$W1075,IF(H1077="GSK",PR!$X1075,IF(H1077="GLOBORG",PR!$Y1075,IF(H1077="GOODNEWS",PR!$Z1075,IF(H1077="GREENLIFE",PR!$AA1075,IF(H1077="HLINE",PR!$AB1075,IF(H1077="ROTECH",PR!$AC1075,IF(H1077="ISN",PR!$AD1075,IF(H1077="JAWA",PR!$AE1075,IF(H1077="LAYO",PR!$AF1075,IF(H1077="LEADWAY",PR!$AG1075,IF(H1077="LHV",PR!$AH1075,IF(H1077="MANOLA",PR!$AI1075,IF(H1077="MARCSON",PR!$AJ1075,IF(H1077="M&amp;B",PR!$AK1075,IF(H1077="MTRUST",PR!$AL1075,IF(H1077="MWORLD",PR!$AM1075,IF(H1077="MEGA",PR!$AN1075,IF(H1077="MICRONOVA",PR!$AO1075,IF(H1077="MFLASH",PR!$AP1075,IF(H1077="MORISON",PR!$AQ1075,IF(H1077="NEMEL",PR!$AR1075,IF(H1077="NHP",PR!$AS1075,IF(H1077="NHC",PR!$AT1075,IF(H1077="OLEAF",PR!$AU1075,IF(H1077="OCULUS",PR!$AV1075,IF(H1077="PACIFIC",PR!$AW1075,IF(H1077="PHAMATEX",PR!$AX1075,IF(H1077="PETHICS",PR!$AY1075,IF(H1077="PHILIPS",PR!$AZ1075,IF(H1077="RANBAXY",PR!$BA1075,IF(H1077="REALS",PR!$BB1075,IF(H1077="ROYAL",PR!$BC1075,IF(H1077="SAM",PR!$BD1075,IF(H1077="SEAGREEN",PR!$BE1075,IF(H1077="SKG",PR!$BF1075,IF(H1077="TAH",PR!$BG1075,IF(H1077="TAYLEK",PR!$BH1075,IF(H1077="TEMITA",PR!$BI1075,IF(H1077="THL",PR!$BJ1075,IF(H1077="UBASTIC",PR!$BK1075,IF(H1077="UNION",PR!$BL1075,IF(H1077="UNIQUE",PR!$BM1075,IF(H1077="VIXA",PR!$BN1075,IF(H1077="WWCV",PR!$BO1075,IF(H1077="ZOLON",PR!$BP1075,"-"))))))))))))))))))))))))))))))))))))))))))))))))))))))))))))))))</f>
        <v>6650</v>
      </c>
      <c r="H1077" s="102" t="str">
        <f>EV!M1379</f>
        <v>DYNAMIC</v>
      </c>
      <c r="I1077" s="108">
        <f>IF(J1077="ALPHA",PR!$E1075,IF(J1077="ASSENE",PR!$F1075,IF(J1077="BIOFEM",PR!$G1075,IF(J1077="BIOMED",PR!$H1075,IF(J1077="CHI",PR!$I1075,IF(J1077="CLARION",PR!$J1075,IF(J1077="CODIX",PR!$K1075,IF(J1077="COSMADE",PR!$L1075,IF(J1077="SANCON",PR!$M1075,IF(J1077="DEVON",PR!$N1075,IF(J1077="DORTEMAG",PR!$O1075,IF(J1077="DGF",PR!$P1075,IF(J1077="DYNAMIC",PR!$Q1075,IF(J1077="EMZOR",PR!$R1075,IF(J1077="EUMATT",PR!$S1075,IF(J1077="FIDSON",PR!$T1075,IF(J1077="FCGLOBAL",PR!$U1075,IF(J1077="GENEITH",PR!$V1075,IF(J1077="GINOS",PR!$W1075,IF(J1077="GSK",PR!$X1075,IF(J1077="GLOBORG",PR!$Y1075,IF(J1077="GOODNEWS",PR!$Z1075,IF(J1077="GREENLIFE",PR!$AA1075,IF(J1077="HLINE",PR!$AB1075,IF(J1077="ROTECH",PR!$AC1075,IF(J1077="ISN",PR!$AD1075,IF(J1077="JAWA",PR!$AE1075,IF(J1077="LAYO",PR!$AF1075,IF(J1077="LEADWAY",PR!$AG1075,IF(J1077="LHV",PR!$AH1075,IF(J1077="MANOLA",PR!$AI1075,IF(J1077="MARCSON",PR!$AJ1075,IF(J1077="M&amp;B",PR!$AK1075,IF(J1077="MTRUST",PR!$AL1075,IF(J1077="MWORLD",PR!$AM1075,IF(J1077="MEGA",PR!$AN1075,IF(J1077="MICRONOVA",PR!$AO1075,IF(J1077="MFLASH",PR!$AP1075,IF(J1077="MORISON",PR!$AQ1075,IF(J1077="NEMEL",PR!$AR1075,IF(J1077="NHP",PR!$AS1075,IF(J1077="NHC",PR!$AT1075,IF(J1077="OLEAF",PR!$AU1075,IF(J1077="OCULUS",PR!$AV1075,IF(J1077="PACIFIC",PR!$AW1075,IF(J1077="PHAMATEX",PR!$AX1075,IF(J1077="PETHICS",PR!$AY1075,IF(J1077="PHILIPS",PR!$AZ1075,IF(J1077="RANBAXY",PR!$BA1075,IF(J1077="REALS",PR!$BB1075,IF(J1077="ROYAL",PR!$BC1075,IF(J1077="SAM",PR!$BD1075,IF(J1077="SEAGREEN",PR!$BE1075,IF(J1077="SKG",PR!$BF1075,IF(J1077="TAH",PR!$BG1075,IF(J1077="TAYLEK",PR!$BH1075,IF(J1077="TEMITA",PR!$BI1075,IF(J1077="THL",PR!$BJ1075,IF(J1077="UBASTIC",PR!$BK1075,IF(J1077="UNION",PR!$BL1075,IF(J1077="UNIQUE",PR!$BM1075,IF(J1077="VIXA",PR!$BN1075,IF(J1077="WWCV",PR!$BO1075,IF(J1077="ZOLON",PR!$BP1075,"-"))))))))))))))))))))))))))))))))))))))))))))))))))))))))))))))))</f>
        <v>7000</v>
      </c>
      <c r="J1077" s="102" t="str">
        <f>EV!N1379</f>
        <v>COSMADE</v>
      </c>
      <c r="K1077" s="433" t="s">
        <v>1463</v>
      </c>
      <c r="L1077" s="183">
        <f>IF(K1077&gt;0,IF(K1077="ALPHA",PR!$E1075,IF(K1077="ASSENE",PR!$F1075,IF(K1077="BIOFEM",PR!$G1075,IF(K1077="BIOMED",PR!$H1075,IF(K1077="CHI",PR!$I1075,IF(K1077="CLARION",PR!$J1075,IF(K1077="CODIX",PR!$K1075,IF(K1077="COSMADE",PR!$L1075,IF(K1077="SANCON",PR!$M1075,IF(K1077="DEVON",PR!$N1075,IF(K1077="DORTEMAG",PR!$O1075,IF(K1077="DGF",PR!$P1075,IF(K1077="DYNAMIC",PR!$Q1075,IF(K1077="EMZOR",PR!$R1075,IF(K1077="EUMATT",PR!$S1075,IF(K1077="FIDSON",PR!$T1075,IF(K1077="FCGLOBAL",PR!$U1075,IF(K1077="GENEITH",PR!$V1075,IF(K1077="GINOS",PR!$W1075,IF(K1077="GSK",PR!$X1075,IF(K1077="GLOBORG",PR!$Y1075,IF(K1077="GOODNEWS",PR!$Z1075,IF(K1077="GREENLIFE",PR!$AA1075,IF(K1077="HLINE",PR!$AB1075,IF(K1077="ROTECH",PR!$AC1075,IF(K1077="ISN",PR!$AD1075,IF(K1077="JAWA",PR!$AE1075,IF(K1077="LAYO",PR!$AF1075,IF(K1077="LEADWAY",PR!$AG1075,IF(K1077="LHV",PR!$AH1075,IF(K1077="MANOLA",PR!$AI1075,IF(K1077="MARCSON",PR!$AJ1075,IF(K1077="M&amp;B",PR!$AK1075,IF(K1077="MTRUST",PR!$AL1075,IF(K1077="MWORLD",PR!$AM1075,IF(K1077="MEGA",PR!$AN1075,IF(K1077="MICRONOVA",PR!$AO1075,IF(K1077="MFLASH",PR!$AP1075,IF(K1077="MORISON",PR!$AQ1075,IF(K1077="NEMEL",PR!$AR1075,IF(K1077="NHP",PR!$AS1075,IF(K1077="NHC",PR!$AT1075,IF(K1077="OLEAF",PR!$AU1075,IF(K1077="OCULUS",PR!$AV1075,IF(K1077="PACIFIC",PR!$AW1075,IF(K1077="PHAMATEX",PR!$AX1075,IF(K1077="PETHICS",PR!$AY1075,IF(K1077="PHILIPS",PR!$AZ1075,IF(K1077="RANBAXY",PR!$BA1075,IF(K1077="REALS",PR!$BB1075,IF(K1077="ROYAL",PR!$BC1075,IF(K1077="SAM",PR!$BD1075,IF(K1077="SEAGREEN",PR!$BE1075,IF(K1077="SKG",PR!$BF1075,IF(K1077="TAH",PR!$BG1075,IF(K1077="TAYLEK",PR!$BH1075,IF(K1077="TEMITA",PR!$BI1075,IF(K1077="THL",PR!$BJ1075,IF(K1077="UBASTIC",PR!$BK1075,IF(K1077="UNION",PR!$BL1075,IF(K1077="UNIQUE",PR!$BM1075,IF(K1077="VIXA",PR!$BN1075,IF(K1077="WWCV",PR!$BO1075,IF(K1077="ZOLON",PR!$BP1075,"-")))))))))))))))))))))))))))))))))))))))))))))))))))))))))))))))))</f>
        <v>5000</v>
      </c>
    </row>
    <row r="1078" spans="1:12" ht="18.75" x14ac:dyDescent="0.3">
      <c r="A1078" s="430">
        <f>PR!A1076</f>
        <v>971</v>
      </c>
      <c r="B1078" s="15" t="str">
        <f>PR!B1076</f>
        <v>ACETIC ACID</v>
      </c>
      <c r="C1078" s="113" t="str">
        <f>PR!D1076</f>
        <v>BOTTLE (2.5L)</v>
      </c>
      <c r="D1078" s="113">
        <f>PR!C1076</f>
        <v>2</v>
      </c>
      <c r="E1078" s="108">
        <f>IF(F1078="ALPHA",PR!$E1076,IF(F1078="ASSENE",PR!$F1076,IF(F1078="BIOFEM",PR!$G1076,IF(F1078="BIOMED",PR!$H1076,IF(F1078="CHI",PR!$I1076,IF(F1078="CLARION",PR!$J1076,IF(F1078="CODIX",PR!$K1076,IF(F1078="COSMADE",PR!$L1076,IF(F1078="SANCON",PR!$M1076,IF(F1078="DEVON",PR!$N1076,IF(F1078="DORTEMAG",PR!$O1076,IF(F1078="DGF",PR!$P1076,IF(F1078="DYNAMIC",PR!$Q1076,IF(F1078="EMZOR",PR!$R1076,IF(F1078="EUMATT",PR!$S1076,IF(F1078="FIDSON",PR!$T1076,IF(F1078="FCGLOBAL",PR!$U1076,IF(F1078="GENEITH",PR!$V1076,IF(F1078="GINOS",PR!$W1076,IF(F1078="GSK",PR!$X1076,IF(F1078="GLOBORG",PR!$Y1076,IF(F1078="GOODNEWS",PR!$Z1076,IF(F1078="GREENLIFE",PR!$AA1076,IF(F1078="HLINE",PR!$AB1076,IF(F1078="ROTECH",PR!$AC1076,IF(F1078="ISN",PR!$AD1076,IF(F1078="JAWA",PR!$AE1076,IF(F1078="LAYO",PR!$AF1076,IF(F1078="LEADWAY",PR!$AG1076,IF(F1078="LHV",PR!$AH1076,IF(F1078="MANOLA",PR!$AI1076,IF(F1078="MARCSON",PR!$AJ1076,IF(F1078="M&amp;B",PR!$AK1076,IF(F1078="MTRUST",PR!$AL1076,IF(F1078="MWORLD",PR!$AM1076,IF(F1078="MEGA",PR!$AN1076,IF(F1078="MICRONOVA",PR!$AO1076,IF(F1078="MFLASH",PR!$AP1076,IF(F1078="MORISON",PR!$AQ1076,IF(F1078="NEMEL",PR!$AR1076,IF(F1078="NHP",PR!$AS1076,IF(F1078="NHC",PR!$AT1076,IF(F1078="OLEAF",PR!$AU1076,IF(F1078="OCULUS",PR!$AV1076,IF(F1078="PACIFIC",PR!$AW1076,IF(F1078="PHAMATEX",PR!$AX1076,IF(F1078="PETHICS",PR!$AY1076,IF(F1078="PHILIPS",PR!$AZ1076,IF(F1078="RANBAXY",PR!$BA1076,IF(F1078="REALS",PR!$BB1076,IF(F1078="ROYAL",PR!$BC1076,IF(F1078="SAM",PR!$BD1076,IF(F1078="SEAGREEN",PR!$BE1076,IF(F1078="SKG",PR!$BF1076,IF(F1078="TAH",PR!$BG1076,IF(F1078="TAYLEK",PR!$BH1076,IF(F1078="TEMITA",PR!$BI1076,IF(F1078="THL",PR!$BJ1076,IF(F1078="UBASTIC",PR!$BK1076,IF(F1078="UNION",PR!$BL1076,IF(F1078="UNIQUE",PR!$BM1076,IF(F1078="VIXA",PR!$BN1076,IF(F1078="WWCV",PR!$BO1076,IF(F1078="ZOLON",PR!$BP1076,"-"))))))))))))))))))))))))))))))))))))))))))))))))))))))))))))))))</f>
        <v>5000</v>
      </c>
      <c r="F1078" s="102" t="str">
        <f>EV!L1380</f>
        <v>TEMITA</v>
      </c>
      <c r="G1078" s="108">
        <f>IF(H1078="ALPHA",PR!$E1076,IF(H1078="ASSENE",PR!$F1076,IF(H1078="BIOFEM",PR!$G1076,IF(H1078="BIOMED",PR!$H1076,IF(H1078="CHI",PR!$I1076,IF(H1078="CLARION",PR!$J1076,IF(H1078="CODIX",PR!$K1076,IF(H1078="COSMADE",PR!$L1076,IF(H1078="SANCON",PR!$M1076,IF(H1078="DEVON",PR!$N1076,IF(H1078="DORTEMAG",PR!$O1076,IF(H1078="DGF",PR!$P1076,IF(H1078="DYNAMIC",PR!$Q1076,IF(H1078="EMZOR",PR!$R1076,IF(H1078="EUMATT",PR!$S1076,IF(H1078="FIDSON",PR!$T1076,IF(H1078="FCGLOBAL",PR!$U1076,IF(H1078="GENEITH",PR!$V1076,IF(H1078="GINOS",PR!$W1076,IF(H1078="GSK",PR!$X1076,IF(H1078="GLOBORG",PR!$Y1076,IF(H1078="GOODNEWS",PR!$Z1076,IF(H1078="GREENLIFE",PR!$AA1076,IF(H1078="HLINE",PR!$AB1076,IF(H1078="ROTECH",PR!$AC1076,IF(H1078="ISN",PR!$AD1076,IF(H1078="JAWA",PR!$AE1076,IF(H1078="LAYO",PR!$AF1076,IF(H1078="LEADWAY",PR!$AG1076,IF(H1078="LHV",PR!$AH1076,IF(H1078="MANOLA",PR!$AI1076,IF(H1078="MARCSON",PR!$AJ1076,IF(H1078="M&amp;B",PR!$AK1076,IF(H1078="MTRUST",PR!$AL1076,IF(H1078="MWORLD",PR!$AM1076,IF(H1078="MEGA",PR!$AN1076,IF(H1078="MICRONOVA",PR!$AO1076,IF(H1078="MFLASH",PR!$AP1076,IF(H1078="MORISON",PR!$AQ1076,IF(H1078="NEMEL",PR!$AR1076,IF(H1078="NHP",PR!$AS1076,IF(H1078="NHC",PR!$AT1076,IF(H1078="OLEAF",PR!$AU1076,IF(H1078="OCULUS",PR!$AV1076,IF(H1078="PACIFIC",PR!$AW1076,IF(H1078="PHAMATEX",PR!$AX1076,IF(H1078="PETHICS",PR!$AY1076,IF(H1078="PHILIPS",PR!$AZ1076,IF(H1078="RANBAXY",PR!$BA1076,IF(H1078="REALS",PR!$BB1076,IF(H1078="ROYAL",PR!$BC1076,IF(H1078="SAM",PR!$BD1076,IF(H1078="SEAGREEN",PR!$BE1076,IF(H1078="SKG",PR!$BF1076,IF(H1078="TAH",PR!$BG1076,IF(H1078="TAYLEK",PR!$BH1076,IF(H1078="TEMITA",PR!$BI1076,IF(H1078="THL",PR!$BJ1076,IF(H1078="UBASTIC",PR!$BK1076,IF(H1078="UNION",PR!$BL1076,IF(H1078="UNIQUE",PR!$BM1076,IF(H1078="VIXA",PR!$BN1076,IF(H1078="WWCV",PR!$BO1076,IF(H1078="ZOLON",PR!$BP1076,"-"))))))))))))))))))))))))))))))))))))))))))))))))))))))))))))))))</f>
        <v>7500</v>
      </c>
      <c r="H1078" s="102" t="str">
        <f>EV!M1380</f>
        <v>COSMADE</v>
      </c>
      <c r="I1078" s="108">
        <f>IF(J1078="ALPHA",PR!$E1076,IF(J1078="ASSENE",PR!$F1076,IF(J1078="BIOFEM",PR!$G1076,IF(J1078="BIOMED",PR!$H1076,IF(J1078="CHI",PR!$I1076,IF(J1078="CLARION",PR!$J1076,IF(J1078="CODIX",PR!$K1076,IF(J1078="COSMADE",PR!$L1076,IF(J1078="SANCON",PR!$M1076,IF(J1078="DEVON",PR!$N1076,IF(J1078="DORTEMAG",PR!$O1076,IF(J1078="DGF",PR!$P1076,IF(J1078="DYNAMIC",PR!$Q1076,IF(J1078="EMZOR",PR!$R1076,IF(J1078="EUMATT",PR!$S1076,IF(J1078="FIDSON",PR!$T1076,IF(J1078="FCGLOBAL",PR!$U1076,IF(J1078="GENEITH",PR!$V1076,IF(J1078="GINOS",PR!$W1076,IF(J1078="GSK",PR!$X1076,IF(J1078="GLOBORG",PR!$Y1076,IF(J1078="GOODNEWS",PR!$Z1076,IF(J1078="GREENLIFE",PR!$AA1076,IF(J1078="HLINE",PR!$AB1076,IF(J1078="ROTECH",PR!$AC1076,IF(J1078="ISN",PR!$AD1076,IF(J1078="JAWA",PR!$AE1076,IF(J1078="LAYO",PR!$AF1076,IF(J1078="LEADWAY",PR!$AG1076,IF(J1078="LHV",PR!$AH1076,IF(J1078="MANOLA",PR!$AI1076,IF(J1078="MARCSON",PR!$AJ1076,IF(J1078="M&amp;B",PR!$AK1076,IF(J1078="MTRUST",PR!$AL1076,IF(J1078="MWORLD",PR!$AM1076,IF(J1078="MEGA",PR!$AN1076,IF(J1078="MICRONOVA",PR!$AO1076,IF(J1078="MFLASH",PR!$AP1076,IF(J1078="MORISON",PR!$AQ1076,IF(J1078="NEMEL",PR!$AR1076,IF(J1078="NHP",PR!$AS1076,IF(J1078="NHC",PR!$AT1076,IF(J1078="OLEAF",PR!$AU1076,IF(J1078="OCULUS",PR!$AV1076,IF(J1078="PACIFIC",PR!$AW1076,IF(J1078="PHAMATEX",PR!$AX1076,IF(J1078="PETHICS",PR!$AY1076,IF(J1078="PHILIPS",PR!$AZ1076,IF(J1078="RANBAXY",PR!$BA1076,IF(J1078="REALS",PR!$BB1076,IF(J1078="ROYAL",PR!$BC1076,IF(J1078="SAM",PR!$BD1076,IF(J1078="SEAGREEN",PR!$BE1076,IF(J1078="SKG",PR!$BF1076,IF(J1078="TAH",PR!$BG1076,IF(J1078="TAYLEK",PR!$BH1076,IF(J1078="TEMITA",PR!$BI1076,IF(J1078="THL",PR!$BJ1076,IF(J1078="UBASTIC",PR!$BK1076,IF(J1078="UNION",PR!$BL1076,IF(J1078="UNIQUE",PR!$BM1076,IF(J1078="VIXA",PR!$BN1076,IF(J1078="WWCV",PR!$BO1076,IF(J1078="ZOLON",PR!$BP1076,"-"))))))))))))))))))))))))))))))))))))))))))))))))))))))))))))))))</f>
        <v>10500</v>
      </c>
      <c r="J1078" s="102" t="str">
        <f>EV!N1380</f>
        <v>UBASTIC</v>
      </c>
      <c r="K1078" s="433" t="s">
        <v>1463</v>
      </c>
      <c r="L1078" s="183">
        <f>IF(K1078&gt;0,IF(K1078="ALPHA",PR!$E1076,IF(K1078="ASSENE",PR!$F1076,IF(K1078="BIOFEM",PR!$G1076,IF(K1078="BIOMED",PR!$H1076,IF(K1078="CHI",PR!$I1076,IF(K1078="CLARION",PR!$J1076,IF(K1078="CODIX",PR!$K1076,IF(K1078="COSMADE",PR!$L1076,IF(K1078="SANCON",PR!$M1076,IF(K1078="DEVON",PR!$N1076,IF(K1078="DORTEMAG",PR!$O1076,IF(K1078="DGF",PR!$P1076,IF(K1078="DYNAMIC",PR!$Q1076,IF(K1078="EMZOR",PR!$R1076,IF(K1078="EUMATT",PR!$S1076,IF(K1078="FIDSON",PR!$T1076,IF(K1078="FCGLOBAL",PR!$U1076,IF(K1078="GENEITH",PR!$V1076,IF(K1078="GINOS",PR!$W1076,IF(K1078="GSK",PR!$X1076,IF(K1078="GLOBORG",PR!$Y1076,IF(K1078="GOODNEWS",PR!$Z1076,IF(K1078="GREENLIFE",PR!$AA1076,IF(K1078="HLINE",PR!$AB1076,IF(K1078="ROTECH",PR!$AC1076,IF(K1078="ISN",PR!$AD1076,IF(K1078="JAWA",PR!$AE1076,IF(K1078="LAYO",PR!$AF1076,IF(K1078="LEADWAY",PR!$AG1076,IF(K1078="LHV",PR!$AH1076,IF(K1078="MANOLA",PR!$AI1076,IF(K1078="MARCSON",PR!$AJ1076,IF(K1078="M&amp;B",PR!$AK1076,IF(K1078="MTRUST",PR!$AL1076,IF(K1078="MWORLD",PR!$AM1076,IF(K1078="MEGA",PR!$AN1076,IF(K1078="MICRONOVA",PR!$AO1076,IF(K1078="MFLASH",PR!$AP1076,IF(K1078="MORISON",PR!$AQ1076,IF(K1078="NEMEL",PR!$AR1076,IF(K1078="NHP",PR!$AS1076,IF(K1078="NHC",PR!$AT1076,IF(K1078="OLEAF",PR!$AU1076,IF(K1078="OCULUS",PR!$AV1076,IF(K1078="PACIFIC",PR!$AW1076,IF(K1078="PHAMATEX",PR!$AX1076,IF(K1078="PETHICS",PR!$AY1076,IF(K1078="PHILIPS",PR!$AZ1076,IF(K1078="RANBAXY",PR!$BA1076,IF(K1078="REALS",PR!$BB1076,IF(K1078="ROYAL",PR!$BC1076,IF(K1078="SAM",PR!$BD1076,IF(K1078="SEAGREEN",PR!$BE1076,IF(K1078="SKG",PR!$BF1076,IF(K1078="TAH",PR!$BG1076,IF(K1078="TAYLEK",PR!$BH1076,IF(K1078="TEMITA",PR!$BI1076,IF(K1078="THL",PR!$BJ1076,IF(K1078="UBASTIC",PR!$BK1076,IF(K1078="UNION",PR!$BL1076,IF(K1078="UNIQUE",PR!$BM1076,IF(K1078="VIXA",PR!$BN1076,IF(K1078="WWCV",PR!$BO1076,IF(K1078="ZOLON",PR!$BP1076,"-")))))))))))))))))))))))))))))))))))))))))))))))))))))))))))))))))</f>
        <v>5000</v>
      </c>
    </row>
    <row r="1079" spans="1:12" ht="18.75" x14ac:dyDescent="0.3">
      <c r="A1079" s="430">
        <f>PR!A1077</f>
        <v>972</v>
      </c>
      <c r="B1079" s="15" t="str">
        <f>PR!B1077</f>
        <v>TALLY COUNTERS</v>
      </c>
      <c r="C1079" s="113" t="str">
        <f>PR!D1077</f>
        <v>1 X 1 PIECE</v>
      </c>
      <c r="D1079" s="113">
        <f>PR!C1077</f>
        <v>20</v>
      </c>
      <c r="E1079" s="108">
        <f>IF(F1079="ALPHA",PR!$E1077,IF(F1079="ASSENE",PR!$F1077,IF(F1079="BIOFEM",PR!$G1077,IF(F1079="BIOMED",PR!$H1077,IF(F1079="CHI",PR!$I1077,IF(F1079="CLARION",PR!$J1077,IF(F1079="CODIX",PR!$K1077,IF(F1079="COSMADE",PR!$L1077,IF(F1079="SANCON",PR!$M1077,IF(F1079="DEVON",PR!$N1077,IF(F1079="DORTEMAG",PR!$O1077,IF(F1079="DGF",PR!$P1077,IF(F1079="DYNAMIC",PR!$Q1077,IF(F1079="EMZOR",PR!$R1077,IF(F1079="EUMATT",PR!$S1077,IF(F1079="FIDSON",PR!$T1077,IF(F1079="FCGLOBAL",PR!$U1077,IF(F1079="GENEITH",PR!$V1077,IF(F1079="GINOS",PR!$W1077,IF(F1079="GSK",PR!$X1077,IF(F1079="GLOBORG",PR!$Y1077,IF(F1079="GOODNEWS",PR!$Z1077,IF(F1079="GREENLIFE",PR!$AA1077,IF(F1079="HLINE",PR!$AB1077,IF(F1079="ROTECH",PR!$AC1077,IF(F1079="ISN",PR!$AD1077,IF(F1079="JAWA",PR!$AE1077,IF(F1079="LAYO",PR!$AF1077,IF(F1079="LEADWAY",PR!$AG1077,IF(F1079="LHV",PR!$AH1077,IF(F1079="MANOLA",PR!$AI1077,IF(F1079="MARCSON",PR!$AJ1077,IF(F1079="M&amp;B",PR!$AK1077,IF(F1079="MTRUST",PR!$AL1077,IF(F1079="MWORLD",PR!$AM1077,IF(F1079="MEGA",PR!$AN1077,IF(F1079="MICRONOVA",PR!$AO1077,IF(F1079="MFLASH",PR!$AP1077,IF(F1079="MORISON",PR!$AQ1077,IF(F1079="NEMEL",PR!$AR1077,IF(F1079="NHP",PR!$AS1077,IF(F1079="NHC",PR!$AT1077,IF(F1079="OLEAF",PR!$AU1077,IF(F1079="OCULUS",PR!$AV1077,IF(F1079="PACIFIC",PR!$AW1077,IF(F1079="PHAMATEX",PR!$AX1077,IF(F1079="PETHICS",PR!$AY1077,IF(F1079="PHILIPS",PR!$AZ1077,IF(F1079="RANBAXY",PR!$BA1077,IF(F1079="REALS",PR!$BB1077,IF(F1079="ROYAL",PR!$BC1077,IF(F1079="SAM",PR!$BD1077,IF(F1079="SEAGREEN",PR!$BE1077,IF(F1079="SKG",PR!$BF1077,IF(F1079="TAH",PR!$BG1077,IF(F1079="TAYLEK",PR!$BH1077,IF(F1079="TEMITA",PR!$BI1077,IF(F1079="THL",PR!$BJ1077,IF(F1079="UBASTIC",PR!$BK1077,IF(F1079="UNION",PR!$BL1077,IF(F1079="UNIQUE",PR!$BM1077,IF(F1079="VIXA",PR!$BN1077,IF(F1079="WWCV",PR!$BO1077,IF(F1079="ZOLON",PR!$BP1077,"-"))))))))))))))))))))))))))))))))))))))))))))))))))))))))))))))))</f>
        <v>1330</v>
      </c>
      <c r="F1079" s="102" t="str">
        <f>EV!L1381</f>
        <v>DYNAMIC</v>
      </c>
      <c r="G1079" s="108">
        <f>IF(H1079="ALPHA",PR!$E1077,IF(H1079="ASSENE",PR!$F1077,IF(H1079="BIOFEM",PR!$G1077,IF(H1079="BIOMED",PR!$H1077,IF(H1079="CHI",PR!$I1077,IF(H1079="CLARION",PR!$J1077,IF(H1079="CODIX",PR!$K1077,IF(H1079="COSMADE",PR!$L1077,IF(H1079="SANCON",PR!$M1077,IF(H1079="DEVON",PR!$N1077,IF(H1079="DORTEMAG",PR!$O1077,IF(H1079="DGF",PR!$P1077,IF(H1079="DYNAMIC",PR!$Q1077,IF(H1079="EMZOR",PR!$R1077,IF(H1079="EUMATT",PR!$S1077,IF(H1079="FIDSON",PR!$T1077,IF(H1079="FCGLOBAL",PR!$U1077,IF(H1079="GENEITH",PR!$V1077,IF(H1079="GINOS",PR!$W1077,IF(H1079="GSK",PR!$X1077,IF(H1079="GLOBORG",PR!$Y1077,IF(H1079="GOODNEWS",PR!$Z1077,IF(H1079="GREENLIFE",PR!$AA1077,IF(H1079="HLINE",PR!$AB1077,IF(H1079="ROTECH",PR!$AC1077,IF(H1079="ISN",PR!$AD1077,IF(H1079="JAWA",PR!$AE1077,IF(H1079="LAYO",PR!$AF1077,IF(H1079="LEADWAY",PR!$AG1077,IF(H1079="LHV",PR!$AH1077,IF(H1079="MANOLA",PR!$AI1077,IF(H1079="MARCSON",PR!$AJ1077,IF(H1079="M&amp;B",PR!$AK1077,IF(H1079="MTRUST",PR!$AL1077,IF(H1079="MWORLD",PR!$AM1077,IF(H1079="MEGA",PR!$AN1077,IF(H1079="MICRONOVA",PR!$AO1077,IF(H1079="MFLASH",PR!$AP1077,IF(H1079="MORISON",PR!$AQ1077,IF(H1079="NEMEL",PR!$AR1077,IF(H1079="NHP",PR!$AS1077,IF(H1079="NHC",PR!$AT1077,IF(H1079="OLEAF",PR!$AU1077,IF(H1079="OCULUS",PR!$AV1077,IF(H1079="PACIFIC",PR!$AW1077,IF(H1079="PHAMATEX",PR!$AX1077,IF(H1079="PETHICS",PR!$AY1077,IF(H1079="PHILIPS",PR!$AZ1077,IF(H1079="RANBAXY",PR!$BA1077,IF(H1079="REALS",PR!$BB1077,IF(H1079="ROYAL",PR!$BC1077,IF(H1079="SAM",PR!$BD1077,IF(H1079="SEAGREEN",PR!$BE1077,IF(H1079="SKG",PR!$BF1077,IF(H1079="TAH",PR!$BG1077,IF(H1079="TAYLEK",PR!$BH1077,IF(H1079="TEMITA",PR!$BI1077,IF(H1079="THL",PR!$BJ1077,IF(H1079="UBASTIC",PR!$BK1077,IF(H1079="UNION",PR!$BL1077,IF(H1079="UNIQUE",PR!$BM1077,IF(H1079="VIXA",PR!$BN1077,IF(H1079="WWCV",PR!$BO1077,IF(H1079="ZOLON",PR!$BP1077,"-"))))))))))))))))))))))))))))))))))))))))))))))))))))))))))))))))</f>
        <v>2600</v>
      </c>
      <c r="H1079" s="102" t="str">
        <f>EV!M1381</f>
        <v>LAYO</v>
      </c>
      <c r="I1079" s="108">
        <f>IF(J1079="ALPHA",PR!$E1077,IF(J1079="ASSENE",PR!$F1077,IF(J1079="BIOFEM",PR!$G1077,IF(J1079="BIOMED",PR!$H1077,IF(J1079="CHI",PR!$I1077,IF(J1079="CLARION",PR!$J1077,IF(J1079="CODIX",PR!$K1077,IF(J1079="COSMADE",PR!$L1077,IF(J1079="SANCON",PR!$M1077,IF(J1079="DEVON",PR!$N1077,IF(J1079="DORTEMAG",PR!$O1077,IF(J1079="DGF",PR!$P1077,IF(J1079="DYNAMIC",PR!$Q1077,IF(J1079="EMZOR",PR!$R1077,IF(J1079="EUMATT",PR!$S1077,IF(J1079="FIDSON",PR!$T1077,IF(J1079="FCGLOBAL",PR!$U1077,IF(J1079="GENEITH",PR!$V1077,IF(J1079="GINOS",PR!$W1077,IF(J1079="GSK",PR!$X1077,IF(J1079="GLOBORG",PR!$Y1077,IF(J1079="GOODNEWS",PR!$Z1077,IF(J1079="GREENLIFE",PR!$AA1077,IF(J1079="HLINE",PR!$AB1077,IF(J1079="ROTECH",PR!$AC1077,IF(J1079="ISN",PR!$AD1077,IF(J1079="JAWA",PR!$AE1077,IF(J1079="LAYO",PR!$AF1077,IF(J1079="LEADWAY",PR!$AG1077,IF(J1079="LHV",PR!$AH1077,IF(J1079="MANOLA",PR!$AI1077,IF(J1079="MARCSON",PR!$AJ1077,IF(J1079="M&amp;B",PR!$AK1077,IF(J1079="MTRUST",PR!$AL1077,IF(J1079="MWORLD",PR!$AM1077,IF(J1079="MEGA",PR!$AN1077,IF(J1079="MICRONOVA",PR!$AO1077,IF(J1079="MFLASH",PR!$AP1077,IF(J1079="MORISON",PR!$AQ1077,IF(J1079="NEMEL",PR!$AR1077,IF(J1079="NHP",PR!$AS1077,IF(J1079="NHC",PR!$AT1077,IF(J1079="OLEAF",PR!$AU1077,IF(J1079="OCULUS",PR!$AV1077,IF(J1079="PACIFIC",PR!$AW1077,IF(J1079="PHAMATEX",PR!$AX1077,IF(J1079="PETHICS",PR!$AY1077,IF(J1079="PHILIPS",PR!$AZ1077,IF(J1079="RANBAXY",PR!$BA1077,IF(J1079="REALS",PR!$BB1077,IF(J1079="ROYAL",PR!$BC1077,IF(J1079="SAM",PR!$BD1077,IF(J1079="SEAGREEN",PR!$BE1077,IF(J1079="SKG",PR!$BF1077,IF(J1079="TAH",PR!$BG1077,IF(J1079="TAYLEK",PR!$BH1077,IF(J1079="TEMITA",PR!$BI1077,IF(J1079="THL",PR!$BJ1077,IF(J1079="UBASTIC",PR!$BK1077,IF(J1079="UNION",PR!$BL1077,IF(J1079="UNIQUE",PR!$BM1077,IF(J1079="VIXA",PR!$BN1077,IF(J1079="WWCV",PR!$BO1077,IF(J1079="ZOLON",PR!$BP1077,"-"))))))))))))))))))))))))))))))))))))))))))))))))))))))))))))))))</f>
        <v>4500</v>
      </c>
      <c r="J1079" s="102" t="str">
        <f>EV!N1381</f>
        <v>UBASTIC</v>
      </c>
      <c r="K1079" s="433" t="s">
        <v>626</v>
      </c>
      <c r="L1079" s="183">
        <f>IF(K1079&gt;0,IF(K1079="ALPHA",PR!$E1077,IF(K1079="ASSENE",PR!$F1077,IF(K1079="BIOFEM",PR!$G1077,IF(K1079="BIOMED",PR!$H1077,IF(K1079="CHI",PR!$I1077,IF(K1079="CLARION",PR!$J1077,IF(K1079="CODIX",PR!$K1077,IF(K1079="COSMADE",PR!$L1077,IF(K1079="SANCON",PR!$M1077,IF(K1079="DEVON",PR!$N1077,IF(K1079="DORTEMAG",PR!$O1077,IF(K1079="DGF",PR!$P1077,IF(K1079="DYNAMIC",PR!$Q1077,IF(K1079="EMZOR",PR!$R1077,IF(K1079="EUMATT",PR!$S1077,IF(K1079="FIDSON",PR!$T1077,IF(K1079="FCGLOBAL",PR!$U1077,IF(K1079="GENEITH",PR!$V1077,IF(K1079="GINOS",PR!$W1077,IF(K1079="GSK",PR!$X1077,IF(K1079="GLOBORG",PR!$Y1077,IF(K1079="GOODNEWS",PR!$Z1077,IF(K1079="GREENLIFE",PR!$AA1077,IF(K1079="HLINE",PR!$AB1077,IF(K1079="ROTECH",PR!$AC1077,IF(K1079="ISN",PR!$AD1077,IF(K1079="JAWA",PR!$AE1077,IF(K1079="LAYO",PR!$AF1077,IF(K1079="LEADWAY",PR!$AG1077,IF(K1079="LHV",PR!$AH1077,IF(K1079="MANOLA",PR!$AI1077,IF(K1079="MARCSON",PR!$AJ1077,IF(K1079="M&amp;B",PR!$AK1077,IF(K1079="MTRUST",PR!$AL1077,IF(K1079="MWORLD",PR!$AM1077,IF(K1079="MEGA",PR!$AN1077,IF(K1079="MICRONOVA",PR!$AO1077,IF(K1079="MFLASH",PR!$AP1077,IF(K1079="MORISON",PR!$AQ1077,IF(K1079="NEMEL",PR!$AR1077,IF(K1079="NHP",PR!$AS1077,IF(K1079="NHC",PR!$AT1077,IF(K1079="OLEAF",PR!$AU1077,IF(K1079="OCULUS",PR!$AV1077,IF(K1079="PACIFIC",PR!$AW1077,IF(K1079="PHAMATEX",PR!$AX1077,IF(K1079="PETHICS",PR!$AY1077,IF(K1079="PHILIPS",PR!$AZ1077,IF(K1079="RANBAXY",PR!$BA1077,IF(K1079="REALS",PR!$BB1077,IF(K1079="ROYAL",PR!$BC1077,IF(K1079="SAM",PR!$BD1077,IF(K1079="SEAGREEN",PR!$BE1077,IF(K1079="SKG",PR!$BF1077,IF(K1079="TAH",PR!$BG1077,IF(K1079="TAYLEK",PR!$BH1077,IF(K1079="TEMITA",PR!$BI1077,IF(K1079="THL",PR!$BJ1077,IF(K1079="UBASTIC",PR!$BK1077,IF(K1079="UNION",PR!$BL1077,IF(K1079="UNIQUE",PR!$BM1077,IF(K1079="VIXA",PR!$BN1077,IF(K1079="WWCV",PR!$BO1077,IF(K1079="ZOLON",PR!$BP1077,"-")))))))))))))))))))))))))))))))))))))))))))))))))))))))))))))))))</f>
        <v>1330</v>
      </c>
    </row>
    <row r="1080" spans="1:12" ht="18.75" x14ac:dyDescent="0.3">
      <c r="A1080" s="430">
        <f>PR!A1078</f>
        <v>973</v>
      </c>
      <c r="B1080" s="15" t="str">
        <f>PR!B1078</f>
        <v>ANTIBIOTICS DISC DISPENSER</v>
      </c>
      <c r="C1080" s="113" t="str">
        <f>PR!D1078</f>
        <v>1 X 1 PIECE</v>
      </c>
      <c r="D1080" s="113">
        <f>PR!C1078</f>
        <v>40</v>
      </c>
      <c r="E1080" s="108">
        <f>IF(F1080="ALPHA",PR!$E1078,IF(F1080="ASSENE",PR!$F1078,IF(F1080="BIOFEM",PR!$G1078,IF(F1080="BIOMED",PR!$H1078,IF(F1080="CHI",PR!$I1078,IF(F1080="CLARION",PR!$J1078,IF(F1080="CODIX",PR!$K1078,IF(F1080="COSMADE",PR!$L1078,IF(F1080="SANCON",PR!$M1078,IF(F1080="DEVON",PR!$N1078,IF(F1080="DORTEMAG",PR!$O1078,IF(F1080="DGF",PR!$P1078,IF(F1080="DYNAMIC",PR!$Q1078,IF(F1080="EMZOR",PR!$R1078,IF(F1080="EUMATT",PR!$S1078,IF(F1080="FIDSON",PR!$T1078,IF(F1080="FCGLOBAL",PR!$U1078,IF(F1080="GENEITH",PR!$V1078,IF(F1080="GINOS",PR!$W1078,IF(F1080="GSK",PR!$X1078,IF(F1080="GLOBORG",PR!$Y1078,IF(F1080="GOODNEWS",PR!$Z1078,IF(F1080="GREENLIFE",PR!$AA1078,IF(F1080="HLINE",PR!$AB1078,IF(F1080="ROTECH",PR!$AC1078,IF(F1080="ISN",PR!$AD1078,IF(F1080="JAWA",PR!$AE1078,IF(F1080="LAYO",PR!$AF1078,IF(F1080="LEADWAY",PR!$AG1078,IF(F1080="LHV",PR!$AH1078,IF(F1080="MANOLA",PR!$AI1078,IF(F1080="MARCSON",PR!$AJ1078,IF(F1080="M&amp;B",PR!$AK1078,IF(F1080="MTRUST",PR!$AL1078,IF(F1080="MWORLD",PR!$AM1078,IF(F1080="MEGA",PR!$AN1078,IF(F1080="MICRONOVA",PR!$AO1078,IF(F1080="MFLASH",PR!$AP1078,IF(F1080="MORISON",PR!$AQ1078,IF(F1080="NEMEL",PR!$AR1078,IF(F1080="NHP",PR!$AS1078,IF(F1080="NHC",PR!$AT1078,IF(F1080="OLEAF",PR!$AU1078,IF(F1080="OCULUS",PR!$AV1078,IF(F1080="PACIFIC",PR!$AW1078,IF(F1080="PHAMATEX",PR!$AX1078,IF(F1080="PETHICS",PR!$AY1078,IF(F1080="PHILIPS",PR!$AZ1078,IF(F1080="RANBAXY",PR!$BA1078,IF(F1080="REALS",PR!$BB1078,IF(F1080="ROYAL",PR!$BC1078,IF(F1080="SAM",PR!$BD1078,IF(F1080="SEAGREEN",PR!$BE1078,IF(F1080="SKG",PR!$BF1078,IF(F1080="TAH",PR!$BG1078,IF(F1080="TAYLEK",PR!$BH1078,IF(F1080="TEMITA",PR!$BI1078,IF(F1080="THL",PR!$BJ1078,IF(F1080="UBASTIC",PR!$BK1078,IF(F1080="UNION",PR!$BL1078,IF(F1080="UNIQUE",PR!$BM1078,IF(F1080="VIXA",PR!$BN1078,IF(F1080="WWCV",PR!$BO1078,IF(F1080="ZOLON",PR!$BP1078,"-"))))))))))))))))))))))))))))))))))))))))))))))))))))))))))))))))</f>
        <v>7800</v>
      </c>
      <c r="F1080" s="102" t="str">
        <f>EV!L1382</f>
        <v>LAYO</v>
      </c>
      <c r="G1080" s="108">
        <f>IF(H1080="ALPHA",PR!$E1078,IF(H1080="ASSENE",PR!$F1078,IF(H1080="BIOFEM",PR!$G1078,IF(H1080="BIOMED",PR!$H1078,IF(H1080="CHI",PR!$I1078,IF(H1080="CLARION",PR!$J1078,IF(H1080="CODIX",PR!$K1078,IF(H1080="COSMADE",PR!$L1078,IF(H1080="SANCON",PR!$M1078,IF(H1080="DEVON",PR!$N1078,IF(H1080="DORTEMAG",PR!$O1078,IF(H1080="DGF",PR!$P1078,IF(H1080="DYNAMIC",PR!$Q1078,IF(H1080="EMZOR",PR!$R1078,IF(H1080="EUMATT",PR!$S1078,IF(H1080="FIDSON",PR!$T1078,IF(H1080="FCGLOBAL",PR!$U1078,IF(H1080="GENEITH",PR!$V1078,IF(H1080="GINOS",PR!$W1078,IF(H1080="GSK",PR!$X1078,IF(H1080="GLOBORG",PR!$Y1078,IF(H1080="GOODNEWS",PR!$Z1078,IF(H1080="GREENLIFE",PR!$AA1078,IF(H1080="HLINE",PR!$AB1078,IF(H1080="ROTECH",PR!$AC1078,IF(H1080="ISN",PR!$AD1078,IF(H1080="JAWA",PR!$AE1078,IF(H1080="LAYO",PR!$AF1078,IF(H1080="LEADWAY",PR!$AG1078,IF(H1080="LHV",PR!$AH1078,IF(H1080="MANOLA",PR!$AI1078,IF(H1080="MARCSON",PR!$AJ1078,IF(H1080="M&amp;B",PR!$AK1078,IF(H1080="MTRUST",PR!$AL1078,IF(H1080="MWORLD",PR!$AM1078,IF(H1080="MEGA",PR!$AN1078,IF(H1080="MICRONOVA",PR!$AO1078,IF(H1080="MFLASH",PR!$AP1078,IF(H1080="MORISON",PR!$AQ1078,IF(H1080="NEMEL",PR!$AR1078,IF(H1080="NHP",PR!$AS1078,IF(H1080="NHC",PR!$AT1078,IF(H1080="OLEAF",PR!$AU1078,IF(H1080="OCULUS",PR!$AV1078,IF(H1080="PACIFIC",PR!$AW1078,IF(H1080="PHAMATEX",PR!$AX1078,IF(H1080="PETHICS",PR!$AY1078,IF(H1080="PHILIPS",PR!$AZ1078,IF(H1080="RANBAXY",PR!$BA1078,IF(H1080="REALS",PR!$BB1078,IF(H1080="ROYAL",PR!$BC1078,IF(H1080="SAM",PR!$BD1078,IF(H1080="SEAGREEN",PR!$BE1078,IF(H1080="SKG",PR!$BF1078,IF(H1080="TAH",PR!$BG1078,IF(H1080="TAYLEK",PR!$BH1078,IF(H1080="TEMITA",PR!$BI1078,IF(H1080="THL",PR!$BJ1078,IF(H1080="UBASTIC",PR!$BK1078,IF(H1080="UNION",PR!$BL1078,IF(H1080="UNIQUE",PR!$BM1078,IF(H1080="VIXA",PR!$BN1078,IF(H1080="WWCV",PR!$BO1078,IF(H1080="ZOLON",PR!$BP1078,"-"))))))))))))))))))))))))))))))))))))))))))))))))))))))))))))))))</f>
        <v>19950</v>
      </c>
      <c r="H1080" s="102" t="str">
        <f>EV!M1382</f>
        <v>DYNAMIC</v>
      </c>
      <c r="I1080" s="108">
        <f>IF(J1080="ALPHA",PR!$E1078,IF(J1080="ASSENE",PR!$F1078,IF(J1080="BIOFEM",PR!$G1078,IF(J1080="BIOMED",PR!$H1078,IF(J1080="CHI",PR!$I1078,IF(J1080="CLARION",PR!$J1078,IF(J1080="CODIX",PR!$K1078,IF(J1080="COSMADE",PR!$L1078,IF(J1080="SANCON",PR!$M1078,IF(J1080="DEVON",PR!$N1078,IF(J1080="DORTEMAG",PR!$O1078,IF(J1080="DGF",PR!$P1078,IF(J1080="DYNAMIC",PR!$Q1078,IF(J1080="EMZOR",PR!$R1078,IF(J1080="EUMATT",PR!$S1078,IF(J1080="FIDSON",PR!$T1078,IF(J1080="FCGLOBAL",PR!$U1078,IF(J1080="GENEITH",PR!$V1078,IF(J1080="GINOS",PR!$W1078,IF(J1080="GSK",PR!$X1078,IF(J1080="GLOBORG",PR!$Y1078,IF(J1080="GOODNEWS",PR!$Z1078,IF(J1080="GREENLIFE",PR!$AA1078,IF(J1080="HLINE",PR!$AB1078,IF(J1080="ROTECH",PR!$AC1078,IF(J1080="ISN",PR!$AD1078,IF(J1080="JAWA",PR!$AE1078,IF(J1080="LAYO",PR!$AF1078,IF(J1080="LEADWAY",PR!$AG1078,IF(J1080="LHV",PR!$AH1078,IF(J1080="MANOLA",PR!$AI1078,IF(J1080="MARCSON",PR!$AJ1078,IF(J1080="M&amp;B",PR!$AK1078,IF(J1080="MTRUST",PR!$AL1078,IF(J1080="MWORLD",PR!$AM1078,IF(J1080="MEGA",PR!$AN1078,IF(J1080="MICRONOVA",PR!$AO1078,IF(J1080="MFLASH",PR!$AP1078,IF(J1080="MORISON",PR!$AQ1078,IF(J1080="NEMEL",PR!$AR1078,IF(J1080="NHP",PR!$AS1078,IF(J1080="NHC",PR!$AT1078,IF(J1080="OLEAF",PR!$AU1078,IF(J1080="OCULUS",PR!$AV1078,IF(J1080="PACIFIC",PR!$AW1078,IF(J1080="PHAMATEX",PR!$AX1078,IF(J1080="PETHICS",PR!$AY1078,IF(J1080="PHILIPS",PR!$AZ1078,IF(J1080="RANBAXY",PR!$BA1078,IF(J1080="REALS",PR!$BB1078,IF(J1080="ROYAL",PR!$BC1078,IF(J1080="SAM",PR!$BD1078,IF(J1080="SEAGREEN",PR!$BE1078,IF(J1080="SKG",PR!$BF1078,IF(J1080="TAH",PR!$BG1078,IF(J1080="TAYLEK",PR!$BH1078,IF(J1080="TEMITA",PR!$BI1078,IF(J1080="THL",PR!$BJ1078,IF(J1080="UBASTIC",PR!$BK1078,IF(J1080="UNION",PR!$BL1078,IF(J1080="UNIQUE",PR!$BM1078,IF(J1080="VIXA",PR!$BN1078,IF(J1080="WWCV",PR!$BO1078,IF(J1080="ZOLON",PR!$BP1078,"-"))))))))))))))))))))))))))))))))))))))))))))))))))))))))))))))))</f>
        <v>180000</v>
      </c>
      <c r="J1080" s="102" t="str">
        <f>EV!N1382</f>
        <v>UBASTIC</v>
      </c>
      <c r="K1080" s="433" t="s">
        <v>1461</v>
      </c>
      <c r="L1080" s="183">
        <f>IF(K1080&gt;0,IF(K1080="ALPHA",PR!$E1078,IF(K1080="ASSENE",PR!$F1078,IF(K1080="BIOFEM",PR!$G1078,IF(K1080="BIOMED",PR!$H1078,IF(K1080="CHI",PR!$I1078,IF(K1080="CLARION",PR!$J1078,IF(K1080="CODIX",PR!$K1078,IF(K1080="COSMADE",PR!$L1078,IF(K1080="SANCON",PR!$M1078,IF(K1080="DEVON",PR!$N1078,IF(K1080="DORTEMAG",PR!$O1078,IF(K1080="DGF",PR!$P1078,IF(K1080="DYNAMIC",PR!$Q1078,IF(K1080="EMZOR",PR!$R1078,IF(K1080="EUMATT",PR!$S1078,IF(K1080="FIDSON",PR!$T1078,IF(K1080="FCGLOBAL",PR!$U1078,IF(K1080="GENEITH",PR!$V1078,IF(K1080="GINOS",PR!$W1078,IF(K1080="GSK",PR!$X1078,IF(K1080="GLOBORG",PR!$Y1078,IF(K1080="GOODNEWS",PR!$Z1078,IF(K1080="GREENLIFE",PR!$AA1078,IF(K1080="HLINE",PR!$AB1078,IF(K1080="ROTECH",PR!$AC1078,IF(K1080="ISN",PR!$AD1078,IF(K1080="JAWA",PR!$AE1078,IF(K1080="LAYO",PR!$AF1078,IF(K1080="LEADWAY",PR!$AG1078,IF(K1080="LHV",PR!$AH1078,IF(K1080="MANOLA",PR!$AI1078,IF(K1080="MARCSON",PR!$AJ1078,IF(K1080="M&amp;B",PR!$AK1078,IF(K1080="MTRUST",PR!$AL1078,IF(K1080="MWORLD",PR!$AM1078,IF(K1080="MEGA",PR!$AN1078,IF(K1080="MICRONOVA",PR!$AO1078,IF(K1080="MFLASH",PR!$AP1078,IF(K1080="MORISON",PR!$AQ1078,IF(K1080="NEMEL",PR!$AR1078,IF(K1080="NHP",PR!$AS1078,IF(K1080="NHC",PR!$AT1078,IF(K1080="OLEAF",PR!$AU1078,IF(K1080="OCULUS",PR!$AV1078,IF(K1080="PACIFIC",PR!$AW1078,IF(K1080="PHAMATEX",PR!$AX1078,IF(K1080="PETHICS",PR!$AY1078,IF(K1080="PHILIPS",PR!$AZ1078,IF(K1080="RANBAXY",PR!$BA1078,IF(K1080="REALS",PR!$BB1078,IF(K1080="ROYAL",PR!$BC1078,IF(K1080="SAM",PR!$BD1078,IF(K1080="SEAGREEN",PR!$BE1078,IF(K1080="SKG",PR!$BF1078,IF(K1080="TAH",PR!$BG1078,IF(K1080="TAYLEK",PR!$BH1078,IF(K1080="TEMITA",PR!$BI1078,IF(K1080="THL",PR!$BJ1078,IF(K1080="UBASTIC",PR!$BK1078,IF(K1080="UNION",PR!$BL1078,IF(K1080="UNIQUE",PR!$BM1078,IF(K1080="VIXA",PR!$BN1078,IF(K1080="WWCV",PR!$BO1078,IF(K1080="ZOLON",PR!$BP1078,"-")))))))))))))))))))))))))))))))))))))))))))))))))))))))))))))))))</f>
        <v>7800</v>
      </c>
    </row>
    <row r="1081" spans="1:12" ht="18.75" x14ac:dyDescent="0.3">
      <c r="A1081" s="430">
        <f>PR!A1079</f>
        <v>0</v>
      </c>
      <c r="B1081" s="15">
        <f>PR!B1079</f>
        <v>0</v>
      </c>
      <c r="C1081" s="113">
        <f>PR!D1079</f>
        <v>0</v>
      </c>
      <c r="D1081" s="113">
        <f>PR!C1079</f>
        <v>0</v>
      </c>
      <c r="E1081" s="108" t="str">
        <f>IF(F1081="ALPHA",PR!$E1079,IF(F1081="ASSENE",PR!$F1079,IF(F1081="BIOFEM",PR!$G1079,IF(F1081="BIOMED",PR!$H1079,IF(F1081="CHI",PR!$I1079,IF(F1081="CLARION",PR!$J1079,IF(F1081="CODIX",PR!$K1079,IF(F1081="COSMADE",PR!$L1079,IF(F1081="SANCON",PR!$M1079,IF(F1081="DEVON",PR!$N1079,IF(F1081="DORTEMAG",PR!$O1079,IF(F1081="DGF",PR!$P1079,IF(F1081="DYNAMIC",PR!$Q1079,IF(F1081="EMZOR",PR!$R1079,IF(F1081="EUMATT",PR!$S1079,IF(F1081="FIDSON",PR!$T1079,IF(F1081="FCGLOBAL",PR!$U1079,IF(F1081="GENEITH",PR!$V1079,IF(F1081="GINOS",PR!$W1079,IF(F1081="GSK",PR!$X1079,IF(F1081="GLOBORG",PR!$Y1079,IF(F1081="GOODNEWS",PR!$Z1079,IF(F1081="GREENLIFE",PR!$AA1079,IF(F1081="HLINE",PR!$AB1079,IF(F1081="ROTECH",PR!$AC1079,IF(F1081="ISN",PR!$AD1079,IF(F1081="JAWA",PR!$AE1079,IF(F1081="LAYO",PR!$AF1079,IF(F1081="LEADWAY",PR!$AG1079,IF(F1081="LHV",PR!$AH1079,IF(F1081="MANOLA",PR!$AI1079,IF(F1081="MARCSON",PR!$AJ1079,IF(F1081="M&amp;B",PR!$AK1079,IF(F1081="MTRUST",PR!$AL1079,IF(F1081="MWORLD",PR!$AM1079,IF(F1081="MEGA",PR!$AN1079,IF(F1081="MICRONOVA",PR!$AO1079,IF(F1081="MFLASH",PR!$AP1079,IF(F1081="MORISON",PR!$AQ1079,IF(F1081="NEMEL",PR!$AR1079,IF(F1081="NHP",PR!$AS1079,IF(F1081="NHC",PR!$AT1079,IF(F1081="OLEAF",PR!$AU1079,IF(F1081="OCULUS",PR!$AV1079,IF(F1081="PACIFIC",PR!$AW1079,IF(F1081="PHAMATEX",PR!$AX1079,IF(F1081="PETHICS",PR!$AY1079,IF(F1081="PHILIPS",PR!$AZ1079,IF(F1081="RANBAXY",PR!$BA1079,IF(F1081="REALS",PR!$BB1079,IF(F1081="ROYAL",PR!$BC1079,IF(F1081="SAM",PR!$BD1079,IF(F1081="SEAGREEN",PR!$BE1079,IF(F1081="SKG",PR!$BF1079,IF(F1081="TAH",PR!$BG1079,IF(F1081="TAYLEK",PR!$BH1079,IF(F1081="TEMITA",PR!$BI1079,IF(F1081="THL",PR!$BJ1079,IF(F1081="UBASTIC",PR!$BK1079,IF(F1081="UNION",PR!$BL1079,IF(F1081="UNIQUE",PR!$BM1079,IF(F1081="VIXA",PR!$BN1079,IF(F1081="WWCV",PR!$BO1079,IF(F1081="ZOLON",PR!$BP1079,"-"))))))))))))))))))))))))))))))))))))))))))))))))))))))))))))))))</f>
        <v>-</v>
      </c>
      <c r="F1081" s="102"/>
      <c r="G1081" s="108" t="str">
        <f>IF(H1081="ALPHA",PR!$E1079,IF(H1081="ASSENE",PR!$F1079,IF(H1081="BIOFEM",PR!$G1079,IF(H1081="BIOMED",PR!$H1079,IF(H1081="CHI",PR!$I1079,IF(H1081="CLARION",PR!$J1079,IF(H1081="CODIX",PR!$K1079,IF(H1081="COSMADE",PR!$L1079,IF(H1081="SANCON",PR!$M1079,IF(H1081="DEVON",PR!$N1079,IF(H1081="DORTEMAG",PR!$O1079,IF(H1081="DGF",PR!$P1079,IF(H1081="DYNAMIC",PR!$Q1079,IF(H1081="EMZOR",PR!$R1079,IF(H1081="EUMATT",PR!$S1079,IF(H1081="FIDSON",PR!$T1079,IF(H1081="FCGLOBAL",PR!$U1079,IF(H1081="GENEITH",PR!$V1079,IF(H1081="GINOS",PR!$W1079,IF(H1081="GSK",PR!$X1079,IF(H1081="GLOBORG",PR!$Y1079,IF(H1081="GOODNEWS",PR!$Z1079,IF(H1081="GREENLIFE",PR!$AA1079,IF(H1081="HLINE",PR!$AB1079,IF(H1081="ROTECH",PR!$AC1079,IF(H1081="ISN",PR!$AD1079,IF(H1081="JAWA",PR!$AE1079,IF(H1081="LAYO",PR!$AF1079,IF(H1081="LEADWAY",PR!$AG1079,IF(H1081="LHV",PR!$AH1079,IF(H1081="MANOLA",PR!$AI1079,IF(H1081="MARCSON",PR!$AJ1079,IF(H1081="M&amp;B",PR!$AK1079,IF(H1081="MTRUST",PR!$AL1079,IF(H1081="MWORLD",PR!$AM1079,IF(H1081="MEGA",PR!$AN1079,IF(H1081="MICRONOVA",PR!$AO1079,IF(H1081="MFLASH",PR!$AP1079,IF(H1081="MORISON",PR!$AQ1079,IF(H1081="NEMEL",PR!$AR1079,IF(H1081="NHP",PR!$AS1079,IF(H1081="NHC",PR!$AT1079,IF(H1081="OLEAF",PR!$AU1079,IF(H1081="OCULUS",PR!$AV1079,IF(H1081="PACIFIC",PR!$AW1079,IF(H1081="PHAMATEX",PR!$AX1079,IF(H1081="PETHICS",PR!$AY1079,IF(H1081="PHILIPS",PR!$AZ1079,IF(H1081="RANBAXY",PR!$BA1079,IF(H1081="REALS",PR!$BB1079,IF(H1081="ROYAL",PR!$BC1079,IF(H1081="SAM",PR!$BD1079,IF(H1081="SEAGREEN",PR!$BE1079,IF(H1081="SKG",PR!$BF1079,IF(H1081="TAH",PR!$BG1079,IF(H1081="TAYLEK",PR!$BH1079,IF(H1081="TEMITA",PR!$BI1079,IF(H1081="THL",PR!$BJ1079,IF(H1081="UBASTIC",PR!$BK1079,IF(H1081="UNION",PR!$BL1079,IF(H1081="UNIQUE",PR!$BM1079,IF(H1081="VIXA",PR!$BN1079,IF(H1081="WWCV",PR!$BO1079,IF(H1081="ZOLON",PR!$BP1079,"-"))))))))))))))))))))))))))))))))))))))))))))))))))))))))))))))))</f>
        <v>-</v>
      </c>
      <c r="H1081" s="102"/>
      <c r="I1081" s="108" t="str">
        <f>IF(J1081="ALPHA",PR!$E1079,IF(J1081="ASSENE",PR!$F1079,IF(J1081="BIOFEM",PR!$G1079,IF(J1081="BIOMED",PR!$H1079,IF(J1081="CHI",PR!$I1079,IF(J1081="CLARION",PR!$J1079,IF(J1081="CODIX",PR!$K1079,IF(J1081="COSMADE",PR!$L1079,IF(J1081="SANCON",PR!$M1079,IF(J1081="DEVON",PR!$N1079,IF(J1081="DORTEMAG",PR!$O1079,IF(J1081="DGF",PR!$P1079,IF(J1081="DYNAMIC",PR!$Q1079,IF(J1081="EMZOR",PR!$R1079,IF(J1081="EUMATT",PR!$S1079,IF(J1081="FIDSON",PR!$T1079,IF(J1081="FCGLOBAL",PR!$U1079,IF(J1081="GENEITH",PR!$V1079,IF(J1081="GINOS",PR!$W1079,IF(J1081="GSK",PR!$X1079,IF(J1081="GLOBORG",PR!$Y1079,IF(J1081="GOODNEWS",PR!$Z1079,IF(J1081="GREENLIFE",PR!$AA1079,IF(J1081="HLINE",PR!$AB1079,IF(J1081="ROTECH",PR!$AC1079,IF(J1081="ISN",PR!$AD1079,IF(J1081="JAWA",PR!$AE1079,IF(J1081="LAYO",PR!$AF1079,IF(J1081="LEADWAY",PR!$AG1079,IF(J1081="LHV",PR!$AH1079,IF(J1081="MANOLA",PR!$AI1079,IF(J1081="MARCSON",PR!$AJ1079,IF(J1081="M&amp;B",PR!$AK1079,IF(J1081="MTRUST",PR!$AL1079,IF(J1081="MWORLD",PR!$AM1079,IF(J1081="MEGA",PR!$AN1079,IF(J1081="MICRONOVA",PR!$AO1079,IF(J1081="MFLASH",PR!$AP1079,IF(J1081="MORISON",PR!$AQ1079,IF(J1081="NEMEL",PR!$AR1079,IF(J1081="NHP",PR!$AS1079,IF(J1081="NHC",PR!$AT1079,IF(J1081="OLEAF",PR!$AU1079,IF(J1081="OCULUS",PR!$AV1079,IF(J1081="PACIFIC",PR!$AW1079,IF(J1081="PHAMATEX",PR!$AX1079,IF(J1081="PETHICS",PR!$AY1079,IF(J1081="PHILIPS",PR!$AZ1079,IF(J1081="RANBAXY",PR!$BA1079,IF(J1081="REALS",PR!$BB1079,IF(J1081="ROYAL",PR!$BC1079,IF(J1081="SAM",PR!$BD1079,IF(J1081="SEAGREEN",PR!$BE1079,IF(J1081="SKG",PR!$BF1079,IF(J1081="TAH",PR!$BG1079,IF(J1081="TAYLEK",PR!$BH1079,IF(J1081="TEMITA",PR!$BI1079,IF(J1081="THL",PR!$BJ1079,IF(J1081="UBASTIC",PR!$BK1079,IF(J1081="UNION",PR!$BL1079,IF(J1081="UNIQUE",PR!$BM1079,IF(J1081="VIXA",PR!$BN1079,IF(J1081="WWCV",PR!$BO1079,IF(J1081="ZOLON",PR!$BP1079,"-"))))))))))))))))))))))))))))))))))))))))))))))))))))))))))))))))</f>
        <v>-</v>
      </c>
      <c r="J1081" s="102"/>
      <c r="K1081" s="433"/>
      <c r="L1081" s="183" t="b">
        <f>IF(K1081&gt;0,IF(K1081="ALPHA",PR!$E1079,IF(K1081="ASSENE",PR!$F1079,IF(K1081="BIOFEM",PR!$G1079,IF(K1081="BIOMED",PR!$H1079,IF(K1081="CHI",PR!$I1079,IF(K1081="CLARION",PR!$J1079,IF(K1081="CODIX",PR!$K1079,IF(K1081="COSMADE",PR!$L1079,IF(K1081="SANCON",PR!$M1079,IF(K1081="DEVON",PR!$N1079,IF(K1081="DORTEMAG",PR!$O1079,IF(K1081="DGF",PR!$P1079,IF(K1081="DYNAMIC",PR!$Q1079,IF(K1081="EMZOR",PR!$R1079,IF(K1081="EUMATT",PR!$S1079,IF(K1081="FIDSON",PR!$T1079,IF(K1081="FCGLOBAL",PR!$U1079,IF(K1081="GENEITH",PR!$V1079,IF(K1081="GINOS",PR!$W1079,IF(K1081="GSK",PR!$X1079,IF(K1081="GLOBORG",PR!$Y1079,IF(K1081="GOODNEWS",PR!$Z1079,IF(K1081="GREENLIFE",PR!$AA1079,IF(K1081="HLINE",PR!$AB1079,IF(K1081="ROTECH",PR!$AC1079,IF(K1081="ISN",PR!$AD1079,IF(K1081="JAWA",PR!$AE1079,IF(K1081="LAYO",PR!$AF1079,IF(K1081="LEADWAY",PR!$AG1079,IF(K1081="LHV",PR!$AH1079,IF(K1081="MANOLA",PR!$AI1079,IF(K1081="MARCSON",PR!$AJ1079,IF(K1081="M&amp;B",PR!$AK1079,IF(K1081="MTRUST",PR!$AL1079,IF(K1081="MWORLD",PR!$AM1079,IF(K1081="MEGA",PR!$AN1079,IF(K1081="MICRONOVA",PR!$AO1079,IF(K1081="MFLASH",PR!$AP1079,IF(K1081="MORISON",PR!$AQ1079,IF(K1081="NEMEL",PR!$AR1079,IF(K1081="NHP",PR!$AS1079,IF(K1081="NHC",PR!$AT1079,IF(K1081="OLEAF",PR!$AU1079,IF(K1081="OCULUS",PR!$AV1079,IF(K1081="PACIFIC",PR!$AW1079,IF(K1081="PHAMATEX",PR!$AX1079,IF(K1081="PETHICS",PR!$AY1079,IF(K1081="PHILIPS",PR!$AZ1079,IF(K1081="RANBAXY",PR!$BA1079,IF(K1081="REALS",PR!$BB1079,IF(K1081="ROYAL",PR!$BC1079,IF(K1081="SAM",PR!$BD1079,IF(K1081="SEAGREEN",PR!$BE1079,IF(K1081="SKG",PR!$BF1079,IF(K1081="TAH",PR!$BG1079,IF(K1081="TAYLEK",PR!$BH1079,IF(K1081="TEMITA",PR!$BI1079,IF(K1081="THL",PR!$BJ1079,IF(K1081="UBASTIC",PR!$BK1079,IF(K1081="UNION",PR!$BL1079,IF(K1081="UNIQUE",PR!$BM1079,IF(K1081="VIXA",PR!$BN1079,IF(K1081="WWCV",PR!$BO1079,IF(K1081="ZOLON",PR!$BP1079,"-")))))))))))))))))))))))))))))))))))))))))))))))))))))))))))))))))</f>
        <v>0</v>
      </c>
    </row>
    <row r="1082" spans="1:12" ht="18.75" x14ac:dyDescent="0.3">
      <c r="A1082" s="430">
        <f>PR!A1080</f>
        <v>0</v>
      </c>
      <c r="B1082" s="15">
        <f>PR!B1080</f>
        <v>0</v>
      </c>
      <c r="C1082" s="113">
        <f>PR!D1080</f>
        <v>0</v>
      </c>
      <c r="D1082" s="113">
        <f>PR!C1080</f>
        <v>0</v>
      </c>
      <c r="E1082" s="108" t="str">
        <f>IF(F1082="ALPHA",PR!$E1080,IF(F1082="ASSENE",PR!$F1080,IF(F1082="BIOFEM",PR!$G1080,IF(F1082="BIOMED",PR!$H1080,IF(F1082="CHI",PR!$I1080,IF(F1082="CLARION",PR!$J1080,IF(F1082="CODIX",PR!$K1080,IF(F1082="COSMADE",PR!$L1080,IF(F1082="SANCON",PR!$M1080,IF(F1082="DEVON",PR!$N1080,IF(F1082="DORTEMAG",PR!$O1080,IF(F1082="DGF",PR!$P1080,IF(F1082="DYNAMIC",PR!$Q1080,IF(F1082="EMZOR",PR!$R1080,IF(F1082="EUMATT",PR!$S1080,IF(F1082="FIDSON",PR!$T1080,IF(F1082="FCGLOBAL",PR!$U1080,IF(F1082="GENEITH",PR!$V1080,IF(F1082="GINOS",PR!$W1080,IF(F1082="GSK",PR!$X1080,IF(F1082="GLOBORG",PR!$Y1080,IF(F1082="GOODNEWS",PR!$Z1080,IF(F1082="GREENLIFE",PR!$AA1080,IF(F1082="HLINE",PR!$AB1080,IF(F1082="ROTECH",PR!$AC1080,IF(F1082="ISN",PR!$AD1080,IF(F1082="JAWA",PR!$AE1080,IF(F1082="LAYO",PR!$AF1080,IF(F1082="LEADWAY",PR!$AG1080,IF(F1082="LHV",PR!$AH1080,IF(F1082="MANOLA",PR!$AI1080,IF(F1082="MARCSON",PR!$AJ1080,IF(F1082="M&amp;B",PR!$AK1080,IF(F1082="MTRUST",PR!$AL1080,IF(F1082="MWORLD",PR!$AM1080,IF(F1082="MEGA",PR!$AN1080,IF(F1082="MICRONOVA",PR!$AO1080,IF(F1082="MFLASH",PR!$AP1080,IF(F1082="MORISON",PR!$AQ1080,IF(F1082="NEMEL",PR!$AR1080,IF(F1082="NHP",PR!$AS1080,IF(F1082="NHC",PR!$AT1080,IF(F1082="OLEAF",PR!$AU1080,IF(F1082="OCULUS",PR!$AV1080,IF(F1082="PACIFIC",PR!$AW1080,IF(F1082="PHAMATEX",PR!$AX1080,IF(F1082="PETHICS",PR!$AY1080,IF(F1082="PHILIPS",PR!$AZ1080,IF(F1082="RANBAXY",PR!$BA1080,IF(F1082="REALS",PR!$BB1080,IF(F1082="ROYAL",PR!$BC1080,IF(F1082="SAM",PR!$BD1080,IF(F1082="SEAGREEN",PR!$BE1080,IF(F1082="SKG",PR!$BF1080,IF(F1082="TAH",PR!$BG1080,IF(F1082="TAYLEK",PR!$BH1080,IF(F1082="TEMITA",PR!$BI1080,IF(F1082="THL",PR!$BJ1080,IF(F1082="UBASTIC",PR!$BK1080,IF(F1082="UNION",PR!$BL1080,IF(F1082="UNIQUE",PR!$BM1080,IF(F1082="VIXA",PR!$BN1080,IF(F1082="WWCV",PR!$BO1080,IF(F1082="ZOLON",PR!$BP1080,"-"))))))))))))))))))))))))))))))))))))))))))))))))))))))))))))))))</f>
        <v>-</v>
      </c>
      <c r="F1082" s="102"/>
      <c r="G1082" s="108" t="str">
        <f>IF(H1082="ALPHA",PR!$E1080,IF(H1082="ASSENE",PR!$F1080,IF(H1082="BIOFEM",PR!$G1080,IF(H1082="BIOMED",PR!$H1080,IF(H1082="CHI",PR!$I1080,IF(H1082="CLARION",PR!$J1080,IF(H1082="CODIX",PR!$K1080,IF(H1082="COSMADE",PR!$L1080,IF(H1082="SANCON",PR!$M1080,IF(H1082="DEVON",PR!$N1080,IF(H1082="DORTEMAG",PR!$O1080,IF(H1082="DGF",PR!$P1080,IF(H1082="DYNAMIC",PR!$Q1080,IF(H1082="EMZOR",PR!$R1080,IF(H1082="EUMATT",PR!$S1080,IF(H1082="FIDSON",PR!$T1080,IF(H1082="FCGLOBAL",PR!$U1080,IF(H1082="GENEITH",PR!$V1080,IF(H1082="GINOS",PR!$W1080,IF(H1082="GSK",PR!$X1080,IF(H1082="GLOBORG",PR!$Y1080,IF(H1082="GOODNEWS",PR!$Z1080,IF(H1082="GREENLIFE",PR!$AA1080,IF(H1082="HLINE",PR!$AB1080,IF(H1082="ROTECH",PR!$AC1080,IF(H1082="ISN",PR!$AD1080,IF(H1082="JAWA",PR!$AE1080,IF(H1082="LAYO",PR!$AF1080,IF(H1082="LEADWAY",PR!$AG1080,IF(H1082="LHV",PR!$AH1080,IF(H1082="MANOLA",PR!$AI1080,IF(H1082="MARCSON",PR!$AJ1080,IF(H1082="M&amp;B",PR!$AK1080,IF(H1082="MTRUST",PR!$AL1080,IF(H1082="MWORLD",PR!$AM1080,IF(H1082="MEGA",PR!$AN1080,IF(H1082="MICRONOVA",PR!$AO1080,IF(H1082="MFLASH",PR!$AP1080,IF(H1082="MORISON",PR!$AQ1080,IF(H1082="NEMEL",PR!$AR1080,IF(H1082="NHP",PR!$AS1080,IF(H1082="NHC",PR!$AT1080,IF(H1082="OLEAF",PR!$AU1080,IF(H1082="OCULUS",PR!$AV1080,IF(H1082="PACIFIC",PR!$AW1080,IF(H1082="PHAMATEX",PR!$AX1080,IF(H1082="PETHICS",PR!$AY1080,IF(H1082="PHILIPS",PR!$AZ1080,IF(H1082="RANBAXY",PR!$BA1080,IF(H1082="REALS",PR!$BB1080,IF(H1082="ROYAL",PR!$BC1080,IF(H1082="SAM",PR!$BD1080,IF(H1082="SEAGREEN",PR!$BE1080,IF(H1082="SKG",PR!$BF1080,IF(H1082="TAH",PR!$BG1080,IF(H1082="TAYLEK",PR!$BH1080,IF(H1082="TEMITA",PR!$BI1080,IF(H1082="THL",PR!$BJ1080,IF(H1082="UBASTIC",PR!$BK1080,IF(H1082="UNION",PR!$BL1080,IF(H1082="UNIQUE",PR!$BM1080,IF(H1082="VIXA",PR!$BN1080,IF(H1082="WWCV",PR!$BO1080,IF(H1082="ZOLON",PR!$BP1080,"-"))))))))))))))))))))))))))))))))))))))))))))))))))))))))))))))))</f>
        <v>-</v>
      </c>
      <c r="H1082" s="102"/>
      <c r="I1082" s="108" t="str">
        <f>IF(J1082="ALPHA",PR!$E1080,IF(J1082="ASSENE",PR!$F1080,IF(J1082="BIOFEM",PR!$G1080,IF(J1082="BIOMED",PR!$H1080,IF(J1082="CHI",PR!$I1080,IF(J1082="CLARION",PR!$J1080,IF(J1082="CODIX",PR!$K1080,IF(J1082="COSMADE",PR!$L1080,IF(J1082="SANCON",PR!$M1080,IF(J1082="DEVON",PR!$N1080,IF(J1082="DORTEMAG",PR!$O1080,IF(J1082="DGF",PR!$P1080,IF(J1082="DYNAMIC",PR!$Q1080,IF(J1082="EMZOR",PR!$R1080,IF(J1082="EUMATT",PR!$S1080,IF(J1082="FIDSON",PR!$T1080,IF(J1082="FCGLOBAL",PR!$U1080,IF(J1082="GENEITH",PR!$V1080,IF(J1082="GINOS",PR!$W1080,IF(J1082="GSK",PR!$X1080,IF(J1082="GLOBORG",PR!$Y1080,IF(J1082="GOODNEWS",PR!$Z1080,IF(J1082="GREENLIFE",PR!$AA1080,IF(J1082="HLINE",PR!$AB1080,IF(J1082="ROTECH",PR!$AC1080,IF(J1082="ISN",PR!$AD1080,IF(J1082="JAWA",PR!$AE1080,IF(J1082="LAYO",PR!$AF1080,IF(J1082="LEADWAY",PR!$AG1080,IF(J1082="LHV",PR!$AH1080,IF(J1082="MANOLA",PR!$AI1080,IF(J1082="MARCSON",PR!$AJ1080,IF(J1082="M&amp;B",PR!$AK1080,IF(J1082="MTRUST",PR!$AL1080,IF(J1082="MWORLD",PR!$AM1080,IF(J1082="MEGA",PR!$AN1080,IF(J1082="MICRONOVA",PR!$AO1080,IF(J1082="MFLASH",PR!$AP1080,IF(J1082="MORISON",PR!$AQ1080,IF(J1082="NEMEL",PR!$AR1080,IF(J1082="NHP",PR!$AS1080,IF(J1082="NHC",PR!$AT1080,IF(J1082="OLEAF",PR!$AU1080,IF(J1082="OCULUS",PR!$AV1080,IF(J1082="PACIFIC",PR!$AW1080,IF(J1082="PHAMATEX",PR!$AX1080,IF(J1082="PETHICS",PR!$AY1080,IF(J1082="PHILIPS",PR!$AZ1080,IF(J1082="RANBAXY",PR!$BA1080,IF(J1082="REALS",PR!$BB1080,IF(J1082="ROYAL",PR!$BC1080,IF(J1082="SAM",PR!$BD1080,IF(J1082="SEAGREEN",PR!$BE1080,IF(J1082="SKG",PR!$BF1080,IF(J1082="TAH",PR!$BG1080,IF(J1082="TAYLEK",PR!$BH1080,IF(J1082="TEMITA",PR!$BI1080,IF(J1082="THL",PR!$BJ1080,IF(J1082="UBASTIC",PR!$BK1080,IF(J1082="UNION",PR!$BL1080,IF(J1082="UNIQUE",PR!$BM1080,IF(J1082="VIXA",PR!$BN1080,IF(J1082="WWCV",PR!$BO1080,IF(J1082="ZOLON",PR!$BP1080,"-"))))))))))))))))))))))))))))))))))))))))))))))))))))))))))))))))</f>
        <v>-</v>
      </c>
      <c r="J1082" s="102"/>
      <c r="K1082" s="433"/>
      <c r="L1082" s="183" t="b">
        <f>IF(K1082&gt;0,IF(K1082="ALPHA",PR!$E1080,IF(K1082="ASSENE",PR!$F1080,IF(K1082="BIOFEM",PR!$G1080,IF(K1082="BIOMED",PR!$H1080,IF(K1082="CHI",PR!$I1080,IF(K1082="CLARION",PR!$J1080,IF(K1082="CODIX",PR!$K1080,IF(K1082="COSMADE",PR!$L1080,IF(K1082="SANCON",PR!$M1080,IF(K1082="DEVON",PR!$N1080,IF(K1082="DORTEMAG",PR!$O1080,IF(K1082="DGF",PR!$P1080,IF(K1082="DYNAMIC",PR!$Q1080,IF(K1082="EMZOR",PR!$R1080,IF(K1082="EUMATT",PR!$S1080,IF(K1082="FIDSON",PR!$T1080,IF(K1082="FCGLOBAL",PR!$U1080,IF(K1082="GENEITH",PR!$V1080,IF(K1082="GINOS",PR!$W1080,IF(K1082="GSK",PR!$X1080,IF(K1082="GLOBORG",PR!$Y1080,IF(K1082="GOODNEWS",PR!$Z1080,IF(K1082="GREENLIFE",PR!$AA1080,IF(K1082="HLINE",PR!$AB1080,IF(K1082="ROTECH",PR!$AC1080,IF(K1082="ISN",PR!$AD1080,IF(K1082="JAWA",PR!$AE1080,IF(K1082="LAYO",PR!$AF1080,IF(K1082="LEADWAY",PR!$AG1080,IF(K1082="LHV",PR!$AH1080,IF(K1082="MANOLA",PR!$AI1080,IF(K1082="MARCSON",PR!$AJ1080,IF(K1082="M&amp;B",PR!$AK1080,IF(K1082="MTRUST",PR!$AL1080,IF(K1082="MWORLD",PR!$AM1080,IF(K1082="MEGA",PR!$AN1080,IF(K1082="MICRONOVA",PR!$AO1080,IF(K1082="MFLASH",PR!$AP1080,IF(K1082="MORISON",PR!$AQ1080,IF(K1082="NEMEL",PR!$AR1080,IF(K1082="NHP",PR!$AS1080,IF(K1082="NHC",PR!$AT1080,IF(K1082="OLEAF",PR!$AU1080,IF(K1082="OCULUS",PR!$AV1080,IF(K1082="PACIFIC",PR!$AW1080,IF(K1082="PHAMATEX",PR!$AX1080,IF(K1082="PETHICS",PR!$AY1080,IF(K1082="PHILIPS",PR!$AZ1080,IF(K1082="RANBAXY",PR!$BA1080,IF(K1082="REALS",PR!$BB1080,IF(K1082="ROYAL",PR!$BC1080,IF(K1082="SAM",PR!$BD1080,IF(K1082="SEAGREEN",PR!$BE1080,IF(K1082="SKG",PR!$BF1080,IF(K1082="TAH",PR!$BG1080,IF(K1082="TAYLEK",PR!$BH1080,IF(K1082="TEMITA",PR!$BI1080,IF(K1082="THL",PR!$BJ1080,IF(K1082="UBASTIC",PR!$BK1080,IF(K1082="UNION",PR!$BL1080,IF(K1082="UNIQUE",PR!$BM1080,IF(K1082="VIXA",PR!$BN1080,IF(K1082="WWCV",PR!$BO1080,IF(K1082="ZOLON",PR!$BP1080,"-")))))))))))))))))))))))))))))))))))))))))))))))))))))))))))))))))</f>
        <v>0</v>
      </c>
    </row>
    <row r="1083" spans="1:12" ht="18.75" x14ac:dyDescent="0.3">
      <c r="A1083" s="430">
        <f>PR!A1081</f>
        <v>0</v>
      </c>
      <c r="B1083" s="15" t="str">
        <f>PR!B1081</f>
        <v>INFECTION CONTROL</v>
      </c>
      <c r="C1083" s="113">
        <f>PR!D1081</f>
        <v>0</v>
      </c>
      <c r="D1083" s="113">
        <f>PR!C1081</f>
        <v>0</v>
      </c>
      <c r="E1083" s="108" t="str">
        <f>IF(F1083="ALPHA",PR!$E1081,IF(F1083="ASSENE",PR!$F1081,IF(F1083="BIOFEM",PR!$G1081,IF(F1083="BIOMED",PR!$H1081,IF(F1083="CHI",PR!$I1081,IF(F1083="CLARION",PR!$J1081,IF(F1083="CODIX",PR!$K1081,IF(F1083="COSMADE",PR!$L1081,IF(F1083="SANCON",PR!$M1081,IF(F1083="DEVON",PR!$N1081,IF(F1083="DORTEMAG",PR!$O1081,IF(F1083="DGF",PR!$P1081,IF(F1083="DYNAMIC",PR!$Q1081,IF(F1083="EMZOR",PR!$R1081,IF(F1083="EUMATT",PR!$S1081,IF(F1083="FIDSON",PR!$T1081,IF(F1083="FCGLOBAL",PR!$U1081,IF(F1083="GENEITH",PR!$V1081,IF(F1083="GINOS",PR!$W1081,IF(F1083="GSK",PR!$X1081,IF(F1083="GLOBORG",PR!$Y1081,IF(F1083="GOODNEWS",PR!$Z1081,IF(F1083="GREENLIFE",PR!$AA1081,IF(F1083="HLINE",PR!$AB1081,IF(F1083="ROTECH",PR!$AC1081,IF(F1083="ISN",PR!$AD1081,IF(F1083="JAWA",PR!$AE1081,IF(F1083="LAYO",PR!$AF1081,IF(F1083="LEADWAY",PR!$AG1081,IF(F1083="LHV",PR!$AH1081,IF(F1083="MANOLA",PR!$AI1081,IF(F1083="MARCSON",PR!$AJ1081,IF(F1083="M&amp;B",PR!$AK1081,IF(F1083="MTRUST",PR!$AL1081,IF(F1083="MWORLD",PR!$AM1081,IF(F1083="MEGA",PR!$AN1081,IF(F1083="MICRONOVA",PR!$AO1081,IF(F1083="MFLASH",PR!$AP1081,IF(F1083="MORISON",PR!$AQ1081,IF(F1083="NEMEL",PR!$AR1081,IF(F1083="NHP",PR!$AS1081,IF(F1083="NHC",PR!$AT1081,IF(F1083="OLEAF",PR!$AU1081,IF(F1083="OCULUS",PR!$AV1081,IF(F1083="PACIFIC",PR!$AW1081,IF(F1083="PHAMATEX",PR!$AX1081,IF(F1083="PETHICS",PR!$AY1081,IF(F1083="PHILIPS",PR!$AZ1081,IF(F1083="RANBAXY",PR!$BA1081,IF(F1083="REALS",PR!$BB1081,IF(F1083="ROYAL",PR!$BC1081,IF(F1083="SAM",PR!$BD1081,IF(F1083="SEAGREEN",PR!$BE1081,IF(F1083="SKG",PR!$BF1081,IF(F1083="TAH",PR!$BG1081,IF(F1083="TAYLEK",PR!$BH1081,IF(F1083="TEMITA",PR!$BI1081,IF(F1083="THL",PR!$BJ1081,IF(F1083="UBASTIC",PR!$BK1081,IF(F1083="UNION",PR!$BL1081,IF(F1083="UNIQUE",PR!$BM1081,IF(F1083="VIXA",PR!$BN1081,IF(F1083="WWCV",PR!$BO1081,IF(F1083="ZOLON",PR!$BP1081,"-"))))))))))))))))))))))))))))))))))))))))))))))))))))))))))))))))</f>
        <v>-</v>
      </c>
      <c r="F1083" s="102"/>
      <c r="G1083" s="108" t="str">
        <f>IF(H1083="ALPHA",PR!$E1081,IF(H1083="ASSENE",PR!$F1081,IF(H1083="BIOFEM",PR!$G1081,IF(H1083="BIOMED",PR!$H1081,IF(H1083="CHI",PR!$I1081,IF(H1083="CLARION",PR!$J1081,IF(H1083="CODIX",PR!$K1081,IF(H1083="COSMADE",PR!$L1081,IF(H1083="SANCON",PR!$M1081,IF(H1083="DEVON",PR!$N1081,IF(H1083="DORTEMAG",PR!$O1081,IF(H1083="DGF",PR!$P1081,IF(H1083="DYNAMIC",PR!$Q1081,IF(H1083="EMZOR",PR!$R1081,IF(H1083="EUMATT",PR!$S1081,IF(H1083="FIDSON",PR!$T1081,IF(H1083="FCGLOBAL",PR!$U1081,IF(H1083="GENEITH",PR!$V1081,IF(H1083="GINOS",PR!$W1081,IF(H1083="GSK",PR!$X1081,IF(H1083="GLOBORG",PR!$Y1081,IF(H1083="GOODNEWS",PR!$Z1081,IF(H1083="GREENLIFE",PR!$AA1081,IF(H1083="HLINE",PR!$AB1081,IF(H1083="ROTECH",PR!$AC1081,IF(H1083="ISN",PR!$AD1081,IF(H1083="JAWA",PR!$AE1081,IF(H1083="LAYO",PR!$AF1081,IF(H1083="LEADWAY",PR!$AG1081,IF(H1083="LHV",PR!$AH1081,IF(H1083="MANOLA",PR!$AI1081,IF(H1083="MARCSON",PR!$AJ1081,IF(H1083="M&amp;B",PR!$AK1081,IF(H1083="MTRUST",PR!$AL1081,IF(H1083="MWORLD",PR!$AM1081,IF(H1083="MEGA",PR!$AN1081,IF(H1083="MICRONOVA",PR!$AO1081,IF(H1083="MFLASH",PR!$AP1081,IF(H1083="MORISON",PR!$AQ1081,IF(H1083="NEMEL",PR!$AR1081,IF(H1083="NHP",PR!$AS1081,IF(H1083="NHC",PR!$AT1081,IF(H1083="OLEAF",PR!$AU1081,IF(H1083="OCULUS",PR!$AV1081,IF(H1083="PACIFIC",PR!$AW1081,IF(H1083="PHAMATEX",PR!$AX1081,IF(H1083="PETHICS",PR!$AY1081,IF(H1083="PHILIPS",PR!$AZ1081,IF(H1083="RANBAXY",PR!$BA1081,IF(H1083="REALS",PR!$BB1081,IF(H1083="ROYAL",PR!$BC1081,IF(H1083="SAM",PR!$BD1081,IF(H1083="SEAGREEN",PR!$BE1081,IF(H1083="SKG",PR!$BF1081,IF(H1083="TAH",PR!$BG1081,IF(H1083="TAYLEK",PR!$BH1081,IF(H1083="TEMITA",PR!$BI1081,IF(H1083="THL",PR!$BJ1081,IF(H1083="UBASTIC",PR!$BK1081,IF(H1083="UNION",PR!$BL1081,IF(H1083="UNIQUE",PR!$BM1081,IF(H1083="VIXA",PR!$BN1081,IF(H1083="WWCV",PR!$BO1081,IF(H1083="ZOLON",PR!$BP1081,"-"))))))))))))))))))))))))))))))))))))))))))))))))))))))))))))))))</f>
        <v>-</v>
      </c>
      <c r="H1083" s="102"/>
      <c r="I1083" s="108" t="str">
        <f>IF(J1083="ALPHA",PR!$E1081,IF(J1083="ASSENE",PR!$F1081,IF(J1083="BIOFEM",PR!$G1081,IF(J1083="BIOMED",PR!$H1081,IF(J1083="CHI",PR!$I1081,IF(J1083="CLARION",PR!$J1081,IF(J1083="CODIX",PR!$K1081,IF(J1083="COSMADE",PR!$L1081,IF(J1083="SANCON",PR!$M1081,IF(J1083="DEVON",PR!$N1081,IF(J1083="DORTEMAG",PR!$O1081,IF(J1083="DGF",PR!$P1081,IF(J1083="DYNAMIC",PR!$Q1081,IF(J1083="EMZOR",PR!$R1081,IF(J1083="EUMATT",PR!$S1081,IF(J1083="FIDSON",PR!$T1081,IF(J1083="FCGLOBAL",PR!$U1081,IF(J1083="GENEITH",PR!$V1081,IF(J1083="GINOS",PR!$W1081,IF(J1083="GSK",PR!$X1081,IF(J1083="GLOBORG",PR!$Y1081,IF(J1083="GOODNEWS",PR!$Z1081,IF(J1083="GREENLIFE",PR!$AA1081,IF(J1083="HLINE",PR!$AB1081,IF(J1083="ROTECH",PR!$AC1081,IF(J1083="ISN",PR!$AD1081,IF(J1083="JAWA",PR!$AE1081,IF(J1083="LAYO",PR!$AF1081,IF(J1083="LEADWAY",PR!$AG1081,IF(J1083="LHV",PR!$AH1081,IF(J1083="MANOLA",PR!$AI1081,IF(J1083="MARCSON",PR!$AJ1081,IF(J1083="M&amp;B",PR!$AK1081,IF(J1083="MTRUST",PR!$AL1081,IF(J1083="MWORLD",PR!$AM1081,IF(J1083="MEGA",PR!$AN1081,IF(J1083="MICRONOVA",PR!$AO1081,IF(J1083="MFLASH",PR!$AP1081,IF(J1083="MORISON",PR!$AQ1081,IF(J1083="NEMEL",PR!$AR1081,IF(J1083="NHP",PR!$AS1081,IF(J1083="NHC",PR!$AT1081,IF(J1083="OLEAF",PR!$AU1081,IF(J1083="OCULUS",PR!$AV1081,IF(J1083="PACIFIC",PR!$AW1081,IF(J1083="PHAMATEX",PR!$AX1081,IF(J1083="PETHICS",PR!$AY1081,IF(J1083="PHILIPS",PR!$AZ1081,IF(J1083="RANBAXY",PR!$BA1081,IF(J1083="REALS",PR!$BB1081,IF(J1083="ROYAL",PR!$BC1081,IF(J1083="SAM",PR!$BD1081,IF(J1083="SEAGREEN",PR!$BE1081,IF(J1083="SKG",PR!$BF1081,IF(J1083="TAH",PR!$BG1081,IF(J1083="TAYLEK",PR!$BH1081,IF(J1083="TEMITA",PR!$BI1081,IF(J1083="THL",PR!$BJ1081,IF(J1083="UBASTIC",PR!$BK1081,IF(J1083="UNION",PR!$BL1081,IF(J1083="UNIQUE",PR!$BM1081,IF(J1083="VIXA",PR!$BN1081,IF(J1083="WWCV",PR!$BO1081,IF(J1083="ZOLON",PR!$BP1081,"-"))))))))))))))))))))))))))))))))))))))))))))))))))))))))))))))))</f>
        <v>-</v>
      </c>
      <c r="J1083" s="102"/>
      <c r="K1083" s="433"/>
      <c r="L1083" s="183" t="b">
        <f>IF(K1083&gt;0,IF(K1083="ALPHA",PR!$E1081,IF(K1083="ASSENE",PR!$F1081,IF(K1083="BIOFEM",PR!$G1081,IF(K1083="BIOMED",PR!$H1081,IF(K1083="CHI",PR!$I1081,IF(K1083="CLARION",PR!$J1081,IF(K1083="CODIX",PR!$K1081,IF(K1083="COSMADE",PR!$L1081,IF(K1083="SANCON",PR!$M1081,IF(K1083="DEVON",PR!$N1081,IF(K1083="DORTEMAG",PR!$O1081,IF(K1083="DGF",PR!$P1081,IF(K1083="DYNAMIC",PR!$Q1081,IF(K1083="EMZOR",PR!$R1081,IF(K1083="EUMATT",PR!$S1081,IF(K1083="FIDSON",PR!$T1081,IF(K1083="FCGLOBAL",PR!$U1081,IF(K1083="GENEITH",PR!$V1081,IF(K1083="GINOS",PR!$W1081,IF(K1083="GSK",PR!$X1081,IF(K1083="GLOBORG",PR!$Y1081,IF(K1083="GOODNEWS",PR!$Z1081,IF(K1083="GREENLIFE",PR!$AA1081,IF(K1083="HLINE",PR!$AB1081,IF(K1083="ROTECH",PR!$AC1081,IF(K1083="ISN",PR!$AD1081,IF(K1083="JAWA",PR!$AE1081,IF(K1083="LAYO",PR!$AF1081,IF(K1083="LEADWAY",PR!$AG1081,IF(K1083="LHV",PR!$AH1081,IF(K1083="MANOLA",PR!$AI1081,IF(K1083="MARCSON",PR!$AJ1081,IF(K1083="M&amp;B",PR!$AK1081,IF(K1083="MTRUST",PR!$AL1081,IF(K1083="MWORLD",PR!$AM1081,IF(K1083="MEGA",PR!$AN1081,IF(K1083="MICRONOVA",PR!$AO1081,IF(K1083="MFLASH",PR!$AP1081,IF(K1083="MORISON",PR!$AQ1081,IF(K1083="NEMEL",PR!$AR1081,IF(K1083="NHP",PR!$AS1081,IF(K1083="NHC",PR!$AT1081,IF(K1083="OLEAF",PR!$AU1081,IF(K1083="OCULUS",PR!$AV1081,IF(K1083="PACIFIC",PR!$AW1081,IF(K1083="PHAMATEX",PR!$AX1081,IF(K1083="PETHICS",PR!$AY1081,IF(K1083="PHILIPS",PR!$AZ1081,IF(K1083="RANBAXY",PR!$BA1081,IF(K1083="REALS",PR!$BB1081,IF(K1083="ROYAL",PR!$BC1081,IF(K1083="SAM",PR!$BD1081,IF(K1083="SEAGREEN",PR!$BE1081,IF(K1083="SKG",PR!$BF1081,IF(K1083="TAH",PR!$BG1081,IF(K1083="TAYLEK",PR!$BH1081,IF(K1083="TEMITA",PR!$BI1081,IF(K1083="THL",PR!$BJ1081,IF(K1083="UBASTIC",PR!$BK1081,IF(K1083="UNION",PR!$BL1081,IF(K1083="UNIQUE",PR!$BM1081,IF(K1083="VIXA",PR!$BN1081,IF(K1083="WWCV",PR!$BO1081,IF(K1083="ZOLON",PR!$BP1081,"-")))))))))))))))))))))))))))))))))))))))))))))))))))))))))))))))))</f>
        <v>0</v>
      </c>
    </row>
    <row r="1084" spans="1:12" ht="18.75" x14ac:dyDescent="0.3">
      <c r="A1084" s="430">
        <f>PR!A1082</f>
        <v>974</v>
      </c>
      <c r="B1084" s="15" t="str">
        <f>PR!B1082</f>
        <v>HAND WASHING SOAP (500MLS)</v>
      </c>
      <c r="C1084" s="113" t="str">
        <f>PR!D1082</f>
        <v>12 PCS/CARTON</v>
      </c>
      <c r="D1084" s="113">
        <f>PR!C1082</f>
        <v>500</v>
      </c>
      <c r="E1084" s="108">
        <f>IF(F1084="ALPHA",PR!$E1082,IF(F1084="ASSENE",PR!$F1082,IF(F1084="BIOFEM",PR!$G1082,IF(F1084="BIOMED",PR!$H1082,IF(F1084="CHI",PR!$I1082,IF(F1084="CLARION",PR!$J1082,IF(F1084="CODIX",PR!$K1082,IF(F1084="COSMADE",PR!$L1082,IF(F1084="SANCON",PR!$M1082,IF(F1084="DEVON",PR!$N1082,IF(F1084="DORTEMAG",PR!$O1082,IF(F1084="DGF",PR!$P1082,IF(F1084="DYNAMIC",PR!$Q1082,IF(F1084="EMZOR",PR!$R1082,IF(F1084="EUMATT",PR!$S1082,IF(F1084="FIDSON",PR!$T1082,IF(F1084="FCGLOBAL",PR!$U1082,IF(F1084="GENEITH",PR!$V1082,IF(F1084="GINOS",PR!$W1082,IF(F1084="GSK",PR!$X1082,IF(F1084="GLOBORG",PR!$Y1082,IF(F1084="GOODNEWS",PR!$Z1082,IF(F1084="GREENLIFE",PR!$AA1082,IF(F1084="HLINE",PR!$AB1082,IF(F1084="ROTECH",PR!$AC1082,IF(F1084="ISN",PR!$AD1082,IF(F1084="JAWA",PR!$AE1082,IF(F1084="LAYO",PR!$AF1082,IF(F1084="LEADWAY",PR!$AG1082,IF(F1084="LHV",PR!$AH1082,IF(F1084="MANOLA",PR!$AI1082,IF(F1084="MARCSON",PR!$AJ1082,IF(F1084="M&amp;B",PR!$AK1082,IF(F1084="MTRUST",PR!$AL1082,IF(F1084="MWORLD",PR!$AM1082,IF(F1084="MEGA",PR!$AN1082,IF(F1084="MICRONOVA",PR!$AO1082,IF(F1084="MFLASH",PR!$AP1082,IF(F1084="MORISON",PR!$AQ1082,IF(F1084="NEMEL",PR!$AR1082,IF(F1084="NHP",PR!$AS1082,IF(F1084="NHC",PR!$AT1082,IF(F1084="OLEAF",PR!$AU1082,IF(F1084="OCULUS",PR!$AV1082,IF(F1084="PACIFIC",PR!$AW1082,IF(F1084="PHAMATEX",PR!$AX1082,IF(F1084="PETHICS",PR!$AY1082,IF(F1084="PHILIPS",PR!$AZ1082,IF(F1084="RANBAXY",PR!$BA1082,IF(F1084="REALS",PR!$BB1082,IF(F1084="ROYAL",PR!$BC1082,IF(F1084="SAM",PR!$BD1082,IF(F1084="SEAGREEN",PR!$BE1082,IF(F1084="SKG",PR!$BF1082,IF(F1084="TAH",PR!$BG1082,IF(F1084="TAYLEK",PR!$BH1082,IF(F1084="TEMITA",PR!$BI1082,IF(F1084="THL",PR!$BJ1082,IF(F1084="UBASTIC",PR!$BK1082,IF(F1084="UNION",PR!$BL1082,IF(F1084="UNIQUE",PR!$BM1082,IF(F1084="VIXA",PR!$BN1082,IF(F1084="WWCV",PR!$BO1082,IF(F1084="ZOLON",PR!$BP1082,"-"))))))))))))))))))))))))))))))))))))))))))))))))))))))))))))))))</f>
        <v>4660</v>
      </c>
      <c r="F1084" s="102" t="str">
        <f>EV!L1383</f>
        <v>TEMITA</v>
      </c>
      <c r="G1084" s="108">
        <f>IF(H1084="ALPHA",PR!$E1082,IF(H1084="ASSENE",PR!$F1082,IF(H1084="BIOFEM",PR!$G1082,IF(H1084="BIOMED",PR!$H1082,IF(H1084="CHI",PR!$I1082,IF(H1084="CLARION",PR!$J1082,IF(H1084="CODIX",PR!$K1082,IF(H1084="COSMADE",PR!$L1082,IF(H1084="SANCON",PR!$M1082,IF(H1084="DEVON",PR!$N1082,IF(H1084="DORTEMAG",PR!$O1082,IF(H1084="DGF",PR!$P1082,IF(H1084="DYNAMIC",PR!$Q1082,IF(H1084="EMZOR",PR!$R1082,IF(H1084="EUMATT",PR!$S1082,IF(H1084="FIDSON",PR!$T1082,IF(H1084="FCGLOBAL",PR!$U1082,IF(H1084="GENEITH",PR!$V1082,IF(H1084="GINOS",PR!$W1082,IF(H1084="GSK",PR!$X1082,IF(H1084="GLOBORG",PR!$Y1082,IF(H1084="GOODNEWS",PR!$Z1082,IF(H1084="GREENLIFE",PR!$AA1082,IF(H1084="HLINE",PR!$AB1082,IF(H1084="ROTECH",PR!$AC1082,IF(H1084="ISN",PR!$AD1082,IF(H1084="JAWA",PR!$AE1082,IF(H1084="LAYO",PR!$AF1082,IF(H1084="LEADWAY",PR!$AG1082,IF(H1084="LHV",PR!$AH1082,IF(H1084="MANOLA",PR!$AI1082,IF(H1084="MARCSON",PR!$AJ1082,IF(H1084="M&amp;B",PR!$AK1082,IF(H1084="MTRUST",PR!$AL1082,IF(H1084="MWORLD",PR!$AM1082,IF(H1084="MEGA",PR!$AN1082,IF(H1084="MICRONOVA",PR!$AO1082,IF(H1084="MFLASH",PR!$AP1082,IF(H1084="MORISON",PR!$AQ1082,IF(H1084="NEMEL",PR!$AR1082,IF(H1084="NHP",PR!$AS1082,IF(H1084="NHC",PR!$AT1082,IF(H1084="OLEAF",PR!$AU1082,IF(H1084="OCULUS",PR!$AV1082,IF(H1084="PACIFIC",PR!$AW1082,IF(H1084="PHAMATEX",PR!$AX1082,IF(H1084="PETHICS",PR!$AY1082,IF(H1084="PHILIPS",PR!$AZ1082,IF(H1084="RANBAXY",PR!$BA1082,IF(H1084="REALS",PR!$BB1082,IF(H1084="ROYAL",PR!$BC1082,IF(H1084="SAM",PR!$BD1082,IF(H1084="SEAGREEN",PR!$BE1082,IF(H1084="SKG",PR!$BF1082,IF(H1084="TAH",PR!$BG1082,IF(H1084="TAYLEK",PR!$BH1082,IF(H1084="TEMITA",PR!$BI1082,IF(H1084="THL",PR!$BJ1082,IF(H1084="UBASTIC",PR!$BK1082,IF(H1084="UNION",PR!$BL1082,IF(H1084="UNIQUE",PR!$BM1082,IF(H1084="VIXA",PR!$BN1082,IF(H1084="WWCV",PR!$BO1082,IF(H1084="ZOLON",PR!$BP1082,"-"))))))))))))))))))))))))))))))))))))))))))))))))))))))))))))))))</f>
        <v>4800</v>
      </c>
      <c r="H1084" s="102" t="str">
        <f>EV!M1383</f>
        <v>SANCON</v>
      </c>
      <c r="I1084" s="108">
        <f>IF(J1084="ALPHA",PR!$E1082,IF(J1084="ASSENE",PR!$F1082,IF(J1084="BIOFEM",PR!$G1082,IF(J1084="BIOMED",PR!$H1082,IF(J1084="CHI",PR!$I1082,IF(J1084="CLARION",PR!$J1082,IF(J1084="CODIX",PR!$K1082,IF(J1084="COSMADE",PR!$L1082,IF(J1084="SANCON",PR!$M1082,IF(J1084="DEVON",PR!$N1082,IF(J1084="DORTEMAG",PR!$O1082,IF(J1084="DGF",PR!$P1082,IF(J1084="DYNAMIC",PR!$Q1082,IF(J1084="EMZOR",PR!$R1082,IF(J1084="EUMATT",PR!$S1082,IF(J1084="FIDSON",PR!$T1082,IF(J1084="FCGLOBAL",PR!$U1082,IF(J1084="GENEITH",PR!$V1082,IF(J1084="GINOS",PR!$W1082,IF(J1084="GSK",PR!$X1082,IF(J1084="GLOBORG",PR!$Y1082,IF(J1084="GOODNEWS",PR!$Z1082,IF(J1084="GREENLIFE",PR!$AA1082,IF(J1084="HLINE",PR!$AB1082,IF(J1084="ROTECH",PR!$AC1082,IF(J1084="ISN",PR!$AD1082,IF(J1084="JAWA",PR!$AE1082,IF(J1084="LAYO",PR!$AF1082,IF(J1084="LEADWAY",PR!$AG1082,IF(J1084="LHV",PR!$AH1082,IF(J1084="MANOLA",PR!$AI1082,IF(J1084="MARCSON",PR!$AJ1082,IF(J1084="M&amp;B",PR!$AK1082,IF(J1084="MTRUST",PR!$AL1082,IF(J1084="MWORLD",PR!$AM1082,IF(J1084="MEGA",PR!$AN1082,IF(J1084="MICRONOVA",PR!$AO1082,IF(J1084="MFLASH",PR!$AP1082,IF(J1084="MORISON",PR!$AQ1082,IF(J1084="NEMEL",PR!$AR1082,IF(J1084="NHP",PR!$AS1082,IF(J1084="NHC",PR!$AT1082,IF(J1084="OLEAF",PR!$AU1082,IF(J1084="OCULUS",PR!$AV1082,IF(J1084="PACIFIC",PR!$AW1082,IF(J1084="PHAMATEX",PR!$AX1082,IF(J1084="PETHICS",PR!$AY1082,IF(J1084="PHILIPS",PR!$AZ1082,IF(J1084="RANBAXY",PR!$BA1082,IF(J1084="REALS",PR!$BB1082,IF(J1084="ROYAL",PR!$BC1082,IF(J1084="SAM",PR!$BD1082,IF(J1084="SEAGREEN",PR!$BE1082,IF(J1084="SKG",PR!$BF1082,IF(J1084="TAH",PR!$BG1082,IF(J1084="TAYLEK",PR!$BH1082,IF(J1084="TEMITA",PR!$BI1082,IF(J1084="THL",PR!$BJ1082,IF(J1084="UBASTIC",PR!$BK1082,IF(J1084="UNION",PR!$BL1082,IF(J1084="UNIQUE",PR!$BM1082,IF(J1084="VIXA",PR!$BN1082,IF(J1084="WWCV",PR!$BO1082,IF(J1084="ZOLON",PR!$BP1082,"-"))))))))))))))))))))))))))))))))))))))))))))))))))))))))))))))))</f>
        <v>499</v>
      </c>
      <c r="J1084" s="102" t="str">
        <f>EV!N1383</f>
        <v>DYNAMIC</v>
      </c>
      <c r="K1084" s="433" t="s">
        <v>1463</v>
      </c>
      <c r="L1084" s="183">
        <f>IF(K1084&gt;0,IF(K1084="ALPHA",PR!$E1082,IF(K1084="ASSENE",PR!$F1082,IF(K1084="BIOFEM",PR!$G1082,IF(K1084="BIOMED",PR!$H1082,IF(K1084="CHI",PR!$I1082,IF(K1084="CLARION",PR!$J1082,IF(K1084="CODIX",PR!$K1082,IF(K1084="COSMADE",PR!$L1082,IF(K1084="SANCON",PR!$M1082,IF(K1084="DEVON",PR!$N1082,IF(K1084="DORTEMAG",PR!$O1082,IF(K1084="DGF",PR!$P1082,IF(K1084="DYNAMIC",PR!$Q1082,IF(K1084="EMZOR",PR!$R1082,IF(K1084="EUMATT",PR!$S1082,IF(K1084="FIDSON",PR!$T1082,IF(K1084="FCGLOBAL",PR!$U1082,IF(K1084="GENEITH",PR!$V1082,IF(K1084="GINOS",PR!$W1082,IF(K1084="GSK",PR!$X1082,IF(K1084="GLOBORG",PR!$Y1082,IF(K1084="GOODNEWS",PR!$Z1082,IF(K1084="GREENLIFE",PR!$AA1082,IF(K1084="HLINE",PR!$AB1082,IF(K1084="ROTECH",PR!$AC1082,IF(K1084="ISN",PR!$AD1082,IF(K1084="JAWA",PR!$AE1082,IF(K1084="LAYO",PR!$AF1082,IF(K1084="LEADWAY",PR!$AG1082,IF(K1084="LHV",PR!$AH1082,IF(K1084="MANOLA",PR!$AI1082,IF(K1084="MARCSON",PR!$AJ1082,IF(K1084="M&amp;B",PR!$AK1082,IF(K1084="MTRUST",PR!$AL1082,IF(K1084="MWORLD",PR!$AM1082,IF(K1084="MEGA",PR!$AN1082,IF(K1084="MICRONOVA",PR!$AO1082,IF(K1084="MFLASH",PR!$AP1082,IF(K1084="MORISON",PR!$AQ1082,IF(K1084="NEMEL",PR!$AR1082,IF(K1084="NHP",PR!$AS1082,IF(K1084="NHC",PR!$AT1082,IF(K1084="OLEAF",PR!$AU1082,IF(K1084="OCULUS",PR!$AV1082,IF(K1084="PACIFIC",PR!$AW1082,IF(K1084="PHAMATEX",PR!$AX1082,IF(K1084="PETHICS",PR!$AY1082,IF(K1084="PHILIPS",PR!$AZ1082,IF(K1084="RANBAXY",PR!$BA1082,IF(K1084="REALS",PR!$BB1082,IF(K1084="ROYAL",PR!$BC1082,IF(K1084="SAM",PR!$BD1082,IF(K1084="SEAGREEN",PR!$BE1082,IF(K1084="SKG",PR!$BF1082,IF(K1084="TAH",PR!$BG1082,IF(K1084="TAYLEK",PR!$BH1082,IF(K1084="TEMITA",PR!$BI1082,IF(K1084="THL",PR!$BJ1082,IF(K1084="UBASTIC",PR!$BK1082,IF(K1084="UNION",PR!$BL1082,IF(K1084="UNIQUE",PR!$BM1082,IF(K1084="VIXA",PR!$BN1082,IF(K1084="WWCV",PR!$BO1082,IF(K1084="ZOLON",PR!$BP1082,"-")))))))))))))))))))))))))))))))))))))))))))))))))))))))))))))))))</f>
        <v>4660</v>
      </c>
    </row>
    <row r="1085" spans="1:12" ht="18.75" x14ac:dyDescent="0.3">
      <c r="A1085" s="430">
        <f>PR!A1083</f>
        <v>975</v>
      </c>
      <c r="B1085" s="15" t="str">
        <f>PR!B1083</f>
        <v>INJECTION SAFETY BOX</v>
      </c>
      <c r="C1085" s="113" t="str">
        <f>PR!D1083</f>
        <v>25/CARTON</v>
      </c>
      <c r="D1085" s="113">
        <f>PR!C1083</f>
        <v>96</v>
      </c>
      <c r="E1085" s="108">
        <f>IF(F1085="ALPHA",PR!$E1083,IF(F1085="ASSENE",PR!$F1083,IF(F1085="BIOFEM",PR!$G1083,IF(F1085="BIOMED",PR!$H1083,IF(F1085="CHI",PR!$I1083,IF(F1085="CLARION",PR!$J1083,IF(F1085="CODIX",PR!$K1083,IF(F1085="COSMADE",PR!$L1083,IF(F1085="SANCON",PR!$M1083,IF(F1085="DEVON",PR!$N1083,IF(F1085="DORTEMAG",PR!$O1083,IF(F1085="DGF",PR!$P1083,IF(F1085="DYNAMIC",PR!$Q1083,IF(F1085="EMZOR",PR!$R1083,IF(F1085="EUMATT",PR!$S1083,IF(F1085="FIDSON",PR!$T1083,IF(F1085="FCGLOBAL",PR!$U1083,IF(F1085="GENEITH",PR!$V1083,IF(F1085="GINOS",PR!$W1083,IF(F1085="GSK",PR!$X1083,IF(F1085="GLOBORG",PR!$Y1083,IF(F1085="GOODNEWS",PR!$Z1083,IF(F1085="GREENLIFE",PR!$AA1083,IF(F1085="HLINE",PR!$AB1083,IF(F1085="ROTECH",PR!$AC1083,IF(F1085="ISN",PR!$AD1083,IF(F1085="JAWA",PR!$AE1083,IF(F1085="LAYO",PR!$AF1083,IF(F1085="LEADWAY",PR!$AG1083,IF(F1085="LHV",PR!$AH1083,IF(F1085="MANOLA",PR!$AI1083,IF(F1085="MARCSON",PR!$AJ1083,IF(F1085="M&amp;B",PR!$AK1083,IF(F1085="MTRUST",PR!$AL1083,IF(F1085="MWORLD",PR!$AM1083,IF(F1085="MEGA",PR!$AN1083,IF(F1085="MICRONOVA",PR!$AO1083,IF(F1085="MFLASH",PR!$AP1083,IF(F1085="MORISON",PR!$AQ1083,IF(F1085="NEMEL",PR!$AR1083,IF(F1085="NHP",PR!$AS1083,IF(F1085="NHC",PR!$AT1083,IF(F1085="OLEAF",PR!$AU1083,IF(F1085="OCULUS",PR!$AV1083,IF(F1085="PACIFIC",PR!$AW1083,IF(F1085="PHAMATEX",PR!$AX1083,IF(F1085="PETHICS",PR!$AY1083,IF(F1085="PHILIPS",PR!$AZ1083,IF(F1085="RANBAXY",PR!$BA1083,IF(F1085="REALS",PR!$BB1083,IF(F1085="ROYAL",PR!$BC1083,IF(F1085="SAM",PR!$BD1083,IF(F1085="SEAGREEN",PR!$BE1083,IF(F1085="SKG",PR!$BF1083,IF(F1085="TAH",PR!$BG1083,IF(F1085="TAYLEK",PR!$BH1083,IF(F1085="TEMITA",PR!$BI1083,IF(F1085="THL",PR!$BJ1083,IF(F1085="UBASTIC",PR!$BK1083,IF(F1085="UNION",PR!$BL1083,IF(F1085="UNIQUE",PR!$BM1083,IF(F1085="VIXA",PR!$BN1083,IF(F1085="WWCV",PR!$BO1083,IF(F1085="ZOLON",PR!$BP1083,"-"))))))))))))))))))))))))))))))))))))))))))))))))))))))))))))))))</f>
        <v>6000</v>
      </c>
      <c r="F1085" s="102" t="str">
        <f>EV!L1384</f>
        <v>SANCON</v>
      </c>
      <c r="G1085" s="108">
        <f>IF(H1085="ALPHA",PR!$E1083,IF(H1085="ASSENE",PR!$F1083,IF(H1085="BIOFEM",PR!$G1083,IF(H1085="BIOMED",PR!$H1083,IF(H1085="CHI",PR!$I1083,IF(H1085="CLARION",PR!$J1083,IF(H1085="CODIX",PR!$K1083,IF(H1085="COSMADE",PR!$L1083,IF(H1085="SANCON",PR!$M1083,IF(H1085="DEVON",PR!$N1083,IF(H1085="DORTEMAG",PR!$O1083,IF(H1085="DGF",PR!$P1083,IF(H1085="DYNAMIC",PR!$Q1083,IF(H1085="EMZOR",PR!$R1083,IF(H1085="EUMATT",PR!$S1083,IF(H1085="FIDSON",PR!$T1083,IF(H1085="FCGLOBAL",PR!$U1083,IF(H1085="GENEITH",PR!$V1083,IF(H1085="GINOS",PR!$W1083,IF(H1085="GSK",PR!$X1083,IF(H1085="GLOBORG",PR!$Y1083,IF(H1085="GOODNEWS",PR!$Z1083,IF(H1085="GREENLIFE",PR!$AA1083,IF(H1085="HLINE",PR!$AB1083,IF(H1085="ROTECH",PR!$AC1083,IF(H1085="ISN",PR!$AD1083,IF(H1085="JAWA",PR!$AE1083,IF(H1085="LAYO",PR!$AF1083,IF(H1085="LEADWAY",PR!$AG1083,IF(H1085="LHV",PR!$AH1083,IF(H1085="MANOLA",PR!$AI1083,IF(H1085="MARCSON",PR!$AJ1083,IF(H1085="M&amp;B",PR!$AK1083,IF(H1085="MTRUST",PR!$AL1083,IF(H1085="MWORLD",PR!$AM1083,IF(H1085="MEGA",PR!$AN1083,IF(H1085="MICRONOVA",PR!$AO1083,IF(H1085="MFLASH",PR!$AP1083,IF(H1085="MORISON",PR!$AQ1083,IF(H1085="NEMEL",PR!$AR1083,IF(H1085="NHP",PR!$AS1083,IF(H1085="NHC",PR!$AT1083,IF(H1085="OLEAF",PR!$AU1083,IF(H1085="OCULUS",PR!$AV1083,IF(H1085="PACIFIC",PR!$AW1083,IF(H1085="PHAMATEX",PR!$AX1083,IF(H1085="PETHICS",PR!$AY1083,IF(H1085="PHILIPS",PR!$AZ1083,IF(H1085="RANBAXY",PR!$BA1083,IF(H1085="REALS",PR!$BB1083,IF(H1085="ROYAL",PR!$BC1083,IF(H1085="SAM",PR!$BD1083,IF(H1085="SEAGREEN",PR!$BE1083,IF(H1085="SKG",PR!$BF1083,IF(H1085="TAH",PR!$BG1083,IF(H1085="TAYLEK",PR!$BH1083,IF(H1085="TEMITA",PR!$BI1083,IF(H1085="THL",PR!$BJ1083,IF(H1085="UBASTIC",PR!$BK1083,IF(H1085="UNION",PR!$BL1083,IF(H1085="UNIQUE",PR!$BM1083,IF(H1085="VIXA",PR!$BN1083,IF(H1085="WWCV",PR!$BO1083,IF(H1085="ZOLON",PR!$BP1083,"-"))))))))))))))))))))))))))))))))))))))))))))))))))))))))))))))))</f>
        <v>7000</v>
      </c>
      <c r="H1085" s="102" t="str">
        <f>EV!M1384</f>
        <v>TEMITA</v>
      </c>
      <c r="I1085" s="108">
        <f>IF(J1085="ALPHA",PR!$E1083,IF(J1085="ASSENE",PR!$F1083,IF(J1085="BIOFEM",PR!$G1083,IF(J1085="BIOMED",PR!$H1083,IF(J1085="CHI",PR!$I1083,IF(J1085="CLARION",PR!$J1083,IF(J1085="CODIX",PR!$K1083,IF(J1085="COSMADE",PR!$L1083,IF(J1085="SANCON",PR!$M1083,IF(J1085="DEVON",PR!$N1083,IF(J1085="DORTEMAG",PR!$O1083,IF(J1085="DGF",PR!$P1083,IF(J1085="DYNAMIC",PR!$Q1083,IF(J1085="EMZOR",PR!$R1083,IF(J1085="EUMATT",PR!$S1083,IF(J1085="FIDSON",PR!$T1083,IF(J1085="FCGLOBAL",PR!$U1083,IF(J1085="GENEITH",PR!$V1083,IF(J1085="GINOS",PR!$W1083,IF(J1085="GSK",PR!$X1083,IF(J1085="GLOBORG",PR!$Y1083,IF(J1085="GOODNEWS",PR!$Z1083,IF(J1085="GREENLIFE",PR!$AA1083,IF(J1085="HLINE",PR!$AB1083,IF(J1085="ROTECH",PR!$AC1083,IF(J1085="ISN",PR!$AD1083,IF(J1085="JAWA",PR!$AE1083,IF(J1085="LAYO",PR!$AF1083,IF(J1085="LEADWAY",PR!$AG1083,IF(J1085="LHV",PR!$AH1083,IF(J1085="MANOLA",PR!$AI1083,IF(J1085="MARCSON",PR!$AJ1083,IF(J1085="M&amp;B",PR!$AK1083,IF(J1085="MTRUST",PR!$AL1083,IF(J1085="MWORLD",PR!$AM1083,IF(J1085="MEGA",PR!$AN1083,IF(J1085="MICRONOVA",PR!$AO1083,IF(J1085="MFLASH",PR!$AP1083,IF(J1085="MORISON",PR!$AQ1083,IF(J1085="NEMEL",PR!$AR1083,IF(J1085="NHP",PR!$AS1083,IF(J1085="NHC",PR!$AT1083,IF(J1085="OLEAF",PR!$AU1083,IF(J1085="OCULUS",PR!$AV1083,IF(J1085="PACIFIC",PR!$AW1083,IF(J1085="PHAMATEX",PR!$AX1083,IF(J1085="PETHICS",PR!$AY1083,IF(J1085="PHILIPS",PR!$AZ1083,IF(J1085="RANBAXY",PR!$BA1083,IF(J1085="REALS",PR!$BB1083,IF(J1085="ROYAL",PR!$BC1083,IF(J1085="SAM",PR!$BD1083,IF(J1085="SEAGREEN",PR!$BE1083,IF(J1085="SKG",PR!$BF1083,IF(J1085="TAH",PR!$BG1083,IF(J1085="TAYLEK",PR!$BH1083,IF(J1085="TEMITA",PR!$BI1083,IF(J1085="THL",PR!$BJ1083,IF(J1085="UBASTIC",PR!$BK1083,IF(J1085="UNION",PR!$BL1083,IF(J1085="UNIQUE",PR!$BM1083,IF(J1085="VIXA",PR!$BN1083,IF(J1085="WWCV",PR!$BO1083,IF(J1085="ZOLON",PR!$BP1083,"-"))))))))))))))))))))))))))))))))))))))))))))))))))))))))))))))))</f>
        <v>7980</v>
      </c>
      <c r="J1085" s="102" t="str">
        <f>EV!N1384</f>
        <v>DYNAMIC</v>
      </c>
      <c r="K1085" s="433" t="s">
        <v>817</v>
      </c>
      <c r="L1085" s="183">
        <f>IF(K1085&gt;0,IF(K1085="ALPHA",PR!$E1083,IF(K1085="ASSENE",PR!$F1083,IF(K1085="BIOFEM",PR!$G1083,IF(K1085="BIOMED",PR!$H1083,IF(K1085="CHI",PR!$I1083,IF(K1085="CLARION",PR!$J1083,IF(K1085="CODIX",PR!$K1083,IF(K1085="COSMADE",PR!$L1083,IF(K1085="SANCON",PR!$M1083,IF(K1085="DEVON",PR!$N1083,IF(K1085="DORTEMAG",PR!$O1083,IF(K1085="DGF",PR!$P1083,IF(K1085="DYNAMIC",PR!$Q1083,IF(K1085="EMZOR",PR!$R1083,IF(K1085="EUMATT",PR!$S1083,IF(K1085="FIDSON",PR!$T1083,IF(K1085="FCGLOBAL",PR!$U1083,IF(K1085="GENEITH",PR!$V1083,IF(K1085="GINOS",PR!$W1083,IF(K1085="GSK",PR!$X1083,IF(K1085="GLOBORG",PR!$Y1083,IF(K1085="GOODNEWS",PR!$Z1083,IF(K1085="GREENLIFE",PR!$AA1083,IF(K1085="HLINE",PR!$AB1083,IF(K1085="ROTECH",PR!$AC1083,IF(K1085="ISN",PR!$AD1083,IF(K1085="JAWA",PR!$AE1083,IF(K1085="LAYO",PR!$AF1083,IF(K1085="LEADWAY",PR!$AG1083,IF(K1085="LHV",PR!$AH1083,IF(K1085="MANOLA",PR!$AI1083,IF(K1085="MARCSON",PR!$AJ1083,IF(K1085="M&amp;B",PR!$AK1083,IF(K1085="MTRUST",PR!$AL1083,IF(K1085="MWORLD",PR!$AM1083,IF(K1085="MEGA",PR!$AN1083,IF(K1085="MICRONOVA",PR!$AO1083,IF(K1085="MFLASH",PR!$AP1083,IF(K1085="MORISON",PR!$AQ1083,IF(K1085="NEMEL",PR!$AR1083,IF(K1085="NHP",PR!$AS1083,IF(K1085="NHC",PR!$AT1083,IF(K1085="OLEAF",PR!$AU1083,IF(K1085="OCULUS",PR!$AV1083,IF(K1085="PACIFIC",PR!$AW1083,IF(K1085="PHAMATEX",PR!$AX1083,IF(K1085="PETHICS",PR!$AY1083,IF(K1085="PHILIPS",PR!$AZ1083,IF(K1085="RANBAXY",PR!$BA1083,IF(K1085="REALS",PR!$BB1083,IF(K1085="ROYAL",PR!$BC1083,IF(K1085="SAM",PR!$BD1083,IF(K1085="SEAGREEN",PR!$BE1083,IF(K1085="SKG",PR!$BF1083,IF(K1085="TAH",PR!$BG1083,IF(K1085="TAYLEK",PR!$BH1083,IF(K1085="TEMITA",PR!$BI1083,IF(K1085="THL",PR!$BJ1083,IF(K1085="UBASTIC",PR!$BK1083,IF(K1085="UNION",PR!$BL1083,IF(K1085="UNIQUE",PR!$BM1083,IF(K1085="VIXA",PR!$BN1083,IF(K1085="WWCV",PR!$BO1083,IF(K1085="ZOLON",PR!$BP1083,"-")))))))))))))))))))))))))))))))))))))))))))))))))))))))))))))))))</f>
        <v>6000</v>
      </c>
    </row>
    <row r="1086" spans="1:12" ht="18.75" x14ac:dyDescent="0.3">
      <c r="A1086" s="430">
        <f>PR!A1084</f>
        <v>976</v>
      </c>
      <c r="B1086" s="15" t="str">
        <f>PR!B1084</f>
        <v>MEDICAL WASTE BIN LINERS-RED</v>
      </c>
      <c r="C1086" s="113" t="str">
        <f>PR!D1084</f>
        <v>100/PACK</v>
      </c>
      <c r="D1086" s="113">
        <f>PR!C1084</f>
        <v>250</v>
      </c>
      <c r="E1086" s="108">
        <f>IF(F1086="ALPHA",PR!$E1084,IF(F1086="ASSENE",PR!$F1084,IF(F1086="BIOFEM",PR!$G1084,IF(F1086="BIOMED",PR!$H1084,IF(F1086="CHI",PR!$I1084,IF(F1086="CLARION",PR!$J1084,IF(F1086="CODIX",PR!$K1084,IF(F1086="COSMADE",PR!$L1084,IF(F1086="SANCON",PR!$M1084,IF(F1086="DEVON",PR!$N1084,IF(F1086="DORTEMAG",PR!$O1084,IF(F1086="DGF",PR!$P1084,IF(F1086="DYNAMIC",PR!$Q1084,IF(F1086="EMZOR",PR!$R1084,IF(F1086="EUMATT",PR!$S1084,IF(F1086="FIDSON",PR!$T1084,IF(F1086="FCGLOBAL",PR!$U1084,IF(F1086="GENEITH",PR!$V1084,IF(F1086="GINOS",PR!$W1084,IF(F1086="GSK",PR!$X1084,IF(F1086="GLOBORG",PR!$Y1084,IF(F1086="GOODNEWS",PR!$Z1084,IF(F1086="GREENLIFE",PR!$AA1084,IF(F1086="HLINE",PR!$AB1084,IF(F1086="ROTECH",PR!$AC1084,IF(F1086="ISN",PR!$AD1084,IF(F1086="JAWA",PR!$AE1084,IF(F1086="LAYO",PR!$AF1084,IF(F1086="LEADWAY",PR!$AG1084,IF(F1086="LHV",PR!$AH1084,IF(F1086="MANOLA",PR!$AI1084,IF(F1086="MARCSON",PR!$AJ1084,IF(F1086="M&amp;B",PR!$AK1084,IF(F1086="MTRUST",PR!$AL1084,IF(F1086="MWORLD",PR!$AM1084,IF(F1086="MEGA",PR!$AN1084,IF(F1086="MICRONOVA",PR!$AO1084,IF(F1086="MFLASH",PR!$AP1084,IF(F1086="MORISON",PR!$AQ1084,IF(F1086="NEMEL",PR!$AR1084,IF(F1086="NHP",PR!$AS1084,IF(F1086="NHC",PR!$AT1084,IF(F1086="OLEAF",PR!$AU1084,IF(F1086="OCULUS",PR!$AV1084,IF(F1086="PACIFIC",PR!$AW1084,IF(F1086="PHAMATEX",PR!$AX1084,IF(F1086="PETHICS",PR!$AY1084,IF(F1086="PHILIPS",PR!$AZ1084,IF(F1086="RANBAXY",PR!$BA1084,IF(F1086="REALS",PR!$BB1084,IF(F1086="ROYAL",PR!$BC1084,IF(F1086="SAM",PR!$BD1084,IF(F1086="SEAGREEN",PR!$BE1084,IF(F1086="SKG",PR!$BF1084,IF(F1086="TAH",PR!$BG1084,IF(F1086="TAYLEK",PR!$BH1084,IF(F1086="TEMITA",PR!$BI1084,IF(F1086="THL",PR!$BJ1084,IF(F1086="UBASTIC",PR!$BK1084,IF(F1086="UNION",PR!$BL1084,IF(F1086="UNIQUE",PR!$BM1084,IF(F1086="VIXA",PR!$BN1084,IF(F1086="WWCV",PR!$BO1084,IF(F1086="ZOLON",PR!$BP1084,"-"))))))))))))))))))))))))))))))))))))))))))))))))))))))))))))))))</f>
        <v>3000</v>
      </c>
      <c r="F1086" s="102" t="str">
        <f>EV!L1385</f>
        <v>ROTECH</v>
      </c>
      <c r="G1086" s="108">
        <f>IF(H1086="ALPHA",PR!$E1084,IF(H1086="ASSENE",PR!$F1084,IF(H1086="BIOFEM",PR!$G1084,IF(H1086="BIOMED",PR!$H1084,IF(H1086="CHI",PR!$I1084,IF(H1086="CLARION",PR!$J1084,IF(H1086="CODIX",PR!$K1084,IF(H1086="COSMADE",PR!$L1084,IF(H1086="SANCON",PR!$M1084,IF(H1086="DEVON",PR!$N1084,IF(H1086="DORTEMAG",PR!$O1084,IF(H1086="DGF",PR!$P1084,IF(H1086="DYNAMIC",PR!$Q1084,IF(H1086="EMZOR",PR!$R1084,IF(H1086="EUMATT",PR!$S1084,IF(H1086="FIDSON",PR!$T1084,IF(H1086="FCGLOBAL",PR!$U1084,IF(H1086="GENEITH",PR!$V1084,IF(H1086="GINOS",PR!$W1084,IF(H1086="GSK",PR!$X1084,IF(H1086="GLOBORG",PR!$Y1084,IF(H1086="GOODNEWS",PR!$Z1084,IF(H1086="GREENLIFE",PR!$AA1084,IF(H1086="HLINE",PR!$AB1084,IF(H1086="ROTECH",PR!$AC1084,IF(H1086="ISN",PR!$AD1084,IF(H1086="JAWA",PR!$AE1084,IF(H1086="LAYO",PR!$AF1084,IF(H1086="LEADWAY",PR!$AG1084,IF(H1086="LHV",PR!$AH1084,IF(H1086="MANOLA",PR!$AI1084,IF(H1086="MARCSON",PR!$AJ1084,IF(H1086="M&amp;B",PR!$AK1084,IF(H1086="MTRUST",PR!$AL1084,IF(H1086="MWORLD",PR!$AM1084,IF(H1086="MEGA",PR!$AN1084,IF(H1086="MICRONOVA",PR!$AO1084,IF(H1086="MFLASH",PR!$AP1084,IF(H1086="MORISON",PR!$AQ1084,IF(H1086="NEMEL",PR!$AR1084,IF(H1086="NHP",PR!$AS1084,IF(H1086="NHC",PR!$AT1084,IF(H1086="OLEAF",PR!$AU1084,IF(H1086="OCULUS",PR!$AV1084,IF(H1086="PACIFIC",PR!$AW1084,IF(H1086="PHAMATEX",PR!$AX1084,IF(H1086="PETHICS",PR!$AY1084,IF(H1086="PHILIPS",PR!$AZ1084,IF(H1086="RANBAXY",PR!$BA1084,IF(H1086="REALS",PR!$BB1084,IF(H1086="ROYAL",PR!$BC1084,IF(H1086="SAM",PR!$BD1084,IF(H1086="SEAGREEN",PR!$BE1084,IF(H1086="SKG",PR!$BF1084,IF(H1086="TAH",PR!$BG1084,IF(H1086="TAYLEK",PR!$BH1084,IF(H1086="TEMITA",PR!$BI1084,IF(H1086="THL",PR!$BJ1084,IF(H1086="UBASTIC",PR!$BK1084,IF(H1086="UNION",PR!$BL1084,IF(H1086="UNIQUE",PR!$BM1084,IF(H1086="VIXA",PR!$BN1084,IF(H1086="WWCV",PR!$BO1084,IF(H1086="ZOLON",PR!$BP1084,"-"))))))))))))))))))))))))))))))))))))))))))))))))))))))))))))))))</f>
        <v>3600</v>
      </c>
      <c r="H1086" s="102" t="str">
        <f>EV!M1385</f>
        <v>TEMITA</v>
      </c>
      <c r="I1086" s="108">
        <f>IF(J1086="ALPHA",PR!$E1084,IF(J1086="ASSENE",PR!$F1084,IF(J1086="BIOFEM",PR!$G1084,IF(J1086="BIOMED",PR!$H1084,IF(J1086="CHI",PR!$I1084,IF(J1086="CLARION",PR!$J1084,IF(J1086="CODIX",PR!$K1084,IF(J1086="COSMADE",PR!$L1084,IF(J1086="SANCON",PR!$M1084,IF(J1086="DEVON",PR!$N1084,IF(J1086="DORTEMAG",PR!$O1084,IF(J1086="DGF",PR!$P1084,IF(J1086="DYNAMIC",PR!$Q1084,IF(J1086="EMZOR",PR!$R1084,IF(J1086="EUMATT",PR!$S1084,IF(J1086="FIDSON",PR!$T1084,IF(J1086="FCGLOBAL",PR!$U1084,IF(J1086="GENEITH",PR!$V1084,IF(J1086="GINOS",PR!$W1084,IF(J1086="GSK",PR!$X1084,IF(J1086="GLOBORG",PR!$Y1084,IF(J1086="GOODNEWS",PR!$Z1084,IF(J1086="GREENLIFE",PR!$AA1084,IF(J1086="HLINE",PR!$AB1084,IF(J1086="ROTECH",PR!$AC1084,IF(J1086="ISN",PR!$AD1084,IF(J1086="JAWA",PR!$AE1084,IF(J1086="LAYO",PR!$AF1084,IF(J1086="LEADWAY",PR!$AG1084,IF(J1086="LHV",PR!$AH1084,IF(J1086="MANOLA",PR!$AI1084,IF(J1086="MARCSON",PR!$AJ1084,IF(J1086="M&amp;B",PR!$AK1084,IF(J1086="MTRUST",PR!$AL1084,IF(J1086="MWORLD",PR!$AM1084,IF(J1086="MEGA",PR!$AN1084,IF(J1086="MICRONOVA",PR!$AO1084,IF(J1086="MFLASH",PR!$AP1084,IF(J1086="MORISON",PR!$AQ1084,IF(J1086="NEMEL",PR!$AR1084,IF(J1086="NHP",PR!$AS1084,IF(J1086="NHC",PR!$AT1084,IF(J1086="OLEAF",PR!$AU1084,IF(J1086="OCULUS",PR!$AV1084,IF(J1086="PACIFIC",PR!$AW1084,IF(J1086="PHAMATEX",PR!$AX1084,IF(J1086="PETHICS",PR!$AY1084,IF(J1086="PHILIPS",PR!$AZ1084,IF(J1086="RANBAXY",PR!$BA1084,IF(J1086="REALS",PR!$BB1084,IF(J1086="ROYAL",PR!$BC1084,IF(J1086="SAM",PR!$BD1084,IF(J1086="SEAGREEN",PR!$BE1084,IF(J1086="SKG",PR!$BF1084,IF(J1086="TAH",PR!$BG1084,IF(J1086="TAYLEK",PR!$BH1084,IF(J1086="TEMITA",PR!$BI1084,IF(J1086="THL",PR!$BJ1084,IF(J1086="UBASTIC",PR!$BK1084,IF(J1086="UNION",PR!$BL1084,IF(J1086="UNIQUE",PR!$BM1084,IF(J1086="VIXA",PR!$BN1084,IF(J1086="WWCV",PR!$BO1084,IF(J1086="ZOLON",PR!$BP1084,"-"))))))))))))))))))))))))))))))))))))))))))))))))))))))))))))))))</f>
        <v>6000</v>
      </c>
      <c r="J1086" s="102" t="str">
        <f>EV!N1385</f>
        <v>UBASTIC</v>
      </c>
      <c r="K1086" s="433" t="s">
        <v>825</v>
      </c>
      <c r="L1086" s="183">
        <f>IF(K1086&gt;0,IF(K1086="ALPHA",PR!$E1084,IF(K1086="ASSENE",PR!$F1084,IF(K1086="BIOFEM",PR!$G1084,IF(K1086="BIOMED",PR!$H1084,IF(K1086="CHI",PR!$I1084,IF(K1086="CLARION",PR!$J1084,IF(K1086="CODIX",PR!$K1084,IF(K1086="COSMADE",PR!$L1084,IF(K1086="SANCON",PR!$M1084,IF(K1086="DEVON",PR!$N1084,IF(K1086="DORTEMAG",PR!$O1084,IF(K1086="DGF",PR!$P1084,IF(K1086="DYNAMIC",PR!$Q1084,IF(K1086="EMZOR",PR!$R1084,IF(K1086="EUMATT",PR!$S1084,IF(K1086="FIDSON",PR!$T1084,IF(K1086="FCGLOBAL",PR!$U1084,IF(K1086="GENEITH",PR!$V1084,IF(K1086="GINOS",PR!$W1084,IF(K1086="GSK",PR!$X1084,IF(K1086="GLOBORG",PR!$Y1084,IF(K1086="GOODNEWS",PR!$Z1084,IF(K1086="GREENLIFE",PR!$AA1084,IF(K1086="HLINE",PR!$AB1084,IF(K1086="ROTECH",PR!$AC1084,IF(K1086="ISN",PR!$AD1084,IF(K1086="JAWA",PR!$AE1084,IF(K1086="LAYO",PR!$AF1084,IF(K1086="LEADWAY",PR!$AG1084,IF(K1086="LHV",PR!$AH1084,IF(K1086="MANOLA",PR!$AI1084,IF(K1086="MARCSON",PR!$AJ1084,IF(K1086="M&amp;B",PR!$AK1084,IF(K1086="MTRUST",PR!$AL1084,IF(K1086="MWORLD",PR!$AM1084,IF(K1086="MEGA",PR!$AN1084,IF(K1086="MICRONOVA",PR!$AO1084,IF(K1086="MFLASH",PR!$AP1084,IF(K1086="MORISON",PR!$AQ1084,IF(K1086="NEMEL",PR!$AR1084,IF(K1086="NHP",PR!$AS1084,IF(K1086="NHC",PR!$AT1084,IF(K1086="OLEAF",PR!$AU1084,IF(K1086="OCULUS",PR!$AV1084,IF(K1086="PACIFIC",PR!$AW1084,IF(K1086="PHAMATEX",PR!$AX1084,IF(K1086="PETHICS",PR!$AY1084,IF(K1086="PHILIPS",PR!$AZ1084,IF(K1086="RANBAXY",PR!$BA1084,IF(K1086="REALS",PR!$BB1084,IF(K1086="ROYAL",PR!$BC1084,IF(K1086="SAM",PR!$BD1084,IF(K1086="SEAGREEN",PR!$BE1084,IF(K1086="SKG",PR!$BF1084,IF(K1086="TAH",PR!$BG1084,IF(K1086="TAYLEK",PR!$BH1084,IF(K1086="TEMITA",PR!$BI1084,IF(K1086="THL",PR!$BJ1084,IF(K1086="UBASTIC",PR!$BK1084,IF(K1086="UNION",PR!$BL1084,IF(K1086="UNIQUE",PR!$BM1084,IF(K1086="VIXA",PR!$BN1084,IF(K1086="WWCV",PR!$BO1084,IF(K1086="ZOLON",PR!$BP1084,"-")))))))))))))))))))))))))))))))))))))))))))))))))))))))))))))))))</f>
        <v>3000</v>
      </c>
    </row>
    <row r="1087" spans="1:12" ht="18.75" x14ac:dyDescent="0.3">
      <c r="A1087" s="430">
        <f>PR!A1085</f>
        <v>977</v>
      </c>
      <c r="B1087" s="15" t="str">
        <f>PR!B1085</f>
        <v>MEDICAL WASTE BIN LINERS-YELLOW</v>
      </c>
      <c r="C1087" s="113" t="str">
        <f>PR!D1085</f>
        <v>100/PACK</v>
      </c>
      <c r="D1087" s="113">
        <f>PR!C1085</f>
        <v>250</v>
      </c>
      <c r="E1087" s="108">
        <f>IF(F1087="ALPHA",PR!$E1085,IF(F1087="ASSENE",PR!$F1085,IF(F1087="BIOFEM",PR!$G1085,IF(F1087="BIOMED",PR!$H1085,IF(F1087="CHI",PR!$I1085,IF(F1087="CLARION",PR!$J1085,IF(F1087="CODIX",PR!$K1085,IF(F1087="COSMADE",PR!$L1085,IF(F1087="SANCON",PR!$M1085,IF(F1087="DEVON",PR!$N1085,IF(F1087="DORTEMAG",PR!$O1085,IF(F1087="DGF",PR!$P1085,IF(F1087="DYNAMIC",PR!$Q1085,IF(F1087="EMZOR",PR!$R1085,IF(F1087="EUMATT",PR!$S1085,IF(F1087="FIDSON",PR!$T1085,IF(F1087="FCGLOBAL",PR!$U1085,IF(F1087="GENEITH",PR!$V1085,IF(F1087="GINOS",PR!$W1085,IF(F1087="GSK",PR!$X1085,IF(F1087="GLOBORG",PR!$Y1085,IF(F1087="GOODNEWS",PR!$Z1085,IF(F1087="GREENLIFE",PR!$AA1085,IF(F1087="HLINE",PR!$AB1085,IF(F1087="ROTECH",PR!$AC1085,IF(F1087="ISN",PR!$AD1085,IF(F1087="JAWA",PR!$AE1085,IF(F1087="LAYO",PR!$AF1085,IF(F1087="LEADWAY",PR!$AG1085,IF(F1087="LHV",PR!$AH1085,IF(F1087="MANOLA",PR!$AI1085,IF(F1087="MARCSON",PR!$AJ1085,IF(F1087="M&amp;B",PR!$AK1085,IF(F1087="MTRUST",PR!$AL1085,IF(F1087="MWORLD",PR!$AM1085,IF(F1087="MEGA",PR!$AN1085,IF(F1087="MICRONOVA",PR!$AO1085,IF(F1087="MFLASH",PR!$AP1085,IF(F1087="MORISON",PR!$AQ1085,IF(F1087="NEMEL",PR!$AR1085,IF(F1087="NHP",PR!$AS1085,IF(F1087="NHC",PR!$AT1085,IF(F1087="OLEAF",PR!$AU1085,IF(F1087="OCULUS",PR!$AV1085,IF(F1087="PACIFIC",PR!$AW1085,IF(F1087="PHAMATEX",PR!$AX1085,IF(F1087="PETHICS",PR!$AY1085,IF(F1087="PHILIPS",PR!$AZ1085,IF(F1087="RANBAXY",PR!$BA1085,IF(F1087="REALS",PR!$BB1085,IF(F1087="ROYAL",PR!$BC1085,IF(F1087="SAM",PR!$BD1085,IF(F1087="SEAGREEN",PR!$BE1085,IF(F1087="SKG",PR!$BF1085,IF(F1087="TAH",PR!$BG1085,IF(F1087="TAYLEK",PR!$BH1085,IF(F1087="TEMITA",PR!$BI1085,IF(F1087="THL",PR!$BJ1085,IF(F1087="UBASTIC",PR!$BK1085,IF(F1087="UNION",PR!$BL1085,IF(F1087="UNIQUE",PR!$BM1085,IF(F1087="VIXA",PR!$BN1085,IF(F1087="WWCV",PR!$BO1085,IF(F1087="ZOLON",PR!$BP1085,"-"))))))))))))))))))))))))))))))))))))))))))))))))))))))))))))))))</f>
        <v>3000</v>
      </c>
      <c r="F1087" s="102" t="str">
        <f>EV!L1386</f>
        <v>ROTECH</v>
      </c>
      <c r="G1087" s="108">
        <f>IF(H1087="ALPHA",PR!$E1085,IF(H1087="ASSENE",PR!$F1085,IF(H1087="BIOFEM",PR!$G1085,IF(H1087="BIOMED",PR!$H1085,IF(H1087="CHI",PR!$I1085,IF(H1087="CLARION",PR!$J1085,IF(H1087="CODIX",PR!$K1085,IF(H1087="COSMADE",PR!$L1085,IF(H1087="SANCON",PR!$M1085,IF(H1087="DEVON",PR!$N1085,IF(H1087="DORTEMAG",PR!$O1085,IF(H1087="DGF",PR!$P1085,IF(H1087="DYNAMIC",PR!$Q1085,IF(H1087="EMZOR",PR!$R1085,IF(H1087="EUMATT",PR!$S1085,IF(H1087="FIDSON",PR!$T1085,IF(H1087="FCGLOBAL",PR!$U1085,IF(H1087="GENEITH",PR!$V1085,IF(H1087="GINOS",PR!$W1085,IF(H1087="GSK",PR!$X1085,IF(H1087="GLOBORG",PR!$Y1085,IF(H1087="GOODNEWS",PR!$Z1085,IF(H1087="GREENLIFE",PR!$AA1085,IF(H1087="HLINE",PR!$AB1085,IF(H1087="ROTECH",PR!$AC1085,IF(H1087="ISN",PR!$AD1085,IF(H1087="JAWA",PR!$AE1085,IF(H1087="LAYO",PR!$AF1085,IF(H1087="LEADWAY",PR!$AG1085,IF(H1087="LHV",PR!$AH1085,IF(H1087="MANOLA",PR!$AI1085,IF(H1087="MARCSON",PR!$AJ1085,IF(H1087="M&amp;B",PR!$AK1085,IF(H1087="MTRUST",PR!$AL1085,IF(H1087="MWORLD",PR!$AM1085,IF(H1087="MEGA",PR!$AN1085,IF(H1087="MICRONOVA",PR!$AO1085,IF(H1087="MFLASH",PR!$AP1085,IF(H1087="MORISON",PR!$AQ1085,IF(H1087="NEMEL",PR!$AR1085,IF(H1087="NHP",PR!$AS1085,IF(H1087="NHC",PR!$AT1085,IF(H1087="OLEAF",PR!$AU1085,IF(H1087="OCULUS",PR!$AV1085,IF(H1087="PACIFIC",PR!$AW1085,IF(H1087="PHAMATEX",PR!$AX1085,IF(H1087="PETHICS",PR!$AY1085,IF(H1087="PHILIPS",PR!$AZ1085,IF(H1087="RANBAXY",PR!$BA1085,IF(H1087="REALS",PR!$BB1085,IF(H1087="ROYAL",PR!$BC1085,IF(H1087="SAM",PR!$BD1085,IF(H1087="SEAGREEN",PR!$BE1085,IF(H1087="SKG",PR!$BF1085,IF(H1087="TAH",PR!$BG1085,IF(H1087="TAYLEK",PR!$BH1085,IF(H1087="TEMITA",PR!$BI1085,IF(H1087="THL",PR!$BJ1085,IF(H1087="UBASTIC",PR!$BK1085,IF(H1087="UNION",PR!$BL1085,IF(H1087="UNIQUE",PR!$BM1085,IF(H1087="VIXA",PR!$BN1085,IF(H1087="WWCV",PR!$BO1085,IF(H1087="ZOLON",PR!$BP1085,"-"))))))))))))))))))))))))))))))))))))))))))))))))))))))))))))))))</f>
        <v>3650</v>
      </c>
      <c r="H1087" s="102" t="str">
        <f>EV!M1386</f>
        <v>TEMITA</v>
      </c>
      <c r="I1087" s="108">
        <f>IF(J1087="ALPHA",PR!$E1085,IF(J1087="ASSENE",PR!$F1085,IF(J1087="BIOFEM",PR!$G1085,IF(J1087="BIOMED",PR!$H1085,IF(J1087="CHI",PR!$I1085,IF(J1087="CLARION",PR!$J1085,IF(J1087="CODIX",PR!$K1085,IF(J1087="COSMADE",PR!$L1085,IF(J1087="SANCON",PR!$M1085,IF(J1087="DEVON",PR!$N1085,IF(J1087="DORTEMAG",PR!$O1085,IF(J1087="DGF",PR!$P1085,IF(J1087="DYNAMIC",PR!$Q1085,IF(J1087="EMZOR",PR!$R1085,IF(J1087="EUMATT",PR!$S1085,IF(J1087="FIDSON",PR!$T1085,IF(J1087="FCGLOBAL",PR!$U1085,IF(J1087="GENEITH",PR!$V1085,IF(J1087="GINOS",PR!$W1085,IF(J1087="GSK",PR!$X1085,IF(J1087="GLOBORG",PR!$Y1085,IF(J1087="GOODNEWS",PR!$Z1085,IF(J1087="GREENLIFE",PR!$AA1085,IF(J1087="HLINE",PR!$AB1085,IF(J1087="ROTECH",PR!$AC1085,IF(J1087="ISN",PR!$AD1085,IF(J1087="JAWA",PR!$AE1085,IF(J1087="LAYO",PR!$AF1085,IF(J1087="LEADWAY",PR!$AG1085,IF(J1087="LHV",PR!$AH1085,IF(J1087="MANOLA",PR!$AI1085,IF(J1087="MARCSON",PR!$AJ1085,IF(J1087="M&amp;B",PR!$AK1085,IF(J1087="MTRUST",PR!$AL1085,IF(J1087="MWORLD",PR!$AM1085,IF(J1087="MEGA",PR!$AN1085,IF(J1087="MICRONOVA",PR!$AO1085,IF(J1087="MFLASH",PR!$AP1085,IF(J1087="MORISON",PR!$AQ1085,IF(J1087="NEMEL",PR!$AR1085,IF(J1087="NHP",PR!$AS1085,IF(J1087="NHC",PR!$AT1085,IF(J1087="OLEAF",PR!$AU1085,IF(J1087="OCULUS",PR!$AV1085,IF(J1087="PACIFIC",PR!$AW1085,IF(J1087="PHAMATEX",PR!$AX1085,IF(J1087="PETHICS",PR!$AY1085,IF(J1087="PHILIPS",PR!$AZ1085,IF(J1087="RANBAXY",PR!$BA1085,IF(J1087="REALS",PR!$BB1085,IF(J1087="ROYAL",PR!$BC1085,IF(J1087="SAM",PR!$BD1085,IF(J1087="SEAGREEN",PR!$BE1085,IF(J1087="SKG",PR!$BF1085,IF(J1087="TAH",PR!$BG1085,IF(J1087="TAYLEK",PR!$BH1085,IF(J1087="TEMITA",PR!$BI1085,IF(J1087="THL",PR!$BJ1085,IF(J1087="UBASTIC",PR!$BK1085,IF(J1087="UNION",PR!$BL1085,IF(J1087="UNIQUE",PR!$BM1085,IF(J1087="VIXA",PR!$BN1085,IF(J1087="WWCV",PR!$BO1085,IF(J1087="ZOLON",PR!$BP1085,"-"))))))))))))))))))))))))))))))))))))))))))))))))))))))))))))))))</f>
        <v>6000</v>
      </c>
      <c r="J1087" s="102" t="str">
        <f>EV!N1386</f>
        <v>UBASTIC</v>
      </c>
      <c r="K1087" s="433" t="s">
        <v>825</v>
      </c>
      <c r="L1087" s="183">
        <f>IF(K1087&gt;0,IF(K1087="ALPHA",PR!$E1085,IF(K1087="ASSENE",PR!$F1085,IF(K1087="BIOFEM",PR!$G1085,IF(K1087="BIOMED",PR!$H1085,IF(K1087="CHI",PR!$I1085,IF(K1087="CLARION",PR!$J1085,IF(K1087="CODIX",PR!$K1085,IF(K1087="COSMADE",PR!$L1085,IF(K1087="SANCON",PR!$M1085,IF(K1087="DEVON",PR!$N1085,IF(K1087="DORTEMAG",PR!$O1085,IF(K1087="DGF",PR!$P1085,IF(K1087="DYNAMIC",PR!$Q1085,IF(K1087="EMZOR",PR!$R1085,IF(K1087="EUMATT",PR!$S1085,IF(K1087="FIDSON",PR!$T1085,IF(K1087="FCGLOBAL",PR!$U1085,IF(K1087="GENEITH",PR!$V1085,IF(K1087="GINOS",PR!$W1085,IF(K1087="GSK",PR!$X1085,IF(K1087="GLOBORG",PR!$Y1085,IF(K1087="GOODNEWS",PR!$Z1085,IF(K1087="GREENLIFE",PR!$AA1085,IF(K1087="HLINE",PR!$AB1085,IF(K1087="ROTECH",PR!$AC1085,IF(K1087="ISN",PR!$AD1085,IF(K1087="JAWA",PR!$AE1085,IF(K1087="LAYO",PR!$AF1085,IF(K1087="LEADWAY",PR!$AG1085,IF(K1087="LHV",PR!$AH1085,IF(K1087="MANOLA",PR!$AI1085,IF(K1087="MARCSON",PR!$AJ1085,IF(K1087="M&amp;B",PR!$AK1085,IF(K1087="MTRUST",PR!$AL1085,IF(K1087="MWORLD",PR!$AM1085,IF(K1087="MEGA",PR!$AN1085,IF(K1087="MICRONOVA",PR!$AO1085,IF(K1087="MFLASH",PR!$AP1085,IF(K1087="MORISON",PR!$AQ1085,IF(K1087="NEMEL",PR!$AR1085,IF(K1087="NHP",PR!$AS1085,IF(K1087="NHC",PR!$AT1085,IF(K1087="OLEAF",PR!$AU1085,IF(K1087="OCULUS",PR!$AV1085,IF(K1087="PACIFIC",PR!$AW1085,IF(K1087="PHAMATEX",PR!$AX1085,IF(K1087="PETHICS",PR!$AY1085,IF(K1087="PHILIPS",PR!$AZ1085,IF(K1087="RANBAXY",PR!$BA1085,IF(K1087="REALS",PR!$BB1085,IF(K1087="ROYAL",PR!$BC1085,IF(K1087="SAM",PR!$BD1085,IF(K1087="SEAGREEN",PR!$BE1085,IF(K1087="SKG",PR!$BF1085,IF(K1087="TAH",PR!$BG1085,IF(K1087="TAYLEK",PR!$BH1085,IF(K1087="TEMITA",PR!$BI1085,IF(K1087="THL",PR!$BJ1085,IF(K1087="UBASTIC",PR!$BK1085,IF(K1087="UNION",PR!$BL1085,IF(K1087="UNIQUE",PR!$BM1085,IF(K1087="VIXA",PR!$BN1085,IF(K1087="WWCV",PR!$BO1085,IF(K1087="ZOLON",PR!$BP1085,"-")))))))))))))))))))))))))))))))))))))))))))))))))))))))))))))))))</f>
        <v>3000</v>
      </c>
    </row>
    <row r="1088" spans="1:12" ht="18.75" x14ac:dyDescent="0.3">
      <c r="A1088" s="430">
        <f>PR!A1086</f>
        <v>978</v>
      </c>
      <c r="B1088" s="15" t="str">
        <f>PR!B1086</f>
        <v>MEDICAL WASTE BIN LINERS-BLACK</v>
      </c>
      <c r="C1088" s="113" t="str">
        <f>PR!D1086</f>
        <v>100/PACK</v>
      </c>
      <c r="D1088" s="113">
        <f>PR!C1086</f>
        <v>450</v>
      </c>
      <c r="E1088" s="108">
        <f>IF(F1088="ALPHA",PR!$E1086,IF(F1088="ASSENE",PR!$F1086,IF(F1088="BIOFEM",PR!$G1086,IF(F1088="BIOMED",PR!$H1086,IF(F1088="CHI",PR!$I1086,IF(F1088="CLARION",PR!$J1086,IF(F1088="CODIX",PR!$K1086,IF(F1088="COSMADE",PR!$L1086,IF(F1088="SANCON",PR!$M1086,IF(F1088="DEVON",PR!$N1086,IF(F1088="DORTEMAG",PR!$O1086,IF(F1088="DGF",PR!$P1086,IF(F1088="DYNAMIC",PR!$Q1086,IF(F1088="EMZOR",PR!$R1086,IF(F1088="EUMATT",PR!$S1086,IF(F1088="FIDSON",PR!$T1086,IF(F1088="FCGLOBAL",PR!$U1086,IF(F1088="GENEITH",PR!$V1086,IF(F1088="GINOS",PR!$W1086,IF(F1088="GSK",PR!$X1086,IF(F1088="GLOBORG",PR!$Y1086,IF(F1088="GOODNEWS",PR!$Z1086,IF(F1088="GREENLIFE",PR!$AA1086,IF(F1088="HLINE",PR!$AB1086,IF(F1088="ROTECH",PR!$AC1086,IF(F1088="ISN",PR!$AD1086,IF(F1088="JAWA",PR!$AE1086,IF(F1088="LAYO",PR!$AF1086,IF(F1088="LEADWAY",PR!$AG1086,IF(F1088="LHV",PR!$AH1086,IF(F1088="MANOLA",PR!$AI1086,IF(F1088="MARCSON",PR!$AJ1086,IF(F1088="M&amp;B",PR!$AK1086,IF(F1088="MTRUST",PR!$AL1086,IF(F1088="MWORLD",PR!$AM1086,IF(F1088="MEGA",PR!$AN1086,IF(F1088="MICRONOVA",PR!$AO1086,IF(F1088="MFLASH",PR!$AP1086,IF(F1088="MORISON",PR!$AQ1086,IF(F1088="NEMEL",PR!$AR1086,IF(F1088="NHP",PR!$AS1086,IF(F1088="NHC",PR!$AT1086,IF(F1088="OLEAF",PR!$AU1086,IF(F1088="OCULUS",PR!$AV1086,IF(F1088="PACIFIC",PR!$AW1086,IF(F1088="PHAMATEX",PR!$AX1086,IF(F1088="PETHICS",PR!$AY1086,IF(F1088="PHILIPS",PR!$AZ1086,IF(F1088="RANBAXY",PR!$BA1086,IF(F1088="REALS",PR!$BB1086,IF(F1088="ROYAL",PR!$BC1086,IF(F1088="SAM",PR!$BD1086,IF(F1088="SEAGREEN",PR!$BE1086,IF(F1088="SKG",PR!$BF1086,IF(F1088="TAH",PR!$BG1086,IF(F1088="TAYLEK",PR!$BH1086,IF(F1088="TEMITA",PR!$BI1086,IF(F1088="THL",PR!$BJ1086,IF(F1088="UBASTIC",PR!$BK1086,IF(F1088="UNION",PR!$BL1086,IF(F1088="UNIQUE",PR!$BM1086,IF(F1088="VIXA",PR!$BN1086,IF(F1088="WWCV",PR!$BO1086,IF(F1088="ZOLON",PR!$BP1086,"-"))))))))))))))))))))))))))))))))))))))))))))))))))))))))))))))))</f>
        <v>3400</v>
      </c>
      <c r="F1088" s="102" t="str">
        <f>EV!L1387</f>
        <v>TEMITA</v>
      </c>
      <c r="G1088" s="108">
        <f>IF(H1088="ALPHA",PR!$E1086,IF(H1088="ASSENE",PR!$F1086,IF(H1088="BIOFEM",PR!$G1086,IF(H1088="BIOMED",PR!$H1086,IF(H1088="CHI",PR!$I1086,IF(H1088="CLARION",PR!$J1086,IF(H1088="CODIX",PR!$K1086,IF(H1088="COSMADE",PR!$L1086,IF(H1088="SANCON",PR!$M1086,IF(H1088="DEVON",PR!$N1086,IF(H1088="DORTEMAG",PR!$O1086,IF(H1088="DGF",PR!$P1086,IF(H1088="DYNAMIC",PR!$Q1086,IF(H1088="EMZOR",PR!$R1086,IF(H1088="EUMATT",PR!$S1086,IF(H1088="FIDSON",PR!$T1086,IF(H1088="FCGLOBAL",PR!$U1086,IF(H1088="GENEITH",PR!$V1086,IF(H1088="GINOS",PR!$W1086,IF(H1088="GSK",PR!$X1086,IF(H1088="GLOBORG",PR!$Y1086,IF(H1088="GOODNEWS",PR!$Z1086,IF(H1088="GREENLIFE",PR!$AA1086,IF(H1088="HLINE",PR!$AB1086,IF(H1088="ROTECH",PR!$AC1086,IF(H1088="ISN",PR!$AD1086,IF(H1088="JAWA",PR!$AE1086,IF(H1088="LAYO",PR!$AF1086,IF(H1088="LEADWAY",PR!$AG1086,IF(H1088="LHV",PR!$AH1086,IF(H1088="MANOLA",PR!$AI1086,IF(H1088="MARCSON",PR!$AJ1086,IF(H1088="M&amp;B",PR!$AK1086,IF(H1088="MTRUST",PR!$AL1086,IF(H1088="MWORLD",PR!$AM1086,IF(H1088="MEGA",PR!$AN1086,IF(H1088="MICRONOVA",PR!$AO1086,IF(H1088="MFLASH",PR!$AP1086,IF(H1088="MORISON",PR!$AQ1086,IF(H1088="NEMEL",PR!$AR1086,IF(H1088="NHP",PR!$AS1086,IF(H1088="NHC",PR!$AT1086,IF(H1088="OLEAF",PR!$AU1086,IF(H1088="OCULUS",PR!$AV1086,IF(H1088="PACIFIC",PR!$AW1086,IF(H1088="PHAMATEX",PR!$AX1086,IF(H1088="PETHICS",PR!$AY1086,IF(H1088="PHILIPS",PR!$AZ1086,IF(H1088="RANBAXY",PR!$BA1086,IF(H1088="REALS",PR!$BB1086,IF(H1088="ROYAL",PR!$BC1086,IF(H1088="SAM",PR!$BD1086,IF(H1088="SEAGREEN",PR!$BE1086,IF(H1088="SKG",PR!$BF1086,IF(H1088="TAH",PR!$BG1086,IF(H1088="TAYLEK",PR!$BH1086,IF(H1088="TEMITA",PR!$BI1086,IF(H1088="THL",PR!$BJ1086,IF(H1088="UBASTIC",PR!$BK1086,IF(H1088="UNION",PR!$BL1086,IF(H1088="UNIQUE",PR!$BM1086,IF(H1088="VIXA",PR!$BN1086,IF(H1088="WWCV",PR!$BO1086,IF(H1088="ZOLON",PR!$BP1086,"-"))))))))))))))))))))))))))))))))))))))))))))))))))))))))))))))))</f>
        <v>5000</v>
      </c>
      <c r="H1088" s="102" t="str">
        <f>EV!M1387</f>
        <v>UBASTIC</v>
      </c>
      <c r="I1088" s="108">
        <f>IF(J1088="ALPHA",PR!$E1086,IF(J1088="ASSENE",PR!$F1086,IF(J1088="BIOFEM",PR!$G1086,IF(J1088="BIOMED",PR!$H1086,IF(J1088="CHI",PR!$I1086,IF(J1088="CLARION",PR!$J1086,IF(J1088="CODIX",PR!$K1086,IF(J1088="COSMADE",PR!$L1086,IF(J1088="SANCON",PR!$M1086,IF(J1088="DEVON",PR!$N1086,IF(J1088="DORTEMAG",PR!$O1086,IF(J1088="DGF",PR!$P1086,IF(J1088="DYNAMIC",PR!$Q1086,IF(J1088="EMZOR",PR!$R1086,IF(J1088="EUMATT",PR!$S1086,IF(J1088="FIDSON",PR!$T1086,IF(J1088="FCGLOBAL",PR!$U1086,IF(J1088="GENEITH",PR!$V1086,IF(J1088="GINOS",PR!$W1086,IF(J1088="GSK",PR!$X1086,IF(J1088="GLOBORG",PR!$Y1086,IF(J1088="GOODNEWS",PR!$Z1086,IF(J1088="GREENLIFE",PR!$AA1086,IF(J1088="HLINE",PR!$AB1086,IF(J1088="ROTECH",PR!$AC1086,IF(J1088="ISN",PR!$AD1086,IF(J1088="JAWA",PR!$AE1086,IF(J1088="LAYO",PR!$AF1086,IF(J1088="LEADWAY",PR!$AG1086,IF(J1088="LHV",PR!$AH1086,IF(J1088="MANOLA",PR!$AI1086,IF(J1088="MARCSON",PR!$AJ1086,IF(J1088="M&amp;B",PR!$AK1086,IF(J1088="MTRUST",PR!$AL1086,IF(J1088="MWORLD",PR!$AM1086,IF(J1088="MEGA",PR!$AN1086,IF(J1088="MICRONOVA",PR!$AO1086,IF(J1088="MFLASH",PR!$AP1086,IF(J1088="MORISON",PR!$AQ1086,IF(J1088="NEMEL",PR!$AR1086,IF(J1088="NHP",PR!$AS1086,IF(J1088="NHC",PR!$AT1086,IF(J1088="OLEAF",PR!$AU1086,IF(J1088="OCULUS",PR!$AV1086,IF(J1088="PACIFIC",PR!$AW1086,IF(J1088="PHAMATEX",PR!$AX1086,IF(J1088="PETHICS",PR!$AY1086,IF(J1088="PHILIPS",PR!$AZ1086,IF(J1088="RANBAXY",PR!$BA1086,IF(J1088="REALS",PR!$BB1086,IF(J1088="ROYAL",PR!$BC1086,IF(J1088="SAM",PR!$BD1086,IF(J1088="SEAGREEN",PR!$BE1086,IF(J1088="SKG",PR!$BF1086,IF(J1088="TAH",PR!$BG1086,IF(J1088="TAYLEK",PR!$BH1086,IF(J1088="TEMITA",PR!$BI1086,IF(J1088="THL",PR!$BJ1086,IF(J1088="UBASTIC",PR!$BK1086,IF(J1088="UNION",PR!$BL1086,IF(J1088="UNIQUE",PR!$BM1086,IF(J1088="VIXA",PR!$BN1086,IF(J1088="WWCV",PR!$BO1086,IF(J1088="ZOLON",PR!$BP1086,"-"))))))))))))))))))))))))))))))))))))))))))))))))))))))))))))))))</f>
        <v>5500</v>
      </c>
      <c r="J1088" s="102" t="str">
        <f>EV!N1387</f>
        <v>ROTECH</v>
      </c>
      <c r="K1088" s="433" t="s">
        <v>1463</v>
      </c>
      <c r="L1088" s="183">
        <f>IF(K1088&gt;0,IF(K1088="ALPHA",PR!$E1086,IF(K1088="ASSENE",PR!$F1086,IF(K1088="BIOFEM",PR!$G1086,IF(K1088="BIOMED",PR!$H1086,IF(K1088="CHI",PR!$I1086,IF(K1088="CLARION",PR!$J1086,IF(K1088="CODIX",PR!$K1086,IF(K1088="COSMADE",PR!$L1086,IF(K1088="SANCON",PR!$M1086,IF(K1088="DEVON",PR!$N1086,IF(K1088="DORTEMAG",PR!$O1086,IF(K1088="DGF",PR!$P1086,IF(K1088="DYNAMIC",PR!$Q1086,IF(K1088="EMZOR",PR!$R1086,IF(K1088="EUMATT",PR!$S1086,IF(K1088="FIDSON",PR!$T1086,IF(K1088="FCGLOBAL",PR!$U1086,IF(K1088="GENEITH",PR!$V1086,IF(K1088="GINOS",PR!$W1086,IF(K1088="GSK",PR!$X1086,IF(K1088="GLOBORG",PR!$Y1086,IF(K1088="GOODNEWS",PR!$Z1086,IF(K1088="GREENLIFE",PR!$AA1086,IF(K1088="HLINE",PR!$AB1086,IF(K1088="ROTECH",PR!$AC1086,IF(K1088="ISN",PR!$AD1086,IF(K1088="JAWA",PR!$AE1086,IF(K1088="LAYO",PR!$AF1086,IF(K1088="LEADWAY",PR!$AG1086,IF(K1088="LHV",PR!$AH1086,IF(K1088="MANOLA",PR!$AI1086,IF(K1088="MARCSON",PR!$AJ1086,IF(K1088="M&amp;B",PR!$AK1086,IF(K1088="MTRUST",PR!$AL1086,IF(K1088="MWORLD",PR!$AM1086,IF(K1088="MEGA",PR!$AN1086,IF(K1088="MICRONOVA",PR!$AO1086,IF(K1088="MFLASH",PR!$AP1086,IF(K1088="MORISON",PR!$AQ1086,IF(K1088="NEMEL",PR!$AR1086,IF(K1088="NHP",PR!$AS1086,IF(K1088="NHC",PR!$AT1086,IF(K1088="OLEAF",PR!$AU1086,IF(K1088="OCULUS",PR!$AV1086,IF(K1088="PACIFIC",PR!$AW1086,IF(K1088="PHAMATEX",PR!$AX1086,IF(K1088="PETHICS",PR!$AY1086,IF(K1088="PHILIPS",PR!$AZ1086,IF(K1088="RANBAXY",PR!$BA1086,IF(K1088="REALS",PR!$BB1086,IF(K1088="ROYAL",PR!$BC1086,IF(K1088="SAM",PR!$BD1086,IF(K1088="SEAGREEN",PR!$BE1086,IF(K1088="SKG",PR!$BF1086,IF(K1088="TAH",PR!$BG1086,IF(K1088="TAYLEK",PR!$BH1086,IF(K1088="TEMITA",PR!$BI1086,IF(K1088="THL",PR!$BJ1086,IF(K1088="UBASTIC",PR!$BK1086,IF(K1088="UNION",PR!$BL1086,IF(K1088="UNIQUE",PR!$BM1086,IF(K1088="VIXA",PR!$BN1086,IF(K1088="WWCV",PR!$BO1086,IF(K1088="ZOLON",PR!$BP1086,"-")))))))))))))))))))))))))))))))))))))))))))))))))))))))))))))))))</f>
        <v>3400</v>
      </c>
    </row>
    <row r="1089" spans="1:12" ht="18.75" x14ac:dyDescent="0.3">
      <c r="A1089" s="430">
        <f>PR!A1087</f>
        <v>979</v>
      </c>
      <c r="B1089" s="15" t="str">
        <f>PR!B1087</f>
        <v>UTILITY GLOVES</v>
      </c>
      <c r="C1089" s="113" t="str">
        <f>PR!D1087</f>
        <v>PAIRS</v>
      </c>
      <c r="D1089" s="113">
        <f>PR!C1087</f>
        <v>288</v>
      </c>
      <c r="E1089" s="108">
        <f>IF(F1089="ALPHA",PR!$E1087,IF(F1089="ASSENE",PR!$F1087,IF(F1089="BIOFEM",PR!$G1087,IF(F1089="BIOMED",PR!$H1087,IF(F1089="CHI",PR!$I1087,IF(F1089="CLARION",PR!$J1087,IF(F1089="CODIX",PR!$K1087,IF(F1089="COSMADE",PR!$L1087,IF(F1089="SANCON",PR!$M1087,IF(F1089="DEVON",PR!$N1087,IF(F1089="DORTEMAG",PR!$O1087,IF(F1089="DGF",PR!$P1087,IF(F1089="DYNAMIC",PR!$Q1087,IF(F1089="EMZOR",PR!$R1087,IF(F1089="EUMATT",PR!$S1087,IF(F1089="FIDSON",PR!$T1087,IF(F1089="FCGLOBAL",PR!$U1087,IF(F1089="GENEITH",PR!$V1087,IF(F1089="GINOS",PR!$W1087,IF(F1089="GSK",PR!$X1087,IF(F1089="GLOBORG",PR!$Y1087,IF(F1089="GOODNEWS",PR!$Z1087,IF(F1089="GREENLIFE",PR!$AA1087,IF(F1089="HLINE",PR!$AB1087,IF(F1089="ROTECH",PR!$AC1087,IF(F1089="ISN",PR!$AD1087,IF(F1089="JAWA",PR!$AE1087,IF(F1089="LAYO",PR!$AF1087,IF(F1089="LEADWAY",PR!$AG1087,IF(F1089="LHV",PR!$AH1087,IF(F1089="MANOLA",PR!$AI1087,IF(F1089="MARCSON",PR!$AJ1087,IF(F1089="M&amp;B",PR!$AK1087,IF(F1089="MTRUST",PR!$AL1087,IF(F1089="MWORLD",PR!$AM1087,IF(F1089="MEGA",PR!$AN1087,IF(F1089="MICRONOVA",PR!$AO1087,IF(F1089="MFLASH",PR!$AP1087,IF(F1089="MORISON",PR!$AQ1087,IF(F1089="NEMEL",PR!$AR1087,IF(F1089="NHP",PR!$AS1087,IF(F1089="NHC",PR!$AT1087,IF(F1089="OLEAF",PR!$AU1087,IF(F1089="OCULUS",PR!$AV1087,IF(F1089="PACIFIC",PR!$AW1087,IF(F1089="PHAMATEX",PR!$AX1087,IF(F1089="PETHICS",PR!$AY1087,IF(F1089="PHILIPS",PR!$AZ1087,IF(F1089="RANBAXY",PR!$BA1087,IF(F1089="REALS",PR!$BB1087,IF(F1089="ROYAL",PR!$BC1087,IF(F1089="SAM",PR!$BD1087,IF(F1089="SEAGREEN",PR!$BE1087,IF(F1089="SKG",PR!$BF1087,IF(F1089="TAH",PR!$BG1087,IF(F1089="TAYLEK",PR!$BH1087,IF(F1089="TEMITA",PR!$BI1087,IF(F1089="THL",PR!$BJ1087,IF(F1089="UBASTIC",PR!$BK1087,IF(F1089="UNION",PR!$BL1087,IF(F1089="UNIQUE",PR!$BM1087,IF(F1089="VIXA",PR!$BN1087,IF(F1089="WWCV",PR!$BO1087,IF(F1089="ZOLON",PR!$BP1087,"-"))))))))))))))))))))))))))))))))))))))))))))))))))))))))))))))))</f>
        <v>500</v>
      </c>
      <c r="F1089" s="102" t="str">
        <f>EV!L1388</f>
        <v>SANCON</v>
      </c>
      <c r="G1089" s="108">
        <f>IF(H1089="ALPHA",PR!$E1087,IF(H1089="ASSENE",PR!$F1087,IF(H1089="BIOFEM",PR!$G1087,IF(H1089="BIOMED",PR!$H1087,IF(H1089="CHI",PR!$I1087,IF(H1089="CLARION",PR!$J1087,IF(H1089="CODIX",PR!$K1087,IF(H1089="COSMADE",PR!$L1087,IF(H1089="SANCON",PR!$M1087,IF(H1089="DEVON",PR!$N1087,IF(H1089="DORTEMAG",PR!$O1087,IF(H1089="DGF",PR!$P1087,IF(H1089="DYNAMIC",PR!$Q1087,IF(H1089="EMZOR",PR!$R1087,IF(H1089="EUMATT",PR!$S1087,IF(H1089="FIDSON",PR!$T1087,IF(H1089="FCGLOBAL",PR!$U1087,IF(H1089="GENEITH",PR!$V1087,IF(H1089="GINOS",PR!$W1087,IF(H1089="GSK",PR!$X1087,IF(H1089="GLOBORG",PR!$Y1087,IF(H1089="GOODNEWS",PR!$Z1087,IF(H1089="GREENLIFE",PR!$AA1087,IF(H1089="HLINE",PR!$AB1087,IF(H1089="ROTECH",PR!$AC1087,IF(H1089="ISN",PR!$AD1087,IF(H1089="JAWA",PR!$AE1087,IF(H1089="LAYO",PR!$AF1087,IF(H1089="LEADWAY",PR!$AG1087,IF(H1089="LHV",PR!$AH1087,IF(H1089="MANOLA",PR!$AI1087,IF(H1089="MARCSON",PR!$AJ1087,IF(H1089="M&amp;B",PR!$AK1087,IF(H1089="MTRUST",PR!$AL1087,IF(H1089="MWORLD",PR!$AM1087,IF(H1089="MEGA",PR!$AN1087,IF(H1089="MICRONOVA",PR!$AO1087,IF(H1089="MFLASH",PR!$AP1087,IF(H1089="MORISON",PR!$AQ1087,IF(H1089="NEMEL",PR!$AR1087,IF(H1089="NHP",PR!$AS1087,IF(H1089="NHC",PR!$AT1087,IF(H1089="OLEAF",PR!$AU1087,IF(H1089="OCULUS",PR!$AV1087,IF(H1089="PACIFIC",PR!$AW1087,IF(H1089="PHAMATEX",PR!$AX1087,IF(H1089="PETHICS",PR!$AY1087,IF(H1089="PHILIPS",PR!$AZ1087,IF(H1089="RANBAXY",PR!$BA1087,IF(H1089="REALS",PR!$BB1087,IF(H1089="ROYAL",PR!$BC1087,IF(H1089="SAM",PR!$BD1087,IF(H1089="SEAGREEN",PR!$BE1087,IF(H1089="SKG",PR!$BF1087,IF(H1089="TAH",PR!$BG1087,IF(H1089="TAYLEK",PR!$BH1087,IF(H1089="TEMITA",PR!$BI1087,IF(H1089="THL",PR!$BJ1087,IF(H1089="UBASTIC",PR!$BK1087,IF(H1089="UNION",PR!$BL1087,IF(H1089="UNIQUE",PR!$BM1087,IF(H1089="VIXA",PR!$BN1087,IF(H1089="WWCV",PR!$BO1087,IF(H1089="ZOLON",PR!$BP1087,"-"))))))))))))))))))))))))))))))))))))))))))))))))))))))))))))))))</f>
        <v>800</v>
      </c>
      <c r="H1089" s="102" t="str">
        <f>EV!M1388</f>
        <v>TEMITA</v>
      </c>
      <c r="I1089" s="108">
        <f>IF(J1089="ALPHA",PR!$E1087,IF(J1089="ASSENE",PR!$F1087,IF(J1089="BIOFEM",PR!$G1087,IF(J1089="BIOMED",PR!$H1087,IF(J1089="CHI",PR!$I1087,IF(J1089="CLARION",PR!$J1087,IF(J1089="CODIX",PR!$K1087,IF(J1089="COSMADE",PR!$L1087,IF(J1089="SANCON",PR!$M1087,IF(J1089="DEVON",PR!$N1087,IF(J1089="DORTEMAG",PR!$O1087,IF(J1089="DGF",PR!$P1087,IF(J1089="DYNAMIC",PR!$Q1087,IF(J1089="EMZOR",PR!$R1087,IF(J1089="EUMATT",PR!$S1087,IF(J1089="FIDSON",PR!$T1087,IF(J1089="FCGLOBAL",PR!$U1087,IF(J1089="GENEITH",PR!$V1087,IF(J1089="GINOS",PR!$W1087,IF(J1089="GSK",PR!$X1087,IF(J1089="GLOBORG",PR!$Y1087,IF(J1089="GOODNEWS",PR!$Z1087,IF(J1089="GREENLIFE",PR!$AA1087,IF(J1089="HLINE",PR!$AB1087,IF(J1089="ROTECH",PR!$AC1087,IF(J1089="ISN",PR!$AD1087,IF(J1089="JAWA",PR!$AE1087,IF(J1089="LAYO",PR!$AF1087,IF(J1089="LEADWAY",PR!$AG1087,IF(J1089="LHV",PR!$AH1087,IF(J1089="MANOLA",PR!$AI1087,IF(J1089="MARCSON",PR!$AJ1087,IF(J1089="M&amp;B",PR!$AK1087,IF(J1089="MTRUST",PR!$AL1087,IF(J1089="MWORLD",PR!$AM1087,IF(J1089="MEGA",PR!$AN1087,IF(J1089="MICRONOVA",PR!$AO1087,IF(J1089="MFLASH",PR!$AP1087,IF(J1089="MORISON",PR!$AQ1087,IF(J1089="NEMEL",PR!$AR1087,IF(J1089="NHP",PR!$AS1087,IF(J1089="NHC",PR!$AT1087,IF(J1089="OLEAF",PR!$AU1087,IF(J1089="OCULUS",PR!$AV1087,IF(J1089="PACIFIC",PR!$AW1087,IF(J1089="PHAMATEX",PR!$AX1087,IF(J1089="PETHICS",PR!$AY1087,IF(J1089="PHILIPS",PR!$AZ1087,IF(J1089="RANBAXY",PR!$BA1087,IF(J1089="REALS",PR!$BB1087,IF(J1089="ROYAL",PR!$BC1087,IF(J1089="SAM",PR!$BD1087,IF(J1089="SEAGREEN",PR!$BE1087,IF(J1089="SKG",PR!$BF1087,IF(J1089="TAH",PR!$BG1087,IF(J1089="TAYLEK",PR!$BH1087,IF(J1089="TEMITA",PR!$BI1087,IF(J1089="THL",PR!$BJ1087,IF(J1089="UBASTIC",PR!$BK1087,IF(J1089="UNION",PR!$BL1087,IF(J1089="UNIQUE",PR!$BM1087,IF(J1089="VIXA",PR!$BN1087,IF(J1089="WWCV",PR!$BO1087,IF(J1089="ZOLON",PR!$BP1087,"-"))))))))))))))))))))))))))))))))))))))))))))))))))))))))))))))))</f>
        <v>1064</v>
      </c>
      <c r="J1089" s="102" t="str">
        <f>EV!N1388</f>
        <v>DYNAMIC</v>
      </c>
      <c r="K1089" s="433" t="s">
        <v>817</v>
      </c>
      <c r="L1089" s="183">
        <f>IF(K1089&gt;0,IF(K1089="ALPHA",PR!$E1087,IF(K1089="ASSENE",PR!$F1087,IF(K1089="BIOFEM",PR!$G1087,IF(K1089="BIOMED",PR!$H1087,IF(K1089="CHI",PR!$I1087,IF(K1089="CLARION",PR!$J1087,IF(K1089="CODIX",PR!$K1087,IF(K1089="COSMADE",PR!$L1087,IF(K1089="SANCON",PR!$M1087,IF(K1089="DEVON",PR!$N1087,IF(K1089="DORTEMAG",PR!$O1087,IF(K1089="DGF",PR!$P1087,IF(K1089="DYNAMIC",PR!$Q1087,IF(K1089="EMZOR",PR!$R1087,IF(K1089="EUMATT",PR!$S1087,IF(K1089="FIDSON",PR!$T1087,IF(K1089="FCGLOBAL",PR!$U1087,IF(K1089="GENEITH",PR!$V1087,IF(K1089="GINOS",PR!$W1087,IF(K1089="GSK",PR!$X1087,IF(K1089="GLOBORG",PR!$Y1087,IF(K1089="GOODNEWS",PR!$Z1087,IF(K1089="GREENLIFE",PR!$AA1087,IF(K1089="HLINE",PR!$AB1087,IF(K1089="ROTECH",PR!$AC1087,IF(K1089="ISN",PR!$AD1087,IF(K1089="JAWA",PR!$AE1087,IF(K1089="LAYO",PR!$AF1087,IF(K1089="LEADWAY",PR!$AG1087,IF(K1089="LHV",PR!$AH1087,IF(K1089="MANOLA",PR!$AI1087,IF(K1089="MARCSON",PR!$AJ1087,IF(K1089="M&amp;B",PR!$AK1087,IF(K1089="MTRUST",PR!$AL1087,IF(K1089="MWORLD",PR!$AM1087,IF(K1089="MEGA",PR!$AN1087,IF(K1089="MICRONOVA",PR!$AO1087,IF(K1089="MFLASH",PR!$AP1087,IF(K1089="MORISON",PR!$AQ1087,IF(K1089="NEMEL",PR!$AR1087,IF(K1089="NHP",PR!$AS1087,IF(K1089="NHC",PR!$AT1087,IF(K1089="OLEAF",PR!$AU1087,IF(K1089="OCULUS",PR!$AV1087,IF(K1089="PACIFIC",PR!$AW1087,IF(K1089="PHAMATEX",PR!$AX1087,IF(K1089="PETHICS",PR!$AY1087,IF(K1089="PHILIPS",PR!$AZ1087,IF(K1089="RANBAXY",PR!$BA1087,IF(K1089="REALS",PR!$BB1087,IF(K1089="ROYAL",PR!$BC1087,IF(K1089="SAM",PR!$BD1087,IF(K1089="SEAGREEN",PR!$BE1087,IF(K1089="SKG",PR!$BF1087,IF(K1089="TAH",PR!$BG1087,IF(K1089="TAYLEK",PR!$BH1087,IF(K1089="TEMITA",PR!$BI1087,IF(K1089="THL",PR!$BJ1087,IF(K1089="UBASTIC",PR!$BK1087,IF(K1089="UNION",PR!$BL1087,IF(K1089="UNIQUE",PR!$BM1087,IF(K1089="VIXA",PR!$BN1087,IF(K1089="WWCV",PR!$BO1087,IF(K1089="ZOLON",PR!$BP1087,"-")))))))))))))))))))))))))))))))))))))))))))))))))))))))))))))))))</f>
        <v>500</v>
      </c>
    </row>
    <row r="1090" spans="1:12" ht="18.75" x14ac:dyDescent="0.3">
      <c r="A1090" s="430">
        <f>PR!A1088</f>
        <v>980</v>
      </c>
      <c r="B1090" s="15" t="str">
        <f>PR!B1088</f>
        <v>NOSE MASK</v>
      </c>
      <c r="C1090" s="113" t="str">
        <f>PR!D1088</f>
        <v>100/PACK</v>
      </c>
      <c r="D1090" s="113">
        <f>PR!C1088</f>
        <v>525</v>
      </c>
      <c r="E1090" s="108">
        <f>IF(F1090="ALPHA",PR!$E1088,IF(F1090="ASSENE",PR!$F1088,IF(F1090="BIOFEM",PR!$G1088,IF(F1090="BIOMED",PR!$H1088,IF(F1090="CHI",PR!$I1088,IF(F1090="CLARION",PR!$J1088,IF(F1090="CODIX",PR!$K1088,IF(F1090="COSMADE",PR!$L1088,IF(F1090="SANCON",PR!$M1088,IF(F1090="DEVON",PR!$N1088,IF(F1090="DORTEMAG",PR!$O1088,IF(F1090="DGF",PR!$P1088,IF(F1090="DYNAMIC",PR!$Q1088,IF(F1090="EMZOR",PR!$R1088,IF(F1090="EUMATT",PR!$S1088,IF(F1090="FIDSON",PR!$T1088,IF(F1090="FCGLOBAL",PR!$U1088,IF(F1090="GENEITH",PR!$V1088,IF(F1090="GINOS",PR!$W1088,IF(F1090="GSK",PR!$X1088,IF(F1090="GLOBORG",PR!$Y1088,IF(F1090="GOODNEWS",PR!$Z1088,IF(F1090="GREENLIFE",PR!$AA1088,IF(F1090="HLINE",PR!$AB1088,IF(F1090="ROTECH",PR!$AC1088,IF(F1090="ISN",PR!$AD1088,IF(F1090="JAWA",PR!$AE1088,IF(F1090="LAYO",PR!$AF1088,IF(F1090="LEADWAY",PR!$AG1088,IF(F1090="LHV",PR!$AH1088,IF(F1090="MANOLA",PR!$AI1088,IF(F1090="MARCSON",PR!$AJ1088,IF(F1090="M&amp;B",PR!$AK1088,IF(F1090="MTRUST",PR!$AL1088,IF(F1090="MWORLD",PR!$AM1088,IF(F1090="MEGA",PR!$AN1088,IF(F1090="MICRONOVA",PR!$AO1088,IF(F1090="MFLASH",PR!$AP1088,IF(F1090="MORISON",PR!$AQ1088,IF(F1090="NEMEL",PR!$AR1088,IF(F1090="NHP",PR!$AS1088,IF(F1090="NHC",PR!$AT1088,IF(F1090="OLEAF",PR!$AU1088,IF(F1090="OCULUS",PR!$AV1088,IF(F1090="PACIFIC",PR!$AW1088,IF(F1090="PHAMATEX",PR!$AX1088,IF(F1090="PETHICS",PR!$AY1088,IF(F1090="PHILIPS",PR!$AZ1088,IF(F1090="RANBAXY",PR!$BA1088,IF(F1090="REALS",PR!$BB1088,IF(F1090="ROYAL",PR!$BC1088,IF(F1090="SAM",PR!$BD1088,IF(F1090="SEAGREEN",PR!$BE1088,IF(F1090="SKG",PR!$BF1088,IF(F1090="TAH",PR!$BG1088,IF(F1090="TAYLEK",PR!$BH1088,IF(F1090="TEMITA",PR!$BI1088,IF(F1090="THL",PR!$BJ1088,IF(F1090="UBASTIC",PR!$BK1088,IF(F1090="UNION",PR!$BL1088,IF(F1090="UNIQUE",PR!$BM1088,IF(F1090="VIXA",PR!$BN1088,IF(F1090="WWCV",PR!$BO1088,IF(F1090="ZOLON",PR!$BP1088,"-"))))))))))))))))))))))))))))))))))))))))))))))))))))))))))))))))</f>
        <v>330</v>
      </c>
      <c r="F1090" s="102" t="str">
        <f>EV!L1389</f>
        <v>ROTECH</v>
      </c>
      <c r="G1090" s="108">
        <f>IF(H1090="ALPHA",PR!$E1088,IF(H1090="ASSENE",PR!$F1088,IF(H1090="BIOFEM",PR!$G1088,IF(H1090="BIOMED",PR!$H1088,IF(H1090="CHI",PR!$I1088,IF(H1090="CLARION",PR!$J1088,IF(H1090="CODIX",PR!$K1088,IF(H1090="COSMADE",PR!$L1088,IF(H1090="SANCON",PR!$M1088,IF(H1090="DEVON",PR!$N1088,IF(H1090="DORTEMAG",PR!$O1088,IF(H1090="DGF",PR!$P1088,IF(H1090="DYNAMIC",PR!$Q1088,IF(H1090="EMZOR",PR!$R1088,IF(H1090="EUMATT",PR!$S1088,IF(H1090="FIDSON",PR!$T1088,IF(H1090="FCGLOBAL",PR!$U1088,IF(H1090="GENEITH",PR!$V1088,IF(H1090="GINOS",PR!$W1088,IF(H1090="GSK",PR!$X1088,IF(H1090="GLOBORG",PR!$Y1088,IF(H1090="GOODNEWS",PR!$Z1088,IF(H1090="GREENLIFE",PR!$AA1088,IF(H1090="HLINE",PR!$AB1088,IF(H1090="ROTECH",PR!$AC1088,IF(H1090="ISN",PR!$AD1088,IF(H1090="JAWA",PR!$AE1088,IF(H1090="LAYO",PR!$AF1088,IF(H1090="LEADWAY",PR!$AG1088,IF(H1090="LHV",PR!$AH1088,IF(H1090="MANOLA",PR!$AI1088,IF(H1090="MARCSON",PR!$AJ1088,IF(H1090="M&amp;B",PR!$AK1088,IF(H1090="MTRUST",PR!$AL1088,IF(H1090="MWORLD",PR!$AM1088,IF(H1090="MEGA",PR!$AN1088,IF(H1090="MICRONOVA",PR!$AO1088,IF(H1090="MFLASH",PR!$AP1088,IF(H1090="MORISON",PR!$AQ1088,IF(H1090="NEMEL",PR!$AR1088,IF(H1090="NHP",PR!$AS1088,IF(H1090="NHC",PR!$AT1088,IF(H1090="OLEAF",PR!$AU1088,IF(H1090="OCULUS",PR!$AV1088,IF(H1090="PACIFIC",PR!$AW1088,IF(H1090="PHAMATEX",PR!$AX1088,IF(H1090="PETHICS",PR!$AY1088,IF(H1090="PHILIPS",PR!$AZ1088,IF(H1090="RANBAXY",PR!$BA1088,IF(H1090="REALS",PR!$BB1088,IF(H1090="ROYAL",PR!$BC1088,IF(H1090="SAM",PR!$BD1088,IF(H1090="SEAGREEN",PR!$BE1088,IF(H1090="SKG",PR!$BF1088,IF(H1090="TAH",PR!$BG1088,IF(H1090="TAYLEK",PR!$BH1088,IF(H1090="TEMITA",PR!$BI1088,IF(H1090="THL",PR!$BJ1088,IF(H1090="UBASTIC",PR!$BK1088,IF(H1090="UNION",PR!$BL1088,IF(H1090="UNIQUE",PR!$BM1088,IF(H1090="VIXA",PR!$BN1088,IF(H1090="WWCV",PR!$BO1088,IF(H1090="ZOLON",PR!$BP1088,"-"))))))))))))))))))))))))))))))))))))))))))))))))))))))))))))))))</f>
        <v>450</v>
      </c>
      <c r="H1090" s="102" t="str">
        <f>EV!M1389</f>
        <v>SANCON</v>
      </c>
      <c r="I1090" s="108">
        <f>IF(J1090="ALPHA",PR!$E1088,IF(J1090="ASSENE",PR!$F1088,IF(J1090="BIOFEM",PR!$G1088,IF(J1090="BIOMED",PR!$H1088,IF(J1090="CHI",PR!$I1088,IF(J1090="CLARION",PR!$J1088,IF(J1090="CODIX",PR!$K1088,IF(J1090="COSMADE",PR!$L1088,IF(J1090="SANCON",PR!$M1088,IF(J1090="DEVON",PR!$N1088,IF(J1090="DORTEMAG",PR!$O1088,IF(J1090="DGF",PR!$P1088,IF(J1090="DYNAMIC",PR!$Q1088,IF(J1090="EMZOR",PR!$R1088,IF(J1090="EUMATT",PR!$S1088,IF(J1090="FIDSON",PR!$T1088,IF(J1090="FCGLOBAL",PR!$U1088,IF(J1090="GENEITH",PR!$V1088,IF(J1090="GINOS",PR!$W1088,IF(J1090="GSK",PR!$X1088,IF(J1090="GLOBORG",PR!$Y1088,IF(J1090="GOODNEWS",PR!$Z1088,IF(J1090="GREENLIFE",PR!$AA1088,IF(J1090="HLINE",PR!$AB1088,IF(J1090="ROTECH",PR!$AC1088,IF(J1090="ISN",PR!$AD1088,IF(J1090="JAWA",PR!$AE1088,IF(J1090="LAYO",PR!$AF1088,IF(J1090="LEADWAY",PR!$AG1088,IF(J1090="LHV",PR!$AH1088,IF(J1090="MANOLA",PR!$AI1088,IF(J1090="MARCSON",PR!$AJ1088,IF(J1090="M&amp;B",PR!$AK1088,IF(J1090="MTRUST",PR!$AL1088,IF(J1090="MWORLD",PR!$AM1088,IF(J1090="MEGA",PR!$AN1088,IF(J1090="MICRONOVA",PR!$AO1088,IF(J1090="MFLASH",PR!$AP1088,IF(J1090="MORISON",PR!$AQ1088,IF(J1090="NEMEL",PR!$AR1088,IF(J1090="NHP",PR!$AS1088,IF(J1090="NHC",PR!$AT1088,IF(J1090="OLEAF",PR!$AU1088,IF(J1090="OCULUS",PR!$AV1088,IF(J1090="PACIFIC",PR!$AW1088,IF(J1090="PHAMATEX",PR!$AX1088,IF(J1090="PETHICS",PR!$AY1088,IF(J1090="PHILIPS",PR!$AZ1088,IF(J1090="RANBAXY",PR!$BA1088,IF(J1090="REALS",PR!$BB1088,IF(J1090="ROYAL",PR!$BC1088,IF(J1090="SAM",PR!$BD1088,IF(J1090="SEAGREEN",PR!$BE1088,IF(J1090="SKG",PR!$BF1088,IF(J1090="TAH",PR!$BG1088,IF(J1090="TAYLEK",PR!$BH1088,IF(J1090="TEMITA",PR!$BI1088,IF(J1090="THL",PR!$BJ1088,IF(J1090="UBASTIC",PR!$BK1088,IF(J1090="UNION",PR!$BL1088,IF(J1090="UNIQUE",PR!$BM1088,IF(J1090="VIXA",PR!$BN1088,IF(J1090="WWCV",PR!$BO1088,IF(J1090="ZOLON",PR!$BP1088,"-"))))))))))))))))))))))))))))))))))))))))))))))))))))))))))))))))</f>
        <v>599</v>
      </c>
      <c r="J1090" s="102" t="str">
        <f>EV!N1389</f>
        <v>DYNAMIC</v>
      </c>
      <c r="K1090" s="433" t="s">
        <v>825</v>
      </c>
      <c r="L1090" s="183">
        <f>IF(K1090&gt;0,IF(K1090="ALPHA",PR!$E1088,IF(K1090="ASSENE",PR!$F1088,IF(K1090="BIOFEM",PR!$G1088,IF(K1090="BIOMED",PR!$H1088,IF(K1090="CHI",PR!$I1088,IF(K1090="CLARION",PR!$J1088,IF(K1090="CODIX",PR!$K1088,IF(K1090="COSMADE",PR!$L1088,IF(K1090="SANCON",PR!$M1088,IF(K1090="DEVON",PR!$N1088,IF(K1090="DORTEMAG",PR!$O1088,IF(K1090="DGF",PR!$P1088,IF(K1090="DYNAMIC",PR!$Q1088,IF(K1090="EMZOR",PR!$R1088,IF(K1090="EUMATT",PR!$S1088,IF(K1090="FIDSON",PR!$T1088,IF(K1090="FCGLOBAL",PR!$U1088,IF(K1090="GENEITH",PR!$V1088,IF(K1090="GINOS",PR!$W1088,IF(K1090="GSK",PR!$X1088,IF(K1090="GLOBORG",PR!$Y1088,IF(K1090="GOODNEWS",PR!$Z1088,IF(K1090="GREENLIFE",PR!$AA1088,IF(K1090="HLINE",PR!$AB1088,IF(K1090="ROTECH",PR!$AC1088,IF(K1090="ISN",PR!$AD1088,IF(K1090="JAWA",PR!$AE1088,IF(K1090="LAYO",PR!$AF1088,IF(K1090="LEADWAY",PR!$AG1088,IF(K1090="LHV",PR!$AH1088,IF(K1090="MANOLA",PR!$AI1088,IF(K1090="MARCSON",PR!$AJ1088,IF(K1090="M&amp;B",PR!$AK1088,IF(K1090="MTRUST",PR!$AL1088,IF(K1090="MWORLD",PR!$AM1088,IF(K1090="MEGA",PR!$AN1088,IF(K1090="MICRONOVA",PR!$AO1088,IF(K1090="MFLASH",PR!$AP1088,IF(K1090="MORISON",PR!$AQ1088,IF(K1090="NEMEL",PR!$AR1088,IF(K1090="NHP",PR!$AS1088,IF(K1090="NHC",PR!$AT1088,IF(K1090="OLEAF",PR!$AU1088,IF(K1090="OCULUS",PR!$AV1088,IF(K1090="PACIFIC",PR!$AW1088,IF(K1090="PHAMATEX",PR!$AX1088,IF(K1090="PETHICS",PR!$AY1088,IF(K1090="PHILIPS",PR!$AZ1088,IF(K1090="RANBAXY",PR!$BA1088,IF(K1090="REALS",PR!$BB1088,IF(K1090="ROYAL",PR!$BC1088,IF(K1090="SAM",PR!$BD1088,IF(K1090="SEAGREEN",PR!$BE1088,IF(K1090="SKG",PR!$BF1088,IF(K1090="TAH",PR!$BG1088,IF(K1090="TAYLEK",PR!$BH1088,IF(K1090="TEMITA",PR!$BI1088,IF(K1090="THL",PR!$BJ1088,IF(K1090="UBASTIC",PR!$BK1088,IF(K1090="UNION",PR!$BL1088,IF(K1090="UNIQUE",PR!$BM1088,IF(K1090="VIXA",PR!$BN1088,IF(K1090="WWCV",PR!$BO1088,IF(K1090="ZOLON",PR!$BP1088,"-")))))))))))))))))))))))))))))))))))))))))))))))))))))))))))))))))</f>
        <v>330</v>
      </c>
    </row>
    <row r="1091" spans="1:12" ht="18.75" x14ac:dyDescent="0.3">
      <c r="A1091" s="430">
        <f>PR!A1089</f>
        <v>0</v>
      </c>
      <c r="B1091" s="15">
        <f>PR!B1089</f>
        <v>0</v>
      </c>
      <c r="C1091" s="113">
        <f>PR!D1089</f>
        <v>0</v>
      </c>
      <c r="D1091" s="113">
        <f>PR!C1089</f>
        <v>0</v>
      </c>
      <c r="E1091" s="108" t="str">
        <f>IF(F1091="ALPHA",PR!$E1089,IF(F1091="ASSENE",PR!$F1089,IF(F1091="BIOFEM",PR!$G1089,IF(F1091="BIOMED",PR!$H1089,IF(F1091="CHI",PR!$I1089,IF(F1091="CLARION",PR!$J1089,IF(F1091="CODIX",PR!$K1089,IF(F1091="COSMADE",PR!$L1089,IF(F1091="SANCON",PR!$M1089,IF(F1091="DEVON",PR!$N1089,IF(F1091="DORTEMAG",PR!$O1089,IF(F1091="DGF",PR!$P1089,IF(F1091="DYNAMIC",PR!$Q1089,IF(F1091="EMZOR",PR!$R1089,IF(F1091="EUMATT",PR!$S1089,IF(F1091="FIDSON",PR!$T1089,IF(F1091="FCGLOBAL",PR!$U1089,IF(F1091="GENEITH",PR!$V1089,IF(F1091="GINOS",PR!$W1089,IF(F1091="GSK",PR!$X1089,IF(F1091="GLOBORG",PR!$Y1089,IF(F1091="GOODNEWS",PR!$Z1089,IF(F1091="GREENLIFE",PR!$AA1089,IF(F1091="HLINE",PR!$AB1089,IF(F1091="ROTECH",PR!$AC1089,IF(F1091="ISN",PR!$AD1089,IF(F1091="JAWA",PR!$AE1089,IF(F1091="LAYO",PR!$AF1089,IF(F1091="LEADWAY",PR!$AG1089,IF(F1091="LHV",PR!$AH1089,IF(F1091="MANOLA",PR!$AI1089,IF(F1091="MARCSON",PR!$AJ1089,IF(F1091="M&amp;B",PR!$AK1089,IF(F1091="MTRUST",PR!$AL1089,IF(F1091="MWORLD",PR!$AM1089,IF(F1091="MEGA",PR!$AN1089,IF(F1091="MICRONOVA",PR!$AO1089,IF(F1091="MFLASH",PR!$AP1089,IF(F1091="MORISON",PR!$AQ1089,IF(F1091="NEMEL",PR!$AR1089,IF(F1091="NHP",PR!$AS1089,IF(F1091="NHC",PR!$AT1089,IF(F1091="OLEAF",PR!$AU1089,IF(F1091="OCULUS",PR!$AV1089,IF(F1091="PACIFIC",PR!$AW1089,IF(F1091="PHAMATEX",PR!$AX1089,IF(F1091="PETHICS",PR!$AY1089,IF(F1091="PHILIPS",PR!$AZ1089,IF(F1091="RANBAXY",PR!$BA1089,IF(F1091="REALS",PR!$BB1089,IF(F1091="ROYAL",PR!$BC1089,IF(F1091="SAM",PR!$BD1089,IF(F1091="SEAGREEN",PR!$BE1089,IF(F1091="SKG",PR!$BF1089,IF(F1091="TAH",PR!$BG1089,IF(F1091="TAYLEK",PR!$BH1089,IF(F1091="TEMITA",PR!$BI1089,IF(F1091="THL",PR!$BJ1089,IF(F1091="UBASTIC",PR!$BK1089,IF(F1091="UNION",PR!$BL1089,IF(F1091="UNIQUE",PR!$BM1089,IF(F1091="VIXA",PR!$BN1089,IF(F1091="WWCV",PR!$BO1089,IF(F1091="ZOLON",PR!$BP1089,"-"))))))))))))))))))))))))))))))))))))))))))))))))))))))))))))))))</f>
        <v>-</v>
      </c>
      <c r="F1091" s="102"/>
      <c r="G1091" s="108" t="str">
        <f>IF(H1091="ALPHA",PR!$E1089,IF(H1091="ASSENE",PR!$F1089,IF(H1091="BIOFEM",PR!$G1089,IF(H1091="BIOMED",PR!$H1089,IF(H1091="CHI",PR!$I1089,IF(H1091="CLARION",PR!$J1089,IF(H1091="CODIX",PR!$K1089,IF(H1091="COSMADE",PR!$L1089,IF(H1091="SANCON",PR!$M1089,IF(H1091="DEVON",PR!$N1089,IF(H1091="DORTEMAG",PR!$O1089,IF(H1091="DGF",PR!$P1089,IF(H1091="DYNAMIC",PR!$Q1089,IF(H1091="EMZOR",PR!$R1089,IF(H1091="EUMATT",PR!$S1089,IF(H1091="FIDSON",PR!$T1089,IF(H1091="FCGLOBAL",PR!$U1089,IF(H1091="GENEITH",PR!$V1089,IF(H1091="GINOS",PR!$W1089,IF(H1091="GSK",PR!$X1089,IF(H1091="GLOBORG",PR!$Y1089,IF(H1091="GOODNEWS",PR!$Z1089,IF(H1091="GREENLIFE",PR!$AA1089,IF(H1091="HLINE",PR!$AB1089,IF(H1091="ROTECH",PR!$AC1089,IF(H1091="ISN",PR!$AD1089,IF(H1091="JAWA",PR!$AE1089,IF(H1091="LAYO",PR!$AF1089,IF(H1091="LEADWAY",PR!$AG1089,IF(H1091="LHV",PR!$AH1089,IF(H1091="MANOLA",PR!$AI1089,IF(H1091="MARCSON",PR!$AJ1089,IF(H1091="M&amp;B",PR!$AK1089,IF(H1091="MTRUST",PR!$AL1089,IF(H1091="MWORLD",PR!$AM1089,IF(H1091="MEGA",PR!$AN1089,IF(H1091="MICRONOVA",PR!$AO1089,IF(H1091="MFLASH",PR!$AP1089,IF(H1091="MORISON",PR!$AQ1089,IF(H1091="NEMEL",PR!$AR1089,IF(H1091="NHP",PR!$AS1089,IF(H1091="NHC",PR!$AT1089,IF(H1091="OLEAF",PR!$AU1089,IF(H1091="OCULUS",PR!$AV1089,IF(H1091="PACIFIC",PR!$AW1089,IF(H1091="PHAMATEX",PR!$AX1089,IF(H1091="PETHICS",PR!$AY1089,IF(H1091="PHILIPS",PR!$AZ1089,IF(H1091="RANBAXY",PR!$BA1089,IF(H1091="REALS",PR!$BB1089,IF(H1091="ROYAL",PR!$BC1089,IF(H1091="SAM",PR!$BD1089,IF(H1091="SEAGREEN",PR!$BE1089,IF(H1091="SKG",PR!$BF1089,IF(H1091="TAH",PR!$BG1089,IF(H1091="TAYLEK",PR!$BH1089,IF(H1091="TEMITA",PR!$BI1089,IF(H1091="THL",PR!$BJ1089,IF(H1091="UBASTIC",PR!$BK1089,IF(H1091="UNION",PR!$BL1089,IF(H1091="UNIQUE",PR!$BM1089,IF(H1091="VIXA",PR!$BN1089,IF(H1091="WWCV",PR!$BO1089,IF(H1091="ZOLON",PR!$BP1089,"-"))))))))))))))))))))))))))))))))))))))))))))))))))))))))))))))))</f>
        <v>-</v>
      </c>
      <c r="H1091" s="102"/>
      <c r="I1091" s="108" t="str">
        <f>IF(J1091="ALPHA",PR!$E1089,IF(J1091="ASSENE",PR!$F1089,IF(J1091="BIOFEM",PR!$G1089,IF(J1091="BIOMED",PR!$H1089,IF(J1091="CHI",PR!$I1089,IF(J1091="CLARION",PR!$J1089,IF(J1091="CODIX",PR!$K1089,IF(J1091="COSMADE",PR!$L1089,IF(J1091="SANCON",PR!$M1089,IF(J1091="DEVON",PR!$N1089,IF(J1091="DORTEMAG",PR!$O1089,IF(J1091="DGF",PR!$P1089,IF(J1091="DYNAMIC",PR!$Q1089,IF(J1091="EMZOR",PR!$R1089,IF(J1091="EUMATT",PR!$S1089,IF(J1091="FIDSON",PR!$T1089,IF(J1091="FCGLOBAL",PR!$U1089,IF(J1091="GENEITH",PR!$V1089,IF(J1091="GINOS",PR!$W1089,IF(J1091="GSK",PR!$X1089,IF(J1091="GLOBORG",PR!$Y1089,IF(J1091="GOODNEWS",PR!$Z1089,IF(J1091="GREENLIFE",PR!$AA1089,IF(J1091="HLINE",PR!$AB1089,IF(J1091="ROTECH",PR!$AC1089,IF(J1091="ISN",PR!$AD1089,IF(J1091="JAWA",PR!$AE1089,IF(J1091="LAYO",PR!$AF1089,IF(J1091="LEADWAY",PR!$AG1089,IF(J1091="LHV",PR!$AH1089,IF(J1091="MANOLA",PR!$AI1089,IF(J1091="MARCSON",PR!$AJ1089,IF(J1091="M&amp;B",PR!$AK1089,IF(J1091="MTRUST",PR!$AL1089,IF(J1091="MWORLD",PR!$AM1089,IF(J1091="MEGA",PR!$AN1089,IF(J1091="MICRONOVA",PR!$AO1089,IF(J1091="MFLASH",PR!$AP1089,IF(J1091="MORISON",PR!$AQ1089,IF(J1091="NEMEL",PR!$AR1089,IF(J1091="NHP",PR!$AS1089,IF(J1091="NHC",PR!$AT1089,IF(J1091="OLEAF",PR!$AU1089,IF(J1091="OCULUS",PR!$AV1089,IF(J1091="PACIFIC",PR!$AW1089,IF(J1091="PHAMATEX",PR!$AX1089,IF(J1091="PETHICS",PR!$AY1089,IF(J1091="PHILIPS",PR!$AZ1089,IF(J1091="RANBAXY",PR!$BA1089,IF(J1091="REALS",PR!$BB1089,IF(J1091="ROYAL",PR!$BC1089,IF(J1091="SAM",PR!$BD1089,IF(J1091="SEAGREEN",PR!$BE1089,IF(J1091="SKG",PR!$BF1089,IF(J1091="TAH",PR!$BG1089,IF(J1091="TAYLEK",PR!$BH1089,IF(J1091="TEMITA",PR!$BI1089,IF(J1091="THL",PR!$BJ1089,IF(J1091="UBASTIC",PR!$BK1089,IF(J1091="UNION",PR!$BL1089,IF(J1091="UNIQUE",PR!$BM1089,IF(J1091="VIXA",PR!$BN1089,IF(J1091="WWCV",PR!$BO1089,IF(J1091="ZOLON",PR!$BP1089,"-"))))))))))))))))))))))))))))))))))))))))))))))))))))))))))))))))</f>
        <v>-</v>
      </c>
      <c r="J1091" s="102"/>
      <c r="K1091" s="433"/>
      <c r="L1091" s="183" t="b">
        <f>IF(K1091&gt;0,IF(K1091="ALPHA",PR!$E1089,IF(K1091="ASSENE",PR!$F1089,IF(K1091="BIOFEM",PR!$G1089,IF(K1091="BIOMED",PR!$H1089,IF(K1091="CHI",PR!$I1089,IF(K1091="CLARION",PR!$J1089,IF(K1091="CODIX",PR!$K1089,IF(K1091="COSMADE",PR!$L1089,IF(K1091="SANCON",PR!$M1089,IF(K1091="DEVON",PR!$N1089,IF(K1091="DORTEMAG",PR!$O1089,IF(K1091="DGF",PR!$P1089,IF(K1091="DYNAMIC",PR!$Q1089,IF(K1091="EMZOR",PR!$R1089,IF(K1091="EUMATT",PR!$S1089,IF(K1091="FIDSON",PR!$T1089,IF(K1091="FCGLOBAL",PR!$U1089,IF(K1091="GENEITH",PR!$V1089,IF(K1091="GINOS",PR!$W1089,IF(K1091="GSK",PR!$X1089,IF(K1091="GLOBORG",PR!$Y1089,IF(K1091="GOODNEWS",PR!$Z1089,IF(K1091="GREENLIFE",PR!$AA1089,IF(K1091="HLINE",PR!$AB1089,IF(K1091="ROTECH",PR!$AC1089,IF(K1091="ISN",PR!$AD1089,IF(K1091="JAWA",PR!$AE1089,IF(K1091="LAYO",PR!$AF1089,IF(K1091="LEADWAY",PR!$AG1089,IF(K1091="LHV",PR!$AH1089,IF(K1091="MANOLA",PR!$AI1089,IF(K1091="MARCSON",PR!$AJ1089,IF(K1091="M&amp;B",PR!$AK1089,IF(K1091="MTRUST",PR!$AL1089,IF(K1091="MWORLD",PR!$AM1089,IF(K1091="MEGA",PR!$AN1089,IF(K1091="MICRONOVA",PR!$AO1089,IF(K1091="MFLASH",PR!$AP1089,IF(K1091="MORISON",PR!$AQ1089,IF(K1091="NEMEL",PR!$AR1089,IF(K1091="NHP",PR!$AS1089,IF(K1091="NHC",PR!$AT1089,IF(K1091="OLEAF",PR!$AU1089,IF(K1091="OCULUS",PR!$AV1089,IF(K1091="PACIFIC",PR!$AW1089,IF(K1091="PHAMATEX",PR!$AX1089,IF(K1091="PETHICS",PR!$AY1089,IF(K1091="PHILIPS",PR!$AZ1089,IF(K1091="RANBAXY",PR!$BA1089,IF(K1091="REALS",PR!$BB1089,IF(K1091="ROYAL",PR!$BC1089,IF(K1091="SAM",PR!$BD1089,IF(K1091="SEAGREEN",PR!$BE1089,IF(K1091="SKG",PR!$BF1089,IF(K1091="TAH",PR!$BG1089,IF(K1091="TAYLEK",PR!$BH1089,IF(K1091="TEMITA",PR!$BI1089,IF(K1091="THL",PR!$BJ1089,IF(K1091="UBASTIC",PR!$BK1089,IF(K1091="UNION",PR!$BL1089,IF(K1091="UNIQUE",PR!$BM1089,IF(K1091="VIXA",PR!$BN1089,IF(K1091="WWCV",PR!$BO1089,IF(K1091="ZOLON",PR!$BP1089,"-")))))))))))))))))))))))))))))))))))))))))))))))))))))))))))))))))</f>
        <v>0</v>
      </c>
    </row>
    <row r="1092" spans="1:12" ht="18.75" x14ac:dyDescent="0.3">
      <c r="A1092" s="430">
        <f>PR!A1090</f>
        <v>0</v>
      </c>
      <c r="B1092" s="15">
        <f>PR!B1090</f>
        <v>0</v>
      </c>
      <c r="C1092" s="113">
        <f>PR!D1090</f>
        <v>0</v>
      </c>
      <c r="D1092" s="113">
        <f>PR!C1090</f>
        <v>0</v>
      </c>
      <c r="E1092" s="108" t="str">
        <f>IF(F1092="ALPHA",PR!$E1090,IF(F1092="ASSENE",PR!$F1090,IF(F1092="BIOFEM",PR!$G1090,IF(F1092="BIOMED",PR!$H1090,IF(F1092="CHI",PR!$I1090,IF(F1092="CLARION",PR!$J1090,IF(F1092="CODIX",PR!$K1090,IF(F1092="COSMADE",PR!$L1090,IF(F1092="SANCON",PR!$M1090,IF(F1092="DEVON",PR!$N1090,IF(F1092="DORTEMAG",PR!$O1090,IF(F1092="DGF",PR!$P1090,IF(F1092="DYNAMIC",PR!$Q1090,IF(F1092="EMZOR",PR!$R1090,IF(F1092="EUMATT",PR!$S1090,IF(F1092="FIDSON",PR!$T1090,IF(F1092="FCGLOBAL",PR!$U1090,IF(F1092="GENEITH",PR!$V1090,IF(F1092="GINOS",PR!$W1090,IF(F1092="GSK",PR!$X1090,IF(F1092="GLOBORG",PR!$Y1090,IF(F1092="GOODNEWS",PR!$Z1090,IF(F1092="GREENLIFE",PR!$AA1090,IF(F1092="HLINE",PR!$AB1090,IF(F1092="ROTECH",PR!$AC1090,IF(F1092="ISN",PR!$AD1090,IF(F1092="JAWA",PR!$AE1090,IF(F1092="LAYO",PR!$AF1090,IF(F1092="LEADWAY",PR!$AG1090,IF(F1092="LHV",PR!$AH1090,IF(F1092="MANOLA",PR!$AI1090,IF(F1092="MARCSON",PR!$AJ1090,IF(F1092="M&amp;B",PR!$AK1090,IF(F1092="MTRUST",PR!$AL1090,IF(F1092="MWORLD",PR!$AM1090,IF(F1092="MEGA",PR!$AN1090,IF(F1092="MICRONOVA",PR!$AO1090,IF(F1092="MFLASH",PR!$AP1090,IF(F1092="MORISON",PR!$AQ1090,IF(F1092="NEMEL",PR!$AR1090,IF(F1092="NHP",PR!$AS1090,IF(F1092="NHC",PR!$AT1090,IF(F1092="OLEAF",PR!$AU1090,IF(F1092="OCULUS",PR!$AV1090,IF(F1092="PACIFIC",PR!$AW1090,IF(F1092="PHAMATEX",PR!$AX1090,IF(F1092="PETHICS",PR!$AY1090,IF(F1092="PHILIPS",PR!$AZ1090,IF(F1092="RANBAXY",PR!$BA1090,IF(F1092="REALS",PR!$BB1090,IF(F1092="ROYAL",PR!$BC1090,IF(F1092="SAM",PR!$BD1090,IF(F1092="SEAGREEN",PR!$BE1090,IF(F1092="SKG",PR!$BF1090,IF(F1092="TAH",PR!$BG1090,IF(F1092="TAYLEK",PR!$BH1090,IF(F1092="TEMITA",PR!$BI1090,IF(F1092="THL",PR!$BJ1090,IF(F1092="UBASTIC",PR!$BK1090,IF(F1092="UNION",PR!$BL1090,IF(F1092="UNIQUE",PR!$BM1090,IF(F1092="VIXA",PR!$BN1090,IF(F1092="WWCV",PR!$BO1090,IF(F1092="ZOLON",PR!$BP1090,"-"))))))))))))))))))))))))))))))))))))))))))))))))))))))))))))))))</f>
        <v>-</v>
      </c>
      <c r="F1092" s="102"/>
      <c r="G1092" s="108" t="str">
        <f>IF(H1092="ALPHA",PR!$E1090,IF(H1092="ASSENE",PR!$F1090,IF(H1092="BIOFEM",PR!$G1090,IF(H1092="BIOMED",PR!$H1090,IF(H1092="CHI",PR!$I1090,IF(H1092="CLARION",PR!$J1090,IF(H1092="CODIX",PR!$K1090,IF(H1092="COSMADE",PR!$L1090,IF(H1092="SANCON",PR!$M1090,IF(H1092="DEVON",PR!$N1090,IF(H1092="DORTEMAG",PR!$O1090,IF(H1092="DGF",PR!$P1090,IF(H1092="DYNAMIC",PR!$Q1090,IF(H1092="EMZOR",PR!$R1090,IF(H1092="EUMATT",PR!$S1090,IF(H1092="FIDSON",PR!$T1090,IF(H1092="FCGLOBAL",PR!$U1090,IF(H1092="GENEITH",PR!$V1090,IF(H1092="GINOS",PR!$W1090,IF(H1092="GSK",PR!$X1090,IF(H1092="GLOBORG",PR!$Y1090,IF(H1092="GOODNEWS",PR!$Z1090,IF(H1092="GREENLIFE",PR!$AA1090,IF(H1092="HLINE",PR!$AB1090,IF(H1092="ROTECH",PR!$AC1090,IF(H1092="ISN",PR!$AD1090,IF(H1092="JAWA",PR!$AE1090,IF(H1092="LAYO",PR!$AF1090,IF(H1092="LEADWAY",PR!$AG1090,IF(H1092="LHV",PR!$AH1090,IF(H1092="MANOLA",PR!$AI1090,IF(H1092="MARCSON",PR!$AJ1090,IF(H1092="M&amp;B",PR!$AK1090,IF(H1092="MTRUST",PR!$AL1090,IF(H1092="MWORLD",PR!$AM1090,IF(H1092="MEGA",PR!$AN1090,IF(H1092="MICRONOVA",PR!$AO1090,IF(H1092="MFLASH",PR!$AP1090,IF(H1092="MORISON",PR!$AQ1090,IF(H1092="NEMEL",PR!$AR1090,IF(H1092="NHP",PR!$AS1090,IF(H1092="NHC",PR!$AT1090,IF(H1092="OLEAF",PR!$AU1090,IF(H1092="OCULUS",PR!$AV1090,IF(H1092="PACIFIC",PR!$AW1090,IF(H1092="PHAMATEX",PR!$AX1090,IF(H1092="PETHICS",PR!$AY1090,IF(H1092="PHILIPS",PR!$AZ1090,IF(H1092="RANBAXY",PR!$BA1090,IF(H1092="REALS",PR!$BB1090,IF(H1092="ROYAL",PR!$BC1090,IF(H1092="SAM",PR!$BD1090,IF(H1092="SEAGREEN",PR!$BE1090,IF(H1092="SKG",PR!$BF1090,IF(H1092="TAH",PR!$BG1090,IF(H1092="TAYLEK",PR!$BH1090,IF(H1092="TEMITA",PR!$BI1090,IF(H1092="THL",PR!$BJ1090,IF(H1092="UBASTIC",PR!$BK1090,IF(H1092="UNION",PR!$BL1090,IF(H1092="UNIQUE",PR!$BM1090,IF(H1092="VIXA",PR!$BN1090,IF(H1092="WWCV",PR!$BO1090,IF(H1092="ZOLON",PR!$BP1090,"-"))))))))))))))))))))))))))))))))))))))))))))))))))))))))))))))))</f>
        <v>-</v>
      </c>
      <c r="H1092" s="102"/>
      <c r="I1092" s="108" t="str">
        <f>IF(J1092="ALPHA",PR!$E1090,IF(J1092="ASSENE",PR!$F1090,IF(J1092="BIOFEM",PR!$G1090,IF(J1092="BIOMED",PR!$H1090,IF(J1092="CHI",PR!$I1090,IF(J1092="CLARION",PR!$J1090,IF(J1092="CODIX",PR!$K1090,IF(J1092="COSMADE",PR!$L1090,IF(J1092="SANCON",PR!$M1090,IF(J1092="DEVON",PR!$N1090,IF(J1092="DORTEMAG",PR!$O1090,IF(J1092="DGF",PR!$P1090,IF(J1092="DYNAMIC",PR!$Q1090,IF(J1092="EMZOR",PR!$R1090,IF(J1092="EUMATT",PR!$S1090,IF(J1092="FIDSON",PR!$T1090,IF(J1092="FCGLOBAL",PR!$U1090,IF(J1092="GENEITH",PR!$V1090,IF(J1092="GINOS",PR!$W1090,IF(J1092="GSK",PR!$X1090,IF(J1092="GLOBORG",PR!$Y1090,IF(J1092="GOODNEWS",PR!$Z1090,IF(J1092="GREENLIFE",PR!$AA1090,IF(J1092="HLINE",PR!$AB1090,IF(J1092="ROTECH",PR!$AC1090,IF(J1092="ISN",PR!$AD1090,IF(J1092="JAWA",PR!$AE1090,IF(J1092="LAYO",PR!$AF1090,IF(J1092="LEADWAY",PR!$AG1090,IF(J1092="LHV",PR!$AH1090,IF(J1092="MANOLA",PR!$AI1090,IF(J1092="MARCSON",PR!$AJ1090,IF(J1092="M&amp;B",PR!$AK1090,IF(J1092="MTRUST",PR!$AL1090,IF(J1092="MWORLD",PR!$AM1090,IF(J1092="MEGA",PR!$AN1090,IF(J1092="MICRONOVA",PR!$AO1090,IF(J1092="MFLASH",PR!$AP1090,IF(J1092="MORISON",PR!$AQ1090,IF(J1092="NEMEL",PR!$AR1090,IF(J1092="NHP",PR!$AS1090,IF(J1092="NHC",PR!$AT1090,IF(J1092="OLEAF",PR!$AU1090,IF(J1092="OCULUS",PR!$AV1090,IF(J1092="PACIFIC",PR!$AW1090,IF(J1092="PHAMATEX",PR!$AX1090,IF(J1092="PETHICS",PR!$AY1090,IF(J1092="PHILIPS",PR!$AZ1090,IF(J1092="RANBAXY",PR!$BA1090,IF(J1092="REALS",PR!$BB1090,IF(J1092="ROYAL",PR!$BC1090,IF(J1092="SAM",PR!$BD1090,IF(J1092="SEAGREEN",PR!$BE1090,IF(J1092="SKG",PR!$BF1090,IF(J1092="TAH",PR!$BG1090,IF(J1092="TAYLEK",PR!$BH1090,IF(J1092="TEMITA",PR!$BI1090,IF(J1092="THL",PR!$BJ1090,IF(J1092="UBASTIC",PR!$BK1090,IF(J1092="UNION",PR!$BL1090,IF(J1092="UNIQUE",PR!$BM1090,IF(J1092="VIXA",PR!$BN1090,IF(J1092="WWCV",PR!$BO1090,IF(J1092="ZOLON",PR!$BP1090,"-"))))))))))))))))))))))))))))))))))))))))))))))))))))))))))))))))</f>
        <v>-</v>
      </c>
      <c r="J1092" s="102"/>
      <c r="K1092" s="433"/>
      <c r="L1092" s="183" t="b">
        <f>IF(K1092&gt;0,IF(K1092="ALPHA",PR!$E1090,IF(K1092="ASSENE",PR!$F1090,IF(K1092="BIOFEM",PR!$G1090,IF(K1092="BIOMED",PR!$H1090,IF(K1092="CHI",PR!$I1090,IF(K1092="CLARION",PR!$J1090,IF(K1092="CODIX",PR!$K1090,IF(K1092="COSMADE",PR!$L1090,IF(K1092="SANCON",PR!$M1090,IF(K1092="DEVON",PR!$N1090,IF(K1092="DORTEMAG",PR!$O1090,IF(K1092="DGF",PR!$P1090,IF(K1092="DYNAMIC",PR!$Q1090,IF(K1092="EMZOR",PR!$R1090,IF(K1092="EUMATT",PR!$S1090,IF(K1092="FIDSON",PR!$T1090,IF(K1092="FCGLOBAL",PR!$U1090,IF(K1092="GENEITH",PR!$V1090,IF(K1092="GINOS",PR!$W1090,IF(K1092="GSK",PR!$X1090,IF(K1092="GLOBORG",PR!$Y1090,IF(K1092="GOODNEWS",PR!$Z1090,IF(K1092="GREENLIFE",PR!$AA1090,IF(K1092="HLINE",PR!$AB1090,IF(K1092="ROTECH",PR!$AC1090,IF(K1092="ISN",PR!$AD1090,IF(K1092="JAWA",PR!$AE1090,IF(K1092="LAYO",PR!$AF1090,IF(K1092="LEADWAY",PR!$AG1090,IF(K1092="LHV",PR!$AH1090,IF(K1092="MANOLA",PR!$AI1090,IF(K1092="MARCSON",PR!$AJ1090,IF(K1092="M&amp;B",PR!$AK1090,IF(K1092="MTRUST",PR!$AL1090,IF(K1092="MWORLD",PR!$AM1090,IF(K1092="MEGA",PR!$AN1090,IF(K1092="MICRONOVA",PR!$AO1090,IF(K1092="MFLASH",PR!$AP1090,IF(K1092="MORISON",PR!$AQ1090,IF(K1092="NEMEL",PR!$AR1090,IF(K1092="NHP",PR!$AS1090,IF(K1092="NHC",PR!$AT1090,IF(K1092="OLEAF",PR!$AU1090,IF(K1092="OCULUS",PR!$AV1090,IF(K1092="PACIFIC",PR!$AW1090,IF(K1092="PHAMATEX",PR!$AX1090,IF(K1092="PETHICS",PR!$AY1090,IF(K1092="PHILIPS",PR!$AZ1090,IF(K1092="RANBAXY",PR!$BA1090,IF(K1092="REALS",PR!$BB1090,IF(K1092="ROYAL",PR!$BC1090,IF(K1092="SAM",PR!$BD1090,IF(K1092="SEAGREEN",PR!$BE1090,IF(K1092="SKG",PR!$BF1090,IF(K1092="TAH",PR!$BG1090,IF(K1092="TAYLEK",PR!$BH1090,IF(K1092="TEMITA",PR!$BI1090,IF(K1092="THL",PR!$BJ1090,IF(K1092="UBASTIC",PR!$BK1090,IF(K1092="UNION",PR!$BL1090,IF(K1092="UNIQUE",PR!$BM1090,IF(K1092="VIXA",PR!$BN1090,IF(K1092="WWCV",PR!$BO1090,IF(K1092="ZOLON",PR!$BP1090,"-")))))))))))))))))))))))))))))))))))))))))))))))))))))))))))))))))</f>
        <v>0</v>
      </c>
    </row>
    <row r="1093" spans="1:12" ht="18.75" x14ac:dyDescent="0.3">
      <c r="A1093" s="430">
        <f>PR!A1091</f>
        <v>0</v>
      </c>
      <c r="B1093" s="15">
        <f>PR!B1091</f>
        <v>0</v>
      </c>
      <c r="C1093" s="113">
        <f>PR!D1091</f>
        <v>0</v>
      </c>
      <c r="D1093" s="113">
        <f>PR!C1091</f>
        <v>0</v>
      </c>
      <c r="E1093" s="108" t="str">
        <f>IF(F1093="ALPHA",PR!$E1091,IF(F1093="ASSENE",PR!$F1091,IF(F1093="BIOFEM",PR!$G1091,IF(F1093="BIOMED",PR!$H1091,IF(F1093="CHI",PR!$I1091,IF(F1093="CLARION",PR!$J1091,IF(F1093="CODIX",PR!$K1091,IF(F1093="COSMADE",PR!$L1091,IF(F1093="SANCON",PR!$M1091,IF(F1093="DEVON",PR!$N1091,IF(F1093="DORTEMAG",PR!$O1091,IF(F1093="DGF",PR!$P1091,IF(F1093="DYNAMIC",PR!$Q1091,IF(F1093="EMZOR",PR!$R1091,IF(F1093="EUMATT",PR!$S1091,IF(F1093="FIDSON",PR!$T1091,IF(F1093="FCGLOBAL",PR!$U1091,IF(F1093="GENEITH",PR!$V1091,IF(F1093="GINOS",PR!$W1091,IF(F1093="GSK",PR!$X1091,IF(F1093="GLOBORG",PR!$Y1091,IF(F1093="GOODNEWS",PR!$Z1091,IF(F1093="GREENLIFE",PR!$AA1091,IF(F1093="HLINE",PR!$AB1091,IF(F1093="ROTECH",PR!$AC1091,IF(F1093="ISN",PR!$AD1091,IF(F1093="JAWA",PR!$AE1091,IF(F1093="LAYO",PR!$AF1091,IF(F1093="LEADWAY",PR!$AG1091,IF(F1093="LHV",PR!$AH1091,IF(F1093="MANOLA",PR!$AI1091,IF(F1093="MARCSON",PR!$AJ1091,IF(F1093="M&amp;B",PR!$AK1091,IF(F1093="MTRUST",PR!$AL1091,IF(F1093="MWORLD",PR!$AM1091,IF(F1093="MEGA",PR!$AN1091,IF(F1093="MICRONOVA",PR!$AO1091,IF(F1093="MFLASH",PR!$AP1091,IF(F1093="MORISON",PR!$AQ1091,IF(F1093="NEMEL",PR!$AR1091,IF(F1093="NHP",PR!$AS1091,IF(F1093="NHC",PR!$AT1091,IF(F1093="OLEAF",PR!$AU1091,IF(F1093="OCULUS",PR!$AV1091,IF(F1093="PACIFIC",PR!$AW1091,IF(F1093="PHAMATEX",PR!$AX1091,IF(F1093="PETHICS",PR!$AY1091,IF(F1093="PHILIPS",PR!$AZ1091,IF(F1093="RANBAXY",PR!$BA1091,IF(F1093="REALS",PR!$BB1091,IF(F1093="ROYAL",PR!$BC1091,IF(F1093="SAM",PR!$BD1091,IF(F1093="SEAGREEN",PR!$BE1091,IF(F1093="SKG",PR!$BF1091,IF(F1093="TAH",PR!$BG1091,IF(F1093="TAYLEK",PR!$BH1091,IF(F1093="TEMITA",PR!$BI1091,IF(F1093="THL",PR!$BJ1091,IF(F1093="UBASTIC",PR!$BK1091,IF(F1093="UNION",PR!$BL1091,IF(F1093="UNIQUE",PR!$BM1091,IF(F1093="VIXA",PR!$BN1091,IF(F1093="WWCV",PR!$BO1091,IF(F1093="ZOLON",PR!$BP1091,"-"))))))))))))))))))))))))))))))))))))))))))))))))))))))))))))))))</f>
        <v>-</v>
      </c>
      <c r="F1093" s="102"/>
      <c r="G1093" s="108" t="str">
        <f>IF(H1093="ALPHA",PR!$E1091,IF(H1093="ASSENE",PR!$F1091,IF(H1093="BIOFEM",PR!$G1091,IF(H1093="BIOMED",PR!$H1091,IF(H1093="CHI",PR!$I1091,IF(H1093="CLARION",PR!$J1091,IF(H1093="CODIX",PR!$K1091,IF(H1093="COSMADE",PR!$L1091,IF(H1093="SANCON",PR!$M1091,IF(H1093="DEVON",PR!$N1091,IF(H1093="DORTEMAG",PR!$O1091,IF(H1093="DGF",PR!$P1091,IF(H1093="DYNAMIC",PR!$Q1091,IF(H1093="EMZOR",PR!$R1091,IF(H1093="EUMATT",PR!$S1091,IF(H1093="FIDSON",PR!$T1091,IF(H1093="FCGLOBAL",PR!$U1091,IF(H1093="GENEITH",PR!$V1091,IF(H1093="GINOS",PR!$W1091,IF(H1093="GSK",PR!$X1091,IF(H1093="GLOBORG",PR!$Y1091,IF(H1093="GOODNEWS",PR!$Z1091,IF(H1093="GREENLIFE",PR!$AA1091,IF(H1093="HLINE",PR!$AB1091,IF(H1093="ROTECH",PR!$AC1091,IF(H1093="ISN",PR!$AD1091,IF(H1093="JAWA",PR!$AE1091,IF(H1093="LAYO",PR!$AF1091,IF(H1093="LEADWAY",PR!$AG1091,IF(H1093="LHV",PR!$AH1091,IF(H1093="MANOLA",PR!$AI1091,IF(H1093="MARCSON",PR!$AJ1091,IF(H1093="M&amp;B",PR!$AK1091,IF(H1093="MTRUST",PR!$AL1091,IF(H1093="MWORLD",PR!$AM1091,IF(H1093="MEGA",PR!$AN1091,IF(H1093="MICRONOVA",PR!$AO1091,IF(H1093="MFLASH",PR!$AP1091,IF(H1093="MORISON",PR!$AQ1091,IF(H1093="NEMEL",PR!$AR1091,IF(H1093="NHP",PR!$AS1091,IF(H1093="NHC",PR!$AT1091,IF(H1093="OLEAF",PR!$AU1091,IF(H1093="OCULUS",PR!$AV1091,IF(H1093="PACIFIC",PR!$AW1091,IF(H1093="PHAMATEX",PR!$AX1091,IF(H1093="PETHICS",PR!$AY1091,IF(H1093="PHILIPS",PR!$AZ1091,IF(H1093="RANBAXY",PR!$BA1091,IF(H1093="REALS",PR!$BB1091,IF(H1093="ROYAL",PR!$BC1091,IF(H1093="SAM",PR!$BD1091,IF(H1093="SEAGREEN",PR!$BE1091,IF(H1093="SKG",PR!$BF1091,IF(H1093="TAH",PR!$BG1091,IF(H1093="TAYLEK",PR!$BH1091,IF(H1093="TEMITA",PR!$BI1091,IF(H1093="THL",PR!$BJ1091,IF(H1093="UBASTIC",PR!$BK1091,IF(H1093="UNION",PR!$BL1091,IF(H1093="UNIQUE",PR!$BM1091,IF(H1093="VIXA",PR!$BN1091,IF(H1093="WWCV",PR!$BO1091,IF(H1093="ZOLON",PR!$BP1091,"-"))))))))))))))))))))))))))))))))))))))))))))))))))))))))))))))))</f>
        <v>-</v>
      </c>
      <c r="H1093" s="102"/>
      <c r="I1093" s="108" t="str">
        <f>IF(J1093="ALPHA",PR!$E1091,IF(J1093="ASSENE",PR!$F1091,IF(J1093="BIOFEM",PR!$G1091,IF(J1093="BIOMED",PR!$H1091,IF(J1093="CHI",PR!$I1091,IF(J1093="CLARION",PR!$J1091,IF(J1093="CODIX",PR!$K1091,IF(J1093="COSMADE",PR!$L1091,IF(J1093="SANCON",PR!$M1091,IF(J1093="DEVON",PR!$N1091,IF(J1093="DORTEMAG",PR!$O1091,IF(J1093="DGF",PR!$P1091,IF(J1093="DYNAMIC",PR!$Q1091,IF(J1093="EMZOR",PR!$R1091,IF(J1093="EUMATT",PR!$S1091,IF(J1093="FIDSON",PR!$T1091,IF(J1093="FCGLOBAL",PR!$U1091,IF(J1093="GENEITH",PR!$V1091,IF(J1093="GINOS",PR!$W1091,IF(J1093="GSK",PR!$X1091,IF(J1093="GLOBORG",PR!$Y1091,IF(J1093="GOODNEWS",PR!$Z1091,IF(J1093="GREENLIFE",PR!$AA1091,IF(J1093="HLINE",PR!$AB1091,IF(J1093="ROTECH",PR!$AC1091,IF(J1093="ISN",PR!$AD1091,IF(J1093="JAWA",PR!$AE1091,IF(J1093="LAYO",PR!$AF1091,IF(J1093="LEADWAY",PR!$AG1091,IF(J1093="LHV",PR!$AH1091,IF(J1093="MANOLA",PR!$AI1091,IF(J1093="MARCSON",PR!$AJ1091,IF(J1093="M&amp;B",PR!$AK1091,IF(J1093="MTRUST",PR!$AL1091,IF(J1093="MWORLD",PR!$AM1091,IF(J1093="MEGA",PR!$AN1091,IF(J1093="MICRONOVA",PR!$AO1091,IF(J1093="MFLASH",PR!$AP1091,IF(J1093="MORISON",PR!$AQ1091,IF(J1093="NEMEL",PR!$AR1091,IF(J1093="NHP",PR!$AS1091,IF(J1093="NHC",PR!$AT1091,IF(J1093="OLEAF",PR!$AU1091,IF(J1093="OCULUS",PR!$AV1091,IF(J1093="PACIFIC",PR!$AW1091,IF(J1093="PHAMATEX",PR!$AX1091,IF(J1093="PETHICS",PR!$AY1091,IF(J1093="PHILIPS",PR!$AZ1091,IF(J1093="RANBAXY",PR!$BA1091,IF(J1093="REALS",PR!$BB1091,IF(J1093="ROYAL",PR!$BC1091,IF(J1093="SAM",PR!$BD1091,IF(J1093="SEAGREEN",PR!$BE1091,IF(J1093="SKG",PR!$BF1091,IF(J1093="TAH",PR!$BG1091,IF(J1093="TAYLEK",PR!$BH1091,IF(J1093="TEMITA",PR!$BI1091,IF(J1093="THL",PR!$BJ1091,IF(J1093="UBASTIC",PR!$BK1091,IF(J1093="UNION",PR!$BL1091,IF(J1093="UNIQUE",PR!$BM1091,IF(J1093="VIXA",PR!$BN1091,IF(J1093="WWCV",PR!$BO1091,IF(J1093="ZOLON",PR!$BP1091,"-"))))))))))))))))))))))))))))))))))))))))))))))))))))))))))))))))</f>
        <v>-</v>
      </c>
      <c r="J1093" s="102"/>
      <c r="K1093" s="433"/>
      <c r="L1093" s="183" t="b">
        <f>IF(K1093&gt;0,IF(K1093="ALPHA",PR!$E1091,IF(K1093="ASSENE",PR!$F1091,IF(K1093="BIOFEM",PR!$G1091,IF(K1093="BIOMED",PR!$H1091,IF(K1093="CHI",PR!$I1091,IF(K1093="CLARION",PR!$J1091,IF(K1093="CODIX",PR!$K1091,IF(K1093="COSMADE",PR!$L1091,IF(K1093="SANCON",PR!$M1091,IF(K1093="DEVON",PR!$N1091,IF(K1093="DORTEMAG",PR!$O1091,IF(K1093="DGF",PR!$P1091,IF(K1093="DYNAMIC",PR!$Q1091,IF(K1093="EMZOR",PR!$R1091,IF(K1093="EUMATT",PR!$S1091,IF(K1093="FIDSON",PR!$T1091,IF(K1093="FCGLOBAL",PR!$U1091,IF(K1093="GENEITH",PR!$V1091,IF(K1093="GINOS",PR!$W1091,IF(K1093="GSK",PR!$X1091,IF(K1093="GLOBORG",PR!$Y1091,IF(K1093="GOODNEWS",PR!$Z1091,IF(K1093="GREENLIFE",PR!$AA1091,IF(K1093="HLINE",PR!$AB1091,IF(K1093="ROTECH",PR!$AC1091,IF(K1093="ISN",PR!$AD1091,IF(K1093="JAWA",PR!$AE1091,IF(K1093="LAYO",PR!$AF1091,IF(K1093="LEADWAY",PR!$AG1091,IF(K1093="LHV",PR!$AH1091,IF(K1093="MANOLA",PR!$AI1091,IF(K1093="MARCSON",PR!$AJ1091,IF(K1093="M&amp;B",PR!$AK1091,IF(K1093="MTRUST",PR!$AL1091,IF(K1093="MWORLD",PR!$AM1091,IF(K1093="MEGA",PR!$AN1091,IF(K1093="MICRONOVA",PR!$AO1091,IF(K1093="MFLASH",PR!$AP1091,IF(K1093="MORISON",PR!$AQ1091,IF(K1093="NEMEL",PR!$AR1091,IF(K1093="NHP",PR!$AS1091,IF(K1093="NHC",PR!$AT1091,IF(K1093="OLEAF",PR!$AU1091,IF(K1093="OCULUS",PR!$AV1091,IF(K1093="PACIFIC",PR!$AW1091,IF(K1093="PHAMATEX",PR!$AX1091,IF(K1093="PETHICS",PR!$AY1091,IF(K1093="PHILIPS",PR!$AZ1091,IF(K1093="RANBAXY",PR!$BA1091,IF(K1093="REALS",PR!$BB1091,IF(K1093="ROYAL",PR!$BC1091,IF(K1093="SAM",PR!$BD1091,IF(K1093="SEAGREEN",PR!$BE1091,IF(K1093="SKG",PR!$BF1091,IF(K1093="TAH",PR!$BG1091,IF(K1093="TAYLEK",PR!$BH1091,IF(K1093="TEMITA",PR!$BI1091,IF(K1093="THL",PR!$BJ1091,IF(K1093="UBASTIC",PR!$BK1091,IF(K1093="UNION",PR!$BL1091,IF(K1093="UNIQUE",PR!$BM1091,IF(K1093="VIXA",PR!$BN1091,IF(K1093="WWCV",PR!$BO1091,IF(K1093="ZOLON",PR!$BP1091,"-")))))))))))))))))))))))))))))))))))))))))))))))))))))))))))))))))</f>
        <v>0</v>
      </c>
    </row>
    <row r="1094" spans="1:12" ht="18.75" x14ac:dyDescent="0.3">
      <c r="A1094" s="430" t="str">
        <f>PR!A1092</f>
        <v>LOT 20</v>
      </c>
      <c r="B1094" s="15" t="str">
        <f>PR!B1092</f>
        <v>LABORATORY DEPARTMENT - CHEMICAL PATHOLOGY</v>
      </c>
      <c r="C1094" s="113">
        <f>PR!D1092</f>
        <v>0</v>
      </c>
      <c r="D1094" s="113">
        <f>PR!C1092</f>
        <v>0</v>
      </c>
      <c r="E1094" s="108" t="str">
        <f>IF(F1094="ALPHA",PR!$E1092,IF(F1094="ASSENE",PR!$F1092,IF(F1094="BIOFEM",PR!$G1092,IF(F1094="BIOMED",PR!$H1092,IF(F1094="CHI",PR!$I1092,IF(F1094="CLARION",PR!$J1092,IF(F1094="CODIX",PR!$K1092,IF(F1094="COSMADE",PR!$L1092,IF(F1094="SANCON",PR!$M1092,IF(F1094="DEVON",PR!$N1092,IF(F1094="DORTEMAG",PR!$O1092,IF(F1094="DGF",PR!$P1092,IF(F1094="DYNAMIC",PR!$Q1092,IF(F1094="EMZOR",PR!$R1092,IF(F1094="EUMATT",PR!$S1092,IF(F1094="FIDSON",PR!$T1092,IF(F1094="FCGLOBAL",PR!$U1092,IF(F1094="GENEITH",PR!$V1092,IF(F1094="GINOS",PR!$W1092,IF(F1094="GSK",PR!$X1092,IF(F1094="GLOBORG",PR!$Y1092,IF(F1094="GOODNEWS",PR!$Z1092,IF(F1094="GREENLIFE",PR!$AA1092,IF(F1094="HLINE",PR!$AB1092,IF(F1094="ROTECH",PR!$AC1092,IF(F1094="ISN",PR!$AD1092,IF(F1094="JAWA",PR!$AE1092,IF(F1094="LAYO",PR!$AF1092,IF(F1094="LEADWAY",PR!$AG1092,IF(F1094="LHV",PR!$AH1092,IF(F1094="MANOLA",PR!$AI1092,IF(F1094="MARCSON",PR!$AJ1092,IF(F1094="M&amp;B",PR!$AK1092,IF(F1094="MTRUST",PR!$AL1092,IF(F1094="MWORLD",PR!$AM1092,IF(F1094="MEGA",PR!$AN1092,IF(F1094="MICRONOVA",PR!$AO1092,IF(F1094="MFLASH",PR!$AP1092,IF(F1094="MORISON",PR!$AQ1092,IF(F1094="NEMEL",PR!$AR1092,IF(F1094="NHP",PR!$AS1092,IF(F1094="NHC",PR!$AT1092,IF(F1094="OLEAF",PR!$AU1092,IF(F1094="OCULUS",PR!$AV1092,IF(F1094="PACIFIC",PR!$AW1092,IF(F1094="PHAMATEX",PR!$AX1092,IF(F1094="PETHICS",PR!$AY1092,IF(F1094="PHILIPS",PR!$AZ1092,IF(F1094="RANBAXY",PR!$BA1092,IF(F1094="REALS",PR!$BB1092,IF(F1094="ROYAL",PR!$BC1092,IF(F1094="SAM",PR!$BD1092,IF(F1094="SEAGREEN",PR!$BE1092,IF(F1094="SKG",PR!$BF1092,IF(F1094="TAH",PR!$BG1092,IF(F1094="TAYLEK",PR!$BH1092,IF(F1094="TEMITA",PR!$BI1092,IF(F1094="THL",PR!$BJ1092,IF(F1094="UBASTIC",PR!$BK1092,IF(F1094="UNION",PR!$BL1092,IF(F1094="UNIQUE",PR!$BM1092,IF(F1094="VIXA",PR!$BN1092,IF(F1094="WWCV",PR!$BO1092,IF(F1094="ZOLON",PR!$BP1092,"-"))))))))))))))))))))))))))))))))))))))))))))))))))))))))))))))))</f>
        <v>-</v>
      </c>
      <c r="F1094" s="102"/>
      <c r="G1094" s="108" t="str">
        <f>IF(H1094="ALPHA",PR!$E1092,IF(H1094="ASSENE",PR!$F1092,IF(H1094="BIOFEM",PR!$G1092,IF(H1094="BIOMED",PR!$H1092,IF(H1094="CHI",PR!$I1092,IF(H1094="CLARION",PR!$J1092,IF(H1094="CODIX",PR!$K1092,IF(H1094="COSMADE",PR!$L1092,IF(H1094="SANCON",PR!$M1092,IF(H1094="DEVON",PR!$N1092,IF(H1094="DORTEMAG",PR!$O1092,IF(H1094="DGF",PR!$P1092,IF(H1094="DYNAMIC",PR!$Q1092,IF(H1094="EMZOR",PR!$R1092,IF(H1094="EUMATT",PR!$S1092,IF(H1094="FIDSON",PR!$T1092,IF(H1094="FCGLOBAL",PR!$U1092,IF(H1094="GENEITH",PR!$V1092,IF(H1094="GINOS",PR!$W1092,IF(H1094="GSK",PR!$X1092,IF(H1094="GLOBORG",PR!$Y1092,IF(H1094="GOODNEWS",PR!$Z1092,IF(H1094="GREENLIFE",PR!$AA1092,IF(H1094="HLINE",PR!$AB1092,IF(H1094="ROTECH",PR!$AC1092,IF(H1094="ISN",PR!$AD1092,IF(H1094="JAWA",PR!$AE1092,IF(H1094="LAYO",PR!$AF1092,IF(H1094="LEADWAY",PR!$AG1092,IF(H1094="LHV",PR!$AH1092,IF(H1094="MANOLA",PR!$AI1092,IF(H1094="MARCSON",PR!$AJ1092,IF(H1094="M&amp;B",PR!$AK1092,IF(H1094="MTRUST",PR!$AL1092,IF(H1094="MWORLD",PR!$AM1092,IF(H1094="MEGA",PR!$AN1092,IF(H1094="MICRONOVA",PR!$AO1092,IF(H1094="MFLASH",PR!$AP1092,IF(H1094="MORISON",PR!$AQ1092,IF(H1094="NEMEL",PR!$AR1092,IF(H1094="NHP",PR!$AS1092,IF(H1094="NHC",PR!$AT1092,IF(H1094="OLEAF",PR!$AU1092,IF(H1094="OCULUS",PR!$AV1092,IF(H1094="PACIFIC",PR!$AW1092,IF(H1094="PHAMATEX",PR!$AX1092,IF(H1094="PETHICS",PR!$AY1092,IF(H1094="PHILIPS",PR!$AZ1092,IF(H1094="RANBAXY",PR!$BA1092,IF(H1094="REALS",PR!$BB1092,IF(H1094="ROYAL",PR!$BC1092,IF(H1094="SAM",PR!$BD1092,IF(H1094="SEAGREEN",PR!$BE1092,IF(H1094="SKG",PR!$BF1092,IF(H1094="TAH",PR!$BG1092,IF(H1094="TAYLEK",PR!$BH1092,IF(H1094="TEMITA",PR!$BI1092,IF(H1094="THL",PR!$BJ1092,IF(H1094="UBASTIC",PR!$BK1092,IF(H1094="UNION",PR!$BL1092,IF(H1094="UNIQUE",PR!$BM1092,IF(H1094="VIXA",PR!$BN1092,IF(H1094="WWCV",PR!$BO1092,IF(H1094="ZOLON",PR!$BP1092,"-"))))))))))))))))))))))))))))))))))))))))))))))))))))))))))))))))</f>
        <v>-</v>
      </c>
      <c r="H1094" s="102"/>
      <c r="I1094" s="108" t="str">
        <f>IF(J1094="ALPHA",PR!$E1092,IF(J1094="ASSENE",PR!$F1092,IF(J1094="BIOFEM",PR!$G1092,IF(J1094="BIOMED",PR!$H1092,IF(J1094="CHI",PR!$I1092,IF(J1094="CLARION",PR!$J1092,IF(J1094="CODIX",PR!$K1092,IF(J1094="COSMADE",PR!$L1092,IF(J1094="SANCON",PR!$M1092,IF(J1094="DEVON",PR!$N1092,IF(J1094="DORTEMAG",PR!$O1092,IF(J1094="DGF",PR!$P1092,IF(J1094="DYNAMIC",PR!$Q1092,IF(J1094="EMZOR",PR!$R1092,IF(J1094="EUMATT",PR!$S1092,IF(J1094="FIDSON",PR!$T1092,IF(J1094="FCGLOBAL",PR!$U1092,IF(J1094="GENEITH",PR!$V1092,IF(J1094="GINOS",PR!$W1092,IF(J1094="GSK",PR!$X1092,IF(J1094="GLOBORG",PR!$Y1092,IF(J1094="GOODNEWS",PR!$Z1092,IF(J1094="GREENLIFE",PR!$AA1092,IF(J1094="HLINE",PR!$AB1092,IF(J1094="ROTECH",PR!$AC1092,IF(J1094="ISN",PR!$AD1092,IF(J1094="JAWA",PR!$AE1092,IF(J1094="LAYO",PR!$AF1092,IF(J1094="LEADWAY",PR!$AG1092,IF(J1094="LHV",PR!$AH1092,IF(J1094="MANOLA",PR!$AI1092,IF(J1094="MARCSON",PR!$AJ1092,IF(J1094="M&amp;B",PR!$AK1092,IF(J1094="MTRUST",PR!$AL1092,IF(J1094="MWORLD",PR!$AM1092,IF(J1094="MEGA",PR!$AN1092,IF(J1094="MICRONOVA",PR!$AO1092,IF(J1094="MFLASH",PR!$AP1092,IF(J1094="MORISON",PR!$AQ1092,IF(J1094="NEMEL",PR!$AR1092,IF(J1094="NHP",PR!$AS1092,IF(J1094="NHC",PR!$AT1092,IF(J1094="OLEAF",PR!$AU1092,IF(J1094="OCULUS",PR!$AV1092,IF(J1094="PACIFIC",PR!$AW1092,IF(J1094="PHAMATEX",PR!$AX1092,IF(J1094="PETHICS",PR!$AY1092,IF(J1094="PHILIPS",PR!$AZ1092,IF(J1094="RANBAXY",PR!$BA1092,IF(J1094="REALS",PR!$BB1092,IF(J1094="ROYAL",PR!$BC1092,IF(J1094="SAM",PR!$BD1092,IF(J1094="SEAGREEN",PR!$BE1092,IF(J1094="SKG",PR!$BF1092,IF(J1094="TAH",PR!$BG1092,IF(J1094="TAYLEK",PR!$BH1092,IF(J1094="TEMITA",PR!$BI1092,IF(J1094="THL",PR!$BJ1092,IF(J1094="UBASTIC",PR!$BK1092,IF(J1094="UNION",PR!$BL1092,IF(J1094="UNIQUE",PR!$BM1092,IF(J1094="VIXA",PR!$BN1092,IF(J1094="WWCV",PR!$BO1092,IF(J1094="ZOLON",PR!$BP1092,"-"))))))))))))))))))))))))))))))))))))))))))))))))))))))))))))))))</f>
        <v>-</v>
      </c>
      <c r="J1094" s="102"/>
      <c r="K1094" s="433"/>
      <c r="L1094" s="183" t="b">
        <f>IF(K1094&gt;0,IF(K1094="ALPHA",PR!$E1092,IF(K1094="ASSENE",PR!$F1092,IF(K1094="BIOFEM",PR!$G1092,IF(K1094="BIOMED",PR!$H1092,IF(K1094="CHI",PR!$I1092,IF(K1094="CLARION",PR!$J1092,IF(K1094="CODIX",PR!$K1092,IF(K1094="COSMADE",PR!$L1092,IF(K1094="SANCON",PR!$M1092,IF(K1094="DEVON",PR!$N1092,IF(K1094="DORTEMAG",PR!$O1092,IF(K1094="DGF",PR!$P1092,IF(K1094="DYNAMIC",PR!$Q1092,IF(K1094="EMZOR",PR!$R1092,IF(K1094="EUMATT",PR!$S1092,IF(K1094="FIDSON",PR!$T1092,IF(K1094="FCGLOBAL",PR!$U1092,IF(K1094="GENEITH",PR!$V1092,IF(K1094="GINOS",PR!$W1092,IF(K1094="GSK",PR!$X1092,IF(K1094="GLOBORG",PR!$Y1092,IF(K1094="GOODNEWS",PR!$Z1092,IF(K1094="GREENLIFE",PR!$AA1092,IF(K1094="HLINE",PR!$AB1092,IF(K1094="ROTECH",PR!$AC1092,IF(K1094="ISN",PR!$AD1092,IF(K1094="JAWA",PR!$AE1092,IF(K1094="LAYO",PR!$AF1092,IF(K1094="LEADWAY",PR!$AG1092,IF(K1094="LHV",PR!$AH1092,IF(K1094="MANOLA",PR!$AI1092,IF(K1094="MARCSON",PR!$AJ1092,IF(K1094="M&amp;B",PR!$AK1092,IF(K1094="MTRUST",PR!$AL1092,IF(K1094="MWORLD",PR!$AM1092,IF(K1094="MEGA",PR!$AN1092,IF(K1094="MICRONOVA",PR!$AO1092,IF(K1094="MFLASH",PR!$AP1092,IF(K1094="MORISON",PR!$AQ1092,IF(K1094="NEMEL",PR!$AR1092,IF(K1094="NHP",PR!$AS1092,IF(K1094="NHC",PR!$AT1092,IF(K1094="OLEAF",PR!$AU1092,IF(K1094="OCULUS",PR!$AV1092,IF(K1094="PACIFIC",PR!$AW1092,IF(K1094="PHAMATEX",PR!$AX1092,IF(K1094="PETHICS",PR!$AY1092,IF(K1094="PHILIPS",PR!$AZ1092,IF(K1094="RANBAXY",PR!$BA1092,IF(K1094="REALS",PR!$BB1092,IF(K1094="ROYAL",PR!$BC1092,IF(K1094="SAM",PR!$BD1092,IF(K1094="SEAGREEN",PR!$BE1092,IF(K1094="SKG",PR!$BF1092,IF(K1094="TAH",PR!$BG1092,IF(K1094="TAYLEK",PR!$BH1092,IF(K1094="TEMITA",PR!$BI1092,IF(K1094="THL",PR!$BJ1092,IF(K1094="UBASTIC",PR!$BK1092,IF(K1094="UNION",PR!$BL1092,IF(K1094="UNIQUE",PR!$BM1092,IF(K1094="VIXA",PR!$BN1092,IF(K1094="WWCV",PR!$BO1092,IF(K1094="ZOLON",PR!$BP1092,"-")))))))))))))))))))))))))))))))))))))))))))))))))))))))))))))))))</f>
        <v>0</v>
      </c>
    </row>
    <row r="1095" spans="1:12" ht="18.75" x14ac:dyDescent="0.3">
      <c r="A1095" s="430">
        <f>PR!A1093</f>
        <v>0</v>
      </c>
      <c r="B1095" s="15">
        <f>PR!B1093</f>
        <v>0</v>
      </c>
      <c r="C1095" s="113">
        <f>PR!D1093</f>
        <v>0</v>
      </c>
      <c r="D1095" s="113">
        <f>PR!C1093</f>
        <v>0</v>
      </c>
      <c r="E1095" s="108" t="str">
        <f>IF(F1095="ALPHA",PR!$E1093,IF(F1095="ASSENE",PR!$F1093,IF(F1095="BIOFEM",PR!$G1093,IF(F1095="BIOMED",PR!$H1093,IF(F1095="CHI",PR!$I1093,IF(F1095="CLARION",PR!$J1093,IF(F1095="CODIX",PR!$K1093,IF(F1095="COSMADE",PR!$L1093,IF(F1095="SANCON",PR!$M1093,IF(F1095="DEVON",PR!$N1093,IF(F1095="DORTEMAG",PR!$O1093,IF(F1095="DGF",PR!$P1093,IF(F1095="DYNAMIC",PR!$Q1093,IF(F1095="EMZOR",PR!$R1093,IF(F1095="EUMATT",PR!$S1093,IF(F1095="FIDSON",PR!$T1093,IF(F1095="FCGLOBAL",PR!$U1093,IF(F1095="GENEITH",PR!$V1093,IF(F1095="GINOS",PR!$W1093,IF(F1095="GSK",PR!$X1093,IF(F1095="GLOBORG",PR!$Y1093,IF(F1095="GOODNEWS",PR!$Z1093,IF(F1095="GREENLIFE",PR!$AA1093,IF(F1095="HLINE",PR!$AB1093,IF(F1095="ROTECH",PR!$AC1093,IF(F1095="ISN",PR!$AD1093,IF(F1095="JAWA",PR!$AE1093,IF(F1095="LAYO",PR!$AF1093,IF(F1095="LEADWAY",PR!$AG1093,IF(F1095="LHV",PR!$AH1093,IF(F1095="MANOLA",PR!$AI1093,IF(F1095="MARCSON",PR!$AJ1093,IF(F1095="M&amp;B",PR!$AK1093,IF(F1095="MTRUST",PR!$AL1093,IF(F1095="MWORLD",PR!$AM1093,IF(F1095="MEGA",PR!$AN1093,IF(F1095="MICRONOVA",PR!$AO1093,IF(F1095="MFLASH",PR!$AP1093,IF(F1095="MORISON",PR!$AQ1093,IF(F1095="NEMEL",PR!$AR1093,IF(F1095="NHP",PR!$AS1093,IF(F1095="NHC",PR!$AT1093,IF(F1095="OLEAF",PR!$AU1093,IF(F1095="OCULUS",PR!$AV1093,IF(F1095="PACIFIC",PR!$AW1093,IF(F1095="PHAMATEX",PR!$AX1093,IF(F1095="PETHICS",PR!$AY1093,IF(F1095="PHILIPS",PR!$AZ1093,IF(F1095="RANBAXY",PR!$BA1093,IF(F1095="REALS",PR!$BB1093,IF(F1095="ROYAL",PR!$BC1093,IF(F1095="SAM",PR!$BD1093,IF(F1095="SEAGREEN",PR!$BE1093,IF(F1095="SKG",PR!$BF1093,IF(F1095="TAH",PR!$BG1093,IF(F1095="TAYLEK",PR!$BH1093,IF(F1095="TEMITA",PR!$BI1093,IF(F1095="THL",PR!$BJ1093,IF(F1095="UBASTIC",PR!$BK1093,IF(F1095="UNION",PR!$BL1093,IF(F1095="UNIQUE",PR!$BM1093,IF(F1095="VIXA",PR!$BN1093,IF(F1095="WWCV",PR!$BO1093,IF(F1095="ZOLON",PR!$BP1093,"-"))))))))))))))))))))))))))))))))))))))))))))))))))))))))))))))))</f>
        <v>-</v>
      </c>
      <c r="F1095" s="102"/>
      <c r="G1095" s="108" t="str">
        <f>IF(H1095="ALPHA",PR!$E1093,IF(H1095="ASSENE",PR!$F1093,IF(H1095="BIOFEM",PR!$G1093,IF(H1095="BIOMED",PR!$H1093,IF(H1095="CHI",PR!$I1093,IF(H1095="CLARION",PR!$J1093,IF(H1095="CODIX",PR!$K1093,IF(H1095="COSMADE",PR!$L1093,IF(H1095="SANCON",PR!$M1093,IF(H1095="DEVON",PR!$N1093,IF(H1095="DORTEMAG",PR!$O1093,IF(H1095="DGF",PR!$P1093,IF(H1095="DYNAMIC",PR!$Q1093,IF(H1095="EMZOR",PR!$R1093,IF(H1095="EUMATT",PR!$S1093,IF(H1095="FIDSON",PR!$T1093,IF(H1095="FCGLOBAL",PR!$U1093,IF(H1095="GENEITH",PR!$V1093,IF(H1095="GINOS",PR!$W1093,IF(H1095="GSK",PR!$X1093,IF(H1095="GLOBORG",PR!$Y1093,IF(H1095="GOODNEWS",PR!$Z1093,IF(H1095="GREENLIFE",PR!$AA1093,IF(H1095="HLINE",PR!$AB1093,IF(H1095="ROTECH",PR!$AC1093,IF(H1095="ISN",PR!$AD1093,IF(H1095="JAWA",PR!$AE1093,IF(H1095="LAYO",PR!$AF1093,IF(H1095="LEADWAY",PR!$AG1093,IF(H1095="LHV",PR!$AH1093,IF(H1095="MANOLA",PR!$AI1093,IF(H1095="MARCSON",PR!$AJ1093,IF(H1095="M&amp;B",PR!$AK1093,IF(H1095="MTRUST",PR!$AL1093,IF(H1095="MWORLD",PR!$AM1093,IF(H1095="MEGA",PR!$AN1093,IF(H1095="MICRONOVA",PR!$AO1093,IF(H1095="MFLASH",PR!$AP1093,IF(H1095="MORISON",PR!$AQ1093,IF(H1095="NEMEL",PR!$AR1093,IF(H1095="NHP",PR!$AS1093,IF(H1095="NHC",PR!$AT1093,IF(H1095="OLEAF",PR!$AU1093,IF(H1095="OCULUS",PR!$AV1093,IF(H1095="PACIFIC",PR!$AW1093,IF(H1095="PHAMATEX",PR!$AX1093,IF(H1095="PETHICS",PR!$AY1093,IF(H1095="PHILIPS",PR!$AZ1093,IF(H1095="RANBAXY",PR!$BA1093,IF(H1095="REALS",PR!$BB1093,IF(H1095="ROYAL",PR!$BC1093,IF(H1095="SAM",PR!$BD1093,IF(H1095="SEAGREEN",PR!$BE1093,IF(H1095="SKG",PR!$BF1093,IF(H1095="TAH",PR!$BG1093,IF(H1095="TAYLEK",PR!$BH1093,IF(H1095="TEMITA",PR!$BI1093,IF(H1095="THL",PR!$BJ1093,IF(H1095="UBASTIC",PR!$BK1093,IF(H1095="UNION",PR!$BL1093,IF(H1095="UNIQUE",PR!$BM1093,IF(H1095="VIXA",PR!$BN1093,IF(H1095="WWCV",PR!$BO1093,IF(H1095="ZOLON",PR!$BP1093,"-"))))))))))))))))))))))))))))))))))))))))))))))))))))))))))))))))</f>
        <v>-</v>
      </c>
      <c r="H1095" s="102"/>
      <c r="I1095" s="108" t="str">
        <f>IF(J1095="ALPHA",PR!$E1093,IF(J1095="ASSENE",PR!$F1093,IF(J1095="BIOFEM",PR!$G1093,IF(J1095="BIOMED",PR!$H1093,IF(J1095="CHI",PR!$I1093,IF(J1095="CLARION",PR!$J1093,IF(J1095="CODIX",PR!$K1093,IF(J1095="COSMADE",PR!$L1093,IF(J1095="SANCON",PR!$M1093,IF(J1095="DEVON",PR!$N1093,IF(J1095="DORTEMAG",PR!$O1093,IF(J1095="DGF",PR!$P1093,IF(J1095="DYNAMIC",PR!$Q1093,IF(J1095="EMZOR",PR!$R1093,IF(J1095="EUMATT",PR!$S1093,IF(J1095="FIDSON",PR!$T1093,IF(J1095="FCGLOBAL",PR!$U1093,IF(J1095="GENEITH",PR!$V1093,IF(J1095="GINOS",PR!$W1093,IF(J1095="GSK",PR!$X1093,IF(J1095="GLOBORG",PR!$Y1093,IF(J1095="GOODNEWS",PR!$Z1093,IF(J1095="GREENLIFE",PR!$AA1093,IF(J1095="HLINE",PR!$AB1093,IF(J1095="ROTECH",PR!$AC1093,IF(J1095="ISN",PR!$AD1093,IF(J1095="JAWA",PR!$AE1093,IF(J1095="LAYO",PR!$AF1093,IF(J1095="LEADWAY",PR!$AG1093,IF(J1095="LHV",PR!$AH1093,IF(J1095="MANOLA",PR!$AI1093,IF(J1095="MARCSON",PR!$AJ1093,IF(J1095="M&amp;B",PR!$AK1093,IF(J1095="MTRUST",PR!$AL1093,IF(J1095="MWORLD",PR!$AM1093,IF(J1095="MEGA",PR!$AN1093,IF(J1095="MICRONOVA",PR!$AO1093,IF(J1095="MFLASH",PR!$AP1093,IF(J1095="MORISON",PR!$AQ1093,IF(J1095="NEMEL",PR!$AR1093,IF(J1095="NHP",PR!$AS1093,IF(J1095="NHC",PR!$AT1093,IF(J1095="OLEAF",PR!$AU1093,IF(J1095="OCULUS",PR!$AV1093,IF(J1095="PACIFIC",PR!$AW1093,IF(J1095="PHAMATEX",PR!$AX1093,IF(J1095="PETHICS",PR!$AY1093,IF(J1095="PHILIPS",PR!$AZ1093,IF(J1095="RANBAXY",PR!$BA1093,IF(J1095="REALS",PR!$BB1093,IF(J1095="ROYAL",PR!$BC1093,IF(J1095="SAM",PR!$BD1093,IF(J1095="SEAGREEN",PR!$BE1093,IF(J1095="SKG",PR!$BF1093,IF(J1095="TAH",PR!$BG1093,IF(J1095="TAYLEK",PR!$BH1093,IF(J1095="TEMITA",PR!$BI1093,IF(J1095="THL",PR!$BJ1093,IF(J1095="UBASTIC",PR!$BK1093,IF(J1095="UNION",PR!$BL1093,IF(J1095="UNIQUE",PR!$BM1093,IF(J1095="VIXA",PR!$BN1093,IF(J1095="WWCV",PR!$BO1093,IF(J1095="ZOLON",PR!$BP1093,"-"))))))))))))))))))))))))))))))))))))))))))))))))))))))))))))))))</f>
        <v>-</v>
      </c>
      <c r="J1095" s="102"/>
      <c r="K1095" s="433"/>
      <c r="L1095" s="183" t="b">
        <f>IF(K1095&gt;0,IF(K1095="ALPHA",PR!$E1093,IF(K1095="ASSENE",PR!$F1093,IF(K1095="BIOFEM",PR!$G1093,IF(K1095="BIOMED",PR!$H1093,IF(K1095="CHI",PR!$I1093,IF(K1095="CLARION",PR!$J1093,IF(K1095="CODIX",PR!$K1093,IF(K1095="COSMADE",PR!$L1093,IF(K1095="SANCON",PR!$M1093,IF(K1095="DEVON",PR!$N1093,IF(K1095="DORTEMAG",PR!$O1093,IF(K1095="DGF",PR!$P1093,IF(K1095="DYNAMIC",PR!$Q1093,IF(K1095="EMZOR",PR!$R1093,IF(K1095="EUMATT",PR!$S1093,IF(K1095="FIDSON",PR!$T1093,IF(K1095="FCGLOBAL",PR!$U1093,IF(K1095="GENEITH",PR!$V1093,IF(K1095="GINOS",PR!$W1093,IF(K1095="GSK",PR!$X1093,IF(K1095="GLOBORG",PR!$Y1093,IF(K1095="GOODNEWS",PR!$Z1093,IF(K1095="GREENLIFE",PR!$AA1093,IF(K1095="HLINE",PR!$AB1093,IF(K1095="ROTECH",PR!$AC1093,IF(K1095="ISN",PR!$AD1093,IF(K1095="JAWA",PR!$AE1093,IF(K1095="LAYO",PR!$AF1093,IF(K1095="LEADWAY",PR!$AG1093,IF(K1095="LHV",PR!$AH1093,IF(K1095="MANOLA",PR!$AI1093,IF(K1095="MARCSON",PR!$AJ1093,IF(K1095="M&amp;B",PR!$AK1093,IF(K1095="MTRUST",PR!$AL1093,IF(K1095="MWORLD",PR!$AM1093,IF(K1095="MEGA",PR!$AN1093,IF(K1095="MICRONOVA",PR!$AO1093,IF(K1095="MFLASH",PR!$AP1093,IF(K1095="MORISON",PR!$AQ1093,IF(K1095="NEMEL",PR!$AR1093,IF(K1095="NHP",PR!$AS1093,IF(K1095="NHC",PR!$AT1093,IF(K1095="OLEAF",PR!$AU1093,IF(K1095="OCULUS",PR!$AV1093,IF(K1095="PACIFIC",PR!$AW1093,IF(K1095="PHAMATEX",PR!$AX1093,IF(K1095="PETHICS",PR!$AY1093,IF(K1095="PHILIPS",PR!$AZ1093,IF(K1095="RANBAXY",PR!$BA1093,IF(K1095="REALS",PR!$BB1093,IF(K1095="ROYAL",PR!$BC1093,IF(K1095="SAM",PR!$BD1093,IF(K1095="SEAGREEN",PR!$BE1093,IF(K1095="SKG",PR!$BF1093,IF(K1095="TAH",PR!$BG1093,IF(K1095="TAYLEK",PR!$BH1093,IF(K1095="TEMITA",PR!$BI1093,IF(K1095="THL",PR!$BJ1093,IF(K1095="UBASTIC",PR!$BK1093,IF(K1095="UNION",PR!$BL1093,IF(K1095="UNIQUE",PR!$BM1093,IF(K1095="VIXA",PR!$BN1093,IF(K1095="WWCV",PR!$BO1093,IF(K1095="ZOLON",PR!$BP1093,"-")))))))))))))))))))))))))))))))))))))))))))))))))))))))))))))))))</f>
        <v>0</v>
      </c>
    </row>
    <row r="1096" spans="1:12" ht="18.75" x14ac:dyDescent="0.3">
      <c r="A1096" s="430">
        <f>PR!A1094</f>
        <v>981</v>
      </c>
      <c r="B1096" s="15" t="str">
        <f>PR!B1094</f>
        <v>TRIGLYCERIDE KIT (RANDOX)</v>
      </c>
      <c r="C1096" s="113" t="str">
        <f>PR!D1094</f>
        <v>6*15ml</v>
      </c>
      <c r="D1096" s="113">
        <f>PR!C1094</f>
        <v>36</v>
      </c>
      <c r="E1096" s="108">
        <f>IF(F1096="ALPHA",PR!$E1094,IF(F1096="ASSENE",PR!$F1094,IF(F1096="BIOFEM",PR!$G1094,IF(F1096="BIOMED",PR!$H1094,IF(F1096="CHI",PR!$I1094,IF(F1096="CLARION",PR!$J1094,IF(F1096="CODIX",PR!$K1094,IF(F1096="COSMADE",PR!$L1094,IF(F1096="SANCON",PR!$M1094,IF(F1096="DEVON",PR!$N1094,IF(F1096="DORTEMAG",PR!$O1094,IF(F1096="DGF",PR!$P1094,IF(F1096="DYNAMIC",PR!$Q1094,IF(F1096="EMZOR",PR!$R1094,IF(F1096="EUMATT",PR!$S1094,IF(F1096="FIDSON",PR!$T1094,IF(F1096="FCGLOBAL",PR!$U1094,IF(F1096="GENEITH",PR!$V1094,IF(F1096="GINOS",PR!$W1094,IF(F1096="GSK",PR!$X1094,IF(F1096="GLOBORG",PR!$Y1094,IF(F1096="GOODNEWS",PR!$Z1094,IF(F1096="GREENLIFE",PR!$AA1094,IF(F1096="HLINE",PR!$AB1094,IF(F1096="ROTECH",PR!$AC1094,IF(F1096="ISN",PR!$AD1094,IF(F1096="JAWA",PR!$AE1094,IF(F1096="LAYO",PR!$AF1094,IF(F1096="LEADWAY",PR!$AG1094,IF(F1096="LHV",PR!$AH1094,IF(F1096="MANOLA",PR!$AI1094,IF(F1096="MARCSON",PR!$AJ1094,IF(F1096="M&amp;B",PR!$AK1094,IF(F1096="MTRUST",PR!$AL1094,IF(F1096="MWORLD",PR!$AM1094,IF(F1096="MEGA",PR!$AN1094,IF(F1096="MICRONOVA",PR!$AO1094,IF(F1096="MFLASH",PR!$AP1094,IF(F1096="MORISON",PR!$AQ1094,IF(F1096="NEMEL",PR!$AR1094,IF(F1096="NHP",PR!$AS1094,IF(F1096="NHC",PR!$AT1094,IF(F1096="OLEAF",PR!$AU1094,IF(F1096="OCULUS",PR!$AV1094,IF(F1096="PACIFIC",PR!$AW1094,IF(F1096="PHAMATEX",PR!$AX1094,IF(F1096="PETHICS",PR!$AY1094,IF(F1096="PHILIPS",PR!$AZ1094,IF(F1096="RANBAXY",PR!$BA1094,IF(F1096="REALS",PR!$BB1094,IF(F1096="ROYAL",PR!$BC1094,IF(F1096="SAM",PR!$BD1094,IF(F1096="SEAGREEN",PR!$BE1094,IF(F1096="SKG",PR!$BF1094,IF(F1096="TAH",PR!$BG1094,IF(F1096="TAYLEK",PR!$BH1094,IF(F1096="TEMITA",PR!$BI1094,IF(F1096="THL",PR!$BJ1094,IF(F1096="UBASTIC",PR!$BK1094,IF(F1096="UNION",PR!$BL1094,IF(F1096="UNIQUE",PR!$BM1094,IF(F1096="VIXA",PR!$BN1094,IF(F1096="WWCV",PR!$BO1094,IF(F1096="ZOLON",PR!$BP1094,"-"))))))))))))))))))))))))))))))))))))))))))))))))))))))))))))))))</f>
        <v>19050</v>
      </c>
      <c r="F1096" s="102" t="str">
        <f>EV!L1390</f>
        <v>ROTECH</v>
      </c>
      <c r="G1096" s="108">
        <f>IF(H1096="ALPHA",PR!$E1094,IF(H1096="ASSENE",PR!$F1094,IF(H1096="BIOFEM",PR!$G1094,IF(H1096="BIOMED",PR!$H1094,IF(H1096="CHI",PR!$I1094,IF(H1096="CLARION",PR!$J1094,IF(H1096="CODIX",PR!$K1094,IF(H1096="COSMADE",PR!$L1094,IF(H1096="SANCON",PR!$M1094,IF(H1096="DEVON",PR!$N1094,IF(H1096="DORTEMAG",PR!$O1094,IF(H1096="DGF",PR!$P1094,IF(H1096="DYNAMIC",PR!$Q1094,IF(H1096="EMZOR",PR!$R1094,IF(H1096="EUMATT",PR!$S1094,IF(H1096="FIDSON",PR!$T1094,IF(H1096="FCGLOBAL",PR!$U1094,IF(H1096="GENEITH",PR!$V1094,IF(H1096="GINOS",PR!$W1094,IF(H1096="GSK",PR!$X1094,IF(H1096="GLOBORG",PR!$Y1094,IF(H1096="GOODNEWS",PR!$Z1094,IF(H1096="GREENLIFE",PR!$AA1094,IF(H1096="HLINE",PR!$AB1094,IF(H1096="ROTECH",PR!$AC1094,IF(H1096="ISN",PR!$AD1094,IF(H1096="JAWA",PR!$AE1094,IF(H1096="LAYO",PR!$AF1094,IF(H1096="LEADWAY",PR!$AG1094,IF(H1096="LHV",PR!$AH1094,IF(H1096="MANOLA",PR!$AI1094,IF(H1096="MARCSON",PR!$AJ1094,IF(H1096="M&amp;B",PR!$AK1094,IF(H1096="MTRUST",PR!$AL1094,IF(H1096="MWORLD",PR!$AM1094,IF(H1096="MEGA",PR!$AN1094,IF(H1096="MICRONOVA",PR!$AO1094,IF(H1096="MFLASH",PR!$AP1094,IF(H1096="MORISON",PR!$AQ1094,IF(H1096="NEMEL",PR!$AR1094,IF(H1096="NHP",PR!$AS1094,IF(H1096="NHC",PR!$AT1094,IF(H1096="OLEAF",PR!$AU1094,IF(H1096="OCULUS",PR!$AV1094,IF(H1096="PACIFIC",PR!$AW1094,IF(H1096="PHAMATEX",PR!$AX1094,IF(H1096="PETHICS",PR!$AY1094,IF(H1096="PHILIPS",PR!$AZ1094,IF(H1096="RANBAXY",PR!$BA1094,IF(H1096="REALS",PR!$BB1094,IF(H1096="ROYAL",PR!$BC1094,IF(H1096="SAM",PR!$BD1094,IF(H1096="SEAGREEN",PR!$BE1094,IF(H1096="SKG",PR!$BF1094,IF(H1096="TAH",PR!$BG1094,IF(H1096="TAYLEK",PR!$BH1094,IF(H1096="TEMITA",PR!$BI1094,IF(H1096="THL",PR!$BJ1094,IF(H1096="UBASTIC",PR!$BK1094,IF(H1096="UNION",PR!$BL1094,IF(H1096="UNIQUE",PR!$BM1094,IF(H1096="VIXA",PR!$BN1094,IF(H1096="WWCV",PR!$BO1094,IF(H1096="ZOLON",PR!$BP1094,"-"))))))))))))))))))))))))))))))))))))))))))))))))))))))))))))))))</f>
        <v>20000</v>
      </c>
      <c r="H1096" s="102" t="str">
        <f>EV!M1390</f>
        <v>UBASTIC</v>
      </c>
      <c r="I1096" s="108">
        <f>IF(J1096="ALPHA",PR!$E1094,IF(J1096="ASSENE",PR!$F1094,IF(J1096="BIOFEM",PR!$G1094,IF(J1096="BIOMED",PR!$H1094,IF(J1096="CHI",PR!$I1094,IF(J1096="CLARION",PR!$J1094,IF(J1096="CODIX",PR!$K1094,IF(J1096="COSMADE",PR!$L1094,IF(J1096="SANCON",PR!$M1094,IF(J1096="DEVON",PR!$N1094,IF(J1096="DORTEMAG",PR!$O1094,IF(J1096="DGF",PR!$P1094,IF(J1096="DYNAMIC",PR!$Q1094,IF(J1096="EMZOR",PR!$R1094,IF(J1096="EUMATT",PR!$S1094,IF(J1096="FIDSON",PR!$T1094,IF(J1096="FCGLOBAL",PR!$U1094,IF(J1096="GENEITH",PR!$V1094,IF(J1096="GINOS",PR!$W1094,IF(J1096="GSK",PR!$X1094,IF(J1096="GLOBORG",PR!$Y1094,IF(J1096="GOODNEWS",PR!$Z1094,IF(J1096="GREENLIFE",PR!$AA1094,IF(J1096="HLINE",PR!$AB1094,IF(J1096="ROTECH",PR!$AC1094,IF(J1096="ISN",PR!$AD1094,IF(J1096="JAWA",PR!$AE1094,IF(J1096="LAYO",PR!$AF1094,IF(J1096="LEADWAY",PR!$AG1094,IF(J1096="LHV",PR!$AH1094,IF(J1096="MANOLA",PR!$AI1094,IF(J1096="MARCSON",PR!$AJ1094,IF(J1096="M&amp;B",PR!$AK1094,IF(J1096="MTRUST",PR!$AL1094,IF(J1096="MWORLD",PR!$AM1094,IF(J1096="MEGA",PR!$AN1094,IF(J1096="MICRONOVA",PR!$AO1094,IF(J1096="MFLASH",PR!$AP1094,IF(J1096="MORISON",PR!$AQ1094,IF(J1096="NEMEL",PR!$AR1094,IF(J1096="NHP",PR!$AS1094,IF(J1096="NHC",PR!$AT1094,IF(J1096="OLEAF",PR!$AU1094,IF(J1096="OCULUS",PR!$AV1094,IF(J1096="PACIFIC",PR!$AW1094,IF(J1096="PHAMATEX",PR!$AX1094,IF(J1096="PETHICS",PR!$AY1094,IF(J1096="PHILIPS",PR!$AZ1094,IF(J1096="RANBAXY",PR!$BA1094,IF(J1096="REALS",PR!$BB1094,IF(J1096="ROYAL",PR!$BC1094,IF(J1096="SAM",PR!$BD1094,IF(J1096="SEAGREEN",PR!$BE1094,IF(J1096="SKG",PR!$BF1094,IF(J1096="TAH",PR!$BG1094,IF(J1096="TAYLEK",PR!$BH1094,IF(J1096="TEMITA",PR!$BI1094,IF(J1096="THL",PR!$BJ1094,IF(J1096="UBASTIC",PR!$BK1094,IF(J1096="UNION",PR!$BL1094,IF(J1096="UNIQUE",PR!$BM1094,IF(J1096="VIXA",PR!$BN1094,IF(J1096="WWCV",PR!$BO1094,IF(J1096="ZOLON",PR!$BP1094,"-"))))))))))))))))))))))))))))))))))))))))))))))))))))))))))))))))</f>
        <v>20000</v>
      </c>
      <c r="J1096" s="102" t="str">
        <f>EV!N1390</f>
        <v>SANCON</v>
      </c>
      <c r="K1096" s="433" t="s">
        <v>825</v>
      </c>
      <c r="L1096" s="183">
        <f>IF(K1096&gt;0,IF(K1096="ALPHA",PR!$E1094,IF(K1096="ASSENE",PR!$F1094,IF(K1096="BIOFEM",PR!$G1094,IF(K1096="BIOMED",PR!$H1094,IF(K1096="CHI",PR!$I1094,IF(K1096="CLARION",PR!$J1094,IF(K1096="CODIX",PR!$K1094,IF(K1096="COSMADE",PR!$L1094,IF(K1096="SANCON",PR!$M1094,IF(K1096="DEVON",PR!$N1094,IF(K1096="DORTEMAG",PR!$O1094,IF(K1096="DGF",PR!$P1094,IF(K1096="DYNAMIC",PR!$Q1094,IF(K1096="EMZOR",PR!$R1094,IF(K1096="EUMATT",PR!$S1094,IF(K1096="FIDSON",PR!$T1094,IF(K1096="FCGLOBAL",PR!$U1094,IF(K1096="GENEITH",PR!$V1094,IF(K1096="GINOS",PR!$W1094,IF(K1096="GSK",PR!$X1094,IF(K1096="GLOBORG",PR!$Y1094,IF(K1096="GOODNEWS",PR!$Z1094,IF(K1096="GREENLIFE",PR!$AA1094,IF(K1096="HLINE",PR!$AB1094,IF(K1096="ROTECH",PR!$AC1094,IF(K1096="ISN",PR!$AD1094,IF(K1096="JAWA",PR!$AE1094,IF(K1096="LAYO",PR!$AF1094,IF(K1096="LEADWAY",PR!$AG1094,IF(K1096="LHV",PR!$AH1094,IF(K1096="MANOLA",PR!$AI1094,IF(K1096="MARCSON",PR!$AJ1094,IF(K1096="M&amp;B",PR!$AK1094,IF(K1096="MTRUST",PR!$AL1094,IF(K1096="MWORLD",PR!$AM1094,IF(K1096="MEGA",PR!$AN1094,IF(K1096="MICRONOVA",PR!$AO1094,IF(K1096="MFLASH",PR!$AP1094,IF(K1096="MORISON",PR!$AQ1094,IF(K1096="NEMEL",PR!$AR1094,IF(K1096="NHP",PR!$AS1094,IF(K1096="NHC",PR!$AT1094,IF(K1096="OLEAF",PR!$AU1094,IF(K1096="OCULUS",PR!$AV1094,IF(K1096="PACIFIC",PR!$AW1094,IF(K1096="PHAMATEX",PR!$AX1094,IF(K1096="PETHICS",PR!$AY1094,IF(K1096="PHILIPS",PR!$AZ1094,IF(K1096="RANBAXY",PR!$BA1094,IF(K1096="REALS",PR!$BB1094,IF(K1096="ROYAL",PR!$BC1094,IF(K1096="SAM",PR!$BD1094,IF(K1096="SEAGREEN",PR!$BE1094,IF(K1096="SKG",PR!$BF1094,IF(K1096="TAH",PR!$BG1094,IF(K1096="TAYLEK",PR!$BH1094,IF(K1096="TEMITA",PR!$BI1094,IF(K1096="THL",PR!$BJ1094,IF(K1096="UBASTIC",PR!$BK1094,IF(K1096="UNION",PR!$BL1094,IF(K1096="UNIQUE",PR!$BM1094,IF(K1096="VIXA",PR!$BN1094,IF(K1096="WWCV",PR!$BO1094,IF(K1096="ZOLON",PR!$BP1094,"-")))))))))))))))))))))))))))))))))))))))))))))))))))))))))))))))))</f>
        <v>19050</v>
      </c>
    </row>
    <row r="1097" spans="1:12" ht="18.75" x14ac:dyDescent="0.3">
      <c r="A1097" s="430">
        <f>PR!A1095</f>
        <v>982</v>
      </c>
      <c r="B1097" s="15" t="str">
        <f>PR!B1095</f>
        <v>CHOLESTEROL KIT (RANDOX)</v>
      </c>
      <c r="C1097" s="113" t="str">
        <f>PR!D1095</f>
        <v>6*30ml</v>
      </c>
      <c r="D1097" s="113">
        <f>PR!C1095</f>
        <v>80</v>
      </c>
      <c r="E1097" s="108">
        <f>IF(F1097="ALPHA",PR!$E1095,IF(F1097="ASSENE",PR!$F1095,IF(F1097="BIOFEM",PR!$G1095,IF(F1097="BIOMED",PR!$H1095,IF(F1097="CHI",PR!$I1095,IF(F1097="CLARION",PR!$J1095,IF(F1097="CODIX",PR!$K1095,IF(F1097="COSMADE",PR!$L1095,IF(F1097="SANCON",PR!$M1095,IF(F1097="DEVON",PR!$N1095,IF(F1097="DORTEMAG",PR!$O1095,IF(F1097="DGF",PR!$P1095,IF(F1097="DYNAMIC",PR!$Q1095,IF(F1097="EMZOR",PR!$R1095,IF(F1097="EUMATT",PR!$S1095,IF(F1097="FIDSON",PR!$T1095,IF(F1097="FCGLOBAL",PR!$U1095,IF(F1097="GENEITH",PR!$V1095,IF(F1097="GINOS",PR!$W1095,IF(F1097="GSK",PR!$X1095,IF(F1097="GLOBORG",PR!$Y1095,IF(F1097="GOODNEWS",PR!$Z1095,IF(F1097="GREENLIFE",PR!$AA1095,IF(F1097="HLINE",PR!$AB1095,IF(F1097="ROTECH",PR!$AC1095,IF(F1097="ISN",PR!$AD1095,IF(F1097="JAWA",PR!$AE1095,IF(F1097="LAYO",PR!$AF1095,IF(F1097="LEADWAY",PR!$AG1095,IF(F1097="LHV",PR!$AH1095,IF(F1097="MANOLA",PR!$AI1095,IF(F1097="MARCSON",PR!$AJ1095,IF(F1097="M&amp;B",PR!$AK1095,IF(F1097="MTRUST",PR!$AL1095,IF(F1097="MWORLD",PR!$AM1095,IF(F1097="MEGA",PR!$AN1095,IF(F1097="MICRONOVA",PR!$AO1095,IF(F1097="MFLASH",PR!$AP1095,IF(F1097="MORISON",PR!$AQ1095,IF(F1097="NEMEL",PR!$AR1095,IF(F1097="NHP",PR!$AS1095,IF(F1097="NHC",PR!$AT1095,IF(F1097="OLEAF",PR!$AU1095,IF(F1097="OCULUS",PR!$AV1095,IF(F1097="PACIFIC",PR!$AW1095,IF(F1097="PHAMATEX",PR!$AX1095,IF(F1097="PETHICS",PR!$AY1095,IF(F1097="PHILIPS",PR!$AZ1095,IF(F1097="RANBAXY",PR!$BA1095,IF(F1097="REALS",PR!$BB1095,IF(F1097="ROYAL",PR!$BC1095,IF(F1097="SAM",PR!$BD1095,IF(F1097="SEAGREEN",PR!$BE1095,IF(F1097="SKG",PR!$BF1095,IF(F1097="TAH",PR!$BG1095,IF(F1097="TAYLEK",PR!$BH1095,IF(F1097="TEMITA",PR!$BI1095,IF(F1097="THL",PR!$BJ1095,IF(F1097="UBASTIC",PR!$BK1095,IF(F1097="UNION",PR!$BL1095,IF(F1097="UNIQUE",PR!$BM1095,IF(F1097="VIXA",PR!$BN1095,IF(F1097="WWCV",PR!$BO1095,IF(F1097="ZOLON",PR!$BP1095,"-"))))))))))))))))))))))))))))))))))))))))))))))))))))))))))))))))</f>
        <v>16950</v>
      </c>
      <c r="F1097" s="102" t="str">
        <f>EV!L1391</f>
        <v>ROTECH</v>
      </c>
      <c r="G1097" s="108">
        <f>IF(H1097="ALPHA",PR!$E1095,IF(H1097="ASSENE",PR!$F1095,IF(H1097="BIOFEM",PR!$G1095,IF(H1097="BIOMED",PR!$H1095,IF(H1097="CHI",PR!$I1095,IF(H1097="CLARION",PR!$J1095,IF(H1097="CODIX",PR!$K1095,IF(H1097="COSMADE",PR!$L1095,IF(H1097="SANCON",PR!$M1095,IF(H1097="DEVON",PR!$N1095,IF(H1097="DORTEMAG",PR!$O1095,IF(H1097="DGF",PR!$P1095,IF(H1097="DYNAMIC",PR!$Q1095,IF(H1097="EMZOR",PR!$R1095,IF(H1097="EUMATT",PR!$S1095,IF(H1097="FIDSON",PR!$T1095,IF(H1097="FCGLOBAL",PR!$U1095,IF(H1097="GENEITH",PR!$V1095,IF(H1097="GINOS",PR!$W1095,IF(H1097="GSK",PR!$X1095,IF(H1097="GLOBORG",PR!$Y1095,IF(H1097="GOODNEWS",PR!$Z1095,IF(H1097="GREENLIFE",PR!$AA1095,IF(H1097="HLINE",PR!$AB1095,IF(H1097="ROTECH",PR!$AC1095,IF(H1097="ISN",PR!$AD1095,IF(H1097="JAWA",PR!$AE1095,IF(H1097="LAYO",PR!$AF1095,IF(H1097="LEADWAY",PR!$AG1095,IF(H1097="LHV",PR!$AH1095,IF(H1097="MANOLA",PR!$AI1095,IF(H1097="MARCSON",PR!$AJ1095,IF(H1097="M&amp;B",PR!$AK1095,IF(H1097="MTRUST",PR!$AL1095,IF(H1097="MWORLD",PR!$AM1095,IF(H1097="MEGA",PR!$AN1095,IF(H1097="MICRONOVA",PR!$AO1095,IF(H1097="MFLASH",PR!$AP1095,IF(H1097="MORISON",PR!$AQ1095,IF(H1097="NEMEL",PR!$AR1095,IF(H1097="NHP",PR!$AS1095,IF(H1097="NHC",PR!$AT1095,IF(H1097="OLEAF",PR!$AU1095,IF(H1097="OCULUS",PR!$AV1095,IF(H1097="PACIFIC",PR!$AW1095,IF(H1097="PHAMATEX",PR!$AX1095,IF(H1097="PETHICS",PR!$AY1095,IF(H1097="PHILIPS",PR!$AZ1095,IF(H1097="RANBAXY",PR!$BA1095,IF(H1097="REALS",PR!$BB1095,IF(H1097="ROYAL",PR!$BC1095,IF(H1097="SAM",PR!$BD1095,IF(H1097="SEAGREEN",PR!$BE1095,IF(H1097="SKG",PR!$BF1095,IF(H1097="TAH",PR!$BG1095,IF(H1097="TAYLEK",PR!$BH1095,IF(H1097="TEMITA",PR!$BI1095,IF(H1097="THL",PR!$BJ1095,IF(H1097="UBASTIC",PR!$BK1095,IF(H1097="UNION",PR!$BL1095,IF(H1097="UNIQUE",PR!$BM1095,IF(H1097="VIXA",PR!$BN1095,IF(H1097="WWCV",PR!$BO1095,IF(H1097="ZOLON",PR!$BP1095,"-"))))))))))))))))))))))))))))))))))))))))))))))))))))))))))))))))</f>
        <v>18000</v>
      </c>
      <c r="H1097" s="102" t="str">
        <f>EV!M1391</f>
        <v>SANCON</v>
      </c>
      <c r="I1097" s="108">
        <f>IF(J1097="ALPHA",PR!$E1095,IF(J1097="ASSENE",PR!$F1095,IF(J1097="BIOFEM",PR!$G1095,IF(J1097="BIOMED",PR!$H1095,IF(J1097="CHI",PR!$I1095,IF(J1097="CLARION",PR!$J1095,IF(J1097="CODIX",PR!$K1095,IF(J1097="COSMADE",PR!$L1095,IF(J1097="SANCON",PR!$M1095,IF(J1097="DEVON",PR!$N1095,IF(J1097="DORTEMAG",PR!$O1095,IF(J1097="DGF",PR!$P1095,IF(J1097="DYNAMIC",PR!$Q1095,IF(J1097="EMZOR",PR!$R1095,IF(J1097="EUMATT",PR!$S1095,IF(J1097="FIDSON",PR!$T1095,IF(J1097="FCGLOBAL",PR!$U1095,IF(J1097="GENEITH",PR!$V1095,IF(J1097="GINOS",PR!$W1095,IF(J1097="GSK",PR!$X1095,IF(J1097="GLOBORG",PR!$Y1095,IF(J1097="GOODNEWS",PR!$Z1095,IF(J1097="GREENLIFE",PR!$AA1095,IF(J1097="HLINE",PR!$AB1095,IF(J1097="ROTECH",PR!$AC1095,IF(J1097="ISN",PR!$AD1095,IF(J1097="JAWA",PR!$AE1095,IF(J1097="LAYO",PR!$AF1095,IF(J1097="LEADWAY",PR!$AG1095,IF(J1097="LHV",PR!$AH1095,IF(J1097="MANOLA",PR!$AI1095,IF(J1097="MARCSON",PR!$AJ1095,IF(J1097="M&amp;B",PR!$AK1095,IF(J1097="MTRUST",PR!$AL1095,IF(J1097="MWORLD",PR!$AM1095,IF(J1097="MEGA",PR!$AN1095,IF(J1097="MICRONOVA",PR!$AO1095,IF(J1097="MFLASH",PR!$AP1095,IF(J1097="MORISON",PR!$AQ1095,IF(J1097="NEMEL",PR!$AR1095,IF(J1097="NHP",PR!$AS1095,IF(J1097="NHC",PR!$AT1095,IF(J1097="OLEAF",PR!$AU1095,IF(J1097="OCULUS",PR!$AV1095,IF(J1097="PACIFIC",PR!$AW1095,IF(J1097="PHAMATEX",PR!$AX1095,IF(J1097="PETHICS",PR!$AY1095,IF(J1097="PHILIPS",PR!$AZ1095,IF(J1097="RANBAXY",PR!$BA1095,IF(J1097="REALS",PR!$BB1095,IF(J1097="ROYAL",PR!$BC1095,IF(J1097="SAM",PR!$BD1095,IF(J1097="SEAGREEN",PR!$BE1095,IF(J1097="SKG",PR!$BF1095,IF(J1097="TAH",PR!$BG1095,IF(J1097="TAYLEK",PR!$BH1095,IF(J1097="TEMITA",PR!$BI1095,IF(J1097="THL",PR!$BJ1095,IF(J1097="UBASTIC",PR!$BK1095,IF(J1097="UNION",PR!$BL1095,IF(J1097="UNIQUE",PR!$BM1095,IF(J1097="VIXA",PR!$BN1095,IF(J1097="WWCV",PR!$BO1095,IF(J1097="ZOLON",PR!$BP1095,"-"))))))))))))))))))))))))))))))))))))))))))))))))))))))))))))))))</f>
        <v>18000</v>
      </c>
      <c r="J1097" s="102" t="str">
        <f>EV!N1391</f>
        <v>UBASTIC</v>
      </c>
      <c r="K1097" s="433" t="s">
        <v>825</v>
      </c>
      <c r="L1097" s="183">
        <f>IF(K1097&gt;0,IF(K1097="ALPHA",PR!$E1095,IF(K1097="ASSENE",PR!$F1095,IF(K1097="BIOFEM",PR!$G1095,IF(K1097="BIOMED",PR!$H1095,IF(K1097="CHI",PR!$I1095,IF(K1097="CLARION",PR!$J1095,IF(K1097="CODIX",PR!$K1095,IF(K1097="COSMADE",PR!$L1095,IF(K1097="SANCON",PR!$M1095,IF(K1097="DEVON",PR!$N1095,IF(K1097="DORTEMAG",PR!$O1095,IF(K1097="DGF",PR!$P1095,IF(K1097="DYNAMIC",PR!$Q1095,IF(K1097="EMZOR",PR!$R1095,IF(K1097="EUMATT",PR!$S1095,IF(K1097="FIDSON",PR!$T1095,IF(K1097="FCGLOBAL",PR!$U1095,IF(K1097="GENEITH",PR!$V1095,IF(K1097="GINOS",PR!$W1095,IF(K1097="GSK",PR!$X1095,IF(K1097="GLOBORG",PR!$Y1095,IF(K1097="GOODNEWS",PR!$Z1095,IF(K1097="GREENLIFE",PR!$AA1095,IF(K1097="HLINE",PR!$AB1095,IF(K1097="ROTECH",PR!$AC1095,IF(K1097="ISN",PR!$AD1095,IF(K1097="JAWA",PR!$AE1095,IF(K1097="LAYO",PR!$AF1095,IF(K1097="LEADWAY",PR!$AG1095,IF(K1097="LHV",PR!$AH1095,IF(K1097="MANOLA",PR!$AI1095,IF(K1097="MARCSON",PR!$AJ1095,IF(K1097="M&amp;B",PR!$AK1095,IF(K1097="MTRUST",PR!$AL1095,IF(K1097="MWORLD",PR!$AM1095,IF(K1097="MEGA",PR!$AN1095,IF(K1097="MICRONOVA",PR!$AO1095,IF(K1097="MFLASH",PR!$AP1095,IF(K1097="MORISON",PR!$AQ1095,IF(K1097="NEMEL",PR!$AR1095,IF(K1097="NHP",PR!$AS1095,IF(K1097="NHC",PR!$AT1095,IF(K1097="OLEAF",PR!$AU1095,IF(K1097="OCULUS",PR!$AV1095,IF(K1097="PACIFIC",PR!$AW1095,IF(K1097="PHAMATEX",PR!$AX1095,IF(K1097="PETHICS",PR!$AY1095,IF(K1097="PHILIPS",PR!$AZ1095,IF(K1097="RANBAXY",PR!$BA1095,IF(K1097="REALS",PR!$BB1095,IF(K1097="ROYAL",PR!$BC1095,IF(K1097="SAM",PR!$BD1095,IF(K1097="SEAGREEN",PR!$BE1095,IF(K1097="SKG",PR!$BF1095,IF(K1097="TAH",PR!$BG1095,IF(K1097="TAYLEK",PR!$BH1095,IF(K1097="TEMITA",PR!$BI1095,IF(K1097="THL",PR!$BJ1095,IF(K1097="UBASTIC",PR!$BK1095,IF(K1097="UNION",PR!$BL1095,IF(K1097="UNIQUE",PR!$BM1095,IF(K1097="VIXA",PR!$BN1095,IF(K1097="WWCV",PR!$BO1095,IF(K1097="ZOLON",PR!$BP1095,"-")))))))))))))))))))))))))))))))))))))))))))))))))))))))))))))))))</f>
        <v>16950</v>
      </c>
    </row>
    <row r="1098" spans="1:12" ht="18.75" x14ac:dyDescent="0.3">
      <c r="A1098" s="430">
        <f>PR!A1096</f>
        <v>983</v>
      </c>
      <c r="B1098" s="15" t="str">
        <f>PR!B1096</f>
        <v>CALCIUM KIT (RANDOX)</v>
      </c>
      <c r="C1098" s="113" t="str">
        <f>PR!D1096</f>
        <v>2*100ml</v>
      </c>
      <c r="D1098" s="113">
        <f>PR!C1096</f>
        <v>24</v>
      </c>
      <c r="E1098" s="108">
        <f>IF(F1098="ALPHA",PR!$E1096,IF(F1098="ASSENE",PR!$F1096,IF(F1098="BIOFEM",PR!$G1096,IF(F1098="BIOMED",PR!$H1096,IF(F1098="CHI",PR!$I1096,IF(F1098="CLARION",PR!$J1096,IF(F1098="CODIX",PR!$K1096,IF(F1098="COSMADE",PR!$L1096,IF(F1098="SANCON",PR!$M1096,IF(F1098="DEVON",PR!$N1096,IF(F1098="DORTEMAG",PR!$O1096,IF(F1098="DGF",PR!$P1096,IF(F1098="DYNAMIC",PR!$Q1096,IF(F1098="EMZOR",PR!$R1096,IF(F1098="EUMATT",PR!$S1096,IF(F1098="FIDSON",PR!$T1096,IF(F1098="FCGLOBAL",PR!$U1096,IF(F1098="GENEITH",PR!$V1096,IF(F1098="GINOS",PR!$W1096,IF(F1098="GSK",PR!$X1096,IF(F1098="GLOBORG",PR!$Y1096,IF(F1098="GOODNEWS",PR!$Z1096,IF(F1098="GREENLIFE",PR!$AA1096,IF(F1098="HLINE",PR!$AB1096,IF(F1098="ROTECH",PR!$AC1096,IF(F1098="ISN",PR!$AD1096,IF(F1098="JAWA",PR!$AE1096,IF(F1098="LAYO",PR!$AF1096,IF(F1098="LEADWAY",PR!$AG1096,IF(F1098="LHV",PR!$AH1096,IF(F1098="MANOLA",PR!$AI1096,IF(F1098="MARCSON",PR!$AJ1096,IF(F1098="M&amp;B",PR!$AK1096,IF(F1098="MTRUST",PR!$AL1096,IF(F1098="MWORLD",PR!$AM1096,IF(F1098="MEGA",PR!$AN1096,IF(F1098="MICRONOVA",PR!$AO1096,IF(F1098="MFLASH",PR!$AP1096,IF(F1098="MORISON",PR!$AQ1096,IF(F1098="NEMEL",PR!$AR1096,IF(F1098="NHP",PR!$AS1096,IF(F1098="NHC",PR!$AT1096,IF(F1098="OLEAF",PR!$AU1096,IF(F1098="OCULUS",PR!$AV1096,IF(F1098="PACIFIC",PR!$AW1096,IF(F1098="PHAMATEX",PR!$AX1096,IF(F1098="PETHICS",PR!$AY1096,IF(F1098="PHILIPS",PR!$AZ1096,IF(F1098="RANBAXY",PR!$BA1096,IF(F1098="REALS",PR!$BB1096,IF(F1098="ROYAL",PR!$BC1096,IF(F1098="SAM",PR!$BD1096,IF(F1098="SEAGREEN",PR!$BE1096,IF(F1098="SKG",PR!$BF1096,IF(F1098="TAH",PR!$BG1096,IF(F1098="TAYLEK",PR!$BH1096,IF(F1098="TEMITA",PR!$BI1096,IF(F1098="THL",PR!$BJ1096,IF(F1098="UBASTIC",PR!$BK1096,IF(F1098="UNION",PR!$BL1096,IF(F1098="UNIQUE",PR!$BM1096,IF(F1098="VIXA",PR!$BN1096,IF(F1098="WWCV",PR!$BO1096,IF(F1098="ZOLON",PR!$BP1096,"-"))))))))))))))))))))))))))))))))))))))))))))))))))))))))))))))))</f>
        <v>14690</v>
      </c>
      <c r="F1098" s="102" t="str">
        <f>EV!L1392</f>
        <v>ROTECH</v>
      </c>
      <c r="G1098" s="108">
        <f>IF(H1098="ALPHA",PR!$E1096,IF(H1098="ASSENE",PR!$F1096,IF(H1098="BIOFEM",PR!$G1096,IF(H1098="BIOMED",PR!$H1096,IF(H1098="CHI",PR!$I1096,IF(H1098="CLARION",PR!$J1096,IF(H1098="CODIX",PR!$K1096,IF(H1098="COSMADE",PR!$L1096,IF(H1098="SANCON",PR!$M1096,IF(H1098="DEVON",PR!$N1096,IF(H1098="DORTEMAG",PR!$O1096,IF(H1098="DGF",PR!$P1096,IF(H1098="DYNAMIC",PR!$Q1096,IF(H1098="EMZOR",PR!$R1096,IF(H1098="EUMATT",PR!$S1096,IF(H1098="FIDSON",PR!$T1096,IF(H1098="FCGLOBAL",PR!$U1096,IF(H1098="GENEITH",PR!$V1096,IF(H1098="GINOS",PR!$W1096,IF(H1098="GSK",PR!$X1096,IF(H1098="GLOBORG",PR!$Y1096,IF(H1098="GOODNEWS",PR!$Z1096,IF(H1098="GREENLIFE",PR!$AA1096,IF(H1098="HLINE",PR!$AB1096,IF(H1098="ROTECH",PR!$AC1096,IF(H1098="ISN",PR!$AD1096,IF(H1098="JAWA",PR!$AE1096,IF(H1098="LAYO",PR!$AF1096,IF(H1098="LEADWAY",PR!$AG1096,IF(H1098="LHV",PR!$AH1096,IF(H1098="MANOLA",PR!$AI1096,IF(H1098="MARCSON",PR!$AJ1096,IF(H1098="M&amp;B",PR!$AK1096,IF(H1098="MTRUST",PR!$AL1096,IF(H1098="MWORLD",PR!$AM1096,IF(H1098="MEGA",PR!$AN1096,IF(H1098="MICRONOVA",PR!$AO1096,IF(H1098="MFLASH",PR!$AP1096,IF(H1098="MORISON",PR!$AQ1096,IF(H1098="NEMEL",PR!$AR1096,IF(H1098="NHP",PR!$AS1096,IF(H1098="NHC",PR!$AT1096,IF(H1098="OLEAF",PR!$AU1096,IF(H1098="OCULUS",PR!$AV1096,IF(H1098="PACIFIC",PR!$AW1096,IF(H1098="PHAMATEX",PR!$AX1096,IF(H1098="PETHICS",PR!$AY1096,IF(H1098="PHILIPS",PR!$AZ1096,IF(H1098="RANBAXY",PR!$BA1096,IF(H1098="REALS",PR!$BB1096,IF(H1098="ROYAL",PR!$BC1096,IF(H1098="SAM",PR!$BD1096,IF(H1098="SEAGREEN",PR!$BE1096,IF(H1098="SKG",PR!$BF1096,IF(H1098="TAH",PR!$BG1096,IF(H1098="TAYLEK",PR!$BH1096,IF(H1098="TEMITA",PR!$BI1096,IF(H1098="THL",PR!$BJ1096,IF(H1098="UBASTIC",PR!$BK1096,IF(H1098="UNION",PR!$BL1096,IF(H1098="UNIQUE",PR!$BM1096,IF(H1098="VIXA",PR!$BN1096,IF(H1098="WWCV",PR!$BO1096,IF(H1098="ZOLON",PR!$BP1096,"-"))))))))))))))))))))))))))))))))))))))))))))))))))))))))))))))))</f>
        <v>15000</v>
      </c>
      <c r="H1098" s="102" t="str">
        <f>EV!M1392</f>
        <v>UBASTIC</v>
      </c>
      <c r="I1098" s="108">
        <f>IF(J1098="ALPHA",PR!$E1096,IF(J1098="ASSENE",PR!$F1096,IF(J1098="BIOFEM",PR!$G1096,IF(J1098="BIOMED",PR!$H1096,IF(J1098="CHI",PR!$I1096,IF(J1098="CLARION",PR!$J1096,IF(J1098="CODIX",PR!$K1096,IF(J1098="COSMADE",PR!$L1096,IF(J1098="SANCON",PR!$M1096,IF(J1098="DEVON",PR!$N1096,IF(J1098="DORTEMAG",PR!$O1096,IF(J1098="DGF",PR!$P1096,IF(J1098="DYNAMIC",PR!$Q1096,IF(J1098="EMZOR",PR!$R1096,IF(J1098="EUMATT",PR!$S1096,IF(J1098="FIDSON",PR!$T1096,IF(J1098="FCGLOBAL",PR!$U1096,IF(J1098="GENEITH",PR!$V1096,IF(J1098="GINOS",PR!$W1096,IF(J1098="GSK",PR!$X1096,IF(J1098="GLOBORG",PR!$Y1096,IF(J1098="GOODNEWS",PR!$Z1096,IF(J1098="GREENLIFE",PR!$AA1096,IF(J1098="HLINE",PR!$AB1096,IF(J1098="ROTECH",PR!$AC1096,IF(J1098="ISN",PR!$AD1096,IF(J1098="JAWA",PR!$AE1096,IF(J1098="LAYO",PR!$AF1096,IF(J1098="LEADWAY",PR!$AG1096,IF(J1098="LHV",PR!$AH1096,IF(J1098="MANOLA",PR!$AI1096,IF(J1098="MARCSON",PR!$AJ1096,IF(J1098="M&amp;B",PR!$AK1096,IF(J1098="MTRUST",PR!$AL1096,IF(J1098="MWORLD",PR!$AM1096,IF(J1098="MEGA",PR!$AN1096,IF(J1098="MICRONOVA",PR!$AO1096,IF(J1098="MFLASH",PR!$AP1096,IF(J1098="MORISON",PR!$AQ1096,IF(J1098="NEMEL",PR!$AR1096,IF(J1098="NHP",PR!$AS1096,IF(J1098="NHC",PR!$AT1096,IF(J1098="OLEAF",PR!$AU1096,IF(J1098="OCULUS",PR!$AV1096,IF(J1098="PACIFIC",PR!$AW1096,IF(J1098="PHAMATEX",PR!$AX1096,IF(J1098="PETHICS",PR!$AY1096,IF(J1098="PHILIPS",PR!$AZ1096,IF(J1098="RANBAXY",PR!$BA1096,IF(J1098="REALS",PR!$BB1096,IF(J1098="ROYAL",PR!$BC1096,IF(J1098="SAM",PR!$BD1096,IF(J1098="SEAGREEN",PR!$BE1096,IF(J1098="SKG",PR!$BF1096,IF(J1098="TAH",PR!$BG1096,IF(J1098="TAYLEK",PR!$BH1096,IF(J1098="TEMITA",PR!$BI1096,IF(J1098="THL",PR!$BJ1096,IF(J1098="UBASTIC",PR!$BK1096,IF(J1098="UNION",PR!$BL1096,IF(J1098="UNIQUE",PR!$BM1096,IF(J1098="VIXA",PR!$BN1096,IF(J1098="WWCV",PR!$BO1096,IF(J1098="ZOLON",PR!$BP1096,"-"))))))))))))))))))))))))))))))))))))))))))))))))))))))))))))))))</f>
        <v>15500</v>
      </c>
      <c r="J1098" s="102" t="str">
        <f>EV!N1392</f>
        <v>SANCON</v>
      </c>
      <c r="K1098" s="433" t="s">
        <v>817</v>
      </c>
      <c r="L1098" s="183">
        <f>IF(K1098&gt;0,IF(K1098="ALPHA",PR!$E1096,IF(K1098="ASSENE",PR!$F1096,IF(K1098="BIOFEM",PR!$G1096,IF(K1098="BIOMED",PR!$H1096,IF(K1098="CHI",PR!$I1096,IF(K1098="CLARION",PR!$J1096,IF(K1098="CODIX",PR!$K1096,IF(K1098="COSMADE",PR!$L1096,IF(K1098="SANCON",PR!$M1096,IF(K1098="DEVON",PR!$N1096,IF(K1098="DORTEMAG",PR!$O1096,IF(K1098="DGF",PR!$P1096,IF(K1098="DYNAMIC",PR!$Q1096,IF(K1098="EMZOR",PR!$R1096,IF(K1098="EUMATT",PR!$S1096,IF(K1098="FIDSON",PR!$T1096,IF(K1098="FCGLOBAL",PR!$U1096,IF(K1098="GENEITH",PR!$V1096,IF(K1098="GINOS",PR!$W1096,IF(K1098="GSK",PR!$X1096,IF(K1098="GLOBORG",PR!$Y1096,IF(K1098="GOODNEWS",PR!$Z1096,IF(K1098="GREENLIFE",PR!$AA1096,IF(K1098="HLINE",PR!$AB1096,IF(K1098="ROTECH",PR!$AC1096,IF(K1098="ISN",PR!$AD1096,IF(K1098="JAWA",PR!$AE1096,IF(K1098="LAYO",PR!$AF1096,IF(K1098="LEADWAY",PR!$AG1096,IF(K1098="LHV",PR!$AH1096,IF(K1098="MANOLA",PR!$AI1096,IF(K1098="MARCSON",PR!$AJ1096,IF(K1098="M&amp;B",PR!$AK1096,IF(K1098="MTRUST",PR!$AL1096,IF(K1098="MWORLD",PR!$AM1096,IF(K1098="MEGA",PR!$AN1096,IF(K1098="MICRONOVA",PR!$AO1096,IF(K1098="MFLASH",PR!$AP1096,IF(K1098="MORISON",PR!$AQ1096,IF(K1098="NEMEL",PR!$AR1096,IF(K1098="NHP",PR!$AS1096,IF(K1098="NHC",PR!$AT1096,IF(K1098="OLEAF",PR!$AU1096,IF(K1098="OCULUS",PR!$AV1096,IF(K1098="PACIFIC",PR!$AW1096,IF(K1098="PHAMATEX",PR!$AX1096,IF(K1098="PETHICS",PR!$AY1096,IF(K1098="PHILIPS",PR!$AZ1096,IF(K1098="RANBAXY",PR!$BA1096,IF(K1098="REALS",PR!$BB1096,IF(K1098="ROYAL",PR!$BC1096,IF(K1098="SAM",PR!$BD1096,IF(K1098="SEAGREEN",PR!$BE1096,IF(K1098="SKG",PR!$BF1096,IF(K1098="TAH",PR!$BG1096,IF(K1098="TAYLEK",PR!$BH1096,IF(K1098="TEMITA",PR!$BI1096,IF(K1098="THL",PR!$BJ1096,IF(K1098="UBASTIC",PR!$BK1096,IF(K1098="UNION",PR!$BL1096,IF(K1098="UNIQUE",PR!$BM1096,IF(K1098="VIXA",PR!$BN1096,IF(K1098="WWCV",PR!$BO1096,IF(K1098="ZOLON",PR!$BP1096,"-")))))))))))))))))))))))))))))))))))))))))))))))))))))))))))))))))</f>
        <v>15500</v>
      </c>
    </row>
    <row r="1099" spans="1:12" ht="18.75" x14ac:dyDescent="0.3">
      <c r="A1099" s="430">
        <f>PR!A1097</f>
        <v>984</v>
      </c>
      <c r="B1099" s="15" t="str">
        <f>PR!B1097</f>
        <v>PHOSPHORUS KIT (SFRI)</v>
      </c>
      <c r="C1099" s="113" t="str">
        <f>PR!D1097</f>
        <v>1*300ml</v>
      </c>
      <c r="D1099" s="113">
        <f>PR!C1097</f>
        <v>16</v>
      </c>
      <c r="E1099" s="108">
        <f>IF(F1099="ALPHA",PR!$E1097,IF(F1099="ASSENE",PR!$F1097,IF(F1099="BIOFEM",PR!$G1097,IF(F1099="BIOMED",PR!$H1097,IF(F1099="CHI",PR!$I1097,IF(F1099="CLARION",PR!$J1097,IF(F1099="CODIX",PR!$K1097,IF(F1099="COSMADE",PR!$L1097,IF(F1099="SANCON",PR!$M1097,IF(F1099="DEVON",PR!$N1097,IF(F1099="DORTEMAG",PR!$O1097,IF(F1099="DGF",PR!$P1097,IF(F1099="DYNAMIC",PR!$Q1097,IF(F1099="EMZOR",PR!$R1097,IF(F1099="EUMATT",PR!$S1097,IF(F1099="FIDSON",PR!$T1097,IF(F1099="FCGLOBAL",PR!$U1097,IF(F1099="GENEITH",PR!$V1097,IF(F1099="GINOS",PR!$W1097,IF(F1099="GSK",PR!$X1097,IF(F1099="GLOBORG",PR!$Y1097,IF(F1099="GOODNEWS",PR!$Z1097,IF(F1099="GREENLIFE",PR!$AA1097,IF(F1099="HLINE",PR!$AB1097,IF(F1099="ROTECH",PR!$AC1097,IF(F1099="ISN",PR!$AD1097,IF(F1099="JAWA",PR!$AE1097,IF(F1099="LAYO",PR!$AF1097,IF(F1099="LEADWAY",PR!$AG1097,IF(F1099="LHV",PR!$AH1097,IF(F1099="MANOLA",PR!$AI1097,IF(F1099="MARCSON",PR!$AJ1097,IF(F1099="M&amp;B",PR!$AK1097,IF(F1099="MTRUST",PR!$AL1097,IF(F1099="MWORLD",PR!$AM1097,IF(F1099="MEGA",PR!$AN1097,IF(F1099="MICRONOVA",PR!$AO1097,IF(F1099="MFLASH",PR!$AP1097,IF(F1099="MORISON",PR!$AQ1097,IF(F1099="NEMEL",PR!$AR1097,IF(F1099="NHP",PR!$AS1097,IF(F1099="NHC",PR!$AT1097,IF(F1099="OLEAF",PR!$AU1097,IF(F1099="OCULUS",PR!$AV1097,IF(F1099="PACIFIC",PR!$AW1097,IF(F1099="PHAMATEX",PR!$AX1097,IF(F1099="PETHICS",PR!$AY1097,IF(F1099="PHILIPS",PR!$AZ1097,IF(F1099="RANBAXY",PR!$BA1097,IF(F1099="REALS",PR!$BB1097,IF(F1099="ROYAL",PR!$BC1097,IF(F1099="SAM",PR!$BD1097,IF(F1099="SEAGREEN",PR!$BE1097,IF(F1099="SKG",PR!$BF1097,IF(F1099="TAH",PR!$BG1097,IF(F1099="TAYLEK",PR!$BH1097,IF(F1099="TEMITA",PR!$BI1097,IF(F1099="THL",PR!$BJ1097,IF(F1099="UBASTIC",PR!$BK1097,IF(F1099="UNION",PR!$BL1097,IF(F1099="UNIQUE",PR!$BM1097,IF(F1099="VIXA",PR!$BN1097,IF(F1099="WWCV",PR!$BO1097,IF(F1099="ZOLON",PR!$BP1097,"-"))))))))))))))))))))))))))))))))))))))))))))))))))))))))))))))))</f>
        <v>13560</v>
      </c>
      <c r="F1099" s="102" t="str">
        <f>EV!L1393</f>
        <v>ROTECH</v>
      </c>
      <c r="G1099" s="108">
        <f>IF(H1099="ALPHA",PR!$E1097,IF(H1099="ASSENE",PR!$F1097,IF(H1099="BIOFEM",PR!$G1097,IF(H1099="BIOMED",PR!$H1097,IF(H1099="CHI",PR!$I1097,IF(H1099="CLARION",PR!$J1097,IF(H1099="CODIX",PR!$K1097,IF(H1099="COSMADE",PR!$L1097,IF(H1099="SANCON",PR!$M1097,IF(H1099="DEVON",PR!$N1097,IF(H1099="DORTEMAG",PR!$O1097,IF(H1099="DGF",PR!$P1097,IF(H1099="DYNAMIC",PR!$Q1097,IF(H1099="EMZOR",PR!$R1097,IF(H1099="EUMATT",PR!$S1097,IF(H1099="FIDSON",PR!$T1097,IF(H1099="FCGLOBAL",PR!$U1097,IF(H1099="GENEITH",PR!$V1097,IF(H1099="GINOS",PR!$W1097,IF(H1099="GSK",PR!$X1097,IF(H1099="GLOBORG",PR!$Y1097,IF(H1099="GOODNEWS",PR!$Z1097,IF(H1099="GREENLIFE",PR!$AA1097,IF(H1099="HLINE",PR!$AB1097,IF(H1099="ROTECH",PR!$AC1097,IF(H1099="ISN",PR!$AD1097,IF(H1099="JAWA",PR!$AE1097,IF(H1099="LAYO",PR!$AF1097,IF(H1099="LEADWAY",PR!$AG1097,IF(H1099="LHV",PR!$AH1097,IF(H1099="MANOLA",PR!$AI1097,IF(H1099="MARCSON",PR!$AJ1097,IF(H1099="M&amp;B",PR!$AK1097,IF(H1099="MTRUST",PR!$AL1097,IF(H1099="MWORLD",PR!$AM1097,IF(H1099="MEGA",PR!$AN1097,IF(H1099="MICRONOVA",PR!$AO1097,IF(H1099="MFLASH",PR!$AP1097,IF(H1099="MORISON",PR!$AQ1097,IF(H1099="NEMEL",PR!$AR1097,IF(H1099="NHP",PR!$AS1097,IF(H1099="NHC",PR!$AT1097,IF(H1099="OLEAF",PR!$AU1097,IF(H1099="OCULUS",PR!$AV1097,IF(H1099="PACIFIC",PR!$AW1097,IF(H1099="PHAMATEX",PR!$AX1097,IF(H1099="PETHICS",PR!$AY1097,IF(H1099="PHILIPS",PR!$AZ1097,IF(H1099="RANBAXY",PR!$BA1097,IF(H1099="REALS",PR!$BB1097,IF(H1099="ROYAL",PR!$BC1097,IF(H1099="SAM",PR!$BD1097,IF(H1099="SEAGREEN",PR!$BE1097,IF(H1099="SKG",PR!$BF1097,IF(H1099="TAH",PR!$BG1097,IF(H1099="TAYLEK",PR!$BH1097,IF(H1099="TEMITA",PR!$BI1097,IF(H1099="THL",PR!$BJ1097,IF(H1099="UBASTIC",PR!$BK1097,IF(H1099="UNION",PR!$BL1097,IF(H1099="UNIQUE",PR!$BM1097,IF(H1099="VIXA",PR!$BN1097,IF(H1099="WWCV",PR!$BO1097,IF(H1099="ZOLON",PR!$BP1097,"-"))))))))))))))))))))))))))))))))))))))))))))))))))))))))))))))))</f>
        <v>25625</v>
      </c>
      <c r="H1099" s="102" t="str">
        <f>EV!M1393</f>
        <v>DYNAMIC</v>
      </c>
      <c r="I1099" s="108" t="str">
        <f>IF(J1099="ALPHA",PR!$E1097,IF(J1099="ASSENE",PR!$F1097,IF(J1099="BIOFEM",PR!$G1097,IF(J1099="BIOMED",PR!$H1097,IF(J1099="CHI",PR!$I1097,IF(J1099="CLARION",PR!$J1097,IF(J1099="CODIX",PR!$K1097,IF(J1099="COSMADE",PR!$L1097,IF(J1099="SANCON",PR!$M1097,IF(J1099="DEVON",PR!$N1097,IF(J1099="DORTEMAG",PR!$O1097,IF(J1099="DGF",PR!$P1097,IF(J1099="DYNAMIC",PR!$Q1097,IF(J1099="EMZOR",PR!$R1097,IF(J1099="EUMATT",PR!$S1097,IF(J1099="FIDSON",PR!$T1097,IF(J1099="FCGLOBAL",PR!$U1097,IF(J1099="GENEITH",PR!$V1097,IF(J1099="GINOS",PR!$W1097,IF(J1099="GSK",PR!$X1097,IF(J1099="GLOBORG",PR!$Y1097,IF(J1099="GOODNEWS",PR!$Z1097,IF(J1099="GREENLIFE",PR!$AA1097,IF(J1099="HLINE",PR!$AB1097,IF(J1099="ROTECH",PR!$AC1097,IF(J1099="ISN",PR!$AD1097,IF(J1099="JAWA",PR!$AE1097,IF(J1099="LAYO",PR!$AF1097,IF(J1099="LEADWAY",PR!$AG1097,IF(J1099="LHV",PR!$AH1097,IF(J1099="MANOLA",PR!$AI1097,IF(J1099="MARCSON",PR!$AJ1097,IF(J1099="M&amp;B",PR!$AK1097,IF(J1099="MTRUST",PR!$AL1097,IF(J1099="MWORLD",PR!$AM1097,IF(J1099="MEGA",PR!$AN1097,IF(J1099="MICRONOVA",PR!$AO1097,IF(J1099="MFLASH",PR!$AP1097,IF(J1099="MORISON",PR!$AQ1097,IF(J1099="NEMEL",PR!$AR1097,IF(J1099="NHP",PR!$AS1097,IF(J1099="NHC",PR!$AT1097,IF(J1099="OLEAF",PR!$AU1097,IF(J1099="OCULUS",PR!$AV1097,IF(J1099="PACIFIC",PR!$AW1097,IF(J1099="PHAMATEX",PR!$AX1097,IF(J1099="PETHICS",PR!$AY1097,IF(J1099="PHILIPS",PR!$AZ1097,IF(J1099="RANBAXY",PR!$BA1097,IF(J1099="REALS",PR!$BB1097,IF(J1099="ROYAL",PR!$BC1097,IF(J1099="SAM",PR!$BD1097,IF(J1099="SEAGREEN",PR!$BE1097,IF(J1099="SKG",PR!$BF1097,IF(J1099="TAH",PR!$BG1097,IF(J1099="TAYLEK",PR!$BH1097,IF(J1099="TEMITA",PR!$BI1097,IF(J1099="THL",PR!$BJ1097,IF(J1099="UBASTIC",PR!$BK1097,IF(J1099="UNION",PR!$BL1097,IF(J1099="UNIQUE",PR!$BM1097,IF(J1099="VIXA",PR!$BN1097,IF(J1099="WWCV",PR!$BO1097,IF(J1099="ZOLON",PR!$BP1097,"-"))))))))))))))))))))))))))))))))))))))))))))))))))))))))))))))))</f>
        <v>-</v>
      </c>
      <c r="J1099" s="102">
        <f>EV!N1393</f>
        <v>0</v>
      </c>
      <c r="K1099" s="433" t="s">
        <v>825</v>
      </c>
      <c r="L1099" s="183">
        <f>IF(K1099&gt;0,IF(K1099="ALPHA",PR!$E1097,IF(K1099="ASSENE",PR!$F1097,IF(K1099="BIOFEM",PR!$G1097,IF(K1099="BIOMED",PR!$H1097,IF(K1099="CHI",PR!$I1097,IF(K1099="CLARION",PR!$J1097,IF(K1099="CODIX",PR!$K1097,IF(K1099="COSMADE",PR!$L1097,IF(K1099="SANCON",PR!$M1097,IF(K1099="DEVON",PR!$N1097,IF(K1099="DORTEMAG",PR!$O1097,IF(K1099="DGF",PR!$P1097,IF(K1099="DYNAMIC",PR!$Q1097,IF(K1099="EMZOR",PR!$R1097,IF(K1099="EUMATT",PR!$S1097,IF(K1099="FIDSON",PR!$T1097,IF(K1099="FCGLOBAL",PR!$U1097,IF(K1099="GENEITH",PR!$V1097,IF(K1099="GINOS",PR!$W1097,IF(K1099="GSK",PR!$X1097,IF(K1099="GLOBORG",PR!$Y1097,IF(K1099="GOODNEWS",PR!$Z1097,IF(K1099="GREENLIFE",PR!$AA1097,IF(K1099="HLINE",PR!$AB1097,IF(K1099="ROTECH",PR!$AC1097,IF(K1099="ISN",PR!$AD1097,IF(K1099="JAWA",PR!$AE1097,IF(K1099="LAYO",PR!$AF1097,IF(K1099="LEADWAY",PR!$AG1097,IF(K1099="LHV",PR!$AH1097,IF(K1099="MANOLA",PR!$AI1097,IF(K1099="MARCSON",PR!$AJ1097,IF(K1099="M&amp;B",PR!$AK1097,IF(K1099="MTRUST",PR!$AL1097,IF(K1099="MWORLD",PR!$AM1097,IF(K1099="MEGA",PR!$AN1097,IF(K1099="MICRONOVA",PR!$AO1097,IF(K1099="MFLASH",PR!$AP1097,IF(K1099="MORISON",PR!$AQ1097,IF(K1099="NEMEL",PR!$AR1097,IF(K1099="NHP",PR!$AS1097,IF(K1099="NHC",PR!$AT1097,IF(K1099="OLEAF",PR!$AU1097,IF(K1099="OCULUS",PR!$AV1097,IF(K1099="PACIFIC",PR!$AW1097,IF(K1099="PHAMATEX",PR!$AX1097,IF(K1099="PETHICS",PR!$AY1097,IF(K1099="PHILIPS",PR!$AZ1097,IF(K1099="RANBAXY",PR!$BA1097,IF(K1099="REALS",PR!$BB1097,IF(K1099="ROYAL",PR!$BC1097,IF(K1099="SAM",PR!$BD1097,IF(K1099="SEAGREEN",PR!$BE1097,IF(K1099="SKG",PR!$BF1097,IF(K1099="TAH",PR!$BG1097,IF(K1099="TAYLEK",PR!$BH1097,IF(K1099="TEMITA",PR!$BI1097,IF(K1099="THL",PR!$BJ1097,IF(K1099="UBASTIC",PR!$BK1097,IF(K1099="UNION",PR!$BL1097,IF(K1099="UNIQUE",PR!$BM1097,IF(K1099="VIXA",PR!$BN1097,IF(K1099="WWCV",PR!$BO1097,IF(K1099="ZOLON",PR!$BP1097,"-")))))))))))))))))))))))))))))))))))))))))))))))))))))))))))))))))</f>
        <v>13560</v>
      </c>
    </row>
    <row r="1100" spans="1:12" ht="18.75" x14ac:dyDescent="0.3">
      <c r="A1100" s="430">
        <f>PR!A1098</f>
        <v>985</v>
      </c>
      <c r="B1100" s="15" t="str">
        <f>PR!B1098</f>
        <v>UREA KIT (RANDOX)</v>
      </c>
      <c r="C1100" s="113" t="str">
        <f>PR!D1098</f>
        <v>Urease</v>
      </c>
      <c r="D1100" s="113">
        <f>PR!C1098</f>
        <v>60</v>
      </c>
      <c r="E1100" s="108">
        <f>IF(F1100="ALPHA",PR!$E1098,IF(F1100="ASSENE",PR!$F1098,IF(F1100="BIOFEM",PR!$G1098,IF(F1100="BIOMED",PR!$H1098,IF(F1100="CHI",PR!$I1098,IF(F1100="CLARION",PR!$J1098,IF(F1100="CODIX",PR!$K1098,IF(F1100="COSMADE",PR!$L1098,IF(F1100="SANCON",PR!$M1098,IF(F1100="DEVON",PR!$N1098,IF(F1100="DORTEMAG",PR!$O1098,IF(F1100="DGF",PR!$P1098,IF(F1100="DYNAMIC",PR!$Q1098,IF(F1100="EMZOR",PR!$R1098,IF(F1100="EUMATT",PR!$S1098,IF(F1100="FIDSON",PR!$T1098,IF(F1100="FCGLOBAL",PR!$U1098,IF(F1100="GENEITH",PR!$V1098,IF(F1100="GINOS",PR!$W1098,IF(F1100="GSK",PR!$X1098,IF(F1100="GLOBORG",PR!$Y1098,IF(F1100="GOODNEWS",PR!$Z1098,IF(F1100="GREENLIFE",PR!$AA1098,IF(F1100="HLINE",PR!$AB1098,IF(F1100="ROTECH",PR!$AC1098,IF(F1100="ISN",PR!$AD1098,IF(F1100="JAWA",PR!$AE1098,IF(F1100="LAYO",PR!$AF1098,IF(F1100="LEADWAY",PR!$AG1098,IF(F1100="LHV",PR!$AH1098,IF(F1100="MANOLA",PR!$AI1098,IF(F1100="MARCSON",PR!$AJ1098,IF(F1100="M&amp;B",PR!$AK1098,IF(F1100="MTRUST",PR!$AL1098,IF(F1100="MWORLD",PR!$AM1098,IF(F1100="MEGA",PR!$AN1098,IF(F1100="MICRONOVA",PR!$AO1098,IF(F1100="MFLASH",PR!$AP1098,IF(F1100="MORISON",PR!$AQ1098,IF(F1100="NEMEL",PR!$AR1098,IF(F1100="NHP",PR!$AS1098,IF(F1100="NHC",PR!$AT1098,IF(F1100="OLEAF",PR!$AU1098,IF(F1100="OCULUS",PR!$AV1098,IF(F1100="PACIFIC",PR!$AW1098,IF(F1100="PHAMATEX",PR!$AX1098,IF(F1100="PETHICS",PR!$AY1098,IF(F1100="PHILIPS",PR!$AZ1098,IF(F1100="RANBAXY",PR!$BA1098,IF(F1100="REALS",PR!$BB1098,IF(F1100="ROYAL",PR!$BC1098,IF(F1100="SAM",PR!$BD1098,IF(F1100="SEAGREEN",PR!$BE1098,IF(F1100="SKG",PR!$BF1098,IF(F1100="TAH",PR!$BG1098,IF(F1100="TAYLEK",PR!$BH1098,IF(F1100="TEMITA",PR!$BI1098,IF(F1100="THL",PR!$BJ1098,IF(F1100="UBASTIC",PR!$BK1098,IF(F1100="UNION",PR!$BL1098,IF(F1100="UNIQUE",PR!$BM1098,IF(F1100="VIXA",PR!$BN1098,IF(F1100="WWCV",PR!$BO1098,IF(F1100="ZOLON",PR!$BP1098,"-"))))))))))))))))))))))))))))))))))))))))))))))))))))))))))))))))</f>
        <v>9605</v>
      </c>
      <c r="F1100" s="102" t="str">
        <f>EV!L1394</f>
        <v>ROTECH</v>
      </c>
      <c r="G1100" s="108">
        <f>IF(H1100="ALPHA",PR!$E1098,IF(H1100="ASSENE",PR!$F1098,IF(H1100="BIOFEM",PR!$G1098,IF(H1100="BIOMED",PR!$H1098,IF(H1100="CHI",PR!$I1098,IF(H1100="CLARION",PR!$J1098,IF(H1100="CODIX",PR!$K1098,IF(H1100="COSMADE",PR!$L1098,IF(H1100="SANCON",PR!$M1098,IF(H1100="DEVON",PR!$N1098,IF(H1100="DORTEMAG",PR!$O1098,IF(H1100="DGF",PR!$P1098,IF(H1100="DYNAMIC",PR!$Q1098,IF(H1100="EMZOR",PR!$R1098,IF(H1100="EUMATT",PR!$S1098,IF(H1100="FIDSON",PR!$T1098,IF(H1100="FCGLOBAL",PR!$U1098,IF(H1100="GENEITH",PR!$V1098,IF(H1100="GINOS",PR!$W1098,IF(H1100="GSK",PR!$X1098,IF(H1100="GLOBORG",PR!$Y1098,IF(H1100="GOODNEWS",PR!$Z1098,IF(H1100="GREENLIFE",PR!$AA1098,IF(H1100="HLINE",PR!$AB1098,IF(H1100="ROTECH",PR!$AC1098,IF(H1100="ISN",PR!$AD1098,IF(H1100="JAWA",PR!$AE1098,IF(H1100="LAYO",PR!$AF1098,IF(H1100="LEADWAY",PR!$AG1098,IF(H1100="LHV",PR!$AH1098,IF(H1100="MANOLA",PR!$AI1098,IF(H1100="MARCSON",PR!$AJ1098,IF(H1100="M&amp;B",PR!$AK1098,IF(H1100="MTRUST",PR!$AL1098,IF(H1100="MWORLD",PR!$AM1098,IF(H1100="MEGA",PR!$AN1098,IF(H1100="MICRONOVA",PR!$AO1098,IF(H1100="MFLASH",PR!$AP1098,IF(H1100="MORISON",PR!$AQ1098,IF(H1100="NEMEL",PR!$AR1098,IF(H1100="NHP",PR!$AS1098,IF(H1100="NHC",PR!$AT1098,IF(H1100="OLEAF",PR!$AU1098,IF(H1100="OCULUS",PR!$AV1098,IF(H1100="PACIFIC",PR!$AW1098,IF(H1100="PHAMATEX",PR!$AX1098,IF(H1100="PETHICS",PR!$AY1098,IF(H1100="PHILIPS",PR!$AZ1098,IF(H1100="RANBAXY",PR!$BA1098,IF(H1100="REALS",PR!$BB1098,IF(H1100="ROYAL",PR!$BC1098,IF(H1100="SAM",PR!$BD1098,IF(H1100="SEAGREEN",PR!$BE1098,IF(H1100="SKG",PR!$BF1098,IF(H1100="TAH",PR!$BG1098,IF(H1100="TAYLEK",PR!$BH1098,IF(H1100="TEMITA",PR!$BI1098,IF(H1100="THL",PR!$BJ1098,IF(H1100="UBASTIC",PR!$BK1098,IF(H1100="UNION",PR!$BL1098,IF(H1100="UNIQUE",PR!$BM1098,IF(H1100="VIXA",PR!$BN1098,IF(H1100="WWCV",PR!$BO1098,IF(H1100="ZOLON",PR!$BP1098,"-"))))))))))))))))))))))))))))))))))))))))))))))))))))))))))))))))</f>
        <v>9900</v>
      </c>
      <c r="H1100" s="102" t="str">
        <f>EV!M1394</f>
        <v>SANCON</v>
      </c>
      <c r="I1100" s="108">
        <f>IF(J1100="ALPHA",PR!$E1098,IF(J1100="ASSENE",PR!$F1098,IF(J1100="BIOFEM",PR!$G1098,IF(J1100="BIOMED",PR!$H1098,IF(J1100="CHI",PR!$I1098,IF(J1100="CLARION",PR!$J1098,IF(J1100="CODIX",PR!$K1098,IF(J1100="COSMADE",PR!$L1098,IF(J1100="SANCON",PR!$M1098,IF(J1100="DEVON",PR!$N1098,IF(J1100="DORTEMAG",PR!$O1098,IF(J1100="DGF",PR!$P1098,IF(J1100="DYNAMIC",PR!$Q1098,IF(J1100="EMZOR",PR!$R1098,IF(J1100="EUMATT",PR!$S1098,IF(J1100="FIDSON",PR!$T1098,IF(J1100="FCGLOBAL",PR!$U1098,IF(J1100="GENEITH",PR!$V1098,IF(J1100="GINOS",PR!$W1098,IF(J1100="GSK",PR!$X1098,IF(J1100="GLOBORG",PR!$Y1098,IF(J1100="GOODNEWS",PR!$Z1098,IF(J1100="GREENLIFE",PR!$AA1098,IF(J1100="HLINE",PR!$AB1098,IF(J1100="ROTECH",PR!$AC1098,IF(J1100="ISN",PR!$AD1098,IF(J1100="JAWA",PR!$AE1098,IF(J1100="LAYO",PR!$AF1098,IF(J1100="LEADWAY",PR!$AG1098,IF(J1100="LHV",PR!$AH1098,IF(J1100="MANOLA",PR!$AI1098,IF(J1100="MARCSON",PR!$AJ1098,IF(J1100="M&amp;B",PR!$AK1098,IF(J1100="MTRUST",PR!$AL1098,IF(J1100="MWORLD",PR!$AM1098,IF(J1100="MEGA",PR!$AN1098,IF(J1100="MICRONOVA",PR!$AO1098,IF(J1100="MFLASH",PR!$AP1098,IF(J1100="MORISON",PR!$AQ1098,IF(J1100="NEMEL",PR!$AR1098,IF(J1100="NHP",PR!$AS1098,IF(J1100="NHC",PR!$AT1098,IF(J1100="OLEAF",PR!$AU1098,IF(J1100="OCULUS",PR!$AV1098,IF(J1100="PACIFIC",PR!$AW1098,IF(J1100="PHAMATEX",PR!$AX1098,IF(J1100="PETHICS",PR!$AY1098,IF(J1100="PHILIPS",PR!$AZ1098,IF(J1100="RANBAXY",PR!$BA1098,IF(J1100="REALS",PR!$BB1098,IF(J1100="ROYAL",PR!$BC1098,IF(J1100="SAM",PR!$BD1098,IF(J1100="SEAGREEN",PR!$BE1098,IF(J1100="SKG",PR!$BF1098,IF(J1100="TAH",PR!$BG1098,IF(J1100="TAYLEK",PR!$BH1098,IF(J1100="TEMITA",PR!$BI1098,IF(J1100="THL",PR!$BJ1098,IF(J1100="UBASTIC",PR!$BK1098,IF(J1100="UNION",PR!$BL1098,IF(J1100="UNIQUE",PR!$BM1098,IF(J1100="VIXA",PR!$BN1098,IF(J1100="WWCV",PR!$BO1098,IF(J1100="ZOLON",PR!$BP1098,"-"))))))))))))))))))))))))))))))))))))))))))))))))))))))))))))))))</f>
        <v>10000</v>
      </c>
      <c r="J1100" s="102" t="str">
        <f>EV!N1394</f>
        <v>UBASTIC</v>
      </c>
      <c r="K1100" s="433" t="s">
        <v>817</v>
      </c>
      <c r="L1100" s="183">
        <f>IF(K1100&gt;0,IF(K1100="ALPHA",PR!$E1098,IF(K1100="ASSENE",PR!$F1098,IF(K1100="BIOFEM",PR!$G1098,IF(K1100="BIOMED",PR!$H1098,IF(K1100="CHI",PR!$I1098,IF(K1100="CLARION",PR!$J1098,IF(K1100="CODIX",PR!$K1098,IF(K1100="COSMADE",PR!$L1098,IF(K1100="SANCON",PR!$M1098,IF(K1100="DEVON",PR!$N1098,IF(K1100="DORTEMAG",PR!$O1098,IF(K1100="DGF",PR!$P1098,IF(K1100="DYNAMIC",PR!$Q1098,IF(K1100="EMZOR",PR!$R1098,IF(K1100="EUMATT",PR!$S1098,IF(K1100="FIDSON",PR!$T1098,IF(K1100="FCGLOBAL",PR!$U1098,IF(K1100="GENEITH",PR!$V1098,IF(K1100="GINOS",PR!$W1098,IF(K1100="GSK",PR!$X1098,IF(K1100="GLOBORG",PR!$Y1098,IF(K1100="GOODNEWS",PR!$Z1098,IF(K1100="GREENLIFE",PR!$AA1098,IF(K1100="HLINE",PR!$AB1098,IF(K1100="ROTECH",PR!$AC1098,IF(K1100="ISN",PR!$AD1098,IF(K1100="JAWA",PR!$AE1098,IF(K1100="LAYO",PR!$AF1098,IF(K1100="LEADWAY",PR!$AG1098,IF(K1100="LHV",PR!$AH1098,IF(K1100="MANOLA",PR!$AI1098,IF(K1100="MARCSON",PR!$AJ1098,IF(K1100="M&amp;B",PR!$AK1098,IF(K1100="MTRUST",PR!$AL1098,IF(K1100="MWORLD",PR!$AM1098,IF(K1100="MEGA",PR!$AN1098,IF(K1100="MICRONOVA",PR!$AO1098,IF(K1100="MFLASH",PR!$AP1098,IF(K1100="MORISON",PR!$AQ1098,IF(K1100="NEMEL",PR!$AR1098,IF(K1100="NHP",PR!$AS1098,IF(K1100="NHC",PR!$AT1098,IF(K1100="OLEAF",PR!$AU1098,IF(K1100="OCULUS",PR!$AV1098,IF(K1100="PACIFIC",PR!$AW1098,IF(K1100="PHAMATEX",PR!$AX1098,IF(K1100="PETHICS",PR!$AY1098,IF(K1100="PHILIPS",PR!$AZ1098,IF(K1100="RANBAXY",PR!$BA1098,IF(K1100="REALS",PR!$BB1098,IF(K1100="ROYAL",PR!$BC1098,IF(K1100="SAM",PR!$BD1098,IF(K1100="SEAGREEN",PR!$BE1098,IF(K1100="SKG",PR!$BF1098,IF(K1100="TAH",PR!$BG1098,IF(K1100="TAYLEK",PR!$BH1098,IF(K1100="TEMITA",PR!$BI1098,IF(K1100="THL",PR!$BJ1098,IF(K1100="UBASTIC",PR!$BK1098,IF(K1100="UNION",PR!$BL1098,IF(K1100="UNIQUE",PR!$BM1098,IF(K1100="VIXA",PR!$BN1098,IF(K1100="WWCV",PR!$BO1098,IF(K1100="ZOLON",PR!$BP1098,"-")))))))))))))))))))))))))))))))))))))))))))))))))))))))))))))))))</f>
        <v>9900</v>
      </c>
    </row>
    <row r="1101" spans="1:12" ht="18.75" x14ac:dyDescent="0.3">
      <c r="A1101" s="430">
        <f>PR!A1099</f>
        <v>986</v>
      </c>
      <c r="B1101" s="15" t="str">
        <f>PR!B1099</f>
        <v>CREATININE KIT (QCA)</v>
      </c>
      <c r="C1101" s="113" t="str">
        <f>PR!D1099</f>
        <v>2*100ml</v>
      </c>
      <c r="D1101" s="113">
        <f>PR!C1099</f>
        <v>60</v>
      </c>
      <c r="E1101" s="108">
        <f>IF(F1101="ALPHA",PR!$E1099,IF(F1101="ASSENE",PR!$F1099,IF(F1101="BIOFEM",PR!$G1099,IF(F1101="BIOMED",PR!$H1099,IF(F1101="CHI",PR!$I1099,IF(F1101="CLARION",PR!$J1099,IF(F1101="CODIX",PR!$K1099,IF(F1101="COSMADE",PR!$L1099,IF(F1101="SANCON",PR!$M1099,IF(F1101="DEVON",PR!$N1099,IF(F1101="DORTEMAG",PR!$O1099,IF(F1101="DGF",PR!$P1099,IF(F1101="DYNAMIC",PR!$Q1099,IF(F1101="EMZOR",PR!$R1099,IF(F1101="EUMATT",PR!$S1099,IF(F1101="FIDSON",PR!$T1099,IF(F1101="FCGLOBAL",PR!$U1099,IF(F1101="GENEITH",PR!$V1099,IF(F1101="GINOS",PR!$W1099,IF(F1101="GSK",PR!$X1099,IF(F1101="GLOBORG",PR!$Y1099,IF(F1101="GOODNEWS",PR!$Z1099,IF(F1101="GREENLIFE",PR!$AA1099,IF(F1101="HLINE",PR!$AB1099,IF(F1101="ROTECH",PR!$AC1099,IF(F1101="ISN",PR!$AD1099,IF(F1101="JAWA",PR!$AE1099,IF(F1101="LAYO",PR!$AF1099,IF(F1101="LEADWAY",PR!$AG1099,IF(F1101="LHV",PR!$AH1099,IF(F1101="MANOLA",PR!$AI1099,IF(F1101="MARCSON",PR!$AJ1099,IF(F1101="M&amp;B",PR!$AK1099,IF(F1101="MTRUST",PR!$AL1099,IF(F1101="MWORLD",PR!$AM1099,IF(F1101="MEGA",PR!$AN1099,IF(F1101="MICRONOVA",PR!$AO1099,IF(F1101="MFLASH",PR!$AP1099,IF(F1101="MORISON",PR!$AQ1099,IF(F1101="NEMEL",PR!$AR1099,IF(F1101="NHP",PR!$AS1099,IF(F1101="NHC",PR!$AT1099,IF(F1101="OLEAF",PR!$AU1099,IF(F1101="OCULUS",PR!$AV1099,IF(F1101="PACIFIC",PR!$AW1099,IF(F1101="PHAMATEX",PR!$AX1099,IF(F1101="PETHICS",PR!$AY1099,IF(F1101="PHILIPS",PR!$AZ1099,IF(F1101="RANBAXY",PR!$BA1099,IF(F1101="REALS",PR!$BB1099,IF(F1101="ROYAL",PR!$BC1099,IF(F1101="SAM",PR!$BD1099,IF(F1101="SEAGREEN",PR!$BE1099,IF(F1101="SKG",PR!$BF1099,IF(F1101="TAH",PR!$BG1099,IF(F1101="TAYLEK",PR!$BH1099,IF(F1101="TEMITA",PR!$BI1099,IF(F1101="THL",PR!$BJ1099,IF(F1101="UBASTIC",PR!$BK1099,IF(F1101="UNION",PR!$BL1099,IF(F1101="UNIQUE",PR!$BM1099,IF(F1101="VIXA",PR!$BN1099,IF(F1101="WWCV",PR!$BO1099,IF(F1101="ZOLON",PR!$BP1099,"-"))))))))))))))))))))))))))))))))))))))))))))))))))))))))))))))))</f>
        <v>9040</v>
      </c>
      <c r="F1101" s="102" t="str">
        <f>EV!L1395</f>
        <v>ROTECH</v>
      </c>
      <c r="G1101" s="108">
        <f>IF(H1101="ALPHA",PR!$E1099,IF(H1101="ASSENE",PR!$F1099,IF(H1101="BIOFEM",PR!$G1099,IF(H1101="BIOMED",PR!$H1099,IF(H1101="CHI",PR!$I1099,IF(H1101="CLARION",PR!$J1099,IF(H1101="CODIX",PR!$K1099,IF(H1101="COSMADE",PR!$L1099,IF(H1101="SANCON",PR!$M1099,IF(H1101="DEVON",PR!$N1099,IF(H1101="DORTEMAG",PR!$O1099,IF(H1101="DGF",PR!$P1099,IF(H1101="DYNAMIC",PR!$Q1099,IF(H1101="EMZOR",PR!$R1099,IF(H1101="EUMATT",PR!$S1099,IF(H1101="FIDSON",PR!$T1099,IF(H1101="FCGLOBAL",PR!$U1099,IF(H1101="GENEITH",PR!$V1099,IF(H1101="GINOS",PR!$W1099,IF(H1101="GSK",PR!$X1099,IF(H1101="GLOBORG",PR!$Y1099,IF(H1101="GOODNEWS",PR!$Z1099,IF(H1101="GREENLIFE",PR!$AA1099,IF(H1101="HLINE",PR!$AB1099,IF(H1101="ROTECH",PR!$AC1099,IF(H1101="ISN",PR!$AD1099,IF(H1101="JAWA",PR!$AE1099,IF(H1101="LAYO",PR!$AF1099,IF(H1101="LEADWAY",PR!$AG1099,IF(H1101="LHV",PR!$AH1099,IF(H1101="MANOLA",PR!$AI1099,IF(H1101="MARCSON",PR!$AJ1099,IF(H1101="M&amp;B",PR!$AK1099,IF(H1101="MTRUST",PR!$AL1099,IF(H1101="MWORLD",PR!$AM1099,IF(H1101="MEGA",PR!$AN1099,IF(H1101="MICRONOVA",PR!$AO1099,IF(H1101="MFLASH",PR!$AP1099,IF(H1101="MORISON",PR!$AQ1099,IF(H1101="NEMEL",PR!$AR1099,IF(H1101="NHP",PR!$AS1099,IF(H1101="NHC",PR!$AT1099,IF(H1101="OLEAF",PR!$AU1099,IF(H1101="OCULUS",PR!$AV1099,IF(H1101="PACIFIC",PR!$AW1099,IF(H1101="PHAMATEX",PR!$AX1099,IF(H1101="PETHICS",PR!$AY1099,IF(H1101="PHILIPS",PR!$AZ1099,IF(H1101="RANBAXY",PR!$BA1099,IF(H1101="REALS",PR!$BB1099,IF(H1101="ROYAL",PR!$BC1099,IF(H1101="SAM",PR!$BD1099,IF(H1101="SEAGREEN",PR!$BE1099,IF(H1101="SKG",PR!$BF1099,IF(H1101="TAH",PR!$BG1099,IF(H1101="TAYLEK",PR!$BH1099,IF(H1101="TEMITA",PR!$BI1099,IF(H1101="THL",PR!$BJ1099,IF(H1101="UBASTIC",PR!$BK1099,IF(H1101="UNION",PR!$BL1099,IF(H1101="UNIQUE",PR!$BM1099,IF(H1101="VIXA",PR!$BN1099,IF(H1101="WWCV",PR!$BO1099,IF(H1101="ZOLON",PR!$BP1099,"-"))))))))))))))))))))))))))))))))))))))))))))))))))))))))))))))))</f>
        <v>9375</v>
      </c>
      <c r="H1101" s="102" t="str">
        <f>EV!M1395</f>
        <v>DYNAMIC</v>
      </c>
      <c r="I1101" s="108">
        <f>IF(J1101="ALPHA",PR!$E1099,IF(J1101="ASSENE",PR!$F1099,IF(J1101="BIOFEM",PR!$G1099,IF(J1101="BIOMED",PR!$H1099,IF(J1101="CHI",PR!$I1099,IF(J1101="CLARION",PR!$J1099,IF(J1101="CODIX",PR!$K1099,IF(J1101="COSMADE",PR!$L1099,IF(J1101="SANCON",PR!$M1099,IF(J1101="DEVON",PR!$N1099,IF(J1101="DORTEMAG",PR!$O1099,IF(J1101="DGF",PR!$P1099,IF(J1101="DYNAMIC",PR!$Q1099,IF(J1101="EMZOR",PR!$R1099,IF(J1101="EUMATT",PR!$S1099,IF(J1101="FIDSON",PR!$T1099,IF(J1101="FCGLOBAL",PR!$U1099,IF(J1101="GENEITH",PR!$V1099,IF(J1101="GINOS",PR!$W1099,IF(J1101="GSK",PR!$X1099,IF(J1101="GLOBORG",PR!$Y1099,IF(J1101="GOODNEWS",PR!$Z1099,IF(J1101="GREENLIFE",PR!$AA1099,IF(J1101="HLINE",PR!$AB1099,IF(J1101="ROTECH",PR!$AC1099,IF(J1101="ISN",PR!$AD1099,IF(J1101="JAWA",PR!$AE1099,IF(J1101="LAYO",PR!$AF1099,IF(J1101="LEADWAY",PR!$AG1099,IF(J1101="LHV",PR!$AH1099,IF(J1101="MANOLA",PR!$AI1099,IF(J1101="MARCSON",PR!$AJ1099,IF(J1101="M&amp;B",PR!$AK1099,IF(J1101="MTRUST",PR!$AL1099,IF(J1101="MWORLD",PR!$AM1099,IF(J1101="MEGA",PR!$AN1099,IF(J1101="MICRONOVA",PR!$AO1099,IF(J1101="MFLASH",PR!$AP1099,IF(J1101="MORISON",PR!$AQ1099,IF(J1101="NEMEL",PR!$AR1099,IF(J1101="NHP",PR!$AS1099,IF(J1101="NHC",PR!$AT1099,IF(J1101="OLEAF",PR!$AU1099,IF(J1101="OCULUS",PR!$AV1099,IF(J1101="PACIFIC",PR!$AW1099,IF(J1101="PHAMATEX",PR!$AX1099,IF(J1101="PETHICS",PR!$AY1099,IF(J1101="PHILIPS",PR!$AZ1099,IF(J1101="RANBAXY",PR!$BA1099,IF(J1101="REALS",PR!$BB1099,IF(J1101="ROYAL",PR!$BC1099,IF(J1101="SAM",PR!$BD1099,IF(J1101="SEAGREEN",PR!$BE1099,IF(J1101="SKG",PR!$BF1099,IF(J1101="TAH",PR!$BG1099,IF(J1101="TAYLEK",PR!$BH1099,IF(J1101="TEMITA",PR!$BI1099,IF(J1101="THL",PR!$BJ1099,IF(J1101="UBASTIC",PR!$BK1099,IF(J1101="UNION",PR!$BL1099,IF(J1101="UNIQUE",PR!$BM1099,IF(J1101="VIXA",PR!$BN1099,IF(J1101="WWCV",PR!$BO1099,IF(J1101="ZOLON",PR!$BP1099,"-"))))))))))))))))))))))))))))))))))))))))))))))))))))))))))))))))</f>
        <v>10500</v>
      </c>
      <c r="J1101" s="102" t="str">
        <f>EV!N1395</f>
        <v>SANCON</v>
      </c>
      <c r="K1101" s="433" t="s">
        <v>817</v>
      </c>
      <c r="L1101" s="183">
        <f>IF(K1101&gt;0,IF(K1101="ALPHA",PR!$E1099,IF(K1101="ASSENE",PR!$F1099,IF(K1101="BIOFEM",PR!$G1099,IF(K1101="BIOMED",PR!$H1099,IF(K1101="CHI",PR!$I1099,IF(K1101="CLARION",PR!$J1099,IF(K1101="CODIX",PR!$K1099,IF(K1101="COSMADE",PR!$L1099,IF(K1101="SANCON",PR!$M1099,IF(K1101="DEVON",PR!$N1099,IF(K1101="DORTEMAG",PR!$O1099,IF(K1101="DGF",PR!$P1099,IF(K1101="DYNAMIC",PR!$Q1099,IF(K1101="EMZOR",PR!$R1099,IF(K1101="EUMATT",PR!$S1099,IF(K1101="FIDSON",PR!$T1099,IF(K1101="FCGLOBAL",PR!$U1099,IF(K1101="GENEITH",PR!$V1099,IF(K1101="GINOS",PR!$W1099,IF(K1101="GSK",PR!$X1099,IF(K1101="GLOBORG",PR!$Y1099,IF(K1101="GOODNEWS",PR!$Z1099,IF(K1101="GREENLIFE",PR!$AA1099,IF(K1101="HLINE",PR!$AB1099,IF(K1101="ROTECH",PR!$AC1099,IF(K1101="ISN",PR!$AD1099,IF(K1101="JAWA",PR!$AE1099,IF(K1101="LAYO",PR!$AF1099,IF(K1101="LEADWAY",PR!$AG1099,IF(K1101="LHV",PR!$AH1099,IF(K1101="MANOLA",PR!$AI1099,IF(K1101="MARCSON",PR!$AJ1099,IF(K1101="M&amp;B",PR!$AK1099,IF(K1101="MTRUST",PR!$AL1099,IF(K1101="MWORLD",PR!$AM1099,IF(K1101="MEGA",PR!$AN1099,IF(K1101="MICRONOVA",PR!$AO1099,IF(K1101="MFLASH",PR!$AP1099,IF(K1101="MORISON",PR!$AQ1099,IF(K1101="NEMEL",PR!$AR1099,IF(K1101="NHP",PR!$AS1099,IF(K1101="NHC",PR!$AT1099,IF(K1101="OLEAF",PR!$AU1099,IF(K1101="OCULUS",PR!$AV1099,IF(K1101="PACIFIC",PR!$AW1099,IF(K1101="PHAMATEX",PR!$AX1099,IF(K1101="PETHICS",PR!$AY1099,IF(K1101="PHILIPS",PR!$AZ1099,IF(K1101="RANBAXY",PR!$BA1099,IF(K1101="REALS",PR!$BB1099,IF(K1101="ROYAL",PR!$BC1099,IF(K1101="SAM",PR!$BD1099,IF(K1101="SEAGREEN",PR!$BE1099,IF(K1101="SKG",PR!$BF1099,IF(K1101="TAH",PR!$BG1099,IF(K1101="TAYLEK",PR!$BH1099,IF(K1101="TEMITA",PR!$BI1099,IF(K1101="THL",PR!$BJ1099,IF(K1101="UBASTIC",PR!$BK1099,IF(K1101="UNION",PR!$BL1099,IF(K1101="UNIQUE",PR!$BM1099,IF(K1101="VIXA",PR!$BN1099,IF(K1101="WWCV",PR!$BO1099,IF(K1101="ZOLON",PR!$BP1099,"-")))))))))))))))))))))))))))))))))))))))))))))))))))))))))))))))))</f>
        <v>10500</v>
      </c>
    </row>
    <row r="1102" spans="1:12" ht="18.75" x14ac:dyDescent="0.3">
      <c r="A1102" s="430">
        <f>PR!A1100</f>
        <v>987</v>
      </c>
      <c r="B1102" s="15" t="str">
        <f>PR!B1100</f>
        <v>ASPARTATE TRANSFERASE KIT (RANDOX)</v>
      </c>
      <c r="C1102" s="113" t="str">
        <f>PR!D1100</f>
        <v>2*100ml</v>
      </c>
      <c r="D1102" s="113">
        <f>PR!C1100</f>
        <v>24</v>
      </c>
      <c r="E1102" s="108">
        <f>IF(F1102="ALPHA",PR!$E1100,IF(F1102="ASSENE",PR!$F1100,IF(F1102="BIOFEM",PR!$G1100,IF(F1102="BIOMED",PR!$H1100,IF(F1102="CHI",PR!$I1100,IF(F1102="CLARION",PR!$J1100,IF(F1102="CODIX",PR!$K1100,IF(F1102="COSMADE",PR!$L1100,IF(F1102="SANCON",PR!$M1100,IF(F1102="DEVON",PR!$N1100,IF(F1102="DORTEMAG",PR!$O1100,IF(F1102="DGF",PR!$P1100,IF(F1102="DYNAMIC",PR!$Q1100,IF(F1102="EMZOR",PR!$R1100,IF(F1102="EUMATT",PR!$S1100,IF(F1102="FIDSON",PR!$T1100,IF(F1102="FCGLOBAL",PR!$U1100,IF(F1102="GENEITH",PR!$V1100,IF(F1102="GINOS",PR!$W1100,IF(F1102="GSK",PR!$X1100,IF(F1102="GLOBORG",PR!$Y1100,IF(F1102="GOODNEWS",PR!$Z1100,IF(F1102="GREENLIFE",PR!$AA1100,IF(F1102="HLINE",PR!$AB1100,IF(F1102="ROTECH",PR!$AC1100,IF(F1102="ISN",PR!$AD1100,IF(F1102="JAWA",PR!$AE1100,IF(F1102="LAYO",PR!$AF1100,IF(F1102="LEADWAY",PR!$AG1100,IF(F1102="LHV",PR!$AH1100,IF(F1102="MANOLA",PR!$AI1100,IF(F1102="MARCSON",PR!$AJ1100,IF(F1102="M&amp;B",PR!$AK1100,IF(F1102="MTRUST",PR!$AL1100,IF(F1102="MWORLD",PR!$AM1100,IF(F1102="MEGA",PR!$AN1100,IF(F1102="MICRONOVA",PR!$AO1100,IF(F1102="MFLASH",PR!$AP1100,IF(F1102="MORISON",PR!$AQ1100,IF(F1102="NEMEL",PR!$AR1100,IF(F1102="NHP",PR!$AS1100,IF(F1102="NHC",PR!$AT1100,IF(F1102="OLEAF",PR!$AU1100,IF(F1102="OCULUS",PR!$AV1100,IF(F1102="PACIFIC",PR!$AW1100,IF(F1102="PHAMATEX",PR!$AX1100,IF(F1102="PETHICS",PR!$AY1100,IF(F1102="PHILIPS",PR!$AZ1100,IF(F1102="RANBAXY",PR!$BA1100,IF(F1102="REALS",PR!$BB1100,IF(F1102="ROYAL",PR!$BC1100,IF(F1102="SAM",PR!$BD1100,IF(F1102="SEAGREEN",PR!$BE1100,IF(F1102="SKG",PR!$BF1100,IF(F1102="TAH",PR!$BG1100,IF(F1102="TAYLEK",PR!$BH1100,IF(F1102="TEMITA",PR!$BI1100,IF(F1102="THL",PR!$BJ1100,IF(F1102="UBASTIC",PR!$BK1100,IF(F1102="UNION",PR!$BL1100,IF(F1102="UNIQUE",PR!$BM1100,IF(F1102="VIXA",PR!$BN1100,IF(F1102="WWCV",PR!$BO1100,IF(F1102="ZOLON",PR!$BP1100,"-"))))))))))))))))))))))))))))))))))))))))))))))))))))))))))))))))</f>
        <v>7500</v>
      </c>
      <c r="F1102" s="102" t="str">
        <f>EV!L1396</f>
        <v>UBASTIC</v>
      </c>
      <c r="G1102" s="108">
        <f>IF(H1102="ALPHA",PR!$E1100,IF(H1102="ASSENE",PR!$F1100,IF(H1102="BIOFEM",PR!$G1100,IF(H1102="BIOMED",PR!$H1100,IF(H1102="CHI",PR!$I1100,IF(H1102="CLARION",PR!$J1100,IF(H1102="CODIX",PR!$K1100,IF(H1102="COSMADE",PR!$L1100,IF(H1102="SANCON",PR!$M1100,IF(H1102="DEVON",PR!$N1100,IF(H1102="DORTEMAG",PR!$O1100,IF(H1102="DGF",PR!$P1100,IF(H1102="DYNAMIC",PR!$Q1100,IF(H1102="EMZOR",PR!$R1100,IF(H1102="EUMATT",PR!$S1100,IF(H1102="FIDSON",PR!$T1100,IF(H1102="FCGLOBAL",PR!$U1100,IF(H1102="GENEITH",PR!$V1100,IF(H1102="GINOS",PR!$W1100,IF(H1102="GSK",PR!$X1100,IF(H1102="GLOBORG",PR!$Y1100,IF(H1102="GOODNEWS",PR!$Z1100,IF(H1102="GREENLIFE",PR!$AA1100,IF(H1102="HLINE",PR!$AB1100,IF(H1102="ROTECH",PR!$AC1100,IF(H1102="ISN",PR!$AD1100,IF(H1102="JAWA",PR!$AE1100,IF(H1102="LAYO",PR!$AF1100,IF(H1102="LEADWAY",PR!$AG1100,IF(H1102="LHV",PR!$AH1100,IF(H1102="MANOLA",PR!$AI1100,IF(H1102="MARCSON",PR!$AJ1100,IF(H1102="M&amp;B",PR!$AK1100,IF(H1102="MTRUST",PR!$AL1100,IF(H1102="MWORLD",PR!$AM1100,IF(H1102="MEGA",PR!$AN1100,IF(H1102="MICRONOVA",PR!$AO1100,IF(H1102="MFLASH",PR!$AP1100,IF(H1102="MORISON",PR!$AQ1100,IF(H1102="NEMEL",PR!$AR1100,IF(H1102="NHP",PR!$AS1100,IF(H1102="NHC",PR!$AT1100,IF(H1102="OLEAF",PR!$AU1100,IF(H1102="OCULUS",PR!$AV1100,IF(H1102="PACIFIC",PR!$AW1100,IF(H1102="PHAMATEX",PR!$AX1100,IF(H1102="PETHICS",PR!$AY1100,IF(H1102="PHILIPS",PR!$AZ1100,IF(H1102="RANBAXY",PR!$BA1100,IF(H1102="REALS",PR!$BB1100,IF(H1102="ROYAL",PR!$BC1100,IF(H1102="SAM",PR!$BD1100,IF(H1102="SEAGREEN",PR!$BE1100,IF(H1102="SKG",PR!$BF1100,IF(H1102="TAH",PR!$BG1100,IF(H1102="TAYLEK",PR!$BH1100,IF(H1102="TEMITA",PR!$BI1100,IF(H1102="THL",PR!$BJ1100,IF(H1102="UBASTIC",PR!$BK1100,IF(H1102="UNION",PR!$BL1100,IF(H1102="UNIQUE",PR!$BM1100,IF(H1102="VIXA",PR!$BN1100,IF(H1102="WWCV",PR!$BO1100,IF(H1102="ZOLON",PR!$BP1100,"-"))))))))))))))))))))))))))))))))))))))))))))))))))))))))))))))))</f>
        <v>7800</v>
      </c>
      <c r="H1102" s="102" t="str">
        <f>EV!M1396</f>
        <v>SANCON</v>
      </c>
      <c r="I1102" s="108">
        <f>IF(J1102="ALPHA",PR!$E1100,IF(J1102="ASSENE",PR!$F1100,IF(J1102="BIOFEM",PR!$G1100,IF(J1102="BIOMED",PR!$H1100,IF(J1102="CHI",PR!$I1100,IF(J1102="CLARION",PR!$J1100,IF(J1102="CODIX",PR!$K1100,IF(J1102="COSMADE",PR!$L1100,IF(J1102="SANCON",PR!$M1100,IF(J1102="DEVON",PR!$N1100,IF(J1102="DORTEMAG",PR!$O1100,IF(J1102="DGF",PR!$P1100,IF(J1102="DYNAMIC",PR!$Q1100,IF(J1102="EMZOR",PR!$R1100,IF(J1102="EUMATT",PR!$S1100,IF(J1102="FIDSON",PR!$T1100,IF(J1102="FCGLOBAL",PR!$U1100,IF(J1102="GENEITH",PR!$V1100,IF(J1102="GINOS",PR!$W1100,IF(J1102="GSK",PR!$X1100,IF(J1102="GLOBORG",PR!$Y1100,IF(J1102="GOODNEWS",PR!$Z1100,IF(J1102="GREENLIFE",PR!$AA1100,IF(J1102="HLINE",PR!$AB1100,IF(J1102="ROTECH",PR!$AC1100,IF(J1102="ISN",PR!$AD1100,IF(J1102="JAWA",PR!$AE1100,IF(J1102="LAYO",PR!$AF1100,IF(J1102="LEADWAY",PR!$AG1100,IF(J1102="LHV",PR!$AH1100,IF(J1102="MANOLA",PR!$AI1100,IF(J1102="MARCSON",PR!$AJ1100,IF(J1102="M&amp;B",PR!$AK1100,IF(J1102="MTRUST",PR!$AL1100,IF(J1102="MWORLD",PR!$AM1100,IF(J1102="MEGA",PR!$AN1100,IF(J1102="MICRONOVA",PR!$AO1100,IF(J1102="MFLASH",PR!$AP1100,IF(J1102="MORISON",PR!$AQ1100,IF(J1102="NEMEL",PR!$AR1100,IF(J1102="NHP",PR!$AS1100,IF(J1102="NHC",PR!$AT1100,IF(J1102="OLEAF",PR!$AU1100,IF(J1102="OCULUS",PR!$AV1100,IF(J1102="PACIFIC",PR!$AW1100,IF(J1102="PHAMATEX",PR!$AX1100,IF(J1102="PETHICS",PR!$AY1100,IF(J1102="PHILIPS",PR!$AZ1100,IF(J1102="RANBAXY",PR!$BA1100,IF(J1102="REALS",PR!$BB1100,IF(J1102="ROYAL",PR!$BC1100,IF(J1102="SAM",PR!$BD1100,IF(J1102="SEAGREEN",PR!$BE1100,IF(J1102="SKG",PR!$BF1100,IF(J1102="TAH",PR!$BG1100,IF(J1102="TAYLEK",PR!$BH1100,IF(J1102="TEMITA",PR!$BI1100,IF(J1102="THL",PR!$BJ1100,IF(J1102="UBASTIC",PR!$BK1100,IF(J1102="UNION",PR!$BL1100,IF(J1102="UNIQUE",PR!$BM1100,IF(J1102="VIXA",PR!$BN1100,IF(J1102="WWCV",PR!$BO1100,IF(J1102="ZOLON",PR!$BP1100,"-"))))))))))))))))))))))))))))))))))))))))))))))))))))))))))))))))</f>
        <v>8450</v>
      </c>
      <c r="J1102" s="102" t="str">
        <f>EV!N1396</f>
        <v>LAYO</v>
      </c>
      <c r="K1102" s="433" t="s">
        <v>1459</v>
      </c>
      <c r="L1102" s="183">
        <f>IF(K1102&gt;0,IF(K1102="ALPHA",PR!$E1100,IF(K1102="ASSENE",PR!$F1100,IF(K1102="BIOFEM",PR!$G1100,IF(K1102="BIOMED",PR!$H1100,IF(K1102="CHI",PR!$I1100,IF(K1102="CLARION",PR!$J1100,IF(K1102="CODIX",PR!$K1100,IF(K1102="COSMADE",PR!$L1100,IF(K1102="SANCON",PR!$M1100,IF(K1102="DEVON",PR!$N1100,IF(K1102="DORTEMAG",PR!$O1100,IF(K1102="DGF",PR!$P1100,IF(K1102="DYNAMIC",PR!$Q1100,IF(K1102="EMZOR",PR!$R1100,IF(K1102="EUMATT",PR!$S1100,IF(K1102="FIDSON",PR!$T1100,IF(K1102="FCGLOBAL",PR!$U1100,IF(K1102="GENEITH",PR!$V1100,IF(K1102="GINOS",PR!$W1100,IF(K1102="GSK",PR!$X1100,IF(K1102="GLOBORG",PR!$Y1100,IF(K1102="GOODNEWS",PR!$Z1100,IF(K1102="GREENLIFE",PR!$AA1100,IF(K1102="HLINE",PR!$AB1100,IF(K1102="ROTECH",PR!$AC1100,IF(K1102="ISN",PR!$AD1100,IF(K1102="JAWA",PR!$AE1100,IF(K1102="LAYO",PR!$AF1100,IF(K1102="LEADWAY",PR!$AG1100,IF(K1102="LHV",PR!$AH1100,IF(K1102="MANOLA",PR!$AI1100,IF(K1102="MARCSON",PR!$AJ1100,IF(K1102="M&amp;B",PR!$AK1100,IF(K1102="MTRUST",PR!$AL1100,IF(K1102="MWORLD",PR!$AM1100,IF(K1102="MEGA",PR!$AN1100,IF(K1102="MICRONOVA",PR!$AO1100,IF(K1102="MFLASH",PR!$AP1100,IF(K1102="MORISON",PR!$AQ1100,IF(K1102="NEMEL",PR!$AR1100,IF(K1102="NHP",PR!$AS1100,IF(K1102="NHC",PR!$AT1100,IF(K1102="OLEAF",PR!$AU1100,IF(K1102="OCULUS",PR!$AV1100,IF(K1102="PACIFIC",PR!$AW1100,IF(K1102="PHAMATEX",PR!$AX1100,IF(K1102="PETHICS",PR!$AY1100,IF(K1102="PHILIPS",PR!$AZ1100,IF(K1102="RANBAXY",PR!$BA1100,IF(K1102="REALS",PR!$BB1100,IF(K1102="ROYAL",PR!$BC1100,IF(K1102="SAM",PR!$BD1100,IF(K1102="SEAGREEN",PR!$BE1100,IF(K1102="SKG",PR!$BF1100,IF(K1102="TAH",PR!$BG1100,IF(K1102="TAYLEK",PR!$BH1100,IF(K1102="TEMITA",PR!$BI1100,IF(K1102="THL",PR!$BJ1100,IF(K1102="UBASTIC",PR!$BK1100,IF(K1102="UNION",PR!$BL1100,IF(K1102="UNIQUE",PR!$BM1100,IF(K1102="VIXA",PR!$BN1100,IF(K1102="WWCV",PR!$BO1100,IF(K1102="ZOLON",PR!$BP1100,"-")))))))))))))))))))))))))))))))))))))))))))))))))))))))))))))))))</f>
        <v>7500</v>
      </c>
    </row>
    <row r="1103" spans="1:12" ht="18.75" x14ac:dyDescent="0.3">
      <c r="A1103" s="430">
        <f>PR!A1101</f>
        <v>988</v>
      </c>
      <c r="B1103" s="15" t="str">
        <f>PR!B1101</f>
        <v>ALANINE TRANSFERASE KIT (RANDOX)</v>
      </c>
      <c r="C1103" s="113" t="str">
        <f>PR!D1101</f>
        <v>2*100ml</v>
      </c>
      <c r="D1103" s="113">
        <f>PR!C1101</f>
        <v>24</v>
      </c>
      <c r="E1103" s="108">
        <f>IF(F1103="ALPHA",PR!$E1101,IF(F1103="ASSENE",PR!$F1101,IF(F1103="BIOFEM",PR!$G1101,IF(F1103="BIOMED",PR!$H1101,IF(F1103="CHI",PR!$I1101,IF(F1103="CLARION",PR!$J1101,IF(F1103="CODIX",PR!$K1101,IF(F1103="COSMADE",PR!$L1101,IF(F1103="SANCON",PR!$M1101,IF(F1103="DEVON",PR!$N1101,IF(F1103="DORTEMAG",PR!$O1101,IF(F1103="DGF",PR!$P1101,IF(F1103="DYNAMIC",PR!$Q1101,IF(F1103="EMZOR",PR!$R1101,IF(F1103="EUMATT",PR!$S1101,IF(F1103="FIDSON",PR!$T1101,IF(F1103="FCGLOBAL",PR!$U1101,IF(F1103="GENEITH",PR!$V1101,IF(F1103="GINOS",PR!$W1101,IF(F1103="GSK",PR!$X1101,IF(F1103="GLOBORG",PR!$Y1101,IF(F1103="GOODNEWS",PR!$Z1101,IF(F1103="GREENLIFE",PR!$AA1101,IF(F1103="HLINE",PR!$AB1101,IF(F1103="ROTECH",PR!$AC1101,IF(F1103="ISN",PR!$AD1101,IF(F1103="JAWA",PR!$AE1101,IF(F1103="LAYO",PR!$AF1101,IF(F1103="LEADWAY",PR!$AG1101,IF(F1103="LHV",PR!$AH1101,IF(F1103="MANOLA",PR!$AI1101,IF(F1103="MARCSON",PR!$AJ1101,IF(F1103="M&amp;B",PR!$AK1101,IF(F1103="MTRUST",PR!$AL1101,IF(F1103="MWORLD",PR!$AM1101,IF(F1103="MEGA",PR!$AN1101,IF(F1103="MICRONOVA",PR!$AO1101,IF(F1103="MFLASH",PR!$AP1101,IF(F1103="MORISON",PR!$AQ1101,IF(F1103="NEMEL",PR!$AR1101,IF(F1103="NHP",PR!$AS1101,IF(F1103="NHC",PR!$AT1101,IF(F1103="OLEAF",PR!$AU1101,IF(F1103="OCULUS",PR!$AV1101,IF(F1103="PACIFIC",PR!$AW1101,IF(F1103="PHAMATEX",PR!$AX1101,IF(F1103="PETHICS",PR!$AY1101,IF(F1103="PHILIPS",PR!$AZ1101,IF(F1103="RANBAXY",PR!$BA1101,IF(F1103="REALS",PR!$BB1101,IF(F1103="ROYAL",PR!$BC1101,IF(F1103="SAM",PR!$BD1101,IF(F1103="SEAGREEN",PR!$BE1101,IF(F1103="SKG",PR!$BF1101,IF(F1103="TAH",PR!$BG1101,IF(F1103="TAYLEK",PR!$BH1101,IF(F1103="TEMITA",PR!$BI1101,IF(F1103="THL",PR!$BJ1101,IF(F1103="UBASTIC",PR!$BK1101,IF(F1103="UNION",PR!$BL1101,IF(F1103="UNIQUE",PR!$BM1101,IF(F1103="VIXA",PR!$BN1101,IF(F1103="WWCV",PR!$BO1101,IF(F1103="ZOLON",PR!$BP1101,"-"))))))))))))))))))))))))))))))))))))))))))))))))))))))))))))))))</f>
        <v>7500</v>
      </c>
      <c r="F1103" s="102" t="str">
        <f>EV!L1397</f>
        <v>UBASTIC</v>
      </c>
      <c r="G1103" s="108">
        <f>IF(H1103="ALPHA",PR!$E1101,IF(H1103="ASSENE",PR!$F1101,IF(H1103="BIOFEM",PR!$G1101,IF(H1103="BIOMED",PR!$H1101,IF(H1103="CHI",PR!$I1101,IF(H1103="CLARION",PR!$J1101,IF(H1103="CODIX",PR!$K1101,IF(H1103="COSMADE",PR!$L1101,IF(H1103="SANCON",PR!$M1101,IF(H1103="DEVON",PR!$N1101,IF(H1103="DORTEMAG",PR!$O1101,IF(H1103="DGF",PR!$P1101,IF(H1103="DYNAMIC",PR!$Q1101,IF(H1103="EMZOR",PR!$R1101,IF(H1103="EUMATT",PR!$S1101,IF(H1103="FIDSON",PR!$T1101,IF(H1103="FCGLOBAL",PR!$U1101,IF(H1103="GENEITH",PR!$V1101,IF(H1103="GINOS",PR!$W1101,IF(H1103="GSK",PR!$X1101,IF(H1103="GLOBORG",PR!$Y1101,IF(H1103="GOODNEWS",PR!$Z1101,IF(H1103="GREENLIFE",PR!$AA1101,IF(H1103="HLINE",PR!$AB1101,IF(H1103="ROTECH",PR!$AC1101,IF(H1103="ISN",PR!$AD1101,IF(H1103="JAWA",PR!$AE1101,IF(H1103="LAYO",PR!$AF1101,IF(H1103="LEADWAY",PR!$AG1101,IF(H1103="LHV",PR!$AH1101,IF(H1103="MANOLA",PR!$AI1101,IF(H1103="MARCSON",PR!$AJ1101,IF(H1103="M&amp;B",PR!$AK1101,IF(H1103="MTRUST",PR!$AL1101,IF(H1103="MWORLD",PR!$AM1101,IF(H1103="MEGA",PR!$AN1101,IF(H1103="MICRONOVA",PR!$AO1101,IF(H1103="MFLASH",PR!$AP1101,IF(H1103="MORISON",PR!$AQ1101,IF(H1103="NEMEL",PR!$AR1101,IF(H1103="NHP",PR!$AS1101,IF(H1103="NHC",PR!$AT1101,IF(H1103="OLEAF",PR!$AU1101,IF(H1103="OCULUS",PR!$AV1101,IF(H1103="PACIFIC",PR!$AW1101,IF(H1103="PHAMATEX",PR!$AX1101,IF(H1103="PETHICS",PR!$AY1101,IF(H1103="PHILIPS",PR!$AZ1101,IF(H1103="RANBAXY",PR!$BA1101,IF(H1103="REALS",PR!$BB1101,IF(H1103="ROYAL",PR!$BC1101,IF(H1103="SAM",PR!$BD1101,IF(H1103="SEAGREEN",PR!$BE1101,IF(H1103="SKG",PR!$BF1101,IF(H1103="TAH",PR!$BG1101,IF(H1103="TAYLEK",PR!$BH1101,IF(H1103="TEMITA",PR!$BI1101,IF(H1103="THL",PR!$BJ1101,IF(H1103="UBASTIC",PR!$BK1101,IF(H1103="UNION",PR!$BL1101,IF(H1103="UNIQUE",PR!$BM1101,IF(H1103="VIXA",PR!$BN1101,IF(H1103="WWCV",PR!$BO1101,IF(H1103="ZOLON",PR!$BP1101,"-"))))))))))))))))))))))))))))))))))))))))))))))))))))))))))))))))</f>
        <v>7800</v>
      </c>
      <c r="H1103" s="102" t="str">
        <f>EV!M1397</f>
        <v>SANCON</v>
      </c>
      <c r="I1103" s="108">
        <f>IF(J1103="ALPHA",PR!$E1101,IF(J1103="ASSENE",PR!$F1101,IF(J1103="BIOFEM",PR!$G1101,IF(J1103="BIOMED",PR!$H1101,IF(J1103="CHI",PR!$I1101,IF(J1103="CLARION",PR!$J1101,IF(J1103="CODIX",PR!$K1101,IF(J1103="COSMADE",PR!$L1101,IF(J1103="SANCON",PR!$M1101,IF(J1103="DEVON",PR!$N1101,IF(J1103="DORTEMAG",PR!$O1101,IF(J1103="DGF",PR!$P1101,IF(J1103="DYNAMIC",PR!$Q1101,IF(J1103="EMZOR",PR!$R1101,IF(J1103="EUMATT",PR!$S1101,IF(J1103="FIDSON",PR!$T1101,IF(J1103="FCGLOBAL",PR!$U1101,IF(J1103="GENEITH",PR!$V1101,IF(J1103="GINOS",PR!$W1101,IF(J1103="GSK",PR!$X1101,IF(J1103="GLOBORG",PR!$Y1101,IF(J1103="GOODNEWS",PR!$Z1101,IF(J1103="GREENLIFE",PR!$AA1101,IF(J1103="HLINE",PR!$AB1101,IF(J1103="ROTECH",PR!$AC1101,IF(J1103="ISN",PR!$AD1101,IF(J1103="JAWA",PR!$AE1101,IF(J1103="LAYO",PR!$AF1101,IF(J1103="LEADWAY",PR!$AG1101,IF(J1103="LHV",PR!$AH1101,IF(J1103="MANOLA",PR!$AI1101,IF(J1103="MARCSON",PR!$AJ1101,IF(J1103="M&amp;B",PR!$AK1101,IF(J1103="MTRUST",PR!$AL1101,IF(J1103="MWORLD",PR!$AM1101,IF(J1103="MEGA",PR!$AN1101,IF(J1103="MICRONOVA",PR!$AO1101,IF(J1103="MFLASH",PR!$AP1101,IF(J1103="MORISON",PR!$AQ1101,IF(J1103="NEMEL",PR!$AR1101,IF(J1103="NHP",PR!$AS1101,IF(J1103="NHC",PR!$AT1101,IF(J1103="OLEAF",PR!$AU1101,IF(J1103="OCULUS",PR!$AV1101,IF(J1103="PACIFIC",PR!$AW1101,IF(J1103="PHAMATEX",PR!$AX1101,IF(J1103="PETHICS",PR!$AY1101,IF(J1103="PHILIPS",PR!$AZ1101,IF(J1103="RANBAXY",PR!$BA1101,IF(J1103="REALS",PR!$BB1101,IF(J1103="ROYAL",PR!$BC1101,IF(J1103="SAM",PR!$BD1101,IF(J1103="SEAGREEN",PR!$BE1101,IF(J1103="SKG",PR!$BF1101,IF(J1103="TAH",PR!$BG1101,IF(J1103="TAYLEK",PR!$BH1101,IF(J1103="TEMITA",PR!$BI1101,IF(J1103="THL",PR!$BJ1101,IF(J1103="UBASTIC",PR!$BK1101,IF(J1103="UNION",PR!$BL1101,IF(J1103="UNIQUE",PR!$BM1101,IF(J1103="VIXA",PR!$BN1101,IF(J1103="WWCV",PR!$BO1101,IF(J1103="ZOLON",PR!$BP1101,"-"))))))))))))))))))))))))))))))))))))))))))))))))))))))))))))))))</f>
        <v>8750</v>
      </c>
      <c r="J1103" s="102" t="str">
        <f>EV!N1397</f>
        <v>DYNAMIC</v>
      </c>
      <c r="K1103" s="433" t="s">
        <v>1459</v>
      </c>
      <c r="L1103" s="183">
        <f>IF(K1103&gt;0,IF(K1103="ALPHA",PR!$E1101,IF(K1103="ASSENE",PR!$F1101,IF(K1103="BIOFEM",PR!$G1101,IF(K1103="BIOMED",PR!$H1101,IF(K1103="CHI",PR!$I1101,IF(K1103="CLARION",PR!$J1101,IF(K1103="CODIX",PR!$K1101,IF(K1103="COSMADE",PR!$L1101,IF(K1103="SANCON",PR!$M1101,IF(K1103="DEVON",PR!$N1101,IF(K1103="DORTEMAG",PR!$O1101,IF(K1103="DGF",PR!$P1101,IF(K1103="DYNAMIC",PR!$Q1101,IF(K1103="EMZOR",PR!$R1101,IF(K1103="EUMATT",PR!$S1101,IF(K1103="FIDSON",PR!$T1101,IF(K1103="FCGLOBAL",PR!$U1101,IF(K1103="GENEITH",PR!$V1101,IF(K1103="GINOS",PR!$W1101,IF(K1103="GSK",PR!$X1101,IF(K1103="GLOBORG",PR!$Y1101,IF(K1103="GOODNEWS",PR!$Z1101,IF(K1103="GREENLIFE",PR!$AA1101,IF(K1103="HLINE",PR!$AB1101,IF(K1103="ROTECH",PR!$AC1101,IF(K1103="ISN",PR!$AD1101,IF(K1103="JAWA",PR!$AE1101,IF(K1103="LAYO",PR!$AF1101,IF(K1103="LEADWAY",PR!$AG1101,IF(K1103="LHV",PR!$AH1101,IF(K1103="MANOLA",PR!$AI1101,IF(K1103="MARCSON",PR!$AJ1101,IF(K1103="M&amp;B",PR!$AK1101,IF(K1103="MTRUST",PR!$AL1101,IF(K1103="MWORLD",PR!$AM1101,IF(K1103="MEGA",PR!$AN1101,IF(K1103="MICRONOVA",PR!$AO1101,IF(K1103="MFLASH",PR!$AP1101,IF(K1103="MORISON",PR!$AQ1101,IF(K1103="NEMEL",PR!$AR1101,IF(K1103="NHP",PR!$AS1101,IF(K1103="NHC",PR!$AT1101,IF(K1103="OLEAF",PR!$AU1101,IF(K1103="OCULUS",PR!$AV1101,IF(K1103="PACIFIC",PR!$AW1101,IF(K1103="PHAMATEX",PR!$AX1101,IF(K1103="PETHICS",PR!$AY1101,IF(K1103="PHILIPS",PR!$AZ1101,IF(K1103="RANBAXY",PR!$BA1101,IF(K1103="REALS",PR!$BB1101,IF(K1103="ROYAL",PR!$BC1101,IF(K1103="SAM",PR!$BD1101,IF(K1103="SEAGREEN",PR!$BE1101,IF(K1103="SKG",PR!$BF1101,IF(K1103="TAH",PR!$BG1101,IF(K1103="TAYLEK",PR!$BH1101,IF(K1103="TEMITA",PR!$BI1101,IF(K1103="THL",PR!$BJ1101,IF(K1103="UBASTIC",PR!$BK1101,IF(K1103="UNION",PR!$BL1101,IF(K1103="UNIQUE",PR!$BM1101,IF(K1103="VIXA",PR!$BN1101,IF(K1103="WWCV",PR!$BO1101,IF(K1103="ZOLON",PR!$BP1101,"-")))))))))))))))))))))))))))))))))))))))))))))))))))))))))))))))))</f>
        <v>7500</v>
      </c>
    </row>
    <row r="1104" spans="1:12" ht="18.75" x14ac:dyDescent="0.3">
      <c r="A1104" s="430">
        <f>PR!A1102</f>
        <v>989</v>
      </c>
      <c r="B1104" s="15" t="str">
        <f>PR!B1102</f>
        <v>ALKALINE PHOSPHATE KIT (TECO)</v>
      </c>
      <c r="C1104" s="113" t="str">
        <f>PR!D1102</f>
        <v>2*100ml</v>
      </c>
      <c r="D1104" s="113">
        <f>PR!C1102</f>
        <v>36</v>
      </c>
      <c r="E1104" s="108">
        <f>IF(F1104="ALPHA",PR!$E1102,IF(F1104="ASSENE",PR!$F1102,IF(F1104="BIOFEM",PR!$G1102,IF(F1104="BIOMED",PR!$H1102,IF(F1104="CHI",PR!$I1102,IF(F1104="CLARION",PR!$J1102,IF(F1104="CODIX",PR!$K1102,IF(F1104="COSMADE",PR!$L1102,IF(F1104="SANCON",PR!$M1102,IF(F1104="DEVON",PR!$N1102,IF(F1104="DORTEMAG",PR!$O1102,IF(F1104="DGF",PR!$P1102,IF(F1104="DYNAMIC",PR!$Q1102,IF(F1104="EMZOR",PR!$R1102,IF(F1104="EUMATT",PR!$S1102,IF(F1104="FIDSON",PR!$T1102,IF(F1104="FCGLOBAL",PR!$U1102,IF(F1104="GENEITH",PR!$V1102,IF(F1104="GINOS",PR!$W1102,IF(F1104="GSK",PR!$X1102,IF(F1104="GLOBORG",PR!$Y1102,IF(F1104="GOODNEWS",PR!$Z1102,IF(F1104="GREENLIFE",PR!$AA1102,IF(F1104="HLINE",PR!$AB1102,IF(F1104="ROTECH",PR!$AC1102,IF(F1104="ISN",PR!$AD1102,IF(F1104="JAWA",PR!$AE1102,IF(F1104="LAYO",PR!$AF1102,IF(F1104="LEADWAY",PR!$AG1102,IF(F1104="LHV",PR!$AH1102,IF(F1104="MANOLA",PR!$AI1102,IF(F1104="MARCSON",PR!$AJ1102,IF(F1104="M&amp;B",PR!$AK1102,IF(F1104="MTRUST",PR!$AL1102,IF(F1104="MWORLD",PR!$AM1102,IF(F1104="MEGA",PR!$AN1102,IF(F1104="MICRONOVA",PR!$AO1102,IF(F1104="MFLASH",PR!$AP1102,IF(F1104="MORISON",PR!$AQ1102,IF(F1104="NEMEL",PR!$AR1102,IF(F1104="NHP",PR!$AS1102,IF(F1104="NHC",PR!$AT1102,IF(F1104="OLEAF",PR!$AU1102,IF(F1104="OCULUS",PR!$AV1102,IF(F1104="PACIFIC",PR!$AW1102,IF(F1104="PHAMATEX",PR!$AX1102,IF(F1104="PETHICS",PR!$AY1102,IF(F1104="PHILIPS",PR!$AZ1102,IF(F1104="RANBAXY",PR!$BA1102,IF(F1104="REALS",PR!$BB1102,IF(F1104="ROYAL",PR!$BC1102,IF(F1104="SAM",PR!$BD1102,IF(F1104="SEAGREEN",PR!$BE1102,IF(F1104="SKG",PR!$BF1102,IF(F1104="TAH",PR!$BG1102,IF(F1104="TAYLEK",PR!$BH1102,IF(F1104="TEMITA",PR!$BI1102,IF(F1104="THL",PR!$BJ1102,IF(F1104="UBASTIC",PR!$BK1102,IF(F1104="UNION",PR!$BL1102,IF(F1104="UNIQUE",PR!$BM1102,IF(F1104="VIXA",PR!$BN1102,IF(F1104="WWCV",PR!$BO1102,IF(F1104="ZOLON",PR!$BP1102,"-"))))))))))))))))))))))))))))))))))))))))))))))))))))))))))))))))</f>
        <v>11700</v>
      </c>
      <c r="F1104" s="102" t="str">
        <f>EV!L1398</f>
        <v>LAYO</v>
      </c>
      <c r="G1104" s="108">
        <f>IF(H1104="ALPHA",PR!$E1102,IF(H1104="ASSENE",PR!$F1102,IF(H1104="BIOFEM",PR!$G1102,IF(H1104="BIOMED",PR!$H1102,IF(H1104="CHI",PR!$I1102,IF(H1104="CLARION",PR!$J1102,IF(H1104="CODIX",PR!$K1102,IF(H1104="COSMADE",PR!$L1102,IF(H1104="SANCON",PR!$M1102,IF(H1104="DEVON",PR!$N1102,IF(H1104="DORTEMAG",PR!$O1102,IF(H1104="DGF",PR!$P1102,IF(H1104="DYNAMIC",PR!$Q1102,IF(H1104="EMZOR",PR!$R1102,IF(H1104="EUMATT",PR!$S1102,IF(H1104="FIDSON",PR!$T1102,IF(H1104="FCGLOBAL",PR!$U1102,IF(H1104="GENEITH",PR!$V1102,IF(H1104="GINOS",PR!$W1102,IF(H1104="GSK",PR!$X1102,IF(H1104="GLOBORG",PR!$Y1102,IF(H1104="GOODNEWS",PR!$Z1102,IF(H1104="GREENLIFE",PR!$AA1102,IF(H1104="HLINE",PR!$AB1102,IF(H1104="ROTECH",PR!$AC1102,IF(H1104="ISN",PR!$AD1102,IF(H1104="JAWA",PR!$AE1102,IF(H1104="LAYO",PR!$AF1102,IF(H1104="LEADWAY",PR!$AG1102,IF(H1104="LHV",PR!$AH1102,IF(H1104="MANOLA",PR!$AI1102,IF(H1104="MARCSON",PR!$AJ1102,IF(H1104="M&amp;B",PR!$AK1102,IF(H1104="MTRUST",PR!$AL1102,IF(H1104="MWORLD",PR!$AM1102,IF(H1104="MEGA",PR!$AN1102,IF(H1104="MICRONOVA",PR!$AO1102,IF(H1104="MFLASH",PR!$AP1102,IF(H1104="MORISON",PR!$AQ1102,IF(H1104="NEMEL",PR!$AR1102,IF(H1104="NHP",PR!$AS1102,IF(H1104="NHC",PR!$AT1102,IF(H1104="OLEAF",PR!$AU1102,IF(H1104="OCULUS",PR!$AV1102,IF(H1104="PACIFIC",PR!$AW1102,IF(H1104="PHAMATEX",PR!$AX1102,IF(H1104="PETHICS",PR!$AY1102,IF(H1104="PHILIPS",PR!$AZ1102,IF(H1104="RANBAXY",PR!$BA1102,IF(H1104="REALS",PR!$BB1102,IF(H1104="ROYAL",PR!$BC1102,IF(H1104="SAM",PR!$BD1102,IF(H1104="SEAGREEN",PR!$BE1102,IF(H1104="SKG",PR!$BF1102,IF(H1104="TAH",PR!$BG1102,IF(H1104="TAYLEK",PR!$BH1102,IF(H1104="TEMITA",PR!$BI1102,IF(H1104="THL",PR!$BJ1102,IF(H1104="UBASTIC",PR!$BK1102,IF(H1104="UNION",PR!$BL1102,IF(H1104="UNIQUE",PR!$BM1102,IF(H1104="VIXA",PR!$BN1102,IF(H1104="WWCV",PR!$BO1102,IF(H1104="ZOLON",PR!$BP1102,"-"))))))))))))))))))))))))))))))))))))))))))))))))))))))))))))))))</f>
        <v>12000</v>
      </c>
      <c r="H1104" s="102" t="str">
        <f>EV!M1398</f>
        <v>UBASTIC</v>
      </c>
      <c r="I1104" s="108">
        <f>IF(J1104="ALPHA",PR!$E1102,IF(J1104="ASSENE",PR!$F1102,IF(J1104="BIOFEM",PR!$G1102,IF(J1104="BIOMED",PR!$H1102,IF(J1104="CHI",PR!$I1102,IF(J1104="CLARION",PR!$J1102,IF(J1104="CODIX",PR!$K1102,IF(J1104="COSMADE",PR!$L1102,IF(J1104="SANCON",PR!$M1102,IF(J1104="DEVON",PR!$N1102,IF(J1104="DORTEMAG",PR!$O1102,IF(J1104="DGF",PR!$P1102,IF(J1104="DYNAMIC",PR!$Q1102,IF(J1104="EMZOR",PR!$R1102,IF(J1104="EUMATT",PR!$S1102,IF(J1104="FIDSON",PR!$T1102,IF(J1104="FCGLOBAL",PR!$U1102,IF(J1104="GENEITH",PR!$V1102,IF(J1104="GINOS",PR!$W1102,IF(J1104="GSK",PR!$X1102,IF(J1104="GLOBORG",PR!$Y1102,IF(J1104="GOODNEWS",PR!$Z1102,IF(J1104="GREENLIFE",PR!$AA1102,IF(J1104="HLINE",PR!$AB1102,IF(J1104="ROTECH",PR!$AC1102,IF(J1104="ISN",PR!$AD1102,IF(J1104="JAWA",PR!$AE1102,IF(J1104="LAYO",PR!$AF1102,IF(J1104="LEADWAY",PR!$AG1102,IF(J1104="LHV",PR!$AH1102,IF(J1104="MANOLA",PR!$AI1102,IF(J1104="MARCSON",PR!$AJ1102,IF(J1104="M&amp;B",PR!$AK1102,IF(J1104="MTRUST",PR!$AL1102,IF(J1104="MWORLD",PR!$AM1102,IF(J1104="MEGA",PR!$AN1102,IF(J1104="MICRONOVA",PR!$AO1102,IF(J1104="MFLASH",PR!$AP1102,IF(J1104="MORISON",PR!$AQ1102,IF(J1104="NEMEL",PR!$AR1102,IF(J1104="NHP",PR!$AS1102,IF(J1104="NHC",PR!$AT1102,IF(J1104="OLEAF",PR!$AU1102,IF(J1104="OCULUS",PR!$AV1102,IF(J1104="PACIFIC",PR!$AW1102,IF(J1104="PHAMATEX",PR!$AX1102,IF(J1104="PETHICS",PR!$AY1102,IF(J1104="PHILIPS",PR!$AZ1102,IF(J1104="RANBAXY",PR!$BA1102,IF(J1104="REALS",PR!$BB1102,IF(J1104="ROYAL",PR!$BC1102,IF(J1104="SAM",PR!$BD1102,IF(J1104="SEAGREEN",PR!$BE1102,IF(J1104="SKG",PR!$BF1102,IF(J1104="TAH",PR!$BG1102,IF(J1104="TAYLEK",PR!$BH1102,IF(J1104="TEMITA",PR!$BI1102,IF(J1104="THL",PR!$BJ1102,IF(J1104="UBASTIC",PR!$BK1102,IF(J1104="UNION",PR!$BL1102,IF(J1104="UNIQUE",PR!$BM1102,IF(J1104="VIXA",PR!$BN1102,IF(J1104="WWCV",PR!$BO1102,IF(J1104="ZOLON",PR!$BP1102,"-"))))))))))))))))))))))))))))))))))))))))))))))))))))))))))))))))</f>
        <v>12000</v>
      </c>
      <c r="J1104" s="102" t="str">
        <f>EV!N1398</f>
        <v>SANCON</v>
      </c>
      <c r="K1104" s="433" t="s">
        <v>1461</v>
      </c>
      <c r="L1104" s="183">
        <f>IF(K1104&gt;0,IF(K1104="ALPHA",PR!$E1102,IF(K1104="ASSENE",PR!$F1102,IF(K1104="BIOFEM",PR!$G1102,IF(K1104="BIOMED",PR!$H1102,IF(K1104="CHI",PR!$I1102,IF(K1104="CLARION",PR!$J1102,IF(K1104="CODIX",PR!$K1102,IF(K1104="COSMADE",PR!$L1102,IF(K1104="SANCON",PR!$M1102,IF(K1104="DEVON",PR!$N1102,IF(K1104="DORTEMAG",PR!$O1102,IF(K1104="DGF",PR!$P1102,IF(K1104="DYNAMIC",PR!$Q1102,IF(K1104="EMZOR",PR!$R1102,IF(K1104="EUMATT",PR!$S1102,IF(K1104="FIDSON",PR!$T1102,IF(K1104="FCGLOBAL",PR!$U1102,IF(K1104="GENEITH",PR!$V1102,IF(K1104="GINOS",PR!$W1102,IF(K1104="GSK",PR!$X1102,IF(K1104="GLOBORG",PR!$Y1102,IF(K1104="GOODNEWS",PR!$Z1102,IF(K1104="GREENLIFE",PR!$AA1102,IF(K1104="HLINE",PR!$AB1102,IF(K1104="ROTECH",PR!$AC1102,IF(K1104="ISN",PR!$AD1102,IF(K1104="JAWA",PR!$AE1102,IF(K1104="LAYO",PR!$AF1102,IF(K1104="LEADWAY",PR!$AG1102,IF(K1104="LHV",PR!$AH1102,IF(K1104="MANOLA",PR!$AI1102,IF(K1104="MARCSON",PR!$AJ1102,IF(K1104="M&amp;B",PR!$AK1102,IF(K1104="MTRUST",PR!$AL1102,IF(K1104="MWORLD",PR!$AM1102,IF(K1104="MEGA",PR!$AN1102,IF(K1104="MICRONOVA",PR!$AO1102,IF(K1104="MFLASH",PR!$AP1102,IF(K1104="MORISON",PR!$AQ1102,IF(K1104="NEMEL",PR!$AR1102,IF(K1104="NHP",PR!$AS1102,IF(K1104="NHC",PR!$AT1102,IF(K1104="OLEAF",PR!$AU1102,IF(K1104="OCULUS",PR!$AV1102,IF(K1104="PACIFIC",PR!$AW1102,IF(K1104="PHAMATEX",PR!$AX1102,IF(K1104="PETHICS",PR!$AY1102,IF(K1104="PHILIPS",PR!$AZ1102,IF(K1104="RANBAXY",PR!$BA1102,IF(K1104="REALS",PR!$BB1102,IF(K1104="ROYAL",PR!$BC1102,IF(K1104="SAM",PR!$BD1102,IF(K1104="SEAGREEN",PR!$BE1102,IF(K1104="SKG",PR!$BF1102,IF(K1104="TAH",PR!$BG1102,IF(K1104="TAYLEK",PR!$BH1102,IF(K1104="TEMITA",PR!$BI1102,IF(K1104="THL",PR!$BJ1102,IF(K1104="UBASTIC",PR!$BK1102,IF(K1104="UNION",PR!$BL1102,IF(K1104="UNIQUE",PR!$BM1102,IF(K1104="VIXA",PR!$BN1102,IF(K1104="WWCV",PR!$BO1102,IF(K1104="ZOLON",PR!$BP1102,"-")))))))))))))))))))))))))))))))))))))))))))))))))))))))))))))))))</f>
        <v>11700</v>
      </c>
    </row>
    <row r="1105" spans="1:12" ht="18.75" x14ac:dyDescent="0.3">
      <c r="A1105" s="430">
        <f>PR!A1103</f>
        <v>990</v>
      </c>
      <c r="B1105" s="15" t="str">
        <f>PR!B1103</f>
        <v>GLUCOSE KIT (RANDOX)</v>
      </c>
      <c r="C1105" s="113" t="str">
        <f>PR!D1103</f>
        <v>10*100ml</v>
      </c>
      <c r="D1105" s="113">
        <f>PR!C1103</f>
        <v>12</v>
      </c>
      <c r="E1105" s="108">
        <f>IF(F1105="ALPHA",PR!$E1103,IF(F1105="ASSENE",PR!$F1103,IF(F1105="BIOFEM",PR!$G1103,IF(F1105="BIOMED",PR!$H1103,IF(F1105="CHI",PR!$I1103,IF(F1105="CLARION",PR!$J1103,IF(F1105="CODIX",PR!$K1103,IF(F1105="COSMADE",PR!$L1103,IF(F1105="SANCON",PR!$M1103,IF(F1105="DEVON",PR!$N1103,IF(F1105="DORTEMAG",PR!$O1103,IF(F1105="DGF",PR!$P1103,IF(F1105="DYNAMIC",PR!$Q1103,IF(F1105="EMZOR",PR!$R1103,IF(F1105="EUMATT",PR!$S1103,IF(F1105="FIDSON",PR!$T1103,IF(F1105="FCGLOBAL",PR!$U1103,IF(F1105="GENEITH",PR!$V1103,IF(F1105="GINOS",PR!$W1103,IF(F1105="GSK",PR!$X1103,IF(F1105="GLOBORG",PR!$Y1103,IF(F1105="GOODNEWS",PR!$Z1103,IF(F1105="GREENLIFE",PR!$AA1103,IF(F1105="HLINE",PR!$AB1103,IF(F1105="ROTECH",PR!$AC1103,IF(F1105="ISN",PR!$AD1103,IF(F1105="JAWA",PR!$AE1103,IF(F1105="LAYO",PR!$AF1103,IF(F1105="LEADWAY",PR!$AG1103,IF(F1105="LHV",PR!$AH1103,IF(F1105="MANOLA",PR!$AI1103,IF(F1105="MARCSON",PR!$AJ1103,IF(F1105="M&amp;B",PR!$AK1103,IF(F1105="MTRUST",PR!$AL1103,IF(F1105="MWORLD",PR!$AM1103,IF(F1105="MEGA",PR!$AN1103,IF(F1105="MICRONOVA",PR!$AO1103,IF(F1105="MFLASH",PR!$AP1103,IF(F1105="MORISON",PR!$AQ1103,IF(F1105="NEMEL",PR!$AR1103,IF(F1105="NHP",PR!$AS1103,IF(F1105="NHC",PR!$AT1103,IF(F1105="OLEAF",PR!$AU1103,IF(F1105="OCULUS",PR!$AV1103,IF(F1105="PACIFIC",PR!$AW1103,IF(F1105="PHAMATEX",PR!$AX1103,IF(F1105="PETHICS",PR!$AY1103,IF(F1105="PHILIPS",PR!$AZ1103,IF(F1105="RANBAXY",PR!$BA1103,IF(F1105="REALS",PR!$BB1103,IF(F1105="ROYAL",PR!$BC1103,IF(F1105="SAM",PR!$BD1103,IF(F1105="SEAGREEN",PR!$BE1103,IF(F1105="SKG",PR!$BF1103,IF(F1105="TAH",PR!$BG1103,IF(F1105="TAYLEK",PR!$BH1103,IF(F1105="TEMITA",PR!$BI1103,IF(F1105="THL",PR!$BJ1103,IF(F1105="UBASTIC",PR!$BK1103,IF(F1105="UNION",PR!$BL1103,IF(F1105="UNIQUE",PR!$BM1103,IF(F1105="VIXA",PR!$BN1103,IF(F1105="WWCV",PR!$BO1103,IF(F1105="ZOLON",PR!$BP1103,"-"))))))))))))))))))))))))))))))))))))))))))))))))))))))))))))))))</f>
        <v>20000</v>
      </c>
      <c r="F1105" s="102" t="str">
        <f>EV!L1399</f>
        <v>UBASTIC</v>
      </c>
      <c r="G1105" s="108">
        <f>IF(H1105="ALPHA",PR!$E1103,IF(H1105="ASSENE",PR!$F1103,IF(H1105="BIOFEM",PR!$G1103,IF(H1105="BIOMED",PR!$H1103,IF(H1105="CHI",PR!$I1103,IF(H1105="CLARION",PR!$J1103,IF(H1105="CODIX",PR!$K1103,IF(H1105="COSMADE",PR!$L1103,IF(H1105="SANCON",PR!$M1103,IF(H1105="DEVON",PR!$N1103,IF(H1105="DORTEMAG",PR!$O1103,IF(H1105="DGF",PR!$P1103,IF(H1105="DYNAMIC",PR!$Q1103,IF(H1105="EMZOR",PR!$R1103,IF(H1105="EUMATT",PR!$S1103,IF(H1105="FIDSON",PR!$T1103,IF(H1105="FCGLOBAL",PR!$U1103,IF(H1105="GENEITH",PR!$V1103,IF(H1105="GINOS",PR!$W1103,IF(H1105="GSK",PR!$X1103,IF(H1105="GLOBORG",PR!$Y1103,IF(H1105="GOODNEWS",PR!$Z1103,IF(H1105="GREENLIFE",PR!$AA1103,IF(H1105="HLINE",PR!$AB1103,IF(H1105="ROTECH",PR!$AC1103,IF(H1105="ISN",PR!$AD1103,IF(H1105="JAWA",PR!$AE1103,IF(H1105="LAYO",PR!$AF1103,IF(H1105="LEADWAY",PR!$AG1103,IF(H1105="LHV",PR!$AH1103,IF(H1105="MANOLA",PR!$AI1103,IF(H1105="MARCSON",PR!$AJ1103,IF(H1105="M&amp;B",PR!$AK1103,IF(H1105="MTRUST",PR!$AL1103,IF(H1105="MWORLD",PR!$AM1103,IF(H1105="MEGA",PR!$AN1103,IF(H1105="MICRONOVA",PR!$AO1103,IF(H1105="MFLASH",PR!$AP1103,IF(H1105="MORISON",PR!$AQ1103,IF(H1105="NEMEL",PR!$AR1103,IF(H1105="NHP",PR!$AS1103,IF(H1105="NHC",PR!$AT1103,IF(H1105="OLEAF",PR!$AU1103,IF(H1105="OCULUS",PR!$AV1103,IF(H1105="PACIFIC",PR!$AW1103,IF(H1105="PHAMATEX",PR!$AX1103,IF(H1105="PETHICS",PR!$AY1103,IF(H1105="PHILIPS",PR!$AZ1103,IF(H1105="RANBAXY",PR!$BA1103,IF(H1105="REALS",PR!$BB1103,IF(H1105="ROYAL",PR!$BC1103,IF(H1105="SAM",PR!$BD1103,IF(H1105="SEAGREEN",PR!$BE1103,IF(H1105="SKG",PR!$BF1103,IF(H1105="TAH",PR!$BG1103,IF(H1105="TAYLEK",PR!$BH1103,IF(H1105="TEMITA",PR!$BI1103,IF(H1105="THL",PR!$BJ1103,IF(H1105="UBASTIC",PR!$BK1103,IF(H1105="UNION",PR!$BL1103,IF(H1105="UNIQUE",PR!$BM1103,IF(H1105="VIXA",PR!$BN1103,IF(H1105="WWCV",PR!$BO1103,IF(H1105="ZOLON",PR!$BP1103,"-"))))))))))))))))))))))))))))))))))))))))))))))))))))))))))))))))</f>
        <v>21000</v>
      </c>
      <c r="H1105" s="102" t="str">
        <f>EV!M1399</f>
        <v>SANCON</v>
      </c>
      <c r="I1105" s="108">
        <f>IF(J1105="ALPHA",PR!$E1103,IF(J1105="ASSENE",PR!$F1103,IF(J1105="BIOFEM",PR!$G1103,IF(J1105="BIOMED",PR!$H1103,IF(J1105="CHI",PR!$I1103,IF(J1105="CLARION",PR!$J1103,IF(J1105="CODIX",PR!$K1103,IF(J1105="COSMADE",PR!$L1103,IF(J1105="SANCON",PR!$M1103,IF(J1105="DEVON",PR!$N1103,IF(J1105="DORTEMAG",PR!$O1103,IF(J1105="DGF",PR!$P1103,IF(J1105="DYNAMIC",PR!$Q1103,IF(J1105="EMZOR",PR!$R1103,IF(J1105="EUMATT",PR!$S1103,IF(J1105="FIDSON",PR!$T1103,IF(J1105="FCGLOBAL",PR!$U1103,IF(J1105="GENEITH",PR!$V1103,IF(J1105="GINOS",PR!$W1103,IF(J1105="GSK",PR!$X1103,IF(J1105="GLOBORG",PR!$Y1103,IF(J1105="GOODNEWS",PR!$Z1103,IF(J1105="GREENLIFE",PR!$AA1103,IF(J1105="HLINE",PR!$AB1103,IF(J1105="ROTECH",PR!$AC1103,IF(J1105="ISN",PR!$AD1103,IF(J1105="JAWA",PR!$AE1103,IF(J1105="LAYO",PR!$AF1103,IF(J1105="LEADWAY",PR!$AG1103,IF(J1105="LHV",PR!$AH1103,IF(J1105="MANOLA",PR!$AI1103,IF(J1105="MARCSON",PR!$AJ1103,IF(J1105="M&amp;B",PR!$AK1103,IF(J1105="MTRUST",PR!$AL1103,IF(J1105="MWORLD",PR!$AM1103,IF(J1105="MEGA",PR!$AN1103,IF(J1105="MICRONOVA",PR!$AO1103,IF(J1105="MFLASH",PR!$AP1103,IF(J1105="MORISON",PR!$AQ1103,IF(J1105="NEMEL",PR!$AR1103,IF(J1105="NHP",PR!$AS1103,IF(J1105="NHC",PR!$AT1103,IF(J1105="OLEAF",PR!$AU1103,IF(J1105="OCULUS",PR!$AV1103,IF(J1105="PACIFIC",PR!$AW1103,IF(J1105="PHAMATEX",PR!$AX1103,IF(J1105="PETHICS",PR!$AY1103,IF(J1105="PHILIPS",PR!$AZ1103,IF(J1105="RANBAXY",PR!$BA1103,IF(J1105="REALS",PR!$BB1103,IF(J1105="ROYAL",PR!$BC1103,IF(J1105="SAM",PR!$BD1103,IF(J1105="SEAGREEN",PR!$BE1103,IF(J1105="SKG",PR!$BF1103,IF(J1105="TAH",PR!$BG1103,IF(J1105="TAYLEK",PR!$BH1103,IF(J1105="TEMITA",PR!$BI1103,IF(J1105="THL",PR!$BJ1103,IF(J1105="UBASTIC",PR!$BK1103,IF(J1105="UNION",PR!$BL1103,IF(J1105="UNIQUE",PR!$BM1103,IF(J1105="VIXA",PR!$BN1103,IF(J1105="WWCV",PR!$BO1103,IF(J1105="ZOLON",PR!$BP1103,"-"))))))))))))))))))))))))))))))))))))))))))))))))))))))))))))))))</f>
        <v>22230</v>
      </c>
      <c r="J1105" s="102" t="str">
        <f>EV!N1399</f>
        <v>LAYO</v>
      </c>
      <c r="K1105" s="433" t="s">
        <v>1459</v>
      </c>
      <c r="L1105" s="183">
        <f>IF(K1105&gt;0,IF(K1105="ALPHA",PR!$E1103,IF(K1105="ASSENE",PR!$F1103,IF(K1105="BIOFEM",PR!$G1103,IF(K1105="BIOMED",PR!$H1103,IF(K1105="CHI",PR!$I1103,IF(K1105="CLARION",PR!$J1103,IF(K1105="CODIX",PR!$K1103,IF(K1105="COSMADE",PR!$L1103,IF(K1105="SANCON",PR!$M1103,IF(K1105="DEVON",PR!$N1103,IF(K1105="DORTEMAG",PR!$O1103,IF(K1105="DGF",PR!$P1103,IF(K1105="DYNAMIC",PR!$Q1103,IF(K1105="EMZOR",PR!$R1103,IF(K1105="EUMATT",PR!$S1103,IF(K1105="FIDSON",PR!$T1103,IF(K1105="FCGLOBAL",PR!$U1103,IF(K1105="GENEITH",PR!$V1103,IF(K1105="GINOS",PR!$W1103,IF(K1105="GSK",PR!$X1103,IF(K1105="GLOBORG",PR!$Y1103,IF(K1105="GOODNEWS",PR!$Z1103,IF(K1105="GREENLIFE",PR!$AA1103,IF(K1105="HLINE",PR!$AB1103,IF(K1105="ROTECH",PR!$AC1103,IF(K1105="ISN",PR!$AD1103,IF(K1105="JAWA",PR!$AE1103,IF(K1105="LAYO",PR!$AF1103,IF(K1105="LEADWAY",PR!$AG1103,IF(K1105="LHV",PR!$AH1103,IF(K1105="MANOLA",PR!$AI1103,IF(K1105="MARCSON",PR!$AJ1103,IF(K1105="M&amp;B",PR!$AK1103,IF(K1105="MTRUST",PR!$AL1103,IF(K1105="MWORLD",PR!$AM1103,IF(K1105="MEGA",PR!$AN1103,IF(K1105="MICRONOVA",PR!$AO1103,IF(K1105="MFLASH",PR!$AP1103,IF(K1105="MORISON",PR!$AQ1103,IF(K1105="NEMEL",PR!$AR1103,IF(K1105="NHP",PR!$AS1103,IF(K1105="NHC",PR!$AT1103,IF(K1105="OLEAF",PR!$AU1103,IF(K1105="OCULUS",PR!$AV1103,IF(K1105="PACIFIC",PR!$AW1103,IF(K1105="PHAMATEX",PR!$AX1103,IF(K1105="PETHICS",PR!$AY1103,IF(K1105="PHILIPS",PR!$AZ1103,IF(K1105="RANBAXY",PR!$BA1103,IF(K1105="REALS",PR!$BB1103,IF(K1105="ROYAL",PR!$BC1103,IF(K1105="SAM",PR!$BD1103,IF(K1105="SEAGREEN",PR!$BE1103,IF(K1105="SKG",PR!$BF1103,IF(K1105="TAH",PR!$BG1103,IF(K1105="TAYLEK",PR!$BH1103,IF(K1105="TEMITA",PR!$BI1103,IF(K1105="THL",PR!$BJ1103,IF(K1105="UBASTIC",PR!$BK1103,IF(K1105="UNION",PR!$BL1103,IF(K1105="UNIQUE",PR!$BM1103,IF(K1105="VIXA",PR!$BN1103,IF(K1105="WWCV",PR!$BO1103,IF(K1105="ZOLON",PR!$BP1103,"-")))))))))))))))))))))))))))))))))))))))))))))))))))))))))))))))))</f>
        <v>20000</v>
      </c>
    </row>
    <row r="1106" spans="1:12" ht="18.75" x14ac:dyDescent="0.3">
      <c r="A1106" s="430">
        <f>PR!A1104</f>
        <v>991</v>
      </c>
      <c r="B1106" s="15" t="str">
        <f>PR!B1104</f>
        <v>COMBI 10 URINE STRIP (UNISCREEN)</v>
      </c>
      <c r="C1106" s="113" t="str">
        <f>PR!D1104</f>
        <v>1*100pcs</v>
      </c>
      <c r="D1106" s="113">
        <f>PR!C1104</f>
        <v>100</v>
      </c>
      <c r="E1106" s="108">
        <f>IF(F1106="ALPHA",PR!$E1104,IF(F1106="ASSENE",PR!$F1104,IF(F1106="BIOFEM",PR!$G1104,IF(F1106="BIOMED",PR!$H1104,IF(F1106="CHI",PR!$I1104,IF(F1106="CLARION",PR!$J1104,IF(F1106="CODIX",PR!$K1104,IF(F1106="COSMADE",PR!$L1104,IF(F1106="SANCON",PR!$M1104,IF(F1106="DEVON",PR!$N1104,IF(F1106="DORTEMAG",PR!$O1104,IF(F1106="DGF",PR!$P1104,IF(F1106="DYNAMIC",PR!$Q1104,IF(F1106="EMZOR",PR!$R1104,IF(F1106="EUMATT",PR!$S1104,IF(F1106="FIDSON",PR!$T1104,IF(F1106="FCGLOBAL",PR!$U1104,IF(F1106="GENEITH",PR!$V1104,IF(F1106="GINOS",PR!$W1104,IF(F1106="GSK",PR!$X1104,IF(F1106="GLOBORG",PR!$Y1104,IF(F1106="GOODNEWS",PR!$Z1104,IF(F1106="GREENLIFE",PR!$AA1104,IF(F1106="HLINE",PR!$AB1104,IF(F1106="ROTECH",PR!$AC1104,IF(F1106="ISN",PR!$AD1104,IF(F1106="JAWA",PR!$AE1104,IF(F1106="LAYO",PR!$AF1104,IF(F1106="LEADWAY",PR!$AG1104,IF(F1106="LHV",PR!$AH1104,IF(F1106="MANOLA",PR!$AI1104,IF(F1106="MARCSON",PR!$AJ1104,IF(F1106="M&amp;B",PR!$AK1104,IF(F1106="MTRUST",PR!$AL1104,IF(F1106="MWORLD",PR!$AM1104,IF(F1106="MEGA",PR!$AN1104,IF(F1106="MICRONOVA",PR!$AO1104,IF(F1106="MFLASH",PR!$AP1104,IF(F1106="MORISON",PR!$AQ1104,IF(F1106="NEMEL",PR!$AR1104,IF(F1106="NHP",PR!$AS1104,IF(F1106="NHC",PR!$AT1104,IF(F1106="OLEAF",PR!$AU1104,IF(F1106="OCULUS",PR!$AV1104,IF(F1106="PACIFIC",PR!$AW1104,IF(F1106="PHAMATEX",PR!$AX1104,IF(F1106="PETHICS",PR!$AY1104,IF(F1106="PHILIPS",PR!$AZ1104,IF(F1106="RANBAXY",PR!$BA1104,IF(F1106="REALS",PR!$BB1104,IF(F1106="ROYAL",PR!$BC1104,IF(F1106="SAM",PR!$BD1104,IF(F1106="SEAGREEN",PR!$BE1104,IF(F1106="SKG",PR!$BF1104,IF(F1106="TAH",PR!$BG1104,IF(F1106="TAYLEK",PR!$BH1104,IF(F1106="TEMITA",PR!$BI1104,IF(F1106="THL",PR!$BJ1104,IF(F1106="UBASTIC",PR!$BK1104,IF(F1106="UNION",PR!$BL1104,IF(F1106="UNIQUE",PR!$BM1104,IF(F1106="VIXA",PR!$BN1104,IF(F1106="WWCV",PR!$BO1104,IF(F1106="ZOLON",PR!$BP1104,"-"))))))))))))))))))))))))))))))))))))))))))))))))))))))))))))))))</f>
        <v>1875</v>
      </c>
      <c r="F1106" s="102" t="str">
        <f>EV!L1400</f>
        <v>DYNAMIC</v>
      </c>
      <c r="G1106" s="108">
        <f>IF(H1106="ALPHA",PR!$E1104,IF(H1106="ASSENE",PR!$F1104,IF(H1106="BIOFEM",PR!$G1104,IF(H1106="BIOMED",PR!$H1104,IF(H1106="CHI",PR!$I1104,IF(H1106="CLARION",PR!$J1104,IF(H1106="CODIX",PR!$K1104,IF(H1106="COSMADE",PR!$L1104,IF(H1106="SANCON",PR!$M1104,IF(H1106="DEVON",PR!$N1104,IF(H1106="DORTEMAG",PR!$O1104,IF(H1106="DGF",PR!$P1104,IF(H1106="DYNAMIC",PR!$Q1104,IF(H1106="EMZOR",PR!$R1104,IF(H1106="EUMATT",PR!$S1104,IF(H1106="FIDSON",PR!$T1104,IF(H1106="FCGLOBAL",PR!$U1104,IF(H1106="GENEITH",PR!$V1104,IF(H1106="GINOS",PR!$W1104,IF(H1106="GSK",PR!$X1104,IF(H1106="GLOBORG",PR!$Y1104,IF(H1106="GOODNEWS",PR!$Z1104,IF(H1106="GREENLIFE",PR!$AA1104,IF(H1106="HLINE",PR!$AB1104,IF(H1106="ROTECH",PR!$AC1104,IF(H1106="ISN",PR!$AD1104,IF(H1106="JAWA",PR!$AE1104,IF(H1106="LAYO",PR!$AF1104,IF(H1106="LEADWAY",PR!$AG1104,IF(H1106="LHV",PR!$AH1104,IF(H1106="MANOLA",PR!$AI1104,IF(H1106="MARCSON",PR!$AJ1104,IF(H1106="M&amp;B",PR!$AK1104,IF(H1106="MTRUST",PR!$AL1104,IF(H1106="MWORLD",PR!$AM1104,IF(H1106="MEGA",PR!$AN1104,IF(H1106="MICRONOVA",PR!$AO1104,IF(H1106="MFLASH",PR!$AP1104,IF(H1106="MORISON",PR!$AQ1104,IF(H1106="NEMEL",PR!$AR1104,IF(H1106="NHP",PR!$AS1104,IF(H1106="NHC",PR!$AT1104,IF(H1106="OLEAF",PR!$AU1104,IF(H1106="OCULUS",PR!$AV1104,IF(H1106="PACIFIC",PR!$AW1104,IF(H1106="PHAMATEX",PR!$AX1104,IF(H1106="PETHICS",PR!$AY1104,IF(H1106="PHILIPS",PR!$AZ1104,IF(H1106="RANBAXY",PR!$BA1104,IF(H1106="REALS",PR!$BB1104,IF(H1106="ROYAL",PR!$BC1104,IF(H1106="SAM",PR!$BD1104,IF(H1106="SEAGREEN",PR!$BE1104,IF(H1106="SKG",PR!$BF1104,IF(H1106="TAH",PR!$BG1104,IF(H1106="TAYLEK",PR!$BH1104,IF(H1106="TEMITA",PR!$BI1104,IF(H1106="THL",PR!$BJ1104,IF(H1106="UBASTIC",PR!$BK1104,IF(H1106="UNION",PR!$BL1104,IF(H1106="UNIQUE",PR!$BM1104,IF(H1106="VIXA",PR!$BN1104,IF(H1106="WWCV",PR!$BO1104,IF(H1106="ZOLON",PR!$BP1104,"-"))))))))))))))))))))))))))))))))))))))))))))))))))))))))))))))))</f>
        <v>2600</v>
      </c>
      <c r="H1106" s="102" t="str">
        <f>EV!M1400</f>
        <v>SANCON</v>
      </c>
      <c r="I1106" s="108">
        <f>IF(J1106="ALPHA",PR!$E1104,IF(J1106="ASSENE",PR!$F1104,IF(J1106="BIOFEM",PR!$G1104,IF(J1106="BIOMED",PR!$H1104,IF(J1106="CHI",PR!$I1104,IF(J1106="CLARION",PR!$J1104,IF(J1106="CODIX",PR!$K1104,IF(J1106="COSMADE",PR!$L1104,IF(J1106="SANCON",PR!$M1104,IF(J1106="DEVON",PR!$N1104,IF(J1106="DORTEMAG",PR!$O1104,IF(J1106="DGF",PR!$P1104,IF(J1106="DYNAMIC",PR!$Q1104,IF(J1106="EMZOR",PR!$R1104,IF(J1106="EUMATT",PR!$S1104,IF(J1106="FIDSON",PR!$T1104,IF(J1106="FCGLOBAL",PR!$U1104,IF(J1106="GENEITH",PR!$V1104,IF(J1106="GINOS",PR!$W1104,IF(J1106="GSK",PR!$X1104,IF(J1106="GLOBORG",PR!$Y1104,IF(J1106="GOODNEWS",PR!$Z1104,IF(J1106="GREENLIFE",PR!$AA1104,IF(J1106="HLINE",PR!$AB1104,IF(J1106="ROTECH",PR!$AC1104,IF(J1106="ISN",PR!$AD1104,IF(J1106="JAWA",PR!$AE1104,IF(J1106="LAYO",PR!$AF1104,IF(J1106="LEADWAY",PR!$AG1104,IF(J1106="LHV",PR!$AH1104,IF(J1106="MANOLA",PR!$AI1104,IF(J1106="MARCSON",PR!$AJ1104,IF(J1106="M&amp;B",PR!$AK1104,IF(J1106="MTRUST",PR!$AL1104,IF(J1106="MWORLD",PR!$AM1104,IF(J1106="MEGA",PR!$AN1104,IF(J1106="MICRONOVA",PR!$AO1104,IF(J1106="MFLASH",PR!$AP1104,IF(J1106="MORISON",PR!$AQ1104,IF(J1106="NEMEL",PR!$AR1104,IF(J1106="NHP",PR!$AS1104,IF(J1106="NHC",PR!$AT1104,IF(J1106="OLEAF",PR!$AU1104,IF(J1106="OCULUS",PR!$AV1104,IF(J1106="PACIFIC",PR!$AW1104,IF(J1106="PHAMATEX",PR!$AX1104,IF(J1106="PETHICS",PR!$AY1104,IF(J1106="PHILIPS",PR!$AZ1104,IF(J1106="RANBAXY",PR!$BA1104,IF(J1106="REALS",PR!$BB1104,IF(J1106="ROYAL",PR!$BC1104,IF(J1106="SAM",PR!$BD1104,IF(J1106="SEAGREEN",PR!$BE1104,IF(J1106="SKG",PR!$BF1104,IF(J1106="TAH",PR!$BG1104,IF(J1106="TAYLEK",PR!$BH1104,IF(J1106="TEMITA",PR!$BI1104,IF(J1106="THL",PR!$BJ1104,IF(J1106="UBASTIC",PR!$BK1104,IF(J1106="UNION",PR!$BL1104,IF(J1106="UNIQUE",PR!$BM1104,IF(J1106="VIXA",PR!$BN1104,IF(J1106="WWCV",PR!$BO1104,IF(J1106="ZOLON",PR!$BP1104,"-"))))))))))))))))))))))))))))))))))))))))))))))))))))))))))))))))</f>
        <v>2700</v>
      </c>
      <c r="J1106" s="102" t="str">
        <f>EV!N1400</f>
        <v>UBASTIC</v>
      </c>
      <c r="K1106" s="433" t="s">
        <v>626</v>
      </c>
      <c r="L1106" s="183">
        <f>IF(K1106&gt;0,IF(K1106="ALPHA",PR!$E1104,IF(K1106="ASSENE",PR!$F1104,IF(K1106="BIOFEM",PR!$G1104,IF(K1106="BIOMED",PR!$H1104,IF(K1106="CHI",PR!$I1104,IF(K1106="CLARION",PR!$J1104,IF(K1106="CODIX",PR!$K1104,IF(K1106="COSMADE",PR!$L1104,IF(K1106="SANCON",PR!$M1104,IF(K1106="DEVON",PR!$N1104,IF(K1106="DORTEMAG",PR!$O1104,IF(K1106="DGF",PR!$P1104,IF(K1106="DYNAMIC",PR!$Q1104,IF(K1106="EMZOR",PR!$R1104,IF(K1106="EUMATT",PR!$S1104,IF(K1106="FIDSON",PR!$T1104,IF(K1106="FCGLOBAL",PR!$U1104,IF(K1106="GENEITH",PR!$V1104,IF(K1106="GINOS",PR!$W1104,IF(K1106="GSK",PR!$X1104,IF(K1106="GLOBORG",PR!$Y1104,IF(K1106="GOODNEWS",PR!$Z1104,IF(K1106="GREENLIFE",PR!$AA1104,IF(K1106="HLINE",PR!$AB1104,IF(K1106="ROTECH",PR!$AC1104,IF(K1106="ISN",PR!$AD1104,IF(K1106="JAWA",PR!$AE1104,IF(K1106="LAYO",PR!$AF1104,IF(K1106="LEADWAY",PR!$AG1104,IF(K1106="LHV",PR!$AH1104,IF(K1106="MANOLA",PR!$AI1104,IF(K1106="MARCSON",PR!$AJ1104,IF(K1106="M&amp;B",PR!$AK1104,IF(K1106="MTRUST",PR!$AL1104,IF(K1106="MWORLD",PR!$AM1104,IF(K1106="MEGA",PR!$AN1104,IF(K1106="MICRONOVA",PR!$AO1104,IF(K1106="MFLASH",PR!$AP1104,IF(K1106="MORISON",PR!$AQ1104,IF(K1106="NEMEL",PR!$AR1104,IF(K1106="NHP",PR!$AS1104,IF(K1106="NHC",PR!$AT1104,IF(K1106="OLEAF",PR!$AU1104,IF(K1106="OCULUS",PR!$AV1104,IF(K1106="PACIFIC",PR!$AW1104,IF(K1106="PHAMATEX",PR!$AX1104,IF(K1106="PETHICS",PR!$AY1104,IF(K1106="PHILIPS",PR!$AZ1104,IF(K1106="RANBAXY",PR!$BA1104,IF(K1106="REALS",PR!$BB1104,IF(K1106="ROYAL",PR!$BC1104,IF(K1106="SAM",PR!$BD1104,IF(K1106="SEAGREEN",PR!$BE1104,IF(K1106="SKG",PR!$BF1104,IF(K1106="TAH",PR!$BG1104,IF(K1106="TAYLEK",PR!$BH1104,IF(K1106="TEMITA",PR!$BI1104,IF(K1106="THL",PR!$BJ1104,IF(K1106="UBASTIC",PR!$BK1104,IF(K1106="UNION",PR!$BL1104,IF(K1106="UNIQUE",PR!$BM1104,IF(K1106="VIXA",PR!$BN1104,IF(K1106="WWCV",PR!$BO1104,IF(K1106="ZOLON",PR!$BP1104,"-")))))))))))))))))))))))))))))))))))))))))))))))))))))))))))))))))</f>
        <v>1875</v>
      </c>
    </row>
    <row r="1107" spans="1:12" ht="18.75" x14ac:dyDescent="0.3">
      <c r="A1107" s="430">
        <f>PR!A1105</f>
        <v>992</v>
      </c>
      <c r="B1107" s="15" t="str">
        <f>PR!B1105</f>
        <v>PREGNANCY TEST CASSETTE (LABMAN)</v>
      </c>
      <c r="C1107" s="113" t="str">
        <f>PR!D1105</f>
        <v>1*25</v>
      </c>
      <c r="D1107" s="113">
        <f>PR!C1105</f>
        <v>36</v>
      </c>
      <c r="E1107" s="108">
        <f>IF(F1107="ALPHA",PR!$E1105,IF(F1107="ASSENE",PR!$F1105,IF(F1107="BIOFEM",PR!$G1105,IF(F1107="BIOMED",PR!$H1105,IF(F1107="CHI",PR!$I1105,IF(F1107="CLARION",PR!$J1105,IF(F1107="CODIX",PR!$K1105,IF(F1107="COSMADE",PR!$L1105,IF(F1107="SANCON",PR!$M1105,IF(F1107="DEVON",PR!$N1105,IF(F1107="DORTEMAG",PR!$O1105,IF(F1107="DGF",PR!$P1105,IF(F1107="DYNAMIC",PR!$Q1105,IF(F1107="EMZOR",PR!$R1105,IF(F1107="EUMATT",PR!$S1105,IF(F1107="FIDSON",PR!$T1105,IF(F1107="FCGLOBAL",PR!$U1105,IF(F1107="GENEITH",PR!$V1105,IF(F1107="GINOS",PR!$W1105,IF(F1107="GSK",PR!$X1105,IF(F1107="GLOBORG",PR!$Y1105,IF(F1107="GOODNEWS",PR!$Z1105,IF(F1107="GREENLIFE",PR!$AA1105,IF(F1107="HLINE",PR!$AB1105,IF(F1107="ROTECH",PR!$AC1105,IF(F1107="ISN",PR!$AD1105,IF(F1107="JAWA",PR!$AE1105,IF(F1107="LAYO",PR!$AF1105,IF(F1107="LEADWAY",PR!$AG1105,IF(F1107="LHV",PR!$AH1105,IF(F1107="MANOLA",PR!$AI1105,IF(F1107="MARCSON",PR!$AJ1105,IF(F1107="M&amp;B",PR!$AK1105,IF(F1107="MTRUST",PR!$AL1105,IF(F1107="MWORLD",PR!$AM1105,IF(F1107="MEGA",PR!$AN1105,IF(F1107="MICRONOVA",PR!$AO1105,IF(F1107="MFLASH",PR!$AP1105,IF(F1107="MORISON",PR!$AQ1105,IF(F1107="NEMEL",PR!$AR1105,IF(F1107="NHP",PR!$AS1105,IF(F1107="NHC",PR!$AT1105,IF(F1107="OLEAF",PR!$AU1105,IF(F1107="OCULUS",PR!$AV1105,IF(F1107="PACIFIC",PR!$AW1105,IF(F1107="PHAMATEX",PR!$AX1105,IF(F1107="PETHICS",PR!$AY1105,IF(F1107="PHILIPS",PR!$AZ1105,IF(F1107="RANBAXY",PR!$BA1105,IF(F1107="REALS",PR!$BB1105,IF(F1107="ROYAL",PR!$BC1105,IF(F1107="SAM",PR!$BD1105,IF(F1107="SEAGREEN",PR!$BE1105,IF(F1107="SKG",PR!$BF1105,IF(F1107="TAH",PR!$BG1105,IF(F1107="TAYLEK",PR!$BH1105,IF(F1107="TEMITA",PR!$BI1105,IF(F1107="THL",PR!$BJ1105,IF(F1107="UBASTIC",PR!$BK1105,IF(F1107="UNION",PR!$BL1105,IF(F1107="UNIQUE",PR!$BM1105,IF(F1107="VIXA",PR!$BN1105,IF(F1107="WWCV",PR!$BO1105,IF(F1107="ZOLON",PR!$BP1105,"-"))))))))))))))))))))))))))))))))))))))))))))))))))))))))))))))))</f>
        <v>3300</v>
      </c>
      <c r="F1107" s="102" t="str">
        <f>EV!L1401</f>
        <v>ROTECH</v>
      </c>
      <c r="G1107" s="108">
        <f>IF(H1107="ALPHA",PR!$E1105,IF(H1107="ASSENE",PR!$F1105,IF(H1107="BIOFEM",PR!$G1105,IF(H1107="BIOMED",PR!$H1105,IF(H1107="CHI",PR!$I1105,IF(H1107="CLARION",PR!$J1105,IF(H1107="CODIX",PR!$K1105,IF(H1107="COSMADE",PR!$L1105,IF(H1107="SANCON",PR!$M1105,IF(H1107="DEVON",PR!$N1105,IF(H1107="DORTEMAG",PR!$O1105,IF(H1107="DGF",PR!$P1105,IF(H1107="DYNAMIC",PR!$Q1105,IF(H1107="EMZOR",PR!$R1105,IF(H1107="EUMATT",PR!$S1105,IF(H1107="FIDSON",PR!$T1105,IF(H1107="FCGLOBAL",PR!$U1105,IF(H1107="GENEITH",PR!$V1105,IF(H1107="GINOS",PR!$W1105,IF(H1107="GSK",PR!$X1105,IF(H1107="GLOBORG",PR!$Y1105,IF(H1107="GOODNEWS",PR!$Z1105,IF(H1107="GREENLIFE",PR!$AA1105,IF(H1107="HLINE",PR!$AB1105,IF(H1107="ROTECH",PR!$AC1105,IF(H1107="ISN",PR!$AD1105,IF(H1107="JAWA",PR!$AE1105,IF(H1107="LAYO",PR!$AF1105,IF(H1107="LEADWAY",PR!$AG1105,IF(H1107="LHV",PR!$AH1105,IF(H1107="MANOLA",PR!$AI1105,IF(H1107="MARCSON",PR!$AJ1105,IF(H1107="M&amp;B",PR!$AK1105,IF(H1107="MTRUST",PR!$AL1105,IF(H1107="MWORLD",PR!$AM1105,IF(H1107="MEGA",PR!$AN1105,IF(H1107="MICRONOVA",PR!$AO1105,IF(H1107="MFLASH",PR!$AP1105,IF(H1107="MORISON",PR!$AQ1105,IF(H1107="NEMEL",PR!$AR1105,IF(H1107="NHP",PR!$AS1105,IF(H1107="NHC",PR!$AT1105,IF(H1107="OLEAF",PR!$AU1105,IF(H1107="OCULUS",PR!$AV1105,IF(H1107="PACIFIC",PR!$AW1105,IF(H1107="PHAMATEX",PR!$AX1105,IF(H1107="PETHICS",PR!$AY1105,IF(H1107="PHILIPS",PR!$AZ1105,IF(H1107="RANBAXY",PR!$BA1105,IF(H1107="REALS",PR!$BB1105,IF(H1107="ROYAL",PR!$BC1105,IF(H1107="SAM",PR!$BD1105,IF(H1107="SEAGREEN",PR!$BE1105,IF(H1107="SKG",PR!$BF1105,IF(H1107="TAH",PR!$BG1105,IF(H1107="TAYLEK",PR!$BH1105,IF(H1107="TEMITA",PR!$BI1105,IF(H1107="THL",PR!$BJ1105,IF(H1107="UBASTIC",PR!$BK1105,IF(H1107="UNION",PR!$BL1105,IF(H1107="UNIQUE",PR!$BM1105,IF(H1107="VIXA",PR!$BN1105,IF(H1107="WWCV",PR!$BO1105,IF(H1107="ZOLON",PR!$BP1105,"-"))))))))))))))))))))))))))))))))))))))))))))))))))))))))))))))))</f>
        <v>3900</v>
      </c>
      <c r="H1107" s="102" t="str">
        <f>EV!M1401</f>
        <v>SANCON</v>
      </c>
      <c r="I1107" s="108">
        <f>IF(J1107="ALPHA",PR!$E1105,IF(J1107="ASSENE",PR!$F1105,IF(J1107="BIOFEM",PR!$G1105,IF(J1107="BIOMED",PR!$H1105,IF(J1107="CHI",PR!$I1105,IF(J1107="CLARION",PR!$J1105,IF(J1107="CODIX",PR!$K1105,IF(J1107="COSMADE",PR!$L1105,IF(J1107="SANCON",PR!$M1105,IF(J1107="DEVON",PR!$N1105,IF(J1107="DORTEMAG",PR!$O1105,IF(J1107="DGF",PR!$P1105,IF(J1107="DYNAMIC",PR!$Q1105,IF(J1107="EMZOR",PR!$R1105,IF(J1107="EUMATT",PR!$S1105,IF(J1107="FIDSON",PR!$T1105,IF(J1107="FCGLOBAL",PR!$U1105,IF(J1107="GENEITH",PR!$V1105,IF(J1107="GINOS",PR!$W1105,IF(J1107="GSK",PR!$X1105,IF(J1107="GLOBORG",PR!$Y1105,IF(J1107="GOODNEWS",PR!$Z1105,IF(J1107="GREENLIFE",PR!$AA1105,IF(J1107="HLINE",PR!$AB1105,IF(J1107="ROTECH",PR!$AC1105,IF(J1107="ISN",PR!$AD1105,IF(J1107="JAWA",PR!$AE1105,IF(J1107="LAYO",PR!$AF1105,IF(J1107="LEADWAY",PR!$AG1105,IF(J1107="LHV",PR!$AH1105,IF(J1107="MANOLA",PR!$AI1105,IF(J1107="MARCSON",PR!$AJ1105,IF(J1107="M&amp;B",PR!$AK1105,IF(J1107="MTRUST",PR!$AL1105,IF(J1107="MWORLD",PR!$AM1105,IF(J1107="MEGA",PR!$AN1105,IF(J1107="MICRONOVA",PR!$AO1105,IF(J1107="MFLASH",PR!$AP1105,IF(J1107="MORISON",PR!$AQ1105,IF(J1107="NEMEL",PR!$AR1105,IF(J1107="NHP",PR!$AS1105,IF(J1107="NHC",PR!$AT1105,IF(J1107="OLEAF",PR!$AU1105,IF(J1107="OCULUS",PR!$AV1105,IF(J1107="PACIFIC",PR!$AW1105,IF(J1107="PHAMATEX",PR!$AX1105,IF(J1107="PETHICS",PR!$AY1105,IF(J1107="PHILIPS",PR!$AZ1105,IF(J1107="RANBAXY",PR!$BA1105,IF(J1107="REALS",PR!$BB1105,IF(J1107="ROYAL",PR!$BC1105,IF(J1107="SAM",PR!$BD1105,IF(J1107="SEAGREEN",PR!$BE1105,IF(J1107="SKG",PR!$BF1105,IF(J1107="TAH",PR!$BG1105,IF(J1107="TAYLEK",PR!$BH1105,IF(J1107="TEMITA",PR!$BI1105,IF(J1107="THL",PR!$BJ1105,IF(J1107="UBASTIC",PR!$BK1105,IF(J1107="UNION",PR!$BL1105,IF(J1107="UNIQUE",PR!$BM1105,IF(J1107="VIXA",PR!$BN1105,IF(J1107="WWCV",PR!$BO1105,IF(J1107="ZOLON",PR!$BP1105,"-"))))))))))))))))))))))))))))))))))))))))))))))))))))))))))))))))</f>
        <v>4000</v>
      </c>
      <c r="J1107" s="102" t="str">
        <f>EV!N1401</f>
        <v>DYNAMIC</v>
      </c>
      <c r="K1107" s="433" t="s">
        <v>825</v>
      </c>
      <c r="L1107" s="183">
        <f>IF(K1107&gt;0,IF(K1107="ALPHA",PR!$E1105,IF(K1107="ASSENE",PR!$F1105,IF(K1107="BIOFEM",PR!$G1105,IF(K1107="BIOMED",PR!$H1105,IF(K1107="CHI",PR!$I1105,IF(K1107="CLARION",PR!$J1105,IF(K1107="CODIX",PR!$K1105,IF(K1107="COSMADE",PR!$L1105,IF(K1107="SANCON",PR!$M1105,IF(K1107="DEVON",PR!$N1105,IF(K1107="DORTEMAG",PR!$O1105,IF(K1107="DGF",PR!$P1105,IF(K1107="DYNAMIC",PR!$Q1105,IF(K1107="EMZOR",PR!$R1105,IF(K1107="EUMATT",PR!$S1105,IF(K1107="FIDSON",PR!$T1105,IF(K1107="FCGLOBAL",PR!$U1105,IF(K1107="GENEITH",PR!$V1105,IF(K1107="GINOS",PR!$W1105,IF(K1107="GSK",PR!$X1105,IF(K1107="GLOBORG",PR!$Y1105,IF(K1107="GOODNEWS",PR!$Z1105,IF(K1107="GREENLIFE",PR!$AA1105,IF(K1107="HLINE",PR!$AB1105,IF(K1107="ROTECH",PR!$AC1105,IF(K1107="ISN",PR!$AD1105,IF(K1107="JAWA",PR!$AE1105,IF(K1107="LAYO",PR!$AF1105,IF(K1107="LEADWAY",PR!$AG1105,IF(K1107="LHV",PR!$AH1105,IF(K1107="MANOLA",PR!$AI1105,IF(K1107="MARCSON",PR!$AJ1105,IF(K1107="M&amp;B",PR!$AK1105,IF(K1107="MTRUST",PR!$AL1105,IF(K1107="MWORLD",PR!$AM1105,IF(K1107="MEGA",PR!$AN1105,IF(K1107="MICRONOVA",PR!$AO1105,IF(K1107="MFLASH",PR!$AP1105,IF(K1107="MORISON",PR!$AQ1105,IF(K1107="NEMEL",PR!$AR1105,IF(K1107="NHP",PR!$AS1105,IF(K1107="NHC",PR!$AT1105,IF(K1107="OLEAF",PR!$AU1105,IF(K1107="OCULUS",PR!$AV1105,IF(K1107="PACIFIC",PR!$AW1105,IF(K1107="PHAMATEX",PR!$AX1105,IF(K1107="PETHICS",PR!$AY1105,IF(K1107="PHILIPS",PR!$AZ1105,IF(K1107="RANBAXY",PR!$BA1105,IF(K1107="REALS",PR!$BB1105,IF(K1107="ROYAL",PR!$BC1105,IF(K1107="SAM",PR!$BD1105,IF(K1107="SEAGREEN",PR!$BE1105,IF(K1107="SKG",PR!$BF1105,IF(K1107="TAH",PR!$BG1105,IF(K1107="TAYLEK",PR!$BH1105,IF(K1107="TEMITA",PR!$BI1105,IF(K1107="THL",PR!$BJ1105,IF(K1107="UBASTIC",PR!$BK1105,IF(K1107="UNION",PR!$BL1105,IF(K1107="UNIQUE",PR!$BM1105,IF(K1107="VIXA",PR!$BN1105,IF(K1107="WWCV",PR!$BO1105,IF(K1107="ZOLON",PR!$BP1105,"-")))))))))))))))))))))))))))))))))))))))))))))))))))))))))))))))))</f>
        <v>3300</v>
      </c>
    </row>
    <row r="1108" spans="1:12" ht="18.75" x14ac:dyDescent="0.3">
      <c r="A1108" s="430">
        <f>PR!A1106</f>
        <v>993</v>
      </c>
      <c r="B1108" s="15" t="str">
        <f>PR!B1106</f>
        <v>MULTISERA CONTROL LEVEL 3 (RANDOX)</v>
      </c>
      <c r="C1108" s="113" t="str">
        <f>PR!D1106</f>
        <v>20*25ml</v>
      </c>
      <c r="D1108" s="113">
        <f>PR!C1106</f>
        <v>12</v>
      </c>
      <c r="E1108" s="108">
        <f>IF(F1108="ALPHA",PR!$E1106,IF(F1108="ASSENE",PR!$F1106,IF(F1108="BIOFEM",PR!$G1106,IF(F1108="BIOMED",PR!$H1106,IF(F1108="CHI",PR!$I1106,IF(F1108="CLARION",PR!$J1106,IF(F1108="CODIX",PR!$K1106,IF(F1108="COSMADE",PR!$L1106,IF(F1108="SANCON",PR!$M1106,IF(F1108="DEVON",PR!$N1106,IF(F1108="DORTEMAG",PR!$O1106,IF(F1108="DGF",PR!$P1106,IF(F1108="DYNAMIC",PR!$Q1106,IF(F1108="EMZOR",PR!$R1106,IF(F1108="EUMATT",PR!$S1106,IF(F1108="FIDSON",PR!$T1106,IF(F1108="FCGLOBAL",PR!$U1106,IF(F1108="GENEITH",PR!$V1106,IF(F1108="GINOS",PR!$W1106,IF(F1108="GSK",PR!$X1106,IF(F1108="GLOBORG",PR!$Y1106,IF(F1108="GOODNEWS",PR!$Z1106,IF(F1108="GREENLIFE",PR!$AA1106,IF(F1108="HLINE",PR!$AB1106,IF(F1108="ROTECH",PR!$AC1106,IF(F1108="ISN",PR!$AD1106,IF(F1108="JAWA",PR!$AE1106,IF(F1108="LAYO",PR!$AF1106,IF(F1108="LEADWAY",PR!$AG1106,IF(F1108="LHV",PR!$AH1106,IF(F1108="MANOLA",PR!$AI1106,IF(F1108="MARCSON",PR!$AJ1106,IF(F1108="M&amp;B",PR!$AK1106,IF(F1108="MTRUST",PR!$AL1106,IF(F1108="MWORLD",PR!$AM1106,IF(F1108="MEGA",PR!$AN1106,IF(F1108="MICRONOVA",PR!$AO1106,IF(F1108="MFLASH",PR!$AP1106,IF(F1108="MORISON",PR!$AQ1106,IF(F1108="NEMEL",PR!$AR1106,IF(F1108="NHP",PR!$AS1106,IF(F1108="NHC",PR!$AT1106,IF(F1108="OLEAF",PR!$AU1106,IF(F1108="OCULUS",PR!$AV1106,IF(F1108="PACIFIC",PR!$AW1106,IF(F1108="PHAMATEX",PR!$AX1106,IF(F1108="PETHICS",PR!$AY1106,IF(F1108="PHILIPS",PR!$AZ1106,IF(F1108="RANBAXY",PR!$BA1106,IF(F1108="REALS",PR!$BB1106,IF(F1108="ROYAL",PR!$BC1106,IF(F1108="SAM",PR!$BD1106,IF(F1108="SEAGREEN",PR!$BE1106,IF(F1108="SKG",PR!$BF1106,IF(F1108="TAH",PR!$BG1106,IF(F1108="TAYLEK",PR!$BH1106,IF(F1108="TEMITA",PR!$BI1106,IF(F1108="THL",PR!$BJ1106,IF(F1108="UBASTIC",PR!$BK1106,IF(F1108="UNION",PR!$BL1106,IF(F1108="UNIQUE",PR!$BM1106,IF(F1108="VIXA",PR!$BN1106,IF(F1108="WWCV",PR!$BO1106,IF(F1108="ZOLON",PR!$BP1106,"-"))))))))))))))))))))))))))))))))))))))))))))))))))))))))))))))))</f>
        <v>26650</v>
      </c>
      <c r="F1108" s="102" t="str">
        <f>EV!L1402</f>
        <v>LAYO</v>
      </c>
      <c r="G1108" s="108">
        <f>IF(H1108="ALPHA",PR!$E1106,IF(H1108="ASSENE",PR!$F1106,IF(H1108="BIOFEM",PR!$G1106,IF(H1108="BIOMED",PR!$H1106,IF(H1108="CHI",PR!$I1106,IF(H1108="CLARION",PR!$J1106,IF(H1108="CODIX",PR!$K1106,IF(H1108="COSMADE",PR!$L1106,IF(H1108="SANCON",PR!$M1106,IF(H1108="DEVON",PR!$N1106,IF(H1108="DORTEMAG",PR!$O1106,IF(H1108="DGF",PR!$P1106,IF(H1108="DYNAMIC",PR!$Q1106,IF(H1108="EMZOR",PR!$R1106,IF(H1108="EUMATT",PR!$S1106,IF(H1108="FIDSON",PR!$T1106,IF(H1108="FCGLOBAL",PR!$U1106,IF(H1108="GENEITH",PR!$V1106,IF(H1108="GINOS",PR!$W1106,IF(H1108="GSK",PR!$X1106,IF(H1108="GLOBORG",PR!$Y1106,IF(H1108="GOODNEWS",PR!$Z1106,IF(H1108="GREENLIFE",PR!$AA1106,IF(H1108="HLINE",PR!$AB1106,IF(H1108="ROTECH",PR!$AC1106,IF(H1108="ISN",PR!$AD1106,IF(H1108="JAWA",PR!$AE1106,IF(H1108="LAYO",PR!$AF1106,IF(H1108="LEADWAY",PR!$AG1106,IF(H1108="LHV",PR!$AH1106,IF(H1108="MANOLA",PR!$AI1106,IF(H1108="MARCSON",PR!$AJ1106,IF(H1108="M&amp;B",PR!$AK1106,IF(H1108="MTRUST",PR!$AL1106,IF(H1108="MWORLD",PR!$AM1106,IF(H1108="MEGA",PR!$AN1106,IF(H1108="MICRONOVA",PR!$AO1106,IF(H1108="MFLASH",PR!$AP1106,IF(H1108="MORISON",PR!$AQ1106,IF(H1108="NEMEL",PR!$AR1106,IF(H1108="NHP",PR!$AS1106,IF(H1108="NHC",PR!$AT1106,IF(H1108="OLEAF",PR!$AU1106,IF(H1108="OCULUS",PR!$AV1106,IF(H1108="PACIFIC",PR!$AW1106,IF(H1108="PHAMATEX",PR!$AX1106,IF(H1108="PETHICS",PR!$AY1106,IF(H1108="PHILIPS",PR!$AZ1106,IF(H1108="RANBAXY",PR!$BA1106,IF(H1108="REALS",PR!$BB1106,IF(H1108="ROYAL",PR!$BC1106,IF(H1108="SAM",PR!$BD1106,IF(H1108="SEAGREEN",PR!$BE1106,IF(H1108="SKG",PR!$BF1106,IF(H1108="TAH",PR!$BG1106,IF(H1108="TAYLEK",PR!$BH1106,IF(H1108="TEMITA",PR!$BI1106,IF(H1108="THL",PR!$BJ1106,IF(H1108="UBASTIC",PR!$BK1106,IF(H1108="UNION",PR!$BL1106,IF(H1108="UNIQUE",PR!$BM1106,IF(H1108="VIXA",PR!$BN1106,IF(H1108="WWCV",PR!$BO1106,IF(H1108="ZOLON",PR!$BP1106,"-"))))))))))))))))))))))))))))))))))))))))))))))))))))))))))))))))</f>
        <v>30000</v>
      </c>
      <c r="H1108" s="102" t="str">
        <f>EV!M1402</f>
        <v>UBASTIC</v>
      </c>
      <c r="I1108" s="108">
        <f>IF(J1108="ALPHA",PR!$E1106,IF(J1108="ASSENE",PR!$F1106,IF(J1108="BIOFEM",PR!$G1106,IF(J1108="BIOMED",PR!$H1106,IF(J1108="CHI",PR!$I1106,IF(J1108="CLARION",PR!$J1106,IF(J1108="CODIX",PR!$K1106,IF(J1108="COSMADE",PR!$L1106,IF(J1108="SANCON",PR!$M1106,IF(J1108="DEVON",PR!$N1106,IF(J1108="DORTEMAG",PR!$O1106,IF(J1108="DGF",PR!$P1106,IF(J1108="DYNAMIC",PR!$Q1106,IF(J1108="EMZOR",PR!$R1106,IF(J1108="EUMATT",PR!$S1106,IF(J1108="FIDSON",PR!$T1106,IF(J1108="FCGLOBAL",PR!$U1106,IF(J1108="GENEITH",PR!$V1106,IF(J1108="GINOS",PR!$W1106,IF(J1108="GSK",PR!$X1106,IF(J1108="GLOBORG",PR!$Y1106,IF(J1108="GOODNEWS",PR!$Z1106,IF(J1108="GREENLIFE",PR!$AA1106,IF(J1108="HLINE",PR!$AB1106,IF(J1108="ROTECH",PR!$AC1106,IF(J1108="ISN",PR!$AD1106,IF(J1108="JAWA",PR!$AE1106,IF(J1108="LAYO",PR!$AF1106,IF(J1108="LEADWAY",PR!$AG1106,IF(J1108="LHV",PR!$AH1106,IF(J1108="MANOLA",PR!$AI1106,IF(J1108="MARCSON",PR!$AJ1106,IF(J1108="M&amp;B",PR!$AK1106,IF(J1108="MTRUST",PR!$AL1106,IF(J1108="MWORLD",PR!$AM1106,IF(J1108="MEGA",PR!$AN1106,IF(J1108="MICRONOVA",PR!$AO1106,IF(J1108="MFLASH",PR!$AP1106,IF(J1108="MORISON",PR!$AQ1106,IF(J1108="NEMEL",PR!$AR1106,IF(J1108="NHP",PR!$AS1106,IF(J1108="NHC",PR!$AT1106,IF(J1108="OLEAF",PR!$AU1106,IF(J1108="OCULUS",PR!$AV1106,IF(J1108="PACIFIC",PR!$AW1106,IF(J1108="PHAMATEX",PR!$AX1106,IF(J1108="PETHICS",PR!$AY1106,IF(J1108="PHILIPS",PR!$AZ1106,IF(J1108="RANBAXY",PR!$BA1106,IF(J1108="REALS",PR!$BB1106,IF(J1108="ROYAL",PR!$BC1106,IF(J1108="SAM",PR!$BD1106,IF(J1108="SEAGREEN",PR!$BE1106,IF(J1108="SKG",PR!$BF1106,IF(J1108="TAH",PR!$BG1106,IF(J1108="TAYLEK",PR!$BH1106,IF(J1108="TEMITA",PR!$BI1106,IF(J1108="THL",PR!$BJ1106,IF(J1108="UBASTIC",PR!$BK1106,IF(J1108="UNION",PR!$BL1106,IF(J1108="UNIQUE",PR!$BM1106,IF(J1108="VIXA",PR!$BN1106,IF(J1108="WWCV",PR!$BO1106,IF(J1108="ZOLON",PR!$BP1106,"-"))))))))))))))))))))))))))))))))))))))))))))))))))))))))))))))))</f>
        <v>30000</v>
      </c>
      <c r="J1108" s="102" t="str">
        <f>EV!N1402</f>
        <v>SANCON</v>
      </c>
      <c r="K1108" s="433" t="s">
        <v>1461</v>
      </c>
      <c r="L1108" s="183">
        <f>IF(K1108&gt;0,IF(K1108="ALPHA",PR!$E1106,IF(K1108="ASSENE",PR!$F1106,IF(K1108="BIOFEM",PR!$G1106,IF(K1108="BIOMED",PR!$H1106,IF(K1108="CHI",PR!$I1106,IF(K1108="CLARION",PR!$J1106,IF(K1108="CODIX",PR!$K1106,IF(K1108="COSMADE",PR!$L1106,IF(K1108="SANCON",PR!$M1106,IF(K1108="DEVON",PR!$N1106,IF(K1108="DORTEMAG",PR!$O1106,IF(K1108="DGF",PR!$P1106,IF(K1108="DYNAMIC",PR!$Q1106,IF(K1108="EMZOR",PR!$R1106,IF(K1108="EUMATT",PR!$S1106,IF(K1108="FIDSON",PR!$T1106,IF(K1108="FCGLOBAL",PR!$U1106,IF(K1108="GENEITH",PR!$V1106,IF(K1108="GINOS",PR!$W1106,IF(K1108="GSK",PR!$X1106,IF(K1108="GLOBORG",PR!$Y1106,IF(K1108="GOODNEWS",PR!$Z1106,IF(K1108="GREENLIFE",PR!$AA1106,IF(K1108="HLINE",PR!$AB1106,IF(K1108="ROTECH",PR!$AC1106,IF(K1108="ISN",PR!$AD1106,IF(K1108="JAWA",PR!$AE1106,IF(K1108="LAYO",PR!$AF1106,IF(K1108="LEADWAY",PR!$AG1106,IF(K1108="LHV",PR!$AH1106,IF(K1108="MANOLA",PR!$AI1106,IF(K1108="MARCSON",PR!$AJ1106,IF(K1108="M&amp;B",PR!$AK1106,IF(K1108="MTRUST",PR!$AL1106,IF(K1108="MWORLD",PR!$AM1106,IF(K1108="MEGA",PR!$AN1106,IF(K1108="MICRONOVA",PR!$AO1106,IF(K1108="MFLASH",PR!$AP1106,IF(K1108="MORISON",PR!$AQ1106,IF(K1108="NEMEL",PR!$AR1106,IF(K1108="NHP",PR!$AS1106,IF(K1108="NHC",PR!$AT1106,IF(K1108="OLEAF",PR!$AU1106,IF(K1108="OCULUS",PR!$AV1106,IF(K1108="PACIFIC",PR!$AW1106,IF(K1108="PHAMATEX",PR!$AX1106,IF(K1108="PETHICS",PR!$AY1106,IF(K1108="PHILIPS",PR!$AZ1106,IF(K1108="RANBAXY",PR!$BA1106,IF(K1108="REALS",PR!$BB1106,IF(K1108="ROYAL",PR!$BC1106,IF(K1108="SAM",PR!$BD1106,IF(K1108="SEAGREEN",PR!$BE1106,IF(K1108="SKG",PR!$BF1106,IF(K1108="TAH",PR!$BG1106,IF(K1108="TAYLEK",PR!$BH1106,IF(K1108="TEMITA",PR!$BI1106,IF(K1108="THL",PR!$BJ1106,IF(K1108="UBASTIC",PR!$BK1106,IF(K1108="UNION",PR!$BL1106,IF(K1108="UNIQUE",PR!$BM1106,IF(K1108="VIXA",PR!$BN1106,IF(K1108="WWCV",PR!$BO1106,IF(K1108="ZOLON",PR!$BP1106,"-")))))))))))))))))))))))))))))))))))))))))))))))))))))))))))))))))</f>
        <v>26650</v>
      </c>
    </row>
    <row r="1109" spans="1:12" ht="18.75" x14ac:dyDescent="0.3">
      <c r="A1109" s="430">
        <f>PR!A1107</f>
        <v>994</v>
      </c>
      <c r="B1109" s="15" t="str">
        <f>PR!B1107</f>
        <v>HDL CHOLESTEROL KIT (RANDOX)</v>
      </c>
      <c r="C1109" s="113" t="str">
        <f>PR!D1107</f>
        <v>1*100ml</v>
      </c>
      <c r="D1109" s="113">
        <f>PR!C1107</f>
        <v>40</v>
      </c>
      <c r="E1109" s="108">
        <f>IF(F1109="ALPHA",PR!$E1107,IF(F1109="ASSENE",PR!$F1107,IF(F1109="BIOFEM",PR!$G1107,IF(F1109="BIOMED",PR!$H1107,IF(F1109="CHI",PR!$I1107,IF(F1109="CLARION",PR!$J1107,IF(F1109="CODIX",PR!$K1107,IF(F1109="COSMADE",PR!$L1107,IF(F1109="SANCON",PR!$M1107,IF(F1109="DEVON",PR!$N1107,IF(F1109="DORTEMAG",PR!$O1107,IF(F1109="DGF",PR!$P1107,IF(F1109="DYNAMIC",PR!$Q1107,IF(F1109="EMZOR",PR!$R1107,IF(F1109="EUMATT",PR!$S1107,IF(F1109="FIDSON",PR!$T1107,IF(F1109="FCGLOBAL",PR!$U1107,IF(F1109="GENEITH",PR!$V1107,IF(F1109="GINOS",PR!$W1107,IF(F1109="GSK",PR!$X1107,IF(F1109="GLOBORG",PR!$Y1107,IF(F1109="GOODNEWS",PR!$Z1107,IF(F1109="GREENLIFE",PR!$AA1107,IF(F1109="HLINE",PR!$AB1107,IF(F1109="ROTECH",PR!$AC1107,IF(F1109="ISN",PR!$AD1107,IF(F1109="JAWA",PR!$AE1107,IF(F1109="LAYO",PR!$AF1107,IF(F1109="LEADWAY",PR!$AG1107,IF(F1109="LHV",PR!$AH1107,IF(F1109="MANOLA",PR!$AI1107,IF(F1109="MARCSON",PR!$AJ1107,IF(F1109="M&amp;B",PR!$AK1107,IF(F1109="MTRUST",PR!$AL1107,IF(F1109="MWORLD",PR!$AM1107,IF(F1109="MEGA",PR!$AN1107,IF(F1109="MICRONOVA",PR!$AO1107,IF(F1109="MFLASH",PR!$AP1107,IF(F1109="MORISON",PR!$AQ1107,IF(F1109="NEMEL",PR!$AR1107,IF(F1109="NHP",PR!$AS1107,IF(F1109="NHC",PR!$AT1107,IF(F1109="OLEAF",PR!$AU1107,IF(F1109="OCULUS",PR!$AV1107,IF(F1109="PACIFIC",PR!$AW1107,IF(F1109="PHAMATEX",PR!$AX1107,IF(F1109="PETHICS",PR!$AY1107,IF(F1109="PHILIPS",PR!$AZ1107,IF(F1109="RANBAXY",PR!$BA1107,IF(F1109="REALS",PR!$BB1107,IF(F1109="ROYAL",PR!$BC1107,IF(F1109="SAM",PR!$BD1107,IF(F1109="SEAGREEN",PR!$BE1107,IF(F1109="SKG",PR!$BF1107,IF(F1109="TAH",PR!$BG1107,IF(F1109="TAYLEK",PR!$BH1107,IF(F1109="TEMITA",PR!$BI1107,IF(F1109="THL",PR!$BJ1107,IF(F1109="UBASTIC",PR!$BK1107,IF(F1109="UNION",PR!$BL1107,IF(F1109="UNIQUE",PR!$BM1107,IF(F1109="VIXA",PR!$BN1107,IF(F1109="WWCV",PR!$BO1107,IF(F1109="ZOLON",PR!$BP1107,"-"))))))))))))))))))))))))))))))))))))))))))))))))))))))))))))))))</f>
        <v>6215</v>
      </c>
      <c r="F1109" s="102" t="str">
        <f>EV!L1403</f>
        <v>ROTECH</v>
      </c>
      <c r="G1109" s="108">
        <f>IF(H1109="ALPHA",PR!$E1107,IF(H1109="ASSENE",PR!$F1107,IF(H1109="BIOFEM",PR!$G1107,IF(H1109="BIOMED",PR!$H1107,IF(H1109="CHI",PR!$I1107,IF(H1109="CLARION",PR!$J1107,IF(H1109="CODIX",PR!$K1107,IF(H1109="COSMADE",PR!$L1107,IF(H1109="SANCON",PR!$M1107,IF(H1109="DEVON",PR!$N1107,IF(H1109="DORTEMAG",PR!$O1107,IF(H1109="DGF",PR!$P1107,IF(H1109="DYNAMIC",PR!$Q1107,IF(H1109="EMZOR",PR!$R1107,IF(H1109="EUMATT",PR!$S1107,IF(H1109="FIDSON",PR!$T1107,IF(H1109="FCGLOBAL",PR!$U1107,IF(H1109="GENEITH",PR!$V1107,IF(H1109="GINOS",PR!$W1107,IF(H1109="GSK",PR!$X1107,IF(H1109="GLOBORG",PR!$Y1107,IF(H1109="GOODNEWS",PR!$Z1107,IF(H1109="GREENLIFE",PR!$AA1107,IF(H1109="HLINE",PR!$AB1107,IF(H1109="ROTECH",PR!$AC1107,IF(H1109="ISN",PR!$AD1107,IF(H1109="JAWA",PR!$AE1107,IF(H1109="LAYO",PR!$AF1107,IF(H1109="LEADWAY",PR!$AG1107,IF(H1109="LHV",PR!$AH1107,IF(H1109="MANOLA",PR!$AI1107,IF(H1109="MARCSON",PR!$AJ1107,IF(H1109="M&amp;B",PR!$AK1107,IF(H1109="MTRUST",PR!$AL1107,IF(H1109="MWORLD",PR!$AM1107,IF(H1109="MEGA",PR!$AN1107,IF(H1109="MICRONOVA",PR!$AO1107,IF(H1109="MFLASH",PR!$AP1107,IF(H1109="MORISON",PR!$AQ1107,IF(H1109="NEMEL",PR!$AR1107,IF(H1109="NHP",PR!$AS1107,IF(H1109="NHC",PR!$AT1107,IF(H1109="OLEAF",PR!$AU1107,IF(H1109="OCULUS",PR!$AV1107,IF(H1109="PACIFIC",PR!$AW1107,IF(H1109="PHAMATEX",PR!$AX1107,IF(H1109="PETHICS",PR!$AY1107,IF(H1109="PHILIPS",PR!$AZ1107,IF(H1109="RANBAXY",PR!$BA1107,IF(H1109="REALS",PR!$BB1107,IF(H1109="ROYAL",PR!$BC1107,IF(H1109="SAM",PR!$BD1107,IF(H1109="SEAGREEN",PR!$BE1107,IF(H1109="SKG",PR!$BF1107,IF(H1109="TAH",PR!$BG1107,IF(H1109="TAYLEK",PR!$BH1107,IF(H1109="TEMITA",PR!$BI1107,IF(H1109="THL",PR!$BJ1107,IF(H1109="UBASTIC",PR!$BK1107,IF(H1109="UNION",PR!$BL1107,IF(H1109="UNIQUE",PR!$BM1107,IF(H1109="VIXA",PR!$BN1107,IF(H1109="WWCV",PR!$BO1107,IF(H1109="ZOLON",PR!$BP1107,"-"))))))))))))))))))))))))))))))))))))))))))))))))))))))))))))))))</f>
        <v>6600</v>
      </c>
      <c r="H1109" s="102" t="str">
        <f>EV!M1403</f>
        <v>SANCON</v>
      </c>
      <c r="I1109" s="108">
        <f>IF(J1109="ALPHA",PR!$E1107,IF(J1109="ASSENE",PR!$F1107,IF(J1109="BIOFEM",PR!$G1107,IF(J1109="BIOMED",PR!$H1107,IF(J1109="CHI",PR!$I1107,IF(J1109="CLARION",PR!$J1107,IF(J1109="CODIX",PR!$K1107,IF(J1109="COSMADE",PR!$L1107,IF(J1109="SANCON",PR!$M1107,IF(J1109="DEVON",PR!$N1107,IF(J1109="DORTEMAG",PR!$O1107,IF(J1109="DGF",PR!$P1107,IF(J1109="DYNAMIC",PR!$Q1107,IF(J1109="EMZOR",PR!$R1107,IF(J1109="EUMATT",PR!$S1107,IF(J1109="FIDSON",PR!$T1107,IF(J1109="FCGLOBAL",PR!$U1107,IF(J1109="GENEITH",PR!$V1107,IF(J1109="GINOS",PR!$W1107,IF(J1109="GSK",PR!$X1107,IF(J1109="GLOBORG",PR!$Y1107,IF(J1109="GOODNEWS",PR!$Z1107,IF(J1109="GREENLIFE",PR!$AA1107,IF(J1109="HLINE",PR!$AB1107,IF(J1109="ROTECH",PR!$AC1107,IF(J1109="ISN",PR!$AD1107,IF(J1109="JAWA",PR!$AE1107,IF(J1109="LAYO",PR!$AF1107,IF(J1109="LEADWAY",PR!$AG1107,IF(J1109="LHV",PR!$AH1107,IF(J1109="MANOLA",PR!$AI1107,IF(J1109="MARCSON",PR!$AJ1107,IF(J1109="M&amp;B",PR!$AK1107,IF(J1109="MTRUST",PR!$AL1107,IF(J1109="MWORLD",PR!$AM1107,IF(J1109="MEGA",PR!$AN1107,IF(J1109="MICRONOVA",PR!$AO1107,IF(J1109="MFLASH",PR!$AP1107,IF(J1109="MORISON",PR!$AQ1107,IF(J1109="NEMEL",PR!$AR1107,IF(J1109="NHP",PR!$AS1107,IF(J1109="NHC",PR!$AT1107,IF(J1109="OLEAF",PR!$AU1107,IF(J1109="OCULUS",PR!$AV1107,IF(J1109="PACIFIC",PR!$AW1107,IF(J1109="PHAMATEX",PR!$AX1107,IF(J1109="PETHICS",PR!$AY1107,IF(J1109="PHILIPS",PR!$AZ1107,IF(J1109="RANBAXY",PR!$BA1107,IF(J1109="REALS",PR!$BB1107,IF(J1109="ROYAL",PR!$BC1107,IF(J1109="SAM",PR!$BD1107,IF(J1109="SEAGREEN",PR!$BE1107,IF(J1109="SKG",PR!$BF1107,IF(J1109="TAH",PR!$BG1107,IF(J1109="TAYLEK",PR!$BH1107,IF(J1109="TEMITA",PR!$BI1107,IF(J1109="THL",PR!$BJ1107,IF(J1109="UBASTIC",PR!$BK1107,IF(J1109="UNION",PR!$BL1107,IF(J1109="UNIQUE",PR!$BM1107,IF(J1109="VIXA",PR!$BN1107,IF(J1109="WWCV",PR!$BO1107,IF(J1109="ZOLON",PR!$BP1107,"-"))))))))))))))))))))))))))))))))))))))))))))))))))))))))))))))))</f>
        <v>7500</v>
      </c>
      <c r="J1109" s="102" t="str">
        <f>EV!N1403</f>
        <v>DYNAMIC</v>
      </c>
      <c r="K1109" s="433" t="s">
        <v>825</v>
      </c>
      <c r="L1109" s="183">
        <f>IF(K1109&gt;0,IF(K1109="ALPHA",PR!$E1107,IF(K1109="ASSENE",PR!$F1107,IF(K1109="BIOFEM",PR!$G1107,IF(K1109="BIOMED",PR!$H1107,IF(K1109="CHI",PR!$I1107,IF(K1109="CLARION",PR!$J1107,IF(K1109="CODIX",PR!$K1107,IF(K1109="COSMADE",PR!$L1107,IF(K1109="SANCON",PR!$M1107,IF(K1109="DEVON",PR!$N1107,IF(K1109="DORTEMAG",PR!$O1107,IF(K1109="DGF",PR!$P1107,IF(K1109="DYNAMIC",PR!$Q1107,IF(K1109="EMZOR",PR!$R1107,IF(K1109="EUMATT",PR!$S1107,IF(K1109="FIDSON",PR!$T1107,IF(K1109="FCGLOBAL",PR!$U1107,IF(K1109="GENEITH",PR!$V1107,IF(K1109="GINOS",PR!$W1107,IF(K1109="GSK",PR!$X1107,IF(K1109="GLOBORG",PR!$Y1107,IF(K1109="GOODNEWS",PR!$Z1107,IF(K1109="GREENLIFE",PR!$AA1107,IF(K1109="HLINE",PR!$AB1107,IF(K1109="ROTECH",PR!$AC1107,IF(K1109="ISN",PR!$AD1107,IF(K1109="JAWA",PR!$AE1107,IF(K1109="LAYO",PR!$AF1107,IF(K1109="LEADWAY",PR!$AG1107,IF(K1109="LHV",PR!$AH1107,IF(K1109="MANOLA",PR!$AI1107,IF(K1109="MARCSON",PR!$AJ1107,IF(K1109="M&amp;B",PR!$AK1107,IF(K1109="MTRUST",PR!$AL1107,IF(K1109="MWORLD",PR!$AM1107,IF(K1109="MEGA",PR!$AN1107,IF(K1109="MICRONOVA",PR!$AO1107,IF(K1109="MFLASH",PR!$AP1107,IF(K1109="MORISON",PR!$AQ1107,IF(K1109="NEMEL",PR!$AR1107,IF(K1109="NHP",PR!$AS1107,IF(K1109="NHC",PR!$AT1107,IF(K1109="OLEAF",PR!$AU1107,IF(K1109="OCULUS",PR!$AV1107,IF(K1109="PACIFIC",PR!$AW1107,IF(K1109="PHAMATEX",PR!$AX1107,IF(K1109="PETHICS",PR!$AY1107,IF(K1109="PHILIPS",PR!$AZ1107,IF(K1109="RANBAXY",PR!$BA1107,IF(K1109="REALS",PR!$BB1107,IF(K1109="ROYAL",PR!$BC1107,IF(K1109="SAM",PR!$BD1107,IF(K1109="SEAGREEN",PR!$BE1107,IF(K1109="SKG",PR!$BF1107,IF(K1109="TAH",PR!$BG1107,IF(K1109="TAYLEK",PR!$BH1107,IF(K1109="TEMITA",PR!$BI1107,IF(K1109="THL",PR!$BJ1107,IF(K1109="UBASTIC",PR!$BK1107,IF(K1109="UNION",PR!$BL1107,IF(K1109="UNIQUE",PR!$BM1107,IF(K1109="VIXA",PR!$BN1107,IF(K1109="WWCV",PR!$BO1107,IF(K1109="ZOLON",PR!$BP1107,"-")))))))))))))))))))))))))))))))))))))))))))))))))))))))))))))))))</f>
        <v>6215</v>
      </c>
    </row>
    <row r="1110" spans="1:12" ht="18.75" x14ac:dyDescent="0.3">
      <c r="A1110" s="430">
        <f>PR!A1108</f>
        <v>995</v>
      </c>
      <c r="B1110" s="15" t="str">
        <f>PR!B1108</f>
        <v>ION SELECTIVE ELECTRODE (ISE) REAGENT PACK (ISE 6000)</v>
      </c>
      <c r="C1110" s="113" t="str">
        <f>PR!D1108</f>
        <v>1*5 PACKS</v>
      </c>
      <c r="D1110" s="113">
        <f>PR!C1108</f>
        <v>40</v>
      </c>
      <c r="E1110" s="108">
        <f>IF(F1110="ALPHA",PR!$E1108,IF(F1110="ASSENE",PR!$F1108,IF(F1110="BIOFEM",PR!$G1108,IF(F1110="BIOMED",PR!$H1108,IF(F1110="CHI",PR!$I1108,IF(F1110="CLARION",PR!$J1108,IF(F1110="CODIX",PR!$K1108,IF(F1110="COSMADE",PR!$L1108,IF(F1110="SANCON",PR!$M1108,IF(F1110="DEVON",PR!$N1108,IF(F1110="DORTEMAG",PR!$O1108,IF(F1110="DGF",PR!$P1108,IF(F1110="DYNAMIC",PR!$Q1108,IF(F1110="EMZOR",PR!$R1108,IF(F1110="EUMATT",PR!$S1108,IF(F1110="FIDSON",PR!$T1108,IF(F1110="FCGLOBAL",PR!$U1108,IF(F1110="GENEITH",PR!$V1108,IF(F1110="GINOS",PR!$W1108,IF(F1110="GSK",PR!$X1108,IF(F1110="GLOBORG",PR!$Y1108,IF(F1110="GOODNEWS",PR!$Z1108,IF(F1110="GREENLIFE",PR!$AA1108,IF(F1110="HLINE",PR!$AB1108,IF(F1110="ROTECH",PR!$AC1108,IF(F1110="ISN",PR!$AD1108,IF(F1110="JAWA",PR!$AE1108,IF(F1110="LAYO",PR!$AF1108,IF(F1110="LEADWAY",PR!$AG1108,IF(F1110="LHV",PR!$AH1108,IF(F1110="MANOLA",PR!$AI1108,IF(F1110="MARCSON",PR!$AJ1108,IF(F1110="M&amp;B",PR!$AK1108,IF(F1110="MTRUST",PR!$AL1108,IF(F1110="MWORLD",PR!$AM1108,IF(F1110="MEGA",PR!$AN1108,IF(F1110="MICRONOVA",PR!$AO1108,IF(F1110="MFLASH",PR!$AP1108,IF(F1110="MORISON",PR!$AQ1108,IF(F1110="NEMEL",PR!$AR1108,IF(F1110="NHP",PR!$AS1108,IF(F1110="NHC",PR!$AT1108,IF(F1110="OLEAF",PR!$AU1108,IF(F1110="OCULUS",PR!$AV1108,IF(F1110="PACIFIC",PR!$AW1108,IF(F1110="PHAMATEX",PR!$AX1108,IF(F1110="PETHICS",PR!$AY1108,IF(F1110="PHILIPS",PR!$AZ1108,IF(F1110="RANBAXY",PR!$BA1108,IF(F1110="REALS",PR!$BB1108,IF(F1110="ROYAL",PR!$BC1108,IF(F1110="SAM",PR!$BD1108,IF(F1110="SEAGREEN",PR!$BE1108,IF(F1110="SKG",PR!$BF1108,IF(F1110="TAH",PR!$BG1108,IF(F1110="TAYLEK",PR!$BH1108,IF(F1110="TEMITA",PR!$BI1108,IF(F1110="THL",PR!$BJ1108,IF(F1110="UBASTIC",PR!$BK1108,IF(F1110="UNION",PR!$BL1108,IF(F1110="UNIQUE",PR!$BM1108,IF(F1110="VIXA",PR!$BN1108,IF(F1110="WWCV",PR!$BO1108,IF(F1110="ZOLON",PR!$BP1108,"-"))))))))))))))))))))))))))))))))))))))))))))))))))))))))))))))))</f>
        <v>120000</v>
      </c>
      <c r="F1110" s="102" t="str">
        <f>EV!L1404</f>
        <v>LAYO</v>
      </c>
      <c r="G1110" s="108" t="str">
        <f>IF(H1110="ALPHA",PR!$E1108,IF(H1110="ASSENE",PR!$F1108,IF(H1110="BIOFEM",PR!$G1108,IF(H1110="BIOMED",PR!$H1108,IF(H1110="CHI",PR!$I1108,IF(H1110="CLARION",PR!$J1108,IF(H1110="CODIX",PR!$K1108,IF(H1110="COSMADE",PR!$L1108,IF(H1110="SANCON",PR!$M1108,IF(H1110="DEVON",PR!$N1108,IF(H1110="DORTEMAG",PR!$O1108,IF(H1110="DGF",PR!$P1108,IF(H1110="DYNAMIC",PR!$Q1108,IF(H1110="EMZOR",PR!$R1108,IF(H1110="EUMATT",PR!$S1108,IF(H1110="FIDSON",PR!$T1108,IF(H1110="FCGLOBAL",PR!$U1108,IF(H1110="GENEITH",PR!$V1108,IF(H1110="GINOS",PR!$W1108,IF(H1110="GSK",PR!$X1108,IF(H1110="GLOBORG",PR!$Y1108,IF(H1110="GOODNEWS",PR!$Z1108,IF(H1110="GREENLIFE",PR!$AA1108,IF(H1110="HLINE",PR!$AB1108,IF(H1110="ROTECH",PR!$AC1108,IF(H1110="ISN",PR!$AD1108,IF(H1110="JAWA",PR!$AE1108,IF(H1110="LAYO",PR!$AF1108,IF(H1110="LEADWAY",PR!$AG1108,IF(H1110="LHV",PR!$AH1108,IF(H1110="MANOLA",PR!$AI1108,IF(H1110="MARCSON",PR!$AJ1108,IF(H1110="M&amp;B",PR!$AK1108,IF(H1110="MTRUST",PR!$AL1108,IF(H1110="MWORLD",PR!$AM1108,IF(H1110="MEGA",PR!$AN1108,IF(H1110="MICRONOVA",PR!$AO1108,IF(H1110="MFLASH",PR!$AP1108,IF(H1110="MORISON",PR!$AQ1108,IF(H1110="NEMEL",PR!$AR1108,IF(H1110="NHP",PR!$AS1108,IF(H1110="NHC",PR!$AT1108,IF(H1110="OLEAF",PR!$AU1108,IF(H1110="OCULUS",PR!$AV1108,IF(H1110="PACIFIC",PR!$AW1108,IF(H1110="PHAMATEX",PR!$AX1108,IF(H1110="PETHICS",PR!$AY1108,IF(H1110="PHILIPS",PR!$AZ1108,IF(H1110="RANBAXY",PR!$BA1108,IF(H1110="REALS",PR!$BB1108,IF(H1110="ROYAL",PR!$BC1108,IF(H1110="SAM",PR!$BD1108,IF(H1110="SEAGREEN",PR!$BE1108,IF(H1110="SKG",PR!$BF1108,IF(H1110="TAH",PR!$BG1108,IF(H1110="TAYLEK",PR!$BH1108,IF(H1110="TEMITA",PR!$BI1108,IF(H1110="THL",PR!$BJ1108,IF(H1110="UBASTIC",PR!$BK1108,IF(H1110="UNION",PR!$BL1108,IF(H1110="UNIQUE",PR!$BM1108,IF(H1110="VIXA",PR!$BN1108,IF(H1110="WWCV",PR!$BO1108,IF(H1110="ZOLON",PR!$BP1108,"-"))))))))))))))))))))))))))))))))))))))))))))))))))))))))))))))))</f>
        <v>-</v>
      </c>
      <c r="H1110" s="102">
        <f>EV!M1404</f>
        <v>0</v>
      </c>
      <c r="I1110" s="108" t="str">
        <f>IF(J1110="ALPHA",PR!$E1108,IF(J1110="ASSENE",PR!$F1108,IF(J1110="BIOFEM",PR!$G1108,IF(J1110="BIOMED",PR!$H1108,IF(J1110="CHI",PR!$I1108,IF(J1110="CLARION",PR!$J1108,IF(J1110="CODIX",PR!$K1108,IF(J1110="COSMADE",PR!$L1108,IF(J1110="SANCON",PR!$M1108,IF(J1110="DEVON",PR!$N1108,IF(J1110="DORTEMAG",PR!$O1108,IF(J1110="DGF",PR!$P1108,IF(J1110="DYNAMIC",PR!$Q1108,IF(J1110="EMZOR",PR!$R1108,IF(J1110="EUMATT",PR!$S1108,IF(J1110="FIDSON",PR!$T1108,IF(J1110="FCGLOBAL",PR!$U1108,IF(J1110="GENEITH",PR!$V1108,IF(J1110="GINOS",PR!$W1108,IF(J1110="GSK",PR!$X1108,IF(J1110="GLOBORG",PR!$Y1108,IF(J1110="GOODNEWS",PR!$Z1108,IF(J1110="GREENLIFE",PR!$AA1108,IF(J1110="HLINE",PR!$AB1108,IF(J1110="ROTECH",PR!$AC1108,IF(J1110="ISN",PR!$AD1108,IF(J1110="JAWA",PR!$AE1108,IF(J1110="LAYO",PR!$AF1108,IF(J1110="LEADWAY",PR!$AG1108,IF(J1110="LHV",PR!$AH1108,IF(J1110="MANOLA",PR!$AI1108,IF(J1110="MARCSON",PR!$AJ1108,IF(J1110="M&amp;B",PR!$AK1108,IF(J1110="MTRUST",PR!$AL1108,IF(J1110="MWORLD",PR!$AM1108,IF(J1110="MEGA",PR!$AN1108,IF(J1110="MICRONOVA",PR!$AO1108,IF(J1110="MFLASH",PR!$AP1108,IF(J1110="MORISON",PR!$AQ1108,IF(J1110="NEMEL",PR!$AR1108,IF(J1110="NHP",PR!$AS1108,IF(J1110="NHC",PR!$AT1108,IF(J1110="OLEAF",PR!$AU1108,IF(J1110="OCULUS",PR!$AV1108,IF(J1110="PACIFIC",PR!$AW1108,IF(J1110="PHAMATEX",PR!$AX1108,IF(J1110="PETHICS",PR!$AY1108,IF(J1110="PHILIPS",PR!$AZ1108,IF(J1110="RANBAXY",PR!$BA1108,IF(J1110="REALS",PR!$BB1108,IF(J1110="ROYAL",PR!$BC1108,IF(J1110="SAM",PR!$BD1108,IF(J1110="SEAGREEN",PR!$BE1108,IF(J1110="SKG",PR!$BF1108,IF(J1110="TAH",PR!$BG1108,IF(J1110="TAYLEK",PR!$BH1108,IF(J1110="TEMITA",PR!$BI1108,IF(J1110="THL",PR!$BJ1108,IF(J1110="UBASTIC",PR!$BK1108,IF(J1110="UNION",PR!$BL1108,IF(J1110="UNIQUE",PR!$BM1108,IF(J1110="VIXA",PR!$BN1108,IF(J1110="WWCV",PR!$BO1108,IF(J1110="ZOLON",PR!$BP1108,"-"))))))))))))))))))))))))))))))))))))))))))))))))))))))))))))))))</f>
        <v>-</v>
      </c>
      <c r="J1110" s="102">
        <f>EV!N1404</f>
        <v>0</v>
      </c>
      <c r="K1110" s="433" t="s">
        <v>1461</v>
      </c>
      <c r="L1110" s="183">
        <f>IF(K1110&gt;0,IF(K1110="ALPHA",PR!$E1108,IF(K1110="ASSENE",PR!$F1108,IF(K1110="BIOFEM",PR!$G1108,IF(K1110="BIOMED",PR!$H1108,IF(K1110="CHI",PR!$I1108,IF(K1110="CLARION",PR!$J1108,IF(K1110="CODIX",PR!$K1108,IF(K1110="COSMADE",PR!$L1108,IF(K1110="SANCON",PR!$M1108,IF(K1110="DEVON",PR!$N1108,IF(K1110="DORTEMAG",PR!$O1108,IF(K1110="DGF",PR!$P1108,IF(K1110="DYNAMIC",PR!$Q1108,IF(K1110="EMZOR",PR!$R1108,IF(K1110="EUMATT",PR!$S1108,IF(K1110="FIDSON",PR!$T1108,IF(K1110="FCGLOBAL",PR!$U1108,IF(K1110="GENEITH",PR!$V1108,IF(K1110="GINOS",PR!$W1108,IF(K1110="GSK",PR!$X1108,IF(K1110="GLOBORG",PR!$Y1108,IF(K1110="GOODNEWS",PR!$Z1108,IF(K1110="GREENLIFE",PR!$AA1108,IF(K1110="HLINE",PR!$AB1108,IF(K1110="ROTECH",PR!$AC1108,IF(K1110="ISN",PR!$AD1108,IF(K1110="JAWA",PR!$AE1108,IF(K1110="LAYO",PR!$AF1108,IF(K1110="LEADWAY",PR!$AG1108,IF(K1110="LHV",PR!$AH1108,IF(K1110="MANOLA",PR!$AI1108,IF(K1110="MARCSON",PR!$AJ1108,IF(K1110="M&amp;B",PR!$AK1108,IF(K1110="MTRUST",PR!$AL1108,IF(K1110="MWORLD",PR!$AM1108,IF(K1110="MEGA",PR!$AN1108,IF(K1110="MICRONOVA",PR!$AO1108,IF(K1110="MFLASH",PR!$AP1108,IF(K1110="MORISON",PR!$AQ1108,IF(K1110="NEMEL",PR!$AR1108,IF(K1110="NHP",PR!$AS1108,IF(K1110="NHC",PR!$AT1108,IF(K1110="OLEAF",PR!$AU1108,IF(K1110="OCULUS",PR!$AV1108,IF(K1110="PACIFIC",PR!$AW1108,IF(K1110="PHAMATEX",PR!$AX1108,IF(K1110="PETHICS",PR!$AY1108,IF(K1110="PHILIPS",PR!$AZ1108,IF(K1110="RANBAXY",PR!$BA1108,IF(K1110="REALS",PR!$BB1108,IF(K1110="ROYAL",PR!$BC1108,IF(K1110="SAM",PR!$BD1108,IF(K1110="SEAGREEN",PR!$BE1108,IF(K1110="SKG",PR!$BF1108,IF(K1110="TAH",PR!$BG1108,IF(K1110="TAYLEK",PR!$BH1108,IF(K1110="TEMITA",PR!$BI1108,IF(K1110="THL",PR!$BJ1108,IF(K1110="UBASTIC",PR!$BK1108,IF(K1110="UNION",PR!$BL1108,IF(K1110="UNIQUE",PR!$BM1108,IF(K1110="VIXA",PR!$BN1108,IF(K1110="WWCV",PR!$BO1108,IF(K1110="ZOLON",PR!$BP1108,"-")))))))))))))))))))))))))))))))))))))))))))))))))))))))))))))))))</f>
        <v>120000</v>
      </c>
    </row>
    <row r="1111" spans="1:12" ht="18.75" x14ac:dyDescent="0.3">
      <c r="A1111" s="430">
        <f>PR!A1109</f>
        <v>996</v>
      </c>
      <c r="B1111" s="15" t="str">
        <f>PR!B1109</f>
        <v>CLEANING SOLUTION (ISE 6000)</v>
      </c>
      <c r="C1111" s="113" t="str">
        <f>PR!D1109</f>
        <v>30ml</v>
      </c>
      <c r="D1111" s="113">
        <f>PR!C1109</f>
        <v>24</v>
      </c>
      <c r="E1111" s="108">
        <f>IF(F1111="ALPHA",PR!$E1109,IF(F1111="ASSENE",PR!$F1109,IF(F1111="BIOFEM",PR!$G1109,IF(F1111="BIOMED",PR!$H1109,IF(F1111="CHI",PR!$I1109,IF(F1111="CLARION",PR!$J1109,IF(F1111="CODIX",PR!$K1109,IF(F1111="COSMADE",PR!$L1109,IF(F1111="SANCON",PR!$M1109,IF(F1111="DEVON",PR!$N1109,IF(F1111="DORTEMAG",PR!$O1109,IF(F1111="DGF",PR!$P1109,IF(F1111="DYNAMIC",PR!$Q1109,IF(F1111="EMZOR",PR!$R1109,IF(F1111="EUMATT",PR!$S1109,IF(F1111="FIDSON",PR!$T1109,IF(F1111="FCGLOBAL",PR!$U1109,IF(F1111="GENEITH",PR!$V1109,IF(F1111="GINOS",PR!$W1109,IF(F1111="GSK",PR!$X1109,IF(F1111="GLOBORG",PR!$Y1109,IF(F1111="GOODNEWS",PR!$Z1109,IF(F1111="GREENLIFE",PR!$AA1109,IF(F1111="HLINE",PR!$AB1109,IF(F1111="ROTECH",PR!$AC1109,IF(F1111="ISN",PR!$AD1109,IF(F1111="JAWA",PR!$AE1109,IF(F1111="LAYO",PR!$AF1109,IF(F1111="LEADWAY",PR!$AG1109,IF(F1111="LHV",PR!$AH1109,IF(F1111="MANOLA",PR!$AI1109,IF(F1111="MARCSON",PR!$AJ1109,IF(F1111="M&amp;B",PR!$AK1109,IF(F1111="MTRUST",PR!$AL1109,IF(F1111="MWORLD",PR!$AM1109,IF(F1111="MEGA",PR!$AN1109,IF(F1111="MICRONOVA",PR!$AO1109,IF(F1111="MFLASH",PR!$AP1109,IF(F1111="MORISON",PR!$AQ1109,IF(F1111="NEMEL",PR!$AR1109,IF(F1111="NHP",PR!$AS1109,IF(F1111="NHC",PR!$AT1109,IF(F1111="OLEAF",PR!$AU1109,IF(F1111="OCULUS",PR!$AV1109,IF(F1111="PACIFIC",PR!$AW1109,IF(F1111="PHAMATEX",PR!$AX1109,IF(F1111="PETHICS",PR!$AY1109,IF(F1111="PHILIPS",PR!$AZ1109,IF(F1111="RANBAXY",PR!$BA1109,IF(F1111="REALS",PR!$BB1109,IF(F1111="ROYAL",PR!$BC1109,IF(F1111="SAM",PR!$BD1109,IF(F1111="SEAGREEN",PR!$BE1109,IF(F1111="SKG",PR!$BF1109,IF(F1111="TAH",PR!$BG1109,IF(F1111="TAYLEK",PR!$BH1109,IF(F1111="TEMITA",PR!$BI1109,IF(F1111="THL",PR!$BJ1109,IF(F1111="UBASTIC",PR!$BK1109,IF(F1111="UNION",PR!$BL1109,IF(F1111="UNIQUE",PR!$BM1109,IF(F1111="VIXA",PR!$BN1109,IF(F1111="WWCV",PR!$BO1109,IF(F1111="ZOLON",PR!$BP1109,"-"))))))))))))))))))))))))))))))))))))))))))))))))))))))))))))))))</f>
        <v>45000</v>
      </c>
      <c r="F1111" s="102" t="str">
        <f>EV!L1405</f>
        <v>LAYO</v>
      </c>
      <c r="G1111" s="108" t="str">
        <f>IF(H1111="ALPHA",PR!$E1109,IF(H1111="ASSENE",PR!$F1109,IF(H1111="BIOFEM",PR!$G1109,IF(H1111="BIOMED",PR!$H1109,IF(H1111="CHI",PR!$I1109,IF(H1111="CLARION",PR!$J1109,IF(H1111="CODIX",PR!$K1109,IF(H1111="COSMADE",PR!$L1109,IF(H1111="SANCON",PR!$M1109,IF(H1111="DEVON",PR!$N1109,IF(H1111="DORTEMAG",PR!$O1109,IF(H1111="DGF",PR!$P1109,IF(H1111="DYNAMIC",PR!$Q1109,IF(H1111="EMZOR",PR!$R1109,IF(H1111="EUMATT",PR!$S1109,IF(H1111="FIDSON",PR!$T1109,IF(H1111="FCGLOBAL",PR!$U1109,IF(H1111="GENEITH",PR!$V1109,IF(H1111="GINOS",PR!$W1109,IF(H1111="GSK",PR!$X1109,IF(H1111="GLOBORG",PR!$Y1109,IF(H1111="GOODNEWS",PR!$Z1109,IF(H1111="GREENLIFE",PR!$AA1109,IF(H1111="HLINE",PR!$AB1109,IF(H1111="ROTECH",PR!$AC1109,IF(H1111="ISN",PR!$AD1109,IF(H1111="JAWA",PR!$AE1109,IF(H1111="LAYO",PR!$AF1109,IF(H1111="LEADWAY",PR!$AG1109,IF(H1111="LHV",PR!$AH1109,IF(H1111="MANOLA",PR!$AI1109,IF(H1111="MARCSON",PR!$AJ1109,IF(H1111="M&amp;B",PR!$AK1109,IF(H1111="MTRUST",PR!$AL1109,IF(H1111="MWORLD",PR!$AM1109,IF(H1111="MEGA",PR!$AN1109,IF(H1111="MICRONOVA",PR!$AO1109,IF(H1111="MFLASH",PR!$AP1109,IF(H1111="MORISON",PR!$AQ1109,IF(H1111="NEMEL",PR!$AR1109,IF(H1111="NHP",PR!$AS1109,IF(H1111="NHC",PR!$AT1109,IF(H1111="OLEAF",PR!$AU1109,IF(H1111="OCULUS",PR!$AV1109,IF(H1111="PACIFIC",PR!$AW1109,IF(H1111="PHAMATEX",PR!$AX1109,IF(H1111="PETHICS",PR!$AY1109,IF(H1111="PHILIPS",PR!$AZ1109,IF(H1111="RANBAXY",PR!$BA1109,IF(H1111="REALS",PR!$BB1109,IF(H1111="ROYAL",PR!$BC1109,IF(H1111="SAM",PR!$BD1109,IF(H1111="SEAGREEN",PR!$BE1109,IF(H1111="SKG",PR!$BF1109,IF(H1111="TAH",PR!$BG1109,IF(H1111="TAYLEK",PR!$BH1109,IF(H1111="TEMITA",PR!$BI1109,IF(H1111="THL",PR!$BJ1109,IF(H1111="UBASTIC",PR!$BK1109,IF(H1111="UNION",PR!$BL1109,IF(H1111="UNIQUE",PR!$BM1109,IF(H1111="VIXA",PR!$BN1109,IF(H1111="WWCV",PR!$BO1109,IF(H1111="ZOLON",PR!$BP1109,"-"))))))))))))))))))))))))))))))))))))))))))))))))))))))))))))))))</f>
        <v>-</v>
      </c>
      <c r="H1111" s="102">
        <f>EV!M1405</f>
        <v>0</v>
      </c>
      <c r="I1111" s="108" t="str">
        <f>IF(J1111="ALPHA",PR!$E1109,IF(J1111="ASSENE",PR!$F1109,IF(J1111="BIOFEM",PR!$G1109,IF(J1111="BIOMED",PR!$H1109,IF(J1111="CHI",PR!$I1109,IF(J1111="CLARION",PR!$J1109,IF(J1111="CODIX",PR!$K1109,IF(J1111="COSMADE",PR!$L1109,IF(J1111="SANCON",PR!$M1109,IF(J1111="DEVON",PR!$N1109,IF(J1111="DORTEMAG",PR!$O1109,IF(J1111="DGF",PR!$P1109,IF(J1111="DYNAMIC",PR!$Q1109,IF(J1111="EMZOR",PR!$R1109,IF(J1111="EUMATT",PR!$S1109,IF(J1111="FIDSON",PR!$T1109,IF(J1111="FCGLOBAL",PR!$U1109,IF(J1111="GENEITH",PR!$V1109,IF(J1111="GINOS",PR!$W1109,IF(J1111="GSK",PR!$X1109,IF(J1111="GLOBORG",PR!$Y1109,IF(J1111="GOODNEWS",PR!$Z1109,IF(J1111="GREENLIFE",PR!$AA1109,IF(J1111="HLINE",PR!$AB1109,IF(J1111="ROTECH",PR!$AC1109,IF(J1111="ISN",PR!$AD1109,IF(J1111="JAWA",PR!$AE1109,IF(J1111="LAYO",PR!$AF1109,IF(J1111="LEADWAY",PR!$AG1109,IF(J1111="LHV",PR!$AH1109,IF(J1111="MANOLA",PR!$AI1109,IF(J1111="MARCSON",PR!$AJ1109,IF(J1111="M&amp;B",PR!$AK1109,IF(J1111="MTRUST",PR!$AL1109,IF(J1111="MWORLD",PR!$AM1109,IF(J1111="MEGA",PR!$AN1109,IF(J1111="MICRONOVA",PR!$AO1109,IF(J1111="MFLASH",PR!$AP1109,IF(J1111="MORISON",PR!$AQ1109,IF(J1111="NEMEL",PR!$AR1109,IF(J1111="NHP",PR!$AS1109,IF(J1111="NHC",PR!$AT1109,IF(J1111="OLEAF",PR!$AU1109,IF(J1111="OCULUS",PR!$AV1109,IF(J1111="PACIFIC",PR!$AW1109,IF(J1111="PHAMATEX",PR!$AX1109,IF(J1111="PETHICS",PR!$AY1109,IF(J1111="PHILIPS",PR!$AZ1109,IF(J1111="RANBAXY",PR!$BA1109,IF(J1111="REALS",PR!$BB1109,IF(J1111="ROYAL",PR!$BC1109,IF(J1111="SAM",PR!$BD1109,IF(J1111="SEAGREEN",PR!$BE1109,IF(J1111="SKG",PR!$BF1109,IF(J1111="TAH",PR!$BG1109,IF(J1111="TAYLEK",PR!$BH1109,IF(J1111="TEMITA",PR!$BI1109,IF(J1111="THL",PR!$BJ1109,IF(J1111="UBASTIC",PR!$BK1109,IF(J1111="UNION",PR!$BL1109,IF(J1111="UNIQUE",PR!$BM1109,IF(J1111="VIXA",PR!$BN1109,IF(J1111="WWCV",PR!$BO1109,IF(J1111="ZOLON",PR!$BP1109,"-"))))))))))))))))))))))))))))))))))))))))))))))))))))))))))))))))</f>
        <v>-</v>
      </c>
      <c r="J1111" s="102">
        <f>EV!N1405</f>
        <v>0</v>
      </c>
      <c r="K1111" s="433" t="s">
        <v>1461</v>
      </c>
      <c r="L1111" s="183">
        <f>IF(K1111&gt;0,IF(K1111="ALPHA",PR!$E1109,IF(K1111="ASSENE",PR!$F1109,IF(K1111="BIOFEM",PR!$G1109,IF(K1111="BIOMED",PR!$H1109,IF(K1111="CHI",PR!$I1109,IF(K1111="CLARION",PR!$J1109,IF(K1111="CODIX",PR!$K1109,IF(K1111="COSMADE",PR!$L1109,IF(K1111="SANCON",PR!$M1109,IF(K1111="DEVON",PR!$N1109,IF(K1111="DORTEMAG",PR!$O1109,IF(K1111="DGF",PR!$P1109,IF(K1111="DYNAMIC",PR!$Q1109,IF(K1111="EMZOR",PR!$R1109,IF(K1111="EUMATT",PR!$S1109,IF(K1111="FIDSON",PR!$T1109,IF(K1111="FCGLOBAL",PR!$U1109,IF(K1111="GENEITH",PR!$V1109,IF(K1111="GINOS",PR!$W1109,IF(K1111="GSK",PR!$X1109,IF(K1111="GLOBORG",PR!$Y1109,IF(K1111="GOODNEWS",PR!$Z1109,IF(K1111="GREENLIFE",PR!$AA1109,IF(K1111="HLINE",PR!$AB1109,IF(K1111="ROTECH",PR!$AC1109,IF(K1111="ISN",PR!$AD1109,IF(K1111="JAWA",PR!$AE1109,IF(K1111="LAYO",PR!$AF1109,IF(K1111="LEADWAY",PR!$AG1109,IF(K1111="LHV",PR!$AH1109,IF(K1111="MANOLA",PR!$AI1109,IF(K1111="MARCSON",PR!$AJ1109,IF(K1111="M&amp;B",PR!$AK1109,IF(K1111="MTRUST",PR!$AL1109,IF(K1111="MWORLD",PR!$AM1109,IF(K1111="MEGA",PR!$AN1109,IF(K1111="MICRONOVA",PR!$AO1109,IF(K1111="MFLASH",PR!$AP1109,IF(K1111="MORISON",PR!$AQ1109,IF(K1111="NEMEL",PR!$AR1109,IF(K1111="NHP",PR!$AS1109,IF(K1111="NHC",PR!$AT1109,IF(K1111="OLEAF",PR!$AU1109,IF(K1111="OCULUS",PR!$AV1109,IF(K1111="PACIFIC",PR!$AW1109,IF(K1111="PHAMATEX",PR!$AX1109,IF(K1111="PETHICS",PR!$AY1109,IF(K1111="PHILIPS",PR!$AZ1109,IF(K1111="RANBAXY",PR!$BA1109,IF(K1111="REALS",PR!$BB1109,IF(K1111="ROYAL",PR!$BC1109,IF(K1111="SAM",PR!$BD1109,IF(K1111="SEAGREEN",PR!$BE1109,IF(K1111="SKG",PR!$BF1109,IF(K1111="TAH",PR!$BG1109,IF(K1111="TAYLEK",PR!$BH1109,IF(K1111="TEMITA",PR!$BI1109,IF(K1111="THL",PR!$BJ1109,IF(K1111="UBASTIC",PR!$BK1109,IF(K1111="UNION",PR!$BL1109,IF(K1111="UNIQUE",PR!$BM1109,IF(K1111="VIXA",PR!$BN1109,IF(K1111="WWCV",PR!$BO1109,IF(K1111="ZOLON",PR!$BP1109,"-")))))))))))))))))))))))))))))))))))))))))))))))))))))))))))))))))</f>
        <v>45000</v>
      </c>
    </row>
    <row r="1112" spans="1:12" ht="18.75" x14ac:dyDescent="0.3">
      <c r="A1112" s="430">
        <f>PR!A1110</f>
        <v>997</v>
      </c>
      <c r="B1112" s="15" t="str">
        <f>PR!B1110</f>
        <v>CALIBRATOR (ISE 6000)</v>
      </c>
      <c r="C1112" s="113" t="str">
        <f>PR!D1110</f>
        <v>30ml</v>
      </c>
      <c r="D1112" s="113">
        <f>PR!C1110</f>
        <v>24</v>
      </c>
      <c r="E1112" s="108">
        <f>IF(F1112="ALPHA",PR!$E1110,IF(F1112="ASSENE",PR!$F1110,IF(F1112="BIOFEM",PR!$G1110,IF(F1112="BIOMED",PR!$H1110,IF(F1112="CHI",PR!$I1110,IF(F1112="CLARION",PR!$J1110,IF(F1112="CODIX",PR!$K1110,IF(F1112="COSMADE",PR!$L1110,IF(F1112="SANCON",PR!$M1110,IF(F1112="DEVON",PR!$N1110,IF(F1112="DORTEMAG",PR!$O1110,IF(F1112="DGF",PR!$P1110,IF(F1112="DYNAMIC",PR!$Q1110,IF(F1112="EMZOR",PR!$R1110,IF(F1112="EUMATT",PR!$S1110,IF(F1112="FIDSON",PR!$T1110,IF(F1112="FCGLOBAL",PR!$U1110,IF(F1112="GENEITH",PR!$V1110,IF(F1112="GINOS",PR!$W1110,IF(F1112="GSK",PR!$X1110,IF(F1112="GLOBORG",PR!$Y1110,IF(F1112="GOODNEWS",PR!$Z1110,IF(F1112="GREENLIFE",PR!$AA1110,IF(F1112="HLINE",PR!$AB1110,IF(F1112="ROTECH",PR!$AC1110,IF(F1112="ISN",PR!$AD1110,IF(F1112="JAWA",PR!$AE1110,IF(F1112="LAYO",PR!$AF1110,IF(F1112="LEADWAY",PR!$AG1110,IF(F1112="LHV",PR!$AH1110,IF(F1112="MANOLA",PR!$AI1110,IF(F1112="MARCSON",PR!$AJ1110,IF(F1112="M&amp;B",PR!$AK1110,IF(F1112="MTRUST",PR!$AL1110,IF(F1112="MWORLD",PR!$AM1110,IF(F1112="MEGA",PR!$AN1110,IF(F1112="MICRONOVA",PR!$AO1110,IF(F1112="MFLASH",PR!$AP1110,IF(F1112="MORISON",PR!$AQ1110,IF(F1112="NEMEL",PR!$AR1110,IF(F1112="NHP",PR!$AS1110,IF(F1112="NHC",PR!$AT1110,IF(F1112="OLEAF",PR!$AU1110,IF(F1112="OCULUS",PR!$AV1110,IF(F1112="PACIFIC",PR!$AW1110,IF(F1112="PHAMATEX",PR!$AX1110,IF(F1112="PETHICS",PR!$AY1110,IF(F1112="PHILIPS",PR!$AZ1110,IF(F1112="RANBAXY",PR!$BA1110,IF(F1112="REALS",PR!$BB1110,IF(F1112="ROYAL",PR!$BC1110,IF(F1112="SAM",PR!$BD1110,IF(F1112="SEAGREEN",PR!$BE1110,IF(F1112="SKG",PR!$BF1110,IF(F1112="TAH",PR!$BG1110,IF(F1112="TAYLEK",PR!$BH1110,IF(F1112="TEMITA",PR!$BI1110,IF(F1112="THL",PR!$BJ1110,IF(F1112="UBASTIC",PR!$BK1110,IF(F1112="UNION",PR!$BL1110,IF(F1112="UNIQUE",PR!$BM1110,IF(F1112="VIXA",PR!$BN1110,IF(F1112="WWCV",PR!$BO1110,IF(F1112="ZOLON",PR!$BP1110,"-"))))))))))))))))))))))))))))))))))))))))))))))))))))))))))))))))</f>
        <v>50000</v>
      </c>
      <c r="F1112" s="102" t="str">
        <f>EV!L1406</f>
        <v>LAYO</v>
      </c>
      <c r="G1112" s="108" t="str">
        <f>IF(H1112="ALPHA",PR!$E1110,IF(H1112="ASSENE",PR!$F1110,IF(H1112="BIOFEM",PR!$G1110,IF(H1112="BIOMED",PR!$H1110,IF(H1112="CHI",PR!$I1110,IF(H1112="CLARION",PR!$J1110,IF(H1112="CODIX",PR!$K1110,IF(H1112="COSMADE",PR!$L1110,IF(H1112="SANCON",PR!$M1110,IF(H1112="DEVON",PR!$N1110,IF(H1112="DORTEMAG",PR!$O1110,IF(H1112="DGF",PR!$P1110,IF(H1112="DYNAMIC",PR!$Q1110,IF(H1112="EMZOR",PR!$R1110,IF(H1112="EUMATT",PR!$S1110,IF(H1112="FIDSON",PR!$T1110,IF(H1112="FCGLOBAL",PR!$U1110,IF(H1112="GENEITH",PR!$V1110,IF(H1112="GINOS",PR!$W1110,IF(H1112="GSK",PR!$X1110,IF(H1112="GLOBORG",PR!$Y1110,IF(H1112="GOODNEWS",PR!$Z1110,IF(H1112="GREENLIFE",PR!$AA1110,IF(H1112="HLINE",PR!$AB1110,IF(H1112="ROTECH",PR!$AC1110,IF(H1112="ISN",PR!$AD1110,IF(H1112="JAWA",PR!$AE1110,IF(H1112="LAYO",PR!$AF1110,IF(H1112="LEADWAY",PR!$AG1110,IF(H1112="LHV",PR!$AH1110,IF(H1112="MANOLA",PR!$AI1110,IF(H1112="MARCSON",PR!$AJ1110,IF(H1112="M&amp;B",PR!$AK1110,IF(H1112="MTRUST",PR!$AL1110,IF(H1112="MWORLD",PR!$AM1110,IF(H1112="MEGA",PR!$AN1110,IF(H1112="MICRONOVA",PR!$AO1110,IF(H1112="MFLASH",PR!$AP1110,IF(H1112="MORISON",PR!$AQ1110,IF(H1112="NEMEL",PR!$AR1110,IF(H1112="NHP",PR!$AS1110,IF(H1112="NHC",PR!$AT1110,IF(H1112="OLEAF",PR!$AU1110,IF(H1112="OCULUS",PR!$AV1110,IF(H1112="PACIFIC",PR!$AW1110,IF(H1112="PHAMATEX",PR!$AX1110,IF(H1112="PETHICS",PR!$AY1110,IF(H1112="PHILIPS",PR!$AZ1110,IF(H1112="RANBAXY",PR!$BA1110,IF(H1112="REALS",PR!$BB1110,IF(H1112="ROYAL",PR!$BC1110,IF(H1112="SAM",PR!$BD1110,IF(H1112="SEAGREEN",PR!$BE1110,IF(H1112="SKG",PR!$BF1110,IF(H1112="TAH",PR!$BG1110,IF(H1112="TAYLEK",PR!$BH1110,IF(H1112="TEMITA",PR!$BI1110,IF(H1112="THL",PR!$BJ1110,IF(H1112="UBASTIC",PR!$BK1110,IF(H1112="UNION",PR!$BL1110,IF(H1112="UNIQUE",PR!$BM1110,IF(H1112="VIXA",PR!$BN1110,IF(H1112="WWCV",PR!$BO1110,IF(H1112="ZOLON",PR!$BP1110,"-"))))))))))))))))))))))))))))))))))))))))))))))))))))))))))))))))</f>
        <v>-</v>
      </c>
      <c r="H1112" s="102">
        <f>EV!M1406</f>
        <v>0</v>
      </c>
      <c r="I1112" s="108" t="str">
        <f>IF(J1112="ALPHA",PR!$E1110,IF(J1112="ASSENE",PR!$F1110,IF(J1112="BIOFEM",PR!$G1110,IF(J1112="BIOMED",PR!$H1110,IF(J1112="CHI",PR!$I1110,IF(J1112="CLARION",PR!$J1110,IF(J1112="CODIX",PR!$K1110,IF(J1112="COSMADE",PR!$L1110,IF(J1112="SANCON",PR!$M1110,IF(J1112="DEVON",PR!$N1110,IF(J1112="DORTEMAG",PR!$O1110,IF(J1112="DGF",PR!$P1110,IF(J1112="DYNAMIC",PR!$Q1110,IF(J1112="EMZOR",PR!$R1110,IF(J1112="EUMATT",PR!$S1110,IF(J1112="FIDSON",PR!$T1110,IF(J1112="FCGLOBAL",PR!$U1110,IF(J1112="GENEITH",PR!$V1110,IF(J1112="GINOS",PR!$W1110,IF(J1112="GSK",PR!$X1110,IF(J1112="GLOBORG",PR!$Y1110,IF(J1112="GOODNEWS",PR!$Z1110,IF(J1112="GREENLIFE",PR!$AA1110,IF(J1112="HLINE",PR!$AB1110,IF(J1112="ROTECH",PR!$AC1110,IF(J1112="ISN",PR!$AD1110,IF(J1112="JAWA",PR!$AE1110,IF(J1112="LAYO",PR!$AF1110,IF(J1112="LEADWAY",PR!$AG1110,IF(J1112="LHV",PR!$AH1110,IF(J1112="MANOLA",PR!$AI1110,IF(J1112="MARCSON",PR!$AJ1110,IF(J1112="M&amp;B",PR!$AK1110,IF(J1112="MTRUST",PR!$AL1110,IF(J1112="MWORLD",PR!$AM1110,IF(J1112="MEGA",PR!$AN1110,IF(J1112="MICRONOVA",PR!$AO1110,IF(J1112="MFLASH",PR!$AP1110,IF(J1112="MORISON",PR!$AQ1110,IF(J1112="NEMEL",PR!$AR1110,IF(J1112="NHP",PR!$AS1110,IF(J1112="NHC",PR!$AT1110,IF(J1112="OLEAF",PR!$AU1110,IF(J1112="OCULUS",PR!$AV1110,IF(J1112="PACIFIC",PR!$AW1110,IF(J1112="PHAMATEX",PR!$AX1110,IF(J1112="PETHICS",PR!$AY1110,IF(J1112="PHILIPS",PR!$AZ1110,IF(J1112="RANBAXY",PR!$BA1110,IF(J1112="REALS",PR!$BB1110,IF(J1112="ROYAL",PR!$BC1110,IF(J1112="SAM",PR!$BD1110,IF(J1112="SEAGREEN",PR!$BE1110,IF(J1112="SKG",PR!$BF1110,IF(J1112="TAH",PR!$BG1110,IF(J1112="TAYLEK",PR!$BH1110,IF(J1112="TEMITA",PR!$BI1110,IF(J1112="THL",PR!$BJ1110,IF(J1112="UBASTIC",PR!$BK1110,IF(J1112="UNION",PR!$BL1110,IF(J1112="UNIQUE",PR!$BM1110,IF(J1112="VIXA",PR!$BN1110,IF(J1112="WWCV",PR!$BO1110,IF(J1112="ZOLON",PR!$BP1110,"-"))))))))))))))))))))))))))))))))))))))))))))))))))))))))))))))))</f>
        <v>-</v>
      </c>
      <c r="J1112" s="102">
        <f>EV!N1406</f>
        <v>0</v>
      </c>
      <c r="K1112" s="433" t="s">
        <v>1461</v>
      </c>
      <c r="L1112" s="183">
        <f>IF(K1112&gt;0,IF(K1112="ALPHA",PR!$E1110,IF(K1112="ASSENE",PR!$F1110,IF(K1112="BIOFEM",PR!$G1110,IF(K1112="BIOMED",PR!$H1110,IF(K1112="CHI",PR!$I1110,IF(K1112="CLARION",PR!$J1110,IF(K1112="CODIX",PR!$K1110,IF(K1112="COSMADE",PR!$L1110,IF(K1112="SANCON",PR!$M1110,IF(K1112="DEVON",PR!$N1110,IF(K1112="DORTEMAG",PR!$O1110,IF(K1112="DGF",PR!$P1110,IF(K1112="DYNAMIC",PR!$Q1110,IF(K1112="EMZOR",PR!$R1110,IF(K1112="EUMATT",PR!$S1110,IF(K1112="FIDSON",PR!$T1110,IF(K1112="FCGLOBAL",PR!$U1110,IF(K1112="GENEITH",PR!$V1110,IF(K1112="GINOS",PR!$W1110,IF(K1112="GSK",PR!$X1110,IF(K1112="GLOBORG",PR!$Y1110,IF(K1112="GOODNEWS",PR!$Z1110,IF(K1112="GREENLIFE",PR!$AA1110,IF(K1112="HLINE",PR!$AB1110,IF(K1112="ROTECH",PR!$AC1110,IF(K1112="ISN",PR!$AD1110,IF(K1112="JAWA",PR!$AE1110,IF(K1112="LAYO",PR!$AF1110,IF(K1112="LEADWAY",PR!$AG1110,IF(K1112="LHV",PR!$AH1110,IF(K1112="MANOLA",PR!$AI1110,IF(K1112="MARCSON",PR!$AJ1110,IF(K1112="M&amp;B",PR!$AK1110,IF(K1112="MTRUST",PR!$AL1110,IF(K1112="MWORLD",PR!$AM1110,IF(K1112="MEGA",PR!$AN1110,IF(K1112="MICRONOVA",PR!$AO1110,IF(K1112="MFLASH",PR!$AP1110,IF(K1112="MORISON",PR!$AQ1110,IF(K1112="NEMEL",PR!$AR1110,IF(K1112="NHP",PR!$AS1110,IF(K1112="NHC",PR!$AT1110,IF(K1112="OLEAF",PR!$AU1110,IF(K1112="OCULUS",PR!$AV1110,IF(K1112="PACIFIC",PR!$AW1110,IF(K1112="PHAMATEX",PR!$AX1110,IF(K1112="PETHICS",PR!$AY1110,IF(K1112="PHILIPS",PR!$AZ1110,IF(K1112="RANBAXY",PR!$BA1110,IF(K1112="REALS",PR!$BB1110,IF(K1112="ROYAL",PR!$BC1110,IF(K1112="SAM",PR!$BD1110,IF(K1112="SEAGREEN",PR!$BE1110,IF(K1112="SKG",PR!$BF1110,IF(K1112="TAH",PR!$BG1110,IF(K1112="TAYLEK",PR!$BH1110,IF(K1112="TEMITA",PR!$BI1110,IF(K1112="THL",PR!$BJ1110,IF(K1112="UBASTIC",PR!$BK1110,IF(K1112="UNION",PR!$BL1110,IF(K1112="UNIQUE",PR!$BM1110,IF(K1112="VIXA",PR!$BN1110,IF(K1112="WWCV",PR!$BO1110,IF(K1112="ZOLON",PR!$BP1110,"-")))))))))))))))))))))))))))))))))))))))))))))))))))))))))))))))))</f>
        <v>50000</v>
      </c>
    </row>
    <row r="1113" spans="1:12" ht="18.75" x14ac:dyDescent="0.3">
      <c r="A1113" s="430">
        <f>PR!A1111</f>
        <v>998</v>
      </c>
      <c r="B1113" s="15" t="str">
        <f>PR!B1111</f>
        <v>ALBUMIN KIT (RANDOX)</v>
      </c>
      <c r="C1113" s="113" t="str">
        <f>PR!D1111</f>
        <v>6*30ml</v>
      </c>
      <c r="D1113" s="113">
        <f>PR!C1111</f>
        <v>16</v>
      </c>
      <c r="E1113" s="108">
        <f>IF(F1113="ALPHA",PR!$E1111,IF(F1113="ASSENE",PR!$F1111,IF(F1113="BIOFEM",PR!$G1111,IF(F1113="BIOMED",PR!$H1111,IF(F1113="CHI",PR!$I1111,IF(F1113="CLARION",PR!$J1111,IF(F1113="CODIX",PR!$K1111,IF(F1113="COSMADE",PR!$L1111,IF(F1113="SANCON",PR!$M1111,IF(F1113="DEVON",PR!$N1111,IF(F1113="DORTEMAG",PR!$O1111,IF(F1113="DGF",PR!$P1111,IF(F1113="DYNAMIC",PR!$Q1111,IF(F1113="EMZOR",PR!$R1111,IF(F1113="EUMATT",PR!$S1111,IF(F1113="FIDSON",PR!$T1111,IF(F1113="FCGLOBAL",PR!$U1111,IF(F1113="GENEITH",PR!$V1111,IF(F1113="GINOS",PR!$W1111,IF(F1113="GSK",PR!$X1111,IF(F1113="GLOBORG",PR!$Y1111,IF(F1113="GOODNEWS",PR!$Z1111,IF(F1113="GREENLIFE",PR!$AA1111,IF(F1113="HLINE",PR!$AB1111,IF(F1113="ROTECH",PR!$AC1111,IF(F1113="ISN",PR!$AD1111,IF(F1113="JAWA",PR!$AE1111,IF(F1113="LAYO",PR!$AF1111,IF(F1113="LEADWAY",PR!$AG1111,IF(F1113="LHV",PR!$AH1111,IF(F1113="MANOLA",PR!$AI1111,IF(F1113="MARCSON",PR!$AJ1111,IF(F1113="M&amp;B",PR!$AK1111,IF(F1113="MTRUST",PR!$AL1111,IF(F1113="MWORLD",PR!$AM1111,IF(F1113="MEGA",PR!$AN1111,IF(F1113="MICRONOVA",PR!$AO1111,IF(F1113="MFLASH",PR!$AP1111,IF(F1113="MORISON",PR!$AQ1111,IF(F1113="NEMEL",PR!$AR1111,IF(F1113="NHP",PR!$AS1111,IF(F1113="NHC",PR!$AT1111,IF(F1113="OLEAF",PR!$AU1111,IF(F1113="OCULUS",PR!$AV1111,IF(F1113="PACIFIC",PR!$AW1111,IF(F1113="PHAMATEX",PR!$AX1111,IF(F1113="PETHICS",PR!$AY1111,IF(F1113="PHILIPS",PR!$AZ1111,IF(F1113="RANBAXY",PR!$BA1111,IF(F1113="REALS",PR!$BB1111,IF(F1113="ROYAL",PR!$BC1111,IF(F1113="SAM",PR!$BD1111,IF(F1113="SEAGREEN",PR!$BE1111,IF(F1113="SKG",PR!$BF1111,IF(F1113="TAH",PR!$BG1111,IF(F1113="TAYLEK",PR!$BH1111,IF(F1113="TEMITA",PR!$BI1111,IF(F1113="THL",PR!$BJ1111,IF(F1113="UBASTIC",PR!$BK1111,IF(F1113="UNION",PR!$BL1111,IF(F1113="UNIQUE",PR!$BM1111,IF(F1113="VIXA",PR!$BN1111,IF(F1113="WWCV",PR!$BO1111,IF(F1113="ZOLON",PR!$BP1111,"-"))))))))))))))))))))))))))))))))))))))))))))))))))))))))))))))))</f>
        <v>7910</v>
      </c>
      <c r="F1113" s="102" t="str">
        <f>EV!L1407</f>
        <v>ROTECH</v>
      </c>
      <c r="G1113" s="108">
        <f>IF(H1113="ALPHA",PR!$E1111,IF(H1113="ASSENE",PR!$F1111,IF(H1113="BIOFEM",PR!$G1111,IF(H1113="BIOMED",PR!$H1111,IF(H1113="CHI",PR!$I1111,IF(H1113="CLARION",PR!$J1111,IF(H1113="CODIX",PR!$K1111,IF(H1113="COSMADE",PR!$L1111,IF(H1113="SANCON",PR!$M1111,IF(H1113="DEVON",PR!$N1111,IF(H1113="DORTEMAG",PR!$O1111,IF(H1113="DGF",PR!$P1111,IF(H1113="DYNAMIC",PR!$Q1111,IF(H1113="EMZOR",PR!$R1111,IF(H1113="EUMATT",PR!$S1111,IF(H1113="FIDSON",PR!$T1111,IF(H1113="FCGLOBAL",PR!$U1111,IF(H1113="GENEITH",PR!$V1111,IF(H1113="GINOS",PR!$W1111,IF(H1113="GSK",PR!$X1111,IF(H1113="GLOBORG",PR!$Y1111,IF(H1113="GOODNEWS",PR!$Z1111,IF(H1113="GREENLIFE",PR!$AA1111,IF(H1113="HLINE",PR!$AB1111,IF(H1113="ROTECH",PR!$AC1111,IF(H1113="ISN",PR!$AD1111,IF(H1113="JAWA",PR!$AE1111,IF(H1113="LAYO",PR!$AF1111,IF(H1113="LEADWAY",PR!$AG1111,IF(H1113="LHV",PR!$AH1111,IF(H1113="MANOLA",PR!$AI1111,IF(H1113="MARCSON",PR!$AJ1111,IF(H1113="M&amp;B",PR!$AK1111,IF(H1113="MTRUST",PR!$AL1111,IF(H1113="MWORLD",PR!$AM1111,IF(H1113="MEGA",PR!$AN1111,IF(H1113="MICRONOVA",PR!$AO1111,IF(H1113="MFLASH",PR!$AP1111,IF(H1113="MORISON",PR!$AQ1111,IF(H1113="NEMEL",PR!$AR1111,IF(H1113="NHP",PR!$AS1111,IF(H1113="NHC",PR!$AT1111,IF(H1113="OLEAF",PR!$AU1111,IF(H1113="OCULUS",PR!$AV1111,IF(H1113="PACIFIC",PR!$AW1111,IF(H1113="PHAMATEX",PR!$AX1111,IF(H1113="PETHICS",PR!$AY1111,IF(H1113="PHILIPS",PR!$AZ1111,IF(H1113="RANBAXY",PR!$BA1111,IF(H1113="REALS",PR!$BB1111,IF(H1113="ROYAL",PR!$BC1111,IF(H1113="SAM",PR!$BD1111,IF(H1113="SEAGREEN",PR!$BE1111,IF(H1113="SKG",PR!$BF1111,IF(H1113="TAH",PR!$BG1111,IF(H1113="TAYLEK",PR!$BH1111,IF(H1113="TEMITA",PR!$BI1111,IF(H1113="THL",PR!$BJ1111,IF(H1113="UBASTIC",PR!$BK1111,IF(H1113="UNION",PR!$BL1111,IF(H1113="UNIQUE",PR!$BM1111,IF(H1113="VIXA",PR!$BN1111,IF(H1113="WWCV",PR!$BO1111,IF(H1113="ZOLON",PR!$BP1111,"-"))))))))))))))))))))))))))))))))))))))))))))))))))))))))))))))))</f>
        <v>9000</v>
      </c>
      <c r="H1113" s="102" t="str">
        <f>EV!M1407</f>
        <v>UBASTIC</v>
      </c>
      <c r="I1113" s="108">
        <f>IF(J1113="ALPHA",PR!$E1111,IF(J1113="ASSENE",PR!$F1111,IF(J1113="BIOFEM",PR!$G1111,IF(J1113="BIOMED",PR!$H1111,IF(J1113="CHI",PR!$I1111,IF(J1113="CLARION",PR!$J1111,IF(J1113="CODIX",PR!$K1111,IF(J1113="COSMADE",PR!$L1111,IF(J1113="SANCON",PR!$M1111,IF(J1113="DEVON",PR!$N1111,IF(J1113="DORTEMAG",PR!$O1111,IF(J1113="DGF",PR!$P1111,IF(J1113="DYNAMIC",PR!$Q1111,IF(J1113="EMZOR",PR!$R1111,IF(J1113="EUMATT",PR!$S1111,IF(J1113="FIDSON",PR!$T1111,IF(J1113="FCGLOBAL",PR!$U1111,IF(J1113="GENEITH",PR!$V1111,IF(J1113="GINOS",PR!$W1111,IF(J1113="GSK",PR!$X1111,IF(J1113="GLOBORG",PR!$Y1111,IF(J1113="GOODNEWS",PR!$Z1111,IF(J1113="GREENLIFE",PR!$AA1111,IF(J1113="HLINE",PR!$AB1111,IF(J1113="ROTECH",PR!$AC1111,IF(J1113="ISN",PR!$AD1111,IF(J1113="JAWA",PR!$AE1111,IF(J1113="LAYO",PR!$AF1111,IF(J1113="LEADWAY",PR!$AG1111,IF(J1113="LHV",PR!$AH1111,IF(J1113="MANOLA",PR!$AI1111,IF(J1113="MARCSON",PR!$AJ1111,IF(J1113="M&amp;B",PR!$AK1111,IF(J1113="MTRUST",PR!$AL1111,IF(J1113="MWORLD",PR!$AM1111,IF(J1113="MEGA",PR!$AN1111,IF(J1113="MICRONOVA",PR!$AO1111,IF(J1113="MFLASH",PR!$AP1111,IF(J1113="MORISON",PR!$AQ1111,IF(J1113="NEMEL",PR!$AR1111,IF(J1113="NHP",PR!$AS1111,IF(J1113="NHC",PR!$AT1111,IF(J1113="OLEAF",PR!$AU1111,IF(J1113="OCULUS",PR!$AV1111,IF(J1113="PACIFIC",PR!$AW1111,IF(J1113="PHAMATEX",PR!$AX1111,IF(J1113="PETHICS",PR!$AY1111,IF(J1113="PHILIPS",PR!$AZ1111,IF(J1113="RANBAXY",PR!$BA1111,IF(J1113="REALS",PR!$BB1111,IF(J1113="ROYAL",PR!$BC1111,IF(J1113="SAM",PR!$BD1111,IF(J1113="SEAGREEN",PR!$BE1111,IF(J1113="SKG",PR!$BF1111,IF(J1113="TAH",PR!$BG1111,IF(J1113="TAYLEK",PR!$BH1111,IF(J1113="TEMITA",PR!$BI1111,IF(J1113="THL",PR!$BJ1111,IF(J1113="UBASTIC",PR!$BK1111,IF(J1113="UNION",PR!$BL1111,IF(J1113="UNIQUE",PR!$BM1111,IF(J1113="VIXA",PR!$BN1111,IF(J1113="WWCV",PR!$BO1111,IF(J1113="ZOLON",PR!$BP1111,"-"))))))))))))))))))))))))))))))))))))))))))))))))))))))))))))))))</f>
        <v>9230</v>
      </c>
      <c r="J1113" s="102" t="str">
        <f>EV!N1407</f>
        <v>LAYO</v>
      </c>
      <c r="K1113" s="433" t="s">
        <v>817</v>
      </c>
      <c r="L1113" s="183">
        <f>IF(K1113&gt;0,IF(K1113="ALPHA",PR!$E1111,IF(K1113="ASSENE",PR!$F1111,IF(K1113="BIOFEM",PR!$G1111,IF(K1113="BIOMED",PR!$H1111,IF(K1113="CHI",PR!$I1111,IF(K1113="CLARION",PR!$J1111,IF(K1113="CODIX",PR!$K1111,IF(K1113="COSMADE",PR!$L1111,IF(K1113="SANCON",PR!$M1111,IF(K1113="DEVON",PR!$N1111,IF(K1113="DORTEMAG",PR!$O1111,IF(K1113="DGF",PR!$P1111,IF(K1113="DYNAMIC",PR!$Q1111,IF(K1113="EMZOR",PR!$R1111,IF(K1113="EUMATT",PR!$S1111,IF(K1113="FIDSON",PR!$T1111,IF(K1113="FCGLOBAL",PR!$U1111,IF(K1113="GENEITH",PR!$V1111,IF(K1113="GINOS",PR!$W1111,IF(K1113="GSK",PR!$X1111,IF(K1113="GLOBORG",PR!$Y1111,IF(K1113="GOODNEWS",PR!$Z1111,IF(K1113="GREENLIFE",PR!$AA1111,IF(K1113="HLINE",PR!$AB1111,IF(K1113="ROTECH",PR!$AC1111,IF(K1113="ISN",PR!$AD1111,IF(K1113="JAWA",PR!$AE1111,IF(K1113="LAYO",PR!$AF1111,IF(K1113="LEADWAY",PR!$AG1111,IF(K1113="LHV",PR!$AH1111,IF(K1113="MANOLA",PR!$AI1111,IF(K1113="MARCSON",PR!$AJ1111,IF(K1113="M&amp;B",PR!$AK1111,IF(K1113="MTRUST",PR!$AL1111,IF(K1113="MWORLD",PR!$AM1111,IF(K1113="MEGA",PR!$AN1111,IF(K1113="MICRONOVA",PR!$AO1111,IF(K1113="MFLASH",PR!$AP1111,IF(K1113="MORISON",PR!$AQ1111,IF(K1113="NEMEL",PR!$AR1111,IF(K1113="NHP",PR!$AS1111,IF(K1113="NHC",PR!$AT1111,IF(K1113="OLEAF",PR!$AU1111,IF(K1113="OCULUS",PR!$AV1111,IF(K1113="PACIFIC",PR!$AW1111,IF(K1113="PHAMATEX",PR!$AX1111,IF(K1113="PETHICS",PR!$AY1111,IF(K1113="PHILIPS",PR!$AZ1111,IF(K1113="RANBAXY",PR!$BA1111,IF(K1113="REALS",PR!$BB1111,IF(K1113="ROYAL",PR!$BC1111,IF(K1113="SAM",PR!$BD1111,IF(K1113="SEAGREEN",PR!$BE1111,IF(K1113="SKG",PR!$BF1111,IF(K1113="TAH",PR!$BG1111,IF(K1113="TAYLEK",PR!$BH1111,IF(K1113="TEMITA",PR!$BI1111,IF(K1113="THL",PR!$BJ1111,IF(K1113="UBASTIC",PR!$BK1111,IF(K1113="UNION",PR!$BL1111,IF(K1113="UNIQUE",PR!$BM1111,IF(K1113="VIXA",PR!$BN1111,IF(K1113="WWCV",PR!$BO1111,IF(K1113="ZOLON",PR!$BP1111,"-")))))))))))))))))))))))))))))))))))))))))))))))))))))))))))))))))</f>
        <v>18500</v>
      </c>
    </row>
    <row r="1114" spans="1:12" ht="18.75" x14ac:dyDescent="0.3">
      <c r="A1114" s="430">
        <f>PR!A1112</f>
        <v>999</v>
      </c>
      <c r="B1114" s="15" t="str">
        <f>PR!B1112</f>
        <v>URIC ACID KIT (RANDOX)</v>
      </c>
      <c r="C1114" s="113" t="str">
        <f>PR!D1112</f>
        <v>6*15ml</v>
      </c>
      <c r="D1114" s="113">
        <f>PR!C1112</f>
        <v>20</v>
      </c>
      <c r="E1114" s="108">
        <f>IF(F1114="ALPHA",PR!$E1112,IF(F1114="ASSENE",PR!$F1112,IF(F1114="BIOFEM",PR!$G1112,IF(F1114="BIOMED",PR!$H1112,IF(F1114="CHI",PR!$I1112,IF(F1114="CLARION",PR!$J1112,IF(F1114="CODIX",PR!$K1112,IF(F1114="COSMADE",PR!$L1112,IF(F1114="SANCON",PR!$M1112,IF(F1114="DEVON",PR!$N1112,IF(F1114="DORTEMAG",PR!$O1112,IF(F1114="DGF",PR!$P1112,IF(F1114="DYNAMIC",PR!$Q1112,IF(F1114="EMZOR",PR!$R1112,IF(F1114="EUMATT",PR!$S1112,IF(F1114="FIDSON",PR!$T1112,IF(F1114="FCGLOBAL",PR!$U1112,IF(F1114="GENEITH",PR!$V1112,IF(F1114="GINOS",PR!$W1112,IF(F1114="GSK",PR!$X1112,IF(F1114="GLOBORG",PR!$Y1112,IF(F1114="GOODNEWS",PR!$Z1112,IF(F1114="GREENLIFE",PR!$AA1112,IF(F1114="HLINE",PR!$AB1112,IF(F1114="ROTECH",PR!$AC1112,IF(F1114="ISN",PR!$AD1112,IF(F1114="JAWA",PR!$AE1112,IF(F1114="LAYO",PR!$AF1112,IF(F1114="LEADWAY",PR!$AG1112,IF(F1114="LHV",PR!$AH1112,IF(F1114="MANOLA",PR!$AI1112,IF(F1114="MARCSON",PR!$AJ1112,IF(F1114="M&amp;B",PR!$AK1112,IF(F1114="MTRUST",PR!$AL1112,IF(F1114="MWORLD",PR!$AM1112,IF(F1114="MEGA",PR!$AN1112,IF(F1114="MICRONOVA",PR!$AO1112,IF(F1114="MFLASH",PR!$AP1112,IF(F1114="MORISON",PR!$AQ1112,IF(F1114="NEMEL",PR!$AR1112,IF(F1114="NHP",PR!$AS1112,IF(F1114="NHC",PR!$AT1112,IF(F1114="OLEAF",PR!$AU1112,IF(F1114="OCULUS",PR!$AV1112,IF(F1114="PACIFIC",PR!$AW1112,IF(F1114="PHAMATEX",PR!$AX1112,IF(F1114="PETHICS",PR!$AY1112,IF(F1114="PHILIPS",PR!$AZ1112,IF(F1114="RANBAXY",PR!$BA1112,IF(F1114="REALS",PR!$BB1112,IF(F1114="ROYAL",PR!$BC1112,IF(F1114="SAM",PR!$BD1112,IF(F1114="SEAGREEN",PR!$BE1112,IF(F1114="SKG",PR!$BF1112,IF(F1114="TAH",PR!$BG1112,IF(F1114="TAYLEK",PR!$BH1112,IF(F1114="TEMITA",PR!$BI1112,IF(F1114="THL",PR!$BJ1112,IF(F1114="UBASTIC",PR!$BK1112,IF(F1114="UNION",PR!$BL1112,IF(F1114="UNIQUE",PR!$BM1112,IF(F1114="VIXA",PR!$BN1112,IF(F1114="WWCV",PR!$BO1112,IF(F1114="ZOLON",PR!$BP1112,"-"))))))))))))))))))))))))))))))))))))))))))))))))))))))))))))))))</f>
        <v>11300</v>
      </c>
      <c r="F1114" s="102" t="str">
        <f>EV!L1408</f>
        <v>ROTECH</v>
      </c>
      <c r="G1114" s="108">
        <f>IF(H1114="ALPHA",PR!$E1112,IF(H1114="ASSENE",PR!$F1112,IF(H1114="BIOFEM",PR!$G1112,IF(H1114="BIOMED",PR!$H1112,IF(H1114="CHI",PR!$I1112,IF(H1114="CLARION",PR!$J1112,IF(H1114="CODIX",PR!$K1112,IF(H1114="COSMADE",PR!$L1112,IF(H1114="SANCON",PR!$M1112,IF(H1114="DEVON",PR!$N1112,IF(H1114="DORTEMAG",PR!$O1112,IF(H1114="DGF",PR!$P1112,IF(H1114="DYNAMIC",PR!$Q1112,IF(H1114="EMZOR",PR!$R1112,IF(H1114="EUMATT",PR!$S1112,IF(H1114="FIDSON",PR!$T1112,IF(H1114="FCGLOBAL",PR!$U1112,IF(H1114="GENEITH",PR!$V1112,IF(H1114="GINOS",PR!$W1112,IF(H1114="GSK",PR!$X1112,IF(H1114="GLOBORG",PR!$Y1112,IF(H1114="GOODNEWS",PR!$Z1112,IF(H1114="GREENLIFE",PR!$AA1112,IF(H1114="HLINE",PR!$AB1112,IF(H1114="ROTECH",PR!$AC1112,IF(H1114="ISN",PR!$AD1112,IF(H1114="JAWA",PR!$AE1112,IF(H1114="LAYO",PR!$AF1112,IF(H1114="LEADWAY",PR!$AG1112,IF(H1114="LHV",PR!$AH1112,IF(H1114="MANOLA",PR!$AI1112,IF(H1114="MARCSON",PR!$AJ1112,IF(H1114="M&amp;B",PR!$AK1112,IF(H1114="MTRUST",PR!$AL1112,IF(H1114="MWORLD",PR!$AM1112,IF(H1114="MEGA",PR!$AN1112,IF(H1114="MICRONOVA",PR!$AO1112,IF(H1114="MFLASH",PR!$AP1112,IF(H1114="MORISON",PR!$AQ1112,IF(H1114="NEMEL",PR!$AR1112,IF(H1114="NHP",PR!$AS1112,IF(H1114="NHC",PR!$AT1112,IF(H1114="OLEAF",PR!$AU1112,IF(H1114="OCULUS",PR!$AV1112,IF(H1114="PACIFIC",PR!$AW1112,IF(H1114="PHAMATEX",PR!$AX1112,IF(H1114="PETHICS",PR!$AY1112,IF(H1114="PHILIPS",PR!$AZ1112,IF(H1114="RANBAXY",PR!$BA1112,IF(H1114="REALS",PR!$BB1112,IF(H1114="ROYAL",PR!$BC1112,IF(H1114="SAM",PR!$BD1112,IF(H1114="SEAGREEN",PR!$BE1112,IF(H1114="SKG",PR!$BF1112,IF(H1114="TAH",PR!$BG1112,IF(H1114="TAYLEK",PR!$BH1112,IF(H1114="TEMITA",PR!$BI1112,IF(H1114="THL",PR!$BJ1112,IF(H1114="UBASTIC",PR!$BK1112,IF(H1114="UNION",PR!$BL1112,IF(H1114="UNIQUE",PR!$BM1112,IF(H1114="VIXA",PR!$BN1112,IF(H1114="WWCV",PR!$BO1112,IF(H1114="ZOLON",PR!$BP1112,"-"))))))))))))))))))))))))))))))))))))))))))))))))))))))))))))))))</f>
        <v>12000</v>
      </c>
      <c r="H1114" s="102" t="str">
        <f>EV!M1408</f>
        <v>UBASTIC</v>
      </c>
      <c r="I1114" s="108">
        <f>IF(J1114="ALPHA",PR!$E1112,IF(J1114="ASSENE",PR!$F1112,IF(J1114="BIOFEM",PR!$G1112,IF(J1114="BIOMED",PR!$H1112,IF(J1114="CHI",PR!$I1112,IF(J1114="CLARION",PR!$J1112,IF(J1114="CODIX",PR!$K1112,IF(J1114="COSMADE",PR!$L1112,IF(J1114="SANCON",PR!$M1112,IF(J1114="DEVON",PR!$N1112,IF(J1114="DORTEMAG",PR!$O1112,IF(J1114="DGF",PR!$P1112,IF(J1114="DYNAMIC",PR!$Q1112,IF(J1114="EMZOR",PR!$R1112,IF(J1114="EUMATT",PR!$S1112,IF(J1114="FIDSON",PR!$T1112,IF(J1114="FCGLOBAL",PR!$U1112,IF(J1114="GENEITH",PR!$V1112,IF(J1114="GINOS",PR!$W1112,IF(J1114="GSK",PR!$X1112,IF(J1114="GLOBORG",PR!$Y1112,IF(J1114="GOODNEWS",PR!$Z1112,IF(J1114="GREENLIFE",PR!$AA1112,IF(J1114="HLINE",PR!$AB1112,IF(J1114="ROTECH",PR!$AC1112,IF(J1114="ISN",PR!$AD1112,IF(J1114="JAWA",PR!$AE1112,IF(J1114="LAYO",PR!$AF1112,IF(J1114="LEADWAY",PR!$AG1112,IF(J1114="LHV",PR!$AH1112,IF(J1114="MANOLA",PR!$AI1112,IF(J1114="MARCSON",PR!$AJ1112,IF(J1114="M&amp;B",PR!$AK1112,IF(J1114="MTRUST",PR!$AL1112,IF(J1114="MWORLD",PR!$AM1112,IF(J1114="MEGA",PR!$AN1112,IF(J1114="MICRONOVA",PR!$AO1112,IF(J1114="MFLASH",PR!$AP1112,IF(J1114="MORISON",PR!$AQ1112,IF(J1114="NEMEL",PR!$AR1112,IF(J1114="NHP",PR!$AS1112,IF(J1114="NHC",PR!$AT1112,IF(J1114="OLEAF",PR!$AU1112,IF(J1114="OCULUS",PR!$AV1112,IF(J1114="PACIFIC",PR!$AW1112,IF(J1114="PHAMATEX",PR!$AX1112,IF(J1114="PETHICS",PR!$AY1112,IF(J1114="PHILIPS",PR!$AZ1112,IF(J1114="RANBAXY",PR!$BA1112,IF(J1114="REALS",PR!$BB1112,IF(J1114="ROYAL",PR!$BC1112,IF(J1114="SAM",PR!$BD1112,IF(J1114="SEAGREEN",PR!$BE1112,IF(J1114="SKG",PR!$BF1112,IF(J1114="TAH",PR!$BG1112,IF(J1114="TAYLEK",PR!$BH1112,IF(J1114="TEMITA",PR!$BI1112,IF(J1114="THL",PR!$BJ1112,IF(J1114="UBASTIC",PR!$BK1112,IF(J1114="UNION",PR!$BL1112,IF(J1114="UNIQUE",PR!$BM1112,IF(J1114="VIXA",PR!$BN1112,IF(J1114="WWCV",PR!$BO1112,IF(J1114="ZOLON",PR!$BP1112,"-"))))))))))))))))))))))))))))))))))))))))))))))))))))))))))))))))</f>
        <v>12000</v>
      </c>
      <c r="J1114" s="102" t="str">
        <f>EV!N1408</f>
        <v>SANCON</v>
      </c>
      <c r="K1114" s="433" t="s">
        <v>817</v>
      </c>
      <c r="L1114" s="183">
        <f>IF(K1114&gt;0,IF(K1114="ALPHA",PR!$E1112,IF(K1114="ASSENE",PR!$F1112,IF(K1114="BIOFEM",PR!$G1112,IF(K1114="BIOMED",PR!$H1112,IF(K1114="CHI",PR!$I1112,IF(K1114="CLARION",PR!$J1112,IF(K1114="CODIX",PR!$K1112,IF(K1114="COSMADE",PR!$L1112,IF(K1114="SANCON",PR!$M1112,IF(K1114="DEVON",PR!$N1112,IF(K1114="DORTEMAG",PR!$O1112,IF(K1114="DGF",PR!$P1112,IF(K1114="DYNAMIC",PR!$Q1112,IF(K1114="EMZOR",PR!$R1112,IF(K1114="EUMATT",PR!$S1112,IF(K1114="FIDSON",PR!$T1112,IF(K1114="FCGLOBAL",PR!$U1112,IF(K1114="GENEITH",PR!$V1112,IF(K1114="GINOS",PR!$W1112,IF(K1114="GSK",PR!$X1112,IF(K1114="GLOBORG",PR!$Y1112,IF(K1114="GOODNEWS",PR!$Z1112,IF(K1114="GREENLIFE",PR!$AA1112,IF(K1114="HLINE",PR!$AB1112,IF(K1114="ROTECH",PR!$AC1112,IF(K1114="ISN",PR!$AD1112,IF(K1114="JAWA",PR!$AE1112,IF(K1114="LAYO",PR!$AF1112,IF(K1114="LEADWAY",PR!$AG1112,IF(K1114="LHV",PR!$AH1112,IF(K1114="MANOLA",PR!$AI1112,IF(K1114="MARCSON",PR!$AJ1112,IF(K1114="M&amp;B",PR!$AK1112,IF(K1114="MTRUST",PR!$AL1112,IF(K1114="MWORLD",PR!$AM1112,IF(K1114="MEGA",PR!$AN1112,IF(K1114="MICRONOVA",PR!$AO1112,IF(K1114="MFLASH",PR!$AP1112,IF(K1114="MORISON",PR!$AQ1112,IF(K1114="NEMEL",PR!$AR1112,IF(K1114="NHP",PR!$AS1112,IF(K1114="NHC",PR!$AT1112,IF(K1114="OLEAF",PR!$AU1112,IF(K1114="OCULUS",PR!$AV1112,IF(K1114="PACIFIC",PR!$AW1112,IF(K1114="PHAMATEX",PR!$AX1112,IF(K1114="PETHICS",PR!$AY1112,IF(K1114="PHILIPS",PR!$AZ1112,IF(K1114="RANBAXY",PR!$BA1112,IF(K1114="REALS",PR!$BB1112,IF(K1114="ROYAL",PR!$BC1112,IF(K1114="SAM",PR!$BD1112,IF(K1114="SEAGREEN",PR!$BE1112,IF(K1114="SKG",PR!$BF1112,IF(K1114="TAH",PR!$BG1112,IF(K1114="TAYLEK",PR!$BH1112,IF(K1114="TEMITA",PR!$BI1112,IF(K1114="THL",PR!$BJ1112,IF(K1114="UBASTIC",PR!$BK1112,IF(K1114="UNION",PR!$BL1112,IF(K1114="UNIQUE",PR!$BM1112,IF(K1114="VIXA",PR!$BN1112,IF(K1114="WWCV",PR!$BO1112,IF(K1114="ZOLON",PR!$BP1112,"-")))))))))))))))))))))))))))))))))))))))))))))))))))))))))))))))))</f>
        <v>12000</v>
      </c>
    </row>
    <row r="1115" spans="1:12" ht="18.75" x14ac:dyDescent="0.3">
      <c r="A1115" s="430">
        <f>PR!A1113</f>
        <v>1000</v>
      </c>
      <c r="B1115" s="15" t="str">
        <f>PR!B1113</f>
        <v>MULTISERA CONTROL LEVEL 2 (RANDOX)</v>
      </c>
      <c r="C1115" s="113" t="str">
        <f>PR!D1113</f>
        <v>20*5ml</v>
      </c>
      <c r="D1115" s="113">
        <f>PR!C1113</f>
        <v>12</v>
      </c>
      <c r="E1115" s="108">
        <f>IF(F1115="ALPHA",PR!$E1113,IF(F1115="ASSENE",PR!$F1113,IF(F1115="BIOFEM",PR!$G1113,IF(F1115="BIOMED",PR!$H1113,IF(F1115="CHI",PR!$I1113,IF(F1115="CLARION",PR!$J1113,IF(F1115="CODIX",PR!$K1113,IF(F1115="COSMADE",PR!$L1113,IF(F1115="SANCON",PR!$M1113,IF(F1115="DEVON",PR!$N1113,IF(F1115="DORTEMAG",PR!$O1113,IF(F1115="DGF",PR!$P1113,IF(F1115="DYNAMIC",PR!$Q1113,IF(F1115="EMZOR",PR!$R1113,IF(F1115="EUMATT",PR!$S1113,IF(F1115="FIDSON",PR!$T1113,IF(F1115="FCGLOBAL",PR!$U1113,IF(F1115="GENEITH",PR!$V1113,IF(F1115="GINOS",PR!$W1113,IF(F1115="GSK",PR!$X1113,IF(F1115="GLOBORG",PR!$Y1113,IF(F1115="GOODNEWS",PR!$Z1113,IF(F1115="GREENLIFE",PR!$AA1113,IF(F1115="HLINE",PR!$AB1113,IF(F1115="ROTECH",PR!$AC1113,IF(F1115="ISN",PR!$AD1113,IF(F1115="JAWA",PR!$AE1113,IF(F1115="LAYO",PR!$AF1113,IF(F1115="LEADWAY",PR!$AG1113,IF(F1115="LHV",PR!$AH1113,IF(F1115="MANOLA",PR!$AI1113,IF(F1115="MARCSON",PR!$AJ1113,IF(F1115="M&amp;B",PR!$AK1113,IF(F1115="MTRUST",PR!$AL1113,IF(F1115="MWORLD",PR!$AM1113,IF(F1115="MEGA",PR!$AN1113,IF(F1115="MICRONOVA",PR!$AO1113,IF(F1115="MFLASH",PR!$AP1113,IF(F1115="MORISON",PR!$AQ1113,IF(F1115="NEMEL",PR!$AR1113,IF(F1115="NHP",PR!$AS1113,IF(F1115="NHC",PR!$AT1113,IF(F1115="OLEAF",PR!$AU1113,IF(F1115="OCULUS",PR!$AV1113,IF(F1115="PACIFIC",PR!$AW1113,IF(F1115="PHAMATEX",PR!$AX1113,IF(F1115="PETHICS",PR!$AY1113,IF(F1115="PHILIPS",PR!$AZ1113,IF(F1115="RANBAXY",PR!$BA1113,IF(F1115="REALS",PR!$BB1113,IF(F1115="ROYAL",PR!$BC1113,IF(F1115="SAM",PR!$BD1113,IF(F1115="SEAGREEN",PR!$BE1113,IF(F1115="SKG",PR!$BF1113,IF(F1115="TAH",PR!$BG1113,IF(F1115="TAYLEK",PR!$BH1113,IF(F1115="TEMITA",PR!$BI1113,IF(F1115="THL",PR!$BJ1113,IF(F1115="UBASTIC",PR!$BK1113,IF(F1115="UNION",PR!$BL1113,IF(F1115="UNIQUE",PR!$BM1113,IF(F1115="VIXA",PR!$BN1113,IF(F1115="WWCV",PR!$BO1113,IF(F1115="ZOLON",PR!$BP1113,"-"))))))))))))))))))))))))))))))))))))))))))))))))))))))))))))))))</f>
        <v>26650</v>
      </c>
      <c r="F1115" s="102" t="str">
        <f>EV!L1409</f>
        <v>LAYO</v>
      </c>
      <c r="G1115" s="108">
        <f>IF(H1115="ALPHA",PR!$E1113,IF(H1115="ASSENE",PR!$F1113,IF(H1115="BIOFEM",PR!$G1113,IF(H1115="BIOMED",PR!$H1113,IF(H1115="CHI",PR!$I1113,IF(H1115="CLARION",PR!$J1113,IF(H1115="CODIX",PR!$K1113,IF(H1115="COSMADE",PR!$L1113,IF(H1115="SANCON",PR!$M1113,IF(H1115="DEVON",PR!$N1113,IF(H1115="DORTEMAG",PR!$O1113,IF(H1115="DGF",PR!$P1113,IF(H1115="DYNAMIC",PR!$Q1113,IF(H1115="EMZOR",PR!$R1113,IF(H1115="EUMATT",PR!$S1113,IF(H1115="FIDSON",PR!$T1113,IF(H1115="FCGLOBAL",PR!$U1113,IF(H1115="GENEITH",PR!$V1113,IF(H1115="GINOS",PR!$W1113,IF(H1115="GSK",PR!$X1113,IF(H1115="GLOBORG",PR!$Y1113,IF(H1115="GOODNEWS",PR!$Z1113,IF(H1115="GREENLIFE",PR!$AA1113,IF(H1115="HLINE",PR!$AB1113,IF(H1115="ROTECH",PR!$AC1113,IF(H1115="ISN",PR!$AD1113,IF(H1115="JAWA",PR!$AE1113,IF(H1115="LAYO",PR!$AF1113,IF(H1115="LEADWAY",PR!$AG1113,IF(H1115="LHV",PR!$AH1113,IF(H1115="MANOLA",PR!$AI1113,IF(H1115="MARCSON",PR!$AJ1113,IF(H1115="M&amp;B",PR!$AK1113,IF(H1115="MTRUST",PR!$AL1113,IF(H1115="MWORLD",PR!$AM1113,IF(H1115="MEGA",PR!$AN1113,IF(H1115="MICRONOVA",PR!$AO1113,IF(H1115="MFLASH",PR!$AP1113,IF(H1115="MORISON",PR!$AQ1113,IF(H1115="NEMEL",PR!$AR1113,IF(H1115="NHP",PR!$AS1113,IF(H1115="NHC",PR!$AT1113,IF(H1115="OLEAF",PR!$AU1113,IF(H1115="OCULUS",PR!$AV1113,IF(H1115="PACIFIC",PR!$AW1113,IF(H1115="PHAMATEX",PR!$AX1113,IF(H1115="PETHICS",PR!$AY1113,IF(H1115="PHILIPS",PR!$AZ1113,IF(H1115="RANBAXY",PR!$BA1113,IF(H1115="REALS",PR!$BB1113,IF(H1115="ROYAL",PR!$BC1113,IF(H1115="SAM",PR!$BD1113,IF(H1115="SEAGREEN",PR!$BE1113,IF(H1115="SKG",PR!$BF1113,IF(H1115="TAH",PR!$BG1113,IF(H1115="TAYLEK",PR!$BH1113,IF(H1115="TEMITA",PR!$BI1113,IF(H1115="THL",PR!$BJ1113,IF(H1115="UBASTIC",PR!$BK1113,IF(H1115="UNION",PR!$BL1113,IF(H1115="UNIQUE",PR!$BM1113,IF(H1115="VIXA",PR!$BN1113,IF(H1115="WWCV",PR!$BO1113,IF(H1115="ZOLON",PR!$BP1113,"-"))))))))))))))))))))))))))))))))))))))))))))))))))))))))))))))))</f>
        <v>30000</v>
      </c>
      <c r="H1115" s="102" t="str">
        <f>EV!M1409</f>
        <v>UBASTIC</v>
      </c>
      <c r="I1115" s="108">
        <f>IF(J1115="ALPHA",PR!$E1113,IF(J1115="ASSENE",PR!$F1113,IF(J1115="BIOFEM",PR!$G1113,IF(J1115="BIOMED",PR!$H1113,IF(J1115="CHI",PR!$I1113,IF(J1115="CLARION",PR!$J1113,IF(J1115="CODIX",PR!$K1113,IF(J1115="COSMADE",PR!$L1113,IF(J1115="SANCON",PR!$M1113,IF(J1115="DEVON",PR!$N1113,IF(J1115="DORTEMAG",PR!$O1113,IF(J1115="DGF",PR!$P1113,IF(J1115="DYNAMIC",PR!$Q1113,IF(J1115="EMZOR",PR!$R1113,IF(J1115="EUMATT",PR!$S1113,IF(J1115="FIDSON",PR!$T1113,IF(J1115="FCGLOBAL",PR!$U1113,IF(J1115="GENEITH",PR!$V1113,IF(J1115="GINOS",PR!$W1113,IF(J1115="GSK",PR!$X1113,IF(J1115="GLOBORG",PR!$Y1113,IF(J1115="GOODNEWS",PR!$Z1113,IF(J1115="GREENLIFE",PR!$AA1113,IF(J1115="HLINE",PR!$AB1113,IF(J1115="ROTECH",PR!$AC1113,IF(J1115="ISN",PR!$AD1113,IF(J1115="JAWA",PR!$AE1113,IF(J1115="LAYO",PR!$AF1113,IF(J1115="LEADWAY",PR!$AG1113,IF(J1115="LHV",PR!$AH1113,IF(J1115="MANOLA",PR!$AI1113,IF(J1115="MARCSON",PR!$AJ1113,IF(J1115="M&amp;B",PR!$AK1113,IF(J1115="MTRUST",PR!$AL1113,IF(J1115="MWORLD",PR!$AM1113,IF(J1115="MEGA",PR!$AN1113,IF(J1115="MICRONOVA",PR!$AO1113,IF(J1115="MFLASH",PR!$AP1113,IF(J1115="MORISON",PR!$AQ1113,IF(J1115="NEMEL",PR!$AR1113,IF(J1115="NHP",PR!$AS1113,IF(J1115="NHC",PR!$AT1113,IF(J1115="OLEAF",PR!$AU1113,IF(J1115="OCULUS",PR!$AV1113,IF(J1115="PACIFIC",PR!$AW1113,IF(J1115="PHAMATEX",PR!$AX1113,IF(J1115="PETHICS",PR!$AY1113,IF(J1115="PHILIPS",PR!$AZ1113,IF(J1115="RANBAXY",PR!$BA1113,IF(J1115="REALS",PR!$BB1113,IF(J1115="ROYAL",PR!$BC1113,IF(J1115="SAM",PR!$BD1113,IF(J1115="SEAGREEN",PR!$BE1113,IF(J1115="SKG",PR!$BF1113,IF(J1115="TAH",PR!$BG1113,IF(J1115="TAYLEK",PR!$BH1113,IF(J1115="TEMITA",PR!$BI1113,IF(J1115="THL",PR!$BJ1113,IF(J1115="UBASTIC",PR!$BK1113,IF(J1115="UNION",PR!$BL1113,IF(J1115="UNIQUE",PR!$BM1113,IF(J1115="VIXA",PR!$BN1113,IF(J1115="WWCV",PR!$BO1113,IF(J1115="ZOLON",PR!$BP1113,"-"))))))))))))))))))))))))))))))))))))))))))))))))))))))))))))))))</f>
        <v>30000</v>
      </c>
      <c r="J1115" s="102" t="str">
        <f>EV!N1409</f>
        <v>SANCON</v>
      </c>
      <c r="K1115" s="433" t="s">
        <v>1461</v>
      </c>
      <c r="L1115" s="183">
        <f>IF(K1115&gt;0,IF(K1115="ALPHA",PR!$E1113,IF(K1115="ASSENE",PR!$F1113,IF(K1115="BIOFEM",PR!$G1113,IF(K1115="BIOMED",PR!$H1113,IF(K1115="CHI",PR!$I1113,IF(K1115="CLARION",PR!$J1113,IF(K1115="CODIX",PR!$K1113,IF(K1115="COSMADE",PR!$L1113,IF(K1115="SANCON",PR!$M1113,IF(K1115="DEVON",PR!$N1113,IF(K1115="DORTEMAG",PR!$O1113,IF(K1115="DGF",PR!$P1113,IF(K1115="DYNAMIC",PR!$Q1113,IF(K1115="EMZOR",PR!$R1113,IF(K1115="EUMATT",PR!$S1113,IF(K1115="FIDSON",PR!$T1113,IF(K1115="FCGLOBAL",PR!$U1113,IF(K1115="GENEITH",PR!$V1113,IF(K1115="GINOS",PR!$W1113,IF(K1115="GSK",PR!$X1113,IF(K1115="GLOBORG",PR!$Y1113,IF(K1115="GOODNEWS",PR!$Z1113,IF(K1115="GREENLIFE",PR!$AA1113,IF(K1115="HLINE",PR!$AB1113,IF(K1115="ROTECH",PR!$AC1113,IF(K1115="ISN",PR!$AD1113,IF(K1115="JAWA",PR!$AE1113,IF(K1115="LAYO",PR!$AF1113,IF(K1115="LEADWAY",PR!$AG1113,IF(K1115="LHV",PR!$AH1113,IF(K1115="MANOLA",PR!$AI1113,IF(K1115="MARCSON",PR!$AJ1113,IF(K1115="M&amp;B",PR!$AK1113,IF(K1115="MTRUST",PR!$AL1113,IF(K1115="MWORLD",PR!$AM1113,IF(K1115="MEGA",PR!$AN1113,IF(K1115="MICRONOVA",PR!$AO1113,IF(K1115="MFLASH",PR!$AP1113,IF(K1115="MORISON",PR!$AQ1113,IF(K1115="NEMEL",PR!$AR1113,IF(K1115="NHP",PR!$AS1113,IF(K1115="NHC",PR!$AT1113,IF(K1115="OLEAF",PR!$AU1113,IF(K1115="OCULUS",PR!$AV1113,IF(K1115="PACIFIC",PR!$AW1113,IF(K1115="PHAMATEX",PR!$AX1113,IF(K1115="PETHICS",PR!$AY1113,IF(K1115="PHILIPS",PR!$AZ1113,IF(K1115="RANBAXY",PR!$BA1113,IF(K1115="REALS",PR!$BB1113,IF(K1115="ROYAL",PR!$BC1113,IF(K1115="SAM",PR!$BD1113,IF(K1115="SEAGREEN",PR!$BE1113,IF(K1115="SKG",PR!$BF1113,IF(K1115="TAH",PR!$BG1113,IF(K1115="TAYLEK",PR!$BH1113,IF(K1115="TEMITA",PR!$BI1113,IF(K1115="THL",PR!$BJ1113,IF(K1115="UBASTIC",PR!$BK1113,IF(K1115="UNION",PR!$BL1113,IF(K1115="UNIQUE",PR!$BM1113,IF(K1115="VIXA",PR!$BN1113,IF(K1115="WWCV",PR!$BO1113,IF(K1115="ZOLON",PR!$BP1113,"-")))))))))))))))))))))))))))))))))))))))))))))))))))))))))))))))))</f>
        <v>26650</v>
      </c>
    </row>
    <row r="1116" spans="1:12" ht="18.75" x14ac:dyDescent="0.3">
      <c r="A1116" s="430">
        <f>PR!A1114</f>
        <v>1001</v>
      </c>
      <c r="B1116" s="15" t="str">
        <f>PR!B1114</f>
        <v>PROSTRATE SPECIFIC ANTIGEN (PSA) (SELEX ONCATRIDGE)</v>
      </c>
      <c r="C1116" s="113" t="str">
        <f>PR!D1114</f>
        <v>1*20</v>
      </c>
      <c r="D1116" s="113">
        <f>PR!C1114</f>
        <v>36</v>
      </c>
      <c r="E1116" s="108">
        <f>IF(F1116="ALPHA",PR!$E1114,IF(F1116="ASSENE",PR!$F1114,IF(F1116="BIOFEM",PR!$G1114,IF(F1116="BIOMED",PR!$H1114,IF(F1116="CHI",PR!$I1114,IF(F1116="CLARION",PR!$J1114,IF(F1116="CODIX",PR!$K1114,IF(F1116="COSMADE",PR!$L1114,IF(F1116="SANCON",PR!$M1114,IF(F1116="DEVON",PR!$N1114,IF(F1116="DORTEMAG",PR!$O1114,IF(F1116="DGF",PR!$P1114,IF(F1116="DYNAMIC",PR!$Q1114,IF(F1116="EMZOR",PR!$R1114,IF(F1116="EUMATT",PR!$S1114,IF(F1116="FIDSON",PR!$T1114,IF(F1116="FCGLOBAL",PR!$U1114,IF(F1116="GENEITH",PR!$V1114,IF(F1116="GINOS",PR!$W1114,IF(F1116="GSK",PR!$X1114,IF(F1116="GLOBORG",PR!$Y1114,IF(F1116="GOODNEWS",PR!$Z1114,IF(F1116="GREENLIFE",PR!$AA1114,IF(F1116="HLINE",PR!$AB1114,IF(F1116="ROTECH",PR!$AC1114,IF(F1116="ISN",PR!$AD1114,IF(F1116="JAWA",PR!$AE1114,IF(F1116="LAYO",PR!$AF1114,IF(F1116="LEADWAY",PR!$AG1114,IF(F1116="LHV",PR!$AH1114,IF(F1116="MANOLA",PR!$AI1114,IF(F1116="MARCSON",PR!$AJ1114,IF(F1116="M&amp;B",PR!$AK1114,IF(F1116="MTRUST",PR!$AL1114,IF(F1116="MWORLD",PR!$AM1114,IF(F1116="MEGA",PR!$AN1114,IF(F1116="MICRONOVA",PR!$AO1114,IF(F1116="MFLASH",PR!$AP1114,IF(F1116="MORISON",PR!$AQ1114,IF(F1116="NEMEL",PR!$AR1114,IF(F1116="NHP",PR!$AS1114,IF(F1116="NHC",PR!$AT1114,IF(F1116="OLEAF",PR!$AU1114,IF(F1116="OCULUS",PR!$AV1114,IF(F1116="PACIFIC",PR!$AW1114,IF(F1116="PHAMATEX",PR!$AX1114,IF(F1116="PETHICS",PR!$AY1114,IF(F1116="PHILIPS",PR!$AZ1114,IF(F1116="RANBAXY",PR!$BA1114,IF(F1116="REALS",PR!$BB1114,IF(F1116="ROYAL",PR!$BC1114,IF(F1116="SAM",PR!$BD1114,IF(F1116="SEAGREEN",PR!$BE1114,IF(F1116="SKG",PR!$BF1114,IF(F1116="TAH",PR!$BG1114,IF(F1116="TAYLEK",PR!$BH1114,IF(F1116="TEMITA",PR!$BI1114,IF(F1116="THL",PR!$BJ1114,IF(F1116="UBASTIC",PR!$BK1114,IF(F1116="UNION",PR!$BL1114,IF(F1116="UNIQUE",PR!$BM1114,IF(F1116="VIXA",PR!$BN1114,IF(F1116="WWCV",PR!$BO1114,IF(F1116="ZOLON",PR!$BP1114,"-"))))))))))))))))))))))))))))))))))))))))))))))))))))))))))))))))</f>
        <v>23040</v>
      </c>
      <c r="F1116" s="102" t="str">
        <f>EV!L1410</f>
        <v>CODIX</v>
      </c>
      <c r="G1116" s="108">
        <f>IF(H1116="ALPHA",PR!$E1114,IF(H1116="ASSENE",PR!$F1114,IF(H1116="BIOFEM",PR!$G1114,IF(H1116="BIOMED",PR!$H1114,IF(H1116="CHI",PR!$I1114,IF(H1116="CLARION",PR!$J1114,IF(H1116="CODIX",PR!$K1114,IF(H1116="COSMADE",PR!$L1114,IF(H1116="SANCON",PR!$M1114,IF(H1116="DEVON",PR!$N1114,IF(H1116="DORTEMAG",PR!$O1114,IF(H1116="DGF",PR!$P1114,IF(H1116="DYNAMIC",PR!$Q1114,IF(H1116="EMZOR",PR!$R1114,IF(H1116="EUMATT",PR!$S1114,IF(H1116="FIDSON",PR!$T1114,IF(H1116="FCGLOBAL",PR!$U1114,IF(H1116="GENEITH",PR!$V1114,IF(H1116="GINOS",PR!$W1114,IF(H1116="GSK",PR!$X1114,IF(H1116="GLOBORG",PR!$Y1114,IF(H1116="GOODNEWS",PR!$Z1114,IF(H1116="GREENLIFE",PR!$AA1114,IF(H1116="HLINE",PR!$AB1114,IF(H1116="ROTECH",PR!$AC1114,IF(H1116="ISN",PR!$AD1114,IF(H1116="JAWA",PR!$AE1114,IF(H1116="LAYO",PR!$AF1114,IF(H1116="LEADWAY",PR!$AG1114,IF(H1116="LHV",PR!$AH1114,IF(H1116="MANOLA",PR!$AI1114,IF(H1116="MARCSON",PR!$AJ1114,IF(H1116="M&amp;B",PR!$AK1114,IF(H1116="MTRUST",PR!$AL1114,IF(H1116="MWORLD",PR!$AM1114,IF(H1116="MEGA",PR!$AN1114,IF(H1116="MICRONOVA",PR!$AO1114,IF(H1116="MFLASH",PR!$AP1114,IF(H1116="MORISON",PR!$AQ1114,IF(H1116="NEMEL",PR!$AR1114,IF(H1116="NHP",PR!$AS1114,IF(H1116="NHC",PR!$AT1114,IF(H1116="OLEAF",PR!$AU1114,IF(H1116="OCULUS",PR!$AV1114,IF(H1116="PACIFIC",PR!$AW1114,IF(H1116="PHAMATEX",PR!$AX1114,IF(H1116="PETHICS",PR!$AY1114,IF(H1116="PHILIPS",PR!$AZ1114,IF(H1116="RANBAXY",PR!$BA1114,IF(H1116="REALS",PR!$BB1114,IF(H1116="ROYAL",PR!$BC1114,IF(H1116="SAM",PR!$BD1114,IF(H1116="SEAGREEN",PR!$BE1114,IF(H1116="SKG",PR!$BF1114,IF(H1116="TAH",PR!$BG1114,IF(H1116="TAYLEK",PR!$BH1114,IF(H1116="TEMITA",PR!$BI1114,IF(H1116="THL",PR!$BJ1114,IF(H1116="UBASTIC",PR!$BK1114,IF(H1116="UNION",PR!$BL1114,IF(H1116="UNIQUE",PR!$BM1114,IF(H1116="VIXA",PR!$BN1114,IF(H1116="WWCV",PR!$BO1114,IF(H1116="ZOLON",PR!$BP1114,"-"))))))))))))))))))))))))))))))))))))))))))))))))))))))))))))))))</f>
        <v>1456</v>
      </c>
      <c r="H1116" s="102" t="str">
        <f>EV!M1410</f>
        <v>LAYO</v>
      </c>
      <c r="I1116" s="108" t="str">
        <f>IF(J1116="ALPHA",PR!$E1114,IF(J1116="ASSENE",PR!$F1114,IF(J1116="BIOFEM",PR!$G1114,IF(J1116="BIOMED",PR!$H1114,IF(J1116="CHI",PR!$I1114,IF(J1116="CLARION",PR!$J1114,IF(J1116="CODIX",PR!$K1114,IF(J1116="COSMADE",PR!$L1114,IF(J1116="SANCON",PR!$M1114,IF(J1116="DEVON",PR!$N1114,IF(J1116="DORTEMAG",PR!$O1114,IF(J1116="DGF",PR!$P1114,IF(J1116="DYNAMIC",PR!$Q1114,IF(J1116="EMZOR",PR!$R1114,IF(J1116="EUMATT",PR!$S1114,IF(J1116="FIDSON",PR!$T1114,IF(J1116="FCGLOBAL",PR!$U1114,IF(J1116="GENEITH",PR!$V1114,IF(J1116="GINOS",PR!$W1114,IF(J1116="GSK",PR!$X1114,IF(J1116="GLOBORG",PR!$Y1114,IF(J1116="GOODNEWS",PR!$Z1114,IF(J1116="GREENLIFE",PR!$AA1114,IF(J1116="HLINE",PR!$AB1114,IF(J1116="ROTECH",PR!$AC1114,IF(J1116="ISN",PR!$AD1114,IF(J1116="JAWA",PR!$AE1114,IF(J1116="LAYO",PR!$AF1114,IF(J1116="LEADWAY",PR!$AG1114,IF(J1116="LHV",PR!$AH1114,IF(J1116="MANOLA",PR!$AI1114,IF(J1116="MARCSON",PR!$AJ1114,IF(J1116="M&amp;B",PR!$AK1114,IF(J1116="MTRUST",PR!$AL1114,IF(J1116="MWORLD",PR!$AM1114,IF(J1116="MEGA",PR!$AN1114,IF(J1116="MICRONOVA",PR!$AO1114,IF(J1116="MFLASH",PR!$AP1114,IF(J1116="MORISON",PR!$AQ1114,IF(J1116="NEMEL",PR!$AR1114,IF(J1116="NHP",PR!$AS1114,IF(J1116="NHC",PR!$AT1114,IF(J1116="OLEAF",PR!$AU1114,IF(J1116="OCULUS",PR!$AV1114,IF(J1116="PACIFIC",PR!$AW1114,IF(J1116="PHAMATEX",PR!$AX1114,IF(J1116="PETHICS",PR!$AY1114,IF(J1116="PHILIPS",PR!$AZ1114,IF(J1116="RANBAXY",PR!$BA1114,IF(J1116="REALS",PR!$BB1114,IF(J1116="ROYAL",PR!$BC1114,IF(J1116="SAM",PR!$BD1114,IF(J1116="SEAGREEN",PR!$BE1114,IF(J1116="SKG",PR!$BF1114,IF(J1116="TAH",PR!$BG1114,IF(J1116="TAYLEK",PR!$BH1114,IF(J1116="TEMITA",PR!$BI1114,IF(J1116="THL",PR!$BJ1114,IF(J1116="UBASTIC",PR!$BK1114,IF(J1116="UNION",PR!$BL1114,IF(J1116="UNIQUE",PR!$BM1114,IF(J1116="VIXA",PR!$BN1114,IF(J1116="WWCV",PR!$BO1114,IF(J1116="ZOLON",PR!$BP1114,"-"))))))))))))))))))))))))))))))))))))))))))))))))))))))))))))))))</f>
        <v>-</v>
      </c>
      <c r="J1116" s="102">
        <f>EV!N1410</f>
        <v>0</v>
      </c>
      <c r="K1116" s="433" t="s">
        <v>617</v>
      </c>
      <c r="L1116" s="183">
        <f>IF(K1116&gt;0,IF(K1116="ALPHA",PR!$E1114,IF(K1116="ASSENE",PR!$F1114,IF(K1116="BIOFEM",PR!$G1114,IF(K1116="BIOMED",PR!$H1114,IF(K1116="CHI",PR!$I1114,IF(K1116="CLARION",PR!$J1114,IF(K1116="CODIX",PR!$K1114,IF(K1116="COSMADE",PR!$L1114,IF(K1116="SANCON",PR!$M1114,IF(K1116="DEVON",PR!$N1114,IF(K1116="DORTEMAG",PR!$O1114,IF(K1116="DGF",PR!$P1114,IF(K1116="DYNAMIC",PR!$Q1114,IF(K1116="EMZOR",PR!$R1114,IF(K1116="EUMATT",PR!$S1114,IF(K1116="FIDSON",PR!$T1114,IF(K1116="FCGLOBAL",PR!$U1114,IF(K1116="GENEITH",PR!$V1114,IF(K1116="GINOS",PR!$W1114,IF(K1116="GSK",PR!$X1114,IF(K1116="GLOBORG",PR!$Y1114,IF(K1116="GOODNEWS",PR!$Z1114,IF(K1116="GREENLIFE",PR!$AA1114,IF(K1116="HLINE",PR!$AB1114,IF(K1116="ROTECH",PR!$AC1114,IF(K1116="ISN",PR!$AD1114,IF(K1116="JAWA",PR!$AE1114,IF(K1116="LAYO",PR!$AF1114,IF(K1116="LEADWAY",PR!$AG1114,IF(K1116="LHV",PR!$AH1114,IF(K1116="MANOLA",PR!$AI1114,IF(K1116="MARCSON",PR!$AJ1114,IF(K1116="M&amp;B",PR!$AK1114,IF(K1116="MTRUST",PR!$AL1114,IF(K1116="MWORLD",PR!$AM1114,IF(K1116="MEGA",PR!$AN1114,IF(K1116="MICRONOVA",PR!$AO1114,IF(K1116="MFLASH",PR!$AP1114,IF(K1116="MORISON",PR!$AQ1114,IF(K1116="NEMEL",PR!$AR1114,IF(K1116="NHP",PR!$AS1114,IF(K1116="NHC",PR!$AT1114,IF(K1116="OLEAF",PR!$AU1114,IF(K1116="OCULUS",PR!$AV1114,IF(K1116="PACIFIC",PR!$AW1114,IF(K1116="PHAMATEX",PR!$AX1114,IF(K1116="PETHICS",PR!$AY1114,IF(K1116="PHILIPS",PR!$AZ1114,IF(K1116="RANBAXY",PR!$BA1114,IF(K1116="REALS",PR!$BB1114,IF(K1116="ROYAL",PR!$BC1114,IF(K1116="SAM",PR!$BD1114,IF(K1116="SEAGREEN",PR!$BE1114,IF(K1116="SKG",PR!$BF1114,IF(K1116="TAH",PR!$BG1114,IF(K1116="TAYLEK",PR!$BH1114,IF(K1116="TEMITA",PR!$BI1114,IF(K1116="THL",PR!$BJ1114,IF(K1116="UBASTIC",PR!$BK1114,IF(K1116="UNION",PR!$BL1114,IF(K1116="UNIQUE",PR!$BM1114,IF(K1116="VIXA",PR!$BN1114,IF(K1116="WWCV",PR!$BO1114,IF(K1116="ZOLON",PR!$BP1114,"-")))))))))))))))))))))))))))))))))))))))))))))))))))))))))))))))))</f>
        <v>23040</v>
      </c>
    </row>
    <row r="1117" spans="1:12" ht="18.75" x14ac:dyDescent="0.3">
      <c r="A1117" s="430">
        <f>PR!A1115</f>
        <v>1002</v>
      </c>
      <c r="B1117" s="15" t="str">
        <f>PR!B1115</f>
        <v>PROGESTERONE (ICHROMACATRIDGE)</v>
      </c>
      <c r="C1117" s="113" t="str">
        <f>PR!D1115</f>
        <v>1*25</v>
      </c>
      <c r="D1117" s="113">
        <f>PR!C1115</f>
        <v>12</v>
      </c>
      <c r="E1117" s="108">
        <f>IF(F1117="ALPHA",PR!$E1115,IF(F1117="ASSENE",PR!$F1115,IF(F1117="BIOFEM",PR!$G1115,IF(F1117="BIOMED",PR!$H1115,IF(F1117="CHI",PR!$I1115,IF(F1117="CLARION",PR!$J1115,IF(F1117="CODIX",PR!$K1115,IF(F1117="COSMADE",PR!$L1115,IF(F1117="SANCON",PR!$M1115,IF(F1117="DEVON",PR!$N1115,IF(F1117="DORTEMAG",PR!$O1115,IF(F1117="DGF",PR!$P1115,IF(F1117="DYNAMIC",PR!$Q1115,IF(F1117="EMZOR",PR!$R1115,IF(F1117="EUMATT",PR!$S1115,IF(F1117="FIDSON",PR!$T1115,IF(F1117="FCGLOBAL",PR!$U1115,IF(F1117="GENEITH",PR!$V1115,IF(F1117="GINOS",PR!$W1115,IF(F1117="GSK",PR!$X1115,IF(F1117="GLOBORG",PR!$Y1115,IF(F1117="GOODNEWS",PR!$Z1115,IF(F1117="GREENLIFE",PR!$AA1115,IF(F1117="HLINE",PR!$AB1115,IF(F1117="ROTECH",PR!$AC1115,IF(F1117="ISN",PR!$AD1115,IF(F1117="JAWA",PR!$AE1115,IF(F1117="LAYO",PR!$AF1115,IF(F1117="LEADWAY",PR!$AG1115,IF(F1117="LHV",PR!$AH1115,IF(F1117="MANOLA",PR!$AI1115,IF(F1117="MARCSON",PR!$AJ1115,IF(F1117="M&amp;B",PR!$AK1115,IF(F1117="MTRUST",PR!$AL1115,IF(F1117="MWORLD",PR!$AM1115,IF(F1117="MEGA",PR!$AN1115,IF(F1117="MICRONOVA",PR!$AO1115,IF(F1117="MFLASH",PR!$AP1115,IF(F1117="MORISON",PR!$AQ1115,IF(F1117="NEMEL",PR!$AR1115,IF(F1117="NHP",PR!$AS1115,IF(F1117="NHC",PR!$AT1115,IF(F1117="OLEAF",PR!$AU1115,IF(F1117="OCULUS",PR!$AV1115,IF(F1117="PACIFIC",PR!$AW1115,IF(F1117="PHAMATEX",PR!$AX1115,IF(F1117="PETHICS",PR!$AY1115,IF(F1117="PHILIPS",PR!$AZ1115,IF(F1117="RANBAXY",PR!$BA1115,IF(F1117="REALS",PR!$BB1115,IF(F1117="ROYAL",PR!$BC1115,IF(F1117="SAM",PR!$BD1115,IF(F1117="SEAGREEN",PR!$BE1115,IF(F1117="SKG",PR!$BF1115,IF(F1117="TAH",PR!$BG1115,IF(F1117="TAYLEK",PR!$BH1115,IF(F1117="TEMITA",PR!$BI1115,IF(F1117="THL",PR!$BJ1115,IF(F1117="UBASTIC",PR!$BK1115,IF(F1117="UNION",PR!$BL1115,IF(F1117="UNIQUE",PR!$BM1115,IF(F1117="VIXA",PR!$BN1115,IF(F1117="WWCV",PR!$BO1115,IF(F1117="ZOLON",PR!$BP1115,"-"))))))))))))))))))))))))))))))))))))))))))))))))))))))))))))))))</f>
        <v>38000</v>
      </c>
      <c r="F1117" s="102" t="str">
        <f>EV!L1411</f>
        <v>UBASTIC</v>
      </c>
      <c r="G1117" s="108">
        <f>IF(H1117="ALPHA",PR!$E1115,IF(H1117="ASSENE",PR!$F1115,IF(H1117="BIOFEM",PR!$G1115,IF(H1117="BIOMED",PR!$H1115,IF(H1117="CHI",PR!$I1115,IF(H1117="CLARION",PR!$J1115,IF(H1117="CODIX",PR!$K1115,IF(H1117="COSMADE",PR!$L1115,IF(H1117="SANCON",PR!$M1115,IF(H1117="DEVON",PR!$N1115,IF(H1117="DORTEMAG",PR!$O1115,IF(H1117="DGF",PR!$P1115,IF(H1117="DYNAMIC",PR!$Q1115,IF(H1117="EMZOR",PR!$R1115,IF(H1117="EUMATT",PR!$S1115,IF(H1117="FIDSON",PR!$T1115,IF(H1117="FCGLOBAL",PR!$U1115,IF(H1117="GENEITH",PR!$V1115,IF(H1117="GINOS",PR!$W1115,IF(H1117="GSK",PR!$X1115,IF(H1117="GLOBORG",PR!$Y1115,IF(H1117="GOODNEWS",PR!$Z1115,IF(H1117="GREENLIFE",PR!$AA1115,IF(H1117="HLINE",PR!$AB1115,IF(H1117="ROTECH",PR!$AC1115,IF(H1117="ISN",PR!$AD1115,IF(H1117="JAWA",PR!$AE1115,IF(H1117="LAYO",PR!$AF1115,IF(H1117="LEADWAY",PR!$AG1115,IF(H1117="LHV",PR!$AH1115,IF(H1117="MANOLA",PR!$AI1115,IF(H1117="MARCSON",PR!$AJ1115,IF(H1117="M&amp;B",PR!$AK1115,IF(H1117="MTRUST",PR!$AL1115,IF(H1117="MWORLD",PR!$AM1115,IF(H1117="MEGA",PR!$AN1115,IF(H1117="MICRONOVA",PR!$AO1115,IF(H1117="MFLASH",PR!$AP1115,IF(H1117="MORISON",PR!$AQ1115,IF(H1117="NEMEL",PR!$AR1115,IF(H1117="NHP",PR!$AS1115,IF(H1117="NHC",PR!$AT1115,IF(H1117="OLEAF",PR!$AU1115,IF(H1117="OCULUS",PR!$AV1115,IF(H1117="PACIFIC",PR!$AW1115,IF(H1117="PHAMATEX",PR!$AX1115,IF(H1117="PETHICS",PR!$AY1115,IF(H1117="PHILIPS",PR!$AZ1115,IF(H1117="RANBAXY",PR!$BA1115,IF(H1117="REALS",PR!$BB1115,IF(H1117="ROYAL",PR!$BC1115,IF(H1117="SAM",PR!$BD1115,IF(H1117="SEAGREEN",PR!$BE1115,IF(H1117="SKG",PR!$BF1115,IF(H1117="TAH",PR!$BG1115,IF(H1117="TAYLEK",PR!$BH1115,IF(H1117="TEMITA",PR!$BI1115,IF(H1117="THL",PR!$BJ1115,IF(H1117="UBASTIC",PR!$BK1115,IF(H1117="UNION",PR!$BL1115,IF(H1117="UNIQUE",PR!$BM1115,IF(H1117="VIXA",PR!$BN1115,IF(H1117="WWCV",PR!$BO1115,IF(H1117="ZOLON",PR!$BP1115,"-"))))))))))))))))))))))))))))))))))))))))))))))))))))))))))))))))</f>
        <v>36400</v>
      </c>
      <c r="H1117" s="102" t="str">
        <f>EV!M1411</f>
        <v>LAYO</v>
      </c>
      <c r="I1117" s="108" t="str">
        <f>IF(J1117="ALPHA",PR!$E1115,IF(J1117="ASSENE",PR!$F1115,IF(J1117="BIOFEM",PR!$G1115,IF(J1117="BIOMED",PR!$H1115,IF(J1117="CHI",PR!$I1115,IF(J1117="CLARION",PR!$J1115,IF(J1117="CODIX",PR!$K1115,IF(J1117="COSMADE",PR!$L1115,IF(J1117="SANCON",PR!$M1115,IF(J1117="DEVON",PR!$N1115,IF(J1117="DORTEMAG",PR!$O1115,IF(J1117="DGF",PR!$P1115,IF(J1117="DYNAMIC",PR!$Q1115,IF(J1117="EMZOR",PR!$R1115,IF(J1117="EUMATT",PR!$S1115,IF(J1117="FIDSON",PR!$T1115,IF(J1117="FCGLOBAL",PR!$U1115,IF(J1117="GENEITH",PR!$V1115,IF(J1117="GINOS",PR!$W1115,IF(J1117="GSK",PR!$X1115,IF(J1117="GLOBORG",PR!$Y1115,IF(J1117="GOODNEWS",PR!$Z1115,IF(J1117="GREENLIFE",PR!$AA1115,IF(J1117="HLINE",PR!$AB1115,IF(J1117="ROTECH",PR!$AC1115,IF(J1117="ISN",PR!$AD1115,IF(J1117="JAWA",PR!$AE1115,IF(J1117="LAYO",PR!$AF1115,IF(J1117="LEADWAY",PR!$AG1115,IF(J1117="LHV",PR!$AH1115,IF(J1117="MANOLA",PR!$AI1115,IF(J1117="MARCSON",PR!$AJ1115,IF(J1117="M&amp;B",PR!$AK1115,IF(J1117="MTRUST",PR!$AL1115,IF(J1117="MWORLD",PR!$AM1115,IF(J1117="MEGA",PR!$AN1115,IF(J1117="MICRONOVA",PR!$AO1115,IF(J1117="MFLASH",PR!$AP1115,IF(J1117="MORISON",PR!$AQ1115,IF(J1117="NEMEL",PR!$AR1115,IF(J1117="NHP",PR!$AS1115,IF(J1117="NHC",PR!$AT1115,IF(J1117="OLEAF",PR!$AU1115,IF(J1117="OCULUS",PR!$AV1115,IF(J1117="PACIFIC",PR!$AW1115,IF(J1117="PHAMATEX",PR!$AX1115,IF(J1117="PETHICS",PR!$AY1115,IF(J1117="PHILIPS",PR!$AZ1115,IF(J1117="RANBAXY",PR!$BA1115,IF(J1117="REALS",PR!$BB1115,IF(J1117="ROYAL",PR!$BC1115,IF(J1117="SAM",PR!$BD1115,IF(J1117="SEAGREEN",PR!$BE1115,IF(J1117="SKG",PR!$BF1115,IF(J1117="TAH",PR!$BG1115,IF(J1117="TAYLEK",PR!$BH1115,IF(J1117="TEMITA",PR!$BI1115,IF(J1117="THL",PR!$BJ1115,IF(J1117="UBASTIC",PR!$BK1115,IF(J1117="UNION",PR!$BL1115,IF(J1117="UNIQUE",PR!$BM1115,IF(J1117="VIXA",PR!$BN1115,IF(J1117="WWCV",PR!$BO1115,IF(J1117="ZOLON",PR!$BP1115,"-"))))))))))))))))))))))))))))))))))))))))))))))))))))))))))))))))</f>
        <v>-</v>
      </c>
      <c r="J1117" s="102">
        <f>EV!N1411</f>
        <v>0</v>
      </c>
      <c r="K1117" s="433" t="s">
        <v>1459</v>
      </c>
      <c r="L1117" s="183">
        <f>IF(K1117&gt;0,IF(K1117="ALPHA",PR!$E1115,IF(K1117="ASSENE",PR!$F1115,IF(K1117="BIOFEM",PR!$G1115,IF(K1117="BIOMED",PR!$H1115,IF(K1117="CHI",PR!$I1115,IF(K1117="CLARION",PR!$J1115,IF(K1117="CODIX",PR!$K1115,IF(K1117="COSMADE",PR!$L1115,IF(K1117="SANCON",PR!$M1115,IF(K1117="DEVON",PR!$N1115,IF(K1117="DORTEMAG",PR!$O1115,IF(K1117="DGF",PR!$P1115,IF(K1117="DYNAMIC",PR!$Q1115,IF(K1117="EMZOR",PR!$R1115,IF(K1117="EUMATT",PR!$S1115,IF(K1117="FIDSON",PR!$T1115,IF(K1117="FCGLOBAL",PR!$U1115,IF(K1117="GENEITH",PR!$V1115,IF(K1117="GINOS",PR!$W1115,IF(K1117="GSK",PR!$X1115,IF(K1117="GLOBORG",PR!$Y1115,IF(K1117="GOODNEWS",PR!$Z1115,IF(K1117="GREENLIFE",PR!$AA1115,IF(K1117="HLINE",PR!$AB1115,IF(K1117="ROTECH",PR!$AC1115,IF(K1117="ISN",PR!$AD1115,IF(K1117="JAWA",PR!$AE1115,IF(K1117="LAYO",PR!$AF1115,IF(K1117="LEADWAY",PR!$AG1115,IF(K1117="LHV",PR!$AH1115,IF(K1117="MANOLA",PR!$AI1115,IF(K1117="MARCSON",PR!$AJ1115,IF(K1117="M&amp;B",PR!$AK1115,IF(K1117="MTRUST",PR!$AL1115,IF(K1117="MWORLD",PR!$AM1115,IF(K1117="MEGA",PR!$AN1115,IF(K1117="MICRONOVA",PR!$AO1115,IF(K1117="MFLASH",PR!$AP1115,IF(K1117="MORISON",PR!$AQ1115,IF(K1117="NEMEL",PR!$AR1115,IF(K1117="NHP",PR!$AS1115,IF(K1117="NHC",PR!$AT1115,IF(K1117="OLEAF",PR!$AU1115,IF(K1117="OCULUS",PR!$AV1115,IF(K1117="PACIFIC",PR!$AW1115,IF(K1117="PHAMATEX",PR!$AX1115,IF(K1117="PETHICS",PR!$AY1115,IF(K1117="PHILIPS",PR!$AZ1115,IF(K1117="RANBAXY",PR!$BA1115,IF(K1117="REALS",PR!$BB1115,IF(K1117="ROYAL",PR!$BC1115,IF(K1117="SAM",PR!$BD1115,IF(K1117="SEAGREEN",PR!$BE1115,IF(K1117="SKG",PR!$BF1115,IF(K1117="TAH",PR!$BG1115,IF(K1117="TAYLEK",PR!$BH1115,IF(K1117="TEMITA",PR!$BI1115,IF(K1117="THL",PR!$BJ1115,IF(K1117="UBASTIC",PR!$BK1115,IF(K1117="UNION",PR!$BL1115,IF(K1117="UNIQUE",PR!$BM1115,IF(K1117="VIXA",PR!$BN1115,IF(K1117="WWCV",PR!$BO1115,IF(K1117="ZOLON",PR!$BP1115,"-")))))))))))))))))))))))))))))))))))))))))))))))))))))))))))))))))</f>
        <v>38000</v>
      </c>
    </row>
    <row r="1118" spans="1:12" ht="18.75" x14ac:dyDescent="0.3">
      <c r="A1118" s="430">
        <f>PR!A1116</f>
        <v>1003</v>
      </c>
      <c r="B1118" s="15" t="str">
        <f>PR!B1116</f>
        <v>LEUTENIZING HORMONE (LH) (ICHROMACARTRIDGE)</v>
      </c>
      <c r="C1118" s="113" t="str">
        <f>PR!D1116</f>
        <v>1*25</v>
      </c>
      <c r="D1118" s="113">
        <f>PR!C1116</f>
        <v>12</v>
      </c>
      <c r="E1118" s="108">
        <f>IF(F1118="ALPHA",PR!$E1116,IF(F1118="ASSENE",PR!$F1116,IF(F1118="BIOFEM",PR!$G1116,IF(F1118="BIOMED",PR!$H1116,IF(F1118="CHI",PR!$I1116,IF(F1118="CLARION",PR!$J1116,IF(F1118="CODIX",PR!$K1116,IF(F1118="COSMADE",PR!$L1116,IF(F1118="SANCON",PR!$M1116,IF(F1118="DEVON",PR!$N1116,IF(F1118="DORTEMAG",PR!$O1116,IF(F1118="DGF",PR!$P1116,IF(F1118="DYNAMIC",PR!$Q1116,IF(F1118="EMZOR",PR!$R1116,IF(F1118="EUMATT",PR!$S1116,IF(F1118="FIDSON",PR!$T1116,IF(F1118="FCGLOBAL",PR!$U1116,IF(F1118="GENEITH",PR!$V1116,IF(F1118="GINOS",PR!$W1116,IF(F1118="GSK",PR!$X1116,IF(F1118="GLOBORG",PR!$Y1116,IF(F1118="GOODNEWS",PR!$Z1116,IF(F1118="GREENLIFE",PR!$AA1116,IF(F1118="HLINE",PR!$AB1116,IF(F1118="ROTECH",PR!$AC1116,IF(F1118="ISN",PR!$AD1116,IF(F1118="JAWA",PR!$AE1116,IF(F1118="LAYO",PR!$AF1116,IF(F1118="LEADWAY",PR!$AG1116,IF(F1118="LHV",PR!$AH1116,IF(F1118="MANOLA",PR!$AI1116,IF(F1118="MARCSON",PR!$AJ1116,IF(F1118="M&amp;B",PR!$AK1116,IF(F1118="MTRUST",PR!$AL1116,IF(F1118="MWORLD",PR!$AM1116,IF(F1118="MEGA",PR!$AN1116,IF(F1118="MICRONOVA",PR!$AO1116,IF(F1118="MFLASH",PR!$AP1116,IF(F1118="MORISON",PR!$AQ1116,IF(F1118="NEMEL",PR!$AR1116,IF(F1118="NHP",PR!$AS1116,IF(F1118="NHC",PR!$AT1116,IF(F1118="OLEAF",PR!$AU1116,IF(F1118="OCULUS",PR!$AV1116,IF(F1118="PACIFIC",PR!$AW1116,IF(F1118="PHAMATEX",PR!$AX1116,IF(F1118="PETHICS",PR!$AY1116,IF(F1118="PHILIPS",PR!$AZ1116,IF(F1118="RANBAXY",PR!$BA1116,IF(F1118="REALS",PR!$BB1116,IF(F1118="ROYAL",PR!$BC1116,IF(F1118="SAM",PR!$BD1116,IF(F1118="SEAGREEN",PR!$BE1116,IF(F1118="SKG",PR!$BF1116,IF(F1118="TAH",PR!$BG1116,IF(F1118="TAYLEK",PR!$BH1116,IF(F1118="TEMITA",PR!$BI1116,IF(F1118="THL",PR!$BJ1116,IF(F1118="UBASTIC",PR!$BK1116,IF(F1118="UNION",PR!$BL1116,IF(F1118="UNIQUE",PR!$BM1116,IF(F1118="VIXA",PR!$BN1116,IF(F1118="WWCV",PR!$BO1116,IF(F1118="ZOLON",PR!$BP1116,"-"))))))))))))))))))))))))))))))))))))))))))))))))))))))))))))))))</f>
        <v>36400</v>
      </c>
      <c r="F1118" s="102" t="str">
        <f>EV!L1412</f>
        <v>LAYO</v>
      </c>
      <c r="G1118" s="108">
        <f>IF(H1118="ALPHA",PR!$E1116,IF(H1118="ASSENE",PR!$F1116,IF(H1118="BIOFEM",PR!$G1116,IF(H1118="BIOMED",PR!$H1116,IF(H1118="CHI",PR!$I1116,IF(H1118="CLARION",PR!$J1116,IF(H1118="CODIX",PR!$K1116,IF(H1118="COSMADE",PR!$L1116,IF(H1118="SANCON",PR!$M1116,IF(H1118="DEVON",PR!$N1116,IF(H1118="DORTEMAG",PR!$O1116,IF(H1118="DGF",PR!$P1116,IF(H1118="DYNAMIC",PR!$Q1116,IF(H1118="EMZOR",PR!$R1116,IF(H1118="EUMATT",PR!$S1116,IF(H1118="FIDSON",PR!$T1116,IF(H1118="FCGLOBAL",PR!$U1116,IF(H1118="GENEITH",PR!$V1116,IF(H1118="GINOS",PR!$W1116,IF(H1118="GSK",PR!$X1116,IF(H1118="GLOBORG",PR!$Y1116,IF(H1118="GOODNEWS",PR!$Z1116,IF(H1118="GREENLIFE",PR!$AA1116,IF(H1118="HLINE",PR!$AB1116,IF(H1118="ROTECH",PR!$AC1116,IF(H1118="ISN",PR!$AD1116,IF(H1118="JAWA",PR!$AE1116,IF(H1118="LAYO",PR!$AF1116,IF(H1118="LEADWAY",PR!$AG1116,IF(H1118="LHV",PR!$AH1116,IF(H1118="MANOLA",PR!$AI1116,IF(H1118="MARCSON",PR!$AJ1116,IF(H1118="M&amp;B",PR!$AK1116,IF(H1118="MTRUST",PR!$AL1116,IF(H1118="MWORLD",PR!$AM1116,IF(H1118="MEGA",PR!$AN1116,IF(H1118="MICRONOVA",PR!$AO1116,IF(H1118="MFLASH",PR!$AP1116,IF(H1118="MORISON",PR!$AQ1116,IF(H1118="NEMEL",PR!$AR1116,IF(H1118="NHP",PR!$AS1116,IF(H1118="NHC",PR!$AT1116,IF(H1118="OLEAF",PR!$AU1116,IF(H1118="OCULUS",PR!$AV1116,IF(H1118="PACIFIC",PR!$AW1116,IF(H1118="PHAMATEX",PR!$AX1116,IF(H1118="PETHICS",PR!$AY1116,IF(H1118="PHILIPS",PR!$AZ1116,IF(H1118="RANBAXY",PR!$BA1116,IF(H1118="REALS",PR!$BB1116,IF(H1118="ROYAL",PR!$BC1116,IF(H1118="SAM",PR!$BD1116,IF(H1118="SEAGREEN",PR!$BE1116,IF(H1118="SKG",PR!$BF1116,IF(H1118="TAH",PR!$BG1116,IF(H1118="TAYLEK",PR!$BH1116,IF(H1118="TEMITA",PR!$BI1116,IF(H1118="THL",PR!$BJ1116,IF(H1118="UBASTIC",PR!$BK1116,IF(H1118="UNION",PR!$BL1116,IF(H1118="UNIQUE",PR!$BM1116,IF(H1118="VIXA",PR!$BN1116,IF(H1118="WWCV",PR!$BO1116,IF(H1118="ZOLON",PR!$BP1116,"-"))))))))))))))))))))))))))))))))))))))))))))))))))))))))))))))))</f>
        <v>38000</v>
      </c>
      <c r="H1118" s="102" t="str">
        <f>EV!M1412</f>
        <v>UBASTIC</v>
      </c>
      <c r="I1118" s="108" t="str">
        <f>IF(J1118="ALPHA",PR!$E1116,IF(J1118="ASSENE",PR!$F1116,IF(J1118="BIOFEM",PR!$G1116,IF(J1118="BIOMED",PR!$H1116,IF(J1118="CHI",PR!$I1116,IF(J1118="CLARION",PR!$J1116,IF(J1118="CODIX",PR!$K1116,IF(J1118="COSMADE",PR!$L1116,IF(J1118="SANCON",PR!$M1116,IF(J1118="DEVON",PR!$N1116,IF(J1118="DORTEMAG",PR!$O1116,IF(J1118="DGF",PR!$P1116,IF(J1118="DYNAMIC",PR!$Q1116,IF(J1118="EMZOR",PR!$R1116,IF(J1118="EUMATT",PR!$S1116,IF(J1118="FIDSON",PR!$T1116,IF(J1118="FCGLOBAL",PR!$U1116,IF(J1118="GENEITH",PR!$V1116,IF(J1118="GINOS",PR!$W1116,IF(J1118="GSK",PR!$X1116,IF(J1118="GLOBORG",PR!$Y1116,IF(J1118="GOODNEWS",PR!$Z1116,IF(J1118="GREENLIFE",PR!$AA1116,IF(J1118="HLINE",PR!$AB1116,IF(J1118="ROTECH",PR!$AC1116,IF(J1118="ISN",PR!$AD1116,IF(J1118="JAWA",PR!$AE1116,IF(J1118="LAYO",PR!$AF1116,IF(J1118="LEADWAY",PR!$AG1116,IF(J1118="LHV",PR!$AH1116,IF(J1118="MANOLA",PR!$AI1116,IF(J1118="MARCSON",PR!$AJ1116,IF(J1118="M&amp;B",PR!$AK1116,IF(J1118="MTRUST",PR!$AL1116,IF(J1118="MWORLD",PR!$AM1116,IF(J1118="MEGA",PR!$AN1116,IF(J1118="MICRONOVA",PR!$AO1116,IF(J1118="MFLASH",PR!$AP1116,IF(J1118="MORISON",PR!$AQ1116,IF(J1118="NEMEL",PR!$AR1116,IF(J1118="NHP",PR!$AS1116,IF(J1118="NHC",PR!$AT1116,IF(J1118="OLEAF",PR!$AU1116,IF(J1118="OCULUS",PR!$AV1116,IF(J1118="PACIFIC",PR!$AW1116,IF(J1118="PHAMATEX",PR!$AX1116,IF(J1118="PETHICS",PR!$AY1116,IF(J1118="PHILIPS",PR!$AZ1116,IF(J1118="RANBAXY",PR!$BA1116,IF(J1118="REALS",PR!$BB1116,IF(J1118="ROYAL",PR!$BC1116,IF(J1118="SAM",PR!$BD1116,IF(J1118="SEAGREEN",PR!$BE1116,IF(J1118="SKG",PR!$BF1116,IF(J1118="TAH",PR!$BG1116,IF(J1118="TAYLEK",PR!$BH1116,IF(J1118="TEMITA",PR!$BI1116,IF(J1118="THL",PR!$BJ1116,IF(J1118="UBASTIC",PR!$BK1116,IF(J1118="UNION",PR!$BL1116,IF(J1118="UNIQUE",PR!$BM1116,IF(J1118="VIXA",PR!$BN1116,IF(J1118="WWCV",PR!$BO1116,IF(J1118="ZOLON",PR!$BP1116,"-"))))))))))))))))))))))))))))))))))))))))))))))))))))))))))))))))</f>
        <v>-</v>
      </c>
      <c r="J1118" s="102">
        <f>EV!N1412</f>
        <v>0</v>
      </c>
      <c r="K1118" s="433" t="s">
        <v>1461</v>
      </c>
      <c r="L1118" s="183">
        <f>IF(K1118&gt;0,IF(K1118="ALPHA",PR!$E1116,IF(K1118="ASSENE",PR!$F1116,IF(K1118="BIOFEM",PR!$G1116,IF(K1118="BIOMED",PR!$H1116,IF(K1118="CHI",PR!$I1116,IF(K1118="CLARION",PR!$J1116,IF(K1118="CODIX",PR!$K1116,IF(K1118="COSMADE",PR!$L1116,IF(K1118="SANCON",PR!$M1116,IF(K1118="DEVON",PR!$N1116,IF(K1118="DORTEMAG",PR!$O1116,IF(K1118="DGF",PR!$P1116,IF(K1118="DYNAMIC",PR!$Q1116,IF(K1118="EMZOR",PR!$R1116,IF(K1118="EUMATT",PR!$S1116,IF(K1118="FIDSON",PR!$T1116,IF(K1118="FCGLOBAL",PR!$U1116,IF(K1118="GENEITH",PR!$V1116,IF(K1118="GINOS",PR!$W1116,IF(K1118="GSK",PR!$X1116,IF(K1118="GLOBORG",PR!$Y1116,IF(K1118="GOODNEWS",PR!$Z1116,IF(K1118="GREENLIFE",PR!$AA1116,IF(K1118="HLINE",PR!$AB1116,IF(K1118="ROTECH",PR!$AC1116,IF(K1118="ISN",PR!$AD1116,IF(K1118="JAWA",PR!$AE1116,IF(K1118="LAYO",PR!$AF1116,IF(K1118="LEADWAY",PR!$AG1116,IF(K1118="LHV",PR!$AH1116,IF(K1118="MANOLA",PR!$AI1116,IF(K1118="MARCSON",PR!$AJ1116,IF(K1118="M&amp;B",PR!$AK1116,IF(K1118="MTRUST",PR!$AL1116,IF(K1118="MWORLD",PR!$AM1116,IF(K1118="MEGA",PR!$AN1116,IF(K1118="MICRONOVA",PR!$AO1116,IF(K1118="MFLASH",PR!$AP1116,IF(K1118="MORISON",PR!$AQ1116,IF(K1118="NEMEL",PR!$AR1116,IF(K1118="NHP",PR!$AS1116,IF(K1118="NHC",PR!$AT1116,IF(K1118="OLEAF",PR!$AU1116,IF(K1118="OCULUS",PR!$AV1116,IF(K1118="PACIFIC",PR!$AW1116,IF(K1118="PHAMATEX",PR!$AX1116,IF(K1118="PETHICS",PR!$AY1116,IF(K1118="PHILIPS",PR!$AZ1116,IF(K1118="RANBAXY",PR!$BA1116,IF(K1118="REALS",PR!$BB1116,IF(K1118="ROYAL",PR!$BC1116,IF(K1118="SAM",PR!$BD1116,IF(K1118="SEAGREEN",PR!$BE1116,IF(K1118="SKG",PR!$BF1116,IF(K1118="TAH",PR!$BG1116,IF(K1118="TAYLEK",PR!$BH1116,IF(K1118="TEMITA",PR!$BI1116,IF(K1118="THL",PR!$BJ1116,IF(K1118="UBASTIC",PR!$BK1116,IF(K1118="UNION",PR!$BL1116,IF(K1118="UNIQUE",PR!$BM1116,IF(K1118="VIXA",PR!$BN1116,IF(K1118="WWCV",PR!$BO1116,IF(K1118="ZOLON",PR!$BP1116,"-")))))))))))))))))))))))))))))))))))))))))))))))))))))))))))))))))</f>
        <v>36400</v>
      </c>
    </row>
    <row r="1119" spans="1:12" ht="18.75" x14ac:dyDescent="0.3">
      <c r="A1119" s="430">
        <f>PR!A1117</f>
        <v>1004</v>
      </c>
      <c r="B1119" s="15" t="str">
        <f>PR!B1117</f>
        <v>FOLLICLE STIMULATING HORMONE (FSH) (ICHROMACARTRIDGE)</v>
      </c>
      <c r="C1119" s="113" t="str">
        <f>PR!D1117</f>
        <v>1*25</v>
      </c>
      <c r="D1119" s="113">
        <f>PR!C1117</f>
        <v>12</v>
      </c>
      <c r="E1119" s="108">
        <f>IF(F1119="ALPHA",PR!$E1117,IF(F1119="ASSENE",PR!$F1117,IF(F1119="BIOFEM",PR!$G1117,IF(F1119="BIOMED",PR!$H1117,IF(F1119="CHI",PR!$I1117,IF(F1119="CLARION",PR!$J1117,IF(F1119="CODIX",PR!$K1117,IF(F1119="COSMADE",PR!$L1117,IF(F1119="SANCON",PR!$M1117,IF(F1119="DEVON",PR!$N1117,IF(F1119="DORTEMAG",PR!$O1117,IF(F1119="DGF",PR!$P1117,IF(F1119="DYNAMIC",PR!$Q1117,IF(F1119="EMZOR",PR!$R1117,IF(F1119="EUMATT",PR!$S1117,IF(F1119="FIDSON",PR!$T1117,IF(F1119="FCGLOBAL",PR!$U1117,IF(F1119="GENEITH",PR!$V1117,IF(F1119="GINOS",PR!$W1117,IF(F1119="GSK",PR!$X1117,IF(F1119="GLOBORG",PR!$Y1117,IF(F1119="GOODNEWS",PR!$Z1117,IF(F1119="GREENLIFE",PR!$AA1117,IF(F1119="HLINE",PR!$AB1117,IF(F1119="ROTECH",PR!$AC1117,IF(F1119="ISN",PR!$AD1117,IF(F1119="JAWA",PR!$AE1117,IF(F1119="LAYO",PR!$AF1117,IF(F1119="LEADWAY",PR!$AG1117,IF(F1119="LHV",PR!$AH1117,IF(F1119="MANOLA",PR!$AI1117,IF(F1119="MARCSON",PR!$AJ1117,IF(F1119="M&amp;B",PR!$AK1117,IF(F1119="MTRUST",PR!$AL1117,IF(F1119="MWORLD",PR!$AM1117,IF(F1119="MEGA",PR!$AN1117,IF(F1119="MICRONOVA",PR!$AO1117,IF(F1119="MFLASH",PR!$AP1117,IF(F1119="MORISON",PR!$AQ1117,IF(F1119="NEMEL",PR!$AR1117,IF(F1119="NHP",PR!$AS1117,IF(F1119="NHC",PR!$AT1117,IF(F1119="OLEAF",PR!$AU1117,IF(F1119="OCULUS",PR!$AV1117,IF(F1119="PACIFIC",PR!$AW1117,IF(F1119="PHAMATEX",PR!$AX1117,IF(F1119="PETHICS",PR!$AY1117,IF(F1119="PHILIPS",PR!$AZ1117,IF(F1119="RANBAXY",PR!$BA1117,IF(F1119="REALS",PR!$BB1117,IF(F1119="ROYAL",PR!$BC1117,IF(F1119="SAM",PR!$BD1117,IF(F1119="SEAGREEN",PR!$BE1117,IF(F1119="SKG",PR!$BF1117,IF(F1119="TAH",PR!$BG1117,IF(F1119="TAYLEK",PR!$BH1117,IF(F1119="TEMITA",PR!$BI1117,IF(F1119="THL",PR!$BJ1117,IF(F1119="UBASTIC",PR!$BK1117,IF(F1119="UNION",PR!$BL1117,IF(F1119="UNIQUE",PR!$BM1117,IF(F1119="VIXA",PR!$BN1117,IF(F1119="WWCV",PR!$BO1117,IF(F1119="ZOLON",PR!$BP1117,"-"))))))))))))))))))))))))))))))))))))))))))))))))))))))))))))))))</f>
        <v>36400</v>
      </c>
      <c r="F1119" s="102" t="str">
        <f>EV!L1413</f>
        <v>LAYO</v>
      </c>
      <c r="G1119" s="108">
        <f>IF(H1119="ALPHA",PR!$E1117,IF(H1119="ASSENE",PR!$F1117,IF(H1119="BIOFEM",PR!$G1117,IF(H1119="BIOMED",PR!$H1117,IF(H1119="CHI",PR!$I1117,IF(H1119="CLARION",PR!$J1117,IF(H1119="CODIX",PR!$K1117,IF(H1119="COSMADE",PR!$L1117,IF(H1119="SANCON",PR!$M1117,IF(H1119="DEVON",PR!$N1117,IF(H1119="DORTEMAG",PR!$O1117,IF(H1119="DGF",PR!$P1117,IF(H1119="DYNAMIC",PR!$Q1117,IF(H1119="EMZOR",PR!$R1117,IF(H1119="EUMATT",PR!$S1117,IF(H1119="FIDSON",PR!$T1117,IF(H1119="FCGLOBAL",PR!$U1117,IF(H1119="GENEITH",PR!$V1117,IF(H1119="GINOS",PR!$W1117,IF(H1119="GSK",PR!$X1117,IF(H1119="GLOBORG",PR!$Y1117,IF(H1119="GOODNEWS",PR!$Z1117,IF(H1119="GREENLIFE",PR!$AA1117,IF(H1119="HLINE",PR!$AB1117,IF(H1119="ROTECH",PR!$AC1117,IF(H1119="ISN",PR!$AD1117,IF(H1119="JAWA",PR!$AE1117,IF(H1119="LAYO",PR!$AF1117,IF(H1119="LEADWAY",PR!$AG1117,IF(H1119="LHV",PR!$AH1117,IF(H1119="MANOLA",PR!$AI1117,IF(H1119="MARCSON",PR!$AJ1117,IF(H1119="M&amp;B",PR!$AK1117,IF(H1119="MTRUST",PR!$AL1117,IF(H1119="MWORLD",PR!$AM1117,IF(H1119="MEGA",PR!$AN1117,IF(H1119="MICRONOVA",PR!$AO1117,IF(H1119="MFLASH",PR!$AP1117,IF(H1119="MORISON",PR!$AQ1117,IF(H1119="NEMEL",PR!$AR1117,IF(H1119="NHP",PR!$AS1117,IF(H1119="NHC",PR!$AT1117,IF(H1119="OLEAF",PR!$AU1117,IF(H1119="OCULUS",PR!$AV1117,IF(H1119="PACIFIC",PR!$AW1117,IF(H1119="PHAMATEX",PR!$AX1117,IF(H1119="PETHICS",PR!$AY1117,IF(H1119="PHILIPS",PR!$AZ1117,IF(H1119="RANBAXY",PR!$BA1117,IF(H1119="REALS",PR!$BB1117,IF(H1119="ROYAL",PR!$BC1117,IF(H1119="SAM",PR!$BD1117,IF(H1119="SEAGREEN",PR!$BE1117,IF(H1119="SKG",PR!$BF1117,IF(H1119="TAH",PR!$BG1117,IF(H1119="TAYLEK",PR!$BH1117,IF(H1119="TEMITA",PR!$BI1117,IF(H1119="THL",PR!$BJ1117,IF(H1119="UBASTIC",PR!$BK1117,IF(H1119="UNION",PR!$BL1117,IF(H1119="UNIQUE",PR!$BM1117,IF(H1119="VIXA",PR!$BN1117,IF(H1119="WWCV",PR!$BO1117,IF(H1119="ZOLON",PR!$BP1117,"-"))))))))))))))))))))))))))))))))))))))))))))))))))))))))))))))))</f>
        <v>38000</v>
      </c>
      <c r="H1119" s="102" t="str">
        <f>EV!M1413</f>
        <v>UBASTIC</v>
      </c>
      <c r="I1119" s="108" t="str">
        <f>IF(J1119="ALPHA",PR!$E1117,IF(J1119="ASSENE",PR!$F1117,IF(J1119="BIOFEM",PR!$G1117,IF(J1119="BIOMED",PR!$H1117,IF(J1119="CHI",PR!$I1117,IF(J1119="CLARION",PR!$J1117,IF(J1119="CODIX",PR!$K1117,IF(J1119="COSMADE",PR!$L1117,IF(J1119="SANCON",PR!$M1117,IF(J1119="DEVON",PR!$N1117,IF(J1119="DORTEMAG",PR!$O1117,IF(J1119="DGF",PR!$P1117,IF(J1119="DYNAMIC",PR!$Q1117,IF(J1119="EMZOR",PR!$R1117,IF(J1119="EUMATT",PR!$S1117,IF(J1119="FIDSON",PR!$T1117,IF(J1119="FCGLOBAL",PR!$U1117,IF(J1119="GENEITH",PR!$V1117,IF(J1119="GINOS",PR!$W1117,IF(J1119="GSK",PR!$X1117,IF(J1119="GLOBORG",PR!$Y1117,IF(J1119="GOODNEWS",PR!$Z1117,IF(J1119="GREENLIFE",PR!$AA1117,IF(J1119="HLINE",PR!$AB1117,IF(J1119="ROTECH",PR!$AC1117,IF(J1119="ISN",PR!$AD1117,IF(J1119="JAWA",PR!$AE1117,IF(J1119="LAYO",PR!$AF1117,IF(J1119="LEADWAY",PR!$AG1117,IF(J1119="LHV",PR!$AH1117,IF(J1119="MANOLA",PR!$AI1117,IF(J1119="MARCSON",PR!$AJ1117,IF(J1119="M&amp;B",PR!$AK1117,IF(J1119="MTRUST",PR!$AL1117,IF(J1119="MWORLD",PR!$AM1117,IF(J1119="MEGA",PR!$AN1117,IF(J1119="MICRONOVA",PR!$AO1117,IF(J1119="MFLASH",PR!$AP1117,IF(J1119="MORISON",PR!$AQ1117,IF(J1119="NEMEL",PR!$AR1117,IF(J1119="NHP",PR!$AS1117,IF(J1119="NHC",PR!$AT1117,IF(J1119="OLEAF",PR!$AU1117,IF(J1119="OCULUS",PR!$AV1117,IF(J1119="PACIFIC",PR!$AW1117,IF(J1119="PHAMATEX",PR!$AX1117,IF(J1119="PETHICS",PR!$AY1117,IF(J1119="PHILIPS",PR!$AZ1117,IF(J1119="RANBAXY",PR!$BA1117,IF(J1119="REALS",PR!$BB1117,IF(J1119="ROYAL",PR!$BC1117,IF(J1119="SAM",PR!$BD1117,IF(J1119="SEAGREEN",PR!$BE1117,IF(J1119="SKG",PR!$BF1117,IF(J1119="TAH",PR!$BG1117,IF(J1119="TAYLEK",PR!$BH1117,IF(J1119="TEMITA",PR!$BI1117,IF(J1119="THL",PR!$BJ1117,IF(J1119="UBASTIC",PR!$BK1117,IF(J1119="UNION",PR!$BL1117,IF(J1119="UNIQUE",PR!$BM1117,IF(J1119="VIXA",PR!$BN1117,IF(J1119="WWCV",PR!$BO1117,IF(J1119="ZOLON",PR!$BP1117,"-"))))))))))))))))))))))))))))))))))))))))))))))))))))))))))))))))</f>
        <v>-</v>
      </c>
      <c r="J1119" s="102">
        <f>EV!N1413</f>
        <v>0</v>
      </c>
      <c r="K1119" s="433" t="s">
        <v>1461</v>
      </c>
      <c r="L1119" s="183">
        <f>IF(K1119&gt;0,IF(K1119="ALPHA",PR!$E1117,IF(K1119="ASSENE",PR!$F1117,IF(K1119="BIOFEM",PR!$G1117,IF(K1119="BIOMED",PR!$H1117,IF(K1119="CHI",PR!$I1117,IF(K1119="CLARION",PR!$J1117,IF(K1119="CODIX",PR!$K1117,IF(K1119="COSMADE",PR!$L1117,IF(K1119="SANCON",PR!$M1117,IF(K1119="DEVON",PR!$N1117,IF(K1119="DORTEMAG",PR!$O1117,IF(K1119="DGF",PR!$P1117,IF(K1119="DYNAMIC",PR!$Q1117,IF(K1119="EMZOR",PR!$R1117,IF(K1119="EUMATT",PR!$S1117,IF(K1119="FIDSON",PR!$T1117,IF(K1119="FCGLOBAL",PR!$U1117,IF(K1119="GENEITH",PR!$V1117,IF(K1119="GINOS",PR!$W1117,IF(K1119="GSK",PR!$X1117,IF(K1119="GLOBORG",PR!$Y1117,IF(K1119="GOODNEWS",PR!$Z1117,IF(K1119="GREENLIFE",PR!$AA1117,IF(K1119="HLINE",PR!$AB1117,IF(K1119="ROTECH",PR!$AC1117,IF(K1119="ISN",PR!$AD1117,IF(K1119="JAWA",PR!$AE1117,IF(K1119="LAYO",PR!$AF1117,IF(K1119="LEADWAY",PR!$AG1117,IF(K1119="LHV",PR!$AH1117,IF(K1119="MANOLA",PR!$AI1117,IF(K1119="MARCSON",PR!$AJ1117,IF(K1119="M&amp;B",PR!$AK1117,IF(K1119="MTRUST",PR!$AL1117,IF(K1119="MWORLD",PR!$AM1117,IF(K1119="MEGA",PR!$AN1117,IF(K1119="MICRONOVA",PR!$AO1117,IF(K1119="MFLASH",PR!$AP1117,IF(K1119="MORISON",PR!$AQ1117,IF(K1119="NEMEL",PR!$AR1117,IF(K1119="NHP",PR!$AS1117,IF(K1119="NHC",PR!$AT1117,IF(K1119="OLEAF",PR!$AU1117,IF(K1119="OCULUS",PR!$AV1117,IF(K1119="PACIFIC",PR!$AW1117,IF(K1119="PHAMATEX",PR!$AX1117,IF(K1119="PETHICS",PR!$AY1117,IF(K1119="PHILIPS",PR!$AZ1117,IF(K1119="RANBAXY",PR!$BA1117,IF(K1119="REALS",PR!$BB1117,IF(K1119="ROYAL",PR!$BC1117,IF(K1119="SAM",PR!$BD1117,IF(K1119="SEAGREEN",PR!$BE1117,IF(K1119="SKG",PR!$BF1117,IF(K1119="TAH",PR!$BG1117,IF(K1119="TAYLEK",PR!$BH1117,IF(K1119="TEMITA",PR!$BI1117,IF(K1119="THL",PR!$BJ1117,IF(K1119="UBASTIC",PR!$BK1117,IF(K1119="UNION",PR!$BL1117,IF(K1119="UNIQUE",PR!$BM1117,IF(K1119="VIXA",PR!$BN1117,IF(K1119="WWCV",PR!$BO1117,IF(K1119="ZOLON",PR!$BP1117,"-")))))))))))))))))))))))))))))))))))))))))))))))))))))))))))))))))</f>
        <v>36400</v>
      </c>
    </row>
    <row r="1120" spans="1:12" ht="18.75" x14ac:dyDescent="0.3">
      <c r="A1120" s="430">
        <f>PR!A1118</f>
        <v>1005</v>
      </c>
      <c r="B1120" s="15" t="str">
        <f>PR!B1118</f>
        <v>PROLACTIN (PRL) (ICHROMACARTRIDGE)</v>
      </c>
      <c r="C1120" s="113" t="str">
        <f>PR!D1118</f>
        <v>1*25</v>
      </c>
      <c r="D1120" s="113">
        <f>PR!C1118</f>
        <v>12</v>
      </c>
      <c r="E1120" s="108">
        <f>IF(F1120="ALPHA",PR!$E1118,IF(F1120="ASSENE",PR!$F1118,IF(F1120="BIOFEM",PR!$G1118,IF(F1120="BIOMED",PR!$H1118,IF(F1120="CHI",PR!$I1118,IF(F1120="CLARION",PR!$J1118,IF(F1120="CODIX",PR!$K1118,IF(F1120="COSMADE",PR!$L1118,IF(F1120="SANCON",PR!$M1118,IF(F1120="DEVON",PR!$N1118,IF(F1120="DORTEMAG",PR!$O1118,IF(F1120="DGF",PR!$P1118,IF(F1120="DYNAMIC",PR!$Q1118,IF(F1120="EMZOR",PR!$R1118,IF(F1120="EUMATT",PR!$S1118,IF(F1120="FIDSON",PR!$T1118,IF(F1120="FCGLOBAL",PR!$U1118,IF(F1120="GENEITH",PR!$V1118,IF(F1120="GINOS",PR!$W1118,IF(F1120="GSK",PR!$X1118,IF(F1120="GLOBORG",PR!$Y1118,IF(F1120="GOODNEWS",PR!$Z1118,IF(F1120="GREENLIFE",PR!$AA1118,IF(F1120="HLINE",PR!$AB1118,IF(F1120="ROTECH",PR!$AC1118,IF(F1120="ISN",PR!$AD1118,IF(F1120="JAWA",PR!$AE1118,IF(F1120="LAYO",PR!$AF1118,IF(F1120="LEADWAY",PR!$AG1118,IF(F1120="LHV",PR!$AH1118,IF(F1120="MANOLA",PR!$AI1118,IF(F1120="MARCSON",PR!$AJ1118,IF(F1120="M&amp;B",PR!$AK1118,IF(F1120="MTRUST",PR!$AL1118,IF(F1120="MWORLD",PR!$AM1118,IF(F1120="MEGA",PR!$AN1118,IF(F1120="MICRONOVA",PR!$AO1118,IF(F1120="MFLASH",PR!$AP1118,IF(F1120="MORISON",PR!$AQ1118,IF(F1120="NEMEL",PR!$AR1118,IF(F1120="NHP",PR!$AS1118,IF(F1120="NHC",PR!$AT1118,IF(F1120="OLEAF",PR!$AU1118,IF(F1120="OCULUS",PR!$AV1118,IF(F1120="PACIFIC",PR!$AW1118,IF(F1120="PHAMATEX",PR!$AX1118,IF(F1120="PETHICS",PR!$AY1118,IF(F1120="PHILIPS",PR!$AZ1118,IF(F1120="RANBAXY",PR!$BA1118,IF(F1120="REALS",PR!$BB1118,IF(F1120="ROYAL",PR!$BC1118,IF(F1120="SAM",PR!$BD1118,IF(F1120="SEAGREEN",PR!$BE1118,IF(F1120="SKG",PR!$BF1118,IF(F1120="TAH",PR!$BG1118,IF(F1120="TAYLEK",PR!$BH1118,IF(F1120="TEMITA",PR!$BI1118,IF(F1120="THL",PR!$BJ1118,IF(F1120="UBASTIC",PR!$BK1118,IF(F1120="UNION",PR!$BL1118,IF(F1120="UNIQUE",PR!$BM1118,IF(F1120="VIXA",PR!$BN1118,IF(F1120="WWCV",PR!$BO1118,IF(F1120="ZOLON",PR!$BP1118,"-"))))))))))))))))))))))))))))))))))))))))))))))))))))))))))))))))</f>
        <v>36400</v>
      </c>
      <c r="F1120" s="102" t="str">
        <f>EV!L1414</f>
        <v>LAYO</v>
      </c>
      <c r="G1120" s="108">
        <f>IF(H1120="ALPHA",PR!$E1118,IF(H1120="ASSENE",PR!$F1118,IF(H1120="BIOFEM",PR!$G1118,IF(H1120="BIOMED",PR!$H1118,IF(H1120="CHI",PR!$I1118,IF(H1120="CLARION",PR!$J1118,IF(H1120="CODIX",PR!$K1118,IF(H1120="COSMADE",PR!$L1118,IF(H1120="SANCON",PR!$M1118,IF(H1120="DEVON",PR!$N1118,IF(H1120="DORTEMAG",PR!$O1118,IF(H1120="DGF",PR!$P1118,IF(H1120="DYNAMIC",PR!$Q1118,IF(H1120="EMZOR",PR!$R1118,IF(H1120="EUMATT",PR!$S1118,IF(H1120="FIDSON",PR!$T1118,IF(H1120="FCGLOBAL",PR!$U1118,IF(H1120="GENEITH",PR!$V1118,IF(H1120="GINOS",PR!$W1118,IF(H1120="GSK",PR!$X1118,IF(H1120="GLOBORG",PR!$Y1118,IF(H1120="GOODNEWS",PR!$Z1118,IF(H1120="GREENLIFE",PR!$AA1118,IF(H1120="HLINE",PR!$AB1118,IF(H1120="ROTECH",PR!$AC1118,IF(H1120="ISN",PR!$AD1118,IF(H1120="JAWA",PR!$AE1118,IF(H1120="LAYO",PR!$AF1118,IF(H1120="LEADWAY",PR!$AG1118,IF(H1120="LHV",PR!$AH1118,IF(H1120="MANOLA",PR!$AI1118,IF(H1120="MARCSON",PR!$AJ1118,IF(H1120="M&amp;B",PR!$AK1118,IF(H1120="MTRUST",PR!$AL1118,IF(H1120="MWORLD",PR!$AM1118,IF(H1120="MEGA",PR!$AN1118,IF(H1120="MICRONOVA",PR!$AO1118,IF(H1120="MFLASH",PR!$AP1118,IF(H1120="MORISON",PR!$AQ1118,IF(H1120="NEMEL",PR!$AR1118,IF(H1120="NHP",PR!$AS1118,IF(H1120="NHC",PR!$AT1118,IF(H1120="OLEAF",PR!$AU1118,IF(H1120="OCULUS",PR!$AV1118,IF(H1120="PACIFIC",PR!$AW1118,IF(H1120="PHAMATEX",PR!$AX1118,IF(H1120="PETHICS",PR!$AY1118,IF(H1120="PHILIPS",PR!$AZ1118,IF(H1120="RANBAXY",PR!$BA1118,IF(H1120="REALS",PR!$BB1118,IF(H1120="ROYAL",PR!$BC1118,IF(H1120="SAM",PR!$BD1118,IF(H1120="SEAGREEN",PR!$BE1118,IF(H1120="SKG",PR!$BF1118,IF(H1120="TAH",PR!$BG1118,IF(H1120="TAYLEK",PR!$BH1118,IF(H1120="TEMITA",PR!$BI1118,IF(H1120="THL",PR!$BJ1118,IF(H1120="UBASTIC",PR!$BK1118,IF(H1120="UNION",PR!$BL1118,IF(H1120="UNIQUE",PR!$BM1118,IF(H1120="VIXA",PR!$BN1118,IF(H1120="WWCV",PR!$BO1118,IF(H1120="ZOLON",PR!$BP1118,"-"))))))))))))))))))))))))))))))))))))))))))))))))))))))))))))))))</f>
        <v>38000</v>
      </c>
      <c r="H1120" s="102" t="str">
        <f>EV!M1414</f>
        <v>UBASTIC</v>
      </c>
      <c r="I1120" s="108" t="str">
        <f>IF(J1120="ALPHA",PR!$E1118,IF(J1120="ASSENE",PR!$F1118,IF(J1120="BIOFEM",PR!$G1118,IF(J1120="BIOMED",PR!$H1118,IF(J1120="CHI",PR!$I1118,IF(J1120="CLARION",PR!$J1118,IF(J1120="CODIX",PR!$K1118,IF(J1120="COSMADE",PR!$L1118,IF(J1120="SANCON",PR!$M1118,IF(J1120="DEVON",PR!$N1118,IF(J1120="DORTEMAG",PR!$O1118,IF(J1120="DGF",PR!$P1118,IF(J1120="DYNAMIC",PR!$Q1118,IF(J1120="EMZOR",PR!$R1118,IF(J1120="EUMATT",PR!$S1118,IF(J1120="FIDSON",PR!$T1118,IF(J1120="FCGLOBAL",PR!$U1118,IF(J1120="GENEITH",PR!$V1118,IF(J1120="GINOS",PR!$W1118,IF(J1120="GSK",PR!$X1118,IF(J1120="GLOBORG",PR!$Y1118,IF(J1120="GOODNEWS",PR!$Z1118,IF(J1120="GREENLIFE",PR!$AA1118,IF(J1120="HLINE",PR!$AB1118,IF(J1120="ROTECH",PR!$AC1118,IF(J1120="ISN",PR!$AD1118,IF(J1120="JAWA",PR!$AE1118,IF(J1120="LAYO",PR!$AF1118,IF(J1120="LEADWAY",PR!$AG1118,IF(J1120="LHV",PR!$AH1118,IF(J1120="MANOLA",PR!$AI1118,IF(J1120="MARCSON",PR!$AJ1118,IF(J1120="M&amp;B",PR!$AK1118,IF(J1120="MTRUST",PR!$AL1118,IF(J1120="MWORLD",PR!$AM1118,IF(J1120="MEGA",PR!$AN1118,IF(J1120="MICRONOVA",PR!$AO1118,IF(J1120="MFLASH",PR!$AP1118,IF(J1120="MORISON",PR!$AQ1118,IF(J1120="NEMEL",PR!$AR1118,IF(J1120="NHP",PR!$AS1118,IF(J1120="NHC",PR!$AT1118,IF(J1120="OLEAF",PR!$AU1118,IF(J1120="OCULUS",PR!$AV1118,IF(J1120="PACIFIC",PR!$AW1118,IF(J1120="PHAMATEX",PR!$AX1118,IF(J1120="PETHICS",PR!$AY1118,IF(J1120="PHILIPS",PR!$AZ1118,IF(J1120="RANBAXY",PR!$BA1118,IF(J1120="REALS",PR!$BB1118,IF(J1120="ROYAL",PR!$BC1118,IF(J1120="SAM",PR!$BD1118,IF(J1120="SEAGREEN",PR!$BE1118,IF(J1120="SKG",PR!$BF1118,IF(J1120="TAH",PR!$BG1118,IF(J1120="TAYLEK",PR!$BH1118,IF(J1120="TEMITA",PR!$BI1118,IF(J1120="THL",PR!$BJ1118,IF(J1120="UBASTIC",PR!$BK1118,IF(J1120="UNION",PR!$BL1118,IF(J1120="UNIQUE",PR!$BM1118,IF(J1120="VIXA",PR!$BN1118,IF(J1120="WWCV",PR!$BO1118,IF(J1120="ZOLON",PR!$BP1118,"-"))))))))))))))))))))))))))))))))))))))))))))))))))))))))))))))))</f>
        <v>-</v>
      </c>
      <c r="J1120" s="102">
        <f>EV!N1414</f>
        <v>0</v>
      </c>
      <c r="K1120" s="433" t="s">
        <v>1461</v>
      </c>
      <c r="L1120" s="183">
        <f>IF(K1120&gt;0,IF(K1120="ALPHA",PR!$E1118,IF(K1120="ASSENE",PR!$F1118,IF(K1120="BIOFEM",PR!$G1118,IF(K1120="BIOMED",PR!$H1118,IF(K1120="CHI",PR!$I1118,IF(K1120="CLARION",PR!$J1118,IF(K1120="CODIX",PR!$K1118,IF(K1120="COSMADE",PR!$L1118,IF(K1120="SANCON",PR!$M1118,IF(K1120="DEVON",PR!$N1118,IF(K1120="DORTEMAG",PR!$O1118,IF(K1120="DGF",PR!$P1118,IF(K1120="DYNAMIC",PR!$Q1118,IF(K1120="EMZOR",PR!$R1118,IF(K1120="EUMATT",PR!$S1118,IF(K1120="FIDSON",PR!$T1118,IF(K1120="FCGLOBAL",PR!$U1118,IF(K1120="GENEITH",PR!$V1118,IF(K1120="GINOS",PR!$W1118,IF(K1120="GSK",PR!$X1118,IF(K1120="GLOBORG",PR!$Y1118,IF(K1120="GOODNEWS",PR!$Z1118,IF(K1120="GREENLIFE",PR!$AA1118,IF(K1120="HLINE",PR!$AB1118,IF(K1120="ROTECH",PR!$AC1118,IF(K1120="ISN",PR!$AD1118,IF(K1120="JAWA",PR!$AE1118,IF(K1120="LAYO",PR!$AF1118,IF(K1120="LEADWAY",PR!$AG1118,IF(K1120="LHV",PR!$AH1118,IF(K1120="MANOLA",PR!$AI1118,IF(K1120="MARCSON",PR!$AJ1118,IF(K1120="M&amp;B",PR!$AK1118,IF(K1120="MTRUST",PR!$AL1118,IF(K1120="MWORLD",PR!$AM1118,IF(K1120="MEGA",PR!$AN1118,IF(K1120="MICRONOVA",PR!$AO1118,IF(K1120="MFLASH",PR!$AP1118,IF(K1120="MORISON",PR!$AQ1118,IF(K1120="NEMEL",PR!$AR1118,IF(K1120="NHP",PR!$AS1118,IF(K1120="NHC",PR!$AT1118,IF(K1120="OLEAF",PR!$AU1118,IF(K1120="OCULUS",PR!$AV1118,IF(K1120="PACIFIC",PR!$AW1118,IF(K1120="PHAMATEX",PR!$AX1118,IF(K1120="PETHICS",PR!$AY1118,IF(K1120="PHILIPS",PR!$AZ1118,IF(K1120="RANBAXY",PR!$BA1118,IF(K1120="REALS",PR!$BB1118,IF(K1120="ROYAL",PR!$BC1118,IF(K1120="SAM",PR!$BD1118,IF(K1120="SEAGREEN",PR!$BE1118,IF(K1120="SKG",PR!$BF1118,IF(K1120="TAH",PR!$BG1118,IF(K1120="TAYLEK",PR!$BH1118,IF(K1120="TEMITA",PR!$BI1118,IF(K1120="THL",PR!$BJ1118,IF(K1120="UBASTIC",PR!$BK1118,IF(K1120="UNION",PR!$BL1118,IF(K1120="UNIQUE",PR!$BM1118,IF(K1120="VIXA",PR!$BN1118,IF(K1120="WWCV",PR!$BO1118,IF(K1120="ZOLON",PR!$BP1118,"-")))))))))))))))))))))))))))))))))))))))))))))))))))))))))))))))))</f>
        <v>36400</v>
      </c>
    </row>
    <row r="1121" spans="1:12" ht="18.75" x14ac:dyDescent="0.3">
      <c r="A1121" s="430">
        <f>PR!A1119</f>
        <v>1006</v>
      </c>
      <c r="B1121" s="15" t="str">
        <f>PR!B1119</f>
        <v>THYROID STIMULATING HORMONE (TSH) SELEXONCARTRIDGE</v>
      </c>
      <c r="C1121" s="113" t="str">
        <f>PR!D1119</f>
        <v>1*20</v>
      </c>
      <c r="D1121" s="113">
        <f>PR!C1119</f>
        <v>20</v>
      </c>
      <c r="E1121" s="108">
        <f>IF(F1121="ALPHA",PR!$E1119,IF(F1121="ASSENE",PR!$F1119,IF(F1121="BIOFEM",PR!$G1119,IF(F1121="BIOMED",PR!$H1119,IF(F1121="CHI",PR!$I1119,IF(F1121="CLARION",PR!$J1119,IF(F1121="CODIX",PR!$K1119,IF(F1121="COSMADE",PR!$L1119,IF(F1121="SANCON",PR!$M1119,IF(F1121="DEVON",PR!$N1119,IF(F1121="DORTEMAG",PR!$O1119,IF(F1121="DGF",PR!$P1119,IF(F1121="DYNAMIC",PR!$Q1119,IF(F1121="EMZOR",PR!$R1119,IF(F1121="EUMATT",PR!$S1119,IF(F1121="FIDSON",PR!$T1119,IF(F1121="FCGLOBAL",PR!$U1119,IF(F1121="GENEITH",PR!$V1119,IF(F1121="GINOS",PR!$W1119,IF(F1121="GSK",PR!$X1119,IF(F1121="GLOBORG",PR!$Y1119,IF(F1121="GOODNEWS",PR!$Z1119,IF(F1121="GREENLIFE",PR!$AA1119,IF(F1121="HLINE",PR!$AB1119,IF(F1121="ROTECH",PR!$AC1119,IF(F1121="ISN",PR!$AD1119,IF(F1121="JAWA",PR!$AE1119,IF(F1121="LAYO",PR!$AF1119,IF(F1121="LEADWAY",PR!$AG1119,IF(F1121="LHV",PR!$AH1119,IF(F1121="MANOLA",PR!$AI1119,IF(F1121="MARCSON",PR!$AJ1119,IF(F1121="M&amp;B",PR!$AK1119,IF(F1121="MTRUST",PR!$AL1119,IF(F1121="MWORLD",PR!$AM1119,IF(F1121="MEGA",PR!$AN1119,IF(F1121="MICRONOVA",PR!$AO1119,IF(F1121="MFLASH",PR!$AP1119,IF(F1121="MORISON",PR!$AQ1119,IF(F1121="NEMEL",PR!$AR1119,IF(F1121="NHP",PR!$AS1119,IF(F1121="NHC",PR!$AT1119,IF(F1121="OLEAF",PR!$AU1119,IF(F1121="OCULUS",PR!$AV1119,IF(F1121="PACIFIC",PR!$AW1119,IF(F1121="PHAMATEX",PR!$AX1119,IF(F1121="PETHICS",PR!$AY1119,IF(F1121="PHILIPS",PR!$AZ1119,IF(F1121="RANBAXY",PR!$BA1119,IF(F1121="REALS",PR!$BB1119,IF(F1121="ROYAL",PR!$BC1119,IF(F1121="SAM",PR!$BD1119,IF(F1121="SEAGREEN",PR!$BE1119,IF(F1121="SKG",PR!$BF1119,IF(F1121="TAH",PR!$BG1119,IF(F1121="TAYLEK",PR!$BH1119,IF(F1121="TEMITA",PR!$BI1119,IF(F1121="THL",PR!$BJ1119,IF(F1121="UBASTIC",PR!$BK1119,IF(F1121="UNION",PR!$BL1119,IF(F1121="UNIQUE",PR!$BM1119,IF(F1121="VIXA",PR!$BN1119,IF(F1121="WWCV",PR!$BO1119,IF(F1121="ZOLON",PR!$BP1119,"-"))))))))))))))))))))))))))))))))))))))))))))))))))))))))))))))))</f>
        <v>23040</v>
      </c>
      <c r="F1121" s="102" t="str">
        <f>EV!L1415</f>
        <v>CODIX</v>
      </c>
      <c r="G1121" s="108">
        <f>IF(H1121="ALPHA",PR!$E1119,IF(H1121="ASSENE",PR!$F1119,IF(H1121="BIOFEM",PR!$G1119,IF(H1121="BIOMED",PR!$H1119,IF(H1121="CHI",PR!$I1119,IF(H1121="CLARION",PR!$J1119,IF(H1121="CODIX",PR!$K1119,IF(H1121="COSMADE",PR!$L1119,IF(H1121="SANCON",PR!$M1119,IF(H1121="DEVON",PR!$N1119,IF(H1121="DORTEMAG",PR!$O1119,IF(H1121="DGF",PR!$P1119,IF(H1121="DYNAMIC",PR!$Q1119,IF(H1121="EMZOR",PR!$R1119,IF(H1121="EUMATT",PR!$S1119,IF(H1121="FIDSON",PR!$T1119,IF(H1121="FCGLOBAL",PR!$U1119,IF(H1121="GENEITH",PR!$V1119,IF(H1121="GINOS",PR!$W1119,IF(H1121="GSK",PR!$X1119,IF(H1121="GLOBORG",PR!$Y1119,IF(H1121="GOODNEWS",PR!$Z1119,IF(H1121="GREENLIFE",PR!$AA1119,IF(H1121="HLINE",PR!$AB1119,IF(H1121="ROTECH",PR!$AC1119,IF(H1121="ISN",PR!$AD1119,IF(H1121="JAWA",PR!$AE1119,IF(H1121="LAYO",PR!$AF1119,IF(H1121="LEADWAY",PR!$AG1119,IF(H1121="LHV",PR!$AH1119,IF(H1121="MANOLA",PR!$AI1119,IF(H1121="MARCSON",PR!$AJ1119,IF(H1121="M&amp;B",PR!$AK1119,IF(H1121="MTRUST",PR!$AL1119,IF(H1121="MWORLD",PR!$AM1119,IF(H1121="MEGA",PR!$AN1119,IF(H1121="MICRONOVA",PR!$AO1119,IF(H1121="MFLASH",PR!$AP1119,IF(H1121="MORISON",PR!$AQ1119,IF(H1121="NEMEL",PR!$AR1119,IF(H1121="NHP",PR!$AS1119,IF(H1121="NHC",PR!$AT1119,IF(H1121="OLEAF",PR!$AU1119,IF(H1121="OCULUS",PR!$AV1119,IF(H1121="PACIFIC",PR!$AW1119,IF(H1121="PHAMATEX",PR!$AX1119,IF(H1121="PETHICS",PR!$AY1119,IF(H1121="PHILIPS",PR!$AZ1119,IF(H1121="RANBAXY",PR!$BA1119,IF(H1121="REALS",PR!$BB1119,IF(H1121="ROYAL",PR!$BC1119,IF(H1121="SAM",PR!$BD1119,IF(H1121="SEAGREEN",PR!$BE1119,IF(H1121="SKG",PR!$BF1119,IF(H1121="TAH",PR!$BG1119,IF(H1121="TAYLEK",PR!$BH1119,IF(H1121="TEMITA",PR!$BI1119,IF(H1121="THL",PR!$BJ1119,IF(H1121="UBASTIC",PR!$BK1119,IF(H1121="UNION",PR!$BL1119,IF(H1121="UNIQUE",PR!$BM1119,IF(H1121="VIXA",PR!$BN1119,IF(H1121="WWCV",PR!$BO1119,IF(H1121="ZOLON",PR!$BP1119,"-"))))))))))))))))))))))))))))))))))))))))))))))))))))))))))))))))</f>
        <v>29120</v>
      </c>
      <c r="H1121" s="102" t="str">
        <f>EV!M1415</f>
        <v>LAYO</v>
      </c>
      <c r="I1121" s="108" t="str">
        <f>IF(J1121="ALPHA",PR!$E1119,IF(J1121="ASSENE",PR!$F1119,IF(J1121="BIOFEM",PR!$G1119,IF(J1121="BIOMED",PR!$H1119,IF(J1121="CHI",PR!$I1119,IF(J1121="CLARION",PR!$J1119,IF(J1121="CODIX",PR!$K1119,IF(J1121="COSMADE",PR!$L1119,IF(J1121="SANCON",PR!$M1119,IF(J1121="DEVON",PR!$N1119,IF(J1121="DORTEMAG",PR!$O1119,IF(J1121="DGF",PR!$P1119,IF(J1121="DYNAMIC",PR!$Q1119,IF(J1121="EMZOR",PR!$R1119,IF(J1121="EUMATT",PR!$S1119,IF(J1121="FIDSON",PR!$T1119,IF(J1121="FCGLOBAL",PR!$U1119,IF(J1121="GENEITH",PR!$V1119,IF(J1121="GINOS",PR!$W1119,IF(J1121="GSK",PR!$X1119,IF(J1121="GLOBORG",PR!$Y1119,IF(J1121="GOODNEWS",PR!$Z1119,IF(J1121="GREENLIFE",PR!$AA1119,IF(J1121="HLINE",PR!$AB1119,IF(J1121="ROTECH",PR!$AC1119,IF(J1121="ISN",PR!$AD1119,IF(J1121="JAWA",PR!$AE1119,IF(J1121="LAYO",PR!$AF1119,IF(J1121="LEADWAY",PR!$AG1119,IF(J1121="LHV",PR!$AH1119,IF(J1121="MANOLA",PR!$AI1119,IF(J1121="MARCSON",PR!$AJ1119,IF(J1121="M&amp;B",PR!$AK1119,IF(J1121="MTRUST",PR!$AL1119,IF(J1121="MWORLD",PR!$AM1119,IF(J1121="MEGA",PR!$AN1119,IF(J1121="MICRONOVA",PR!$AO1119,IF(J1121="MFLASH",PR!$AP1119,IF(J1121="MORISON",PR!$AQ1119,IF(J1121="NEMEL",PR!$AR1119,IF(J1121="NHP",PR!$AS1119,IF(J1121="NHC",PR!$AT1119,IF(J1121="OLEAF",PR!$AU1119,IF(J1121="OCULUS",PR!$AV1119,IF(J1121="PACIFIC",PR!$AW1119,IF(J1121="PHAMATEX",PR!$AX1119,IF(J1121="PETHICS",PR!$AY1119,IF(J1121="PHILIPS",PR!$AZ1119,IF(J1121="RANBAXY",PR!$BA1119,IF(J1121="REALS",PR!$BB1119,IF(J1121="ROYAL",PR!$BC1119,IF(J1121="SAM",PR!$BD1119,IF(J1121="SEAGREEN",PR!$BE1119,IF(J1121="SKG",PR!$BF1119,IF(J1121="TAH",PR!$BG1119,IF(J1121="TAYLEK",PR!$BH1119,IF(J1121="TEMITA",PR!$BI1119,IF(J1121="THL",PR!$BJ1119,IF(J1121="UBASTIC",PR!$BK1119,IF(J1121="UNION",PR!$BL1119,IF(J1121="UNIQUE",PR!$BM1119,IF(J1121="VIXA",PR!$BN1119,IF(J1121="WWCV",PR!$BO1119,IF(J1121="ZOLON",PR!$BP1119,"-"))))))))))))))))))))))))))))))))))))))))))))))))))))))))))))))))</f>
        <v>-</v>
      </c>
      <c r="J1121" s="102">
        <f>EV!N1415</f>
        <v>0</v>
      </c>
      <c r="K1121" s="433" t="s">
        <v>617</v>
      </c>
      <c r="L1121" s="183">
        <f>IF(K1121&gt;0,IF(K1121="ALPHA",PR!$E1119,IF(K1121="ASSENE",PR!$F1119,IF(K1121="BIOFEM",PR!$G1119,IF(K1121="BIOMED",PR!$H1119,IF(K1121="CHI",PR!$I1119,IF(K1121="CLARION",PR!$J1119,IF(K1121="CODIX",PR!$K1119,IF(K1121="COSMADE",PR!$L1119,IF(K1121="SANCON",PR!$M1119,IF(K1121="DEVON",PR!$N1119,IF(K1121="DORTEMAG",PR!$O1119,IF(K1121="DGF",PR!$P1119,IF(K1121="DYNAMIC",PR!$Q1119,IF(K1121="EMZOR",PR!$R1119,IF(K1121="EUMATT",PR!$S1119,IF(K1121="FIDSON",PR!$T1119,IF(K1121="FCGLOBAL",PR!$U1119,IF(K1121="GENEITH",PR!$V1119,IF(K1121="GINOS",PR!$W1119,IF(K1121="GSK",PR!$X1119,IF(K1121="GLOBORG",PR!$Y1119,IF(K1121="GOODNEWS",PR!$Z1119,IF(K1121="GREENLIFE",PR!$AA1119,IF(K1121="HLINE",PR!$AB1119,IF(K1121="ROTECH",PR!$AC1119,IF(K1121="ISN",PR!$AD1119,IF(K1121="JAWA",PR!$AE1119,IF(K1121="LAYO",PR!$AF1119,IF(K1121="LEADWAY",PR!$AG1119,IF(K1121="LHV",PR!$AH1119,IF(K1121="MANOLA",PR!$AI1119,IF(K1121="MARCSON",PR!$AJ1119,IF(K1121="M&amp;B",PR!$AK1119,IF(K1121="MTRUST",PR!$AL1119,IF(K1121="MWORLD",PR!$AM1119,IF(K1121="MEGA",PR!$AN1119,IF(K1121="MICRONOVA",PR!$AO1119,IF(K1121="MFLASH",PR!$AP1119,IF(K1121="MORISON",PR!$AQ1119,IF(K1121="NEMEL",PR!$AR1119,IF(K1121="NHP",PR!$AS1119,IF(K1121="NHC",PR!$AT1119,IF(K1121="OLEAF",PR!$AU1119,IF(K1121="OCULUS",PR!$AV1119,IF(K1121="PACIFIC",PR!$AW1119,IF(K1121="PHAMATEX",PR!$AX1119,IF(K1121="PETHICS",PR!$AY1119,IF(K1121="PHILIPS",PR!$AZ1119,IF(K1121="RANBAXY",PR!$BA1119,IF(K1121="REALS",PR!$BB1119,IF(K1121="ROYAL",PR!$BC1119,IF(K1121="SAM",PR!$BD1119,IF(K1121="SEAGREEN",PR!$BE1119,IF(K1121="SKG",PR!$BF1119,IF(K1121="TAH",PR!$BG1119,IF(K1121="TAYLEK",PR!$BH1119,IF(K1121="TEMITA",PR!$BI1119,IF(K1121="THL",PR!$BJ1119,IF(K1121="UBASTIC",PR!$BK1119,IF(K1121="UNION",PR!$BL1119,IF(K1121="UNIQUE",PR!$BM1119,IF(K1121="VIXA",PR!$BN1119,IF(K1121="WWCV",PR!$BO1119,IF(K1121="ZOLON",PR!$BP1119,"-")))))))))))))))))))))))))))))))))))))))))))))))))))))))))))))))))</f>
        <v>23040</v>
      </c>
    </row>
    <row r="1122" spans="1:12" ht="18.75" x14ac:dyDescent="0.3">
      <c r="A1122" s="430">
        <f>PR!A1120</f>
        <v>1007</v>
      </c>
      <c r="B1122" s="15" t="str">
        <f>PR!B1120</f>
        <v>TETRA-IODOTHYRONINE/THYROXINE (T4) (SELEXONCARTRIDGE)</v>
      </c>
      <c r="C1122" s="113" t="str">
        <f>PR!D1120</f>
        <v>1*20</v>
      </c>
      <c r="D1122" s="113">
        <f>PR!C1120</f>
        <v>15</v>
      </c>
      <c r="E1122" s="108">
        <f>IF(F1122="ALPHA",PR!$E1120,IF(F1122="ASSENE",PR!$F1120,IF(F1122="BIOFEM",PR!$G1120,IF(F1122="BIOMED",PR!$H1120,IF(F1122="CHI",PR!$I1120,IF(F1122="CLARION",PR!$J1120,IF(F1122="CODIX",PR!$K1120,IF(F1122="COSMADE",PR!$L1120,IF(F1122="SANCON",PR!$M1120,IF(F1122="DEVON",PR!$N1120,IF(F1122="DORTEMAG",PR!$O1120,IF(F1122="DGF",PR!$P1120,IF(F1122="DYNAMIC",PR!$Q1120,IF(F1122="EMZOR",PR!$R1120,IF(F1122="EUMATT",PR!$S1120,IF(F1122="FIDSON",PR!$T1120,IF(F1122="FCGLOBAL",PR!$U1120,IF(F1122="GENEITH",PR!$V1120,IF(F1122="GINOS",PR!$W1120,IF(F1122="GSK",PR!$X1120,IF(F1122="GLOBORG",PR!$Y1120,IF(F1122="GOODNEWS",PR!$Z1120,IF(F1122="GREENLIFE",PR!$AA1120,IF(F1122="HLINE",PR!$AB1120,IF(F1122="ROTECH",PR!$AC1120,IF(F1122="ISN",PR!$AD1120,IF(F1122="JAWA",PR!$AE1120,IF(F1122="LAYO",PR!$AF1120,IF(F1122="LEADWAY",PR!$AG1120,IF(F1122="LHV",PR!$AH1120,IF(F1122="MANOLA",PR!$AI1120,IF(F1122="MARCSON",PR!$AJ1120,IF(F1122="M&amp;B",PR!$AK1120,IF(F1122="MTRUST",PR!$AL1120,IF(F1122="MWORLD",PR!$AM1120,IF(F1122="MEGA",PR!$AN1120,IF(F1122="MICRONOVA",PR!$AO1120,IF(F1122="MFLASH",PR!$AP1120,IF(F1122="MORISON",PR!$AQ1120,IF(F1122="NEMEL",PR!$AR1120,IF(F1122="NHP",PR!$AS1120,IF(F1122="NHC",PR!$AT1120,IF(F1122="OLEAF",PR!$AU1120,IF(F1122="OCULUS",PR!$AV1120,IF(F1122="PACIFIC",PR!$AW1120,IF(F1122="PHAMATEX",PR!$AX1120,IF(F1122="PETHICS",PR!$AY1120,IF(F1122="PHILIPS",PR!$AZ1120,IF(F1122="RANBAXY",PR!$BA1120,IF(F1122="REALS",PR!$BB1120,IF(F1122="ROYAL",PR!$BC1120,IF(F1122="SAM",PR!$BD1120,IF(F1122="SEAGREEN",PR!$BE1120,IF(F1122="SKG",PR!$BF1120,IF(F1122="TAH",PR!$BG1120,IF(F1122="TAYLEK",PR!$BH1120,IF(F1122="TEMITA",PR!$BI1120,IF(F1122="THL",PR!$BJ1120,IF(F1122="UBASTIC",PR!$BK1120,IF(F1122="UNION",PR!$BL1120,IF(F1122="UNIQUE",PR!$BM1120,IF(F1122="VIXA",PR!$BN1120,IF(F1122="WWCV",PR!$BO1120,IF(F1122="ZOLON",PR!$BP1120,"-"))))))))))))))))))))))))))))))))))))))))))))))))))))))))))))))))</f>
        <v>23040</v>
      </c>
      <c r="F1122" s="102" t="str">
        <f>EV!L1416</f>
        <v>CODIX</v>
      </c>
      <c r="G1122" s="108">
        <f>IF(H1122="ALPHA",PR!$E1120,IF(H1122="ASSENE",PR!$F1120,IF(H1122="BIOFEM",PR!$G1120,IF(H1122="BIOMED",PR!$H1120,IF(H1122="CHI",PR!$I1120,IF(H1122="CLARION",PR!$J1120,IF(H1122="CODIX",PR!$K1120,IF(H1122="COSMADE",PR!$L1120,IF(H1122="SANCON",PR!$M1120,IF(H1122="DEVON",PR!$N1120,IF(H1122="DORTEMAG",PR!$O1120,IF(H1122="DGF",PR!$P1120,IF(H1122="DYNAMIC",PR!$Q1120,IF(H1122="EMZOR",PR!$R1120,IF(H1122="EUMATT",PR!$S1120,IF(H1122="FIDSON",PR!$T1120,IF(H1122="FCGLOBAL",PR!$U1120,IF(H1122="GENEITH",PR!$V1120,IF(H1122="GINOS",PR!$W1120,IF(H1122="GSK",PR!$X1120,IF(H1122="GLOBORG",PR!$Y1120,IF(H1122="GOODNEWS",PR!$Z1120,IF(H1122="GREENLIFE",PR!$AA1120,IF(H1122="HLINE",PR!$AB1120,IF(H1122="ROTECH",PR!$AC1120,IF(H1122="ISN",PR!$AD1120,IF(H1122="JAWA",PR!$AE1120,IF(H1122="LAYO",PR!$AF1120,IF(H1122="LEADWAY",PR!$AG1120,IF(H1122="LHV",PR!$AH1120,IF(H1122="MANOLA",PR!$AI1120,IF(H1122="MARCSON",PR!$AJ1120,IF(H1122="M&amp;B",PR!$AK1120,IF(H1122="MTRUST",PR!$AL1120,IF(H1122="MWORLD",PR!$AM1120,IF(H1122="MEGA",PR!$AN1120,IF(H1122="MICRONOVA",PR!$AO1120,IF(H1122="MFLASH",PR!$AP1120,IF(H1122="MORISON",PR!$AQ1120,IF(H1122="NEMEL",PR!$AR1120,IF(H1122="NHP",PR!$AS1120,IF(H1122="NHC",PR!$AT1120,IF(H1122="OLEAF",PR!$AU1120,IF(H1122="OCULUS",PR!$AV1120,IF(H1122="PACIFIC",PR!$AW1120,IF(H1122="PHAMATEX",PR!$AX1120,IF(H1122="PETHICS",PR!$AY1120,IF(H1122="PHILIPS",PR!$AZ1120,IF(H1122="RANBAXY",PR!$BA1120,IF(H1122="REALS",PR!$BB1120,IF(H1122="ROYAL",PR!$BC1120,IF(H1122="SAM",PR!$BD1120,IF(H1122="SEAGREEN",PR!$BE1120,IF(H1122="SKG",PR!$BF1120,IF(H1122="TAH",PR!$BG1120,IF(H1122="TAYLEK",PR!$BH1120,IF(H1122="TEMITA",PR!$BI1120,IF(H1122="THL",PR!$BJ1120,IF(H1122="UBASTIC",PR!$BK1120,IF(H1122="UNION",PR!$BL1120,IF(H1122="UNIQUE",PR!$BM1120,IF(H1122="VIXA",PR!$BN1120,IF(H1122="WWCV",PR!$BO1120,IF(H1122="ZOLON",PR!$BP1120,"-"))))))))))))))))))))))))))))))))))))))))))))))))))))))))))))))))</f>
        <v>29120</v>
      </c>
      <c r="H1122" s="102" t="str">
        <f>EV!M1416</f>
        <v>LAYO</v>
      </c>
      <c r="I1122" s="108" t="str">
        <f>IF(J1122="ALPHA",PR!$E1120,IF(J1122="ASSENE",PR!$F1120,IF(J1122="BIOFEM",PR!$G1120,IF(J1122="BIOMED",PR!$H1120,IF(J1122="CHI",PR!$I1120,IF(J1122="CLARION",PR!$J1120,IF(J1122="CODIX",PR!$K1120,IF(J1122="COSMADE",PR!$L1120,IF(J1122="SANCON",PR!$M1120,IF(J1122="DEVON",PR!$N1120,IF(J1122="DORTEMAG",PR!$O1120,IF(J1122="DGF",PR!$P1120,IF(J1122="DYNAMIC",PR!$Q1120,IF(J1122="EMZOR",PR!$R1120,IF(J1122="EUMATT",PR!$S1120,IF(J1122="FIDSON",PR!$T1120,IF(J1122="FCGLOBAL",PR!$U1120,IF(J1122="GENEITH",PR!$V1120,IF(J1122="GINOS",PR!$W1120,IF(J1122="GSK",PR!$X1120,IF(J1122="GLOBORG",PR!$Y1120,IF(J1122="GOODNEWS",PR!$Z1120,IF(J1122="GREENLIFE",PR!$AA1120,IF(J1122="HLINE",PR!$AB1120,IF(J1122="ROTECH",PR!$AC1120,IF(J1122="ISN",PR!$AD1120,IF(J1122="JAWA",PR!$AE1120,IF(J1122="LAYO",PR!$AF1120,IF(J1122="LEADWAY",PR!$AG1120,IF(J1122="LHV",PR!$AH1120,IF(J1122="MANOLA",PR!$AI1120,IF(J1122="MARCSON",PR!$AJ1120,IF(J1122="M&amp;B",PR!$AK1120,IF(J1122="MTRUST",PR!$AL1120,IF(J1122="MWORLD",PR!$AM1120,IF(J1122="MEGA",PR!$AN1120,IF(J1122="MICRONOVA",PR!$AO1120,IF(J1122="MFLASH",PR!$AP1120,IF(J1122="MORISON",PR!$AQ1120,IF(J1122="NEMEL",PR!$AR1120,IF(J1122="NHP",PR!$AS1120,IF(J1122="NHC",PR!$AT1120,IF(J1122="OLEAF",PR!$AU1120,IF(J1122="OCULUS",PR!$AV1120,IF(J1122="PACIFIC",PR!$AW1120,IF(J1122="PHAMATEX",PR!$AX1120,IF(J1122="PETHICS",PR!$AY1120,IF(J1122="PHILIPS",PR!$AZ1120,IF(J1122="RANBAXY",PR!$BA1120,IF(J1122="REALS",PR!$BB1120,IF(J1122="ROYAL",PR!$BC1120,IF(J1122="SAM",PR!$BD1120,IF(J1122="SEAGREEN",PR!$BE1120,IF(J1122="SKG",PR!$BF1120,IF(J1122="TAH",PR!$BG1120,IF(J1122="TAYLEK",PR!$BH1120,IF(J1122="TEMITA",PR!$BI1120,IF(J1122="THL",PR!$BJ1120,IF(J1122="UBASTIC",PR!$BK1120,IF(J1122="UNION",PR!$BL1120,IF(J1122="UNIQUE",PR!$BM1120,IF(J1122="VIXA",PR!$BN1120,IF(J1122="WWCV",PR!$BO1120,IF(J1122="ZOLON",PR!$BP1120,"-"))))))))))))))))))))))))))))))))))))))))))))))))))))))))))))))))</f>
        <v>-</v>
      </c>
      <c r="J1122" s="102">
        <f>EV!N1416</f>
        <v>0</v>
      </c>
      <c r="K1122" s="433" t="s">
        <v>617</v>
      </c>
      <c r="L1122" s="183">
        <f>IF(K1122&gt;0,IF(K1122="ALPHA",PR!$E1120,IF(K1122="ASSENE",PR!$F1120,IF(K1122="BIOFEM",PR!$G1120,IF(K1122="BIOMED",PR!$H1120,IF(K1122="CHI",PR!$I1120,IF(K1122="CLARION",PR!$J1120,IF(K1122="CODIX",PR!$K1120,IF(K1122="COSMADE",PR!$L1120,IF(K1122="SANCON",PR!$M1120,IF(K1122="DEVON",PR!$N1120,IF(K1122="DORTEMAG",PR!$O1120,IF(K1122="DGF",PR!$P1120,IF(K1122="DYNAMIC",PR!$Q1120,IF(K1122="EMZOR",PR!$R1120,IF(K1122="EUMATT",PR!$S1120,IF(K1122="FIDSON",PR!$T1120,IF(K1122="FCGLOBAL",PR!$U1120,IF(K1122="GENEITH",PR!$V1120,IF(K1122="GINOS",PR!$W1120,IF(K1122="GSK",PR!$X1120,IF(K1122="GLOBORG",PR!$Y1120,IF(K1122="GOODNEWS",PR!$Z1120,IF(K1122="GREENLIFE",PR!$AA1120,IF(K1122="HLINE",PR!$AB1120,IF(K1122="ROTECH",PR!$AC1120,IF(K1122="ISN",PR!$AD1120,IF(K1122="JAWA",PR!$AE1120,IF(K1122="LAYO",PR!$AF1120,IF(K1122="LEADWAY",PR!$AG1120,IF(K1122="LHV",PR!$AH1120,IF(K1122="MANOLA",PR!$AI1120,IF(K1122="MARCSON",PR!$AJ1120,IF(K1122="M&amp;B",PR!$AK1120,IF(K1122="MTRUST",PR!$AL1120,IF(K1122="MWORLD",PR!$AM1120,IF(K1122="MEGA",PR!$AN1120,IF(K1122="MICRONOVA",PR!$AO1120,IF(K1122="MFLASH",PR!$AP1120,IF(K1122="MORISON",PR!$AQ1120,IF(K1122="NEMEL",PR!$AR1120,IF(K1122="NHP",PR!$AS1120,IF(K1122="NHC",PR!$AT1120,IF(K1122="OLEAF",PR!$AU1120,IF(K1122="OCULUS",PR!$AV1120,IF(K1122="PACIFIC",PR!$AW1120,IF(K1122="PHAMATEX",PR!$AX1120,IF(K1122="PETHICS",PR!$AY1120,IF(K1122="PHILIPS",PR!$AZ1120,IF(K1122="RANBAXY",PR!$BA1120,IF(K1122="REALS",PR!$BB1120,IF(K1122="ROYAL",PR!$BC1120,IF(K1122="SAM",PR!$BD1120,IF(K1122="SEAGREEN",PR!$BE1120,IF(K1122="SKG",PR!$BF1120,IF(K1122="TAH",PR!$BG1120,IF(K1122="TAYLEK",PR!$BH1120,IF(K1122="TEMITA",PR!$BI1120,IF(K1122="THL",PR!$BJ1120,IF(K1122="UBASTIC",PR!$BK1120,IF(K1122="UNION",PR!$BL1120,IF(K1122="UNIQUE",PR!$BM1120,IF(K1122="VIXA",PR!$BN1120,IF(K1122="WWCV",PR!$BO1120,IF(K1122="ZOLON",PR!$BP1120,"-")))))))))))))))))))))))))))))))))))))))))))))))))))))))))))))))))</f>
        <v>23040</v>
      </c>
    </row>
    <row r="1123" spans="1:12" ht="18.75" x14ac:dyDescent="0.3">
      <c r="A1123" s="430">
        <f>PR!A1121</f>
        <v>1008</v>
      </c>
      <c r="B1123" s="15" t="str">
        <f>PR!B1121</f>
        <v>GLYCOSYLATED HAEMOGLOBIN (HbA1c) (COVER A1c CARTRIDGES)</v>
      </c>
      <c r="C1123" s="113" t="str">
        <f>PR!D1121</f>
        <v>1*10</v>
      </c>
      <c r="D1123" s="113">
        <f>PR!C1121</f>
        <v>72</v>
      </c>
      <c r="E1123" s="108">
        <f>IF(F1123="ALPHA",PR!$E1121,IF(F1123="ASSENE",PR!$F1121,IF(F1123="BIOFEM",PR!$G1121,IF(F1123="BIOMED",PR!$H1121,IF(F1123="CHI",PR!$I1121,IF(F1123="CLARION",PR!$J1121,IF(F1123="CODIX",PR!$K1121,IF(F1123="COSMADE",PR!$L1121,IF(F1123="SANCON",PR!$M1121,IF(F1123="DEVON",PR!$N1121,IF(F1123="DORTEMAG",PR!$O1121,IF(F1123="DGF",PR!$P1121,IF(F1123="DYNAMIC",PR!$Q1121,IF(F1123="EMZOR",PR!$R1121,IF(F1123="EUMATT",PR!$S1121,IF(F1123="FIDSON",PR!$T1121,IF(F1123="FCGLOBAL",PR!$U1121,IF(F1123="GENEITH",PR!$V1121,IF(F1123="GINOS",PR!$W1121,IF(F1123="GSK",PR!$X1121,IF(F1123="GLOBORG",PR!$Y1121,IF(F1123="GOODNEWS",PR!$Z1121,IF(F1123="GREENLIFE",PR!$AA1121,IF(F1123="HLINE",PR!$AB1121,IF(F1123="ROTECH",PR!$AC1121,IF(F1123="ISN",PR!$AD1121,IF(F1123="JAWA",PR!$AE1121,IF(F1123="LAYO",PR!$AF1121,IF(F1123="LEADWAY",PR!$AG1121,IF(F1123="LHV",PR!$AH1121,IF(F1123="MANOLA",PR!$AI1121,IF(F1123="MARCSON",PR!$AJ1121,IF(F1123="M&amp;B",PR!$AK1121,IF(F1123="MTRUST",PR!$AL1121,IF(F1123="MWORLD",PR!$AM1121,IF(F1123="MEGA",PR!$AN1121,IF(F1123="MICRONOVA",PR!$AO1121,IF(F1123="MFLASH",PR!$AP1121,IF(F1123="MORISON",PR!$AQ1121,IF(F1123="NEMEL",PR!$AR1121,IF(F1123="NHP",PR!$AS1121,IF(F1123="NHC",PR!$AT1121,IF(F1123="OLEAF",PR!$AU1121,IF(F1123="OCULUS",PR!$AV1121,IF(F1123="PACIFIC",PR!$AW1121,IF(F1123="PHAMATEX",PR!$AX1121,IF(F1123="PETHICS",PR!$AY1121,IF(F1123="PHILIPS",PR!$AZ1121,IF(F1123="RANBAXY",PR!$BA1121,IF(F1123="REALS",PR!$BB1121,IF(F1123="ROYAL",PR!$BC1121,IF(F1123="SAM",PR!$BD1121,IF(F1123="SEAGREEN",PR!$BE1121,IF(F1123="SKG",PR!$BF1121,IF(F1123="TAH",PR!$BG1121,IF(F1123="TAYLEK",PR!$BH1121,IF(F1123="TEMITA",PR!$BI1121,IF(F1123="THL",PR!$BJ1121,IF(F1123="UBASTIC",PR!$BK1121,IF(F1123="UNION",PR!$BL1121,IF(F1123="UNIQUE",PR!$BM1121,IF(F1123="VIXA",PR!$BN1121,IF(F1123="WWCV",PR!$BO1121,IF(F1123="ZOLON",PR!$BP1121,"-"))))))))))))))))))))))))))))))))))))))))))))))))))))))))))))))))</f>
        <v>19200</v>
      </c>
      <c r="F1123" s="102" t="str">
        <f>EV!L1417</f>
        <v>CODIX</v>
      </c>
      <c r="G1123" s="108">
        <f>IF(H1123="ALPHA",PR!$E1121,IF(H1123="ASSENE",PR!$F1121,IF(H1123="BIOFEM",PR!$G1121,IF(H1123="BIOMED",PR!$H1121,IF(H1123="CHI",PR!$I1121,IF(H1123="CLARION",PR!$J1121,IF(H1123="CODIX",PR!$K1121,IF(H1123="COSMADE",PR!$L1121,IF(H1123="SANCON",PR!$M1121,IF(H1123="DEVON",PR!$N1121,IF(H1123="DORTEMAG",PR!$O1121,IF(H1123="DGF",PR!$P1121,IF(H1123="DYNAMIC",PR!$Q1121,IF(H1123="EMZOR",PR!$R1121,IF(H1123="EUMATT",PR!$S1121,IF(H1123="FIDSON",PR!$T1121,IF(H1123="FCGLOBAL",PR!$U1121,IF(H1123="GENEITH",PR!$V1121,IF(H1123="GINOS",PR!$W1121,IF(H1123="GSK",PR!$X1121,IF(H1123="GLOBORG",PR!$Y1121,IF(H1123="GOODNEWS",PR!$Z1121,IF(H1123="GREENLIFE",PR!$AA1121,IF(H1123="HLINE",PR!$AB1121,IF(H1123="ROTECH",PR!$AC1121,IF(H1123="ISN",PR!$AD1121,IF(H1123="JAWA",PR!$AE1121,IF(H1123="LAYO",PR!$AF1121,IF(H1123="LEADWAY",PR!$AG1121,IF(H1123="LHV",PR!$AH1121,IF(H1123="MANOLA",PR!$AI1121,IF(H1123="MARCSON",PR!$AJ1121,IF(H1123="M&amp;B",PR!$AK1121,IF(H1123="MTRUST",PR!$AL1121,IF(H1123="MWORLD",PR!$AM1121,IF(H1123="MEGA",PR!$AN1121,IF(H1123="MICRONOVA",PR!$AO1121,IF(H1123="MFLASH",PR!$AP1121,IF(H1123="MORISON",PR!$AQ1121,IF(H1123="NEMEL",PR!$AR1121,IF(H1123="NHP",PR!$AS1121,IF(H1123="NHC",PR!$AT1121,IF(H1123="OLEAF",PR!$AU1121,IF(H1123="OCULUS",PR!$AV1121,IF(H1123="PACIFIC",PR!$AW1121,IF(H1123="PHAMATEX",PR!$AX1121,IF(H1123="PETHICS",PR!$AY1121,IF(H1123="PHILIPS",PR!$AZ1121,IF(H1123="RANBAXY",PR!$BA1121,IF(H1123="REALS",PR!$BB1121,IF(H1123="ROYAL",PR!$BC1121,IF(H1123="SAM",PR!$BD1121,IF(H1123="SEAGREEN",PR!$BE1121,IF(H1123="SKG",PR!$BF1121,IF(H1123="TAH",PR!$BG1121,IF(H1123="TAYLEK",PR!$BH1121,IF(H1123="TEMITA",PR!$BI1121,IF(H1123="THL",PR!$BJ1121,IF(H1123="UBASTIC",PR!$BK1121,IF(H1123="UNION",PR!$BL1121,IF(H1123="UNIQUE",PR!$BM1121,IF(H1123="VIXA",PR!$BN1121,IF(H1123="WWCV",PR!$BO1121,IF(H1123="ZOLON",PR!$BP1121,"-"))))))))))))))))))))))))))))))))))))))))))))))))))))))))))))))))</f>
        <v>28600</v>
      </c>
      <c r="H1123" s="102" t="str">
        <f>EV!M1417</f>
        <v>LAYO</v>
      </c>
      <c r="I1123" s="108" t="str">
        <f>IF(J1123="ALPHA",PR!$E1121,IF(J1123="ASSENE",PR!$F1121,IF(J1123="BIOFEM",PR!$G1121,IF(J1123="BIOMED",PR!$H1121,IF(J1123="CHI",PR!$I1121,IF(J1123="CLARION",PR!$J1121,IF(J1123="CODIX",PR!$K1121,IF(J1123="COSMADE",PR!$L1121,IF(J1123="SANCON",PR!$M1121,IF(J1123="DEVON",PR!$N1121,IF(J1123="DORTEMAG",PR!$O1121,IF(J1123="DGF",PR!$P1121,IF(J1123="DYNAMIC",PR!$Q1121,IF(J1123="EMZOR",PR!$R1121,IF(J1123="EUMATT",PR!$S1121,IF(J1123="FIDSON",PR!$T1121,IF(J1123="FCGLOBAL",PR!$U1121,IF(J1123="GENEITH",PR!$V1121,IF(J1123="GINOS",PR!$W1121,IF(J1123="GSK",PR!$X1121,IF(J1123="GLOBORG",PR!$Y1121,IF(J1123="GOODNEWS",PR!$Z1121,IF(J1123="GREENLIFE",PR!$AA1121,IF(J1123="HLINE",PR!$AB1121,IF(J1123="ROTECH",PR!$AC1121,IF(J1123="ISN",PR!$AD1121,IF(J1123="JAWA",PR!$AE1121,IF(J1123="LAYO",PR!$AF1121,IF(J1123="LEADWAY",PR!$AG1121,IF(J1123="LHV",PR!$AH1121,IF(J1123="MANOLA",PR!$AI1121,IF(J1123="MARCSON",PR!$AJ1121,IF(J1123="M&amp;B",PR!$AK1121,IF(J1123="MTRUST",PR!$AL1121,IF(J1123="MWORLD",PR!$AM1121,IF(J1123="MEGA",PR!$AN1121,IF(J1123="MICRONOVA",PR!$AO1121,IF(J1123="MFLASH",PR!$AP1121,IF(J1123="MORISON",PR!$AQ1121,IF(J1123="NEMEL",PR!$AR1121,IF(J1123="NHP",PR!$AS1121,IF(J1123="NHC",PR!$AT1121,IF(J1123="OLEAF",PR!$AU1121,IF(J1123="OCULUS",PR!$AV1121,IF(J1123="PACIFIC",PR!$AW1121,IF(J1123="PHAMATEX",PR!$AX1121,IF(J1123="PETHICS",PR!$AY1121,IF(J1123="PHILIPS",PR!$AZ1121,IF(J1123="RANBAXY",PR!$BA1121,IF(J1123="REALS",PR!$BB1121,IF(J1123="ROYAL",PR!$BC1121,IF(J1123="SAM",PR!$BD1121,IF(J1123="SEAGREEN",PR!$BE1121,IF(J1123="SKG",PR!$BF1121,IF(J1123="TAH",PR!$BG1121,IF(J1123="TAYLEK",PR!$BH1121,IF(J1123="TEMITA",PR!$BI1121,IF(J1123="THL",PR!$BJ1121,IF(J1123="UBASTIC",PR!$BK1121,IF(J1123="UNION",PR!$BL1121,IF(J1123="UNIQUE",PR!$BM1121,IF(J1123="VIXA",PR!$BN1121,IF(J1123="WWCV",PR!$BO1121,IF(J1123="ZOLON",PR!$BP1121,"-"))))))))))))))))))))))))))))))))))))))))))))))))))))))))))))))))</f>
        <v>-</v>
      </c>
      <c r="J1123" s="102">
        <f>EV!N1417</f>
        <v>0</v>
      </c>
      <c r="K1123" s="433" t="s">
        <v>617</v>
      </c>
      <c r="L1123" s="183">
        <f>IF(K1123&gt;0,IF(K1123="ALPHA",PR!$E1121,IF(K1123="ASSENE",PR!$F1121,IF(K1123="BIOFEM",PR!$G1121,IF(K1123="BIOMED",PR!$H1121,IF(K1123="CHI",PR!$I1121,IF(K1123="CLARION",PR!$J1121,IF(K1123="CODIX",PR!$K1121,IF(K1123="COSMADE",PR!$L1121,IF(K1123="SANCON",PR!$M1121,IF(K1123="DEVON",PR!$N1121,IF(K1123="DORTEMAG",PR!$O1121,IF(K1123="DGF",PR!$P1121,IF(K1123="DYNAMIC",PR!$Q1121,IF(K1123="EMZOR",PR!$R1121,IF(K1123="EUMATT",PR!$S1121,IF(K1123="FIDSON",PR!$T1121,IF(K1123="FCGLOBAL",PR!$U1121,IF(K1123="GENEITH",PR!$V1121,IF(K1123="GINOS",PR!$W1121,IF(K1123="GSK",PR!$X1121,IF(K1123="GLOBORG",PR!$Y1121,IF(K1123="GOODNEWS",PR!$Z1121,IF(K1123="GREENLIFE",PR!$AA1121,IF(K1123="HLINE",PR!$AB1121,IF(K1123="ROTECH",PR!$AC1121,IF(K1123="ISN",PR!$AD1121,IF(K1123="JAWA",PR!$AE1121,IF(K1123="LAYO",PR!$AF1121,IF(K1123="LEADWAY",PR!$AG1121,IF(K1123="LHV",PR!$AH1121,IF(K1123="MANOLA",PR!$AI1121,IF(K1123="MARCSON",PR!$AJ1121,IF(K1123="M&amp;B",PR!$AK1121,IF(K1123="MTRUST",PR!$AL1121,IF(K1123="MWORLD",PR!$AM1121,IF(K1123="MEGA",PR!$AN1121,IF(K1123="MICRONOVA",PR!$AO1121,IF(K1123="MFLASH",PR!$AP1121,IF(K1123="MORISON",PR!$AQ1121,IF(K1123="NEMEL",PR!$AR1121,IF(K1123="NHP",PR!$AS1121,IF(K1123="NHC",PR!$AT1121,IF(K1123="OLEAF",PR!$AU1121,IF(K1123="OCULUS",PR!$AV1121,IF(K1123="PACIFIC",PR!$AW1121,IF(K1123="PHAMATEX",PR!$AX1121,IF(K1123="PETHICS",PR!$AY1121,IF(K1123="PHILIPS",PR!$AZ1121,IF(K1123="RANBAXY",PR!$BA1121,IF(K1123="REALS",PR!$BB1121,IF(K1123="ROYAL",PR!$BC1121,IF(K1123="SAM",PR!$BD1121,IF(K1123="SEAGREEN",PR!$BE1121,IF(K1123="SKG",PR!$BF1121,IF(K1123="TAH",PR!$BG1121,IF(K1123="TAYLEK",PR!$BH1121,IF(K1123="TEMITA",PR!$BI1121,IF(K1123="THL",PR!$BJ1121,IF(K1123="UBASTIC",PR!$BK1121,IF(K1123="UNION",PR!$BL1121,IF(K1123="UNIQUE",PR!$BM1121,IF(K1123="VIXA",PR!$BN1121,IF(K1123="WWCV",PR!$BO1121,IF(K1123="ZOLON",PR!$BP1121,"-")))))))))))))))))))))))))))))))))))))))))))))))))))))))))))))))))</f>
        <v>19200</v>
      </c>
    </row>
    <row r="1124" spans="1:12" ht="18.75" x14ac:dyDescent="0.3">
      <c r="A1124" s="430">
        <f>PR!A1122</f>
        <v>1009</v>
      </c>
      <c r="B1124" s="15" t="str">
        <f>PR!B1122</f>
        <v>TRI-IODOTHYRONINE (T3) (SELEXOCARTRIDGES)</v>
      </c>
      <c r="C1124" s="113" t="str">
        <f>PR!D1122</f>
        <v>1*20</v>
      </c>
      <c r="D1124" s="113">
        <f>PR!C1122</f>
        <v>15</v>
      </c>
      <c r="E1124" s="108">
        <f>IF(F1124="ALPHA",PR!$E1122,IF(F1124="ASSENE",PR!$F1122,IF(F1124="BIOFEM",PR!$G1122,IF(F1124="BIOMED",PR!$H1122,IF(F1124="CHI",PR!$I1122,IF(F1124="CLARION",PR!$J1122,IF(F1124="CODIX",PR!$K1122,IF(F1124="COSMADE",PR!$L1122,IF(F1124="SANCON",PR!$M1122,IF(F1124="DEVON",PR!$N1122,IF(F1124="DORTEMAG",PR!$O1122,IF(F1124="DGF",PR!$P1122,IF(F1124="DYNAMIC",PR!$Q1122,IF(F1124="EMZOR",PR!$R1122,IF(F1124="EUMATT",PR!$S1122,IF(F1124="FIDSON",PR!$T1122,IF(F1124="FCGLOBAL",PR!$U1122,IF(F1124="GENEITH",PR!$V1122,IF(F1124="GINOS",PR!$W1122,IF(F1124="GSK",PR!$X1122,IF(F1124="GLOBORG",PR!$Y1122,IF(F1124="GOODNEWS",PR!$Z1122,IF(F1124="GREENLIFE",PR!$AA1122,IF(F1124="HLINE",PR!$AB1122,IF(F1124="ROTECH",PR!$AC1122,IF(F1124="ISN",PR!$AD1122,IF(F1124="JAWA",PR!$AE1122,IF(F1124="LAYO",PR!$AF1122,IF(F1124="LEADWAY",PR!$AG1122,IF(F1124="LHV",PR!$AH1122,IF(F1124="MANOLA",PR!$AI1122,IF(F1124="MARCSON",PR!$AJ1122,IF(F1124="M&amp;B",PR!$AK1122,IF(F1124="MTRUST",PR!$AL1122,IF(F1124="MWORLD",PR!$AM1122,IF(F1124="MEGA",PR!$AN1122,IF(F1124="MICRONOVA",PR!$AO1122,IF(F1124="MFLASH",PR!$AP1122,IF(F1124="MORISON",PR!$AQ1122,IF(F1124="NEMEL",PR!$AR1122,IF(F1124="NHP",PR!$AS1122,IF(F1124="NHC",PR!$AT1122,IF(F1124="OLEAF",PR!$AU1122,IF(F1124="OCULUS",PR!$AV1122,IF(F1124="PACIFIC",PR!$AW1122,IF(F1124="PHAMATEX",PR!$AX1122,IF(F1124="PETHICS",PR!$AY1122,IF(F1124="PHILIPS",PR!$AZ1122,IF(F1124="RANBAXY",PR!$BA1122,IF(F1124="REALS",PR!$BB1122,IF(F1124="ROYAL",PR!$BC1122,IF(F1124="SAM",PR!$BD1122,IF(F1124="SEAGREEN",PR!$BE1122,IF(F1124="SKG",PR!$BF1122,IF(F1124="TAH",PR!$BG1122,IF(F1124="TAYLEK",PR!$BH1122,IF(F1124="TEMITA",PR!$BI1122,IF(F1124="THL",PR!$BJ1122,IF(F1124="UBASTIC",PR!$BK1122,IF(F1124="UNION",PR!$BL1122,IF(F1124="UNIQUE",PR!$BM1122,IF(F1124="VIXA",PR!$BN1122,IF(F1124="WWCV",PR!$BO1122,IF(F1124="ZOLON",PR!$BP1122,"-"))))))))))))))))))))))))))))))))))))))))))))))))))))))))))))))))</f>
        <v>23040</v>
      </c>
      <c r="F1124" s="102" t="str">
        <f>EV!L1418</f>
        <v>CODIX</v>
      </c>
      <c r="G1124" s="108">
        <f>IF(H1124="ALPHA",PR!$E1122,IF(H1124="ASSENE",PR!$F1122,IF(H1124="BIOFEM",PR!$G1122,IF(H1124="BIOMED",PR!$H1122,IF(H1124="CHI",PR!$I1122,IF(H1124="CLARION",PR!$J1122,IF(H1124="CODIX",PR!$K1122,IF(H1124="COSMADE",PR!$L1122,IF(H1124="SANCON",PR!$M1122,IF(H1124="DEVON",PR!$N1122,IF(H1124="DORTEMAG",PR!$O1122,IF(H1124="DGF",PR!$P1122,IF(H1124="DYNAMIC",PR!$Q1122,IF(H1124="EMZOR",PR!$R1122,IF(H1124="EUMATT",PR!$S1122,IF(H1124="FIDSON",PR!$T1122,IF(H1124="FCGLOBAL",PR!$U1122,IF(H1124="GENEITH",PR!$V1122,IF(H1124="GINOS",PR!$W1122,IF(H1124="GSK",PR!$X1122,IF(H1124="GLOBORG",PR!$Y1122,IF(H1124="GOODNEWS",PR!$Z1122,IF(H1124="GREENLIFE",PR!$AA1122,IF(H1124="HLINE",PR!$AB1122,IF(H1124="ROTECH",PR!$AC1122,IF(H1124="ISN",PR!$AD1122,IF(H1124="JAWA",PR!$AE1122,IF(H1124="LAYO",PR!$AF1122,IF(H1124="LEADWAY",PR!$AG1122,IF(H1124="LHV",PR!$AH1122,IF(H1124="MANOLA",PR!$AI1122,IF(H1124="MARCSON",PR!$AJ1122,IF(H1124="M&amp;B",PR!$AK1122,IF(H1124="MTRUST",PR!$AL1122,IF(H1124="MWORLD",PR!$AM1122,IF(H1124="MEGA",PR!$AN1122,IF(H1124="MICRONOVA",PR!$AO1122,IF(H1124="MFLASH",PR!$AP1122,IF(H1124="MORISON",PR!$AQ1122,IF(H1124="NEMEL",PR!$AR1122,IF(H1124="NHP",PR!$AS1122,IF(H1124="NHC",PR!$AT1122,IF(H1124="OLEAF",PR!$AU1122,IF(H1124="OCULUS",PR!$AV1122,IF(H1124="PACIFIC",PR!$AW1122,IF(H1124="PHAMATEX",PR!$AX1122,IF(H1124="PETHICS",PR!$AY1122,IF(H1124="PHILIPS",PR!$AZ1122,IF(H1124="RANBAXY",PR!$BA1122,IF(H1124="REALS",PR!$BB1122,IF(H1124="ROYAL",PR!$BC1122,IF(H1124="SAM",PR!$BD1122,IF(H1124="SEAGREEN",PR!$BE1122,IF(H1124="SKG",PR!$BF1122,IF(H1124="TAH",PR!$BG1122,IF(H1124="TAYLEK",PR!$BH1122,IF(H1124="TEMITA",PR!$BI1122,IF(H1124="THL",PR!$BJ1122,IF(H1124="UBASTIC",PR!$BK1122,IF(H1124="UNION",PR!$BL1122,IF(H1124="UNIQUE",PR!$BM1122,IF(H1124="VIXA",PR!$BN1122,IF(H1124="WWCV",PR!$BO1122,IF(H1124="ZOLON",PR!$BP1122,"-"))))))))))))))))))))))))))))))))))))))))))))))))))))))))))))))))</f>
        <v>29120</v>
      </c>
      <c r="H1124" s="102" t="str">
        <f>EV!M1418</f>
        <v>LAYO</v>
      </c>
      <c r="I1124" s="108" t="str">
        <f>IF(J1124="ALPHA",PR!$E1122,IF(J1124="ASSENE",PR!$F1122,IF(J1124="BIOFEM",PR!$G1122,IF(J1124="BIOMED",PR!$H1122,IF(J1124="CHI",PR!$I1122,IF(J1124="CLARION",PR!$J1122,IF(J1124="CODIX",PR!$K1122,IF(J1124="COSMADE",PR!$L1122,IF(J1124="SANCON",PR!$M1122,IF(J1124="DEVON",PR!$N1122,IF(J1124="DORTEMAG",PR!$O1122,IF(J1124="DGF",PR!$P1122,IF(J1124="DYNAMIC",PR!$Q1122,IF(J1124="EMZOR",PR!$R1122,IF(J1124="EUMATT",PR!$S1122,IF(J1124="FIDSON",PR!$T1122,IF(J1124="FCGLOBAL",PR!$U1122,IF(J1124="GENEITH",PR!$V1122,IF(J1124="GINOS",PR!$W1122,IF(J1124="GSK",PR!$X1122,IF(J1124="GLOBORG",PR!$Y1122,IF(J1124="GOODNEWS",PR!$Z1122,IF(J1124="GREENLIFE",PR!$AA1122,IF(J1124="HLINE",PR!$AB1122,IF(J1124="ROTECH",PR!$AC1122,IF(J1124="ISN",PR!$AD1122,IF(J1124="JAWA",PR!$AE1122,IF(J1124="LAYO",PR!$AF1122,IF(J1124="LEADWAY",PR!$AG1122,IF(J1124="LHV",PR!$AH1122,IF(J1124="MANOLA",PR!$AI1122,IF(J1124="MARCSON",PR!$AJ1122,IF(J1124="M&amp;B",PR!$AK1122,IF(J1124="MTRUST",PR!$AL1122,IF(J1124="MWORLD",PR!$AM1122,IF(J1124="MEGA",PR!$AN1122,IF(J1124="MICRONOVA",PR!$AO1122,IF(J1124="MFLASH",PR!$AP1122,IF(J1124="MORISON",PR!$AQ1122,IF(J1124="NEMEL",PR!$AR1122,IF(J1124="NHP",PR!$AS1122,IF(J1124="NHC",PR!$AT1122,IF(J1124="OLEAF",PR!$AU1122,IF(J1124="OCULUS",PR!$AV1122,IF(J1124="PACIFIC",PR!$AW1122,IF(J1124="PHAMATEX",PR!$AX1122,IF(J1124="PETHICS",PR!$AY1122,IF(J1124="PHILIPS",PR!$AZ1122,IF(J1124="RANBAXY",PR!$BA1122,IF(J1124="REALS",PR!$BB1122,IF(J1124="ROYAL",PR!$BC1122,IF(J1124="SAM",PR!$BD1122,IF(J1124="SEAGREEN",PR!$BE1122,IF(J1124="SKG",PR!$BF1122,IF(J1124="TAH",PR!$BG1122,IF(J1124="TAYLEK",PR!$BH1122,IF(J1124="TEMITA",PR!$BI1122,IF(J1124="THL",PR!$BJ1122,IF(J1124="UBASTIC",PR!$BK1122,IF(J1124="UNION",PR!$BL1122,IF(J1124="UNIQUE",PR!$BM1122,IF(J1124="VIXA",PR!$BN1122,IF(J1124="WWCV",PR!$BO1122,IF(J1124="ZOLON",PR!$BP1122,"-"))))))))))))))))))))))))))))))))))))))))))))))))))))))))))))))))</f>
        <v>-</v>
      </c>
      <c r="J1124" s="102">
        <f>EV!N1418</f>
        <v>0</v>
      </c>
      <c r="K1124" s="433" t="s">
        <v>617</v>
      </c>
      <c r="L1124" s="183">
        <f>IF(K1124&gt;0,IF(K1124="ALPHA",PR!$E1122,IF(K1124="ASSENE",PR!$F1122,IF(K1124="BIOFEM",PR!$G1122,IF(K1124="BIOMED",PR!$H1122,IF(K1124="CHI",PR!$I1122,IF(K1124="CLARION",PR!$J1122,IF(K1124="CODIX",PR!$K1122,IF(K1124="COSMADE",PR!$L1122,IF(K1124="SANCON",PR!$M1122,IF(K1124="DEVON",PR!$N1122,IF(K1124="DORTEMAG",PR!$O1122,IF(K1124="DGF",PR!$P1122,IF(K1124="DYNAMIC",PR!$Q1122,IF(K1124="EMZOR",PR!$R1122,IF(K1124="EUMATT",PR!$S1122,IF(K1124="FIDSON",PR!$T1122,IF(K1124="FCGLOBAL",PR!$U1122,IF(K1124="GENEITH",PR!$V1122,IF(K1124="GINOS",PR!$W1122,IF(K1124="GSK",PR!$X1122,IF(K1124="GLOBORG",PR!$Y1122,IF(K1124="GOODNEWS",PR!$Z1122,IF(K1124="GREENLIFE",PR!$AA1122,IF(K1124="HLINE",PR!$AB1122,IF(K1124="ROTECH",PR!$AC1122,IF(K1124="ISN",PR!$AD1122,IF(K1124="JAWA",PR!$AE1122,IF(K1124="LAYO",PR!$AF1122,IF(K1124="LEADWAY",PR!$AG1122,IF(K1124="LHV",PR!$AH1122,IF(K1124="MANOLA",PR!$AI1122,IF(K1124="MARCSON",PR!$AJ1122,IF(K1124="M&amp;B",PR!$AK1122,IF(K1124="MTRUST",PR!$AL1122,IF(K1124="MWORLD",PR!$AM1122,IF(K1124="MEGA",PR!$AN1122,IF(K1124="MICRONOVA",PR!$AO1122,IF(K1124="MFLASH",PR!$AP1122,IF(K1124="MORISON",PR!$AQ1122,IF(K1124="NEMEL",PR!$AR1122,IF(K1124="NHP",PR!$AS1122,IF(K1124="NHC",PR!$AT1122,IF(K1124="OLEAF",PR!$AU1122,IF(K1124="OCULUS",PR!$AV1122,IF(K1124="PACIFIC",PR!$AW1122,IF(K1124="PHAMATEX",PR!$AX1122,IF(K1124="PETHICS",PR!$AY1122,IF(K1124="PHILIPS",PR!$AZ1122,IF(K1124="RANBAXY",PR!$BA1122,IF(K1124="REALS",PR!$BB1122,IF(K1124="ROYAL",PR!$BC1122,IF(K1124="SAM",PR!$BD1122,IF(K1124="SEAGREEN",PR!$BE1122,IF(K1124="SKG",PR!$BF1122,IF(K1124="TAH",PR!$BG1122,IF(K1124="TAYLEK",PR!$BH1122,IF(K1124="TEMITA",PR!$BI1122,IF(K1124="THL",PR!$BJ1122,IF(K1124="UBASTIC",PR!$BK1122,IF(K1124="UNION",PR!$BL1122,IF(K1124="UNIQUE",PR!$BM1122,IF(K1124="VIXA",PR!$BN1122,IF(K1124="WWCV",PR!$BO1122,IF(K1124="ZOLON",PR!$BP1122,"-")))))))))))))))))))))))))))))))))))))))))))))))))))))))))))))))))</f>
        <v>23040</v>
      </c>
    </row>
    <row r="1125" spans="1:12" ht="18.75" x14ac:dyDescent="0.3">
      <c r="A1125" s="430">
        <f>PR!A1123</f>
        <v>1010</v>
      </c>
      <c r="B1125" s="15" t="str">
        <f>PR!B1123</f>
        <v>MICROALBUMIN (ICHROMACARTRIDGES)</v>
      </c>
      <c r="C1125" s="113" t="str">
        <f>PR!D1123</f>
        <v>1*25</v>
      </c>
      <c r="D1125" s="113">
        <f>PR!C1123</f>
        <v>2</v>
      </c>
      <c r="E1125" s="108">
        <f>IF(F1125="ALPHA",PR!$E1123,IF(F1125="ASSENE",PR!$F1123,IF(F1125="BIOFEM",PR!$G1123,IF(F1125="BIOMED",PR!$H1123,IF(F1125="CHI",PR!$I1123,IF(F1125="CLARION",PR!$J1123,IF(F1125="CODIX",PR!$K1123,IF(F1125="COSMADE",PR!$L1123,IF(F1125="SANCON",PR!$M1123,IF(F1125="DEVON",PR!$N1123,IF(F1125="DORTEMAG",PR!$O1123,IF(F1125="DGF",PR!$P1123,IF(F1125="DYNAMIC",PR!$Q1123,IF(F1125="EMZOR",PR!$R1123,IF(F1125="EUMATT",PR!$S1123,IF(F1125="FIDSON",PR!$T1123,IF(F1125="FCGLOBAL",PR!$U1123,IF(F1125="GENEITH",PR!$V1123,IF(F1125="GINOS",PR!$W1123,IF(F1125="GSK",PR!$X1123,IF(F1125="GLOBORG",PR!$Y1123,IF(F1125="GOODNEWS",PR!$Z1123,IF(F1125="GREENLIFE",PR!$AA1123,IF(F1125="HLINE",PR!$AB1123,IF(F1125="ROTECH",PR!$AC1123,IF(F1125="ISN",PR!$AD1123,IF(F1125="JAWA",PR!$AE1123,IF(F1125="LAYO",PR!$AF1123,IF(F1125="LEADWAY",PR!$AG1123,IF(F1125="LHV",PR!$AH1123,IF(F1125="MANOLA",PR!$AI1123,IF(F1125="MARCSON",PR!$AJ1123,IF(F1125="M&amp;B",PR!$AK1123,IF(F1125="MTRUST",PR!$AL1123,IF(F1125="MWORLD",PR!$AM1123,IF(F1125="MEGA",PR!$AN1123,IF(F1125="MICRONOVA",PR!$AO1123,IF(F1125="MFLASH",PR!$AP1123,IF(F1125="MORISON",PR!$AQ1123,IF(F1125="NEMEL",PR!$AR1123,IF(F1125="NHP",PR!$AS1123,IF(F1125="NHC",PR!$AT1123,IF(F1125="OLEAF",PR!$AU1123,IF(F1125="OCULUS",PR!$AV1123,IF(F1125="PACIFIC",PR!$AW1123,IF(F1125="PHAMATEX",PR!$AX1123,IF(F1125="PETHICS",PR!$AY1123,IF(F1125="PHILIPS",PR!$AZ1123,IF(F1125="RANBAXY",PR!$BA1123,IF(F1125="REALS",PR!$BB1123,IF(F1125="ROYAL",PR!$BC1123,IF(F1125="SAM",PR!$BD1123,IF(F1125="SEAGREEN",PR!$BE1123,IF(F1125="SKG",PR!$BF1123,IF(F1125="TAH",PR!$BG1123,IF(F1125="TAYLEK",PR!$BH1123,IF(F1125="TEMITA",PR!$BI1123,IF(F1125="THL",PR!$BJ1123,IF(F1125="UBASTIC",PR!$BK1123,IF(F1125="UNION",PR!$BL1123,IF(F1125="UNIQUE",PR!$BM1123,IF(F1125="VIXA",PR!$BN1123,IF(F1125="WWCV",PR!$BO1123,IF(F1125="ZOLON",PR!$BP1123,"-"))))))))))))))))))))))))))))))))))))))))))))))))))))))))))))))))</f>
        <v>32500</v>
      </c>
      <c r="F1125" s="102" t="str">
        <f>EV!L1419</f>
        <v>LAYO</v>
      </c>
      <c r="G1125" s="108">
        <f>IF(H1125="ALPHA",PR!$E1123,IF(H1125="ASSENE",PR!$F1123,IF(H1125="BIOFEM",PR!$G1123,IF(H1125="BIOMED",PR!$H1123,IF(H1125="CHI",PR!$I1123,IF(H1125="CLARION",PR!$J1123,IF(H1125="CODIX",PR!$K1123,IF(H1125="COSMADE",PR!$L1123,IF(H1125="SANCON",PR!$M1123,IF(H1125="DEVON",PR!$N1123,IF(H1125="DORTEMAG",PR!$O1123,IF(H1125="DGF",PR!$P1123,IF(H1125="DYNAMIC",PR!$Q1123,IF(H1125="EMZOR",PR!$R1123,IF(H1125="EUMATT",PR!$S1123,IF(H1125="FIDSON",PR!$T1123,IF(H1125="FCGLOBAL",PR!$U1123,IF(H1125="GENEITH",PR!$V1123,IF(H1125="GINOS",PR!$W1123,IF(H1125="GSK",PR!$X1123,IF(H1125="GLOBORG",PR!$Y1123,IF(H1125="GOODNEWS",PR!$Z1123,IF(H1125="GREENLIFE",PR!$AA1123,IF(H1125="HLINE",PR!$AB1123,IF(H1125="ROTECH",PR!$AC1123,IF(H1125="ISN",PR!$AD1123,IF(H1125="JAWA",PR!$AE1123,IF(H1125="LAYO",PR!$AF1123,IF(H1125="LEADWAY",PR!$AG1123,IF(H1125="LHV",PR!$AH1123,IF(H1125="MANOLA",PR!$AI1123,IF(H1125="MARCSON",PR!$AJ1123,IF(H1125="M&amp;B",PR!$AK1123,IF(H1125="MTRUST",PR!$AL1123,IF(H1125="MWORLD",PR!$AM1123,IF(H1125="MEGA",PR!$AN1123,IF(H1125="MICRONOVA",PR!$AO1123,IF(H1125="MFLASH",PR!$AP1123,IF(H1125="MORISON",PR!$AQ1123,IF(H1125="NEMEL",PR!$AR1123,IF(H1125="NHP",PR!$AS1123,IF(H1125="NHC",PR!$AT1123,IF(H1125="OLEAF",PR!$AU1123,IF(H1125="OCULUS",PR!$AV1123,IF(H1125="PACIFIC",PR!$AW1123,IF(H1125="PHAMATEX",PR!$AX1123,IF(H1125="PETHICS",PR!$AY1123,IF(H1125="PHILIPS",PR!$AZ1123,IF(H1125="RANBAXY",PR!$BA1123,IF(H1125="REALS",PR!$BB1123,IF(H1125="ROYAL",PR!$BC1123,IF(H1125="SAM",PR!$BD1123,IF(H1125="SEAGREEN",PR!$BE1123,IF(H1125="SKG",PR!$BF1123,IF(H1125="TAH",PR!$BG1123,IF(H1125="TAYLEK",PR!$BH1123,IF(H1125="TEMITA",PR!$BI1123,IF(H1125="THL",PR!$BJ1123,IF(H1125="UBASTIC",PR!$BK1123,IF(H1125="UNION",PR!$BL1123,IF(H1125="UNIQUE",PR!$BM1123,IF(H1125="VIXA",PR!$BN1123,IF(H1125="WWCV",PR!$BO1123,IF(H1125="ZOLON",PR!$BP1123,"-"))))))))))))))))))))))))))))))))))))))))))))))))))))))))))))))))</f>
        <v>45000</v>
      </c>
      <c r="H1125" s="102" t="str">
        <f>EV!M1419</f>
        <v>UBASTIC</v>
      </c>
      <c r="I1125" s="108" t="str">
        <f>IF(J1125="ALPHA",PR!$E1123,IF(J1125="ASSENE",PR!$F1123,IF(J1125="BIOFEM",PR!$G1123,IF(J1125="BIOMED",PR!$H1123,IF(J1125="CHI",PR!$I1123,IF(J1125="CLARION",PR!$J1123,IF(J1125="CODIX",PR!$K1123,IF(J1125="COSMADE",PR!$L1123,IF(J1125="SANCON",PR!$M1123,IF(J1125="DEVON",PR!$N1123,IF(J1125="DORTEMAG",PR!$O1123,IF(J1125="DGF",PR!$P1123,IF(J1125="DYNAMIC",PR!$Q1123,IF(J1125="EMZOR",PR!$R1123,IF(J1125="EUMATT",PR!$S1123,IF(J1125="FIDSON",PR!$T1123,IF(J1125="FCGLOBAL",PR!$U1123,IF(J1125="GENEITH",PR!$V1123,IF(J1125="GINOS",PR!$W1123,IF(J1125="GSK",PR!$X1123,IF(J1125="GLOBORG",PR!$Y1123,IF(J1125="GOODNEWS",PR!$Z1123,IF(J1125="GREENLIFE",PR!$AA1123,IF(J1125="HLINE",PR!$AB1123,IF(J1125="ROTECH",PR!$AC1123,IF(J1125="ISN",PR!$AD1123,IF(J1125="JAWA",PR!$AE1123,IF(J1125="LAYO",PR!$AF1123,IF(J1125="LEADWAY",PR!$AG1123,IF(J1125="LHV",PR!$AH1123,IF(J1125="MANOLA",PR!$AI1123,IF(J1125="MARCSON",PR!$AJ1123,IF(J1125="M&amp;B",PR!$AK1123,IF(J1125="MTRUST",PR!$AL1123,IF(J1125="MWORLD",PR!$AM1123,IF(J1125="MEGA",PR!$AN1123,IF(J1125="MICRONOVA",PR!$AO1123,IF(J1125="MFLASH",PR!$AP1123,IF(J1125="MORISON",PR!$AQ1123,IF(J1125="NEMEL",PR!$AR1123,IF(J1125="NHP",PR!$AS1123,IF(J1125="NHC",PR!$AT1123,IF(J1125="OLEAF",PR!$AU1123,IF(J1125="OCULUS",PR!$AV1123,IF(J1125="PACIFIC",PR!$AW1123,IF(J1125="PHAMATEX",PR!$AX1123,IF(J1125="PETHICS",PR!$AY1123,IF(J1125="PHILIPS",PR!$AZ1123,IF(J1125="RANBAXY",PR!$BA1123,IF(J1125="REALS",PR!$BB1123,IF(J1125="ROYAL",PR!$BC1123,IF(J1125="SAM",PR!$BD1123,IF(J1125="SEAGREEN",PR!$BE1123,IF(J1125="SKG",PR!$BF1123,IF(J1125="TAH",PR!$BG1123,IF(J1125="TAYLEK",PR!$BH1123,IF(J1125="TEMITA",PR!$BI1123,IF(J1125="THL",PR!$BJ1123,IF(J1125="UBASTIC",PR!$BK1123,IF(J1125="UNION",PR!$BL1123,IF(J1125="UNIQUE",PR!$BM1123,IF(J1125="VIXA",PR!$BN1123,IF(J1125="WWCV",PR!$BO1123,IF(J1125="ZOLON",PR!$BP1123,"-"))))))))))))))))))))))))))))))))))))))))))))))))))))))))))))))))</f>
        <v>-</v>
      </c>
      <c r="J1125" s="102">
        <f>EV!N1419</f>
        <v>0</v>
      </c>
      <c r="K1125" s="433" t="s">
        <v>1461</v>
      </c>
      <c r="L1125" s="183">
        <f>IF(K1125&gt;0,IF(K1125="ALPHA",PR!$E1123,IF(K1125="ASSENE",PR!$F1123,IF(K1125="BIOFEM",PR!$G1123,IF(K1125="BIOMED",PR!$H1123,IF(K1125="CHI",PR!$I1123,IF(K1125="CLARION",PR!$J1123,IF(K1125="CODIX",PR!$K1123,IF(K1125="COSMADE",PR!$L1123,IF(K1125="SANCON",PR!$M1123,IF(K1125="DEVON",PR!$N1123,IF(K1125="DORTEMAG",PR!$O1123,IF(K1125="DGF",PR!$P1123,IF(K1125="DYNAMIC",PR!$Q1123,IF(K1125="EMZOR",PR!$R1123,IF(K1125="EUMATT",PR!$S1123,IF(K1125="FIDSON",PR!$T1123,IF(K1125="FCGLOBAL",PR!$U1123,IF(K1125="GENEITH",PR!$V1123,IF(K1125="GINOS",PR!$W1123,IF(K1125="GSK",PR!$X1123,IF(K1125="GLOBORG",PR!$Y1123,IF(K1125="GOODNEWS",PR!$Z1123,IF(K1125="GREENLIFE",PR!$AA1123,IF(K1125="HLINE",PR!$AB1123,IF(K1125="ROTECH",PR!$AC1123,IF(K1125="ISN",PR!$AD1123,IF(K1125="JAWA",PR!$AE1123,IF(K1125="LAYO",PR!$AF1123,IF(K1125="LEADWAY",PR!$AG1123,IF(K1125="LHV",PR!$AH1123,IF(K1125="MANOLA",PR!$AI1123,IF(K1125="MARCSON",PR!$AJ1123,IF(K1125="M&amp;B",PR!$AK1123,IF(K1125="MTRUST",PR!$AL1123,IF(K1125="MWORLD",PR!$AM1123,IF(K1125="MEGA",PR!$AN1123,IF(K1125="MICRONOVA",PR!$AO1123,IF(K1125="MFLASH",PR!$AP1123,IF(K1125="MORISON",PR!$AQ1123,IF(K1125="NEMEL",PR!$AR1123,IF(K1125="NHP",PR!$AS1123,IF(K1125="NHC",PR!$AT1123,IF(K1125="OLEAF",PR!$AU1123,IF(K1125="OCULUS",PR!$AV1123,IF(K1125="PACIFIC",PR!$AW1123,IF(K1125="PHAMATEX",PR!$AX1123,IF(K1125="PETHICS",PR!$AY1123,IF(K1125="PHILIPS",PR!$AZ1123,IF(K1125="RANBAXY",PR!$BA1123,IF(K1125="REALS",PR!$BB1123,IF(K1125="ROYAL",PR!$BC1123,IF(K1125="SAM",PR!$BD1123,IF(K1125="SEAGREEN",PR!$BE1123,IF(K1125="SKG",PR!$BF1123,IF(K1125="TAH",PR!$BG1123,IF(K1125="TAYLEK",PR!$BH1123,IF(K1125="TEMITA",PR!$BI1123,IF(K1125="THL",PR!$BJ1123,IF(K1125="UBASTIC",PR!$BK1123,IF(K1125="UNION",PR!$BL1123,IF(K1125="UNIQUE",PR!$BM1123,IF(K1125="VIXA",PR!$BN1123,IF(K1125="WWCV",PR!$BO1123,IF(K1125="ZOLON",PR!$BP1123,"-")))))))))))))))))))))))))))))))))))))))))))))))))))))))))))))))))</f>
        <v>32500</v>
      </c>
    </row>
    <row r="1126" spans="1:12" ht="18.75" x14ac:dyDescent="0.3">
      <c r="A1126" s="430">
        <f>PR!A1124</f>
        <v>1011</v>
      </c>
      <c r="B1126" s="15" t="str">
        <f>PR!B1124</f>
        <v>TESTOSTERONE (ICHROMACARTRIDGES)</v>
      </c>
      <c r="C1126" s="113" t="str">
        <f>PR!D1124</f>
        <v>1*25</v>
      </c>
      <c r="D1126" s="113">
        <f>PR!C1124</f>
        <v>12</v>
      </c>
      <c r="E1126" s="108">
        <f>IF(F1126="ALPHA",PR!$E1124,IF(F1126="ASSENE",PR!$F1124,IF(F1126="BIOFEM",PR!$G1124,IF(F1126="BIOMED",PR!$H1124,IF(F1126="CHI",PR!$I1124,IF(F1126="CLARION",PR!$J1124,IF(F1126="CODIX",PR!$K1124,IF(F1126="COSMADE",PR!$L1124,IF(F1126="SANCON",PR!$M1124,IF(F1126="DEVON",PR!$N1124,IF(F1126="DORTEMAG",PR!$O1124,IF(F1126="DGF",PR!$P1124,IF(F1126="DYNAMIC",PR!$Q1124,IF(F1126="EMZOR",PR!$R1124,IF(F1126="EUMATT",PR!$S1124,IF(F1126="FIDSON",PR!$T1124,IF(F1126="FCGLOBAL",PR!$U1124,IF(F1126="GENEITH",PR!$V1124,IF(F1126="GINOS",PR!$W1124,IF(F1126="GSK",PR!$X1124,IF(F1126="GLOBORG",PR!$Y1124,IF(F1126="GOODNEWS",PR!$Z1124,IF(F1126="GREENLIFE",PR!$AA1124,IF(F1126="HLINE",PR!$AB1124,IF(F1126="ROTECH",PR!$AC1124,IF(F1126="ISN",PR!$AD1124,IF(F1126="JAWA",PR!$AE1124,IF(F1126="LAYO",PR!$AF1124,IF(F1126="LEADWAY",PR!$AG1124,IF(F1126="LHV",PR!$AH1124,IF(F1126="MANOLA",PR!$AI1124,IF(F1126="MARCSON",PR!$AJ1124,IF(F1126="M&amp;B",PR!$AK1124,IF(F1126="MTRUST",PR!$AL1124,IF(F1126="MWORLD",PR!$AM1124,IF(F1126="MEGA",PR!$AN1124,IF(F1126="MICRONOVA",PR!$AO1124,IF(F1126="MFLASH",PR!$AP1124,IF(F1126="MORISON",PR!$AQ1124,IF(F1126="NEMEL",PR!$AR1124,IF(F1126="NHP",PR!$AS1124,IF(F1126="NHC",PR!$AT1124,IF(F1126="OLEAF",PR!$AU1124,IF(F1126="OCULUS",PR!$AV1124,IF(F1126="PACIFIC",PR!$AW1124,IF(F1126="PHAMATEX",PR!$AX1124,IF(F1126="PETHICS",PR!$AY1124,IF(F1126="PHILIPS",PR!$AZ1124,IF(F1126="RANBAXY",PR!$BA1124,IF(F1126="REALS",PR!$BB1124,IF(F1126="ROYAL",PR!$BC1124,IF(F1126="SAM",PR!$BD1124,IF(F1126="SEAGREEN",PR!$BE1124,IF(F1126="SKG",PR!$BF1124,IF(F1126="TAH",PR!$BG1124,IF(F1126="TAYLEK",PR!$BH1124,IF(F1126="TEMITA",PR!$BI1124,IF(F1126="THL",PR!$BJ1124,IF(F1126="UBASTIC",PR!$BK1124,IF(F1126="UNION",PR!$BL1124,IF(F1126="UNIQUE",PR!$BM1124,IF(F1126="VIXA",PR!$BN1124,IF(F1126="WWCV",PR!$BO1124,IF(F1126="ZOLON",PR!$BP1124,"-"))))))))))))))))))))))))))))))))))))))))))))))))))))))))))))))))</f>
        <v>36400</v>
      </c>
      <c r="F1126" s="102" t="str">
        <f>EV!L1420</f>
        <v>LAYO</v>
      </c>
      <c r="G1126" s="108">
        <f>IF(H1126="ALPHA",PR!$E1124,IF(H1126="ASSENE",PR!$F1124,IF(H1126="BIOFEM",PR!$G1124,IF(H1126="BIOMED",PR!$H1124,IF(H1126="CHI",PR!$I1124,IF(H1126="CLARION",PR!$J1124,IF(H1126="CODIX",PR!$K1124,IF(H1126="COSMADE",PR!$L1124,IF(H1126="SANCON",PR!$M1124,IF(H1126="DEVON",PR!$N1124,IF(H1126="DORTEMAG",PR!$O1124,IF(H1126="DGF",PR!$P1124,IF(H1126="DYNAMIC",PR!$Q1124,IF(H1126="EMZOR",PR!$R1124,IF(H1126="EUMATT",PR!$S1124,IF(H1126="FIDSON",PR!$T1124,IF(H1126="FCGLOBAL",PR!$U1124,IF(H1126="GENEITH",PR!$V1124,IF(H1126="GINOS",PR!$W1124,IF(H1126="GSK",PR!$X1124,IF(H1126="GLOBORG",PR!$Y1124,IF(H1126="GOODNEWS",PR!$Z1124,IF(H1126="GREENLIFE",PR!$AA1124,IF(H1126="HLINE",PR!$AB1124,IF(H1126="ROTECH",PR!$AC1124,IF(H1126="ISN",PR!$AD1124,IF(H1126="JAWA",PR!$AE1124,IF(H1126="LAYO",PR!$AF1124,IF(H1126="LEADWAY",PR!$AG1124,IF(H1126="LHV",PR!$AH1124,IF(H1126="MANOLA",PR!$AI1124,IF(H1126="MARCSON",PR!$AJ1124,IF(H1126="M&amp;B",PR!$AK1124,IF(H1126="MTRUST",PR!$AL1124,IF(H1126="MWORLD",PR!$AM1124,IF(H1126="MEGA",PR!$AN1124,IF(H1126="MICRONOVA",PR!$AO1124,IF(H1126="MFLASH",PR!$AP1124,IF(H1126="MORISON",PR!$AQ1124,IF(H1126="NEMEL",PR!$AR1124,IF(H1126="NHP",PR!$AS1124,IF(H1126="NHC",PR!$AT1124,IF(H1126="OLEAF",PR!$AU1124,IF(H1126="OCULUS",PR!$AV1124,IF(H1126="PACIFIC",PR!$AW1124,IF(H1126="PHAMATEX",PR!$AX1124,IF(H1126="PETHICS",PR!$AY1124,IF(H1126="PHILIPS",PR!$AZ1124,IF(H1126="RANBAXY",PR!$BA1124,IF(H1126="REALS",PR!$BB1124,IF(H1126="ROYAL",PR!$BC1124,IF(H1126="SAM",PR!$BD1124,IF(H1126="SEAGREEN",PR!$BE1124,IF(H1126="SKG",PR!$BF1124,IF(H1126="TAH",PR!$BG1124,IF(H1126="TAYLEK",PR!$BH1124,IF(H1126="TEMITA",PR!$BI1124,IF(H1126="THL",PR!$BJ1124,IF(H1126="UBASTIC",PR!$BK1124,IF(H1126="UNION",PR!$BL1124,IF(H1126="UNIQUE",PR!$BM1124,IF(H1126="VIXA",PR!$BN1124,IF(H1126="WWCV",PR!$BO1124,IF(H1126="ZOLON",PR!$BP1124,"-"))))))))))))))))))))))))))))))))))))))))))))))))))))))))))))))))</f>
        <v>40000</v>
      </c>
      <c r="H1126" s="102" t="str">
        <f>EV!M1420</f>
        <v>UBASTIC</v>
      </c>
      <c r="I1126" s="108" t="str">
        <f>IF(J1126="ALPHA",PR!$E1124,IF(J1126="ASSENE",PR!$F1124,IF(J1126="BIOFEM",PR!$G1124,IF(J1126="BIOMED",PR!$H1124,IF(J1126="CHI",PR!$I1124,IF(J1126="CLARION",PR!$J1124,IF(J1126="CODIX",PR!$K1124,IF(J1126="COSMADE",PR!$L1124,IF(J1126="SANCON",PR!$M1124,IF(J1126="DEVON",PR!$N1124,IF(J1126="DORTEMAG",PR!$O1124,IF(J1126="DGF",PR!$P1124,IF(J1126="DYNAMIC",PR!$Q1124,IF(J1126="EMZOR",PR!$R1124,IF(J1126="EUMATT",PR!$S1124,IF(J1126="FIDSON",PR!$T1124,IF(J1126="FCGLOBAL",PR!$U1124,IF(J1126="GENEITH",PR!$V1124,IF(J1126="GINOS",PR!$W1124,IF(J1126="GSK",PR!$X1124,IF(J1126="GLOBORG",PR!$Y1124,IF(J1126="GOODNEWS",PR!$Z1124,IF(J1126="GREENLIFE",PR!$AA1124,IF(J1126="HLINE",PR!$AB1124,IF(J1126="ROTECH",PR!$AC1124,IF(J1126="ISN",PR!$AD1124,IF(J1126="JAWA",PR!$AE1124,IF(J1126="LAYO",PR!$AF1124,IF(J1126="LEADWAY",PR!$AG1124,IF(J1126="LHV",PR!$AH1124,IF(J1126="MANOLA",PR!$AI1124,IF(J1126="MARCSON",PR!$AJ1124,IF(J1126="M&amp;B",PR!$AK1124,IF(J1126="MTRUST",PR!$AL1124,IF(J1126="MWORLD",PR!$AM1124,IF(J1126="MEGA",PR!$AN1124,IF(J1126="MICRONOVA",PR!$AO1124,IF(J1126="MFLASH",PR!$AP1124,IF(J1126="MORISON",PR!$AQ1124,IF(J1126="NEMEL",PR!$AR1124,IF(J1126="NHP",PR!$AS1124,IF(J1126="NHC",PR!$AT1124,IF(J1126="OLEAF",PR!$AU1124,IF(J1126="OCULUS",PR!$AV1124,IF(J1126="PACIFIC",PR!$AW1124,IF(J1126="PHAMATEX",PR!$AX1124,IF(J1126="PETHICS",PR!$AY1124,IF(J1126="PHILIPS",PR!$AZ1124,IF(J1126="RANBAXY",PR!$BA1124,IF(J1126="REALS",PR!$BB1124,IF(J1126="ROYAL",PR!$BC1124,IF(J1126="SAM",PR!$BD1124,IF(J1126="SEAGREEN",PR!$BE1124,IF(J1126="SKG",PR!$BF1124,IF(J1126="TAH",PR!$BG1124,IF(J1126="TAYLEK",PR!$BH1124,IF(J1126="TEMITA",PR!$BI1124,IF(J1126="THL",PR!$BJ1124,IF(J1126="UBASTIC",PR!$BK1124,IF(J1126="UNION",PR!$BL1124,IF(J1126="UNIQUE",PR!$BM1124,IF(J1126="VIXA",PR!$BN1124,IF(J1126="WWCV",PR!$BO1124,IF(J1126="ZOLON",PR!$BP1124,"-"))))))))))))))))))))))))))))))))))))))))))))))))))))))))))))))))</f>
        <v>-</v>
      </c>
      <c r="J1126" s="102">
        <f>EV!N1420</f>
        <v>0</v>
      </c>
      <c r="K1126" s="433" t="s">
        <v>1461</v>
      </c>
      <c r="L1126" s="183">
        <f>IF(K1126&gt;0,IF(K1126="ALPHA",PR!$E1124,IF(K1126="ASSENE",PR!$F1124,IF(K1126="BIOFEM",PR!$G1124,IF(K1126="BIOMED",PR!$H1124,IF(K1126="CHI",PR!$I1124,IF(K1126="CLARION",PR!$J1124,IF(K1126="CODIX",PR!$K1124,IF(K1126="COSMADE",PR!$L1124,IF(K1126="SANCON",PR!$M1124,IF(K1126="DEVON",PR!$N1124,IF(K1126="DORTEMAG",PR!$O1124,IF(K1126="DGF",PR!$P1124,IF(K1126="DYNAMIC",PR!$Q1124,IF(K1126="EMZOR",PR!$R1124,IF(K1126="EUMATT",PR!$S1124,IF(K1126="FIDSON",PR!$T1124,IF(K1126="FCGLOBAL",PR!$U1124,IF(K1126="GENEITH",PR!$V1124,IF(K1126="GINOS",PR!$W1124,IF(K1126="GSK",PR!$X1124,IF(K1126="GLOBORG",PR!$Y1124,IF(K1126="GOODNEWS",PR!$Z1124,IF(K1126="GREENLIFE",PR!$AA1124,IF(K1126="HLINE",PR!$AB1124,IF(K1126="ROTECH",PR!$AC1124,IF(K1126="ISN",PR!$AD1124,IF(K1126="JAWA",PR!$AE1124,IF(K1126="LAYO",PR!$AF1124,IF(K1126="LEADWAY",PR!$AG1124,IF(K1126="LHV",PR!$AH1124,IF(K1126="MANOLA",PR!$AI1124,IF(K1126="MARCSON",PR!$AJ1124,IF(K1126="M&amp;B",PR!$AK1124,IF(K1126="MTRUST",PR!$AL1124,IF(K1126="MWORLD",PR!$AM1124,IF(K1126="MEGA",PR!$AN1124,IF(K1126="MICRONOVA",PR!$AO1124,IF(K1126="MFLASH",PR!$AP1124,IF(K1126="MORISON",PR!$AQ1124,IF(K1126="NEMEL",PR!$AR1124,IF(K1126="NHP",PR!$AS1124,IF(K1126="NHC",PR!$AT1124,IF(K1126="OLEAF",PR!$AU1124,IF(K1126="OCULUS",PR!$AV1124,IF(K1126="PACIFIC",PR!$AW1124,IF(K1126="PHAMATEX",PR!$AX1124,IF(K1126="PETHICS",PR!$AY1124,IF(K1126="PHILIPS",PR!$AZ1124,IF(K1126="RANBAXY",PR!$BA1124,IF(K1126="REALS",PR!$BB1124,IF(K1126="ROYAL",PR!$BC1124,IF(K1126="SAM",PR!$BD1124,IF(K1126="SEAGREEN",PR!$BE1124,IF(K1126="SKG",PR!$BF1124,IF(K1126="TAH",PR!$BG1124,IF(K1126="TAYLEK",PR!$BH1124,IF(K1126="TEMITA",PR!$BI1124,IF(K1126="THL",PR!$BJ1124,IF(K1126="UBASTIC",PR!$BK1124,IF(K1126="UNION",PR!$BL1124,IF(K1126="UNIQUE",PR!$BM1124,IF(K1126="VIXA",PR!$BN1124,IF(K1126="WWCV",PR!$BO1124,IF(K1126="ZOLON",PR!$BP1124,"-")))))))))))))))))))))))))))))))))))))))))))))))))))))))))))))))))</f>
        <v>36400</v>
      </c>
    </row>
    <row r="1127" spans="1:12" ht="18.75" x14ac:dyDescent="0.3">
      <c r="A1127" s="430">
        <f>PR!A1125</f>
        <v>1012</v>
      </c>
      <c r="B1127" s="15" t="str">
        <f>PR!B1125</f>
        <v xml:space="preserve">100ul FIN PIPETTE TIPS (YELLOW) </v>
      </c>
      <c r="C1127" s="113" t="str">
        <f>PR!D1125</f>
        <v>1*500</v>
      </c>
      <c r="D1127" s="113">
        <f>PR!C1125</f>
        <v>80</v>
      </c>
      <c r="E1127" s="108">
        <f>IF(F1127="ALPHA",PR!$E1125,IF(F1127="ASSENE",PR!$F1125,IF(F1127="BIOFEM",PR!$G1125,IF(F1127="BIOMED",PR!$H1125,IF(F1127="CHI",PR!$I1125,IF(F1127="CLARION",PR!$J1125,IF(F1127="CODIX",PR!$K1125,IF(F1127="COSMADE",PR!$L1125,IF(F1127="SANCON",PR!$M1125,IF(F1127="DEVON",PR!$N1125,IF(F1127="DORTEMAG",PR!$O1125,IF(F1127="DGF",PR!$P1125,IF(F1127="DYNAMIC",PR!$Q1125,IF(F1127="EMZOR",PR!$R1125,IF(F1127="EUMATT",PR!$S1125,IF(F1127="FIDSON",PR!$T1125,IF(F1127="FCGLOBAL",PR!$U1125,IF(F1127="GENEITH",PR!$V1125,IF(F1127="GINOS",PR!$W1125,IF(F1127="GSK",PR!$X1125,IF(F1127="GLOBORG",PR!$Y1125,IF(F1127="GOODNEWS",PR!$Z1125,IF(F1127="GREENLIFE",PR!$AA1125,IF(F1127="HLINE",PR!$AB1125,IF(F1127="ROTECH",PR!$AC1125,IF(F1127="ISN",PR!$AD1125,IF(F1127="JAWA",PR!$AE1125,IF(F1127="LAYO",PR!$AF1125,IF(F1127="LEADWAY",PR!$AG1125,IF(F1127="LHV",PR!$AH1125,IF(F1127="MANOLA",PR!$AI1125,IF(F1127="MARCSON",PR!$AJ1125,IF(F1127="M&amp;B",PR!$AK1125,IF(F1127="MTRUST",PR!$AL1125,IF(F1127="MWORLD",PR!$AM1125,IF(F1127="MEGA",PR!$AN1125,IF(F1127="MICRONOVA",PR!$AO1125,IF(F1127="MFLASH",PR!$AP1125,IF(F1127="MORISON",PR!$AQ1125,IF(F1127="NEMEL",PR!$AR1125,IF(F1127="NHP",PR!$AS1125,IF(F1127="NHC",PR!$AT1125,IF(F1127="OLEAF",PR!$AU1125,IF(F1127="OCULUS",PR!$AV1125,IF(F1127="PACIFIC",PR!$AW1125,IF(F1127="PHAMATEX",PR!$AX1125,IF(F1127="PETHICS",PR!$AY1125,IF(F1127="PHILIPS",PR!$AZ1125,IF(F1127="RANBAXY",PR!$BA1125,IF(F1127="REALS",PR!$BB1125,IF(F1127="ROYAL",PR!$BC1125,IF(F1127="SAM",PR!$BD1125,IF(F1127="SEAGREEN",PR!$BE1125,IF(F1127="SKG",PR!$BF1125,IF(F1127="TAH",PR!$BG1125,IF(F1127="TAYLEK",PR!$BH1125,IF(F1127="TEMITA",PR!$BI1125,IF(F1127="THL",PR!$BJ1125,IF(F1127="UBASTIC",PR!$BK1125,IF(F1127="UNION",PR!$BL1125,IF(F1127="UNIQUE",PR!$BM1125,IF(F1127="VIXA",PR!$BN1125,IF(F1127="WWCV",PR!$BO1125,IF(F1127="ZOLON",PR!$BP1125,"-"))))))))))))))))))))))))))))))))))))))))))))))))))))))))))))))))</f>
        <v>800</v>
      </c>
      <c r="F1127" s="102" t="str">
        <f>EV!L1421</f>
        <v>ROTECH</v>
      </c>
      <c r="G1127" s="108">
        <f>IF(H1127="ALPHA",PR!$E1125,IF(H1127="ASSENE",PR!$F1125,IF(H1127="BIOFEM",PR!$G1125,IF(H1127="BIOMED",PR!$H1125,IF(H1127="CHI",PR!$I1125,IF(H1127="CLARION",PR!$J1125,IF(H1127="CODIX",PR!$K1125,IF(H1127="COSMADE",PR!$L1125,IF(H1127="SANCON",PR!$M1125,IF(H1127="DEVON",PR!$N1125,IF(H1127="DORTEMAG",PR!$O1125,IF(H1127="DGF",PR!$P1125,IF(H1127="DYNAMIC",PR!$Q1125,IF(H1127="EMZOR",PR!$R1125,IF(H1127="EUMATT",PR!$S1125,IF(H1127="FIDSON",PR!$T1125,IF(H1127="FCGLOBAL",PR!$U1125,IF(H1127="GENEITH",PR!$V1125,IF(H1127="GINOS",PR!$W1125,IF(H1127="GSK",PR!$X1125,IF(H1127="GLOBORG",PR!$Y1125,IF(H1127="GOODNEWS",PR!$Z1125,IF(H1127="GREENLIFE",PR!$AA1125,IF(H1127="HLINE",PR!$AB1125,IF(H1127="ROTECH",PR!$AC1125,IF(H1127="ISN",PR!$AD1125,IF(H1127="JAWA",PR!$AE1125,IF(H1127="LAYO",PR!$AF1125,IF(H1127="LEADWAY",PR!$AG1125,IF(H1127="LHV",PR!$AH1125,IF(H1127="MANOLA",PR!$AI1125,IF(H1127="MARCSON",PR!$AJ1125,IF(H1127="M&amp;B",PR!$AK1125,IF(H1127="MTRUST",PR!$AL1125,IF(H1127="MWORLD",PR!$AM1125,IF(H1127="MEGA",PR!$AN1125,IF(H1127="MICRONOVA",PR!$AO1125,IF(H1127="MFLASH",PR!$AP1125,IF(H1127="MORISON",PR!$AQ1125,IF(H1127="NEMEL",PR!$AR1125,IF(H1127="NHP",PR!$AS1125,IF(H1127="NHC",PR!$AT1125,IF(H1127="OLEAF",PR!$AU1125,IF(H1127="OCULUS",PR!$AV1125,IF(H1127="PACIFIC",PR!$AW1125,IF(H1127="PHAMATEX",PR!$AX1125,IF(H1127="PETHICS",PR!$AY1125,IF(H1127="PHILIPS",PR!$AZ1125,IF(H1127="RANBAXY",PR!$BA1125,IF(H1127="REALS",PR!$BB1125,IF(H1127="ROYAL",PR!$BC1125,IF(H1127="SAM",PR!$BD1125,IF(H1127="SEAGREEN",PR!$BE1125,IF(H1127="SKG",PR!$BF1125,IF(H1127="TAH",PR!$BG1125,IF(H1127="TAYLEK",PR!$BH1125,IF(H1127="TEMITA",PR!$BI1125,IF(H1127="THL",PR!$BJ1125,IF(H1127="UBASTIC",PR!$BK1125,IF(H1127="UNION",PR!$BL1125,IF(H1127="UNIQUE",PR!$BM1125,IF(H1127="VIXA",PR!$BN1125,IF(H1127="WWCV",PR!$BO1125,IF(H1127="ZOLON",PR!$BP1125,"-"))))))))))))))))))))))))))))))))))))))))))))))))))))))))))))))))</f>
        <v>900</v>
      </c>
      <c r="H1127" s="102" t="str">
        <f>EV!M1421</f>
        <v>SANCON</v>
      </c>
      <c r="I1127" s="108">
        <f>IF(J1127="ALPHA",PR!$E1125,IF(J1127="ASSENE",PR!$F1125,IF(J1127="BIOFEM",PR!$G1125,IF(J1127="BIOMED",PR!$H1125,IF(J1127="CHI",PR!$I1125,IF(J1127="CLARION",PR!$J1125,IF(J1127="CODIX",PR!$K1125,IF(J1127="COSMADE",PR!$L1125,IF(J1127="SANCON",PR!$M1125,IF(J1127="DEVON",PR!$N1125,IF(J1127="DORTEMAG",PR!$O1125,IF(J1127="DGF",PR!$P1125,IF(J1127="DYNAMIC",PR!$Q1125,IF(J1127="EMZOR",PR!$R1125,IF(J1127="EUMATT",PR!$S1125,IF(J1127="FIDSON",PR!$T1125,IF(J1127="FCGLOBAL",PR!$U1125,IF(J1127="GENEITH",PR!$V1125,IF(J1127="GINOS",PR!$W1125,IF(J1127="GSK",PR!$X1125,IF(J1127="GLOBORG",PR!$Y1125,IF(J1127="GOODNEWS",PR!$Z1125,IF(J1127="GREENLIFE",PR!$AA1125,IF(J1127="HLINE",PR!$AB1125,IF(J1127="ROTECH",PR!$AC1125,IF(J1127="ISN",PR!$AD1125,IF(J1127="JAWA",PR!$AE1125,IF(J1127="LAYO",PR!$AF1125,IF(J1127="LEADWAY",PR!$AG1125,IF(J1127="LHV",PR!$AH1125,IF(J1127="MANOLA",PR!$AI1125,IF(J1127="MARCSON",PR!$AJ1125,IF(J1127="M&amp;B",PR!$AK1125,IF(J1127="MTRUST",PR!$AL1125,IF(J1127="MWORLD",PR!$AM1125,IF(J1127="MEGA",PR!$AN1125,IF(J1127="MICRONOVA",PR!$AO1125,IF(J1127="MFLASH",PR!$AP1125,IF(J1127="MORISON",PR!$AQ1125,IF(J1127="NEMEL",PR!$AR1125,IF(J1127="NHP",PR!$AS1125,IF(J1127="NHC",PR!$AT1125,IF(J1127="OLEAF",PR!$AU1125,IF(J1127="OCULUS",PR!$AV1125,IF(J1127="PACIFIC",PR!$AW1125,IF(J1127="PHAMATEX",PR!$AX1125,IF(J1127="PETHICS",PR!$AY1125,IF(J1127="PHILIPS",PR!$AZ1125,IF(J1127="RANBAXY",PR!$BA1125,IF(J1127="REALS",PR!$BB1125,IF(J1127="ROYAL",PR!$BC1125,IF(J1127="SAM",PR!$BD1125,IF(J1127="SEAGREEN",PR!$BE1125,IF(J1127="SKG",PR!$BF1125,IF(J1127="TAH",PR!$BG1125,IF(J1127="TAYLEK",PR!$BH1125,IF(J1127="TEMITA",PR!$BI1125,IF(J1127="THL",PR!$BJ1125,IF(J1127="UBASTIC",PR!$BK1125,IF(J1127="UNION",PR!$BL1125,IF(J1127="UNIQUE",PR!$BM1125,IF(J1127="VIXA",PR!$BN1125,IF(J1127="WWCV",PR!$BO1125,IF(J1127="ZOLON",PR!$BP1125,"-"))))))))))))))))))))))))))))))))))))))))))))))))))))))))))))))))</f>
        <v>990</v>
      </c>
      <c r="J1127" s="102" t="str">
        <f>EV!N1421</f>
        <v>TEMITA</v>
      </c>
      <c r="K1127" s="433" t="s">
        <v>825</v>
      </c>
      <c r="L1127" s="183">
        <f>IF(K1127&gt;0,IF(K1127="ALPHA",PR!$E1125,IF(K1127="ASSENE",PR!$F1125,IF(K1127="BIOFEM",PR!$G1125,IF(K1127="BIOMED",PR!$H1125,IF(K1127="CHI",PR!$I1125,IF(K1127="CLARION",PR!$J1125,IF(K1127="CODIX",PR!$K1125,IF(K1127="COSMADE",PR!$L1125,IF(K1127="SANCON",PR!$M1125,IF(K1127="DEVON",PR!$N1125,IF(K1127="DORTEMAG",PR!$O1125,IF(K1127="DGF",PR!$P1125,IF(K1127="DYNAMIC",PR!$Q1125,IF(K1127="EMZOR",PR!$R1125,IF(K1127="EUMATT",PR!$S1125,IF(K1127="FIDSON",PR!$T1125,IF(K1127="FCGLOBAL",PR!$U1125,IF(K1127="GENEITH",PR!$V1125,IF(K1127="GINOS",PR!$W1125,IF(K1127="GSK",PR!$X1125,IF(K1127="GLOBORG",PR!$Y1125,IF(K1127="GOODNEWS",PR!$Z1125,IF(K1127="GREENLIFE",PR!$AA1125,IF(K1127="HLINE",PR!$AB1125,IF(K1127="ROTECH",PR!$AC1125,IF(K1127="ISN",PR!$AD1125,IF(K1127="JAWA",PR!$AE1125,IF(K1127="LAYO",PR!$AF1125,IF(K1127="LEADWAY",PR!$AG1125,IF(K1127="LHV",PR!$AH1125,IF(K1127="MANOLA",PR!$AI1125,IF(K1127="MARCSON",PR!$AJ1125,IF(K1127="M&amp;B",PR!$AK1125,IF(K1127="MTRUST",PR!$AL1125,IF(K1127="MWORLD",PR!$AM1125,IF(K1127="MEGA",PR!$AN1125,IF(K1127="MICRONOVA",PR!$AO1125,IF(K1127="MFLASH",PR!$AP1125,IF(K1127="MORISON",PR!$AQ1125,IF(K1127="NEMEL",PR!$AR1125,IF(K1127="NHP",PR!$AS1125,IF(K1127="NHC",PR!$AT1125,IF(K1127="OLEAF",PR!$AU1125,IF(K1127="OCULUS",PR!$AV1125,IF(K1127="PACIFIC",PR!$AW1125,IF(K1127="PHAMATEX",PR!$AX1125,IF(K1127="PETHICS",PR!$AY1125,IF(K1127="PHILIPS",PR!$AZ1125,IF(K1127="RANBAXY",PR!$BA1125,IF(K1127="REALS",PR!$BB1125,IF(K1127="ROYAL",PR!$BC1125,IF(K1127="SAM",PR!$BD1125,IF(K1127="SEAGREEN",PR!$BE1125,IF(K1127="SKG",PR!$BF1125,IF(K1127="TAH",PR!$BG1125,IF(K1127="TAYLEK",PR!$BH1125,IF(K1127="TEMITA",PR!$BI1125,IF(K1127="THL",PR!$BJ1125,IF(K1127="UBASTIC",PR!$BK1125,IF(K1127="UNION",PR!$BL1125,IF(K1127="UNIQUE",PR!$BM1125,IF(K1127="VIXA",PR!$BN1125,IF(K1127="WWCV",PR!$BO1125,IF(K1127="ZOLON",PR!$BP1125,"-")))))))))))))))))))))))))))))))))))))))))))))))))))))))))))))))))</f>
        <v>800</v>
      </c>
    </row>
    <row r="1128" spans="1:12" ht="18.75" x14ac:dyDescent="0.3">
      <c r="A1128" s="430">
        <f>PR!A1126</f>
        <v>1013</v>
      </c>
      <c r="B1128" s="15" t="str">
        <f>PR!B1126</f>
        <v>1000ul FIN PIPETTE TIPS (BLUE)</v>
      </c>
      <c r="C1128" s="113" t="str">
        <f>PR!D1126</f>
        <v>1*500</v>
      </c>
      <c r="D1128" s="113">
        <f>PR!C1126</f>
        <v>60</v>
      </c>
      <c r="E1128" s="108">
        <f>IF(F1128="ALPHA",PR!$E1126,IF(F1128="ASSENE",PR!$F1126,IF(F1128="BIOFEM",PR!$G1126,IF(F1128="BIOMED",PR!$H1126,IF(F1128="CHI",PR!$I1126,IF(F1128="CLARION",PR!$J1126,IF(F1128="CODIX",PR!$K1126,IF(F1128="COSMADE",PR!$L1126,IF(F1128="SANCON",PR!$M1126,IF(F1128="DEVON",PR!$N1126,IF(F1128="DORTEMAG",PR!$O1126,IF(F1128="DGF",PR!$P1126,IF(F1128="DYNAMIC",PR!$Q1126,IF(F1128="EMZOR",PR!$R1126,IF(F1128="EUMATT",PR!$S1126,IF(F1128="FIDSON",PR!$T1126,IF(F1128="FCGLOBAL",PR!$U1126,IF(F1128="GENEITH",PR!$V1126,IF(F1128="GINOS",PR!$W1126,IF(F1128="GSK",PR!$X1126,IF(F1128="GLOBORG",PR!$Y1126,IF(F1128="GOODNEWS",PR!$Z1126,IF(F1128="GREENLIFE",PR!$AA1126,IF(F1128="HLINE",PR!$AB1126,IF(F1128="ROTECH",PR!$AC1126,IF(F1128="ISN",PR!$AD1126,IF(F1128="JAWA",PR!$AE1126,IF(F1128="LAYO",PR!$AF1126,IF(F1128="LEADWAY",PR!$AG1126,IF(F1128="LHV",PR!$AH1126,IF(F1128="MANOLA",PR!$AI1126,IF(F1128="MARCSON",PR!$AJ1126,IF(F1128="M&amp;B",PR!$AK1126,IF(F1128="MTRUST",PR!$AL1126,IF(F1128="MWORLD",PR!$AM1126,IF(F1128="MEGA",PR!$AN1126,IF(F1128="MICRONOVA",PR!$AO1126,IF(F1128="MFLASH",PR!$AP1126,IF(F1128="MORISON",PR!$AQ1126,IF(F1128="NEMEL",PR!$AR1126,IF(F1128="NHP",PR!$AS1126,IF(F1128="NHC",PR!$AT1126,IF(F1128="OLEAF",PR!$AU1126,IF(F1128="OCULUS",PR!$AV1126,IF(F1128="PACIFIC",PR!$AW1126,IF(F1128="PHAMATEX",PR!$AX1126,IF(F1128="PETHICS",PR!$AY1126,IF(F1128="PHILIPS",PR!$AZ1126,IF(F1128="RANBAXY",PR!$BA1126,IF(F1128="REALS",PR!$BB1126,IF(F1128="ROYAL",PR!$BC1126,IF(F1128="SAM",PR!$BD1126,IF(F1128="SEAGREEN",PR!$BE1126,IF(F1128="SKG",PR!$BF1126,IF(F1128="TAH",PR!$BG1126,IF(F1128="TAYLEK",PR!$BH1126,IF(F1128="TEMITA",PR!$BI1126,IF(F1128="THL",PR!$BJ1126,IF(F1128="UBASTIC",PR!$BK1126,IF(F1128="UNION",PR!$BL1126,IF(F1128="UNIQUE",PR!$BM1126,IF(F1128="VIXA",PR!$BN1126,IF(F1128="WWCV",PR!$BO1126,IF(F1128="ZOLON",PR!$BP1126,"-"))))))))))))))))))))))))))))))))))))))))))))))))))))))))))))))))</f>
        <v>900</v>
      </c>
      <c r="F1128" s="102" t="str">
        <f>EV!L1422</f>
        <v>SANCON</v>
      </c>
      <c r="G1128" s="108">
        <f>IF(H1128="ALPHA",PR!$E1126,IF(H1128="ASSENE",PR!$F1126,IF(H1128="BIOFEM",PR!$G1126,IF(H1128="BIOMED",PR!$H1126,IF(H1128="CHI",PR!$I1126,IF(H1128="CLARION",PR!$J1126,IF(H1128="CODIX",PR!$K1126,IF(H1128="COSMADE",PR!$L1126,IF(H1128="SANCON",PR!$M1126,IF(H1128="DEVON",PR!$N1126,IF(H1128="DORTEMAG",PR!$O1126,IF(H1128="DGF",PR!$P1126,IF(H1128="DYNAMIC",PR!$Q1126,IF(H1128="EMZOR",PR!$R1126,IF(H1128="EUMATT",PR!$S1126,IF(H1128="FIDSON",PR!$T1126,IF(H1128="FCGLOBAL",PR!$U1126,IF(H1128="GENEITH",PR!$V1126,IF(H1128="GINOS",PR!$W1126,IF(H1128="GSK",PR!$X1126,IF(H1128="GLOBORG",PR!$Y1126,IF(H1128="GOODNEWS",PR!$Z1126,IF(H1128="GREENLIFE",PR!$AA1126,IF(H1128="HLINE",PR!$AB1126,IF(H1128="ROTECH",PR!$AC1126,IF(H1128="ISN",PR!$AD1126,IF(H1128="JAWA",PR!$AE1126,IF(H1128="LAYO",PR!$AF1126,IF(H1128="LEADWAY",PR!$AG1126,IF(H1128="LHV",PR!$AH1126,IF(H1128="MANOLA",PR!$AI1126,IF(H1128="MARCSON",PR!$AJ1126,IF(H1128="M&amp;B",PR!$AK1126,IF(H1128="MTRUST",PR!$AL1126,IF(H1128="MWORLD",PR!$AM1126,IF(H1128="MEGA",PR!$AN1126,IF(H1128="MICRONOVA",PR!$AO1126,IF(H1128="MFLASH",PR!$AP1126,IF(H1128="MORISON",PR!$AQ1126,IF(H1128="NEMEL",PR!$AR1126,IF(H1128="NHP",PR!$AS1126,IF(H1128="NHC",PR!$AT1126,IF(H1128="OLEAF",PR!$AU1126,IF(H1128="OCULUS",PR!$AV1126,IF(H1128="PACIFIC",PR!$AW1126,IF(H1128="PHAMATEX",PR!$AX1126,IF(H1128="PETHICS",PR!$AY1126,IF(H1128="PHILIPS",PR!$AZ1126,IF(H1128="RANBAXY",PR!$BA1126,IF(H1128="REALS",PR!$BB1126,IF(H1128="ROYAL",PR!$BC1126,IF(H1128="SAM",PR!$BD1126,IF(H1128="SEAGREEN",PR!$BE1126,IF(H1128="SKG",PR!$BF1126,IF(H1128="TAH",PR!$BG1126,IF(H1128="TAYLEK",PR!$BH1126,IF(H1128="TEMITA",PR!$BI1126,IF(H1128="THL",PR!$BJ1126,IF(H1128="UBASTIC",PR!$BK1126,IF(H1128="UNION",PR!$BL1126,IF(H1128="UNIQUE",PR!$BM1126,IF(H1128="VIXA",PR!$BN1126,IF(H1128="WWCV",PR!$BO1126,IF(H1128="ZOLON",PR!$BP1126,"-"))))))))))))))))))))))))))))))))))))))))))))))))))))))))))))))))</f>
        <v>905</v>
      </c>
      <c r="H1128" s="102" t="str">
        <f>EV!M1422</f>
        <v>ROTECH</v>
      </c>
      <c r="I1128" s="108">
        <f>IF(J1128="ALPHA",PR!$E1126,IF(J1128="ASSENE",PR!$F1126,IF(J1128="BIOFEM",PR!$G1126,IF(J1128="BIOMED",PR!$H1126,IF(J1128="CHI",PR!$I1126,IF(J1128="CLARION",PR!$J1126,IF(J1128="CODIX",PR!$K1126,IF(J1128="COSMADE",PR!$L1126,IF(J1128="SANCON",PR!$M1126,IF(J1128="DEVON",PR!$N1126,IF(J1128="DORTEMAG",PR!$O1126,IF(J1128="DGF",PR!$P1126,IF(J1128="DYNAMIC",PR!$Q1126,IF(J1128="EMZOR",PR!$R1126,IF(J1128="EUMATT",PR!$S1126,IF(J1128="FIDSON",PR!$T1126,IF(J1128="FCGLOBAL",PR!$U1126,IF(J1128="GENEITH",PR!$V1126,IF(J1128="GINOS",PR!$W1126,IF(J1128="GSK",PR!$X1126,IF(J1128="GLOBORG",PR!$Y1126,IF(J1128="GOODNEWS",PR!$Z1126,IF(J1128="GREENLIFE",PR!$AA1126,IF(J1128="HLINE",PR!$AB1126,IF(J1128="ROTECH",PR!$AC1126,IF(J1128="ISN",PR!$AD1126,IF(J1128="JAWA",PR!$AE1126,IF(J1128="LAYO",PR!$AF1126,IF(J1128="LEADWAY",PR!$AG1126,IF(J1128="LHV",PR!$AH1126,IF(J1128="MANOLA",PR!$AI1126,IF(J1128="MARCSON",PR!$AJ1126,IF(J1128="M&amp;B",PR!$AK1126,IF(J1128="MTRUST",PR!$AL1126,IF(J1128="MWORLD",PR!$AM1126,IF(J1128="MEGA",PR!$AN1126,IF(J1128="MICRONOVA",PR!$AO1126,IF(J1128="MFLASH",PR!$AP1126,IF(J1128="MORISON",PR!$AQ1126,IF(J1128="NEMEL",PR!$AR1126,IF(J1128="NHP",PR!$AS1126,IF(J1128="NHC",PR!$AT1126,IF(J1128="OLEAF",PR!$AU1126,IF(J1128="OCULUS",PR!$AV1126,IF(J1128="PACIFIC",PR!$AW1126,IF(J1128="PHAMATEX",PR!$AX1126,IF(J1128="PETHICS",PR!$AY1126,IF(J1128="PHILIPS",PR!$AZ1126,IF(J1128="RANBAXY",PR!$BA1126,IF(J1128="REALS",PR!$BB1126,IF(J1128="ROYAL",PR!$BC1126,IF(J1128="SAM",PR!$BD1126,IF(J1128="SEAGREEN",PR!$BE1126,IF(J1128="SKG",PR!$BF1126,IF(J1128="TAH",PR!$BG1126,IF(J1128="TAYLEK",PR!$BH1126,IF(J1128="TEMITA",PR!$BI1126,IF(J1128="THL",PR!$BJ1126,IF(J1128="UBASTIC",PR!$BK1126,IF(J1128="UNION",PR!$BL1126,IF(J1128="UNIQUE",PR!$BM1126,IF(J1128="VIXA",PR!$BN1126,IF(J1128="WWCV",PR!$BO1126,IF(J1128="ZOLON",PR!$BP1126,"-"))))))))))))))))))))))))))))))))))))))))))))))))))))))))))))))))</f>
        <v>1000</v>
      </c>
      <c r="J1128" s="102" t="str">
        <f>EV!N1422</f>
        <v>DYNAMIC</v>
      </c>
      <c r="K1128" s="433" t="s">
        <v>817</v>
      </c>
      <c r="L1128" s="183">
        <f>IF(K1128&gt;0,IF(K1128="ALPHA",PR!$E1126,IF(K1128="ASSENE",PR!$F1126,IF(K1128="BIOFEM",PR!$G1126,IF(K1128="BIOMED",PR!$H1126,IF(K1128="CHI",PR!$I1126,IF(K1128="CLARION",PR!$J1126,IF(K1128="CODIX",PR!$K1126,IF(K1128="COSMADE",PR!$L1126,IF(K1128="SANCON",PR!$M1126,IF(K1128="DEVON",PR!$N1126,IF(K1128="DORTEMAG",PR!$O1126,IF(K1128="DGF",PR!$P1126,IF(K1128="DYNAMIC",PR!$Q1126,IF(K1128="EMZOR",PR!$R1126,IF(K1128="EUMATT",PR!$S1126,IF(K1128="FIDSON",PR!$T1126,IF(K1128="FCGLOBAL",PR!$U1126,IF(K1128="GENEITH",PR!$V1126,IF(K1128="GINOS",PR!$W1126,IF(K1128="GSK",PR!$X1126,IF(K1128="GLOBORG",PR!$Y1126,IF(K1128="GOODNEWS",PR!$Z1126,IF(K1128="GREENLIFE",PR!$AA1126,IF(K1128="HLINE",PR!$AB1126,IF(K1128="ROTECH",PR!$AC1126,IF(K1128="ISN",PR!$AD1126,IF(K1128="JAWA",PR!$AE1126,IF(K1128="LAYO",PR!$AF1126,IF(K1128="LEADWAY",PR!$AG1126,IF(K1128="LHV",PR!$AH1126,IF(K1128="MANOLA",PR!$AI1126,IF(K1128="MARCSON",PR!$AJ1126,IF(K1128="M&amp;B",PR!$AK1126,IF(K1128="MTRUST",PR!$AL1126,IF(K1128="MWORLD",PR!$AM1126,IF(K1128="MEGA",PR!$AN1126,IF(K1128="MICRONOVA",PR!$AO1126,IF(K1128="MFLASH",PR!$AP1126,IF(K1128="MORISON",PR!$AQ1126,IF(K1128="NEMEL",PR!$AR1126,IF(K1128="NHP",PR!$AS1126,IF(K1128="NHC",PR!$AT1126,IF(K1128="OLEAF",PR!$AU1126,IF(K1128="OCULUS",PR!$AV1126,IF(K1128="PACIFIC",PR!$AW1126,IF(K1128="PHAMATEX",PR!$AX1126,IF(K1128="PETHICS",PR!$AY1126,IF(K1128="PHILIPS",PR!$AZ1126,IF(K1128="RANBAXY",PR!$BA1126,IF(K1128="REALS",PR!$BB1126,IF(K1128="ROYAL",PR!$BC1126,IF(K1128="SAM",PR!$BD1126,IF(K1128="SEAGREEN",PR!$BE1126,IF(K1128="SKG",PR!$BF1126,IF(K1128="TAH",PR!$BG1126,IF(K1128="TAYLEK",PR!$BH1126,IF(K1128="TEMITA",PR!$BI1126,IF(K1128="THL",PR!$BJ1126,IF(K1128="UBASTIC",PR!$BK1126,IF(K1128="UNION",PR!$BL1126,IF(K1128="UNIQUE",PR!$BM1126,IF(K1128="VIXA",PR!$BN1126,IF(K1128="WWCV",PR!$BO1126,IF(K1128="ZOLON",PR!$BP1126,"-")))))))))))))))))))))))))))))))))))))))))))))))))))))))))))))))))</f>
        <v>900</v>
      </c>
    </row>
    <row r="1129" spans="1:12" ht="18.75" x14ac:dyDescent="0.3">
      <c r="A1129" s="430">
        <f>PR!A1127</f>
        <v>1014</v>
      </c>
      <c r="B1129" s="15" t="str">
        <f>PR!B1127</f>
        <v>5ML PLAIN VACUUM TUBE (SILVER HEALTH DIAGNOSTIC)</v>
      </c>
      <c r="C1129" s="113" t="str">
        <f>PR!D1127</f>
        <v>1*1000</v>
      </c>
      <c r="D1129" s="113">
        <f>PR!C1127</f>
        <v>20</v>
      </c>
      <c r="E1129" s="108">
        <f>IF(F1129="ALPHA",PR!$E1127,IF(F1129="ASSENE",PR!$F1127,IF(F1129="BIOFEM",PR!$G1127,IF(F1129="BIOMED",PR!$H1127,IF(F1129="CHI",PR!$I1127,IF(F1129="CLARION",PR!$J1127,IF(F1129="CODIX",PR!$K1127,IF(F1129="COSMADE",PR!$L1127,IF(F1129="SANCON",PR!$M1127,IF(F1129="DEVON",PR!$N1127,IF(F1129="DORTEMAG",PR!$O1127,IF(F1129="DGF",PR!$P1127,IF(F1129="DYNAMIC",PR!$Q1127,IF(F1129="EMZOR",PR!$R1127,IF(F1129="EUMATT",PR!$S1127,IF(F1129="FIDSON",PR!$T1127,IF(F1129="FCGLOBAL",PR!$U1127,IF(F1129="GENEITH",PR!$V1127,IF(F1129="GINOS",PR!$W1127,IF(F1129="GSK",PR!$X1127,IF(F1129="GLOBORG",PR!$Y1127,IF(F1129="GOODNEWS",PR!$Z1127,IF(F1129="GREENLIFE",PR!$AA1127,IF(F1129="HLINE",PR!$AB1127,IF(F1129="ROTECH",PR!$AC1127,IF(F1129="ISN",PR!$AD1127,IF(F1129="JAWA",PR!$AE1127,IF(F1129="LAYO",PR!$AF1127,IF(F1129="LEADWAY",PR!$AG1127,IF(F1129="LHV",PR!$AH1127,IF(F1129="MANOLA",PR!$AI1127,IF(F1129="MARCSON",PR!$AJ1127,IF(F1129="M&amp;B",PR!$AK1127,IF(F1129="MTRUST",PR!$AL1127,IF(F1129="MWORLD",PR!$AM1127,IF(F1129="MEGA",PR!$AN1127,IF(F1129="MICRONOVA",PR!$AO1127,IF(F1129="MFLASH",PR!$AP1127,IF(F1129="MORISON",PR!$AQ1127,IF(F1129="NEMEL",PR!$AR1127,IF(F1129="NHP",PR!$AS1127,IF(F1129="NHC",PR!$AT1127,IF(F1129="OLEAF",PR!$AU1127,IF(F1129="OCULUS",PR!$AV1127,IF(F1129="PACIFIC",PR!$AW1127,IF(F1129="PHAMATEX",PR!$AX1127,IF(F1129="PETHICS",PR!$AY1127,IF(F1129="PHILIPS",PR!$AZ1127,IF(F1129="RANBAXY",PR!$BA1127,IF(F1129="REALS",PR!$BB1127,IF(F1129="ROYAL",PR!$BC1127,IF(F1129="SAM",PR!$BD1127,IF(F1129="SEAGREEN",PR!$BE1127,IF(F1129="SKG",PR!$BF1127,IF(F1129="TAH",PR!$BG1127,IF(F1129="TAYLEK",PR!$BH1127,IF(F1129="TEMITA",PR!$BI1127,IF(F1129="THL",PR!$BJ1127,IF(F1129="UBASTIC",PR!$BK1127,IF(F1129="UNION",PR!$BL1127,IF(F1129="UNIQUE",PR!$BM1127,IF(F1129="VIXA",PR!$BN1127,IF(F1129="WWCV",PR!$BO1127,IF(F1129="ZOLON",PR!$BP1127,"-"))))))))))))))))))))))))))))))))))))))))))))))))))))))))))))))))</f>
        <v>19375</v>
      </c>
      <c r="F1129" s="102" t="str">
        <f>EV!L1423</f>
        <v>DYNAMIC</v>
      </c>
      <c r="G1129" s="108">
        <f>IF(H1129="ALPHA",PR!$E1127,IF(H1129="ASSENE",PR!$F1127,IF(H1129="BIOFEM",PR!$G1127,IF(H1129="BIOMED",PR!$H1127,IF(H1129="CHI",PR!$I1127,IF(H1129="CLARION",PR!$J1127,IF(H1129="CODIX",PR!$K1127,IF(H1129="COSMADE",PR!$L1127,IF(H1129="SANCON",PR!$M1127,IF(H1129="DEVON",PR!$N1127,IF(H1129="DORTEMAG",PR!$O1127,IF(H1129="DGF",PR!$P1127,IF(H1129="DYNAMIC",PR!$Q1127,IF(H1129="EMZOR",PR!$R1127,IF(H1129="EUMATT",PR!$S1127,IF(H1129="FIDSON",PR!$T1127,IF(H1129="FCGLOBAL",PR!$U1127,IF(H1129="GENEITH",PR!$V1127,IF(H1129="GINOS",PR!$W1127,IF(H1129="GSK",PR!$X1127,IF(H1129="GLOBORG",PR!$Y1127,IF(H1129="GOODNEWS",PR!$Z1127,IF(H1129="GREENLIFE",PR!$AA1127,IF(H1129="HLINE",PR!$AB1127,IF(H1129="ROTECH",PR!$AC1127,IF(H1129="ISN",PR!$AD1127,IF(H1129="JAWA",PR!$AE1127,IF(H1129="LAYO",PR!$AF1127,IF(H1129="LEADWAY",PR!$AG1127,IF(H1129="LHV",PR!$AH1127,IF(H1129="MANOLA",PR!$AI1127,IF(H1129="MARCSON",PR!$AJ1127,IF(H1129="M&amp;B",PR!$AK1127,IF(H1129="MTRUST",PR!$AL1127,IF(H1129="MWORLD",PR!$AM1127,IF(H1129="MEGA",PR!$AN1127,IF(H1129="MICRONOVA",PR!$AO1127,IF(H1129="MFLASH",PR!$AP1127,IF(H1129="MORISON",PR!$AQ1127,IF(H1129="NEMEL",PR!$AR1127,IF(H1129="NHP",PR!$AS1127,IF(H1129="NHC",PR!$AT1127,IF(H1129="OLEAF",PR!$AU1127,IF(H1129="OCULUS",PR!$AV1127,IF(H1129="PACIFIC",PR!$AW1127,IF(H1129="PHAMATEX",PR!$AX1127,IF(H1129="PETHICS",PR!$AY1127,IF(H1129="PHILIPS",PR!$AZ1127,IF(H1129="RANBAXY",PR!$BA1127,IF(H1129="REALS",PR!$BB1127,IF(H1129="ROYAL",PR!$BC1127,IF(H1129="SAM",PR!$BD1127,IF(H1129="SEAGREEN",PR!$BE1127,IF(H1129="SKG",PR!$BF1127,IF(H1129="TAH",PR!$BG1127,IF(H1129="TAYLEK",PR!$BH1127,IF(H1129="TEMITA",PR!$BI1127,IF(H1129="THL",PR!$BJ1127,IF(H1129="UBASTIC",PR!$BK1127,IF(H1129="UNION",PR!$BL1127,IF(H1129="UNIQUE",PR!$BM1127,IF(H1129="VIXA",PR!$BN1127,IF(H1129="WWCV",PR!$BO1127,IF(H1129="ZOLON",PR!$BP1127,"-"))))))))))))))))))))))))))))))))))))))))))))))))))))))))))))))))</f>
        <v>20000</v>
      </c>
      <c r="H1129" s="102" t="str">
        <f>EV!M1423</f>
        <v>UBASTIC</v>
      </c>
      <c r="I1129" s="108">
        <f>IF(J1129="ALPHA",PR!$E1127,IF(J1129="ASSENE",PR!$F1127,IF(J1129="BIOFEM",PR!$G1127,IF(J1129="BIOMED",PR!$H1127,IF(J1129="CHI",PR!$I1127,IF(J1129="CLARION",PR!$J1127,IF(J1129="CODIX",PR!$K1127,IF(J1129="COSMADE",PR!$L1127,IF(J1129="SANCON",PR!$M1127,IF(J1129="DEVON",PR!$N1127,IF(J1129="DORTEMAG",PR!$O1127,IF(J1129="DGF",PR!$P1127,IF(J1129="DYNAMIC",PR!$Q1127,IF(J1129="EMZOR",PR!$R1127,IF(J1129="EUMATT",PR!$S1127,IF(J1129="FIDSON",PR!$T1127,IF(J1129="FCGLOBAL",PR!$U1127,IF(J1129="GENEITH",PR!$V1127,IF(J1129="GINOS",PR!$W1127,IF(J1129="GSK",PR!$X1127,IF(J1129="GLOBORG",PR!$Y1127,IF(J1129="GOODNEWS",PR!$Z1127,IF(J1129="GREENLIFE",PR!$AA1127,IF(J1129="HLINE",PR!$AB1127,IF(J1129="ROTECH",PR!$AC1127,IF(J1129="ISN",PR!$AD1127,IF(J1129="JAWA",PR!$AE1127,IF(J1129="LAYO",PR!$AF1127,IF(J1129="LEADWAY",PR!$AG1127,IF(J1129="LHV",PR!$AH1127,IF(J1129="MANOLA",PR!$AI1127,IF(J1129="MARCSON",PR!$AJ1127,IF(J1129="M&amp;B",PR!$AK1127,IF(J1129="MTRUST",PR!$AL1127,IF(J1129="MWORLD",PR!$AM1127,IF(J1129="MEGA",PR!$AN1127,IF(J1129="MICRONOVA",PR!$AO1127,IF(J1129="MFLASH",PR!$AP1127,IF(J1129="MORISON",PR!$AQ1127,IF(J1129="NEMEL",PR!$AR1127,IF(J1129="NHP",PR!$AS1127,IF(J1129="NHC",PR!$AT1127,IF(J1129="OLEAF",PR!$AU1127,IF(J1129="OCULUS",PR!$AV1127,IF(J1129="PACIFIC",PR!$AW1127,IF(J1129="PHAMATEX",PR!$AX1127,IF(J1129="PETHICS",PR!$AY1127,IF(J1129="PHILIPS",PR!$AZ1127,IF(J1129="RANBAXY",PR!$BA1127,IF(J1129="REALS",PR!$BB1127,IF(J1129="ROYAL",PR!$BC1127,IF(J1129="SAM",PR!$BD1127,IF(J1129="SEAGREEN",PR!$BE1127,IF(J1129="SKG",PR!$BF1127,IF(J1129="TAH",PR!$BG1127,IF(J1129="TAYLEK",PR!$BH1127,IF(J1129="TEMITA",PR!$BI1127,IF(J1129="THL",PR!$BJ1127,IF(J1129="UBASTIC",PR!$BK1127,IF(J1129="UNION",PR!$BL1127,IF(J1129="UNIQUE",PR!$BM1127,IF(J1129="VIXA",PR!$BN1127,IF(J1129="WWCV",PR!$BO1127,IF(J1129="ZOLON",PR!$BP1127,"-"))))))))))))))))))))))))))))))))))))))))))))))))))))))))))))))))</f>
        <v>21450</v>
      </c>
      <c r="J1129" s="102" t="str">
        <f>EV!N1423</f>
        <v>LAYO</v>
      </c>
      <c r="K1129" s="433" t="s">
        <v>626</v>
      </c>
      <c r="L1129" s="183">
        <f>IF(K1129&gt;0,IF(K1129="ALPHA",PR!$E1127,IF(K1129="ASSENE",PR!$F1127,IF(K1129="BIOFEM",PR!$G1127,IF(K1129="BIOMED",PR!$H1127,IF(K1129="CHI",PR!$I1127,IF(K1129="CLARION",PR!$J1127,IF(K1129="CODIX",PR!$K1127,IF(K1129="COSMADE",PR!$L1127,IF(K1129="SANCON",PR!$M1127,IF(K1129="DEVON",PR!$N1127,IF(K1129="DORTEMAG",PR!$O1127,IF(K1129="DGF",PR!$P1127,IF(K1129="DYNAMIC",PR!$Q1127,IF(K1129="EMZOR",PR!$R1127,IF(K1129="EUMATT",PR!$S1127,IF(K1129="FIDSON",PR!$T1127,IF(K1129="FCGLOBAL",PR!$U1127,IF(K1129="GENEITH",PR!$V1127,IF(K1129="GINOS",PR!$W1127,IF(K1129="GSK",PR!$X1127,IF(K1129="GLOBORG",PR!$Y1127,IF(K1129="GOODNEWS",PR!$Z1127,IF(K1129="GREENLIFE",PR!$AA1127,IF(K1129="HLINE",PR!$AB1127,IF(K1129="ROTECH",PR!$AC1127,IF(K1129="ISN",PR!$AD1127,IF(K1129="JAWA",PR!$AE1127,IF(K1129="LAYO",PR!$AF1127,IF(K1129="LEADWAY",PR!$AG1127,IF(K1129="LHV",PR!$AH1127,IF(K1129="MANOLA",PR!$AI1127,IF(K1129="MARCSON",PR!$AJ1127,IF(K1129="M&amp;B",PR!$AK1127,IF(K1129="MTRUST",PR!$AL1127,IF(K1129="MWORLD",PR!$AM1127,IF(K1129="MEGA",PR!$AN1127,IF(K1129="MICRONOVA",PR!$AO1127,IF(K1129="MFLASH",PR!$AP1127,IF(K1129="MORISON",PR!$AQ1127,IF(K1129="NEMEL",PR!$AR1127,IF(K1129="NHP",PR!$AS1127,IF(K1129="NHC",PR!$AT1127,IF(K1129="OLEAF",PR!$AU1127,IF(K1129="OCULUS",PR!$AV1127,IF(K1129="PACIFIC",PR!$AW1127,IF(K1129="PHAMATEX",PR!$AX1127,IF(K1129="PETHICS",PR!$AY1127,IF(K1129="PHILIPS",PR!$AZ1127,IF(K1129="RANBAXY",PR!$BA1127,IF(K1129="REALS",PR!$BB1127,IF(K1129="ROYAL",PR!$BC1127,IF(K1129="SAM",PR!$BD1127,IF(K1129="SEAGREEN",PR!$BE1127,IF(K1129="SKG",PR!$BF1127,IF(K1129="TAH",PR!$BG1127,IF(K1129="TAYLEK",PR!$BH1127,IF(K1129="TEMITA",PR!$BI1127,IF(K1129="THL",PR!$BJ1127,IF(K1129="UBASTIC",PR!$BK1127,IF(K1129="UNION",PR!$BL1127,IF(K1129="UNIQUE",PR!$BM1127,IF(K1129="VIXA",PR!$BN1127,IF(K1129="WWCV",PR!$BO1127,IF(K1129="ZOLON",PR!$BP1127,"-")))))))))))))))))))))))))))))))))))))))))))))))))))))))))))))))))</f>
        <v>19375</v>
      </c>
    </row>
    <row r="1130" spans="1:12" ht="18.75" x14ac:dyDescent="0.3">
      <c r="A1130" s="430">
        <f>PR!A1128</f>
        <v>1015</v>
      </c>
      <c r="B1130" s="15" t="str">
        <f>PR!B1128</f>
        <v>5ML HEPARIN VACUUM TUBE (SILVER HEALTH DIAGNOSTIC)</v>
      </c>
      <c r="C1130" s="113" t="str">
        <f>PR!D1128</f>
        <v>1*1000</v>
      </c>
      <c r="D1130" s="113">
        <f>PR!C1128</f>
        <v>28</v>
      </c>
      <c r="E1130" s="108">
        <f>IF(F1130="ALPHA",PR!$E1128,IF(F1130="ASSENE",PR!$F1128,IF(F1130="BIOFEM",PR!$G1128,IF(F1130="BIOMED",PR!$H1128,IF(F1130="CHI",PR!$I1128,IF(F1130="CLARION",PR!$J1128,IF(F1130="CODIX",PR!$K1128,IF(F1130="COSMADE",PR!$L1128,IF(F1130="SANCON",PR!$M1128,IF(F1130="DEVON",PR!$N1128,IF(F1130="DORTEMAG",PR!$O1128,IF(F1130="DGF",PR!$P1128,IF(F1130="DYNAMIC",PR!$Q1128,IF(F1130="EMZOR",PR!$R1128,IF(F1130="EUMATT",PR!$S1128,IF(F1130="FIDSON",PR!$T1128,IF(F1130="FCGLOBAL",PR!$U1128,IF(F1130="GENEITH",PR!$V1128,IF(F1130="GINOS",PR!$W1128,IF(F1130="GSK",PR!$X1128,IF(F1130="GLOBORG",PR!$Y1128,IF(F1130="GOODNEWS",PR!$Z1128,IF(F1130="GREENLIFE",PR!$AA1128,IF(F1130="HLINE",PR!$AB1128,IF(F1130="ROTECH",PR!$AC1128,IF(F1130="ISN",PR!$AD1128,IF(F1130="JAWA",PR!$AE1128,IF(F1130="LAYO",PR!$AF1128,IF(F1130="LEADWAY",PR!$AG1128,IF(F1130="LHV",PR!$AH1128,IF(F1130="MANOLA",PR!$AI1128,IF(F1130="MARCSON",PR!$AJ1128,IF(F1130="M&amp;B",PR!$AK1128,IF(F1130="MTRUST",PR!$AL1128,IF(F1130="MWORLD",PR!$AM1128,IF(F1130="MEGA",PR!$AN1128,IF(F1130="MICRONOVA",PR!$AO1128,IF(F1130="MFLASH",PR!$AP1128,IF(F1130="MORISON",PR!$AQ1128,IF(F1130="NEMEL",PR!$AR1128,IF(F1130="NHP",PR!$AS1128,IF(F1130="NHC",PR!$AT1128,IF(F1130="OLEAF",PR!$AU1128,IF(F1130="OCULUS",PR!$AV1128,IF(F1130="PACIFIC",PR!$AW1128,IF(F1130="PHAMATEX",PR!$AX1128,IF(F1130="PETHICS",PR!$AY1128,IF(F1130="PHILIPS",PR!$AZ1128,IF(F1130="RANBAXY",PR!$BA1128,IF(F1130="REALS",PR!$BB1128,IF(F1130="ROYAL",PR!$BC1128,IF(F1130="SAM",PR!$BD1128,IF(F1130="SEAGREEN",PR!$BE1128,IF(F1130="SKG",PR!$BF1128,IF(F1130="TAH",PR!$BG1128,IF(F1130="TAYLEK",PR!$BH1128,IF(F1130="TEMITA",PR!$BI1128,IF(F1130="THL",PR!$BJ1128,IF(F1130="UBASTIC",PR!$BK1128,IF(F1130="UNION",PR!$BL1128,IF(F1130="UNIQUE",PR!$BM1128,IF(F1130="VIXA",PR!$BN1128,IF(F1130="WWCV",PR!$BO1128,IF(F1130="ZOLON",PR!$BP1128,"-"))))))))))))))))))))))))))))))))))))))))))))))))))))))))))))))))</f>
        <v>23125</v>
      </c>
      <c r="F1130" s="102" t="str">
        <f>EV!L1424</f>
        <v>DYNAMIC</v>
      </c>
      <c r="G1130" s="108">
        <f>IF(H1130="ALPHA",PR!$E1128,IF(H1130="ASSENE",PR!$F1128,IF(H1130="BIOFEM",PR!$G1128,IF(H1130="BIOMED",PR!$H1128,IF(H1130="CHI",PR!$I1128,IF(H1130="CLARION",PR!$J1128,IF(H1130="CODIX",PR!$K1128,IF(H1130="COSMADE",PR!$L1128,IF(H1130="SANCON",PR!$M1128,IF(H1130="DEVON",PR!$N1128,IF(H1130="DORTEMAG",PR!$O1128,IF(H1130="DGF",PR!$P1128,IF(H1130="DYNAMIC",PR!$Q1128,IF(H1130="EMZOR",PR!$R1128,IF(H1130="EUMATT",PR!$S1128,IF(H1130="FIDSON",PR!$T1128,IF(H1130="FCGLOBAL",PR!$U1128,IF(H1130="GENEITH",PR!$V1128,IF(H1130="GINOS",PR!$W1128,IF(H1130="GSK",PR!$X1128,IF(H1130="GLOBORG",PR!$Y1128,IF(H1130="GOODNEWS",PR!$Z1128,IF(H1130="GREENLIFE",PR!$AA1128,IF(H1130="HLINE",PR!$AB1128,IF(H1130="ROTECH",PR!$AC1128,IF(H1130="ISN",PR!$AD1128,IF(H1130="JAWA",PR!$AE1128,IF(H1130="LAYO",PR!$AF1128,IF(H1130="LEADWAY",PR!$AG1128,IF(H1130="LHV",PR!$AH1128,IF(H1130="MANOLA",PR!$AI1128,IF(H1130="MARCSON",PR!$AJ1128,IF(H1130="M&amp;B",PR!$AK1128,IF(H1130="MTRUST",PR!$AL1128,IF(H1130="MWORLD",PR!$AM1128,IF(H1130="MEGA",PR!$AN1128,IF(H1130="MICRONOVA",PR!$AO1128,IF(H1130="MFLASH",PR!$AP1128,IF(H1130="MORISON",PR!$AQ1128,IF(H1130="NEMEL",PR!$AR1128,IF(H1130="NHP",PR!$AS1128,IF(H1130="NHC",PR!$AT1128,IF(H1130="OLEAF",PR!$AU1128,IF(H1130="OCULUS",PR!$AV1128,IF(H1130="PACIFIC",PR!$AW1128,IF(H1130="PHAMATEX",PR!$AX1128,IF(H1130="PETHICS",PR!$AY1128,IF(H1130="PHILIPS",PR!$AZ1128,IF(H1130="RANBAXY",PR!$BA1128,IF(H1130="REALS",PR!$BB1128,IF(H1130="ROYAL",PR!$BC1128,IF(H1130="SAM",PR!$BD1128,IF(H1130="SEAGREEN",PR!$BE1128,IF(H1130="SKG",PR!$BF1128,IF(H1130="TAH",PR!$BG1128,IF(H1130="TAYLEK",PR!$BH1128,IF(H1130="TEMITA",PR!$BI1128,IF(H1130="THL",PR!$BJ1128,IF(H1130="UBASTIC",PR!$BK1128,IF(H1130="UNION",PR!$BL1128,IF(H1130="UNIQUE",PR!$BM1128,IF(H1130="VIXA",PR!$BN1128,IF(H1130="WWCV",PR!$BO1128,IF(H1130="ZOLON",PR!$BP1128,"-"))))))))))))))))))))))))))))))))))))))))))))))))))))))))))))))))</f>
        <v>25000</v>
      </c>
      <c r="H1130" s="102" t="str">
        <f>EV!M1424</f>
        <v>UBASTIC</v>
      </c>
      <c r="I1130" s="108">
        <f>IF(J1130="ALPHA",PR!$E1128,IF(J1130="ASSENE",PR!$F1128,IF(J1130="BIOFEM",PR!$G1128,IF(J1130="BIOMED",PR!$H1128,IF(J1130="CHI",PR!$I1128,IF(J1130="CLARION",PR!$J1128,IF(J1130="CODIX",PR!$K1128,IF(J1130="COSMADE",PR!$L1128,IF(J1130="SANCON",PR!$M1128,IF(J1130="DEVON",PR!$N1128,IF(J1130="DORTEMAG",PR!$O1128,IF(J1130="DGF",PR!$P1128,IF(J1130="DYNAMIC",PR!$Q1128,IF(J1130="EMZOR",PR!$R1128,IF(J1130="EUMATT",PR!$S1128,IF(J1130="FIDSON",PR!$T1128,IF(J1130="FCGLOBAL",PR!$U1128,IF(J1130="GENEITH",PR!$V1128,IF(J1130="GINOS",PR!$W1128,IF(J1130="GSK",PR!$X1128,IF(J1130="GLOBORG",PR!$Y1128,IF(J1130="GOODNEWS",PR!$Z1128,IF(J1130="GREENLIFE",PR!$AA1128,IF(J1130="HLINE",PR!$AB1128,IF(J1130="ROTECH",PR!$AC1128,IF(J1130="ISN",PR!$AD1128,IF(J1130="JAWA",PR!$AE1128,IF(J1130="LAYO",PR!$AF1128,IF(J1130="LEADWAY",PR!$AG1128,IF(J1130="LHV",PR!$AH1128,IF(J1130="MANOLA",PR!$AI1128,IF(J1130="MARCSON",PR!$AJ1128,IF(J1130="M&amp;B",PR!$AK1128,IF(J1130="MTRUST",PR!$AL1128,IF(J1130="MWORLD",PR!$AM1128,IF(J1130="MEGA",PR!$AN1128,IF(J1130="MICRONOVA",PR!$AO1128,IF(J1130="MFLASH",PR!$AP1128,IF(J1130="MORISON",PR!$AQ1128,IF(J1130="NEMEL",PR!$AR1128,IF(J1130="NHP",PR!$AS1128,IF(J1130="NHC",PR!$AT1128,IF(J1130="OLEAF",PR!$AU1128,IF(J1130="OCULUS",PR!$AV1128,IF(J1130="PACIFIC",PR!$AW1128,IF(J1130="PHAMATEX",PR!$AX1128,IF(J1130="PETHICS",PR!$AY1128,IF(J1130="PHILIPS",PR!$AZ1128,IF(J1130="RANBAXY",PR!$BA1128,IF(J1130="REALS",PR!$BB1128,IF(J1130="ROYAL",PR!$BC1128,IF(J1130="SAM",PR!$BD1128,IF(J1130="SEAGREEN",PR!$BE1128,IF(J1130="SKG",PR!$BF1128,IF(J1130="TAH",PR!$BG1128,IF(J1130="TAYLEK",PR!$BH1128,IF(J1130="TEMITA",PR!$BI1128,IF(J1130="THL",PR!$BJ1128,IF(J1130="UBASTIC",PR!$BK1128,IF(J1130="UNION",PR!$BL1128,IF(J1130="UNIQUE",PR!$BM1128,IF(J1130="VIXA",PR!$BN1128,IF(J1130="WWCV",PR!$BO1128,IF(J1130="ZOLON",PR!$BP1128,"-"))))))))))))))))))))))))))))))))))))))))))))))))))))))))))))))))</f>
        <v>36400</v>
      </c>
      <c r="J1130" s="102" t="str">
        <f>EV!N1424</f>
        <v>LAYO</v>
      </c>
      <c r="K1130" s="433" t="s">
        <v>817</v>
      </c>
      <c r="L1130" s="183">
        <f>IF(K1130&gt;0,IF(K1130="ALPHA",PR!$E1128,IF(K1130="ASSENE",PR!$F1128,IF(K1130="BIOFEM",PR!$G1128,IF(K1130="BIOMED",PR!$H1128,IF(K1130="CHI",PR!$I1128,IF(K1130="CLARION",PR!$J1128,IF(K1130="CODIX",PR!$K1128,IF(K1130="COSMADE",PR!$L1128,IF(K1130="SANCON",PR!$M1128,IF(K1130="DEVON",PR!$N1128,IF(K1130="DORTEMAG",PR!$O1128,IF(K1130="DGF",PR!$P1128,IF(K1130="DYNAMIC",PR!$Q1128,IF(K1130="EMZOR",PR!$R1128,IF(K1130="EUMATT",PR!$S1128,IF(K1130="FIDSON",PR!$T1128,IF(K1130="FCGLOBAL",PR!$U1128,IF(K1130="GENEITH",PR!$V1128,IF(K1130="GINOS",PR!$W1128,IF(K1130="GSK",PR!$X1128,IF(K1130="GLOBORG",PR!$Y1128,IF(K1130="GOODNEWS",PR!$Z1128,IF(K1130="GREENLIFE",PR!$AA1128,IF(K1130="HLINE",PR!$AB1128,IF(K1130="ROTECH",PR!$AC1128,IF(K1130="ISN",PR!$AD1128,IF(K1130="JAWA",PR!$AE1128,IF(K1130="LAYO",PR!$AF1128,IF(K1130="LEADWAY",PR!$AG1128,IF(K1130="LHV",PR!$AH1128,IF(K1130="MANOLA",PR!$AI1128,IF(K1130="MARCSON",PR!$AJ1128,IF(K1130="M&amp;B",PR!$AK1128,IF(K1130="MTRUST",PR!$AL1128,IF(K1130="MWORLD",PR!$AM1128,IF(K1130="MEGA",PR!$AN1128,IF(K1130="MICRONOVA",PR!$AO1128,IF(K1130="MFLASH",PR!$AP1128,IF(K1130="MORISON",PR!$AQ1128,IF(K1130="NEMEL",PR!$AR1128,IF(K1130="NHP",PR!$AS1128,IF(K1130="NHC",PR!$AT1128,IF(K1130="OLEAF",PR!$AU1128,IF(K1130="OCULUS",PR!$AV1128,IF(K1130="PACIFIC",PR!$AW1128,IF(K1130="PHAMATEX",PR!$AX1128,IF(K1130="PETHICS",PR!$AY1128,IF(K1130="PHILIPS",PR!$AZ1128,IF(K1130="RANBAXY",PR!$BA1128,IF(K1130="REALS",PR!$BB1128,IF(K1130="ROYAL",PR!$BC1128,IF(K1130="SAM",PR!$BD1128,IF(K1130="SEAGREEN",PR!$BE1128,IF(K1130="SKG",PR!$BF1128,IF(K1130="TAH",PR!$BG1128,IF(K1130="TAYLEK",PR!$BH1128,IF(K1130="TEMITA",PR!$BI1128,IF(K1130="THL",PR!$BJ1128,IF(K1130="UBASTIC",PR!$BK1128,IF(K1130="UNION",PR!$BL1128,IF(K1130="UNIQUE",PR!$BM1128,IF(K1130="VIXA",PR!$BN1128,IF(K1130="WWCV",PR!$BO1128,IF(K1130="ZOLON",PR!$BP1128,"-")))))))))))))))))))))))))))))))))))))))))))))))))))))))))))))))))</f>
        <v>18000</v>
      </c>
    </row>
    <row r="1131" spans="1:12" ht="18.75" x14ac:dyDescent="0.3">
      <c r="A1131" s="430">
        <f>PR!A1129</f>
        <v>1016</v>
      </c>
      <c r="B1131" s="15" t="str">
        <f>PR!B1129</f>
        <v>UNIVERSAL PLASTIC BOTTLES  (SILVER HEALTH DIAGNOSTIC)</v>
      </c>
      <c r="C1131" s="113" t="str">
        <f>PR!D1129</f>
        <v>1*1000</v>
      </c>
      <c r="D1131" s="113">
        <f>PR!C1129</f>
        <v>24</v>
      </c>
      <c r="E1131" s="108">
        <f>IF(F1131="ALPHA",PR!$E1129,IF(F1131="ASSENE",PR!$F1129,IF(F1131="BIOFEM",PR!$G1129,IF(F1131="BIOMED",PR!$H1129,IF(F1131="CHI",PR!$I1129,IF(F1131="CLARION",PR!$J1129,IF(F1131="CODIX",PR!$K1129,IF(F1131="COSMADE",PR!$L1129,IF(F1131="SANCON",PR!$M1129,IF(F1131="DEVON",PR!$N1129,IF(F1131="DORTEMAG",PR!$O1129,IF(F1131="DGF",PR!$P1129,IF(F1131="DYNAMIC",PR!$Q1129,IF(F1131="EMZOR",PR!$R1129,IF(F1131="EUMATT",PR!$S1129,IF(F1131="FIDSON",PR!$T1129,IF(F1131="FCGLOBAL",PR!$U1129,IF(F1131="GENEITH",PR!$V1129,IF(F1131="GINOS",PR!$W1129,IF(F1131="GSK",PR!$X1129,IF(F1131="GLOBORG",PR!$Y1129,IF(F1131="GOODNEWS",PR!$Z1129,IF(F1131="GREENLIFE",PR!$AA1129,IF(F1131="HLINE",PR!$AB1129,IF(F1131="ROTECH",PR!$AC1129,IF(F1131="ISN",PR!$AD1129,IF(F1131="JAWA",PR!$AE1129,IF(F1131="LAYO",PR!$AF1129,IF(F1131="LEADWAY",PR!$AG1129,IF(F1131="LHV",PR!$AH1129,IF(F1131="MANOLA",PR!$AI1129,IF(F1131="MARCSON",PR!$AJ1129,IF(F1131="M&amp;B",PR!$AK1129,IF(F1131="MTRUST",PR!$AL1129,IF(F1131="MWORLD",PR!$AM1129,IF(F1131="MEGA",PR!$AN1129,IF(F1131="MICRONOVA",PR!$AO1129,IF(F1131="MFLASH",PR!$AP1129,IF(F1131="MORISON",PR!$AQ1129,IF(F1131="NEMEL",PR!$AR1129,IF(F1131="NHP",PR!$AS1129,IF(F1131="NHC",PR!$AT1129,IF(F1131="OLEAF",PR!$AU1129,IF(F1131="OCULUS",PR!$AV1129,IF(F1131="PACIFIC",PR!$AW1129,IF(F1131="PHAMATEX",PR!$AX1129,IF(F1131="PETHICS",PR!$AY1129,IF(F1131="PHILIPS",PR!$AZ1129,IF(F1131="RANBAXY",PR!$BA1129,IF(F1131="REALS",PR!$BB1129,IF(F1131="ROYAL",PR!$BC1129,IF(F1131="SAM",PR!$BD1129,IF(F1131="SEAGREEN",PR!$BE1129,IF(F1131="SKG",PR!$BF1129,IF(F1131="TAH",PR!$BG1129,IF(F1131="TAYLEK",PR!$BH1129,IF(F1131="TEMITA",PR!$BI1129,IF(F1131="THL",PR!$BJ1129,IF(F1131="UBASTIC",PR!$BK1129,IF(F1131="UNION",PR!$BL1129,IF(F1131="UNIQUE",PR!$BM1129,IF(F1131="VIXA",PR!$BN1129,IF(F1131="WWCV",PR!$BO1129,IF(F1131="ZOLON",PR!$BP1129,"-"))))))))))))))))))))))))))))))))))))))))))))))))))))))))))))))))</f>
        <v>13125</v>
      </c>
      <c r="F1131" s="102" t="str">
        <f>EV!L1425</f>
        <v>DYNAMIC</v>
      </c>
      <c r="G1131" s="108">
        <f>IF(H1131="ALPHA",PR!$E1129,IF(H1131="ASSENE",PR!$F1129,IF(H1131="BIOFEM",PR!$G1129,IF(H1131="BIOMED",PR!$H1129,IF(H1131="CHI",PR!$I1129,IF(H1131="CLARION",PR!$J1129,IF(H1131="CODIX",PR!$K1129,IF(H1131="COSMADE",PR!$L1129,IF(H1131="SANCON",PR!$M1129,IF(H1131="DEVON",PR!$N1129,IF(H1131="DORTEMAG",PR!$O1129,IF(H1131="DGF",PR!$P1129,IF(H1131="DYNAMIC",PR!$Q1129,IF(H1131="EMZOR",PR!$R1129,IF(H1131="EUMATT",PR!$S1129,IF(H1131="FIDSON",PR!$T1129,IF(H1131="FCGLOBAL",PR!$U1129,IF(H1131="GENEITH",PR!$V1129,IF(H1131="GINOS",PR!$W1129,IF(H1131="GSK",PR!$X1129,IF(H1131="GLOBORG",PR!$Y1129,IF(H1131="GOODNEWS",PR!$Z1129,IF(H1131="GREENLIFE",PR!$AA1129,IF(H1131="HLINE",PR!$AB1129,IF(H1131="ROTECH",PR!$AC1129,IF(H1131="ISN",PR!$AD1129,IF(H1131="JAWA",PR!$AE1129,IF(H1131="LAYO",PR!$AF1129,IF(H1131="LEADWAY",PR!$AG1129,IF(H1131="LHV",PR!$AH1129,IF(H1131="MANOLA",PR!$AI1129,IF(H1131="MARCSON",PR!$AJ1129,IF(H1131="M&amp;B",PR!$AK1129,IF(H1131="MTRUST",PR!$AL1129,IF(H1131="MWORLD",PR!$AM1129,IF(H1131="MEGA",PR!$AN1129,IF(H1131="MICRONOVA",PR!$AO1129,IF(H1131="MFLASH",PR!$AP1129,IF(H1131="MORISON",PR!$AQ1129,IF(H1131="NEMEL",PR!$AR1129,IF(H1131="NHP",PR!$AS1129,IF(H1131="NHC",PR!$AT1129,IF(H1131="OLEAF",PR!$AU1129,IF(H1131="OCULUS",PR!$AV1129,IF(H1131="PACIFIC",PR!$AW1129,IF(H1131="PHAMATEX",PR!$AX1129,IF(H1131="PETHICS",PR!$AY1129,IF(H1131="PHILIPS",PR!$AZ1129,IF(H1131="RANBAXY",PR!$BA1129,IF(H1131="REALS",PR!$BB1129,IF(H1131="ROYAL",PR!$BC1129,IF(H1131="SAM",PR!$BD1129,IF(H1131="SEAGREEN",PR!$BE1129,IF(H1131="SKG",PR!$BF1129,IF(H1131="TAH",PR!$BG1129,IF(H1131="TAYLEK",PR!$BH1129,IF(H1131="TEMITA",PR!$BI1129,IF(H1131="THL",PR!$BJ1129,IF(H1131="UBASTIC",PR!$BK1129,IF(H1131="UNION",PR!$BL1129,IF(H1131="UNIQUE",PR!$BM1129,IF(H1131="VIXA",PR!$BN1129,IF(H1131="WWCV",PR!$BO1129,IF(H1131="ZOLON",PR!$BP1129,"-"))))))))))))))))))))))))))))))))))))))))))))))))))))))))))))))))</f>
        <v>35000</v>
      </c>
      <c r="H1131" s="102" t="str">
        <f>EV!M1425</f>
        <v>UBASTIC</v>
      </c>
      <c r="I1131" s="108">
        <f>IF(J1131="ALPHA",PR!$E1129,IF(J1131="ASSENE",PR!$F1129,IF(J1131="BIOFEM",PR!$G1129,IF(J1131="BIOMED",PR!$H1129,IF(J1131="CHI",PR!$I1129,IF(J1131="CLARION",PR!$J1129,IF(J1131="CODIX",PR!$K1129,IF(J1131="COSMADE",PR!$L1129,IF(J1131="SANCON",PR!$M1129,IF(J1131="DEVON",PR!$N1129,IF(J1131="DORTEMAG",PR!$O1129,IF(J1131="DGF",PR!$P1129,IF(J1131="DYNAMIC",PR!$Q1129,IF(J1131="EMZOR",PR!$R1129,IF(J1131="EUMATT",PR!$S1129,IF(J1131="FIDSON",PR!$T1129,IF(J1131="FCGLOBAL",PR!$U1129,IF(J1131="GENEITH",PR!$V1129,IF(J1131="GINOS",PR!$W1129,IF(J1131="GSK",PR!$X1129,IF(J1131="GLOBORG",PR!$Y1129,IF(J1131="GOODNEWS",PR!$Z1129,IF(J1131="GREENLIFE",PR!$AA1129,IF(J1131="HLINE",PR!$AB1129,IF(J1131="ROTECH",PR!$AC1129,IF(J1131="ISN",PR!$AD1129,IF(J1131="JAWA",PR!$AE1129,IF(J1131="LAYO",PR!$AF1129,IF(J1131="LEADWAY",PR!$AG1129,IF(J1131="LHV",PR!$AH1129,IF(J1131="MANOLA",PR!$AI1129,IF(J1131="MARCSON",PR!$AJ1129,IF(J1131="M&amp;B",PR!$AK1129,IF(J1131="MTRUST",PR!$AL1129,IF(J1131="MWORLD",PR!$AM1129,IF(J1131="MEGA",PR!$AN1129,IF(J1131="MICRONOVA",PR!$AO1129,IF(J1131="MFLASH",PR!$AP1129,IF(J1131="MORISON",PR!$AQ1129,IF(J1131="NEMEL",PR!$AR1129,IF(J1131="NHP",PR!$AS1129,IF(J1131="NHC",PR!$AT1129,IF(J1131="OLEAF",PR!$AU1129,IF(J1131="OCULUS",PR!$AV1129,IF(J1131="PACIFIC",PR!$AW1129,IF(J1131="PHAMATEX",PR!$AX1129,IF(J1131="PETHICS",PR!$AY1129,IF(J1131="PHILIPS",PR!$AZ1129,IF(J1131="RANBAXY",PR!$BA1129,IF(J1131="REALS",PR!$BB1129,IF(J1131="ROYAL",PR!$BC1129,IF(J1131="SAM",PR!$BD1129,IF(J1131="SEAGREEN",PR!$BE1129,IF(J1131="SKG",PR!$BF1129,IF(J1131="TAH",PR!$BG1129,IF(J1131="TAYLEK",PR!$BH1129,IF(J1131="TEMITA",PR!$BI1129,IF(J1131="THL",PR!$BJ1129,IF(J1131="UBASTIC",PR!$BK1129,IF(J1131="UNION",PR!$BL1129,IF(J1131="UNIQUE",PR!$BM1129,IF(J1131="VIXA",PR!$BN1129,IF(J1131="WWCV",PR!$BO1129,IF(J1131="ZOLON",PR!$BP1129,"-"))))))))))))))))))))))))))))))))))))))))))))))))))))))))))))))))</f>
        <v>35750</v>
      </c>
      <c r="J1131" s="102" t="str">
        <f>EV!N1425</f>
        <v>LAYO</v>
      </c>
      <c r="K1131" s="433" t="s">
        <v>626</v>
      </c>
      <c r="L1131" s="183">
        <f>IF(K1131&gt;0,IF(K1131="ALPHA",PR!$E1129,IF(K1131="ASSENE",PR!$F1129,IF(K1131="BIOFEM",PR!$G1129,IF(K1131="BIOMED",PR!$H1129,IF(K1131="CHI",PR!$I1129,IF(K1131="CLARION",PR!$J1129,IF(K1131="CODIX",PR!$K1129,IF(K1131="COSMADE",PR!$L1129,IF(K1131="SANCON",PR!$M1129,IF(K1131="DEVON",PR!$N1129,IF(K1131="DORTEMAG",PR!$O1129,IF(K1131="DGF",PR!$P1129,IF(K1131="DYNAMIC",PR!$Q1129,IF(K1131="EMZOR",PR!$R1129,IF(K1131="EUMATT",PR!$S1129,IF(K1131="FIDSON",PR!$T1129,IF(K1131="FCGLOBAL",PR!$U1129,IF(K1131="GENEITH",PR!$V1129,IF(K1131="GINOS",PR!$W1129,IF(K1131="GSK",PR!$X1129,IF(K1131="GLOBORG",PR!$Y1129,IF(K1131="GOODNEWS",PR!$Z1129,IF(K1131="GREENLIFE",PR!$AA1129,IF(K1131="HLINE",PR!$AB1129,IF(K1131="ROTECH",PR!$AC1129,IF(K1131="ISN",PR!$AD1129,IF(K1131="JAWA",PR!$AE1129,IF(K1131="LAYO",PR!$AF1129,IF(K1131="LEADWAY",PR!$AG1129,IF(K1131="LHV",PR!$AH1129,IF(K1131="MANOLA",PR!$AI1129,IF(K1131="MARCSON",PR!$AJ1129,IF(K1131="M&amp;B",PR!$AK1129,IF(K1131="MTRUST",PR!$AL1129,IF(K1131="MWORLD",PR!$AM1129,IF(K1131="MEGA",PR!$AN1129,IF(K1131="MICRONOVA",PR!$AO1129,IF(K1131="MFLASH",PR!$AP1129,IF(K1131="MORISON",PR!$AQ1129,IF(K1131="NEMEL",PR!$AR1129,IF(K1131="NHP",PR!$AS1129,IF(K1131="NHC",PR!$AT1129,IF(K1131="OLEAF",PR!$AU1129,IF(K1131="OCULUS",PR!$AV1129,IF(K1131="PACIFIC",PR!$AW1129,IF(K1131="PHAMATEX",PR!$AX1129,IF(K1131="PETHICS",PR!$AY1129,IF(K1131="PHILIPS",PR!$AZ1129,IF(K1131="RANBAXY",PR!$BA1129,IF(K1131="REALS",PR!$BB1129,IF(K1131="ROYAL",PR!$BC1129,IF(K1131="SAM",PR!$BD1129,IF(K1131="SEAGREEN",PR!$BE1129,IF(K1131="SKG",PR!$BF1129,IF(K1131="TAH",PR!$BG1129,IF(K1131="TAYLEK",PR!$BH1129,IF(K1131="TEMITA",PR!$BI1129,IF(K1131="THL",PR!$BJ1129,IF(K1131="UBASTIC",PR!$BK1129,IF(K1131="UNION",PR!$BL1129,IF(K1131="UNIQUE",PR!$BM1129,IF(K1131="VIXA",PR!$BN1129,IF(K1131="WWCV",PR!$BO1129,IF(K1131="ZOLON",PR!$BP1129,"-")))))))))))))))))))))))))))))))))))))))))))))))))))))))))))))))))</f>
        <v>13125</v>
      </c>
    </row>
    <row r="1132" spans="1:12" ht="18.75" x14ac:dyDescent="0.3">
      <c r="A1132" s="430">
        <f>PR!A1130</f>
        <v>1017</v>
      </c>
      <c r="B1132" s="15" t="str">
        <f>PR!B1130</f>
        <v>ADJUSTABLE MICROPIPETTE (HITECH)</v>
      </c>
      <c r="C1132" s="113" t="str">
        <f>PR!D1130</f>
        <v>10-100ul</v>
      </c>
      <c r="D1132" s="113">
        <f>PR!C1130</f>
        <v>16</v>
      </c>
      <c r="E1132" s="108">
        <f>IF(F1132="ALPHA",PR!$E1130,IF(F1132="ASSENE",PR!$F1130,IF(F1132="BIOFEM",PR!$G1130,IF(F1132="BIOMED",PR!$H1130,IF(F1132="CHI",PR!$I1130,IF(F1132="CLARION",PR!$J1130,IF(F1132="CODIX",PR!$K1130,IF(F1132="COSMADE",PR!$L1130,IF(F1132="SANCON",PR!$M1130,IF(F1132="DEVON",PR!$N1130,IF(F1132="DORTEMAG",PR!$O1130,IF(F1132="DGF",PR!$P1130,IF(F1132="DYNAMIC",PR!$Q1130,IF(F1132="EMZOR",PR!$R1130,IF(F1132="EUMATT",PR!$S1130,IF(F1132="FIDSON",PR!$T1130,IF(F1132="FCGLOBAL",PR!$U1130,IF(F1132="GENEITH",PR!$V1130,IF(F1132="GINOS",PR!$W1130,IF(F1132="GSK",PR!$X1130,IF(F1132="GLOBORG",PR!$Y1130,IF(F1132="GOODNEWS",PR!$Z1130,IF(F1132="GREENLIFE",PR!$AA1130,IF(F1132="HLINE",PR!$AB1130,IF(F1132="ROTECH",PR!$AC1130,IF(F1132="ISN",PR!$AD1130,IF(F1132="JAWA",PR!$AE1130,IF(F1132="LAYO",PR!$AF1130,IF(F1132="LEADWAY",PR!$AG1130,IF(F1132="LHV",PR!$AH1130,IF(F1132="MANOLA",PR!$AI1130,IF(F1132="MARCSON",PR!$AJ1130,IF(F1132="M&amp;B",PR!$AK1130,IF(F1132="MTRUST",PR!$AL1130,IF(F1132="MWORLD",PR!$AM1130,IF(F1132="MEGA",PR!$AN1130,IF(F1132="MICRONOVA",PR!$AO1130,IF(F1132="MFLASH",PR!$AP1130,IF(F1132="MORISON",PR!$AQ1130,IF(F1132="NEMEL",PR!$AR1130,IF(F1132="NHP",PR!$AS1130,IF(F1132="NHC",PR!$AT1130,IF(F1132="OLEAF",PR!$AU1130,IF(F1132="OCULUS",PR!$AV1130,IF(F1132="PACIFIC",PR!$AW1130,IF(F1132="PHAMATEX",PR!$AX1130,IF(F1132="PETHICS",PR!$AY1130,IF(F1132="PHILIPS",PR!$AZ1130,IF(F1132="RANBAXY",PR!$BA1130,IF(F1132="REALS",PR!$BB1130,IF(F1132="ROYAL",PR!$BC1130,IF(F1132="SAM",PR!$BD1130,IF(F1132="SEAGREEN",PR!$BE1130,IF(F1132="SKG",PR!$BF1130,IF(F1132="TAH",PR!$BG1130,IF(F1132="TAYLEK",PR!$BH1130,IF(F1132="TEMITA",PR!$BI1130,IF(F1132="THL",PR!$BJ1130,IF(F1132="UBASTIC",PR!$BK1130,IF(F1132="UNION",PR!$BL1130,IF(F1132="UNIQUE",PR!$BM1130,IF(F1132="VIXA",PR!$BN1130,IF(F1132="WWCV",PR!$BO1130,IF(F1132="ZOLON",PR!$BP1130,"-"))))))))))))))))))))))))))))))))))))))))))))))))))))))))))))))))</f>
        <v>5700</v>
      </c>
      <c r="F1132" s="102" t="str">
        <f>EV!L1426</f>
        <v>TEMITA</v>
      </c>
      <c r="G1132" s="108">
        <f>IF(H1132="ALPHA",PR!$E1130,IF(H1132="ASSENE",PR!$F1130,IF(H1132="BIOFEM",PR!$G1130,IF(H1132="BIOMED",PR!$H1130,IF(H1132="CHI",PR!$I1130,IF(H1132="CLARION",PR!$J1130,IF(H1132="CODIX",PR!$K1130,IF(H1132="COSMADE",PR!$L1130,IF(H1132="SANCON",PR!$M1130,IF(H1132="DEVON",PR!$N1130,IF(H1132="DORTEMAG",PR!$O1130,IF(H1132="DGF",PR!$P1130,IF(H1132="DYNAMIC",PR!$Q1130,IF(H1132="EMZOR",PR!$R1130,IF(H1132="EUMATT",PR!$S1130,IF(H1132="FIDSON",PR!$T1130,IF(H1132="FCGLOBAL",PR!$U1130,IF(H1132="GENEITH",PR!$V1130,IF(H1132="GINOS",PR!$W1130,IF(H1132="GSK",PR!$X1130,IF(H1132="GLOBORG",PR!$Y1130,IF(H1132="GOODNEWS",PR!$Z1130,IF(H1132="GREENLIFE",PR!$AA1130,IF(H1132="HLINE",PR!$AB1130,IF(H1132="ROTECH",PR!$AC1130,IF(H1132="ISN",PR!$AD1130,IF(H1132="JAWA",PR!$AE1130,IF(H1132="LAYO",PR!$AF1130,IF(H1132="LEADWAY",PR!$AG1130,IF(H1132="LHV",PR!$AH1130,IF(H1132="MANOLA",PR!$AI1130,IF(H1132="MARCSON",PR!$AJ1130,IF(H1132="M&amp;B",PR!$AK1130,IF(H1132="MTRUST",PR!$AL1130,IF(H1132="MWORLD",PR!$AM1130,IF(H1132="MEGA",PR!$AN1130,IF(H1132="MICRONOVA",PR!$AO1130,IF(H1132="MFLASH",PR!$AP1130,IF(H1132="MORISON",PR!$AQ1130,IF(H1132="NEMEL",PR!$AR1130,IF(H1132="NHP",PR!$AS1130,IF(H1132="NHC",PR!$AT1130,IF(H1132="OLEAF",PR!$AU1130,IF(H1132="OCULUS",PR!$AV1130,IF(H1132="PACIFIC",PR!$AW1130,IF(H1132="PHAMATEX",PR!$AX1130,IF(H1132="PETHICS",PR!$AY1130,IF(H1132="PHILIPS",PR!$AZ1130,IF(H1132="RANBAXY",PR!$BA1130,IF(H1132="REALS",PR!$BB1130,IF(H1132="ROYAL",PR!$BC1130,IF(H1132="SAM",PR!$BD1130,IF(H1132="SEAGREEN",PR!$BE1130,IF(H1132="SKG",PR!$BF1130,IF(H1132="TAH",PR!$BG1130,IF(H1132="TAYLEK",PR!$BH1130,IF(H1132="TEMITA",PR!$BI1130,IF(H1132="THL",PR!$BJ1130,IF(H1132="UBASTIC",PR!$BK1130,IF(H1132="UNION",PR!$BL1130,IF(H1132="UNIQUE",PR!$BM1130,IF(H1132="VIXA",PR!$BN1130,IF(H1132="WWCV",PR!$BO1130,IF(H1132="ZOLON",PR!$BP1130,"-"))))))))))))))))))))))))))))))))))))))))))))))))))))))))))))))))</f>
        <v>10000</v>
      </c>
      <c r="H1132" s="102" t="str">
        <f>EV!M1426</f>
        <v>DYNAMIC</v>
      </c>
      <c r="I1132" s="108">
        <f>IF(J1132="ALPHA",PR!$E1130,IF(J1132="ASSENE",PR!$F1130,IF(J1132="BIOFEM",PR!$G1130,IF(J1132="BIOMED",PR!$H1130,IF(J1132="CHI",PR!$I1130,IF(J1132="CLARION",PR!$J1130,IF(J1132="CODIX",PR!$K1130,IF(J1132="COSMADE",PR!$L1130,IF(J1132="SANCON",PR!$M1130,IF(J1132="DEVON",PR!$N1130,IF(J1132="DORTEMAG",PR!$O1130,IF(J1132="DGF",PR!$P1130,IF(J1132="DYNAMIC",PR!$Q1130,IF(J1132="EMZOR",PR!$R1130,IF(J1132="EUMATT",PR!$S1130,IF(J1132="FIDSON",PR!$T1130,IF(J1132="FCGLOBAL",PR!$U1130,IF(J1132="GENEITH",PR!$V1130,IF(J1132="GINOS",PR!$W1130,IF(J1132="GSK",PR!$X1130,IF(J1132="GLOBORG",PR!$Y1130,IF(J1132="GOODNEWS",PR!$Z1130,IF(J1132="GREENLIFE",PR!$AA1130,IF(J1132="HLINE",PR!$AB1130,IF(J1132="ROTECH",PR!$AC1130,IF(J1132="ISN",PR!$AD1130,IF(J1132="JAWA",PR!$AE1130,IF(J1132="LAYO",PR!$AF1130,IF(J1132="LEADWAY",PR!$AG1130,IF(J1132="LHV",PR!$AH1130,IF(J1132="MANOLA",PR!$AI1130,IF(J1132="MARCSON",PR!$AJ1130,IF(J1132="M&amp;B",PR!$AK1130,IF(J1132="MTRUST",PR!$AL1130,IF(J1132="MWORLD",PR!$AM1130,IF(J1132="MEGA",PR!$AN1130,IF(J1132="MICRONOVA",PR!$AO1130,IF(J1132="MFLASH",PR!$AP1130,IF(J1132="MORISON",PR!$AQ1130,IF(J1132="NEMEL",PR!$AR1130,IF(J1132="NHP",PR!$AS1130,IF(J1132="NHC",PR!$AT1130,IF(J1132="OLEAF",PR!$AU1130,IF(J1132="OCULUS",PR!$AV1130,IF(J1132="PACIFIC",PR!$AW1130,IF(J1132="PHAMATEX",PR!$AX1130,IF(J1132="PETHICS",PR!$AY1130,IF(J1132="PHILIPS",PR!$AZ1130,IF(J1132="RANBAXY",PR!$BA1130,IF(J1132="REALS",PR!$BB1130,IF(J1132="ROYAL",PR!$BC1130,IF(J1132="SAM",PR!$BD1130,IF(J1132="SEAGREEN",PR!$BE1130,IF(J1132="SKG",PR!$BF1130,IF(J1132="TAH",PR!$BG1130,IF(J1132="TAYLEK",PR!$BH1130,IF(J1132="TEMITA",PR!$BI1130,IF(J1132="THL",PR!$BJ1130,IF(J1132="UBASTIC",PR!$BK1130,IF(J1132="UNION",PR!$BL1130,IF(J1132="UNIQUE",PR!$BM1130,IF(J1132="VIXA",PR!$BN1130,IF(J1132="WWCV",PR!$BO1130,IF(J1132="ZOLON",PR!$BP1130,"-"))))))))))))))))))))))))))))))))))))))))))))))))))))))))))))))))</f>
        <v>25000</v>
      </c>
      <c r="J1132" s="102" t="str">
        <f>EV!N1426</f>
        <v>LAYO</v>
      </c>
      <c r="K1132" s="433" t="s">
        <v>1463</v>
      </c>
      <c r="L1132" s="183">
        <f>IF(K1132&gt;0,IF(K1132="ALPHA",PR!$E1130,IF(K1132="ASSENE",PR!$F1130,IF(K1132="BIOFEM",PR!$G1130,IF(K1132="BIOMED",PR!$H1130,IF(K1132="CHI",PR!$I1130,IF(K1132="CLARION",PR!$J1130,IF(K1132="CODIX",PR!$K1130,IF(K1132="COSMADE",PR!$L1130,IF(K1132="SANCON",PR!$M1130,IF(K1132="DEVON",PR!$N1130,IF(K1132="DORTEMAG",PR!$O1130,IF(K1132="DGF",PR!$P1130,IF(K1132="DYNAMIC",PR!$Q1130,IF(K1132="EMZOR",PR!$R1130,IF(K1132="EUMATT",PR!$S1130,IF(K1132="FIDSON",PR!$T1130,IF(K1132="FCGLOBAL",PR!$U1130,IF(K1132="GENEITH",PR!$V1130,IF(K1132="GINOS",PR!$W1130,IF(K1132="GSK",PR!$X1130,IF(K1132="GLOBORG",PR!$Y1130,IF(K1132="GOODNEWS",PR!$Z1130,IF(K1132="GREENLIFE",PR!$AA1130,IF(K1132="HLINE",PR!$AB1130,IF(K1132="ROTECH",PR!$AC1130,IF(K1132="ISN",PR!$AD1130,IF(K1132="JAWA",PR!$AE1130,IF(K1132="LAYO",PR!$AF1130,IF(K1132="LEADWAY",PR!$AG1130,IF(K1132="LHV",PR!$AH1130,IF(K1132="MANOLA",PR!$AI1130,IF(K1132="MARCSON",PR!$AJ1130,IF(K1132="M&amp;B",PR!$AK1130,IF(K1132="MTRUST",PR!$AL1130,IF(K1132="MWORLD",PR!$AM1130,IF(K1132="MEGA",PR!$AN1130,IF(K1132="MICRONOVA",PR!$AO1130,IF(K1132="MFLASH",PR!$AP1130,IF(K1132="MORISON",PR!$AQ1130,IF(K1132="NEMEL",PR!$AR1130,IF(K1132="NHP",PR!$AS1130,IF(K1132="NHC",PR!$AT1130,IF(K1132="OLEAF",PR!$AU1130,IF(K1132="OCULUS",PR!$AV1130,IF(K1132="PACIFIC",PR!$AW1130,IF(K1132="PHAMATEX",PR!$AX1130,IF(K1132="PETHICS",PR!$AY1130,IF(K1132="PHILIPS",PR!$AZ1130,IF(K1132="RANBAXY",PR!$BA1130,IF(K1132="REALS",PR!$BB1130,IF(K1132="ROYAL",PR!$BC1130,IF(K1132="SAM",PR!$BD1130,IF(K1132="SEAGREEN",PR!$BE1130,IF(K1132="SKG",PR!$BF1130,IF(K1132="TAH",PR!$BG1130,IF(K1132="TAYLEK",PR!$BH1130,IF(K1132="TEMITA",PR!$BI1130,IF(K1132="THL",PR!$BJ1130,IF(K1132="UBASTIC",PR!$BK1130,IF(K1132="UNION",PR!$BL1130,IF(K1132="UNIQUE",PR!$BM1130,IF(K1132="VIXA",PR!$BN1130,IF(K1132="WWCV",PR!$BO1130,IF(K1132="ZOLON",PR!$BP1130,"-")))))))))))))))))))))))))))))))))))))))))))))))))))))))))))))))))</f>
        <v>5700</v>
      </c>
    </row>
    <row r="1133" spans="1:12" ht="18.75" x14ac:dyDescent="0.3">
      <c r="A1133" s="430">
        <f>PR!A1131</f>
        <v>1018</v>
      </c>
      <c r="B1133" s="15" t="str">
        <f>PR!B1131</f>
        <v>ADJUSTABLE MICROPIPETTE (HITECH)</v>
      </c>
      <c r="C1133" s="113" t="str">
        <f>PR!D1131</f>
        <v>100-1000ul</v>
      </c>
      <c r="D1133" s="113">
        <f>PR!C1131</f>
        <v>16</v>
      </c>
      <c r="E1133" s="108">
        <f>IF(F1133="ALPHA",PR!$E1131,IF(F1133="ASSENE",PR!$F1131,IF(F1133="BIOFEM",PR!$G1131,IF(F1133="BIOMED",PR!$H1131,IF(F1133="CHI",PR!$I1131,IF(F1133="CLARION",PR!$J1131,IF(F1133="CODIX",PR!$K1131,IF(F1133="COSMADE",PR!$L1131,IF(F1133="SANCON",PR!$M1131,IF(F1133="DEVON",PR!$N1131,IF(F1133="DORTEMAG",PR!$O1131,IF(F1133="DGF",PR!$P1131,IF(F1133="DYNAMIC",PR!$Q1131,IF(F1133="EMZOR",PR!$R1131,IF(F1133="EUMATT",PR!$S1131,IF(F1133="FIDSON",PR!$T1131,IF(F1133="FCGLOBAL",PR!$U1131,IF(F1133="GENEITH",PR!$V1131,IF(F1133="GINOS",PR!$W1131,IF(F1133="GSK",PR!$X1131,IF(F1133="GLOBORG",PR!$Y1131,IF(F1133="GOODNEWS",PR!$Z1131,IF(F1133="GREENLIFE",PR!$AA1131,IF(F1133="HLINE",PR!$AB1131,IF(F1133="ROTECH",PR!$AC1131,IF(F1133="ISN",PR!$AD1131,IF(F1133="JAWA",PR!$AE1131,IF(F1133="LAYO",PR!$AF1131,IF(F1133="LEADWAY",PR!$AG1131,IF(F1133="LHV",PR!$AH1131,IF(F1133="MANOLA",PR!$AI1131,IF(F1133="MARCSON",PR!$AJ1131,IF(F1133="M&amp;B",PR!$AK1131,IF(F1133="MTRUST",PR!$AL1131,IF(F1133="MWORLD",PR!$AM1131,IF(F1133="MEGA",PR!$AN1131,IF(F1133="MICRONOVA",PR!$AO1131,IF(F1133="MFLASH",PR!$AP1131,IF(F1133="MORISON",PR!$AQ1131,IF(F1133="NEMEL",PR!$AR1131,IF(F1133="NHP",PR!$AS1131,IF(F1133="NHC",PR!$AT1131,IF(F1133="OLEAF",PR!$AU1131,IF(F1133="OCULUS",PR!$AV1131,IF(F1133="PACIFIC",PR!$AW1131,IF(F1133="PHAMATEX",PR!$AX1131,IF(F1133="PETHICS",PR!$AY1131,IF(F1133="PHILIPS",PR!$AZ1131,IF(F1133="RANBAXY",PR!$BA1131,IF(F1133="REALS",PR!$BB1131,IF(F1133="ROYAL",PR!$BC1131,IF(F1133="SAM",PR!$BD1131,IF(F1133="SEAGREEN",PR!$BE1131,IF(F1133="SKG",PR!$BF1131,IF(F1133="TAH",PR!$BG1131,IF(F1133="TAYLEK",PR!$BH1131,IF(F1133="TEMITA",PR!$BI1131,IF(F1133="THL",PR!$BJ1131,IF(F1133="UBASTIC",PR!$BK1131,IF(F1133="UNION",PR!$BL1131,IF(F1133="UNIQUE",PR!$BM1131,IF(F1133="VIXA",PR!$BN1131,IF(F1133="WWCV",PR!$BO1131,IF(F1133="ZOLON",PR!$BP1131,"-"))))))))))))))))))))))))))))))))))))))))))))))))))))))))))))))))</f>
        <v>5500</v>
      </c>
      <c r="F1133" s="102" t="str">
        <f>EV!L1427</f>
        <v>TEMITA</v>
      </c>
      <c r="G1133" s="108">
        <f>IF(H1133="ALPHA",PR!$E1131,IF(H1133="ASSENE",PR!$F1131,IF(H1133="BIOFEM",PR!$G1131,IF(H1133="BIOMED",PR!$H1131,IF(H1133="CHI",PR!$I1131,IF(H1133="CLARION",PR!$J1131,IF(H1133="CODIX",PR!$K1131,IF(H1133="COSMADE",PR!$L1131,IF(H1133="SANCON",PR!$M1131,IF(H1133="DEVON",PR!$N1131,IF(H1133="DORTEMAG",PR!$O1131,IF(H1133="DGF",PR!$P1131,IF(H1133="DYNAMIC",PR!$Q1131,IF(H1133="EMZOR",PR!$R1131,IF(H1133="EUMATT",PR!$S1131,IF(H1133="FIDSON",PR!$T1131,IF(H1133="FCGLOBAL",PR!$U1131,IF(H1133="GENEITH",PR!$V1131,IF(H1133="GINOS",PR!$W1131,IF(H1133="GSK",PR!$X1131,IF(H1133="GLOBORG",PR!$Y1131,IF(H1133="GOODNEWS",PR!$Z1131,IF(H1133="GREENLIFE",PR!$AA1131,IF(H1133="HLINE",PR!$AB1131,IF(H1133="ROTECH",PR!$AC1131,IF(H1133="ISN",PR!$AD1131,IF(H1133="JAWA",PR!$AE1131,IF(H1133="LAYO",PR!$AF1131,IF(H1133="LEADWAY",PR!$AG1131,IF(H1133="LHV",PR!$AH1131,IF(H1133="MANOLA",PR!$AI1131,IF(H1133="MARCSON",PR!$AJ1131,IF(H1133="M&amp;B",PR!$AK1131,IF(H1133="MTRUST",PR!$AL1131,IF(H1133="MWORLD",PR!$AM1131,IF(H1133="MEGA",PR!$AN1131,IF(H1133="MICRONOVA",PR!$AO1131,IF(H1133="MFLASH",PR!$AP1131,IF(H1133="MORISON",PR!$AQ1131,IF(H1133="NEMEL",PR!$AR1131,IF(H1133="NHP",PR!$AS1131,IF(H1133="NHC",PR!$AT1131,IF(H1133="OLEAF",PR!$AU1131,IF(H1133="OCULUS",PR!$AV1131,IF(H1133="PACIFIC",PR!$AW1131,IF(H1133="PHAMATEX",PR!$AX1131,IF(H1133="PETHICS",PR!$AY1131,IF(H1133="PHILIPS",PR!$AZ1131,IF(H1133="RANBAXY",PR!$BA1131,IF(H1133="REALS",PR!$BB1131,IF(H1133="ROYAL",PR!$BC1131,IF(H1133="SAM",PR!$BD1131,IF(H1133="SEAGREEN",PR!$BE1131,IF(H1133="SKG",PR!$BF1131,IF(H1133="TAH",PR!$BG1131,IF(H1133="TAYLEK",PR!$BH1131,IF(H1133="TEMITA",PR!$BI1131,IF(H1133="THL",PR!$BJ1131,IF(H1133="UBASTIC",PR!$BK1131,IF(H1133="UNION",PR!$BL1131,IF(H1133="UNIQUE",PR!$BM1131,IF(H1133="VIXA",PR!$BN1131,IF(H1133="WWCV",PR!$BO1131,IF(H1133="ZOLON",PR!$BP1131,"-"))))))))))))))))))))))))))))))))))))))))))))))))))))))))))))))))</f>
        <v>11200</v>
      </c>
      <c r="H1133" s="102" t="str">
        <f>EV!M1427</f>
        <v>DYNAMIC</v>
      </c>
      <c r="I1133" s="108">
        <f>IF(J1133="ALPHA",PR!$E1131,IF(J1133="ASSENE",PR!$F1131,IF(J1133="BIOFEM",PR!$G1131,IF(J1133="BIOMED",PR!$H1131,IF(J1133="CHI",PR!$I1131,IF(J1133="CLARION",PR!$J1131,IF(J1133="CODIX",PR!$K1131,IF(J1133="COSMADE",PR!$L1131,IF(J1133="SANCON",PR!$M1131,IF(J1133="DEVON",PR!$N1131,IF(J1133="DORTEMAG",PR!$O1131,IF(J1133="DGF",PR!$P1131,IF(J1133="DYNAMIC",PR!$Q1131,IF(J1133="EMZOR",PR!$R1131,IF(J1133="EUMATT",PR!$S1131,IF(J1133="FIDSON",PR!$T1131,IF(J1133="FCGLOBAL",PR!$U1131,IF(J1133="GENEITH",PR!$V1131,IF(J1133="GINOS",PR!$W1131,IF(J1133="GSK",PR!$X1131,IF(J1133="GLOBORG",PR!$Y1131,IF(J1133="GOODNEWS",PR!$Z1131,IF(J1133="GREENLIFE",PR!$AA1131,IF(J1133="HLINE",PR!$AB1131,IF(J1133="ROTECH",PR!$AC1131,IF(J1133="ISN",PR!$AD1131,IF(J1133="JAWA",PR!$AE1131,IF(J1133="LAYO",PR!$AF1131,IF(J1133="LEADWAY",PR!$AG1131,IF(J1133="LHV",PR!$AH1131,IF(J1133="MANOLA",PR!$AI1131,IF(J1133="MARCSON",PR!$AJ1131,IF(J1133="M&amp;B",PR!$AK1131,IF(J1133="MTRUST",PR!$AL1131,IF(J1133="MWORLD",PR!$AM1131,IF(J1133="MEGA",PR!$AN1131,IF(J1133="MICRONOVA",PR!$AO1131,IF(J1133="MFLASH",PR!$AP1131,IF(J1133="MORISON",PR!$AQ1131,IF(J1133="NEMEL",PR!$AR1131,IF(J1133="NHP",PR!$AS1131,IF(J1133="NHC",PR!$AT1131,IF(J1133="OLEAF",PR!$AU1131,IF(J1133="OCULUS",PR!$AV1131,IF(J1133="PACIFIC",PR!$AW1131,IF(J1133="PHAMATEX",PR!$AX1131,IF(J1133="PETHICS",PR!$AY1131,IF(J1133="PHILIPS",PR!$AZ1131,IF(J1133="RANBAXY",PR!$BA1131,IF(J1133="REALS",PR!$BB1131,IF(J1133="ROYAL",PR!$BC1131,IF(J1133="SAM",PR!$BD1131,IF(J1133="SEAGREEN",PR!$BE1131,IF(J1133="SKG",PR!$BF1131,IF(J1133="TAH",PR!$BG1131,IF(J1133="TAYLEK",PR!$BH1131,IF(J1133="TEMITA",PR!$BI1131,IF(J1133="THL",PR!$BJ1131,IF(J1133="UBASTIC",PR!$BK1131,IF(J1133="UNION",PR!$BL1131,IF(J1133="UNIQUE",PR!$BM1131,IF(J1133="VIXA",PR!$BN1131,IF(J1133="WWCV",PR!$BO1131,IF(J1133="ZOLON",PR!$BP1131,"-"))))))))))))))))))))))))))))))))))))))))))))))))))))))))))))))))</f>
        <v>25000</v>
      </c>
      <c r="J1133" s="102" t="str">
        <f>EV!N1427</f>
        <v>LAYO</v>
      </c>
      <c r="K1133" s="433" t="s">
        <v>1463</v>
      </c>
      <c r="L1133" s="183">
        <f>IF(K1133&gt;0,IF(K1133="ALPHA",PR!$E1131,IF(K1133="ASSENE",PR!$F1131,IF(K1133="BIOFEM",PR!$G1131,IF(K1133="BIOMED",PR!$H1131,IF(K1133="CHI",PR!$I1131,IF(K1133="CLARION",PR!$J1131,IF(K1133="CODIX",PR!$K1131,IF(K1133="COSMADE",PR!$L1131,IF(K1133="SANCON",PR!$M1131,IF(K1133="DEVON",PR!$N1131,IF(K1133="DORTEMAG",PR!$O1131,IF(K1133="DGF",PR!$P1131,IF(K1133="DYNAMIC",PR!$Q1131,IF(K1133="EMZOR",PR!$R1131,IF(K1133="EUMATT",PR!$S1131,IF(K1133="FIDSON",PR!$T1131,IF(K1133="FCGLOBAL",PR!$U1131,IF(K1133="GENEITH",PR!$V1131,IF(K1133="GINOS",PR!$W1131,IF(K1133="GSK",PR!$X1131,IF(K1133="GLOBORG",PR!$Y1131,IF(K1133="GOODNEWS",PR!$Z1131,IF(K1133="GREENLIFE",PR!$AA1131,IF(K1133="HLINE",PR!$AB1131,IF(K1133="ROTECH",PR!$AC1131,IF(K1133="ISN",PR!$AD1131,IF(K1133="JAWA",PR!$AE1131,IF(K1133="LAYO",PR!$AF1131,IF(K1133="LEADWAY",PR!$AG1131,IF(K1133="LHV",PR!$AH1131,IF(K1133="MANOLA",PR!$AI1131,IF(K1133="MARCSON",PR!$AJ1131,IF(K1133="M&amp;B",PR!$AK1131,IF(K1133="MTRUST",PR!$AL1131,IF(K1133="MWORLD",PR!$AM1131,IF(K1133="MEGA",PR!$AN1131,IF(K1133="MICRONOVA",PR!$AO1131,IF(K1133="MFLASH",PR!$AP1131,IF(K1133="MORISON",PR!$AQ1131,IF(K1133="NEMEL",PR!$AR1131,IF(K1133="NHP",PR!$AS1131,IF(K1133="NHC",PR!$AT1131,IF(K1133="OLEAF",PR!$AU1131,IF(K1133="OCULUS",PR!$AV1131,IF(K1133="PACIFIC",PR!$AW1131,IF(K1133="PHAMATEX",PR!$AX1131,IF(K1133="PETHICS",PR!$AY1131,IF(K1133="PHILIPS",PR!$AZ1131,IF(K1133="RANBAXY",PR!$BA1131,IF(K1133="REALS",PR!$BB1131,IF(K1133="ROYAL",PR!$BC1131,IF(K1133="SAM",PR!$BD1131,IF(K1133="SEAGREEN",PR!$BE1131,IF(K1133="SKG",PR!$BF1131,IF(K1133="TAH",PR!$BG1131,IF(K1133="TAYLEK",PR!$BH1131,IF(K1133="TEMITA",PR!$BI1131,IF(K1133="THL",PR!$BJ1131,IF(K1133="UBASTIC",PR!$BK1131,IF(K1133="UNION",PR!$BL1131,IF(K1133="UNIQUE",PR!$BM1131,IF(K1133="VIXA",PR!$BN1131,IF(K1133="WWCV",PR!$BO1131,IF(K1133="ZOLON",PR!$BP1131,"-")))))))))))))))))))))))))))))))))))))))))))))))))))))))))))))))))</f>
        <v>5500</v>
      </c>
    </row>
    <row r="1134" spans="1:12" ht="18.75" x14ac:dyDescent="0.3">
      <c r="A1134" s="430">
        <f>PR!A1132</f>
        <v>1019</v>
      </c>
      <c r="B1134" s="15" t="str">
        <f>PR!B1132</f>
        <v>ADJUSTABLE MICROPIPETTE (HITECH)</v>
      </c>
      <c r="C1134" s="113" t="str">
        <f>PR!D1132</f>
        <v>1-5ul</v>
      </c>
      <c r="D1134" s="113">
        <f>PR!C1132</f>
        <v>8</v>
      </c>
      <c r="E1134" s="108">
        <f>IF(F1134="ALPHA",PR!$E1132,IF(F1134="ASSENE",PR!$F1132,IF(F1134="BIOFEM",PR!$G1132,IF(F1134="BIOMED",PR!$H1132,IF(F1134="CHI",PR!$I1132,IF(F1134="CLARION",PR!$J1132,IF(F1134="CODIX",PR!$K1132,IF(F1134="COSMADE",PR!$L1132,IF(F1134="SANCON",PR!$M1132,IF(F1134="DEVON",PR!$N1132,IF(F1134="DORTEMAG",PR!$O1132,IF(F1134="DGF",PR!$P1132,IF(F1134="DYNAMIC",PR!$Q1132,IF(F1134="EMZOR",PR!$R1132,IF(F1134="EUMATT",PR!$S1132,IF(F1134="FIDSON",PR!$T1132,IF(F1134="FCGLOBAL",PR!$U1132,IF(F1134="GENEITH",PR!$V1132,IF(F1134="GINOS",PR!$W1132,IF(F1134="GSK",PR!$X1132,IF(F1134="GLOBORG",PR!$Y1132,IF(F1134="GOODNEWS",PR!$Z1132,IF(F1134="GREENLIFE",PR!$AA1132,IF(F1134="HLINE",PR!$AB1132,IF(F1134="ROTECH",PR!$AC1132,IF(F1134="ISN",PR!$AD1132,IF(F1134="JAWA",PR!$AE1132,IF(F1134="LAYO",PR!$AF1132,IF(F1134="LEADWAY",PR!$AG1132,IF(F1134="LHV",PR!$AH1132,IF(F1134="MANOLA",PR!$AI1132,IF(F1134="MARCSON",PR!$AJ1132,IF(F1134="M&amp;B",PR!$AK1132,IF(F1134="MTRUST",PR!$AL1132,IF(F1134="MWORLD",PR!$AM1132,IF(F1134="MEGA",PR!$AN1132,IF(F1134="MICRONOVA",PR!$AO1132,IF(F1134="MFLASH",PR!$AP1132,IF(F1134="MORISON",PR!$AQ1132,IF(F1134="NEMEL",PR!$AR1132,IF(F1134="NHP",PR!$AS1132,IF(F1134="NHC",PR!$AT1132,IF(F1134="OLEAF",PR!$AU1132,IF(F1134="OCULUS",PR!$AV1132,IF(F1134="PACIFIC",PR!$AW1132,IF(F1134="PHAMATEX",PR!$AX1132,IF(F1134="PETHICS",PR!$AY1132,IF(F1134="PHILIPS",PR!$AZ1132,IF(F1134="RANBAXY",PR!$BA1132,IF(F1134="REALS",PR!$BB1132,IF(F1134="ROYAL",PR!$BC1132,IF(F1134="SAM",PR!$BD1132,IF(F1134="SEAGREEN",PR!$BE1132,IF(F1134="SKG",PR!$BF1132,IF(F1134="TAH",PR!$BG1132,IF(F1134="TAYLEK",PR!$BH1132,IF(F1134="TEMITA",PR!$BI1132,IF(F1134="THL",PR!$BJ1132,IF(F1134="UBASTIC",PR!$BK1132,IF(F1134="UNION",PR!$BL1132,IF(F1134="UNIQUE",PR!$BM1132,IF(F1134="VIXA",PR!$BN1132,IF(F1134="WWCV",PR!$BO1132,IF(F1134="ZOLON",PR!$BP1132,"-"))))))))))))))))))))))))))))))))))))))))))))))))))))))))))))))))</f>
        <v>5500</v>
      </c>
      <c r="F1134" s="102" t="str">
        <f>EV!L1428</f>
        <v>TEMITA</v>
      </c>
      <c r="G1134" s="108">
        <f>IF(H1134="ALPHA",PR!$E1132,IF(H1134="ASSENE",PR!$F1132,IF(H1134="BIOFEM",PR!$G1132,IF(H1134="BIOMED",PR!$H1132,IF(H1134="CHI",PR!$I1132,IF(H1134="CLARION",PR!$J1132,IF(H1134="CODIX",PR!$K1132,IF(H1134="COSMADE",PR!$L1132,IF(H1134="SANCON",PR!$M1132,IF(H1134="DEVON",PR!$N1132,IF(H1134="DORTEMAG",PR!$O1132,IF(H1134="DGF",PR!$P1132,IF(H1134="DYNAMIC",PR!$Q1132,IF(H1134="EMZOR",PR!$R1132,IF(H1134="EUMATT",PR!$S1132,IF(H1134="FIDSON",PR!$T1132,IF(H1134="FCGLOBAL",PR!$U1132,IF(H1134="GENEITH",PR!$V1132,IF(H1134="GINOS",PR!$W1132,IF(H1134="GSK",PR!$X1132,IF(H1134="GLOBORG",PR!$Y1132,IF(H1134="GOODNEWS",PR!$Z1132,IF(H1134="GREENLIFE",PR!$AA1132,IF(H1134="HLINE",PR!$AB1132,IF(H1134="ROTECH",PR!$AC1132,IF(H1134="ISN",PR!$AD1132,IF(H1134="JAWA",PR!$AE1132,IF(H1134="LAYO",PR!$AF1132,IF(H1134="LEADWAY",PR!$AG1132,IF(H1134="LHV",PR!$AH1132,IF(H1134="MANOLA",PR!$AI1132,IF(H1134="MARCSON",PR!$AJ1132,IF(H1134="M&amp;B",PR!$AK1132,IF(H1134="MTRUST",PR!$AL1132,IF(H1134="MWORLD",PR!$AM1132,IF(H1134="MEGA",PR!$AN1132,IF(H1134="MICRONOVA",PR!$AO1132,IF(H1134="MFLASH",PR!$AP1132,IF(H1134="MORISON",PR!$AQ1132,IF(H1134="NEMEL",PR!$AR1132,IF(H1134="NHP",PR!$AS1132,IF(H1134="NHC",PR!$AT1132,IF(H1134="OLEAF",PR!$AU1132,IF(H1134="OCULUS",PR!$AV1132,IF(H1134="PACIFIC",PR!$AW1132,IF(H1134="PHAMATEX",PR!$AX1132,IF(H1134="PETHICS",PR!$AY1132,IF(H1134="PHILIPS",PR!$AZ1132,IF(H1134="RANBAXY",PR!$BA1132,IF(H1134="REALS",PR!$BB1132,IF(H1134="ROYAL",PR!$BC1132,IF(H1134="SAM",PR!$BD1132,IF(H1134="SEAGREEN",PR!$BE1132,IF(H1134="SKG",PR!$BF1132,IF(H1134="TAH",PR!$BG1132,IF(H1134="TAYLEK",PR!$BH1132,IF(H1134="TEMITA",PR!$BI1132,IF(H1134="THL",PR!$BJ1132,IF(H1134="UBASTIC",PR!$BK1132,IF(H1134="UNION",PR!$BL1132,IF(H1134="UNIQUE",PR!$BM1132,IF(H1134="VIXA",PR!$BN1132,IF(H1134="WWCV",PR!$BO1132,IF(H1134="ZOLON",PR!$BP1132,"-"))))))))))))))))))))))))))))))))))))))))))))))))))))))))))))))))</f>
        <v>13125</v>
      </c>
      <c r="H1134" s="102" t="str">
        <f>EV!M1428</f>
        <v>DYNAMIC</v>
      </c>
      <c r="I1134" s="108">
        <f>IF(J1134="ALPHA",PR!$E1132,IF(J1134="ASSENE",PR!$F1132,IF(J1134="BIOFEM",PR!$G1132,IF(J1134="BIOMED",PR!$H1132,IF(J1134="CHI",PR!$I1132,IF(J1134="CLARION",PR!$J1132,IF(J1134="CODIX",PR!$K1132,IF(J1134="COSMADE",PR!$L1132,IF(J1134="SANCON",PR!$M1132,IF(J1134="DEVON",PR!$N1132,IF(J1134="DORTEMAG",PR!$O1132,IF(J1134="DGF",PR!$P1132,IF(J1134="DYNAMIC",PR!$Q1132,IF(J1134="EMZOR",PR!$R1132,IF(J1134="EUMATT",PR!$S1132,IF(J1134="FIDSON",PR!$T1132,IF(J1134="FCGLOBAL",PR!$U1132,IF(J1134="GENEITH",PR!$V1132,IF(J1134="GINOS",PR!$W1132,IF(J1134="GSK",PR!$X1132,IF(J1134="GLOBORG",PR!$Y1132,IF(J1134="GOODNEWS",PR!$Z1132,IF(J1134="GREENLIFE",PR!$AA1132,IF(J1134="HLINE",PR!$AB1132,IF(J1134="ROTECH",PR!$AC1132,IF(J1134="ISN",PR!$AD1132,IF(J1134="JAWA",PR!$AE1132,IF(J1134="LAYO",PR!$AF1132,IF(J1134="LEADWAY",PR!$AG1132,IF(J1134="LHV",PR!$AH1132,IF(J1134="MANOLA",PR!$AI1132,IF(J1134="MARCSON",PR!$AJ1132,IF(J1134="M&amp;B",PR!$AK1132,IF(J1134="MTRUST",PR!$AL1132,IF(J1134="MWORLD",PR!$AM1132,IF(J1134="MEGA",PR!$AN1132,IF(J1134="MICRONOVA",PR!$AO1132,IF(J1134="MFLASH",PR!$AP1132,IF(J1134="MORISON",PR!$AQ1132,IF(J1134="NEMEL",PR!$AR1132,IF(J1134="NHP",PR!$AS1132,IF(J1134="NHC",PR!$AT1132,IF(J1134="OLEAF",PR!$AU1132,IF(J1134="OCULUS",PR!$AV1132,IF(J1134="PACIFIC",PR!$AW1132,IF(J1134="PHAMATEX",PR!$AX1132,IF(J1134="PETHICS",PR!$AY1132,IF(J1134="PHILIPS",PR!$AZ1132,IF(J1134="RANBAXY",PR!$BA1132,IF(J1134="REALS",PR!$BB1132,IF(J1134="ROYAL",PR!$BC1132,IF(J1134="SAM",PR!$BD1132,IF(J1134="SEAGREEN",PR!$BE1132,IF(J1134="SKG",PR!$BF1132,IF(J1134="TAH",PR!$BG1132,IF(J1134="TAYLEK",PR!$BH1132,IF(J1134="TEMITA",PR!$BI1132,IF(J1134="THL",PR!$BJ1132,IF(J1134="UBASTIC",PR!$BK1132,IF(J1134="UNION",PR!$BL1132,IF(J1134="UNIQUE",PR!$BM1132,IF(J1134="VIXA",PR!$BN1132,IF(J1134="WWCV",PR!$BO1132,IF(J1134="ZOLON",PR!$BP1132,"-"))))))))))))))))))))))))))))))))))))))))))))))))))))))))))))))))</f>
        <v>25000</v>
      </c>
      <c r="J1134" s="102" t="str">
        <f>EV!N1428</f>
        <v>LAYO</v>
      </c>
      <c r="K1134" s="433" t="s">
        <v>1463</v>
      </c>
      <c r="L1134" s="183">
        <f>IF(K1134&gt;0,IF(K1134="ALPHA",PR!$E1132,IF(K1134="ASSENE",PR!$F1132,IF(K1134="BIOFEM",PR!$G1132,IF(K1134="BIOMED",PR!$H1132,IF(K1134="CHI",PR!$I1132,IF(K1134="CLARION",PR!$J1132,IF(K1134="CODIX",PR!$K1132,IF(K1134="COSMADE",PR!$L1132,IF(K1134="SANCON",PR!$M1132,IF(K1134="DEVON",PR!$N1132,IF(K1134="DORTEMAG",PR!$O1132,IF(K1134="DGF",PR!$P1132,IF(K1134="DYNAMIC",PR!$Q1132,IF(K1134="EMZOR",PR!$R1132,IF(K1134="EUMATT",PR!$S1132,IF(K1134="FIDSON",PR!$T1132,IF(K1134="FCGLOBAL",PR!$U1132,IF(K1134="GENEITH",PR!$V1132,IF(K1134="GINOS",PR!$W1132,IF(K1134="GSK",PR!$X1132,IF(K1134="GLOBORG",PR!$Y1132,IF(K1134="GOODNEWS",PR!$Z1132,IF(K1134="GREENLIFE",PR!$AA1132,IF(K1134="HLINE",PR!$AB1132,IF(K1134="ROTECH",PR!$AC1132,IF(K1134="ISN",PR!$AD1132,IF(K1134="JAWA",PR!$AE1132,IF(K1134="LAYO",PR!$AF1132,IF(K1134="LEADWAY",PR!$AG1132,IF(K1134="LHV",PR!$AH1132,IF(K1134="MANOLA",PR!$AI1132,IF(K1134="MARCSON",PR!$AJ1132,IF(K1134="M&amp;B",PR!$AK1132,IF(K1134="MTRUST",PR!$AL1132,IF(K1134="MWORLD",PR!$AM1132,IF(K1134="MEGA",PR!$AN1132,IF(K1134="MICRONOVA",PR!$AO1132,IF(K1134="MFLASH",PR!$AP1132,IF(K1134="MORISON",PR!$AQ1132,IF(K1134="NEMEL",PR!$AR1132,IF(K1134="NHP",PR!$AS1132,IF(K1134="NHC",PR!$AT1132,IF(K1134="OLEAF",PR!$AU1132,IF(K1134="OCULUS",PR!$AV1132,IF(K1134="PACIFIC",PR!$AW1132,IF(K1134="PHAMATEX",PR!$AX1132,IF(K1134="PETHICS",PR!$AY1132,IF(K1134="PHILIPS",PR!$AZ1132,IF(K1134="RANBAXY",PR!$BA1132,IF(K1134="REALS",PR!$BB1132,IF(K1134="ROYAL",PR!$BC1132,IF(K1134="SAM",PR!$BD1132,IF(K1134="SEAGREEN",PR!$BE1132,IF(K1134="SKG",PR!$BF1132,IF(K1134="TAH",PR!$BG1132,IF(K1134="TAYLEK",PR!$BH1132,IF(K1134="TEMITA",PR!$BI1132,IF(K1134="THL",PR!$BJ1132,IF(K1134="UBASTIC",PR!$BK1132,IF(K1134="UNION",PR!$BL1132,IF(K1134="UNIQUE",PR!$BM1132,IF(K1134="VIXA",PR!$BN1132,IF(K1134="WWCV",PR!$BO1132,IF(K1134="ZOLON",PR!$BP1132,"-")))))))))))))))))))))))))))))))))))))))))))))))))))))))))))))))))</f>
        <v>5500</v>
      </c>
    </row>
    <row r="1135" spans="1:12" ht="18.75" x14ac:dyDescent="0.3">
      <c r="A1135" s="430">
        <f>PR!A1133</f>
        <v>1020</v>
      </c>
      <c r="B1135" s="15" t="str">
        <f>PR!B1133</f>
        <v>5ML EDTA VACUUM TUBE (SILVER HEALTH DIAGNOSTIC)</v>
      </c>
      <c r="C1135" s="113" t="str">
        <f>PR!D1133</f>
        <v>1*1000</v>
      </c>
      <c r="D1135" s="113">
        <f>PR!C1133</f>
        <v>1</v>
      </c>
      <c r="E1135" s="108">
        <f>IF(F1135="ALPHA",PR!$E1133,IF(F1135="ASSENE",PR!$F1133,IF(F1135="BIOFEM",PR!$G1133,IF(F1135="BIOMED",PR!$H1133,IF(F1135="CHI",PR!$I1133,IF(F1135="CLARION",PR!$J1133,IF(F1135="CODIX",PR!$K1133,IF(F1135="COSMADE",PR!$L1133,IF(F1135="SANCON",PR!$M1133,IF(F1135="DEVON",PR!$N1133,IF(F1135="DORTEMAG",PR!$O1133,IF(F1135="DGF",PR!$P1133,IF(F1135="DYNAMIC",PR!$Q1133,IF(F1135="EMZOR",PR!$R1133,IF(F1135="EUMATT",PR!$S1133,IF(F1135="FIDSON",PR!$T1133,IF(F1135="FCGLOBAL",PR!$U1133,IF(F1135="GENEITH",PR!$V1133,IF(F1135="GINOS",PR!$W1133,IF(F1135="GSK",PR!$X1133,IF(F1135="GLOBORG",PR!$Y1133,IF(F1135="GOODNEWS",PR!$Z1133,IF(F1135="GREENLIFE",PR!$AA1133,IF(F1135="HLINE",PR!$AB1133,IF(F1135="ROTECH",PR!$AC1133,IF(F1135="ISN",PR!$AD1133,IF(F1135="JAWA",PR!$AE1133,IF(F1135="LAYO",PR!$AF1133,IF(F1135="LEADWAY",PR!$AG1133,IF(F1135="LHV",PR!$AH1133,IF(F1135="MANOLA",PR!$AI1133,IF(F1135="MARCSON",PR!$AJ1133,IF(F1135="M&amp;B",PR!$AK1133,IF(F1135="MTRUST",PR!$AL1133,IF(F1135="MWORLD",PR!$AM1133,IF(F1135="MEGA",PR!$AN1133,IF(F1135="MICRONOVA",PR!$AO1133,IF(F1135="MFLASH",PR!$AP1133,IF(F1135="MORISON",PR!$AQ1133,IF(F1135="NEMEL",PR!$AR1133,IF(F1135="NHP",PR!$AS1133,IF(F1135="NHC",PR!$AT1133,IF(F1135="OLEAF",PR!$AU1133,IF(F1135="OCULUS",PR!$AV1133,IF(F1135="PACIFIC",PR!$AW1133,IF(F1135="PHAMATEX",PR!$AX1133,IF(F1135="PETHICS",PR!$AY1133,IF(F1135="PHILIPS",PR!$AZ1133,IF(F1135="RANBAXY",PR!$BA1133,IF(F1135="REALS",PR!$BB1133,IF(F1135="ROYAL",PR!$BC1133,IF(F1135="SAM",PR!$BD1133,IF(F1135="SEAGREEN",PR!$BE1133,IF(F1135="SKG",PR!$BF1133,IF(F1135="TAH",PR!$BG1133,IF(F1135="TAYLEK",PR!$BH1133,IF(F1135="TEMITA",PR!$BI1133,IF(F1135="THL",PR!$BJ1133,IF(F1135="UBASTIC",PR!$BK1133,IF(F1135="UNION",PR!$BL1133,IF(F1135="UNIQUE",PR!$BM1133,IF(F1135="VIXA",PR!$BN1133,IF(F1135="WWCV",PR!$BO1133,IF(F1135="ZOLON",PR!$BP1133,"-"))))))))))))))))))))))))))))))))))))))))))))))))))))))))))))))))</f>
        <v>19375</v>
      </c>
      <c r="F1135" s="102" t="str">
        <f>EV!L1429</f>
        <v>DYNAMIC</v>
      </c>
      <c r="G1135" s="108">
        <f>IF(H1135="ALPHA",PR!$E1133,IF(H1135="ASSENE",PR!$F1133,IF(H1135="BIOFEM",PR!$G1133,IF(H1135="BIOMED",PR!$H1133,IF(H1135="CHI",PR!$I1133,IF(H1135="CLARION",PR!$J1133,IF(H1135="CODIX",PR!$K1133,IF(H1135="COSMADE",PR!$L1133,IF(H1135="SANCON",PR!$M1133,IF(H1135="DEVON",PR!$N1133,IF(H1135="DORTEMAG",PR!$O1133,IF(H1135="DGF",PR!$P1133,IF(H1135="DYNAMIC",PR!$Q1133,IF(H1135="EMZOR",PR!$R1133,IF(H1135="EUMATT",PR!$S1133,IF(H1135="FIDSON",PR!$T1133,IF(H1135="FCGLOBAL",PR!$U1133,IF(H1135="GENEITH",PR!$V1133,IF(H1135="GINOS",PR!$W1133,IF(H1135="GSK",PR!$X1133,IF(H1135="GLOBORG",PR!$Y1133,IF(H1135="GOODNEWS",PR!$Z1133,IF(H1135="GREENLIFE",PR!$AA1133,IF(H1135="HLINE",PR!$AB1133,IF(H1135="ROTECH",PR!$AC1133,IF(H1135="ISN",PR!$AD1133,IF(H1135="JAWA",PR!$AE1133,IF(H1135="LAYO",PR!$AF1133,IF(H1135="LEADWAY",PR!$AG1133,IF(H1135="LHV",PR!$AH1133,IF(H1135="MANOLA",PR!$AI1133,IF(H1135="MARCSON",PR!$AJ1133,IF(H1135="M&amp;B",PR!$AK1133,IF(H1135="MTRUST",PR!$AL1133,IF(H1135="MWORLD",PR!$AM1133,IF(H1135="MEGA",PR!$AN1133,IF(H1135="MICRONOVA",PR!$AO1133,IF(H1135="MFLASH",PR!$AP1133,IF(H1135="MORISON",PR!$AQ1133,IF(H1135="NEMEL",PR!$AR1133,IF(H1135="NHP",PR!$AS1133,IF(H1135="NHC",PR!$AT1133,IF(H1135="OLEAF",PR!$AU1133,IF(H1135="OCULUS",PR!$AV1133,IF(H1135="PACIFIC",PR!$AW1133,IF(H1135="PHAMATEX",PR!$AX1133,IF(H1135="PETHICS",PR!$AY1133,IF(H1135="PHILIPS",PR!$AZ1133,IF(H1135="RANBAXY",PR!$BA1133,IF(H1135="REALS",PR!$BB1133,IF(H1135="ROYAL",PR!$BC1133,IF(H1135="SAM",PR!$BD1133,IF(H1135="SEAGREEN",PR!$BE1133,IF(H1135="SKG",PR!$BF1133,IF(H1135="TAH",PR!$BG1133,IF(H1135="TAYLEK",PR!$BH1133,IF(H1135="TEMITA",PR!$BI1133,IF(H1135="THL",PR!$BJ1133,IF(H1135="UBASTIC",PR!$BK1133,IF(H1135="UNION",PR!$BL1133,IF(H1135="UNIQUE",PR!$BM1133,IF(H1135="VIXA",PR!$BN1133,IF(H1135="WWCV",PR!$BO1133,IF(H1135="ZOLON",PR!$BP1133,"-"))))))))))))))))))))))))))))))))))))))))))))))))))))))))))))))))</f>
        <v>20000</v>
      </c>
      <c r="H1135" s="102" t="str">
        <f>EV!M1429</f>
        <v>UBASTIC</v>
      </c>
      <c r="I1135" s="108">
        <f>IF(J1135="ALPHA",PR!$E1133,IF(J1135="ASSENE",PR!$F1133,IF(J1135="BIOFEM",PR!$G1133,IF(J1135="BIOMED",PR!$H1133,IF(J1135="CHI",PR!$I1133,IF(J1135="CLARION",PR!$J1133,IF(J1135="CODIX",PR!$K1133,IF(J1135="COSMADE",PR!$L1133,IF(J1135="SANCON",PR!$M1133,IF(J1135="DEVON",PR!$N1133,IF(J1135="DORTEMAG",PR!$O1133,IF(J1135="DGF",PR!$P1133,IF(J1135="DYNAMIC",PR!$Q1133,IF(J1135="EMZOR",PR!$R1133,IF(J1135="EUMATT",PR!$S1133,IF(J1135="FIDSON",PR!$T1133,IF(J1135="FCGLOBAL",PR!$U1133,IF(J1135="GENEITH",PR!$V1133,IF(J1135="GINOS",PR!$W1133,IF(J1135="GSK",PR!$X1133,IF(J1135="GLOBORG",PR!$Y1133,IF(J1135="GOODNEWS",PR!$Z1133,IF(J1135="GREENLIFE",PR!$AA1133,IF(J1135="HLINE",PR!$AB1133,IF(J1135="ROTECH",PR!$AC1133,IF(J1135="ISN",PR!$AD1133,IF(J1135="JAWA",PR!$AE1133,IF(J1135="LAYO",PR!$AF1133,IF(J1135="LEADWAY",PR!$AG1133,IF(J1135="LHV",PR!$AH1133,IF(J1135="MANOLA",PR!$AI1133,IF(J1135="MARCSON",PR!$AJ1133,IF(J1135="M&amp;B",PR!$AK1133,IF(J1135="MTRUST",PR!$AL1133,IF(J1135="MWORLD",PR!$AM1133,IF(J1135="MEGA",PR!$AN1133,IF(J1135="MICRONOVA",PR!$AO1133,IF(J1135="MFLASH",PR!$AP1133,IF(J1135="MORISON",PR!$AQ1133,IF(J1135="NEMEL",PR!$AR1133,IF(J1135="NHP",PR!$AS1133,IF(J1135="NHC",PR!$AT1133,IF(J1135="OLEAF",PR!$AU1133,IF(J1135="OCULUS",PR!$AV1133,IF(J1135="PACIFIC",PR!$AW1133,IF(J1135="PHAMATEX",PR!$AX1133,IF(J1135="PETHICS",PR!$AY1133,IF(J1135="PHILIPS",PR!$AZ1133,IF(J1135="RANBAXY",PR!$BA1133,IF(J1135="REALS",PR!$BB1133,IF(J1135="ROYAL",PR!$BC1133,IF(J1135="SAM",PR!$BD1133,IF(J1135="SEAGREEN",PR!$BE1133,IF(J1135="SKG",PR!$BF1133,IF(J1135="TAH",PR!$BG1133,IF(J1135="TAYLEK",PR!$BH1133,IF(J1135="TEMITA",PR!$BI1133,IF(J1135="THL",PR!$BJ1133,IF(J1135="UBASTIC",PR!$BK1133,IF(J1135="UNION",PR!$BL1133,IF(J1135="UNIQUE",PR!$BM1133,IF(J1135="VIXA",PR!$BN1133,IF(J1135="WWCV",PR!$BO1133,IF(J1135="ZOLON",PR!$BP1133,"-"))))))))))))))))))))))))))))))))))))))))))))))))))))))))))))))))</f>
        <v>21450</v>
      </c>
      <c r="J1135" s="102" t="str">
        <f>EV!N1429</f>
        <v>LAYO</v>
      </c>
      <c r="K1135" s="433" t="s">
        <v>626</v>
      </c>
      <c r="L1135" s="183">
        <f>IF(K1135&gt;0,IF(K1135="ALPHA",PR!$E1133,IF(K1135="ASSENE",PR!$F1133,IF(K1135="BIOFEM",PR!$G1133,IF(K1135="BIOMED",PR!$H1133,IF(K1135="CHI",PR!$I1133,IF(K1135="CLARION",PR!$J1133,IF(K1135="CODIX",PR!$K1133,IF(K1135="COSMADE",PR!$L1133,IF(K1135="SANCON",PR!$M1133,IF(K1135="DEVON",PR!$N1133,IF(K1135="DORTEMAG",PR!$O1133,IF(K1135="DGF",PR!$P1133,IF(K1135="DYNAMIC",PR!$Q1133,IF(K1135="EMZOR",PR!$R1133,IF(K1135="EUMATT",PR!$S1133,IF(K1135="FIDSON",PR!$T1133,IF(K1135="FCGLOBAL",PR!$U1133,IF(K1135="GENEITH",PR!$V1133,IF(K1135="GINOS",PR!$W1133,IF(K1135="GSK",PR!$X1133,IF(K1135="GLOBORG",PR!$Y1133,IF(K1135="GOODNEWS",PR!$Z1133,IF(K1135="GREENLIFE",PR!$AA1133,IF(K1135="HLINE",PR!$AB1133,IF(K1135="ROTECH",PR!$AC1133,IF(K1135="ISN",PR!$AD1133,IF(K1135="JAWA",PR!$AE1133,IF(K1135="LAYO",PR!$AF1133,IF(K1135="LEADWAY",PR!$AG1133,IF(K1135="LHV",PR!$AH1133,IF(K1135="MANOLA",PR!$AI1133,IF(K1135="MARCSON",PR!$AJ1133,IF(K1135="M&amp;B",PR!$AK1133,IF(K1135="MTRUST",PR!$AL1133,IF(K1135="MWORLD",PR!$AM1133,IF(K1135="MEGA",PR!$AN1133,IF(K1135="MICRONOVA",PR!$AO1133,IF(K1135="MFLASH",PR!$AP1133,IF(K1135="MORISON",PR!$AQ1133,IF(K1135="NEMEL",PR!$AR1133,IF(K1135="NHP",PR!$AS1133,IF(K1135="NHC",PR!$AT1133,IF(K1135="OLEAF",PR!$AU1133,IF(K1135="OCULUS",PR!$AV1133,IF(K1135="PACIFIC",PR!$AW1133,IF(K1135="PHAMATEX",PR!$AX1133,IF(K1135="PETHICS",PR!$AY1133,IF(K1135="PHILIPS",PR!$AZ1133,IF(K1135="RANBAXY",PR!$BA1133,IF(K1135="REALS",PR!$BB1133,IF(K1135="ROYAL",PR!$BC1133,IF(K1135="SAM",PR!$BD1133,IF(K1135="SEAGREEN",PR!$BE1133,IF(K1135="SKG",PR!$BF1133,IF(K1135="TAH",PR!$BG1133,IF(K1135="TAYLEK",PR!$BH1133,IF(K1135="TEMITA",PR!$BI1133,IF(K1135="THL",PR!$BJ1133,IF(K1135="UBASTIC",PR!$BK1133,IF(K1135="UNION",PR!$BL1133,IF(K1135="UNIQUE",PR!$BM1133,IF(K1135="VIXA",PR!$BN1133,IF(K1135="WWCV",PR!$BO1133,IF(K1135="ZOLON",PR!$BP1133,"-")))))))))))))))))))))))))))))))))))))))))))))))))))))))))))))))))</f>
        <v>19375</v>
      </c>
    </row>
    <row r="1136" spans="1:12" ht="18.75" x14ac:dyDescent="0.3">
      <c r="A1136" s="430">
        <f>PR!A1134</f>
        <v>1021</v>
      </c>
      <c r="B1136" s="15" t="str">
        <f>PR!B1134</f>
        <v>5ML FLUORIDE VACUUM TUBE (SILVER HEALTH DIAGNOSTIC)</v>
      </c>
      <c r="C1136" s="113" t="str">
        <f>PR!D1134</f>
        <v>1*1000</v>
      </c>
      <c r="D1136" s="113">
        <f>PR!C1134</f>
        <v>20</v>
      </c>
      <c r="E1136" s="108">
        <f>IF(F1136="ALPHA",PR!$E1134,IF(F1136="ASSENE",PR!$F1134,IF(F1136="BIOFEM",PR!$G1134,IF(F1136="BIOMED",PR!$H1134,IF(F1136="CHI",PR!$I1134,IF(F1136="CLARION",PR!$J1134,IF(F1136="CODIX",PR!$K1134,IF(F1136="COSMADE",PR!$L1134,IF(F1136="SANCON",PR!$M1134,IF(F1136="DEVON",PR!$N1134,IF(F1136="DORTEMAG",PR!$O1134,IF(F1136="DGF",PR!$P1134,IF(F1136="DYNAMIC",PR!$Q1134,IF(F1136="EMZOR",PR!$R1134,IF(F1136="EUMATT",PR!$S1134,IF(F1136="FIDSON",PR!$T1134,IF(F1136="FCGLOBAL",PR!$U1134,IF(F1136="GENEITH",PR!$V1134,IF(F1136="GINOS",PR!$W1134,IF(F1136="GSK",PR!$X1134,IF(F1136="GLOBORG",PR!$Y1134,IF(F1136="GOODNEWS",PR!$Z1134,IF(F1136="GREENLIFE",PR!$AA1134,IF(F1136="HLINE",PR!$AB1134,IF(F1136="ROTECH",PR!$AC1134,IF(F1136="ISN",PR!$AD1134,IF(F1136="JAWA",PR!$AE1134,IF(F1136="LAYO",PR!$AF1134,IF(F1136="LEADWAY",PR!$AG1134,IF(F1136="LHV",PR!$AH1134,IF(F1136="MANOLA",PR!$AI1134,IF(F1136="MARCSON",PR!$AJ1134,IF(F1136="M&amp;B",PR!$AK1134,IF(F1136="MTRUST",PR!$AL1134,IF(F1136="MWORLD",PR!$AM1134,IF(F1136="MEGA",PR!$AN1134,IF(F1136="MICRONOVA",PR!$AO1134,IF(F1136="MFLASH",PR!$AP1134,IF(F1136="MORISON",PR!$AQ1134,IF(F1136="NEMEL",PR!$AR1134,IF(F1136="NHP",PR!$AS1134,IF(F1136="NHC",PR!$AT1134,IF(F1136="OLEAF",PR!$AU1134,IF(F1136="OCULUS",PR!$AV1134,IF(F1136="PACIFIC",PR!$AW1134,IF(F1136="PHAMATEX",PR!$AX1134,IF(F1136="PETHICS",PR!$AY1134,IF(F1136="PHILIPS",PR!$AZ1134,IF(F1136="RANBAXY",PR!$BA1134,IF(F1136="REALS",PR!$BB1134,IF(F1136="ROYAL",PR!$BC1134,IF(F1136="SAM",PR!$BD1134,IF(F1136="SEAGREEN",PR!$BE1134,IF(F1136="SKG",PR!$BF1134,IF(F1136="TAH",PR!$BG1134,IF(F1136="TAYLEK",PR!$BH1134,IF(F1136="TEMITA",PR!$BI1134,IF(F1136="THL",PR!$BJ1134,IF(F1136="UBASTIC",PR!$BK1134,IF(F1136="UNION",PR!$BL1134,IF(F1136="UNIQUE",PR!$BM1134,IF(F1136="VIXA",PR!$BN1134,IF(F1136="WWCV",PR!$BO1134,IF(F1136="ZOLON",PR!$BP1134,"-"))))))))))))))))))))))))))))))))))))))))))))))))))))))))))))))))</f>
        <v>19375</v>
      </c>
      <c r="F1136" s="102" t="str">
        <f>EV!L1455</f>
        <v>DYNAMIC</v>
      </c>
      <c r="G1136" s="108">
        <f>IF(H1136="ALPHA",PR!$E1134,IF(H1136="ASSENE",PR!$F1134,IF(H1136="BIOFEM",PR!$G1134,IF(H1136="BIOMED",PR!$H1134,IF(H1136="CHI",PR!$I1134,IF(H1136="CLARION",PR!$J1134,IF(H1136="CODIX",PR!$K1134,IF(H1136="COSMADE",PR!$L1134,IF(H1136="SANCON",PR!$M1134,IF(H1136="DEVON",PR!$N1134,IF(H1136="DORTEMAG",PR!$O1134,IF(H1136="DGF",PR!$P1134,IF(H1136="DYNAMIC",PR!$Q1134,IF(H1136="EMZOR",PR!$R1134,IF(H1136="EUMATT",PR!$S1134,IF(H1136="FIDSON",PR!$T1134,IF(H1136="FCGLOBAL",PR!$U1134,IF(H1136="GENEITH",PR!$V1134,IF(H1136="GINOS",PR!$W1134,IF(H1136="GSK",PR!$X1134,IF(H1136="GLOBORG",PR!$Y1134,IF(H1136="GOODNEWS",PR!$Z1134,IF(H1136="GREENLIFE",PR!$AA1134,IF(H1136="HLINE",PR!$AB1134,IF(H1136="ROTECH",PR!$AC1134,IF(H1136="ISN",PR!$AD1134,IF(H1136="JAWA",PR!$AE1134,IF(H1136="LAYO",PR!$AF1134,IF(H1136="LEADWAY",PR!$AG1134,IF(H1136="LHV",PR!$AH1134,IF(H1136="MANOLA",PR!$AI1134,IF(H1136="MARCSON",PR!$AJ1134,IF(H1136="M&amp;B",PR!$AK1134,IF(H1136="MTRUST",PR!$AL1134,IF(H1136="MWORLD",PR!$AM1134,IF(H1136="MEGA",PR!$AN1134,IF(H1136="MICRONOVA",PR!$AO1134,IF(H1136="MFLASH",PR!$AP1134,IF(H1136="MORISON",PR!$AQ1134,IF(H1136="NEMEL",PR!$AR1134,IF(H1136="NHP",PR!$AS1134,IF(H1136="NHC",PR!$AT1134,IF(H1136="OLEAF",PR!$AU1134,IF(H1136="OCULUS",PR!$AV1134,IF(H1136="PACIFIC",PR!$AW1134,IF(H1136="PHAMATEX",PR!$AX1134,IF(H1136="PETHICS",PR!$AY1134,IF(H1136="PHILIPS",PR!$AZ1134,IF(H1136="RANBAXY",PR!$BA1134,IF(H1136="REALS",PR!$BB1134,IF(H1136="ROYAL",PR!$BC1134,IF(H1136="SAM",PR!$BD1134,IF(H1136="SEAGREEN",PR!$BE1134,IF(H1136="SKG",PR!$BF1134,IF(H1136="TAH",PR!$BG1134,IF(H1136="TAYLEK",PR!$BH1134,IF(H1136="TEMITA",PR!$BI1134,IF(H1136="THL",PR!$BJ1134,IF(H1136="UBASTIC",PR!$BK1134,IF(H1136="UNION",PR!$BL1134,IF(H1136="UNIQUE",PR!$BM1134,IF(H1136="VIXA",PR!$BN1134,IF(H1136="WWCV",PR!$BO1134,IF(H1136="ZOLON",PR!$BP1134,"-"))))))))))))))))))))))))))))))))))))))))))))))))))))))))))))))))</f>
        <v>20000</v>
      </c>
      <c r="H1136" s="102" t="str">
        <f>EV!M1455</f>
        <v>UBASTIC</v>
      </c>
      <c r="I1136" s="108">
        <f>IF(J1136="ALPHA",PR!$E1134,IF(J1136="ASSENE",PR!$F1134,IF(J1136="BIOFEM",PR!$G1134,IF(J1136="BIOMED",PR!$H1134,IF(J1136="CHI",PR!$I1134,IF(J1136="CLARION",PR!$J1134,IF(J1136="CODIX",PR!$K1134,IF(J1136="COSMADE",PR!$L1134,IF(J1136="SANCON",PR!$M1134,IF(J1136="DEVON",PR!$N1134,IF(J1136="DORTEMAG",PR!$O1134,IF(J1136="DGF",PR!$P1134,IF(J1136="DYNAMIC",PR!$Q1134,IF(J1136="EMZOR",PR!$R1134,IF(J1136="EUMATT",PR!$S1134,IF(J1136="FIDSON",PR!$T1134,IF(J1136="FCGLOBAL",PR!$U1134,IF(J1136="GENEITH",PR!$V1134,IF(J1136="GINOS",PR!$W1134,IF(J1136="GSK",PR!$X1134,IF(J1136="GLOBORG",PR!$Y1134,IF(J1136="GOODNEWS",PR!$Z1134,IF(J1136="GREENLIFE",PR!$AA1134,IF(J1136="HLINE",PR!$AB1134,IF(J1136="ROTECH",PR!$AC1134,IF(J1136="ISN",PR!$AD1134,IF(J1136="JAWA",PR!$AE1134,IF(J1136="LAYO",PR!$AF1134,IF(J1136="LEADWAY",PR!$AG1134,IF(J1136="LHV",PR!$AH1134,IF(J1136="MANOLA",PR!$AI1134,IF(J1136="MARCSON",PR!$AJ1134,IF(J1136="M&amp;B",PR!$AK1134,IF(J1136="MTRUST",PR!$AL1134,IF(J1136="MWORLD",PR!$AM1134,IF(J1136="MEGA",PR!$AN1134,IF(J1136="MICRONOVA",PR!$AO1134,IF(J1136="MFLASH",PR!$AP1134,IF(J1136="MORISON",PR!$AQ1134,IF(J1136="NEMEL",PR!$AR1134,IF(J1136="NHP",PR!$AS1134,IF(J1136="NHC",PR!$AT1134,IF(J1136="OLEAF",PR!$AU1134,IF(J1136="OCULUS",PR!$AV1134,IF(J1136="PACIFIC",PR!$AW1134,IF(J1136="PHAMATEX",PR!$AX1134,IF(J1136="PETHICS",PR!$AY1134,IF(J1136="PHILIPS",PR!$AZ1134,IF(J1136="RANBAXY",PR!$BA1134,IF(J1136="REALS",PR!$BB1134,IF(J1136="ROYAL",PR!$BC1134,IF(J1136="SAM",PR!$BD1134,IF(J1136="SEAGREEN",PR!$BE1134,IF(J1136="SKG",PR!$BF1134,IF(J1136="TAH",PR!$BG1134,IF(J1136="TAYLEK",PR!$BH1134,IF(J1136="TEMITA",PR!$BI1134,IF(J1136="THL",PR!$BJ1134,IF(J1136="UBASTIC",PR!$BK1134,IF(J1136="UNION",PR!$BL1134,IF(J1136="UNIQUE",PR!$BM1134,IF(J1136="VIXA",PR!$BN1134,IF(J1136="WWCV",PR!$BO1134,IF(J1136="ZOLON",PR!$BP1134,"-"))))))))))))))))))))))))))))))))))))))))))))))))))))))))))))))))</f>
        <v>21450</v>
      </c>
      <c r="J1136" s="102" t="str">
        <f>EV!N1455</f>
        <v>LAYO</v>
      </c>
      <c r="K1136" s="433" t="s">
        <v>817</v>
      </c>
      <c r="L1136" s="183">
        <f>IF(K1136&gt;0,IF(K1136="ALPHA",PR!$E1134,IF(K1136="ASSENE",PR!$F1134,IF(K1136="BIOFEM",PR!$G1134,IF(K1136="BIOMED",PR!$H1134,IF(K1136="CHI",PR!$I1134,IF(K1136="CLARION",PR!$J1134,IF(K1136="CODIX",PR!$K1134,IF(K1136="COSMADE",PR!$L1134,IF(K1136="SANCON",PR!$M1134,IF(K1136="DEVON",PR!$N1134,IF(K1136="DORTEMAG",PR!$O1134,IF(K1136="DGF",PR!$P1134,IF(K1136="DYNAMIC",PR!$Q1134,IF(K1136="EMZOR",PR!$R1134,IF(K1136="EUMATT",PR!$S1134,IF(K1136="FIDSON",PR!$T1134,IF(K1136="FCGLOBAL",PR!$U1134,IF(K1136="GENEITH",PR!$V1134,IF(K1136="GINOS",PR!$W1134,IF(K1136="GSK",PR!$X1134,IF(K1136="GLOBORG",PR!$Y1134,IF(K1136="GOODNEWS",PR!$Z1134,IF(K1136="GREENLIFE",PR!$AA1134,IF(K1136="HLINE",PR!$AB1134,IF(K1136="ROTECH",PR!$AC1134,IF(K1136="ISN",PR!$AD1134,IF(K1136="JAWA",PR!$AE1134,IF(K1136="LAYO",PR!$AF1134,IF(K1136="LEADWAY",PR!$AG1134,IF(K1136="LHV",PR!$AH1134,IF(K1136="MANOLA",PR!$AI1134,IF(K1136="MARCSON",PR!$AJ1134,IF(K1136="M&amp;B",PR!$AK1134,IF(K1136="MTRUST",PR!$AL1134,IF(K1136="MWORLD",PR!$AM1134,IF(K1136="MEGA",PR!$AN1134,IF(K1136="MICRONOVA",PR!$AO1134,IF(K1136="MFLASH",PR!$AP1134,IF(K1136="MORISON",PR!$AQ1134,IF(K1136="NEMEL",PR!$AR1134,IF(K1136="NHP",PR!$AS1134,IF(K1136="NHC",PR!$AT1134,IF(K1136="OLEAF",PR!$AU1134,IF(K1136="OCULUS",PR!$AV1134,IF(K1136="PACIFIC",PR!$AW1134,IF(K1136="PHAMATEX",PR!$AX1134,IF(K1136="PETHICS",PR!$AY1134,IF(K1136="PHILIPS",PR!$AZ1134,IF(K1136="RANBAXY",PR!$BA1134,IF(K1136="REALS",PR!$BB1134,IF(K1136="ROYAL",PR!$BC1134,IF(K1136="SAM",PR!$BD1134,IF(K1136="SEAGREEN",PR!$BE1134,IF(K1136="SKG",PR!$BF1134,IF(K1136="TAH",PR!$BG1134,IF(K1136="TAYLEK",PR!$BH1134,IF(K1136="TEMITA",PR!$BI1134,IF(K1136="THL",PR!$BJ1134,IF(K1136="UBASTIC",PR!$BK1134,IF(K1136="UNION",PR!$BL1134,IF(K1136="UNIQUE",PR!$BM1134,IF(K1136="VIXA",PR!$BN1134,IF(K1136="WWCV",PR!$BO1134,IF(K1136="ZOLON",PR!$BP1134,"-")))))))))))))))))))))))))))))))))))))))))))))))))))))))))))))))))</f>
        <v>18000</v>
      </c>
    </row>
    <row r="1137" spans="1:12" ht="18.75" x14ac:dyDescent="0.3">
      <c r="A1137" s="430">
        <f>PR!A1135</f>
        <v>1022</v>
      </c>
      <c r="B1137" s="15" t="str">
        <f>PR!B1135</f>
        <v>PRINTING PAPER (ISE 6000)</v>
      </c>
      <c r="C1137" s="113" t="str">
        <f>PR!D1135</f>
        <v>Roll</v>
      </c>
      <c r="D1137" s="113">
        <f>PR!C1135</f>
        <v>128</v>
      </c>
      <c r="E1137" s="108">
        <f>IF(F1137="ALPHA",PR!$E1135,IF(F1137="ASSENE",PR!$F1135,IF(F1137="BIOFEM",PR!$G1135,IF(F1137="BIOMED",PR!$H1135,IF(F1137="CHI",PR!$I1135,IF(F1137="CLARION",PR!$J1135,IF(F1137="CODIX",PR!$K1135,IF(F1137="COSMADE",PR!$L1135,IF(F1137="SANCON",PR!$M1135,IF(F1137="DEVON",PR!$N1135,IF(F1137="DORTEMAG",PR!$O1135,IF(F1137="DGF",PR!$P1135,IF(F1137="DYNAMIC",PR!$Q1135,IF(F1137="EMZOR",PR!$R1135,IF(F1137="EUMATT",PR!$S1135,IF(F1137="FIDSON",PR!$T1135,IF(F1137="FCGLOBAL",PR!$U1135,IF(F1137="GENEITH",PR!$V1135,IF(F1137="GINOS",PR!$W1135,IF(F1137="GSK",PR!$X1135,IF(F1137="GLOBORG",PR!$Y1135,IF(F1137="GOODNEWS",PR!$Z1135,IF(F1137="GREENLIFE",PR!$AA1135,IF(F1137="HLINE",PR!$AB1135,IF(F1137="ROTECH",PR!$AC1135,IF(F1137="ISN",PR!$AD1135,IF(F1137="JAWA",PR!$AE1135,IF(F1137="LAYO",PR!$AF1135,IF(F1137="LEADWAY",PR!$AG1135,IF(F1137="LHV",PR!$AH1135,IF(F1137="MANOLA",PR!$AI1135,IF(F1137="MARCSON",PR!$AJ1135,IF(F1137="M&amp;B",PR!$AK1135,IF(F1137="MTRUST",PR!$AL1135,IF(F1137="MWORLD",PR!$AM1135,IF(F1137="MEGA",PR!$AN1135,IF(F1137="MICRONOVA",PR!$AO1135,IF(F1137="MFLASH",PR!$AP1135,IF(F1137="MORISON",PR!$AQ1135,IF(F1137="NEMEL",PR!$AR1135,IF(F1137="NHP",PR!$AS1135,IF(F1137="NHC",PR!$AT1135,IF(F1137="OLEAF",PR!$AU1135,IF(F1137="OCULUS",PR!$AV1135,IF(F1137="PACIFIC",PR!$AW1135,IF(F1137="PHAMATEX",PR!$AX1135,IF(F1137="PETHICS",PR!$AY1135,IF(F1137="PHILIPS",PR!$AZ1135,IF(F1137="RANBAXY",PR!$BA1135,IF(F1137="REALS",PR!$BB1135,IF(F1137="ROYAL",PR!$BC1135,IF(F1137="SAM",PR!$BD1135,IF(F1137="SEAGREEN",PR!$BE1135,IF(F1137="SKG",PR!$BF1135,IF(F1137="TAH",PR!$BG1135,IF(F1137="TAYLEK",PR!$BH1135,IF(F1137="TEMITA",PR!$BI1135,IF(F1137="THL",PR!$BJ1135,IF(F1137="UBASTIC",PR!$BK1135,IF(F1137="UNION",PR!$BL1135,IF(F1137="UNIQUE",PR!$BM1135,IF(F1137="VIXA",PR!$BN1135,IF(F1137="WWCV",PR!$BO1135,IF(F1137="ZOLON",PR!$BP1135,"-"))))))))))))))))))))))))))))))))))))))))))))))))))))))))))))))))</f>
        <v>1500</v>
      </c>
      <c r="F1137" s="102" t="str">
        <f>EV!L1456</f>
        <v>LAYO</v>
      </c>
      <c r="G1137" s="108" t="str">
        <f>IF(H1137="ALPHA",PR!$E1135,IF(H1137="ASSENE",PR!$F1135,IF(H1137="BIOFEM",PR!$G1135,IF(H1137="BIOMED",PR!$H1135,IF(H1137="CHI",PR!$I1135,IF(H1137="CLARION",PR!$J1135,IF(H1137="CODIX",PR!$K1135,IF(H1137="COSMADE",PR!$L1135,IF(H1137="SANCON",PR!$M1135,IF(H1137="DEVON",PR!$N1135,IF(H1137="DORTEMAG",PR!$O1135,IF(H1137="DGF",PR!$P1135,IF(H1137="DYNAMIC",PR!$Q1135,IF(H1137="EMZOR",PR!$R1135,IF(H1137="EUMATT",PR!$S1135,IF(H1137="FIDSON",PR!$T1135,IF(H1137="FCGLOBAL",PR!$U1135,IF(H1137="GENEITH",PR!$V1135,IF(H1137="GINOS",PR!$W1135,IF(H1137="GSK",PR!$X1135,IF(H1137="GLOBORG",PR!$Y1135,IF(H1137="GOODNEWS",PR!$Z1135,IF(H1137="GREENLIFE",PR!$AA1135,IF(H1137="HLINE",PR!$AB1135,IF(H1137="ROTECH",PR!$AC1135,IF(H1137="ISN",PR!$AD1135,IF(H1137="JAWA",PR!$AE1135,IF(H1137="LAYO",PR!$AF1135,IF(H1137="LEADWAY",PR!$AG1135,IF(H1137="LHV",PR!$AH1135,IF(H1137="MANOLA",PR!$AI1135,IF(H1137="MARCSON",PR!$AJ1135,IF(H1137="M&amp;B",PR!$AK1135,IF(H1137="MTRUST",PR!$AL1135,IF(H1137="MWORLD",PR!$AM1135,IF(H1137="MEGA",PR!$AN1135,IF(H1137="MICRONOVA",PR!$AO1135,IF(H1137="MFLASH",PR!$AP1135,IF(H1137="MORISON",PR!$AQ1135,IF(H1137="NEMEL",PR!$AR1135,IF(H1137="NHP",PR!$AS1135,IF(H1137="NHC",PR!$AT1135,IF(H1137="OLEAF",PR!$AU1135,IF(H1137="OCULUS",PR!$AV1135,IF(H1137="PACIFIC",PR!$AW1135,IF(H1137="PHAMATEX",PR!$AX1135,IF(H1137="PETHICS",PR!$AY1135,IF(H1137="PHILIPS",PR!$AZ1135,IF(H1137="RANBAXY",PR!$BA1135,IF(H1137="REALS",PR!$BB1135,IF(H1137="ROYAL",PR!$BC1135,IF(H1137="SAM",PR!$BD1135,IF(H1137="SEAGREEN",PR!$BE1135,IF(H1137="SKG",PR!$BF1135,IF(H1137="TAH",PR!$BG1135,IF(H1137="TAYLEK",PR!$BH1135,IF(H1137="TEMITA",PR!$BI1135,IF(H1137="THL",PR!$BJ1135,IF(H1137="UBASTIC",PR!$BK1135,IF(H1137="UNION",PR!$BL1135,IF(H1137="UNIQUE",PR!$BM1135,IF(H1137="VIXA",PR!$BN1135,IF(H1137="WWCV",PR!$BO1135,IF(H1137="ZOLON",PR!$BP1135,"-"))))))))))))))))))))))))))))))))))))))))))))))))))))))))))))))))</f>
        <v>-</v>
      </c>
      <c r="H1137" s="102">
        <f>EV!M1456</f>
        <v>0</v>
      </c>
      <c r="I1137" s="108" t="str">
        <f>IF(J1137="ALPHA",PR!$E1135,IF(J1137="ASSENE",PR!$F1135,IF(J1137="BIOFEM",PR!$G1135,IF(J1137="BIOMED",PR!$H1135,IF(J1137="CHI",PR!$I1135,IF(J1137="CLARION",PR!$J1135,IF(J1137="CODIX",PR!$K1135,IF(J1137="COSMADE",PR!$L1135,IF(J1137="SANCON",PR!$M1135,IF(J1137="DEVON",PR!$N1135,IF(J1137="DORTEMAG",PR!$O1135,IF(J1137="DGF",PR!$P1135,IF(J1137="DYNAMIC",PR!$Q1135,IF(J1137="EMZOR",PR!$R1135,IF(J1137="EUMATT",PR!$S1135,IF(J1137="FIDSON",PR!$T1135,IF(J1137="FCGLOBAL",PR!$U1135,IF(J1137="GENEITH",PR!$V1135,IF(J1137="GINOS",PR!$W1135,IF(J1137="GSK",PR!$X1135,IF(J1137="GLOBORG",PR!$Y1135,IF(J1137="GOODNEWS",PR!$Z1135,IF(J1137="GREENLIFE",PR!$AA1135,IF(J1137="HLINE",PR!$AB1135,IF(J1137="ROTECH",PR!$AC1135,IF(J1137="ISN",PR!$AD1135,IF(J1137="JAWA",PR!$AE1135,IF(J1137="LAYO",PR!$AF1135,IF(J1137="LEADWAY",PR!$AG1135,IF(J1137="LHV",PR!$AH1135,IF(J1137="MANOLA",PR!$AI1135,IF(J1137="MARCSON",PR!$AJ1135,IF(J1137="M&amp;B",PR!$AK1135,IF(J1137="MTRUST",PR!$AL1135,IF(J1137="MWORLD",PR!$AM1135,IF(J1137="MEGA",PR!$AN1135,IF(J1137="MICRONOVA",PR!$AO1135,IF(J1137="MFLASH",PR!$AP1135,IF(J1137="MORISON",PR!$AQ1135,IF(J1137="NEMEL",PR!$AR1135,IF(J1137="NHP",PR!$AS1135,IF(J1137="NHC",PR!$AT1135,IF(J1137="OLEAF",PR!$AU1135,IF(J1137="OCULUS",PR!$AV1135,IF(J1137="PACIFIC",PR!$AW1135,IF(J1137="PHAMATEX",PR!$AX1135,IF(J1137="PETHICS",PR!$AY1135,IF(J1137="PHILIPS",PR!$AZ1135,IF(J1137="RANBAXY",PR!$BA1135,IF(J1137="REALS",PR!$BB1135,IF(J1137="ROYAL",PR!$BC1135,IF(J1137="SAM",PR!$BD1135,IF(J1137="SEAGREEN",PR!$BE1135,IF(J1137="SKG",PR!$BF1135,IF(J1137="TAH",PR!$BG1135,IF(J1137="TAYLEK",PR!$BH1135,IF(J1137="TEMITA",PR!$BI1135,IF(J1137="THL",PR!$BJ1135,IF(J1137="UBASTIC",PR!$BK1135,IF(J1137="UNION",PR!$BL1135,IF(J1137="UNIQUE",PR!$BM1135,IF(J1137="VIXA",PR!$BN1135,IF(J1137="WWCV",PR!$BO1135,IF(J1137="ZOLON",PR!$BP1135,"-"))))))))))))))))))))))))))))))))))))))))))))))))))))))))))))))))</f>
        <v>-</v>
      </c>
      <c r="J1137" s="102">
        <f>EV!N1456</f>
        <v>0</v>
      </c>
      <c r="K1137" s="433" t="s">
        <v>1461</v>
      </c>
      <c r="L1137" s="183">
        <f>IF(K1137&gt;0,IF(K1137="ALPHA",PR!$E1135,IF(K1137="ASSENE",PR!$F1135,IF(K1137="BIOFEM",PR!$G1135,IF(K1137="BIOMED",PR!$H1135,IF(K1137="CHI",PR!$I1135,IF(K1137="CLARION",PR!$J1135,IF(K1137="CODIX",PR!$K1135,IF(K1137="COSMADE",PR!$L1135,IF(K1137="SANCON",PR!$M1135,IF(K1137="DEVON",PR!$N1135,IF(K1137="DORTEMAG",PR!$O1135,IF(K1137="DGF",PR!$P1135,IF(K1137="DYNAMIC",PR!$Q1135,IF(K1137="EMZOR",PR!$R1135,IF(K1137="EUMATT",PR!$S1135,IF(K1137="FIDSON",PR!$T1135,IF(K1137="FCGLOBAL",PR!$U1135,IF(K1137="GENEITH",PR!$V1135,IF(K1137="GINOS",PR!$W1135,IF(K1137="GSK",PR!$X1135,IF(K1137="GLOBORG",PR!$Y1135,IF(K1137="GOODNEWS",PR!$Z1135,IF(K1137="GREENLIFE",PR!$AA1135,IF(K1137="HLINE",PR!$AB1135,IF(K1137="ROTECH",PR!$AC1135,IF(K1137="ISN",PR!$AD1135,IF(K1137="JAWA",PR!$AE1135,IF(K1137="LAYO",PR!$AF1135,IF(K1137="LEADWAY",PR!$AG1135,IF(K1137="LHV",PR!$AH1135,IF(K1137="MANOLA",PR!$AI1135,IF(K1137="MARCSON",PR!$AJ1135,IF(K1137="M&amp;B",PR!$AK1135,IF(K1137="MTRUST",PR!$AL1135,IF(K1137="MWORLD",PR!$AM1135,IF(K1137="MEGA",PR!$AN1135,IF(K1137="MICRONOVA",PR!$AO1135,IF(K1137="MFLASH",PR!$AP1135,IF(K1137="MORISON",PR!$AQ1135,IF(K1137="NEMEL",PR!$AR1135,IF(K1137="NHP",PR!$AS1135,IF(K1137="NHC",PR!$AT1135,IF(K1137="OLEAF",PR!$AU1135,IF(K1137="OCULUS",PR!$AV1135,IF(K1137="PACIFIC",PR!$AW1135,IF(K1137="PHAMATEX",PR!$AX1135,IF(K1137="PETHICS",PR!$AY1135,IF(K1137="PHILIPS",PR!$AZ1135,IF(K1137="RANBAXY",PR!$BA1135,IF(K1137="REALS",PR!$BB1135,IF(K1137="ROYAL",PR!$BC1135,IF(K1137="SAM",PR!$BD1135,IF(K1137="SEAGREEN",PR!$BE1135,IF(K1137="SKG",PR!$BF1135,IF(K1137="TAH",PR!$BG1135,IF(K1137="TAYLEK",PR!$BH1135,IF(K1137="TEMITA",PR!$BI1135,IF(K1137="THL",PR!$BJ1135,IF(K1137="UBASTIC",PR!$BK1135,IF(K1137="UNION",PR!$BL1135,IF(K1137="UNIQUE",PR!$BM1135,IF(K1137="VIXA",PR!$BN1135,IF(K1137="WWCV",PR!$BO1135,IF(K1137="ZOLON",PR!$BP1135,"-")))))))))))))))))))))))))))))))))))))))))))))))))))))))))))))))))</f>
        <v>1500</v>
      </c>
    </row>
    <row r="1138" spans="1:12" ht="18.75" x14ac:dyDescent="0.3">
      <c r="A1138" s="430">
        <f>PR!A1136</f>
        <v>1023</v>
      </c>
      <c r="B1138" s="15" t="str">
        <f>PR!B1136</f>
        <v>CAFFEINE (BDH)</v>
      </c>
      <c r="C1138" s="113" t="str">
        <f>PR!D1136</f>
        <v>500g</v>
      </c>
      <c r="D1138" s="113">
        <f>PR!C1136</f>
        <v>20</v>
      </c>
      <c r="E1138" s="108">
        <f>IF(F1138="ALPHA",PR!$E1136,IF(F1138="ASSENE",PR!$F1136,IF(F1138="BIOFEM",PR!$G1136,IF(F1138="BIOMED",PR!$H1136,IF(F1138="CHI",PR!$I1136,IF(F1138="CLARION",PR!$J1136,IF(F1138="CODIX",PR!$K1136,IF(F1138="COSMADE",PR!$L1136,IF(F1138="SANCON",PR!$M1136,IF(F1138="DEVON",PR!$N1136,IF(F1138="DORTEMAG",PR!$O1136,IF(F1138="DGF",PR!$P1136,IF(F1138="DYNAMIC",PR!$Q1136,IF(F1138="EMZOR",PR!$R1136,IF(F1138="EUMATT",PR!$S1136,IF(F1138="FIDSON",PR!$T1136,IF(F1138="FCGLOBAL",PR!$U1136,IF(F1138="GENEITH",PR!$V1136,IF(F1138="GINOS",PR!$W1136,IF(F1138="GSK",PR!$X1136,IF(F1138="GLOBORG",PR!$Y1136,IF(F1138="GOODNEWS",PR!$Z1136,IF(F1138="GREENLIFE",PR!$AA1136,IF(F1138="HLINE",PR!$AB1136,IF(F1138="ROTECH",PR!$AC1136,IF(F1138="ISN",PR!$AD1136,IF(F1138="JAWA",PR!$AE1136,IF(F1138="LAYO",PR!$AF1136,IF(F1138="LEADWAY",PR!$AG1136,IF(F1138="LHV",PR!$AH1136,IF(F1138="MANOLA",PR!$AI1136,IF(F1138="MARCSON",PR!$AJ1136,IF(F1138="M&amp;B",PR!$AK1136,IF(F1138="MTRUST",PR!$AL1136,IF(F1138="MWORLD",PR!$AM1136,IF(F1138="MEGA",PR!$AN1136,IF(F1138="MICRONOVA",PR!$AO1136,IF(F1138="MFLASH",PR!$AP1136,IF(F1138="MORISON",PR!$AQ1136,IF(F1138="NEMEL",PR!$AR1136,IF(F1138="NHP",PR!$AS1136,IF(F1138="NHC",PR!$AT1136,IF(F1138="OLEAF",PR!$AU1136,IF(F1138="OCULUS",PR!$AV1136,IF(F1138="PACIFIC",PR!$AW1136,IF(F1138="PHAMATEX",PR!$AX1136,IF(F1138="PETHICS",PR!$AY1136,IF(F1138="PHILIPS",PR!$AZ1136,IF(F1138="RANBAXY",PR!$BA1136,IF(F1138="REALS",PR!$BB1136,IF(F1138="ROYAL",PR!$BC1136,IF(F1138="SAM",PR!$BD1136,IF(F1138="SEAGREEN",PR!$BE1136,IF(F1138="SKG",PR!$BF1136,IF(F1138="TAH",PR!$BG1136,IF(F1138="TAYLEK",PR!$BH1136,IF(F1138="TEMITA",PR!$BI1136,IF(F1138="THL",PR!$BJ1136,IF(F1138="UBASTIC",PR!$BK1136,IF(F1138="UNION",PR!$BL1136,IF(F1138="UNIQUE",PR!$BM1136,IF(F1138="VIXA",PR!$BN1136,IF(F1138="WWCV",PR!$BO1136,IF(F1138="ZOLON",PR!$BP1136,"-"))))))))))))))))))))))))))))))))))))))))))))))))))))))))))))))))</f>
        <v>11700</v>
      </c>
      <c r="F1138" s="102" t="str">
        <f>EV!L1457</f>
        <v>LAYO</v>
      </c>
      <c r="G1138" s="108">
        <f>IF(H1138="ALPHA",PR!$E1136,IF(H1138="ASSENE",PR!$F1136,IF(H1138="BIOFEM",PR!$G1136,IF(H1138="BIOMED",PR!$H1136,IF(H1138="CHI",PR!$I1136,IF(H1138="CLARION",PR!$J1136,IF(H1138="CODIX",PR!$K1136,IF(H1138="COSMADE",PR!$L1136,IF(H1138="SANCON",PR!$M1136,IF(H1138="DEVON",PR!$N1136,IF(H1138="DORTEMAG",PR!$O1136,IF(H1138="DGF",PR!$P1136,IF(H1138="DYNAMIC",PR!$Q1136,IF(H1138="EMZOR",PR!$R1136,IF(H1138="EUMATT",PR!$S1136,IF(H1138="FIDSON",PR!$T1136,IF(H1138="FCGLOBAL",PR!$U1136,IF(H1138="GENEITH",PR!$V1136,IF(H1138="GINOS",PR!$W1136,IF(H1138="GSK",PR!$X1136,IF(H1138="GLOBORG",PR!$Y1136,IF(H1138="GOODNEWS",PR!$Z1136,IF(H1138="GREENLIFE",PR!$AA1136,IF(H1138="HLINE",PR!$AB1136,IF(H1138="ROTECH",PR!$AC1136,IF(H1138="ISN",PR!$AD1136,IF(H1138="JAWA",PR!$AE1136,IF(H1138="LAYO",PR!$AF1136,IF(H1138="LEADWAY",PR!$AG1136,IF(H1138="LHV",PR!$AH1136,IF(H1138="MANOLA",PR!$AI1136,IF(H1138="MARCSON",PR!$AJ1136,IF(H1138="M&amp;B",PR!$AK1136,IF(H1138="MTRUST",PR!$AL1136,IF(H1138="MWORLD",PR!$AM1136,IF(H1138="MEGA",PR!$AN1136,IF(H1138="MICRONOVA",PR!$AO1136,IF(H1138="MFLASH",PR!$AP1136,IF(H1138="MORISON",PR!$AQ1136,IF(H1138="NEMEL",PR!$AR1136,IF(H1138="NHP",PR!$AS1136,IF(H1138="NHC",PR!$AT1136,IF(H1138="OLEAF",PR!$AU1136,IF(H1138="OCULUS",PR!$AV1136,IF(H1138="PACIFIC",PR!$AW1136,IF(H1138="PHAMATEX",PR!$AX1136,IF(H1138="PETHICS",PR!$AY1136,IF(H1138="PHILIPS",PR!$AZ1136,IF(H1138="RANBAXY",PR!$BA1136,IF(H1138="REALS",PR!$BB1136,IF(H1138="ROYAL",PR!$BC1136,IF(H1138="SAM",PR!$BD1136,IF(H1138="SEAGREEN",PR!$BE1136,IF(H1138="SKG",PR!$BF1136,IF(H1138="TAH",PR!$BG1136,IF(H1138="TAYLEK",PR!$BH1136,IF(H1138="TEMITA",PR!$BI1136,IF(H1138="THL",PR!$BJ1136,IF(H1138="UBASTIC",PR!$BK1136,IF(H1138="UNION",PR!$BL1136,IF(H1138="UNIQUE",PR!$BM1136,IF(H1138="VIXA",PR!$BN1136,IF(H1138="WWCV",PR!$BO1136,IF(H1138="ZOLON",PR!$BP1136,"-"))))))))))))))))))))))))))))))))))))))))))))))))))))))))))))))))</f>
        <v>40000</v>
      </c>
      <c r="H1138" s="102" t="str">
        <f>EV!M1457</f>
        <v>TEMITA</v>
      </c>
      <c r="I1138" s="108">
        <f>IF(J1138="ALPHA",PR!$E1136,IF(J1138="ASSENE",PR!$F1136,IF(J1138="BIOFEM",PR!$G1136,IF(J1138="BIOMED",PR!$H1136,IF(J1138="CHI",PR!$I1136,IF(J1138="CLARION",PR!$J1136,IF(J1138="CODIX",PR!$K1136,IF(J1138="COSMADE",PR!$L1136,IF(J1138="SANCON",PR!$M1136,IF(J1138="DEVON",PR!$N1136,IF(J1138="DORTEMAG",PR!$O1136,IF(J1138="DGF",PR!$P1136,IF(J1138="DYNAMIC",PR!$Q1136,IF(J1138="EMZOR",PR!$R1136,IF(J1138="EUMATT",PR!$S1136,IF(J1138="FIDSON",PR!$T1136,IF(J1138="FCGLOBAL",PR!$U1136,IF(J1138="GENEITH",PR!$V1136,IF(J1138="GINOS",PR!$W1136,IF(J1138="GSK",PR!$X1136,IF(J1138="GLOBORG",PR!$Y1136,IF(J1138="GOODNEWS",PR!$Z1136,IF(J1138="GREENLIFE",PR!$AA1136,IF(J1138="HLINE",PR!$AB1136,IF(J1138="ROTECH",PR!$AC1136,IF(J1138="ISN",PR!$AD1136,IF(J1138="JAWA",PR!$AE1136,IF(J1138="LAYO",PR!$AF1136,IF(J1138="LEADWAY",PR!$AG1136,IF(J1138="LHV",PR!$AH1136,IF(J1138="MANOLA",PR!$AI1136,IF(J1138="MARCSON",PR!$AJ1136,IF(J1138="M&amp;B",PR!$AK1136,IF(J1138="MTRUST",PR!$AL1136,IF(J1138="MWORLD",PR!$AM1136,IF(J1138="MEGA",PR!$AN1136,IF(J1138="MICRONOVA",PR!$AO1136,IF(J1138="MFLASH",PR!$AP1136,IF(J1138="MORISON",PR!$AQ1136,IF(J1138="NEMEL",PR!$AR1136,IF(J1138="NHP",PR!$AS1136,IF(J1138="NHC",PR!$AT1136,IF(J1138="OLEAF",PR!$AU1136,IF(J1138="OCULUS",PR!$AV1136,IF(J1138="PACIFIC",PR!$AW1136,IF(J1138="PHAMATEX",PR!$AX1136,IF(J1138="PETHICS",PR!$AY1136,IF(J1138="PHILIPS",PR!$AZ1136,IF(J1138="RANBAXY",PR!$BA1136,IF(J1138="REALS",PR!$BB1136,IF(J1138="ROYAL",PR!$BC1136,IF(J1138="SAM",PR!$BD1136,IF(J1138="SEAGREEN",PR!$BE1136,IF(J1138="SKG",PR!$BF1136,IF(J1138="TAH",PR!$BG1136,IF(J1138="TAYLEK",PR!$BH1136,IF(J1138="TEMITA",PR!$BI1136,IF(J1138="THL",PR!$BJ1136,IF(J1138="UBASTIC",PR!$BK1136,IF(J1138="UNION",PR!$BL1136,IF(J1138="UNIQUE",PR!$BM1136,IF(J1138="VIXA",PR!$BN1136,IF(J1138="WWCV",PR!$BO1136,IF(J1138="ZOLON",PR!$BP1136,"-"))))))))))))))))))))))))))))))))))))))))))))))))))))))))))))))))</f>
        <v>97170</v>
      </c>
      <c r="J1138" s="102" t="str">
        <f>EV!N1457</f>
        <v>DYNAMIC</v>
      </c>
      <c r="K1138" s="433" t="s">
        <v>1461</v>
      </c>
      <c r="L1138" s="183">
        <f>IF(K1138&gt;0,IF(K1138="ALPHA",PR!$E1136,IF(K1138="ASSENE",PR!$F1136,IF(K1138="BIOFEM",PR!$G1136,IF(K1138="BIOMED",PR!$H1136,IF(K1138="CHI",PR!$I1136,IF(K1138="CLARION",PR!$J1136,IF(K1138="CODIX",PR!$K1136,IF(K1138="COSMADE",PR!$L1136,IF(K1138="SANCON",PR!$M1136,IF(K1138="DEVON",PR!$N1136,IF(K1138="DORTEMAG",PR!$O1136,IF(K1138="DGF",PR!$P1136,IF(K1138="DYNAMIC",PR!$Q1136,IF(K1138="EMZOR",PR!$R1136,IF(K1138="EUMATT",PR!$S1136,IF(K1138="FIDSON",PR!$T1136,IF(K1138="FCGLOBAL",PR!$U1136,IF(K1138="GENEITH",PR!$V1136,IF(K1138="GINOS",PR!$W1136,IF(K1138="GSK",PR!$X1136,IF(K1138="GLOBORG",PR!$Y1136,IF(K1138="GOODNEWS",PR!$Z1136,IF(K1138="GREENLIFE",PR!$AA1136,IF(K1138="HLINE",PR!$AB1136,IF(K1138="ROTECH",PR!$AC1136,IF(K1138="ISN",PR!$AD1136,IF(K1138="JAWA",PR!$AE1136,IF(K1138="LAYO",PR!$AF1136,IF(K1138="LEADWAY",PR!$AG1136,IF(K1138="LHV",PR!$AH1136,IF(K1138="MANOLA",PR!$AI1136,IF(K1138="MARCSON",PR!$AJ1136,IF(K1138="M&amp;B",PR!$AK1136,IF(K1138="MTRUST",PR!$AL1136,IF(K1138="MWORLD",PR!$AM1136,IF(K1138="MEGA",PR!$AN1136,IF(K1138="MICRONOVA",PR!$AO1136,IF(K1138="MFLASH",PR!$AP1136,IF(K1138="MORISON",PR!$AQ1136,IF(K1138="NEMEL",PR!$AR1136,IF(K1138="NHP",PR!$AS1136,IF(K1138="NHC",PR!$AT1136,IF(K1138="OLEAF",PR!$AU1136,IF(K1138="OCULUS",PR!$AV1136,IF(K1138="PACIFIC",PR!$AW1136,IF(K1138="PHAMATEX",PR!$AX1136,IF(K1138="PETHICS",PR!$AY1136,IF(K1138="PHILIPS",PR!$AZ1136,IF(K1138="RANBAXY",PR!$BA1136,IF(K1138="REALS",PR!$BB1136,IF(K1138="ROYAL",PR!$BC1136,IF(K1138="SAM",PR!$BD1136,IF(K1138="SEAGREEN",PR!$BE1136,IF(K1138="SKG",PR!$BF1136,IF(K1138="TAH",PR!$BG1136,IF(K1138="TAYLEK",PR!$BH1136,IF(K1138="TEMITA",PR!$BI1136,IF(K1138="THL",PR!$BJ1136,IF(K1138="UBASTIC",PR!$BK1136,IF(K1138="UNION",PR!$BL1136,IF(K1138="UNIQUE",PR!$BM1136,IF(K1138="VIXA",PR!$BN1136,IF(K1138="WWCV",PR!$BO1136,IF(K1138="ZOLON",PR!$BP1136,"-")))))))))))))))))))))))))))))))))))))))))))))))))))))))))))))))))</f>
        <v>11700</v>
      </c>
    </row>
    <row r="1139" spans="1:12" ht="18.75" x14ac:dyDescent="0.3">
      <c r="A1139" s="430">
        <f>PR!A1137</f>
        <v>1024</v>
      </c>
      <c r="B1139" s="15" t="str">
        <f>PR!B1137</f>
        <v>SODIUM BENZOATE(BDH)</v>
      </c>
      <c r="C1139" s="113" t="str">
        <f>PR!D1137</f>
        <v>500g</v>
      </c>
      <c r="D1139" s="113">
        <f>PR!C1137</f>
        <v>20</v>
      </c>
      <c r="E1139" s="108">
        <f>IF(F1139="ALPHA",PR!$E1137,IF(F1139="ASSENE",PR!$F1137,IF(F1139="BIOFEM",PR!$G1137,IF(F1139="BIOMED",PR!$H1137,IF(F1139="CHI",PR!$I1137,IF(F1139="CLARION",PR!$J1137,IF(F1139="CODIX",PR!$K1137,IF(F1139="COSMADE",PR!$L1137,IF(F1139="SANCON",PR!$M1137,IF(F1139="DEVON",PR!$N1137,IF(F1139="DORTEMAG",PR!$O1137,IF(F1139="DGF",PR!$P1137,IF(F1139="DYNAMIC",PR!$Q1137,IF(F1139="EMZOR",PR!$R1137,IF(F1139="EUMATT",PR!$S1137,IF(F1139="FIDSON",PR!$T1137,IF(F1139="FCGLOBAL",PR!$U1137,IF(F1139="GENEITH",PR!$V1137,IF(F1139="GINOS",PR!$W1137,IF(F1139="GSK",PR!$X1137,IF(F1139="GLOBORG",PR!$Y1137,IF(F1139="GOODNEWS",PR!$Z1137,IF(F1139="GREENLIFE",PR!$AA1137,IF(F1139="HLINE",PR!$AB1137,IF(F1139="ROTECH",PR!$AC1137,IF(F1139="ISN",PR!$AD1137,IF(F1139="JAWA",PR!$AE1137,IF(F1139="LAYO",PR!$AF1137,IF(F1139="LEADWAY",PR!$AG1137,IF(F1139="LHV",PR!$AH1137,IF(F1139="MANOLA",PR!$AI1137,IF(F1139="MARCSON",PR!$AJ1137,IF(F1139="M&amp;B",PR!$AK1137,IF(F1139="MTRUST",PR!$AL1137,IF(F1139="MWORLD",PR!$AM1137,IF(F1139="MEGA",PR!$AN1137,IF(F1139="MICRONOVA",PR!$AO1137,IF(F1139="MFLASH",PR!$AP1137,IF(F1139="MORISON",PR!$AQ1137,IF(F1139="NEMEL",PR!$AR1137,IF(F1139="NHP",PR!$AS1137,IF(F1139="NHC",PR!$AT1137,IF(F1139="OLEAF",PR!$AU1137,IF(F1139="OCULUS",PR!$AV1137,IF(F1139="PACIFIC",PR!$AW1137,IF(F1139="PHAMATEX",PR!$AX1137,IF(F1139="PETHICS",PR!$AY1137,IF(F1139="PHILIPS",PR!$AZ1137,IF(F1139="RANBAXY",PR!$BA1137,IF(F1139="REALS",PR!$BB1137,IF(F1139="ROYAL",PR!$BC1137,IF(F1139="SAM",PR!$BD1137,IF(F1139="SEAGREEN",PR!$BE1137,IF(F1139="SKG",PR!$BF1137,IF(F1139="TAH",PR!$BG1137,IF(F1139="TAYLEK",PR!$BH1137,IF(F1139="TEMITA",PR!$BI1137,IF(F1139="THL",PR!$BJ1137,IF(F1139="UBASTIC",PR!$BK1137,IF(F1139="UNION",PR!$BL1137,IF(F1139="UNIQUE",PR!$BM1137,IF(F1139="VIXA",PR!$BN1137,IF(F1139="WWCV",PR!$BO1137,IF(F1139="ZOLON",PR!$BP1137,"-"))))))))))))))))))))))))))))))))))))))))))))))))))))))))))))))))</f>
        <v>3400</v>
      </c>
      <c r="F1139" s="102" t="str">
        <f>EV!L1458</f>
        <v>TEMITA</v>
      </c>
      <c r="G1139" s="108">
        <f>IF(H1139="ALPHA",PR!$E1137,IF(H1139="ASSENE",PR!$F1137,IF(H1139="BIOFEM",PR!$G1137,IF(H1139="BIOMED",PR!$H1137,IF(H1139="CHI",PR!$I1137,IF(H1139="CLARION",PR!$J1137,IF(H1139="CODIX",PR!$K1137,IF(H1139="COSMADE",PR!$L1137,IF(H1139="SANCON",PR!$M1137,IF(H1139="DEVON",PR!$N1137,IF(H1139="DORTEMAG",PR!$O1137,IF(H1139="DGF",PR!$P1137,IF(H1139="DYNAMIC",PR!$Q1137,IF(H1139="EMZOR",PR!$R1137,IF(H1139="EUMATT",PR!$S1137,IF(H1139="FIDSON",PR!$T1137,IF(H1139="FCGLOBAL",PR!$U1137,IF(H1139="GENEITH",PR!$V1137,IF(H1139="GINOS",PR!$W1137,IF(H1139="GSK",PR!$X1137,IF(H1139="GLOBORG",PR!$Y1137,IF(H1139="GOODNEWS",PR!$Z1137,IF(H1139="GREENLIFE",PR!$AA1137,IF(H1139="HLINE",PR!$AB1137,IF(H1139="ROTECH",PR!$AC1137,IF(H1139="ISN",PR!$AD1137,IF(H1139="JAWA",PR!$AE1137,IF(H1139="LAYO",PR!$AF1137,IF(H1139="LEADWAY",PR!$AG1137,IF(H1139="LHV",PR!$AH1137,IF(H1139="MANOLA",PR!$AI1137,IF(H1139="MARCSON",PR!$AJ1137,IF(H1139="M&amp;B",PR!$AK1137,IF(H1139="MTRUST",PR!$AL1137,IF(H1139="MWORLD",PR!$AM1137,IF(H1139="MEGA",PR!$AN1137,IF(H1139="MICRONOVA",PR!$AO1137,IF(H1139="MFLASH",PR!$AP1137,IF(H1139="MORISON",PR!$AQ1137,IF(H1139="NEMEL",PR!$AR1137,IF(H1139="NHP",PR!$AS1137,IF(H1139="NHC",PR!$AT1137,IF(H1139="OLEAF",PR!$AU1137,IF(H1139="OCULUS",PR!$AV1137,IF(H1139="PACIFIC",PR!$AW1137,IF(H1139="PHAMATEX",PR!$AX1137,IF(H1139="PETHICS",PR!$AY1137,IF(H1139="PHILIPS",PR!$AZ1137,IF(H1139="RANBAXY",PR!$BA1137,IF(H1139="REALS",PR!$BB1137,IF(H1139="ROYAL",PR!$BC1137,IF(H1139="SAM",PR!$BD1137,IF(H1139="SEAGREEN",PR!$BE1137,IF(H1139="SKG",PR!$BF1137,IF(H1139="TAH",PR!$BG1137,IF(H1139="TAYLEK",PR!$BH1137,IF(H1139="TEMITA",PR!$BI1137,IF(H1139="THL",PR!$BJ1137,IF(H1139="UBASTIC",PR!$BK1137,IF(H1139="UNION",PR!$BL1137,IF(H1139="UNIQUE",PR!$BM1137,IF(H1139="VIXA",PR!$BN1137,IF(H1139="WWCV",PR!$BO1137,IF(H1139="ZOLON",PR!$BP1137,"-"))))))))))))))))))))))))))))))))))))))))))))))))))))))))))))))))</f>
        <v>5000</v>
      </c>
      <c r="H1139" s="102" t="str">
        <f>EV!M1458</f>
        <v>COSMADE</v>
      </c>
      <c r="I1139" s="108">
        <f>IF(J1139="ALPHA",PR!$E1137,IF(J1139="ASSENE",PR!$F1137,IF(J1139="BIOFEM",PR!$G1137,IF(J1139="BIOMED",PR!$H1137,IF(J1139="CHI",PR!$I1137,IF(J1139="CLARION",PR!$J1137,IF(J1139="CODIX",PR!$K1137,IF(J1139="COSMADE",PR!$L1137,IF(J1139="SANCON",PR!$M1137,IF(J1139="DEVON",PR!$N1137,IF(J1139="DORTEMAG",PR!$O1137,IF(J1139="DGF",PR!$P1137,IF(J1139="DYNAMIC",PR!$Q1137,IF(J1139="EMZOR",PR!$R1137,IF(J1139="EUMATT",PR!$S1137,IF(J1139="FIDSON",PR!$T1137,IF(J1139="FCGLOBAL",PR!$U1137,IF(J1139="GENEITH",PR!$V1137,IF(J1139="GINOS",PR!$W1137,IF(J1139="GSK",PR!$X1137,IF(J1139="GLOBORG",PR!$Y1137,IF(J1139="GOODNEWS",PR!$Z1137,IF(J1139="GREENLIFE",PR!$AA1137,IF(J1139="HLINE",PR!$AB1137,IF(J1139="ROTECH",PR!$AC1137,IF(J1139="ISN",PR!$AD1137,IF(J1139="JAWA",PR!$AE1137,IF(J1139="LAYO",PR!$AF1137,IF(J1139="LEADWAY",PR!$AG1137,IF(J1139="LHV",PR!$AH1137,IF(J1139="MANOLA",PR!$AI1137,IF(J1139="MARCSON",PR!$AJ1137,IF(J1139="M&amp;B",PR!$AK1137,IF(J1139="MTRUST",PR!$AL1137,IF(J1139="MWORLD",PR!$AM1137,IF(J1139="MEGA",PR!$AN1137,IF(J1139="MICRONOVA",PR!$AO1137,IF(J1139="MFLASH",PR!$AP1137,IF(J1139="MORISON",PR!$AQ1137,IF(J1139="NEMEL",PR!$AR1137,IF(J1139="NHP",PR!$AS1137,IF(J1139="NHC",PR!$AT1137,IF(J1139="OLEAF",PR!$AU1137,IF(J1139="OCULUS",PR!$AV1137,IF(J1139="PACIFIC",PR!$AW1137,IF(J1139="PHAMATEX",PR!$AX1137,IF(J1139="PETHICS",PR!$AY1137,IF(J1139="PHILIPS",PR!$AZ1137,IF(J1139="RANBAXY",PR!$BA1137,IF(J1139="REALS",PR!$BB1137,IF(J1139="ROYAL",PR!$BC1137,IF(J1139="SAM",PR!$BD1137,IF(J1139="SEAGREEN",PR!$BE1137,IF(J1139="SKG",PR!$BF1137,IF(J1139="TAH",PR!$BG1137,IF(J1139="TAYLEK",PR!$BH1137,IF(J1139="TEMITA",PR!$BI1137,IF(J1139="THL",PR!$BJ1137,IF(J1139="UBASTIC",PR!$BK1137,IF(J1139="UNION",PR!$BL1137,IF(J1139="UNIQUE",PR!$BM1137,IF(J1139="VIXA",PR!$BN1137,IF(J1139="WWCV",PR!$BO1137,IF(J1139="ZOLON",PR!$BP1137,"-"))))))))))))))))))))))))))))))))))))))))))))))))))))))))))))))))</f>
        <v>6625</v>
      </c>
      <c r="J1139" s="102" t="str">
        <f>EV!N1458</f>
        <v>DYNAMIC</v>
      </c>
      <c r="K1139" s="433" t="s">
        <v>1463</v>
      </c>
      <c r="L1139" s="183">
        <f>IF(K1139&gt;0,IF(K1139="ALPHA",PR!$E1137,IF(K1139="ASSENE",PR!$F1137,IF(K1139="BIOFEM",PR!$G1137,IF(K1139="BIOMED",PR!$H1137,IF(K1139="CHI",PR!$I1137,IF(K1139="CLARION",PR!$J1137,IF(K1139="CODIX",PR!$K1137,IF(K1139="COSMADE",PR!$L1137,IF(K1139="SANCON",PR!$M1137,IF(K1139="DEVON",PR!$N1137,IF(K1139="DORTEMAG",PR!$O1137,IF(K1139="DGF",PR!$P1137,IF(K1139="DYNAMIC",PR!$Q1137,IF(K1139="EMZOR",PR!$R1137,IF(K1139="EUMATT",PR!$S1137,IF(K1139="FIDSON",PR!$T1137,IF(K1139="FCGLOBAL",PR!$U1137,IF(K1139="GENEITH",PR!$V1137,IF(K1139="GINOS",PR!$W1137,IF(K1139="GSK",PR!$X1137,IF(K1139="GLOBORG",PR!$Y1137,IF(K1139="GOODNEWS",PR!$Z1137,IF(K1139="GREENLIFE",PR!$AA1137,IF(K1139="HLINE",PR!$AB1137,IF(K1139="ROTECH",PR!$AC1137,IF(K1139="ISN",PR!$AD1137,IF(K1139="JAWA",PR!$AE1137,IF(K1139="LAYO",PR!$AF1137,IF(K1139="LEADWAY",PR!$AG1137,IF(K1139="LHV",PR!$AH1137,IF(K1139="MANOLA",PR!$AI1137,IF(K1139="MARCSON",PR!$AJ1137,IF(K1139="M&amp;B",PR!$AK1137,IF(K1139="MTRUST",PR!$AL1137,IF(K1139="MWORLD",PR!$AM1137,IF(K1139="MEGA",PR!$AN1137,IF(K1139="MICRONOVA",PR!$AO1137,IF(K1139="MFLASH",PR!$AP1137,IF(K1139="MORISON",PR!$AQ1137,IF(K1139="NEMEL",PR!$AR1137,IF(K1139="NHP",PR!$AS1137,IF(K1139="NHC",PR!$AT1137,IF(K1139="OLEAF",PR!$AU1137,IF(K1139="OCULUS",PR!$AV1137,IF(K1139="PACIFIC",PR!$AW1137,IF(K1139="PHAMATEX",PR!$AX1137,IF(K1139="PETHICS",PR!$AY1137,IF(K1139="PHILIPS",PR!$AZ1137,IF(K1139="RANBAXY",PR!$BA1137,IF(K1139="REALS",PR!$BB1137,IF(K1139="ROYAL",PR!$BC1137,IF(K1139="SAM",PR!$BD1137,IF(K1139="SEAGREEN",PR!$BE1137,IF(K1139="SKG",PR!$BF1137,IF(K1139="TAH",PR!$BG1137,IF(K1139="TAYLEK",PR!$BH1137,IF(K1139="TEMITA",PR!$BI1137,IF(K1139="THL",PR!$BJ1137,IF(K1139="UBASTIC",PR!$BK1137,IF(K1139="UNION",PR!$BL1137,IF(K1139="UNIQUE",PR!$BM1137,IF(K1139="VIXA",PR!$BN1137,IF(K1139="WWCV",PR!$BO1137,IF(K1139="ZOLON",PR!$BP1137,"-")))))))))))))))))))))))))))))))))))))))))))))))))))))))))))))))))</f>
        <v>3400</v>
      </c>
    </row>
    <row r="1140" spans="1:12" ht="18.75" x14ac:dyDescent="0.3">
      <c r="A1140" s="430">
        <f>PR!A1138</f>
        <v>1025</v>
      </c>
      <c r="B1140" s="15" t="str">
        <f>PR!B1138</f>
        <v>SODIUM POTASSIUM TARTRATE (BDH)</v>
      </c>
      <c r="C1140" s="113" t="str">
        <f>PR!D1138</f>
        <v>500g</v>
      </c>
      <c r="D1140" s="113">
        <f>PR!C1138</f>
        <v>20</v>
      </c>
      <c r="E1140" s="108">
        <f>IF(F1140="ALPHA",PR!$E1138,IF(F1140="ASSENE",PR!$F1138,IF(F1140="BIOFEM",PR!$G1138,IF(F1140="BIOMED",PR!$H1138,IF(F1140="CHI",PR!$I1138,IF(F1140="CLARION",PR!$J1138,IF(F1140="CODIX",PR!$K1138,IF(F1140="COSMADE",PR!$L1138,IF(F1140="SANCON",PR!$M1138,IF(F1140="DEVON",PR!$N1138,IF(F1140="DORTEMAG",PR!$O1138,IF(F1140="DGF",PR!$P1138,IF(F1140="DYNAMIC",PR!$Q1138,IF(F1140="EMZOR",PR!$R1138,IF(F1140="EUMATT",PR!$S1138,IF(F1140="FIDSON",PR!$T1138,IF(F1140="FCGLOBAL",PR!$U1138,IF(F1140="GENEITH",PR!$V1138,IF(F1140="GINOS",PR!$W1138,IF(F1140="GSK",PR!$X1138,IF(F1140="GLOBORG",PR!$Y1138,IF(F1140="GOODNEWS",PR!$Z1138,IF(F1140="GREENLIFE",PR!$AA1138,IF(F1140="HLINE",PR!$AB1138,IF(F1140="ROTECH",PR!$AC1138,IF(F1140="ISN",PR!$AD1138,IF(F1140="JAWA",PR!$AE1138,IF(F1140="LAYO",PR!$AF1138,IF(F1140="LEADWAY",PR!$AG1138,IF(F1140="LHV",PR!$AH1138,IF(F1140="MANOLA",PR!$AI1138,IF(F1140="MARCSON",PR!$AJ1138,IF(F1140="M&amp;B",PR!$AK1138,IF(F1140="MTRUST",PR!$AL1138,IF(F1140="MWORLD",PR!$AM1138,IF(F1140="MEGA",PR!$AN1138,IF(F1140="MICRONOVA",PR!$AO1138,IF(F1140="MFLASH",PR!$AP1138,IF(F1140="MORISON",PR!$AQ1138,IF(F1140="NEMEL",PR!$AR1138,IF(F1140="NHP",PR!$AS1138,IF(F1140="NHC",PR!$AT1138,IF(F1140="OLEAF",PR!$AU1138,IF(F1140="OCULUS",PR!$AV1138,IF(F1140="PACIFIC",PR!$AW1138,IF(F1140="PHAMATEX",PR!$AX1138,IF(F1140="PETHICS",PR!$AY1138,IF(F1140="PHILIPS",PR!$AZ1138,IF(F1140="RANBAXY",PR!$BA1138,IF(F1140="REALS",PR!$BB1138,IF(F1140="ROYAL",PR!$BC1138,IF(F1140="SAM",PR!$BD1138,IF(F1140="SEAGREEN",PR!$BE1138,IF(F1140="SKG",PR!$BF1138,IF(F1140="TAH",PR!$BG1138,IF(F1140="TAYLEK",PR!$BH1138,IF(F1140="TEMITA",PR!$BI1138,IF(F1140="THL",PR!$BJ1138,IF(F1140="UBASTIC",PR!$BK1138,IF(F1140="UNION",PR!$BL1138,IF(F1140="UNIQUE",PR!$BM1138,IF(F1140="VIXA",PR!$BN1138,IF(F1140="WWCV",PR!$BO1138,IF(F1140="ZOLON",PR!$BP1138,"-"))))))))))))))))))))))))))))))))))))))))))))))))))))))))))))))))</f>
        <v>3500</v>
      </c>
      <c r="F1140" s="102" t="str">
        <f>EV!L1459</f>
        <v>TEMITA</v>
      </c>
      <c r="G1140" s="108">
        <f>IF(H1140="ALPHA",PR!$E1138,IF(H1140="ASSENE",PR!$F1138,IF(H1140="BIOFEM",PR!$G1138,IF(H1140="BIOMED",PR!$H1138,IF(H1140="CHI",PR!$I1138,IF(H1140="CLARION",PR!$J1138,IF(H1140="CODIX",PR!$K1138,IF(H1140="COSMADE",PR!$L1138,IF(H1140="SANCON",PR!$M1138,IF(H1140="DEVON",PR!$N1138,IF(H1140="DORTEMAG",PR!$O1138,IF(H1140="DGF",PR!$P1138,IF(H1140="DYNAMIC",PR!$Q1138,IF(H1140="EMZOR",PR!$R1138,IF(H1140="EUMATT",PR!$S1138,IF(H1140="FIDSON",PR!$T1138,IF(H1140="FCGLOBAL",PR!$U1138,IF(H1140="GENEITH",PR!$V1138,IF(H1140="GINOS",PR!$W1138,IF(H1140="GSK",PR!$X1138,IF(H1140="GLOBORG",PR!$Y1138,IF(H1140="GOODNEWS",PR!$Z1138,IF(H1140="GREENLIFE",PR!$AA1138,IF(H1140="HLINE",PR!$AB1138,IF(H1140="ROTECH",PR!$AC1138,IF(H1140="ISN",PR!$AD1138,IF(H1140="JAWA",PR!$AE1138,IF(H1140="LAYO",PR!$AF1138,IF(H1140="LEADWAY",PR!$AG1138,IF(H1140="LHV",PR!$AH1138,IF(H1140="MANOLA",PR!$AI1138,IF(H1140="MARCSON",PR!$AJ1138,IF(H1140="M&amp;B",PR!$AK1138,IF(H1140="MTRUST",PR!$AL1138,IF(H1140="MWORLD",PR!$AM1138,IF(H1140="MEGA",PR!$AN1138,IF(H1140="MICRONOVA",PR!$AO1138,IF(H1140="MFLASH",PR!$AP1138,IF(H1140="MORISON",PR!$AQ1138,IF(H1140="NEMEL",PR!$AR1138,IF(H1140="NHP",PR!$AS1138,IF(H1140="NHC",PR!$AT1138,IF(H1140="OLEAF",PR!$AU1138,IF(H1140="OCULUS",PR!$AV1138,IF(H1140="PACIFIC",PR!$AW1138,IF(H1140="PHAMATEX",PR!$AX1138,IF(H1140="PETHICS",PR!$AY1138,IF(H1140="PHILIPS",PR!$AZ1138,IF(H1140="RANBAXY",PR!$BA1138,IF(H1140="REALS",PR!$BB1138,IF(H1140="ROYAL",PR!$BC1138,IF(H1140="SAM",PR!$BD1138,IF(H1140="SEAGREEN",PR!$BE1138,IF(H1140="SKG",PR!$BF1138,IF(H1140="TAH",PR!$BG1138,IF(H1140="TAYLEK",PR!$BH1138,IF(H1140="TEMITA",PR!$BI1138,IF(H1140="THL",PR!$BJ1138,IF(H1140="UBASTIC",PR!$BK1138,IF(H1140="UNION",PR!$BL1138,IF(H1140="UNIQUE",PR!$BM1138,IF(H1140="VIXA",PR!$BN1138,IF(H1140="WWCV",PR!$BO1138,IF(H1140="ZOLON",PR!$BP1138,"-"))))))))))))))))))))))))))))))))))))))))))))))))))))))))))))))))</f>
        <v>4499</v>
      </c>
      <c r="H1140" s="102" t="str">
        <f>EV!M1459</f>
        <v>DYNAMIC</v>
      </c>
      <c r="I1140" s="108">
        <f>IF(J1140="ALPHA",PR!$E1138,IF(J1140="ASSENE",PR!$F1138,IF(J1140="BIOFEM",PR!$G1138,IF(J1140="BIOMED",PR!$H1138,IF(J1140="CHI",PR!$I1138,IF(J1140="CLARION",PR!$J1138,IF(J1140="CODIX",PR!$K1138,IF(J1140="COSMADE",PR!$L1138,IF(J1140="SANCON",PR!$M1138,IF(J1140="DEVON",PR!$N1138,IF(J1140="DORTEMAG",PR!$O1138,IF(J1140="DGF",PR!$P1138,IF(J1140="DYNAMIC",PR!$Q1138,IF(J1140="EMZOR",PR!$R1138,IF(J1140="EUMATT",PR!$S1138,IF(J1140="FIDSON",PR!$T1138,IF(J1140="FCGLOBAL",PR!$U1138,IF(J1140="GENEITH",PR!$V1138,IF(J1140="GINOS",PR!$W1138,IF(J1140="GSK",PR!$X1138,IF(J1140="GLOBORG",PR!$Y1138,IF(J1140="GOODNEWS",PR!$Z1138,IF(J1140="GREENLIFE",PR!$AA1138,IF(J1140="HLINE",PR!$AB1138,IF(J1140="ROTECH",PR!$AC1138,IF(J1140="ISN",PR!$AD1138,IF(J1140="JAWA",PR!$AE1138,IF(J1140="LAYO",PR!$AF1138,IF(J1140="LEADWAY",PR!$AG1138,IF(J1140="LHV",PR!$AH1138,IF(J1140="MANOLA",PR!$AI1138,IF(J1140="MARCSON",PR!$AJ1138,IF(J1140="M&amp;B",PR!$AK1138,IF(J1140="MTRUST",PR!$AL1138,IF(J1140="MWORLD",PR!$AM1138,IF(J1140="MEGA",PR!$AN1138,IF(J1140="MICRONOVA",PR!$AO1138,IF(J1140="MFLASH",PR!$AP1138,IF(J1140="MORISON",PR!$AQ1138,IF(J1140="NEMEL",PR!$AR1138,IF(J1140="NHP",PR!$AS1138,IF(J1140="NHC",PR!$AT1138,IF(J1140="OLEAF",PR!$AU1138,IF(J1140="OCULUS",PR!$AV1138,IF(J1140="PACIFIC",PR!$AW1138,IF(J1140="PHAMATEX",PR!$AX1138,IF(J1140="PETHICS",PR!$AY1138,IF(J1140="PHILIPS",PR!$AZ1138,IF(J1140="RANBAXY",PR!$BA1138,IF(J1140="REALS",PR!$BB1138,IF(J1140="ROYAL",PR!$BC1138,IF(J1140="SAM",PR!$BD1138,IF(J1140="SEAGREEN",PR!$BE1138,IF(J1140="SKG",PR!$BF1138,IF(J1140="TAH",PR!$BG1138,IF(J1140="TAYLEK",PR!$BH1138,IF(J1140="TEMITA",PR!$BI1138,IF(J1140="THL",PR!$BJ1138,IF(J1140="UBASTIC",PR!$BK1138,IF(J1140="UNION",PR!$BL1138,IF(J1140="UNIQUE",PR!$BM1138,IF(J1140="VIXA",PR!$BN1138,IF(J1140="WWCV",PR!$BO1138,IF(J1140="ZOLON",PR!$BP1138,"-"))))))))))))))))))))))))))))))))))))))))))))))))))))))))))))))))</f>
        <v>7000</v>
      </c>
      <c r="J1140" s="102" t="str">
        <f>EV!N1459</f>
        <v>COSMADE</v>
      </c>
      <c r="K1140" s="433" t="s">
        <v>1463</v>
      </c>
      <c r="L1140" s="183">
        <f>IF(K1140&gt;0,IF(K1140="ALPHA",PR!$E1138,IF(K1140="ASSENE",PR!$F1138,IF(K1140="BIOFEM",PR!$G1138,IF(K1140="BIOMED",PR!$H1138,IF(K1140="CHI",PR!$I1138,IF(K1140="CLARION",PR!$J1138,IF(K1140="CODIX",PR!$K1138,IF(K1140="COSMADE",PR!$L1138,IF(K1140="SANCON",PR!$M1138,IF(K1140="DEVON",PR!$N1138,IF(K1140="DORTEMAG",PR!$O1138,IF(K1140="DGF",PR!$P1138,IF(K1140="DYNAMIC",PR!$Q1138,IF(K1140="EMZOR",PR!$R1138,IF(K1140="EUMATT",PR!$S1138,IF(K1140="FIDSON",PR!$T1138,IF(K1140="FCGLOBAL",PR!$U1138,IF(K1140="GENEITH",PR!$V1138,IF(K1140="GINOS",PR!$W1138,IF(K1140="GSK",PR!$X1138,IF(K1140="GLOBORG",PR!$Y1138,IF(K1140="GOODNEWS",PR!$Z1138,IF(K1140="GREENLIFE",PR!$AA1138,IF(K1140="HLINE",PR!$AB1138,IF(K1140="ROTECH",PR!$AC1138,IF(K1140="ISN",PR!$AD1138,IF(K1140="JAWA",PR!$AE1138,IF(K1140="LAYO",PR!$AF1138,IF(K1140="LEADWAY",PR!$AG1138,IF(K1140="LHV",PR!$AH1138,IF(K1140="MANOLA",PR!$AI1138,IF(K1140="MARCSON",PR!$AJ1138,IF(K1140="M&amp;B",PR!$AK1138,IF(K1140="MTRUST",PR!$AL1138,IF(K1140="MWORLD",PR!$AM1138,IF(K1140="MEGA",PR!$AN1138,IF(K1140="MICRONOVA",PR!$AO1138,IF(K1140="MFLASH",PR!$AP1138,IF(K1140="MORISON",PR!$AQ1138,IF(K1140="NEMEL",PR!$AR1138,IF(K1140="NHP",PR!$AS1138,IF(K1140="NHC",PR!$AT1138,IF(K1140="OLEAF",PR!$AU1138,IF(K1140="OCULUS",PR!$AV1138,IF(K1140="PACIFIC",PR!$AW1138,IF(K1140="PHAMATEX",PR!$AX1138,IF(K1140="PETHICS",PR!$AY1138,IF(K1140="PHILIPS",PR!$AZ1138,IF(K1140="RANBAXY",PR!$BA1138,IF(K1140="REALS",PR!$BB1138,IF(K1140="ROYAL",PR!$BC1138,IF(K1140="SAM",PR!$BD1138,IF(K1140="SEAGREEN",PR!$BE1138,IF(K1140="SKG",PR!$BF1138,IF(K1140="TAH",PR!$BG1138,IF(K1140="TAYLEK",PR!$BH1138,IF(K1140="TEMITA",PR!$BI1138,IF(K1140="THL",PR!$BJ1138,IF(K1140="UBASTIC",PR!$BK1138,IF(K1140="UNION",PR!$BL1138,IF(K1140="UNIQUE",PR!$BM1138,IF(K1140="VIXA",PR!$BN1138,IF(K1140="WWCV",PR!$BO1138,IF(K1140="ZOLON",PR!$BP1138,"-")))))))))))))))))))))))))))))))))))))))))))))))))))))))))))))))))</f>
        <v>3500</v>
      </c>
    </row>
    <row r="1141" spans="1:12" ht="18.75" x14ac:dyDescent="0.3">
      <c r="A1141" s="430">
        <f>PR!A1139</f>
        <v>1026</v>
      </c>
      <c r="B1141" s="15" t="str">
        <f>PR!B1139</f>
        <v>SODIUM HYDROXIDE (BDH)</v>
      </c>
      <c r="C1141" s="113" t="str">
        <f>PR!D1139</f>
        <v>500g</v>
      </c>
      <c r="D1141" s="113">
        <f>PR!C1139</f>
        <v>20</v>
      </c>
      <c r="E1141" s="108">
        <f>IF(F1141="ALPHA",PR!$E1139,IF(F1141="ASSENE",PR!$F1139,IF(F1141="BIOFEM",PR!$G1139,IF(F1141="BIOMED",PR!$H1139,IF(F1141="CHI",PR!$I1139,IF(F1141="CLARION",PR!$J1139,IF(F1141="CODIX",PR!$K1139,IF(F1141="COSMADE",PR!$L1139,IF(F1141="SANCON",PR!$M1139,IF(F1141="DEVON",PR!$N1139,IF(F1141="DORTEMAG",PR!$O1139,IF(F1141="DGF",PR!$P1139,IF(F1141="DYNAMIC",PR!$Q1139,IF(F1141="EMZOR",PR!$R1139,IF(F1141="EUMATT",PR!$S1139,IF(F1141="FIDSON",PR!$T1139,IF(F1141="FCGLOBAL",PR!$U1139,IF(F1141="GENEITH",PR!$V1139,IF(F1141="GINOS",PR!$W1139,IF(F1141="GSK",PR!$X1139,IF(F1141="GLOBORG",PR!$Y1139,IF(F1141="GOODNEWS",PR!$Z1139,IF(F1141="GREENLIFE",PR!$AA1139,IF(F1141="HLINE",PR!$AB1139,IF(F1141="ROTECH",PR!$AC1139,IF(F1141="ISN",PR!$AD1139,IF(F1141="JAWA",PR!$AE1139,IF(F1141="LAYO",PR!$AF1139,IF(F1141="LEADWAY",PR!$AG1139,IF(F1141="LHV",PR!$AH1139,IF(F1141="MANOLA",PR!$AI1139,IF(F1141="MARCSON",PR!$AJ1139,IF(F1141="M&amp;B",PR!$AK1139,IF(F1141="MTRUST",PR!$AL1139,IF(F1141="MWORLD",PR!$AM1139,IF(F1141="MEGA",PR!$AN1139,IF(F1141="MICRONOVA",PR!$AO1139,IF(F1141="MFLASH",PR!$AP1139,IF(F1141="MORISON",PR!$AQ1139,IF(F1141="NEMEL",PR!$AR1139,IF(F1141="NHP",PR!$AS1139,IF(F1141="NHC",PR!$AT1139,IF(F1141="OLEAF",PR!$AU1139,IF(F1141="OCULUS",PR!$AV1139,IF(F1141="PACIFIC",PR!$AW1139,IF(F1141="PHAMATEX",PR!$AX1139,IF(F1141="PETHICS",PR!$AY1139,IF(F1141="PHILIPS",PR!$AZ1139,IF(F1141="RANBAXY",PR!$BA1139,IF(F1141="REALS",PR!$BB1139,IF(F1141="ROYAL",PR!$BC1139,IF(F1141="SAM",PR!$BD1139,IF(F1141="SEAGREEN",PR!$BE1139,IF(F1141="SKG",PR!$BF1139,IF(F1141="TAH",PR!$BG1139,IF(F1141="TAYLEK",PR!$BH1139,IF(F1141="TEMITA",PR!$BI1139,IF(F1141="THL",PR!$BJ1139,IF(F1141="UBASTIC",PR!$BK1139,IF(F1141="UNION",PR!$BL1139,IF(F1141="UNIQUE",PR!$BM1139,IF(F1141="VIXA",PR!$BN1139,IF(F1141="WWCV",PR!$BO1139,IF(F1141="ZOLON",PR!$BP1139,"-"))))))))))))))))))))))))))))))))))))))))))))))))))))))))))))))))</f>
        <v>3400</v>
      </c>
      <c r="F1141" s="102" t="str">
        <f>EV!L1460</f>
        <v>TEMITA</v>
      </c>
      <c r="G1141" s="108">
        <f>IF(H1141="ALPHA",PR!$E1139,IF(H1141="ASSENE",PR!$F1139,IF(H1141="BIOFEM",PR!$G1139,IF(H1141="BIOMED",PR!$H1139,IF(H1141="CHI",PR!$I1139,IF(H1141="CLARION",PR!$J1139,IF(H1141="CODIX",PR!$K1139,IF(H1141="COSMADE",PR!$L1139,IF(H1141="SANCON",PR!$M1139,IF(H1141="DEVON",PR!$N1139,IF(H1141="DORTEMAG",PR!$O1139,IF(H1141="DGF",PR!$P1139,IF(H1141="DYNAMIC",PR!$Q1139,IF(H1141="EMZOR",PR!$R1139,IF(H1141="EUMATT",PR!$S1139,IF(H1141="FIDSON",PR!$T1139,IF(H1141="FCGLOBAL",PR!$U1139,IF(H1141="GENEITH",PR!$V1139,IF(H1141="GINOS",PR!$W1139,IF(H1141="GSK",PR!$X1139,IF(H1141="GLOBORG",PR!$Y1139,IF(H1141="GOODNEWS",PR!$Z1139,IF(H1141="GREENLIFE",PR!$AA1139,IF(H1141="HLINE",PR!$AB1139,IF(H1141="ROTECH",PR!$AC1139,IF(H1141="ISN",PR!$AD1139,IF(H1141="JAWA",PR!$AE1139,IF(H1141="LAYO",PR!$AF1139,IF(H1141="LEADWAY",PR!$AG1139,IF(H1141="LHV",PR!$AH1139,IF(H1141="MANOLA",PR!$AI1139,IF(H1141="MARCSON",PR!$AJ1139,IF(H1141="M&amp;B",PR!$AK1139,IF(H1141="MTRUST",PR!$AL1139,IF(H1141="MWORLD",PR!$AM1139,IF(H1141="MEGA",PR!$AN1139,IF(H1141="MICRONOVA",PR!$AO1139,IF(H1141="MFLASH",PR!$AP1139,IF(H1141="MORISON",PR!$AQ1139,IF(H1141="NEMEL",PR!$AR1139,IF(H1141="NHP",PR!$AS1139,IF(H1141="NHC",PR!$AT1139,IF(H1141="OLEAF",PR!$AU1139,IF(H1141="OCULUS",PR!$AV1139,IF(H1141="PACIFIC",PR!$AW1139,IF(H1141="PHAMATEX",PR!$AX1139,IF(H1141="PETHICS",PR!$AY1139,IF(H1141="PHILIPS",PR!$AZ1139,IF(H1141="RANBAXY",PR!$BA1139,IF(H1141="REALS",PR!$BB1139,IF(H1141="ROYAL",PR!$BC1139,IF(H1141="SAM",PR!$BD1139,IF(H1141="SEAGREEN",PR!$BE1139,IF(H1141="SKG",PR!$BF1139,IF(H1141="TAH",PR!$BG1139,IF(H1141="TAYLEK",PR!$BH1139,IF(H1141="TEMITA",PR!$BI1139,IF(H1141="THL",PR!$BJ1139,IF(H1141="UBASTIC",PR!$BK1139,IF(H1141="UNION",PR!$BL1139,IF(H1141="UNIQUE",PR!$BM1139,IF(H1141="VIXA",PR!$BN1139,IF(H1141="WWCV",PR!$BO1139,IF(H1141="ZOLON",PR!$BP1139,"-"))))))))))))))))))))))))))))))))))))))))))))))))))))))))))))))))</f>
        <v>4000</v>
      </c>
      <c r="H1141" s="102" t="str">
        <f>EV!M1460</f>
        <v>COSMADE</v>
      </c>
      <c r="I1141" s="108">
        <f>IF(J1141="ALPHA",PR!$E1139,IF(J1141="ASSENE",PR!$F1139,IF(J1141="BIOFEM",PR!$G1139,IF(J1141="BIOMED",PR!$H1139,IF(J1141="CHI",PR!$I1139,IF(J1141="CLARION",PR!$J1139,IF(J1141="CODIX",PR!$K1139,IF(J1141="COSMADE",PR!$L1139,IF(J1141="SANCON",PR!$M1139,IF(J1141="DEVON",PR!$N1139,IF(J1141="DORTEMAG",PR!$O1139,IF(J1141="DGF",PR!$P1139,IF(J1141="DYNAMIC",PR!$Q1139,IF(J1141="EMZOR",PR!$R1139,IF(J1141="EUMATT",PR!$S1139,IF(J1141="FIDSON",PR!$T1139,IF(J1141="FCGLOBAL",PR!$U1139,IF(J1141="GENEITH",PR!$V1139,IF(J1141="GINOS",PR!$W1139,IF(J1141="GSK",PR!$X1139,IF(J1141="GLOBORG",PR!$Y1139,IF(J1141="GOODNEWS",PR!$Z1139,IF(J1141="GREENLIFE",PR!$AA1139,IF(J1141="HLINE",PR!$AB1139,IF(J1141="ROTECH",PR!$AC1139,IF(J1141="ISN",PR!$AD1139,IF(J1141="JAWA",PR!$AE1139,IF(J1141="LAYO",PR!$AF1139,IF(J1141="LEADWAY",PR!$AG1139,IF(J1141="LHV",PR!$AH1139,IF(J1141="MANOLA",PR!$AI1139,IF(J1141="MARCSON",PR!$AJ1139,IF(J1141="M&amp;B",PR!$AK1139,IF(J1141="MTRUST",PR!$AL1139,IF(J1141="MWORLD",PR!$AM1139,IF(J1141="MEGA",PR!$AN1139,IF(J1141="MICRONOVA",PR!$AO1139,IF(J1141="MFLASH",PR!$AP1139,IF(J1141="MORISON",PR!$AQ1139,IF(J1141="NEMEL",PR!$AR1139,IF(J1141="NHP",PR!$AS1139,IF(J1141="NHC",PR!$AT1139,IF(J1141="OLEAF",PR!$AU1139,IF(J1141="OCULUS",PR!$AV1139,IF(J1141="PACIFIC",PR!$AW1139,IF(J1141="PHAMATEX",PR!$AX1139,IF(J1141="PETHICS",PR!$AY1139,IF(J1141="PHILIPS",PR!$AZ1139,IF(J1141="RANBAXY",PR!$BA1139,IF(J1141="REALS",PR!$BB1139,IF(J1141="ROYAL",PR!$BC1139,IF(J1141="SAM",PR!$BD1139,IF(J1141="SEAGREEN",PR!$BE1139,IF(J1141="SKG",PR!$BF1139,IF(J1141="TAH",PR!$BG1139,IF(J1141="TAYLEK",PR!$BH1139,IF(J1141="TEMITA",PR!$BI1139,IF(J1141="THL",PR!$BJ1139,IF(J1141="UBASTIC",PR!$BK1139,IF(J1141="UNION",PR!$BL1139,IF(J1141="UNIQUE",PR!$BM1139,IF(J1141="VIXA",PR!$BN1139,IF(J1141="WWCV",PR!$BO1139,IF(J1141="ZOLON",PR!$BP1139,"-"))))))))))))))))))))))))))))))))))))))))))))))))))))))))))))))))</f>
        <v>5000</v>
      </c>
      <c r="J1141" s="102" t="str">
        <f>EV!N1460</f>
        <v>DYNAMIC</v>
      </c>
      <c r="K1141" s="433" t="s">
        <v>1463</v>
      </c>
      <c r="L1141" s="183">
        <f>IF(K1141&gt;0,IF(K1141="ALPHA",PR!$E1139,IF(K1141="ASSENE",PR!$F1139,IF(K1141="BIOFEM",PR!$G1139,IF(K1141="BIOMED",PR!$H1139,IF(K1141="CHI",PR!$I1139,IF(K1141="CLARION",PR!$J1139,IF(K1141="CODIX",PR!$K1139,IF(K1141="COSMADE",PR!$L1139,IF(K1141="SANCON",PR!$M1139,IF(K1141="DEVON",PR!$N1139,IF(K1141="DORTEMAG",PR!$O1139,IF(K1141="DGF",PR!$P1139,IF(K1141="DYNAMIC",PR!$Q1139,IF(K1141="EMZOR",PR!$R1139,IF(K1141="EUMATT",PR!$S1139,IF(K1141="FIDSON",PR!$T1139,IF(K1141="FCGLOBAL",PR!$U1139,IF(K1141="GENEITH",PR!$V1139,IF(K1141="GINOS",PR!$W1139,IF(K1141="GSK",PR!$X1139,IF(K1141="GLOBORG",PR!$Y1139,IF(K1141="GOODNEWS",PR!$Z1139,IF(K1141="GREENLIFE",PR!$AA1139,IF(K1141="HLINE",PR!$AB1139,IF(K1141="ROTECH",PR!$AC1139,IF(K1141="ISN",PR!$AD1139,IF(K1141="JAWA",PR!$AE1139,IF(K1141="LAYO",PR!$AF1139,IF(K1141="LEADWAY",PR!$AG1139,IF(K1141="LHV",PR!$AH1139,IF(K1141="MANOLA",PR!$AI1139,IF(K1141="MARCSON",PR!$AJ1139,IF(K1141="M&amp;B",PR!$AK1139,IF(K1141="MTRUST",PR!$AL1139,IF(K1141="MWORLD",PR!$AM1139,IF(K1141="MEGA",PR!$AN1139,IF(K1141="MICRONOVA",PR!$AO1139,IF(K1141="MFLASH",PR!$AP1139,IF(K1141="MORISON",PR!$AQ1139,IF(K1141="NEMEL",PR!$AR1139,IF(K1141="NHP",PR!$AS1139,IF(K1141="NHC",PR!$AT1139,IF(K1141="OLEAF",PR!$AU1139,IF(K1141="OCULUS",PR!$AV1139,IF(K1141="PACIFIC",PR!$AW1139,IF(K1141="PHAMATEX",PR!$AX1139,IF(K1141="PETHICS",PR!$AY1139,IF(K1141="PHILIPS",PR!$AZ1139,IF(K1141="RANBAXY",PR!$BA1139,IF(K1141="REALS",PR!$BB1139,IF(K1141="ROYAL",PR!$BC1139,IF(K1141="SAM",PR!$BD1139,IF(K1141="SEAGREEN",PR!$BE1139,IF(K1141="SKG",PR!$BF1139,IF(K1141="TAH",PR!$BG1139,IF(K1141="TAYLEK",PR!$BH1139,IF(K1141="TEMITA",PR!$BI1139,IF(K1141="THL",PR!$BJ1139,IF(K1141="UBASTIC",PR!$BK1139,IF(K1141="UNION",PR!$BL1139,IF(K1141="UNIQUE",PR!$BM1139,IF(K1141="VIXA",PR!$BN1139,IF(K1141="WWCV",PR!$BO1139,IF(K1141="ZOLON",PR!$BP1139,"-")))))))))))))))))))))))))))))))))))))))))))))))))))))))))))))))))</f>
        <v>3400</v>
      </c>
    </row>
    <row r="1142" spans="1:12" ht="18.75" x14ac:dyDescent="0.3">
      <c r="A1142" s="430">
        <f>PR!A1140</f>
        <v>1027</v>
      </c>
      <c r="B1142" s="15" t="str">
        <f>PR!B1140</f>
        <v>LIQUID SOAP (ZENON)</v>
      </c>
      <c r="C1142" s="113" t="str">
        <f>PR!D1140</f>
        <v>500ml</v>
      </c>
      <c r="D1142" s="113">
        <f>PR!C1140</f>
        <v>80</v>
      </c>
      <c r="E1142" s="108">
        <f>IF(F1142="ALPHA",PR!$E1140,IF(F1142="ASSENE",PR!$F1140,IF(F1142="BIOFEM",PR!$G1140,IF(F1142="BIOMED",PR!$H1140,IF(F1142="CHI",PR!$I1140,IF(F1142="CLARION",PR!$J1140,IF(F1142="CODIX",PR!$K1140,IF(F1142="COSMADE",PR!$L1140,IF(F1142="SANCON",PR!$M1140,IF(F1142="DEVON",PR!$N1140,IF(F1142="DORTEMAG",PR!$O1140,IF(F1142="DGF",PR!$P1140,IF(F1142="DYNAMIC",PR!$Q1140,IF(F1142="EMZOR",PR!$R1140,IF(F1142="EUMATT",PR!$S1140,IF(F1142="FIDSON",PR!$T1140,IF(F1142="FCGLOBAL",PR!$U1140,IF(F1142="GENEITH",PR!$V1140,IF(F1142="GINOS",PR!$W1140,IF(F1142="GSK",PR!$X1140,IF(F1142="GLOBORG",PR!$Y1140,IF(F1142="GOODNEWS",PR!$Z1140,IF(F1142="GREENLIFE",PR!$AA1140,IF(F1142="HLINE",PR!$AB1140,IF(F1142="ROTECH",PR!$AC1140,IF(F1142="ISN",PR!$AD1140,IF(F1142="JAWA",PR!$AE1140,IF(F1142="LAYO",PR!$AF1140,IF(F1142="LEADWAY",PR!$AG1140,IF(F1142="LHV",PR!$AH1140,IF(F1142="MANOLA",PR!$AI1140,IF(F1142="MARCSON",PR!$AJ1140,IF(F1142="M&amp;B",PR!$AK1140,IF(F1142="MTRUST",PR!$AL1140,IF(F1142="MWORLD",PR!$AM1140,IF(F1142="MEGA",PR!$AN1140,IF(F1142="MICRONOVA",PR!$AO1140,IF(F1142="MFLASH",PR!$AP1140,IF(F1142="MORISON",PR!$AQ1140,IF(F1142="NEMEL",PR!$AR1140,IF(F1142="NHP",PR!$AS1140,IF(F1142="NHC",PR!$AT1140,IF(F1142="OLEAF",PR!$AU1140,IF(F1142="OCULUS",PR!$AV1140,IF(F1142="PACIFIC",PR!$AW1140,IF(F1142="PHAMATEX",PR!$AX1140,IF(F1142="PETHICS",PR!$AY1140,IF(F1142="PHILIPS",PR!$AZ1140,IF(F1142="RANBAXY",PR!$BA1140,IF(F1142="REALS",PR!$BB1140,IF(F1142="ROYAL",PR!$BC1140,IF(F1142="SAM",PR!$BD1140,IF(F1142="SEAGREEN",PR!$BE1140,IF(F1142="SKG",PR!$BF1140,IF(F1142="TAH",PR!$BG1140,IF(F1142="TAYLEK",PR!$BH1140,IF(F1142="TEMITA",PR!$BI1140,IF(F1142="THL",PR!$BJ1140,IF(F1142="UBASTIC",PR!$BK1140,IF(F1142="UNION",PR!$BL1140,IF(F1142="UNIQUE",PR!$BM1140,IF(F1142="VIXA",PR!$BN1140,IF(F1142="WWCV",PR!$BO1140,IF(F1142="ZOLON",PR!$BP1140,"-"))))))))))))))))))))))))))))))))))))))))))))))))))))))))))))))))</f>
        <v>350</v>
      </c>
      <c r="F1142" s="102" t="str">
        <f>EV!L1461</f>
        <v>TEMITA</v>
      </c>
      <c r="G1142" s="108">
        <f>IF(H1142="ALPHA",PR!$E1140,IF(H1142="ASSENE",PR!$F1140,IF(H1142="BIOFEM",PR!$G1140,IF(H1142="BIOMED",PR!$H1140,IF(H1142="CHI",PR!$I1140,IF(H1142="CLARION",PR!$J1140,IF(H1142="CODIX",PR!$K1140,IF(H1142="COSMADE",PR!$L1140,IF(H1142="SANCON",PR!$M1140,IF(H1142="DEVON",PR!$N1140,IF(H1142="DORTEMAG",PR!$O1140,IF(H1142="DGF",PR!$P1140,IF(H1142="DYNAMIC",PR!$Q1140,IF(H1142="EMZOR",PR!$R1140,IF(H1142="EUMATT",PR!$S1140,IF(H1142="FIDSON",PR!$T1140,IF(H1142="FCGLOBAL",PR!$U1140,IF(H1142="GENEITH",PR!$V1140,IF(H1142="GINOS",PR!$W1140,IF(H1142="GSK",PR!$X1140,IF(H1142="GLOBORG",PR!$Y1140,IF(H1142="GOODNEWS",PR!$Z1140,IF(H1142="GREENLIFE",PR!$AA1140,IF(H1142="HLINE",PR!$AB1140,IF(H1142="ROTECH",PR!$AC1140,IF(H1142="ISN",PR!$AD1140,IF(H1142="JAWA",PR!$AE1140,IF(H1142="LAYO",PR!$AF1140,IF(H1142="LEADWAY",PR!$AG1140,IF(H1142="LHV",PR!$AH1140,IF(H1142="MANOLA",PR!$AI1140,IF(H1142="MARCSON",PR!$AJ1140,IF(H1142="M&amp;B",PR!$AK1140,IF(H1142="MTRUST",PR!$AL1140,IF(H1142="MWORLD",PR!$AM1140,IF(H1142="MEGA",PR!$AN1140,IF(H1142="MICRONOVA",PR!$AO1140,IF(H1142="MFLASH",PR!$AP1140,IF(H1142="MORISON",PR!$AQ1140,IF(H1142="NEMEL",PR!$AR1140,IF(H1142="NHP",PR!$AS1140,IF(H1142="NHC",PR!$AT1140,IF(H1142="OLEAF",PR!$AU1140,IF(H1142="OCULUS",PR!$AV1140,IF(H1142="PACIFIC",PR!$AW1140,IF(H1142="PHAMATEX",PR!$AX1140,IF(H1142="PETHICS",PR!$AY1140,IF(H1142="PHILIPS",PR!$AZ1140,IF(H1142="RANBAXY",PR!$BA1140,IF(H1142="REALS",PR!$BB1140,IF(H1142="ROYAL",PR!$BC1140,IF(H1142="SAM",PR!$BD1140,IF(H1142="SEAGREEN",PR!$BE1140,IF(H1142="SKG",PR!$BF1140,IF(H1142="TAH",PR!$BG1140,IF(H1142="TAYLEK",PR!$BH1140,IF(H1142="TEMITA",PR!$BI1140,IF(H1142="THL",PR!$BJ1140,IF(H1142="UBASTIC",PR!$BK1140,IF(H1142="UNION",PR!$BL1140,IF(H1142="UNIQUE",PR!$BM1140,IF(H1142="VIXA",PR!$BN1140,IF(H1142="WWCV",PR!$BO1140,IF(H1142="ZOLON",PR!$BP1140,"-"))))))))))))))))))))))))))))))))))))))))))))))))))))))))))))))))</f>
        <v>375</v>
      </c>
      <c r="H1142" s="102" t="str">
        <f>EV!M1461</f>
        <v>DYNAMIC</v>
      </c>
      <c r="I1142" s="108">
        <f>IF(J1142="ALPHA",PR!$E1140,IF(J1142="ASSENE",PR!$F1140,IF(J1142="BIOFEM",PR!$G1140,IF(J1142="BIOMED",PR!$H1140,IF(J1142="CHI",PR!$I1140,IF(J1142="CLARION",PR!$J1140,IF(J1142="CODIX",PR!$K1140,IF(J1142="COSMADE",PR!$L1140,IF(J1142="SANCON",PR!$M1140,IF(J1142="DEVON",PR!$N1140,IF(J1142="DORTEMAG",PR!$O1140,IF(J1142="DGF",PR!$P1140,IF(J1142="DYNAMIC",PR!$Q1140,IF(J1142="EMZOR",PR!$R1140,IF(J1142="EUMATT",PR!$S1140,IF(J1142="FIDSON",PR!$T1140,IF(J1142="FCGLOBAL",PR!$U1140,IF(J1142="GENEITH",PR!$V1140,IF(J1142="GINOS",PR!$W1140,IF(J1142="GSK",PR!$X1140,IF(J1142="GLOBORG",PR!$Y1140,IF(J1142="GOODNEWS",PR!$Z1140,IF(J1142="GREENLIFE",PR!$AA1140,IF(J1142="HLINE",PR!$AB1140,IF(J1142="ROTECH",PR!$AC1140,IF(J1142="ISN",PR!$AD1140,IF(J1142="JAWA",PR!$AE1140,IF(J1142="LAYO",PR!$AF1140,IF(J1142="LEADWAY",PR!$AG1140,IF(J1142="LHV",PR!$AH1140,IF(J1142="MANOLA",PR!$AI1140,IF(J1142="MARCSON",PR!$AJ1140,IF(J1142="M&amp;B",PR!$AK1140,IF(J1142="MTRUST",PR!$AL1140,IF(J1142="MWORLD",PR!$AM1140,IF(J1142="MEGA",PR!$AN1140,IF(J1142="MICRONOVA",PR!$AO1140,IF(J1142="MFLASH",PR!$AP1140,IF(J1142="MORISON",PR!$AQ1140,IF(J1142="NEMEL",PR!$AR1140,IF(J1142="NHP",PR!$AS1140,IF(J1142="NHC",PR!$AT1140,IF(J1142="OLEAF",PR!$AU1140,IF(J1142="OCULUS",PR!$AV1140,IF(J1142="PACIFIC",PR!$AW1140,IF(J1142="PHAMATEX",PR!$AX1140,IF(J1142="PETHICS",PR!$AY1140,IF(J1142="PHILIPS",PR!$AZ1140,IF(J1142="RANBAXY",PR!$BA1140,IF(J1142="REALS",PR!$BB1140,IF(J1142="ROYAL",PR!$BC1140,IF(J1142="SAM",PR!$BD1140,IF(J1142="SEAGREEN",PR!$BE1140,IF(J1142="SKG",PR!$BF1140,IF(J1142="TAH",PR!$BG1140,IF(J1142="TAYLEK",PR!$BH1140,IF(J1142="TEMITA",PR!$BI1140,IF(J1142="THL",PR!$BJ1140,IF(J1142="UBASTIC",PR!$BK1140,IF(J1142="UNION",PR!$BL1140,IF(J1142="UNIQUE",PR!$BM1140,IF(J1142="VIXA",PR!$BN1140,IF(J1142="WWCV",PR!$BO1140,IF(J1142="ZOLON",PR!$BP1140,"-"))))))))))))))))))))))))))))))))))))))))))))))))))))))))))))))))</f>
        <v>520</v>
      </c>
      <c r="J1142" s="102" t="str">
        <f>EV!N1461</f>
        <v>LAYO</v>
      </c>
      <c r="K1142" s="433" t="s">
        <v>1463</v>
      </c>
      <c r="L1142" s="183">
        <f>IF(K1142&gt;0,IF(K1142="ALPHA",PR!$E1140,IF(K1142="ASSENE",PR!$F1140,IF(K1142="BIOFEM",PR!$G1140,IF(K1142="BIOMED",PR!$H1140,IF(K1142="CHI",PR!$I1140,IF(K1142="CLARION",PR!$J1140,IF(K1142="CODIX",PR!$K1140,IF(K1142="COSMADE",PR!$L1140,IF(K1142="SANCON",PR!$M1140,IF(K1142="DEVON",PR!$N1140,IF(K1142="DORTEMAG",PR!$O1140,IF(K1142="DGF",PR!$P1140,IF(K1142="DYNAMIC",PR!$Q1140,IF(K1142="EMZOR",PR!$R1140,IF(K1142="EUMATT",PR!$S1140,IF(K1142="FIDSON",PR!$T1140,IF(K1142="FCGLOBAL",PR!$U1140,IF(K1142="GENEITH",PR!$V1140,IF(K1142="GINOS",PR!$W1140,IF(K1142="GSK",PR!$X1140,IF(K1142="GLOBORG",PR!$Y1140,IF(K1142="GOODNEWS",PR!$Z1140,IF(K1142="GREENLIFE",PR!$AA1140,IF(K1142="HLINE",PR!$AB1140,IF(K1142="ROTECH",PR!$AC1140,IF(K1142="ISN",PR!$AD1140,IF(K1142="JAWA",PR!$AE1140,IF(K1142="LAYO",PR!$AF1140,IF(K1142="LEADWAY",PR!$AG1140,IF(K1142="LHV",PR!$AH1140,IF(K1142="MANOLA",PR!$AI1140,IF(K1142="MARCSON",PR!$AJ1140,IF(K1142="M&amp;B",PR!$AK1140,IF(K1142="MTRUST",PR!$AL1140,IF(K1142="MWORLD",PR!$AM1140,IF(K1142="MEGA",PR!$AN1140,IF(K1142="MICRONOVA",PR!$AO1140,IF(K1142="MFLASH",PR!$AP1140,IF(K1142="MORISON",PR!$AQ1140,IF(K1142="NEMEL",PR!$AR1140,IF(K1142="NHP",PR!$AS1140,IF(K1142="NHC",PR!$AT1140,IF(K1142="OLEAF",PR!$AU1140,IF(K1142="OCULUS",PR!$AV1140,IF(K1142="PACIFIC",PR!$AW1140,IF(K1142="PHAMATEX",PR!$AX1140,IF(K1142="PETHICS",PR!$AY1140,IF(K1142="PHILIPS",PR!$AZ1140,IF(K1142="RANBAXY",PR!$BA1140,IF(K1142="REALS",PR!$BB1140,IF(K1142="ROYAL",PR!$BC1140,IF(K1142="SAM",PR!$BD1140,IF(K1142="SEAGREEN",PR!$BE1140,IF(K1142="SKG",PR!$BF1140,IF(K1142="TAH",PR!$BG1140,IF(K1142="TAYLEK",PR!$BH1140,IF(K1142="TEMITA",PR!$BI1140,IF(K1142="THL",PR!$BJ1140,IF(K1142="UBASTIC",PR!$BK1140,IF(K1142="UNION",PR!$BL1140,IF(K1142="UNIQUE",PR!$BM1140,IF(K1142="VIXA",PR!$BN1140,IF(K1142="WWCV",PR!$BO1140,IF(K1142="ZOLON",PR!$BP1140,"-")))))))))))))))))))))))))))))))))))))))))))))))))))))))))))))))))</f>
        <v>350</v>
      </c>
    </row>
    <row r="1143" spans="1:12" ht="18.75" x14ac:dyDescent="0.3">
      <c r="A1143" s="430">
        <f>PR!A1141</f>
        <v>1028</v>
      </c>
      <c r="B1143" s="15" t="str">
        <f>PR!B1141</f>
        <v>HAND SANITIZER (STERLINK)</v>
      </c>
      <c r="C1143" s="113" t="str">
        <f>PR!D1141</f>
        <v>100ml</v>
      </c>
      <c r="D1143" s="113">
        <f>PR!C1141</f>
        <v>80</v>
      </c>
      <c r="E1143" s="108">
        <f>IF(F1143="ALPHA",PR!$E1141,IF(F1143="ASSENE",PR!$F1141,IF(F1143="BIOFEM",PR!$G1141,IF(F1143="BIOMED",PR!$H1141,IF(F1143="CHI",PR!$I1141,IF(F1143="CLARION",PR!$J1141,IF(F1143="CODIX",PR!$K1141,IF(F1143="COSMADE",PR!$L1141,IF(F1143="SANCON",PR!$M1141,IF(F1143="DEVON",PR!$N1141,IF(F1143="DORTEMAG",PR!$O1141,IF(F1143="DGF",PR!$P1141,IF(F1143="DYNAMIC",PR!$Q1141,IF(F1143="EMZOR",PR!$R1141,IF(F1143="EUMATT",PR!$S1141,IF(F1143="FIDSON",PR!$T1141,IF(F1143="FCGLOBAL",PR!$U1141,IF(F1143="GENEITH",PR!$V1141,IF(F1143="GINOS",PR!$W1141,IF(F1143="GSK",PR!$X1141,IF(F1143="GLOBORG",PR!$Y1141,IF(F1143="GOODNEWS",PR!$Z1141,IF(F1143="GREENLIFE",PR!$AA1141,IF(F1143="HLINE",PR!$AB1141,IF(F1143="ROTECH",PR!$AC1141,IF(F1143="ISN",PR!$AD1141,IF(F1143="JAWA",PR!$AE1141,IF(F1143="LAYO",PR!$AF1141,IF(F1143="LEADWAY",PR!$AG1141,IF(F1143="LHV",PR!$AH1141,IF(F1143="MANOLA",PR!$AI1141,IF(F1143="MARCSON",PR!$AJ1141,IF(F1143="M&amp;B",PR!$AK1141,IF(F1143="MTRUST",PR!$AL1141,IF(F1143="MWORLD",PR!$AM1141,IF(F1143="MEGA",PR!$AN1141,IF(F1143="MICRONOVA",PR!$AO1141,IF(F1143="MFLASH",PR!$AP1141,IF(F1143="MORISON",PR!$AQ1141,IF(F1143="NEMEL",PR!$AR1141,IF(F1143="NHP",PR!$AS1141,IF(F1143="NHC",PR!$AT1141,IF(F1143="OLEAF",PR!$AU1141,IF(F1143="OCULUS",PR!$AV1141,IF(F1143="PACIFIC",PR!$AW1141,IF(F1143="PHAMATEX",PR!$AX1141,IF(F1143="PETHICS",PR!$AY1141,IF(F1143="PHILIPS",PR!$AZ1141,IF(F1143="RANBAXY",PR!$BA1141,IF(F1143="REALS",PR!$BB1141,IF(F1143="ROYAL",PR!$BC1141,IF(F1143="SAM",PR!$BD1141,IF(F1143="SEAGREEN",PR!$BE1141,IF(F1143="SKG",PR!$BF1141,IF(F1143="TAH",PR!$BG1141,IF(F1143="TAYLEK",PR!$BH1141,IF(F1143="TEMITA",PR!$BI1141,IF(F1143="THL",PR!$BJ1141,IF(F1143="UBASTIC",PR!$BK1141,IF(F1143="UNION",PR!$BL1141,IF(F1143="UNIQUE",PR!$BM1141,IF(F1143="VIXA",PR!$BN1141,IF(F1143="WWCV",PR!$BO1141,IF(F1143="ZOLON",PR!$BP1141,"-"))))))))))))))))))))))))))))))))))))))))))))))))))))))))))))))))</f>
        <v>125</v>
      </c>
      <c r="F1143" s="102" t="str">
        <f>EV!L1462</f>
        <v>DYNAMIC</v>
      </c>
      <c r="G1143" s="108">
        <f>IF(H1143="ALPHA",PR!$E1141,IF(H1143="ASSENE",PR!$F1141,IF(H1143="BIOFEM",PR!$G1141,IF(H1143="BIOMED",PR!$H1141,IF(H1143="CHI",PR!$I1141,IF(H1143="CLARION",PR!$J1141,IF(H1143="CODIX",PR!$K1141,IF(H1143="COSMADE",PR!$L1141,IF(H1143="SANCON",PR!$M1141,IF(H1143="DEVON",PR!$N1141,IF(H1143="DORTEMAG",PR!$O1141,IF(H1143="DGF",PR!$P1141,IF(H1143="DYNAMIC",PR!$Q1141,IF(H1143="EMZOR",PR!$R1141,IF(H1143="EUMATT",PR!$S1141,IF(H1143="FIDSON",PR!$T1141,IF(H1143="FCGLOBAL",PR!$U1141,IF(H1143="GENEITH",PR!$V1141,IF(H1143="GINOS",PR!$W1141,IF(H1143="GSK",PR!$X1141,IF(H1143="GLOBORG",PR!$Y1141,IF(H1143="GOODNEWS",PR!$Z1141,IF(H1143="GREENLIFE",PR!$AA1141,IF(H1143="HLINE",PR!$AB1141,IF(H1143="ROTECH",PR!$AC1141,IF(H1143="ISN",PR!$AD1141,IF(H1143="JAWA",PR!$AE1141,IF(H1143="LAYO",PR!$AF1141,IF(H1143="LEADWAY",PR!$AG1141,IF(H1143="LHV",PR!$AH1141,IF(H1143="MANOLA",PR!$AI1141,IF(H1143="MARCSON",PR!$AJ1141,IF(H1143="M&amp;B",PR!$AK1141,IF(H1143="MTRUST",PR!$AL1141,IF(H1143="MWORLD",PR!$AM1141,IF(H1143="MEGA",PR!$AN1141,IF(H1143="MICRONOVA",PR!$AO1141,IF(H1143="MFLASH",PR!$AP1141,IF(H1143="MORISON",PR!$AQ1141,IF(H1143="NEMEL",PR!$AR1141,IF(H1143="NHP",PR!$AS1141,IF(H1143="NHC",PR!$AT1141,IF(H1143="OLEAF",PR!$AU1141,IF(H1143="OCULUS",PR!$AV1141,IF(H1143="PACIFIC",PR!$AW1141,IF(H1143="PHAMATEX",PR!$AX1141,IF(H1143="PETHICS",PR!$AY1141,IF(H1143="PHILIPS",PR!$AZ1141,IF(H1143="RANBAXY",PR!$BA1141,IF(H1143="REALS",PR!$BB1141,IF(H1143="ROYAL",PR!$BC1141,IF(H1143="SAM",PR!$BD1141,IF(H1143="SEAGREEN",PR!$BE1141,IF(H1143="SKG",PR!$BF1141,IF(H1143="TAH",PR!$BG1141,IF(H1143="TAYLEK",PR!$BH1141,IF(H1143="TEMITA",PR!$BI1141,IF(H1143="THL",PR!$BJ1141,IF(H1143="UBASTIC",PR!$BK1141,IF(H1143="UNION",PR!$BL1141,IF(H1143="UNIQUE",PR!$BM1141,IF(H1143="VIXA",PR!$BN1141,IF(H1143="WWCV",PR!$BO1141,IF(H1143="ZOLON",PR!$BP1141,"-"))))))))))))))))))))))))))))))))))))))))))))))))))))))))))))))))</f>
        <v>450</v>
      </c>
      <c r="H1143" s="102" t="str">
        <f>EV!M1462</f>
        <v>ROTECH</v>
      </c>
      <c r="I1143" s="108">
        <f>IF(J1143="ALPHA",PR!$E1141,IF(J1143="ASSENE",PR!$F1141,IF(J1143="BIOFEM",PR!$G1141,IF(J1143="BIOMED",PR!$H1141,IF(J1143="CHI",PR!$I1141,IF(J1143="CLARION",PR!$J1141,IF(J1143="CODIX",PR!$K1141,IF(J1143="COSMADE",PR!$L1141,IF(J1143="SANCON",PR!$M1141,IF(J1143="DEVON",PR!$N1141,IF(J1143="DORTEMAG",PR!$O1141,IF(J1143="DGF",PR!$P1141,IF(J1143="DYNAMIC",PR!$Q1141,IF(J1143="EMZOR",PR!$R1141,IF(J1143="EUMATT",PR!$S1141,IF(J1143="FIDSON",PR!$T1141,IF(J1143="FCGLOBAL",PR!$U1141,IF(J1143="GENEITH",PR!$V1141,IF(J1143="GINOS",PR!$W1141,IF(J1143="GSK",PR!$X1141,IF(J1143="GLOBORG",PR!$Y1141,IF(J1143="GOODNEWS",PR!$Z1141,IF(J1143="GREENLIFE",PR!$AA1141,IF(J1143="HLINE",PR!$AB1141,IF(J1143="ROTECH",PR!$AC1141,IF(J1143="ISN",PR!$AD1141,IF(J1143="JAWA",PR!$AE1141,IF(J1143="LAYO",PR!$AF1141,IF(J1143="LEADWAY",PR!$AG1141,IF(J1143="LHV",PR!$AH1141,IF(J1143="MANOLA",PR!$AI1141,IF(J1143="MARCSON",PR!$AJ1141,IF(J1143="M&amp;B",PR!$AK1141,IF(J1143="MTRUST",PR!$AL1141,IF(J1143="MWORLD",PR!$AM1141,IF(J1143="MEGA",PR!$AN1141,IF(J1143="MICRONOVA",PR!$AO1141,IF(J1143="MFLASH",PR!$AP1141,IF(J1143="MORISON",PR!$AQ1141,IF(J1143="NEMEL",PR!$AR1141,IF(J1143="NHP",PR!$AS1141,IF(J1143="NHC",PR!$AT1141,IF(J1143="OLEAF",PR!$AU1141,IF(J1143="OCULUS",PR!$AV1141,IF(J1143="PACIFIC",PR!$AW1141,IF(J1143="PHAMATEX",PR!$AX1141,IF(J1143="PETHICS",PR!$AY1141,IF(J1143="PHILIPS",PR!$AZ1141,IF(J1143="RANBAXY",PR!$BA1141,IF(J1143="REALS",PR!$BB1141,IF(J1143="ROYAL",PR!$BC1141,IF(J1143="SAM",PR!$BD1141,IF(J1143="SEAGREEN",PR!$BE1141,IF(J1143="SKG",PR!$BF1141,IF(J1143="TAH",PR!$BG1141,IF(J1143="TAYLEK",PR!$BH1141,IF(J1143="TEMITA",PR!$BI1141,IF(J1143="THL",PR!$BJ1141,IF(J1143="UBASTIC",PR!$BK1141,IF(J1143="UNION",PR!$BL1141,IF(J1143="UNIQUE",PR!$BM1141,IF(J1143="VIXA",PR!$BN1141,IF(J1143="WWCV",PR!$BO1141,IF(J1143="ZOLON",PR!$BP1141,"-"))))))))))))))))))))))))))))))))))))))))))))))))))))))))))))))))</f>
        <v>455</v>
      </c>
      <c r="J1143" s="102" t="str">
        <f>EV!N1462</f>
        <v>LAYO</v>
      </c>
      <c r="K1143" s="433" t="s">
        <v>626</v>
      </c>
      <c r="L1143" s="183">
        <f>IF(K1143&gt;0,IF(K1143="ALPHA",PR!$E1141,IF(K1143="ASSENE",PR!$F1141,IF(K1143="BIOFEM",PR!$G1141,IF(K1143="BIOMED",PR!$H1141,IF(K1143="CHI",PR!$I1141,IF(K1143="CLARION",PR!$J1141,IF(K1143="CODIX",PR!$K1141,IF(K1143="COSMADE",PR!$L1141,IF(K1143="SANCON",PR!$M1141,IF(K1143="DEVON",PR!$N1141,IF(K1143="DORTEMAG",PR!$O1141,IF(K1143="DGF",PR!$P1141,IF(K1143="DYNAMIC",PR!$Q1141,IF(K1143="EMZOR",PR!$R1141,IF(K1143="EUMATT",PR!$S1141,IF(K1143="FIDSON",PR!$T1141,IF(K1143="FCGLOBAL",PR!$U1141,IF(K1143="GENEITH",PR!$V1141,IF(K1143="GINOS",PR!$W1141,IF(K1143="GSK",PR!$X1141,IF(K1143="GLOBORG",PR!$Y1141,IF(K1143="GOODNEWS",PR!$Z1141,IF(K1143="GREENLIFE",PR!$AA1141,IF(K1143="HLINE",PR!$AB1141,IF(K1143="ROTECH",PR!$AC1141,IF(K1143="ISN",PR!$AD1141,IF(K1143="JAWA",PR!$AE1141,IF(K1143="LAYO",PR!$AF1141,IF(K1143="LEADWAY",PR!$AG1141,IF(K1143="LHV",PR!$AH1141,IF(K1143="MANOLA",PR!$AI1141,IF(K1143="MARCSON",PR!$AJ1141,IF(K1143="M&amp;B",PR!$AK1141,IF(K1143="MTRUST",PR!$AL1141,IF(K1143="MWORLD",PR!$AM1141,IF(K1143="MEGA",PR!$AN1141,IF(K1143="MICRONOVA",PR!$AO1141,IF(K1143="MFLASH",PR!$AP1141,IF(K1143="MORISON",PR!$AQ1141,IF(K1143="NEMEL",PR!$AR1141,IF(K1143="NHP",PR!$AS1141,IF(K1143="NHC",PR!$AT1141,IF(K1143="OLEAF",PR!$AU1141,IF(K1143="OCULUS",PR!$AV1141,IF(K1143="PACIFIC",PR!$AW1141,IF(K1143="PHAMATEX",PR!$AX1141,IF(K1143="PETHICS",PR!$AY1141,IF(K1143="PHILIPS",PR!$AZ1141,IF(K1143="RANBAXY",PR!$BA1141,IF(K1143="REALS",PR!$BB1141,IF(K1143="ROYAL",PR!$BC1141,IF(K1143="SAM",PR!$BD1141,IF(K1143="SEAGREEN",PR!$BE1141,IF(K1143="SKG",PR!$BF1141,IF(K1143="TAH",PR!$BG1141,IF(K1143="TAYLEK",PR!$BH1141,IF(K1143="TEMITA",PR!$BI1141,IF(K1143="THL",PR!$BJ1141,IF(K1143="UBASTIC",PR!$BK1141,IF(K1143="UNION",PR!$BL1141,IF(K1143="UNIQUE",PR!$BM1141,IF(K1143="VIXA",PR!$BN1141,IF(K1143="WWCV",PR!$BO1141,IF(K1143="ZOLON",PR!$BP1141,"-")))))))))))))))))))))))))))))))))))))))))))))))))))))))))))))))))</f>
        <v>125</v>
      </c>
    </row>
    <row r="1144" spans="1:12" ht="18.75" x14ac:dyDescent="0.3">
      <c r="A1144" s="430">
        <f>PR!A1142</f>
        <v>1029</v>
      </c>
      <c r="B1144" s="15" t="str">
        <f>PR!B1142</f>
        <v>THYROID STIMULATING HORMONE (ELISA KIT) (MONOBIND)</v>
      </c>
      <c r="C1144" s="113" t="str">
        <f>PR!D1142</f>
        <v>96 wells</v>
      </c>
      <c r="D1144" s="113">
        <f>PR!C1142</f>
        <v>8</v>
      </c>
      <c r="E1144" s="108">
        <f>IF(F1144="ALPHA",PR!$E1142,IF(F1144="ASSENE",PR!$F1142,IF(F1144="BIOFEM",PR!$G1142,IF(F1144="BIOMED",PR!$H1142,IF(F1144="CHI",PR!$I1142,IF(F1144="CLARION",PR!$J1142,IF(F1144="CODIX",PR!$K1142,IF(F1144="COSMADE",PR!$L1142,IF(F1144="SANCON",PR!$M1142,IF(F1144="DEVON",PR!$N1142,IF(F1144="DORTEMAG",PR!$O1142,IF(F1144="DGF",PR!$P1142,IF(F1144="DYNAMIC",PR!$Q1142,IF(F1144="EMZOR",PR!$R1142,IF(F1144="EUMATT",PR!$S1142,IF(F1144="FIDSON",PR!$T1142,IF(F1144="FCGLOBAL",PR!$U1142,IF(F1144="GENEITH",PR!$V1142,IF(F1144="GINOS",PR!$W1142,IF(F1144="GSK",PR!$X1142,IF(F1144="GLOBORG",PR!$Y1142,IF(F1144="GOODNEWS",PR!$Z1142,IF(F1144="GREENLIFE",PR!$AA1142,IF(F1144="HLINE",PR!$AB1142,IF(F1144="ROTECH",PR!$AC1142,IF(F1144="ISN",PR!$AD1142,IF(F1144="JAWA",PR!$AE1142,IF(F1144="LAYO",PR!$AF1142,IF(F1144="LEADWAY",PR!$AG1142,IF(F1144="LHV",PR!$AH1142,IF(F1144="MANOLA",PR!$AI1142,IF(F1144="MARCSON",PR!$AJ1142,IF(F1144="M&amp;B",PR!$AK1142,IF(F1144="MTRUST",PR!$AL1142,IF(F1144="MWORLD",PR!$AM1142,IF(F1144="MEGA",PR!$AN1142,IF(F1144="MICRONOVA",PR!$AO1142,IF(F1144="MFLASH",PR!$AP1142,IF(F1144="MORISON",PR!$AQ1142,IF(F1144="NEMEL",PR!$AR1142,IF(F1144="NHP",PR!$AS1142,IF(F1144="NHC",PR!$AT1142,IF(F1144="OLEAF",PR!$AU1142,IF(F1144="OCULUS",PR!$AV1142,IF(F1144="PACIFIC",PR!$AW1142,IF(F1144="PHAMATEX",PR!$AX1142,IF(F1144="PETHICS",PR!$AY1142,IF(F1144="PHILIPS",PR!$AZ1142,IF(F1144="RANBAXY",PR!$BA1142,IF(F1144="REALS",PR!$BB1142,IF(F1144="ROYAL",PR!$BC1142,IF(F1144="SAM",PR!$BD1142,IF(F1144="SEAGREEN",PR!$BE1142,IF(F1144="SKG",PR!$BF1142,IF(F1144="TAH",PR!$BG1142,IF(F1144="TAYLEK",PR!$BH1142,IF(F1144="TEMITA",PR!$BI1142,IF(F1144="THL",PR!$BJ1142,IF(F1144="UBASTIC",PR!$BK1142,IF(F1144="UNION",PR!$BL1142,IF(F1144="UNIQUE",PR!$BM1142,IF(F1144="VIXA",PR!$BN1142,IF(F1144="WWCV",PR!$BO1142,IF(F1144="ZOLON",PR!$BP1142,"-"))))))))))))))))))))))))))))))))))))))))))))))))))))))))))))))))</f>
        <v>33000</v>
      </c>
      <c r="F1144" s="102" t="str">
        <f>EV!L1463</f>
        <v>LHV</v>
      </c>
      <c r="G1144" s="108">
        <f>IF(H1144="ALPHA",PR!$E1142,IF(H1144="ASSENE",PR!$F1142,IF(H1144="BIOFEM",PR!$G1142,IF(H1144="BIOMED",PR!$H1142,IF(H1144="CHI",PR!$I1142,IF(H1144="CLARION",PR!$J1142,IF(H1144="CODIX",PR!$K1142,IF(H1144="COSMADE",PR!$L1142,IF(H1144="SANCON",PR!$M1142,IF(H1144="DEVON",PR!$N1142,IF(H1144="DORTEMAG",PR!$O1142,IF(H1144="DGF",PR!$P1142,IF(H1144="DYNAMIC",PR!$Q1142,IF(H1144="EMZOR",PR!$R1142,IF(H1144="EUMATT",PR!$S1142,IF(H1144="FIDSON",PR!$T1142,IF(H1144="FCGLOBAL",PR!$U1142,IF(H1144="GENEITH",PR!$V1142,IF(H1144="GINOS",PR!$W1142,IF(H1144="GSK",PR!$X1142,IF(H1144="GLOBORG",PR!$Y1142,IF(H1144="GOODNEWS",PR!$Z1142,IF(H1144="GREENLIFE",PR!$AA1142,IF(H1144="HLINE",PR!$AB1142,IF(H1144="ROTECH",PR!$AC1142,IF(H1144="ISN",PR!$AD1142,IF(H1144="JAWA",PR!$AE1142,IF(H1144="LAYO",PR!$AF1142,IF(H1144="LEADWAY",PR!$AG1142,IF(H1144="LHV",PR!$AH1142,IF(H1144="MANOLA",PR!$AI1142,IF(H1144="MARCSON",PR!$AJ1142,IF(H1144="M&amp;B",PR!$AK1142,IF(H1144="MTRUST",PR!$AL1142,IF(H1144="MWORLD",PR!$AM1142,IF(H1144="MEGA",PR!$AN1142,IF(H1144="MICRONOVA",PR!$AO1142,IF(H1144="MFLASH",PR!$AP1142,IF(H1144="MORISON",PR!$AQ1142,IF(H1144="NEMEL",PR!$AR1142,IF(H1144="NHP",PR!$AS1142,IF(H1144="NHC",PR!$AT1142,IF(H1144="OLEAF",PR!$AU1142,IF(H1144="OCULUS",PR!$AV1142,IF(H1144="PACIFIC",PR!$AW1142,IF(H1144="PHAMATEX",PR!$AX1142,IF(H1144="PETHICS",PR!$AY1142,IF(H1144="PHILIPS",PR!$AZ1142,IF(H1144="RANBAXY",PR!$BA1142,IF(H1144="REALS",PR!$BB1142,IF(H1144="ROYAL",PR!$BC1142,IF(H1144="SAM",PR!$BD1142,IF(H1144="SEAGREEN",PR!$BE1142,IF(H1144="SKG",PR!$BF1142,IF(H1144="TAH",PR!$BG1142,IF(H1144="TAYLEK",PR!$BH1142,IF(H1144="TEMITA",PR!$BI1142,IF(H1144="THL",PR!$BJ1142,IF(H1144="UBASTIC",PR!$BK1142,IF(H1144="UNION",PR!$BL1142,IF(H1144="UNIQUE",PR!$BM1142,IF(H1144="VIXA",PR!$BN1142,IF(H1144="WWCV",PR!$BO1142,IF(H1144="ZOLON",PR!$BP1142,"-"))))))))))))))))))))))))))))))))))))))))))))))))))))))))))))))))</f>
        <v>35000</v>
      </c>
      <c r="H1144" s="102" t="str">
        <f>EV!M1463</f>
        <v>LAYO</v>
      </c>
      <c r="I1144" s="108">
        <f>IF(J1144="ALPHA",PR!$E1142,IF(J1144="ASSENE",PR!$F1142,IF(J1144="BIOFEM",PR!$G1142,IF(J1144="BIOMED",PR!$H1142,IF(J1144="CHI",PR!$I1142,IF(J1144="CLARION",PR!$J1142,IF(J1144="CODIX",PR!$K1142,IF(J1144="COSMADE",PR!$L1142,IF(J1144="SANCON",PR!$M1142,IF(J1144="DEVON",PR!$N1142,IF(J1144="DORTEMAG",PR!$O1142,IF(J1144="DGF",PR!$P1142,IF(J1144="DYNAMIC",PR!$Q1142,IF(J1144="EMZOR",PR!$R1142,IF(J1144="EUMATT",PR!$S1142,IF(J1144="FIDSON",PR!$T1142,IF(J1144="FCGLOBAL",PR!$U1142,IF(J1144="GENEITH",PR!$V1142,IF(J1144="GINOS",PR!$W1142,IF(J1144="GSK",PR!$X1142,IF(J1144="GLOBORG",PR!$Y1142,IF(J1144="GOODNEWS",PR!$Z1142,IF(J1144="GREENLIFE",PR!$AA1142,IF(J1144="HLINE",PR!$AB1142,IF(J1144="ROTECH",PR!$AC1142,IF(J1144="ISN",PR!$AD1142,IF(J1144="JAWA",PR!$AE1142,IF(J1144="LAYO",PR!$AF1142,IF(J1144="LEADWAY",PR!$AG1142,IF(J1144="LHV",PR!$AH1142,IF(J1144="MANOLA",PR!$AI1142,IF(J1144="MARCSON",PR!$AJ1142,IF(J1144="M&amp;B",PR!$AK1142,IF(J1144="MTRUST",PR!$AL1142,IF(J1144="MWORLD",PR!$AM1142,IF(J1144="MEGA",PR!$AN1142,IF(J1144="MICRONOVA",PR!$AO1142,IF(J1144="MFLASH",PR!$AP1142,IF(J1144="MORISON",PR!$AQ1142,IF(J1144="NEMEL",PR!$AR1142,IF(J1144="NHP",PR!$AS1142,IF(J1144="NHC",PR!$AT1142,IF(J1144="OLEAF",PR!$AU1142,IF(J1144="OCULUS",PR!$AV1142,IF(J1144="PACIFIC",PR!$AW1142,IF(J1144="PHAMATEX",PR!$AX1142,IF(J1144="PETHICS",PR!$AY1142,IF(J1144="PHILIPS",PR!$AZ1142,IF(J1144="RANBAXY",PR!$BA1142,IF(J1144="REALS",PR!$BB1142,IF(J1144="ROYAL",PR!$BC1142,IF(J1144="SAM",PR!$BD1142,IF(J1144="SEAGREEN",PR!$BE1142,IF(J1144="SKG",PR!$BF1142,IF(J1144="TAH",PR!$BG1142,IF(J1144="TAYLEK",PR!$BH1142,IF(J1144="TEMITA",PR!$BI1142,IF(J1144="THL",PR!$BJ1142,IF(J1144="UBASTIC",PR!$BK1142,IF(J1144="UNION",PR!$BL1142,IF(J1144="UNIQUE",PR!$BM1142,IF(J1144="VIXA",PR!$BN1142,IF(J1144="WWCV",PR!$BO1142,IF(J1144="ZOLON",PR!$BP1142,"-"))))))))))))))))))))))))))))))))))))))))))))))))))))))))))))))))</f>
        <v>40000</v>
      </c>
      <c r="J1144" s="102" t="str">
        <f>EV!N1463</f>
        <v>COSMADE</v>
      </c>
      <c r="K1144" s="433" t="s">
        <v>1468</v>
      </c>
      <c r="L1144" s="183">
        <f>IF(K1144&gt;0,IF(K1144="ALPHA",PR!$E1142,IF(K1144="ASSENE",PR!$F1142,IF(K1144="BIOFEM",PR!$G1142,IF(K1144="BIOMED",PR!$H1142,IF(K1144="CHI",PR!$I1142,IF(K1144="CLARION",PR!$J1142,IF(K1144="CODIX",PR!$K1142,IF(K1144="COSMADE",PR!$L1142,IF(K1144="SANCON",PR!$M1142,IF(K1144="DEVON",PR!$N1142,IF(K1144="DORTEMAG",PR!$O1142,IF(K1144="DGF",PR!$P1142,IF(K1144="DYNAMIC",PR!$Q1142,IF(K1144="EMZOR",PR!$R1142,IF(K1144="EUMATT",PR!$S1142,IF(K1144="FIDSON",PR!$T1142,IF(K1144="FCGLOBAL",PR!$U1142,IF(K1144="GENEITH",PR!$V1142,IF(K1144="GINOS",PR!$W1142,IF(K1144="GSK",PR!$X1142,IF(K1144="GLOBORG",PR!$Y1142,IF(K1144="GOODNEWS",PR!$Z1142,IF(K1144="GREENLIFE",PR!$AA1142,IF(K1144="HLINE",PR!$AB1142,IF(K1144="ROTECH",PR!$AC1142,IF(K1144="ISN",PR!$AD1142,IF(K1144="JAWA",PR!$AE1142,IF(K1144="LAYO",PR!$AF1142,IF(K1144="LEADWAY",PR!$AG1142,IF(K1144="LHV",PR!$AH1142,IF(K1144="MANOLA",PR!$AI1142,IF(K1144="MARCSON",PR!$AJ1142,IF(K1144="M&amp;B",PR!$AK1142,IF(K1144="MTRUST",PR!$AL1142,IF(K1144="MWORLD",PR!$AM1142,IF(K1144="MEGA",PR!$AN1142,IF(K1144="MICRONOVA",PR!$AO1142,IF(K1144="MFLASH",PR!$AP1142,IF(K1144="MORISON",PR!$AQ1142,IF(K1144="NEMEL",PR!$AR1142,IF(K1144="NHP",PR!$AS1142,IF(K1144="NHC",PR!$AT1142,IF(K1144="OLEAF",PR!$AU1142,IF(K1144="OCULUS",PR!$AV1142,IF(K1144="PACIFIC",PR!$AW1142,IF(K1144="PHAMATEX",PR!$AX1142,IF(K1144="PETHICS",PR!$AY1142,IF(K1144="PHILIPS",PR!$AZ1142,IF(K1144="RANBAXY",PR!$BA1142,IF(K1144="REALS",PR!$BB1142,IF(K1144="ROYAL",PR!$BC1142,IF(K1144="SAM",PR!$BD1142,IF(K1144="SEAGREEN",PR!$BE1142,IF(K1144="SKG",PR!$BF1142,IF(K1144="TAH",PR!$BG1142,IF(K1144="TAYLEK",PR!$BH1142,IF(K1144="TEMITA",PR!$BI1142,IF(K1144="THL",PR!$BJ1142,IF(K1144="UBASTIC",PR!$BK1142,IF(K1144="UNION",PR!$BL1142,IF(K1144="UNIQUE",PR!$BM1142,IF(K1144="VIXA",PR!$BN1142,IF(K1144="WWCV",PR!$BO1142,IF(K1144="ZOLON",PR!$BP1142,"-")))))))))))))))))))))))))))))))))))))))))))))))))))))))))))))))))</f>
        <v>33000</v>
      </c>
    </row>
    <row r="1145" spans="1:12" ht="18.75" x14ac:dyDescent="0.3">
      <c r="A1145" s="430">
        <f>PR!A1143</f>
        <v>1030</v>
      </c>
      <c r="B1145" s="15" t="str">
        <f>PR!B1143</f>
        <v>FREE T3 - ELISA KIT (MONOBIND)</v>
      </c>
      <c r="C1145" s="113" t="str">
        <f>PR!D1143</f>
        <v>96 wells</v>
      </c>
      <c r="D1145" s="113">
        <f>PR!C1143</f>
        <v>8</v>
      </c>
      <c r="E1145" s="108">
        <f>IF(F1145="ALPHA",PR!$E1143,IF(F1145="ASSENE",PR!$F1143,IF(F1145="BIOFEM",PR!$G1143,IF(F1145="BIOMED",PR!$H1143,IF(F1145="CHI",PR!$I1143,IF(F1145="CLARION",PR!$J1143,IF(F1145="CODIX",PR!$K1143,IF(F1145="COSMADE",PR!$L1143,IF(F1145="SANCON",PR!$M1143,IF(F1145="DEVON",PR!$N1143,IF(F1145="DORTEMAG",PR!$O1143,IF(F1145="DGF",PR!$P1143,IF(F1145="DYNAMIC",PR!$Q1143,IF(F1145="EMZOR",PR!$R1143,IF(F1145="EUMATT",PR!$S1143,IF(F1145="FIDSON",PR!$T1143,IF(F1145="FCGLOBAL",PR!$U1143,IF(F1145="GENEITH",PR!$V1143,IF(F1145="GINOS",PR!$W1143,IF(F1145="GSK",PR!$X1143,IF(F1145="GLOBORG",PR!$Y1143,IF(F1145="GOODNEWS",PR!$Z1143,IF(F1145="GREENLIFE",PR!$AA1143,IF(F1145="HLINE",PR!$AB1143,IF(F1145="ROTECH",PR!$AC1143,IF(F1145="ISN",PR!$AD1143,IF(F1145="JAWA",PR!$AE1143,IF(F1145="LAYO",PR!$AF1143,IF(F1145="LEADWAY",PR!$AG1143,IF(F1145="LHV",PR!$AH1143,IF(F1145="MANOLA",PR!$AI1143,IF(F1145="MARCSON",PR!$AJ1143,IF(F1145="M&amp;B",PR!$AK1143,IF(F1145="MTRUST",PR!$AL1143,IF(F1145="MWORLD",PR!$AM1143,IF(F1145="MEGA",PR!$AN1143,IF(F1145="MICRONOVA",PR!$AO1143,IF(F1145="MFLASH",PR!$AP1143,IF(F1145="MORISON",PR!$AQ1143,IF(F1145="NEMEL",PR!$AR1143,IF(F1145="NHP",PR!$AS1143,IF(F1145="NHC",PR!$AT1143,IF(F1145="OLEAF",PR!$AU1143,IF(F1145="OCULUS",PR!$AV1143,IF(F1145="PACIFIC",PR!$AW1143,IF(F1145="PHAMATEX",PR!$AX1143,IF(F1145="PETHICS",PR!$AY1143,IF(F1145="PHILIPS",PR!$AZ1143,IF(F1145="RANBAXY",PR!$BA1143,IF(F1145="REALS",PR!$BB1143,IF(F1145="ROYAL",PR!$BC1143,IF(F1145="SAM",PR!$BD1143,IF(F1145="SEAGREEN",PR!$BE1143,IF(F1145="SKG",PR!$BF1143,IF(F1145="TAH",PR!$BG1143,IF(F1145="TAYLEK",PR!$BH1143,IF(F1145="TEMITA",PR!$BI1143,IF(F1145="THL",PR!$BJ1143,IF(F1145="UBASTIC",PR!$BK1143,IF(F1145="UNION",PR!$BL1143,IF(F1145="UNIQUE",PR!$BM1143,IF(F1145="VIXA",PR!$BN1143,IF(F1145="WWCV",PR!$BO1143,IF(F1145="ZOLON",PR!$BP1143,"-"))))))))))))))))))))))))))))))))))))))))))))))))))))))))))))))))</f>
        <v>35000</v>
      </c>
      <c r="F1145" s="102" t="str">
        <f>EV!L1464</f>
        <v>COSMADE</v>
      </c>
      <c r="G1145" s="108">
        <f>IF(H1145="ALPHA",PR!$E1143,IF(H1145="ASSENE",PR!$F1143,IF(H1145="BIOFEM",PR!$G1143,IF(H1145="BIOMED",PR!$H1143,IF(H1145="CHI",PR!$I1143,IF(H1145="CLARION",PR!$J1143,IF(H1145="CODIX",PR!$K1143,IF(H1145="COSMADE",PR!$L1143,IF(H1145="SANCON",PR!$M1143,IF(H1145="DEVON",PR!$N1143,IF(H1145="DORTEMAG",PR!$O1143,IF(H1145="DGF",PR!$P1143,IF(H1145="DYNAMIC",PR!$Q1143,IF(H1145="EMZOR",PR!$R1143,IF(H1145="EUMATT",PR!$S1143,IF(H1145="FIDSON",PR!$T1143,IF(H1145="FCGLOBAL",PR!$U1143,IF(H1145="GENEITH",PR!$V1143,IF(H1145="GINOS",PR!$W1143,IF(H1145="GSK",PR!$X1143,IF(H1145="GLOBORG",PR!$Y1143,IF(H1145="GOODNEWS",PR!$Z1143,IF(H1145="GREENLIFE",PR!$AA1143,IF(H1145="HLINE",PR!$AB1143,IF(H1145="ROTECH",PR!$AC1143,IF(H1145="ISN",PR!$AD1143,IF(H1145="JAWA",PR!$AE1143,IF(H1145="LAYO",PR!$AF1143,IF(H1145="LEADWAY",PR!$AG1143,IF(H1145="LHV",PR!$AH1143,IF(H1145="MANOLA",PR!$AI1143,IF(H1145="MARCSON",PR!$AJ1143,IF(H1145="M&amp;B",PR!$AK1143,IF(H1145="MTRUST",PR!$AL1143,IF(H1145="MWORLD",PR!$AM1143,IF(H1145="MEGA",PR!$AN1143,IF(H1145="MICRONOVA",PR!$AO1143,IF(H1145="MFLASH",PR!$AP1143,IF(H1145="MORISON",PR!$AQ1143,IF(H1145="NEMEL",PR!$AR1143,IF(H1145="NHP",PR!$AS1143,IF(H1145="NHC",PR!$AT1143,IF(H1145="OLEAF",PR!$AU1143,IF(H1145="OCULUS",PR!$AV1143,IF(H1145="PACIFIC",PR!$AW1143,IF(H1145="PHAMATEX",PR!$AX1143,IF(H1145="PETHICS",PR!$AY1143,IF(H1145="PHILIPS",PR!$AZ1143,IF(H1145="RANBAXY",PR!$BA1143,IF(H1145="REALS",PR!$BB1143,IF(H1145="ROYAL",PR!$BC1143,IF(H1145="SAM",PR!$BD1143,IF(H1145="SEAGREEN",PR!$BE1143,IF(H1145="SKG",PR!$BF1143,IF(H1145="TAH",PR!$BG1143,IF(H1145="TAYLEK",PR!$BH1143,IF(H1145="TEMITA",PR!$BI1143,IF(H1145="THL",PR!$BJ1143,IF(H1145="UBASTIC",PR!$BK1143,IF(H1145="UNION",PR!$BL1143,IF(H1145="UNIQUE",PR!$BM1143,IF(H1145="VIXA",PR!$BN1143,IF(H1145="WWCV",PR!$BO1143,IF(H1145="ZOLON",PR!$BP1143,"-"))))))))))))))))))))))))))))))))))))))))))))))))))))))))))))))))</f>
        <v>35000</v>
      </c>
      <c r="H1145" s="102" t="str">
        <f>EV!M1464</f>
        <v>LAYO</v>
      </c>
      <c r="I1145" s="108">
        <f>IF(J1145="ALPHA",PR!$E1143,IF(J1145="ASSENE",PR!$F1143,IF(J1145="BIOFEM",PR!$G1143,IF(J1145="BIOMED",PR!$H1143,IF(J1145="CHI",PR!$I1143,IF(J1145="CLARION",PR!$J1143,IF(J1145="CODIX",PR!$K1143,IF(J1145="COSMADE",PR!$L1143,IF(J1145="SANCON",PR!$M1143,IF(J1145="DEVON",PR!$N1143,IF(J1145="DORTEMAG",PR!$O1143,IF(J1145="DGF",PR!$P1143,IF(J1145="DYNAMIC",PR!$Q1143,IF(J1145="EMZOR",PR!$R1143,IF(J1145="EUMATT",PR!$S1143,IF(J1145="FIDSON",PR!$T1143,IF(J1145="FCGLOBAL",PR!$U1143,IF(J1145="GENEITH",PR!$V1143,IF(J1145="GINOS",PR!$W1143,IF(J1145="GSK",PR!$X1143,IF(J1145="GLOBORG",PR!$Y1143,IF(J1145="GOODNEWS",PR!$Z1143,IF(J1145="GREENLIFE",PR!$AA1143,IF(J1145="HLINE",PR!$AB1143,IF(J1145="ROTECH",PR!$AC1143,IF(J1145="ISN",PR!$AD1143,IF(J1145="JAWA",PR!$AE1143,IF(J1145="LAYO",PR!$AF1143,IF(J1145="LEADWAY",PR!$AG1143,IF(J1145="LHV",PR!$AH1143,IF(J1145="MANOLA",PR!$AI1143,IF(J1145="MARCSON",PR!$AJ1143,IF(J1145="M&amp;B",PR!$AK1143,IF(J1145="MTRUST",PR!$AL1143,IF(J1145="MWORLD",PR!$AM1143,IF(J1145="MEGA",PR!$AN1143,IF(J1145="MICRONOVA",PR!$AO1143,IF(J1145="MFLASH",PR!$AP1143,IF(J1145="MORISON",PR!$AQ1143,IF(J1145="NEMEL",PR!$AR1143,IF(J1145="NHP",PR!$AS1143,IF(J1145="NHC",PR!$AT1143,IF(J1145="OLEAF",PR!$AU1143,IF(J1145="OCULUS",PR!$AV1143,IF(J1145="PACIFIC",PR!$AW1143,IF(J1145="PHAMATEX",PR!$AX1143,IF(J1145="PETHICS",PR!$AY1143,IF(J1145="PHILIPS",PR!$AZ1143,IF(J1145="RANBAXY",PR!$BA1143,IF(J1145="REALS",PR!$BB1143,IF(J1145="ROYAL",PR!$BC1143,IF(J1145="SAM",PR!$BD1143,IF(J1145="SEAGREEN",PR!$BE1143,IF(J1145="SKG",PR!$BF1143,IF(J1145="TAH",PR!$BG1143,IF(J1145="TAYLEK",PR!$BH1143,IF(J1145="TEMITA",PR!$BI1143,IF(J1145="THL",PR!$BJ1143,IF(J1145="UBASTIC",PR!$BK1143,IF(J1145="UNION",PR!$BL1143,IF(J1145="UNIQUE",PR!$BM1143,IF(J1145="VIXA",PR!$BN1143,IF(J1145="WWCV",PR!$BO1143,IF(J1145="ZOLON",PR!$BP1143,"-"))))))))))))))))))))))))))))))))))))))))))))))))))))))))))))))))</f>
        <v>38000</v>
      </c>
      <c r="J1145" s="102" t="str">
        <f>EV!N1464</f>
        <v>LHV</v>
      </c>
      <c r="K1145" s="433" t="s">
        <v>1452</v>
      </c>
      <c r="L1145" s="183">
        <f>IF(K1145&gt;0,IF(K1145="ALPHA",PR!$E1143,IF(K1145="ASSENE",PR!$F1143,IF(K1145="BIOFEM",PR!$G1143,IF(K1145="BIOMED",PR!$H1143,IF(K1145="CHI",PR!$I1143,IF(K1145="CLARION",PR!$J1143,IF(K1145="CODIX",PR!$K1143,IF(K1145="COSMADE",PR!$L1143,IF(K1145="SANCON",PR!$M1143,IF(K1145="DEVON",PR!$N1143,IF(K1145="DORTEMAG",PR!$O1143,IF(K1145="DGF",PR!$P1143,IF(K1145="DYNAMIC",PR!$Q1143,IF(K1145="EMZOR",PR!$R1143,IF(K1145="EUMATT",PR!$S1143,IF(K1145="FIDSON",PR!$T1143,IF(K1145="FCGLOBAL",PR!$U1143,IF(K1145="GENEITH",PR!$V1143,IF(K1145="GINOS",PR!$W1143,IF(K1145="GSK",PR!$X1143,IF(K1145="GLOBORG",PR!$Y1143,IF(K1145="GOODNEWS",PR!$Z1143,IF(K1145="GREENLIFE",PR!$AA1143,IF(K1145="HLINE",PR!$AB1143,IF(K1145="ROTECH",PR!$AC1143,IF(K1145="ISN",PR!$AD1143,IF(K1145="JAWA",PR!$AE1143,IF(K1145="LAYO",PR!$AF1143,IF(K1145="LEADWAY",PR!$AG1143,IF(K1145="LHV",PR!$AH1143,IF(K1145="MANOLA",PR!$AI1143,IF(K1145="MARCSON",PR!$AJ1143,IF(K1145="M&amp;B",PR!$AK1143,IF(K1145="MTRUST",PR!$AL1143,IF(K1145="MWORLD",PR!$AM1143,IF(K1145="MEGA",PR!$AN1143,IF(K1145="MICRONOVA",PR!$AO1143,IF(K1145="MFLASH",PR!$AP1143,IF(K1145="MORISON",PR!$AQ1143,IF(K1145="NEMEL",PR!$AR1143,IF(K1145="NHP",PR!$AS1143,IF(K1145="NHC",PR!$AT1143,IF(K1145="OLEAF",PR!$AU1143,IF(K1145="OCULUS",PR!$AV1143,IF(K1145="PACIFIC",PR!$AW1143,IF(K1145="PHAMATEX",PR!$AX1143,IF(K1145="PETHICS",PR!$AY1143,IF(K1145="PHILIPS",PR!$AZ1143,IF(K1145="RANBAXY",PR!$BA1143,IF(K1145="REALS",PR!$BB1143,IF(K1145="ROYAL",PR!$BC1143,IF(K1145="SAM",PR!$BD1143,IF(K1145="SEAGREEN",PR!$BE1143,IF(K1145="SKG",PR!$BF1143,IF(K1145="TAH",PR!$BG1143,IF(K1145="TAYLEK",PR!$BH1143,IF(K1145="TEMITA",PR!$BI1143,IF(K1145="THL",PR!$BJ1143,IF(K1145="UBASTIC",PR!$BK1143,IF(K1145="UNION",PR!$BL1143,IF(K1145="UNIQUE",PR!$BM1143,IF(K1145="VIXA",PR!$BN1143,IF(K1145="WWCV",PR!$BO1143,IF(K1145="ZOLON",PR!$BP1143,"-")))))))))))))))))))))))))))))))))))))))))))))))))))))))))))))))))</f>
        <v>35000</v>
      </c>
    </row>
    <row r="1146" spans="1:12" ht="18.75" x14ac:dyDescent="0.3">
      <c r="A1146" s="430">
        <f>PR!A1144</f>
        <v>1031</v>
      </c>
      <c r="B1146" s="15" t="str">
        <f>PR!B1144</f>
        <v>FREE T4 - ELISA KIT (MONOBIND)</v>
      </c>
      <c r="C1146" s="113" t="str">
        <f>PR!D1144</f>
        <v>96 wells</v>
      </c>
      <c r="D1146" s="113">
        <f>PR!C1144</f>
        <v>8</v>
      </c>
      <c r="E1146" s="108">
        <f>IF(F1146="ALPHA",PR!$E1144,IF(F1146="ASSENE",PR!$F1144,IF(F1146="BIOFEM",PR!$G1144,IF(F1146="BIOMED",PR!$H1144,IF(F1146="CHI",PR!$I1144,IF(F1146="CLARION",PR!$J1144,IF(F1146="CODIX",PR!$K1144,IF(F1146="COSMADE",PR!$L1144,IF(F1146="SANCON",PR!$M1144,IF(F1146="DEVON",PR!$N1144,IF(F1146="DORTEMAG",PR!$O1144,IF(F1146="DGF",PR!$P1144,IF(F1146="DYNAMIC",PR!$Q1144,IF(F1146="EMZOR",PR!$R1144,IF(F1146="EUMATT",PR!$S1144,IF(F1146="FIDSON",PR!$T1144,IF(F1146="FCGLOBAL",PR!$U1144,IF(F1146="GENEITH",PR!$V1144,IF(F1146="GINOS",PR!$W1144,IF(F1146="GSK",PR!$X1144,IF(F1146="GLOBORG",PR!$Y1144,IF(F1146="GOODNEWS",PR!$Z1144,IF(F1146="GREENLIFE",PR!$AA1144,IF(F1146="HLINE",PR!$AB1144,IF(F1146="ROTECH",PR!$AC1144,IF(F1146="ISN",PR!$AD1144,IF(F1146="JAWA",PR!$AE1144,IF(F1146="LAYO",PR!$AF1144,IF(F1146="LEADWAY",PR!$AG1144,IF(F1146="LHV",PR!$AH1144,IF(F1146="MANOLA",PR!$AI1144,IF(F1146="MARCSON",PR!$AJ1144,IF(F1146="M&amp;B",PR!$AK1144,IF(F1146="MTRUST",PR!$AL1144,IF(F1146="MWORLD",PR!$AM1144,IF(F1146="MEGA",PR!$AN1144,IF(F1146="MICRONOVA",PR!$AO1144,IF(F1146="MFLASH",PR!$AP1144,IF(F1146="MORISON",PR!$AQ1144,IF(F1146="NEMEL",PR!$AR1144,IF(F1146="NHP",PR!$AS1144,IF(F1146="NHC",PR!$AT1144,IF(F1146="OLEAF",PR!$AU1144,IF(F1146="OCULUS",PR!$AV1144,IF(F1146="PACIFIC",PR!$AW1144,IF(F1146="PHAMATEX",PR!$AX1144,IF(F1146="PETHICS",PR!$AY1144,IF(F1146="PHILIPS",PR!$AZ1144,IF(F1146="RANBAXY",PR!$BA1144,IF(F1146="REALS",PR!$BB1144,IF(F1146="ROYAL",PR!$BC1144,IF(F1146="SAM",PR!$BD1144,IF(F1146="SEAGREEN",PR!$BE1144,IF(F1146="SKG",PR!$BF1144,IF(F1146="TAH",PR!$BG1144,IF(F1146="TAYLEK",PR!$BH1144,IF(F1146="TEMITA",PR!$BI1144,IF(F1146="THL",PR!$BJ1144,IF(F1146="UBASTIC",PR!$BK1144,IF(F1146="UNION",PR!$BL1144,IF(F1146="UNIQUE",PR!$BM1144,IF(F1146="VIXA",PR!$BN1144,IF(F1146="WWCV",PR!$BO1144,IF(F1146="ZOLON",PR!$BP1144,"-"))))))))))))))))))))))))))))))))))))))))))))))))))))))))))))))))</f>
        <v>35000</v>
      </c>
      <c r="F1146" s="102" t="str">
        <f>EV!L1465</f>
        <v>LAYO</v>
      </c>
      <c r="G1146" s="108">
        <f>IF(H1146="ALPHA",PR!$E1144,IF(H1146="ASSENE",PR!$F1144,IF(H1146="BIOFEM",PR!$G1144,IF(H1146="BIOMED",PR!$H1144,IF(H1146="CHI",PR!$I1144,IF(H1146="CLARION",PR!$J1144,IF(H1146="CODIX",PR!$K1144,IF(H1146="COSMADE",PR!$L1144,IF(H1146="SANCON",PR!$M1144,IF(H1146="DEVON",PR!$N1144,IF(H1146="DORTEMAG",PR!$O1144,IF(H1146="DGF",PR!$P1144,IF(H1146="DYNAMIC",PR!$Q1144,IF(H1146="EMZOR",PR!$R1144,IF(H1146="EUMATT",PR!$S1144,IF(H1146="FIDSON",PR!$T1144,IF(H1146="FCGLOBAL",PR!$U1144,IF(H1146="GENEITH",PR!$V1144,IF(H1146="GINOS",PR!$W1144,IF(H1146="GSK",PR!$X1144,IF(H1146="GLOBORG",PR!$Y1144,IF(H1146="GOODNEWS",PR!$Z1144,IF(H1146="GREENLIFE",PR!$AA1144,IF(H1146="HLINE",PR!$AB1144,IF(H1146="ROTECH",PR!$AC1144,IF(H1146="ISN",PR!$AD1144,IF(H1146="JAWA",PR!$AE1144,IF(H1146="LAYO",PR!$AF1144,IF(H1146="LEADWAY",PR!$AG1144,IF(H1146="LHV",PR!$AH1144,IF(H1146="MANOLA",PR!$AI1144,IF(H1146="MARCSON",PR!$AJ1144,IF(H1146="M&amp;B",PR!$AK1144,IF(H1146="MTRUST",PR!$AL1144,IF(H1146="MWORLD",PR!$AM1144,IF(H1146="MEGA",PR!$AN1144,IF(H1146="MICRONOVA",PR!$AO1144,IF(H1146="MFLASH",PR!$AP1144,IF(H1146="MORISON",PR!$AQ1144,IF(H1146="NEMEL",PR!$AR1144,IF(H1146="NHP",PR!$AS1144,IF(H1146="NHC",PR!$AT1144,IF(H1146="OLEAF",PR!$AU1144,IF(H1146="OCULUS",PR!$AV1144,IF(H1146="PACIFIC",PR!$AW1144,IF(H1146="PHAMATEX",PR!$AX1144,IF(H1146="PETHICS",PR!$AY1144,IF(H1146="PHILIPS",PR!$AZ1144,IF(H1146="RANBAXY",PR!$BA1144,IF(H1146="REALS",PR!$BB1144,IF(H1146="ROYAL",PR!$BC1144,IF(H1146="SAM",PR!$BD1144,IF(H1146="SEAGREEN",PR!$BE1144,IF(H1146="SKG",PR!$BF1144,IF(H1146="TAH",PR!$BG1144,IF(H1146="TAYLEK",PR!$BH1144,IF(H1146="TEMITA",PR!$BI1144,IF(H1146="THL",PR!$BJ1144,IF(H1146="UBASTIC",PR!$BK1144,IF(H1146="UNION",PR!$BL1144,IF(H1146="UNIQUE",PR!$BM1144,IF(H1146="VIXA",PR!$BN1144,IF(H1146="WWCV",PR!$BO1144,IF(H1146="ZOLON",PR!$BP1144,"-"))))))))))))))))))))))))))))))))))))))))))))))))))))))))))))))))</f>
        <v>35000</v>
      </c>
      <c r="H1146" s="102" t="str">
        <f>EV!M1465</f>
        <v>COSMADE</v>
      </c>
      <c r="I1146" s="108">
        <f>IF(J1146="ALPHA",PR!$E1144,IF(J1146="ASSENE",PR!$F1144,IF(J1146="BIOFEM",PR!$G1144,IF(J1146="BIOMED",PR!$H1144,IF(J1146="CHI",PR!$I1144,IF(J1146="CLARION",PR!$J1144,IF(J1146="CODIX",PR!$K1144,IF(J1146="COSMADE",PR!$L1144,IF(J1146="SANCON",PR!$M1144,IF(J1146="DEVON",PR!$N1144,IF(J1146="DORTEMAG",PR!$O1144,IF(J1146="DGF",PR!$P1144,IF(J1146="DYNAMIC",PR!$Q1144,IF(J1146="EMZOR",PR!$R1144,IF(J1146="EUMATT",PR!$S1144,IF(J1146="FIDSON",PR!$T1144,IF(J1146="FCGLOBAL",PR!$U1144,IF(J1146="GENEITH",PR!$V1144,IF(J1146="GINOS",PR!$W1144,IF(J1146="GSK",PR!$X1144,IF(J1146="GLOBORG",PR!$Y1144,IF(J1146="GOODNEWS",PR!$Z1144,IF(J1146="GREENLIFE",PR!$AA1144,IF(J1146="HLINE",PR!$AB1144,IF(J1146="ROTECH",PR!$AC1144,IF(J1146="ISN",PR!$AD1144,IF(J1146="JAWA",PR!$AE1144,IF(J1146="LAYO",PR!$AF1144,IF(J1146="LEADWAY",PR!$AG1144,IF(J1146="LHV",PR!$AH1144,IF(J1146="MANOLA",PR!$AI1144,IF(J1146="MARCSON",PR!$AJ1144,IF(J1146="M&amp;B",PR!$AK1144,IF(J1146="MTRUST",PR!$AL1144,IF(J1146="MWORLD",PR!$AM1144,IF(J1146="MEGA",PR!$AN1144,IF(J1146="MICRONOVA",PR!$AO1144,IF(J1146="MFLASH",PR!$AP1144,IF(J1146="MORISON",PR!$AQ1144,IF(J1146="NEMEL",PR!$AR1144,IF(J1146="NHP",PR!$AS1144,IF(J1146="NHC",PR!$AT1144,IF(J1146="OLEAF",PR!$AU1144,IF(J1146="OCULUS",PR!$AV1144,IF(J1146="PACIFIC",PR!$AW1144,IF(J1146="PHAMATEX",PR!$AX1144,IF(J1146="PETHICS",PR!$AY1144,IF(J1146="PHILIPS",PR!$AZ1144,IF(J1146="RANBAXY",PR!$BA1144,IF(J1146="REALS",PR!$BB1144,IF(J1146="ROYAL",PR!$BC1144,IF(J1146="SAM",PR!$BD1144,IF(J1146="SEAGREEN",PR!$BE1144,IF(J1146="SKG",PR!$BF1144,IF(J1146="TAH",PR!$BG1144,IF(J1146="TAYLEK",PR!$BH1144,IF(J1146="TEMITA",PR!$BI1144,IF(J1146="THL",PR!$BJ1144,IF(J1146="UBASTIC",PR!$BK1144,IF(J1146="UNION",PR!$BL1144,IF(J1146="UNIQUE",PR!$BM1144,IF(J1146="VIXA",PR!$BN1144,IF(J1146="WWCV",PR!$BO1144,IF(J1146="ZOLON",PR!$BP1144,"-"))))))))))))))))))))))))))))))))))))))))))))))))))))))))))))))))</f>
        <v>38000</v>
      </c>
      <c r="J1146" s="102" t="str">
        <f>EV!N1465</f>
        <v>LHV</v>
      </c>
      <c r="K1146" s="433" t="s">
        <v>1461</v>
      </c>
      <c r="L1146" s="183">
        <f>IF(K1146&gt;0,IF(K1146="ALPHA",PR!$E1144,IF(K1146="ASSENE",PR!$F1144,IF(K1146="BIOFEM",PR!$G1144,IF(K1146="BIOMED",PR!$H1144,IF(K1146="CHI",PR!$I1144,IF(K1146="CLARION",PR!$J1144,IF(K1146="CODIX",PR!$K1144,IF(K1146="COSMADE",PR!$L1144,IF(K1146="SANCON",PR!$M1144,IF(K1146="DEVON",PR!$N1144,IF(K1146="DORTEMAG",PR!$O1144,IF(K1146="DGF",PR!$P1144,IF(K1146="DYNAMIC",PR!$Q1144,IF(K1146="EMZOR",PR!$R1144,IF(K1146="EUMATT",PR!$S1144,IF(K1146="FIDSON",PR!$T1144,IF(K1146="FCGLOBAL",PR!$U1144,IF(K1146="GENEITH",PR!$V1144,IF(K1146="GINOS",PR!$W1144,IF(K1146="GSK",PR!$X1144,IF(K1146="GLOBORG",PR!$Y1144,IF(K1146="GOODNEWS",PR!$Z1144,IF(K1146="GREENLIFE",PR!$AA1144,IF(K1146="HLINE",PR!$AB1144,IF(K1146="ROTECH",PR!$AC1144,IF(K1146="ISN",PR!$AD1144,IF(K1146="JAWA",PR!$AE1144,IF(K1146="LAYO",PR!$AF1144,IF(K1146="LEADWAY",PR!$AG1144,IF(K1146="LHV",PR!$AH1144,IF(K1146="MANOLA",PR!$AI1144,IF(K1146="MARCSON",PR!$AJ1144,IF(K1146="M&amp;B",PR!$AK1144,IF(K1146="MTRUST",PR!$AL1144,IF(K1146="MWORLD",PR!$AM1144,IF(K1146="MEGA",PR!$AN1144,IF(K1146="MICRONOVA",PR!$AO1144,IF(K1146="MFLASH",PR!$AP1144,IF(K1146="MORISON",PR!$AQ1144,IF(K1146="NEMEL",PR!$AR1144,IF(K1146="NHP",PR!$AS1144,IF(K1146="NHC",PR!$AT1144,IF(K1146="OLEAF",PR!$AU1144,IF(K1146="OCULUS",PR!$AV1144,IF(K1146="PACIFIC",PR!$AW1144,IF(K1146="PHAMATEX",PR!$AX1144,IF(K1146="PETHICS",PR!$AY1144,IF(K1146="PHILIPS",PR!$AZ1144,IF(K1146="RANBAXY",PR!$BA1144,IF(K1146="REALS",PR!$BB1144,IF(K1146="ROYAL",PR!$BC1144,IF(K1146="SAM",PR!$BD1144,IF(K1146="SEAGREEN",PR!$BE1144,IF(K1146="SKG",PR!$BF1144,IF(K1146="TAH",PR!$BG1144,IF(K1146="TAYLEK",PR!$BH1144,IF(K1146="TEMITA",PR!$BI1144,IF(K1146="THL",PR!$BJ1144,IF(K1146="UBASTIC",PR!$BK1144,IF(K1146="UNION",PR!$BL1144,IF(K1146="UNIQUE",PR!$BM1144,IF(K1146="VIXA",PR!$BN1144,IF(K1146="WWCV",PR!$BO1144,IF(K1146="ZOLON",PR!$BP1144,"-")))))))))))))))))))))))))))))))))))))))))))))))))))))))))))))))))</f>
        <v>35000</v>
      </c>
    </row>
    <row r="1147" spans="1:12" ht="18.75" x14ac:dyDescent="0.3">
      <c r="A1147" s="430">
        <f>PR!A1145</f>
        <v>1032</v>
      </c>
      <c r="B1147" s="15" t="str">
        <f>PR!B1145</f>
        <v>PROSTRATE SPECIFIC ANTIGEN - ELISA KIT (MONOBIND)</v>
      </c>
      <c r="C1147" s="113" t="str">
        <f>PR!D1145</f>
        <v>96 wells</v>
      </c>
      <c r="D1147" s="113">
        <f>PR!C1145</f>
        <v>8</v>
      </c>
      <c r="E1147" s="108">
        <f>IF(F1147="ALPHA",PR!$E1145,IF(F1147="ASSENE",PR!$F1145,IF(F1147="BIOFEM",PR!$G1145,IF(F1147="BIOMED",PR!$H1145,IF(F1147="CHI",PR!$I1145,IF(F1147="CLARION",PR!$J1145,IF(F1147="CODIX",PR!$K1145,IF(F1147="COSMADE",PR!$L1145,IF(F1147="SANCON",PR!$M1145,IF(F1147="DEVON",PR!$N1145,IF(F1147="DORTEMAG",PR!$O1145,IF(F1147="DGF",PR!$P1145,IF(F1147="DYNAMIC",PR!$Q1145,IF(F1147="EMZOR",PR!$R1145,IF(F1147="EUMATT",PR!$S1145,IF(F1147="FIDSON",PR!$T1145,IF(F1147="FCGLOBAL",PR!$U1145,IF(F1147="GENEITH",PR!$V1145,IF(F1147="GINOS",PR!$W1145,IF(F1147="GSK",PR!$X1145,IF(F1147="GLOBORG",PR!$Y1145,IF(F1147="GOODNEWS",PR!$Z1145,IF(F1147="GREENLIFE",PR!$AA1145,IF(F1147="HLINE",PR!$AB1145,IF(F1147="ROTECH",PR!$AC1145,IF(F1147="ISN",PR!$AD1145,IF(F1147="JAWA",PR!$AE1145,IF(F1147="LAYO",PR!$AF1145,IF(F1147="LEADWAY",PR!$AG1145,IF(F1147="LHV",PR!$AH1145,IF(F1147="MANOLA",PR!$AI1145,IF(F1147="MARCSON",PR!$AJ1145,IF(F1147="M&amp;B",PR!$AK1145,IF(F1147="MTRUST",PR!$AL1145,IF(F1147="MWORLD",PR!$AM1145,IF(F1147="MEGA",PR!$AN1145,IF(F1147="MICRONOVA",PR!$AO1145,IF(F1147="MFLASH",PR!$AP1145,IF(F1147="MORISON",PR!$AQ1145,IF(F1147="NEMEL",PR!$AR1145,IF(F1147="NHP",PR!$AS1145,IF(F1147="NHC",PR!$AT1145,IF(F1147="OLEAF",PR!$AU1145,IF(F1147="OCULUS",PR!$AV1145,IF(F1147="PACIFIC",PR!$AW1145,IF(F1147="PHAMATEX",PR!$AX1145,IF(F1147="PETHICS",PR!$AY1145,IF(F1147="PHILIPS",PR!$AZ1145,IF(F1147="RANBAXY",PR!$BA1145,IF(F1147="REALS",PR!$BB1145,IF(F1147="ROYAL",PR!$BC1145,IF(F1147="SAM",PR!$BD1145,IF(F1147="SEAGREEN",PR!$BE1145,IF(F1147="SKG",PR!$BF1145,IF(F1147="TAH",PR!$BG1145,IF(F1147="TAYLEK",PR!$BH1145,IF(F1147="TEMITA",PR!$BI1145,IF(F1147="THL",PR!$BJ1145,IF(F1147="UBASTIC",PR!$BK1145,IF(F1147="UNION",PR!$BL1145,IF(F1147="UNIQUE",PR!$BM1145,IF(F1147="VIXA",PR!$BN1145,IF(F1147="WWCV",PR!$BO1145,IF(F1147="ZOLON",PR!$BP1145,"-"))))))))))))))))))))))))))))))))))))))))))))))))))))))))))))))))</f>
        <v>32000</v>
      </c>
      <c r="F1147" s="102" t="str">
        <f>EV!L1466</f>
        <v>LAYO</v>
      </c>
      <c r="G1147" s="108">
        <f>IF(H1147="ALPHA",PR!$E1145,IF(H1147="ASSENE",PR!$F1145,IF(H1147="BIOFEM",PR!$G1145,IF(H1147="BIOMED",PR!$H1145,IF(H1147="CHI",PR!$I1145,IF(H1147="CLARION",PR!$J1145,IF(H1147="CODIX",PR!$K1145,IF(H1147="COSMADE",PR!$L1145,IF(H1147="SANCON",PR!$M1145,IF(H1147="DEVON",PR!$N1145,IF(H1147="DORTEMAG",PR!$O1145,IF(H1147="DGF",PR!$P1145,IF(H1147="DYNAMIC",PR!$Q1145,IF(H1147="EMZOR",PR!$R1145,IF(H1147="EUMATT",PR!$S1145,IF(H1147="FIDSON",PR!$T1145,IF(H1147="FCGLOBAL",PR!$U1145,IF(H1147="GENEITH",PR!$V1145,IF(H1147="GINOS",PR!$W1145,IF(H1147="GSK",PR!$X1145,IF(H1147="GLOBORG",PR!$Y1145,IF(H1147="GOODNEWS",PR!$Z1145,IF(H1147="GREENLIFE",PR!$AA1145,IF(H1147="HLINE",PR!$AB1145,IF(H1147="ROTECH",PR!$AC1145,IF(H1147="ISN",PR!$AD1145,IF(H1147="JAWA",PR!$AE1145,IF(H1147="LAYO",PR!$AF1145,IF(H1147="LEADWAY",PR!$AG1145,IF(H1147="LHV",PR!$AH1145,IF(H1147="MANOLA",PR!$AI1145,IF(H1147="MARCSON",PR!$AJ1145,IF(H1147="M&amp;B",PR!$AK1145,IF(H1147="MTRUST",PR!$AL1145,IF(H1147="MWORLD",PR!$AM1145,IF(H1147="MEGA",PR!$AN1145,IF(H1147="MICRONOVA",PR!$AO1145,IF(H1147="MFLASH",PR!$AP1145,IF(H1147="MORISON",PR!$AQ1145,IF(H1147="NEMEL",PR!$AR1145,IF(H1147="NHP",PR!$AS1145,IF(H1147="NHC",PR!$AT1145,IF(H1147="OLEAF",PR!$AU1145,IF(H1147="OCULUS",PR!$AV1145,IF(H1147="PACIFIC",PR!$AW1145,IF(H1147="PHAMATEX",PR!$AX1145,IF(H1147="PETHICS",PR!$AY1145,IF(H1147="PHILIPS",PR!$AZ1145,IF(H1147="RANBAXY",PR!$BA1145,IF(H1147="REALS",PR!$BB1145,IF(H1147="ROYAL",PR!$BC1145,IF(H1147="SAM",PR!$BD1145,IF(H1147="SEAGREEN",PR!$BE1145,IF(H1147="SKG",PR!$BF1145,IF(H1147="TAH",PR!$BG1145,IF(H1147="TAYLEK",PR!$BH1145,IF(H1147="TEMITA",PR!$BI1145,IF(H1147="THL",PR!$BJ1145,IF(H1147="UBASTIC",PR!$BK1145,IF(H1147="UNION",PR!$BL1145,IF(H1147="UNIQUE",PR!$BM1145,IF(H1147="VIXA",PR!$BN1145,IF(H1147="WWCV",PR!$BO1145,IF(H1147="ZOLON",PR!$BP1145,"-"))))))))))))))))))))))))))))))))))))))))))))))))))))))))))))))))</f>
        <v>38000</v>
      </c>
      <c r="H1147" s="102" t="str">
        <f>EV!M1466</f>
        <v>LHV</v>
      </c>
      <c r="I1147" s="108">
        <f>IF(J1147="ALPHA",PR!$E1145,IF(J1147="ASSENE",PR!$F1145,IF(J1147="BIOFEM",PR!$G1145,IF(J1147="BIOMED",PR!$H1145,IF(J1147="CHI",PR!$I1145,IF(J1147="CLARION",PR!$J1145,IF(J1147="CODIX",PR!$K1145,IF(J1147="COSMADE",PR!$L1145,IF(J1147="SANCON",PR!$M1145,IF(J1147="DEVON",PR!$N1145,IF(J1147="DORTEMAG",PR!$O1145,IF(J1147="DGF",PR!$P1145,IF(J1147="DYNAMIC",PR!$Q1145,IF(J1147="EMZOR",PR!$R1145,IF(J1147="EUMATT",PR!$S1145,IF(J1147="FIDSON",PR!$T1145,IF(J1147="FCGLOBAL",PR!$U1145,IF(J1147="GENEITH",PR!$V1145,IF(J1147="GINOS",PR!$W1145,IF(J1147="GSK",PR!$X1145,IF(J1147="GLOBORG",PR!$Y1145,IF(J1147="GOODNEWS",PR!$Z1145,IF(J1147="GREENLIFE",PR!$AA1145,IF(J1147="HLINE",PR!$AB1145,IF(J1147="ROTECH",PR!$AC1145,IF(J1147="ISN",PR!$AD1145,IF(J1147="JAWA",PR!$AE1145,IF(J1147="LAYO",PR!$AF1145,IF(J1147="LEADWAY",PR!$AG1145,IF(J1147="LHV",PR!$AH1145,IF(J1147="MANOLA",PR!$AI1145,IF(J1147="MARCSON",PR!$AJ1145,IF(J1147="M&amp;B",PR!$AK1145,IF(J1147="MTRUST",PR!$AL1145,IF(J1147="MWORLD",PR!$AM1145,IF(J1147="MEGA",PR!$AN1145,IF(J1147="MICRONOVA",PR!$AO1145,IF(J1147="MFLASH",PR!$AP1145,IF(J1147="MORISON",PR!$AQ1145,IF(J1147="NEMEL",PR!$AR1145,IF(J1147="NHP",PR!$AS1145,IF(J1147="NHC",PR!$AT1145,IF(J1147="OLEAF",PR!$AU1145,IF(J1147="OCULUS",PR!$AV1145,IF(J1147="PACIFIC",PR!$AW1145,IF(J1147="PHAMATEX",PR!$AX1145,IF(J1147="PETHICS",PR!$AY1145,IF(J1147="PHILIPS",PR!$AZ1145,IF(J1147="RANBAXY",PR!$BA1145,IF(J1147="REALS",PR!$BB1145,IF(J1147="ROYAL",PR!$BC1145,IF(J1147="SAM",PR!$BD1145,IF(J1147="SEAGREEN",PR!$BE1145,IF(J1147="SKG",PR!$BF1145,IF(J1147="TAH",PR!$BG1145,IF(J1147="TAYLEK",PR!$BH1145,IF(J1147="TEMITA",PR!$BI1145,IF(J1147="THL",PR!$BJ1145,IF(J1147="UBASTIC",PR!$BK1145,IF(J1147="UNION",PR!$BL1145,IF(J1147="UNIQUE",PR!$BM1145,IF(J1147="VIXA",PR!$BN1145,IF(J1147="WWCV",PR!$BO1145,IF(J1147="ZOLON",PR!$BP1145,"-"))))))))))))))))))))))))))))))))))))))))))))))))))))))))))))))))</f>
        <v>40000</v>
      </c>
      <c r="J1147" s="102" t="str">
        <f>EV!N1466</f>
        <v>COSMADE</v>
      </c>
      <c r="K1147" s="433" t="s">
        <v>1461</v>
      </c>
      <c r="L1147" s="183">
        <f>IF(K1147&gt;0,IF(K1147="ALPHA",PR!$E1145,IF(K1147="ASSENE",PR!$F1145,IF(K1147="BIOFEM",PR!$G1145,IF(K1147="BIOMED",PR!$H1145,IF(K1147="CHI",PR!$I1145,IF(K1147="CLARION",PR!$J1145,IF(K1147="CODIX",PR!$K1145,IF(K1147="COSMADE",PR!$L1145,IF(K1147="SANCON",PR!$M1145,IF(K1147="DEVON",PR!$N1145,IF(K1147="DORTEMAG",PR!$O1145,IF(K1147="DGF",PR!$P1145,IF(K1147="DYNAMIC",PR!$Q1145,IF(K1147="EMZOR",PR!$R1145,IF(K1147="EUMATT",PR!$S1145,IF(K1147="FIDSON",PR!$T1145,IF(K1147="FCGLOBAL",PR!$U1145,IF(K1147="GENEITH",PR!$V1145,IF(K1147="GINOS",PR!$W1145,IF(K1147="GSK",PR!$X1145,IF(K1147="GLOBORG",PR!$Y1145,IF(K1147="GOODNEWS",PR!$Z1145,IF(K1147="GREENLIFE",PR!$AA1145,IF(K1147="HLINE",PR!$AB1145,IF(K1147="ROTECH",PR!$AC1145,IF(K1147="ISN",PR!$AD1145,IF(K1147="JAWA",PR!$AE1145,IF(K1147="LAYO",PR!$AF1145,IF(K1147="LEADWAY",PR!$AG1145,IF(K1147="LHV",PR!$AH1145,IF(K1147="MANOLA",PR!$AI1145,IF(K1147="MARCSON",PR!$AJ1145,IF(K1147="M&amp;B",PR!$AK1145,IF(K1147="MTRUST",PR!$AL1145,IF(K1147="MWORLD",PR!$AM1145,IF(K1147="MEGA",PR!$AN1145,IF(K1147="MICRONOVA",PR!$AO1145,IF(K1147="MFLASH",PR!$AP1145,IF(K1147="MORISON",PR!$AQ1145,IF(K1147="NEMEL",PR!$AR1145,IF(K1147="NHP",PR!$AS1145,IF(K1147="NHC",PR!$AT1145,IF(K1147="OLEAF",PR!$AU1145,IF(K1147="OCULUS",PR!$AV1145,IF(K1147="PACIFIC",PR!$AW1145,IF(K1147="PHAMATEX",PR!$AX1145,IF(K1147="PETHICS",PR!$AY1145,IF(K1147="PHILIPS",PR!$AZ1145,IF(K1147="RANBAXY",PR!$BA1145,IF(K1147="REALS",PR!$BB1145,IF(K1147="ROYAL",PR!$BC1145,IF(K1147="SAM",PR!$BD1145,IF(K1147="SEAGREEN",PR!$BE1145,IF(K1147="SKG",PR!$BF1145,IF(K1147="TAH",PR!$BG1145,IF(K1147="TAYLEK",PR!$BH1145,IF(K1147="TEMITA",PR!$BI1145,IF(K1147="THL",PR!$BJ1145,IF(K1147="UBASTIC",PR!$BK1145,IF(K1147="UNION",PR!$BL1145,IF(K1147="UNIQUE",PR!$BM1145,IF(K1147="VIXA",PR!$BN1145,IF(K1147="WWCV",PR!$BO1145,IF(K1147="ZOLON",PR!$BP1145,"-")))))))))))))))))))))))))))))))))))))))))))))))))))))))))))))))))</f>
        <v>32000</v>
      </c>
    </row>
    <row r="1148" spans="1:12" ht="18.75" x14ac:dyDescent="0.3">
      <c r="A1148" s="430">
        <f>PR!A1146</f>
        <v>1033</v>
      </c>
      <c r="B1148" s="15" t="str">
        <f>PR!B1146</f>
        <v>PROGESTERONE - ELISA KIT (MONOBIND)</v>
      </c>
      <c r="C1148" s="113" t="str">
        <f>PR!D1146</f>
        <v>96 wells</v>
      </c>
      <c r="D1148" s="113">
        <f>PR!C1146</f>
        <v>4</v>
      </c>
      <c r="E1148" s="108">
        <f>IF(F1148="ALPHA",PR!$E1146,IF(F1148="ASSENE",PR!$F1146,IF(F1148="BIOFEM",PR!$G1146,IF(F1148="BIOMED",PR!$H1146,IF(F1148="CHI",PR!$I1146,IF(F1148="CLARION",PR!$J1146,IF(F1148="CODIX",PR!$K1146,IF(F1148="COSMADE",PR!$L1146,IF(F1148="SANCON",PR!$M1146,IF(F1148="DEVON",PR!$N1146,IF(F1148="DORTEMAG",PR!$O1146,IF(F1148="DGF",PR!$P1146,IF(F1148="DYNAMIC",PR!$Q1146,IF(F1148="EMZOR",PR!$R1146,IF(F1148="EUMATT",PR!$S1146,IF(F1148="FIDSON",PR!$T1146,IF(F1148="FCGLOBAL",PR!$U1146,IF(F1148="GENEITH",PR!$V1146,IF(F1148="GINOS",PR!$W1146,IF(F1148="GSK",PR!$X1146,IF(F1148="GLOBORG",PR!$Y1146,IF(F1148="GOODNEWS",PR!$Z1146,IF(F1148="GREENLIFE",PR!$AA1146,IF(F1148="HLINE",PR!$AB1146,IF(F1148="ROTECH",PR!$AC1146,IF(F1148="ISN",PR!$AD1146,IF(F1148="JAWA",PR!$AE1146,IF(F1148="LAYO",PR!$AF1146,IF(F1148="LEADWAY",PR!$AG1146,IF(F1148="LHV",PR!$AH1146,IF(F1148="MANOLA",PR!$AI1146,IF(F1148="MARCSON",PR!$AJ1146,IF(F1148="M&amp;B",PR!$AK1146,IF(F1148="MTRUST",PR!$AL1146,IF(F1148="MWORLD",PR!$AM1146,IF(F1148="MEGA",PR!$AN1146,IF(F1148="MICRONOVA",PR!$AO1146,IF(F1148="MFLASH",PR!$AP1146,IF(F1148="MORISON",PR!$AQ1146,IF(F1148="NEMEL",PR!$AR1146,IF(F1148="NHP",PR!$AS1146,IF(F1148="NHC",PR!$AT1146,IF(F1148="OLEAF",PR!$AU1146,IF(F1148="OCULUS",PR!$AV1146,IF(F1148="PACIFIC",PR!$AW1146,IF(F1148="PHAMATEX",PR!$AX1146,IF(F1148="PETHICS",PR!$AY1146,IF(F1148="PHILIPS",PR!$AZ1146,IF(F1148="RANBAXY",PR!$BA1146,IF(F1148="REALS",PR!$BB1146,IF(F1148="ROYAL",PR!$BC1146,IF(F1148="SAM",PR!$BD1146,IF(F1148="SEAGREEN",PR!$BE1146,IF(F1148="SKG",PR!$BF1146,IF(F1148="TAH",PR!$BG1146,IF(F1148="TAYLEK",PR!$BH1146,IF(F1148="TEMITA",PR!$BI1146,IF(F1148="THL",PR!$BJ1146,IF(F1148="UBASTIC",PR!$BK1146,IF(F1148="UNION",PR!$BL1146,IF(F1148="UNIQUE",PR!$BM1146,IF(F1148="VIXA",PR!$BN1146,IF(F1148="WWCV",PR!$BO1146,IF(F1148="ZOLON",PR!$BP1146,"-"))))))))))))))))))))))))))))))))))))))))))))))))))))))))))))))))</f>
        <v>35100</v>
      </c>
      <c r="F1148" s="102" t="str">
        <f>EV!L1467</f>
        <v>LAYO</v>
      </c>
      <c r="G1148" s="108">
        <f>IF(H1148="ALPHA",PR!$E1146,IF(H1148="ASSENE",PR!$F1146,IF(H1148="BIOFEM",PR!$G1146,IF(H1148="BIOMED",PR!$H1146,IF(H1148="CHI",PR!$I1146,IF(H1148="CLARION",PR!$J1146,IF(H1148="CODIX",PR!$K1146,IF(H1148="COSMADE",PR!$L1146,IF(H1148="SANCON",PR!$M1146,IF(H1148="DEVON",PR!$N1146,IF(H1148="DORTEMAG",PR!$O1146,IF(H1148="DGF",PR!$P1146,IF(H1148="DYNAMIC",PR!$Q1146,IF(H1148="EMZOR",PR!$R1146,IF(H1148="EUMATT",PR!$S1146,IF(H1148="FIDSON",PR!$T1146,IF(H1148="FCGLOBAL",PR!$U1146,IF(H1148="GENEITH",PR!$V1146,IF(H1148="GINOS",PR!$W1146,IF(H1148="GSK",PR!$X1146,IF(H1148="GLOBORG",PR!$Y1146,IF(H1148="GOODNEWS",PR!$Z1146,IF(H1148="GREENLIFE",PR!$AA1146,IF(H1148="HLINE",PR!$AB1146,IF(H1148="ROTECH",PR!$AC1146,IF(H1148="ISN",PR!$AD1146,IF(H1148="JAWA",PR!$AE1146,IF(H1148="LAYO",PR!$AF1146,IF(H1148="LEADWAY",PR!$AG1146,IF(H1148="LHV",PR!$AH1146,IF(H1148="MANOLA",PR!$AI1146,IF(H1148="MARCSON",PR!$AJ1146,IF(H1148="M&amp;B",PR!$AK1146,IF(H1148="MTRUST",PR!$AL1146,IF(H1148="MWORLD",PR!$AM1146,IF(H1148="MEGA",PR!$AN1146,IF(H1148="MICRONOVA",PR!$AO1146,IF(H1148="MFLASH",PR!$AP1146,IF(H1148="MORISON",PR!$AQ1146,IF(H1148="NEMEL",PR!$AR1146,IF(H1148="NHP",PR!$AS1146,IF(H1148="NHC",PR!$AT1146,IF(H1148="OLEAF",PR!$AU1146,IF(H1148="OCULUS",PR!$AV1146,IF(H1148="PACIFIC",PR!$AW1146,IF(H1148="PHAMATEX",PR!$AX1146,IF(H1148="PETHICS",PR!$AY1146,IF(H1148="PHILIPS",PR!$AZ1146,IF(H1148="RANBAXY",PR!$BA1146,IF(H1148="REALS",PR!$BB1146,IF(H1148="ROYAL",PR!$BC1146,IF(H1148="SAM",PR!$BD1146,IF(H1148="SEAGREEN",PR!$BE1146,IF(H1148="SKG",PR!$BF1146,IF(H1148="TAH",PR!$BG1146,IF(H1148="TAYLEK",PR!$BH1146,IF(H1148="TEMITA",PR!$BI1146,IF(H1148="THL",PR!$BJ1146,IF(H1148="UBASTIC",PR!$BK1146,IF(H1148="UNION",PR!$BL1146,IF(H1148="UNIQUE",PR!$BM1146,IF(H1148="VIXA",PR!$BN1146,IF(H1148="WWCV",PR!$BO1146,IF(H1148="ZOLON",PR!$BP1146,"-"))))))))))))))))))))))))))))))))))))))))))))))))))))))))))))))))</f>
        <v>38000</v>
      </c>
      <c r="H1148" s="102" t="str">
        <f>EV!M1467</f>
        <v>LHV</v>
      </c>
      <c r="I1148" s="108">
        <f>IF(J1148="ALPHA",PR!$E1146,IF(J1148="ASSENE",PR!$F1146,IF(J1148="BIOFEM",PR!$G1146,IF(J1148="BIOMED",PR!$H1146,IF(J1148="CHI",PR!$I1146,IF(J1148="CLARION",PR!$J1146,IF(J1148="CODIX",PR!$K1146,IF(J1148="COSMADE",PR!$L1146,IF(J1148="SANCON",PR!$M1146,IF(J1148="DEVON",PR!$N1146,IF(J1148="DORTEMAG",PR!$O1146,IF(J1148="DGF",PR!$P1146,IF(J1148="DYNAMIC",PR!$Q1146,IF(J1148="EMZOR",PR!$R1146,IF(J1148="EUMATT",PR!$S1146,IF(J1148="FIDSON",PR!$T1146,IF(J1148="FCGLOBAL",PR!$U1146,IF(J1148="GENEITH",PR!$V1146,IF(J1148="GINOS",PR!$W1146,IF(J1148="GSK",PR!$X1146,IF(J1148="GLOBORG",PR!$Y1146,IF(J1148="GOODNEWS",PR!$Z1146,IF(J1148="GREENLIFE",PR!$AA1146,IF(J1148="HLINE",PR!$AB1146,IF(J1148="ROTECH",PR!$AC1146,IF(J1148="ISN",PR!$AD1146,IF(J1148="JAWA",PR!$AE1146,IF(J1148="LAYO",PR!$AF1146,IF(J1148="LEADWAY",PR!$AG1146,IF(J1148="LHV",PR!$AH1146,IF(J1148="MANOLA",PR!$AI1146,IF(J1148="MARCSON",PR!$AJ1146,IF(J1148="M&amp;B",PR!$AK1146,IF(J1148="MTRUST",PR!$AL1146,IF(J1148="MWORLD",PR!$AM1146,IF(J1148="MEGA",PR!$AN1146,IF(J1148="MICRONOVA",PR!$AO1146,IF(J1148="MFLASH",PR!$AP1146,IF(J1148="MORISON",PR!$AQ1146,IF(J1148="NEMEL",PR!$AR1146,IF(J1148="NHP",PR!$AS1146,IF(J1148="NHC",PR!$AT1146,IF(J1148="OLEAF",PR!$AU1146,IF(J1148="OCULUS",PR!$AV1146,IF(J1148="PACIFIC",PR!$AW1146,IF(J1148="PHAMATEX",PR!$AX1146,IF(J1148="PETHICS",PR!$AY1146,IF(J1148="PHILIPS",PR!$AZ1146,IF(J1148="RANBAXY",PR!$BA1146,IF(J1148="REALS",PR!$BB1146,IF(J1148="ROYAL",PR!$BC1146,IF(J1148="SAM",PR!$BD1146,IF(J1148="SEAGREEN",PR!$BE1146,IF(J1148="SKG",PR!$BF1146,IF(J1148="TAH",PR!$BG1146,IF(J1148="TAYLEK",PR!$BH1146,IF(J1148="TEMITA",PR!$BI1146,IF(J1148="THL",PR!$BJ1146,IF(J1148="UBASTIC",PR!$BK1146,IF(J1148="UNION",PR!$BL1146,IF(J1148="UNIQUE",PR!$BM1146,IF(J1148="VIXA",PR!$BN1146,IF(J1148="WWCV",PR!$BO1146,IF(J1148="ZOLON",PR!$BP1146,"-"))))))))))))))))))))))))))))))))))))))))))))))))))))))))))))))))</f>
        <v>45000</v>
      </c>
      <c r="J1148" s="102" t="str">
        <f>EV!N1467</f>
        <v>COSMADE</v>
      </c>
      <c r="K1148" s="433" t="s">
        <v>1461</v>
      </c>
      <c r="L1148" s="183">
        <f>IF(K1148&gt;0,IF(K1148="ALPHA",PR!$E1146,IF(K1148="ASSENE",PR!$F1146,IF(K1148="BIOFEM",PR!$G1146,IF(K1148="BIOMED",PR!$H1146,IF(K1148="CHI",PR!$I1146,IF(K1148="CLARION",PR!$J1146,IF(K1148="CODIX",PR!$K1146,IF(K1148="COSMADE",PR!$L1146,IF(K1148="SANCON",PR!$M1146,IF(K1148="DEVON",PR!$N1146,IF(K1148="DORTEMAG",PR!$O1146,IF(K1148="DGF",PR!$P1146,IF(K1148="DYNAMIC",PR!$Q1146,IF(K1148="EMZOR",PR!$R1146,IF(K1148="EUMATT",PR!$S1146,IF(K1148="FIDSON",PR!$T1146,IF(K1148="FCGLOBAL",PR!$U1146,IF(K1148="GENEITH",PR!$V1146,IF(K1148="GINOS",PR!$W1146,IF(K1148="GSK",PR!$X1146,IF(K1148="GLOBORG",PR!$Y1146,IF(K1148="GOODNEWS",PR!$Z1146,IF(K1148="GREENLIFE",PR!$AA1146,IF(K1148="HLINE",PR!$AB1146,IF(K1148="ROTECH",PR!$AC1146,IF(K1148="ISN",PR!$AD1146,IF(K1148="JAWA",PR!$AE1146,IF(K1148="LAYO",PR!$AF1146,IF(K1148="LEADWAY",PR!$AG1146,IF(K1148="LHV",PR!$AH1146,IF(K1148="MANOLA",PR!$AI1146,IF(K1148="MARCSON",PR!$AJ1146,IF(K1148="M&amp;B",PR!$AK1146,IF(K1148="MTRUST",PR!$AL1146,IF(K1148="MWORLD",PR!$AM1146,IF(K1148="MEGA",PR!$AN1146,IF(K1148="MICRONOVA",PR!$AO1146,IF(K1148="MFLASH",PR!$AP1146,IF(K1148="MORISON",PR!$AQ1146,IF(K1148="NEMEL",PR!$AR1146,IF(K1148="NHP",PR!$AS1146,IF(K1148="NHC",PR!$AT1146,IF(K1148="OLEAF",PR!$AU1146,IF(K1148="OCULUS",PR!$AV1146,IF(K1148="PACIFIC",PR!$AW1146,IF(K1148="PHAMATEX",PR!$AX1146,IF(K1148="PETHICS",PR!$AY1146,IF(K1148="PHILIPS",PR!$AZ1146,IF(K1148="RANBAXY",PR!$BA1146,IF(K1148="REALS",PR!$BB1146,IF(K1148="ROYAL",PR!$BC1146,IF(K1148="SAM",PR!$BD1146,IF(K1148="SEAGREEN",PR!$BE1146,IF(K1148="SKG",PR!$BF1146,IF(K1148="TAH",PR!$BG1146,IF(K1148="TAYLEK",PR!$BH1146,IF(K1148="TEMITA",PR!$BI1146,IF(K1148="THL",PR!$BJ1146,IF(K1148="UBASTIC",PR!$BK1146,IF(K1148="UNION",PR!$BL1146,IF(K1148="UNIQUE",PR!$BM1146,IF(K1148="VIXA",PR!$BN1146,IF(K1148="WWCV",PR!$BO1146,IF(K1148="ZOLON",PR!$BP1146,"-")))))))))))))))))))))))))))))))))))))))))))))))))))))))))))))))))</f>
        <v>35100</v>
      </c>
    </row>
    <row r="1149" spans="1:12" ht="18.75" x14ac:dyDescent="0.3">
      <c r="A1149" s="430">
        <f>PR!A1147</f>
        <v>1034</v>
      </c>
      <c r="B1149" s="15" t="str">
        <f>PR!B1147</f>
        <v>ESTRADIOL - ELISA KIT (MONOBIND)</v>
      </c>
      <c r="C1149" s="113" t="str">
        <f>PR!D1147</f>
        <v>96 wells</v>
      </c>
      <c r="D1149" s="113">
        <f>PR!C1147</f>
        <v>4</v>
      </c>
      <c r="E1149" s="108">
        <f>IF(F1149="ALPHA",PR!$E1147,IF(F1149="ASSENE",PR!$F1147,IF(F1149="BIOFEM",PR!$G1147,IF(F1149="BIOMED",PR!$H1147,IF(F1149="CHI",PR!$I1147,IF(F1149="CLARION",PR!$J1147,IF(F1149="CODIX",PR!$K1147,IF(F1149="COSMADE",PR!$L1147,IF(F1149="SANCON",PR!$M1147,IF(F1149="DEVON",PR!$N1147,IF(F1149="DORTEMAG",PR!$O1147,IF(F1149="DGF",PR!$P1147,IF(F1149="DYNAMIC",PR!$Q1147,IF(F1149="EMZOR",PR!$R1147,IF(F1149="EUMATT",PR!$S1147,IF(F1149="FIDSON",PR!$T1147,IF(F1149="FCGLOBAL",PR!$U1147,IF(F1149="GENEITH",PR!$V1147,IF(F1149="GINOS",PR!$W1147,IF(F1149="GSK",PR!$X1147,IF(F1149="GLOBORG",PR!$Y1147,IF(F1149="GOODNEWS",PR!$Z1147,IF(F1149="GREENLIFE",PR!$AA1147,IF(F1149="HLINE",PR!$AB1147,IF(F1149="ROTECH",PR!$AC1147,IF(F1149="ISN",PR!$AD1147,IF(F1149="JAWA",PR!$AE1147,IF(F1149="LAYO",PR!$AF1147,IF(F1149="LEADWAY",PR!$AG1147,IF(F1149="LHV",PR!$AH1147,IF(F1149="MANOLA",PR!$AI1147,IF(F1149="MARCSON",PR!$AJ1147,IF(F1149="M&amp;B",PR!$AK1147,IF(F1149="MTRUST",PR!$AL1147,IF(F1149="MWORLD",PR!$AM1147,IF(F1149="MEGA",PR!$AN1147,IF(F1149="MICRONOVA",PR!$AO1147,IF(F1149="MFLASH",PR!$AP1147,IF(F1149="MORISON",PR!$AQ1147,IF(F1149="NEMEL",PR!$AR1147,IF(F1149="NHP",PR!$AS1147,IF(F1149="NHC",PR!$AT1147,IF(F1149="OLEAF",PR!$AU1147,IF(F1149="OCULUS",PR!$AV1147,IF(F1149="PACIFIC",PR!$AW1147,IF(F1149="PHAMATEX",PR!$AX1147,IF(F1149="PETHICS",PR!$AY1147,IF(F1149="PHILIPS",PR!$AZ1147,IF(F1149="RANBAXY",PR!$BA1147,IF(F1149="REALS",PR!$BB1147,IF(F1149="ROYAL",PR!$BC1147,IF(F1149="SAM",PR!$BD1147,IF(F1149="SEAGREEN",PR!$BE1147,IF(F1149="SKG",PR!$BF1147,IF(F1149="TAH",PR!$BG1147,IF(F1149="TAYLEK",PR!$BH1147,IF(F1149="TEMITA",PR!$BI1147,IF(F1149="THL",PR!$BJ1147,IF(F1149="UBASTIC",PR!$BK1147,IF(F1149="UNION",PR!$BL1147,IF(F1149="UNIQUE",PR!$BM1147,IF(F1149="VIXA",PR!$BN1147,IF(F1149="WWCV",PR!$BO1147,IF(F1149="ZOLON",PR!$BP1147,"-"))))))))))))))))))))))))))))))))))))))))))))))))))))))))))))))))</f>
        <v>35100</v>
      </c>
      <c r="F1149" s="102" t="str">
        <f>EV!L1468</f>
        <v>LAYO</v>
      </c>
      <c r="G1149" s="108">
        <f>IF(H1149="ALPHA",PR!$E1147,IF(H1149="ASSENE",PR!$F1147,IF(H1149="BIOFEM",PR!$G1147,IF(H1149="BIOMED",PR!$H1147,IF(H1149="CHI",PR!$I1147,IF(H1149="CLARION",PR!$J1147,IF(H1149="CODIX",PR!$K1147,IF(H1149="COSMADE",PR!$L1147,IF(H1149="SANCON",PR!$M1147,IF(H1149="DEVON",PR!$N1147,IF(H1149="DORTEMAG",PR!$O1147,IF(H1149="DGF",PR!$P1147,IF(H1149="DYNAMIC",PR!$Q1147,IF(H1149="EMZOR",PR!$R1147,IF(H1149="EUMATT",PR!$S1147,IF(H1149="FIDSON",PR!$T1147,IF(H1149="FCGLOBAL",PR!$U1147,IF(H1149="GENEITH",PR!$V1147,IF(H1149="GINOS",PR!$W1147,IF(H1149="GSK",PR!$X1147,IF(H1149="GLOBORG",PR!$Y1147,IF(H1149="GOODNEWS",PR!$Z1147,IF(H1149="GREENLIFE",PR!$AA1147,IF(H1149="HLINE",PR!$AB1147,IF(H1149="ROTECH",PR!$AC1147,IF(H1149="ISN",PR!$AD1147,IF(H1149="JAWA",PR!$AE1147,IF(H1149="LAYO",PR!$AF1147,IF(H1149="LEADWAY",PR!$AG1147,IF(H1149="LHV",PR!$AH1147,IF(H1149="MANOLA",PR!$AI1147,IF(H1149="MARCSON",PR!$AJ1147,IF(H1149="M&amp;B",PR!$AK1147,IF(H1149="MTRUST",PR!$AL1147,IF(H1149="MWORLD",PR!$AM1147,IF(H1149="MEGA",PR!$AN1147,IF(H1149="MICRONOVA",PR!$AO1147,IF(H1149="MFLASH",PR!$AP1147,IF(H1149="MORISON",PR!$AQ1147,IF(H1149="NEMEL",PR!$AR1147,IF(H1149="NHP",PR!$AS1147,IF(H1149="NHC",PR!$AT1147,IF(H1149="OLEAF",PR!$AU1147,IF(H1149="OCULUS",PR!$AV1147,IF(H1149="PACIFIC",PR!$AW1147,IF(H1149="PHAMATEX",PR!$AX1147,IF(H1149="PETHICS",PR!$AY1147,IF(H1149="PHILIPS",PR!$AZ1147,IF(H1149="RANBAXY",PR!$BA1147,IF(H1149="REALS",PR!$BB1147,IF(H1149="ROYAL",PR!$BC1147,IF(H1149="SAM",PR!$BD1147,IF(H1149="SEAGREEN",PR!$BE1147,IF(H1149="SKG",PR!$BF1147,IF(H1149="TAH",PR!$BG1147,IF(H1149="TAYLEK",PR!$BH1147,IF(H1149="TEMITA",PR!$BI1147,IF(H1149="THL",PR!$BJ1147,IF(H1149="UBASTIC",PR!$BK1147,IF(H1149="UNION",PR!$BL1147,IF(H1149="UNIQUE",PR!$BM1147,IF(H1149="VIXA",PR!$BN1147,IF(H1149="WWCV",PR!$BO1147,IF(H1149="ZOLON",PR!$BP1147,"-"))))))))))))))))))))))))))))))))))))))))))))))))))))))))))))))))</f>
        <v>38000</v>
      </c>
      <c r="H1149" s="102" t="str">
        <f>EV!M1468</f>
        <v>LHV</v>
      </c>
      <c r="I1149" s="108">
        <f>IF(J1149="ALPHA",PR!$E1147,IF(J1149="ASSENE",PR!$F1147,IF(J1149="BIOFEM",PR!$G1147,IF(J1149="BIOMED",PR!$H1147,IF(J1149="CHI",PR!$I1147,IF(J1149="CLARION",PR!$J1147,IF(J1149="CODIX",PR!$K1147,IF(J1149="COSMADE",PR!$L1147,IF(J1149="SANCON",PR!$M1147,IF(J1149="DEVON",PR!$N1147,IF(J1149="DORTEMAG",PR!$O1147,IF(J1149="DGF",PR!$P1147,IF(J1149="DYNAMIC",PR!$Q1147,IF(J1149="EMZOR",PR!$R1147,IF(J1149="EUMATT",PR!$S1147,IF(J1149="FIDSON",PR!$T1147,IF(J1149="FCGLOBAL",PR!$U1147,IF(J1149="GENEITH",PR!$V1147,IF(J1149="GINOS",PR!$W1147,IF(J1149="GSK",PR!$X1147,IF(J1149="GLOBORG",PR!$Y1147,IF(J1149="GOODNEWS",PR!$Z1147,IF(J1149="GREENLIFE",PR!$AA1147,IF(J1149="HLINE",PR!$AB1147,IF(J1149="ROTECH",PR!$AC1147,IF(J1149="ISN",PR!$AD1147,IF(J1149="JAWA",PR!$AE1147,IF(J1149="LAYO",PR!$AF1147,IF(J1149="LEADWAY",PR!$AG1147,IF(J1149="LHV",PR!$AH1147,IF(J1149="MANOLA",PR!$AI1147,IF(J1149="MARCSON",PR!$AJ1147,IF(J1149="M&amp;B",PR!$AK1147,IF(J1149="MTRUST",PR!$AL1147,IF(J1149="MWORLD",PR!$AM1147,IF(J1149="MEGA",PR!$AN1147,IF(J1149="MICRONOVA",PR!$AO1147,IF(J1149="MFLASH",PR!$AP1147,IF(J1149="MORISON",PR!$AQ1147,IF(J1149="NEMEL",PR!$AR1147,IF(J1149="NHP",PR!$AS1147,IF(J1149="NHC",PR!$AT1147,IF(J1149="OLEAF",PR!$AU1147,IF(J1149="OCULUS",PR!$AV1147,IF(J1149="PACIFIC",PR!$AW1147,IF(J1149="PHAMATEX",PR!$AX1147,IF(J1149="PETHICS",PR!$AY1147,IF(J1149="PHILIPS",PR!$AZ1147,IF(J1149="RANBAXY",PR!$BA1147,IF(J1149="REALS",PR!$BB1147,IF(J1149="ROYAL",PR!$BC1147,IF(J1149="SAM",PR!$BD1147,IF(J1149="SEAGREEN",PR!$BE1147,IF(J1149="SKG",PR!$BF1147,IF(J1149="TAH",PR!$BG1147,IF(J1149="TAYLEK",PR!$BH1147,IF(J1149="TEMITA",PR!$BI1147,IF(J1149="THL",PR!$BJ1147,IF(J1149="UBASTIC",PR!$BK1147,IF(J1149="UNION",PR!$BL1147,IF(J1149="UNIQUE",PR!$BM1147,IF(J1149="VIXA",PR!$BN1147,IF(J1149="WWCV",PR!$BO1147,IF(J1149="ZOLON",PR!$BP1147,"-"))))))))))))))))))))))))))))))))))))))))))))))))))))))))))))))))</f>
        <v>45000</v>
      </c>
      <c r="J1149" s="102" t="str">
        <f>EV!N1468</f>
        <v>COSMADE</v>
      </c>
      <c r="K1149" s="433" t="s">
        <v>1461</v>
      </c>
      <c r="L1149" s="183">
        <f>IF(K1149&gt;0,IF(K1149="ALPHA",PR!$E1147,IF(K1149="ASSENE",PR!$F1147,IF(K1149="BIOFEM",PR!$G1147,IF(K1149="BIOMED",PR!$H1147,IF(K1149="CHI",PR!$I1147,IF(K1149="CLARION",PR!$J1147,IF(K1149="CODIX",PR!$K1147,IF(K1149="COSMADE",PR!$L1147,IF(K1149="SANCON",PR!$M1147,IF(K1149="DEVON",PR!$N1147,IF(K1149="DORTEMAG",PR!$O1147,IF(K1149="DGF",PR!$P1147,IF(K1149="DYNAMIC",PR!$Q1147,IF(K1149="EMZOR",PR!$R1147,IF(K1149="EUMATT",PR!$S1147,IF(K1149="FIDSON",PR!$T1147,IF(K1149="FCGLOBAL",PR!$U1147,IF(K1149="GENEITH",PR!$V1147,IF(K1149="GINOS",PR!$W1147,IF(K1149="GSK",PR!$X1147,IF(K1149="GLOBORG",PR!$Y1147,IF(K1149="GOODNEWS",PR!$Z1147,IF(K1149="GREENLIFE",PR!$AA1147,IF(K1149="HLINE",PR!$AB1147,IF(K1149="ROTECH",PR!$AC1147,IF(K1149="ISN",PR!$AD1147,IF(K1149="JAWA",PR!$AE1147,IF(K1149="LAYO",PR!$AF1147,IF(K1149="LEADWAY",PR!$AG1147,IF(K1149="LHV",PR!$AH1147,IF(K1149="MANOLA",PR!$AI1147,IF(K1149="MARCSON",PR!$AJ1147,IF(K1149="M&amp;B",PR!$AK1147,IF(K1149="MTRUST",PR!$AL1147,IF(K1149="MWORLD",PR!$AM1147,IF(K1149="MEGA",PR!$AN1147,IF(K1149="MICRONOVA",PR!$AO1147,IF(K1149="MFLASH",PR!$AP1147,IF(K1149="MORISON",PR!$AQ1147,IF(K1149="NEMEL",PR!$AR1147,IF(K1149="NHP",PR!$AS1147,IF(K1149="NHC",PR!$AT1147,IF(K1149="OLEAF",PR!$AU1147,IF(K1149="OCULUS",PR!$AV1147,IF(K1149="PACIFIC",PR!$AW1147,IF(K1149="PHAMATEX",PR!$AX1147,IF(K1149="PETHICS",PR!$AY1147,IF(K1149="PHILIPS",PR!$AZ1147,IF(K1149="RANBAXY",PR!$BA1147,IF(K1149="REALS",PR!$BB1147,IF(K1149="ROYAL",PR!$BC1147,IF(K1149="SAM",PR!$BD1147,IF(K1149="SEAGREEN",PR!$BE1147,IF(K1149="SKG",PR!$BF1147,IF(K1149="TAH",PR!$BG1147,IF(K1149="TAYLEK",PR!$BH1147,IF(K1149="TEMITA",PR!$BI1147,IF(K1149="THL",PR!$BJ1147,IF(K1149="UBASTIC",PR!$BK1147,IF(K1149="UNION",PR!$BL1147,IF(K1149="UNIQUE",PR!$BM1147,IF(K1149="VIXA",PR!$BN1147,IF(K1149="WWCV",PR!$BO1147,IF(K1149="ZOLON",PR!$BP1147,"-")))))))))))))))))))))))))))))))))))))))))))))))))))))))))))))))))</f>
        <v>35100</v>
      </c>
    </row>
    <row r="1150" spans="1:12" ht="18.75" x14ac:dyDescent="0.3">
      <c r="A1150" s="430">
        <f>PR!A1148</f>
        <v>1035</v>
      </c>
      <c r="B1150" s="15" t="str">
        <f>PR!B1148</f>
        <v>PROLACTIN - ELISA KIT (MONOBIND)</v>
      </c>
      <c r="C1150" s="113" t="str">
        <f>PR!D1148</f>
        <v>96 wells</v>
      </c>
      <c r="D1150" s="113">
        <f>PR!C1148</f>
        <v>4</v>
      </c>
      <c r="E1150" s="108">
        <f>IF(F1150="ALPHA",PR!$E1148,IF(F1150="ASSENE",PR!$F1148,IF(F1150="BIOFEM",PR!$G1148,IF(F1150="BIOMED",PR!$H1148,IF(F1150="CHI",PR!$I1148,IF(F1150="CLARION",PR!$J1148,IF(F1150="CODIX",PR!$K1148,IF(F1150="COSMADE",PR!$L1148,IF(F1150="SANCON",PR!$M1148,IF(F1150="DEVON",PR!$N1148,IF(F1150="DORTEMAG",PR!$O1148,IF(F1150="DGF",PR!$P1148,IF(F1150="DYNAMIC",PR!$Q1148,IF(F1150="EMZOR",PR!$R1148,IF(F1150="EUMATT",PR!$S1148,IF(F1150="FIDSON",PR!$T1148,IF(F1150="FCGLOBAL",PR!$U1148,IF(F1150="GENEITH",PR!$V1148,IF(F1150="GINOS",PR!$W1148,IF(F1150="GSK",PR!$X1148,IF(F1150="GLOBORG",PR!$Y1148,IF(F1150="GOODNEWS",PR!$Z1148,IF(F1150="GREENLIFE",PR!$AA1148,IF(F1150="HLINE",PR!$AB1148,IF(F1150="ROTECH",PR!$AC1148,IF(F1150="ISN",PR!$AD1148,IF(F1150="JAWA",PR!$AE1148,IF(F1150="LAYO",PR!$AF1148,IF(F1150="LEADWAY",PR!$AG1148,IF(F1150="LHV",PR!$AH1148,IF(F1150="MANOLA",PR!$AI1148,IF(F1150="MARCSON",PR!$AJ1148,IF(F1150="M&amp;B",PR!$AK1148,IF(F1150="MTRUST",PR!$AL1148,IF(F1150="MWORLD",PR!$AM1148,IF(F1150="MEGA",PR!$AN1148,IF(F1150="MICRONOVA",PR!$AO1148,IF(F1150="MFLASH",PR!$AP1148,IF(F1150="MORISON",PR!$AQ1148,IF(F1150="NEMEL",PR!$AR1148,IF(F1150="NHP",PR!$AS1148,IF(F1150="NHC",PR!$AT1148,IF(F1150="OLEAF",PR!$AU1148,IF(F1150="OCULUS",PR!$AV1148,IF(F1150="PACIFIC",PR!$AW1148,IF(F1150="PHAMATEX",PR!$AX1148,IF(F1150="PETHICS",PR!$AY1148,IF(F1150="PHILIPS",PR!$AZ1148,IF(F1150="RANBAXY",PR!$BA1148,IF(F1150="REALS",PR!$BB1148,IF(F1150="ROYAL",PR!$BC1148,IF(F1150="SAM",PR!$BD1148,IF(F1150="SEAGREEN",PR!$BE1148,IF(F1150="SKG",PR!$BF1148,IF(F1150="TAH",PR!$BG1148,IF(F1150="TAYLEK",PR!$BH1148,IF(F1150="TEMITA",PR!$BI1148,IF(F1150="THL",PR!$BJ1148,IF(F1150="UBASTIC",PR!$BK1148,IF(F1150="UNION",PR!$BL1148,IF(F1150="UNIQUE",PR!$BM1148,IF(F1150="VIXA",PR!$BN1148,IF(F1150="WWCV",PR!$BO1148,IF(F1150="ZOLON",PR!$BP1148,"-"))))))))))))))))))))))))))))))))))))))))))))))))))))))))))))))))</f>
        <v>28000</v>
      </c>
      <c r="F1150" s="102" t="str">
        <f>EV!L1469</f>
        <v>LHV</v>
      </c>
      <c r="G1150" s="108">
        <f>IF(H1150="ALPHA",PR!$E1148,IF(H1150="ASSENE",PR!$F1148,IF(H1150="BIOFEM",PR!$G1148,IF(H1150="BIOMED",PR!$H1148,IF(H1150="CHI",PR!$I1148,IF(H1150="CLARION",PR!$J1148,IF(H1150="CODIX",PR!$K1148,IF(H1150="COSMADE",PR!$L1148,IF(H1150="SANCON",PR!$M1148,IF(H1150="DEVON",PR!$N1148,IF(H1150="DORTEMAG",PR!$O1148,IF(H1150="DGF",PR!$P1148,IF(H1150="DYNAMIC",PR!$Q1148,IF(H1150="EMZOR",PR!$R1148,IF(H1150="EUMATT",PR!$S1148,IF(H1150="FIDSON",PR!$T1148,IF(H1150="FCGLOBAL",PR!$U1148,IF(H1150="GENEITH",PR!$V1148,IF(H1150="GINOS",PR!$W1148,IF(H1150="GSK",PR!$X1148,IF(H1150="GLOBORG",PR!$Y1148,IF(H1150="GOODNEWS",PR!$Z1148,IF(H1150="GREENLIFE",PR!$AA1148,IF(H1150="HLINE",PR!$AB1148,IF(H1150="ROTECH",PR!$AC1148,IF(H1150="ISN",PR!$AD1148,IF(H1150="JAWA",PR!$AE1148,IF(H1150="LAYO",PR!$AF1148,IF(H1150="LEADWAY",PR!$AG1148,IF(H1150="LHV",PR!$AH1148,IF(H1150="MANOLA",PR!$AI1148,IF(H1150="MARCSON",PR!$AJ1148,IF(H1150="M&amp;B",PR!$AK1148,IF(H1150="MTRUST",PR!$AL1148,IF(H1150="MWORLD",PR!$AM1148,IF(H1150="MEGA",PR!$AN1148,IF(H1150="MICRONOVA",PR!$AO1148,IF(H1150="MFLASH",PR!$AP1148,IF(H1150="MORISON",PR!$AQ1148,IF(H1150="NEMEL",PR!$AR1148,IF(H1150="NHP",PR!$AS1148,IF(H1150="NHC",PR!$AT1148,IF(H1150="OLEAF",PR!$AU1148,IF(H1150="OCULUS",PR!$AV1148,IF(H1150="PACIFIC",PR!$AW1148,IF(H1150="PHAMATEX",PR!$AX1148,IF(H1150="PETHICS",PR!$AY1148,IF(H1150="PHILIPS",PR!$AZ1148,IF(H1150="RANBAXY",PR!$BA1148,IF(H1150="REALS",PR!$BB1148,IF(H1150="ROYAL",PR!$BC1148,IF(H1150="SAM",PR!$BD1148,IF(H1150="SEAGREEN",PR!$BE1148,IF(H1150="SKG",PR!$BF1148,IF(H1150="TAH",PR!$BG1148,IF(H1150="TAYLEK",PR!$BH1148,IF(H1150="TEMITA",PR!$BI1148,IF(H1150="THL",PR!$BJ1148,IF(H1150="UBASTIC",PR!$BK1148,IF(H1150="UNION",PR!$BL1148,IF(H1150="UNIQUE",PR!$BM1148,IF(H1150="VIXA",PR!$BN1148,IF(H1150="WWCV",PR!$BO1148,IF(H1150="ZOLON",PR!$BP1148,"-"))))))))))))))))))))))))))))))))))))))))))))))))))))))))))))))))</f>
        <v>31500</v>
      </c>
      <c r="H1150" s="102" t="str">
        <f>EV!M1469</f>
        <v>LAYO</v>
      </c>
      <c r="I1150" s="108">
        <f>IF(J1150="ALPHA",PR!$E1148,IF(J1150="ASSENE",PR!$F1148,IF(J1150="BIOFEM",PR!$G1148,IF(J1150="BIOMED",PR!$H1148,IF(J1150="CHI",PR!$I1148,IF(J1150="CLARION",PR!$J1148,IF(J1150="CODIX",PR!$K1148,IF(J1150="COSMADE",PR!$L1148,IF(J1150="SANCON",PR!$M1148,IF(J1150="DEVON",PR!$N1148,IF(J1150="DORTEMAG",PR!$O1148,IF(J1150="DGF",PR!$P1148,IF(J1150="DYNAMIC",PR!$Q1148,IF(J1150="EMZOR",PR!$R1148,IF(J1150="EUMATT",PR!$S1148,IF(J1150="FIDSON",PR!$T1148,IF(J1150="FCGLOBAL",PR!$U1148,IF(J1150="GENEITH",PR!$V1148,IF(J1150="GINOS",PR!$W1148,IF(J1150="GSK",PR!$X1148,IF(J1150="GLOBORG",PR!$Y1148,IF(J1150="GOODNEWS",PR!$Z1148,IF(J1150="GREENLIFE",PR!$AA1148,IF(J1150="HLINE",PR!$AB1148,IF(J1150="ROTECH",PR!$AC1148,IF(J1150="ISN",PR!$AD1148,IF(J1150="JAWA",PR!$AE1148,IF(J1150="LAYO",PR!$AF1148,IF(J1150="LEADWAY",PR!$AG1148,IF(J1150="LHV",PR!$AH1148,IF(J1150="MANOLA",PR!$AI1148,IF(J1150="MARCSON",PR!$AJ1148,IF(J1150="M&amp;B",PR!$AK1148,IF(J1150="MTRUST",PR!$AL1148,IF(J1150="MWORLD",PR!$AM1148,IF(J1150="MEGA",PR!$AN1148,IF(J1150="MICRONOVA",PR!$AO1148,IF(J1150="MFLASH",PR!$AP1148,IF(J1150="MORISON",PR!$AQ1148,IF(J1150="NEMEL",PR!$AR1148,IF(J1150="NHP",PR!$AS1148,IF(J1150="NHC",PR!$AT1148,IF(J1150="OLEAF",PR!$AU1148,IF(J1150="OCULUS",PR!$AV1148,IF(J1150="PACIFIC",PR!$AW1148,IF(J1150="PHAMATEX",PR!$AX1148,IF(J1150="PETHICS",PR!$AY1148,IF(J1150="PHILIPS",PR!$AZ1148,IF(J1150="RANBAXY",PR!$BA1148,IF(J1150="REALS",PR!$BB1148,IF(J1150="ROYAL",PR!$BC1148,IF(J1150="SAM",PR!$BD1148,IF(J1150="SEAGREEN",PR!$BE1148,IF(J1150="SKG",PR!$BF1148,IF(J1150="TAH",PR!$BG1148,IF(J1150="TAYLEK",PR!$BH1148,IF(J1150="TEMITA",PR!$BI1148,IF(J1150="THL",PR!$BJ1148,IF(J1150="UBASTIC",PR!$BK1148,IF(J1150="UNION",PR!$BL1148,IF(J1150="UNIQUE",PR!$BM1148,IF(J1150="VIXA",PR!$BN1148,IF(J1150="WWCV",PR!$BO1148,IF(J1150="ZOLON",PR!$BP1148,"-"))))))))))))))))))))))))))))))))))))))))))))))))))))))))))))))))</f>
        <v>45000</v>
      </c>
      <c r="J1150" s="102" t="str">
        <f>EV!N1469</f>
        <v>COSMADE</v>
      </c>
      <c r="K1150" s="433" t="s">
        <v>1468</v>
      </c>
      <c r="L1150" s="183">
        <f>IF(K1150&gt;0,IF(K1150="ALPHA",PR!$E1148,IF(K1150="ASSENE",PR!$F1148,IF(K1150="BIOFEM",PR!$G1148,IF(K1150="BIOMED",PR!$H1148,IF(K1150="CHI",PR!$I1148,IF(K1150="CLARION",PR!$J1148,IF(K1150="CODIX",PR!$K1148,IF(K1150="COSMADE",PR!$L1148,IF(K1150="SANCON",PR!$M1148,IF(K1150="DEVON",PR!$N1148,IF(K1150="DORTEMAG",PR!$O1148,IF(K1150="DGF",PR!$P1148,IF(K1150="DYNAMIC",PR!$Q1148,IF(K1150="EMZOR",PR!$R1148,IF(K1150="EUMATT",PR!$S1148,IF(K1150="FIDSON",PR!$T1148,IF(K1150="FCGLOBAL",PR!$U1148,IF(K1150="GENEITH",PR!$V1148,IF(K1150="GINOS",PR!$W1148,IF(K1150="GSK",PR!$X1148,IF(K1150="GLOBORG",PR!$Y1148,IF(K1150="GOODNEWS",PR!$Z1148,IF(K1150="GREENLIFE",PR!$AA1148,IF(K1150="HLINE",PR!$AB1148,IF(K1150="ROTECH",PR!$AC1148,IF(K1150="ISN",PR!$AD1148,IF(K1150="JAWA",PR!$AE1148,IF(K1150="LAYO",PR!$AF1148,IF(K1150="LEADWAY",PR!$AG1148,IF(K1150="LHV",PR!$AH1148,IF(K1150="MANOLA",PR!$AI1148,IF(K1150="MARCSON",PR!$AJ1148,IF(K1150="M&amp;B",PR!$AK1148,IF(K1150="MTRUST",PR!$AL1148,IF(K1150="MWORLD",PR!$AM1148,IF(K1150="MEGA",PR!$AN1148,IF(K1150="MICRONOVA",PR!$AO1148,IF(K1150="MFLASH",PR!$AP1148,IF(K1150="MORISON",PR!$AQ1148,IF(K1150="NEMEL",PR!$AR1148,IF(K1150="NHP",PR!$AS1148,IF(K1150="NHC",PR!$AT1148,IF(K1150="OLEAF",PR!$AU1148,IF(K1150="OCULUS",PR!$AV1148,IF(K1150="PACIFIC",PR!$AW1148,IF(K1150="PHAMATEX",PR!$AX1148,IF(K1150="PETHICS",PR!$AY1148,IF(K1150="PHILIPS",PR!$AZ1148,IF(K1150="RANBAXY",PR!$BA1148,IF(K1150="REALS",PR!$BB1148,IF(K1150="ROYAL",PR!$BC1148,IF(K1150="SAM",PR!$BD1148,IF(K1150="SEAGREEN",PR!$BE1148,IF(K1150="SKG",PR!$BF1148,IF(K1150="TAH",PR!$BG1148,IF(K1150="TAYLEK",PR!$BH1148,IF(K1150="TEMITA",PR!$BI1148,IF(K1150="THL",PR!$BJ1148,IF(K1150="UBASTIC",PR!$BK1148,IF(K1150="UNION",PR!$BL1148,IF(K1150="UNIQUE",PR!$BM1148,IF(K1150="VIXA",PR!$BN1148,IF(K1150="WWCV",PR!$BO1148,IF(K1150="ZOLON",PR!$BP1148,"-")))))))))))))))))))))))))))))))))))))))))))))))))))))))))))))))))</f>
        <v>28000</v>
      </c>
    </row>
    <row r="1151" spans="1:12" ht="18.75" x14ac:dyDescent="0.3">
      <c r="A1151" s="430">
        <f>PR!A1149</f>
        <v>1036</v>
      </c>
      <c r="B1151" s="15" t="str">
        <f>PR!B1149</f>
        <v>LEUTINIZING HORMONE - ELISA KIT (MONOBIND)</v>
      </c>
      <c r="C1151" s="113" t="str">
        <f>PR!D1149</f>
        <v>96 wells</v>
      </c>
      <c r="D1151" s="113">
        <f>PR!C1149</f>
        <v>4</v>
      </c>
      <c r="E1151" s="108">
        <f>IF(F1151="ALPHA",PR!$E1149,IF(F1151="ASSENE",PR!$F1149,IF(F1151="BIOFEM",PR!$G1149,IF(F1151="BIOMED",PR!$H1149,IF(F1151="CHI",PR!$I1149,IF(F1151="CLARION",PR!$J1149,IF(F1151="CODIX",PR!$K1149,IF(F1151="COSMADE",PR!$L1149,IF(F1151="SANCON",PR!$M1149,IF(F1151="DEVON",PR!$N1149,IF(F1151="DORTEMAG",PR!$O1149,IF(F1151="DGF",PR!$P1149,IF(F1151="DYNAMIC",PR!$Q1149,IF(F1151="EMZOR",PR!$R1149,IF(F1151="EUMATT",PR!$S1149,IF(F1151="FIDSON",PR!$T1149,IF(F1151="FCGLOBAL",PR!$U1149,IF(F1151="GENEITH",PR!$V1149,IF(F1151="GINOS",PR!$W1149,IF(F1151="GSK",PR!$X1149,IF(F1151="GLOBORG",PR!$Y1149,IF(F1151="GOODNEWS",PR!$Z1149,IF(F1151="GREENLIFE",PR!$AA1149,IF(F1151="HLINE",PR!$AB1149,IF(F1151="ROTECH",PR!$AC1149,IF(F1151="ISN",PR!$AD1149,IF(F1151="JAWA",PR!$AE1149,IF(F1151="LAYO",PR!$AF1149,IF(F1151="LEADWAY",PR!$AG1149,IF(F1151="LHV",PR!$AH1149,IF(F1151="MANOLA",PR!$AI1149,IF(F1151="MARCSON",PR!$AJ1149,IF(F1151="M&amp;B",PR!$AK1149,IF(F1151="MTRUST",PR!$AL1149,IF(F1151="MWORLD",PR!$AM1149,IF(F1151="MEGA",PR!$AN1149,IF(F1151="MICRONOVA",PR!$AO1149,IF(F1151="MFLASH",PR!$AP1149,IF(F1151="MORISON",PR!$AQ1149,IF(F1151="NEMEL",PR!$AR1149,IF(F1151="NHP",PR!$AS1149,IF(F1151="NHC",PR!$AT1149,IF(F1151="OLEAF",PR!$AU1149,IF(F1151="OCULUS",PR!$AV1149,IF(F1151="PACIFIC",PR!$AW1149,IF(F1151="PHAMATEX",PR!$AX1149,IF(F1151="PETHICS",PR!$AY1149,IF(F1151="PHILIPS",PR!$AZ1149,IF(F1151="RANBAXY",PR!$BA1149,IF(F1151="REALS",PR!$BB1149,IF(F1151="ROYAL",PR!$BC1149,IF(F1151="SAM",PR!$BD1149,IF(F1151="SEAGREEN",PR!$BE1149,IF(F1151="SKG",PR!$BF1149,IF(F1151="TAH",PR!$BG1149,IF(F1151="TAYLEK",PR!$BH1149,IF(F1151="TEMITA",PR!$BI1149,IF(F1151="THL",PR!$BJ1149,IF(F1151="UBASTIC",PR!$BK1149,IF(F1151="UNION",PR!$BL1149,IF(F1151="UNIQUE",PR!$BM1149,IF(F1151="VIXA",PR!$BN1149,IF(F1151="WWCV",PR!$BO1149,IF(F1151="ZOLON",PR!$BP1149,"-"))))))))))))))))))))))))))))))))))))))))))))))))))))))))))))))))</f>
        <v>28000</v>
      </c>
      <c r="F1151" s="102" t="str">
        <f>EV!L1470</f>
        <v>LHV</v>
      </c>
      <c r="G1151" s="108">
        <f>IF(H1151="ALPHA",PR!$E1149,IF(H1151="ASSENE",PR!$F1149,IF(H1151="BIOFEM",PR!$G1149,IF(H1151="BIOMED",PR!$H1149,IF(H1151="CHI",PR!$I1149,IF(H1151="CLARION",PR!$J1149,IF(H1151="CODIX",PR!$K1149,IF(H1151="COSMADE",PR!$L1149,IF(H1151="SANCON",PR!$M1149,IF(H1151="DEVON",PR!$N1149,IF(H1151="DORTEMAG",PR!$O1149,IF(H1151="DGF",PR!$P1149,IF(H1151="DYNAMIC",PR!$Q1149,IF(H1151="EMZOR",PR!$R1149,IF(H1151="EUMATT",PR!$S1149,IF(H1151="FIDSON",PR!$T1149,IF(H1151="FCGLOBAL",PR!$U1149,IF(H1151="GENEITH",PR!$V1149,IF(H1151="GINOS",PR!$W1149,IF(H1151="GSK",PR!$X1149,IF(H1151="GLOBORG",PR!$Y1149,IF(H1151="GOODNEWS",PR!$Z1149,IF(H1151="GREENLIFE",PR!$AA1149,IF(H1151="HLINE",PR!$AB1149,IF(H1151="ROTECH",PR!$AC1149,IF(H1151="ISN",PR!$AD1149,IF(H1151="JAWA",PR!$AE1149,IF(H1151="LAYO",PR!$AF1149,IF(H1151="LEADWAY",PR!$AG1149,IF(H1151="LHV",PR!$AH1149,IF(H1151="MANOLA",PR!$AI1149,IF(H1151="MARCSON",PR!$AJ1149,IF(H1151="M&amp;B",PR!$AK1149,IF(H1151="MTRUST",PR!$AL1149,IF(H1151="MWORLD",PR!$AM1149,IF(H1151="MEGA",PR!$AN1149,IF(H1151="MICRONOVA",PR!$AO1149,IF(H1151="MFLASH",PR!$AP1149,IF(H1151="MORISON",PR!$AQ1149,IF(H1151="NEMEL",PR!$AR1149,IF(H1151="NHP",PR!$AS1149,IF(H1151="NHC",PR!$AT1149,IF(H1151="OLEAF",PR!$AU1149,IF(H1151="OCULUS",PR!$AV1149,IF(H1151="PACIFIC",PR!$AW1149,IF(H1151="PHAMATEX",PR!$AX1149,IF(H1151="PETHICS",PR!$AY1149,IF(H1151="PHILIPS",PR!$AZ1149,IF(H1151="RANBAXY",PR!$BA1149,IF(H1151="REALS",PR!$BB1149,IF(H1151="ROYAL",PR!$BC1149,IF(H1151="SAM",PR!$BD1149,IF(H1151="SEAGREEN",PR!$BE1149,IF(H1151="SKG",PR!$BF1149,IF(H1151="TAH",PR!$BG1149,IF(H1151="TAYLEK",PR!$BH1149,IF(H1151="TEMITA",PR!$BI1149,IF(H1151="THL",PR!$BJ1149,IF(H1151="UBASTIC",PR!$BK1149,IF(H1151="UNION",PR!$BL1149,IF(H1151="UNIQUE",PR!$BM1149,IF(H1151="VIXA",PR!$BN1149,IF(H1151="WWCV",PR!$BO1149,IF(H1151="ZOLON",PR!$BP1149,"-"))))))))))))))))))))))))))))))))))))))))))))))))))))))))))))))))</f>
        <v>31500</v>
      </c>
      <c r="H1151" s="102" t="str">
        <f>EV!M1470</f>
        <v>LAYO</v>
      </c>
      <c r="I1151" s="108">
        <f>IF(J1151="ALPHA",PR!$E1149,IF(J1151="ASSENE",PR!$F1149,IF(J1151="BIOFEM",PR!$G1149,IF(J1151="BIOMED",PR!$H1149,IF(J1151="CHI",PR!$I1149,IF(J1151="CLARION",PR!$J1149,IF(J1151="CODIX",PR!$K1149,IF(J1151="COSMADE",PR!$L1149,IF(J1151="SANCON",PR!$M1149,IF(J1151="DEVON",PR!$N1149,IF(J1151="DORTEMAG",PR!$O1149,IF(J1151="DGF",PR!$P1149,IF(J1151="DYNAMIC",PR!$Q1149,IF(J1151="EMZOR",PR!$R1149,IF(J1151="EUMATT",PR!$S1149,IF(J1151="FIDSON",PR!$T1149,IF(J1151="FCGLOBAL",PR!$U1149,IF(J1151="GENEITH",PR!$V1149,IF(J1151="GINOS",PR!$W1149,IF(J1151="GSK",PR!$X1149,IF(J1151="GLOBORG",PR!$Y1149,IF(J1151="GOODNEWS",PR!$Z1149,IF(J1151="GREENLIFE",PR!$AA1149,IF(J1151="HLINE",PR!$AB1149,IF(J1151="ROTECH",PR!$AC1149,IF(J1151="ISN",PR!$AD1149,IF(J1151="JAWA",PR!$AE1149,IF(J1151="LAYO",PR!$AF1149,IF(J1151="LEADWAY",PR!$AG1149,IF(J1151="LHV",PR!$AH1149,IF(J1151="MANOLA",PR!$AI1149,IF(J1151="MARCSON",PR!$AJ1149,IF(J1151="M&amp;B",PR!$AK1149,IF(J1151="MTRUST",PR!$AL1149,IF(J1151="MWORLD",PR!$AM1149,IF(J1151="MEGA",PR!$AN1149,IF(J1151="MICRONOVA",PR!$AO1149,IF(J1151="MFLASH",PR!$AP1149,IF(J1151="MORISON",PR!$AQ1149,IF(J1151="NEMEL",PR!$AR1149,IF(J1151="NHP",PR!$AS1149,IF(J1151="NHC",PR!$AT1149,IF(J1151="OLEAF",PR!$AU1149,IF(J1151="OCULUS",PR!$AV1149,IF(J1151="PACIFIC",PR!$AW1149,IF(J1151="PHAMATEX",PR!$AX1149,IF(J1151="PETHICS",PR!$AY1149,IF(J1151="PHILIPS",PR!$AZ1149,IF(J1151="RANBAXY",PR!$BA1149,IF(J1151="REALS",PR!$BB1149,IF(J1151="ROYAL",PR!$BC1149,IF(J1151="SAM",PR!$BD1149,IF(J1151="SEAGREEN",PR!$BE1149,IF(J1151="SKG",PR!$BF1149,IF(J1151="TAH",PR!$BG1149,IF(J1151="TAYLEK",PR!$BH1149,IF(J1151="TEMITA",PR!$BI1149,IF(J1151="THL",PR!$BJ1149,IF(J1151="UBASTIC",PR!$BK1149,IF(J1151="UNION",PR!$BL1149,IF(J1151="UNIQUE",PR!$BM1149,IF(J1151="VIXA",PR!$BN1149,IF(J1151="WWCV",PR!$BO1149,IF(J1151="ZOLON",PR!$BP1149,"-"))))))))))))))))))))))))))))))))))))))))))))))))))))))))))))))))</f>
        <v>35000</v>
      </c>
      <c r="J1151" s="102" t="str">
        <f>EV!N1470</f>
        <v>COSMADE</v>
      </c>
      <c r="K1151" s="433" t="s">
        <v>1468</v>
      </c>
      <c r="L1151" s="183">
        <f>IF(K1151&gt;0,IF(K1151="ALPHA",PR!$E1149,IF(K1151="ASSENE",PR!$F1149,IF(K1151="BIOFEM",PR!$G1149,IF(K1151="BIOMED",PR!$H1149,IF(K1151="CHI",PR!$I1149,IF(K1151="CLARION",PR!$J1149,IF(K1151="CODIX",PR!$K1149,IF(K1151="COSMADE",PR!$L1149,IF(K1151="SANCON",PR!$M1149,IF(K1151="DEVON",PR!$N1149,IF(K1151="DORTEMAG",PR!$O1149,IF(K1151="DGF",PR!$P1149,IF(K1151="DYNAMIC",PR!$Q1149,IF(K1151="EMZOR",PR!$R1149,IF(K1151="EUMATT",PR!$S1149,IF(K1151="FIDSON",PR!$T1149,IF(K1151="FCGLOBAL",PR!$U1149,IF(K1151="GENEITH",PR!$V1149,IF(K1151="GINOS",PR!$W1149,IF(K1151="GSK",PR!$X1149,IF(K1151="GLOBORG",PR!$Y1149,IF(K1151="GOODNEWS",PR!$Z1149,IF(K1151="GREENLIFE",PR!$AA1149,IF(K1151="HLINE",PR!$AB1149,IF(K1151="ROTECH",PR!$AC1149,IF(K1151="ISN",PR!$AD1149,IF(K1151="JAWA",PR!$AE1149,IF(K1151="LAYO",PR!$AF1149,IF(K1151="LEADWAY",PR!$AG1149,IF(K1151="LHV",PR!$AH1149,IF(K1151="MANOLA",PR!$AI1149,IF(K1151="MARCSON",PR!$AJ1149,IF(K1151="M&amp;B",PR!$AK1149,IF(K1151="MTRUST",PR!$AL1149,IF(K1151="MWORLD",PR!$AM1149,IF(K1151="MEGA",PR!$AN1149,IF(K1151="MICRONOVA",PR!$AO1149,IF(K1151="MFLASH",PR!$AP1149,IF(K1151="MORISON",PR!$AQ1149,IF(K1151="NEMEL",PR!$AR1149,IF(K1151="NHP",PR!$AS1149,IF(K1151="NHC",PR!$AT1149,IF(K1151="OLEAF",PR!$AU1149,IF(K1151="OCULUS",PR!$AV1149,IF(K1151="PACIFIC",PR!$AW1149,IF(K1151="PHAMATEX",PR!$AX1149,IF(K1151="PETHICS",PR!$AY1149,IF(K1151="PHILIPS",PR!$AZ1149,IF(K1151="RANBAXY",PR!$BA1149,IF(K1151="REALS",PR!$BB1149,IF(K1151="ROYAL",PR!$BC1149,IF(K1151="SAM",PR!$BD1149,IF(K1151="SEAGREEN",PR!$BE1149,IF(K1151="SKG",PR!$BF1149,IF(K1151="TAH",PR!$BG1149,IF(K1151="TAYLEK",PR!$BH1149,IF(K1151="TEMITA",PR!$BI1149,IF(K1151="THL",PR!$BJ1149,IF(K1151="UBASTIC",PR!$BK1149,IF(K1151="UNION",PR!$BL1149,IF(K1151="UNIQUE",PR!$BM1149,IF(K1151="VIXA",PR!$BN1149,IF(K1151="WWCV",PR!$BO1149,IF(K1151="ZOLON",PR!$BP1149,"-")))))))))))))))))))))))))))))))))))))))))))))))))))))))))))))))))</f>
        <v>28000</v>
      </c>
    </row>
    <row r="1152" spans="1:12" ht="18.75" x14ac:dyDescent="0.3">
      <c r="A1152" s="430">
        <f>PR!A1150</f>
        <v>1037</v>
      </c>
      <c r="B1152" s="15" t="str">
        <f>PR!B1150</f>
        <v>FOLLICLE STIMULATING HORMONE - ELISA KIT (MONOBIND)</v>
      </c>
      <c r="C1152" s="113" t="str">
        <f>PR!D1150</f>
        <v>96 wells</v>
      </c>
      <c r="D1152" s="113">
        <f>PR!C1150</f>
        <v>4</v>
      </c>
      <c r="E1152" s="108">
        <f>IF(F1152="ALPHA",PR!$E1150,IF(F1152="ASSENE",PR!$F1150,IF(F1152="BIOFEM",PR!$G1150,IF(F1152="BIOMED",PR!$H1150,IF(F1152="CHI",PR!$I1150,IF(F1152="CLARION",PR!$J1150,IF(F1152="CODIX",PR!$K1150,IF(F1152="COSMADE",PR!$L1150,IF(F1152="SANCON",PR!$M1150,IF(F1152="DEVON",PR!$N1150,IF(F1152="DORTEMAG",PR!$O1150,IF(F1152="DGF",PR!$P1150,IF(F1152="DYNAMIC",PR!$Q1150,IF(F1152="EMZOR",PR!$R1150,IF(F1152="EUMATT",PR!$S1150,IF(F1152="FIDSON",PR!$T1150,IF(F1152="FCGLOBAL",PR!$U1150,IF(F1152="GENEITH",PR!$V1150,IF(F1152="GINOS",PR!$W1150,IF(F1152="GSK",PR!$X1150,IF(F1152="GLOBORG",PR!$Y1150,IF(F1152="GOODNEWS",PR!$Z1150,IF(F1152="GREENLIFE",PR!$AA1150,IF(F1152="HLINE",PR!$AB1150,IF(F1152="ROTECH",PR!$AC1150,IF(F1152="ISN",PR!$AD1150,IF(F1152="JAWA",PR!$AE1150,IF(F1152="LAYO",PR!$AF1150,IF(F1152="LEADWAY",PR!$AG1150,IF(F1152="LHV",PR!$AH1150,IF(F1152="MANOLA",PR!$AI1150,IF(F1152="MARCSON",PR!$AJ1150,IF(F1152="M&amp;B",PR!$AK1150,IF(F1152="MTRUST",PR!$AL1150,IF(F1152="MWORLD",PR!$AM1150,IF(F1152="MEGA",PR!$AN1150,IF(F1152="MICRONOVA",PR!$AO1150,IF(F1152="MFLASH",PR!$AP1150,IF(F1152="MORISON",PR!$AQ1150,IF(F1152="NEMEL",PR!$AR1150,IF(F1152="NHP",PR!$AS1150,IF(F1152="NHC",PR!$AT1150,IF(F1152="OLEAF",PR!$AU1150,IF(F1152="OCULUS",PR!$AV1150,IF(F1152="PACIFIC",PR!$AW1150,IF(F1152="PHAMATEX",PR!$AX1150,IF(F1152="PETHICS",PR!$AY1150,IF(F1152="PHILIPS",PR!$AZ1150,IF(F1152="RANBAXY",PR!$BA1150,IF(F1152="REALS",PR!$BB1150,IF(F1152="ROYAL",PR!$BC1150,IF(F1152="SAM",PR!$BD1150,IF(F1152="SEAGREEN",PR!$BE1150,IF(F1152="SKG",PR!$BF1150,IF(F1152="TAH",PR!$BG1150,IF(F1152="TAYLEK",PR!$BH1150,IF(F1152="TEMITA",PR!$BI1150,IF(F1152="THL",PR!$BJ1150,IF(F1152="UBASTIC",PR!$BK1150,IF(F1152="UNION",PR!$BL1150,IF(F1152="UNIQUE",PR!$BM1150,IF(F1152="VIXA",PR!$BN1150,IF(F1152="WWCV",PR!$BO1150,IF(F1152="ZOLON",PR!$BP1150,"-"))))))))))))))))))))))))))))))))))))))))))))))))))))))))))))))))</f>
        <v>28000</v>
      </c>
      <c r="F1152" s="102" t="str">
        <f>EV!L1471</f>
        <v>LHV</v>
      </c>
      <c r="G1152" s="108">
        <f>IF(H1152="ALPHA",PR!$E1150,IF(H1152="ASSENE",PR!$F1150,IF(H1152="BIOFEM",PR!$G1150,IF(H1152="BIOMED",PR!$H1150,IF(H1152="CHI",PR!$I1150,IF(H1152="CLARION",PR!$J1150,IF(H1152="CODIX",PR!$K1150,IF(H1152="COSMADE",PR!$L1150,IF(H1152="SANCON",PR!$M1150,IF(H1152="DEVON",PR!$N1150,IF(H1152="DORTEMAG",PR!$O1150,IF(H1152="DGF",PR!$P1150,IF(H1152="DYNAMIC",PR!$Q1150,IF(H1152="EMZOR",PR!$R1150,IF(H1152="EUMATT",PR!$S1150,IF(H1152="FIDSON",PR!$T1150,IF(H1152="FCGLOBAL",PR!$U1150,IF(H1152="GENEITH",PR!$V1150,IF(H1152="GINOS",PR!$W1150,IF(H1152="GSK",PR!$X1150,IF(H1152="GLOBORG",PR!$Y1150,IF(H1152="GOODNEWS",PR!$Z1150,IF(H1152="GREENLIFE",PR!$AA1150,IF(H1152="HLINE",PR!$AB1150,IF(H1152="ROTECH",PR!$AC1150,IF(H1152="ISN",PR!$AD1150,IF(H1152="JAWA",PR!$AE1150,IF(H1152="LAYO",PR!$AF1150,IF(H1152="LEADWAY",PR!$AG1150,IF(H1152="LHV",PR!$AH1150,IF(H1152="MANOLA",PR!$AI1150,IF(H1152="MARCSON",PR!$AJ1150,IF(H1152="M&amp;B",PR!$AK1150,IF(H1152="MTRUST",PR!$AL1150,IF(H1152="MWORLD",PR!$AM1150,IF(H1152="MEGA",PR!$AN1150,IF(H1152="MICRONOVA",PR!$AO1150,IF(H1152="MFLASH",PR!$AP1150,IF(H1152="MORISON",PR!$AQ1150,IF(H1152="NEMEL",PR!$AR1150,IF(H1152="NHP",PR!$AS1150,IF(H1152="NHC",PR!$AT1150,IF(H1152="OLEAF",PR!$AU1150,IF(H1152="OCULUS",PR!$AV1150,IF(H1152="PACIFIC",PR!$AW1150,IF(H1152="PHAMATEX",PR!$AX1150,IF(H1152="PETHICS",PR!$AY1150,IF(H1152="PHILIPS",PR!$AZ1150,IF(H1152="RANBAXY",PR!$BA1150,IF(H1152="REALS",PR!$BB1150,IF(H1152="ROYAL",PR!$BC1150,IF(H1152="SAM",PR!$BD1150,IF(H1152="SEAGREEN",PR!$BE1150,IF(H1152="SKG",PR!$BF1150,IF(H1152="TAH",PR!$BG1150,IF(H1152="TAYLEK",PR!$BH1150,IF(H1152="TEMITA",PR!$BI1150,IF(H1152="THL",PR!$BJ1150,IF(H1152="UBASTIC",PR!$BK1150,IF(H1152="UNION",PR!$BL1150,IF(H1152="UNIQUE",PR!$BM1150,IF(H1152="VIXA",PR!$BN1150,IF(H1152="WWCV",PR!$BO1150,IF(H1152="ZOLON",PR!$BP1150,"-"))))))))))))))))))))))))))))))))))))))))))))))))))))))))))))))))</f>
        <v>31500</v>
      </c>
      <c r="H1152" s="102" t="str">
        <f>EV!M1471</f>
        <v>LAYO</v>
      </c>
      <c r="I1152" s="108">
        <f>IF(J1152="ALPHA",PR!$E1150,IF(J1152="ASSENE",PR!$F1150,IF(J1152="BIOFEM",PR!$G1150,IF(J1152="BIOMED",PR!$H1150,IF(J1152="CHI",PR!$I1150,IF(J1152="CLARION",PR!$J1150,IF(J1152="CODIX",PR!$K1150,IF(J1152="COSMADE",PR!$L1150,IF(J1152="SANCON",PR!$M1150,IF(J1152="DEVON",PR!$N1150,IF(J1152="DORTEMAG",PR!$O1150,IF(J1152="DGF",PR!$P1150,IF(J1152="DYNAMIC",PR!$Q1150,IF(J1152="EMZOR",PR!$R1150,IF(J1152="EUMATT",PR!$S1150,IF(J1152="FIDSON",PR!$T1150,IF(J1152="FCGLOBAL",PR!$U1150,IF(J1152="GENEITH",PR!$V1150,IF(J1152="GINOS",PR!$W1150,IF(J1152="GSK",PR!$X1150,IF(J1152="GLOBORG",PR!$Y1150,IF(J1152="GOODNEWS",PR!$Z1150,IF(J1152="GREENLIFE",PR!$AA1150,IF(J1152="HLINE",PR!$AB1150,IF(J1152="ROTECH",PR!$AC1150,IF(J1152="ISN",PR!$AD1150,IF(J1152="JAWA",PR!$AE1150,IF(J1152="LAYO",PR!$AF1150,IF(J1152="LEADWAY",PR!$AG1150,IF(J1152="LHV",PR!$AH1150,IF(J1152="MANOLA",PR!$AI1150,IF(J1152="MARCSON",PR!$AJ1150,IF(J1152="M&amp;B",PR!$AK1150,IF(J1152="MTRUST",PR!$AL1150,IF(J1152="MWORLD",PR!$AM1150,IF(J1152="MEGA",PR!$AN1150,IF(J1152="MICRONOVA",PR!$AO1150,IF(J1152="MFLASH",PR!$AP1150,IF(J1152="MORISON",PR!$AQ1150,IF(J1152="NEMEL",PR!$AR1150,IF(J1152="NHP",PR!$AS1150,IF(J1152="NHC",PR!$AT1150,IF(J1152="OLEAF",PR!$AU1150,IF(J1152="OCULUS",PR!$AV1150,IF(J1152="PACIFIC",PR!$AW1150,IF(J1152="PHAMATEX",PR!$AX1150,IF(J1152="PETHICS",PR!$AY1150,IF(J1152="PHILIPS",PR!$AZ1150,IF(J1152="RANBAXY",PR!$BA1150,IF(J1152="REALS",PR!$BB1150,IF(J1152="ROYAL",PR!$BC1150,IF(J1152="SAM",PR!$BD1150,IF(J1152="SEAGREEN",PR!$BE1150,IF(J1152="SKG",PR!$BF1150,IF(J1152="TAH",PR!$BG1150,IF(J1152="TAYLEK",PR!$BH1150,IF(J1152="TEMITA",PR!$BI1150,IF(J1152="THL",PR!$BJ1150,IF(J1152="UBASTIC",PR!$BK1150,IF(J1152="UNION",PR!$BL1150,IF(J1152="UNIQUE",PR!$BM1150,IF(J1152="VIXA",PR!$BN1150,IF(J1152="WWCV",PR!$BO1150,IF(J1152="ZOLON",PR!$BP1150,"-"))))))))))))))))))))))))))))))))))))))))))))))))))))))))))))))))</f>
        <v>35000</v>
      </c>
      <c r="J1152" s="102" t="str">
        <f>EV!N1471</f>
        <v>COSMADE</v>
      </c>
      <c r="K1152" s="433" t="s">
        <v>1468</v>
      </c>
      <c r="L1152" s="183">
        <f>IF(K1152&gt;0,IF(K1152="ALPHA",PR!$E1150,IF(K1152="ASSENE",PR!$F1150,IF(K1152="BIOFEM",PR!$G1150,IF(K1152="BIOMED",PR!$H1150,IF(K1152="CHI",PR!$I1150,IF(K1152="CLARION",PR!$J1150,IF(K1152="CODIX",PR!$K1150,IF(K1152="COSMADE",PR!$L1150,IF(K1152="SANCON",PR!$M1150,IF(K1152="DEVON",PR!$N1150,IF(K1152="DORTEMAG",PR!$O1150,IF(K1152="DGF",PR!$P1150,IF(K1152="DYNAMIC",PR!$Q1150,IF(K1152="EMZOR",PR!$R1150,IF(K1152="EUMATT",PR!$S1150,IF(K1152="FIDSON",PR!$T1150,IF(K1152="FCGLOBAL",PR!$U1150,IF(K1152="GENEITH",PR!$V1150,IF(K1152="GINOS",PR!$W1150,IF(K1152="GSK",PR!$X1150,IF(K1152="GLOBORG",PR!$Y1150,IF(K1152="GOODNEWS",PR!$Z1150,IF(K1152="GREENLIFE",PR!$AA1150,IF(K1152="HLINE",PR!$AB1150,IF(K1152="ROTECH",PR!$AC1150,IF(K1152="ISN",PR!$AD1150,IF(K1152="JAWA",PR!$AE1150,IF(K1152="LAYO",PR!$AF1150,IF(K1152="LEADWAY",PR!$AG1150,IF(K1152="LHV",PR!$AH1150,IF(K1152="MANOLA",PR!$AI1150,IF(K1152="MARCSON",PR!$AJ1150,IF(K1152="M&amp;B",PR!$AK1150,IF(K1152="MTRUST",PR!$AL1150,IF(K1152="MWORLD",PR!$AM1150,IF(K1152="MEGA",PR!$AN1150,IF(K1152="MICRONOVA",PR!$AO1150,IF(K1152="MFLASH",PR!$AP1150,IF(K1152="MORISON",PR!$AQ1150,IF(K1152="NEMEL",PR!$AR1150,IF(K1152="NHP",PR!$AS1150,IF(K1152="NHC",PR!$AT1150,IF(K1152="OLEAF",PR!$AU1150,IF(K1152="OCULUS",PR!$AV1150,IF(K1152="PACIFIC",PR!$AW1150,IF(K1152="PHAMATEX",PR!$AX1150,IF(K1152="PETHICS",PR!$AY1150,IF(K1152="PHILIPS",PR!$AZ1150,IF(K1152="RANBAXY",PR!$BA1150,IF(K1152="REALS",PR!$BB1150,IF(K1152="ROYAL",PR!$BC1150,IF(K1152="SAM",PR!$BD1150,IF(K1152="SEAGREEN",PR!$BE1150,IF(K1152="SKG",PR!$BF1150,IF(K1152="TAH",PR!$BG1150,IF(K1152="TAYLEK",PR!$BH1150,IF(K1152="TEMITA",PR!$BI1150,IF(K1152="THL",PR!$BJ1150,IF(K1152="UBASTIC",PR!$BK1150,IF(K1152="UNION",PR!$BL1150,IF(K1152="UNIQUE",PR!$BM1150,IF(K1152="VIXA",PR!$BN1150,IF(K1152="WWCV",PR!$BO1150,IF(K1152="ZOLON",PR!$BP1150,"-")))))))))))))))))))))))))))))))))))))))))))))))))))))))))))))))))</f>
        <v>28000</v>
      </c>
    </row>
    <row r="1153" spans="1:12" ht="18.75" x14ac:dyDescent="0.3">
      <c r="A1153" s="430">
        <f>PR!A1151</f>
        <v>1038</v>
      </c>
      <c r="B1153" s="15" t="str">
        <f>PR!B1151</f>
        <v>FREE PSA - ELISA KIT (MONOBIND)</v>
      </c>
      <c r="C1153" s="113" t="str">
        <f>PR!D1151</f>
        <v>96 wells</v>
      </c>
      <c r="D1153" s="113">
        <f>PR!C1151</f>
        <v>2</v>
      </c>
      <c r="E1153" s="108">
        <f>IF(F1153="ALPHA",PR!$E1151,IF(F1153="ASSENE",PR!$F1151,IF(F1153="BIOFEM",PR!$G1151,IF(F1153="BIOMED",PR!$H1151,IF(F1153="CHI",PR!$I1151,IF(F1153="CLARION",PR!$J1151,IF(F1153="CODIX",PR!$K1151,IF(F1153="COSMADE",PR!$L1151,IF(F1153="SANCON",PR!$M1151,IF(F1153="DEVON",PR!$N1151,IF(F1153="DORTEMAG",PR!$O1151,IF(F1153="DGF",PR!$P1151,IF(F1153="DYNAMIC",PR!$Q1151,IF(F1153="EMZOR",PR!$R1151,IF(F1153="EUMATT",PR!$S1151,IF(F1153="FIDSON",PR!$T1151,IF(F1153="FCGLOBAL",PR!$U1151,IF(F1153="GENEITH",PR!$V1151,IF(F1153="GINOS",PR!$W1151,IF(F1153="GSK",PR!$X1151,IF(F1153="GLOBORG",PR!$Y1151,IF(F1153="GOODNEWS",PR!$Z1151,IF(F1153="GREENLIFE",PR!$AA1151,IF(F1153="HLINE",PR!$AB1151,IF(F1153="ROTECH",PR!$AC1151,IF(F1153="ISN",PR!$AD1151,IF(F1153="JAWA",PR!$AE1151,IF(F1153="LAYO",PR!$AF1151,IF(F1153="LEADWAY",PR!$AG1151,IF(F1153="LHV",PR!$AH1151,IF(F1153="MANOLA",PR!$AI1151,IF(F1153="MARCSON",PR!$AJ1151,IF(F1153="M&amp;B",PR!$AK1151,IF(F1153="MTRUST",PR!$AL1151,IF(F1153="MWORLD",PR!$AM1151,IF(F1153="MEGA",PR!$AN1151,IF(F1153="MICRONOVA",PR!$AO1151,IF(F1153="MFLASH",PR!$AP1151,IF(F1153="MORISON",PR!$AQ1151,IF(F1153="NEMEL",PR!$AR1151,IF(F1153="NHP",PR!$AS1151,IF(F1153="NHC",PR!$AT1151,IF(F1153="OLEAF",PR!$AU1151,IF(F1153="OCULUS",PR!$AV1151,IF(F1153="PACIFIC",PR!$AW1151,IF(F1153="PHAMATEX",PR!$AX1151,IF(F1153="PETHICS",PR!$AY1151,IF(F1153="PHILIPS",PR!$AZ1151,IF(F1153="RANBAXY",PR!$BA1151,IF(F1153="REALS",PR!$BB1151,IF(F1153="ROYAL",PR!$BC1151,IF(F1153="SAM",PR!$BD1151,IF(F1153="SEAGREEN",PR!$BE1151,IF(F1153="SKG",PR!$BF1151,IF(F1153="TAH",PR!$BG1151,IF(F1153="TAYLEK",PR!$BH1151,IF(F1153="TEMITA",PR!$BI1151,IF(F1153="THL",PR!$BJ1151,IF(F1153="UBASTIC",PR!$BK1151,IF(F1153="UNION",PR!$BL1151,IF(F1153="UNIQUE",PR!$BM1151,IF(F1153="VIXA",PR!$BN1151,IF(F1153="WWCV",PR!$BO1151,IF(F1153="ZOLON",PR!$BP1151,"-"))))))))))))))))))))))))))))))))))))))))))))))))))))))))))))))))</f>
        <v>38000</v>
      </c>
      <c r="F1153" s="102" t="str">
        <f>EV!L1472</f>
        <v>LHV</v>
      </c>
      <c r="G1153" s="108">
        <f>IF(H1153="ALPHA",PR!$E1151,IF(H1153="ASSENE",PR!$F1151,IF(H1153="BIOFEM",PR!$G1151,IF(H1153="BIOMED",PR!$H1151,IF(H1153="CHI",PR!$I1151,IF(H1153="CLARION",PR!$J1151,IF(H1153="CODIX",PR!$K1151,IF(H1153="COSMADE",PR!$L1151,IF(H1153="SANCON",PR!$M1151,IF(H1153="DEVON",PR!$N1151,IF(H1153="DORTEMAG",PR!$O1151,IF(H1153="DGF",PR!$P1151,IF(H1153="DYNAMIC",PR!$Q1151,IF(H1153="EMZOR",PR!$R1151,IF(H1153="EUMATT",PR!$S1151,IF(H1153="FIDSON",PR!$T1151,IF(H1153="FCGLOBAL",PR!$U1151,IF(H1153="GENEITH",PR!$V1151,IF(H1153="GINOS",PR!$W1151,IF(H1153="GSK",PR!$X1151,IF(H1153="GLOBORG",PR!$Y1151,IF(H1153="GOODNEWS",PR!$Z1151,IF(H1153="GREENLIFE",PR!$AA1151,IF(H1153="HLINE",PR!$AB1151,IF(H1153="ROTECH",PR!$AC1151,IF(H1153="ISN",PR!$AD1151,IF(H1153="JAWA",PR!$AE1151,IF(H1153="LAYO",PR!$AF1151,IF(H1153="LEADWAY",PR!$AG1151,IF(H1153="LHV",PR!$AH1151,IF(H1153="MANOLA",PR!$AI1151,IF(H1153="MARCSON",PR!$AJ1151,IF(H1153="M&amp;B",PR!$AK1151,IF(H1153="MTRUST",PR!$AL1151,IF(H1153="MWORLD",PR!$AM1151,IF(H1153="MEGA",PR!$AN1151,IF(H1153="MICRONOVA",PR!$AO1151,IF(H1153="MFLASH",PR!$AP1151,IF(H1153="MORISON",PR!$AQ1151,IF(H1153="NEMEL",PR!$AR1151,IF(H1153="NHP",PR!$AS1151,IF(H1153="NHC",PR!$AT1151,IF(H1153="OLEAF",PR!$AU1151,IF(H1153="OCULUS",PR!$AV1151,IF(H1153="PACIFIC",PR!$AW1151,IF(H1153="PHAMATEX",PR!$AX1151,IF(H1153="PETHICS",PR!$AY1151,IF(H1153="PHILIPS",PR!$AZ1151,IF(H1153="RANBAXY",PR!$BA1151,IF(H1153="REALS",PR!$BB1151,IF(H1153="ROYAL",PR!$BC1151,IF(H1153="SAM",PR!$BD1151,IF(H1153="SEAGREEN",PR!$BE1151,IF(H1153="SKG",PR!$BF1151,IF(H1153="TAH",PR!$BG1151,IF(H1153="TAYLEK",PR!$BH1151,IF(H1153="TEMITA",PR!$BI1151,IF(H1153="THL",PR!$BJ1151,IF(H1153="UBASTIC",PR!$BK1151,IF(H1153="UNION",PR!$BL1151,IF(H1153="UNIQUE",PR!$BM1151,IF(H1153="VIXA",PR!$BN1151,IF(H1153="WWCV",PR!$BO1151,IF(H1153="ZOLON",PR!$BP1151,"-"))))))))))))))))))))))))))))))))))))))))))))))))))))))))))))))))</f>
        <v>48000</v>
      </c>
      <c r="H1153" s="102" t="str">
        <f>EV!M1472</f>
        <v>COSMADE</v>
      </c>
      <c r="I1153" s="108">
        <f>IF(J1153="ALPHA",PR!$E1151,IF(J1153="ASSENE",PR!$F1151,IF(J1153="BIOFEM",PR!$G1151,IF(J1153="BIOMED",PR!$H1151,IF(J1153="CHI",PR!$I1151,IF(J1153="CLARION",PR!$J1151,IF(J1153="CODIX",PR!$K1151,IF(J1153="COSMADE",PR!$L1151,IF(J1153="SANCON",PR!$M1151,IF(J1153="DEVON",PR!$N1151,IF(J1153="DORTEMAG",PR!$O1151,IF(J1153="DGF",PR!$P1151,IF(J1153="DYNAMIC",PR!$Q1151,IF(J1153="EMZOR",PR!$R1151,IF(J1153="EUMATT",PR!$S1151,IF(J1153="FIDSON",PR!$T1151,IF(J1153="FCGLOBAL",PR!$U1151,IF(J1153="GENEITH",PR!$V1151,IF(J1153="GINOS",PR!$W1151,IF(J1153="GSK",PR!$X1151,IF(J1153="GLOBORG",PR!$Y1151,IF(J1153="GOODNEWS",PR!$Z1151,IF(J1153="GREENLIFE",PR!$AA1151,IF(J1153="HLINE",PR!$AB1151,IF(J1153="ROTECH",PR!$AC1151,IF(J1153="ISN",PR!$AD1151,IF(J1153="JAWA",PR!$AE1151,IF(J1153="LAYO",PR!$AF1151,IF(J1153="LEADWAY",PR!$AG1151,IF(J1153="LHV",PR!$AH1151,IF(J1153="MANOLA",PR!$AI1151,IF(J1153="MARCSON",PR!$AJ1151,IF(J1153="M&amp;B",PR!$AK1151,IF(J1153="MTRUST",PR!$AL1151,IF(J1153="MWORLD",PR!$AM1151,IF(J1153="MEGA",PR!$AN1151,IF(J1153="MICRONOVA",PR!$AO1151,IF(J1153="MFLASH",PR!$AP1151,IF(J1153="MORISON",PR!$AQ1151,IF(J1153="NEMEL",PR!$AR1151,IF(J1153="NHP",PR!$AS1151,IF(J1153="NHC",PR!$AT1151,IF(J1153="OLEAF",PR!$AU1151,IF(J1153="OCULUS",PR!$AV1151,IF(J1153="PACIFIC",PR!$AW1151,IF(J1153="PHAMATEX",PR!$AX1151,IF(J1153="PETHICS",PR!$AY1151,IF(J1153="PHILIPS",PR!$AZ1151,IF(J1153="RANBAXY",PR!$BA1151,IF(J1153="REALS",PR!$BB1151,IF(J1153="ROYAL",PR!$BC1151,IF(J1153="SAM",PR!$BD1151,IF(J1153="SEAGREEN",PR!$BE1151,IF(J1153="SKG",PR!$BF1151,IF(J1153="TAH",PR!$BG1151,IF(J1153="TAYLEK",PR!$BH1151,IF(J1153="TEMITA",PR!$BI1151,IF(J1153="THL",PR!$BJ1151,IF(J1153="UBASTIC",PR!$BK1151,IF(J1153="UNION",PR!$BL1151,IF(J1153="UNIQUE",PR!$BM1151,IF(J1153="VIXA",PR!$BN1151,IF(J1153="WWCV",PR!$BO1151,IF(J1153="ZOLON",PR!$BP1151,"-"))))))))))))))))))))))))))))))))))))))))))))))))))))))))))))))))</f>
        <v>487500</v>
      </c>
      <c r="J1153" s="102" t="str">
        <f>EV!N1472</f>
        <v>LAYO</v>
      </c>
      <c r="K1153" s="433" t="s">
        <v>1468</v>
      </c>
      <c r="L1153" s="183">
        <f>IF(K1153&gt;0,IF(K1153="ALPHA",PR!$E1151,IF(K1153="ASSENE",PR!$F1151,IF(K1153="BIOFEM",PR!$G1151,IF(K1153="BIOMED",PR!$H1151,IF(K1153="CHI",PR!$I1151,IF(K1153="CLARION",PR!$J1151,IF(K1153="CODIX",PR!$K1151,IF(K1153="COSMADE",PR!$L1151,IF(K1153="SANCON",PR!$M1151,IF(K1153="DEVON",PR!$N1151,IF(K1153="DORTEMAG",PR!$O1151,IF(K1153="DGF",PR!$P1151,IF(K1153="DYNAMIC",PR!$Q1151,IF(K1153="EMZOR",PR!$R1151,IF(K1153="EUMATT",PR!$S1151,IF(K1153="FIDSON",PR!$T1151,IF(K1153="FCGLOBAL",PR!$U1151,IF(K1153="GENEITH",PR!$V1151,IF(K1153="GINOS",PR!$W1151,IF(K1153="GSK",PR!$X1151,IF(K1153="GLOBORG",PR!$Y1151,IF(K1153="GOODNEWS",PR!$Z1151,IF(K1153="GREENLIFE",PR!$AA1151,IF(K1153="HLINE",PR!$AB1151,IF(K1153="ROTECH",PR!$AC1151,IF(K1153="ISN",PR!$AD1151,IF(K1153="JAWA",PR!$AE1151,IF(K1153="LAYO",PR!$AF1151,IF(K1153="LEADWAY",PR!$AG1151,IF(K1153="LHV",PR!$AH1151,IF(K1153="MANOLA",PR!$AI1151,IF(K1153="MARCSON",PR!$AJ1151,IF(K1153="M&amp;B",PR!$AK1151,IF(K1153="MTRUST",PR!$AL1151,IF(K1153="MWORLD",PR!$AM1151,IF(K1153="MEGA",PR!$AN1151,IF(K1153="MICRONOVA",PR!$AO1151,IF(K1153="MFLASH",PR!$AP1151,IF(K1153="MORISON",PR!$AQ1151,IF(K1153="NEMEL",PR!$AR1151,IF(K1153="NHP",PR!$AS1151,IF(K1153="NHC",PR!$AT1151,IF(K1153="OLEAF",PR!$AU1151,IF(K1153="OCULUS",PR!$AV1151,IF(K1153="PACIFIC",PR!$AW1151,IF(K1153="PHAMATEX",PR!$AX1151,IF(K1153="PETHICS",PR!$AY1151,IF(K1153="PHILIPS",PR!$AZ1151,IF(K1153="RANBAXY",PR!$BA1151,IF(K1153="REALS",PR!$BB1151,IF(K1153="ROYAL",PR!$BC1151,IF(K1153="SAM",PR!$BD1151,IF(K1153="SEAGREEN",PR!$BE1151,IF(K1153="SKG",PR!$BF1151,IF(K1153="TAH",PR!$BG1151,IF(K1153="TAYLEK",PR!$BH1151,IF(K1153="TEMITA",PR!$BI1151,IF(K1153="THL",PR!$BJ1151,IF(K1153="UBASTIC",PR!$BK1151,IF(K1153="UNION",PR!$BL1151,IF(K1153="UNIQUE",PR!$BM1151,IF(K1153="VIXA",PR!$BN1151,IF(K1153="WWCV",PR!$BO1151,IF(K1153="ZOLON",PR!$BP1151,"-")))))))))))))))))))))))))))))))))))))))))))))))))))))))))))))))))</f>
        <v>38000</v>
      </c>
    </row>
    <row r="1154" spans="1:12" ht="18.75" x14ac:dyDescent="0.3">
      <c r="A1154" s="430">
        <f>PR!A1152</f>
        <v>0</v>
      </c>
      <c r="B1154" s="15">
        <f>PR!B1152</f>
        <v>0</v>
      </c>
      <c r="C1154" s="113">
        <f>PR!D1152</f>
        <v>0</v>
      </c>
      <c r="D1154" s="113">
        <f>PR!C1152</f>
        <v>0</v>
      </c>
      <c r="E1154" s="108" t="str">
        <f>IF(F1154="ALPHA",PR!$E1152,IF(F1154="ASSENE",PR!$F1152,IF(F1154="BIOFEM",PR!$G1152,IF(F1154="BIOMED",PR!$H1152,IF(F1154="CHI",PR!$I1152,IF(F1154="CLARION",PR!$J1152,IF(F1154="CODIX",PR!$K1152,IF(F1154="COSMADE",PR!$L1152,IF(F1154="SANCON",PR!$M1152,IF(F1154="DEVON",PR!$N1152,IF(F1154="DORTEMAG",PR!$O1152,IF(F1154="DGF",PR!$P1152,IF(F1154="DYNAMIC",PR!$Q1152,IF(F1154="EMZOR",PR!$R1152,IF(F1154="EUMATT",PR!$S1152,IF(F1154="FIDSON",PR!$T1152,IF(F1154="FCGLOBAL",PR!$U1152,IF(F1154="GENEITH",PR!$V1152,IF(F1154="GINOS",PR!$W1152,IF(F1154="GSK",PR!$X1152,IF(F1154="GLOBORG",PR!$Y1152,IF(F1154="GOODNEWS",PR!$Z1152,IF(F1154="GREENLIFE",PR!$AA1152,IF(F1154="HLINE",PR!$AB1152,IF(F1154="ROTECH",PR!$AC1152,IF(F1154="ISN",PR!$AD1152,IF(F1154="JAWA",PR!$AE1152,IF(F1154="LAYO",PR!$AF1152,IF(F1154="LEADWAY",PR!$AG1152,IF(F1154="LHV",PR!$AH1152,IF(F1154="MANOLA",PR!$AI1152,IF(F1154="MARCSON",PR!$AJ1152,IF(F1154="M&amp;B",PR!$AK1152,IF(F1154="MTRUST",PR!$AL1152,IF(F1154="MWORLD",PR!$AM1152,IF(F1154="MEGA",PR!$AN1152,IF(F1154="MICRONOVA",PR!$AO1152,IF(F1154="MFLASH",PR!$AP1152,IF(F1154="MORISON",PR!$AQ1152,IF(F1154="NEMEL",PR!$AR1152,IF(F1154="NHP",PR!$AS1152,IF(F1154="NHC",PR!$AT1152,IF(F1154="OLEAF",PR!$AU1152,IF(F1154="OCULUS",PR!$AV1152,IF(F1154="PACIFIC",PR!$AW1152,IF(F1154="PHAMATEX",PR!$AX1152,IF(F1154="PETHICS",PR!$AY1152,IF(F1154="PHILIPS",PR!$AZ1152,IF(F1154="RANBAXY",PR!$BA1152,IF(F1154="REALS",PR!$BB1152,IF(F1154="ROYAL",PR!$BC1152,IF(F1154="SAM",PR!$BD1152,IF(F1154="SEAGREEN",PR!$BE1152,IF(F1154="SKG",PR!$BF1152,IF(F1154="TAH",PR!$BG1152,IF(F1154="TAYLEK",PR!$BH1152,IF(F1154="TEMITA",PR!$BI1152,IF(F1154="THL",PR!$BJ1152,IF(F1154="UBASTIC",PR!$BK1152,IF(F1154="UNION",PR!$BL1152,IF(F1154="UNIQUE",PR!$BM1152,IF(F1154="VIXA",PR!$BN1152,IF(F1154="WWCV",PR!$BO1152,IF(F1154="ZOLON",PR!$BP1152,"-"))))))))))))))))))))))))))))))))))))))))))))))))))))))))))))))))</f>
        <v>-</v>
      </c>
      <c r="F1154" s="102"/>
      <c r="G1154" s="108" t="str">
        <f>IF(H1154="ALPHA",PR!$E1152,IF(H1154="ASSENE",PR!$F1152,IF(H1154="BIOFEM",PR!$G1152,IF(H1154="BIOMED",PR!$H1152,IF(H1154="CHI",PR!$I1152,IF(H1154="CLARION",PR!$J1152,IF(H1154="CODIX",PR!$K1152,IF(H1154="COSMADE",PR!$L1152,IF(H1154="SANCON",PR!$M1152,IF(H1154="DEVON",PR!$N1152,IF(H1154="DORTEMAG",PR!$O1152,IF(H1154="DGF",PR!$P1152,IF(H1154="DYNAMIC",PR!$Q1152,IF(H1154="EMZOR",PR!$R1152,IF(H1154="EUMATT",PR!$S1152,IF(H1154="FIDSON",PR!$T1152,IF(H1154="FCGLOBAL",PR!$U1152,IF(H1154="GENEITH",PR!$V1152,IF(H1154="GINOS",PR!$W1152,IF(H1154="GSK",PR!$X1152,IF(H1154="GLOBORG",PR!$Y1152,IF(H1154="GOODNEWS",PR!$Z1152,IF(H1154="GREENLIFE",PR!$AA1152,IF(H1154="HLINE",PR!$AB1152,IF(H1154="ROTECH",PR!$AC1152,IF(H1154="ISN",PR!$AD1152,IF(H1154="JAWA",PR!$AE1152,IF(H1154="LAYO",PR!$AF1152,IF(H1154="LEADWAY",PR!$AG1152,IF(H1154="LHV",PR!$AH1152,IF(H1154="MANOLA",PR!$AI1152,IF(H1154="MARCSON",PR!$AJ1152,IF(H1154="M&amp;B",PR!$AK1152,IF(H1154="MTRUST",PR!$AL1152,IF(H1154="MWORLD",PR!$AM1152,IF(H1154="MEGA",PR!$AN1152,IF(H1154="MICRONOVA",PR!$AO1152,IF(H1154="MFLASH",PR!$AP1152,IF(H1154="MORISON",PR!$AQ1152,IF(H1154="NEMEL",PR!$AR1152,IF(H1154="NHP",PR!$AS1152,IF(H1154="NHC",PR!$AT1152,IF(H1154="OLEAF",PR!$AU1152,IF(H1154="OCULUS",PR!$AV1152,IF(H1154="PACIFIC",PR!$AW1152,IF(H1154="PHAMATEX",PR!$AX1152,IF(H1154="PETHICS",PR!$AY1152,IF(H1154="PHILIPS",PR!$AZ1152,IF(H1154="RANBAXY",PR!$BA1152,IF(H1154="REALS",PR!$BB1152,IF(H1154="ROYAL",PR!$BC1152,IF(H1154="SAM",PR!$BD1152,IF(H1154="SEAGREEN",PR!$BE1152,IF(H1154="SKG",PR!$BF1152,IF(H1154="TAH",PR!$BG1152,IF(H1154="TAYLEK",PR!$BH1152,IF(H1154="TEMITA",PR!$BI1152,IF(H1154="THL",PR!$BJ1152,IF(H1154="UBASTIC",PR!$BK1152,IF(H1154="UNION",PR!$BL1152,IF(H1154="UNIQUE",PR!$BM1152,IF(H1154="VIXA",PR!$BN1152,IF(H1154="WWCV",PR!$BO1152,IF(H1154="ZOLON",PR!$BP1152,"-"))))))))))))))))))))))))))))))))))))))))))))))))))))))))))))))))</f>
        <v>-</v>
      </c>
      <c r="H1154" s="102"/>
      <c r="I1154" s="108" t="str">
        <f>IF(J1154="ALPHA",PR!$E1152,IF(J1154="ASSENE",PR!$F1152,IF(J1154="BIOFEM",PR!$G1152,IF(J1154="BIOMED",PR!$H1152,IF(J1154="CHI",PR!$I1152,IF(J1154="CLARION",PR!$J1152,IF(J1154="CODIX",PR!$K1152,IF(J1154="COSMADE",PR!$L1152,IF(J1154="SANCON",PR!$M1152,IF(J1154="DEVON",PR!$N1152,IF(J1154="DORTEMAG",PR!$O1152,IF(J1154="DGF",PR!$P1152,IF(J1154="DYNAMIC",PR!$Q1152,IF(J1154="EMZOR",PR!$R1152,IF(J1154="EUMATT",PR!$S1152,IF(J1154="FIDSON",PR!$T1152,IF(J1154="FCGLOBAL",PR!$U1152,IF(J1154="GENEITH",PR!$V1152,IF(J1154="GINOS",PR!$W1152,IF(J1154="GSK",PR!$X1152,IF(J1154="GLOBORG",PR!$Y1152,IF(J1154="GOODNEWS",PR!$Z1152,IF(J1154="GREENLIFE",PR!$AA1152,IF(J1154="HLINE",PR!$AB1152,IF(J1154="ROTECH",PR!$AC1152,IF(J1154="ISN",PR!$AD1152,IF(J1154="JAWA",PR!$AE1152,IF(J1154="LAYO",PR!$AF1152,IF(J1154="LEADWAY",PR!$AG1152,IF(J1154="LHV",PR!$AH1152,IF(J1154="MANOLA",PR!$AI1152,IF(J1154="MARCSON",PR!$AJ1152,IF(J1154="M&amp;B",PR!$AK1152,IF(J1154="MTRUST",PR!$AL1152,IF(J1154="MWORLD",PR!$AM1152,IF(J1154="MEGA",PR!$AN1152,IF(J1154="MICRONOVA",PR!$AO1152,IF(J1154="MFLASH",PR!$AP1152,IF(J1154="MORISON",PR!$AQ1152,IF(J1154="NEMEL",PR!$AR1152,IF(J1154="NHP",PR!$AS1152,IF(J1154="NHC",PR!$AT1152,IF(J1154="OLEAF",PR!$AU1152,IF(J1154="OCULUS",PR!$AV1152,IF(J1154="PACIFIC",PR!$AW1152,IF(J1154="PHAMATEX",PR!$AX1152,IF(J1154="PETHICS",PR!$AY1152,IF(J1154="PHILIPS",PR!$AZ1152,IF(J1154="RANBAXY",PR!$BA1152,IF(J1154="REALS",PR!$BB1152,IF(J1154="ROYAL",PR!$BC1152,IF(J1154="SAM",PR!$BD1152,IF(J1154="SEAGREEN",PR!$BE1152,IF(J1154="SKG",PR!$BF1152,IF(J1154="TAH",PR!$BG1152,IF(J1154="TAYLEK",PR!$BH1152,IF(J1154="TEMITA",PR!$BI1152,IF(J1154="THL",PR!$BJ1152,IF(J1154="UBASTIC",PR!$BK1152,IF(J1154="UNION",PR!$BL1152,IF(J1154="UNIQUE",PR!$BM1152,IF(J1154="VIXA",PR!$BN1152,IF(J1154="WWCV",PR!$BO1152,IF(J1154="ZOLON",PR!$BP1152,"-"))))))))))))))))))))))))))))))))))))))))))))))))))))))))))))))))</f>
        <v>-</v>
      </c>
      <c r="J1154" s="102"/>
      <c r="K1154" s="433"/>
      <c r="L1154" s="183" t="b">
        <f>IF(K1154&gt;0,IF(K1154="ALPHA",PR!$E1152,IF(K1154="ASSENE",PR!$F1152,IF(K1154="BIOFEM",PR!$G1152,IF(K1154="BIOMED",PR!$H1152,IF(K1154="CHI",PR!$I1152,IF(K1154="CLARION",PR!$J1152,IF(K1154="CODIX",PR!$K1152,IF(K1154="COSMADE",PR!$L1152,IF(K1154="SANCON",PR!$M1152,IF(K1154="DEVON",PR!$N1152,IF(K1154="DORTEMAG",PR!$O1152,IF(K1154="DGF",PR!$P1152,IF(K1154="DYNAMIC",PR!$Q1152,IF(K1154="EMZOR",PR!$R1152,IF(K1154="EUMATT",PR!$S1152,IF(K1154="FIDSON",PR!$T1152,IF(K1154="FCGLOBAL",PR!$U1152,IF(K1154="GENEITH",PR!$V1152,IF(K1154="GINOS",PR!$W1152,IF(K1154="GSK",PR!$X1152,IF(K1154="GLOBORG",PR!$Y1152,IF(K1154="GOODNEWS",PR!$Z1152,IF(K1154="GREENLIFE",PR!$AA1152,IF(K1154="HLINE",PR!$AB1152,IF(K1154="ROTECH",PR!$AC1152,IF(K1154="ISN",PR!$AD1152,IF(K1154="JAWA",PR!$AE1152,IF(K1154="LAYO",PR!$AF1152,IF(K1154="LEADWAY",PR!$AG1152,IF(K1154="LHV",PR!$AH1152,IF(K1154="MANOLA",PR!$AI1152,IF(K1154="MARCSON",PR!$AJ1152,IF(K1154="M&amp;B",PR!$AK1152,IF(K1154="MTRUST",PR!$AL1152,IF(K1154="MWORLD",PR!$AM1152,IF(K1154="MEGA",PR!$AN1152,IF(K1154="MICRONOVA",PR!$AO1152,IF(K1154="MFLASH",PR!$AP1152,IF(K1154="MORISON",PR!$AQ1152,IF(K1154="NEMEL",PR!$AR1152,IF(K1154="NHP",PR!$AS1152,IF(K1154="NHC",PR!$AT1152,IF(K1154="OLEAF",PR!$AU1152,IF(K1154="OCULUS",PR!$AV1152,IF(K1154="PACIFIC",PR!$AW1152,IF(K1154="PHAMATEX",PR!$AX1152,IF(K1154="PETHICS",PR!$AY1152,IF(K1154="PHILIPS",PR!$AZ1152,IF(K1154="RANBAXY",PR!$BA1152,IF(K1154="REALS",PR!$BB1152,IF(K1154="ROYAL",PR!$BC1152,IF(K1154="SAM",PR!$BD1152,IF(K1154="SEAGREEN",PR!$BE1152,IF(K1154="SKG",PR!$BF1152,IF(K1154="TAH",PR!$BG1152,IF(K1154="TAYLEK",PR!$BH1152,IF(K1154="TEMITA",PR!$BI1152,IF(K1154="THL",PR!$BJ1152,IF(K1154="UBASTIC",PR!$BK1152,IF(K1154="UNION",PR!$BL1152,IF(K1154="UNIQUE",PR!$BM1152,IF(K1154="VIXA",PR!$BN1152,IF(K1154="WWCV",PR!$BO1152,IF(K1154="ZOLON",PR!$BP1152,"-")))))))))))))))))))))))))))))))))))))))))))))))))))))))))))))))))</f>
        <v>0</v>
      </c>
    </row>
    <row r="1155" spans="1:12" ht="18.75" x14ac:dyDescent="0.3">
      <c r="A1155" s="430">
        <f>PR!A1153</f>
        <v>0</v>
      </c>
      <c r="B1155" s="15">
        <f>PR!B1153</f>
        <v>0</v>
      </c>
      <c r="C1155" s="113">
        <f>PR!D1153</f>
        <v>0</v>
      </c>
      <c r="D1155" s="113">
        <f>PR!C1153</f>
        <v>0</v>
      </c>
      <c r="E1155" s="108" t="str">
        <f>IF(F1155="ALPHA",PR!$E1153,IF(F1155="ASSENE",PR!$F1153,IF(F1155="BIOFEM",PR!$G1153,IF(F1155="BIOMED",PR!$H1153,IF(F1155="CHI",PR!$I1153,IF(F1155="CLARION",PR!$J1153,IF(F1155="CODIX",PR!$K1153,IF(F1155="COSMADE",PR!$L1153,IF(F1155="SANCON",PR!$M1153,IF(F1155="DEVON",PR!$N1153,IF(F1155="DORTEMAG",PR!$O1153,IF(F1155="DGF",PR!$P1153,IF(F1155="DYNAMIC",PR!$Q1153,IF(F1155="EMZOR",PR!$R1153,IF(F1155="EUMATT",PR!$S1153,IF(F1155="FIDSON",PR!$T1153,IF(F1155="FCGLOBAL",PR!$U1153,IF(F1155="GENEITH",PR!$V1153,IF(F1155="GINOS",PR!$W1153,IF(F1155="GSK",PR!$X1153,IF(F1155="GLOBORG",PR!$Y1153,IF(F1155="GOODNEWS",PR!$Z1153,IF(F1155="GREENLIFE",PR!$AA1153,IF(F1155="HLINE",PR!$AB1153,IF(F1155="ROTECH",PR!$AC1153,IF(F1155="ISN",PR!$AD1153,IF(F1155="JAWA",PR!$AE1153,IF(F1155="LAYO",PR!$AF1153,IF(F1155="LEADWAY",PR!$AG1153,IF(F1155="LHV",PR!$AH1153,IF(F1155="MANOLA",PR!$AI1153,IF(F1155="MARCSON",PR!$AJ1153,IF(F1155="M&amp;B",PR!$AK1153,IF(F1155="MTRUST",PR!$AL1153,IF(F1155="MWORLD",PR!$AM1153,IF(F1155="MEGA",PR!$AN1153,IF(F1155="MICRONOVA",PR!$AO1153,IF(F1155="MFLASH",PR!$AP1153,IF(F1155="MORISON",PR!$AQ1153,IF(F1155="NEMEL",PR!$AR1153,IF(F1155="NHP",PR!$AS1153,IF(F1155="NHC",PR!$AT1153,IF(F1155="OLEAF",PR!$AU1153,IF(F1155="OCULUS",PR!$AV1153,IF(F1155="PACIFIC",PR!$AW1153,IF(F1155="PHAMATEX",PR!$AX1153,IF(F1155="PETHICS",PR!$AY1153,IF(F1155="PHILIPS",PR!$AZ1153,IF(F1155="RANBAXY",PR!$BA1153,IF(F1155="REALS",PR!$BB1153,IF(F1155="ROYAL",PR!$BC1153,IF(F1155="SAM",PR!$BD1153,IF(F1155="SEAGREEN",PR!$BE1153,IF(F1155="SKG",PR!$BF1153,IF(F1155="TAH",PR!$BG1153,IF(F1155="TAYLEK",PR!$BH1153,IF(F1155="TEMITA",PR!$BI1153,IF(F1155="THL",PR!$BJ1153,IF(F1155="UBASTIC",PR!$BK1153,IF(F1155="UNION",PR!$BL1153,IF(F1155="UNIQUE",PR!$BM1153,IF(F1155="VIXA",PR!$BN1153,IF(F1155="WWCV",PR!$BO1153,IF(F1155="ZOLON",PR!$BP1153,"-"))))))))))))))))))))))))))))))))))))))))))))))))))))))))))))))))</f>
        <v>-</v>
      </c>
      <c r="F1155" s="102"/>
      <c r="G1155" s="108" t="str">
        <f>IF(H1155="ALPHA",PR!$E1153,IF(H1155="ASSENE",PR!$F1153,IF(H1155="BIOFEM",PR!$G1153,IF(H1155="BIOMED",PR!$H1153,IF(H1155="CHI",PR!$I1153,IF(H1155="CLARION",PR!$J1153,IF(H1155="CODIX",PR!$K1153,IF(H1155="COSMADE",PR!$L1153,IF(H1155="SANCON",PR!$M1153,IF(H1155="DEVON",PR!$N1153,IF(H1155="DORTEMAG",PR!$O1153,IF(H1155="DGF",PR!$P1153,IF(H1155="DYNAMIC",PR!$Q1153,IF(H1155="EMZOR",PR!$R1153,IF(H1155="EUMATT",PR!$S1153,IF(H1155="FIDSON",PR!$T1153,IF(H1155="FCGLOBAL",PR!$U1153,IF(H1155="GENEITH",PR!$V1153,IF(H1155="GINOS",PR!$W1153,IF(H1155="GSK",PR!$X1153,IF(H1155="GLOBORG",PR!$Y1153,IF(H1155="GOODNEWS",PR!$Z1153,IF(H1155="GREENLIFE",PR!$AA1153,IF(H1155="HLINE",PR!$AB1153,IF(H1155="ROTECH",PR!$AC1153,IF(H1155="ISN",PR!$AD1153,IF(H1155="JAWA",PR!$AE1153,IF(H1155="LAYO",PR!$AF1153,IF(H1155="LEADWAY",PR!$AG1153,IF(H1155="LHV",PR!$AH1153,IF(H1155="MANOLA",PR!$AI1153,IF(H1155="MARCSON",PR!$AJ1153,IF(H1155="M&amp;B",PR!$AK1153,IF(H1155="MTRUST",PR!$AL1153,IF(H1155="MWORLD",PR!$AM1153,IF(H1155="MEGA",PR!$AN1153,IF(H1155="MICRONOVA",PR!$AO1153,IF(H1155="MFLASH",PR!$AP1153,IF(H1155="MORISON",PR!$AQ1153,IF(H1155="NEMEL",PR!$AR1153,IF(H1155="NHP",PR!$AS1153,IF(H1155="NHC",PR!$AT1153,IF(H1155="OLEAF",PR!$AU1153,IF(H1155="OCULUS",PR!$AV1153,IF(H1155="PACIFIC",PR!$AW1153,IF(H1155="PHAMATEX",PR!$AX1153,IF(H1155="PETHICS",PR!$AY1153,IF(H1155="PHILIPS",PR!$AZ1153,IF(H1155="RANBAXY",PR!$BA1153,IF(H1155="REALS",PR!$BB1153,IF(H1155="ROYAL",PR!$BC1153,IF(H1155="SAM",PR!$BD1153,IF(H1155="SEAGREEN",PR!$BE1153,IF(H1155="SKG",PR!$BF1153,IF(H1155="TAH",PR!$BG1153,IF(H1155="TAYLEK",PR!$BH1153,IF(H1155="TEMITA",PR!$BI1153,IF(H1155="THL",PR!$BJ1153,IF(H1155="UBASTIC",PR!$BK1153,IF(H1155="UNION",PR!$BL1153,IF(H1155="UNIQUE",PR!$BM1153,IF(H1155="VIXA",PR!$BN1153,IF(H1155="WWCV",PR!$BO1153,IF(H1155="ZOLON",PR!$BP1153,"-"))))))))))))))))))))))))))))))))))))))))))))))))))))))))))))))))</f>
        <v>-</v>
      </c>
      <c r="H1155" s="102"/>
      <c r="I1155" s="108" t="str">
        <f>IF(J1155="ALPHA",PR!$E1153,IF(J1155="ASSENE",PR!$F1153,IF(J1155="BIOFEM",PR!$G1153,IF(J1155="BIOMED",PR!$H1153,IF(J1155="CHI",PR!$I1153,IF(J1155="CLARION",PR!$J1153,IF(J1155="CODIX",PR!$K1153,IF(J1155="COSMADE",PR!$L1153,IF(J1155="SANCON",PR!$M1153,IF(J1155="DEVON",PR!$N1153,IF(J1155="DORTEMAG",PR!$O1153,IF(J1155="DGF",PR!$P1153,IF(J1155="DYNAMIC",PR!$Q1153,IF(J1155="EMZOR",PR!$R1153,IF(J1155="EUMATT",PR!$S1153,IF(J1155="FIDSON",PR!$T1153,IF(J1155="FCGLOBAL",PR!$U1153,IF(J1155="GENEITH",PR!$V1153,IF(J1155="GINOS",PR!$W1153,IF(J1155="GSK",PR!$X1153,IF(J1155="GLOBORG",PR!$Y1153,IF(J1155="GOODNEWS",PR!$Z1153,IF(J1155="GREENLIFE",PR!$AA1153,IF(J1155="HLINE",PR!$AB1153,IF(J1155="ROTECH",PR!$AC1153,IF(J1155="ISN",PR!$AD1153,IF(J1155="JAWA",PR!$AE1153,IF(J1155="LAYO",PR!$AF1153,IF(J1155="LEADWAY",PR!$AG1153,IF(J1155="LHV",PR!$AH1153,IF(J1155="MANOLA",PR!$AI1153,IF(J1155="MARCSON",PR!$AJ1153,IF(J1155="M&amp;B",PR!$AK1153,IF(J1155="MTRUST",PR!$AL1153,IF(J1155="MWORLD",PR!$AM1153,IF(J1155="MEGA",PR!$AN1153,IF(J1155="MICRONOVA",PR!$AO1153,IF(J1155="MFLASH",PR!$AP1153,IF(J1155="MORISON",PR!$AQ1153,IF(J1155="NEMEL",PR!$AR1153,IF(J1155="NHP",PR!$AS1153,IF(J1155="NHC",PR!$AT1153,IF(J1155="OLEAF",PR!$AU1153,IF(J1155="OCULUS",PR!$AV1153,IF(J1155="PACIFIC",PR!$AW1153,IF(J1155="PHAMATEX",PR!$AX1153,IF(J1155="PETHICS",PR!$AY1153,IF(J1155="PHILIPS",PR!$AZ1153,IF(J1155="RANBAXY",PR!$BA1153,IF(J1155="REALS",PR!$BB1153,IF(J1155="ROYAL",PR!$BC1153,IF(J1155="SAM",PR!$BD1153,IF(J1155="SEAGREEN",PR!$BE1153,IF(J1155="SKG",PR!$BF1153,IF(J1155="TAH",PR!$BG1153,IF(J1155="TAYLEK",PR!$BH1153,IF(J1155="TEMITA",PR!$BI1153,IF(J1155="THL",PR!$BJ1153,IF(J1155="UBASTIC",PR!$BK1153,IF(J1155="UNION",PR!$BL1153,IF(J1155="UNIQUE",PR!$BM1153,IF(J1155="VIXA",PR!$BN1153,IF(J1155="WWCV",PR!$BO1153,IF(J1155="ZOLON",PR!$BP1153,"-"))))))))))))))))))))))))))))))))))))))))))))))))))))))))))))))))</f>
        <v>-</v>
      </c>
      <c r="J1155" s="102"/>
      <c r="K1155" s="433"/>
      <c r="L1155" s="183" t="b">
        <f>IF(K1155&gt;0,IF(K1155="ALPHA",PR!$E1153,IF(K1155="ASSENE",PR!$F1153,IF(K1155="BIOFEM",PR!$G1153,IF(K1155="BIOMED",PR!$H1153,IF(K1155="CHI",PR!$I1153,IF(K1155="CLARION",PR!$J1153,IF(K1155="CODIX",PR!$K1153,IF(K1155="COSMADE",PR!$L1153,IF(K1155="SANCON",PR!$M1153,IF(K1155="DEVON",PR!$N1153,IF(K1155="DORTEMAG",PR!$O1153,IF(K1155="DGF",PR!$P1153,IF(K1155="DYNAMIC",PR!$Q1153,IF(K1155="EMZOR",PR!$R1153,IF(K1155="EUMATT",PR!$S1153,IF(K1155="FIDSON",PR!$T1153,IF(K1155="FCGLOBAL",PR!$U1153,IF(K1155="GENEITH",PR!$V1153,IF(K1155="GINOS",PR!$W1153,IF(K1155="GSK",PR!$X1153,IF(K1155="GLOBORG",PR!$Y1153,IF(K1155="GOODNEWS",PR!$Z1153,IF(K1155="GREENLIFE",PR!$AA1153,IF(K1155="HLINE",PR!$AB1153,IF(K1155="ROTECH",PR!$AC1153,IF(K1155="ISN",PR!$AD1153,IF(K1155="JAWA",PR!$AE1153,IF(K1155="LAYO",PR!$AF1153,IF(K1155="LEADWAY",PR!$AG1153,IF(K1155="LHV",PR!$AH1153,IF(K1155="MANOLA",PR!$AI1153,IF(K1155="MARCSON",PR!$AJ1153,IF(K1155="M&amp;B",PR!$AK1153,IF(K1155="MTRUST",PR!$AL1153,IF(K1155="MWORLD",PR!$AM1153,IF(K1155="MEGA",PR!$AN1153,IF(K1155="MICRONOVA",PR!$AO1153,IF(K1155="MFLASH",PR!$AP1153,IF(K1155="MORISON",PR!$AQ1153,IF(K1155="NEMEL",PR!$AR1153,IF(K1155="NHP",PR!$AS1153,IF(K1155="NHC",PR!$AT1153,IF(K1155="OLEAF",PR!$AU1153,IF(K1155="OCULUS",PR!$AV1153,IF(K1155="PACIFIC",PR!$AW1153,IF(K1155="PHAMATEX",PR!$AX1153,IF(K1155="PETHICS",PR!$AY1153,IF(K1155="PHILIPS",PR!$AZ1153,IF(K1155="RANBAXY",PR!$BA1153,IF(K1155="REALS",PR!$BB1153,IF(K1155="ROYAL",PR!$BC1153,IF(K1155="SAM",PR!$BD1153,IF(K1155="SEAGREEN",PR!$BE1153,IF(K1155="SKG",PR!$BF1153,IF(K1155="TAH",PR!$BG1153,IF(K1155="TAYLEK",PR!$BH1153,IF(K1155="TEMITA",PR!$BI1153,IF(K1155="THL",PR!$BJ1153,IF(K1155="UBASTIC",PR!$BK1153,IF(K1155="UNION",PR!$BL1153,IF(K1155="UNIQUE",PR!$BM1153,IF(K1155="VIXA",PR!$BN1153,IF(K1155="WWCV",PR!$BO1153,IF(K1155="ZOLON",PR!$BP1153,"-")))))))))))))))))))))))))))))))))))))))))))))))))))))))))))))))))</f>
        <v>0</v>
      </c>
    </row>
    <row r="1156" spans="1:12" ht="18.75" x14ac:dyDescent="0.3">
      <c r="A1156" s="430">
        <f>PR!A1154</f>
        <v>0</v>
      </c>
      <c r="B1156" s="15">
        <f>PR!B1154</f>
        <v>0</v>
      </c>
      <c r="C1156" s="113">
        <f>PR!D1154</f>
        <v>0</v>
      </c>
      <c r="D1156" s="113">
        <f>PR!C1154</f>
        <v>0</v>
      </c>
      <c r="E1156" s="108" t="str">
        <f>IF(F1156="ALPHA",PR!$E1154,IF(F1156="ASSENE",PR!$F1154,IF(F1156="BIOFEM",PR!$G1154,IF(F1156="BIOMED",PR!$H1154,IF(F1156="CHI",PR!$I1154,IF(F1156="CLARION",PR!$J1154,IF(F1156="CODIX",PR!$K1154,IF(F1156="COSMADE",PR!$L1154,IF(F1156="SANCON",PR!$M1154,IF(F1156="DEVON",PR!$N1154,IF(F1156="DORTEMAG",PR!$O1154,IF(F1156="DGF",PR!$P1154,IF(F1156="DYNAMIC",PR!$Q1154,IF(F1156="EMZOR",PR!$R1154,IF(F1156="EUMATT",PR!$S1154,IF(F1156="FIDSON",PR!$T1154,IF(F1156="FCGLOBAL",PR!$U1154,IF(F1156="GENEITH",PR!$V1154,IF(F1156="GINOS",PR!$W1154,IF(F1156="GSK",PR!$X1154,IF(F1156="GLOBORG",PR!$Y1154,IF(F1156="GOODNEWS",PR!$Z1154,IF(F1156="GREENLIFE",PR!$AA1154,IF(F1156="HLINE",PR!$AB1154,IF(F1156="ROTECH",PR!$AC1154,IF(F1156="ISN",PR!$AD1154,IF(F1156="JAWA",PR!$AE1154,IF(F1156="LAYO",PR!$AF1154,IF(F1156="LEADWAY",PR!$AG1154,IF(F1156="LHV",PR!$AH1154,IF(F1156="MANOLA",PR!$AI1154,IF(F1156="MARCSON",PR!$AJ1154,IF(F1156="M&amp;B",PR!$AK1154,IF(F1156="MTRUST",PR!$AL1154,IF(F1156="MWORLD",PR!$AM1154,IF(F1156="MEGA",PR!$AN1154,IF(F1156="MICRONOVA",PR!$AO1154,IF(F1156="MFLASH",PR!$AP1154,IF(F1156="MORISON",PR!$AQ1154,IF(F1156="NEMEL",PR!$AR1154,IF(F1156="NHP",PR!$AS1154,IF(F1156="NHC",PR!$AT1154,IF(F1156="OLEAF",PR!$AU1154,IF(F1156="OCULUS",PR!$AV1154,IF(F1156="PACIFIC",PR!$AW1154,IF(F1156="PHAMATEX",PR!$AX1154,IF(F1156="PETHICS",PR!$AY1154,IF(F1156="PHILIPS",PR!$AZ1154,IF(F1156="RANBAXY",PR!$BA1154,IF(F1156="REALS",PR!$BB1154,IF(F1156="ROYAL",PR!$BC1154,IF(F1156="SAM",PR!$BD1154,IF(F1156="SEAGREEN",PR!$BE1154,IF(F1156="SKG",PR!$BF1154,IF(F1156="TAH",PR!$BG1154,IF(F1156="TAYLEK",PR!$BH1154,IF(F1156="TEMITA",PR!$BI1154,IF(F1156="THL",PR!$BJ1154,IF(F1156="UBASTIC",PR!$BK1154,IF(F1156="UNION",PR!$BL1154,IF(F1156="UNIQUE",PR!$BM1154,IF(F1156="VIXA",PR!$BN1154,IF(F1156="WWCV",PR!$BO1154,IF(F1156="ZOLON",PR!$BP1154,"-"))))))))))))))))))))))))))))))))))))))))))))))))))))))))))))))))</f>
        <v>-</v>
      </c>
      <c r="F1156" s="102"/>
      <c r="G1156" s="108" t="str">
        <f>IF(H1156="ALPHA",PR!$E1154,IF(H1156="ASSENE",PR!$F1154,IF(H1156="BIOFEM",PR!$G1154,IF(H1156="BIOMED",PR!$H1154,IF(H1156="CHI",PR!$I1154,IF(H1156="CLARION",PR!$J1154,IF(H1156="CODIX",PR!$K1154,IF(H1156="COSMADE",PR!$L1154,IF(H1156="SANCON",PR!$M1154,IF(H1156="DEVON",PR!$N1154,IF(H1156="DORTEMAG",PR!$O1154,IF(H1156="DGF",PR!$P1154,IF(H1156="DYNAMIC",PR!$Q1154,IF(H1156="EMZOR",PR!$R1154,IF(H1156="EUMATT",PR!$S1154,IF(H1156="FIDSON",PR!$T1154,IF(H1156="FCGLOBAL",PR!$U1154,IF(H1156="GENEITH",PR!$V1154,IF(H1156="GINOS",PR!$W1154,IF(H1156="GSK",PR!$X1154,IF(H1156="GLOBORG",PR!$Y1154,IF(H1156="GOODNEWS",PR!$Z1154,IF(H1156="GREENLIFE",PR!$AA1154,IF(H1156="HLINE",PR!$AB1154,IF(H1156="ROTECH",PR!$AC1154,IF(H1156="ISN",PR!$AD1154,IF(H1156="JAWA",PR!$AE1154,IF(H1156="LAYO",PR!$AF1154,IF(H1156="LEADWAY",PR!$AG1154,IF(H1156="LHV",PR!$AH1154,IF(H1156="MANOLA",PR!$AI1154,IF(H1156="MARCSON",PR!$AJ1154,IF(H1156="M&amp;B",PR!$AK1154,IF(H1156="MTRUST",PR!$AL1154,IF(H1156="MWORLD",PR!$AM1154,IF(H1156="MEGA",PR!$AN1154,IF(H1156="MICRONOVA",PR!$AO1154,IF(H1156="MFLASH",PR!$AP1154,IF(H1156="MORISON",PR!$AQ1154,IF(H1156="NEMEL",PR!$AR1154,IF(H1156="NHP",PR!$AS1154,IF(H1156="NHC",PR!$AT1154,IF(H1156="OLEAF",PR!$AU1154,IF(H1156="OCULUS",PR!$AV1154,IF(H1156="PACIFIC",PR!$AW1154,IF(H1156="PHAMATEX",PR!$AX1154,IF(H1156="PETHICS",PR!$AY1154,IF(H1156="PHILIPS",PR!$AZ1154,IF(H1156="RANBAXY",PR!$BA1154,IF(H1156="REALS",PR!$BB1154,IF(H1156="ROYAL",PR!$BC1154,IF(H1156="SAM",PR!$BD1154,IF(H1156="SEAGREEN",PR!$BE1154,IF(H1156="SKG",PR!$BF1154,IF(H1156="TAH",PR!$BG1154,IF(H1156="TAYLEK",PR!$BH1154,IF(H1156="TEMITA",PR!$BI1154,IF(H1156="THL",PR!$BJ1154,IF(H1156="UBASTIC",PR!$BK1154,IF(H1156="UNION",PR!$BL1154,IF(H1156="UNIQUE",PR!$BM1154,IF(H1156="VIXA",PR!$BN1154,IF(H1156="WWCV",PR!$BO1154,IF(H1156="ZOLON",PR!$BP1154,"-"))))))))))))))))))))))))))))))))))))))))))))))))))))))))))))))))</f>
        <v>-</v>
      </c>
      <c r="H1156" s="102"/>
      <c r="I1156" s="108" t="str">
        <f>IF(J1156="ALPHA",PR!$E1154,IF(J1156="ASSENE",PR!$F1154,IF(J1156="BIOFEM",PR!$G1154,IF(J1156="BIOMED",PR!$H1154,IF(J1156="CHI",PR!$I1154,IF(J1156="CLARION",PR!$J1154,IF(J1156="CODIX",PR!$K1154,IF(J1156="COSMADE",PR!$L1154,IF(J1156="SANCON",PR!$M1154,IF(J1156="DEVON",PR!$N1154,IF(J1156="DORTEMAG",PR!$O1154,IF(J1156="DGF",PR!$P1154,IF(J1156="DYNAMIC",PR!$Q1154,IF(J1156="EMZOR",PR!$R1154,IF(J1156="EUMATT",PR!$S1154,IF(J1156="FIDSON",PR!$T1154,IF(J1156="FCGLOBAL",PR!$U1154,IF(J1156="GENEITH",PR!$V1154,IF(J1156="GINOS",PR!$W1154,IF(J1156="GSK",PR!$X1154,IF(J1156="GLOBORG",PR!$Y1154,IF(J1156="GOODNEWS",PR!$Z1154,IF(J1156="GREENLIFE",PR!$AA1154,IF(J1156="HLINE",PR!$AB1154,IF(J1156="ROTECH",PR!$AC1154,IF(J1156="ISN",PR!$AD1154,IF(J1156="JAWA",PR!$AE1154,IF(J1156="LAYO",PR!$AF1154,IF(J1156="LEADWAY",PR!$AG1154,IF(J1156="LHV",PR!$AH1154,IF(J1156="MANOLA",PR!$AI1154,IF(J1156="MARCSON",PR!$AJ1154,IF(J1156="M&amp;B",PR!$AK1154,IF(J1156="MTRUST",PR!$AL1154,IF(J1156="MWORLD",PR!$AM1154,IF(J1156="MEGA",PR!$AN1154,IF(J1156="MICRONOVA",PR!$AO1154,IF(J1156="MFLASH",PR!$AP1154,IF(J1156="MORISON",PR!$AQ1154,IF(J1156="NEMEL",PR!$AR1154,IF(J1156="NHP",PR!$AS1154,IF(J1156="NHC",PR!$AT1154,IF(J1156="OLEAF",PR!$AU1154,IF(J1156="OCULUS",PR!$AV1154,IF(J1156="PACIFIC",PR!$AW1154,IF(J1156="PHAMATEX",PR!$AX1154,IF(J1156="PETHICS",PR!$AY1154,IF(J1156="PHILIPS",PR!$AZ1154,IF(J1156="RANBAXY",PR!$BA1154,IF(J1156="REALS",PR!$BB1154,IF(J1156="ROYAL",PR!$BC1154,IF(J1156="SAM",PR!$BD1154,IF(J1156="SEAGREEN",PR!$BE1154,IF(J1156="SKG",PR!$BF1154,IF(J1156="TAH",PR!$BG1154,IF(J1156="TAYLEK",PR!$BH1154,IF(J1156="TEMITA",PR!$BI1154,IF(J1156="THL",PR!$BJ1154,IF(J1156="UBASTIC",PR!$BK1154,IF(J1156="UNION",PR!$BL1154,IF(J1156="UNIQUE",PR!$BM1154,IF(J1156="VIXA",PR!$BN1154,IF(J1156="WWCV",PR!$BO1154,IF(J1156="ZOLON",PR!$BP1154,"-"))))))))))))))))))))))))))))))))))))))))))))))))))))))))))))))))</f>
        <v>-</v>
      </c>
      <c r="J1156" s="102"/>
      <c r="K1156" s="433"/>
      <c r="L1156" s="183" t="b">
        <f>IF(K1156&gt;0,IF(K1156="ALPHA",PR!$E1154,IF(K1156="ASSENE",PR!$F1154,IF(K1156="BIOFEM",PR!$G1154,IF(K1156="BIOMED",PR!$H1154,IF(K1156="CHI",PR!$I1154,IF(K1156="CLARION",PR!$J1154,IF(K1156="CODIX",PR!$K1154,IF(K1156="COSMADE",PR!$L1154,IF(K1156="SANCON",PR!$M1154,IF(K1156="DEVON",PR!$N1154,IF(K1156="DORTEMAG",PR!$O1154,IF(K1156="DGF",PR!$P1154,IF(K1156="DYNAMIC",PR!$Q1154,IF(K1156="EMZOR",PR!$R1154,IF(K1156="EUMATT",PR!$S1154,IF(K1156="FIDSON",PR!$T1154,IF(K1156="FCGLOBAL",PR!$U1154,IF(K1156="GENEITH",PR!$V1154,IF(K1156="GINOS",PR!$W1154,IF(K1156="GSK",PR!$X1154,IF(K1156="GLOBORG",PR!$Y1154,IF(K1156="GOODNEWS",PR!$Z1154,IF(K1156="GREENLIFE",PR!$AA1154,IF(K1156="HLINE",PR!$AB1154,IF(K1156="ROTECH",PR!$AC1154,IF(K1156="ISN",PR!$AD1154,IF(K1156="JAWA",PR!$AE1154,IF(K1156="LAYO",PR!$AF1154,IF(K1156="LEADWAY",PR!$AG1154,IF(K1156="LHV",PR!$AH1154,IF(K1156="MANOLA",PR!$AI1154,IF(K1156="MARCSON",PR!$AJ1154,IF(K1156="M&amp;B",PR!$AK1154,IF(K1156="MTRUST",PR!$AL1154,IF(K1156="MWORLD",PR!$AM1154,IF(K1156="MEGA",PR!$AN1154,IF(K1156="MICRONOVA",PR!$AO1154,IF(K1156="MFLASH",PR!$AP1154,IF(K1156="MORISON",PR!$AQ1154,IF(K1156="NEMEL",PR!$AR1154,IF(K1156="NHP",PR!$AS1154,IF(K1156="NHC",PR!$AT1154,IF(K1156="OLEAF",PR!$AU1154,IF(K1156="OCULUS",PR!$AV1154,IF(K1156="PACIFIC",PR!$AW1154,IF(K1156="PHAMATEX",PR!$AX1154,IF(K1156="PETHICS",PR!$AY1154,IF(K1156="PHILIPS",PR!$AZ1154,IF(K1156="RANBAXY",PR!$BA1154,IF(K1156="REALS",PR!$BB1154,IF(K1156="ROYAL",PR!$BC1154,IF(K1156="SAM",PR!$BD1154,IF(K1156="SEAGREEN",PR!$BE1154,IF(K1156="SKG",PR!$BF1154,IF(K1156="TAH",PR!$BG1154,IF(K1156="TAYLEK",PR!$BH1154,IF(K1156="TEMITA",PR!$BI1154,IF(K1156="THL",PR!$BJ1154,IF(K1156="UBASTIC",PR!$BK1154,IF(K1156="UNION",PR!$BL1154,IF(K1156="UNIQUE",PR!$BM1154,IF(K1156="VIXA",PR!$BN1154,IF(K1156="WWCV",PR!$BO1154,IF(K1156="ZOLON",PR!$BP1154,"-")))))))))))))))))))))))))))))))))))))))))))))))))))))))))))))))))</f>
        <v>0</v>
      </c>
    </row>
    <row r="1157" spans="1:12" ht="18.75" x14ac:dyDescent="0.3">
      <c r="A1157" s="430" t="str">
        <f>PR!A1155</f>
        <v>LOT 21</v>
      </c>
      <c r="B1157" s="15" t="str">
        <f>PR!B1155</f>
        <v>LABORATORY DEPARTMENT - OOUTH ANNEXES</v>
      </c>
      <c r="C1157" s="113">
        <f>PR!D1155</f>
        <v>0</v>
      </c>
      <c r="D1157" s="113">
        <f>PR!C1155</f>
        <v>0</v>
      </c>
      <c r="E1157" s="108" t="str">
        <f>IF(F1157="ALPHA",PR!$E1155,IF(F1157="ASSENE",PR!$F1155,IF(F1157="BIOFEM",PR!$G1155,IF(F1157="BIOMED",PR!$H1155,IF(F1157="CHI",PR!$I1155,IF(F1157="CLARION",PR!$J1155,IF(F1157="CODIX",PR!$K1155,IF(F1157="COSMADE",PR!$L1155,IF(F1157="SANCON",PR!$M1155,IF(F1157="DEVON",PR!$N1155,IF(F1157="DORTEMAG",PR!$O1155,IF(F1157="DGF",PR!$P1155,IF(F1157="DYNAMIC",PR!$Q1155,IF(F1157="EMZOR",PR!$R1155,IF(F1157="EUMATT",PR!$S1155,IF(F1157="FIDSON",PR!$T1155,IF(F1157="FCGLOBAL",PR!$U1155,IF(F1157="GENEITH",PR!$V1155,IF(F1157="GINOS",PR!$W1155,IF(F1157="GSK",PR!$X1155,IF(F1157="GLOBORG",PR!$Y1155,IF(F1157="GOODNEWS",PR!$Z1155,IF(F1157="GREENLIFE",PR!$AA1155,IF(F1157="HLINE",PR!$AB1155,IF(F1157="ROTECH",PR!$AC1155,IF(F1157="ISN",PR!$AD1155,IF(F1157="JAWA",PR!$AE1155,IF(F1157="LAYO",PR!$AF1155,IF(F1157="LEADWAY",PR!$AG1155,IF(F1157="LHV",PR!$AH1155,IF(F1157="MANOLA",PR!$AI1155,IF(F1157="MARCSON",PR!$AJ1155,IF(F1157="M&amp;B",PR!$AK1155,IF(F1157="MTRUST",PR!$AL1155,IF(F1157="MWORLD",PR!$AM1155,IF(F1157="MEGA",PR!$AN1155,IF(F1157="MICRONOVA",PR!$AO1155,IF(F1157="MFLASH",PR!$AP1155,IF(F1157="MORISON",PR!$AQ1155,IF(F1157="NEMEL",PR!$AR1155,IF(F1157="NHP",PR!$AS1155,IF(F1157="NHC",PR!$AT1155,IF(F1157="OLEAF",PR!$AU1155,IF(F1157="OCULUS",PR!$AV1155,IF(F1157="PACIFIC",PR!$AW1155,IF(F1157="PHAMATEX",PR!$AX1155,IF(F1157="PETHICS",PR!$AY1155,IF(F1157="PHILIPS",PR!$AZ1155,IF(F1157="RANBAXY",PR!$BA1155,IF(F1157="REALS",PR!$BB1155,IF(F1157="ROYAL",PR!$BC1155,IF(F1157="SAM",PR!$BD1155,IF(F1157="SEAGREEN",PR!$BE1155,IF(F1157="SKG",PR!$BF1155,IF(F1157="TAH",PR!$BG1155,IF(F1157="TAYLEK",PR!$BH1155,IF(F1157="TEMITA",PR!$BI1155,IF(F1157="THL",PR!$BJ1155,IF(F1157="UBASTIC",PR!$BK1155,IF(F1157="UNION",PR!$BL1155,IF(F1157="UNIQUE",PR!$BM1155,IF(F1157="VIXA",PR!$BN1155,IF(F1157="WWCV",PR!$BO1155,IF(F1157="ZOLON",PR!$BP1155,"-"))))))))))))))))))))))))))))))))))))))))))))))))))))))))))))))))</f>
        <v>-</v>
      </c>
      <c r="F1157" s="102"/>
      <c r="G1157" s="108" t="str">
        <f>IF(H1157="ALPHA",PR!$E1155,IF(H1157="ASSENE",PR!$F1155,IF(H1157="BIOFEM",PR!$G1155,IF(H1157="BIOMED",PR!$H1155,IF(H1157="CHI",PR!$I1155,IF(H1157="CLARION",PR!$J1155,IF(H1157="CODIX",PR!$K1155,IF(H1157="COSMADE",PR!$L1155,IF(H1157="SANCON",PR!$M1155,IF(H1157="DEVON",PR!$N1155,IF(H1157="DORTEMAG",PR!$O1155,IF(H1157="DGF",PR!$P1155,IF(H1157="DYNAMIC",PR!$Q1155,IF(H1157="EMZOR",PR!$R1155,IF(H1157="EUMATT",PR!$S1155,IF(H1157="FIDSON",PR!$T1155,IF(H1157="FCGLOBAL",PR!$U1155,IF(H1157="GENEITH",PR!$V1155,IF(H1157="GINOS",PR!$W1155,IF(H1157="GSK",PR!$X1155,IF(H1157="GLOBORG",PR!$Y1155,IF(H1157="GOODNEWS",PR!$Z1155,IF(H1157="GREENLIFE",PR!$AA1155,IF(H1157="HLINE",PR!$AB1155,IF(H1157="ROTECH",PR!$AC1155,IF(H1157="ISN",PR!$AD1155,IF(H1157="JAWA",PR!$AE1155,IF(H1157="LAYO",PR!$AF1155,IF(H1157="LEADWAY",PR!$AG1155,IF(H1157="LHV",PR!$AH1155,IF(H1157="MANOLA",PR!$AI1155,IF(H1157="MARCSON",PR!$AJ1155,IF(H1157="M&amp;B",PR!$AK1155,IF(H1157="MTRUST",PR!$AL1155,IF(H1157="MWORLD",PR!$AM1155,IF(H1157="MEGA",PR!$AN1155,IF(H1157="MICRONOVA",PR!$AO1155,IF(H1157="MFLASH",PR!$AP1155,IF(H1157="MORISON",PR!$AQ1155,IF(H1157="NEMEL",PR!$AR1155,IF(H1157="NHP",PR!$AS1155,IF(H1157="NHC",PR!$AT1155,IF(H1157="OLEAF",PR!$AU1155,IF(H1157="OCULUS",PR!$AV1155,IF(H1157="PACIFIC",PR!$AW1155,IF(H1157="PHAMATEX",PR!$AX1155,IF(H1157="PETHICS",PR!$AY1155,IF(H1157="PHILIPS",PR!$AZ1155,IF(H1157="RANBAXY",PR!$BA1155,IF(H1157="REALS",PR!$BB1155,IF(H1157="ROYAL",PR!$BC1155,IF(H1157="SAM",PR!$BD1155,IF(H1157="SEAGREEN",PR!$BE1155,IF(H1157="SKG",PR!$BF1155,IF(H1157="TAH",PR!$BG1155,IF(H1157="TAYLEK",PR!$BH1155,IF(H1157="TEMITA",PR!$BI1155,IF(H1157="THL",PR!$BJ1155,IF(H1157="UBASTIC",PR!$BK1155,IF(H1157="UNION",PR!$BL1155,IF(H1157="UNIQUE",PR!$BM1155,IF(H1157="VIXA",PR!$BN1155,IF(H1157="WWCV",PR!$BO1155,IF(H1157="ZOLON",PR!$BP1155,"-"))))))))))))))))))))))))))))))))))))))))))))))))))))))))))))))))</f>
        <v>-</v>
      </c>
      <c r="H1157" s="102"/>
      <c r="I1157" s="108" t="str">
        <f>IF(J1157="ALPHA",PR!$E1155,IF(J1157="ASSENE",PR!$F1155,IF(J1157="BIOFEM",PR!$G1155,IF(J1157="BIOMED",PR!$H1155,IF(J1157="CHI",PR!$I1155,IF(J1157="CLARION",PR!$J1155,IF(J1157="CODIX",PR!$K1155,IF(J1157="COSMADE",PR!$L1155,IF(J1157="SANCON",PR!$M1155,IF(J1157="DEVON",PR!$N1155,IF(J1157="DORTEMAG",PR!$O1155,IF(J1157="DGF",PR!$P1155,IF(J1157="DYNAMIC",PR!$Q1155,IF(J1157="EMZOR",PR!$R1155,IF(J1157="EUMATT",PR!$S1155,IF(J1157="FIDSON",PR!$T1155,IF(J1157="FCGLOBAL",PR!$U1155,IF(J1157="GENEITH",PR!$V1155,IF(J1157="GINOS",PR!$W1155,IF(J1157="GSK",PR!$X1155,IF(J1157="GLOBORG",PR!$Y1155,IF(J1157="GOODNEWS",PR!$Z1155,IF(J1157="GREENLIFE",PR!$AA1155,IF(J1157="HLINE",PR!$AB1155,IF(J1157="ROTECH",PR!$AC1155,IF(J1157="ISN",PR!$AD1155,IF(J1157="JAWA",PR!$AE1155,IF(J1157="LAYO",PR!$AF1155,IF(J1157="LEADWAY",PR!$AG1155,IF(J1157="LHV",PR!$AH1155,IF(J1157="MANOLA",PR!$AI1155,IF(J1157="MARCSON",PR!$AJ1155,IF(J1157="M&amp;B",PR!$AK1155,IF(J1157="MTRUST",PR!$AL1155,IF(J1157="MWORLD",PR!$AM1155,IF(J1157="MEGA",PR!$AN1155,IF(J1157="MICRONOVA",PR!$AO1155,IF(J1157="MFLASH",PR!$AP1155,IF(J1157="MORISON",PR!$AQ1155,IF(J1157="NEMEL",PR!$AR1155,IF(J1157="NHP",PR!$AS1155,IF(J1157="NHC",PR!$AT1155,IF(J1157="OLEAF",PR!$AU1155,IF(J1157="OCULUS",PR!$AV1155,IF(J1157="PACIFIC",PR!$AW1155,IF(J1157="PHAMATEX",PR!$AX1155,IF(J1157="PETHICS",PR!$AY1155,IF(J1157="PHILIPS",PR!$AZ1155,IF(J1157="RANBAXY",PR!$BA1155,IF(J1157="REALS",PR!$BB1155,IF(J1157="ROYAL",PR!$BC1155,IF(J1157="SAM",PR!$BD1155,IF(J1157="SEAGREEN",PR!$BE1155,IF(J1157="SKG",PR!$BF1155,IF(J1157="TAH",PR!$BG1155,IF(J1157="TAYLEK",PR!$BH1155,IF(J1157="TEMITA",PR!$BI1155,IF(J1157="THL",PR!$BJ1155,IF(J1157="UBASTIC",PR!$BK1155,IF(J1157="UNION",PR!$BL1155,IF(J1157="UNIQUE",PR!$BM1155,IF(J1157="VIXA",PR!$BN1155,IF(J1157="WWCV",PR!$BO1155,IF(J1157="ZOLON",PR!$BP1155,"-"))))))))))))))))))))))))))))))))))))))))))))))))))))))))))))))))</f>
        <v>-</v>
      </c>
      <c r="J1157" s="102"/>
      <c r="K1157" s="433"/>
      <c r="L1157" s="183" t="b">
        <f>IF(K1157&gt;0,IF(K1157="ALPHA",PR!$E1155,IF(K1157="ASSENE",PR!$F1155,IF(K1157="BIOFEM",PR!$G1155,IF(K1157="BIOMED",PR!$H1155,IF(K1157="CHI",PR!$I1155,IF(K1157="CLARION",PR!$J1155,IF(K1157="CODIX",PR!$K1155,IF(K1157="COSMADE",PR!$L1155,IF(K1157="SANCON",PR!$M1155,IF(K1157="DEVON",PR!$N1155,IF(K1157="DORTEMAG",PR!$O1155,IF(K1157="DGF",PR!$P1155,IF(K1157="DYNAMIC",PR!$Q1155,IF(K1157="EMZOR",PR!$R1155,IF(K1157="EUMATT",PR!$S1155,IF(K1157="FIDSON",PR!$T1155,IF(K1157="FCGLOBAL",PR!$U1155,IF(K1157="GENEITH",PR!$V1155,IF(K1157="GINOS",PR!$W1155,IF(K1157="GSK",PR!$X1155,IF(K1157="GLOBORG",PR!$Y1155,IF(K1157="GOODNEWS",PR!$Z1155,IF(K1157="GREENLIFE",PR!$AA1155,IF(K1157="HLINE",PR!$AB1155,IF(K1157="ROTECH",PR!$AC1155,IF(K1157="ISN",PR!$AD1155,IF(K1157="JAWA",PR!$AE1155,IF(K1157="LAYO",PR!$AF1155,IF(K1157="LEADWAY",PR!$AG1155,IF(K1157="LHV",PR!$AH1155,IF(K1157="MANOLA",PR!$AI1155,IF(K1157="MARCSON",PR!$AJ1155,IF(K1157="M&amp;B",PR!$AK1155,IF(K1157="MTRUST",PR!$AL1155,IF(K1157="MWORLD",PR!$AM1155,IF(K1157="MEGA",PR!$AN1155,IF(K1157="MICRONOVA",PR!$AO1155,IF(K1157="MFLASH",PR!$AP1155,IF(K1157="MORISON",PR!$AQ1155,IF(K1157="NEMEL",PR!$AR1155,IF(K1157="NHP",PR!$AS1155,IF(K1157="NHC",PR!$AT1155,IF(K1157="OLEAF",PR!$AU1155,IF(K1157="OCULUS",PR!$AV1155,IF(K1157="PACIFIC",PR!$AW1155,IF(K1157="PHAMATEX",PR!$AX1155,IF(K1157="PETHICS",PR!$AY1155,IF(K1157="PHILIPS",PR!$AZ1155,IF(K1157="RANBAXY",PR!$BA1155,IF(K1157="REALS",PR!$BB1155,IF(K1157="ROYAL",PR!$BC1155,IF(K1157="SAM",PR!$BD1155,IF(K1157="SEAGREEN",PR!$BE1155,IF(K1157="SKG",PR!$BF1155,IF(K1157="TAH",PR!$BG1155,IF(K1157="TAYLEK",PR!$BH1155,IF(K1157="TEMITA",PR!$BI1155,IF(K1157="THL",PR!$BJ1155,IF(K1157="UBASTIC",PR!$BK1155,IF(K1157="UNION",PR!$BL1155,IF(K1157="UNIQUE",PR!$BM1155,IF(K1157="VIXA",PR!$BN1155,IF(K1157="WWCV",PR!$BO1155,IF(K1157="ZOLON",PR!$BP1155,"-")))))))))))))))))))))))))))))))))))))))))))))))))))))))))))))))))</f>
        <v>0</v>
      </c>
    </row>
    <row r="1158" spans="1:12" ht="18.75" x14ac:dyDescent="0.3">
      <c r="A1158" s="430">
        <f>PR!A1156</f>
        <v>0</v>
      </c>
      <c r="B1158" s="15">
        <f>PR!B1156</f>
        <v>0</v>
      </c>
      <c r="C1158" s="113">
        <f>PR!D1156</f>
        <v>0</v>
      </c>
      <c r="D1158" s="113">
        <f>PR!C1156</f>
        <v>0</v>
      </c>
      <c r="E1158" s="108" t="str">
        <f>IF(F1158="ALPHA",PR!$E1156,IF(F1158="ASSENE",PR!$F1156,IF(F1158="BIOFEM",PR!$G1156,IF(F1158="BIOMED",PR!$H1156,IF(F1158="CHI",PR!$I1156,IF(F1158="CLARION",PR!$J1156,IF(F1158="CODIX",PR!$K1156,IF(F1158="COSMADE",PR!$L1156,IF(F1158="SANCON",PR!$M1156,IF(F1158="DEVON",PR!$N1156,IF(F1158="DORTEMAG",PR!$O1156,IF(F1158="DGF",PR!$P1156,IF(F1158="DYNAMIC",PR!$Q1156,IF(F1158="EMZOR",PR!$R1156,IF(F1158="EUMATT",PR!$S1156,IF(F1158="FIDSON",PR!$T1156,IF(F1158="FCGLOBAL",PR!$U1156,IF(F1158="GENEITH",PR!$V1156,IF(F1158="GINOS",PR!$W1156,IF(F1158="GSK",PR!$X1156,IF(F1158="GLOBORG",PR!$Y1156,IF(F1158="GOODNEWS",PR!$Z1156,IF(F1158="GREENLIFE",PR!$AA1156,IF(F1158="HLINE",PR!$AB1156,IF(F1158="ROTECH",PR!$AC1156,IF(F1158="ISN",PR!$AD1156,IF(F1158="JAWA",PR!$AE1156,IF(F1158="LAYO",PR!$AF1156,IF(F1158="LEADWAY",PR!$AG1156,IF(F1158="LHV",PR!$AH1156,IF(F1158="MANOLA",PR!$AI1156,IF(F1158="MARCSON",PR!$AJ1156,IF(F1158="M&amp;B",PR!$AK1156,IF(F1158="MTRUST",PR!$AL1156,IF(F1158="MWORLD",PR!$AM1156,IF(F1158="MEGA",PR!$AN1156,IF(F1158="MICRONOVA",PR!$AO1156,IF(F1158="MFLASH",PR!$AP1156,IF(F1158="MORISON",PR!$AQ1156,IF(F1158="NEMEL",PR!$AR1156,IF(F1158="NHP",PR!$AS1156,IF(F1158="NHC",PR!$AT1156,IF(F1158="OLEAF",PR!$AU1156,IF(F1158="OCULUS",PR!$AV1156,IF(F1158="PACIFIC",PR!$AW1156,IF(F1158="PHAMATEX",PR!$AX1156,IF(F1158="PETHICS",PR!$AY1156,IF(F1158="PHILIPS",PR!$AZ1156,IF(F1158="RANBAXY",PR!$BA1156,IF(F1158="REALS",PR!$BB1156,IF(F1158="ROYAL",PR!$BC1156,IF(F1158="SAM",PR!$BD1156,IF(F1158="SEAGREEN",PR!$BE1156,IF(F1158="SKG",PR!$BF1156,IF(F1158="TAH",PR!$BG1156,IF(F1158="TAYLEK",PR!$BH1156,IF(F1158="TEMITA",PR!$BI1156,IF(F1158="THL",PR!$BJ1156,IF(F1158="UBASTIC",PR!$BK1156,IF(F1158="UNION",PR!$BL1156,IF(F1158="UNIQUE",PR!$BM1156,IF(F1158="VIXA",PR!$BN1156,IF(F1158="WWCV",PR!$BO1156,IF(F1158="ZOLON",PR!$BP1156,"-"))))))))))))))))))))))))))))))))))))))))))))))))))))))))))))))))</f>
        <v>-</v>
      </c>
      <c r="F1158" s="102"/>
      <c r="G1158" s="108" t="str">
        <f>IF(H1158="ALPHA",PR!$E1156,IF(H1158="ASSENE",PR!$F1156,IF(H1158="BIOFEM",PR!$G1156,IF(H1158="BIOMED",PR!$H1156,IF(H1158="CHI",PR!$I1156,IF(H1158="CLARION",PR!$J1156,IF(H1158="CODIX",PR!$K1156,IF(H1158="COSMADE",PR!$L1156,IF(H1158="SANCON",PR!$M1156,IF(H1158="DEVON",PR!$N1156,IF(H1158="DORTEMAG",PR!$O1156,IF(H1158="DGF",PR!$P1156,IF(H1158="DYNAMIC",PR!$Q1156,IF(H1158="EMZOR",PR!$R1156,IF(H1158="EUMATT",PR!$S1156,IF(H1158="FIDSON",PR!$T1156,IF(H1158="FCGLOBAL",PR!$U1156,IF(H1158="GENEITH",PR!$V1156,IF(H1158="GINOS",PR!$W1156,IF(H1158="GSK",PR!$X1156,IF(H1158="GLOBORG",PR!$Y1156,IF(H1158="GOODNEWS",PR!$Z1156,IF(H1158="GREENLIFE",PR!$AA1156,IF(H1158="HLINE",PR!$AB1156,IF(H1158="ROTECH",PR!$AC1156,IF(H1158="ISN",PR!$AD1156,IF(H1158="JAWA",PR!$AE1156,IF(H1158="LAYO",PR!$AF1156,IF(H1158="LEADWAY",PR!$AG1156,IF(H1158="LHV",PR!$AH1156,IF(H1158="MANOLA",PR!$AI1156,IF(H1158="MARCSON",PR!$AJ1156,IF(H1158="M&amp;B",PR!$AK1156,IF(H1158="MTRUST",PR!$AL1156,IF(H1158="MWORLD",PR!$AM1156,IF(H1158="MEGA",PR!$AN1156,IF(H1158="MICRONOVA",PR!$AO1156,IF(H1158="MFLASH",PR!$AP1156,IF(H1158="MORISON",PR!$AQ1156,IF(H1158="NEMEL",PR!$AR1156,IF(H1158="NHP",PR!$AS1156,IF(H1158="NHC",PR!$AT1156,IF(H1158="OLEAF",PR!$AU1156,IF(H1158="OCULUS",PR!$AV1156,IF(H1158="PACIFIC",PR!$AW1156,IF(H1158="PHAMATEX",PR!$AX1156,IF(H1158="PETHICS",PR!$AY1156,IF(H1158="PHILIPS",PR!$AZ1156,IF(H1158="RANBAXY",PR!$BA1156,IF(H1158="REALS",PR!$BB1156,IF(H1158="ROYAL",PR!$BC1156,IF(H1158="SAM",PR!$BD1156,IF(H1158="SEAGREEN",PR!$BE1156,IF(H1158="SKG",PR!$BF1156,IF(H1158="TAH",PR!$BG1156,IF(H1158="TAYLEK",PR!$BH1156,IF(H1158="TEMITA",PR!$BI1156,IF(H1158="THL",PR!$BJ1156,IF(H1158="UBASTIC",PR!$BK1156,IF(H1158="UNION",PR!$BL1156,IF(H1158="UNIQUE",PR!$BM1156,IF(H1158="VIXA",PR!$BN1156,IF(H1158="WWCV",PR!$BO1156,IF(H1158="ZOLON",PR!$BP1156,"-"))))))))))))))))))))))))))))))))))))))))))))))))))))))))))))))))</f>
        <v>-</v>
      </c>
      <c r="H1158" s="102"/>
      <c r="I1158" s="108" t="str">
        <f>IF(J1158="ALPHA",PR!$E1156,IF(J1158="ASSENE",PR!$F1156,IF(J1158="BIOFEM",PR!$G1156,IF(J1158="BIOMED",PR!$H1156,IF(J1158="CHI",PR!$I1156,IF(J1158="CLARION",PR!$J1156,IF(J1158="CODIX",PR!$K1156,IF(J1158="COSMADE",PR!$L1156,IF(J1158="SANCON",PR!$M1156,IF(J1158="DEVON",PR!$N1156,IF(J1158="DORTEMAG",PR!$O1156,IF(J1158="DGF",PR!$P1156,IF(J1158="DYNAMIC",PR!$Q1156,IF(J1158="EMZOR",PR!$R1156,IF(J1158="EUMATT",PR!$S1156,IF(J1158="FIDSON",PR!$T1156,IF(J1158="FCGLOBAL",PR!$U1156,IF(J1158="GENEITH",PR!$V1156,IF(J1158="GINOS",PR!$W1156,IF(J1158="GSK",PR!$X1156,IF(J1158="GLOBORG",PR!$Y1156,IF(J1158="GOODNEWS",PR!$Z1156,IF(J1158="GREENLIFE",PR!$AA1156,IF(J1158="HLINE",PR!$AB1156,IF(J1158="ROTECH",PR!$AC1156,IF(J1158="ISN",PR!$AD1156,IF(J1158="JAWA",PR!$AE1156,IF(J1158="LAYO",PR!$AF1156,IF(J1158="LEADWAY",PR!$AG1156,IF(J1158="LHV",PR!$AH1156,IF(J1158="MANOLA",PR!$AI1156,IF(J1158="MARCSON",PR!$AJ1156,IF(J1158="M&amp;B",PR!$AK1156,IF(J1158="MTRUST",PR!$AL1156,IF(J1158="MWORLD",PR!$AM1156,IF(J1158="MEGA",PR!$AN1156,IF(J1158="MICRONOVA",PR!$AO1156,IF(J1158="MFLASH",PR!$AP1156,IF(J1158="MORISON",PR!$AQ1156,IF(J1158="NEMEL",PR!$AR1156,IF(J1158="NHP",PR!$AS1156,IF(J1158="NHC",PR!$AT1156,IF(J1158="OLEAF",PR!$AU1156,IF(J1158="OCULUS",PR!$AV1156,IF(J1158="PACIFIC",PR!$AW1156,IF(J1158="PHAMATEX",PR!$AX1156,IF(J1158="PETHICS",PR!$AY1156,IF(J1158="PHILIPS",PR!$AZ1156,IF(J1158="RANBAXY",PR!$BA1156,IF(J1158="REALS",PR!$BB1156,IF(J1158="ROYAL",PR!$BC1156,IF(J1158="SAM",PR!$BD1156,IF(J1158="SEAGREEN",PR!$BE1156,IF(J1158="SKG",PR!$BF1156,IF(J1158="TAH",PR!$BG1156,IF(J1158="TAYLEK",PR!$BH1156,IF(J1158="TEMITA",PR!$BI1156,IF(J1158="THL",PR!$BJ1156,IF(J1158="UBASTIC",PR!$BK1156,IF(J1158="UNION",PR!$BL1156,IF(J1158="UNIQUE",PR!$BM1156,IF(J1158="VIXA",PR!$BN1156,IF(J1158="WWCV",PR!$BO1156,IF(J1158="ZOLON",PR!$BP1156,"-"))))))))))))))))))))))))))))))))))))))))))))))))))))))))))))))))</f>
        <v>-</v>
      </c>
      <c r="J1158" s="102"/>
      <c r="K1158" s="433"/>
      <c r="L1158" s="183" t="b">
        <f>IF(K1158&gt;0,IF(K1158="ALPHA",PR!$E1156,IF(K1158="ASSENE",PR!$F1156,IF(K1158="BIOFEM",PR!$G1156,IF(K1158="BIOMED",PR!$H1156,IF(K1158="CHI",PR!$I1156,IF(K1158="CLARION",PR!$J1156,IF(K1158="CODIX",PR!$K1156,IF(K1158="COSMADE",PR!$L1156,IF(K1158="SANCON",PR!$M1156,IF(K1158="DEVON",PR!$N1156,IF(K1158="DORTEMAG",PR!$O1156,IF(K1158="DGF",PR!$P1156,IF(K1158="DYNAMIC",PR!$Q1156,IF(K1158="EMZOR",PR!$R1156,IF(K1158="EUMATT",PR!$S1156,IF(K1158="FIDSON",PR!$T1156,IF(K1158="FCGLOBAL",PR!$U1156,IF(K1158="GENEITH",PR!$V1156,IF(K1158="GINOS",PR!$W1156,IF(K1158="GSK",PR!$X1156,IF(K1158="GLOBORG",PR!$Y1156,IF(K1158="GOODNEWS",PR!$Z1156,IF(K1158="GREENLIFE",PR!$AA1156,IF(K1158="HLINE",PR!$AB1156,IF(K1158="ROTECH",PR!$AC1156,IF(K1158="ISN",PR!$AD1156,IF(K1158="JAWA",PR!$AE1156,IF(K1158="LAYO",PR!$AF1156,IF(K1158="LEADWAY",PR!$AG1156,IF(K1158="LHV",PR!$AH1156,IF(K1158="MANOLA",PR!$AI1156,IF(K1158="MARCSON",PR!$AJ1156,IF(K1158="M&amp;B",PR!$AK1156,IF(K1158="MTRUST",PR!$AL1156,IF(K1158="MWORLD",PR!$AM1156,IF(K1158="MEGA",PR!$AN1156,IF(K1158="MICRONOVA",PR!$AO1156,IF(K1158="MFLASH",PR!$AP1156,IF(K1158="MORISON",PR!$AQ1156,IF(K1158="NEMEL",PR!$AR1156,IF(K1158="NHP",PR!$AS1156,IF(K1158="NHC",PR!$AT1156,IF(K1158="OLEAF",PR!$AU1156,IF(K1158="OCULUS",PR!$AV1156,IF(K1158="PACIFIC",PR!$AW1156,IF(K1158="PHAMATEX",PR!$AX1156,IF(K1158="PETHICS",PR!$AY1156,IF(K1158="PHILIPS",PR!$AZ1156,IF(K1158="RANBAXY",PR!$BA1156,IF(K1158="REALS",PR!$BB1156,IF(K1158="ROYAL",PR!$BC1156,IF(K1158="SAM",PR!$BD1156,IF(K1158="SEAGREEN",PR!$BE1156,IF(K1158="SKG",PR!$BF1156,IF(K1158="TAH",PR!$BG1156,IF(K1158="TAYLEK",PR!$BH1156,IF(K1158="TEMITA",PR!$BI1156,IF(K1158="THL",PR!$BJ1156,IF(K1158="UBASTIC",PR!$BK1156,IF(K1158="UNION",PR!$BL1156,IF(K1158="UNIQUE",PR!$BM1156,IF(K1158="VIXA",PR!$BN1156,IF(K1158="WWCV",PR!$BO1156,IF(K1158="ZOLON",PR!$BP1156,"-")))))))))))))))))))))))))))))))))))))))))))))))))))))))))))))))))</f>
        <v>0</v>
      </c>
    </row>
    <row r="1159" spans="1:12" ht="18.75" x14ac:dyDescent="0.3">
      <c r="A1159" s="430">
        <f>PR!A1157</f>
        <v>0</v>
      </c>
      <c r="B1159" s="15" t="str">
        <f>PR!B1157</f>
        <v>SHAJE ANNEX</v>
      </c>
      <c r="C1159" s="113">
        <f>PR!D1157</f>
        <v>0</v>
      </c>
      <c r="D1159" s="113">
        <f>PR!C1157</f>
        <v>0</v>
      </c>
      <c r="E1159" s="108" t="str">
        <f>IF(F1159="ALPHA",PR!$E1157,IF(F1159="ASSENE",PR!$F1157,IF(F1159="BIOFEM",PR!$G1157,IF(F1159="BIOMED",PR!$H1157,IF(F1159="CHI",PR!$I1157,IF(F1159="CLARION",PR!$J1157,IF(F1159="CODIX",PR!$K1157,IF(F1159="COSMADE",PR!$L1157,IF(F1159="SANCON",PR!$M1157,IF(F1159="DEVON",PR!$N1157,IF(F1159="DORTEMAG",PR!$O1157,IF(F1159="DGF",PR!$P1157,IF(F1159="DYNAMIC",PR!$Q1157,IF(F1159="EMZOR",PR!$R1157,IF(F1159="EUMATT",PR!$S1157,IF(F1159="FIDSON",PR!$T1157,IF(F1159="FCGLOBAL",PR!$U1157,IF(F1159="GENEITH",PR!$V1157,IF(F1159="GINOS",PR!$W1157,IF(F1159="GSK",PR!$X1157,IF(F1159="GLOBORG",PR!$Y1157,IF(F1159="GOODNEWS",PR!$Z1157,IF(F1159="GREENLIFE",PR!$AA1157,IF(F1159="HLINE",PR!$AB1157,IF(F1159="ROTECH",PR!$AC1157,IF(F1159="ISN",PR!$AD1157,IF(F1159="JAWA",PR!$AE1157,IF(F1159="LAYO",PR!$AF1157,IF(F1159="LEADWAY",PR!$AG1157,IF(F1159="LHV",PR!$AH1157,IF(F1159="MANOLA",PR!$AI1157,IF(F1159="MARCSON",PR!$AJ1157,IF(F1159="M&amp;B",PR!$AK1157,IF(F1159="MTRUST",PR!$AL1157,IF(F1159="MWORLD",PR!$AM1157,IF(F1159="MEGA",PR!$AN1157,IF(F1159="MICRONOVA",PR!$AO1157,IF(F1159="MFLASH",PR!$AP1157,IF(F1159="MORISON",PR!$AQ1157,IF(F1159="NEMEL",PR!$AR1157,IF(F1159="NHP",PR!$AS1157,IF(F1159="NHC",PR!$AT1157,IF(F1159="OLEAF",PR!$AU1157,IF(F1159="OCULUS",PR!$AV1157,IF(F1159="PACIFIC",PR!$AW1157,IF(F1159="PHAMATEX",PR!$AX1157,IF(F1159="PETHICS",PR!$AY1157,IF(F1159="PHILIPS",PR!$AZ1157,IF(F1159="RANBAXY",PR!$BA1157,IF(F1159="REALS",PR!$BB1157,IF(F1159="ROYAL",PR!$BC1157,IF(F1159="SAM",PR!$BD1157,IF(F1159="SEAGREEN",PR!$BE1157,IF(F1159="SKG",PR!$BF1157,IF(F1159="TAH",PR!$BG1157,IF(F1159="TAYLEK",PR!$BH1157,IF(F1159="TEMITA",PR!$BI1157,IF(F1159="THL",PR!$BJ1157,IF(F1159="UBASTIC",PR!$BK1157,IF(F1159="UNION",PR!$BL1157,IF(F1159="UNIQUE",PR!$BM1157,IF(F1159="VIXA",PR!$BN1157,IF(F1159="WWCV",PR!$BO1157,IF(F1159="ZOLON",PR!$BP1157,"-"))))))))))))))))))))))))))))))))))))))))))))))))))))))))))))))))</f>
        <v>-</v>
      </c>
      <c r="F1159" s="102"/>
      <c r="G1159" s="108" t="str">
        <f>IF(H1159="ALPHA",PR!$E1157,IF(H1159="ASSENE",PR!$F1157,IF(H1159="BIOFEM",PR!$G1157,IF(H1159="BIOMED",PR!$H1157,IF(H1159="CHI",PR!$I1157,IF(H1159="CLARION",PR!$J1157,IF(H1159="CODIX",PR!$K1157,IF(H1159="COSMADE",PR!$L1157,IF(H1159="SANCON",PR!$M1157,IF(H1159="DEVON",PR!$N1157,IF(H1159="DORTEMAG",PR!$O1157,IF(H1159="DGF",PR!$P1157,IF(H1159="DYNAMIC",PR!$Q1157,IF(H1159="EMZOR",PR!$R1157,IF(H1159="EUMATT",PR!$S1157,IF(H1159="FIDSON",PR!$T1157,IF(H1159="FCGLOBAL",PR!$U1157,IF(H1159="GENEITH",PR!$V1157,IF(H1159="GINOS",PR!$W1157,IF(H1159="GSK",PR!$X1157,IF(H1159="GLOBORG",PR!$Y1157,IF(H1159="GOODNEWS",PR!$Z1157,IF(H1159="GREENLIFE",PR!$AA1157,IF(H1159="HLINE",PR!$AB1157,IF(H1159="ROTECH",PR!$AC1157,IF(H1159="ISN",PR!$AD1157,IF(H1159="JAWA",PR!$AE1157,IF(H1159="LAYO",PR!$AF1157,IF(H1159="LEADWAY",PR!$AG1157,IF(H1159="LHV",PR!$AH1157,IF(H1159="MANOLA",PR!$AI1157,IF(H1159="MARCSON",PR!$AJ1157,IF(H1159="M&amp;B",PR!$AK1157,IF(H1159="MTRUST",PR!$AL1157,IF(H1159="MWORLD",PR!$AM1157,IF(H1159="MEGA",PR!$AN1157,IF(H1159="MICRONOVA",PR!$AO1157,IF(H1159="MFLASH",PR!$AP1157,IF(H1159="MORISON",PR!$AQ1157,IF(H1159="NEMEL",PR!$AR1157,IF(H1159="NHP",PR!$AS1157,IF(H1159="NHC",PR!$AT1157,IF(H1159="OLEAF",PR!$AU1157,IF(H1159="OCULUS",PR!$AV1157,IF(H1159="PACIFIC",PR!$AW1157,IF(H1159="PHAMATEX",PR!$AX1157,IF(H1159="PETHICS",PR!$AY1157,IF(H1159="PHILIPS",PR!$AZ1157,IF(H1159="RANBAXY",PR!$BA1157,IF(H1159="REALS",PR!$BB1157,IF(H1159="ROYAL",PR!$BC1157,IF(H1159="SAM",PR!$BD1157,IF(H1159="SEAGREEN",PR!$BE1157,IF(H1159="SKG",PR!$BF1157,IF(H1159="TAH",PR!$BG1157,IF(H1159="TAYLEK",PR!$BH1157,IF(H1159="TEMITA",PR!$BI1157,IF(H1159="THL",PR!$BJ1157,IF(H1159="UBASTIC",PR!$BK1157,IF(H1159="UNION",PR!$BL1157,IF(H1159="UNIQUE",PR!$BM1157,IF(H1159="VIXA",PR!$BN1157,IF(H1159="WWCV",PR!$BO1157,IF(H1159="ZOLON",PR!$BP1157,"-"))))))))))))))))))))))))))))))))))))))))))))))))))))))))))))))))</f>
        <v>-</v>
      </c>
      <c r="H1159" s="102"/>
      <c r="I1159" s="108" t="str">
        <f>IF(J1159="ALPHA",PR!$E1157,IF(J1159="ASSENE",PR!$F1157,IF(J1159="BIOFEM",PR!$G1157,IF(J1159="BIOMED",PR!$H1157,IF(J1159="CHI",PR!$I1157,IF(J1159="CLARION",PR!$J1157,IF(J1159="CODIX",PR!$K1157,IF(J1159="COSMADE",PR!$L1157,IF(J1159="SANCON",PR!$M1157,IF(J1159="DEVON",PR!$N1157,IF(J1159="DORTEMAG",PR!$O1157,IF(J1159="DGF",PR!$P1157,IF(J1159="DYNAMIC",PR!$Q1157,IF(J1159="EMZOR",PR!$R1157,IF(J1159="EUMATT",PR!$S1157,IF(J1159="FIDSON",PR!$T1157,IF(J1159="FCGLOBAL",PR!$U1157,IF(J1159="GENEITH",PR!$V1157,IF(J1159="GINOS",PR!$W1157,IF(J1159="GSK",PR!$X1157,IF(J1159="GLOBORG",PR!$Y1157,IF(J1159="GOODNEWS",PR!$Z1157,IF(J1159="GREENLIFE",PR!$AA1157,IF(J1159="HLINE",PR!$AB1157,IF(J1159="ROTECH",PR!$AC1157,IF(J1159="ISN",PR!$AD1157,IF(J1159="JAWA",PR!$AE1157,IF(J1159="LAYO",PR!$AF1157,IF(J1159="LEADWAY",PR!$AG1157,IF(J1159="LHV",PR!$AH1157,IF(J1159="MANOLA",PR!$AI1157,IF(J1159="MARCSON",PR!$AJ1157,IF(J1159="M&amp;B",PR!$AK1157,IF(J1159="MTRUST",PR!$AL1157,IF(J1159="MWORLD",PR!$AM1157,IF(J1159="MEGA",PR!$AN1157,IF(J1159="MICRONOVA",PR!$AO1157,IF(J1159="MFLASH",PR!$AP1157,IF(J1159="MORISON",PR!$AQ1157,IF(J1159="NEMEL",PR!$AR1157,IF(J1159="NHP",PR!$AS1157,IF(J1159="NHC",PR!$AT1157,IF(J1159="OLEAF",PR!$AU1157,IF(J1159="OCULUS",PR!$AV1157,IF(J1159="PACIFIC",PR!$AW1157,IF(J1159="PHAMATEX",PR!$AX1157,IF(J1159="PETHICS",PR!$AY1157,IF(J1159="PHILIPS",PR!$AZ1157,IF(J1159="RANBAXY",PR!$BA1157,IF(J1159="REALS",PR!$BB1157,IF(J1159="ROYAL",PR!$BC1157,IF(J1159="SAM",PR!$BD1157,IF(J1159="SEAGREEN",PR!$BE1157,IF(J1159="SKG",PR!$BF1157,IF(J1159="TAH",PR!$BG1157,IF(J1159="TAYLEK",PR!$BH1157,IF(J1159="TEMITA",PR!$BI1157,IF(J1159="THL",PR!$BJ1157,IF(J1159="UBASTIC",PR!$BK1157,IF(J1159="UNION",PR!$BL1157,IF(J1159="UNIQUE",PR!$BM1157,IF(J1159="VIXA",PR!$BN1157,IF(J1159="WWCV",PR!$BO1157,IF(J1159="ZOLON",PR!$BP1157,"-"))))))))))))))))))))))))))))))))))))))))))))))))))))))))))))))))</f>
        <v>-</v>
      </c>
      <c r="J1159" s="102"/>
      <c r="K1159" s="433"/>
      <c r="L1159" s="183" t="b">
        <f>IF(K1159&gt;0,IF(K1159="ALPHA",PR!$E1157,IF(K1159="ASSENE",PR!$F1157,IF(K1159="BIOFEM",PR!$G1157,IF(K1159="BIOMED",PR!$H1157,IF(K1159="CHI",PR!$I1157,IF(K1159="CLARION",PR!$J1157,IF(K1159="CODIX",PR!$K1157,IF(K1159="COSMADE",PR!$L1157,IF(K1159="SANCON",PR!$M1157,IF(K1159="DEVON",PR!$N1157,IF(K1159="DORTEMAG",PR!$O1157,IF(K1159="DGF",PR!$P1157,IF(K1159="DYNAMIC",PR!$Q1157,IF(K1159="EMZOR",PR!$R1157,IF(K1159="EUMATT",PR!$S1157,IF(K1159="FIDSON",PR!$T1157,IF(K1159="FCGLOBAL",PR!$U1157,IF(K1159="GENEITH",PR!$V1157,IF(K1159="GINOS",PR!$W1157,IF(K1159="GSK",PR!$X1157,IF(K1159="GLOBORG",PR!$Y1157,IF(K1159="GOODNEWS",PR!$Z1157,IF(K1159="GREENLIFE",PR!$AA1157,IF(K1159="HLINE",PR!$AB1157,IF(K1159="ROTECH",PR!$AC1157,IF(K1159="ISN",PR!$AD1157,IF(K1159="JAWA",PR!$AE1157,IF(K1159="LAYO",PR!$AF1157,IF(K1159="LEADWAY",PR!$AG1157,IF(K1159="LHV",PR!$AH1157,IF(K1159="MANOLA",PR!$AI1157,IF(K1159="MARCSON",PR!$AJ1157,IF(K1159="M&amp;B",PR!$AK1157,IF(K1159="MTRUST",PR!$AL1157,IF(K1159="MWORLD",PR!$AM1157,IF(K1159="MEGA",PR!$AN1157,IF(K1159="MICRONOVA",PR!$AO1157,IF(K1159="MFLASH",PR!$AP1157,IF(K1159="MORISON",PR!$AQ1157,IF(K1159="NEMEL",PR!$AR1157,IF(K1159="NHP",PR!$AS1157,IF(K1159="NHC",PR!$AT1157,IF(K1159="OLEAF",PR!$AU1157,IF(K1159="OCULUS",PR!$AV1157,IF(K1159="PACIFIC",PR!$AW1157,IF(K1159="PHAMATEX",PR!$AX1157,IF(K1159="PETHICS",PR!$AY1157,IF(K1159="PHILIPS",PR!$AZ1157,IF(K1159="RANBAXY",PR!$BA1157,IF(K1159="REALS",PR!$BB1157,IF(K1159="ROYAL",PR!$BC1157,IF(K1159="SAM",PR!$BD1157,IF(K1159="SEAGREEN",PR!$BE1157,IF(K1159="SKG",PR!$BF1157,IF(K1159="TAH",PR!$BG1157,IF(K1159="TAYLEK",PR!$BH1157,IF(K1159="TEMITA",PR!$BI1157,IF(K1159="THL",PR!$BJ1157,IF(K1159="UBASTIC",PR!$BK1157,IF(K1159="UNION",PR!$BL1157,IF(K1159="UNIQUE",PR!$BM1157,IF(K1159="VIXA",PR!$BN1157,IF(K1159="WWCV",PR!$BO1157,IF(K1159="ZOLON",PR!$BP1157,"-")))))))))))))))))))))))))))))))))))))))))))))))))))))))))))))))))</f>
        <v>0</v>
      </c>
    </row>
    <row r="1160" spans="1:12" ht="18.75" x14ac:dyDescent="0.3">
      <c r="A1160" s="430">
        <f>PR!A1158</f>
        <v>1039</v>
      </c>
      <c r="B1160" s="15" t="str">
        <f>PR!B1158</f>
        <v>ANTI SERA A (BIOTECH)</v>
      </c>
      <c r="C1160" s="113" t="str">
        <f>PR!D1158</f>
        <v>1 x 10 pcs</v>
      </c>
      <c r="D1160" s="113">
        <f>PR!C1158</f>
        <v>1</v>
      </c>
      <c r="E1160" s="108">
        <f>IF(F1160="ALPHA",PR!$E1158,IF(F1160="ASSENE",PR!$F1158,IF(F1160="BIOFEM",PR!$G1158,IF(F1160="BIOMED",PR!$H1158,IF(F1160="CHI",PR!$I1158,IF(F1160="CLARION",PR!$J1158,IF(F1160="CODIX",PR!$K1158,IF(F1160="COSMADE",PR!$L1158,IF(F1160="SANCON",PR!$M1158,IF(F1160="DEVON",PR!$N1158,IF(F1160="DORTEMAG",PR!$O1158,IF(F1160="DGF",PR!$P1158,IF(F1160="DYNAMIC",PR!$Q1158,IF(F1160="EMZOR",PR!$R1158,IF(F1160="EUMATT",PR!$S1158,IF(F1160="FIDSON",PR!$T1158,IF(F1160="FCGLOBAL",PR!$U1158,IF(F1160="GENEITH",PR!$V1158,IF(F1160="GINOS",PR!$W1158,IF(F1160="GSK",PR!$X1158,IF(F1160="GLOBORG",PR!$Y1158,IF(F1160="GOODNEWS",PR!$Z1158,IF(F1160="GREENLIFE",PR!$AA1158,IF(F1160="HLINE",PR!$AB1158,IF(F1160="ROTECH",PR!$AC1158,IF(F1160="ISN",PR!$AD1158,IF(F1160="JAWA",PR!$AE1158,IF(F1160="LAYO",PR!$AF1158,IF(F1160="LEADWAY",PR!$AG1158,IF(F1160="LHV",PR!$AH1158,IF(F1160="MANOLA",PR!$AI1158,IF(F1160="MARCSON",PR!$AJ1158,IF(F1160="M&amp;B",PR!$AK1158,IF(F1160="MTRUST",PR!$AL1158,IF(F1160="MWORLD",PR!$AM1158,IF(F1160="MEGA",PR!$AN1158,IF(F1160="MICRONOVA",PR!$AO1158,IF(F1160="MFLASH",PR!$AP1158,IF(F1160="MORISON",PR!$AQ1158,IF(F1160="NEMEL",PR!$AR1158,IF(F1160="NHP",PR!$AS1158,IF(F1160="NHC",PR!$AT1158,IF(F1160="OLEAF",PR!$AU1158,IF(F1160="OCULUS",PR!$AV1158,IF(F1160="PACIFIC",PR!$AW1158,IF(F1160="PHAMATEX",PR!$AX1158,IF(F1160="PETHICS",PR!$AY1158,IF(F1160="PHILIPS",PR!$AZ1158,IF(F1160="RANBAXY",PR!$BA1158,IF(F1160="REALS",PR!$BB1158,IF(F1160="ROYAL",PR!$BC1158,IF(F1160="SAM",PR!$BD1158,IF(F1160="SEAGREEN",PR!$BE1158,IF(F1160="SKG",PR!$BF1158,IF(F1160="TAH",PR!$BG1158,IF(F1160="TAYLEK",PR!$BH1158,IF(F1160="TEMITA",PR!$BI1158,IF(F1160="THL",PR!$BJ1158,IF(F1160="UBASTIC",PR!$BK1158,IF(F1160="UNION",PR!$BL1158,IF(F1160="UNIQUE",PR!$BM1158,IF(F1160="VIXA",PR!$BN1158,IF(F1160="WWCV",PR!$BO1158,IF(F1160="ZOLON",PR!$BP1158,"-"))))))))))))))))))))))))))))))))))))))))))))))))))))))))))))))))</f>
        <v>9900</v>
      </c>
      <c r="F1160" s="102" t="str">
        <f>EV!L1473</f>
        <v>TEMITA</v>
      </c>
      <c r="G1160" s="108">
        <f>IF(H1160="ALPHA",PR!$E1158,IF(H1160="ASSENE",PR!$F1158,IF(H1160="BIOFEM",PR!$G1158,IF(H1160="BIOMED",PR!$H1158,IF(H1160="CHI",PR!$I1158,IF(H1160="CLARION",PR!$J1158,IF(H1160="CODIX",PR!$K1158,IF(H1160="COSMADE",PR!$L1158,IF(H1160="SANCON",PR!$M1158,IF(H1160="DEVON",PR!$N1158,IF(H1160="DORTEMAG",PR!$O1158,IF(H1160="DGF",PR!$P1158,IF(H1160="DYNAMIC",PR!$Q1158,IF(H1160="EMZOR",PR!$R1158,IF(H1160="EUMATT",PR!$S1158,IF(H1160="FIDSON",PR!$T1158,IF(H1160="FCGLOBAL",PR!$U1158,IF(H1160="GENEITH",PR!$V1158,IF(H1160="GINOS",PR!$W1158,IF(H1160="GSK",PR!$X1158,IF(H1160="GLOBORG",PR!$Y1158,IF(H1160="GOODNEWS",PR!$Z1158,IF(H1160="GREENLIFE",PR!$AA1158,IF(H1160="HLINE",PR!$AB1158,IF(H1160="ROTECH",PR!$AC1158,IF(H1160="ISN",PR!$AD1158,IF(H1160="JAWA",PR!$AE1158,IF(H1160="LAYO",PR!$AF1158,IF(H1160="LEADWAY",PR!$AG1158,IF(H1160="LHV",PR!$AH1158,IF(H1160="MANOLA",PR!$AI1158,IF(H1160="MARCSON",PR!$AJ1158,IF(H1160="M&amp;B",PR!$AK1158,IF(H1160="MTRUST",PR!$AL1158,IF(H1160="MWORLD",PR!$AM1158,IF(H1160="MEGA",PR!$AN1158,IF(H1160="MICRONOVA",PR!$AO1158,IF(H1160="MFLASH",PR!$AP1158,IF(H1160="MORISON",PR!$AQ1158,IF(H1160="NEMEL",PR!$AR1158,IF(H1160="NHP",PR!$AS1158,IF(H1160="NHC",PR!$AT1158,IF(H1160="OLEAF",PR!$AU1158,IF(H1160="OCULUS",PR!$AV1158,IF(H1160="PACIFIC",PR!$AW1158,IF(H1160="PHAMATEX",PR!$AX1158,IF(H1160="PETHICS",PR!$AY1158,IF(H1160="PHILIPS",PR!$AZ1158,IF(H1160="RANBAXY",PR!$BA1158,IF(H1160="REALS",PR!$BB1158,IF(H1160="ROYAL",PR!$BC1158,IF(H1160="SAM",PR!$BD1158,IF(H1160="SEAGREEN",PR!$BE1158,IF(H1160="SKG",PR!$BF1158,IF(H1160="TAH",PR!$BG1158,IF(H1160="TAYLEK",PR!$BH1158,IF(H1160="TEMITA",PR!$BI1158,IF(H1160="THL",PR!$BJ1158,IF(H1160="UBASTIC",PR!$BK1158,IF(H1160="UNION",PR!$BL1158,IF(H1160="UNIQUE",PR!$BM1158,IF(H1160="VIXA",PR!$BN1158,IF(H1160="WWCV",PR!$BO1158,IF(H1160="ZOLON",PR!$BP1158,"-"))))))))))))))))))))))))))))))))))))))))))))))))))))))))))))))))</f>
        <v>10000</v>
      </c>
      <c r="H1160" s="102" t="str">
        <f>EV!M1473</f>
        <v>UBASTIC</v>
      </c>
      <c r="I1160" s="108">
        <f>IF(J1160="ALPHA",PR!$E1158,IF(J1160="ASSENE",PR!$F1158,IF(J1160="BIOFEM",PR!$G1158,IF(J1160="BIOMED",PR!$H1158,IF(J1160="CHI",PR!$I1158,IF(J1160="CLARION",PR!$J1158,IF(J1160="CODIX",PR!$K1158,IF(J1160="COSMADE",PR!$L1158,IF(J1160="SANCON",PR!$M1158,IF(J1160="DEVON",PR!$N1158,IF(J1160="DORTEMAG",PR!$O1158,IF(J1160="DGF",PR!$P1158,IF(J1160="DYNAMIC",PR!$Q1158,IF(J1160="EMZOR",PR!$R1158,IF(J1160="EUMATT",PR!$S1158,IF(J1160="FIDSON",PR!$T1158,IF(J1160="FCGLOBAL",PR!$U1158,IF(J1160="GENEITH",PR!$V1158,IF(J1160="GINOS",PR!$W1158,IF(J1160="GSK",PR!$X1158,IF(J1160="GLOBORG",PR!$Y1158,IF(J1160="GOODNEWS",PR!$Z1158,IF(J1160="GREENLIFE",PR!$AA1158,IF(J1160="HLINE",PR!$AB1158,IF(J1160="ROTECH",PR!$AC1158,IF(J1160="ISN",PR!$AD1158,IF(J1160="JAWA",PR!$AE1158,IF(J1160="LAYO",PR!$AF1158,IF(J1160="LEADWAY",PR!$AG1158,IF(J1160="LHV",PR!$AH1158,IF(J1160="MANOLA",PR!$AI1158,IF(J1160="MARCSON",PR!$AJ1158,IF(J1160="M&amp;B",PR!$AK1158,IF(J1160="MTRUST",PR!$AL1158,IF(J1160="MWORLD",PR!$AM1158,IF(J1160="MEGA",PR!$AN1158,IF(J1160="MICRONOVA",PR!$AO1158,IF(J1160="MFLASH",PR!$AP1158,IF(J1160="MORISON",PR!$AQ1158,IF(J1160="NEMEL",PR!$AR1158,IF(J1160="NHP",PR!$AS1158,IF(J1160="NHC",PR!$AT1158,IF(J1160="OLEAF",PR!$AU1158,IF(J1160="OCULUS",PR!$AV1158,IF(J1160="PACIFIC",PR!$AW1158,IF(J1160="PHAMATEX",PR!$AX1158,IF(J1160="PETHICS",PR!$AY1158,IF(J1160="PHILIPS",PR!$AZ1158,IF(J1160="RANBAXY",PR!$BA1158,IF(J1160="REALS",PR!$BB1158,IF(J1160="ROYAL",PR!$BC1158,IF(J1160="SAM",PR!$BD1158,IF(J1160="SEAGREEN",PR!$BE1158,IF(J1160="SKG",PR!$BF1158,IF(J1160="TAH",PR!$BG1158,IF(J1160="TAYLEK",PR!$BH1158,IF(J1160="TEMITA",PR!$BI1158,IF(J1160="THL",PR!$BJ1158,IF(J1160="UBASTIC",PR!$BK1158,IF(J1160="UNION",PR!$BL1158,IF(J1160="UNIQUE",PR!$BM1158,IF(J1160="VIXA",PR!$BN1158,IF(J1160="WWCV",PR!$BO1158,IF(J1160="ZOLON",PR!$BP1158,"-"))))))))))))))))))))))))))))))))))))))))))))))))))))))))))))))))</f>
        <v>14000</v>
      </c>
      <c r="J1160" s="102" t="str">
        <f>EV!N1473</f>
        <v>SANCON</v>
      </c>
      <c r="K1160" s="433" t="s">
        <v>1459</v>
      </c>
      <c r="L1160" s="183">
        <f>IF(K1160&gt;0,IF(K1160="ALPHA",PR!$E1158,IF(K1160="ASSENE",PR!$F1158,IF(K1160="BIOFEM",PR!$G1158,IF(K1160="BIOMED",PR!$H1158,IF(K1160="CHI",PR!$I1158,IF(K1160="CLARION",PR!$J1158,IF(K1160="CODIX",PR!$K1158,IF(K1160="COSMADE",PR!$L1158,IF(K1160="SANCON",PR!$M1158,IF(K1160="DEVON",PR!$N1158,IF(K1160="DORTEMAG",PR!$O1158,IF(K1160="DGF",PR!$P1158,IF(K1160="DYNAMIC",PR!$Q1158,IF(K1160="EMZOR",PR!$R1158,IF(K1160="EUMATT",PR!$S1158,IF(K1160="FIDSON",PR!$T1158,IF(K1160="FCGLOBAL",PR!$U1158,IF(K1160="GENEITH",PR!$V1158,IF(K1160="GINOS",PR!$W1158,IF(K1160="GSK",PR!$X1158,IF(K1160="GLOBORG",PR!$Y1158,IF(K1160="GOODNEWS",PR!$Z1158,IF(K1160="GREENLIFE",PR!$AA1158,IF(K1160="HLINE",PR!$AB1158,IF(K1160="ROTECH",PR!$AC1158,IF(K1160="ISN",PR!$AD1158,IF(K1160="JAWA",PR!$AE1158,IF(K1160="LAYO",PR!$AF1158,IF(K1160="LEADWAY",PR!$AG1158,IF(K1160="LHV",PR!$AH1158,IF(K1160="MANOLA",PR!$AI1158,IF(K1160="MARCSON",PR!$AJ1158,IF(K1160="M&amp;B",PR!$AK1158,IF(K1160="MTRUST",PR!$AL1158,IF(K1160="MWORLD",PR!$AM1158,IF(K1160="MEGA",PR!$AN1158,IF(K1160="MICRONOVA",PR!$AO1158,IF(K1160="MFLASH",PR!$AP1158,IF(K1160="MORISON",PR!$AQ1158,IF(K1160="NEMEL",PR!$AR1158,IF(K1160="NHP",PR!$AS1158,IF(K1160="NHC",PR!$AT1158,IF(K1160="OLEAF",PR!$AU1158,IF(K1160="OCULUS",PR!$AV1158,IF(K1160="PACIFIC",PR!$AW1158,IF(K1160="PHAMATEX",PR!$AX1158,IF(K1160="PETHICS",PR!$AY1158,IF(K1160="PHILIPS",PR!$AZ1158,IF(K1160="RANBAXY",PR!$BA1158,IF(K1160="REALS",PR!$BB1158,IF(K1160="ROYAL",PR!$BC1158,IF(K1160="SAM",PR!$BD1158,IF(K1160="SEAGREEN",PR!$BE1158,IF(K1160="SKG",PR!$BF1158,IF(K1160="TAH",PR!$BG1158,IF(K1160="TAYLEK",PR!$BH1158,IF(K1160="TEMITA",PR!$BI1158,IF(K1160="THL",PR!$BJ1158,IF(K1160="UBASTIC",PR!$BK1158,IF(K1160="UNION",PR!$BL1158,IF(K1160="UNIQUE",PR!$BM1158,IF(K1160="VIXA",PR!$BN1158,IF(K1160="WWCV",PR!$BO1158,IF(K1160="ZOLON",PR!$BP1158,"-")))))))))))))))))))))))))))))))))))))))))))))))))))))))))))))))))</f>
        <v>10000</v>
      </c>
    </row>
    <row r="1161" spans="1:12" ht="18.75" x14ac:dyDescent="0.3">
      <c r="A1161" s="430">
        <f>PR!A1159</f>
        <v>1040</v>
      </c>
      <c r="B1161" s="15" t="str">
        <f>PR!B1159</f>
        <v>ANTI SERA B  (BIOTECH)</v>
      </c>
      <c r="C1161" s="113" t="str">
        <f>PR!D1159</f>
        <v>1 x 10 pcs</v>
      </c>
      <c r="D1161" s="113">
        <f>PR!C1159</f>
        <v>1</v>
      </c>
      <c r="E1161" s="108">
        <f>IF(F1161="ALPHA",PR!$E1159,IF(F1161="ASSENE",PR!$F1159,IF(F1161="BIOFEM",PR!$G1159,IF(F1161="BIOMED",PR!$H1159,IF(F1161="CHI",PR!$I1159,IF(F1161="CLARION",PR!$J1159,IF(F1161="CODIX",PR!$K1159,IF(F1161="COSMADE",PR!$L1159,IF(F1161="SANCON",PR!$M1159,IF(F1161="DEVON",PR!$N1159,IF(F1161="DORTEMAG",PR!$O1159,IF(F1161="DGF",PR!$P1159,IF(F1161="DYNAMIC",PR!$Q1159,IF(F1161="EMZOR",PR!$R1159,IF(F1161="EUMATT",PR!$S1159,IF(F1161="FIDSON",PR!$T1159,IF(F1161="FCGLOBAL",PR!$U1159,IF(F1161="GENEITH",PR!$V1159,IF(F1161="GINOS",PR!$W1159,IF(F1161="GSK",PR!$X1159,IF(F1161="GLOBORG",PR!$Y1159,IF(F1161="GOODNEWS",PR!$Z1159,IF(F1161="GREENLIFE",PR!$AA1159,IF(F1161="HLINE",PR!$AB1159,IF(F1161="ROTECH",PR!$AC1159,IF(F1161="ISN",PR!$AD1159,IF(F1161="JAWA",PR!$AE1159,IF(F1161="LAYO",PR!$AF1159,IF(F1161="LEADWAY",PR!$AG1159,IF(F1161="LHV",PR!$AH1159,IF(F1161="MANOLA",PR!$AI1159,IF(F1161="MARCSON",PR!$AJ1159,IF(F1161="M&amp;B",PR!$AK1159,IF(F1161="MTRUST",PR!$AL1159,IF(F1161="MWORLD",PR!$AM1159,IF(F1161="MEGA",PR!$AN1159,IF(F1161="MICRONOVA",PR!$AO1159,IF(F1161="MFLASH",PR!$AP1159,IF(F1161="MORISON",PR!$AQ1159,IF(F1161="NEMEL",PR!$AR1159,IF(F1161="NHP",PR!$AS1159,IF(F1161="NHC",PR!$AT1159,IF(F1161="OLEAF",PR!$AU1159,IF(F1161="OCULUS",PR!$AV1159,IF(F1161="PACIFIC",PR!$AW1159,IF(F1161="PHAMATEX",PR!$AX1159,IF(F1161="PETHICS",PR!$AY1159,IF(F1161="PHILIPS",PR!$AZ1159,IF(F1161="RANBAXY",PR!$BA1159,IF(F1161="REALS",PR!$BB1159,IF(F1161="ROYAL",PR!$BC1159,IF(F1161="SAM",PR!$BD1159,IF(F1161="SEAGREEN",PR!$BE1159,IF(F1161="SKG",PR!$BF1159,IF(F1161="TAH",PR!$BG1159,IF(F1161="TAYLEK",PR!$BH1159,IF(F1161="TEMITA",PR!$BI1159,IF(F1161="THL",PR!$BJ1159,IF(F1161="UBASTIC",PR!$BK1159,IF(F1161="UNION",PR!$BL1159,IF(F1161="UNIQUE",PR!$BM1159,IF(F1161="VIXA",PR!$BN1159,IF(F1161="WWCV",PR!$BO1159,IF(F1161="ZOLON",PR!$BP1159,"-"))))))))))))))))))))))))))))))))))))))))))))))))))))))))))))))))</f>
        <v>10000</v>
      </c>
      <c r="F1161" s="102" t="str">
        <f>EV!L1474</f>
        <v>UBASTIC</v>
      </c>
      <c r="G1161" s="108" t="str">
        <f>IF(H1161="ALPHA",PR!$E1159,IF(H1161="ASSENE",PR!$F1159,IF(H1161="BIOFEM",PR!$G1159,IF(H1161="BIOMED",PR!$H1159,IF(H1161="CHI",PR!$I1159,IF(H1161="CLARION",PR!$J1159,IF(H1161="CODIX",PR!$K1159,IF(H1161="COSMADE",PR!$L1159,IF(H1161="SANCON",PR!$M1159,IF(H1161="DEVON",PR!$N1159,IF(H1161="DORTEMAG",PR!$O1159,IF(H1161="DGF",PR!$P1159,IF(H1161="DYNAMIC",PR!$Q1159,IF(H1161="EMZOR",PR!$R1159,IF(H1161="EUMATT",PR!$S1159,IF(H1161="FIDSON",PR!$T1159,IF(H1161="FCGLOBAL",PR!$U1159,IF(H1161="GENEITH",PR!$V1159,IF(H1161="GINOS",PR!$W1159,IF(H1161="GSK",PR!$X1159,IF(H1161="GLOBORG",PR!$Y1159,IF(H1161="GOODNEWS",PR!$Z1159,IF(H1161="GREENLIFE",PR!$AA1159,IF(H1161="HLINE",PR!$AB1159,IF(H1161="ROTECH",PR!$AC1159,IF(H1161="ISN",PR!$AD1159,IF(H1161="JAWA",PR!$AE1159,IF(H1161="LAYO",PR!$AF1159,IF(H1161="LEADWAY",PR!$AG1159,IF(H1161="LHV",PR!$AH1159,IF(H1161="MANOLA",PR!$AI1159,IF(H1161="MARCSON",PR!$AJ1159,IF(H1161="M&amp;B",PR!$AK1159,IF(H1161="MTRUST",PR!$AL1159,IF(H1161="MWORLD",PR!$AM1159,IF(H1161="MEGA",PR!$AN1159,IF(H1161="MICRONOVA",PR!$AO1159,IF(H1161="MFLASH",PR!$AP1159,IF(H1161="MORISON",PR!$AQ1159,IF(H1161="NEMEL",PR!$AR1159,IF(H1161="NHP",PR!$AS1159,IF(H1161="NHC",PR!$AT1159,IF(H1161="OLEAF",PR!$AU1159,IF(H1161="OCULUS",PR!$AV1159,IF(H1161="PACIFIC",PR!$AW1159,IF(H1161="PHAMATEX",PR!$AX1159,IF(H1161="PETHICS",PR!$AY1159,IF(H1161="PHILIPS",PR!$AZ1159,IF(H1161="RANBAXY",PR!$BA1159,IF(H1161="REALS",PR!$BB1159,IF(H1161="ROYAL",PR!$BC1159,IF(H1161="SAM",PR!$BD1159,IF(H1161="SEAGREEN",PR!$BE1159,IF(H1161="SKG",PR!$BF1159,IF(H1161="TAH",PR!$BG1159,IF(H1161="TAYLEK",PR!$BH1159,IF(H1161="TEMITA",PR!$BI1159,IF(H1161="THL",PR!$BJ1159,IF(H1161="UBASTIC",PR!$BK1159,IF(H1161="UNION",PR!$BL1159,IF(H1161="UNIQUE",PR!$BM1159,IF(H1161="VIXA",PR!$BN1159,IF(H1161="WWCV",PR!$BO1159,IF(H1161="ZOLON",PR!$BP1159,"-"))))))))))))))))))))))))))))))))))))))))))))))))))))))))))))))))</f>
        <v>-</v>
      </c>
      <c r="H1161" s="102">
        <f>EV!M1474</f>
        <v>0</v>
      </c>
      <c r="I1161" s="108" t="str">
        <f>IF(J1161="ALPHA",PR!$E1159,IF(J1161="ASSENE",PR!$F1159,IF(J1161="BIOFEM",PR!$G1159,IF(J1161="BIOMED",PR!$H1159,IF(J1161="CHI",PR!$I1159,IF(J1161="CLARION",PR!$J1159,IF(J1161="CODIX",PR!$K1159,IF(J1161="COSMADE",PR!$L1159,IF(J1161="SANCON",PR!$M1159,IF(J1161="DEVON",PR!$N1159,IF(J1161="DORTEMAG",PR!$O1159,IF(J1161="DGF",PR!$P1159,IF(J1161="DYNAMIC",PR!$Q1159,IF(J1161="EMZOR",PR!$R1159,IF(J1161="EUMATT",PR!$S1159,IF(J1161="FIDSON",PR!$T1159,IF(J1161="FCGLOBAL",PR!$U1159,IF(J1161="GENEITH",PR!$V1159,IF(J1161="GINOS",PR!$W1159,IF(J1161="GSK",PR!$X1159,IF(J1161="GLOBORG",PR!$Y1159,IF(J1161="GOODNEWS",PR!$Z1159,IF(J1161="GREENLIFE",PR!$AA1159,IF(J1161="HLINE",PR!$AB1159,IF(J1161="ROTECH",PR!$AC1159,IF(J1161="ISN",PR!$AD1159,IF(J1161="JAWA",PR!$AE1159,IF(J1161="LAYO",PR!$AF1159,IF(J1161="LEADWAY",PR!$AG1159,IF(J1161="LHV",PR!$AH1159,IF(J1161="MANOLA",PR!$AI1159,IF(J1161="MARCSON",PR!$AJ1159,IF(J1161="M&amp;B",PR!$AK1159,IF(J1161="MTRUST",PR!$AL1159,IF(J1161="MWORLD",PR!$AM1159,IF(J1161="MEGA",PR!$AN1159,IF(J1161="MICRONOVA",PR!$AO1159,IF(J1161="MFLASH",PR!$AP1159,IF(J1161="MORISON",PR!$AQ1159,IF(J1161="NEMEL",PR!$AR1159,IF(J1161="NHP",PR!$AS1159,IF(J1161="NHC",PR!$AT1159,IF(J1161="OLEAF",PR!$AU1159,IF(J1161="OCULUS",PR!$AV1159,IF(J1161="PACIFIC",PR!$AW1159,IF(J1161="PHAMATEX",PR!$AX1159,IF(J1161="PETHICS",PR!$AY1159,IF(J1161="PHILIPS",PR!$AZ1159,IF(J1161="RANBAXY",PR!$BA1159,IF(J1161="REALS",PR!$BB1159,IF(J1161="ROYAL",PR!$BC1159,IF(J1161="SAM",PR!$BD1159,IF(J1161="SEAGREEN",PR!$BE1159,IF(J1161="SKG",PR!$BF1159,IF(J1161="TAH",PR!$BG1159,IF(J1161="TAYLEK",PR!$BH1159,IF(J1161="TEMITA",PR!$BI1159,IF(J1161="THL",PR!$BJ1159,IF(J1161="UBASTIC",PR!$BK1159,IF(J1161="UNION",PR!$BL1159,IF(J1161="UNIQUE",PR!$BM1159,IF(J1161="VIXA",PR!$BN1159,IF(J1161="WWCV",PR!$BO1159,IF(J1161="ZOLON",PR!$BP1159,"-"))))))))))))))))))))))))))))))))))))))))))))))))))))))))))))))))</f>
        <v>-</v>
      </c>
      <c r="J1161" s="102">
        <f>EV!N1474</f>
        <v>0</v>
      </c>
      <c r="K1161" s="433" t="s">
        <v>1459</v>
      </c>
      <c r="L1161" s="183">
        <f>IF(K1161&gt;0,IF(K1161="ALPHA",PR!$E1159,IF(K1161="ASSENE",PR!$F1159,IF(K1161="BIOFEM",PR!$G1159,IF(K1161="BIOMED",PR!$H1159,IF(K1161="CHI",PR!$I1159,IF(K1161="CLARION",PR!$J1159,IF(K1161="CODIX",PR!$K1159,IF(K1161="COSMADE",PR!$L1159,IF(K1161="SANCON",PR!$M1159,IF(K1161="DEVON",PR!$N1159,IF(K1161="DORTEMAG",PR!$O1159,IF(K1161="DGF",PR!$P1159,IF(K1161="DYNAMIC",PR!$Q1159,IF(K1161="EMZOR",PR!$R1159,IF(K1161="EUMATT",PR!$S1159,IF(K1161="FIDSON",PR!$T1159,IF(K1161="FCGLOBAL",PR!$U1159,IF(K1161="GENEITH",PR!$V1159,IF(K1161="GINOS",PR!$W1159,IF(K1161="GSK",PR!$X1159,IF(K1161="GLOBORG",PR!$Y1159,IF(K1161="GOODNEWS",PR!$Z1159,IF(K1161="GREENLIFE",PR!$AA1159,IF(K1161="HLINE",PR!$AB1159,IF(K1161="ROTECH",PR!$AC1159,IF(K1161="ISN",PR!$AD1159,IF(K1161="JAWA",PR!$AE1159,IF(K1161="LAYO",PR!$AF1159,IF(K1161="LEADWAY",PR!$AG1159,IF(K1161="LHV",PR!$AH1159,IF(K1161="MANOLA",PR!$AI1159,IF(K1161="MARCSON",PR!$AJ1159,IF(K1161="M&amp;B",PR!$AK1159,IF(K1161="MTRUST",PR!$AL1159,IF(K1161="MWORLD",PR!$AM1159,IF(K1161="MEGA",PR!$AN1159,IF(K1161="MICRONOVA",PR!$AO1159,IF(K1161="MFLASH",PR!$AP1159,IF(K1161="MORISON",PR!$AQ1159,IF(K1161="NEMEL",PR!$AR1159,IF(K1161="NHP",PR!$AS1159,IF(K1161="NHC",PR!$AT1159,IF(K1161="OLEAF",PR!$AU1159,IF(K1161="OCULUS",PR!$AV1159,IF(K1161="PACIFIC",PR!$AW1159,IF(K1161="PHAMATEX",PR!$AX1159,IF(K1161="PETHICS",PR!$AY1159,IF(K1161="PHILIPS",PR!$AZ1159,IF(K1161="RANBAXY",PR!$BA1159,IF(K1161="REALS",PR!$BB1159,IF(K1161="ROYAL",PR!$BC1159,IF(K1161="SAM",PR!$BD1159,IF(K1161="SEAGREEN",PR!$BE1159,IF(K1161="SKG",PR!$BF1159,IF(K1161="TAH",PR!$BG1159,IF(K1161="TAYLEK",PR!$BH1159,IF(K1161="TEMITA",PR!$BI1159,IF(K1161="THL",PR!$BJ1159,IF(K1161="UBASTIC",PR!$BK1159,IF(K1161="UNION",PR!$BL1159,IF(K1161="UNIQUE",PR!$BM1159,IF(K1161="VIXA",PR!$BN1159,IF(K1161="WWCV",PR!$BO1159,IF(K1161="ZOLON",PR!$BP1159,"-")))))))))))))))))))))))))))))))))))))))))))))))))))))))))))))))))</f>
        <v>10000</v>
      </c>
    </row>
    <row r="1162" spans="1:12" ht="18.75" x14ac:dyDescent="0.3">
      <c r="A1162" s="430">
        <f>PR!A1160</f>
        <v>1041</v>
      </c>
      <c r="B1162" s="15" t="str">
        <f>PR!B1160</f>
        <v>ANTI SERA A+B  (BIOTECH)</v>
      </c>
      <c r="C1162" s="113" t="str">
        <f>PR!D1160</f>
        <v>1 x 10 pcs</v>
      </c>
      <c r="D1162" s="113">
        <f>PR!C1160</f>
        <v>1</v>
      </c>
      <c r="E1162" s="108">
        <f>IF(F1162="ALPHA",PR!$E1160,IF(F1162="ASSENE",PR!$F1160,IF(F1162="BIOFEM",PR!$G1160,IF(F1162="BIOMED",PR!$H1160,IF(F1162="CHI",PR!$I1160,IF(F1162="CLARION",PR!$J1160,IF(F1162="CODIX",PR!$K1160,IF(F1162="COSMADE",PR!$L1160,IF(F1162="SANCON",PR!$M1160,IF(F1162="DEVON",PR!$N1160,IF(F1162="DORTEMAG",PR!$O1160,IF(F1162="DGF",PR!$P1160,IF(F1162="DYNAMIC",PR!$Q1160,IF(F1162="EMZOR",PR!$R1160,IF(F1162="EUMATT",PR!$S1160,IF(F1162="FIDSON",PR!$T1160,IF(F1162="FCGLOBAL",PR!$U1160,IF(F1162="GENEITH",PR!$V1160,IF(F1162="GINOS",PR!$W1160,IF(F1162="GSK",PR!$X1160,IF(F1162="GLOBORG",PR!$Y1160,IF(F1162="GOODNEWS",PR!$Z1160,IF(F1162="GREENLIFE",PR!$AA1160,IF(F1162="HLINE",PR!$AB1160,IF(F1162="ROTECH",PR!$AC1160,IF(F1162="ISN",PR!$AD1160,IF(F1162="JAWA",PR!$AE1160,IF(F1162="LAYO",PR!$AF1160,IF(F1162="LEADWAY",PR!$AG1160,IF(F1162="LHV",PR!$AH1160,IF(F1162="MANOLA",PR!$AI1160,IF(F1162="MARCSON",PR!$AJ1160,IF(F1162="M&amp;B",PR!$AK1160,IF(F1162="MTRUST",PR!$AL1160,IF(F1162="MWORLD",PR!$AM1160,IF(F1162="MEGA",PR!$AN1160,IF(F1162="MICRONOVA",PR!$AO1160,IF(F1162="MFLASH",PR!$AP1160,IF(F1162="MORISON",PR!$AQ1160,IF(F1162="NEMEL",PR!$AR1160,IF(F1162="NHP",PR!$AS1160,IF(F1162="NHC",PR!$AT1160,IF(F1162="OLEAF",PR!$AU1160,IF(F1162="OCULUS",PR!$AV1160,IF(F1162="PACIFIC",PR!$AW1160,IF(F1162="PHAMATEX",PR!$AX1160,IF(F1162="PETHICS",PR!$AY1160,IF(F1162="PHILIPS",PR!$AZ1160,IF(F1162="RANBAXY",PR!$BA1160,IF(F1162="REALS",PR!$BB1160,IF(F1162="ROYAL",PR!$BC1160,IF(F1162="SAM",PR!$BD1160,IF(F1162="SEAGREEN",PR!$BE1160,IF(F1162="SKG",PR!$BF1160,IF(F1162="TAH",PR!$BG1160,IF(F1162="TAYLEK",PR!$BH1160,IF(F1162="TEMITA",PR!$BI1160,IF(F1162="THL",PR!$BJ1160,IF(F1162="UBASTIC",PR!$BK1160,IF(F1162="UNION",PR!$BL1160,IF(F1162="UNIQUE",PR!$BM1160,IF(F1162="VIXA",PR!$BN1160,IF(F1162="WWCV",PR!$BO1160,IF(F1162="ZOLON",PR!$BP1160,"-"))))))))))))))))))))))))))))))))))))))))))))))))))))))))))))))))</f>
        <v>15000</v>
      </c>
      <c r="F1162" s="102" t="str">
        <f>EV!L1475</f>
        <v>UBASTIC</v>
      </c>
      <c r="G1162" s="108" t="str">
        <f>IF(H1162="ALPHA",PR!$E1160,IF(H1162="ASSENE",PR!$F1160,IF(H1162="BIOFEM",PR!$G1160,IF(H1162="BIOMED",PR!$H1160,IF(H1162="CHI",PR!$I1160,IF(H1162="CLARION",PR!$J1160,IF(H1162="CODIX",PR!$K1160,IF(H1162="COSMADE",PR!$L1160,IF(H1162="SANCON",PR!$M1160,IF(H1162="DEVON",PR!$N1160,IF(H1162="DORTEMAG",PR!$O1160,IF(H1162="DGF",PR!$P1160,IF(H1162="DYNAMIC",PR!$Q1160,IF(H1162="EMZOR",PR!$R1160,IF(H1162="EUMATT",PR!$S1160,IF(H1162="FIDSON",PR!$T1160,IF(H1162="FCGLOBAL",PR!$U1160,IF(H1162="GENEITH",PR!$V1160,IF(H1162="GINOS",PR!$W1160,IF(H1162="GSK",PR!$X1160,IF(H1162="GLOBORG",PR!$Y1160,IF(H1162="GOODNEWS",PR!$Z1160,IF(H1162="GREENLIFE",PR!$AA1160,IF(H1162="HLINE",PR!$AB1160,IF(H1162="ROTECH",PR!$AC1160,IF(H1162="ISN",PR!$AD1160,IF(H1162="JAWA",PR!$AE1160,IF(H1162="LAYO",PR!$AF1160,IF(H1162="LEADWAY",PR!$AG1160,IF(H1162="LHV",PR!$AH1160,IF(H1162="MANOLA",PR!$AI1160,IF(H1162="MARCSON",PR!$AJ1160,IF(H1162="M&amp;B",PR!$AK1160,IF(H1162="MTRUST",PR!$AL1160,IF(H1162="MWORLD",PR!$AM1160,IF(H1162="MEGA",PR!$AN1160,IF(H1162="MICRONOVA",PR!$AO1160,IF(H1162="MFLASH",PR!$AP1160,IF(H1162="MORISON",PR!$AQ1160,IF(H1162="NEMEL",PR!$AR1160,IF(H1162="NHP",PR!$AS1160,IF(H1162="NHC",PR!$AT1160,IF(H1162="OLEAF",PR!$AU1160,IF(H1162="OCULUS",PR!$AV1160,IF(H1162="PACIFIC",PR!$AW1160,IF(H1162="PHAMATEX",PR!$AX1160,IF(H1162="PETHICS",PR!$AY1160,IF(H1162="PHILIPS",PR!$AZ1160,IF(H1162="RANBAXY",PR!$BA1160,IF(H1162="REALS",PR!$BB1160,IF(H1162="ROYAL",PR!$BC1160,IF(H1162="SAM",PR!$BD1160,IF(H1162="SEAGREEN",PR!$BE1160,IF(H1162="SKG",PR!$BF1160,IF(H1162="TAH",PR!$BG1160,IF(H1162="TAYLEK",PR!$BH1160,IF(H1162="TEMITA",PR!$BI1160,IF(H1162="THL",PR!$BJ1160,IF(H1162="UBASTIC",PR!$BK1160,IF(H1162="UNION",PR!$BL1160,IF(H1162="UNIQUE",PR!$BM1160,IF(H1162="VIXA",PR!$BN1160,IF(H1162="WWCV",PR!$BO1160,IF(H1162="ZOLON",PR!$BP1160,"-"))))))))))))))))))))))))))))))))))))))))))))))))))))))))))))))))</f>
        <v>-</v>
      </c>
      <c r="H1162" s="102">
        <f>EV!M1475</f>
        <v>0</v>
      </c>
      <c r="I1162" s="108" t="str">
        <f>IF(J1162="ALPHA",PR!$E1160,IF(J1162="ASSENE",PR!$F1160,IF(J1162="BIOFEM",PR!$G1160,IF(J1162="BIOMED",PR!$H1160,IF(J1162="CHI",PR!$I1160,IF(J1162="CLARION",PR!$J1160,IF(J1162="CODIX",PR!$K1160,IF(J1162="COSMADE",PR!$L1160,IF(J1162="SANCON",PR!$M1160,IF(J1162="DEVON",PR!$N1160,IF(J1162="DORTEMAG",PR!$O1160,IF(J1162="DGF",PR!$P1160,IF(J1162="DYNAMIC",PR!$Q1160,IF(J1162="EMZOR",PR!$R1160,IF(J1162="EUMATT",PR!$S1160,IF(J1162="FIDSON",PR!$T1160,IF(J1162="FCGLOBAL",PR!$U1160,IF(J1162="GENEITH",PR!$V1160,IF(J1162="GINOS",PR!$W1160,IF(J1162="GSK",PR!$X1160,IF(J1162="GLOBORG",PR!$Y1160,IF(J1162="GOODNEWS",PR!$Z1160,IF(J1162="GREENLIFE",PR!$AA1160,IF(J1162="HLINE",PR!$AB1160,IF(J1162="ROTECH",PR!$AC1160,IF(J1162="ISN",PR!$AD1160,IF(J1162="JAWA",PR!$AE1160,IF(J1162="LAYO",PR!$AF1160,IF(J1162="LEADWAY",PR!$AG1160,IF(J1162="LHV",PR!$AH1160,IF(J1162="MANOLA",PR!$AI1160,IF(J1162="MARCSON",PR!$AJ1160,IF(J1162="M&amp;B",PR!$AK1160,IF(J1162="MTRUST",PR!$AL1160,IF(J1162="MWORLD",PR!$AM1160,IF(J1162="MEGA",PR!$AN1160,IF(J1162="MICRONOVA",PR!$AO1160,IF(J1162="MFLASH",PR!$AP1160,IF(J1162="MORISON",PR!$AQ1160,IF(J1162="NEMEL",PR!$AR1160,IF(J1162="NHP",PR!$AS1160,IF(J1162="NHC",PR!$AT1160,IF(J1162="OLEAF",PR!$AU1160,IF(J1162="OCULUS",PR!$AV1160,IF(J1162="PACIFIC",PR!$AW1160,IF(J1162="PHAMATEX",PR!$AX1160,IF(J1162="PETHICS",PR!$AY1160,IF(J1162="PHILIPS",PR!$AZ1160,IF(J1162="RANBAXY",PR!$BA1160,IF(J1162="REALS",PR!$BB1160,IF(J1162="ROYAL",PR!$BC1160,IF(J1162="SAM",PR!$BD1160,IF(J1162="SEAGREEN",PR!$BE1160,IF(J1162="SKG",PR!$BF1160,IF(J1162="TAH",PR!$BG1160,IF(J1162="TAYLEK",PR!$BH1160,IF(J1162="TEMITA",PR!$BI1160,IF(J1162="THL",PR!$BJ1160,IF(J1162="UBASTIC",PR!$BK1160,IF(J1162="UNION",PR!$BL1160,IF(J1162="UNIQUE",PR!$BM1160,IF(J1162="VIXA",PR!$BN1160,IF(J1162="WWCV",PR!$BO1160,IF(J1162="ZOLON",PR!$BP1160,"-"))))))))))))))))))))))))))))))))))))))))))))))))))))))))))))))))</f>
        <v>-</v>
      </c>
      <c r="J1162" s="102">
        <f>EV!N1475</f>
        <v>0</v>
      </c>
      <c r="K1162" s="433" t="s">
        <v>1459</v>
      </c>
      <c r="L1162" s="183">
        <f>IF(K1162&gt;0,IF(K1162="ALPHA",PR!$E1160,IF(K1162="ASSENE",PR!$F1160,IF(K1162="BIOFEM",PR!$G1160,IF(K1162="BIOMED",PR!$H1160,IF(K1162="CHI",PR!$I1160,IF(K1162="CLARION",PR!$J1160,IF(K1162="CODIX",PR!$K1160,IF(K1162="COSMADE",PR!$L1160,IF(K1162="SANCON",PR!$M1160,IF(K1162="DEVON",PR!$N1160,IF(K1162="DORTEMAG",PR!$O1160,IF(K1162="DGF",PR!$P1160,IF(K1162="DYNAMIC",PR!$Q1160,IF(K1162="EMZOR",PR!$R1160,IF(K1162="EUMATT",PR!$S1160,IF(K1162="FIDSON",PR!$T1160,IF(K1162="FCGLOBAL",PR!$U1160,IF(K1162="GENEITH",PR!$V1160,IF(K1162="GINOS",PR!$W1160,IF(K1162="GSK",PR!$X1160,IF(K1162="GLOBORG",PR!$Y1160,IF(K1162="GOODNEWS",PR!$Z1160,IF(K1162="GREENLIFE",PR!$AA1160,IF(K1162="HLINE",PR!$AB1160,IF(K1162="ROTECH",PR!$AC1160,IF(K1162="ISN",PR!$AD1160,IF(K1162="JAWA",PR!$AE1160,IF(K1162="LAYO",PR!$AF1160,IF(K1162="LEADWAY",PR!$AG1160,IF(K1162="LHV",PR!$AH1160,IF(K1162="MANOLA",PR!$AI1160,IF(K1162="MARCSON",PR!$AJ1160,IF(K1162="M&amp;B",PR!$AK1160,IF(K1162="MTRUST",PR!$AL1160,IF(K1162="MWORLD",PR!$AM1160,IF(K1162="MEGA",PR!$AN1160,IF(K1162="MICRONOVA",PR!$AO1160,IF(K1162="MFLASH",PR!$AP1160,IF(K1162="MORISON",PR!$AQ1160,IF(K1162="NEMEL",PR!$AR1160,IF(K1162="NHP",PR!$AS1160,IF(K1162="NHC",PR!$AT1160,IF(K1162="OLEAF",PR!$AU1160,IF(K1162="OCULUS",PR!$AV1160,IF(K1162="PACIFIC",PR!$AW1160,IF(K1162="PHAMATEX",PR!$AX1160,IF(K1162="PETHICS",PR!$AY1160,IF(K1162="PHILIPS",PR!$AZ1160,IF(K1162="RANBAXY",PR!$BA1160,IF(K1162="REALS",PR!$BB1160,IF(K1162="ROYAL",PR!$BC1160,IF(K1162="SAM",PR!$BD1160,IF(K1162="SEAGREEN",PR!$BE1160,IF(K1162="SKG",PR!$BF1160,IF(K1162="TAH",PR!$BG1160,IF(K1162="TAYLEK",PR!$BH1160,IF(K1162="TEMITA",PR!$BI1160,IF(K1162="THL",PR!$BJ1160,IF(K1162="UBASTIC",PR!$BK1160,IF(K1162="UNION",PR!$BL1160,IF(K1162="UNIQUE",PR!$BM1160,IF(K1162="VIXA",PR!$BN1160,IF(K1162="WWCV",PR!$BO1160,IF(K1162="ZOLON",PR!$BP1160,"-")))))))))))))))))))))))))))))))))))))))))))))))))))))))))))))))))</f>
        <v>15000</v>
      </c>
    </row>
    <row r="1163" spans="1:12" ht="18.75" x14ac:dyDescent="0.3">
      <c r="A1163" s="430">
        <f>PR!A1161</f>
        <v>1042</v>
      </c>
      <c r="B1163" s="15" t="str">
        <f>PR!B1161</f>
        <v>ANTI SERA D  (BIOTECH)</v>
      </c>
      <c r="C1163" s="113" t="str">
        <f>PR!D1161</f>
        <v>1 x 10 pcs</v>
      </c>
      <c r="D1163" s="113">
        <f>PR!C1161</f>
        <v>1</v>
      </c>
      <c r="E1163" s="108">
        <f>IF(F1163="ALPHA",PR!$E1161,IF(F1163="ASSENE",PR!$F1161,IF(F1163="BIOFEM",PR!$G1161,IF(F1163="BIOMED",PR!$H1161,IF(F1163="CHI",PR!$I1161,IF(F1163="CLARION",PR!$J1161,IF(F1163="CODIX",PR!$K1161,IF(F1163="COSMADE",PR!$L1161,IF(F1163="SANCON",PR!$M1161,IF(F1163="DEVON",PR!$N1161,IF(F1163="DORTEMAG",PR!$O1161,IF(F1163="DGF",PR!$P1161,IF(F1163="DYNAMIC",PR!$Q1161,IF(F1163="EMZOR",PR!$R1161,IF(F1163="EUMATT",PR!$S1161,IF(F1163="FIDSON",PR!$T1161,IF(F1163="FCGLOBAL",PR!$U1161,IF(F1163="GENEITH",PR!$V1161,IF(F1163="GINOS",PR!$W1161,IF(F1163="GSK",PR!$X1161,IF(F1163="GLOBORG",PR!$Y1161,IF(F1163="GOODNEWS",PR!$Z1161,IF(F1163="GREENLIFE",PR!$AA1161,IF(F1163="HLINE",PR!$AB1161,IF(F1163="ROTECH",PR!$AC1161,IF(F1163="ISN",PR!$AD1161,IF(F1163="JAWA",PR!$AE1161,IF(F1163="LAYO",PR!$AF1161,IF(F1163="LEADWAY",PR!$AG1161,IF(F1163="LHV",PR!$AH1161,IF(F1163="MANOLA",PR!$AI1161,IF(F1163="MARCSON",PR!$AJ1161,IF(F1163="M&amp;B",PR!$AK1161,IF(F1163="MTRUST",PR!$AL1161,IF(F1163="MWORLD",PR!$AM1161,IF(F1163="MEGA",PR!$AN1161,IF(F1163="MICRONOVA",PR!$AO1161,IF(F1163="MFLASH",PR!$AP1161,IF(F1163="MORISON",PR!$AQ1161,IF(F1163="NEMEL",PR!$AR1161,IF(F1163="NHP",PR!$AS1161,IF(F1163="NHC",PR!$AT1161,IF(F1163="OLEAF",PR!$AU1161,IF(F1163="OCULUS",PR!$AV1161,IF(F1163="PACIFIC",PR!$AW1161,IF(F1163="PHAMATEX",PR!$AX1161,IF(F1163="PETHICS",PR!$AY1161,IF(F1163="PHILIPS",PR!$AZ1161,IF(F1163="RANBAXY",PR!$BA1161,IF(F1163="REALS",PR!$BB1161,IF(F1163="ROYAL",PR!$BC1161,IF(F1163="SAM",PR!$BD1161,IF(F1163="SEAGREEN",PR!$BE1161,IF(F1163="SKG",PR!$BF1161,IF(F1163="TAH",PR!$BG1161,IF(F1163="TAYLEK",PR!$BH1161,IF(F1163="TEMITA",PR!$BI1161,IF(F1163="THL",PR!$BJ1161,IF(F1163="UBASTIC",PR!$BK1161,IF(F1163="UNION",PR!$BL1161,IF(F1163="UNIQUE",PR!$BM1161,IF(F1163="VIXA",PR!$BN1161,IF(F1163="WWCV",PR!$BO1161,IF(F1163="ZOLON",PR!$BP1161,"-"))))))))))))))))))))))))))))))))))))))))))))))))))))))))))))))))</f>
        <v>15000</v>
      </c>
      <c r="F1163" s="102" t="str">
        <f>EV!L1476</f>
        <v>UBASTIC</v>
      </c>
      <c r="G1163" s="108" t="str">
        <f>IF(H1163="ALPHA",PR!$E1161,IF(H1163="ASSENE",PR!$F1161,IF(H1163="BIOFEM",PR!$G1161,IF(H1163="BIOMED",PR!$H1161,IF(H1163="CHI",PR!$I1161,IF(H1163="CLARION",PR!$J1161,IF(H1163="CODIX",PR!$K1161,IF(H1163="COSMADE",PR!$L1161,IF(H1163="SANCON",PR!$M1161,IF(H1163="DEVON",PR!$N1161,IF(H1163="DORTEMAG",PR!$O1161,IF(H1163="DGF",PR!$P1161,IF(H1163="DYNAMIC",PR!$Q1161,IF(H1163="EMZOR",PR!$R1161,IF(H1163="EUMATT",PR!$S1161,IF(H1163="FIDSON",PR!$T1161,IF(H1163="FCGLOBAL",PR!$U1161,IF(H1163="GENEITH",PR!$V1161,IF(H1163="GINOS",PR!$W1161,IF(H1163="GSK",PR!$X1161,IF(H1163="GLOBORG",PR!$Y1161,IF(H1163="GOODNEWS",PR!$Z1161,IF(H1163="GREENLIFE",PR!$AA1161,IF(H1163="HLINE",PR!$AB1161,IF(H1163="ROTECH",PR!$AC1161,IF(H1163="ISN",PR!$AD1161,IF(H1163="JAWA",PR!$AE1161,IF(H1163="LAYO",PR!$AF1161,IF(H1163="LEADWAY",PR!$AG1161,IF(H1163="LHV",PR!$AH1161,IF(H1163="MANOLA",PR!$AI1161,IF(H1163="MARCSON",PR!$AJ1161,IF(H1163="M&amp;B",PR!$AK1161,IF(H1163="MTRUST",PR!$AL1161,IF(H1163="MWORLD",PR!$AM1161,IF(H1163="MEGA",PR!$AN1161,IF(H1163="MICRONOVA",PR!$AO1161,IF(H1163="MFLASH",PR!$AP1161,IF(H1163="MORISON",PR!$AQ1161,IF(H1163="NEMEL",PR!$AR1161,IF(H1163="NHP",PR!$AS1161,IF(H1163="NHC",PR!$AT1161,IF(H1163="OLEAF",PR!$AU1161,IF(H1163="OCULUS",PR!$AV1161,IF(H1163="PACIFIC",PR!$AW1161,IF(H1163="PHAMATEX",PR!$AX1161,IF(H1163="PETHICS",PR!$AY1161,IF(H1163="PHILIPS",PR!$AZ1161,IF(H1163="RANBAXY",PR!$BA1161,IF(H1163="REALS",PR!$BB1161,IF(H1163="ROYAL",PR!$BC1161,IF(H1163="SAM",PR!$BD1161,IF(H1163="SEAGREEN",PR!$BE1161,IF(H1163="SKG",PR!$BF1161,IF(H1163="TAH",PR!$BG1161,IF(H1163="TAYLEK",PR!$BH1161,IF(H1163="TEMITA",PR!$BI1161,IF(H1163="THL",PR!$BJ1161,IF(H1163="UBASTIC",PR!$BK1161,IF(H1163="UNION",PR!$BL1161,IF(H1163="UNIQUE",PR!$BM1161,IF(H1163="VIXA",PR!$BN1161,IF(H1163="WWCV",PR!$BO1161,IF(H1163="ZOLON",PR!$BP1161,"-"))))))))))))))))))))))))))))))))))))))))))))))))))))))))))))))))</f>
        <v>-</v>
      </c>
      <c r="H1163" s="102">
        <f>EV!M1476</f>
        <v>0</v>
      </c>
      <c r="I1163" s="108" t="str">
        <f>IF(J1163="ALPHA",PR!$E1161,IF(J1163="ASSENE",PR!$F1161,IF(J1163="BIOFEM",PR!$G1161,IF(J1163="BIOMED",PR!$H1161,IF(J1163="CHI",PR!$I1161,IF(J1163="CLARION",PR!$J1161,IF(J1163="CODIX",PR!$K1161,IF(J1163="COSMADE",PR!$L1161,IF(J1163="SANCON",PR!$M1161,IF(J1163="DEVON",PR!$N1161,IF(J1163="DORTEMAG",PR!$O1161,IF(J1163="DGF",PR!$P1161,IF(J1163="DYNAMIC",PR!$Q1161,IF(J1163="EMZOR",PR!$R1161,IF(J1163="EUMATT",PR!$S1161,IF(J1163="FIDSON",PR!$T1161,IF(J1163="FCGLOBAL",PR!$U1161,IF(J1163="GENEITH",PR!$V1161,IF(J1163="GINOS",PR!$W1161,IF(J1163="GSK",PR!$X1161,IF(J1163="GLOBORG",PR!$Y1161,IF(J1163="GOODNEWS",PR!$Z1161,IF(J1163="GREENLIFE",PR!$AA1161,IF(J1163="HLINE",PR!$AB1161,IF(J1163="ROTECH",PR!$AC1161,IF(J1163="ISN",PR!$AD1161,IF(J1163="JAWA",PR!$AE1161,IF(J1163="LAYO",PR!$AF1161,IF(J1163="LEADWAY",PR!$AG1161,IF(J1163="LHV",PR!$AH1161,IF(J1163="MANOLA",PR!$AI1161,IF(J1163="MARCSON",PR!$AJ1161,IF(J1163="M&amp;B",PR!$AK1161,IF(J1163="MTRUST",PR!$AL1161,IF(J1163="MWORLD",PR!$AM1161,IF(J1163="MEGA",PR!$AN1161,IF(J1163="MICRONOVA",PR!$AO1161,IF(J1163="MFLASH",PR!$AP1161,IF(J1163="MORISON",PR!$AQ1161,IF(J1163="NEMEL",PR!$AR1161,IF(J1163="NHP",PR!$AS1161,IF(J1163="NHC",PR!$AT1161,IF(J1163="OLEAF",PR!$AU1161,IF(J1163="OCULUS",PR!$AV1161,IF(J1163="PACIFIC",PR!$AW1161,IF(J1163="PHAMATEX",PR!$AX1161,IF(J1163="PETHICS",PR!$AY1161,IF(J1163="PHILIPS",PR!$AZ1161,IF(J1163="RANBAXY",PR!$BA1161,IF(J1163="REALS",PR!$BB1161,IF(J1163="ROYAL",PR!$BC1161,IF(J1163="SAM",PR!$BD1161,IF(J1163="SEAGREEN",PR!$BE1161,IF(J1163="SKG",PR!$BF1161,IF(J1163="TAH",PR!$BG1161,IF(J1163="TAYLEK",PR!$BH1161,IF(J1163="TEMITA",PR!$BI1161,IF(J1163="THL",PR!$BJ1161,IF(J1163="UBASTIC",PR!$BK1161,IF(J1163="UNION",PR!$BL1161,IF(J1163="UNIQUE",PR!$BM1161,IF(J1163="VIXA",PR!$BN1161,IF(J1163="WWCV",PR!$BO1161,IF(J1163="ZOLON",PR!$BP1161,"-"))))))))))))))))))))))))))))))))))))))))))))))))))))))))))))))))</f>
        <v>-</v>
      </c>
      <c r="J1163" s="102">
        <f>EV!N1476</f>
        <v>0</v>
      </c>
      <c r="K1163" s="433" t="s">
        <v>1459</v>
      </c>
      <c r="L1163" s="183">
        <f>IF(K1163&gt;0,IF(K1163="ALPHA",PR!$E1161,IF(K1163="ASSENE",PR!$F1161,IF(K1163="BIOFEM",PR!$G1161,IF(K1163="BIOMED",PR!$H1161,IF(K1163="CHI",PR!$I1161,IF(K1163="CLARION",PR!$J1161,IF(K1163="CODIX",PR!$K1161,IF(K1163="COSMADE",PR!$L1161,IF(K1163="SANCON",PR!$M1161,IF(K1163="DEVON",PR!$N1161,IF(K1163="DORTEMAG",PR!$O1161,IF(K1163="DGF",PR!$P1161,IF(K1163="DYNAMIC",PR!$Q1161,IF(K1163="EMZOR",PR!$R1161,IF(K1163="EUMATT",PR!$S1161,IF(K1163="FIDSON",PR!$T1161,IF(K1163="FCGLOBAL",PR!$U1161,IF(K1163="GENEITH",PR!$V1161,IF(K1163="GINOS",PR!$W1161,IF(K1163="GSK",PR!$X1161,IF(K1163="GLOBORG",PR!$Y1161,IF(K1163="GOODNEWS",PR!$Z1161,IF(K1163="GREENLIFE",PR!$AA1161,IF(K1163="HLINE",PR!$AB1161,IF(K1163="ROTECH",PR!$AC1161,IF(K1163="ISN",PR!$AD1161,IF(K1163="JAWA",PR!$AE1161,IF(K1163="LAYO",PR!$AF1161,IF(K1163="LEADWAY",PR!$AG1161,IF(K1163="LHV",PR!$AH1161,IF(K1163="MANOLA",PR!$AI1161,IF(K1163="MARCSON",PR!$AJ1161,IF(K1163="M&amp;B",PR!$AK1161,IF(K1163="MTRUST",PR!$AL1161,IF(K1163="MWORLD",PR!$AM1161,IF(K1163="MEGA",PR!$AN1161,IF(K1163="MICRONOVA",PR!$AO1161,IF(K1163="MFLASH",PR!$AP1161,IF(K1163="MORISON",PR!$AQ1161,IF(K1163="NEMEL",PR!$AR1161,IF(K1163="NHP",PR!$AS1161,IF(K1163="NHC",PR!$AT1161,IF(K1163="OLEAF",PR!$AU1161,IF(K1163="OCULUS",PR!$AV1161,IF(K1163="PACIFIC",PR!$AW1161,IF(K1163="PHAMATEX",PR!$AX1161,IF(K1163="PETHICS",PR!$AY1161,IF(K1163="PHILIPS",PR!$AZ1161,IF(K1163="RANBAXY",PR!$BA1161,IF(K1163="REALS",PR!$BB1161,IF(K1163="ROYAL",PR!$BC1161,IF(K1163="SAM",PR!$BD1161,IF(K1163="SEAGREEN",PR!$BE1161,IF(K1163="SKG",PR!$BF1161,IF(K1163="TAH",PR!$BG1161,IF(K1163="TAYLEK",PR!$BH1161,IF(K1163="TEMITA",PR!$BI1161,IF(K1163="THL",PR!$BJ1161,IF(K1163="UBASTIC",PR!$BK1161,IF(K1163="UNION",PR!$BL1161,IF(K1163="UNIQUE",PR!$BM1161,IF(K1163="VIXA",PR!$BN1161,IF(K1163="WWCV",PR!$BO1161,IF(K1163="ZOLON",PR!$BP1161,"-")))))))))))))))))))))))))))))))))))))))))))))))))))))))))))))))))</f>
        <v>15000</v>
      </c>
    </row>
    <row r="1164" spans="1:12" ht="18.75" x14ac:dyDescent="0.3">
      <c r="A1164" s="430">
        <f>PR!A1162</f>
        <v>1043</v>
      </c>
      <c r="B1164" s="15" t="str">
        <f>PR!B1162</f>
        <v>HEPATITIS B KITS (DIASPOT)</v>
      </c>
      <c r="C1164" s="113" t="str">
        <f>PR!D1162</f>
        <v>1 x 50 pcs</v>
      </c>
      <c r="D1164" s="113">
        <f>PR!C1162</f>
        <v>24</v>
      </c>
      <c r="E1164" s="108">
        <f>IF(F1164="ALPHA",PR!$E1162,IF(F1164="ASSENE",PR!$F1162,IF(F1164="BIOFEM",PR!$G1162,IF(F1164="BIOMED",PR!$H1162,IF(F1164="CHI",PR!$I1162,IF(F1164="CLARION",PR!$J1162,IF(F1164="CODIX",PR!$K1162,IF(F1164="COSMADE",PR!$L1162,IF(F1164="SANCON",PR!$M1162,IF(F1164="DEVON",PR!$N1162,IF(F1164="DORTEMAG",PR!$O1162,IF(F1164="DGF",PR!$P1162,IF(F1164="DYNAMIC",PR!$Q1162,IF(F1164="EMZOR",PR!$R1162,IF(F1164="EUMATT",PR!$S1162,IF(F1164="FIDSON",PR!$T1162,IF(F1164="FCGLOBAL",PR!$U1162,IF(F1164="GENEITH",PR!$V1162,IF(F1164="GINOS",PR!$W1162,IF(F1164="GSK",PR!$X1162,IF(F1164="GLOBORG",PR!$Y1162,IF(F1164="GOODNEWS",PR!$Z1162,IF(F1164="GREENLIFE",PR!$AA1162,IF(F1164="HLINE",PR!$AB1162,IF(F1164="ROTECH",PR!$AC1162,IF(F1164="ISN",PR!$AD1162,IF(F1164="JAWA",PR!$AE1162,IF(F1164="LAYO",PR!$AF1162,IF(F1164="LEADWAY",PR!$AG1162,IF(F1164="LHV",PR!$AH1162,IF(F1164="MANOLA",PR!$AI1162,IF(F1164="MARCSON",PR!$AJ1162,IF(F1164="M&amp;B",PR!$AK1162,IF(F1164="MTRUST",PR!$AL1162,IF(F1164="MWORLD",PR!$AM1162,IF(F1164="MEGA",PR!$AN1162,IF(F1164="MICRONOVA",PR!$AO1162,IF(F1164="MFLASH",PR!$AP1162,IF(F1164="MORISON",PR!$AQ1162,IF(F1164="NEMEL",PR!$AR1162,IF(F1164="NHP",PR!$AS1162,IF(F1164="NHC",PR!$AT1162,IF(F1164="OLEAF",PR!$AU1162,IF(F1164="OCULUS",PR!$AV1162,IF(F1164="PACIFIC",PR!$AW1162,IF(F1164="PHAMATEX",PR!$AX1162,IF(F1164="PETHICS",PR!$AY1162,IF(F1164="PHILIPS",PR!$AZ1162,IF(F1164="RANBAXY",PR!$BA1162,IF(F1164="REALS",PR!$BB1162,IF(F1164="ROYAL",PR!$BC1162,IF(F1164="SAM",PR!$BD1162,IF(F1164="SEAGREEN",PR!$BE1162,IF(F1164="SKG",PR!$BF1162,IF(F1164="TAH",PR!$BG1162,IF(F1164="TAYLEK",PR!$BH1162,IF(F1164="TEMITA",PR!$BI1162,IF(F1164="THL",PR!$BJ1162,IF(F1164="UBASTIC",PR!$BK1162,IF(F1164="UNION",PR!$BL1162,IF(F1164="UNIQUE",PR!$BM1162,IF(F1164="VIXA",PR!$BN1162,IF(F1164="WWCV",PR!$BO1162,IF(F1164="ZOLON",PR!$BP1162,"-"))))))))))))))))))))))))))))))))))))))))))))))))))))))))))))))))</f>
        <v>3500</v>
      </c>
      <c r="F1164" s="102" t="str">
        <f>EV!L1477</f>
        <v>UBASTIC</v>
      </c>
      <c r="G1164" s="108" t="str">
        <f>IF(H1164="ALPHA",PR!$E1162,IF(H1164="ASSENE",PR!$F1162,IF(H1164="BIOFEM",PR!$G1162,IF(H1164="BIOMED",PR!$H1162,IF(H1164="CHI",PR!$I1162,IF(H1164="CLARION",PR!$J1162,IF(H1164="CODIX",PR!$K1162,IF(H1164="COSMADE",PR!$L1162,IF(H1164="SANCON",PR!$M1162,IF(H1164="DEVON",PR!$N1162,IF(H1164="DORTEMAG",PR!$O1162,IF(H1164="DGF",PR!$P1162,IF(H1164="DYNAMIC",PR!$Q1162,IF(H1164="EMZOR",PR!$R1162,IF(H1164="EUMATT",PR!$S1162,IF(H1164="FIDSON",PR!$T1162,IF(H1164="FCGLOBAL",PR!$U1162,IF(H1164="GENEITH",PR!$V1162,IF(H1164="GINOS",PR!$W1162,IF(H1164="GSK",PR!$X1162,IF(H1164="GLOBORG",PR!$Y1162,IF(H1164="GOODNEWS",PR!$Z1162,IF(H1164="GREENLIFE",PR!$AA1162,IF(H1164="HLINE",PR!$AB1162,IF(H1164="ROTECH",PR!$AC1162,IF(H1164="ISN",PR!$AD1162,IF(H1164="JAWA",PR!$AE1162,IF(H1164="LAYO",PR!$AF1162,IF(H1164="LEADWAY",PR!$AG1162,IF(H1164="LHV",PR!$AH1162,IF(H1164="MANOLA",PR!$AI1162,IF(H1164="MARCSON",PR!$AJ1162,IF(H1164="M&amp;B",PR!$AK1162,IF(H1164="MTRUST",PR!$AL1162,IF(H1164="MWORLD",PR!$AM1162,IF(H1164="MEGA",PR!$AN1162,IF(H1164="MICRONOVA",PR!$AO1162,IF(H1164="MFLASH",PR!$AP1162,IF(H1164="MORISON",PR!$AQ1162,IF(H1164="NEMEL",PR!$AR1162,IF(H1164="NHP",PR!$AS1162,IF(H1164="NHC",PR!$AT1162,IF(H1164="OLEAF",PR!$AU1162,IF(H1164="OCULUS",PR!$AV1162,IF(H1164="PACIFIC",PR!$AW1162,IF(H1164="PHAMATEX",PR!$AX1162,IF(H1164="PETHICS",PR!$AY1162,IF(H1164="PHILIPS",PR!$AZ1162,IF(H1164="RANBAXY",PR!$BA1162,IF(H1164="REALS",PR!$BB1162,IF(H1164="ROYAL",PR!$BC1162,IF(H1164="SAM",PR!$BD1162,IF(H1164="SEAGREEN",PR!$BE1162,IF(H1164="SKG",PR!$BF1162,IF(H1164="TAH",PR!$BG1162,IF(H1164="TAYLEK",PR!$BH1162,IF(H1164="TEMITA",PR!$BI1162,IF(H1164="THL",PR!$BJ1162,IF(H1164="UBASTIC",PR!$BK1162,IF(H1164="UNION",PR!$BL1162,IF(H1164="UNIQUE",PR!$BM1162,IF(H1164="VIXA",PR!$BN1162,IF(H1164="WWCV",PR!$BO1162,IF(H1164="ZOLON",PR!$BP1162,"-"))))))))))))))))))))))))))))))))))))))))))))))))))))))))))))))))</f>
        <v>-</v>
      </c>
      <c r="H1164" s="102">
        <f>EV!M1477</f>
        <v>0</v>
      </c>
      <c r="I1164" s="108" t="str">
        <f>IF(J1164="ALPHA",PR!$E1162,IF(J1164="ASSENE",PR!$F1162,IF(J1164="BIOFEM",PR!$G1162,IF(J1164="BIOMED",PR!$H1162,IF(J1164="CHI",PR!$I1162,IF(J1164="CLARION",PR!$J1162,IF(J1164="CODIX",PR!$K1162,IF(J1164="COSMADE",PR!$L1162,IF(J1164="SANCON",PR!$M1162,IF(J1164="DEVON",PR!$N1162,IF(J1164="DORTEMAG",PR!$O1162,IF(J1164="DGF",PR!$P1162,IF(J1164="DYNAMIC",PR!$Q1162,IF(J1164="EMZOR",PR!$R1162,IF(J1164="EUMATT",PR!$S1162,IF(J1164="FIDSON",PR!$T1162,IF(J1164="FCGLOBAL",PR!$U1162,IF(J1164="GENEITH",PR!$V1162,IF(J1164="GINOS",PR!$W1162,IF(J1164="GSK",PR!$X1162,IF(J1164="GLOBORG",PR!$Y1162,IF(J1164="GOODNEWS",PR!$Z1162,IF(J1164="GREENLIFE",PR!$AA1162,IF(J1164="HLINE",PR!$AB1162,IF(J1164="ROTECH",PR!$AC1162,IF(J1164="ISN",PR!$AD1162,IF(J1164="JAWA",PR!$AE1162,IF(J1164="LAYO",PR!$AF1162,IF(J1164="LEADWAY",PR!$AG1162,IF(J1164="LHV",PR!$AH1162,IF(J1164="MANOLA",PR!$AI1162,IF(J1164="MARCSON",PR!$AJ1162,IF(J1164="M&amp;B",PR!$AK1162,IF(J1164="MTRUST",PR!$AL1162,IF(J1164="MWORLD",PR!$AM1162,IF(J1164="MEGA",PR!$AN1162,IF(J1164="MICRONOVA",PR!$AO1162,IF(J1164="MFLASH",PR!$AP1162,IF(J1164="MORISON",PR!$AQ1162,IF(J1164="NEMEL",PR!$AR1162,IF(J1164="NHP",PR!$AS1162,IF(J1164="NHC",PR!$AT1162,IF(J1164="OLEAF",PR!$AU1162,IF(J1164="OCULUS",PR!$AV1162,IF(J1164="PACIFIC",PR!$AW1162,IF(J1164="PHAMATEX",PR!$AX1162,IF(J1164="PETHICS",PR!$AY1162,IF(J1164="PHILIPS",PR!$AZ1162,IF(J1164="RANBAXY",PR!$BA1162,IF(J1164="REALS",PR!$BB1162,IF(J1164="ROYAL",PR!$BC1162,IF(J1164="SAM",PR!$BD1162,IF(J1164="SEAGREEN",PR!$BE1162,IF(J1164="SKG",PR!$BF1162,IF(J1164="TAH",PR!$BG1162,IF(J1164="TAYLEK",PR!$BH1162,IF(J1164="TEMITA",PR!$BI1162,IF(J1164="THL",PR!$BJ1162,IF(J1164="UBASTIC",PR!$BK1162,IF(J1164="UNION",PR!$BL1162,IF(J1164="UNIQUE",PR!$BM1162,IF(J1164="VIXA",PR!$BN1162,IF(J1164="WWCV",PR!$BO1162,IF(J1164="ZOLON",PR!$BP1162,"-"))))))))))))))))))))))))))))))))))))))))))))))))))))))))))))))))</f>
        <v>-</v>
      </c>
      <c r="J1164" s="102">
        <f>EV!N1477</f>
        <v>0</v>
      </c>
      <c r="K1164" s="433" t="s">
        <v>1459</v>
      </c>
      <c r="L1164" s="183">
        <f>IF(K1164&gt;0,IF(K1164="ALPHA",PR!$E1162,IF(K1164="ASSENE",PR!$F1162,IF(K1164="BIOFEM",PR!$G1162,IF(K1164="BIOMED",PR!$H1162,IF(K1164="CHI",PR!$I1162,IF(K1164="CLARION",PR!$J1162,IF(K1164="CODIX",PR!$K1162,IF(K1164="COSMADE",PR!$L1162,IF(K1164="SANCON",PR!$M1162,IF(K1164="DEVON",PR!$N1162,IF(K1164="DORTEMAG",PR!$O1162,IF(K1164="DGF",PR!$P1162,IF(K1164="DYNAMIC",PR!$Q1162,IF(K1164="EMZOR",PR!$R1162,IF(K1164="EUMATT",PR!$S1162,IF(K1164="FIDSON",PR!$T1162,IF(K1164="FCGLOBAL",PR!$U1162,IF(K1164="GENEITH",PR!$V1162,IF(K1164="GINOS",PR!$W1162,IF(K1164="GSK",PR!$X1162,IF(K1164="GLOBORG",PR!$Y1162,IF(K1164="GOODNEWS",PR!$Z1162,IF(K1164="GREENLIFE",PR!$AA1162,IF(K1164="HLINE",PR!$AB1162,IF(K1164="ROTECH",PR!$AC1162,IF(K1164="ISN",PR!$AD1162,IF(K1164="JAWA",PR!$AE1162,IF(K1164="LAYO",PR!$AF1162,IF(K1164="LEADWAY",PR!$AG1162,IF(K1164="LHV",PR!$AH1162,IF(K1164="MANOLA",PR!$AI1162,IF(K1164="MARCSON",PR!$AJ1162,IF(K1164="M&amp;B",PR!$AK1162,IF(K1164="MTRUST",PR!$AL1162,IF(K1164="MWORLD",PR!$AM1162,IF(K1164="MEGA",PR!$AN1162,IF(K1164="MICRONOVA",PR!$AO1162,IF(K1164="MFLASH",PR!$AP1162,IF(K1164="MORISON",PR!$AQ1162,IF(K1164="NEMEL",PR!$AR1162,IF(K1164="NHP",PR!$AS1162,IF(K1164="NHC",PR!$AT1162,IF(K1164="OLEAF",PR!$AU1162,IF(K1164="OCULUS",PR!$AV1162,IF(K1164="PACIFIC",PR!$AW1162,IF(K1164="PHAMATEX",PR!$AX1162,IF(K1164="PETHICS",PR!$AY1162,IF(K1164="PHILIPS",PR!$AZ1162,IF(K1164="RANBAXY",PR!$BA1162,IF(K1164="REALS",PR!$BB1162,IF(K1164="ROYAL",PR!$BC1162,IF(K1164="SAM",PR!$BD1162,IF(K1164="SEAGREEN",PR!$BE1162,IF(K1164="SKG",PR!$BF1162,IF(K1164="TAH",PR!$BG1162,IF(K1164="TAYLEK",PR!$BH1162,IF(K1164="TEMITA",PR!$BI1162,IF(K1164="THL",PR!$BJ1162,IF(K1164="UBASTIC",PR!$BK1162,IF(K1164="UNION",PR!$BL1162,IF(K1164="UNIQUE",PR!$BM1162,IF(K1164="VIXA",PR!$BN1162,IF(K1164="WWCV",PR!$BO1162,IF(K1164="ZOLON",PR!$BP1162,"-")))))))))))))))))))))))))))))))))))))))))))))))))))))))))))))))))</f>
        <v>3500</v>
      </c>
    </row>
    <row r="1165" spans="1:12" ht="18.75" x14ac:dyDescent="0.3">
      <c r="A1165" s="430">
        <f>PR!A1163</f>
        <v>1044</v>
      </c>
      <c r="B1165" s="15" t="str">
        <f>PR!B1163</f>
        <v>HEPATITIS C KITS (DIASPOT)</v>
      </c>
      <c r="C1165" s="113" t="str">
        <f>PR!D1163</f>
        <v>1 x 50 pcs</v>
      </c>
      <c r="D1165" s="113">
        <f>PR!C1163</f>
        <v>24</v>
      </c>
      <c r="E1165" s="108">
        <f>IF(F1165="ALPHA",PR!$E1163,IF(F1165="ASSENE",PR!$F1163,IF(F1165="BIOFEM",PR!$G1163,IF(F1165="BIOMED",PR!$H1163,IF(F1165="CHI",PR!$I1163,IF(F1165="CLARION",PR!$J1163,IF(F1165="CODIX",PR!$K1163,IF(F1165="COSMADE",PR!$L1163,IF(F1165="SANCON",PR!$M1163,IF(F1165="DEVON",PR!$N1163,IF(F1165="DORTEMAG",PR!$O1163,IF(F1165="DGF",PR!$P1163,IF(F1165="DYNAMIC",PR!$Q1163,IF(F1165="EMZOR",PR!$R1163,IF(F1165="EUMATT",PR!$S1163,IF(F1165="FIDSON",PR!$T1163,IF(F1165="FCGLOBAL",PR!$U1163,IF(F1165="GENEITH",PR!$V1163,IF(F1165="GINOS",PR!$W1163,IF(F1165="GSK",PR!$X1163,IF(F1165="GLOBORG",PR!$Y1163,IF(F1165="GOODNEWS",PR!$Z1163,IF(F1165="GREENLIFE",PR!$AA1163,IF(F1165="HLINE",PR!$AB1163,IF(F1165="ROTECH",PR!$AC1163,IF(F1165="ISN",PR!$AD1163,IF(F1165="JAWA",PR!$AE1163,IF(F1165="LAYO",PR!$AF1163,IF(F1165="LEADWAY",PR!$AG1163,IF(F1165="LHV",PR!$AH1163,IF(F1165="MANOLA",PR!$AI1163,IF(F1165="MARCSON",PR!$AJ1163,IF(F1165="M&amp;B",PR!$AK1163,IF(F1165="MTRUST",PR!$AL1163,IF(F1165="MWORLD",PR!$AM1163,IF(F1165="MEGA",PR!$AN1163,IF(F1165="MICRONOVA",PR!$AO1163,IF(F1165="MFLASH",PR!$AP1163,IF(F1165="MORISON",PR!$AQ1163,IF(F1165="NEMEL",PR!$AR1163,IF(F1165="NHP",PR!$AS1163,IF(F1165="NHC",PR!$AT1163,IF(F1165="OLEAF",PR!$AU1163,IF(F1165="OCULUS",PR!$AV1163,IF(F1165="PACIFIC",PR!$AW1163,IF(F1165="PHAMATEX",PR!$AX1163,IF(F1165="PETHICS",PR!$AY1163,IF(F1165="PHILIPS",PR!$AZ1163,IF(F1165="RANBAXY",PR!$BA1163,IF(F1165="REALS",PR!$BB1163,IF(F1165="ROYAL",PR!$BC1163,IF(F1165="SAM",PR!$BD1163,IF(F1165="SEAGREEN",PR!$BE1163,IF(F1165="SKG",PR!$BF1163,IF(F1165="TAH",PR!$BG1163,IF(F1165="TAYLEK",PR!$BH1163,IF(F1165="TEMITA",PR!$BI1163,IF(F1165="THL",PR!$BJ1163,IF(F1165="UBASTIC",PR!$BK1163,IF(F1165="UNION",PR!$BL1163,IF(F1165="UNIQUE",PR!$BM1163,IF(F1165="VIXA",PR!$BN1163,IF(F1165="WWCV",PR!$BO1163,IF(F1165="ZOLON",PR!$BP1163,"-"))))))))))))))))))))))))))))))))))))))))))))))))))))))))))))))))</f>
        <v>5500</v>
      </c>
      <c r="F1165" s="102" t="str">
        <f>EV!L1478</f>
        <v>UBASTIC</v>
      </c>
      <c r="G1165" s="108" t="str">
        <f>IF(H1165="ALPHA",PR!$E1163,IF(H1165="ASSENE",PR!$F1163,IF(H1165="BIOFEM",PR!$G1163,IF(H1165="BIOMED",PR!$H1163,IF(H1165="CHI",PR!$I1163,IF(H1165="CLARION",PR!$J1163,IF(H1165="CODIX",PR!$K1163,IF(H1165="COSMADE",PR!$L1163,IF(H1165="SANCON",PR!$M1163,IF(H1165="DEVON",PR!$N1163,IF(H1165="DORTEMAG",PR!$O1163,IF(H1165="DGF",PR!$P1163,IF(H1165="DYNAMIC",PR!$Q1163,IF(H1165="EMZOR",PR!$R1163,IF(H1165="EUMATT",PR!$S1163,IF(H1165="FIDSON",PR!$T1163,IF(H1165="FCGLOBAL",PR!$U1163,IF(H1165="GENEITH",PR!$V1163,IF(H1165="GINOS",PR!$W1163,IF(H1165="GSK",PR!$X1163,IF(H1165="GLOBORG",PR!$Y1163,IF(H1165="GOODNEWS",PR!$Z1163,IF(H1165="GREENLIFE",PR!$AA1163,IF(H1165="HLINE",PR!$AB1163,IF(H1165="ROTECH",PR!$AC1163,IF(H1165="ISN",PR!$AD1163,IF(H1165="JAWA",PR!$AE1163,IF(H1165="LAYO",PR!$AF1163,IF(H1165="LEADWAY",PR!$AG1163,IF(H1165="LHV",PR!$AH1163,IF(H1165="MANOLA",PR!$AI1163,IF(H1165="MARCSON",PR!$AJ1163,IF(H1165="M&amp;B",PR!$AK1163,IF(H1165="MTRUST",PR!$AL1163,IF(H1165="MWORLD",PR!$AM1163,IF(H1165="MEGA",PR!$AN1163,IF(H1165="MICRONOVA",PR!$AO1163,IF(H1165="MFLASH",PR!$AP1163,IF(H1165="MORISON",PR!$AQ1163,IF(H1165="NEMEL",PR!$AR1163,IF(H1165="NHP",PR!$AS1163,IF(H1165="NHC",PR!$AT1163,IF(H1165="OLEAF",PR!$AU1163,IF(H1165="OCULUS",PR!$AV1163,IF(H1165="PACIFIC",PR!$AW1163,IF(H1165="PHAMATEX",PR!$AX1163,IF(H1165="PETHICS",PR!$AY1163,IF(H1165="PHILIPS",PR!$AZ1163,IF(H1165="RANBAXY",PR!$BA1163,IF(H1165="REALS",PR!$BB1163,IF(H1165="ROYAL",PR!$BC1163,IF(H1165="SAM",PR!$BD1163,IF(H1165="SEAGREEN",PR!$BE1163,IF(H1165="SKG",PR!$BF1163,IF(H1165="TAH",PR!$BG1163,IF(H1165="TAYLEK",PR!$BH1163,IF(H1165="TEMITA",PR!$BI1163,IF(H1165="THL",PR!$BJ1163,IF(H1165="UBASTIC",PR!$BK1163,IF(H1165="UNION",PR!$BL1163,IF(H1165="UNIQUE",PR!$BM1163,IF(H1165="VIXA",PR!$BN1163,IF(H1165="WWCV",PR!$BO1163,IF(H1165="ZOLON",PR!$BP1163,"-"))))))))))))))))))))))))))))))))))))))))))))))))))))))))))))))))</f>
        <v>-</v>
      </c>
      <c r="H1165" s="102">
        <f>EV!M1478</f>
        <v>0</v>
      </c>
      <c r="I1165" s="108" t="str">
        <f>IF(J1165="ALPHA",PR!$E1163,IF(J1165="ASSENE",PR!$F1163,IF(J1165="BIOFEM",PR!$G1163,IF(J1165="BIOMED",PR!$H1163,IF(J1165="CHI",PR!$I1163,IF(J1165="CLARION",PR!$J1163,IF(J1165="CODIX",PR!$K1163,IF(J1165="COSMADE",PR!$L1163,IF(J1165="SANCON",PR!$M1163,IF(J1165="DEVON",PR!$N1163,IF(J1165="DORTEMAG",PR!$O1163,IF(J1165="DGF",PR!$P1163,IF(J1165="DYNAMIC",PR!$Q1163,IF(J1165="EMZOR",PR!$R1163,IF(J1165="EUMATT",PR!$S1163,IF(J1165="FIDSON",PR!$T1163,IF(J1165="FCGLOBAL",PR!$U1163,IF(J1165="GENEITH",PR!$V1163,IF(J1165="GINOS",PR!$W1163,IF(J1165="GSK",PR!$X1163,IF(J1165="GLOBORG",PR!$Y1163,IF(J1165="GOODNEWS",PR!$Z1163,IF(J1165="GREENLIFE",PR!$AA1163,IF(J1165="HLINE",PR!$AB1163,IF(J1165="ROTECH",PR!$AC1163,IF(J1165="ISN",PR!$AD1163,IF(J1165="JAWA",PR!$AE1163,IF(J1165="LAYO",PR!$AF1163,IF(J1165="LEADWAY",PR!$AG1163,IF(J1165="LHV",PR!$AH1163,IF(J1165="MANOLA",PR!$AI1163,IF(J1165="MARCSON",PR!$AJ1163,IF(J1165="M&amp;B",PR!$AK1163,IF(J1165="MTRUST",PR!$AL1163,IF(J1165="MWORLD",PR!$AM1163,IF(J1165="MEGA",PR!$AN1163,IF(J1165="MICRONOVA",PR!$AO1163,IF(J1165="MFLASH",PR!$AP1163,IF(J1165="MORISON",PR!$AQ1163,IF(J1165="NEMEL",PR!$AR1163,IF(J1165="NHP",PR!$AS1163,IF(J1165="NHC",PR!$AT1163,IF(J1165="OLEAF",PR!$AU1163,IF(J1165="OCULUS",PR!$AV1163,IF(J1165="PACIFIC",PR!$AW1163,IF(J1165="PHAMATEX",PR!$AX1163,IF(J1165="PETHICS",PR!$AY1163,IF(J1165="PHILIPS",PR!$AZ1163,IF(J1165="RANBAXY",PR!$BA1163,IF(J1165="REALS",PR!$BB1163,IF(J1165="ROYAL",PR!$BC1163,IF(J1165="SAM",PR!$BD1163,IF(J1165="SEAGREEN",PR!$BE1163,IF(J1165="SKG",PR!$BF1163,IF(J1165="TAH",PR!$BG1163,IF(J1165="TAYLEK",PR!$BH1163,IF(J1165="TEMITA",PR!$BI1163,IF(J1165="THL",PR!$BJ1163,IF(J1165="UBASTIC",PR!$BK1163,IF(J1165="UNION",PR!$BL1163,IF(J1165="UNIQUE",PR!$BM1163,IF(J1165="VIXA",PR!$BN1163,IF(J1165="WWCV",PR!$BO1163,IF(J1165="ZOLON",PR!$BP1163,"-"))))))))))))))))))))))))))))))))))))))))))))))))))))))))))))))))</f>
        <v>-</v>
      </c>
      <c r="J1165" s="102">
        <f>EV!N1478</f>
        <v>0</v>
      </c>
      <c r="K1165" s="433" t="s">
        <v>1459</v>
      </c>
      <c r="L1165" s="183">
        <f>IF(K1165&gt;0,IF(K1165="ALPHA",PR!$E1163,IF(K1165="ASSENE",PR!$F1163,IF(K1165="BIOFEM",PR!$G1163,IF(K1165="BIOMED",PR!$H1163,IF(K1165="CHI",PR!$I1163,IF(K1165="CLARION",PR!$J1163,IF(K1165="CODIX",PR!$K1163,IF(K1165="COSMADE",PR!$L1163,IF(K1165="SANCON",PR!$M1163,IF(K1165="DEVON",PR!$N1163,IF(K1165="DORTEMAG",PR!$O1163,IF(K1165="DGF",PR!$P1163,IF(K1165="DYNAMIC",PR!$Q1163,IF(K1165="EMZOR",PR!$R1163,IF(K1165="EUMATT",PR!$S1163,IF(K1165="FIDSON",PR!$T1163,IF(K1165="FCGLOBAL",PR!$U1163,IF(K1165="GENEITH",PR!$V1163,IF(K1165="GINOS",PR!$W1163,IF(K1165="GSK",PR!$X1163,IF(K1165="GLOBORG",PR!$Y1163,IF(K1165="GOODNEWS",PR!$Z1163,IF(K1165="GREENLIFE",PR!$AA1163,IF(K1165="HLINE",PR!$AB1163,IF(K1165="ROTECH",PR!$AC1163,IF(K1165="ISN",PR!$AD1163,IF(K1165="JAWA",PR!$AE1163,IF(K1165="LAYO",PR!$AF1163,IF(K1165="LEADWAY",PR!$AG1163,IF(K1165="LHV",PR!$AH1163,IF(K1165="MANOLA",PR!$AI1163,IF(K1165="MARCSON",PR!$AJ1163,IF(K1165="M&amp;B",PR!$AK1163,IF(K1165="MTRUST",PR!$AL1163,IF(K1165="MWORLD",PR!$AM1163,IF(K1165="MEGA",PR!$AN1163,IF(K1165="MICRONOVA",PR!$AO1163,IF(K1165="MFLASH",PR!$AP1163,IF(K1165="MORISON",PR!$AQ1163,IF(K1165="NEMEL",PR!$AR1163,IF(K1165="NHP",PR!$AS1163,IF(K1165="NHC",PR!$AT1163,IF(K1165="OLEAF",PR!$AU1163,IF(K1165="OCULUS",PR!$AV1163,IF(K1165="PACIFIC",PR!$AW1163,IF(K1165="PHAMATEX",PR!$AX1163,IF(K1165="PETHICS",PR!$AY1163,IF(K1165="PHILIPS",PR!$AZ1163,IF(K1165="RANBAXY",PR!$BA1163,IF(K1165="REALS",PR!$BB1163,IF(K1165="ROYAL",PR!$BC1163,IF(K1165="SAM",PR!$BD1163,IF(K1165="SEAGREEN",PR!$BE1163,IF(K1165="SKG",PR!$BF1163,IF(K1165="TAH",PR!$BG1163,IF(K1165="TAYLEK",PR!$BH1163,IF(K1165="TEMITA",PR!$BI1163,IF(K1165="THL",PR!$BJ1163,IF(K1165="UBASTIC",PR!$BK1163,IF(K1165="UNION",PR!$BL1163,IF(K1165="UNIQUE",PR!$BM1163,IF(K1165="VIXA",PR!$BN1163,IF(K1165="WWCV",PR!$BO1163,IF(K1165="ZOLON",PR!$BP1163,"-")))))))))))))))))))))))))))))))))))))))))))))))))))))))))))))))))</f>
        <v>5500</v>
      </c>
    </row>
    <row r="1166" spans="1:12" ht="18.75" x14ac:dyDescent="0.3">
      <c r="A1166" s="430">
        <f>PR!A1164</f>
        <v>1045</v>
      </c>
      <c r="B1166" s="15" t="str">
        <f>PR!B1164</f>
        <v>VDRL KITS (DIASPOT)</v>
      </c>
      <c r="C1166" s="113" t="str">
        <f>PR!D1164</f>
        <v>1 x 50 pcs</v>
      </c>
      <c r="D1166" s="113">
        <f>PR!C1164</f>
        <v>24</v>
      </c>
      <c r="E1166" s="108">
        <f>IF(F1166="ALPHA",PR!$E1164,IF(F1166="ASSENE",PR!$F1164,IF(F1166="BIOFEM",PR!$G1164,IF(F1166="BIOMED",PR!$H1164,IF(F1166="CHI",PR!$I1164,IF(F1166="CLARION",PR!$J1164,IF(F1166="CODIX",PR!$K1164,IF(F1166="COSMADE",PR!$L1164,IF(F1166="SANCON",PR!$M1164,IF(F1166="DEVON",PR!$N1164,IF(F1166="DORTEMAG",PR!$O1164,IF(F1166="DGF",PR!$P1164,IF(F1166="DYNAMIC",PR!$Q1164,IF(F1166="EMZOR",PR!$R1164,IF(F1166="EUMATT",PR!$S1164,IF(F1166="FIDSON",PR!$T1164,IF(F1166="FCGLOBAL",PR!$U1164,IF(F1166="GENEITH",PR!$V1164,IF(F1166="GINOS",PR!$W1164,IF(F1166="GSK",PR!$X1164,IF(F1166="GLOBORG",PR!$Y1164,IF(F1166="GOODNEWS",PR!$Z1164,IF(F1166="GREENLIFE",PR!$AA1164,IF(F1166="HLINE",PR!$AB1164,IF(F1166="ROTECH",PR!$AC1164,IF(F1166="ISN",PR!$AD1164,IF(F1166="JAWA",PR!$AE1164,IF(F1166="LAYO",PR!$AF1164,IF(F1166="LEADWAY",PR!$AG1164,IF(F1166="LHV",PR!$AH1164,IF(F1166="MANOLA",PR!$AI1164,IF(F1166="MARCSON",PR!$AJ1164,IF(F1166="M&amp;B",PR!$AK1164,IF(F1166="MTRUST",PR!$AL1164,IF(F1166="MWORLD",PR!$AM1164,IF(F1166="MEGA",PR!$AN1164,IF(F1166="MICRONOVA",PR!$AO1164,IF(F1166="MFLASH",PR!$AP1164,IF(F1166="MORISON",PR!$AQ1164,IF(F1166="NEMEL",PR!$AR1164,IF(F1166="NHP",PR!$AS1164,IF(F1166="NHC",PR!$AT1164,IF(F1166="OLEAF",PR!$AU1164,IF(F1166="OCULUS",PR!$AV1164,IF(F1166="PACIFIC",PR!$AW1164,IF(F1166="PHAMATEX",PR!$AX1164,IF(F1166="PETHICS",PR!$AY1164,IF(F1166="PHILIPS",PR!$AZ1164,IF(F1166="RANBAXY",PR!$BA1164,IF(F1166="REALS",PR!$BB1164,IF(F1166="ROYAL",PR!$BC1164,IF(F1166="SAM",PR!$BD1164,IF(F1166="SEAGREEN",PR!$BE1164,IF(F1166="SKG",PR!$BF1164,IF(F1166="TAH",PR!$BG1164,IF(F1166="TAYLEK",PR!$BH1164,IF(F1166="TEMITA",PR!$BI1164,IF(F1166="THL",PR!$BJ1164,IF(F1166="UBASTIC",PR!$BK1164,IF(F1166="UNION",PR!$BL1164,IF(F1166="UNIQUE",PR!$BM1164,IF(F1166="VIXA",PR!$BN1164,IF(F1166="WWCV",PR!$BO1164,IF(F1166="ZOLON",PR!$BP1164,"-"))))))))))))))))))))))))))))))))))))))))))))))))))))))))))))))))</f>
        <v>3500</v>
      </c>
      <c r="F1166" s="102" t="str">
        <f>EV!L1479</f>
        <v>UBASTIC</v>
      </c>
      <c r="G1166" s="108" t="str">
        <f>IF(H1166="ALPHA",PR!$E1164,IF(H1166="ASSENE",PR!$F1164,IF(H1166="BIOFEM",PR!$G1164,IF(H1166="BIOMED",PR!$H1164,IF(H1166="CHI",PR!$I1164,IF(H1166="CLARION",PR!$J1164,IF(H1166="CODIX",PR!$K1164,IF(H1166="COSMADE",PR!$L1164,IF(H1166="SANCON",PR!$M1164,IF(H1166="DEVON",PR!$N1164,IF(H1166="DORTEMAG",PR!$O1164,IF(H1166="DGF",PR!$P1164,IF(H1166="DYNAMIC",PR!$Q1164,IF(H1166="EMZOR",PR!$R1164,IF(H1166="EUMATT",PR!$S1164,IF(H1166="FIDSON",PR!$T1164,IF(H1166="FCGLOBAL",PR!$U1164,IF(H1166="GENEITH",PR!$V1164,IF(H1166="GINOS",PR!$W1164,IF(H1166="GSK",PR!$X1164,IF(H1166="GLOBORG",PR!$Y1164,IF(H1166="GOODNEWS",PR!$Z1164,IF(H1166="GREENLIFE",PR!$AA1164,IF(H1166="HLINE",PR!$AB1164,IF(H1166="ROTECH",PR!$AC1164,IF(H1166="ISN",PR!$AD1164,IF(H1166="JAWA",PR!$AE1164,IF(H1166="LAYO",PR!$AF1164,IF(H1166="LEADWAY",PR!$AG1164,IF(H1166="LHV",PR!$AH1164,IF(H1166="MANOLA",PR!$AI1164,IF(H1166="MARCSON",PR!$AJ1164,IF(H1166="M&amp;B",PR!$AK1164,IF(H1166="MTRUST",PR!$AL1164,IF(H1166="MWORLD",PR!$AM1164,IF(H1166="MEGA",PR!$AN1164,IF(H1166="MICRONOVA",PR!$AO1164,IF(H1166="MFLASH",PR!$AP1164,IF(H1166="MORISON",PR!$AQ1164,IF(H1166="NEMEL",PR!$AR1164,IF(H1166="NHP",PR!$AS1164,IF(H1166="NHC",PR!$AT1164,IF(H1166="OLEAF",PR!$AU1164,IF(H1166="OCULUS",PR!$AV1164,IF(H1166="PACIFIC",PR!$AW1164,IF(H1166="PHAMATEX",PR!$AX1164,IF(H1166="PETHICS",PR!$AY1164,IF(H1166="PHILIPS",PR!$AZ1164,IF(H1166="RANBAXY",PR!$BA1164,IF(H1166="REALS",PR!$BB1164,IF(H1166="ROYAL",PR!$BC1164,IF(H1166="SAM",PR!$BD1164,IF(H1166="SEAGREEN",PR!$BE1164,IF(H1166="SKG",PR!$BF1164,IF(H1166="TAH",PR!$BG1164,IF(H1166="TAYLEK",PR!$BH1164,IF(H1166="TEMITA",PR!$BI1164,IF(H1166="THL",PR!$BJ1164,IF(H1166="UBASTIC",PR!$BK1164,IF(H1166="UNION",PR!$BL1164,IF(H1166="UNIQUE",PR!$BM1164,IF(H1166="VIXA",PR!$BN1164,IF(H1166="WWCV",PR!$BO1164,IF(H1166="ZOLON",PR!$BP1164,"-"))))))))))))))))))))))))))))))))))))))))))))))))))))))))))))))))</f>
        <v>-</v>
      </c>
      <c r="H1166" s="102">
        <f>EV!M1479</f>
        <v>0</v>
      </c>
      <c r="I1166" s="108" t="str">
        <f>IF(J1166="ALPHA",PR!$E1164,IF(J1166="ASSENE",PR!$F1164,IF(J1166="BIOFEM",PR!$G1164,IF(J1166="BIOMED",PR!$H1164,IF(J1166="CHI",PR!$I1164,IF(J1166="CLARION",PR!$J1164,IF(J1166="CODIX",PR!$K1164,IF(J1166="COSMADE",PR!$L1164,IF(J1166="SANCON",PR!$M1164,IF(J1166="DEVON",PR!$N1164,IF(J1166="DORTEMAG",PR!$O1164,IF(J1166="DGF",PR!$P1164,IF(J1166="DYNAMIC",PR!$Q1164,IF(J1166="EMZOR",PR!$R1164,IF(J1166="EUMATT",PR!$S1164,IF(J1166="FIDSON",PR!$T1164,IF(J1166="FCGLOBAL",PR!$U1164,IF(J1166="GENEITH",PR!$V1164,IF(J1166="GINOS",PR!$W1164,IF(J1166="GSK",PR!$X1164,IF(J1166="GLOBORG",PR!$Y1164,IF(J1166="GOODNEWS",PR!$Z1164,IF(J1166="GREENLIFE",PR!$AA1164,IF(J1166="HLINE",PR!$AB1164,IF(J1166="ROTECH",PR!$AC1164,IF(J1166="ISN",PR!$AD1164,IF(J1166="JAWA",PR!$AE1164,IF(J1166="LAYO",PR!$AF1164,IF(J1166="LEADWAY",PR!$AG1164,IF(J1166="LHV",PR!$AH1164,IF(J1166="MANOLA",PR!$AI1164,IF(J1166="MARCSON",PR!$AJ1164,IF(J1166="M&amp;B",PR!$AK1164,IF(J1166="MTRUST",PR!$AL1164,IF(J1166="MWORLD",PR!$AM1164,IF(J1166="MEGA",PR!$AN1164,IF(J1166="MICRONOVA",PR!$AO1164,IF(J1166="MFLASH",PR!$AP1164,IF(J1166="MORISON",PR!$AQ1164,IF(J1166="NEMEL",PR!$AR1164,IF(J1166="NHP",PR!$AS1164,IF(J1166="NHC",PR!$AT1164,IF(J1166="OLEAF",PR!$AU1164,IF(J1166="OCULUS",PR!$AV1164,IF(J1166="PACIFIC",PR!$AW1164,IF(J1166="PHAMATEX",PR!$AX1164,IF(J1166="PETHICS",PR!$AY1164,IF(J1166="PHILIPS",PR!$AZ1164,IF(J1166="RANBAXY",PR!$BA1164,IF(J1166="REALS",PR!$BB1164,IF(J1166="ROYAL",PR!$BC1164,IF(J1166="SAM",PR!$BD1164,IF(J1166="SEAGREEN",PR!$BE1164,IF(J1166="SKG",PR!$BF1164,IF(J1166="TAH",PR!$BG1164,IF(J1166="TAYLEK",PR!$BH1164,IF(J1166="TEMITA",PR!$BI1164,IF(J1166="THL",PR!$BJ1164,IF(J1166="UBASTIC",PR!$BK1164,IF(J1166="UNION",PR!$BL1164,IF(J1166="UNIQUE",PR!$BM1164,IF(J1166="VIXA",PR!$BN1164,IF(J1166="WWCV",PR!$BO1164,IF(J1166="ZOLON",PR!$BP1164,"-"))))))))))))))))))))))))))))))))))))))))))))))))))))))))))))))))</f>
        <v>-</v>
      </c>
      <c r="J1166" s="102">
        <f>EV!N1479</f>
        <v>0</v>
      </c>
      <c r="K1166" s="433" t="s">
        <v>1459</v>
      </c>
      <c r="L1166" s="183">
        <f>IF(K1166&gt;0,IF(K1166="ALPHA",PR!$E1164,IF(K1166="ASSENE",PR!$F1164,IF(K1166="BIOFEM",PR!$G1164,IF(K1166="BIOMED",PR!$H1164,IF(K1166="CHI",PR!$I1164,IF(K1166="CLARION",PR!$J1164,IF(K1166="CODIX",PR!$K1164,IF(K1166="COSMADE",PR!$L1164,IF(K1166="SANCON",PR!$M1164,IF(K1166="DEVON",PR!$N1164,IF(K1166="DORTEMAG",PR!$O1164,IF(K1166="DGF",PR!$P1164,IF(K1166="DYNAMIC",PR!$Q1164,IF(K1166="EMZOR",PR!$R1164,IF(K1166="EUMATT",PR!$S1164,IF(K1166="FIDSON",PR!$T1164,IF(K1166="FCGLOBAL",PR!$U1164,IF(K1166="GENEITH",PR!$V1164,IF(K1166="GINOS",PR!$W1164,IF(K1166="GSK",PR!$X1164,IF(K1166="GLOBORG",PR!$Y1164,IF(K1166="GOODNEWS",PR!$Z1164,IF(K1166="GREENLIFE",PR!$AA1164,IF(K1166="HLINE",PR!$AB1164,IF(K1166="ROTECH",PR!$AC1164,IF(K1166="ISN",PR!$AD1164,IF(K1166="JAWA",PR!$AE1164,IF(K1166="LAYO",PR!$AF1164,IF(K1166="LEADWAY",PR!$AG1164,IF(K1166="LHV",PR!$AH1164,IF(K1166="MANOLA",PR!$AI1164,IF(K1166="MARCSON",PR!$AJ1164,IF(K1166="M&amp;B",PR!$AK1164,IF(K1166="MTRUST",PR!$AL1164,IF(K1166="MWORLD",PR!$AM1164,IF(K1166="MEGA",PR!$AN1164,IF(K1166="MICRONOVA",PR!$AO1164,IF(K1166="MFLASH",PR!$AP1164,IF(K1166="MORISON",PR!$AQ1164,IF(K1166="NEMEL",PR!$AR1164,IF(K1166="NHP",PR!$AS1164,IF(K1166="NHC",PR!$AT1164,IF(K1166="OLEAF",PR!$AU1164,IF(K1166="OCULUS",PR!$AV1164,IF(K1166="PACIFIC",PR!$AW1164,IF(K1166="PHAMATEX",PR!$AX1164,IF(K1166="PETHICS",PR!$AY1164,IF(K1166="PHILIPS",PR!$AZ1164,IF(K1166="RANBAXY",PR!$BA1164,IF(K1166="REALS",PR!$BB1164,IF(K1166="ROYAL",PR!$BC1164,IF(K1166="SAM",PR!$BD1164,IF(K1166="SEAGREEN",PR!$BE1164,IF(K1166="SKG",PR!$BF1164,IF(K1166="TAH",PR!$BG1164,IF(K1166="TAYLEK",PR!$BH1164,IF(K1166="TEMITA",PR!$BI1164,IF(K1166="THL",PR!$BJ1164,IF(K1166="UBASTIC",PR!$BK1164,IF(K1166="UNION",PR!$BL1164,IF(K1166="UNIQUE",PR!$BM1164,IF(K1166="VIXA",PR!$BN1164,IF(K1166="WWCV",PR!$BO1164,IF(K1166="ZOLON",PR!$BP1164,"-")))))))))))))))))))))))))))))))))))))))))))))))))))))))))))))))))</f>
        <v>3500</v>
      </c>
    </row>
    <row r="1167" spans="1:12" ht="18.75" x14ac:dyDescent="0.3">
      <c r="A1167" s="430">
        <f>PR!A1165</f>
        <v>1046</v>
      </c>
      <c r="B1167" s="15" t="str">
        <f>PR!B1165</f>
        <v>PREGNANCY TEST CASSETTE (BIO-CHECK)</v>
      </c>
      <c r="C1167" s="113" t="str">
        <f>PR!D1165</f>
        <v>1 x 25</v>
      </c>
      <c r="D1167" s="113">
        <f>PR!C1165</f>
        <v>24</v>
      </c>
      <c r="E1167" s="108">
        <f>IF(F1167="ALPHA",PR!$E1165,IF(F1167="ASSENE",PR!$F1165,IF(F1167="BIOFEM",PR!$G1165,IF(F1167="BIOMED",PR!$H1165,IF(F1167="CHI",PR!$I1165,IF(F1167="CLARION",PR!$J1165,IF(F1167="CODIX",PR!$K1165,IF(F1167="COSMADE",PR!$L1165,IF(F1167="SANCON",PR!$M1165,IF(F1167="DEVON",PR!$N1165,IF(F1167="DORTEMAG",PR!$O1165,IF(F1167="DGF",PR!$P1165,IF(F1167="DYNAMIC",PR!$Q1165,IF(F1167="EMZOR",PR!$R1165,IF(F1167="EUMATT",PR!$S1165,IF(F1167="FIDSON",PR!$T1165,IF(F1167="FCGLOBAL",PR!$U1165,IF(F1167="GENEITH",PR!$V1165,IF(F1167="GINOS",PR!$W1165,IF(F1167="GSK",PR!$X1165,IF(F1167="GLOBORG",PR!$Y1165,IF(F1167="GOODNEWS",PR!$Z1165,IF(F1167="GREENLIFE",PR!$AA1165,IF(F1167="HLINE",PR!$AB1165,IF(F1167="ROTECH",PR!$AC1165,IF(F1167="ISN",PR!$AD1165,IF(F1167="JAWA",PR!$AE1165,IF(F1167="LAYO",PR!$AF1165,IF(F1167="LEADWAY",PR!$AG1165,IF(F1167="LHV",PR!$AH1165,IF(F1167="MANOLA",PR!$AI1165,IF(F1167="MARCSON",PR!$AJ1165,IF(F1167="M&amp;B",PR!$AK1165,IF(F1167="MTRUST",PR!$AL1165,IF(F1167="MWORLD",PR!$AM1165,IF(F1167="MEGA",PR!$AN1165,IF(F1167="MICRONOVA",PR!$AO1165,IF(F1167="MFLASH",PR!$AP1165,IF(F1167="MORISON",PR!$AQ1165,IF(F1167="NEMEL",PR!$AR1165,IF(F1167="NHP",PR!$AS1165,IF(F1167="NHC",PR!$AT1165,IF(F1167="OLEAF",PR!$AU1165,IF(F1167="OCULUS",PR!$AV1165,IF(F1167="PACIFIC",PR!$AW1165,IF(F1167="PHAMATEX",PR!$AX1165,IF(F1167="PETHICS",PR!$AY1165,IF(F1167="PHILIPS",PR!$AZ1165,IF(F1167="RANBAXY",PR!$BA1165,IF(F1167="REALS",PR!$BB1165,IF(F1167="ROYAL",PR!$BC1165,IF(F1167="SAM",PR!$BD1165,IF(F1167="SEAGREEN",PR!$BE1165,IF(F1167="SKG",PR!$BF1165,IF(F1167="TAH",PR!$BG1165,IF(F1167="TAYLEK",PR!$BH1165,IF(F1167="TEMITA",PR!$BI1165,IF(F1167="THL",PR!$BJ1165,IF(F1167="UBASTIC",PR!$BK1165,IF(F1167="UNION",PR!$BL1165,IF(F1167="UNIQUE",PR!$BM1165,IF(F1167="VIXA",PR!$BN1165,IF(F1167="WWCV",PR!$BO1165,IF(F1167="ZOLON",PR!$BP1165,"-"))))))))))))))))))))))))))))))))))))))))))))))))))))))))))))))))</f>
        <v>3200</v>
      </c>
      <c r="F1167" s="102" t="str">
        <f>EV!L1480</f>
        <v>SANCON</v>
      </c>
      <c r="G1167" s="108">
        <f>IF(H1167="ALPHA",PR!$E1165,IF(H1167="ASSENE",PR!$F1165,IF(H1167="BIOFEM",PR!$G1165,IF(H1167="BIOMED",PR!$H1165,IF(H1167="CHI",PR!$I1165,IF(H1167="CLARION",PR!$J1165,IF(H1167="CODIX",PR!$K1165,IF(H1167="COSMADE",PR!$L1165,IF(H1167="SANCON",PR!$M1165,IF(H1167="DEVON",PR!$N1165,IF(H1167="DORTEMAG",PR!$O1165,IF(H1167="DGF",PR!$P1165,IF(H1167="DYNAMIC",PR!$Q1165,IF(H1167="EMZOR",PR!$R1165,IF(H1167="EUMATT",PR!$S1165,IF(H1167="FIDSON",PR!$T1165,IF(H1167="FCGLOBAL",PR!$U1165,IF(H1167="GENEITH",PR!$V1165,IF(H1167="GINOS",PR!$W1165,IF(H1167="GSK",PR!$X1165,IF(H1167="GLOBORG",PR!$Y1165,IF(H1167="GOODNEWS",PR!$Z1165,IF(H1167="GREENLIFE",PR!$AA1165,IF(H1167="HLINE",PR!$AB1165,IF(H1167="ROTECH",PR!$AC1165,IF(H1167="ISN",PR!$AD1165,IF(H1167="JAWA",PR!$AE1165,IF(H1167="LAYO",PR!$AF1165,IF(H1167="LEADWAY",PR!$AG1165,IF(H1167="LHV",PR!$AH1165,IF(H1167="MANOLA",PR!$AI1165,IF(H1167="MARCSON",PR!$AJ1165,IF(H1167="M&amp;B",PR!$AK1165,IF(H1167="MTRUST",PR!$AL1165,IF(H1167="MWORLD",PR!$AM1165,IF(H1167="MEGA",PR!$AN1165,IF(H1167="MICRONOVA",PR!$AO1165,IF(H1167="MFLASH",PR!$AP1165,IF(H1167="MORISON",PR!$AQ1165,IF(H1167="NEMEL",PR!$AR1165,IF(H1167="NHP",PR!$AS1165,IF(H1167="NHC",PR!$AT1165,IF(H1167="OLEAF",PR!$AU1165,IF(H1167="OCULUS",PR!$AV1165,IF(H1167="PACIFIC",PR!$AW1165,IF(H1167="PHAMATEX",PR!$AX1165,IF(H1167="PETHICS",PR!$AY1165,IF(H1167="PHILIPS",PR!$AZ1165,IF(H1167="RANBAXY",PR!$BA1165,IF(H1167="REALS",PR!$BB1165,IF(H1167="ROYAL",PR!$BC1165,IF(H1167="SAM",PR!$BD1165,IF(H1167="SEAGREEN",PR!$BE1165,IF(H1167="SKG",PR!$BF1165,IF(H1167="TAH",PR!$BG1165,IF(H1167="TAYLEK",PR!$BH1165,IF(H1167="TEMITA",PR!$BI1165,IF(H1167="THL",PR!$BJ1165,IF(H1167="UBASTIC",PR!$BK1165,IF(H1167="UNION",PR!$BL1165,IF(H1167="UNIQUE",PR!$BM1165,IF(H1167="VIXA",PR!$BN1165,IF(H1167="WWCV",PR!$BO1165,IF(H1167="ZOLON",PR!$BP1165,"-"))))))))))))))))))))))))))))))))))))))))))))))))))))))))))))))))</f>
        <v>3300</v>
      </c>
      <c r="H1167" s="102" t="str">
        <f>EV!M1480</f>
        <v>ROTECH</v>
      </c>
      <c r="I1167" s="108">
        <f>IF(J1167="ALPHA",PR!$E1165,IF(J1167="ASSENE",PR!$F1165,IF(J1167="BIOFEM",PR!$G1165,IF(J1167="BIOMED",PR!$H1165,IF(J1167="CHI",PR!$I1165,IF(J1167="CLARION",PR!$J1165,IF(J1167="CODIX",PR!$K1165,IF(J1167="COSMADE",PR!$L1165,IF(J1167="SANCON",PR!$M1165,IF(J1167="DEVON",PR!$N1165,IF(J1167="DORTEMAG",PR!$O1165,IF(J1167="DGF",PR!$P1165,IF(J1167="DYNAMIC",PR!$Q1165,IF(J1167="EMZOR",PR!$R1165,IF(J1167="EUMATT",PR!$S1165,IF(J1167="FIDSON",PR!$T1165,IF(J1167="FCGLOBAL",PR!$U1165,IF(J1167="GENEITH",PR!$V1165,IF(J1167="GINOS",PR!$W1165,IF(J1167="GSK",PR!$X1165,IF(J1167="GLOBORG",PR!$Y1165,IF(J1167="GOODNEWS",PR!$Z1165,IF(J1167="GREENLIFE",PR!$AA1165,IF(J1167="HLINE",PR!$AB1165,IF(J1167="ROTECH",PR!$AC1165,IF(J1167="ISN",PR!$AD1165,IF(J1167="JAWA",PR!$AE1165,IF(J1167="LAYO",PR!$AF1165,IF(J1167="LEADWAY",PR!$AG1165,IF(J1167="LHV",PR!$AH1165,IF(J1167="MANOLA",PR!$AI1165,IF(J1167="MARCSON",PR!$AJ1165,IF(J1167="M&amp;B",PR!$AK1165,IF(J1167="MTRUST",PR!$AL1165,IF(J1167="MWORLD",PR!$AM1165,IF(J1167="MEGA",PR!$AN1165,IF(J1167="MICRONOVA",PR!$AO1165,IF(J1167="MFLASH",PR!$AP1165,IF(J1167="MORISON",PR!$AQ1165,IF(J1167="NEMEL",PR!$AR1165,IF(J1167="NHP",PR!$AS1165,IF(J1167="NHC",PR!$AT1165,IF(J1167="OLEAF",PR!$AU1165,IF(J1167="OCULUS",PR!$AV1165,IF(J1167="PACIFIC",PR!$AW1165,IF(J1167="PHAMATEX",PR!$AX1165,IF(J1167="PETHICS",PR!$AY1165,IF(J1167="PHILIPS",PR!$AZ1165,IF(J1167="RANBAXY",PR!$BA1165,IF(J1167="REALS",PR!$BB1165,IF(J1167="ROYAL",PR!$BC1165,IF(J1167="SAM",PR!$BD1165,IF(J1167="SEAGREEN",PR!$BE1165,IF(J1167="SKG",PR!$BF1165,IF(J1167="TAH",PR!$BG1165,IF(J1167="TAYLEK",PR!$BH1165,IF(J1167="TEMITA",PR!$BI1165,IF(J1167="THL",PR!$BJ1165,IF(J1167="UBASTIC",PR!$BK1165,IF(J1167="UNION",PR!$BL1165,IF(J1167="UNIQUE",PR!$BM1165,IF(J1167="VIXA",PR!$BN1165,IF(J1167="WWCV",PR!$BO1165,IF(J1167="ZOLON",PR!$BP1165,"-"))))))))))))))))))))))))))))))))))))))))))))))))))))))))))))))))</f>
        <v>3500</v>
      </c>
      <c r="J1167" s="102" t="str">
        <f>EV!N1480</f>
        <v>UBASTIC</v>
      </c>
      <c r="K1167" s="433" t="s">
        <v>817</v>
      </c>
      <c r="L1167" s="183">
        <f>IF(K1167&gt;0,IF(K1167="ALPHA",PR!$E1165,IF(K1167="ASSENE",PR!$F1165,IF(K1167="BIOFEM",PR!$G1165,IF(K1167="BIOMED",PR!$H1165,IF(K1167="CHI",PR!$I1165,IF(K1167="CLARION",PR!$J1165,IF(K1167="CODIX",PR!$K1165,IF(K1167="COSMADE",PR!$L1165,IF(K1167="SANCON",PR!$M1165,IF(K1167="DEVON",PR!$N1165,IF(K1167="DORTEMAG",PR!$O1165,IF(K1167="DGF",PR!$P1165,IF(K1167="DYNAMIC",PR!$Q1165,IF(K1167="EMZOR",PR!$R1165,IF(K1167="EUMATT",PR!$S1165,IF(K1167="FIDSON",PR!$T1165,IF(K1167="FCGLOBAL",PR!$U1165,IF(K1167="GENEITH",PR!$V1165,IF(K1167="GINOS",PR!$W1165,IF(K1167="GSK",PR!$X1165,IF(K1167="GLOBORG",PR!$Y1165,IF(K1167="GOODNEWS",PR!$Z1165,IF(K1167="GREENLIFE",PR!$AA1165,IF(K1167="HLINE",PR!$AB1165,IF(K1167="ROTECH",PR!$AC1165,IF(K1167="ISN",PR!$AD1165,IF(K1167="JAWA",PR!$AE1165,IF(K1167="LAYO",PR!$AF1165,IF(K1167="LEADWAY",PR!$AG1165,IF(K1167="LHV",PR!$AH1165,IF(K1167="MANOLA",PR!$AI1165,IF(K1167="MARCSON",PR!$AJ1165,IF(K1167="M&amp;B",PR!$AK1165,IF(K1167="MTRUST",PR!$AL1165,IF(K1167="MWORLD",PR!$AM1165,IF(K1167="MEGA",PR!$AN1165,IF(K1167="MICRONOVA",PR!$AO1165,IF(K1167="MFLASH",PR!$AP1165,IF(K1167="MORISON",PR!$AQ1165,IF(K1167="NEMEL",PR!$AR1165,IF(K1167="NHP",PR!$AS1165,IF(K1167="NHC",PR!$AT1165,IF(K1167="OLEAF",PR!$AU1165,IF(K1167="OCULUS",PR!$AV1165,IF(K1167="PACIFIC",PR!$AW1165,IF(K1167="PHAMATEX",PR!$AX1165,IF(K1167="PETHICS",PR!$AY1165,IF(K1167="PHILIPS",PR!$AZ1165,IF(K1167="RANBAXY",PR!$BA1165,IF(K1167="REALS",PR!$BB1165,IF(K1167="ROYAL",PR!$BC1165,IF(K1167="SAM",PR!$BD1165,IF(K1167="SEAGREEN",PR!$BE1165,IF(K1167="SKG",PR!$BF1165,IF(K1167="TAH",PR!$BG1165,IF(K1167="TAYLEK",PR!$BH1165,IF(K1167="TEMITA",PR!$BI1165,IF(K1167="THL",PR!$BJ1165,IF(K1167="UBASTIC",PR!$BK1165,IF(K1167="UNION",PR!$BL1165,IF(K1167="UNIQUE",PR!$BM1165,IF(K1167="VIXA",PR!$BN1165,IF(K1167="WWCV",PR!$BO1165,IF(K1167="ZOLON",PR!$BP1165,"-")))))))))))))))))))))))))))))))))))))))))))))))))))))))))))))))))</f>
        <v>3200</v>
      </c>
    </row>
    <row r="1168" spans="1:12" ht="18.75" x14ac:dyDescent="0.3">
      <c r="A1168" s="430">
        <f>PR!A1166</f>
        <v>1047</v>
      </c>
      <c r="B1168" s="15" t="str">
        <f>PR!B1166</f>
        <v>COMBI 10 URINE STRIPS (RAPID LAB)</v>
      </c>
      <c r="C1168" s="113" t="str">
        <f>PR!D1166</f>
        <v>1 x 100 pcs</v>
      </c>
      <c r="D1168" s="113">
        <f>PR!C1166</f>
        <v>24</v>
      </c>
      <c r="E1168" s="108">
        <f>IF(F1168="ALPHA",PR!$E1166,IF(F1168="ASSENE",PR!$F1166,IF(F1168="BIOFEM",PR!$G1166,IF(F1168="BIOMED",PR!$H1166,IF(F1168="CHI",PR!$I1166,IF(F1168="CLARION",PR!$J1166,IF(F1168="CODIX",PR!$K1166,IF(F1168="COSMADE",PR!$L1166,IF(F1168="SANCON",PR!$M1166,IF(F1168="DEVON",PR!$N1166,IF(F1168="DORTEMAG",PR!$O1166,IF(F1168="DGF",PR!$P1166,IF(F1168="DYNAMIC",PR!$Q1166,IF(F1168="EMZOR",PR!$R1166,IF(F1168="EUMATT",PR!$S1166,IF(F1168="FIDSON",PR!$T1166,IF(F1168="FCGLOBAL",PR!$U1166,IF(F1168="GENEITH",PR!$V1166,IF(F1168="GINOS",PR!$W1166,IF(F1168="GSK",PR!$X1166,IF(F1168="GLOBORG",PR!$Y1166,IF(F1168="GOODNEWS",PR!$Z1166,IF(F1168="GREENLIFE",PR!$AA1166,IF(F1168="HLINE",PR!$AB1166,IF(F1168="ROTECH",PR!$AC1166,IF(F1168="ISN",PR!$AD1166,IF(F1168="JAWA",PR!$AE1166,IF(F1168="LAYO",PR!$AF1166,IF(F1168="LEADWAY",PR!$AG1166,IF(F1168="LHV",PR!$AH1166,IF(F1168="MANOLA",PR!$AI1166,IF(F1168="MARCSON",PR!$AJ1166,IF(F1168="M&amp;B",PR!$AK1166,IF(F1168="MTRUST",PR!$AL1166,IF(F1168="MWORLD",PR!$AM1166,IF(F1168="MEGA",PR!$AN1166,IF(F1168="MICRONOVA",PR!$AO1166,IF(F1168="MFLASH",PR!$AP1166,IF(F1168="MORISON",PR!$AQ1166,IF(F1168="NEMEL",PR!$AR1166,IF(F1168="NHP",PR!$AS1166,IF(F1168="NHC",PR!$AT1166,IF(F1168="OLEAF",PR!$AU1166,IF(F1168="OCULUS",PR!$AV1166,IF(F1168="PACIFIC",PR!$AW1166,IF(F1168="PHAMATEX",PR!$AX1166,IF(F1168="PETHICS",PR!$AY1166,IF(F1168="PHILIPS",PR!$AZ1166,IF(F1168="RANBAXY",PR!$BA1166,IF(F1168="REALS",PR!$BB1166,IF(F1168="ROYAL",PR!$BC1166,IF(F1168="SAM",PR!$BD1166,IF(F1168="SEAGREEN",PR!$BE1166,IF(F1168="SKG",PR!$BF1166,IF(F1168="TAH",PR!$BG1166,IF(F1168="TAYLEK",PR!$BH1166,IF(F1168="TEMITA",PR!$BI1166,IF(F1168="THL",PR!$BJ1166,IF(F1168="UBASTIC",PR!$BK1166,IF(F1168="UNION",PR!$BL1166,IF(F1168="UNIQUE",PR!$BM1166,IF(F1168="VIXA",PR!$BN1166,IF(F1168="WWCV",PR!$BO1166,IF(F1168="ZOLON",PR!$BP1166,"-"))))))))))))))))))))))))))))))))))))))))))))))))))))))))))))))))</f>
        <v>2800</v>
      </c>
      <c r="F1168" s="102" t="str">
        <f>EV!L1481</f>
        <v>UBASTIC</v>
      </c>
      <c r="G1168" s="108">
        <f>IF(H1168="ALPHA",PR!$E1166,IF(H1168="ASSENE",PR!$F1166,IF(H1168="BIOFEM",PR!$G1166,IF(H1168="BIOMED",PR!$H1166,IF(H1168="CHI",PR!$I1166,IF(H1168="CLARION",PR!$J1166,IF(H1168="CODIX",PR!$K1166,IF(H1168="COSMADE",PR!$L1166,IF(H1168="SANCON",PR!$M1166,IF(H1168="DEVON",PR!$N1166,IF(H1168="DORTEMAG",PR!$O1166,IF(H1168="DGF",PR!$P1166,IF(H1168="DYNAMIC",PR!$Q1166,IF(H1168="EMZOR",PR!$R1166,IF(H1168="EUMATT",PR!$S1166,IF(H1168="FIDSON",PR!$T1166,IF(H1168="FCGLOBAL",PR!$U1166,IF(H1168="GENEITH",PR!$V1166,IF(H1168="GINOS",PR!$W1166,IF(H1168="GSK",PR!$X1166,IF(H1168="GLOBORG",PR!$Y1166,IF(H1168="GOODNEWS",PR!$Z1166,IF(H1168="GREENLIFE",PR!$AA1166,IF(H1168="HLINE",PR!$AB1166,IF(H1168="ROTECH",PR!$AC1166,IF(H1168="ISN",PR!$AD1166,IF(H1168="JAWA",PR!$AE1166,IF(H1168="LAYO",PR!$AF1166,IF(H1168="LEADWAY",PR!$AG1166,IF(H1168="LHV",PR!$AH1166,IF(H1168="MANOLA",PR!$AI1166,IF(H1168="MARCSON",PR!$AJ1166,IF(H1168="M&amp;B",PR!$AK1166,IF(H1168="MTRUST",PR!$AL1166,IF(H1168="MWORLD",PR!$AM1166,IF(H1168="MEGA",PR!$AN1166,IF(H1168="MICRONOVA",PR!$AO1166,IF(H1168="MFLASH",PR!$AP1166,IF(H1168="MORISON",PR!$AQ1166,IF(H1168="NEMEL",PR!$AR1166,IF(H1168="NHP",PR!$AS1166,IF(H1168="NHC",PR!$AT1166,IF(H1168="OLEAF",PR!$AU1166,IF(H1168="OCULUS",PR!$AV1166,IF(H1168="PACIFIC",PR!$AW1166,IF(H1168="PHAMATEX",PR!$AX1166,IF(H1168="PETHICS",PR!$AY1166,IF(H1168="PHILIPS",PR!$AZ1166,IF(H1168="RANBAXY",PR!$BA1166,IF(H1168="REALS",PR!$BB1166,IF(H1168="ROYAL",PR!$BC1166,IF(H1168="SAM",PR!$BD1166,IF(H1168="SEAGREEN",PR!$BE1166,IF(H1168="SKG",PR!$BF1166,IF(H1168="TAH",PR!$BG1166,IF(H1168="TAYLEK",PR!$BH1166,IF(H1168="TEMITA",PR!$BI1166,IF(H1168="THL",PR!$BJ1166,IF(H1168="UBASTIC",PR!$BK1166,IF(H1168="UNION",PR!$BL1166,IF(H1168="UNIQUE",PR!$BM1166,IF(H1168="VIXA",PR!$BN1166,IF(H1168="WWCV",PR!$BO1166,IF(H1168="ZOLON",PR!$BP1166,"-"))))))))))))))))))))))))))))))))))))))))))))))))))))))))))))))))</f>
        <v>3000</v>
      </c>
      <c r="H1168" s="102" t="str">
        <f>EV!M1481</f>
        <v>ROTECH</v>
      </c>
      <c r="I1168" s="108">
        <f>IF(J1168="ALPHA",PR!$E1166,IF(J1168="ASSENE",PR!$F1166,IF(J1168="BIOFEM",PR!$G1166,IF(J1168="BIOMED",PR!$H1166,IF(J1168="CHI",PR!$I1166,IF(J1168="CLARION",PR!$J1166,IF(J1168="CODIX",PR!$K1166,IF(J1168="COSMADE",PR!$L1166,IF(J1168="SANCON",PR!$M1166,IF(J1168="DEVON",PR!$N1166,IF(J1168="DORTEMAG",PR!$O1166,IF(J1168="DGF",PR!$P1166,IF(J1168="DYNAMIC",PR!$Q1166,IF(J1168="EMZOR",PR!$R1166,IF(J1168="EUMATT",PR!$S1166,IF(J1168="FIDSON",PR!$T1166,IF(J1168="FCGLOBAL",PR!$U1166,IF(J1168="GENEITH",PR!$V1166,IF(J1168="GINOS",PR!$W1166,IF(J1168="GSK",PR!$X1166,IF(J1168="GLOBORG",PR!$Y1166,IF(J1168="GOODNEWS",PR!$Z1166,IF(J1168="GREENLIFE",PR!$AA1166,IF(J1168="HLINE",PR!$AB1166,IF(J1168="ROTECH",PR!$AC1166,IF(J1168="ISN",PR!$AD1166,IF(J1168="JAWA",PR!$AE1166,IF(J1168="LAYO",PR!$AF1166,IF(J1168="LEADWAY",PR!$AG1166,IF(J1168="LHV",PR!$AH1166,IF(J1168="MANOLA",PR!$AI1166,IF(J1168="MARCSON",PR!$AJ1166,IF(J1168="M&amp;B",PR!$AK1166,IF(J1168="MTRUST",PR!$AL1166,IF(J1168="MWORLD",PR!$AM1166,IF(J1168="MEGA",PR!$AN1166,IF(J1168="MICRONOVA",PR!$AO1166,IF(J1168="MFLASH",PR!$AP1166,IF(J1168="MORISON",PR!$AQ1166,IF(J1168="NEMEL",PR!$AR1166,IF(J1168="NHP",PR!$AS1166,IF(J1168="NHC",PR!$AT1166,IF(J1168="OLEAF",PR!$AU1166,IF(J1168="OCULUS",PR!$AV1166,IF(J1168="PACIFIC",PR!$AW1166,IF(J1168="PHAMATEX",PR!$AX1166,IF(J1168="PETHICS",PR!$AY1166,IF(J1168="PHILIPS",PR!$AZ1166,IF(J1168="RANBAXY",PR!$BA1166,IF(J1168="REALS",PR!$BB1166,IF(J1168="ROYAL",PR!$BC1166,IF(J1168="SAM",PR!$BD1166,IF(J1168="SEAGREEN",PR!$BE1166,IF(J1168="SKG",PR!$BF1166,IF(J1168="TAH",PR!$BG1166,IF(J1168="TAYLEK",PR!$BH1166,IF(J1168="TEMITA",PR!$BI1166,IF(J1168="THL",PR!$BJ1166,IF(J1168="UBASTIC",PR!$BK1166,IF(J1168="UNION",PR!$BL1166,IF(J1168="UNIQUE",PR!$BM1166,IF(J1168="VIXA",PR!$BN1166,IF(J1168="WWCV",PR!$BO1166,IF(J1168="ZOLON",PR!$BP1166,"-"))))))))))))))))))))))))))))))))))))))))))))))))))))))))))))))))</f>
        <v>3600</v>
      </c>
      <c r="J1168" s="102" t="str">
        <f>EV!N1481</f>
        <v>TEMITA</v>
      </c>
      <c r="K1168" s="433" t="s">
        <v>1459</v>
      </c>
      <c r="L1168" s="183">
        <f>IF(K1168&gt;0,IF(K1168="ALPHA",PR!$E1166,IF(K1168="ASSENE",PR!$F1166,IF(K1168="BIOFEM",PR!$G1166,IF(K1168="BIOMED",PR!$H1166,IF(K1168="CHI",PR!$I1166,IF(K1168="CLARION",PR!$J1166,IF(K1168="CODIX",PR!$K1166,IF(K1168="COSMADE",PR!$L1166,IF(K1168="SANCON",PR!$M1166,IF(K1168="DEVON",PR!$N1166,IF(K1168="DORTEMAG",PR!$O1166,IF(K1168="DGF",PR!$P1166,IF(K1168="DYNAMIC",PR!$Q1166,IF(K1168="EMZOR",PR!$R1166,IF(K1168="EUMATT",PR!$S1166,IF(K1168="FIDSON",PR!$T1166,IF(K1168="FCGLOBAL",PR!$U1166,IF(K1168="GENEITH",PR!$V1166,IF(K1168="GINOS",PR!$W1166,IF(K1168="GSK",PR!$X1166,IF(K1168="GLOBORG",PR!$Y1166,IF(K1168="GOODNEWS",PR!$Z1166,IF(K1168="GREENLIFE",PR!$AA1166,IF(K1168="HLINE",PR!$AB1166,IF(K1168="ROTECH",PR!$AC1166,IF(K1168="ISN",PR!$AD1166,IF(K1168="JAWA",PR!$AE1166,IF(K1168="LAYO",PR!$AF1166,IF(K1168="LEADWAY",PR!$AG1166,IF(K1168="LHV",PR!$AH1166,IF(K1168="MANOLA",PR!$AI1166,IF(K1168="MARCSON",PR!$AJ1166,IF(K1168="M&amp;B",PR!$AK1166,IF(K1168="MTRUST",PR!$AL1166,IF(K1168="MWORLD",PR!$AM1166,IF(K1168="MEGA",PR!$AN1166,IF(K1168="MICRONOVA",PR!$AO1166,IF(K1168="MFLASH",PR!$AP1166,IF(K1168="MORISON",PR!$AQ1166,IF(K1168="NEMEL",PR!$AR1166,IF(K1168="NHP",PR!$AS1166,IF(K1168="NHC",PR!$AT1166,IF(K1168="OLEAF",PR!$AU1166,IF(K1168="OCULUS",PR!$AV1166,IF(K1168="PACIFIC",PR!$AW1166,IF(K1168="PHAMATEX",PR!$AX1166,IF(K1168="PETHICS",PR!$AY1166,IF(K1168="PHILIPS",PR!$AZ1166,IF(K1168="RANBAXY",PR!$BA1166,IF(K1168="REALS",PR!$BB1166,IF(K1168="ROYAL",PR!$BC1166,IF(K1168="SAM",PR!$BD1166,IF(K1168="SEAGREEN",PR!$BE1166,IF(K1168="SKG",PR!$BF1166,IF(K1168="TAH",PR!$BG1166,IF(K1168="TAYLEK",PR!$BH1166,IF(K1168="TEMITA",PR!$BI1166,IF(K1168="THL",PR!$BJ1166,IF(K1168="UBASTIC",PR!$BK1166,IF(K1168="UNION",PR!$BL1166,IF(K1168="UNIQUE",PR!$BM1166,IF(K1168="VIXA",PR!$BN1166,IF(K1168="WWCV",PR!$BO1166,IF(K1168="ZOLON",PR!$BP1166,"-")))))))))))))))))))))))))))))))))))))))))))))))))))))))))))))))))</f>
        <v>2800</v>
      </c>
    </row>
    <row r="1169" spans="1:12" ht="18.75" x14ac:dyDescent="0.3">
      <c r="A1169" s="430">
        <f>PR!A1167</f>
        <v>1048</v>
      </c>
      <c r="B1169" s="15" t="str">
        <f>PR!B1167</f>
        <v>UNIVERSAL PLASTIC BOTTLE (SILVER HEALTH)</v>
      </c>
      <c r="C1169" s="113" t="str">
        <f>PR!D1167</f>
        <v>1 x 400 pcs</v>
      </c>
      <c r="D1169" s="113">
        <f>PR!C1167</f>
        <v>5</v>
      </c>
      <c r="E1169" s="108">
        <f>IF(F1169="ALPHA",PR!$E1167,IF(F1169="ASSENE",PR!$F1167,IF(F1169="BIOFEM",PR!$G1167,IF(F1169="BIOMED",PR!$H1167,IF(F1169="CHI",PR!$I1167,IF(F1169="CLARION",PR!$J1167,IF(F1169="CODIX",PR!$K1167,IF(F1169="COSMADE",PR!$L1167,IF(F1169="SANCON",PR!$M1167,IF(F1169="DEVON",PR!$N1167,IF(F1169="DORTEMAG",PR!$O1167,IF(F1169="DGF",PR!$P1167,IF(F1169="DYNAMIC",PR!$Q1167,IF(F1169="EMZOR",PR!$R1167,IF(F1169="EUMATT",PR!$S1167,IF(F1169="FIDSON",PR!$T1167,IF(F1169="FCGLOBAL",PR!$U1167,IF(F1169="GENEITH",PR!$V1167,IF(F1169="GINOS",PR!$W1167,IF(F1169="GSK",PR!$X1167,IF(F1169="GLOBORG",PR!$Y1167,IF(F1169="GOODNEWS",PR!$Z1167,IF(F1169="GREENLIFE",PR!$AA1167,IF(F1169="HLINE",PR!$AB1167,IF(F1169="ROTECH",PR!$AC1167,IF(F1169="ISN",PR!$AD1167,IF(F1169="JAWA",PR!$AE1167,IF(F1169="LAYO",PR!$AF1167,IF(F1169="LEADWAY",PR!$AG1167,IF(F1169="LHV",PR!$AH1167,IF(F1169="MANOLA",PR!$AI1167,IF(F1169="MARCSON",PR!$AJ1167,IF(F1169="M&amp;B",PR!$AK1167,IF(F1169="MTRUST",PR!$AL1167,IF(F1169="MWORLD",PR!$AM1167,IF(F1169="MEGA",PR!$AN1167,IF(F1169="MICRONOVA",PR!$AO1167,IF(F1169="MFLASH",PR!$AP1167,IF(F1169="MORISON",PR!$AQ1167,IF(F1169="NEMEL",PR!$AR1167,IF(F1169="NHP",PR!$AS1167,IF(F1169="NHC",PR!$AT1167,IF(F1169="OLEAF",PR!$AU1167,IF(F1169="OCULUS",PR!$AV1167,IF(F1169="PACIFIC",PR!$AW1167,IF(F1169="PHAMATEX",PR!$AX1167,IF(F1169="PETHICS",PR!$AY1167,IF(F1169="PHILIPS",PR!$AZ1167,IF(F1169="RANBAXY",PR!$BA1167,IF(F1169="REALS",PR!$BB1167,IF(F1169="ROYAL",PR!$BC1167,IF(F1169="SAM",PR!$BD1167,IF(F1169="SEAGREEN",PR!$BE1167,IF(F1169="SKG",PR!$BF1167,IF(F1169="TAH",PR!$BG1167,IF(F1169="TAYLEK",PR!$BH1167,IF(F1169="TEMITA",PR!$BI1167,IF(F1169="THL",PR!$BJ1167,IF(F1169="UBASTIC",PR!$BK1167,IF(F1169="UNION",PR!$BL1167,IF(F1169="UNIQUE",PR!$BM1167,IF(F1169="VIXA",PR!$BN1167,IF(F1169="WWCV",PR!$BO1167,IF(F1169="ZOLON",PR!$BP1167,"-"))))))))))))))))))))))))))))))))))))))))))))))))))))))))))))))))</f>
        <v>11550</v>
      </c>
      <c r="F1169" s="102" t="str">
        <f>EV!L1482</f>
        <v>ROTECH</v>
      </c>
      <c r="G1169" s="108">
        <f>IF(H1169="ALPHA",PR!$E1167,IF(H1169="ASSENE",PR!$F1167,IF(H1169="BIOFEM",PR!$G1167,IF(H1169="BIOMED",PR!$H1167,IF(H1169="CHI",PR!$I1167,IF(H1169="CLARION",PR!$J1167,IF(H1169="CODIX",PR!$K1167,IF(H1169="COSMADE",PR!$L1167,IF(H1169="SANCON",PR!$M1167,IF(H1169="DEVON",PR!$N1167,IF(H1169="DORTEMAG",PR!$O1167,IF(H1169="DGF",PR!$P1167,IF(H1169="DYNAMIC",PR!$Q1167,IF(H1169="EMZOR",PR!$R1167,IF(H1169="EUMATT",PR!$S1167,IF(H1169="FIDSON",PR!$T1167,IF(H1169="FCGLOBAL",PR!$U1167,IF(H1169="GENEITH",PR!$V1167,IF(H1169="GINOS",PR!$W1167,IF(H1169="GSK",PR!$X1167,IF(H1169="GLOBORG",PR!$Y1167,IF(H1169="GOODNEWS",PR!$Z1167,IF(H1169="GREENLIFE",PR!$AA1167,IF(H1169="HLINE",PR!$AB1167,IF(H1169="ROTECH",PR!$AC1167,IF(H1169="ISN",PR!$AD1167,IF(H1169="JAWA",PR!$AE1167,IF(H1169="LAYO",PR!$AF1167,IF(H1169="LEADWAY",PR!$AG1167,IF(H1169="LHV",PR!$AH1167,IF(H1169="MANOLA",PR!$AI1167,IF(H1169="MARCSON",PR!$AJ1167,IF(H1169="M&amp;B",PR!$AK1167,IF(H1169="MTRUST",PR!$AL1167,IF(H1169="MWORLD",PR!$AM1167,IF(H1169="MEGA",PR!$AN1167,IF(H1169="MICRONOVA",PR!$AO1167,IF(H1169="MFLASH",PR!$AP1167,IF(H1169="MORISON",PR!$AQ1167,IF(H1169="NEMEL",PR!$AR1167,IF(H1169="NHP",PR!$AS1167,IF(H1169="NHC",PR!$AT1167,IF(H1169="OLEAF",PR!$AU1167,IF(H1169="OCULUS",PR!$AV1167,IF(H1169="PACIFIC",PR!$AW1167,IF(H1169="PHAMATEX",PR!$AX1167,IF(H1169="PETHICS",PR!$AY1167,IF(H1169="PHILIPS",PR!$AZ1167,IF(H1169="RANBAXY",PR!$BA1167,IF(H1169="REALS",PR!$BB1167,IF(H1169="ROYAL",PR!$BC1167,IF(H1169="SAM",PR!$BD1167,IF(H1169="SEAGREEN",PR!$BE1167,IF(H1169="SKG",PR!$BF1167,IF(H1169="TAH",PR!$BG1167,IF(H1169="TAYLEK",PR!$BH1167,IF(H1169="TEMITA",PR!$BI1167,IF(H1169="THL",PR!$BJ1167,IF(H1169="UBASTIC",PR!$BK1167,IF(H1169="UNION",PR!$BL1167,IF(H1169="UNIQUE",PR!$BM1167,IF(H1169="VIXA",PR!$BN1167,IF(H1169="WWCV",PR!$BO1167,IF(H1169="ZOLON",PR!$BP1167,"-"))))))))))))))))))))))))))))))))))))))))))))))))))))))))))))))))</f>
        <v>12000</v>
      </c>
      <c r="H1169" s="102" t="str">
        <f>EV!M1482</f>
        <v>SANCON</v>
      </c>
      <c r="I1169" s="108">
        <f>IF(J1169="ALPHA",PR!$E1167,IF(J1169="ASSENE",PR!$F1167,IF(J1169="BIOFEM",PR!$G1167,IF(J1169="BIOMED",PR!$H1167,IF(J1169="CHI",PR!$I1167,IF(J1169="CLARION",PR!$J1167,IF(J1169="CODIX",PR!$K1167,IF(J1169="COSMADE",PR!$L1167,IF(J1169="SANCON",PR!$M1167,IF(J1169="DEVON",PR!$N1167,IF(J1169="DORTEMAG",PR!$O1167,IF(J1169="DGF",PR!$P1167,IF(J1169="DYNAMIC",PR!$Q1167,IF(J1169="EMZOR",PR!$R1167,IF(J1169="EUMATT",PR!$S1167,IF(J1169="FIDSON",PR!$T1167,IF(J1169="FCGLOBAL",PR!$U1167,IF(J1169="GENEITH",PR!$V1167,IF(J1169="GINOS",PR!$W1167,IF(J1169="GSK",PR!$X1167,IF(J1169="GLOBORG",PR!$Y1167,IF(J1169="GOODNEWS",PR!$Z1167,IF(J1169="GREENLIFE",PR!$AA1167,IF(J1169="HLINE",PR!$AB1167,IF(J1169="ROTECH",PR!$AC1167,IF(J1169="ISN",PR!$AD1167,IF(J1169="JAWA",PR!$AE1167,IF(J1169="LAYO",PR!$AF1167,IF(J1169="LEADWAY",PR!$AG1167,IF(J1169="LHV",PR!$AH1167,IF(J1169="MANOLA",PR!$AI1167,IF(J1169="MARCSON",PR!$AJ1167,IF(J1169="M&amp;B",PR!$AK1167,IF(J1169="MTRUST",PR!$AL1167,IF(J1169="MWORLD",PR!$AM1167,IF(J1169="MEGA",PR!$AN1167,IF(J1169="MICRONOVA",PR!$AO1167,IF(J1169="MFLASH",PR!$AP1167,IF(J1169="MORISON",PR!$AQ1167,IF(J1169="NEMEL",PR!$AR1167,IF(J1169="NHP",PR!$AS1167,IF(J1169="NHC",PR!$AT1167,IF(J1169="OLEAF",PR!$AU1167,IF(J1169="OCULUS",PR!$AV1167,IF(J1169="PACIFIC",PR!$AW1167,IF(J1169="PHAMATEX",PR!$AX1167,IF(J1169="PETHICS",PR!$AY1167,IF(J1169="PHILIPS",PR!$AZ1167,IF(J1169="RANBAXY",PR!$BA1167,IF(J1169="REALS",PR!$BB1167,IF(J1169="ROYAL",PR!$BC1167,IF(J1169="SAM",PR!$BD1167,IF(J1169="SEAGREEN",PR!$BE1167,IF(J1169="SKG",PR!$BF1167,IF(J1169="TAH",PR!$BG1167,IF(J1169="TAYLEK",PR!$BH1167,IF(J1169="TEMITA",PR!$BI1167,IF(J1169="THL",PR!$BJ1167,IF(J1169="UBASTIC",PR!$BK1167,IF(J1169="UNION",PR!$BL1167,IF(J1169="UNIQUE",PR!$BM1167,IF(J1169="VIXA",PR!$BN1167,IF(J1169="WWCV",PR!$BO1167,IF(J1169="ZOLON",PR!$BP1167,"-"))))))))))))))))))))))))))))))))))))))))))))))))))))))))))))))))</f>
        <v>12500</v>
      </c>
      <c r="J1169" s="102" t="str">
        <f>EV!N1482</f>
        <v>UBASTIC</v>
      </c>
      <c r="K1169" s="433" t="s">
        <v>817</v>
      </c>
      <c r="L1169" s="183">
        <f>IF(K1169&gt;0,IF(K1169="ALPHA",PR!$E1167,IF(K1169="ASSENE",PR!$F1167,IF(K1169="BIOFEM",PR!$G1167,IF(K1169="BIOMED",PR!$H1167,IF(K1169="CHI",PR!$I1167,IF(K1169="CLARION",PR!$J1167,IF(K1169="CODIX",PR!$K1167,IF(K1169="COSMADE",PR!$L1167,IF(K1169="SANCON",PR!$M1167,IF(K1169="DEVON",PR!$N1167,IF(K1169="DORTEMAG",PR!$O1167,IF(K1169="DGF",PR!$P1167,IF(K1169="DYNAMIC",PR!$Q1167,IF(K1169="EMZOR",PR!$R1167,IF(K1169="EUMATT",PR!$S1167,IF(K1169="FIDSON",PR!$T1167,IF(K1169="FCGLOBAL",PR!$U1167,IF(K1169="GENEITH",PR!$V1167,IF(K1169="GINOS",PR!$W1167,IF(K1169="GSK",PR!$X1167,IF(K1169="GLOBORG",PR!$Y1167,IF(K1169="GOODNEWS",PR!$Z1167,IF(K1169="GREENLIFE",PR!$AA1167,IF(K1169="HLINE",PR!$AB1167,IF(K1169="ROTECH",PR!$AC1167,IF(K1169="ISN",PR!$AD1167,IF(K1169="JAWA",PR!$AE1167,IF(K1169="LAYO",PR!$AF1167,IF(K1169="LEADWAY",PR!$AG1167,IF(K1169="LHV",PR!$AH1167,IF(K1169="MANOLA",PR!$AI1167,IF(K1169="MARCSON",PR!$AJ1167,IF(K1169="M&amp;B",PR!$AK1167,IF(K1169="MTRUST",PR!$AL1167,IF(K1169="MWORLD",PR!$AM1167,IF(K1169="MEGA",PR!$AN1167,IF(K1169="MICRONOVA",PR!$AO1167,IF(K1169="MFLASH",PR!$AP1167,IF(K1169="MORISON",PR!$AQ1167,IF(K1169="NEMEL",PR!$AR1167,IF(K1169="NHP",PR!$AS1167,IF(K1169="NHC",PR!$AT1167,IF(K1169="OLEAF",PR!$AU1167,IF(K1169="OCULUS",PR!$AV1167,IF(K1169="PACIFIC",PR!$AW1167,IF(K1169="PHAMATEX",PR!$AX1167,IF(K1169="PETHICS",PR!$AY1167,IF(K1169="PHILIPS",PR!$AZ1167,IF(K1169="RANBAXY",PR!$BA1167,IF(K1169="REALS",PR!$BB1167,IF(K1169="ROYAL",PR!$BC1167,IF(K1169="SAM",PR!$BD1167,IF(K1169="SEAGREEN",PR!$BE1167,IF(K1169="SKG",PR!$BF1167,IF(K1169="TAH",PR!$BG1167,IF(K1169="TAYLEK",PR!$BH1167,IF(K1169="TEMITA",PR!$BI1167,IF(K1169="THL",PR!$BJ1167,IF(K1169="UBASTIC",PR!$BK1167,IF(K1169="UNION",PR!$BL1167,IF(K1169="UNIQUE",PR!$BM1167,IF(K1169="VIXA",PR!$BN1167,IF(K1169="WWCV",PR!$BO1167,IF(K1169="ZOLON",PR!$BP1167,"-")))))))))))))))))))))))))))))))))))))))))))))))))))))))))))))))))</f>
        <v>12000</v>
      </c>
    </row>
    <row r="1170" spans="1:12" ht="18.75" x14ac:dyDescent="0.3">
      <c r="A1170" s="430">
        <f>PR!A1168</f>
        <v>1049</v>
      </c>
      <c r="B1170" s="15" t="str">
        <f>PR!B1168</f>
        <v>BLOOD LANCET (SILVER HEALTH)</v>
      </c>
      <c r="C1170" s="113" t="str">
        <f>PR!D1168</f>
        <v>1 x 200 pcs</v>
      </c>
      <c r="D1170" s="113">
        <f>PR!C1168</f>
        <v>24</v>
      </c>
      <c r="E1170" s="108">
        <f>IF(F1170="ALPHA",PR!$E1168,IF(F1170="ASSENE",PR!$F1168,IF(F1170="BIOFEM",PR!$G1168,IF(F1170="BIOMED",PR!$H1168,IF(F1170="CHI",PR!$I1168,IF(F1170="CLARION",PR!$J1168,IF(F1170="CODIX",PR!$K1168,IF(F1170="COSMADE",PR!$L1168,IF(F1170="SANCON",PR!$M1168,IF(F1170="DEVON",PR!$N1168,IF(F1170="DORTEMAG",PR!$O1168,IF(F1170="DGF",PR!$P1168,IF(F1170="DYNAMIC",PR!$Q1168,IF(F1170="EMZOR",PR!$R1168,IF(F1170="EUMATT",PR!$S1168,IF(F1170="FIDSON",PR!$T1168,IF(F1170="FCGLOBAL",PR!$U1168,IF(F1170="GENEITH",PR!$V1168,IF(F1170="GINOS",PR!$W1168,IF(F1170="GSK",PR!$X1168,IF(F1170="GLOBORG",PR!$Y1168,IF(F1170="GOODNEWS",PR!$Z1168,IF(F1170="GREENLIFE",PR!$AA1168,IF(F1170="HLINE",PR!$AB1168,IF(F1170="ROTECH",PR!$AC1168,IF(F1170="ISN",PR!$AD1168,IF(F1170="JAWA",PR!$AE1168,IF(F1170="LAYO",PR!$AF1168,IF(F1170="LEADWAY",PR!$AG1168,IF(F1170="LHV",PR!$AH1168,IF(F1170="MANOLA",PR!$AI1168,IF(F1170="MARCSON",PR!$AJ1168,IF(F1170="M&amp;B",PR!$AK1168,IF(F1170="MTRUST",PR!$AL1168,IF(F1170="MWORLD",PR!$AM1168,IF(F1170="MEGA",PR!$AN1168,IF(F1170="MICRONOVA",PR!$AO1168,IF(F1170="MFLASH",PR!$AP1168,IF(F1170="MORISON",PR!$AQ1168,IF(F1170="NEMEL",PR!$AR1168,IF(F1170="NHP",PR!$AS1168,IF(F1170="NHC",PR!$AT1168,IF(F1170="OLEAF",PR!$AU1168,IF(F1170="OCULUS",PR!$AV1168,IF(F1170="PACIFIC",PR!$AW1168,IF(F1170="PHAMATEX",PR!$AX1168,IF(F1170="PETHICS",PR!$AY1168,IF(F1170="PHILIPS",PR!$AZ1168,IF(F1170="RANBAXY",PR!$BA1168,IF(F1170="REALS",PR!$BB1168,IF(F1170="ROYAL",PR!$BC1168,IF(F1170="SAM",PR!$BD1168,IF(F1170="SEAGREEN",PR!$BE1168,IF(F1170="SKG",PR!$BF1168,IF(F1170="TAH",PR!$BG1168,IF(F1170="TAYLEK",PR!$BH1168,IF(F1170="TEMITA",PR!$BI1168,IF(F1170="THL",PR!$BJ1168,IF(F1170="UBASTIC",PR!$BK1168,IF(F1170="UNION",PR!$BL1168,IF(F1170="UNIQUE",PR!$BM1168,IF(F1170="VIXA",PR!$BN1168,IF(F1170="WWCV",PR!$BO1168,IF(F1170="ZOLON",PR!$BP1168,"-"))))))))))))))))))))))))))))))))))))))))))))))))))))))))))))))))</f>
        <v>600</v>
      </c>
      <c r="F1170" s="102" t="str">
        <f>EV!L1483</f>
        <v>SANCON</v>
      </c>
      <c r="G1170" s="108">
        <f>IF(H1170="ALPHA",PR!$E1168,IF(H1170="ASSENE",PR!$F1168,IF(H1170="BIOFEM",PR!$G1168,IF(H1170="BIOMED",PR!$H1168,IF(H1170="CHI",PR!$I1168,IF(H1170="CLARION",PR!$J1168,IF(H1170="CODIX",PR!$K1168,IF(H1170="COSMADE",PR!$L1168,IF(H1170="SANCON",PR!$M1168,IF(H1170="DEVON",PR!$N1168,IF(H1170="DORTEMAG",PR!$O1168,IF(H1170="DGF",PR!$P1168,IF(H1170="DYNAMIC",PR!$Q1168,IF(H1170="EMZOR",PR!$R1168,IF(H1170="EUMATT",PR!$S1168,IF(H1170="FIDSON",PR!$T1168,IF(H1170="FCGLOBAL",PR!$U1168,IF(H1170="GENEITH",PR!$V1168,IF(H1170="GINOS",PR!$W1168,IF(H1170="GSK",PR!$X1168,IF(H1170="GLOBORG",PR!$Y1168,IF(H1170="GOODNEWS",PR!$Z1168,IF(H1170="GREENLIFE",PR!$AA1168,IF(H1170="HLINE",PR!$AB1168,IF(H1170="ROTECH",PR!$AC1168,IF(H1170="ISN",PR!$AD1168,IF(H1170="JAWA",PR!$AE1168,IF(H1170="LAYO",PR!$AF1168,IF(H1170="LEADWAY",PR!$AG1168,IF(H1170="LHV",PR!$AH1168,IF(H1170="MANOLA",PR!$AI1168,IF(H1170="MARCSON",PR!$AJ1168,IF(H1170="M&amp;B",PR!$AK1168,IF(H1170="MTRUST",PR!$AL1168,IF(H1170="MWORLD",PR!$AM1168,IF(H1170="MEGA",PR!$AN1168,IF(H1170="MICRONOVA",PR!$AO1168,IF(H1170="MFLASH",PR!$AP1168,IF(H1170="MORISON",PR!$AQ1168,IF(H1170="NEMEL",PR!$AR1168,IF(H1170="NHP",PR!$AS1168,IF(H1170="NHC",PR!$AT1168,IF(H1170="OLEAF",PR!$AU1168,IF(H1170="OCULUS",PR!$AV1168,IF(H1170="PACIFIC",PR!$AW1168,IF(H1170="PHAMATEX",PR!$AX1168,IF(H1170="PETHICS",PR!$AY1168,IF(H1170="PHILIPS",PR!$AZ1168,IF(H1170="RANBAXY",PR!$BA1168,IF(H1170="REALS",PR!$BB1168,IF(H1170="ROYAL",PR!$BC1168,IF(H1170="SAM",PR!$BD1168,IF(H1170="SEAGREEN",PR!$BE1168,IF(H1170="SKG",PR!$BF1168,IF(H1170="TAH",PR!$BG1168,IF(H1170="TAYLEK",PR!$BH1168,IF(H1170="TEMITA",PR!$BI1168,IF(H1170="THL",PR!$BJ1168,IF(H1170="UBASTIC",PR!$BK1168,IF(H1170="UNION",PR!$BL1168,IF(H1170="UNIQUE",PR!$BM1168,IF(H1170="VIXA",PR!$BN1168,IF(H1170="WWCV",PR!$BO1168,IF(H1170="ZOLON",PR!$BP1168,"-"))))))))))))))))))))))))))))))))))))))))))))))))))))))))))))))))</f>
        <v>650</v>
      </c>
      <c r="H1170" s="102" t="str">
        <f>EV!M1483</f>
        <v>UBASTIC</v>
      </c>
      <c r="I1170" s="108">
        <f>IF(J1170="ALPHA",PR!$E1168,IF(J1170="ASSENE",PR!$F1168,IF(J1170="BIOFEM",PR!$G1168,IF(J1170="BIOMED",PR!$H1168,IF(J1170="CHI",PR!$I1168,IF(J1170="CLARION",PR!$J1168,IF(J1170="CODIX",PR!$K1168,IF(J1170="COSMADE",PR!$L1168,IF(J1170="SANCON",PR!$M1168,IF(J1170="DEVON",PR!$N1168,IF(J1170="DORTEMAG",PR!$O1168,IF(J1170="DGF",PR!$P1168,IF(J1170="DYNAMIC",PR!$Q1168,IF(J1170="EMZOR",PR!$R1168,IF(J1170="EUMATT",PR!$S1168,IF(J1170="FIDSON",PR!$T1168,IF(J1170="FCGLOBAL",PR!$U1168,IF(J1170="GENEITH",PR!$V1168,IF(J1170="GINOS",PR!$W1168,IF(J1170="GSK",PR!$X1168,IF(J1170="GLOBORG",PR!$Y1168,IF(J1170="GOODNEWS",PR!$Z1168,IF(J1170="GREENLIFE",PR!$AA1168,IF(J1170="HLINE",PR!$AB1168,IF(J1170="ROTECH",PR!$AC1168,IF(J1170="ISN",PR!$AD1168,IF(J1170="JAWA",PR!$AE1168,IF(J1170="LAYO",PR!$AF1168,IF(J1170="LEADWAY",PR!$AG1168,IF(J1170="LHV",PR!$AH1168,IF(J1170="MANOLA",PR!$AI1168,IF(J1170="MARCSON",PR!$AJ1168,IF(J1170="M&amp;B",PR!$AK1168,IF(J1170="MTRUST",PR!$AL1168,IF(J1170="MWORLD",PR!$AM1168,IF(J1170="MEGA",PR!$AN1168,IF(J1170="MICRONOVA",PR!$AO1168,IF(J1170="MFLASH",PR!$AP1168,IF(J1170="MORISON",PR!$AQ1168,IF(J1170="NEMEL",PR!$AR1168,IF(J1170="NHP",PR!$AS1168,IF(J1170="NHC",PR!$AT1168,IF(J1170="OLEAF",PR!$AU1168,IF(J1170="OCULUS",PR!$AV1168,IF(J1170="PACIFIC",PR!$AW1168,IF(J1170="PHAMATEX",PR!$AX1168,IF(J1170="PETHICS",PR!$AY1168,IF(J1170="PHILIPS",PR!$AZ1168,IF(J1170="RANBAXY",PR!$BA1168,IF(J1170="REALS",PR!$BB1168,IF(J1170="ROYAL",PR!$BC1168,IF(J1170="SAM",PR!$BD1168,IF(J1170="SEAGREEN",PR!$BE1168,IF(J1170="SKG",PR!$BF1168,IF(J1170="TAH",PR!$BG1168,IF(J1170="TAYLEK",PR!$BH1168,IF(J1170="TEMITA",PR!$BI1168,IF(J1170="THL",PR!$BJ1168,IF(J1170="UBASTIC",PR!$BK1168,IF(J1170="UNION",PR!$BL1168,IF(J1170="UNIQUE",PR!$BM1168,IF(J1170="VIXA",PR!$BN1168,IF(J1170="WWCV",PR!$BO1168,IF(J1170="ZOLON",PR!$BP1168,"-"))))))))))))))))))))))))))))))))))))))))))))))))))))))))))))))))</f>
        <v>670</v>
      </c>
      <c r="J1170" s="102" t="str">
        <f>EV!N1483</f>
        <v>ROTECH</v>
      </c>
      <c r="K1170" s="433" t="s">
        <v>817</v>
      </c>
      <c r="L1170" s="183">
        <f>IF(K1170&gt;0,IF(K1170="ALPHA",PR!$E1168,IF(K1170="ASSENE",PR!$F1168,IF(K1170="BIOFEM",PR!$G1168,IF(K1170="BIOMED",PR!$H1168,IF(K1170="CHI",PR!$I1168,IF(K1170="CLARION",PR!$J1168,IF(K1170="CODIX",PR!$K1168,IF(K1170="COSMADE",PR!$L1168,IF(K1170="SANCON",PR!$M1168,IF(K1170="DEVON",PR!$N1168,IF(K1170="DORTEMAG",PR!$O1168,IF(K1170="DGF",PR!$P1168,IF(K1170="DYNAMIC",PR!$Q1168,IF(K1170="EMZOR",PR!$R1168,IF(K1170="EUMATT",PR!$S1168,IF(K1170="FIDSON",PR!$T1168,IF(K1170="FCGLOBAL",PR!$U1168,IF(K1170="GENEITH",PR!$V1168,IF(K1170="GINOS",PR!$W1168,IF(K1170="GSK",PR!$X1168,IF(K1170="GLOBORG",PR!$Y1168,IF(K1170="GOODNEWS",PR!$Z1168,IF(K1170="GREENLIFE",PR!$AA1168,IF(K1170="HLINE",PR!$AB1168,IF(K1170="ROTECH",PR!$AC1168,IF(K1170="ISN",PR!$AD1168,IF(K1170="JAWA",PR!$AE1168,IF(K1170="LAYO",PR!$AF1168,IF(K1170="LEADWAY",PR!$AG1168,IF(K1170="LHV",PR!$AH1168,IF(K1170="MANOLA",PR!$AI1168,IF(K1170="MARCSON",PR!$AJ1168,IF(K1170="M&amp;B",PR!$AK1168,IF(K1170="MTRUST",PR!$AL1168,IF(K1170="MWORLD",PR!$AM1168,IF(K1170="MEGA",PR!$AN1168,IF(K1170="MICRONOVA",PR!$AO1168,IF(K1170="MFLASH",PR!$AP1168,IF(K1170="MORISON",PR!$AQ1168,IF(K1170="NEMEL",PR!$AR1168,IF(K1170="NHP",PR!$AS1168,IF(K1170="NHC",PR!$AT1168,IF(K1170="OLEAF",PR!$AU1168,IF(K1170="OCULUS",PR!$AV1168,IF(K1170="PACIFIC",PR!$AW1168,IF(K1170="PHAMATEX",PR!$AX1168,IF(K1170="PETHICS",PR!$AY1168,IF(K1170="PHILIPS",PR!$AZ1168,IF(K1170="RANBAXY",PR!$BA1168,IF(K1170="REALS",PR!$BB1168,IF(K1170="ROYAL",PR!$BC1168,IF(K1170="SAM",PR!$BD1168,IF(K1170="SEAGREEN",PR!$BE1168,IF(K1170="SKG",PR!$BF1168,IF(K1170="TAH",PR!$BG1168,IF(K1170="TAYLEK",PR!$BH1168,IF(K1170="TEMITA",PR!$BI1168,IF(K1170="THL",PR!$BJ1168,IF(K1170="UBASTIC",PR!$BK1168,IF(K1170="UNION",PR!$BL1168,IF(K1170="UNIQUE",PR!$BM1168,IF(K1170="VIXA",PR!$BN1168,IF(K1170="WWCV",PR!$BO1168,IF(K1170="ZOLON",PR!$BP1168,"-")))))))))))))))))))))))))))))))))))))))))))))))))))))))))))))))))</f>
        <v>600</v>
      </c>
    </row>
    <row r="1171" spans="1:12" ht="18.75" x14ac:dyDescent="0.3">
      <c r="A1171" s="430">
        <f>PR!A1169</f>
        <v>1050</v>
      </c>
      <c r="B1171" s="15" t="str">
        <f>PR!B1169</f>
        <v>WIDAL KIT (CROMA TEST)</v>
      </c>
      <c r="C1171" s="113" t="str">
        <f>PR!D1169</f>
        <v>1 x 200 pcs</v>
      </c>
      <c r="D1171" s="113">
        <f>PR!C1169</f>
        <v>3</v>
      </c>
      <c r="E1171" s="108">
        <f>IF(F1171="ALPHA",PR!$E1169,IF(F1171="ASSENE",PR!$F1169,IF(F1171="BIOFEM",PR!$G1169,IF(F1171="BIOMED",PR!$H1169,IF(F1171="CHI",PR!$I1169,IF(F1171="CLARION",PR!$J1169,IF(F1171="CODIX",PR!$K1169,IF(F1171="COSMADE",PR!$L1169,IF(F1171="SANCON",PR!$M1169,IF(F1171="DEVON",PR!$N1169,IF(F1171="DORTEMAG",PR!$O1169,IF(F1171="DGF",PR!$P1169,IF(F1171="DYNAMIC",PR!$Q1169,IF(F1171="EMZOR",PR!$R1169,IF(F1171="EUMATT",PR!$S1169,IF(F1171="FIDSON",PR!$T1169,IF(F1171="FCGLOBAL",PR!$U1169,IF(F1171="GENEITH",PR!$V1169,IF(F1171="GINOS",PR!$W1169,IF(F1171="GSK",PR!$X1169,IF(F1171="GLOBORG",PR!$Y1169,IF(F1171="GOODNEWS",PR!$Z1169,IF(F1171="GREENLIFE",PR!$AA1169,IF(F1171="HLINE",PR!$AB1169,IF(F1171="ROTECH",PR!$AC1169,IF(F1171="ISN",PR!$AD1169,IF(F1171="JAWA",PR!$AE1169,IF(F1171="LAYO",PR!$AF1169,IF(F1171="LEADWAY",PR!$AG1169,IF(F1171="LHV",PR!$AH1169,IF(F1171="MANOLA",PR!$AI1169,IF(F1171="MARCSON",PR!$AJ1169,IF(F1171="M&amp;B",PR!$AK1169,IF(F1171="MTRUST",PR!$AL1169,IF(F1171="MWORLD",PR!$AM1169,IF(F1171="MEGA",PR!$AN1169,IF(F1171="MICRONOVA",PR!$AO1169,IF(F1171="MFLASH",PR!$AP1169,IF(F1171="MORISON",PR!$AQ1169,IF(F1171="NEMEL",PR!$AR1169,IF(F1171="NHP",PR!$AS1169,IF(F1171="NHC",PR!$AT1169,IF(F1171="OLEAF",PR!$AU1169,IF(F1171="OCULUS",PR!$AV1169,IF(F1171="PACIFIC",PR!$AW1169,IF(F1171="PHAMATEX",PR!$AX1169,IF(F1171="PETHICS",PR!$AY1169,IF(F1171="PHILIPS",PR!$AZ1169,IF(F1171="RANBAXY",PR!$BA1169,IF(F1171="REALS",PR!$BB1169,IF(F1171="ROYAL",PR!$BC1169,IF(F1171="SAM",PR!$BD1169,IF(F1171="SEAGREEN",PR!$BE1169,IF(F1171="SKG",PR!$BF1169,IF(F1171="TAH",PR!$BG1169,IF(F1171="TAYLEK",PR!$BH1169,IF(F1171="TEMITA",PR!$BI1169,IF(F1171="THL",PR!$BJ1169,IF(F1171="UBASTIC",PR!$BK1169,IF(F1171="UNION",PR!$BL1169,IF(F1171="UNIQUE",PR!$BM1169,IF(F1171="VIXA",PR!$BN1169,IF(F1171="WWCV",PR!$BO1169,IF(F1171="ZOLON",PR!$BP1169,"-"))))))))))))))))))))))))))))))))))))))))))))))))))))))))))))))))</f>
        <v>9520</v>
      </c>
      <c r="F1171" s="102" t="str">
        <f>EV!L1484</f>
        <v>ROTECH</v>
      </c>
      <c r="G1171" s="108">
        <f>IF(H1171="ALPHA",PR!$E1169,IF(H1171="ASSENE",PR!$F1169,IF(H1171="BIOFEM",PR!$G1169,IF(H1171="BIOMED",PR!$H1169,IF(H1171="CHI",PR!$I1169,IF(H1171="CLARION",PR!$J1169,IF(H1171="CODIX",PR!$K1169,IF(H1171="COSMADE",PR!$L1169,IF(H1171="SANCON",PR!$M1169,IF(H1171="DEVON",PR!$N1169,IF(H1171="DORTEMAG",PR!$O1169,IF(H1171="DGF",PR!$P1169,IF(H1171="DYNAMIC",PR!$Q1169,IF(H1171="EMZOR",PR!$R1169,IF(H1171="EUMATT",PR!$S1169,IF(H1171="FIDSON",PR!$T1169,IF(H1171="FCGLOBAL",PR!$U1169,IF(H1171="GENEITH",PR!$V1169,IF(H1171="GINOS",PR!$W1169,IF(H1171="GSK",PR!$X1169,IF(H1171="GLOBORG",PR!$Y1169,IF(H1171="GOODNEWS",PR!$Z1169,IF(H1171="GREENLIFE",PR!$AA1169,IF(H1171="HLINE",PR!$AB1169,IF(H1171="ROTECH",PR!$AC1169,IF(H1171="ISN",PR!$AD1169,IF(H1171="JAWA",PR!$AE1169,IF(H1171="LAYO",PR!$AF1169,IF(H1171="LEADWAY",PR!$AG1169,IF(H1171="LHV",PR!$AH1169,IF(H1171="MANOLA",PR!$AI1169,IF(H1171="MARCSON",PR!$AJ1169,IF(H1171="M&amp;B",PR!$AK1169,IF(H1171="MTRUST",PR!$AL1169,IF(H1171="MWORLD",PR!$AM1169,IF(H1171="MEGA",PR!$AN1169,IF(H1171="MICRONOVA",PR!$AO1169,IF(H1171="MFLASH",PR!$AP1169,IF(H1171="MORISON",PR!$AQ1169,IF(H1171="NEMEL",PR!$AR1169,IF(H1171="NHP",PR!$AS1169,IF(H1171="NHC",PR!$AT1169,IF(H1171="OLEAF",PR!$AU1169,IF(H1171="OCULUS",PR!$AV1169,IF(H1171="PACIFIC",PR!$AW1169,IF(H1171="PHAMATEX",PR!$AX1169,IF(H1171="PETHICS",PR!$AY1169,IF(H1171="PHILIPS",PR!$AZ1169,IF(H1171="RANBAXY",PR!$BA1169,IF(H1171="REALS",PR!$BB1169,IF(H1171="ROYAL",PR!$BC1169,IF(H1171="SAM",PR!$BD1169,IF(H1171="SEAGREEN",PR!$BE1169,IF(H1171="SKG",PR!$BF1169,IF(H1171="TAH",PR!$BG1169,IF(H1171="TAYLEK",PR!$BH1169,IF(H1171="TEMITA",PR!$BI1169,IF(H1171="THL",PR!$BJ1169,IF(H1171="UBASTIC",PR!$BK1169,IF(H1171="UNION",PR!$BL1169,IF(H1171="UNIQUE",PR!$BM1169,IF(H1171="VIXA",PR!$BN1169,IF(H1171="WWCV",PR!$BO1169,IF(H1171="ZOLON",PR!$BP1169,"-"))))))))))))))))))))))))))))))))))))))))))))))))))))))))))))))))</f>
        <v>10000</v>
      </c>
      <c r="H1171" s="102" t="str">
        <f>EV!M1484</f>
        <v>UBASTIC</v>
      </c>
      <c r="I1171" s="108">
        <f>IF(J1171="ALPHA",PR!$E1169,IF(J1171="ASSENE",PR!$F1169,IF(J1171="BIOFEM",PR!$G1169,IF(J1171="BIOMED",PR!$H1169,IF(J1171="CHI",PR!$I1169,IF(J1171="CLARION",PR!$J1169,IF(J1171="CODIX",PR!$K1169,IF(J1171="COSMADE",PR!$L1169,IF(J1171="SANCON",PR!$M1169,IF(J1171="DEVON",PR!$N1169,IF(J1171="DORTEMAG",PR!$O1169,IF(J1171="DGF",PR!$P1169,IF(J1171="DYNAMIC",PR!$Q1169,IF(J1171="EMZOR",PR!$R1169,IF(J1171="EUMATT",PR!$S1169,IF(J1171="FIDSON",PR!$T1169,IF(J1171="FCGLOBAL",PR!$U1169,IF(J1171="GENEITH",PR!$V1169,IF(J1171="GINOS",PR!$W1169,IF(J1171="GSK",PR!$X1169,IF(J1171="GLOBORG",PR!$Y1169,IF(J1171="GOODNEWS",PR!$Z1169,IF(J1171="GREENLIFE",PR!$AA1169,IF(J1171="HLINE",PR!$AB1169,IF(J1171="ROTECH",PR!$AC1169,IF(J1171="ISN",PR!$AD1169,IF(J1171="JAWA",PR!$AE1169,IF(J1171="LAYO",PR!$AF1169,IF(J1171="LEADWAY",PR!$AG1169,IF(J1171="LHV",PR!$AH1169,IF(J1171="MANOLA",PR!$AI1169,IF(J1171="MARCSON",PR!$AJ1169,IF(J1171="M&amp;B",PR!$AK1169,IF(J1171="MTRUST",PR!$AL1169,IF(J1171="MWORLD",PR!$AM1169,IF(J1171="MEGA",PR!$AN1169,IF(J1171="MICRONOVA",PR!$AO1169,IF(J1171="MFLASH",PR!$AP1169,IF(J1171="MORISON",PR!$AQ1169,IF(J1171="NEMEL",PR!$AR1169,IF(J1171="NHP",PR!$AS1169,IF(J1171="NHC",PR!$AT1169,IF(J1171="OLEAF",PR!$AU1169,IF(J1171="OCULUS",PR!$AV1169,IF(J1171="PACIFIC",PR!$AW1169,IF(J1171="PHAMATEX",PR!$AX1169,IF(J1171="PETHICS",PR!$AY1169,IF(J1171="PHILIPS",PR!$AZ1169,IF(J1171="RANBAXY",PR!$BA1169,IF(J1171="REALS",PR!$BB1169,IF(J1171="ROYAL",PR!$BC1169,IF(J1171="SAM",PR!$BD1169,IF(J1171="SEAGREEN",PR!$BE1169,IF(J1171="SKG",PR!$BF1169,IF(J1171="TAH",PR!$BG1169,IF(J1171="TAYLEK",PR!$BH1169,IF(J1171="TEMITA",PR!$BI1169,IF(J1171="THL",PR!$BJ1169,IF(J1171="UBASTIC",PR!$BK1169,IF(J1171="UNION",PR!$BL1169,IF(J1171="UNIQUE",PR!$BM1169,IF(J1171="VIXA",PR!$BN1169,IF(J1171="WWCV",PR!$BO1169,IF(J1171="ZOLON",PR!$BP1169,"-"))))))))))))))))))))))))))))))))))))))))))))))))))))))))))))))))</f>
        <v>10500</v>
      </c>
      <c r="J1171" s="102" t="str">
        <f>EV!N1484</f>
        <v>SANCON</v>
      </c>
      <c r="K1171" s="433" t="s">
        <v>1459</v>
      </c>
      <c r="L1171" s="183">
        <f>IF(K1171&gt;0,IF(K1171="ALPHA",PR!$E1169,IF(K1171="ASSENE",PR!$F1169,IF(K1171="BIOFEM",PR!$G1169,IF(K1171="BIOMED",PR!$H1169,IF(K1171="CHI",PR!$I1169,IF(K1171="CLARION",PR!$J1169,IF(K1171="CODIX",PR!$K1169,IF(K1171="COSMADE",PR!$L1169,IF(K1171="SANCON",PR!$M1169,IF(K1171="DEVON",PR!$N1169,IF(K1171="DORTEMAG",PR!$O1169,IF(K1171="DGF",PR!$P1169,IF(K1171="DYNAMIC",PR!$Q1169,IF(K1171="EMZOR",PR!$R1169,IF(K1171="EUMATT",PR!$S1169,IF(K1171="FIDSON",PR!$T1169,IF(K1171="FCGLOBAL",PR!$U1169,IF(K1171="GENEITH",PR!$V1169,IF(K1171="GINOS",PR!$W1169,IF(K1171="GSK",PR!$X1169,IF(K1171="GLOBORG",PR!$Y1169,IF(K1171="GOODNEWS",PR!$Z1169,IF(K1171="GREENLIFE",PR!$AA1169,IF(K1171="HLINE",PR!$AB1169,IF(K1171="ROTECH",PR!$AC1169,IF(K1171="ISN",PR!$AD1169,IF(K1171="JAWA",PR!$AE1169,IF(K1171="LAYO",PR!$AF1169,IF(K1171="LEADWAY",PR!$AG1169,IF(K1171="LHV",PR!$AH1169,IF(K1171="MANOLA",PR!$AI1169,IF(K1171="MARCSON",PR!$AJ1169,IF(K1171="M&amp;B",PR!$AK1169,IF(K1171="MTRUST",PR!$AL1169,IF(K1171="MWORLD",PR!$AM1169,IF(K1171="MEGA",PR!$AN1169,IF(K1171="MICRONOVA",PR!$AO1169,IF(K1171="MFLASH",PR!$AP1169,IF(K1171="MORISON",PR!$AQ1169,IF(K1171="NEMEL",PR!$AR1169,IF(K1171="NHP",PR!$AS1169,IF(K1171="NHC",PR!$AT1169,IF(K1171="OLEAF",PR!$AU1169,IF(K1171="OCULUS",PR!$AV1169,IF(K1171="PACIFIC",PR!$AW1169,IF(K1171="PHAMATEX",PR!$AX1169,IF(K1171="PETHICS",PR!$AY1169,IF(K1171="PHILIPS",PR!$AZ1169,IF(K1171="RANBAXY",PR!$BA1169,IF(K1171="REALS",PR!$BB1169,IF(K1171="ROYAL",PR!$BC1169,IF(K1171="SAM",PR!$BD1169,IF(K1171="SEAGREEN",PR!$BE1169,IF(K1171="SKG",PR!$BF1169,IF(K1171="TAH",PR!$BG1169,IF(K1171="TAYLEK",PR!$BH1169,IF(K1171="TEMITA",PR!$BI1169,IF(K1171="THL",PR!$BJ1169,IF(K1171="UBASTIC",PR!$BK1169,IF(K1171="UNION",PR!$BL1169,IF(K1171="UNIQUE",PR!$BM1169,IF(K1171="VIXA",PR!$BN1169,IF(K1171="WWCV",PR!$BO1169,IF(K1171="ZOLON",PR!$BP1169,"-")))))))))))))))))))))))))))))))))))))))))))))))))))))))))))))))))</f>
        <v>10000</v>
      </c>
    </row>
    <row r="1172" spans="1:12" ht="18.75" x14ac:dyDescent="0.3">
      <c r="A1172" s="430">
        <f>PR!A1170</f>
        <v>1051</v>
      </c>
      <c r="B1172" s="15" t="str">
        <f>PR!B1170</f>
        <v>GLASS SLIDES</v>
      </c>
      <c r="C1172" s="113" t="str">
        <f>PR!D1170</f>
        <v>-</v>
      </c>
      <c r="D1172" s="113">
        <f>PR!C1170</f>
        <v>24</v>
      </c>
      <c r="E1172" s="108">
        <f>IF(F1172="ALPHA",PR!$E1170,IF(F1172="ASSENE",PR!$F1170,IF(F1172="BIOFEM",PR!$G1170,IF(F1172="BIOMED",PR!$H1170,IF(F1172="CHI",PR!$I1170,IF(F1172="CLARION",PR!$J1170,IF(F1172="CODIX",PR!$K1170,IF(F1172="COSMADE",PR!$L1170,IF(F1172="SANCON",PR!$M1170,IF(F1172="DEVON",PR!$N1170,IF(F1172="DORTEMAG",PR!$O1170,IF(F1172="DGF",PR!$P1170,IF(F1172="DYNAMIC",PR!$Q1170,IF(F1172="EMZOR",PR!$R1170,IF(F1172="EUMATT",PR!$S1170,IF(F1172="FIDSON",PR!$T1170,IF(F1172="FCGLOBAL",PR!$U1170,IF(F1172="GENEITH",PR!$V1170,IF(F1172="GINOS",PR!$W1170,IF(F1172="GSK",PR!$X1170,IF(F1172="GLOBORG",PR!$Y1170,IF(F1172="GOODNEWS",PR!$Z1170,IF(F1172="GREENLIFE",PR!$AA1170,IF(F1172="HLINE",PR!$AB1170,IF(F1172="ROTECH",PR!$AC1170,IF(F1172="ISN",PR!$AD1170,IF(F1172="JAWA",PR!$AE1170,IF(F1172="LAYO",PR!$AF1170,IF(F1172="LEADWAY",PR!$AG1170,IF(F1172="LHV",PR!$AH1170,IF(F1172="MANOLA",PR!$AI1170,IF(F1172="MARCSON",PR!$AJ1170,IF(F1172="M&amp;B",PR!$AK1170,IF(F1172="MTRUST",PR!$AL1170,IF(F1172="MWORLD",PR!$AM1170,IF(F1172="MEGA",PR!$AN1170,IF(F1172="MICRONOVA",PR!$AO1170,IF(F1172="MFLASH",PR!$AP1170,IF(F1172="MORISON",PR!$AQ1170,IF(F1172="NEMEL",PR!$AR1170,IF(F1172="NHP",PR!$AS1170,IF(F1172="NHC",PR!$AT1170,IF(F1172="OLEAF",PR!$AU1170,IF(F1172="OCULUS",PR!$AV1170,IF(F1172="PACIFIC",PR!$AW1170,IF(F1172="PHAMATEX",PR!$AX1170,IF(F1172="PETHICS",PR!$AY1170,IF(F1172="PHILIPS",PR!$AZ1170,IF(F1172="RANBAXY",PR!$BA1170,IF(F1172="REALS",PR!$BB1170,IF(F1172="ROYAL",PR!$BC1170,IF(F1172="SAM",PR!$BD1170,IF(F1172="SEAGREEN",PR!$BE1170,IF(F1172="SKG",PR!$BF1170,IF(F1172="TAH",PR!$BG1170,IF(F1172="TAYLEK",PR!$BH1170,IF(F1172="TEMITA",PR!$BI1170,IF(F1172="THL",PR!$BJ1170,IF(F1172="UBASTIC",PR!$BK1170,IF(F1172="UNION",PR!$BL1170,IF(F1172="UNIQUE",PR!$BM1170,IF(F1172="VIXA",PR!$BN1170,IF(F1172="WWCV",PR!$BO1170,IF(F1172="ZOLON",PR!$BP1170,"-"))))))))))))))))))))))))))))))))))))))))))))))))))))))))))))))))</f>
        <v>380</v>
      </c>
      <c r="F1172" s="102" t="str">
        <f>EV!L1485</f>
        <v>SANCON</v>
      </c>
      <c r="G1172" s="108">
        <f>IF(H1172="ALPHA",PR!$E1170,IF(H1172="ASSENE",PR!$F1170,IF(H1172="BIOFEM",PR!$G1170,IF(H1172="BIOMED",PR!$H1170,IF(H1172="CHI",PR!$I1170,IF(H1172="CLARION",PR!$J1170,IF(H1172="CODIX",PR!$K1170,IF(H1172="COSMADE",PR!$L1170,IF(H1172="SANCON",PR!$M1170,IF(H1172="DEVON",PR!$N1170,IF(H1172="DORTEMAG",PR!$O1170,IF(H1172="DGF",PR!$P1170,IF(H1172="DYNAMIC",PR!$Q1170,IF(H1172="EMZOR",PR!$R1170,IF(H1172="EUMATT",PR!$S1170,IF(H1172="FIDSON",PR!$T1170,IF(H1172="FCGLOBAL",PR!$U1170,IF(H1172="GENEITH",PR!$V1170,IF(H1172="GINOS",PR!$W1170,IF(H1172="GSK",PR!$X1170,IF(H1172="GLOBORG",PR!$Y1170,IF(H1172="GOODNEWS",PR!$Z1170,IF(H1172="GREENLIFE",PR!$AA1170,IF(H1172="HLINE",PR!$AB1170,IF(H1172="ROTECH",PR!$AC1170,IF(H1172="ISN",PR!$AD1170,IF(H1172="JAWA",PR!$AE1170,IF(H1172="LAYO",PR!$AF1170,IF(H1172="LEADWAY",PR!$AG1170,IF(H1172="LHV",PR!$AH1170,IF(H1172="MANOLA",PR!$AI1170,IF(H1172="MARCSON",PR!$AJ1170,IF(H1172="M&amp;B",PR!$AK1170,IF(H1172="MTRUST",PR!$AL1170,IF(H1172="MWORLD",PR!$AM1170,IF(H1172="MEGA",PR!$AN1170,IF(H1172="MICRONOVA",PR!$AO1170,IF(H1172="MFLASH",PR!$AP1170,IF(H1172="MORISON",PR!$AQ1170,IF(H1172="NEMEL",PR!$AR1170,IF(H1172="NHP",PR!$AS1170,IF(H1172="NHC",PR!$AT1170,IF(H1172="OLEAF",PR!$AU1170,IF(H1172="OCULUS",PR!$AV1170,IF(H1172="PACIFIC",PR!$AW1170,IF(H1172="PHAMATEX",PR!$AX1170,IF(H1172="PETHICS",PR!$AY1170,IF(H1172="PHILIPS",PR!$AZ1170,IF(H1172="RANBAXY",PR!$BA1170,IF(H1172="REALS",PR!$BB1170,IF(H1172="ROYAL",PR!$BC1170,IF(H1172="SAM",PR!$BD1170,IF(H1172="SEAGREEN",PR!$BE1170,IF(H1172="SKG",PR!$BF1170,IF(H1172="TAH",PR!$BG1170,IF(H1172="TAYLEK",PR!$BH1170,IF(H1172="TEMITA",PR!$BI1170,IF(H1172="THL",PR!$BJ1170,IF(H1172="UBASTIC",PR!$BK1170,IF(H1172="UNION",PR!$BL1170,IF(H1172="UNIQUE",PR!$BM1170,IF(H1172="VIXA",PR!$BN1170,IF(H1172="WWCV",PR!$BO1170,IF(H1172="ZOLON",PR!$BP1170,"-"))))))))))))))))))))))))))))))))))))))))))))))))))))))))))))))))</f>
        <v>448</v>
      </c>
      <c r="H1172" s="102" t="str">
        <f>EV!M1485</f>
        <v>LAYO</v>
      </c>
      <c r="I1172" s="108">
        <f>IF(J1172="ALPHA",PR!$E1170,IF(J1172="ASSENE",PR!$F1170,IF(J1172="BIOFEM",PR!$G1170,IF(J1172="BIOMED",PR!$H1170,IF(J1172="CHI",PR!$I1170,IF(J1172="CLARION",PR!$J1170,IF(J1172="CODIX",PR!$K1170,IF(J1172="COSMADE",PR!$L1170,IF(J1172="SANCON",PR!$M1170,IF(J1172="DEVON",PR!$N1170,IF(J1172="DORTEMAG",PR!$O1170,IF(J1172="DGF",PR!$P1170,IF(J1172="DYNAMIC",PR!$Q1170,IF(J1172="EMZOR",PR!$R1170,IF(J1172="EUMATT",PR!$S1170,IF(J1172="FIDSON",PR!$T1170,IF(J1172="FCGLOBAL",PR!$U1170,IF(J1172="GENEITH",PR!$V1170,IF(J1172="GINOS",PR!$W1170,IF(J1172="GSK",PR!$X1170,IF(J1172="GLOBORG",PR!$Y1170,IF(J1172="GOODNEWS",PR!$Z1170,IF(J1172="GREENLIFE",PR!$AA1170,IF(J1172="HLINE",PR!$AB1170,IF(J1172="ROTECH",PR!$AC1170,IF(J1172="ISN",PR!$AD1170,IF(J1172="JAWA",PR!$AE1170,IF(J1172="LAYO",PR!$AF1170,IF(J1172="LEADWAY",PR!$AG1170,IF(J1172="LHV",PR!$AH1170,IF(J1172="MANOLA",PR!$AI1170,IF(J1172="MARCSON",PR!$AJ1170,IF(J1172="M&amp;B",PR!$AK1170,IF(J1172="MTRUST",PR!$AL1170,IF(J1172="MWORLD",PR!$AM1170,IF(J1172="MEGA",PR!$AN1170,IF(J1172="MICRONOVA",PR!$AO1170,IF(J1172="MFLASH",PR!$AP1170,IF(J1172="MORISON",PR!$AQ1170,IF(J1172="NEMEL",PR!$AR1170,IF(J1172="NHP",PR!$AS1170,IF(J1172="NHC",PR!$AT1170,IF(J1172="OLEAF",PR!$AU1170,IF(J1172="OCULUS",PR!$AV1170,IF(J1172="PACIFIC",PR!$AW1170,IF(J1172="PHAMATEX",PR!$AX1170,IF(J1172="PETHICS",PR!$AY1170,IF(J1172="PHILIPS",PR!$AZ1170,IF(J1172="RANBAXY",PR!$BA1170,IF(J1172="REALS",PR!$BB1170,IF(J1172="ROYAL",PR!$BC1170,IF(J1172="SAM",PR!$BD1170,IF(J1172="SEAGREEN",PR!$BE1170,IF(J1172="SKG",PR!$BF1170,IF(J1172="TAH",PR!$BG1170,IF(J1172="TAYLEK",PR!$BH1170,IF(J1172="TEMITA",PR!$BI1170,IF(J1172="THL",PR!$BJ1170,IF(J1172="UBASTIC",PR!$BK1170,IF(J1172="UNION",PR!$BL1170,IF(J1172="UNIQUE",PR!$BM1170,IF(J1172="VIXA",PR!$BN1170,IF(J1172="WWCV",PR!$BO1170,IF(J1172="ZOLON",PR!$BP1170,"-"))))))))))))))))))))))))))))))))))))))))))))))))))))))))))))))))</f>
        <v>500</v>
      </c>
      <c r="J1172" s="102" t="str">
        <f>EV!N1485</f>
        <v>TEMITA</v>
      </c>
      <c r="K1172" s="433" t="s">
        <v>817</v>
      </c>
      <c r="L1172" s="183">
        <f>IF(K1172&gt;0,IF(K1172="ALPHA",PR!$E1170,IF(K1172="ASSENE",PR!$F1170,IF(K1172="BIOFEM",PR!$G1170,IF(K1172="BIOMED",PR!$H1170,IF(K1172="CHI",PR!$I1170,IF(K1172="CLARION",PR!$J1170,IF(K1172="CODIX",PR!$K1170,IF(K1172="COSMADE",PR!$L1170,IF(K1172="SANCON",PR!$M1170,IF(K1172="DEVON",PR!$N1170,IF(K1172="DORTEMAG",PR!$O1170,IF(K1172="DGF",PR!$P1170,IF(K1172="DYNAMIC",PR!$Q1170,IF(K1172="EMZOR",PR!$R1170,IF(K1172="EUMATT",PR!$S1170,IF(K1172="FIDSON",PR!$T1170,IF(K1172="FCGLOBAL",PR!$U1170,IF(K1172="GENEITH",PR!$V1170,IF(K1172="GINOS",PR!$W1170,IF(K1172="GSK",PR!$X1170,IF(K1172="GLOBORG",PR!$Y1170,IF(K1172="GOODNEWS",PR!$Z1170,IF(K1172="GREENLIFE",PR!$AA1170,IF(K1172="HLINE",PR!$AB1170,IF(K1172="ROTECH",PR!$AC1170,IF(K1172="ISN",PR!$AD1170,IF(K1172="JAWA",PR!$AE1170,IF(K1172="LAYO",PR!$AF1170,IF(K1172="LEADWAY",PR!$AG1170,IF(K1172="LHV",PR!$AH1170,IF(K1172="MANOLA",PR!$AI1170,IF(K1172="MARCSON",PR!$AJ1170,IF(K1172="M&amp;B",PR!$AK1170,IF(K1172="MTRUST",PR!$AL1170,IF(K1172="MWORLD",PR!$AM1170,IF(K1172="MEGA",PR!$AN1170,IF(K1172="MICRONOVA",PR!$AO1170,IF(K1172="MFLASH",PR!$AP1170,IF(K1172="MORISON",PR!$AQ1170,IF(K1172="NEMEL",PR!$AR1170,IF(K1172="NHP",PR!$AS1170,IF(K1172="NHC",PR!$AT1170,IF(K1172="OLEAF",PR!$AU1170,IF(K1172="OCULUS",PR!$AV1170,IF(K1172="PACIFIC",PR!$AW1170,IF(K1172="PHAMATEX",PR!$AX1170,IF(K1172="PETHICS",PR!$AY1170,IF(K1172="PHILIPS",PR!$AZ1170,IF(K1172="RANBAXY",PR!$BA1170,IF(K1172="REALS",PR!$BB1170,IF(K1172="ROYAL",PR!$BC1170,IF(K1172="SAM",PR!$BD1170,IF(K1172="SEAGREEN",PR!$BE1170,IF(K1172="SKG",PR!$BF1170,IF(K1172="TAH",PR!$BG1170,IF(K1172="TAYLEK",PR!$BH1170,IF(K1172="TEMITA",PR!$BI1170,IF(K1172="THL",PR!$BJ1170,IF(K1172="UBASTIC",PR!$BK1170,IF(K1172="UNION",PR!$BL1170,IF(K1172="UNIQUE",PR!$BM1170,IF(K1172="VIXA",PR!$BN1170,IF(K1172="WWCV",PR!$BO1170,IF(K1172="ZOLON",PR!$BP1170,"-")))))))))))))))))))))))))))))))))))))))))))))))))))))))))))))))))</f>
        <v>380</v>
      </c>
    </row>
    <row r="1173" spans="1:12" ht="18.75" x14ac:dyDescent="0.3">
      <c r="A1173" s="430">
        <f>PR!A1171</f>
        <v>1052</v>
      </c>
      <c r="B1173" s="15" t="str">
        <f>PR!B1171</f>
        <v>LIQUID SOAP</v>
      </c>
      <c r="C1173" s="113" t="str">
        <f>PR!D1171</f>
        <v>-</v>
      </c>
      <c r="D1173" s="113">
        <f>PR!C1171</f>
        <v>24</v>
      </c>
      <c r="E1173" s="108">
        <f>IF(F1173="ALPHA",PR!$E1171,IF(F1173="ASSENE",PR!$F1171,IF(F1173="BIOFEM",PR!$G1171,IF(F1173="BIOMED",PR!$H1171,IF(F1173="CHI",PR!$I1171,IF(F1173="CLARION",PR!$J1171,IF(F1173="CODIX",PR!$K1171,IF(F1173="COSMADE",PR!$L1171,IF(F1173="SANCON",PR!$M1171,IF(F1173="DEVON",PR!$N1171,IF(F1173="DORTEMAG",PR!$O1171,IF(F1173="DGF",PR!$P1171,IF(F1173="DYNAMIC",PR!$Q1171,IF(F1173="EMZOR",PR!$R1171,IF(F1173="EUMATT",PR!$S1171,IF(F1173="FIDSON",PR!$T1171,IF(F1173="FCGLOBAL",PR!$U1171,IF(F1173="GENEITH",PR!$V1171,IF(F1173="GINOS",PR!$W1171,IF(F1173="GSK",PR!$X1171,IF(F1173="GLOBORG",PR!$Y1171,IF(F1173="GOODNEWS",PR!$Z1171,IF(F1173="GREENLIFE",PR!$AA1171,IF(F1173="HLINE",PR!$AB1171,IF(F1173="ROTECH",PR!$AC1171,IF(F1173="ISN",PR!$AD1171,IF(F1173="JAWA",PR!$AE1171,IF(F1173="LAYO",PR!$AF1171,IF(F1173="LEADWAY",PR!$AG1171,IF(F1173="LHV",PR!$AH1171,IF(F1173="MANOLA",PR!$AI1171,IF(F1173="MARCSON",PR!$AJ1171,IF(F1173="M&amp;B",PR!$AK1171,IF(F1173="MTRUST",PR!$AL1171,IF(F1173="MWORLD",PR!$AM1171,IF(F1173="MEGA",PR!$AN1171,IF(F1173="MICRONOVA",PR!$AO1171,IF(F1173="MFLASH",PR!$AP1171,IF(F1173="MORISON",PR!$AQ1171,IF(F1173="NEMEL",PR!$AR1171,IF(F1173="NHP",PR!$AS1171,IF(F1173="NHC",PR!$AT1171,IF(F1173="OLEAF",PR!$AU1171,IF(F1173="OCULUS",PR!$AV1171,IF(F1173="PACIFIC",PR!$AW1171,IF(F1173="PHAMATEX",PR!$AX1171,IF(F1173="PETHICS",PR!$AY1171,IF(F1173="PHILIPS",PR!$AZ1171,IF(F1173="RANBAXY",PR!$BA1171,IF(F1173="REALS",PR!$BB1171,IF(F1173="ROYAL",PR!$BC1171,IF(F1173="SAM",PR!$BD1171,IF(F1173="SEAGREEN",PR!$BE1171,IF(F1173="SKG",PR!$BF1171,IF(F1173="TAH",PR!$BG1171,IF(F1173="TAYLEK",PR!$BH1171,IF(F1173="TEMITA",PR!$BI1171,IF(F1173="THL",PR!$BJ1171,IF(F1173="UBASTIC",PR!$BK1171,IF(F1173="UNION",PR!$BL1171,IF(F1173="UNIQUE",PR!$BM1171,IF(F1173="VIXA",PR!$BN1171,IF(F1173="WWCV",PR!$BO1171,IF(F1173="ZOLON",PR!$BP1171,"-"))))))))))))))))))))))))))))))))))))))))))))))))))))))))))))))))</f>
        <v>350</v>
      </c>
      <c r="F1173" s="102" t="str">
        <f>EV!L1486</f>
        <v>TEMITA</v>
      </c>
      <c r="G1173" s="108">
        <f>IF(H1173="ALPHA",PR!$E1171,IF(H1173="ASSENE",PR!$F1171,IF(H1173="BIOFEM",PR!$G1171,IF(H1173="BIOMED",PR!$H1171,IF(H1173="CHI",PR!$I1171,IF(H1173="CLARION",PR!$J1171,IF(H1173="CODIX",PR!$K1171,IF(H1173="COSMADE",PR!$L1171,IF(H1173="SANCON",PR!$M1171,IF(H1173="DEVON",PR!$N1171,IF(H1173="DORTEMAG",PR!$O1171,IF(H1173="DGF",PR!$P1171,IF(H1173="DYNAMIC",PR!$Q1171,IF(H1173="EMZOR",PR!$R1171,IF(H1173="EUMATT",PR!$S1171,IF(H1173="FIDSON",PR!$T1171,IF(H1173="FCGLOBAL",PR!$U1171,IF(H1173="GENEITH",PR!$V1171,IF(H1173="GINOS",PR!$W1171,IF(H1173="GSK",PR!$X1171,IF(H1173="GLOBORG",PR!$Y1171,IF(H1173="GOODNEWS",PR!$Z1171,IF(H1173="GREENLIFE",PR!$AA1171,IF(H1173="HLINE",PR!$AB1171,IF(H1173="ROTECH",PR!$AC1171,IF(H1173="ISN",PR!$AD1171,IF(H1173="JAWA",PR!$AE1171,IF(H1173="LAYO",PR!$AF1171,IF(H1173="LEADWAY",PR!$AG1171,IF(H1173="LHV",PR!$AH1171,IF(H1173="MANOLA",PR!$AI1171,IF(H1173="MARCSON",PR!$AJ1171,IF(H1173="M&amp;B",PR!$AK1171,IF(H1173="MTRUST",PR!$AL1171,IF(H1173="MWORLD",PR!$AM1171,IF(H1173="MEGA",PR!$AN1171,IF(H1173="MICRONOVA",PR!$AO1171,IF(H1173="MFLASH",PR!$AP1171,IF(H1173="MORISON",PR!$AQ1171,IF(H1173="NEMEL",PR!$AR1171,IF(H1173="NHP",PR!$AS1171,IF(H1173="NHC",PR!$AT1171,IF(H1173="OLEAF",PR!$AU1171,IF(H1173="OCULUS",PR!$AV1171,IF(H1173="PACIFIC",PR!$AW1171,IF(H1173="PHAMATEX",PR!$AX1171,IF(H1173="PETHICS",PR!$AY1171,IF(H1173="PHILIPS",PR!$AZ1171,IF(H1173="RANBAXY",PR!$BA1171,IF(H1173="REALS",PR!$BB1171,IF(H1173="ROYAL",PR!$BC1171,IF(H1173="SAM",PR!$BD1171,IF(H1173="SEAGREEN",PR!$BE1171,IF(H1173="SKG",PR!$BF1171,IF(H1173="TAH",PR!$BG1171,IF(H1173="TAYLEK",PR!$BH1171,IF(H1173="TEMITA",PR!$BI1171,IF(H1173="THL",PR!$BJ1171,IF(H1173="UBASTIC",PR!$BK1171,IF(H1173="UNION",PR!$BL1171,IF(H1173="UNIQUE",PR!$BM1171,IF(H1173="VIXA",PR!$BN1171,IF(H1173="WWCV",PR!$BO1171,IF(H1173="ZOLON",PR!$BP1171,"-"))))))))))))))))))))))))))))))))))))))))))))))))))))))))))))))))</f>
        <v>468.75</v>
      </c>
      <c r="H1173" s="102" t="str">
        <f>EV!M1486</f>
        <v>DYNAMIC</v>
      </c>
      <c r="I1173" s="108">
        <f>IF(J1173="ALPHA",PR!$E1171,IF(J1173="ASSENE",PR!$F1171,IF(J1173="BIOFEM",PR!$G1171,IF(J1173="BIOMED",PR!$H1171,IF(J1173="CHI",PR!$I1171,IF(J1173="CLARION",PR!$J1171,IF(J1173="CODIX",PR!$K1171,IF(J1173="COSMADE",PR!$L1171,IF(J1173="SANCON",PR!$M1171,IF(J1173="DEVON",PR!$N1171,IF(J1173="DORTEMAG",PR!$O1171,IF(J1173="DGF",PR!$P1171,IF(J1173="DYNAMIC",PR!$Q1171,IF(J1173="EMZOR",PR!$R1171,IF(J1173="EUMATT",PR!$S1171,IF(J1173="FIDSON",PR!$T1171,IF(J1173="FCGLOBAL",PR!$U1171,IF(J1173="GENEITH",PR!$V1171,IF(J1173="GINOS",PR!$W1171,IF(J1173="GSK",PR!$X1171,IF(J1173="GLOBORG",PR!$Y1171,IF(J1173="GOODNEWS",PR!$Z1171,IF(J1173="GREENLIFE",PR!$AA1171,IF(J1173="HLINE",PR!$AB1171,IF(J1173="ROTECH",PR!$AC1171,IF(J1173="ISN",PR!$AD1171,IF(J1173="JAWA",PR!$AE1171,IF(J1173="LAYO",PR!$AF1171,IF(J1173="LEADWAY",PR!$AG1171,IF(J1173="LHV",PR!$AH1171,IF(J1173="MANOLA",PR!$AI1171,IF(J1173="MARCSON",PR!$AJ1171,IF(J1173="M&amp;B",PR!$AK1171,IF(J1173="MTRUST",PR!$AL1171,IF(J1173="MWORLD",PR!$AM1171,IF(J1173="MEGA",PR!$AN1171,IF(J1173="MICRONOVA",PR!$AO1171,IF(J1173="MFLASH",PR!$AP1171,IF(J1173="MORISON",PR!$AQ1171,IF(J1173="NEMEL",PR!$AR1171,IF(J1173="NHP",PR!$AS1171,IF(J1173="NHC",PR!$AT1171,IF(J1173="OLEAF",PR!$AU1171,IF(J1173="OCULUS",PR!$AV1171,IF(J1173="PACIFIC",PR!$AW1171,IF(J1173="PHAMATEX",PR!$AX1171,IF(J1173="PETHICS",PR!$AY1171,IF(J1173="PHILIPS",PR!$AZ1171,IF(J1173="RANBAXY",PR!$BA1171,IF(J1173="REALS",PR!$BB1171,IF(J1173="ROYAL",PR!$BC1171,IF(J1173="SAM",PR!$BD1171,IF(J1173="SEAGREEN",PR!$BE1171,IF(J1173="SKG",PR!$BF1171,IF(J1173="TAH",PR!$BG1171,IF(J1173="TAYLEK",PR!$BH1171,IF(J1173="TEMITA",PR!$BI1171,IF(J1173="THL",PR!$BJ1171,IF(J1173="UBASTIC",PR!$BK1171,IF(J1173="UNION",PR!$BL1171,IF(J1173="UNIQUE",PR!$BM1171,IF(J1173="VIXA",PR!$BN1171,IF(J1173="WWCV",PR!$BO1171,IF(J1173="ZOLON",PR!$BP1171,"-"))))))))))))))))))))))))))))))))))))))))))))))))))))))))))))))))</f>
        <v>480</v>
      </c>
      <c r="J1173" s="102" t="str">
        <f>EV!N1486</f>
        <v>SANCON</v>
      </c>
      <c r="K1173" s="433" t="s">
        <v>1463</v>
      </c>
      <c r="L1173" s="183">
        <f>IF(K1173&gt;0,IF(K1173="ALPHA",PR!$E1171,IF(K1173="ASSENE",PR!$F1171,IF(K1173="BIOFEM",PR!$G1171,IF(K1173="BIOMED",PR!$H1171,IF(K1173="CHI",PR!$I1171,IF(K1173="CLARION",PR!$J1171,IF(K1173="CODIX",PR!$K1171,IF(K1173="COSMADE",PR!$L1171,IF(K1173="SANCON",PR!$M1171,IF(K1173="DEVON",PR!$N1171,IF(K1173="DORTEMAG",PR!$O1171,IF(K1173="DGF",PR!$P1171,IF(K1173="DYNAMIC",PR!$Q1171,IF(K1173="EMZOR",PR!$R1171,IF(K1173="EUMATT",PR!$S1171,IF(K1173="FIDSON",PR!$T1171,IF(K1173="FCGLOBAL",PR!$U1171,IF(K1173="GENEITH",PR!$V1171,IF(K1173="GINOS",PR!$W1171,IF(K1173="GSK",PR!$X1171,IF(K1173="GLOBORG",PR!$Y1171,IF(K1173="GOODNEWS",PR!$Z1171,IF(K1173="GREENLIFE",PR!$AA1171,IF(K1173="HLINE",PR!$AB1171,IF(K1173="ROTECH",PR!$AC1171,IF(K1173="ISN",PR!$AD1171,IF(K1173="JAWA",PR!$AE1171,IF(K1173="LAYO",PR!$AF1171,IF(K1173="LEADWAY",PR!$AG1171,IF(K1173="LHV",PR!$AH1171,IF(K1173="MANOLA",PR!$AI1171,IF(K1173="MARCSON",PR!$AJ1171,IF(K1173="M&amp;B",PR!$AK1171,IF(K1173="MTRUST",PR!$AL1171,IF(K1173="MWORLD",PR!$AM1171,IF(K1173="MEGA",PR!$AN1171,IF(K1173="MICRONOVA",PR!$AO1171,IF(K1173="MFLASH",PR!$AP1171,IF(K1173="MORISON",PR!$AQ1171,IF(K1173="NEMEL",PR!$AR1171,IF(K1173="NHP",PR!$AS1171,IF(K1173="NHC",PR!$AT1171,IF(K1173="OLEAF",PR!$AU1171,IF(K1173="OCULUS",PR!$AV1171,IF(K1173="PACIFIC",PR!$AW1171,IF(K1173="PHAMATEX",PR!$AX1171,IF(K1173="PETHICS",PR!$AY1171,IF(K1173="PHILIPS",PR!$AZ1171,IF(K1173="RANBAXY",PR!$BA1171,IF(K1173="REALS",PR!$BB1171,IF(K1173="ROYAL",PR!$BC1171,IF(K1173="SAM",PR!$BD1171,IF(K1173="SEAGREEN",PR!$BE1171,IF(K1173="SKG",PR!$BF1171,IF(K1173="TAH",PR!$BG1171,IF(K1173="TAYLEK",PR!$BH1171,IF(K1173="TEMITA",PR!$BI1171,IF(K1173="THL",PR!$BJ1171,IF(K1173="UBASTIC",PR!$BK1171,IF(K1173="UNION",PR!$BL1171,IF(K1173="UNIQUE",PR!$BM1171,IF(K1173="VIXA",PR!$BN1171,IF(K1173="WWCV",PR!$BO1171,IF(K1173="ZOLON",PR!$BP1171,"-")))))))))))))))))))))))))))))))))))))))))))))))))))))))))))))))))</f>
        <v>350</v>
      </c>
    </row>
    <row r="1174" spans="1:12" ht="18.75" x14ac:dyDescent="0.3">
      <c r="A1174" s="430">
        <f>PR!A1172</f>
        <v>1053</v>
      </c>
      <c r="B1174" s="15" t="str">
        <f>PR!B1172</f>
        <v>EDTA VACUTAINER BOTTLE (MICROPOINT)</v>
      </c>
      <c r="C1174" s="113" t="str">
        <f>PR!D1172</f>
        <v>1 x 1000 pcs</v>
      </c>
      <c r="D1174" s="113">
        <f>PR!C1172</f>
        <v>3</v>
      </c>
      <c r="E1174" s="108">
        <f>IF(F1174="ALPHA",PR!$E1172,IF(F1174="ASSENE",PR!$F1172,IF(F1174="BIOFEM",PR!$G1172,IF(F1174="BIOMED",PR!$H1172,IF(F1174="CHI",PR!$I1172,IF(F1174="CLARION",PR!$J1172,IF(F1174="CODIX",PR!$K1172,IF(F1174="COSMADE",PR!$L1172,IF(F1174="SANCON",PR!$M1172,IF(F1174="DEVON",PR!$N1172,IF(F1174="DORTEMAG",PR!$O1172,IF(F1174="DGF",PR!$P1172,IF(F1174="DYNAMIC",PR!$Q1172,IF(F1174="EMZOR",PR!$R1172,IF(F1174="EUMATT",PR!$S1172,IF(F1174="FIDSON",PR!$T1172,IF(F1174="FCGLOBAL",PR!$U1172,IF(F1174="GENEITH",PR!$V1172,IF(F1174="GINOS",PR!$W1172,IF(F1174="GSK",PR!$X1172,IF(F1174="GLOBORG",PR!$Y1172,IF(F1174="GOODNEWS",PR!$Z1172,IF(F1174="GREENLIFE",PR!$AA1172,IF(F1174="HLINE",PR!$AB1172,IF(F1174="ROTECH",PR!$AC1172,IF(F1174="ISN",PR!$AD1172,IF(F1174="JAWA",PR!$AE1172,IF(F1174="LAYO",PR!$AF1172,IF(F1174="LEADWAY",PR!$AG1172,IF(F1174="LHV",PR!$AH1172,IF(F1174="MANOLA",PR!$AI1172,IF(F1174="MARCSON",PR!$AJ1172,IF(F1174="M&amp;B",PR!$AK1172,IF(F1174="MTRUST",PR!$AL1172,IF(F1174="MWORLD",PR!$AM1172,IF(F1174="MEGA",PR!$AN1172,IF(F1174="MICRONOVA",PR!$AO1172,IF(F1174="MFLASH",PR!$AP1172,IF(F1174="MORISON",PR!$AQ1172,IF(F1174="NEMEL",PR!$AR1172,IF(F1174="NHP",PR!$AS1172,IF(F1174="NHC",PR!$AT1172,IF(F1174="OLEAF",PR!$AU1172,IF(F1174="OCULUS",PR!$AV1172,IF(F1174="PACIFIC",PR!$AW1172,IF(F1174="PHAMATEX",PR!$AX1172,IF(F1174="PETHICS",PR!$AY1172,IF(F1174="PHILIPS",PR!$AZ1172,IF(F1174="RANBAXY",PR!$BA1172,IF(F1174="REALS",PR!$BB1172,IF(F1174="ROYAL",PR!$BC1172,IF(F1174="SAM",PR!$BD1172,IF(F1174="SEAGREEN",PR!$BE1172,IF(F1174="SKG",PR!$BF1172,IF(F1174="TAH",PR!$BG1172,IF(F1174="TAYLEK",PR!$BH1172,IF(F1174="TEMITA",PR!$BI1172,IF(F1174="THL",PR!$BJ1172,IF(F1174="UBASTIC",PR!$BK1172,IF(F1174="UNION",PR!$BL1172,IF(F1174="UNIQUE",PR!$BM1172,IF(F1174="VIXA",PR!$BN1172,IF(F1174="WWCV",PR!$BO1172,IF(F1174="ZOLON",PR!$BP1172,"-"))))))))))))))))))))))))))))))))))))))))))))))))))))))))))))))))</f>
        <v>16800</v>
      </c>
      <c r="F1174" s="102" t="str">
        <f>EV!L1487</f>
        <v>ROTECH</v>
      </c>
      <c r="G1174" s="108">
        <f>IF(H1174="ALPHA",PR!$E1172,IF(H1174="ASSENE",PR!$F1172,IF(H1174="BIOFEM",PR!$G1172,IF(H1174="BIOMED",PR!$H1172,IF(H1174="CHI",PR!$I1172,IF(H1174="CLARION",PR!$J1172,IF(H1174="CODIX",PR!$K1172,IF(H1174="COSMADE",PR!$L1172,IF(H1174="SANCON",PR!$M1172,IF(H1174="DEVON",PR!$N1172,IF(H1174="DORTEMAG",PR!$O1172,IF(H1174="DGF",PR!$P1172,IF(H1174="DYNAMIC",PR!$Q1172,IF(H1174="EMZOR",PR!$R1172,IF(H1174="EUMATT",PR!$S1172,IF(H1174="FIDSON",PR!$T1172,IF(H1174="FCGLOBAL",PR!$U1172,IF(H1174="GENEITH",PR!$V1172,IF(H1174="GINOS",PR!$W1172,IF(H1174="GSK",PR!$X1172,IF(H1174="GLOBORG",PR!$Y1172,IF(H1174="GOODNEWS",PR!$Z1172,IF(H1174="GREENLIFE",PR!$AA1172,IF(H1174="HLINE",PR!$AB1172,IF(H1174="ROTECH",PR!$AC1172,IF(H1174="ISN",PR!$AD1172,IF(H1174="JAWA",PR!$AE1172,IF(H1174="LAYO",PR!$AF1172,IF(H1174="LEADWAY",PR!$AG1172,IF(H1174="LHV",PR!$AH1172,IF(H1174="MANOLA",PR!$AI1172,IF(H1174="MARCSON",PR!$AJ1172,IF(H1174="M&amp;B",PR!$AK1172,IF(H1174="MTRUST",PR!$AL1172,IF(H1174="MWORLD",PR!$AM1172,IF(H1174="MEGA",PR!$AN1172,IF(H1174="MICRONOVA",PR!$AO1172,IF(H1174="MFLASH",PR!$AP1172,IF(H1174="MORISON",PR!$AQ1172,IF(H1174="NEMEL",PR!$AR1172,IF(H1174="NHP",PR!$AS1172,IF(H1174="NHC",PR!$AT1172,IF(H1174="OLEAF",PR!$AU1172,IF(H1174="OCULUS",PR!$AV1172,IF(H1174="PACIFIC",PR!$AW1172,IF(H1174="PHAMATEX",PR!$AX1172,IF(H1174="PETHICS",PR!$AY1172,IF(H1174="PHILIPS",PR!$AZ1172,IF(H1174="RANBAXY",PR!$BA1172,IF(H1174="REALS",PR!$BB1172,IF(H1174="ROYAL",PR!$BC1172,IF(H1174="SAM",PR!$BD1172,IF(H1174="SEAGREEN",PR!$BE1172,IF(H1174="SKG",PR!$BF1172,IF(H1174="TAH",PR!$BG1172,IF(H1174="TAYLEK",PR!$BH1172,IF(H1174="TEMITA",PR!$BI1172,IF(H1174="THL",PR!$BJ1172,IF(H1174="UBASTIC",PR!$BK1172,IF(H1174="UNION",PR!$BL1172,IF(H1174="UNIQUE",PR!$BM1172,IF(H1174="VIXA",PR!$BN1172,IF(H1174="WWCV",PR!$BO1172,IF(H1174="ZOLON",PR!$BP1172,"-"))))))))))))))))))))))))))))))))))))))))))))))))))))))))))))))))</f>
        <v>18000</v>
      </c>
      <c r="H1174" s="102" t="str">
        <f>EV!M1487</f>
        <v>SANCON</v>
      </c>
      <c r="I1174" s="108">
        <f>IF(J1174="ALPHA",PR!$E1172,IF(J1174="ASSENE",PR!$F1172,IF(J1174="BIOFEM",PR!$G1172,IF(J1174="BIOMED",PR!$H1172,IF(J1174="CHI",PR!$I1172,IF(J1174="CLARION",PR!$J1172,IF(J1174="CODIX",PR!$K1172,IF(J1174="COSMADE",PR!$L1172,IF(J1174="SANCON",PR!$M1172,IF(J1174="DEVON",PR!$N1172,IF(J1174="DORTEMAG",PR!$O1172,IF(J1174="DGF",PR!$P1172,IF(J1174="DYNAMIC",PR!$Q1172,IF(J1174="EMZOR",PR!$R1172,IF(J1174="EUMATT",PR!$S1172,IF(J1174="FIDSON",PR!$T1172,IF(J1174="FCGLOBAL",PR!$U1172,IF(J1174="GENEITH",PR!$V1172,IF(J1174="GINOS",PR!$W1172,IF(J1174="GSK",PR!$X1172,IF(J1174="GLOBORG",PR!$Y1172,IF(J1174="GOODNEWS",PR!$Z1172,IF(J1174="GREENLIFE",PR!$AA1172,IF(J1174="HLINE",PR!$AB1172,IF(J1174="ROTECH",PR!$AC1172,IF(J1174="ISN",PR!$AD1172,IF(J1174="JAWA",PR!$AE1172,IF(J1174="LAYO",PR!$AF1172,IF(J1174="LEADWAY",PR!$AG1172,IF(J1174="LHV",PR!$AH1172,IF(J1174="MANOLA",PR!$AI1172,IF(J1174="MARCSON",PR!$AJ1172,IF(J1174="M&amp;B",PR!$AK1172,IF(J1174="MTRUST",PR!$AL1172,IF(J1174="MWORLD",PR!$AM1172,IF(J1174="MEGA",PR!$AN1172,IF(J1174="MICRONOVA",PR!$AO1172,IF(J1174="MFLASH",PR!$AP1172,IF(J1174="MORISON",PR!$AQ1172,IF(J1174="NEMEL",PR!$AR1172,IF(J1174="NHP",PR!$AS1172,IF(J1174="NHC",PR!$AT1172,IF(J1174="OLEAF",PR!$AU1172,IF(J1174="OCULUS",PR!$AV1172,IF(J1174="PACIFIC",PR!$AW1172,IF(J1174="PHAMATEX",PR!$AX1172,IF(J1174="PETHICS",PR!$AY1172,IF(J1174="PHILIPS",PR!$AZ1172,IF(J1174="RANBAXY",PR!$BA1172,IF(J1174="REALS",PR!$BB1172,IF(J1174="ROYAL",PR!$BC1172,IF(J1174="SAM",PR!$BD1172,IF(J1174="SEAGREEN",PR!$BE1172,IF(J1174="SKG",PR!$BF1172,IF(J1174="TAH",PR!$BG1172,IF(J1174="TAYLEK",PR!$BH1172,IF(J1174="TEMITA",PR!$BI1172,IF(J1174="THL",PR!$BJ1172,IF(J1174="UBASTIC",PR!$BK1172,IF(J1174="UNION",PR!$BL1172,IF(J1174="UNIQUE",PR!$BM1172,IF(J1174="VIXA",PR!$BN1172,IF(J1174="WWCV",PR!$BO1172,IF(J1174="ZOLON",PR!$BP1172,"-"))))))))))))))))))))))))))))))))))))))))))))))))))))))))))))))))</f>
        <v>19500</v>
      </c>
      <c r="J1174" s="102" t="str">
        <f>EV!N1487</f>
        <v>TEMITA</v>
      </c>
      <c r="K1174" s="433" t="s">
        <v>817</v>
      </c>
      <c r="L1174" s="183">
        <f>IF(K1174&gt;0,IF(K1174="ALPHA",PR!$E1172,IF(K1174="ASSENE",PR!$F1172,IF(K1174="BIOFEM",PR!$G1172,IF(K1174="BIOMED",PR!$H1172,IF(K1174="CHI",PR!$I1172,IF(K1174="CLARION",PR!$J1172,IF(K1174="CODIX",PR!$K1172,IF(K1174="COSMADE",PR!$L1172,IF(K1174="SANCON",PR!$M1172,IF(K1174="DEVON",PR!$N1172,IF(K1174="DORTEMAG",PR!$O1172,IF(K1174="DGF",PR!$P1172,IF(K1174="DYNAMIC",PR!$Q1172,IF(K1174="EMZOR",PR!$R1172,IF(K1174="EUMATT",PR!$S1172,IF(K1174="FIDSON",PR!$T1172,IF(K1174="FCGLOBAL",PR!$U1172,IF(K1174="GENEITH",PR!$V1172,IF(K1174="GINOS",PR!$W1172,IF(K1174="GSK",PR!$X1172,IF(K1174="GLOBORG",PR!$Y1172,IF(K1174="GOODNEWS",PR!$Z1172,IF(K1174="GREENLIFE",PR!$AA1172,IF(K1174="HLINE",PR!$AB1172,IF(K1174="ROTECH",PR!$AC1172,IF(K1174="ISN",PR!$AD1172,IF(K1174="JAWA",PR!$AE1172,IF(K1174="LAYO",PR!$AF1172,IF(K1174="LEADWAY",PR!$AG1172,IF(K1174="LHV",PR!$AH1172,IF(K1174="MANOLA",PR!$AI1172,IF(K1174="MARCSON",PR!$AJ1172,IF(K1174="M&amp;B",PR!$AK1172,IF(K1174="MTRUST",PR!$AL1172,IF(K1174="MWORLD",PR!$AM1172,IF(K1174="MEGA",PR!$AN1172,IF(K1174="MICRONOVA",PR!$AO1172,IF(K1174="MFLASH",PR!$AP1172,IF(K1174="MORISON",PR!$AQ1172,IF(K1174="NEMEL",PR!$AR1172,IF(K1174="NHP",PR!$AS1172,IF(K1174="NHC",PR!$AT1172,IF(K1174="OLEAF",PR!$AU1172,IF(K1174="OCULUS",PR!$AV1172,IF(K1174="PACIFIC",PR!$AW1172,IF(K1174="PHAMATEX",PR!$AX1172,IF(K1174="PETHICS",PR!$AY1172,IF(K1174="PHILIPS",PR!$AZ1172,IF(K1174="RANBAXY",PR!$BA1172,IF(K1174="REALS",PR!$BB1172,IF(K1174="ROYAL",PR!$BC1172,IF(K1174="SAM",PR!$BD1172,IF(K1174="SEAGREEN",PR!$BE1172,IF(K1174="SKG",PR!$BF1172,IF(K1174="TAH",PR!$BG1172,IF(K1174="TAYLEK",PR!$BH1172,IF(K1174="TEMITA",PR!$BI1172,IF(K1174="THL",PR!$BJ1172,IF(K1174="UBASTIC",PR!$BK1172,IF(K1174="UNION",PR!$BL1172,IF(K1174="UNIQUE",PR!$BM1172,IF(K1174="VIXA",PR!$BN1172,IF(K1174="WWCV",PR!$BO1172,IF(K1174="ZOLON",PR!$BP1172,"-")))))))))))))))))))))))))))))))))))))))))))))))))))))))))))))))))</f>
        <v>18000</v>
      </c>
    </row>
    <row r="1175" spans="1:12" ht="18.75" x14ac:dyDescent="0.3">
      <c r="A1175" s="430">
        <f>PR!A1173</f>
        <v>1054</v>
      </c>
      <c r="B1175" s="15" t="str">
        <f>PR!B1173</f>
        <v>WHATMAN FILTER PAPER (WHATMAN)</v>
      </c>
      <c r="C1175" s="113" t="str">
        <f>PR!D1173</f>
        <v>1 x 100 pcs</v>
      </c>
      <c r="D1175" s="113">
        <f>PR!C1173</f>
        <v>2</v>
      </c>
      <c r="E1175" s="108">
        <f>IF(F1175="ALPHA",PR!$E1173,IF(F1175="ASSENE",PR!$F1173,IF(F1175="BIOFEM",PR!$G1173,IF(F1175="BIOMED",PR!$H1173,IF(F1175="CHI",PR!$I1173,IF(F1175="CLARION",PR!$J1173,IF(F1175="CODIX",PR!$K1173,IF(F1175="COSMADE",PR!$L1173,IF(F1175="SANCON",PR!$M1173,IF(F1175="DEVON",PR!$N1173,IF(F1175="DORTEMAG",PR!$O1173,IF(F1175="DGF",PR!$P1173,IF(F1175="DYNAMIC",PR!$Q1173,IF(F1175="EMZOR",PR!$R1173,IF(F1175="EUMATT",PR!$S1173,IF(F1175="FIDSON",PR!$T1173,IF(F1175="FCGLOBAL",PR!$U1173,IF(F1175="GENEITH",PR!$V1173,IF(F1175="GINOS",PR!$W1173,IF(F1175="GSK",PR!$X1173,IF(F1175="GLOBORG",PR!$Y1173,IF(F1175="GOODNEWS",PR!$Z1173,IF(F1175="GREENLIFE",PR!$AA1173,IF(F1175="HLINE",PR!$AB1173,IF(F1175="ROTECH",PR!$AC1173,IF(F1175="ISN",PR!$AD1173,IF(F1175="JAWA",PR!$AE1173,IF(F1175="LAYO",PR!$AF1173,IF(F1175="LEADWAY",PR!$AG1173,IF(F1175="LHV",PR!$AH1173,IF(F1175="MANOLA",PR!$AI1173,IF(F1175="MARCSON",PR!$AJ1173,IF(F1175="M&amp;B",PR!$AK1173,IF(F1175="MTRUST",PR!$AL1173,IF(F1175="MWORLD",PR!$AM1173,IF(F1175="MEGA",PR!$AN1173,IF(F1175="MICRONOVA",PR!$AO1173,IF(F1175="MFLASH",PR!$AP1173,IF(F1175="MORISON",PR!$AQ1173,IF(F1175="NEMEL",PR!$AR1173,IF(F1175="NHP",PR!$AS1173,IF(F1175="NHC",PR!$AT1173,IF(F1175="OLEAF",PR!$AU1173,IF(F1175="OCULUS",PR!$AV1173,IF(F1175="PACIFIC",PR!$AW1173,IF(F1175="PHAMATEX",PR!$AX1173,IF(F1175="PETHICS",PR!$AY1173,IF(F1175="PHILIPS",PR!$AZ1173,IF(F1175="RANBAXY",PR!$BA1173,IF(F1175="REALS",PR!$BB1173,IF(F1175="ROYAL",PR!$BC1173,IF(F1175="SAM",PR!$BD1173,IF(F1175="SEAGREEN",PR!$BE1173,IF(F1175="SKG",PR!$BF1173,IF(F1175="TAH",PR!$BG1173,IF(F1175="TAYLEK",PR!$BH1173,IF(F1175="TEMITA",PR!$BI1173,IF(F1175="THL",PR!$BJ1173,IF(F1175="UBASTIC",PR!$BK1173,IF(F1175="UNION",PR!$BL1173,IF(F1175="UNIQUE",PR!$BM1173,IF(F1175="VIXA",PR!$BN1173,IF(F1175="WWCV",PR!$BO1173,IF(F1175="ZOLON",PR!$BP1173,"-"))))))))))))))))))))))))))))))))))))))))))))))))))))))))))))))))</f>
        <v>1130</v>
      </c>
      <c r="F1175" s="102" t="str">
        <f>EV!L1488</f>
        <v>ROTECH</v>
      </c>
      <c r="G1175" s="108">
        <f>IF(H1175="ALPHA",PR!$E1173,IF(H1175="ASSENE",PR!$F1173,IF(H1175="BIOFEM",PR!$G1173,IF(H1175="BIOMED",PR!$H1173,IF(H1175="CHI",PR!$I1173,IF(H1175="CLARION",PR!$J1173,IF(H1175="CODIX",PR!$K1173,IF(H1175="COSMADE",PR!$L1173,IF(H1175="SANCON",PR!$M1173,IF(H1175="DEVON",PR!$N1173,IF(H1175="DORTEMAG",PR!$O1173,IF(H1175="DGF",PR!$P1173,IF(H1175="DYNAMIC",PR!$Q1173,IF(H1175="EMZOR",PR!$R1173,IF(H1175="EUMATT",PR!$S1173,IF(H1175="FIDSON",PR!$T1173,IF(H1175="FCGLOBAL",PR!$U1173,IF(H1175="GENEITH",PR!$V1173,IF(H1175="GINOS",PR!$W1173,IF(H1175="GSK",PR!$X1173,IF(H1175="GLOBORG",PR!$Y1173,IF(H1175="GOODNEWS",PR!$Z1173,IF(H1175="GREENLIFE",PR!$AA1173,IF(H1175="HLINE",PR!$AB1173,IF(H1175="ROTECH",PR!$AC1173,IF(H1175="ISN",PR!$AD1173,IF(H1175="JAWA",PR!$AE1173,IF(H1175="LAYO",PR!$AF1173,IF(H1175="LEADWAY",PR!$AG1173,IF(H1175="LHV",PR!$AH1173,IF(H1175="MANOLA",PR!$AI1173,IF(H1175="MARCSON",PR!$AJ1173,IF(H1175="M&amp;B",PR!$AK1173,IF(H1175="MTRUST",PR!$AL1173,IF(H1175="MWORLD",PR!$AM1173,IF(H1175="MEGA",PR!$AN1173,IF(H1175="MICRONOVA",PR!$AO1173,IF(H1175="MFLASH",PR!$AP1173,IF(H1175="MORISON",PR!$AQ1173,IF(H1175="NEMEL",PR!$AR1173,IF(H1175="NHP",PR!$AS1173,IF(H1175="NHC",PR!$AT1173,IF(H1175="OLEAF",PR!$AU1173,IF(H1175="OCULUS",PR!$AV1173,IF(H1175="PACIFIC",PR!$AW1173,IF(H1175="PHAMATEX",PR!$AX1173,IF(H1175="PETHICS",PR!$AY1173,IF(H1175="PHILIPS",PR!$AZ1173,IF(H1175="RANBAXY",PR!$BA1173,IF(H1175="REALS",PR!$BB1173,IF(H1175="ROYAL",PR!$BC1173,IF(H1175="SAM",PR!$BD1173,IF(H1175="SEAGREEN",PR!$BE1173,IF(H1175="SKG",PR!$BF1173,IF(H1175="TAH",PR!$BG1173,IF(H1175="TAYLEK",PR!$BH1173,IF(H1175="TEMITA",PR!$BI1173,IF(H1175="THL",PR!$BJ1173,IF(H1175="UBASTIC",PR!$BK1173,IF(H1175="UNION",PR!$BL1173,IF(H1175="UNIQUE",PR!$BM1173,IF(H1175="VIXA",PR!$BN1173,IF(H1175="WWCV",PR!$BO1173,IF(H1175="ZOLON",PR!$BP1173,"-"))))))))))))))))))))))))))))))))))))))))))))))))))))))))))))))))</f>
        <v>1250</v>
      </c>
      <c r="H1175" s="102" t="str">
        <f>EV!M1488</f>
        <v>DYNAMIC</v>
      </c>
      <c r="I1175" s="108">
        <f>IF(J1175="ALPHA",PR!$E1173,IF(J1175="ASSENE",PR!$F1173,IF(J1175="BIOFEM",PR!$G1173,IF(J1175="BIOMED",PR!$H1173,IF(J1175="CHI",PR!$I1173,IF(J1175="CLARION",PR!$J1173,IF(J1175="CODIX",PR!$K1173,IF(J1175="COSMADE",PR!$L1173,IF(J1175="SANCON",PR!$M1173,IF(J1175="DEVON",PR!$N1173,IF(J1175="DORTEMAG",PR!$O1173,IF(J1175="DGF",PR!$P1173,IF(J1175="DYNAMIC",PR!$Q1173,IF(J1175="EMZOR",PR!$R1173,IF(J1175="EUMATT",PR!$S1173,IF(J1175="FIDSON",PR!$T1173,IF(J1175="FCGLOBAL",PR!$U1173,IF(J1175="GENEITH",PR!$V1173,IF(J1175="GINOS",PR!$W1173,IF(J1175="GSK",PR!$X1173,IF(J1175="GLOBORG",PR!$Y1173,IF(J1175="GOODNEWS",PR!$Z1173,IF(J1175="GREENLIFE",PR!$AA1173,IF(J1175="HLINE",PR!$AB1173,IF(J1175="ROTECH",PR!$AC1173,IF(J1175="ISN",PR!$AD1173,IF(J1175="JAWA",PR!$AE1173,IF(J1175="LAYO",PR!$AF1173,IF(J1175="LEADWAY",PR!$AG1173,IF(J1175="LHV",PR!$AH1173,IF(J1175="MANOLA",PR!$AI1173,IF(J1175="MARCSON",PR!$AJ1173,IF(J1175="M&amp;B",PR!$AK1173,IF(J1175="MTRUST",PR!$AL1173,IF(J1175="MWORLD",PR!$AM1173,IF(J1175="MEGA",PR!$AN1173,IF(J1175="MICRONOVA",PR!$AO1173,IF(J1175="MFLASH",PR!$AP1173,IF(J1175="MORISON",PR!$AQ1173,IF(J1175="NEMEL",PR!$AR1173,IF(J1175="NHP",PR!$AS1173,IF(J1175="NHC",PR!$AT1173,IF(J1175="OLEAF",PR!$AU1173,IF(J1175="OCULUS",PR!$AV1173,IF(J1175="PACIFIC",PR!$AW1173,IF(J1175="PHAMATEX",PR!$AX1173,IF(J1175="PETHICS",PR!$AY1173,IF(J1175="PHILIPS",PR!$AZ1173,IF(J1175="RANBAXY",PR!$BA1173,IF(J1175="REALS",PR!$BB1173,IF(J1175="ROYAL",PR!$BC1173,IF(J1175="SAM",PR!$BD1173,IF(J1175="SEAGREEN",PR!$BE1173,IF(J1175="SKG",PR!$BF1173,IF(J1175="TAH",PR!$BG1173,IF(J1175="TAYLEK",PR!$BH1173,IF(J1175="TEMITA",PR!$BI1173,IF(J1175="THL",PR!$BJ1173,IF(J1175="UBASTIC",PR!$BK1173,IF(J1175="UNION",PR!$BL1173,IF(J1175="UNIQUE",PR!$BM1173,IF(J1175="VIXA",PR!$BN1173,IF(J1175="WWCV",PR!$BO1173,IF(J1175="ZOLON",PR!$BP1173,"-"))))))))))))))))))))))))))))))))))))))))))))))))))))))))))))))))</f>
        <v>1300</v>
      </c>
      <c r="J1175" s="102" t="str">
        <f>EV!N1488</f>
        <v>TEMITA</v>
      </c>
      <c r="K1175" s="433" t="s">
        <v>626</v>
      </c>
      <c r="L1175" s="183">
        <f>IF(K1175&gt;0,IF(K1175="ALPHA",PR!$E1173,IF(K1175="ASSENE",PR!$F1173,IF(K1175="BIOFEM",PR!$G1173,IF(K1175="BIOMED",PR!$H1173,IF(K1175="CHI",PR!$I1173,IF(K1175="CLARION",PR!$J1173,IF(K1175="CODIX",PR!$K1173,IF(K1175="COSMADE",PR!$L1173,IF(K1175="SANCON",PR!$M1173,IF(K1175="DEVON",PR!$N1173,IF(K1175="DORTEMAG",PR!$O1173,IF(K1175="DGF",PR!$P1173,IF(K1175="DYNAMIC",PR!$Q1173,IF(K1175="EMZOR",PR!$R1173,IF(K1175="EUMATT",PR!$S1173,IF(K1175="FIDSON",PR!$T1173,IF(K1175="FCGLOBAL",PR!$U1173,IF(K1175="GENEITH",PR!$V1173,IF(K1175="GINOS",PR!$W1173,IF(K1175="GSK",PR!$X1173,IF(K1175="GLOBORG",PR!$Y1173,IF(K1175="GOODNEWS",PR!$Z1173,IF(K1175="GREENLIFE",PR!$AA1173,IF(K1175="HLINE",PR!$AB1173,IF(K1175="ROTECH",PR!$AC1173,IF(K1175="ISN",PR!$AD1173,IF(K1175="JAWA",PR!$AE1173,IF(K1175="LAYO",PR!$AF1173,IF(K1175="LEADWAY",PR!$AG1173,IF(K1175="LHV",PR!$AH1173,IF(K1175="MANOLA",PR!$AI1173,IF(K1175="MARCSON",PR!$AJ1173,IF(K1175="M&amp;B",PR!$AK1173,IF(K1175="MTRUST",PR!$AL1173,IF(K1175="MWORLD",PR!$AM1173,IF(K1175="MEGA",PR!$AN1173,IF(K1175="MICRONOVA",PR!$AO1173,IF(K1175="MFLASH",PR!$AP1173,IF(K1175="MORISON",PR!$AQ1173,IF(K1175="NEMEL",PR!$AR1173,IF(K1175="NHP",PR!$AS1173,IF(K1175="NHC",PR!$AT1173,IF(K1175="OLEAF",PR!$AU1173,IF(K1175="OCULUS",PR!$AV1173,IF(K1175="PACIFIC",PR!$AW1173,IF(K1175="PHAMATEX",PR!$AX1173,IF(K1175="PETHICS",PR!$AY1173,IF(K1175="PHILIPS",PR!$AZ1173,IF(K1175="RANBAXY",PR!$BA1173,IF(K1175="REALS",PR!$BB1173,IF(K1175="ROYAL",PR!$BC1173,IF(K1175="SAM",PR!$BD1173,IF(K1175="SEAGREEN",PR!$BE1173,IF(K1175="SKG",PR!$BF1173,IF(K1175="TAH",PR!$BG1173,IF(K1175="TAYLEK",PR!$BH1173,IF(K1175="TEMITA",PR!$BI1173,IF(K1175="THL",PR!$BJ1173,IF(K1175="UBASTIC",PR!$BK1173,IF(K1175="UNION",PR!$BL1173,IF(K1175="UNIQUE",PR!$BM1173,IF(K1175="VIXA",PR!$BN1173,IF(K1175="WWCV",PR!$BO1173,IF(K1175="ZOLON",PR!$BP1173,"-")))))))))))))))))))))))))))))))))))))))))))))))))))))))))))))))))</f>
        <v>1250</v>
      </c>
    </row>
    <row r="1176" spans="1:12" ht="18.75" x14ac:dyDescent="0.3">
      <c r="A1176" s="430">
        <f>PR!A1174</f>
        <v>0</v>
      </c>
      <c r="B1176" s="15">
        <f>PR!B1174</f>
        <v>0</v>
      </c>
      <c r="C1176" s="113">
        <f>PR!D1174</f>
        <v>0</v>
      </c>
      <c r="D1176" s="113">
        <f>PR!C1174</f>
        <v>0</v>
      </c>
      <c r="E1176" s="108" t="str">
        <f>IF(F1176="ALPHA",PR!$E1174,IF(F1176="ASSENE",PR!$F1174,IF(F1176="BIOFEM",PR!$G1174,IF(F1176="BIOMED",PR!$H1174,IF(F1176="CHI",PR!$I1174,IF(F1176="CLARION",PR!$J1174,IF(F1176="CODIX",PR!$K1174,IF(F1176="COSMADE",PR!$L1174,IF(F1176="SANCON",PR!$M1174,IF(F1176="DEVON",PR!$N1174,IF(F1176="DORTEMAG",PR!$O1174,IF(F1176="DGF",PR!$P1174,IF(F1176="DYNAMIC",PR!$Q1174,IF(F1176="EMZOR",PR!$R1174,IF(F1176="EUMATT",PR!$S1174,IF(F1176="FIDSON",PR!$T1174,IF(F1176="FCGLOBAL",PR!$U1174,IF(F1176="GENEITH",PR!$V1174,IF(F1176="GINOS",PR!$W1174,IF(F1176="GSK",PR!$X1174,IF(F1176="GLOBORG",PR!$Y1174,IF(F1176="GOODNEWS",PR!$Z1174,IF(F1176="GREENLIFE",PR!$AA1174,IF(F1176="HLINE",PR!$AB1174,IF(F1176="ROTECH",PR!$AC1174,IF(F1176="ISN",PR!$AD1174,IF(F1176="JAWA",PR!$AE1174,IF(F1176="LAYO",PR!$AF1174,IF(F1176="LEADWAY",PR!$AG1174,IF(F1176="LHV",PR!$AH1174,IF(F1176="MANOLA",PR!$AI1174,IF(F1176="MARCSON",PR!$AJ1174,IF(F1176="M&amp;B",PR!$AK1174,IF(F1176="MTRUST",PR!$AL1174,IF(F1176="MWORLD",PR!$AM1174,IF(F1176="MEGA",PR!$AN1174,IF(F1176="MICRONOVA",PR!$AO1174,IF(F1176="MFLASH",PR!$AP1174,IF(F1176="MORISON",PR!$AQ1174,IF(F1176="NEMEL",PR!$AR1174,IF(F1176="NHP",PR!$AS1174,IF(F1176="NHC",PR!$AT1174,IF(F1176="OLEAF",PR!$AU1174,IF(F1176="OCULUS",PR!$AV1174,IF(F1176="PACIFIC",PR!$AW1174,IF(F1176="PHAMATEX",PR!$AX1174,IF(F1176="PETHICS",PR!$AY1174,IF(F1176="PHILIPS",PR!$AZ1174,IF(F1176="RANBAXY",PR!$BA1174,IF(F1176="REALS",PR!$BB1174,IF(F1176="ROYAL",PR!$BC1174,IF(F1176="SAM",PR!$BD1174,IF(F1176="SEAGREEN",PR!$BE1174,IF(F1176="SKG",PR!$BF1174,IF(F1176="TAH",PR!$BG1174,IF(F1176="TAYLEK",PR!$BH1174,IF(F1176="TEMITA",PR!$BI1174,IF(F1176="THL",PR!$BJ1174,IF(F1176="UBASTIC",PR!$BK1174,IF(F1176="UNION",PR!$BL1174,IF(F1176="UNIQUE",PR!$BM1174,IF(F1176="VIXA",PR!$BN1174,IF(F1176="WWCV",PR!$BO1174,IF(F1176="ZOLON",PR!$BP1174,"-"))))))))))))))))))))))))))))))))))))))))))))))))))))))))))))))))</f>
        <v>-</v>
      </c>
      <c r="F1176" s="102"/>
      <c r="G1176" s="108" t="str">
        <f>IF(H1176="ALPHA",PR!$E1174,IF(H1176="ASSENE",PR!$F1174,IF(H1176="BIOFEM",PR!$G1174,IF(H1176="BIOMED",PR!$H1174,IF(H1176="CHI",PR!$I1174,IF(H1176="CLARION",PR!$J1174,IF(H1176="CODIX",PR!$K1174,IF(H1176="COSMADE",PR!$L1174,IF(H1176="SANCON",PR!$M1174,IF(H1176="DEVON",PR!$N1174,IF(H1176="DORTEMAG",PR!$O1174,IF(H1176="DGF",PR!$P1174,IF(H1176="DYNAMIC",PR!$Q1174,IF(H1176="EMZOR",PR!$R1174,IF(H1176="EUMATT",PR!$S1174,IF(H1176="FIDSON",PR!$T1174,IF(H1176="FCGLOBAL",PR!$U1174,IF(H1176="GENEITH",PR!$V1174,IF(H1176="GINOS",PR!$W1174,IF(H1176="GSK",PR!$X1174,IF(H1176="GLOBORG",PR!$Y1174,IF(H1176="GOODNEWS",PR!$Z1174,IF(H1176="GREENLIFE",PR!$AA1174,IF(H1176="HLINE",PR!$AB1174,IF(H1176="ROTECH",PR!$AC1174,IF(H1176="ISN",PR!$AD1174,IF(H1176="JAWA",PR!$AE1174,IF(H1176="LAYO",PR!$AF1174,IF(H1176="LEADWAY",PR!$AG1174,IF(H1176="LHV",PR!$AH1174,IF(H1176="MANOLA",PR!$AI1174,IF(H1176="MARCSON",PR!$AJ1174,IF(H1176="M&amp;B",PR!$AK1174,IF(H1176="MTRUST",PR!$AL1174,IF(H1176="MWORLD",PR!$AM1174,IF(H1176="MEGA",PR!$AN1174,IF(H1176="MICRONOVA",PR!$AO1174,IF(H1176="MFLASH",PR!$AP1174,IF(H1176="MORISON",PR!$AQ1174,IF(H1176="NEMEL",PR!$AR1174,IF(H1176="NHP",PR!$AS1174,IF(H1176="NHC",PR!$AT1174,IF(H1176="OLEAF",PR!$AU1174,IF(H1176="OCULUS",PR!$AV1174,IF(H1176="PACIFIC",PR!$AW1174,IF(H1176="PHAMATEX",PR!$AX1174,IF(H1176="PETHICS",PR!$AY1174,IF(H1176="PHILIPS",PR!$AZ1174,IF(H1176="RANBAXY",PR!$BA1174,IF(H1176="REALS",PR!$BB1174,IF(H1176="ROYAL",PR!$BC1174,IF(H1176="SAM",PR!$BD1174,IF(H1176="SEAGREEN",PR!$BE1174,IF(H1176="SKG",PR!$BF1174,IF(H1176="TAH",PR!$BG1174,IF(H1176="TAYLEK",PR!$BH1174,IF(H1176="TEMITA",PR!$BI1174,IF(H1176="THL",PR!$BJ1174,IF(H1176="UBASTIC",PR!$BK1174,IF(H1176="UNION",PR!$BL1174,IF(H1176="UNIQUE",PR!$BM1174,IF(H1176="VIXA",PR!$BN1174,IF(H1176="WWCV",PR!$BO1174,IF(H1176="ZOLON",PR!$BP1174,"-"))))))))))))))))))))))))))))))))))))))))))))))))))))))))))))))))</f>
        <v>-</v>
      </c>
      <c r="H1176" s="102"/>
      <c r="I1176" s="108" t="str">
        <f>IF(J1176="ALPHA",PR!$E1174,IF(J1176="ASSENE",PR!$F1174,IF(J1176="BIOFEM",PR!$G1174,IF(J1176="BIOMED",PR!$H1174,IF(J1176="CHI",PR!$I1174,IF(J1176="CLARION",PR!$J1174,IF(J1176="CODIX",PR!$K1174,IF(J1176="COSMADE",PR!$L1174,IF(J1176="SANCON",PR!$M1174,IF(J1176="DEVON",PR!$N1174,IF(J1176="DORTEMAG",PR!$O1174,IF(J1176="DGF",PR!$P1174,IF(J1176="DYNAMIC",PR!$Q1174,IF(J1176="EMZOR",PR!$R1174,IF(J1176="EUMATT",PR!$S1174,IF(J1176="FIDSON",PR!$T1174,IF(J1176="FCGLOBAL",PR!$U1174,IF(J1176="GENEITH",PR!$V1174,IF(J1176="GINOS",PR!$W1174,IF(J1176="GSK",PR!$X1174,IF(J1176="GLOBORG",PR!$Y1174,IF(J1176="GOODNEWS",PR!$Z1174,IF(J1176="GREENLIFE",PR!$AA1174,IF(J1176="HLINE",PR!$AB1174,IF(J1176="ROTECH",PR!$AC1174,IF(J1176="ISN",PR!$AD1174,IF(J1176="JAWA",PR!$AE1174,IF(J1176="LAYO",PR!$AF1174,IF(J1176="LEADWAY",PR!$AG1174,IF(J1176="LHV",PR!$AH1174,IF(J1176="MANOLA",PR!$AI1174,IF(J1176="MARCSON",PR!$AJ1174,IF(J1176="M&amp;B",PR!$AK1174,IF(J1176="MTRUST",PR!$AL1174,IF(J1176="MWORLD",PR!$AM1174,IF(J1176="MEGA",PR!$AN1174,IF(J1176="MICRONOVA",PR!$AO1174,IF(J1176="MFLASH",PR!$AP1174,IF(J1176="MORISON",PR!$AQ1174,IF(J1176="NEMEL",PR!$AR1174,IF(J1176="NHP",PR!$AS1174,IF(J1176="NHC",PR!$AT1174,IF(J1176="OLEAF",PR!$AU1174,IF(J1176="OCULUS",PR!$AV1174,IF(J1176="PACIFIC",PR!$AW1174,IF(J1176="PHAMATEX",PR!$AX1174,IF(J1176="PETHICS",PR!$AY1174,IF(J1176="PHILIPS",PR!$AZ1174,IF(J1176="RANBAXY",PR!$BA1174,IF(J1176="REALS",PR!$BB1174,IF(J1176="ROYAL",PR!$BC1174,IF(J1176="SAM",PR!$BD1174,IF(J1176="SEAGREEN",PR!$BE1174,IF(J1176="SKG",PR!$BF1174,IF(J1176="TAH",PR!$BG1174,IF(J1176="TAYLEK",PR!$BH1174,IF(J1176="TEMITA",PR!$BI1174,IF(J1176="THL",PR!$BJ1174,IF(J1176="UBASTIC",PR!$BK1174,IF(J1176="UNION",PR!$BL1174,IF(J1176="UNIQUE",PR!$BM1174,IF(J1176="VIXA",PR!$BN1174,IF(J1176="WWCV",PR!$BO1174,IF(J1176="ZOLON",PR!$BP1174,"-"))))))))))))))))))))))))))))))))))))))))))))))))))))))))))))))))</f>
        <v>-</v>
      </c>
      <c r="J1176" s="102"/>
      <c r="K1176" s="433"/>
      <c r="L1176" s="183" t="b">
        <f>IF(K1176&gt;0,IF(K1176="ALPHA",PR!$E1174,IF(K1176="ASSENE",PR!$F1174,IF(K1176="BIOFEM",PR!$G1174,IF(K1176="BIOMED",PR!$H1174,IF(K1176="CHI",PR!$I1174,IF(K1176="CLARION",PR!$J1174,IF(K1176="CODIX",PR!$K1174,IF(K1176="COSMADE",PR!$L1174,IF(K1176="SANCON",PR!$M1174,IF(K1176="DEVON",PR!$N1174,IF(K1176="DORTEMAG",PR!$O1174,IF(K1176="DGF",PR!$P1174,IF(K1176="DYNAMIC",PR!$Q1174,IF(K1176="EMZOR",PR!$R1174,IF(K1176="EUMATT",PR!$S1174,IF(K1176="FIDSON",PR!$T1174,IF(K1176="FCGLOBAL",PR!$U1174,IF(K1176="GENEITH",PR!$V1174,IF(K1176="GINOS",PR!$W1174,IF(K1176="GSK",PR!$X1174,IF(K1176="GLOBORG",PR!$Y1174,IF(K1176="GOODNEWS",PR!$Z1174,IF(K1176="GREENLIFE",PR!$AA1174,IF(K1176="HLINE",PR!$AB1174,IF(K1176="ROTECH",PR!$AC1174,IF(K1176="ISN",PR!$AD1174,IF(K1176="JAWA",PR!$AE1174,IF(K1176="LAYO",PR!$AF1174,IF(K1176="LEADWAY",PR!$AG1174,IF(K1176="LHV",PR!$AH1174,IF(K1176="MANOLA",PR!$AI1174,IF(K1176="MARCSON",PR!$AJ1174,IF(K1176="M&amp;B",PR!$AK1174,IF(K1176="MTRUST",PR!$AL1174,IF(K1176="MWORLD",PR!$AM1174,IF(K1176="MEGA",PR!$AN1174,IF(K1176="MICRONOVA",PR!$AO1174,IF(K1176="MFLASH",PR!$AP1174,IF(K1176="MORISON",PR!$AQ1174,IF(K1176="NEMEL",PR!$AR1174,IF(K1176="NHP",PR!$AS1174,IF(K1176="NHC",PR!$AT1174,IF(K1176="OLEAF",PR!$AU1174,IF(K1176="OCULUS",PR!$AV1174,IF(K1176="PACIFIC",PR!$AW1174,IF(K1176="PHAMATEX",PR!$AX1174,IF(K1176="PETHICS",PR!$AY1174,IF(K1176="PHILIPS",PR!$AZ1174,IF(K1176="RANBAXY",PR!$BA1174,IF(K1176="REALS",PR!$BB1174,IF(K1176="ROYAL",PR!$BC1174,IF(K1176="SAM",PR!$BD1174,IF(K1176="SEAGREEN",PR!$BE1174,IF(K1176="SKG",PR!$BF1174,IF(K1176="TAH",PR!$BG1174,IF(K1176="TAYLEK",PR!$BH1174,IF(K1176="TEMITA",PR!$BI1174,IF(K1176="THL",PR!$BJ1174,IF(K1176="UBASTIC",PR!$BK1174,IF(K1176="UNION",PR!$BL1174,IF(K1176="UNIQUE",PR!$BM1174,IF(K1176="VIXA",PR!$BN1174,IF(K1176="WWCV",PR!$BO1174,IF(K1176="ZOLON",PR!$BP1174,"-")))))))))))))))))))))))))))))))))))))))))))))))))))))))))))))))))</f>
        <v>0</v>
      </c>
    </row>
    <row r="1177" spans="1:12" ht="18.75" x14ac:dyDescent="0.3">
      <c r="A1177" s="430">
        <f>PR!A1175</f>
        <v>0</v>
      </c>
      <c r="B1177" s="15">
        <f>PR!B1175</f>
        <v>0</v>
      </c>
      <c r="C1177" s="113">
        <f>PR!D1175</f>
        <v>0</v>
      </c>
      <c r="D1177" s="113">
        <f>PR!C1175</f>
        <v>0</v>
      </c>
      <c r="E1177" s="108" t="str">
        <f>IF(F1177="ALPHA",PR!$E1175,IF(F1177="ASSENE",PR!$F1175,IF(F1177="BIOFEM",PR!$G1175,IF(F1177="BIOMED",PR!$H1175,IF(F1177="CHI",PR!$I1175,IF(F1177="CLARION",PR!$J1175,IF(F1177="CODIX",PR!$K1175,IF(F1177="COSMADE",PR!$L1175,IF(F1177="SANCON",PR!$M1175,IF(F1177="DEVON",PR!$N1175,IF(F1177="DORTEMAG",PR!$O1175,IF(F1177="DGF",PR!$P1175,IF(F1177="DYNAMIC",PR!$Q1175,IF(F1177="EMZOR",PR!$R1175,IF(F1177="EUMATT",PR!$S1175,IF(F1177="FIDSON",PR!$T1175,IF(F1177="FCGLOBAL",PR!$U1175,IF(F1177="GENEITH",PR!$V1175,IF(F1177="GINOS",PR!$W1175,IF(F1177="GSK",PR!$X1175,IF(F1177="GLOBORG",PR!$Y1175,IF(F1177="GOODNEWS",PR!$Z1175,IF(F1177="GREENLIFE",PR!$AA1175,IF(F1177="HLINE",PR!$AB1175,IF(F1177="ROTECH",PR!$AC1175,IF(F1177="ISN",PR!$AD1175,IF(F1177="JAWA",PR!$AE1175,IF(F1177="LAYO",PR!$AF1175,IF(F1177="LEADWAY",PR!$AG1175,IF(F1177="LHV",PR!$AH1175,IF(F1177="MANOLA",PR!$AI1175,IF(F1177="MARCSON",PR!$AJ1175,IF(F1177="M&amp;B",PR!$AK1175,IF(F1177="MTRUST",PR!$AL1175,IF(F1177="MWORLD",PR!$AM1175,IF(F1177="MEGA",PR!$AN1175,IF(F1177="MICRONOVA",PR!$AO1175,IF(F1177="MFLASH",PR!$AP1175,IF(F1177="MORISON",PR!$AQ1175,IF(F1177="NEMEL",PR!$AR1175,IF(F1177="NHP",PR!$AS1175,IF(F1177="NHC",PR!$AT1175,IF(F1177="OLEAF",PR!$AU1175,IF(F1177="OCULUS",PR!$AV1175,IF(F1177="PACIFIC",PR!$AW1175,IF(F1177="PHAMATEX",PR!$AX1175,IF(F1177="PETHICS",PR!$AY1175,IF(F1177="PHILIPS",PR!$AZ1175,IF(F1177="RANBAXY",PR!$BA1175,IF(F1177="REALS",PR!$BB1175,IF(F1177="ROYAL",PR!$BC1175,IF(F1177="SAM",PR!$BD1175,IF(F1177="SEAGREEN",PR!$BE1175,IF(F1177="SKG",PR!$BF1175,IF(F1177="TAH",PR!$BG1175,IF(F1177="TAYLEK",PR!$BH1175,IF(F1177="TEMITA",PR!$BI1175,IF(F1177="THL",PR!$BJ1175,IF(F1177="UBASTIC",PR!$BK1175,IF(F1177="UNION",PR!$BL1175,IF(F1177="UNIQUE",PR!$BM1175,IF(F1177="VIXA",PR!$BN1175,IF(F1177="WWCV",PR!$BO1175,IF(F1177="ZOLON",PR!$BP1175,"-"))))))))))))))))))))))))))))))))))))))))))))))))))))))))))))))))</f>
        <v>-</v>
      </c>
      <c r="F1177" s="102"/>
      <c r="G1177" s="108" t="str">
        <f>IF(H1177="ALPHA",PR!$E1175,IF(H1177="ASSENE",PR!$F1175,IF(H1177="BIOFEM",PR!$G1175,IF(H1177="BIOMED",PR!$H1175,IF(H1177="CHI",PR!$I1175,IF(H1177="CLARION",PR!$J1175,IF(H1177="CODIX",PR!$K1175,IF(H1177="COSMADE",PR!$L1175,IF(H1177="SANCON",PR!$M1175,IF(H1177="DEVON",PR!$N1175,IF(H1177="DORTEMAG",PR!$O1175,IF(H1177="DGF",PR!$P1175,IF(H1177="DYNAMIC",PR!$Q1175,IF(H1177="EMZOR",PR!$R1175,IF(H1177="EUMATT",PR!$S1175,IF(H1177="FIDSON",PR!$T1175,IF(H1177="FCGLOBAL",PR!$U1175,IF(H1177="GENEITH",PR!$V1175,IF(H1177="GINOS",PR!$W1175,IF(H1177="GSK",PR!$X1175,IF(H1177="GLOBORG",PR!$Y1175,IF(H1177="GOODNEWS",PR!$Z1175,IF(H1177="GREENLIFE",PR!$AA1175,IF(H1177="HLINE",PR!$AB1175,IF(H1177="ROTECH",PR!$AC1175,IF(H1177="ISN",PR!$AD1175,IF(H1177="JAWA",PR!$AE1175,IF(H1177="LAYO",PR!$AF1175,IF(H1177="LEADWAY",PR!$AG1175,IF(H1177="LHV",PR!$AH1175,IF(H1177="MANOLA",PR!$AI1175,IF(H1177="MARCSON",PR!$AJ1175,IF(H1177="M&amp;B",PR!$AK1175,IF(H1177="MTRUST",PR!$AL1175,IF(H1177="MWORLD",PR!$AM1175,IF(H1177="MEGA",PR!$AN1175,IF(H1177="MICRONOVA",PR!$AO1175,IF(H1177="MFLASH",PR!$AP1175,IF(H1177="MORISON",PR!$AQ1175,IF(H1177="NEMEL",PR!$AR1175,IF(H1177="NHP",PR!$AS1175,IF(H1177="NHC",PR!$AT1175,IF(H1177="OLEAF",PR!$AU1175,IF(H1177="OCULUS",PR!$AV1175,IF(H1177="PACIFIC",PR!$AW1175,IF(H1177="PHAMATEX",PR!$AX1175,IF(H1177="PETHICS",PR!$AY1175,IF(H1177="PHILIPS",PR!$AZ1175,IF(H1177="RANBAXY",PR!$BA1175,IF(H1177="REALS",PR!$BB1175,IF(H1177="ROYAL",PR!$BC1175,IF(H1177="SAM",PR!$BD1175,IF(H1177="SEAGREEN",PR!$BE1175,IF(H1177="SKG",PR!$BF1175,IF(H1177="TAH",PR!$BG1175,IF(H1177="TAYLEK",PR!$BH1175,IF(H1177="TEMITA",PR!$BI1175,IF(H1177="THL",PR!$BJ1175,IF(H1177="UBASTIC",PR!$BK1175,IF(H1177="UNION",PR!$BL1175,IF(H1177="UNIQUE",PR!$BM1175,IF(H1177="VIXA",PR!$BN1175,IF(H1177="WWCV",PR!$BO1175,IF(H1177="ZOLON",PR!$BP1175,"-"))))))))))))))))))))))))))))))))))))))))))))))))))))))))))))))))</f>
        <v>-</v>
      </c>
      <c r="H1177" s="102"/>
      <c r="I1177" s="108" t="str">
        <f>IF(J1177="ALPHA",PR!$E1175,IF(J1177="ASSENE",PR!$F1175,IF(J1177="BIOFEM",PR!$G1175,IF(J1177="BIOMED",PR!$H1175,IF(J1177="CHI",PR!$I1175,IF(J1177="CLARION",PR!$J1175,IF(J1177="CODIX",PR!$K1175,IF(J1177="COSMADE",PR!$L1175,IF(J1177="SANCON",PR!$M1175,IF(J1177="DEVON",PR!$N1175,IF(J1177="DORTEMAG",PR!$O1175,IF(J1177="DGF",PR!$P1175,IF(J1177="DYNAMIC",PR!$Q1175,IF(J1177="EMZOR",PR!$R1175,IF(J1177="EUMATT",PR!$S1175,IF(J1177="FIDSON",PR!$T1175,IF(J1177="FCGLOBAL",PR!$U1175,IF(J1177="GENEITH",PR!$V1175,IF(J1177="GINOS",PR!$W1175,IF(J1177="GSK",PR!$X1175,IF(J1177="GLOBORG",PR!$Y1175,IF(J1177="GOODNEWS",PR!$Z1175,IF(J1177="GREENLIFE",PR!$AA1175,IF(J1177="HLINE",PR!$AB1175,IF(J1177="ROTECH",PR!$AC1175,IF(J1177="ISN",PR!$AD1175,IF(J1177="JAWA",PR!$AE1175,IF(J1177="LAYO",PR!$AF1175,IF(J1177="LEADWAY",PR!$AG1175,IF(J1177="LHV",PR!$AH1175,IF(J1177="MANOLA",PR!$AI1175,IF(J1177="MARCSON",PR!$AJ1175,IF(J1177="M&amp;B",PR!$AK1175,IF(J1177="MTRUST",PR!$AL1175,IF(J1177="MWORLD",PR!$AM1175,IF(J1177="MEGA",PR!$AN1175,IF(J1177="MICRONOVA",PR!$AO1175,IF(J1177="MFLASH",PR!$AP1175,IF(J1177="MORISON",PR!$AQ1175,IF(J1177="NEMEL",PR!$AR1175,IF(J1177="NHP",PR!$AS1175,IF(J1177="NHC",PR!$AT1175,IF(J1177="OLEAF",PR!$AU1175,IF(J1177="OCULUS",PR!$AV1175,IF(J1177="PACIFIC",PR!$AW1175,IF(J1177="PHAMATEX",PR!$AX1175,IF(J1177="PETHICS",PR!$AY1175,IF(J1177="PHILIPS",PR!$AZ1175,IF(J1177="RANBAXY",PR!$BA1175,IF(J1177="REALS",PR!$BB1175,IF(J1177="ROYAL",PR!$BC1175,IF(J1177="SAM",PR!$BD1175,IF(J1177="SEAGREEN",PR!$BE1175,IF(J1177="SKG",PR!$BF1175,IF(J1177="TAH",PR!$BG1175,IF(J1177="TAYLEK",PR!$BH1175,IF(J1177="TEMITA",PR!$BI1175,IF(J1177="THL",PR!$BJ1175,IF(J1177="UBASTIC",PR!$BK1175,IF(J1177="UNION",PR!$BL1175,IF(J1177="UNIQUE",PR!$BM1175,IF(J1177="VIXA",PR!$BN1175,IF(J1177="WWCV",PR!$BO1175,IF(J1177="ZOLON",PR!$BP1175,"-"))))))))))))))))))))))))))))))))))))))))))))))))))))))))))))))))</f>
        <v>-</v>
      </c>
      <c r="J1177" s="102"/>
      <c r="K1177" s="433"/>
      <c r="L1177" s="183" t="b">
        <f>IF(K1177&gt;0,IF(K1177="ALPHA",PR!$E1175,IF(K1177="ASSENE",PR!$F1175,IF(K1177="BIOFEM",PR!$G1175,IF(K1177="BIOMED",PR!$H1175,IF(K1177="CHI",PR!$I1175,IF(K1177="CLARION",PR!$J1175,IF(K1177="CODIX",PR!$K1175,IF(K1177="COSMADE",PR!$L1175,IF(K1177="SANCON",PR!$M1175,IF(K1177="DEVON",PR!$N1175,IF(K1177="DORTEMAG",PR!$O1175,IF(K1177="DGF",PR!$P1175,IF(K1177="DYNAMIC",PR!$Q1175,IF(K1177="EMZOR",PR!$R1175,IF(K1177="EUMATT",PR!$S1175,IF(K1177="FIDSON",PR!$T1175,IF(K1177="FCGLOBAL",PR!$U1175,IF(K1177="GENEITH",PR!$V1175,IF(K1177="GINOS",PR!$W1175,IF(K1177="GSK",PR!$X1175,IF(K1177="GLOBORG",PR!$Y1175,IF(K1177="GOODNEWS",PR!$Z1175,IF(K1177="GREENLIFE",PR!$AA1175,IF(K1177="HLINE",PR!$AB1175,IF(K1177="ROTECH",PR!$AC1175,IF(K1177="ISN",PR!$AD1175,IF(K1177="JAWA",PR!$AE1175,IF(K1177="LAYO",PR!$AF1175,IF(K1177="LEADWAY",PR!$AG1175,IF(K1177="LHV",PR!$AH1175,IF(K1177="MANOLA",PR!$AI1175,IF(K1177="MARCSON",PR!$AJ1175,IF(K1177="M&amp;B",PR!$AK1175,IF(K1177="MTRUST",PR!$AL1175,IF(K1177="MWORLD",PR!$AM1175,IF(K1177="MEGA",PR!$AN1175,IF(K1177="MICRONOVA",PR!$AO1175,IF(K1177="MFLASH",PR!$AP1175,IF(K1177="MORISON",PR!$AQ1175,IF(K1177="NEMEL",PR!$AR1175,IF(K1177="NHP",PR!$AS1175,IF(K1177="NHC",PR!$AT1175,IF(K1177="OLEAF",PR!$AU1175,IF(K1177="OCULUS",PR!$AV1175,IF(K1177="PACIFIC",PR!$AW1175,IF(K1177="PHAMATEX",PR!$AX1175,IF(K1177="PETHICS",PR!$AY1175,IF(K1177="PHILIPS",PR!$AZ1175,IF(K1177="RANBAXY",PR!$BA1175,IF(K1177="REALS",PR!$BB1175,IF(K1177="ROYAL",PR!$BC1175,IF(K1177="SAM",PR!$BD1175,IF(K1177="SEAGREEN",PR!$BE1175,IF(K1177="SKG",PR!$BF1175,IF(K1177="TAH",PR!$BG1175,IF(K1177="TAYLEK",PR!$BH1175,IF(K1177="TEMITA",PR!$BI1175,IF(K1177="THL",PR!$BJ1175,IF(K1177="UBASTIC",PR!$BK1175,IF(K1177="UNION",PR!$BL1175,IF(K1177="UNIQUE",PR!$BM1175,IF(K1177="VIXA",PR!$BN1175,IF(K1177="WWCV",PR!$BO1175,IF(K1177="ZOLON",PR!$BP1175,"-")))))))))))))))))))))))))))))))))))))))))))))))))))))))))))))))))</f>
        <v>0</v>
      </c>
    </row>
    <row r="1178" spans="1:12" ht="18.75" x14ac:dyDescent="0.3">
      <c r="A1178" s="430">
        <f>PR!A1176</f>
        <v>0</v>
      </c>
      <c r="B1178" s="15" t="str">
        <f>PR!B1176</f>
        <v>OBADA ANNEX</v>
      </c>
      <c r="C1178" s="113">
        <f>PR!D1176</f>
        <v>0</v>
      </c>
      <c r="D1178" s="113">
        <f>PR!C1176</f>
        <v>0</v>
      </c>
      <c r="E1178" s="108" t="str">
        <f>IF(F1178="ALPHA",PR!$E1176,IF(F1178="ASSENE",PR!$F1176,IF(F1178="BIOFEM",PR!$G1176,IF(F1178="BIOMED",PR!$H1176,IF(F1178="CHI",PR!$I1176,IF(F1178="CLARION",PR!$J1176,IF(F1178="CODIX",PR!$K1176,IF(F1178="COSMADE",PR!$L1176,IF(F1178="SANCON",PR!$M1176,IF(F1178="DEVON",PR!$N1176,IF(F1178="DORTEMAG",PR!$O1176,IF(F1178="DGF",PR!$P1176,IF(F1178="DYNAMIC",PR!$Q1176,IF(F1178="EMZOR",PR!$R1176,IF(F1178="EUMATT",PR!$S1176,IF(F1178="FIDSON",PR!$T1176,IF(F1178="FCGLOBAL",PR!$U1176,IF(F1178="GENEITH",PR!$V1176,IF(F1178="GINOS",PR!$W1176,IF(F1178="GSK",PR!$X1176,IF(F1178="GLOBORG",PR!$Y1176,IF(F1178="GOODNEWS",PR!$Z1176,IF(F1178="GREENLIFE",PR!$AA1176,IF(F1178="HLINE",PR!$AB1176,IF(F1178="ROTECH",PR!$AC1176,IF(F1178="ISN",PR!$AD1176,IF(F1178="JAWA",PR!$AE1176,IF(F1178="LAYO",PR!$AF1176,IF(F1178="LEADWAY",PR!$AG1176,IF(F1178="LHV",PR!$AH1176,IF(F1178="MANOLA",PR!$AI1176,IF(F1178="MARCSON",PR!$AJ1176,IF(F1178="M&amp;B",PR!$AK1176,IF(F1178="MTRUST",PR!$AL1176,IF(F1178="MWORLD",PR!$AM1176,IF(F1178="MEGA",PR!$AN1176,IF(F1178="MICRONOVA",PR!$AO1176,IF(F1178="MFLASH",PR!$AP1176,IF(F1178="MORISON",PR!$AQ1176,IF(F1178="NEMEL",PR!$AR1176,IF(F1178="NHP",PR!$AS1176,IF(F1178="NHC",PR!$AT1176,IF(F1178="OLEAF",PR!$AU1176,IF(F1178="OCULUS",PR!$AV1176,IF(F1178="PACIFIC",PR!$AW1176,IF(F1178="PHAMATEX",PR!$AX1176,IF(F1178="PETHICS",PR!$AY1176,IF(F1178="PHILIPS",PR!$AZ1176,IF(F1178="RANBAXY",PR!$BA1176,IF(F1178="REALS",PR!$BB1176,IF(F1178="ROYAL",PR!$BC1176,IF(F1178="SAM",PR!$BD1176,IF(F1178="SEAGREEN",PR!$BE1176,IF(F1178="SKG",PR!$BF1176,IF(F1178="TAH",PR!$BG1176,IF(F1178="TAYLEK",PR!$BH1176,IF(F1178="TEMITA",PR!$BI1176,IF(F1178="THL",PR!$BJ1176,IF(F1178="UBASTIC",PR!$BK1176,IF(F1178="UNION",PR!$BL1176,IF(F1178="UNIQUE",PR!$BM1176,IF(F1178="VIXA",PR!$BN1176,IF(F1178="WWCV",PR!$BO1176,IF(F1178="ZOLON",PR!$BP1176,"-"))))))))))))))))))))))))))))))))))))))))))))))))))))))))))))))))</f>
        <v>-</v>
      </c>
      <c r="F1178" s="102"/>
      <c r="G1178" s="108" t="str">
        <f>IF(H1178="ALPHA",PR!$E1176,IF(H1178="ASSENE",PR!$F1176,IF(H1178="BIOFEM",PR!$G1176,IF(H1178="BIOMED",PR!$H1176,IF(H1178="CHI",PR!$I1176,IF(H1178="CLARION",PR!$J1176,IF(H1178="CODIX",PR!$K1176,IF(H1178="COSMADE",PR!$L1176,IF(H1178="SANCON",PR!$M1176,IF(H1178="DEVON",PR!$N1176,IF(H1178="DORTEMAG",PR!$O1176,IF(H1178="DGF",PR!$P1176,IF(H1178="DYNAMIC",PR!$Q1176,IF(H1178="EMZOR",PR!$R1176,IF(H1178="EUMATT",PR!$S1176,IF(H1178="FIDSON",PR!$T1176,IF(H1178="FCGLOBAL",PR!$U1176,IF(H1178="GENEITH",PR!$V1176,IF(H1178="GINOS",PR!$W1176,IF(H1178="GSK",PR!$X1176,IF(H1178="GLOBORG",PR!$Y1176,IF(H1178="GOODNEWS",PR!$Z1176,IF(H1178="GREENLIFE",PR!$AA1176,IF(H1178="HLINE",PR!$AB1176,IF(H1178="ROTECH",PR!$AC1176,IF(H1178="ISN",PR!$AD1176,IF(H1178="JAWA",PR!$AE1176,IF(H1178="LAYO",PR!$AF1176,IF(H1178="LEADWAY",PR!$AG1176,IF(H1178="LHV",PR!$AH1176,IF(H1178="MANOLA",PR!$AI1176,IF(H1178="MARCSON",PR!$AJ1176,IF(H1178="M&amp;B",PR!$AK1176,IF(H1178="MTRUST",PR!$AL1176,IF(H1178="MWORLD",PR!$AM1176,IF(H1178="MEGA",PR!$AN1176,IF(H1178="MICRONOVA",PR!$AO1176,IF(H1178="MFLASH",PR!$AP1176,IF(H1178="MORISON",PR!$AQ1176,IF(H1178="NEMEL",PR!$AR1176,IF(H1178="NHP",PR!$AS1176,IF(H1178="NHC",PR!$AT1176,IF(H1178="OLEAF",PR!$AU1176,IF(H1178="OCULUS",PR!$AV1176,IF(H1178="PACIFIC",PR!$AW1176,IF(H1178="PHAMATEX",PR!$AX1176,IF(H1178="PETHICS",PR!$AY1176,IF(H1178="PHILIPS",PR!$AZ1176,IF(H1178="RANBAXY",PR!$BA1176,IF(H1178="REALS",PR!$BB1176,IF(H1178="ROYAL",PR!$BC1176,IF(H1178="SAM",PR!$BD1176,IF(H1178="SEAGREEN",PR!$BE1176,IF(H1178="SKG",PR!$BF1176,IF(H1178="TAH",PR!$BG1176,IF(H1178="TAYLEK",PR!$BH1176,IF(H1178="TEMITA",PR!$BI1176,IF(H1178="THL",PR!$BJ1176,IF(H1178="UBASTIC",PR!$BK1176,IF(H1178="UNION",PR!$BL1176,IF(H1178="UNIQUE",PR!$BM1176,IF(H1178="VIXA",PR!$BN1176,IF(H1178="WWCV",PR!$BO1176,IF(H1178="ZOLON",PR!$BP1176,"-"))))))))))))))))))))))))))))))))))))))))))))))))))))))))))))))))</f>
        <v>-</v>
      </c>
      <c r="H1178" s="102"/>
      <c r="I1178" s="108" t="str">
        <f>IF(J1178="ALPHA",PR!$E1176,IF(J1178="ASSENE",PR!$F1176,IF(J1178="BIOFEM",PR!$G1176,IF(J1178="BIOMED",PR!$H1176,IF(J1178="CHI",PR!$I1176,IF(J1178="CLARION",PR!$J1176,IF(J1178="CODIX",PR!$K1176,IF(J1178="COSMADE",PR!$L1176,IF(J1178="SANCON",PR!$M1176,IF(J1178="DEVON",PR!$N1176,IF(J1178="DORTEMAG",PR!$O1176,IF(J1178="DGF",PR!$P1176,IF(J1178="DYNAMIC",PR!$Q1176,IF(J1178="EMZOR",PR!$R1176,IF(J1178="EUMATT",PR!$S1176,IF(J1178="FIDSON",PR!$T1176,IF(J1178="FCGLOBAL",PR!$U1176,IF(J1178="GENEITH",PR!$V1176,IF(J1178="GINOS",PR!$W1176,IF(J1178="GSK",PR!$X1176,IF(J1178="GLOBORG",PR!$Y1176,IF(J1178="GOODNEWS",PR!$Z1176,IF(J1178="GREENLIFE",PR!$AA1176,IF(J1178="HLINE",PR!$AB1176,IF(J1178="ROTECH",PR!$AC1176,IF(J1178="ISN",PR!$AD1176,IF(J1178="JAWA",PR!$AE1176,IF(J1178="LAYO",PR!$AF1176,IF(J1178="LEADWAY",PR!$AG1176,IF(J1178="LHV",PR!$AH1176,IF(J1178="MANOLA",PR!$AI1176,IF(J1178="MARCSON",PR!$AJ1176,IF(J1178="M&amp;B",PR!$AK1176,IF(J1178="MTRUST",PR!$AL1176,IF(J1178="MWORLD",PR!$AM1176,IF(J1178="MEGA",PR!$AN1176,IF(J1178="MICRONOVA",PR!$AO1176,IF(J1178="MFLASH",PR!$AP1176,IF(J1178="MORISON",PR!$AQ1176,IF(J1178="NEMEL",PR!$AR1176,IF(J1178="NHP",PR!$AS1176,IF(J1178="NHC",PR!$AT1176,IF(J1178="OLEAF",PR!$AU1176,IF(J1178="OCULUS",PR!$AV1176,IF(J1178="PACIFIC",PR!$AW1176,IF(J1178="PHAMATEX",PR!$AX1176,IF(J1178="PETHICS",PR!$AY1176,IF(J1178="PHILIPS",PR!$AZ1176,IF(J1178="RANBAXY",PR!$BA1176,IF(J1178="REALS",PR!$BB1176,IF(J1178="ROYAL",PR!$BC1176,IF(J1178="SAM",PR!$BD1176,IF(J1178="SEAGREEN",PR!$BE1176,IF(J1178="SKG",PR!$BF1176,IF(J1178="TAH",PR!$BG1176,IF(J1178="TAYLEK",PR!$BH1176,IF(J1178="TEMITA",PR!$BI1176,IF(J1178="THL",PR!$BJ1176,IF(J1178="UBASTIC",PR!$BK1176,IF(J1178="UNION",PR!$BL1176,IF(J1178="UNIQUE",PR!$BM1176,IF(J1178="VIXA",PR!$BN1176,IF(J1178="WWCV",PR!$BO1176,IF(J1178="ZOLON",PR!$BP1176,"-"))))))))))))))))))))))))))))))))))))))))))))))))))))))))))))))))</f>
        <v>-</v>
      </c>
      <c r="J1178" s="102"/>
      <c r="K1178" s="433"/>
      <c r="L1178" s="183" t="b">
        <f>IF(K1178&gt;0,IF(K1178="ALPHA",PR!$E1176,IF(K1178="ASSENE",PR!$F1176,IF(K1178="BIOFEM",PR!$G1176,IF(K1178="BIOMED",PR!$H1176,IF(K1178="CHI",PR!$I1176,IF(K1178="CLARION",PR!$J1176,IF(K1178="CODIX",PR!$K1176,IF(K1178="COSMADE",PR!$L1176,IF(K1178="SANCON",PR!$M1176,IF(K1178="DEVON",PR!$N1176,IF(K1178="DORTEMAG",PR!$O1176,IF(K1178="DGF",PR!$P1176,IF(K1178="DYNAMIC",PR!$Q1176,IF(K1178="EMZOR",PR!$R1176,IF(K1178="EUMATT",PR!$S1176,IF(K1178="FIDSON",PR!$T1176,IF(K1178="FCGLOBAL",PR!$U1176,IF(K1178="GENEITH",PR!$V1176,IF(K1178="GINOS",PR!$W1176,IF(K1178="GSK",PR!$X1176,IF(K1178="GLOBORG",PR!$Y1176,IF(K1178="GOODNEWS",PR!$Z1176,IF(K1178="GREENLIFE",PR!$AA1176,IF(K1178="HLINE",PR!$AB1176,IF(K1178="ROTECH",PR!$AC1176,IF(K1178="ISN",PR!$AD1176,IF(K1178="JAWA",PR!$AE1176,IF(K1178="LAYO",PR!$AF1176,IF(K1178="LEADWAY",PR!$AG1176,IF(K1178="LHV",PR!$AH1176,IF(K1178="MANOLA",PR!$AI1176,IF(K1178="MARCSON",PR!$AJ1176,IF(K1178="M&amp;B",PR!$AK1176,IF(K1178="MTRUST",PR!$AL1176,IF(K1178="MWORLD",PR!$AM1176,IF(K1178="MEGA",PR!$AN1176,IF(K1178="MICRONOVA",PR!$AO1176,IF(K1178="MFLASH",PR!$AP1176,IF(K1178="MORISON",PR!$AQ1176,IF(K1178="NEMEL",PR!$AR1176,IF(K1178="NHP",PR!$AS1176,IF(K1178="NHC",PR!$AT1176,IF(K1178="OLEAF",PR!$AU1176,IF(K1178="OCULUS",PR!$AV1176,IF(K1178="PACIFIC",PR!$AW1176,IF(K1178="PHAMATEX",PR!$AX1176,IF(K1178="PETHICS",PR!$AY1176,IF(K1178="PHILIPS",PR!$AZ1176,IF(K1178="RANBAXY",PR!$BA1176,IF(K1178="REALS",PR!$BB1176,IF(K1178="ROYAL",PR!$BC1176,IF(K1178="SAM",PR!$BD1176,IF(K1178="SEAGREEN",PR!$BE1176,IF(K1178="SKG",PR!$BF1176,IF(K1178="TAH",PR!$BG1176,IF(K1178="TAYLEK",PR!$BH1176,IF(K1178="TEMITA",PR!$BI1176,IF(K1178="THL",PR!$BJ1176,IF(K1178="UBASTIC",PR!$BK1176,IF(K1178="UNION",PR!$BL1176,IF(K1178="UNIQUE",PR!$BM1176,IF(K1178="VIXA",PR!$BN1176,IF(K1178="WWCV",PR!$BO1176,IF(K1178="ZOLON",PR!$BP1176,"-")))))))))))))))))))))))))))))))))))))))))))))))))))))))))))))))))</f>
        <v>0</v>
      </c>
    </row>
    <row r="1179" spans="1:12" ht="18.75" x14ac:dyDescent="0.3">
      <c r="A1179" s="430">
        <f>PR!A1177</f>
        <v>1055</v>
      </c>
      <c r="B1179" s="15" t="str">
        <f>PR!B1177</f>
        <v>RDT FOR MALARIA PARASITE (CARESTART)</v>
      </c>
      <c r="C1179" s="113" t="str">
        <f>PR!D1177</f>
        <v>Packs</v>
      </c>
      <c r="D1179" s="113">
        <f>PR!C1177</f>
        <v>300</v>
      </c>
      <c r="E1179" s="108">
        <f>IF(F1179="ALPHA",PR!$E1177,IF(F1179="ASSENE",PR!$F1177,IF(F1179="BIOFEM",PR!$G1177,IF(F1179="BIOMED",PR!$H1177,IF(F1179="CHI",PR!$I1177,IF(F1179="CLARION",PR!$J1177,IF(F1179="CODIX",PR!$K1177,IF(F1179="COSMADE",PR!$L1177,IF(F1179="SANCON",PR!$M1177,IF(F1179="DEVON",PR!$N1177,IF(F1179="DORTEMAG",PR!$O1177,IF(F1179="DGF",PR!$P1177,IF(F1179="DYNAMIC",PR!$Q1177,IF(F1179="EMZOR",PR!$R1177,IF(F1179="EUMATT",PR!$S1177,IF(F1179="FIDSON",PR!$T1177,IF(F1179="FCGLOBAL",PR!$U1177,IF(F1179="GENEITH",PR!$V1177,IF(F1179="GINOS",PR!$W1177,IF(F1179="GSK",PR!$X1177,IF(F1179="GLOBORG",PR!$Y1177,IF(F1179="GOODNEWS",PR!$Z1177,IF(F1179="GREENLIFE",PR!$AA1177,IF(F1179="HLINE",PR!$AB1177,IF(F1179="ROTECH",PR!$AC1177,IF(F1179="ISN",PR!$AD1177,IF(F1179="JAWA",PR!$AE1177,IF(F1179="LAYO",PR!$AF1177,IF(F1179="LEADWAY",PR!$AG1177,IF(F1179="LHV",PR!$AH1177,IF(F1179="MANOLA",PR!$AI1177,IF(F1179="MARCSON",PR!$AJ1177,IF(F1179="M&amp;B",PR!$AK1177,IF(F1179="MTRUST",PR!$AL1177,IF(F1179="MWORLD",PR!$AM1177,IF(F1179="MEGA",PR!$AN1177,IF(F1179="MICRONOVA",PR!$AO1177,IF(F1179="MFLASH",PR!$AP1177,IF(F1179="MORISON",PR!$AQ1177,IF(F1179="NEMEL",PR!$AR1177,IF(F1179="NHP",PR!$AS1177,IF(F1179="NHC",PR!$AT1177,IF(F1179="OLEAF",PR!$AU1177,IF(F1179="OCULUS",PR!$AV1177,IF(F1179="PACIFIC",PR!$AW1177,IF(F1179="PHAMATEX",PR!$AX1177,IF(F1179="PETHICS",PR!$AY1177,IF(F1179="PHILIPS",PR!$AZ1177,IF(F1179="RANBAXY",PR!$BA1177,IF(F1179="REALS",PR!$BB1177,IF(F1179="ROYAL",PR!$BC1177,IF(F1179="SAM",PR!$BD1177,IF(F1179="SEAGREEN",PR!$BE1177,IF(F1179="SKG",PR!$BF1177,IF(F1179="TAH",PR!$BG1177,IF(F1179="TAYLEK",PR!$BH1177,IF(F1179="TEMITA",PR!$BI1177,IF(F1179="THL",PR!$BJ1177,IF(F1179="UBASTIC",PR!$BK1177,IF(F1179="UNION",PR!$BL1177,IF(F1179="UNIQUE",PR!$BM1177,IF(F1179="VIXA",PR!$BN1177,IF(F1179="WWCV",PR!$BO1177,IF(F1179="ZOLON",PR!$BP1177,"-"))))))))))))))))))))))))))))))))))))))))))))))))))))))))))))))))</f>
        <v>1980</v>
      </c>
      <c r="F1179" s="102" t="str">
        <f>EV!L1489</f>
        <v>ROTECH</v>
      </c>
      <c r="G1179" s="108">
        <f>IF(H1179="ALPHA",PR!$E1177,IF(H1179="ASSENE",PR!$F1177,IF(H1179="BIOFEM",PR!$G1177,IF(H1179="BIOMED",PR!$H1177,IF(H1179="CHI",PR!$I1177,IF(H1179="CLARION",PR!$J1177,IF(H1179="CODIX",PR!$K1177,IF(H1179="COSMADE",PR!$L1177,IF(H1179="SANCON",PR!$M1177,IF(H1179="DEVON",PR!$N1177,IF(H1179="DORTEMAG",PR!$O1177,IF(H1179="DGF",PR!$P1177,IF(H1179="DYNAMIC",PR!$Q1177,IF(H1179="EMZOR",PR!$R1177,IF(H1179="EUMATT",PR!$S1177,IF(H1179="FIDSON",PR!$T1177,IF(H1179="FCGLOBAL",PR!$U1177,IF(H1179="GENEITH",PR!$V1177,IF(H1179="GINOS",PR!$W1177,IF(H1179="GSK",PR!$X1177,IF(H1179="GLOBORG",PR!$Y1177,IF(H1179="GOODNEWS",PR!$Z1177,IF(H1179="GREENLIFE",PR!$AA1177,IF(H1179="HLINE",PR!$AB1177,IF(H1179="ROTECH",PR!$AC1177,IF(H1179="ISN",PR!$AD1177,IF(H1179="JAWA",PR!$AE1177,IF(H1179="LAYO",PR!$AF1177,IF(H1179="LEADWAY",PR!$AG1177,IF(H1179="LHV",PR!$AH1177,IF(H1179="MANOLA",PR!$AI1177,IF(H1179="MARCSON",PR!$AJ1177,IF(H1179="M&amp;B",PR!$AK1177,IF(H1179="MTRUST",PR!$AL1177,IF(H1179="MWORLD",PR!$AM1177,IF(H1179="MEGA",PR!$AN1177,IF(H1179="MICRONOVA",PR!$AO1177,IF(H1179="MFLASH",PR!$AP1177,IF(H1179="MORISON",PR!$AQ1177,IF(H1179="NEMEL",PR!$AR1177,IF(H1179="NHP",PR!$AS1177,IF(H1179="NHC",PR!$AT1177,IF(H1179="OLEAF",PR!$AU1177,IF(H1179="OCULUS",PR!$AV1177,IF(H1179="PACIFIC",PR!$AW1177,IF(H1179="PHAMATEX",PR!$AX1177,IF(H1179="PETHICS",PR!$AY1177,IF(H1179="PHILIPS",PR!$AZ1177,IF(H1179="RANBAXY",PR!$BA1177,IF(H1179="REALS",PR!$BB1177,IF(H1179="ROYAL",PR!$BC1177,IF(H1179="SAM",PR!$BD1177,IF(H1179="SEAGREEN",PR!$BE1177,IF(H1179="SKG",PR!$BF1177,IF(H1179="TAH",PR!$BG1177,IF(H1179="TAYLEK",PR!$BH1177,IF(H1179="TEMITA",PR!$BI1177,IF(H1179="THL",PR!$BJ1177,IF(H1179="UBASTIC",PR!$BK1177,IF(H1179="UNION",PR!$BL1177,IF(H1179="UNIQUE",PR!$BM1177,IF(H1179="VIXA",PR!$BN1177,IF(H1179="WWCV",PR!$BO1177,IF(H1179="ZOLON",PR!$BP1177,"-"))))))))))))))))))))))))))))))))))))))))))))))))))))))))))))))))</f>
        <v>2400</v>
      </c>
      <c r="H1179" s="102" t="str">
        <f>EV!M1489</f>
        <v>SANCON</v>
      </c>
      <c r="I1179" s="108">
        <f>IF(J1179="ALPHA",PR!$E1177,IF(J1179="ASSENE",PR!$F1177,IF(J1179="BIOFEM",PR!$G1177,IF(J1179="BIOMED",PR!$H1177,IF(J1179="CHI",PR!$I1177,IF(J1179="CLARION",PR!$J1177,IF(J1179="CODIX",PR!$K1177,IF(J1179="COSMADE",PR!$L1177,IF(J1179="SANCON",PR!$M1177,IF(J1179="DEVON",PR!$N1177,IF(J1179="DORTEMAG",PR!$O1177,IF(J1179="DGF",PR!$P1177,IF(J1179="DYNAMIC",PR!$Q1177,IF(J1179="EMZOR",PR!$R1177,IF(J1179="EUMATT",PR!$S1177,IF(J1179="FIDSON",PR!$T1177,IF(J1179="FCGLOBAL",PR!$U1177,IF(J1179="GENEITH",PR!$V1177,IF(J1179="GINOS",PR!$W1177,IF(J1179="GSK",PR!$X1177,IF(J1179="GLOBORG",PR!$Y1177,IF(J1179="GOODNEWS",PR!$Z1177,IF(J1179="GREENLIFE",PR!$AA1177,IF(J1179="HLINE",PR!$AB1177,IF(J1179="ROTECH",PR!$AC1177,IF(J1179="ISN",PR!$AD1177,IF(J1179="JAWA",PR!$AE1177,IF(J1179="LAYO",PR!$AF1177,IF(J1179="LEADWAY",PR!$AG1177,IF(J1179="LHV",PR!$AH1177,IF(J1179="MANOLA",PR!$AI1177,IF(J1179="MARCSON",PR!$AJ1177,IF(J1179="M&amp;B",PR!$AK1177,IF(J1179="MTRUST",PR!$AL1177,IF(J1179="MWORLD",PR!$AM1177,IF(J1179="MEGA",PR!$AN1177,IF(J1179="MICRONOVA",PR!$AO1177,IF(J1179="MFLASH",PR!$AP1177,IF(J1179="MORISON",PR!$AQ1177,IF(J1179="NEMEL",PR!$AR1177,IF(J1179="NHP",PR!$AS1177,IF(J1179="NHC",PR!$AT1177,IF(J1179="OLEAF",PR!$AU1177,IF(J1179="OCULUS",PR!$AV1177,IF(J1179="PACIFIC",PR!$AW1177,IF(J1179="PHAMATEX",PR!$AX1177,IF(J1179="PETHICS",PR!$AY1177,IF(J1179="PHILIPS",PR!$AZ1177,IF(J1179="RANBAXY",PR!$BA1177,IF(J1179="REALS",PR!$BB1177,IF(J1179="ROYAL",PR!$BC1177,IF(J1179="SAM",PR!$BD1177,IF(J1179="SEAGREEN",PR!$BE1177,IF(J1179="SKG",PR!$BF1177,IF(J1179="TAH",PR!$BG1177,IF(J1179="TAYLEK",PR!$BH1177,IF(J1179="TEMITA",PR!$BI1177,IF(J1179="THL",PR!$BJ1177,IF(J1179="UBASTIC",PR!$BK1177,IF(J1179="UNION",PR!$BL1177,IF(J1179="UNIQUE",PR!$BM1177,IF(J1179="VIXA",PR!$BN1177,IF(J1179="WWCV",PR!$BO1177,IF(J1179="ZOLON",PR!$BP1177,"-"))))))))))))))))))))))))))))))))))))))))))))))))))))))))))))))))</f>
        <v>2500</v>
      </c>
      <c r="J1179" s="102" t="str">
        <f>EV!N1489</f>
        <v>UBASTIC</v>
      </c>
      <c r="K1179" s="433" t="s">
        <v>817</v>
      </c>
      <c r="L1179" s="183">
        <f>IF(K1179&gt;0,IF(K1179="ALPHA",PR!$E1177,IF(K1179="ASSENE",PR!$F1177,IF(K1179="BIOFEM",PR!$G1177,IF(K1179="BIOMED",PR!$H1177,IF(K1179="CHI",PR!$I1177,IF(K1179="CLARION",PR!$J1177,IF(K1179="CODIX",PR!$K1177,IF(K1179="COSMADE",PR!$L1177,IF(K1179="SANCON",PR!$M1177,IF(K1179="DEVON",PR!$N1177,IF(K1179="DORTEMAG",PR!$O1177,IF(K1179="DGF",PR!$P1177,IF(K1179="DYNAMIC",PR!$Q1177,IF(K1179="EMZOR",PR!$R1177,IF(K1179="EUMATT",PR!$S1177,IF(K1179="FIDSON",PR!$T1177,IF(K1179="FCGLOBAL",PR!$U1177,IF(K1179="GENEITH",PR!$V1177,IF(K1179="GINOS",PR!$W1177,IF(K1179="GSK",PR!$X1177,IF(K1179="GLOBORG",PR!$Y1177,IF(K1179="GOODNEWS",PR!$Z1177,IF(K1179="GREENLIFE",PR!$AA1177,IF(K1179="HLINE",PR!$AB1177,IF(K1179="ROTECH",PR!$AC1177,IF(K1179="ISN",PR!$AD1177,IF(K1179="JAWA",PR!$AE1177,IF(K1179="LAYO",PR!$AF1177,IF(K1179="LEADWAY",PR!$AG1177,IF(K1179="LHV",PR!$AH1177,IF(K1179="MANOLA",PR!$AI1177,IF(K1179="MARCSON",PR!$AJ1177,IF(K1179="M&amp;B",PR!$AK1177,IF(K1179="MTRUST",PR!$AL1177,IF(K1179="MWORLD",PR!$AM1177,IF(K1179="MEGA",PR!$AN1177,IF(K1179="MICRONOVA",PR!$AO1177,IF(K1179="MFLASH",PR!$AP1177,IF(K1179="MORISON",PR!$AQ1177,IF(K1179="NEMEL",PR!$AR1177,IF(K1179="NHP",PR!$AS1177,IF(K1179="NHC",PR!$AT1177,IF(K1179="OLEAF",PR!$AU1177,IF(K1179="OCULUS",PR!$AV1177,IF(K1179="PACIFIC",PR!$AW1177,IF(K1179="PHAMATEX",PR!$AX1177,IF(K1179="PETHICS",PR!$AY1177,IF(K1179="PHILIPS",PR!$AZ1177,IF(K1179="RANBAXY",PR!$BA1177,IF(K1179="REALS",PR!$BB1177,IF(K1179="ROYAL",PR!$BC1177,IF(K1179="SAM",PR!$BD1177,IF(K1179="SEAGREEN",PR!$BE1177,IF(K1179="SKG",PR!$BF1177,IF(K1179="TAH",PR!$BG1177,IF(K1179="TAYLEK",PR!$BH1177,IF(K1179="TEMITA",PR!$BI1177,IF(K1179="THL",PR!$BJ1177,IF(K1179="UBASTIC",PR!$BK1177,IF(K1179="UNION",PR!$BL1177,IF(K1179="UNIQUE",PR!$BM1177,IF(K1179="VIXA",PR!$BN1177,IF(K1179="WWCV",PR!$BO1177,IF(K1179="ZOLON",PR!$BP1177,"-")))))))))))))))))))))))))))))))))))))))))))))))))))))))))))))))))</f>
        <v>2400</v>
      </c>
    </row>
    <row r="1180" spans="1:12" ht="18.75" x14ac:dyDescent="0.3">
      <c r="A1180" s="430">
        <f>PR!A1178</f>
        <v>1056</v>
      </c>
      <c r="B1180" s="15" t="str">
        <f>PR!B1178</f>
        <v>GLUCOSE STRIPS</v>
      </c>
      <c r="C1180" s="113" t="str">
        <f>PR!D1178</f>
        <v>Packs</v>
      </c>
      <c r="D1180" s="113">
        <f>PR!C1178</f>
        <v>90</v>
      </c>
      <c r="E1180" s="108">
        <f>IF(F1180="ALPHA",PR!$E1178,IF(F1180="ASSENE",PR!$F1178,IF(F1180="BIOFEM",PR!$G1178,IF(F1180="BIOMED",PR!$H1178,IF(F1180="CHI",PR!$I1178,IF(F1180="CLARION",PR!$J1178,IF(F1180="CODIX",PR!$K1178,IF(F1180="COSMADE",PR!$L1178,IF(F1180="SANCON",PR!$M1178,IF(F1180="DEVON",PR!$N1178,IF(F1180="DORTEMAG",PR!$O1178,IF(F1180="DGF",PR!$P1178,IF(F1180="DYNAMIC",PR!$Q1178,IF(F1180="EMZOR",PR!$R1178,IF(F1180="EUMATT",PR!$S1178,IF(F1180="FIDSON",PR!$T1178,IF(F1180="FCGLOBAL",PR!$U1178,IF(F1180="GENEITH",PR!$V1178,IF(F1180="GINOS",PR!$W1178,IF(F1180="GSK",PR!$X1178,IF(F1180="GLOBORG",PR!$Y1178,IF(F1180="GOODNEWS",PR!$Z1178,IF(F1180="GREENLIFE",PR!$AA1178,IF(F1180="HLINE",PR!$AB1178,IF(F1180="ROTECH",PR!$AC1178,IF(F1180="ISN",PR!$AD1178,IF(F1180="JAWA",PR!$AE1178,IF(F1180="LAYO",PR!$AF1178,IF(F1180="LEADWAY",PR!$AG1178,IF(F1180="LHV",PR!$AH1178,IF(F1180="MANOLA",PR!$AI1178,IF(F1180="MARCSON",PR!$AJ1178,IF(F1180="M&amp;B",PR!$AK1178,IF(F1180="MTRUST",PR!$AL1178,IF(F1180="MWORLD",PR!$AM1178,IF(F1180="MEGA",PR!$AN1178,IF(F1180="MICRONOVA",PR!$AO1178,IF(F1180="MFLASH",PR!$AP1178,IF(F1180="MORISON",PR!$AQ1178,IF(F1180="NEMEL",PR!$AR1178,IF(F1180="NHP",PR!$AS1178,IF(F1180="NHC",PR!$AT1178,IF(F1180="OLEAF",PR!$AU1178,IF(F1180="OCULUS",PR!$AV1178,IF(F1180="PACIFIC",PR!$AW1178,IF(F1180="PHAMATEX",PR!$AX1178,IF(F1180="PETHICS",PR!$AY1178,IF(F1180="PHILIPS",PR!$AZ1178,IF(F1180="RANBAXY",PR!$BA1178,IF(F1180="REALS",PR!$BB1178,IF(F1180="ROYAL",PR!$BC1178,IF(F1180="SAM",PR!$BD1178,IF(F1180="SEAGREEN",PR!$BE1178,IF(F1180="SKG",PR!$BF1178,IF(F1180="TAH",PR!$BG1178,IF(F1180="TAYLEK",PR!$BH1178,IF(F1180="TEMITA",PR!$BI1178,IF(F1180="THL",PR!$BJ1178,IF(F1180="UBASTIC",PR!$BK1178,IF(F1180="UNION",PR!$BL1178,IF(F1180="UNIQUE",PR!$BM1178,IF(F1180="VIXA",PR!$BN1178,IF(F1180="WWCV",PR!$BO1178,IF(F1180="ZOLON",PR!$BP1178,"-"))))))))))))))))))))))))))))))))))))))))))))))))))))))))))))))))</f>
        <v>910</v>
      </c>
      <c r="F1180" s="102" t="str">
        <f>EV!L1490</f>
        <v>LAYO</v>
      </c>
      <c r="G1180" s="108">
        <f>IF(H1180="ALPHA",PR!$E1178,IF(H1180="ASSENE",PR!$F1178,IF(H1180="BIOFEM",PR!$G1178,IF(H1180="BIOMED",PR!$H1178,IF(H1180="CHI",PR!$I1178,IF(H1180="CLARION",PR!$J1178,IF(H1180="CODIX",PR!$K1178,IF(H1180="COSMADE",PR!$L1178,IF(H1180="SANCON",PR!$M1178,IF(H1180="DEVON",PR!$N1178,IF(H1180="DORTEMAG",PR!$O1178,IF(H1180="DGF",PR!$P1178,IF(H1180="DYNAMIC",PR!$Q1178,IF(H1180="EMZOR",PR!$R1178,IF(H1180="EUMATT",PR!$S1178,IF(H1180="FIDSON",PR!$T1178,IF(H1180="FCGLOBAL",PR!$U1178,IF(H1180="GENEITH",PR!$V1178,IF(H1180="GINOS",PR!$W1178,IF(H1180="GSK",PR!$X1178,IF(H1180="GLOBORG",PR!$Y1178,IF(H1180="GOODNEWS",PR!$Z1178,IF(H1180="GREENLIFE",PR!$AA1178,IF(H1180="HLINE",PR!$AB1178,IF(H1180="ROTECH",PR!$AC1178,IF(H1180="ISN",PR!$AD1178,IF(H1180="JAWA",PR!$AE1178,IF(H1180="LAYO",PR!$AF1178,IF(H1180="LEADWAY",PR!$AG1178,IF(H1180="LHV",PR!$AH1178,IF(H1180="MANOLA",PR!$AI1178,IF(H1180="MARCSON",PR!$AJ1178,IF(H1180="M&amp;B",PR!$AK1178,IF(H1180="MTRUST",PR!$AL1178,IF(H1180="MWORLD",PR!$AM1178,IF(H1180="MEGA",PR!$AN1178,IF(H1180="MICRONOVA",PR!$AO1178,IF(H1180="MFLASH",PR!$AP1178,IF(H1180="MORISON",PR!$AQ1178,IF(H1180="NEMEL",PR!$AR1178,IF(H1180="NHP",PR!$AS1178,IF(H1180="NHC",PR!$AT1178,IF(H1180="OLEAF",PR!$AU1178,IF(H1180="OCULUS",PR!$AV1178,IF(H1180="PACIFIC",PR!$AW1178,IF(H1180="PHAMATEX",PR!$AX1178,IF(H1180="PETHICS",PR!$AY1178,IF(H1180="PHILIPS",PR!$AZ1178,IF(H1180="RANBAXY",PR!$BA1178,IF(H1180="REALS",PR!$BB1178,IF(H1180="ROYAL",PR!$BC1178,IF(H1180="SAM",PR!$BD1178,IF(H1180="SEAGREEN",PR!$BE1178,IF(H1180="SKG",PR!$BF1178,IF(H1180="TAH",PR!$BG1178,IF(H1180="TAYLEK",PR!$BH1178,IF(H1180="TEMITA",PR!$BI1178,IF(H1180="THL",PR!$BJ1178,IF(H1180="UBASTIC",PR!$BK1178,IF(H1180="UNION",PR!$BL1178,IF(H1180="UNIQUE",PR!$BM1178,IF(H1180="VIXA",PR!$BN1178,IF(H1180="WWCV",PR!$BO1178,IF(H1180="ZOLON",PR!$BP1178,"-"))))))))))))))))))))))))))))))))))))))))))))))))))))))))))))))))</f>
        <v>4180</v>
      </c>
      <c r="H1180" s="102" t="str">
        <f>EV!M1490</f>
        <v>ROTECH</v>
      </c>
      <c r="I1180" s="108">
        <f>IF(J1180="ALPHA",PR!$E1178,IF(J1180="ASSENE",PR!$F1178,IF(J1180="BIOFEM",PR!$G1178,IF(J1180="BIOMED",PR!$H1178,IF(J1180="CHI",PR!$I1178,IF(J1180="CLARION",PR!$J1178,IF(J1180="CODIX",PR!$K1178,IF(J1180="COSMADE",PR!$L1178,IF(J1180="SANCON",PR!$M1178,IF(J1180="DEVON",PR!$N1178,IF(J1180="DORTEMAG",PR!$O1178,IF(J1180="DGF",PR!$P1178,IF(J1180="DYNAMIC",PR!$Q1178,IF(J1180="EMZOR",PR!$R1178,IF(J1180="EUMATT",PR!$S1178,IF(J1180="FIDSON",PR!$T1178,IF(J1180="FCGLOBAL",PR!$U1178,IF(J1180="GENEITH",PR!$V1178,IF(J1180="GINOS",PR!$W1178,IF(J1180="GSK",PR!$X1178,IF(J1180="GLOBORG",PR!$Y1178,IF(J1180="GOODNEWS",PR!$Z1178,IF(J1180="GREENLIFE",PR!$AA1178,IF(J1180="HLINE",PR!$AB1178,IF(J1180="ROTECH",PR!$AC1178,IF(J1180="ISN",PR!$AD1178,IF(J1180="JAWA",PR!$AE1178,IF(J1180="LAYO",PR!$AF1178,IF(J1180="LEADWAY",PR!$AG1178,IF(J1180="LHV",PR!$AH1178,IF(J1180="MANOLA",PR!$AI1178,IF(J1180="MARCSON",PR!$AJ1178,IF(J1180="M&amp;B",PR!$AK1178,IF(J1180="MTRUST",PR!$AL1178,IF(J1180="MWORLD",PR!$AM1178,IF(J1180="MEGA",PR!$AN1178,IF(J1180="MICRONOVA",PR!$AO1178,IF(J1180="MFLASH",PR!$AP1178,IF(J1180="MORISON",PR!$AQ1178,IF(J1180="NEMEL",PR!$AR1178,IF(J1180="NHP",PR!$AS1178,IF(J1180="NHC",PR!$AT1178,IF(J1180="OLEAF",PR!$AU1178,IF(J1180="OCULUS",PR!$AV1178,IF(J1180="PACIFIC",PR!$AW1178,IF(J1180="PHAMATEX",PR!$AX1178,IF(J1180="PETHICS",PR!$AY1178,IF(J1180="PHILIPS",PR!$AZ1178,IF(J1180="RANBAXY",PR!$BA1178,IF(J1180="REALS",PR!$BB1178,IF(J1180="ROYAL",PR!$BC1178,IF(J1180="SAM",PR!$BD1178,IF(J1180="SEAGREEN",PR!$BE1178,IF(J1180="SKG",PR!$BF1178,IF(J1180="TAH",PR!$BG1178,IF(J1180="TAYLEK",PR!$BH1178,IF(J1180="TEMITA",PR!$BI1178,IF(J1180="THL",PR!$BJ1178,IF(J1180="UBASTIC",PR!$BK1178,IF(J1180="UNION",PR!$BL1178,IF(J1180="UNIQUE",PR!$BM1178,IF(J1180="VIXA",PR!$BN1178,IF(J1180="WWCV",PR!$BO1178,IF(J1180="ZOLON",PR!$BP1178,"-"))))))))))))))))))))))))))))))))))))))))))))))))))))))))))))))))</f>
        <v>4800</v>
      </c>
      <c r="J1180" s="102" t="str">
        <f>EV!N1490</f>
        <v>SANCON</v>
      </c>
      <c r="K1180" s="433" t="s">
        <v>817</v>
      </c>
      <c r="L1180" s="183">
        <f>IF(K1180&gt;0,IF(K1180="ALPHA",PR!$E1178,IF(K1180="ASSENE",PR!$F1178,IF(K1180="BIOFEM",PR!$G1178,IF(K1180="BIOMED",PR!$H1178,IF(K1180="CHI",PR!$I1178,IF(K1180="CLARION",PR!$J1178,IF(K1180="CODIX",PR!$K1178,IF(K1180="COSMADE",PR!$L1178,IF(K1180="SANCON",PR!$M1178,IF(K1180="DEVON",PR!$N1178,IF(K1180="DORTEMAG",PR!$O1178,IF(K1180="DGF",PR!$P1178,IF(K1180="DYNAMIC",PR!$Q1178,IF(K1180="EMZOR",PR!$R1178,IF(K1180="EUMATT",PR!$S1178,IF(K1180="FIDSON",PR!$T1178,IF(K1180="FCGLOBAL",PR!$U1178,IF(K1180="GENEITH",PR!$V1178,IF(K1180="GINOS",PR!$W1178,IF(K1180="GSK",PR!$X1178,IF(K1180="GLOBORG",PR!$Y1178,IF(K1180="GOODNEWS",PR!$Z1178,IF(K1180="GREENLIFE",PR!$AA1178,IF(K1180="HLINE",PR!$AB1178,IF(K1180="ROTECH",PR!$AC1178,IF(K1180="ISN",PR!$AD1178,IF(K1180="JAWA",PR!$AE1178,IF(K1180="LAYO",PR!$AF1178,IF(K1180="LEADWAY",PR!$AG1178,IF(K1180="LHV",PR!$AH1178,IF(K1180="MANOLA",PR!$AI1178,IF(K1180="MARCSON",PR!$AJ1178,IF(K1180="M&amp;B",PR!$AK1178,IF(K1180="MTRUST",PR!$AL1178,IF(K1180="MWORLD",PR!$AM1178,IF(K1180="MEGA",PR!$AN1178,IF(K1180="MICRONOVA",PR!$AO1178,IF(K1180="MFLASH",PR!$AP1178,IF(K1180="MORISON",PR!$AQ1178,IF(K1180="NEMEL",PR!$AR1178,IF(K1180="NHP",PR!$AS1178,IF(K1180="NHC",PR!$AT1178,IF(K1180="OLEAF",PR!$AU1178,IF(K1180="OCULUS",PR!$AV1178,IF(K1180="PACIFIC",PR!$AW1178,IF(K1180="PHAMATEX",PR!$AX1178,IF(K1180="PETHICS",PR!$AY1178,IF(K1180="PHILIPS",PR!$AZ1178,IF(K1180="RANBAXY",PR!$BA1178,IF(K1180="REALS",PR!$BB1178,IF(K1180="ROYAL",PR!$BC1178,IF(K1180="SAM",PR!$BD1178,IF(K1180="SEAGREEN",PR!$BE1178,IF(K1180="SKG",PR!$BF1178,IF(K1180="TAH",PR!$BG1178,IF(K1180="TAYLEK",PR!$BH1178,IF(K1180="TEMITA",PR!$BI1178,IF(K1180="THL",PR!$BJ1178,IF(K1180="UBASTIC",PR!$BK1178,IF(K1180="UNION",PR!$BL1178,IF(K1180="UNIQUE",PR!$BM1178,IF(K1180="VIXA",PR!$BN1178,IF(K1180="WWCV",PR!$BO1178,IF(K1180="ZOLON",PR!$BP1178,"-")))))))))))))))))))))))))))))))))))))))))))))))))))))))))))))))))</f>
        <v>4800</v>
      </c>
    </row>
    <row r="1181" spans="1:12" ht="18.75" x14ac:dyDescent="0.3">
      <c r="A1181" s="430">
        <f>PR!A1179</f>
        <v>1057</v>
      </c>
      <c r="B1181" s="15" t="str">
        <f>PR!B1179</f>
        <v>EDTA BOTTLES</v>
      </c>
      <c r="C1181" s="113" t="str">
        <f>PR!D1179</f>
        <v>Cartons</v>
      </c>
      <c r="D1181" s="113">
        <f>PR!C1179</f>
        <v>18</v>
      </c>
      <c r="E1181" s="108">
        <f>IF(F1181="ALPHA",PR!$E1179,IF(F1181="ASSENE",PR!$F1179,IF(F1181="BIOFEM",PR!$G1179,IF(F1181="BIOMED",PR!$H1179,IF(F1181="CHI",PR!$I1179,IF(F1181="CLARION",PR!$J1179,IF(F1181="CODIX",PR!$K1179,IF(F1181="COSMADE",PR!$L1179,IF(F1181="SANCON",PR!$M1179,IF(F1181="DEVON",PR!$N1179,IF(F1181="DORTEMAG",PR!$O1179,IF(F1181="DGF",PR!$P1179,IF(F1181="DYNAMIC",PR!$Q1179,IF(F1181="EMZOR",PR!$R1179,IF(F1181="EUMATT",PR!$S1179,IF(F1181="FIDSON",PR!$T1179,IF(F1181="FCGLOBAL",PR!$U1179,IF(F1181="GENEITH",PR!$V1179,IF(F1181="GINOS",PR!$W1179,IF(F1181="GSK",PR!$X1179,IF(F1181="GLOBORG",PR!$Y1179,IF(F1181="GOODNEWS",PR!$Z1179,IF(F1181="GREENLIFE",PR!$AA1179,IF(F1181="HLINE",PR!$AB1179,IF(F1181="ROTECH",PR!$AC1179,IF(F1181="ISN",PR!$AD1179,IF(F1181="JAWA",PR!$AE1179,IF(F1181="LAYO",PR!$AF1179,IF(F1181="LEADWAY",PR!$AG1179,IF(F1181="LHV",PR!$AH1179,IF(F1181="MANOLA",PR!$AI1179,IF(F1181="MARCSON",PR!$AJ1179,IF(F1181="M&amp;B",PR!$AK1179,IF(F1181="MTRUST",PR!$AL1179,IF(F1181="MWORLD",PR!$AM1179,IF(F1181="MEGA",PR!$AN1179,IF(F1181="MICRONOVA",PR!$AO1179,IF(F1181="MFLASH",PR!$AP1179,IF(F1181="MORISON",PR!$AQ1179,IF(F1181="NEMEL",PR!$AR1179,IF(F1181="NHP",PR!$AS1179,IF(F1181="NHC",PR!$AT1179,IF(F1181="OLEAF",PR!$AU1179,IF(F1181="OCULUS",PR!$AV1179,IF(F1181="PACIFIC",PR!$AW1179,IF(F1181="PHAMATEX",PR!$AX1179,IF(F1181="PETHICS",PR!$AY1179,IF(F1181="PHILIPS",PR!$AZ1179,IF(F1181="RANBAXY",PR!$BA1179,IF(F1181="REALS",PR!$BB1179,IF(F1181="ROYAL",PR!$BC1179,IF(F1181="SAM",PR!$BD1179,IF(F1181="SEAGREEN",PR!$BE1179,IF(F1181="SKG",PR!$BF1179,IF(F1181="TAH",PR!$BG1179,IF(F1181="TAYLEK",PR!$BH1179,IF(F1181="TEMITA",PR!$BI1179,IF(F1181="THL",PR!$BJ1179,IF(F1181="UBASTIC",PR!$BK1179,IF(F1181="UNION",PR!$BL1179,IF(F1181="UNIQUE",PR!$BM1179,IF(F1181="VIXA",PR!$BN1179,IF(F1181="WWCV",PR!$BO1179,IF(F1181="ZOLON",PR!$BP1179,"-"))))))))))))))))))))))))))))))))))))))))))))))))))))))))))))))))</f>
        <v>12000</v>
      </c>
      <c r="F1181" s="102" t="str">
        <f>EV!L1491</f>
        <v>LHV</v>
      </c>
      <c r="G1181" s="108">
        <f>IF(H1181="ALPHA",PR!$E1179,IF(H1181="ASSENE",PR!$F1179,IF(H1181="BIOFEM",PR!$G1179,IF(H1181="BIOMED",PR!$H1179,IF(H1181="CHI",PR!$I1179,IF(H1181="CLARION",PR!$J1179,IF(H1181="CODIX",PR!$K1179,IF(H1181="COSMADE",PR!$L1179,IF(H1181="SANCON",PR!$M1179,IF(H1181="DEVON",PR!$N1179,IF(H1181="DORTEMAG",PR!$O1179,IF(H1181="DGF",PR!$P1179,IF(H1181="DYNAMIC",PR!$Q1179,IF(H1181="EMZOR",PR!$R1179,IF(H1181="EUMATT",PR!$S1179,IF(H1181="FIDSON",PR!$T1179,IF(H1181="FCGLOBAL",PR!$U1179,IF(H1181="GENEITH",PR!$V1179,IF(H1181="GINOS",PR!$W1179,IF(H1181="GSK",PR!$X1179,IF(H1181="GLOBORG",PR!$Y1179,IF(H1181="GOODNEWS",PR!$Z1179,IF(H1181="GREENLIFE",PR!$AA1179,IF(H1181="HLINE",PR!$AB1179,IF(H1181="ROTECH",PR!$AC1179,IF(H1181="ISN",PR!$AD1179,IF(H1181="JAWA",PR!$AE1179,IF(H1181="LAYO",PR!$AF1179,IF(H1181="LEADWAY",PR!$AG1179,IF(H1181="LHV",PR!$AH1179,IF(H1181="MANOLA",PR!$AI1179,IF(H1181="MARCSON",PR!$AJ1179,IF(H1181="M&amp;B",PR!$AK1179,IF(H1181="MTRUST",PR!$AL1179,IF(H1181="MWORLD",PR!$AM1179,IF(H1181="MEGA",PR!$AN1179,IF(H1181="MICRONOVA",PR!$AO1179,IF(H1181="MFLASH",PR!$AP1179,IF(H1181="MORISON",PR!$AQ1179,IF(H1181="NEMEL",PR!$AR1179,IF(H1181="NHP",PR!$AS1179,IF(H1181="NHC",PR!$AT1179,IF(H1181="OLEAF",PR!$AU1179,IF(H1181="OCULUS",PR!$AV1179,IF(H1181="PACIFIC",PR!$AW1179,IF(H1181="PHAMATEX",PR!$AX1179,IF(H1181="PETHICS",PR!$AY1179,IF(H1181="PHILIPS",PR!$AZ1179,IF(H1181="RANBAXY",PR!$BA1179,IF(H1181="REALS",PR!$BB1179,IF(H1181="ROYAL",PR!$BC1179,IF(H1181="SAM",PR!$BD1179,IF(H1181="SEAGREEN",PR!$BE1179,IF(H1181="SKG",PR!$BF1179,IF(H1181="TAH",PR!$BG1179,IF(H1181="TAYLEK",PR!$BH1179,IF(H1181="TEMITA",PR!$BI1179,IF(H1181="THL",PR!$BJ1179,IF(H1181="UBASTIC",PR!$BK1179,IF(H1181="UNION",PR!$BL1179,IF(H1181="UNIQUE",PR!$BM1179,IF(H1181="VIXA",PR!$BN1179,IF(H1181="WWCV",PR!$BO1179,IF(H1181="ZOLON",PR!$BP1179,"-"))))))))))))))))))))))))))))))))))))))))))))))))))))))))))))))))</f>
        <v>13500</v>
      </c>
      <c r="H1181" s="102" t="str">
        <f>EV!M1491</f>
        <v>SANCON</v>
      </c>
      <c r="I1181" s="108">
        <f>IF(J1181="ALPHA",PR!$E1179,IF(J1181="ASSENE",PR!$F1179,IF(J1181="BIOFEM",PR!$G1179,IF(J1181="BIOMED",PR!$H1179,IF(J1181="CHI",PR!$I1179,IF(J1181="CLARION",PR!$J1179,IF(J1181="CODIX",PR!$K1179,IF(J1181="COSMADE",PR!$L1179,IF(J1181="SANCON",PR!$M1179,IF(J1181="DEVON",PR!$N1179,IF(J1181="DORTEMAG",PR!$O1179,IF(J1181="DGF",PR!$P1179,IF(J1181="DYNAMIC",PR!$Q1179,IF(J1181="EMZOR",PR!$R1179,IF(J1181="EUMATT",PR!$S1179,IF(J1181="FIDSON",PR!$T1179,IF(J1181="FCGLOBAL",PR!$U1179,IF(J1181="GENEITH",PR!$V1179,IF(J1181="GINOS",PR!$W1179,IF(J1181="GSK",PR!$X1179,IF(J1181="GLOBORG",PR!$Y1179,IF(J1181="GOODNEWS",PR!$Z1179,IF(J1181="GREENLIFE",PR!$AA1179,IF(J1181="HLINE",PR!$AB1179,IF(J1181="ROTECH",PR!$AC1179,IF(J1181="ISN",PR!$AD1179,IF(J1181="JAWA",PR!$AE1179,IF(J1181="LAYO",PR!$AF1179,IF(J1181="LEADWAY",PR!$AG1179,IF(J1181="LHV",PR!$AH1179,IF(J1181="MANOLA",PR!$AI1179,IF(J1181="MARCSON",PR!$AJ1179,IF(J1181="M&amp;B",PR!$AK1179,IF(J1181="MTRUST",PR!$AL1179,IF(J1181="MWORLD",PR!$AM1179,IF(J1181="MEGA",PR!$AN1179,IF(J1181="MICRONOVA",PR!$AO1179,IF(J1181="MFLASH",PR!$AP1179,IF(J1181="MORISON",PR!$AQ1179,IF(J1181="NEMEL",PR!$AR1179,IF(J1181="NHP",PR!$AS1179,IF(J1181="NHC",PR!$AT1179,IF(J1181="OLEAF",PR!$AU1179,IF(J1181="OCULUS",PR!$AV1179,IF(J1181="PACIFIC",PR!$AW1179,IF(J1181="PHAMATEX",PR!$AX1179,IF(J1181="PETHICS",PR!$AY1179,IF(J1181="PHILIPS",PR!$AZ1179,IF(J1181="RANBAXY",PR!$BA1179,IF(J1181="REALS",PR!$BB1179,IF(J1181="ROYAL",PR!$BC1179,IF(J1181="SAM",PR!$BD1179,IF(J1181="SEAGREEN",PR!$BE1179,IF(J1181="SKG",PR!$BF1179,IF(J1181="TAH",PR!$BG1179,IF(J1181="TAYLEK",PR!$BH1179,IF(J1181="TEMITA",PR!$BI1179,IF(J1181="THL",PR!$BJ1179,IF(J1181="UBASTIC",PR!$BK1179,IF(J1181="UNION",PR!$BL1179,IF(J1181="UNIQUE",PR!$BM1179,IF(J1181="VIXA",PR!$BN1179,IF(J1181="WWCV",PR!$BO1179,IF(J1181="ZOLON",PR!$BP1179,"-"))))))))))))))))))))))))))))))))))))))))))))))))))))))))))))))))</f>
        <v>14950</v>
      </c>
      <c r="J1181" s="102" t="str">
        <f>EV!N1491</f>
        <v>TEMITA</v>
      </c>
      <c r="K1181" s="433" t="s">
        <v>1468</v>
      </c>
      <c r="L1181" s="183">
        <f>IF(K1181&gt;0,IF(K1181="ALPHA",PR!$E1179,IF(K1181="ASSENE",PR!$F1179,IF(K1181="BIOFEM",PR!$G1179,IF(K1181="BIOMED",PR!$H1179,IF(K1181="CHI",PR!$I1179,IF(K1181="CLARION",PR!$J1179,IF(K1181="CODIX",PR!$K1179,IF(K1181="COSMADE",PR!$L1179,IF(K1181="SANCON",PR!$M1179,IF(K1181="DEVON",PR!$N1179,IF(K1181="DORTEMAG",PR!$O1179,IF(K1181="DGF",PR!$P1179,IF(K1181="DYNAMIC",PR!$Q1179,IF(K1181="EMZOR",PR!$R1179,IF(K1181="EUMATT",PR!$S1179,IF(K1181="FIDSON",PR!$T1179,IF(K1181="FCGLOBAL",PR!$U1179,IF(K1181="GENEITH",PR!$V1179,IF(K1181="GINOS",PR!$W1179,IF(K1181="GSK",PR!$X1179,IF(K1181="GLOBORG",PR!$Y1179,IF(K1181="GOODNEWS",PR!$Z1179,IF(K1181="GREENLIFE",PR!$AA1179,IF(K1181="HLINE",PR!$AB1179,IF(K1181="ROTECH",PR!$AC1179,IF(K1181="ISN",PR!$AD1179,IF(K1181="JAWA",PR!$AE1179,IF(K1181="LAYO",PR!$AF1179,IF(K1181="LEADWAY",PR!$AG1179,IF(K1181="LHV",PR!$AH1179,IF(K1181="MANOLA",PR!$AI1179,IF(K1181="MARCSON",PR!$AJ1179,IF(K1181="M&amp;B",PR!$AK1179,IF(K1181="MTRUST",PR!$AL1179,IF(K1181="MWORLD",PR!$AM1179,IF(K1181="MEGA",PR!$AN1179,IF(K1181="MICRONOVA",PR!$AO1179,IF(K1181="MFLASH",PR!$AP1179,IF(K1181="MORISON",PR!$AQ1179,IF(K1181="NEMEL",PR!$AR1179,IF(K1181="NHP",PR!$AS1179,IF(K1181="NHC",PR!$AT1179,IF(K1181="OLEAF",PR!$AU1179,IF(K1181="OCULUS",PR!$AV1179,IF(K1181="PACIFIC",PR!$AW1179,IF(K1181="PHAMATEX",PR!$AX1179,IF(K1181="PETHICS",PR!$AY1179,IF(K1181="PHILIPS",PR!$AZ1179,IF(K1181="RANBAXY",PR!$BA1179,IF(K1181="REALS",PR!$BB1179,IF(K1181="ROYAL",PR!$BC1179,IF(K1181="SAM",PR!$BD1179,IF(K1181="SEAGREEN",PR!$BE1179,IF(K1181="SKG",PR!$BF1179,IF(K1181="TAH",PR!$BG1179,IF(K1181="TAYLEK",PR!$BH1179,IF(K1181="TEMITA",PR!$BI1179,IF(K1181="THL",PR!$BJ1179,IF(K1181="UBASTIC",PR!$BK1179,IF(K1181="UNION",PR!$BL1179,IF(K1181="UNIQUE",PR!$BM1179,IF(K1181="VIXA",PR!$BN1179,IF(K1181="WWCV",PR!$BO1179,IF(K1181="ZOLON",PR!$BP1179,"-")))))))))))))))))))))))))))))))))))))))))))))))))))))))))))))))))</f>
        <v>12000</v>
      </c>
    </row>
    <row r="1182" spans="1:12" ht="18.75" x14ac:dyDescent="0.3">
      <c r="A1182" s="430">
        <f>PR!A1180</f>
        <v>1058</v>
      </c>
      <c r="B1182" s="15" t="str">
        <f>PR!B1180</f>
        <v>UNIVERSAL PLASTIC BOTTLES (FOR URINE)</v>
      </c>
      <c r="C1182" s="113" t="str">
        <f>PR!D1180</f>
        <v>Pcs</v>
      </c>
      <c r="D1182" s="113">
        <f>PR!C1180</f>
        <v>3000</v>
      </c>
      <c r="E1182" s="108">
        <f>IF(F1182="ALPHA",PR!$E1180,IF(F1182="ASSENE",PR!$F1180,IF(F1182="BIOFEM",PR!$G1180,IF(F1182="BIOMED",PR!$H1180,IF(F1182="CHI",PR!$I1180,IF(F1182="CLARION",PR!$J1180,IF(F1182="CODIX",PR!$K1180,IF(F1182="COSMADE",PR!$L1180,IF(F1182="SANCON",PR!$M1180,IF(F1182="DEVON",PR!$N1180,IF(F1182="DORTEMAG",PR!$O1180,IF(F1182="DGF",PR!$P1180,IF(F1182="DYNAMIC",PR!$Q1180,IF(F1182="EMZOR",PR!$R1180,IF(F1182="EUMATT",PR!$S1180,IF(F1182="FIDSON",PR!$T1180,IF(F1182="FCGLOBAL",PR!$U1180,IF(F1182="GENEITH",PR!$V1180,IF(F1182="GINOS",PR!$W1180,IF(F1182="GSK",PR!$X1180,IF(F1182="GLOBORG",PR!$Y1180,IF(F1182="GOODNEWS",PR!$Z1180,IF(F1182="GREENLIFE",PR!$AA1180,IF(F1182="HLINE",PR!$AB1180,IF(F1182="ROTECH",PR!$AC1180,IF(F1182="ISN",PR!$AD1180,IF(F1182="JAWA",PR!$AE1180,IF(F1182="LAYO",PR!$AF1180,IF(F1182="LEADWAY",PR!$AG1180,IF(F1182="LHV",PR!$AH1180,IF(F1182="MANOLA",PR!$AI1180,IF(F1182="MARCSON",PR!$AJ1180,IF(F1182="M&amp;B",PR!$AK1180,IF(F1182="MTRUST",PR!$AL1180,IF(F1182="MWORLD",PR!$AM1180,IF(F1182="MEGA",PR!$AN1180,IF(F1182="MICRONOVA",PR!$AO1180,IF(F1182="MFLASH",PR!$AP1180,IF(F1182="MORISON",PR!$AQ1180,IF(F1182="NEMEL",PR!$AR1180,IF(F1182="NHP",PR!$AS1180,IF(F1182="NHC",PR!$AT1180,IF(F1182="OLEAF",PR!$AU1180,IF(F1182="OCULUS",PR!$AV1180,IF(F1182="PACIFIC",PR!$AW1180,IF(F1182="PHAMATEX",PR!$AX1180,IF(F1182="PETHICS",PR!$AY1180,IF(F1182="PHILIPS",PR!$AZ1180,IF(F1182="RANBAXY",PR!$BA1180,IF(F1182="REALS",PR!$BB1180,IF(F1182="ROYAL",PR!$BC1180,IF(F1182="SAM",PR!$BD1180,IF(F1182="SEAGREEN",PR!$BE1180,IF(F1182="SKG",PR!$BF1180,IF(F1182="TAH",PR!$BG1180,IF(F1182="TAYLEK",PR!$BH1180,IF(F1182="TEMITA",PR!$BI1180,IF(F1182="THL",PR!$BJ1180,IF(F1182="UBASTIC",PR!$BK1180,IF(F1182="UNION",PR!$BL1180,IF(F1182="UNIQUE",PR!$BM1180,IF(F1182="VIXA",PR!$BN1180,IF(F1182="WWCV",PR!$BO1180,IF(F1182="ZOLON",PR!$BP1180,"-"))))))))))))))))))))))))))))))))))))))))))))))))))))))))))))))))</f>
        <v>26.25</v>
      </c>
      <c r="F1182" s="102" t="str">
        <f>EV!L1492</f>
        <v>LHV</v>
      </c>
      <c r="G1182" s="108">
        <f>IF(H1182="ALPHA",PR!$E1180,IF(H1182="ASSENE",PR!$F1180,IF(H1182="BIOFEM",PR!$G1180,IF(H1182="BIOMED",PR!$H1180,IF(H1182="CHI",PR!$I1180,IF(H1182="CLARION",PR!$J1180,IF(H1182="CODIX",PR!$K1180,IF(H1182="COSMADE",PR!$L1180,IF(H1182="SANCON",PR!$M1180,IF(H1182="DEVON",PR!$N1180,IF(H1182="DORTEMAG",PR!$O1180,IF(H1182="DGF",PR!$P1180,IF(H1182="DYNAMIC",PR!$Q1180,IF(H1182="EMZOR",PR!$R1180,IF(H1182="EUMATT",PR!$S1180,IF(H1182="FIDSON",PR!$T1180,IF(H1182="FCGLOBAL",PR!$U1180,IF(H1182="GENEITH",PR!$V1180,IF(H1182="GINOS",PR!$W1180,IF(H1182="GSK",PR!$X1180,IF(H1182="GLOBORG",PR!$Y1180,IF(H1182="GOODNEWS",PR!$Z1180,IF(H1182="GREENLIFE",PR!$AA1180,IF(H1182="HLINE",PR!$AB1180,IF(H1182="ROTECH",PR!$AC1180,IF(H1182="ISN",PR!$AD1180,IF(H1182="JAWA",PR!$AE1180,IF(H1182="LAYO",PR!$AF1180,IF(H1182="LEADWAY",PR!$AG1180,IF(H1182="LHV",PR!$AH1180,IF(H1182="MANOLA",PR!$AI1180,IF(H1182="MARCSON",PR!$AJ1180,IF(H1182="M&amp;B",PR!$AK1180,IF(H1182="MTRUST",PR!$AL1180,IF(H1182="MWORLD",PR!$AM1180,IF(H1182="MEGA",PR!$AN1180,IF(H1182="MICRONOVA",PR!$AO1180,IF(H1182="MFLASH",PR!$AP1180,IF(H1182="MORISON",PR!$AQ1180,IF(H1182="NEMEL",PR!$AR1180,IF(H1182="NHP",PR!$AS1180,IF(H1182="NHC",PR!$AT1180,IF(H1182="OLEAF",PR!$AU1180,IF(H1182="OCULUS",PR!$AV1180,IF(H1182="PACIFIC",PR!$AW1180,IF(H1182="PHAMATEX",PR!$AX1180,IF(H1182="PETHICS",PR!$AY1180,IF(H1182="PHILIPS",PR!$AZ1180,IF(H1182="RANBAXY",PR!$BA1180,IF(H1182="REALS",PR!$BB1180,IF(H1182="ROYAL",PR!$BC1180,IF(H1182="SAM",PR!$BD1180,IF(H1182="SEAGREEN",PR!$BE1180,IF(H1182="SKG",PR!$BF1180,IF(H1182="TAH",PR!$BG1180,IF(H1182="TAYLEK",PR!$BH1180,IF(H1182="TEMITA",PR!$BI1180,IF(H1182="THL",PR!$BJ1180,IF(H1182="UBASTIC",PR!$BK1180,IF(H1182="UNION",PR!$BL1180,IF(H1182="UNIQUE",PR!$BM1180,IF(H1182="VIXA",PR!$BN1180,IF(H1182="WWCV",PR!$BO1180,IF(H1182="ZOLON",PR!$BP1180,"-"))))))))))))))))))))))))))))))))))))))))))))))))))))))))))))))))</f>
        <v>30</v>
      </c>
      <c r="H1182" s="102" t="str">
        <f>EV!M1492</f>
        <v>SANCON</v>
      </c>
      <c r="I1182" s="108">
        <f>IF(J1182="ALPHA",PR!$E1180,IF(J1182="ASSENE",PR!$F1180,IF(J1182="BIOFEM",PR!$G1180,IF(J1182="BIOMED",PR!$H1180,IF(J1182="CHI",PR!$I1180,IF(J1182="CLARION",PR!$J1180,IF(J1182="CODIX",PR!$K1180,IF(J1182="COSMADE",PR!$L1180,IF(J1182="SANCON",PR!$M1180,IF(J1182="DEVON",PR!$N1180,IF(J1182="DORTEMAG",PR!$O1180,IF(J1182="DGF",PR!$P1180,IF(J1182="DYNAMIC",PR!$Q1180,IF(J1182="EMZOR",PR!$R1180,IF(J1182="EUMATT",PR!$S1180,IF(J1182="FIDSON",PR!$T1180,IF(J1182="FCGLOBAL",PR!$U1180,IF(J1182="GENEITH",PR!$V1180,IF(J1182="GINOS",PR!$W1180,IF(J1182="GSK",PR!$X1180,IF(J1182="GLOBORG",PR!$Y1180,IF(J1182="GOODNEWS",PR!$Z1180,IF(J1182="GREENLIFE",PR!$AA1180,IF(J1182="HLINE",PR!$AB1180,IF(J1182="ROTECH",PR!$AC1180,IF(J1182="ISN",PR!$AD1180,IF(J1182="JAWA",PR!$AE1180,IF(J1182="LAYO",PR!$AF1180,IF(J1182="LEADWAY",PR!$AG1180,IF(J1182="LHV",PR!$AH1180,IF(J1182="MANOLA",PR!$AI1180,IF(J1182="MARCSON",PR!$AJ1180,IF(J1182="M&amp;B",PR!$AK1180,IF(J1182="MTRUST",PR!$AL1180,IF(J1182="MWORLD",PR!$AM1180,IF(J1182="MEGA",PR!$AN1180,IF(J1182="MICRONOVA",PR!$AO1180,IF(J1182="MFLASH",PR!$AP1180,IF(J1182="MORISON",PR!$AQ1180,IF(J1182="NEMEL",PR!$AR1180,IF(J1182="NHP",PR!$AS1180,IF(J1182="NHC",PR!$AT1180,IF(J1182="OLEAF",PR!$AU1180,IF(J1182="OCULUS",PR!$AV1180,IF(J1182="PACIFIC",PR!$AW1180,IF(J1182="PHAMATEX",PR!$AX1180,IF(J1182="PETHICS",PR!$AY1180,IF(J1182="PHILIPS",PR!$AZ1180,IF(J1182="RANBAXY",PR!$BA1180,IF(J1182="REALS",PR!$BB1180,IF(J1182="ROYAL",PR!$BC1180,IF(J1182="SAM",PR!$BD1180,IF(J1182="SEAGREEN",PR!$BE1180,IF(J1182="SKG",PR!$BF1180,IF(J1182="TAH",PR!$BG1180,IF(J1182="TAYLEK",PR!$BH1180,IF(J1182="TEMITA",PR!$BI1180,IF(J1182="THL",PR!$BJ1180,IF(J1182="UBASTIC",PR!$BK1180,IF(J1182="UNION",PR!$BL1180,IF(J1182="UNIQUE",PR!$BM1180,IF(J1182="VIXA",PR!$BN1180,IF(J1182="WWCV",PR!$BO1180,IF(J1182="ZOLON",PR!$BP1180,"-"))))))))))))))))))))))))))))))))))))))))))))))))))))))))))))))))</f>
        <v>32.5</v>
      </c>
      <c r="J1182" s="102" t="str">
        <f>EV!N1492</f>
        <v>TEMITA</v>
      </c>
      <c r="K1182" s="433" t="s">
        <v>1468</v>
      </c>
      <c r="L1182" s="183">
        <f>IF(K1182&gt;0,IF(K1182="ALPHA",PR!$E1180,IF(K1182="ASSENE",PR!$F1180,IF(K1182="BIOFEM",PR!$G1180,IF(K1182="BIOMED",PR!$H1180,IF(K1182="CHI",PR!$I1180,IF(K1182="CLARION",PR!$J1180,IF(K1182="CODIX",PR!$K1180,IF(K1182="COSMADE",PR!$L1180,IF(K1182="SANCON",PR!$M1180,IF(K1182="DEVON",PR!$N1180,IF(K1182="DORTEMAG",PR!$O1180,IF(K1182="DGF",PR!$P1180,IF(K1182="DYNAMIC",PR!$Q1180,IF(K1182="EMZOR",PR!$R1180,IF(K1182="EUMATT",PR!$S1180,IF(K1182="FIDSON",PR!$T1180,IF(K1182="FCGLOBAL",PR!$U1180,IF(K1182="GENEITH",PR!$V1180,IF(K1182="GINOS",PR!$W1180,IF(K1182="GSK",PR!$X1180,IF(K1182="GLOBORG",PR!$Y1180,IF(K1182="GOODNEWS",PR!$Z1180,IF(K1182="GREENLIFE",PR!$AA1180,IF(K1182="HLINE",PR!$AB1180,IF(K1182="ROTECH",PR!$AC1180,IF(K1182="ISN",PR!$AD1180,IF(K1182="JAWA",PR!$AE1180,IF(K1182="LAYO",PR!$AF1180,IF(K1182="LEADWAY",PR!$AG1180,IF(K1182="LHV",PR!$AH1180,IF(K1182="MANOLA",PR!$AI1180,IF(K1182="MARCSON",PR!$AJ1180,IF(K1182="M&amp;B",PR!$AK1180,IF(K1182="MTRUST",PR!$AL1180,IF(K1182="MWORLD",PR!$AM1180,IF(K1182="MEGA",PR!$AN1180,IF(K1182="MICRONOVA",PR!$AO1180,IF(K1182="MFLASH",PR!$AP1180,IF(K1182="MORISON",PR!$AQ1180,IF(K1182="NEMEL",PR!$AR1180,IF(K1182="NHP",PR!$AS1180,IF(K1182="NHC",PR!$AT1180,IF(K1182="OLEAF",PR!$AU1180,IF(K1182="OCULUS",PR!$AV1180,IF(K1182="PACIFIC",PR!$AW1180,IF(K1182="PHAMATEX",PR!$AX1180,IF(K1182="PETHICS",PR!$AY1180,IF(K1182="PHILIPS",PR!$AZ1180,IF(K1182="RANBAXY",PR!$BA1180,IF(K1182="REALS",PR!$BB1180,IF(K1182="ROYAL",PR!$BC1180,IF(K1182="SAM",PR!$BD1180,IF(K1182="SEAGREEN",PR!$BE1180,IF(K1182="SKG",PR!$BF1180,IF(K1182="TAH",PR!$BG1180,IF(K1182="TAYLEK",PR!$BH1180,IF(K1182="TEMITA",PR!$BI1180,IF(K1182="THL",PR!$BJ1180,IF(K1182="UBASTIC",PR!$BK1180,IF(K1182="UNION",PR!$BL1180,IF(K1182="UNIQUE",PR!$BM1180,IF(K1182="VIXA",PR!$BN1180,IF(K1182="WWCV",PR!$BO1180,IF(K1182="ZOLON",PR!$BP1180,"-")))))))))))))))))))))))))))))))))))))))))))))))))))))))))))))))))</f>
        <v>26.25</v>
      </c>
    </row>
    <row r="1183" spans="1:12" ht="18.75" x14ac:dyDescent="0.3">
      <c r="A1183" s="430">
        <f>PR!A1181</f>
        <v>1059</v>
      </c>
      <c r="B1183" s="15" t="str">
        <f>PR!B1181</f>
        <v>HCV KIT (LAB CON)</v>
      </c>
      <c r="C1183" s="113" t="str">
        <f>PR!D1181</f>
        <v>Packs</v>
      </c>
      <c r="D1183" s="113">
        <f>PR!C1181</f>
        <v>60</v>
      </c>
      <c r="E1183" s="108">
        <f>IF(F1183="ALPHA",PR!$E1181,IF(F1183="ASSENE",PR!$F1181,IF(F1183="BIOFEM",PR!$G1181,IF(F1183="BIOMED",PR!$H1181,IF(F1183="CHI",PR!$I1181,IF(F1183="CLARION",PR!$J1181,IF(F1183="CODIX",PR!$K1181,IF(F1183="COSMADE",PR!$L1181,IF(F1183="SANCON",PR!$M1181,IF(F1183="DEVON",PR!$N1181,IF(F1183="DORTEMAG",PR!$O1181,IF(F1183="DGF",PR!$P1181,IF(F1183="DYNAMIC",PR!$Q1181,IF(F1183="EMZOR",PR!$R1181,IF(F1183="EUMATT",PR!$S1181,IF(F1183="FIDSON",PR!$T1181,IF(F1183="FCGLOBAL",PR!$U1181,IF(F1183="GENEITH",PR!$V1181,IF(F1183="GINOS",PR!$W1181,IF(F1183="GSK",PR!$X1181,IF(F1183="GLOBORG",PR!$Y1181,IF(F1183="GOODNEWS",PR!$Z1181,IF(F1183="GREENLIFE",PR!$AA1181,IF(F1183="HLINE",PR!$AB1181,IF(F1183="ROTECH",PR!$AC1181,IF(F1183="ISN",PR!$AD1181,IF(F1183="JAWA",PR!$AE1181,IF(F1183="LAYO",PR!$AF1181,IF(F1183="LEADWAY",PR!$AG1181,IF(F1183="LHV",PR!$AH1181,IF(F1183="MANOLA",PR!$AI1181,IF(F1183="MARCSON",PR!$AJ1181,IF(F1183="M&amp;B",PR!$AK1181,IF(F1183="MTRUST",PR!$AL1181,IF(F1183="MWORLD",PR!$AM1181,IF(F1183="MEGA",PR!$AN1181,IF(F1183="MICRONOVA",PR!$AO1181,IF(F1183="MFLASH",PR!$AP1181,IF(F1183="MORISON",PR!$AQ1181,IF(F1183="NEMEL",PR!$AR1181,IF(F1183="NHP",PR!$AS1181,IF(F1183="NHC",PR!$AT1181,IF(F1183="OLEAF",PR!$AU1181,IF(F1183="OCULUS",PR!$AV1181,IF(F1183="PACIFIC",PR!$AW1181,IF(F1183="PHAMATEX",PR!$AX1181,IF(F1183="PETHICS",PR!$AY1181,IF(F1183="PHILIPS",PR!$AZ1181,IF(F1183="RANBAXY",PR!$BA1181,IF(F1183="REALS",PR!$BB1181,IF(F1183="ROYAL",PR!$BC1181,IF(F1183="SAM",PR!$BD1181,IF(F1183="SEAGREEN",PR!$BE1181,IF(F1183="SKG",PR!$BF1181,IF(F1183="TAH",PR!$BG1181,IF(F1183="TAYLEK",PR!$BH1181,IF(F1183="TEMITA",PR!$BI1181,IF(F1183="THL",PR!$BJ1181,IF(F1183="UBASTIC",PR!$BK1181,IF(F1183="UNION",PR!$BL1181,IF(F1183="UNIQUE",PR!$BM1181,IF(F1183="VIXA",PR!$BN1181,IF(F1183="WWCV",PR!$BO1181,IF(F1183="ZOLON",PR!$BP1181,"-"))))))))))))))))))))))))))))))))))))))))))))))))))))))))))))))))</f>
        <v>5500</v>
      </c>
      <c r="F1183" s="102" t="str">
        <f>EV!L1493</f>
        <v>UBASTIC</v>
      </c>
      <c r="G1183" s="108">
        <f>IF(H1183="ALPHA",PR!$E1181,IF(H1183="ASSENE",PR!$F1181,IF(H1183="BIOFEM",PR!$G1181,IF(H1183="BIOMED",PR!$H1181,IF(H1183="CHI",PR!$I1181,IF(H1183="CLARION",PR!$J1181,IF(H1183="CODIX",PR!$K1181,IF(H1183="COSMADE",PR!$L1181,IF(H1183="SANCON",PR!$M1181,IF(H1183="DEVON",PR!$N1181,IF(H1183="DORTEMAG",PR!$O1181,IF(H1183="DGF",PR!$P1181,IF(H1183="DYNAMIC",PR!$Q1181,IF(H1183="EMZOR",PR!$R1181,IF(H1183="EUMATT",PR!$S1181,IF(H1183="FIDSON",PR!$T1181,IF(H1183="FCGLOBAL",PR!$U1181,IF(H1183="GENEITH",PR!$V1181,IF(H1183="GINOS",PR!$W1181,IF(H1183="GSK",PR!$X1181,IF(H1183="GLOBORG",PR!$Y1181,IF(H1183="GOODNEWS",PR!$Z1181,IF(H1183="GREENLIFE",PR!$AA1181,IF(H1183="HLINE",PR!$AB1181,IF(H1183="ROTECH",PR!$AC1181,IF(H1183="ISN",PR!$AD1181,IF(H1183="JAWA",PR!$AE1181,IF(H1183="LAYO",PR!$AF1181,IF(H1183="LEADWAY",PR!$AG1181,IF(H1183="LHV",PR!$AH1181,IF(H1183="MANOLA",PR!$AI1181,IF(H1183="MARCSON",PR!$AJ1181,IF(H1183="M&amp;B",PR!$AK1181,IF(H1183="MTRUST",PR!$AL1181,IF(H1183="MWORLD",PR!$AM1181,IF(H1183="MEGA",PR!$AN1181,IF(H1183="MICRONOVA",PR!$AO1181,IF(H1183="MFLASH",PR!$AP1181,IF(H1183="MORISON",PR!$AQ1181,IF(H1183="NEMEL",PR!$AR1181,IF(H1183="NHP",PR!$AS1181,IF(H1183="NHC",PR!$AT1181,IF(H1183="OLEAF",PR!$AU1181,IF(H1183="OCULUS",PR!$AV1181,IF(H1183="PACIFIC",PR!$AW1181,IF(H1183="PHAMATEX",PR!$AX1181,IF(H1183="PETHICS",PR!$AY1181,IF(H1183="PHILIPS",PR!$AZ1181,IF(H1183="RANBAXY",PR!$BA1181,IF(H1183="REALS",PR!$BB1181,IF(H1183="ROYAL",PR!$BC1181,IF(H1183="SAM",PR!$BD1181,IF(H1183="SEAGREEN",PR!$BE1181,IF(H1183="SKG",PR!$BF1181,IF(H1183="TAH",PR!$BG1181,IF(H1183="TAYLEK",PR!$BH1181,IF(H1183="TEMITA",PR!$BI1181,IF(H1183="THL",PR!$BJ1181,IF(H1183="UBASTIC",PR!$BK1181,IF(H1183="UNION",PR!$BL1181,IF(H1183="UNIQUE",PR!$BM1181,IF(H1183="VIXA",PR!$BN1181,IF(H1183="WWCV",PR!$BO1181,IF(H1183="ZOLON",PR!$BP1181,"-"))))))))))))))))))))))))))))))))))))))))))))))))))))))))))))))))</f>
        <v>5600</v>
      </c>
      <c r="H1183" s="102" t="str">
        <f>EV!M1493</f>
        <v>SANCON</v>
      </c>
      <c r="I1183" s="108">
        <f>IF(J1183="ALPHA",PR!$E1181,IF(J1183="ASSENE",PR!$F1181,IF(J1183="BIOFEM",PR!$G1181,IF(J1183="BIOMED",PR!$H1181,IF(J1183="CHI",PR!$I1181,IF(J1183="CLARION",PR!$J1181,IF(J1183="CODIX",PR!$K1181,IF(J1183="COSMADE",PR!$L1181,IF(J1183="SANCON",PR!$M1181,IF(J1183="DEVON",PR!$N1181,IF(J1183="DORTEMAG",PR!$O1181,IF(J1183="DGF",PR!$P1181,IF(J1183="DYNAMIC",PR!$Q1181,IF(J1183="EMZOR",PR!$R1181,IF(J1183="EUMATT",PR!$S1181,IF(J1183="FIDSON",PR!$T1181,IF(J1183="FCGLOBAL",PR!$U1181,IF(J1183="GENEITH",PR!$V1181,IF(J1183="GINOS",PR!$W1181,IF(J1183="GSK",PR!$X1181,IF(J1183="GLOBORG",PR!$Y1181,IF(J1183="GOODNEWS",PR!$Z1181,IF(J1183="GREENLIFE",PR!$AA1181,IF(J1183="HLINE",PR!$AB1181,IF(J1183="ROTECH",PR!$AC1181,IF(J1183="ISN",PR!$AD1181,IF(J1183="JAWA",PR!$AE1181,IF(J1183="LAYO",PR!$AF1181,IF(J1183="LEADWAY",PR!$AG1181,IF(J1183="LHV",PR!$AH1181,IF(J1183="MANOLA",PR!$AI1181,IF(J1183="MARCSON",PR!$AJ1181,IF(J1183="M&amp;B",PR!$AK1181,IF(J1183="MTRUST",PR!$AL1181,IF(J1183="MWORLD",PR!$AM1181,IF(J1183="MEGA",PR!$AN1181,IF(J1183="MICRONOVA",PR!$AO1181,IF(J1183="MFLASH",PR!$AP1181,IF(J1183="MORISON",PR!$AQ1181,IF(J1183="NEMEL",PR!$AR1181,IF(J1183="NHP",PR!$AS1181,IF(J1183="NHC",PR!$AT1181,IF(J1183="OLEAF",PR!$AU1181,IF(J1183="OCULUS",PR!$AV1181,IF(J1183="PACIFIC",PR!$AW1181,IF(J1183="PHAMATEX",PR!$AX1181,IF(J1183="PETHICS",PR!$AY1181,IF(J1183="PHILIPS",PR!$AZ1181,IF(J1183="RANBAXY",PR!$BA1181,IF(J1183="REALS",PR!$BB1181,IF(J1183="ROYAL",PR!$BC1181,IF(J1183="SAM",PR!$BD1181,IF(J1183="SEAGREEN",PR!$BE1181,IF(J1183="SKG",PR!$BF1181,IF(J1183="TAH",PR!$BG1181,IF(J1183="TAYLEK",PR!$BH1181,IF(J1183="TEMITA",PR!$BI1181,IF(J1183="THL",PR!$BJ1181,IF(J1183="UBASTIC",PR!$BK1181,IF(J1183="UNION",PR!$BL1181,IF(J1183="UNIQUE",PR!$BM1181,IF(J1183="VIXA",PR!$BN1181,IF(J1183="WWCV",PR!$BO1181,IF(J1183="ZOLON",PR!$BP1181,"-"))))))))))))))))))))))))))))))))))))))))))))))))))))))))))))))))</f>
        <v>5850</v>
      </c>
      <c r="J1183" s="102" t="str">
        <f>EV!N1493</f>
        <v>LAYO</v>
      </c>
      <c r="K1183" s="433" t="s">
        <v>1459</v>
      </c>
      <c r="L1183" s="183">
        <f>IF(K1183&gt;0,IF(K1183="ALPHA",PR!$E1181,IF(K1183="ASSENE",PR!$F1181,IF(K1183="BIOFEM",PR!$G1181,IF(K1183="BIOMED",PR!$H1181,IF(K1183="CHI",PR!$I1181,IF(K1183="CLARION",PR!$J1181,IF(K1183="CODIX",PR!$K1181,IF(K1183="COSMADE",PR!$L1181,IF(K1183="SANCON",PR!$M1181,IF(K1183="DEVON",PR!$N1181,IF(K1183="DORTEMAG",PR!$O1181,IF(K1183="DGF",PR!$P1181,IF(K1183="DYNAMIC",PR!$Q1181,IF(K1183="EMZOR",PR!$R1181,IF(K1183="EUMATT",PR!$S1181,IF(K1183="FIDSON",PR!$T1181,IF(K1183="FCGLOBAL",PR!$U1181,IF(K1183="GENEITH",PR!$V1181,IF(K1183="GINOS",PR!$W1181,IF(K1183="GSK",PR!$X1181,IF(K1183="GLOBORG",PR!$Y1181,IF(K1183="GOODNEWS",PR!$Z1181,IF(K1183="GREENLIFE",PR!$AA1181,IF(K1183="HLINE",PR!$AB1181,IF(K1183="ROTECH",PR!$AC1181,IF(K1183="ISN",PR!$AD1181,IF(K1183="JAWA",PR!$AE1181,IF(K1183="LAYO",PR!$AF1181,IF(K1183="LEADWAY",PR!$AG1181,IF(K1183="LHV",PR!$AH1181,IF(K1183="MANOLA",PR!$AI1181,IF(K1183="MARCSON",PR!$AJ1181,IF(K1183="M&amp;B",PR!$AK1181,IF(K1183="MTRUST",PR!$AL1181,IF(K1183="MWORLD",PR!$AM1181,IF(K1183="MEGA",PR!$AN1181,IF(K1183="MICRONOVA",PR!$AO1181,IF(K1183="MFLASH",PR!$AP1181,IF(K1183="MORISON",PR!$AQ1181,IF(K1183="NEMEL",PR!$AR1181,IF(K1183="NHP",PR!$AS1181,IF(K1183="NHC",PR!$AT1181,IF(K1183="OLEAF",PR!$AU1181,IF(K1183="OCULUS",PR!$AV1181,IF(K1183="PACIFIC",PR!$AW1181,IF(K1183="PHAMATEX",PR!$AX1181,IF(K1183="PETHICS",PR!$AY1181,IF(K1183="PHILIPS",PR!$AZ1181,IF(K1183="RANBAXY",PR!$BA1181,IF(K1183="REALS",PR!$BB1181,IF(K1183="ROYAL",PR!$BC1181,IF(K1183="SAM",PR!$BD1181,IF(K1183="SEAGREEN",PR!$BE1181,IF(K1183="SKG",PR!$BF1181,IF(K1183="TAH",PR!$BG1181,IF(K1183="TAYLEK",PR!$BH1181,IF(K1183="TEMITA",PR!$BI1181,IF(K1183="THL",PR!$BJ1181,IF(K1183="UBASTIC",PR!$BK1181,IF(K1183="UNION",PR!$BL1181,IF(K1183="UNIQUE",PR!$BM1181,IF(K1183="VIXA",PR!$BN1181,IF(K1183="WWCV",PR!$BO1181,IF(K1183="ZOLON",PR!$BP1181,"-")))))))))))))))))))))))))))))))))))))))))))))))))))))))))))))))))</f>
        <v>5500</v>
      </c>
    </row>
    <row r="1184" spans="1:12" ht="18.75" x14ac:dyDescent="0.3">
      <c r="A1184" s="430">
        <f>PR!A1182</f>
        <v>1060</v>
      </c>
      <c r="B1184" s="15" t="str">
        <f>PR!B1182</f>
        <v>HbsAG KITS (LAB CON)</v>
      </c>
      <c r="C1184" s="113" t="str">
        <f>PR!D1182</f>
        <v>Packs</v>
      </c>
      <c r="D1184" s="113">
        <f>PR!C1182</f>
        <v>60</v>
      </c>
      <c r="E1184" s="108">
        <f>IF(F1184="ALPHA",PR!$E1182,IF(F1184="ASSENE",PR!$F1182,IF(F1184="BIOFEM",PR!$G1182,IF(F1184="BIOMED",PR!$H1182,IF(F1184="CHI",PR!$I1182,IF(F1184="CLARION",PR!$J1182,IF(F1184="CODIX",PR!$K1182,IF(F1184="COSMADE",PR!$L1182,IF(F1184="SANCON",PR!$M1182,IF(F1184="DEVON",PR!$N1182,IF(F1184="DORTEMAG",PR!$O1182,IF(F1184="DGF",PR!$P1182,IF(F1184="DYNAMIC",PR!$Q1182,IF(F1184="EMZOR",PR!$R1182,IF(F1184="EUMATT",PR!$S1182,IF(F1184="FIDSON",PR!$T1182,IF(F1184="FCGLOBAL",PR!$U1182,IF(F1184="GENEITH",PR!$V1182,IF(F1184="GINOS",PR!$W1182,IF(F1184="GSK",PR!$X1182,IF(F1184="GLOBORG",PR!$Y1182,IF(F1184="GOODNEWS",PR!$Z1182,IF(F1184="GREENLIFE",PR!$AA1182,IF(F1184="HLINE",PR!$AB1182,IF(F1184="ROTECH",PR!$AC1182,IF(F1184="ISN",PR!$AD1182,IF(F1184="JAWA",PR!$AE1182,IF(F1184="LAYO",PR!$AF1182,IF(F1184="LEADWAY",PR!$AG1182,IF(F1184="LHV",PR!$AH1182,IF(F1184="MANOLA",PR!$AI1182,IF(F1184="MARCSON",PR!$AJ1182,IF(F1184="M&amp;B",PR!$AK1182,IF(F1184="MTRUST",PR!$AL1182,IF(F1184="MWORLD",PR!$AM1182,IF(F1184="MEGA",PR!$AN1182,IF(F1184="MICRONOVA",PR!$AO1182,IF(F1184="MFLASH",PR!$AP1182,IF(F1184="MORISON",PR!$AQ1182,IF(F1184="NEMEL",PR!$AR1182,IF(F1184="NHP",PR!$AS1182,IF(F1184="NHC",PR!$AT1182,IF(F1184="OLEAF",PR!$AU1182,IF(F1184="OCULUS",PR!$AV1182,IF(F1184="PACIFIC",PR!$AW1182,IF(F1184="PHAMATEX",PR!$AX1182,IF(F1184="PETHICS",PR!$AY1182,IF(F1184="PHILIPS",PR!$AZ1182,IF(F1184="RANBAXY",PR!$BA1182,IF(F1184="REALS",PR!$BB1182,IF(F1184="ROYAL",PR!$BC1182,IF(F1184="SAM",PR!$BD1182,IF(F1184="SEAGREEN",PR!$BE1182,IF(F1184="SKG",PR!$BF1182,IF(F1184="TAH",PR!$BG1182,IF(F1184="TAYLEK",PR!$BH1182,IF(F1184="TEMITA",PR!$BI1182,IF(F1184="THL",PR!$BJ1182,IF(F1184="UBASTIC",PR!$BK1182,IF(F1184="UNION",PR!$BL1182,IF(F1184="UNIQUE",PR!$BM1182,IF(F1184="VIXA",PR!$BN1182,IF(F1184="WWCV",PR!$BO1182,IF(F1184="ZOLON",PR!$BP1182,"-"))))))))))))))))))))))))))))))))))))))))))))))))))))))))))))))))</f>
        <v>3800</v>
      </c>
      <c r="F1184" s="102" t="str">
        <f>EV!L1494</f>
        <v>UBASTIC</v>
      </c>
      <c r="G1184" s="108">
        <f>IF(H1184="ALPHA",PR!$E1182,IF(H1184="ASSENE",PR!$F1182,IF(H1184="BIOFEM",PR!$G1182,IF(H1184="BIOMED",PR!$H1182,IF(H1184="CHI",PR!$I1182,IF(H1184="CLARION",PR!$J1182,IF(H1184="CODIX",PR!$K1182,IF(H1184="COSMADE",PR!$L1182,IF(H1184="SANCON",PR!$M1182,IF(H1184="DEVON",PR!$N1182,IF(H1184="DORTEMAG",PR!$O1182,IF(H1184="DGF",PR!$P1182,IF(H1184="DYNAMIC",PR!$Q1182,IF(H1184="EMZOR",PR!$R1182,IF(H1184="EUMATT",PR!$S1182,IF(H1184="FIDSON",PR!$T1182,IF(H1184="FCGLOBAL",PR!$U1182,IF(H1184="GENEITH",PR!$V1182,IF(H1184="GINOS",PR!$W1182,IF(H1184="GSK",PR!$X1182,IF(H1184="GLOBORG",PR!$Y1182,IF(H1184="GOODNEWS",PR!$Z1182,IF(H1184="GREENLIFE",PR!$AA1182,IF(H1184="HLINE",PR!$AB1182,IF(H1184="ROTECH",PR!$AC1182,IF(H1184="ISN",PR!$AD1182,IF(H1184="JAWA",PR!$AE1182,IF(H1184="LAYO",PR!$AF1182,IF(H1184="LEADWAY",PR!$AG1182,IF(H1184="LHV",PR!$AH1182,IF(H1184="MANOLA",PR!$AI1182,IF(H1184="MARCSON",PR!$AJ1182,IF(H1184="M&amp;B",PR!$AK1182,IF(H1184="MTRUST",PR!$AL1182,IF(H1184="MWORLD",PR!$AM1182,IF(H1184="MEGA",PR!$AN1182,IF(H1184="MICRONOVA",PR!$AO1182,IF(H1184="MFLASH",PR!$AP1182,IF(H1184="MORISON",PR!$AQ1182,IF(H1184="NEMEL",PR!$AR1182,IF(H1184="NHP",PR!$AS1182,IF(H1184="NHC",PR!$AT1182,IF(H1184="OLEAF",PR!$AU1182,IF(H1184="OCULUS",PR!$AV1182,IF(H1184="PACIFIC",PR!$AW1182,IF(H1184="PHAMATEX",PR!$AX1182,IF(H1184="PETHICS",PR!$AY1182,IF(H1184="PHILIPS",PR!$AZ1182,IF(H1184="RANBAXY",PR!$BA1182,IF(H1184="REALS",PR!$BB1182,IF(H1184="ROYAL",PR!$BC1182,IF(H1184="SAM",PR!$BD1182,IF(H1184="SEAGREEN",PR!$BE1182,IF(H1184="SKG",PR!$BF1182,IF(H1184="TAH",PR!$BG1182,IF(H1184="TAYLEK",PR!$BH1182,IF(H1184="TEMITA",PR!$BI1182,IF(H1184="THL",PR!$BJ1182,IF(H1184="UBASTIC",PR!$BK1182,IF(H1184="UNION",PR!$BL1182,IF(H1184="UNIQUE",PR!$BM1182,IF(H1184="VIXA",PR!$BN1182,IF(H1184="WWCV",PR!$BO1182,IF(H1184="ZOLON",PR!$BP1182,"-"))))))))))))))))))))))))))))))))))))))))))))))))))))))))))))))))</f>
        <v>3990</v>
      </c>
      <c r="H1184" s="102" t="str">
        <f>EV!M1494</f>
        <v>SANCON</v>
      </c>
      <c r="I1184" s="108">
        <f>IF(J1184="ALPHA",PR!$E1182,IF(J1184="ASSENE",PR!$F1182,IF(J1184="BIOFEM",PR!$G1182,IF(J1184="BIOMED",PR!$H1182,IF(J1184="CHI",PR!$I1182,IF(J1184="CLARION",PR!$J1182,IF(J1184="CODIX",PR!$K1182,IF(J1184="COSMADE",PR!$L1182,IF(J1184="SANCON",PR!$M1182,IF(J1184="DEVON",PR!$N1182,IF(J1184="DORTEMAG",PR!$O1182,IF(J1184="DGF",PR!$P1182,IF(J1184="DYNAMIC",PR!$Q1182,IF(J1184="EMZOR",PR!$R1182,IF(J1184="EUMATT",PR!$S1182,IF(J1184="FIDSON",PR!$T1182,IF(J1184="FCGLOBAL",PR!$U1182,IF(J1184="GENEITH",PR!$V1182,IF(J1184="GINOS",PR!$W1182,IF(J1184="GSK",PR!$X1182,IF(J1184="GLOBORG",PR!$Y1182,IF(J1184="GOODNEWS",PR!$Z1182,IF(J1184="GREENLIFE",PR!$AA1182,IF(J1184="HLINE",PR!$AB1182,IF(J1184="ROTECH",PR!$AC1182,IF(J1184="ISN",PR!$AD1182,IF(J1184="JAWA",PR!$AE1182,IF(J1184="LAYO",PR!$AF1182,IF(J1184="LEADWAY",PR!$AG1182,IF(J1184="LHV",PR!$AH1182,IF(J1184="MANOLA",PR!$AI1182,IF(J1184="MARCSON",PR!$AJ1182,IF(J1184="M&amp;B",PR!$AK1182,IF(J1184="MTRUST",PR!$AL1182,IF(J1184="MWORLD",PR!$AM1182,IF(J1184="MEGA",PR!$AN1182,IF(J1184="MICRONOVA",PR!$AO1182,IF(J1184="MFLASH",PR!$AP1182,IF(J1184="MORISON",PR!$AQ1182,IF(J1184="NEMEL",PR!$AR1182,IF(J1184="NHP",PR!$AS1182,IF(J1184="NHC",PR!$AT1182,IF(J1184="OLEAF",PR!$AU1182,IF(J1184="OCULUS",PR!$AV1182,IF(J1184="PACIFIC",PR!$AW1182,IF(J1184="PHAMATEX",PR!$AX1182,IF(J1184="PETHICS",PR!$AY1182,IF(J1184="PHILIPS",PR!$AZ1182,IF(J1184="RANBAXY",PR!$BA1182,IF(J1184="REALS",PR!$BB1182,IF(J1184="ROYAL",PR!$BC1182,IF(J1184="SAM",PR!$BD1182,IF(J1184="SEAGREEN",PR!$BE1182,IF(J1184="SKG",PR!$BF1182,IF(J1184="TAH",PR!$BG1182,IF(J1184="TAYLEK",PR!$BH1182,IF(J1184="TEMITA",PR!$BI1182,IF(J1184="THL",PR!$BJ1182,IF(J1184="UBASTIC",PR!$BK1182,IF(J1184="UNION",PR!$BL1182,IF(J1184="UNIQUE",PR!$BM1182,IF(J1184="VIXA",PR!$BN1182,IF(J1184="WWCV",PR!$BO1182,IF(J1184="ZOLON",PR!$BP1182,"-"))))))))))))))))))))))))))))))))))))))))))))))))))))))))))))))))</f>
        <v>4200</v>
      </c>
      <c r="J1184" s="102" t="str">
        <f>EV!N1494</f>
        <v>TEMITA</v>
      </c>
      <c r="K1184" s="433" t="s">
        <v>1459</v>
      </c>
      <c r="L1184" s="183">
        <f>IF(K1184&gt;0,IF(K1184="ALPHA",PR!$E1182,IF(K1184="ASSENE",PR!$F1182,IF(K1184="BIOFEM",PR!$G1182,IF(K1184="BIOMED",PR!$H1182,IF(K1184="CHI",PR!$I1182,IF(K1184="CLARION",PR!$J1182,IF(K1184="CODIX",PR!$K1182,IF(K1184="COSMADE",PR!$L1182,IF(K1184="SANCON",PR!$M1182,IF(K1184="DEVON",PR!$N1182,IF(K1184="DORTEMAG",PR!$O1182,IF(K1184="DGF",PR!$P1182,IF(K1184="DYNAMIC",PR!$Q1182,IF(K1184="EMZOR",PR!$R1182,IF(K1184="EUMATT",PR!$S1182,IF(K1184="FIDSON",PR!$T1182,IF(K1184="FCGLOBAL",PR!$U1182,IF(K1184="GENEITH",PR!$V1182,IF(K1184="GINOS",PR!$W1182,IF(K1184="GSK",PR!$X1182,IF(K1184="GLOBORG",PR!$Y1182,IF(K1184="GOODNEWS",PR!$Z1182,IF(K1184="GREENLIFE",PR!$AA1182,IF(K1184="HLINE",PR!$AB1182,IF(K1184="ROTECH",PR!$AC1182,IF(K1184="ISN",PR!$AD1182,IF(K1184="JAWA",PR!$AE1182,IF(K1184="LAYO",PR!$AF1182,IF(K1184="LEADWAY",PR!$AG1182,IF(K1184="LHV",PR!$AH1182,IF(K1184="MANOLA",PR!$AI1182,IF(K1184="MARCSON",PR!$AJ1182,IF(K1184="M&amp;B",PR!$AK1182,IF(K1184="MTRUST",PR!$AL1182,IF(K1184="MWORLD",PR!$AM1182,IF(K1184="MEGA",PR!$AN1182,IF(K1184="MICRONOVA",PR!$AO1182,IF(K1184="MFLASH",PR!$AP1182,IF(K1184="MORISON",PR!$AQ1182,IF(K1184="NEMEL",PR!$AR1182,IF(K1184="NHP",PR!$AS1182,IF(K1184="NHC",PR!$AT1182,IF(K1184="OLEAF",PR!$AU1182,IF(K1184="OCULUS",PR!$AV1182,IF(K1184="PACIFIC",PR!$AW1182,IF(K1184="PHAMATEX",PR!$AX1182,IF(K1184="PETHICS",PR!$AY1182,IF(K1184="PHILIPS",PR!$AZ1182,IF(K1184="RANBAXY",PR!$BA1182,IF(K1184="REALS",PR!$BB1182,IF(K1184="ROYAL",PR!$BC1182,IF(K1184="SAM",PR!$BD1182,IF(K1184="SEAGREEN",PR!$BE1182,IF(K1184="SKG",PR!$BF1182,IF(K1184="TAH",PR!$BG1182,IF(K1184="TAYLEK",PR!$BH1182,IF(K1184="TEMITA",PR!$BI1182,IF(K1184="THL",PR!$BJ1182,IF(K1184="UBASTIC",PR!$BK1182,IF(K1184="UNION",PR!$BL1182,IF(K1184="UNIQUE",PR!$BM1182,IF(K1184="VIXA",PR!$BN1182,IF(K1184="WWCV",PR!$BO1182,IF(K1184="ZOLON",PR!$BP1182,"-")))))))))))))))))))))))))))))))))))))))))))))))))))))))))))))))))</f>
        <v>3800</v>
      </c>
    </row>
    <row r="1185" spans="1:12" ht="18.75" x14ac:dyDescent="0.3">
      <c r="A1185" s="430">
        <f>PR!A1183</f>
        <v>1061</v>
      </c>
      <c r="B1185" s="15" t="str">
        <f>PR!B1183</f>
        <v>HIV KITS</v>
      </c>
      <c r="C1185" s="113" t="str">
        <f>PR!D1183</f>
        <v>Pkts</v>
      </c>
      <c r="D1185" s="113">
        <f>PR!C1183</f>
        <v>42</v>
      </c>
      <c r="E1185" s="108">
        <f>IF(F1185="ALPHA",PR!$E1183,IF(F1185="ASSENE",PR!$F1183,IF(F1185="BIOFEM",PR!$G1183,IF(F1185="BIOMED",PR!$H1183,IF(F1185="CHI",PR!$I1183,IF(F1185="CLARION",PR!$J1183,IF(F1185="CODIX",PR!$K1183,IF(F1185="COSMADE",PR!$L1183,IF(F1185="SANCON",PR!$M1183,IF(F1185="DEVON",PR!$N1183,IF(F1185="DORTEMAG",PR!$O1183,IF(F1185="DGF",PR!$P1183,IF(F1185="DYNAMIC",PR!$Q1183,IF(F1185="EMZOR",PR!$R1183,IF(F1185="EUMATT",PR!$S1183,IF(F1185="FIDSON",PR!$T1183,IF(F1185="FCGLOBAL",PR!$U1183,IF(F1185="GENEITH",PR!$V1183,IF(F1185="GINOS",PR!$W1183,IF(F1185="GSK",PR!$X1183,IF(F1185="GLOBORG",PR!$Y1183,IF(F1185="GOODNEWS",PR!$Z1183,IF(F1185="GREENLIFE",PR!$AA1183,IF(F1185="HLINE",PR!$AB1183,IF(F1185="ROTECH",PR!$AC1183,IF(F1185="ISN",PR!$AD1183,IF(F1185="JAWA",PR!$AE1183,IF(F1185="LAYO",PR!$AF1183,IF(F1185="LEADWAY",PR!$AG1183,IF(F1185="LHV",PR!$AH1183,IF(F1185="MANOLA",PR!$AI1183,IF(F1185="MARCSON",PR!$AJ1183,IF(F1185="M&amp;B",PR!$AK1183,IF(F1185="MTRUST",PR!$AL1183,IF(F1185="MWORLD",PR!$AM1183,IF(F1185="MEGA",PR!$AN1183,IF(F1185="MICRONOVA",PR!$AO1183,IF(F1185="MFLASH",PR!$AP1183,IF(F1185="MORISON",PR!$AQ1183,IF(F1185="NEMEL",PR!$AR1183,IF(F1185="NHP",PR!$AS1183,IF(F1185="NHC",PR!$AT1183,IF(F1185="OLEAF",PR!$AU1183,IF(F1185="OCULUS",PR!$AV1183,IF(F1185="PACIFIC",PR!$AW1183,IF(F1185="PHAMATEX",PR!$AX1183,IF(F1185="PETHICS",PR!$AY1183,IF(F1185="PHILIPS",PR!$AZ1183,IF(F1185="RANBAXY",PR!$BA1183,IF(F1185="REALS",PR!$BB1183,IF(F1185="ROYAL",PR!$BC1183,IF(F1185="SAM",PR!$BD1183,IF(F1185="SEAGREEN",PR!$BE1183,IF(F1185="SKG",PR!$BF1183,IF(F1185="TAH",PR!$BG1183,IF(F1185="TAYLEK",PR!$BH1183,IF(F1185="TEMITA",PR!$BI1183,IF(F1185="THL",PR!$BJ1183,IF(F1185="UBASTIC",PR!$BK1183,IF(F1185="UNION",PR!$BL1183,IF(F1185="UNIQUE",PR!$BM1183,IF(F1185="VIXA",PR!$BN1183,IF(F1185="WWCV",PR!$BO1183,IF(F1185="ZOLON",PR!$BP1183,"-"))))))))))))))))))))))))))))))))))))))))))))))))))))))))))))))))</f>
        <v>15500</v>
      </c>
      <c r="F1185" s="102" t="str">
        <f>EV!L1495</f>
        <v>SANCON</v>
      </c>
      <c r="G1185" s="108">
        <f>IF(H1185="ALPHA",PR!$E1183,IF(H1185="ASSENE",PR!$F1183,IF(H1185="BIOFEM",PR!$G1183,IF(H1185="BIOMED",PR!$H1183,IF(H1185="CHI",PR!$I1183,IF(H1185="CLARION",PR!$J1183,IF(H1185="CODIX",PR!$K1183,IF(H1185="COSMADE",PR!$L1183,IF(H1185="SANCON",PR!$M1183,IF(H1185="DEVON",PR!$N1183,IF(H1185="DORTEMAG",PR!$O1183,IF(H1185="DGF",PR!$P1183,IF(H1185="DYNAMIC",PR!$Q1183,IF(H1185="EMZOR",PR!$R1183,IF(H1185="EUMATT",PR!$S1183,IF(H1185="FIDSON",PR!$T1183,IF(H1185="FCGLOBAL",PR!$U1183,IF(H1185="GENEITH",PR!$V1183,IF(H1185="GINOS",PR!$W1183,IF(H1185="GSK",PR!$X1183,IF(H1185="GLOBORG",PR!$Y1183,IF(H1185="GOODNEWS",PR!$Z1183,IF(H1185="GREENLIFE",PR!$AA1183,IF(H1185="HLINE",PR!$AB1183,IF(H1185="ROTECH",PR!$AC1183,IF(H1185="ISN",PR!$AD1183,IF(H1185="JAWA",PR!$AE1183,IF(H1185="LAYO",PR!$AF1183,IF(H1185="LEADWAY",PR!$AG1183,IF(H1185="LHV",PR!$AH1183,IF(H1185="MANOLA",PR!$AI1183,IF(H1185="MARCSON",PR!$AJ1183,IF(H1185="M&amp;B",PR!$AK1183,IF(H1185="MTRUST",PR!$AL1183,IF(H1185="MWORLD",PR!$AM1183,IF(H1185="MEGA",PR!$AN1183,IF(H1185="MICRONOVA",PR!$AO1183,IF(H1185="MFLASH",PR!$AP1183,IF(H1185="MORISON",PR!$AQ1183,IF(H1185="NEMEL",PR!$AR1183,IF(H1185="NHP",PR!$AS1183,IF(H1185="NHC",PR!$AT1183,IF(H1185="OLEAF",PR!$AU1183,IF(H1185="OCULUS",PR!$AV1183,IF(H1185="PACIFIC",PR!$AW1183,IF(H1185="PHAMATEX",PR!$AX1183,IF(H1185="PETHICS",PR!$AY1183,IF(H1185="PHILIPS",PR!$AZ1183,IF(H1185="RANBAXY",PR!$BA1183,IF(H1185="REALS",PR!$BB1183,IF(H1185="ROYAL",PR!$BC1183,IF(H1185="SAM",PR!$BD1183,IF(H1185="SEAGREEN",PR!$BE1183,IF(H1185="SKG",PR!$BF1183,IF(H1185="TAH",PR!$BG1183,IF(H1185="TAYLEK",PR!$BH1183,IF(H1185="TEMITA",PR!$BI1183,IF(H1185="THL",PR!$BJ1183,IF(H1185="UBASTIC",PR!$BK1183,IF(H1185="UNION",PR!$BL1183,IF(H1185="UNIQUE",PR!$BM1183,IF(H1185="VIXA",PR!$BN1183,IF(H1185="WWCV",PR!$BO1183,IF(H1185="ZOLON",PR!$BP1183,"-"))))))))))))))))))))))))))))))))))))))))))))))))))))))))))))))))</f>
        <v>16250</v>
      </c>
      <c r="H1185" s="102" t="str">
        <f>EV!M1495</f>
        <v>DYNAMIC</v>
      </c>
      <c r="I1185" s="108">
        <f>IF(J1185="ALPHA",PR!$E1183,IF(J1185="ASSENE",PR!$F1183,IF(J1185="BIOFEM",PR!$G1183,IF(J1185="BIOMED",PR!$H1183,IF(J1185="CHI",PR!$I1183,IF(J1185="CLARION",PR!$J1183,IF(J1185="CODIX",PR!$K1183,IF(J1185="COSMADE",PR!$L1183,IF(J1185="SANCON",PR!$M1183,IF(J1185="DEVON",PR!$N1183,IF(J1185="DORTEMAG",PR!$O1183,IF(J1185="DGF",PR!$P1183,IF(J1185="DYNAMIC",PR!$Q1183,IF(J1185="EMZOR",PR!$R1183,IF(J1185="EUMATT",PR!$S1183,IF(J1185="FIDSON",PR!$T1183,IF(J1185="FCGLOBAL",PR!$U1183,IF(J1185="GENEITH",PR!$V1183,IF(J1185="GINOS",PR!$W1183,IF(J1185="GSK",PR!$X1183,IF(J1185="GLOBORG",PR!$Y1183,IF(J1185="GOODNEWS",PR!$Z1183,IF(J1185="GREENLIFE",PR!$AA1183,IF(J1185="HLINE",PR!$AB1183,IF(J1185="ROTECH",PR!$AC1183,IF(J1185="ISN",PR!$AD1183,IF(J1185="JAWA",PR!$AE1183,IF(J1185="LAYO",PR!$AF1183,IF(J1185="LEADWAY",PR!$AG1183,IF(J1185="LHV",PR!$AH1183,IF(J1185="MANOLA",PR!$AI1183,IF(J1185="MARCSON",PR!$AJ1183,IF(J1185="M&amp;B",PR!$AK1183,IF(J1185="MTRUST",PR!$AL1183,IF(J1185="MWORLD",PR!$AM1183,IF(J1185="MEGA",PR!$AN1183,IF(J1185="MICRONOVA",PR!$AO1183,IF(J1185="MFLASH",PR!$AP1183,IF(J1185="MORISON",PR!$AQ1183,IF(J1185="NEMEL",PR!$AR1183,IF(J1185="NHP",PR!$AS1183,IF(J1185="NHC",PR!$AT1183,IF(J1185="OLEAF",PR!$AU1183,IF(J1185="OCULUS",PR!$AV1183,IF(J1185="PACIFIC",PR!$AW1183,IF(J1185="PHAMATEX",PR!$AX1183,IF(J1185="PETHICS",PR!$AY1183,IF(J1185="PHILIPS",PR!$AZ1183,IF(J1185="RANBAXY",PR!$BA1183,IF(J1185="REALS",PR!$BB1183,IF(J1185="ROYAL",PR!$BC1183,IF(J1185="SAM",PR!$BD1183,IF(J1185="SEAGREEN",PR!$BE1183,IF(J1185="SKG",PR!$BF1183,IF(J1185="TAH",PR!$BG1183,IF(J1185="TAYLEK",PR!$BH1183,IF(J1185="TEMITA",PR!$BI1183,IF(J1185="THL",PR!$BJ1183,IF(J1185="UBASTIC",PR!$BK1183,IF(J1185="UNION",PR!$BL1183,IF(J1185="UNIQUE",PR!$BM1183,IF(J1185="VIXA",PR!$BN1183,IF(J1185="WWCV",PR!$BO1183,IF(J1185="ZOLON",PR!$BP1183,"-"))))))))))))))))))))))))))))))))))))))))))))))))))))))))))))))))</f>
        <v>16500</v>
      </c>
      <c r="J1185" s="102" t="str">
        <f>EV!N1495</f>
        <v>TEMITA</v>
      </c>
      <c r="K1185" s="433" t="s">
        <v>817</v>
      </c>
      <c r="L1185" s="183">
        <f>IF(K1185&gt;0,IF(K1185="ALPHA",PR!$E1183,IF(K1185="ASSENE",PR!$F1183,IF(K1185="BIOFEM",PR!$G1183,IF(K1185="BIOMED",PR!$H1183,IF(K1185="CHI",PR!$I1183,IF(K1185="CLARION",PR!$J1183,IF(K1185="CODIX",PR!$K1183,IF(K1185="COSMADE",PR!$L1183,IF(K1185="SANCON",PR!$M1183,IF(K1185="DEVON",PR!$N1183,IF(K1185="DORTEMAG",PR!$O1183,IF(K1185="DGF",PR!$P1183,IF(K1185="DYNAMIC",PR!$Q1183,IF(K1185="EMZOR",PR!$R1183,IF(K1185="EUMATT",PR!$S1183,IF(K1185="FIDSON",PR!$T1183,IF(K1185="FCGLOBAL",PR!$U1183,IF(K1185="GENEITH",PR!$V1183,IF(K1185="GINOS",PR!$W1183,IF(K1185="GSK",PR!$X1183,IF(K1185="GLOBORG",PR!$Y1183,IF(K1185="GOODNEWS",PR!$Z1183,IF(K1185="GREENLIFE",PR!$AA1183,IF(K1185="HLINE",PR!$AB1183,IF(K1185="ROTECH",PR!$AC1183,IF(K1185="ISN",PR!$AD1183,IF(K1185="JAWA",PR!$AE1183,IF(K1185="LAYO",PR!$AF1183,IF(K1185="LEADWAY",PR!$AG1183,IF(K1185="LHV",PR!$AH1183,IF(K1185="MANOLA",PR!$AI1183,IF(K1185="MARCSON",PR!$AJ1183,IF(K1185="M&amp;B",PR!$AK1183,IF(K1185="MTRUST",PR!$AL1183,IF(K1185="MWORLD",PR!$AM1183,IF(K1185="MEGA",PR!$AN1183,IF(K1185="MICRONOVA",PR!$AO1183,IF(K1185="MFLASH",PR!$AP1183,IF(K1185="MORISON",PR!$AQ1183,IF(K1185="NEMEL",PR!$AR1183,IF(K1185="NHP",PR!$AS1183,IF(K1185="NHC",PR!$AT1183,IF(K1185="OLEAF",PR!$AU1183,IF(K1185="OCULUS",PR!$AV1183,IF(K1185="PACIFIC",PR!$AW1183,IF(K1185="PHAMATEX",PR!$AX1183,IF(K1185="PETHICS",PR!$AY1183,IF(K1185="PHILIPS",PR!$AZ1183,IF(K1185="RANBAXY",PR!$BA1183,IF(K1185="REALS",PR!$BB1183,IF(K1185="ROYAL",PR!$BC1183,IF(K1185="SAM",PR!$BD1183,IF(K1185="SEAGREEN",PR!$BE1183,IF(K1185="SKG",PR!$BF1183,IF(K1185="TAH",PR!$BG1183,IF(K1185="TAYLEK",PR!$BH1183,IF(K1185="TEMITA",PR!$BI1183,IF(K1185="THL",PR!$BJ1183,IF(K1185="UBASTIC",PR!$BK1183,IF(K1185="UNION",PR!$BL1183,IF(K1185="UNIQUE",PR!$BM1183,IF(K1185="VIXA",PR!$BN1183,IF(K1185="WWCV",PR!$BO1183,IF(K1185="ZOLON",PR!$BP1183,"-")))))))))))))))))))))))))))))))))))))))))))))))))))))))))))))))))</f>
        <v>15500</v>
      </c>
    </row>
    <row r="1186" spans="1:12" ht="18.75" x14ac:dyDescent="0.3">
      <c r="A1186" s="430">
        <f>PR!A1184</f>
        <v>1062</v>
      </c>
      <c r="B1186" s="15" t="str">
        <f>PR!B1184</f>
        <v>VDRL (BIO CHECK)</v>
      </c>
      <c r="C1186" s="113" t="str">
        <f>PR!D1184</f>
        <v>Pkts</v>
      </c>
      <c r="D1186" s="113">
        <f>PR!C1184</f>
        <v>60</v>
      </c>
      <c r="E1186" s="108">
        <f>IF(F1186="ALPHA",PR!$E1184,IF(F1186="ASSENE",PR!$F1184,IF(F1186="BIOFEM",PR!$G1184,IF(F1186="BIOMED",PR!$H1184,IF(F1186="CHI",PR!$I1184,IF(F1186="CLARION",PR!$J1184,IF(F1186="CODIX",PR!$K1184,IF(F1186="COSMADE",PR!$L1184,IF(F1186="SANCON",PR!$M1184,IF(F1186="DEVON",PR!$N1184,IF(F1186="DORTEMAG",PR!$O1184,IF(F1186="DGF",PR!$P1184,IF(F1186="DYNAMIC",PR!$Q1184,IF(F1186="EMZOR",PR!$R1184,IF(F1186="EUMATT",PR!$S1184,IF(F1186="FIDSON",PR!$T1184,IF(F1186="FCGLOBAL",PR!$U1184,IF(F1186="GENEITH",PR!$V1184,IF(F1186="GINOS",PR!$W1184,IF(F1186="GSK",PR!$X1184,IF(F1186="GLOBORG",PR!$Y1184,IF(F1186="GOODNEWS",PR!$Z1184,IF(F1186="GREENLIFE",PR!$AA1184,IF(F1186="HLINE",PR!$AB1184,IF(F1186="ROTECH",PR!$AC1184,IF(F1186="ISN",PR!$AD1184,IF(F1186="JAWA",PR!$AE1184,IF(F1186="LAYO",PR!$AF1184,IF(F1186="LEADWAY",PR!$AG1184,IF(F1186="LHV",PR!$AH1184,IF(F1186="MANOLA",PR!$AI1184,IF(F1186="MARCSON",PR!$AJ1184,IF(F1186="M&amp;B",PR!$AK1184,IF(F1186="MTRUST",PR!$AL1184,IF(F1186="MWORLD",PR!$AM1184,IF(F1186="MEGA",PR!$AN1184,IF(F1186="MICRONOVA",PR!$AO1184,IF(F1186="MFLASH",PR!$AP1184,IF(F1186="MORISON",PR!$AQ1184,IF(F1186="NEMEL",PR!$AR1184,IF(F1186="NHP",PR!$AS1184,IF(F1186="NHC",PR!$AT1184,IF(F1186="OLEAF",PR!$AU1184,IF(F1186="OCULUS",PR!$AV1184,IF(F1186="PACIFIC",PR!$AW1184,IF(F1186="PHAMATEX",PR!$AX1184,IF(F1186="PETHICS",PR!$AY1184,IF(F1186="PHILIPS",PR!$AZ1184,IF(F1186="RANBAXY",PR!$BA1184,IF(F1186="REALS",PR!$BB1184,IF(F1186="ROYAL",PR!$BC1184,IF(F1186="SAM",PR!$BD1184,IF(F1186="SEAGREEN",PR!$BE1184,IF(F1186="SKG",PR!$BF1184,IF(F1186="TAH",PR!$BG1184,IF(F1186="TAYLEK",PR!$BH1184,IF(F1186="TEMITA",PR!$BI1184,IF(F1186="THL",PR!$BJ1184,IF(F1186="UBASTIC",PR!$BK1184,IF(F1186="UNION",PR!$BL1184,IF(F1186="UNIQUE",PR!$BM1184,IF(F1186="VIXA",PR!$BN1184,IF(F1186="WWCV",PR!$BO1184,IF(F1186="ZOLON",PR!$BP1184,"-"))))))))))))))))))))))))))))))))))))))))))))))))))))))))))))))))</f>
        <v>2400</v>
      </c>
      <c r="F1186" s="102" t="str">
        <f>EV!L1496</f>
        <v>SANCON</v>
      </c>
      <c r="G1186" s="108">
        <f>IF(H1186="ALPHA",PR!$E1184,IF(H1186="ASSENE",PR!$F1184,IF(H1186="BIOFEM",PR!$G1184,IF(H1186="BIOMED",PR!$H1184,IF(H1186="CHI",PR!$I1184,IF(H1186="CLARION",PR!$J1184,IF(H1186="CODIX",PR!$K1184,IF(H1186="COSMADE",PR!$L1184,IF(H1186="SANCON",PR!$M1184,IF(H1186="DEVON",PR!$N1184,IF(H1186="DORTEMAG",PR!$O1184,IF(H1186="DGF",PR!$P1184,IF(H1186="DYNAMIC",PR!$Q1184,IF(H1186="EMZOR",PR!$R1184,IF(H1186="EUMATT",PR!$S1184,IF(H1186="FIDSON",PR!$T1184,IF(H1186="FCGLOBAL",PR!$U1184,IF(H1186="GENEITH",PR!$V1184,IF(H1186="GINOS",PR!$W1184,IF(H1186="GSK",PR!$X1184,IF(H1186="GLOBORG",PR!$Y1184,IF(H1186="GOODNEWS",PR!$Z1184,IF(H1186="GREENLIFE",PR!$AA1184,IF(H1186="HLINE",PR!$AB1184,IF(H1186="ROTECH",PR!$AC1184,IF(H1186="ISN",PR!$AD1184,IF(H1186="JAWA",PR!$AE1184,IF(H1186="LAYO",PR!$AF1184,IF(H1186="LEADWAY",PR!$AG1184,IF(H1186="LHV",PR!$AH1184,IF(H1186="MANOLA",PR!$AI1184,IF(H1186="MARCSON",PR!$AJ1184,IF(H1186="M&amp;B",PR!$AK1184,IF(H1186="MTRUST",PR!$AL1184,IF(H1186="MWORLD",PR!$AM1184,IF(H1186="MEGA",PR!$AN1184,IF(H1186="MICRONOVA",PR!$AO1184,IF(H1186="MFLASH",PR!$AP1184,IF(H1186="MORISON",PR!$AQ1184,IF(H1186="NEMEL",PR!$AR1184,IF(H1186="NHP",PR!$AS1184,IF(H1186="NHC",PR!$AT1184,IF(H1186="OLEAF",PR!$AU1184,IF(H1186="OCULUS",PR!$AV1184,IF(H1186="PACIFIC",PR!$AW1184,IF(H1186="PHAMATEX",PR!$AX1184,IF(H1186="PETHICS",PR!$AY1184,IF(H1186="PHILIPS",PR!$AZ1184,IF(H1186="RANBAXY",PR!$BA1184,IF(H1186="REALS",PR!$BB1184,IF(H1186="ROYAL",PR!$BC1184,IF(H1186="SAM",PR!$BD1184,IF(H1186="SEAGREEN",PR!$BE1184,IF(H1186="SKG",PR!$BF1184,IF(H1186="TAH",PR!$BG1184,IF(H1186="TAYLEK",PR!$BH1184,IF(H1186="TEMITA",PR!$BI1184,IF(H1186="THL",PR!$BJ1184,IF(H1186="UBASTIC",PR!$BK1184,IF(H1186="UNION",PR!$BL1184,IF(H1186="UNIQUE",PR!$BM1184,IF(H1186="VIXA",PR!$BN1184,IF(H1186="WWCV",PR!$BO1184,IF(H1186="ZOLON",PR!$BP1184,"-"))))))))))))))))))))))))))))))))))))))))))))))))))))))))))))))))</f>
        <v>2875</v>
      </c>
      <c r="H1186" s="102" t="str">
        <f>EV!M1496</f>
        <v>DYNAMIC</v>
      </c>
      <c r="I1186" s="108">
        <f>IF(J1186="ALPHA",PR!$E1184,IF(J1186="ASSENE",PR!$F1184,IF(J1186="BIOFEM",PR!$G1184,IF(J1186="BIOMED",PR!$H1184,IF(J1186="CHI",PR!$I1184,IF(J1186="CLARION",PR!$J1184,IF(J1186="CODIX",PR!$K1184,IF(J1186="COSMADE",PR!$L1184,IF(J1186="SANCON",PR!$M1184,IF(J1186="DEVON",PR!$N1184,IF(J1186="DORTEMAG",PR!$O1184,IF(J1186="DGF",PR!$P1184,IF(J1186="DYNAMIC",PR!$Q1184,IF(J1186="EMZOR",PR!$R1184,IF(J1186="EUMATT",PR!$S1184,IF(J1186="FIDSON",PR!$T1184,IF(J1186="FCGLOBAL",PR!$U1184,IF(J1186="GENEITH",PR!$V1184,IF(J1186="GINOS",PR!$W1184,IF(J1186="GSK",PR!$X1184,IF(J1186="GLOBORG",PR!$Y1184,IF(J1186="GOODNEWS",PR!$Z1184,IF(J1186="GREENLIFE",PR!$AA1184,IF(J1186="HLINE",PR!$AB1184,IF(J1186="ROTECH",PR!$AC1184,IF(J1186="ISN",PR!$AD1184,IF(J1186="JAWA",PR!$AE1184,IF(J1186="LAYO",PR!$AF1184,IF(J1186="LEADWAY",PR!$AG1184,IF(J1186="LHV",PR!$AH1184,IF(J1186="MANOLA",PR!$AI1184,IF(J1186="MARCSON",PR!$AJ1184,IF(J1186="M&amp;B",PR!$AK1184,IF(J1186="MTRUST",PR!$AL1184,IF(J1186="MWORLD",PR!$AM1184,IF(J1186="MEGA",PR!$AN1184,IF(J1186="MICRONOVA",PR!$AO1184,IF(J1186="MFLASH",PR!$AP1184,IF(J1186="MORISON",PR!$AQ1184,IF(J1186="NEMEL",PR!$AR1184,IF(J1186="NHP",PR!$AS1184,IF(J1186="NHC",PR!$AT1184,IF(J1186="OLEAF",PR!$AU1184,IF(J1186="OCULUS",PR!$AV1184,IF(J1186="PACIFIC",PR!$AW1184,IF(J1186="PHAMATEX",PR!$AX1184,IF(J1186="PETHICS",PR!$AY1184,IF(J1186="PHILIPS",PR!$AZ1184,IF(J1186="RANBAXY",PR!$BA1184,IF(J1186="REALS",PR!$BB1184,IF(J1186="ROYAL",PR!$BC1184,IF(J1186="SAM",PR!$BD1184,IF(J1186="SEAGREEN",PR!$BE1184,IF(J1186="SKG",PR!$BF1184,IF(J1186="TAH",PR!$BG1184,IF(J1186="TAYLEK",PR!$BH1184,IF(J1186="TEMITA",PR!$BI1184,IF(J1186="THL",PR!$BJ1184,IF(J1186="UBASTIC",PR!$BK1184,IF(J1186="UNION",PR!$BL1184,IF(J1186="UNIQUE",PR!$BM1184,IF(J1186="VIXA",PR!$BN1184,IF(J1186="WWCV",PR!$BO1184,IF(J1186="ZOLON",PR!$BP1184,"-"))))))))))))))))))))))))))))))))))))))))))))))))))))))))))))))))</f>
        <v>3000</v>
      </c>
      <c r="J1186" s="102" t="str">
        <f>EV!N1496</f>
        <v>UBASTIC</v>
      </c>
      <c r="K1186" s="433" t="s">
        <v>1459</v>
      </c>
      <c r="L1186" s="183">
        <f>IF(K1186&gt;0,IF(K1186="ALPHA",PR!$E1184,IF(K1186="ASSENE",PR!$F1184,IF(K1186="BIOFEM",PR!$G1184,IF(K1186="BIOMED",PR!$H1184,IF(K1186="CHI",PR!$I1184,IF(K1186="CLARION",PR!$J1184,IF(K1186="CODIX",PR!$K1184,IF(K1186="COSMADE",PR!$L1184,IF(K1186="SANCON",PR!$M1184,IF(K1186="DEVON",PR!$N1184,IF(K1186="DORTEMAG",PR!$O1184,IF(K1186="DGF",PR!$P1184,IF(K1186="DYNAMIC",PR!$Q1184,IF(K1186="EMZOR",PR!$R1184,IF(K1186="EUMATT",PR!$S1184,IF(K1186="FIDSON",PR!$T1184,IF(K1186="FCGLOBAL",PR!$U1184,IF(K1186="GENEITH",PR!$V1184,IF(K1186="GINOS",PR!$W1184,IF(K1186="GSK",PR!$X1184,IF(K1186="GLOBORG",PR!$Y1184,IF(K1186="GOODNEWS",PR!$Z1184,IF(K1186="GREENLIFE",PR!$AA1184,IF(K1186="HLINE",PR!$AB1184,IF(K1186="ROTECH",PR!$AC1184,IF(K1186="ISN",PR!$AD1184,IF(K1186="JAWA",PR!$AE1184,IF(K1186="LAYO",PR!$AF1184,IF(K1186="LEADWAY",PR!$AG1184,IF(K1186="LHV",PR!$AH1184,IF(K1186="MANOLA",PR!$AI1184,IF(K1186="MARCSON",PR!$AJ1184,IF(K1186="M&amp;B",PR!$AK1184,IF(K1186="MTRUST",PR!$AL1184,IF(K1186="MWORLD",PR!$AM1184,IF(K1186="MEGA",PR!$AN1184,IF(K1186="MICRONOVA",PR!$AO1184,IF(K1186="MFLASH",PR!$AP1184,IF(K1186="MORISON",PR!$AQ1184,IF(K1186="NEMEL",PR!$AR1184,IF(K1186="NHP",PR!$AS1184,IF(K1186="NHC",PR!$AT1184,IF(K1186="OLEAF",PR!$AU1184,IF(K1186="OCULUS",PR!$AV1184,IF(K1186="PACIFIC",PR!$AW1184,IF(K1186="PHAMATEX",PR!$AX1184,IF(K1186="PETHICS",PR!$AY1184,IF(K1186="PHILIPS",PR!$AZ1184,IF(K1186="RANBAXY",PR!$BA1184,IF(K1186="REALS",PR!$BB1184,IF(K1186="ROYAL",PR!$BC1184,IF(K1186="SAM",PR!$BD1184,IF(K1186="SEAGREEN",PR!$BE1184,IF(K1186="SKG",PR!$BF1184,IF(K1186="TAH",PR!$BG1184,IF(K1186="TAYLEK",PR!$BH1184,IF(K1186="TEMITA",PR!$BI1184,IF(K1186="THL",PR!$BJ1184,IF(K1186="UBASTIC",PR!$BK1184,IF(K1186="UNION",PR!$BL1184,IF(K1186="UNIQUE",PR!$BM1184,IF(K1186="VIXA",PR!$BN1184,IF(K1186="WWCV",PR!$BO1184,IF(K1186="ZOLON",PR!$BP1184,"-")))))))))))))))))))))))))))))))))))))))))))))))))))))))))))))))))</f>
        <v>3000</v>
      </c>
    </row>
    <row r="1187" spans="1:12" ht="18.75" x14ac:dyDescent="0.3">
      <c r="A1187" s="430">
        <f>PR!A1185</f>
        <v>1063</v>
      </c>
      <c r="B1187" s="15" t="str">
        <f>PR!B1185</f>
        <v>LANCET</v>
      </c>
      <c r="C1187" s="113" t="str">
        <f>PR!D1185</f>
        <v>Pkts</v>
      </c>
      <c r="D1187" s="113">
        <f>PR!C1185</f>
        <v>60</v>
      </c>
      <c r="E1187" s="108">
        <f>IF(F1187="ALPHA",PR!$E1185,IF(F1187="ASSENE",PR!$F1185,IF(F1187="BIOFEM",PR!$G1185,IF(F1187="BIOMED",PR!$H1185,IF(F1187="CHI",PR!$I1185,IF(F1187="CLARION",PR!$J1185,IF(F1187="CODIX",PR!$K1185,IF(F1187="COSMADE",PR!$L1185,IF(F1187="SANCON",PR!$M1185,IF(F1187="DEVON",PR!$N1185,IF(F1187="DORTEMAG",PR!$O1185,IF(F1187="DGF",PR!$P1185,IF(F1187="DYNAMIC",PR!$Q1185,IF(F1187="EMZOR",PR!$R1185,IF(F1187="EUMATT",PR!$S1185,IF(F1187="FIDSON",PR!$T1185,IF(F1187="FCGLOBAL",PR!$U1185,IF(F1187="GENEITH",PR!$V1185,IF(F1187="GINOS",PR!$W1185,IF(F1187="GSK",PR!$X1185,IF(F1187="GLOBORG",PR!$Y1185,IF(F1187="GOODNEWS",PR!$Z1185,IF(F1187="GREENLIFE",PR!$AA1185,IF(F1187="HLINE",PR!$AB1185,IF(F1187="ROTECH",PR!$AC1185,IF(F1187="ISN",PR!$AD1185,IF(F1187="JAWA",PR!$AE1185,IF(F1187="LAYO",PR!$AF1185,IF(F1187="LEADWAY",PR!$AG1185,IF(F1187="LHV",PR!$AH1185,IF(F1187="MANOLA",PR!$AI1185,IF(F1187="MARCSON",PR!$AJ1185,IF(F1187="M&amp;B",PR!$AK1185,IF(F1187="MTRUST",PR!$AL1185,IF(F1187="MWORLD",PR!$AM1185,IF(F1187="MEGA",PR!$AN1185,IF(F1187="MICRONOVA",PR!$AO1185,IF(F1187="MFLASH",PR!$AP1185,IF(F1187="MORISON",PR!$AQ1185,IF(F1187="NEMEL",PR!$AR1185,IF(F1187="NHP",PR!$AS1185,IF(F1187="NHC",PR!$AT1185,IF(F1187="OLEAF",PR!$AU1185,IF(F1187="OCULUS",PR!$AV1185,IF(F1187="PACIFIC",PR!$AW1185,IF(F1187="PHAMATEX",PR!$AX1185,IF(F1187="PETHICS",PR!$AY1185,IF(F1187="PHILIPS",PR!$AZ1185,IF(F1187="RANBAXY",PR!$BA1185,IF(F1187="REALS",PR!$BB1185,IF(F1187="ROYAL",PR!$BC1185,IF(F1187="SAM",PR!$BD1185,IF(F1187="SEAGREEN",PR!$BE1185,IF(F1187="SKG",PR!$BF1185,IF(F1187="TAH",PR!$BG1185,IF(F1187="TAYLEK",PR!$BH1185,IF(F1187="TEMITA",PR!$BI1185,IF(F1187="THL",PR!$BJ1185,IF(F1187="UBASTIC",PR!$BK1185,IF(F1187="UNION",PR!$BL1185,IF(F1187="UNIQUE",PR!$BM1185,IF(F1187="VIXA",PR!$BN1185,IF(F1187="WWCV",PR!$BO1185,IF(F1187="ZOLON",PR!$BP1185,"-"))))))))))))))))))))))))))))))))))))))))))))))))))))))))))))))))</f>
        <v>420</v>
      </c>
      <c r="F1187" s="102" t="str">
        <f>EV!L1497</f>
        <v>TEMITA</v>
      </c>
      <c r="G1187" s="108">
        <f>IF(H1187="ALPHA",PR!$E1185,IF(H1187="ASSENE",PR!$F1185,IF(H1187="BIOFEM",PR!$G1185,IF(H1187="BIOMED",PR!$H1185,IF(H1187="CHI",PR!$I1185,IF(H1187="CLARION",PR!$J1185,IF(H1187="CODIX",PR!$K1185,IF(H1187="COSMADE",PR!$L1185,IF(H1187="SANCON",PR!$M1185,IF(H1187="DEVON",PR!$N1185,IF(H1187="DORTEMAG",PR!$O1185,IF(H1187="DGF",PR!$P1185,IF(H1187="DYNAMIC",PR!$Q1185,IF(H1187="EMZOR",PR!$R1185,IF(H1187="EUMATT",PR!$S1185,IF(H1187="FIDSON",PR!$T1185,IF(H1187="FCGLOBAL",PR!$U1185,IF(H1187="GENEITH",PR!$V1185,IF(H1187="GINOS",PR!$W1185,IF(H1187="GSK",PR!$X1185,IF(H1187="GLOBORG",PR!$Y1185,IF(H1187="GOODNEWS",PR!$Z1185,IF(H1187="GREENLIFE",PR!$AA1185,IF(H1187="HLINE",PR!$AB1185,IF(H1187="ROTECH",PR!$AC1185,IF(H1187="ISN",PR!$AD1185,IF(H1187="JAWA",PR!$AE1185,IF(H1187="LAYO",PR!$AF1185,IF(H1187="LEADWAY",PR!$AG1185,IF(H1187="LHV",PR!$AH1185,IF(H1187="MANOLA",PR!$AI1185,IF(H1187="MARCSON",PR!$AJ1185,IF(H1187="M&amp;B",PR!$AK1185,IF(H1187="MTRUST",PR!$AL1185,IF(H1187="MWORLD",PR!$AM1185,IF(H1187="MEGA",PR!$AN1185,IF(H1187="MICRONOVA",PR!$AO1185,IF(H1187="MFLASH",PR!$AP1185,IF(H1187="MORISON",PR!$AQ1185,IF(H1187="NEMEL",PR!$AR1185,IF(H1187="NHP",PR!$AS1185,IF(H1187="NHC",PR!$AT1185,IF(H1187="OLEAF",PR!$AU1185,IF(H1187="OCULUS",PR!$AV1185,IF(H1187="PACIFIC",PR!$AW1185,IF(H1187="PHAMATEX",PR!$AX1185,IF(H1187="PETHICS",PR!$AY1185,IF(H1187="PHILIPS",PR!$AZ1185,IF(H1187="RANBAXY",PR!$BA1185,IF(H1187="REALS",PR!$BB1185,IF(H1187="ROYAL",PR!$BC1185,IF(H1187="SAM",PR!$BD1185,IF(H1187="SEAGREEN",PR!$BE1185,IF(H1187="SKG",PR!$BF1185,IF(H1187="TAH",PR!$BG1185,IF(H1187="TAYLEK",PR!$BH1185,IF(H1187="TEMITA",PR!$BI1185,IF(H1187="THL",PR!$BJ1185,IF(H1187="UBASTIC",PR!$BK1185,IF(H1187="UNION",PR!$BL1185,IF(H1187="UNIQUE",PR!$BM1185,IF(H1187="VIXA",PR!$BN1185,IF(H1187="WWCV",PR!$BO1185,IF(H1187="ZOLON",PR!$BP1185,"-"))))))))))))))))))))))))))))))))))))))))))))))))))))))))))))))))</f>
        <v>600</v>
      </c>
      <c r="H1187" s="102" t="str">
        <f>EV!M1497</f>
        <v>SANCON</v>
      </c>
      <c r="I1187" s="108">
        <f>IF(J1187="ALPHA",PR!$E1185,IF(J1187="ASSENE",PR!$F1185,IF(J1187="BIOFEM",PR!$G1185,IF(J1187="BIOMED",PR!$H1185,IF(J1187="CHI",PR!$I1185,IF(J1187="CLARION",PR!$J1185,IF(J1187="CODIX",PR!$K1185,IF(J1187="COSMADE",PR!$L1185,IF(J1187="SANCON",PR!$M1185,IF(J1187="DEVON",PR!$N1185,IF(J1187="DORTEMAG",PR!$O1185,IF(J1187="DGF",PR!$P1185,IF(J1187="DYNAMIC",PR!$Q1185,IF(J1187="EMZOR",PR!$R1185,IF(J1187="EUMATT",PR!$S1185,IF(J1187="FIDSON",PR!$T1185,IF(J1187="FCGLOBAL",PR!$U1185,IF(J1187="GENEITH",PR!$V1185,IF(J1187="GINOS",PR!$W1185,IF(J1187="GSK",PR!$X1185,IF(J1187="GLOBORG",PR!$Y1185,IF(J1187="GOODNEWS",PR!$Z1185,IF(J1187="GREENLIFE",PR!$AA1185,IF(J1187="HLINE",PR!$AB1185,IF(J1187="ROTECH",PR!$AC1185,IF(J1187="ISN",PR!$AD1185,IF(J1187="JAWA",PR!$AE1185,IF(J1187="LAYO",PR!$AF1185,IF(J1187="LEADWAY",PR!$AG1185,IF(J1187="LHV",PR!$AH1185,IF(J1187="MANOLA",PR!$AI1185,IF(J1187="MARCSON",PR!$AJ1185,IF(J1187="M&amp;B",PR!$AK1185,IF(J1187="MTRUST",PR!$AL1185,IF(J1187="MWORLD",PR!$AM1185,IF(J1187="MEGA",PR!$AN1185,IF(J1187="MICRONOVA",PR!$AO1185,IF(J1187="MFLASH",PR!$AP1185,IF(J1187="MORISON",PR!$AQ1185,IF(J1187="NEMEL",PR!$AR1185,IF(J1187="NHP",PR!$AS1185,IF(J1187="NHC",PR!$AT1185,IF(J1187="OLEAF",PR!$AU1185,IF(J1187="OCULUS",PR!$AV1185,IF(J1187="PACIFIC",PR!$AW1185,IF(J1187="PHAMATEX",PR!$AX1185,IF(J1187="PETHICS",PR!$AY1185,IF(J1187="PHILIPS",PR!$AZ1185,IF(J1187="RANBAXY",PR!$BA1185,IF(J1187="REALS",PR!$BB1185,IF(J1187="ROYAL",PR!$BC1185,IF(J1187="SAM",PR!$BD1185,IF(J1187="SEAGREEN",PR!$BE1185,IF(J1187="SKG",PR!$BF1185,IF(J1187="TAH",PR!$BG1185,IF(J1187="TAYLEK",PR!$BH1185,IF(J1187="TEMITA",PR!$BI1185,IF(J1187="THL",PR!$BJ1185,IF(J1187="UBASTIC",PR!$BK1185,IF(J1187="UNION",PR!$BL1185,IF(J1187="UNIQUE",PR!$BM1185,IF(J1187="VIXA",PR!$BN1185,IF(J1187="WWCV",PR!$BO1185,IF(J1187="ZOLON",PR!$BP1185,"-"))))))))))))))))))))))))))))))))))))))))))))))))))))))))))))))))</f>
        <v>650</v>
      </c>
      <c r="J1187" s="102" t="str">
        <f>EV!N1497</f>
        <v>UBASTIC</v>
      </c>
      <c r="K1187" s="433" t="s">
        <v>1463</v>
      </c>
      <c r="L1187" s="183">
        <f>IF(K1187&gt;0,IF(K1187="ALPHA",PR!$E1185,IF(K1187="ASSENE",PR!$F1185,IF(K1187="BIOFEM",PR!$G1185,IF(K1187="BIOMED",PR!$H1185,IF(K1187="CHI",PR!$I1185,IF(K1187="CLARION",PR!$J1185,IF(K1187="CODIX",PR!$K1185,IF(K1187="COSMADE",PR!$L1185,IF(K1187="SANCON",PR!$M1185,IF(K1187="DEVON",PR!$N1185,IF(K1187="DORTEMAG",PR!$O1185,IF(K1187="DGF",PR!$P1185,IF(K1187="DYNAMIC",PR!$Q1185,IF(K1187="EMZOR",PR!$R1185,IF(K1187="EUMATT",PR!$S1185,IF(K1187="FIDSON",PR!$T1185,IF(K1187="FCGLOBAL",PR!$U1185,IF(K1187="GENEITH",PR!$V1185,IF(K1187="GINOS",PR!$W1185,IF(K1187="GSK",PR!$X1185,IF(K1187="GLOBORG",PR!$Y1185,IF(K1187="GOODNEWS",PR!$Z1185,IF(K1187="GREENLIFE",PR!$AA1185,IF(K1187="HLINE",PR!$AB1185,IF(K1187="ROTECH",PR!$AC1185,IF(K1187="ISN",PR!$AD1185,IF(K1187="JAWA",PR!$AE1185,IF(K1187="LAYO",PR!$AF1185,IF(K1187="LEADWAY",PR!$AG1185,IF(K1187="LHV",PR!$AH1185,IF(K1187="MANOLA",PR!$AI1185,IF(K1187="MARCSON",PR!$AJ1185,IF(K1187="M&amp;B",PR!$AK1185,IF(K1187="MTRUST",PR!$AL1185,IF(K1187="MWORLD",PR!$AM1185,IF(K1187="MEGA",PR!$AN1185,IF(K1187="MICRONOVA",PR!$AO1185,IF(K1187="MFLASH",PR!$AP1185,IF(K1187="MORISON",PR!$AQ1185,IF(K1187="NEMEL",PR!$AR1185,IF(K1187="NHP",PR!$AS1185,IF(K1187="NHC",PR!$AT1185,IF(K1187="OLEAF",PR!$AU1185,IF(K1187="OCULUS",PR!$AV1185,IF(K1187="PACIFIC",PR!$AW1185,IF(K1187="PHAMATEX",PR!$AX1185,IF(K1187="PETHICS",PR!$AY1185,IF(K1187="PHILIPS",PR!$AZ1185,IF(K1187="RANBAXY",PR!$BA1185,IF(K1187="REALS",PR!$BB1185,IF(K1187="ROYAL",PR!$BC1185,IF(K1187="SAM",PR!$BD1185,IF(K1187="SEAGREEN",PR!$BE1185,IF(K1187="SKG",PR!$BF1185,IF(K1187="TAH",PR!$BG1185,IF(K1187="TAYLEK",PR!$BH1185,IF(K1187="TEMITA",PR!$BI1185,IF(K1187="THL",PR!$BJ1185,IF(K1187="UBASTIC",PR!$BK1185,IF(K1187="UNION",PR!$BL1185,IF(K1187="UNIQUE",PR!$BM1185,IF(K1187="VIXA",PR!$BN1185,IF(K1187="WWCV",PR!$BO1185,IF(K1187="ZOLON",PR!$BP1185,"-")))))))))))))))))))))))))))))))))))))))))))))))))))))))))))))))))</f>
        <v>420</v>
      </c>
    </row>
    <row r="1188" spans="1:12" ht="18.75" x14ac:dyDescent="0.3">
      <c r="A1188" s="430">
        <f>PR!A1186</f>
        <v>1064</v>
      </c>
      <c r="B1188" s="15" t="str">
        <f>PR!B1186</f>
        <v>HAND SANITIZER</v>
      </c>
      <c r="C1188" s="113" t="str">
        <f>PR!D1186</f>
        <v>Cartons</v>
      </c>
      <c r="D1188" s="113">
        <f>PR!C1186</f>
        <v>12</v>
      </c>
      <c r="E1188" s="108">
        <f>IF(F1188="ALPHA",PR!$E1186,IF(F1188="ASSENE",PR!$F1186,IF(F1188="BIOFEM",PR!$G1186,IF(F1188="BIOMED",PR!$H1186,IF(F1188="CHI",PR!$I1186,IF(F1188="CLARION",PR!$J1186,IF(F1188="CODIX",PR!$K1186,IF(F1188="COSMADE",PR!$L1186,IF(F1188="SANCON",PR!$M1186,IF(F1188="DEVON",PR!$N1186,IF(F1188="DORTEMAG",PR!$O1186,IF(F1188="DGF",PR!$P1186,IF(F1188="DYNAMIC",PR!$Q1186,IF(F1188="EMZOR",PR!$R1186,IF(F1188="EUMATT",PR!$S1186,IF(F1188="FIDSON",PR!$T1186,IF(F1188="FCGLOBAL",PR!$U1186,IF(F1188="GENEITH",PR!$V1186,IF(F1188="GINOS",PR!$W1186,IF(F1188="GSK",PR!$X1186,IF(F1188="GLOBORG",PR!$Y1186,IF(F1188="GOODNEWS",PR!$Z1186,IF(F1188="GREENLIFE",PR!$AA1186,IF(F1188="HLINE",PR!$AB1186,IF(F1188="ROTECH",PR!$AC1186,IF(F1188="ISN",PR!$AD1186,IF(F1188="JAWA",PR!$AE1186,IF(F1188="LAYO",PR!$AF1186,IF(F1188="LEADWAY",PR!$AG1186,IF(F1188="LHV",PR!$AH1186,IF(F1188="MANOLA",PR!$AI1186,IF(F1188="MARCSON",PR!$AJ1186,IF(F1188="M&amp;B",PR!$AK1186,IF(F1188="MTRUST",PR!$AL1186,IF(F1188="MWORLD",PR!$AM1186,IF(F1188="MEGA",PR!$AN1186,IF(F1188="MICRONOVA",PR!$AO1186,IF(F1188="MFLASH",PR!$AP1186,IF(F1188="MORISON",PR!$AQ1186,IF(F1188="NEMEL",PR!$AR1186,IF(F1188="NHP",PR!$AS1186,IF(F1188="NHC",PR!$AT1186,IF(F1188="OLEAF",PR!$AU1186,IF(F1188="OCULUS",PR!$AV1186,IF(F1188="PACIFIC",PR!$AW1186,IF(F1188="PHAMATEX",PR!$AX1186,IF(F1188="PETHICS",PR!$AY1186,IF(F1188="PHILIPS",PR!$AZ1186,IF(F1188="RANBAXY",PR!$BA1186,IF(F1188="REALS",PR!$BB1186,IF(F1188="ROYAL",PR!$BC1186,IF(F1188="SAM",PR!$BD1186,IF(F1188="SEAGREEN",PR!$BE1186,IF(F1188="SKG",PR!$BF1186,IF(F1188="TAH",PR!$BG1186,IF(F1188="TAYLEK",PR!$BH1186,IF(F1188="TEMITA",PR!$BI1186,IF(F1188="THL",PR!$BJ1186,IF(F1188="UBASTIC",PR!$BK1186,IF(F1188="UNION",PR!$BL1186,IF(F1188="UNIQUE",PR!$BM1186,IF(F1188="VIXA",PR!$BN1186,IF(F1188="WWCV",PR!$BO1186,IF(F1188="ZOLON",PR!$BP1186,"-"))))))))))))))))))))))))))))))))))))))))))))))))))))))))))))))))</f>
        <v>5460</v>
      </c>
      <c r="F1188" s="102" t="str">
        <f>EV!L1498</f>
        <v>LAYO</v>
      </c>
      <c r="G1188" s="108">
        <f>IF(H1188="ALPHA",PR!$E1186,IF(H1188="ASSENE",PR!$F1186,IF(H1188="BIOFEM",PR!$G1186,IF(H1188="BIOMED",PR!$H1186,IF(H1188="CHI",PR!$I1186,IF(H1188="CLARION",PR!$J1186,IF(H1188="CODIX",PR!$K1186,IF(H1188="COSMADE",PR!$L1186,IF(H1188="SANCON",PR!$M1186,IF(H1188="DEVON",PR!$N1186,IF(H1188="DORTEMAG",PR!$O1186,IF(H1188="DGF",PR!$P1186,IF(H1188="DYNAMIC",PR!$Q1186,IF(H1188="EMZOR",PR!$R1186,IF(H1188="EUMATT",PR!$S1186,IF(H1188="FIDSON",PR!$T1186,IF(H1188="FCGLOBAL",PR!$U1186,IF(H1188="GENEITH",PR!$V1186,IF(H1188="GINOS",PR!$W1186,IF(H1188="GSK",PR!$X1186,IF(H1188="GLOBORG",PR!$Y1186,IF(H1188="GOODNEWS",PR!$Z1186,IF(H1188="GREENLIFE",PR!$AA1186,IF(H1188="HLINE",PR!$AB1186,IF(H1188="ROTECH",PR!$AC1186,IF(H1188="ISN",PR!$AD1186,IF(H1188="JAWA",PR!$AE1186,IF(H1188="LAYO",PR!$AF1186,IF(H1188="LEADWAY",PR!$AG1186,IF(H1188="LHV",PR!$AH1186,IF(H1188="MANOLA",PR!$AI1186,IF(H1188="MARCSON",PR!$AJ1186,IF(H1188="M&amp;B",PR!$AK1186,IF(H1188="MTRUST",PR!$AL1186,IF(H1188="MWORLD",PR!$AM1186,IF(H1188="MEGA",PR!$AN1186,IF(H1188="MICRONOVA",PR!$AO1186,IF(H1188="MFLASH",PR!$AP1186,IF(H1188="MORISON",PR!$AQ1186,IF(H1188="NEMEL",PR!$AR1186,IF(H1188="NHP",PR!$AS1186,IF(H1188="NHC",PR!$AT1186,IF(H1188="OLEAF",PR!$AU1186,IF(H1188="OCULUS",PR!$AV1186,IF(H1188="PACIFIC",PR!$AW1186,IF(H1188="PHAMATEX",PR!$AX1186,IF(H1188="PETHICS",PR!$AY1186,IF(H1188="PHILIPS",PR!$AZ1186,IF(H1188="RANBAXY",PR!$BA1186,IF(H1188="REALS",PR!$BB1186,IF(H1188="ROYAL",PR!$BC1186,IF(H1188="SAM",PR!$BD1186,IF(H1188="SEAGREEN",PR!$BE1186,IF(H1188="SKG",PR!$BF1186,IF(H1188="TAH",PR!$BG1186,IF(H1188="TAYLEK",PR!$BH1186,IF(H1188="TEMITA",PR!$BI1186,IF(H1188="THL",PR!$BJ1186,IF(H1188="UBASTIC",PR!$BK1186,IF(H1188="UNION",PR!$BL1186,IF(H1188="UNIQUE",PR!$BM1186,IF(H1188="VIXA",PR!$BN1186,IF(H1188="WWCV",PR!$BO1186,IF(H1188="ZOLON",PR!$BP1186,"-"))))))))))))))))))))))))))))))))))))))))))))))))))))))))))))))))</f>
        <v>9000</v>
      </c>
      <c r="H1188" s="102" t="str">
        <f>EV!M1498</f>
        <v>UBASTIC</v>
      </c>
      <c r="I1188" s="108">
        <f>IF(J1188="ALPHA",PR!$E1186,IF(J1188="ASSENE",PR!$F1186,IF(J1188="BIOFEM",PR!$G1186,IF(J1188="BIOMED",PR!$H1186,IF(J1188="CHI",PR!$I1186,IF(J1188="CLARION",PR!$J1186,IF(J1188="CODIX",PR!$K1186,IF(J1188="COSMADE",PR!$L1186,IF(J1188="SANCON",PR!$M1186,IF(J1188="DEVON",PR!$N1186,IF(J1188="DORTEMAG",PR!$O1186,IF(J1188="DGF",PR!$P1186,IF(J1188="DYNAMIC",PR!$Q1186,IF(J1188="EMZOR",PR!$R1186,IF(J1188="EUMATT",PR!$S1186,IF(J1188="FIDSON",PR!$T1186,IF(J1188="FCGLOBAL",PR!$U1186,IF(J1188="GENEITH",PR!$V1186,IF(J1188="GINOS",PR!$W1186,IF(J1188="GSK",PR!$X1186,IF(J1188="GLOBORG",PR!$Y1186,IF(J1188="GOODNEWS",PR!$Z1186,IF(J1188="GREENLIFE",PR!$AA1186,IF(J1188="HLINE",PR!$AB1186,IF(J1188="ROTECH",PR!$AC1186,IF(J1188="ISN",PR!$AD1186,IF(J1188="JAWA",PR!$AE1186,IF(J1188="LAYO",PR!$AF1186,IF(J1188="LEADWAY",PR!$AG1186,IF(J1188="LHV",PR!$AH1186,IF(J1188="MANOLA",PR!$AI1186,IF(J1188="MARCSON",PR!$AJ1186,IF(J1188="M&amp;B",PR!$AK1186,IF(J1188="MTRUST",PR!$AL1186,IF(J1188="MWORLD",PR!$AM1186,IF(J1188="MEGA",PR!$AN1186,IF(J1188="MICRONOVA",PR!$AO1186,IF(J1188="MFLASH",PR!$AP1186,IF(J1188="MORISON",PR!$AQ1186,IF(J1188="NEMEL",PR!$AR1186,IF(J1188="NHP",PR!$AS1186,IF(J1188="NHC",PR!$AT1186,IF(J1188="OLEAF",PR!$AU1186,IF(J1188="OCULUS",PR!$AV1186,IF(J1188="PACIFIC",PR!$AW1186,IF(J1188="PHAMATEX",PR!$AX1186,IF(J1188="PETHICS",PR!$AY1186,IF(J1188="PHILIPS",PR!$AZ1186,IF(J1188="RANBAXY",PR!$BA1186,IF(J1188="REALS",PR!$BB1186,IF(J1188="ROYAL",PR!$BC1186,IF(J1188="SAM",PR!$BD1186,IF(J1188="SEAGREEN",PR!$BE1186,IF(J1188="SKG",PR!$BF1186,IF(J1188="TAH",PR!$BG1186,IF(J1188="TAYLEK",PR!$BH1186,IF(J1188="TEMITA",PR!$BI1186,IF(J1188="THL",PR!$BJ1186,IF(J1188="UBASTIC",PR!$BK1186,IF(J1188="UNION",PR!$BL1186,IF(J1188="UNIQUE",PR!$BM1186,IF(J1188="VIXA",PR!$BN1186,IF(J1188="WWCV",PR!$BO1186,IF(J1188="ZOLON",PR!$BP1186,"-"))))))))))))))))))))))))))))))))))))))))))))))))))))))))))))))))</f>
        <v>10320</v>
      </c>
      <c r="J1188" s="102" t="str">
        <f>EV!N1498</f>
        <v>ROTECH</v>
      </c>
      <c r="K1188" s="433" t="s">
        <v>1461</v>
      </c>
      <c r="L1188" s="183">
        <f>IF(K1188&gt;0,IF(K1188="ALPHA",PR!$E1186,IF(K1188="ASSENE",PR!$F1186,IF(K1188="BIOFEM",PR!$G1186,IF(K1188="BIOMED",PR!$H1186,IF(K1188="CHI",PR!$I1186,IF(K1188="CLARION",PR!$J1186,IF(K1188="CODIX",PR!$K1186,IF(K1188="COSMADE",PR!$L1186,IF(K1188="SANCON",PR!$M1186,IF(K1188="DEVON",PR!$N1186,IF(K1188="DORTEMAG",PR!$O1186,IF(K1188="DGF",PR!$P1186,IF(K1188="DYNAMIC",PR!$Q1186,IF(K1188="EMZOR",PR!$R1186,IF(K1188="EUMATT",PR!$S1186,IF(K1188="FIDSON",PR!$T1186,IF(K1188="FCGLOBAL",PR!$U1186,IF(K1188="GENEITH",PR!$V1186,IF(K1188="GINOS",PR!$W1186,IF(K1188="GSK",PR!$X1186,IF(K1188="GLOBORG",PR!$Y1186,IF(K1188="GOODNEWS",PR!$Z1186,IF(K1188="GREENLIFE",PR!$AA1186,IF(K1188="HLINE",PR!$AB1186,IF(K1188="ROTECH",PR!$AC1186,IF(K1188="ISN",PR!$AD1186,IF(K1188="JAWA",PR!$AE1186,IF(K1188="LAYO",PR!$AF1186,IF(K1188="LEADWAY",PR!$AG1186,IF(K1188="LHV",PR!$AH1186,IF(K1188="MANOLA",PR!$AI1186,IF(K1188="MARCSON",PR!$AJ1186,IF(K1188="M&amp;B",PR!$AK1186,IF(K1188="MTRUST",PR!$AL1186,IF(K1188="MWORLD",PR!$AM1186,IF(K1188="MEGA",PR!$AN1186,IF(K1188="MICRONOVA",PR!$AO1186,IF(K1188="MFLASH",PR!$AP1186,IF(K1188="MORISON",PR!$AQ1186,IF(K1188="NEMEL",PR!$AR1186,IF(K1188="NHP",PR!$AS1186,IF(K1188="NHC",PR!$AT1186,IF(K1188="OLEAF",PR!$AU1186,IF(K1188="OCULUS",PR!$AV1186,IF(K1188="PACIFIC",PR!$AW1186,IF(K1188="PHAMATEX",PR!$AX1186,IF(K1188="PETHICS",PR!$AY1186,IF(K1188="PHILIPS",PR!$AZ1186,IF(K1188="RANBAXY",PR!$BA1186,IF(K1188="REALS",PR!$BB1186,IF(K1188="ROYAL",PR!$BC1186,IF(K1188="SAM",PR!$BD1186,IF(K1188="SEAGREEN",PR!$BE1186,IF(K1188="SKG",PR!$BF1186,IF(K1188="TAH",PR!$BG1186,IF(K1188="TAYLEK",PR!$BH1186,IF(K1188="TEMITA",PR!$BI1186,IF(K1188="THL",PR!$BJ1186,IF(K1188="UBASTIC",PR!$BK1186,IF(K1188="UNION",PR!$BL1186,IF(K1188="UNIQUE",PR!$BM1186,IF(K1188="VIXA",PR!$BN1186,IF(K1188="WWCV",PR!$BO1186,IF(K1188="ZOLON",PR!$BP1186,"-")))))))))))))))))))))))))))))))))))))))))))))))))))))))))))))))))</f>
        <v>5460</v>
      </c>
    </row>
    <row r="1189" spans="1:12" ht="18.75" x14ac:dyDescent="0.3">
      <c r="A1189" s="430">
        <f>PR!A1187</f>
        <v>1065</v>
      </c>
      <c r="B1189" s="15" t="str">
        <f>PR!B1187</f>
        <v>LEISHMAN STAINER POWDER 25g</v>
      </c>
      <c r="C1189" s="113" t="str">
        <f>PR!D1187</f>
        <v>Bottles</v>
      </c>
      <c r="D1189" s="113">
        <f>PR!C1187</f>
        <v>6</v>
      </c>
      <c r="E1189" s="108">
        <f>IF(F1189="ALPHA",PR!$E1187,IF(F1189="ASSENE",PR!$F1187,IF(F1189="BIOFEM",PR!$G1187,IF(F1189="BIOMED",PR!$H1187,IF(F1189="CHI",PR!$I1187,IF(F1189="CLARION",PR!$J1187,IF(F1189="CODIX",PR!$K1187,IF(F1189="COSMADE",PR!$L1187,IF(F1189="SANCON",PR!$M1187,IF(F1189="DEVON",PR!$N1187,IF(F1189="DORTEMAG",PR!$O1187,IF(F1189="DGF",PR!$P1187,IF(F1189="DYNAMIC",PR!$Q1187,IF(F1189="EMZOR",PR!$R1187,IF(F1189="EUMATT",PR!$S1187,IF(F1189="FIDSON",PR!$T1187,IF(F1189="FCGLOBAL",PR!$U1187,IF(F1189="GENEITH",PR!$V1187,IF(F1189="GINOS",PR!$W1187,IF(F1189="GSK",PR!$X1187,IF(F1189="GLOBORG",PR!$Y1187,IF(F1189="GOODNEWS",PR!$Z1187,IF(F1189="GREENLIFE",PR!$AA1187,IF(F1189="HLINE",PR!$AB1187,IF(F1189="ROTECH",PR!$AC1187,IF(F1189="ISN",PR!$AD1187,IF(F1189="JAWA",PR!$AE1187,IF(F1189="LAYO",PR!$AF1187,IF(F1189="LEADWAY",PR!$AG1187,IF(F1189="LHV",PR!$AH1187,IF(F1189="MANOLA",PR!$AI1187,IF(F1189="MARCSON",PR!$AJ1187,IF(F1189="M&amp;B",PR!$AK1187,IF(F1189="MTRUST",PR!$AL1187,IF(F1189="MWORLD",PR!$AM1187,IF(F1189="MEGA",PR!$AN1187,IF(F1189="MICRONOVA",PR!$AO1187,IF(F1189="MFLASH",PR!$AP1187,IF(F1189="MORISON",PR!$AQ1187,IF(F1189="NEMEL",PR!$AR1187,IF(F1189="NHP",PR!$AS1187,IF(F1189="NHC",PR!$AT1187,IF(F1189="OLEAF",PR!$AU1187,IF(F1189="OCULUS",PR!$AV1187,IF(F1189="PACIFIC",PR!$AW1187,IF(F1189="PHAMATEX",PR!$AX1187,IF(F1189="PETHICS",PR!$AY1187,IF(F1189="PHILIPS",PR!$AZ1187,IF(F1189="RANBAXY",PR!$BA1187,IF(F1189="REALS",PR!$BB1187,IF(F1189="ROYAL",PR!$BC1187,IF(F1189="SAM",PR!$BD1187,IF(F1189="SEAGREEN",PR!$BE1187,IF(F1189="SKG",PR!$BF1187,IF(F1189="TAH",PR!$BG1187,IF(F1189="TAYLEK",PR!$BH1187,IF(F1189="TEMITA",PR!$BI1187,IF(F1189="THL",PR!$BJ1187,IF(F1189="UBASTIC",PR!$BK1187,IF(F1189="UNION",PR!$BL1187,IF(F1189="UNIQUE",PR!$BM1187,IF(F1189="VIXA",PR!$BN1187,IF(F1189="WWCV",PR!$BO1187,IF(F1189="ZOLON",PR!$BP1187,"-"))))))))))))))))))))))))))))))))))))))))))))))))))))))))))))))))</f>
        <v>3000</v>
      </c>
      <c r="F1189" s="102" t="str">
        <f>EV!L1499</f>
        <v>SANCON</v>
      </c>
      <c r="G1189" s="108">
        <f>IF(H1189="ALPHA",PR!$E1187,IF(H1189="ASSENE",PR!$F1187,IF(H1189="BIOFEM",PR!$G1187,IF(H1189="BIOMED",PR!$H1187,IF(H1189="CHI",PR!$I1187,IF(H1189="CLARION",PR!$J1187,IF(H1189="CODIX",PR!$K1187,IF(H1189="COSMADE",PR!$L1187,IF(H1189="SANCON",PR!$M1187,IF(H1189="DEVON",PR!$N1187,IF(H1189="DORTEMAG",PR!$O1187,IF(H1189="DGF",PR!$P1187,IF(H1189="DYNAMIC",PR!$Q1187,IF(H1189="EMZOR",PR!$R1187,IF(H1189="EUMATT",PR!$S1187,IF(H1189="FIDSON",PR!$T1187,IF(H1189="FCGLOBAL",PR!$U1187,IF(H1189="GENEITH",PR!$V1187,IF(H1189="GINOS",PR!$W1187,IF(H1189="GSK",PR!$X1187,IF(H1189="GLOBORG",PR!$Y1187,IF(H1189="GOODNEWS",PR!$Z1187,IF(H1189="GREENLIFE",PR!$AA1187,IF(H1189="HLINE",PR!$AB1187,IF(H1189="ROTECH",PR!$AC1187,IF(H1189="ISN",PR!$AD1187,IF(H1189="JAWA",PR!$AE1187,IF(H1189="LAYO",PR!$AF1187,IF(H1189="LEADWAY",PR!$AG1187,IF(H1189="LHV",PR!$AH1187,IF(H1189="MANOLA",PR!$AI1187,IF(H1189="MARCSON",PR!$AJ1187,IF(H1189="M&amp;B",PR!$AK1187,IF(H1189="MTRUST",PR!$AL1187,IF(H1189="MWORLD",PR!$AM1187,IF(H1189="MEGA",PR!$AN1187,IF(H1189="MICRONOVA",PR!$AO1187,IF(H1189="MFLASH",PR!$AP1187,IF(H1189="MORISON",PR!$AQ1187,IF(H1189="NEMEL",PR!$AR1187,IF(H1189="NHP",PR!$AS1187,IF(H1189="NHC",PR!$AT1187,IF(H1189="OLEAF",PR!$AU1187,IF(H1189="OCULUS",PR!$AV1187,IF(H1189="PACIFIC",PR!$AW1187,IF(H1189="PHAMATEX",PR!$AX1187,IF(H1189="PETHICS",PR!$AY1187,IF(H1189="PHILIPS",PR!$AZ1187,IF(H1189="RANBAXY",PR!$BA1187,IF(H1189="REALS",PR!$BB1187,IF(H1189="ROYAL",PR!$BC1187,IF(H1189="SAM",PR!$BD1187,IF(H1189="SEAGREEN",PR!$BE1187,IF(H1189="SKG",PR!$BF1187,IF(H1189="TAH",PR!$BG1187,IF(H1189="TAYLEK",PR!$BH1187,IF(H1189="TEMITA",PR!$BI1187,IF(H1189="THL",PR!$BJ1187,IF(H1189="UBASTIC",PR!$BK1187,IF(H1189="UNION",PR!$BL1187,IF(H1189="UNIQUE",PR!$BM1187,IF(H1189="VIXA",PR!$BN1187,IF(H1189="WWCV",PR!$BO1187,IF(H1189="ZOLON",PR!$BP1187,"-"))))))))))))))))))))))))))))))))))))))))))))))))))))))))))))))))</f>
        <v>3500</v>
      </c>
      <c r="H1189" s="102" t="str">
        <f>EV!M1499</f>
        <v>UBASTIC</v>
      </c>
      <c r="I1189" s="108">
        <f>IF(J1189="ALPHA",PR!$E1187,IF(J1189="ASSENE",PR!$F1187,IF(J1189="BIOFEM",PR!$G1187,IF(J1189="BIOMED",PR!$H1187,IF(J1189="CHI",PR!$I1187,IF(J1189="CLARION",PR!$J1187,IF(J1189="CODIX",PR!$K1187,IF(J1189="COSMADE",PR!$L1187,IF(J1189="SANCON",PR!$M1187,IF(J1189="DEVON",PR!$N1187,IF(J1189="DORTEMAG",PR!$O1187,IF(J1189="DGF",PR!$P1187,IF(J1189="DYNAMIC",PR!$Q1187,IF(J1189="EMZOR",PR!$R1187,IF(J1189="EUMATT",PR!$S1187,IF(J1189="FIDSON",PR!$T1187,IF(J1189="FCGLOBAL",PR!$U1187,IF(J1189="GENEITH",PR!$V1187,IF(J1189="GINOS",PR!$W1187,IF(J1189="GSK",PR!$X1187,IF(J1189="GLOBORG",PR!$Y1187,IF(J1189="GOODNEWS",PR!$Z1187,IF(J1189="GREENLIFE",PR!$AA1187,IF(J1189="HLINE",PR!$AB1187,IF(J1189="ROTECH",PR!$AC1187,IF(J1189="ISN",PR!$AD1187,IF(J1189="JAWA",PR!$AE1187,IF(J1189="LAYO",PR!$AF1187,IF(J1189="LEADWAY",PR!$AG1187,IF(J1189="LHV",PR!$AH1187,IF(J1189="MANOLA",PR!$AI1187,IF(J1189="MARCSON",PR!$AJ1187,IF(J1189="M&amp;B",PR!$AK1187,IF(J1189="MTRUST",PR!$AL1187,IF(J1189="MWORLD",PR!$AM1187,IF(J1189="MEGA",PR!$AN1187,IF(J1189="MICRONOVA",PR!$AO1187,IF(J1189="MFLASH",PR!$AP1187,IF(J1189="MORISON",PR!$AQ1187,IF(J1189="NEMEL",PR!$AR1187,IF(J1189="NHP",PR!$AS1187,IF(J1189="NHC",PR!$AT1187,IF(J1189="OLEAF",PR!$AU1187,IF(J1189="OCULUS",PR!$AV1187,IF(J1189="PACIFIC",PR!$AW1187,IF(J1189="PHAMATEX",PR!$AX1187,IF(J1189="PETHICS",PR!$AY1187,IF(J1189="PHILIPS",PR!$AZ1187,IF(J1189="RANBAXY",PR!$BA1187,IF(J1189="REALS",PR!$BB1187,IF(J1189="ROYAL",PR!$BC1187,IF(J1189="SAM",PR!$BD1187,IF(J1189="SEAGREEN",PR!$BE1187,IF(J1189="SKG",PR!$BF1187,IF(J1189="TAH",PR!$BG1187,IF(J1189="TAYLEK",PR!$BH1187,IF(J1189="TEMITA",PR!$BI1187,IF(J1189="THL",PR!$BJ1187,IF(J1189="UBASTIC",PR!$BK1187,IF(J1189="UNION",PR!$BL1187,IF(J1189="UNIQUE",PR!$BM1187,IF(J1189="VIXA",PR!$BN1187,IF(J1189="WWCV",PR!$BO1187,IF(J1189="ZOLON",PR!$BP1187,"-"))))))))))))))))))))))))))))))))))))))))))))))))))))))))))))))))</f>
        <v>3500</v>
      </c>
      <c r="J1189" s="102" t="str">
        <f>EV!N1499</f>
        <v>DYNAMIC</v>
      </c>
      <c r="K1189" s="433" t="s">
        <v>817</v>
      </c>
      <c r="L1189" s="183">
        <f>IF(K1189&gt;0,IF(K1189="ALPHA",PR!$E1187,IF(K1189="ASSENE",PR!$F1187,IF(K1189="BIOFEM",PR!$G1187,IF(K1189="BIOMED",PR!$H1187,IF(K1189="CHI",PR!$I1187,IF(K1189="CLARION",PR!$J1187,IF(K1189="CODIX",PR!$K1187,IF(K1189="COSMADE",PR!$L1187,IF(K1189="SANCON",PR!$M1187,IF(K1189="DEVON",PR!$N1187,IF(K1189="DORTEMAG",PR!$O1187,IF(K1189="DGF",PR!$P1187,IF(K1189="DYNAMIC",PR!$Q1187,IF(K1189="EMZOR",PR!$R1187,IF(K1189="EUMATT",PR!$S1187,IF(K1189="FIDSON",PR!$T1187,IF(K1189="FCGLOBAL",PR!$U1187,IF(K1189="GENEITH",PR!$V1187,IF(K1189="GINOS",PR!$W1187,IF(K1189="GSK",PR!$X1187,IF(K1189="GLOBORG",PR!$Y1187,IF(K1189="GOODNEWS",PR!$Z1187,IF(K1189="GREENLIFE",PR!$AA1187,IF(K1189="HLINE",PR!$AB1187,IF(K1189="ROTECH",PR!$AC1187,IF(K1189="ISN",PR!$AD1187,IF(K1189="JAWA",PR!$AE1187,IF(K1189="LAYO",PR!$AF1187,IF(K1189="LEADWAY",PR!$AG1187,IF(K1189="LHV",PR!$AH1187,IF(K1189="MANOLA",PR!$AI1187,IF(K1189="MARCSON",PR!$AJ1187,IF(K1189="M&amp;B",PR!$AK1187,IF(K1189="MTRUST",PR!$AL1187,IF(K1189="MWORLD",PR!$AM1187,IF(K1189="MEGA",PR!$AN1187,IF(K1189="MICRONOVA",PR!$AO1187,IF(K1189="MFLASH",PR!$AP1187,IF(K1189="MORISON",PR!$AQ1187,IF(K1189="NEMEL",PR!$AR1187,IF(K1189="NHP",PR!$AS1187,IF(K1189="NHC",PR!$AT1187,IF(K1189="OLEAF",PR!$AU1187,IF(K1189="OCULUS",PR!$AV1187,IF(K1189="PACIFIC",PR!$AW1187,IF(K1189="PHAMATEX",PR!$AX1187,IF(K1189="PETHICS",PR!$AY1187,IF(K1189="PHILIPS",PR!$AZ1187,IF(K1189="RANBAXY",PR!$BA1187,IF(K1189="REALS",PR!$BB1187,IF(K1189="ROYAL",PR!$BC1187,IF(K1189="SAM",PR!$BD1187,IF(K1189="SEAGREEN",PR!$BE1187,IF(K1189="SKG",PR!$BF1187,IF(K1189="TAH",PR!$BG1187,IF(K1189="TAYLEK",PR!$BH1187,IF(K1189="TEMITA",PR!$BI1187,IF(K1189="THL",PR!$BJ1187,IF(K1189="UBASTIC",PR!$BK1187,IF(K1189="UNION",PR!$BL1187,IF(K1189="UNIQUE",PR!$BM1187,IF(K1189="VIXA",PR!$BN1187,IF(K1189="WWCV",PR!$BO1187,IF(K1189="ZOLON",PR!$BP1187,"-")))))))))))))))))))))))))))))))))))))))))))))))))))))))))))))))))</f>
        <v>3000</v>
      </c>
    </row>
    <row r="1190" spans="1:12" ht="18.75" x14ac:dyDescent="0.3">
      <c r="A1190" s="430">
        <f>PR!A1188</f>
        <v>1066</v>
      </c>
      <c r="B1190" s="15" t="str">
        <f>PR!B1188</f>
        <v>ANTISERA A</v>
      </c>
      <c r="C1190" s="113" t="str">
        <f>PR!D1188</f>
        <v>Pkt (10)</v>
      </c>
      <c r="D1190" s="113">
        <f>PR!C1188</f>
        <v>3</v>
      </c>
      <c r="E1190" s="108">
        <f>IF(F1190="ALPHA",PR!$E1188,IF(F1190="ASSENE",PR!$F1188,IF(F1190="BIOFEM",PR!$G1188,IF(F1190="BIOMED",PR!$H1188,IF(F1190="CHI",PR!$I1188,IF(F1190="CLARION",PR!$J1188,IF(F1190="CODIX",PR!$K1188,IF(F1190="COSMADE",PR!$L1188,IF(F1190="SANCON",PR!$M1188,IF(F1190="DEVON",PR!$N1188,IF(F1190="DORTEMAG",PR!$O1188,IF(F1190="DGF",PR!$P1188,IF(F1190="DYNAMIC",PR!$Q1188,IF(F1190="EMZOR",PR!$R1188,IF(F1190="EUMATT",PR!$S1188,IF(F1190="FIDSON",PR!$T1188,IF(F1190="FCGLOBAL",PR!$U1188,IF(F1190="GENEITH",PR!$V1188,IF(F1190="GINOS",PR!$W1188,IF(F1190="GSK",PR!$X1188,IF(F1190="GLOBORG",PR!$Y1188,IF(F1190="GOODNEWS",PR!$Z1188,IF(F1190="GREENLIFE",PR!$AA1188,IF(F1190="HLINE",PR!$AB1188,IF(F1190="ROTECH",PR!$AC1188,IF(F1190="ISN",PR!$AD1188,IF(F1190="JAWA",PR!$AE1188,IF(F1190="LAYO",PR!$AF1188,IF(F1190="LEADWAY",PR!$AG1188,IF(F1190="LHV",PR!$AH1188,IF(F1190="MANOLA",PR!$AI1188,IF(F1190="MARCSON",PR!$AJ1188,IF(F1190="M&amp;B",PR!$AK1188,IF(F1190="MTRUST",PR!$AL1188,IF(F1190="MWORLD",PR!$AM1188,IF(F1190="MEGA",PR!$AN1188,IF(F1190="MICRONOVA",PR!$AO1188,IF(F1190="MFLASH",PR!$AP1188,IF(F1190="MORISON",PR!$AQ1188,IF(F1190="NEMEL",PR!$AR1188,IF(F1190="NHP",PR!$AS1188,IF(F1190="NHC",PR!$AT1188,IF(F1190="OLEAF",PR!$AU1188,IF(F1190="OCULUS",PR!$AV1188,IF(F1190="PACIFIC",PR!$AW1188,IF(F1190="PHAMATEX",PR!$AX1188,IF(F1190="PETHICS",PR!$AY1188,IF(F1190="PHILIPS",PR!$AZ1188,IF(F1190="RANBAXY",PR!$BA1188,IF(F1190="REALS",PR!$BB1188,IF(F1190="ROYAL",PR!$BC1188,IF(F1190="SAM",PR!$BD1188,IF(F1190="SEAGREEN",PR!$BE1188,IF(F1190="SKG",PR!$BF1188,IF(F1190="TAH",PR!$BG1188,IF(F1190="TAYLEK",PR!$BH1188,IF(F1190="TEMITA",PR!$BI1188,IF(F1190="THL",PR!$BJ1188,IF(F1190="UBASTIC",PR!$BK1188,IF(F1190="UNION",PR!$BL1188,IF(F1190="UNIQUE",PR!$BM1188,IF(F1190="VIXA",PR!$BN1188,IF(F1190="WWCV",PR!$BO1188,IF(F1190="ZOLON",PR!$BP1188,"-"))))))))))))))))))))))))))))))))))))))))))))))))))))))))))))))))</f>
        <v>10000</v>
      </c>
      <c r="F1190" s="102" t="str">
        <f>EV!L1500</f>
        <v>UBASTIC</v>
      </c>
      <c r="G1190" s="108">
        <f>IF(H1190="ALPHA",PR!$E1188,IF(H1190="ASSENE",PR!$F1188,IF(H1190="BIOFEM",PR!$G1188,IF(H1190="BIOMED",PR!$H1188,IF(H1190="CHI",PR!$I1188,IF(H1190="CLARION",PR!$J1188,IF(H1190="CODIX",PR!$K1188,IF(H1190="COSMADE",PR!$L1188,IF(H1190="SANCON",PR!$M1188,IF(H1190="DEVON",PR!$N1188,IF(H1190="DORTEMAG",PR!$O1188,IF(H1190="DGF",PR!$P1188,IF(H1190="DYNAMIC",PR!$Q1188,IF(H1190="EMZOR",PR!$R1188,IF(H1190="EUMATT",PR!$S1188,IF(H1190="FIDSON",PR!$T1188,IF(H1190="FCGLOBAL",PR!$U1188,IF(H1190="GENEITH",PR!$V1188,IF(H1190="GINOS",PR!$W1188,IF(H1190="GSK",PR!$X1188,IF(H1190="GLOBORG",PR!$Y1188,IF(H1190="GOODNEWS",PR!$Z1188,IF(H1190="GREENLIFE",PR!$AA1188,IF(H1190="HLINE",PR!$AB1188,IF(H1190="ROTECH",PR!$AC1188,IF(H1190="ISN",PR!$AD1188,IF(H1190="JAWA",PR!$AE1188,IF(H1190="LAYO",PR!$AF1188,IF(H1190="LEADWAY",PR!$AG1188,IF(H1190="LHV",PR!$AH1188,IF(H1190="MANOLA",PR!$AI1188,IF(H1190="MARCSON",PR!$AJ1188,IF(H1190="M&amp;B",PR!$AK1188,IF(H1190="MTRUST",PR!$AL1188,IF(H1190="MWORLD",PR!$AM1188,IF(H1190="MEGA",PR!$AN1188,IF(H1190="MICRONOVA",PR!$AO1188,IF(H1190="MFLASH",PR!$AP1188,IF(H1190="MORISON",PR!$AQ1188,IF(H1190="NEMEL",PR!$AR1188,IF(H1190="NHP",PR!$AS1188,IF(H1190="NHC",PR!$AT1188,IF(H1190="OLEAF",PR!$AU1188,IF(H1190="OCULUS",PR!$AV1188,IF(H1190="PACIFIC",PR!$AW1188,IF(H1190="PHAMATEX",PR!$AX1188,IF(H1190="PETHICS",PR!$AY1188,IF(H1190="PHILIPS",PR!$AZ1188,IF(H1190="RANBAXY",PR!$BA1188,IF(H1190="REALS",PR!$BB1188,IF(H1190="ROYAL",PR!$BC1188,IF(H1190="SAM",PR!$BD1188,IF(H1190="SEAGREEN",PR!$BE1188,IF(H1190="SKG",PR!$BF1188,IF(H1190="TAH",PR!$BG1188,IF(H1190="TAYLEK",PR!$BH1188,IF(H1190="TEMITA",PR!$BI1188,IF(H1190="THL",PR!$BJ1188,IF(H1190="UBASTIC",PR!$BK1188,IF(H1190="UNION",PR!$BL1188,IF(H1190="UNIQUE",PR!$BM1188,IF(H1190="VIXA",PR!$BN1188,IF(H1190="WWCV",PR!$BO1188,IF(H1190="ZOLON",PR!$BP1188,"-"))))))))))))))))))))))))))))))))))))))))))))))))))))))))))))))))</f>
        <v>10500</v>
      </c>
      <c r="H1190" s="102" t="str">
        <f>EV!M1500</f>
        <v>TEMITA</v>
      </c>
      <c r="I1190" s="108">
        <f>IF(J1190="ALPHA",PR!$E1188,IF(J1190="ASSENE",PR!$F1188,IF(J1190="BIOFEM",PR!$G1188,IF(J1190="BIOMED",PR!$H1188,IF(J1190="CHI",PR!$I1188,IF(J1190="CLARION",PR!$J1188,IF(J1190="CODIX",PR!$K1188,IF(J1190="COSMADE",PR!$L1188,IF(J1190="SANCON",PR!$M1188,IF(J1190="DEVON",PR!$N1188,IF(J1190="DORTEMAG",PR!$O1188,IF(J1190="DGF",PR!$P1188,IF(J1190="DYNAMIC",PR!$Q1188,IF(J1190="EMZOR",PR!$R1188,IF(J1190="EUMATT",PR!$S1188,IF(J1190="FIDSON",PR!$T1188,IF(J1190="FCGLOBAL",PR!$U1188,IF(J1190="GENEITH",PR!$V1188,IF(J1190="GINOS",PR!$W1188,IF(J1190="GSK",PR!$X1188,IF(J1190="GLOBORG",PR!$Y1188,IF(J1190="GOODNEWS",PR!$Z1188,IF(J1190="GREENLIFE",PR!$AA1188,IF(J1190="HLINE",PR!$AB1188,IF(J1190="ROTECH",PR!$AC1188,IF(J1190="ISN",PR!$AD1188,IF(J1190="JAWA",PR!$AE1188,IF(J1190="LAYO",PR!$AF1188,IF(J1190="LEADWAY",PR!$AG1188,IF(J1190="LHV",PR!$AH1188,IF(J1190="MANOLA",PR!$AI1188,IF(J1190="MARCSON",PR!$AJ1188,IF(J1190="M&amp;B",PR!$AK1188,IF(J1190="MTRUST",PR!$AL1188,IF(J1190="MWORLD",PR!$AM1188,IF(J1190="MEGA",PR!$AN1188,IF(J1190="MICRONOVA",PR!$AO1188,IF(J1190="MFLASH",PR!$AP1188,IF(J1190="MORISON",PR!$AQ1188,IF(J1190="NEMEL",PR!$AR1188,IF(J1190="NHP",PR!$AS1188,IF(J1190="NHC",PR!$AT1188,IF(J1190="OLEAF",PR!$AU1188,IF(J1190="OCULUS",PR!$AV1188,IF(J1190="PACIFIC",PR!$AW1188,IF(J1190="PHAMATEX",PR!$AX1188,IF(J1190="PETHICS",PR!$AY1188,IF(J1190="PHILIPS",PR!$AZ1188,IF(J1190="RANBAXY",PR!$BA1188,IF(J1190="REALS",PR!$BB1188,IF(J1190="ROYAL",PR!$BC1188,IF(J1190="SAM",PR!$BD1188,IF(J1190="SEAGREEN",PR!$BE1188,IF(J1190="SKG",PR!$BF1188,IF(J1190="TAH",PR!$BG1188,IF(J1190="TAYLEK",PR!$BH1188,IF(J1190="TEMITA",PR!$BI1188,IF(J1190="THL",PR!$BJ1188,IF(J1190="UBASTIC",PR!$BK1188,IF(J1190="UNION",PR!$BL1188,IF(J1190="UNIQUE",PR!$BM1188,IF(J1190="VIXA",PR!$BN1188,IF(J1190="WWCV",PR!$BO1188,IF(J1190="ZOLON",PR!$BP1188,"-"))))))))))))))))))))))))))))))))))))))))))))))))))))))))))))))))</f>
        <v>14000</v>
      </c>
      <c r="J1190" s="102" t="str">
        <f>EV!N1500</f>
        <v>SANCON</v>
      </c>
      <c r="K1190" s="433" t="s">
        <v>1459</v>
      </c>
      <c r="L1190" s="183">
        <f>IF(K1190&gt;0,IF(K1190="ALPHA",PR!$E1188,IF(K1190="ASSENE",PR!$F1188,IF(K1190="BIOFEM",PR!$G1188,IF(K1190="BIOMED",PR!$H1188,IF(K1190="CHI",PR!$I1188,IF(K1190="CLARION",PR!$J1188,IF(K1190="CODIX",PR!$K1188,IF(K1190="COSMADE",PR!$L1188,IF(K1190="SANCON",PR!$M1188,IF(K1190="DEVON",PR!$N1188,IF(K1190="DORTEMAG",PR!$O1188,IF(K1190="DGF",PR!$P1188,IF(K1190="DYNAMIC",PR!$Q1188,IF(K1190="EMZOR",PR!$R1188,IF(K1190="EUMATT",PR!$S1188,IF(K1190="FIDSON",PR!$T1188,IF(K1190="FCGLOBAL",PR!$U1188,IF(K1190="GENEITH",PR!$V1188,IF(K1190="GINOS",PR!$W1188,IF(K1190="GSK",PR!$X1188,IF(K1190="GLOBORG",PR!$Y1188,IF(K1190="GOODNEWS",PR!$Z1188,IF(K1190="GREENLIFE",PR!$AA1188,IF(K1190="HLINE",PR!$AB1188,IF(K1190="ROTECH",PR!$AC1188,IF(K1190="ISN",PR!$AD1188,IF(K1190="JAWA",PR!$AE1188,IF(K1190="LAYO",PR!$AF1188,IF(K1190="LEADWAY",PR!$AG1188,IF(K1190="LHV",PR!$AH1188,IF(K1190="MANOLA",PR!$AI1188,IF(K1190="MARCSON",PR!$AJ1188,IF(K1190="M&amp;B",PR!$AK1188,IF(K1190="MTRUST",PR!$AL1188,IF(K1190="MWORLD",PR!$AM1188,IF(K1190="MEGA",PR!$AN1188,IF(K1190="MICRONOVA",PR!$AO1188,IF(K1190="MFLASH",PR!$AP1188,IF(K1190="MORISON",PR!$AQ1188,IF(K1190="NEMEL",PR!$AR1188,IF(K1190="NHP",PR!$AS1188,IF(K1190="NHC",PR!$AT1188,IF(K1190="OLEAF",PR!$AU1188,IF(K1190="OCULUS",PR!$AV1188,IF(K1190="PACIFIC",PR!$AW1188,IF(K1190="PHAMATEX",PR!$AX1188,IF(K1190="PETHICS",PR!$AY1188,IF(K1190="PHILIPS",PR!$AZ1188,IF(K1190="RANBAXY",PR!$BA1188,IF(K1190="REALS",PR!$BB1188,IF(K1190="ROYAL",PR!$BC1188,IF(K1190="SAM",PR!$BD1188,IF(K1190="SEAGREEN",PR!$BE1188,IF(K1190="SKG",PR!$BF1188,IF(K1190="TAH",PR!$BG1188,IF(K1190="TAYLEK",PR!$BH1188,IF(K1190="TEMITA",PR!$BI1188,IF(K1190="THL",PR!$BJ1188,IF(K1190="UBASTIC",PR!$BK1188,IF(K1190="UNION",PR!$BL1188,IF(K1190="UNIQUE",PR!$BM1188,IF(K1190="VIXA",PR!$BN1188,IF(K1190="WWCV",PR!$BO1188,IF(K1190="ZOLON",PR!$BP1188,"-")))))))))))))))))))))))))))))))))))))))))))))))))))))))))))))))))</f>
        <v>10000</v>
      </c>
    </row>
    <row r="1191" spans="1:12" ht="18.75" x14ac:dyDescent="0.3">
      <c r="A1191" s="430">
        <f>PR!A1189</f>
        <v>1067</v>
      </c>
      <c r="B1191" s="15" t="str">
        <f>PR!B1189</f>
        <v>ANTISERA B</v>
      </c>
      <c r="C1191" s="113" t="str">
        <f>PR!D1189</f>
        <v>Pkt (10)</v>
      </c>
      <c r="D1191" s="113">
        <f>PR!C1189</f>
        <v>3</v>
      </c>
      <c r="E1191" s="108">
        <f>IF(F1191="ALPHA",PR!$E1189,IF(F1191="ASSENE",PR!$F1189,IF(F1191="BIOFEM",PR!$G1189,IF(F1191="BIOMED",PR!$H1189,IF(F1191="CHI",PR!$I1189,IF(F1191="CLARION",PR!$J1189,IF(F1191="CODIX",PR!$K1189,IF(F1191="COSMADE",PR!$L1189,IF(F1191="SANCON",PR!$M1189,IF(F1191="DEVON",PR!$N1189,IF(F1191="DORTEMAG",PR!$O1189,IF(F1191="DGF",PR!$P1189,IF(F1191="DYNAMIC",PR!$Q1189,IF(F1191="EMZOR",PR!$R1189,IF(F1191="EUMATT",PR!$S1189,IF(F1191="FIDSON",PR!$T1189,IF(F1191="FCGLOBAL",PR!$U1189,IF(F1191="GENEITH",PR!$V1189,IF(F1191="GINOS",PR!$W1189,IF(F1191="GSK",PR!$X1189,IF(F1191="GLOBORG",PR!$Y1189,IF(F1191="GOODNEWS",PR!$Z1189,IF(F1191="GREENLIFE",PR!$AA1189,IF(F1191="HLINE",PR!$AB1189,IF(F1191="ROTECH",PR!$AC1189,IF(F1191="ISN",PR!$AD1189,IF(F1191="JAWA",PR!$AE1189,IF(F1191="LAYO",PR!$AF1189,IF(F1191="LEADWAY",PR!$AG1189,IF(F1191="LHV",PR!$AH1189,IF(F1191="MANOLA",PR!$AI1189,IF(F1191="MARCSON",PR!$AJ1189,IF(F1191="M&amp;B",PR!$AK1189,IF(F1191="MTRUST",PR!$AL1189,IF(F1191="MWORLD",PR!$AM1189,IF(F1191="MEGA",PR!$AN1189,IF(F1191="MICRONOVA",PR!$AO1189,IF(F1191="MFLASH",PR!$AP1189,IF(F1191="MORISON",PR!$AQ1189,IF(F1191="NEMEL",PR!$AR1189,IF(F1191="NHP",PR!$AS1189,IF(F1191="NHC",PR!$AT1189,IF(F1191="OLEAF",PR!$AU1189,IF(F1191="OCULUS",PR!$AV1189,IF(F1191="PACIFIC",PR!$AW1189,IF(F1191="PHAMATEX",PR!$AX1189,IF(F1191="PETHICS",PR!$AY1189,IF(F1191="PHILIPS",PR!$AZ1189,IF(F1191="RANBAXY",PR!$BA1189,IF(F1191="REALS",PR!$BB1189,IF(F1191="ROYAL",PR!$BC1189,IF(F1191="SAM",PR!$BD1189,IF(F1191="SEAGREEN",PR!$BE1189,IF(F1191="SKG",PR!$BF1189,IF(F1191="TAH",PR!$BG1189,IF(F1191="TAYLEK",PR!$BH1189,IF(F1191="TEMITA",PR!$BI1189,IF(F1191="THL",PR!$BJ1189,IF(F1191="UBASTIC",PR!$BK1189,IF(F1191="UNION",PR!$BL1189,IF(F1191="UNIQUE",PR!$BM1189,IF(F1191="VIXA",PR!$BN1189,IF(F1191="WWCV",PR!$BO1189,IF(F1191="ZOLON",PR!$BP1189,"-"))))))))))))))))))))))))))))))))))))))))))))))))))))))))))))))))</f>
        <v>10000</v>
      </c>
      <c r="F1191" s="102" t="str">
        <f>EV!L1501</f>
        <v>UBASTIC</v>
      </c>
      <c r="G1191" s="108">
        <f>IF(H1191="ALPHA",PR!$E1189,IF(H1191="ASSENE",PR!$F1189,IF(H1191="BIOFEM",PR!$G1189,IF(H1191="BIOMED",PR!$H1189,IF(H1191="CHI",PR!$I1189,IF(H1191="CLARION",PR!$J1189,IF(H1191="CODIX",PR!$K1189,IF(H1191="COSMADE",PR!$L1189,IF(H1191="SANCON",PR!$M1189,IF(H1191="DEVON",PR!$N1189,IF(H1191="DORTEMAG",PR!$O1189,IF(H1191="DGF",PR!$P1189,IF(H1191="DYNAMIC",PR!$Q1189,IF(H1191="EMZOR",PR!$R1189,IF(H1191="EUMATT",PR!$S1189,IF(H1191="FIDSON",PR!$T1189,IF(H1191="FCGLOBAL",PR!$U1189,IF(H1191="GENEITH",PR!$V1189,IF(H1191="GINOS",PR!$W1189,IF(H1191="GSK",PR!$X1189,IF(H1191="GLOBORG",PR!$Y1189,IF(H1191="GOODNEWS",PR!$Z1189,IF(H1191="GREENLIFE",PR!$AA1189,IF(H1191="HLINE",PR!$AB1189,IF(H1191="ROTECH",PR!$AC1189,IF(H1191="ISN",PR!$AD1189,IF(H1191="JAWA",PR!$AE1189,IF(H1191="LAYO",PR!$AF1189,IF(H1191="LEADWAY",PR!$AG1189,IF(H1191="LHV",PR!$AH1189,IF(H1191="MANOLA",PR!$AI1189,IF(H1191="MARCSON",PR!$AJ1189,IF(H1191="M&amp;B",PR!$AK1189,IF(H1191="MTRUST",PR!$AL1189,IF(H1191="MWORLD",PR!$AM1189,IF(H1191="MEGA",PR!$AN1189,IF(H1191="MICRONOVA",PR!$AO1189,IF(H1191="MFLASH",PR!$AP1189,IF(H1191="MORISON",PR!$AQ1189,IF(H1191="NEMEL",PR!$AR1189,IF(H1191="NHP",PR!$AS1189,IF(H1191="NHC",PR!$AT1189,IF(H1191="OLEAF",PR!$AU1189,IF(H1191="OCULUS",PR!$AV1189,IF(H1191="PACIFIC",PR!$AW1189,IF(H1191="PHAMATEX",PR!$AX1189,IF(H1191="PETHICS",PR!$AY1189,IF(H1191="PHILIPS",PR!$AZ1189,IF(H1191="RANBAXY",PR!$BA1189,IF(H1191="REALS",PR!$BB1189,IF(H1191="ROYAL",PR!$BC1189,IF(H1191="SAM",PR!$BD1189,IF(H1191="SEAGREEN",PR!$BE1189,IF(H1191="SKG",PR!$BF1189,IF(H1191="TAH",PR!$BG1189,IF(H1191="TAYLEK",PR!$BH1189,IF(H1191="TEMITA",PR!$BI1189,IF(H1191="THL",PR!$BJ1189,IF(H1191="UBASTIC",PR!$BK1189,IF(H1191="UNION",PR!$BL1189,IF(H1191="UNIQUE",PR!$BM1189,IF(H1191="VIXA",PR!$BN1189,IF(H1191="WWCV",PR!$BO1189,IF(H1191="ZOLON",PR!$BP1189,"-"))))))))))))))))))))))))))))))))))))))))))))))))))))))))))))))))</f>
        <v>10500</v>
      </c>
      <c r="H1191" s="102" t="str">
        <f>EV!M1501</f>
        <v>TEMITA</v>
      </c>
      <c r="I1191" s="108">
        <f>IF(J1191="ALPHA",PR!$E1189,IF(J1191="ASSENE",PR!$F1189,IF(J1191="BIOFEM",PR!$G1189,IF(J1191="BIOMED",PR!$H1189,IF(J1191="CHI",PR!$I1189,IF(J1191="CLARION",PR!$J1189,IF(J1191="CODIX",PR!$K1189,IF(J1191="COSMADE",PR!$L1189,IF(J1191="SANCON",PR!$M1189,IF(J1191="DEVON",PR!$N1189,IF(J1191="DORTEMAG",PR!$O1189,IF(J1191="DGF",PR!$P1189,IF(J1191="DYNAMIC",PR!$Q1189,IF(J1191="EMZOR",PR!$R1189,IF(J1191="EUMATT",PR!$S1189,IF(J1191="FIDSON",PR!$T1189,IF(J1191="FCGLOBAL",PR!$U1189,IF(J1191="GENEITH",PR!$V1189,IF(J1191="GINOS",PR!$W1189,IF(J1191="GSK",PR!$X1189,IF(J1191="GLOBORG",PR!$Y1189,IF(J1191="GOODNEWS",PR!$Z1189,IF(J1191="GREENLIFE",PR!$AA1189,IF(J1191="HLINE",PR!$AB1189,IF(J1191="ROTECH",PR!$AC1189,IF(J1191="ISN",PR!$AD1189,IF(J1191="JAWA",PR!$AE1189,IF(J1191="LAYO",PR!$AF1189,IF(J1191="LEADWAY",PR!$AG1189,IF(J1191="LHV",PR!$AH1189,IF(J1191="MANOLA",PR!$AI1189,IF(J1191="MARCSON",PR!$AJ1189,IF(J1191="M&amp;B",PR!$AK1189,IF(J1191="MTRUST",PR!$AL1189,IF(J1191="MWORLD",PR!$AM1189,IF(J1191="MEGA",PR!$AN1189,IF(J1191="MICRONOVA",PR!$AO1189,IF(J1191="MFLASH",PR!$AP1189,IF(J1191="MORISON",PR!$AQ1189,IF(J1191="NEMEL",PR!$AR1189,IF(J1191="NHP",PR!$AS1189,IF(J1191="NHC",PR!$AT1189,IF(J1191="OLEAF",PR!$AU1189,IF(J1191="OCULUS",PR!$AV1189,IF(J1191="PACIFIC",PR!$AW1189,IF(J1191="PHAMATEX",PR!$AX1189,IF(J1191="PETHICS",PR!$AY1189,IF(J1191="PHILIPS",PR!$AZ1189,IF(J1191="RANBAXY",PR!$BA1189,IF(J1191="REALS",PR!$BB1189,IF(J1191="ROYAL",PR!$BC1189,IF(J1191="SAM",PR!$BD1189,IF(J1191="SEAGREEN",PR!$BE1189,IF(J1191="SKG",PR!$BF1189,IF(J1191="TAH",PR!$BG1189,IF(J1191="TAYLEK",PR!$BH1189,IF(J1191="TEMITA",PR!$BI1189,IF(J1191="THL",PR!$BJ1189,IF(J1191="UBASTIC",PR!$BK1189,IF(J1191="UNION",PR!$BL1189,IF(J1191="UNIQUE",PR!$BM1189,IF(J1191="VIXA",PR!$BN1189,IF(J1191="WWCV",PR!$BO1189,IF(J1191="ZOLON",PR!$BP1189,"-"))))))))))))))))))))))))))))))))))))))))))))))))))))))))))))))))</f>
        <v>12250</v>
      </c>
      <c r="J1191" s="102" t="str">
        <f>EV!N1501</f>
        <v>ROTECH</v>
      </c>
      <c r="K1191" s="433" t="s">
        <v>1459</v>
      </c>
      <c r="L1191" s="183">
        <f>IF(K1191&gt;0,IF(K1191="ALPHA",PR!$E1189,IF(K1191="ASSENE",PR!$F1189,IF(K1191="BIOFEM",PR!$G1189,IF(K1191="BIOMED",PR!$H1189,IF(K1191="CHI",PR!$I1189,IF(K1191="CLARION",PR!$J1189,IF(K1191="CODIX",PR!$K1189,IF(K1191="COSMADE",PR!$L1189,IF(K1191="SANCON",PR!$M1189,IF(K1191="DEVON",PR!$N1189,IF(K1191="DORTEMAG",PR!$O1189,IF(K1191="DGF",PR!$P1189,IF(K1191="DYNAMIC",PR!$Q1189,IF(K1191="EMZOR",PR!$R1189,IF(K1191="EUMATT",PR!$S1189,IF(K1191="FIDSON",PR!$T1189,IF(K1191="FCGLOBAL",PR!$U1189,IF(K1191="GENEITH",PR!$V1189,IF(K1191="GINOS",PR!$W1189,IF(K1191="GSK",PR!$X1189,IF(K1191="GLOBORG",PR!$Y1189,IF(K1191="GOODNEWS",PR!$Z1189,IF(K1191="GREENLIFE",PR!$AA1189,IF(K1191="HLINE",PR!$AB1189,IF(K1191="ROTECH",PR!$AC1189,IF(K1191="ISN",PR!$AD1189,IF(K1191="JAWA",PR!$AE1189,IF(K1191="LAYO",PR!$AF1189,IF(K1191="LEADWAY",PR!$AG1189,IF(K1191="LHV",PR!$AH1189,IF(K1191="MANOLA",PR!$AI1189,IF(K1191="MARCSON",PR!$AJ1189,IF(K1191="M&amp;B",PR!$AK1189,IF(K1191="MTRUST",PR!$AL1189,IF(K1191="MWORLD",PR!$AM1189,IF(K1191="MEGA",PR!$AN1189,IF(K1191="MICRONOVA",PR!$AO1189,IF(K1191="MFLASH",PR!$AP1189,IF(K1191="MORISON",PR!$AQ1189,IF(K1191="NEMEL",PR!$AR1189,IF(K1191="NHP",PR!$AS1189,IF(K1191="NHC",PR!$AT1189,IF(K1191="OLEAF",PR!$AU1189,IF(K1191="OCULUS",PR!$AV1189,IF(K1191="PACIFIC",PR!$AW1189,IF(K1191="PHAMATEX",PR!$AX1189,IF(K1191="PETHICS",PR!$AY1189,IF(K1191="PHILIPS",PR!$AZ1189,IF(K1191="RANBAXY",PR!$BA1189,IF(K1191="REALS",PR!$BB1189,IF(K1191="ROYAL",PR!$BC1189,IF(K1191="SAM",PR!$BD1189,IF(K1191="SEAGREEN",PR!$BE1189,IF(K1191="SKG",PR!$BF1189,IF(K1191="TAH",PR!$BG1189,IF(K1191="TAYLEK",PR!$BH1189,IF(K1191="TEMITA",PR!$BI1189,IF(K1191="THL",PR!$BJ1189,IF(K1191="UBASTIC",PR!$BK1189,IF(K1191="UNION",PR!$BL1189,IF(K1191="UNIQUE",PR!$BM1189,IF(K1191="VIXA",PR!$BN1189,IF(K1191="WWCV",PR!$BO1189,IF(K1191="ZOLON",PR!$BP1189,"-")))))))))))))))))))))))))))))))))))))))))))))))))))))))))))))))))</f>
        <v>10000</v>
      </c>
    </row>
    <row r="1192" spans="1:12" ht="18.75" x14ac:dyDescent="0.3">
      <c r="A1192" s="430">
        <f>PR!A1190</f>
        <v>1068</v>
      </c>
      <c r="B1192" s="15" t="str">
        <f>PR!B1190</f>
        <v>ANTISERA AB</v>
      </c>
      <c r="C1192" s="113" t="str">
        <f>PR!D1190</f>
        <v>Pkt (10)</v>
      </c>
      <c r="D1192" s="113">
        <f>PR!C1190</f>
        <v>3</v>
      </c>
      <c r="E1192" s="108">
        <f>IF(F1192="ALPHA",PR!$E1190,IF(F1192="ASSENE",PR!$F1190,IF(F1192="BIOFEM",PR!$G1190,IF(F1192="BIOMED",PR!$H1190,IF(F1192="CHI",PR!$I1190,IF(F1192="CLARION",PR!$J1190,IF(F1192="CODIX",PR!$K1190,IF(F1192="COSMADE",PR!$L1190,IF(F1192="SANCON",PR!$M1190,IF(F1192="DEVON",PR!$N1190,IF(F1192="DORTEMAG",PR!$O1190,IF(F1192="DGF",PR!$P1190,IF(F1192="DYNAMIC",PR!$Q1190,IF(F1192="EMZOR",PR!$R1190,IF(F1192="EUMATT",PR!$S1190,IF(F1192="FIDSON",PR!$T1190,IF(F1192="FCGLOBAL",PR!$U1190,IF(F1192="GENEITH",PR!$V1190,IF(F1192="GINOS",PR!$W1190,IF(F1192="GSK",PR!$X1190,IF(F1192="GLOBORG",PR!$Y1190,IF(F1192="GOODNEWS",PR!$Z1190,IF(F1192="GREENLIFE",PR!$AA1190,IF(F1192="HLINE",PR!$AB1190,IF(F1192="ROTECH",PR!$AC1190,IF(F1192="ISN",PR!$AD1190,IF(F1192="JAWA",PR!$AE1190,IF(F1192="LAYO",PR!$AF1190,IF(F1192="LEADWAY",PR!$AG1190,IF(F1192="LHV",PR!$AH1190,IF(F1192="MANOLA",PR!$AI1190,IF(F1192="MARCSON",PR!$AJ1190,IF(F1192="M&amp;B",PR!$AK1190,IF(F1192="MTRUST",PR!$AL1190,IF(F1192="MWORLD",PR!$AM1190,IF(F1192="MEGA",PR!$AN1190,IF(F1192="MICRONOVA",PR!$AO1190,IF(F1192="MFLASH",PR!$AP1190,IF(F1192="MORISON",PR!$AQ1190,IF(F1192="NEMEL",PR!$AR1190,IF(F1192="NHP",PR!$AS1190,IF(F1192="NHC",PR!$AT1190,IF(F1192="OLEAF",PR!$AU1190,IF(F1192="OCULUS",PR!$AV1190,IF(F1192="PACIFIC",PR!$AW1190,IF(F1192="PHAMATEX",PR!$AX1190,IF(F1192="PETHICS",PR!$AY1190,IF(F1192="PHILIPS",PR!$AZ1190,IF(F1192="RANBAXY",PR!$BA1190,IF(F1192="REALS",PR!$BB1190,IF(F1192="ROYAL",PR!$BC1190,IF(F1192="SAM",PR!$BD1190,IF(F1192="SEAGREEN",PR!$BE1190,IF(F1192="SKG",PR!$BF1190,IF(F1192="TAH",PR!$BG1190,IF(F1192="TAYLEK",PR!$BH1190,IF(F1192="TEMITA",PR!$BI1190,IF(F1192="THL",PR!$BJ1190,IF(F1192="UBASTIC",PR!$BK1190,IF(F1192="UNION",PR!$BL1190,IF(F1192="UNIQUE",PR!$BM1190,IF(F1192="VIXA",PR!$BN1190,IF(F1192="WWCV",PR!$BO1190,IF(F1192="ZOLON",PR!$BP1190,"-"))))))))))))))))))))))))))))))))))))))))))))))))))))))))))))))))</f>
        <v>12500</v>
      </c>
      <c r="F1192" s="102" t="str">
        <f>EV!L1502</f>
        <v>TEMITA</v>
      </c>
      <c r="G1192" s="108">
        <f>IF(H1192="ALPHA",PR!$E1190,IF(H1192="ASSENE",PR!$F1190,IF(H1192="BIOFEM",PR!$G1190,IF(H1192="BIOMED",PR!$H1190,IF(H1192="CHI",PR!$I1190,IF(H1192="CLARION",PR!$J1190,IF(H1192="CODIX",PR!$K1190,IF(H1192="COSMADE",PR!$L1190,IF(H1192="SANCON",PR!$M1190,IF(H1192="DEVON",PR!$N1190,IF(H1192="DORTEMAG",PR!$O1190,IF(H1192="DGF",PR!$P1190,IF(H1192="DYNAMIC",PR!$Q1190,IF(H1192="EMZOR",PR!$R1190,IF(H1192="EUMATT",PR!$S1190,IF(H1192="FIDSON",PR!$T1190,IF(H1192="FCGLOBAL",PR!$U1190,IF(H1192="GENEITH",PR!$V1190,IF(H1192="GINOS",PR!$W1190,IF(H1192="GSK",PR!$X1190,IF(H1192="GLOBORG",PR!$Y1190,IF(H1192="GOODNEWS",PR!$Z1190,IF(H1192="GREENLIFE",PR!$AA1190,IF(H1192="HLINE",PR!$AB1190,IF(H1192="ROTECH",PR!$AC1190,IF(H1192="ISN",PR!$AD1190,IF(H1192="JAWA",PR!$AE1190,IF(H1192="LAYO",PR!$AF1190,IF(H1192="LEADWAY",PR!$AG1190,IF(H1192="LHV",PR!$AH1190,IF(H1192="MANOLA",PR!$AI1190,IF(H1192="MARCSON",PR!$AJ1190,IF(H1192="M&amp;B",PR!$AK1190,IF(H1192="MTRUST",PR!$AL1190,IF(H1192="MWORLD",PR!$AM1190,IF(H1192="MEGA",PR!$AN1190,IF(H1192="MICRONOVA",PR!$AO1190,IF(H1192="MFLASH",PR!$AP1190,IF(H1192="MORISON",PR!$AQ1190,IF(H1192="NEMEL",PR!$AR1190,IF(H1192="NHP",PR!$AS1190,IF(H1192="NHC",PR!$AT1190,IF(H1192="OLEAF",PR!$AU1190,IF(H1192="OCULUS",PR!$AV1190,IF(H1192="PACIFIC",PR!$AW1190,IF(H1192="PHAMATEX",PR!$AX1190,IF(H1192="PETHICS",PR!$AY1190,IF(H1192="PHILIPS",PR!$AZ1190,IF(H1192="RANBAXY",PR!$BA1190,IF(H1192="REALS",PR!$BB1190,IF(H1192="ROYAL",PR!$BC1190,IF(H1192="SAM",PR!$BD1190,IF(H1192="SEAGREEN",PR!$BE1190,IF(H1192="SKG",PR!$BF1190,IF(H1192="TAH",PR!$BG1190,IF(H1192="TAYLEK",PR!$BH1190,IF(H1192="TEMITA",PR!$BI1190,IF(H1192="THL",PR!$BJ1190,IF(H1192="UBASTIC",PR!$BK1190,IF(H1192="UNION",PR!$BL1190,IF(H1192="UNIQUE",PR!$BM1190,IF(H1192="VIXA",PR!$BN1190,IF(H1192="WWCV",PR!$BO1190,IF(H1192="ZOLON",PR!$BP1190,"-"))))))))))))))))))))))))))))))))))))))))))))))))))))))))))))))))</f>
        <v>15000</v>
      </c>
      <c r="H1192" s="102" t="str">
        <f>EV!M1502</f>
        <v>UBASTIC</v>
      </c>
      <c r="I1192" s="108">
        <f>IF(J1192="ALPHA",PR!$E1190,IF(J1192="ASSENE",PR!$F1190,IF(J1192="BIOFEM",PR!$G1190,IF(J1192="BIOMED",PR!$H1190,IF(J1192="CHI",PR!$I1190,IF(J1192="CLARION",PR!$J1190,IF(J1192="CODIX",PR!$K1190,IF(J1192="COSMADE",PR!$L1190,IF(J1192="SANCON",PR!$M1190,IF(J1192="DEVON",PR!$N1190,IF(J1192="DORTEMAG",PR!$O1190,IF(J1192="DGF",PR!$P1190,IF(J1192="DYNAMIC",PR!$Q1190,IF(J1192="EMZOR",PR!$R1190,IF(J1192="EUMATT",PR!$S1190,IF(J1192="FIDSON",PR!$T1190,IF(J1192="FCGLOBAL",PR!$U1190,IF(J1192="GENEITH",PR!$V1190,IF(J1192="GINOS",PR!$W1190,IF(J1192="GSK",PR!$X1190,IF(J1192="GLOBORG",PR!$Y1190,IF(J1192="GOODNEWS",PR!$Z1190,IF(J1192="GREENLIFE",PR!$AA1190,IF(J1192="HLINE",PR!$AB1190,IF(J1192="ROTECH",PR!$AC1190,IF(J1192="ISN",PR!$AD1190,IF(J1192="JAWA",PR!$AE1190,IF(J1192="LAYO",PR!$AF1190,IF(J1192="LEADWAY",PR!$AG1190,IF(J1192="LHV",PR!$AH1190,IF(J1192="MANOLA",PR!$AI1190,IF(J1192="MARCSON",PR!$AJ1190,IF(J1192="M&amp;B",PR!$AK1190,IF(J1192="MTRUST",PR!$AL1190,IF(J1192="MWORLD",PR!$AM1190,IF(J1192="MEGA",PR!$AN1190,IF(J1192="MICRONOVA",PR!$AO1190,IF(J1192="MFLASH",PR!$AP1190,IF(J1192="MORISON",PR!$AQ1190,IF(J1192="NEMEL",PR!$AR1190,IF(J1192="NHP",PR!$AS1190,IF(J1192="NHC",PR!$AT1190,IF(J1192="OLEAF",PR!$AU1190,IF(J1192="OCULUS",PR!$AV1190,IF(J1192="PACIFIC",PR!$AW1190,IF(J1192="PHAMATEX",PR!$AX1190,IF(J1192="PETHICS",PR!$AY1190,IF(J1192="PHILIPS",PR!$AZ1190,IF(J1192="RANBAXY",PR!$BA1190,IF(J1192="REALS",PR!$BB1190,IF(J1192="ROYAL",PR!$BC1190,IF(J1192="SAM",PR!$BD1190,IF(J1192="SEAGREEN",PR!$BE1190,IF(J1192="SKG",PR!$BF1190,IF(J1192="TAH",PR!$BG1190,IF(J1192="TAYLEK",PR!$BH1190,IF(J1192="TEMITA",PR!$BI1190,IF(J1192="THL",PR!$BJ1190,IF(J1192="UBASTIC",PR!$BK1190,IF(J1192="UNION",PR!$BL1190,IF(J1192="UNIQUE",PR!$BM1190,IF(J1192="VIXA",PR!$BN1190,IF(J1192="WWCV",PR!$BO1190,IF(J1192="ZOLON",PR!$BP1190,"-"))))))))))))))))))))))))))))))))))))))))))))))))))))))))))))))))</f>
        <v>20000</v>
      </c>
      <c r="J1192" s="102" t="str">
        <f>EV!N1502</f>
        <v>SANCON</v>
      </c>
      <c r="K1192" s="433" t="s">
        <v>1459</v>
      </c>
      <c r="L1192" s="183">
        <f>IF(K1192&gt;0,IF(K1192="ALPHA",PR!$E1190,IF(K1192="ASSENE",PR!$F1190,IF(K1192="BIOFEM",PR!$G1190,IF(K1192="BIOMED",PR!$H1190,IF(K1192="CHI",PR!$I1190,IF(K1192="CLARION",PR!$J1190,IF(K1192="CODIX",PR!$K1190,IF(K1192="COSMADE",PR!$L1190,IF(K1192="SANCON",PR!$M1190,IF(K1192="DEVON",PR!$N1190,IF(K1192="DORTEMAG",PR!$O1190,IF(K1192="DGF",PR!$P1190,IF(K1192="DYNAMIC",PR!$Q1190,IF(K1192="EMZOR",PR!$R1190,IF(K1192="EUMATT",PR!$S1190,IF(K1192="FIDSON",PR!$T1190,IF(K1192="FCGLOBAL",PR!$U1190,IF(K1192="GENEITH",PR!$V1190,IF(K1192="GINOS",PR!$W1190,IF(K1192="GSK",PR!$X1190,IF(K1192="GLOBORG",PR!$Y1190,IF(K1192="GOODNEWS",PR!$Z1190,IF(K1192="GREENLIFE",PR!$AA1190,IF(K1192="HLINE",PR!$AB1190,IF(K1192="ROTECH",PR!$AC1190,IF(K1192="ISN",PR!$AD1190,IF(K1192="JAWA",PR!$AE1190,IF(K1192="LAYO",PR!$AF1190,IF(K1192="LEADWAY",PR!$AG1190,IF(K1192="LHV",PR!$AH1190,IF(K1192="MANOLA",PR!$AI1190,IF(K1192="MARCSON",PR!$AJ1190,IF(K1192="M&amp;B",PR!$AK1190,IF(K1192="MTRUST",PR!$AL1190,IF(K1192="MWORLD",PR!$AM1190,IF(K1192="MEGA",PR!$AN1190,IF(K1192="MICRONOVA",PR!$AO1190,IF(K1192="MFLASH",PR!$AP1190,IF(K1192="MORISON",PR!$AQ1190,IF(K1192="NEMEL",PR!$AR1190,IF(K1192="NHP",PR!$AS1190,IF(K1192="NHC",PR!$AT1190,IF(K1192="OLEAF",PR!$AU1190,IF(K1192="OCULUS",PR!$AV1190,IF(K1192="PACIFIC",PR!$AW1190,IF(K1192="PHAMATEX",PR!$AX1190,IF(K1192="PETHICS",PR!$AY1190,IF(K1192="PHILIPS",PR!$AZ1190,IF(K1192="RANBAXY",PR!$BA1190,IF(K1192="REALS",PR!$BB1190,IF(K1192="ROYAL",PR!$BC1190,IF(K1192="SAM",PR!$BD1190,IF(K1192="SEAGREEN",PR!$BE1190,IF(K1192="SKG",PR!$BF1190,IF(K1192="TAH",PR!$BG1190,IF(K1192="TAYLEK",PR!$BH1190,IF(K1192="TEMITA",PR!$BI1190,IF(K1192="THL",PR!$BJ1190,IF(K1192="UBASTIC",PR!$BK1190,IF(K1192="UNION",PR!$BL1190,IF(K1192="UNIQUE",PR!$BM1190,IF(K1192="VIXA",PR!$BN1190,IF(K1192="WWCV",PR!$BO1190,IF(K1192="ZOLON",PR!$BP1190,"-")))))))))))))))))))))))))))))))))))))))))))))))))))))))))))))))))</f>
        <v>15000</v>
      </c>
    </row>
    <row r="1193" spans="1:12" ht="18.75" x14ac:dyDescent="0.3">
      <c r="A1193" s="430">
        <f>PR!A1191</f>
        <v>1069</v>
      </c>
      <c r="B1193" s="15" t="str">
        <f>PR!B1191</f>
        <v>ANTISERA D</v>
      </c>
      <c r="C1193" s="113" t="str">
        <f>PR!D1191</f>
        <v>Pkt (10)</v>
      </c>
      <c r="D1193" s="113">
        <f>PR!C1191</f>
        <v>3</v>
      </c>
      <c r="E1193" s="108">
        <f>IF(F1193="ALPHA",PR!$E1191,IF(F1193="ASSENE",PR!$F1191,IF(F1193="BIOFEM",PR!$G1191,IF(F1193="BIOMED",PR!$H1191,IF(F1193="CHI",PR!$I1191,IF(F1193="CLARION",PR!$J1191,IF(F1193="CODIX",PR!$K1191,IF(F1193="COSMADE",PR!$L1191,IF(F1193="SANCON",PR!$M1191,IF(F1193="DEVON",PR!$N1191,IF(F1193="DORTEMAG",PR!$O1191,IF(F1193="DGF",PR!$P1191,IF(F1193="DYNAMIC",PR!$Q1191,IF(F1193="EMZOR",PR!$R1191,IF(F1193="EUMATT",PR!$S1191,IF(F1193="FIDSON",PR!$T1191,IF(F1193="FCGLOBAL",PR!$U1191,IF(F1193="GENEITH",PR!$V1191,IF(F1193="GINOS",PR!$W1191,IF(F1193="GSK",PR!$X1191,IF(F1193="GLOBORG",PR!$Y1191,IF(F1193="GOODNEWS",PR!$Z1191,IF(F1193="GREENLIFE",PR!$AA1191,IF(F1193="HLINE",PR!$AB1191,IF(F1193="ROTECH",PR!$AC1191,IF(F1193="ISN",PR!$AD1191,IF(F1193="JAWA",PR!$AE1191,IF(F1193="LAYO",PR!$AF1191,IF(F1193="LEADWAY",PR!$AG1191,IF(F1193="LHV",PR!$AH1191,IF(F1193="MANOLA",PR!$AI1191,IF(F1193="MARCSON",PR!$AJ1191,IF(F1193="M&amp;B",PR!$AK1191,IF(F1193="MTRUST",PR!$AL1191,IF(F1193="MWORLD",PR!$AM1191,IF(F1193="MEGA",PR!$AN1191,IF(F1193="MICRONOVA",PR!$AO1191,IF(F1193="MFLASH",PR!$AP1191,IF(F1193="MORISON",PR!$AQ1191,IF(F1193="NEMEL",PR!$AR1191,IF(F1193="NHP",PR!$AS1191,IF(F1193="NHC",PR!$AT1191,IF(F1193="OLEAF",PR!$AU1191,IF(F1193="OCULUS",PR!$AV1191,IF(F1193="PACIFIC",PR!$AW1191,IF(F1193="PHAMATEX",PR!$AX1191,IF(F1193="PETHICS",PR!$AY1191,IF(F1193="PHILIPS",PR!$AZ1191,IF(F1193="RANBAXY",PR!$BA1191,IF(F1193="REALS",PR!$BB1191,IF(F1193="ROYAL",PR!$BC1191,IF(F1193="SAM",PR!$BD1191,IF(F1193="SEAGREEN",PR!$BE1191,IF(F1193="SKG",PR!$BF1191,IF(F1193="TAH",PR!$BG1191,IF(F1193="TAYLEK",PR!$BH1191,IF(F1193="TEMITA",PR!$BI1191,IF(F1193="THL",PR!$BJ1191,IF(F1193="UBASTIC",PR!$BK1191,IF(F1193="UNION",PR!$BL1191,IF(F1193="UNIQUE",PR!$BM1191,IF(F1193="VIXA",PR!$BN1191,IF(F1193="WWCV",PR!$BO1191,IF(F1193="ZOLON",PR!$BP1191,"-"))))))))))))))))))))))))))))))))))))))))))))))))))))))))))))))))</f>
        <v>12250</v>
      </c>
      <c r="F1193" s="102" t="str">
        <f>EV!L1503</f>
        <v>ROTECH</v>
      </c>
      <c r="G1193" s="108">
        <f>IF(H1193="ALPHA",PR!$E1191,IF(H1193="ASSENE",PR!$F1191,IF(H1193="BIOFEM",PR!$G1191,IF(H1193="BIOMED",PR!$H1191,IF(H1193="CHI",PR!$I1191,IF(H1193="CLARION",PR!$J1191,IF(H1193="CODIX",PR!$K1191,IF(H1193="COSMADE",PR!$L1191,IF(H1193="SANCON",PR!$M1191,IF(H1193="DEVON",PR!$N1191,IF(H1193="DORTEMAG",PR!$O1191,IF(H1193="DGF",PR!$P1191,IF(H1193="DYNAMIC",PR!$Q1191,IF(H1193="EMZOR",PR!$R1191,IF(H1193="EUMATT",PR!$S1191,IF(H1193="FIDSON",PR!$T1191,IF(H1193="FCGLOBAL",PR!$U1191,IF(H1193="GENEITH",PR!$V1191,IF(H1193="GINOS",PR!$W1191,IF(H1193="GSK",PR!$X1191,IF(H1193="GLOBORG",PR!$Y1191,IF(H1193="GOODNEWS",PR!$Z1191,IF(H1193="GREENLIFE",PR!$AA1191,IF(H1193="HLINE",PR!$AB1191,IF(H1193="ROTECH",PR!$AC1191,IF(H1193="ISN",PR!$AD1191,IF(H1193="JAWA",PR!$AE1191,IF(H1193="LAYO",PR!$AF1191,IF(H1193="LEADWAY",PR!$AG1191,IF(H1193="LHV",PR!$AH1191,IF(H1193="MANOLA",PR!$AI1191,IF(H1193="MARCSON",PR!$AJ1191,IF(H1193="M&amp;B",PR!$AK1191,IF(H1193="MTRUST",PR!$AL1191,IF(H1193="MWORLD",PR!$AM1191,IF(H1193="MEGA",PR!$AN1191,IF(H1193="MICRONOVA",PR!$AO1191,IF(H1193="MFLASH",PR!$AP1191,IF(H1193="MORISON",PR!$AQ1191,IF(H1193="NEMEL",PR!$AR1191,IF(H1193="NHP",PR!$AS1191,IF(H1193="NHC",PR!$AT1191,IF(H1193="OLEAF",PR!$AU1191,IF(H1193="OCULUS",PR!$AV1191,IF(H1193="PACIFIC",PR!$AW1191,IF(H1193="PHAMATEX",PR!$AX1191,IF(H1193="PETHICS",PR!$AY1191,IF(H1193="PHILIPS",PR!$AZ1191,IF(H1193="RANBAXY",PR!$BA1191,IF(H1193="REALS",PR!$BB1191,IF(H1193="ROYAL",PR!$BC1191,IF(H1193="SAM",PR!$BD1191,IF(H1193="SEAGREEN",PR!$BE1191,IF(H1193="SKG",PR!$BF1191,IF(H1193="TAH",PR!$BG1191,IF(H1193="TAYLEK",PR!$BH1191,IF(H1193="TEMITA",PR!$BI1191,IF(H1193="THL",PR!$BJ1191,IF(H1193="UBASTIC",PR!$BK1191,IF(H1193="UNION",PR!$BL1191,IF(H1193="UNIQUE",PR!$BM1191,IF(H1193="VIXA",PR!$BN1191,IF(H1193="WWCV",PR!$BO1191,IF(H1193="ZOLON",PR!$BP1191,"-"))))))))))))))))))))))))))))))))))))))))))))))))))))))))))))))))</f>
        <v>12500</v>
      </c>
      <c r="H1193" s="102" t="str">
        <f>EV!M1503</f>
        <v>TEMITA</v>
      </c>
      <c r="I1193" s="108">
        <f>IF(J1193="ALPHA",PR!$E1191,IF(J1193="ASSENE",PR!$F1191,IF(J1193="BIOFEM",PR!$G1191,IF(J1193="BIOMED",PR!$H1191,IF(J1193="CHI",PR!$I1191,IF(J1193="CLARION",PR!$J1191,IF(J1193="CODIX",PR!$K1191,IF(J1193="COSMADE",PR!$L1191,IF(J1193="SANCON",PR!$M1191,IF(J1193="DEVON",PR!$N1191,IF(J1193="DORTEMAG",PR!$O1191,IF(J1193="DGF",PR!$P1191,IF(J1193="DYNAMIC",PR!$Q1191,IF(J1193="EMZOR",PR!$R1191,IF(J1193="EUMATT",PR!$S1191,IF(J1193="FIDSON",PR!$T1191,IF(J1193="FCGLOBAL",PR!$U1191,IF(J1193="GENEITH",PR!$V1191,IF(J1193="GINOS",PR!$W1191,IF(J1193="GSK",PR!$X1191,IF(J1193="GLOBORG",PR!$Y1191,IF(J1193="GOODNEWS",PR!$Z1191,IF(J1193="GREENLIFE",PR!$AA1191,IF(J1193="HLINE",PR!$AB1191,IF(J1193="ROTECH",PR!$AC1191,IF(J1193="ISN",PR!$AD1191,IF(J1193="JAWA",PR!$AE1191,IF(J1193="LAYO",PR!$AF1191,IF(J1193="LEADWAY",PR!$AG1191,IF(J1193="LHV",PR!$AH1191,IF(J1193="MANOLA",PR!$AI1191,IF(J1193="MARCSON",PR!$AJ1191,IF(J1193="M&amp;B",PR!$AK1191,IF(J1193="MTRUST",PR!$AL1191,IF(J1193="MWORLD",PR!$AM1191,IF(J1193="MEGA",PR!$AN1191,IF(J1193="MICRONOVA",PR!$AO1191,IF(J1193="MFLASH",PR!$AP1191,IF(J1193="MORISON",PR!$AQ1191,IF(J1193="NEMEL",PR!$AR1191,IF(J1193="NHP",PR!$AS1191,IF(J1193="NHC",PR!$AT1191,IF(J1193="OLEAF",PR!$AU1191,IF(J1193="OCULUS",PR!$AV1191,IF(J1193="PACIFIC",PR!$AW1191,IF(J1193="PHAMATEX",PR!$AX1191,IF(J1193="PETHICS",PR!$AY1191,IF(J1193="PHILIPS",PR!$AZ1191,IF(J1193="RANBAXY",PR!$BA1191,IF(J1193="REALS",PR!$BB1191,IF(J1193="ROYAL",PR!$BC1191,IF(J1193="SAM",PR!$BD1191,IF(J1193="SEAGREEN",PR!$BE1191,IF(J1193="SKG",PR!$BF1191,IF(J1193="TAH",PR!$BG1191,IF(J1193="TAYLEK",PR!$BH1191,IF(J1193="TEMITA",PR!$BI1191,IF(J1193="THL",PR!$BJ1191,IF(J1193="UBASTIC",PR!$BK1191,IF(J1193="UNION",PR!$BL1191,IF(J1193="UNIQUE",PR!$BM1191,IF(J1193="VIXA",PR!$BN1191,IF(J1193="WWCV",PR!$BO1191,IF(J1193="ZOLON",PR!$BP1191,"-"))))))))))))))))))))))))))))))))))))))))))))))))))))))))))))))))</f>
        <v>15000</v>
      </c>
      <c r="J1193" s="102" t="str">
        <f>EV!N1503</f>
        <v>UBASTIC</v>
      </c>
      <c r="K1193" s="433" t="s">
        <v>1459</v>
      </c>
      <c r="L1193" s="183">
        <f>IF(K1193&gt;0,IF(K1193="ALPHA",PR!$E1191,IF(K1193="ASSENE",PR!$F1191,IF(K1193="BIOFEM",PR!$G1191,IF(K1193="BIOMED",PR!$H1191,IF(K1193="CHI",PR!$I1191,IF(K1193="CLARION",PR!$J1191,IF(K1193="CODIX",PR!$K1191,IF(K1193="COSMADE",PR!$L1191,IF(K1193="SANCON",PR!$M1191,IF(K1193="DEVON",PR!$N1191,IF(K1193="DORTEMAG",PR!$O1191,IF(K1193="DGF",PR!$P1191,IF(K1193="DYNAMIC",PR!$Q1191,IF(K1193="EMZOR",PR!$R1191,IF(K1193="EUMATT",PR!$S1191,IF(K1193="FIDSON",PR!$T1191,IF(K1193="FCGLOBAL",PR!$U1191,IF(K1193="GENEITH",PR!$V1191,IF(K1193="GINOS",PR!$W1191,IF(K1193="GSK",PR!$X1191,IF(K1193="GLOBORG",PR!$Y1191,IF(K1193="GOODNEWS",PR!$Z1191,IF(K1193="GREENLIFE",PR!$AA1191,IF(K1193="HLINE",PR!$AB1191,IF(K1193="ROTECH",PR!$AC1191,IF(K1193="ISN",PR!$AD1191,IF(K1193="JAWA",PR!$AE1191,IF(K1193="LAYO",PR!$AF1191,IF(K1193="LEADWAY",PR!$AG1191,IF(K1193="LHV",PR!$AH1191,IF(K1193="MANOLA",PR!$AI1191,IF(K1193="MARCSON",PR!$AJ1191,IF(K1193="M&amp;B",PR!$AK1191,IF(K1193="MTRUST",PR!$AL1191,IF(K1193="MWORLD",PR!$AM1191,IF(K1193="MEGA",PR!$AN1191,IF(K1193="MICRONOVA",PR!$AO1191,IF(K1193="MFLASH",PR!$AP1191,IF(K1193="MORISON",PR!$AQ1191,IF(K1193="NEMEL",PR!$AR1191,IF(K1193="NHP",PR!$AS1191,IF(K1193="NHC",PR!$AT1191,IF(K1193="OLEAF",PR!$AU1191,IF(K1193="OCULUS",PR!$AV1191,IF(K1193="PACIFIC",PR!$AW1191,IF(K1193="PHAMATEX",PR!$AX1191,IF(K1193="PETHICS",PR!$AY1191,IF(K1193="PHILIPS",PR!$AZ1191,IF(K1193="RANBAXY",PR!$BA1191,IF(K1193="REALS",PR!$BB1191,IF(K1193="ROYAL",PR!$BC1191,IF(K1193="SAM",PR!$BD1191,IF(K1193="SEAGREEN",PR!$BE1191,IF(K1193="SKG",PR!$BF1191,IF(K1193="TAH",PR!$BG1191,IF(K1193="TAYLEK",PR!$BH1191,IF(K1193="TEMITA",PR!$BI1191,IF(K1193="THL",PR!$BJ1191,IF(K1193="UBASTIC",PR!$BK1191,IF(K1193="UNION",PR!$BL1191,IF(K1193="UNIQUE",PR!$BM1191,IF(K1193="VIXA",PR!$BN1191,IF(K1193="WWCV",PR!$BO1191,IF(K1193="ZOLON",PR!$BP1191,"-")))))))))))))))))))))))))))))))))))))))))))))))))))))))))))))))))</f>
        <v>15000</v>
      </c>
    </row>
    <row r="1194" spans="1:12" ht="18.75" x14ac:dyDescent="0.3">
      <c r="A1194" s="430">
        <f>PR!A1192</f>
        <v>1070</v>
      </c>
      <c r="B1194" s="15" t="str">
        <f>PR!B1192</f>
        <v>ANTI HUMAN GLOBULIN (AHG)</v>
      </c>
      <c r="C1194" s="113" t="str">
        <f>PR!D1192</f>
        <v>Pack</v>
      </c>
      <c r="D1194" s="113">
        <f>PR!C1192</f>
        <v>10</v>
      </c>
      <c r="E1194" s="108">
        <f>IF(F1194="ALPHA",PR!$E1192,IF(F1194="ASSENE",PR!$F1192,IF(F1194="BIOFEM",PR!$G1192,IF(F1194="BIOMED",PR!$H1192,IF(F1194="CHI",PR!$I1192,IF(F1194="CLARION",PR!$J1192,IF(F1194="CODIX",PR!$K1192,IF(F1194="COSMADE",PR!$L1192,IF(F1194="SANCON",PR!$M1192,IF(F1194="DEVON",PR!$N1192,IF(F1194="DORTEMAG",PR!$O1192,IF(F1194="DGF",PR!$P1192,IF(F1194="DYNAMIC",PR!$Q1192,IF(F1194="EMZOR",PR!$R1192,IF(F1194="EUMATT",PR!$S1192,IF(F1194="FIDSON",PR!$T1192,IF(F1194="FCGLOBAL",PR!$U1192,IF(F1194="GENEITH",PR!$V1192,IF(F1194="GINOS",PR!$W1192,IF(F1194="GSK",PR!$X1192,IF(F1194="GLOBORG",PR!$Y1192,IF(F1194="GOODNEWS",PR!$Z1192,IF(F1194="GREENLIFE",PR!$AA1192,IF(F1194="HLINE",PR!$AB1192,IF(F1194="ROTECH",PR!$AC1192,IF(F1194="ISN",PR!$AD1192,IF(F1194="JAWA",PR!$AE1192,IF(F1194="LAYO",PR!$AF1192,IF(F1194="LEADWAY",PR!$AG1192,IF(F1194="LHV",PR!$AH1192,IF(F1194="MANOLA",PR!$AI1192,IF(F1194="MARCSON",PR!$AJ1192,IF(F1194="M&amp;B",PR!$AK1192,IF(F1194="MTRUST",PR!$AL1192,IF(F1194="MWORLD",PR!$AM1192,IF(F1194="MEGA",PR!$AN1192,IF(F1194="MICRONOVA",PR!$AO1192,IF(F1194="MFLASH",PR!$AP1192,IF(F1194="MORISON",PR!$AQ1192,IF(F1194="NEMEL",PR!$AR1192,IF(F1194="NHP",PR!$AS1192,IF(F1194="NHC",PR!$AT1192,IF(F1194="OLEAF",PR!$AU1192,IF(F1194="OCULUS",PR!$AV1192,IF(F1194="PACIFIC",PR!$AW1192,IF(F1194="PHAMATEX",PR!$AX1192,IF(F1194="PETHICS",PR!$AY1192,IF(F1194="PHILIPS",PR!$AZ1192,IF(F1194="RANBAXY",PR!$BA1192,IF(F1194="REALS",PR!$BB1192,IF(F1194="ROYAL",PR!$BC1192,IF(F1194="SAM",PR!$BD1192,IF(F1194="SEAGREEN",PR!$BE1192,IF(F1194="SKG",PR!$BF1192,IF(F1194="TAH",PR!$BG1192,IF(F1194="TAYLEK",PR!$BH1192,IF(F1194="TEMITA",PR!$BI1192,IF(F1194="THL",PR!$BJ1192,IF(F1194="UBASTIC",PR!$BK1192,IF(F1194="UNION",PR!$BL1192,IF(F1194="UNIQUE",PR!$BM1192,IF(F1194="VIXA",PR!$BN1192,IF(F1194="WWCV",PR!$BO1192,IF(F1194="ZOLON",PR!$BP1192,"-"))))))))))))))))))))))))))))))))))))))))))))))))))))))))))))))))</f>
        <v>12250</v>
      </c>
      <c r="F1194" s="102" t="str">
        <f>EV!L1504</f>
        <v>ROTECH</v>
      </c>
      <c r="G1194" s="108">
        <f>IF(H1194="ALPHA",PR!$E1192,IF(H1194="ASSENE",PR!$F1192,IF(H1194="BIOFEM",PR!$G1192,IF(H1194="BIOMED",PR!$H1192,IF(H1194="CHI",PR!$I1192,IF(H1194="CLARION",PR!$J1192,IF(H1194="CODIX",PR!$K1192,IF(H1194="COSMADE",PR!$L1192,IF(H1194="SANCON",PR!$M1192,IF(H1194="DEVON",PR!$N1192,IF(H1194="DORTEMAG",PR!$O1192,IF(H1194="DGF",PR!$P1192,IF(H1194="DYNAMIC",PR!$Q1192,IF(H1194="EMZOR",PR!$R1192,IF(H1194="EUMATT",PR!$S1192,IF(H1194="FIDSON",PR!$T1192,IF(H1194="FCGLOBAL",PR!$U1192,IF(H1194="GENEITH",PR!$V1192,IF(H1194="GINOS",PR!$W1192,IF(H1194="GSK",PR!$X1192,IF(H1194="GLOBORG",PR!$Y1192,IF(H1194="GOODNEWS",PR!$Z1192,IF(H1194="GREENLIFE",PR!$AA1192,IF(H1194="HLINE",PR!$AB1192,IF(H1194="ROTECH",PR!$AC1192,IF(H1194="ISN",PR!$AD1192,IF(H1194="JAWA",PR!$AE1192,IF(H1194="LAYO",PR!$AF1192,IF(H1194="LEADWAY",PR!$AG1192,IF(H1194="LHV",PR!$AH1192,IF(H1194="MANOLA",PR!$AI1192,IF(H1194="MARCSON",PR!$AJ1192,IF(H1194="M&amp;B",PR!$AK1192,IF(H1194="MTRUST",PR!$AL1192,IF(H1194="MWORLD",PR!$AM1192,IF(H1194="MEGA",PR!$AN1192,IF(H1194="MICRONOVA",PR!$AO1192,IF(H1194="MFLASH",PR!$AP1192,IF(H1194="MORISON",PR!$AQ1192,IF(H1194="NEMEL",PR!$AR1192,IF(H1194="NHP",PR!$AS1192,IF(H1194="NHC",PR!$AT1192,IF(H1194="OLEAF",PR!$AU1192,IF(H1194="OCULUS",PR!$AV1192,IF(H1194="PACIFIC",PR!$AW1192,IF(H1194="PHAMATEX",PR!$AX1192,IF(H1194="PETHICS",PR!$AY1192,IF(H1194="PHILIPS",PR!$AZ1192,IF(H1194="RANBAXY",PR!$BA1192,IF(H1194="REALS",PR!$BB1192,IF(H1194="ROYAL",PR!$BC1192,IF(H1194="SAM",PR!$BD1192,IF(H1194="SEAGREEN",PR!$BE1192,IF(H1194="SKG",PR!$BF1192,IF(H1194="TAH",PR!$BG1192,IF(H1194="TAYLEK",PR!$BH1192,IF(H1194="TEMITA",PR!$BI1192,IF(H1194="THL",PR!$BJ1192,IF(H1194="UBASTIC",PR!$BK1192,IF(H1194="UNION",PR!$BL1192,IF(H1194="UNIQUE",PR!$BM1192,IF(H1194="VIXA",PR!$BN1192,IF(H1194="WWCV",PR!$BO1192,IF(H1194="ZOLON",PR!$BP1192,"-"))))))))))))))))))))))))))))))))))))))))))))))))))))))))))))))))</f>
        <v>20000</v>
      </c>
      <c r="H1194" s="102" t="str">
        <f>EV!M1504</f>
        <v>UBASTIC</v>
      </c>
      <c r="I1194" s="108">
        <f>IF(J1194="ALPHA",PR!$E1192,IF(J1194="ASSENE",PR!$F1192,IF(J1194="BIOFEM",PR!$G1192,IF(J1194="BIOMED",PR!$H1192,IF(J1194="CHI",PR!$I1192,IF(J1194="CLARION",PR!$J1192,IF(J1194="CODIX",PR!$K1192,IF(J1194="COSMADE",PR!$L1192,IF(J1194="SANCON",PR!$M1192,IF(J1194="DEVON",PR!$N1192,IF(J1194="DORTEMAG",PR!$O1192,IF(J1194="DGF",PR!$P1192,IF(J1194="DYNAMIC",PR!$Q1192,IF(J1194="EMZOR",PR!$R1192,IF(J1194="EUMATT",PR!$S1192,IF(J1194="FIDSON",PR!$T1192,IF(J1194="FCGLOBAL",PR!$U1192,IF(J1194="GENEITH",PR!$V1192,IF(J1194="GINOS",PR!$W1192,IF(J1194="GSK",PR!$X1192,IF(J1194="GLOBORG",PR!$Y1192,IF(J1194="GOODNEWS",PR!$Z1192,IF(J1194="GREENLIFE",PR!$AA1192,IF(J1194="HLINE",PR!$AB1192,IF(J1194="ROTECH",PR!$AC1192,IF(J1194="ISN",PR!$AD1192,IF(J1194="JAWA",PR!$AE1192,IF(J1194="LAYO",PR!$AF1192,IF(J1194="LEADWAY",PR!$AG1192,IF(J1194="LHV",PR!$AH1192,IF(J1194="MANOLA",PR!$AI1192,IF(J1194="MARCSON",PR!$AJ1192,IF(J1194="M&amp;B",PR!$AK1192,IF(J1194="MTRUST",PR!$AL1192,IF(J1194="MWORLD",PR!$AM1192,IF(J1194="MEGA",PR!$AN1192,IF(J1194="MICRONOVA",PR!$AO1192,IF(J1194="MFLASH",PR!$AP1192,IF(J1194="MORISON",PR!$AQ1192,IF(J1194="NEMEL",PR!$AR1192,IF(J1194="NHP",PR!$AS1192,IF(J1194="NHC",PR!$AT1192,IF(J1194="OLEAF",PR!$AU1192,IF(J1194="OCULUS",PR!$AV1192,IF(J1194="PACIFIC",PR!$AW1192,IF(J1194="PHAMATEX",PR!$AX1192,IF(J1194="PETHICS",PR!$AY1192,IF(J1194="PHILIPS",PR!$AZ1192,IF(J1194="RANBAXY",PR!$BA1192,IF(J1194="REALS",PR!$BB1192,IF(J1194="ROYAL",PR!$BC1192,IF(J1194="SAM",PR!$BD1192,IF(J1194="SEAGREEN",PR!$BE1192,IF(J1194="SKG",PR!$BF1192,IF(J1194="TAH",PR!$BG1192,IF(J1194="TAYLEK",PR!$BH1192,IF(J1194="TEMITA",PR!$BI1192,IF(J1194="THL",PR!$BJ1192,IF(J1194="UBASTIC",PR!$BK1192,IF(J1194="UNION",PR!$BL1192,IF(J1194="UNIQUE",PR!$BM1192,IF(J1194="VIXA",PR!$BN1192,IF(J1194="WWCV",PR!$BO1192,IF(J1194="ZOLON",PR!$BP1192,"-"))))))))))))))))))))))))))))))))))))))))))))))))))))))))))))))))</f>
        <v>26000</v>
      </c>
      <c r="J1194" s="102" t="str">
        <f>EV!N1504</f>
        <v>LAYO</v>
      </c>
      <c r="K1194" s="433" t="s">
        <v>1459</v>
      </c>
      <c r="L1194" s="183">
        <f>IF(K1194&gt;0,IF(K1194="ALPHA",PR!$E1192,IF(K1194="ASSENE",PR!$F1192,IF(K1194="BIOFEM",PR!$G1192,IF(K1194="BIOMED",PR!$H1192,IF(K1194="CHI",PR!$I1192,IF(K1194="CLARION",PR!$J1192,IF(K1194="CODIX",PR!$K1192,IF(K1194="COSMADE",PR!$L1192,IF(K1194="SANCON",PR!$M1192,IF(K1194="DEVON",PR!$N1192,IF(K1194="DORTEMAG",PR!$O1192,IF(K1194="DGF",PR!$P1192,IF(K1194="DYNAMIC",PR!$Q1192,IF(K1194="EMZOR",PR!$R1192,IF(K1194="EUMATT",PR!$S1192,IF(K1194="FIDSON",PR!$T1192,IF(K1194="FCGLOBAL",PR!$U1192,IF(K1194="GENEITH",PR!$V1192,IF(K1194="GINOS",PR!$W1192,IF(K1194="GSK",PR!$X1192,IF(K1194="GLOBORG",PR!$Y1192,IF(K1194="GOODNEWS",PR!$Z1192,IF(K1194="GREENLIFE",PR!$AA1192,IF(K1194="HLINE",PR!$AB1192,IF(K1194="ROTECH",PR!$AC1192,IF(K1194="ISN",PR!$AD1192,IF(K1194="JAWA",PR!$AE1192,IF(K1194="LAYO",PR!$AF1192,IF(K1194="LEADWAY",PR!$AG1192,IF(K1194="LHV",PR!$AH1192,IF(K1194="MANOLA",PR!$AI1192,IF(K1194="MARCSON",PR!$AJ1192,IF(K1194="M&amp;B",PR!$AK1192,IF(K1194="MTRUST",PR!$AL1192,IF(K1194="MWORLD",PR!$AM1192,IF(K1194="MEGA",PR!$AN1192,IF(K1194="MICRONOVA",PR!$AO1192,IF(K1194="MFLASH",PR!$AP1192,IF(K1194="MORISON",PR!$AQ1192,IF(K1194="NEMEL",PR!$AR1192,IF(K1194="NHP",PR!$AS1192,IF(K1194="NHC",PR!$AT1192,IF(K1194="OLEAF",PR!$AU1192,IF(K1194="OCULUS",PR!$AV1192,IF(K1194="PACIFIC",PR!$AW1192,IF(K1194="PHAMATEX",PR!$AX1192,IF(K1194="PETHICS",PR!$AY1192,IF(K1194="PHILIPS",PR!$AZ1192,IF(K1194="RANBAXY",PR!$BA1192,IF(K1194="REALS",PR!$BB1192,IF(K1194="ROYAL",PR!$BC1192,IF(K1194="SAM",PR!$BD1192,IF(K1194="SEAGREEN",PR!$BE1192,IF(K1194="SKG",PR!$BF1192,IF(K1194="TAH",PR!$BG1192,IF(K1194="TAYLEK",PR!$BH1192,IF(K1194="TEMITA",PR!$BI1192,IF(K1194="THL",PR!$BJ1192,IF(K1194="UBASTIC",PR!$BK1192,IF(K1194="UNION",PR!$BL1192,IF(K1194="UNIQUE",PR!$BM1192,IF(K1194="VIXA",PR!$BN1192,IF(K1194="WWCV",PR!$BO1192,IF(K1194="ZOLON",PR!$BP1192,"-")))))))))))))))))))))))))))))))))))))))))))))))))))))))))))))))))</f>
        <v>20000</v>
      </c>
    </row>
    <row r="1195" spans="1:12" ht="18.75" x14ac:dyDescent="0.3">
      <c r="A1195" s="430">
        <f>PR!A1193</f>
        <v>1071</v>
      </c>
      <c r="B1195" s="15" t="str">
        <f>PR!B1193</f>
        <v>30% BOVINE ALBUMIN</v>
      </c>
      <c r="C1195" s="113" t="str">
        <f>PR!D1193</f>
        <v>Pkt</v>
      </c>
      <c r="D1195" s="113">
        <f>PR!C1193</f>
        <v>10</v>
      </c>
      <c r="E1195" s="108">
        <f>IF(F1195="ALPHA",PR!$E1193,IF(F1195="ASSENE",PR!$F1193,IF(F1195="BIOFEM",PR!$G1193,IF(F1195="BIOMED",PR!$H1193,IF(F1195="CHI",PR!$I1193,IF(F1195="CLARION",PR!$J1193,IF(F1195="CODIX",PR!$K1193,IF(F1195="COSMADE",PR!$L1193,IF(F1195="SANCON",PR!$M1193,IF(F1195="DEVON",PR!$N1193,IF(F1195="DORTEMAG",PR!$O1193,IF(F1195="DGF",PR!$P1193,IF(F1195="DYNAMIC",PR!$Q1193,IF(F1195="EMZOR",PR!$R1193,IF(F1195="EUMATT",PR!$S1193,IF(F1195="FIDSON",PR!$T1193,IF(F1195="FCGLOBAL",PR!$U1193,IF(F1195="GENEITH",PR!$V1193,IF(F1195="GINOS",PR!$W1193,IF(F1195="GSK",PR!$X1193,IF(F1195="GLOBORG",PR!$Y1193,IF(F1195="GOODNEWS",PR!$Z1193,IF(F1195="GREENLIFE",PR!$AA1193,IF(F1195="HLINE",PR!$AB1193,IF(F1195="ROTECH",PR!$AC1193,IF(F1195="ISN",PR!$AD1193,IF(F1195="JAWA",PR!$AE1193,IF(F1195="LAYO",PR!$AF1193,IF(F1195="LEADWAY",PR!$AG1193,IF(F1195="LHV",PR!$AH1193,IF(F1195="MANOLA",PR!$AI1193,IF(F1195="MARCSON",PR!$AJ1193,IF(F1195="M&amp;B",PR!$AK1193,IF(F1195="MTRUST",PR!$AL1193,IF(F1195="MWORLD",PR!$AM1193,IF(F1195="MEGA",PR!$AN1193,IF(F1195="MICRONOVA",PR!$AO1193,IF(F1195="MFLASH",PR!$AP1193,IF(F1195="MORISON",PR!$AQ1193,IF(F1195="NEMEL",PR!$AR1193,IF(F1195="NHP",PR!$AS1193,IF(F1195="NHC",PR!$AT1193,IF(F1195="OLEAF",PR!$AU1193,IF(F1195="OCULUS",PR!$AV1193,IF(F1195="PACIFIC",PR!$AW1193,IF(F1195="PHAMATEX",PR!$AX1193,IF(F1195="PETHICS",PR!$AY1193,IF(F1195="PHILIPS",PR!$AZ1193,IF(F1195="RANBAXY",PR!$BA1193,IF(F1195="REALS",PR!$BB1193,IF(F1195="ROYAL",PR!$BC1193,IF(F1195="SAM",PR!$BD1193,IF(F1195="SEAGREEN",PR!$BE1193,IF(F1195="SKG",PR!$BF1193,IF(F1195="TAH",PR!$BG1193,IF(F1195="TAYLEK",PR!$BH1193,IF(F1195="TEMITA",PR!$BI1193,IF(F1195="THL",PR!$BJ1193,IF(F1195="UBASTIC",PR!$BK1193,IF(F1195="UNION",PR!$BL1193,IF(F1195="UNIQUE",PR!$BM1193,IF(F1195="VIXA",PR!$BN1193,IF(F1195="WWCV",PR!$BO1193,IF(F1195="ZOLON",PR!$BP1193,"-"))))))))))))))))))))))))))))))))))))))))))))))))))))))))))))))))</f>
        <v>20000</v>
      </c>
      <c r="F1195" s="102" t="str">
        <f>EV!L1505</f>
        <v>UBASTIC</v>
      </c>
      <c r="G1195" s="108">
        <f>IF(H1195="ALPHA",PR!$E1193,IF(H1195="ASSENE",PR!$F1193,IF(H1195="BIOFEM",PR!$G1193,IF(H1195="BIOMED",PR!$H1193,IF(H1195="CHI",PR!$I1193,IF(H1195="CLARION",PR!$J1193,IF(H1195="CODIX",PR!$K1193,IF(H1195="COSMADE",PR!$L1193,IF(H1195="SANCON",PR!$M1193,IF(H1195="DEVON",PR!$N1193,IF(H1195="DORTEMAG",PR!$O1193,IF(H1195="DGF",PR!$P1193,IF(H1195="DYNAMIC",PR!$Q1193,IF(H1195="EMZOR",PR!$R1193,IF(H1195="EUMATT",PR!$S1193,IF(H1195="FIDSON",PR!$T1193,IF(H1195="FCGLOBAL",PR!$U1193,IF(H1195="GENEITH",PR!$V1193,IF(H1195="GINOS",PR!$W1193,IF(H1195="GSK",PR!$X1193,IF(H1195="GLOBORG",PR!$Y1193,IF(H1195="GOODNEWS",PR!$Z1193,IF(H1195="GREENLIFE",PR!$AA1193,IF(H1195="HLINE",PR!$AB1193,IF(H1195="ROTECH",PR!$AC1193,IF(H1195="ISN",PR!$AD1193,IF(H1195="JAWA",PR!$AE1193,IF(H1195="LAYO",PR!$AF1193,IF(H1195="LEADWAY",PR!$AG1193,IF(H1195="LHV",PR!$AH1193,IF(H1195="MANOLA",PR!$AI1193,IF(H1195="MARCSON",PR!$AJ1193,IF(H1195="M&amp;B",PR!$AK1193,IF(H1195="MTRUST",PR!$AL1193,IF(H1195="MWORLD",PR!$AM1193,IF(H1195="MEGA",PR!$AN1193,IF(H1195="MICRONOVA",PR!$AO1193,IF(H1195="MFLASH",PR!$AP1193,IF(H1195="MORISON",PR!$AQ1193,IF(H1195="NEMEL",PR!$AR1193,IF(H1195="NHP",PR!$AS1193,IF(H1195="NHC",PR!$AT1193,IF(H1195="OLEAF",PR!$AU1193,IF(H1195="OCULUS",PR!$AV1193,IF(H1195="PACIFIC",PR!$AW1193,IF(H1195="PHAMATEX",PR!$AX1193,IF(H1195="PETHICS",PR!$AY1193,IF(H1195="PHILIPS",PR!$AZ1193,IF(H1195="RANBAXY",PR!$BA1193,IF(H1195="REALS",PR!$BB1193,IF(H1195="ROYAL",PR!$BC1193,IF(H1195="SAM",PR!$BD1193,IF(H1195="SEAGREEN",PR!$BE1193,IF(H1195="SKG",PR!$BF1193,IF(H1195="TAH",PR!$BG1193,IF(H1195="TAYLEK",PR!$BH1193,IF(H1195="TEMITA",PR!$BI1193,IF(H1195="THL",PR!$BJ1193,IF(H1195="UBASTIC",PR!$BK1193,IF(H1195="UNION",PR!$BL1193,IF(H1195="UNIQUE",PR!$BM1193,IF(H1195="VIXA",PR!$BN1193,IF(H1195="WWCV",PR!$BO1193,IF(H1195="ZOLON",PR!$BP1193,"-"))))))))))))))))))))))))))))))))))))))))))))))))))))))))))))))))</f>
        <v>25000</v>
      </c>
      <c r="H1195" s="102" t="str">
        <f>EV!M1505</f>
        <v>TEMITA</v>
      </c>
      <c r="I1195" s="108">
        <f>IF(J1195="ALPHA",PR!$E1193,IF(J1195="ASSENE",PR!$F1193,IF(J1195="BIOFEM",PR!$G1193,IF(J1195="BIOMED",PR!$H1193,IF(J1195="CHI",PR!$I1193,IF(J1195="CLARION",PR!$J1193,IF(J1195="CODIX",PR!$K1193,IF(J1195="COSMADE",PR!$L1193,IF(J1195="SANCON",PR!$M1193,IF(J1195="DEVON",PR!$N1193,IF(J1195="DORTEMAG",PR!$O1193,IF(J1195="DGF",PR!$P1193,IF(J1195="DYNAMIC",PR!$Q1193,IF(J1195="EMZOR",PR!$R1193,IF(J1195="EUMATT",PR!$S1193,IF(J1195="FIDSON",PR!$T1193,IF(J1195="FCGLOBAL",PR!$U1193,IF(J1195="GENEITH",PR!$V1193,IF(J1195="GINOS",PR!$W1193,IF(J1195="GSK",PR!$X1193,IF(J1195="GLOBORG",PR!$Y1193,IF(J1195="GOODNEWS",PR!$Z1193,IF(J1195="GREENLIFE",PR!$AA1193,IF(J1195="HLINE",PR!$AB1193,IF(J1195="ROTECH",PR!$AC1193,IF(J1195="ISN",PR!$AD1193,IF(J1195="JAWA",PR!$AE1193,IF(J1195="LAYO",PR!$AF1193,IF(J1195="LEADWAY",PR!$AG1193,IF(J1195="LHV",PR!$AH1193,IF(J1195="MANOLA",PR!$AI1193,IF(J1195="MARCSON",PR!$AJ1193,IF(J1195="M&amp;B",PR!$AK1193,IF(J1195="MTRUST",PR!$AL1193,IF(J1195="MWORLD",PR!$AM1193,IF(J1195="MEGA",PR!$AN1193,IF(J1195="MICRONOVA",PR!$AO1193,IF(J1195="MFLASH",PR!$AP1193,IF(J1195="MORISON",PR!$AQ1193,IF(J1195="NEMEL",PR!$AR1193,IF(J1195="NHP",PR!$AS1193,IF(J1195="NHC",PR!$AT1193,IF(J1195="OLEAF",PR!$AU1193,IF(J1195="OCULUS",PR!$AV1193,IF(J1195="PACIFIC",PR!$AW1193,IF(J1195="PHAMATEX",PR!$AX1193,IF(J1195="PETHICS",PR!$AY1193,IF(J1195="PHILIPS",PR!$AZ1193,IF(J1195="RANBAXY",PR!$BA1193,IF(J1195="REALS",PR!$BB1193,IF(J1195="ROYAL",PR!$BC1193,IF(J1195="SAM",PR!$BD1193,IF(J1195="SEAGREEN",PR!$BE1193,IF(J1195="SKG",PR!$BF1193,IF(J1195="TAH",PR!$BG1193,IF(J1195="TAYLEK",PR!$BH1193,IF(J1195="TEMITA",PR!$BI1193,IF(J1195="THL",PR!$BJ1193,IF(J1195="UBASTIC",PR!$BK1193,IF(J1195="UNION",PR!$BL1193,IF(J1195="UNIQUE",PR!$BM1193,IF(J1195="VIXA",PR!$BN1193,IF(J1195="WWCV",PR!$BO1193,IF(J1195="ZOLON",PR!$BP1193,"-"))))))))))))))))))))))))))))))))))))))))))))))))))))))))))))))))</f>
        <v>26000</v>
      </c>
      <c r="J1195" s="102" t="str">
        <f>EV!N1505</f>
        <v>LAYO</v>
      </c>
      <c r="K1195" s="433" t="s">
        <v>1459</v>
      </c>
      <c r="L1195" s="183">
        <f>IF(K1195&gt;0,IF(K1195="ALPHA",PR!$E1193,IF(K1195="ASSENE",PR!$F1193,IF(K1195="BIOFEM",PR!$G1193,IF(K1195="BIOMED",PR!$H1193,IF(K1195="CHI",PR!$I1193,IF(K1195="CLARION",PR!$J1193,IF(K1195="CODIX",PR!$K1193,IF(K1195="COSMADE",PR!$L1193,IF(K1195="SANCON",PR!$M1193,IF(K1195="DEVON",PR!$N1193,IF(K1195="DORTEMAG",PR!$O1193,IF(K1195="DGF",PR!$P1193,IF(K1195="DYNAMIC",PR!$Q1193,IF(K1195="EMZOR",PR!$R1193,IF(K1195="EUMATT",PR!$S1193,IF(K1195="FIDSON",PR!$T1193,IF(K1195="FCGLOBAL",PR!$U1193,IF(K1195="GENEITH",PR!$V1193,IF(K1195="GINOS",PR!$W1193,IF(K1195="GSK",PR!$X1193,IF(K1195="GLOBORG",PR!$Y1193,IF(K1195="GOODNEWS",PR!$Z1193,IF(K1195="GREENLIFE",PR!$AA1193,IF(K1195="HLINE",PR!$AB1193,IF(K1195="ROTECH",PR!$AC1193,IF(K1195="ISN",PR!$AD1193,IF(K1195="JAWA",PR!$AE1193,IF(K1195="LAYO",PR!$AF1193,IF(K1195="LEADWAY",PR!$AG1193,IF(K1195="LHV",PR!$AH1193,IF(K1195="MANOLA",PR!$AI1193,IF(K1195="MARCSON",PR!$AJ1193,IF(K1195="M&amp;B",PR!$AK1193,IF(K1195="MTRUST",PR!$AL1193,IF(K1195="MWORLD",PR!$AM1193,IF(K1195="MEGA",PR!$AN1193,IF(K1195="MICRONOVA",PR!$AO1193,IF(K1195="MFLASH",PR!$AP1193,IF(K1195="MORISON",PR!$AQ1193,IF(K1195="NEMEL",PR!$AR1193,IF(K1195="NHP",PR!$AS1193,IF(K1195="NHC",PR!$AT1193,IF(K1195="OLEAF",PR!$AU1193,IF(K1195="OCULUS",PR!$AV1193,IF(K1195="PACIFIC",PR!$AW1193,IF(K1195="PHAMATEX",PR!$AX1193,IF(K1195="PETHICS",PR!$AY1193,IF(K1195="PHILIPS",PR!$AZ1193,IF(K1195="RANBAXY",PR!$BA1193,IF(K1195="REALS",PR!$BB1193,IF(K1195="ROYAL",PR!$BC1193,IF(K1195="SAM",PR!$BD1193,IF(K1195="SEAGREEN",PR!$BE1193,IF(K1195="SKG",PR!$BF1193,IF(K1195="TAH",PR!$BG1193,IF(K1195="TAYLEK",PR!$BH1193,IF(K1195="TEMITA",PR!$BI1193,IF(K1195="THL",PR!$BJ1193,IF(K1195="UBASTIC",PR!$BK1193,IF(K1195="UNION",PR!$BL1193,IF(K1195="UNIQUE",PR!$BM1193,IF(K1195="VIXA",PR!$BN1193,IF(K1195="WWCV",PR!$BO1193,IF(K1195="ZOLON",PR!$BP1193,"-")))))))))))))))))))))))))))))))))))))))))))))))))))))))))))))))))</f>
        <v>20000</v>
      </c>
    </row>
    <row r="1196" spans="1:12" ht="18.75" x14ac:dyDescent="0.3">
      <c r="A1196" s="430">
        <f>PR!A1194</f>
        <v>1072</v>
      </c>
      <c r="B1196" s="15" t="str">
        <f>PR!B1194</f>
        <v>FROSTED GLASS SLIDE</v>
      </c>
      <c r="C1196" s="113" t="str">
        <f>PR!D1194</f>
        <v>Pkt</v>
      </c>
      <c r="D1196" s="113">
        <f>PR!C1194</f>
        <v>60</v>
      </c>
      <c r="E1196" s="108">
        <f>IF(F1196="ALPHA",PR!$E1194,IF(F1196="ASSENE",PR!$F1194,IF(F1196="BIOFEM",PR!$G1194,IF(F1196="BIOMED",PR!$H1194,IF(F1196="CHI",PR!$I1194,IF(F1196="CLARION",PR!$J1194,IF(F1196="CODIX",PR!$K1194,IF(F1196="COSMADE",PR!$L1194,IF(F1196="SANCON",PR!$M1194,IF(F1196="DEVON",PR!$N1194,IF(F1196="DORTEMAG",PR!$O1194,IF(F1196="DGF",PR!$P1194,IF(F1196="DYNAMIC",PR!$Q1194,IF(F1196="EMZOR",PR!$R1194,IF(F1196="EUMATT",PR!$S1194,IF(F1196="FIDSON",PR!$T1194,IF(F1196="FCGLOBAL",PR!$U1194,IF(F1196="GENEITH",PR!$V1194,IF(F1196="GINOS",PR!$W1194,IF(F1196="GSK",PR!$X1194,IF(F1196="GLOBORG",PR!$Y1194,IF(F1196="GOODNEWS",PR!$Z1194,IF(F1196="GREENLIFE",PR!$AA1194,IF(F1196="HLINE",PR!$AB1194,IF(F1196="ROTECH",PR!$AC1194,IF(F1196="ISN",PR!$AD1194,IF(F1196="JAWA",PR!$AE1194,IF(F1196="LAYO",PR!$AF1194,IF(F1196="LEADWAY",PR!$AG1194,IF(F1196="LHV",PR!$AH1194,IF(F1196="MANOLA",PR!$AI1194,IF(F1196="MARCSON",PR!$AJ1194,IF(F1196="M&amp;B",PR!$AK1194,IF(F1196="MTRUST",PR!$AL1194,IF(F1196="MWORLD",PR!$AM1194,IF(F1196="MEGA",PR!$AN1194,IF(F1196="MICRONOVA",PR!$AO1194,IF(F1196="MFLASH",PR!$AP1194,IF(F1196="MORISON",PR!$AQ1194,IF(F1196="NEMEL",PR!$AR1194,IF(F1196="NHP",PR!$AS1194,IF(F1196="NHC",PR!$AT1194,IF(F1196="OLEAF",PR!$AU1194,IF(F1196="OCULUS",PR!$AV1194,IF(F1196="PACIFIC",PR!$AW1194,IF(F1196="PHAMATEX",PR!$AX1194,IF(F1196="PETHICS",PR!$AY1194,IF(F1196="PHILIPS",PR!$AZ1194,IF(F1196="RANBAXY",PR!$BA1194,IF(F1196="REALS",PR!$BB1194,IF(F1196="ROYAL",PR!$BC1194,IF(F1196="SAM",PR!$BD1194,IF(F1196="SEAGREEN",PR!$BE1194,IF(F1196="SKG",PR!$BF1194,IF(F1196="TAH",PR!$BG1194,IF(F1196="TAYLEK",PR!$BH1194,IF(F1196="TEMITA",PR!$BI1194,IF(F1196="THL",PR!$BJ1194,IF(F1196="UBASTIC",PR!$BK1194,IF(F1196="UNION",PR!$BL1194,IF(F1196="UNIQUE",PR!$BM1194,IF(F1196="VIXA",PR!$BN1194,IF(F1196="WWCV",PR!$BO1194,IF(F1196="ZOLON",PR!$BP1194,"-"))))))))))))))))))))))))))))))))))))))))))))))))))))))))))))))))</f>
        <v>380</v>
      </c>
      <c r="F1196" s="102" t="str">
        <f>EV!L1506</f>
        <v>SANCON</v>
      </c>
      <c r="G1196" s="108">
        <f>IF(H1196="ALPHA",PR!$E1194,IF(H1196="ASSENE",PR!$F1194,IF(H1196="BIOFEM",PR!$G1194,IF(H1196="BIOMED",PR!$H1194,IF(H1196="CHI",PR!$I1194,IF(H1196="CLARION",PR!$J1194,IF(H1196="CODIX",PR!$K1194,IF(H1196="COSMADE",PR!$L1194,IF(H1196="SANCON",PR!$M1194,IF(H1196="DEVON",PR!$N1194,IF(H1196="DORTEMAG",PR!$O1194,IF(H1196="DGF",PR!$P1194,IF(H1196="DYNAMIC",PR!$Q1194,IF(H1196="EMZOR",PR!$R1194,IF(H1196="EUMATT",PR!$S1194,IF(H1196="FIDSON",PR!$T1194,IF(H1196="FCGLOBAL",PR!$U1194,IF(H1196="GENEITH",PR!$V1194,IF(H1196="GINOS",PR!$W1194,IF(H1196="GSK",PR!$X1194,IF(H1196="GLOBORG",PR!$Y1194,IF(H1196="GOODNEWS",PR!$Z1194,IF(H1196="GREENLIFE",PR!$AA1194,IF(H1196="HLINE",PR!$AB1194,IF(H1196="ROTECH",PR!$AC1194,IF(H1196="ISN",PR!$AD1194,IF(H1196="JAWA",PR!$AE1194,IF(H1196="LAYO",PR!$AF1194,IF(H1196="LEADWAY",PR!$AG1194,IF(H1196="LHV",PR!$AH1194,IF(H1196="MANOLA",PR!$AI1194,IF(H1196="MARCSON",PR!$AJ1194,IF(H1196="M&amp;B",PR!$AK1194,IF(H1196="MTRUST",PR!$AL1194,IF(H1196="MWORLD",PR!$AM1194,IF(H1196="MEGA",PR!$AN1194,IF(H1196="MICRONOVA",PR!$AO1194,IF(H1196="MFLASH",PR!$AP1194,IF(H1196="MORISON",PR!$AQ1194,IF(H1196="NEMEL",PR!$AR1194,IF(H1196="NHP",PR!$AS1194,IF(H1196="NHC",PR!$AT1194,IF(H1196="OLEAF",PR!$AU1194,IF(H1196="OCULUS",PR!$AV1194,IF(H1196="PACIFIC",PR!$AW1194,IF(H1196="PHAMATEX",PR!$AX1194,IF(H1196="PETHICS",PR!$AY1194,IF(H1196="PHILIPS",PR!$AZ1194,IF(H1196="RANBAXY",PR!$BA1194,IF(H1196="REALS",PR!$BB1194,IF(H1196="ROYAL",PR!$BC1194,IF(H1196="SAM",PR!$BD1194,IF(H1196="SEAGREEN",PR!$BE1194,IF(H1196="SKG",PR!$BF1194,IF(H1196="TAH",PR!$BG1194,IF(H1196="TAYLEK",PR!$BH1194,IF(H1196="TEMITA",PR!$BI1194,IF(H1196="THL",PR!$BJ1194,IF(H1196="UBASTIC",PR!$BK1194,IF(H1196="UNION",PR!$BL1194,IF(H1196="UNIQUE",PR!$BM1194,IF(H1196="VIXA",PR!$BN1194,IF(H1196="WWCV",PR!$BO1194,IF(H1196="ZOLON",PR!$BP1194,"-"))))))))))))))))))))))))))))))))))))))))))))))))))))))))))))))))</f>
        <v>450</v>
      </c>
      <c r="H1196" s="102" t="str">
        <f>EV!M1506</f>
        <v>TEMITA</v>
      </c>
      <c r="I1196" s="108">
        <f>IF(J1196="ALPHA",PR!$E1194,IF(J1196="ASSENE",PR!$F1194,IF(J1196="BIOFEM",PR!$G1194,IF(J1196="BIOMED",PR!$H1194,IF(J1196="CHI",PR!$I1194,IF(J1196="CLARION",PR!$J1194,IF(J1196="CODIX",PR!$K1194,IF(J1196="COSMADE",PR!$L1194,IF(J1196="SANCON",PR!$M1194,IF(J1196="DEVON",PR!$N1194,IF(J1196="DORTEMAG",PR!$O1194,IF(J1196="DGF",PR!$P1194,IF(J1196="DYNAMIC",PR!$Q1194,IF(J1196="EMZOR",PR!$R1194,IF(J1196="EUMATT",PR!$S1194,IF(J1196="FIDSON",PR!$T1194,IF(J1196="FCGLOBAL",PR!$U1194,IF(J1196="GENEITH",PR!$V1194,IF(J1196="GINOS",PR!$W1194,IF(J1196="GSK",PR!$X1194,IF(J1196="GLOBORG",PR!$Y1194,IF(J1196="GOODNEWS",PR!$Z1194,IF(J1196="GREENLIFE",PR!$AA1194,IF(J1196="HLINE",PR!$AB1194,IF(J1196="ROTECH",PR!$AC1194,IF(J1196="ISN",PR!$AD1194,IF(J1196="JAWA",PR!$AE1194,IF(J1196="LAYO",PR!$AF1194,IF(J1196="LEADWAY",PR!$AG1194,IF(J1196="LHV",PR!$AH1194,IF(J1196="MANOLA",PR!$AI1194,IF(J1196="MARCSON",PR!$AJ1194,IF(J1196="M&amp;B",PR!$AK1194,IF(J1196="MTRUST",PR!$AL1194,IF(J1196="MWORLD",PR!$AM1194,IF(J1196="MEGA",PR!$AN1194,IF(J1196="MICRONOVA",PR!$AO1194,IF(J1196="MFLASH",PR!$AP1194,IF(J1196="MORISON",PR!$AQ1194,IF(J1196="NEMEL",PR!$AR1194,IF(J1196="NHP",PR!$AS1194,IF(J1196="NHC",PR!$AT1194,IF(J1196="OLEAF",PR!$AU1194,IF(J1196="OCULUS",PR!$AV1194,IF(J1196="PACIFIC",PR!$AW1194,IF(J1196="PHAMATEX",PR!$AX1194,IF(J1196="PETHICS",PR!$AY1194,IF(J1196="PHILIPS",PR!$AZ1194,IF(J1196="RANBAXY",PR!$BA1194,IF(J1196="REALS",PR!$BB1194,IF(J1196="ROYAL",PR!$BC1194,IF(J1196="SAM",PR!$BD1194,IF(J1196="SEAGREEN",PR!$BE1194,IF(J1196="SKG",PR!$BF1194,IF(J1196="TAH",PR!$BG1194,IF(J1196="TAYLEK",PR!$BH1194,IF(J1196="TEMITA",PR!$BI1194,IF(J1196="THL",PR!$BJ1194,IF(J1196="UBASTIC",PR!$BK1194,IF(J1196="UNION",PR!$BL1194,IF(J1196="UNIQUE",PR!$BM1194,IF(J1196="VIXA",PR!$BN1194,IF(J1196="WWCV",PR!$BO1194,IF(J1196="ZOLON",PR!$BP1194,"-"))))))))))))))))))))))))))))))))))))))))))))))))))))))))))))))))</f>
        <v>455</v>
      </c>
      <c r="J1196" s="102" t="str">
        <f>EV!N1506</f>
        <v>LAYO</v>
      </c>
      <c r="K1196" s="433" t="s">
        <v>817</v>
      </c>
      <c r="L1196" s="183">
        <f>IF(K1196&gt;0,IF(K1196="ALPHA",PR!$E1194,IF(K1196="ASSENE",PR!$F1194,IF(K1196="BIOFEM",PR!$G1194,IF(K1196="BIOMED",PR!$H1194,IF(K1196="CHI",PR!$I1194,IF(K1196="CLARION",PR!$J1194,IF(K1196="CODIX",PR!$K1194,IF(K1196="COSMADE",PR!$L1194,IF(K1196="SANCON",PR!$M1194,IF(K1196="DEVON",PR!$N1194,IF(K1196="DORTEMAG",PR!$O1194,IF(K1196="DGF",PR!$P1194,IF(K1196="DYNAMIC",PR!$Q1194,IF(K1196="EMZOR",PR!$R1194,IF(K1196="EUMATT",PR!$S1194,IF(K1196="FIDSON",PR!$T1194,IF(K1196="FCGLOBAL",PR!$U1194,IF(K1196="GENEITH",PR!$V1194,IF(K1196="GINOS",PR!$W1194,IF(K1196="GSK",PR!$X1194,IF(K1196="GLOBORG",PR!$Y1194,IF(K1196="GOODNEWS",PR!$Z1194,IF(K1196="GREENLIFE",PR!$AA1194,IF(K1196="HLINE",PR!$AB1194,IF(K1196="ROTECH",PR!$AC1194,IF(K1196="ISN",PR!$AD1194,IF(K1196="JAWA",PR!$AE1194,IF(K1196="LAYO",PR!$AF1194,IF(K1196="LEADWAY",PR!$AG1194,IF(K1196="LHV",PR!$AH1194,IF(K1196="MANOLA",PR!$AI1194,IF(K1196="MARCSON",PR!$AJ1194,IF(K1196="M&amp;B",PR!$AK1194,IF(K1196="MTRUST",PR!$AL1194,IF(K1196="MWORLD",PR!$AM1194,IF(K1196="MEGA",PR!$AN1194,IF(K1196="MICRONOVA",PR!$AO1194,IF(K1196="MFLASH",PR!$AP1194,IF(K1196="MORISON",PR!$AQ1194,IF(K1196="NEMEL",PR!$AR1194,IF(K1196="NHP",PR!$AS1194,IF(K1196="NHC",PR!$AT1194,IF(K1196="OLEAF",PR!$AU1194,IF(K1196="OCULUS",PR!$AV1194,IF(K1196="PACIFIC",PR!$AW1194,IF(K1196="PHAMATEX",PR!$AX1194,IF(K1196="PETHICS",PR!$AY1194,IF(K1196="PHILIPS",PR!$AZ1194,IF(K1196="RANBAXY",PR!$BA1194,IF(K1196="REALS",PR!$BB1194,IF(K1196="ROYAL",PR!$BC1194,IF(K1196="SAM",PR!$BD1194,IF(K1196="SEAGREEN",PR!$BE1194,IF(K1196="SKG",PR!$BF1194,IF(K1196="TAH",PR!$BG1194,IF(K1196="TAYLEK",PR!$BH1194,IF(K1196="TEMITA",PR!$BI1194,IF(K1196="THL",PR!$BJ1194,IF(K1196="UBASTIC",PR!$BK1194,IF(K1196="UNION",PR!$BL1194,IF(K1196="UNIQUE",PR!$BM1194,IF(K1196="VIXA",PR!$BN1194,IF(K1196="WWCV",PR!$BO1194,IF(K1196="ZOLON",PR!$BP1194,"-")))))))))))))))))))))))))))))))))))))))))))))))))))))))))))))))))</f>
        <v>380</v>
      </c>
    </row>
    <row r="1197" spans="1:12" ht="18.75" x14ac:dyDescent="0.3">
      <c r="A1197" s="430">
        <f>PR!A1195</f>
        <v>1073</v>
      </c>
      <c r="B1197" s="15" t="str">
        <f>PR!B1195</f>
        <v>CELLULOSE ACETATE PAPER</v>
      </c>
      <c r="C1197" s="113" t="str">
        <f>PR!D1195</f>
        <v>Pkt</v>
      </c>
      <c r="D1197" s="113">
        <f>PR!C1195</f>
        <v>2</v>
      </c>
      <c r="E1197" s="108">
        <f>IF(F1197="ALPHA",PR!$E1195,IF(F1197="ASSENE",PR!$F1195,IF(F1197="BIOFEM",PR!$G1195,IF(F1197="BIOMED",PR!$H1195,IF(F1197="CHI",PR!$I1195,IF(F1197="CLARION",PR!$J1195,IF(F1197="CODIX",PR!$K1195,IF(F1197="COSMADE",PR!$L1195,IF(F1197="SANCON",PR!$M1195,IF(F1197="DEVON",PR!$N1195,IF(F1197="DORTEMAG",PR!$O1195,IF(F1197="DGF",PR!$P1195,IF(F1197="DYNAMIC",PR!$Q1195,IF(F1197="EMZOR",PR!$R1195,IF(F1197="EUMATT",PR!$S1195,IF(F1197="FIDSON",PR!$T1195,IF(F1197="FCGLOBAL",PR!$U1195,IF(F1197="GENEITH",PR!$V1195,IF(F1197="GINOS",PR!$W1195,IF(F1197="GSK",PR!$X1195,IF(F1197="GLOBORG",PR!$Y1195,IF(F1197="GOODNEWS",PR!$Z1195,IF(F1197="GREENLIFE",PR!$AA1195,IF(F1197="HLINE",PR!$AB1195,IF(F1197="ROTECH",PR!$AC1195,IF(F1197="ISN",PR!$AD1195,IF(F1197="JAWA",PR!$AE1195,IF(F1197="LAYO",PR!$AF1195,IF(F1197="LEADWAY",PR!$AG1195,IF(F1197="LHV",PR!$AH1195,IF(F1197="MANOLA",PR!$AI1195,IF(F1197="MARCSON",PR!$AJ1195,IF(F1197="M&amp;B",PR!$AK1195,IF(F1197="MTRUST",PR!$AL1195,IF(F1197="MWORLD",PR!$AM1195,IF(F1197="MEGA",PR!$AN1195,IF(F1197="MICRONOVA",PR!$AO1195,IF(F1197="MFLASH",PR!$AP1195,IF(F1197="MORISON",PR!$AQ1195,IF(F1197="NEMEL",PR!$AR1195,IF(F1197="NHP",PR!$AS1195,IF(F1197="NHC",PR!$AT1195,IF(F1197="OLEAF",PR!$AU1195,IF(F1197="OCULUS",PR!$AV1195,IF(F1197="PACIFIC",PR!$AW1195,IF(F1197="PHAMATEX",PR!$AX1195,IF(F1197="PETHICS",PR!$AY1195,IF(F1197="PHILIPS",PR!$AZ1195,IF(F1197="RANBAXY",PR!$BA1195,IF(F1197="REALS",PR!$BB1195,IF(F1197="ROYAL",PR!$BC1195,IF(F1197="SAM",PR!$BD1195,IF(F1197="SEAGREEN",PR!$BE1195,IF(F1197="SKG",PR!$BF1195,IF(F1197="TAH",PR!$BG1195,IF(F1197="TAYLEK",PR!$BH1195,IF(F1197="TEMITA",PR!$BI1195,IF(F1197="THL",PR!$BJ1195,IF(F1197="UBASTIC",PR!$BK1195,IF(F1197="UNION",PR!$BL1195,IF(F1197="UNIQUE",PR!$BM1195,IF(F1197="VIXA",PR!$BN1195,IF(F1197="WWCV",PR!$BO1195,IF(F1197="ZOLON",PR!$BP1195,"-"))))))))))))))))))))))))))))))))))))))))))))))))))))))))))))))))</f>
        <v>27000</v>
      </c>
      <c r="F1197" s="102" t="str">
        <f>EV!L1507</f>
        <v>LAYO</v>
      </c>
      <c r="G1197" s="108">
        <f>IF(H1197="ALPHA",PR!$E1195,IF(H1197="ASSENE",PR!$F1195,IF(H1197="BIOFEM",PR!$G1195,IF(H1197="BIOMED",PR!$H1195,IF(H1197="CHI",PR!$I1195,IF(H1197="CLARION",PR!$J1195,IF(H1197="CODIX",PR!$K1195,IF(H1197="COSMADE",PR!$L1195,IF(H1197="SANCON",PR!$M1195,IF(H1197="DEVON",PR!$N1195,IF(H1197="DORTEMAG",PR!$O1195,IF(H1197="DGF",PR!$P1195,IF(H1197="DYNAMIC",PR!$Q1195,IF(H1197="EMZOR",PR!$R1195,IF(H1197="EUMATT",PR!$S1195,IF(H1197="FIDSON",PR!$T1195,IF(H1197="FCGLOBAL",PR!$U1195,IF(H1197="GENEITH",PR!$V1195,IF(H1197="GINOS",PR!$W1195,IF(H1197="GSK",PR!$X1195,IF(H1197="GLOBORG",PR!$Y1195,IF(H1197="GOODNEWS",PR!$Z1195,IF(H1197="GREENLIFE",PR!$AA1195,IF(H1197="HLINE",PR!$AB1195,IF(H1197="ROTECH",PR!$AC1195,IF(H1197="ISN",PR!$AD1195,IF(H1197="JAWA",PR!$AE1195,IF(H1197="LAYO",PR!$AF1195,IF(H1197="LEADWAY",PR!$AG1195,IF(H1197="LHV",PR!$AH1195,IF(H1197="MANOLA",PR!$AI1195,IF(H1197="MARCSON",PR!$AJ1195,IF(H1197="M&amp;B",PR!$AK1195,IF(H1197="MTRUST",PR!$AL1195,IF(H1197="MWORLD",PR!$AM1195,IF(H1197="MEGA",PR!$AN1195,IF(H1197="MICRONOVA",PR!$AO1195,IF(H1197="MFLASH",PR!$AP1195,IF(H1197="MORISON",PR!$AQ1195,IF(H1197="NEMEL",PR!$AR1195,IF(H1197="NHP",PR!$AS1195,IF(H1197="NHC",PR!$AT1195,IF(H1197="OLEAF",PR!$AU1195,IF(H1197="OCULUS",PR!$AV1195,IF(H1197="PACIFIC",PR!$AW1195,IF(H1197="PHAMATEX",PR!$AX1195,IF(H1197="PETHICS",PR!$AY1195,IF(H1197="PHILIPS",PR!$AZ1195,IF(H1197="RANBAXY",PR!$BA1195,IF(H1197="REALS",PR!$BB1195,IF(H1197="ROYAL",PR!$BC1195,IF(H1197="SAM",PR!$BD1195,IF(H1197="SEAGREEN",PR!$BE1195,IF(H1197="SKG",PR!$BF1195,IF(H1197="TAH",PR!$BG1195,IF(H1197="TAYLEK",PR!$BH1195,IF(H1197="TEMITA",PR!$BI1195,IF(H1197="THL",PR!$BJ1195,IF(H1197="UBASTIC",PR!$BK1195,IF(H1197="UNION",PR!$BL1195,IF(H1197="UNIQUE",PR!$BM1195,IF(H1197="VIXA",PR!$BN1195,IF(H1197="WWCV",PR!$BO1195,IF(H1197="ZOLON",PR!$BP1195,"-"))))))))))))))))))))))))))))))))))))))))))))))))))))))))))))))))</f>
        <v>30000</v>
      </c>
      <c r="H1197" s="102" t="str">
        <f>EV!M1507</f>
        <v>UBASTIC</v>
      </c>
      <c r="I1197" s="108">
        <f>IF(J1197="ALPHA",PR!$E1195,IF(J1197="ASSENE",PR!$F1195,IF(J1197="BIOFEM",PR!$G1195,IF(J1197="BIOMED",PR!$H1195,IF(J1197="CHI",PR!$I1195,IF(J1197="CLARION",PR!$J1195,IF(J1197="CODIX",PR!$K1195,IF(J1197="COSMADE",PR!$L1195,IF(J1197="SANCON",PR!$M1195,IF(J1197="DEVON",PR!$N1195,IF(J1197="DORTEMAG",PR!$O1195,IF(J1197="DGF",PR!$P1195,IF(J1197="DYNAMIC",PR!$Q1195,IF(J1197="EMZOR",PR!$R1195,IF(J1197="EUMATT",PR!$S1195,IF(J1197="FIDSON",PR!$T1195,IF(J1197="FCGLOBAL",PR!$U1195,IF(J1197="GENEITH",PR!$V1195,IF(J1197="GINOS",PR!$W1195,IF(J1197="GSK",PR!$X1195,IF(J1197="GLOBORG",PR!$Y1195,IF(J1197="GOODNEWS",PR!$Z1195,IF(J1197="GREENLIFE",PR!$AA1195,IF(J1197="HLINE",PR!$AB1195,IF(J1197="ROTECH",PR!$AC1195,IF(J1197="ISN",PR!$AD1195,IF(J1197="JAWA",PR!$AE1195,IF(J1197="LAYO",PR!$AF1195,IF(J1197="LEADWAY",PR!$AG1195,IF(J1197="LHV",PR!$AH1195,IF(J1197="MANOLA",PR!$AI1195,IF(J1197="MARCSON",PR!$AJ1195,IF(J1197="M&amp;B",PR!$AK1195,IF(J1197="MTRUST",PR!$AL1195,IF(J1197="MWORLD",PR!$AM1195,IF(J1197="MEGA",PR!$AN1195,IF(J1197="MICRONOVA",PR!$AO1195,IF(J1197="MFLASH",PR!$AP1195,IF(J1197="MORISON",PR!$AQ1195,IF(J1197="NEMEL",PR!$AR1195,IF(J1197="NHP",PR!$AS1195,IF(J1197="NHC",PR!$AT1195,IF(J1197="OLEAF",PR!$AU1195,IF(J1197="OCULUS",PR!$AV1195,IF(J1197="PACIFIC",PR!$AW1195,IF(J1197="PHAMATEX",PR!$AX1195,IF(J1197="PETHICS",PR!$AY1195,IF(J1197="PHILIPS",PR!$AZ1195,IF(J1197="RANBAXY",PR!$BA1195,IF(J1197="REALS",PR!$BB1195,IF(J1197="ROYAL",PR!$BC1195,IF(J1197="SAM",PR!$BD1195,IF(J1197="SEAGREEN",PR!$BE1195,IF(J1197="SKG",PR!$BF1195,IF(J1197="TAH",PR!$BG1195,IF(J1197="TAYLEK",PR!$BH1195,IF(J1197="TEMITA",PR!$BI1195,IF(J1197="THL",PR!$BJ1195,IF(J1197="UBASTIC",PR!$BK1195,IF(J1197="UNION",PR!$BL1195,IF(J1197="UNIQUE",PR!$BM1195,IF(J1197="VIXA",PR!$BN1195,IF(J1197="WWCV",PR!$BO1195,IF(J1197="ZOLON",PR!$BP1195,"-"))))))))))))))))))))))))))))))))))))))))))))))))))))))))))))))))</f>
        <v>37000</v>
      </c>
      <c r="J1197" s="102" t="str">
        <f>EV!N1507</f>
        <v>TEMITA</v>
      </c>
      <c r="K1197" s="433" t="s">
        <v>1461</v>
      </c>
      <c r="L1197" s="183">
        <f>IF(K1197&gt;0,IF(K1197="ALPHA",PR!$E1195,IF(K1197="ASSENE",PR!$F1195,IF(K1197="BIOFEM",PR!$G1195,IF(K1197="BIOMED",PR!$H1195,IF(K1197="CHI",PR!$I1195,IF(K1197="CLARION",PR!$J1195,IF(K1197="CODIX",PR!$K1195,IF(K1197="COSMADE",PR!$L1195,IF(K1197="SANCON",PR!$M1195,IF(K1197="DEVON",PR!$N1195,IF(K1197="DORTEMAG",PR!$O1195,IF(K1197="DGF",PR!$P1195,IF(K1197="DYNAMIC",PR!$Q1195,IF(K1197="EMZOR",PR!$R1195,IF(K1197="EUMATT",PR!$S1195,IF(K1197="FIDSON",PR!$T1195,IF(K1197="FCGLOBAL",PR!$U1195,IF(K1197="GENEITH",PR!$V1195,IF(K1197="GINOS",PR!$W1195,IF(K1197="GSK",PR!$X1195,IF(K1197="GLOBORG",PR!$Y1195,IF(K1197="GOODNEWS",PR!$Z1195,IF(K1197="GREENLIFE",PR!$AA1195,IF(K1197="HLINE",PR!$AB1195,IF(K1197="ROTECH",PR!$AC1195,IF(K1197="ISN",PR!$AD1195,IF(K1197="JAWA",PR!$AE1195,IF(K1197="LAYO",PR!$AF1195,IF(K1197="LEADWAY",PR!$AG1195,IF(K1197="LHV",PR!$AH1195,IF(K1197="MANOLA",PR!$AI1195,IF(K1197="MARCSON",PR!$AJ1195,IF(K1197="M&amp;B",PR!$AK1195,IF(K1197="MTRUST",PR!$AL1195,IF(K1197="MWORLD",PR!$AM1195,IF(K1197="MEGA",PR!$AN1195,IF(K1197="MICRONOVA",PR!$AO1195,IF(K1197="MFLASH",PR!$AP1195,IF(K1197="MORISON",PR!$AQ1195,IF(K1197="NEMEL",PR!$AR1195,IF(K1197="NHP",PR!$AS1195,IF(K1197="NHC",PR!$AT1195,IF(K1197="OLEAF",PR!$AU1195,IF(K1197="OCULUS",PR!$AV1195,IF(K1197="PACIFIC",PR!$AW1195,IF(K1197="PHAMATEX",PR!$AX1195,IF(K1197="PETHICS",PR!$AY1195,IF(K1197="PHILIPS",PR!$AZ1195,IF(K1197="RANBAXY",PR!$BA1195,IF(K1197="REALS",PR!$BB1195,IF(K1197="ROYAL",PR!$BC1195,IF(K1197="SAM",PR!$BD1195,IF(K1197="SEAGREEN",PR!$BE1195,IF(K1197="SKG",PR!$BF1195,IF(K1197="TAH",PR!$BG1195,IF(K1197="TAYLEK",PR!$BH1195,IF(K1197="TEMITA",PR!$BI1195,IF(K1197="THL",PR!$BJ1195,IF(K1197="UBASTIC",PR!$BK1195,IF(K1197="UNION",PR!$BL1195,IF(K1197="UNIQUE",PR!$BM1195,IF(K1197="VIXA",PR!$BN1195,IF(K1197="WWCV",PR!$BO1195,IF(K1197="ZOLON",PR!$BP1195,"-")))))))))))))))))))))))))))))))))))))))))))))))))))))))))))))))))</f>
        <v>27000</v>
      </c>
    </row>
    <row r="1198" spans="1:12" ht="18.75" x14ac:dyDescent="0.3">
      <c r="A1198" s="430">
        <f>PR!A1196</f>
        <v>1074</v>
      </c>
      <c r="B1198" s="15" t="str">
        <f>PR!B1196</f>
        <v>PIPETTE TIPS YELLOW (10 - 100)</v>
      </c>
      <c r="C1198" s="113" t="str">
        <f>PR!D1196</f>
        <v>Pkt</v>
      </c>
      <c r="D1198" s="113">
        <f>PR!C1196</f>
        <v>6</v>
      </c>
      <c r="E1198" s="108">
        <f>IF(F1198="ALPHA",PR!$E1196,IF(F1198="ASSENE",PR!$F1196,IF(F1198="BIOFEM",PR!$G1196,IF(F1198="BIOMED",PR!$H1196,IF(F1198="CHI",PR!$I1196,IF(F1198="CLARION",PR!$J1196,IF(F1198="CODIX",PR!$K1196,IF(F1198="COSMADE",PR!$L1196,IF(F1198="SANCON",PR!$M1196,IF(F1198="DEVON",PR!$N1196,IF(F1198="DORTEMAG",PR!$O1196,IF(F1198="DGF",PR!$P1196,IF(F1198="DYNAMIC",PR!$Q1196,IF(F1198="EMZOR",PR!$R1196,IF(F1198="EUMATT",PR!$S1196,IF(F1198="FIDSON",PR!$T1196,IF(F1198="FCGLOBAL",PR!$U1196,IF(F1198="GENEITH",PR!$V1196,IF(F1198="GINOS",PR!$W1196,IF(F1198="GSK",PR!$X1196,IF(F1198="GLOBORG",PR!$Y1196,IF(F1198="GOODNEWS",PR!$Z1196,IF(F1198="GREENLIFE",PR!$AA1196,IF(F1198="HLINE",PR!$AB1196,IF(F1198="ROTECH",PR!$AC1196,IF(F1198="ISN",PR!$AD1196,IF(F1198="JAWA",PR!$AE1196,IF(F1198="LAYO",PR!$AF1196,IF(F1198="LEADWAY",PR!$AG1196,IF(F1198="LHV",PR!$AH1196,IF(F1198="MANOLA",PR!$AI1196,IF(F1198="MARCSON",PR!$AJ1196,IF(F1198="M&amp;B",PR!$AK1196,IF(F1198="MTRUST",PR!$AL1196,IF(F1198="MWORLD",PR!$AM1196,IF(F1198="MEGA",PR!$AN1196,IF(F1198="MICRONOVA",PR!$AO1196,IF(F1198="MFLASH",PR!$AP1196,IF(F1198="MORISON",PR!$AQ1196,IF(F1198="NEMEL",PR!$AR1196,IF(F1198="NHP",PR!$AS1196,IF(F1198="NHC",PR!$AT1196,IF(F1198="OLEAF",PR!$AU1196,IF(F1198="OCULUS",PR!$AV1196,IF(F1198="PACIFIC",PR!$AW1196,IF(F1198="PHAMATEX",PR!$AX1196,IF(F1198="PETHICS",PR!$AY1196,IF(F1198="PHILIPS",PR!$AZ1196,IF(F1198="RANBAXY",PR!$BA1196,IF(F1198="REALS",PR!$BB1196,IF(F1198="ROYAL",PR!$BC1196,IF(F1198="SAM",PR!$BD1196,IF(F1198="SEAGREEN",PR!$BE1196,IF(F1198="SKG",PR!$BF1196,IF(F1198="TAH",PR!$BG1196,IF(F1198="TAYLEK",PR!$BH1196,IF(F1198="TEMITA",PR!$BI1196,IF(F1198="THL",PR!$BJ1196,IF(F1198="UBASTIC",PR!$BK1196,IF(F1198="UNION",PR!$BL1196,IF(F1198="UNIQUE",PR!$BM1196,IF(F1198="VIXA",PR!$BN1196,IF(F1198="WWCV",PR!$BO1196,IF(F1198="ZOLON",PR!$BP1196,"-"))))))))))))))))))))))))))))))))))))))))))))))))))))))))))))))))</f>
        <v>900</v>
      </c>
      <c r="F1198" s="102" t="str">
        <f>EV!L1508</f>
        <v>SANCON</v>
      </c>
      <c r="G1198" s="108">
        <f>IF(H1198="ALPHA",PR!$E1196,IF(H1198="ASSENE",PR!$F1196,IF(H1198="BIOFEM",PR!$G1196,IF(H1198="BIOMED",PR!$H1196,IF(H1198="CHI",PR!$I1196,IF(H1198="CLARION",PR!$J1196,IF(H1198="CODIX",PR!$K1196,IF(H1198="COSMADE",PR!$L1196,IF(H1198="SANCON",PR!$M1196,IF(H1198="DEVON",PR!$N1196,IF(H1198="DORTEMAG",PR!$O1196,IF(H1198="DGF",PR!$P1196,IF(H1198="DYNAMIC",PR!$Q1196,IF(H1198="EMZOR",PR!$R1196,IF(H1198="EUMATT",PR!$S1196,IF(H1198="FIDSON",PR!$T1196,IF(H1198="FCGLOBAL",PR!$U1196,IF(H1198="GENEITH",PR!$V1196,IF(H1198="GINOS",PR!$W1196,IF(H1198="GSK",PR!$X1196,IF(H1198="GLOBORG",PR!$Y1196,IF(H1198="GOODNEWS",PR!$Z1196,IF(H1198="GREENLIFE",PR!$AA1196,IF(H1198="HLINE",PR!$AB1196,IF(H1198="ROTECH",PR!$AC1196,IF(H1198="ISN",PR!$AD1196,IF(H1198="JAWA",PR!$AE1196,IF(H1198="LAYO",PR!$AF1196,IF(H1198="LEADWAY",PR!$AG1196,IF(H1198="LHV",PR!$AH1196,IF(H1198="MANOLA",PR!$AI1196,IF(H1198="MARCSON",PR!$AJ1196,IF(H1198="M&amp;B",PR!$AK1196,IF(H1198="MTRUST",PR!$AL1196,IF(H1198="MWORLD",PR!$AM1196,IF(H1198="MEGA",PR!$AN1196,IF(H1198="MICRONOVA",PR!$AO1196,IF(H1198="MFLASH",PR!$AP1196,IF(H1198="MORISON",PR!$AQ1196,IF(H1198="NEMEL",PR!$AR1196,IF(H1198="NHP",PR!$AS1196,IF(H1198="NHC",PR!$AT1196,IF(H1198="OLEAF",PR!$AU1196,IF(H1198="OCULUS",PR!$AV1196,IF(H1198="PACIFIC",PR!$AW1196,IF(H1198="PHAMATEX",PR!$AX1196,IF(H1198="PETHICS",PR!$AY1196,IF(H1198="PHILIPS",PR!$AZ1196,IF(H1198="RANBAXY",PR!$BA1196,IF(H1198="REALS",PR!$BB1196,IF(H1198="ROYAL",PR!$BC1196,IF(H1198="SAM",PR!$BD1196,IF(H1198="SEAGREEN",PR!$BE1196,IF(H1198="SKG",PR!$BF1196,IF(H1198="TAH",PR!$BG1196,IF(H1198="TAYLEK",PR!$BH1196,IF(H1198="TEMITA",PR!$BI1196,IF(H1198="THL",PR!$BJ1196,IF(H1198="UBASTIC",PR!$BK1196,IF(H1198="UNION",PR!$BL1196,IF(H1198="UNIQUE",PR!$BM1196,IF(H1198="VIXA",PR!$BN1196,IF(H1198="WWCV",PR!$BO1196,IF(H1198="ZOLON",PR!$BP1196,"-"))))))))))))))))))))))))))))))))))))))))))))))))))))))))))))))))</f>
        <v>1000</v>
      </c>
      <c r="H1198" s="102" t="str">
        <f>EV!M1508</f>
        <v>TEMITA</v>
      </c>
      <c r="I1198" s="108">
        <f>IF(J1198="ALPHA",PR!$E1196,IF(J1198="ASSENE",PR!$F1196,IF(J1198="BIOFEM",PR!$G1196,IF(J1198="BIOMED",PR!$H1196,IF(J1198="CHI",PR!$I1196,IF(J1198="CLARION",PR!$J1196,IF(J1198="CODIX",PR!$K1196,IF(J1198="COSMADE",PR!$L1196,IF(J1198="SANCON",PR!$M1196,IF(J1198="DEVON",PR!$N1196,IF(J1198="DORTEMAG",PR!$O1196,IF(J1198="DGF",PR!$P1196,IF(J1198="DYNAMIC",PR!$Q1196,IF(J1198="EMZOR",PR!$R1196,IF(J1198="EUMATT",PR!$S1196,IF(J1198="FIDSON",PR!$T1196,IF(J1198="FCGLOBAL",PR!$U1196,IF(J1198="GENEITH",PR!$V1196,IF(J1198="GINOS",PR!$W1196,IF(J1198="GSK",PR!$X1196,IF(J1198="GLOBORG",PR!$Y1196,IF(J1198="GOODNEWS",PR!$Z1196,IF(J1198="GREENLIFE",PR!$AA1196,IF(J1198="HLINE",PR!$AB1196,IF(J1198="ROTECH",PR!$AC1196,IF(J1198="ISN",PR!$AD1196,IF(J1198="JAWA",PR!$AE1196,IF(J1198="LAYO",PR!$AF1196,IF(J1198="LEADWAY",PR!$AG1196,IF(J1198="LHV",PR!$AH1196,IF(J1198="MANOLA",PR!$AI1196,IF(J1198="MARCSON",PR!$AJ1196,IF(J1198="M&amp;B",PR!$AK1196,IF(J1198="MTRUST",PR!$AL1196,IF(J1198="MWORLD",PR!$AM1196,IF(J1198="MEGA",PR!$AN1196,IF(J1198="MICRONOVA",PR!$AO1196,IF(J1198="MFLASH",PR!$AP1196,IF(J1198="MORISON",PR!$AQ1196,IF(J1198="NEMEL",PR!$AR1196,IF(J1198="NHP",PR!$AS1196,IF(J1198="NHC",PR!$AT1196,IF(J1198="OLEAF",PR!$AU1196,IF(J1198="OCULUS",PR!$AV1196,IF(J1198="PACIFIC",PR!$AW1196,IF(J1198="PHAMATEX",PR!$AX1196,IF(J1198="PETHICS",PR!$AY1196,IF(J1198="PHILIPS",PR!$AZ1196,IF(J1198="RANBAXY",PR!$BA1196,IF(J1198="REALS",PR!$BB1196,IF(J1198="ROYAL",PR!$BC1196,IF(J1198="SAM",PR!$BD1196,IF(J1198="SEAGREEN",PR!$BE1196,IF(J1198="SKG",PR!$BF1196,IF(J1198="TAH",PR!$BG1196,IF(J1198="TAYLEK",PR!$BH1196,IF(J1198="TEMITA",PR!$BI1196,IF(J1198="THL",PR!$BJ1196,IF(J1198="UBASTIC",PR!$BK1196,IF(J1198="UNION",PR!$BL1196,IF(J1198="UNIQUE",PR!$BM1196,IF(J1198="VIXA",PR!$BN1196,IF(J1198="WWCV",PR!$BO1196,IF(J1198="ZOLON",PR!$BP1196,"-"))))))))))))))))))))))))))))))))))))))))))))))))))))))))))))))))</f>
        <v>1125</v>
      </c>
      <c r="J1198" s="102" t="str">
        <f>EV!N1508</f>
        <v>DYNAMIC</v>
      </c>
      <c r="K1198" s="433" t="s">
        <v>817</v>
      </c>
      <c r="L1198" s="183">
        <f>IF(K1198&gt;0,IF(K1198="ALPHA",PR!$E1196,IF(K1198="ASSENE",PR!$F1196,IF(K1198="BIOFEM",PR!$G1196,IF(K1198="BIOMED",PR!$H1196,IF(K1198="CHI",PR!$I1196,IF(K1198="CLARION",PR!$J1196,IF(K1198="CODIX",PR!$K1196,IF(K1198="COSMADE",PR!$L1196,IF(K1198="SANCON",PR!$M1196,IF(K1198="DEVON",PR!$N1196,IF(K1198="DORTEMAG",PR!$O1196,IF(K1198="DGF",PR!$P1196,IF(K1198="DYNAMIC",PR!$Q1196,IF(K1198="EMZOR",PR!$R1196,IF(K1198="EUMATT",PR!$S1196,IF(K1198="FIDSON",PR!$T1196,IF(K1198="FCGLOBAL",PR!$U1196,IF(K1198="GENEITH",PR!$V1196,IF(K1198="GINOS",PR!$W1196,IF(K1198="GSK",PR!$X1196,IF(K1198="GLOBORG",PR!$Y1196,IF(K1198="GOODNEWS",PR!$Z1196,IF(K1198="GREENLIFE",PR!$AA1196,IF(K1198="HLINE",PR!$AB1196,IF(K1198="ROTECH",PR!$AC1196,IF(K1198="ISN",PR!$AD1196,IF(K1198="JAWA",PR!$AE1196,IF(K1198="LAYO",PR!$AF1196,IF(K1198="LEADWAY",PR!$AG1196,IF(K1198="LHV",PR!$AH1196,IF(K1198="MANOLA",PR!$AI1196,IF(K1198="MARCSON",PR!$AJ1196,IF(K1198="M&amp;B",PR!$AK1196,IF(K1198="MTRUST",PR!$AL1196,IF(K1198="MWORLD",PR!$AM1196,IF(K1198="MEGA",PR!$AN1196,IF(K1198="MICRONOVA",PR!$AO1196,IF(K1198="MFLASH",PR!$AP1196,IF(K1198="MORISON",PR!$AQ1196,IF(K1198="NEMEL",PR!$AR1196,IF(K1198="NHP",PR!$AS1196,IF(K1198="NHC",PR!$AT1196,IF(K1198="OLEAF",PR!$AU1196,IF(K1198="OCULUS",PR!$AV1196,IF(K1198="PACIFIC",PR!$AW1196,IF(K1198="PHAMATEX",PR!$AX1196,IF(K1198="PETHICS",PR!$AY1196,IF(K1198="PHILIPS",PR!$AZ1196,IF(K1198="RANBAXY",PR!$BA1196,IF(K1198="REALS",PR!$BB1196,IF(K1198="ROYAL",PR!$BC1196,IF(K1198="SAM",PR!$BD1196,IF(K1198="SEAGREEN",PR!$BE1196,IF(K1198="SKG",PR!$BF1196,IF(K1198="TAH",PR!$BG1196,IF(K1198="TAYLEK",PR!$BH1196,IF(K1198="TEMITA",PR!$BI1196,IF(K1198="THL",PR!$BJ1196,IF(K1198="UBASTIC",PR!$BK1196,IF(K1198="UNION",PR!$BL1196,IF(K1198="UNIQUE",PR!$BM1196,IF(K1198="VIXA",PR!$BN1196,IF(K1198="WWCV",PR!$BO1196,IF(K1198="ZOLON",PR!$BP1196,"-")))))))))))))))))))))))))))))))))))))))))))))))))))))))))))))))))</f>
        <v>900</v>
      </c>
    </row>
    <row r="1199" spans="1:12" ht="18.75" x14ac:dyDescent="0.3">
      <c r="A1199" s="430">
        <f>PR!A1197</f>
        <v>1075</v>
      </c>
      <c r="B1199" s="15" t="str">
        <f>PR!B1197</f>
        <v>PIPETTE TIPS BLUE (100 - 1000)</v>
      </c>
      <c r="C1199" s="113" t="str">
        <f>PR!D1197</f>
        <v>Pkt</v>
      </c>
      <c r="D1199" s="113">
        <f>PR!C1197</f>
        <v>6</v>
      </c>
      <c r="E1199" s="108">
        <f>IF(F1199="ALPHA",PR!$E1197,IF(F1199="ASSENE",PR!$F1197,IF(F1199="BIOFEM",PR!$G1197,IF(F1199="BIOMED",PR!$H1197,IF(F1199="CHI",PR!$I1197,IF(F1199="CLARION",PR!$J1197,IF(F1199="CODIX",PR!$K1197,IF(F1199="COSMADE",PR!$L1197,IF(F1199="SANCON",PR!$M1197,IF(F1199="DEVON",PR!$N1197,IF(F1199="DORTEMAG",PR!$O1197,IF(F1199="DGF",PR!$P1197,IF(F1199="DYNAMIC",PR!$Q1197,IF(F1199="EMZOR",PR!$R1197,IF(F1199="EUMATT",PR!$S1197,IF(F1199="FIDSON",PR!$T1197,IF(F1199="FCGLOBAL",PR!$U1197,IF(F1199="GENEITH",PR!$V1197,IF(F1199="GINOS",PR!$W1197,IF(F1199="GSK",PR!$X1197,IF(F1199="GLOBORG",PR!$Y1197,IF(F1199="GOODNEWS",PR!$Z1197,IF(F1199="GREENLIFE",PR!$AA1197,IF(F1199="HLINE",PR!$AB1197,IF(F1199="ROTECH",PR!$AC1197,IF(F1199="ISN",PR!$AD1197,IF(F1199="JAWA",PR!$AE1197,IF(F1199="LAYO",PR!$AF1197,IF(F1199="LEADWAY",PR!$AG1197,IF(F1199="LHV",PR!$AH1197,IF(F1199="MANOLA",PR!$AI1197,IF(F1199="MARCSON",PR!$AJ1197,IF(F1199="M&amp;B",PR!$AK1197,IF(F1199="MTRUST",PR!$AL1197,IF(F1199="MWORLD",PR!$AM1197,IF(F1199="MEGA",PR!$AN1197,IF(F1199="MICRONOVA",PR!$AO1197,IF(F1199="MFLASH",PR!$AP1197,IF(F1199="MORISON",PR!$AQ1197,IF(F1199="NEMEL",PR!$AR1197,IF(F1199="NHP",PR!$AS1197,IF(F1199="NHC",PR!$AT1197,IF(F1199="OLEAF",PR!$AU1197,IF(F1199="OCULUS",PR!$AV1197,IF(F1199="PACIFIC",PR!$AW1197,IF(F1199="PHAMATEX",PR!$AX1197,IF(F1199="PETHICS",PR!$AY1197,IF(F1199="PHILIPS",PR!$AZ1197,IF(F1199="RANBAXY",PR!$BA1197,IF(F1199="REALS",PR!$BB1197,IF(F1199="ROYAL",PR!$BC1197,IF(F1199="SAM",PR!$BD1197,IF(F1199="SEAGREEN",PR!$BE1197,IF(F1199="SKG",PR!$BF1197,IF(F1199="TAH",PR!$BG1197,IF(F1199="TAYLEK",PR!$BH1197,IF(F1199="TEMITA",PR!$BI1197,IF(F1199="THL",PR!$BJ1197,IF(F1199="UBASTIC",PR!$BK1197,IF(F1199="UNION",PR!$BL1197,IF(F1199="UNIQUE",PR!$BM1197,IF(F1199="VIXA",PR!$BN1197,IF(F1199="WWCV",PR!$BO1197,IF(F1199="ZOLON",PR!$BP1197,"-"))))))))))))))))))))))))))))))))))))))))))))))))))))))))))))))))</f>
        <v>900</v>
      </c>
      <c r="F1199" s="102" t="str">
        <f>EV!L1509</f>
        <v>SANCON</v>
      </c>
      <c r="G1199" s="108">
        <f>IF(H1199="ALPHA",PR!$E1197,IF(H1199="ASSENE",PR!$F1197,IF(H1199="BIOFEM",PR!$G1197,IF(H1199="BIOMED",PR!$H1197,IF(H1199="CHI",PR!$I1197,IF(H1199="CLARION",PR!$J1197,IF(H1199="CODIX",PR!$K1197,IF(H1199="COSMADE",PR!$L1197,IF(H1199="SANCON",PR!$M1197,IF(H1199="DEVON",PR!$N1197,IF(H1199="DORTEMAG",PR!$O1197,IF(H1199="DGF",PR!$P1197,IF(H1199="DYNAMIC",PR!$Q1197,IF(H1199="EMZOR",PR!$R1197,IF(H1199="EUMATT",PR!$S1197,IF(H1199="FIDSON",PR!$T1197,IF(H1199="FCGLOBAL",PR!$U1197,IF(H1199="GENEITH",PR!$V1197,IF(H1199="GINOS",PR!$W1197,IF(H1199="GSK",PR!$X1197,IF(H1199="GLOBORG",PR!$Y1197,IF(H1199="GOODNEWS",PR!$Z1197,IF(H1199="GREENLIFE",PR!$AA1197,IF(H1199="HLINE",PR!$AB1197,IF(H1199="ROTECH",PR!$AC1197,IF(H1199="ISN",PR!$AD1197,IF(H1199="JAWA",PR!$AE1197,IF(H1199="LAYO",PR!$AF1197,IF(H1199="LEADWAY",PR!$AG1197,IF(H1199="LHV",PR!$AH1197,IF(H1199="MANOLA",PR!$AI1197,IF(H1199="MARCSON",PR!$AJ1197,IF(H1199="M&amp;B",PR!$AK1197,IF(H1199="MTRUST",PR!$AL1197,IF(H1199="MWORLD",PR!$AM1197,IF(H1199="MEGA",PR!$AN1197,IF(H1199="MICRONOVA",PR!$AO1197,IF(H1199="MFLASH",PR!$AP1197,IF(H1199="MORISON",PR!$AQ1197,IF(H1199="NEMEL",PR!$AR1197,IF(H1199="NHP",PR!$AS1197,IF(H1199="NHC",PR!$AT1197,IF(H1199="OLEAF",PR!$AU1197,IF(H1199="OCULUS",PR!$AV1197,IF(H1199="PACIFIC",PR!$AW1197,IF(H1199="PHAMATEX",PR!$AX1197,IF(H1199="PETHICS",PR!$AY1197,IF(H1199="PHILIPS",PR!$AZ1197,IF(H1199="RANBAXY",PR!$BA1197,IF(H1199="REALS",PR!$BB1197,IF(H1199="ROYAL",PR!$BC1197,IF(H1199="SAM",PR!$BD1197,IF(H1199="SEAGREEN",PR!$BE1197,IF(H1199="SKG",PR!$BF1197,IF(H1199="TAH",PR!$BG1197,IF(H1199="TAYLEK",PR!$BH1197,IF(H1199="TEMITA",PR!$BI1197,IF(H1199="THL",PR!$BJ1197,IF(H1199="UBASTIC",PR!$BK1197,IF(H1199="UNION",PR!$BL1197,IF(H1199="UNIQUE",PR!$BM1197,IF(H1199="VIXA",PR!$BN1197,IF(H1199="WWCV",PR!$BO1197,IF(H1199="ZOLON",PR!$BP1197,"-"))))))))))))))))))))))))))))))))))))))))))))))))))))))))))))))))</f>
        <v>1100</v>
      </c>
      <c r="H1199" s="102" t="str">
        <f>EV!M1509</f>
        <v>TEMITA</v>
      </c>
      <c r="I1199" s="108">
        <f>IF(J1199="ALPHA",PR!$E1197,IF(J1199="ASSENE",PR!$F1197,IF(J1199="BIOFEM",PR!$G1197,IF(J1199="BIOMED",PR!$H1197,IF(J1199="CHI",PR!$I1197,IF(J1199="CLARION",PR!$J1197,IF(J1199="CODIX",PR!$K1197,IF(J1199="COSMADE",PR!$L1197,IF(J1199="SANCON",PR!$M1197,IF(J1199="DEVON",PR!$N1197,IF(J1199="DORTEMAG",PR!$O1197,IF(J1199="DGF",PR!$P1197,IF(J1199="DYNAMIC",PR!$Q1197,IF(J1199="EMZOR",PR!$R1197,IF(J1199="EUMATT",PR!$S1197,IF(J1199="FIDSON",PR!$T1197,IF(J1199="FCGLOBAL",PR!$U1197,IF(J1199="GENEITH",PR!$V1197,IF(J1199="GINOS",PR!$W1197,IF(J1199="GSK",PR!$X1197,IF(J1199="GLOBORG",PR!$Y1197,IF(J1199="GOODNEWS",PR!$Z1197,IF(J1199="GREENLIFE",PR!$AA1197,IF(J1199="HLINE",PR!$AB1197,IF(J1199="ROTECH",PR!$AC1197,IF(J1199="ISN",PR!$AD1197,IF(J1199="JAWA",PR!$AE1197,IF(J1199="LAYO",PR!$AF1197,IF(J1199="LEADWAY",PR!$AG1197,IF(J1199="LHV",PR!$AH1197,IF(J1199="MANOLA",PR!$AI1197,IF(J1199="MARCSON",PR!$AJ1197,IF(J1199="M&amp;B",PR!$AK1197,IF(J1199="MTRUST",PR!$AL1197,IF(J1199="MWORLD",PR!$AM1197,IF(J1199="MEGA",PR!$AN1197,IF(J1199="MICRONOVA",PR!$AO1197,IF(J1199="MFLASH",PR!$AP1197,IF(J1199="MORISON",PR!$AQ1197,IF(J1199="NEMEL",PR!$AR1197,IF(J1199="NHP",PR!$AS1197,IF(J1199="NHC",PR!$AT1197,IF(J1199="OLEAF",PR!$AU1197,IF(J1199="OCULUS",PR!$AV1197,IF(J1199="PACIFIC",PR!$AW1197,IF(J1199="PHAMATEX",PR!$AX1197,IF(J1199="PETHICS",PR!$AY1197,IF(J1199="PHILIPS",PR!$AZ1197,IF(J1199="RANBAXY",PR!$BA1197,IF(J1199="REALS",PR!$BB1197,IF(J1199="ROYAL",PR!$BC1197,IF(J1199="SAM",PR!$BD1197,IF(J1199="SEAGREEN",PR!$BE1197,IF(J1199="SKG",PR!$BF1197,IF(J1199="TAH",PR!$BG1197,IF(J1199="TAYLEK",PR!$BH1197,IF(J1199="TEMITA",PR!$BI1197,IF(J1199="THL",PR!$BJ1197,IF(J1199="UBASTIC",PR!$BK1197,IF(J1199="UNION",PR!$BL1197,IF(J1199="UNIQUE",PR!$BM1197,IF(J1199="VIXA",PR!$BN1197,IF(J1199="WWCV",PR!$BO1197,IF(J1199="ZOLON",PR!$BP1197,"-"))))))))))))))))))))))))))))))))))))))))))))))))))))))))))))))))</f>
        <v>1125</v>
      </c>
      <c r="J1199" s="102" t="str">
        <f>EV!N1509</f>
        <v>DYNAMIC</v>
      </c>
      <c r="K1199" s="433" t="s">
        <v>817</v>
      </c>
      <c r="L1199" s="183">
        <f>IF(K1199&gt;0,IF(K1199="ALPHA",PR!$E1197,IF(K1199="ASSENE",PR!$F1197,IF(K1199="BIOFEM",PR!$G1197,IF(K1199="BIOMED",PR!$H1197,IF(K1199="CHI",PR!$I1197,IF(K1199="CLARION",PR!$J1197,IF(K1199="CODIX",PR!$K1197,IF(K1199="COSMADE",PR!$L1197,IF(K1199="SANCON",PR!$M1197,IF(K1199="DEVON",PR!$N1197,IF(K1199="DORTEMAG",PR!$O1197,IF(K1199="DGF",PR!$P1197,IF(K1199="DYNAMIC",PR!$Q1197,IF(K1199="EMZOR",PR!$R1197,IF(K1199="EUMATT",PR!$S1197,IF(K1199="FIDSON",PR!$T1197,IF(K1199="FCGLOBAL",PR!$U1197,IF(K1199="GENEITH",PR!$V1197,IF(K1199="GINOS",PR!$W1197,IF(K1199="GSK",PR!$X1197,IF(K1199="GLOBORG",PR!$Y1197,IF(K1199="GOODNEWS",PR!$Z1197,IF(K1199="GREENLIFE",PR!$AA1197,IF(K1199="HLINE",PR!$AB1197,IF(K1199="ROTECH",PR!$AC1197,IF(K1199="ISN",PR!$AD1197,IF(K1199="JAWA",PR!$AE1197,IF(K1199="LAYO",PR!$AF1197,IF(K1199="LEADWAY",PR!$AG1197,IF(K1199="LHV",PR!$AH1197,IF(K1199="MANOLA",PR!$AI1197,IF(K1199="MARCSON",PR!$AJ1197,IF(K1199="M&amp;B",PR!$AK1197,IF(K1199="MTRUST",PR!$AL1197,IF(K1199="MWORLD",PR!$AM1197,IF(K1199="MEGA",PR!$AN1197,IF(K1199="MICRONOVA",PR!$AO1197,IF(K1199="MFLASH",PR!$AP1197,IF(K1199="MORISON",PR!$AQ1197,IF(K1199="NEMEL",PR!$AR1197,IF(K1199="NHP",PR!$AS1197,IF(K1199="NHC",PR!$AT1197,IF(K1199="OLEAF",PR!$AU1197,IF(K1199="OCULUS",PR!$AV1197,IF(K1199="PACIFIC",PR!$AW1197,IF(K1199="PHAMATEX",PR!$AX1197,IF(K1199="PETHICS",PR!$AY1197,IF(K1199="PHILIPS",PR!$AZ1197,IF(K1199="RANBAXY",PR!$BA1197,IF(K1199="REALS",PR!$BB1197,IF(K1199="ROYAL",PR!$BC1197,IF(K1199="SAM",PR!$BD1197,IF(K1199="SEAGREEN",PR!$BE1197,IF(K1199="SKG",PR!$BF1197,IF(K1199="TAH",PR!$BG1197,IF(K1199="TAYLEK",PR!$BH1197,IF(K1199="TEMITA",PR!$BI1197,IF(K1199="THL",PR!$BJ1197,IF(K1199="UBASTIC",PR!$BK1197,IF(K1199="UNION",PR!$BL1197,IF(K1199="UNIQUE",PR!$BM1197,IF(K1199="VIXA",PR!$BN1197,IF(K1199="WWCV",PR!$BO1197,IF(K1199="ZOLON",PR!$BP1197,"-")))))))))))))))))))))))))))))))))))))))))))))))))))))))))))))))))</f>
        <v>900</v>
      </c>
    </row>
    <row r="1200" spans="1:12" ht="18.75" x14ac:dyDescent="0.3">
      <c r="A1200" s="430">
        <f>PR!A1198</f>
        <v>1076</v>
      </c>
      <c r="B1200" s="15" t="str">
        <f>PR!B1198</f>
        <v>STOP CLOCK</v>
      </c>
      <c r="C1200" s="113" t="str">
        <f>PR!D1198</f>
        <v>Pcs</v>
      </c>
      <c r="D1200" s="113">
        <f>PR!C1198</f>
        <v>2</v>
      </c>
      <c r="E1200" s="108">
        <f>IF(F1200="ALPHA",PR!$E1198,IF(F1200="ASSENE",PR!$F1198,IF(F1200="BIOFEM",PR!$G1198,IF(F1200="BIOMED",PR!$H1198,IF(F1200="CHI",PR!$I1198,IF(F1200="CLARION",PR!$J1198,IF(F1200="CODIX",PR!$K1198,IF(F1200="COSMADE",PR!$L1198,IF(F1200="SANCON",PR!$M1198,IF(F1200="DEVON",PR!$N1198,IF(F1200="DORTEMAG",PR!$O1198,IF(F1200="DGF",PR!$P1198,IF(F1200="DYNAMIC",PR!$Q1198,IF(F1200="EMZOR",PR!$R1198,IF(F1200="EUMATT",PR!$S1198,IF(F1200="FIDSON",PR!$T1198,IF(F1200="FCGLOBAL",PR!$U1198,IF(F1200="GENEITH",PR!$V1198,IF(F1200="GINOS",PR!$W1198,IF(F1200="GSK",PR!$X1198,IF(F1200="GLOBORG",PR!$Y1198,IF(F1200="GOODNEWS",PR!$Z1198,IF(F1200="GREENLIFE",PR!$AA1198,IF(F1200="HLINE",PR!$AB1198,IF(F1200="ROTECH",PR!$AC1198,IF(F1200="ISN",PR!$AD1198,IF(F1200="JAWA",PR!$AE1198,IF(F1200="LAYO",PR!$AF1198,IF(F1200="LEADWAY",PR!$AG1198,IF(F1200="LHV",PR!$AH1198,IF(F1200="MANOLA",PR!$AI1198,IF(F1200="MARCSON",PR!$AJ1198,IF(F1200="M&amp;B",PR!$AK1198,IF(F1200="MTRUST",PR!$AL1198,IF(F1200="MWORLD",PR!$AM1198,IF(F1200="MEGA",PR!$AN1198,IF(F1200="MICRONOVA",PR!$AO1198,IF(F1200="MFLASH",PR!$AP1198,IF(F1200="MORISON",PR!$AQ1198,IF(F1200="NEMEL",PR!$AR1198,IF(F1200="NHP",PR!$AS1198,IF(F1200="NHC",PR!$AT1198,IF(F1200="OLEAF",PR!$AU1198,IF(F1200="OCULUS",PR!$AV1198,IF(F1200="PACIFIC",PR!$AW1198,IF(F1200="PHAMATEX",PR!$AX1198,IF(F1200="PETHICS",PR!$AY1198,IF(F1200="PHILIPS",PR!$AZ1198,IF(F1200="RANBAXY",PR!$BA1198,IF(F1200="REALS",PR!$BB1198,IF(F1200="ROYAL",PR!$BC1198,IF(F1200="SAM",PR!$BD1198,IF(F1200="SEAGREEN",PR!$BE1198,IF(F1200="SKG",PR!$BF1198,IF(F1200="TAH",PR!$BG1198,IF(F1200="TAYLEK",PR!$BH1198,IF(F1200="TEMITA",PR!$BI1198,IF(F1200="THL",PR!$BJ1198,IF(F1200="UBASTIC",PR!$BK1198,IF(F1200="UNION",PR!$BL1198,IF(F1200="UNIQUE",PR!$BM1198,IF(F1200="VIXA",PR!$BN1198,IF(F1200="WWCV",PR!$BO1198,IF(F1200="ZOLON",PR!$BP1198,"-"))))))))))))))))))))))))))))))))))))))))))))))))))))))))))))))))</f>
        <v>3500</v>
      </c>
      <c r="F1200" s="102" t="str">
        <f>EV!L1510</f>
        <v>SANCON</v>
      </c>
      <c r="G1200" s="108">
        <f>IF(H1200="ALPHA",PR!$E1198,IF(H1200="ASSENE",PR!$F1198,IF(H1200="BIOFEM",PR!$G1198,IF(H1200="BIOMED",PR!$H1198,IF(H1200="CHI",PR!$I1198,IF(H1200="CLARION",PR!$J1198,IF(H1200="CODIX",PR!$K1198,IF(H1200="COSMADE",PR!$L1198,IF(H1200="SANCON",PR!$M1198,IF(H1200="DEVON",PR!$N1198,IF(H1200="DORTEMAG",PR!$O1198,IF(H1200="DGF",PR!$P1198,IF(H1200="DYNAMIC",PR!$Q1198,IF(H1200="EMZOR",PR!$R1198,IF(H1200="EUMATT",PR!$S1198,IF(H1200="FIDSON",PR!$T1198,IF(H1200="FCGLOBAL",PR!$U1198,IF(H1200="GENEITH",PR!$V1198,IF(H1200="GINOS",PR!$W1198,IF(H1200="GSK",PR!$X1198,IF(H1200="GLOBORG",PR!$Y1198,IF(H1200="GOODNEWS",PR!$Z1198,IF(H1200="GREENLIFE",PR!$AA1198,IF(H1200="HLINE",PR!$AB1198,IF(H1200="ROTECH",PR!$AC1198,IF(H1200="ISN",PR!$AD1198,IF(H1200="JAWA",PR!$AE1198,IF(H1200="LAYO",PR!$AF1198,IF(H1200="LEADWAY",PR!$AG1198,IF(H1200="LHV",PR!$AH1198,IF(H1200="MANOLA",PR!$AI1198,IF(H1200="MARCSON",PR!$AJ1198,IF(H1200="M&amp;B",PR!$AK1198,IF(H1200="MTRUST",PR!$AL1198,IF(H1200="MWORLD",PR!$AM1198,IF(H1200="MEGA",PR!$AN1198,IF(H1200="MICRONOVA",PR!$AO1198,IF(H1200="MFLASH",PR!$AP1198,IF(H1200="MORISON",PR!$AQ1198,IF(H1200="NEMEL",PR!$AR1198,IF(H1200="NHP",PR!$AS1198,IF(H1200="NHC",PR!$AT1198,IF(H1200="OLEAF",PR!$AU1198,IF(H1200="OCULUS",PR!$AV1198,IF(H1200="PACIFIC",PR!$AW1198,IF(H1200="PHAMATEX",PR!$AX1198,IF(H1200="PETHICS",PR!$AY1198,IF(H1200="PHILIPS",PR!$AZ1198,IF(H1200="RANBAXY",PR!$BA1198,IF(H1200="REALS",PR!$BB1198,IF(H1200="ROYAL",PR!$BC1198,IF(H1200="SAM",PR!$BD1198,IF(H1200="SEAGREEN",PR!$BE1198,IF(H1200="SKG",PR!$BF1198,IF(H1200="TAH",PR!$BG1198,IF(H1200="TAYLEK",PR!$BH1198,IF(H1200="TEMITA",PR!$BI1198,IF(H1200="THL",PR!$BJ1198,IF(H1200="UBASTIC",PR!$BK1198,IF(H1200="UNION",PR!$BL1198,IF(H1200="UNIQUE",PR!$BM1198,IF(H1200="VIXA",PR!$BN1198,IF(H1200="WWCV",PR!$BO1198,IF(H1200="ZOLON",PR!$BP1198,"-"))))))))))))))))))))))))))))))))))))))))))))))))))))))))))))))))</f>
        <v>15000</v>
      </c>
      <c r="H1200" s="102" t="str">
        <f>EV!M1510</f>
        <v>DYNAMIC</v>
      </c>
      <c r="I1200" s="108">
        <f>IF(J1200="ALPHA",PR!$E1198,IF(J1200="ASSENE",PR!$F1198,IF(J1200="BIOFEM",PR!$G1198,IF(J1200="BIOMED",PR!$H1198,IF(J1200="CHI",PR!$I1198,IF(J1200="CLARION",PR!$J1198,IF(J1200="CODIX",PR!$K1198,IF(J1200="COSMADE",PR!$L1198,IF(J1200="SANCON",PR!$M1198,IF(J1200="DEVON",PR!$N1198,IF(J1200="DORTEMAG",PR!$O1198,IF(J1200="DGF",PR!$P1198,IF(J1200="DYNAMIC",PR!$Q1198,IF(J1200="EMZOR",PR!$R1198,IF(J1200="EUMATT",PR!$S1198,IF(J1200="FIDSON",PR!$T1198,IF(J1200="FCGLOBAL",PR!$U1198,IF(J1200="GENEITH",PR!$V1198,IF(J1200="GINOS",PR!$W1198,IF(J1200="GSK",PR!$X1198,IF(J1200="GLOBORG",PR!$Y1198,IF(J1200="GOODNEWS",PR!$Z1198,IF(J1200="GREENLIFE",PR!$AA1198,IF(J1200="HLINE",PR!$AB1198,IF(J1200="ROTECH",PR!$AC1198,IF(J1200="ISN",PR!$AD1198,IF(J1200="JAWA",PR!$AE1198,IF(J1200="LAYO",PR!$AF1198,IF(J1200="LEADWAY",PR!$AG1198,IF(J1200="LHV",PR!$AH1198,IF(J1200="MANOLA",PR!$AI1198,IF(J1200="MARCSON",PR!$AJ1198,IF(J1200="M&amp;B",PR!$AK1198,IF(J1200="MTRUST",PR!$AL1198,IF(J1200="MWORLD",PR!$AM1198,IF(J1200="MEGA",PR!$AN1198,IF(J1200="MICRONOVA",PR!$AO1198,IF(J1200="MFLASH",PR!$AP1198,IF(J1200="MORISON",PR!$AQ1198,IF(J1200="NEMEL",PR!$AR1198,IF(J1200="NHP",PR!$AS1198,IF(J1200="NHC",PR!$AT1198,IF(J1200="OLEAF",PR!$AU1198,IF(J1200="OCULUS",PR!$AV1198,IF(J1200="PACIFIC",PR!$AW1198,IF(J1200="PHAMATEX",PR!$AX1198,IF(J1200="PETHICS",PR!$AY1198,IF(J1200="PHILIPS",PR!$AZ1198,IF(J1200="RANBAXY",PR!$BA1198,IF(J1200="REALS",PR!$BB1198,IF(J1200="ROYAL",PR!$BC1198,IF(J1200="SAM",PR!$BD1198,IF(J1200="SEAGREEN",PR!$BE1198,IF(J1200="SKG",PR!$BF1198,IF(J1200="TAH",PR!$BG1198,IF(J1200="TAYLEK",PR!$BH1198,IF(J1200="TEMITA",PR!$BI1198,IF(J1200="THL",PR!$BJ1198,IF(J1200="UBASTIC",PR!$BK1198,IF(J1200="UNION",PR!$BL1198,IF(J1200="UNIQUE",PR!$BM1198,IF(J1200="VIXA",PR!$BN1198,IF(J1200="WWCV",PR!$BO1198,IF(J1200="ZOLON",PR!$BP1198,"-"))))))))))))))))))))))))))))))))))))))))))))))))))))))))))))))))</f>
        <v>15600</v>
      </c>
      <c r="J1200" s="102" t="str">
        <f>EV!N1510</f>
        <v>LAYO</v>
      </c>
      <c r="K1200" s="433" t="s">
        <v>817</v>
      </c>
      <c r="L1200" s="183">
        <f>IF(K1200&gt;0,IF(K1200="ALPHA",PR!$E1198,IF(K1200="ASSENE",PR!$F1198,IF(K1200="BIOFEM",PR!$G1198,IF(K1200="BIOMED",PR!$H1198,IF(K1200="CHI",PR!$I1198,IF(K1200="CLARION",PR!$J1198,IF(K1200="CODIX",PR!$K1198,IF(K1200="COSMADE",PR!$L1198,IF(K1200="SANCON",PR!$M1198,IF(K1200="DEVON",PR!$N1198,IF(K1200="DORTEMAG",PR!$O1198,IF(K1200="DGF",PR!$P1198,IF(K1200="DYNAMIC",PR!$Q1198,IF(K1200="EMZOR",PR!$R1198,IF(K1200="EUMATT",PR!$S1198,IF(K1200="FIDSON",PR!$T1198,IF(K1200="FCGLOBAL",PR!$U1198,IF(K1200="GENEITH",PR!$V1198,IF(K1200="GINOS",PR!$W1198,IF(K1200="GSK",PR!$X1198,IF(K1200="GLOBORG",PR!$Y1198,IF(K1200="GOODNEWS",PR!$Z1198,IF(K1200="GREENLIFE",PR!$AA1198,IF(K1200="HLINE",PR!$AB1198,IF(K1200="ROTECH",PR!$AC1198,IF(K1200="ISN",PR!$AD1198,IF(K1200="JAWA",PR!$AE1198,IF(K1200="LAYO",PR!$AF1198,IF(K1200="LEADWAY",PR!$AG1198,IF(K1200="LHV",PR!$AH1198,IF(K1200="MANOLA",PR!$AI1198,IF(K1200="MARCSON",PR!$AJ1198,IF(K1200="M&amp;B",PR!$AK1198,IF(K1200="MTRUST",PR!$AL1198,IF(K1200="MWORLD",PR!$AM1198,IF(K1200="MEGA",PR!$AN1198,IF(K1200="MICRONOVA",PR!$AO1198,IF(K1200="MFLASH",PR!$AP1198,IF(K1200="MORISON",PR!$AQ1198,IF(K1200="NEMEL",PR!$AR1198,IF(K1200="NHP",PR!$AS1198,IF(K1200="NHC",PR!$AT1198,IF(K1200="OLEAF",PR!$AU1198,IF(K1200="OCULUS",PR!$AV1198,IF(K1200="PACIFIC",PR!$AW1198,IF(K1200="PHAMATEX",PR!$AX1198,IF(K1200="PETHICS",PR!$AY1198,IF(K1200="PHILIPS",PR!$AZ1198,IF(K1200="RANBAXY",PR!$BA1198,IF(K1200="REALS",PR!$BB1198,IF(K1200="ROYAL",PR!$BC1198,IF(K1200="SAM",PR!$BD1198,IF(K1200="SEAGREEN",PR!$BE1198,IF(K1200="SKG",PR!$BF1198,IF(K1200="TAH",PR!$BG1198,IF(K1200="TAYLEK",PR!$BH1198,IF(K1200="TEMITA",PR!$BI1198,IF(K1200="THL",PR!$BJ1198,IF(K1200="UBASTIC",PR!$BK1198,IF(K1200="UNION",PR!$BL1198,IF(K1200="UNIQUE",PR!$BM1198,IF(K1200="VIXA",PR!$BN1198,IF(K1200="WWCV",PR!$BO1198,IF(K1200="ZOLON",PR!$BP1198,"-")))))))))))))))))))))))))))))))))))))))))))))))))))))))))))))))))</f>
        <v>3500</v>
      </c>
    </row>
    <row r="1201" spans="1:12" ht="18.75" x14ac:dyDescent="0.3">
      <c r="A1201" s="430">
        <f>PR!A1199</f>
        <v>1077</v>
      </c>
      <c r="B1201" s="15" t="str">
        <f>PR!B1199</f>
        <v>UNIGOLD FOR HIV</v>
      </c>
      <c r="C1201" s="113" t="str">
        <f>PR!D1199</f>
        <v>Pkt</v>
      </c>
      <c r="D1201" s="113">
        <f>PR!C1199</f>
        <v>10</v>
      </c>
      <c r="E1201" s="108">
        <f>IF(F1201="ALPHA",PR!$E1199,IF(F1201="ASSENE",PR!$F1199,IF(F1201="BIOFEM",PR!$G1199,IF(F1201="BIOMED",PR!$H1199,IF(F1201="CHI",PR!$I1199,IF(F1201="CLARION",PR!$J1199,IF(F1201="CODIX",PR!$K1199,IF(F1201="COSMADE",PR!$L1199,IF(F1201="SANCON",PR!$M1199,IF(F1201="DEVON",PR!$N1199,IF(F1201="DORTEMAG",PR!$O1199,IF(F1201="DGF",PR!$P1199,IF(F1201="DYNAMIC",PR!$Q1199,IF(F1201="EMZOR",PR!$R1199,IF(F1201="EUMATT",PR!$S1199,IF(F1201="FIDSON",PR!$T1199,IF(F1201="FCGLOBAL",PR!$U1199,IF(F1201="GENEITH",PR!$V1199,IF(F1201="GINOS",PR!$W1199,IF(F1201="GSK",PR!$X1199,IF(F1201="GLOBORG",PR!$Y1199,IF(F1201="GOODNEWS",PR!$Z1199,IF(F1201="GREENLIFE",PR!$AA1199,IF(F1201="HLINE",PR!$AB1199,IF(F1201="ROTECH",PR!$AC1199,IF(F1201="ISN",PR!$AD1199,IF(F1201="JAWA",PR!$AE1199,IF(F1201="LAYO",PR!$AF1199,IF(F1201="LEADWAY",PR!$AG1199,IF(F1201="LHV",PR!$AH1199,IF(F1201="MANOLA",PR!$AI1199,IF(F1201="MARCSON",PR!$AJ1199,IF(F1201="M&amp;B",PR!$AK1199,IF(F1201="MTRUST",PR!$AL1199,IF(F1201="MWORLD",PR!$AM1199,IF(F1201="MEGA",PR!$AN1199,IF(F1201="MICRONOVA",PR!$AO1199,IF(F1201="MFLASH",PR!$AP1199,IF(F1201="MORISON",PR!$AQ1199,IF(F1201="NEMEL",PR!$AR1199,IF(F1201="NHP",PR!$AS1199,IF(F1201="NHC",PR!$AT1199,IF(F1201="OLEAF",PR!$AU1199,IF(F1201="OCULUS",PR!$AV1199,IF(F1201="PACIFIC",PR!$AW1199,IF(F1201="PHAMATEX",PR!$AX1199,IF(F1201="PETHICS",PR!$AY1199,IF(F1201="PHILIPS",PR!$AZ1199,IF(F1201="RANBAXY",PR!$BA1199,IF(F1201="REALS",PR!$BB1199,IF(F1201="ROYAL",PR!$BC1199,IF(F1201="SAM",PR!$BD1199,IF(F1201="SEAGREEN",PR!$BE1199,IF(F1201="SKG",PR!$BF1199,IF(F1201="TAH",PR!$BG1199,IF(F1201="TAYLEK",PR!$BH1199,IF(F1201="TEMITA",PR!$BI1199,IF(F1201="THL",PR!$BJ1199,IF(F1201="UBASTIC",PR!$BK1199,IF(F1201="UNION",PR!$BL1199,IF(F1201="UNIQUE",PR!$BM1199,IF(F1201="VIXA",PR!$BN1199,IF(F1201="WWCV",PR!$BO1199,IF(F1201="ZOLON",PR!$BP1199,"-"))))))))))))))))))))))))))))))))))))))))))))))))))))))))))))))))</f>
        <v>8125</v>
      </c>
      <c r="F1201" s="102" t="str">
        <f>EV!L1511</f>
        <v>DYNAMIC</v>
      </c>
      <c r="G1201" s="108">
        <f>IF(H1201="ALPHA",PR!$E1199,IF(H1201="ASSENE",PR!$F1199,IF(H1201="BIOFEM",PR!$G1199,IF(H1201="BIOMED",PR!$H1199,IF(H1201="CHI",PR!$I1199,IF(H1201="CLARION",PR!$J1199,IF(H1201="CODIX",PR!$K1199,IF(H1201="COSMADE",PR!$L1199,IF(H1201="SANCON",PR!$M1199,IF(H1201="DEVON",PR!$N1199,IF(H1201="DORTEMAG",PR!$O1199,IF(H1201="DGF",PR!$P1199,IF(H1201="DYNAMIC",PR!$Q1199,IF(H1201="EMZOR",PR!$R1199,IF(H1201="EUMATT",PR!$S1199,IF(H1201="FIDSON",PR!$T1199,IF(H1201="FCGLOBAL",PR!$U1199,IF(H1201="GENEITH",PR!$V1199,IF(H1201="GINOS",PR!$W1199,IF(H1201="GSK",PR!$X1199,IF(H1201="GLOBORG",PR!$Y1199,IF(H1201="GOODNEWS",PR!$Z1199,IF(H1201="GREENLIFE",PR!$AA1199,IF(H1201="HLINE",PR!$AB1199,IF(H1201="ROTECH",PR!$AC1199,IF(H1201="ISN",PR!$AD1199,IF(H1201="JAWA",PR!$AE1199,IF(H1201="LAYO",PR!$AF1199,IF(H1201="LEADWAY",PR!$AG1199,IF(H1201="LHV",PR!$AH1199,IF(H1201="MANOLA",PR!$AI1199,IF(H1201="MARCSON",PR!$AJ1199,IF(H1201="M&amp;B",PR!$AK1199,IF(H1201="MTRUST",PR!$AL1199,IF(H1201="MWORLD",PR!$AM1199,IF(H1201="MEGA",PR!$AN1199,IF(H1201="MICRONOVA",PR!$AO1199,IF(H1201="MFLASH",PR!$AP1199,IF(H1201="MORISON",PR!$AQ1199,IF(H1201="NEMEL",PR!$AR1199,IF(H1201="NHP",PR!$AS1199,IF(H1201="NHC",PR!$AT1199,IF(H1201="OLEAF",PR!$AU1199,IF(H1201="OCULUS",PR!$AV1199,IF(H1201="PACIFIC",PR!$AW1199,IF(H1201="PHAMATEX",PR!$AX1199,IF(H1201="PETHICS",PR!$AY1199,IF(H1201="PHILIPS",PR!$AZ1199,IF(H1201="RANBAXY",PR!$BA1199,IF(H1201="REALS",PR!$BB1199,IF(H1201="ROYAL",PR!$BC1199,IF(H1201="SAM",PR!$BD1199,IF(H1201="SEAGREEN",PR!$BE1199,IF(H1201="SKG",PR!$BF1199,IF(H1201="TAH",PR!$BG1199,IF(H1201="TAYLEK",PR!$BH1199,IF(H1201="TEMITA",PR!$BI1199,IF(H1201="THL",PR!$BJ1199,IF(H1201="UBASTIC",PR!$BK1199,IF(H1201="UNION",PR!$BL1199,IF(H1201="UNIQUE",PR!$BM1199,IF(H1201="VIXA",PR!$BN1199,IF(H1201="WWCV",PR!$BO1199,IF(H1201="ZOLON",PR!$BP1199,"-"))))))))))))))))))))))))))))))))))))))))))))))))))))))))))))))))</f>
        <v>8500</v>
      </c>
      <c r="H1201" s="102" t="str">
        <f>EV!M1511</f>
        <v>UBASTIC</v>
      </c>
      <c r="I1201" s="108">
        <f>IF(J1201="ALPHA",PR!$E1199,IF(J1201="ASSENE",PR!$F1199,IF(J1201="BIOFEM",PR!$G1199,IF(J1201="BIOMED",PR!$H1199,IF(J1201="CHI",PR!$I1199,IF(J1201="CLARION",PR!$J1199,IF(J1201="CODIX",PR!$K1199,IF(J1201="COSMADE",PR!$L1199,IF(J1201="SANCON",PR!$M1199,IF(J1201="DEVON",PR!$N1199,IF(J1201="DORTEMAG",PR!$O1199,IF(J1201="DGF",PR!$P1199,IF(J1201="DYNAMIC",PR!$Q1199,IF(J1201="EMZOR",PR!$R1199,IF(J1201="EUMATT",PR!$S1199,IF(J1201="FIDSON",PR!$T1199,IF(J1201="FCGLOBAL",PR!$U1199,IF(J1201="GENEITH",PR!$V1199,IF(J1201="GINOS",PR!$W1199,IF(J1201="GSK",PR!$X1199,IF(J1201="GLOBORG",PR!$Y1199,IF(J1201="GOODNEWS",PR!$Z1199,IF(J1201="GREENLIFE",PR!$AA1199,IF(J1201="HLINE",PR!$AB1199,IF(J1201="ROTECH",PR!$AC1199,IF(J1201="ISN",PR!$AD1199,IF(J1201="JAWA",PR!$AE1199,IF(J1201="LAYO",PR!$AF1199,IF(J1201="LEADWAY",PR!$AG1199,IF(J1201="LHV",PR!$AH1199,IF(J1201="MANOLA",PR!$AI1199,IF(J1201="MARCSON",PR!$AJ1199,IF(J1201="M&amp;B",PR!$AK1199,IF(J1201="MTRUST",PR!$AL1199,IF(J1201="MWORLD",PR!$AM1199,IF(J1201="MEGA",PR!$AN1199,IF(J1201="MICRONOVA",PR!$AO1199,IF(J1201="MFLASH",PR!$AP1199,IF(J1201="MORISON",PR!$AQ1199,IF(J1201="NEMEL",PR!$AR1199,IF(J1201="NHP",PR!$AS1199,IF(J1201="NHC",PR!$AT1199,IF(J1201="OLEAF",PR!$AU1199,IF(J1201="OCULUS",PR!$AV1199,IF(J1201="PACIFIC",PR!$AW1199,IF(J1201="PHAMATEX",PR!$AX1199,IF(J1201="PETHICS",PR!$AY1199,IF(J1201="PHILIPS",PR!$AZ1199,IF(J1201="RANBAXY",PR!$BA1199,IF(J1201="REALS",PR!$BB1199,IF(J1201="ROYAL",PR!$BC1199,IF(J1201="SAM",PR!$BD1199,IF(J1201="SEAGREEN",PR!$BE1199,IF(J1201="SKG",PR!$BF1199,IF(J1201="TAH",PR!$BG1199,IF(J1201="TAYLEK",PR!$BH1199,IF(J1201="TEMITA",PR!$BI1199,IF(J1201="THL",PR!$BJ1199,IF(J1201="UBASTIC",PR!$BK1199,IF(J1201="UNION",PR!$BL1199,IF(J1201="UNIQUE",PR!$BM1199,IF(J1201="VIXA",PR!$BN1199,IF(J1201="WWCV",PR!$BO1199,IF(J1201="ZOLON",PR!$BP1199,"-"))))))))))))))))))))))))))))))))))))))))))))))))))))))))))))))))</f>
        <v>8500</v>
      </c>
      <c r="J1201" s="102" t="str">
        <f>EV!N1511</f>
        <v>SANCON</v>
      </c>
      <c r="K1201" s="433" t="s">
        <v>1459</v>
      </c>
      <c r="L1201" s="183">
        <f>IF(K1201&gt;0,IF(K1201="ALPHA",PR!$E1199,IF(K1201="ASSENE",PR!$F1199,IF(K1201="BIOFEM",PR!$G1199,IF(K1201="BIOMED",PR!$H1199,IF(K1201="CHI",PR!$I1199,IF(K1201="CLARION",PR!$J1199,IF(K1201="CODIX",PR!$K1199,IF(K1201="COSMADE",PR!$L1199,IF(K1201="SANCON",PR!$M1199,IF(K1201="DEVON",PR!$N1199,IF(K1201="DORTEMAG",PR!$O1199,IF(K1201="DGF",PR!$P1199,IF(K1201="DYNAMIC",PR!$Q1199,IF(K1201="EMZOR",PR!$R1199,IF(K1201="EUMATT",PR!$S1199,IF(K1201="FIDSON",PR!$T1199,IF(K1201="FCGLOBAL",PR!$U1199,IF(K1201="GENEITH",PR!$V1199,IF(K1201="GINOS",PR!$W1199,IF(K1201="GSK",PR!$X1199,IF(K1201="GLOBORG",PR!$Y1199,IF(K1201="GOODNEWS",PR!$Z1199,IF(K1201="GREENLIFE",PR!$AA1199,IF(K1201="HLINE",PR!$AB1199,IF(K1201="ROTECH",PR!$AC1199,IF(K1201="ISN",PR!$AD1199,IF(K1201="JAWA",PR!$AE1199,IF(K1201="LAYO",PR!$AF1199,IF(K1201="LEADWAY",PR!$AG1199,IF(K1201="LHV",PR!$AH1199,IF(K1201="MANOLA",PR!$AI1199,IF(K1201="MARCSON",PR!$AJ1199,IF(K1201="M&amp;B",PR!$AK1199,IF(K1201="MTRUST",PR!$AL1199,IF(K1201="MWORLD",PR!$AM1199,IF(K1201="MEGA",PR!$AN1199,IF(K1201="MICRONOVA",PR!$AO1199,IF(K1201="MFLASH",PR!$AP1199,IF(K1201="MORISON",PR!$AQ1199,IF(K1201="NEMEL",PR!$AR1199,IF(K1201="NHP",PR!$AS1199,IF(K1201="NHC",PR!$AT1199,IF(K1201="OLEAF",PR!$AU1199,IF(K1201="OCULUS",PR!$AV1199,IF(K1201="PACIFIC",PR!$AW1199,IF(K1201="PHAMATEX",PR!$AX1199,IF(K1201="PETHICS",PR!$AY1199,IF(K1201="PHILIPS",PR!$AZ1199,IF(K1201="RANBAXY",PR!$BA1199,IF(K1201="REALS",PR!$BB1199,IF(K1201="ROYAL",PR!$BC1199,IF(K1201="SAM",PR!$BD1199,IF(K1201="SEAGREEN",PR!$BE1199,IF(K1201="SKG",PR!$BF1199,IF(K1201="TAH",PR!$BG1199,IF(K1201="TAYLEK",PR!$BH1199,IF(K1201="TEMITA",PR!$BI1199,IF(K1201="THL",PR!$BJ1199,IF(K1201="UBASTIC",PR!$BK1199,IF(K1201="UNION",PR!$BL1199,IF(K1201="UNIQUE",PR!$BM1199,IF(K1201="VIXA",PR!$BN1199,IF(K1201="WWCV",PR!$BO1199,IF(K1201="ZOLON",PR!$BP1199,"-")))))))))))))))))))))))))))))))))))))))))))))))))))))))))))))))))</f>
        <v>8500</v>
      </c>
    </row>
    <row r="1202" spans="1:12" ht="18.75" x14ac:dyDescent="0.3">
      <c r="A1202" s="430">
        <f>PR!A1200</f>
        <v>1078</v>
      </c>
      <c r="B1202" s="15" t="str">
        <f>PR!B1200</f>
        <v>STAR PACK FOR HIV</v>
      </c>
      <c r="C1202" s="113" t="str">
        <f>PR!D1200</f>
        <v>Pkt</v>
      </c>
      <c r="D1202" s="113">
        <f>PR!C1200</f>
        <v>5</v>
      </c>
      <c r="E1202" s="108">
        <f>IF(F1202="ALPHA",PR!$E1200,IF(F1202="ASSENE",PR!$F1200,IF(F1202="BIOFEM",PR!$G1200,IF(F1202="BIOMED",PR!$H1200,IF(F1202="CHI",PR!$I1200,IF(F1202="CLARION",PR!$J1200,IF(F1202="CODIX",PR!$K1200,IF(F1202="COSMADE",PR!$L1200,IF(F1202="SANCON",PR!$M1200,IF(F1202="DEVON",PR!$N1200,IF(F1202="DORTEMAG",PR!$O1200,IF(F1202="DGF",PR!$P1200,IF(F1202="DYNAMIC",PR!$Q1200,IF(F1202="EMZOR",PR!$R1200,IF(F1202="EUMATT",PR!$S1200,IF(F1202="FIDSON",PR!$T1200,IF(F1202="FCGLOBAL",PR!$U1200,IF(F1202="GENEITH",PR!$V1200,IF(F1202="GINOS",PR!$W1200,IF(F1202="GSK",PR!$X1200,IF(F1202="GLOBORG",PR!$Y1200,IF(F1202="GOODNEWS",PR!$Z1200,IF(F1202="GREENLIFE",PR!$AA1200,IF(F1202="HLINE",PR!$AB1200,IF(F1202="ROTECH",PR!$AC1200,IF(F1202="ISN",PR!$AD1200,IF(F1202="JAWA",PR!$AE1200,IF(F1202="LAYO",PR!$AF1200,IF(F1202="LEADWAY",PR!$AG1200,IF(F1202="LHV",PR!$AH1200,IF(F1202="MANOLA",PR!$AI1200,IF(F1202="MARCSON",PR!$AJ1200,IF(F1202="M&amp;B",PR!$AK1200,IF(F1202="MTRUST",PR!$AL1200,IF(F1202="MWORLD",PR!$AM1200,IF(F1202="MEGA",PR!$AN1200,IF(F1202="MICRONOVA",PR!$AO1200,IF(F1202="MFLASH",PR!$AP1200,IF(F1202="MORISON",PR!$AQ1200,IF(F1202="NEMEL",PR!$AR1200,IF(F1202="NHP",PR!$AS1200,IF(F1202="NHC",PR!$AT1200,IF(F1202="OLEAF",PR!$AU1200,IF(F1202="OCULUS",PR!$AV1200,IF(F1202="PACIFIC",PR!$AW1200,IF(F1202="PHAMATEX",PR!$AX1200,IF(F1202="PETHICS",PR!$AY1200,IF(F1202="PHILIPS",PR!$AZ1200,IF(F1202="RANBAXY",PR!$BA1200,IF(F1202="REALS",PR!$BB1200,IF(F1202="ROYAL",PR!$BC1200,IF(F1202="SAM",PR!$BD1200,IF(F1202="SEAGREEN",PR!$BE1200,IF(F1202="SKG",PR!$BF1200,IF(F1202="TAH",PR!$BG1200,IF(F1202="TAYLEK",PR!$BH1200,IF(F1202="TEMITA",PR!$BI1200,IF(F1202="THL",PR!$BJ1200,IF(F1202="UBASTIC",PR!$BK1200,IF(F1202="UNION",PR!$BL1200,IF(F1202="UNIQUE",PR!$BM1200,IF(F1202="VIXA",PR!$BN1200,IF(F1202="WWCV",PR!$BO1200,IF(F1202="ZOLON",PR!$BP1200,"-"))))))))))))))))))))))))))))))))))))))))))))))))))))))))))))))))</f>
        <v>18000</v>
      </c>
      <c r="F1202" s="102" t="str">
        <f>EV!L1512</f>
        <v>SANCON</v>
      </c>
      <c r="G1202" s="108">
        <f>IF(H1202="ALPHA",PR!$E1200,IF(H1202="ASSENE",PR!$F1200,IF(H1202="BIOFEM",PR!$G1200,IF(H1202="BIOMED",PR!$H1200,IF(H1202="CHI",PR!$I1200,IF(H1202="CLARION",PR!$J1200,IF(H1202="CODIX",PR!$K1200,IF(H1202="COSMADE",PR!$L1200,IF(H1202="SANCON",PR!$M1200,IF(H1202="DEVON",PR!$N1200,IF(H1202="DORTEMAG",PR!$O1200,IF(H1202="DGF",PR!$P1200,IF(H1202="DYNAMIC",PR!$Q1200,IF(H1202="EMZOR",PR!$R1200,IF(H1202="EUMATT",PR!$S1200,IF(H1202="FIDSON",PR!$T1200,IF(H1202="FCGLOBAL",PR!$U1200,IF(H1202="GENEITH",PR!$V1200,IF(H1202="GINOS",PR!$W1200,IF(H1202="GSK",PR!$X1200,IF(H1202="GLOBORG",PR!$Y1200,IF(H1202="GOODNEWS",PR!$Z1200,IF(H1202="GREENLIFE",PR!$AA1200,IF(H1202="HLINE",PR!$AB1200,IF(H1202="ROTECH",PR!$AC1200,IF(H1202="ISN",PR!$AD1200,IF(H1202="JAWA",PR!$AE1200,IF(H1202="LAYO",PR!$AF1200,IF(H1202="LEADWAY",PR!$AG1200,IF(H1202="LHV",PR!$AH1200,IF(H1202="MANOLA",PR!$AI1200,IF(H1202="MARCSON",PR!$AJ1200,IF(H1202="M&amp;B",PR!$AK1200,IF(H1202="MTRUST",PR!$AL1200,IF(H1202="MWORLD",PR!$AM1200,IF(H1202="MEGA",PR!$AN1200,IF(H1202="MICRONOVA",PR!$AO1200,IF(H1202="MFLASH",PR!$AP1200,IF(H1202="MORISON",PR!$AQ1200,IF(H1202="NEMEL",PR!$AR1200,IF(H1202="NHP",PR!$AS1200,IF(H1202="NHC",PR!$AT1200,IF(H1202="OLEAF",PR!$AU1200,IF(H1202="OCULUS",PR!$AV1200,IF(H1202="PACIFIC",PR!$AW1200,IF(H1202="PHAMATEX",PR!$AX1200,IF(H1202="PETHICS",PR!$AY1200,IF(H1202="PHILIPS",PR!$AZ1200,IF(H1202="RANBAXY",PR!$BA1200,IF(H1202="REALS",PR!$BB1200,IF(H1202="ROYAL",PR!$BC1200,IF(H1202="SAM",PR!$BD1200,IF(H1202="SEAGREEN",PR!$BE1200,IF(H1202="SKG",PR!$BF1200,IF(H1202="TAH",PR!$BG1200,IF(H1202="TAYLEK",PR!$BH1200,IF(H1202="TEMITA",PR!$BI1200,IF(H1202="THL",PR!$BJ1200,IF(H1202="UBASTIC",PR!$BK1200,IF(H1202="UNION",PR!$BL1200,IF(H1202="UNIQUE",PR!$BM1200,IF(H1202="VIXA",PR!$BN1200,IF(H1202="WWCV",PR!$BO1200,IF(H1202="ZOLON",PR!$BP1200,"-"))))))))))))))))))))))))))))))))))))))))))))))))))))))))))))))))</f>
        <v>18125</v>
      </c>
      <c r="H1202" s="102" t="str">
        <f>EV!M1512</f>
        <v>DYNAMIC</v>
      </c>
      <c r="I1202" s="108">
        <f>IF(J1202="ALPHA",PR!$E1200,IF(J1202="ASSENE",PR!$F1200,IF(J1202="BIOFEM",PR!$G1200,IF(J1202="BIOMED",PR!$H1200,IF(J1202="CHI",PR!$I1200,IF(J1202="CLARION",PR!$J1200,IF(J1202="CODIX",PR!$K1200,IF(J1202="COSMADE",PR!$L1200,IF(J1202="SANCON",PR!$M1200,IF(J1202="DEVON",PR!$N1200,IF(J1202="DORTEMAG",PR!$O1200,IF(J1202="DGF",PR!$P1200,IF(J1202="DYNAMIC",PR!$Q1200,IF(J1202="EMZOR",PR!$R1200,IF(J1202="EUMATT",PR!$S1200,IF(J1202="FIDSON",PR!$T1200,IF(J1202="FCGLOBAL",PR!$U1200,IF(J1202="GENEITH",PR!$V1200,IF(J1202="GINOS",PR!$W1200,IF(J1202="GSK",PR!$X1200,IF(J1202="GLOBORG",PR!$Y1200,IF(J1202="GOODNEWS",PR!$Z1200,IF(J1202="GREENLIFE",PR!$AA1200,IF(J1202="HLINE",PR!$AB1200,IF(J1202="ROTECH",PR!$AC1200,IF(J1202="ISN",PR!$AD1200,IF(J1202="JAWA",PR!$AE1200,IF(J1202="LAYO",PR!$AF1200,IF(J1202="LEADWAY",PR!$AG1200,IF(J1202="LHV",PR!$AH1200,IF(J1202="MANOLA",PR!$AI1200,IF(J1202="MARCSON",PR!$AJ1200,IF(J1202="M&amp;B",PR!$AK1200,IF(J1202="MTRUST",PR!$AL1200,IF(J1202="MWORLD",PR!$AM1200,IF(J1202="MEGA",PR!$AN1200,IF(J1202="MICRONOVA",PR!$AO1200,IF(J1202="MFLASH",PR!$AP1200,IF(J1202="MORISON",PR!$AQ1200,IF(J1202="NEMEL",PR!$AR1200,IF(J1202="NHP",PR!$AS1200,IF(J1202="NHC",PR!$AT1200,IF(J1202="OLEAF",PR!$AU1200,IF(J1202="OCULUS",PR!$AV1200,IF(J1202="PACIFIC",PR!$AW1200,IF(J1202="PHAMATEX",PR!$AX1200,IF(J1202="PETHICS",PR!$AY1200,IF(J1202="PHILIPS",PR!$AZ1200,IF(J1202="RANBAXY",PR!$BA1200,IF(J1202="REALS",PR!$BB1200,IF(J1202="ROYAL",PR!$BC1200,IF(J1202="SAM",PR!$BD1200,IF(J1202="SEAGREEN",PR!$BE1200,IF(J1202="SKG",PR!$BF1200,IF(J1202="TAH",PR!$BG1200,IF(J1202="TAYLEK",PR!$BH1200,IF(J1202="TEMITA",PR!$BI1200,IF(J1202="THL",PR!$BJ1200,IF(J1202="UBASTIC",PR!$BK1200,IF(J1202="UNION",PR!$BL1200,IF(J1202="UNIQUE",PR!$BM1200,IF(J1202="VIXA",PR!$BN1200,IF(J1202="WWCV",PR!$BO1200,IF(J1202="ZOLON",PR!$BP1200,"-"))))))))))))))))))))))))))))))))))))))))))))))))))))))))))))))))</f>
        <v>27300</v>
      </c>
      <c r="J1202" s="102" t="str">
        <f>EV!N1512</f>
        <v>LAYO</v>
      </c>
      <c r="K1202" s="433" t="s">
        <v>817</v>
      </c>
      <c r="L1202" s="183">
        <f>IF(K1202&gt;0,IF(K1202="ALPHA",PR!$E1200,IF(K1202="ASSENE",PR!$F1200,IF(K1202="BIOFEM",PR!$G1200,IF(K1202="BIOMED",PR!$H1200,IF(K1202="CHI",PR!$I1200,IF(K1202="CLARION",PR!$J1200,IF(K1202="CODIX",PR!$K1200,IF(K1202="COSMADE",PR!$L1200,IF(K1202="SANCON",PR!$M1200,IF(K1202="DEVON",PR!$N1200,IF(K1202="DORTEMAG",PR!$O1200,IF(K1202="DGF",PR!$P1200,IF(K1202="DYNAMIC",PR!$Q1200,IF(K1202="EMZOR",PR!$R1200,IF(K1202="EUMATT",PR!$S1200,IF(K1202="FIDSON",PR!$T1200,IF(K1202="FCGLOBAL",PR!$U1200,IF(K1202="GENEITH",PR!$V1200,IF(K1202="GINOS",PR!$W1200,IF(K1202="GSK",PR!$X1200,IF(K1202="GLOBORG",PR!$Y1200,IF(K1202="GOODNEWS",PR!$Z1200,IF(K1202="GREENLIFE",PR!$AA1200,IF(K1202="HLINE",PR!$AB1200,IF(K1202="ROTECH",PR!$AC1200,IF(K1202="ISN",PR!$AD1200,IF(K1202="JAWA",PR!$AE1200,IF(K1202="LAYO",PR!$AF1200,IF(K1202="LEADWAY",PR!$AG1200,IF(K1202="LHV",PR!$AH1200,IF(K1202="MANOLA",PR!$AI1200,IF(K1202="MARCSON",PR!$AJ1200,IF(K1202="M&amp;B",PR!$AK1200,IF(K1202="MTRUST",PR!$AL1200,IF(K1202="MWORLD",PR!$AM1200,IF(K1202="MEGA",PR!$AN1200,IF(K1202="MICRONOVA",PR!$AO1200,IF(K1202="MFLASH",PR!$AP1200,IF(K1202="MORISON",PR!$AQ1200,IF(K1202="NEMEL",PR!$AR1200,IF(K1202="NHP",PR!$AS1200,IF(K1202="NHC",PR!$AT1200,IF(K1202="OLEAF",PR!$AU1200,IF(K1202="OCULUS",PR!$AV1200,IF(K1202="PACIFIC",PR!$AW1200,IF(K1202="PHAMATEX",PR!$AX1200,IF(K1202="PETHICS",PR!$AY1200,IF(K1202="PHILIPS",PR!$AZ1200,IF(K1202="RANBAXY",PR!$BA1200,IF(K1202="REALS",PR!$BB1200,IF(K1202="ROYAL",PR!$BC1200,IF(K1202="SAM",PR!$BD1200,IF(K1202="SEAGREEN",PR!$BE1200,IF(K1202="SKG",PR!$BF1200,IF(K1202="TAH",PR!$BG1200,IF(K1202="TAYLEK",PR!$BH1200,IF(K1202="TEMITA",PR!$BI1200,IF(K1202="THL",PR!$BJ1200,IF(K1202="UBASTIC",PR!$BK1200,IF(K1202="UNION",PR!$BL1200,IF(K1202="UNIQUE",PR!$BM1200,IF(K1202="VIXA",PR!$BN1200,IF(K1202="WWCV",PR!$BO1200,IF(K1202="ZOLON",PR!$BP1200,"-")))))))))))))))))))))))))))))))))))))))))))))))))))))))))))))))))</f>
        <v>18000</v>
      </c>
    </row>
    <row r="1203" spans="1:12" ht="18.75" x14ac:dyDescent="0.3">
      <c r="A1203" s="430">
        <f>PR!A1201</f>
        <v>1079</v>
      </c>
      <c r="B1203" s="15" t="str">
        <f>PR!B1201</f>
        <v>IMMERSION OIL</v>
      </c>
      <c r="C1203" s="113" t="str">
        <f>PR!D1201</f>
        <v>Bottles</v>
      </c>
      <c r="D1203" s="113">
        <f>PR!C1201</f>
        <v>12</v>
      </c>
      <c r="E1203" s="108">
        <f>IF(F1203="ALPHA",PR!$E1201,IF(F1203="ASSENE",PR!$F1201,IF(F1203="BIOFEM",PR!$G1201,IF(F1203="BIOMED",PR!$H1201,IF(F1203="CHI",PR!$I1201,IF(F1203="CLARION",PR!$J1201,IF(F1203="CODIX",PR!$K1201,IF(F1203="COSMADE",PR!$L1201,IF(F1203="SANCON",PR!$M1201,IF(F1203="DEVON",PR!$N1201,IF(F1203="DORTEMAG",PR!$O1201,IF(F1203="DGF",PR!$P1201,IF(F1203="DYNAMIC",PR!$Q1201,IF(F1203="EMZOR",PR!$R1201,IF(F1203="EUMATT",PR!$S1201,IF(F1203="FIDSON",PR!$T1201,IF(F1203="FCGLOBAL",PR!$U1201,IF(F1203="GENEITH",PR!$V1201,IF(F1203="GINOS",PR!$W1201,IF(F1203="GSK",PR!$X1201,IF(F1203="GLOBORG",PR!$Y1201,IF(F1203="GOODNEWS",PR!$Z1201,IF(F1203="GREENLIFE",PR!$AA1201,IF(F1203="HLINE",PR!$AB1201,IF(F1203="ROTECH",PR!$AC1201,IF(F1203="ISN",PR!$AD1201,IF(F1203="JAWA",PR!$AE1201,IF(F1203="LAYO",PR!$AF1201,IF(F1203="LEADWAY",PR!$AG1201,IF(F1203="LHV",PR!$AH1201,IF(F1203="MANOLA",PR!$AI1201,IF(F1203="MARCSON",PR!$AJ1201,IF(F1203="M&amp;B",PR!$AK1201,IF(F1203="MTRUST",PR!$AL1201,IF(F1203="MWORLD",PR!$AM1201,IF(F1203="MEGA",PR!$AN1201,IF(F1203="MICRONOVA",PR!$AO1201,IF(F1203="MFLASH",PR!$AP1201,IF(F1203="MORISON",PR!$AQ1201,IF(F1203="NEMEL",PR!$AR1201,IF(F1203="NHP",PR!$AS1201,IF(F1203="NHC",PR!$AT1201,IF(F1203="OLEAF",PR!$AU1201,IF(F1203="OCULUS",PR!$AV1201,IF(F1203="PACIFIC",PR!$AW1201,IF(F1203="PHAMATEX",PR!$AX1201,IF(F1203="PETHICS",PR!$AY1201,IF(F1203="PHILIPS",PR!$AZ1201,IF(F1203="RANBAXY",PR!$BA1201,IF(F1203="REALS",PR!$BB1201,IF(F1203="ROYAL",PR!$BC1201,IF(F1203="SAM",PR!$BD1201,IF(F1203="SEAGREEN",PR!$BE1201,IF(F1203="SKG",PR!$BF1201,IF(F1203="TAH",PR!$BG1201,IF(F1203="TAYLEK",PR!$BH1201,IF(F1203="TEMITA",PR!$BI1201,IF(F1203="THL",PR!$BJ1201,IF(F1203="UBASTIC",PR!$BK1201,IF(F1203="UNION",PR!$BL1201,IF(F1203="UNIQUE",PR!$BM1201,IF(F1203="VIXA",PR!$BN1201,IF(F1203="WWCV",PR!$BO1201,IF(F1203="ZOLON",PR!$BP1201,"-"))))))))))))))))))))))))))))))))))))))))))))))))))))))))))))))))</f>
        <v>3500</v>
      </c>
      <c r="F1203" s="102" t="str">
        <f>EV!L1513</f>
        <v>TEMITA</v>
      </c>
      <c r="G1203" s="108">
        <f>IF(H1203="ALPHA",PR!$E1201,IF(H1203="ASSENE",PR!$F1201,IF(H1203="BIOFEM",PR!$G1201,IF(H1203="BIOMED",PR!$H1201,IF(H1203="CHI",PR!$I1201,IF(H1203="CLARION",PR!$J1201,IF(H1203="CODIX",PR!$K1201,IF(H1203="COSMADE",PR!$L1201,IF(H1203="SANCON",PR!$M1201,IF(H1203="DEVON",PR!$N1201,IF(H1203="DORTEMAG",PR!$O1201,IF(H1203="DGF",PR!$P1201,IF(H1203="DYNAMIC",PR!$Q1201,IF(H1203="EMZOR",PR!$R1201,IF(H1203="EUMATT",PR!$S1201,IF(H1203="FIDSON",PR!$T1201,IF(H1203="FCGLOBAL",PR!$U1201,IF(H1203="GENEITH",PR!$V1201,IF(H1203="GINOS",PR!$W1201,IF(H1203="GSK",PR!$X1201,IF(H1203="GLOBORG",PR!$Y1201,IF(H1203="GOODNEWS",PR!$Z1201,IF(H1203="GREENLIFE",PR!$AA1201,IF(H1203="HLINE",PR!$AB1201,IF(H1203="ROTECH",PR!$AC1201,IF(H1203="ISN",PR!$AD1201,IF(H1203="JAWA",PR!$AE1201,IF(H1203="LAYO",PR!$AF1201,IF(H1203="LEADWAY",PR!$AG1201,IF(H1203="LHV",PR!$AH1201,IF(H1203="MANOLA",PR!$AI1201,IF(H1203="MARCSON",PR!$AJ1201,IF(H1203="M&amp;B",PR!$AK1201,IF(H1203="MTRUST",PR!$AL1201,IF(H1203="MWORLD",PR!$AM1201,IF(H1203="MEGA",PR!$AN1201,IF(H1203="MICRONOVA",PR!$AO1201,IF(H1203="MFLASH",PR!$AP1201,IF(H1203="MORISON",PR!$AQ1201,IF(H1203="NEMEL",PR!$AR1201,IF(H1203="NHP",PR!$AS1201,IF(H1203="NHC",PR!$AT1201,IF(H1203="OLEAF",PR!$AU1201,IF(H1203="OCULUS",PR!$AV1201,IF(H1203="PACIFIC",PR!$AW1201,IF(H1203="PHAMATEX",PR!$AX1201,IF(H1203="PETHICS",PR!$AY1201,IF(H1203="PHILIPS",PR!$AZ1201,IF(H1203="RANBAXY",PR!$BA1201,IF(H1203="REALS",PR!$BB1201,IF(H1203="ROYAL",PR!$BC1201,IF(H1203="SAM",PR!$BD1201,IF(H1203="SEAGREEN",PR!$BE1201,IF(H1203="SKG",PR!$BF1201,IF(H1203="TAH",PR!$BG1201,IF(H1203="TAYLEK",PR!$BH1201,IF(H1203="TEMITA",PR!$BI1201,IF(H1203="THL",PR!$BJ1201,IF(H1203="UBASTIC",PR!$BK1201,IF(H1203="UNION",PR!$BL1201,IF(H1203="UNIQUE",PR!$BM1201,IF(H1203="VIXA",PR!$BN1201,IF(H1203="WWCV",PR!$BO1201,IF(H1203="ZOLON",PR!$BP1201,"-"))))))))))))))))))))))))))))))))))))))))))))))))))))))))))))))))</f>
        <v>4375</v>
      </c>
      <c r="H1203" s="102" t="str">
        <f>EV!M1513</f>
        <v>DYNAMIC</v>
      </c>
      <c r="I1203" s="108">
        <f>IF(J1203="ALPHA",PR!$E1201,IF(J1203="ASSENE",PR!$F1201,IF(J1203="BIOFEM",PR!$G1201,IF(J1203="BIOMED",PR!$H1201,IF(J1203="CHI",PR!$I1201,IF(J1203="CLARION",PR!$J1201,IF(J1203="CODIX",PR!$K1201,IF(J1203="COSMADE",PR!$L1201,IF(J1203="SANCON",PR!$M1201,IF(J1203="DEVON",PR!$N1201,IF(J1203="DORTEMAG",PR!$O1201,IF(J1203="DGF",PR!$P1201,IF(J1203="DYNAMIC",PR!$Q1201,IF(J1203="EMZOR",PR!$R1201,IF(J1203="EUMATT",PR!$S1201,IF(J1203="FIDSON",PR!$T1201,IF(J1203="FCGLOBAL",PR!$U1201,IF(J1203="GENEITH",PR!$V1201,IF(J1203="GINOS",PR!$W1201,IF(J1203="GSK",PR!$X1201,IF(J1203="GLOBORG",PR!$Y1201,IF(J1203="GOODNEWS",PR!$Z1201,IF(J1203="GREENLIFE",PR!$AA1201,IF(J1203="HLINE",PR!$AB1201,IF(J1203="ROTECH",PR!$AC1201,IF(J1203="ISN",PR!$AD1201,IF(J1203="JAWA",PR!$AE1201,IF(J1203="LAYO",PR!$AF1201,IF(J1203="LEADWAY",PR!$AG1201,IF(J1203="LHV",PR!$AH1201,IF(J1203="MANOLA",PR!$AI1201,IF(J1203="MARCSON",PR!$AJ1201,IF(J1203="M&amp;B",PR!$AK1201,IF(J1203="MTRUST",PR!$AL1201,IF(J1203="MWORLD",PR!$AM1201,IF(J1203="MEGA",PR!$AN1201,IF(J1203="MICRONOVA",PR!$AO1201,IF(J1203="MFLASH",PR!$AP1201,IF(J1203="MORISON",PR!$AQ1201,IF(J1203="NEMEL",PR!$AR1201,IF(J1203="NHP",PR!$AS1201,IF(J1203="NHC",PR!$AT1201,IF(J1203="OLEAF",PR!$AU1201,IF(J1203="OCULUS",PR!$AV1201,IF(J1203="PACIFIC",PR!$AW1201,IF(J1203="PHAMATEX",PR!$AX1201,IF(J1203="PETHICS",PR!$AY1201,IF(J1203="PHILIPS",PR!$AZ1201,IF(J1203="RANBAXY",PR!$BA1201,IF(J1203="REALS",PR!$BB1201,IF(J1203="ROYAL",PR!$BC1201,IF(J1203="SAM",PR!$BD1201,IF(J1203="SEAGREEN",PR!$BE1201,IF(J1203="SKG",PR!$BF1201,IF(J1203="TAH",PR!$BG1201,IF(J1203="TAYLEK",PR!$BH1201,IF(J1203="TEMITA",PR!$BI1201,IF(J1203="THL",PR!$BJ1201,IF(J1203="UBASTIC",PR!$BK1201,IF(J1203="UNION",PR!$BL1201,IF(J1203="UNIQUE",PR!$BM1201,IF(J1203="VIXA",PR!$BN1201,IF(J1203="WWCV",PR!$BO1201,IF(J1203="ZOLON",PR!$BP1201,"-"))))))))))))))))))))))))))))))))))))))))))))))))))))))))))))))))</f>
        <v>5000</v>
      </c>
      <c r="J1203" s="102" t="str">
        <f>EV!N1513</f>
        <v>UBASTIC</v>
      </c>
      <c r="K1203" s="433" t="s">
        <v>626</v>
      </c>
      <c r="L1203" s="183">
        <f>IF(K1203&gt;0,IF(K1203="ALPHA",PR!$E1201,IF(K1203="ASSENE",PR!$F1201,IF(K1203="BIOFEM",PR!$G1201,IF(K1203="BIOMED",PR!$H1201,IF(K1203="CHI",PR!$I1201,IF(K1203="CLARION",PR!$J1201,IF(K1203="CODIX",PR!$K1201,IF(K1203="COSMADE",PR!$L1201,IF(K1203="SANCON",PR!$M1201,IF(K1203="DEVON",PR!$N1201,IF(K1203="DORTEMAG",PR!$O1201,IF(K1203="DGF",PR!$P1201,IF(K1203="DYNAMIC",PR!$Q1201,IF(K1203="EMZOR",PR!$R1201,IF(K1203="EUMATT",PR!$S1201,IF(K1203="FIDSON",PR!$T1201,IF(K1203="FCGLOBAL",PR!$U1201,IF(K1203="GENEITH",PR!$V1201,IF(K1203="GINOS",PR!$W1201,IF(K1203="GSK",PR!$X1201,IF(K1203="GLOBORG",PR!$Y1201,IF(K1203="GOODNEWS",PR!$Z1201,IF(K1203="GREENLIFE",PR!$AA1201,IF(K1203="HLINE",PR!$AB1201,IF(K1203="ROTECH",PR!$AC1201,IF(K1203="ISN",PR!$AD1201,IF(K1203="JAWA",PR!$AE1201,IF(K1203="LAYO",PR!$AF1201,IF(K1203="LEADWAY",PR!$AG1201,IF(K1203="LHV",PR!$AH1201,IF(K1203="MANOLA",PR!$AI1201,IF(K1203="MARCSON",PR!$AJ1201,IF(K1203="M&amp;B",PR!$AK1201,IF(K1203="MTRUST",PR!$AL1201,IF(K1203="MWORLD",PR!$AM1201,IF(K1203="MEGA",PR!$AN1201,IF(K1203="MICRONOVA",PR!$AO1201,IF(K1203="MFLASH",PR!$AP1201,IF(K1203="MORISON",PR!$AQ1201,IF(K1203="NEMEL",PR!$AR1201,IF(K1203="NHP",PR!$AS1201,IF(K1203="NHC",PR!$AT1201,IF(K1203="OLEAF",PR!$AU1201,IF(K1203="OCULUS",PR!$AV1201,IF(K1203="PACIFIC",PR!$AW1201,IF(K1203="PHAMATEX",PR!$AX1201,IF(K1203="PETHICS",PR!$AY1201,IF(K1203="PHILIPS",PR!$AZ1201,IF(K1203="RANBAXY",PR!$BA1201,IF(K1203="REALS",PR!$BB1201,IF(K1203="ROYAL",PR!$BC1201,IF(K1203="SAM",PR!$BD1201,IF(K1203="SEAGREEN",PR!$BE1201,IF(K1203="SKG",PR!$BF1201,IF(K1203="TAH",PR!$BG1201,IF(K1203="TAYLEK",PR!$BH1201,IF(K1203="TEMITA",PR!$BI1201,IF(K1203="THL",PR!$BJ1201,IF(K1203="UBASTIC",PR!$BK1201,IF(K1203="UNION",PR!$BL1201,IF(K1203="UNIQUE",PR!$BM1201,IF(K1203="VIXA",PR!$BN1201,IF(K1203="WWCV",PR!$BO1201,IF(K1203="ZOLON",PR!$BP1201,"-")))))))))))))))))))))))))))))))))))))))))))))))))))))))))))))))))</f>
        <v>4375</v>
      </c>
    </row>
    <row r="1204" spans="1:12" ht="18.75" x14ac:dyDescent="0.3">
      <c r="A1204" s="430">
        <f>PR!A1202</f>
        <v>1080</v>
      </c>
      <c r="B1204" s="15" t="str">
        <f>PR!B1202</f>
        <v>COVER SLIP</v>
      </c>
      <c r="C1204" s="113" t="str">
        <f>PR!D1202</f>
        <v>1 x 10</v>
      </c>
      <c r="D1204" s="113">
        <f>PR!C1202</f>
        <v>10</v>
      </c>
      <c r="E1204" s="108">
        <f>IF(F1204="ALPHA",PR!$E1202,IF(F1204="ASSENE",PR!$F1202,IF(F1204="BIOFEM",PR!$G1202,IF(F1204="BIOMED",PR!$H1202,IF(F1204="CHI",PR!$I1202,IF(F1204="CLARION",PR!$J1202,IF(F1204="CODIX",PR!$K1202,IF(F1204="COSMADE",PR!$L1202,IF(F1204="SANCON",PR!$M1202,IF(F1204="DEVON",PR!$N1202,IF(F1204="DORTEMAG",PR!$O1202,IF(F1204="DGF",PR!$P1202,IF(F1204="DYNAMIC",PR!$Q1202,IF(F1204="EMZOR",PR!$R1202,IF(F1204="EUMATT",PR!$S1202,IF(F1204="FIDSON",PR!$T1202,IF(F1204="FCGLOBAL",PR!$U1202,IF(F1204="GENEITH",PR!$V1202,IF(F1204="GINOS",PR!$W1202,IF(F1204="GSK",PR!$X1202,IF(F1204="GLOBORG",PR!$Y1202,IF(F1204="GOODNEWS",PR!$Z1202,IF(F1204="GREENLIFE",PR!$AA1202,IF(F1204="HLINE",PR!$AB1202,IF(F1204="ROTECH",PR!$AC1202,IF(F1204="ISN",PR!$AD1202,IF(F1204="JAWA",PR!$AE1202,IF(F1204="LAYO",PR!$AF1202,IF(F1204="LEADWAY",PR!$AG1202,IF(F1204="LHV",PR!$AH1202,IF(F1204="MANOLA",PR!$AI1202,IF(F1204="MARCSON",PR!$AJ1202,IF(F1204="M&amp;B",PR!$AK1202,IF(F1204="MTRUST",PR!$AL1202,IF(F1204="MWORLD",PR!$AM1202,IF(F1204="MEGA",PR!$AN1202,IF(F1204="MICRONOVA",PR!$AO1202,IF(F1204="MFLASH",PR!$AP1202,IF(F1204="MORISON",PR!$AQ1202,IF(F1204="NEMEL",PR!$AR1202,IF(F1204="NHP",PR!$AS1202,IF(F1204="NHC",PR!$AT1202,IF(F1204="OLEAF",PR!$AU1202,IF(F1204="OCULUS",PR!$AV1202,IF(F1204="PACIFIC",PR!$AW1202,IF(F1204="PHAMATEX",PR!$AX1202,IF(F1204="PETHICS",PR!$AY1202,IF(F1204="PHILIPS",PR!$AZ1202,IF(F1204="RANBAXY",PR!$BA1202,IF(F1204="REALS",PR!$BB1202,IF(F1204="ROYAL",PR!$BC1202,IF(F1204="SAM",PR!$BD1202,IF(F1204="SEAGREEN",PR!$BE1202,IF(F1204="SKG",PR!$BF1202,IF(F1204="TAH",PR!$BG1202,IF(F1204="TAYLEK",PR!$BH1202,IF(F1204="TEMITA",PR!$BI1202,IF(F1204="THL",PR!$BJ1202,IF(F1204="UBASTIC",PR!$BK1202,IF(F1204="UNION",PR!$BL1202,IF(F1204="UNIQUE",PR!$BM1202,IF(F1204="VIXA",PR!$BN1202,IF(F1204="WWCV",PR!$BO1202,IF(F1204="ZOLON",PR!$BP1202,"-"))))))))))))))))))))))))))))))))))))))))))))))))))))))))))))))))</f>
        <v>5500</v>
      </c>
      <c r="F1204" s="102" t="str">
        <f>EV!L1514</f>
        <v>TEMITA</v>
      </c>
      <c r="G1204" s="108">
        <f>IF(H1204="ALPHA",PR!$E1202,IF(H1204="ASSENE",PR!$F1202,IF(H1204="BIOFEM",PR!$G1202,IF(H1204="BIOMED",PR!$H1202,IF(H1204="CHI",PR!$I1202,IF(H1204="CLARION",PR!$J1202,IF(H1204="CODIX",PR!$K1202,IF(H1204="COSMADE",PR!$L1202,IF(H1204="SANCON",PR!$M1202,IF(H1204="DEVON",PR!$N1202,IF(H1204="DORTEMAG",PR!$O1202,IF(H1204="DGF",PR!$P1202,IF(H1204="DYNAMIC",PR!$Q1202,IF(H1204="EMZOR",PR!$R1202,IF(H1204="EUMATT",PR!$S1202,IF(H1204="FIDSON",PR!$T1202,IF(H1204="FCGLOBAL",PR!$U1202,IF(H1204="GENEITH",PR!$V1202,IF(H1204="GINOS",PR!$W1202,IF(H1204="GSK",PR!$X1202,IF(H1204="GLOBORG",PR!$Y1202,IF(H1204="GOODNEWS",PR!$Z1202,IF(H1204="GREENLIFE",PR!$AA1202,IF(H1204="HLINE",PR!$AB1202,IF(H1204="ROTECH",PR!$AC1202,IF(H1204="ISN",PR!$AD1202,IF(H1204="JAWA",PR!$AE1202,IF(H1204="LAYO",PR!$AF1202,IF(H1204="LEADWAY",PR!$AG1202,IF(H1204="LHV",PR!$AH1202,IF(H1204="MANOLA",PR!$AI1202,IF(H1204="MARCSON",PR!$AJ1202,IF(H1204="M&amp;B",PR!$AK1202,IF(H1204="MTRUST",PR!$AL1202,IF(H1204="MWORLD",PR!$AM1202,IF(H1204="MEGA",PR!$AN1202,IF(H1204="MICRONOVA",PR!$AO1202,IF(H1204="MFLASH",PR!$AP1202,IF(H1204="MORISON",PR!$AQ1202,IF(H1204="NEMEL",PR!$AR1202,IF(H1204="NHP",PR!$AS1202,IF(H1204="NHC",PR!$AT1202,IF(H1204="OLEAF",PR!$AU1202,IF(H1204="OCULUS",PR!$AV1202,IF(H1204="PACIFIC",PR!$AW1202,IF(H1204="PHAMATEX",PR!$AX1202,IF(H1204="PETHICS",PR!$AY1202,IF(H1204="PHILIPS",PR!$AZ1202,IF(H1204="RANBAXY",PR!$BA1202,IF(H1204="REALS",PR!$BB1202,IF(H1204="ROYAL",PR!$BC1202,IF(H1204="SAM",PR!$BD1202,IF(H1204="SEAGREEN",PR!$BE1202,IF(H1204="SKG",PR!$BF1202,IF(H1204="TAH",PR!$BG1202,IF(H1204="TAYLEK",PR!$BH1202,IF(H1204="TEMITA",PR!$BI1202,IF(H1204="THL",PR!$BJ1202,IF(H1204="UBASTIC",PR!$BK1202,IF(H1204="UNION",PR!$BL1202,IF(H1204="UNIQUE",PR!$BM1202,IF(H1204="VIXA",PR!$BN1202,IF(H1204="WWCV",PR!$BO1202,IF(H1204="ZOLON",PR!$BP1202,"-"))))))))))))))))))))))))))))))))))))))))))))))))))))))))))))))))</f>
        <v>6875</v>
      </c>
      <c r="H1204" s="102" t="str">
        <f>EV!M1514</f>
        <v>DYNAMIC</v>
      </c>
      <c r="I1204" s="108">
        <f>IF(J1204="ALPHA",PR!$E1202,IF(J1204="ASSENE",PR!$F1202,IF(J1204="BIOFEM",PR!$G1202,IF(J1204="BIOMED",PR!$H1202,IF(J1204="CHI",PR!$I1202,IF(J1204="CLARION",PR!$J1202,IF(J1204="CODIX",PR!$K1202,IF(J1204="COSMADE",PR!$L1202,IF(J1204="SANCON",PR!$M1202,IF(J1204="DEVON",PR!$N1202,IF(J1204="DORTEMAG",PR!$O1202,IF(J1204="DGF",PR!$P1202,IF(J1204="DYNAMIC",PR!$Q1202,IF(J1204="EMZOR",PR!$R1202,IF(J1204="EUMATT",PR!$S1202,IF(J1204="FIDSON",PR!$T1202,IF(J1204="FCGLOBAL",PR!$U1202,IF(J1204="GENEITH",PR!$V1202,IF(J1204="GINOS",PR!$W1202,IF(J1204="GSK",PR!$X1202,IF(J1204="GLOBORG",PR!$Y1202,IF(J1204="GOODNEWS",PR!$Z1202,IF(J1204="GREENLIFE",PR!$AA1202,IF(J1204="HLINE",PR!$AB1202,IF(J1204="ROTECH",PR!$AC1202,IF(J1204="ISN",PR!$AD1202,IF(J1204="JAWA",PR!$AE1202,IF(J1204="LAYO",PR!$AF1202,IF(J1204="LEADWAY",PR!$AG1202,IF(J1204="LHV",PR!$AH1202,IF(J1204="MANOLA",PR!$AI1202,IF(J1204="MARCSON",PR!$AJ1202,IF(J1204="M&amp;B",PR!$AK1202,IF(J1204="MTRUST",PR!$AL1202,IF(J1204="MWORLD",PR!$AM1202,IF(J1204="MEGA",PR!$AN1202,IF(J1204="MICRONOVA",PR!$AO1202,IF(J1204="MFLASH",PR!$AP1202,IF(J1204="MORISON",PR!$AQ1202,IF(J1204="NEMEL",PR!$AR1202,IF(J1204="NHP",PR!$AS1202,IF(J1204="NHC",PR!$AT1202,IF(J1204="OLEAF",PR!$AU1202,IF(J1204="OCULUS",PR!$AV1202,IF(J1204="PACIFIC",PR!$AW1202,IF(J1204="PHAMATEX",PR!$AX1202,IF(J1204="PETHICS",PR!$AY1202,IF(J1204="PHILIPS",PR!$AZ1202,IF(J1204="RANBAXY",PR!$BA1202,IF(J1204="REALS",PR!$BB1202,IF(J1204="ROYAL",PR!$BC1202,IF(J1204="SAM",PR!$BD1202,IF(J1204="SEAGREEN",PR!$BE1202,IF(J1204="SKG",PR!$BF1202,IF(J1204="TAH",PR!$BG1202,IF(J1204="TAYLEK",PR!$BH1202,IF(J1204="TEMITA",PR!$BI1202,IF(J1204="THL",PR!$BJ1202,IF(J1204="UBASTIC",PR!$BK1202,IF(J1204="UNION",PR!$BL1202,IF(J1204="UNIQUE",PR!$BM1202,IF(J1204="VIXA",PR!$BN1202,IF(J1204="WWCV",PR!$BO1202,IF(J1204="ZOLON",PR!$BP1202,"-"))))))))))))))))))))))))))))))))))))))))))))))))))))))))))))))))</f>
        <v>7200</v>
      </c>
      <c r="J1204" s="102" t="str">
        <f>EV!N1514</f>
        <v>SANCON</v>
      </c>
      <c r="K1204" s="433" t="s">
        <v>1463</v>
      </c>
      <c r="L1204" s="183">
        <f>IF(K1204&gt;0,IF(K1204="ALPHA",PR!$E1202,IF(K1204="ASSENE",PR!$F1202,IF(K1204="BIOFEM",PR!$G1202,IF(K1204="BIOMED",PR!$H1202,IF(K1204="CHI",PR!$I1202,IF(K1204="CLARION",PR!$J1202,IF(K1204="CODIX",PR!$K1202,IF(K1204="COSMADE",PR!$L1202,IF(K1204="SANCON",PR!$M1202,IF(K1204="DEVON",PR!$N1202,IF(K1204="DORTEMAG",PR!$O1202,IF(K1204="DGF",PR!$P1202,IF(K1204="DYNAMIC",PR!$Q1202,IF(K1204="EMZOR",PR!$R1202,IF(K1204="EUMATT",PR!$S1202,IF(K1204="FIDSON",PR!$T1202,IF(K1204="FCGLOBAL",PR!$U1202,IF(K1204="GENEITH",PR!$V1202,IF(K1204="GINOS",PR!$W1202,IF(K1204="GSK",PR!$X1202,IF(K1204="GLOBORG",PR!$Y1202,IF(K1204="GOODNEWS",PR!$Z1202,IF(K1204="GREENLIFE",PR!$AA1202,IF(K1204="HLINE",PR!$AB1202,IF(K1204="ROTECH",PR!$AC1202,IF(K1204="ISN",PR!$AD1202,IF(K1204="JAWA",PR!$AE1202,IF(K1204="LAYO",PR!$AF1202,IF(K1204="LEADWAY",PR!$AG1202,IF(K1204="LHV",PR!$AH1202,IF(K1204="MANOLA",PR!$AI1202,IF(K1204="MARCSON",PR!$AJ1202,IF(K1204="M&amp;B",PR!$AK1202,IF(K1204="MTRUST",PR!$AL1202,IF(K1204="MWORLD",PR!$AM1202,IF(K1204="MEGA",PR!$AN1202,IF(K1204="MICRONOVA",PR!$AO1202,IF(K1204="MFLASH",PR!$AP1202,IF(K1204="MORISON",PR!$AQ1202,IF(K1204="NEMEL",PR!$AR1202,IF(K1204="NHP",PR!$AS1202,IF(K1204="NHC",PR!$AT1202,IF(K1204="OLEAF",PR!$AU1202,IF(K1204="OCULUS",PR!$AV1202,IF(K1204="PACIFIC",PR!$AW1202,IF(K1204="PHAMATEX",PR!$AX1202,IF(K1204="PETHICS",PR!$AY1202,IF(K1204="PHILIPS",PR!$AZ1202,IF(K1204="RANBAXY",PR!$BA1202,IF(K1204="REALS",PR!$BB1202,IF(K1204="ROYAL",PR!$BC1202,IF(K1204="SAM",PR!$BD1202,IF(K1204="SEAGREEN",PR!$BE1202,IF(K1204="SKG",PR!$BF1202,IF(K1204="TAH",PR!$BG1202,IF(K1204="TAYLEK",PR!$BH1202,IF(K1204="TEMITA",PR!$BI1202,IF(K1204="THL",PR!$BJ1202,IF(K1204="UBASTIC",PR!$BK1202,IF(K1204="UNION",PR!$BL1202,IF(K1204="UNIQUE",PR!$BM1202,IF(K1204="VIXA",PR!$BN1202,IF(K1204="WWCV",PR!$BO1202,IF(K1204="ZOLON",PR!$BP1202,"-")))))))))))))))))))))))))))))))))))))))))))))))))))))))))))))))))</f>
        <v>5500</v>
      </c>
    </row>
    <row r="1205" spans="1:12" ht="18.75" x14ac:dyDescent="0.3">
      <c r="A1205" s="430">
        <f>PR!A1203</f>
        <v>1081</v>
      </c>
      <c r="B1205" s="15" t="str">
        <f>PR!B1203</f>
        <v>HEPARINIZED CAPILLARY TUBE</v>
      </c>
      <c r="C1205" s="113" t="str">
        <f>PR!D1203</f>
        <v>1 x 10</v>
      </c>
      <c r="D1205" s="113">
        <f>PR!C1203</f>
        <v>12</v>
      </c>
      <c r="E1205" s="108">
        <f>IF(F1205="ALPHA",PR!$E1203,IF(F1205="ASSENE",PR!$F1203,IF(F1205="BIOFEM",PR!$G1203,IF(F1205="BIOMED",PR!$H1203,IF(F1205="CHI",PR!$I1203,IF(F1205="CLARION",PR!$J1203,IF(F1205="CODIX",PR!$K1203,IF(F1205="COSMADE",PR!$L1203,IF(F1205="SANCON",PR!$M1203,IF(F1205="DEVON",PR!$N1203,IF(F1205="DORTEMAG",PR!$O1203,IF(F1205="DGF",PR!$P1203,IF(F1205="DYNAMIC",PR!$Q1203,IF(F1205="EMZOR",PR!$R1203,IF(F1205="EUMATT",PR!$S1203,IF(F1205="FIDSON",PR!$T1203,IF(F1205="FCGLOBAL",PR!$U1203,IF(F1205="GENEITH",PR!$V1203,IF(F1205="GINOS",PR!$W1203,IF(F1205="GSK",PR!$X1203,IF(F1205="GLOBORG",PR!$Y1203,IF(F1205="GOODNEWS",PR!$Z1203,IF(F1205="GREENLIFE",PR!$AA1203,IF(F1205="HLINE",PR!$AB1203,IF(F1205="ROTECH",PR!$AC1203,IF(F1205="ISN",PR!$AD1203,IF(F1205="JAWA",PR!$AE1203,IF(F1205="LAYO",PR!$AF1203,IF(F1205="LEADWAY",PR!$AG1203,IF(F1205="LHV",PR!$AH1203,IF(F1205="MANOLA",PR!$AI1203,IF(F1205="MARCSON",PR!$AJ1203,IF(F1205="M&amp;B",PR!$AK1203,IF(F1205="MTRUST",PR!$AL1203,IF(F1205="MWORLD",PR!$AM1203,IF(F1205="MEGA",PR!$AN1203,IF(F1205="MICRONOVA",PR!$AO1203,IF(F1205="MFLASH",PR!$AP1203,IF(F1205="MORISON",PR!$AQ1203,IF(F1205="NEMEL",PR!$AR1203,IF(F1205="NHP",PR!$AS1203,IF(F1205="NHC",PR!$AT1203,IF(F1205="OLEAF",PR!$AU1203,IF(F1205="OCULUS",PR!$AV1203,IF(F1205="PACIFIC",PR!$AW1203,IF(F1205="PHAMATEX",PR!$AX1203,IF(F1205="PETHICS",PR!$AY1203,IF(F1205="PHILIPS",PR!$AZ1203,IF(F1205="RANBAXY",PR!$BA1203,IF(F1205="REALS",PR!$BB1203,IF(F1205="ROYAL",PR!$BC1203,IF(F1205="SAM",PR!$BD1203,IF(F1205="SEAGREEN",PR!$BE1203,IF(F1205="SKG",PR!$BF1203,IF(F1205="TAH",PR!$BG1203,IF(F1205="TAYLEK",PR!$BH1203,IF(F1205="TEMITA",PR!$BI1203,IF(F1205="THL",PR!$BJ1203,IF(F1205="UBASTIC",PR!$BK1203,IF(F1205="UNION",PR!$BL1203,IF(F1205="UNIQUE",PR!$BM1203,IF(F1205="VIXA",PR!$BN1203,IF(F1205="WWCV",PR!$BO1203,IF(F1205="ZOLON",PR!$BP1203,"-"))))))))))))))))))))))))))))))))))))))))))))))))))))))))))))))))</f>
        <v>5625</v>
      </c>
      <c r="F1205" s="102" t="str">
        <f>EV!L1540</f>
        <v>TEMITA</v>
      </c>
      <c r="G1205" s="108">
        <f>IF(H1205="ALPHA",PR!$E1203,IF(H1205="ASSENE",PR!$F1203,IF(H1205="BIOFEM",PR!$G1203,IF(H1205="BIOMED",PR!$H1203,IF(H1205="CHI",PR!$I1203,IF(H1205="CLARION",PR!$J1203,IF(H1205="CODIX",PR!$K1203,IF(H1205="COSMADE",PR!$L1203,IF(H1205="SANCON",PR!$M1203,IF(H1205="DEVON",PR!$N1203,IF(H1205="DORTEMAG",PR!$O1203,IF(H1205="DGF",PR!$P1203,IF(H1205="DYNAMIC",PR!$Q1203,IF(H1205="EMZOR",PR!$R1203,IF(H1205="EUMATT",PR!$S1203,IF(H1205="FIDSON",PR!$T1203,IF(H1205="FCGLOBAL",PR!$U1203,IF(H1205="GENEITH",PR!$V1203,IF(H1205="GINOS",PR!$W1203,IF(H1205="GSK",PR!$X1203,IF(H1205="GLOBORG",PR!$Y1203,IF(H1205="GOODNEWS",PR!$Z1203,IF(H1205="GREENLIFE",PR!$AA1203,IF(H1205="HLINE",PR!$AB1203,IF(H1205="ROTECH",PR!$AC1203,IF(H1205="ISN",PR!$AD1203,IF(H1205="JAWA",PR!$AE1203,IF(H1205="LAYO",PR!$AF1203,IF(H1205="LEADWAY",PR!$AG1203,IF(H1205="LHV",PR!$AH1203,IF(H1205="MANOLA",PR!$AI1203,IF(H1205="MARCSON",PR!$AJ1203,IF(H1205="M&amp;B",PR!$AK1203,IF(H1205="MTRUST",PR!$AL1203,IF(H1205="MWORLD",PR!$AM1203,IF(H1205="MEGA",PR!$AN1203,IF(H1205="MICRONOVA",PR!$AO1203,IF(H1205="MFLASH",PR!$AP1203,IF(H1205="MORISON",PR!$AQ1203,IF(H1205="NEMEL",PR!$AR1203,IF(H1205="NHP",PR!$AS1203,IF(H1205="NHC",PR!$AT1203,IF(H1205="OLEAF",PR!$AU1203,IF(H1205="OCULUS",PR!$AV1203,IF(H1205="PACIFIC",PR!$AW1203,IF(H1205="PHAMATEX",PR!$AX1203,IF(H1205="PETHICS",PR!$AY1203,IF(H1205="PHILIPS",PR!$AZ1203,IF(H1205="RANBAXY",PR!$BA1203,IF(H1205="REALS",PR!$BB1203,IF(H1205="ROYAL",PR!$BC1203,IF(H1205="SAM",PR!$BD1203,IF(H1205="SEAGREEN",PR!$BE1203,IF(H1205="SKG",PR!$BF1203,IF(H1205="TAH",PR!$BG1203,IF(H1205="TAYLEK",PR!$BH1203,IF(H1205="TEMITA",PR!$BI1203,IF(H1205="THL",PR!$BJ1203,IF(H1205="UBASTIC",PR!$BK1203,IF(H1205="UNION",PR!$BL1203,IF(H1205="UNIQUE",PR!$BM1203,IF(H1205="VIXA",PR!$BN1203,IF(H1205="WWCV",PR!$BO1203,IF(H1205="ZOLON",PR!$BP1203,"-"))))))))))))))))))))))))))))))))))))))))))))))))))))))))))))))))</f>
        <v>7500</v>
      </c>
      <c r="H1205" s="102" t="str">
        <f>EV!M1540</f>
        <v>UBASTIC</v>
      </c>
      <c r="I1205" s="108">
        <f>IF(J1205="ALPHA",PR!$E1203,IF(J1205="ASSENE",PR!$F1203,IF(J1205="BIOFEM",PR!$G1203,IF(J1205="BIOMED",PR!$H1203,IF(J1205="CHI",PR!$I1203,IF(J1205="CLARION",PR!$J1203,IF(J1205="CODIX",PR!$K1203,IF(J1205="COSMADE",PR!$L1203,IF(J1205="SANCON",PR!$M1203,IF(J1205="DEVON",PR!$N1203,IF(J1205="DORTEMAG",PR!$O1203,IF(J1205="DGF",PR!$P1203,IF(J1205="DYNAMIC",PR!$Q1203,IF(J1205="EMZOR",PR!$R1203,IF(J1205="EUMATT",PR!$S1203,IF(J1205="FIDSON",PR!$T1203,IF(J1205="FCGLOBAL",PR!$U1203,IF(J1205="GENEITH",PR!$V1203,IF(J1205="GINOS",PR!$W1203,IF(J1205="GSK",PR!$X1203,IF(J1205="GLOBORG",PR!$Y1203,IF(J1205="GOODNEWS",PR!$Z1203,IF(J1205="GREENLIFE",PR!$AA1203,IF(J1205="HLINE",PR!$AB1203,IF(J1205="ROTECH",PR!$AC1203,IF(J1205="ISN",PR!$AD1203,IF(J1205="JAWA",PR!$AE1203,IF(J1205="LAYO",PR!$AF1203,IF(J1205="LEADWAY",PR!$AG1203,IF(J1205="LHV",PR!$AH1203,IF(J1205="MANOLA",PR!$AI1203,IF(J1205="MARCSON",PR!$AJ1203,IF(J1205="M&amp;B",PR!$AK1203,IF(J1205="MTRUST",PR!$AL1203,IF(J1205="MWORLD",PR!$AM1203,IF(J1205="MEGA",PR!$AN1203,IF(J1205="MICRONOVA",PR!$AO1203,IF(J1205="MFLASH",PR!$AP1203,IF(J1205="MORISON",PR!$AQ1203,IF(J1205="NEMEL",PR!$AR1203,IF(J1205="NHP",PR!$AS1203,IF(J1205="NHC",PR!$AT1203,IF(J1205="OLEAF",PR!$AU1203,IF(J1205="OCULUS",PR!$AV1203,IF(J1205="PACIFIC",PR!$AW1203,IF(J1205="PHAMATEX",PR!$AX1203,IF(J1205="PETHICS",PR!$AY1203,IF(J1205="PHILIPS",PR!$AZ1203,IF(J1205="RANBAXY",PR!$BA1203,IF(J1205="REALS",PR!$BB1203,IF(J1205="ROYAL",PR!$BC1203,IF(J1205="SAM",PR!$BD1203,IF(J1205="SEAGREEN",PR!$BE1203,IF(J1205="SKG",PR!$BF1203,IF(J1205="TAH",PR!$BG1203,IF(J1205="TAYLEK",PR!$BH1203,IF(J1205="TEMITA",PR!$BI1203,IF(J1205="THL",PR!$BJ1203,IF(J1205="UBASTIC",PR!$BK1203,IF(J1205="UNION",PR!$BL1203,IF(J1205="UNIQUE",PR!$BM1203,IF(J1205="VIXA",PR!$BN1203,IF(J1205="WWCV",PR!$BO1203,IF(J1205="ZOLON",PR!$BP1203,"-"))))))))))))))))))))))))))))))))))))))))))))))))))))))))))))))))</f>
        <v>7200</v>
      </c>
      <c r="J1205" s="102" t="str">
        <f>EV!N1540</f>
        <v>SANCON</v>
      </c>
      <c r="K1205" s="433" t="s">
        <v>1463</v>
      </c>
      <c r="L1205" s="183">
        <f>IF(K1205&gt;0,IF(K1205="ALPHA",PR!$E1203,IF(K1205="ASSENE",PR!$F1203,IF(K1205="BIOFEM",PR!$G1203,IF(K1205="BIOMED",PR!$H1203,IF(K1205="CHI",PR!$I1203,IF(K1205="CLARION",PR!$J1203,IF(K1205="CODIX",PR!$K1203,IF(K1205="COSMADE",PR!$L1203,IF(K1205="SANCON",PR!$M1203,IF(K1205="DEVON",PR!$N1203,IF(K1205="DORTEMAG",PR!$O1203,IF(K1205="DGF",PR!$P1203,IF(K1205="DYNAMIC",PR!$Q1203,IF(K1205="EMZOR",PR!$R1203,IF(K1205="EUMATT",PR!$S1203,IF(K1205="FIDSON",PR!$T1203,IF(K1205="FCGLOBAL",PR!$U1203,IF(K1205="GENEITH",PR!$V1203,IF(K1205="GINOS",PR!$W1203,IF(K1205="GSK",PR!$X1203,IF(K1205="GLOBORG",PR!$Y1203,IF(K1205="GOODNEWS",PR!$Z1203,IF(K1205="GREENLIFE",PR!$AA1203,IF(K1205="HLINE",PR!$AB1203,IF(K1205="ROTECH",PR!$AC1203,IF(K1205="ISN",PR!$AD1203,IF(K1205="JAWA",PR!$AE1203,IF(K1205="LAYO",PR!$AF1203,IF(K1205="LEADWAY",PR!$AG1203,IF(K1205="LHV",PR!$AH1203,IF(K1205="MANOLA",PR!$AI1203,IF(K1205="MARCSON",PR!$AJ1203,IF(K1205="M&amp;B",PR!$AK1203,IF(K1205="MTRUST",PR!$AL1203,IF(K1205="MWORLD",PR!$AM1203,IF(K1205="MEGA",PR!$AN1203,IF(K1205="MICRONOVA",PR!$AO1203,IF(K1205="MFLASH",PR!$AP1203,IF(K1205="MORISON",PR!$AQ1203,IF(K1205="NEMEL",PR!$AR1203,IF(K1205="NHP",PR!$AS1203,IF(K1205="NHC",PR!$AT1203,IF(K1205="OLEAF",PR!$AU1203,IF(K1205="OCULUS",PR!$AV1203,IF(K1205="PACIFIC",PR!$AW1203,IF(K1205="PHAMATEX",PR!$AX1203,IF(K1205="PETHICS",PR!$AY1203,IF(K1205="PHILIPS",PR!$AZ1203,IF(K1205="RANBAXY",PR!$BA1203,IF(K1205="REALS",PR!$BB1203,IF(K1205="ROYAL",PR!$BC1203,IF(K1205="SAM",PR!$BD1203,IF(K1205="SEAGREEN",PR!$BE1203,IF(K1205="SKG",PR!$BF1203,IF(K1205="TAH",PR!$BG1203,IF(K1205="TAYLEK",PR!$BH1203,IF(K1205="TEMITA",PR!$BI1203,IF(K1205="THL",PR!$BJ1203,IF(K1205="UBASTIC",PR!$BK1203,IF(K1205="UNION",PR!$BL1203,IF(K1205="UNIQUE",PR!$BM1203,IF(K1205="VIXA",PR!$BN1203,IF(K1205="WWCV",PR!$BO1203,IF(K1205="ZOLON",PR!$BP1203,"-")))))))))))))))))))))))))))))))))))))))))))))))))))))))))))))))))</f>
        <v>5625</v>
      </c>
    </row>
    <row r="1206" spans="1:12" ht="18.75" x14ac:dyDescent="0.3">
      <c r="A1206" s="430">
        <f>PR!A1204</f>
        <v>1082</v>
      </c>
      <c r="B1206" s="15" t="str">
        <f>PR!B1204</f>
        <v>WIDAL KIT</v>
      </c>
      <c r="C1206" s="113" t="str">
        <f>PR!D1204</f>
        <v>Pkt</v>
      </c>
      <c r="D1206" s="113">
        <f>PR!C1204</f>
        <v>6</v>
      </c>
      <c r="E1206" s="108">
        <f>IF(F1206="ALPHA",PR!$E1204,IF(F1206="ASSENE",PR!$F1204,IF(F1206="BIOFEM",PR!$G1204,IF(F1206="BIOMED",PR!$H1204,IF(F1206="CHI",PR!$I1204,IF(F1206="CLARION",PR!$J1204,IF(F1206="CODIX",PR!$K1204,IF(F1206="COSMADE",PR!$L1204,IF(F1206="SANCON",PR!$M1204,IF(F1206="DEVON",PR!$N1204,IF(F1206="DORTEMAG",PR!$O1204,IF(F1206="DGF",PR!$P1204,IF(F1206="DYNAMIC",PR!$Q1204,IF(F1206="EMZOR",PR!$R1204,IF(F1206="EUMATT",PR!$S1204,IF(F1206="FIDSON",PR!$T1204,IF(F1206="FCGLOBAL",PR!$U1204,IF(F1206="GENEITH",PR!$V1204,IF(F1206="GINOS",PR!$W1204,IF(F1206="GSK",PR!$X1204,IF(F1206="GLOBORG",PR!$Y1204,IF(F1206="GOODNEWS",PR!$Z1204,IF(F1206="GREENLIFE",PR!$AA1204,IF(F1206="HLINE",PR!$AB1204,IF(F1206="ROTECH",PR!$AC1204,IF(F1206="ISN",PR!$AD1204,IF(F1206="JAWA",PR!$AE1204,IF(F1206="LAYO",PR!$AF1204,IF(F1206="LEADWAY",PR!$AG1204,IF(F1206="LHV",PR!$AH1204,IF(F1206="MANOLA",PR!$AI1204,IF(F1206="MARCSON",PR!$AJ1204,IF(F1206="M&amp;B",PR!$AK1204,IF(F1206="MTRUST",PR!$AL1204,IF(F1206="MWORLD",PR!$AM1204,IF(F1206="MEGA",PR!$AN1204,IF(F1206="MICRONOVA",PR!$AO1204,IF(F1206="MFLASH",PR!$AP1204,IF(F1206="MORISON",PR!$AQ1204,IF(F1206="NEMEL",PR!$AR1204,IF(F1206="NHP",PR!$AS1204,IF(F1206="NHC",PR!$AT1204,IF(F1206="OLEAF",PR!$AU1204,IF(F1206="OCULUS",PR!$AV1204,IF(F1206="PACIFIC",PR!$AW1204,IF(F1206="PHAMATEX",PR!$AX1204,IF(F1206="PETHICS",PR!$AY1204,IF(F1206="PHILIPS",PR!$AZ1204,IF(F1206="RANBAXY",PR!$BA1204,IF(F1206="REALS",PR!$BB1204,IF(F1206="ROYAL",PR!$BC1204,IF(F1206="SAM",PR!$BD1204,IF(F1206="SEAGREEN",PR!$BE1204,IF(F1206="SKG",PR!$BF1204,IF(F1206="TAH",PR!$BG1204,IF(F1206="TAYLEK",PR!$BH1204,IF(F1206="TEMITA",PR!$BI1204,IF(F1206="THL",PR!$BJ1204,IF(F1206="UBASTIC",PR!$BK1204,IF(F1206="UNION",PR!$BL1204,IF(F1206="UNIQUE",PR!$BM1204,IF(F1206="VIXA",PR!$BN1204,IF(F1206="WWCV",PR!$BO1204,IF(F1206="ZOLON",PR!$BP1204,"-"))))))))))))))))))))))))))))))))))))))))))))))))))))))))))))))))</f>
        <v>6500</v>
      </c>
      <c r="F1206" s="102" t="str">
        <f>EV!L1541</f>
        <v>UBASTIC</v>
      </c>
      <c r="G1206" s="108">
        <f>IF(H1206="ALPHA",PR!$E1204,IF(H1206="ASSENE",PR!$F1204,IF(H1206="BIOFEM",PR!$G1204,IF(H1206="BIOMED",PR!$H1204,IF(H1206="CHI",PR!$I1204,IF(H1206="CLARION",PR!$J1204,IF(H1206="CODIX",PR!$K1204,IF(H1206="COSMADE",PR!$L1204,IF(H1206="SANCON",PR!$M1204,IF(H1206="DEVON",PR!$N1204,IF(H1206="DORTEMAG",PR!$O1204,IF(H1206="DGF",PR!$P1204,IF(H1206="DYNAMIC",PR!$Q1204,IF(H1206="EMZOR",PR!$R1204,IF(H1206="EUMATT",PR!$S1204,IF(H1206="FIDSON",PR!$T1204,IF(H1206="FCGLOBAL",PR!$U1204,IF(H1206="GENEITH",PR!$V1204,IF(H1206="GINOS",PR!$W1204,IF(H1206="GSK",PR!$X1204,IF(H1206="GLOBORG",PR!$Y1204,IF(H1206="GOODNEWS",PR!$Z1204,IF(H1206="GREENLIFE",PR!$AA1204,IF(H1206="HLINE",PR!$AB1204,IF(H1206="ROTECH",PR!$AC1204,IF(H1206="ISN",PR!$AD1204,IF(H1206="JAWA",PR!$AE1204,IF(H1206="LAYO",PR!$AF1204,IF(H1206="LEADWAY",PR!$AG1204,IF(H1206="LHV",PR!$AH1204,IF(H1206="MANOLA",PR!$AI1204,IF(H1206="MARCSON",PR!$AJ1204,IF(H1206="M&amp;B",PR!$AK1204,IF(H1206="MTRUST",PR!$AL1204,IF(H1206="MWORLD",PR!$AM1204,IF(H1206="MEGA",PR!$AN1204,IF(H1206="MICRONOVA",PR!$AO1204,IF(H1206="MFLASH",PR!$AP1204,IF(H1206="MORISON",PR!$AQ1204,IF(H1206="NEMEL",PR!$AR1204,IF(H1206="NHP",PR!$AS1204,IF(H1206="NHC",PR!$AT1204,IF(H1206="OLEAF",PR!$AU1204,IF(H1206="OCULUS",PR!$AV1204,IF(H1206="PACIFIC",PR!$AW1204,IF(H1206="PHAMATEX",PR!$AX1204,IF(H1206="PETHICS",PR!$AY1204,IF(H1206="PHILIPS",PR!$AZ1204,IF(H1206="RANBAXY",PR!$BA1204,IF(H1206="REALS",PR!$BB1204,IF(H1206="ROYAL",PR!$BC1204,IF(H1206="SAM",PR!$BD1204,IF(H1206="SEAGREEN",PR!$BE1204,IF(H1206="SKG",PR!$BF1204,IF(H1206="TAH",PR!$BG1204,IF(H1206="TAYLEK",PR!$BH1204,IF(H1206="TEMITA",PR!$BI1204,IF(H1206="THL",PR!$BJ1204,IF(H1206="UBASTIC",PR!$BK1204,IF(H1206="UNION",PR!$BL1204,IF(H1206="UNIQUE",PR!$BM1204,IF(H1206="VIXA",PR!$BN1204,IF(H1206="WWCV",PR!$BO1204,IF(H1206="ZOLON",PR!$BP1204,"-"))))))))))))))))))))))))))))))))))))))))))))))))))))))))))))))))</f>
        <v>9350</v>
      </c>
      <c r="H1206" s="102" t="str">
        <f>EV!M1541</f>
        <v>ROTECH</v>
      </c>
      <c r="I1206" s="108">
        <f>IF(J1206="ALPHA",PR!$E1204,IF(J1206="ASSENE",PR!$F1204,IF(J1206="BIOFEM",PR!$G1204,IF(J1206="BIOMED",PR!$H1204,IF(J1206="CHI",PR!$I1204,IF(J1206="CLARION",PR!$J1204,IF(J1206="CODIX",PR!$K1204,IF(J1206="COSMADE",PR!$L1204,IF(J1206="SANCON",PR!$M1204,IF(J1206="DEVON",PR!$N1204,IF(J1206="DORTEMAG",PR!$O1204,IF(J1206="DGF",PR!$P1204,IF(J1206="DYNAMIC",PR!$Q1204,IF(J1206="EMZOR",PR!$R1204,IF(J1206="EUMATT",PR!$S1204,IF(J1206="FIDSON",PR!$T1204,IF(J1206="FCGLOBAL",PR!$U1204,IF(J1206="GENEITH",PR!$V1204,IF(J1206="GINOS",PR!$W1204,IF(J1206="GSK",PR!$X1204,IF(J1206="GLOBORG",PR!$Y1204,IF(J1206="GOODNEWS",PR!$Z1204,IF(J1206="GREENLIFE",PR!$AA1204,IF(J1206="HLINE",PR!$AB1204,IF(J1206="ROTECH",PR!$AC1204,IF(J1206="ISN",PR!$AD1204,IF(J1206="JAWA",PR!$AE1204,IF(J1206="LAYO",PR!$AF1204,IF(J1206="LEADWAY",PR!$AG1204,IF(J1206="LHV",PR!$AH1204,IF(J1206="MANOLA",PR!$AI1204,IF(J1206="MARCSON",PR!$AJ1204,IF(J1206="M&amp;B",PR!$AK1204,IF(J1206="MTRUST",PR!$AL1204,IF(J1206="MWORLD",PR!$AM1204,IF(J1206="MEGA",PR!$AN1204,IF(J1206="MICRONOVA",PR!$AO1204,IF(J1206="MFLASH",PR!$AP1204,IF(J1206="MORISON",PR!$AQ1204,IF(J1206="NEMEL",PR!$AR1204,IF(J1206="NHP",PR!$AS1204,IF(J1206="NHC",PR!$AT1204,IF(J1206="OLEAF",PR!$AU1204,IF(J1206="OCULUS",PR!$AV1204,IF(J1206="PACIFIC",PR!$AW1204,IF(J1206="PHAMATEX",PR!$AX1204,IF(J1206="PETHICS",PR!$AY1204,IF(J1206="PHILIPS",PR!$AZ1204,IF(J1206="RANBAXY",PR!$BA1204,IF(J1206="REALS",PR!$BB1204,IF(J1206="ROYAL",PR!$BC1204,IF(J1206="SAM",PR!$BD1204,IF(J1206="SEAGREEN",PR!$BE1204,IF(J1206="SKG",PR!$BF1204,IF(J1206="TAH",PR!$BG1204,IF(J1206="TAYLEK",PR!$BH1204,IF(J1206="TEMITA",PR!$BI1204,IF(J1206="THL",PR!$BJ1204,IF(J1206="UBASTIC",PR!$BK1204,IF(J1206="UNION",PR!$BL1204,IF(J1206="UNIQUE",PR!$BM1204,IF(J1206="VIXA",PR!$BN1204,IF(J1206="WWCV",PR!$BO1204,IF(J1206="ZOLON",PR!$BP1204,"-"))))))))))))))))))))))))))))))))))))))))))))))))))))))))))))))))</f>
        <v>10500</v>
      </c>
      <c r="J1206" s="102" t="str">
        <f>EV!N1541</f>
        <v>SANCON</v>
      </c>
      <c r="K1206" s="433" t="s">
        <v>1459</v>
      </c>
      <c r="L1206" s="183">
        <f>IF(K1206&gt;0,IF(K1206="ALPHA",PR!$E1204,IF(K1206="ASSENE",PR!$F1204,IF(K1206="BIOFEM",PR!$G1204,IF(K1206="BIOMED",PR!$H1204,IF(K1206="CHI",PR!$I1204,IF(K1206="CLARION",PR!$J1204,IF(K1206="CODIX",PR!$K1204,IF(K1206="COSMADE",PR!$L1204,IF(K1206="SANCON",PR!$M1204,IF(K1206="DEVON",PR!$N1204,IF(K1206="DORTEMAG",PR!$O1204,IF(K1206="DGF",PR!$P1204,IF(K1206="DYNAMIC",PR!$Q1204,IF(K1206="EMZOR",PR!$R1204,IF(K1206="EUMATT",PR!$S1204,IF(K1206="FIDSON",PR!$T1204,IF(K1206="FCGLOBAL",PR!$U1204,IF(K1206="GENEITH",PR!$V1204,IF(K1206="GINOS",PR!$W1204,IF(K1206="GSK",PR!$X1204,IF(K1206="GLOBORG",PR!$Y1204,IF(K1206="GOODNEWS",PR!$Z1204,IF(K1206="GREENLIFE",PR!$AA1204,IF(K1206="HLINE",PR!$AB1204,IF(K1206="ROTECH",PR!$AC1204,IF(K1206="ISN",PR!$AD1204,IF(K1206="JAWA",PR!$AE1204,IF(K1206="LAYO",PR!$AF1204,IF(K1206="LEADWAY",PR!$AG1204,IF(K1206="LHV",PR!$AH1204,IF(K1206="MANOLA",PR!$AI1204,IF(K1206="MARCSON",PR!$AJ1204,IF(K1206="M&amp;B",PR!$AK1204,IF(K1206="MTRUST",PR!$AL1204,IF(K1206="MWORLD",PR!$AM1204,IF(K1206="MEGA",PR!$AN1204,IF(K1206="MICRONOVA",PR!$AO1204,IF(K1206="MFLASH",PR!$AP1204,IF(K1206="MORISON",PR!$AQ1204,IF(K1206="NEMEL",PR!$AR1204,IF(K1206="NHP",PR!$AS1204,IF(K1206="NHC",PR!$AT1204,IF(K1206="OLEAF",PR!$AU1204,IF(K1206="OCULUS",PR!$AV1204,IF(K1206="PACIFIC",PR!$AW1204,IF(K1206="PHAMATEX",PR!$AX1204,IF(K1206="PETHICS",PR!$AY1204,IF(K1206="PHILIPS",PR!$AZ1204,IF(K1206="RANBAXY",PR!$BA1204,IF(K1206="REALS",PR!$BB1204,IF(K1206="ROYAL",PR!$BC1204,IF(K1206="SAM",PR!$BD1204,IF(K1206="SEAGREEN",PR!$BE1204,IF(K1206="SKG",PR!$BF1204,IF(K1206="TAH",PR!$BG1204,IF(K1206="TAYLEK",PR!$BH1204,IF(K1206="TEMITA",PR!$BI1204,IF(K1206="THL",PR!$BJ1204,IF(K1206="UBASTIC",PR!$BK1204,IF(K1206="UNION",PR!$BL1204,IF(K1206="UNIQUE",PR!$BM1204,IF(K1206="VIXA",PR!$BN1204,IF(K1206="WWCV",PR!$BO1204,IF(K1206="ZOLON",PR!$BP1204,"-")))))))))))))))))))))))))))))))))))))))))))))))))))))))))))))))))</f>
        <v>6500</v>
      </c>
    </row>
    <row r="1207" spans="1:12" ht="18.75" x14ac:dyDescent="0.3">
      <c r="A1207" s="430">
        <f>PR!A1205</f>
        <v>1083</v>
      </c>
      <c r="B1207" s="15" t="str">
        <f>PR!B1205</f>
        <v>METHANOL (2.5 LITRE)</v>
      </c>
      <c r="C1207" s="113" t="str">
        <f>PR!D1205</f>
        <v>Bottles</v>
      </c>
      <c r="D1207" s="113">
        <f>PR!C1205</f>
        <v>6</v>
      </c>
      <c r="E1207" s="108">
        <f>IF(F1207="ALPHA",PR!$E1205,IF(F1207="ASSENE",PR!$F1205,IF(F1207="BIOFEM",PR!$G1205,IF(F1207="BIOMED",PR!$H1205,IF(F1207="CHI",PR!$I1205,IF(F1207="CLARION",PR!$J1205,IF(F1207="CODIX",PR!$K1205,IF(F1207="COSMADE",PR!$L1205,IF(F1207="SANCON",PR!$M1205,IF(F1207="DEVON",PR!$N1205,IF(F1207="DORTEMAG",PR!$O1205,IF(F1207="DGF",PR!$P1205,IF(F1207="DYNAMIC",PR!$Q1205,IF(F1207="EMZOR",PR!$R1205,IF(F1207="EUMATT",PR!$S1205,IF(F1207="FIDSON",PR!$T1205,IF(F1207="FCGLOBAL",PR!$U1205,IF(F1207="GENEITH",PR!$V1205,IF(F1207="GINOS",PR!$W1205,IF(F1207="GSK",PR!$X1205,IF(F1207="GLOBORG",PR!$Y1205,IF(F1207="GOODNEWS",PR!$Z1205,IF(F1207="GREENLIFE",PR!$AA1205,IF(F1207="HLINE",PR!$AB1205,IF(F1207="ROTECH",PR!$AC1205,IF(F1207="ISN",PR!$AD1205,IF(F1207="JAWA",PR!$AE1205,IF(F1207="LAYO",PR!$AF1205,IF(F1207="LEADWAY",PR!$AG1205,IF(F1207="LHV",PR!$AH1205,IF(F1207="MANOLA",PR!$AI1205,IF(F1207="MARCSON",PR!$AJ1205,IF(F1207="M&amp;B",PR!$AK1205,IF(F1207="MTRUST",PR!$AL1205,IF(F1207="MWORLD",PR!$AM1205,IF(F1207="MEGA",PR!$AN1205,IF(F1207="MICRONOVA",PR!$AO1205,IF(F1207="MFLASH",PR!$AP1205,IF(F1207="MORISON",PR!$AQ1205,IF(F1207="NEMEL",PR!$AR1205,IF(F1207="NHP",PR!$AS1205,IF(F1207="NHC",PR!$AT1205,IF(F1207="OLEAF",PR!$AU1205,IF(F1207="OCULUS",PR!$AV1205,IF(F1207="PACIFIC",PR!$AW1205,IF(F1207="PHAMATEX",PR!$AX1205,IF(F1207="PETHICS",PR!$AY1205,IF(F1207="PHILIPS",PR!$AZ1205,IF(F1207="RANBAXY",PR!$BA1205,IF(F1207="REALS",PR!$BB1205,IF(F1207="ROYAL",PR!$BC1205,IF(F1207="SAM",PR!$BD1205,IF(F1207="SEAGREEN",PR!$BE1205,IF(F1207="SKG",PR!$BF1205,IF(F1207="TAH",PR!$BG1205,IF(F1207="TAYLEK",PR!$BH1205,IF(F1207="TEMITA",PR!$BI1205,IF(F1207="THL",PR!$BJ1205,IF(F1207="UBASTIC",PR!$BK1205,IF(F1207="UNION",PR!$BL1205,IF(F1207="UNIQUE",PR!$BM1205,IF(F1207="VIXA",PR!$BN1205,IF(F1207="WWCV",PR!$BO1205,IF(F1207="ZOLON",PR!$BP1205,"-"))))))))))))))))))))))))))))))))))))))))))))))))))))))))))))))))</f>
        <v>4500</v>
      </c>
      <c r="F1207" s="102" t="str">
        <f>EV!L1542</f>
        <v>TEMITA</v>
      </c>
      <c r="G1207" s="108">
        <f>IF(H1207="ALPHA",PR!$E1205,IF(H1207="ASSENE",PR!$F1205,IF(H1207="BIOFEM",PR!$G1205,IF(H1207="BIOMED",PR!$H1205,IF(H1207="CHI",PR!$I1205,IF(H1207="CLARION",PR!$J1205,IF(H1207="CODIX",PR!$K1205,IF(H1207="COSMADE",PR!$L1205,IF(H1207="SANCON",PR!$M1205,IF(H1207="DEVON",PR!$N1205,IF(H1207="DORTEMAG",PR!$O1205,IF(H1207="DGF",PR!$P1205,IF(H1207="DYNAMIC",PR!$Q1205,IF(H1207="EMZOR",PR!$R1205,IF(H1207="EUMATT",PR!$S1205,IF(H1207="FIDSON",PR!$T1205,IF(H1207="FCGLOBAL",PR!$U1205,IF(H1207="GENEITH",PR!$V1205,IF(H1207="GINOS",PR!$W1205,IF(H1207="GSK",PR!$X1205,IF(H1207="GLOBORG",PR!$Y1205,IF(H1207="GOODNEWS",PR!$Z1205,IF(H1207="GREENLIFE",PR!$AA1205,IF(H1207="HLINE",PR!$AB1205,IF(H1207="ROTECH",PR!$AC1205,IF(H1207="ISN",PR!$AD1205,IF(H1207="JAWA",PR!$AE1205,IF(H1207="LAYO",PR!$AF1205,IF(H1207="LEADWAY",PR!$AG1205,IF(H1207="LHV",PR!$AH1205,IF(H1207="MANOLA",PR!$AI1205,IF(H1207="MARCSON",PR!$AJ1205,IF(H1207="M&amp;B",PR!$AK1205,IF(H1207="MTRUST",PR!$AL1205,IF(H1207="MWORLD",PR!$AM1205,IF(H1207="MEGA",PR!$AN1205,IF(H1207="MICRONOVA",PR!$AO1205,IF(H1207="MFLASH",PR!$AP1205,IF(H1207="MORISON",PR!$AQ1205,IF(H1207="NEMEL",PR!$AR1205,IF(H1207="NHP",PR!$AS1205,IF(H1207="NHC",PR!$AT1205,IF(H1207="OLEAF",PR!$AU1205,IF(H1207="OCULUS",PR!$AV1205,IF(H1207="PACIFIC",PR!$AW1205,IF(H1207="PHAMATEX",PR!$AX1205,IF(H1207="PETHICS",PR!$AY1205,IF(H1207="PHILIPS",PR!$AZ1205,IF(H1207="RANBAXY",PR!$BA1205,IF(H1207="REALS",PR!$BB1205,IF(H1207="ROYAL",PR!$BC1205,IF(H1207="SAM",PR!$BD1205,IF(H1207="SEAGREEN",PR!$BE1205,IF(H1207="SKG",PR!$BF1205,IF(H1207="TAH",PR!$BG1205,IF(H1207="TAYLEK",PR!$BH1205,IF(H1207="TEMITA",PR!$BI1205,IF(H1207="THL",PR!$BJ1205,IF(H1207="UBASTIC",PR!$BK1205,IF(H1207="UNION",PR!$BL1205,IF(H1207="UNIQUE",PR!$BM1205,IF(H1207="VIXA",PR!$BN1205,IF(H1207="WWCV",PR!$BO1205,IF(H1207="ZOLON",PR!$BP1205,"-"))))))))))))))))))))))))))))))))))))))))))))))))))))))))))))))))</f>
        <v>7500</v>
      </c>
      <c r="H1207" s="102" t="str">
        <f>EV!M1542</f>
        <v>UBASTIC</v>
      </c>
      <c r="I1207" s="108">
        <f>IF(J1207="ALPHA",PR!$E1205,IF(J1207="ASSENE",PR!$F1205,IF(J1207="BIOFEM",PR!$G1205,IF(J1207="BIOMED",PR!$H1205,IF(J1207="CHI",PR!$I1205,IF(J1207="CLARION",PR!$J1205,IF(J1207="CODIX",PR!$K1205,IF(J1207="COSMADE",PR!$L1205,IF(J1207="SANCON",PR!$M1205,IF(J1207="DEVON",PR!$N1205,IF(J1207="DORTEMAG",PR!$O1205,IF(J1207="DGF",PR!$P1205,IF(J1207="DYNAMIC",PR!$Q1205,IF(J1207="EMZOR",PR!$R1205,IF(J1207="EUMATT",PR!$S1205,IF(J1207="FIDSON",PR!$T1205,IF(J1207="FCGLOBAL",PR!$U1205,IF(J1207="GENEITH",PR!$V1205,IF(J1207="GINOS",PR!$W1205,IF(J1207="GSK",PR!$X1205,IF(J1207="GLOBORG",PR!$Y1205,IF(J1207="GOODNEWS",PR!$Z1205,IF(J1207="GREENLIFE",PR!$AA1205,IF(J1207="HLINE",PR!$AB1205,IF(J1207="ROTECH",PR!$AC1205,IF(J1207="ISN",PR!$AD1205,IF(J1207="JAWA",PR!$AE1205,IF(J1207="LAYO",PR!$AF1205,IF(J1207="LEADWAY",PR!$AG1205,IF(J1207="LHV",PR!$AH1205,IF(J1207="MANOLA",PR!$AI1205,IF(J1207="MARCSON",PR!$AJ1205,IF(J1207="M&amp;B",PR!$AK1205,IF(J1207="MTRUST",PR!$AL1205,IF(J1207="MWORLD",PR!$AM1205,IF(J1207="MEGA",PR!$AN1205,IF(J1207="MICRONOVA",PR!$AO1205,IF(J1207="MFLASH",PR!$AP1205,IF(J1207="MORISON",PR!$AQ1205,IF(J1207="NEMEL",PR!$AR1205,IF(J1207="NHP",PR!$AS1205,IF(J1207="NHC",PR!$AT1205,IF(J1207="OLEAF",PR!$AU1205,IF(J1207="OCULUS",PR!$AV1205,IF(J1207="PACIFIC",PR!$AW1205,IF(J1207="PHAMATEX",PR!$AX1205,IF(J1207="PETHICS",PR!$AY1205,IF(J1207="PHILIPS",PR!$AZ1205,IF(J1207="RANBAXY",PR!$BA1205,IF(J1207="REALS",PR!$BB1205,IF(J1207="ROYAL",PR!$BC1205,IF(J1207="SAM",PR!$BD1205,IF(J1207="SEAGREEN",PR!$BE1205,IF(J1207="SKG",PR!$BF1205,IF(J1207="TAH",PR!$BG1205,IF(J1207="TAYLEK",PR!$BH1205,IF(J1207="TEMITA",PR!$BI1205,IF(J1207="THL",PR!$BJ1205,IF(J1207="UBASTIC",PR!$BK1205,IF(J1207="UNION",PR!$BL1205,IF(J1207="UNIQUE",PR!$BM1205,IF(J1207="VIXA",PR!$BN1205,IF(J1207="WWCV",PR!$BO1205,IF(J1207="ZOLON",PR!$BP1205,"-"))))))))))))))))))))))))))))))))))))))))))))))))))))))))))))))))</f>
        <v>6000</v>
      </c>
      <c r="J1207" s="102" t="str">
        <f>EV!N1542</f>
        <v>DYNAMIC</v>
      </c>
      <c r="K1207" s="433" t="s">
        <v>626</v>
      </c>
      <c r="L1207" s="183">
        <f>IF(K1207&gt;0,IF(K1207="ALPHA",PR!$E1205,IF(K1207="ASSENE",PR!$F1205,IF(K1207="BIOFEM",PR!$G1205,IF(K1207="BIOMED",PR!$H1205,IF(K1207="CHI",PR!$I1205,IF(K1207="CLARION",PR!$J1205,IF(K1207="CODIX",PR!$K1205,IF(K1207="COSMADE",PR!$L1205,IF(K1207="SANCON",PR!$M1205,IF(K1207="DEVON",PR!$N1205,IF(K1207="DORTEMAG",PR!$O1205,IF(K1207="DGF",PR!$P1205,IF(K1207="DYNAMIC",PR!$Q1205,IF(K1207="EMZOR",PR!$R1205,IF(K1207="EUMATT",PR!$S1205,IF(K1207="FIDSON",PR!$T1205,IF(K1207="FCGLOBAL",PR!$U1205,IF(K1207="GENEITH",PR!$V1205,IF(K1207="GINOS",PR!$W1205,IF(K1207="GSK",PR!$X1205,IF(K1207="GLOBORG",PR!$Y1205,IF(K1207="GOODNEWS",PR!$Z1205,IF(K1207="GREENLIFE",PR!$AA1205,IF(K1207="HLINE",PR!$AB1205,IF(K1207="ROTECH",PR!$AC1205,IF(K1207="ISN",PR!$AD1205,IF(K1207="JAWA",PR!$AE1205,IF(K1207="LAYO",PR!$AF1205,IF(K1207="LEADWAY",PR!$AG1205,IF(K1207="LHV",PR!$AH1205,IF(K1207="MANOLA",PR!$AI1205,IF(K1207="MARCSON",PR!$AJ1205,IF(K1207="M&amp;B",PR!$AK1205,IF(K1207="MTRUST",PR!$AL1205,IF(K1207="MWORLD",PR!$AM1205,IF(K1207="MEGA",PR!$AN1205,IF(K1207="MICRONOVA",PR!$AO1205,IF(K1207="MFLASH",PR!$AP1205,IF(K1207="MORISON",PR!$AQ1205,IF(K1207="NEMEL",PR!$AR1205,IF(K1207="NHP",PR!$AS1205,IF(K1207="NHC",PR!$AT1205,IF(K1207="OLEAF",PR!$AU1205,IF(K1207="OCULUS",PR!$AV1205,IF(K1207="PACIFIC",PR!$AW1205,IF(K1207="PHAMATEX",PR!$AX1205,IF(K1207="PETHICS",PR!$AY1205,IF(K1207="PHILIPS",PR!$AZ1205,IF(K1207="RANBAXY",PR!$BA1205,IF(K1207="REALS",PR!$BB1205,IF(K1207="ROYAL",PR!$BC1205,IF(K1207="SAM",PR!$BD1205,IF(K1207="SEAGREEN",PR!$BE1205,IF(K1207="SKG",PR!$BF1205,IF(K1207="TAH",PR!$BG1205,IF(K1207="TAYLEK",PR!$BH1205,IF(K1207="TEMITA",PR!$BI1205,IF(K1207="THL",PR!$BJ1205,IF(K1207="UBASTIC",PR!$BK1205,IF(K1207="UNION",PR!$BL1205,IF(K1207="UNIQUE",PR!$BM1205,IF(K1207="VIXA",PR!$BN1205,IF(K1207="WWCV",PR!$BO1205,IF(K1207="ZOLON",PR!$BP1205,"-")))))))))))))))))))))))))))))))))))))))))))))))))))))))))))))))))</f>
        <v>6000</v>
      </c>
    </row>
    <row r="1208" spans="1:12" ht="18.75" x14ac:dyDescent="0.3">
      <c r="A1208" s="430">
        <f>PR!A1206</f>
        <v>1084</v>
      </c>
      <c r="B1208" s="15" t="str">
        <f>PR!B1206</f>
        <v>PLASTERCINE</v>
      </c>
      <c r="C1208" s="113" t="str">
        <f>PR!D1206</f>
        <v>Pkt</v>
      </c>
      <c r="D1208" s="113">
        <f>PR!C1206</f>
        <v>3</v>
      </c>
      <c r="E1208" s="108">
        <f>IF(F1208="ALPHA",PR!$E1206,IF(F1208="ASSENE",PR!$F1206,IF(F1208="BIOFEM",PR!$G1206,IF(F1208="BIOMED",PR!$H1206,IF(F1208="CHI",PR!$I1206,IF(F1208="CLARION",PR!$J1206,IF(F1208="CODIX",PR!$K1206,IF(F1208="COSMADE",PR!$L1206,IF(F1208="SANCON",PR!$M1206,IF(F1208="DEVON",PR!$N1206,IF(F1208="DORTEMAG",PR!$O1206,IF(F1208="DGF",PR!$P1206,IF(F1208="DYNAMIC",PR!$Q1206,IF(F1208="EMZOR",PR!$R1206,IF(F1208="EUMATT",PR!$S1206,IF(F1208="FIDSON",PR!$T1206,IF(F1208="FCGLOBAL",PR!$U1206,IF(F1208="GENEITH",PR!$V1206,IF(F1208="GINOS",PR!$W1206,IF(F1208="GSK",PR!$X1206,IF(F1208="GLOBORG",PR!$Y1206,IF(F1208="GOODNEWS",PR!$Z1206,IF(F1208="GREENLIFE",PR!$AA1206,IF(F1208="HLINE",PR!$AB1206,IF(F1208="ROTECH",PR!$AC1206,IF(F1208="ISN",PR!$AD1206,IF(F1208="JAWA",PR!$AE1206,IF(F1208="LAYO",PR!$AF1206,IF(F1208="LEADWAY",PR!$AG1206,IF(F1208="LHV",PR!$AH1206,IF(F1208="MANOLA",PR!$AI1206,IF(F1208="MARCSON",PR!$AJ1206,IF(F1208="M&amp;B",PR!$AK1206,IF(F1208="MTRUST",PR!$AL1206,IF(F1208="MWORLD",PR!$AM1206,IF(F1208="MEGA",PR!$AN1206,IF(F1208="MICRONOVA",PR!$AO1206,IF(F1208="MFLASH",PR!$AP1206,IF(F1208="MORISON",PR!$AQ1206,IF(F1208="NEMEL",PR!$AR1206,IF(F1208="NHP",PR!$AS1206,IF(F1208="NHC",PR!$AT1206,IF(F1208="OLEAF",PR!$AU1206,IF(F1208="OCULUS",PR!$AV1206,IF(F1208="PACIFIC",PR!$AW1206,IF(F1208="PHAMATEX",PR!$AX1206,IF(F1208="PETHICS",PR!$AY1206,IF(F1208="PHILIPS",PR!$AZ1206,IF(F1208="RANBAXY",PR!$BA1206,IF(F1208="REALS",PR!$BB1206,IF(F1208="ROYAL",PR!$BC1206,IF(F1208="SAM",PR!$BD1206,IF(F1208="SEAGREEN",PR!$BE1206,IF(F1208="SKG",PR!$BF1206,IF(F1208="TAH",PR!$BG1206,IF(F1208="TAYLEK",PR!$BH1206,IF(F1208="TEMITA",PR!$BI1206,IF(F1208="THL",PR!$BJ1206,IF(F1208="UBASTIC",PR!$BK1206,IF(F1208="UNION",PR!$BL1206,IF(F1208="UNIQUE",PR!$BM1206,IF(F1208="VIXA",PR!$BN1206,IF(F1208="WWCV",PR!$BO1206,IF(F1208="ZOLON",PR!$BP1206,"-"))))))))))))))))))))))))))))))))))))))))))))))))))))))))))))))))</f>
        <v>875</v>
      </c>
      <c r="F1208" s="102" t="str">
        <f>EV!L1543</f>
        <v>TEMITA</v>
      </c>
      <c r="G1208" s="108">
        <f>IF(H1208="ALPHA",PR!$E1206,IF(H1208="ASSENE",PR!$F1206,IF(H1208="BIOFEM",PR!$G1206,IF(H1208="BIOMED",PR!$H1206,IF(H1208="CHI",PR!$I1206,IF(H1208="CLARION",PR!$J1206,IF(H1208="CODIX",PR!$K1206,IF(H1208="COSMADE",PR!$L1206,IF(H1208="SANCON",PR!$M1206,IF(H1208="DEVON",PR!$N1206,IF(H1208="DORTEMAG",PR!$O1206,IF(H1208="DGF",PR!$P1206,IF(H1208="DYNAMIC",PR!$Q1206,IF(H1208="EMZOR",PR!$R1206,IF(H1208="EUMATT",PR!$S1206,IF(H1208="FIDSON",PR!$T1206,IF(H1208="FCGLOBAL",PR!$U1206,IF(H1208="GENEITH",PR!$V1206,IF(H1208="GINOS",PR!$W1206,IF(H1208="GSK",PR!$X1206,IF(H1208="GLOBORG",PR!$Y1206,IF(H1208="GOODNEWS",PR!$Z1206,IF(H1208="GREENLIFE",PR!$AA1206,IF(H1208="HLINE",PR!$AB1206,IF(H1208="ROTECH",PR!$AC1206,IF(H1208="ISN",PR!$AD1206,IF(H1208="JAWA",PR!$AE1206,IF(H1208="LAYO",PR!$AF1206,IF(H1208="LEADWAY",PR!$AG1206,IF(H1208="LHV",PR!$AH1206,IF(H1208="MANOLA",PR!$AI1206,IF(H1208="MARCSON",PR!$AJ1206,IF(H1208="M&amp;B",PR!$AK1206,IF(H1208="MTRUST",PR!$AL1206,IF(H1208="MWORLD",PR!$AM1206,IF(H1208="MEGA",PR!$AN1206,IF(H1208="MICRONOVA",PR!$AO1206,IF(H1208="MFLASH",PR!$AP1206,IF(H1208="MORISON",PR!$AQ1206,IF(H1208="NEMEL",PR!$AR1206,IF(H1208="NHP",PR!$AS1206,IF(H1208="NHC",PR!$AT1206,IF(H1208="OLEAF",PR!$AU1206,IF(H1208="OCULUS",PR!$AV1206,IF(H1208="PACIFIC",PR!$AW1206,IF(H1208="PHAMATEX",PR!$AX1206,IF(H1208="PETHICS",PR!$AY1206,IF(H1208="PHILIPS",PR!$AZ1206,IF(H1208="RANBAXY",PR!$BA1206,IF(H1208="REALS",PR!$BB1206,IF(H1208="ROYAL",PR!$BC1206,IF(H1208="SAM",PR!$BD1206,IF(H1208="SEAGREEN",PR!$BE1206,IF(H1208="SKG",PR!$BF1206,IF(H1208="TAH",PR!$BG1206,IF(H1208="TAYLEK",PR!$BH1206,IF(H1208="TEMITA",PR!$BI1206,IF(H1208="THL",PR!$BJ1206,IF(H1208="UBASTIC",PR!$BK1206,IF(H1208="UNION",PR!$BL1206,IF(H1208="UNIQUE",PR!$BM1206,IF(H1208="VIXA",PR!$BN1206,IF(H1208="WWCV",PR!$BO1206,IF(H1208="ZOLON",PR!$BP1206,"-"))))))))))))))))))))))))))))))))))))))))))))))))))))))))))))))))</f>
        <v>8500</v>
      </c>
      <c r="H1208" s="102" t="str">
        <f>EV!M1543</f>
        <v>UBASTIC</v>
      </c>
      <c r="I1208" s="108">
        <f>IF(J1208="ALPHA",PR!$E1206,IF(J1208="ASSENE",PR!$F1206,IF(J1208="BIOFEM",PR!$G1206,IF(J1208="BIOMED",PR!$H1206,IF(J1208="CHI",PR!$I1206,IF(J1208="CLARION",PR!$J1206,IF(J1208="CODIX",PR!$K1206,IF(J1208="COSMADE",PR!$L1206,IF(J1208="SANCON",PR!$M1206,IF(J1208="DEVON",PR!$N1206,IF(J1208="DORTEMAG",PR!$O1206,IF(J1208="DGF",PR!$P1206,IF(J1208="DYNAMIC",PR!$Q1206,IF(J1208="EMZOR",PR!$R1206,IF(J1208="EUMATT",PR!$S1206,IF(J1208="FIDSON",PR!$T1206,IF(J1208="FCGLOBAL",PR!$U1206,IF(J1208="GENEITH",PR!$V1206,IF(J1208="GINOS",PR!$W1206,IF(J1208="GSK",PR!$X1206,IF(J1208="GLOBORG",PR!$Y1206,IF(J1208="GOODNEWS",PR!$Z1206,IF(J1208="GREENLIFE",PR!$AA1206,IF(J1208="HLINE",PR!$AB1206,IF(J1208="ROTECH",PR!$AC1206,IF(J1208="ISN",PR!$AD1206,IF(J1208="JAWA",PR!$AE1206,IF(J1208="LAYO",PR!$AF1206,IF(J1208="LEADWAY",PR!$AG1206,IF(J1208="LHV",PR!$AH1206,IF(J1208="MANOLA",PR!$AI1206,IF(J1208="MARCSON",PR!$AJ1206,IF(J1208="M&amp;B",PR!$AK1206,IF(J1208="MTRUST",PR!$AL1206,IF(J1208="MWORLD",PR!$AM1206,IF(J1208="MEGA",PR!$AN1206,IF(J1208="MICRONOVA",PR!$AO1206,IF(J1208="MFLASH",PR!$AP1206,IF(J1208="MORISON",PR!$AQ1206,IF(J1208="NEMEL",PR!$AR1206,IF(J1208="NHP",PR!$AS1206,IF(J1208="NHC",PR!$AT1206,IF(J1208="OLEAF",PR!$AU1206,IF(J1208="OCULUS",PR!$AV1206,IF(J1208="PACIFIC",PR!$AW1206,IF(J1208="PHAMATEX",PR!$AX1206,IF(J1208="PETHICS",PR!$AY1206,IF(J1208="PHILIPS",PR!$AZ1206,IF(J1208="RANBAXY",PR!$BA1206,IF(J1208="REALS",PR!$BB1206,IF(J1208="ROYAL",PR!$BC1206,IF(J1208="SAM",PR!$BD1206,IF(J1208="SEAGREEN",PR!$BE1206,IF(J1208="SKG",PR!$BF1206,IF(J1208="TAH",PR!$BG1206,IF(J1208="TAYLEK",PR!$BH1206,IF(J1208="TEMITA",PR!$BI1206,IF(J1208="THL",PR!$BJ1206,IF(J1208="UBASTIC",PR!$BK1206,IF(J1208="UNION",PR!$BL1206,IF(J1208="UNIQUE",PR!$BM1206,IF(J1208="VIXA",PR!$BN1206,IF(J1208="WWCV",PR!$BO1206,IF(J1208="ZOLON",PR!$BP1206,"-"))))))))))))))))))))))))))))))))))))))))))))))))))))))))))))))))</f>
        <v>9500</v>
      </c>
      <c r="J1208" s="102" t="str">
        <f>EV!N1543</f>
        <v>SANCON</v>
      </c>
      <c r="K1208" s="433" t="s">
        <v>1463</v>
      </c>
      <c r="L1208" s="183">
        <f>IF(K1208&gt;0,IF(K1208="ALPHA",PR!$E1206,IF(K1208="ASSENE",PR!$F1206,IF(K1208="BIOFEM",PR!$G1206,IF(K1208="BIOMED",PR!$H1206,IF(K1208="CHI",PR!$I1206,IF(K1208="CLARION",PR!$J1206,IF(K1208="CODIX",PR!$K1206,IF(K1208="COSMADE",PR!$L1206,IF(K1208="SANCON",PR!$M1206,IF(K1208="DEVON",PR!$N1206,IF(K1208="DORTEMAG",PR!$O1206,IF(K1208="DGF",PR!$P1206,IF(K1208="DYNAMIC",PR!$Q1206,IF(K1208="EMZOR",PR!$R1206,IF(K1208="EUMATT",PR!$S1206,IF(K1208="FIDSON",PR!$T1206,IF(K1208="FCGLOBAL",PR!$U1206,IF(K1208="GENEITH",PR!$V1206,IF(K1208="GINOS",PR!$W1206,IF(K1208="GSK",PR!$X1206,IF(K1208="GLOBORG",PR!$Y1206,IF(K1208="GOODNEWS",PR!$Z1206,IF(K1208="GREENLIFE",PR!$AA1206,IF(K1208="HLINE",PR!$AB1206,IF(K1208="ROTECH",PR!$AC1206,IF(K1208="ISN",PR!$AD1206,IF(K1208="JAWA",PR!$AE1206,IF(K1208="LAYO",PR!$AF1206,IF(K1208="LEADWAY",PR!$AG1206,IF(K1208="LHV",PR!$AH1206,IF(K1208="MANOLA",PR!$AI1206,IF(K1208="MARCSON",PR!$AJ1206,IF(K1208="M&amp;B",PR!$AK1206,IF(K1208="MTRUST",PR!$AL1206,IF(K1208="MWORLD",PR!$AM1206,IF(K1208="MEGA",PR!$AN1206,IF(K1208="MICRONOVA",PR!$AO1206,IF(K1208="MFLASH",PR!$AP1206,IF(K1208="MORISON",PR!$AQ1206,IF(K1208="NEMEL",PR!$AR1206,IF(K1208="NHP",PR!$AS1206,IF(K1208="NHC",PR!$AT1206,IF(K1208="OLEAF",PR!$AU1206,IF(K1208="OCULUS",PR!$AV1206,IF(K1208="PACIFIC",PR!$AW1206,IF(K1208="PHAMATEX",PR!$AX1206,IF(K1208="PETHICS",PR!$AY1206,IF(K1208="PHILIPS",PR!$AZ1206,IF(K1208="RANBAXY",PR!$BA1206,IF(K1208="REALS",PR!$BB1206,IF(K1208="ROYAL",PR!$BC1206,IF(K1208="SAM",PR!$BD1206,IF(K1208="SEAGREEN",PR!$BE1206,IF(K1208="SKG",PR!$BF1206,IF(K1208="TAH",PR!$BG1206,IF(K1208="TAYLEK",PR!$BH1206,IF(K1208="TEMITA",PR!$BI1206,IF(K1208="THL",PR!$BJ1206,IF(K1208="UBASTIC",PR!$BK1206,IF(K1208="UNION",PR!$BL1206,IF(K1208="UNIQUE",PR!$BM1206,IF(K1208="VIXA",PR!$BN1206,IF(K1208="WWCV",PR!$BO1206,IF(K1208="ZOLON",PR!$BP1206,"-")))))))))))))))))))))))))))))))))))))))))))))))))))))))))))))))))</f>
        <v>875</v>
      </c>
    </row>
    <row r="1209" spans="1:12" ht="18.75" x14ac:dyDescent="0.3">
      <c r="A1209" s="430">
        <f>PR!A1207</f>
        <v>1085</v>
      </c>
      <c r="B1209" s="15" t="str">
        <f>PR!B1207</f>
        <v>FIELDS STAIN A (25g)</v>
      </c>
      <c r="C1209" s="113" t="str">
        <f>PR!D1207</f>
        <v>Bottle</v>
      </c>
      <c r="D1209" s="113">
        <f>PR!C1207</f>
        <v>6</v>
      </c>
      <c r="E1209" s="108">
        <f>IF(F1209="ALPHA",PR!$E1207,IF(F1209="ASSENE",PR!$F1207,IF(F1209="BIOFEM",PR!$G1207,IF(F1209="BIOMED",PR!$H1207,IF(F1209="CHI",PR!$I1207,IF(F1209="CLARION",PR!$J1207,IF(F1209="CODIX",PR!$K1207,IF(F1209="COSMADE",PR!$L1207,IF(F1209="SANCON",PR!$M1207,IF(F1209="DEVON",PR!$N1207,IF(F1209="DORTEMAG",PR!$O1207,IF(F1209="DGF",PR!$P1207,IF(F1209="DYNAMIC",PR!$Q1207,IF(F1209="EMZOR",PR!$R1207,IF(F1209="EUMATT",PR!$S1207,IF(F1209="FIDSON",PR!$T1207,IF(F1209="FCGLOBAL",PR!$U1207,IF(F1209="GENEITH",PR!$V1207,IF(F1209="GINOS",PR!$W1207,IF(F1209="GSK",PR!$X1207,IF(F1209="GLOBORG",PR!$Y1207,IF(F1209="GOODNEWS",PR!$Z1207,IF(F1209="GREENLIFE",PR!$AA1207,IF(F1209="HLINE",PR!$AB1207,IF(F1209="ROTECH",PR!$AC1207,IF(F1209="ISN",PR!$AD1207,IF(F1209="JAWA",PR!$AE1207,IF(F1209="LAYO",PR!$AF1207,IF(F1209="LEADWAY",PR!$AG1207,IF(F1209="LHV",PR!$AH1207,IF(F1209="MANOLA",PR!$AI1207,IF(F1209="MARCSON",PR!$AJ1207,IF(F1209="M&amp;B",PR!$AK1207,IF(F1209="MTRUST",PR!$AL1207,IF(F1209="MWORLD",PR!$AM1207,IF(F1209="MEGA",PR!$AN1207,IF(F1209="MICRONOVA",PR!$AO1207,IF(F1209="MFLASH",PR!$AP1207,IF(F1209="MORISON",PR!$AQ1207,IF(F1209="NEMEL",PR!$AR1207,IF(F1209="NHP",PR!$AS1207,IF(F1209="NHC",PR!$AT1207,IF(F1209="OLEAF",PR!$AU1207,IF(F1209="OCULUS",PR!$AV1207,IF(F1209="PACIFIC",PR!$AW1207,IF(F1209="PHAMATEX",PR!$AX1207,IF(F1209="PETHICS",PR!$AY1207,IF(F1209="PHILIPS",PR!$AZ1207,IF(F1209="RANBAXY",PR!$BA1207,IF(F1209="REALS",PR!$BB1207,IF(F1209="ROYAL",PR!$BC1207,IF(F1209="SAM",PR!$BD1207,IF(F1209="SEAGREEN",PR!$BE1207,IF(F1209="SKG",PR!$BF1207,IF(F1209="TAH",PR!$BG1207,IF(F1209="TAYLEK",PR!$BH1207,IF(F1209="TEMITA",PR!$BI1207,IF(F1209="THL",PR!$BJ1207,IF(F1209="UBASTIC",PR!$BK1207,IF(F1209="UNION",PR!$BL1207,IF(F1209="UNIQUE",PR!$BM1207,IF(F1209="VIXA",PR!$BN1207,IF(F1209="WWCV",PR!$BO1207,IF(F1209="ZOLON",PR!$BP1207,"-"))))))))))))))))))))))))))))))))))))))))))))))))))))))))))))))))</f>
        <v>300</v>
      </c>
      <c r="F1209" s="102" t="str">
        <f>EV!L1544</f>
        <v>TEMITA</v>
      </c>
      <c r="G1209" s="108">
        <f>IF(H1209="ALPHA",PR!$E1207,IF(H1209="ASSENE",PR!$F1207,IF(H1209="BIOFEM",PR!$G1207,IF(H1209="BIOMED",PR!$H1207,IF(H1209="CHI",PR!$I1207,IF(H1209="CLARION",PR!$J1207,IF(H1209="CODIX",PR!$K1207,IF(H1209="COSMADE",PR!$L1207,IF(H1209="SANCON",PR!$M1207,IF(H1209="DEVON",PR!$N1207,IF(H1209="DORTEMAG",PR!$O1207,IF(H1209="DGF",PR!$P1207,IF(H1209="DYNAMIC",PR!$Q1207,IF(H1209="EMZOR",PR!$R1207,IF(H1209="EUMATT",PR!$S1207,IF(H1209="FIDSON",PR!$T1207,IF(H1209="FCGLOBAL",PR!$U1207,IF(H1209="GENEITH",PR!$V1207,IF(H1209="GINOS",PR!$W1207,IF(H1209="GSK",PR!$X1207,IF(H1209="GLOBORG",PR!$Y1207,IF(H1209="GOODNEWS",PR!$Z1207,IF(H1209="GREENLIFE",PR!$AA1207,IF(H1209="HLINE",PR!$AB1207,IF(H1209="ROTECH",PR!$AC1207,IF(H1209="ISN",PR!$AD1207,IF(H1209="JAWA",PR!$AE1207,IF(H1209="LAYO",PR!$AF1207,IF(H1209="LEADWAY",PR!$AG1207,IF(H1209="LHV",PR!$AH1207,IF(H1209="MANOLA",PR!$AI1207,IF(H1209="MARCSON",PR!$AJ1207,IF(H1209="M&amp;B",PR!$AK1207,IF(H1209="MTRUST",PR!$AL1207,IF(H1209="MWORLD",PR!$AM1207,IF(H1209="MEGA",PR!$AN1207,IF(H1209="MICRONOVA",PR!$AO1207,IF(H1209="MFLASH",PR!$AP1207,IF(H1209="MORISON",PR!$AQ1207,IF(H1209="NEMEL",PR!$AR1207,IF(H1209="NHP",PR!$AS1207,IF(H1209="NHC",PR!$AT1207,IF(H1209="OLEAF",PR!$AU1207,IF(H1209="OCULUS",PR!$AV1207,IF(H1209="PACIFIC",PR!$AW1207,IF(H1209="PHAMATEX",PR!$AX1207,IF(H1209="PETHICS",PR!$AY1207,IF(H1209="PHILIPS",PR!$AZ1207,IF(H1209="RANBAXY",PR!$BA1207,IF(H1209="REALS",PR!$BB1207,IF(H1209="ROYAL",PR!$BC1207,IF(H1209="SAM",PR!$BD1207,IF(H1209="SEAGREEN",PR!$BE1207,IF(H1209="SKG",PR!$BF1207,IF(H1209="TAH",PR!$BG1207,IF(H1209="TAYLEK",PR!$BH1207,IF(H1209="TEMITA",PR!$BI1207,IF(H1209="THL",PR!$BJ1207,IF(H1209="UBASTIC",PR!$BK1207,IF(H1209="UNION",PR!$BL1207,IF(H1209="UNIQUE",PR!$BM1207,IF(H1209="VIXA",PR!$BN1207,IF(H1209="WWCV",PR!$BO1207,IF(H1209="ZOLON",PR!$BP1207,"-"))))))))))))))))))))))))))))))))))))))))))))))))))))))))))))))))</f>
        <v>2500</v>
      </c>
      <c r="H1209" s="102" t="str">
        <f>EV!M1544</f>
        <v>SANCON</v>
      </c>
      <c r="I1209" s="108">
        <f>IF(J1209="ALPHA",PR!$E1207,IF(J1209="ASSENE",PR!$F1207,IF(J1209="BIOFEM",PR!$G1207,IF(J1209="BIOMED",PR!$H1207,IF(J1209="CHI",PR!$I1207,IF(J1209="CLARION",PR!$J1207,IF(J1209="CODIX",PR!$K1207,IF(J1209="COSMADE",PR!$L1207,IF(J1209="SANCON",PR!$M1207,IF(J1209="DEVON",PR!$N1207,IF(J1209="DORTEMAG",PR!$O1207,IF(J1209="DGF",PR!$P1207,IF(J1209="DYNAMIC",PR!$Q1207,IF(J1209="EMZOR",PR!$R1207,IF(J1209="EUMATT",PR!$S1207,IF(J1209="FIDSON",PR!$T1207,IF(J1209="FCGLOBAL",PR!$U1207,IF(J1209="GENEITH",PR!$V1207,IF(J1209="GINOS",PR!$W1207,IF(J1209="GSK",PR!$X1207,IF(J1209="GLOBORG",PR!$Y1207,IF(J1209="GOODNEWS",PR!$Z1207,IF(J1209="GREENLIFE",PR!$AA1207,IF(J1209="HLINE",PR!$AB1207,IF(J1209="ROTECH",PR!$AC1207,IF(J1209="ISN",PR!$AD1207,IF(J1209="JAWA",PR!$AE1207,IF(J1209="LAYO",PR!$AF1207,IF(J1209="LEADWAY",PR!$AG1207,IF(J1209="LHV",PR!$AH1207,IF(J1209="MANOLA",PR!$AI1207,IF(J1209="MARCSON",PR!$AJ1207,IF(J1209="M&amp;B",PR!$AK1207,IF(J1209="MTRUST",PR!$AL1207,IF(J1209="MWORLD",PR!$AM1207,IF(J1209="MEGA",PR!$AN1207,IF(J1209="MICRONOVA",PR!$AO1207,IF(J1209="MFLASH",PR!$AP1207,IF(J1209="MORISON",PR!$AQ1207,IF(J1209="NEMEL",PR!$AR1207,IF(J1209="NHP",PR!$AS1207,IF(J1209="NHC",PR!$AT1207,IF(J1209="OLEAF",PR!$AU1207,IF(J1209="OCULUS",PR!$AV1207,IF(J1209="PACIFIC",PR!$AW1207,IF(J1209="PHAMATEX",PR!$AX1207,IF(J1209="PETHICS",PR!$AY1207,IF(J1209="PHILIPS",PR!$AZ1207,IF(J1209="RANBAXY",PR!$BA1207,IF(J1209="REALS",PR!$BB1207,IF(J1209="ROYAL",PR!$BC1207,IF(J1209="SAM",PR!$BD1207,IF(J1209="SEAGREEN",PR!$BE1207,IF(J1209="SKG",PR!$BF1207,IF(J1209="TAH",PR!$BG1207,IF(J1209="TAYLEK",PR!$BH1207,IF(J1209="TEMITA",PR!$BI1207,IF(J1209="THL",PR!$BJ1207,IF(J1209="UBASTIC",PR!$BK1207,IF(J1209="UNION",PR!$BL1207,IF(J1209="UNIQUE",PR!$BM1207,IF(J1209="VIXA",PR!$BN1207,IF(J1209="WWCV",PR!$BO1207,IF(J1209="ZOLON",PR!$BP1207,"-"))))))))))))))))))))))))))))))))))))))))))))))))))))))))))))))))</f>
        <v>3500</v>
      </c>
      <c r="J1209" s="102" t="str">
        <f>EV!N1544</f>
        <v>DYNAMIC</v>
      </c>
      <c r="K1209" s="433" t="s">
        <v>817</v>
      </c>
      <c r="L1209" s="183">
        <f>IF(K1209&gt;0,IF(K1209="ALPHA",PR!$E1207,IF(K1209="ASSENE",PR!$F1207,IF(K1209="BIOFEM",PR!$G1207,IF(K1209="BIOMED",PR!$H1207,IF(K1209="CHI",PR!$I1207,IF(K1209="CLARION",PR!$J1207,IF(K1209="CODIX",PR!$K1207,IF(K1209="COSMADE",PR!$L1207,IF(K1209="SANCON",PR!$M1207,IF(K1209="DEVON",PR!$N1207,IF(K1209="DORTEMAG",PR!$O1207,IF(K1209="DGF",PR!$P1207,IF(K1209="DYNAMIC",PR!$Q1207,IF(K1209="EMZOR",PR!$R1207,IF(K1209="EUMATT",PR!$S1207,IF(K1209="FIDSON",PR!$T1207,IF(K1209="FCGLOBAL",PR!$U1207,IF(K1209="GENEITH",PR!$V1207,IF(K1209="GINOS",PR!$W1207,IF(K1209="GSK",PR!$X1207,IF(K1209="GLOBORG",PR!$Y1207,IF(K1209="GOODNEWS",PR!$Z1207,IF(K1209="GREENLIFE",PR!$AA1207,IF(K1209="HLINE",PR!$AB1207,IF(K1209="ROTECH",PR!$AC1207,IF(K1209="ISN",PR!$AD1207,IF(K1209="JAWA",PR!$AE1207,IF(K1209="LAYO",PR!$AF1207,IF(K1209="LEADWAY",PR!$AG1207,IF(K1209="LHV",PR!$AH1207,IF(K1209="MANOLA",PR!$AI1207,IF(K1209="MARCSON",PR!$AJ1207,IF(K1209="M&amp;B",PR!$AK1207,IF(K1209="MTRUST",PR!$AL1207,IF(K1209="MWORLD",PR!$AM1207,IF(K1209="MEGA",PR!$AN1207,IF(K1209="MICRONOVA",PR!$AO1207,IF(K1209="MFLASH",PR!$AP1207,IF(K1209="MORISON",PR!$AQ1207,IF(K1209="NEMEL",PR!$AR1207,IF(K1209="NHP",PR!$AS1207,IF(K1209="NHC",PR!$AT1207,IF(K1209="OLEAF",PR!$AU1207,IF(K1209="OCULUS",PR!$AV1207,IF(K1209="PACIFIC",PR!$AW1207,IF(K1209="PHAMATEX",PR!$AX1207,IF(K1209="PETHICS",PR!$AY1207,IF(K1209="PHILIPS",PR!$AZ1207,IF(K1209="RANBAXY",PR!$BA1207,IF(K1209="REALS",PR!$BB1207,IF(K1209="ROYAL",PR!$BC1207,IF(K1209="SAM",PR!$BD1207,IF(K1209="SEAGREEN",PR!$BE1207,IF(K1209="SKG",PR!$BF1207,IF(K1209="TAH",PR!$BG1207,IF(K1209="TAYLEK",PR!$BH1207,IF(K1209="TEMITA",PR!$BI1207,IF(K1209="THL",PR!$BJ1207,IF(K1209="UBASTIC",PR!$BK1207,IF(K1209="UNION",PR!$BL1207,IF(K1209="UNIQUE",PR!$BM1207,IF(K1209="VIXA",PR!$BN1207,IF(K1209="WWCV",PR!$BO1207,IF(K1209="ZOLON",PR!$BP1207,"-")))))))))))))))))))))))))))))))))))))))))))))))))))))))))))))))))</f>
        <v>2500</v>
      </c>
    </row>
    <row r="1210" spans="1:12" ht="18.75" x14ac:dyDescent="0.3">
      <c r="A1210" s="430">
        <f>PR!A1208</f>
        <v>1086</v>
      </c>
      <c r="B1210" s="15" t="str">
        <f>PR!B1208</f>
        <v>FIELDS STAIN B (25g)</v>
      </c>
      <c r="C1210" s="113" t="str">
        <f>PR!D1208</f>
        <v>Bottle</v>
      </c>
      <c r="D1210" s="113">
        <f>PR!C1208</f>
        <v>6</v>
      </c>
      <c r="E1210" s="108">
        <f>IF(F1210="ALPHA",PR!$E1208,IF(F1210="ASSENE",PR!$F1208,IF(F1210="BIOFEM",PR!$G1208,IF(F1210="BIOMED",PR!$H1208,IF(F1210="CHI",PR!$I1208,IF(F1210="CLARION",PR!$J1208,IF(F1210="CODIX",PR!$K1208,IF(F1210="COSMADE",PR!$L1208,IF(F1210="SANCON",PR!$M1208,IF(F1210="DEVON",PR!$N1208,IF(F1210="DORTEMAG",PR!$O1208,IF(F1210="DGF",PR!$P1208,IF(F1210="DYNAMIC",PR!$Q1208,IF(F1210="EMZOR",PR!$R1208,IF(F1210="EUMATT",PR!$S1208,IF(F1210="FIDSON",PR!$T1208,IF(F1210="FCGLOBAL",PR!$U1208,IF(F1210="GENEITH",PR!$V1208,IF(F1210="GINOS",PR!$W1208,IF(F1210="GSK",PR!$X1208,IF(F1210="GLOBORG",PR!$Y1208,IF(F1210="GOODNEWS",PR!$Z1208,IF(F1210="GREENLIFE",PR!$AA1208,IF(F1210="HLINE",PR!$AB1208,IF(F1210="ROTECH",PR!$AC1208,IF(F1210="ISN",PR!$AD1208,IF(F1210="JAWA",PR!$AE1208,IF(F1210="LAYO",PR!$AF1208,IF(F1210="LEADWAY",PR!$AG1208,IF(F1210="LHV",PR!$AH1208,IF(F1210="MANOLA",PR!$AI1208,IF(F1210="MARCSON",PR!$AJ1208,IF(F1210="M&amp;B",PR!$AK1208,IF(F1210="MTRUST",PR!$AL1208,IF(F1210="MWORLD",PR!$AM1208,IF(F1210="MEGA",PR!$AN1208,IF(F1210="MICRONOVA",PR!$AO1208,IF(F1210="MFLASH",PR!$AP1208,IF(F1210="MORISON",PR!$AQ1208,IF(F1210="NEMEL",PR!$AR1208,IF(F1210="NHP",PR!$AS1208,IF(F1210="NHC",PR!$AT1208,IF(F1210="OLEAF",PR!$AU1208,IF(F1210="OCULUS",PR!$AV1208,IF(F1210="PACIFIC",PR!$AW1208,IF(F1210="PHAMATEX",PR!$AX1208,IF(F1210="PETHICS",PR!$AY1208,IF(F1210="PHILIPS",PR!$AZ1208,IF(F1210="RANBAXY",PR!$BA1208,IF(F1210="REALS",PR!$BB1208,IF(F1210="ROYAL",PR!$BC1208,IF(F1210="SAM",PR!$BD1208,IF(F1210="SEAGREEN",PR!$BE1208,IF(F1210="SKG",PR!$BF1208,IF(F1210="TAH",PR!$BG1208,IF(F1210="TAYLEK",PR!$BH1208,IF(F1210="TEMITA",PR!$BI1208,IF(F1210="THL",PR!$BJ1208,IF(F1210="UBASTIC",PR!$BK1208,IF(F1210="UNION",PR!$BL1208,IF(F1210="UNIQUE",PR!$BM1208,IF(F1210="VIXA",PR!$BN1208,IF(F1210="WWCV",PR!$BO1208,IF(F1210="ZOLON",PR!$BP1208,"-"))))))))))))))))))))))))))))))))))))))))))))))))))))))))))))))))</f>
        <v>2500</v>
      </c>
      <c r="F1210" s="102" t="str">
        <f>EV!L1545</f>
        <v>SANCON</v>
      </c>
      <c r="G1210" s="108">
        <f>IF(H1210="ALPHA",PR!$E1208,IF(H1210="ASSENE",PR!$F1208,IF(H1210="BIOFEM",PR!$G1208,IF(H1210="BIOMED",PR!$H1208,IF(H1210="CHI",PR!$I1208,IF(H1210="CLARION",PR!$J1208,IF(H1210="CODIX",PR!$K1208,IF(H1210="COSMADE",PR!$L1208,IF(H1210="SANCON",PR!$M1208,IF(H1210="DEVON",PR!$N1208,IF(H1210="DORTEMAG",PR!$O1208,IF(H1210="DGF",PR!$P1208,IF(H1210="DYNAMIC",PR!$Q1208,IF(H1210="EMZOR",PR!$R1208,IF(H1210="EUMATT",PR!$S1208,IF(H1210="FIDSON",PR!$T1208,IF(H1210="FCGLOBAL",PR!$U1208,IF(H1210="GENEITH",PR!$V1208,IF(H1210="GINOS",PR!$W1208,IF(H1210="GSK",PR!$X1208,IF(H1210="GLOBORG",PR!$Y1208,IF(H1210="GOODNEWS",PR!$Z1208,IF(H1210="GREENLIFE",PR!$AA1208,IF(H1210="HLINE",PR!$AB1208,IF(H1210="ROTECH",PR!$AC1208,IF(H1210="ISN",PR!$AD1208,IF(H1210="JAWA",PR!$AE1208,IF(H1210="LAYO",PR!$AF1208,IF(H1210="LEADWAY",PR!$AG1208,IF(H1210="LHV",PR!$AH1208,IF(H1210="MANOLA",PR!$AI1208,IF(H1210="MARCSON",PR!$AJ1208,IF(H1210="M&amp;B",PR!$AK1208,IF(H1210="MTRUST",PR!$AL1208,IF(H1210="MWORLD",PR!$AM1208,IF(H1210="MEGA",PR!$AN1208,IF(H1210="MICRONOVA",PR!$AO1208,IF(H1210="MFLASH",PR!$AP1208,IF(H1210="MORISON",PR!$AQ1208,IF(H1210="NEMEL",PR!$AR1208,IF(H1210="NHP",PR!$AS1208,IF(H1210="NHC",PR!$AT1208,IF(H1210="OLEAF",PR!$AU1208,IF(H1210="OCULUS",PR!$AV1208,IF(H1210="PACIFIC",PR!$AW1208,IF(H1210="PHAMATEX",PR!$AX1208,IF(H1210="PETHICS",PR!$AY1208,IF(H1210="PHILIPS",PR!$AZ1208,IF(H1210="RANBAXY",PR!$BA1208,IF(H1210="REALS",PR!$BB1208,IF(H1210="ROYAL",PR!$BC1208,IF(H1210="SAM",PR!$BD1208,IF(H1210="SEAGREEN",PR!$BE1208,IF(H1210="SKG",PR!$BF1208,IF(H1210="TAH",PR!$BG1208,IF(H1210="TAYLEK",PR!$BH1208,IF(H1210="TEMITA",PR!$BI1208,IF(H1210="THL",PR!$BJ1208,IF(H1210="UBASTIC",PR!$BK1208,IF(H1210="UNION",PR!$BL1208,IF(H1210="UNIQUE",PR!$BM1208,IF(H1210="VIXA",PR!$BN1208,IF(H1210="WWCV",PR!$BO1208,IF(H1210="ZOLON",PR!$BP1208,"-"))))))))))))))))))))))))))))))))))))))))))))))))))))))))))))))))</f>
        <v>3500</v>
      </c>
      <c r="H1210" s="102" t="str">
        <f>EV!M1545</f>
        <v>DYNAMIC</v>
      </c>
      <c r="I1210" s="108">
        <f>IF(J1210="ALPHA",PR!$E1208,IF(J1210="ASSENE",PR!$F1208,IF(J1210="BIOFEM",PR!$G1208,IF(J1210="BIOMED",PR!$H1208,IF(J1210="CHI",PR!$I1208,IF(J1210="CLARION",PR!$J1208,IF(J1210="CODIX",PR!$K1208,IF(J1210="COSMADE",PR!$L1208,IF(J1210="SANCON",PR!$M1208,IF(J1210="DEVON",PR!$N1208,IF(J1210="DORTEMAG",PR!$O1208,IF(J1210="DGF",PR!$P1208,IF(J1210="DYNAMIC",PR!$Q1208,IF(J1210="EMZOR",PR!$R1208,IF(J1210="EUMATT",PR!$S1208,IF(J1210="FIDSON",PR!$T1208,IF(J1210="FCGLOBAL",PR!$U1208,IF(J1210="GENEITH",PR!$V1208,IF(J1210="GINOS",PR!$W1208,IF(J1210="GSK",PR!$X1208,IF(J1210="GLOBORG",PR!$Y1208,IF(J1210="GOODNEWS",PR!$Z1208,IF(J1210="GREENLIFE",PR!$AA1208,IF(J1210="HLINE",PR!$AB1208,IF(J1210="ROTECH",PR!$AC1208,IF(J1210="ISN",PR!$AD1208,IF(J1210="JAWA",PR!$AE1208,IF(J1210="LAYO",PR!$AF1208,IF(J1210="LEADWAY",PR!$AG1208,IF(J1210="LHV",PR!$AH1208,IF(J1210="MANOLA",PR!$AI1208,IF(J1210="MARCSON",PR!$AJ1208,IF(J1210="M&amp;B",PR!$AK1208,IF(J1210="MTRUST",PR!$AL1208,IF(J1210="MWORLD",PR!$AM1208,IF(J1210="MEGA",PR!$AN1208,IF(J1210="MICRONOVA",PR!$AO1208,IF(J1210="MFLASH",PR!$AP1208,IF(J1210="MORISON",PR!$AQ1208,IF(J1210="NEMEL",PR!$AR1208,IF(J1210="NHP",PR!$AS1208,IF(J1210="NHC",PR!$AT1208,IF(J1210="OLEAF",PR!$AU1208,IF(J1210="OCULUS",PR!$AV1208,IF(J1210="PACIFIC",PR!$AW1208,IF(J1210="PHAMATEX",PR!$AX1208,IF(J1210="PETHICS",PR!$AY1208,IF(J1210="PHILIPS",PR!$AZ1208,IF(J1210="RANBAXY",PR!$BA1208,IF(J1210="REALS",PR!$BB1208,IF(J1210="ROYAL",PR!$BC1208,IF(J1210="SAM",PR!$BD1208,IF(J1210="SEAGREEN",PR!$BE1208,IF(J1210="SKG",PR!$BF1208,IF(J1210="TAH",PR!$BG1208,IF(J1210="TAYLEK",PR!$BH1208,IF(J1210="TEMITA",PR!$BI1208,IF(J1210="THL",PR!$BJ1208,IF(J1210="UBASTIC",PR!$BK1208,IF(J1210="UNION",PR!$BL1208,IF(J1210="UNIQUE",PR!$BM1208,IF(J1210="VIXA",PR!$BN1208,IF(J1210="WWCV",PR!$BO1208,IF(J1210="ZOLON",PR!$BP1208,"-"))))))))))))))))))))))))))))))))))))))))))))))))))))))))))))))))</f>
        <v>3500</v>
      </c>
      <c r="J1210" s="102" t="str">
        <f>EV!N1545</f>
        <v>UBASTIC</v>
      </c>
      <c r="K1210" s="433" t="s">
        <v>817</v>
      </c>
      <c r="L1210" s="183">
        <f>IF(K1210&gt;0,IF(K1210="ALPHA",PR!$E1208,IF(K1210="ASSENE",PR!$F1208,IF(K1210="BIOFEM",PR!$G1208,IF(K1210="BIOMED",PR!$H1208,IF(K1210="CHI",PR!$I1208,IF(K1210="CLARION",PR!$J1208,IF(K1210="CODIX",PR!$K1208,IF(K1210="COSMADE",PR!$L1208,IF(K1210="SANCON",PR!$M1208,IF(K1210="DEVON",PR!$N1208,IF(K1210="DORTEMAG",PR!$O1208,IF(K1210="DGF",PR!$P1208,IF(K1210="DYNAMIC",PR!$Q1208,IF(K1210="EMZOR",PR!$R1208,IF(K1210="EUMATT",PR!$S1208,IF(K1210="FIDSON",PR!$T1208,IF(K1210="FCGLOBAL",PR!$U1208,IF(K1210="GENEITH",PR!$V1208,IF(K1210="GINOS",PR!$W1208,IF(K1210="GSK",PR!$X1208,IF(K1210="GLOBORG",PR!$Y1208,IF(K1210="GOODNEWS",PR!$Z1208,IF(K1210="GREENLIFE",PR!$AA1208,IF(K1210="HLINE",PR!$AB1208,IF(K1210="ROTECH",PR!$AC1208,IF(K1210="ISN",PR!$AD1208,IF(K1210="JAWA",PR!$AE1208,IF(K1210="LAYO",PR!$AF1208,IF(K1210="LEADWAY",PR!$AG1208,IF(K1210="LHV",PR!$AH1208,IF(K1210="MANOLA",PR!$AI1208,IF(K1210="MARCSON",PR!$AJ1208,IF(K1210="M&amp;B",PR!$AK1208,IF(K1210="MTRUST",PR!$AL1208,IF(K1210="MWORLD",PR!$AM1208,IF(K1210="MEGA",PR!$AN1208,IF(K1210="MICRONOVA",PR!$AO1208,IF(K1210="MFLASH",PR!$AP1208,IF(K1210="MORISON",PR!$AQ1208,IF(K1210="NEMEL",PR!$AR1208,IF(K1210="NHP",PR!$AS1208,IF(K1210="NHC",PR!$AT1208,IF(K1210="OLEAF",PR!$AU1208,IF(K1210="OCULUS",PR!$AV1208,IF(K1210="PACIFIC",PR!$AW1208,IF(K1210="PHAMATEX",PR!$AX1208,IF(K1210="PETHICS",PR!$AY1208,IF(K1210="PHILIPS",PR!$AZ1208,IF(K1210="RANBAXY",PR!$BA1208,IF(K1210="REALS",PR!$BB1208,IF(K1210="ROYAL",PR!$BC1208,IF(K1210="SAM",PR!$BD1208,IF(K1210="SEAGREEN",PR!$BE1208,IF(K1210="SKG",PR!$BF1208,IF(K1210="TAH",PR!$BG1208,IF(K1210="TAYLEK",PR!$BH1208,IF(K1210="TEMITA",PR!$BI1208,IF(K1210="THL",PR!$BJ1208,IF(K1210="UBASTIC",PR!$BK1208,IF(K1210="UNION",PR!$BL1208,IF(K1210="UNIQUE",PR!$BM1208,IF(K1210="VIXA",PR!$BN1208,IF(K1210="WWCV",PR!$BO1208,IF(K1210="ZOLON",PR!$BP1208,"-")))))))))))))))))))))))))))))))))))))))))))))))))))))))))))))))))</f>
        <v>2500</v>
      </c>
    </row>
    <row r="1211" spans="1:12" ht="18.75" x14ac:dyDescent="0.3">
      <c r="A1211" s="430">
        <f>PR!A1209</f>
        <v>1087</v>
      </c>
      <c r="B1211" s="15" t="str">
        <f>PR!B1209</f>
        <v>GIEMSA STAIN 25g</v>
      </c>
      <c r="C1211" s="113" t="str">
        <f>PR!D1209</f>
        <v>Bottles</v>
      </c>
      <c r="D1211" s="113">
        <f>PR!C1209</f>
        <v>2</v>
      </c>
      <c r="E1211" s="108">
        <f>IF(F1211="ALPHA",PR!$E1209,IF(F1211="ASSENE",PR!$F1209,IF(F1211="BIOFEM",PR!$G1209,IF(F1211="BIOMED",PR!$H1209,IF(F1211="CHI",PR!$I1209,IF(F1211="CLARION",PR!$J1209,IF(F1211="CODIX",PR!$K1209,IF(F1211="COSMADE",PR!$L1209,IF(F1211="SANCON",PR!$M1209,IF(F1211="DEVON",PR!$N1209,IF(F1211="DORTEMAG",PR!$O1209,IF(F1211="DGF",PR!$P1209,IF(F1211="DYNAMIC",PR!$Q1209,IF(F1211="EMZOR",PR!$R1209,IF(F1211="EUMATT",PR!$S1209,IF(F1211="FIDSON",PR!$T1209,IF(F1211="FCGLOBAL",PR!$U1209,IF(F1211="GENEITH",PR!$V1209,IF(F1211="GINOS",PR!$W1209,IF(F1211="GSK",PR!$X1209,IF(F1211="GLOBORG",PR!$Y1209,IF(F1211="GOODNEWS",PR!$Z1209,IF(F1211="GREENLIFE",PR!$AA1209,IF(F1211="HLINE",PR!$AB1209,IF(F1211="ROTECH",PR!$AC1209,IF(F1211="ISN",PR!$AD1209,IF(F1211="JAWA",PR!$AE1209,IF(F1211="LAYO",PR!$AF1209,IF(F1211="LEADWAY",PR!$AG1209,IF(F1211="LHV",PR!$AH1209,IF(F1211="MANOLA",PR!$AI1209,IF(F1211="MARCSON",PR!$AJ1209,IF(F1211="M&amp;B",PR!$AK1209,IF(F1211="MTRUST",PR!$AL1209,IF(F1211="MWORLD",PR!$AM1209,IF(F1211="MEGA",PR!$AN1209,IF(F1211="MICRONOVA",PR!$AO1209,IF(F1211="MFLASH",PR!$AP1209,IF(F1211="MORISON",PR!$AQ1209,IF(F1211="NEMEL",PR!$AR1209,IF(F1211="NHP",PR!$AS1209,IF(F1211="NHC",PR!$AT1209,IF(F1211="OLEAF",PR!$AU1209,IF(F1211="OCULUS",PR!$AV1209,IF(F1211="PACIFIC",PR!$AW1209,IF(F1211="PHAMATEX",PR!$AX1209,IF(F1211="PETHICS",PR!$AY1209,IF(F1211="PHILIPS",PR!$AZ1209,IF(F1211="RANBAXY",PR!$BA1209,IF(F1211="REALS",PR!$BB1209,IF(F1211="ROYAL",PR!$BC1209,IF(F1211="SAM",PR!$BD1209,IF(F1211="SEAGREEN",PR!$BE1209,IF(F1211="SKG",PR!$BF1209,IF(F1211="TAH",PR!$BG1209,IF(F1211="TAYLEK",PR!$BH1209,IF(F1211="TEMITA",PR!$BI1209,IF(F1211="THL",PR!$BJ1209,IF(F1211="UBASTIC",PR!$BK1209,IF(F1211="UNION",PR!$BL1209,IF(F1211="UNIQUE",PR!$BM1209,IF(F1211="VIXA",PR!$BN1209,IF(F1211="WWCV",PR!$BO1209,IF(F1211="ZOLON",PR!$BP1209,"-"))))))))))))))))))))))))))))))))))))))))))))))))))))))))))))))))</f>
        <v>3500</v>
      </c>
      <c r="F1211" s="102" t="str">
        <f>EV!L1546</f>
        <v>UBASTIC</v>
      </c>
      <c r="G1211" s="108">
        <f>IF(H1211="ALPHA",PR!$E1209,IF(H1211="ASSENE",PR!$F1209,IF(H1211="BIOFEM",PR!$G1209,IF(H1211="BIOMED",PR!$H1209,IF(H1211="CHI",PR!$I1209,IF(H1211="CLARION",PR!$J1209,IF(H1211="CODIX",PR!$K1209,IF(H1211="COSMADE",PR!$L1209,IF(H1211="SANCON",PR!$M1209,IF(H1211="DEVON",PR!$N1209,IF(H1211="DORTEMAG",PR!$O1209,IF(H1211="DGF",PR!$P1209,IF(H1211="DYNAMIC",PR!$Q1209,IF(H1211="EMZOR",PR!$R1209,IF(H1211="EUMATT",PR!$S1209,IF(H1211="FIDSON",PR!$T1209,IF(H1211="FCGLOBAL",PR!$U1209,IF(H1211="GENEITH",PR!$V1209,IF(H1211="GINOS",PR!$W1209,IF(H1211="GSK",PR!$X1209,IF(H1211="GLOBORG",PR!$Y1209,IF(H1211="GOODNEWS",PR!$Z1209,IF(H1211="GREENLIFE",PR!$AA1209,IF(H1211="HLINE",PR!$AB1209,IF(H1211="ROTECH",PR!$AC1209,IF(H1211="ISN",PR!$AD1209,IF(H1211="JAWA",PR!$AE1209,IF(H1211="LAYO",PR!$AF1209,IF(H1211="LEADWAY",PR!$AG1209,IF(H1211="LHV",PR!$AH1209,IF(H1211="MANOLA",PR!$AI1209,IF(H1211="MARCSON",PR!$AJ1209,IF(H1211="M&amp;B",PR!$AK1209,IF(H1211="MTRUST",PR!$AL1209,IF(H1211="MWORLD",PR!$AM1209,IF(H1211="MEGA",PR!$AN1209,IF(H1211="MICRONOVA",PR!$AO1209,IF(H1211="MFLASH",PR!$AP1209,IF(H1211="MORISON",PR!$AQ1209,IF(H1211="NEMEL",PR!$AR1209,IF(H1211="NHP",PR!$AS1209,IF(H1211="NHC",PR!$AT1209,IF(H1211="OLEAF",PR!$AU1209,IF(H1211="OCULUS",PR!$AV1209,IF(H1211="PACIFIC",PR!$AW1209,IF(H1211="PHAMATEX",PR!$AX1209,IF(H1211="PETHICS",PR!$AY1209,IF(H1211="PHILIPS",PR!$AZ1209,IF(H1211="RANBAXY",PR!$BA1209,IF(H1211="REALS",PR!$BB1209,IF(H1211="ROYAL",PR!$BC1209,IF(H1211="SAM",PR!$BD1209,IF(H1211="SEAGREEN",PR!$BE1209,IF(H1211="SKG",PR!$BF1209,IF(H1211="TAH",PR!$BG1209,IF(H1211="TAYLEK",PR!$BH1209,IF(H1211="TEMITA",PR!$BI1209,IF(H1211="THL",PR!$BJ1209,IF(H1211="UBASTIC",PR!$BK1209,IF(H1211="UNION",PR!$BL1209,IF(H1211="UNIQUE",PR!$BM1209,IF(H1211="VIXA",PR!$BN1209,IF(H1211="WWCV",PR!$BO1209,IF(H1211="ZOLON",PR!$BP1209,"-"))))))))))))))))))))))))))))))))))))))))))))))))))))))))))))))))</f>
        <v>3600</v>
      </c>
      <c r="H1211" s="102" t="str">
        <f>EV!M1546</f>
        <v>SANCON</v>
      </c>
      <c r="I1211" s="108">
        <f>IF(J1211="ALPHA",PR!$E1209,IF(J1211="ASSENE",PR!$F1209,IF(J1211="BIOFEM",PR!$G1209,IF(J1211="BIOMED",PR!$H1209,IF(J1211="CHI",PR!$I1209,IF(J1211="CLARION",PR!$J1209,IF(J1211="CODIX",PR!$K1209,IF(J1211="COSMADE",PR!$L1209,IF(J1211="SANCON",PR!$M1209,IF(J1211="DEVON",PR!$N1209,IF(J1211="DORTEMAG",PR!$O1209,IF(J1211="DGF",PR!$P1209,IF(J1211="DYNAMIC",PR!$Q1209,IF(J1211="EMZOR",PR!$R1209,IF(J1211="EUMATT",PR!$S1209,IF(J1211="FIDSON",PR!$T1209,IF(J1211="FCGLOBAL",PR!$U1209,IF(J1211="GENEITH",PR!$V1209,IF(J1211="GINOS",PR!$W1209,IF(J1211="GSK",PR!$X1209,IF(J1211="GLOBORG",PR!$Y1209,IF(J1211="GOODNEWS",PR!$Z1209,IF(J1211="GREENLIFE",PR!$AA1209,IF(J1211="HLINE",PR!$AB1209,IF(J1211="ROTECH",PR!$AC1209,IF(J1211="ISN",PR!$AD1209,IF(J1211="JAWA",PR!$AE1209,IF(J1211="LAYO",PR!$AF1209,IF(J1211="LEADWAY",PR!$AG1209,IF(J1211="LHV",PR!$AH1209,IF(J1211="MANOLA",PR!$AI1209,IF(J1211="MARCSON",PR!$AJ1209,IF(J1211="M&amp;B",PR!$AK1209,IF(J1211="MTRUST",PR!$AL1209,IF(J1211="MWORLD",PR!$AM1209,IF(J1211="MEGA",PR!$AN1209,IF(J1211="MICRONOVA",PR!$AO1209,IF(J1211="MFLASH",PR!$AP1209,IF(J1211="MORISON",PR!$AQ1209,IF(J1211="NEMEL",PR!$AR1209,IF(J1211="NHP",PR!$AS1209,IF(J1211="NHC",PR!$AT1209,IF(J1211="OLEAF",PR!$AU1209,IF(J1211="OCULUS",PR!$AV1209,IF(J1211="PACIFIC",PR!$AW1209,IF(J1211="PHAMATEX",PR!$AX1209,IF(J1211="PETHICS",PR!$AY1209,IF(J1211="PHILIPS",PR!$AZ1209,IF(J1211="RANBAXY",PR!$BA1209,IF(J1211="REALS",PR!$BB1209,IF(J1211="ROYAL",PR!$BC1209,IF(J1211="SAM",PR!$BD1209,IF(J1211="SEAGREEN",PR!$BE1209,IF(J1211="SKG",PR!$BF1209,IF(J1211="TAH",PR!$BG1209,IF(J1211="TAYLEK",PR!$BH1209,IF(J1211="TEMITA",PR!$BI1209,IF(J1211="THL",PR!$BJ1209,IF(J1211="UBASTIC",PR!$BK1209,IF(J1211="UNION",PR!$BL1209,IF(J1211="UNIQUE",PR!$BM1209,IF(J1211="VIXA",PR!$BN1209,IF(J1211="WWCV",PR!$BO1209,IF(J1211="ZOLON",PR!$BP1209,"-"))))))))))))))))))))))))))))))))))))))))))))))))))))))))))))))))</f>
        <v>4375</v>
      </c>
      <c r="J1211" s="102" t="str">
        <f>EV!N1546</f>
        <v>DYNAMIC</v>
      </c>
      <c r="K1211" s="433" t="s">
        <v>1459</v>
      </c>
      <c r="L1211" s="183">
        <f>IF(K1211&gt;0,IF(K1211="ALPHA",PR!$E1209,IF(K1211="ASSENE",PR!$F1209,IF(K1211="BIOFEM",PR!$G1209,IF(K1211="BIOMED",PR!$H1209,IF(K1211="CHI",PR!$I1209,IF(K1211="CLARION",PR!$J1209,IF(K1211="CODIX",PR!$K1209,IF(K1211="COSMADE",PR!$L1209,IF(K1211="SANCON",PR!$M1209,IF(K1211="DEVON",PR!$N1209,IF(K1211="DORTEMAG",PR!$O1209,IF(K1211="DGF",PR!$P1209,IF(K1211="DYNAMIC",PR!$Q1209,IF(K1211="EMZOR",PR!$R1209,IF(K1211="EUMATT",PR!$S1209,IF(K1211="FIDSON",PR!$T1209,IF(K1211="FCGLOBAL",PR!$U1209,IF(K1211="GENEITH",PR!$V1209,IF(K1211="GINOS",PR!$W1209,IF(K1211="GSK",PR!$X1209,IF(K1211="GLOBORG",PR!$Y1209,IF(K1211="GOODNEWS",PR!$Z1209,IF(K1211="GREENLIFE",PR!$AA1209,IF(K1211="HLINE",PR!$AB1209,IF(K1211="ROTECH",PR!$AC1209,IF(K1211="ISN",PR!$AD1209,IF(K1211="JAWA",PR!$AE1209,IF(K1211="LAYO",PR!$AF1209,IF(K1211="LEADWAY",PR!$AG1209,IF(K1211="LHV",PR!$AH1209,IF(K1211="MANOLA",PR!$AI1209,IF(K1211="MARCSON",PR!$AJ1209,IF(K1211="M&amp;B",PR!$AK1209,IF(K1211="MTRUST",PR!$AL1209,IF(K1211="MWORLD",PR!$AM1209,IF(K1211="MEGA",PR!$AN1209,IF(K1211="MICRONOVA",PR!$AO1209,IF(K1211="MFLASH",PR!$AP1209,IF(K1211="MORISON",PR!$AQ1209,IF(K1211="NEMEL",PR!$AR1209,IF(K1211="NHP",PR!$AS1209,IF(K1211="NHC",PR!$AT1209,IF(K1211="OLEAF",PR!$AU1209,IF(K1211="OCULUS",PR!$AV1209,IF(K1211="PACIFIC",PR!$AW1209,IF(K1211="PHAMATEX",PR!$AX1209,IF(K1211="PETHICS",PR!$AY1209,IF(K1211="PHILIPS",PR!$AZ1209,IF(K1211="RANBAXY",PR!$BA1209,IF(K1211="REALS",PR!$BB1209,IF(K1211="ROYAL",PR!$BC1209,IF(K1211="SAM",PR!$BD1209,IF(K1211="SEAGREEN",PR!$BE1209,IF(K1211="SKG",PR!$BF1209,IF(K1211="TAH",PR!$BG1209,IF(K1211="TAYLEK",PR!$BH1209,IF(K1211="TEMITA",PR!$BI1209,IF(K1211="THL",PR!$BJ1209,IF(K1211="UBASTIC",PR!$BK1209,IF(K1211="UNION",PR!$BL1209,IF(K1211="UNIQUE",PR!$BM1209,IF(K1211="VIXA",PR!$BN1209,IF(K1211="WWCV",PR!$BO1209,IF(K1211="ZOLON",PR!$BP1209,"-")))))))))))))))))))))))))))))))))))))))))))))))))))))))))))))))))</f>
        <v>3500</v>
      </c>
    </row>
    <row r="1212" spans="1:12" ht="18.75" x14ac:dyDescent="0.3">
      <c r="A1212" s="430">
        <f>PR!A1210</f>
        <v>1088</v>
      </c>
      <c r="B1212" s="15" t="str">
        <f>PR!B1210</f>
        <v>MISSION HAEMOGLOBIN TEST STRIP</v>
      </c>
      <c r="C1212" s="113" t="str">
        <f>PR!D1210</f>
        <v>Pkt</v>
      </c>
      <c r="D1212" s="113">
        <f>PR!C1210</f>
        <v>6</v>
      </c>
      <c r="E1212" s="108">
        <f>IF(F1212="ALPHA",PR!$E1210,IF(F1212="ASSENE",PR!$F1210,IF(F1212="BIOFEM",PR!$G1210,IF(F1212="BIOMED",PR!$H1210,IF(F1212="CHI",PR!$I1210,IF(F1212="CLARION",PR!$J1210,IF(F1212="CODIX",PR!$K1210,IF(F1212="COSMADE",PR!$L1210,IF(F1212="SANCON",PR!$M1210,IF(F1212="DEVON",PR!$N1210,IF(F1212="DORTEMAG",PR!$O1210,IF(F1212="DGF",PR!$P1210,IF(F1212="DYNAMIC",PR!$Q1210,IF(F1212="EMZOR",PR!$R1210,IF(F1212="EUMATT",PR!$S1210,IF(F1212="FIDSON",PR!$T1210,IF(F1212="FCGLOBAL",PR!$U1210,IF(F1212="GENEITH",PR!$V1210,IF(F1212="GINOS",PR!$W1210,IF(F1212="GSK",PR!$X1210,IF(F1212="GLOBORG",PR!$Y1210,IF(F1212="GOODNEWS",PR!$Z1210,IF(F1212="GREENLIFE",PR!$AA1210,IF(F1212="HLINE",PR!$AB1210,IF(F1212="ROTECH",PR!$AC1210,IF(F1212="ISN",PR!$AD1210,IF(F1212="JAWA",PR!$AE1210,IF(F1212="LAYO",PR!$AF1210,IF(F1212="LEADWAY",PR!$AG1210,IF(F1212="LHV",PR!$AH1210,IF(F1212="MANOLA",PR!$AI1210,IF(F1212="MARCSON",PR!$AJ1210,IF(F1212="M&amp;B",PR!$AK1210,IF(F1212="MTRUST",PR!$AL1210,IF(F1212="MWORLD",PR!$AM1210,IF(F1212="MEGA",PR!$AN1210,IF(F1212="MICRONOVA",PR!$AO1210,IF(F1212="MFLASH",PR!$AP1210,IF(F1212="MORISON",PR!$AQ1210,IF(F1212="NEMEL",PR!$AR1210,IF(F1212="NHP",PR!$AS1210,IF(F1212="NHC",PR!$AT1210,IF(F1212="OLEAF",PR!$AU1210,IF(F1212="OCULUS",PR!$AV1210,IF(F1212="PACIFIC",PR!$AW1210,IF(F1212="PHAMATEX",PR!$AX1210,IF(F1212="PETHICS",PR!$AY1210,IF(F1212="PHILIPS",PR!$AZ1210,IF(F1212="RANBAXY",PR!$BA1210,IF(F1212="REALS",PR!$BB1210,IF(F1212="ROYAL",PR!$BC1210,IF(F1212="SAM",PR!$BD1210,IF(F1212="SEAGREEN",PR!$BE1210,IF(F1212="SKG",PR!$BF1210,IF(F1212="TAH",PR!$BG1210,IF(F1212="TAYLEK",PR!$BH1210,IF(F1212="TEMITA",PR!$BI1210,IF(F1212="THL",PR!$BJ1210,IF(F1212="UBASTIC",PR!$BK1210,IF(F1212="UNION",PR!$BL1210,IF(F1212="UNIQUE",PR!$BM1210,IF(F1212="VIXA",PR!$BN1210,IF(F1212="WWCV",PR!$BO1210,IF(F1212="ZOLON",PR!$BP1210,"-"))))))))))))))))))))))))))))))))))))))))))))))))))))))))))))))))</f>
        <v>13125</v>
      </c>
      <c r="F1212" s="102" t="str">
        <f>EV!L1547</f>
        <v>DYNAMIC</v>
      </c>
      <c r="G1212" s="108">
        <f>IF(H1212="ALPHA",PR!$E1210,IF(H1212="ASSENE",PR!$F1210,IF(H1212="BIOFEM",PR!$G1210,IF(H1212="BIOMED",PR!$H1210,IF(H1212="CHI",PR!$I1210,IF(H1212="CLARION",PR!$J1210,IF(H1212="CODIX",PR!$K1210,IF(H1212="COSMADE",PR!$L1210,IF(H1212="SANCON",PR!$M1210,IF(H1212="DEVON",PR!$N1210,IF(H1212="DORTEMAG",PR!$O1210,IF(H1212="DGF",PR!$P1210,IF(H1212="DYNAMIC",PR!$Q1210,IF(H1212="EMZOR",PR!$R1210,IF(H1212="EUMATT",PR!$S1210,IF(H1212="FIDSON",PR!$T1210,IF(H1212="FCGLOBAL",PR!$U1210,IF(H1212="GENEITH",PR!$V1210,IF(H1212="GINOS",PR!$W1210,IF(H1212="GSK",PR!$X1210,IF(H1212="GLOBORG",PR!$Y1210,IF(H1212="GOODNEWS",PR!$Z1210,IF(H1212="GREENLIFE",PR!$AA1210,IF(H1212="HLINE",PR!$AB1210,IF(H1212="ROTECH",PR!$AC1210,IF(H1212="ISN",PR!$AD1210,IF(H1212="JAWA",PR!$AE1210,IF(H1212="LAYO",PR!$AF1210,IF(H1212="LEADWAY",PR!$AG1210,IF(H1212="LHV",PR!$AH1210,IF(H1212="MANOLA",PR!$AI1210,IF(H1212="MARCSON",PR!$AJ1210,IF(H1212="M&amp;B",PR!$AK1210,IF(H1212="MTRUST",PR!$AL1210,IF(H1212="MWORLD",PR!$AM1210,IF(H1212="MEGA",PR!$AN1210,IF(H1212="MICRONOVA",PR!$AO1210,IF(H1212="MFLASH",PR!$AP1210,IF(H1212="MORISON",PR!$AQ1210,IF(H1212="NEMEL",PR!$AR1210,IF(H1212="NHP",PR!$AS1210,IF(H1212="NHC",PR!$AT1210,IF(H1212="OLEAF",PR!$AU1210,IF(H1212="OCULUS",PR!$AV1210,IF(H1212="PACIFIC",PR!$AW1210,IF(H1212="PHAMATEX",PR!$AX1210,IF(H1212="PETHICS",PR!$AY1210,IF(H1212="PHILIPS",PR!$AZ1210,IF(H1212="RANBAXY",PR!$BA1210,IF(H1212="REALS",PR!$BB1210,IF(H1212="ROYAL",PR!$BC1210,IF(H1212="SAM",PR!$BD1210,IF(H1212="SEAGREEN",PR!$BE1210,IF(H1212="SKG",PR!$BF1210,IF(H1212="TAH",PR!$BG1210,IF(H1212="TAYLEK",PR!$BH1210,IF(H1212="TEMITA",PR!$BI1210,IF(H1212="THL",PR!$BJ1210,IF(H1212="UBASTIC",PR!$BK1210,IF(H1212="UNION",PR!$BL1210,IF(H1212="UNIQUE",PR!$BM1210,IF(H1212="VIXA",PR!$BN1210,IF(H1212="WWCV",PR!$BO1210,IF(H1212="ZOLON",PR!$BP1210,"-"))))))))))))))))))))))))))))))))))))))))))))))))))))))))))))))))</f>
        <v>15000</v>
      </c>
      <c r="H1212" s="102" t="str">
        <f>EV!M1547</f>
        <v>UBASTIC</v>
      </c>
      <c r="I1212" s="108" t="str">
        <f>IF(J1212="ALPHA",PR!$E1210,IF(J1212="ASSENE",PR!$F1210,IF(J1212="BIOFEM",PR!$G1210,IF(J1212="BIOMED",PR!$H1210,IF(J1212="CHI",PR!$I1210,IF(J1212="CLARION",PR!$J1210,IF(J1212="CODIX",PR!$K1210,IF(J1212="COSMADE",PR!$L1210,IF(J1212="SANCON",PR!$M1210,IF(J1212="DEVON",PR!$N1210,IF(J1212="DORTEMAG",PR!$O1210,IF(J1212="DGF",PR!$P1210,IF(J1212="DYNAMIC",PR!$Q1210,IF(J1212="EMZOR",PR!$R1210,IF(J1212="EUMATT",PR!$S1210,IF(J1212="FIDSON",PR!$T1210,IF(J1212="FCGLOBAL",PR!$U1210,IF(J1212="GENEITH",PR!$V1210,IF(J1212="GINOS",PR!$W1210,IF(J1212="GSK",PR!$X1210,IF(J1212="GLOBORG",PR!$Y1210,IF(J1212="GOODNEWS",PR!$Z1210,IF(J1212="GREENLIFE",PR!$AA1210,IF(J1212="HLINE",PR!$AB1210,IF(J1212="ROTECH",PR!$AC1210,IF(J1212="ISN",PR!$AD1210,IF(J1212="JAWA",PR!$AE1210,IF(J1212="LAYO",PR!$AF1210,IF(J1212="LEADWAY",PR!$AG1210,IF(J1212="LHV",PR!$AH1210,IF(J1212="MANOLA",PR!$AI1210,IF(J1212="MARCSON",PR!$AJ1210,IF(J1212="M&amp;B",PR!$AK1210,IF(J1212="MTRUST",PR!$AL1210,IF(J1212="MWORLD",PR!$AM1210,IF(J1212="MEGA",PR!$AN1210,IF(J1212="MICRONOVA",PR!$AO1210,IF(J1212="MFLASH",PR!$AP1210,IF(J1212="MORISON",PR!$AQ1210,IF(J1212="NEMEL",PR!$AR1210,IF(J1212="NHP",PR!$AS1210,IF(J1212="NHC",PR!$AT1210,IF(J1212="OLEAF",PR!$AU1210,IF(J1212="OCULUS",PR!$AV1210,IF(J1212="PACIFIC",PR!$AW1210,IF(J1212="PHAMATEX",PR!$AX1210,IF(J1212="PETHICS",PR!$AY1210,IF(J1212="PHILIPS",PR!$AZ1210,IF(J1212="RANBAXY",PR!$BA1210,IF(J1212="REALS",PR!$BB1210,IF(J1212="ROYAL",PR!$BC1210,IF(J1212="SAM",PR!$BD1210,IF(J1212="SEAGREEN",PR!$BE1210,IF(J1212="SKG",PR!$BF1210,IF(J1212="TAH",PR!$BG1210,IF(J1212="TAYLEK",PR!$BH1210,IF(J1212="TEMITA",PR!$BI1210,IF(J1212="THL",PR!$BJ1210,IF(J1212="UBASTIC",PR!$BK1210,IF(J1212="UNION",PR!$BL1210,IF(J1212="UNIQUE",PR!$BM1210,IF(J1212="VIXA",PR!$BN1210,IF(J1212="WWCV",PR!$BO1210,IF(J1212="ZOLON",PR!$BP1210,"-"))))))))))))))))))))))))))))))))))))))))))))))))))))))))))))))))</f>
        <v>-</v>
      </c>
      <c r="J1212" s="102">
        <f>EV!N1547</f>
        <v>0</v>
      </c>
      <c r="K1212" s="433" t="s">
        <v>626</v>
      </c>
      <c r="L1212" s="183">
        <f>IF(K1212&gt;0,IF(K1212="ALPHA",PR!$E1210,IF(K1212="ASSENE",PR!$F1210,IF(K1212="BIOFEM",PR!$G1210,IF(K1212="BIOMED",PR!$H1210,IF(K1212="CHI",PR!$I1210,IF(K1212="CLARION",PR!$J1210,IF(K1212="CODIX",PR!$K1210,IF(K1212="COSMADE",PR!$L1210,IF(K1212="SANCON",PR!$M1210,IF(K1212="DEVON",PR!$N1210,IF(K1212="DORTEMAG",PR!$O1210,IF(K1212="DGF",PR!$P1210,IF(K1212="DYNAMIC",PR!$Q1210,IF(K1212="EMZOR",PR!$R1210,IF(K1212="EUMATT",PR!$S1210,IF(K1212="FIDSON",PR!$T1210,IF(K1212="FCGLOBAL",PR!$U1210,IF(K1212="GENEITH",PR!$V1210,IF(K1212="GINOS",PR!$W1210,IF(K1212="GSK",PR!$X1210,IF(K1212="GLOBORG",PR!$Y1210,IF(K1212="GOODNEWS",PR!$Z1210,IF(K1212="GREENLIFE",PR!$AA1210,IF(K1212="HLINE",PR!$AB1210,IF(K1212="ROTECH",PR!$AC1210,IF(K1212="ISN",PR!$AD1210,IF(K1212="JAWA",PR!$AE1210,IF(K1212="LAYO",PR!$AF1210,IF(K1212="LEADWAY",PR!$AG1210,IF(K1212="LHV",PR!$AH1210,IF(K1212="MANOLA",PR!$AI1210,IF(K1212="MARCSON",PR!$AJ1210,IF(K1212="M&amp;B",PR!$AK1210,IF(K1212="MTRUST",PR!$AL1210,IF(K1212="MWORLD",PR!$AM1210,IF(K1212="MEGA",PR!$AN1210,IF(K1212="MICRONOVA",PR!$AO1210,IF(K1212="MFLASH",PR!$AP1210,IF(K1212="MORISON",PR!$AQ1210,IF(K1212="NEMEL",PR!$AR1210,IF(K1212="NHP",PR!$AS1210,IF(K1212="NHC",PR!$AT1210,IF(K1212="OLEAF",PR!$AU1210,IF(K1212="OCULUS",PR!$AV1210,IF(K1212="PACIFIC",PR!$AW1210,IF(K1212="PHAMATEX",PR!$AX1210,IF(K1212="PETHICS",PR!$AY1210,IF(K1212="PHILIPS",PR!$AZ1210,IF(K1212="RANBAXY",PR!$BA1210,IF(K1212="REALS",PR!$BB1210,IF(K1212="ROYAL",PR!$BC1210,IF(K1212="SAM",PR!$BD1210,IF(K1212="SEAGREEN",PR!$BE1210,IF(K1212="SKG",PR!$BF1210,IF(K1212="TAH",PR!$BG1210,IF(K1212="TAYLEK",PR!$BH1210,IF(K1212="TEMITA",PR!$BI1210,IF(K1212="THL",PR!$BJ1210,IF(K1212="UBASTIC",PR!$BK1210,IF(K1212="UNION",PR!$BL1210,IF(K1212="UNIQUE",PR!$BM1210,IF(K1212="VIXA",PR!$BN1210,IF(K1212="WWCV",PR!$BO1210,IF(K1212="ZOLON",PR!$BP1210,"-")))))))))))))))))))))))))))))))))))))))))))))))))))))))))))))))))</f>
        <v>13125</v>
      </c>
    </row>
    <row r="1213" spans="1:12" ht="18.75" x14ac:dyDescent="0.3">
      <c r="A1213" s="430">
        <f>PR!A1211</f>
        <v>1089</v>
      </c>
      <c r="B1213" s="15" t="str">
        <f>PR!B1211</f>
        <v>NUTRIENTS AGAR</v>
      </c>
      <c r="C1213" s="113" t="str">
        <f>PR!D1211</f>
        <v>Bottle</v>
      </c>
      <c r="D1213" s="113">
        <f>PR!C1211</f>
        <v>1</v>
      </c>
      <c r="E1213" s="108">
        <f>IF(F1213="ALPHA",PR!$E1211,IF(F1213="ASSENE",PR!$F1211,IF(F1213="BIOFEM",PR!$G1211,IF(F1213="BIOMED",PR!$H1211,IF(F1213="CHI",PR!$I1211,IF(F1213="CLARION",PR!$J1211,IF(F1213="CODIX",PR!$K1211,IF(F1213="COSMADE",PR!$L1211,IF(F1213="SANCON",PR!$M1211,IF(F1213="DEVON",PR!$N1211,IF(F1213="DORTEMAG",PR!$O1211,IF(F1213="DGF",PR!$P1211,IF(F1213="DYNAMIC",PR!$Q1211,IF(F1213="EMZOR",PR!$R1211,IF(F1213="EUMATT",PR!$S1211,IF(F1213="FIDSON",PR!$T1211,IF(F1213="FCGLOBAL",PR!$U1211,IF(F1213="GENEITH",PR!$V1211,IF(F1213="GINOS",PR!$W1211,IF(F1213="GSK",PR!$X1211,IF(F1213="GLOBORG",PR!$Y1211,IF(F1213="GOODNEWS",PR!$Z1211,IF(F1213="GREENLIFE",PR!$AA1211,IF(F1213="HLINE",PR!$AB1211,IF(F1213="ROTECH",PR!$AC1211,IF(F1213="ISN",PR!$AD1211,IF(F1213="JAWA",PR!$AE1211,IF(F1213="LAYO",PR!$AF1211,IF(F1213="LEADWAY",PR!$AG1211,IF(F1213="LHV",PR!$AH1211,IF(F1213="MANOLA",PR!$AI1211,IF(F1213="MARCSON",PR!$AJ1211,IF(F1213="M&amp;B",PR!$AK1211,IF(F1213="MTRUST",PR!$AL1211,IF(F1213="MWORLD",PR!$AM1211,IF(F1213="MEGA",PR!$AN1211,IF(F1213="MICRONOVA",PR!$AO1211,IF(F1213="MFLASH",PR!$AP1211,IF(F1213="MORISON",PR!$AQ1211,IF(F1213="NEMEL",PR!$AR1211,IF(F1213="NHP",PR!$AS1211,IF(F1213="NHC",PR!$AT1211,IF(F1213="OLEAF",PR!$AU1211,IF(F1213="OCULUS",PR!$AV1211,IF(F1213="PACIFIC",PR!$AW1211,IF(F1213="PHAMATEX",PR!$AX1211,IF(F1213="PETHICS",PR!$AY1211,IF(F1213="PHILIPS",PR!$AZ1211,IF(F1213="RANBAXY",PR!$BA1211,IF(F1213="REALS",PR!$BB1211,IF(F1213="ROYAL",PR!$BC1211,IF(F1213="SAM",PR!$BD1211,IF(F1213="SEAGREEN",PR!$BE1211,IF(F1213="SKG",PR!$BF1211,IF(F1213="TAH",PR!$BG1211,IF(F1213="TAYLEK",PR!$BH1211,IF(F1213="TEMITA",PR!$BI1211,IF(F1213="THL",PR!$BJ1211,IF(F1213="UBASTIC",PR!$BK1211,IF(F1213="UNION",PR!$BL1211,IF(F1213="UNIQUE",PR!$BM1211,IF(F1213="VIXA",PR!$BN1211,IF(F1213="WWCV",PR!$BO1211,IF(F1213="ZOLON",PR!$BP1211,"-"))))))))))))))))))))))))))))))))))))))))))))))))))))))))))))))))</f>
        <v>18000</v>
      </c>
      <c r="F1213" s="102" t="str">
        <f>EV!L1548</f>
        <v>UBASTIC</v>
      </c>
      <c r="G1213" s="108">
        <f>IF(H1213="ALPHA",PR!$E1211,IF(H1213="ASSENE",PR!$F1211,IF(H1213="BIOFEM",PR!$G1211,IF(H1213="BIOMED",PR!$H1211,IF(H1213="CHI",PR!$I1211,IF(H1213="CLARION",PR!$J1211,IF(H1213="CODIX",PR!$K1211,IF(H1213="COSMADE",PR!$L1211,IF(H1213="SANCON",PR!$M1211,IF(H1213="DEVON",PR!$N1211,IF(H1213="DORTEMAG",PR!$O1211,IF(H1213="DGF",PR!$P1211,IF(H1213="DYNAMIC",PR!$Q1211,IF(H1213="EMZOR",PR!$R1211,IF(H1213="EUMATT",PR!$S1211,IF(H1213="FIDSON",PR!$T1211,IF(H1213="FCGLOBAL",PR!$U1211,IF(H1213="GENEITH",PR!$V1211,IF(H1213="GINOS",PR!$W1211,IF(H1213="GSK",PR!$X1211,IF(H1213="GLOBORG",PR!$Y1211,IF(H1213="GOODNEWS",PR!$Z1211,IF(H1213="GREENLIFE",PR!$AA1211,IF(H1213="HLINE",PR!$AB1211,IF(H1213="ROTECH",PR!$AC1211,IF(H1213="ISN",PR!$AD1211,IF(H1213="JAWA",PR!$AE1211,IF(H1213="LAYO",PR!$AF1211,IF(H1213="LEADWAY",PR!$AG1211,IF(H1213="LHV",PR!$AH1211,IF(H1213="MANOLA",PR!$AI1211,IF(H1213="MARCSON",PR!$AJ1211,IF(H1213="M&amp;B",PR!$AK1211,IF(H1213="MTRUST",PR!$AL1211,IF(H1213="MWORLD",PR!$AM1211,IF(H1213="MEGA",PR!$AN1211,IF(H1213="MICRONOVA",PR!$AO1211,IF(H1213="MFLASH",PR!$AP1211,IF(H1213="MORISON",PR!$AQ1211,IF(H1213="NEMEL",PR!$AR1211,IF(H1213="NHP",PR!$AS1211,IF(H1213="NHC",PR!$AT1211,IF(H1213="OLEAF",PR!$AU1211,IF(H1213="OCULUS",PR!$AV1211,IF(H1213="PACIFIC",PR!$AW1211,IF(H1213="PHAMATEX",PR!$AX1211,IF(H1213="PETHICS",PR!$AY1211,IF(H1213="PHILIPS",PR!$AZ1211,IF(H1213="RANBAXY",PR!$BA1211,IF(H1213="REALS",PR!$BB1211,IF(H1213="ROYAL",PR!$BC1211,IF(H1213="SAM",PR!$BD1211,IF(H1213="SEAGREEN",PR!$BE1211,IF(H1213="SKG",PR!$BF1211,IF(H1213="TAH",PR!$BG1211,IF(H1213="TAYLEK",PR!$BH1211,IF(H1213="TEMITA",PR!$BI1211,IF(H1213="THL",PR!$BJ1211,IF(H1213="UBASTIC",PR!$BK1211,IF(H1213="UNION",PR!$BL1211,IF(H1213="UNIQUE",PR!$BM1211,IF(H1213="VIXA",PR!$BN1211,IF(H1213="WWCV",PR!$BO1211,IF(H1213="ZOLON",PR!$BP1211,"-"))))))))))))))))))))))))))))))))))))))))))))))))))))))))))))))))</f>
        <v>19375</v>
      </c>
      <c r="H1213" s="102" t="str">
        <f>EV!M1548</f>
        <v>TEMITA</v>
      </c>
      <c r="I1213" s="108">
        <f>IF(J1213="ALPHA",PR!$E1211,IF(J1213="ASSENE",PR!$F1211,IF(J1213="BIOFEM",PR!$G1211,IF(J1213="BIOMED",PR!$H1211,IF(J1213="CHI",PR!$I1211,IF(J1213="CLARION",PR!$J1211,IF(J1213="CODIX",PR!$K1211,IF(J1213="COSMADE",PR!$L1211,IF(J1213="SANCON",PR!$M1211,IF(J1213="DEVON",PR!$N1211,IF(J1213="DORTEMAG",PR!$O1211,IF(J1213="DGF",PR!$P1211,IF(J1213="DYNAMIC",PR!$Q1211,IF(J1213="EMZOR",PR!$R1211,IF(J1213="EUMATT",PR!$S1211,IF(J1213="FIDSON",PR!$T1211,IF(J1213="FCGLOBAL",PR!$U1211,IF(J1213="GENEITH",PR!$V1211,IF(J1213="GINOS",PR!$W1211,IF(J1213="GSK",PR!$X1211,IF(J1213="GLOBORG",PR!$Y1211,IF(J1213="GOODNEWS",PR!$Z1211,IF(J1213="GREENLIFE",PR!$AA1211,IF(J1213="HLINE",PR!$AB1211,IF(J1213="ROTECH",PR!$AC1211,IF(J1213="ISN",PR!$AD1211,IF(J1213="JAWA",PR!$AE1211,IF(J1213="LAYO",PR!$AF1211,IF(J1213="LEADWAY",PR!$AG1211,IF(J1213="LHV",PR!$AH1211,IF(J1213="MANOLA",PR!$AI1211,IF(J1213="MARCSON",PR!$AJ1211,IF(J1213="M&amp;B",PR!$AK1211,IF(J1213="MTRUST",PR!$AL1211,IF(J1213="MWORLD",PR!$AM1211,IF(J1213="MEGA",PR!$AN1211,IF(J1213="MICRONOVA",PR!$AO1211,IF(J1213="MFLASH",PR!$AP1211,IF(J1213="MORISON",PR!$AQ1211,IF(J1213="NEMEL",PR!$AR1211,IF(J1213="NHP",PR!$AS1211,IF(J1213="NHC",PR!$AT1211,IF(J1213="OLEAF",PR!$AU1211,IF(J1213="OCULUS",PR!$AV1211,IF(J1213="PACIFIC",PR!$AW1211,IF(J1213="PHAMATEX",PR!$AX1211,IF(J1213="PETHICS",PR!$AY1211,IF(J1213="PHILIPS",PR!$AZ1211,IF(J1213="RANBAXY",PR!$BA1211,IF(J1213="REALS",PR!$BB1211,IF(J1213="ROYAL",PR!$BC1211,IF(J1213="SAM",PR!$BD1211,IF(J1213="SEAGREEN",PR!$BE1211,IF(J1213="SKG",PR!$BF1211,IF(J1213="TAH",PR!$BG1211,IF(J1213="TAYLEK",PR!$BH1211,IF(J1213="TEMITA",PR!$BI1211,IF(J1213="THL",PR!$BJ1211,IF(J1213="UBASTIC",PR!$BK1211,IF(J1213="UNION",PR!$BL1211,IF(J1213="UNIQUE",PR!$BM1211,IF(J1213="VIXA",PR!$BN1211,IF(J1213="WWCV",PR!$BO1211,IF(J1213="ZOLON",PR!$BP1211,"-"))))))))))))))))))))))))))))))))))))))))))))))))))))))))))))))))</f>
        <v>19375</v>
      </c>
      <c r="J1213" s="102" t="str">
        <f>EV!N1548</f>
        <v>DYNAMIC</v>
      </c>
      <c r="K1213" s="433" t="s">
        <v>1459</v>
      </c>
      <c r="L1213" s="183">
        <f>IF(K1213&gt;0,IF(K1213="ALPHA",PR!$E1211,IF(K1213="ASSENE",PR!$F1211,IF(K1213="BIOFEM",PR!$G1211,IF(K1213="BIOMED",PR!$H1211,IF(K1213="CHI",PR!$I1211,IF(K1213="CLARION",PR!$J1211,IF(K1213="CODIX",PR!$K1211,IF(K1213="COSMADE",PR!$L1211,IF(K1213="SANCON",PR!$M1211,IF(K1213="DEVON",PR!$N1211,IF(K1213="DORTEMAG",PR!$O1211,IF(K1213="DGF",PR!$P1211,IF(K1213="DYNAMIC",PR!$Q1211,IF(K1213="EMZOR",PR!$R1211,IF(K1213="EUMATT",PR!$S1211,IF(K1213="FIDSON",PR!$T1211,IF(K1213="FCGLOBAL",PR!$U1211,IF(K1213="GENEITH",PR!$V1211,IF(K1213="GINOS",PR!$W1211,IF(K1213="GSK",PR!$X1211,IF(K1213="GLOBORG",PR!$Y1211,IF(K1213="GOODNEWS",PR!$Z1211,IF(K1213="GREENLIFE",PR!$AA1211,IF(K1213="HLINE",PR!$AB1211,IF(K1213="ROTECH",PR!$AC1211,IF(K1213="ISN",PR!$AD1211,IF(K1213="JAWA",PR!$AE1211,IF(K1213="LAYO",PR!$AF1211,IF(K1213="LEADWAY",PR!$AG1211,IF(K1213="LHV",PR!$AH1211,IF(K1213="MANOLA",PR!$AI1211,IF(K1213="MARCSON",PR!$AJ1211,IF(K1213="M&amp;B",PR!$AK1211,IF(K1213="MTRUST",PR!$AL1211,IF(K1213="MWORLD",PR!$AM1211,IF(K1213="MEGA",PR!$AN1211,IF(K1213="MICRONOVA",PR!$AO1211,IF(K1213="MFLASH",PR!$AP1211,IF(K1213="MORISON",PR!$AQ1211,IF(K1213="NEMEL",PR!$AR1211,IF(K1213="NHP",PR!$AS1211,IF(K1213="NHC",PR!$AT1211,IF(K1213="OLEAF",PR!$AU1211,IF(K1213="OCULUS",PR!$AV1211,IF(K1213="PACIFIC",PR!$AW1211,IF(K1213="PHAMATEX",PR!$AX1211,IF(K1213="PETHICS",PR!$AY1211,IF(K1213="PHILIPS",PR!$AZ1211,IF(K1213="RANBAXY",PR!$BA1211,IF(K1213="REALS",PR!$BB1211,IF(K1213="ROYAL",PR!$BC1211,IF(K1213="SAM",PR!$BD1211,IF(K1213="SEAGREEN",PR!$BE1211,IF(K1213="SKG",PR!$BF1211,IF(K1213="TAH",PR!$BG1211,IF(K1213="TAYLEK",PR!$BH1211,IF(K1213="TEMITA",PR!$BI1211,IF(K1213="THL",PR!$BJ1211,IF(K1213="UBASTIC",PR!$BK1211,IF(K1213="UNION",PR!$BL1211,IF(K1213="UNIQUE",PR!$BM1211,IF(K1213="VIXA",PR!$BN1211,IF(K1213="WWCV",PR!$BO1211,IF(K1213="ZOLON",PR!$BP1211,"-")))))))))))))))))))))))))))))))))))))))))))))))))))))))))))))))))</f>
        <v>18000</v>
      </c>
    </row>
    <row r="1214" spans="1:12" ht="18.75" x14ac:dyDescent="0.3">
      <c r="A1214" s="430">
        <f>PR!A1212</f>
        <v>1090</v>
      </c>
      <c r="B1214" s="15" t="str">
        <f>PR!B1212</f>
        <v>MACCONKEY AGAR</v>
      </c>
      <c r="C1214" s="113" t="str">
        <f>PR!D1212</f>
        <v>Bottle</v>
      </c>
      <c r="D1214" s="113">
        <f>PR!C1212</f>
        <v>1</v>
      </c>
      <c r="E1214" s="108">
        <f>IF(F1214="ALPHA",PR!$E1212,IF(F1214="ASSENE",PR!$F1212,IF(F1214="BIOFEM",PR!$G1212,IF(F1214="BIOMED",PR!$H1212,IF(F1214="CHI",PR!$I1212,IF(F1214="CLARION",PR!$J1212,IF(F1214="CODIX",PR!$K1212,IF(F1214="COSMADE",PR!$L1212,IF(F1214="SANCON",PR!$M1212,IF(F1214="DEVON",PR!$N1212,IF(F1214="DORTEMAG",PR!$O1212,IF(F1214="DGF",PR!$P1212,IF(F1214="DYNAMIC",PR!$Q1212,IF(F1214="EMZOR",PR!$R1212,IF(F1214="EUMATT",PR!$S1212,IF(F1214="FIDSON",PR!$T1212,IF(F1214="FCGLOBAL",PR!$U1212,IF(F1214="GENEITH",PR!$V1212,IF(F1214="GINOS",PR!$W1212,IF(F1214="GSK",PR!$X1212,IF(F1214="GLOBORG",PR!$Y1212,IF(F1214="GOODNEWS",PR!$Z1212,IF(F1214="GREENLIFE",PR!$AA1212,IF(F1214="HLINE",PR!$AB1212,IF(F1214="ROTECH",PR!$AC1212,IF(F1214="ISN",PR!$AD1212,IF(F1214="JAWA",PR!$AE1212,IF(F1214="LAYO",PR!$AF1212,IF(F1214="LEADWAY",PR!$AG1212,IF(F1214="LHV",PR!$AH1212,IF(F1214="MANOLA",PR!$AI1212,IF(F1214="MARCSON",PR!$AJ1212,IF(F1214="M&amp;B",PR!$AK1212,IF(F1214="MTRUST",PR!$AL1212,IF(F1214="MWORLD",PR!$AM1212,IF(F1214="MEGA",PR!$AN1212,IF(F1214="MICRONOVA",PR!$AO1212,IF(F1214="MFLASH",PR!$AP1212,IF(F1214="MORISON",PR!$AQ1212,IF(F1214="NEMEL",PR!$AR1212,IF(F1214="NHP",PR!$AS1212,IF(F1214="NHC",PR!$AT1212,IF(F1214="OLEAF",PR!$AU1212,IF(F1214="OCULUS",PR!$AV1212,IF(F1214="PACIFIC",PR!$AW1212,IF(F1214="PHAMATEX",PR!$AX1212,IF(F1214="PETHICS",PR!$AY1212,IF(F1214="PHILIPS",PR!$AZ1212,IF(F1214="RANBAXY",PR!$BA1212,IF(F1214="REALS",PR!$BB1212,IF(F1214="ROYAL",PR!$BC1212,IF(F1214="SAM",PR!$BD1212,IF(F1214="SEAGREEN",PR!$BE1212,IF(F1214="SKG",PR!$BF1212,IF(F1214="TAH",PR!$BG1212,IF(F1214="TAYLEK",PR!$BH1212,IF(F1214="TEMITA",PR!$BI1212,IF(F1214="THL",PR!$BJ1212,IF(F1214="UBASTIC",PR!$BK1212,IF(F1214="UNION",PR!$BL1212,IF(F1214="UNIQUE",PR!$BM1212,IF(F1214="VIXA",PR!$BN1212,IF(F1214="WWCV",PR!$BO1212,IF(F1214="ZOLON",PR!$BP1212,"-"))))))))))))))))))))))))))))))))))))))))))))))))))))))))))))))))</f>
        <v>20000</v>
      </c>
      <c r="F1214" s="102" t="str">
        <f>EV!L1549</f>
        <v>UBASTIC</v>
      </c>
      <c r="G1214" s="108">
        <f>IF(H1214="ALPHA",PR!$E1212,IF(H1214="ASSENE",PR!$F1212,IF(H1214="BIOFEM",PR!$G1212,IF(H1214="BIOMED",PR!$H1212,IF(H1214="CHI",PR!$I1212,IF(H1214="CLARION",PR!$J1212,IF(H1214="CODIX",PR!$K1212,IF(H1214="COSMADE",PR!$L1212,IF(H1214="SANCON",PR!$M1212,IF(H1214="DEVON",PR!$N1212,IF(H1214="DORTEMAG",PR!$O1212,IF(H1214="DGF",PR!$P1212,IF(H1214="DYNAMIC",PR!$Q1212,IF(H1214="EMZOR",PR!$R1212,IF(H1214="EUMATT",PR!$S1212,IF(H1214="FIDSON",PR!$T1212,IF(H1214="FCGLOBAL",PR!$U1212,IF(H1214="GENEITH",PR!$V1212,IF(H1214="GINOS",PR!$W1212,IF(H1214="GSK",PR!$X1212,IF(H1214="GLOBORG",PR!$Y1212,IF(H1214="GOODNEWS",PR!$Z1212,IF(H1214="GREENLIFE",PR!$AA1212,IF(H1214="HLINE",PR!$AB1212,IF(H1214="ROTECH",PR!$AC1212,IF(H1214="ISN",PR!$AD1212,IF(H1214="JAWA",PR!$AE1212,IF(H1214="LAYO",PR!$AF1212,IF(H1214="LEADWAY",PR!$AG1212,IF(H1214="LHV",PR!$AH1212,IF(H1214="MANOLA",PR!$AI1212,IF(H1214="MARCSON",PR!$AJ1212,IF(H1214="M&amp;B",PR!$AK1212,IF(H1214="MTRUST",PR!$AL1212,IF(H1214="MWORLD",PR!$AM1212,IF(H1214="MEGA",PR!$AN1212,IF(H1214="MICRONOVA",PR!$AO1212,IF(H1214="MFLASH",PR!$AP1212,IF(H1214="MORISON",PR!$AQ1212,IF(H1214="NEMEL",PR!$AR1212,IF(H1214="NHP",PR!$AS1212,IF(H1214="NHC",PR!$AT1212,IF(H1214="OLEAF",PR!$AU1212,IF(H1214="OCULUS",PR!$AV1212,IF(H1214="PACIFIC",PR!$AW1212,IF(H1214="PHAMATEX",PR!$AX1212,IF(H1214="PETHICS",PR!$AY1212,IF(H1214="PHILIPS",PR!$AZ1212,IF(H1214="RANBAXY",PR!$BA1212,IF(H1214="REALS",PR!$BB1212,IF(H1214="ROYAL",PR!$BC1212,IF(H1214="SAM",PR!$BD1212,IF(H1214="SEAGREEN",PR!$BE1212,IF(H1214="SKG",PR!$BF1212,IF(H1214="TAH",PR!$BG1212,IF(H1214="TAYLEK",PR!$BH1212,IF(H1214="TEMITA",PR!$BI1212,IF(H1214="THL",PR!$BJ1212,IF(H1214="UBASTIC",PR!$BK1212,IF(H1214="UNION",PR!$BL1212,IF(H1214="UNIQUE",PR!$BM1212,IF(H1214="VIXA",PR!$BN1212,IF(H1214="WWCV",PR!$BO1212,IF(H1214="ZOLON",PR!$BP1212,"-"))))))))))))))))))))))))))))))))))))))))))))))))))))))))))))))))</f>
        <v>21000</v>
      </c>
      <c r="H1214" s="102" t="str">
        <f>EV!M1549</f>
        <v>SANCON</v>
      </c>
      <c r="I1214" s="108">
        <f>IF(J1214="ALPHA",PR!$E1212,IF(J1214="ASSENE",PR!$F1212,IF(J1214="BIOFEM",PR!$G1212,IF(J1214="BIOMED",PR!$H1212,IF(J1214="CHI",PR!$I1212,IF(J1214="CLARION",PR!$J1212,IF(J1214="CODIX",PR!$K1212,IF(J1214="COSMADE",PR!$L1212,IF(J1214="SANCON",PR!$M1212,IF(J1214="DEVON",PR!$N1212,IF(J1214="DORTEMAG",PR!$O1212,IF(J1214="DGF",PR!$P1212,IF(J1214="DYNAMIC",PR!$Q1212,IF(J1214="EMZOR",PR!$R1212,IF(J1214="EUMATT",PR!$S1212,IF(J1214="FIDSON",PR!$T1212,IF(J1214="FCGLOBAL",PR!$U1212,IF(J1214="GENEITH",PR!$V1212,IF(J1214="GINOS",PR!$W1212,IF(J1214="GSK",PR!$X1212,IF(J1214="GLOBORG",PR!$Y1212,IF(J1214="GOODNEWS",PR!$Z1212,IF(J1214="GREENLIFE",PR!$AA1212,IF(J1214="HLINE",PR!$AB1212,IF(J1214="ROTECH",PR!$AC1212,IF(J1214="ISN",PR!$AD1212,IF(J1214="JAWA",PR!$AE1212,IF(J1214="LAYO",PR!$AF1212,IF(J1214="LEADWAY",PR!$AG1212,IF(J1214="LHV",PR!$AH1212,IF(J1214="MANOLA",PR!$AI1212,IF(J1214="MARCSON",PR!$AJ1212,IF(J1214="M&amp;B",PR!$AK1212,IF(J1214="MTRUST",PR!$AL1212,IF(J1214="MWORLD",PR!$AM1212,IF(J1214="MEGA",PR!$AN1212,IF(J1214="MICRONOVA",PR!$AO1212,IF(J1214="MFLASH",PR!$AP1212,IF(J1214="MORISON",PR!$AQ1212,IF(J1214="NEMEL",PR!$AR1212,IF(J1214="NHP",PR!$AS1212,IF(J1214="NHC",PR!$AT1212,IF(J1214="OLEAF",PR!$AU1212,IF(J1214="OCULUS",PR!$AV1212,IF(J1214="PACIFIC",PR!$AW1212,IF(J1214="PHAMATEX",PR!$AX1212,IF(J1214="PETHICS",PR!$AY1212,IF(J1214="PHILIPS",PR!$AZ1212,IF(J1214="RANBAXY",PR!$BA1212,IF(J1214="REALS",PR!$BB1212,IF(J1214="ROYAL",PR!$BC1212,IF(J1214="SAM",PR!$BD1212,IF(J1214="SEAGREEN",PR!$BE1212,IF(J1214="SKG",PR!$BF1212,IF(J1214="TAH",PR!$BG1212,IF(J1214="TAYLEK",PR!$BH1212,IF(J1214="TEMITA",PR!$BI1212,IF(J1214="THL",PR!$BJ1212,IF(J1214="UBASTIC",PR!$BK1212,IF(J1214="UNION",PR!$BL1212,IF(J1214="UNIQUE",PR!$BM1212,IF(J1214="VIXA",PR!$BN1212,IF(J1214="WWCV",PR!$BO1212,IF(J1214="ZOLON",PR!$BP1212,"-"))))))))))))))))))))))))))))))))))))))))))))))))))))))))))))))))</f>
        <v>21875</v>
      </c>
      <c r="J1214" s="102" t="str">
        <f>EV!N1549</f>
        <v>DYNAMIC</v>
      </c>
      <c r="K1214" s="433" t="s">
        <v>1459</v>
      </c>
      <c r="L1214" s="183">
        <f>IF(K1214&gt;0,IF(K1214="ALPHA",PR!$E1212,IF(K1214="ASSENE",PR!$F1212,IF(K1214="BIOFEM",PR!$G1212,IF(K1214="BIOMED",PR!$H1212,IF(K1214="CHI",PR!$I1212,IF(K1214="CLARION",PR!$J1212,IF(K1214="CODIX",PR!$K1212,IF(K1214="COSMADE",PR!$L1212,IF(K1214="SANCON",PR!$M1212,IF(K1214="DEVON",PR!$N1212,IF(K1214="DORTEMAG",PR!$O1212,IF(K1214="DGF",PR!$P1212,IF(K1214="DYNAMIC",PR!$Q1212,IF(K1214="EMZOR",PR!$R1212,IF(K1214="EUMATT",PR!$S1212,IF(K1214="FIDSON",PR!$T1212,IF(K1214="FCGLOBAL",PR!$U1212,IF(K1214="GENEITH",PR!$V1212,IF(K1214="GINOS",PR!$W1212,IF(K1214="GSK",PR!$X1212,IF(K1214="GLOBORG",PR!$Y1212,IF(K1214="GOODNEWS",PR!$Z1212,IF(K1214="GREENLIFE",PR!$AA1212,IF(K1214="HLINE",PR!$AB1212,IF(K1214="ROTECH",PR!$AC1212,IF(K1214="ISN",PR!$AD1212,IF(K1214="JAWA",PR!$AE1212,IF(K1214="LAYO",PR!$AF1212,IF(K1214="LEADWAY",PR!$AG1212,IF(K1214="LHV",PR!$AH1212,IF(K1214="MANOLA",PR!$AI1212,IF(K1214="MARCSON",PR!$AJ1212,IF(K1214="M&amp;B",PR!$AK1212,IF(K1214="MTRUST",PR!$AL1212,IF(K1214="MWORLD",PR!$AM1212,IF(K1214="MEGA",PR!$AN1212,IF(K1214="MICRONOVA",PR!$AO1212,IF(K1214="MFLASH",PR!$AP1212,IF(K1214="MORISON",PR!$AQ1212,IF(K1214="NEMEL",PR!$AR1212,IF(K1214="NHP",PR!$AS1212,IF(K1214="NHC",PR!$AT1212,IF(K1214="OLEAF",PR!$AU1212,IF(K1214="OCULUS",PR!$AV1212,IF(K1214="PACIFIC",PR!$AW1212,IF(K1214="PHAMATEX",PR!$AX1212,IF(K1214="PETHICS",PR!$AY1212,IF(K1214="PHILIPS",PR!$AZ1212,IF(K1214="RANBAXY",PR!$BA1212,IF(K1214="REALS",PR!$BB1212,IF(K1214="ROYAL",PR!$BC1212,IF(K1214="SAM",PR!$BD1212,IF(K1214="SEAGREEN",PR!$BE1212,IF(K1214="SKG",PR!$BF1212,IF(K1214="TAH",PR!$BG1212,IF(K1214="TAYLEK",PR!$BH1212,IF(K1214="TEMITA",PR!$BI1212,IF(K1214="THL",PR!$BJ1212,IF(K1214="UBASTIC",PR!$BK1212,IF(K1214="UNION",PR!$BL1212,IF(K1214="UNIQUE",PR!$BM1212,IF(K1214="VIXA",PR!$BN1212,IF(K1214="WWCV",PR!$BO1212,IF(K1214="ZOLON",PR!$BP1212,"-")))))))))))))))))))))))))))))))))))))))))))))))))))))))))))))))))</f>
        <v>20000</v>
      </c>
    </row>
    <row r="1215" spans="1:12" ht="18.75" x14ac:dyDescent="0.3">
      <c r="A1215" s="430">
        <f>PR!A1213</f>
        <v>1091</v>
      </c>
      <c r="B1215" s="15" t="str">
        <f>PR!B1213</f>
        <v>DISPOSABLE PETRI DISH</v>
      </c>
      <c r="C1215" s="113" t="str">
        <f>PR!D1213</f>
        <v>Carton</v>
      </c>
      <c r="D1215" s="113">
        <f>PR!C1213</f>
        <v>1</v>
      </c>
      <c r="E1215" s="108">
        <f>IF(F1215="ALPHA",PR!$E1213,IF(F1215="ASSENE",PR!$F1213,IF(F1215="BIOFEM",PR!$G1213,IF(F1215="BIOMED",PR!$H1213,IF(F1215="CHI",PR!$I1213,IF(F1215="CLARION",PR!$J1213,IF(F1215="CODIX",PR!$K1213,IF(F1215="COSMADE",PR!$L1213,IF(F1215="SANCON",PR!$M1213,IF(F1215="DEVON",PR!$N1213,IF(F1215="DORTEMAG",PR!$O1213,IF(F1215="DGF",PR!$P1213,IF(F1215="DYNAMIC",PR!$Q1213,IF(F1215="EMZOR",PR!$R1213,IF(F1215="EUMATT",PR!$S1213,IF(F1215="FIDSON",PR!$T1213,IF(F1215="FCGLOBAL",PR!$U1213,IF(F1215="GENEITH",PR!$V1213,IF(F1215="GINOS",PR!$W1213,IF(F1215="GSK",PR!$X1213,IF(F1215="GLOBORG",PR!$Y1213,IF(F1215="GOODNEWS",PR!$Z1213,IF(F1215="GREENLIFE",PR!$AA1213,IF(F1215="HLINE",PR!$AB1213,IF(F1215="ROTECH",PR!$AC1213,IF(F1215="ISN",PR!$AD1213,IF(F1215="JAWA",PR!$AE1213,IF(F1215="LAYO",PR!$AF1213,IF(F1215="LEADWAY",PR!$AG1213,IF(F1215="LHV",PR!$AH1213,IF(F1215="MANOLA",PR!$AI1213,IF(F1215="MARCSON",PR!$AJ1213,IF(F1215="M&amp;B",PR!$AK1213,IF(F1215="MTRUST",PR!$AL1213,IF(F1215="MWORLD",PR!$AM1213,IF(F1215="MEGA",PR!$AN1213,IF(F1215="MICRONOVA",PR!$AO1213,IF(F1215="MFLASH",PR!$AP1213,IF(F1215="MORISON",PR!$AQ1213,IF(F1215="NEMEL",PR!$AR1213,IF(F1215="NHP",PR!$AS1213,IF(F1215="NHC",PR!$AT1213,IF(F1215="OLEAF",PR!$AU1213,IF(F1215="OCULUS",PR!$AV1213,IF(F1215="PACIFIC",PR!$AW1213,IF(F1215="PHAMATEX",PR!$AX1213,IF(F1215="PETHICS",PR!$AY1213,IF(F1215="PHILIPS",PR!$AZ1213,IF(F1215="RANBAXY",PR!$BA1213,IF(F1215="REALS",PR!$BB1213,IF(F1215="ROYAL",PR!$BC1213,IF(F1215="SAM",PR!$BD1213,IF(F1215="SEAGREEN",PR!$BE1213,IF(F1215="SKG",PR!$BF1213,IF(F1215="TAH",PR!$BG1213,IF(F1215="TAYLEK",PR!$BH1213,IF(F1215="TEMITA",PR!$BI1213,IF(F1215="THL",PR!$BJ1213,IF(F1215="UBASTIC",PR!$BK1213,IF(F1215="UNION",PR!$BL1213,IF(F1215="UNIQUE",PR!$BM1213,IF(F1215="VIXA",PR!$BN1213,IF(F1215="WWCV",PR!$BO1213,IF(F1215="ZOLON",PR!$BP1213,"-"))))))))))))))))))))))))))))))))))))))))))))))))))))))))))))))))</f>
        <v>15000</v>
      </c>
      <c r="F1215" s="102" t="str">
        <f>EV!L1550</f>
        <v>LHV</v>
      </c>
      <c r="G1215" s="108">
        <f>IF(H1215="ALPHA",PR!$E1213,IF(H1215="ASSENE",PR!$F1213,IF(H1215="BIOFEM",PR!$G1213,IF(H1215="BIOMED",PR!$H1213,IF(H1215="CHI",PR!$I1213,IF(H1215="CLARION",PR!$J1213,IF(H1215="CODIX",PR!$K1213,IF(H1215="COSMADE",PR!$L1213,IF(H1215="SANCON",PR!$M1213,IF(H1215="DEVON",PR!$N1213,IF(H1215="DORTEMAG",PR!$O1213,IF(H1215="DGF",PR!$P1213,IF(H1215="DYNAMIC",PR!$Q1213,IF(H1215="EMZOR",PR!$R1213,IF(H1215="EUMATT",PR!$S1213,IF(H1215="FIDSON",PR!$T1213,IF(H1215="FCGLOBAL",PR!$U1213,IF(H1215="GENEITH",PR!$V1213,IF(H1215="GINOS",PR!$W1213,IF(H1215="GSK",PR!$X1213,IF(H1215="GLOBORG",PR!$Y1213,IF(H1215="GOODNEWS",PR!$Z1213,IF(H1215="GREENLIFE",PR!$AA1213,IF(H1215="HLINE",PR!$AB1213,IF(H1215="ROTECH",PR!$AC1213,IF(H1215="ISN",PR!$AD1213,IF(H1215="JAWA",PR!$AE1213,IF(H1215="LAYO",PR!$AF1213,IF(H1215="LEADWAY",PR!$AG1213,IF(H1215="LHV",PR!$AH1213,IF(H1215="MANOLA",PR!$AI1213,IF(H1215="MARCSON",PR!$AJ1213,IF(H1215="M&amp;B",PR!$AK1213,IF(H1215="MTRUST",PR!$AL1213,IF(H1215="MWORLD",PR!$AM1213,IF(H1215="MEGA",PR!$AN1213,IF(H1215="MICRONOVA",PR!$AO1213,IF(H1215="MFLASH",PR!$AP1213,IF(H1215="MORISON",PR!$AQ1213,IF(H1215="NEMEL",PR!$AR1213,IF(H1215="NHP",PR!$AS1213,IF(H1215="NHC",PR!$AT1213,IF(H1215="OLEAF",PR!$AU1213,IF(H1215="OCULUS",PR!$AV1213,IF(H1215="PACIFIC",PR!$AW1213,IF(H1215="PHAMATEX",PR!$AX1213,IF(H1215="PETHICS",PR!$AY1213,IF(H1215="PHILIPS",PR!$AZ1213,IF(H1215="RANBAXY",PR!$BA1213,IF(H1215="REALS",PR!$BB1213,IF(H1215="ROYAL",PR!$BC1213,IF(H1215="SAM",PR!$BD1213,IF(H1215="SEAGREEN",PR!$BE1213,IF(H1215="SKG",PR!$BF1213,IF(H1215="TAH",PR!$BG1213,IF(H1215="TAYLEK",PR!$BH1213,IF(H1215="TEMITA",PR!$BI1213,IF(H1215="THL",PR!$BJ1213,IF(H1215="UBASTIC",PR!$BK1213,IF(H1215="UNION",PR!$BL1213,IF(H1215="UNIQUE",PR!$BM1213,IF(H1215="VIXA",PR!$BN1213,IF(H1215="WWCV",PR!$BO1213,IF(H1215="ZOLON",PR!$BP1213,"-"))))))))))))))))))))))))))))))))))))))))))))))))))))))))))))))))</f>
        <v>16500</v>
      </c>
      <c r="H1215" s="102" t="str">
        <f>EV!M1550</f>
        <v>SANCON</v>
      </c>
      <c r="I1215" s="108">
        <f>IF(J1215="ALPHA",PR!$E1213,IF(J1215="ASSENE",PR!$F1213,IF(J1215="BIOFEM",PR!$G1213,IF(J1215="BIOMED",PR!$H1213,IF(J1215="CHI",PR!$I1213,IF(J1215="CLARION",PR!$J1213,IF(J1215="CODIX",PR!$K1213,IF(J1215="COSMADE",PR!$L1213,IF(J1215="SANCON",PR!$M1213,IF(J1215="DEVON",PR!$N1213,IF(J1215="DORTEMAG",PR!$O1213,IF(J1215="DGF",PR!$P1213,IF(J1215="DYNAMIC",PR!$Q1213,IF(J1215="EMZOR",PR!$R1213,IF(J1215="EUMATT",PR!$S1213,IF(J1215="FIDSON",PR!$T1213,IF(J1215="FCGLOBAL",PR!$U1213,IF(J1215="GENEITH",PR!$V1213,IF(J1215="GINOS",PR!$W1213,IF(J1215="GSK",PR!$X1213,IF(J1215="GLOBORG",PR!$Y1213,IF(J1215="GOODNEWS",PR!$Z1213,IF(J1215="GREENLIFE",PR!$AA1213,IF(J1215="HLINE",PR!$AB1213,IF(J1215="ROTECH",PR!$AC1213,IF(J1215="ISN",PR!$AD1213,IF(J1215="JAWA",PR!$AE1213,IF(J1215="LAYO",PR!$AF1213,IF(J1215="LEADWAY",PR!$AG1213,IF(J1215="LHV",PR!$AH1213,IF(J1215="MANOLA",PR!$AI1213,IF(J1215="MARCSON",PR!$AJ1213,IF(J1215="M&amp;B",PR!$AK1213,IF(J1215="MTRUST",PR!$AL1213,IF(J1215="MWORLD",PR!$AM1213,IF(J1215="MEGA",PR!$AN1213,IF(J1215="MICRONOVA",PR!$AO1213,IF(J1215="MFLASH",PR!$AP1213,IF(J1215="MORISON",PR!$AQ1213,IF(J1215="NEMEL",PR!$AR1213,IF(J1215="NHP",PR!$AS1213,IF(J1215="NHC",PR!$AT1213,IF(J1215="OLEAF",PR!$AU1213,IF(J1215="OCULUS",PR!$AV1213,IF(J1215="PACIFIC",PR!$AW1213,IF(J1215="PHAMATEX",PR!$AX1213,IF(J1215="PETHICS",PR!$AY1213,IF(J1215="PHILIPS",PR!$AZ1213,IF(J1215="RANBAXY",PR!$BA1213,IF(J1215="REALS",PR!$BB1213,IF(J1215="ROYAL",PR!$BC1213,IF(J1215="SAM",PR!$BD1213,IF(J1215="SEAGREEN",PR!$BE1213,IF(J1215="SKG",PR!$BF1213,IF(J1215="TAH",PR!$BG1213,IF(J1215="TAYLEK",PR!$BH1213,IF(J1215="TEMITA",PR!$BI1213,IF(J1215="THL",PR!$BJ1213,IF(J1215="UBASTIC",PR!$BK1213,IF(J1215="UNION",PR!$BL1213,IF(J1215="UNIQUE",PR!$BM1213,IF(J1215="VIXA",PR!$BN1213,IF(J1215="WWCV",PR!$BO1213,IF(J1215="ZOLON",PR!$BP1213,"-"))))))))))))))))))))))))))))))))))))))))))))))))))))))))))))))))</f>
        <v>17500</v>
      </c>
      <c r="J1215" s="102" t="str">
        <f>EV!N1550</f>
        <v>UBASTIC</v>
      </c>
      <c r="K1215" s="433" t="s">
        <v>817</v>
      </c>
      <c r="L1215" s="183">
        <f>IF(K1215&gt;0,IF(K1215="ALPHA",PR!$E1213,IF(K1215="ASSENE",PR!$F1213,IF(K1215="BIOFEM",PR!$G1213,IF(K1215="BIOMED",PR!$H1213,IF(K1215="CHI",PR!$I1213,IF(K1215="CLARION",PR!$J1213,IF(K1215="CODIX",PR!$K1213,IF(K1215="COSMADE",PR!$L1213,IF(K1215="SANCON",PR!$M1213,IF(K1215="DEVON",PR!$N1213,IF(K1215="DORTEMAG",PR!$O1213,IF(K1215="DGF",PR!$P1213,IF(K1215="DYNAMIC",PR!$Q1213,IF(K1215="EMZOR",PR!$R1213,IF(K1215="EUMATT",PR!$S1213,IF(K1215="FIDSON",PR!$T1213,IF(K1215="FCGLOBAL",PR!$U1213,IF(K1215="GENEITH",PR!$V1213,IF(K1215="GINOS",PR!$W1213,IF(K1215="GSK",PR!$X1213,IF(K1215="GLOBORG",PR!$Y1213,IF(K1215="GOODNEWS",PR!$Z1213,IF(K1215="GREENLIFE",PR!$AA1213,IF(K1215="HLINE",PR!$AB1213,IF(K1215="ROTECH",PR!$AC1213,IF(K1215="ISN",PR!$AD1213,IF(K1215="JAWA",PR!$AE1213,IF(K1215="LAYO",PR!$AF1213,IF(K1215="LEADWAY",PR!$AG1213,IF(K1215="LHV",PR!$AH1213,IF(K1215="MANOLA",PR!$AI1213,IF(K1215="MARCSON",PR!$AJ1213,IF(K1215="M&amp;B",PR!$AK1213,IF(K1215="MTRUST",PR!$AL1213,IF(K1215="MWORLD",PR!$AM1213,IF(K1215="MEGA",PR!$AN1213,IF(K1215="MICRONOVA",PR!$AO1213,IF(K1215="MFLASH",PR!$AP1213,IF(K1215="MORISON",PR!$AQ1213,IF(K1215="NEMEL",PR!$AR1213,IF(K1215="NHP",PR!$AS1213,IF(K1215="NHC",PR!$AT1213,IF(K1215="OLEAF",PR!$AU1213,IF(K1215="OCULUS",PR!$AV1213,IF(K1215="PACIFIC",PR!$AW1213,IF(K1215="PHAMATEX",PR!$AX1213,IF(K1215="PETHICS",PR!$AY1213,IF(K1215="PHILIPS",PR!$AZ1213,IF(K1215="RANBAXY",PR!$BA1213,IF(K1215="REALS",PR!$BB1213,IF(K1215="ROYAL",PR!$BC1213,IF(K1215="SAM",PR!$BD1213,IF(K1215="SEAGREEN",PR!$BE1213,IF(K1215="SKG",PR!$BF1213,IF(K1215="TAH",PR!$BG1213,IF(K1215="TAYLEK",PR!$BH1213,IF(K1215="TEMITA",PR!$BI1213,IF(K1215="THL",PR!$BJ1213,IF(K1215="UBASTIC",PR!$BK1213,IF(K1215="UNION",PR!$BL1213,IF(K1215="UNIQUE",PR!$BM1213,IF(K1215="VIXA",PR!$BN1213,IF(K1215="WWCV",PR!$BO1213,IF(K1215="ZOLON",PR!$BP1213,"-")))))))))))))))))))))))))))))))))))))))))))))))))))))))))))))))))</f>
        <v>16500</v>
      </c>
    </row>
    <row r="1216" spans="1:12" ht="18.75" x14ac:dyDescent="0.3">
      <c r="A1216" s="430">
        <f>PR!A1214</f>
        <v>1092</v>
      </c>
      <c r="B1216" s="15" t="str">
        <f>PR!B1214</f>
        <v>SWAB STICK</v>
      </c>
      <c r="C1216" s="113" t="str">
        <f>PR!D1214</f>
        <v>Carton</v>
      </c>
      <c r="D1216" s="113">
        <f>PR!C1214</f>
        <v>1</v>
      </c>
      <c r="E1216" s="108">
        <f>IF(F1216="ALPHA",PR!$E1214,IF(F1216="ASSENE",PR!$F1214,IF(F1216="BIOFEM",PR!$G1214,IF(F1216="BIOMED",PR!$H1214,IF(F1216="CHI",PR!$I1214,IF(F1216="CLARION",PR!$J1214,IF(F1216="CODIX",PR!$K1214,IF(F1216="COSMADE",PR!$L1214,IF(F1216="SANCON",PR!$M1214,IF(F1216="DEVON",PR!$N1214,IF(F1216="DORTEMAG",PR!$O1214,IF(F1216="DGF",PR!$P1214,IF(F1216="DYNAMIC",PR!$Q1214,IF(F1216="EMZOR",PR!$R1214,IF(F1216="EUMATT",PR!$S1214,IF(F1216="FIDSON",PR!$T1214,IF(F1216="FCGLOBAL",PR!$U1214,IF(F1216="GENEITH",PR!$V1214,IF(F1216="GINOS",PR!$W1214,IF(F1216="GSK",PR!$X1214,IF(F1216="GLOBORG",PR!$Y1214,IF(F1216="GOODNEWS",PR!$Z1214,IF(F1216="GREENLIFE",PR!$AA1214,IF(F1216="HLINE",PR!$AB1214,IF(F1216="ROTECH",PR!$AC1214,IF(F1216="ISN",PR!$AD1214,IF(F1216="JAWA",PR!$AE1214,IF(F1216="LAYO",PR!$AF1214,IF(F1216="LEADWAY",PR!$AG1214,IF(F1216="LHV",PR!$AH1214,IF(F1216="MANOLA",PR!$AI1214,IF(F1216="MARCSON",PR!$AJ1214,IF(F1216="M&amp;B",PR!$AK1214,IF(F1216="MTRUST",PR!$AL1214,IF(F1216="MWORLD",PR!$AM1214,IF(F1216="MEGA",PR!$AN1214,IF(F1216="MICRONOVA",PR!$AO1214,IF(F1216="MFLASH",PR!$AP1214,IF(F1216="MORISON",PR!$AQ1214,IF(F1216="NEMEL",PR!$AR1214,IF(F1216="NHP",PR!$AS1214,IF(F1216="NHC",PR!$AT1214,IF(F1216="OLEAF",PR!$AU1214,IF(F1216="OCULUS",PR!$AV1214,IF(F1216="PACIFIC",PR!$AW1214,IF(F1216="PHAMATEX",PR!$AX1214,IF(F1216="PETHICS",PR!$AY1214,IF(F1216="PHILIPS",PR!$AZ1214,IF(F1216="RANBAXY",PR!$BA1214,IF(F1216="REALS",PR!$BB1214,IF(F1216="ROYAL",PR!$BC1214,IF(F1216="SAM",PR!$BD1214,IF(F1216="SEAGREEN",PR!$BE1214,IF(F1216="SKG",PR!$BF1214,IF(F1216="TAH",PR!$BG1214,IF(F1216="TAYLEK",PR!$BH1214,IF(F1216="TEMITA",PR!$BI1214,IF(F1216="THL",PR!$BJ1214,IF(F1216="UBASTIC",PR!$BK1214,IF(F1216="UNION",PR!$BL1214,IF(F1216="UNIQUE",PR!$BM1214,IF(F1216="VIXA",PR!$BN1214,IF(F1216="WWCV",PR!$BO1214,IF(F1216="ZOLON",PR!$BP1214,"-"))))))))))))))))))))))))))))))))))))))))))))))))))))))))))))))))</f>
        <v>15000</v>
      </c>
      <c r="F1216" s="102" t="str">
        <f>EV!L1551</f>
        <v>LHV</v>
      </c>
      <c r="G1216" s="108">
        <f>IF(H1216="ALPHA",PR!$E1214,IF(H1216="ASSENE",PR!$F1214,IF(H1216="BIOFEM",PR!$G1214,IF(H1216="BIOMED",PR!$H1214,IF(H1216="CHI",PR!$I1214,IF(H1216="CLARION",PR!$J1214,IF(H1216="CODIX",PR!$K1214,IF(H1216="COSMADE",PR!$L1214,IF(H1216="SANCON",PR!$M1214,IF(H1216="DEVON",PR!$N1214,IF(H1216="DORTEMAG",PR!$O1214,IF(H1216="DGF",PR!$P1214,IF(H1216="DYNAMIC",PR!$Q1214,IF(H1216="EMZOR",PR!$R1214,IF(H1216="EUMATT",PR!$S1214,IF(H1216="FIDSON",PR!$T1214,IF(H1216="FCGLOBAL",PR!$U1214,IF(H1216="GENEITH",PR!$V1214,IF(H1216="GINOS",PR!$W1214,IF(H1216="GSK",PR!$X1214,IF(H1216="GLOBORG",PR!$Y1214,IF(H1216="GOODNEWS",PR!$Z1214,IF(H1216="GREENLIFE",PR!$AA1214,IF(H1216="HLINE",PR!$AB1214,IF(H1216="ROTECH",PR!$AC1214,IF(H1216="ISN",PR!$AD1214,IF(H1216="JAWA",PR!$AE1214,IF(H1216="LAYO",PR!$AF1214,IF(H1216="LEADWAY",PR!$AG1214,IF(H1216="LHV",PR!$AH1214,IF(H1216="MANOLA",PR!$AI1214,IF(H1216="MARCSON",PR!$AJ1214,IF(H1216="M&amp;B",PR!$AK1214,IF(H1216="MTRUST",PR!$AL1214,IF(H1216="MWORLD",PR!$AM1214,IF(H1216="MEGA",PR!$AN1214,IF(H1216="MICRONOVA",PR!$AO1214,IF(H1216="MFLASH",PR!$AP1214,IF(H1216="MORISON",PR!$AQ1214,IF(H1216="NEMEL",PR!$AR1214,IF(H1216="NHP",PR!$AS1214,IF(H1216="NHC",PR!$AT1214,IF(H1216="OLEAF",PR!$AU1214,IF(H1216="OCULUS",PR!$AV1214,IF(H1216="PACIFIC",PR!$AW1214,IF(H1216="PHAMATEX",PR!$AX1214,IF(H1216="PETHICS",PR!$AY1214,IF(H1216="PHILIPS",PR!$AZ1214,IF(H1216="RANBAXY",PR!$BA1214,IF(H1216="REALS",PR!$BB1214,IF(H1216="ROYAL",PR!$BC1214,IF(H1216="SAM",PR!$BD1214,IF(H1216="SEAGREEN",PR!$BE1214,IF(H1216="SKG",PR!$BF1214,IF(H1216="TAH",PR!$BG1214,IF(H1216="TAYLEK",PR!$BH1214,IF(H1216="TEMITA",PR!$BI1214,IF(H1216="THL",PR!$BJ1214,IF(H1216="UBASTIC",PR!$BK1214,IF(H1216="UNION",PR!$BL1214,IF(H1216="UNIQUE",PR!$BM1214,IF(H1216="VIXA",PR!$BN1214,IF(H1216="WWCV",PR!$BO1214,IF(H1216="ZOLON",PR!$BP1214,"-"))))))))))))))))))))))))))))))))))))))))))))))))))))))))))))))))</f>
        <v>18000</v>
      </c>
      <c r="H1216" s="102" t="str">
        <f>EV!M1551</f>
        <v>TEMITA</v>
      </c>
      <c r="I1216" s="108">
        <f>IF(J1216="ALPHA",PR!$E1214,IF(J1216="ASSENE",PR!$F1214,IF(J1216="BIOFEM",PR!$G1214,IF(J1216="BIOMED",PR!$H1214,IF(J1216="CHI",PR!$I1214,IF(J1216="CLARION",PR!$J1214,IF(J1216="CODIX",PR!$K1214,IF(J1216="COSMADE",PR!$L1214,IF(J1216="SANCON",PR!$M1214,IF(J1216="DEVON",PR!$N1214,IF(J1216="DORTEMAG",PR!$O1214,IF(J1216="DGF",PR!$P1214,IF(J1216="DYNAMIC",PR!$Q1214,IF(J1216="EMZOR",PR!$R1214,IF(J1216="EUMATT",PR!$S1214,IF(J1216="FIDSON",PR!$T1214,IF(J1216="FCGLOBAL",PR!$U1214,IF(J1216="GENEITH",PR!$V1214,IF(J1216="GINOS",PR!$W1214,IF(J1216="GSK",PR!$X1214,IF(J1216="GLOBORG",PR!$Y1214,IF(J1216="GOODNEWS",PR!$Z1214,IF(J1216="GREENLIFE",PR!$AA1214,IF(J1216="HLINE",PR!$AB1214,IF(J1216="ROTECH",PR!$AC1214,IF(J1216="ISN",PR!$AD1214,IF(J1216="JAWA",PR!$AE1214,IF(J1216="LAYO",PR!$AF1214,IF(J1216="LEADWAY",PR!$AG1214,IF(J1216="LHV",PR!$AH1214,IF(J1216="MANOLA",PR!$AI1214,IF(J1216="MARCSON",PR!$AJ1214,IF(J1216="M&amp;B",PR!$AK1214,IF(J1216="MTRUST",PR!$AL1214,IF(J1216="MWORLD",PR!$AM1214,IF(J1216="MEGA",PR!$AN1214,IF(J1216="MICRONOVA",PR!$AO1214,IF(J1216="MFLASH",PR!$AP1214,IF(J1216="MORISON",PR!$AQ1214,IF(J1216="NEMEL",PR!$AR1214,IF(J1216="NHP",PR!$AS1214,IF(J1216="NHC",PR!$AT1214,IF(J1216="OLEAF",PR!$AU1214,IF(J1216="OCULUS",PR!$AV1214,IF(J1216="PACIFIC",PR!$AW1214,IF(J1216="PHAMATEX",PR!$AX1214,IF(J1216="PETHICS",PR!$AY1214,IF(J1216="PHILIPS",PR!$AZ1214,IF(J1216="RANBAXY",PR!$BA1214,IF(J1216="REALS",PR!$BB1214,IF(J1216="ROYAL",PR!$BC1214,IF(J1216="SAM",PR!$BD1214,IF(J1216="SEAGREEN",PR!$BE1214,IF(J1216="SKG",PR!$BF1214,IF(J1216="TAH",PR!$BG1214,IF(J1216="TAYLEK",PR!$BH1214,IF(J1216="TEMITA",PR!$BI1214,IF(J1216="THL",PR!$BJ1214,IF(J1216="UBASTIC",PR!$BK1214,IF(J1216="UNION",PR!$BL1214,IF(J1216="UNIQUE",PR!$BM1214,IF(J1216="VIXA",PR!$BN1214,IF(J1216="WWCV",PR!$BO1214,IF(J1216="ZOLON",PR!$BP1214,"-"))))))))))))))))))))))))))))))))))))))))))))))))))))))))))))))))</f>
        <v>28500</v>
      </c>
      <c r="J1216" s="102" t="str">
        <f>EV!N1551</f>
        <v>SANCON</v>
      </c>
      <c r="K1216" s="433" t="s">
        <v>1463</v>
      </c>
      <c r="L1216" s="183">
        <f>IF(K1216&gt;0,IF(K1216="ALPHA",PR!$E1214,IF(K1216="ASSENE",PR!$F1214,IF(K1216="BIOFEM",PR!$G1214,IF(K1216="BIOMED",PR!$H1214,IF(K1216="CHI",PR!$I1214,IF(K1216="CLARION",PR!$J1214,IF(K1216="CODIX",PR!$K1214,IF(K1216="COSMADE",PR!$L1214,IF(K1216="SANCON",PR!$M1214,IF(K1216="DEVON",PR!$N1214,IF(K1216="DORTEMAG",PR!$O1214,IF(K1216="DGF",PR!$P1214,IF(K1216="DYNAMIC",PR!$Q1214,IF(K1216="EMZOR",PR!$R1214,IF(K1216="EUMATT",PR!$S1214,IF(K1216="FIDSON",PR!$T1214,IF(K1216="FCGLOBAL",PR!$U1214,IF(K1216="GENEITH",PR!$V1214,IF(K1216="GINOS",PR!$W1214,IF(K1216="GSK",PR!$X1214,IF(K1216="GLOBORG",PR!$Y1214,IF(K1216="GOODNEWS",PR!$Z1214,IF(K1216="GREENLIFE",PR!$AA1214,IF(K1216="HLINE",PR!$AB1214,IF(K1216="ROTECH",PR!$AC1214,IF(K1216="ISN",PR!$AD1214,IF(K1216="JAWA",PR!$AE1214,IF(K1216="LAYO",PR!$AF1214,IF(K1216="LEADWAY",PR!$AG1214,IF(K1216="LHV",PR!$AH1214,IF(K1216="MANOLA",PR!$AI1214,IF(K1216="MARCSON",PR!$AJ1214,IF(K1216="M&amp;B",PR!$AK1214,IF(K1216="MTRUST",PR!$AL1214,IF(K1216="MWORLD",PR!$AM1214,IF(K1216="MEGA",PR!$AN1214,IF(K1216="MICRONOVA",PR!$AO1214,IF(K1216="MFLASH",PR!$AP1214,IF(K1216="MORISON",PR!$AQ1214,IF(K1216="NEMEL",PR!$AR1214,IF(K1216="NHP",PR!$AS1214,IF(K1216="NHC",PR!$AT1214,IF(K1216="OLEAF",PR!$AU1214,IF(K1216="OCULUS",PR!$AV1214,IF(K1216="PACIFIC",PR!$AW1214,IF(K1216="PHAMATEX",PR!$AX1214,IF(K1216="PETHICS",PR!$AY1214,IF(K1216="PHILIPS",PR!$AZ1214,IF(K1216="RANBAXY",PR!$BA1214,IF(K1216="REALS",PR!$BB1214,IF(K1216="ROYAL",PR!$BC1214,IF(K1216="SAM",PR!$BD1214,IF(K1216="SEAGREEN",PR!$BE1214,IF(K1216="SKG",PR!$BF1214,IF(K1216="TAH",PR!$BG1214,IF(K1216="TAYLEK",PR!$BH1214,IF(K1216="TEMITA",PR!$BI1214,IF(K1216="THL",PR!$BJ1214,IF(K1216="UBASTIC",PR!$BK1214,IF(K1216="UNION",PR!$BL1214,IF(K1216="UNIQUE",PR!$BM1214,IF(K1216="VIXA",PR!$BN1214,IF(K1216="WWCV",PR!$BO1214,IF(K1216="ZOLON",PR!$BP1214,"-")))))))))))))))))))))))))))))))))))))))))))))))))))))))))))))))))</f>
        <v>18000</v>
      </c>
    </row>
    <row r="1217" spans="1:12" ht="18.75" x14ac:dyDescent="0.3">
      <c r="A1217" s="430">
        <f>PR!A1215</f>
        <v>1093</v>
      </c>
      <c r="B1217" s="15" t="str">
        <f>PR!B1215</f>
        <v>MULTI DISC GRAM POSITIVE</v>
      </c>
      <c r="C1217" s="113" t="str">
        <f>PR!D1215</f>
        <v>Box</v>
      </c>
      <c r="D1217" s="113">
        <f>PR!C1215</f>
        <v>6</v>
      </c>
      <c r="E1217" s="108">
        <f>IF(F1217="ALPHA",PR!$E1215,IF(F1217="ASSENE",PR!$F1215,IF(F1217="BIOFEM",PR!$G1215,IF(F1217="BIOMED",PR!$H1215,IF(F1217="CHI",PR!$I1215,IF(F1217="CLARION",PR!$J1215,IF(F1217="CODIX",PR!$K1215,IF(F1217="COSMADE",PR!$L1215,IF(F1217="SANCON",PR!$M1215,IF(F1217="DEVON",PR!$N1215,IF(F1217="DORTEMAG",PR!$O1215,IF(F1217="DGF",PR!$P1215,IF(F1217="DYNAMIC",PR!$Q1215,IF(F1217="EMZOR",PR!$R1215,IF(F1217="EUMATT",PR!$S1215,IF(F1217="FIDSON",PR!$T1215,IF(F1217="FCGLOBAL",PR!$U1215,IF(F1217="GENEITH",PR!$V1215,IF(F1217="GINOS",PR!$W1215,IF(F1217="GSK",PR!$X1215,IF(F1217="GLOBORG",PR!$Y1215,IF(F1217="GOODNEWS",PR!$Z1215,IF(F1217="GREENLIFE",PR!$AA1215,IF(F1217="HLINE",PR!$AB1215,IF(F1217="ROTECH",PR!$AC1215,IF(F1217="ISN",PR!$AD1215,IF(F1217="JAWA",PR!$AE1215,IF(F1217="LAYO",PR!$AF1215,IF(F1217="LEADWAY",PR!$AG1215,IF(F1217="LHV",PR!$AH1215,IF(F1217="MANOLA",PR!$AI1215,IF(F1217="MARCSON",PR!$AJ1215,IF(F1217="M&amp;B",PR!$AK1215,IF(F1217="MTRUST",PR!$AL1215,IF(F1217="MWORLD",PR!$AM1215,IF(F1217="MEGA",PR!$AN1215,IF(F1217="MICRONOVA",PR!$AO1215,IF(F1217="MFLASH",PR!$AP1215,IF(F1217="MORISON",PR!$AQ1215,IF(F1217="NEMEL",PR!$AR1215,IF(F1217="NHP",PR!$AS1215,IF(F1217="NHC",PR!$AT1215,IF(F1217="OLEAF",PR!$AU1215,IF(F1217="OCULUS",PR!$AV1215,IF(F1217="PACIFIC",PR!$AW1215,IF(F1217="PHAMATEX",PR!$AX1215,IF(F1217="PETHICS",PR!$AY1215,IF(F1217="PHILIPS",PR!$AZ1215,IF(F1217="RANBAXY",PR!$BA1215,IF(F1217="REALS",PR!$BB1215,IF(F1217="ROYAL",PR!$BC1215,IF(F1217="SAM",PR!$BD1215,IF(F1217="SEAGREEN",PR!$BE1215,IF(F1217="SKG",PR!$BF1215,IF(F1217="TAH",PR!$BG1215,IF(F1217="TAYLEK",PR!$BH1215,IF(F1217="TEMITA",PR!$BI1215,IF(F1217="THL",PR!$BJ1215,IF(F1217="UBASTIC",PR!$BK1215,IF(F1217="UNION",PR!$BL1215,IF(F1217="UNIQUE",PR!$BM1215,IF(F1217="VIXA",PR!$BN1215,IF(F1217="WWCV",PR!$BO1215,IF(F1217="ZOLON",PR!$BP1215,"-"))))))))))))))))))))))))))))))))))))))))))))))))))))))))))))))))</f>
        <v>9500</v>
      </c>
      <c r="F1217" s="102" t="str">
        <f>EV!L1552</f>
        <v>UBASTIC</v>
      </c>
      <c r="G1217" s="108">
        <f>IF(H1217="ALPHA",PR!$E1215,IF(H1217="ASSENE",PR!$F1215,IF(H1217="BIOFEM",PR!$G1215,IF(H1217="BIOMED",PR!$H1215,IF(H1217="CHI",PR!$I1215,IF(H1217="CLARION",PR!$J1215,IF(H1217="CODIX",PR!$K1215,IF(H1217="COSMADE",PR!$L1215,IF(H1217="SANCON",PR!$M1215,IF(H1217="DEVON",PR!$N1215,IF(H1217="DORTEMAG",PR!$O1215,IF(H1217="DGF",PR!$P1215,IF(H1217="DYNAMIC",PR!$Q1215,IF(H1217="EMZOR",PR!$R1215,IF(H1217="EUMATT",PR!$S1215,IF(H1217="FIDSON",PR!$T1215,IF(H1217="FCGLOBAL",PR!$U1215,IF(H1217="GENEITH",PR!$V1215,IF(H1217="GINOS",PR!$W1215,IF(H1217="GSK",PR!$X1215,IF(H1217="GLOBORG",PR!$Y1215,IF(H1217="GOODNEWS",PR!$Z1215,IF(H1217="GREENLIFE",PR!$AA1215,IF(H1217="HLINE",PR!$AB1215,IF(H1217="ROTECH",PR!$AC1215,IF(H1217="ISN",PR!$AD1215,IF(H1217="JAWA",PR!$AE1215,IF(H1217="LAYO",PR!$AF1215,IF(H1217="LEADWAY",PR!$AG1215,IF(H1217="LHV",PR!$AH1215,IF(H1217="MANOLA",PR!$AI1215,IF(H1217="MARCSON",PR!$AJ1215,IF(H1217="M&amp;B",PR!$AK1215,IF(H1217="MTRUST",PR!$AL1215,IF(H1217="MWORLD",PR!$AM1215,IF(H1217="MEGA",PR!$AN1215,IF(H1217="MICRONOVA",PR!$AO1215,IF(H1217="MFLASH",PR!$AP1215,IF(H1217="MORISON",PR!$AQ1215,IF(H1217="NEMEL",PR!$AR1215,IF(H1217="NHP",PR!$AS1215,IF(H1217="NHC",PR!$AT1215,IF(H1217="OLEAF",PR!$AU1215,IF(H1217="OCULUS",PR!$AV1215,IF(H1217="PACIFIC",PR!$AW1215,IF(H1217="PHAMATEX",PR!$AX1215,IF(H1217="PETHICS",PR!$AY1215,IF(H1217="PHILIPS",PR!$AZ1215,IF(H1217="RANBAXY",PR!$BA1215,IF(H1217="REALS",PR!$BB1215,IF(H1217="ROYAL",PR!$BC1215,IF(H1217="SAM",PR!$BD1215,IF(H1217="SEAGREEN",PR!$BE1215,IF(H1217="SKG",PR!$BF1215,IF(H1217="TAH",PR!$BG1215,IF(H1217="TAYLEK",PR!$BH1215,IF(H1217="TEMITA",PR!$BI1215,IF(H1217="THL",PR!$BJ1215,IF(H1217="UBASTIC",PR!$BK1215,IF(H1217="UNION",PR!$BL1215,IF(H1217="UNIQUE",PR!$BM1215,IF(H1217="VIXA",PR!$BN1215,IF(H1217="WWCV",PR!$BO1215,IF(H1217="ZOLON",PR!$BP1215,"-"))))))))))))))))))))))))))))))))))))))))))))))))))))))))))))))))</f>
        <v>12000</v>
      </c>
      <c r="H1217" s="102" t="str">
        <f>EV!M1552</f>
        <v>SANCON</v>
      </c>
      <c r="I1217" s="108">
        <f>IF(J1217="ALPHA",PR!$E1215,IF(J1217="ASSENE",PR!$F1215,IF(J1217="BIOFEM",PR!$G1215,IF(J1217="BIOMED",PR!$H1215,IF(J1217="CHI",PR!$I1215,IF(J1217="CLARION",PR!$J1215,IF(J1217="CODIX",PR!$K1215,IF(J1217="COSMADE",PR!$L1215,IF(J1217="SANCON",PR!$M1215,IF(J1217="DEVON",PR!$N1215,IF(J1217="DORTEMAG",PR!$O1215,IF(J1217="DGF",PR!$P1215,IF(J1217="DYNAMIC",PR!$Q1215,IF(J1217="EMZOR",PR!$R1215,IF(J1217="EUMATT",PR!$S1215,IF(J1217="FIDSON",PR!$T1215,IF(J1217="FCGLOBAL",PR!$U1215,IF(J1217="GENEITH",PR!$V1215,IF(J1217="GINOS",PR!$W1215,IF(J1217="GSK",PR!$X1215,IF(J1217="GLOBORG",PR!$Y1215,IF(J1217="GOODNEWS",PR!$Z1215,IF(J1217="GREENLIFE",PR!$AA1215,IF(J1217="HLINE",PR!$AB1215,IF(J1217="ROTECH",PR!$AC1215,IF(J1217="ISN",PR!$AD1215,IF(J1217="JAWA",PR!$AE1215,IF(J1217="LAYO",PR!$AF1215,IF(J1217="LEADWAY",PR!$AG1215,IF(J1217="LHV",PR!$AH1215,IF(J1217="MANOLA",PR!$AI1215,IF(J1217="MARCSON",PR!$AJ1215,IF(J1217="M&amp;B",PR!$AK1215,IF(J1217="MTRUST",PR!$AL1215,IF(J1217="MWORLD",PR!$AM1215,IF(J1217="MEGA",PR!$AN1215,IF(J1217="MICRONOVA",PR!$AO1215,IF(J1217="MFLASH",PR!$AP1215,IF(J1217="MORISON",PR!$AQ1215,IF(J1217="NEMEL",PR!$AR1215,IF(J1217="NHP",PR!$AS1215,IF(J1217="NHC",PR!$AT1215,IF(J1217="OLEAF",PR!$AU1215,IF(J1217="OCULUS",PR!$AV1215,IF(J1217="PACIFIC",PR!$AW1215,IF(J1217="PHAMATEX",PR!$AX1215,IF(J1217="PETHICS",PR!$AY1215,IF(J1217="PHILIPS",PR!$AZ1215,IF(J1217="RANBAXY",PR!$BA1215,IF(J1217="REALS",PR!$BB1215,IF(J1217="ROYAL",PR!$BC1215,IF(J1217="SAM",PR!$BD1215,IF(J1217="SEAGREEN",PR!$BE1215,IF(J1217="SKG",PR!$BF1215,IF(J1217="TAH",PR!$BG1215,IF(J1217="TAYLEK",PR!$BH1215,IF(J1217="TEMITA",PR!$BI1215,IF(J1217="THL",PR!$BJ1215,IF(J1217="UBASTIC",PR!$BK1215,IF(J1217="UNION",PR!$BL1215,IF(J1217="UNIQUE",PR!$BM1215,IF(J1217="VIXA",PR!$BN1215,IF(J1217="WWCV",PR!$BO1215,IF(J1217="ZOLON",PR!$BP1215,"-"))))))))))))))))))))))))))))))))))))))))))))))))))))))))))))))))</f>
        <v>13125</v>
      </c>
      <c r="J1217" s="102" t="str">
        <f>EV!N1552</f>
        <v>DYNAMIC</v>
      </c>
      <c r="K1217" s="433" t="s">
        <v>1459</v>
      </c>
      <c r="L1217" s="183">
        <f>IF(K1217&gt;0,IF(K1217="ALPHA",PR!$E1215,IF(K1217="ASSENE",PR!$F1215,IF(K1217="BIOFEM",PR!$G1215,IF(K1217="BIOMED",PR!$H1215,IF(K1217="CHI",PR!$I1215,IF(K1217="CLARION",PR!$J1215,IF(K1217="CODIX",PR!$K1215,IF(K1217="COSMADE",PR!$L1215,IF(K1217="SANCON",PR!$M1215,IF(K1217="DEVON",PR!$N1215,IF(K1217="DORTEMAG",PR!$O1215,IF(K1217="DGF",PR!$P1215,IF(K1217="DYNAMIC",PR!$Q1215,IF(K1217="EMZOR",PR!$R1215,IF(K1217="EUMATT",PR!$S1215,IF(K1217="FIDSON",PR!$T1215,IF(K1217="FCGLOBAL",PR!$U1215,IF(K1217="GENEITH",PR!$V1215,IF(K1217="GINOS",PR!$W1215,IF(K1217="GSK",PR!$X1215,IF(K1217="GLOBORG",PR!$Y1215,IF(K1217="GOODNEWS",PR!$Z1215,IF(K1217="GREENLIFE",PR!$AA1215,IF(K1217="HLINE",PR!$AB1215,IF(K1217="ROTECH",PR!$AC1215,IF(K1217="ISN",PR!$AD1215,IF(K1217="JAWA",PR!$AE1215,IF(K1217="LAYO",PR!$AF1215,IF(K1217="LEADWAY",PR!$AG1215,IF(K1217="LHV",PR!$AH1215,IF(K1217="MANOLA",PR!$AI1215,IF(K1217="MARCSON",PR!$AJ1215,IF(K1217="M&amp;B",PR!$AK1215,IF(K1217="MTRUST",PR!$AL1215,IF(K1217="MWORLD",PR!$AM1215,IF(K1217="MEGA",PR!$AN1215,IF(K1217="MICRONOVA",PR!$AO1215,IF(K1217="MFLASH",PR!$AP1215,IF(K1217="MORISON",PR!$AQ1215,IF(K1217="NEMEL",PR!$AR1215,IF(K1217="NHP",PR!$AS1215,IF(K1217="NHC",PR!$AT1215,IF(K1217="OLEAF",PR!$AU1215,IF(K1217="OCULUS",PR!$AV1215,IF(K1217="PACIFIC",PR!$AW1215,IF(K1217="PHAMATEX",PR!$AX1215,IF(K1217="PETHICS",PR!$AY1215,IF(K1217="PHILIPS",PR!$AZ1215,IF(K1217="RANBAXY",PR!$BA1215,IF(K1217="REALS",PR!$BB1215,IF(K1217="ROYAL",PR!$BC1215,IF(K1217="SAM",PR!$BD1215,IF(K1217="SEAGREEN",PR!$BE1215,IF(K1217="SKG",PR!$BF1215,IF(K1217="TAH",PR!$BG1215,IF(K1217="TAYLEK",PR!$BH1215,IF(K1217="TEMITA",PR!$BI1215,IF(K1217="THL",PR!$BJ1215,IF(K1217="UBASTIC",PR!$BK1215,IF(K1217="UNION",PR!$BL1215,IF(K1217="UNIQUE",PR!$BM1215,IF(K1217="VIXA",PR!$BN1215,IF(K1217="WWCV",PR!$BO1215,IF(K1217="ZOLON",PR!$BP1215,"-")))))))))))))))))))))))))))))))))))))))))))))))))))))))))))))))))</f>
        <v>9500</v>
      </c>
    </row>
    <row r="1218" spans="1:12" ht="18.75" x14ac:dyDescent="0.3">
      <c r="A1218" s="430">
        <f>PR!A1216</f>
        <v>1094</v>
      </c>
      <c r="B1218" s="15" t="str">
        <f>PR!B1216</f>
        <v>MULTI DISC GRAM NEGATIVE</v>
      </c>
      <c r="C1218" s="113" t="str">
        <f>PR!D1216</f>
        <v>Box</v>
      </c>
      <c r="D1218" s="113">
        <f>PR!C1216</f>
        <v>6</v>
      </c>
      <c r="E1218" s="108">
        <f>IF(F1218="ALPHA",PR!$E1216,IF(F1218="ASSENE",PR!$F1216,IF(F1218="BIOFEM",PR!$G1216,IF(F1218="BIOMED",PR!$H1216,IF(F1218="CHI",PR!$I1216,IF(F1218="CLARION",PR!$J1216,IF(F1218="CODIX",PR!$K1216,IF(F1218="COSMADE",PR!$L1216,IF(F1218="SANCON",PR!$M1216,IF(F1218="DEVON",PR!$N1216,IF(F1218="DORTEMAG",PR!$O1216,IF(F1218="DGF",PR!$P1216,IF(F1218="DYNAMIC",PR!$Q1216,IF(F1218="EMZOR",PR!$R1216,IF(F1218="EUMATT",PR!$S1216,IF(F1218="FIDSON",PR!$T1216,IF(F1218="FCGLOBAL",PR!$U1216,IF(F1218="GENEITH",PR!$V1216,IF(F1218="GINOS",PR!$W1216,IF(F1218="GSK",PR!$X1216,IF(F1218="GLOBORG",PR!$Y1216,IF(F1218="GOODNEWS",PR!$Z1216,IF(F1218="GREENLIFE",PR!$AA1216,IF(F1218="HLINE",PR!$AB1216,IF(F1218="ROTECH",PR!$AC1216,IF(F1218="ISN",PR!$AD1216,IF(F1218="JAWA",PR!$AE1216,IF(F1218="LAYO",PR!$AF1216,IF(F1218="LEADWAY",PR!$AG1216,IF(F1218="LHV",PR!$AH1216,IF(F1218="MANOLA",PR!$AI1216,IF(F1218="MARCSON",PR!$AJ1216,IF(F1218="M&amp;B",PR!$AK1216,IF(F1218="MTRUST",PR!$AL1216,IF(F1218="MWORLD",PR!$AM1216,IF(F1218="MEGA",PR!$AN1216,IF(F1218="MICRONOVA",PR!$AO1216,IF(F1218="MFLASH",PR!$AP1216,IF(F1218="MORISON",PR!$AQ1216,IF(F1218="NEMEL",PR!$AR1216,IF(F1218="NHP",PR!$AS1216,IF(F1218="NHC",PR!$AT1216,IF(F1218="OLEAF",PR!$AU1216,IF(F1218="OCULUS",PR!$AV1216,IF(F1218="PACIFIC",PR!$AW1216,IF(F1218="PHAMATEX",PR!$AX1216,IF(F1218="PETHICS",PR!$AY1216,IF(F1218="PHILIPS",PR!$AZ1216,IF(F1218="RANBAXY",PR!$BA1216,IF(F1218="REALS",PR!$BB1216,IF(F1218="ROYAL",PR!$BC1216,IF(F1218="SAM",PR!$BD1216,IF(F1218="SEAGREEN",PR!$BE1216,IF(F1218="SKG",PR!$BF1216,IF(F1218="TAH",PR!$BG1216,IF(F1218="TAYLEK",PR!$BH1216,IF(F1218="TEMITA",PR!$BI1216,IF(F1218="THL",PR!$BJ1216,IF(F1218="UBASTIC",PR!$BK1216,IF(F1218="UNION",PR!$BL1216,IF(F1218="UNIQUE",PR!$BM1216,IF(F1218="VIXA",PR!$BN1216,IF(F1218="WWCV",PR!$BO1216,IF(F1218="ZOLON",PR!$BP1216,"-"))))))))))))))))))))))))))))))))))))))))))))))))))))))))))))))))</f>
        <v>9500</v>
      </c>
      <c r="F1218" s="102" t="str">
        <f>EV!L1553</f>
        <v>UBASTIC</v>
      </c>
      <c r="G1218" s="108">
        <f>IF(H1218="ALPHA",PR!$E1216,IF(H1218="ASSENE",PR!$F1216,IF(H1218="BIOFEM",PR!$G1216,IF(H1218="BIOMED",PR!$H1216,IF(H1218="CHI",PR!$I1216,IF(H1218="CLARION",PR!$J1216,IF(H1218="CODIX",PR!$K1216,IF(H1218="COSMADE",PR!$L1216,IF(H1218="SANCON",PR!$M1216,IF(H1218="DEVON",PR!$N1216,IF(H1218="DORTEMAG",PR!$O1216,IF(H1218="DGF",PR!$P1216,IF(H1218="DYNAMIC",PR!$Q1216,IF(H1218="EMZOR",PR!$R1216,IF(H1218="EUMATT",PR!$S1216,IF(H1218="FIDSON",PR!$T1216,IF(H1218="FCGLOBAL",PR!$U1216,IF(H1218="GENEITH",PR!$V1216,IF(H1218="GINOS",PR!$W1216,IF(H1218="GSK",PR!$X1216,IF(H1218="GLOBORG",PR!$Y1216,IF(H1218="GOODNEWS",PR!$Z1216,IF(H1218="GREENLIFE",PR!$AA1216,IF(H1218="HLINE",PR!$AB1216,IF(H1218="ROTECH",PR!$AC1216,IF(H1218="ISN",PR!$AD1216,IF(H1218="JAWA",PR!$AE1216,IF(H1218="LAYO",PR!$AF1216,IF(H1218="LEADWAY",PR!$AG1216,IF(H1218="LHV",PR!$AH1216,IF(H1218="MANOLA",PR!$AI1216,IF(H1218="MARCSON",PR!$AJ1216,IF(H1218="M&amp;B",PR!$AK1216,IF(H1218="MTRUST",PR!$AL1216,IF(H1218="MWORLD",PR!$AM1216,IF(H1218="MEGA",PR!$AN1216,IF(H1218="MICRONOVA",PR!$AO1216,IF(H1218="MFLASH",PR!$AP1216,IF(H1218="MORISON",PR!$AQ1216,IF(H1218="NEMEL",PR!$AR1216,IF(H1218="NHP",PR!$AS1216,IF(H1218="NHC",PR!$AT1216,IF(H1218="OLEAF",PR!$AU1216,IF(H1218="OCULUS",PR!$AV1216,IF(H1218="PACIFIC",PR!$AW1216,IF(H1218="PHAMATEX",PR!$AX1216,IF(H1218="PETHICS",PR!$AY1216,IF(H1218="PHILIPS",PR!$AZ1216,IF(H1218="RANBAXY",PR!$BA1216,IF(H1218="REALS",PR!$BB1216,IF(H1218="ROYAL",PR!$BC1216,IF(H1218="SAM",PR!$BD1216,IF(H1218="SEAGREEN",PR!$BE1216,IF(H1218="SKG",PR!$BF1216,IF(H1218="TAH",PR!$BG1216,IF(H1218="TAYLEK",PR!$BH1216,IF(H1218="TEMITA",PR!$BI1216,IF(H1218="THL",PR!$BJ1216,IF(H1218="UBASTIC",PR!$BK1216,IF(H1218="UNION",PR!$BL1216,IF(H1218="UNIQUE",PR!$BM1216,IF(H1218="VIXA",PR!$BN1216,IF(H1218="WWCV",PR!$BO1216,IF(H1218="ZOLON",PR!$BP1216,"-"))))))))))))))))))))))))))))))))))))))))))))))))))))))))))))))))</f>
        <v>12000</v>
      </c>
      <c r="H1218" s="102" t="str">
        <f>EV!M1553</f>
        <v>SANCON</v>
      </c>
      <c r="I1218" s="108">
        <f>IF(J1218="ALPHA",PR!$E1216,IF(J1218="ASSENE",PR!$F1216,IF(J1218="BIOFEM",PR!$G1216,IF(J1218="BIOMED",PR!$H1216,IF(J1218="CHI",PR!$I1216,IF(J1218="CLARION",PR!$J1216,IF(J1218="CODIX",PR!$K1216,IF(J1218="COSMADE",PR!$L1216,IF(J1218="SANCON",PR!$M1216,IF(J1218="DEVON",PR!$N1216,IF(J1218="DORTEMAG",PR!$O1216,IF(J1218="DGF",PR!$P1216,IF(J1218="DYNAMIC",PR!$Q1216,IF(J1218="EMZOR",PR!$R1216,IF(J1218="EUMATT",PR!$S1216,IF(J1218="FIDSON",PR!$T1216,IF(J1218="FCGLOBAL",PR!$U1216,IF(J1218="GENEITH",PR!$V1216,IF(J1218="GINOS",PR!$W1216,IF(J1218="GSK",PR!$X1216,IF(J1218="GLOBORG",PR!$Y1216,IF(J1218="GOODNEWS",PR!$Z1216,IF(J1218="GREENLIFE",PR!$AA1216,IF(J1218="HLINE",PR!$AB1216,IF(J1218="ROTECH",PR!$AC1216,IF(J1218="ISN",PR!$AD1216,IF(J1218="JAWA",PR!$AE1216,IF(J1218="LAYO",PR!$AF1216,IF(J1218="LEADWAY",PR!$AG1216,IF(J1218="LHV",PR!$AH1216,IF(J1218="MANOLA",PR!$AI1216,IF(J1218="MARCSON",PR!$AJ1216,IF(J1218="M&amp;B",PR!$AK1216,IF(J1218="MTRUST",PR!$AL1216,IF(J1218="MWORLD",PR!$AM1216,IF(J1218="MEGA",PR!$AN1216,IF(J1218="MICRONOVA",PR!$AO1216,IF(J1218="MFLASH",PR!$AP1216,IF(J1218="MORISON",PR!$AQ1216,IF(J1218="NEMEL",PR!$AR1216,IF(J1218="NHP",PR!$AS1216,IF(J1218="NHC",PR!$AT1216,IF(J1218="OLEAF",PR!$AU1216,IF(J1218="OCULUS",PR!$AV1216,IF(J1218="PACIFIC",PR!$AW1216,IF(J1218="PHAMATEX",PR!$AX1216,IF(J1218="PETHICS",PR!$AY1216,IF(J1218="PHILIPS",PR!$AZ1216,IF(J1218="RANBAXY",PR!$BA1216,IF(J1218="REALS",PR!$BB1216,IF(J1218="ROYAL",PR!$BC1216,IF(J1218="SAM",PR!$BD1216,IF(J1218="SEAGREEN",PR!$BE1216,IF(J1218="SKG",PR!$BF1216,IF(J1218="TAH",PR!$BG1216,IF(J1218="TAYLEK",PR!$BH1216,IF(J1218="TEMITA",PR!$BI1216,IF(J1218="THL",PR!$BJ1216,IF(J1218="UBASTIC",PR!$BK1216,IF(J1218="UNION",PR!$BL1216,IF(J1218="UNIQUE",PR!$BM1216,IF(J1218="VIXA",PR!$BN1216,IF(J1218="WWCV",PR!$BO1216,IF(J1218="ZOLON",PR!$BP1216,"-"))))))))))))))))))))))))))))))))))))))))))))))))))))))))))))))))</f>
        <v>13125</v>
      </c>
      <c r="J1218" s="102" t="str">
        <f>EV!N1553</f>
        <v>DYNAMIC</v>
      </c>
      <c r="K1218" s="433" t="s">
        <v>1459</v>
      </c>
      <c r="L1218" s="183">
        <f>IF(K1218&gt;0,IF(K1218="ALPHA",PR!$E1216,IF(K1218="ASSENE",PR!$F1216,IF(K1218="BIOFEM",PR!$G1216,IF(K1218="BIOMED",PR!$H1216,IF(K1218="CHI",PR!$I1216,IF(K1218="CLARION",PR!$J1216,IF(K1218="CODIX",PR!$K1216,IF(K1218="COSMADE",PR!$L1216,IF(K1218="SANCON",PR!$M1216,IF(K1218="DEVON",PR!$N1216,IF(K1218="DORTEMAG",PR!$O1216,IF(K1218="DGF",PR!$P1216,IF(K1218="DYNAMIC",PR!$Q1216,IF(K1218="EMZOR",PR!$R1216,IF(K1218="EUMATT",PR!$S1216,IF(K1218="FIDSON",PR!$T1216,IF(K1218="FCGLOBAL",PR!$U1216,IF(K1218="GENEITH",PR!$V1216,IF(K1218="GINOS",PR!$W1216,IF(K1218="GSK",PR!$X1216,IF(K1218="GLOBORG",PR!$Y1216,IF(K1218="GOODNEWS",PR!$Z1216,IF(K1218="GREENLIFE",PR!$AA1216,IF(K1218="HLINE",PR!$AB1216,IF(K1218="ROTECH",PR!$AC1216,IF(K1218="ISN",PR!$AD1216,IF(K1218="JAWA",PR!$AE1216,IF(K1218="LAYO",PR!$AF1216,IF(K1218="LEADWAY",PR!$AG1216,IF(K1218="LHV",PR!$AH1216,IF(K1218="MANOLA",PR!$AI1216,IF(K1218="MARCSON",PR!$AJ1216,IF(K1218="M&amp;B",PR!$AK1216,IF(K1218="MTRUST",PR!$AL1216,IF(K1218="MWORLD",PR!$AM1216,IF(K1218="MEGA",PR!$AN1216,IF(K1218="MICRONOVA",PR!$AO1216,IF(K1218="MFLASH",PR!$AP1216,IF(K1218="MORISON",PR!$AQ1216,IF(K1218="NEMEL",PR!$AR1216,IF(K1218="NHP",PR!$AS1216,IF(K1218="NHC",PR!$AT1216,IF(K1218="OLEAF",PR!$AU1216,IF(K1218="OCULUS",PR!$AV1216,IF(K1218="PACIFIC",PR!$AW1216,IF(K1218="PHAMATEX",PR!$AX1216,IF(K1218="PETHICS",PR!$AY1216,IF(K1218="PHILIPS",PR!$AZ1216,IF(K1218="RANBAXY",PR!$BA1216,IF(K1218="REALS",PR!$BB1216,IF(K1218="ROYAL",PR!$BC1216,IF(K1218="SAM",PR!$BD1216,IF(K1218="SEAGREEN",PR!$BE1216,IF(K1218="SKG",PR!$BF1216,IF(K1218="TAH",PR!$BG1216,IF(K1218="TAYLEK",PR!$BH1216,IF(K1218="TEMITA",PR!$BI1216,IF(K1218="THL",PR!$BJ1216,IF(K1218="UBASTIC",PR!$BK1216,IF(K1218="UNION",PR!$BL1216,IF(K1218="UNIQUE",PR!$BM1216,IF(K1218="VIXA",PR!$BN1216,IF(K1218="WWCV",PR!$BO1216,IF(K1218="ZOLON",PR!$BP1216,"-")))))))))))))))))))))))))))))))))))))))))))))))))))))))))))))))))</f>
        <v>9500</v>
      </c>
    </row>
    <row r="1219" spans="1:12" ht="18.75" x14ac:dyDescent="0.3">
      <c r="A1219" s="430">
        <f>PR!A1217</f>
        <v>1095</v>
      </c>
      <c r="B1219" s="15" t="str">
        <f>PR!B1217</f>
        <v>5ML GLASS TUBES</v>
      </c>
      <c r="C1219" s="113" t="str">
        <f>PR!D1217</f>
        <v>Carton</v>
      </c>
      <c r="D1219" s="113">
        <f>PR!C1217</f>
        <v>1</v>
      </c>
      <c r="E1219" s="108">
        <f>IF(F1219="ALPHA",PR!$E1217,IF(F1219="ASSENE",PR!$F1217,IF(F1219="BIOFEM",PR!$G1217,IF(F1219="BIOMED",PR!$H1217,IF(F1219="CHI",PR!$I1217,IF(F1219="CLARION",PR!$J1217,IF(F1219="CODIX",PR!$K1217,IF(F1219="COSMADE",PR!$L1217,IF(F1219="SANCON",PR!$M1217,IF(F1219="DEVON",PR!$N1217,IF(F1219="DORTEMAG",PR!$O1217,IF(F1219="DGF",PR!$P1217,IF(F1219="DYNAMIC",PR!$Q1217,IF(F1219="EMZOR",PR!$R1217,IF(F1219="EUMATT",PR!$S1217,IF(F1219="FIDSON",PR!$T1217,IF(F1219="FCGLOBAL",PR!$U1217,IF(F1219="GENEITH",PR!$V1217,IF(F1219="GINOS",PR!$W1217,IF(F1219="GSK",PR!$X1217,IF(F1219="GLOBORG",PR!$Y1217,IF(F1219="GOODNEWS",PR!$Z1217,IF(F1219="GREENLIFE",PR!$AA1217,IF(F1219="HLINE",PR!$AB1217,IF(F1219="ROTECH",PR!$AC1217,IF(F1219="ISN",PR!$AD1217,IF(F1219="JAWA",PR!$AE1217,IF(F1219="LAYO",PR!$AF1217,IF(F1219="LEADWAY",PR!$AG1217,IF(F1219="LHV",PR!$AH1217,IF(F1219="MANOLA",PR!$AI1217,IF(F1219="MARCSON",PR!$AJ1217,IF(F1219="M&amp;B",PR!$AK1217,IF(F1219="MTRUST",PR!$AL1217,IF(F1219="MWORLD",PR!$AM1217,IF(F1219="MEGA",PR!$AN1217,IF(F1219="MICRONOVA",PR!$AO1217,IF(F1219="MFLASH",PR!$AP1217,IF(F1219="MORISON",PR!$AQ1217,IF(F1219="NEMEL",PR!$AR1217,IF(F1219="NHP",PR!$AS1217,IF(F1219="NHC",PR!$AT1217,IF(F1219="OLEAF",PR!$AU1217,IF(F1219="OCULUS",PR!$AV1217,IF(F1219="PACIFIC",PR!$AW1217,IF(F1219="PHAMATEX",PR!$AX1217,IF(F1219="PETHICS",PR!$AY1217,IF(F1219="PHILIPS",PR!$AZ1217,IF(F1219="RANBAXY",PR!$BA1217,IF(F1219="REALS",PR!$BB1217,IF(F1219="ROYAL",PR!$BC1217,IF(F1219="SAM",PR!$BD1217,IF(F1219="SEAGREEN",PR!$BE1217,IF(F1219="SKG",PR!$BF1217,IF(F1219="TAH",PR!$BG1217,IF(F1219="TAYLEK",PR!$BH1217,IF(F1219="TEMITA",PR!$BI1217,IF(F1219="THL",PR!$BJ1217,IF(F1219="UBASTIC",PR!$BK1217,IF(F1219="UNION",PR!$BL1217,IF(F1219="UNIQUE",PR!$BM1217,IF(F1219="VIXA",PR!$BN1217,IF(F1219="WWCV",PR!$BO1217,IF(F1219="ZOLON",PR!$BP1217,"-"))))))))))))))))))))))))))))))))))))))))))))))))))))))))))))))))</f>
        <v>3500</v>
      </c>
      <c r="F1219" s="102" t="str">
        <f>EV!L1554</f>
        <v>SANCON</v>
      </c>
      <c r="G1219" s="108">
        <f>IF(H1219="ALPHA",PR!$E1217,IF(H1219="ASSENE",PR!$F1217,IF(H1219="BIOFEM",PR!$G1217,IF(H1219="BIOMED",PR!$H1217,IF(H1219="CHI",PR!$I1217,IF(H1219="CLARION",PR!$J1217,IF(H1219="CODIX",PR!$K1217,IF(H1219="COSMADE",PR!$L1217,IF(H1219="SANCON",PR!$M1217,IF(H1219="DEVON",PR!$N1217,IF(H1219="DORTEMAG",PR!$O1217,IF(H1219="DGF",PR!$P1217,IF(H1219="DYNAMIC",PR!$Q1217,IF(H1219="EMZOR",PR!$R1217,IF(H1219="EUMATT",PR!$S1217,IF(H1219="FIDSON",PR!$T1217,IF(H1219="FCGLOBAL",PR!$U1217,IF(H1219="GENEITH",PR!$V1217,IF(H1219="GINOS",PR!$W1217,IF(H1219="GSK",PR!$X1217,IF(H1219="GLOBORG",PR!$Y1217,IF(H1219="GOODNEWS",PR!$Z1217,IF(H1219="GREENLIFE",PR!$AA1217,IF(H1219="HLINE",PR!$AB1217,IF(H1219="ROTECH",PR!$AC1217,IF(H1219="ISN",PR!$AD1217,IF(H1219="JAWA",PR!$AE1217,IF(H1219="LAYO",PR!$AF1217,IF(H1219="LEADWAY",PR!$AG1217,IF(H1219="LHV",PR!$AH1217,IF(H1219="MANOLA",PR!$AI1217,IF(H1219="MARCSON",PR!$AJ1217,IF(H1219="M&amp;B",PR!$AK1217,IF(H1219="MTRUST",PR!$AL1217,IF(H1219="MWORLD",PR!$AM1217,IF(H1219="MEGA",PR!$AN1217,IF(H1219="MICRONOVA",PR!$AO1217,IF(H1219="MFLASH",PR!$AP1217,IF(H1219="MORISON",PR!$AQ1217,IF(H1219="NEMEL",PR!$AR1217,IF(H1219="NHP",PR!$AS1217,IF(H1219="NHC",PR!$AT1217,IF(H1219="OLEAF",PR!$AU1217,IF(H1219="OCULUS",PR!$AV1217,IF(H1219="PACIFIC",PR!$AW1217,IF(H1219="PHAMATEX",PR!$AX1217,IF(H1219="PETHICS",PR!$AY1217,IF(H1219="PHILIPS",PR!$AZ1217,IF(H1219="RANBAXY",PR!$BA1217,IF(H1219="REALS",PR!$BB1217,IF(H1219="ROYAL",PR!$BC1217,IF(H1219="SAM",PR!$BD1217,IF(H1219="SEAGREEN",PR!$BE1217,IF(H1219="SKG",PR!$BF1217,IF(H1219="TAH",PR!$BG1217,IF(H1219="TAYLEK",PR!$BH1217,IF(H1219="TEMITA",PR!$BI1217,IF(H1219="THL",PR!$BJ1217,IF(H1219="UBASTIC",PR!$BK1217,IF(H1219="UNION",PR!$BL1217,IF(H1219="UNIQUE",PR!$BM1217,IF(H1219="VIXA",PR!$BN1217,IF(H1219="WWCV",PR!$BO1217,IF(H1219="ZOLON",PR!$BP1217,"-"))))))))))))))))))))))))))))))))))))))))))))))))))))))))))))))))</f>
        <v>4550</v>
      </c>
      <c r="H1219" s="102" t="str">
        <f>EV!M1554</f>
        <v>LAYO</v>
      </c>
      <c r="I1219" s="108">
        <f>IF(J1219="ALPHA",PR!$E1217,IF(J1219="ASSENE",PR!$F1217,IF(J1219="BIOFEM",PR!$G1217,IF(J1219="BIOMED",PR!$H1217,IF(J1219="CHI",PR!$I1217,IF(J1219="CLARION",PR!$J1217,IF(J1219="CODIX",PR!$K1217,IF(J1219="COSMADE",PR!$L1217,IF(J1219="SANCON",PR!$M1217,IF(J1219="DEVON",PR!$N1217,IF(J1219="DORTEMAG",PR!$O1217,IF(J1219="DGF",PR!$P1217,IF(J1219="DYNAMIC",PR!$Q1217,IF(J1219="EMZOR",PR!$R1217,IF(J1219="EUMATT",PR!$S1217,IF(J1219="FIDSON",PR!$T1217,IF(J1219="FCGLOBAL",PR!$U1217,IF(J1219="GENEITH",PR!$V1217,IF(J1219="GINOS",PR!$W1217,IF(J1219="GSK",PR!$X1217,IF(J1219="GLOBORG",PR!$Y1217,IF(J1219="GOODNEWS",PR!$Z1217,IF(J1219="GREENLIFE",PR!$AA1217,IF(J1219="HLINE",PR!$AB1217,IF(J1219="ROTECH",PR!$AC1217,IF(J1219="ISN",PR!$AD1217,IF(J1219="JAWA",PR!$AE1217,IF(J1219="LAYO",PR!$AF1217,IF(J1219="LEADWAY",PR!$AG1217,IF(J1219="LHV",PR!$AH1217,IF(J1219="MANOLA",PR!$AI1217,IF(J1219="MARCSON",PR!$AJ1217,IF(J1219="M&amp;B",PR!$AK1217,IF(J1219="MTRUST",PR!$AL1217,IF(J1219="MWORLD",PR!$AM1217,IF(J1219="MEGA",PR!$AN1217,IF(J1219="MICRONOVA",PR!$AO1217,IF(J1219="MFLASH",PR!$AP1217,IF(J1219="MORISON",PR!$AQ1217,IF(J1219="NEMEL",PR!$AR1217,IF(J1219="NHP",PR!$AS1217,IF(J1219="NHC",PR!$AT1217,IF(J1219="OLEAF",PR!$AU1217,IF(J1219="OCULUS",PR!$AV1217,IF(J1219="PACIFIC",PR!$AW1217,IF(J1219="PHAMATEX",PR!$AX1217,IF(J1219="PETHICS",PR!$AY1217,IF(J1219="PHILIPS",PR!$AZ1217,IF(J1219="RANBAXY",PR!$BA1217,IF(J1219="REALS",PR!$BB1217,IF(J1219="ROYAL",PR!$BC1217,IF(J1219="SAM",PR!$BD1217,IF(J1219="SEAGREEN",PR!$BE1217,IF(J1219="SKG",PR!$BF1217,IF(J1219="TAH",PR!$BG1217,IF(J1219="TAYLEK",PR!$BH1217,IF(J1219="TEMITA",PR!$BI1217,IF(J1219="THL",PR!$BJ1217,IF(J1219="UBASTIC",PR!$BK1217,IF(J1219="UNION",PR!$BL1217,IF(J1219="UNIQUE",PR!$BM1217,IF(J1219="VIXA",PR!$BN1217,IF(J1219="WWCV",PR!$BO1217,IF(J1219="ZOLON",PR!$BP1217,"-"))))))))))))))))))))))))))))))))))))))))))))))))))))))))))))))))</f>
        <v>5000</v>
      </c>
      <c r="J1219" s="102" t="str">
        <f>EV!N1554</f>
        <v>DYNAMIC</v>
      </c>
      <c r="K1219" s="433" t="s">
        <v>817</v>
      </c>
      <c r="L1219" s="183">
        <f>IF(K1219&gt;0,IF(K1219="ALPHA",PR!$E1217,IF(K1219="ASSENE",PR!$F1217,IF(K1219="BIOFEM",PR!$G1217,IF(K1219="BIOMED",PR!$H1217,IF(K1219="CHI",PR!$I1217,IF(K1219="CLARION",PR!$J1217,IF(K1219="CODIX",PR!$K1217,IF(K1219="COSMADE",PR!$L1217,IF(K1219="SANCON",PR!$M1217,IF(K1219="DEVON",PR!$N1217,IF(K1219="DORTEMAG",PR!$O1217,IF(K1219="DGF",PR!$P1217,IF(K1219="DYNAMIC",PR!$Q1217,IF(K1219="EMZOR",PR!$R1217,IF(K1219="EUMATT",PR!$S1217,IF(K1219="FIDSON",PR!$T1217,IF(K1219="FCGLOBAL",PR!$U1217,IF(K1219="GENEITH",PR!$V1217,IF(K1219="GINOS",PR!$W1217,IF(K1219="GSK",PR!$X1217,IF(K1219="GLOBORG",PR!$Y1217,IF(K1219="GOODNEWS",PR!$Z1217,IF(K1219="GREENLIFE",PR!$AA1217,IF(K1219="HLINE",PR!$AB1217,IF(K1219="ROTECH",PR!$AC1217,IF(K1219="ISN",PR!$AD1217,IF(K1219="JAWA",PR!$AE1217,IF(K1219="LAYO",PR!$AF1217,IF(K1219="LEADWAY",PR!$AG1217,IF(K1219="LHV",PR!$AH1217,IF(K1219="MANOLA",PR!$AI1217,IF(K1219="MARCSON",PR!$AJ1217,IF(K1219="M&amp;B",PR!$AK1217,IF(K1219="MTRUST",PR!$AL1217,IF(K1219="MWORLD",PR!$AM1217,IF(K1219="MEGA",PR!$AN1217,IF(K1219="MICRONOVA",PR!$AO1217,IF(K1219="MFLASH",PR!$AP1217,IF(K1219="MORISON",PR!$AQ1217,IF(K1219="NEMEL",PR!$AR1217,IF(K1219="NHP",PR!$AS1217,IF(K1219="NHC",PR!$AT1217,IF(K1219="OLEAF",PR!$AU1217,IF(K1219="OCULUS",PR!$AV1217,IF(K1219="PACIFIC",PR!$AW1217,IF(K1219="PHAMATEX",PR!$AX1217,IF(K1219="PETHICS",PR!$AY1217,IF(K1219="PHILIPS",PR!$AZ1217,IF(K1219="RANBAXY",PR!$BA1217,IF(K1219="REALS",PR!$BB1217,IF(K1219="ROYAL",PR!$BC1217,IF(K1219="SAM",PR!$BD1217,IF(K1219="SEAGREEN",PR!$BE1217,IF(K1219="SKG",PR!$BF1217,IF(K1219="TAH",PR!$BG1217,IF(K1219="TAYLEK",PR!$BH1217,IF(K1219="TEMITA",PR!$BI1217,IF(K1219="THL",PR!$BJ1217,IF(K1219="UBASTIC",PR!$BK1217,IF(K1219="UNION",PR!$BL1217,IF(K1219="UNIQUE",PR!$BM1217,IF(K1219="VIXA",PR!$BN1217,IF(K1219="WWCV",PR!$BO1217,IF(K1219="ZOLON",PR!$BP1217,"-")))))))))))))))))))))))))))))))))))))))))))))))))))))))))))))))))</f>
        <v>3500</v>
      </c>
    </row>
    <row r="1220" spans="1:12" ht="18.75" x14ac:dyDescent="0.3">
      <c r="A1220" s="430">
        <f>PR!A1218</f>
        <v>1096</v>
      </c>
      <c r="B1220" s="15" t="str">
        <f>PR!B1218</f>
        <v>MEASURING CYLINDER (GLASS) 100ML</v>
      </c>
      <c r="C1220" s="113" t="str">
        <f>PR!D1218</f>
        <v>Pcs</v>
      </c>
      <c r="D1220" s="113">
        <f>PR!C1218</f>
        <v>1</v>
      </c>
      <c r="E1220" s="108">
        <f>IF(F1220="ALPHA",PR!$E1218,IF(F1220="ASSENE",PR!$F1218,IF(F1220="BIOFEM",PR!$G1218,IF(F1220="BIOMED",PR!$H1218,IF(F1220="CHI",PR!$I1218,IF(F1220="CLARION",PR!$J1218,IF(F1220="CODIX",PR!$K1218,IF(F1220="COSMADE",PR!$L1218,IF(F1220="SANCON",PR!$M1218,IF(F1220="DEVON",PR!$N1218,IF(F1220="DORTEMAG",PR!$O1218,IF(F1220="DGF",PR!$P1218,IF(F1220="DYNAMIC",PR!$Q1218,IF(F1220="EMZOR",PR!$R1218,IF(F1220="EUMATT",PR!$S1218,IF(F1220="FIDSON",PR!$T1218,IF(F1220="FCGLOBAL",PR!$U1218,IF(F1220="GENEITH",PR!$V1218,IF(F1220="GINOS",PR!$W1218,IF(F1220="GSK",PR!$X1218,IF(F1220="GLOBORG",PR!$Y1218,IF(F1220="GOODNEWS",PR!$Z1218,IF(F1220="GREENLIFE",PR!$AA1218,IF(F1220="HLINE",PR!$AB1218,IF(F1220="ROTECH",PR!$AC1218,IF(F1220="ISN",PR!$AD1218,IF(F1220="JAWA",PR!$AE1218,IF(F1220="LAYO",PR!$AF1218,IF(F1220="LEADWAY",PR!$AG1218,IF(F1220="LHV",PR!$AH1218,IF(F1220="MANOLA",PR!$AI1218,IF(F1220="MARCSON",PR!$AJ1218,IF(F1220="M&amp;B",PR!$AK1218,IF(F1220="MTRUST",PR!$AL1218,IF(F1220="MWORLD",PR!$AM1218,IF(F1220="MEGA",PR!$AN1218,IF(F1220="MICRONOVA",PR!$AO1218,IF(F1220="MFLASH",PR!$AP1218,IF(F1220="MORISON",PR!$AQ1218,IF(F1220="NEMEL",PR!$AR1218,IF(F1220="NHP",PR!$AS1218,IF(F1220="NHC",PR!$AT1218,IF(F1220="OLEAF",PR!$AU1218,IF(F1220="OCULUS",PR!$AV1218,IF(F1220="PACIFIC",PR!$AW1218,IF(F1220="PHAMATEX",PR!$AX1218,IF(F1220="PETHICS",PR!$AY1218,IF(F1220="PHILIPS",PR!$AZ1218,IF(F1220="RANBAXY",PR!$BA1218,IF(F1220="REALS",PR!$BB1218,IF(F1220="ROYAL",PR!$BC1218,IF(F1220="SAM",PR!$BD1218,IF(F1220="SEAGREEN",PR!$BE1218,IF(F1220="SKG",PR!$BF1218,IF(F1220="TAH",PR!$BG1218,IF(F1220="TAYLEK",PR!$BH1218,IF(F1220="TEMITA",PR!$BI1218,IF(F1220="THL",PR!$BJ1218,IF(F1220="UBASTIC",PR!$BK1218,IF(F1220="UNION",PR!$BL1218,IF(F1220="UNIQUE",PR!$BM1218,IF(F1220="VIXA",PR!$BN1218,IF(F1220="WWCV",PR!$BO1218,IF(F1220="ZOLON",PR!$BP1218,"-"))))))))))))))))))))))))))))))))))))))))))))))))))))))))))))))))</f>
        <v>650</v>
      </c>
      <c r="F1220" s="102" t="str">
        <f>EV!L1555</f>
        <v>UBASTIC</v>
      </c>
      <c r="G1220" s="108">
        <f>IF(H1220="ALPHA",PR!$E1218,IF(H1220="ASSENE",PR!$F1218,IF(H1220="BIOFEM",PR!$G1218,IF(H1220="BIOMED",PR!$H1218,IF(H1220="CHI",PR!$I1218,IF(H1220="CLARION",PR!$J1218,IF(H1220="CODIX",PR!$K1218,IF(H1220="COSMADE",PR!$L1218,IF(H1220="SANCON",PR!$M1218,IF(H1220="DEVON",PR!$N1218,IF(H1220="DORTEMAG",PR!$O1218,IF(H1220="DGF",PR!$P1218,IF(H1220="DYNAMIC",PR!$Q1218,IF(H1220="EMZOR",PR!$R1218,IF(H1220="EUMATT",PR!$S1218,IF(H1220="FIDSON",PR!$T1218,IF(H1220="FCGLOBAL",PR!$U1218,IF(H1220="GENEITH",PR!$V1218,IF(H1220="GINOS",PR!$W1218,IF(H1220="GSK",PR!$X1218,IF(H1220="GLOBORG",PR!$Y1218,IF(H1220="GOODNEWS",PR!$Z1218,IF(H1220="GREENLIFE",PR!$AA1218,IF(H1220="HLINE",PR!$AB1218,IF(H1220="ROTECH",PR!$AC1218,IF(H1220="ISN",PR!$AD1218,IF(H1220="JAWA",PR!$AE1218,IF(H1220="LAYO",PR!$AF1218,IF(H1220="LEADWAY",PR!$AG1218,IF(H1220="LHV",PR!$AH1218,IF(H1220="MANOLA",PR!$AI1218,IF(H1220="MARCSON",PR!$AJ1218,IF(H1220="M&amp;B",PR!$AK1218,IF(H1220="MTRUST",PR!$AL1218,IF(H1220="MWORLD",PR!$AM1218,IF(H1220="MEGA",PR!$AN1218,IF(H1220="MICRONOVA",PR!$AO1218,IF(H1220="MFLASH",PR!$AP1218,IF(H1220="MORISON",PR!$AQ1218,IF(H1220="NEMEL",PR!$AR1218,IF(H1220="NHP",PR!$AS1218,IF(H1220="NHC",PR!$AT1218,IF(H1220="OLEAF",PR!$AU1218,IF(H1220="OCULUS",PR!$AV1218,IF(H1220="PACIFIC",PR!$AW1218,IF(H1220="PHAMATEX",PR!$AX1218,IF(H1220="PETHICS",PR!$AY1218,IF(H1220="PHILIPS",PR!$AZ1218,IF(H1220="RANBAXY",PR!$BA1218,IF(H1220="REALS",PR!$BB1218,IF(H1220="ROYAL",PR!$BC1218,IF(H1220="SAM",PR!$BD1218,IF(H1220="SEAGREEN",PR!$BE1218,IF(H1220="SKG",PR!$BF1218,IF(H1220="TAH",PR!$BG1218,IF(H1220="TAYLEK",PR!$BH1218,IF(H1220="TEMITA",PR!$BI1218,IF(H1220="THL",PR!$BJ1218,IF(H1220="UBASTIC",PR!$BK1218,IF(H1220="UNION",PR!$BL1218,IF(H1220="UNIQUE",PR!$BM1218,IF(H1220="VIXA",PR!$BN1218,IF(H1220="WWCV",PR!$BO1218,IF(H1220="ZOLON",PR!$BP1218,"-"))))))))))))))))))))))))))))))))))))))))))))))))))))))))))))))))</f>
        <v>700</v>
      </c>
      <c r="H1220" s="102" t="str">
        <f>EV!M1555</f>
        <v>SANCON</v>
      </c>
      <c r="I1220" s="108">
        <f>IF(J1220="ALPHA",PR!$E1218,IF(J1220="ASSENE",PR!$F1218,IF(J1220="BIOFEM",PR!$G1218,IF(J1220="BIOMED",PR!$H1218,IF(J1220="CHI",PR!$I1218,IF(J1220="CLARION",PR!$J1218,IF(J1220="CODIX",PR!$K1218,IF(J1220="COSMADE",PR!$L1218,IF(J1220="SANCON",PR!$M1218,IF(J1220="DEVON",PR!$N1218,IF(J1220="DORTEMAG",PR!$O1218,IF(J1220="DGF",PR!$P1218,IF(J1220="DYNAMIC",PR!$Q1218,IF(J1220="EMZOR",PR!$R1218,IF(J1220="EUMATT",PR!$S1218,IF(J1220="FIDSON",PR!$T1218,IF(J1220="FCGLOBAL",PR!$U1218,IF(J1220="GENEITH",PR!$V1218,IF(J1220="GINOS",PR!$W1218,IF(J1220="GSK",PR!$X1218,IF(J1220="GLOBORG",PR!$Y1218,IF(J1220="GOODNEWS",PR!$Z1218,IF(J1220="GREENLIFE",PR!$AA1218,IF(J1220="HLINE",PR!$AB1218,IF(J1220="ROTECH",PR!$AC1218,IF(J1220="ISN",PR!$AD1218,IF(J1220="JAWA",PR!$AE1218,IF(J1220="LAYO",PR!$AF1218,IF(J1220="LEADWAY",PR!$AG1218,IF(J1220="LHV",PR!$AH1218,IF(J1220="MANOLA",PR!$AI1218,IF(J1220="MARCSON",PR!$AJ1218,IF(J1220="M&amp;B",PR!$AK1218,IF(J1220="MTRUST",PR!$AL1218,IF(J1220="MWORLD",PR!$AM1218,IF(J1220="MEGA",PR!$AN1218,IF(J1220="MICRONOVA",PR!$AO1218,IF(J1220="MFLASH",PR!$AP1218,IF(J1220="MORISON",PR!$AQ1218,IF(J1220="NEMEL",PR!$AR1218,IF(J1220="NHP",PR!$AS1218,IF(J1220="NHC",PR!$AT1218,IF(J1220="OLEAF",PR!$AU1218,IF(J1220="OCULUS",PR!$AV1218,IF(J1220="PACIFIC",PR!$AW1218,IF(J1220="PHAMATEX",PR!$AX1218,IF(J1220="PETHICS",PR!$AY1218,IF(J1220="PHILIPS",PR!$AZ1218,IF(J1220="RANBAXY",PR!$BA1218,IF(J1220="REALS",PR!$BB1218,IF(J1220="ROYAL",PR!$BC1218,IF(J1220="SAM",PR!$BD1218,IF(J1220="SEAGREEN",PR!$BE1218,IF(J1220="SKG",PR!$BF1218,IF(J1220="TAH",PR!$BG1218,IF(J1220="TAYLEK",PR!$BH1218,IF(J1220="TEMITA",PR!$BI1218,IF(J1220="THL",PR!$BJ1218,IF(J1220="UBASTIC",PR!$BK1218,IF(J1220="UNION",PR!$BL1218,IF(J1220="UNIQUE",PR!$BM1218,IF(J1220="VIXA",PR!$BN1218,IF(J1220="WWCV",PR!$BO1218,IF(J1220="ZOLON",PR!$BP1218,"-"))))))))))))))))))))))))))))))))))))))))))))))))))))))))))))))))</f>
        <v>700</v>
      </c>
      <c r="J1220" s="102" t="str">
        <f>EV!N1555</f>
        <v>TEMITA</v>
      </c>
      <c r="K1220" s="433" t="s">
        <v>1459</v>
      </c>
      <c r="L1220" s="183">
        <f>IF(K1220&gt;0,IF(K1220="ALPHA",PR!$E1218,IF(K1220="ASSENE",PR!$F1218,IF(K1220="BIOFEM",PR!$G1218,IF(K1220="BIOMED",PR!$H1218,IF(K1220="CHI",PR!$I1218,IF(K1220="CLARION",PR!$J1218,IF(K1220="CODIX",PR!$K1218,IF(K1220="COSMADE",PR!$L1218,IF(K1220="SANCON",PR!$M1218,IF(K1220="DEVON",PR!$N1218,IF(K1220="DORTEMAG",PR!$O1218,IF(K1220="DGF",PR!$P1218,IF(K1220="DYNAMIC",PR!$Q1218,IF(K1220="EMZOR",PR!$R1218,IF(K1220="EUMATT",PR!$S1218,IF(K1220="FIDSON",PR!$T1218,IF(K1220="FCGLOBAL",PR!$U1218,IF(K1220="GENEITH",PR!$V1218,IF(K1220="GINOS",PR!$W1218,IF(K1220="GSK",PR!$X1218,IF(K1220="GLOBORG",PR!$Y1218,IF(K1220="GOODNEWS",PR!$Z1218,IF(K1220="GREENLIFE",PR!$AA1218,IF(K1220="HLINE",PR!$AB1218,IF(K1220="ROTECH",PR!$AC1218,IF(K1220="ISN",PR!$AD1218,IF(K1220="JAWA",PR!$AE1218,IF(K1220="LAYO",PR!$AF1218,IF(K1220="LEADWAY",PR!$AG1218,IF(K1220="LHV",PR!$AH1218,IF(K1220="MANOLA",PR!$AI1218,IF(K1220="MARCSON",PR!$AJ1218,IF(K1220="M&amp;B",PR!$AK1218,IF(K1220="MTRUST",PR!$AL1218,IF(K1220="MWORLD",PR!$AM1218,IF(K1220="MEGA",PR!$AN1218,IF(K1220="MICRONOVA",PR!$AO1218,IF(K1220="MFLASH",PR!$AP1218,IF(K1220="MORISON",PR!$AQ1218,IF(K1220="NEMEL",PR!$AR1218,IF(K1220="NHP",PR!$AS1218,IF(K1220="NHC",PR!$AT1218,IF(K1220="OLEAF",PR!$AU1218,IF(K1220="OCULUS",PR!$AV1218,IF(K1220="PACIFIC",PR!$AW1218,IF(K1220="PHAMATEX",PR!$AX1218,IF(K1220="PETHICS",PR!$AY1218,IF(K1220="PHILIPS",PR!$AZ1218,IF(K1220="RANBAXY",PR!$BA1218,IF(K1220="REALS",PR!$BB1218,IF(K1220="ROYAL",PR!$BC1218,IF(K1220="SAM",PR!$BD1218,IF(K1220="SEAGREEN",PR!$BE1218,IF(K1220="SKG",PR!$BF1218,IF(K1220="TAH",PR!$BG1218,IF(K1220="TAYLEK",PR!$BH1218,IF(K1220="TEMITA",PR!$BI1218,IF(K1220="THL",PR!$BJ1218,IF(K1220="UBASTIC",PR!$BK1218,IF(K1220="UNION",PR!$BL1218,IF(K1220="UNIQUE",PR!$BM1218,IF(K1220="VIXA",PR!$BN1218,IF(K1220="WWCV",PR!$BO1218,IF(K1220="ZOLON",PR!$BP1218,"-")))))))))))))))))))))))))))))))))))))))))))))))))))))))))))))))))</f>
        <v>650</v>
      </c>
    </row>
    <row r="1221" spans="1:12" ht="18.75" x14ac:dyDescent="0.3">
      <c r="A1221" s="430">
        <f>PR!A1219</f>
        <v>1097</v>
      </c>
      <c r="B1221" s="15" t="str">
        <f>PR!B1219</f>
        <v>MEASURING CYLINDER (GLASS) 250ML</v>
      </c>
      <c r="C1221" s="113" t="str">
        <f>PR!D1219</f>
        <v>Pcs</v>
      </c>
      <c r="D1221" s="113">
        <f>PR!C1219</f>
        <v>1</v>
      </c>
      <c r="E1221" s="108">
        <f>IF(F1221="ALPHA",PR!$E1219,IF(F1221="ASSENE",PR!$F1219,IF(F1221="BIOFEM",PR!$G1219,IF(F1221="BIOMED",PR!$H1219,IF(F1221="CHI",PR!$I1219,IF(F1221="CLARION",PR!$J1219,IF(F1221="CODIX",PR!$K1219,IF(F1221="COSMADE",PR!$L1219,IF(F1221="SANCON",PR!$M1219,IF(F1221="DEVON",PR!$N1219,IF(F1221="DORTEMAG",PR!$O1219,IF(F1221="DGF",PR!$P1219,IF(F1221="DYNAMIC",PR!$Q1219,IF(F1221="EMZOR",PR!$R1219,IF(F1221="EUMATT",PR!$S1219,IF(F1221="FIDSON",PR!$T1219,IF(F1221="FCGLOBAL",PR!$U1219,IF(F1221="GENEITH",PR!$V1219,IF(F1221="GINOS",PR!$W1219,IF(F1221="GSK",PR!$X1219,IF(F1221="GLOBORG",PR!$Y1219,IF(F1221="GOODNEWS",PR!$Z1219,IF(F1221="GREENLIFE",PR!$AA1219,IF(F1221="HLINE",PR!$AB1219,IF(F1221="ROTECH",PR!$AC1219,IF(F1221="ISN",PR!$AD1219,IF(F1221="JAWA",PR!$AE1219,IF(F1221="LAYO",PR!$AF1219,IF(F1221="LEADWAY",PR!$AG1219,IF(F1221="LHV",PR!$AH1219,IF(F1221="MANOLA",PR!$AI1219,IF(F1221="MARCSON",PR!$AJ1219,IF(F1221="M&amp;B",PR!$AK1219,IF(F1221="MTRUST",PR!$AL1219,IF(F1221="MWORLD",PR!$AM1219,IF(F1221="MEGA",PR!$AN1219,IF(F1221="MICRONOVA",PR!$AO1219,IF(F1221="MFLASH",PR!$AP1219,IF(F1221="MORISON",PR!$AQ1219,IF(F1221="NEMEL",PR!$AR1219,IF(F1221="NHP",PR!$AS1219,IF(F1221="NHC",PR!$AT1219,IF(F1221="OLEAF",PR!$AU1219,IF(F1221="OCULUS",PR!$AV1219,IF(F1221="PACIFIC",PR!$AW1219,IF(F1221="PHAMATEX",PR!$AX1219,IF(F1221="PETHICS",PR!$AY1219,IF(F1221="PHILIPS",PR!$AZ1219,IF(F1221="RANBAXY",PR!$BA1219,IF(F1221="REALS",PR!$BB1219,IF(F1221="ROYAL",PR!$BC1219,IF(F1221="SAM",PR!$BD1219,IF(F1221="SEAGREEN",PR!$BE1219,IF(F1221="SKG",PR!$BF1219,IF(F1221="TAH",PR!$BG1219,IF(F1221="TAYLEK",PR!$BH1219,IF(F1221="TEMITA",PR!$BI1219,IF(F1221="THL",PR!$BJ1219,IF(F1221="UBASTIC",PR!$BK1219,IF(F1221="UNION",PR!$BL1219,IF(F1221="UNIQUE",PR!$BM1219,IF(F1221="VIXA",PR!$BN1219,IF(F1221="WWCV",PR!$BO1219,IF(F1221="ZOLON",PR!$BP1219,"-"))))))))))))))))))))))))))))))))))))))))))))))))))))))))))))))))</f>
        <v>1000</v>
      </c>
      <c r="F1221" s="102" t="str">
        <f>EV!L1556</f>
        <v>TEMITA</v>
      </c>
      <c r="G1221" s="108">
        <f>IF(H1221="ALPHA",PR!$E1219,IF(H1221="ASSENE",PR!$F1219,IF(H1221="BIOFEM",PR!$G1219,IF(H1221="BIOMED",PR!$H1219,IF(H1221="CHI",PR!$I1219,IF(H1221="CLARION",PR!$J1219,IF(H1221="CODIX",PR!$K1219,IF(H1221="COSMADE",PR!$L1219,IF(H1221="SANCON",PR!$M1219,IF(H1221="DEVON",PR!$N1219,IF(H1221="DORTEMAG",PR!$O1219,IF(H1221="DGF",PR!$P1219,IF(H1221="DYNAMIC",PR!$Q1219,IF(H1221="EMZOR",PR!$R1219,IF(H1221="EUMATT",PR!$S1219,IF(H1221="FIDSON",PR!$T1219,IF(H1221="FCGLOBAL",PR!$U1219,IF(H1221="GENEITH",PR!$V1219,IF(H1221="GINOS",PR!$W1219,IF(H1221="GSK",PR!$X1219,IF(H1221="GLOBORG",PR!$Y1219,IF(H1221="GOODNEWS",PR!$Z1219,IF(H1221="GREENLIFE",PR!$AA1219,IF(H1221="HLINE",PR!$AB1219,IF(H1221="ROTECH",PR!$AC1219,IF(H1221="ISN",PR!$AD1219,IF(H1221="JAWA",PR!$AE1219,IF(H1221="LAYO",PR!$AF1219,IF(H1221="LEADWAY",PR!$AG1219,IF(H1221="LHV",PR!$AH1219,IF(H1221="MANOLA",PR!$AI1219,IF(H1221="MARCSON",PR!$AJ1219,IF(H1221="M&amp;B",PR!$AK1219,IF(H1221="MTRUST",PR!$AL1219,IF(H1221="MWORLD",PR!$AM1219,IF(H1221="MEGA",PR!$AN1219,IF(H1221="MICRONOVA",PR!$AO1219,IF(H1221="MFLASH",PR!$AP1219,IF(H1221="MORISON",PR!$AQ1219,IF(H1221="NEMEL",PR!$AR1219,IF(H1221="NHP",PR!$AS1219,IF(H1221="NHC",PR!$AT1219,IF(H1221="OLEAF",PR!$AU1219,IF(H1221="OCULUS",PR!$AV1219,IF(H1221="PACIFIC",PR!$AW1219,IF(H1221="PHAMATEX",PR!$AX1219,IF(H1221="PETHICS",PR!$AY1219,IF(H1221="PHILIPS",PR!$AZ1219,IF(H1221="RANBAXY",PR!$BA1219,IF(H1221="REALS",PR!$BB1219,IF(H1221="ROYAL",PR!$BC1219,IF(H1221="SAM",PR!$BD1219,IF(H1221="SEAGREEN",PR!$BE1219,IF(H1221="SKG",PR!$BF1219,IF(H1221="TAH",PR!$BG1219,IF(H1221="TAYLEK",PR!$BH1219,IF(H1221="TEMITA",PR!$BI1219,IF(H1221="THL",PR!$BJ1219,IF(H1221="UBASTIC",PR!$BK1219,IF(H1221="UNION",PR!$BL1219,IF(H1221="UNIQUE",PR!$BM1219,IF(H1221="VIXA",PR!$BN1219,IF(H1221="WWCV",PR!$BO1219,IF(H1221="ZOLON",PR!$BP1219,"-"))))))))))))))))))))))))))))))))))))))))))))))))))))))))))))))))</f>
        <v>1125</v>
      </c>
      <c r="H1221" s="102" t="str">
        <f>EV!M1556</f>
        <v>DYNAMIC</v>
      </c>
      <c r="I1221" s="108">
        <f>IF(J1221="ALPHA",PR!$E1219,IF(J1221="ASSENE",PR!$F1219,IF(J1221="BIOFEM",PR!$G1219,IF(J1221="BIOMED",PR!$H1219,IF(J1221="CHI",PR!$I1219,IF(J1221="CLARION",PR!$J1219,IF(J1221="CODIX",PR!$K1219,IF(J1221="COSMADE",PR!$L1219,IF(J1221="SANCON",PR!$M1219,IF(J1221="DEVON",PR!$N1219,IF(J1221="DORTEMAG",PR!$O1219,IF(J1221="DGF",PR!$P1219,IF(J1221="DYNAMIC",PR!$Q1219,IF(J1221="EMZOR",PR!$R1219,IF(J1221="EUMATT",PR!$S1219,IF(J1221="FIDSON",PR!$T1219,IF(J1221="FCGLOBAL",PR!$U1219,IF(J1221="GENEITH",PR!$V1219,IF(J1221="GINOS",PR!$W1219,IF(J1221="GSK",PR!$X1219,IF(J1221="GLOBORG",PR!$Y1219,IF(J1221="GOODNEWS",PR!$Z1219,IF(J1221="GREENLIFE",PR!$AA1219,IF(J1221="HLINE",PR!$AB1219,IF(J1221="ROTECH",PR!$AC1219,IF(J1221="ISN",PR!$AD1219,IF(J1221="JAWA",PR!$AE1219,IF(J1221="LAYO",PR!$AF1219,IF(J1221="LEADWAY",PR!$AG1219,IF(J1221="LHV",PR!$AH1219,IF(J1221="MANOLA",PR!$AI1219,IF(J1221="MARCSON",PR!$AJ1219,IF(J1221="M&amp;B",PR!$AK1219,IF(J1221="MTRUST",PR!$AL1219,IF(J1221="MWORLD",PR!$AM1219,IF(J1221="MEGA",PR!$AN1219,IF(J1221="MICRONOVA",PR!$AO1219,IF(J1221="MFLASH",PR!$AP1219,IF(J1221="MORISON",PR!$AQ1219,IF(J1221="NEMEL",PR!$AR1219,IF(J1221="NHP",PR!$AS1219,IF(J1221="NHC",PR!$AT1219,IF(J1221="OLEAF",PR!$AU1219,IF(J1221="OCULUS",PR!$AV1219,IF(J1221="PACIFIC",PR!$AW1219,IF(J1221="PHAMATEX",PR!$AX1219,IF(J1221="PETHICS",PR!$AY1219,IF(J1221="PHILIPS",PR!$AZ1219,IF(J1221="RANBAXY",PR!$BA1219,IF(J1221="REALS",PR!$BB1219,IF(J1221="ROYAL",PR!$BC1219,IF(J1221="SAM",PR!$BD1219,IF(J1221="SEAGREEN",PR!$BE1219,IF(J1221="SKG",PR!$BF1219,IF(J1221="TAH",PR!$BG1219,IF(J1221="TAYLEK",PR!$BH1219,IF(J1221="TEMITA",PR!$BI1219,IF(J1221="THL",PR!$BJ1219,IF(J1221="UBASTIC",PR!$BK1219,IF(J1221="UNION",PR!$BL1219,IF(J1221="UNIQUE",PR!$BM1219,IF(J1221="VIXA",PR!$BN1219,IF(J1221="WWCV",PR!$BO1219,IF(J1221="ZOLON",PR!$BP1219,"-"))))))))))))))))))))))))))))))))))))))))))))))))))))))))))))))))</f>
        <v>1200</v>
      </c>
      <c r="J1221" s="102" t="str">
        <f>EV!N1556</f>
        <v>UBASTIC</v>
      </c>
      <c r="K1221" s="433" t="s">
        <v>1463</v>
      </c>
      <c r="L1221" s="183">
        <f>IF(K1221&gt;0,IF(K1221="ALPHA",PR!$E1219,IF(K1221="ASSENE",PR!$F1219,IF(K1221="BIOFEM",PR!$G1219,IF(K1221="BIOMED",PR!$H1219,IF(K1221="CHI",PR!$I1219,IF(K1221="CLARION",PR!$J1219,IF(K1221="CODIX",PR!$K1219,IF(K1221="COSMADE",PR!$L1219,IF(K1221="SANCON",PR!$M1219,IF(K1221="DEVON",PR!$N1219,IF(K1221="DORTEMAG",PR!$O1219,IF(K1221="DGF",PR!$P1219,IF(K1221="DYNAMIC",PR!$Q1219,IF(K1221="EMZOR",PR!$R1219,IF(K1221="EUMATT",PR!$S1219,IF(K1221="FIDSON",PR!$T1219,IF(K1221="FCGLOBAL",PR!$U1219,IF(K1221="GENEITH",PR!$V1219,IF(K1221="GINOS",PR!$W1219,IF(K1221="GSK",PR!$X1219,IF(K1221="GLOBORG",PR!$Y1219,IF(K1221="GOODNEWS",PR!$Z1219,IF(K1221="GREENLIFE",PR!$AA1219,IF(K1221="HLINE",PR!$AB1219,IF(K1221="ROTECH",PR!$AC1219,IF(K1221="ISN",PR!$AD1219,IF(K1221="JAWA",PR!$AE1219,IF(K1221="LAYO",PR!$AF1219,IF(K1221="LEADWAY",PR!$AG1219,IF(K1221="LHV",PR!$AH1219,IF(K1221="MANOLA",PR!$AI1219,IF(K1221="MARCSON",PR!$AJ1219,IF(K1221="M&amp;B",PR!$AK1219,IF(K1221="MTRUST",PR!$AL1219,IF(K1221="MWORLD",PR!$AM1219,IF(K1221="MEGA",PR!$AN1219,IF(K1221="MICRONOVA",PR!$AO1219,IF(K1221="MFLASH",PR!$AP1219,IF(K1221="MORISON",PR!$AQ1219,IF(K1221="NEMEL",PR!$AR1219,IF(K1221="NHP",PR!$AS1219,IF(K1221="NHC",PR!$AT1219,IF(K1221="OLEAF",PR!$AU1219,IF(K1221="OCULUS",PR!$AV1219,IF(K1221="PACIFIC",PR!$AW1219,IF(K1221="PHAMATEX",PR!$AX1219,IF(K1221="PETHICS",PR!$AY1219,IF(K1221="PHILIPS",PR!$AZ1219,IF(K1221="RANBAXY",PR!$BA1219,IF(K1221="REALS",PR!$BB1219,IF(K1221="ROYAL",PR!$BC1219,IF(K1221="SAM",PR!$BD1219,IF(K1221="SEAGREEN",PR!$BE1219,IF(K1221="SKG",PR!$BF1219,IF(K1221="TAH",PR!$BG1219,IF(K1221="TAYLEK",PR!$BH1219,IF(K1221="TEMITA",PR!$BI1219,IF(K1221="THL",PR!$BJ1219,IF(K1221="UBASTIC",PR!$BK1219,IF(K1221="UNION",PR!$BL1219,IF(K1221="UNIQUE",PR!$BM1219,IF(K1221="VIXA",PR!$BN1219,IF(K1221="WWCV",PR!$BO1219,IF(K1221="ZOLON",PR!$BP1219,"-")))))))))))))))))))))))))))))))))))))))))))))))))))))))))))))))))</f>
        <v>1000</v>
      </c>
    </row>
    <row r="1222" spans="1:12" ht="18.75" x14ac:dyDescent="0.3">
      <c r="A1222" s="430">
        <f>PR!A1220</f>
        <v>1098</v>
      </c>
      <c r="B1222" s="15" t="str">
        <f>PR!B1220</f>
        <v>MEASURING CYLINDER (GLASS) 500ML</v>
      </c>
      <c r="C1222" s="113" t="str">
        <f>PR!D1220</f>
        <v>Pcs</v>
      </c>
      <c r="D1222" s="113">
        <f>PR!C1220</f>
        <v>1</v>
      </c>
      <c r="E1222" s="108">
        <f>IF(F1222="ALPHA",PR!$E1220,IF(F1222="ASSENE",PR!$F1220,IF(F1222="BIOFEM",PR!$G1220,IF(F1222="BIOMED",PR!$H1220,IF(F1222="CHI",PR!$I1220,IF(F1222="CLARION",PR!$J1220,IF(F1222="CODIX",PR!$K1220,IF(F1222="COSMADE",PR!$L1220,IF(F1222="SANCON",PR!$M1220,IF(F1222="DEVON",PR!$N1220,IF(F1222="DORTEMAG",PR!$O1220,IF(F1222="DGF",PR!$P1220,IF(F1222="DYNAMIC",PR!$Q1220,IF(F1222="EMZOR",PR!$R1220,IF(F1222="EUMATT",PR!$S1220,IF(F1222="FIDSON",PR!$T1220,IF(F1222="FCGLOBAL",PR!$U1220,IF(F1222="GENEITH",PR!$V1220,IF(F1222="GINOS",PR!$W1220,IF(F1222="GSK",PR!$X1220,IF(F1222="GLOBORG",PR!$Y1220,IF(F1222="GOODNEWS",PR!$Z1220,IF(F1222="GREENLIFE",PR!$AA1220,IF(F1222="HLINE",PR!$AB1220,IF(F1222="ROTECH",PR!$AC1220,IF(F1222="ISN",PR!$AD1220,IF(F1222="JAWA",PR!$AE1220,IF(F1222="LAYO",PR!$AF1220,IF(F1222="LEADWAY",PR!$AG1220,IF(F1222="LHV",PR!$AH1220,IF(F1222="MANOLA",PR!$AI1220,IF(F1222="MARCSON",PR!$AJ1220,IF(F1222="M&amp;B",PR!$AK1220,IF(F1222="MTRUST",PR!$AL1220,IF(F1222="MWORLD",PR!$AM1220,IF(F1222="MEGA",PR!$AN1220,IF(F1222="MICRONOVA",PR!$AO1220,IF(F1222="MFLASH",PR!$AP1220,IF(F1222="MORISON",PR!$AQ1220,IF(F1222="NEMEL",PR!$AR1220,IF(F1222="NHP",PR!$AS1220,IF(F1222="NHC",PR!$AT1220,IF(F1222="OLEAF",PR!$AU1220,IF(F1222="OCULUS",PR!$AV1220,IF(F1222="PACIFIC",PR!$AW1220,IF(F1222="PHAMATEX",PR!$AX1220,IF(F1222="PETHICS",PR!$AY1220,IF(F1222="PHILIPS",PR!$AZ1220,IF(F1222="RANBAXY",PR!$BA1220,IF(F1222="REALS",PR!$BB1220,IF(F1222="ROYAL",PR!$BC1220,IF(F1222="SAM",PR!$BD1220,IF(F1222="SEAGREEN",PR!$BE1220,IF(F1222="SKG",PR!$BF1220,IF(F1222="TAH",PR!$BG1220,IF(F1222="TAYLEK",PR!$BH1220,IF(F1222="TEMITA",PR!$BI1220,IF(F1222="THL",PR!$BJ1220,IF(F1222="UBASTIC",PR!$BK1220,IF(F1222="UNION",PR!$BL1220,IF(F1222="UNIQUE",PR!$BM1220,IF(F1222="VIXA",PR!$BN1220,IF(F1222="WWCV",PR!$BO1220,IF(F1222="ZOLON",PR!$BP1220,"-"))))))))))))))))))))))))))))))))))))))))))))))))))))))))))))))))</f>
        <v>1875</v>
      </c>
      <c r="F1222" s="102" t="str">
        <f>EV!L1557</f>
        <v>DYNAMIC</v>
      </c>
      <c r="G1222" s="108">
        <f>IF(H1222="ALPHA",PR!$E1220,IF(H1222="ASSENE",PR!$F1220,IF(H1222="BIOFEM",PR!$G1220,IF(H1222="BIOMED",PR!$H1220,IF(H1222="CHI",PR!$I1220,IF(H1222="CLARION",PR!$J1220,IF(H1222="CODIX",PR!$K1220,IF(H1222="COSMADE",PR!$L1220,IF(H1222="SANCON",PR!$M1220,IF(H1222="DEVON",PR!$N1220,IF(H1222="DORTEMAG",PR!$O1220,IF(H1222="DGF",PR!$P1220,IF(H1222="DYNAMIC",PR!$Q1220,IF(H1222="EMZOR",PR!$R1220,IF(H1222="EUMATT",PR!$S1220,IF(H1222="FIDSON",PR!$T1220,IF(H1222="FCGLOBAL",PR!$U1220,IF(H1222="GENEITH",PR!$V1220,IF(H1222="GINOS",PR!$W1220,IF(H1222="GSK",PR!$X1220,IF(H1222="GLOBORG",PR!$Y1220,IF(H1222="GOODNEWS",PR!$Z1220,IF(H1222="GREENLIFE",PR!$AA1220,IF(H1222="HLINE",PR!$AB1220,IF(H1222="ROTECH",PR!$AC1220,IF(H1222="ISN",PR!$AD1220,IF(H1222="JAWA",PR!$AE1220,IF(H1222="LAYO",PR!$AF1220,IF(H1222="LEADWAY",PR!$AG1220,IF(H1222="LHV",PR!$AH1220,IF(H1222="MANOLA",PR!$AI1220,IF(H1222="MARCSON",PR!$AJ1220,IF(H1222="M&amp;B",PR!$AK1220,IF(H1222="MTRUST",PR!$AL1220,IF(H1222="MWORLD",PR!$AM1220,IF(H1222="MEGA",PR!$AN1220,IF(H1222="MICRONOVA",PR!$AO1220,IF(H1222="MFLASH",PR!$AP1220,IF(H1222="MORISON",PR!$AQ1220,IF(H1222="NEMEL",PR!$AR1220,IF(H1222="NHP",PR!$AS1220,IF(H1222="NHC",PR!$AT1220,IF(H1222="OLEAF",PR!$AU1220,IF(H1222="OCULUS",PR!$AV1220,IF(H1222="PACIFIC",PR!$AW1220,IF(H1222="PHAMATEX",PR!$AX1220,IF(H1222="PETHICS",PR!$AY1220,IF(H1222="PHILIPS",PR!$AZ1220,IF(H1222="RANBAXY",PR!$BA1220,IF(H1222="REALS",PR!$BB1220,IF(H1222="ROYAL",PR!$BC1220,IF(H1222="SAM",PR!$BD1220,IF(H1222="SEAGREEN",PR!$BE1220,IF(H1222="SKG",PR!$BF1220,IF(H1222="TAH",PR!$BG1220,IF(H1222="TAYLEK",PR!$BH1220,IF(H1222="TEMITA",PR!$BI1220,IF(H1222="THL",PR!$BJ1220,IF(H1222="UBASTIC",PR!$BK1220,IF(H1222="UNION",PR!$BL1220,IF(H1222="UNIQUE",PR!$BM1220,IF(H1222="VIXA",PR!$BN1220,IF(H1222="WWCV",PR!$BO1220,IF(H1222="ZOLON",PR!$BP1220,"-"))))))))))))))))))))))))))))))))))))))))))))))))))))))))))))))))</f>
        <v>2000</v>
      </c>
      <c r="H1222" s="102" t="str">
        <f>EV!M1557</f>
        <v>SANCON</v>
      </c>
      <c r="I1222" s="108">
        <f>IF(J1222="ALPHA",PR!$E1220,IF(J1222="ASSENE",PR!$F1220,IF(J1222="BIOFEM",PR!$G1220,IF(J1222="BIOMED",PR!$H1220,IF(J1222="CHI",PR!$I1220,IF(J1222="CLARION",PR!$J1220,IF(J1222="CODIX",PR!$K1220,IF(J1222="COSMADE",PR!$L1220,IF(J1222="SANCON",PR!$M1220,IF(J1222="DEVON",PR!$N1220,IF(J1222="DORTEMAG",PR!$O1220,IF(J1222="DGF",PR!$P1220,IF(J1222="DYNAMIC",PR!$Q1220,IF(J1222="EMZOR",PR!$R1220,IF(J1222="EUMATT",PR!$S1220,IF(J1222="FIDSON",PR!$T1220,IF(J1222="FCGLOBAL",PR!$U1220,IF(J1222="GENEITH",PR!$V1220,IF(J1222="GINOS",PR!$W1220,IF(J1222="GSK",PR!$X1220,IF(J1222="GLOBORG",PR!$Y1220,IF(J1222="GOODNEWS",PR!$Z1220,IF(J1222="GREENLIFE",PR!$AA1220,IF(J1222="HLINE",PR!$AB1220,IF(J1222="ROTECH",PR!$AC1220,IF(J1222="ISN",PR!$AD1220,IF(J1222="JAWA",PR!$AE1220,IF(J1222="LAYO",PR!$AF1220,IF(J1222="LEADWAY",PR!$AG1220,IF(J1222="LHV",PR!$AH1220,IF(J1222="MANOLA",PR!$AI1220,IF(J1222="MARCSON",PR!$AJ1220,IF(J1222="M&amp;B",PR!$AK1220,IF(J1222="MTRUST",PR!$AL1220,IF(J1222="MWORLD",PR!$AM1220,IF(J1222="MEGA",PR!$AN1220,IF(J1222="MICRONOVA",PR!$AO1220,IF(J1222="MFLASH",PR!$AP1220,IF(J1222="MORISON",PR!$AQ1220,IF(J1222="NEMEL",PR!$AR1220,IF(J1222="NHP",PR!$AS1220,IF(J1222="NHC",PR!$AT1220,IF(J1222="OLEAF",PR!$AU1220,IF(J1222="OCULUS",PR!$AV1220,IF(J1222="PACIFIC",PR!$AW1220,IF(J1222="PHAMATEX",PR!$AX1220,IF(J1222="PETHICS",PR!$AY1220,IF(J1222="PHILIPS",PR!$AZ1220,IF(J1222="RANBAXY",PR!$BA1220,IF(J1222="REALS",PR!$BB1220,IF(J1222="ROYAL",PR!$BC1220,IF(J1222="SAM",PR!$BD1220,IF(J1222="SEAGREEN",PR!$BE1220,IF(J1222="SKG",PR!$BF1220,IF(J1222="TAH",PR!$BG1220,IF(J1222="TAYLEK",PR!$BH1220,IF(J1222="TEMITA",PR!$BI1220,IF(J1222="THL",PR!$BJ1220,IF(J1222="UBASTIC",PR!$BK1220,IF(J1222="UNION",PR!$BL1220,IF(J1222="UNIQUE",PR!$BM1220,IF(J1222="VIXA",PR!$BN1220,IF(J1222="WWCV",PR!$BO1220,IF(J1222="ZOLON",PR!$BP1220,"-"))))))))))))))))))))))))))))))))))))))))))))))))))))))))))))))))</f>
        <v>1600</v>
      </c>
      <c r="J1222" s="102" t="str">
        <f>EV!N1557</f>
        <v>TEMITA</v>
      </c>
      <c r="K1222" s="433" t="s">
        <v>1463</v>
      </c>
      <c r="L1222" s="183">
        <f>IF(K1222&gt;0,IF(K1222="ALPHA",PR!$E1220,IF(K1222="ASSENE",PR!$F1220,IF(K1222="BIOFEM",PR!$G1220,IF(K1222="BIOMED",PR!$H1220,IF(K1222="CHI",PR!$I1220,IF(K1222="CLARION",PR!$J1220,IF(K1222="CODIX",PR!$K1220,IF(K1222="COSMADE",PR!$L1220,IF(K1222="SANCON",PR!$M1220,IF(K1222="DEVON",PR!$N1220,IF(K1222="DORTEMAG",PR!$O1220,IF(K1222="DGF",PR!$P1220,IF(K1222="DYNAMIC",PR!$Q1220,IF(K1222="EMZOR",PR!$R1220,IF(K1222="EUMATT",PR!$S1220,IF(K1222="FIDSON",PR!$T1220,IF(K1222="FCGLOBAL",PR!$U1220,IF(K1222="GENEITH",PR!$V1220,IF(K1222="GINOS",PR!$W1220,IF(K1222="GSK",PR!$X1220,IF(K1222="GLOBORG",PR!$Y1220,IF(K1222="GOODNEWS",PR!$Z1220,IF(K1222="GREENLIFE",PR!$AA1220,IF(K1222="HLINE",PR!$AB1220,IF(K1222="ROTECH",PR!$AC1220,IF(K1222="ISN",PR!$AD1220,IF(K1222="JAWA",PR!$AE1220,IF(K1222="LAYO",PR!$AF1220,IF(K1222="LEADWAY",PR!$AG1220,IF(K1222="LHV",PR!$AH1220,IF(K1222="MANOLA",PR!$AI1220,IF(K1222="MARCSON",PR!$AJ1220,IF(K1222="M&amp;B",PR!$AK1220,IF(K1222="MTRUST",PR!$AL1220,IF(K1222="MWORLD",PR!$AM1220,IF(K1222="MEGA",PR!$AN1220,IF(K1222="MICRONOVA",PR!$AO1220,IF(K1222="MFLASH",PR!$AP1220,IF(K1222="MORISON",PR!$AQ1220,IF(K1222="NEMEL",PR!$AR1220,IF(K1222="NHP",PR!$AS1220,IF(K1222="NHC",PR!$AT1220,IF(K1222="OLEAF",PR!$AU1220,IF(K1222="OCULUS",PR!$AV1220,IF(K1222="PACIFIC",PR!$AW1220,IF(K1222="PHAMATEX",PR!$AX1220,IF(K1222="PETHICS",PR!$AY1220,IF(K1222="PHILIPS",PR!$AZ1220,IF(K1222="RANBAXY",PR!$BA1220,IF(K1222="REALS",PR!$BB1220,IF(K1222="ROYAL",PR!$BC1220,IF(K1222="SAM",PR!$BD1220,IF(K1222="SEAGREEN",PR!$BE1220,IF(K1222="SKG",PR!$BF1220,IF(K1222="TAH",PR!$BG1220,IF(K1222="TAYLEK",PR!$BH1220,IF(K1222="TEMITA",PR!$BI1220,IF(K1222="THL",PR!$BJ1220,IF(K1222="UBASTIC",PR!$BK1220,IF(K1222="UNION",PR!$BL1220,IF(K1222="UNIQUE",PR!$BM1220,IF(K1222="VIXA",PR!$BN1220,IF(K1222="WWCV",PR!$BO1220,IF(K1222="ZOLON",PR!$BP1220,"-")))))))))))))))))))))))))))))))))))))))))))))))))))))))))))))))))</f>
        <v>1600</v>
      </c>
    </row>
    <row r="1223" spans="1:12" ht="18.75" x14ac:dyDescent="0.3">
      <c r="A1223" s="430">
        <f>PR!A1221</f>
        <v>1099</v>
      </c>
      <c r="B1223" s="15" t="str">
        <f>PR!B1221</f>
        <v>MEASURING CYLINDER (GLASS) 1000ML</v>
      </c>
      <c r="C1223" s="113" t="str">
        <f>PR!D1221</f>
        <v>Pcs</v>
      </c>
      <c r="D1223" s="113">
        <f>PR!C1221</f>
        <v>1</v>
      </c>
      <c r="E1223" s="108">
        <f>IF(F1223="ALPHA",PR!$E1221,IF(F1223="ASSENE",PR!$F1221,IF(F1223="BIOFEM",PR!$G1221,IF(F1223="BIOMED",PR!$H1221,IF(F1223="CHI",PR!$I1221,IF(F1223="CLARION",PR!$J1221,IF(F1223="CODIX",PR!$K1221,IF(F1223="COSMADE",PR!$L1221,IF(F1223="SANCON",PR!$M1221,IF(F1223="DEVON",PR!$N1221,IF(F1223="DORTEMAG",PR!$O1221,IF(F1223="DGF",PR!$P1221,IF(F1223="DYNAMIC",PR!$Q1221,IF(F1223="EMZOR",PR!$R1221,IF(F1223="EUMATT",PR!$S1221,IF(F1223="FIDSON",PR!$T1221,IF(F1223="FCGLOBAL",PR!$U1221,IF(F1223="GENEITH",PR!$V1221,IF(F1223="GINOS",PR!$W1221,IF(F1223="GSK",PR!$X1221,IF(F1223="GLOBORG",PR!$Y1221,IF(F1223="GOODNEWS",PR!$Z1221,IF(F1223="GREENLIFE",PR!$AA1221,IF(F1223="HLINE",PR!$AB1221,IF(F1223="ROTECH",PR!$AC1221,IF(F1223="ISN",PR!$AD1221,IF(F1223="JAWA",PR!$AE1221,IF(F1223="LAYO",PR!$AF1221,IF(F1223="LEADWAY",PR!$AG1221,IF(F1223="LHV",PR!$AH1221,IF(F1223="MANOLA",PR!$AI1221,IF(F1223="MARCSON",PR!$AJ1221,IF(F1223="M&amp;B",PR!$AK1221,IF(F1223="MTRUST",PR!$AL1221,IF(F1223="MWORLD",PR!$AM1221,IF(F1223="MEGA",PR!$AN1221,IF(F1223="MICRONOVA",PR!$AO1221,IF(F1223="MFLASH",PR!$AP1221,IF(F1223="MORISON",PR!$AQ1221,IF(F1223="NEMEL",PR!$AR1221,IF(F1223="NHP",PR!$AS1221,IF(F1223="NHC",PR!$AT1221,IF(F1223="OLEAF",PR!$AU1221,IF(F1223="OCULUS",PR!$AV1221,IF(F1223="PACIFIC",PR!$AW1221,IF(F1223="PHAMATEX",PR!$AX1221,IF(F1223="PETHICS",PR!$AY1221,IF(F1223="PHILIPS",PR!$AZ1221,IF(F1223="RANBAXY",PR!$BA1221,IF(F1223="REALS",PR!$BB1221,IF(F1223="ROYAL",PR!$BC1221,IF(F1223="SAM",PR!$BD1221,IF(F1223="SEAGREEN",PR!$BE1221,IF(F1223="SKG",PR!$BF1221,IF(F1223="TAH",PR!$BG1221,IF(F1223="TAYLEK",PR!$BH1221,IF(F1223="TEMITA",PR!$BI1221,IF(F1223="THL",PR!$BJ1221,IF(F1223="UBASTIC",PR!$BK1221,IF(F1223="UNION",PR!$BL1221,IF(F1223="UNIQUE",PR!$BM1221,IF(F1223="VIXA",PR!$BN1221,IF(F1223="WWCV",PR!$BO1221,IF(F1223="ZOLON",PR!$BP1221,"-"))))))))))))))))))))))))))))))))))))))))))))))))))))))))))))))))</f>
        <v>2300</v>
      </c>
      <c r="F1223" s="102" t="str">
        <f>EV!L1558</f>
        <v>TEMITA</v>
      </c>
      <c r="G1223" s="108">
        <f>IF(H1223="ALPHA",PR!$E1221,IF(H1223="ASSENE",PR!$F1221,IF(H1223="BIOFEM",PR!$G1221,IF(H1223="BIOMED",PR!$H1221,IF(H1223="CHI",PR!$I1221,IF(H1223="CLARION",PR!$J1221,IF(H1223="CODIX",PR!$K1221,IF(H1223="COSMADE",PR!$L1221,IF(H1223="SANCON",PR!$M1221,IF(H1223="DEVON",PR!$N1221,IF(H1223="DORTEMAG",PR!$O1221,IF(H1223="DGF",PR!$P1221,IF(H1223="DYNAMIC",PR!$Q1221,IF(H1223="EMZOR",PR!$R1221,IF(H1223="EUMATT",PR!$S1221,IF(H1223="FIDSON",PR!$T1221,IF(H1223="FCGLOBAL",PR!$U1221,IF(H1223="GENEITH",PR!$V1221,IF(H1223="GINOS",PR!$W1221,IF(H1223="GSK",PR!$X1221,IF(H1223="GLOBORG",PR!$Y1221,IF(H1223="GOODNEWS",PR!$Z1221,IF(H1223="GREENLIFE",PR!$AA1221,IF(H1223="HLINE",PR!$AB1221,IF(H1223="ROTECH",PR!$AC1221,IF(H1223="ISN",PR!$AD1221,IF(H1223="JAWA",PR!$AE1221,IF(H1223="LAYO",PR!$AF1221,IF(H1223="LEADWAY",PR!$AG1221,IF(H1223="LHV",PR!$AH1221,IF(H1223="MANOLA",PR!$AI1221,IF(H1223="MARCSON",PR!$AJ1221,IF(H1223="M&amp;B",PR!$AK1221,IF(H1223="MTRUST",PR!$AL1221,IF(H1223="MWORLD",PR!$AM1221,IF(H1223="MEGA",PR!$AN1221,IF(H1223="MICRONOVA",PR!$AO1221,IF(H1223="MFLASH",PR!$AP1221,IF(H1223="MORISON",PR!$AQ1221,IF(H1223="NEMEL",PR!$AR1221,IF(H1223="NHP",PR!$AS1221,IF(H1223="NHC",PR!$AT1221,IF(H1223="OLEAF",PR!$AU1221,IF(H1223="OCULUS",PR!$AV1221,IF(H1223="PACIFIC",PR!$AW1221,IF(H1223="PHAMATEX",PR!$AX1221,IF(H1223="PETHICS",PR!$AY1221,IF(H1223="PHILIPS",PR!$AZ1221,IF(H1223="RANBAXY",PR!$BA1221,IF(H1223="REALS",PR!$BB1221,IF(H1223="ROYAL",PR!$BC1221,IF(H1223="SAM",PR!$BD1221,IF(H1223="SEAGREEN",PR!$BE1221,IF(H1223="SKG",PR!$BF1221,IF(H1223="TAH",PR!$BG1221,IF(H1223="TAYLEK",PR!$BH1221,IF(H1223="TEMITA",PR!$BI1221,IF(H1223="THL",PR!$BJ1221,IF(H1223="UBASTIC",PR!$BK1221,IF(H1223="UNION",PR!$BL1221,IF(H1223="UNIQUE",PR!$BM1221,IF(H1223="VIXA",PR!$BN1221,IF(H1223="WWCV",PR!$BO1221,IF(H1223="ZOLON",PR!$BP1221,"-"))))))))))))))))))))))))))))))))))))))))))))))))))))))))))))))))</f>
        <v>3000</v>
      </c>
      <c r="H1223" s="102" t="str">
        <f>EV!M1558</f>
        <v>UBASTIC</v>
      </c>
      <c r="I1223" s="108">
        <f>IF(J1223="ALPHA",PR!$E1221,IF(J1223="ASSENE",PR!$F1221,IF(J1223="BIOFEM",PR!$G1221,IF(J1223="BIOMED",PR!$H1221,IF(J1223="CHI",PR!$I1221,IF(J1223="CLARION",PR!$J1221,IF(J1223="CODIX",PR!$K1221,IF(J1223="COSMADE",PR!$L1221,IF(J1223="SANCON",PR!$M1221,IF(J1223="DEVON",PR!$N1221,IF(J1223="DORTEMAG",PR!$O1221,IF(J1223="DGF",PR!$P1221,IF(J1223="DYNAMIC",PR!$Q1221,IF(J1223="EMZOR",PR!$R1221,IF(J1223="EUMATT",PR!$S1221,IF(J1223="FIDSON",PR!$T1221,IF(J1223="FCGLOBAL",PR!$U1221,IF(J1223="GENEITH",PR!$V1221,IF(J1223="GINOS",PR!$W1221,IF(J1223="GSK",PR!$X1221,IF(J1223="GLOBORG",PR!$Y1221,IF(J1223="GOODNEWS",PR!$Z1221,IF(J1223="GREENLIFE",PR!$AA1221,IF(J1223="HLINE",PR!$AB1221,IF(J1223="ROTECH",PR!$AC1221,IF(J1223="ISN",PR!$AD1221,IF(J1223="JAWA",PR!$AE1221,IF(J1223="LAYO",PR!$AF1221,IF(J1223="LEADWAY",PR!$AG1221,IF(J1223="LHV",PR!$AH1221,IF(J1223="MANOLA",PR!$AI1221,IF(J1223="MARCSON",PR!$AJ1221,IF(J1223="M&amp;B",PR!$AK1221,IF(J1223="MTRUST",PR!$AL1221,IF(J1223="MWORLD",PR!$AM1221,IF(J1223="MEGA",PR!$AN1221,IF(J1223="MICRONOVA",PR!$AO1221,IF(J1223="MFLASH",PR!$AP1221,IF(J1223="MORISON",PR!$AQ1221,IF(J1223="NEMEL",PR!$AR1221,IF(J1223="NHP",PR!$AS1221,IF(J1223="NHC",PR!$AT1221,IF(J1223="OLEAF",PR!$AU1221,IF(J1223="OCULUS",PR!$AV1221,IF(J1223="PACIFIC",PR!$AW1221,IF(J1223="PHAMATEX",PR!$AX1221,IF(J1223="PETHICS",PR!$AY1221,IF(J1223="PHILIPS",PR!$AZ1221,IF(J1223="RANBAXY",PR!$BA1221,IF(J1223="REALS",PR!$BB1221,IF(J1223="ROYAL",PR!$BC1221,IF(J1223="SAM",PR!$BD1221,IF(J1223="SEAGREEN",PR!$BE1221,IF(J1223="SKG",PR!$BF1221,IF(J1223="TAH",PR!$BG1221,IF(J1223="TAYLEK",PR!$BH1221,IF(J1223="TEMITA",PR!$BI1221,IF(J1223="THL",PR!$BJ1221,IF(J1223="UBASTIC",PR!$BK1221,IF(J1223="UNION",PR!$BL1221,IF(J1223="UNIQUE",PR!$BM1221,IF(J1223="VIXA",PR!$BN1221,IF(J1223="WWCV",PR!$BO1221,IF(J1223="ZOLON",PR!$BP1221,"-"))))))))))))))))))))))))))))))))))))))))))))))))))))))))))))))))</f>
        <v>3000</v>
      </c>
      <c r="J1223" s="102" t="str">
        <f>EV!N1558</f>
        <v>SANCON</v>
      </c>
      <c r="K1223" s="433" t="s">
        <v>1463</v>
      </c>
      <c r="L1223" s="183">
        <f>IF(K1223&gt;0,IF(K1223="ALPHA",PR!$E1221,IF(K1223="ASSENE",PR!$F1221,IF(K1223="BIOFEM",PR!$G1221,IF(K1223="BIOMED",PR!$H1221,IF(K1223="CHI",PR!$I1221,IF(K1223="CLARION",PR!$J1221,IF(K1223="CODIX",PR!$K1221,IF(K1223="COSMADE",PR!$L1221,IF(K1223="SANCON",PR!$M1221,IF(K1223="DEVON",PR!$N1221,IF(K1223="DORTEMAG",PR!$O1221,IF(K1223="DGF",PR!$P1221,IF(K1223="DYNAMIC",PR!$Q1221,IF(K1223="EMZOR",PR!$R1221,IF(K1223="EUMATT",PR!$S1221,IF(K1223="FIDSON",PR!$T1221,IF(K1223="FCGLOBAL",PR!$U1221,IF(K1223="GENEITH",PR!$V1221,IF(K1223="GINOS",PR!$W1221,IF(K1223="GSK",PR!$X1221,IF(K1223="GLOBORG",PR!$Y1221,IF(K1223="GOODNEWS",PR!$Z1221,IF(K1223="GREENLIFE",PR!$AA1221,IF(K1223="HLINE",PR!$AB1221,IF(K1223="ROTECH",PR!$AC1221,IF(K1223="ISN",PR!$AD1221,IF(K1223="JAWA",PR!$AE1221,IF(K1223="LAYO",PR!$AF1221,IF(K1223="LEADWAY",PR!$AG1221,IF(K1223="LHV",PR!$AH1221,IF(K1223="MANOLA",PR!$AI1221,IF(K1223="MARCSON",PR!$AJ1221,IF(K1223="M&amp;B",PR!$AK1221,IF(K1223="MTRUST",PR!$AL1221,IF(K1223="MWORLD",PR!$AM1221,IF(K1223="MEGA",PR!$AN1221,IF(K1223="MICRONOVA",PR!$AO1221,IF(K1223="MFLASH",PR!$AP1221,IF(K1223="MORISON",PR!$AQ1221,IF(K1223="NEMEL",PR!$AR1221,IF(K1223="NHP",PR!$AS1221,IF(K1223="NHC",PR!$AT1221,IF(K1223="OLEAF",PR!$AU1221,IF(K1223="OCULUS",PR!$AV1221,IF(K1223="PACIFIC",PR!$AW1221,IF(K1223="PHAMATEX",PR!$AX1221,IF(K1223="PETHICS",PR!$AY1221,IF(K1223="PHILIPS",PR!$AZ1221,IF(K1223="RANBAXY",PR!$BA1221,IF(K1223="REALS",PR!$BB1221,IF(K1223="ROYAL",PR!$BC1221,IF(K1223="SAM",PR!$BD1221,IF(K1223="SEAGREEN",PR!$BE1221,IF(K1223="SKG",PR!$BF1221,IF(K1223="TAH",PR!$BG1221,IF(K1223="TAYLEK",PR!$BH1221,IF(K1223="TEMITA",PR!$BI1221,IF(K1223="THL",PR!$BJ1221,IF(K1223="UBASTIC",PR!$BK1221,IF(K1223="UNION",PR!$BL1221,IF(K1223="UNIQUE",PR!$BM1221,IF(K1223="VIXA",PR!$BN1221,IF(K1223="WWCV",PR!$BO1221,IF(K1223="ZOLON",PR!$BP1221,"-")))))))))))))))))))))))))))))))))))))))))))))))))))))))))))))))))</f>
        <v>2300</v>
      </c>
    </row>
    <row r="1224" spans="1:12" ht="18.75" x14ac:dyDescent="0.3">
      <c r="A1224" s="430">
        <f>PR!A1222</f>
        <v>1100</v>
      </c>
      <c r="B1224" s="15" t="str">
        <f>PR!B1222</f>
        <v>NEW IMPROVED NEUBER COUNTING CHAMBER (CRYSTALLIZED)</v>
      </c>
      <c r="C1224" s="113" t="str">
        <f>PR!D1222</f>
        <v>Pcs</v>
      </c>
      <c r="D1224" s="113">
        <f>PR!C1222</f>
        <v>3</v>
      </c>
      <c r="E1224" s="108">
        <f>IF(F1224="ALPHA",PR!$E1222,IF(F1224="ASSENE",PR!$F1222,IF(F1224="BIOFEM",PR!$G1222,IF(F1224="BIOMED",PR!$H1222,IF(F1224="CHI",PR!$I1222,IF(F1224="CLARION",PR!$J1222,IF(F1224="CODIX",PR!$K1222,IF(F1224="COSMADE",PR!$L1222,IF(F1224="SANCON",PR!$M1222,IF(F1224="DEVON",PR!$N1222,IF(F1224="DORTEMAG",PR!$O1222,IF(F1224="DGF",PR!$P1222,IF(F1224="DYNAMIC",PR!$Q1222,IF(F1224="EMZOR",PR!$R1222,IF(F1224="EUMATT",PR!$S1222,IF(F1224="FIDSON",PR!$T1222,IF(F1224="FCGLOBAL",PR!$U1222,IF(F1224="GENEITH",PR!$V1222,IF(F1224="GINOS",PR!$W1222,IF(F1224="GSK",PR!$X1222,IF(F1224="GLOBORG",PR!$Y1222,IF(F1224="GOODNEWS",PR!$Z1222,IF(F1224="GREENLIFE",PR!$AA1222,IF(F1224="HLINE",PR!$AB1222,IF(F1224="ROTECH",PR!$AC1222,IF(F1224="ISN",PR!$AD1222,IF(F1224="JAWA",PR!$AE1222,IF(F1224="LAYO",PR!$AF1222,IF(F1224="LEADWAY",PR!$AG1222,IF(F1224="LHV",PR!$AH1222,IF(F1224="MANOLA",PR!$AI1222,IF(F1224="MARCSON",PR!$AJ1222,IF(F1224="M&amp;B",PR!$AK1222,IF(F1224="MTRUST",PR!$AL1222,IF(F1224="MWORLD",PR!$AM1222,IF(F1224="MEGA",PR!$AN1222,IF(F1224="MICRONOVA",PR!$AO1222,IF(F1224="MFLASH",PR!$AP1222,IF(F1224="MORISON",PR!$AQ1222,IF(F1224="NEMEL",PR!$AR1222,IF(F1224="NHP",PR!$AS1222,IF(F1224="NHC",PR!$AT1222,IF(F1224="OLEAF",PR!$AU1222,IF(F1224="OCULUS",PR!$AV1222,IF(F1224="PACIFIC",PR!$AW1222,IF(F1224="PHAMATEX",PR!$AX1222,IF(F1224="PETHICS",PR!$AY1222,IF(F1224="PHILIPS",PR!$AZ1222,IF(F1224="RANBAXY",PR!$BA1222,IF(F1224="REALS",PR!$BB1222,IF(F1224="ROYAL",PR!$BC1222,IF(F1224="SAM",PR!$BD1222,IF(F1224="SEAGREEN",PR!$BE1222,IF(F1224="SKG",PR!$BF1222,IF(F1224="TAH",PR!$BG1222,IF(F1224="TAYLEK",PR!$BH1222,IF(F1224="TEMITA",PR!$BI1222,IF(F1224="THL",PR!$BJ1222,IF(F1224="UBASTIC",PR!$BK1222,IF(F1224="UNION",PR!$BL1222,IF(F1224="UNIQUE",PR!$BM1222,IF(F1224="VIXA",PR!$BN1222,IF(F1224="WWCV",PR!$BO1222,IF(F1224="ZOLON",PR!$BP1222,"-"))))))))))))))))))))))))))))))))))))))))))))))))))))))))))))))))</f>
        <v>13750</v>
      </c>
      <c r="F1224" s="102" t="str">
        <f>EV!L1559</f>
        <v>DYNAMIC</v>
      </c>
      <c r="G1224" s="108">
        <f>IF(H1224="ALPHA",PR!$E1222,IF(H1224="ASSENE",PR!$F1222,IF(H1224="BIOFEM",PR!$G1222,IF(H1224="BIOMED",PR!$H1222,IF(H1224="CHI",PR!$I1222,IF(H1224="CLARION",PR!$J1222,IF(H1224="CODIX",PR!$K1222,IF(H1224="COSMADE",PR!$L1222,IF(H1224="SANCON",PR!$M1222,IF(H1224="DEVON",PR!$N1222,IF(H1224="DORTEMAG",PR!$O1222,IF(H1224="DGF",PR!$P1222,IF(H1224="DYNAMIC",PR!$Q1222,IF(H1224="EMZOR",PR!$R1222,IF(H1224="EUMATT",PR!$S1222,IF(H1224="FIDSON",PR!$T1222,IF(H1224="FCGLOBAL",PR!$U1222,IF(H1224="GENEITH",PR!$V1222,IF(H1224="GINOS",PR!$W1222,IF(H1224="GSK",PR!$X1222,IF(H1224="GLOBORG",PR!$Y1222,IF(H1224="GOODNEWS",PR!$Z1222,IF(H1224="GREENLIFE",PR!$AA1222,IF(H1224="HLINE",PR!$AB1222,IF(H1224="ROTECH",PR!$AC1222,IF(H1224="ISN",PR!$AD1222,IF(H1224="JAWA",PR!$AE1222,IF(H1224="LAYO",PR!$AF1222,IF(H1224="LEADWAY",PR!$AG1222,IF(H1224="LHV",PR!$AH1222,IF(H1224="MANOLA",PR!$AI1222,IF(H1224="MARCSON",PR!$AJ1222,IF(H1224="M&amp;B",PR!$AK1222,IF(H1224="MTRUST",PR!$AL1222,IF(H1224="MWORLD",PR!$AM1222,IF(H1224="MEGA",PR!$AN1222,IF(H1224="MICRONOVA",PR!$AO1222,IF(H1224="MFLASH",PR!$AP1222,IF(H1224="MORISON",PR!$AQ1222,IF(H1224="NEMEL",PR!$AR1222,IF(H1224="NHP",PR!$AS1222,IF(H1224="NHC",PR!$AT1222,IF(H1224="OLEAF",PR!$AU1222,IF(H1224="OCULUS",PR!$AV1222,IF(H1224="PACIFIC",PR!$AW1222,IF(H1224="PHAMATEX",PR!$AX1222,IF(H1224="PETHICS",PR!$AY1222,IF(H1224="PHILIPS",PR!$AZ1222,IF(H1224="RANBAXY",PR!$BA1222,IF(H1224="REALS",PR!$BB1222,IF(H1224="ROYAL",PR!$BC1222,IF(H1224="SAM",PR!$BD1222,IF(H1224="SEAGREEN",PR!$BE1222,IF(H1224="SKG",PR!$BF1222,IF(H1224="TAH",PR!$BG1222,IF(H1224="TAYLEK",PR!$BH1222,IF(H1224="TEMITA",PR!$BI1222,IF(H1224="THL",PR!$BJ1222,IF(H1224="UBASTIC",PR!$BK1222,IF(H1224="UNION",PR!$BL1222,IF(H1224="UNIQUE",PR!$BM1222,IF(H1224="VIXA",PR!$BN1222,IF(H1224="WWCV",PR!$BO1222,IF(H1224="ZOLON",PR!$BP1222,"-"))))))))))))))))))))))))))))))))))))))))))))))))))))))))))))))))</f>
        <v>15600</v>
      </c>
      <c r="H1224" s="102" t="str">
        <f>EV!M1559</f>
        <v>LAYO</v>
      </c>
      <c r="I1224" s="108">
        <f>IF(J1224="ALPHA",PR!$E1222,IF(J1224="ASSENE",PR!$F1222,IF(J1224="BIOFEM",PR!$G1222,IF(J1224="BIOMED",PR!$H1222,IF(J1224="CHI",PR!$I1222,IF(J1224="CLARION",PR!$J1222,IF(J1224="CODIX",PR!$K1222,IF(J1224="COSMADE",PR!$L1222,IF(J1224="SANCON",PR!$M1222,IF(J1224="DEVON",PR!$N1222,IF(J1224="DORTEMAG",PR!$O1222,IF(J1224="DGF",PR!$P1222,IF(J1224="DYNAMIC",PR!$Q1222,IF(J1224="EMZOR",PR!$R1222,IF(J1224="EUMATT",PR!$S1222,IF(J1224="FIDSON",PR!$T1222,IF(J1224="FCGLOBAL",PR!$U1222,IF(J1224="GENEITH",PR!$V1222,IF(J1224="GINOS",PR!$W1222,IF(J1224="GSK",PR!$X1222,IF(J1224="GLOBORG",PR!$Y1222,IF(J1224="GOODNEWS",PR!$Z1222,IF(J1224="GREENLIFE",PR!$AA1222,IF(J1224="HLINE",PR!$AB1222,IF(J1224="ROTECH",PR!$AC1222,IF(J1224="ISN",PR!$AD1222,IF(J1224="JAWA",PR!$AE1222,IF(J1224="LAYO",PR!$AF1222,IF(J1224="LEADWAY",PR!$AG1222,IF(J1224="LHV",PR!$AH1222,IF(J1224="MANOLA",PR!$AI1222,IF(J1224="MARCSON",PR!$AJ1222,IF(J1224="M&amp;B",PR!$AK1222,IF(J1224="MTRUST",PR!$AL1222,IF(J1224="MWORLD",PR!$AM1222,IF(J1224="MEGA",PR!$AN1222,IF(J1224="MICRONOVA",PR!$AO1222,IF(J1224="MFLASH",PR!$AP1222,IF(J1224="MORISON",PR!$AQ1222,IF(J1224="NEMEL",PR!$AR1222,IF(J1224="NHP",PR!$AS1222,IF(J1224="NHC",PR!$AT1222,IF(J1224="OLEAF",PR!$AU1222,IF(J1224="OCULUS",PR!$AV1222,IF(J1224="PACIFIC",PR!$AW1222,IF(J1224="PHAMATEX",PR!$AX1222,IF(J1224="PETHICS",PR!$AY1222,IF(J1224="PHILIPS",PR!$AZ1222,IF(J1224="RANBAXY",PR!$BA1222,IF(J1224="REALS",PR!$BB1222,IF(J1224="ROYAL",PR!$BC1222,IF(J1224="SAM",PR!$BD1222,IF(J1224="SEAGREEN",PR!$BE1222,IF(J1224="SKG",PR!$BF1222,IF(J1224="TAH",PR!$BG1222,IF(J1224="TAYLEK",PR!$BH1222,IF(J1224="TEMITA",PR!$BI1222,IF(J1224="THL",PR!$BJ1222,IF(J1224="UBASTIC",PR!$BK1222,IF(J1224="UNION",PR!$BL1222,IF(J1224="UNIQUE",PR!$BM1222,IF(J1224="VIXA",PR!$BN1222,IF(J1224="WWCV",PR!$BO1222,IF(J1224="ZOLON",PR!$BP1222,"-"))))))))))))))))))))))))))))))))))))))))))))))))))))))))))))))))</f>
        <v>19000</v>
      </c>
      <c r="J1224" s="102" t="str">
        <f>EV!N1559</f>
        <v>SANCON</v>
      </c>
      <c r="K1224" s="433" t="s">
        <v>626</v>
      </c>
      <c r="L1224" s="183">
        <f>IF(K1224&gt;0,IF(K1224="ALPHA",PR!$E1222,IF(K1224="ASSENE",PR!$F1222,IF(K1224="BIOFEM",PR!$G1222,IF(K1224="BIOMED",PR!$H1222,IF(K1224="CHI",PR!$I1222,IF(K1224="CLARION",PR!$J1222,IF(K1224="CODIX",PR!$K1222,IF(K1224="COSMADE",PR!$L1222,IF(K1224="SANCON",PR!$M1222,IF(K1224="DEVON",PR!$N1222,IF(K1224="DORTEMAG",PR!$O1222,IF(K1224="DGF",PR!$P1222,IF(K1224="DYNAMIC",PR!$Q1222,IF(K1224="EMZOR",PR!$R1222,IF(K1224="EUMATT",PR!$S1222,IF(K1224="FIDSON",PR!$T1222,IF(K1224="FCGLOBAL",PR!$U1222,IF(K1224="GENEITH",PR!$V1222,IF(K1224="GINOS",PR!$W1222,IF(K1224="GSK",PR!$X1222,IF(K1224="GLOBORG",PR!$Y1222,IF(K1224="GOODNEWS",PR!$Z1222,IF(K1224="GREENLIFE",PR!$AA1222,IF(K1224="HLINE",PR!$AB1222,IF(K1224="ROTECH",PR!$AC1222,IF(K1224="ISN",PR!$AD1222,IF(K1224="JAWA",PR!$AE1222,IF(K1224="LAYO",PR!$AF1222,IF(K1224="LEADWAY",PR!$AG1222,IF(K1224="LHV",PR!$AH1222,IF(K1224="MANOLA",PR!$AI1222,IF(K1224="MARCSON",PR!$AJ1222,IF(K1224="M&amp;B",PR!$AK1222,IF(K1224="MTRUST",PR!$AL1222,IF(K1224="MWORLD",PR!$AM1222,IF(K1224="MEGA",PR!$AN1222,IF(K1224="MICRONOVA",PR!$AO1222,IF(K1224="MFLASH",PR!$AP1222,IF(K1224="MORISON",PR!$AQ1222,IF(K1224="NEMEL",PR!$AR1222,IF(K1224="NHP",PR!$AS1222,IF(K1224="NHC",PR!$AT1222,IF(K1224="OLEAF",PR!$AU1222,IF(K1224="OCULUS",PR!$AV1222,IF(K1224="PACIFIC",PR!$AW1222,IF(K1224="PHAMATEX",PR!$AX1222,IF(K1224="PETHICS",PR!$AY1222,IF(K1224="PHILIPS",PR!$AZ1222,IF(K1224="RANBAXY",PR!$BA1222,IF(K1224="REALS",PR!$BB1222,IF(K1224="ROYAL",PR!$BC1222,IF(K1224="SAM",PR!$BD1222,IF(K1224="SEAGREEN",PR!$BE1222,IF(K1224="SKG",PR!$BF1222,IF(K1224="TAH",PR!$BG1222,IF(K1224="TAYLEK",PR!$BH1222,IF(K1224="TEMITA",PR!$BI1222,IF(K1224="THL",PR!$BJ1222,IF(K1224="UBASTIC",PR!$BK1222,IF(K1224="UNION",PR!$BL1222,IF(K1224="UNIQUE",PR!$BM1222,IF(K1224="VIXA",PR!$BN1222,IF(K1224="WWCV",PR!$BO1222,IF(K1224="ZOLON",PR!$BP1222,"-")))))))))))))))))))))))))))))))))))))))))))))))))))))))))))))))))</f>
        <v>13750</v>
      </c>
    </row>
    <row r="1225" spans="1:12" ht="18.75" x14ac:dyDescent="0.3">
      <c r="A1225" s="430">
        <f>PR!A1223</f>
        <v>1101</v>
      </c>
      <c r="B1225" s="15" t="str">
        <f>PR!B1223</f>
        <v>PREGNANT KIT CASSETTE (LABACON)</v>
      </c>
      <c r="C1225" s="113" t="str">
        <f>PR!D1223</f>
        <v>packs</v>
      </c>
      <c r="D1225" s="113">
        <f>PR!C1223</f>
        <v>36</v>
      </c>
      <c r="E1225" s="108">
        <f>IF(F1225="ALPHA",PR!$E1223,IF(F1225="ASSENE",PR!$F1223,IF(F1225="BIOFEM",PR!$G1223,IF(F1225="BIOMED",PR!$H1223,IF(F1225="CHI",PR!$I1223,IF(F1225="CLARION",PR!$J1223,IF(F1225="CODIX",PR!$K1223,IF(F1225="COSMADE",PR!$L1223,IF(F1225="SANCON",PR!$M1223,IF(F1225="DEVON",PR!$N1223,IF(F1225="DORTEMAG",PR!$O1223,IF(F1225="DGF",PR!$P1223,IF(F1225="DYNAMIC",PR!$Q1223,IF(F1225="EMZOR",PR!$R1223,IF(F1225="EUMATT",PR!$S1223,IF(F1225="FIDSON",PR!$T1223,IF(F1225="FCGLOBAL",PR!$U1223,IF(F1225="GENEITH",PR!$V1223,IF(F1225="GINOS",PR!$W1223,IF(F1225="GSK",PR!$X1223,IF(F1225="GLOBORG",PR!$Y1223,IF(F1225="GOODNEWS",PR!$Z1223,IF(F1225="GREENLIFE",PR!$AA1223,IF(F1225="HLINE",PR!$AB1223,IF(F1225="ROTECH",PR!$AC1223,IF(F1225="ISN",PR!$AD1223,IF(F1225="JAWA",PR!$AE1223,IF(F1225="LAYO",PR!$AF1223,IF(F1225="LEADWAY",PR!$AG1223,IF(F1225="LHV",PR!$AH1223,IF(F1225="MANOLA",PR!$AI1223,IF(F1225="MARCSON",PR!$AJ1223,IF(F1225="M&amp;B",PR!$AK1223,IF(F1225="MTRUST",PR!$AL1223,IF(F1225="MWORLD",PR!$AM1223,IF(F1225="MEGA",PR!$AN1223,IF(F1225="MICRONOVA",PR!$AO1223,IF(F1225="MFLASH",PR!$AP1223,IF(F1225="MORISON",PR!$AQ1223,IF(F1225="NEMEL",PR!$AR1223,IF(F1225="NHP",PR!$AS1223,IF(F1225="NHC",PR!$AT1223,IF(F1225="OLEAF",PR!$AU1223,IF(F1225="OCULUS",PR!$AV1223,IF(F1225="PACIFIC",PR!$AW1223,IF(F1225="PHAMATEX",PR!$AX1223,IF(F1225="PETHICS",PR!$AY1223,IF(F1225="PHILIPS",PR!$AZ1223,IF(F1225="RANBAXY",PR!$BA1223,IF(F1225="REALS",PR!$BB1223,IF(F1225="ROYAL",PR!$BC1223,IF(F1225="SAM",PR!$BD1223,IF(F1225="SEAGREEN",PR!$BE1223,IF(F1225="SKG",PR!$BF1223,IF(F1225="TAH",PR!$BG1223,IF(F1225="TAYLEK",PR!$BH1223,IF(F1225="TEMITA",PR!$BI1223,IF(F1225="THL",PR!$BJ1223,IF(F1225="UBASTIC",PR!$BK1223,IF(F1225="UNION",PR!$BL1223,IF(F1225="UNIQUE",PR!$BM1223,IF(F1225="VIXA",PR!$BN1223,IF(F1225="WWCV",PR!$BO1223,IF(F1225="ZOLON",PR!$BP1223,"-"))))))))))))))))))))))))))))))))))))))))))))))))))))))))))))))))</f>
        <v>3500</v>
      </c>
      <c r="F1225" s="102" t="str">
        <f>EV!L1560</f>
        <v>UBASTIC</v>
      </c>
      <c r="G1225" s="108">
        <f>IF(H1225="ALPHA",PR!$E1223,IF(H1225="ASSENE",PR!$F1223,IF(H1225="BIOFEM",PR!$G1223,IF(H1225="BIOMED",PR!$H1223,IF(H1225="CHI",PR!$I1223,IF(H1225="CLARION",PR!$J1223,IF(H1225="CODIX",PR!$K1223,IF(H1225="COSMADE",PR!$L1223,IF(H1225="SANCON",PR!$M1223,IF(H1225="DEVON",PR!$N1223,IF(H1225="DORTEMAG",PR!$O1223,IF(H1225="DGF",PR!$P1223,IF(H1225="DYNAMIC",PR!$Q1223,IF(H1225="EMZOR",PR!$R1223,IF(H1225="EUMATT",PR!$S1223,IF(H1225="FIDSON",PR!$T1223,IF(H1225="FCGLOBAL",PR!$U1223,IF(H1225="GENEITH",PR!$V1223,IF(H1225="GINOS",PR!$W1223,IF(H1225="GSK",PR!$X1223,IF(H1225="GLOBORG",PR!$Y1223,IF(H1225="GOODNEWS",PR!$Z1223,IF(H1225="GREENLIFE",PR!$AA1223,IF(H1225="HLINE",PR!$AB1223,IF(H1225="ROTECH",PR!$AC1223,IF(H1225="ISN",PR!$AD1223,IF(H1225="JAWA",PR!$AE1223,IF(H1225="LAYO",PR!$AF1223,IF(H1225="LEADWAY",PR!$AG1223,IF(H1225="LHV",PR!$AH1223,IF(H1225="MANOLA",PR!$AI1223,IF(H1225="MARCSON",PR!$AJ1223,IF(H1225="M&amp;B",PR!$AK1223,IF(H1225="MTRUST",PR!$AL1223,IF(H1225="MWORLD",PR!$AM1223,IF(H1225="MEGA",PR!$AN1223,IF(H1225="MICRONOVA",PR!$AO1223,IF(H1225="MFLASH",PR!$AP1223,IF(H1225="MORISON",PR!$AQ1223,IF(H1225="NEMEL",PR!$AR1223,IF(H1225="NHP",PR!$AS1223,IF(H1225="NHC",PR!$AT1223,IF(H1225="OLEAF",PR!$AU1223,IF(H1225="OCULUS",PR!$AV1223,IF(H1225="PACIFIC",PR!$AW1223,IF(H1225="PHAMATEX",PR!$AX1223,IF(H1225="PETHICS",PR!$AY1223,IF(H1225="PHILIPS",PR!$AZ1223,IF(H1225="RANBAXY",PR!$BA1223,IF(H1225="REALS",PR!$BB1223,IF(H1225="ROYAL",PR!$BC1223,IF(H1225="SAM",PR!$BD1223,IF(H1225="SEAGREEN",PR!$BE1223,IF(H1225="SKG",PR!$BF1223,IF(H1225="TAH",PR!$BG1223,IF(H1225="TAYLEK",PR!$BH1223,IF(H1225="TEMITA",PR!$BI1223,IF(H1225="THL",PR!$BJ1223,IF(H1225="UBASTIC",PR!$BK1223,IF(H1225="UNION",PR!$BL1223,IF(H1225="UNIQUE",PR!$BM1223,IF(H1225="VIXA",PR!$BN1223,IF(H1225="WWCV",PR!$BO1223,IF(H1225="ZOLON",PR!$BP1223,"-"))))))))))))))))))))))))))))))))))))))))))))))))))))))))))))))))</f>
        <v>3390</v>
      </c>
      <c r="H1225" s="102" t="str">
        <f>EV!M1560</f>
        <v>ROTECH</v>
      </c>
      <c r="I1225" s="108">
        <f>IF(J1225="ALPHA",PR!$E1223,IF(J1225="ASSENE",PR!$F1223,IF(J1225="BIOFEM",PR!$G1223,IF(J1225="BIOMED",PR!$H1223,IF(J1225="CHI",PR!$I1223,IF(J1225="CLARION",PR!$J1223,IF(J1225="CODIX",PR!$K1223,IF(J1225="COSMADE",PR!$L1223,IF(J1225="SANCON",PR!$M1223,IF(J1225="DEVON",PR!$N1223,IF(J1225="DORTEMAG",PR!$O1223,IF(J1225="DGF",PR!$P1223,IF(J1225="DYNAMIC",PR!$Q1223,IF(J1225="EMZOR",PR!$R1223,IF(J1225="EUMATT",PR!$S1223,IF(J1225="FIDSON",PR!$T1223,IF(J1225="FCGLOBAL",PR!$U1223,IF(J1225="GENEITH",PR!$V1223,IF(J1225="GINOS",PR!$W1223,IF(J1225="GSK",PR!$X1223,IF(J1225="GLOBORG",PR!$Y1223,IF(J1225="GOODNEWS",PR!$Z1223,IF(J1225="GREENLIFE",PR!$AA1223,IF(J1225="HLINE",PR!$AB1223,IF(J1225="ROTECH",PR!$AC1223,IF(J1225="ISN",PR!$AD1223,IF(J1225="JAWA",PR!$AE1223,IF(J1225="LAYO",PR!$AF1223,IF(J1225="LEADWAY",PR!$AG1223,IF(J1225="LHV",PR!$AH1223,IF(J1225="MANOLA",PR!$AI1223,IF(J1225="MARCSON",PR!$AJ1223,IF(J1225="M&amp;B",PR!$AK1223,IF(J1225="MTRUST",PR!$AL1223,IF(J1225="MWORLD",PR!$AM1223,IF(J1225="MEGA",PR!$AN1223,IF(J1225="MICRONOVA",PR!$AO1223,IF(J1225="MFLASH",PR!$AP1223,IF(J1225="MORISON",PR!$AQ1223,IF(J1225="NEMEL",PR!$AR1223,IF(J1225="NHP",PR!$AS1223,IF(J1225="NHC",PR!$AT1223,IF(J1225="OLEAF",PR!$AU1223,IF(J1225="OCULUS",PR!$AV1223,IF(J1225="PACIFIC",PR!$AW1223,IF(J1225="PHAMATEX",PR!$AX1223,IF(J1225="PETHICS",PR!$AY1223,IF(J1225="PHILIPS",PR!$AZ1223,IF(J1225="RANBAXY",PR!$BA1223,IF(J1225="REALS",PR!$BB1223,IF(J1225="ROYAL",PR!$BC1223,IF(J1225="SAM",PR!$BD1223,IF(J1225="SEAGREEN",PR!$BE1223,IF(J1225="SKG",PR!$BF1223,IF(J1225="TAH",PR!$BG1223,IF(J1225="TAYLEK",PR!$BH1223,IF(J1225="TEMITA",PR!$BI1223,IF(J1225="THL",PR!$BJ1223,IF(J1225="UBASTIC",PR!$BK1223,IF(J1225="UNION",PR!$BL1223,IF(J1225="UNIQUE",PR!$BM1223,IF(J1225="VIXA",PR!$BN1223,IF(J1225="WWCV",PR!$BO1223,IF(J1225="ZOLON",PR!$BP1223,"-"))))))))))))))))))))))))))))))))))))))))))))))))))))))))))))))))</f>
        <v>3990</v>
      </c>
      <c r="J1225" s="102" t="str">
        <f>EV!N1560</f>
        <v>SANCON</v>
      </c>
      <c r="K1225" s="433" t="s">
        <v>1459</v>
      </c>
      <c r="L1225" s="183">
        <f>IF(K1225&gt;0,IF(K1225="ALPHA",PR!$E1223,IF(K1225="ASSENE",PR!$F1223,IF(K1225="BIOFEM",PR!$G1223,IF(K1225="BIOMED",PR!$H1223,IF(K1225="CHI",PR!$I1223,IF(K1225="CLARION",PR!$J1223,IF(K1225="CODIX",PR!$K1223,IF(K1225="COSMADE",PR!$L1223,IF(K1225="SANCON",PR!$M1223,IF(K1225="DEVON",PR!$N1223,IF(K1225="DORTEMAG",PR!$O1223,IF(K1225="DGF",PR!$P1223,IF(K1225="DYNAMIC",PR!$Q1223,IF(K1225="EMZOR",PR!$R1223,IF(K1225="EUMATT",PR!$S1223,IF(K1225="FIDSON",PR!$T1223,IF(K1225="FCGLOBAL",PR!$U1223,IF(K1225="GENEITH",PR!$V1223,IF(K1225="GINOS",PR!$W1223,IF(K1225="GSK",PR!$X1223,IF(K1225="GLOBORG",PR!$Y1223,IF(K1225="GOODNEWS",PR!$Z1223,IF(K1225="GREENLIFE",PR!$AA1223,IF(K1225="HLINE",PR!$AB1223,IF(K1225="ROTECH",PR!$AC1223,IF(K1225="ISN",PR!$AD1223,IF(K1225="JAWA",PR!$AE1223,IF(K1225="LAYO",PR!$AF1223,IF(K1225="LEADWAY",PR!$AG1223,IF(K1225="LHV",PR!$AH1223,IF(K1225="MANOLA",PR!$AI1223,IF(K1225="MARCSON",PR!$AJ1223,IF(K1225="M&amp;B",PR!$AK1223,IF(K1225="MTRUST",PR!$AL1223,IF(K1225="MWORLD",PR!$AM1223,IF(K1225="MEGA",PR!$AN1223,IF(K1225="MICRONOVA",PR!$AO1223,IF(K1225="MFLASH",PR!$AP1223,IF(K1225="MORISON",PR!$AQ1223,IF(K1225="NEMEL",PR!$AR1223,IF(K1225="NHP",PR!$AS1223,IF(K1225="NHC",PR!$AT1223,IF(K1225="OLEAF",PR!$AU1223,IF(K1225="OCULUS",PR!$AV1223,IF(K1225="PACIFIC",PR!$AW1223,IF(K1225="PHAMATEX",PR!$AX1223,IF(K1225="PETHICS",PR!$AY1223,IF(K1225="PHILIPS",PR!$AZ1223,IF(K1225="RANBAXY",PR!$BA1223,IF(K1225="REALS",PR!$BB1223,IF(K1225="ROYAL",PR!$BC1223,IF(K1225="SAM",PR!$BD1223,IF(K1225="SEAGREEN",PR!$BE1223,IF(K1225="SKG",PR!$BF1223,IF(K1225="TAH",PR!$BG1223,IF(K1225="TAYLEK",PR!$BH1223,IF(K1225="TEMITA",PR!$BI1223,IF(K1225="THL",PR!$BJ1223,IF(K1225="UBASTIC",PR!$BK1223,IF(K1225="UNION",PR!$BL1223,IF(K1225="UNIQUE",PR!$BM1223,IF(K1225="VIXA",PR!$BN1223,IF(K1225="WWCV",PR!$BO1223,IF(K1225="ZOLON",PR!$BP1223,"-")))))))))))))))))))))))))))))))))))))))))))))))))))))))))))))))))</f>
        <v>3500</v>
      </c>
    </row>
    <row r="1226" spans="1:12" x14ac:dyDescent="0.25">
      <c r="B1226" s="432"/>
      <c r="C1226" s="432"/>
      <c r="D1226" s="432"/>
    </row>
    <row r="1227" spans="1:12" x14ac:dyDescent="0.25">
      <c r="B1227" s="432"/>
      <c r="C1227" s="432"/>
      <c r="D1227" s="432"/>
    </row>
    <row r="1228" spans="1:12" x14ac:dyDescent="0.25">
      <c r="B1228" s="432"/>
      <c r="C1228" s="432"/>
      <c r="D1228" s="432"/>
    </row>
    <row r="1229" spans="1:12" x14ac:dyDescent="0.25">
      <c r="B1229" s="432"/>
      <c r="C1229" s="432"/>
      <c r="D1229" s="432"/>
    </row>
    <row r="1230" spans="1:12" x14ac:dyDescent="0.25">
      <c r="B1230" s="432"/>
      <c r="C1230" s="432"/>
      <c r="D1230" s="432"/>
    </row>
    <row r="1231" spans="1:12" x14ac:dyDescent="0.25">
      <c r="B1231" s="432"/>
      <c r="C1231" s="432"/>
      <c r="D1231" s="432"/>
    </row>
    <row r="1232" spans="1:12" x14ac:dyDescent="0.25">
      <c r="B1232" s="432"/>
      <c r="C1232" s="432"/>
      <c r="D1232" s="432"/>
    </row>
    <row r="1233" spans="2:4" x14ac:dyDescent="0.25">
      <c r="B1233" s="432"/>
      <c r="C1233" s="432"/>
      <c r="D1233" s="432"/>
    </row>
    <row r="1234" spans="2:4" x14ac:dyDescent="0.25">
      <c r="B1234" s="432"/>
      <c r="C1234" s="432"/>
      <c r="D1234" s="432"/>
    </row>
    <row r="1235" spans="2:4" x14ac:dyDescent="0.25">
      <c r="B1235" s="432"/>
      <c r="C1235" s="432"/>
      <c r="D1235" s="432"/>
    </row>
    <row r="1236" spans="2:4" x14ac:dyDescent="0.25">
      <c r="B1236" s="432"/>
      <c r="C1236" s="432"/>
      <c r="D1236" s="432"/>
    </row>
    <row r="1237" spans="2:4" x14ac:dyDescent="0.25">
      <c r="B1237" s="432"/>
      <c r="C1237" s="432"/>
      <c r="D1237" s="432"/>
    </row>
    <row r="1238" spans="2:4" x14ac:dyDescent="0.25">
      <c r="B1238" s="432"/>
      <c r="C1238" s="432"/>
      <c r="D1238" s="432"/>
    </row>
    <row r="1239" spans="2:4" x14ac:dyDescent="0.25">
      <c r="B1239" s="432"/>
      <c r="C1239" s="432"/>
      <c r="D1239" s="432"/>
    </row>
    <row r="1240" spans="2:4" x14ac:dyDescent="0.25">
      <c r="B1240" s="432"/>
      <c r="C1240" s="432"/>
      <c r="D1240" s="432"/>
    </row>
    <row r="1241" spans="2:4" x14ac:dyDescent="0.25">
      <c r="B1241" s="432"/>
      <c r="C1241" s="432"/>
      <c r="D1241" s="432"/>
    </row>
    <row r="1242" spans="2:4" x14ac:dyDescent="0.25">
      <c r="B1242" s="432"/>
      <c r="C1242" s="432"/>
      <c r="D1242" s="432"/>
    </row>
    <row r="1243" spans="2:4" x14ac:dyDescent="0.25">
      <c r="B1243" s="432"/>
      <c r="C1243" s="432"/>
      <c r="D1243" s="432"/>
    </row>
    <row r="1244" spans="2:4" x14ac:dyDescent="0.25">
      <c r="B1244" s="432"/>
      <c r="C1244" s="432"/>
      <c r="D1244" s="432"/>
    </row>
    <row r="1245" spans="2:4" x14ac:dyDescent="0.25">
      <c r="B1245" s="432"/>
      <c r="C1245" s="432"/>
      <c r="D1245" s="432"/>
    </row>
    <row r="1246" spans="2:4" x14ac:dyDescent="0.25">
      <c r="B1246" s="432"/>
      <c r="C1246" s="432"/>
      <c r="D1246" s="432"/>
    </row>
    <row r="1247" spans="2:4" x14ac:dyDescent="0.25">
      <c r="B1247" s="432"/>
      <c r="C1247" s="432"/>
      <c r="D1247" s="432"/>
    </row>
    <row r="1248" spans="2:4" x14ac:dyDescent="0.25">
      <c r="B1248" s="432"/>
      <c r="C1248" s="432"/>
      <c r="D1248" s="432"/>
    </row>
    <row r="1249" spans="2:4" x14ac:dyDescent="0.25">
      <c r="B1249" s="432"/>
      <c r="C1249" s="432"/>
      <c r="D1249" s="432"/>
    </row>
    <row r="1250" spans="2:4" x14ac:dyDescent="0.25">
      <c r="B1250" s="432"/>
      <c r="C1250" s="432"/>
      <c r="D1250" s="432"/>
    </row>
    <row r="1251" spans="2:4" x14ac:dyDescent="0.25">
      <c r="B1251" s="432"/>
      <c r="C1251" s="432"/>
      <c r="D1251" s="432"/>
    </row>
    <row r="1252" spans="2:4" x14ac:dyDescent="0.25">
      <c r="B1252" s="432"/>
      <c r="C1252" s="432"/>
      <c r="D1252" s="432"/>
    </row>
    <row r="1253" spans="2:4" x14ac:dyDescent="0.25">
      <c r="B1253" s="432"/>
      <c r="C1253" s="432"/>
      <c r="D1253" s="432"/>
    </row>
    <row r="1254" spans="2:4" x14ac:dyDescent="0.25">
      <c r="B1254" s="432"/>
      <c r="C1254" s="432"/>
      <c r="D1254" s="432"/>
    </row>
    <row r="1255" spans="2:4" x14ac:dyDescent="0.25">
      <c r="B1255" s="432"/>
      <c r="C1255" s="432"/>
      <c r="D1255" s="432"/>
    </row>
    <row r="1256" spans="2:4" x14ac:dyDescent="0.25">
      <c r="B1256" s="432"/>
      <c r="C1256" s="432"/>
      <c r="D1256" s="432"/>
    </row>
    <row r="1257" spans="2:4" x14ac:dyDescent="0.25">
      <c r="B1257" s="432"/>
      <c r="C1257" s="432"/>
      <c r="D1257" s="432"/>
    </row>
    <row r="1258" spans="2:4" x14ac:dyDescent="0.25">
      <c r="B1258" s="432"/>
      <c r="C1258" s="432"/>
      <c r="D1258" s="432"/>
    </row>
    <row r="1259" spans="2:4" x14ac:dyDescent="0.25">
      <c r="B1259" s="432"/>
      <c r="C1259" s="432"/>
      <c r="D1259" s="432"/>
    </row>
    <row r="1260" spans="2:4" x14ac:dyDescent="0.25">
      <c r="B1260" s="432"/>
      <c r="C1260" s="432"/>
      <c r="D1260" s="432"/>
    </row>
    <row r="1261" spans="2:4" x14ac:dyDescent="0.25">
      <c r="B1261" s="432"/>
      <c r="C1261" s="432"/>
      <c r="D1261" s="432"/>
    </row>
    <row r="1262" spans="2:4" x14ac:dyDescent="0.25">
      <c r="B1262" s="432"/>
      <c r="C1262" s="432"/>
      <c r="D1262" s="432"/>
    </row>
    <row r="1263" spans="2:4" x14ac:dyDescent="0.25">
      <c r="B1263" s="432"/>
      <c r="C1263" s="432"/>
      <c r="D1263" s="432"/>
    </row>
    <row r="1264" spans="2:4" x14ac:dyDescent="0.25">
      <c r="B1264" s="432"/>
      <c r="C1264" s="432"/>
      <c r="D1264" s="432"/>
    </row>
    <row r="1265" spans="2:4" x14ac:dyDescent="0.25">
      <c r="B1265" s="432"/>
      <c r="C1265" s="432"/>
      <c r="D1265" s="432"/>
    </row>
    <row r="1266" spans="2:4" x14ac:dyDescent="0.25">
      <c r="B1266" s="432"/>
      <c r="C1266" s="432"/>
      <c r="D1266" s="432"/>
    </row>
    <row r="1267" spans="2:4" x14ac:dyDescent="0.25">
      <c r="B1267" s="432"/>
      <c r="C1267" s="432"/>
      <c r="D1267" s="432"/>
    </row>
    <row r="1268" spans="2:4" x14ac:dyDescent="0.25">
      <c r="B1268" s="432"/>
      <c r="C1268" s="432"/>
      <c r="D1268" s="432"/>
    </row>
    <row r="1269" spans="2:4" x14ac:dyDescent="0.25">
      <c r="B1269" s="432"/>
      <c r="C1269" s="432"/>
      <c r="D1269" s="432"/>
    </row>
    <row r="1270" spans="2:4" x14ac:dyDescent="0.25">
      <c r="B1270" s="432"/>
      <c r="C1270" s="432"/>
      <c r="D1270" s="432"/>
    </row>
    <row r="1271" spans="2:4" x14ac:dyDescent="0.25">
      <c r="B1271" s="432"/>
      <c r="C1271" s="432"/>
      <c r="D1271" s="432"/>
    </row>
    <row r="1272" spans="2:4" x14ac:dyDescent="0.25">
      <c r="B1272" s="432"/>
      <c r="C1272" s="432"/>
      <c r="D1272" s="432"/>
    </row>
    <row r="1273" spans="2:4" x14ac:dyDescent="0.25">
      <c r="B1273" s="432"/>
      <c r="C1273" s="432"/>
      <c r="D1273" s="432"/>
    </row>
    <row r="1274" spans="2:4" x14ac:dyDescent="0.25">
      <c r="B1274" s="432"/>
      <c r="C1274" s="432"/>
      <c r="D1274" s="432"/>
    </row>
    <row r="1275" spans="2:4" x14ac:dyDescent="0.25">
      <c r="B1275" s="432"/>
      <c r="C1275" s="432"/>
      <c r="D1275" s="432"/>
    </row>
    <row r="1276" spans="2:4" x14ac:dyDescent="0.25">
      <c r="B1276" s="432"/>
      <c r="C1276" s="432"/>
      <c r="D1276" s="432"/>
    </row>
    <row r="1277" spans="2:4" x14ac:dyDescent="0.25">
      <c r="B1277" s="432"/>
      <c r="C1277" s="432"/>
      <c r="D1277" s="432"/>
    </row>
    <row r="1278" spans="2:4" x14ac:dyDescent="0.25">
      <c r="B1278" s="432"/>
      <c r="C1278" s="432"/>
      <c r="D1278" s="432"/>
    </row>
    <row r="1279" spans="2:4" x14ac:dyDescent="0.25">
      <c r="B1279" s="432"/>
      <c r="C1279" s="432"/>
      <c r="D1279" s="432"/>
    </row>
    <row r="1280" spans="2:4" x14ac:dyDescent="0.25">
      <c r="B1280" s="432"/>
      <c r="C1280" s="432"/>
      <c r="D1280" s="432"/>
    </row>
    <row r="1281" spans="2:4" x14ac:dyDescent="0.25">
      <c r="B1281" s="432"/>
      <c r="C1281" s="432"/>
      <c r="D1281" s="432"/>
    </row>
    <row r="1282" spans="2:4" x14ac:dyDescent="0.25">
      <c r="B1282" s="432"/>
      <c r="C1282" s="432"/>
      <c r="D1282" s="432"/>
    </row>
    <row r="1283" spans="2:4" x14ac:dyDescent="0.25">
      <c r="B1283" s="432"/>
      <c r="C1283" s="432"/>
      <c r="D1283" s="432"/>
    </row>
    <row r="1284" spans="2:4" x14ac:dyDescent="0.25">
      <c r="B1284" s="432"/>
      <c r="C1284" s="432"/>
      <c r="D1284" s="432"/>
    </row>
    <row r="1285" spans="2:4" x14ac:dyDescent="0.25">
      <c r="B1285" s="432"/>
      <c r="C1285" s="432"/>
      <c r="D1285" s="432"/>
    </row>
    <row r="1286" spans="2:4" x14ac:dyDescent="0.25">
      <c r="B1286" s="432"/>
      <c r="C1286" s="432"/>
      <c r="D1286" s="432"/>
    </row>
    <row r="1287" spans="2:4" x14ac:dyDescent="0.25">
      <c r="B1287" s="432"/>
      <c r="C1287" s="432"/>
      <c r="D1287" s="432"/>
    </row>
    <row r="1288" spans="2:4" x14ac:dyDescent="0.25">
      <c r="B1288" s="432"/>
      <c r="C1288" s="432"/>
      <c r="D1288" s="432"/>
    </row>
    <row r="1289" spans="2:4" x14ac:dyDescent="0.25">
      <c r="B1289" s="432"/>
      <c r="C1289" s="432"/>
      <c r="D1289" s="432"/>
    </row>
    <row r="1290" spans="2:4" x14ac:dyDescent="0.25">
      <c r="B1290" s="432"/>
      <c r="C1290" s="432"/>
      <c r="D1290" s="432"/>
    </row>
    <row r="1291" spans="2:4" x14ac:dyDescent="0.25">
      <c r="B1291" s="432"/>
      <c r="C1291" s="432"/>
      <c r="D1291" s="432"/>
    </row>
    <row r="1292" spans="2:4" x14ac:dyDescent="0.25">
      <c r="B1292" s="432"/>
      <c r="C1292" s="432"/>
      <c r="D1292" s="432"/>
    </row>
    <row r="1293" spans="2:4" x14ac:dyDescent="0.25">
      <c r="B1293" s="432"/>
      <c r="C1293" s="432"/>
      <c r="D1293" s="432"/>
    </row>
    <row r="1294" spans="2:4" x14ac:dyDescent="0.25">
      <c r="B1294" s="432"/>
      <c r="C1294" s="432"/>
      <c r="D1294" s="432"/>
    </row>
    <row r="1295" spans="2:4" x14ac:dyDescent="0.25">
      <c r="B1295" s="432"/>
      <c r="C1295" s="432"/>
      <c r="D1295" s="432"/>
    </row>
    <row r="1296" spans="2:4" x14ac:dyDescent="0.25">
      <c r="B1296" s="432"/>
      <c r="C1296" s="432"/>
      <c r="D1296" s="432"/>
    </row>
    <row r="1297" spans="2:4" x14ac:dyDescent="0.25">
      <c r="B1297" s="432"/>
      <c r="C1297" s="432"/>
      <c r="D1297" s="432"/>
    </row>
    <row r="1298" spans="2:4" x14ac:dyDescent="0.25">
      <c r="B1298" s="432"/>
      <c r="C1298" s="432"/>
      <c r="D1298" s="432"/>
    </row>
    <row r="1299" spans="2:4" x14ac:dyDescent="0.25">
      <c r="B1299" s="432"/>
      <c r="C1299" s="432"/>
      <c r="D1299" s="432"/>
    </row>
    <row r="1300" spans="2:4" x14ac:dyDescent="0.25">
      <c r="B1300" s="432"/>
      <c r="C1300" s="432"/>
      <c r="D1300" s="432"/>
    </row>
    <row r="1301" spans="2:4" x14ac:dyDescent="0.25">
      <c r="B1301" s="432"/>
      <c r="C1301" s="432"/>
      <c r="D1301" s="432"/>
    </row>
    <row r="1302" spans="2:4" x14ac:dyDescent="0.25">
      <c r="B1302" s="432"/>
      <c r="C1302" s="432"/>
      <c r="D1302" s="432"/>
    </row>
    <row r="1303" spans="2:4" x14ac:dyDescent="0.25">
      <c r="B1303" s="432"/>
      <c r="C1303" s="432"/>
      <c r="D1303" s="432"/>
    </row>
    <row r="1304" spans="2:4" x14ac:dyDescent="0.25">
      <c r="B1304" s="432"/>
      <c r="C1304" s="432"/>
      <c r="D1304" s="432"/>
    </row>
    <row r="1305" spans="2:4" x14ac:dyDescent="0.25">
      <c r="B1305" s="432"/>
      <c r="C1305" s="432"/>
      <c r="D1305" s="432"/>
    </row>
    <row r="1306" spans="2:4" x14ac:dyDescent="0.25">
      <c r="B1306" s="432"/>
      <c r="C1306" s="432"/>
      <c r="D1306" s="432"/>
    </row>
    <row r="1307" spans="2:4" x14ac:dyDescent="0.25">
      <c r="B1307" s="432"/>
      <c r="C1307" s="432"/>
      <c r="D1307" s="432"/>
    </row>
    <row r="1308" spans="2:4" x14ac:dyDescent="0.25">
      <c r="B1308" s="432"/>
      <c r="C1308" s="432"/>
      <c r="D1308" s="432"/>
    </row>
    <row r="1309" spans="2:4" x14ac:dyDescent="0.25">
      <c r="B1309" s="432"/>
      <c r="C1309" s="432"/>
      <c r="D1309" s="432"/>
    </row>
    <row r="1310" spans="2:4" x14ac:dyDescent="0.25">
      <c r="B1310" s="432"/>
      <c r="C1310" s="432"/>
      <c r="D1310" s="432"/>
    </row>
    <row r="1311" spans="2:4" x14ac:dyDescent="0.25">
      <c r="B1311" s="432"/>
      <c r="C1311" s="432"/>
      <c r="D1311" s="432"/>
    </row>
    <row r="1312" spans="2:4" x14ac:dyDescent="0.25">
      <c r="B1312" s="432"/>
      <c r="C1312" s="432"/>
      <c r="D1312" s="432"/>
    </row>
    <row r="1313" spans="2:4" x14ac:dyDescent="0.25">
      <c r="B1313" s="432"/>
      <c r="C1313" s="432"/>
      <c r="D1313" s="432"/>
    </row>
    <row r="1314" spans="2:4" x14ac:dyDescent="0.25">
      <c r="B1314" s="432"/>
      <c r="C1314" s="432"/>
      <c r="D1314" s="432"/>
    </row>
    <row r="1315" spans="2:4" x14ac:dyDescent="0.25">
      <c r="B1315" s="432"/>
      <c r="C1315" s="432"/>
      <c r="D1315" s="432"/>
    </row>
    <row r="1316" spans="2:4" x14ac:dyDescent="0.25">
      <c r="B1316" s="432"/>
      <c r="C1316" s="432"/>
      <c r="D1316" s="432"/>
    </row>
    <row r="1317" spans="2:4" x14ac:dyDescent="0.25">
      <c r="B1317" s="432"/>
      <c r="C1317" s="432"/>
      <c r="D1317" s="432"/>
    </row>
    <row r="1318" spans="2:4" x14ac:dyDescent="0.25">
      <c r="B1318" s="432"/>
      <c r="C1318" s="432"/>
      <c r="D1318" s="432"/>
    </row>
    <row r="1319" spans="2:4" x14ac:dyDescent="0.25">
      <c r="B1319" s="432"/>
      <c r="C1319" s="432"/>
      <c r="D1319" s="432"/>
    </row>
    <row r="1320" spans="2:4" x14ac:dyDescent="0.25">
      <c r="B1320" s="432"/>
      <c r="C1320" s="432"/>
      <c r="D1320" s="432"/>
    </row>
    <row r="1321" spans="2:4" x14ac:dyDescent="0.25">
      <c r="B1321" s="432"/>
      <c r="C1321" s="432"/>
      <c r="D1321" s="432"/>
    </row>
    <row r="1322" spans="2:4" x14ac:dyDescent="0.25">
      <c r="B1322" s="432"/>
      <c r="C1322" s="432"/>
      <c r="D1322" s="432"/>
    </row>
    <row r="1323" spans="2:4" x14ac:dyDescent="0.25">
      <c r="B1323" s="432"/>
      <c r="C1323" s="432"/>
      <c r="D1323" s="432"/>
    </row>
    <row r="1324" spans="2:4" x14ac:dyDescent="0.25">
      <c r="B1324" s="432"/>
      <c r="C1324" s="432"/>
      <c r="D1324" s="432"/>
    </row>
    <row r="1325" spans="2:4" x14ac:dyDescent="0.25">
      <c r="B1325" s="432"/>
      <c r="C1325" s="432"/>
      <c r="D1325" s="432"/>
    </row>
    <row r="1326" spans="2:4" x14ac:dyDescent="0.25">
      <c r="B1326" s="432"/>
      <c r="C1326" s="432"/>
      <c r="D1326" s="432"/>
    </row>
    <row r="1327" spans="2:4" x14ac:dyDescent="0.25">
      <c r="B1327" s="432"/>
      <c r="C1327" s="432"/>
      <c r="D1327" s="432"/>
    </row>
    <row r="1328" spans="2:4" x14ac:dyDescent="0.25">
      <c r="B1328" s="432"/>
      <c r="C1328" s="432"/>
      <c r="D1328" s="432"/>
    </row>
    <row r="1329" spans="2:4" x14ac:dyDescent="0.25">
      <c r="B1329" s="432"/>
      <c r="C1329" s="432"/>
      <c r="D1329" s="432"/>
    </row>
    <row r="1330" spans="2:4" x14ac:dyDescent="0.25">
      <c r="B1330" s="432"/>
      <c r="C1330" s="432"/>
      <c r="D1330" s="432"/>
    </row>
    <row r="1331" spans="2:4" x14ac:dyDescent="0.25">
      <c r="B1331" s="432"/>
      <c r="C1331" s="432"/>
      <c r="D1331" s="432"/>
    </row>
    <row r="1332" spans="2:4" x14ac:dyDescent="0.25">
      <c r="B1332" s="432"/>
      <c r="C1332" s="432"/>
      <c r="D1332" s="432"/>
    </row>
    <row r="1333" spans="2:4" x14ac:dyDescent="0.25">
      <c r="B1333" s="432"/>
      <c r="C1333" s="432"/>
      <c r="D1333" s="432"/>
    </row>
    <row r="1334" spans="2:4" x14ac:dyDescent="0.25">
      <c r="B1334" s="432"/>
      <c r="C1334" s="432"/>
      <c r="D1334" s="432"/>
    </row>
    <row r="1335" spans="2:4" x14ac:dyDescent="0.25">
      <c r="B1335" s="432"/>
      <c r="C1335" s="432"/>
      <c r="D1335" s="432"/>
    </row>
    <row r="1336" spans="2:4" x14ac:dyDescent="0.25">
      <c r="B1336" s="432"/>
      <c r="C1336" s="432"/>
      <c r="D1336" s="432"/>
    </row>
    <row r="1337" spans="2:4" x14ac:dyDescent="0.25">
      <c r="B1337" s="432"/>
      <c r="C1337" s="432"/>
      <c r="D1337" s="432"/>
    </row>
    <row r="1338" spans="2:4" x14ac:dyDescent="0.25">
      <c r="B1338" s="432"/>
      <c r="C1338" s="432"/>
      <c r="D1338" s="432"/>
    </row>
    <row r="1339" spans="2:4" x14ac:dyDescent="0.25">
      <c r="B1339" s="432"/>
      <c r="C1339" s="432"/>
      <c r="D1339" s="432"/>
    </row>
    <row r="1340" spans="2:4" x14ac:dyDescent="0.25">
      <c r="B1340" s="432"/>
      <c r="C1340" s="432"/>
      <c r="D1340" s="432"/>
    </row>
    <row r="1341" spans="2:4" x14ac:dyDescent="0.25">
      <c r="B1341" s="432"/>
      <c r="C1341" s="432"/>
      <c r="D1341" s="432"/>
    </row>
    <row r="1342" spans="2:4" x14ac:dyDescent="0.25">
      <c r="B1342" s="432"/>
      <c r="C1342" s="432"/>
      <c r="D1342" s="432"/>
    </row>
    <row r="1343" spans="2:4" x14ac:dyDescent="0.25">
      <c r="B1343" s="432"/>
      <c r="C1343" s="432"/>
      <c r="D1343" s="432"/>
    </row>
    <row r="1344" spans="2:4" x14ac:dyDescent="0.25">
      <c r="B1344" s="432"/>
      <c r="C1344" s="432"/>
      <c r="D1344" s="432"/>
    </row>
    <row r="1345" spans="2:4" x14ac:dyDescent="0.25">
      <c r="B1345" s="432"/>
      <c r="C1345" s="432"/>
      <c r="D1345" s="432"/>
    </row>
    <row r="1346" spans="2:4" x14ac:dyDescent="0.25">
      <c r="B1346" s="432"/>
      <c r="C1346" s="432"/>
      <c r="D1346" s="432"/>
    </row>
    <row r="1347" spans="2:4" x14ac:dyDescent="0.25">
      <c r="B1347" s="432"/>
      <c r="C1347" s="432"/>
      <c r="D1347" s="432"/>
    </row>
    <row r="1348" spans="2:4" x14ac:dyDescent="0.25">
      <c r="B1348" s="432"/>
      <c r="C1348" s="432"/>
      <c r="D1348" s="432"/>
    </row>
    <row r="1349" spans="2:4" x14ac:dyDescent="0.25">
      <c r="B1349" s="432"/>
      <c r="C1349" s="432"/>
      <c r="D1349" s="432"/>
    </row>
    <row r="1350" spans="2:4" x14ac:dyDescent="0.25">
      <c r="B1350" s="432"/>
      <c r="C1350" s="432"/>
      <c r="D1350" s="432"/>
    </row>
    <row r="1351" spans="2:4" x14ac:dyDescent="0.25">
      <c r="B1351" s="432"/>
      <c r="C1351" s="432"/>
      <c r="D1351" s="432"/>
    </row>
    <row r="1352" spans="2:4" x14ac:dyDescent="0.25">
      <c r="B1352" s="432"/>
      <c r="C1352" s="432"/>
      <c r="D1352" s="432"/>
    </row>
    <row r="1353" spans="2:4" x14ac:dyDescent="0.25">
      <c r="B1353" s="432"/>
      <c r="C1353" s="432"/>
      <c r="D1353" s="432"/>
    </row>
    <row r="1354" spans="2:4" x14ac:dyDescent="0.25">
      <c r="B1354" s="432"/>
      <c r="C1354" s="432"/>
      <c r="D1354" s="432"/>
    </row>
    <row r="1355" spans="2:4" x14ac:dyDescent="0.25">
      <c r="B1355" s="432"/>
      <c r="C1355" s="432"/>
      <c r="D1355" s="432"/>
    </row>
    <row r="1356" spans="2:4" x14ac:dyDescent="0.25">
      <c r="B1356" s="432"/>
      <c r="C1356" s="432"/>
      <c r="D1356" s="432"/>
    </row>
    <row r="1357" spans="2:4" x14ac:dyDescent="0.25">
      <c r="B1357" s="432"/>
      <c r="C1357" s="432"/>
      <c r="D1357" s="432"/>
    </row>
    <row r="1358" spans="2:4" x14ac:dyDescent="0.25">
      <c r="B1358" s="432"/>
      <c r="C1358" s="432"/>
      <c r="D1358" s="432"/>
    </row>
    <row r="1359" spans="2:4" x14ac:dyDescent="0.25">
      <c r="B1359" s="432"/>
      <c r="C1359" s="432"/>
      <c r="D1359" s="432"/>
    </row>
    <row r="1360" spans="2:4" x14ac:dyDescent="0.25">
      <c r="B1360" s="432"/>
      <c r="C1360" s="432"/>
      <c r="D1360" s="432"/>
    </row>
    <row r="1361" spans="2:4" x14ac:dyDescent="0.25">
      <c r="B1361" s="432"/>
      <c r="C1361" s="432"/>
      <c r="D1361" s="432"/>
    </row>
    <row r="1362" spans="2:4" x14ac:dyDescent="0.25">
      <c r="B1362" s="432"/>
      <c r="C1362" s="432"/>
      <c r="D1362" s="432"/>
    </row>
    <row r="1363" spans="2:4" x14ac:dyDescent="0.25">
      <c r="B1363" s="432"/>
      <c r="C1363" s="432"/>
      <c r="D1363" s="432"/>
    </row>
    <row r="1364" spans="2:4" x14ac:dyDescent="0.25">
      <c r="B1364" s="432"/>
      <c r="C1364" s="432"/>
      <c r="D1364" s="432"/>
    </row>
    <row r="1365" spans="2:4" x14ac:dyDescent="0.25">
      <c r="B1365" s="432"/>
      <c r="C1365" s="432"/>
      <c r="D1365" s="432"/>
    </row>
    <row r="1366" spans="2:4" x14ac:dyDescent="0.25">
      <c r="B1366" s="432"/>
      <c r="C1366" s="432"/>
      <c r="D1366" s="432"/>
    </row>
    <row r="1367" spans="2:4" x14ac:dyDescent="0.25">
      <c r="B1367" s="432"/>
      <c r="C1367" s="432"/>
      <c r="D1367" s="432"/>
    </row>
    <row r="1368" spans="2:4" x14ac:dyDescent="0.25">
      <c r="B1368" s="432"/>
      <c r="C1368" s="432"/>
      <c r="D1368" s="432"/>
    </row>
    <row r="1369" spans="2:4" x14ac:dyDescent="0.25">
      <c r="B1369" s="432"/>
      <c r="C1369" s="432"/>
      <c r="D1369" s="432"/>
    </row>
    <row r="1370" spans="2:4" x14ac:dyDescent="0.25">
      <c r="B1370" s="432"/>
      <c r="C1370" s="432"/>
      <c r="D1370" s="432"/>
    </row>
    <row r="1371" spans="2:4" x14ac:dyDescent="0.25">
      <c r="B1371" s="432"/>
      <c r="C1371" s="432"/>
      <c r="D1371" s="432"/>
    </row>
    <row r="1372" spans="2:4" x14ac:dyDescent="0.25">
      <c r="B1372" s="432"/>
      <c r="C1372" s="432"/>
      <c r="D1372" s="432"/>
    </row>
    <row r="1373" spans="2:4" x14ac:dyDescent="0.25">
      <c r="B1373" s="432"/>
      <c r="C1373" s="432"/>
      <c r="D1373" s="432"/>
    </row>
    <row r="1374" spans="2:4" x14ac:dyDescent="0.25">
      <c r="B1374" s="432"/>
      <c r="C1374" s="432"/>
      <c r="D1374" s="432"/>
    </row>
    <row r="1375" spans="2:4" x14ac:dyDescent="0.25">
      <c r="B1375" s="432"/>
      <c r="C1375" s="432"/>
      <c r="D1375" s="432"/>
    </row>
    <row r="1376" spans="2:4" x14ac:dyDescent="0.25">
      <c r="B1376" s="432"/>
      <c r="C1376" s="432"/>
      <c r="D1376" s="432"/>
    </row>
    <row r="1377" spans="2:4" x14ac:dyDescent="0.25">
      <c r="B1377" s="432"/>
      <c r="C1377" s="432"/>
      <c r="D1377" s="432"/>
    </row>
    <row r="1378" spans="2:4" x14ac:dyDescent="0.25">
      <c r="B1378" s="432"/>
      <c r="C1378" s="432"/>
      <c r="D1378" s="432"/>
    </row>
    <row r="1379" spans="2:4" x14ac:dyDescent="0.25">
      <c r="B1379" s="432"/>
      <c r="C1379" s="432"/>
      <c r="D1379" s="432"/>
    </row>
    <row r="1380" spans="2:4" x14ac:dyDescent="0.25">
      <c r="B1380" s="432"/>
      <c r="C1380" s="432"/>
      <c r="D1380" s="432"/>
    </row>
    <row r="1381" spans="2:4" x14ac:dyDescent="0.25">
      <c r="B1381" s="432"/>
      <c r="C1381" s="432"/>
      <c r="D1381" s="432"/>
    </row>
    <row r="1382" spans="2:4" x14ac:dyDescent="0.25">
      <c r="B1382" s="432"/>
      <c r="C1382" s="432"/>
      <c r="D1382" s="432"/>
    </row>
    <row r="1383" spans="2:4" x14ac:dyDescent="0.25">
      <c r="B1383" s="432"/>
      <c r="C1383" s="432"/>
      <c r="D1383" s="432"/>
    </row>
    <row r="1384" spans="2:4" x14ac:dyDescent="0.25">
      <c r="B1384" s="432"/>
      <c r="C1384" s="432"/>
      <c r="D1384" s="432"/>
    </row>
    <row r="1385" spans="2:4" x14ac:dyDescent="0.25">
      <c r="B1385" s="432"/>
      <c r="C1385" s="432"/>
      <c r="D1385" s="432"/>
    </row>
    <row r="1386" spans="2:4" x14ac:dyDescent="0.25">
      <c r="B1386" s="432"/>
      <c r="C1386" s="432"/>
      <c r="D1386" s="432"/>
    </row>
    <row r="1387" spans="2:4" x14ac:dyDescent="0.25">
      <c r="B1387" s="432"/>
      <c r="C1387" s="432"/>
      <c r="D1387" s="432"/>
    </row>
    <row r="1388" spans="2:4" x14ac:dyDescent="0.25">
      <c r="B1388" s="432"/>
      <c r="C1388" s="432"/>
      <c r="D1388" s="432"/>
    </row>
    <row r="1389" spans="2:4" x14ac:dyDescent="0.25">
      <c r="B1389" s="432"/>
      <c r="C1389" s="432"/>
      <c r="D1389" s="432"/>
    </row>
    <row r="1390" spans="2:4" x14ac:dyDescent="0.25">
      <c r="B1390" s="432"/>
      <c r="C1390" s="432"/>
      <c r="D1390" s="432"/>
    </row>
    <row r="1391" spans="2:4" x14ac:dyDescent="0.25">
      <c r="B1391" s="432"/>
      <c r="C1391" s="432"/>
      <c r="D1391" s="432"/>
    </row>
    <row r="1392" spans="2:4" x14ac:dyDescent="0.25">
      <c r="B1392" s="432"/>
      <c r="C1392" s="432"/>
      <c r="D1392" s="432"/>
    </row>
    <row r="1393" spans="2:4" x14ac:dyDescent="0.25">
      <c r="B1393" s="432"/>
      <c r="C1393" s="432"/>
      <c r="D1393" s="432"/>
    </row>
    <row r="1394" spans="2:4" x14ac:dyDescent="0.25">
      <c r="B1394" s="432"/>
      <c r="C1394" s="432"/>
      <c r="D1394" s="432"/>
    </row>
    <row r="1395" spans="2:4" x14ac:dyDescent="0.25">
      <c r="B1395" s="432"/>
      <c r="C1395" s="432"/>
      <c r="D1395" s="432"/>
    </row>
    <row r="1396" spans="2:4" x14ac:dyDescent="0.25">
      <c r="B1396" s="432"/>
      <c r="C1396" s="432"/>
      <c r="D1396" s="432"/>
    </row>
    <row r="1397" spans="2:4" x14ac:dyDescent="0.25">
      <c r="B1397" s="432"/>
      <c r="C1397" s="432"/>
      <c r="D1397" s="432"/>
    </row>
    <row r="1398" spans="2:4" x14ac:dyDescent="0.25">
      <c r="B1398" s="432"/>
      <c r="C1398" s="432"/>
      <c r="D1398" s="432"/>
    </row>
    <row r="1399" spans="2:4" x14ac:dyDescent="0.25">
      <c r="B1399" s="432"/>
      <c r="C1399" s="432"/>
      <c r="D1399" s="432"/>
    </row>
    <row r="1400" spans="2:4" x14ac:dyDescent="0.25">
      <c r="B1400" s="432"/>
      <c r="C1400" s="432"/>
      <c r="D1400" s="432"/>
    </row>
    <row r="1401" spans="2:4" x14ac:dyDescent="0.25">
      <c r="B1401" s="432"/>
      <c r="C1401" s="432"/>
      <c r="D1401" s="432"/>
    </row>
    <row r="1402" spans="2:4" x14ac:dyDescent="0.25">
      <c r="B1402" s="432"/>
      <c r="C1402" s="432"/>
      <c r="D1402" s="432"/>
    </row>
    <row r="1403" spans="2:4" x14ac:dyDescent="0.25">
      <c r="B1403" s="432"/>
      <c r="C1403" s="432"/>
      <c r="D1403" s="432"/>
    </row>
    <row r="1404" spans="2:4" x14ac:dyDescent="0.25">
      <c r="B1404" s="432"/>
      <c r="C1404" s="432"/>
      <c r="D1404" s="432"/>
    </row>
    <row r="1405" spans="2:4" x14ac:dyDescent="0.25">
      <c r="B1405" s="432"/>
      <c r="C1405" s="432"/>
      <c r="D1405" s="432"/>
    </row>
    <row r="1406" spans="2:4" x14ac:dyDescent="0.25">
      <c r="B1406" s="432"/>
      <c r="C1406" s="432"/>
      <c r="D1406" s="432"/>
    </row>
    <row r="1407" spans="2:4" x14ac:dyDescent="0.25">
      <c r="B1407" s="432"/>
      <c r="C1407" s="432"/>
      <c r="D1407" s="432"/>
    </row>
    <row r="1408" spans="2:4" x14ac:dyDescent="0.25">
      <c r="B1408" s="432"/>
      <c r="C1408" s="432"/>
      <c r="D1408" s="432"/>
    </row>
    <row r="1409" spans="2:4" x14ac:dyDescent="0.25">
      <c r="B1409" s="432"/>
      <c r="C1409" s="432"/>
      <c r="D1409" s="432"/>
    </row>
    <row r="1410" spans="2:4" x14ac:dyDescent="0.25">
      <c r="B1410" s="432"/>
      <c r="C1410" s="432"/>
      <c r="D1410" s="432"/>
    </row>
    <row r="1411" spans="2:4" x14ac:dyDescent="0.25">
      <c r="B1411" s="432"/>
      <c r="C1411" s="432"/>
      <c r="D1411" s="432"/>
    </row>
    <row r="1412" spans="2:4" x14ac:dyDescent="0.25">
      <c r="B1412" s="432"/>
      <c r="C1412" s="432"/>
      <c r="D1412" s="432"/>
    </row>
    <row r="1413" spans="2:4" x14ac:dyDescent="0.25">
      <c r="B1413" s="432"/>
      <c r="C1413" s="432"/>
      <c r="D1413" s="432"/>
    </row>
    <row r="1414" spans="2:4" x14ac:dyDescent="0.25">
      <c r="B1414" s="432"/>
      <c r="C1414" s="432"/>
      <c r="D1414" s="432"/>
    </row>
    <row r="1415" spans="2:4" x14ac:dyDescent="0.25">
      <c r="B1415" s="432"/>
      <c r="C1415" s="432"/>
      <c r="D1415" s="432"/>
    </row>
    <row r="1416" spans="2:4" x14ac:dyDescent="0.25">
      <c r="B1416" s="432"/>
      <c r="C1416" s="432"/>
      <c r="D1416" s="432"/>
    </row>
    <row r="1417" spans="2:4" x14ac:dyDescent="0.25">
      <c r="B1417" s="432"/>
      <c r="C1417" s="432"/>
      <c r="D1417" s="432"/>
    </row>
    <row r="1418" spans="2:4" x14ac:dyDescent="0.25">
      <c r="B1418" s="432"/>
      <c r="C1418" s="432"/>
      <c r="D1418" s="432"/>
    </row>
    <row r="1419" spans="2:4" x14ac:dyDescent="0.25">
      <c r="B1419" s="432"/>
      <c r="C1419" s="432"/>
      <c r="D1419" s="432"/>
    </row>
    <row r="1420" spans="2:4" x14ac:dyDescent="0.25">
      <c r="B1420" s="432"/>
      <c r="C1420" s="432"/>
      <c r="D1420" s="432"/>
    </row>
    <row r="1421" spans="2:4" x14ac:dyDescent="0.25">
      <c r="B1421" s="432"/>
      <c r="C1421" s="432"/>
      <c r="D1421" s="432"/>
    </row>
    <row r="1422" spans="2:4" x14ac:dyDescent="0.25">
      <c r="B1422" s="432"/>
      <c r="C1422" s="432"/>
      <c r="D1422" s="432"/>
    </row>
    <row r="1423" spans="2:4" x14ac:dyDescent="0.25">
      <c r="B1423" s="432"/>
      <c r="C1423" s="432"/>
      <c r="D1423" s="432"/>
    </row>
    <row r="1424" spans="2:4" x14ac:dyDescent="0.25">
      <c r="B1424" s="432"/>
      <c r="C1424" s="432"/>
      <c r="D1424" s="432"/>
    </row>
    <row r="1425" spans="2:4" x14ac:dyDescent="0.25">
      <c r="B1425" s="432"/>
      <c r="C1425" s="432"/>
      <c r="D1425" s="432"/>
    </row>
    <row r="1426" spans="2:4" x14ac:dyDescent="0.25">
      <c r="B1426" s="432"/>
      <c r="C1426" s="432"/>
      <c r="D1426" s="432"/>
    </row>
    <row r="1427" spans="2:4" x14ac:dyDescent="0.25">
      <c r="B1427" s="432"/>
      <c r="C1427" s="432"/>
      <c r="D1427" s="432"/>
    </row>
    <row r="1428" spans="2:4" x14ac:dyDescent="0.25">
      <c r="B1428" s="432"/>
      <c r="C1428" s="432"/>
      <c r="D1428" s="432"/>
    </row>
    <row r="1429" spans="2:4" x14ac:dyDescent="0.25">
      <c r="B1429" s="432"/>
      <c r="C1429" s="432"/>
      <c r="D1429" s="432"/>
    </row>
    <row r="1430" spans="2:4" x14ac:dyDescent="0.25">
      <c r="B1430" s="432"/>
      <c r="C1430" s="432"/>
      <c r="D1430" s="432"/>
    </row>
    <row r="1431" spans="2:4" x14ac:dyDescent="0.25">
      <c r="B1431" s="432"/>
      <c r="C1431" s="432"/>
      <c r="D1431" s="432"/>
    </row>
    <row r="1432" spans="2:4" x14ac:dyDescent="0.25">
      <c r="B1432" s="432"/>
      <c r="C1432" s="432"/>
      <c r="D1432" s="432"/>
    </row>
    <row r="1433" spans="2:4" x14ac:dyDescent="0.25">
      <c r="B1433" s="432"/>
      <c r="C1433" s="432"/>
      <c r="D1433" s="432"/>
    </row>
    <row r="1434" spans="2:4" x14ac:dyDescent="0.25">
      <c r="B1434" s="432"/>
      <c r="C1434" s="432"/>
      <c r="D1434" s="432"/>
    </row>
    <row r="1435" spans="2:4" x14ac:dyDescent="0.25">
      <c r="B1435" s="432"/>
      <c r="C1435" s="432"/>
      <c r="D1435" s="432"/>
    </row>
    <row r="1436" spans="2:4" x14ac:dyDescent="0.25">
      <c r="B1436" s="432"/>
      <c r="C1436" s="432"/>
      <c r="D1436" s="432"/>
    </row>
    <row r="1437" spans="2:4" x14ac:dyDescent="0.25">
      <c r="B1437" s="432"/>
      <c r="C1437" s="432"/>
      <c r="D1437" s="432"/>
    </row>
    <row r="1438" spans="2:4" x14ac:dyDescent="0.25">
      <c r="B1438" s="432"/>
      <c r="C1438" s="432"/>
      <c r="D1438" s="432"/>
    </row>
    <row r="1439" spans="2:4" x14ac:dyDescent="0.25">
      <c r="B1439" s="432"/>
      <c r="C1439" s="432"/>
      <c r="D1439" s="432"/>
    </row>
    <row r="1440" spans="2:4" x14ac:dyDescent="0.25">
      <c r="B1440" s="432"/>
      <c r="C1440" s="432"/>
      <c r="D1440" s="432"/>
    </row>
    <row r="1441" spans="2:4" x14ac:dyDescent="0.25">
      <c r="B1441" s="432"/>
      <c r="C1441" s="432"/>
      <c r="D1441" s="432"/>
    </row>
    <row r="1442" spans="2:4" x14ac:dyDescent="0.25">
      <c r="B1442" s="432"/>
      <c r="C1442" s="432"/>
      <c r="D1442" s="432"/>
    </row>
    <row r="1443" spans="2:4" x14ac:dyDescent="0.25">
      <c r="B1443" s="432"/>
      <c r="C1443" s="432"/>
      <c r="D1443" s="432"/>
    </row>
    <row r="1444" spans="2:4" x14ac:dyDescent="0.25">
      <c r="B1444" s="432"/>
      <c r="C1444" s="432"/>
      <c r="D1444" s="432"/>
    </row>
    <row r="1445" spans="2:4" x14ac:dyDescent="0.25">
      <c r="B1445" s="432"/>
      <c r="C1445" s="432"/>
      <c r="D1445" s="432"/>
    </row>
    <row r="1446" spans="2:4" x14ac:dyDescent="0.25">
      <c r="B1446" s="432"/>
      <c r="C1446" s="432"/>
      <c r="D1446" s="432"/>
    </row>
    <row r="1447" spans="2:4" x14ac:dyDescent="0.25">
      <c r="B1447" s="432"/>
      <c r="C1447" s="432"/>
      <c r="D1447" s="432"/>
    </row>
    <row r="1448" spans="2:4" x14ac:dyDescent="0.25">
      <c r="B1448" s="432"/>
      <c r="C1448" s="432"/>
      <c r="D1448" s="432"/>
    </row>
    <row r="1449" spans="2:4" x14ac:dyDescent="0.25">
      <c r="B1449" s="432"/>
      <c r="C1449" s="432"/>
      <c r="D1449" s="432"/>
    </row>
    <row r="1450" spans="2:4" x14ac:dyDescent="0.25">
      <c r="B1450" s="432"/>
      <c r="C1450" s="432"/>
      <c r="D1450" s="432"/>
    </row>
    <row r="1451" spans="2:4" x14ac:dyDescent="0.25">
      <c r="B1451" s="432"/>
      <c r="C1451" s="432"/>
      <c r="D1451" s="432"/>
    </row>
    <row r="1452" spans="2:4" x14ac:dyDescent="0.25">
      <c r="B1452" s="432"/>
      <c r="C1452" s="432"/>
      <c r="D1452" s="432"/>
    </row>
    <row r="1453" spans="2:4" x14ac:dyDescent="0.25">
      <c r="B1453" s="432"/>
      <c r="C1453" s="432"/>
      <c r="D1453" s="432"/>
    </row>
    <row r="1454" spans="2:4" x14ac:dyDescent="0.25">
      <c r="B1454" s="432"/>
      <c r="C1454" s="432"/>
      <c r="D1454" s="432"/>
    </row>
    <row r="1455" spans="2:4" x14ac:dyDescent="0.25">
      <c r="B1455" s="432"/>
      <c r="C1455" s="432"/>
      <c r="D1455" s="432"/>
    </row>
    <row r="1456" spans="2:4" x14ac:dyDescent="0.25">
      <c r="B1456" s="432"/>
      <c r="C1456" s="432"/>
      <c r="D1456" s="432"/>
    </row>
    <row r="1457" spans="2:4" x14ac:dyDescent="0.25">
      <c r="B1457" s="432"/>
      <c r="C1457" s="432"/>
      <c r="D1457" s="432"/>
    </row>
    <row r="1458" spans="2:4" x14ac:dyDescent="0.25">
      <c r="B1458" s="432"/>
      <c r="C1458" s="432"/>
      <c r="D1458" s="432"/>
    </row>
    <row r="1459" spans="2:4" x14ac:dyDescent="0.25">
      <c r="B1459" s="432"/>
      <c r="C1459" s="432"/>
      <c r="D1459" s="432"/>
    </row>
    <row r="1460" spans="2:4" x14ac:dyDescent="0.25">
      <c r="B1460" s="432"/>
      <c r="C1460" s="432"/>
      <c r="D1460" s="432"/>
    </row>
    <row r="1461" spans="2:4" x14ac:dyDescent="0.25">
      <c r="B1461" s="432"/>
      <c r="C1461" s="432"/>
      <c r="D1461" s="432"/>
    </row>
    <row r="1462" spans="2:4" x14ac:dyDescent="0.25">
      <c r="B1462" s="432"/>
      <c r="C1462" s="432"/>
      <c r="D1462" s="432"/>
    </row>
    <row r="1463" spans="2:4" x14ac:dyDescent="0.25">
      <c r="B1463" s="432"/>
      <c r="C1463" s="432"/>
      <c r="D1463" s="432"/>
    </row>
    <row r="1464" spans="2:4" x14ac:dyDescent="0.25">
      <c r="B1464" s="432"/>
      <c r="C1464" s="432"/>
      <c r="D1464" s="432"/>
    </row>
    <row r="1465" spans="2:4" x14ac:dyDescent="0.25">
      <c r="B1465" s="432"/>
      <c r="C1465" s="432"/>
      <c r="D1465" s="432"/>
    </row>
    <row r="1466" spans="2:4" x14ac:dyDescent="0.25">
      <c r="B1466" s="432"/>
      <c r="C1466" s="432"/>
      <c r="D1466" s="432"/>
    </row>
    <row r="1467" spans="2:4" x14ac:dyDescent="0.25">
      <c r="B1467" s="432"/>
      <c r="C1467" s="432"/>
      <c r="D1467" s="432"/>
    </row>
    <row r="1468" spans="2:4" x14ac:dyDescent="0.25">
      <c r="B1468" s="432"/>
      <c r="C1468" s="432"/>
      <c r="D1468" s="432"/>
    </row>
    <row r="1469" spans="2:4" x14ac:dyDescent="0.25">
      <c r="B1469" s="432"/>
      <c r="C1469" s="432"/>
      <c r="D1469" s="432"/>
    </row>
    <row r="1470" spans="2:4" x14ac:dyDescent="0.25">
      <c r="B1470" s="432"/>
      <c r="C1470" s="432"/>
      <c r="D1470" s="432"/>
    </row>
    <row r="1471" spans="2:4" x14ac:dyDescent="0.25">
      <c r="B1471" s="432"/>
      <c r="C1471" s="432"/>
      <c r="D1471" s="432"/>
    </row>
    <row r="1472" spans="2:4" x14ac:dyDescent="0.25">
      <c r="B1472" s="432"/>
      <c r="C1472" s="432"/>
      <c r="D1472" s="432"/>
    </row>
    <row r="1473" spans="2:4" x14ac:dyDescent="0.25">
      <c r="B1473" s="432"/>
      <c r="C1473" s="432"/>
      <c r="D1473" s="432"/>
    </row>
    <row r="1474" spans="2:4" x14ac:dyDescent="0.25">
      <c r="B1474" s="432"/>
      <c r="C1474" s="432"/>
      <c r="D1474" s="432"/>
    </row>
    <row r="1475" spans="2:4" x14ac:dyDescent="0.25">
      <c r="B1475" s="432"/>
      <c r="C1475" s="432"/>
      <c r="D1475" s="432"/>
    </row>
    <row r="1476" spans="2:4" x14ac:dyDescent="0.25">
      <c r="B1476" s="432"/>
      <c r="C1476" s="432"/>
      <c r="D1476" s="432"/>
    </row>
    <row r="1477" spans="2:4" x14ac:dyDescent="0.25">
      <c r="B1477" s="432"/>
      <c r="C1477" s="432"/>
      <c r="D1477" s="432"/>
    </row>
    <row r="1478" spans="2:4" x14ac:dyDescent="0.25">
      <c r="B1478" s="432"/>
      <c r="C1478" s="432"/>
      <c r="D1478" s="432"/>
    </row>
    <row r="1479" spans="2:4" x14ac:dyDescent="0.25">
      <c r="B1479" s="432"/>
      <c r="C1479" s="432"/>
      <c r="D1479" s="432"/>
    </row>
    <row r="1480" spans="2:4" x14ac:dyDescent="0.25">
      <c r="B1480" s="432"/>
      <c r="C1480" s="432"/>
      <c r="D1480" s="432"/>
    </row>
    <row r="1481" spans="2:4" x14ac:dyDescent="0.25">
      <c r="B1481" s="432"/>
      <c r="C1481" s="432"/>
      <c r="D1481" s="432"/>
    </row>
    <row r="1482" spans="2:4" x14ac:dyDescent="0.25">
      <c r="B1482" s="432"/>
      <c r="C1482" s="432"/>
      <c r="D1482" s="432"/>
    </row>
    <row r="1483" spans="2:4" x14ac:dyDescent="0.25">
      <c r="B1483" s="432"/>
      <c r="C1483" s="432"/>
      <c r="D1483" s="432"/>
    </row>
    <row r="1484" spans="2:4" x14ac:dyDescent="0.25">
      <c r="B1484" s="432"/>
      <c r="C1484" s="432"/>
      <c r="D1484" s="432"/>
    </row>
    <row r="1485" spans="2:4" x14ac:dyDescent="0.25">
      <c r="B1485" s="432"/>
      <c r="C1485" s="432"/>
      <c r="D1485" s="432"/>
    </row>
    <row r="1486" spans="2:4" x14ac:dyDescent="0.25">
      <c r="B1486" s="432"/>
      <c r="C1486" s="432"/>
      <c r="D1486" s="432"/>
    </row>
    <row r="1487" spans="2:4" x14ac:dyDescent="0.25">
      <c r="B1487" s="432"/>
      <c r="C1487" s="432"/>
      <c r="D1487" s="432"/>
    </row>
    <row r="1488" spans="2:4" x14ac:dyDescent="0.25">
      <c r="B1488" s="432"/>
      <c r="C1488" s="432"/>
      <c r="D1488" s="432"/>
    </row>
    <row r="1489" spans="2:5" x14ac:dyDescent="0.25">
      <c r="B1489" s="432"/>
      <c r="C1489" s="432"/>
      <c r="D1489" s="432"/>
    </row>
    <row r="1490" spans="2:5" x14ac:dyDescent="0.25">
      <c r="B1490" s="432"/>
      <c r="C1490" s="432"/>
      <c r="D1490" s="432"/>
    </row>
    <row r="1491" spans="2:5" x14ac:dyDescent="0.25">
      <c r="B1491" s="432"/>
      <c r="C1491" s="432"/>
      <c r="D1491" s="432"/>
    </row>
    <row r="1492" spans="2:5" x14ac:dyDescent="0.25">
      <c r="B1492" s="432"/>
      <c r="C1492" s="432"/>
      <c r="D1492" s="432"/>
    </row>
    <row r="1493" spans="2:5" x14ac:dyDescent="0.25">
      <c r="B1493" s="432"/>
      <c r="C1493" s="432"/>
      <c r="D1493" s="432"/>
    </row>
    <row r="1494" spans="2:5" x14ac:dyDescent="0.25">
      <c r="B1494" s="432"/>
      <c r="C1494" s="432"/>
      <c r="D1494" s="432"/>
    </row>
    <row r="1495" spans="2:5" x14ac:dyDescent="0.25">
      <c r="B1495" s="432"/>
      <c r="C1495" s="432"/>
      <c r="D1495" s="432"/>
    </row>
    <row r="1496" spans="2:5" x14ac:dyDescent="0.25">
      <c r="B1496" s="432"/>
      <c r="C1496" s="432"/>
      <c r="D1496" s="432"/>
    </row>
    <row r="1497" spans="2:5" x14ac:dyDescent="0.25">
      <c r="B1497" s="432"/>
      <c r="C1497" s="432"/>
      <c r="D1497" s="432"/>
    </row>
    <row r="1498" spans="2:5" x14ac:dyDescent="0.25">
      <c r="B1498" s="432"/>
      <c r="C1498" s="432"/>
      <c r="D1498" s="432"/>
    </row>
    <row r="1499" spans="2:5" x14ac:dyDescent="0.25">
      <c r="B1499" s="432"/>
      <c r="C1499" s="432"/>
      <c r="D1499" s="432"/>
      <c r="E1499" s="432"/>
    </row>
    <row r="1500" spans="2:5" x14ac:dyDescent="0.25">
      <c r="B1500" s="432"/>
      <c r="C1500" s="432"/>
      <c r="D1500" s="432"/>
      <c r="E1500" s="432"/>
    </row>
    <row r="1501" spans="2:5" x14ac:dyDescent="0.25">
      <c r="B1501" s="432"/>
      <c r="C1501" s="432"/>
      <c r="D1501" s="432"/>
      <c r="E1501" s="432"/>
    </row>
    <row r="1502" spans="2:5" x14ac:dyDescent="0.25">
      <c r="B1502" s="432"/>
      <c r="C1502" s="432"/>
      <c r="D1502" s="432"/>
      <c r="E1502" s="432"/>
    </row>
    <row r="1503" spans="2:5" x14ac:dyDescent="0.25">
      <c r="B1503" s="432"/>
      <c r="C1503" s="432"/>
      <c r="D1503" s="432"/>
      <c r="E1503" s="432"/>
    </row>
    <row r="1504" spans="2:5" x14ac:dyDescent="0.25">
      <c r="B1504" s="432"/>
      <c r="C1504" s="432"/>
      <c r="D1504" s="432"/>
      <c r="E1504" s="432"/>
    </row>
    <row r="1505" spans="2:5" x14ac:dyDescent="0.25">
      <c r="B1505" s="432"/>
      <c r="C1505" s="432"/>
      <c r="D1505" s="432"/>
      <c r="E1505" s="432"/>
    </row>
    <row r="1506" spans="2:5" x14ac:dyDescent="0.25">
      <c r="B1506" s="432"/>
      <c r="C1506" s="432"/>
      <c r="D1506" s="432"/>
      <c r="E1506" s="432"/>
    </row>
    <row r="1507" spans="2:5" x14ac:dyDescent="0.25">
      <c r="B1507" s="432"/>
      <c r="C1507" s="432"/>
      <c r="D1507" s="432"/>
      <c r="E1507" s="432"/>
    </row>
    <row r="1508" spans="2:5" x14ac:dyDescent="0.25">
      <c r="B1508" s="432"/>
      <c r="C1508" s="432"/>
      <c r="D1508" s="432"/>
      <c r="E1508" s="432"/>
    </row>
    <row r="1509" spans="2:5" x14ac:dyDescent="0.25">
      <c r="B1509" s="432"/>
      <c r="C1509" s="432"/>
      <c r="D1509" s="432"/>
      <c r="E1509" s="432"/>
    </row>
    <row r="1510" spans="2:5" x14ac:dyDescent="0.25">
      <c r="B1510" s="432"/>
      <c r="C1510" s="432"/>
      <c r="D1510" s="432"/>
      <c r="E1510" s="432"/>
    </row>
    <row r="1511" spans="2:5" x14ac:dyDescent="0.25">
      <c r="B1511" s="432"/>
      <c r="C1511" s="432"/>
      <c r="D1511" s="432"/>
      <c r="E1511" s="432"/>
    </row>
    <row r="1512" spans="2:5" x14ac:dyDescent="0.25">
      <c r="B1512" s="432"/>
      <c r="C1512" s="432"/>
      <c r="D1512" s="432"/>
      <c r="E1512" s="432"/>
    </row>
    <row r="1513" spans="2:5" x14ac:dyDescent="0.25">
      <c r="B1513" s="432"/>
      <c r="C1513" s="432"/>
      <c r="D1513" s="432"/>
      <c r="E1513" s="432"/>
    </row>
    <row r="1514" spans="2:5" x14ac:dyDescent="0.25">
      <c r="B1514" s="432"/>
      <c r="C1514" s="432"/>
      <c r="D1514" s="432"/>
      <c r="E1514" s="432"/>
    </row>
    <row r="1515" spans="2:5" x14ac:dyDescent="0.25">
      <c r="B1515" s="432"/>
      <c r="C1515" s="432"/>
      <c r="D1515" s="432"/>
      <c r="E1515" s="432"/>
    </row>
    <row r="1516" spans="2:5" x14ac:dyDescent="0.25">
      <c r="B1516" s="432"/>
      <c r="C1516" s="432"/>
      <c r="D1516" s="432"/>
      <c r="E1516" s="432"/>
    </row>
    <row r="1517" spans="2:5" x14ac:dyDescent="0.25">
      <c r="B1517" s="432"/>
      <c r="C1517" s="432"/>
      <c r="D1517" s="432"/>
      <c r="E1517" s="432"/>
    </row>
    <row r="1518" spans="2:5" x14ac:dyDescent="0.25">
      <c r="B1518" s="432"/>
      <c r="C1518" s="432"/>
      <c r="D1518" s="432"/>
      <c r="E1518" s="432"/>
    </row>
    <row r="1519" spans="2:5" x14ac:dyDescent="0.25">
      <c r="B1519" s="432"/>
      <c r="C1519" s="432"/>
      <c r="D1519" s="432"/>
      <c r="E1519" s="432"/>
    </row>
    <row r="1520" spans="2:5" x14ac:dyDescent="0.25">
      <c r="B1520" s="432"/>
      <c r="C1520" s="432"/>
      <c r="D1520" s="432"/>
      <c r="E1520" s="432"/>
    </row>
    <row r="1521" spans="2:5" x14ac:dyDescent="0.25">
      <c r="B1521" s="432"/>
      <c r="C1521" s="432"/>
      <c r="D1521" s="432"/>
      <c r="E1521" s="432"/>
    </row>
    <row r="1522" spans="2:5" x14ac:dyDescent="0.25">
      <c r="B1522" s="432"/>
      <c r="C1522" s="432"/>
      <c r="D1522" s="432"/>
      <c r="E1522" s="432"/>
    </row>
    <row r="1523" spans="2:5" x14ac:dyDescent="0.25">
      <c r="B1523" s="432"/>
      <c r="C1523" s="432"/>
      <c r="D1523" s="432"/>
      <c r="E1523" s="432"/>
    </row>
  </sheetData>
  <sheetProtection algorithmName="SHA-512" hashValue="+vS+tyYULUGgJ4dL0aY2cWCq6WdmMKJybLRn+kRshsuHJGpfOULBHmu/2JMpUXQ5gDq/0/8HvnmL18bUe+K2TQ==" saltValue="I+ZqJtjRQZqZJ73AnEimmQ==" spinCount="100000" sheet="1" objects="1" scenarios="1"/>
  <protectedRanges>
    <protectedRange sqref="K12:K1225" name="Range1"/>
  </protectedRanges>
  <mergeCells count="4">
    <mergeCell ref="E10:F10"/>
    <mergeCell ref="G10:H10"/>
    <mergeCell ref="I10:J10"/>
    <mergeCell ref="A9:L9"/>
  </mergeCells>
  <phoneticPr fontId="43" type="noConversion"/>
  <pageMargins left="0.17" right="0.17" top="0.33" bottom="0.34" header="0.3" footer="0.3"/>
  <pageSetup paperSize="9" scale="5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217"/>
  <sheetViews>
    <sheetView topLeftCell="A205" zoomScale="85" zoomScaleNormal="85" workbookViewId="0">
      <selection activeCell="B18" sqref="B18"/>
    </sheetView>
  </sheetViews>
  <sheetFormatPr defaultRowHeight="15" x14ac:dyDescent="0.25"/>
  <cols>
    <col min="1" max="1" width="9.28515625" style="432" bestFit="1" customWidth="1"/>
    <col min="2" max="2" width="74.7109375" style="6" bestFit="1" customWidth="1"/>
    <col min="3" max="3" width="12.85546875" style="109" customWidth="1"/>
    <col min="4" max="4" width="9.5703125" style="6" bestFit="1" customWidth="1"/>
  </cols>
  <sheetData>
    <row r="1" spans="1:4" ht="15.75" customHeight="1" thickBot="1" x14ac:dyDescent="0.4">
      <c r="A1" s="815" t="s">
        <v>834</v>
      </c>
      <c r="B1" s="815"/>
      <c r="C1" s="815"/>
      <c r="D1" s="815"/>
    </row>
    <row r="2" spans="1:4" ht="28.5" x14ac:dyDescent="0.25">
      <c r="A2" s="437"/>
      <c r="B2" s="7"/>
      <c r="C2" s="110" t="s">
        <v>415</v>
      </c>
      <c r="D2" s="111" t="s">
        <v>416</v>
      </c>
    </row>
    <row r="3" spans="1:4" ht="19.5" x14ac:dyDescent="0.25">
      <c r="A3" s="434"/>
      <c r="B3" s="31"/>
      <c r="C3" s="112"/>
      <c r="D3" s="30"/>
    </row>
    <row r="4" spans="1:4" s="42" customFormat="1" ht="18.75" x14ac:dyDescent="0.3">
      <c r="A4" s="435" t="str">
        <f>IF(BID!$L12=FALSE,BID!A12,"-")</f>
        <v>LOT 1</v>
      </c>
      <c r="B4" s="81" t="str">
        <f>IF(BID!$L12=FALSE,BID!B12,"-")</f>
        <v>ANTIMALARIALS</v>
      </c>
      <c r="C4" s="113">
        <f>IF(BID!$L12=FALSE,BID!C12,"-")</f>
        <v>0</v>
      </c>
      <c r="D4" s="81">
        <f>IF(BID!$L12=FALSE,BID!D12,"-")</f>
        <v>0</v>
      </c>
    </row>
    <row r="5" spans="1:4" x14ac:dyDescent="0.25">
      <c r="A5" s="438" t="str">
        <f>IF(BID!$L13=FALSE,BID!A13,"-")</f>
        <v>-</v>
      </c>
      <c r="B5" s="114" t="str">
        <f>IF(BID!$L13=FALSE,BID!B13,"-")</f>
        <v>-</v>
      </c>
      <c r="C5" s="30" t="str">
        <f>IF(BID!$L13=FALSE,BID!C13,"-")</f>
        <v>-</v>
      </c>
      <c r="D5" s="114" t="str">
        <f>IF(BID!$L13=FALSE,BID!D13,"-")</f>
        <v>-</v>
      </c>
    </row>
    <row r="6" spans="1:4" x14ac:dyDescent="0.25">
      <c r="A6" s="438" t="str">
        <f>IF(BID!$L14=FALSE,BID!A14,"-")</f>
        <v>-</v>
      </c>
      <c r="B6" s="114" t="str">
        <f>IF(BID!$L14=FALSE,BID!B14,"-")</f>
        <v>-</v>
      </c>
      <c r="C6" s="30" t="str">
        <f>IF(BID!$L14=FALSE,BID!C14,"-")</f>
        <v>-</v>
      </c>
      <c r="D6" s="114" t="str">
        <f>IF(BID!$L14=FALSE,BID!D14,"-")</f>
        <v>-</v>
      </c>
    </row>
    <row r="7" spans="1:4" x14ac:dyDescent="0.25">
      <c r="A7" s="438" t="str">
        <f>IF(BID!$L15=FALSE,BID!A15,"-")</f>
        <v>-</v>
      </c>
      <c r="B7" s="114" t="str">
        <f>IF(BID!$L15=FALSE,BID!B15,"-")</f>
        <v>-</v>
      </c>
      <c r="C7" s="30" t="str">
        <f>IF(BID!$L15=FALSE,BID!C15,"-")</f>
        <v>-</v>
      </c>
      <c r="D7" s="114" t="str">
        <f>IF(BID!$L15=FALSE,BID!D15,"-")</f>
        <v>-</v>
      </c>
    </row>
    <row r="8" spans="1:4" x14ac:dyDescent="0.25">
      <c r="A8" s="438">
        <f>IF(BID!$L16=FALSE,BID!A16,"-")</f>
        <v>4</v>
      </c>
      <c r="B8" s="114" t="str">
        <f>IF(BID!$L16=FALSE,BID!B16,"-")</f>
        <v>ARTEMETHER/LUMEFANTRINE (20/120) SOFT GEL</v>
      </c>
      <c r="C8" s="30">
        <f>IF(BID!$L16=FALSE,BID!C16,"-")</f>
        <v>24</v>
      </c>
      <c r="D8" s="114">
        <f>IF(BID!$L16=FALSE,BID!D16,"-")</f>
        <v>500</v>
      </c>
    </row>
    <row r="9" spans="1:4" x14ac:dyDescent="0.25">
      <c r="A9" s="438" t="str">
        <f>IF(BID!$L17=FALSE,BID!A17,"-")</f>
        <v>-</v>
      </c>
      <c r="B9" s="114" t="str">
        <f>IF(BID!$L17=FALSE,BID!B17,"-")</f>
        <v>-</v>
      </c>
      <c r="C9" s="30" t="str">
        <f>IF(BID!$L17=FALSE,BID!C17,"-")</f>
        <v>-</v>
      </c>
      <c r="D9" s="114" t="str">
        <f>IF(BID!$L17=FALSE,BID!D17,"-")</f>
        <v>-</v>
      </c>
    </row>
    <row r="10" spans="1:4" x14ac:dyDescent="0.25">
      <c r="A10" s="438" t="str">
        <f>IF(BID!$L18=FALSE,BID!A18,"-")</f>
        <v>-</v>
      </c>
      <c r="B10" s="114" t="str">
        <f>IF(BID!$L18=FALSE,BID!B18,"-")</f>
        <v>-</v>
      </c>
      <c r="C10" s="30" t="str">
        <f>IF(BID!$L18=FALSE,BID!C18,"-")</f>
        <v>-</v>
      </c>
      <c r="D10" s="114" t="str">
        <f>IF(BID!$L18=FALSE,BID!D18,"-")</f>
        <v>-</v>
      </c>
    </row>
    <row r="11" spans="1:4" x14ac:dyDescent="0.25">
      <c r="A11" s="438" t="str">
        <f>IF(BID!$L19=FALSE,BID!A19,"-")</f>
        <v>-</v>
      </c>
      <c r="B11" s="114" t="str">
        <f>IF(BID!$L19=FALSE,BID!B19,"-")</f>
        <v>-</v>
      </c>
      <c r="C11" s="30" t="str">
        <f>IF(BID!$L19=FALSE,BID!C19,"-")</f>
        <v>-</v>
      </c>
      <c r="D11" s="114" t="str">
        <f>IF(BID!$L19=FALSE,BID!D19,"-")</f>
        <v>-</v>
      </c>
    </row>
    <row r="12" spans="1:4" x14ac:dyDescent="0.25">
      <c r="A12" s="438" t="str">
        <f>IF(BID!$L20=FALSE,BID!A20,"-")</f>
        <v>-</v>
      </c>
      <c r="B12" s="114" t="str">
        <f>IF(BID!$L20=FALSE,BID!B20,"-")</f>
        <v>-</v>
      </c>
      <c r="C12" s="30" t="str">
        <f>IF(BID!$L20=FALSE,BID!C20,"-")</f>
        <v>-</v>
      </c>
      <c r="D12" s="114" t="str">
        <f>IF(BID!$L20=FALSE,BID!D20,"-")</f>
        <v>-</v>
      </c>
    </row>
    <row r="13" spans="1:4" x14ac:dyDescent="0.25">
      <c r="A13" s="438" t="str">
        <f>IF(BID!$L21=FALSE,BID!A21,"-")</f>
        <v>-</v>
      </c>
      <c r="B13" s="114" t="str">
        <f>IF(BID!$L21=FALSE,BID!B21,"-")</f>
        <v>-</v>
      </c>
      <c r="C13" s="30" t="str">
        <f>IF(BID!$L21=FALSE,BID!C21,"-")</f>
        <v>-</v>
      </c>
      <c r="D13" s="114" t="str">
        <f>IF(BID!$L21=FALSE,BID!D21,"-")</f>
        <v>-</v>
      </c>
    </row>
    <row r="14" spans="1:4" x14ac:dyDescent="0.25">
      <c r="A14" s="438" t="str">
        <f>IF(BID!$L22=FALSE,BID!A22,"-")</f>
        <v>-</v>
      </c>
      <c r="B14" s="114" t="str">
        <f>IF(BID!$L22=FALSE,BID!B22,"-")</f>
        <v>-</v>
      </c>
      <c r="C14" s="30" t="str">
        <f>IF(BID!$L22=FALSE,BID!C22,"-")</f>
        <v>-</v>
      </c>
      <c r="D14" s="114" t="str">
        <f>IF(BID!$L22=FALSE,BID!D22,"-")</f>
        <v>-</v>
      </c>
    </row>
    <row r="15" spans="1:4" x14ac:dyDescent="0.25">
      <c r="A15" s="438" t="str">
        <f>IF(BID!$L23=FALSE,BID!A23,"-")</f>
        <v>-</v>
      </c>
      <c r="B15" s="114" t="str">
        <f>IF(BID!$L23=FALSE,BID!B23,"-")</f>
        <v>-</v>
      </c>
      <c r="C15" s="30" t="str">
        <f>IF(BID!$L23=FALSE,BID!C23,"-")</f>
        <v>-</v>
      </c>
      <c r="D15" s="114" t="str">
        <f>IF(BID!$L23=FALSE,BID!D23,"-")</f>
        <v>-</v>
      </c>
    </row>
    <row r="16" spans="1:4" x14ac:dyDescent="0.25">
      <c r="A16" s="438" t="str">
        <f>IF(BID!$L24=FALSE,BID!A24,"-")</f>
        <v>-</v>
      </c>
      <c r="B16" s="114" t="str">
        <f>IF(BID!$L24=FALSE,BID!B24,"-")</f>
        <v>-</v>
      </c>
      <c r="C16" s="30" t="str">
        <f>IF(BID!$L24=FALSE,BID!C24,"-")</f>
        <v>-</v>
      </c>
      <c r="D16" s="114" t="str">
        <f>IF(BID!$L24=FALSE,BID!D24,"-")</f>
        <v>-</v>
      </c>
    </row>
    <row r="17" spans="1:4" x14ac:dyDescent="0.25">
      <c r="A17" s="438">
        <f>IF(BID!$L25=FALSE,BID!A25,"-")</f>
        <v>13</v>
      </c>
      <c r="B17" s="114" t="str">
        <f>IF(BID!$L25=FALSE,BID!B25,"-")</f>
        <v>DIHYDROARTEMISININ/PIPERAQUINE/TRIMETHOPRIM TAB</v>
      </c>
      <c r="C17" s="30">
        <f>IF(BID!$L25=FALSE,BID!C25,"-")</f>
        <v>4</v>
      </c>
      <c r="D17" s="114">
        <f>IF(BID!$L25=FALSE,BID!D25,"-")</f>
        <v>2000</v>
      </c>
    </row>
    <row r="18" spans="1:4" x14ac:dyDescent="0.25">
      <c r="A18" s="438" t="str">
        <f>IF(BID!$L26=FALSE,BID!A26,"-")</f>
        <v>-</v>
      </c>
      <c r="B18" s="114" t="str">
        <f>IF(BID!$L26=FALSE,BID!B26,"-")</f>
        <v>-</v>
      </c>
      <c r="C18" s="30" t="str">
        <f>IF(BID!$L26=FALSE,BID!C26,"-")</f>
        <v>-</v>
      </c>
      <c r="D18" s="114" t="str">
        <f>IF(BID!$L26=FALSE,BID!D26,"-")</f>
        <v>-</v>
      </c>
    </row>
    <row r="19" spans="1:4" x14ac:dyDescent="0.25">
      <c r="A19" s="438" t="str">
        <f>IF(BID!$L27=FALSE,BID!A27,"-")</f>
        <v>-</v>
      </c>
      <c r="B19" s="114" t="str">
        <f>IF(BID!$L27=FALSE,BID!B27,"-")</f>
        <v>-</v>
      </c>
      <c r="C19" s="30" t="str">
        <f>IF(BID!$L27=FALSE,BID!C27,"-")</f>
        <v>-</v>
      </c>
      <c r="D19" s="114" t="str">
        <f>IF(BID!$L27=FALSE,BID!D27,"-")</f>
        <v>-</v>
      </c>
    </row>
    <row r="20" spans="1:4" x14ac:dyDescent="0.25">
      <c r="A20" s="438" t="str">
        <f>IF(BID!$L28=FALSE,BID!A28,"-")</f>
        <v>-</v>
      </c>
      <c r="B20" s="114" t="str">
        <f>IF(BID!$L28=FALSE,BID!B28,"-")</f>
        <v>-</v>
      </c>
      <c r="C20" s="30" t="str">
        <f>IF(BID!$L28=FALSE,BID!C28,"-")</f>
        <v>-</v>
      </c>
      <c r="D20" s="114" t="str">
        <f>IF(BID!$L28=FALSE,BID!D28,"-")</f>
        <v>-</v>
      </c>
    </row>
    <row r="21" spans="1:4" x14ac:dyDescent="0.25">
      <c r="A21" s="438" t="str">
        <f>IF(BID!$L29=FALSE,BID!A29,"-")</f>
        <v>-</v>
      </c>
      <c r="B21" s="114" t="str">
        <f>IF(BID!$L29=FALSE,BID!B29,"-")</f>
        <v>-</v>
      </c>
      <c r="C21" s="30" t="str">
        <f>IF(BID!$L29=FALSE,BID!C29,"-")</f>
        <v>-</v>
      </c>
      <c r="D21" s="114" t="str">
        <f>IF(BID!$L29=FALSE,BID!D29,"-")</f>
        <v>-</v>
      </c>
    </row>
    <row r="22" spans="1:4" x14ac:dyDescent="0.25">
      <c r="A22" s="438" t="str">
        <f>IF(BID!$L30=FALSE,BID!A30,"-")</f>
        <v>-</v>
      </c>
      <c r="B22" s="114" t="str">
        <f>IF(BID!$L30=FALSE,BID!B30,"-")</f>
        <v>-</v>
      </c>
      <c r="C22" s="30" t="str">
        <f>IF(BID!$L30=FALSE,BID!C30,"-")</f>
        <v>-</v>
      </c>
      <c r="D22" s="114" t="str">
        <f>IF(BID!$L30=FALSE,BID!D30,"-")</f>
        <v>-</v>
      </c>
    </row>
    <row r="23" spans="1:4" x14ac:dyDescent="0.25">
      <c r="A23" s="438">
        <f>IF(BID!$L31=FALSE,BID!A31,"-")</f>
        <v>0</v>
      </c>
      <c r="B23" s="114">
        <f>IF(BID!$L31=FALSE,BID!B31,"-")</f>
        <v>0</v>
      </c>
      <c r="C23" s="30">
        <f>IF(BID!$L31=FALSE,BID!C31,"-")</f>
        <v>0</v>
      </c>
      <c r="D23" s="114">
        <f>IF(BID!$L31=FALSE,BID!D31,"-")</f>
        <v>0</v>
      </c>
    </row>
    <row r="24" spans="1:4" s="42" customFormat="1" ht="18.75" x14ac:dyDescent="0.3">
      <c r="A24" s="438">
        <f>IF(BID!$L32=FALSE,BID!A32,"-")</f>
        <v>0</v>
      </c>
      <c r="B24" s="114">
        <f>IF(BID!$L32=FALSE,BID!B32,"-")</f>
        <v>0</v>
      </c>
      <c r="C24" s="30">
        <f>IF(BID!$L32=FALSE,BID!C32,"-")</f>
        <v>0</v>
      </c>
      <c r="D24" s="114">
        <f>IF(BID!$L32=FALSE,BID!D32,"-")</f>
        <v>0</v>
      </c>
    </row>
    <row r="25" spans="1:4" x14ac:dyDescent="0.25">
      <c r="A25" s="438" t="str">
        <f>IF(BID!$L33=FALSE,BID!A33,"-")</f>
        <v>LOT 2</v>
      </c>
      <c r="B25" s="114" t="str">
        <f>IF(BID!$L33=FALSE,BID!B33,"-")</f>
        <v>STERILE SOLUTION/INTRAVENOUS FLUIDS</v>
      </c>
      <c r="C25" s="30">
        <f>IF(BID!$L33=FALSE,BID!C33,"-")</f>
        <v>0</v>
      </c>
      <c r="D25" s="114">
        <f>IF(BID!$L33=FALSE,BID!D33,"-")</f>
        <v>0</v>
      </c>
    </row>
    <row r="26" spans="1:4" x14ac:dyDescent="0.25">
      <c r="A26" s="438" t="str">
        <f>IF(BID!$L34=FALSE,BID!A34,"-")</f>
        <v>-</v>
      </c>
      <c r="B26" s="114" t="str">
        <f>IF(BID!$L34=FALSE,BID!B34,"-")</f>
        <v>-</v>
      </c>
      <c r="C26" s="30" t="str">
        <f>IF(BID!$L34=FALSE,BID!C34,"-")</f>
        <v>-</v>
      </c>
      <c r="D26" s="114" t="str">
        <f>IF(BID!$L34=FALSE,BID!D34,"-")</f>
        <v>-</v>
      </c>
    </row>
    <row r="27" spans="1:4" x14ac:dyDescent="0.25">
      <c r="A27" s="438" t="str">
        <f>IF(BID!$L35=FALSE,BID!A35,"-")</f>
        <v>-</v>
      </c>
      <c r="B27" s="114" t="str">
        <f>IF(BID!$L35=FALSE,BID!B35,"-")</f>
        <v>-</v>
      </c>
      <c r="C27" s="30" t="str">
        <f>IF(BID!$L35=FALSE,BID!C35,"-")</f>
        <v>-</v>
      </c>
      <c r="D27" s="114" t="str">
        <f>IF(BID!$L35=FALSE,BID!D35,"-")</f>
        <v>-</v>
      </c>
    </row>
    <row r="28" spans="1:4" x14ac:dyDescent="0.25">
      <c r="A28" s="438" t="str">
        <f>IF(BID!$L36=FALSE,BID!A36,"-")</f>
        <v>-</v>
      </c>
      <c r="B28" s="114" t="str">
        <f>IF(BID!$L36=FALSE,BID!B36,"-")</f>
        <v>-</v>
      </c>
      <c r="C28" s="30" t="str">
        <f>IF(BID!$L36=FALSE,BID!C36,"-")</f>
        <v>-</v>
      </c>
      <c r="D28" s="114" t="str">
        <f>IF(BID!$L36=FALSE,BID!D36,"-")</f>
        <v>-</v>
      </c>
    </row>
    <row r="29" spans="1:4" x14ac:dyDescent="0.25">
      <c r="A29" s="438" t="str">
        <f>IF(BID!$L37=FALSE,BID!A37,"-")</f>
        <v>-</v>
      </c>
      <c r="B29" s="114" t="str">
        <f>IF(BID!$L37=FALSE,BID!B37,"-")</f>
        <v>-</v>
      </c>
      <c r="C29" s="30" t="str">
        <f>IF(BID!$L37=FALSE,BID!C37,"-")</f>
        <v>-</v>
      </c>
      <c r="D29" s="114" t="str">
        <f>IF(BID!$L37=FALSE,BID!D37,"-")</f>
        <v>-</v>
      </c>
    </row>
    <row r="30" spans="1:4" x14ac:dyDescent="0.25">
      <c r="A30" s="438" t="str">
        <f>IF(BID!$L38=FALSE,BID!A38,"-")</f>
        <v>-</v>
      </c>
      <c r="B30" s="114" t="str">
        <f>IF(BID!$L38=FALSE,BID!B38,"-")</f>
        <v>-</v>
      </c>
      <c r="C30" s="30" t="str">
        <f>IF(BID!$L38=FALSE,BID!C38,"-")</f>
        <v>-</v>
      </c>
      <c r="D30" s="114" t="str">
        <f>IF(BID!$L38=FALSE,BID!D38,"-")</f>
        <v>-</v>
      </c>
    </row>
    <row r="31" spans="1:4" x14ac:dyDescent="0.25">
      <c r="A31" s="438" t="str">
        <f>IF(BID!$L39=FALSE,BID!A39,"-")</f>
        <v>-</v>
      </c>
      <c r="B31" s="114" t="str">
        <f>IF(BID!$L39=FALSE,BID!B39,"-")</f>
        <v>-</v>
      </c>
      <c r="C31" s="30" t="str">
        <f>IF(BID!$L39=FALSE,BID!C39,"-")</f>
        <v>-</v>
      </c>
      <c r="D31" s="114" t="str">
        <f>IF(BID!$L39=FALSE,BID!D39,"-")</f>
        <v>-</v>
      </c>
    </row>
    <row r="32" spans="1:4" x14ac:dyDescent="0.25">
      <c r="A32" s="438" t="str">
        <f>IF(BID!$L40=FALSE,BID!A40,"-")</f>
        <v>-</v>
      </c>
      <c r="B32" s="114" t="str">
        <f>IF(BID!$L40=FALSE,BID!B40,"-")</f>
        <v>-</v>
      </c>
      <c r="C32" s="30" t="str">
        <f>IF(BID!$L40=FALSE,BID!C40,"-")</f>
        <v>-</v>
      </c>
      <c r="D32" s="114" t="str">
        <f>IF(BID!$L40=FALSE,BID!D40,"-")</f>
        <v>-</v>
      </c>
    </row>
    <row r="33" spans="1:4" x14ac:dyDescent="0.25">
      <c r="A33" s="438" t="str">
        <f>IF(BID!$L41=FALSE,BID!A41,"-")</f>
        <v>-</v>
      </c>
      <c r="B33" s="114" t="str">
        <f>IF(BID!$L41=FALSE,BID!B41,"-")</f>
        <v>-</v>
      </c>
      <c r="C33" s="30" t="str">
        <f>IF(BID!$L41=FALSE,BID!C41,"-")</f>
        <v>-</v>
      </c>
      <c r="D33" s="114" t="str">
        <f>IF(BID!$L41=FALSE,BID!D41,"-")</f>
        <v>-</v>
      </c>
    </row>
    <row r="34" spans="1:4" x14ac:dyDescent="0.25">
      <c r="A34" s="438">
        <f>IF(BID!$L42=FALSE,BID!A42,"-")</f>
        <v>27</v>
      </c>
      <c r="B34" s="114" t="str">
        <f>IF(BID!$L42=FALSE,BID!B42,"-")</f>
        <v>8% DEXTROSE SALINE</v>
      </c>
      <c r="C34" s="30">
        <f>IF(BID!$L42=FALSE,BID!C42,"-")</f>
        <v>20</v>
      </c>
      <c r="D34" s="114">
        <f>IF(BID!$L42=FALSE,BID!D42,"-")</f>
        <v>100</v>
      </c>
    </row>
    <row r="35" spans="1:4" x14ac:dyDescent="0.25">
      <c r="A35" s="438" t="str">
        <f>IF(BID!$L43=FALSE,BID!A43,"-")</f>
        <v>-</v>
      </c>
      <c r="B35" s="114" t="str">
        <f>IF(BID!$L43=FALSE,BID!B43,"-")</f>
        <v>-</v>
      </c>
      <c r="C35" s="30" t="str">
        <f>IF(BID!$L43=FALSE,BID!C43,"-")</f>
        <v>-</v>
      </c>
      <c r="D35" s="114" t="str">
        <f>IF(BID!$L43=FALSE,BID!D43,"-")</f>
        <v>-</v>
      </c>
    </row>
    <row r="36" spans="1:4" x14ac:dyDescent="0.25">
      <c r="A36" s="438" t="str">
        <f>IF(BID!$L44=FALSE,BID!A44,"-")</f>
        <v>-</v>
      </c>
      <c r="B36" s="114" t="str">
        <f>IF(BID!$L44=FALSE,BID!B44,"-")</f>
        <v>-</v>
      </c>
      <c r="C36" s="30" t="str">
        <f>IF(BID!$L44=FALSE,BID!C44,"-")</f>
        <v>-</v>
      </c>
      <c r="D36" s="114" t="str">
        <f>IF(BID!$L44=FALSE,BID!D44,"-")</f>
        <v>-</v>
      </c>
    </row>
    <row r="37" spans="1:4" x14ac:dyDescent="0.25">
      <c r="A37" s="438" t="str">
        <f>IF(BID!$L45=FALSE,BID!A45,"-")</f>
        <v>-</v>
      </c>
      <c r="B37" s="114" t="str">
        <f>IF(BID!$L45=FALSE,BID!B45,"-")</f>
        <v>-</v>
      </c>
      <c r="C37" s="30" t="str">
        <f>IF(BID!$L45=FALSE,BID!C45,"-")</f>
        <v>-</v>
      </c>
      <c r="D37" s="114" t="str">
        <f>IF(BID!$L45=FALSE,BID!D45,"-")</f>
        <v>-</v>
      </c>
    </row>
    <row r="38" spans="1:4" x14ac:dyDescent="0.25">
      <c r="A38" s="438" t="str">
        <f>IF(BID!$L46=FALSE,BID!A46,"-")</f>
        <v>-</v>
      </c>
      <c r="B38" s="114" t="str">
        <f>IF(BID!$L46=FALSE,BID!B46,"-")</f>
        <v>-</v>
      </c>
      <c r="C38" s="30" t="str">
        <f>IF(BID!$L46=FALSE,BID!C46,"-")</f>
        <v>-</v>
      </c>
      <c r="D38" s="114" t="str">
        <f>IF(BID!$L46=FALSE,BID!D46,"-")</f>
        <v>-</v>
      </c>
    </row>
    <row r="39" spans="1:4" x14ac:dyDescent="0.25">
      <c r="A39" s="438" t="str">
        <f>IF(BID!$L47=FALSE,BID!A47,"-")</f>
        <v>-</v>
      </c>
      <c r="B39" s="114" t="str">
        <f>IF(BID!$L47=FALSE,BID!B47,"-")</f>
        <v>-</v>
      </c>
      <c r="C39" s="30" t="str">
        <f>IF(BID!$L47=FALSE,BID!C47,"-")</f>
        <v>-</v>
      </c>
      <c r="D39" s="114" t="str">
        <f>IF(BID!$L47=FALSE,BID!D47,"-")</f>
        <v>-</v>
      </c>
    </row>
    <row r="40" spans="1:4" x14ac:dyDescent="0.25">
      <c r="A40" s="438" t="str">
        <f>IF(BID!$L48=FALSE,BID!A48,"-")</f>
        <v>-</v>
      </c>
      <c r="B40" s="114" t="str">
        <f>IF(BID!$L48=FALSE,BID!B48,"-")</f>
        <v>-</v>
      </c>
      <c r="C40" s="30" t="str">
        <f>IF(BID!$L48=FALSE,BID!C48,"-")</f>
        <v>-</v>
      </c>
      <c r="D40" s="114" t="str">
        <f>IF(BID!$L48=FALSE,BID!D48,"-")</f>
        <v>-</v>
      </c>
    </row>
    <row r="41" spans="1:4" x14ac:dyDescent="0.25">
      <c r="A41" s="438">
        <f>IF(BID!$L49=FALSE,BID!A49,"-")</f>
        <v>0</v>
      </c>
      <c r="B41" s="114">
        <f>IF(BID!$L49=FALSE,BID!B49,"-")</f>
        <v>0</v>
      </c>
      <c r="C41" s="30">
        <f>IF(BID!$L49=FALSE,BID!C49,"-")</f>
        <v>0</v>
      </c>
      <c r="D41" s="114">
        <f>IF(BID!$L49=FALSE,BID!D49,"-")</f>
        <v>0</v>
      </c>
    </row>
    <row r="42" spans="1:4" s="42" customFormat="1" ht="18.75" x14ac:dyDescent="0.3">
      <c r="A42" s="438" t="str">
        <f>IF(BID!$L50=FALSE,BID!A50,"-")</f>
        <v>LOT 3</v>
      </c>
      <c r="B42" s="114" t="str">
        <f>IF(BID!$L50=FALSE,BID!B50,"-")</f>
        <v>CARDIOVASCULAR AGENTS/HYPOGLYCEMICS</v>
      </c>
      <c r="C42" s="30">
        <f>IF(BID!$L50=FALSE,BID!C50,"-")</f>
        <v>0</v>
      </c>
      <c r="D42" s="114">
        <f>IF(BID!$L50=FALSE,BID!D50,"-")</f>
        <v>0</v>
      </c>
    </row>
    <row r="43" spans="1:4" x14ac:dyDescent="0.25">
      <c r="A43" s="438">
        <f>IF(BID!$L51=FALSE,BID!A51,"-")</f>
        <v>0</v>
      </c>
      <c r="B43" s="114" t="str">
        <f>IF(BID!$L51=FALSE,BID!B51,"-")</f>
        <v>ANTIHYPERTENSIVES</v>
      </c>
      <c r="C43" s="30">
        <f>IF(BID!$L51=FALSE,BID!C51,"-")</f>
        <v>0</v>
      </c>
      <c r="D43" s="114">
        <f>IF(BID!$L51=FALSE,BID!D51,"-")</f>
        <v>0</v>
      </c>
    </row>
    <row r="44" spans="1:4" x14ac:dyDescent="0.25">
      <c r="A44" s="438" t="str">
        <f>IF(BID!$L52=FALSE,BID!A52,"-")</f>
        <v>-</v>
      </c>
      <c r="B44" s="114" t="str">
        <f>IF(BID!$L52=FALSE,BID!B52,"-")</f>
        <v>-</v>
      </c>
      <c r="C44" s="30" t="str">
        <f>IF(BID!$L52=FALSE,BID!C52,"-")</f>
        <v>-</v>
      </c>
      <c r="D44" s="114" t="str">
        <f>IF(BID!$L52=FALSE,BID!D52,"-")</f>
        <v>-</v>
      </c>
    </row>
    <row r="45" spans="1:4" x14ac:dyDescent="0.25">
      <c r="A45" s="438" t="str">
        <f>IF(BID!$L53=FALSE,BID!A53,"-")</f>
        <v>-</v>
      </c>
      <c r="B45" s="114" t="str">
        <f>IF(BID!$L53=FALSE,BID!B53,"-")</f>
        <v>-</v>
      </c>
      <c r="C45" s="30" t="str">
        <f>IF(BID!$L53=FALSE,BID!C53,"-")</f>
        <v>-</v>
      </c>
      <c r="D45" s="114" t="str">
        <f>IF(BID!$L53=FALSE,BID!D53,"-")</f>
        <v>-</v>
      </c>
    </row>
    <row r="46" spans="1:4" x14ac:dyDescent="0.25">
      <c r="A46" s="438" t="str">
        <f>IF(BID!$L54=FALSE,BID!A54,"-")</f>
        <v>-</v>
      </c>
      <c r="B46" s="114" t="str">
        <f>IF(BID!$L54=FALSE,BID!B54,"-")</f>
        <v>-</v>
      </c>
      <c r="C46" s="30" t="str">
        <f>IF(BID!$L54=FALSE,BID!C54,"-")</f>
        <v>-</v>
      </c>
      <c r="D46" s="114" t="str">
        <f>IF(BID!$L54=FALSE,BID!D54,"-")</f>
        <v>-</v>
      </c>
    </row>
    <row r="47" spans="1:4" x14ac:dyDescent="0.25">
      <c r="A47" s="438" t="str">
        <f>IF(BID!$L55=FALSE,BID!A55,"-")</f>
        <v>-</v>
      </c>
      <c r="B47" s="114" t="str">
        <f>IF(BID!$L55=FALSE,BID!B55,"-")</f>
        <v>-</v>
      </c>
      <c r="C47" s="30" t="str">
        <f>IF(BID!$L55=FALSE,BID!C55,"-")</f>
        <v>-</v>
      </c>
      <c r="D47" s="114" t="str">
        <f>IF(BID!$L55=FALSE,BID!D55,"-")</f>
        <v>-</v>
      </c>
    </row>
    <row r="48" spans="1:4" x14ac:dyDescent="0.25">
      <c r="A48" s="438" t="str">
        <f>IF(BID!$L56=FALSE,BID!A56,"-")</f>
        <v>-</v>
      </c>
      <c r="B48" s="114" t="str">
        <f>IF(BID!$L56=FALSE,BID!B56,"-")</f>
        <v>-</v>
      </c>
      <c r="C48" s="30" t="str">
        <f>IF(BID!$L56=FALSE,BID!C56,"-")</f>
        <v>-</v>
      </c>
      <c r="D48" s="114" t="str">
        <f>IF(BID!$L56=FALSE,BID!D56,"-")</f>
        <v>-</v>
      </c>
    </row>
    <row r="49" spans="1:4" x14ac:dyDescent="0.25">
      <c r="A49" s="438" t="str">
        <f>IF(BID!$L57=FALSE,BID!A57,"-")</f>
        <v>-</v>
      </c>
      <c r="B49" s="114" t="str">
        <f>IF(BID!$L57=FALSE,BID!B57,"-")</f>
        <v>-</v>
      </c>
      <c r="C49" s="30" t="str">
        <f>IF(BID!$L57=FALSE,BID!C57,"-")</f>
        <v>-</v>
      </c>
      <c r="D49" s="114" t="str">
        <f>IF(BID!$L57=FALSE,BID!D57,"-")</f>
        <v>-</v>
      </c>
    </row>
    <row r="50" spans="1:4" x14ac:dyDescent="0.25">
      <c r="A50" s="438" t="str">
        <f>IF(BID!$L58=FALSE,BID!A58,"-")</f>
        <v>-</v>
      </c>
      <c r="B50" s="114" t="str">
        <f>IF(BID!$L58=FALSE,BID!B58,"-")</f>
        <v>-</v>
      </c>
      <c r="C50" s="30" t="str">
        <f>IF(BID!$L58=FALSE,BID!C58,"-")</f>
        <v>-</v>
      </c>
      <c r="D50" s="114" t="str">
        <f>IF(BID!$L58=FALSE,BID!D58,"-")</f>
        <v>-</v>
      </c>
    </row>
    <row r="51" spans="1:4" x14ac:dyDescent="0.25">
      <c r="A51" s="438" t="str">
        <f>IF(BID!$L59=FALSE,BID!A59,"-")</f>
        <v>-</v>
      </c>
      <c r="B51" s="114" t="str">
        <f>IF(BID!$L59=FALSE,BID!B59,"-")</f>
        <v>-</v>
      </c>
      <c r="C51" s="30" t="str">
        <f>IF(BID!$L59=FALSE,BID!C59,"-")</f>
        <v>-</v>
      </c>
      <c r="D51" s="114" t="str">
        <f>IF(BID!$L59=FALSE,BID!D59,"-")</f>
        <v>-</v>
      </c>
    </row>
    <row r="52" spans="1:4" x14ac:dyDescent="0.25">
      <c r="A52" s="438">
        <f>IF(BID!$L60=FALSE,BID!A60,"-")</f>
        <v>42</v>
      </c>
      <c r="B52" s="114" t="str">
        <f>IF(BID!$L60=FALSE,BID!B60,"-")</f>
        <v>AMLODIPINE/VALSARTAN 5/320MG TAB</v>
      </c>
      <c r="C52" s="30">
        <f>IF(BID!$L60=FALSE,BID!C60,"-")</f>
        <v>28</v>
      </c>
      <c r="D52" s="114">
        <f>IF(BID!$L60=FALSE,BID!D60,"-")</f>
        <v>60</v>
      </c>
    </row>
    <row r="53" spans="1:4" x14ac:dyDescent="0.25">
      <c r="A53" s="438">
        <f>IF(BID!$L61=FALSE,BID!A61,"-")</f>
        <v>43</v>
      </c>
      <c r="B53" s="114" t="str">
        <f>IF(BID!$L61=FALSE,BID!B61,"-")</f>
        <v>AMLODIPINE/VALSARTAN 10/320MG TAB</v>
      </c>
      <c r="C53" s="30">
        <f>IF(BID!$L61=FALSE,BID!C61,"-")</f>
        <v>28</v>
      </c>
      <c r="D53" s="114">
        <f>IF(BID!$L61=FALSE,BID!D61,"-")</f>
        <v>60</v>
      </c>
    </row>
    <row r="54" spans="1:4" x14ac:dyDescent="0.25">
      <c r="A54" s="438" t="str">
        <f>IF(BID!$L62=FALSE,BID!A62,"-")</f>
        <v>-</v>
      </c>
      <c r="B54" s="114" t="str">
        <f>IF(BID!$L62=FALSE,BID!B62,"-")</f>
        <v>-</v>
      </c>
      <c r="C54" s="30" t="str">
        <f>IF(BID!$L62=FALSE,BID!C62,"-")</f>
        <v>-</v>
      </c>
      <c r="D54" s="114" t="str">
        <f>IF(BID!$L62=FALSE,BID!D62,"-")</f>
        <v>-</v>
      </c>
    </row>
    <row r="55" spans="1:4" x14ac:dyDescent="0.25">
      <c r="A55" s="438" t="str">
        <f>IF(BID!$L63=FALSE,BID!A63,"-")</f>
        <v>-</v>
      </c>
      <c r="B55" s="114" t="str">
        <f>IF(BID!$L63=FALSE,BID!B63,"-")</f>
        <v>-</v>
      </c>
      <c r="C55" s="30" t="str">
        <f>IF(BID!$L63=FALSE,BID!C63,"-")</f>
        <v>-</v>
      </c>
      <c r="D55" s="114" t="str">
        <f>IF(BID!$L63=FALSE,BID!D63,"-")</f>
        <v>-</v>
      </c>
    </row>
    <row r="56" spans="1:4" x14ac:dyDescent="0.25">
      <c r="A56" s="438" t="str">
        <f>IF(BID!$L64=FALSE,BID!A64,"-")</f>
        <v>-</v>
      </c>
      <c r="B56" s="114" t="str">
        <f>IF(BID!$L64=FALSE,BID!B64,"-")</f>
        <v>-</v>
      </c>
      <c r="C56" s="30" t="str">
        <f>IF(BID!$L64=FALSE,BID!C64,"-")</f>
        <v>-</v>
      </c>
      <c r="D56" s="114" t="str">
        <f>IF(BID!$L64=FALSE,BID!D64,"-")</f>
        <v>-</v>
      </c>
    </row>
    <row r="57" spans="1:4" x14ac:dyDescent="0.25">
      <c r="A57" s="438" t="str">
        <f>IF(BID!$L65=FALSE,BID!A65,"-")</f>
        <v>-</v>
      </c>
      <c r="B57" s="114" t="str">
        <f>IF(BID!$L65=FALSE,BID!B65,"-")</f>
        <v>-</v>
      </c>
      <c r="C57" s="30" t="str">
        <f>IF(BID!$L65=FALSE,BID!C65,"-")</f>
        <v>-</v>
      </c>
      <c r="D57" s="114" t="str">
        <f>IF(BID!$L65=FALSE,BID!D65,"-")</f>
        <v>-</v>
      </c>
    </row>
    <row r="58" spans="1:4" x14ac:dyDescent="0.25">
      <c r="A58" s="438" t="str">
        <f>IF(BID!$L66=FALSE,BID!A66,"-")</f>
        <v>-</v>
      </c>
      <c r="B58" s="114" t="str">
        <f>IF(BID!$L66=FALSE,BID!B66,"-")</f>
        <v>-</v>
      </c>
      <c r="C58" s="30" t="str">
        <f>IF(BID!$L66=FALSE,BID!C66,"-")</f>
        <v>-</v>
      </c>
      <c r="D58" s="114" t="str">
        <f>IF(BID!$L66=FALSE,BID!D66,"-")</f>
        <v>-</v>
      </c>
    </row>
    <row r="59" spans="1:4" x14ac:dyDescent="0.25">
      <c r="A59" s="438" t="str">
        <f>IF(BID!$L67=FALSE,BID!A67,"-")</f>
        <v>-</v>
      </c>
      <c r="B59" s="114" t="str">
        <f>IF(BID!$L67=FALSE,BID!B67,"-")</f>
        <v>-</v>
      </c>
      <c r="C59" s="30" t="str">
        <f>IF(BID!$L67=FALSE,BID!C67,"-")</f>
        <v>-</v>
      </c>
      <c r="D59" s="114" t="str">
        <f>IF(BID!$L67=FALSE,BID!D67,"-")</f>
        <v>-</v>
      </c>
    </row>
    <row r="60" spans="1:4" x14ac:dyDescent="0.25">
      <c r="A60" s="438" t="str">
        <f>IF(BID!$L68=FALSE,BID!A68,"-")</f>
        <v>-</v>
      </c>
      <c r="B60" s="114" t="str">
        <f>IF(BID!$L68=FALSE,BID!B68,"-")</f>
        <v>-</v>
      </c>
      <c r="C60" s="30" t="str">
        <f>IF(BID!$L68=FALSE,BID!C68,"-")</f>
        <v>-</v>
      </c>
      <c r="D60" s="114" t="str">
        <f>IF(BID!$L68=FALSE,BID!D68,"-")</f>
        <v>-</v>
      </c>
    </row>
    <row r="61" spans="1:4" x14ac:dyDescent="0.25">
      <c r="A61" s="438" t="str">
        <f>IF(BID!$L69=FALSE,BID!A69,"-")</f>
        <v>-</v>
      </c>
      <c r="B61" s="114" t="str">
        <f>IF(BID!$L69=FALSE,BID!B69,"-")</f>
        <v>-</v>
      </c>
      <c r="C61" s="30" t="str">
        <f>IF(BID!$L69=FALSE,BID!C69,"-")</f>
        <v>-</v>
      </c>
      <c r="D61" s="114" t="str">
        <f>IF(BID!$L69=FALSE,BID!D69,"-")</f>
        <v>-</v>
      </c>
    </row>
    <row r="62" spans="1:4" x14ac:dyDescent="0.25">
      <c r="A62" s="438" t="str">
        <f>IF(BID!$L70=FALSE,BID!A70,"-")</f>
        <v>-</v>
      </c>
      <c r="B62" s="114" t="str">
        <f>IF(BID!$L70=FALSE,BID!B70,"-")</f>
        <v>-</v>
      </c>
      <c r="C62" s="30" t="str">
        <f>IF(BID!$L70=FALSE,BID!C70,"-")</f>
        <v>-</v>
      </c>
      <c r="D62" s="114" t="str">
        <f>IF(BID!$L70=FALSE,BID!D70,"-")</f>
        <v>-</v>
      </c>
    </row>
    <row r="63" spans="1:4" x14ac:dyDescent="0.25">
      <c r="A63" s="438" t="str">
        <f>IF(BID!$L71=FALSE,BID!A71,"-")</f>
        <v>-</v>
      </c>
      <c r="B63" s="114" t="str">
        <f>IF(BID!$L71=FALSE,BID!B71,"-")</f>
        <v>-</v>
      </c>
      <c r="C63" s="30" t="str">
        <f>IF(BID!$L71=FALSE,BID!C71,"-")</f>
        <v>-</v>
      </c>
      <c r="D63" s="114" t="str">
        <f>IF(BID!$L71=FALSE,BID!D71,"-")</f>
        <v>-</v>
      </c>
    </row>
    <row r="64" spans="1:4" x14ac:dyDescent="0.25">
      <c r="A64" s="438" t="str">
        <f>IF(BID!$L72=FALSE,BID!A72,"-")</f>
        <v>-</v>
      </c>
      <c r="B64" s="114" t="str">
        <f>IF(BID!$L72=FALSE,BID!B72,"-")</f>
        <v>-</v>
      </c>
      <c r="C64" s="30" t="str">
        <f>IF(BID!$L72=FALSE,BID!C72,"-")</f>
        <v>-</v>
      </c>
      <c r="D64" s="114" t="str">
        <f>IF(BID!$L72=FALSE,BID!D72,"-")</f>
        <v>-</v>
      </c>
    </row>
    <row r="65" spans="1:4" x14ac:dyDescent="0.25">
      <c r="A65" s="438" t="str">
        <f>IF(BID!$L73=FALSE,BID!A73,"-")</f>
        <v>-</v>
      </c>
      <c r="B65" s="114" t="str">
        <f>IF(BID!$L73=FALSE,BID!B73,"-")</f>
        <v>-</v>
      </c>
      <c r="C65" s="30" t="str">
        <f>IF(BID!$L73=FALSE,BID!C73,"-")</f>
        <v>-</v>
      </c>
      <c r="D65" s="114" t="str">
        <f>IF(BID!$L73=FALSE,BID!D73,"-")</f>
        <v>-</v>
      </c>
    </row>
    <row r="66" spans="1:4" x14ac:dyDescent="0.25">
      <c r="A66" s="438" t="str">
        <f>IF(BID!$L74=FALSE,BID!A74,"-")</f>
        <v>-</v>
      </c>
      <c r="B66" s="114" t="str">
        <f>IF(BID!$L74=FALSE,BID!B74,"-")</f>
        <v>-</v>
      </c>
      <c r="C66" s="30" t="str">
        <f>IF(BID!$L74=FALSE,BID!C74,"-")</f>
        <v>-</v>
      </c>
      <c r="D66" s="114" t="str">
        <f>IF(BID!$L74=FALSE,BID!D74,"-")</f>
        <v>-</v>
      </c>
    </row>
    <row r="67" spans="1:4" x14ac:dyDescent="0.25">
      <c r="A67" s="438" t="str">
        <f>IF(BID!$L75=FALSE,BID!A75,"-")</f>
        <v>-</v>
      </c>
      <c r="B67" s="114" t="str">
        <f>IF(BID!$L75=FALSE,BID!B75,"-")</f>
        <v>-</v>
      </c>
      <c r="C67" s="30" t="str">
        <f>IF(BID!$L75=FALSE,BID!C75,"-")</f>
        <v>-</v>
      </c>
      <c r="D67" s="114" t="str">
        <f>IF(BID!$L75=FALSE,BID!D75,"-")</f>
        <v>-</v>
      </c>
    </row>
    <row r="68" spans="1:4" x14ac:dyDescent="0.25">
      <c r="A68" s="438" t="str">
        <f>IF(BID!$L76=FALSE,BID!A76,"-")</f>
        <v>-</v>
      </c>
      <c r="B68" s="114" t="str">
        <f>IF(BID!$L76=FALSE,BID!B76,"-")</f>
        <v>-</v>
      </c>
      <c r="C68" s="30" t="str">
        <f>IF(BID!$L76=FALSE,BID!C76,"-")</f>
        <v>-</v>
      </c>
      <c r="D68" s="114" t="str">
        <f>IF(BID!$L76=FALSE,BID!D76,"-")</f>
        <v>-</v>
      </c>
    </row>
    <row r="69" spans="1:4" x14ac:dyDescent="0.25">
      <c r="A69" s="438" t="str">
        <f>IF(BID!$L77=FALSE,BID!A77,"-")</f>
        <v>-</v>
      </c>
      <c r="B69" s="114" t="str">
        <f>IF(BID!$L77=FALSE,BID!B77,"-")</f>
        <v>-</v>
      </c>
      <c r="C69" s="30" t="str">
        <f>IF(BID!$L77=FALSE,BID!C77,"-")</f>
        <v>-</v>
      </c>
      <c r="D69" s="114" t="str">
        <f>IF(BID!$L77=FALSE,BID!D77,"-")</f>
        <v>-</v>
      </c>
    </row>
    <row r="70" spans="1:4" x14ac:dyDescent="0.25">
      <c r="A70" s="438" t="str">
        <f>IF(BID!$L78=FALSE,BID!A78,"-")</f>
        <v>-</v>
      </c>
      <c r="B70" s="114" t="str">
        <f>IF(BID!$L78=FALSE,BID!B78,"-")</f>
        <v>-</v>
      </c>
      <c r="C70" s="30" t="str">
        <f>IF(BID!$L78=FALSE,BID!C78,"-")</f>
        <v>-</v>
      </c>
      <c r="D70" s="114" t="str">
        <f>IF(BID!$L78=FALSE,BID!D78,"-")</f>
        <v>-</v>
      </c>
    </row>
    <row r="71" spans="1:4" x14ac:dyDescent="0.25">
      <c r="A71" s="438" t="str">
        <f>IF(BID!$L79=FALSE,BID!A79,"-")</f>
        <v>-</v>
      </c>
      <c r="B71" s="114" t="str">
        <f>IF(BID!$L79=FALSE,BID!B79,"-")</f>
        <v>-</v>
      </c>
      <c r="C71" s="30" t="str">
        <f>IF(BID!$L79=FALSE,BID!C79,"-")</f>
        <v>-</v>
      </c>
      <c r="D71" s="114" t="str">
        <f>IF(BID!$L79=FALSE,BID!D79,"-")</f>
        <v>-</v>
      </c>
    </row>
    <row r="72" spans="1:4" x14ac:dyDescent="0.25">
      <c r="A72" s="438" t="str">
        <f>IF(BID!$L80=FALSE,BID!A80,"-")</f>
        <v>-</v>
      </c>
      <c r="B72" s="114" t="str">
        <f>IF(BID!$L80=FALSE,BID!B80,"-")</f>
        <v>-</v>
      </c>
      <c r="C72" s="30" t="str">
        <f>IF(BID!$L80=FALSE,BID!C80,"-")</f>
        <v>-</v>
      </c>
      <c r="D72" s="114" t="str">
        <f>IF(BID!$L80=FALSE,BID!D80,"-")</f>
        <v>-</v>
      </c>
    </row>
    <row r="73" spans="1:4" x14ac:dyDescent="0.25">
      <c r="A73" s="438">
        <f>IF(BID!$L81=FALSE,BID!A81,"-")</f>
        <v>63</v>
      </c>
      <c r="B73" s="114" t="str">
        <f>IF(BID!$L81=FALSE,BID!B81,"-")</f>
        <v>GLYCERYL TRINITRATE TAB</v>
      </c>
      <c r="C73" s="30">
        <f>IF(BID!$L81=FALSE,BID!C81,"-")</f>
        <v>100</v>
      </c>
      <c r="D73" s="114">
        <f>IF(BID!$L81=FALSE,BID!D81,"-")</f>
        <v>4</v>
      </c>
    </row>
    <row r="74" spans="1:4" x14ac:dyDescent="0.25">
      <c r="A74" s="438" t="str">
        <f>IF(BID!$L82=FALSE,BID!A82,"-")</f>
        <v>-</v>
      </c>
      <c r="B74" s="114" t="str">
        <f>IF(BID!$L82=FALSE,BID!B82,"-")</f>
        <v>-</v>
      </c>
      <c r="C74" s="30" t="str">
        <f>IF(BID!$L82=FALSE,BID!C82,"-")</f>
        <v>-</v>
      </c>
      <c r="D74" s="114" t="str">
        <f>IF(BID!$L82=FALSE,BID!D82,"-")</f>
        <v>-</v>
      </c>
    </row>
    <row r="75" spans="1:4" x14ac:dyDescent="0.25">
      <c r="A75" s="438" t="str">
        <f>IF(BID!$L83=FALSE,BID!A83,"-")</f>
        <v>-</v>
      </c>
      <c r="B75" s="114" t="str">
        <f>IF(BID!$L83=FALSE,BID!B83,"-")</f>
        <v>-</v>
      </c>
      <c r="C75" s="30" t="str">
        <f>IF(BID!$L83=FALSE,BID!C83,"-")</f>
        <v>-</v>
      </c>
      <c r="D75" s="114" t="str">
        <f>IF(BID!$L83=FALSE,BID!D83,"-")</f>
        <v>-</v>
      </c>
    </row>
    <row r="76" spans="1:4" x14ac:dyDescent="0.25">
      <c r="A76" s="438" t="str">
        <f>IF(BID!$L84=FALSE,BID!A84,"-")</f>
        <v>-</v>
      </c>
      <c r="B76" s="114" t="str">
        <f>IF(BID!$L84=FALSE,BID!B84,"-")</f>
        <v>-</v>
      </c>
      <c r="C76" s="30" t="str">
        <f>IF(BID!$L84=FALSE,BID!C84,"-")</f>
        <v>-</v>
      </c>
      <c r="D76" s="114" t="str">
        <f>IF(BID!$L84=FALSE,BID!D84,"-")</f>
        <v>-</v>
      </c>
    </row>
    <row r="77" spans="1:4" x14ac:dyDescent="0.25">
      <c r="A77" s="438" t="str">
        <f>IF(BID!$L85=FALSE,BID!A85,"-")</f>
        <v>-</v>
      </c>
      <c r="B77" s="114" t="str">
        <f>IF(BID!$L85=FALSE,BID!B85,"-")</f>
        <v>-</v>
      </c>
      <c r="C77" s="30" t="str">
        <f>IF(BID!$L85=FALSE,BID!C85,"-")</f>
        <v>-</v>
      </c>
      <c r="D77" s="114" t="str">
        <f>IF(BID!$L85=FALSE,BID!D85,"-")</f>
        <v>-</v>
      </c>
    </row>
    <row r="78" spans="1:4" x14ac:dyDescent="0.25">
      <c r="A78" s="438" t="str">
        <f>IF(BID!$L86=FALSE,BID!A86,"-")</f>
        <v>-</v>
      </c>
      <c r="B78" s="114" t="str">
        <f>IF(BID!$L86=FALSE,BID!B86,"-")</f>
        <v>-</v>
      </c>
      <c r="C78" s="30" t="str">
        <f>IF(BID!$L86=FALSE,BID!C86,"-")</f>
        <v>-</v>
      </c>
      <c r="D78" s="114" t="str">
        <f>IF(BID!$L86=FALSE,BID!D86,"-")</f>
        <v>-</v>
      </c>
    </row>
    <row r="79" spans="1:4" x14ac:dyDescent="0.25">
      <c r="A79" s="438" t="str">
        <f>IF(BID!$L87=FALSE,BID!A87,"-")</f>
        <v>-</v>
      </c>
      <c r="B79" s="114" t="str">
        <f>IF(BID!$L87=FALSE,BID!B87,"-")</f>
        <v>-</v>
      </c>
      <c r="C79" s="30" t="str">
        <f>IF(BID!$L87=FALSE,BID!C87,"-")</f>
        <v>-</v>
      </c>
      <c r="D79" s="114" t="str">
        <f>IF(BID!$L87=FALSE,BID!D87,"-")</f>
        <v>-</v>
      </c>
    </row>
    <row r="80" spans="1:4" x14ac:dyDescent="0.25">
      <c r="A80" s="438" t="str">
        <f>IF(BID!$L88=FALSE,BID!A88,"-")</f>
        <v>-</v>
      </c>
      <c r="B80" s="114" t="str">
        <f>IF(BID!$L88=FALSE,BID!B88,"-")</f>
        <v>-</v>
      </c>
      <c r="C80" s="30" t="str">
        <f>IF(BID!$L88=FALSE,BID!C88,"-")</f>
        <v>-</v>
      </c>
      <c r="D80" s="114" t="str">
        <f>IF(BID!$L88=FALSE,BID!D88,"-")</f>
        <v>-</v>
      </c>
    </row>
    <row r="81" spans="1:4" x14ac:dyDescent="0.25">
      <c r="A81" s="438" t="str">
        <f>IF(BID!$L89=FALSE,BID!A89,"-")</f>
        <v>-</v>
      </c>
      <c r="B81" s="114" t="str">
        <f>IF(BID!$L89=FALSE,BID!B89,"-")</f>
        <v>-</v>
      </c>
      <c r="C81" s="30" t="str">
        <f>IF(BID!$L89=FALSE,BID!C89,"-")</f>
        <v>-</v>
      </c>
      <c r="D81" s="114" t="str">
        <f>IF(BID!$L89=FALSE,BID!D89,"-")</f>
        <v>-</v>
      </c>
    </row>
    <row r="82" spans="1:4" x14ac:dyDescent="0.25">
      <c r="A82" s="438">
        <f>IF(BID!$L90=FALSE,BID!A90,"-")</f>
        <v>72</v>
      </c>
      <c r="B82" s="114" t="str">
        <f>IF(BID!$L90=FALSE,BID!B90,"-")</f>
        <v>IVABRADINE 5MG TAB</v>
      </c>
      <c r="C82" s="30">
        <f>IF(BID!$L90=FALSE,BID!C90,"-")</f>
        <v>30</v>
      </c>
      <c r="D82" s="114">
        <f>IF(BID!$L90=FALSE,BID!D90,"-")</f>
        <v>50</v>
      </c>
    </row>
    <row r="83" spans="1:4" x14ac:dyDescent="0.25">
      <c r="A83" s="438" t="str">
        <f>IF(BID!$L91=FALSE,BID!A91,"-")</f>
        <v>-</v>
      </c>
      <c r="B83" s="114" t="str">
        <f>IF(BID!$L91=FALSE,BID!B91,"-")</f>
        <v>-</v>
      </c>
      <c r="C83" s="30" t="str">
        <f>IF(BID!$L91=FALSE,BID!C91,"-")</f>
        <v>-</v>
      </c>
      <c r="D83" s="114" t="str">
        <f>IF(BID!$L91=FALSE,BID!D91,"-")</f>
        <v>-</v>
      </c>
    </row>
    <row r="84" spans="1:4" x14ac:dyDescent="0.25">
      <c r="A84" s="438" t="str">
        <f>IF(BID!$L92=FALSE,BID!A92,"-")</f>
        <v>-</v>
      </c>
      <c r="B84" s="114" t="str">
        <f>IF(BID!$L92=FALSE,BID!B92,"-")</f>
        <v>-</v>
      </c>
      <c r="C84" s="30" t="str">
        <f>IF(BID!$L92=FALSE,BID!C92,"-")</f>
        <v>-</v>
      </c>
      <c r="D84" s="114" t="str">
        <f>IF(BID!$L92=FALSE,BID!D92,"-")</f>
        <v>-</v>
      </c>
    </row>
    <row r="85" spans="1:4" x14ac:dyDescent="0.25">
      <c r="A85" s="438" t="str">
        <f>IF(BID!$L93=FALSE,BID!A93,"-")</f>
        <v>-</v>
      </c>
      <c r="B85" s="114" t="str">
        <f>IF(BID!$L93=FALSE,BID!B93,"-")</f>
        <v>-</v>
      </c>
      <c r="C85" s="30" t="str">
        <f>IF(BID!$L93=FALSE,BID!C93,"-")</f>
        <v>-</v>
      </c>
      <c r="D85" s="114" t="str">
        <f>IF(BID!$L93=FALSE,BID!D93,"-")</f>
        <v>-</v>
      </c>
    </row>
    <row r="86" spans="1:4" x14ac:dyDescent="0.25">
      <c r="A86" s="438" t="str">
        <f>IF(BID!$L94=FALSE,BID!A94,"-")</f>
        <v>-</v>
      </c>
      <c r="B86" s="114" t="str">
        <f>IF(BID!$L94=FALSE,BID!B94,"-")</f>
        <v>-</v>
      </c>
      <c r="C86" s="30" t="str">
        <f>IF(BID!$L94=FALSE,BID!C94,"-")</f>
        <v>-</v>
      </c>
      <c r="D86" s="114" t="str">
        <f>IF(BID!$L94=FALSE,BID!D94,"-")</f>
        <v>-</v>
      </c>
    </row>
    <row r="87" spans="1:4" x14ac:dyDescent="0.25">
      <c r="A87" s="438" t="str">
        <f>IF(BID!$L95=FALSE,BID!A95,"-")</f>
        <v>-</v>
      </c>
      <c r="B87" s="114" t="str">
        <f>IF(BID!$L95=FALSE,BID!B95,"-")</f>
        <v>-</v>
      </c>
      <c r="C87" s="30" t="str">
        <f>IF(BID!$L95=FALSE,BID!C95,"-")</f>
        <v>-</v>
      </c>
      <c r="D87" s="114" t="str">
        <f>IF(BID!$L95=FALSE,BID!D95,"-")</f>
        <v>-</v>
      </c>
    </row>
    <row r="88" spans="1:4" x14ac:dyDescent="0.25">
      <c r="A88" s="438" t="str">
        <f>IF(BID!$L96=FALSE,BID!A96,"-")</f>
        <v>-</v>
      </c>
      <c r="B88" s="114" t="str">
        <f>IF(BID!$L96=FALSE,BID!B96,"-")</f>
        <v>-</v>
      </c>
      <c r="C88" s="30" t="str">
        <f>IF(BID!$L96=FALSE,BID!C96,"-")</f>
        <v>-</v>
      </c>
      <c r="D88" s="114" t="str">
        <f>IF(BID!$L96=FALSE,BID!D96,"-")</f>
        <v>-</v>
      </c>
    </row>
    <row r="89" spans="1:4" x14ac:dyDescent="0.25">
      <c r="A89" s="438" t="str">
        <f>IF(BID!$L97=FALSE,BID!A97,"-")</f>
        <v>-</v>
      </c>
      <c r="B89" s="114" t="str">
        <f>IF(BID!$L97=FALSE,BID!B97,"-")</f>
        <v>-</v>
      </c>
      <c r="C89" s="30" t="str">
        <f>IF(BID!$L97=FALSE,BID!C97,"-")</f>
        <v>-</v>
      </c>
      <c r="D89" s="114" t="str">
        <f>IF(BID!$L97=FALSE,BID!D97,"-")</f>
        <v>-</v>
      </c>
    </row>
    <row r="90" spans="1:4" x14ac:dyDescent="0.25">
      <c r="A90" s="438" t="str">
        <f>IF(BID!$L98=FALSE,BID!A98,"-")</f>
        <v>-</v>
      </c>
      <c r="B90" s="114" t="str">
        <f>IF(BID!$L98=FALSE,BID!B98,"-")</f>
        <v>-</v>
      </c>
      <c r="C90" s="30" t="str">
        <f>IF(BID!$L98=FALSE,BID!C98,"-")</f>
        <v>-</v>
      </c>
      <c r="D90" s="114" t="str">
        <f>IF(BID!$L98=FALSE,BID!D98,"-")</f>
        <v>-</v>
      </c>
    </row>
    <row r="91" spans="1:4" x14ac:dyDescent="0.25">
      <c r="A91" s="438" t="str">
        <f>IF(BID!$L99=FALSE,BID!A99,"-")</f>
        <v>-</v>
      </c>
      <c r="B91" s="114" t="str">
        <f>IF(BID!$L99=FALSE,BID!B99,"-")</f>
        <v>-</v>
      </c>
      <c r="C91" s="30" t="str">
        <f>IF(BID!$L99=FALSE,BID!C99,"-")</f>
        <v>-</v>
      </c>
      <c r="D91" s="114" t="str">
        <f>IF(BID!$L99=FALSE,BID!D99,"-")</f>
        <v>-</v>
      </c>
    </row>
    <row r="92" spans="1:4" x14ac:dyDescent="0.25">
      <c r="A92" s="438" t="str">
        <f>IF(BID!$L100=FALSE,BID!A100,"-")</f>
        <v>-</v>
      </c>
      <c r="B92" s="114" t="str">
        <f>IF(BID!$L100=FALSE,BID!B100,"-")</f>
        <v>-</v>
      </c>
      <c r="C92" s="30" t="str">
        <f>IF(BID!$L100=FALSE,BID!C100,"-")</f>
        <v>-</v>
      </c>
      <c r="D92" s="114" t="str">
        <f>IF(BID!$L100=FALSE,BID!D100,"-")</f>
        <v>-</v>
      </c>
    </row>
    <row r="93" spans="1:4" x14ac:dyDescent="0.25">
      <c r="A93" s="438" t="str">
        <f>IF(BID!$L101=FALSE,BID!A101,"-")</f>
        <v>-</v>
      </c>
      <c r="B93" s="114" t="str">
        <f>IF(BID!$L101=FALSE,BID!B101,"-")</f>
        <v>-</v>
      </c>
      <c r="C93" s="30" t="str">
        <f>IF(BID!$L101=FALSE,BID!C101,"-")</f>
        <v>-</v>
      </c>
      <c r="D93" s="114" t="str">
        <f>IF(BID!$L101=FALSE,BID!D101,"-")</f>
        <v>-</v>
      </c>
    </row>
    <row r="94" spans="1:4" x14ac:dyDescent="0.25">
      <c r="A94" s="438" t="str">
        <f>IF(BID!$L102=FALSE,BID!A102,"-")</f>
        <v>-</v>
      </c>
      <c r="B94" s="114" t="str">
        <f>IF(BID!$L102=FALSE,BID!B102,"-")</f>
        <v>-</v>
      </c>
      <c r="C94" s="30" t="str">
        <f>IF(BID!$L102=FALSE,BID!C102,"-")</f>
        <v>-</v>
      </c>
      <c r="D94" s="114" t="str">
        <f>IF(BID!$L102=FALSE,BID!D102,"-")</f>
        <v>-</v>
      </c>
    </row>
    <row r="95" spans="1:4" x14ac:dyDescent="0.25">
      <c r="A95" s="438" t="str">
        <f>IF(BID!$L103=FALSE,BID!A103,"-")</f>
        <v>-</v>
      </c>
      <c r="B95" s="114" t="str">
        <f>IF(BID!$L103=FALSE,BID!B103,"-")</f>
        <v>-</v>
      </c>
      <c r="C95" s="30" t="str">
        <f>IF(BID!$L103=FALSE,BID!C103,"-")</f>
        <v>-</v>
      </c>
      <c r="D95" s="114" t="str">
        <f>IF(BID!$L103=FALSE,BID!D103,"-")</f>
        <v>-</v>
      </c>
    </row>
    <row r="96" spans="1:4" x14ac:dyDescent="0.25">
      <c r="A96" s="438" t="str">
        <f>IF(BID!$L104=FALSE,BID!A104,"-")</f>
        <v>-</v>
      </c>
      <c r="B96" s="114" t="str">
        <f>IF(BID!$L104=FALSE,BID!B104,"-")</f>
        <v>-</v>
      </c>
      <c r="C96" s="30" t="str">
        <f>IF(BID!$L104=FALSE,BID!C104,"-")</f>
        <v>-</v>
      </c>
      <c r="D96" s="114" t="str">
        <f>IF(BID!$L104=FALSE,BID!D104,"-")</f>
        <v>-</v>
      </c>
    </row>
    <row r="97" spans="1:4" x14ac:dyDescent="0.25">
      <c r="A97" s="438" t="str">
        <f>IF(BID!$L105=FALSE,BID!A105,"-")</f>
        <v>-</v>
      </c>
      <c r="B97" s="114" t="str">
        <f>IF(BID!$L105=FALSE,BID!B105,"-")</f>
        <v>-</v>
      </c>
      <c r="C97" s="30" t="str">
        <f>IF(BID!$L105=FALSE,BID!C105,"-")</f>
        <v>-</v>
      </c>
      <c r="D97" s="114" t="str">
        <f>IF(BID!$L105=FALSE,BID!D105,"-")</f>
        <v>-</v>
      </c>
    </row>
    <row r="98" spans="1:4" x14ac:dyDescent="0.25">
      <c r="A98" s="438" t="str">
        <f>IF(BID!$L106=FALSE,BID!A106,"-")</f>
        <v>-</v>
      </c>
      <c r="B98" s="114" t="str">
        <f>IF(BID!$L106=FALSE,BID!B106,"-")</f>
        <v>-</v>
      </c>
      <c r="C98" s="30" t="str">
        <f>IF(BID!$L106=FALSE,BID!C106,"-")</f>
        <v>-</v>
      </c>
      <c r="D98" s="114" t="str">
        <f>IF(BID!$L106=FALSE,BID!D106,"-")</f>
        <v>-</v>
      </c>
    </row>
    <row r="99" spans="1:4" x14ac:dyDescent="0.25">
      <c r="A99" s="438" t="str">
        <f>IF(BID!$L107=FALSE,BID!A107,"-")</f>
        <v>-</v>
      </c>
      <c r="B99" s="114" t="str">
        <f>IF(BID!$L107=FALSE,BID!B107,"-")</f>
        <v>-</v>
      </c>
      <c r="C99" s="30" t="str">
        <f>IF(BID!$L107=FALSE,BID!C107,"-")</f>
        <v>-</v>
      </c>
      <c r="D99" s="114" t="str">
        <f>IF(BID!$L107=FALSE,BID!D107,"-")</f>
        <v>-</v>
      </c>
    </row>
    <row r="100" spans="1:4" x14ac:dyDescent="0.25">
      <c r="A100" s="438" t="str">
        <f>IF(BID!$L108=FALSE,BID!A108,"-")</f>
        <v>-</v>
      </c>
      <c r="B100" s="114" t="str">
        <f>IF(BID!$L108=FALSE,BID!B108,"-")</f>
        <v>-</v>
      </c>
      <c r="C100" s="30" t="str">
        <f>IF(BID!$L108=FALSE,BID!C108,"-")</f>
        <v>-</v>
      </c>
      <c r="D100" s="114" t="str">
        <f>IF(BID!$L108=FALSE,BID!D108,"-")</f>
        <v>-</v>
      </c>
    </row>
    <row r="101" spans="1:4" x14ac:dyDescent="0.25">
      <c r="A101" s="438" t="str">
        <f>IF(BID!$L109=FALSE,BID!A109,"-")</f>
        <v>-</v>
      </c>
      <c r="B101" s="114" t="str">
        <f>IF(BID!$L109=FALSE,BID!B109,"-")</f>
        <v>-</v>
      </c>
      <c r="C101" s="30" t="str">
        <f>IF(BID!$L109=FALSE,BID!C109,"-")</f>
        <v>-</v>
      </c>
      <c r="D101" s="114" t="str">
        <f>IF(BID!$L109=FALSE,BID!D109,"-")</f>
        <v>-</v>
      </c>
    </row>
    <row r="102" spans="1:4" x14ac:dyDescent="0.25">
      <c r="A102" s="438" t="str">
        <f>IF(BID!$L110=FALSE,BID!A110,"-")</f>
        <v>-</v>
      </c>
      <c r="B102" s="114" t="str">
        <f>IF(BID!$L110=FALSE,BID!B110,"-")</f>
        <v>-</v>
      </c>
      <c r="C102" s="30" t="str">
        <f>IF(BID!$L110=FALSE,BID!C110,"-")</f>
        <v>-</v>
      </c>
      <c r="D102" s="114" t="str">
        <f>IF(BID!$L110=FALSE,BID!D110,"-")</f>
        <v>-</v>
      </c>
    </row>
    <row r="103" spans="1:4" x14ac:dyDescent="0.25">
      <c r="A103" s="438" t="str">
        <f>IF(BID!$L111=FALSE,BID!A111,"-")</f>
        <v>-</v>
      </c>
      <c r="B103" s="114" t="str">
        <f>IF(BID!$L111=FALSE,BID!B111,"-")</f>
        <v>-</v>
      </c>
      <c r="C103" s="30" t="str">
        <f>IF(BID!$L111=FALSE,BID!C111,"-")</f>
        <v>-</v>
      </c>
      <c r="D103" s="114" t="str">
        <f>IF(BID!$L111=FALSE,BID!D111,"-")</f>
        <v>-</v>
      </c>
    </row>
    <row r="104" spans="1:4" x14ac:dyDescent="0.25">
      <c r="A104" s="438" t="str">
        <f>IF(BID!$L112=FALSE,BID!A112,"-")</f>
        <v>-</v>
      </c>
      <c r="B104" s="114" t="str">
        <f>IF(BID!$L112=FALSE,BID!B112,"-")</f>
        <v>-</v>
      </c>
      <c r="C104" s="30" t="str">
        <f>IF(BID!$L112=FALSE,BID!C112,"-")</f>
        <v>-</v>
      </c>
      <c r="D104" s="114" t="str">
        <f>IF(BID!$L112=FALSE,BID!D112,"-")</f>
        <v>-</v>
      </c>
    </row>
    <row r="105" spans="1:4" x14ac:dyDescent="0.25">
      <c r="A105" s="438" t="str">
        <f>IF(BID!$L113=FALSE,BID!A113,"-")</f>
        <v>-</v>
      </c>
      <c r="B105" s="114" t="str">
        <f>IF(BID!$L113=FALSE,BID!B113,"-")</f>
        <v>-</v>
      </c>
      <c r="C105" s="30" t="str">
        <f>IF(BID!$L113=FALSE,BID!C113,"-")</f>
        <v>-</v>
      </c>
      <c r="D105" s="114" t="str">
        <f>IF(BID!$L113=FALSE,BID!D113,"-")</f>
        <v>-</v>
      </c>
    </row>
    <row r="106" spans="1:4" x14ac:dyDescent="0.25">
      <c r="A106" s="438" t="str">
        <f>IF(BID!$L114=FALSE,BID!A114,"-")</f>
        <v>-</v>
      </c>
      <c r="B106" s="114" t="str">
        <f>IF(BID!$L114=FALSE,BID!B114,"-")</f>
        <v>-</v>
      </c>
      <c r="C106" s="30" t="str">
        <f>IF(BID!$L114=FALSE,BID!C114,"-")</f>
        <v>-</v>
      </c>
      <c r="D106" s="114" t="str">
        <f>IF(BID!$L114=FALSE,BID!D114,"-")</f>
        <v>-</v>
      </c>
    </row>
    <row r="107" spans="1:4" x14ac:dyDescent="0.25">
      <c r="A107" s="438" t="str">
        <f>IF(BID!$L115=FALSE,BID!A115,"-")</f>
        <v>-</v>
      </c>
      <c r="B107" s="114" t="str">
        <f>IF(BID!$L115=FALSE,BID!B115,"-")</f>
        <v>-</v>
      </c>
      <c r="C107" s="30" t="str">
        <f>IF(BID!$L115=FALSE,BID!C115,"-")</f>
        <v>-</v>
      </c>
      <c r="D107" s="114" t="str">
        <f>IF(BID!$L115=FALSE,BID!D115,"-")</f>
        <v>-</v>
      </c>
    </row>
    <row r="108" spans="1:4" x14ac:dyDescent="0.25">
      <c r="A108" s="438" t="str">
        <f>IF(BID!$L116=FALSE,BID!A116,"-")</f>
        <v>-</v>
      </c>
      <c r="B108" s="114" t="str">
        <f>IF(BID!$L116=FALSE,BID!B116,"-")</f>
        <v>-</v>
      </c>
      <c r="C108" s="30" t="str">
        <f>IF(BID!$L116=FALSE,BID!C116,"-")</f>
        <v>-</v>
      </c>
      <c r="D108" s="114" t="str">
        <f>IF(BID!$L116=FALSE,BID!D116,"-")</f>
        <v>-</v>
      </c>
    </row>
    <row r="109" spans="1:4" x14ac:dyDescent="0.25">
      <c r="A109" s="438" t="str">
        <f>IF(BID!$L117=FALSE,BID!A117,"-")</f>
        <v>-</v>
      </c>
      <c r="B109" s="114" t="str">
        <f>IF(BID!$L117=FALSE,BID!B117,"-")</f>
        <v>-</v>
      </c>
      <c r="C109" s="30" t="str">
        <f>IF(BID!$L117=FALSE,BID!C117,"-")</f>
        <v>-</v>
      </c>
      <c r="D109" s="114" t="str">
        <f>IF(BID!$L117=FALSE,BID!D117,"-")</f>
        <v>-</v>
      </c>
    </row>
    <row r="110" spans="1:4" x14ac:dyDescent="0.25">
      <c r="A110" s="438">
        <f>IF(BID!$L118=FALSE,BID!A118,"-")</f>
        <v>100</v>
      </c>
      <c r="B110" s="114" t="str">
        <f>IF(BID!$L118=FALSE,BID!B118,"-")</f>
        <v>SACUBITRIL/VALSARTAN 100MG TAB</v>
      </c>
      <c r="C110" s="30">
        <f>IF(BID!$L118=FALSE,BID!C118,"-")</f>
        <v>28</v>
      </c>
      <c r="D110" s="114">
        <f>IF(BID!$L118=FALSE,BID!D118,"-")</f>
        <v>10</v>
      </c>
    </row>
    <row r="111" spans="1:4" x14ac:dyDescent="0.25">
      <c r="A111" s="438">
        <f>IF(BID!$L119=FALSE,BID!A119,"-")</f>
        <v>101</v>
      </c>
      <c r="B111" s="114" t="str">
        <f>IF(BID!$L119=FALSE,BID!B119,"-")</f>
        <v>SACUBITRIL/VALSARTAN 200MG TAB</v>
      </c>
      <c r="C111" s="30">
        <f>IF(BID!$L119=FALSE,BID!C119,"-")</f>
        <v>28</v>
      </c>
      <c r="D111" s="114">
        <f>IF(BID!$L119=FALSE,BID!D119,"-")</f>
        <v>10</v>
      </c>
    </row>
    <row r="112" spans="1:4" x14ac:dyDescent="0.25">
      <c r="A112" s="438">
        <f>IF(BID!$L120=FALSE,BID!A120,"-")</f>
        <v>102</v>
      </c>
      <c r="B112" s="114" t="str">
        <f>IF(BID!$L120=FALSE,BID!B120,"-")</f>
        <v>SACUBITRIL/VALSARTAN 50MG TAB</v>
      </c>
      <c r="C112" s="30">
        <f>IF(BID!$L120=FALSE,BID!C120,"-")</f>
        <v>28</v>
      </c>
      <c r="D112" s="114">
        <f>IF(BID!$L120=FALSE,BID!D120,"-")</f>
        <v>10</v>
      </c>
    </row>
    <row r="113" spans="1:4" x14ac:dyDescent="0.25">
      <c r="A113" s="438" t="str">
        <f>IF(BID!$L121=FALSE,BID!A121,"-")</f>
        <v>-</v>
      </c>
      <c r="B113" s="114" t="str">
        <f>IF(BID!$L121=FALSE,BID!B121,"-")</f>
        <v>-</v>
      </c>
      <c r="C113" s="30" t="str">
        <f>IF(BID!$L121=FALSE,BID!C121,"-")</f>
        <v>-</v>
      </c>
      <c r="D113" s="114" t="str">
        <f>IF(BID!$L121=FALSE,BID!D121,"-")</f>
        <v>-</v>
      </c>
    </row>
    <row r="114" spans="1:4" x14ac:dyDescent="0.25">
      <c r="A114" s="438" t="str">
        <f>IF(BID!$L122=FALSE,BID!A122,"-")</f>
        <v>-</v>
      </c>
      <c r="B114" s="114" t="str">
        <f>IF(BID!$L122=FALSE,BID!B122,"-")</f>
        <v>-</v>
      </c>
      <c r="C114" s="30" t="str">
        <f>IF(BID!$L122=FALSE,BID!C122,"-")</f>
        <v>-</v>
      </c>
      <c r="D114" s="114" t="str">
        <f>IF(BID!$L122=FALSE,BID!D122,"-")</f>
        <v>-</v>
      </c>
    </row>
    <row r="115" spans="1:4" x14ac:dyDescent="0.25">
      <c r="A115" s="438" t="str">
        <f>IF(BID!$L123=FALSE,BID!A123,"-")</f>
        <v>-</v>
      </c>
      <c r="B115" s="114" t="str">
        <f>IF(BID!$L123=FALSE,BID!B123,"-")</f>
        <v>-</v>
      </c>
      <c r="C115" s="30" t="str">
        <f>IF(BID!$L123=FALSE,BID!C123,"-")</f>
        <v>-</v>
      </c>
      <c r="D115" s="114" t="str">
        <f>IF(BID!$L123=FALSE,BID!D123,"-")</f>
        <v>-</v>
      </c>
    </row>
    <row r="116" spans="1:4" x14ac:dyDescent="0.25">
      <c r="A116" s="438">
        <f>IF(BID!$L124=FALSE,BID!A124,"-")</f>
        <v>106</v>
      </c>
      <c r="B116" s="114" t="str">
        <f>IF(BID!$L124=FALSE,BID!B124,"-")</f>
        <v>SPIRINOLACTONE 25MG TAB</v>
      </c>
      <c r="C116" s="30">
        <f>IF(BID!$L124=FALSE,BID!C124,"-")</f>
        <v>500</v>
      </c>
      <c r="D116" s="114">
        <f>IF(BID!$L124=FALSE,BID!D124,"-")</f>
        <v>150</v>
      </c>
    </row>
    <row r="117" spans="1:4" x14ac:dyDescent="0.25">
      <c r="A117" s="438" t="str">
        <f>IF(BID!$L125=FALSE,BID!A125,"-")</f>
        <v>-</v>
      </c>
      <c r="B117" s="114" t="str">
        <f>IF(BID!$L125=FALSE,BID!B125,"-")</f>
        <v>-</v>
      </c>
      <c r="C117" s="30" t="str">
        <f>IF(BID!$L125=FALSE,BID!C125,"-")</f>
        <v>-</v>
      </c>
      <c r="D117" s="114" t="str">
        <f>IF(BID!$L125=FALSE,BID!D125,"-")</f>
        <v>-</v>
      </c>
    </row>
    <row r="118" spans="1:4" x14ac:dyDescent="0.25">
      <c r="A118" s="438">
        <f>IF(BID!$L126=FALSE,BID!A126,"-")</f>
        <v>108</v>
      </c>
      <c r="B118" s="114" t="str">
        <f>IF(BID!$L126=FALSE,BID!B126,"-")</f>
        <v>TELMISARTAN/AMLODIPINE 80/10MG TAB</v>
      </c>
      <c r="C118" s="30">
        <f>IF(BID!$L126=FALSE,BID!C126,"-")</f>
        <v>28</v>
      </c>
      <c r="D118" s="114">
        <f>IF(BID!$L126=FALSE,BID!D126,"-")</f>
        <v>10</v>
      </c>
    </row>
    <row r="119" spans="1:4" x14ac:dyDescent="0.25">
      <c r="A119" s="438">
        <f>IF(BID!$L127=FALSE,BID!A127,"-")</f>
        <v>109</v>
      </c>
      <c r="B119" s="114" t="str">
        <f>IF(BID!$L127=FALSE,BID!B127,"-")</f>
        <v>TELMISARTAN/AMLODIPINE 80/5MG TAB</v>
      </c>
      <c r="C119" s="30">
        <f>IF(BID!$L127=FALSE,BID!C127,"-")</f>
        <v>28</v>
      </c>
      <c r="D119" s="114">
        <f>IF(BID!$L127=FALSE,BID!D127,"-")</f>
        <v>10</v>
      </c>
    </row>
    <row r="120" spans="1:4" x14ac:dyDescent="0.25">
      <c r="A120" s="438" t="str">
        <f>IF(BID!$L128=FALSE,BID!A128,"-")</f>
        <v>-</v>
      </c>
      <c r="B120" s="114" t="str">
        <f>IF(BID!$L128=FALSE,BID!B128,"-")</f>
        <v>-</v>
      </c>
      <c r="C120" s="30" t="str">
        <f>IF(BID!$L128=FALSE,BID!C128,"-")</f>
        <v>-</v>
      </c>
      <c r="D120" s="114" t="str">
        <f>IF(BID!$L128=FALSE,BID!D128,"-")</f>
        <v>-</v>
      </c>
    </row>
    <row r="121" spans="1:4" x14ac:dyDescent="0.25">
      <c r="A121" s="438" t="str">
        <f>IF(BID!$L129=FALSE,BID!A129,"-")</f>
        <v>-</v>
      </c>
      <c r="B121" s="114" t="str">
        <f>IF(BID!$L129=FALSE,BID!B129,"-")</f>
        <v>-</v>
      </c>
      <c r="C121" s="30" t="str">
        <f>IF(BID!$L129=FALSE,BID!C129,"-")</f>
        <v>-</v>
      </c>
      <c r="D121" s="114" t="str">
        <f>IF(BID!$L129=FALSE,BID!D129,"-")</f>
        <v>-</v>
      </c>
    </row>
    <row r="122" spans="1:4" x14ac:dyDescent="0.25">
      <c r="A122" s="438" t="str">
        <f>IF(BID!$L130=FALSE,BID!A130,"-")</f>
        <v>-</v>
      </c>
      <c r="B122" s="114" t="str">
        <f>IF(BID!$L130=FALSE,BID!B130,"-")</f>
        <v>-</v>
      </c>
      <c r="C122" s="30" t="str">
        <f>IF(BID!$L130=FALSE,BID!C130,"-")</f>
        <v>-</v>
      </c>
      <c r="D122" s="114" t="str">
        <f>IF(BID!$L130=FALSE,BID!D130,"-")</f>
        <v>-</v>
      </c>
    </row>
    <row r="123" spans="1:4" x14ac:dyDescent="0.25">
      <c r="A123" s="438" t="str">
        <f>IF(BID!$L131=FALSE,BID!A131,"-")</f>
        <v>-</v>
      </c>
      <c r="B123" s="114" t="str">
        <f>IF(BID!$L131=FALSE,BID!B131,"-")</f>
        <v>-</v>
      </c>
      <c r="C123" s="30" t="str">
        <f>IF(BID!$L131=FALSE,BID!C131,"-")</f>
        <v>-</v>
      </c>
      <c r="D123" s="114" t="str">
        <f>IF(BID!$L131=FALSE,BID!D131,"-")</f>
        <v>-</v>
      </c>
    </row>
    <row r="124" spans="1:4" x14ac:dyDescent="0.25">
      <c r="A124" s="438" t="str">
        <f>IF(BID!$L132=FALSE,BID!A132,"-")</f>
        <v>-</v>
      </c>
      <c r="B124" s="114" t="str">
        <f>IF(BID!$L132=FALSE,BID!B132,"-")</f>
        <v>-</v>
      </c>
      <c r="C124" s="30" t="str">
        <f>IF(BID!$L132=FALSE,BID!C132,"-")</f>
        <v>-</v>
      </c>
      <c r="D124" s="114" t="str">
        <f>IF(BID!$L132=FALSE,BID!D132,"-")</f>
        <v>-</v>
      </c>
    </row>
    <row r="125" spans="1:4" x14ac:dyDescent="0.25">
      <c r="A125" s="438">
        <f>IF(BID!$L133=FALSE,BID!A133,"-")</f>
        <v>115</v>
      </c>
      <c r="B125" s="114" t="str">
        <f>IF(BID!$L133=FALSE,BID!B133,"-")</f>
        <v>TRIMETAZIDINE 35MG TAB</v>
      </c>
      <c r="C125" s="30">
        <f>IF(BID!$L133=FALSE,BID!C133,"-")</f>
        <v>60</v>
      </c>
      <c r="D125" s="114">
        <f>IF(BID!$L133=FALSE,BID!D133,"-")</f>
        <v>10</v>
      </c>
    </row>
    <row r="126" spans="1:4" s="42" customFormat="1" ht="18.75" x14ac:dyDescent="0.3">
      <c r="A126" s="438" t="str">
        <f>IF(BID!$L134=FALSE,BID!A134,"-")</f>
        <v>-</v>
      </c>
      <c r="B126" s="114" t="str">
        <f>IF(BID!$L134=FALSE,BID!B134,"-")</f>
        <v>-</v>
      </c>
      <c r="C126" s="30" t="str">
        <f>IF(BID!$L134=FALSE,BID!C134,"-")</f>
        <v>-</v>
      </c>
      <c r="D126" s="114" t="str">
        <f>IF(BID!$L134=FALSE,BID!D134,"-")</f>
        <v>-</v>
      </c>
    </row>
    <row r="127" spans="1:4" x14ac:dyDescent="0.25">
      <c r="A127" s="438">
        <f>IF(BID!$L135=FALSE,BID!A135,"-")</f>
        <v>117</v>
      </c>
      <c r="B127" s="114" t="str">
        <f>IF(BID!$L135=FALSE,BID!B135,"-")</f>
        <v>VERAPAMIL 240MG TAG</v>
      </c>
      <c r="C127" s="30">
        <f>IF(BID!$L135=FALSE,BID!C135,"-")</f>
        <v>100</v>
      </c>
      <c r="D127" s="114">
        <f>IF(BID!$L135=FALSE,BID!D135,"-")</f>
        <v>10</v>
      </c>
    </row>
    <row r="128" spans="1:4" x14ac:dyDescent="0.25">
      <c r="A128" s="438">
        <f>IF(BID!$L136=FALSE,BID!A136,"-")</f>
        <v>0</v>
      </c>
      <c r="B128" s="114">
        <f>IF(BID!$L136=FALSE,BID!B136,"-")</f>
        <v>0</v>
      </c>
      <c r="C128" s="30">
        <f>IF(BID!$L136=FALSE,BID!C136,"-")</f>
        <v>0</v>
      </c>
      <c r="D128" s="114">
        <f>IF(BID!$L136=FALSE,BID!D136,"-")</f>
        <v>0</v>
      </c>
    </row>
    <row r="129" spans="1:4" x14ac:dyDescent="0.25">
      <c r="A129" s="438">
        <f>IF(BID!$L137=FALSE,BID!A137,"-")</f>
        <v>0</v>
      </c>
      <c r="B129" s="114" t="str">
        <f>IF(BID!$L137=FALSE,BID!B137,"-")</f>
        <v>HYPOGLYCEMIC AGENTS</v>
      </c>
      <c r="C129" s="30">
        <f>IF(BID!$L137=FALSE,BID!C137,"-")</f>
        <v>0</v>
      </c>
      <c r="D129" s="114">
        <f>IF(BID!$L137=FALSE,BID!D137,"-")</f>
        <v>0</v>
      </c>
    </row>
    <row r="130" spans="1:4" x14ac:dyDescent="0.25">
      <c r="A130" s="438" t="str">
        <f>IF(BID!$L138=FALSE,BID!A138,"-")</f>
        <v>-</v>
      </c>
      <c r="B130" s="114" t="str">
        <f>IF(BID!$L138=FALSE,BID!B138,"-")</f>
        <v>-</v>
      </c>
      <c r="C130" s="30" t="str">
        <f>IF(BID!$L138=FALSE,BID!C138,"-")</f>
        <v>-</v>
      </c>
      <c r="D130" s="114" t="str">
        <f>IF(BID!$L138=FALSE,BID!D138,"-")</f>
        <v>-</v>
      </c>
    </row>
    <row r="131" spans="1:4" x14ac:dyDescent="0.25">
      <c r="A131" s="438">
        <f>IF(BID!$L139=FALSE,BID!A139,"-")</f>
        <v>119</v>
      </c>
      <c r="B131" s="114" t="str">
        <f>IF(BID!$L139=FALSE,BID!B139,"-")</f>
        <v>GLICLAZIDE 60MG</v>
      </c>
      <c r="C131" s="30">
        <f>IF(BID!$L139=FALSE,BID!C139,"-")</f>
        <v>30</v>
      </c>
      <c r="D131" s="114">
        <f>IF(BID!$L139=FALSE,BID!D139,"-")</f>
        <v>2000</v>
      </c>
    </row>
    <row r="132" spans="1:4" x14ac:dyDescent="0.25">
      <c r="A132" s="438" t="str">
        <f>IF(BID!$L140=FALSE,BID!A140,"-")</f>
        <v>-</v>
      </c>
      <c r="B132" s="114" t="str">
        <f>IF(BID!$L140=FALSE,BID!B140,"-")</f>
        <v>-</v>
      </c>
      <c r="C132" s="30" t="str">
        <f>IF(BID!$L140=FALSE,BID!C140,"-")</f>
        <v>-</v>
      </c>
      <c r="D132" s="114" t="str">
        <f>IF(BID!$L140=FALSE,BID!D140,"-")</f>
        <v>-</v>
      </c>
    </row>
    <row r="133" spans="1:4" x14ac:dyDescent="0.25">
      <c r="A133" s="438" t="str">
        <f>IF(BID!$L141=FALSE,BID!A141,"-")</f>
        <v>-</v>
      </c>
      <c r="B133" s="114" t="str">
        <f>IF(BID!$L141=FALSE,BID!B141,"-")</f>
        <v>-</v>
      </c>
      <c r="C133" s="30" t="str">
        <f>IF(BID!$L141=FALSE,BID!C141,"-")</f>
        <v>-</v>
      </c>
      <c r="D133" s="114" t="str">
        <f>IF(BID!$L141=FALSE,BID!D141,"-")</f>
        <v>-</v>
      </c>
    </row>
    <row r="134" spans="1:4" x14ac:dyDescent="0.25">
      <c r="A134" s="438">
        <f>IF(BID!$L142=FALSE,BID!A142,"-")</f>
        <v>122</v>
      </c>
      <c r="B134" s="114" t="str">
        <f>IF(BID!$L142=FALSE,BID!B142,"-")</f>
        <v>GLUCAGON INJ</v>
      </c>
      <c r="C134" s="30" t="str">
        <f>IF(BID!$L142=FALSE,BID!C142,"-")</f>
        <v>AMP</v>
      </c>
      <c r="D134" s="114">
        <f>IF(BID!$L142=FALSE,BID!D142,"-")</f>
        <v>20</v>
      </c>
    </row>
    <row r="135" spans="1:4" x14ac:dyDescent="0.25">
      <c r="A135" s="438" t="str">
        <f>IF(BID!$L143=FALSE,BID!A143,"-")</f>
        <v>-</v>
      </c>
      <c r="B135" s="114" t="str">
        <f>IF(BID!$L143=FALSE,BID!B143,"-")</f>
        <v>-</v>
      </c>
      <c r="C135" s="30" t="str">
        <f>IF(BID!$L143=FALSE,BID!C143,"-")</f>
        <v>-</v>
      </c>
      <c r="D135" s="114" t="str">
        <f>IF(BID!$L143=FALSE,BID!D143,"-")</f>
        <v>-</v>
      </c>
    </row>
    <row r="136" spans="1:4" x14ac:dyDescent="0.25">
      <c r="A136" s="438">
        <f>IF(BID!$L144=FALSE,BID!A144,"-")</f>
        <v>124</v>
      </c>
      <c r="B136" s="114" t="str">
        <f>IF(BID!$L144=FALSE,BID!B144,"-")</f>
        <v>HUMALOG MIX 50 INJ (VIAL)</v>
      </c>
      <c r="C136" s="30">
        <f>IF(BID!$L144=FALSE,BID!C144,"-")</f>
        <v>5</v>
      </c>
      <c r="D136" s="114">
        <f>IF(BID!$L144=FALSE,BID!D144,"-")</f>
        <v>10</v>
      </c>
    </row>
    <row r="137" spans="1:4" x14ac:dyDescent="0.25">
      <c r="A137" s="438">
        <f>IF(BID!$L145=FALSE,BID!A145,"-")</f>
        <v>125</v>
      </c>
      <c r="B137" s="114" t="str">
        <f>IF(BID!$L145=FALSE,BID!B145,"-")</f>
        <v>HUMALOG MIX 75-25 INJ</v>
      </c>
      <c r="C137" s="30">
        <f>IF(BID!$L145=FALSE,BID!C145,"-")</f>
        <v>5</v>
      </c>
      <c r="D137" s="114">
        <f>IF(BID!$L145=FALSE,BID!D145,"-")</f>
        <v>10</v>
      </c>
    </row>
    <row r="138" spans="1:4" x14ac:dyDescent="0.25">
      <c r="A138" s="438" t="str">
        <f>IF(BID!$L146=FALSE,BID!A146,"-")</f>
        <v>-</v>
      </c>
      <c r="B138" s="114" t="str">
        <f>IF(BID!$L146=FALSE,BID!B146,"-")</f>
        <v>-</v>
      </c>
      <c r="C138" s="30" t="str">
        <f>IF(BID!$L146=FALSE,BID!C146,"-")</f>
        <v>-</v>
      </c>
      <c r="D138" s="114" t="str">
        <f>IF(BID!$L146=FALSE,BID!D146,"-")</f>
        <v>-</v>
      </c>
    </row>
    <row r="139" spans="1:4" x14ac:dyDescent="0.25">
      <c r="A139" s="438" t="str">
        <f>IF(BID!$L147=FALSE,BID!A147,"-")</f>
        <v>-</v>
      </c>
      <c r="B139" s="114" t="str">
        <f>IF(BID!$L147=FALSE,BID!B147,"-")</f>
        <v>-</v>
      </c>
      <c r="C139" s="30" t="str">
        <f>IF(BID!$L147=FALSE,BID!C147,"-")</f>
        <v>-</v>
      </c>
      <c r="D139" s="114" t="str">
        <f>IF(BID!$L147=FALSE,BID!D147,"-")</f>
        <v>-</v>
      </c>
    </row>
    <row r="140" spans="1:4" x14ac:dyDescent="0.25">
      <c r="A140" s="438" t="str">
        <f>IF(BID!$L148=FALSE,BID!A148,"-")</f>
        <v>-</v>
      </c>
      <c r="B140" s="114" t="str">
        <f>IF(BID!$L148=FALSE,BID!B148,"-")</f>
        <v>-</v>
      </c>
      <c r="C140" s="30" t="str">
        <f>IF(BID!$L148=FALSE,BID!C148,"-")</f>
        <v>-</v>
      </c>
      <c r="D140" s="114" t="str">
        <f>IF(BID!$L148=FALSE,BID!D148,"-")</f>
        <v>-</v>
      </c>
    </row>
    <row r="141" spans="1:4" x14ac:dyDescent="0.25">
      <c r="A141" s="438" t="str">
        <f>IF(BID!$L149=FALSE,BID!A149,"-")</f>
        <v>-</v>
      </c>
      <c r="B141" s="114" t="str">
        <f>IF(BID!$L149=FALSE,BID!B149,"-")</f>
        <v>-</v>
      </c>
      <c r="C141" s="30" t="str">
        <f>IF(BID!$L149=FALSE,BID!C149,"-")</f>
        <v>-</v>
      </c>
      <c r="D141" s="114" t="str">
        <f>IF(BID!$L149=FALSE,BID!D149,"-")</f>
        <v>-</v>
      </c>
    </row>
    <row r="142" spans="1:4" x14ac:dyDescent="0.25">
      <c r="A142" s="438">
        <f>IF(BID!$L150=FALSE,BID!A150,"-")</f>
        <v>130</v>
      </c>
      <c r="B142" s="114" t="str">
        <f>IF(BID!$L150=FALSE,BID!B150,"-")</f>
        <v>INSULIN GLULISINE INJ</v>
      </c>
      <c r="C142" s="30">
        <f>IF(BID!$L150=FALSE,BID!C150,"-")</f>
        <v>5</v>
      </c>
      <c r="D142" s="114">
        <f>IF(BID!$L150=FALSE,BID!D150,"-")</f>
        <v>20</v>
      </c>
    </row>
    <row r="143" spans="1:4" x14ac:dyDescent="0.25">
      <c r="A143" s="438">
        <f>IF(BID!$L151=FALSE,BID!A151,"-")</f>
        <v>131</v>
      </c>
      <c r="B143" s="114" t="str">
        <f>IF(BID!$L151=FALSE,BID!B151,"-")</f>
        <v>METFORMIN HCL 1000MG SR TAB</v>
      </c>
      <c r="C143" s="30">
        <f>IF(BID!$L151=FALSE,BID!C151,"-")</f>
        <v>100</v>
      </c>
      <c r="D143" s="114">
        <f>IF(BID!$L151=FALSE,BID!D151,"-")</f>
        <v>200</v>
      </c>
    </row>
    <row r="144" spans="1:4" x14ac:dyDescent="0.25">
      <c r="A144" s="438">
        <f>IF(BID!$L152=FALSE,BID!A152,"-")</f>
        <v>132</v>
      </c>
      <c r="B144" s="114" t="str">
        <f>IF(BID!$L152=FALSE,BID!B152,"-")</f>
        <v>METFORMIN HCL 500MG SR TAB</v>
      </c>
      <c r="C144" s="30">
        <f>IF(BID!$L152=FALSE,BID!C152,"-")</f>
        <v>100</v>
      </c>
      <c r="D144" s="114">
        <f>IF(BID!$L152=FALSE,BID!D152,"-")</f>
        <v>200</v>
      </c>
    </row>
    <row r="145" spans="1:4" x14ac:dyDescent="0.25">
      <c r="A145" s="438" t="str">
        <f>IF(BID!$L153=FALSE,BID!A153,"-")</f>
        <v>-</v>
      </c>
      <c r="B145" s="114" t="str">
        <f>IF(BID!$L153=FALSE,BID!B153,"-")</f>
        <v>-</v>
      </c>
      <c r="C145" s="30" t="str">
        <f>IF(BID!$L153=FALSE,BID!C153,"-")</f>
        <v>-</v>
      </c>
      <c r="D145" s="114" t="str">
        <f>IF(BID!$L153=FALSE,BID!D153,"-")</f>
        <v>-</v>
      </c>
    </row>
    <row r="146" spans="1:4" x14ac:dyDescent="0.25">
      <c r="A146" s="438" t="str">
        <f>IF(BID!$L154=FALSE,BID!A154,"-")</f>
        <v>-</v>
      </c>
      <c r="B146" s="114" t="str">
        <f>IF(BID!$L154=FALSE,BID!B154,"-")</f>
        <v>-</v>
      </c>
      <c r="C146" s="30" t="str">
        <f>IF(BID!$L154=FALSE,BID!C154,"-")</f>
        <v>-</v>
      </c>
      <c r="D146" s="114" t="str">
        <f>IF(BID!$L154=FALSE,BID!D154,"-")</f>
        <v>-</v>
      </c>
    </row>
    <row r="147" spans="1:4" x14ac:dyDescent="0.25">
      <c r="A147" s="438" t="str">
        <f>IF(BID!$L155=FALSE,BID!A155,"-")</f>
        <v>-</v>
      </c>
      <c r="B147" s="114" t="str">
        <f>IF(BID!$L155=FALSE,BID!B155,"-")</f>
        <v>-</v>
      </c>
      <c r="C147" s="30" t="str">
        <f>IF(BID!$L155=FALSE,BID!C155,"-")</f>
        <v>-</v>
      </c>
      <c r="D147" s="114" t="str">
        <f>IF(BID!$L155=FALSE,BID!D155,"-")</f>
        <v>-</v>
      </c>
    </row>
    <row r="148" spans="1:4" x14ac:dyDescent="0.25">
      <c r="A148" s="438" t="str">
        <f>IF(BID!$L156=FALSE,BID!A156,"-")</f>
        <v>-</v>
      </c>
      <c r="B148" s="114" t="str">
        <f>IF(BID!$L156=FALSE,BID!B156,"-")</f>
        <v>-</v>
      </c>
      <c r="C148" s="30" t="str">
        <f>IF(BID!$L156=FALSE,BID!C156,"-")</f>
        <v>-</v>
      </c>
      <c r="D148" s="114" t="str">
        <f>IF(BID!$L156=FALSE,BID!D156,"-")</f>
        <v>-</v>
      </c>
    </row>
    <row r="149" spans="1:4" x14ac:dyDescent="0.25">
      <c r="A149" s="438" t="str">
        <f>IF(BID!$L157=FALSE,BID!A157,"-")</f>
        <v>-</v>
      </c>
      <c r="B149" s="114" t="str">
        <f>IF(BID!$L157=FALSE,BID!B157,"-")</f>
        <v>-</v>
      </c>
      <c r="C149" s="30" t="str">
        <f>IF(BID!$L157=FALSE,BID!C157,"-")</f>
        <v>-</v>
      </c>
      <c r="D149" s="114" t="str">
        <f>IF(BID!$L157=FALSE,BID!D157,"-")</f>
        <v>-</v>
      </c>
    </row>
    <row r="150" spans="1:4" x14ac:dyDescent="0.25">
      <c r="A150" s="438" t="str">
        <f>IF(BID!$L158=FALSE,BID!A158,"-")</f>
        <v>-</v>
      </c>
      <c r="B150" s="114" t="str">
        <f>IF(BID!$L158=FALSE,BID!B158,"-")</f>
        <v>-</v>
      </c>
      <c r="C150" s="30" t="str">
        <f>IF(BID!$L158=FALSE,BID!C158,"-")</f>
        <v>-</v>
      </c>
      <c r="D150" s="114" t="str">
        <f>IF(BID!$L158=FALSE,BID!D158,"-")</f>
        <v>-</v>
      </c>
    </row>
    <row r="151" spans="1:4" x14ac:dyDescent="0.25">
      <c r="A151" s="438" t="str">
        <f>IF(BID!$L159=FALSE,BID!A159,"-")</f>
        <v>-</v>
      </c>
      <c r="B151" s="114" t="str">
        <f>IF(BID!$L159=FALSE,BID!B159,"-")</f>
        <v>-</v>
      </c>
      <c r="C151" s="30" t="str">
        <f>IF(BID!$L159=FALSE,BID!C159,"-")</f>
        <v>-</v>
      </c>
      <c r="D151" s="114" t="str">
        <f>IF(BID!$L159=FALSE,BID!D159,"-")</f>
        <v>-</v>
      </c>
    </row>
    <row r="152" spans="1:4" x14ac:dyDescent="0.25">
      <c r="A152" s="438" t="str">
        <f>IF(BID!$L160=FALSE,BID!A160,"-")</f>
        <v>-</v>
      </c>
      <c r="B152" s="114" t="str">
        <f>IF(BID!$L160=FALSE,BID!B160,"-")</f>
        <v>-</v>
      </c>
      <c r="C152" s="30" t="str">
        <f>IF(BID!$L160=FALSE,BID!C160,"-")</f>
        <v>-</v>
      </c>
      <c r="D152" s="114" t="str">
        <f>IF(BID!$L160=FALSE,BID!D160,"-")</f>
        <v>-</v>
      </c>
    </row>
    <row r="153" spans="1:4" x14ac:dyDescent="0.25">
      <c r="A153" s="438" t="str">
        <f>IF(BID!$L161=FALSE,BID!A161,"-")</f>
        <v>-</v>
      </c>
      <c r="B153" s="114" t="str">
        <f>IF(BID!$L161=FALSE,BID!B161,"-")</f>
        <v>-</v>
      </c>
      <c r="C153" s="30" t="str">
        <f>IF(BID!$L161=FALSE,BID!C161,"-")</f>
        <v>-</v>
      </c>
      <c r="D153" s="114" t="str">
        <f>IF(BID!$L161=FALSE,BID!D161,"-")</f>
        <v>-</v>
      </c>
    </row>
    <row r="154" spans="1:4" x14ac:dyDescent="0.25">
      <c r="A154" s="438">
        <f>IF(BID!$L162=FALSE,BID!A162,"-")</f>
        <v>0</v>
      </c>
      <c r="B154" s="114">
        <f>IF(BID!$L162=FALSE,BID!B162,"-")</f>
        <v>0</v>
      </c>
      <c r="C154" s="30">
        <f>IF(BID!$L162=FALSE,BID!C162,"-")</f>
        <v>0</v>
      </c>
      <c r="D154" s="114">
        <f>IF(BID!$L162=FALSE,BID!D162,"-")</f>
        <v>0</v>
      </c>
    </row>
    <row r="155" spans="1:4" x14ac:dyDescent="0.25">
      <c r="A155" s="438">
        <f>IF(BID!$L163=FALSE,BID!A163,"-")</f>
        <v>0</v>
      </c>
      <c r="B155" s="114">
        <f>IF(BID!$L163=FALSE,BID!B163,"-")</f>
        <v>0</v>
      </c>
      <c r="C155" s="30">
        <f>IF(BID!$L163=FALSE,BID!C163,"-")</f>
        <v>0</v>
      </c>
      <c r="D155" s="114">
        <f>IF(BID!$L163=FALSE,BID!D163,"-")</f>
        <v>0</v>
      </c>
    </row>
    <row r="156" spans="1:4" x14ac:dyDescent="0.25">
      <c r="A156" s="438" t="str">
        <f>IF(BID!$L164=FALSE,BID!A164,"-")</f>
        <v>LOT 4</v>
      </c>
      <c r="B156" s="114" t="str">
        <f>IF(BID!$L164=FALSE,BID!B164,"-")</f>
        <v>ANTI-INFLAMMATORIES/ANALGESICS/ANTIPYRETICS</v>
      </c>
      <c r="C156" s="30">
        <f>IF(BID!$L164=FALSE,BID!C164,"-")</f>
        <v>0</v>
      </c>
      <c r="D156" s="114">
        <f>IF(BID!$L164=FALSE,BID!D164,"-")</f>
        <v>0</v>
      </c>
    </row>
    <row r="157" spans="1:4" x14ac:dyDescent="0.25">
      <c r="A157" s="438" t="str">
        <f>IF(BID!$L165=FALSE,BID!A165,"-")</f>
        <v>-</v>
      </c>
      <c r="B157" s="114" t="str">
        <f>IF(BID!$L165=FALSE,BID!B165,"-")</f>
        <v>-</v>
      </c>
      <c r="C157" s="30" t="str">
        <f>IF(BID!$L165=FALSE,BID!C165,"-")</f>
        <v>-</v>
      </c>
      <c r="D157" s="114" t="str">
        <f>IF(BID!$L165=FALSE,BID!D165,"-")</f>
        <v>-</v>
      </c>
    </row>
    <row r="158" spans="1:4" x14ac:dyDescent="0.25">
      <c r="A158" s="438" t="str">
        <f>IF(BID!$L166=FALSE,BID!A166,"-")</f>
        <v>-</v>
      </c>
      <c r="B158" s="114" t="str">
        <f>IF(BID!$L166=FALSE,BID!B166,"-")</f>
        <v>-</v>
      </c>
      <c r="C158" s="30" t="str">
        <f>IF(BID!$L166=FALSE,BID!C166,"-")</f>
        <v>-</v>
      </c>
      <c r="D158" s="114" t="str">
        <f>IF(BID!$L166=FALSE,BID!D166,"-")</f>
        <v>-</v>
      </c>
    </row>
    <row r="159" spans="1:4" x14ac:dyDescent="0.25">
      <c r="A159" s="438" t="str">
        <f>IF(BID!$L167=FALSE,BID!A167,"-")</f>
        <v>-</v>
      </c>
      <c r="B159" s="114" t="str">
        <f>IF(BID!$L167=FALSE,BID!B167,"-")</f>
        <v>-</v>
      </c>
      <c r="C159" s="30" t="str">
        <f>IF(BID!$L167=FALSE,BID!C167,"-")</f>
        <v>-</v>
      </c>
      <c r="D159" s="114" t="str">
        <f>IF(BID!$L167=FALSE,BID!D167,"-")</f>
        <v>-</v>
      </c>
    </row>
    <row r="160" spans="1:4" x14ac:dyDescent="0.25">
      <c r="A160" s="438" t="str">
        <f>IF(BID!$L168=FALSE,BID!A168,"-")</f>
        <v>-</v>
      </c>
      <c r="B160" s="114" t="str">
        <f>IF(BID!$L168=FALSE,BID!B168,"-")</f>
        <v>-</v>
      </c>
      <c r="C160" s="30" t="str">
        <f>IF(BID!$L168=FALSE,BID!C168,"-")</f>
        <v>-</v>
      </c>
      <c r="D160" s="114" t="str">
        <f>IF(BID!$L168=FALSE,BID!D168,"-")</f>
        <v>-</v>
      </c>
    </row>
    <row r="161" spans="1:4" x14ac:dyDescent="0.25">
      <c r="A161" s="438" t="str">
        <f>IF(BID!$L169=FALSE,BID!A169,"-")</f>
        <v>-</v>
      </c>
      <c r="B161" s="114" t="str">
        <f>IF(BID!$L169=FALSE,BID!B169,"-")</f>
        <v>-</v>
      </c>
      <c r="C161" s="30" t="str">
        <f>IF(BID!$L169=FALSE,BID!C169,"-")</f>
        <v>-</v>
      </c>
      <c r="D161" s="114" t="str">
        <f>IF(BID!$L169=FALSE,BID!D169,"-")</f>
        <v>-</v>
      </c>
    </row>
    <row r="162" spans="1:4" x14ac:dyDescent="0.25">
      <c r="A162" s="438" t="str">
        <f>IF(BID!$L170=FALSE,BID!A170,"-")</f>
        <v>-</v>
      </c>
      <c r="B162" s="114" t="str">
        <f>IF(BID!$L170=FALSE,BID!B170,"-")</f>
        <v>-</v>
      </c>
      <c r="C162" s="30" t="str">
        <f>IF(BID!$L170=FALSE,BID!C170,"-")</f>
        <v>-</v>
      </c>
      <c r="D162" s="114" t="str">
        <f>IF(BID!$L170=FALSE,BID!D170,"-")</f>
        <v>-</v>
      </c>
    </row>
    <row r="163" spans="1:4" x14ac:dyDescent="0.25">
      <c r="A163" s="438" t="str">
        <f>IF(BID!$L171=FALSE,BID!A171,"-")</f>
        <v>-</v>
      </c>
      <c r="B163" s="114" t="str">
        <f>IF(BID!$L171=FALSE,BID!B171,"-")</f>
        <v>-</v>
      </c>
      <c r="C163" s="30" t="str">
        <f>IF(BID!$L171=FALSE,BID!C171,"-")</f>
        <v>-</v>
      </c>
      <c r="D163" s="114" t="str">
        <f>IF(BID!$L171=FALSE,BID!D171,"-")</f>
        <v>-</v>
      </c>
    </row>
    <row r="164" spans="1:4" x14ac:dyDescent="0.25">
      <c r="A164" s="438" t="str">
        <f>IF(BID!$L172=FALSE,BID!A172,"-")</f>
        <v>-</v>
      </c>
      <c r="B164" s="114" t="str">
        <f>IF(BID!$L172=FALSE,BID!B172,"-")</f>
        <v>-</v>
      </c>
      <c r="C164" s="30" t="str">
        <f>IF(BID!$L172=FALSE,BID!C172,"-")</f>
        <v>-</v>
      </c>
      <c r="D164" s="114" t="str">
        <f>IF(BID!$L172=FALSE,BID!D172,"-")</f>
        <v>-</v>
      </c>
    </row>
    <row r="165" spans="1:4" x14ac:dyDescent="0.25">
      <c r="A165" s="438" t="str">
        <f>IF(BID!$L173=FALSE,BID!A173,"-")</f>
        <v>-</v>
      </c>
      <c r="B165" s="114" t="str">
        <f>IF(BID!$L173=FALSE,BID!B173,"-")</f>
        <v>-</v>
      </c>
      <c r="C165" s="30" t="str">
        <f>IF(BID!$L173=FALSE,BID!C173,"-")</f>
        <v>-</v>
      </c>
      <c r="D165" s="114" t="str">
        <f>IF(BID!$L173=FALSE,BID!D173,"-")</f>
        <v>-</v>
      </c>
    </row>
    <row r="166" spans="1:4" x14ac:dyDescent="0.25">
      <c r="A166" s="438" t="str">
        <f>IF(BID!$L174=FALSE,BID!A174,"-")</f>
        <v>-</v>
      </c>
      <c r="B166" s="114" t="str">
        <f>IF(BID!$L174=FALSE,BID!B174,"-")</f>
        <v>-</v>
      </c>
      <c r="C166" s="30" t="str">
        <f>IF(BID!$L174=FALSE,BID!C174,"-")</f>
        <v>-</v>
      </c>
      <c r="D166" s="114" t="str">
        <f>IF(BID!$L174=FALSE,BID!D174,"-")</f>
        <v>-</v>
      </c>
    </row>
    <row r="167" spans="1:4" x14ac:dyDescent="0.25">
      <c r="A167" s="438" t="str">
        <f>IF(BID!$L175=FALSE,BID!A175,"-")</f>
        <v>-</v>
      </c>
      <c r="B167" s="114" t="str">
        <f>IF(BID!$L175=FALSE,BID!B175,"-")</f>
        <v>-</v>
      </c>
      <c r="C167" s="30" t="str">
        <f>IF(BID!$L175=FALSE,BID!C175,"-")</f>
        <v>-</v>
      </c>
      <c r="D167" s="114" t="str">
        <f>IF(BID!$L175=FALSE,BID!D175,"-")</f>
        <v>-</v>
      </c>
    </row>
    <row r="168" spans="1:4" x14ac:dyDescent="0.25">
      <c r="A168" s="438">
        <f>IF(BID!$L176=FALSE,BID!A176,"-")</f>
        <v>153</v>
      </c>
      <c r="B168" s="114" t="str">
        <f>IF(BID!$L176=FALSE,BID!B176,"-")</f>
        <v>DICLOFENAC 75MG SR TAB</v>
      </c>
      <c r="C168" s="30">
        <f>IF(BID!$L176=FALSE,BID!C176,"-")</f>
        <v>30</v>
      </c>
      <c r="D168" s="114">
        <f>IF(BID!$L176=FALSE,BID!D176,"-")</f>
        <v>40</v>
      </c>
    </row>
    <row r="169" spans="1:4" x14ac:dyDescent="0.25">
      <c r="A169" s="438" t="str">
        <f>IF(BID!$L177=FALSE,BID!A177,"-")</f>
        <v>-</v>
      </c>
      <c r="B169" s="114" t="str">
        <f>IF(BID!$L177=FALSE,BID!B177,"-")</f>
        <v>-</v>
      </c>
      <c r="C169" s="30" t="str">
        <f>IF(BID!$L177=FALSE,BID!C177,"-")</f>
        <v>-</v>
      </c>
      <c r="D169" s="114" t="str">
        <f>IF(BID!$L177=FALSE,BID!D177,"-")</f>
        <v>-</v>
      </c>
    </row>
    <row r="170" spans="1:4" x14ac:dyDescent="0.25">
      <c r="A170" s="438" t="str">
        <f>IF(BID!$L178=FALSE,BID!A178,"-")</f>
        <v>-</v>
      </c>
      <c r="B170" s="114" t="str">
        <f>IF(BID!$L178=FALSE,BID!B178,"-")</f>
        <v>-</v>
      </c>
      <c r="C170" s="30" t="str">
        <f>IF(BID!$L178=FALSE,BID!C178,"-")</f>
        <v>-</v>
      </c>
      <c r="D170" s="114" t="str">
        <f>IF(BID!$L178=FALSE,BID!D178,"-")</f>
        <v>-</v>
      </c>
    </row>
    <row r="171" spans="1:4" s="42" customFormat="1" ht="18.75" x14ac:dyDescent="0.3">
      <c r="A171" s="438" t="str">
        <f>IF(BID!$L179=FALSE,BID!A179,"-")</f>
        <v>-</v>
      </c>
      <c r="B171" s="114" t="str">
        <f>IF(BID!$L179=FALSE,BID!B179,"-")</f>
        <v>-</v>
      </c>
      <c r="C171" s="30" t="str">
        <f>IF(BID!$L179=FALSE,BID!C179,"-")</f>
        <v>-</v>
      </c>
      <c r="D171" s="114" t="str">
        <f>IF(BID!$L179=FALSE,BID!D179,"-")</f>
        <v>-</v>
      </c>
    </row>
    <row r="172" spans="1:4" x14ac:dyDescent="0.25">
      <c r="A172" s="438" t="str">
        <f>IF(BID!$L180=FALSE,BID!A180,"-")</f>
        <v>-</v>
      </c>
      <c r="B172" s="114" t="str">
        <f>IF(BID!$L180=FALSE,BID!B180,"-")</f>
        <v>-</v>
      </c>
      <c r="C172" s="30" t="str">
        <f>IF(BID!$L180=FALSE,BID!C180,"-")</f>
        <v>-</v>
      </c>
      <c r="D172" s="114" t="str">
        <f>IF(BID!$L180=FALSE,BID!D180,"-")</f>
        <v>-</v>
      </c>
    </row>
    <row r="173" spans="1:4" x14ac:dyDescent="0.25">
      <c r="A173" s="438" t="str">
        <f>IF(BID!$L181=FALSE,BID!A181,"-")</f>
        <v>-</v>
      </c>
      <c r="B173" s="114" t="str">
        <f>IF(BID!$L181=FALSE,BID!B181,"-")</f>
        <v>-</v>
      </c>
      <c r="C173" s="30" t="str">
        <f>IF(BID!$L181=FALSE,BID!C181,"-")</f>
        <v>-</v>
      </c>
      <c r="D173" s="114" t="str">
        <f>IF(BID!$L181=FALSE,BID!D181,"-")</f>
        <v>-</v>
      </c>
    </row>
    <row r="174" spans="1:4" x14ac:dyDescent="0.25">
      <c r="A174" s="438" t="str">
        <f>IF(BID!$L182=FALSE,BID!A182,"-")</f>
        <v>-</v>
      </c>
      <c r="B174" s="114" t="str">
        <f>IF(BID!$L182=FALSE,BID!B182,"-")</f>
        <v>-</v>
      </c>
      <c r="C174" s="30" t="str">
        <f>IF(BID!$L182=FALSE,BID!C182,"-")</f>
        <v>-</v>
      </c>
      <c r="D174" s="114" t="str">
        <f>IF(BID!$L182=FALSE,BID!D182,"-")</f>
        <v>-</v>
      </c>
    </row>
    <row r="175" spans="1:4" x14ac:dyDescent="0.25">
      <c r="A175" s="438">
        <f>IF(BID!$L183=FALSE,BID!A183,"-")</f>
        <v>160</v>
      </c>
      <c r="B175" s="114" t="str">
        <f>IF(BID!$L183=FALSE,BID!B183,"-")</f>
        <v>HYDROXYCHLOROQUINE 200MG TAB</v>
      </c>
      <c r="C175" s="30">
        <f>IF(BID!$L183=FALSE,BID!C183,"-")</f>
        <v>20</v>
      </c>
      <c r="D175" s="114">
        <f>IF(BID!$L183=FALSE,BID!D183,"-")</f>
        <v>100</v>
      </c>
    </row>
    <row r="176" spans="1:4" x14ac:dyDescent="0.25">
      <c r="A176" s="438" t="str">
        <f>IF(BID!$L184=FALSE,BID!A184,"-")</f>
        <v>-</v>
      </c>
      <c r="B176" s="114" t="str">
        <f>IF(BID!$L184=FALSE,BID!B184,"-")</f>
        <v>-</v>
      </c>
      <c r="C176" s="30" t="str">
        <f>IF(BID!$L184=FALSE,BID!C184,"-")</f>
        <v>-</v>
      </c>
      <c r="D176" s="114" t="str">
        <f>IF(BID!$L184=FALSE,BID!D184,"-")</f>
        <v>-</v>
      </c>
    </row>
    <row r="177" spans="1:4" x14ac:dyDescent="0.25">
      <c r="A177" s="438" t="str">
        <f>IF(BID!$L185=FALSE,BID!A185,"-")</f>
        <v>-</v>
      </c>
      <c r="B177" s="114" t="str">
        <f>IF(BID!$L185=FALSE,BID!B185,"-")</f>
        <v>-</v>
      </c>
      <c r="C177" s="30" t="str">
        <f>IF(BID!$L185=FALSE,BID!C185,"-")</f>
        <v>-</v>
      </c>
      <c r="D177" s="114" t="str">
        <f>IF(BID!$L185=FALSE,BID!D185,"-")</f>
        <v>-</v>
      </c>
    </row>
    <row r="178" spans="1:4" x14ac:dyDescent="0.25">
      <c r="A178" s="438" t="str">
        <f>IF(BID!$L186=FALSE,BID!A186,"-")</f>
        <v>-</v>
      </c>
      <c r="B178" s="114" t="str">
        <f>IF(BID!$L186=FALSE,BID!B186,"-")</f>
        <v>-</v>
      </c>
      <c r="C178" s="30" t="str">
        <f>IF(BID!$L186=FALSE,BID!C186,"-")</f>
        <v>-</v>
      </c>
      <c r="D178" s="114" t="str">
        <f>IF(BID!$L186=FALSE,BID!D186,"-")</f>
        <v>-</v>
      </c>
    </row>
    <row r="179" spans="1:4" x14ac:dyDescent="0.25">
      <c r="A179" s="438" t="str">
        <f>IF(BID!$L187=FALSE,BID!A187,"-")</f>
        <v>-</v>
      </c>
      <c r="B179" s="114" t="str">
        <f>IF(BID!$L187=FALSE,BID!B187,"-")</f>
        <v>-</v>
      </c>
      <c r="C179" s="30" t="str">
        <f>IF(BID!$L187=FALSE,BID!C187,"-")</f>
        <v>-</v>
      </c>
      <c r="D179" s="114" t="str">
        <f>IF(BID!$L187=FALSE,BID!D187,"-")</f>
        <v>-</v>
      </c>
    </row>
    <row r="180" spans="1:4" x14ac:dyDescent="0.25">
      <c r="A180" s="438" t="str">
        <f>IF(BID!$L188=FALSE,BID!A188,"-")</f>
        <v>-</v>
      </c>
      <c r="B180" s="114" t="str">
        <f>IF(BID!$L188=FALSE,BID!B188,"-")</f>
        <v>-</v>
      </c>
      <c r="C180" s="30" t="str">
        <f>IF(BID!$L188=FALSE,BID!C188,"-")</f>
        <v>-</v>
      </c>
      <c r="D180" s="114" t="str">
        <f>IF(BID!$L188=FALSE,BID!D188,"-")</f>
        <v>-</v>
      </c>
    </row>
    <row r="181" spans="1:4" x14ac:dyDescent="0.25">
      <c r="A181" s="438" t="str">
        <f>IF(BID!$L189=FALSE,BID!A189,"-")</f>
        <v>-</v>
      </c>
      <c r="B181" s="114" t="str">
        <f>IF(BID!$L189=FALSE,BID!B189,"-")</f>
        <v>-</v>
      </c>
      <c r="C181" s="30" t="str">
        <f>IF(BID!$L189=FALSE,BID!C189,"-")</f>
        <v>-</v>
      </c>
      <c r="D181" s="114" t="str">
        <f>IF(BID!$L189=FALSE,BID!D189,"-")</f>
        <v>-</v>
      </c>
    </row>
    <row r="182" spans="1:4" x14ac:dyDescent="0.25">
      <c r="A182" s="438" t="str">
        <f>IF(BID!$L190=FALSE,BID!A190,"-")</f>
        <v>-</v>
      </c>
      <c r="B182" s="114" t="str">
        <f>IF(BID!$L190=FALSE,BID!B190,"-")</f>
        <v>-</v>
      </c>
      <c r="C182" s="30" t="str">
        <f>IF(BID!$L190=FALSE,BID!C190,"-")</f>
        <v>-</v>
      </c>
      <c r="D182" s="114" t="str">
        <f>IF(BID!$L190=FALSE,BID!D190,"-")</f>
        <v>-</v>
      </c>
    </row>
    <row r="183" spans="1:4" x14ac:dyDescent="0.25">
      <c r="A183" s="438" t="str">
        <f>IF(BID!$L191=FALSE,BID!A191,"-")</f>
        <v>-</v>
      </c>
      <c r="B183" s="114" t="str">
        <f>IF(BID!$L191=FALSE,BID!B191,"-")</f>
        <v>-</v>
      </c>
      <c r="C183" s="30" t="str">
        <f>IF(BID!$L191=FALSE,BID!C191,"-")</f>
        <v>-</v>
      </c>
      <c r="D183" s="114" t="str">
        <f>IF(BID!$L191=FALSE,BID!D191,"-")</f>
        <v>-</v>
      </c>
    </row>
    <row r="184" spans="1:4" x14ac:dyDescent="0.25">
      <c r="A184" s="438" t="str">
        <f>IF(BID!$L192=FALSE,BID!A192,"-")</f>
        <v>-</v>
      </c>
      <c r="B184" s="114" t="str">
        <f>IF(BID!$L192=FALSE,BID!B192,"-")</f>
        <v>-</v>
      </c>
      <c r="C184" s="30" t="str">
        <f>IF(BID!$L192=FALSE,BID!C192,"-")</f>
        <v>-</v>
      </c>
      <c r="D184" s="114" t="str">
        <f>IF(BID!$L192=FALSE,BID!D192,"-")</f>
        <v>-</v>
      </c>
    </row>
    <row r="185" spans="1:4" x14ac:dyDescent="0.25">
      <c r="A185" s="438" t="str">
        <f>IF(BID!$L193=FALSE,BID!A193,"-")</f>
        <v>-</v>
      </c>
      <c r="B185" s="114" t="str">
        <f>IF(BID!$L193=FALSE,BID!B193,"-")</f>
        <v>-</v>
      </c>
      <c r="C185" s="30" t="str">
        <f>IF(BID!$L193=FALSE,BID!C193,"-")</f>
        <v>-</v>
      </c>
      <c r="D185" s="114" t="str">
        <f>IF(BID!$L193=FALSE,BID!D193,"-")</f>
        <v>-</v>
      </c>
    </row>
    <row r="186" spans="1:4" x14ac:dyDescent="0.25">
      <c r="A186" s="438">
        <f>IF(BID!$L194=FALSE,BID!A194,"-")</f>
        <v>171</v>
      </c>
      <c r="B186" s="114" t="str">
        <f>IF(BID!$L194=FALSE,BID!B194,"-")</f>
        <v>MORPHINE 10MG INJ</v>
      </c>
      <c r="C186" s="30">
        <f>IF(BID!$L194=FALSE,BID!C194,"-")</f>
        <v>10</v>
      </c>
      <c r="D186" s="114">
        <f>IF(BID!$L194=FALSE,BID!D194,"-")</f>
        <v>4</v>
      </c>
    </row>
    <row r="187" spans="1:4" x14ac:dyDescent="0.25">
      <c r="A187" s="438">
        <f>IF(BID!$L195=FALSE,BID!A195,"-")</f>
        <v>172</v>
      </c>
      <c r="B187" s="114" t="str">
        <f>IF(BID!$L195=FALSE,BID!B195,"-")</f>
        <v>MORPHINE 15MG INJ</v>
      </c>
      <c r="C187" s="30">
        <f>IF(BID!$L195=FALSE,BID!C195,"-")</f>
        <v>10</v>
      </c>
      <c r="D187" s="114">
        <f>IF(BID!$L195=FALSE,BID!D195,"-")</f>
        <v>4</v>
      </c>
    </row>
    <row r="188" spans="1:4" x14ac:dyDescent="0.25">
      <c r="A188" s="438">
        <f>IF(BID!$L196=FALSE,BID!A196,"-")</f>
        <v>173</v>
      </c>
      <c r="B188" s="114" t="str">
        <f>IF(BID!$L196=FALSE,BID!B196,"-")</f>
        <v>MORPHINE POWDER</v>
      </c>
      <c r="C188" s="30" t="str">
        <f>IF(BID!$L196=FALSE,BID!C196,"-")</f>
        <v>25G</v>
      </c>
      <c r="D188" s="114">
        <f>IF(BID!$L196=FALSE,BID!D196,"-")</f>
        <v>10</v>
      </c>
    </row>
    <row r="189" spans="1:4" x14ac:dyDescent="0.25">
      <c r="A189" s="438">
        <f>IF(BID!$L197=FALSE,BID!A197,"-")</f>
        <v>174</v>
      </c>
      <c r="B189" s="114" t="str">
        <f>IF(BID!$L197=FALSE,BID!B197,"-")</f>
        <v>NALOXONE INJ</v>
      </c>
      <c r="C189" s="30" t="str">
        <f>IF(BID!$L197=FALSE,BID!C197,"-")</f>
        <v>AMP</v>
      </c>
      <c r="D189" s="114">
        <f>IF(BID!$L197=FALSE,BID!D197,"-")</f>
        <v>40</v>
      </c>
    </row>
    <row r="190" spans="1:4" x14ac:dyDescent="0.25">
      <c r="A190" s="438">
        <f>IF(BID!$L198=FALSE,BID!A198,"-")</f>
        <v>175</v>
      </c>
      <c r="B190" s="114" t="str">
        <f>IF(BID!$L198=FALSE,BID!B198,"-")</f>
        <v>NAPROXEN 500MG+ESOMEPRAZOLE 20MG</v>
      </c>
      <c r="C190" s="30">
        <f>IF(BID!$L198=FALSE,BID!C198,"-")</f>
        <v>32</v>
      </c>
      <c r="D190" s="114">
        <f>IF(BID!$L198=FALSE,BID!D198,"-")</f>
        <v>40</v>
      </c>
    </row>
    <row r="191" spans="1:4" x14ac:dyDescent="0.25">
      <c r="A191" s="438" t="str">
        <f>IF(BID!$L199=FALSE,BID!A199,"-")</f>
        <v>-</v>
      </c>
      <c r="B191" s="114" t="str">
        <f>IF(BID!$L199=FALSE,BID!B199,"-")</f>
        <v>-</v>
      </c>
      <c r="C191" s="30" t="str">
        <f>IF(BID!$L199=FALSE,BID!C199,"-")</f>
        <v>-</v>
      </c>
      <c r="D191" s="114" t="str">
        <f>IF(BID!$L199=FALSE,BID!D199,"-")</f>
        <v>-</v>
      </c>
    </row>
    <row r="192" spans="1:4" x14ac:dyDescent="0.25">
      <c r="A192" s="438" t="str">
        <f>IF(BID!$L200=FALSE,BID!A200,"-")</f>
        <v>-</v>
      </c>
      <c r="B192" s="114" t="str">
        <f>IF(BID!$L200=FALSE,BID!B200,"-")</f>
        <v>-</v>
      </c>
      <c r="C192" s="30" t="str">
        <f>IF(BID!$L200=FALSE,BID!C200,"-")</f>
        <v>-</v>
      </c>
      <c r="D192" s="114" t="str">
        <f>IF(BID!$L200=FALSE,BID!D200,"-")</f>
        <v>-</v>
      </c>
    </row>
    <row r="193" spans="1:4" x14ac:dyDescent="0.25">
      <c r="A193" s="438" t="str">
        <f>IF(BID!$L201=FALSE,BID!A201,"-")</f>
        <v>-</v>
      </c>
      <c r="B193" s="114" t="str">
        <f>IF(BID!$L201=FALSE,BID!B201,"-")</f>
        <v>-</v>
      </c>
      <c r="C193" s="30" t="str">
        <f>IF(BID!$L201=FALSE,BID!C201,"-")</f>
        <v>-</v>
      </c>
      <c r="D193" s="114" t="str">
        <f>IF(BID!$L201=FALSE,BID!D201,"-")</f>
        <v>-</v>
      </c>
    </row>
    <row r="194" spans="1:4" x14ac:dyDescent="0.25">
      <c r="A194" s="438" t="str">
        <f>IF(BID!$L202=FALSE,BID!A202,"-")</f>
        <v>-</v>
      </c>
      <c r="B194" s="114" t="str">
        <f>IF(BID!$L202=FALSE,BID!B202,"-")</f>
        <v>-</v>
      </c>
      <c r="C194" s="30" t="str">
        <f>IF(BID!$L202=FALSE,BID!C202,"-")</f>
        <v>-</v>
      </c>
      <c r="D194" s="114" t="str">
        <f>IF(BID!$L202=FALSE,BID!D202,"-")</f>
        <v>-</v>
      </c>
    </row>
    <row r="195" spans="1:4" x14ac:dyDescent="0.25">
      <c r="A195" s="438" t="str">
        <f>IF(BID!$L203=FALSE,BID!A203,"-")</f>
        <v>-</v>
      </c>
      <c r="B195" s="114" t="str">
        <f>IF(BID!$L203=FALSE,BID!B203,"-")</f>
        <v>-</v>
      </c>
      <c r="C195" s="30" t="str">
        <f>IF(BID!$L203=FALSE,BID!C203,"-")</f>
        <v>-</v>
      </c>
      <c r="D195" s="114" t="str">
        <f>IF(BID!$L203=FALSE,BID!D203,"-")</f>
        <v>-</v>
      </c>
    </row>
    <row r="196" spans="1:4" x14ac:dyDescent="0.25">
      <c r="A196" s="438" t="str">
        <f>IF(BID!$L204=FALSE,BID!A204,"-")</f>
        <v>-</v>
      </c>
      <c r="B196" s="114" t="str">
        <f>IF(BID!$L204=FALSE,BID!B204,"-")</f>
        <v>-</v>
      </c>
      <c r="C196" s="30" t="str">
        <f>IF(BID!$L204=FALSE,BID!C204,"-")</f>
        <v>-</v>
      </c>
      <c r="D196" s="114" t="str">
        <f>IF(BID!$L204=FALSE,BID!D204,"-")</f>
        <v>-</v>
      </c>
    </row>
    <row r="197" spans="1:4" x14ac:dyDescent="0.25">
      <c r="A197" s="438" t="str">
        <f>IF(BID!$L205=FALSE,BID!A205,"-")</f>
        <v>-</v>
      </c>
      <c r="B197" s="114" t="str">
        <f>IF(BID!$L205=FALSE,BID!B205,"-")</f>
        <v>-</v>
      </c>
      <c r="C197" s="30" t="str">
        <f>IF(BID!$L205=FALSE,BID!C205,"-")</f>
        <v>-</v>
      </c>
      <c r="D197" s="114" t="str">
        <f>IF(BID!$L205=FALSE,BID!D205,"-")</f>
        <v>-</v>
      </c>
    </row>
    <row r="198" spans="1:4" x14ac:dyDescent="0.25">
      <c r="A198" s="438" t="str">
        <f>IF(BID!$L206=FALSE,BID!A206,"-")</f>
        <v>-</v>
      </c>
      <c r="B198" s="114" t="str">
        <f>IF(BID!$L206=FALSE,BID!B206,"-")</f>
        <v>-</v>
      </c>
      <c r="C198" s="30" t="str">
        <f>IF(BID!$L206=FALSE,BID!C206,"-")</f>
        <v>-</v>
      </c>
      <c r="D198" s="114" t="str">
        <f>IF(BID!$L206=FALSE,BID!D206,"-")</f>
        <v>-</v>
      </c>
    </row>
    <row r="199" spans="1:4" x14ac:dyDescent="0.25">
      <c r="A199" s="438" t="str">
        <f>IF(BID!$L207=FALSE,BID!A207,"-")</f>
        <v>-</v>
      </c>
      <c r="B199" s="114" t="str">
        <f>IF(BID!$L207=FALSE,BID!B207,"-")</f>
        <v>-</v>
      </c>
      <c r="C199" s="30" t="str">
        <f>IF(BID!$L207=FALSE,BID!C207,"-")</f>
        <v>-</v>
      </c>
      <c r="D199" s="114" t="str">
        <f>IF(BID!$L207=FALSE,BID!D207,"-")</f>
        <v>-</v>
      </c>
    </row>
    <row r="200" spans="1:4" x14ac:dyDescent="0.25">
      <c r="A200" s="438">
        <f>IF(BID!$L208=FALSE,BID!A208,"-")</f>
        <v>185</v>
      </c>
      <c r="B200" s="114" t="str">
        <f>IF(BID!$L208=FALSE,BID!B208,"-")</f>
        <v>PETHIDINE 100MG INJ</v>
      </c>
      <c r="C200" s="30">
        <f>IF(BID!$L208=FALSE,BID!C208,"-")</f>
        <v>10</v>
      </c>
      <c r="D200" s="114">
        <f>IF(BID!$L208=FALSE,BID!D208,"-")</f>
        <v>50</v>
      </c>
    </row>
    <row r="201" spans="1:4" x14ac:dyDescent="0.25">
      <c r="A201" s="438">
        <f>IF(BID!$L209=FALSE,BID!A209,"-")</f>
        <v>186</v>
      </c>
      <c r="B201" s="114" t="str">
        <f>IF(BID!$L209=FALSE,BID!B209,"-")</f>
        <v>PETHIDINE 50MG INJ</v>
      </c>
      <c r="C201" s="30">
        <f>IF(BID!$L209=FALSE,BID!C209,"-")</f>
        <v>10</v>
      </c>
      <c r="D201" s="114">
        <f>IF(BID!$L209=FALSE,BID!D209,"-")</f>
        <v>50</v>
      </c>
    </row>
    <row r="202" spans="1:4" x14ac:dyDescent="0.25">
      <c r="A202" s="438">
        <f>IF(BID!$L210=FALSE,BID!A210,"-")</f>
        <v>187</v>
      </c>
      <c r="B202" s="114" t="str">
        <f>IF(BID!$L210=FALSE,BID!B210,"-")</f>
        <v>PHENYLRAMIDOL 400MG TAB</v>
      </c>
      <c r="C202" s="30">
        <f>IF(BID!$L210=FALSE,BID!C210,"-")</f>
        <v>30</v>
      </c>
      <c r="D202" s="114">
        <f>IF(BID!$L210=FALSE,BID!D210,"-")</f>
        <v>30</v>
      </c>
    </row>
    <row r="203" spans="1:4" x14ac:dyDescent="0.25">
      <c r="A203" s="438" t="str">
        <f>IF(BID!$L211=FALSE,BID!A211,"-")</f>
        <v>-</v>
      </c>
      <c r="B203" s="114" t="str">
        <f>IF(BID!$L211=FALSE,BID!B211,"-")</f>
        <v>-</v>
      </c>
      <c r="C203" s="30" t="str">
        <f>IF(BID!$L211=FALSE,BID!C211,"-")</f>
        <v>-</v>
      </c>
      <c r="D203" s="114" t="str">
        <f>IF(BID!$L211=FALSE,BID!D211,"-")</f>
        <v>-</v>
      </c>
    </row>
    <row r="204" spans="1:4" x14ac:dyDescent="0.25">
      <c r="A204" s="438" t="str">
        <f>IF(BID!$L212=FALSE,BID!A212,"-")</f>
        <v>-</v>
      </c>
      <c r="B204" s="114" t="str">
        <f>IF(BID!$L212=FALSE,BID!B212,"-")</f>
        <v>-</v>
      </c>
      <c r="C204" s="30" t="str">
        <f>IF(BID!$L212=FALSE,BID!C212,"-")</f>
        <v>-</v>
      </c>
      <c r="D204" s="114" t="str">
        <f>IF(BID!$L212=FALSE,BID!D212,"-")</f>
        <v>-</v>
      </c>
    </row>
    <row r="205" spans="1:4" x14ac:dyDescent="0.25">
      <c r="A205" s="438" t="str">
        <f>IF(BID!$L213=FALSE,BID!A213,"-")</f>
        <v>-</v>
      </c>
      <c r="B205" s="114" t="str">
        <f>IF(BID!$L213=FALSE,BID!B213,"-")</f>
        <v>-</v>
      </c>
      <c r="C205" s="30" t="str">
        <f>IF(BID!$L213=FALSE,BID!C213,"-")</f>
        <v>-</v>
      </c>
      <c r="D205" s="114" t="str">
        <f>IF(BID!$L213=FALSE,BID!D213,"-")</f>
        <v>-</v>
      </c>
    </row>
    <row r="206" spans="1:4" x14ac:dyDescent="0.25">
      <c r="A206" s="438" t="str">
        <f>IF(BID!$L214=FALSE,BID!A214,"-")</f>
        <v>-</v>
      </c>
      <c r="B206" s="114" t="str">
        <f>IF(BID!$L214=FALSE,BID!B214,"-")</f>
        <v>-</v>
      </c>
      <c r="C206" s="30" t="str">
        <f>IF(BID!$L214=FALSE,BID!C214,"-")</f>
        <v>-</v>
      </c>
      <c r="D206" s="114" t="str">
        <f>IF(BID!$L214=FALSE,BID!D214,"-")</f>
        <v>-</v>
      </c>
    </row>
    <row r="207" spans="1:4" x14ac:dyDescent="0.25">
      <c r="A207" s="438" t="str">
        <f>IF(BID!$L215=FALSE,BID!A215,"-")</f>
        <v>-</v>
      </c>
      <c r="B207" s="114" t="str">
        <f>IF(BID!$L215=FALSE,BID!B215,"-")</f>
        <v>-</v>
      </c>
      <c r="C207" s="30" t="str">
        <f>IF(BID!$L215=FALSE,BID!C215,"-")</f>
        <v>-</v>
      </c>
      <c r="D207" s="114" t="str">
        <f>IF(BID!$L215=FALSE,BID!D215,"-")</f>
        <v>-</v>
      </c>
    </row>
    <row r="208" spans="1:4" x14ac:dyDescent="0.25">
      <c r="A208" s="438" t="str">
        <f>IF(BID!$L216=FALSE,BID!A216,"-")</f>
        <v>-</v>
      </c>
      <c r="B208" s="114" t="str">
        <f>IF(BID!$L216=FALSE,BID!B216,"-")</f>
        <v>-</v>
      </c>
      <c r="C208" s="30" t="str">
        <f>IF(BID!$L216=FALSE,BID!C216,"-")</f>
        <v>-</v>
      </c>
      <c r="D208" s="114" t="str">
        <f>IF(BID!$L216=FALSE,BID!D216,"-")</f>
        <v>-</v>
      </c>
    </row>
    <row r="209" spans="1:4" x14ac:dyDescent="0.25">
      <c r="A209" s="438">
        <f>IF(BID!$L217=FALSE,BID!A217,"-")</f>
        <v>0</v>
      </c>
      <c r="B209" s="114">
        <f>IF(BID!$L217=FALSE,BID!B217,"-")</f>
        <v>0</v>
      </c>
      <c r="C209" s="30">
        <f>IF(BID!$L217=FALSE,BID!C217,"-")</f>
        <v>0</v>
      </c>
      <c r="D209" s="114">
        <f>IF(BID!$L217=FALSE,BID!D217,"-")</f>
        <v>0</v>
      </c>
    </row>
    <row r="210" spans="1:4" x14ac:dyDescent="0.25">
      <c r="A210" s="438">
        <f>IF(BID!$L218=FALSE,BID!A218,"-")</f>
        <v>0</v>
      </c>
      <c r="B210" s="114">
        <f>IF(BID!$L218=FALSE,BID!B218,"-")</f>
        <v>0</v>
      </c>
      <c r="C210" s="30">
        <f>IF(BID!$L218=FALSE,BID!C218,"-")</f>
        <v>0</v>
      </c>
      <c r="D210" s="114">
        <f>IF(BID!$L218=FALSE,BID!D218,"-")</f>
        <v>0</v>
      </c>
    </row>
    <row r="211" spans="1:4" x14ac:dyDescent="0.25">
      <c r="A211" s="438" t="str">
        <f>IF(BID!$L219=FALSE,BID!A219,"-")</f>
        <v>LOT 5</v>
      </c>
      <c r="B211" s="114" t="str">
        <f>IF(BID!$L219=FALSE,BID!B219,"-")</f>
        <v>ANTIBIOTICS/ANTI-INFECTIVES</v>
      </c>
      <c r="C211" s="30">
        <f>IF(BID!$L219=FALSE,BID!C219,"-")</f>
        <v>0</v>
      </c>
      <c r="D211" s="114">
        <f>IF(BID!$L219=FALSE,BID!D219,"-")</f>
        <v>0</v>
      </c>
    </row>
    <row r="212" spans="1:4" x14ac:dyDescent="0.25">
      <c r="A212" s="438" t="str">
        <f>IF(BID!$L220=FALSE,BID!A220,"-")</f>
        <v>-</v>
      </c>
      <c r="B212" s="114" t="str">
        <f>IF(BID!$L220=FALSE,BID!B220,"-")</f>
        <v>-</v>
      </c>
      <c r="C212" s="30" t="str">
        <f>IF(BID!$L220=FALSE,BID!C220,"-")</f>
        <v>-</v>
      </c>
      <c r="D212" s="114" t="str">
        <f>IF(BID!$L220=FALSE,BID!D220,"-")</f>
        <v>-</v>
      </c>
    </row>
    <row r="213" spans="1:4" x14ac:dyDescent="0.25">
      <c r="A213" s="438" t="str">
        <f>IF(BID!$L221=FALSE,BID!A221,"-")</f>
        <v>-</v>
      </c>
      <c r="B213" s="114" t="str">
        <f>IF(BID!$L221=FALSE,BID!B221,"-")</f>
        <v>-</v>
      </c>
      <c r="C213" s="30" t="str">
        <f>IF(BID!$L221=FALSE,BID!C221,"-")</f>
        <v>-</v>
      </c>
      <c r="D213" s="114" t="str">
        <f>IF(BID!$L221=FALSE,BID!D221,"-")</f>
        <v>-</v>
      </c>
    </row>
    <row r="214" spans="1:4" x14ac:dyDescent="0.25">
      <c r="A214" s="438" t="str">
        <f>IF(BID!$L222=FALSE,BID!A222,"-")</f>
        <v>-</v>
      </c>
      <c r="B214" s="114" t="str">
        <f>IF(BID!$L222=FALSE,BID!B222,"-")</f>
        <v>-</v>
      </c>
      <c r="C214" s="30" t="str">
        <f>IF(BID!$L222=FALSE,BID!C222,"-")</f>
        <v>-</v>
      </c>
      <c r="D214" s="114" t="str">
        <f>IF(BID!$L222=FALSE,BID!D222,"-")</f>
        <v>-</v>
      </c>
    </row>
    <row r="215" spans="1:4" x14ac:dyDescent="0.25">
      <c r="A215" s="438" t="str">
        <f>IF(BID!$L223=FALSE,BID!A223,"-")</f>
        <v>-</v>
      </c>
      <c r="B215" s="114" t="str">
        <f>IF(BID!$L223=FALSE,BID!B223,"-")</f>
        <v>-</v>
      </c>
      <c r="C215" s="30" t="str">
        <f>IF(BID!$L223=FALSE,BID!C223,"-")</f>
        <v>-</v>
      </c>
      <c r="D215" s="114" t="str">
        <f>IF(BID!$L223=FALSE,BID!D223,"-")</f>
        <v>-</v>
      </c>
    </row>
    <row r="216" spans="1:4" x14ac:dyDescent="0.25">
      <c r="A216" s="438" t="str">
        <f>IF(BID!$L224=FALSE,BID!A224,"-")</f>
        <v>-</v>
      </c>
      <c r="B216" s="114" t="str">
        <f>IF(BID!$L224=FALSE,BID!B224,"-")</f>
        <v>-</v>
      </c>
      <c r="C216" s="30" t="str">
        <f>IF(BID!$L224=FALSE,BID!C224,"-")</f>
        <v>-</v>
      </c>
      <c r="D216" s="114" t="str">
        <f>IF(BID!$L224=FALSE,BID!D224,"-")</f>
        <v>-</v>
      </c>
    </row>
    <row r="217" spans="1:4" x14ac:dyDescent="0.25">
      <c r="A217" s="438" t="str">
        <f>IF(BID!$L225=FALSE,BID!A225,"-")</f>
        <v>-</v>
      </c>
      <c r="B217" s="114" t="str">
        <f>IF(BID!$L225=FALSE,BID!B225,"-")</f>
        <v>-</v>
      </c>
      <c r="C217" s="30" t="str">
        <f>IF(BID!$L225=FALSE,BID!C225,"-")</f>
        <v>-</v>
      </c>
      <c r="D217" s="114" t="str">
        <f>IF(BID!$L225=FALSE,BID!D225,"-")</f>
        <v>-</v>
      </c>
    </row>
    <row r="218" spans="1:4" x14ac:dyDescent="0.25">
      <c r="A218" s="438" t="str">
        <f>IF(BID!$L226=FALSE,BID!A226,"-")</f>
        <v>-</v>
      </c>
      <c r="B218" s="114" t="str">
        <f>IF(BID!$L226=FALSE,BID!B226,"-")</f>
        <v>-</v>
      </c>
      <c r="C218" s="30" t="str">
        <f>IF(BID!$L226=FALSE,BID!C226,"-")</f>
        <v>-</v>
      </c>
      <c r="D218" s="114" t="str">
        <f>IF(BID!$L226=FALSE,BID!D226,"-")</f>
        <v>-</v>
      </c>
    </row>
    <row r="219" spans="1:4" x14ac:dyDescent="0.25">
      <c r="A219" s="438" t="str">
        <f>IF(BID!$L227=FALSE,BID!A227,"-")</f>
        <v>-</v>
      </c>
      <c r="B219" s="114" t="str">
        <f>IF(BID!$L227=FALSE,BID!B227,"-")</f>
        <v>-</v>
      </c>
      <c r="C219" s="30" t="str">
        <f>IF(BID!$L227=FALSE,BID!C227,"-")</f>
        <v>-</v>
      </c>
      <c r="D219" s="114" t="str">
        <f>IF(BID!$L227=FALSE,BID!D227,"-")</f>
        <v>-</v>
      </c>
    </row>
    <row r="220" spans="1:4" x14ac:dyDescent="0.25">
      <c r="A220" s="438" t="str">
        <f>IF(BID!$L228=FALSE,BID!A228,"-")</f>
        <v>-</v>
      </c>
      <c r="B220" s="114" t="str">
        <f>IF(BID!$L228=FALSE,BID!B228,"-")</f>
        <v>-</v>
      </c>
      <c r="C220" s="30" t="str">
        <f>IF(BID!$L228=FALSE,BID!C228,"-")</f>
        <v>-</v>
      </c>
      <c r="D220" s="114" t="str">
        <f>IF(BID!$L228=FALSE,BID!D228,"-")</f>
        <v>-</v>
      </c>
    </row>
    <row r="221" spans="1:4" x14ac:dyDescent="0.25">
      <c r="A221" s="438" t="str">
        <f>IF(BID!$L229=FALSE,BID!A229,"-")</f>
        <v>-</v>
      </c>
      <c r="B221" s="114" t="str">
        <f>IF(BID!$L229=FALSE,BID!B229,"-")</f>
        <v>-</v>
      </c>
      <c r="C221" s="30" t="str">
        <f>IF(BID!$L229=FALSE,BID!C229,"-")</f>
        <v>-</v>
      </c>
      <c r="D221" s="114" t="str">
        <f>IF(BID!$L229=FALSE,BID!D229,"-")</f>
        <v>-</v>
      </c>
    </row>
    <row r="222" spans="1:4" x14ac:dyDescent="0.25">
      <c r="A222" s="438" t="str">
        <f>IF(BID!$L230=FALSE,BID!A230,"-")</f>
        <v>-</v>
      </c>
      <c r="B222" s="114" t="str">
        <f>IF(BID!$L230=FALSE,BID!B230,"-")</f>
        <v>-</v>
      </c>
      <c r="C222" s="30" t="str">
        <f>IF(BID!$L230=FALSE,BID!C230,"-")</f>
        <v>-</v>
      </c>
      <c r="D222" s="114" t="str">
        <f>IF(BID!$L230=FALSE,BID!D230,"-")</f>
        <v>-</v>
      </c>
    </row>
    <row r="223" spans="1:4" x14ac:dyDescent="0.25">
      <c r="A223" s="438" t="str">
        <f>IF(BID!$L231=FALSE,BID!A231,"-")</f>
        <v>-</v>
      </c>
      <c r="B223" s="114" t="str">
        <f>IF(BID!$L231=FALSE,BID!B231,"-")</f>
        <v>-</v>
      </c>
      <c r="C223" s="30" t="str">
        <f>IF(BID!$L231=FALSE,BID!C231,"-")</f>
        <v>-</v>
      </c>
      <c r="D223" s="114" t="str">
        <f>IF(BID!$L231=FALSE,BID!D231,"-")</f>
        <v>-</v>
      </c>
    </row>
    <row r="224" spans="1:4" x14ac:dyDescent="0.25">
      <c r="A224" s="438" t="str">
        <f>IF(BID!$L232=FALSE,BID!A232,"-")</f>
        <v>-</v>
      </c>
      <c r="B224" s="114" t="str">
        <f>IF(BID!$L232=FALSE,BID!B232,"-")</f>
        <v>-</v>
      </c>
      <c r="C224" s="30" t="str">
        <f>IF(BID!$L232=FALSE,BID!C232,"-")</f>
        <v>-</v>
      </c>
      <c r="D224" s="114" t="str">
        <f>IF(BID!$L232=FALSE,BID!D232,"-")</f>
        <v>-</v>
      </c>
    </row>
    <row r="225" spans="1:4" x14ac:dyDescent="0.25">
      <c r="A225" s="438" t="str">
        <f>IF(BID!$L233=FALSE,BID!A233,"-")</f>
        <v>-</v>
      </c>
      <c r="B225" s="114" t="str">
        <f>IF(BID!$L233=FALSE,BID!B233,"-")</f>
        <v>-</v>
      </c>
      <c r="C225" s="30" t="str">
        <f>IF(BID!$L233=FALSE,BID!C233,"-")</f>
        <v>-</v>
      </c>
      <c r="D225" s="114" t="str">
        <f>IF(BID!$L233=FALSE,BID!D233,"-")</f>
        <v>-</v>
      </c>
    </row>
    <row r="226" spans="1:4" x14ac:dyDescent="0.25">
      <c r="A226" s="438" t="str">
        <f>IF(BID!$L234=FALSE,BID!A234,"-")</f>
        <v>-</v>
      </c>
      <c r="B226" s="114" t="str">
        <f>IF(BID!$L234=FALSE,BID!B234,"-")</f>
        <v>-</v>
      </c>
      <c r="C226" s="30" t="str">
        <f>IF(BID!$L234=FALSE,BID!C234,"-")</f>
        <v>-</v>
      </c>
      <c r="D226" s="114" t="str">
        <f>IF(BID!$L234=FALSE,BID!D234,"-")</f>
        <v>-</v>
      </c>
    </row>
    <row r="227" spans="1:4" x14ac:dyDescent="0.25">
      <c r="A227" s="438" t="str">
        <f>IF(BID!$L235=FALSE,BID!A235,"-")</f>
        <v>-</v>
      </c>
      <c r="B227" s="114" t="str">
        <f>IF(BID!$L235=FALSE,BID!B235,"-")</f>
        <v>-</v>
      </c>
      <c r="C227" s="30" t="str">
        <f>IF(BID!$L235=FALSE,BID!C235,"-")</f>
        <v>-</v>
      </c>
      <c r="D227" s="114" t="str">
        <f>IF(BID!$L235=FALSE,BID!D235,"-")</f>
        <v>-</v>
      </c>
    </row>
    <row r="228" spans="1:4" x14ac:dyDescent="0.25">
      <c r="A228" s="438" t="str">
        <f>IF(BID!$L236=FALSE,BID!A236,"-")</f>
        <v>-</v>
      </c>
      <c r="B228" s="114" t="str">
        <f>IF(BID!$L236=FALSE,BID!B236,"-")</f>
        <v>-</v>
      </c>
      <c r="C228" s="30" t="str">
        <f>IF(BID!$L236=FALSE,BID!C236,"-")</f>
        <v>-</v>
      </c>
      <c r="D228" s="114" t="str">
        <f>IF(BID!$L236=FALSE,BID!D236,"-")</f>
        <v>-</v>
      </c>
    </row>
    <row r="229" spans="1:4" x14ac:dyDescent="0.25">
      <c r="A229" s="438" t="str">
        <f>IF(BID!$L237=FALSE,BID!A237,"-")</f>
        <v>-</v>
      </c>
      <c r="B229" s="114" t="str">
        <f>IF(BID!$L237=FALSE,BID!B237,"-")</f>
        <v>-</v>
      </c>
      <c r="C229" s="30" t="str">
        <f>IF(BID!$L237=FALSE,BID!C237,"-")</f>
        <v>-</v>
      </c>
      <c r="D229" s="114" t="str">
        <f>IF(BID!$L237=FALSE,BID!D237,"-")</f>
        <v>-</v>
      </c>
    </row>
    <row r="230" spans="1:4" x14ac:dyDescent="0.25">
      <c r="A230" s="438" t="str">
        <f>IF(BID!$L238=FALSE,BID!A238,"-")</f>
        <v>-</v>
      </c>
      <c r="B230" s="114" t="str">
        <f>IF(BID!$L238=FALSE,BID!B238,"-")</f>
        <v>-</v>
      </c>
      <c r="C230" s="30" t="str">
        <f>IF(BID!$L238=FALSE,BID!C238,"-")</f>
        <v>-</v>
      </c>
      <c r="D230" s="114" t="str">
        <f>IF(BID!$L238=FALSE,BID!D238,"-")</f>
        <v>-</v>
      </c>
    </row>
    <row r="231" spans="1:4" x14ac:dyDescent="0.25">
      <c r="A231" s="438" t="str">
        <f>IF(BID!$L239=FALSE,BID!A239,"-")</f>
        <v>-</v>
      </c>
      <c r="B231" s="114" t="str">
        <f>IF(BID!$L239=FALSE,BID!B239,"-")</f>
        <v>-</v>
      </c>
      <c r="C231" s="30" t="str">
        <f>IF(BID!$L239=FALSE,BID!C239,"-")</f>
        <v>-</v>
      </c>
      <c r="D231" s="114" t="str">
        <f>IF(BID!$L239=FALSE,BID!D239,"-")</f>
        <v>-</v>
      </c>
    </row>
    <row r="232" spans="1:4" x14ac:dyDescent="0.25">
      <c r="A232" s="438" t="str">
        <f>IF(BID!$L240=FALSE,BID!A240,"-")</f>
        <v>-</v>
      </c>
      <c r="B232" s="114" t="str">
        <f>IF(BID!$L240=FALSE,BID!B240,"-")</f>
        <v>-</v>
      </c>
      <c r="C232" s="30" t="str">
        <f>IF(BID!$L240=FALSE,BID!C240,"-")</f>
        <v>-</v>
      </c>
      <c r="D232" s="114" t="str">
        <f>IF(BID!$L240=FALSE,BID!D240,"-")</f>
        <v>-</v>
      </c>
    </row>
    <row r="233" spans="1:4" x14ac:dyDescent="0.25">
      <c r="A233" s="438">
        <f>IF(BID!$L241=FALSE,BID!A241,"-")</f>
        <v>215</v>
      </c>
      <c r="B233" s="114" t="str">
        <f>IF(BID!$L241=FALSE,BID!B241,"-")</f>
        <v>AMPICILLIN+SULBACTAM SUSP</v>
      </c>
      <c r="C233" s="30" t="str">
        <f>IF(BID!$L241=FALSE,BID!C241,"-")</f>
        <v>BOTT</v>
      </c>
      <c r="D233" s="114">
        <f>IF(BID!$L241=FALSE,BID!D241,"-")</f>
        <v>100</v>
      </c>
    </row>
    <row r="234" spans="1:4" x14ac:dyDescent="0.25">
      <c r="A234" s="438" t="str">
        <f>IF(BID!$L242=FALSE,BID!A242,"-")</f>
        <v>-</v>
      </c>
      <c r="B234" s="114" t="str">
        <f>IF(BID!$L242=FALSE,BID!B242,"-")</f>
        <v>-</v>
      </c>
      <c r="C234" s="30" t="str">
        <f>IF(BID!$L242=FALSE,BID!C242,"-")</f>
        <v>-</v>
      </c>
      <c r="D234" s="114" t="str">
        <f>IF(BID!$L242=FALSE,BID!D242,"-")</f>
        <v>-</v>
      </c>
    </row>
    <row r="235" spans="1:4" x14ac:dyDescent="0.25">
      <c r="A235" s="438" t="str">
        <f>IF(BID!$L243=FALSE,BID!A243,"-")</f>
        <v>-</v>
      </c>
      <c r="B235" s="114" t="str">
        <f>IF(BID!$L243=FALSE,BID!B243,"-")</f>
        <v>-</v>
      </c>
      <c r="C235" s="30" t="str">
        <f>IF(BID!$L243=FALSE,BID!C243,"-")</f>
        <v>-</v>
      </c>
      <c r="D235" s="114" t="str">
        <f>IF(BID!$L243=FALSE,BID!D243,"-")</f>
        <v>-</v>
      </c>
    </row>
    <row r="236" spans="1:4" x14ac:dyDescent="0.25">
      <c r="A236" s="438">
        <f>IF(BID!$L244=FALSE,BID!A244,"-")</f>
        <v>218</v>
      </c>
      <c r="B236" s="114" t="str">
        <f>IF(BID!$L244=FALSE,BID!B244,"-")</f>
        <v xml:space="preserve">BENZATHINE PENICILLIN </v>
      </c>
      <c r="C236" s="30" t="str">
        <f>IF(BID!$L244=FALSE,BID!C244,"-")</f>
        <v>VIAL</v>
      </c>
      <c r="D236" s="114">
        <f>IF(BID!$L244=FALSE,BID!D244,"-")</f>
        <v>100</v>
      </c>
    </row>
    <row r="237" spans="1:4" x14ac:dyDescent="0.25">
      <c r="A237" s="438" t="str">
        <f>IF(BID!$L245=FALSE,BID!A245,"-")</f>
        <v>-</v>
      </c>
      <c r="B237" s="114" t="str">
        <f>IF(BID!$L245=FALSE,BID!B245,"-")</f>
        <v>-</v>
      </c>
      <c r="C237" s="30" t="str">
        <f>IF(BID!$L245=FALSE,BID!C245,"-")</f>
        <v>-</v>
      </c>
      <c r="D237" s="114" t="str">
        <f>IF(BID!$L245=FALSE,BID!D245,"-")</f>
        <v>-</v>
      </c>
    </row>
    <row r="238" spans="1:4" x14ac:dyDescent="0.25">
      <c r="A238" s="438" t="str">
        <f>IF(BID!$L246=FALSE,BID!A246,"-")</f>
        <v>-</v>
      </c>
      <c r="B238" s="114" t="str">
        <f>IF(BID!$L246=FALSE,BID!B246,"-")</f>
        <v>-</v>
      </c>
      <c r="C238" s="30" t="str">
        <f>IF(BID!$L246=FALSE,BID!C246,"-")</f>
        <v>-</v>
      </c>
      <c r="D238" s="114" t="str">
        <f>IF(BID!$L246=FALSE,BID!D246,"-")</f>
        <v>-</v>
      </c>
    </row>
    <row r="239" spans="1:4" x14ac:dyDescent="0.25">
      <c r="A239" s="438" t="str">
        <f>IF(BID!$L247=FALSE,BID!A247,"-")</f>
        <v>-</v>
      </c>
      <c r="B239" s="114" t="str">
        <f>IF(BID!$L247=FALSE,BID!B247,"-")</f>
        <v>-</v>
      </c>
      <c r="C239" s="30" t="str">
        <f>IF(BID!$L247=FALSE,BID!C247,"-")</f>
        <v>-</v>
      </c>
      <c r="D239" s="114" t="str">
        <f>IF(BID!$L247=FALSE,BID!D247,"-")</f>
        <v>-</v>
      </c>
    </row>
    <row r="240" spans="1:4" x14ac:dyDescent="0.25">
      <c r="A240" s="438" t="str">
        <f>IF(BID!$L248=FALSE,BID!A248,"-")</f>
        <v>-</v>
      </c>
      <c r="B240" s="114" t="str">
        <f>IF(BID!$L248=FALSE,BID!B248,"-")</f>
        <v>-</v>
      </c>
      <c r="C240" s="30" t="str">
        <f>IF(BID!$L248=FALSE,BID!C248,"-")</f>
        <v>-</v>
      </c>
      <c r="D240" s="114" t="str">
        <f>IF(BID!$L248=FALSE,BID!D248,"-")</f>
        <v>-</v>
      </c>
    </row>
    <row r="241" spans="1:4" x14ac:dyDescent="0.25">
      <c r="A241" s="438" t="str">
        <f>IF(BID!$L249=FALSE,BID!A249,"-")</f>
        <v>-</v>
      </c>
      <c r="B241" s="114" t="str">
        <f>IF(BID!$L249=FALSE,BID!B249,"-")</f>
        <v>-</v>
      </c>
      <c r="C241" s="30" t="str">
        <f>IF(BID!$L249=FALSE,BID!C249,"-")</f>
        <v>-</v>
      </c>
      <c r="D241" s="114" t="str">
        <f>IF(BID!$L249=FALSE,BID!D249,"-")</f>
        <v>-</v>
      </c>
    </row>
    <row r="242" spans="1:4" x14ac:dyDescent="0.25">
      <c r="A242" s="438" t="str">
        <f>IF(BID!$L250=FALSE,BID!A250,"-")</f>
        <v>-</v>
      </c>
      <c r="B242" s="114" t="str">
        <f>IF(BID!$L250=FALSE,BID!B250,"-")</f>
        <v>-</v>
      </c>
      <c r="C242" s="30" t="str">
        <f>IF(BID!$L250=FALSE,BID!C250,"-")</f>
        <v>-</v>
      </c>
      <c r="D242" s="114" t="str">
        <f>IF(BID!$L250=FALSE,BID!D250,"-")</f>
        <v>-</v>
      </c>
    </row>
    <row r="243" spans="1:4" x14ac:dyDescent="0.25">
      <c r="A243" s="438" t="str">
        <f>IF(BID!$L251=FALSE,BID!A251,"-")</f>
        <v>-</v>
      </c>
      <c r="B243" s="114" t="str">
        <f>IF(BID!$L251=FALSE,BID!B251,"-")</f>
        <v>-</v>
      </c>
      <c r="C243" s="30" t="str">
        <f>IF(BID!$L251=FALSE,BID!C251,"-")</f>
        <v>-</v>
      </c>
      <c r="D243" s="114" t="str">
        <f>IF(BID!$L251=FALSE,BID!D251,"-")</f>
        <v>-</v>
      </c>
    </row>
    <row r="244" spans="1:4" x14ac:dyDescent="0.25">
      <c r="A244" s="438" t="str">
        <f>IF(BID!$L252=FALSE,BID!A252,"-")</f>
        <v>-</v>
      </c>
      <c r="B244" s="114" t="str">
        <f>IF(BID!$L252=FALSE,BID!B252,"-")</f>
        <v>-</v>
      </c>
      <c r="C244" s="30" t="str">
        <f>IF(BID!$L252=FALSE,BID!C252,"-")</f>
        <v>-</v>
      </c>
      <c r="D244" s="114" t="str">
        <f>IF(BID!$L252=FALSE,BID!D252,"-")</f>
        <v>-</v>
      </c>
    </row>
    <row r="245" spans="1:4" x14ac:dyDescent="0.25">
      <c r="A245" s="438" t="str">
        <f>IF(BID!$L253=FALSE,BID!A253,"-")</f>
        <v>-</v>
      </c>
      <c r="B245" s="114" t="str">
        <f>IF(BID!$L253=FALSE,BID!B253,"-")</f>
        <v>-</v>
      </c>
      <c r="C245" s="30" t="str">
        <f>IF(BID!$L253=FALSE,BID!C253,"-")</f>
        <v>-</v>
      </c>
      <c r="D245" s="114" t="str">
        <f>IF(BID!$L253=FALSE,BID!D253,"-")</f>
        <v>-</v>
      </c>
    </row>
    <row r="246" spans="1:4" x14ac:dyDescent="0.25">
      <c r="A246" s="438" t="str">
        <f>IF(BID!$L254=FALSE,BID!A254,"-")</f>
        <v>-</v>
      </c>
      <c r="B246" s="114" t="str">
        <f>IF(BID!$L254=FALSE,BID!B254,"-")</f>
        <v>-</v>
      </c>
      <c r="C246" s="30" t="str">
        <f>IF(BID!$L254=FALSE,BID!C254,"-")</f>
        <v>-</v>
      </c>
      <c r="D246" s="114" t="str">
        <f>IF(BID!$L254=FALSE,BID!D254,"-")</f>
        <v>-</v>
      </c>
    </row>
    <row r="247" spans="1:4" x14ac:dyDescent="0.25">
      <c r="A247" s="438" t="str">
        <f>IF(BID!$L255=FALSE,BID!A255,"-")</f>
        <v>-</v>
      </c>
      <c r="B247" s="114" t="str">
        <f>IF(BID!$L255=FALSE,BID!B255,"-")</f>
        <v>-</v>
      </c>
      <c r="C247" s="30" t="str">
        <f>IF(BID!$L255=FALSE,BID!C255,"-")</f>
        <v>-</v>
      </c>
      <c r="D247" s="114" t="str">
        <f>IF(BID!$L255=FALSE,BID!D255,"-")</f>
        <v>-</v>
      </c>
    </row>
    <row r="248" spans="1:4" x14ac:dyDescent="0.25">
      <c r="A248" s="438" t="str">
        <f>IF(BID!$L256=FALSE,BID!A256,"-")</f>
        <v>-</v>
      </c>
      <c r="B248" s="114" t="str">
        <f>IF(BID!$L256=FALSE,BID!B256,"-")</f>
        <v>-</v>
      </c>
      <c r="C248" s="30" t="str">
        <f>IF(BID!$L256=FALSE,BID!C256,"-")</f>
        <v>-</v>
      </c>
      <c r="D248" s="114" t="str">
        <f>IF(BID!$L256=FALSE,BID!D256,"-")</f>
        <v>-</v>
      </c>
    </row>
    <row r="249" spans="1:4" x14ac:dyDescent="0.25">
      <c r="A249" s="438" t="str">
        <f>IF(BID!$L257=FALSE,BID!A257,"-")</f>
        <v>-</v>
      </c>
      <c r="B249" s="114" t="str">
        <f>IF(BID!$L257=FALSE,BID!B257,"-")</f>
        <v>-</v>
      </c>
      <c r="C249" s="30" t="str">
        <f>IF(BID!$L257=FALSE,BID!C257,"-")</f>
        <v>-</v>
      </c>
      <c r="D249" s="114" t="str">
        <f>IF(BID!$L257=FALSE,BID!D257,"-")</f>
        <v>-</v>
      </c>
    </row>
    <row r="250" spans="1:4" x14ac:dyDescent="0.25">
      <c r="A250" s="438" t="str">
        <f>IF(BID!$L258=FALSE,BID!A258,"-")</f>
        <v>-</v>
      </c>
      <c r="B250" s="114" t="str">
        <f>IF(BID!$L258=FALSE,BID!B258,"-")</f>
        <v>-</v>
      </c>
      <c r="C250" s="30" t="str">
        <f>IF(BID!$L258=FALSE,BID!C258,"-")</f>
        <v>-</v>
      </c>
      <c r="D250" s="114" t="str">
        <f>IF(BID!$L258=FALSE,BID!D258,"-")</f>
        <v>-</v>
      </c>
    </row>
    <row r="251" spans="1:4" x14ac:dyDescent="0.25">
      <c r="A251" s="438" t="str">
        <f>IF(BID!$L259=FALSE,BID!A259,"-")</f>
        <v>-</v>
      </c>
      <c r="B251" s="114" t="str">
        <f>IF(BID!$L259=FALSE,BID!B259,"-")</f>
        <v>-</v>
      </c>
      <c r="C251" s="30" t="str">
        <f>IF(BID!$L259=FALSE,BID!C259,"-")</f>
        <v>-</v>
      </c>
      <c r="D251" s="114" t="str">
        <f>IF(BID!$L259=FALSE,BID!D259,"-")</f>
        <v>-</v>
      </c>
    </row>
    <row r="252" spans="1:4" x14ac:dyDescent="0.25">
      <c r="A252" s="438" t="str">
        <f>IF(BID!$L260=FALSE,BID!A260,"-")</f>
        <v>-</v>
      </c>
      <c r="B252" s="114" t="str">
        <f>IF(BID!$L260=FALSE,BID!B260,"-")</f>
        <v>-</v>
      </c>
      <c r="C252" s="30" t="str">
        <f>IF(BID!$L260=FALSE,BID!C260,"-")</f>
        <v>-</v>
      </c>
      <c r="D252" s="114" t="str">
        <f>IF(BID!$L260=FALSE,BID!D260,"-")</f>
        <v>-</v>
      </c>
    </row>
    <row r="253" spans="1:4" x14ac:dyDescent="0.25">
      <c r="A253" s="438" t="str">
        <f>IF(BID!$L261=FALSE,BID!A261,"-")</f>
        <v>-</v>
      </c>
      <c r="B253" s="114" t="str">
        <f>IF(BID!$L261=FALSE,BID!B261,"-")</f>
        <v>-</v>
      </c>
      <c r="C253" s="30" t="str">
        <f>IF(BID!$L261=FALSE,BID!C261,"-")</f>
        <v>-</v>
      </c>
      <c r="D253" s="114" t="str">
        <f>IF(BID!$L261=FALSE,BID!D261,"-")</f>
        <v>-</v>
      </c>
    </row>
    <row r="254" spans="1:4" x14ac:dyDescent="0.25">
      <c r="A254" s="438" t="str">
        <f>IF(BID!$L262=FALSE,BID!A262,"-")</f>
        <v>-</v>
      </c>
      <c r="B254" s="114" t="str">
        <f>IF(BID!$L262=FALSE,BID!B262,"-")</f>
        <v>-</v>
      </c>
      <c r="C254" s="30" t="str">
        <f>IF(BID!$L262=FALSE,BID!C262,"-")</f>
        <v>-</v>
      </c>
      <c r="D254" s="114" t="str">
        <f>IF(BID!$L262=FALSE,BID!D262,"-")</f>
        <v>-</v>
      </c>
    </row>
    <row r="255" spans="1:4" s="42" customFormat="1" ht="18.75" x14ac:dyDescent="0.3">
      <c r="A255" s="438" t="str">
        <f>IF(BID!$L263=FALSE,BID!A263,"-")</f>
        <v>-</v>
      </c>
      <c r="B255" s="114" t="str">
        <f>IF(BID!$L263=FALSE,BID!B263,"-")</f>
        <v>-</v>
      </c>
      <c r="C255" s="30" t="str">
        <f>IF(BID!$L263=FALSE,BID!C263,"-")</f>
        <v>-</v>
      </c>
      <c r="D255" s="114" t="str">
        <f>IF(BID!$L263=FALSE,BID!D263,"-")</f>
        <v>-</v>
      </c>
    </row>
    <row r="256" spans="1:4" x14ac:dyDescent="0.25">
      <c r="A256" s="438" t="str">
        <f>IF(BID!$L264=FALSE,BID!A264,"-")</f>
        <v>-</v>
      </c>
      <c r="B256" s="114" t="str">
        <f>IF(BID!$L264=FALSE,BID!B264,"-")</f>
        <v>-</v>
      </c>
      <c r="C256" s="30" t="str">
        <f>IF(BID!$L264=FALSE,BID!C264,"-")</f>
        <v>-</v>
      </c>
      <c r="D256" s="114" t="str">
        <f>IF(BID!$L264=FALSE,BID!D264,"-")</f>
        <v>-</v>
      </c>
    </row>
    <row r="257" spans="1:4" x14ac:dyDescent="0.25">
      <c r="A257" s="438" t="str">
        <f>IF(BID!$L265=FALSE,BID!A265,"-")</f>
        <v>-</v>
      </c>
      <c r="B257" s="114" t="str">
        <f>IF(BID!$L265=FALSE,BID!B265,"-")</f>
        <v>-</v>
      </c>
      <c r="C257" s="30" t="str">
        <f>IF(BID!$L265=FALSE,BID!C265,"-")</f>
        <v>-</v>
      </c>
      <c r="D257" s="114" t="str">
        <f>IF(BID!$L265=FALSE,BID!D265,"-")</f>
        <v>-</v>
      </c>
    </row>
    <row r="258" spans="1:4" x14ac:dyDescent="0.25">
      <c r="A258" s="438" t="str">
        <f>IF(BID!$L266=FALSE,BID!A266,"-")</f>
        <v>-</v>
      </c>
      <c r="B258" s="114" t="str">
        <f>IF(BID!$L266=FALSE,BID!B266,"-")</f>
        <v>-</v>
      </c>
      <c r="C258" s="30" t="str">
        <f>IF(BID!$L266=FALSE,BID!C266,"-")</f>
        <v>-</v>
      </c>
      <c r="D258" s="114" t="str">
        <f>IF(BID!$L266=FALSE,BID!D266,"-")</f>
        <v>-</v>
      </c>
    </row>
    <row r="259" spans="1:4" x14ac:dyDescent="0.25">
      <c r="A259" s="438" t="str">
        <f>IF(BID!$L267=FALSE,BID!A267,"-")</f>
        <v>-</v>
      </c>
      <c r="B259" s="114" t="str">
        <f>IF(BID!$L267=FALSE,BID!B267,"-")</f>
        <v>-</v>
      </c>
      <c r="C259" s="30" t="str">
        <f>IF(BID!$L267=FALSE,BID!C267,"-")</f>
        <v>-</v>
      </c>
      <c r="D259" s="114" t="str">
        <f>IF(BID!$L267=FALSE,BID!D267,"-")</f>
        <v>-</v>
      </c>
    </row>
    <row r="260" spans="1:4" x14ac:dyDescent="0.25">
      <c r="A260" s="438" t="str">
        <f>IF(BID!$L268=FALSE,BID!A268,"-")</f>
        <v>-</v>
      </c>
      <c r="B260" s="114" t="str">
        <f>IF(BID!$L268=FALSE,BID!B268,"-")</f>
        <v>-</v>
      </c>
      <c r="C260" s="30" t="str">
        <f>IF(BID!$L268=FALSE,BID!C268,"-")</f>
        <v>-</v>
      </c>
      <c r="D260" s="114" t="str">
        <f>IF(BID!$L268=FALSE,BID!D268,"-")</f>
        <v>-</v>
      </c>
    </row>
    <row r="261" spans="1:4" x14ac:dyDescent="0.25">
      <c r="A261" s="438" t="str">
        <f>IF(BID!$L269=FALSE,BID!A269,"-")</f>
        <v>-</v>
      </c>
      <c r="B261" s="114" t="str">
        <f>IF(BID!$L269=FALSE,BID!B269,"-")</f>
        <v>-</v>
      </c>
      <c r="C261" s="30" t="str">
        <f>IF(BID!$L269=FALSE,BID!C269,"-")</f>
        <v>-</v>
      </c>
      <c r="D261" s="114" t="str">
        <f>IF(BID!$L269=FALSE,BID!D269,"-")</f>
        <v>-</v>
      </c>
    </row>
    <row r="262" spans="1:4" x14ac:dyDescent="0.25">
      <c r="A262" s="438" t="str">
        <f>IF(BID!$L270=FALSE,BID!A270,"-")</f>
        <v>-</v>
      </c>
      <c r="B262" s="114" t="str">
        <f>IF(BID!$L270=FALSE,BID!B270,"-")</f>
        <v>-</v>
      </c>
      <c r="C262" s="30" t="str">
        <f>IF(BID!$L270=FALSE,BID!C270,"-")</f>
        <v>-</v>
      </c>
      <c r="D262" s="114" t="str">
        <f>IF(BID!$L270=FALSE,BID!D270,"-")</f>
        <v>-</v>
      </c>
    </row>
    <row r="263" spans="1:4" x14ac:dyDescent="0.25">
      <c r="A263" s="438">
        <f>IF(BID!$L271=FALSE,BID!A271,"-")</f>
        <v>245</v>
      </c>
      <c r="B263" s="114" t="str">
        <f>IF(BID!$L271=FALSE,BID!B271,"-")</f>
        <v>CHLORHEXIDINE HCL/LIDOCAINE LOZENGES</v>
      </c>
      <c r="C263" s="30">
        <f>IF(BID!$L271=FALSE,BID!C271,"-")</f>
        <v>36</v>
      </c>
      <c r="D263" s="114">
        <f>IF(BID!$L271=FALSE,BID!D271,"-")</f>
        <v>300</v>
      </c>
    </row>
    <row r="264" spans="1:4" x14ac:dyDescent="0.25">
      <c r="A264" s="438">
        <f>IF(BID!$L272=FALSE,BID!A272,"-")</f>
        <v>246</v>
      </c>
      <c r="B264" s="114" t="str">
        <f>IF(BID!$L272=FALSE,BID!B272,"-")</f>
        <v>DOXYCYCLINE 100MG CAP</v>
      </c>
      <c r="C264" s="30">
        <f>IF(BID!$L272=FALSE,BID!C272,"-")</f>
        <v>100</v>
      </c>
      <c r="D264" s="114">
        <f>IF(BID!$L272=FALSE,BID!D272,"-")</f>
        <v>150</v>
      </c>
    </row>
    <row r="265" spans="1:4" x14ac:dyDescent="0.25">
      <c r="A265" s="438" t="str">
        <f>IF(BID!$L273=FALSE,BID!A273,"-")</f>
        <v>-</v>
      </c>
      <c r="B265" s="114" t="str">
        <f>IF(BID!$L273=FALSE,BID!B273,"-")</f>
        <v>-</v>
      </c>
      <c r="C265" s="30" t="str">
        <f>IF(BID!$L273=FALSE,BID!C273,"-")</f>
        <v>-</v>
      </c>
      <c r="D265" s="114" t="str">
        <f>IF(BID!$L273=FALSE,BID!D273,"-")</f>
        <v>-</v>
      </c>
    </row>
    <row r="266" spans="1:4" x14ac:dyDescent="0.25">
      <c r="A266" s="438" t="str">
        <f>IF(BID!$L274=FALSE,BID!A274,"-")</f>
        <v>-</v>
      </c>
      <c r="B266" s="114" t="str">
        <f>IF(BID!$L274=FALSE,BID!B274,"-")</f>
        <v>-</v>
      </c>
      <c r="C266" s="30" t="str">
        <f>IF(BID!$L274=FALSE,BID!C274,"-")</f>
        <v>-</v>
      </c>
      <c r="D266" s="114" t="str">
        <f>IF(BID!$L274=FALSE,BID!D274,"-")</f>
        <v>-</v>
      </c>
    </row>
    <row r="267" spans="1:4" x14ac:dyDescent="0.25">
      <c r="A267" s="438" t="str">
        <f>IF(BID!$L275=FALSE,BID!A275,"-")</f>
        <v>-</v>
      </c>
      <c r="B267" s="114" t="str">
        <f>IF(BID!$L275=FALSE,BID!B275,"-")</f>
        <v>-</v>
      </c>
      <c r="C267" s="30" t="str">
        <f>IF(BID!$L275=FALSE,BID!C275,"-")</f>
        <v>-</v>
      </c>
      <c r="D267" s="114" t="str">
        <f>IF(BID!$L275=FALSE,BID!D275,"-")</f>
        <v>-</v>
      </c>
    </row>
    <row r="268" spans="1:4" x14ac:dyDescent="0.25">
      <c r="A268" s="438">
        <f>IF(BID!$L276=FALSE,BID!A276,"-")</f>
        <v>250</v>
      </c>
      <c r="B268" s="114" t="str">
        <f>IF(BID!$L276=FALSE,BID!B276,"-")</f>
        <v>ETHAMBUTOL 400MG TAB</v>
      </c>
      <c r="C268" s="30">
        <f>IF(BID!$L276=FALSE,BID!C276,"-")</f>
        <v>1000</v>
      </c>
      <c r="D268" s="114">
        <f>IF(BID!$L276=FALSE,BID!D276,"-")</f>
        <v>6</v>
      </c>
    </row>
    <row r="269" spans="1:4" x14ac:dyDescent="0.25">
      <c r="A269" s="438" t="str">
        <f>IF(BID!$L277=FALSE,BID!A277,"-")</f>
        <v>-</v>
      </c>
      <c r="B269" s="114" t="str">
        <f>IF(BID!$L277=FALSE,BID!B277,"-")</f>
        <v>-</v>
      </c>
      <c r="C269" s="30" t="str">
        <f>IF(BID!$L277=FALSE,BID!C277,"-")</f>
        <v>-</v>
      </c>
      <c r="D269" s="114" t="str">
        <f>IF(BID!$L277=FALSE,BID!D277,"-")</f>
        <v>-</v>
      </c>
    </row>
    <row r="270" spans="1:4" x14ac:dyDescent="0.25">
      <c r="A270" s="438" t="str">
        <f>IF(BID!$L278=FALSE,BID!A278,"-")</f>
        <v>-</v>
      </c>
      <c r="B270" s="114" t="str">
        <f>IF(BID!$L278=FALSE,BID!B278,"-")</f>
        <v>-</v>
      </c>
      <c r="C270" s="30" t="str">
        <f>IF(BID!$L278=FALSE,BID!C278,"-")</f>
        <v>-</v>
      </c>
      <c r="D270" s="114" t="str">
        <f>IF(BID!$L278=FALSE,BID!D278,"-")</f>
        <v>-</v>
      </c>
    </row>
    <row r="271" spans="1:4" x14ac:dyDescent="0.25">
      <c r="A271" s="438">
        <f>IF(BID!$L279=FALSE,BID!A279,"-")</f>
        <v>253</v>
      </c>
      <c r="B271" s="114" t="str">
        <f>IF(BID!$L279=FALSE,BID!B279,"-")</f>
        <v>FLUCONAZOLE 50MG CAP</v>
      </c>
      <c r="C271" s="30">
        <f>IF(BID!$L279=FALSE,BID!C279,"-")</f>
        <v>6</v>
      </c>
      <c r="D271" s="114">
        <f>IF(BID!$L279=FALSE,BID!D279,"-")</f>
        <v>200</v>
      </c>
    </row>
    <row r="272" spans="1:4" x14ac:dyDescent="0.25">
      <c r="A272" s="438" t="str">
        <f>IF(BID!$L280=FALSE,BID!A280,"-")</f>
        <v>-</v>
      </c>
      <c r="B272" s="114" t="str">
        <f>IF(BID!$L280=FALSE,BID!B280,"-")</f>
        <v>-</v>
      </c>
      <c r="C272" s="30" t="str">
        <f>IF(BID!$L280=FALSE,BID!C280,"-")</f>
        <v>-</v>
      </c>
      <c r="D272" s="114" t="str">
        <f>IF(BID!$L280=FALSE,BID!D280,"-")</f>
        <v>-</v>
      </c>
    </row>
    <row r="273" spans="1:4" x14ac:dyDescent="0.25">
      <c r="A273" s="438" t="str">
        <f>IF(BID!$L281=FALSE,BID!A281,"-")</f>
        <v>-</v>
      </c>
      <c r="B273" s="114" t="str">
        <f>IF(BID!$L281=FALSE,BID!B281,"-")</f>
        <v>-</v>
      </c>
      <c r="C273" s="30" t="str">
        <f>IF(BID!$L281=FALSE,BID!C281,"-")</f>
        <v>-</v>
      </c>
      <c r="D273" s="114" t="str">
        <f>IF(BID!$L281=FALSE,BID!D281,"-")</f>
        <v>-</v>
      </c>
    </row>
    <row r="274" spans="1:4" x14ac:dyDescent="0.25">
      <c r="A274" s="438">
        <f>IF(BID!$L282=FALSE,BID!A282,"-")</f>
        <v>256</v>
      </c>
      <c r="B274" s="114" t="str">
        <f>IF(BID!$L282=FALSE,BID!B282,"-")</f>
        <v>ISONIAZID 300MG TAB</v>
      </c>
      <c r="C274" s="30">
        <f>IF(BID!$L282=FALSE,BID!C282,"-")</f>
        <v>1000</v>
      </c>
      <c r="D274" s="114">
        <f>IF(BID!$L282=FALSE,BID!D282,"-")</f>
        <v>10</v>
      </c>
    </row>
    <row r="275" spans="1:4" x14ac:dyDescent="0.25">
      <c r="A275" s="438" t="str">
        <f>IF(BID!$L283=FALSE,BID!A283,"-")</f>
        <v>-</v>
      </c>
      <c r="B275" s="114" t="str">
        <f>IF(BID!$L283=FALSE,BID!B283,"-")</f>
        <v>-</v>
      </c>
      <c r="C275" s="30" t="str">
        <f>IF(BID!$L283=FALSE,BID!C283,"-")</f>
        <v>-</v>
      </c>
      <c r="D275" s="114" t="str">
        <f>IF(BID!$L283=FALSE,BID!D283,"-")</f>
        <v>-</v>
      </c>
    </row>
    <row r="276" spans="1:4" x14ac:dyDescent="0.25">
      <c r="A276" s="438" t="str">
        <f>IF(BID!$L284=FALSE,BID!A284,"-")</f>
        <v>-</v>
      </c>
      <c r="B276" s="114" t="str">
        <f>IF(BID!$L284=FALSE,BID!B284,"-")</f>
        <v>-</v>
      </c>
      <c r="C276" s="30" t="str">
        <f>IF(BID!$L284=FALSE,BID!C284,"-")</f>
        <v>-</v>
      </c>
      <c r="D276" s="114" t="str">
        <f>IF(BID!$L284=FALSE,BID!D284,"-")</f>
        <v>-</v>
      </c>
    </row>
    <row r="277" spans="1:4" x14ac:dyDescent="0.25">
      <c r="A277" s="438" t="str">
        <f>IF(BID!$L285=FALSE,BID!A285,"-")</f>
        <v>-</v>
      </c>
      <c r="B277" s="114" t="str">
        <f>IF(BID!$L285=FALSE,BID!B285,"-")</f>
        <v>-</v>
      </c>
      <c r="C277" s="30" t="str">
        <f>IF(BID!$L285=FALSE,BID!C285,"-")</f>
        <v>-</v>
      </c>
      <c r="D277" s="114" t="str">
        <f>IF(BID!$L285=FALSE,BID!D285,"-")</f>
        <v>-</v>
      </c>
    </row>
    <row r="278" spans="1:4" x14ac:dyDescent="0.25">
      <c r="A278" s="438" t="str">
        <f>IF(BID!$L286=FALSE,BID!A286,"-")</f>
        <v>-</v>
      </c>
      <c r="B278" s="114" t="str">
        <f>IF(BID!$L286=FALSE,BID!B286,"-")</f>
        <v>-</v>
      </c>
      <c r="C278" s="30" t="str">
        <f>IF(BID!$L286=FALSE,BID!C286,"-")</f>
        <v>-</v>
      </c>
      <c r="D278" s="114" t="str">
        <f>IF(BID!$L286=FALSE,BID!D286,"-")</f>
        <v>-</v>
      </c>
    </row>
    <row r="279" spans="1:4" x14ac:dyDescent="0.25">
      <c r="A279" s="438" t="str">
        <f>IF(BID!$L287=FALSE,BID!A287,"-")</f>
        <v>-</v>
      </c>
      <c r="B279" s="114" t="str">
        <f>IF(BID!$L287=FALSE,BID!B287,"-")</f>
        <v>-</v>
      </c>
      <c r="C279" s="30" t="str">
        <f>IF(BID!$L287=FALSE,BID!C287,"-")</f>
        <v>-</v>
      </c>
      <c r="D279" s="114" t="str">
        <f>IF(BID!$L287=FALSE,BID!D287,"-")</f>
        <v>-</v>
      </c>
    </row>
    <row r="280" spans="1:4" x14ac:dyDescent="0.25">
      <c r="A280" s="438" t="str">
        <f>IF(BID!$L288=FALSE,BID!A288,"-")</f>
        <v>-</v>
      </c>
      <c r="B280" s="114" t="str">
        <f>IF(BID!$L288=FALSE,BID!B288,"-")</f>
        <v>-</v>
      </c>
      <c r="C280" s="30" t="str">
        <f>IF(BID!$L288=FALSE,BID!C288,"-")</f>
        <v>-</v>
      </c>
      <c r="D280" s="114" t="str">
        <f>IF(BID!$L288=FALSE,BID!D288,"-")</f>
        <v>-</v>
      </c>
    </row>
    <row r="281" spans="1:4" x14ac:dyDescent="0.25">
      <c r="A281" s="438" t="str">
        <f>IF(BID!$L289=FALSE,BID!A289,"-")</f>
        <v>-</v>
      </c>
      <c r="B281" s="114" t="str">
        <f>IF(BID!$L289=FALSE,BID!B289,"-")</f>
        <v>-</v>
      </c>
      <c r="C281" s="30" t="str">
        <f>IF(BID!$L289=FALSE,BID!C289,"-")</f>
        <v>-</v>
      </c>
      <c r="D281" s="114" t="str">
        <f>IF(BID!$L289=FALSE,BID!D289,"-")</f>
        <v>-</v>
      </c>
    </row>
    <row r="282" spans="1:4" x14ac:dyDescent="0.25">
      <c r="A282" s="438" t="str">
        <f>IF(BID!$L290=FALSE,BID!A290,"-")</f>
        <v>-</v>
      </c>
      <c r="B282" s="114" t="str">
        <f>IF(BID!$L290=FALSE,BID!B290,"-")</f>
        <v>-</v>
      </c>
      <c r="C282" s="30" t="str">
        <f>IF(BID!$L290=FALSE,BID!C290,"-")</f>
        <v>-</v>
      </c>
      <c r="D282" s="114" t="str">
        <f>IF(BID!$L290=FALSE,BID!D290,"-")</f>
        <v>-</v>
      </c>
    </row>
    <row r="283" spans="1:4" x14ac:dyDescent="0.25">
      <c r="A283" s="438" t="str">
        <f>IF(BID!$L291=FALSE,BID!A291,"-")</f>
        <v>-</v>
      </c>
      <c r="B283" s="114" t="str">
        <f>IF(BID!$L291=FALSE,BID!B291,"-")</f>
        <v>-</v>
      </c>
      <c r="C283" s="30" t="str">
        <f>IF(BID!$L291=FALSE,BID!C291,"-")</f>
        <v>-</v>
      </c>
      <c r="D283" s="114" t="str">
        <f>IF(BID!$L291=FALSE,BID!D291,"-")</f>
        <v>-</v>
      </c>
    </row>
    <row r="284" spans="1:4" x14ac:dyDescent="0.25">
      <c r="A284" s="438" t="str">
        <f>IF(BID!$L292=FALSE,BID!A292,"-")</f>
        <v>-</v>
      </c>
      <c r="B284" s="114" t="str">
        <f>IF(BID!$L292=FALSE,BID!B292,"-")</f>
        <v>-</v>
      </c>
      <c r="C284" s="30" t="str">
        <f>IF(BID!$L292=FALSE,BID!C292,"-")</f>
        <v>-</v>
      </c>
      <c r="D284" s="114" t="str">
        <f>IF(BID!$L292=FALSE,BID!D292,"-")</f>
        <v>-</v>
      </c>
    </row>
    <row r="285" spans="1:4" x14ac:dyDescent="0.25">
      <c r="A285" s="438" t="str">
        <f>IF(BID!$L293=FALSE,BID!A293,"-")</f>
        <v>-</v>
      </c>
      <c r="B285" s="114" t="str">
        <f>IF(BID!$L293=FALSE,BID!B293,"-")</f>
        <v>-</v>
      </c>
      <c r="C285" s="30" t="str">
        <f>IF(BID!$L293=FALSE,BID!C293,"-")</f>
        <v>-</v>
      </c>
      <c r="D285" s="114" t="str">
        <f>IF(BID!$L293=FALSE,BID!D293,"-")</f>
        <v>-</v>
      </c>
    </row>
    <row r="286" spans="1:4" x14ac:dyDescent="0.25">
      <c r="A286" s="438">
        <f>IF(BID!$L294=FALSE,BID!A294,"-")</f>
        <v>268</v>
      </c>
      <c r="B286" s="114" t="str">
        <f>IF(BID!$L294=FALSE,BID!B294,"-")</f>
        <v>MICONAZOLE CREAM</v>
      </c>
      <c r="C286" s="30" t="str">
        <f>IF(BID!$L294=FALSE,BID!C294,"-")</f>
        <v>TUBE</v>
      </c>
      <c r="D286" s="114">
        <f>IF(BID!$L294=FALSE,BID!D294,"-")</f>
        <v>20</v>
      </c>
    </row>
    <row r="287" spans="1:4" x14ac:dyDescent="0.25">
      <c r="A287" s="438" t="str">
        <f>IF(BID!$L295=FALSE,BID!A295,"-")</f>
        <v>-</v>
      </c>
      <c r="B287" s="114" t="str">
        <f>IF(BID!$L295=FALSE,BID!B295,"-")</f>
        <v>-</v>
      </c>
      <c r="C287" s="30" t="str">
        <f>IF(BID!$L295=FALSE,BID!C295,"-")</f>
        <v>-</v>
      </c>
      <c r="D287" s="114" t="str">
        <f>IF(BID!$L295=FALSE,BID!D295,"-")</f>
        <v>-</v>
      </c>
    </row>
    <row r="288" spans="1:4" x14ac:dyDescent="0.25">
      <c r="A288" s="438" t="str">
        <f>IF(BID!$L296=FALSE,BID!A296,"-")</f>
        <v>-</v>
      </c>
      <c r="B288" s="114" t="str">
        <f>IF(BID!$L296=FALSE,BID!B296,"-")</f>
        <v>-</v>
      </c>
      <c r="C288" s="30" t="str">
        <f>IF(BID!$L296=FALSE,BID!C296,"-")</f>
        <v>-</v>
      </c>
      <c r="D288" s="114" t="str">
        <f>IF(BID!$L296=FALSE,BID!D296,"-")</f>
        <v>-</v>
      </c>
    </row>
    <row r="289" spans="1:4" x14ac:dyDescent="0.25">
      <c r="A289" s="438" t="str">
        <f>IF(BID!$L297=FALSE,BID!A297,"-")</f>
        <v>-</v>
      </c>
      <c r="B289" s="114" t="str">
        <f>IF(BID!$L297=FALSE,BID!B297,"-")</f>
        <v>-</v>
      </c>
      <c r="C289" s="30" t="str">
        <f>IF(BID!$L297=FALSE,BID!C297,"-")</f>
        <v>-</v>
      </c>
      <c r="D289" s="114" t="str">
        <f>IF(BID!$L297=FALSE,BID!D297,"-")</f>
        <v>-</v>
      </c>
    </row>
    <row r="290" spans="1:4" x14ac:dyDescent="0.25">
      <c r="A290" s="438" t="str">
        <f>IF(BID!$L298=FALSE,BID!A298,"-")</f>
        <v>-</v>
      </c>
      <c r="B290" s="114" t="str">
        <f>IF(BID!$L298=FALSE,BID!B298,"-")</f>
        <v>-</v>
      </c>
      <c r="C290" s="30" t="str">
        <f>IF(BID!$L298=FALSE,BID!C298,"-")</f>
        <v>-</v>
      </c>
      <c r="D290" s="114" t="str">
        <f>IF(BID!$L298=FALSE,BID!D298,"-")</f>
        <v>-</v>
      </c>
    </row>
    <row r="291" spans="1:4" x14ac:dyDescent="0.25">
      <c r="A291" s="438">
        <f>IF(BID!$L299=FALSE,BID!A299,"-")</f>
        <v>273</v>
      </c>
      <c r="B291" s="114" t="str">
        <f>IF(BID!$L299=FALSE,BID!B299,"-")</f>
        <v>NYSTATIN TAB 500,000IU</v>
      </c>
      <c r="C291" s="30">
        <f>IF(BID!$L299=FALSE,BID!C299,"-")</f>
        <v>100</v>
      </c>
      <c r="D291" s="114">
        <f>IF(BID!$L299=FALSE,BID!D299,"-")</f>
        <v>10</v>
      </c>
    </row>
    <row r="292" spans="1:4" x14ac:dyDescent="0.25">
      <c r="A292" s="438" t="str">
        <f>IF(BID!$L300=FALSE,BID!A300,"-")</f>
        <v>-</v>
      </c>
      <c r="B292" s="114" t="str">
        <f>IF(BID!$L300=FALSE,BID!B300,"-")</f>
        <v>-</v>
      </c>
      <c r="C292" s="30" t="str">
        <f>IF(BID!$L300=FALSE,BID!C300,"-")</f>
        <v>-</v>
      </c>
      <c r="D292" s="114" t="str">
        <f>IF(BID!$L300=FALSE,BID!D300,"-")</f>
        <v>-</v>
      </c>
    </row>
    <row r="293" spans="1:4" x14ac:dyDescent="0.25">
      <c r="A293" s="438">
        <f>IF(BID!$L301=FALSE,BID!A301,"-")</f>
        <v>275</v>
      </c>
      <c r="B293" s="114" t="str">
        <f>IF(BID!$L301=FALSE,BID!B301,"-")</f>
        <v>OFLOXACIN INJ</v>
      </c>
      <c r="C293" s="30" t="str">
        <f>IF(BID!$L301=FALSE,BID!C301,"-")</f>
        <v>BOTT</v>
      </c>
      <c r="D293" s="114">
        <f>IF(BID!$L301=FALSE,BID!D301,"-")</f>
        <v>100</v>
      </c>
    </row>
    <row r="294" spans="1:4" x14ac:dyDescent="0.25">
      <c r="A294" s="438">
        <f>IF(BID!$L302=FALSE,BID!A302,"-")</f>
        <v>276</v>
      </c>
      <c r="B294" s="114" t="str">
        <f>IF(BID!$L302=FALSE,BID!B302,"-")</f>
        <v>PYRAZINAMIDE 500MG TAB</v>
      </c>
      <c r="C294" s="30">
        <f>IF(BID!$L302=FALSE,BID!C302,"-")</f>
        <v>1000</v>
      </c>
      <c r="D294" s="114">
        <f>IF(BID!$L302=FALSE,BID!D302,"-")</f>
        <v>13</v>
      </c>
    </row>
    <row r="295" spans="1:4" x14ac:dyDescent="0.25">
      <c r="A295" s="438">
        <f>IF(BID!$L303=FALSE,BID!A303,"-")</f>
        <v>277</v>
      </c>
      <c r="B295" s="114" t="str">
        <f>IF(BID!$L303=FALSE,BID!B303,"-")</f>
        <v>RIFABUTIN 300GM TAB</v>
      </c>
      <c r="C295" s="30">
        <f>IF(BID!$L303=FALSE,BID!C303,"-")</f>
        <v>100</v>
      </c>
      <c r="D295" s="114">
        <f>IF(BID!$L303=FALSE,BID!D303,"-")</f>
        <v>50</v>
      </c>
    </row>
    <row r="296" spans="1:4" x14ac:dyDescent="0.25">
      <c r="A296" s="438">
        <f>IF(BID!$L304=FALSE,BID!A304,"-")</f>
        <v>278</v>
      </c>
      <c r="B296" s="114" t="str">
        <f>IF(BID!$L304=FALSE,BID!B304,"-")</f>
        <v>RIFAMPICIN 300MG CAP</v>
      </c>
      <c r="C296" s="30">
        <f>IF(BID!$L304=FALSE,BID!C304,"-")</f>
        <v>100</v>
      </c>
      <c r="D296" s="114">
        <f>IF(BID!$L304=FALSE,BID!D304,"-")</f>
        <v>100</v>
      </c>
    </row>
    <row r="297" spans="1:4" x14ac:dyDescent="0.25">
      <c r="A297" s="438">
        <f>IF(BID!$L305=FALSE,BID!A305,"-")</f>
        <v>279</v>
      </c>
      <c r="B297" s="114" t="str">
        <f>IF(BID!$L305=FALSE,BID!B305,"-")</f>
        <v>RIFAMPICIN/ISONIAZID TAB</v>
      </c>
      <c r="C297" s="30">
        <f>IF(BID!$L305=FALSE,BID!C305,"-")</f>
        <v>100</v>
      </c>
      <c r="D297" s="114">
        <f>IF(BID!$L305=FALSE,BID!D305,"-")</f>
        <v>100</v>
      </c>
    </row>
    <row r="298" spans="1:4" x14ac:dyDescent="0.25">
      <c r="A298" s="438" t="str">
        <f>IF(BID!$L306=FALSE,BID!A306,"-")</f>
        <v>-</v>
      </c>
      <c r="B298" s="114" t="str">
        <f>IF(BID!$L306=FALSE,BID!B306,"-")</f>
        <v>-</v>
      </c>
      <c r="C298" s="30" t="str">
        <f>IF(BID!$L306=FALSE,BID!C306,"-")</f>
        <v>-</v>
      </c>
      <c r="D298" s="114" t="str">
        <f>IF(BID!$L306=FALSE,BID!D306,"-")</f>
        <v>-</v>
      </c>
    </row>
    <row r="299" spans="1:4" x14ac:dyDescent="0.25">
      <c r="A299" s="438" t="str">
        <f>IF(BID!$L307=FALSE,BID!A307,"-")</f>
        <v>-</v>
      </c>
      <c r="B299" s="114" t="str">
        <f>IF(BID!$L307=FALSE,BID!B307,"-")</f>
        <v>-</v>
      </c>
      <c r="C299" s="30" t="str">
        <f>IF(BID!$L307=FALSE,BID!C307,"-")</f>
        <v>-</v>
      </c>
      <c r="D299" s="114" t="str">
        <f>IF(BID!$L307=FALSE,BID!D307,"-")</f>
        <v>-</v>
      </c>
    </row>
    <row r="300" spans="1:4" x14ac:dyDescent="0.25">
      <c r="A300" s="438" t="str">
        <f>IF(BID!$L308=FALSE,BID!A308,"-")</f>
        <v>-</v>
      </c>
      <c r="B300" s="114" t="str">
        <f>IF(BID!$L308=FALSE,BID!B308,"-")</f>
        <v>-</v>
      </c>
      <c r="C300" s="30" t="str">
        <f>IF(BID!$L308=FALSE,BID!C308,"-")</f>
        <v>-</v>
      </c>
      <c r="D300" s="114" t="str">
        <f>IF(BID!$L308=FALSE,BID!D308,"-")</f>
        <v>-</v>
      </c>
    </row>
    <row r="301" spans="1:4" x14ac:dyDescent="0.25">
      <c r="A301" s="438">
        <f>IF(BID!$L309=FALSE,BID!A309,"-")</f>
        <v>283</v>
      </c>
      <c r="B301" s="114" t="str">
        <f>IF(BID!$L309=FALSE,BID!B309,"-")</f>
        <v>TINIDAZOLE 500MG TAB</v>
      </c>
      <c r="C301" s="30">
        <f>IF(BID!$L309=FALSE,BID!C309,"-")</f>
        <v>10</v>
      </c>
      <c r="D301" s="114">
        <f>IF(BID!$L309=FALSE,BID!D309,"-")</f>
        <v>20</v>
      </c>
    </row>
    <row r="302" spans="1:4" x14ac:dyDescent="0.25">
      <c r="A302" s="438" t="str">
        <f>IF(BID!$L310=FALSE,BID!A310,"-")</f>
        <v>-</v>
      </c>
      <c r="B302" s="114" t="str">
        <f>IF(BID!$L310=FALSE,BID!B310,"-")</f>
        <v>-</v>
      </c>
      <c r="C302" s="30" t="str">
        <f>IF(BID!$L310=FALSE,BID!C310,"-")</f>
        <v>-</v>
      </c>
      <c r="D302" s="114" t="str">
        <f>IF(BID!$L310=FALSE,BID!D310,"-")</f>
        <v>-</v>
      </c>
    </row>
    <row r="303" spans="1:4" x14ac:dyDescent="0.25">
      <c r="A303" s="438">
        <f>IF(BID!$L311=FALSE,BID!A311,"-")</f>
        <v>0</v>
      </c>
      <c r="B303" s="114">
        <f>IF(BID!$L311=FALSE,BID!B311,"-")</f>
        <v>0</v>
      </c>
      <c r="C303" s="30">
        <f>IF(BID!$L311=FALSE,BID!C311,"-")</f>
        <v>0</v>
      </c>
      <c r="D303" s="114">
        <f>IF(BID!$L311=FALSE,BID!D311,"-")</f>
        <v>0</v>
      </c>
    </row>
    <row r="304" spans="1:4" x14ac:dyDescent="0.25">
      <c r="A304" s="438">
        <f>IF(BID!$L312=FALSE,BID!A312,"-")</f>
        <v>0</v>
      </c>
      <c r="B304" s="114">
        <f>IF(BID!$L312=FALSE,BID!B312,"-")</f>
        <v>0</v>
      </c>
      <c r="C304" s="30">
        <f>IF(BID!$L312=FALSE,BID!C312,"-")</f>
        <v>0</v>
      </c>
      <c r="D304" s="114">
        <f>IF(BID!$L312=FALSE,BID!D312,"-")</f>
        <v>0</v>
      </c>
    </row>
    <row r="305" spans="1:4" x14ac:dyDescent="0.25">
      <c r="A305" s="438">
        <f>IF(BID!$L313=FALSE,BID!A313,"-")</f>
        <v>0</v>
      </c>
      <c r="B305" s="114">
        <f>IF(BID!$L313=FALSE,BID!B313,"-")</f>
        <v>0</v>
      </c>
      <c r="C305" s="30">
        <f>IF(BID!$L313=FALSE,BID!C313,"-")</f>
        <v>0</v>
      </c>
      <c r="D305" s="114">
        <f>IF(BID!$L313=FALSE,BID!D313,"-")</f>
        <v>0</v>
      </c>
    </row>
    <row r="306" spans="1:4" x14ac:dyDescent="0.25">
      <c r="A306" s="438">
        <f>IF(BID!$L314=FALSE,BID!A314,"-")</f>
        <v>0</v>
      </c>
      <c r="B306" s="114">
        <f>IF(BID!$L314=FALSE,BID!B314,"-")</f>
        <v>0</v>
      </c>
      <c r="C306" s="30">
        <f>IF(BID!$L314=FALSE,BID!C314,"-")</f>
        <v>0</v>
      </c>
      <c r="D306" s="114">
        <f>IF(BID!$L314=FALSE,BID!D314,"-")</f>
        <v>0</v>
      </c>
    </row>
    <row r="307" spans="1:4" x14ac:dyDescent="0.25">
      <c r="A307" s="438" t="str">
        <f>IF(BID!$L315=FALSE,BID!A315,"-")</f>
        <v>LOT 6</v>
      </c>
      <c r="B307" s="114" t="str">
        <f>IF(BID!$L315=FALSE,BID!B315,"-")</f>
        <v>BLOOD &amp; NUTRITIONAL DRUGS</v>
      </c>
      <c r="C307" s="30">
        <f>IF(BID!$L315=FALSE,BID!C315,"-")</f>
        <v>0</v>
      </c>
      <c r="D307" s="114">
        <f>IF(BID!$L315=FALSE,BID!D315,"-")</f>
        <v>0</v>
      </c>
    </row>
    <row r="308" spans="1:4" x14ac:dyDescent="0.25">
      <c r="A308" s="438">
        <f>IF(BID!$L316=FALSE,BID!A316,"-")</f>
        <v>0</v>
      </c>
      <c r="B308" s="114">
        <f>IF(BID!$L316=FALSE,BID!B316,"-")</f>
        <v>0</v>
      </c>
      <c r="C308" s="30">
        <f>IF(BID!$L316=FALSE,BID!C316,"-")</f>
        <v>0</v>
      </c>
      <c r="D308" s="114">
        <f>IF(BID!$L316=FALSE,BID!D316,"-")</f>
        <v>0</v>
      </c>
    </row>
    <row r="309" spans="1:4" x14ac:dyDescent="0.25">
      <c r="A309" s="438" t="str">
        <f>IF(BID!$L317=FALSE,BID!A317,"-")</f>
        <v>-</v>
      </c>
      <c r="B309" s="114" t="str">
        <f>IF(BID!$L317=FALSE,BID!B317,"-")</f>
        <v>-</v>
      </c>
      <c r="C309" s="30" t="str">
        <f>IF(BID!$L317=FALSE,BID!C317,"-")</f>
        <v>-</v>
      </c>
      <c r="D309" s="114" t="str">
        <f>IF(BID!$L317=FALSE,BID!D317,"-")</f>
        <v>-</v>
      </c>
    </row>
    <row r="310" spans="1:4" x14ac:dyDescent="0.25">
      <c r="A310" s="438" t="str">
        <f>IF(BID!$L318=FALSE,BID!A318,"-")</f>
        <v>-</v>
      </c>
      <c r="B310" s="114" t="str">
        <f>IF(BID!$L318=FALSE,BID!B318,"-")</f>
        <v>-</v>
      </c>
      <c r="C310" s="30" t="str">
        <f>IF(BID!$L318=FALSE,BID!C318,"-")</f>
        <v>-</v>
      </c>
      <c r="D310" s="114" t="str">
        <f>IF(BID!$L318=FALSE,BID!D318,"-")</f>
        <v>-</v>
      </c>
    </row>
    <row r="311" spans="1:4" x14ac:dyDescent="0.25">
      <c r="A311" s="438" t="str">
        <f>IF(BID!$L319=FALSE,BID!A319,"-")</f>
        <v>-</v>
      </c>
      <c r="B311" s="114" t="str">
        <f>IF(BID!$L319=FALSE,BID!B319,"-")</f>
        <v>-</v>
      </c>
      <c r="C311" s="30" t="str">
        <f>IF(BID!$L319=FALSE,BID!C319,"-")</f>
        <v>-</v>
      </c>
      <c r="D311" s="114" t="str">
        <f>IF(BID!$L319=FALSE,BID!D319,"-")</f>
        <v>-</v>
      </c>
    </row>
    <row r="312" spans="1:4" x14ac:dyDescent="0.25">
      <c r="A312" s="438" t="str">
        <f>IF(BID!$L320=FALSE,BID!A320,"-")</f>
        <v>-</v>
      </c>
      <c r="B312" s="114" t="str">
        <f>IF(BID!$L320=FALSE,BID!B320,"-")</f>
        <v>-</v>
      </c>
      <c r="C312" s="30" t="str">
        <f>IF(BID!$L320=FALSE,BID!C320,"-")</f>
        <v>-</v>
      </c>
      <c r="D312" s="114" t="str">
        <f>IF(BID!$L320=FALSE,BID!D320,"-")</f>
        <v>-</v>
      </c>
    </row>
    <row r="313" spans="1:4" x14ac:dyDescent="0.25">
      <c r="A313" s="438" t="str">
        <f>IF(BID!$L321=FALSE,BID!A321,"-")</f>
        <v>-</v>
      </c>
      <c r="B313" s="114" t="str">
        <f>IF(BID!$L321=FALSE,BID!B321,"-")</f>
        <v>-</v>
      </c>
      <c r="C313" s="30" t="str">
        <f>IF(BID!$L321=FALSE,BID!C321,"-")</f>
        <v>-</v>
      </c>
      <c r="D313" s="114" t="str">
        <f>IF(BID!$L321=FALSE,BID!D321,"-")</f>
        <v>-</v>
      </c>
    </row>
    <row r="314" spans="1:4" s="42" customFormat="1" ht="18.75" x14ac:dyDescent="0.3">
      <c r="A314" s="438" t="str">
        <f>IF(BID!$L322=FALSE,BID!A322,"-")</f>
        <v>-</v>
      </c>
      <c r="B314" s="114" t="str">
        <f>IF(BID!$L322=FALSE,BID!B322,"-")</f>
        <v>-</v>
      </c>
      <c r="C314" s="30" t="str">
        <f>IF(BID!$L322=FALSE,BID!C322,"-")</f>
        <v>-</v>
      </c>
      <c r="D314" s="114" t="str">
        <f>IF(BID!$L322=FALSE,BID!D322,"-")</f>
        <v>-</v>
      </c>
    </row>
    <row r="315" spans="1:4" x14ac:dyDescent="0.25">
      <c r="A315" s="438" t="str">
        <f>IF(BID!$L323=FALSE,BID!A323,"-")</f>
        <v>-</v>
      </c>
      <c r="B315" s="114" t="str">
        <f>IF(BID!$L323=FALSE,BID!B323,"-")</f>
        <v>-</v>
      </c>
      <c r="C315" s="30" t="str">
        <f>IF(BID!$L323=FALSE,BID!C323,"-")</f>
        <v>-</v>
      </c>
      <c r="D315" s="114" t="str">
        <f>IF(BID!$L323=FALSE,BID!D323,"-")</f>
        <v>-</v>
      </c>
    </row>
    <row r="316" spans="1:4" x14ac:dyDescent="0.25">
      <c r="A316" s="438" t="str">
        <f>IF(BID!$L324=FALSE,BID!A324,"-")</f>
        <v>-</v>
      </c>
      <c r="B316" s="114" t="str">
        <f>IF(BID!$L324=FALSE,BID!B324,"-")</f>
        <v>-</v>
      </c>
      <c r="C316" s="30" t="str">
        <f>IF(BID!$L324=FALSE,BID!C324,"-")</f>
        <v>-</v>
      </c>
      <c r="D316" s="114" t="str">
        <f>IF(BID!$L324=FALSE,BID!D324,"-")</f>
        <v>-</v>
      </c>
    </row>
    <row r="317" spans="1:4" x14ac:dyDescent="0.25">
      <c r="A317" s="438" t="str">
        <f>IF(BID!$L325=FALSE,BID!A325,"-")</f>
        <v>-</v>
      </c>
      <c r="B317" s="114" t="str">
        <f>IF(BID!$L325=FALSE,BID!B325,"-")</f>
        <v>-</v>
      </c>
      <c r="C317" s="30" t="str">
        <f>IF(BID!$L325=FALSE,BID!C325,"-")</f>
        <v>-</v>
      </c>
      <c r="D317" s="114" t="str">
        <f>IF(BID!$L325=FALSE,BID!D325,"-")</f>
        <v>-</v>
      </c>
    </row>
    <row r="318" spans="1:4" x14ac:dyDescent="0.25">
      <c r="A318" s="438">
        <f>IF(BID!$L326=FALSE,BID!A326,"-")</f>
        <v>294</v>
      </c>
      <c r="B318" s="114" t="str">
        <f>IF(BID!$L326=FALSE,BID!B326,"-")</f>
        <v>CALCIUM+VITAMIN C</v>
      </c>
      <c r="C318" s="30">
        <f>IF(BID!$L326=FALSE,BID!C326,"-")</f>
        <v>9</v>
      </c>
      <c r="D318" s="114">
        <f>IF(BID!$L326=FALSE,BID!D326,"-")</f>
        <v>1000</v>
      </c>
    </row>
    <row r="319" spans="1:4" x14ac:dyDescent="0.25">
      <c r="A319" s="438" t="str">
        <f>IF(BID!$L327=FALSE,BID!A327,"-")</f>
        <v>-</v>
      </c>
      <c r="B319" s="114" t="str">
        <f>IF(BID!$L327=FALSE,BID!B327,"-")</f>
        <v>-</v>
      </c>
      <c r="C319" s="30" t="str">
        <f>IF(BID!$L327=FALSE,BID!C327,"-")</f>
        <v>-</v>
      </c>
      <c r="D319" s="114" t="str">
        <f>IF(BID!$L327=FALSE,BID!D327,"-")</f>
        <v>-</v>
      </c>
    </row>
    <row r="320" spans="1:4" x14ac:dyDescent="0.25">
      <c r="A320" s="438" t="str">
        <f>IF(BID!$L328=FALSE,BID!A328,"-")</f>
        <v>-</v>
      </c>
      <c r="B320" s="114" t="str">
        <f>IF(BID!$L328=FALSE,BID!B328,"-")</f>
        <v>-</v>
      </c>
      <c r="C320" s="30" t="str">
        <f>IF(BID!$L328=FALSE,BID!C328,"-")</f>
        <v>-</v>
      </c>
      <c r="D320" s="114" t="str">
        <f>IF(BID!$L328=FALSE,BID!D328,"-")</f>
        <v>-</v>
      </c>
    </row>
    <row r="321" spans="1:4" x14ac:dyDescent="0.25">
      <c r="A321" s="438" t="str">
        <f>IF(BID!$L329=FALSE,BID!A329,"-")</f>
        <v>-</v>
      </c>
      <c r="B321" s="114" t="str">
        <f>IF(BID!$L329=FALSE,BID!B329,"-")</f>
        <v>-</v>
      </c>
      <c r="C321" s="30" t="str">
        <f>IF(BID!$L329=FALSE,BID!C329,"-")</f>
        <v>-</v>
      </c>
      <c r="D321" s="114" t="str">
        <f>IF(BID!$L329=FALSE,BID!D329,"-")</f>
        <v>-</v>
      </c>
    </row>
    <row r="322" spans="1:4" x14ac:dyDescent="0.25">
      <c r="A322" s="438">
        <f>IF(BID!$L330=FALSE,BID!A330,"-")</f>
        <v>298</v>
      </c>
      <c r="B322" s="114" t="str">
        <f>IF(BID!$L330=FALSE,BID!B330,"-")</f>
        <v>CYANOCOBALAMINE (VITAMIN B12) INJ</v>
      </c>
      <c r="C322" s="30" t="str">
        <f>IF(BID!$L330=FALSE,BID!C330,"-")</f>
        <v>AMP</v>
      </c>
      <c r="D322" s="114">
        <f>IF(BID!$L330=FALSE,BID!D330,"-")</f>
        <v>50</v>
      </c>
    </row>
    <row r="323" spans="1:4" x14ac:dyDescent="0.25">
      <c r="A323" s="438" t="str">
        <f>IF(BID!$L331=FALSE,BID!A331,"-")</f>
        <v>-</v>
      </c>
      <c r="B323" s="114" t="str">
        <f>IF(BID!$L331=FALSE,BID!B331,"-")</f>
        <v>-</v>
      </c>
      <c r="C323" s="30" t="str">
        <f>IF(BID!$L331=FALSE,BID!C331,"-")</f>
        <v>-</v>
      </c>
      <c r="D323" s="114" t="str">
        <f>IF(BID!$L331=FALSE,BID!D331,"-")</f>
        <v>-</v>
      </c>
    </row>
    <row r="324" spans="1:4" x14ac:dyDescent="0.25">
      <c r="A324" s="438" t="str">
        <f>IF(BID!$L332=FALSE,BID!A332,"-")</f>
        <v>-</v>
      </c>
      <c r="B324" s="114" t="str">
        <f>IF(BID!$L332=FALSE,BID!B332,"-")</f>
        <v>-</v>
      </c>
      <c r="C324" s="30" t="str">
        <f>IF(BID!$L332=FALSE,BID!C332,"-")</f>
        <v>-</v>
      </c>
      <c r="D324" s="114" t="str">
        <f>IF(BID!$L332=FALSE,BID!D332,"-")</f>
        <v>-</v>
      </c>
    </row>
    <row r="325" spans="1:4" x14ac:dyDescent="0.25">
      <c r="A325" s="438">
        <f>IF(BID!$L333=FALSE,BID!A333,"-")</f>
        <v>301</v>
      </c>
      <c r="B325" s="114" t="str">
        <f>IF(BID!$L333=FALSE,BID!B333,"-")</f>
        <v>ETHAMSYLATE  TAB</v>
      </c>
      <c r="C325" s="30">
        <f>IF(BID!$L333=FALSE,BID!C333,"-")</f>
        <v>20</v>
      </c>
      <c r="D325" s="114">
        <f>IF(BID!$L333=FALSE,BID!D333,"-")</f>
        <v>60</v>
      </c>
    </row>
    <row r="326" spans="1:4" x14ac:dyDescent="0.25">
      <c r="A326" s="438">
        <f>IF(BID!$L334=FALSE,BID!A334,"-")</f>
        <v>302</v>
      </c>
      <c r="B326" s="114" t="str">
        <f>IF(BID!$L334=FALSE,BID!B334,"-")</f>
        <v>ETHAMSYLATE 250MG/2ML INJ</v>
      </c>
      <c r="C326" s="30" t="str">
        <f>IF(BID!$L334=FALSE,BID!C334,"-")</f>
        <v>AMP</v>
      </c>
      <c r="D326" s="114">
        <f>IF(BID!$L334=FALSE,BID!D334,"-")</f>
        <v>100</v>
      </c>
    </row>
    <row r="327" spans="1:4" x14ac:dyDescent="0.25">
      <c r="A327" s="438">
        <f>IF(BID!$L335=FALSE,BID!A335,"-")</f>
        <v>303</v>
      </c>
      <c r="B327" s="114" t="str">
        <f>IF(BID!$L335=FALSE,BID!B335,"-")</f>
        <v>EVENING PRIMROSE</v>
      </c>
      <c r="C327" s="30">
        <f>IF(BID!$L335=FALSE,BID!C335,"-")</f>
        <v>30</v>
      </c>
      <c r="D327" s="114">
        <f>IF(BID!$L335=FALSE,BID!D335,"-")</f>
        <v>80</v>
      </c>
    </row>
    <row r="328" spans="1:4" x14ac:dyDescent="0.25">
      <c r="A328" s="438" t="str">
        <f>IF(BID!$L336=FALSE,BID!A336,"-")</f>
        <v>-</v>
      </c>
      <c r="B328" s="114" t="str">
        <f>IF(BID!$L336=FALSE,BID!B336,"-")</f>
        <v>-</v>
      </c>
      <c r="C328" s="30" t="str">
        <f>IF(BID!$L336=FALSE,BID!C336,"-")</f>
        <v>-</v>
      </c>
      <c r="D328" s="114" t="str">
        <f>IF(BID!$L336=FALSE,BID!D336,"-")</f>
        <v>-</v>
      </c>
    </row>
    <row r="329" spans="1:4" x14ac:dyDescent="0.25">
      <c r="A329" s="438" t="str">
        <f>IF(BID!$L337=FALSE,BID!A337,"-")</f>
        <v>-</v>
      </c>
      <c r="B329" s="114" t="str">
        <f>IF(BID!$L337=FALSE,BID!B337,"-")</f>
        <v>-</v>
      </c>
      <c r="C329" s="30" t="str">
        <f>IF(BID!$L337=FALSE,BID!C337,"-")</f>
        <v>-</v>
      </c>
      <c r="D329" s="114" t="str">
        <f>IF(BID!$L337=FALSE,BID!D337,"-")</f>
        <v>-</v>
      </c>
    </row>
    <row r="330" spans="1:4" x14ac:dyDescent="0.25">
      <c r="A330" s="438" t="str">
        <f>IF(BID!$L338=FALSE,BID!A338,"-")</f>
        <v>-</v>
      </c>
      <c r="B330" s="114" t="str">
        <f>IF(BID!$L338=FALSE,BID!B338,"-")</f>
        <v>-</v>
      </c>
      <c r="C330" s="30" t="str">
        <f>IF(BID!$L338=FALSE,BID!C338,"-")</f>
        <v>-</v>
      </c>
      <c r="D330" s="114" t="str">
        <f>IF(BID!$L338=FALSE,BID!D338,"-")</f>
        <v>-</v>
      </c>
    </row>
    <row r="331" spans="1:4" x14ac:dyDescent="0.25">
      <c r="A331" s="438" t="str">
        <f>IF(BID!$L339=FALSE,BID!A339,"-")</f>
        <v>-</v>
      </c>
      <c r="B331" s="114" t="str">
        <f>IF(BID!$L339=FALSE,BID!B339,"-")</f>
        <v>-</v>
      </c>
      <c r="C331" s="30" t="str">
        <f>IF(BID!$L339=FALSE,BID!C339,"-")</f>
        <v>-</v>
      </c>
      <c r="D331" s="114" t="str">
        <f>IF(BID!$L339=FALSE,BID!D339,"-")</f>
        <v>-</v>
      </c>
    </row>
    <row r="332" spans="1:4" x14ac:dyDescent="0.25">
      <c r="A332" s="438" t="str">
        <f>IF(BID!$L340=FALSE,BID!A340,"-")</f>
        <v>-</v>
      </c>
      <c r="B332" s="114" t="str">
        <f>IF(BID!$L340=FALSE,BID!B340,"-")</f>
        <v>-</v>
      </c>
      <c r="C332" s="30" t="str">
        <f>IF(BID!$L340=FALSE,BID!C340,"-")</f>
        <v>-</v>
      </c>
      <c r="D332" s="114" t="str">
        <f>IF(BID!$L340=FALSE,BID!D340,"-")</f>
        <v>-</v>
      </c>
    </row>
    <row r="333" spans="1:4" x14ac:dyDescent="0.25">
      <c r="A333" s="438" t="str">
        <f>IF(BID!$L341=FALSE,BID!A341,"-")</f>
        <v>-</v>
      </c>
      <c r="B333" s="114" t="str">
        <f>IF(BID!$L341=FALSE,BID!B341,"-")</f>
        <v>-</v>
      </c>
      <c r="C333" s="30" t="str">
        <f>IF(BID!$L341=FALSE,BID!C341,"-")</f>
        <v>-</v>
      </c>
      <c r="D333" s="114" t="str">
        <f>IF(BID!$L341=FALSE,BID!D341,"-")</f>
        <v>-</v>
      </c>
    </row>
    <row r="334" spans="1:4" x14ac:dyDescent="0.25">
      <c r="A334" s="438" t="str">
        <f>IF(BID!$L342=FALSE,BID!A342,"-")</f>
        <v>-</v>
      </c>
      <c r="B334" s="114" t="str">
        <f>IF(BID!$L342=FALSE,BID!B342,"-")</f>
        <v>-</v>
      </c>
      <c r="C334" s="30" t="str">
        <f>IF(BID!$L342=FALSE,BID!C342,"-")</f>
        <v>-</v>
      </c>
      <c r="D334" s="114" t="str">
        <f>IF(BID!$L342=FALSE,BID!D342,"-")</f>
        <v>-</v>
      </c>
    </row>
    <row r="335" spans="1:4" x14ac:dyDescent="0.25">
      <c r="A335" s="438" t="str">
        <f>IF(BID!$L343=FALSE,BID!A343,"-")</f>
        <v>-</v>
      </c>
      <c r="B335" s="114" t="str">
        <f>IF(BID!$L343=FALSE,BID!B343,"-")</f>
        <v>-</v>
      </c>
      <c r="C335" s="30" t="str">
        <f>IF(BID!$L343=FALSE,BID!C343,"-")</f>
        <v>-</v>
      </c>
      <c r="D335" s="114" t="str">
        <f>IF(BID!$L343=FALSE,BID!D343,"-")</f>
        <v>-</v>
      </c>
    </row>
    <row r="336" spans="1:4" x14ac:dyDescent="0.25">
      <c r="A336" s="438" t="str">
        <f>IF(BID!$L344=FALSE,BID!A344,"-")</f>
        <v>-</v>
      </c>
      <c r="B336" s="114" t="str">
        <f>IF(BID!$L344=FALSE,BID!B344,"-")</f>
        <v>-</v>
      </c>
      <c r="C336" s="30" t="str">
        <f>IF(BID!$L344=FALSE,BID!C344,"-")</f>
        <v>-</v>
      </c>
      <c r="D336" s="114" t="str">
        <f>IF(BID!$L344=FALSE,BID!D344,"-")</f>
        <v>-</v>
      </c>
    </row>
    <row r="337" spans="1:4" x14ac:dyDescent="0.25">
      <c r="A337" s="438" t="str">
        <f>IF(BID!$L345=FALSE,BID!A345,"-")</f>
        <v>-</v>
      </c>
      <c r="B337" s="114" t="str">
        <f>IF(BID!$L345=FALSE,BID!B345,"-")</f>
        <v>-</v>
      </c>
      <c r="C337" s="30" t="str">
        <f>IF(BID!$L345=FALSE,BID!C345,"-")</f>
        <v>-</v>
      </c>
      <c r="D337" s="114" t="str">
        <f>IF(BID!$L345=FALSE,BID!D345,"-")</f>
        <v>-</v>
      </c>
    </row>
    <row r="338" spans="1:4" x14ac:dyDescent="0.25">
      <c r="A338" s="438" t="str">
        <f>IF(BID!$L346=FALSE,BID!A346,"-")</f>
        <v>-</v>
      </c>
      <c r="B338" s="114" t="str">
        <f>IF(BID!$L346=FALSE,BID!B346,"-")</f>
        <v>-</v>
      </c>
      <c r="C338" s="30" t="str">
        <f>IF(BID!$L346=FALSE,BID!C346,"-")</f>
        <v>-</v>
      </c>
      <c r="D338" s="114" t="str">
        <f>IF(BID!$L346=FALSE,BID!D346,"-")</f>
        <v>-</v>
      </c>
    </row>
    <row r="339" spans="1:4" x14ac:dyDescent="0.25">
      <c r="A339" s="438" t="str">
        <f>IF(BID!$L347=FALSE,BID!A347,"-")</f>
        <v>-</v>
      </c>
      <c r="B339" s="114" t="str">
        <f>IF(BID!$L347=FALSE,BID!B347,"-")</f>
        <v>-</v>
      </c>
      <c r="C339" s="30" t="str">
        <f>IF(BID!$L347=FALSE,BID!C347,"-")</f>
        <v>-</v>
      </c>
      <c r="D339" s="114" t="str">
        <f>IF(BID!$L347=FALSE,BID!D347,"-")</f>
        <v>-</v>
      </c>
    </row>
    <row r="340" spans="1:4" x14ac:dyDescent="0.25">
      <c r="A340" s="438" t="str">
        <f>IF(BID!$L348=FALSE,BID!A348,"-")</f>
        <v>-</v>
      </c>
      <c r="B340" s="114" t="str">
        <f>IF(BID!$L348=FALSE,BID!B348,"-")</f>
        <v>-</v>
      </c>
      <c r="C340" s="30" t="str">
        <f>IF(BID!$L348=FALSE,BID!C348,"-")</f>
        <v>-</v>
      </c>
      <c r="D340" s="114" t="str">
        <f>IF(BID!$L348=FALSE,BID!D348,"-")</f>
        <v>-</v>
      </c>
    </row>
    <row r="341" spans="1:4" x14ac:dyDescent="0.25">
      <c r="A341" s="438">
        <f>IF(BID!$L349=FALSE,BID!A349,"-")</f>
        <v>317</v>
      </c>
      <c r="B341" s="114" t="str">
        <f>IF(BID!$L349=FALSE,BID!B349,"-")</f>
        <v>NATTOENZYMS</v>
      </c>
      <c r="C341" s="30">
        <f>IF(BID!$L349=FALSE,BID!C349,"-")</f>
        <v>30</v>
      </c>
      <c r="D341" s="114">
        <f>IF(BID!$L349=FALSE,BID!D349,"-")</f>
        <v>50</v>
      </c>
    </row>
    <row r="342" spans="1:4" x14ac:dyDescent="0.25">
      <c r="A342" s="438">
        <f>IF(BID!$L350=FALSE,BID!A350,"-")</f>
        <v>318</v>
      </c>
      <c r="B342" s="114" t="str">
        <f>IF(BID!$L350=FALSE,BID!B350,"-")</f>
        <v xml:space="preserve">NICOTINIC ACID </v>
      </c>
      <c r="C342" s="30">
        <f>IF(BID!$L350=FALSE,BID!C350,"-")</f>
        <v>100</v>
      </c>
      <c r="D342" s="114">
        <f>IF(BID!$L350=FALSE,BID!D350,"-")</f>
        <v>400</v>
      </c>
    </row>
    <row r="343" spans="1:4" x14ac:dyDescent="0.25">
      <c r="A343" s="438" t="str">
        <f>IF(BID!$L351=FALSE,BID!A351,"-")</f>
        <v>-</v>
      </c>
      <c r="B343" s="114" t="str">
        <f>IF(BID!$L351=FALSE,BID!B351,"-")</f>
        <v>-</v>
      </c>
      <c r="C343" s="30" t="str">
        <f>IF(BID!$L351=FALSE,BID!C351,"-")</f>
        <v>-</v>
      </c>
      <c r="D343" s="114" t="str">
        <f>IF(BID!$L351=FALSE,BID!D351,"-")</f>
        <v>-</v>
      </c>
    </row>
    <row r="344" spans="1:4" x14ac:dyDescent="0.25">
      <c r="A344" s="438" t="str">
        <f>IF(BID!$L352=FALSE,BID!A352,"-")</f>
        <v>-</v>
      </c>
      <c r="B344" s="114" t="str">
        <f>IF(BID!$L352=FALSE,BID!B352,"-")</f>
        <v>-</v>
      </c>
      <c r="C344" s="30" t="str">
        <f>IF(BID!$L352=FALSE,BID!C352,"-")</f>
        <v>-</v>
      </c>
      <c r="D344" s="114" t="str">
        <f>IF(BID!$L352=FALSE,BID!D352,"-")</f>
        <v>-</v>
      </c>
    </row>
    <row r="345" spans="1:4" x14ac:dyDescent="0.25">
      <c r="A345" s="438" t="str">
        <f>IF(BID!$L353=FALSE,BID!A353,"-")</f>
        <v>-</v>
      </c>
      <c r="B345" s="114" t="str">
        <f>IF(BID!$L353=FALSE,BID!B353,"-")</f>
        <v>-</v>
      </c>
      <c r="C345" s="30" t="str">
        <f>IF(BID!$L353=FALSE,BID!C353,"-")</f>
        <v>-</v>
      </c>
      <c r="D345" s="114" t="str">
        <f>IF(BID!$L353=FALSE,BID!D353,"-")</f>
        <v>-</v>
      </c>
    </row>
    <row r="346" spans="1:4" x14ac:dyDescent="0.25">
      <c r="A346" s="438" t="str">
        <f>IF(BID!$L354=FALSE,BID!A354,"-")</f>
        <v>-</v>
      </c>
      <c r="B346" s="114" t="str">
        <f>IF(BID!$L354=FALSE,BID!B354,"-")</f>
        <v>-</v>
      </c>
      <c r="C346" s="30" t="str">
        <f>IF(BID!$L354=FALSE,BID!C354,"-")</f>
        <v>-</v>
      </c>
      <c r="D346" s="114" t="str">
        <f>IF(BID!$L354=FALSE,BID!D354,"-")</f>
        <v>-</v>
      </c>
    </row>
    <row r="347" spans="1:4" s="42" customFormat="1" ht="18.75" x14ac:dyDescent="0.3">
      <c r="A347" s="438" t="str">
        <f>IF(BID!$L355=FALSE,BID!A355,"-")</f>
        <v>-</v>
      </c>
      <c r="B347" s="114" t="str">
        <f>IF(BID!$L355=FALSE,BID!B355,"-")</f>
        <v>-</v>
      </c>
      <c r="C347" s="30" t="str">
        <f>IF(BID!$L355=FALSE,BID!C355,"-")</f>
        <v>-</v>
      </c>
      <c r="D347" s="114" t="str">
        <f>IF(BID!$L355=FALSE,BID!D355,"-")</f>
        <v>-</v>
      </c>
    </row>
    <row r="348" spans="1:4" x14ac:dyDescent="0.25">
      <c r="A348" s="438">
        <f>IF(BID!$L356=FALSE,BID!A356,"-")</f>
        <v>324</v>
      </c>
      <c r="B348" s="114" t="str">
        <f>IF(BID!$L356=FALSE,BID!B356,"-")</f>
        <v>POTASSIUM CHLORIDE TAB</v>
      </c>
      <c r="C348" s="30">
        <f>IF(BID!$L356=FALSE,BID!C356,"-")</f>
        <v>40</v>
      </c>
      <c r="D348" s="114">
        <f>IF(BID!$L356=FALSE,BID!D356,"-")</f>
        <v>250</v>
      </c>
    </row>
    <row r="349" spans="1:4" x14ac:dyDescent="0.25">
      <c r="A349" s="438" t="str">
        <f>IF(BID!$L357=FALSE,BID!A357,"-")</f>
        <v>-</v>
      </c>
      <c r="B349" s="114" t="str">
        <f>IF(BID!$L357=FALSE,BID!B357,"-")</f>
        <v>-</v>
      </c>
      <c r="C349" s="30" t="str">
        <f>IF(BID!$L357=FALSE,BID!C357,"-")</f>
        <v>-</v>
      </c>
      <c r="D349" s="114" t="str">
        <f>IF(BID!$L357=FALSE,BID!D357,"-")</f>
        <v>-</v>
      </c>
    </row>
    <row r="350" spans="1:4" x14ac:dyDescent="0.25">
      <c r="A350" s="438" t="str">
        <f>IF(BID!$L358=FALSE,BID!A358,"-")</f>
        <v>-</v>
      </c>
      <c r="B350" s="114" t="str">
        <f>IF(BID!$L358=FALSE,BID!B358,"-")</f>
        <v>-</v>
      </c>
      <c r="C350" s="30" t="str">
        <f>IF(BID!$L358=FALSE,BID!C358,"-")</f>
        <v>-</v>
      </c>
      <c r="D350" s="114" t="str">
        <f>IF(BID!$L358=FALSE,BID!D358,"-")</f>
        <v>-</v>
      </c>
    </row>
    <row r="351" spans="1:4" x14ac:dyDescent="0.25">
      <c r="A351" s="438" t="str">
        <f>IF(BID!$L359=FALSE,BID!A359,"-")</f>
        <v>-</v>
      </c>
      <c r="B351" s="114" t="str">
        <f>IF(BID!$L359=FALSE,BID!B359,"-")</f>
        <v>-</v>
      </c>
      <c r="C351" s="30" t="str">
        <f>IF(BID!$L359=FALSE,BID!C359,"-")</f>
        <v>-</v>
      </c>
      <c r="D351" s="114" t="str">
        <f>IF(BID!$L359=FALSE,BID!D359,"-")</f>
        <v>-</v>
      </c>
    </row>
    <row r="352" spans="1:4" x14ac:dyDescent="0.25">
      <c r="A352" s="438" t="str">
        <f>IF(BID!$L360=FALSE,BID!A360,"-")</f>
        <v>-</v>
      </c>
      <c r="B352" s="114" t="str">
        <f>IF(BID!$L360=FALSE,BID!B360,"-")</f>
        <v>-</v>
      </c>
      <c r="C352" s="30" t="str">
        <f>IF(BID!$L360=FALSE,BID!C360,"-")</f>
        <v>-</v>
      </c>
      <c r="D352" s="114" t="str">
        <f>IF(BID!$L360=FALSE,BID!D360,"-")</f>
        <v>-</v>
      </c>
    </row>
    <row r="353" spans="1:4" x14ac:dyDescent="0.25">
      <c r="A353" s="438" t="str">
        <f>IF(BID!$L361=FALSE,BID!A361,"-")</f>
        <v>-</v>
      </c>
      <c r="B353" s="114" t="str">
        <f>IF(BID!$L361=FALSE,BID!B361,"-")</f>
        <v>-</v>
      </c>
      <c r="C353" s="30" t="str">
        <f>IF(BID!$L361=FALSE,BID!C361,"-")</f>
        <v>-</v>
      </c>
      <c r="D353" s="114" t="str">
        <f>IF(BID!$L361=FALSE,BID!D361,"-")</f>
        <v>-</v>
      </c>
    </row>
    <row r="354" spans="1:4" x14ac:dyDescent="0.25">
      <c r="A354" s="438">
        <f>IF(BID!$L362=FALSE,BID!A362,"-")</f>
        <v>330</v>
      </c>
      <c r="B354" s="114" t="str">
        <f>IF(BID!$L362=FALSE,BID!B362,"-")</f>
        <v>TOCOTRIENOLS</v>
      </c>
      <c r="C354" s="30">
        <f>IF(BID!$L362=FALSE,BID!C362,"-")</f>
        <v>60</v>
      </c>
      <c r="D354" s="114">
        <f>IF(BID!$L362=FALSE,BID!D362,"-")</f>
        <v>200</v>
      </c>
    </row>
    <row r="355" spans="1:4" x14ac:dyDescent="0.25">
      <c r="A355" s="438" t="str">
        <f>IF(BID!$L363=FALSE,BID!A363,"-")</f>
        <v>-</v>
      </c>
      <c r="B355" s="114" t="str">
        <f>IF(BID!$L363=FALSE,BID!B363,"-")</f>
        <v>-</v>
      </c>
      <c r="C355" s="30" t="str">
        <f>IF(BID!$L363=FALSE,BID!C363,"-")</f>
        <v>-</v>
      </c>
      <c r="D355" s="114" t="str">
        <f>IF(BID!$L363=FALSE,BID!D363,"-")</f>
        <v>-</v>
      </c>
    </row>
    <row r="356" spans="1:4" x14ac:dyDescent="0.25">
      <c r="A356" s="438" t="str">
        <f>IF(BID!$L364=FALSE,BID!A364,"-")</f>
        <v>-</v>
      </c>
      <c r="B356" s="114" t="str">
        <f>IF(BID!$L364=FALSE,BID!B364,"-")</f>
        <v>-</v>
      </c>
      <c r="C356" s="30" t="str">
        <f>IF(BID!$L364=FALSE,BID!C364,"-")</f>
        <v>-</v>
      </c>
      <c r="D356" s="114" t="str">
        <f>IF(BID!$L364=FALSE,BID!D364,"-")</f>
        <v>-</v>
      </c>
    </row>
    <row r="357" spans="1:4" x14ac:dyDescent="0.25">
      <c r="A357" s="438">
        <f>IF(BID!$L365=FALSE,BID!A365,"-")</f>
        <v>333</v>
      </c>
      <c r="B357" s="114" t="str">
        <f>IF(BID!$L365=FALSE,BID!B365,"-")</f>
        <v>URSODEOXYCHOLIC ACID 150MG TAB</v>
      </c>
      <c r="C357" s="30">
        <f>IF(BID!$L365=FALSE,BID!C365,"-")</f>
        <v>30</v>
      </c>
      <c r="D357" s="114">
        <f>IF(BID!$L365=FALSE,BID!D365,"-")</f>
        <v>20</v>
      </c>
    </row>
    <row r="358" spans="1:4" x14ac:dyDescent="0.25">
      <c r="A358" s="438" t="str">
        <f>IF(BID!$L366=FALSE,BID!A366,"-")</f>
        <v>-</v>
      </c>
      <c r="B358" s="114" t="str">
        <f>IF(BID!$L366=FALSE,BID!B366,"-")</f>
        <v>-</v>
      </c>
      <c r="C358" s="30" t="str">
        <f>IF(BID!$L366=FALSE,BID!C366,"-")</f>
        <v>-</v>
      </c>
      <c r="D358" s="114" t="str">
        <f>IF(BID!$L366=FALSE,BID!D366,"-")</f>
        <v>-</v>
      </c>
    </row>
    <row r="359" spans="1:4" x14ac:dyDescent="0.25">
      <c r="A359" s="438" t="str">
        <f>IF(BID!$L367=FALSE,BID!A367,"-")</f>
        <v>-</v>
      </c>
      <c r="B359" s="114" t="str">
        <f>IF(BID!$L367=FALSE,BID!B367,"-")</f>
        <v>-</v>
      </c>
      <c r="C359" s="30" t="str">
        <f>IF(BID!$L367=FALSE,BID!C367,"-")</f>
        <v>-</v>
      </c>
      <c r="D359" s="114" t="str">
        <f>IF(BID!$L367=FALSE,BID!D367,"-")</f>
        <v>-</v>
      </c>
    </row>
    <row r="360" spans="1:4" x14ac:dyDescent="0.25">
      <c r="A360" s="438">
        <f>IF(BID!$L368=FALSE,BID!A368,"-")</f>
        <v>336</v>
      </c>
      <c r="B360" s="114" t="str">
        <f>IF(BID!$L368=FALSE,BID!B368,"-")</f>
        <v>VITAMIN A 50,000IU</v>
      </c>
      <c r="C360" s="30">
        <f>IF(BID!$L368=FALSE,BID!C368,"-")</f>
        <v>30</v>
      </c>
      <c r="D360" s="114">
        <f>IF(BID!$L368=FALSE,BID!D368,"-")</f>
        <v>50</v>
      </c>
    </row>
    <row r="361" spans="1:4" x14ac:dyDescent="0.25">
      <c r="A361" s="438" t="str">
        <f>IF(BID!$L369=FALSE,BID!A369,"-")</f>
        <v>-</v>
      </c>
      <c r="B361" s="114" t="str">
        <f>IF(BID!$L369=FALSE,BID!B369,"-")</f>
        <v>-</v>
      </c>
      <c r="C361" s="30" t="str">
        <f>IF(BID!$L369=FALSE,BID!C369,"-")</f>
        <v>-</v>
      </c>
      <c r="D361" s="114" t="str">
        <f>IF(BID!$L369=FALSE,BID!D369,"-")</f>
        <v>-</v>
      </c>
    </row>
    <row r="362" spans="1:4" x14ac:dyDescent="0.25">
      <c r="A362" s="438" t="str">
        <f>IF(BID!$L370=FALSE,BID!A370,"-")</f>
        <v>-</v>
      </c>
      <c r="B362" s="114" t="str">
        <f>IF(BID!$L370=FALSE,BID!B370,"-")</f>
        <v>-</v>
      </c>
      <c r="C362" s="30" t="str">
        <f>IF(BID!$L370=FALSE,BID!C370,"-")</f>
        <v>-</v>
      </c>
      <c r="D362" s="114" t="str">
        <f>IF(BID!$L370=FALSE,BID!D370,"-")</f>
        <v>-</v>
      </c>
    </row>
    <row r="363" spans="1:4" x14ac:dyDescent="0.25">
      <c r="A363" s="438" t="str">
        <f>IF(BID!$L371=FALSE,BID!A371,"-")</f>
        <v>-</v>
      </c>
      <c r="B363" s="114" t="str">
        <f>IF(BID!$L371=FALSE,BID!B371,"-")</f>
        <v>-</v>
      </c>
      <c r="C363" s="30" t="str">
        <f>IF(BID!$L371=FALSE,BID!C371,"-")</f>
        <v>-</v>
      </c>
      <c r="D363" s="114" t="str">
        <f>IF(BID!$L371=FALSE,BID!D371,"-")</f>
        <v>-</v>
      </c>
    </row>
    <row r="364" spans="1:4" x14ac:dyDescent="0.25">
      <c r="A364" s="438" t="str">
        <f>IF(BID!$L372=FALSE,BID!A372,"-")</f>
        <v>-</v>
      </c>
      <c r="B364" s="114" t="str">
        <f>IF(BID!$L372=FALSE,BID!B372,"-")</f>
        <v>-</v>
      </c>
      <c r="C364" s="30" t="str">
        <f>IF(BID!$L372=FALSE,BID!C372,"-")</f>
        <v>-</v>
      </c>
      <c r="D364" s="114" t="str">
        <f>IF(BID!$L372=FALSE,BID!D372,"-")</f>
        <v>-</v>
      </c>
    </row>
    <row r="365" spans="1:4" x14ac:dyDescent="0.25">
      <c r="A365" s="438" t="str">
        <f>IF(BID!$L373=FALSE,BID!A373,"-")</f>
        <v>-</v>
      </c>
      <c r="B365" s="114" t="str">
        <f>IF(BID!$L373=FALSE,BID!B373,"-")</f>
        <v>-</v>
      </c>
      <c r="C365" s="30" t="str">
        <f>IF(BID!$L373=FALSE,BID!C373,"-")</f>
        <v>-</v>
      </c>
      <c r="D365" s="114" t="str">
        <f>IF(BID!$L373=FALSE,BID!D373,"-")</f>
        <v>-</v>
      </c>
    </row>
    <row r="366" spans="1:4" x14ac:dyDescent="0.25">
      <c r="A366" s="438">
        <f>IF(BID!$L374=FALSE,BID!A374,"-")</f>
        <v>342</v>
      </c>
      <c r="B366" s="114" t="str">
        <f>IF(BID!$L374=FALSE,BID!B374,"-")</f>
        <v>VITAMIN C 500MG TAB</v>
      </c>
      <c r="C366" s="30">
        <f>IF(BID!$L374=FALSE,BID!C374,"-")</f>
        <v>100</v>
      </c>
      <c r="D366" s="114">
        <f>IF(BID!$L374=FALSE,BID!D374,"-")</f>
        <v>60</v>
      </c>
    </row>
    <row r="367" spans="1:4" x14ac:dyDescent="0.25">
      <c r="A367" s="438" t="str">
        <f>IF(BID!$L375=FALSE,BID!A375,"-")</f>
        <v>-</v>
      </c>
      <c r="B367" s="114" t="str">
        <f>IF(BID!$L375=FALSE,BID!B375,"-")</f>
        <v>-</v>
      </c>
      <c r="C367" s="30" t="str">
        <f>IF(BID!$L375=FALSE,BID!C375,"-")</f>
        <v>-</v>
      </c>
      <c r="D367" s="114" t="str">
        <f>IF(BID!$L375=FALSE,BID!D375,"-")</f>
        <v>-</v>
      </c>
    </row>
    <row r="368" spans="1:4" x14ac:dyDescent="0.25">
      <c r="A368" s="438" t="str">
        <f>IF(BID!$L376=FALSE,BID!A376,"-")</f>
        <v>-</v>
      </c>
      <c r="B368" s="114" t="str">
        <f>IF(BID!$L376=FALSE,BID!B376,"-")</f>
        <v>-</v>
      </c>
      <c r="C368" s="30" t="str">
        <f>IF(BID!$L376=FALSE,BID!C376,"-")</f>
        <v>-</v>
      </c>
      <c r="D368" s="114" t="str">
        <f>IF(BID!$L376=FALSE,BID!D376,"-")</f>
        <v>-</v>
      </c>
    </row>
    <row r="369" spans="1:4" x14ac:dyDescent="0.25">
      <c r="A369" s="438">
        <f>IF(BID!$L377=FALSE,BID!A377,"-")</f>
        <v>345</v>
      </c>
      <c r="B369" s="114" t="str">
        <f>IF(BID!$L377=FALSE,BID!B377,"-")</f>
        <v>VITAMIN E 300IU INJ</v>
      </c>
      <c r="C369" s="30" t="str">
        <f>IF(BID!$L377=FALSE,BID!C377,"-")</f>
        <v>AMP</v>
      </c>
      <c r="D369" s="114">
        <f>IF(BID!$L377=FALSE,BID!D377,"-")</f>
        <v>50</v>
      </c>
    </row>
    <row r="370" spans="1:4" x14ac:dyDescent="0.25">
      <c r="A370" s="438">
        <f>IF(BID!$L378=FALSE,BID!A378,"-")</f>
        <v>346</v>
      </c>
      <c r="B370" s="114" t="str">
        <f>IF(BID!$L378=FALSE,BID!B378,"-")</f>
        <v>VITAMIN E 400IU</v>
      </c>
      <c r="C370" s="30">
        <f>IF(BID!$L378=FALSE,BID!C378,"-")</f>
        <v>30</v>
      </c>
      <c r="D370" s="114">
        <f>IF(BID!$L378=FALSE,BID!D378,"-")</f>
        <v>1200</v>
      </c>
    </row>
    <row r="371" spans="1:4" x14ac:dyDescent="0.25">
      <c r="A371" s="438">
        <f>IF(BID!$L379=FALSE,BID!A379,"-")</f>
        <v>347</v>
      </c>
      <c r="B371" s="114" t="str">
        <f>IF(BID!$L379=FALSE,BID!B379,"-")</f>
        <v>VITAMIN E 1000IU</v>
      </c>
      <c r="C371" s="30">
        <f>IF(BID!$L379=FALSE,BID!C379,"-")</f>
        <v>30</v>
      </c>
      <c r="D371" s="114">
        <f>IF(BID!$L379=FALSE,BID!D379,"-")</f>
        <v>100</v>
      </c>
    </row>
    <row r="372" spans="1:4" x14ac:dyDescent="0.25">
      <c r="A372" s="438" t="str">
        <f>IF(BID!$L380=FALSE,BID!A380,"-")</f>
        <v>-</v>
      </c>
      <c r="B372" s="114" t="str">
        <f>IF(BID!$L380=FALSE,BID!B380,"-")</f>
        <v>-</v>
      </c>
      <c r="C372" s="30" t="str">
        <f>IF(BID!$L380=FALSE,BID!C380,"-")</f>
        <v>-</v>
      </c>
      <c r="D372" s="114" t="str">
        <f>IF(BID!$L380=FALSE,BID!D380,"-")</f>
        <v>-</v>
      </c>
    </row>
    <row r="373" spans="1:4" x14ac:dyDescent="0.25">
      <c r="A373" s="438" t="str">
        <f>IF(BID!$L381=FALSE,BID!A381,"-")</f>
        <v>-</v>
      </c>
      <c r="B373" s="114" t="str">
        <f>IF(BID!$L381=FALSE,BID!B381,"-")</f>
        <v>-</v>
      </c>
      <c r="C373" s="30" t="str">
        <f>IF(BID!$L381=FALSE,BID!C381,"-")</f>
        <v>-</v>
      </c>
      <c r="D373" s="114" t="str">
        <f>IF(BID!$L381=FALSE,BID!D381,"-")</f>
        <v>-</v>
      </c>
    </row>
    <row r="374" spans="1:4" x14ac:dyDescent="0.25">
      <c r="A374" s="438" t="str">
        <f>IF(BID!$L382=FALSE,BID!A382,"-")</f>
        <v>-</v>
      </c>
      <c r="B374" s="114" t="str">
        <f>IF(BID!$L382=FALSE,BID!B382,"-")</f>
        <v>-</v>
      </c>
      <c r="C374" s="30" t="str">
        <f>IF(BID!$L382=FALSE,BID!C382,"-")</f>
        <v>-</v>
      </c>
      <c r="D374" s="114" t="str">
        <f>IF(BID!$L382=FALSE,BID!D382,"-")</f>
        <v>-</v>
      </c>
    </row>
    <row r="375" spans="1:4" x14ac:dyDescent="0.25">
      <c r="A375" s="438">
        <f>IF(BID!$L383=FALSE,BID!A383,"-")</f>
        <v>0</v>
      </c>
      <c r="B375" s="114">
        <f>IF(BID!$L383=FALSE,BID!B383,"-")</f>
        <v>0</v>
      </c>
      <c r="C375" s="30">
        <f>IF(BID!$L383=FALSE,BID!C383,"-")</f>
        <v>0</v>
      </c>
      <c r="D375" s="114">
        <f>IF(BID!$L383=FALSE,BID!D383,"-")</f>
        <v>0</v>
      </c>
    </row>
    <row r="376" spans="1:4" x14ac:dyDescent="0.25">
      <c r="A376" s="438">
        <f>IF(BID!$L384=FALSE,BID!A384,"-")</f>
        <v>0</v>
      </c>
      <c r="B376" s="114">
        <f>IF(BID!$L384=FALSE,BID!B384,"-")</f>
        <v>0</v>
      </c>
      <c r="C376" s="30">
        <f>IF(BID!$L384=FALSE,BID!C384,"-")</f>
        <v>0</v>
      </c>
      <c r="D376" s="114">
        <f>IF(BID!$L384=FALSE,BID!D384,"-")</f>
        <v>0</v>
      </c>
    </row>
    <row r="377" spans="1:4" x14ac:dyDescent="0.25">
      <c r="A377" s="438" t="str">
        <f>IF(BID!$L385=FALSE,BID!A385,"-")</f>
        <v>LOT 7</v>
      </c>
      <c r="B377" s="114" t="str">
        <f>IF(BID!$L385=FALSE,BID!B385,"-")</f>
        <v>HYPNOTICS/SEDATIVES/TRANQUILIZERS/ANTI-DEPRESSANTS</v>
      </c>
      <c r="C377" s="30">
        <f>IF(BID!$L385=FALSE,BID!C385,"-")</f>
        <v>0</v>
      </c>
      <c r="D377" s="114">
        <f>IF(BID!$L385=FALSE,BID!D385,"-")</f>
        <v>0</v>
      </c>
    </row>
    <row r="378" spans="1:4" x14ac:dyDescent="0.25">
      <c r="A378" s="438">
        <f>IF(BID!$L386=FALSE,BID!A386,"-")</f>
        <v>0</v>
      </c>
      <c r="B378" s="114">
        <f>IF(BID!$L386=FALSE,BID!B386,"-")</f>
        <v>0</v>
      </c>
      <c r="C378" s="30">
        <f>IF(BID!$L386=FALSE,BID!C386,"-")</f>
        <v>0</v>
      </c>
      <c r="D378" s="114">
        <f>IF(BID!$L386=FALSE,BID!D386,"-")</f>
        <v>0</v>
      </c>
    </row>
    <row r="379" spans="1:4" x14ac:dyDescent="0.25">
      <c r="A379" s="438" t="str">
        <f>IF(BID!$L387=FALSE,BID!A387,"-")</f>
        <v>-</v>
      </c>
      <c r="B379" s="114" t="str">
        <f>IF(BID!$L387=FALSE,BID!B387,"-")</f>
        <v>-</v>
      </c>
      <c r="C379" s="30" t="str">
        <f>IF(BID!$L387=FALSE,BID!C387,"-")</f>
        <v>-</v>
      </c>
      <c r="D379" s="114" t="str">
        <f>IF(BID!$L387=FALSE,BID!D387,"-")</f>
        <v>-</v>
      </c>
    </row>
    <row r="380" spans="1:4" x14ac:dyDescent="0.25">
      <c r="A380" s="438" t="str">
        <f>IF(BID!$L388=FALSE,BID!A388,"-")</f>
        <v>-</v>
      </c>
      <c r="B380" s="114" t="str">
        <f>IF(BID!$L388=FALSE,BID!B388,"-")</f>
        <v>-</v>
      </c>
      <c r="C380" s="30" t="str">
        <f>IF(BID!$L388=FALSE,BID!C388,"-")</f>
        <v>-</v>
      </c>
      <c r="D380" s="114" t="str">
        <f>IF(BID!$L388=FALSE,BID!D388,"-")</f>
        <v>-</v>
      </c>
    </row>
    <row r="381" spans="1:4" x14ac:dyDescent="0.25">
      <c r="A381" s="438" t="str">
        <f>IF(BID!$L389=FALSE,BID!A389,"-")</f>
        <v>-</v>
      </c>
      <c r="B381" s="114" t="str">
        <f>IF(BID!$L389=FALSE,BID!B389,"-")</f>
        <v>-</v>
      </c>
      <c r="C381" s="30" t="str">
        <f>IF(BID!$L389=FALSE,BID!C389,"-")</f>
        <v>-</v>
      </c>
      <c r="D381" s="114" t="str">
        <f>IF(BID!$L389=FALSE,BID!D389,"-")</f>
        <v>-</v>
      </c>
    </row>
    <row r="382" spans="1:4" x14ac:dyDescent="0.25">
      <c r="A382" s="438" t="str">
        <f>IF(BID!$L390=FALSE,BID!A390,"-")</f>
        <v>-</v>
      </c>
      <c r="B382" s="114" t="str">
        <f>IF(BID!$L390=FALSE,BID!B390,"-")</f>
        <v>-</v>
      </c>
      <c r="C382" s="30" t="str">
        <f>IF(BID!$L390=FALSE,BID!C390,"-")</f>
        <v>-</v>
      </c>
      <c r="D382" s="114" t="str">
        <f>IF(BID!$L390=FALSE,BID!D390,"-")</f>
        <v>-</v>
      </c>
    </row>
    <row r="383" spans="1:4" x14ac:dyDescent="0.25">
      <c r="A383" s="438" t="str">
        <f>IF(BID!$L391=FALSE,BID!A391,"-")</f>
        <v>-</v>
      </c>
      <c r="B383" s="114" t="str">
        <f>IF(BID!$L391=FALSE,BID!B391,"-")</f>
        <v>-</v>
      </c>
      <c r="C383" s="30" t="str">
        <f>IF(BID!$L391=FALSE,BID!C391,"-")</f>
        <v>-</v>
      </c>
      <c r="D383" s="114" t="str">
        <f>IF(BID!$L391=FALSE,BID!D391,"-")</f>
        <v>-</v>
      </c>
    </row>
    <row r="384" spans="1:4" x14ac:dyDescent="0.25">
      <c r="A384" s="438" t="str">
        <f>IF(BID!$L392=FALSE,BID!A392,"-")</f>
        <v>-</v>
      </c>
      <c r="B384" s="114" t="str">
        <f>IF(BID!$L392=FALSE,BID!B392,"-")</f>
        <v>-</v>
      </c>
      <c r="C384" s="30" t="str">
        <f>IF(BID!$L392=FALSE,BID!C392,"-")</f>
        <v>-</v>
      </c>
      <c r="D384" s="114" t="str">
        <f>IF(BID!$L392=FALSE,BID!D392,"-")</f>
        <v>-</v>
      </c>
    </row>
    <row r="385" spans="1:4" x14ac:dyDescent="0.25">
      <c r="A385" s="438" t="str">
        <f>IF(BID!$L393=FALSE,BID!A393,"-")</f>
        <v>-</v>
      </c>
      <c r="B385" s="114" t="str">
        <f>IF(BID!$L393=FALSE,BID!B393,"-")</f>
        <v>-</v>
      </c>
      <c r="C385" s="30" t="str">
        <f>IF(BID!$L393=FALSE,BID!C393,"-")</f>
        <v>-</v>
      </c>
      <c r="D385" s="114" t="str">
        <f>IF(BID!$L393=FALSE,BID!D393,"-")</f>
        <v>-</v>
      </c>
    </row>
    <row r="386" spans="1:4" x14ac:dyDescent="0.25">
      <c r="A386" s="438" t="str">
        <f>IF(BID!$L394=FALSE,BID!A394,"-")</f>
        <v>-</v>
      </c>
      <c r="B386" s="114" t="str">
        <f>IF(BID!$L394=FALSE,BID!B394,"-")</f>
        <v>-</v>
      </c>
      <c r="C386" s="30" t="str">
        <f>IF(BID!$L394=FALSE,BID!C394,"-")</f>
        <v>-</v>
      </c>
      <c r="D386" s="114" t="str">
        <f>IF(BID!$L394=FALSE,BID!D394,"-")</f>
        <v>-</v>
      </c>
    </row>
    <row r="387" spans="1:4" x14ac:dyDescent="0.25">
      <c r="A387" s="438">
        <f>IF(BID!$L395=FALSE,BID!A395,"-")</f>
        <v>359</v>
      </c>
      <c r="B387" s="114" t="str">
        <f>IF(BID!$L395=FALSE,BID!B395,"-")</f>
        <v>CHLORPROMAZINE 50MG INJ</v>
      </c>
      <c r="C387" s="30">
        <f>IF(BID!$L395=FALSE,BID!C395,"-")</f>
        <v>100</v>
      </c>
      <c r="D387" s="114">
        <f>IF(BID!$L395=FALSE,BID!D395,"-")</f>
        <v>10</v>
      </c>
    </row>
    <row r="388" spans="1:4" x14ac:dyDescent="0.25">
      <c r="A388" s="438" t="str">
        <f>IF(BID!$L396=FALSE,BID!A396,"-")</f>
        <v>-</v>
      </c>
      <c r="B388" s="114" t="str">
        <f>IF(BID!$L396=FALSE,BID!B396,"-")</f>
        <v>-</v>
      </c>
      <c r="C388" s="30" t="str">
        <f>IF(BID!$L396=FALSE,BID!C396,"-")</f>
        <v>-</v>
      </c>
      <c r="D388" s="114" t="str">
        <f>IF(BID!$L396=FALSE,BID!D396,"-")</f>
        <v>-</v>
      </c>
    </row>
    <row r="389" spans="1:4" x14ac:dyDescent="0.25">
      <c r="A389" s="438" t="str">
        <f>IF(BID!$L397=FALSE,BID!A397,"-")</f>
        <v>-</v>
      </c>
      <c r="B389" s="114" t="str">
        <f>IF(BID!$L397=FALSE,BID!B397,"-")</f>
        <v>-</v>
      </c>
      <c r="C389" s="30" t="str">
        <f>IF(BID!$L397=FALSE,BID!C397,"-")</f>
        <v>-</v>
      </c>
      <c r="D389" s="114" t="str">
        <f>IF(BID!$L397=FALSE,BID!D397,"-")</f>
        <v>-</v>
      </c>
    </row>
    <row r="390" spans="1:4" s="42" customFormat="1" ht="18.75" x14ac:dyDescent="0.3">
      <c r="A390" s="438" t="str">
        <f>IF(BID!$L398=FALSE,BID!A398,"-")</f>
        <v>-</v>
      </c>
      <c r="B390" s="114" t="str">
        <f>IF(BID!$L398=FALSE,BID!B398,"-")</f>
        <v>-</v>
      </c>
      <c r="C390" s="30" t="str">
        <f>IF(BID!$L398=FALSE,BID!C398,"-")</f>
        <v>-</v>
      </c>
      <c r="D390" s="114" t="str">
        <f>IF(BID!$L398=FALSE,BID!D398,"-")</f>
        <v>-</v>
      </c>
    </row>
    <row r="391" spans="1:4" x14ac:dyDescent="0.25">
      <c r="A391" s="438">
        <f>IF(BID!$L399=FALSE,BID!A399,"-")</f>
        <v>363</v>
      </c>
      <c r="B391" s="114" t="str">
        <f>IF(BID!$L399=FALSE,BID!B399,"-")</f>
        <v>DIAZEPAM 5MG TAB (X96)</v>
      </c>
      <c r="C391" s="30">
        <f>IF(BID!$L399=FALSE,BID!C399,"-")</f>
        <v>1000</v>
      </c>
      <c r="D391" s="114">
        <f>IF(BID!$L399=FALSE,BID!D399,"-")</f>
        <v>12</v>
      </c>
    </row>
    <row r="392" spans="1:4" x14ac:dyDescent="0.25">
      <c r="A392" s="438" t="str">
        <f>IF(BID!$L400=FALSE,BID!A400,"-")</f>
        <v>-</v>
      </c>
      <c r="B392" s="114" t="str">
        <f>IF(BID!$L400=FALSE,BID!B400,"-")</f>
        <v>-</v>
      </c>
      <c r="C392" s="30" t="str">
        <f>IF(BID!$L400=FALSE,BID!C400,"-")</f>
        <v>-</v>
      </c>
      <c r="D392" s="114" t="str">
        <f>IF(BID!$L400=FALSE,BID!D400,"-")</f>
        <v>-</v>
      </c>
    </row>
    <row r="393" spans="1:4" x14ac:dyDescent="0.25">
      <c r="A393" s="438" t="str">
        <f>IF(BID!$L401=FALSE,BID!A401,"-")</f>
        <v>-</v>
      </c>
      <c r="B393" s="114" t="str">
        <f>IF(BID!$L401=FALSE,BID!B401,"-")</f>
        <v>-</v>
      </c>
      <c r="C393" s="30" t="str">
        <f>IF(BID!$L401=FALSE,BID!C401,"-")</f>
        <v>-</v>
      </c>
      <c r="D393" s="114" t="str">
        <f>IF(BID!$L401=FALSE,BID!D401,"-")</f>
        <v>-</v>
      </c>
    </row>
    <row r="394" spans="1:4" x14ac:dyDescent="0.25">
      <c r="A394" s="438" t="str">
        <f>IF(BID!$L402=FALSE,BID!A402,"-")</f>
        <v>-</v>
      </c>
      <c r="B394" s="114" t="str">
        <f>IF(BID!$L402=FALSE,BID!B402,"-")</f>
        <v>-</v>
      </c>
      <c r="C394" s="30" t="str">
        <f>IF(BID!$L402=FALSE,BID!C402,"-")</f>
        <v>-</v>
      </c>
      <c r="D394" s="114" t="str">
        <f>IF(BID!$L402=FALSE,BID!D402,"-")</f>
        <v>-</v>
      </c>
    </row>
    <row r="395" spans="1:4" x14ac:dyDescent="0.25">
      <c r="A395" s="438" t="str">
        <f>IF(BID!$L403=FALSE,BID!A403,"-")</f>
        <v>-</v>
      </c>
      <c r="B395" s="114" t="str">
        <f>IF(BID!$L403=FALSE,BID!B403,"-")</f>
        <v>-</v>
      </c>
      <c r="C395" s="30" t="str">
        <f>IF(BID!$L403=FALSE,BID!C403,"-")</f>
        <v>-</v>
      </c>
      <c r="D395" s="114" t="str">
        <f>IF(BID!$L403=FALSE,BID!D403,"-")</f>
        <v>-</v>
      </c>
    </row>
    <row r="396" spans="1:4" x14ac:dyDescent="0.25">
      <c r="A396" s="438" t="str">
        <f>IF(BID!$L404=FALSE,BID!A404,"-")</f>
        <v>-</v>
      </c>
      <c r="B396" s="114" t="str">
        <f>IF(BID!$L404=FALSE,BID!B404,"-")</f>
        <v>-</v>
      </c>
      <c r="C396" s="30" t="str">
        <f>IF(BID!$L404=FALSE,BID!C404,"-")</f>
        <v>-</v>
      </c>
      <c r="D396" s="114" t="str">
        <f>IF(BID!$L404=FALSE,BID!D404,"-")</f>
        <v>-</v>
      </c>
    </row>
    <row r="397" spans="1:4" x14ac:dyDescent="0.25">
      <c r="A397" s="438" t="str">
        <f>IF(BID!$L405=FALSE,BID!A405,"-")</f>
        <v>-</v>
      </c>
      <c r="B397" s="114" t="str">
        <f>IF(BID!$L405=FALSE,BID!B405,"-")</f>
        <v>-</v>
      </c>
      <c r="C397" s="30" t="str">
        <f>IF(BID!$L405=FALSE,BID!C405,"-")</f>
        <v>-</v>
      </c>
      <c r="D397" s="114" t="str">
        <f>IF(BID!$L405=FALSE,BID!D405,"-")</f>
        <v>-</v>
      </c>
    </row>
    <row r="398" spans="1:4" x14ac:dyDescent="0.25">
      <c r="A398" s="438" t="str">
        <f>IF(BID!$L406=FALSE,BID!A406,"-")</f>
        <v>-</v>
      </c>
      <c r="B398" s="114" t="str">
        <f>IF(BID!$L406=FALSE,BID!B406,"-")</f>
        <v>-</v>
      </c>
      <c r="C398" s="30" t="str">
        <f>IF(BID!$L406=FALSE,BID!C406,"-")</f>
        <v>-</v>
      </c>
      <c r="D398" s="114" t="str">
        <f>IF(BID!$L406=FALSE,BID!D406,"-")</f>
        <v>-</v>
      </c>
    </row>
    <row r="399" spans="1:4" x14ac:dyDescent="0.25">
      <c r="A399" s="438" t="str">
        <f>IF(BID!$L407=FALSE,BID!A407,"-")</f>
        <v>-</v>
      </c>
      <c r="B399" s="114" t="str">
        <f>IF(BID!$L407=FALSE,BID!B407,"-")</f>
        <v>-</v>
      </c>
      <c r="C399" s="30" t="str">
        <f>IF(BID!$L407=FALSE,BID!C407,"-")</f>
        <v>-</v>
      </c>
      <c r="D399" s="114" t="str">
        <f>IF(BID!$L407=FALSE,BID!D407,"-")</f>
        <v>-</v>
      </c>
    </row>
    <row r="400" spans="1:4" x14ac:dyDescent="0.25">
      <c r="A400" s="438" t="str">
        <f>IF(BID!$L408=FALSE,BID!A408,"-")</f>
        <v>-</v>
      </c>
      <c r="B400" s="114" t="str">
        <f>IF(BID!$L408=FALSE,BID!B408,"-")</f>
        <v>-</v>
      </c>
      <c r="C400" s="30" t="str">
        <f>IF(BID!$L408=FALSE,BID!C408,"-")</f>
        <v>-</v>
      </c>
      <c r="D400" s="114" t="str">
        <f>IF(BID!$L408=FALSE,BID!D408,"-")</f>
        <v>-</v>
      </c>
    </row>
    <row r="401" spans="1:4" x14ac:dyDescent="0.25">
      <c r="A401" s="438">
        <f>IF(BID!$L409=FALSE,BID!A409,"-")</f>
        <v>373</v>
      </c>
      <c r="B401" s="114" t="str">
        <f>IF(BID!$L409=FALSE,BID!B409,"-")</f>
        <v>PAROXETIN 20MG</v>
      </c>
      <c r="C401" s="30">
        <f>IF(BID!$L409=FALSE,BID!C409,"-")</f>
        <v>30</v>
      </c>
      <c r="D401" s="114">
        <f>IF(BID!$L409=FALSE,BID!D409,"-")</f>
        <v>20</v>
      </c>
    </row>
    <row r="402" spans="1:4" x14ac:dyDescent="0.25">
      <c r="A402" s="438" t="str">
        <f>IF(BID!$L410=FALSE,BID!A410,"-")</f>
        <v>-</v>
      </c>
      <c r="B402" s="114" t="str">
        <f>IF(BID!$L410=FALSE,BID!B410,"-")</f>
        <v>-</v>
      </c>
      <c r="C402" s="30" t="str">
        <f>IF(BID!$L410=FALSE,BID!C410,"-")</f>
        <v>-</v>
      </c>
      <c r="D402" s="114" t="str">
        <f>IF(BID!$L410=FALSE,BID!D410,"-")</f>
        <v>-</v>
      </c>
    </row>
    <row r="403" spans="1:4" x14ac:dyDescent="0.25">
      <c r="A403" s="438" t="str">
        <f>IF(BID!$L411=FALSE,BID!A411,"-")</f>
        <v>-</v>
      </c>
      <c r="B403" s="114" t="str">
        <f>IF(BID!$L411=FALSE,BID!B411,"-")</f>
        <v>-</v>
      </c>
      <c r="C403" s="30" t="str">
        <f>IF(BID!$L411=FALSE,BID!C411,"-")</f>
        <v>-</v>
      </c>
      <c r="D403" s="114" t="str">
        <f>IF(BID!$L411=FALSE,BID!D411,"-")</f>
        <v>-</v>
      </c>
    </row>
    <row r="404" spans="1:4" x14ac:dyDescent="0.25">
      <c r="A404" s="438" t="str">
        <f>IF(BID!$L412=FALSE,BID!A412,"-")</f>
        <v>-</v>
      </c>
      <c r="B404" s="114" t="str">
        <f>IF(BID!$L412=FALSE,BID!B412,"-")</f>
        <v>-</v>
      </c>
      <c r="C404" s="30" t="str">
        <f>IF(BID!$L412=FALSE,BID!C412,"-")</f>
        <v>-</v>
      </c>
      <c r="D404" s="114" t="str">
        <f>IF(BID!$L412=FALSE,BID!D412,"-")</f>
        <v>-</v>
      </c>
    </row>
    <row r="405" spans="1:4" x14ac:dyDescent="0.25">
      <c r="A405" s="438" t="str">
        <f>IF(BID!$L413=FALSE,BID!A413,"-")</f>
        <v>-</v>
      </c>
      <c r="B405" s="114" t="str">
        <f>IF(BID!$L413=FALSE,BID!B413,"-")</f>
        <v>-</v>
      </c>
      <c r="C405" s="30" t="str">
        <f>IF(BID!$L413=FALSE,BID!C413,"-")</f>
        <v>-</v>
      </c>
      <c r="D405" s="114" t="str">
        <f>IF(BID!$L413=FALSE,BID!D413,"-")</f>
        <v>-</v>
      </c>
    </row>
    <row r="406" spans="1:4" x14ac:dyDescent="0.25">
      <c r="A406" s="438" t="str">
        <f>IF(BID!$L414=FALSE,BID!A414,"-")</f>
        <v>-</v>
      </c>
      <c r="B406" s="114" t="str">
        <f>IF(BID!$L414=FALSE,BID!B414,"-")</f>
        <v>-</v>
      </c>
      <c r="C406" s="30" t="str">
        <f>IF(BID!$L414=FALSE,BID!C414,"-")</f>
        <v>-</v>
      </c>
      <c r="D406" s="114" t="str">
        <f>IF(BID!$L414=FALSE,BID!D414,"-")</f>
        <v>-</v>
      </c>
    </row>
    <row r="407" spans="1:4" x14ac:dyDescent="0.25">
      <c r="A407" s="438">
        <f>IF(BID!$L415=FALSE,BID!A415,"-")</f>
        <v>379</v>
      </c>
      <c r="B407" s="114" t="str">
        <f>IF(BID!$L415=FALSE,BID!B415,"-")</f>
        <v>SODIUM VALPROATE INJ</v>
      </c>
      <c r="C407" s="30">
        <f>IF(BID!$L415=FALSE,BID!C415,"-")</f>
        <v>10</v>
      </c>
      <c r="D407" s="114">
        <f>IF(BID!$L415=FALSE,BID!D415,"-")</f>
        <v>1</v>
      </c>
    </row>
    <row r="408" spans="1:4" x14ac:dyDescent="0.25">
      <c r="A408" s="438" t="str">
        <f>IF(BID!$L416=FALSE,BID!A416,"-")</f>
        <v>-</v>
      </c>
      <c r="B408" s="114" t="str">
        <f>IF(BID!$L416=FALSE,BID!B416,"-")</f>
        <v>-</v>
      </c>
      <c r="C408" s="30" t="str">
        <f>IF(BID!$L416=FALSE,BID!C416,"-")</f>
        <v>-</v>
      </c>
      <c r="D408" s="114" t="str">
        <f>IF(BID!$L416=FALSE,BID!D416,"-")</f>
        <v>-</v>
      </c>
    </row>
    <row r="409" spans="1:4" x14ac:dyDescent="0.25">
      <c r="A409" s="438">
        <f>IF(BID!$L417=FALSE,BID!A417,"-")</f>
        <v>0</v>
      </c>
      <c r="B409" s="114">
        <f>IF(BID!$L417=FALSE,BID!B417,"-")</f>
        <v>0</v>
      </c>
      <c r="C409" s="30">
        <f>IF(BID!$L417=FALSE,BID!C417,"-")</f>
        <v>0</v>
      </c>
      <c r="D409" s="114">
        <f>IF(BID!$L417=FALSE,BID!D417,"-")</f>
        <v>0</v>
      </c>
    </row>
    <row r="410" spans="1:4" x14ac:dyDescent="0.25">
      <c r="A410" s="438">
        <f>IF(BID!$L418=FALSE,BID!A418,"-")</f>
        <v>0</v>
      </c>
      <c r="B410" s="114">
        <f>IF(BID!$L418=FALSE,BID!B418,"-")</f>
        <v>0</v>
      </c>
      <c r="C410" s="30">
        <f>IF(BID!$L418=FALSE,BID!C418,"-")</f>
        <v>0</v>
      </c>
      <c r="D410" s="114">
        <f>IF(BID!$L418=FALSE,BID!D418,"-")</f>
        <v>0</v>
      </c>
    </row>
    <row r="411" spans="1:4" x14ac:dyDescent="0.25">
      <c r="A411" s="438" t="str">
        <f>IF(BID!$L419=FALSE,BID!A419,"-")</f>
        <v>LOT 8</v>
      </c>
      <c r="B411" s="114" t="str">
        <f>IF(BID!$L419=FALSE,BID!B419,"-")</f>
        <v>OXYTOCICS/ANAESTHETICS/IMMUNOLOGICALS</v>
      </c>
      <c r="C411" s="30">
        <f>IF(BID!$L419=FALSE,BID!C419,"-")</f>
        <v>0</v>
      </c>
      <c r="D411" s="114">
        <f>IF(BID!$L419=FALSE,BID!D419,"-")</f>
        <v>0</v>
      </c>
    </row>
    <row r="412" spans="1:4" x14ac:dyDescent="0.25">
      <c r="A412" s="438">
        <f>IF(BID!$L420=FALSE,BID!A420,"-")</f>
        <v>0</v>
      </c>
      <c r="B412" s="114" t="str">
        <f>IF(BID!$L420=FALSE,BID!B420,"-")</f>
        <v>OBSTETRICS/GYNAECOLOGICAL DRUGS</v>
      </c>
      <c r="C412" s="30">
        <f>IF(BID!$L420=FALSE,BID!C420,"-")</f>
        <v>0</v>
      </c>
      <c r="D412" s="114">
        <f>IF(BID!$L420=FALSE,BID!D420,"-")</f>
        <v>0</v>
      </c>
    </row>
    <row r="413" spans="1:4" s="42" customFormat="1" ht="18.75" x14ac:dyDescent="0.3">
      <c r="A413" s="438" t="str">
        <f>IF(BID!$L421=FALSE,BID!A421,"-")</f>
        <v>-</v>
      </c>
      <c r="B413" s="114" t="str">
        <f>IF(BID!$L421=FALSE,BID!B421,"-")</f>
        <v>-</v>
      </c>
      <c r="C413" s="30" t="str">
        <f>IF(BID!$L421=FALSE,BID!C421,"-")</f>
        <v>-</v>
      </c>
      <c r="D413" s="114" t="str">
        <f>IF(BID!$L421=FALSE,BID!D421,"-")</f>
        <v>-</v>
      </c>
    </row>
    <row r="414" spans="1:4" x14ac:dyDescent="0.25">
      <c r="A414" s="438" t="str">
        <f>IF(BID!$L422=FALSE,BID!A422,"-")</f>
        <v>-</v>
      </c>
      <c r="B414" s="114" t="str">
        <f>IF(BID!$L422=FALSE,BID!B422,"-")</f>
        <v>-</v>
      </c>
      <c r="C414" s="30" t="str">
        <f>IF(BID!$L422=FALSE,BID!C422,"-")</f>
        <v>-</v>
      </c>
      <c r="D414" s="114" t="str">
        <f>IF(BID!$L422=FALSE,BID!D422,"-")</f>
        <v>-</v>
      </c>
    </row>
    <row r="415" spans="1:4" x14ac:dyDescent="0.25">
      <c r="A415" s="438" t="str">
        <f>IF(BID!$L423=FALSE,BID!A423,"-")</f>
        <v>-</v>
      </c>
      <c r="B415" s="114" t="str">
        <f>IF(BID!$L423=FALSE,BID!B423,"-")</f>
        <v>-</v>
      </c>
      <c r="C415" s="30" t="str">
        <f>IF(BID!$L423=FALSE,BID!C423,"-")</f>
        <v>-</v>
      </c>
      <c r="D415" s="114" t="str">
        <f>IF(BID!$L423=FALSE,BID!D423,"-")</f>
        <v>-</v>
      </c>
    </row>
    <row r="416" spans="1:4" x14ac:dyDescent="0.25">
      <c r="A416" s="438" t="str">
        <f>IF(BID!$L424=FALSE,BID!A424,"-")</f>
        <v>-</v>
      </c>
      <c r="B416" s="114" t="str">
        <f>IF(BID!$L424=FALSE,BID!B424,"-")</f>
        <v>-</v>
      </c>
      <c r="C416" s="30" t="str">
        <f>IF(BID!$L424=FALSE,BID!C424,"-")</f>
        <v>-</v>
      </c>
      <c r="D416" s="114" t="str">
        <f>IF(BID!$L424=FALSE,BID!D424,"-")</f>
        <v>-</v>
      </c>
    </row>
    <row r="417" spans="1:4" x14ac:dyDescent="0.25">
      <c r="A417" s="438" t="str">
        <f>IF(BID!$L425=FALSE,BID!A425,"-")</f>
        <v>-</v>
      </c>
      <c r="B417" s="114" t="str">
        <f>IF(BID!$L425=FALSE,BID!B425,"-")</f>
        <v>-</v>
      </c>
      <c r="C417" s="30" t="str">
        <f>IF(BID!$L425=FALSE,BID!C425,"-")</f>
        <v>-</v>
      </c>
      <c r="D417" s="114" t="str">
        <f>IF(BID!$L425=FALSE,BID!D425,"-")</f>
        <v>-</v>
      </c>
    </row>
    <row r="418" spans="1:4" x14ac:dyDescent="0.25">
      <c r="A418" s="438" t="str">
        <f>IF(BID!$L426=FALSE,BID!A426,"-")</f>
        <v>-</v>
      </c>
      <c r="B418" s="114" t="str">
        <f>IF(BID!$L426=FALSE,BID!B426,"-")</f>
        <v>-</v>
      </c>
      <c r="C418" s="30" t="str">
        <f>IF(BID!$L426=FALSE,BID!C426,"-")</f>
        <v>-</v>
      </c>
      <c r="D418" s="114" t="str">
        <f>IF(BID!$L426=FALSE,BID!D426,"-")</f>
        <v>-</v>
      </c>
    </row>
    <row r="419" spans="1:4" x14ac:dyDescent="0.25">
      <c r="A419" s="438" t="str">
        <f>IF(BID!$L427=FALSE,BID!A427,"-")</f>
        <v>-</v>
      </c>
      <c r="B419" s="114" t="str">
        <f>IF(BID!$L427=FALSE,BID!B427,"-")</f>
        <v>-</v>
      </c>
      <c r="C419" s="30" t="str">
        <f>IF(BID!$L427=FALSE,BID!C427,"-")</f>
        <v>-</v>
      </c>
      <c r="D419" s="114" t="str">
        <f>IF(BID!$L427=FALSE,BID!D427,"-")</f>
        <v>-</v>
      </c>
    </row>
    <row r="420" spans="1:4" x14ac:dyDescent="0.25">
      <c r="A420" s="438" t="str">
        <f>IF(BID!$L428=FALSE,BID!A428,"-")</f>
        <v>-</v>
      </c>
      <c r="B420" s="114" t="str">
        <f>IF(BID!$L428=FALSE,BID!B428,"-")</f>
        <v>-</v>
      </c>
      <c r="C420" s="30" t="str">
        <f>IF(BID!$L428=FALSE,BID!C428,"-")</f>
        <v>-</v>
      </c>
      <c r="D420" s="114" t="str">
        <f>IF(BID!$L428=FALSE,BID!D428,"-")</f>
        <v>-</v>
      </c>
    </row>
    <row r="421" spans="1:4" x14ac:dyDescent="0.25">
      <c r="A421" s="438" t="str">
        <f>IF(BID!$L429=FALSE,BID!A429,"-")</f>
        <v>-</v>
      </c>
      <c r="B421" s="114" t="str">
        <f>IF(BID!$L429=FALSE,BID!B429,"-")</f>
        <v>-</v>
      </c>
      <c r="C421" s="30" t="str">
        <f>IF(BID!$L429=FALSE,BID!C429,"-")</f>
        <v>-</v>
      </c>
      <c r="D421" s="114" t="str">
        <f>IF(BID!$L429=FALSE,BID!D429,"-")</f>
        <v>-</v>
      </c>
    </row>
    <row r="422" spans="1:4" x14ac:dyDescent="0.25">
      <c r="A422" s="438" t="str">
        <f>IF(BID!$L430=FALSE,BID!A430,"-")</f>
        <v>-</v>
      </c>
      <c r="B422" s="114" t="str">
        <f>IF(BID!$L430=FALSE,BID!B430,"-")</f>
        <v>-</v>
      </c>
      <c r="C422" s="30" t="str">
        <f>IF(BID!$L430=FALSE,BID!C430,"-")</f>
        <v>-</v>
      </c>
      <c r="D422" s="114" t="str">
        <f>IF(BID!$L430=FALSE,BID!D430,"-")</f>
        <v>-</v>
      </c>
    </row>
    <row r="423" spans="1:4" x14ac:dyDescent="0.25">
      <c r="A423" s="438">
        <f>IF(BID!$L431=FALSE,BID!A431,"-")</f>
        <v>391</v>
      </c>
      <c r="B423" s="114" t="str">
        <f>IF(BID!$L431=FALSE,BID!B431,"-")</f>
        <v>MIFEPRESTONE200MG/MISOPROSTOL 800MCG</v>
      </c>
      <c r="C423" s="30">
        <f>IF(BID!$L431=FALSE,BID!C431,"-")</f>
        <v>100</v>
      </c>
      <c r="D423" s="114">
        <f>IF(BID!$L431=FALSE,BID!D431,"-")</f>
        <v>20</v>
      </c>
    </row>
    <row r="424" spans="1:4" x14ac:dyDescent="0.25">
      <c r="A424" s="438">
        <f>IF(BID!$L432=FALSE,BID!A432,"-")</f>
        <v>392</v>
      </c>
      <c r="B424" s="114" t="str">
        <f>IF(BID!$L432=FALSE,BID!B432,"-")</f>
        <v>NORETHISTERONE</v>
      </c>
      <c r="C424" s="30">
        <f>IF(BID!$L432=FALSE,BID!C432,"-")</f>
        <v>30</v>
      </c>
      <c r="D424" s="114">
        <f>IF(BID!$L432=FALSE,BID!D432,"-")</f>
        <v>40</v>
      </c>
    </row>
    <row r="425" spans="1:4" x14ac:dyDescent="0.25">
      <c r="A425" s="438" t="str">
        <f>IF(BID!$L433=FALSE,BID!A433,"-")</f>
        <v>-</v>
      </c>
      <c r="B425" s="114" t="str">
        <f>IF(BID!$L433=FALSE,BID!B433,"-")</f>
        <v>-</v>
      </c>
      <c r="C425" s="30" t="str">
        <f>IF(BID!$L433=FALSE,BID!C433,"-")</f>
        <v>-</v>
      </c>
      <c r="D425" s="114" t="str">
        <f>IF(BID!$L433=FALSE,BID!D433,"-")</f>
        <v>-</v>
      </c>
    </row>
    <row r="426" spans="1:4" x14ac:dyDescent="0.25">
      <c r="A426" s="438" t="str">
        <f>IF(BID!$L434=FALSE,BID!A434,"-")</f>
        <v>-</v>
      </c>
      <c r="B426" s="114" t="str">
        <f>IF(BID!$L434=FALSE,BID!B434,"-")</f>
        <v>-</v>
      </c>
      <c r="C426" s="30" t="str">
        <f>IF(BID!$L434=FALSE,BID!C434,"-")</f>
        <v>-</v>
      </c>
      <c r="D426" s="114" t="str">
        <f>IF(BID!$L434=FALSE,BID!D434,"-")</f>
        <v>-</v>
      </c>
    </row>
    <row r="427" spans="1:4" x14ac:dyDescent="0.25">
      <c r="A427" s="438" t="str">
        <f>IF(BID!$L435=FALSE,BID!A435,"-")</f>
        <v>-</v>
      </c>
      <c r="B427" s="114" t="str">
        <f>IF(BID!$L435=FALSE,BID!B435,"-")</f>
        <v>-</v>
      </c>
      <c r="C427" s="30" t="str">
        <f>IF(BID!$L435=FALSE,BID!C435,"-")</f>
        <v>-</v>
      </c>
      <c r="D427" s="114" t="str">
        <f>IF(BID!$L435=FALSE,BID!D435,"-")</f>
        <v>-</v>
      </c>
    </row>
    <row r="428" spans="1:4" x14ac:dyDescent="0.25">
      <c r="A428" s="438">
        <f>IF(BID!$L436=FALSE,BID!A436,"-")</f>
        <v>0</v>
      </c>
      <c r="B428" s="114">
        <f>IF(BID!$L436=FALSE,BID!B436,"-")</f>
        <v>0</v>
      </c>
      <c r="C428" s="30">
        <f>IF(BID!$L436=FALSE,BID!C436,"-")</f>
        <v>0</v>
      </c>
      <c r="D428" s="114">
        <f>IF(BID!$L436=FALSE,BID!D436,"-")</f>
        <v>0</v>
      </c>
    </row>
    <row r="429" spans="1:4" x14ac:dyDescent="0.25">
      <c r="A429" s="438">
        <f>IF(BID!$L437=FALSE,BID!A437,"-")</f>
        <v>0</v>
      </c>
      <c r="B429" s="114">
        <f>IF(BID!$L437=FALSE,BID!B437,"-")</f>
        <v>0</v>
      </c>
      <c r="C429" s="30">
        <f>IF(BID!$L437=FALSE,BID!C437,"-")</f>
        <v>0</v>
      </c>
      <c r="D429" s="114">
        <f>IF(BID!$L437=FALSE,BID!D437,"-")</f>
        <v>0</v>
      </c>
    </row>
    <row r="430" spans="1:4" x14ac:dyDescent="0.25">
      <c r="A430" s="438">
        <f>IF(BID!$L438=FALSE,BID!A438,"-")</f>
        <v>0</v>
      </c>
      <c r="B430" s="114" t="str">
        <f>IF(BID!$L438=FALSE,BID!B438,"-")</f>
        <v>ANAESTHETIC AGENTS</v>
      </c>
      <c r="C430" s="30">
        <f>IF(BID!$L438=FALSE,BID!C438,"-")</f>
        <v>0</v>
      </c>
      <c r="D430" s="114">
        <f>IF(BID!$L438=FALSE,BID!D438,"-")</f>
        <v>0</v>
      </c>
    </row>
    <row r="431" spans="1:4" x14ac:dyDescent="0.25">
      <c r="A431" s="438" t="str">
        <f>IF(BID!$L439=FALSE,BID!A439,"-")</f>
        <v>-</v>
      </c>
      <c r="B431" s="114" t="str">
        <f>IF(BID!$L439=FALSE,BID!B439,"-")</f>
        <v>-</v>
      </c>
      <c r="C431" s="30" t="str">
        <f>IF(BID!$L439=FALSE,BID!C439,"-")</f>
        <v>-</v>
      </c>
      <c r="D431" s="114" t="str">
        <f>IF(BID!$L439=FALSE,BID!D439,"-")</f>
        <v>-</v>
      </c>
    </row>
    <row r="432" spans="1:4" x14ac:dyDescent="0.25">
      <c r="A432" s="438" t="str">
        <f>IF(BID!$L440=FALSE,BID!A440,"-")</f>
        <v>-</v>
      </c>
      <c r="B432" s="114" t="str">
        <f>IF(BID!$L440=FALSE,BID!B440,"-")</f>
        <v>-</v>
      </c>
      <c r="C432" s="30" t="str">
        <f>IF(BID!$L440=FALSE,BID!C440,"-")</f>
        <v>-</v>
      </c>
      <c r="D432" s="114" t="str">
        <f>IF(BID!$L440=FALSE,BID!D440,"-")</f>
        <v>-</v>
      </c>
    </row>
    <row r="433" spans="1:4" x14ac:dyDescent="0.25">
      <c r="A433" s="438">
        <f>IF(BID!$L441=FALSE,BID!A441,"-")</f>
        <v>398</v>
      </c>
      <c r="B433" s="114" t="str">
        <f>IF(BID!$L441=FALSE,BID!B441,"-")</f>
        <v>DOPAMINE INJ</v>
      </c>
      <c r="C433" s="30">
        <f>IF(BID!$L441=FALSE,BID!C441,"-")</f>
        <v>5</v>
      </c>
      <c r="D433" s="114">
        <f>IF(BID!$L441=FALSE,BID!D441,"-")</f>
        <v>40</v>
      </c>
    </row>
    <row r="434" spans="1:4" x14ac:dyDescent="0.25">
      <c r="A434" s="438" t="str">
        <f>IF(BID!$L442=FALSE,BID!A442,"-")</f>
        <v>-</v>
      </c>
      <c r="B434" s="114" t="str">
        <f>IF(BID!$L442=FALSE,BID!B442,"-")</f>
        <v>-</v>
      </c>
      <c r="C434" s="30" t="str">
        <f>IF(BID!$L442=FALSE,BID!C442,"-")</f>
        <v>-</v>
      </c>
      <c r="D434" s="114" t="str">
        <f>IF(BID!$L442=FALSE,BID!D442,"-")</f>
        <v>-</v>
      </c>
    </row>
    <row r="435" spans="1:4" x14ac:dyDescent="0.25">
      <c r="A435" s="438">
        <f>IF(BID!$L443=FALSE,BID!A443,"-")</f>
        <v>400</v>
      </c>
      <c r="B435" s="114" t="str">
        <f>IF(BID!$L443=FALSE,BID!B443,"-")</f>
        <v>FENTANYL INJ</v>
      </c>
      <c r="C435" s="30">
        <f>IF(BID!$L443=FALSE,BID!C443,"-")</f>
        <v>10</v>
      </c>
      <c r="D435" s="114">
        <f>IF(BID!$L443=FALSE,BID!D443,"-")</f>
        <v>30</v>
      </c>
    </row>
    <row r="436" spans="1:4" x14ac:dyDescent="0.25">
      <c r="A436" s="438" t="str">
        <f>IF(BID!$L444=FALSE,BID!A444,"-")</f>
        <v>-</v>
      </c>
      <c r="B436" s="114" t="str">
        <f>IF(BID!$L444=FALSE,BID!B444,"-")</f>
        <v>-</v>
      </c>
      <c r="C436" s="30" t="str">
        <f>IF(BID!$L444=FALSE,BID!C444,"-")</f>
        <v>-</v>
      </c>
      <c r="D436" s="114" t="str">
        <f>IF(BID!$L444=FALSE,BID!D444,"-")</f>
        <v>-</v>
      </c>
    </row>
    <row r="437" spans="1:4" x14ac:dyDescent="0.25">
      <c r="A437" s="438" t="str">
        <f>IF(BID!$L445=FALSE,BID!A445,"-")</f>
        <v>-</v>
      </c>
      <c r="B437" s="114" t="str">
        <f>IF(BID!$L445=FALSE,BID!B445,"-")</f>
        <v>-</v>
      </c>
      <c r="C437" s="30" t="str">
        <f>IF(BID!$L445=FALSE,BID!C445,"-")</f>
        <v>-</v>
      </c>
      <c r="D437" s="114" t="str">
        <f>IF(BID!$L445=FALSE,BID!D445,"-")</f>
        <v>-</v>
      </c>
    </row>
    <row r="438" spans="1:4" x14ac:dyDescent="0.25">
      <c r="A438" s="438" t="str">
        <f>IF(BID!$L446=FALSE,BID!A446,"-")</f>
        <v>-</v>
      </c>
      <c r="B438" s="114" t="str">
        <f>IF(BID!$L446=FALSE,BID!B446,"-")</f>
        <v>-</v>
      </c>
      <c r="C438" s="30" t="str">
        <f>IF(BID!$L446=FALSE,BID!C446,"-")</f>
        <v>-</v>
      </c>
      <c r="D438" s="114" t="str">
        <f>IF(BID!$L446=FALSE,BID!D446,"-")</f>
        <v>-</v>
      </c>
    </row>
    <row r="439" spans="1:4" x14ac:dyDescent="0.25">
      <c r="A439" s="438" t="str">
        <f>IF(BID!$L447=FALSE,BID!A447,"-")</f>
        <v>-</v>
      </c>
      <c r="B439" s="114" t="str">
        <f>IF(BID!$L447=FALSE,BID!B447,"-")</f>
        <v>-</v>
      </c>
      <c r="C439" s="30" t="str">
        <f>IF(BID!$L447=FALSE,BID!C447,"-")</f>
        <v>-</v>
      </c>
      <c r="D439" s="114" t="str">
        <f>IF(BID!$L447=FALSE,BID!D447,"-")</f>
        <v>-</v>
      </c>
    </row>
    <row r="440" spans="1:4" x14ac:dyDescent="0.25">
      <c r="A440" s="438" t="str">
        <f>IF(BID!$L448=FALSE,BID!A448,"-")</f>
        <v>-</v>
      </c>
      <c r="B440" s="114" t="str">
        <f>IF(BID!$L448=FALSE,BID!B448,"-")</f>
        <v>-</v>
      </c>
      <c r="C440" s="30" t="str">
        <f>IF(BID!$L448=FALSE,BID!C448,"-")</f>
        <v>-</v>
      </c>
      <c r="D440" s="114" t="str">
        <f>IF(BID!$L448=FALSE,BID!D448,"-")</f>
        <v>-</v>
      </c>
    </row>
    <row r="441" spans="1:4" x14ac:dyDescent="0.25">
      <c r="A441" s="438" t="str">
        <f>IF(BID!$L449=FALSE,BID!A449,"-")</f>
        <v>-</v>
      </c>
      <c r="B441" s="114" t="str">
        <f>IF(BID!$L449=FALSE,BID!B449,"-")</f>
        <v>-</v>
      </c>
      <c r="C441" s="30" t="str">
        <f>IF(BID!$L449=FALSE,BID!C449,"-")</f>
        <v>-</v>
      </c>
      <c r="D441" s="114" t="str">
        <f>IF(BID!$L449=FALSE,BID!D449,"-")</f>
        <v>-</v>
      </c>
    </row>
    <row r="442" spans="1:4" x14ac:dyDescent="0.25">
      <c r="A442" s="438" t="str">
        <f>IF(BID!$L450=FALSE,BID!A450,"-")</f>
        <v>-</v>
      </c>
      <c r="B442" s="114" t="str">
        <f>IF(BID!$L450=FALSE,BID!B450,"-")</f>
        <v>-</v>
      </c>
      <c r="C442" s="30" t="str">
        <f>IF(BID!$L450=FALSE,BID!C450,"-")</f>
        <v>-</v>
      </c>
      <c r="D442" s="114" t="str">
        <f>IF(BID!$L450=FALSE,BID!D450,"-")</f>
        <v>-</v>
      </c>
    </row>
    <row r="443" spans="1:4" x14ac:dyDescent="0.25">
      <c r="A443" s="438" t="str">
        <f>IF(BID!$L451=FALSE,BID!A451,"-")</f>
        <v>-</v>
      </c>
      <c r="B443" s="114" t="str">
        <f>IF(BID!$L451=FALSE,BID!B451,"-")</f>
        <v>-</v>
      </c>
      <c r="C443" s="30" t="str">
        <f>IF(BID!$L451=FALSE,BID!C451,"-")</f>
        <v>-</v>
      </c>
      <c r="D443" s="114" t="str">
        <f>IF(BID!$L451=FALSE,BID!D451,"-")</f>
        <v>-</v>
      </c>
    </row>
    <row r="444" spans="1:4" x14ac:dyDescent="0.25">
      <c r="A444" s="438" t="str">
        <f>IF(BID!$L452=FALSE,BID!A452,"-")</f>
        <v>-</v>
      </c>
      <c r="B444" s="114" t="str">
        <f>IF(BID!$L452=FALSE,BID!B452,"-")</f>
        <v>-</v>
      </c>
      <c r="C444" s="30" t="str">
        <f>IF(BID!$L452=FALSE,BID!C452,"-")</f>
        <v>-</v>
      </c>
      <c r="D444" s="114" t="str">
        <f>IF(BID!$L452=FALSE,BID!D452,"-")</f>
        <v>-</v>
      </c>
    </row>
    <row r="445" spans="1:4" x14ac:dyDescent="0.25">
      <c r="A445" s="438" t="str">
        <f>IF(BID!$L453=FALSE,BID!A453,"-")</f>
        <v>-</v>
      </c>
      <c r="B445" s="114" t="str">
        <f>IF(BID!$L453=FALSE,BID!B453,"-")</f>
        <v>-</v>
      </c>
      <c r="C445" s="30" t="str">
        <f>IF(BID!$L453=FALSE,BID!C453,"-")</f>
        <v>-</v>
      </c>
      <c r="D445" s="114" t="str">
        <f>IF(BID!$L453=FALSE,BID!D453,"-")</f>
        <v>-</v>
      </c>
    </row>
    <row r="446" spans="1:4" x14ac:dyDescent="0.25">
      <c r="A446" s="438" t="str">
        <f>IF(BID!$L454=FALSE,BID!A454,"-")</f>
        <v>-</v>
      </c>
      <c r="B446" s="114" t="str">
        <f>IF(BID!$L454=FALSE,BID!B454,"-")</f>
        <v>-</v>
      </c>
      <c r="C446" s="30" t="str">
        <f>IF(BID!$L454=FALSE,BID!C454,"-")</f>
        <v>-</v>
      </c>
      <c r="D446" s="114" t="str">
        <f>IF(BID!$L454=FALSE,BID!D454,"-")</f>
        <v>-</v>
      </c>
    </row>
    <row r="447" spans="1:4" x14ac:dyDescent="0.25">
      <c r="A447" s="438" t="str">
        <f>IF(BID!$L455=FALSE,BID!A455,"-")</f>
        <v>-</v>
      </c>
      <c r="B447" s="114" t="str">
        <f>IF(BID!$L455=FALSE,BID!B455,"-")</f>
        <v>-</v>
      </c>
      <c r="C447" s="30" t="str">
        <f>IF(BID!$L455=FALSE,BID!C455,"-")</f>
        <v>-</v>
      </c>
      <c r="D447" s="114" t="str">
        <f>IF(BID!$L455=FALSE,BID!D455,"-")</f>
        <v>-</v>
      </c>
    </row>
    <row r="448" spans="1:4" x14ac:dyDescent="0.25">
      <c r="A448" s="438" t="str">
        <f>IF(BID!$L456=FALSE,BID!A456,"-")</f>
        <v>-</v>
      </c>
      <c r="B448" s="114" t="str">
        <f>IF(BID!$L456=FALSE,BID!B456,"-")</f>
        <v>-</v>
      </c>
      <c r="C448" s="30" t="str">
        <f>IF(BID!$L456=FALSE,BID!C456,"-")</f>
        <v>-</v>
      </c>
      <c r="D448" s="114" t="str">
        <f>IF(BID!$L456=FALSE,BID!D456,"-")</f>
        <v>-</v>
      </c>
    </row>
    <row r="449" spans="1:4" x14ac:dyDescent="0.25">
      <c r="A449" s="438" t="str">
        <f>IF(BID!$L457=FALSE,BID!A457,"-")</f>
        <v>-</v>
      </c>
      <c r="B449" s="114" t="str">
        <f>IF(BID!$L457=FALSE,BID!B457,"-")</f>
        <v>-</v>
      </c>
      <c r="C449" s="30" t="str">
        <f>IF(BID!$L457=FALSE,BID!C457,"-")</f>
        <v>-</v>
      </c>
      <c r="D449" s="114" t="str">
        <f>IF(BID!$L457=FALSE,BID!D457,"-")</f>
        <v>-</v>
      </c>
    </row>
    <row r="450" spans="1:4" x14ac:dyDescent="0.25">
      <c r="A450" s="438">
        <f>IF(BID!$L458=FALSE,BID!A458,"-")</f>
        <v>415</v>
      </c>
      <c r="B450" s="114" t="str">
        <f>IF(BID!$L458=FALSE,BID!B458,"-")</f>
        <v>XYLOCAINE/ADRENALINE INJ</v>
      </c>
      <c r="C450" s="30" t="str">
        <f>IF(BID!$L458=FALSE,BID!C458,"-")</f>
        <v>VIAL</v>
      </c>
      <c r="D450" s="114">
        <f>IF(BID!$L458=FALSE,BID!D458,"-")</f>
        <v>400</v>
      </c>
    </row>
    <row r="451" spans="1:4" s="42" customFormat="1" ht="18.75" x14ac:dyDescent="0.3">
      <c r="A451" s="438">
        <f>IF(BID!$L459=FALSE,BID!A459,"-")</f>
        <v>0</v>
      </c>
      <c r="B451" s="114">
        <f>IF(BID!$L459=FALSE,BID!B459,"-")</f>
        <v>0</v>
      </c>
      <c r="C451" s="30">
        <f>IF(BID!$L459=FALSE,BID!C459,"-")</f>
        <v>0</v>
      </c>
      <c r="D451" s="114">
        <f>IF(BID!$L459=FALSE,BID!D459,"-")</f>
        <v>0</v>
      </c>
    </row>
    <row r="452" spans="1:4" x14ac:dyDescent="0.25">
      <c r="A452" s="438">
        <f>IF(BID!$L460=FALSE,BID!A460,"-")</f>
        <v>0</v>
      </c>
      <c r="B452" s="114" t="str">
        <f>IF(BID!$L460=FALSE,BID!B460,"-")</f>
        <v>IMMUNOLOGICALS</v>
      </c>
      <c r="C452" s="30">
        <f>IF(BID!$L460=FALSE,BID!C460,"-")</f>
        <v>0</v>
      </c>
      <c r="D452" s="114">
        <f>IF(BID!$L460=FALSE,BID!D460,"-")</f>
        <v>0</v>
      </c>
    </row>
    <row r="453" spans="1:4" x14ac:dyDescent="0.25">
      <c r="A453" s="438" t="str">
        <f>IF(BID!$L461=FALSE,BID!A461,"-")</f>
        <v>-</v>
      </c>
      <c r="B453" s="114" t="str">
        <f>IF(BID!$L461=FALSE,BID!B461,"-")</f>
        <v>-</v>
      </c>
      <c r="C453" s="30" t="str">
        <f>IF(BID!$L461=FALSE,BID!C461,"-")</f>
        <v>-</v>
      </c>
      <c r="D453" s="114" t="str">
        <f>IF(BID!$L461=FALSE,BID!D461,"-")</f>
        <v>-</v>
      </c>
    </row>
    <row r="454" spans="1:4" x14ac:dyDescent="0.25">
      <c r="A454" s="438" t="str">
        <f>IF(BID!$L462=FALSE,BID!A462,"-")</f>
        <v>-</v>
      </c>
      <c r="B454" s="114" t="str">
        <f>IF(BID!$L462=FALSE,BID!B462,"-")</f>
        <v>-</v>
      </c>
      <c r="C454" s="30" t="str">
        <f>IF(BID!$L462=FALSE,BID!C462,"-")</f>
        <v>-</v>
      </c>
      <c r="D454" s="114" t="str">
        <f>IF(BID!$L462=FALSE,BID!D462,"-")</f>
        <v>-</v>
      </c>
    </row>
    <row r="455" spans="1:4" x14ac:dyDescent="0.25">
      <c r="A455" s="438">
        <f>IF(BID!$L463=FALSE,BID!A463,"-")</f>
        <v>418</v>
      </c>
      <c r="B455" s="114" t="str">
        <f>IF(BID!$L463=FALSE,BID!B463,"-")</f>
        <v>ATS 10,000 IU INJ</v>
      </c>
      <c r="C455" s="30">
        <f>IF(BID!$L463=FALSE,BID!C463,"-")</f>
        <v>10</v>
      </c>
      <c r="D455" s="114">
        <f>IF(BID!$L463=FALSE,BID!D463,"-")</f>
        <v>10</v>
      </c>
    </row>
    <row r="456" spans="1:4" x14ac:dyDescent="0.25">
      <c r="A456" s="438" t="str">
        <f>IF(BID!$L464=FALSE,BID!A464,"-")</f>
        <v>-</v>
      </c>
      <c r="B456" s="114" t="str">
        <f>IF(BID!$L464=FALSE,BID!B464,"-")</f>
        <v>-</v>
      </c>
      <c r="C456" s="30" t="str">
        <f>IF(BID!$L464=FALSE,BID!C464,"-")</f>
        <v>-</v>
      </c>
      <c r="D456" s="114" t="str">
        <f>IF(BID!$L464=FALSE,BID!D464,"-")</f>
        <v>-</v>
      </c>
    </row>
    <row r="457" spans="1:4" x14ac:dyDescent="0.25">
      <c r="A457" s="438" t="str">
        <f>IF(BID!$L465=FALSE,BID!A465,"-")</f>
        <v>-</v>
      </c>
      <c r="B457" s="114" t="str">
        <f>IF(BID!$L465=FALSE,BID!B465,"-")</f>
        <v>-</v>
      </c>
      <c r="C457" s="30" t="str">
        <f>IF(BID!$L465=FALSE,BID!C465,"-")</f>
        <v>-</v>
      </c>
      <c r="D457" s="114" t="str">
        <f>IF(BID!$L465=FALSE,BID!D465,"-")</f>
        <v>-</v>
      </c>
    </row>
    <row r="458" spans="1:4" x14ac:dyDescent="0.25">
      <c r="A458" s="438" t="str">
        <f>IF(BID!$L466=FALSE,BID!A466,"-")</f>
        <v>-</v>
      </c>
      <c r="B458" s="114" t="str">
        <f>IF(BID!$L466=FALSE,BID!B466,"-")</f>
        <v>-</v>
      </c>
      <c r="C458" s="30" t="str">
        <f>IF(BID!$L466=FALSE,BID!C466,"-")</f>
        <v>-</v>
      </c>
      <c r="D458" s="114" t="str">
        <f>IF(BID!$L466=FALSE,BID!D466,"-")</f>
        <v>-</v>
      </c>
    </row>
    <row r="459" spans="1:4" x14ac:dyDescent="0.25">
      <c r="A459" s="438">
        <f>IF(BID!$L467=FALSE,BID!A467,"-")</f>
        <v>422</v>
      </c>
      <c r="B459" s="114" t="str">
        <f>IF(BID!$L467=FALSE,BID!B467,"-")</f>
        <v>TETANUS IMMUNOGLOBULIN INJ</v>
      </c>
      <c r="C459" s="30" t="str">
        <f>IF(BID!$L467=FALSE,BID!C467,"-")</f>
        <v>VIAL</v>
      </c>
      <c r="D459" s="114">
        <f>IF(BID!$L467=FALSE,BID!D467,"-")</f>
        <v>10</v>
      </c>
    </row>
    <row r="460" spans="1:4" x14ac:dyDescent="0.25">
      <c r="A460" s="438" t="str">
        <f>IF(BID!$L468=FALSE,BID!A468,"-")</f>
        <v>-</v>
      </c>
      <c r="B460" s="114" t="str">
        <f>IF(BID!$L468=FALSE,BID!B468,"-")</f>
        <v>-</v>
      </c>
      <c r="C460" s="30" t="str">
        <f>IF(BID!$L468=FALSE,BID!C468,"-")</f>
        <v>-</v>
      </c>
      <c r="D460" s="114" t="str">
        <f>IF(BID!$L468=FALSE,BID!D468,"-")</f>
        <v>-</v>
      </c>
    </row>
    <row r="461" spans="1:4" x14ac:dyDescent="0.25">
      <c r="A461" s="438">
        <f>IF(BID!$L469=FALSE,BID!A469,"-")</f>
        <v>0</v>
      </c>
      <c r="B461" s="114">
        <f>IF(BID!$L469=FALSE,BID!B469,"-")</f>
        <v>0</v>
      </c>
      <c r="C461" s="30">
        <f>IF(BID!$L469=FALSE,BID!C469,"-")</f>
        <v>0</v>
      </c>
      <c r="D461" s="114">
        <f>IF(BID!$L469=FALSE,BID!D469,"-")</f>
        <v>0</v>
      </c>
    </row>
    <row r="462" spans="1:4" x14ac:dyDescent="0.25">
      <c r="A462" s="438">
        <f>IF(BID!$L470=FALSE,BID!A470,"-")</f>
        <v>0</v>
      </c>
      <c r="B462" s="114">
        <f>IF(BID!$L470=FALSE,BID!B470,"-")</f>
        <v>0</v>
      </c>
      <c r="C462" s="30">
        <f>IF(BID!$L470=FALSE,BID!C470,"-")</f>
        <v>0</v>
      </c>
      <c r="D462" s="114">
        <f>IF(BID!$L470=FALSE,BID!D470,"-")</f>
        <v>0</v>
      </c>
    </row>
    <row r="463" spans="1:4" x14ac:dyDescent="0.25">
      <c r="A463" s="438" t="str">
        <f>IF(BID!$L471=FALSE,BID!A471,"-")</f>
        <v>LOT 9</v>
      </c>
      <c r="B463" s="114" t="str">
        <f>IF(BID!$L471=FALSE,BID!B471,"-")</f>
        <v>ANTACIDS/GASTRO-INTESTINAL AGENTS</v>
      </c>
      <c r="C463" s="30">
        <f>IF(BID!$L471=FALSE,BID!C471,"-")</f>
        <v>0</v>
      </c>
      <c r="D463" s="114">
        <f>IF(BID!$L471=FALSE,BID!D471,"-")</f>
        <v>0</v>
      </c>
    </row>
    <row r="464" spans="1:4" x14ac:dyDescent="0.25">
      <c r="A464" s="438" t="str">
        <f>IF(BID!$L472=FALSE,BID!A472,"-")</f>
        <v>-</v>
      </c>
      <c r="B464" s="114" t="str">
        <f>IF(BID!$L472=FALSE,BID!B472,"-")</f>
        <v>-</v>
      </c>
      <c r="C464" s="30" t="str">
        <f>IF(BID!$L472=FALSE,BID!C472,"-")</f>
        <v>-</v>
      </c>
      <c r="D464" s="114" t="str">
        <f>IF(BID!$L472=FALSE,BID!D472,"-")</f>
        <v>-</v>
      </c>
    </row>
    <row r="465" spans="1:4" x14ac:dyDescent="0.25">
      <c r="A465" s="438">
        <f>IF(BID!$L473=FALSE,BID!A473,"-")</f>
        <v>425</v>
      </c>
      <c r="B465" s="114" t="str">
        <f>IF(BID!$L473=FALSE,BID!B473,"-")</f>
        <v>BISACODYL TAB</v>
      </c>
      <c r="C465" s="30">
        <f>IF(BID!$L473=FALSE,BID!C473,"-")</f>
        <v>105</v>
      </c>
      <c r="D465" s="114">
        <f>IF(BID!$L473=FALSE,BID!D473,"-")</f>
        <v>45</v>
      </c>
    </row>
    <row r="466" spans="1:4" x14ac:dyDescent="0.25">
      <c r="A466" s="438" t="str">
        <f>IF(BID!$L474=FALSE,BID!A474,"-")</f>
        <v>-</v>
      </c>
      <c r="B466" s="114" t="str">
        <f>IF(BID!$L474=FALSE,BID!B474,"-")</f>
        <v>-</v>
      </c>
      <c r="C466" s="30" t="str">
        <f>IF(BID!$L474=FALSE,BID!C474,"-")</f>
        <v>-</v>
      </c>
      <c r="D466" s="114" t="str">
        <f>IF(BID!$L474=FALSE,BID!D474,"-")</f>
        <v>-</v>
      </c>
    </row>
    <row r="467" spans="1:4" x14ac:dyDescent="0.25">
      <c r="A467" s="438" t="str">
        <f>IF(BID!$L475=FALSE,BID!A475,"-")</f>
        <v>-</v>
      </c>
      <c r="B467" s="114" t="str">
        <f>IF(BID!$L475=FALSE,BID!B475,"-")</f>
        <v>-</v>
      </c>
      <c r="C467" s="30" t="str">
        <f>IF(BID!$L475=FALSE,BID!C475,"-")</f>
        <v>-</v>
      </c>
      <c r="D467" s="114" t="str">
        <f>IF(BID!$L475=FALSE,BID!D475,"-")</f>
        <v>-</v>
      </c>
    </row>
    <row r="468" spans="1:4" x14ac:dyDescent="0.25">
      <c r="A468" s="438">
        <f>IF(BID!$L476=FALSE,BID!A476,"-")</f>
        <v>428</v>
      </c>
      <c r="B468" s="114" t="str">
        <f>IF(BID!$L476=FALSE,BID!B476,"-")</f>
        <v>DIOSMINE GEL</v>
      </c>
      <c r="C468" s="30" t="str">
        <f>IF(BID!$L476=FALSE,BID!C476,"-")</f>
        <v>TUBE</v>
      </c>
      <c r="D468" s="114">
        <f>IF(BID!$L476=FALSE,BID!D476,"-")</f>
        <v>52</v>
      </c>
    </row>
    <row r="469" spans="1:4" x14ac:dyDescent="0.25">
      <c r="A469" s="438" t="str">
        <f>IF(BID!$L477=FALSE,BID!A477,"-")</f>
        <v>-</v>
      </c>
      <c r="B469" s="114" t="str">
        <f>IF(BID!$L477=FALSE,BID!B477,"-")</f>
        <v>-</v>
      </c>
      <c r="C469" s="30" t="str">
        <f>IF(BID!$L477=FALSE,BID!C477,"-")</f>
        <v>-</v>
      </c>
      <c r="D469" s="114" t="str">
        <f>IF(BID!$L477=FALSE,BID!D477,"-")</f>
        <v>-</v>
      </c>
    </row>
    <row r="470" spans="1:4" x14ac:dyDescent="0.25">
      <c r="A470" s="438" t="str">
        <f>IF(BID!$L478=FALSE,BID!A478,"-")</f>
        <v>-</v>
      </c>
      <c r="B470" s="114" t="str">
        <f>IF(BID!$L478=FALSE,BID!B478,"-")</f>
        <v>-</v>
      </c>
      <c r="C470" s="30" t="str">
        <f>IF(BID!$L478=FALSE,BID!C478,"-")</f>
        <v>-</v>
      </c>
      <c r="D470" s="114" t="str">
        <f>IF(BID!$L478=FALSE,BID!D478,"-")</f>
        <v>-</v>
      </c>
    </row>
    <row r="471" spans="1:4" x14ac:dyDescent="0.25">
      <c r="A471" s="438">
        <f>IF(BID!$L479=FALSE,BID!A479,"-")</f>
        <v>431</v>
      </c>
      <c r="B471" s="114" t="str">
        <f>IF(BID!$L479=FALSE,BID!B479,"-")</f>
        <v>ESOMEPRAZOLE 40MG/CLARITHROMYCIN 500MG/AMOXICILLIN 1GM</v>
      </c>
      <c r="C471" s="30">
        <f>IF(BID!$L479=FALSE,BID!C479,"-")</f>
        <v>42</v>
      </c>
      <c r="D471" s="114">
        <f>IF(BID!$L479=FALSE,BID!D479,"-")</f>
        <v>20</v>
      </c>
    </row>
    <row r="472" spans="1:4" x14ac:dyDescent="0.25">
      <c r="A472" s="438" t="str">
        <f>IF(BID!$L480=FALSE,BID!A480,"-")</f>
        <v>-</v>
      </c>
      <c r="B472" s="114" t="str">
        <f>IF(BID!$L480=FALSE,BID!B480,"-")</f>
        <v>-</v>
      </c>
      <c r="C472" s="30" t="str">
        <f>IF(BID!$L480=FALSE,BID!C480,"-")</f>
        <v>-</v>
      </c>
      <c r="D472" s="114" t="str">
        <f>IF(BID!$L480=FALSE,BID!D480,"-")</f>
        <v>-</v>
      </c>
    </row>
    <row r="473" spans="1:4" x14ac:dyDescent="0.25">
      <c r="A473" s="438" t="str">
        <f>IF(BID!$L481=FALSE,BID!A481,"-")</f>
        <v>-</v>
      </c>
      <c r="B473" s="114" t="str">
        <f>IF(BID!$L481=FALSE,BID!B481,"-")</f>
        <v>-</v>
      </c>
      <c r="C473" s="30" t="str">
        <f>IF(BID!$L481=FALSE,BID!C481,"-")</f>
        <v>-</v>
      </c>
      <c r="D473" s="114" t="str">
        <f>IF(BID!$L481=FALSE,BID!D481,"-")</f>
        <v>-</v>
      </c>
    </row>
    <row r="474" spans="1:4" x14ac:dyDescent="0.25">
      <c r="A474" s="438" t="str">
        <f>IF(BID!$L482=FALSE,BID!A482,"-")</f>
        <v>-</v>
      </c>
      <c r="B474" s="114" t="str">
        <f>IF(BID!$L482=FALSE,BID!B482,"-")</f>
        <v>-</v>
      </c>
      <c r="C474" s="30" t="str">
        <f>IF(BID!$L482=FALSE,BID!C482,"-")</f>
        <v>-</v>
      </c>
      <c r="D474" s="114" t="str">
        <f>IF(BID!$L482=FALSE,BID!D482,"-")</f>
        <v>-</v>
      </c>
    </row>
    <row r="475" spans="1:4" x14ac:dyDescent="0.25">
      <c r="A475" s="438" t="str">
        <f>IF(BID!$L483=FALSE,BID!A483,"-")</f>
        <v>-</v>
      </c>
      <c r="B475" s="114" t="str">
        <f>IF(BID!$L483=FALSE,BID!B483,"-")</f>
        <v>-</v>
      </c>
      <c r="C475" s="30" t="str">
        <f>IF(BID!$L483=FALSE,BID!C483,"-")</f>
        <v>-</v>
      </c>
      <c r="D475" s="114" t="str">
        <f>IF(BID!$L483=FALSE,BID!D483,"-")</f>
        <v>-</v>
      </c>
    </row>
    <row r="476" spans="1:4" x14ac:dyDescent="0.25">
      <c r="A476" s="438" t="str">
        <f>IF(BID!$L484=FALSE,BID!A484,"-")</f>
        <v>-</v>
      </c>
      <c r="B476" s="114" t="str">
        <f>IF(BID!$L484=FALSE,BID!B484,"-")</f>
        <v>-</v>
      </c>
      <c r="C476" s="30" t="str">
        <f>IF(BID!$L484=FALSE,BID!C484,"-")</f>
        <v>-</v>
      </c>
      <c r="D476" s="114" t="str">
        <f>IF(BID!$L484=FALSE,BID!D484,"-")</f>
        <v>-</v>
      </c>
    </row>
    <row r="477" spans="1:4" x14ac:dyDescent="0.25">
      <c r="A477" s="438" t="str">
        <f>IF(BID!$L485=FALSE,BID!A485,"-")</f>
        <v>-</v>
      </c>
      <c r="B477" s="114" t="str">
        <f>IF(BID!$L485=FALSE,BID!B485,"-")</f>
        <v>-</v>
      </c>
      <c r="C477" s="30" t="str">
        <f>IF(BID!$L485=FALSE,BID!C485,"-")</f>
        <v>-</v>
      </c>
      <c r="D477" s="114" t="str">
        <f>IF(BID!$L485=FALSE,BID!D485,"-")</f>
        <v>-</v>
      </c>
    </row>
    <row r="478" spans="1:4" x14ac:dyDescent="0.25">
      <c r="A478" s="438" t="str">
        <f>IF(BID!$L486=FALSE,BID!A486,"-")</f>
        <v>-</v>
      </c>
      <c r="B478" s="114" t="str">
        <f>IF(BID!$L486=FALSE,BID!B486,"-")</f>
        <v>-</v>
      </c>
      <c r="C478" s="30" t="str">
        <f>IF(BID!$L486=FALSE,BID!C486,"-")</f>
        <v>-</v>
      </c>
      <c r="D478" s="114" t="str">
        <f>IF(BID!$L486=FALSE,BID!D486,"-")</f>
        <v>-</v>
      </c>
    </row>
    <row r="479" spans="1:4" x14ac:dyDescent="0.25">
      <c r="A479" s="438" t="str">
        <f>IF(BID!$L487=FALSE,BID!A487,"-")</f>
        <v>-</v>
      </c>
      <c r="B479" s="114" t="str">
        <f>IF(BID!$L487=FALSE,BID!B487,"-")</f>
        <v>-</v>
      </c>
      <c r="C479" s="30" t="str">
        <f>IF(BID!$L487=FALSE,BID!C487,"-")</f>
        <v>-</v>
      </c>
      <c r="D479" s="114" t="str">
        <f>IF(BID!$L487=FALSE,BID!D487,"-")</f>
        <v>-</v>
      </c>
    </row>
    <row r="480" spans="1:4" x14ac:dyDescent="0.25">
      <c r="A480" s="438" t="str">
        <f>IF(BID!$L488=FALSE,BID!A488,"-")</f>
        <v>-</v>
      </c>
      <c r="B480" s="114" t="str">
        <f>IF(BID!$L488=FALSE,BID!B488,"-")</f>
        <v>-</v>
      </c>
      <c r="C480" s="30" t="str">
        <f>IF(BID!$L488=FALSE,BID!C488,"-")</f>
        <v>-</v>
      </c>
      <c r="D480" s="114" t="str">
        <f>IF(BID!$L488=FALSE,BID!D488,"-")</f>
        <v>-</v>
      </c>
    </row>
    <row r="481" spans="1:4" x14ac:dyDescent="0.25">
      <c r="A481" s="438" t="str">
        <f>IF(BID!$L489=FALSE,BID!A489,"-")</f>
        <v>-</v>
      </c>
      <c r="B481" s="114" t="str">
        <f>IF(BID!$L489=FALSE,BID!B489,"-")</f>
        <v>-</v>
      </c>
      <c r="C481" s="30" t="str">
        <f>IF(BID!$L489=FALSE,BID!C489,"-")</f>
        <v>-</v>
      </c>
      <c r="D481" s="114" t="str">
        <f>IF(BID!$L489=FALSE,BID!D489,"-")</f>
        <v>-</v>
      </c>
    </row>
    <row r="482" spans="1:4" x14ac:dyDescent="0.25">
      <c r="A482" s="438" t="str">
        <f>IF(BID!$L490=FALSE,BID!A490,"-")</f>
        <v>-</v>
      </c>
      <c r="B482" s="114" t="str">
        <f>IF(BID!$L490=FALSE,BID!B490,"-")</f>
        <v>-</v>
      </c>
      <c r="C482" s="30" t="str">
        <f>IF(BID!$L490=FALSE,BID!C490,"-")</f>
        <v>-</v>
      </c>
      <c r="D482" s="114" t="str">
        <f>IF(BID!$L490=FALSE,BID!D490,"-")</f>
        <v>-</v>
      </c>
    </row>
    <row r="483" spans="1:4" x14ac:dyDescent="0.25">
      <c r="A483" s="438" t="str">
        <f>IF(BID!$L491=FALSE,BID!A491,"-")</f>
        <v>-</v>
      </c>
      <c r="B483" s="114" t="str">
        <f>IF(BID!$L491=FALSE,BID!B491,"-")</f>
        <v>-</v>
      </c>
      <c r="C483" s="30" t="str">
        <f>IF(BID!$L491=FALSE,BID!C491,"-")</f>
        <v>-</v>
      </c>
      <c r="D483" s="114" t="str">
        <f>IF(BID!$L491=FALSE,BID!D491,"-")</f>
        <v>-</v>
      </c>
    </row>
    <row r="484" spans="1:4" x14ac:dyDescent="0.25">
      <c r="A484" s="438" t="str">
        <f>IF(BID!$L492=FALSE,BID!A492,"-")</f>
        <v>-</v>
      </c>
      <c r="B484" s="114" t="str">
        <f>IF(BID!$L492=FALSE,BID!B492,"-")</f>
        <v>-</v>
      </c>
      <c r="C484" s="30" t="str">
        <f>IF(BID!$L492=FALSE,BID!C492,"-")</f>
        <v>-</v>
      </c>
      <c r="D484" s="114" t="str">
        <f>IF(BID!$L492=FALSE,BID!D492,"-")</f>
        <v>-</v>
      </c>
    </row>
    <row r="485" spans="1:4" x14ac:dyDescent="0.25">
      <c r="A485" s="438" t="str">
        <f>IF(BID!$L493=FALSE,BID!A493,"-")</f>
        <v>-</v>
      </c>
      <c r="B485" s="114" t="str">
        <f>IF(BID!$L493=FALSE,BID!B493,"-")</f>
        <v>-</v>
      </c>
      <c r="C485" s="30" t="str">
        <f>IF(BID!$L493=FALSE,BID!C493,"-")</f>
        <v>-</v>
      </c>
      <c r="D485" s="114" t="str">
        <f>IF(BID!$L493=FALSE,BID!D493,"-")</f>
        <v>-</v>
      </c>
    </row>
    <row r="486" spans="1:4" x14ac:dyDescent="0.25">
      <c r="A486" s="438" t="str">
        <f>IF(BID!$L494=FALSE,BID!A494,"-")</f>
        <v>-</v>
      </c>
      <c r="B486" s="114" t="str">
        <f>IF(BID!$L494=FALSE,BID!B494,"-")</f>
        <v>-</v>
      </c>
      <c r="C486" s="30" t="str">
        <f>IF(BID!$L494=FALSE,BID!C494,"-")</f>
        <v>-</v>
      </c>
      <c r="D486" s="114" t="str">
        <f>IF(BID!$L494=FALSE,BID!D494,"-")</f>
        <v>-</v>
      </c>
    </row>
    <row r="487" spans="1:4" x14ac:dyDescent="0.25">
      <c r="A487" s="438">
        <f>IF(BID!$L495=FALSE,BID!A495,"-")</f>
        <v>447</v>
      </c>
      <c r="B487" s="114" t="str">
        <f>IF(BID!$L495=FALSE,BID!B495,"-")</f>
        <v>PROCHLORPERAZINE TAB</v>
      </c>
      <c r="C487" s="30">
        <f>IF(BID!$L495=FALSE,BID!C495,"-")</f>
        <v>100</v>
      </c>
      <c r="D487" s="114">
        <f>IF(BID!$L495=FALSE,BID!D495,"-")</f>
        <v>20</v>
      </c>
    </row>
    <row r="488" spans="1:4" x14ac:dyDescent="0.25">
      <c r="A488" s="438" t="str">
        <f>IF(BID!$L496=FALSE,BID!A496,"-")</f>
        <v>-</v>
      </c>
      <c r="B488" s="114" t="str">
        <f>IF(BID!$L496=FALSE,BID!B496,"-")</f>
        <v>-</v>
      </c>
      <c r="C488" s="30" t="str">
        <f>IF(BID!$L496=FALSE,BID!C496,"-")</f>
        <v>-</v>
      </c>
      <c r="D488" s="114" t="str">
        <f>IF(BID!$L496=FALSE,BID!D496,"-")</f>
        <v>-</v>
      </c>
    </row>
    <row r="489" spans="1:4" x14ac:dyDescent="0.25">
      <c r="A489" s="438" t="str">
        <f>IF(BID!$L497=FALSE,BID!A497,"-")</f>
        <v>-</v>
      </c>
      <c r="B489" s="114" t="str">
        <f>IF(BID!$L497=FALSE,BID!B497,"-")</f>
        <v>-</v>
      </c>
      <c r="C489" s="30" t="str">
        <f>IF(BID!$L497=FALSE,BID!C497,"-")</f>
        <v>-</v>
      </c>
      <c r="D489" s="114" t="str">
        <f>IF(BID!$L497=FALSE,BID!D497,"-")</f>
        <v>-</v>
      </c>
    </row>
    <row r="490" spans="1:4" x14ac:dyDescent="0.25">
      <c r="A490" s="438">
        <f>IF(BID!$L498=FALSE,BID!A498,"-")</f>
        <v>450</v>
      </c>
      <c r="B490" s="114" t="str">
        <f>IF(BID!$L498=FALSE,BID!B498,"-")</f>
        <v>RANITIDINE IV</v>
      </c>
      <c r="C490" s="30">
        <f>IF(BID!$L498=FALSE,BID!C498,"-")</f>
        <v>5</v>
      </c>
      <c r="D490" s="114">
        <f>IF(BID!$L498=FALSE,BID!D498,"-")</f>
        <v>200</v>
      </c>
    </row>
    <row r="491" spans="1:4" x14ac:dyDescent="0.25">
      <c r="A491" s="438">
        <f>IF(BID!$L499=FALSE,BID!A499,"-")</f>
        <v>451</v>
      </c>
      <c r="B491" s="114" t="str">
        <f>IF(BID!$L499=FALSE,BID!B499,"-")</f>
        <v>SACCHAROMYCES BOULARDII 100mg</v>
      </c>
      <c r="C491" s="30">
        <f>IF(BID!$L499=FALSE,BID!C499,"-")</f>
        <v>10</v>
      </c>
      <c r="D491" s="114">
        <f>IF(BID!$L499=FALSE,BID!D499,"-")</f>
        <v>100</v>
      </c>
    </row>
    <row r="492" spans="1:4" s="42" customFormat="1" ht="18.75" x14ac:dyDescent="0.3">
      <c r="A492" s="438" t="str">
        <f>IF(BID!$L500=FALSE,BID!A500,"-")</f>
        <v>-</v>
      </c>
      <c r="B492" s="114" t="str">
        <f>IF(BID!$L500=FALSE,BID!B500,"-")</f>
        <v>-</v>
      </c>
      <c r="C492" s="30" t="str">
        <f>IF(BID!$L500=FALSE,BID!C500,"-")</f>
        <v>-</v>
      </c>
      <c r="D492" s="114" t="str">
        <f>IF(BID!$L500=FALSE,BID!D500,"-")</f>
        <v>-</v>
      </c>
    </row>
    <row r="493" spans="1:4" x14ac:dyDescent="0.25">
      <c r="A493" s="438" t="str">
        <f>IF(BID!$L501=FALSE,BID!A501,"-")</f>
        <v>-</v>
      </c>
      <c r="B493" s="114" t="str">
        <f>IF(BID!$L501=FALSE,BID!B501,"-")</f>
        <v>-</v>
      </c>
      <c r="C493" s="30" t="str">
        <f>IF(BID!$L501=FALSE,BID!C501,"-")</f>
        <v>-</v>
      </c>
      <c r="D493" s="114" t="str">
        <f>IF(BID!$L501=FALSE,BID!D501,"-")</f>
        <v>-</v>
      </c>
    </row>
    <row r="494" spans="1:4" x14ac:dyDescent="0.25">
      <c r="A494" s="438" t="str">
        <f>IF(BID!$L502=FALSE,BID!A502,"-")</f>
        <v>-</v>
      </c>
      <c r="B494" s="114" t="str">
        <f>IF(BID!$L502=FALSE,BID!B502,"-")</f>
        <v>-</v>
      </c>
      <c r="C494" s="30" t="str">
        <f>IF(BID!$L502=FALSE,BID!C502,"-")</f>
        <v>-</v>
      </c>
      <c r="D494" s="114" t="str">
        <f>IF(BID!$L502=FALSE,BID!D502,"-")</f>
        <v>-</v>
      </c>
    </row>
    <row r="495" spans="1:4" x14ac:dyDescent="0.25">
      <c r="A495" s="438">
        <f>IF(BID!$L503=FALSE,BID!A503,"-")</f>
        <v>0</v>
      </c>
      <c r="B495" s="114">
        <f>IF(BID!$L503=FALSE,BID!B503,"-")</f>
        <v>0</v>
      </c>
      <c r="C495" s="30">
        <f>IF(BID!$L503=FALSE,BID!C503,"-")</f>
        <v>0</v>
      </c>
      <c r="D495" s="114">
        <f>IF(BID!$L503=FALSE,BID!D503,"-")</f>
        <v>0</v>
      </c>
    </row>
    <row r="496" spans="1:4" x14ac:dyDescent="0.25">
      <c r="A496" s="438">
        <f>IF(BID!$L504=FALSE,BID!A504,"-")</f>
        <v>0</v>
      </c>
      <c r="B496" s="114">
        <f>IF(BID!$L504=FALSE,BID!B504,"-")</f>
        <v>0</v>
      </c>
      <c r="C496" s="30">
        <f>IF(BID!$L504=FALSE,BID!C504,"-")</f>
        <v>0</v>
      </c>
      <c r="D496" s="114">
        <f>IF(BID!$L504=FALSE,BID!D504,"-")</f>
        <v>0</v>
      </c>
    </row>
    <row r="497" spans="1:4" x14ac:dyDescent="0.25">
      <c r="A497" s="438" t="str">
        <f>IF(BID!$L505=FALSE,BID!A505,"-")</f>
        <v>LOT 10</v>
      </c>
      <c r="B497" s="114" t="str">
        <f>IF(BID!$L505=FALSE,BID!B505,"-")</f>
        <v>ANTITUSSIVES/BRONCHODILATORS/ANTI-HISTAMINES</v>
      </c>
      <c r="C497" s="30">
        <f>IF(BID!$L505=FALSE,BID!C505,"-")</f>
        <v>0</v>
      </c>
      <c r="D497" s="114">
        <f>IF(BID!$L505=FALSE,BID!D505,"-")</f>
        <v>0</v>
      </c>
    </row>
    <row r="498" spans="1:4" x14ac:dyDescent="0.25">
      <c r="A498" s="438">
        <f>IF(BID!$L506=FALSE,BID!A506,"-")</f>
        <v>0</v>
      </c>
      <c r="B498" s="114" t="str">
        <f>IF(BID!$L506=FALSE,BID!B506,"-")</f>
        <v>ANTITUSSIVES/BRONCHODILATORS</v>
      </c>
      <c r="C498" s="30">
        <f>IF(BID!$L506=FALSE,BID!C506,"-")</f>
        <v>0</v>
      </c>
      <c r="D498" s="114">
        <f>IF(BID!$L506=FALSE,BID!D506,"-")</f>
        <v>0</v>
      </c>
    </row>
    <row r="499" spans="1:4" x14ac:dyDescent="0.25">
      <c r="A499" s="438" t="str">
        <f>IF(BID!$L507=FALSE,BID!A507,"-")</f>
        <v>-</v>
      </c>
      <c r="B499" s="114" t="str">
        <f>IF(BID!$L507=FALSE,BID!B507,"-")</f>
        <v>-</v>
      </c>
      <c r="C499" s="30" t="str">
        <f>IF(BID!$L507=FALSE,BID!C507,"-")</f>
        <v>-</v>
      </c>
      <c r="D499" s="114" t="str">
        <f>IF(BID!$L507=FALSE,BID!D507,"-")</f>
        <v>-</v>
      </c>
    </row>
    <row r="500" spans="1:4" x14ac:dyDescent="0.25">
      <c r="A500" s="438" t="str">
        <f>IF(BID!$L508=FALSE,BID!A508,"-")</f>
        <v>-</v>
      </c>
      <c r="B500" s="114" t="str">
        <f>IF(BID!$L508=FALSE,BID!B508,"-")</f>
        <v>-</v>
      </c>
      <c r="C500" s="30" t="str">
        <f>IF(BID!$L508=FALSE,BID!C508,"-")</f>
        <v>-</v>
      </c>
      <c r="D500" s="114" t="str">
        <f>IF(BID!$L508=FALSE,BID!D508,"-")</f>
        <v>-</v>
      </c>
    </row>
    <row r="501" spans="1:4" x14ac:dyDescent="0.25">
      <c r="A501" s="438">
        <f>IF(BID!$L509=FALSE,BID!A509,"-")</f>
        <v>457</v>
      </c>
      <c r="B501" s="114" t="str">
        <f>IF(BID!$L509=FALSE,BID!B509,"-")</f>
        <v>EPHEDRINE/THEOPHYLLINE</v>
      </c>
      <c r="C501" s="30">
        <f>IF(BID!$L509=FALSE,BID!C509,"-")</f>
        <v>100</v>
      </c>
      <c r="D501" s="114">
        <f>IF(BID!$L509=FALSE,BID!D509,"-")</f>
        <v>20</v>
      </c>
    </row>
    <row r="502" spans="1:4" x14ac:dyDescent="0.25">
      <c r="A502" s="438" t="str">
        <f>IF(BID!$L510=FALSE,BID!A510,"-")</f>
        <v>-</v>
      </c>
      <c r="B502" s="114" t="str">
        <f>IF(BID!$L510=FALSE,BID!B510,"-")</f>
        <v>-</v>
      </c>
      <c r="C502" s="30" t="str">
        <f>IF(BID!$L510=FALSE,BID!C510,"-")</f>
        <v>-</v>
      </c>
      <c r="D502" s="114" t="str">
        <f>IF(BID!$L510=FALSE,BID!D510,"-")</f>
        <v>-</v>
      </c>
    </row>
    <row r="503" spans="1:4" x14ac:dyDescent="0.25">
      <c r="A503" s="438" t="str">
        <f>IF(BID!$L511=FALSE,BID!A511,"-")</f>
        <v>-</v>
      </c>
      <c r="B503" s="114" t="str">
        <f>IF(BID!$L511=FALSE,BID!B511,"-")</f>
        <v>-</v>
      </c>
      <c r="C503" s="30" t="str">
        <f>IF(BID!$L511=FALSE,BID!C511,"-")</f>
        <v>-</v>
      </c>
      <c r="D503" s="114" t="str">
        <f>IF(BID!$L511=FALSE,BID!D511,"-")</f>
        <v>-</v>
      </c>
    </row>
    <row r="504" spans="1:4" x14ac:dyDescent="0.25">
      <c r="A504" s="438" t="str">
        <f>IF(BID!$L512=FALSE,BID!A512,"-")</f>
        <v>-</v>
      </c>
      <c r="B504" s="114" t="str">
        <f>IF(BID!$L512=FALSE,BID!B512,"-")</f>
        <v>-</v>
      </c>
      <c r="C504" s="30" t="str">
        <f>IF(BID!$L512=FALSE,BID!C512,"-")</f>
        <v>-</v>
      </c>
      <c r="D504" s="114" t="str">
        <f>IF(BID!$L512=FALSE,BID!D512,"-")</f>
        <v>-</v>
      </c>
    </row>
    <row r="505" spans="1:4" x14ac:dyDescent="0.25">
      <c r="A505" s="438" t="str">
        <f>IF(BID!$L513=FALSE,BID!A513,"-")</f>
        <v>-</v>
      </c>
      <c r="B505" s="114" t="str">
        <f>IF(BID!$L513=FALSE,BID!B513,"-")</f>
        <v>-</v>
      </c>
      <c r="C505" s="30" t="str">
        <f>IF(BID!$L513=FALSE,BID!C513,"-")</f>
        <v>-</v>
      </c>
      <c r="D505" s="114" t="str">
        <f>IF(BID!$L513=FALSE,BID!D513,"-")</f>
        <v>-</v>
      </c>
    </row>
    <row r="506" spans="1:4" x14ac:dyDescent="0.25">
      <c r="A506" s="438">
        <f>IF(BID!$L514=FALSE,BID!A514,"-")</f>
        <v>462</v>
      </c>
      <c r="B506" s="114" t="str">
        <f>IF(BID!$L514=FALSE,BID!B514,"-")</f>
        <v>FLUTICASONE+SALMETEROL (PAED)</v>
      </c>
      <c r="C506" s="30" t="str">
        <f>IF(BID!$L514=FALSE,BID!C514,"-")</f>
        <v>PCS</v>
      </c>
      <c r="D506" s="114">
        <f>IF(BID!$L514=FALSE,BID!D514,"-")</f>
        <v>10</v>
      </c>
    </row>
    <row r="507" spans="1:4" x14ac:dyDescent="0.25">
      <c r="A507" s="438">
        <f>IF(BID!$L515=FALSE,BID!A515,"-")</f>
        <v>463</v>
      </c>
      <c r="B507" s="114" t="str">
        <f>IF(BID!$L515=FALSE,BID!B515,"-")</f>
        <v>IPRATROPIUM BROMIDE NEBULES</v>
      </c>
      <c r="C507" s="30" t="str">
        <f>IF(BID!$L515=FALSE,BID!C515,"-")</f>
        <v>PCS</v>
      </c>
      <c r="D507" s="114">
        <f>IF(BID!$L515=FALSE,BID!D515,"-")</f>
        <v>200</v>
      </c>
    </row>
    <row r="508" spans="1:4" x14ac:dyDescent="0.25">
      <c r="A508" s="438">
        <f>IF(BID!$L516=FALSE,BID!A516,"-")</f>
        <v>464</v>
      </c>
      <c r="B508" s="114" t="str">
        <f>IF(BID!$L516=FALSE,BID!B516,"-")</f>
        <v>SALBUTAMOL 4MG TAB</v>
      </c>
      <c r="C508" s="30">
        <f>IF(BID!$L516=FALSE,BID!C516,"-")</f>
        <v>100</v>
      </c>
      <c r="D508" s="114">
        <f>IF(BID!$L516=FALSE,BID!D516,"-")</f>
        <v>200</v>
      </c>
    </row>
    <row r="509" spans="1:4" x14ac:dyDescent="0.25">
      <c r="A509" s="438" t="str">
        <f>IF(BID!$L517=FALSE,BID!A517,"-")</f>
        <v>-</v>
      </c>
      <c r="B509" s="114" t="str">
        <f>IF(BID!$L517=FALSE,BID!B517,"-")</f>
        <v>-</v>
      </c>
      <c r="C509" s="30" t="str">
        <f>IF(BID!$L517=FALSE,BID!C517,"-")</f>
        <v>-</v>
      </c>
      <c r="D509" s="114" t="str">
        <f>IF(BID!$L517=FALSE,BID!D517,"-")</f>
        <v>-</v>
      </c>
    </row>
    <row r="510" spans="1:4" x14ac:dyDescent="0.25">
      <c r="A510" s="438" t="str">
        <f>IF(BID!$L518=FALSE,BID!A518,"-")</f>
        <v>-</v>
      </c>
      <c r="B510" s="114" t="str">
        <f>IF(BID!$L518=FALSE,BID!B518,"-")</f>
        <v>-</v>
      </c>
      <c r="C510" s="30" t="str">
        <f>IF(BID!$L518=FALSE,BID!C518,"-")</f>
        <v>-</v>
      </c>
      <c r="D510" s="114" t="str">
        <f>IF(BID!$L518=FALSE,BID!D518,"-")</f>
        <v>-</v>
      </c>
    </row>
    <row r="511" spans="1:4" x14ac:dyDescent="0.25">
      <c r="A511" s="438" t="str">
        <f>IF(BID!$L519=FALSE,BID!A519,"-")</f>
        <v>-</v>
      </c>
      <c r="B511" s="114" t="str">
        <f>IF(BID!$L519=FALSE,BID!B519,"-")</f>
        <v>-</v>
      </c>
      <c r="C511" s="30" t="str">
        <f>IF(BID!$L519=FALSE,BID!C519,"-")</f>
        <v>-</v>
      </c>
      <c r="D511" s="114" t="str">
        <f>IF(BID!$L519=FALSE,BID!D519,"-")</f>
        <v>-</v>
      </c>
    </row>
    <row r="512" spans="1:4" x14ac:dyDescent="0.25">
      <c r="A512" s="438" t="str">
        <f>IF(BID!$L520=FALSE,BID!A520,"-")</f>
        <v>-</v>
      </c>
      <c r="B512" s="114" t="str">
        <f>IF(BID!$L520=FALSE,BID!B520,"-")</f>
        <v>-</v>
      </c>
      <c r="C512" s="30" t="str">
        <f>IF(BID!$L520=FALSE,BID!C520,"-")</f>
        <v>-</v>
      </c>
      <c r="D512" s="114" t="str">
        <f>IF(BID!$L520=FALSE,BID!D520,"-")</f>
        <v>-</v>
      </c>
    </row>
    <row r="513" spans="1:4" x14ac:dyDescent="0.25">
      <c r="A513" s="438">
        <f>IF(BID!$L521=FALSE,BID!A521,"-")</f>
        <v>0</v>
      </c>
      <c r="B513" s="114">
        <f>IF(BID!$L521=FALSE,BID!B521,"-")</f>
        <v>0</v>
      </c>
      <c r="C513" s="30">
        <f>IF(BID!$L521=FALSE,BID!C521,"-")</f>
        <v>0</v>
      </c>
      <c r="D513" s="114">
        <f>IF(BID!$L521=FALSE,BID!D521,"-")</f>
        <v>0</v>
      </c>
    </row>
    <row r="514" spans="1:4" x14ac:dyDescent="0.25">
      <c r="A514" s="438">
        <f>IF(BID!$L522=FALSE,BID!A522,"-")</f>
        <v>0</v>
      </c>
      <c r="B514" s="114" t="str">
        <f>IF(BID!$L522=FALSE,BID!B522,"-")</f>
        <v>ANTIHISTAMINES</v>
      </c>
      <c r="C514" s="30">
        <f>IF(BID!$L522=FALSE,BID!C522,"-")</f>
        <v>0</v>
      </c>
      <c r="D514" s="114">
        <f>IF(BID!$L522=FALSE,BID!D522,"-")</f>
        <v>0</v>
      </c>
    </row>
    <row r="515" spans="1:4" x14ac:dyDescent="0.25">
      <c r="A515" s="438" t="str">
        <f>IF(BID!$L523=FALSE,BID!A523,"-")</f>
        <v>-</v>
      </c>
      <c r="B515" s="114" t="str">
        <f>IF(BID!$L523=FALSE,BID!B523,"-")</f>
        <v>-</v>
      </c>
      <c r="C515" s="30" t="str">
        <f>IF(BID!$L523=FALSE,BID!C523,"-")</f>
        <v>-</v>
      </c>
      <c r="D515" s="114" t="str">
        <f>IF(BID!$L523=FALSE,BID!D523,"-")</f>
        <v>-</v>
      </c>
    </row>
    <row r="516" spans="1:4" x14ac:dyDescent="0.25">
      <c r="A516" s="438" t="str">
        <f>IF(BID!$L524=FALSE,BID!A524,"-")</f>
        <v>-</v>
      </c>
      <c r="B516" s="114" t="str">
        <f>IF(BID!$L524=FALSE,BID!B524,"-")</f>
        <v>-</v>
      </c>
      <c r="C516" s="30" t="str">
        <f>IF(BID!$L524=FALSE,BID!C524,"-")</f>
        <v>-</v>
      </c>
      <c r="D516" s="114" t="str">
        <f>IF(BID!$L524=FALSE,BID!D524,"-")</f>
        <v>-</v>
      </c>
    </row>
    <row r="517" spans="1:4" x14ac:dyDescent="0.25">
      <c r="A517" s="438" t="str">
        <f>IF(BID!$L525=FALSE,BID!A525,"-")</f>
        <v>-</v>
      </c>
      <c r="B517" s="114" t="str">
        <f>IF(BID!$L525=FALSE,BID!B525,"-")</f>
        <v>-</v>
      </c>
      <c r="C517" s="30" t="str">
        <f>IF(BID!$L525=FALSE,BID!C525,"-")</f>
        <v>-</v>
      </c>
      <c r="D517" s="114" t="str">
        <f>IF(BID!$L525=FALSE,BID!D525,"-")</f>
        <v>-</v>
      </c>
    </row>
    <row r="518" spans="1:4" x14ac:dyDescent="0.25">
      <c r="A518" s="438" t="str">
        <f>IF(BID!$L526=FALSE,BID!A526,"-")</f>
        <v>-</v>
      </c>
      <c r="B518" s="114" t="str">
        <f>IF(BID!$L526=FALSE,BID!B526,"-")</f>
        <v>-</v>
      </c>
      <c r="C518" s="30" t="str">
        <f>IF(BID!$L526=FALSE,BID!C526,"-")</f>
        <v>-</v>
      </c>
      <c r="D518" s="114" t="str">
        <f>IF(BID!$L526=FALSE,BID!D526,"-")</f>
        <v>-</v>
      </c>
    </row>
    <row r="519" spans="1:4" x14ac:dyDescent="0.25">
      <c r="A519" s="438" t="str">
        <f>IF(BID!$L527=FALSE,BID!A527,"-")</f>
        <v>-</v>
      </c>
      <c r="B519" s="114" t="str">
        <f>IF(BID!$L527=FALSE,BID!B527,"-")</f>
        <v>-</v>
      </c>
      <c r="C519" s="30" t="str">
        <f>IF(BID!$L527=FALSE,BID!C527,"-")</f>
        <v>-</v>
      </c>
      <c r="D519" s="114" t="str">
        <f>IF(BID!$L527=FALSE,BID!D527,"-")</f>
        <v>-</v>
      </c>
    </row>
    <row r="520" spans="1:4" x14ac:dyDescent="0.25">
      <c r="A520" s="438" t="str">
        <f>IF(BID!$L528=FALSE,BID!A528,"-")</f>
        <v>-</v>
      </c>
      <c r="B520" s="114" t="str">
        <f>IF(BID!$L528=FALSE,BID!B528,"-")</f>
        <v>-</v>
      </c>
      <c r="C520" s="30" t="str">
        <f>IF(BID!$L528=FALSE,BID!C528,"-")</f>
        <v>-</v>
      </c>
      <c r="D520" s="114" t="str">
        <f>IF(BID!$L528=FALSE,BID!D528,"-")</f>
        <v>-</v>
      </c>
    </row>
    <row r="521" spans="1:4" x14ac:dyDescent="0.25">
      <c r="A521" s="438" t="str">
        <f>IF(BID!$L529=FALSE,BID!A529,"-")</f>
        <v>-</v>
      </c>
      <c r="B521" s="114" t="str">
        <f>IF(BID!$L529=FALSE,BID!B529,"-")</f>
        <v>-</v>
      </c>
      <c r="C521" s="30" t="str">
        <f>IF(BID!$L529=FALSE,BID!C529,"-")</f>
        <v>-</v>
      </c>
      <c r="D521" s="114" t="str">
        <f>IF(BID!$L529=FALSE,BID!D529,"-")</f>
        <v>-</v>
      </c>
    </row>
    <row r="522" spans="1:4" x14ac:dyDescent="0.25">
      <c r="A522" s="438">
        <f>IF(BID!$L530=FALSE,BID!A530,"-")</f>
        <v>476</v>
      </c>
      <c r="B522" s="114" t="str">
        <f>IF(BID!$L530=FALSE,BID!B530,"-")</f>
        <v>CLINDAMYCIN 100MG/CLOTRIMAZOLE 100MG</v>
      </c>
      <c r="C522" s="30">
        <f>IF(BID!$L530=FALSE,BID!C530,"-")</f>
        <v>6</v>
      </c>
      <c r="D522" s="114">
        <f>IF(BID!$L530=FALSE,BID!D530,"-")</f>
        <v>20</v>
      </c>
    </row>
    <row r="523" spans="1:4" s="42" customFormat="1" ht="18.75" x14ac:dyDescent="0.3">
      <c r="A523" s="438" t="str">
        <f>IF(BID!$L531=FALSE,BID!A531,"-")</f>
        <v>-</v>
      </c>
      <c r="B523" s="114" t="str">
        <f>IF(BID!$L531=FALSE,BID!B531,"-")</f>
        <v>-</v>
      </c>
      <c r="C523" s="30" t="str">
        <f>IF(BID!$L531=FALSE,BID!C531,"-")</f>
        <v>-</v>
      </c>
      <c r="D523" s="114" t="str">
        <f>IF(BID!$L531=FALSE,BID!D531,"-")</f>
        <v>-</v>
      </c>
    </row>
    <row r="524" spans="1:4" x14ac:dyDescent="0.25">
      <c r="A524" s="438" t="str">
        <f>IF(BID!$L532=FALSE,BID!A532,"-")</f>
        <v>-</v>
      </c>
      <c r="B524" s="114" t="str">
        <f>IF(BID!$L532=FALSE,BID!B532,"-")</f>
        <v>-</v>
      </c>
      <c r="C524" s="30" t="str">
        <f>IF(BID!$L532=FALSE,BID!C532,"-")</f>
        <v>-</v>
      </c>
      <c r="D524" s="114" t="str">
        <f>IF(BID!$L532=FALSE,BID!D532,"-")</f>
        <v>-</v>
      </c>
    </row>
    <row r="525" spans="1:4" x14ac:dyDescent="0.25">
      <c r="A525" s="438" t="str">
        <f>IF(BID!$L533=FALSE,BID!A533,"-")</f>
        <v>-</v>
      </c>
      <c r="B525" s="114" t="str">
        <f>IF(BID!$L533=FALSE,BID!B533,"-")</f>
        <v>-</v>
      </c>
      <c r="C525" s="30" t="str">
        <f>IF(BID!$L533=FALSE,BID!C533,"-")</f>
        <v>-</v>
      </c>
      <c r="D525" s="114" t="str">
        <f>IF(BID!$L533=FALSE,BID!D533,"-")</f>
        <v>-</v>
      </c>
    </row>
    <row r="526" spans="1:4" x14ac:dyDescent="0.25">
      <c r="A526" s="438" t="str">
        <f>IF(BID!$L534=FALSE,BID!A534,"-")</f>
        <v>-</v>
      </c>
      <c r="B526" s="114" t="str">
        <f>IF(BID!$L534=FALSE,BID!B534,"-")</f>
        <v>-</v>
      </c>
      <c r="C526" s="30" t="str">
        <f>IF(BID!$L534=FALSE,BID!C534,"-")</f>
        <v>-</v>
      </c>
      <c r="D526" s="114" t="str">
        <f>IF(BID!$L534=FALSE,BID!D534,"-")</f>
        <v>-</v>
      </c>
    </row>
    <row r="527" spans="1:4" x14ac:dyDescent="0.25">
      <c r="A527" s="438" t="str">
        <f>IF(BID!$L535=FALSE,BID!A535,"-")</f>
        <v>-</v>
      </c>
      <c r="B527" s="114" t="str">
        <f>IF(BID!$L535=FALSE,BID!B535,"-")</f>
        <v>-</v>
      </c>
      <c r="C527" s="30" t="str">
        <f>IF(BID!$L535=FALSE,BID!C535,"-")</f>
        <v>-</v>
      </c>
      <c r="D527" s="114" t="str">
        <f>IF(BID!$L535=FALSE,BID!D535,"-")</f>
        <v>-</v>
      </c>
    </row>
    <row r="528" spans="1:4" x14ac:dyDescent="0.25">
      <c r="A528" s="438">
        <f>IF(BID!$L536=FALSE,BID!A536,"-")</f>
        <v>482</v>
      </c>
      <c r="B528" s="114" t="str">
        <f>IF(BID!$L536=FALSE,BID!B536,"-")</f>
        <v>HYDROCORTISONE  TAB</v>
      </c>
      <c r="C528" s="30">
        <f>IF(BID!$L536=FALSE,BID!C536,"-")</f>
        <v>100</v>
      </c>
      <c r="D528" s="114">
        <f>IF(BID!$L536=FALSE,BID!D536,"-")</f>
        <v>4</v>
      </c>
    </row>
    <row r="529" spans="1:4" x14ac:dyDescent="0.25">
      <c r="A529" s="438" t="str">
        <f>IF(BID!$L537=FALSE,BID!A537,"-")</f>
        <v>-</v>
      </c>
      <c r="B529" s="114" t="str">
        <f>IF(BID!$L537=FALSE,BID!B537,"-")</f>
        <v>-</v>
      </c>
      <c r="C529" s="30" t="str">
        <f>IF(BID!$L537=FALSE,BID!C537,"-")</f>
        <v>-</v>
      </c>
      <c r="D529" s="114" t="str">
        <f>IF(BID!$L537=FALSE,BID!D537,"-")</f>
        <v>-</v>
      </c>
    </row>
    <row r="530" spans="1:4" x14ac:dyDescent="0.25">
      <c r="A530" s="438">
        <f>IF(BID!$L538=FALSE,BID!A538,"-")</f>
        <v>484</v>
      </c>
      <c r="B530" s="114" t="str">
        <f>IF(BID!$L538=FALSE,BID!B538,"-")</f>
        <v>KETOTIFEN TAB</v>
      </c>
      <c r="C530" s="30">
        <f>IF(BID!$L538=FALSE,BID!C538,"-")</f>
        <v>30</v>
      </c>
      <c r="D530" s="114">
        <f>IF(BID!$L538=FALSE,BID!D538,"-")</f>
        <v>4</v>
      </c>
    </row>
    <row r="531" spans="1:4" x14ac:dyDescent="0.25">
      <c r="A531" s="438" t="str">
        <f>IF(BID!$L539=FALSE,BID!A539,"-")</f>
        <v>-</v>
      </c>
      <c r="B531" s="114" t="str">
        <f>IF(BID!$L539=FALSE,BID!B539,"-")</f>
        <v>-</v>
      </c>
      <c r="C531" s="30" t="str">
        <f>IF(BID!$L539=FALSE,BID!C539,"-")</f>
        <v>-</v>
      </c>
      <c r="D531" s="114" t="str">
        <f>IF(BID!$L539=FALSE,BID!D539,"-")</f>
        <v>-</v>
      </c>
    </row>
    <row r="532" spans="1:4" x14ac:dyDescent="0.25">
      <c r="A532" s="438">
        <f>IF(BID!$L540=FALSE,BID!A540,"-")</f>
        <v>486</v>
      </c>
      <c r="B532" s="114" t="str">
        <f>IF(BID!$L540=FALSE,BID!B540,"-")</f>
        <v>LORATIDINE 10MG TAB</v>
      </c>
      <c r="C532" s="30">
        <f>IF(BID!$L540=FALSE,BID!C540,"-")</f>
        <v>100</v>
      </c>
      <c r="D532" s="114">
        <f>IF(BID!$L540=FALSE,BID!D540,"-")</f>
        <v>400</v>
      </c>
    </row>
    <row r="533" spans="1:4" x14ac:dyDescent="0.25">
      <c r="A533" s="438">
        <f>IF(BID!$L541=FALSE,BID!A541,"-")</f>
        <v>487</v>
      </c>
      <c r="B533" s="114" t="str">
        <f>IF(BID!$L541=FALSE,BID!B541,"-")</f>
        <v>LORATIDINE 5MG/5ML SYRUP</v>
      </c>
      <c r="C533" s="30" t="str">
        <f>IF(BID!$L541=FALSE,BID!C541,"-")</f>
        <v>BOTT</v>
      </c>
      <c r="D533" s="114">
        <f>IF(BID!$L541=FALSE,BID!D541,"-")</f>
        <v>120</v>
      </c>
    </row>
    <row r="534" spans="1:4" x14ac:dyDescent="0.25">
      <c r="A534" s="438" t="str">
        <f>IF(BID!$L542=FALSE,BID!A542,"-")</f>
        <v>-</v>
      </c>
      <c r="B534" s="114" t="str">
        <f>IF(BID!$L542=FALSE,BID!B542,"-")</f>
        <v>-</v>
      </c>
      <c r="C534" s="30" t="str">
        <f>IF(BID!$L542=FALSE,BID!C542,"-")</f>
        <v>-</v>
      </c>
      <c r="D534" s="114" t="str">
        <f>IF(BID!$L542=FALSE,BID!D542,"-")</f>
        <v>-</v>
      </c>
    </row>
    <row r="535" spans="1:4" x14ac:dyDescent="0.25">
      <c r="A535" s="438" t="str">
        <f>IF(BID!$L543=FALSE,BID!A543,"-")</f>
        <v>-</v>
      </c>
      <c r="B535" s="114" t="str">
        <f>IF(BID!$L543=FALSE,BID!B543,"-")</f>
        <v>-</v>
      </c>
      <c r="C535" s="30" t="str">
        <f>IF(BID!$L543=FALSE,BID!C543,"-")</f>
        <v>-</v>
      </c>
      <c r="D535" s="114" t="str">
        <f>IF(BID!$L543=FALSE,BID!D543,"-")</f>
        <v>-</v>
      </c>
    </row>
    <row r="536" spans="1:4" x14ac:dyDescent="0.25">
      <c r="A536" s="438" t="str">
        <f>IF(BID!$L544=FALSE,BID!A544,"-")</f>
        <v>-</v>
      </c>
      <c r="B536" s="114" t="str">
        <f>IF(BID!$L544=FALSE,BID!B544,"-")</f>
        <v>-</v>
      </c>
      <c r="C536" s="30" t="str">
        <f>IF(BID!$L544=FALSE,BID!C544,"-")</f>
        <v>-</v>
      </c>
      <c r="D536" s="114" t="str">
        <f>IF(BID!$L544=FALSE,BID!D544,"-")</f>
        <v>-</v>
      </c>
    </row>
    <row r="537" spans="1:4" x14ac:dyDescent="0.25">
      <c r="A537" s="438" t="str">
        <f>IF(BID!$L545=FALSE,BID!A545,"-")</f>
        <v>-</v>
      </c>
      <c r="B537" s="114" t="str">
        <f>IF(BID!$L545=FALSE,BID!B545,"-")</f>
        <v>-</v>
      </c>
      <c r="C537" s="30" t="str">
        <f>IF(BID!$L545=FALSE,BID!C545,"-")</f>
        <v>-</v>
      </c>
      <c r="D537" s="114" t="str">
        <f>IF(BID!$L545=FALSE,BID!D545,"-")</f>
        <v>-</v>
      </c>
    </row>
    <row r="538" spans="1:4" x14ac:dyDescent="0.25">
      <c r="A538" s="438" t="str">
        <f>IF(BID!$L546=FALSE,BID!A546,"-")</f>
        <v>-</v>
      </c>
      <c r="B538" s="114" t="str">
        <f>IF(BID!$L546=FALSE,BID!B546,"-")</f>
        <v>-</v>
      </c>
      <c r="C538" s="30" t="str">
        <f>IF(BID!$L546=FALSE,BID!C546,"-")</f>
        <v>-</v>
      </c>
      <c r="D538" s="114" t="str">
        <f>IF(BID!$L546=FALSE,BID!D546,"-")</f>
        <v>-</v>
      </c>
    </row>
    <row r="539" spans="1:4" x14ac:dyDescent="0.25">
      <c r="A539" s="438" t="str">
        <f>IF(BID!$L547=FALSE,BID!A547,"-")</f>
        <v>-</v>
      </c>
      <c r="B539" s="114" t="str">
        <f>IF(BID!$L547=FALSE,BID!B547,"-")</f>
        <v>-</v>
      </c>
      <c r="C539" s="30" t="str">
        <f>IF(BID!$L547=FALSE,BID!C547,"-")</f>
        <v>-</v>
      </c>
      <c r="D539" s="114" t="str">
        <f>IF(BID!$L547=FALSE,BID!D547,"-")</f>
        <v>-</v>
      </c>
    </row>
    <row r="540" spans="1:4" x14ac:dyDescent="0.25">
      <c r="A540" s="438">
        <f>IF(BID!$L548=FALSE,BID!A548,"-")</f>
        <v>0</v>
      </c>
      <c r="B540" s="114">
        <f>IF(BID!$L548=FALSE,BID!B548,"-")</f>
        <v>0</v>
      </c>
      <c r="C540" s="30">
        <f>IF(BID!$L548=FALSE,BID!C548,"-")</f>
        <v>0</v>
      </c>
      <c r="D540" s="114">
        <f>IF(BID!$L548=FALSE,BID!D548,"-")</f>
        <v>0</v>
      </c>
    </row>
    <row r="541" spans="1:4" x14ac:dyDescent="0.25">
      <c r="A541" s="438">
        <f>IF(BID!$L549=FALSE,BID!A549,"-")</f>
        <v>0</v>
      </c>
      <c r="B541" s="114">
        <f>IF(BID!$L549=FALSE,BID!B549,"-")</f>
        <v>0</v>
      </c>
      <c r="C541" s="30">
        <f>IF(BID!$L549=FALSE,BID!C549,"-")</f>
        <v>0</v>
      </c>
      <c r="D541" s="114">
        <f>IF(BID!$L549=FALSE,BID!D549,"-")</f>
        <v>0</v>
      </c>
    </row>
    <row r="542" spans="1:4" x14ac:dyDescent="0.25">
      <c r="A542" s="438" t="str">
        <f>IF(BID!$L550=FALSE,BID!A550,"-")</f>
        <v>LOT 11</v>
      </c>
      <c r="B542" s="114" t="str">
        <f>IF(BID!$L550=FALSE,BID!B550,"-")</f>
        <v>ANTIGLAUCOMA/EYE/EAR MEDICATIONS</v>
      </c>
      <c r="C542" s="30">
        <f>IF(BID!$L550=FALSE,BID!C550,"-")</f>
        <v>0</v>
      </c>
      <c r="D542" s="114">
        <f>IF(BID!$L550=FALSE,BID!D550,"-")</f>
        <v>0</v>
      </c>
    </row>
    <row r="543" spans="1:4" x14ac:dyDescent="0.25">
      <c r="A543" s="438" t="str">
        <f>IF(BID!$L551=FALSE,BID!A551,"-")</f>
        <v>-</v>
      </c>
      <c r="B543" s="114" t="str">
        <f>IF(BID!$L551=FALSE,BID!B551,"-")</f>
        <v>-</v>
      </c>
      <c r="C543" s="30" t="str">
        <f>IF(BID!$L551=FALSE,BID!C551,"-")</f>
        <v>-</v>
      </c>
      <c r="D543" s="114" t="str">
        <f>IF(BID!$L551=FALSE,BID!D551,"-")</f>
        <v>-</v>
      </c>
    </row>
    <row r="544" spans="1:4" x14ac:dyDescent="0.25">
      <c r="A544" s="438" t="str">
        <f>IF(BID!$L552=FALSE,BID!A552,"-")</f>
        <v>-</v>
      </c>
      <c r="B544" s="114" t="str">
        <f>IF(BID!$L552=FALSE,BID!B552,"-")</f>
        <v>-</v>
      </c>
      <c r="C544" s="30" t="str">
        <f>IF(BID!$L552=FALSE,BID!C552,"-")</f>
        <v>-</v>
      </c>
      <c r="D544" s="114" t="str">
        <f>IF(BID!$L552=FALSE,BID!D552,"-")</f>
        <v>-</v>
      </c>
    </row>
    <row r="545" spans="1:4" x14ac:dyDescent="0.25">
      <c r="A545" s="438" t="str">
        <f>IF(BID!$L553=FALSE,BID!A553,"-")</f>
        <v>-</v>
      </c>
      <c r="B545" s="114" t="str">
        <f>IF(BID!$L553=FALSE,BID!B553,"-")</f>
        <v>-</v>
      </c>
      <c r="C545" s="30" t="str">
        <f>IF(BID!$L553=FALSE,BID!C553,"-")</f>
        <v>-</v>
      </c>
      <c r="D545" s="114" t="str">
        <f>IF(BID!$L553=FALSE,BID!D553,"-")</f>
        <v>-</v>
      </c>
    </row>
    <row r="546" spans="1:4" x14ac:dyDescent="0.25">
      <c r="A546" s="438" t="str">
        <f>IF(BID!$L554=FALSE,BID!A554,"-")</f>
        <v>-</v>
      </c>
      <c r="B546" s="114" t="str">
        <f>IF(BID!$L554=FALSE,BID!B554,"-")</f>
        <v>-</v>
      </c>
      <c r="C546" s="30" t="str">
        <f>IF(BID!$L554=FALSE,BID!C554,"-")</f>
        <v>-</v>
      </c>
      <c r="D546" s="114" t="str">
        <f>IF(BID!$L554=FALSE,BID!D554,"-")</f>
        <v>-</v>
      </c>
    </row>
    <row r="547" spans="1:4" x14ac:dyDescent="0.25">
      <c r="A547" s="438" t="str">
        <f>IF(BID!$L555=FALSE,BID!A555,"-")</f>
        <v>-</v>
      </c>
      <c r="B547" s="114" t="str">
        <f>IF(BID!$L555=FALSE,BID!B555,"-")</f>
        <v>-</v>
      </c>
      <c r="C547" s="30" t="str">
        <f>IF(BID!$L555=FALSE,BID!C555,"-")</f>
        <v>-</v>
      </c>
      <c r="D547" s="114" t="str">
        <f>IF(BID!$L555=FALSE,BID!D555,"-")</f>
        <v>-</v>
      </c>
    </row>
    <row r="548" spans="1:4" x14ac:dyDescent="0.25">
      <c r="A548" s="438" t="str">
        <f>IF(BID!$L556=FALSE,BID!A556,"-")</f>
        <v>-</v>
      </c>
      <c r="B548" s="114" t="str">
        <f>IF(BID!$L556=FALSE,BID!B556,"-")</f>
        <v>-</v>
      </c>
      <c r="C548" s="30" t="str">
        <f>IF(BID!$L556=FALSE,BID!C556,"-")</f>
        <v>-</v>
      </c>
      <c r="D548" s="114" t="str">
        <f>IF(BID!$L556=FALSE,BID!D556,"-")</f>
        <v>-</v>
      </c>
    </row>
    <row r="549" spans="1:4" x14ac:dyDescent="0.25">
      <c r="A549" s="438" t="str">
        <f>IF(BID!$L557=FALSE,BID!A557,"-")</f>
        <v>-</v>
      </c>
      <c r="B549" s="114" t="str">
        <f>IF(BID!$L557=FALSE,BID!B557,"-")</f>
        <v>-</v>
      </c>
      <c r="C549" s="30" t="str">
        <f>IF(BID!$L557=FALSE,BID!C557,"-")</f>
        <v>-</v>
      </c>
      <c r="D549" s="114" t="str">
        <f>IF(BID!$L557=FALSE,BID!D557,"-")</f>
        <v>-</v>
      </c>
    </row>
    <row r="550" spans="1:4" x14ac:dyDescent="0.25">
      <c r="A550" s="438">
        <f>IF(BID!$L558=FALSE,BID!A558,"-")</f>
        <v>501</v>
      </c>
      <c r="B550" s="114" t="str">
        <f>IF(BID!$L558=FALSE,BID!B558,"-")</f>
        <v>CANDIBIOTIC GTT</v>
      </c>
      <c r="C550" s="30" t="str">
        <f>IF(BID!$L558=FALSE,BID!C558,"-")</f>
        <v>BOTT</v>
      </c>
      <c r="D550" s="114">
        <f>IF(BID!$L558=FALSE,BID!D558,"-")</f>
        <v>40</v>
      </c>
    </row>
    <row r="551" spans="1:4" x14ac:dyDescent="0.25">
      <c r="A551" s="438" t="str">
        <f>IF(BID!$L559=FALSE,BID!A559,"-")</f>
        <v>-</v>
      </c>
      <c r="B551" s="114" t="str">
        <f>IF(BID!$L559=FALSE,BID!B559,"-")</f>
        <v>-</v>
      </c>
      <c r="C551" s="30" t="str">
        <f>IF(BID!$L559=FALSE,BID!C559,"-")</f>
        <v>-</v>
      </c>
      <c r="D551" s="114" t="str">
        <f>IF(BID!$L559=FALSE,BID!D559,"-")</f>
        <v>-</v>
      </c>
    </row>
    <row r="552" spans="1:4" x14ac:dyDescent="0.25">
      <c r="A552" s="438" t="str">
        <f>IF(BID!$L560=FALSE,BID!A560,"-")</f>
        <v>-</v>
      </c>
      <c r="B552" s="114" t="str">
        <f>IF(BID!$L560=FALSE,BID!B560,"-")</f>
        <v>-</v>
      </c>
      <c r="C552" s="30" t="str">
        <f>IF(BID!$L560=FALSE,BID!C560,"-")</f>
        <v>-</v>
      </c>
      <c r="D552" s="114" t="str">
        <f>IF(BID!$L560=FALSE,BID!D560,"-")</f>
        <v>-</v>
      </c>
    </row>
    <row r="553" spans="1:4" x14ac:dyDescent="0.25">
      <c r="A553" s="438" t="str">
        <f>IF(BID!$L561=FALSE,BID!A561,"-")</f>
        <v>-</v>
      </c>
      <c r="B553" s="114" t="str">
        <f>IF(BID!$L561=FALSE,BID!B561,"-")</f>
        <v>-</v>
      </c>
      <c r="C553" s="30" t="str">
        <f>IF(BID!$L561=FALSE,BID!C561,"-")</f>
        <v>-</v>
      </c>
      <c r="D553" s="114" t="str">
        <f>IF(BID!$L561=FALSE,BID!D561,"-")</f>
        <v>-</v>
      </c>
    </row>
    <row r="554" spans="1:4" x14ac:dyDescent="0.25">
      <c r="A554" s="438" t="str">
        <f>IF(BID!$L562=FALSE,BID!A562,"-")</f>
        <v>-</v>
      </c>
      <c r="B554" s="114" t="str">
        <f>IF(BID!$L562=FALSE,BID!B562,"-")</f>
        <v>-</v>
      </c>
      <c r="C554" s="30" t="str">
        <f>IF(BID!$L562=FALSE,BID!C562,"-")</f>
        <v>-</v>
      </c>
      <c r="D554" s="114" t="str">
        <f>IF(BID!$L562=FALSE,BID!D562,"-")</f>
        <v>-</v>
      </c>
    </row>
    <row r="555" spans="1:4" x14ac:dyDescent="0.25">
      <c r="A555" s="438" t="str">
        <f>IF(BID!$L563=FALSE,BID!A563,"-")</f>
        <v>-</v>
      </c>
      <c r="B555" s="114" t="str">
        <f>IF(BID!$L563=FALSE,BID!B563,"-")</f>
        <v>-</v>
      </c>
      <c r="C555" s="30" t="str">
        <f>IF(BID!$L563=FALSE,BID!C563,"-")</f>
        <v>-</v>
      </c>
      <c r="D555" s="114" t="str">
        <f>IF(BID!$L563=FALSE,BID!D563,"-")</f>
        <v>-</v>
      </c>
    </row>
    <row r="556" spans="1:4" x14ac:dyDescent="0.25">
      <c r="A556" s="438">
        <f>IF(BID!$L564=FALSE,BID!A564,"-")</f>
        <v>507</v>
      </c>
      <c r="B556" s="114" t="str">
        <f>IF(BID!$L564=FALSE,BID!B564,"-")</f>
        <v>DEXAMETHASONE/CHLORAMPHENICOL/TETRAZOLINE</v>
      </c>
      <c r="C556" s="30" t="str">
        <f>IF(BID!$L564=FALSE,BID!C564,"-")</f>
        <v>BOTT</v>
      </c>
      <c r="D556" s="114">
        <f>IF(BID!$L564=FALSE,BID!D564,"-")</f>
        <v>20</v>
      </c>
    </row>
    <row r="557" spans="1:4" x14ac:dyDescent="0.25">
      <c r="A557" s="438" t="str">
        <f>IF(BID!$L565=FALSE,BID!A565,"-")</f>
        <v>-</v>
      </c>
      <c r="B557" s="114" t="str">
        <f>IF(BID!$L565=FALSE,BID!B565,"-")</f>
        <v>-</v>
      </c>
      <c r="C557" s="30" t="str">
        <f>IF(BID!$L565=FALSE,BID!C565,"-")</f>
        <v>-</v>
      </c>
      <c r="D557" s="114" t="str">
        <f>IF(BID!$L565=FALSE,BID!D565,"-")</f>
        <v>-</v>
      </c>
    </row>
    <row r="558" spans="1:4" x14ac:dyDescent="0.25">
      <c r="A558" s="438" t="str">
        <f>IF(BID!$L566=FALSE,BID!A566,"-")</f>
        <v>-</v>
      </c>
      <c r="B558" s="114" t="str">
        <f>IF(BID!$L566=FALSE,BID!B566,"-")</f>
        <v>-</v>
      </c>
      <c r="C558" s="30" t="str">
        <f>IF(BID!$L566=FALSE,BID!C566,"-")</f>
        <v>-</v>
      </c>
      <c r="D558" s="114" t="str">
        <f>IF(BID!$L566=FALSE,BID!D566,"-")</f>
        <v>-</v>
      </c>
    </row>
    <row r="559" spans="1:4" x14ac:dyDescent="0.25">
      <c r="A559" s="438" t="str">
        <f>IF(BID!$L567=FALSE,BID!A567,"-")</f>
        <v>-</v>
      </c>
      <c r="B559" s="114" t="str">
        <f>IF(BID!$L567=FALSE,BID!B567,"-")</f>
        <v>-</v>
      </c>
      <c r="C559" s="30" t="str">
        <f>IF(BID!$L567=FALSE,BID!C567,"-")</f>
        <v>-</v>
      </c>
      <c r="D559" s="114" t="str">
        <f>IF(BID!$L567=FALSE,BID!D567,"-")</f>
        <v>-</v>
      </c>
    </row>
    <row r="560" spans="1:4" x14ac:dyDescent="0.25">
      <c r="A560" s="438" t="str">
        <f>IF(BID!$L568=FALSE,BID!A568,"-")</f>
        <v>-</v>
      </c>
      <c r="B560" s="114" t="str">
        <f>IF(BID!$L568=FALSE,BID!B568,"-")</f>
        <v>-</v>
      </c>
      <c r="C560" s="30" t="str">
        <f>IF(BID!$L568=FALSE,BID!C568,"-")</f>
        <v>-</v>
      </c>
      <c r="D560" s="114" t="str">
        <f>IF(BID!$L568=FALSE,BID!D568,"-")</f>
        <v>-</v>
      </c>
    </row>
    <row r="561" spans="1:4" x14ac:dyDescent="0.25">
      <c r="A561" s="438" t="str">
        <f>IF(BID!$L569=FALSE,BID!A569,"-")</f>
        <v>-</v>
      </c>
      <c r="B561" s="114" t="str">
        <f>IF(BID!$L569=FALSE,BID!B569,"-")</f>
        <v>-</v>
      </c>
      <c r="C561" s="30" t="str">
        <f>IF(BID!$L569=FALSE,BID!C569,"-")</f>
        <v>-</v>
      </c>
      <c r="D561" s="114" t="str">
        <f>IF(BID!$L569=FALSE,BID!D569,"-")</f>
        <v>-</v>
      </c>
    </row>
    <row r="562" spans="1:4" x14ac:dyDescent="0.25">
      <c r="A562" s="438" t="str">
        <f>IF(BID!$L570=FALSE,BID!A570,"-")</f>
        <v>-</v>
      </c>
      <c r="B562" s="114" t="str">
        <f>IF(BID!$L570=FALSE,BID!B570,"-")</f>
        <v>-</v>
      </c>
      <c r="C562" s="30" t="str">
        <f>IF(BID!$L570=FALSE,BID!C570,"-")</f>
        <v>-</v>
      </c>
      <c r="D562" s="114" t="str">
        <f>IF(BID!$L570=FALSE,BID!D570,"-")</f>
        <v>-</v>
      </c>
    </row>
    <row r="563" spans="1:4" x14ac:dyDescent="0.25">
      <c r="A563" s="438" t="str">
        <f>IF(BID!$L571=FALSE,BID!A571,"-")</f>
        <v>-</v>
      </c>
      <c r="B563" s="114" t="str">
        <f>IF(BID!$L571=FALSE,BID!B571,"-")</f>
        <v>-</v>
      </c>
      <c r="C563" s="30" t="str">
        <f>IF(BID!$L571=FALSE,BID!C571,"-")</f>
        <v>-</v>
      </c>
      <c r="D563" s="114" t="str">
        <f>IF(BID!$L571=FALSE,BID!D571,"-")</f>
        <v>-</v>
      </c>
    </row>
    <row r="564" spans="1:4" x14ac:dyDescent="0.25">
      <c r="A564" s="438" t="str">
        <f>IF(BID!$L572=FALSE,BID!A572,"-")</f>
        <v>-</v>
      </c>
      <c r="B564" s="114" t="str">
        <f>IF(BID!$L572=FALSE,BID!B572,"-")</f>
        <v>-</v>
      </c>
      <c r="C564" s="30" t="str">
        <f>IF(BID!$L572=FALSE,BID!C572,"-")</f>
        <v>-</v>
      </c>
      <c r="D564" s="114" t="str">
        <f>IF(BID!$L572=FALSE,BID!D572,"-")</f>
        <v>-</v>
      </c>
    </row>
    <row r="565" spans="1:4" x14ac:dyDescent="0.25">
      <c r="A565" s="438" t="str">
        <f>IF(BID!$L573=FALSE,BID!A573,"-")</f>
        <v>-</v>
      </c>
      <c r="B565" s="114" t="str">
        <f>IF(BID!$L573=FALSE,BID!B573,"-")</f>
        <v>-</v>
      </c>
      <c r="C565" s="30" t="str">
        <f>IF(BID!$L573=FALSE,BID!C573,"-")</f>
        <v>-</v>
      </c>
      <c r="D565" s="114" t="str">
        <f>IF(BID!$L573=FALSE,BID!D573,"-")</f>
        <v>-</v>
      </c>
    </row>
    <row r="566" spans="1:4" x14ac:dyDescent="0.25">
      <c r="A566" s="438" t="str">
        <f>IF(BID!$L574=FALSE,BID!A574,"-")</f>
        <v>-</v>
      </c>
      <c r="B566" s="114" t="str">
        <f>IF(BID!$L574=FALSE,BID!B574,"-")</f>
        <v>-</v>
      </c>
      <c r="C566" s="30" t="str">
        <f>IF(BID!$L574=FALSE,BID!C574,"-")</f>
        <v>-</v>
      </c>
      <c r="D566" s="114" t="str">
        <f>IF(BID!$L574=FALSE,BID!D574,"-")</f>
        <v>-</v>
      </c>
    </row>
    <row r="567" spans="1:4" x14ac:dyDescent="0.25">
      <c r="A567" s="438" t="str">
        <f>IF(BID!$L575=FALSE,BID!A575,"-")</f>
        <v>-</v>
      </c>
      <c r="B567" s="114" t="str">
        <f>IF(BID!$L575=FALSE,BID!B575,"-")</f>
        <v>-</v>
      </c>
      <c r="C567" s="30" t="str">
        <f>IF(BID!$L575=FALSE,BID!C575,"-")</f>
        <v>-</v>
      </c>
      <c r="D567" s="114" t="str">
        <f>IF(BID!$L575=FALSE,BID!D575,"-")</f>
        <v>-</v>
      </c>
    </row>
    <row r="568" spans="1:4" x14ac:dyDescent="0.25">
      <c r="A568" s="438">
        <f>IF(BID!$L576=FALSE,BID!A576,"-")</f>
        <v>519</v>
      </c>
      <c r="B568" s="114" t="str">
        <f>IF(BID!$L576=FALSE,BID!B576,"-")</f>
        <v>NEOMYCIN+POLYMYCIN  B+DEXAMETHASONE GTT</v>
      </c>
      <c r="C568" s="30" t="str">
        <f>IF(BID!$L576=FALSE,BID!C576,"-")</f>
        <v>BOTT</v>
      </c>
      <c r="D568" s="114">
        <f>IF(BID!$L576=FALSE,BID!D576,"-")</f>
        <v>400</v>
      </c>
    </row>
    <row r="569" spans="1:4" x14ac:dyDescent="0.25">
      <c r="A569" s="438">
        <f>IF(BID!$L577=FALSE,BID!A577,"-")</f>
        <v>520</v>
      </c>
      <c r="B569" s="114" t="str">
        <f>IF(BID!$L577=FALSE,BID!B577,"-")</f>
        <v>NEOMYCIN+POLYMYCIN  B+DEXAMETHASONE OINTMENT</v>
      </c>
      <c r="C569" s="30" t="str">
        <f>IF(BID!$L577=FALSE,BID!C577,"-")</f>
        <v>TUBE</v>
      </c>
      <c r="D569" s="114">
        <f>IF(BID!$L577=FALSE,BID!D577,"-")</f>
        <v>40</v>
      </c>
    </row>
    <row r="570" spans="1:4" x14ac:dyDescent="0.25">
      <c r="A570" s="438" t="str">
        <f>IF(BID!$L578=FALSE,BID!A578,"-")</f>
        <v>-</v>
      </c>
      <c r="B570" s="114" t="str">
        <f>IF(BID!$L578=FALSE,BID!B578,"-")</f>
        <v>-</v>
      </c>
      <c r="C570" s="30" t="str">
        <f>IF(BID!$L578=FALSE,BID!C578,"-")</f>
        <v>-</v>
      </c>
      <c r="D570" s="114" t="str">
        <f>IF(BID!$L578=FALSE,BID!D578,"-")</f>
        <v>-</v>
      </c>
    </row>
    <row r="571" spans="1:4" x14ac:dyDescent="0.25">
      <c r="A571" s="438" t="str">
        <f>IF(BID!$L579=FALSE,BID!A579,"-")</f>
        <v>-</v>
      </c>
      <c r="B571" s="114" t="str">
        <f>IF(BID!$L579=FALSE,BID!B579,"-")</f>
        <v>-</v>
      </c>
      <c r="C571" s="30" t="str">
        <f>IF(BID!$L579=FALSE,BID!C579,"-")</f>
        <v>-</v>
      </c>
      <c r="D571" s="114" t="str">
        <f>IF(BID!$L579=FALSE,BID!D579,"-")</f>
        <v>-</v>
      </c>
    </row>
    <row r="572" spans="1:4" x14ac:dyDescent="0.25">
      <c r="A572" s="438">
        <f>IF(BID!$L580=FALSE,BID!A580,"-")</f>
        <v>523</v>
      </c>
      <c r="B572" s="114" t="str">
        <f>IF(BID!$L580=FALSE,BID!B580,"-")</f>
        <v>OTOMED EAR DROP</v>
      </c>
      <c r="C572" s="30" t="str">
        <f>IF(BID!$L580=FALSE,BID!C580,"-")</f>
        <v>BOTT</v>
      </c>
      <c r="D572" s="114">
        <f>IF(BID!$L580=FALSE,BID!D580,"-")</f>
        <v>100</v>
      </c>
    </row>
    <row r="573" spans="1:4" x14ac:dyDescent="0.25">
      <c r="A573" s="438" t="str">
        <f>IF(BID!$L581=FALSE,BID!A581,"-")</f>
        <v>-</v>
      </c>
      <c r="B573" s="114" t="str">
        <f>IF(BID!$L581=FALSE,BID!B581,"-")</f>
        <v>-</v>
      </c>
      <c r="C573" s="30" t="str">
        <f>IF(BID!$L581=FALSE,BID!C581,"-")</f>
        <v>-</v>
      </c>
      <c r="D573" s="114" t="str">
        <f>IF(BID!$L581=FALSE,BID!D581,"-")</f>
        <v>-</v>
      </c>
    </row>
    <row r="574" spans="1:4" x14ac:dyDescent="0.25">
      <c r="A574" s="438" t="str">
        <f>IF(BID!$L582=FALSE,BID!A582,"-")</f>
        <v>-</v>
      </c>
      <c r="B574" s="114" t="str">
        <f>IF(BID!$L582=FALSE,BID!B582,"-")</f>
        <v>-</v>
      </c>
      <c r="C574" s="30" t="str">
        <f>IF(BID!$L582=FALSE,BID!C582,"-")</f>
        <v>-</v>
      </c>
      <c r="D574" s="114" t="str">
        <f>IF(BID!$L582=FALSE,BID!D582,"-")</f>
        <v>-</v>
      </c>
    </row>
    <row r="575" spans="1:4" x14ac:dyDescent="0.25">
      <c r="A575" s="438" t="str">
        <f>IF(BID!$L583=FALSE,BID!A583,"-")</f>
        <v>-</v>
      </c>
      <c r="B575" s="114" t="str">
        <f>IF(BID!$L583=FALSE,BID!B583,"-")</f>
        <v>-</v>
      </c>
      <c r="C575" s="30" t="str">
        <f>IF(BID!$L583=FALSE,BID!C583,"-")</f>
        <v>-</v>
      </c>
      <c r="D575" s="114" t="str">
        <f>IF(BID!$L583=FALSE,BID!D583,"-")</f>
        <v>-</v>
      </c>
    </row>
    <row r="576" spans="1:4" x14ac:dyDescent="0.25">
      <c r="A576" s="438" t="str">
        <f>IF(BID!$L584=FALSE,BID!A584,"-")</f>
        <v>-</v>
      </c>
      <c r="B576" s="114" t="str">
        <f>IF(BID!$L584=FALSE,BID!B584,"-")</f>
        <v>-</v>
      </c>
      <c r="C576" s="30" t="str">
        <f>IF(BID!$L584=FALSE,BID!C584,"-")</f>
        <v>-</v>
      </c>
      <c r="D576" s="114" t="str">
        <f>IF(BID!$L584=FALSE,BID!D584,"-")</f>
        <v>-</v>
      </c>
    </row>
    <row r="577" spans="1:4" x14ac:dyDescent="0.25">
      <c r="A577" s="438" t="str">
        <f>IF(BID!$L585=FALSE,BID!A585,"-")</f>
        <v>-</v>
      </c>
      <c r="B577" s="114" t="str">
        <f>IF(BID!$L585=FALSE,BID!B585,"-")</f>
        <v>-</v>
      </c>
      <c r="C577" s="30" t="str">
        <f>IF(BID!$L585=FALSE,BID!C585,"-")</f>
        <v>-</v>
      </c>
      <c r="D577" s="114" t="str">
        <f>IF(BID!$L585=FALSE,BID!D585,"-")</f>
        <v>-</v>
      </c>
    </row>
    <row r="578" spans="1:4" x14ac:dyDescent="0.25">
      <c r="A578" s="438" t="str">
        <f>IF(BID!$L586=FALSE,BID!A586,"-")</f>
        <v>-</v>
      </c>
      <c r="B578" s="114" t="str">
        <f>IF(BID!$L586=FALSE,BID!B586,"-")</f>
        <v>-</v>
      </c>
      <c r="C578" s="30" t="str">
        <f>IF(BID!$L586=FALSE,BID!C586,"-")</f>
        <v>-</v>
      </c>
      <c r="D578" s="114" t="str">
        <f>IF(BID!$L586=FALSE,BID!D586,"-")</f>
        <v>-</v>
      </c>
    </row>
    <row r="579" spans="1:4" x14ac:dyDescent="0.25">
      <c r="A579" s="438" t="str">
        <f>IF(BID!$L587=FALSE,BID!A587,"-")</f>
        <v>-</v>
      </c>
      <c r="B579" s="114" t="str">
        <f>IF(BID!$L587=FALSE,BID!B587,"-")</f>
        <v>-</v>
      </c>
      <c r="C579" s="30" t="str">
        <f>IF(BID!$L587=FALSE,BID!C587,"-")</f>
        <v>-</v>
      </c>
      <c r="D579" s="114" t="str">
        <f>IF(BID!$L587=FALSE,BID!D587,"-")</f>
        <v>-</v>
      </c>
    </row>
    <row r="580" spans="1:4" x14ac:dyDescent="0.25">
      <c r="A580" s="438" t="str">
        <f>IF(BID!$L588=FALSE,BID!A588,"-")</f>
        <v>-</v>
      </c>
      <c r="B580" s="114" t="str">
        <f>IF(BID!$L588=FALSE,BID!B588,"-")</f>
        <v>-</v>
      </c>
      <c r="C580" s="30" t="str">
        <f>IF(BID!$L588=FALSE,BID!C588,"-")</f>
        <v>-</v>
      </c>
      <c r="D580" s="114" t="str">
        <f>IF(BID!$L588=FALSE,BID!D588,"-")</f>
        <v>-</v>
      </c>
    </row>
    <row r="581" spans="1:4" x14ac:dyDescent="0.25">
      <c r="A581" s="438" t="str">
        <f>IF(BID!$L589=FALSE,BID!A589,"-")</f>
        <v>-</v>
      </c>
      <c r="B581" s="114" t="str">
        <f>IF(BID!$L589=FALSE,BID!B589,"-")</f>
        <v>-</v>
      </c>
      <c r="C581" s="30" t="str">
        <f>IF(BID!$L589=FALSE,BID!C589,"-")</f>
        <v>-</v>
      </c>
      <c r="D581" s="114" t="str">
        <f>IF(BID!$L589=FALSE,BID!D589,"-")</f>
        <v>-</v>
      </c>
    </row>
    <row r="582" spans="1:4" x14ac:dyDescent="0.25">
      <c r="A582" s="438" t="str">
        <f>IF(BID!$L590=FALSE,BID!A590,"-")</f>
        <v>-</v>
      </c>
      <c r="B582" s="114" t="str">
        <f>IF(BID!$L590=FALSE,BID!B590,"-")</f>
        <v>-</v>
      </c>
      <c r="C582" s="30" t="str">
        <f>IF(BID!$L590=FALSE,BID!C590,"-")</f>
        <v>-</v>
      </c>
      <c r="D582" s="114" t="str">
        <f>IF(BID!$L590=FALSE,BID!D590,"-")</f>
        <v>-</v>
      </c>
    </row>
    <row r="583" spans="1:4" x14ac:dyDescent="0.25">
      <c r="A583" s="438" t="str">
        <f>IF(BID!$L591=FALSE,BID!A591,"-")</f>
        <v>-</v>
      </c>
      <c r="B583" s="114" t="str">
        <f>IF(BID!$L591=FALSE,BID!B591,"-")</f>
        <v>-</v>
      </c>
      <c r="C583" s="30" t="str">
        <f>IF(BID!$L591=FALSE,BID!C591,"-")</f>
        <v>-</v>
      </c>
      <c r="D583" s="114" t="str">
        <f>IF(BID!$L591=FALSE,BID!D591,"-")</f>
        <v>-</v>
      </c>
    </row>
    <row r="584" spans="1:4" x14ac:dyDescent="0.25">
      <c r="A584" s="438" t="str">
        <f>IF(BID!$L592=FALSE,BID!A592,"-")</f>
        <v>-</v>
      </c>
      <c r="B584" s="114" t="str">
        <f>IF(BID!$L592=FALSE,BID!B592,"-")</f>
        <v>-</v>
      </c>
      <c r="C584" s="30" t="str">
        <f>IF(BID!$L592=FALSE,BID!C592,"-")</f>
        <v>-</v>
      </c>
      <c r="D584" s="114" t="str">
        <f>IF(BID!$L592=FALSE,BID!D592,"-")</f>
        <v>-</v>
      </c>
    </row>
    <row r="585" spans="1:4" x14ac:dyDescent="0.25">
      <c r="A585" s="438" t="str">
        <f>IF(BID!$L593=FALSE,BID!A593,"-")</f>
        <v>-</v>
      </c>
      <c r="B585" s="114" t="str">
        <f>IF(BID!$L593=FALSE,BID!B593,"-")</f>
        <v>-</v>
      </c>
      <c r="C585" s="30" t="str">
        <f>IF(BID!$L593=FALSE,BID!C593,"-")</f>
        <v>-</v>
      </c>
      <c r="D585" s="114" t="str">
        <f>IF(BID!$L593=FALSE,BID!D593,"-")</f>
        <v>-</v>
      </c>
    </row>
    <row r="586" spans="1:4" x14ac:dyDescent="0.25">
      <c r="A586" s="438" t="str">
        <f>IF(BID!$L594=FALSE,BID!A594,"-")</f>
        <v>-</v>
      </c>
      <c r="B586" s="114" t="str">
        <f>IF(BID!$L594=FALSE,BID!B594,"-")</f>
        <v>-</v>
      </c>
      <c r="C586" s="30" t="str">
        <f>IF(BID!$L594=FALSE,BID!C594,"-")</f>
        <v>-</v>
      </c>
      <c r="D586" s="114" t="str">
        <f>IF(BID!$L594=FALSE,BID!D594,"-")</f>
        <v>-</v>
      </c>
    </row>
    <row r="587" spans="1:4" x14ac:dyDescent="0.25">
      <c r="A587" s="438" t="str">
        <f>IF(BID!$L595=FALSE,BID!A595,"-")</f>
        <v>-</v>
      </c>
      <c r="B587" s="114" t="str">
        <f>IF(BID!$L595=FALSE,BID!B595,"-")</f>
        <v>-</v>
      </c>
      <c r="C587" s="30" t="str">
        <f>IF(BID!$L595=FALSE,BID!C595,"-")</f>
        <v>-</v>
      </c>
      <c r="D587" s="114" t="str">
        <f>IF(BID!$L595=FALSE,BID!D595,"-")</f>
        <v>-</v>
      </c>
    </row>
    <row r="588" spans="1:4" x14ac:dyDescent="0.25">
      <c r="A588" s="438">
        <f>IF(BID!$L596=FALSE,BID!A596,"-")</f>
        <v>0</v>
      </c>
      <c r="B588" s="114">
        <f>IF(BID!$L596=FALSE,BID!B596,"-")</f>
        <v>0</v>
      </c>
      <c r="C588" s="30">
        <f>IF(BID!$L596=FALSE,BID!C596,"-")</f>
        <v>0</v>
      </c>
      <c r="D588" s="114">
        <f>IF(BID!$L596=FALSE,BID!D596,"-")</f>
        <v>0</v>
      </c>
    </row>
    <row r="589" spans="1:4" x14ac:dyDescent="0.25">
      <c r="A589" s="438">
        <f>IF(BID!$L597=FALSE,BID!A597,"-")</f>
        <v>0</v>
      </c>
      <c r="B589" s="114">
        <f>IF(BID!$L597=FALSE,BID!B597,"-")</f>
        <v>0</v>
      </c>
      <c r="C589" s="30">
        <f>IF(BID!$L597=FALSE,BID!C597,"-")</f>
        <v>0</v>
      </c>
      <c r="D589" s="114">
        <f>IF(BID!$L597=FALSE,BID!D597,"-")</f>
        <v>0</v>
      </c>
    </row>
    <row r="590" spans="1:4" x14ac:dyDescent="0.25">
      <c r="A590" s="438" t="str">
        <f>IF(BID!$L598=FALSE,BID!A598,"-")</f>
        <v>LOT 12</v>
      </c>
      <c r="B590" s="114" t="str">
        <f>IF(BID!$L598=FALSE,BID!B598,"-")</f>
        <v>ANTI-CANCER DRUGS</v>
      </c>
      <c r="C590" s="30">
        <f>IF(BID!$L598=FALSE,BID!C598,"-")</f>
        <v>0</v>
      </c>
      <c r="D590" s="114">
        <f>IF(BID!$L598=FALSE,BID!D598,"-")</f>
        <v>0</v>
      </c>
    </row>
    <row r="591" spans="1:4" x14ac:dyDescent="0.25">
      <c r="A591" s="438" t="str">
        <f>IF(BID!$L599=FALSE,BID!A599,"-")</f>
        <v>-</v>
      </c>
      <c r="B591" s="114" t="str">
        <f>IF(BID!$L599=FALSE,BID!B599,"-")</f>
        <v>-</v>
      </c>
      <c r="C591" s="30" t="str">
        <f>IF(BID!$L599=FALSE,BID!C599,"-")</f>
        <v>-</v>
      </c>
      <c r="D591" s="114" t="str">
        <f>IF(BID!$L599=FALSE,BID!D599,"-")</f>
        <v>-</v>
      </c>
    </row>
    <row r="592" spans="1:4" x14ac:dyDescent="0.25">
      <c r="A592" s="438">
        <f>IF(BID!$L600=FALSE,BID!A600,"-")</f>
        <v>540</v>
      </c>
      <c r="B592" s="114" t="str">
        <f>IF(BID!$L600=FALSE,BID!B600,"-")</f>
        <v>ANASTROZOLE 1MG TAB</v>
      </c>
      <c r="C592" s="30">
        <f>IF(BID!$L600=FALSE,BID!C600,"-")</f>
        <v>30</v>
      </c>
      <c r="D592" s="114">
        <f>IF(BID!$L600=FALSE,BID!D600,"-")</f>
        <v>11</v>
      </c>
    </row>
    <row r="593" spans="1:4" x14ac:dyDescent="0.25">
      <c r="A593" s="438" t="str">
        <f>IF(BID!$L601=FALSE,BID!A601,"-")</f>
        <v>-</v>
      </c>
      <c r="B593" s="114" t="str">
        <f>IF(BID!$L601=FALSE,BID!B601,"-")</f>
        <v>-</v>
      </c>
      <c r="C593" s="30" t="str">
        <f>IF(BID!$L601=FALSE,BID!C601,"-")</f>
        <v>-</v>
      </c>
      <c r="D593" s="114" t="str">
        <f>IF(BID!$L601=FALSE,BID!D601,"-")</f>
        <v>-</v>
      </c>
    </row>
    <row r="594" spans="1:4" x14ac:dyDescent="0.25">
      <c r="A594" s="438" t="str">
        <f>IF(BID!$L602=FALSE,BID!A602,"-")</f>
        <v>-</v>
      </c>
      <c r="B594" s="114" t="str">
        <f>IF(BID!$L602=FALSE,BID!B602,"-")</f>
        <v>-</v>
      </c>
      <c r="C594" s="30" t="str">
        <f>IF(BID!$L602=FALSE,BID!C602,"-")</f>
        <v>-</v>
      </c>
      <c r="D594" s="114" t="str">
        <f>IF(BID!$L602=FALSE,BID!D602,"-")</f>
        <v>-</v>
      </c>
    </row>
    <row r="595" spans="1:4" x14ac:dyDescent="0.25">
      <c r="A595" s="438" t="str">
        <f>IF(BID!$L603=FALSE,BID!A603,"-")</f>
        <v>-</v>
      </c>
      <c r="B595" s="114" t="str">
        <f>IF(BID!$L603=FALSE,BID!B603,"-")</f>
        <v>-</v>
      </c>
      <c r="C595" s="30" t="str">
        <f>IF(BID!$L603=FALSE,BID!C603,"-")</f>
        <v>-</v>
      </c>
      <c r="D595" s="114" t="str">
        <f>IF(BID!$L603=FALSE,BID!D603,"-")</f>
        <v>-</v>
      </c>
    </row>
    <row r="596" spans="1:4" x14ac:dyDescent="0.25">
      <c r="A596" s="438">
        <f>IF(BID!$L604=FALSE,BID!A604,"-")</f>
        <v>544</v>
      </c>
      <c r="B596" s="114" t="str">
        <f>IF(BID!$L604=FALSE,BID!B604,"-")</f>
        <v>CHLORAMBUCIL 2MG TAB</v>
      </c>
      <c r="C596" s="30">
        <f>IF(BID!$L604=FALSE,BID!C604,"-")</f>
        <v>50</v>
      </c>
      <c r="D596" s="114">
        <f>IF(BID!$L604=FALSE,BID!D604,"-")</f>
        <v>10</v>
      </c>
    </row>
    <row r="597" spans="1:4" x14ac:dyDescent="0.25">
      <c r="A597" s="438" t="str">
        <f>IF(BID!$L605=FALSE,BID!A605,"-")</f>
        <v>-</v>
      </c>
      <c r="B597" s="114" t="str">
        <f>IF(BID!$L605=FALSE,BID!B605,"-")</f>
        <v>-</v>
      </c>
      <c r="C597" s="30" t="str">
        <f>IF(BID!$L605=FALSE,BID!C605,"-")</f>
        <v>-</v>
      </c>
      <c r="D597" s="114" t="str">
        <f>IF(BID!$L605=FALSE,BID!D605,"-")</f>
        <v>-</v>
      </c>
    </row>
    <row r="598" spans="1:4" x14ac:dyDescent="0.25">
      <c r="A598" s="438" t="str">
        <f>IF(BID!$L606=FALSE,BID!A606,"-")</f>
        <v>-</v>
      </c>
      <c r="B598" s="114" t="str">
        <f>IF(BID!$L606=FALSE,BID!B606,"-")</f>
        <v>-</v>
      </c>
      <c r="C598" s="30" t="str">
        <f>IF(BID!$L606=FALSE,BID!C606,"-")</f>
        <v>-</v>
      </c>
      <c r="D598" s="114" t="str">
        <f>IF(BID!$L606=FALSE,BID!D606,"-")</f>
        <v>-</v>
      </c>
    </row>
    <row r="599" spans="1:4" x14ac:dyDescent="0.25">
      <c r="A599" s="438">
        <f>IF(BID!$L607=FALSE,BID!A607,"-")</f>
        <v>547</v>
      </c>
      <c r="B599" s="114" t="str">
        <f>IF(BID!$L607=FALSE,BID!B607,"-")</f>
        <v>CYCLOPHOSPHAMIDE 50MG TAB</v>
      </c>
      <c r="C599" s="30">
        <f>IF(BID!$L607=FALSE,BID!C607,"-")</f>
        <v>100</v>
      </c>
      <c r="D599" s="114">
        <f>IF(BID!$L607=FALSE,BID!D607,"-")</f>
        <v>20</v>
      </c>
    </row>
    <row r="600" spans="1:4" x14ac:dyDescent="0.25">
      <c r="A600" s="438" t="str">
        <f>IF(BID!$L608=FALSE,BID!A608,"-")</f>
        <v>-</v>
      </c>
      <c r="B600" s="114" t="str">
        <f>IF(BID!$L608=FALSE,BID!B608,"-")</f>
        <v>-</v>
      </c>
      <c r="C600" s="30" t="str">
        <f>IF(BID!$L608=FALSE,BID!C608,"-")</f>
        <v>-</v>
      </c>
      <c r="D600" s="114" t="str">
        <f>IF(BID!$L608=FALSE,BID!D608,"-")</f>
        <v>-</v>
      </c>
    </row>
    <row r="601" spans="1:4" x14ac:dyDescent="0.25">
      <c r="A601" s="438" t="str">
        <f>IF(BID!$L609=FALSE,BID!A609,"-")</f>
        <v>-</v>
      </c>
      <c r="B601" s="114" t="str">
        <f>IF(BID!$L609=FALSE,BID!B609,"-")</f>
        <v>-</v>
      </c>
      <c r="C601" s="30" t="str">
        <f>IF(BID!$L609=FALSE,BID!C609,"-")</f>
        <v>-</v>
      </c>
      <c r="D601" s="114" t="str">
        <f>IF(BID!$L609=FALSE,BID!D609,"-")</f>
        <v>-</v>
      </c>
    </row>
    <row r="602" spans="1:4" x14ac:dyDescent="0.25">
      <c r="A602" s="438" t="str">
        <f>IF(BID!$L610=FALSE,BID!A610,"-")</f>
        <v>-</v>
      </c>
      <c r="B602" s="114" t="str">
        <f>IF(BID!$L610=FALSE,BID!B610,"-")</f>
        <v>-</v>
      </c>
      <c r="C602" s="30" t="str">
        <f>IF(BID!$L610=FALSE,BID!C610,"-")</f>
        <v>-</v>
      </c>
      <c r="D602" s="114" t="str">
        <f>IF(BID!$L610=FALSE,BID!D610,"-")</f>
        <v>-</v>
      </c>
    </row>
    <row r="603" spans="1:4" x14ac:dyDescent="0.25">
      <c r="A603" s="438" t="str">
        <f>IF(BID!$L611=FALSE,BID!A611,"-")</f>
        <v>-</v>
      </c>
      <c r="B603" s="114" t="str">
        <f>IF(BID!$L611=FALSE,BID!B611,"-")</f>
        <v>-</v>
      </c>
      <c r="C603" s="30" t="str">
        <f>IF(BID!$L611=FALSE,BID!C611,"-")</f>
        <v>-</v>
      </c>
      <c r="D603" s="114" t="str">
        <f>IF(BID!$L611=FALSE,BID!D611,"-")</f>
        <v>-</v>
      </c>
    </row>
    <row r="604" spans="1:4" x14ac:dyDescent="0.25">
      <c r="A604" s="438" t="str">
        <f>IF(BID!$L612=FALSE,BID!A612,"-")</f>
        <v>-</v>
      </c>
      <c r="B604" s="114" t="str">
        <f>IF(BID!$L612=FALSE,BID!B612,"-")</f>
        <v>-</v>
      </c>
      <c r="C604" s="30" t="str">
        <f>IF(BID!$L612=FALSE,BID!C612,"-")</f>
        <v>-</v>
      </c>
      <c r="D604" s="114" t="str">
        <f>IF(BID!$L612=FALSE,BID!D612,"-")</f>
        <v>-</v>
      </c>
    </row>
    <row r="605" spans="1:4" x14ac:dyDescent="0.25">
      <c r="A605" s="438" t="str">
        <f>IF(BID!$L613=FALSE,BID!A613,"-")</f>
        <v>-</v>
      </c>
      <c r="B605" s="114" t="str">
        <f>IF(BID!$L613=FALSE,BID!B613,"-")</f>
        <v>-</v>
      </c>
      <c r="C605" s="30" t="str">
        <f>IF(BID!$L613=FALSE,BID!C613,"-")</f>
        <v>-</v>
      </c>
      <c r="D605" s="114" t="str">
        <f>IF(BID!$L613=FALSE,BID!D613,"-")</f>
        <v>-</v>
      </c>
    </row>
    <row r="606" spans="1:4" x14ac:dyDescent="0.25">
      <c r="A606" s="438" t="str">
        <f>IF(BID!$L614=FALSE,BID!A614,"-")</f>
        <v>-</v>
      </c>
      <c r="B606" s="114" t="str">
        <f>IF(BID!$L614=FALSE,BID!B614,"-")</f>
        <v>-</v>
      </c>
      <c r="C606" s="30" t="str">
        <f>IF(BID!$L614=FALSE,BID!C614,"-")</f>
        <v>-</v>
      </c>
      <c r="D606" s="114" t="str">
        <f>IF(BID!$L614=FALSE,BID!D614,"-")</f>
        <v>-</v>
      </c>
    </row>
    <row r="607" spans="1:4" x14ac:dyDescent="0.25">
      <c r="A607" s="438" t="str">
        <f>IF(BID!$L615=FALSE,BID!A615,"-")</f>
        <v>-</v>
      </c>
      <c r="B607" s="114" t="str">
        <f>IF(BID!$L615=FALSE,BID!B615,"-")</f>
        <v>-</v>
      </c>
      <c r="C607" s="30" t="str">
        <f>IF(BID!$L615=FALSE,BID!C615,"-")</f>
        <v>-</v>
      </c>
      <c r="D607" s="114" t="str">
        <f>IF(BID!$L615=FALSE,BID!D615,"-")</f>
        <v>-</v>
      </c>
    </row>
    <row r="608" spans="1:4" x14ac:dyDescent="0.25">
      <c r="A608" s="438" t="str">
        <f>IF(BID!$L616=FALSE,BID!A616,"-")</f>
        <v>-</v>
      </c>
      <c r="B608" s="114" t="str">
        <f>IF(BID!$L616=FALSE,BID!B616,"-")</f>
        <v>-</v>
      </c>
      <c r="C608" s="30" t="str">
        <f>IF(BID!$L616=FALSE,BID!C616,"-")</f>
        <v>-</v>
      </c>
      <c r="D608" s="114" t="str">
        <f>IF(BID!$L616=FALSE,BID!D616,"-")</f>
        <v>-</v>
      </c>
    </row>
    <row r="609" spans="1:4" x14ac:dyDescent="0.25">
      <c r="A609" s="438">
        <f>IF(BID!$L617=FALSE,BID!A617,"-")</f>
        <v>557</v>
      </c>
      <c r="B609" s="114" t="str">
        <f>IF(BID!$L617=FALSE,BID!B617,"-")</f>
        <v>IFOSFAMIDE 2G</v>
      </c>
      <c r="C609" s="30" t="str">
        <f>IF(BID!$L617=FALSE,BID!C617,"-")</f>
        <v>VIAL</v>
      </c>
      <c r="D609" s="114">
        <f>IF(BID!$L617=FALSE,BID!D617,"-")</f>
        <v>20</v>
      </c>
    </row>
    <row r="610" spans="1:4" x14ac:dyDescent="0.25">
      <c r="A610" s="438">
        <f>IF(BID!$L618=FALSE,BID!A618,"-")</f>
        <v>558</v>
      </c>
      <c r="B610" s="114" t="str">
        <f>IF(BID!$L618=FALSE,BID!B618,"-")</f>
        <v>IFOSFAMIDE 1G</v>
      </c>
      <c r="C610" s="30" t="str">
        <f>IF(BID!$L618=FALSE,BID!C618,"-")</f>
        <v>VIAL</v>
      </c>
      <c r="D610" s="114">
        <f>IF(BID!$L618=FALSE,BID!D618,"-")</f>
        <v>20</v>
      </c>
    </row>
    <row r="611" spans="1:4" x14ac:dyDescent="0.25">
      <c r="A611" s="438" t="str">
        <f>IF(BID!$L619=FALSE,BID!A619,"-")</f>
        <v>-</v>
      </c>
      <c r="B611" s="114" t="str">
        <f>IF(BID!$L619=FALSE,BID!B619,"-")</f>
        <v>-</v>
      </c>
      <c r="C611" s="30" t="str">
        <f>IF(BID!$L619=FALSE,BID!C619,"-")</f>
        <v>-</v>
      </c>
      <c r="D611" s="114" t="str">
        <f>IF(BID!$L619=FALSE,BID!D619,"-")</f>
        <v>-</v>
      </c>
    </row>
    <row r="612" spans="1:4" x14ac:dyDescent="0.25">
      <c r="A612" s="438">
        <f>IF(BID!$L620=FALSE,BID!A620,"-")</f>
        <v>560</v>
      </c>
      <c r="B612" s="114" t="str">
        <f>IF(BID!$L620=FALSE,BID!B620,"-")</f>
        <v>MEGESTROL ACETATE 20MG TAB</v>
      </c>
      <c r="C612" s="30">
        <f>IF(BID!$L620=FALSE,BID!C620,"-")</f>
        <v>30</v>
      </c>
      <c r="D612" s="114">
        <f>IF(BID!$L620=FALSE,BID!D620,"-")</f>
        <v>11</v>
      </c>
    </row>
    <row r="613" spans="1:4" x14ac:dyDescent="0.25">
      <c r="A613" s="438" t="str">
        <f>IF(BID!$L621=FALSE,BID!A621,"-")</f>
        <v>-</v>
      </c>
      <c r="B613" s="114" t="str">
        <f>IF(BID!$L621=FALSE,BID!B621,"-")</f>
        <v>-</v>
      </c>
      <c r="C613" s="30" t="str">
        <f>IF(BID!$L621=FALSE,BID!C621,"-")</f>
        <v>-</v>
      </c>
      <c r="D613" s="114" t="str">
        <f>IF(BID!$L621=FALSE,BID!D621,"-")</f>
        <v>-</v>
      </c>
    </row>
    <row r="614" spans="1:4" x14ac:dyDescent="0.25">
      <c r="A614" s="438" t="str">
        <f>IF(BID!$L622=FALSE,BID!A622,"-")</f>
        <v>-</v>
      </c>
      <c r="B614" s="114" t="str">
        <f>IF(BID!$L622=FALSE,BID!B622,"-")</f>
        <v>-</v>
      </c>
      <c r="C614" s="30" t="str">
        <f>IF(BID!$L622=FALSE,BID!C622,"-")</f>
        <v>-</v>
      </c>
      <c r="D614" s="114" t="str">
        <f>IF(BID!$L622=FALSE,BID!D622,"-")</f>
        <v>-</v>
      </c>
    </row>
    <row r="615" spans="1:4" x14ac:dyDescent="0.25">
      <c r="A615" s="438" t="str">
        <f>IF(BID!$L623=FALSE,BID!A623,"-")</f>
        <v>-</v>
      </c>
      <c r="B615" s="114" t="str">
        <f>IF(BID!$L623=FALSE,BID!B623,"-")</f>
        <v>-</v>
      </c>
      <c r="C615" s="30" t="str">
        <f>IF(BID!$L623=FALSE,BID!C623,"-")</f>
        <v>-</v>
      </c>
      <c r="D615" s="114" t="str">
        <f>IF(BID!$L623=FALSE,BID!D623,"-")</f>
        <v>-</v>
      </c>
    </row>
    <row r="616" spans="1:4" x14ac:dyDescent="0.25">
      <c r="A616" s="438">
        <f>IF(BID!$L624=FALSE,BID!A624,"-")</f>
        <v>564</v>
      </c>
      <c r="B616" s="114" t="str">
        <f>IF(BID!$L624=FALSE,BID!B624,"-")</f>
        <v>RISENDRONATE TAB</v>
      </c>
      <c r="C616" s="30">
        <f>IF(BID!$L624=FALSE,BID!C624,"-")</f>
        <v>30</v>
      </c>
      <c r="D616" s="114">
        <f>IF(BID!$L624=FALSE,BID!D624,"-")</f>
        <v>35</v>
      </c>
    </row>
    <row r="617" spans="1:4" x14ac:dyDescent="0.25">
      <c r="A617" s="438" t="str">
        <f>IF(BID!$L625=FALSE,BID!A625,"-")</f>
        <v>-</v>
      </c>
      <c r="B617" s="114" t="str">
        <f>IF(BID!$L625=FALSE,BID!B625,"-")</f>
        <v>-</v>
      </c>
      <c r="C617" s="30" t="str">
        <f>IF(BID!$L625=FALSE,BID!C625,"-")</f>
        <v>-</v>
      </c>
      <c r="D617" s="114" t="str">
        <f>IF(BID!$L625=FALSE,BID!D625,"-")</f>
        <v>-</v>
      </c>
    </row>
    <row r="618" spans="1:4" x14ac:dyDescent="0.25">
      <c r="A618" s="438" t="str">
        <f>IF(BID!$L626=FALSE,BID!A626,"-")</f>
        <v>-</v>
      </c>
      <c r="B618" s="114" t="str">
        <f>IF(BID!$L626=FALSE,BID!B626,"-")</f>
        <v>-</v>
      </c>
      <c r="C618" s="30" t="str">
        <f>IF(BID!$L626=FALSE,BID!C626,"-")</f>
        <v>-</v>
      </c>
      <c r="D618" s="114" t="str">
        <f>IF(BID!$L626=FALSE,BID!D626,"-")</f>
        <v>-</v>
      </c>
    </row>
    <row r="619" spans="1:4" x14ac:dyDescent="0.25">
      <c r="A619" s="438">
        <f>IF(BID!$L627=FALSE,BID!A627,"-")</f>
        <v>567</v>
      </c>
      <c r="B619" s="114" t="str">
        <f>IF(BID!$L627=FALSE,BID!B627,"-")</f>
        <v>TRIAMCINOLONE INJ</v>
      </c>
      <c r="C619" s="30">
        <f>IF(BID!$L627=FALSE,BID!C627,"-")</f>
        <v>10</v>
      </c>
      <c r="D619" s="114">
        <f>IF(BID!$L627=FALSE,BID!D627,"-")</f>
        <v>4</v>
      </c>
    </row>
    <row r="620" spans="1:4" x14ac:dyDescent="0.25">
      <c r="A620" s="438">
        <f>IF(BID!$L628=FALSE,BID!A628,"-")</f>
        <v>568</v>
      </c>
      <c r="B620" s="114" t="str">
        <f>IF(BID!$L628=FALSE,BID!B628,"-")</f>
        <v>VINBLASTINE 10MG INJ</v>
      </c>
      <c r="C620" s="30">
        <f>IF(BID!$L628=FALSE,BID!C628,"-")</f>
        <v>10</v>
      </c>
      <c r="D620" s="114">
        <f>IF(BID!$L628=FALSE,BID!D628,"-")</f>
        <v>5</v>
      </c>
    </row>
    <row r="621" spans="1:4" x14ac:dyDescent="0.25">
      <c r="A621" s="438" t="str">
        <f>IF(BID!$L629=FALSE,BID!A629,"-")</f>
        <v>-</v>
      </c>
      <c r="B621" s="114" t="str">
        <f>IF(BID!$L629=FALSE,BID!B629,"-")</f>
        <v>-</v>
      </c>
      <c r="C621" s="30" t="str">
        <f>IF(BID!$L629=FALSE,BID!C629,"-")</f>
        <v>-</v>
      </c>
      <c r="D621" s="114" t="str">
        <f>IF(BID!$L629=FALSE,BID!D629,"-")</f>
        <v>-</v>
      </c>
    </row>
    <row r="622" spans="1:4" x14ac:dyDescent="0.25">
      <c r="A622" s="438">
        <f>IF(BID!$L630=FALSE,BID!A630,"-")</f>
        <v>0</v>
      </c>
      <c r="B622" s="114">
        <f>IF(BID!$L630=FALSE,BID!B630,"-")</f>
        <v>0</v>
      </c>
      <c r="C622" s="30">
        <f>IF(BID!$L630=FALSE,BID!C630,"-")</f>
        <v>0</v>
      </c>
      <c r="D622" s="114">
        <f>IF(BID!$L630=FALSE,BID!D630,"-")</f>
        <v>0</v>
      </c>
    </row>
    <row r="623" spans="1:4" x14ac:dyDescent="0.25">
      <c r="A623" s="438">
        <f>IF(BID!$L631=FALSE,BID!A631,"-")</f>
        <v>0</v>
      </c>
      <c r="B623" s="114">
        <f>IF(BID!$L631=FALSE,BID!B631,"-")</f>
        <v>0</v>
      </c>
      <c r="C623" s="30">
        <f>IF(BID!$L631=FALSE,BID!C631,"-")</f>
        <v>0</v>
      </c>
      <c r="D623" s="114">
        <f>IF(BID!$L631=FALSE,BID!D631,"-")</f>
        <v>0</v>
      </c>
    </row>
    <row r="624" spans="1:4" x14ac:dyDescent="0.25">
      <c r="A624" s="438" t="str">
        <f>IF(BID!$L632=FALSE,BID!A632,"-")</f>
        <v>LOT 13</v>
      </c>
      <c r="B624" s="114" t="str">
        <f>IF(BID!$L632=FALSE,BID!B632,"-")</f>
        <v>DRESSINGS/CONSUMABLES/DISINFECTANTS/OTHERS</v>
      </c>
      <c r="C624" s="30">
        <f>IF(BID!$L632=FALSE,BID!C632,"-")</f>
        <v>0</v>
      </c>
      <c r="D624" s="114">
        <f>IF(BID!$L632=FALSE,BID!D632,"-")</f>
        <v>0</v>
      </c>
    </row>
    <row r="625" spans="1:4" x14ac:dyDescent="0.25">
      <c r="A625" s="438">
        <f>IF(BID!$L633=FALSE,BID!A633,"-")</f>
        <v>0</v>
      </c>
      <c r="B625" s="114" t="str">
        <f>IF(BID!$L633=FALSE,BID!B633,"-")</f>
        <v>DRESSINGS/CONSUMABLES</v>
      </c>
      <c r="C625" s="30">
        <f>IF(BID!$L633=FALSE,BID!C633,"-")</f>
        <v>0</v>
      </c>
      <c r="D625" s="114">
        <f>IF(BID!$L633=FALSE,BID!D633,"-")</f>
        <v>0</v>
      </c>
    </row>
    <row r="626" spans="1:4" x14ac:dyDescent="0.25">
      <c r="A626" s="438" t="str">
        <f>IF(BID!$L634=FALSE,BID!A634,"-")</f>
        <v>-</v>
      </c>
      <c r="B626" s="114" t="str">
        <f>IF(BID!$L634=FALSE,BID!B634,"-")</f>
        <v>-</v>
      </c>
      <c r="C626" s="30" t="str">
        <f>IF(BID!$L634=FALSE,BID!C634,"-")</f>
        <v>-</v>
      </c>
      <c r="D626" s="114" t="str">
        <f>IF(BID!$L634=FALSE,BID!D634,"-")</f>
        <v>-</v>
      </c>
    </row>
    <row r="627" spans="1:4" x14ac:dyDescent="0.25">
      <c r="A627" s="438" t="str">
        <f>IF(BID!$L635=FALSE,BID!A635,"-")</f>
        <v>-</v>
      </c>
      <c r="B627" s="114" t="str">
        <f>IF(BID!$L635=FALSE,BID!B635,"-")</f>
        <v>-</v>
      </c>
      <c r="C627" s="30" t="str">
        <f>IF(BID!$L635=FALSE,BID!C635,"-")</f>
        <v>-</v>
      </c>
      <c r="D627" s="114" t="str">
        <f>IF(BID!$L635=FALSE,BID!D635,"-")</f>
        <v>-</v>
      </c>
    </row>
    <row r="628" spans="1:4" x14ac:dyDescent="0.25">
      <c r="A628" s="438" t="str">
        <f>IF(BID!$L636=FALSE,BID!A636,"-")</f>
        <v>-</v>
      </c>
      <c r="B628" s="114" t="str">
        <f>IF(BID!$L636=FALSE,BID!B636,"-")</f>
        <v>-</v>
      </c>
      <c r="C628" s="30" t="str">
        <f>IF(BID!$L636=FALSE,BID!C636,"-")</f>
        <v>-</v>
      </c>
      <c r="D628" s="114" t="str">
        <f>IF(BID!$L636=FALSE,BID!D636,"-")</f>
        <v>-</v>
      </c>
    </row>
    <row r="629" spans="1:4" x14ac:dyDescent="0.25">
      <c r="A629" s="438" t="str">
        <f>IF(BID!$L637=FALSE,BID!A637,"-")</f>
        <v>-</v>
      </c>
      <c r="B629" s="114" t="str">
        <f>IF(BID!$L637=FALSE,BID!B637,"-")</f>
        <v>-</v>
      </c>
      <c r="C629" s="30" t="str">
        <f>IF(BID!$L637=FALSE,BID!C637,"-")</f>
        <v>-</v>
      </c>
      <c r="D629" s="114" t="str">
        <f>IF(BID!$L637=FALSE,BID!D637,"-")</f>
        <v>-</v>
      </c>
    </row>
    <row r="630" spans="1:4" x14ac:dyDescent="0.25">
      <c r="A630" s="438" t="str">
        <f>IF(BID!$L638=FALSE,BID!A638,"-")</f>
        <v>-</v>
      </c>
      <c r="B630" s="114" t="str">
        <f>IF(BID!$L638=FALSE,BID!B638,"-")</f>
        <v>-</v>
      </c>
      <c r="C630" s="30" t="str">
        <f>IF(BID!$L638=FALSE,BID!C638,"-")</f>
        <v>-</v>
      </c>
      <c r="D630" s="114" t="str">
        <f>IF(BID!$L638=FALSE,BID!D638,"-")</f>
        <v>-</v>
      </c>
    </row>
    <row r="631" spans="1:4" x14ac:dyDescent="0.25">
      <c r="A631" s="438" t="str">
        <f>IF(BID!$L639=FALSE,BID!A639,"-")</f>
        <v>-</v>
      </c>
      <c r="B631" s="114" t="str">
        <f>IF(BID!$L639=FALSE,BID!B639,"-")</f>
        <v>-</v>
      </c>
      <c r="C631" s="30" t="str">
        <f>IF(BID!$L639=FALSE,BID!C639,"-")</f>
        <v>-</v>
      </c>
      <c r="D631" s="114" t="str">
        <f>IF(BID!$L639=FALSE,BID!D639,"-")</f>
        <v>-</v>
      </c>
    </row>
    <row r="632" spans="1:4" x14ac:dyDescent="0.25">
      <c r="A632" s="438" t="str">
        <f>IF(BID!$L640=FALSE,BID!A640,"-")</f>
        <v>-</v>
      </c>
      <c r="B632" s="114" t="str">
        <f>IF(BID!$L640=FALSE,BID!B640,"-")</f>
        <v>-</v>
      </c>
      <c r="C632" s="30" t="str">
        <f>IF(BID!$L640=FALSE,BID!C640,"-")</f>
        <v>-</v>
      </c>
      <c r="D632" s="114" t="str">
        <f>IF(BID!$L640=FALSE,BID!D640,"-")</f>
        <v>-</v>
      </c>
    </row>
    <row r="633" spans="1:4" x14ac:dyDescent="0.25">
      <c r="A633" s="438" t="str">
        <f>IF(BID!$L641=FALSE,BID!A641,"-")</f>
        <v>-</v>
      </c>
      <c r="B633" s="114" t="str">
        <f>IF(BID!$L641=FALSE,BID!B641,"-")</f>
        <v>-</v>
      </c>
      <c r="C633" s="30" t="str">
        <f>IF(BID!$L641=FALSE,BID!C641,"-")</f>
        <v>-</v>
      </c>
      <c r="D633" s="114" t="str">
        <f>IF(BID!$L641=FALSE,BID!D641,"-")</f>
        <v>-</v>
      </c>
    </row>
    <row r="634" spans="1:4" x14ac:dyDescent="0.25">
      <c r="A634" s="438" t="str">
        <f>IF(BID!$L642=FALSE,BID!A642,"-")</f>
        <v>-</v>
      </c>
      <c r="B634" s="114" t="str">
        <f>IF(BID!$L642=FALSE,BID!B642,"-")</f>
        <v>-</v>
      </c>
      <c r="C634" s="30" t="str">
        <f>IF(BID!$L642=FALSE,BID!C642,"-")</f>
        <v>-</v>
      </c>
      <c r="D634" s="114" t="str">
        <f>IF(BID!$L642=FALSE,BID!D642,"-")</f>
        <v>-</v>
      </c>
    </row>
    <row r="635" spans="1:4" x14ac:dyDescent="0.25">
      <c r="A635" s="438" t="str">
        <f>IF(BID!$L643=FALSE,BID!A643,"-")</f>
        <v>-</v>
      </c>
      <c r="B635" s="114" t="str">
        <f>IF(BID!$L643=FALSE,BID!B643,"-")</f>
        <v>-</v>
      </c>
      <c r="C635" s="30" t="str">
        <f>IF(BID!$L643=FALSE,BID!C643,"-")</f>
        <v>-</v>
      </c>
      <c r="D635" s="114" t="str">
        <f>IF(BID!$L643=FALSE,BID!D643,"-")</f>
        <v>-</v>
      </c>
    </row>
    <row r="636" spans="1:4" x14ac:dyDescent="0.25">
      <c r="A636" s="438" t="str">
        <f>IF(BID!$L644=FALSE,BID!A644,"-")</f>
        <v>-</v>
      </c>
      <c r="B636" s="114" t="str">
        <f>IF(BID!$L644=FALSE,BID!B644,"-")</f>
        <v>-</v>
      </c>
      <c r="C636" s="30" t="str">
        <f>IF(BID!$L644=FALSE,BID!C644,"-")</f>
        <v>-</v>
      </c>
      <c r="D636" s="114" t="str">
        <f>IF(BID!$L644=FALSE,BID!D644,"-")</f>
        <v>-</v>
      </c>
    </row>
    <row r="637" spans="1:4" x14ac:dyDescent="0.25">
      <c r="A637" s="438" t="str">
        <f>IF(BID!$L645=FALSE,BID!A645,"-")</f>
        <v>-</v>
      </c>
      <c r="B637" s="114" t="str">
        <f>IF(BID!$L645=FALSE,BID!B645,"-")</f>
        <v>-</v>
      </c>
      <c r="C637" s="30" t="str">
        <f>IF(BID!$L645=FALSE,BID!C645,"-")</f>
        <v>-</v>
      </c>
      <c r="D637" s="114" t="str">
        <f>IF(BID!$L645=FALSE,BID!D645,"-")</f>
        <v>-</v>
      </c>
    </row>
    <row r="638" spans="1:4" x14ac:dyDescent="0.25">
      <c r="A638" s="438" t="str">
        <f>IF(BID!$L646=FALSE,BID!A646,"-")</f>
        <v>-</v>
      </c>
      <c r="B638" s="114" t="str">
        <f>IF(BID!$L646=FALSE,BID!B646,"-")</f>
        <v>-</v>
      </c>
      <c r="C638" s="30" t="str">
        <f>IF(BID!$L646=FALSE,BID!C646,"-")</f>
        <v>-</v>
      </c>
      <c r="D638" s="114" t="str">
        <f>IF(BID!$L646=FALSE,BID!D646,"-")</f>
        <v>-</v>
      </c>
    </row>
    <row r="639" spans="1:4" x14ac:dyDescent="0.25">
      <c r="A639" s="438" t="str">
        <f>IF(BID!$L647=FALSE,BID!A647,"-")</f>
        <v>-</v>
      </c>
      <c r="B639" s="114" t="str">
        <f>IF(BID!$L647=FALSE,BID!B647,"-")</f>
        <v>-</v>
      </c>
      <c r="C639" s="30" t="str">
        <f>IF(BID!$L647=FALSE,BID!C647,"-")</f>
        <v>-</v>
      </c>
      <c r="D639" s="114" t="str">
        <f>IF(BID!$L647=FALSE,BID!D647,"-")</f>
        <v>-</v>
      </c>
    </row>
    <row r="640" spans="1:4" x14ac:dyDescent="0.25">
      <c r="A640" s="438" t="str">
        <f>IF(BID!$L648=FALSE,BID!A648,"-")</f>
        <v>-</v>
      </c>
      <c r="B640" s="114" t="str">
        <f>IF(BID!$L648=FALSE,BID!B648,"-")</f>
        <v>-</v>
      </c>
      <c r="C640" s="30" t="str">
        <f>IF(BID!$L648=FALSE,BID!C648,"-")</f>
        <v>-</v>
      </c>
      <c r="D640" s="114" t="str">
        <f>IF(BID!$L648=FALSE,BID!D648,"-")</f>
        <v>-</v>
      </c>
    </row>
    <row r="641" spans="1:4" x14ac:dyDescent="0.25">
      <c r="A641" s="438" t="str">
        <f>IF(BID!$L649=FALSE,BID!A649,"-")</f>
        <v>-</v>
      </c>
      <c r="B641" s="114" t="str">
        <f>IF(BID!$L649=FALSE,BID!B649,"-")</f>
        <v>-</v>
      </c>
      <c r="C641" s="30" t="str">
        <f>IF(BID!$L649=FALSE,BID!C649,"-")</f>
        <v>-</v>
      </c>
      <c r="D641" s="114" t="str">
        <f>IF(BID!$L649=FALSE,BID!D649,"-")</f>
        <v>-</v>
      </c>
    </row>
    <row r="642" spans="1:4" x14ac:dyDescent="0.25">
      <c r="A642" s="438" t="str">
        <f>IF(BID!$L650=FALSE,BID!A650,"-")</f>
        <v>-</v>
      </c>
      <c r="B642" s="114" t="str">
        <f>IF(BID!$L650=FALSE,BID!B650,"-")</f>
        <v>-</v>
      </c>
      <c r="C642" s="30" t="str">
        <f>IF(BID!$L650=FALSE,BID!C650,"-")</f>
        <v>-</v>
      </c>
      <c r="D642" s="114" t="str">
        <f>IF(BID!$L650=FALSE,BID!D650,"-")</f>
        <v>-</v>
      </c>
    </row>
    <row r="643" spans="1:4" x14ac:dyDescent="0.25">
      <c r="A643" s="438" t="str">
        <f>IF(BID!$L651=FALSE,BID!A651,"-")</f>
        <v>-</v>
      </c>
      <c r="B643" s="114" t="str">
        <f>IF(BID!$L651=FALSE,BID!B651,"-")</f>
        <v>-</v>
      </c>
      <c r="C643" s="30" t="str">
        <f>IF(BID!$L651=FALSE,BID!C651,"-")</f>
        <v>-</v>
      </c>
      <c r="D643" s="114" t="str">
        <f>IF(BID!$L651=FALSE,BID!D651,"-")</f>
        <v>-</v>
      </c>
    </row>
    <row r="644" spans="1:4" x14ac:dyDescent="0.25">
      <c r="A644" s="438" t="str">
        <f>IF(BID!$L652=FALSE,BID!A652,"-")</f>
        <v>-</v>
      </c>
      <c r="B644" s="114" t="str">
        <f>IF(BID!$L652=FALSE,BID!B652,"-")</f>
        <v>-</v>
      </c>
      <c r="C644" s="30" t="str">
        <f>IF(BID!$L652=FALSE,BID!C652,"-")</f>
        <v>-</v>
      </c>
      <c r="D644" s="114" t="str">
        <f>IF(BID!$L652=FALSE,BID!D652,"-")</f>
        <v>-</v>
      </c>
    </row>
    <row r="645" spans="1:4" x14ac:dyDescent="0.25">
      <c r="A645" s="438" t="str">
        <f>IF(BID!$L653=FALSE,BID!A653,"-")</f>
        <v>-</v>
      </c>
      <c r="B645" s="114" t="str">
        <f>IF(BID!$L653=FALSE,BID!B653,"-")</f>
        <v>-</v>
      </c>
      <c r="C645" s="30" t="str">
        <f>IF(BID!$L653=FALSE,BID!C653,"-")</f>
        <v>-</v>
      </c>
      <c r="D645" s="114" t="str">
        <f>IF(BID!$L653=FALSE,BID!D653,"-")</f>
        <v>-</v>
      </c>
    </row>
    <row r="646" spans="1:4" x14ac:dyDescent="0.25">
      <c r="A646" s="438" t="str">
        <f>IF(BID!$L654=FALSE,BID!A654,"-")</f>
        <v>-</v>
      </c>
      <c r="B646" s="114" t="str">
        <f>IF(BID!$L654=FALSE,BID!B654,"-")</f>
        <v>-</v>
      </c>
      <c r="C646" s="30" t="str">
        <f>IF(BID!$L654=FALSE,BID!C654,"-")</f>
        <v>-</v>
      </c>
      <c r="D646" s="114" t="str">
        <f>IF(BID!$L654=FALSE,BID!D654,"-")</f>
        <v>-</v>
      </c>
    </row>
    <row r="647" spans="1:4" x14ac:dyDescent="0.25">
      <c r="A647" s="438" t="str">
        <f>IF(BID!$L655=FALSE,BID!A655,"-")</f>
        <v>-</v>
      </c>
      <c r="B647" s="114" t="str">
        <f>IF(BID!$L655=FALSE,BID!B655,"-")</f>
        <v>-</v>
      </c>
      <c r="C647" s="30" t="str">
        <f>IF(BID!$L655=FALSE,BID!C655,"-")</f>
        <v>-</v>
      </c>
      <c r="D647" s="114" t="str">
        <f>IF(BID!$L655=FALSE,BID!D655,"-")</f>
        <v>-</v>
      </c>
    </row>
    <row r="648" spans="1:4" x14ac:dyDescent="0.25">
      <c r="A648" s="438" t="str">
        <f>IF(BID!$L656=FALSE,BID!A656,"-")</f>
        <v>-</v>
      </c>
      <c r="B648" s="114" t="str">
        <f>IF(BID!$L656=FALSE,BID!B656,"-")</f>
        <v>-</v>
      </c>
      <c r="C648" s="30" t="str">
        <f>IF(BID!$L656=FALSE,BID!C656,"-")</f>
        <v>-</v>
      </c>
      <c r="D648" s="114" t="str">
        <f>IF(BID!$L656=FALSE,BID!D656,"-")</f>
        <v>-</v>
      </c>
    </row>
    <row r="649" spans="1:4" x14ac:dyDescent="0.25">
      <c r="A649" s="438" t="str">
        <f>IF(BID!$L657=FALSE,BID!A657,"-")</f>
        <v>-</v>
      </c>
      <c r="B649" s="114" t="str">
        <f>IF(BID!$L657=FALSE,BID!B657,"-")</f>
        <v>-</v>
      </c>
      <c r="C649" s="30" t="str">
        <f>IF(BID!$L657=FALSE,BID!C657,"-")</f>
        <v>-</v>
      </c>
      <c r="D649" s="114" t="str">
        <f>IF(BID!$L657=FALSE,BID!D657,"-")</f>
        <v>-</v>
      </c>
    </row>
    <row r="650" spans="1:4" x14ac:dyDescent="0.25">
      <c r="A650" s="438" t="str">
        <f>IF(BID!$L658=FALSE,BID!A658,"-")</f>
        <v>-</v>
      </c>
      <c r="B650" s="114" t="str">
        <f>IF(BID!$L658=FALSE,BID!B658,"-")</f>
        <v>-</v>
      </c>
      <c r="C650" s="30" t="str">
        <f>IF(BID!$L658=FALSE,BID!C658,"-")</f>
        <v>-</v>
      </c>
      <c r="D650" s="114" t="str">
        <f>IF(BID!$L658=FALSE,BID!D658,"-")</f>
        <v>-</v>
      </c>
    </row>
    <row r="651" spans="1:4" x14ac:dyDescent="0.25">
      <c r="A651" s="438" t="str">
        <f>IF(BID!$L659=FALSE,BID!A659,"-")</f>
        <v>-</v>
      </c>
      <c r="B651" s="114" t="str">
        <f>IF(BID!$L659=FALSE,BID!B659,"-")</f>
        <v>-</v>
      </c>
      <c r="C651" s="30" t="str">
        <f>IF(BID!$L659=FALSE,BID!C659,"-")</f>
        <v>-</v>
      </c>
      <c r="D651" s="114" t="str">
        <f>IF(BID!$L659=FALSE,BID!D659,"-")</f>
        <v>-</v>
      </c>
    </row>
    <row r="652" spans="1:4" x14ac:dyDescent="0.25">
      <c r="A652" s="438" t="str">
        <f>IF(BID!$L660=FALSE,BID!A660,"-")</f>
        <v>-</v>
      </c>
      <c r="B652" s="114" t="str">
        <f>IF(BID!$L660=FALSE,BID!B660,"-")</f>
        <v>-</v>
      </c>
      <c r="C652" s="30" t="str">
        <f>IF(BID!$L660=FALSE,BID!C660,"-")</f>
        <v>-</v>
      </c>
      <c r="D652" s="114" t="str">
        <f>IF(BID!$L660=FALSE,BID!D660,"-")</f>
        <v>-</v>
      </c>
    </row>
    <row r="653" spans="1:4" x14ac:dyDescent="0.25">
      <c r="A653" s="438" t="str">
        <f>IF(BID!$L661=FALSE,BID!A661,"-")</f>
        <v>-</v>
      </c>
      <c r="B653" s="114" t="str">
        <f>IF(BID!$L661=FALSE,BID!B661,"-")</f>
        <v>-</v>
      </c>
      <c r="C653" s="30" t="str">
        <f>IF(BID!$L661=FALSE,BID!C661,"-")</f>
        <v>-</v>
      </c>
      <c r="D653" s="114" t="str">
        <f>IF(BID!$L661=FALSE,BID!D661,"-")</f>
        <v>-</v>
      </c>
    </row>
    <row r="654" spans="1:4" x14ac:dyDescent="0.25">
      <c r="A654" s="438" t="str">
        <f>IF(BID!$L662=FALSE,BID!A662,"-")</f>
        <v>-</v>
      </c>
      <c r="B654" s="114" t="str">
        <f>IF(BID!$L662=FALSE,BID!B662,"-")</f>
        <v>-</v>
      </c>
      <c r="C654" s="30" t="str">
        <f>IF(BID!$L662=FALSE,BID!C662,"-")</f>
        <v>-</v>
      </c>
      <c r="D654" s="114" t="str">
        <f>IF(BID!$L662=FALSE,BID!D662,"-")</f>
        <v>-</v>
      </c>
    </row>
    <row r="655" spans="1:4" x14ac:dyDescent="0.25">
      <c r="A655" s="438" t="str">
        <f>IF(BID!$L663=FALSE,BID!A663,"-")</f>
        <v>-</v>
      </c>
      <c r="B655" s="114" t="str">
        <f>IF(BID!$L663=FALSE,BID!B663,"-")</f>
        <v>-</v>
      </c>
      <c r="C655" s="30" t="str">
        <f>IF(BID!$L663=FALSE,BID!C663,"-")</f>
        <v>-</v>
      </c>
      <c r="D655" s="114" t="str">
        <f>IF(BID!$L663=FALSE,BID!D663,"-")</f>
        <v>-</v>
      </c>
    </row>
    <row r="656" spans="1:4" x14ac:dyDescent="0.25">
      <c r="A656" s="438" t="str">
        <f>IF(BID!$L664=FALSE,BID!A664,"-")</f>
        <v>-</v>
      </c>
      <c r="B656" s="114" t="str">
        <f>IF(BID!$L664=FALSE,BID!B664,"-")</f>
        <v>-</v>
      </c>
      <c r="C656" s="30" t="str">
        <f>IF(BID!$L664=FALSE,BID!C664,"-")</f>
        <v>-</v>
      </c>
      <c r="D656" s="114" t="str">
        <f>IF(BID!$L664=FALSE,BID!D664,"-")</f>
        <v>-</v>
      </c>
    </row>
    <row r="657" spans="1:4" x14ac:dyDescent="0.25">
      <c r="A657" s="438" t="str">
        <f>IF(BID!$L665=FALSE,BID!A665,"-")</f>
        <v>-</v>
      </c>
      <c r="B657" s="114" t="str">
        <f>IF(BID!$L665=FALSE,BID!B665,"-")</f>
        <v>-</v>
      </c>
      <c r="C657" s="30" t="str">
        <f>IF(BID!$L665=FALSE,BID!C665,"-")</f>
        <v>-</v>
      </c>
      <c r="D657" s="114" t="str">
        <f>IF(BID!$L665=FALSE,BID!D665,"-")</f>
        <v>-</v>
      </c>
    </row>
    <row r="658" spans="1:4" x14ac:dyDescent="0.25">
      <c r="A658" s="438" t="str">
        <f>IF(BID!$L666=FALSE,BID!A666,"-")</f>
        <v>-</v>
      </c>
      <c r="B658" s="114" t="str">
        <f>IF(BID!$L666=FALSE,BID!B666,"-")</f>
        <v>-</v>
      </c>
      <c r="C658" s="30" t="str">
        <f>IF(BID!$L666=FALSE,BID!C666,"-")</f>
        <v>-</v>
      </c>
      <c r="D658" s="114" t="str">
        <f>IF(BID!$L666=FALSE,BID!D666,"-")</f>
        <v>-</v>
      </c>
    </row>
    <row r="659" spans="1:4" x14ac:dyDescent="0.25">
      <c r="A659" s="438" t="str">
        <f>IF(BID!$L667=FALSE,BID!A667,"-")</f>
        <v>-</v>
      </c>
      <c r="B659" s="114" t="str">
        <f>IF(BID!$L667=FALSE,BID!B667,"-")</f>
        <v>-</v>
      </c>
      <c r="C659" s="30" t="str">
        <f>IF(BID!$L667=FALSE,BID!C667,"-")</f>
        <v>-</v>
      </c>
      <c r="D659" s="114" t="str">
        <f>IF(BID!$L667=FALSE,BID!D667,"-")</f>
        <v>-</v>
      </c>
    </row>
    <row r="660" spans="1:4" x14ac:dyDescent="0.25">
      <c r="A660" s="438" t="str">
        <f>IF(BID!$L668=FALSE,BID!A668,"-")</f>
        <v>-</v>
      </c>
      <c r="B660" s="114" t="str">
        <f>IF(BID!$L668=FALSE,BID!B668,"-")</f>
        <v>-</v>
      </c>
      <c r="C660" s="30" t="str">
        <f>IF(BID!$L668=FALSE,BID!C668,"-")</f>
        <v>-</v>
      </c>
      <c r="D660" s="114" t="str">
        <f>IF(BID!$L668=FALSE,BID!D668,"-")</f>
        <v>-</v>
      </c>
    </row>
    <row r="661" spans="1:4" x14ac:dyDescent="0.25">
      <c r="A661" s="438" t="str">
        <f>IF(BID!$L669=FALSE,BID!A669,"-")</f>
        <v>-</v>
      </c>
      <c r="B661" s="114" t="str">
        <f>IF(BID!$L669=FALSE,BID!B669,"-")</f>
        <v>-</v>
      </c>
      <c r="C661" s="30" t="str">
        <f>IF(BID!$L669=FALSE,BID!C669,"-")</f>
        <v>-</v>
      </c>
      <c r="D661" s="114" t="str">
        <f>IF(BID!$L669=FALSE,BID!D669,"-")</f>
        <v>-</v>
      </c>
    </row>
    <row r="662" spans="1:4" x14ac:dyDescent="0.25">
      <c r="A662" s="438" t="str">
        <f>IF(BID!$L670=FALSE,BID!A670,"-")</f>
        <v>-</v>
      </c>
      <c r="B662" s="114" t="str">
        <f>IF(BID!$L670=FALSE,BID!B670,"-")</f>
        <v>-</v>
      </c>
      <c r="C662" s="30" t="str">
        <f>IF(BID!$L670=FALSE,BID!C670,"-")</f>
        <v>-</v>
      </c>
      <c r="D662" s="114" t="str">
        <f>IF(BID!$L670=FALSE,BID!D670,"-")</f>
        <v>-</v>
      </c>
    </row>
    <row r="663" spans="1:4" x14ac:dyDescent="0.25">
      <c r="A663" s="438">
        <f>IF(BID!$L671=FALSE,BID!A671,"-")</f>
        <v>607</v>
      </c>
      <c r="B663" s="114" t="str">
        <f>IF(BID!$L671=FALSE,BID!B671,"-")</f>
        <v>LUBRICATING GEL 85g</v>
      </c>
      <c r="C663" s="30" t="str">
        <f>IF(BID!$L671=FALSE,BID!C671,"-")</f>
        <v>PCS</v>
      </c>
      <c r="D663" s="114">
        <f>IF(BID!$L671=FALSE,BID!D671,"-")</f>
        <v>500</v>
      </c>
    </row>
    <row r="664" spans="1:4" x14ac:dyDescent="0.25">
      <c r="A664" s="438" t="str">
        <f>IF(BID!$L672=FALSE,BID!A672,"-")</f>
        <v>-</v>
      </c>
      <c r="B664" s="114" t="str">
        <f>IF(BID!$L672=FALSE,BID!B672,"-")</f>
        <v>-</v>
      </c>
      <c r="C664" s="30" t="str">
        <f>IF(BID!$L672=FALSE,BID!C672,"-")</f>
        <v>-</v>
      </c>
      <c r="D664" s="114" t="str">
        <f>IF(BID!$L672=FALSE,BID!D672,"-")</f>
        <v>-</v>
      </c>
    </row>
    <row r="665" spans="1:4" x14ac:dyDescent="0.25">
      <c r="A665" s="438" t="str">
        <f>IF(BID!$L673=FALSE,BID!A673,"-")</f>
        <v>-</v>
      </c>
      <c r="B665" s="114" t="str">
        <f>IF(BID!$L673=FALSE,BID!B673,"-")</f>
        <v>-</v>
      </c>
      <c r="C665" s="30" t="str">
        <f>IF(BID!$L673=FALSE,BID!C673,"-")</f>
        <v>-</v>
      </c>
      <c r="D665" s="114" t="str">
        <f>IF(BID!$L673=FALSE,BID!D673,"-")</f>
        <v>-</v>
      </c>
    </row>
    <row r="666" spans="1:4" x14ac:dyDescent="0.25">
      <c r="A666" s="438" t="str">
        <f>IF(BID!$L674=FALSE,BID!A674,"-")</f>
        <v>-</v>
      </c>
      <c r="B666" s="114" t="str">
        <f>IF(BID!$L674=FALSE,BID!B674,"-")</f>
        <v>-</v>
      </c>
      <c r="C666" s="30" t="str">
        <f>IF(BID!$L674=FALSE,BID!C674,"-")</f>
        <v>-</v>
      </c>
      <c r="D666" s="114" t="str">
        <f>IF(BID!$L674=FALSE,BID!D674,"-")</f>
        <v>-</v>
      </c>
    </row>
    <row r="667" spans="1:4" x14ac:dyDescent="0.25">
      <c r="A667" s="438" t="str">
        <f>IF(BID!$L675=FALSE,BID!A675,"-")</f>
        <v>-</v>
      </c>
      <c r="B667" s="114" t="str">
        <f>IF(BID!$L675=FALSE,BID!B675,"-")</f>
        <v>-</v>
      </c>
      <c r="C667" s="30" t="str">
        <f>IF(BID!$L675=FALSE,BID!C675,"-")</f>
        <v>-</v>
      </c>
      <c r="D667" s="114" t="str">
        <f>IF(BID!$L675=FALSE,BID!D675,"-")</f>
        <v>-</v>
      </c>
    </row>
    <row r="668" spans="1:4" x14ac:dyDescent="0.25">
      <c r="A668" s="438" t="str">
        <f>IF(BID!$L676=FALSE,BID!A676,"-")</f>
        <v>-</v>
      </c>
      <c r="B668" s="114" t="str">
        <f>IF(BID!$L676=FALSE,BID!B676,"-")</f>
        <v>-</v>
      </c>
      <c r="C668" s="30" t="str">
        <f>IF(BID!$L676=FALSE,BID!C676,"-")</f>
        <v>-</v>
      </c>
      <c r="D668" s="114" t="str">
        <f>IF(BID!$L676=FALSE,BID!D676,"-")</f>
        <v>-</v>
      </c>
    </row>
    <row r="669" spans="1:4" x14ac:dyDescent="0.25">
      <c r="A669" s="438" t="str">
        <f>IF(BID!$L677=FALSE,BID!A677,"-")</f>
        <v>-</v>
      </c>
      <c r="B669" s="114" t="str">
        <f>IF(BID!$L677=FALSE,BID!B677,"-")</f>
        <v>-</v>
      </c>
      <c r="C669" s="30" t="str">
        <f>IF(BID!$L677=FALSE,BID!C677,"-")</f>
        <v>-</v>
      </c>
      <c r="D669" s="114" t="str">
        <f>IF(BID!$L677=FALSE,BID!D677,"-")</f>
        <v>-</v>
      </c>
    </row>
    <row r="670" spans="1:4" x14ac:dyDescent="0.25">
      <c r="A670" s="438" t="str">
        <f>IF(BID!$L678=FALSE,BID!A678,"-")</f>
        <v>-</v>
      </c>
      <c r="B670" s="114" t="str">
        <f>IF(BID!$L678=FALSE,BID!B678,"-")</f>
        <v>-</v>
      </c>
      <c r="C670" s="30" t="str">
        <f>IF(BID!$L678=FALSE,BID!C678,"-")</f>
        <v>-</v>
      </c>
      <c r="D670" s="114" t="str">
        <f>IF(BID!$L678=FALSE,BID!D678,"-")</f>
        <v>-</v>
      </c>
    </row>
    <row r="671" spans="1:4" x14ac:dyDescent="0.25">
      <c r="A671" s="438" t="str">
        <f>IF(BID!$L679=FALSE,BID!A679,"-")</f>
        <v>-</v>
      </c>
      <c r="B671" s="114" t="str">
        <f>IF(BID!$L679=FALSE,BID!B679,"-")</f>
        <v>-</v>
      </c>
      <c r="C671" s="30" t="str">
        <f>IF(BID!$L679=FALSE,BID!C679,"-")</f>
        <v>-</v>
      </c>
      <c r="D671" s="114" t="str">
        <f>IF(BID!$L679=FALSE,BID!D679,"-")</f>
        <v>-</v>
      </c>
    </row>
    <row r="672" spans="1:4" x14ac:dyDescent="0.25">
      <c r="A672" s="438" t="str">
        <f>IF(BID!$L680=FALSE,BID!A680,"-")</f>
        <v>-</v>
      </c>
      <c r="B672" s="114" t="str">
        <f>IF(BID!$L680=FALSE,BID!B680,"-")</f>
        <v>-</v>
      </c>
      <c r="C672" s="30" t="str">
        <f>IF(BID!$L680=FALSE,BID!C680,"-")</f>
        <v>-</v>
      </c>
      <c r="D672" s="114" t="str">
        <f>IF(BID!$L680=FALSE,BID!D680,"-")</f>
        <v>-</v>
      </c>
    </row>
    <row r="673" spans="1:4" x14ac:dyDescent="0.25">
      <c r="A673" s="438" t="str">
        <f>IF(BID!$L681=FALSE,BID!A681,"-")</f>
        <v>-</v>
      </c>
      <c r="B673" s="114" t="str">
        <f>IF(BID!$L681=FALSE,BID!B681,"-")</f>
        <v>-</v>
      </c>
      <c r="C673" s="30" t="str">
        <f>IF(BID!$L681=FALSE,BID!C681,"-")</f>
        <v>-</v>
      </c>
      <c r="D673" s="114" t="str">
        <f>IF(BID!$L681=FALSE,BID!D681,"-")</f>
        <v>-</v>
      </c>
    </row>
    <row r="674" spans="1:4" x14ac:dyDescent="0.25">
      <c r="A674" s="438" t="str">
        <f>IF(BID!$L682=FALSE,BID!A682,"-")</f>
        <v>-</v>
      </c>
      <c r="B674" s="114" t="str">
        <f>IF(BID!$L682=FALSE,BID!B682,"-")</f>
        <v>-</v>
      </c>
      <c r="C674" s="30" t="str">
        <f>IF(BID!$L682=FALSE,BID!C682,"-")</f>
        <v>-</v>
      </c>
      <c r="D674" s="114" t="str">
        <f>IF(BID!$L682=FALSE,BID!D682,"-")</f>
        <v>-</v>
      </c>
    </row>
    <row r="675" spans="1:4" x14ac:dyDescent="0.25">
      <c r="A675" s="438">
        <f>IF(BID!$L683=FALSE,BID!A683,"-")</f>
        <v>619</v>
      </c>
      <c r="B675" s="114" t="str">
        <f>IF(BID!$L683=FALSE,BID!B683,"-")</f>
        <v>NOVOTWIST NEEDLE</v>
      </c>
      <c r="C675" s="30">
        <f>IF(BID!$L683=FALSE,BID!C683,"-")</f>
        <v>100</v>
      </c>
      <c r="D675" s="114">
        <f>IF(BID!$L683=FALSE,BID!D683,"-")</f>
        <v>12</v>
      </c>
    </row>
    <row r="676" spans="1:4" x14ac:dyDescent="0.25">
      <c r="A676" s="438" t="str">
        <f>IF(BID!$L684=FALSE,BID!A684,"-")</f>
        <v>-</v>
      </c>
      <c r="B676" s="114" t="str">
        <f>IF(BID!$L684=FALSE,BID!B684,"-")</f>
        <v>-</v>
      </c>
      <c r="C676" s="30" t="str">
        <f>IF(BID!$L684=FALSE,BID!C684,"-")</f>
        <v>-</v>
      </c>
      <c r="D676" s="114" t="str">
        <f>IF(BID!$L684=FALSE,BID!D684,"-")</f>
        <v>-</v>
      </c>
    </row>
    <row r="677" spans="1:4" x14ac:dyDescent="0.25">
      <c r="A677" s="438" t="str">
        <f>IF(BID!$L685=FALSE,BID!A685,"-")</f>
        <v>-</v>
      </c>
      <c r="B677" s="114" t="str">
        <f>IF(BID!$L685=FALSE,BID!B685,"-")</f>
        <v>-</v>
      </c>
      <c r="C677" s="30" t="str">
        <f>IF(BID!$L685=FALSE,BID!C685,"-")</f>
        <v>-</v>
      </c>
      <c r="D677" s="114" t="str">
        <f>IF(BID!$L685=FALSE,BID!D685,"-")</f>
        <v>-</v>
      </c>
    </row>
    <row r="678" spans="1:4" x14ac:dyDescent="0.25">
      <c r="A678" s="438" t="str">
        <f>IF(BID!$L686=FALSE,BID!A686,"-")</f>
        <v>-</v>
      </c>
      <c r="B678" s="114" t="str">
        <f>IF(BID!$L686=FALSE,BID!B686,"-")</f>
        <v>-</v>
      </c>
      <c r="C678" s="30" t="str">
        <f>IF(BID!$L686=FALSE,BID!C686,"-")</f>
        <v>-</v>
      </c>
      <c r="D678" s="114" t="str">
        <f>IF(BID!$L686=FALSE,BID!D686,"-")</f>
        <v>-</v>
      </c>
    </row>
    <row r="679" spans="1:4" x14ac:dyDescent="0.25">
      <c r="A679" s="438" t="str">
        <f>IF(BID!$L687=FALSE,BID!A687,"-")</f>
        <v>-</v>
      </c>
      <c r="B679" s="114" t="str">
        <f>IF(BID!$L687=FALSE,BID!B687,"-")</f>
        <v>-</v>
      </c>
      <c r="C679" s="30" t="str">
        <f>IF(BID!$L687=FALSE,BID!C687,"-")</f>
        <v>-</v>
      </c>
      <c r="D679" s="114" t="str">
        <f>IF(BID!$L687=FALSE,BID!D687,"-")</f>
        <v>-</v>
      </c>
    </row>
    <row r="680" spans="1:4" x14ac:dyDescent="0.25">
      <c r="A680" s="438" t="str">
        <f>IF(BID!$L688=FALSE,BID!A688,"-")</f>
        <v>-</v>
      </c>
      <c r="B680" s="114" t="str">
        <f>IF(BID!$L688=FALSE,BID!B688,"-")</f>
        <v>-</v>
      </c>
      <c r="C680" s="30" t="str">
        <f>IF(BID!$L688=FALSE,BID!C688,"-")</f>
        <v>-</v>
      </c>
      <c r="D680" s="114" t="str">
        <f>IF(BID!$L688=FALSE,BID!D688,"-")</f>
        <v>-</v>
      </c>
    </row>
    <row r="681" spans="1:4" x14ac:dyDescent="0.25">
      <c r="A681" s="438" t="str">
        <f>IF(BID!$L689=FALSE,BID!A689,"-")</f>
        <v>-</v>
      </c>
      <c r="B681" s="114" t="str">
        <f>IF(BID!$L689=FALSE,BID!B689,"-")</f>
        <v>-</v>
      </c>
      <c r="C681" s="30" t="str">
        <f>IF(BID!$L689=FALSE,BID!C689,"-")</f>
        <v>-</v>
      </c>
      <c r="D681" s="114" t="str">
        <f>IF(BID!$L689=FALSE,BID!D689,"-")</f>
        <v>-</v>
      </c>
    </row>
    <row r="682" spans="1:4" x14ac:dyDescent="0.25">
      <c r="A682" s="438" t="str">
        <f>IF(BID!$L690=FALSE,BID!A690,"-")</f>
        <v>-</v>
      </c>
      <c r="B682" s="114" t="str">
        <f>IF(BID!$L690=FALSE,BID!B690,"-")</f>
        <v>-</v>
      </c>
      <c r="C682" s="30" t="str">
        <f>IF(BID!$L690=FALSE,BID!C690,"-")</f>
        <v>-</v>
      </c>
      <c r="D682" s="114" t="str">
        <f>IF(BID!$L690=FALSE,BID!D690,"-")</f>
        <v>-</v>
      </c>
    </row>
    <row r="683" spans="1:4" x14ac:dyDescent="0.25">
      <c r="A683" s="438" t="str">
        <f>IF(BID!$L691=FALSE,BID!A691,"-")</f>
        <v>-</v>
      </c>
      <c r="B683" s="114" t="str">
        <f>IF(BID!$L691=FALSE,BID!B691,"-")</f>
        <v>-</v>
      </c>
      <c r="C683" s="30" t="str">
        <f>IF(BID!$L691=FALSE,BID!C691,"-")</f>
        <v>-</v>
      </c>
      <c r="D683" s="114" t="str">
        <f>IF(BID!$L691=FALSE,BID!D691,"-")</f>
        <v>-</v>
      </c>
    </row>
    <row r="684" spans="1:4" x14ac:dyDescent="0.25">
      <c r="A684" s="438" t="str">
        <f>IF(BID!$L692=FALSE,BID!A692,"-")</f>
        <v>-</v>
      </c>
      <c r="B684" s="114" t="str">
        <f>IF(BID!$L692=FALSE,BID!B692,"-")</f>
        <v>-</v>
      </c>
      <c r="C684" s="30" t="str">
        <f>IF(BID!$L692=FALSE,BID!C692,"-")</f>
        <v>-</v>
      </c>
      <c r="D684" s="114" t="str">
        <f>IF(BID!$L692=FALSE,BID!D692,"-")</f>
        <v>-</v>
      </c>
    </row>
    <row r="685" spans="1:4" x14ac:dyDescent="0.25">
      <c r="A685" s="438" t="str">
        <f>IF(BID!$L693=FALSE,BID!A693,"-")</f>
        <v>-</v>
      </c>
      <c r="B685" s="114" t="str">
        <f>IF(BID!$L693=FALSE,BID!B693,"-")</f>
        <v>-</v>
      </c>
      <c r="C685" s="30" t="str">
        <f>IF(BID!$L693=FALSE,BID!C693,"-")</f>
        <v>-</v>
      </c>
      <c r="D685" s="114" t="str">
        <f>IF(BID!$L693=FALSE,BID!D693,"-")</f>
        <v>-</v>
      </c>
    </row>
    <row r="686" spans="1:4" x14ac:dyDescent="0.25">
      <c r="A686" s="438" t="str">
        <f>IF(BID!$L694=FALSE,BID!A694,"-")</f>
        <v>-</v>
      </c>
      <c r="B686" s="114" t="str">
        <f>IF(BID!$L694=FALSE,BID!B694,"-")</f>
        <v>-</v>
      </c>
      <c r="C686" s="30" t="str">
        <f>IF(BID!$L694=FALSE,BID!C694,"-")</f>
        <v>-</v>
      </c>
      <c r="D686" s="114" t="str">
        <f>IF(BID!$L694=FALSE,BID!D694,"-")</f>
        <v>-</v>
      </c>
    </row>
    <row r="687" spans="1:4" x14ac:dyDescent="0.25">
      <c r="A687" s="438" t="str">
        <f>IF(BID!$L695=FALSE,BID!A695,"-")</f>
        <v>-</v>
      </c>
      <c r="B687" s="114" t="str">
        <f>IF(BID!$L695=FALSE,BID!B695,"-")</f>
        <v>-</v>
      </c>
      <c r="C687" s="30" t="str">
        <f>IF(BID!$L695=FALSE,BID!C695,"-")</f>
        <v>-</v>
      </c>
      <c r="D687" s="114" t="str">
        <f>IF(BID!$L695=FALSE,BID!D695,"-")</f>
        <v>-</v>
      </c>
    </row>
    <row r="688" spans="1:4" x14ac:dyDescent="0.25">
      <c r="A688" s="438" t="str">
        <f>IF(BID!$L696=FALSE,BID!A696,"-")</f>
        <v>-</v>
      </c>
      <c r="B688" s="114" t="str">
        <f>IF(BID!$L696=FALSE,BID!B696,"-")</f>
        <v>-</v>
      </c>
      <c r="C688" s="30" t="str">
        <f>IF(BID!$L696=FALSE,BID!C696,"-")</f>
        <v>-</v>
      </c>
      <c r="D688" s="114" t="str">
        <f>IF(BID!$L696=FALSE,BID!D696,"-")</f>
        <v>-</v>
      </c>
    </row>
    <row r="689" spans="1:4" x14ac:dyDescent="0.25">
      <c r="A689" s="438" t="str">
        <f>IF(BID!$L697=FALSE,BID!A697,"-")</f>
        <v>-</v>
      </c>
      <c r="B689" s="114" t="str">
        <f>IF(BID!$L697=FALSE,BID!B697,"-")</f>
        <v>-</v>
      </c>
      <c r="C689" s="30" t="str">
        <f>IF(BID!$L697=FALSE,BID!C697,"-")</f>
        <v>-</v>
      </c>
      <c r="D689" s="114" t="str">
        <f>IF(BID!$L697=FALSE,BID!D697,"-")</f>
        <v>-</v>
      </c>
    </row>
    <row r="690" spans="1:4" x14ac:dyDescent="0.25">
      <c r="A690" s="438" t="str">
        <f>IF(BID!$L698=FALSE,BID!A698,"-")</f>
        <v>-</v>
      </c>
      <c r="B690" s="114" t="str">
        <f>IF(BID!$L698=FALSE,BID!B698,"-")</f>
        <v>-</v>
      </c>
      <c r="C690" s="30" t="str">
        <f>IF(BID!$L698=FALSE,BID!C698,"-")</f>
        <v>-</v>
      </c>
      <c r="D690" s="114" t="str">
        <f>IF(BID!$L698=FALSE,BID!D698,"-")</f>
        <v>-</v>
      </c>
    </row>
    <row r="691" spans="1:4" x14ac:dyDescent="0.25">
      <c r="A691" s="438" t="str">
        <f>IF(BID!$L699=FALSE,BID!A699,"-")</f>
        <v>-</v>
      </c>
      <c r="B691" s="114" t="str">
        <f>IF(BID!$L699=FALSE,BID!B699,"-")</f>
        <v>-</v>
      </c>
      <c r="C691" s="30" t="str">
        <f>IF(BID!$L699=FALSE,BID!C699,"-")</f>
        <v>-</v>
      </c>
      <c r="D691" s="114" t="str">
        <f>IF(BID!$L699=FALSE,BID!D699,"-")</f>
        <v>-</v>
      </c>
    </row>
    <row r="692" spans="1:4" x14ac:dyDescent="0.25">
      <c r="A692" s="438" t="str">
        <f>IF(BID!$L700=FALSE,BID!A700,"-")</f>
        <v>-</v>
      </c>
      <c r="B692" s="114" t="str">
        <f>IF(BID!$L700=FALSE,BID!B700,"-")</f>
        <v>-</v>
      </c>
      <c r="C692" s="30" t="str">
        <f>IF(BID!$L700=FALSE,BID!C700,"-")</f>
        <v>-</v>
      </c>
      <c r="D692" s="114" t="str">
        <f>IF(BID!$L700=FALSE,BID!D700,"-")</f>
        <v>-</v>
      </c>
    </row>
    <row r="693" spans="1:4" x14ac:dyDescent="0.25">
      <c r="A693" s="438" t="str">
        <f>IF(BID!$L701=FALSE,BID!A701,"-")</f>
        <v>-</v>
      </c>
      <c r="B693" s="114" t="str">
        <f>IF(BID!$L701=FALSE,BID!B701,"-")</f>
        <v>-</v>
      </c>
      <c r="C693" s="30" t="str">
        <f>IF(BID!$L701=FALSE,BID!C701,"-")</f>
        <v>-</v>
      </c>
      <c r="D693" s="114" t="str">
        <f>IF(BID!$L701=FALSE,BID!D701,"-")</f>
        <v>-</v>
      </c>
    </row>
    <row r="694" spans="1:4" x14ac:dyDescent="0.25">
      <c r="A694" s="438" t="str">
        <f>IF(BID!$L702=FALSE,BID!A702,"-")</f>
        <v>-</v>
      </c>
      <c r="B694" s="114" t="str">
        <f>IF(BID!$L702=FALSE,BID!B702,"-")</f>
        <v>-</v>
      </c>
      <c r="C694" s="30" t="str">
        <f>IF(BID!$L702=FALSE,BID!C702,"-")</f>
        <v>-</v>
      </c>
      <c r="D694" s="114" t="str">
        <f>IF(BID!$L702=FALSE,BID!D702,"-")</f>
        <v>-</v>
      </c>
    </row>
    <row r="695" spans="1:4" x14ac:dyDescent="0.25">
      <c r="A695" s="438" t="str">
        <f>IF(BID!$L703=FALSE,BID!A703,"-")</f>
        <v>-</v>
      </c>
      <c r="B695" s="114" t="str">
        <f>IF(BID!$L703=FALSE,BID!B703,"-")</f>
        <v>-</v>
      </c>
      <c r="C695" s="30" t="str">
        <f>IF(BID!$L703=FALSE,BID!C703,"-")</f>
        <v>-</v>
      </c>
      <c r="D695" s="114" t="str">
        <f>IF(BID!$L703=FALSE,BID!D703,"-")</f>
        <v>-</v>
      </c>
    </row>
    <row r="696" spans="1:4" x14ac:dyDescent="0.25">
      <c r="A696" s="438" t="str">
        <f>IF(BID!$L704=FALSE,BID!A704,"-")</f>
        <v>-</v>
      </c>
      <c r="B696" s="114" t="str">
        <f>IF(BID!$L704=FALSE,BID!B704,"-")</f>
        <v>-</v>
      </c>
      <c r="C696" s="30" t="str">
        <f>IF(BID!$L704=FALSE,BID!C704,"-")</f>
        <v>-</v>
      </c>
      <c r="D696" s="114" t="str">
        <f>IF(BID!$L704=FALSE,BID!D704,"-")</f>
        <v>-</v>
      </c>
    </row>
    <row r="697" spans="1:4" x14ac:dyDescent="0.25">
      <c r="A697" s="438" t="str">
        <f>IF(BID!$L705=FALSE,BID!A705,"-")</f>
        <v>-</v>
      </c>
      <c r="B697" s="114" t="str">
        <f>IF(BID!$L705=FALSE,BID!B705,"-")</f>
        <v>-</v>
      </c>
      <c r="C697" s="30" t="str">
        <f>IF(BID!$L705=FALSE,BID!C705,"-")</f>
        <v>-</v>
      </c>
      <c r="D697" s="114" t="str">
        <f>IF(BID!$L705=FALSE,BID!D705,"-")</f>
        <v>-</v>
      </c>
    </row>
    <row r="698" spans="1:4" x14ac:dyDescent="0.25">
      <c r="A698" s="438" t="str">
        <f>IF(BID!$L706=FALSE,BID!A706,"-")</f>
        <v>-</v>
      </c>
      <c r="B698" s="114" t="str">
        <f>IF(BID!$L706=FALSE,BID!B706,"-")</f>
        <v>-</v>
      </c>
      <c r="C698" s="30" t="str">
        <f>IF(BID!$L706=FALSE,BID!C706,"-")</f>
        <v>-</v>
      </c>
      <c r="D698" s="114" t="str">
        <f>IF(BID!$L706=FALSE,BID!D706,"-")</f>
        <v>-</v>
      </c>
    </row>
    <row r="699" spans="1:4" x14ac:dyDescent="0.25">
      <c r="A699" s="438" t="str">
        <f>IF(BID!$L707=FALSE,BID!A707,"-")</f>
        <v>-</v>
      </c>
      <c r="B699" s="114" t="str">
        <f>IF(BID!$L707=FALSE,BID!B707,"-")</f>
        <v>-</v>
      </c>
      <c r="C699" s="30" t="str">
        <f>IF(BID!$L707=FALSE,BID!C707,"-")</f>
        <v>-</v>
      </c>
      <c r="D699" s="114" t="str">
        <f>IF(BID!$L707=FALSE,BID!D707,"-")</f>
        <v>-</v>
      </c>
    </row>
    <row r="700" spans="1:4" x14ac:dyDescent="0.25">
      <c r="A700" s="438" t="str">
        <f>IF(BID!$L708=FALSE,BID!A708,"-")</f>
        <v>-</v>
      </c>
      <c r="B700" s="114" t="str">
        <f>IF(BID!$L708=FALSE,BID!B708,"-")</f>
        <v>-</v>
      </c>
      <c r="C700" s="30" t="str">
        <f>IF(BID!$L708=FALSE,BID!C708,"-")</f>
        <v>-</v>
      </c>
      <c r="D700" s="114" t="str">
        <f>IF(BID!$L708=FALSE,BID!D708,"-")</f>
        <v>-</v>
      </c>
    </row>
    <row r="701" spans="1:4" x14ac:dyDescent="0.25">
      <c r="A701" s="438" t="str">
        <f>IF(BID!$L709=FALSE,BID!A709,"-")</f>
        <v>-</v>
      </c>
      <c r="B701" s="114" t="str">
        <f>IF(BID!$L709=FALSE,BID!B709,"-")</f>
        <v>-</v>
      </c>
      <c r="C701" s="30" t="str">
        <f>IF(BID!$L709=FALSE,BID!C709,"-")</f>
        <v>-</v>
      </c>
      <c r="D701" s="114" t="str">
        <f>IF(BID!$L709=FALSE,BID!D709,"-")</f>
        <v>-</v>
      </c>
    </row>
    <row r="702" spans="1:4" x14ac:dyDescent="0.25">
      <c r="A702" s="438" t="str">
        <f>IF(BID!$L710=FALSE,BID!A710,"-")</f>
        <v>-</v>
      </c>
      <c r="B702" s="114" t="str">
        <f>IF(BID!$L710=FALSE,BID!B710,"-")</f>
        <v>-</v>
      </c>
      <c r="C702" s="30" t="str">
        <f>IF(BID!$L710=FALSE,BID!C710,"-")</f>
        <v>-</v>
      </c>
      <c r="D702" s="114" t="str">
        <f>IF(BID!$L710=FALSE,BID!D710,"-")</f>
        <v>-</v>
      </c>
    </row>
    <row r="703" spans="1:4" x14ac:dyDescent="0.25">
      <c r="A703" s="438" t="str">
        <f>IF(BID!$L711=FALSE,BID!A711,"-")</f>
        <v>-</v>
      </c>
      <c r="B703" s="114" t="str">
        <f>IF(BID!$L711=FALSE,BID!B711,"-")</f>
        <v>-</v>
      </c>
      <c r="C703" s="30" t="str">
        <f>IF(BID!$L711=FALSE,BID!C711,"-")</f>
        <v>-</v>
      </c>
      <c r="D703" s="114" t="str">
        <f>IF(BID!$L711=FALSE,BID!D711,"-")</f>
        <v>-</v>
      </c>
    </row>
    <row r="704" spans="1:4" x14ac:dyDescent="0.25">
      <c r="A704" s="438" t="str">
        <f>IF(BID!$L712=FALSE,BID!A712,"-")</f>
        <v>-</v>
      </c>
      <c r="B704" s="114" t="str">
        <f>IF(BID!$L712=FALSE,BID!B712,"-")</f>
        <v>-</v>
      </c>
      <c r="C704" s="30" t="str">
        <f>IF(BID!$L712=FALSE,BID!C712,"-")</f>
        <v>-</v>
      </c>
      <c r="D704" s="114" t="str">
        <f>IF(BID!$L712=FALSE,BID!D712,"-")</f>
        <v>-</v>
      </c>
    </row>
    <row r="705" spans="1:4" x14ac:dyDescent="0.25">
      <c r="A705" s="438" t="str">
        <f>IF(BID!$L713=FALSE,BID!A713,"-")</f>
        <v>-</v>
      </c>
      <c r="B705" s="114" t="str">
        <f>IF(BID!$L713=FALSE,BID!B713,"-")</f>
        <v>-</v>
      </c>
      <c r="C705" s="30" t="str">
        <f>IF(BID!$L713=FALSE,BID!C713,"-")</f>
        <v>-</v>
      </c>
      <c r="D705" s="114" t="str">
        <f>IF(BID!$L713=FALSE,BID!D713,"-")</f>
        <v>-</v>
      </c>
    </row>
    <row r="706" spans="1:4" x14ac:dyDescent="0.25">
      <c r="A706" s="438">
        <f>IF(BID!$L714=FALSE,BID!A714,"-")</f>
        <v>650</v>
      </c>
      <c r="B706" s="114" t="str">
        <f>IF(BID!$L714=FALSE,BID!B714,"-")</f>
        <v>XYLOCAINE GEL 35g</v>
      </c>
      <c r="C706" s="30">
        <f>IF(BID!$L714=FALSE,BID!C714,"-")</f>
        <v>10</v>
      </c>
      <c r="D706" s="114">
        <f>IF(BID!$L714=FALSE,BID!D714,"-")</f>
        <v>160</v>
      </c>
    </row>
    <row r="707" spans="1:4" x14ac:dyDescent="0.25">
      <c r="A707" s="438">
        <f>IF(BID!$L715=FALSE,BID!A715,"-")</f>
        <v>0</v>
      </c>
      <c r="B707" s="114">
        <f>IF(BID!$L715=FALSE,BID!B715,"-")</f>
        <v>0</v>
      </c>
      <c r="C707" s="30">
        <f>IF(BID!$L715=FALSE,BID!C715,"-")</f>
        <v>0</v>
      </c>
      <c r="D707" s="114">
        <f>IF(BID!$L715=FALSE,BID!D715,"-")</f>
        <v>0</v>
      </c>
    </row>
    <row r="708" spans="1:4" x14ac:dyDescent="0.25">
      <c r="A708" s="438">
        <f>IF(BID!$L716=FALSE,BID!A716,"-")</f>
        <v>0</v>
      </c>
      <c r="B708" s="114">
        <f>IF(BID!$L716=FALSE,BID!B716,"-")</f>
        <v>0</v>
      </c>
      <c r="C708" s="30">
        <f>IF(BID!$L716=FALSE,BID!C716,"-")</f>
        <v>0</v>
      </c>
      <c r="D708" s="114">
        <f>IF(BID!$L716=FALSE,BID!D716,"-")</f>
        <v>0</v>
      </c>
    </row>
    <row r="709" spans="1:4" x14ac:dyDescent="0.25">
      <c r="A709" s="438">
        <f>IF(BID!$L717=FALSE,BID!A717,"-")</f>
        <v>0</v>
      </c>
      <c r="B709" s="114" t="str">
        <f>IF(BID!$L717=FALSE,BID!B717,"-")</f>
        <v>DERMATOLOGICAL PREPARATIONS</v>
      </c>
      <c r="C709" s="30">
        <f>IF(BID!$L717=FALSE,BID!C717,"-")</f>
        <v>0</v>
      </c>
      <c r="D709" s="114">
        <f>IF(BID!$L717=FALSE,BID!D717,"-")</f>
        <v>0</v>
      </c>
    </row>
    <row r="710" spans="1:4" x14ac:dyDescent="0.25">
      <c r="A710" s="438" t="str">
        <f>IF(BID!$L718=FALSE,BID!A718,"-")</f>
        <v>-</v>
      </c>
      <c r="B710" s="114" t="str">
        <f>IF(BID!$L718=FALSE,BID!B718,"-")</f>
        <v>-</v>
      </c>
      <c r="C710" s="30" t="str">
        <f>IF(BID!$L718=FALSE,BID!C718,"-")</f>
        <v>-</v>
      </c>
      <c r="D710" s="114" t="str">
        <f>IF(BID!$L718=FALSE,BID!D718,"-")</f>
        <v>-</v>
      </c>
    </row>
    <row r="711" spans="1:4" x14ac:dyDescent="0.25">
      <c r="A711" s="438" t="str">
        <f>IF(BID!$L719=FALSE,BID!A719,"-")</f>
        <v>-</v>
      </c>
      <c r="B711" s="114" t="str">
        <f>IF(BID!$L719=FALSE,BID!B719,"-")</f>
        <v>-</v>
      </c>
      <c r="C711" s="30" t="str">
        <f>IF(BID!$L719=FALSE,BID!C719,"-")</f>
        <v>-</v>
      </c>
      <c r="D711" s="114" t="str">
        <f>IF(BID!$L719=FALSE,BID!D719,"-")</f>
        <v>-</v>
      </c>
    </row>
    <row r="712" spans="1:4" x14ac:dyDescent="0.25">
      <c r="A712" s="438" t="str">
        <f>IF(BID!$L720=FALSE,BID!A720,"-")</f>
        <v>-</v>
      </c>
      <c r="B712" s="114" t="str">
        <f>IF(BID!$L720=FALSE,BID!B720,"-")</f>
        <v>-</v>
      </c>
      <c r="C712" s="30" t="str">
        <f>IF(BID!$L720=FALSE,BID!C720,"-")</f>
        <v>-</v>
      </c>
      <c r="D712" s="114" t="str">
        <f>IF(BID!$L720=FALSE,BID!D720,"-")</f>
        <v>-</v>
      </c>
    </row>
    <row r="713" spans="1:4" x14ac:dyDescent="0.25">
      <c r="A713" s="438">
        <f>IF(BID!$L721=FALSE,BID!A721,"-")</f>
        <v>654</v>
      </c>
      <c r="B713" s="114" t="str">
        <f>IF(BID!$L721=FALSE,BID!B721,"-")</f>
        <v>BENZYL BENZOATE 25% LOTION</v>
      </c>
      <c r="C713" s="30" t="str">
        <f>IF(BID!$L721=FALSE,BID!C721,"-")</f>
        <v>BOTT</v>
      </c>
      <c r="D713" s="114">
        <f>IF(BID!$L721=FALSE,BID!D721,"-")</f>
        <v>600</v>
      </c>
    </row>
    <row r="714" spans="1:4" x14ac:dyDescent="0.25">
      <c r="A714" s="438">
        <f>IF(BID!$L722=FALSE,BID!A722,"-")</f>
        <v>655</v>
      </c>
      <c r="B714" s="114" t="str">
        <f>IF(BID!$L722=FALSE,BID!B722,"-")</f>
        <v>BETAMETHASONE SCALP WASH</v>
      </c>
      <c r="C714" s="30" t="str">
        <f>IF(BID!$L722=FALSE,BID!C722,"-")</f>
        <v>PCS</v>
      </c>
      <c r="D714" s="114">
        <f>IF(BID!$L722=FALSE,BID!D722,"-")</f>
        <v>20</v>
      </c>
    </row>
    <row r="715" spans="1:4" x14ac:dyDescent="0.25">
      <c r="A715" s="438" t="str">
        <f>IF(BID!$L723=FALSE,BID!A723,"-")</f>
        <v>-</v>
      </c>
      <c r="B715" s="114" t="str">
        <f>IF(BID!$L723=FALSE,BID!B723,"-")</f>
        <v>-</v>
      </c>
      <c r="C715" s="30" t="str">
        <f>IF(BID!$L723=FALSE,BID!C723,"-")</f>
        <v>-</v>
      </c>
      <c r="D715" s="114" t="str">
        <f>IF(BID!$L723=FALSE,BID!D723,"-")</f>
        <v>-</v>
      </c>
    </row>
    <row r="716" spans="1:4" x14ac:dyDescent="0.25">
      <c r="A716" s="438">
        <f>IF(BID!$L724=FALSE,BID!A724,"-")</f>
        <v>657</v>
      </c>
      <c r="B716" s="114" t="str">
        <f>IF(BID!$L724=FALSE,BID!B724,"-")</f>
        <v>CLINDAMYCIN CREAM</v>
      </c>
      <c r="C716" s="30" t="str">
        <f>IF(BID!$L724=FALSE,BID!C724,"-")</f>
        <v>TUBE</v>
      </c>
      <c r="D716" s="114">
        <f>IF(BID!$L724=FALSE,BID!D724,"-")</f>
        <v>20</v>
      </c>
    </row>
    <row r="717" spans="1:4" x14ac:dyDescent="0.25">
      <c r="A717" s="438" t="str">
        <f>IF(BID!$L725=FALSE,BID!A725,"-")</f>
        <v>-</v>
      </c>
      <c r="B717" s="114" t="str">
        <f>IF(BID!$L725=FALSE,BID!B725,"-")</f>
        <v>-</v>
      </c>
      <c r="C717" s="30" t="str">
        <f>IF(BID!$L725=FALSE,BID!C725,"-")</f>
        <v>-</v>
      </c>
      <c r="D717" s="114" t="str">
        <f>IF(BID!$L725=FALSE,BID!D725,"-")</f>
        <v>-</v>
      </c>
    </row>
    <row r="718" spans="1:4" x14ac:dyDescent="0.25">
      <c r="A718" s="438" t="str">
        <f>IF(BID!$L726=FALSE,BID!A726,"-")</f>
        <v>-</v>
      </c>
      <c r="B718" s="114" t="str">
        <f>IF(BID!$L726=FALSE,BID!B726,"-")</f>
        <v>-</v>
      </c>
      <c r="C718" s="30" t="str">
        <f>IF(BID!$L726=FALSE,BID!C726,"-")</f>
        <v>-</v>
      </c>
      <c r="D718" s="114" t="str">
        <f>IF(BID!$L726=FALSE,BID!D726,"-")</f>
        <v>-</v>
      </c>
    </row>
    <row r="719" spans="1:4" x14ac:dyDescent="0.25">
      <c r="A719" s="438">
        <f>IF(BID!$L727=FALSE,BID!A727,"-")</f>
        <v>660</v>
      </c>
      <c r="B719" s="114" t="str">
        <f>IF(BID!$L727=FALSE,BID!B727,"-")</f>
        <v>IVERMECTIN TAB</v>
      </c>
      <c r="C719" s="30">
        <f>IF(BID!$L727=FALSE,BID!C727,"-")</f>
        <v>500</v>
      </c>
      <c r="D719" s="114">
        <f>IF(BID!$L727=FALSE,BID!D727,"-")</f>
        <v>1</v>
      </c>
    </row>
    <row r="720" spans="1:4" x14ac:dyDescent="0.25">
      <c r="A720" s="438" t="str">
        <f>IF(BID!$L728=FALSE,BID!A728,"-")</f>
        <v>-</v>
      </c>
      <c r="B720" s="114" t="str">
        <f>IF(BID!$L728=FALSE,BID!B728,"-")</f>
        <v>-</v>
      </c>
      <c r="C720" s="30" t="str">
        <f>IF(BID!$L728=FALSE,BID!C728,"-")</f>
        <v>-</v>
      </c>
      <c r="D720" s="114" t="str">
        <f>IF(BID!$L728=FALSE,BID!D728,"-")</f>
        <v>-</v>
      </c>
    </row>
    <row r="721" spans="1:4" x14ac:dyDescent="0.25">
      <c r="A721" s="438" t="str">
        <f>IF(BID!$L729=FALSE,BID!A729,"-")</f>
        <v>-</v>
      </c>
      <c r="B721" s="114" t="str">
        <f>IF(BID!$L729=FALSE,BID!B729,"-")</f>
        <v>-</v>
      </c>
      <c r="C721" s="30" t="str">
        <f>IF(BID!$L729=FALSE,BID!C729,"-")</f>
        <v>-</v>
      </c>
      <c r="D721" s="114" t="str">
        <f>IF(BID!$L729=FALSE,BID!D729,"-")</f>
        <v>-</v>
      </c>
    </row>
    <row r="722" spans="1:4" x14ac:dyDescent="0.25">
      <c r="A722" s="438" t="str">
        <f>IF(BID!$L730=FALSE,BID!A730,"-")</f>
        <v>-</v>
      </c>
      <c r="B722" s="114" t="str">
        <f>IF(BID!$L730=FALSE,BID!B730,"-")</f>
        <v>-</v>
      </c>
      <c r="C722" s="30" t="str">
        <f>IF(BID!$L730=FALSE,BID!C730,"-")</f>
        <v>-</v>
      </c>
      <c r="D722" s="114" t="str">
        <f>IF(BID!$L730=FALSE,BID!D730,"-")</f>
        <v>-</v>
      </c>
    </row>
    <row r="723" spans="1:4" x14ac:dyDescent="0.25">
      <c r="A723" s="438" t="str">
        <f>IF(BID!$L731=FALSE,BID!A731,"-")</f>
        <v>-</v>
      </c>
      <c r="B723" s="114" t="str">
        <f>IF(BID!$L731=FALSE,BID!B731,"-")</f>
        <v>-</v>
      </c>
      <c r="C723" s="30" t="str">
        <f>IF(BID!$L731=FALSE,BID!C731,"-")</f>
        <v>-</v>
      </c>
      <c r="D723" s="114" t="str">
        <f>IF(BID!$L731=FALSE,BID!D731,"-")</f>
        <v>-</v>
      </c>
    </row>
    <row r="724" spans="1:4" x14ac:dyDescent="0.25">
      <c r="A724" s="438">
        <f>IF(BID!$L732=FALSE,BID!A732,"-")</f>
        <v>665</v>
      </c>
      <c r="B724" s="114" t="str">
        <f>IF(BID!$L732=FALSE,BID!B732,"-")</f>
        <v>SALICYLIC ACID OINTMENT 20%</v>
      </c>
      <c r="C724" s="30" t="str">
        <f>IF(BID!$L732=FALSE,BID!C732,"-")</f>
        <v>TUBE</v>
      </c>
      <c r="D724" s="114">
        <f>IF(BID!$L732=FALSE,BID!D732,"-")</f>
        <v>40</v>
      </c>
    </row>
    <row r="725" spans="1:4" x14ac:dyDescent="0.25">
      <c r="A725" s="438">
        <f>IF(BID!$L733=FALSE,BID!A733,"-")</f>
        <v>666</v>
      </c>
      <c r="B725" s="114" t="str">
        <f>IF(BID!$L733=FALSE,BID!B733,"-")</f>
        <v>SEBAMED CREAM/SHAMPOO</v>
      </c>
      <c r="C725" s="30" t="str">
        <f>IF(BID!$L733=FALSE,BID!C733,"-")</f>
        <v>PCS</v>
      </c>
      <c r="D725" s="114">
        <f>IF(BID!$L733=FALSE,BID!D733,"-")</f>
        <v>20</v>
      </c>
    </row>
    <row r="726" spans="1:4" x14ac:dyDescent="0.25">
      <c r="A726" s="438" t="str">
        <f>IF(BID!$L734=FALSE,BID!A734,"-")</f>
        <v>-</v>
      </c>
      <c r="B726" s="114" t="str">
        <f>IF(BID!$L734=FALSE,BID!B734,"-")</f>
        <v>-</v>
      </c>
      <c r="C726" s="30" t="str">
        <f>IF(BID!$L734=FALSE,BID!C734,"-")</f>
        <v>-</v>
      </c>
      <c r="D726" s="114" t="str">
        <f>IF(BID!$L734=FALSE,BID!D734,"-")</f>
        <v>-</v>
      </c>
    </row>
    <row r="727" spans="1:4" x14ac:dyDescent="0.25">
      <c r="A727" s="438">
        <f>IF(BID!$L735=FALSE,BID!A735,"-")</f>
        <v>668</v>
      </c>
      <c r="B727" s="114" t="str">
        <f>IF(BID!$L735=FALSE,BID!B735,"-")</f>
        <v>UREA 50% CREAM</v>
      </c>
      <c r="C727" s="30" t="str">
        <f>IF(BID!$L735=FALSE,BID!C735,"-")</f>
        <v>TUBE</v>
      </c>
      <c r="D727" s="114">
        <f>IF(BID!$L735=FALSE,BID!D735,"-")</f>
        <v>20</v>
      </c>
    </row>
    <row r="728" spans="1:4" x14ac:dyDescent="0.25">
      <c r="A728" s="438">
        <f>IF(BID!$L736=FALSE,BID!A736,"-")</f>
        <v>0</v>
      </c>
      <c r="B728" s="114">
        <f>IF(BID!$L736=FALSE,BID!B736,"-")</f>
        <v>0</v>
      </c>
      <c r="C728" s="30">
        <f>IF(BID!$L736=FALSE,BID!C736,"-")</f>
        <v>0</v>
      </c>
      <c r="D728" s="114">
        <f>IF(BID!$L736=FALSE,BID!D736,"-")</f>
        <v>0</v>
      </c>
    </row>
    <row r="729" spans="1:4" x14ac:dyDescent="0.25">
      <c r="A729" s="438">
        <f>IF(BID!$L737=FALSE,BID!A737,"-")</f>
        <v>0</v>
      </c>
      <c r="B729" s="114">
        <f>IF(BID!$L737=FALSE,BID!B737,"-")</f>
        <v>0</v>
      </c>
      <c r="C729" s="30">
        <f>IF(BID!$L737=FALSE,BID!C737,"-")</f>
        <v>0</v>
      </c>
      <c r="D729" s="114">
        <f>IF(BID!$L737=FALSE,BID!D737,"-")</f>
        <v>0</v>
      </c>
    </row>
    <row r="730" spans="1:4" x14ac:dyDescent="0.25">
      <c r="A730" s="438">
        <f>IF(BID!$L738=FALSE,BID!A738,"-")</f>
        <v>0</v>
      </c>
      <c r="B730" s="114" t="str">
        <f>IF(BID!$L738=FALSE,BID!B738,"-")</f>
        <v>DISINFECTANTS</v>
      </c>
      <c r="C730" s="30">
        <f>IF(BID!$L738=FALSE,BID!C738,"-")</f>
        <v>0</v>
      </c>
      <c r="D730" s="114">
        <f>IF(BID!$L738=FALSE,BID!D738,"-")</f>
        <v>0</v>
      </c>
    </row>
    <row r="731" spans="1:4" x14ac:dyDescent="0.25">
      <c r="A731" s="438">
        <f>IF(BID!$L739=FALSE,BID!A739,"-")</f>
        <v>669</v>
      </c>
      <c r="B731" s="114" t="str">
        <f>IF(BID!$L739=FALSE,BID!B739,"-")</f>
        <v>BORIC ACID 1% + CHLORINATED LIME 1%</v>
      </c>
      <c r="C731" s="30" t="str">
        <f>IF(BID!$L739=FALSE,BID!C739,"-")</f>
        <v>2L</v>
      </c>
      <c r="D731" s="114">
        <f>IF(BID!$L739=FALSE,BID!D739,"-")</f>
        <v>4</v>
      </c>
    </row>
    <row r="732" spans="1:4" x14ac:dyDescent="0.25">
      <c r="A732" s="438" t="str">
        <f>IF(BID!$L740=FALSE,BID!A740,"-")</f>
        <v>-</v>
      </c>
      <c r="B732" s="114" t="str">
        <f>IF(BID!$L740=FALSE,BID!B740,"-")</f>
        <v>-</v>
      </c>
      <c r="C732" s="30" t="str">
        <f>IF(BID!$L740=FALSE,BID!C740,"-")</f>
        <v>-</v>
      </c>
      <c r="D732" s="114" t="str">
        <f>IF(BID!$L740=FALSE,BID!D740,"-")</f>
        <v>-</v>
      </c>
    </row>
    <row r="733" spans="1:4" x14ac:dyDescent="0.25">
      <c r="A733" s="438" t="str">
        <f>IF(BID!$L741=FALSE,BID!A741,"-")</f>
        <v>-</v>
      </c>
      <c r="B733" s="114" t="str">
        <f>IF(BID!$L741=FALSE,BID!B741,"-")</f>
        <v>-</v>
      </c>
      <c r="C733" s="30" t="str">
        <f>IF(BID!$L741=FALSE,BID!C741,"-")</f>
        <v>-</v>
      </c>
      <c r="D733" s="114" t="str">
        <f>IF(BID!$L741=FALSE,BID!D741,"-")</f>
        <v>-</v>
      </c>
    </row>
    <row r="734" spans="1:4" x14ac:dyDescent="0.25">
      <c r="A734" s="438" t="str">
        <f>IF(BID!$L742=FALSE,BID!A742,"-")</f>
        <v>-</v>
      </c>
      <c r="B734" s="114" t="str">
        <f>IF(BID!$L742=FALSE,BID!B742,"-")</f>
        <v>-</v>
      </c>
      <c r="C734" s="30" t="str">
        <f>IF(BID!$L742=FALSE,BID!C742,"-")</f>
        <v>-</v>
      </c>
      <c r="D734" s="114" t="str">
        <f>IF(BID!$L742=FALSE,BID!D742,"-")</f>
        <v>-</v>
      </c>
    </row>
    <row r="735" spans="1:4" x14ac:dyDescent="0.25">
      <c r="A735" s="438" t="str">
        <f>IF(BID!$L743=FALSE,BID!A743,"-")</f>
        <v>-</v>
      </c>
      <c r="B735" s="114" t="str">
        <f>IF(BID!$L743=FALSE,BID!B743,"-")</f>
        <v>-</v>
      </c>
      <c r="C735" s="30" t="str">
        <f>IF(BID!$L743=FALSE,BID!C743,"-")</f>
        <v>-</v>
      </c>
      <c r="D735" s="114" t="str">
        <f>IF(BID!$L743=FALSE,BID!D743,"-")</f>
        <v>-</v>
      </c>
    </row>
    <row r="736" spans="1:4" x14ac:dyDescent="0.25">
      <c r="A736" s="438" t="str">
        <f>IF(BID!$L744=FALSE,BID!A744,"-")</f>
        <v>-</v>
      </c>
      <c r="B736" s="114" t="str">
        <f>IF(BID!$L744=FALSE,BID!B744,"-")</f>
        <v>-</v>
      </c>
      <c r="C736" s="30" t="str">
        <f>IF(BID!$L744=FALSE,BID!C744,"-")</f>
        <v>-</v>
      </c>
      <c r="D736" s="114" t="str">
        <f>IF(BID!$L744=FALSE,BID!D744,"-")</f>
        <v>-</v>
      </c>
    </row>
    <row r="737" spans="1:4" x14ac:dyDescent="0.25">
      <c r="A737" s="438" t="str">
        <f>IF(BID!$L745=FALSE,BID!A745,"-")</f>
        <v>-</v>
      </c>
      <c r="B737" s="114" t="str">
        <f>IF(BID!$L745=FALSE,BID!B745,"-")</f>
        <v>-</v>
      </c>
      <c r="C737" s="30" t="str">
        <f>IF(BID!$L745=FALSE,BID!C745,"-")</f>
        <v>-</v>
      </c>
      <c r="D737" s="114" t="str">
        <f>IF(BID!$L745=FALSE,BID!D745,"-")</f>
        <v>-</v>
      </c>
    </row>
    <row r="738" spans="1:4" x14ac:dyDescent="0.25">
      <c r="A738" s="438" t="str">
        <f>IF(BID!$L746=FALSE,BID!A746,"-")</f>
        <v>-</v>
      </c>
      <c r="B738" s="114" t="str">
        <f>IF(BID!$L746=FALSE,BID!B746,"-")</f>
        <v>-</v>
      </c>
      <c r="C738" s="30" t="str">
        <f>IF(BID!$L746=FALSE,BID!C746,"-")</f>
        <v>-</v>
      </c>
      <c r="D738" s="114" t="str">
        <f>IF(BID!$L746=FALSE,BID!D746,"-")</f>
        <v>-</v>
      </c>
    </row>
    <row r="739" spans="1:4" x14ac:dyDescent="0.25">
      <c r="A739" s="438" t="str">
        <f>IF(BID!$L747=FALSE,BID!A747,"-")</f>
        <v>-</v>
      </c>
      <c r="B739" s="114" t="str">
        <f>IF(BID!$L747=FALSE,BID!B747,"-")</f>
        <v>-</v>
      </c>
      <c r="C739" s="30" t="str">
        <f>IF(BID!$L747=FALSE,BID!C747,"-")</f>
        <v>-</v>
      </c>
      <c r="D739" s="114" t="str">
        <f>IF(BID!$L747=FALSE,BID!D747,"-")</f>
        <v>-</v>
      </c>
    </row>
    <row r="740" spans="1:4" x14ac:dyDescent="0.25">
      <c r="A740" s="438" t="str">
        <f>IF(BID!$L748=FALSE,BID!A748,"-")</f>
        <v>-</v>
      </c>
      <c r="B740" s="114" t="str">
        <f>IF(BID!$L748=FALSE,BID!B748,"-")</f>
        <v>-</v>
      </c>
      <c r="C740" s="30" t="str">
        <f>IF(BID!$L748=FALSE,BID!C748,"-")</f>
        <v>-</v>
      </c>
      <c r="D740" s="114" t="str">
        <f>IF(BID!$L748=FALSE,BID!D748,"-")</f>
        <v>-</v>
      </c>
    </row>
    <row r="741" spans="1:4" x14ac:dyDescent="0.25">
      <c r="A741" s="438" t="str">
        <f>IF(BID!$L749=FALSE,BID!A749,"-")</f>
        <v>-</v>
      </c>
      <c r="B741" s="114" t="str">
        <f>IF(BID!$L749=FALSE,BID!B749,"-")</f>
        <v>-</v>
      </c>
      <c r="C741" s="30" t="str">
        <f>IF(BID!$L749=FALSE,BID!C749,"-")</f>
        <v>-</v>
      </c>
      <c r="D741" s="114" t="str">
        <f>IF(BID!$L749=FALSE,BID!D749,"-")</f>
        <v>-</v>
      </c>
    </row>
    <row r="742" spans="1:4" x14ac:dyDescent="0.25">
      <c r="A742" s="438" t="str">
        <f>IF(BID!$L750=FALSE,BID!A750,"-")</f>
        <v>-</v>
      </c>
      <c r="B742" s="114" t="str">
        <f>IF(BID!$L750=FALSE,BID!B750,"-")</f>
        <v>-</v>
      </c>
      <c r="C742" s="30" t="str">
        <f>IF(BID!$L750=FALSE,BID!C750,"-")</f>
        <v>-</v>
      </c>
      <c r="D742" s="114" t="str">
        <f>IF(BID!$L750=FALSE,BID!D750,"-")</f>
        <v>-</v>
      </c>
    </row>
    <row r="743" spans="1:4" x14ac:dyDescent="0.25">
      <c r="A743" s="438" t="str">
        <f>IF(BID!$L751=FALSE,BID!A751,"-")</f>
        <v>-</v>
      </c>
      <c r="B743" s="114" t="str">
        <f>IF(BID!$L751=FALSE,BID!B751,"-")</f>
        <v>-</v>
      </c>
      <c r="C743" s="30" t="str">
        <f>IF(BID!$L751=FALSE,BID!C751,"-")</f>
        <v>-</v>
      </c>
      <c r="D743" s="114" t="str">
        <f>IF(BID!$L751=FALSE,BID!D751,"-")</f>
        <v>-</v>
      </c>
    </row>
    <row r="744" spans="1:4" x14ac:dyDescent="0.25">
      <c r="A744" s="438" t="str">
        <f>IF(BID!$L752=FALSE,BID!A752,"-")</f>
        <v>-</v>
      </c>
      <c r="B744" s="114" t="str">
        <f>IF(BID!$L752=FALSE,BID!B752,"-")</f>
        <v>-</v>
      </c>
      <c r="C744" s="30" t="str">
        <f>IF(BID!$L752=FALSE,BID!C752,"-")</f>
        <v>-</v>
      </c>
      <c r="D744" s="114" t="str">
        <f>IF(BID!$L752=FALSE,BID!D752,"-")</f>
        <v>-</v>
      </c>
    </row>
    <row r="745" spans="1:4" x14ac:dyDescent="0.25">
      <c r="A745" s="438" t="str">
        <f>IF(BID!$L753=FALSE,BID!A753,"-")</f>
        <v>-</v>
      </c>
      <c r="B745" s="114" t="str">
        <f>IF(BID!$L753=FALSE,BID!B753,"-")</f>
        <v>-</v>
      </c>
      <c r="C745" s="30" t="str">
        <f>IF(BID!$L753=FALSE,BID!C753,"-")</f>
        <v>-</v>
      </c>
      <c r="D745" s="114" t="str">
        <f>IF(BID!$L753=FALSE,BID!D753,"-")</f>
        <v>-</v>
      </c>
    </row>
    <row r="746" spans="1:4" x14ac:dyDescent="0.25">
      <c r="A746" s="438">
        <f>IF(BID!$L754=FALSE,BID!A754,"-")</f>
        <v>0</v>
      </c>
      <c r="B746" s="114">
        <f>IF(BID!$L754=FALSE,BID!B754,"-")</f>
        <v>0</v>
      </c>
      <c r="C746" s="30">
        <f>IF(BID!$L754=FALSE,BID!C754,"-")</f>
        <v>0</v>
      </c>
      <c r="D746" s="114">
        <f>IF(BID!$L754=FALSE,BID!D754,"-")</f>
        <v>0</v>
      </c>
    </row>
    <row r="747" spans="1:4" x14ac:dyDescent="0.25">
      <c r="A747" s="438">
        <f>IF(BID!$L755=FALSE,BID!A755,"-")</f>
        <v>0</v>
      </c>
      <c r="B747" s="114" t="str">
        <f>IF(BID!$L755=FALSE,BID!B755,"-")</f>
        <v>OTHERS</v>
      </c>
      <c r="C747" s="30">
        <f>IF(BID!$L755=FALSE,BID!C755,"-")</f>
        <v>0</v>
      </c>
      <c r="D747" s="114">
        <f>IF(BID!$L755=FALSE,BID!D755,"-")</f>
        <v>0</v>
      </c>
    </row>
    <row r="748" spans="1:4" x14ac:dyDescent="0.25">
      <c r="A748" s="438" t="str">
        <f>IF(BID!$L756=FALSE,BID!A756,"-")</f>
        <v>-</v>
      </c>
      <c r="B748" s="114" t="str">
        <f>IF(BID!$L756=FALSE,BID!B756,"-")</f>
        <v>-</v>
      </c>
      <c r="C748" s="30" t="str">
        <f>IF(BID!$L756=FALSE,BID!C756,"-")</f>
        <v>-</v>
      </c>
      <c r="D748" s="114" t="str">
        <f>IF(BID!$L756=FALSE,BID!D756,"-")</f>
        <v>-</v>
      </c>
    </row>
    <row r="749" spans="1:4" x14ac:dyDescent="0.25">
      <c r="A749" s="438" t="str">
        <f>IF(BID!$L757=FALSE,BID!A757,"-")</f>
        <v>-</v>
      </c>
      <c r="B749" s="114" t="str">
        <f>IF(BID!$L757=FALSE,BID!B757,"-")</f>
        <v>-</v>
      </c>
      <c r="C749" s="30" t="str">
        <f>IF(BID!$L757=FALSE,BID!C757,"-")</f>
        <v>-</v>
      </c>
      <c r="D749" s="114" t="str">
        <f>IF(BID!$L757=FALSE,BID!D757,"-")</f>
        <v>-</v>
      </c>
    </row>
    <row r="750" spans="1:4" x14ac:dyDescent="0.25">
      <c r="A750" s="438" t="str">
        <f>IF(BID!$L758=FALSE,BID!A758,"-")</f>
        <v>-</v>
      </c>
      <c r="B750" s="114" t="str">
        <f>IF(BID!$L758=FALSE,BID!B758,"-")</f>
        <v>-</v>
      </c>
      <c r="C750" s="30" t="str">
        <f>IF(BID!$L758=FALSE,BID!C758,"-")</f>
        <v>-</v>
      </c>
      <c r="D750" s="114" t="str">
        <f>IF(BID!$L758=FALSE,BID!D758,"-")</f>
        <v>-</v>
      </c>
    </row>
    <row r="751" spans="1:4" x14ac:dyDescent="0.25">
      <c r="A751" s="438">
        <f>IF(BID!$L759=FALSE,BID!A759,"-")</f>
        <v>687</v>
      </c>
      <c r="B751" s="114" t="str">
        <f>IF(BID!$L759=FALSE,BID!B759,"-")</f>
        <v>CARBIMAZOLE 5MG TAB</v>
      </c>
      <c r="C751" s="30">
        <f>IF(BID!$L759=FALSE,BID!C759,"-")</f>
        <v>100</v>
      </c>
      <c r="D751" s="114">
        <f>IF(BID!$L759=FALSE,BID!D759,"-")</f>
        <v>256</v>
      </c>
    </row>
    <row r="752" spans="1:4" x14ac:dyDescent="0.25">
      <c r="A752" s="438" t="str">
        <f>IF(BID!$L760=FALSE,BID!A760,"-")</f>
        <v>-</v>
      </c>
      <c r="B752" s="114" t="str">
        <f>IF(BID!$L760=FALSE,BID!B760,"-")</f>
        <v>-</v>
      </c>
      <c r="C752" s="30" t="str">
        <f>IF(BID!$L760=FALSE,BID!C760,"-")</f>
        <v>-</v>
      </c>
      <c r="D752" s="114" t="str">
        <f>IF(BID!$L760=FALSE,BID!D760,"-")</f>
        <v>-</v>
      </c>
    </row>
    <row r="753" spans="1:4" x14ac:dyDescent="0.25">
      <c r="A753" s="438">
        <f>IF(BID!$L761=FALSE,BID!A761,"-")</f>
        <v>689</v>
      </c>
      <c r="B753" s="114" t="str">
        <f>IF(BID!$L761=FALSE,BID!B761,"-")</f>
        <v>CHLORHEXIDINE GEL 3G</v>
      </c>
      <c r="C753" s="30" t="str">
        <f>IF(BID!$L761=FALSE,BID!C761,"-")</f>
        <v>TUBE</v>
      </c>
      <c r="D753" s="114">
        <f>IF(BID!$L761=FALSE,BID!D761,"-")</f>
        <v>20</v>
      </c>
    </row>
    <row r="754" spans="1:4" x14ac:dyDescent="0.25">
      <c r="A754" s="438" t="str">
        <f>IF(BID!$L762=FALSE,BID!A762,"-")</f>
        <v>-</v>
      </c>
      <c r="B754" s="114" t="str">
        <f>IF(BID!$L762=FALSE,BID!B762,"-")</f>
        <v>-</v>
      </c>
      <c r="C754" s="30" t="str">
        <f>IF(BID!$L762=FALSE,BID!C762,"-")</f>
        <v>-</v>
      </c>
      <c r="D754" s="114" t="str">
        <f>IF(BID!$L762=FALSE,BID!D762,"-")</f>
        <v>-</v>
      </c>
    </row>
    <row r="755" spans="1:4" x14ac:dyDescent="0.25">
      <c r="A755" s="438" t="str">
        <f>IF(BID!$L763=FALSE,BID!A763,"-")</f>
        <v>-</v>
      </c>
      <c r="B755" s="114" t="str">
        <f>IF(BID!$L763=FALSE,BID!B763,"-")</f>
        <v>-</v>
      </c>
      <c r="C755" s="30" t="str">
        <f>IF(BID!$L763=FALSE,BID!C763,"-")</f>
        <v>-</v>
      </c>
      <c r="D755" s="114" t="str">
        <f>IF(BID!$L763=FALSE,BID!D763,"-")</f>
        <v>-</v>
      </c>
    </row>
    <row r="756" spans="1:4" x14ac:dyDescent="0.25">
      <c r="A756" s="438" t="str">
        <f>IF(BID!$L764=FALSE,BID!A764,"-")</f>
        <v>-</v>
      </c>
      <c r="B756" s="114" t="str">
        <f>IF(BID!$L764=FALSE,BID!B764,"-")</f>
        <v>-</v>
      </c>
      <c r="C756" s="30" t="str">
        <f>IF(BID!$L764=FALSE,BID!C764,"-")</f>
        <v>-</v>
      </c>
      <c r="D756" s="114" t="str">
        <f>IF(BID!$L764=FALSE,BID!D764,"-")</f>
        <v>-</v>
      </c>
    </row>
    <row r="757" spans="1:4" x14ac:dyDescent="0.25">
      <c r="A757" s="438" t="str">
        <f>IF(BID!$L765=FALSE,BID!A765,"-")</f>
        <v>-</v>
      </c>
      <c r="B757" s="114" t="str">
        <f>IF(BID!$L765=FALSE,BID!B765,"-")</f>
        <v>-</v>
      </c>
      <c r="C757" s="30" t="str">
        <f>IF(BID!$L765=FALSE,BID!C765,"-")</f>
        <v>-</v>
      </c>
      <c r="D757" s="114" t="str">
        <f>IF(BID!$L765=FALSE,BID!D765,"-")</f>
        <v>-</v>
      </c>
    </row>
    <row r="758" spans="1:4" x14ac:dyDescent="0.25">
      <c r="A758" s="438">
        <f>IF(BID!$L766=FALSE,BID!A766,"-")</f>
        <v>694</v>
      </c>
      <c r="B758" s="114" t="str">
        <f>IF(BID!$L766=FALSE,BID!B766,"-")</f>
        <v>LEUPROLIDE ACETATE 3.75MG INJ (DEPOT)</v>
      </c>
      <c r="C758" s="30" t="str">
        <f>IF(BID!$L766=FALSE,BID!C766,"-")</f>
        <v>VIAL</v>
      </c>
      <c r="D758" s="114">
        <f>IF(BID!$L766=FALSE,BID!D766,"-")</f>
        <v>12</v>
      </c>
    </row>
    <row r="759" spans="1:4" x14ac:dyDescent="0.25">
      <c r="A759" s="438" t="str">
        <f>IF(BID!$L767=FALSE,BID!A767,"-")</f>
        <v>-</v>
      </c>
      <c r="B759" s="114" t="str">
        <f>IF(BID!$L767=FALSE,BID!B767,"-")</f>
        <v>-</v>
      </c>
      <c r="C759" s="30" t="str">
        <f>IF(BID!$L767=FALSE,BID!C767,"-")</f>
        <v>-</v>
      </c>
      <c r="D759" s="114" t="str">
        <f>IF(BID!$L767=FALSE,BID!D767,"-")</f>
        <v>-</v>
      </c>
    </row>
    <row r="760" spans="1:4" x14ac:dyDescent="0.25">
      <c r="A760" s="438">
        <f>IF(BID!$L768=FALSE,BID!A768,"-")</f>
        <v>696</v>
      </c>
      <c r="B760" s="114" t="str">
        <f>IF(BID!$L768=FALSE,BID!B768,"-")</f>
        <v>POVIDONE IODINE+METRONIDAZOLE OINTMENT</v>
      </c>
      <c r="C760" s="30">
        <f>IF(BID!$L768=FALSE,BID!C768,"-")</f>
        <v>10</v>
      </c>
      <c r="D760" s="114">
        <f>IF(BID!$L768=FALSE,BID!D768,"-")</f>
        <v>10</v>
      </c>
    </row>
    <row r="761" spans="1:4" x14ac:dyDescent="0.25">
      <c r="A761" s="438">
        <f>IF(BID!$L769=FALSE,BID!A769,"-")</f>
        <v>697</v>
      </c>
      <c r="B761" s="114" t="str">
        <f>IF(BID!$L769=FALSE,BID!B769,"-")</f>
        <v>POVIDONE IODINE+METRONIDAZOLE POWDER</v>
      </c>
      <c r="C761" s="30">
        <f>IF(BID!$L769=FALSE,BID!C769,"-")</f>
        <v>10</v>
      </c>
      <c r="D761" s="114">
        <f>IF(BID!$L769=FALSE,BID!D769,"-")</f>
        <v>10</v>
      </c>
    </row>
    <row r="762" spans="1:4" x14ac:dyDescent="0.25">
      <c r="A762" s="438">
        <f>IF(BID!$L770=FALSE,BID!A770,"-")</f>
        <v>698</v>
      </c>
      <c r="B762" s="114" t="str">
        <f>IF(BID!$L770=FALSE,BID!B770,"-")</f>
        <v>POVIDONE IODINE+METRONIDAZOLE SOLUTION 30MLS</v>
      </c>
      <c r="C762" s="30">
        <f>IF(BID!$L770=FALSE,BID!C770,"-")</f>
        <v>10</v>
      </c>
      <c r="D762" s="114">
        <f>IF(BID!$L770=FALSE,BID!D770,"-")</f>
        <v>100</v>
      </c>
    </row>
    <row r="763" spans="1:4" x14ac:dyDescent="0.25">
      <c r="A763" s="438" t="str">
        <f>IF(BID!$L771=FALSE,BID!A771,"-")</f>
        <v>-</v>
      </c>
      <c r="B763" s="114" t="str">
        <f>IF(BID!$L771=FALSE,BID!B771,"-")</f>
        <v>-</v>
      </c>
      <c r="C763" s="30" t="str">
        <f>IF(BID!$L771=FALSE,BID!C771,"-")</f>
        <v>-</v>
      </c>
      <c r="D763" s="114" t="str">
        <f>IF(BID!$L771=FALSE,BID!D771,"-")</f>
        <v>-</v>
      </c>
    </row>
    <row r="764" spans="1:4" x14ac:dyDescent="0.25">
      <c r="A764" s="438" t="str">
        <f>IF(BID!$L772=FALSE,BID!A772,"-")</f>
        <v>-</v>
      </c>
      <c r="B764" s="114" t="str">
        <f>IF(BID!$L772=FALSE,BID!B772,"-")</f>
        <v>-</v>
      </c>
      <c r="C764" s="30" t="str">
        <f>IF(BID!$L772=FALSE,BID!C772,"-")</f>
        <v>-</v>
      </c>
      <c r="D764" s="114" t="str">
        <f>IF(BID!$L772=FALSE,BID!D772,"-")</f>
        <v>-</v>
      </c>
    </row>
    <row r="765" spans="1:4" x14ac:dyDescent="0.25">
      <c r="A765" s="438" t="str">
        <f>IF(BID!$L773=FALSE,BID!A773,"-")</f>
        <v>-</v>
      </c>
      <c r="B765" s="114" t="str">
        <f>IF(BID!$L773=FALSE,BID!B773,"-")</f>
        <v>-</v>
      </c>
      <c r="C765" s="30" t="str">
        <f>IF(BID!$L773=FALSE,BID!C773,"-")</f>
        <v>-</v>
      </c>
      <c r="D765" s="114" t="str">
        <f>IF(BID!$L773=FALSE,BID!D773,"-")</f>
        <v>-</v>
      </c>
    </row>
    <row r="766" spans="1:4" x14ac:dyDescent="0.25">
      <c r="A766" s="438">
        <f>IF(BID!$L774=FALSE,BID!A774,"-")</f>
        <v>0</v>
      </c>
      <c r="B766" s="114">
        <f>IF(BID!$L774=FALSE,BID!B774,"-")</f>
        <v>0</v>
      </c>
      <c r="C766" s="30">
        <f>IF(BID!$L774=FALSE,BID!C774,"-")</f>
        <v>0</v>
      </c>
      <c r="D766" s="114">
        <f>IF(BID!$L774=FALSE,BID!D774,"-")</f>
        <v>0</v>
      </c>
    </row>
    <row r="767" spans="1:4" x14ac:dyDescent="0.25">
      <c r="A767" s="438">
        <f>IF(BID!$L775=FALSE,BID!A775,"-")</f>
        <v>0</v>
      </c>
      <c r="B767" s="114" t="str">
        <f>IF(BID!$L775=FALSE,BID!B775,"-")</f>
        <v>SUTURES</v>
      </c>
      <c r="C767" s="30">
        <f>IF(BID!$L775=FALSE,BID!C775,"-")</f>
        <v>0</v>
      </c>
      <c r="D767" s="114">
        <f>IF(BID!$L775=FALSE,BID!D775,"-")</f>
        <v>0</v>
      </c>
    </row>
    <row r="768" spans="1:4" x14ac:dyDescent="0.25">
      <c r="A768" s="438" t="str">
        <f>IF(BID!$L776=FALSE,BID!A776,"-")</f>
        <v>-</v>
      </c>
      <c r="B768" s="114" t="str">
        <f>IF(BID!$L776=FALSE,BID!B776,"-")</f>
        <v>-</v>
      </c>
      <c r="C768" s="30" t="str">
        <f>IF(BID!$L776=FALSE,BID!C776,"-")</f>
        <v>-</v>
      </c>
      <c r="D768" s="114" t="str">
        <f>IF(BID!$L776=FALSE,BID!D776,"-")</f>
        <v>-</v>
      </c>
    </row>
    <row r="769" spans="1:4" x14ac:dyDescent="0.25">
      <c r="A769" s="438" t="str">
        <f>IF(BID!$L777=FALSE,BID!A777,"-")</f>
        <v>-</v>
      </c>
      <c r="B769" s="114" t="str">
        <f>IF(BID!$L777=FALSE,BID!B777,"-")</f>
        <v>-</v>
      </c>
      <c r="C769" s="30" t="str">
        <f>IF(BID!$L777=FALSE,BID!C777,"-")</f>
        <v>-</v>
      </c>
      <c r="D769" s="114" t="str">
        <f>IF(BID!$L777=FALSE,BID!D777,"-")</f>
        <v>-</v>
      </c>
    </row>
    <row r="770" spans="1:4" x14ac:dyDescent="0.25">
      <c r="A770" s="438" t="str">
        <f>IF(BID!$L778=FALSE,BID!A778,"-")</f>
        <v>-</v>
      </c>
      <c r="B770" s="114" t="str">
        <f>IF(BID!$L778=FALSE,BID!B778,"-")</f>
        <v>-</v>
      </c>
      <c r="C770" s="30" t="str">
        <f>IF(BID!$L778=FALSE,BID!C778,"-")</f>
        <v>-</v>
      </c>
      <c r="D770" s="114" t="str">
        <f>IF(BID!$L778=FALSE,BID!D778,"-")</f>
        <v>-</v>
      </c>
    </row>
    <row r="771" spans="1:4" x14ac:dyDescent="0.25">
      <c r="A771" s="438" t="str">
        <f>IF(BID!$L779=FALSE,BID!A779,"-")</f>
        <v>-</v>
      </c>
      <c r="B771" s="114" t="str">
        <f>IF(BID!$L779=FALSE,BID!B779,"-")</f>
        <v>-</v>
      </c>
      <c r="C771" s="30" t="str">
        <f>IF(BID!$L779=FALSE,BID!C779,"-")</f>
        <v>-</v>
      </c>
      <c r="D771" s="114" t="str">
        <f>IF(BID!$L779=FALSE,BID!D779,"-")</f>
        <v>-</v>
      </c>
    </row>
    <row r="772" spans="1:4" x14ac:dyDescent="0.25">
      <c r="A772" s="438" t="str">
        <f>IF(BID!$L780=FALSE,BID!A780,"-")</f>
        <v>-</v>
      </c>
      <c r="B772" s="114" t="str">
        <f>IF(BID!$L780=FALSE,BID!B780,"-")</f>
        <v>-</v>
      </c>
      <c r="C772" s="30" t="str">
        <f>IF(BID!$L780=FALSE,BID!C780,"-")</f>
        <v>-</v>
      </c>
      <c r="D772" s="114" t="str">
        <f>IF(BID!$L780=FALSE,BID!D780,"-")</f>
        <v>-</v>
      </c>
    </row>
    <row r="773" spans="1:4" x14ac:dyDescent="0.25">
      <c r="A773" s="438">
        <f>IF(BID!$L781=FALSE,BID!A781,"-")</f>
        <v>707</v>
      </c>
      <c r="B773" s="114" t="str">
        <f>IF(BID!$L781=FALSE,BID!B781,"-")</f>
        <v>PROLYENE</v>
      </c>
      <c r="C773" s="30">
        <f>IF(BID!$L781=FALSE,BID!C781,"-")</f>
        <v>12</v>
      </c>
      <c r="D773" s="114">
        <f>IF(BID!$L781=FALSE,BID!D781,"-")</f>
        <v>12</v>
      </c>
    </row>
    <row r="774" spans="1:4" x14ac:dyDescent="0.25">
      <c r="A774" s="438" t="str">
        <f>IF(BID!$L782=FALSE,BID!A782,"-")</f>
        <v>-</v>
      </c>
      <c r="B774" s="114" t="str">
        <f>IF(BID!$L782=FALSE,BID!B782,"-")</f>
        <v>-</v>
      </c>
      <c r="C774" s="30" t="str">
        <f>IF(BID!$L782=FALSE,BID!C782,"-")</f>
        <v>-</v>
      </c>
      <c r="D774" s="114" t="str">
        <f>IF(BID!$L782=FALSE,BID!D782,"-")</f>
        <v>-</v>
      </c>
    </row>
    <row r="775" spans="1:4" x14ac:dyDescent="0.25">
      <c r="A775" s="438">
        <f>IF(BID!$L783=FALSE,BID!A783,"-")</f>
        <v>0</v>
      </c>
      <c r="B775" s="114">
        <f>IF(BID!$L783=FALSE,BID!B783,"-")</f>
        <v>0</v>
      </c>
      <c r="C775" s="30">
        <f>IF(BID!$L783=FALSE,BID!C783,"-")</f>
        <v>0</v>
      </c>
      <c r="D775" s="114">
        <f>IF(BID!$L783=FALSE,BID!D783,"-")</f>
        <v>0</v>
      </c>
    </row>
    <row r="776" spans="1:4" x14ac:dyDescent="0.25">
      <c r="A776" s="438">
        <f>IF(BID!$L784=FALSE,BID!A784,"-")</f>
        <v>0</v>
      </c>
      <c r="B776" s="114">
        <f>IF(BID!$L784=FALSE,BID!B784,"-")</f>
        <v>0</v>
      </c>
      <c r="C776" s="30">
        <f>IF(BID!$L784=FALSE,BID!C784,"-")</f>
        <v>0</v>
      </c>
      <c r="D776" s="114">
        <f>IF(BID!$L784=FALSE,BID!D784,"-")</f>
        <v>0</v>
      </c>
    </row>
    <row r="777" spans="1:4" x14ac:dyDescent="0.25">
      <c r="A777" s="438">
        <f>IF(BID!$L785=FALSE,BID!A785,"-")</f>
        <v>0</v>
      </c>
      <c r="B777" s="114">
        <f>IF(BID!$L785=FALSE,BID!B785,"-")</f>
        <v>0</v>
      </c>
      <c r="C777" s="30">
        <f>IF(BID!$L785=FALSE,BID!C785,"-")</f>
        <v>0</v>
      </c>
      <c r="D777" s="114">
        <f>IF(BID!$L785=FALSE,BID!D785,"-")</f>
        <v>0</v>
      </c>
    </row>
    <row r="778" spans="1:4" x14ac:dyDescent="0.25">
      <c r="A778" s="438" t="str">
        <f>IF(BID!$L786=FALSE,BID!A786,"-")</f>
        <v>LOT 14</v>
      </c>
      <c r="B778" s="114" t="str">
        <f>IF(BID!$L786=FALSE,BID!B786,"-")</f>
        <v>RADIOLOGY DEPARTMENT</v>
      </c>
      <c r="C778" s="30">
        <f>IF(BID!$L786=FALSE,BID!C786,"-")</f>
        <v>0</v>
      </c>
      <c r="D778" s="114">
        <f>IF(BID!$L786=FALSE,BID!D786,"-")</f>
        <v>0</v>
      </c>
    </row>
    <row r="779" spans="1:4" x14ac:dyDescent="0.25">
      <c r="A779" s="438">
        <f>IF(BID!$L787=FALSE,BID!A787,"-")</f>
        <v>0</v>
      </c>
      <c r="B779" s="114">
        <f>IF(BID!$L787=FALSE,BID!B787,"-")</f>
        <v>0</v>
      </c>
      <c r="C779" s="30">
        <f>IF(BID!$L787=FALSE,BID!C787,"-")</f>
        <v>0</v>
      </c>
      <c r="D779" s="114">
        <f>IF(BID!$L787=FALSE,BID!D787,"-")</f>
        <v>0</v>
      </c>
    </row>
    <row r="780" spans="1:4" x14ac:dyDescent="0.25">
      <c r="A780" s="438" t="str">
        <f>IF(BID!$L788=FALSE,BID!A788,"-")</f>
        <v>-</v>
      </c>
      <c r="B780" s="114" t="str">
        <f>IF(BID!$L788=FALSE,BID!B788,"-")</f>
        <v>-</v>
      </c>
      <c r="C780" s="30" t="str">
        <f>IF(BID!$L788=FALSE,BID!C788,"-")</f>
        <v>-</v>
      </c>
      <c r="D780" s="114" t="str">
        <f>IF(BID!$L788=FALSE,BID!D788,"-")</f>
        <v>-</v>
      </c>
    </row>
    <row r="781" spans="1:4" x14ac:dyDescent="0.25">
      <c r="A781" s="438" t="str">
        <f>IF(BID!$L789=FALSE,BID!A789,"-")</f>
        <v>-</v>
      </c>
      <c r="B781" s="114" t="str">
        <f>IF(BID!$L789=FALSE,BID!B789,"-")</f>
        <v>-</v>
      </c>
      <c r="C781" s="30" t="str">
        <f>IF(BID!$L789=FALSE,BID!C789,"-")</f>
        <v>-</v>
      </c>
      <c r="D781" s="114" t="str">
        <f>IF(BID!$L789=FALSE,BID!D789,"-")</f>
        <v>-</v>
      </c>
    </row>
    <row r="782" spans="1:4" x14ac:dyDescent="0.25">
      <c r="A782" s="438" t="str">
        <f>IF(BID!$L790=FALSE,BID!A790,"-")</f>
        <v>-</v>
      </c>
      <c r="B782" s="114" t="str">
        <f>IF(BID!$L790=FALSE,BID!B790,"-")</f>
        <v>-</v>
      </c>
      <c r="C782" s="30" t="str">
        <f>IF(BID!$L790=FALSE,BID!C790,"-")</f>
        <v>-</v>
      </c>
      <c r="D782" s="114" t="str">
        <f>IF(BID!$L790=FALSE,BID!D790,"-")</f>
        <v>-</v>
      </c>
    </row>
    <row r="783" spans="1:4" x14ac:dyDescent="0.25">
      <c r="A783" s="438" t="str">
        <f>IF(BID!$L791=FALSE,BID!A791,"-")</f>
        <v>-</v>
      </c>
      <c r="B783" s="114" t="str">
        <f>IF(BID!$L791=FALSE,BID!B791,"-")</f>
        <v>-</v>
      </c>
      <c r="C783" s="30" t="str">
        <f>IF(BID!$L791=FALSE,BID!C791,"-")</f>
        <v>-</v>
      </c>
      <c r="D783" s="114" t="str">
        <f>IF(BID!$L791=FALSE,BID!D791,"-")</f>
        <v>-</v>
      </c>
    </row>
    <row r="784" spans="1:4" x14ac:dyDescent="0.25">
      <c r="A784" s="438" t="str">
        <f>IF(BID!$L792=FALSE,BID!A792,"-")</f>
        <v>-</v>
      </c>
      <c r="B784" s="114" t="str">
        <f>IF(BID!$L792=FALSE,BID!B792,"-")</f>
        <v>-</v>
      </c>
      <c r="C784" s="30" t="str">
        <f>IF(BID!$L792=FALSE,BID!C792,"-")</f>
        <v>-</v>
      </c>
      <c r="D784" s="114" t="str">
        <f>IF(BID!$L792=FALSE,BID!D792,"-")</f>
        <v>-</v>
      </c>
    </row>
    <row r="785" spans="1:4" x14ac:dyDescent="0.25">
      <c r="A785" s="438" t="str">
        <f>IF(BID!$L793=FALSE,BID!A793,"-")</f>
        <v>-</v>
      </c>
      <c r="B785" s="114" t="str">
        <f>IF(BID!$L793=FALSE,BID!B793,"-")</f>
        <v>-</v>
      </c>
      <c r="C785" s="30" t="str">
        <f>IF(BID!$L793=FALSE,BID!C793,"-")</f>
        <v>-</v>
      </c>
      <c r="D785" s="114" t="str">
        <f>IF(BID!$L793=FALSE,BID!D793,"-")</f>
        <v>-</v>
      </c>
    </row>
    <row r="786" spans="1:4" x14ac:dyDescent="0.25">
      <c r="A786" s="438" t="str">
        <f>IF(BID!$L794=FALSE,BID!A794,"-")</f>
        <v>-</v>
      </c>
      <c r="B786" s="114" t="str">
        <f>IF(BID!$L794=FALSE,BID!B794,"-")</f>
        <v>-</v>
      </c>
      <c r="C786" s="30" t="str">
        <f>IF(BID!$L794=FALSE,BID!C794,"-")</f>
        <v>-</v>
      </c>
      <c r="D786" s="114" t="str">
        <f>IF(BID!$L794=FALSE,BID!D794,"-")</f>
        <v>-</v>
      </c>
    </row>
    <row r="787" spans="1:4" x14ac:dyDescent="0.25">
      <c r="A787" s="438" t="str">
        <f>IF(BID!$L795=FALSE,BID!A795,"-")</f>
        <v>-</v>
      </c>
      <c r="B787" s="114" t="str">
        <f>IF(BID!$L795=FALSE,BID!B795,"-")</f>
        <v>-</v>
      </c>
      <c r="C787" s="30" t="str">
        <f>IF(BID!$L795=FALSE,BID!C795,"-")</f>
        <v>-</v>
      </c>
      <c r="D787" s="114" t="str">
        <f>IF(BID!$L795=FALSE,BID!D795,"-")</f>
        <v>-</v>
      </c>
    </row>
    <row r="788" spans="1:4" x14ac:dyDescent="0.25">
      <c r="A788" s="438" t="str">
        <f>IF(BID!$L796=FALSE,BID!A796,"-")</f>
        <v>-</v>
      </c>
      <c r="B788" s="114" t="str">
        <f>IF(BID!$L796=FALSE,BID!B796,"-")</f>
        <v>-</v>
      </c>
      <c r="C788" s="30" t="str">
        <f>IF(BID!$L796=FALSE,BID!C796,"-")</f>
        <v>-</v>
      </c>
      <c r="D788" s="114" t="str">
        <f>IF(BID!$L796=FALSE,BID!D796,"-")</f>
        <v>-</v>
      </c>
    </row>
    <row r="789" spans="1:4" x14ac:dyDescent="0.25">
      <c r="A789" s="438" t="str">
        <f>IF(BID!$L797=FALSE,BID!A797,"-")</f>
        <v>-</v>
      </c>
      <c r="B789" s="114" t="str">
        <f>IF(BID!$L797=FALSE,BID!B797,"-")</f>
        <v>-</v>
      </c>
      <c r="C789" s="30" t="str">
        <f>IF(BID!$L797=FALSE,BID!C797,"-")</f>
        <v>-</v>
      </c>
      <c r="D789" s="114" t="str">
        <f>IF(BID!$L797=FALSE,BID!D797,"-")</f>
        <v>-</v>
      </c>
    </row>
    <row r="790" spans="1:4" x14ac:dyDescent="0.25">
      <c r="A790" s="438" t="str">
        <f>IF(BID!$L798=FALSE,BID!A798,"-")</f>
        <v>-</v>
      </c>
      <c r="B790" s="114" t="str">
        <f>IF(BID!$L798=FALSE,BID!B798,"-")</f>
        <v>-</v>
      </c>
      <c r="C790" s="30" t="str">
        <f>IF(BID!$L798=FALSE,BID!C798,"-")</f>
        <v>-</v>
      </c>
      <c r="D790" s="114" t="str">
        <f>IF(BID!$L798=FALSE,BID!D798,"-")</f>
        <v>-</v>
      </c>
    </row>
    <row r="791" spans="1:4" x14ac:dyDescent="0.25">
      <c r="A791" s="438" t="str">
        <f>IF(BID!$L799=FALSE,BID!A799,"-")</f>
        <v>-</v>
      </c>
      <c r="B791" s="114" t="str">
        <f>IF(BID!$L799=FALSE,BID!B799,"-")</f>
        <v>-</v>
      </c>
      <c r="C791" s="30" t="str">
        <f>IF(BID!$L799=FALSE,BID!C799,"-")</f>
        <v>-</v>
      </c>
      <c r="D791" s="114" t="str">
        <f>IF(BID!$L799=FALSE,BID!D799,"-")</f>
        <v>-</v>
      </c>
    </row>
    <row r="792" spans="1:4" x14ac:dyDescent="0.25">
      <c r="A792" s="438" t="str">
        <f>IF(BID!$L800=FALSE,BID!A800,"-")</f>
        <v>-</v>
      </c>
      <c r="B792" s="114" t="str">
        <f>IF(BID!$L800=FALSE,BID!B800,"-")</f>
        <v>-</v>
      </c>
      <c r="C792" s="30" t="str">
        <f>IF(BID!$L800=FALSE,BID!C800,"-")</f>
        <v>-</v>
      </c>
      <c r="D792" s="114" t="str">
        <f>IF(BID!$L800=FALSE,BID!D800,"-")</f>
        <v>-</v>
      </c>
    </row>
    <row r="793" spans="1:4" x14ac:dyDescent="0.25">
      <c r="A793" s="438">
        <f>IF(BID!$L801=FALSE,BID!A801,"-")</f>
        <v>0</v>
      </c>
      <c r="B793" s="114">
        <f>IF(BID!$L801=FALSE,BID!B801,"-")</f>
        <v>0</v>
      </c>
      <c r="C793" s="30">
        <f>IF(BID!$L801=FALSE,BID!C801,"-")</f>
        <v>0</v>
      </c>
      <c r="D793" s="114">
        <f>IF(BID!$L801=FALSE,BID!D801,"-")</f>
        <v>0</v>
      </c>
    </row>
    <row r="794" spans="1:4" x14ac:dyDescent="0.25">
      <c r="A794" s="438">
        <f>IF(BID!$L802=FALSE,BID!A802,"-")</f>
        <v>0</v>
      </c>
      <c r="B794" s="114">
        <f>IF(BID!$L802=FALSE,BID!B802,"-")</f>
        <v>0</v>
      </c>
      <c r="C794" s="30">
        <f>IF(BID!$L802=FALSE,BID!C802,"-")</f>
        <v>0</v>
      </c>
      <c r="D794" s="114">
        <f>IF(BID!$L802=FALSE,BID!D802,"-")</f>
        <v>0</v>
      </c>
    </row>
    <row r="795" spans="1:4" x14ac:dyDescent="0.25">
      <c r="A795" s="438">
        <f>IF(BID!$L803=FALSE,BID!A803,"-")</f>
        <v>0</v>
      </c>
      <c r="B795" s="114">
        <f>IF(BID!$L803=FALSE,BID!B803,"-")</f>
        <v>0</v>
      </c>
      <c r="C795" s="30">
        <f>IF(BID!$L803=FALSE,BID!C803,"-")</f>
        <v>0</v>
      </c>
      <c r="D795" s="114">
        <f>IF(BID!$L803=FALSE,BID!D803,"-")</f>
        <v>0</v>
      </c>
    </row>
    <row r="796" spans="1:4" x14ac:dyDescent="0.25">
      <c r="A796" s="438">
        <f>IF(BID!$L804=FALSE,BID!A804,"-")</f>
        <v>0</v>
      </c>
      <c r="B796" s="114">
        <f>IF(BID!$L804=FALSE,BID!B804,"-")</f>
        <v>0</v>
      </c>
      <c r="C796" s="30">
        <f>IF(BID!$L804=FALSE,BID!C804,"-")</f>
        <v>0</v>
      </c>
      <c r="D796" s="114">
        <f>IF(BID!$L804=FALSE,BID!D804,"-")</f>
        <v>0</v>
      </c>
    </row>
    <row r="797" spans="1:4" x14ac:dyDescent="0.25">
      <c r="A797" s="438">
        <f>IF(BID!$L805=FALSE,BID!A805,"-")</f>
        <v>0</v>
      </c>
      <c r="B797" s="114">
        <f>IF(BID!$L805=FALSE,BID!B805,"-")</f>
        <v>0</v>
      </c>
      <c r="C797" s="30">
        <f>IF(BID!$L805=FALSE,BID!C805,"-")</f>
        <v>0</v>
      </c>
      <c r="D797" s="114">
        <f>IF(BID!$L805=FALSE,BID!D805,"-")</f>
        <v>0</v>
      </c>
    </row>
    <row r="798" spans="1:4" x14ac:dyDescent="0.25">
      <c r="A798" s="438" t="str">
        <f>IF(BID!$L806=FALSE,BID!A806,"-")</f>
        <v>LOT 15</v>
      </c>
      <c r="B798" s="114" t="str">
        <f>IF(BID!$L806=FALSE,BID!B806,"-")</f>
        <v>THEATRE DEPARTMENT</v>
      </c>
      <c r="C798" s="30">
        <f>IF(BID!$L806=FALSE,BID!C806,"-")</f>
        <v>0</v>
      </c>
      <c r="D798" s="114">
        <f>IF(BID!$L806=FALSE,BID!D806,"-")</f>
        <v>0</v>
      </c>
    </row>
    <row r="799" spans="1:4" x14ac:dyDescent="0.25">
      <c r="A799" s="438">
        <f>IF(BID!$L807=FALSE,BID!A807,"-")</f>
        <v>0</v>
      </c>
      <c r="B799" s="114">
        <f>IF(BID!$L807=FALSE,BID!B807,"-")</f>
        <v>0</v>
      </c>
      <c r="C799" s="30">
        <f>IF(BID!$L807=FALSE,BID!C807,"-")</f>
        <v>0</v>
      </c>
      <c r="D799" s="114">
        <f>IF(BID!$L807=FALSE,BID!D807,"-")</f>
        <v>0</v>
      </c>
    </row>
    <row r="800" spans="1:4" x14ac:dyDescent="0.25">
      <c r="A800" s="438" t="str">
        <f>IF(BID!$L808=FALSE,BID!A808,"-")</f>
        <v>-</v>
      </c>
      <c r="B800" s="114" t="str">
        <f>IF(BID!$L808=FALSE,BID!B808,"-")</f>
        <v>-</v>
      </c>
      <c r="C800" s="30" t="str">
        <f>IF(BID!$L808=FALSE,BID!C808,"-")</f>
        <v>-</v>
      </c>
      <c r="D800" s="114" t="str">
        <f>IF(BID!$L808=FALSE,BID!D808,"-")</f>
        <v>-</v>
      </c>
    </row>
    <row r="801" spans="1:4" x14ac:dyDescent="0.25">
      <c r="A801" s="438" t="str">
        <f>IF(BID!$L809=FALSE,BID!A809,"-")</f>
        <v>-</v>
      </c>
      <c r="B801" s="114" t="str">
        <f>IF(BID!$L809=FALSE,BID!B809,"-")</f>
        <v>-</v>
      </c>
      <c r="C801" s="30" t="str">
        <f>IF(BID!$L809=FALSE,BID!C809,"-")</f>
        <v>-</v>
      </c>
      <c r="D801" s="114" t="str">
        <f>IF(BID!$L809=FALSE,BID!D809,"-")</f>
        <v>-</v>
      </c>
    </row>
    <row r="802" spans="1:4" x14ac:dyDescent="0.25">
      <c r="A802" s="438" t="str">
        <f>IF(BID!$L810=FALSE,BID!A810,"-")</f>
        <v>-</v>
      </c>
      <c r="B802" s="114" t="str">
        <f>IF(BID!$L810=FALSE,BID!B810,"-")</f>
        <v>-</v>
      </c>
      <c r="C802" s="30" t="str">
        <f>IF(BID!$L810=FALSE,BID!C810,"-")</f>
        <v>-</v>
      </c>
      <c r="D802" s="114" t="str">
        <f>IF(BID!$L810=FALSE,BID!D810,"-")</f>
        <v>-</v>
      </c>
    </row>
    <row r="803" spans="1:4" x14ac:dyDescent="0.25">
      <c r="A803" s="438" t="str">
        <f>IF(BID!$L811=FALSE,BID!A811,"-")</f>
        <v>-</v>
      </c>
      <c r="B803" s="114" t="str">
        <f>IF(BID!$L811=FALSE,BID!B811,"-")</f>
        <v>-</v>
      </c>
      <c r="C803" s="30" t="str">
        <f>IF(BID!$L811=FALSE,BID!C811,"-")</f>
        <v>-</v>
      </c>
      <c r="D803" s="114" t="str">
        <f>IF(BID!$L811=FALSE,BID!D811,"-")</f>
        <v>-</v>
      </c>
    </row>
    <row r="804" spans="1:4" x14ac:dyDescent="0.25">
      <c r="A804" s="438" t="str">
        <f>IF(BID!$L812=FALSE,BID!A812,"-")</f>
        <v>-</v>
      </c>
      <c r="B804" s="114" t="str">
        <f>IF(BID!$L812=FALSE,BID!B812,"-")</f>
        <v>-</v>
      </c>
      <c r="C804" s="30" t="str">
        <f>IF(BID!$L812=FALSE,BID!C812,"-")</f>
        <v>-</v>
      </c>
      <c r="D804" s="114" t="str">
        <f>IF(BID!$L812=FALSE,BID!D812,"-")</f>
        <v>-</v>
      </c>
    </row>
    <row r="805" spans="1:4" x14ac:dyDescent="0.25">
      <c r="A805" s="438" t="str">
        <f>IF(BID!$L813=FALSE,BID!A813,"-")</f>
        <v>-</v>
      </c>
      <c r="B805" s="114" t="str">
        <f>IF(BID!$L813=FALSE,BID!B813,"-")</f>
        <v>-</v>
      </c>
      <c r="C805" s="30" t="str">
        <f>IF(BID!$L813=FALSE,BID!C813,"-")</f>
        <v>-</v>
      </c>
      <c r="D805" s="114" t="str">
        <f>IF(BID!$L813=FALSE,BID!D813,"-")</f>
        <v>-</v>
      </c>
    </row>
    <row r="806" spans="1:4" x14ac:dyDescent="0.25">
      <c r="A806" s="438" t="str">
        <f>IF(BID!$L814=FALSE,BID!A814,"-")</f>
        <v>-</v>
      </c>
      <c r="B806" s="114" t="str">
        <f>IF(BID!$L814=FALSE,BID!B814,"-")</f>
        <v>-</v>
      </c>
      <c r="C806" s="30" t="str">
        <f>IF(BID!$L814=FALSE,BID!C814,"-")</f>
        <v>-</v>
      </c>
      <c r="D806" s="114" t="str">
        <f>IF(BID!$L814=FALSE,BID!D814,"-")</f>
        <v>-</v>
      </c>
    </row>
    <row r="807" spans="1:4" x14ac:dyDescent="0.25">
      <c r="A807" s="438" t="str">
        <f>IF(BID!$L815=FALSE,BID!A815,"-")</f>
        <v>-</v>
      </c>
      <c r="B807" s="114" t="str">
        <f>IF(BID!$L815=FALSE,BID!B815,"-")</f>
        <v>-</v>
      </c>
      <c r="C807" s="30" t="str">
        <f>IF(BID!$L815=FALSE,BID!C815,"-")</f>
        <v>-</v>
      </c>
      <c r="D807" s="114" t="str">
        <f>IF(BID!$L815=FALSE,BID!D815,"-")</f>
        <v>-</v>
      </c>
    </row>
    <row r="808" spans="1:4" x14ac:dyDescent="0.25">
      <c r="A808" s="438" t="str">
        <f>IF(BID!$L816=FALSE,BID!A816,"-")</f>
        <v>-</v>
      </c>
      <c r="B808" s="114" t="str">
        <f>IF(BID!$L816=FALSE,BID!B816,"-")</f>
        <v>-</v>
      </c>
      <c r="C808" s="30" t="str">
        <f>IF(BID!$L816=FALSE,BID!C816,"-")</f>
        <v>-</v>
      </c>
      <c r="D808" s="114" t="str">
        <f>IF(BID!$L816=FALSE,BID!D816,"-")</f>
        <v>-</v>
      </c>
    </row>
    <row r="809" spans="1:4" x14ac:dyDescent="0.25">
      <c r="A809" s="438" t="str">
        <f>IF(BID!$L817=FALSE,BID!A817,"-")</f>
        <v>-</v>
      </c>
      <c r="B809" s="114" t="str">
        <f>IF(BID!$L817=FALSE,BID!B817,"-")</f>
        <v>-</v>
      </c>
      <c r="C809" s="30" t="str">
        <f>IF(BID!$L817=FALSE,BID!C817,"-")</f>
        <v>-</v>
      </c>
      <c r="D809" s="114" t="str">
        <f>IF(BID!$L817=FALSE,BID!D817,"-")</f>
        <v>-</v>
      </c>
    </row>
    <row r="810" spans="1:4" x14ac:dyDescent="0.25">
      <c r="A810" s="438" t="str">
        <f>IF(BID!$L818=FALSE,BID!A818,"-")</f>
        <v>-</v>
      </c>
      <c r="B810" s="114" t="str">
        <f>IF(BID!$L818=FALSE,BID!B818,"-")</f>
        <v>-</v>
      </c>
      <c r="C810" s="30" t="str">
        <f>IF(BID!$L818=FALSE,BID!C818,"-")</f>
        <v>-</v>
      </c>
      <c r="D810" s="114" t="str">
        <f>IF(BID!$L818=FALSE,BID!D818,"-")</f>
        <v>-</v>
      </c>
    </row>
    <row r="811" spans="1:4" x14ac:dyDescent="0.25">
      <c r="A811" s="438" t="str">
        <f>IF(BID!$L819=FALSE,BID!A819,"-")</f>
        <v>-</v>
      </c>
      <c r="B811" s="114" t="str">
        <f>IF(BID!$L819=FALSE,BID!B819,"-")</f>
        <v>-</v>
      </c>
      <c r="C811" s="30" t="str">
        <f>IF(BID!$L819=FALSE,BID!C819,"-")</f>
        <v>-</v>
      </c>
      <c r="D811" s="114" t="str">
        <f>IF(BID!$L819=FALSE,BID!D819,"-")</f>
        <v>-</v>
      </c>
    </row>
    <row r="812" spans="1:4" x14ac:dyDescent="0.25">
      <c r="A812" s="438" t="str">
        <f>IF(BID!$L820=FALSE,BID!A820,"-")</f>
        <v>-</v>
      </c>
      <c r="B812" s="114" t="str">
        <f>IF(BID!$L820=FALSE,BID!B820,"-")</f>
        <v>-</v>
      </c>
      <c r="C812" s="30" t="str">
        <f>IF(BID!$L820=FALSE,BID!C820,"-")</f>
        <v>-</v>
      </c>
      <c r="D812" s="114" t="str">
        <f>IF(BID!$L820=FALSE,BID!D820,"-")</f>
        <v>-</v>
      </c>
    </row>
    <row r="813" spans="1:4" x14ac:dyDescent="0.25">
      <c r="A813" s="438" t="str">
        <f>IF(BID!$L821=FALSE,BID!A821,"-")</f>
        <v>-</v>
      </c>
      <c r="B813" s="114" t="str">
        <f>IF(BID!$L821=FALSE,BID!B821,"-")</f>
        <v>-</v>
      </c>
      <c r="C813" s="30" t="str">
        <f>IF(BID!$L821=FALSE,BID!C821,"-")</f>
        <v>-</v>
      </c>
      <c r="D813" s="114" t="str">
        <f>IF(BID!$L821=FALSE,BID!D821,"-")</f>
        <v>-</v>
      </c>
    </row>
    <row r="814" spans="1:4" x14ac:dyDescent="0.25">
      <c r="A814" s="438" t="str">
        <f>IF(BID!$L822=FALSE,BID!A822,"-")</f>
        <v>-</v>
      </c>
      <c r="B814" s="114" t="str">
        <f>IF(BID!$L822=FALSE,BID!B822,"-")</f>
        <v>-</v>
      </c>
      <c r="C814" s="30" t="str">
        <f>IF(BID!$L822=FALSE,BID!C822,"-")</f>
        <v>-</v>
      </c>
      <c r="D814" s="114" t="str">
        <f>IF(BID!$L822=FALSE,BID!D822,"-")</f>
        <v>-</v>
      </c>
    </row>
    <row r="815" spans="1:4" x14ac:dyDescent="0.25">
      <c r="A815" s="438" t="str">
        <f>IF(BID!$L823=FALSE,BID!A823,"-")</f>
        <v>-</v>
      </c>
      <c r="B815" s="114" t="str">
        <f>IF(BID!$L823=FALSE,BID!B823,"-")</f>
        <v>-</v>
      </c>
      <c r="C815" s="30" t="str">
        <f>IF(BID!$L823=FALSE,BID!C823,"-")</f>
        <v>-</v>
      </c>
      <c r="D815" s="114" t="str">
        <f>IF(BID!$L823=FALSE,BID!D823,"-")</f>
        <v>-</v>
      </c>
    </row>
    <row r="816" spans="1:4" x14ac:dyDescent="0.25">
      <c r="A816" s="438" t="str">
        <f>IF(BID!$L824=FALSE,BID!A824,"-")</f>
        <v>-</v>
      </c>
      <c r="B816" s="114" t="str">
        <f>IF(BID!$L824=FALSE,BID!B824,"-")</f>
        <v>-</v>
      </c>
      <c r="C816" s="30" t="str">
        <f>IF(BID!$L824=FALSE,BID!C824,"-")</f>
        <v>-</v>
      </c>
      <c r="D816" s="114" t="str">
        <f>IF(BID!$L824=FALSE,BID!D824,"-")</f>
        <v>-</v>
      </c>
    </row>
    <row r="817" spans="1:4" x14ac:dyDescent="0.25">
      <c r="A817" s="438" t="str">
        <f>IF(BID!$L825=FALSE,BID!A825,"-")</f>
        <v>-</v>
      </c>
      <c r="B817" s="114" t="str">
        <f>IF(BID!$L825=FALSE,BID!B825,"-")</f>
        <v>-</v>
      </c>
      <c r="C817" s="30" t="str">
        <f>IF(BID!$L825=FALSE,BID!C825,"-")</f>
        <v>-</v>
      </c>
      <c r="D817" s="114" t="str">
        <f>IF(BID!$L825=FALSE,BID!D825,"-")</f>
        <v>-</v>
      </c>
    </row>
    <row r="818" spans="1:4" x14ac:dyDescent="0.25">
      <c r="A818" s="438" t="str">
        <f>IF(BID!$L826=FALSE,BID!A826,"-")</f>
        <v>-</v>
      </c>
      <c r="B818" s="114" t="str">
        <f>IF(BID!$L826=FALSE,BID!B826,"-")</f>
        <v>-</v>
      </c>
      <c r="C818" s="30" t="str">
        <f>IF(BID!$L826=FALSE,BID!C826,"-")</f>
        <v>-</v>
      </c>
      <c r="D818" s="114" t="str">
        <f>IF(BID!$L826=FALSE,BID!D826,"-")</f>
        <v>-</v>
      </c>
    </row>
    <row r="819" spans="1:4" x14ac:dyDescent="0.25">
      <c r="A819" s="438" t="str">
        <f>IF(BID!$L827=FALSE,BID!A827,"-")</f>
        <v>-</v>
      </c>
      <c r="B819" s="114" t="str">
        <f>IF(BID!$L827=FALSE,BID!B827,"-")</f>
        <v>-</v>
      </c>
      <c r="C819" s="30" t="str">
        <f>IF(BID!$L827=FALSE,BID!C827,"-")</f>
        <v>-</v>
      </c>
      <c r="D819" s="114" t="str">
        <f>IF(BID!$L827=FALSE,BID!D827,"-")</f>
        <v>-</v>
      </c>
    </row>
    <row r="820" spans="1:4" x14ac:dyDescent="0.25">
      <c r="A820" s="438" t="str">
        <f>IF(BID!$L828=FALSE,BID!A828,"-")</f>
        <v>-</v>
      </c>
      <c r="B820" s="114" t="str">
        <f>IF(BID!$L828=FALSE,BID!B828,"-")</f>
        <v>-</v>
      </c>
      <c r="C820" s="30" t="str">
        <f>IF(BID!$L828=FALSE,BID!C828,"-")</f>
        <v>-</v>
      </c>
      <c r="D820" s="114" t="str">
        <f>IF(BID!$L828=FALSE,BID!D828,"-")</f>
        <v>-</v>
      </c>
    </row>
    <row r="821" spans="1:4" x14ac:dyDescent="0.25">
      <c r="A821" s="438" t="str">
        <f>IF(BID!$L829=FALSE,BID!A829,"-")</f>
        <v>-</v>
      </c>
      <c r="B821" s="114" t="str">
        <f>IF(BID!$L829=FALSE,BID!B829,"-")</f>
        <v>-</v>
      </c>
      <c r="C821" s="30" t="str">
        <f>IF(BID!$L829=FALSE,BID!C829,"-")</f>
        <v>-</v>
      </c>
      <c r="D821" s="114" t="str">
        <f>IF(BID!$L829=FALSE,BID!D829,"-")</f>
        <v>-</v>
      </c>
    </row>
    <row r="822" spans="1:4" x14ac:dyDescent="0.25">
      <c r="A822" s="438" t="str">
        <f>IF(BID!$L830=FALSE,BID!A830,"-")</f>
        <v>-</v>
      </c>
      <c r="B822" s="114" t="str">
        <f>IF(BID!$L830=FALSE,BID!B830,"-")</f>
        <v>-</v>
      </c>
      <c r="C822" s="30" t="str">
        <f>IF(BID!$L830=FALSE,BID!C830,"-")</f>
        <v>-</v>
      </c>
      <c r="D822" s="114" t="str">
        <f>IF(BID!$L830=FALSE,BID!D830,"-")</f>
        <v>-</v>
      </c>
    </row>
    <row r="823" spans="1:4" x14ac:dyDescent="0.25">
      <c r="A823" s="438" t="str">
        <f>IF(BID!$L831=FALSE,BID!A831,"-")</f>
        <v>-</v>
      </c>
      <c r="B823" s="114" t="str">
        <f>IF(BID!$L831=FALSE,BID!B831,"-")</f>
        <v>-</v>
      </c>
      <c r="C823" s="30" t="str">
        <f>IF(BID!$L831=FALSE,BID!C831,"-")</f>
        <v>-</v>
      </c>
      <c r="D823" s="114" t="str">
        <f>IF(BID!$L831=FALSE,BID!D831,"-")</f>
        <v>-</v>
      </c>
    </row>
    <row r="824" spans="1:4" x14ac:dyDescent="0.25">
      <c r="A824" s="438" t="str">
        <f>IF(BID!$L832=FALSE,BID!A832,"-")</f>
        <v>-</v>
      </c>
      <c r="B824" s="114" t="str">
        <f>IF(BID!$L832=FALSE,BID!B832,"-")</f>
        <v>-</v>
      </c>
      <c r="C824" s="30" t="str">
        <f>IF(BID!$L832=FALSE,BID!C832,"-")</f>
        <v>-</v>
      </c>
      <c r="D824" s="114" t="str">
        <f>IF(BID!$L832=FALSE,BID!D832,"-")</f>
        <v>-</v>
      </c>
    </row>
    <row r="825" spans="1:4" x14ac:dyDescent="0.25">
      <c r="A825" s="438" t="str">
        <f>IF(BID!$L833=FALSE,BID!A833,"-")</f>
        <v>-</v>
      </c>
      <c r="B825" s="114" t="str">
        <f>IF(BID!$L833=FALSE,BID!B833,"-")</f>
        <v>-</v>
      </c>
      <c r="C825" s="30" t="str">
        <f>IF(BID!$L833=FALSE,BID!C833,"-")</f>
        <v>-</v>
      </c>
      <c r="D825" s="114" t="str">
        <f>IF(BID!$L833=FALSE,BID!D833,"-")</f>
        <v>-</v>
      </c>
    </row>
    <row r="826" spans="1:4" x14ac:dyDescent="0.25">
      <c r="A826" s="438" t="str">
        <f>IF(BID!$L834=FALSE,BID!A834,"-")</f>
        <v>-</v>
      </c>
      <c r="B826" s="114" t="str">
        <f>IF(BID!$L834=FALSE,BID!B834,"-")</f>
        <v>-</v>
      </c>
      <c r="C826" s="30" t="str">
        <f>IF(BID!$L834=FALSE,BID!C834,"-")</f>
        <v>-</v>
      </c>
      <c r="D826" s="114" t="str">
        <f>IF(BID!$L834=FALSE,BID!D834,"-")</f>
        <v>-</v>
      </c>
    </row>
    <row r="827" spans="1:4" x14ac:dyDescent="0.25">
      <c r="A827" s="438" t="str">
        <f>IF(BID!$L835=FALSE,BID!A835,"-")</f>
        <v>-</v>
      </c>
      <c r="B827" s="114" t="str">
        <f>IF(BID!$L835=FALSE,BID!B835,"-")</f>
        <v>-</v>
      </c>
      <c r="C827" s="30" t="str">
        <f>IF(BID!$L835=FALSE,BID!C835,"-")</f>
        <v>-</v>
      </c>
      <c r="D827" s="114" t="str">
        <f>IF(BID!$L835=FALSE,BID!D835,"-")</f>
        <v>-</v>
      </c>
    </row>
    <row r="828" spans="1:4" x14ac:dyDescent="0.25">
      <c r="A828" s="438" t="str">
        <f>IF(BID!$L836=FALSE,BID!A836,"-")</f>
        <v>-</v>
      </c>
      <c r="B828" s="114" t="str">
        <f>IF(BID!$L836=FALSE,BID!B836,"-")</f>
        <v>-</v>
      </c>
      <c r="C828" s="30" t="str">
        <f>IF(BID!$L836=FALSE,BID!C836,"-")</f>
        <v>-</v>
      </c>
      <c r="D828" s="114" t="str">
        <f>IF(BID!$L836=FALSE,BID!D836,"-")</f>
        <v>-</v>
      </c>
    </row>
    <row r="829" spans="1:4" x14ac:dyDescent="0.25">
      <c r="A829" s="438" t="str">
        <f>IF(BID!$L837=FALSE,BID!A837,"-")</f>
        <v>-</v>
      </c>
      <c r="B829" s="114" t="str">
        <f>IF(BID!$L837=FALSE,BID!B837,"-")</f>
        <v>-</v>
      </c>
      <c r="C829" s="30" t="str">
        <f>IF(BID!$L837=FALSE,BID!C837,"-")</f>
        <v>-</v>
      </c>
      <c r="D829" s="114" t="str">
        <f>IF(BID!$L837=FALSE,BID!D837,"-")</f>
        <v>-</v>
      </c>
    </row>
    <row r="830" spans="1:4" x14ac:dyDescent="0.25">
      <c r="A830" s="438" t="str">
        <f>IF(BID!$L838=FALSE,BID!A838,"-")</f>
        <v>-</v>
      </c>
      <c r="B830" s="114" t="str">
        <f>IF(BID!$L838=FALSE,BID!B838,"-")</f>
        <v>-</v>
      </c>
      <c r="C830" s="30" t="str">
        <f>IF(BID!$L838=FALSE,BID!C838,"-")</f>
        <v>-</v>
      </c>
      <c r="D830" s="114" t="str">
        <f>IF(BID!$L838=FALSE,BID!D838,"-")</f>
        <v>-</v>
      </c>
    </row>
    <row r="831" spans="1:4" x14ac:dyDescent="0.25">
      <c r="A831" s="438" t="str">
        <f>IF(BID!$L839=FALSE,BID!A839,"-")</f>
        <v>-</v>
      </c>
      <c r="B831" s="114" t="str">
        <f>IF(BID!$L839=FALSE,BID!B839,"-")</f>
        <v>-</v>
      </c>
      <c r="C831" s="30" t="str">
        <f>IF(BID!$L839=FALSE,BID!C839,"-")</f>
        <v>-</v>
      </c>
      <c r="D831" s="114" t="str">
        <f>IF(BID!$L839=FALSE,BID!D839,"-")</f>
        <v>-</v>
      </c>
    </row>
    <row r="832" spans="1:4" x14ac:dyDescent="0.25">
      <c r="A832" s="438" t="str">
        <f>IF(BID!$L840=FALSE,BID!A840,"-")</f>
        <v>-</v>
      </c>
      <c r="B832" s="114" t="str">
        <f>IF(BID!$L840=FALSE,BID!B840,"-")</f>
        <v>-</v>
      </c>
      <c r="C832" s="30" t="str">
        <f>IF(BID!$L840=FALSE,BID!C840,"-")</f>
        <v>-</v>
      </c>
      <c r="D832" s="114" t="str">
        <f>IF(BID!$L840=FALSE,BID!D840,"-")</f>
        <v>-</v>
      </c>
    </row>
    <row r="833" spans="1:4" x14ac:dyDescent="0.25">
      <c r="A833" s="438" t="str">
        <f>IF(BID!$L841=FALSE,BID!A841,"-")</f>
        <v>-</v>
      </c>
      <c r="B833" s="114" t="str">
        <f>IF(BID!$L841=FALSE,BID!B841,"-")</f>
        <v>-</v>
      </c>
      <c r="C833" s="30" t="str">
        <f>IF(BID!$L841=FALSE,BID!C841,"-")</f>
        <v>-</v>
      </c>
      <c r="D833" s="114" t="str">
        <f>IF(BID!$L841=FALSE,BID!D841,"-")</f>
        <v>-</v>
      </c>
    </row>
    <row r="834" spans="1:4" x14ac:dyDescent="0.25">
      <c r="A834" s="438" t="str">
        <f>IF(BID!$L842=FALSE,BID!A842,"-")</f>
        <v>-</v>
      </c>
      <c r="B834" s="114" t="str">
        <f>IF(BID!$L842=FALSE,BID!B842,"-")</f>
        <v>-</v>
      </c>
      <c r="C834" s="30" t="str">
        <f>IF(BID!$L842=FALSE,BID!C842,"-")</f>
        <v>-</v>
      </c>
      <c r="D834" s="114" t="str">
        <f>IF(BID!$L842=FALSE,BID!D842,"-")</f>
        <v>-</v>
      </c>
    </row>
    <row r="835" spans="1:4" x14ac:dyDescent="0.25">
      <c r="A835" s="438" t="str">
        <f>IF(BID!$L843=FALSE,BID!A843,"-")</f>
        <v>-</v>
      </c>
      <c r="B835" s="114" t="str">
        <f>IF(BID!$L843=FALSE,BID!B843,"-")</f>
        <v>-</v>
      </c>
      <c r="C835" s="30" t="str">
        <f>IF(BID!$L843=FALSE,BID!C843,"-")</f>
        <v>-</v>
      </c>
      <c r="D835" s="114" t="str">
        <f>IF(BID!$L843=FALSE,BID!D843,"-")</f>
        <v>-</v>
      </c>
    </row>
    <row r="836" spans="1:4" x14ac:dyDescent="0.25">
      <c r="A836" s="438" t="str">
        <f>IF(BID!$L844=FALSE,BID!A844,"-")</f>
        <v>-</v>
      </c>
      <c r="B836" s="114" t="str">
        <f>IF(BID!$L844=FALSE,BID!B844,"-")</f>
        <v>-</v>
      </c>
      <c r="C836" s="30" t="str">
        <f>IF(BID!$L844=FALSE,BID!C844,"-")</f>
        <v>-</v>
      </c>
      <c r="D836" s="114" t="str">
        <f>IF(BID!$L844=FALSE,BID!D844,"-")</f>
        <v>-</v>
      </c>
    </row>
    <row r="837" spans="1:4" x14ac:dyDescent="0.25">
      <c r="A837" s="438" t="str">
        <f>IF(BID!$L845=FALSE,BID!A845,"-")</f>
        <v>-</v>
      </c>
      <c r="B837" s="114" t="str">
        <f>IF(BID!$L845=FALSE,BID!B845,"-")</f>
        <v>-</v>
      </c>
      <c r="C837" s="30" t="str">
        <f>IF(BID!$L845=FALSE,BID!C845,"-")</f>
        <v>-</v>
      </c>
      <c r="D837" s="114" t="str">
        <f>IF(BID!$L845=FALSE,BID!D845,"-")</f>
        <v>-</v>
      </c>
    </row>
    <row r="838" spans="1:4" x14ac:dyDescent="0.25">
      <c r="A838" s="438">
        <f>IF(BID!$L846=FALSE,BID!A846,"-")</f>
        <v>0</v>
      </c>
      <c r="B838" s="114">
        <f>IF(BID!$L846=FALSE,BID!B846,"-")</f>
        <v>0</v>
      </c>
      <c r="C838" s="30">
        <f>IF(BID!$L846=FALSE,BID!C846,"-")</f>
        <v>0</v>
      </c>
      <c r="D838" s="114">
        <f>IF(BID!$L846=FALSE,BID!D846,"-")</f>
        <v>0</v>
      </c>
    </row>
    <row r="839" spans="1:4" x14ac:dyDescent="0.25">
      <c r="A839" s="438">
        <f>IF(BID!$L847=FALSE,BID!A847,"-")</f>
        <v>0</v>
      </c>
      <c r="B839" s="114">
        <f>IF(BID!$L847=FALSE,BID!B847,"-")</f>
        <v>0</v>
      </c>
      <c r="C839" s="30">
        <f>IF(BID!$L847=FALSE,BID!C847,"-")</f>
        <v>0</v>
      </c>
      <c r="D839" s="114">
        <f>IF(BID!$L847=FALSE,BID!D847,"-")</f>
        <v>0</v>
      </c>
    </row>
    <row r="840" spans="1:4" x14ac:dyDescent="0.25">
      <c r="A840" s="438">
        <f>IF(BID!$L848=FALSE,BID!A848,"-")</f>
        <v>0</v>
      </c>
      <c r="B840" s="114">
        <f>IF(BID!$L848=FALSE,BID!B848,"-")</f>
        <v>0</v>
      </c>
      <c r="C840" s="30">
        <f>IF(BID!$L848=FALSE,BID!C848,"-")</f>
        <v>0</v>
      </c>
      <c r="D840" s="114">
        <f>IF(BID!$L848=FALSE,BID!D848,"-")</f>
        <v>0</v>
      </c>
    </row>
    <row r="841" spans="1:4" x14ac:dyDescent="0.25">
      <c r="A841" s="438">
        <f>IF(BID!$L849=FALSE,BID!A849,"-")</f>
        <v>0</v>
      </c>
      <c r="B841" s="114">
        <f>IF(BID!$L849=FALSE,BID!B849,"-")</f>
        <v>0</v>
      </c>
      <c r="C841" s="30">
        <f>IF(BID!$L849=FALSE,BID!C849,"-")</f>
        <v>0</v>
      </c>
      <c r="D841" s="114">
        <f>IF(BID!$L849=FALSE,BID!D849,"-")</f>
        <v>0</v>
      </c>
    </row>
    <row r="842" spans="1:4" x14ac:dyDescent="0.25">
      <c r="A842" s="438" t="str">
        <f>IF(BID!$L850=FALSE,BID!A850,"-")</f>
        <v>LOT 16</v>
      </c>
      <c r="B842" s="114" t="str">
        <f>IF(BID!$L850=FALSE,BID!B850,"-")</f>
        <v>LABORATORY DEPARTMENT - HAEMATOLOGY</v>
      </c>
      <c r="C842" s="30">
        <f>IF(BID!$L850=FALSE,BID!C850,"-")</f>
        <v>0</v>
      </c>
      <c r="D842" s="114">
        <f>IF(BID!$L850=FALSE,BID!D850,"-")</f>
        <v>0</v>
      </c>
    </row>
    <row r="843" spans="1:4" x14ac:dyDescent="0.25">
      <c r="A843" s="438">
        <f>IF(BID!$L851=FALSE,BID!A851,"-")</f>
        <v>0</v>
      </c>
      <c r="B843" s="114">
        <f>IF(BID!$L851=FALSE,BID!B851,"-")</f>
        <v>0</v>
      </c>
      <c r="C843" s="30">
        <f>IF(BID!$L851=FALSE,BID!C851,"-")</f>
        <v>0</v>
      </c>
      <c r="D843" s="114">
        <f>IF(BID!$L851=FALSE,BID!D851,"-")</f>
        <v>0</v>
      </c>
    </row>
    <row r="844" spans="1:4" x14ac:dyDescent="0.25">
      <c r="A844" s="438" t="str">
        <f>IF(BID!$L852=FALSE,BID!A852,"-")</f>
        <v>-</v>
      </c>
      <c r="B844" s="114" t="str">
        <f>IF(BID!$L852=FALSE,BID!B852,"-")</f>
        <v>-</v>
      </c>
      <c r="C844" s="30" t="str">
        <f>IF(BID!$L852=FALSE,BID!C852,"-")</f>
        <v>-</v>
      </c>
      <c r="D844" s="114" t="str">
        <f>IF(BID!$L852=FALSE,BID!D852,"-")</f>
        <v>-</v>
      </c>
    </row>
    <row r="845" spans="1:4" x14ac:dyDescent="0.25">
      <c r="A845" s="438" t="str">
        <f>IF(BID!$L853=FALSE,BID!A853,"-")</f>
        <v>-</v>
      </c>
      <c r="B845" s="114" t="str">
        <f>IF(BID!$L853=FALSE,BID!B853,"-")</f>
        <v>-</v>
      </c>
      <c r="C845" s="30" t="str">
        <f>IF(BID!$L853=FALSE,BID!C853,"-")</f>
        <v>-</v>
      </c>
      <c r="D845" s="114" t="str">
        <f>IF(BID!$L853=FALSE,BID!D853,"-")</f>
        <v>-</v>
      </c>
    </row>
    <row r="846" spans="1:4" x14ac:dyDescent="0.25">
      <c r="A846" s="438" t="str">
        <f>IF(BID!$L854=FALSE,BID!A854,"-")</f>
        <v>-</v>
      </c>
      <c r="B846" s="114" t="str">
        <f>IF(BID!$L854=FALSE,BID!B854,"-")</f>
        <v>-</v>
      </c>
      <c r="C846" s="30" t="str">
        <f>IF(BID!$L854=FALSE,BID!C854,"-")</f>
        <v>-</v>
      </c>
      <c r="D846" s="114" t="str">
        <f>IF(BID!$L854=FALSE,BID!D854,"-")</f>
        <v>-</v>
      </c>
    </row>
    <row r="847" spans="1:4" x14ac:dyDescent="0.25">
      <c r="A847" s="438" t="str">
        <f>IF(BID!$L855=FALSE,BID!A855,"-")</f>
        <v>-</v>
      </c>
      <c r="B847" s="114" t="str">
        <f>IF(BID!$L855=FALSE,BID!B855,"-")</f>
        <v>-</v>
      </c>
      <c r="C847" s="30" t="str">
        <f>IF(BID!$L855=FALSE,BID!C855,"-")</f>
        <v>-</v>
      </c>
      <c r="D847" s="114" t="str">
        <f>IF(BID!$L855=FALSE,BID!D855,"-")</f>
        <v>-</v>
      </c>
    </row>
    <row r="848" spans="1:4" x14ac:dyDescent="0.25">
      <c r="A848" s="438" t="str">
        <f>IF(BID!$L856=FALSE,BID!A856,"-")</f>
        <v>-</v>
      </c>
      <c r="B848" s="114" t="str">
        <f>IF(BID!$L856=FALSE,BID!B856,"-")</f>
        <v>-</v>
      </c>
      <c r="C848" s="30" t="str">
        <f>IF(BID!$L856=FALSE,BID!C856,"-")</f>
        <v>-</v>
      </c>
      <c r="D848" s="114" t="str">
        <f>IF(BID!$L856=FALSE,BID!D856,"-")</f>
        <v>-</v>
      </c>
    </row>
    <row r="849" spans="1:4" x14ac:dyDescent="0.25">
      <c r="A849" s="438" t="str">
        <f>IF(BID!$L857=FALSE,BID!A857,"-")</f>
        <v>-</v>
      </c>
      <c r="B849" s="114" t="str">
        <f>IF(BID!$L857=FALSE,BID!B857,"-")</f>
        <v>-</v>
      </c>
      <c r="C849" s="30" t="str">
        <f>IF(BID!$L857=FALSE,BID!C857,"-")</f>
        <v>-</v>
      </c>
      <c r="D849" s="114" t="str">
        <f>IF(BID!$L857=FALSE,BID!D857,"-")</f>
        <v>-</v>
      </c>
    </row>
    <row r="850" spans="1:4" x14ac:dyDescent="0.25">
      <c r="A850" s="438" t="str">
        <f>IF(BID!$L858=FALSE,BID!A858,"-")</f>
        <v>-</v>
      </c>
      <c r="B850" s="114" t="str">
        <f>IF(BID!$L858=FALSE,BID!B858,"-")</f>
        <v>-</v>
      </c>
      <c r="C850" s="30" t="str">
        <f>IF(BID!$L858=FALSE,BID!C858,"-")</f>
        <v>-</v>
      </c>
      <c r="D850" s="114" t="str">
        <f>IF(BID!$L858=FALSE,BID!D858,"-")</f>
        <v>-</v>
      </c>
    </row>
    <row r="851" spans="1:4" x14ac:dyDescent="0.25">
      <c r="A851" s="438" t="str">
        <f>IF(BID!$L859=FALSE,BID!A859,"-")</f>
        <v>-</v>
      </c>
      <c r="B851" s="114" t="str">
        <f>IF(BID!$L859=FALSE,BID!B859,"-")</f>
        <v>-</v>
      </c>
      <c r="C851" s="30" t="str">
        <f>IF(BID!$L859=FALSE,BID!C859,"-")</f>
        <v>-</v>
      </c>
      <c r="D851" s="114" t="str">
        <f>IF(BID!$L859=FALSE,BID!D859,"-")</f>
        <v>-</v>
      </c>
    </row>
    <row r="852" spans="1:4" x14ac:dyDescent="0.25">
      <c r="A852" s="438" t="str">
        <f>IF(BID!$L860=FALSE,BID!A860,"-")</f>
        <v>-</v>
      </c>
      <c r="B852" s="114" t="str">
        <f>IF(BID!$L860=FALSE,BID!B860,"-")</f>
        <v>-</v>
      </c>
      <c r="C852" s="30" t="str">
        <f>IF(BID!$L860=FALSE,BID!C860,"-")</f>
        <v>-</v>
      </c>
      <c r="D852" s="114" t="str">
        <f>IF(BID!$L860=FALSE,BID!D860,"-")</f>
        <v>-</v>
      </c>
    </row>
    <row r="853" spans="1:4" x14ac:dyDescent="0.25">
      <c r="A853" s="438" t="str">
        <f>IF(BID!$L861=FALSE,BID!A861,"-")</f>
        <v>-</v>
      </c>
      <c r="B853" s="114" t="str">
        <f>IF(BID!$L861=FALSE,BID!B861,"-")</f>
        <v>-</v>
      </c>
      <c r="C853" s="30" t="str">
        <f>IF(BID!$L861=FALSE,BID!C861,"-")</f>
        <v>-</v>
      </c>
      <c r="D853" s="114" t="str">
        <f>IF(BID!$L861=FALSE,BID!D861,"-")</f>
        <v>-</v>
      </c>
    </row>
    <row r="854" spans="1:4" x14ac:dyDescent="0.25">
      <c r="A854" s="438" t="str">
        <f>IF(BID!$L862=FALSE,BID!A862,"-")</f>
        <v>-</v>
      </c>
      <c r="B854" s="114" t="str">
        <f>IF(BID!$L862=FALSE,BID!B862,"-")</f>
        <v>-</v>
      </c>
      <c r="C854" s="30" t="str">
        <f>IF(BID!$L862=FALSE,BID!C862,"-")</f>
        <v>-</v>
      </c>
      <c r="D854" s="114" t="str">
        <f>IF(BID!$L862=FALSE,BID!D862,"-")</f>
        <v>-</v>
      </c>
    </row>
    <row r="855" spans="1:4" x14ac:dyDescent="0.25">
      <c r="A855" s="438" t="str">
        <f>IF(BID!$L863=FALSE,BID!A863,"-")</f>
        <v>-</v>
      </c>
      <c r="B855" s="114" t="str">
        <f>IF(BID!$L863=FALSE,BID!B863,"-")</f>
        <v>-</v>
      </c>
      <c r="C855" s="30" t="str">
        <f>IF(BID!$L863=FALSE,BID!C863,"-")</f>
        <v>-</v>
      </c>
      <c r="D855" s="114" t="str">
        <f>IF(BID!$L863=FALSE,BID!D863,"-")</f>
        <v>-</v>
      </c>
    </row>
    <row r="856" spans="1:4" x14ac:dyDescent="0.25">
      <c r="A856" s="438" t="str">
        <f>IF(BID!$L864=FALSE,BID!A864,"-")</f>
        <v>-</v>
      </c>
      <c r="B856" s="114" t="str">
        <f>IF(BID!$L864=FALSE,BID!B864,"-")</f>
        <v>-</v>
      </c>
      <c r="C856" s="30" t="str">
        <f>IF(BID!$L864=FALSE,BID!C864,"-")</f>
        <v>-</v>
      </c>
      <c r="D856" s="114" t="str">
        <f>IF(BID!$L864=FALSE,BID!D864,"-")</f>
        <v>-</v>
      </c>
    </row>
    <row r="857" spans="1:4" x14ac:dyDescent="0.25">
      <c r="A857" s="438" t="str">
        <f>IF(BID!$L865=FALSE,BID!A865,"-")</f>
        <v>-</v>
      </c>
      <c r="B857" s="114" t="str">
        <f>IF(BID!$L865=FALSE,BID!B865,"-")</f>
        <v>-</v>
      </c>
      <c r="C857" s="30" t="str">
        <f>IF(BID!$L865=FALSE,BID!C865,"-")</f>
        <v>-</v>
      </c>
      <c r="D857" s="114" t="str">
        <f>IF(BID!$L865=FALSE,BID!D865,"-")</f>
        <v>-</v>
      </c>
    </row>
    <row r="858" spans="1:4" x14ac:dyDescent="0.25">
      <c r="A858" s="438" t="str">
        <f>IF(BID!$L866=FALSE,BID!A866,"-")</f>
        <v>-</v>
      </c>
      <c r="B858" s="114" t="str">
        <f>IF(BID!$L866=FALSE,BID!B866,"-")</f>
        <v>-</v>
      </c>
      <c r="C858" s="30" t="str">
        <f>IF(BID!$L866=FALSE,BID!C866,"-")</f>
        <v>-</v>
      </c>
      <c r="D858" s="114" t="str">
        <f>IF(BID!$L866=FALSE,BID!D866,"-")</f>
        <v>-</v>
      </c>
    </row>
    <row r="859" spans="1:4" x14ac:dyDescent="0.25">
      <c r="A859" s="438" t="str">
        <f>IF(BID!$L867=FALSE,BID!A867,"-")</f>
        <v>-</v>
      </c>
      <c r="B859" s="114" t="str">
        <f>IF(BID!$L867=FALSE,BID!B867,"-")</f>
        <v>-</v>
      </c>
      <c r="C859" s="30" t="str">
        <f>IF(BID!$L867=FALSE,BID!C867,"-")</f>
        <v>-</v>
      </c>
      <c r="D859" s="114" t="str">
        <f>IF(BID!$L867=FALSE,BID!D867,"-")</f>
        <v>-</v>
      </c>
    </row>
    <row r="860" spans="1:4" x14ac:dyDescent="0.25">
      <c r="A860" s="438" t="str">
        <f>IF(BID!$L868=FALSE,BID!A868,"-")</f>
        <v>-</v>
      </c>
      <c r="B860" s="114" t="str">
        <f>IF(BID!$L868=FALSE,BID!B868,"-")</f>
        <v>-</v>
      </c>
      <c r="C860" s="30" t="str">
        <f>IF(BID!$L868=FALSE,BID!C868,"-")</f>
        <v>-</v>
      </c>
      <c r="D860" s="114" t="str">
        <f>IF(BID!$L868=FALSE,BID!D868,"-")</f>
        <v>-</v>
      </c>
    </row>
    <row r="861" spans="1:4" x14ac:dyDescent="0.25">
      <c r="A861" s="438" t="str">
        <f>IF(BID!$L869=FALSE,BID!A869,"-")</f>
        <v>-</v>
      </c>
      <c r="B861" s="114" t="str">
        <f>IF(BID!$L869=FALSE,BID!B869,"-")</f>
        <v>-</v>
      </c>
      <c r="C861" s="30" t="str">
        <f>IF(BID!$L869=FALSE,BID!C869,"-")</f>
        <v>-</v>
      </c>
      <c r="D861" s="114" t="str">
        <f>IF(BID!$L869=FALSE,BID!D869,"-")</f>
        <v>-</v>
      </c>
    </row>
    <row r="862" spans="1:4" x14ac:dyDescent="0.25">
      <c r="A862" s="438" t="str">
        <f>IF(BID!$L870=FALSE,BID!A870,"-")</f>
        <v>-</v>
      </c>
      <c r="B862" s="114" t="str">
        <f>IF(BID!$L870=FALSE,BID!B870,"-")</f>
        <v>-</v>
      </c>
      <c r="C862" s="30" t="str">
        <f>IF(BID!$L870=FALSE,BID!C870,"-")</f>
        <v>-</v>
      </c>
      <c r="D862" s="114" t="str">
        <f>IF(BID!$L870=FALSE,BID!D870,"-")</f>
        <v>-</v>
      </c>
    </row>
    <row r="863" spans="1:4" x14ac:dyDescent="0.25">
      <c r="A863" s="438" t="str">
        <f>IF(BID!$L871=FALSE,BID!A871,"-")</f>
        <v>-</v>
      </c>
      <c r="B863" s="114" t="str">
        <f>IF(BID!$L871=FALSE,BID!B871,"-")</f>
        <v>-</v>
      </c>
      <c r="C863" s="30" t="str">
        <f>IF(BID!$L871=FALSE,BID!C871,"-")</f>
        <v>-</v>
      </c>
      <c r="D863" s="114" t="str">
        <f>IF(BID!$L871=FALSE,BID!D871,"-")</f>
        <v>-</v>
      </c>
    </row>
    <row r="864" spans="1:4" x14ac:dyDescent="0.25">
      <c r="A864" s="438" t="str">
        <f>IF(BID!$L872=FALSE,BID!A872,"-")</f>
        <v>-</v>
      </c>
      <c r="B864" s="114" t="str">
        <f>IF(BID!$L872=FALSE,BID!B872,"-")</f>
        <v>-</v>
      </c>
      <c r="C864" s="30" t="str">
        <f>IF(BID!$L872=FALSE,BID!C872,"-")</f>
        <v>-</v>
      </c>
      <c r="D864" s="114" t="str">
        <f>IF(BID!$L872=FALSE,BID!D872,"-")</f>
        <v>-</v>
      </c>
    </row>
    <row r="865" spans="1:4" x14ac:dyDescent="0.25">
      <c r="A865" s="438" t="str">
        <f>IF(BID!$L873=FALSE,BID!A873,"-")</f>
        <v>-</v>
      </c>
      <c r="B865" s="114" t="str">
        <f>IF(BID!$L873=FALSE,BID!B873,"-")</f>
        <v>-</v>
      </c>
      <c r="C865" s="30" t="str">
        <f>IF(BID!$L873=FALSE,BID!C873,"-")</f>
        <v>-</v>
      </c>
      <c r="D865" s="114" t="str">
        <f>IF(BID!$L873=FALSE,BID!D873,"-")</f>
        <v>-</v>
      </c>
    </row>
    <row r="866" spans="1:4" x14ac:dyDescent="0.25">
      <c r="A866" s="438" t="str">
        <f>IF(BID!$L874=FALSE,BID!A874,"-")</f>
        <v>-</v>
      </c>
      <c r="B866" s="114" t="str">
        <f>IF(BID!$L874=FALSE,BID!B874,"-")</f>
        <v>-</v>
      </c>
      <c r="C866" s="30" t="str">
        <f>IF(BID!$L874=FALSE,BID!C874,"-")</f>
        <v>-</v>
      </c>
      <c r="D866" s="114" t="str">
        <f>IF(BID!$L874=FALSE,BID!D874,"-")</f>
        <v>-</v>
      </c>
    </row>
    <row r="867" spans="1:4" x14ac:dyDescent="0.25">
      <c r="A867" s="438">
        <f>IF(BID!$L875=FALSE,BID!A875,"-")</f>
        <v>783</v>
      </c>
      <c r="B867" s="114" t="str">
        <f>IF(BID!$L875=FALSE,BID!B875,"-")</f>
        <v>ELISA VDRL SCREENING KIT</v>
      </c>
      <c r="C867" s="30" t="str">
        <f>IF(BID!$L875=FALSE,BID!C875,"-")</f>
        <v>1 pack of 96</v>
      </c>
      <c r="D867" s="114">
        <f>IF(BID!$L875=FALSE,BID!D875,"-")</f>
        <v>48</v>
      </c>
    </row>
    <row r="868" spans="1:4" x14ac:dyDescent="0.25">
      <c r="A868" s="438" t="str">
        <f>IF(BID!$L876=FALSE,BID!A876,"-")</f>
        <v>-</v>
      </c>
      <c r="B868" s="114" t="str">
        <f>IF(BID!$L876=FALSE,BID!B876,"-")</f>
        <v>-</v>
      </c>
      <c r="C868" s="30" t="str">
        <f>IF(BID!$L876=FALSE,BID!C876,"-")</f>
        <v>-</v>
      </c>
      <c r="D868" s="114" t="str">
        <f>IF(BID!$L876=FALSE,BID!D876,"-")</f>
        <v>-</v>
      </c>
    </row>
    <row r="869" spans="1:4" x14ac:dyDescent="0.25">
      <c r="A869" s="438" t="str">
        <f>IF(BID!$L877=FALSE,BID!A877,"-")</f>
        <v>-</v>
      </c>
      <c r="B869" s="114" t="str">
        <f>IF(BID!$L877=FALSE,BID!B877,"-")</f>
        <v>-</v>
      </c>
      <c r="C869" s="30" t="str">
        <f>IF(BID!$L877=FALSE,BID!C877,"-")</f>
        <v>-</v>
      </c>
      <c r="D869" s="114" t="str">
        <f>IF(BID!$L877=FALSE,BID!D877,"-")</f>
        <v>-</v>
      </c>
    </row>
    <row r="870" spans="1:4" x14ac:dyDescent="0.25">
      <c r="A870" s="438" t="str">
        <f>IF(BID!$L878=FALSE,BID!A878,"-")</f>
        <v>-</v>
      </c>
      <c r="B870" s="114" t="str">
        <f>IF(BID!$L878=FALSE,BID!B878,"-")</f>
        <v>-</v>
      </c>
      <c r="C870" s="30" t="str">
        <f>IF(BID!$L878=FALSE,BID!C878,"-")</f>
        <v>-</v>
      </c>
      <c r="D870" s="114" t="str">
        <f>IF(BID!$L878=FALSE,BID!D878,"-")</f>
        <v>-</v>
      </c>
    </row>
    <row r="871" spans="1:4" x14ac:dyDescent="0.25">
      <c r="A871" s="438" t="str">
        <f>IF(BID!$L879=FALSE,BID!A879,"-")</f>
        <v>-</v>
      </c>
      <c r="B871" s="114" t="str">
        <f>IF(BID!$L879=FALSE,BID!B879,"-")</f>
        <v>-</v>
      </c>
      <c r="C871" s="30" t="str">
        <f>IF(BID!$L879=FALSE,BID!C879,"-")</f>
        <v>-</v>
      </c>
      <c r="D871" s="114" t="str">
        <f>IF(BID!$L879=FALSE,BID!D879,"-")</f>
        <v>-</v>
      </c>
    </row>
    <row r="872" spans="1:4" x14ac:dyDescent="0.25">
      <c r="A872" s="438" t="str">
        <f>IF(BID!$L880=FALSE,BID!A880,"-")</f>
        <v>-</v>
      </c>
      <c r="B872" s="114" t="str">
        <f>IF(BID!$L880=FALSE,BID!B880,"-")</f>
        <v>-</v>
      </c>
      <c r="C872" s="30" t="str">
        <f>IF(BID!$L880=FALSE,BID!C880,"-")</f>
        <v>-</v>
      </c>
      <c r="D872" s="114" t="str">
        <f>IF(BID!$L880=FALSE,BID!D880,"-")</f>
        <v>-</v>
      </c>
    </row>
    <row r="873" spans="1:4" x14ac:dyDescent="0.25">
      <c r="A873" s="438" t="str">
        <f>IF(BID!$L881=FALSE,BID!A881,"-")</f>
        <v>-</v>
      </c>
      <c r="B873" s="114" t="str">
        <f>IF(BID!$L881=FALSE,BID!B881,"-")</f>
        <v>-</v>
      </c>
      <c r="C873" s="30" t="str">
        <f>IF(BID!$L881=FALSE,BID!C881,"-")</f>
        <v>-</v>
      </c>
      <c r="D873" s="114" t="str">
        <f>IF(BID!$L881=FALSE,BID!D881,"-")</f>
        <v>-</v>
      </c>
    </row>
    <row r="874" spans="1:4" x14ac:dyDescent="0.25">
      <c r="A874" s="438" t="str">
        <f>IF(BID!$L882=FALSE,BID!A882,"-")</f>
        <v>-</v>
      </c>
      <c r="B874" s="114" t="str">
        <f>IF(BID!$L882=FALSE,BID!B882,"-")</f>
        <v>-</v>
      </c>
      <c r="C874" s="30" t="str">
        <f>IF(BID!$L882=FALSE,BID!C882,"-")</f>
        <v>-</v>
      </c>
      <c r="D874" s="114" t="str">
        <f>IF(BID!$L882=FALSE,BID!D882,"-")</f>
        <v>-</v>
      </c>
    </row>
    <row r="875" spans="1:4" x14ac:dyDescent="0.25">
      <c r="A875" s="438" t="str">
        <f>IF(BID!$L883=FALSE,BID!A883,"-")</f>
        <v>-</v>
      </c>
      <c r="B875" s="114" t="str">
        <f>IF(BID!$L883=FALSE,BID!B883,"-")</f>
        <v>-</v>
      </c>
      <c r="C875" s="30" t="str">
        <f>IF(BID!$L883=FALSE,BID!C883,"-")</f>
        <v>-</v>
      </c>
      <c r="D875" s="114" t="str">
        <f>IF(BID!$L883=FALSE,BID!D883,"-")</f>
        <v>-</v>
      </c>
    </row>
    <row r="876" spans="1:4" x14ac:dyDescent="0.25">
      <c r="A876" s="438" t="str">
        <f>IF(BID!$L884=FALSE,BID!A884,"-")</f>
        <v>-</v>
      </c>
      <c r="B876" s="114" t="str">
        <f>IF(BID!$L884=FALSE,BID!B884,"-")</f>
        <v>-</v>
      </c>
      <c r="C876" s="30" t="str">
        <f>IF(BID!$L884=FALSE,BID!C884,"-")</f>
        <v>-</v>
      </c>
      <c r="D876" s="114" t="str">
        <f>IF(BID!$L884=FALSE,BID!D884,"-")</f>
        <v>-</v>
      </c>
    </row>
    <row r="877" spans="1:4" x14ac:dyDescent="0.25">
      <c r="A877" s="438" t="str">
        <f>IF(BID!$L885=FALSE,BID!A885,"-")</f>
        <v>-</v>
      </c>
      <c r="B877" s="114" t="str">
        <f>IF(BID!$L885=FALSE,BID!B885,"-")</f>
        <v>-</v>
      </c>
      <c r="C877" s="30" t="str">
        <f>IF(BID!$L885=FALSE,BID!C885,"-")</f>
        <v>-</v>
      </c>
      <c r="D877" s="114" t="str">
        <f>IF(BID!$L885=FALSE,BID!D885,"-")</f>
        <v>-</v>
      </c>
    </row>
    <row r="878" spans="1:4" x14ac:dyDescent="0.25">
      <c r="A878" s="438" t="str">
        <f>IF(BID!$L886=FALSE,BID!A886,"-")</f>
        <v>-</v>
      </c>
      <c r="B878" s="114" t="str">
        <f>IF(BID!$L886=FALSE,BID!B886,"-")</f>
        <v>-</v>
      </c>
      <c r="C878" s="30" t="str">
        <f>IF(BID!$L886=FALSE,BID!C886,"-")</f>
        <v>-</v>
      </c>
      <c r="D878" s="114" t="str">
        <f>IF(BID!$L886=FALSE,BID!D886,"-")</f>
        <v>-</v>
      </c>
    </row>
    <row r="879" spans="1:4" x14ac:dyDescent="0.25">
      <c r="A879" s="438">
        <f>IF(BID!$L887=FALSE,BID!A887,"-")</f>
        <v>795</v>
      </c>
      <c r="B879" s="114" t="str">
        <f>IF(BID!$L887=FALSE,BID!B887,"-")</f>
        <v>ELISA HIV I &amp; II SCREENING KIT</v>
      </c>
      <c r="C879" s="30" t="str">
        <f>IF(BID!$L887=FALSE,BID!C887,"-")</f>
        <v>1 pack of 96</v>
      </c>
      <c r="D879" s="114">
        <f>IF(BID!$L887=FALSE,BID!D887,"-")</f>
        <v>48</v>
      </c>
    </row>
    <row r="880" spans="1:4" x14ac:dyDescent="0.25">
      <c r="A880" s="438">
        <f>IF(BID!$L888=FALSE,BID!A888,"-")</f>
        <v>796</v>
      </c>
      <c r="B880" s="114" t="str">
        <f>IF(BID!$L888=FALSE,BID!B888,"-")</f>
        <v>ELISA HEPATITIS B SCREENING KIT</v>
      </c>
      <c r="C880" s="30" t="str">
        <f>IF(BID!$L888=FALSE,BID!C888,"-")</f>
        <v>1 pack of 96</v>
      </c>
      <c r="D880" s="114">
        <f>IF(BID!$L888=FALSE,BID!D888,"-")</f>
        <v>48</v>
      </c>
    </row>
    <row r="881" spans="1:4" x14ac:dyDescent="0.25">
      <c r="A881" s="438">
        <f>IF(BID!$L889=FALSE,BID!A889,"-")</f>
        <v>797</v>
      </c>
      <c r="B881" s="114" t="str">
        <f>IF(BID!$L889=FALSE,BID!B889,"-")</f>
        <v>ELISA HEPATITIS C SCREENING KIT</v>
      </c>
      <c r="C881" s="30" t="str">
        <f>IF(BID!$L889=FALSE,BID!C889,"-")</f>
        <v>1 pack of 96</v>
      </c>
      <c r="D881" s="114">
        <f>IF(BID!$L889=FALSE,BID!D889,"-")</f>
        <v>48</v>
      </c>
    </row>
    <row r="882" spans="1:4" x14ac:dyDescent="0.25">
      <c r="A882" s="438" t="str">
        <f>IF(BID!$L890=FALSE,BID!A890,"-")</f>
        <v>-</v>
      </c>
      <c r="B882" s="114" t="str">
        <f>IF(BID!$L890=FALSE,BID!B890,"-")</f>
        <v>-</v>
      </c>
      <c r="C882" s="30" t="str">
        <f>IF(BID!$L890=FALSE,BID!C890,"-")</f>
        <v>-</v>
      </c>
      <c r="D882" s="114" t="str">
        <f>IF(BID!$L890=FALSE,BID!D890,"-")</f>
        <v>-</v>
      </c>
    </row>
    <row r="883" spans="1:4" x14ac:dyDescent="0.25">
      <c r="A883" s="438" t="str">
        <f>IF(BID!$L891=FALSE,BID!A891,"-")</f>
        <v>-</v>
      </c>
      <c r="B883" s="114" t="str">
        <f>IF(BID!$L891=FALSE,BID!B891,"-")</f>
        <v>-</v>
      </c>
      <c r="C883" s="30" t="str">
        <f>IF(BID!$L891=FALSE,BID!C891,"-")</f>
        <v>-</v>
      </c>
      <c r="D883" s="114" t="str">
        <f>IF(BID!$L891=FALSE,BID!D891,"-")</f>
        <v>-</v>
      </c>
    </row>
    <row r="884" spans="1:4" x14ac:dyDescent="0.25">
      <c r="A884" s="438" t="str">
        <f>IF(BID!$L892=FALSE,BID!A892,"-")</f>
        <v>-</v>
      </c>
      <c r="B884" s="114" t="str">
        <f>IF(BID!$L892=FALSE,BID!B892,"-")</f>
        <v>-</v>
      </c>
      <c r="C884" s="30" t="str">
        <f>IF(BID!$L892=FALSE,BID!C892,"-")</f>
        <v>-</v>
      </c>
      <c r="D884" s="114" t="str">
        <f>IF(BID!$L892=FALSE,BID!D892,"-")</f>
        <v>-</v>
      </c>
    </row>
    <row r="885" spans="1:4" x14ac:dyDescent="0.25">
      <c r="A885" s="438" t="str">
        <f>IF(BID!$L893=FALSE,BID!A893,"-")</f>
        <v>-</v>
      </c>
      <c r="B885" s="114" t="str">
        <f>IF(BID!$L893=FALSE,BID!B893,"-")</f>
        <v>-</v>
      </c>
      <c r="C885" s="30" t="str">
        <f>IF(BID!$L893=FALSE,BID!C893,"-")</f>
        <v>-</v>
      </c>
      <c r="D885" s="114" t="str">
        <f>IF(BID!$L893=FALSE,BID!D893,"-")</f>
        <v>-</v>
      </c>
    </row>
    <row r="886" spans="1:4" x14ac:dyDescent="0.25">
      <c r="A886" s="438" t="str">
        <f>IF(BID!$L894=FALSE,BID!A894,"-")</f>
        <v>-</v>
      </c>
      <c r="B886" s="114" t="str">
        <f>IF(BID!$L894=FALSE,BID!B894,"-")</f>
        <v>-</v>
      </c>
      <c r="C886" s="30" t="str">
        <f>IF(BID!$L894=FALSE,BID!C894,"-")</f>
        <v>-</v>
      </c>
      <c r="D886" s="114" t="str">
        <f>IF(BID!$L894=FALSE,BID!D894,"-")</f>
        <v>-</v>
      </c>
    </row>
    <row r="887" spans="1:4" x14ac:dyDescent="0.25">
      <c r="A887" s="438" t="str">
        <f>IF(BID!$L895=FALSE,BID!A895,"-")</f>
        <v>-</v>
      </c>
      <c r="B887" s="114" t="str">
        <f>IF(BID!$L895=FALSE,BID!B895,"-")</f>
        <v>-</v>
      </c>
      <c r="C887" s="30" t="str">
        <f>IF(BID!$L895=FALSE,BID!C895,"-")</f>
        <v>-</v>
      </c>
      <c r="D887" s="114" t="str">
        <f>IF(BID!$L895=FALSE,BID!D895,"-")</f>
        <v>-</v>
      </c>
    </row>
    <row r="888" spans="1:4" x14ac:dyDescent="0.25">
      <c r="A888" s="438" t="str">
        <f>IF(BID!$L896=FALSE,BID!A896,"-")</f>
        <v>-</v>
      </c>
      <c r="B888" s="114" t="str">
        <f>IF(BID!$L896=FALSE,BID!B896,"-")</f>
        <v>-</v>
      </c>
      <c r="C888" s="30" t="str">
        <f>IF(BID!$L896=FALSE,BID!C896,"-")</f>
        <v>-</v>
      </c>
      <c r="D888" s="114" t="str">
        <f>IF(BID!$L896=FALSE,BID!D896,"-")</f>
        <v>-</v>
      </c>
    </row>
    <row r="889" spans="1:4" x14ac:dyDescent="0.25">
      <c r="A889" s="438" t="str">
        <f>IF(BID!$L897=FALSE,BID!A897,"-")</f>
        <v>-</v>
      </c>
      <c r="B889" s="114" t="str">
        <f>IF(BID!$L897=FALSE,BID!B897,"-")</f>
        <v>-</v>
      </c>
      <c r="C889" s="30" t="str">
        <f>IF(BID!$L897=FALSE,BID!C897,"-")</f>
        <v>-</v>
      </c>
      <c r="D889" s="114" t="str">
        <f>IF(BID!$L897=FALSE,BID!D897,"-")</f>
        <v>-</v>
      </c>
    </row>
    <row r="890" spans="1:4" x14ac:dyDescent="0.25">
      <c r="A890" s="438" t="str">
        <f>IF(BID!$L898=FALSE,BID!A898,"-")</f>
        <v>-</v>
      </c>
      <c r="B890" s="114" t="str">
        <f>IF(BID!$L898=FALSE,BID!B898,"-")</f>
        <v>-</v>
      </c>
      <c r="C890" s="30" t="str">
        <f>IF(BID!$L898=FALSE,BID!C898,"-")</f>
        <v>-</v>
      </c>
      <c r="D890" s="114" t="str">
        <f>IF(BID!$L898=FALSE,BID!D898,"-")</f>
        <v>-</v>
      </c>
    </row>
    <row r="891" spans="1:4" x14ac:dyDescent="0.25">
      <c r="A891" s="438" t="str">
        <f>IF(BID!$L899=FALSE,BID!A899,"-")</f>
        <v>-</v>
      </c>
      <c r="B891" s="114" t="str">
        <f>IF(BID!$L899=FALSE,BID!B899,"-")</f>
        <v>-</v>
      </c>
      <c r="C891" s="30" t="str">
        <f>IF(BID!$L899=FALSE,BID!C899,"-")</f>
        <v>-</v>
      </c>
      <c r="D891" s="114" t="str">
        <f>IF(BID!$L899=FALSE,BID!D899,"-")</f>
        <v>-</v>
      </c>
    </row>
    <row r="892" spans="1:4" x14ac:dyDescent="0.25">
      <c r="A892" s="438" t="str">
        <f>IF(BID!$L900=FALSE,BID!A900,"-")</f>
        <v>-</v>
      </c>
      <c r="B892" s="114" t="str">
        <f>IF(BID!$L900=FALSE,BID!B900,"-")</f>
        <v>-</v>
      </c>
      <c r="C892" s="30" t="str">
        <f>IF(BID!$L900=FALSE,BID!C900,"-")</f>
        <v>-</v>
      </c>
      <c r="D892" s="114" t="str">
        <f>IF(BID!$L900=FALSE,BID!D900,"-")</f>
        <v>-</v>
      </c>
    </row>
    <row r="893" spans="1:4" x14ac:dyDescent="0.25">
      <c r="A893" s="438" t="str">
        <f>IF(BID!$L901=FALSE,BID!A901,"-")</f>
        <v>-</v>
      </c>
      <c r="B893" s="114" t="str">
        <f>IF(BID!$L901=FALSE,BID!B901,"-")</f>
        <v>-</v>
      </c>
      <c r="C893" s="30" t="str">
        <f>IF(BID!$L901=FALSE,BID!C901,"-")</f>
        <v>-</v>
      </c>
      <c r="D893" s="114" t="str">
        <f>IF(BID!$L901=FALSE,BID!D901,"-")</f>
        <v>-</v>
      </c>
    </row>
    <row r="894" spans="1:4" x14ac:dyDescent="0.25">
      <c r="A894" s="438" t="str">
        <f>IF(BID!$L902=FALSE,BID!A902,"-")</f>
        <v>-</v>
      </c>
      <c r="B894" s="114" t="str">
        <f>IF(BID!$L902=FALSE,BID!B902,"-")</f>
        <v>-</v>
      </c>
      <c r="C894" s="30" t="str">
        <f>IF(BID!$L902=FALSE,BID!C902,"-")</f>
        <v>-</v>
      </c>
      <c r="D894" s="114" t="str">
        <f>IF(BID!$L902=FALSE,BID!D902,"-")</f>
        <v>-</v>
      </c>
    </row>
    <row r="895" spans="1:4" x14ac:dyDescent="0.25">
      <c r="A895" s="438" t="str">
        <f>IF(BID!$L903=FALSE,BID!A903,"-")</f>
        <v>-</v>
      </c>
      <c r="B895" s="114" t="str">
        <f>IF(BID!$L903=FALSE,BID!B903,"-")</f>
        <v>-</v>
      </c>
      <c r="C895" s="30" t="str">
        <f>IF(BID!$L903=FALSE,BID!C903,"-")</f>
        <v>-</v>
      </c>
      <c r="D895" s="114" t="str">
        <f>IF(BID!$L903=FALSE,BID!D903,"-")</f>
        <v>-</v>
      </c>
    </row>
    <row r="896" spans="1:4" x14ac:dyDescent="0.25">
      <c r="A896" s="438" t="str">
        <f>IF(BID!$L904=FALSE,BID!A904,"-")</f>
        <v>-</v>
      </c>
      <c r="B896" s="114" t="str">
        <f>IF(BID!$L904=FALSE,BID!B904,"-")</f>
        <v>-</v>
      </c>
      <c r="C896" s="30" t="str">
        <f>IF(BID!$L904=FALSE,BID!C904,"-")</f>
        <v>-</v>
      </c>
      <c r="D896" s="114" t="str">
        <f>IF(BID!$L904=FALSE,BID!D904,"-")</f>
        <v>-</v>
      </c>
    </row>
    <row r="897" spans="1:4" x14ac:dyDescent="0.25">
      <c r="A897" s="438" t="str">
        <f>IF(BID!$L905=FALSE,BID!A905,"-")</f>
        <v>-</v>
      </c>
      <c r="B897" s="114" t="str">
        <f>IF(BID!$L905=FALSE,BID!B905,"-")</f>
        <v>-</v>
      </c>
      <c r="C897" s="30" t="str">
        <f>IF(BID!$L905=FALSE,BID!C905,"-")</f>
        <v>-</v>
      </c>
      <c r="D897" s="114" t="str">
        <f>IF(BID!$L905=FALSE,BID!D905,"-")</f>
        <v>-</v>
      </c>
    </row>
    <row r="898" spans="1:4" x14ac:dyDescent="0.25">
      <c r="A898" s="438" t="str">
        <f>IF(BID!$L906=FALSE,BID!A906,"-")</f>
        <v>-</v>
      </c>
      <c r="B898" s="114" t="str">
        <f>IF(BID!$L906=FALSE,BID!B906,"-")</f>
        <v>-</v>
      </c>
      <c r="C898" s="30" t="str">
        <f>IF(BID!$L906=FALSE,BID!C906,"-")</f>
        <v>-</v>
      </c>
      <c r="D898" s="114" t="str">
        <f>IF(BID!$L906=FALSE,BID!D906,"-")</f>
        <v>-</v>
      </c>
    </row>
    <row r="899" spans="1:4" x14ac:dyDescent="0.25">
      <c r="A899" s="438" t="str">
        <f>IF(BID!$L907=FALSE,BID!A907,"-")</f>
        <v>-</v>
      </c>
      <c r="B899" s="114" t="str">
        <f>IF(BID!$L907=FALSE,BID!B907,"-")</f>
        <v>-</v>
      </c>
      <c r="C899" s="30" t="str">
        <f>IF(BID!$L907=FALSE,BID!C907,"-")</f>
        <v>-</v>
      </c>
      <c r="D899" s="114" t="str">
        <f>IF(BID!$L907=FALSE,BID!D907,"-")</f>
        <v>-</v>
      </c>
    </row>
    <row r="900" spans="1:4" x14ac:dyDescent="0.25">
      <c r="A900" s="438" t="str">
        <f>IF(BID!$L908=FALSE,BID!A908,"-")</f>
        <v>-</v>
      </c>
      <c r="B900" s="114" t="str">
        <f>IF(BID!$L908=FALSE,BID!B908,"-")</f>
        <v>-</v>
      </c>
      <c r="C900" s="30" t="str">
        <f>IF(BID!$L908=FALSE,BID!C908,"-")</f>
        <v>-</v>
      </c>
      <c r="D900" s="114" t="str">
        <f>IF(BID!$L908=FALSE,BID!D908,"-")</f>
        <v>-</v>
      </c>
    </row>
    <row r="901" spans="1:4" x14ac:dyDescent="0.25">
      <c r="A901" s="438" t="str">
        <f>IF(BID!$L909=FALSE,BID!A909,"-")</f>
        <v>-</v>
      </c>
      <c r="B901" s="114" t="str">
        <f>IF(BID!$L909=FALSE,BID!B909,"-")</f>
        <v>-</v>
      </c>
      <c r="C901" s="30" t="str">
        <f>IF(BID!$L909=FALSE,BID!C909,"-")</f>
        <v>-</v>
      </c>
      <c r="D901" s="114" t="str">
        <f>IF(BID!$L909=FALSE,BID!D909,"-")</f>
        <v>-</v>
      </c>
    </row>
    <row r="902" spans="1:4" x14ac:dyDescent="0.25">
      <c r="A902" s="438">
        <f>IF(BID!$L910=FALSE,BID!A910,"-")</f>
        <v>818</v>
      </c>
      <c r="B902" s="114" t="str">
        <f>IF(BID!$L910=FALSE,BID!B910,"-")</f>
        <v>CDC-5MR CONTROL (BC-5300)</v>
      </c>
      <c r="C902" s="30" t="str">
        <f>IF(BID!$L910=FALSE,BID!C910,"-")</f>
        <v>1 bottle</v>
      </c>
      <c r="D902" s="114">
        <f>IF(BID!$L910=FALSE,BID!D910,"-")</f>
        <v>12</v>
      </c>
    </row>
    <row r="903" spans="1:4" x14ac:dyDescent="0.25">
      <c r="A903" s="438" t="str">
        <f>IF(BID!$L911=FALSE,BID!A911,"-")</f>
        <v>-</v>
      </c>
      <c r="B903" s="114" t="str">
        <f>IF(BID!$L911=FALSE,BID!B911,"-")</f>
        <v>-</v>
      </c>
      <c r="C903" s="30" t="str">
        <f>IF(BID!$L911=FALSE,BID!C911,"-")</f>
        <v>-</v>
      </c>
      <c r="D903" s="114" t="str">
        <f>IF(BID!$L911=FALSE,BID!D911,"-")</f>
        <v>-</v>
      </c>
    </row>
    <row r="904" spans="1:4" x14ac:dyDescent="0.25">
      <c r="A904" s="438" t="str">
        <f>IF(BID!$L912=FALSE,BID!A912,"-")</f>
        <v>-</v>
      </c>
      <c r="B904" s="114" t="str">
        <f>IF(BID!$L912=FALSE,BID!B912,"-")</f>
        <v>-</v>
      </c>
      <c r="C904" s="30" t="str">
        <f>IF(BID!$L912=FALSE,BID!C912,"-")</f>
        <v>-</v>
      </c>
      <c r="D904" s="114" t="str">
        <f>IF(BID!$L912=FALSE,BID!D912,"-")</f>
        <v>-</v>
      </c>
    </row>
    <row r="905" spans="1:4" x14ac:dyDescent="0.25">
      <c r="A905" s="438" t="str">
        <f>IF(BID!$L913=FALSE,BID!A913,"-")</f>
        <v>-</v>
      </c>
      <c r="B905" s="114" t="str">
        <f>IF(BID!$L913=FALSE,BID!B913,"-")</f>
        <v>-</v>
      </c>
      <c r="C905" s="30" t="str">
        <f>IF(BID!$L913=FALSE,BID!C913,"-")</f>
        <v>-</v>
      </c>
      <c r="D905" s="114" t="str">
        <f>IF(BID!$L913=FALSE,BID!D913,"-")</f>
        <v>-</v>
      </c>
    </row>
    <row r="906" spans="1:4" x14ac:dyDescent="0.25">
      <c r="A906" s="438" t="str">
        <f>IF(BID!$L914=FALSE,BID!A914,"-")</f>
        <v>-</v>
      </c>
      <c r="B906" s="114" t="str">
        <f>IF(BID!$L914=FALSE,BID!B914,"-")</f>
        <v>-</v>
      </c>
      <c r="C906" s="30" t="str">
        <f>IF(BID!$L914=FALSE,BID!C914,"-")</f>
        <v>-</v>
      </c>
      <c r="D906" s="114" t="str">
        <f>IF(BID!$L914=FALSE,BID!D914,"-")</f>
        <v>-</v>
      </c>
    </row>
    <row r="907" spans="1:4" x14ac:dyDescent="0.25">
      <c r="A907" s="438" t="str">
        <f>IF(BID!$L915=FALSE,BID!A915,"-")</f>
        <v>-</v>
      </c>
      <c r="B907" s="114" t="str">
        <f>IF(BID!$L915=FALSE,BID!B915,"-")</f>
        <v>-</v>
      </c>
      <c r="C907" s="30" t="str">
        <f>IF(BID!$L915=FALSE,BID!C915,"-")</f>
        <v>-</v>
      </c>
      <c r="D907" s="114" t="str">
        <f>IF(BID!$L915=FALSE,BID!D915,"-")</f>
        <v>-</v>
      </c>
    </row>
    <row r="908" spans="1:4" x14ac:dyDescent="0.25">
      <c r="A908" s="438" t="str">
        <f>IF(BID!$L916=FALSE,BID!A916,"-")</f>
        <v>-</v>
      </c>
      <c r="B908" s="114" t="str">
        <f>IF(BID!$L916=FALSE,BID!B916,"-")</f>
        <v>-</v>
      </c>
      <c r="C908" s="30" t="str">
        <f>IF(BID!$L916=FALSE,BID!C916,"-")</f>
        <v>-</v>
      </c>
      <c r="D908" s="114" t="str">
        <f>IF(BID!$L916=FALSE,BID!D916,"-")</f>
        <v>-</v>
      </c>
    </row>
    <row r="909" spans="1:4" x14ac:dyDescent="0.25">
      <c r="A909" s="438" t="str">
        <f>IF(BID!$L917=FALSE,BID!A917,"-")</f>
        <v>-</v>
      </c>
      <c r="B909" s="114" t="str">
        <f>IF(BID!$L917=FALSE,BID!B917,"-")</f>
        <v>-</v>
      </c>
      <c r="C909" s="30" t="str">
        <f>IF(BID!$L917=FALSE,BID!C917,"-")</f>
        <v>-</v>
      </c>
      <c r="D909" s="114" t="str">
        <f>IF(BID!$L917=FALSE,BID!D917,"-")</f>
        <v>-</v>
      </c>
    </row>
    <row r="910" spans="1:4" x14ac:dyDescent="0.25">
      <c r="A910" s="438" t="str">
        <f>IF(BID!$L918=FALSE,BID!A918,"-")</f>
        <v>-</v>
      </c>
      <c r="B910" s="114" t="str">
        <f>IF(BID!$L918=FALSE,BID!B918,"-")</f>
        <v>-</v>
      </c>
      <c r="C910" s="30" t="str">
        <f>IF(BID!$L918=FALSE,BID!C918,"-")</f>
        <v>-</v>
      </c>
      <c r="D910" s="114" t="str">
        <f>IF(BID!$L918=FALSE,BID!D918,"-")</f>
        <v>-</v>
      </c>
    </row>
    <row r="911" spans="1:4" x14ac:dyDescent="0.25">
      <c r="A911" s="438" t="str">
        <f>IF(BID!$L919=FALSE,BID!A919,"-")</f>
        <v>-</v>
      </c>
      <c r="B911" s="114" t="str">
        <f>IF(BID!$L919=FALSE,BID!B919,"-")</f>
        <v>-</v>
      </c>
      <c r="C911" s="30" t="str">
        <f>IF(BID!$L919=FALSE,BID!C919,"-")</f>
        <v>-</v>
      </c>
      <c r="D911" s="114" t="str">
        <f>IF(BID!$L919=FALSE,BID!D919,"-")</f>
        <v>-</v>
      </c>
    </row>
    <row r="912" spans="1:4" x14ac:dyDescent="0.25">
      <c r="A912" s="438" t="str">
        <f>IF(BID!$L920=FALSE,BID!A920,"-")</f>
        <v>-</v>
      </c>
      <c r="B912" s="114" t="str">
        <f>IF(BID!$L920=FALSE,BID!B920,"-")</f>
        <v>-</v>
      </c>
      <c r="C912" s="30" t="str">
        <f>IF(BID!$L920=FALSE,BID!C920,"-")</f>
        <v>-</v>
      </c>
      <c r="D912" s="114" t="str">
        <f>IF(BID!$L920=FALSE,BID!D920,"-")</f>
        <v>-</v>
      </c>
    </row>
    <row r="913" spans="1:4" x14ac:dyDescent="0.25">
      <c r="A913" s="438" t="str">
        <f>IF(BID!$L921=FALSE,BID!A921,"-")</f>
        <v>-</v>
      </c>
      <c r="B913" s="114" t="str">
        <f>IF(BID!$L921=FALSE,BID!B921,"-")</f>
        <v>-</v>
      </c>
      <c r="C913" s="30" t="str">
        <f>IF(BID!$L921=FALSE,BID!C921,"-")</f>
        <v>-</v>
      </c>
      <c r="D913" s="114" t="str">
        <f>IF(BID!$L921=FALSE,BID!D921,"-")</f>
        <v>-</v>
      </c>
    </row>
    <row r="914" spans="1:4" x14ac:dyDescent="0.25">
      <c r="A914" s="438" t="str">
        <f>IF(BID!$L922=FALSE,BID!A922,"-")</f>
        <v>-</v>
      </c>
      <c r="B914" s="114" t="str">
        <f>IF(BID!$L922=FALSE,BID!B922,"-")</f>
        <v>-</v>
      </c>
      <c r="C914" s="30" t="str">
        <f>IF(BID!$L922=FALSE,BID!C922,"-")</f>
        <v>-</v>
      </c>
      <c r="D914" s="114" t="str">
        <f>IF(BID!$L922=FALSE,BID!D922,"-")</f>
        <v>-</v>
      </c>
    </row>
    <row r="915" spans="1:4" x14ac:dyDescent="0.25">
      <c r="A915" s="438" t="str">
        <f>IF(BID!$L923=FALSE,BID!A923,"-")</f>
        <v>-</v>
      </c>
      <c r="B915" s="114" t="str">
        <f>IF(BID!$L923=FALSE,BID!B923,"-")</f>
        <v>-</v>
      </c>
      <c r="C915" s="30" t="str">
        <f>IF(BID!$L923=FALSE,BID!C923,"-")</f>
        <v>-</v>
      </c>
      <c r="D915" s="114" t="str">
        <f>IF(BID!$L923=FALSE,BID!D923,"-")</f>
        <v>-</v>
      </c>
    </row>
    <row r="916" spans="1:4" x14ac:dyDescent="0.25">
      <c r="A916" s="438" t="str">
        <f>IF(BID!$L924=FALSE,BID!A924,"-")</f>
        <v>-</v>
      </c>
      <c r="B916" s="114" t="str">
        <f>IF(BID!$L924=FALSE,BID!B924,"-")</f>
        <v>-</v>
      </c>
      <c r="C916" s="30" t="str">
        <f>IF(BID!$L924=FALSE,BID!C924,"-")</f>
        <v>-</v>
      </c>
      <c r="D916" s="114" t="str">
        <f>IF(BID!$L924=FALSE,BID!D924,"-")</f>
        <v>-</v>
      </c>
    </row>
    <row r="917" spans="1:4" x14ac:dyDescent="0.25">
      <c r="A917" s="438" t="str">
        <f>IF(BID!$L925=FALSE,BID!A925,"-")</f>
        <v>-</v>
      </c>
      <c r="B917" s="114" t="str">
        <f>IF(BID!$L925=FALSE,BID!B925,"-")</f>
        <v>-</v>
      </c>
      <c r="C917" s="30" t="str">
        <f>IF(BID!$L925=FALSE,BID!C925,"-")</f>
        <v>-</v>
      </c>
      <c r="D917" s="114" t="str">
        <f>IF(BID!$L925=FALSE,BID!D925,"-")</f>
        <v>-</v>
      </c>
    </row>
    <row r="918" spans="1:4" x14ac:dyDescent="0.25">
      <c r="A918" s="438" t="str">
        <f>IF(BID!$L926=FALSE,BID!A926,"-")</f>
        <v>-</v>
      </c>
      <c r="B918" s="114" t="str">
        <f>IF(BID!$L926=FALSE,BID!B926,"-")</f>
        <v>-</v>
      </c>
      <c r="C918" s="30" t="str">
        <f>IF(BID!$L926=FALSE,BID!C926,"-")</f>
        <v>-</v>
      </c>
      <c r="D918" s="114" t="str">
        <f>IF(BID!$L926=FALSE,BID!D926,"-")</f>
        <v>-</v>
      </c>
    </row>
    <row r="919" spans="1:4" x14ac:dyDescent="0.25">
      <c r="A919" s="438" t="str">
        <f>IF(BID!$L927=FALSE,BID!A927,"-")</f>
        <v>-</v>
      </c>
      <c r="B919" s="114" t="str">
        <f>IF(BID!$L927=FALSE,BID!B927,"-")</f>
        <v>-</v>
      </c>
      <c r="C919" s="30" t="str">
        <f>IF(BID!$L927=FALSE,BID!C927,"-")</f>
        <v>-</v>
      </c>
      <c r="D919" s="114" t="str">
        <f>IF(BID!$L927=FALSE,BID!D927,"-")</f>
        <v>-</v>
      </c>
    </row>
    <row r="920" spans="1:4" x14ac:dyDescent="0.25">
      <c r="A920" s="438" t="str">
        <f>IF(BID!$L928=FALSE,BID!A928,"-")</f>
        <v>-</v>
      </c>
      <c r="B920" s="114" t="str">
        <f>IF(BID!$L928=FALSE,BID!B928,"-")</f>
        <v>-</v>
      </c>
      <c r="C920" s="30" t="str">
        <f>IF(BID!$L928=FALSE,BID!C928,"-")</f>
        <v>-</v>
      </c>
      <c r="D920" s="114" t="str">
        <f>IF(BID!$L928=FALSE,BID!D928,"-")</f>
        <v>-</v>
      </c>
    </row>
    <row r="921" spans="1:4" x14ac:dyDescent="0.25">
      <c r="A921" s="438" t="str">
        <f>IF(BID!$L929=FALSE,BID!A929,"-")</f>
        <v>-</v>
      </c>
      <c r="B921" s="114" t="str">
        <f>IF(BID!$L929=FALSE,BID!B929,"-")</f>
        <v>-</v>
      </c>
      <c r="C921" s="30" t="str">
        <f>IF(BID!$L929=FALSE,BID!C929,"-")</f>
        <v>-</v>
      </c>
      <c r="D921" s="114" t="str">
        <f>IF(BID!$L929=FALSE,BID!D929,"-")</f>
        <v>-</v>
      </c>
    </row>
    <row r="922" spans="1:4" x14ac:dyDescent="0.25">
      <c r="A922" s="438" t="str">
        <f>IF(BID!$L930=FALSE,BID!A930,"-")</f>
        <v>-</v>
      </c>
      <c r="B922" s="114" t="str">
        <f>IF(BID!$L930=FALSE,BID!B930,"-")</f>
        <v>-</v>
      </c>
      <c r="C922" s="30" t="str">
        <f>IF(BID!$L930=FALSE,BID!C930,"-")</f>
        <v>-</v>
      </c>
      <c r="D922" s="114" t="str">
        <f>IF(BID!$L930=FALSE,BID!D930,"-")</f>
        <v>-</v>
      </c>
    </row>
    <row r="923" spans="1:4" x14ac:dyDescent="0.25">
      <c r="A923" s="438" t="str">
        <f>IF(BID!$L931=FALSE,BID!A931,"-")</f>
        <v>-</v>
      </c>
      <c r="B923" s="114" t="str">
        <f>IF(BID!$L931=FALSE,BID!B931,"-")</f>
        <v>-</v>
      </c>
      <c r="C923" s="30" t="str">
        <f>IF(BID!$L931=FALSE,BID!C931,"-")</f>
        <v>-</v>
      </c>
      <c r="D923" s="114" t="str">
        <f>IF(BID!$L931=FALSE,BID!D931,"-")</f>
        <v>-</v>
      </c>
    </row>
    <row r="924" spans="1:4" x14ac:dyDescent="0.25">
      <c r="A924" s="438" t="str">
        <f>IF(BID!$L932=FALSE,BID!A932,"-")</f>
        <v>-</v>
      </c>
      <c r="B924" s="114" t="str">
        <f>IF(BID!$L932=FALSE,BID!B932,"-")</f>
        <v>-</v>
      </c>
      <c r="C924" s="30" t="str">
        <f>IF(BID!$L932=FALSE,BID!C932,"-")</f>
        <v>-</v>
      </c>
      <c r="D924" s="114" t="str">
        <f>IF(BID!$L932=FALSE,BID!D932,"-")</f>
        <v>-</v>
      </c>
    </row>
    <row r="925" spans="1:4" x14ac:dyDescent="0.25">
      <c r="A925" s="438" t="str">
        <f>IF(BID!$L933=FALSE,BID!A933,"-")</f>
        <v>-</v>
      </c>
      <c r="B925" s="114" t="str">
        <f>IF(BID!$L933=FALSE,BID!B933,"-")</f>
        <v>-</v>
      </c>
      <c r="C925" s="30" t="str">
        <f>IF(BID!$L933=FALSE,BID!C933,"-")</f>
        <v>-</v>
      </c>
      <c r="D925" s="114" t="str">
        <f>IF(BID!$L933=FALSE,BID!D933,"-")</f>
        <v>-</v>
      </c>
    </row>
    <row r="926" spans="1:4" x14ac:dyDescent="0.25">
      <c r="A926" s="438" t="str">
        <f>IF(BID!$L934=FALSE,BID!A934,"-")</f>
        <v>-</v>
      </c>
      <c r="B926" s="114" t="str">
        <f>IF(BID!$L934=FALSE,BID!B934,"-")</f>
        <v>-</v>
      </c>
      <c r="C926" s="30" t="str">
        <f>IF(BID!$L934=FALSE,BID!C934,"-")</f>
        <v>-</v>
      </c>
      <c r="D926" s="114" t="str">
        <f>IF(BID!$L934=FALSE,BID!D934,"-")</f>
        <v>-</v>
      </c>
    </row>
    <row r="927" spans="1:4" x14ac:dyDescent="0.25">
      <c r="A927" s="438" t="str">
        <f>IF(BID!$L935=FALSE,BID!A935,"-")</f>
        <v>-</v>
      </c>
      <c r="B927" s="114" t="str">
        <f>IF(BID!$L935=FALSE,BID!B935,"-")</f>
        <v>-</v>
      </c>
      <c r="C927" s="30" t="str">
        <f>IF(BID!$L935=FALSE,BID!C935,"-")</f>
        <v>-</v>
      </c>
      <c r="D927" s="114" t="str">
        <f>IF(BID!$L935=FALSE,BID!D935,"-")</f>
        <v>-</v>
      </c>
    </row>
    <row r="928" spans="1:4" x14ac:dyDescent="0.25">
      <c r="A928" s="438" t="str">
        <f>IF(BID!$L936=FALSE,BID!A936,"-")</f>
        <v>-</v>
      </c>
      <c r="B928" s="114" t="str">
        <f>IF(BID!$L936=FALSE,BID!B936,"-")</f>
        <v>-</v>
      </c>
      <c r="C928" s="30" t="str">
        <f>IF(BID!$L936=FALSE,BID!C936,"-")</f>
        <v>-</v>
      </c>
      <c r="D928" s="114" t="str">
        <f>IF(BID!$L936=FALSE,BID!D936,"-")</f>
        <v>-</v>
      </c>
    </row>
    <row r="929" spans="1:4" x14ac:dyDescent="0.25">
      <c r="A929" s="438" t="str">
        <f>IF(BID!$L937=FALSE,BID!A937,"-")</f>
        <v>-</v>
      </c>
      <c r="B929" s="114" t="str">
        <f>IF(BID!$L937=FALSE,BID!B937,"-")</f>
        <v>-</v>
      </c>
      <c r="C929" s="30" t="str">
        <f>IF(BID!$L937=FALSE,BID!C937,"-")</f>
        <v>-</v>
      </c>
      <c r="D929" s="114" t="str">
        <f>IF(BID!$L937=FALSE,BID!D937,"-")</f>
        <v>-</v>
      </c>
    </row>
    <row r="930" spans="1:4" x14ac:dyDescent="0.25">
      <c r="A930" s="438">
        <f>IF(BID!$L938=FALSE,BID!A938,"-")</f>
        <v>0</v>
      </c>
      <c r="B930" s="114">
        <f>IF(BID!$L938=FALSE,BID!B938,"-")</f>
        <v>0</v>
      </c>
      <c r="C930" s="30">
        <f>IF(BID!$L938=FALSE,BID!C938,"-")</f>
        <v>0</v>
      </c>
      <c r="D930" s="114">
        <f>IF(BID!$L938=FALSE,BID!D938,"-")</f>
        <v>0</v>
      </c>
    </row>
    <row r="931" spans="1:4" x14ac:dyDescent="0.25">
      <c r="A931" s="438">
        <f>IF(BID!$L939=FALSE,BID!A939,"-")</f>
        <v>0</v>
      </c>
      <c r="B931" s="114">
        <f>IF(BID!$L939=FALSE,BID!B939,"-")</f>
        <v>0</v>
      </c>
      <c r="C931" s="30">
        <f>IF(BID!$L939=FALSE,BID!C939,"-")</f>
        <v>0</v>
      </c>
      <c r="D931" s="114">
        <f>IF(BID!$L939=FALSE,BID!D939,"-")</f>
        <v>0</v>
      </c>
    </row>
    <row r="932" spans="1:4" x14ac:dyDescent="0.25">
      <c r="A932" s="438">
        <f>IF(BID!$L940=FALSE,BID!A940,"-")</f>
        <v>0</v>
      </c>
      <c r="B932" s="114">
        <f>IF(BID!$L940=FALSE,BID!B940,"-")</f>
        <v>0</v>
      </c>
      <c r="C932" s="30">
        <f>IF(BID!$L940=FALSE,BID!C940,"-")</f>
        <v>0</v>
      </c>
      <c r="D932" s="114">
        <f>IF(BID!$L940=FALSE,BID!D940,"-")</f>
        <v>0</v>
      </c>
    </row>
    <row r="933" spans="1:4" x14ac:dyDescent="0.25">
      <c r="A933" s="438">
        <f>IF(BID!$L941=FALSE,BID!A941,"-")</f>
        <v>0</v>
      </c>
      <c r="B933" s="114">
        <f>IF(BID!$L941=FALSE,BID!B941,"-")</f>
        <v>0</v>
      </c>
      <c r="C933" s="30">
        <f>IF(BID!$L941=FALSE,BID!C941,"-")</f>
        <v>0</v>
      </c>
      <c r="D933" s="114">
        <f>IF(BID!$L941=FALSE,BID!D941,"-")</f>
        <v>0</v>
      </c>
    </row>
    <row r="934" spans="1:4" x14ac:dyDescent="0.25">
      <c r="A934" s="438" t="str">
        <f>IF(BID!$L942=FALSE,BID!A942,"-")</f>
        <v>LOT 17</v>
      </c>
      <c r="B934" s="114" t="str">
        <f>IF(BID!$L942=FALSE,BID!B942,"-")</f>
        <v>LABORATORY DEPARTMENT - HISTOPATHOLOGY</v>
      </c>
      <c r="C934" s="30">
        <f>IF(BID!$L942=FALSE,BID!C942,"-")</f>
        <v>0</v>
      </c>
      <c r="D934" s="114">
        <f>IF(BID!$L942=FALSE,BID!D942,"-")</f>
        <v>0</v>
      </c>
    </row>
    <row r="935" spans="1:4" x14ac:dyDescent="0.25">
      <c r="A935" s="438">
        <f>IF(BID!$L943=FALSE,BID!A943,"-")</f>
        <v>0</v>
      </c>
      <c r="B935" s="114">
        <f>IF(BID!$L943=FALSE,BID!B943,"-")</f>
        <v>0</v>
      </c>
      <c r="C935" s="30">
        <f>IF(BID!$L943=FALSE,BID!C943,"-")</f>
        <v>0</v>
      </c>
      <c r="D935" s="114">
        <f>IF(BID!$L943=FALSE,BID!D943,"-")</f>
        <v>0</v>
      </c>
    </row>
    <row r="936" spans="1:4" x14ac:dyDescent="0.25">
      <c r="A936" s="438" t="str">
        <f>IF(BID!$L944=FALSE,BID!A944,"-")</f>
        <v>-</v>
      </c>
      <c r="B936" s="114" t="str">
        <f>IF(BID!$L944=FALSE,BID!B944,"-")</f>
        <v>-</v>
      </c>
      <c r="C936" s="30" t="str">
        <f>IF(BID!$L944=FALSE,BID!C944,"-")</f>
        <v>-</v>
      </c>
      <c r="D936" s="114" t="str">
        <f>IF(BID!$L944=FALSE,BID!D944,"-")</f>
        <v>-</v>
      </c>
    </row>
    <row r="937" spans="1:4" x14ac:dyDescent="0.25">
      <c r="A937" s="438" t="str">
        <f>IF(BID!$L945=FALSE,BID!A945,"-")</f>
        <v>-</v>
      </c>
      <c r="B937" s="114" t="str">
        <f>IF(BID!$L945=FALSE,BID!B945,"-")</f>
        <v>-</v>
      </c>
      <c r="C937" s="30" t="str">
        <f>IF(BID!$L945=FALSE,BID!C945,"-")</f>
        <v>-</v>
      </c>
      <c r="D937" s="114" t="str">
        <f>IF(BID!$L945=FALSE,BID!D945,"-")</f>
        <v>-</v>
      </c>
    </row>
    <row r="938" spans="1:4" x14ac:dyDescent="0.25">
      <c r="A938" s="438" t="str">
        <f>IF(BID!$L946=FALSE,BID!A946,"-")</f>
        <v>-</v>
      </c>
      <c r="B938" s="114" t="str">
        <f>IF(BID!$L946=FALSE,BID!B946,"-")</f>
        <v>-</v>
      </c>
      <c r="C938" s="30" t="str">
        <f>IF(BID!$L946=FALSE,BID!C946,"-")</f>
        <v>-</v>
      </c>
      <c r="D938" s="114" t="str">
        <f>IF(BID!$L946=FALSE,BID!D946,"-")</f>
        <v>-</v>
      </c>
    </row>
    <row r="939" spans="1:4" x14ac:dyDescent="0.25">
      <c r="A939" s="438" t="str">
        <f>IF(BID!$L947=FALSE,BID!A947,"-")</f>
        <v>-</v>
      </c>
      <c r="B939" s="114" t="str">
        <f>IF(BID!$L947=FALSE,BID!B947,"-")</f>
        <v>-</v>
      </c>
      <c r="C939" s="30" t="str">
        <f>IF(BID!$L947=FALSE,BID!C947,"-")</f>
        <v>-</v>
      </c>
      <c r="D939" s="114" t="str">
        <f>IF(BID!$L947=FALSE,BID!D947,"-")</f>
        <v>-</v>
      </c>
    </row>
    <row r="940" spans="1:4" x14ac:dyDescent="0.25">
      <c r="A940" s="438" t="str">
        <f>IF(BID!$L948=FALSE,BID!A948,"-")</f>
        <v>-</v>
      </c>
      <c r="B940" s="114" t="str">
        <f>IF(BID!$L948=FALSE,BID!B948,"-")</f>
        <v>-</v>
      </c>
      <c r="C940" s="30" t="str">
        <f>IF(BID!$L948=FALSE,BID!C948,"-")</f>
        <v>-</v>
      </c>
      <c r="D940" s="114" t="str">
        <f>IF(BID!$L948=FALSE,BID!D948,"-")</f>
        <v>-</v>
      </c>
    </row>
    <row r="941" spans="1:4" x14ac:dyDescent="0.25">
      <c r="A941" s="438" t="str">
        <f>IF(BID!$L949=FALSE,BID!A949,"-")</f>
        <v>-</v>
      </c>
      <c r="B941" s="114" t="str">
        <f>IF(BID!$L949=FALSE,BID!B949,"-")</f>
        <v>-</v>
      </c>
      <c r="C941" s="30" t="str">
        <f>IF(BID!$L949=FALSE,BID!C949,"-")</f>
        <v>-</v>
      </c>
      <c r="D941" s="114" t="str">
        <f>IF(BID!$L949=FALSE,BID!D949,"-")</f>
        <v>-</v>
      </c>
    </row>
    <row r="942" spans="1:4" x14ac:dyDescent="0.25">
      <c r="A942" s="438" t="str">
        <f>IF(BID!$L950=FALSE,BID!A950,"-")</f>
        <v>-</v>
      </c>
      <c r="B942" s="114" t="str">
        <f>IF(BID!$L950=FALSE,BID!B950,"-")</f>
        <v>-</v>
      </c>
      <c r="C942" s="30" t="str">
        <f>IF(BID!$L950=FALSE,BID!C950,"-")</f>
        <v>-</v>
      </c>
      <c r="D942" s="114" t="str">
        <f>IF(BID!$L950=FALSE,BID!D950,"-")</f>
        <v>-</v>
      </c>
    </row>
    <row r="943" spans="1:4" x14ac:dyDescent="0.25">
      <c r="A943" s="438" t="str">
        <f>IF(BID!$L951=FALSE,BID!A951,"-")</f>
        <v>-</v>
      </c>
      <c r="B943" s="114" t="str">
        <f>IF(BID!$L951=FALSE,BID!B951,"-")</f>
        <v>-</v>
      </c>
      <c r="C943" s="30" t="str">
        <f>IF(BID!$L951=FALSE,BID!C951,"-")</f>
        <v>-</v>
      </c>
      <c r="D943" s="114" t="str">
        <f>IF(BID!$L951=FALSE,BID!D951,"-")</f>
        <v>-</v>
      </c>
    </row>
    <row r="944" spans="1:4" x14ac:dyDescent="0.25">
      <c r="A944" s="438" t="str">
        <f>IF(BID!$L952=FALSE,BID!A952,"-")</f>
        <v>-</v>
      </c>
      <c r="B944" s="114" t="str">
        <f>IF(BID!$L952=FALSE,BID!B952,"-")</f>
        <v>-</v>
      </c>
      <c r="C944" s="30" t="str">
        <f>IF(BID!$L952=FALSE,BID!C952,"-")</f>
        <v>-</v>
      </c>
      <c r="D944" s="114" t="str">
        <f>IF(BID!$L952=FALSE,BID!D952,"-")</f>
        <v>-</v>
      </c>
    </row>
    <row r="945" spans="1:4" x14ac:dyDescent="0.25">
      <c r="A945" s="438" t="str">
        <f>IF(BID!$L953=FALSE,BID!A953,"-")</f>
        <v>-</v>
      </c>
      <c r="B945" s="114" t="str">
        <f>IF(BID!$L953=FALSE,BID!B953,"-")</f>
        <v>-</v>
      </c>
      <c r="C945" s="30" t="str">
        <f>IF(BID!$L953=FALSE,BID!C953,"-")</f>
        <v>-</v>
      </c>
      <c r="D945" s="114" t="str">
        <f>IF(BID!$L953=FALSE,BID!D953,"-")</f>
        <v>-</v>
      </c>
    </row>
    <row r="946" spans="1:4" x14ac:dyDescent="0.25">
      <c r="A946" s="438" t="str">
        <f>IF(BID!$L954=FALSE,BID!A954,"-")</f>
        <v>-</v>
      </c>
      <c r="B946" s="114" t="str">
        <f>IF(BID!$L954=FALSE,BID!B954,"-")</f>
        <v>-</v>
      </c>
      <c r="C946" s="30" t="str">
        <f>IF(BID!$L954=FALSE,BID!C954,"-")</f>
        <v>-</v>
      </c>
      <c r="D946" s="114" t="str">
        <f>IF(BID!$L954=FALSE,BID!D954,"-")</f>
        <v>-</v>
      </c>
    </row>
    <row r="947" spans="1:4" x14ac:dyDescent="0.25">
      <c r="A947" s="438" t="str">
        <f>IF(BID!$L955=FALSE,BID!A955,"-")</f>
        <v>-</v>
      </c>
      <c r="B947" s="114" t="str">
        <f>IF(BID!$L955=FALSE,BID!B955,"-")</f>
        <v>-</v>
      </c>
      <c r="C947" s="30" t="str">
        <f>IF(BID!$L955=FALSE,BID!C955,"-")</f>
        <v>-</v>
      </c>
      <c r="D947" s="114" t="str">
        <f>IF(BID!$L955=FALSE,BID!D955,"-")</f>
        <v>-</v>
      </c>
    </row>
    <row r="948" spans="1:4" x14ac:dyDescent="0.25">
      <c r="A948" s="438" t="str">
        <f>IF(BID!$L956=FALSE,BID!A956,"-")</f>
        <v>-</v>
      </c>
      <c r="B948" s="114" t="str">
        <f>IF(BID!$L956=FALSE,BID!B956,"-")</f>
        <v>-</v>
      </c>
      <c r="C948" s="30" t="str">
        <f>IF(BID!$L956=FALSE,BID!C956,"-")</f>
        <v>-</v>
      </c>
      <c r="D948" s="114" t="str">
        <f>IF(BID!$L956=FALSE,BID!D956,"-")</f>
        <v>-</v>
      </c>
    </row>
    <row r="949" spans="1:4" x14ac:dyDescent="0.25">
      <c r="A949" s="438" t="str">
        <f>IF(BID!$L957=FALSE,BID!A957,"-")</f>
        <v>-</v>
      </c>
      <c r="B949" s="114" t="str">
        <f>IF(BID!$L957=FALSE,BID!B957,"-")</f>
        <v>-</v>
      </c>
      <c r="C949" s="30" t="str">
        <f>IF(BID!$L957=FALSE,BID!C957,"-")</f>
        <v>-</v>
      </c>
      <c r="D949" s="114" t="str">
        <f>IF(BID!$L957=FALSE,BID!D957,"-")</f>
        <v>-</v>
      </c>
    </row>
    <row r="950" spans="1:4" x14ac:dyDescent="0.25">
      <c r="A950" s="438" t="str">
        <f>IF(BID!$L958=FALSE,BID!A958,"-")</f>
        <v>-</v>
      </c>
      <c r="B950" s="114" t="str">
        <f>IF(BID!$L958=FALSE,BID!B958,"-")</f>
        <v>-</v>
      </c>
      <c r="C950" s="30" t="str">
        <f>IF(BID!$L958=FALSE,BID!C958,"-")</f>
        <v>-</v>
      </c>
      <c r="D950" s="114" t="str">
        <f>IF(BID!$L958=FALSE,BID!D958,"-")</f>
        <v>-</v>
      </c>
    </row>
    <row r="951" spans="1:4" x14ac:dyDescent="0.25">
      <c r="A951" s="438" t="str">
        <f>IF(BID!$L959=FALSE,BID!A959,"-")</f>
        <v>-</v>
      </c>
      <c r="B951" s="114" t="str">
        <f>IF(BID!$L959=FALSE,BID!B959,"-")</f>
        <v>-</v>
      </c>
      <c r="C951" s="30" t="str">
        <f>IF(BID!$L959=FALSE,BID!C959,"-")</f>
        <v>-</v>
      </c>
      <c r="D951" s="114" t="str">
        <f>IF(BID!$L959=FALSE,BID!D959,"-")</f>
        <v>-</v>
      </c>
    </row>
    <row r="952" spans="1:4" x14ac:dyDescent="0.25">
      <c r="A952" s="438" t="str">
        <f>IF(BID!$L960=FALSE,BID!A960,"-")</f>
        <v>-</v>
      </c>
      <c r="B952" s="114" t="str">
        <f>IF(BID!$L960=FALSE,BID!B960,"-")</f>
        <v>-</v>
      </c>
      <c r="C952" s="30" t="str">
        <f>IF(BID!$L960=FALSE,BID!C960,"-")</f>
        <v>-</v>
      </c>
      <c r="D952" s="114" t="str">
        <f>IF(BID!$L960=FALSE,BID!D960,"-")</f>
        <v>-</v>
      </c>
    </row>
    <row r="953" spans="1:4" x14ac:dyDescent="0.25">
      <c r="A953" s="438" t="str">
        <f>IF(BID!$L961=FALSE,BID!A961,"-")</f>
        <v>-</v>
      </c>
      <c r="B953" s="114" t="str">
        <f>IF(BID!$L961=FALSE,BID!B961,"-")</f>
        <v>-</v>
      </c>
      <c r="C953" s="30" t="str">
        <f>IF(BID!$L961=FALSE,BID!C961,"-")</f>
        <v>-</v>
      </c>
      <c r="D953" s="114" t="str">
        <f>IF(BID!$L961=FALSE,BID!D961,"-")</f>
        <v>-</v>
      </c>
    </row>
    <row r="954" spans="1:4" x14ac:dyDescent="0.25">
      <c r="A954" s="438" t="str">
        <f>IF(BID!$L962=FALSE,BID!A962,"-")</f>
        <v>-</v>
      </c>
      <c r="B954" s="114" t="str">
        <f>IF(BID!$L962=FALSE,BID!B962,"-")</f>
        <v>-</v>
      </c>
      <c r="C954" s="30" t="str">
        <f>IF(BID!$L962=FALSE,BID!C962,"-")</f>
        <v>-</v>
      </c>
      <c r="D954" s="114" t="str">
        <f>IF(BID!$L962=FALSE,BID!D962,"-")</f>
        <v>-</v>
      </c>
    </row>
    <row r="955" spans="1:4" x14ac:dyDescent="0.25">
      <c r="A955" s="438" t="str">
        <f>IF(BID!$L963=FALSE,BID!A963,"-")</f>
        <v>-</v>
      </c>
      <c r="B955" s="114" t="str">
        <f>IF(BID!$L963=FALSE,BID!B963,"-")</f>
        <v>-</v>
      </c>
      <c r="C955" s="30" t="str">
        <f>IF(BID!$L963=FALSE,BID!C963,"-")</f>
        <v>-</v>
      </c>
      <c r="D955" s="114" t="str">
        <f>IF(BID!$L963=FALSE,BID!D963,"-")</f>
        <v>-</v>
      </c>
    </row>
    <row r="956" spans="1:4" x14ac:dyDescent="0.25">
      <c r="A956" s="438" t="str">
        <f>IF(BID!$L964=FALSE,BID!A964,"-")</f>
        <v>-</v>
      </c>
      <c r="B956" s="114" t="str">
        <f>IF(BID!$L964=FALSE,BID!B964,"-")</f>
        <v>-</v>
      </c>
      <c r="C956" s="30" t="str">
        <f>IF(BID!$L964=FALSE,BID!C964,"-")</f>
        <v>-</v>
      </c>
      <c r="D956" s="114" t="str">
        <f>IF(BID!$L964=FALSE,BID!D964,"-")</f>
        <v>-</v>
      </c>
    </row>
    <row r="957" spans="1:4" x14ac:dyDescent="0.25">
      <c r="A957" s="438" t="str">
        <f>IF(BID!$L965=FALSE,BID!A965,"-")</f>
        <v>-</v>
      </c>
      <c r="B957" s="114" t="str">
        <f>IF(BID!$L965=FALSE,BID!B965,"-")</f>
        <v>-</v>
      </c>
      <c r="C957" s="30" t="str">
        <f>IF(BID!$L965=FALSE,BID!C965,"-")</f>
        <v>-</v>
      </c>
      <c r="D957" s="114" t="str">
        <f>IF(BID!$L965=FALSE,BID!D965,"-")</f>
        <v>-</v>
      </c>
    </row>
    <row r="958" spans="1:4" x14ac:dyDescent="0.25">
      <c r="A958" s="438" t="str">
        <f>IF(BID!$L966=FALSE,BID!A966,"-")</f>
        <v>-</v>
      </c>
      <c r="B958" s="114" t="str">
        <f>IF(BID!$L966=FALSE,BID!B966,"-")</f>
        <v>-</v>
      </c>
      <c r="C958" s="30" t="str">
        <f>IF(BID!$L966=FALSE,BID!C966,"-")</f>
        <v>-</v>
      </c>
      <c r="D958" s="114" t="str">
        <f>IF(BID!$L966=FALSE,BID!D966,"-")</f>
        <v>-</v>
      </c>
    </row>
    <row r="959" spans="1:4" x14ac:dyDescent="0.25">
      <c r="A959" s="438" t="str">
        <f>IF(BID!$L967=FALSE,BID!A967,"-")</f>
        <v>-</v>
      </c>
      <c r="B959" s="114" t="str">
        <f>IF(BID!$L967=FALSE,BID!B967,"-")</f>
        <v>-</v>
      </c>
      <c r="C959" s="30" t="str">
        <f>IF(BID!$L967=FALSE,BID!C967,"-")</f>
        <v>-</v>
      </c>
      <c r="D959" s="114" t="str">
        <f>IF(BID!$L967=FALSE,BID!D967,"-")</f>
        <v>-</v>
      </c>
    </row>
    <row r="960" spans="1:4" x14ac:dyDescent="0.25">
      <c r="A960" s="438" t="str">
        <f>IF(BID!$L968=FALSE,BID!A968,"-")</f>
        <v>-</v>
      </c>
      <c r="B960" s="114" t="str">
        <f>IF(BID!$L968=FALSE,BID!B968,"-")</f>
        <v>-</v>
      </c>
      <c r="C960" s="30" t="str">
        <f>IF(BID!$L968=FALSE,BID!C968,"-")</f>
        <v>-</v>
      </c>
      <c r="D960" s="114" t="str">
        <f>IF(BID!$L968=FALSE,BID!D968,"-")</f>
        <v>-</v>
      </c>
    </row>
    <row r="961" spans="1:4" x14ac:dyDescent="0.25">
      <c r="A961" s="438" t="str">
        <f>IF(BID!$L969=FALSE,BID!A969,"-")</f>
        <v>-</v>
      </c>
      <c r="B961" s="114" t="str">
        <f>IF(BID!$L969=FALSE,BID!B969,"-")</f>
        <v>-</v>
      </c>
      <c r="C961" s="30" t="str">
        <f>IF(BID!$L969=FALSE,BID!C969,"-")</f>
        <v>-</v>
      </c>
      <c r="D961" s="114" t="str">
        <f>IF(BID!$L969=FALSE,BID!D969,"-")</f>
        <v>-</v>
      </c>
    </row>
    <row r="962" spans="1:4" x14ac:dyDescent="0.25">
      <c r="A962" s="438" t="str">
        <f>IF(BID!$L970=FALSE,BID!A970,"-")</f>
        <v>-</v>
      </c>
      <c r="B962" s="114" t="str">
        <f>IF(BID!$L970=FALSE,BID!B970,"-")</f>
        <v>-</v>
      </c>
      <c r="C962" s="30" t="str">
        <f>IF(BID!$L970=FALSE,BID!C970,"-")</f>
        <v>-</v>
      </c>
      <c r="D962" s="114" t="str">
        <f>IF(BID!$L970=FALSE,BID!D970,"-")</f>
        <v>-</v>
      </c>
    </row>
    <row r="963" spans="1:4" x14ac:dyDescent="0.25">
      <c r="A963" s="438" t="str">
        <f>IF(BID!$L971=FALSE,BID!A971,"-")</f>
        <v>-</v>
      </c>
      <c r="B963" s="114" t="str">
        <f>IF(BID!$L971=FALSE,BID!B971,"-")</f>
        <v>-</v>
      </c>
      <c r="C963" s="30" t="str">
        <f>IF(BID!$L971=FALSE,BID!C971,"-")</f>
        <v>-</v>
      </c>
      <c r="D963" s="114" t="str">
        <f>IF(BID!$L971=FALSE,BID!D971,"-")</f>
        <v>-</v>
      </c>
    </row>
    <row r="964" spans="1:4" x14ac:dyDescent="0.25">
      <c r="A964" s="438" t="str">
        <f>IF(BID!$L972=FALSE,BID!A972,"-")</f>
        <v>-</v>
      </c>
      <c r="B964" s="114" t="str">
        <f>IF(BID!$L972=FALSE,BID!B972,"-")</f>
        <v>-</v>
      </c>
      <c r="C964" s="30" t="str">
        <f>IF(BID!$L972=FALSE,BID!C972,"-")</f>
        <v>-</v>
      </c>
      <c r="D964" s="114" t="str">
        <f>IF(BID!$L972=FALSE,BID!D972,"-")</f>
        <v>-</v>
      </c>
    </row>
    <row r="965" spans="1:4" x14ac:dyDescent="0.25">
      <c r="A965" s="438" t="str">
        <f>IF(BID!$L973=FALSE,BID!A973,"-")</f>
        <v>-</v>
      </c>
      <c r="B965" s="114" t="str">
        <f>IF(BID!$L973=FALSE,BID!B973,"-")</f>
        <v>-</v>
      </c>
      <c r="C965" s="30" t="str">
        <f>IF(BID!$L973=FALSE,BID!C973,"-")</f>
        <v>-</v>
      </c>
      <c r="D965" s="114" t="str">
        <f>IF(BID!$L973=FALSE,BID!D973,"-")</f>
        <v>-</v>
      </c>
    </row>
    <row r="966" spans="1:4" x14ac:dyDescent="0.25">
      <c r="A966" s="438" t="str">
        <f>IF(BID!$L974=FALSE,BID!A974,"-")</f>
        <v>-</v>
      </c>
      <c r="B966" s="114" t="str">
        <f>IF(BID!$L974=FALSE,BID!B974,"-")</f>
        <v>-</v>
      </c>
      <c r="C966" s="30" t="str">
        <f>IF(BID!$L974=FALSE,BID!C974,"-")</f>
        <v>-</v>
      </c>
      <c r="D966" s="114" t="str">
        <f>IF(BID!$L974=FALSE,BID!D974,"-")</f>
        <v>-</v>
      </c>
    </row>
    <row r="967" spans="1:4" x14ac:dyDescent="0.25">
      <c r="A967" s="438" t="str">
        <f>IF(BID!$L975=FALSE,BID!A975,"-")</f>
        <v>-</v>
      </c>
      <c r="B967" s="114" t="str">
        <f>IF(BID!$L975=FALSE,BID!B975,"-")</f>
        <v>-</v>
      </c>
      <c r="C967" s="30" t="str">
        <f>IF(BID!$L975=FALSE,BID!C975,"-")</f>
        <v>-</v>
      </c>
      <c r="D967" s="114" t="str">
        <f>IF(BID!$L975=FALSE,BID!D975,"-")</f>
        <v>-</v>
      </c>
    </row>
    <row r="968" spans="1:4" x14ac:dyDescent="0.25">
      <c r="A968" s="438" t="str">
        <f>IF(BID!$L976=FALSE,BID!A976,"-")</f>
        <v>-</v>
      </c>
      <c r="B968" s="114" t="str">
        <f>IF(BID!$L976=FALSE,BID!B976,"-")</f>
        <v>-</v>
      </c>
      <c r="C968" s="30" t="str">
        <f>IF(BID!$L976=FALSE,BID!C976,"-")</f>
        <v>-</v>
      </c>
      <c r="D968" s="114" t="str">
        <f>IF(BID!$L976=FALSE,BID!D976,"-")</f>
        <v>-</v>
      </c>
    </row>
    <row r="969" spans="1:4" x14ac:dyDescent="0.25">
      <c r="A969" s="438" t="str">
        <f>IF(BID!$L977=FALSE,BID!A977,"-")</f>
        <v>-</v>
      </c>
      <c r="B969" s="114" t="str">
        <f>IF(BID!$L977=FALSE,BID!B977,"-")</f>
        <v>-</v>
      </c>
      <c r="C969" s="30" t="str">
        <f>IF(BID!$L977=FALSE,BID!C977,"-")</f>
        <v>-</v>
      </c>
      <c r="D969" s="114" t="str">
        <f>IF(BID!$L977=FALSE,BID!D977,"-")</f>
        <v>-</v>
      </c>
    </row>
    <row r="970" spans="1:4" x14ac:dyDescent="0.25">
      <c r="A970" s="438" t="str">
        <f>IF(BID!$L978=FALSE,BID!A978,"-")</f>
        <v>-</v>
      </c>
      <c r="B970" s="114" t="str">
        <f>IF(BID!$L978=FALSE,BID!B978,"-")</f>
        <v>-</v>
      </c>
      <c r="C970" s="30" t="str">
        <f>IF(BID!$L978=FALSE,BID!C978,"-")</f>
        <v>-</v>
      </c>
      <c r="D970" s="114" t="str">
        <f>IF(BID!$L978=FALSE,BID!D978,"-")</f>
        <v>-</v>
      </c>
    </row>
    <row r="971" spans="1:4" x14ac:dyDescent="0.25">
      <c r="A971" s="438" t="str">
        <f>IF(BID!$L979=FALSE,BID!A979,"-")</f>
        <v>-</v>
      </c>
      <c r="B971" s="114" t="str">
        <f>IF(BID!$L979=FALSE,BID!B979,"-")</f>
        <v>-</v>
      </c>
      <c r="C971" s="30" t="str">
        <f>IF(BID!$L979=FALSE,BID!C979,"-")</f>
        <v>-</v>
      </c>
      <c r="D971" s="114" t="str">
        <f>IF(BID!$L979=FALSE,BID!D979,"-")</f>
        <v>-</v>
      </c>
    </row>
    <row r="972" spans="1:4" x14ac:dyDescent="0.25">
      <c r="A972" s="438" t="str">
        <f>IF(BID!$L980=FALSE,BID!A980,"-")</f>
        <v>-</v>
      </c>
      <c r="B972" s="114" t="str">
        <f>IF(BID!$L980=FALSE,BID!B980,"-")</f>
        <v>-</v>
      </c>
      <c r="C972" s="30" t="str">
        <f>IF(BID!$L980=FALSE,BID!C980,"-")</f>
        <v>-</v>
      </c>
      <c r="D972" s="114" t="str">
        <f>IF(BID!$L980=FALSE,BID!D980,"-")</f>
        <v>-</v>
      </c>
    </row>
    <row r="973" spans="1:4" x14ac:dyDescent="0.25">
      <c r="A973" s="438" t="str">
        <f>IF(BID!$L981=FALSE,BID!A981,"-")</f>
        <v>-</v>
      </c>
      <c r="B973" s="114" t="str">
        <f>IF(BID!$L981=FALSE,BID!B981,"-")</f>
        <v>-</v>
      </c>
      <c r="C973" s="30" t="str">
        <f>IF(BID!$L981=FALSE,BID!C981,"-")</f>
        <v>-</v>
      </c>
      <c r="D973" s="114" t="str">
        <f>IF(BID!$L981=FALSE,BID!D981,"-")</f>
        <v>-</v>
      </c>
    </row>
    <row r="974" spans="1:4" x14ac:dyDescent="0.25">
      <c r="A974" s="438" t="str">
        <f>IF(BID!$L982=FALSE,BID!A982,"-")</f>
        <v>-</v>
      </c>
      <c r="B974" s="114" t="str">
        <f>IF(BID!$L982=FALSE,BID!B982,"-")</f>
        <v>-</v>
      </c>
      <c r="C974" s="30" t="str">
        <f>IF(BID!$L982=FALSE,BID!C982,"-")</f>
        <v>-</v>
      </c>
      <c r="D974" s="114" t="str">
        <f>IF(BID!$L982=FALSE,BID!D982,"-")</f>
        <v>-</v>
      </c>
    </row>
    <row r="975" spans="1:4" x14ac:dyDescent="0.25">
      <c r="A975" s="438" t="str">
        <f>IF(BID!$L983=FALSE,BID!A983,"-")</f>
        <v>-</v>
      </c>
      <c r="B975" s="114" t="str">
        <f>IF(BID!$L983=FALSE,BID!B983,"-")</f>
        <v>-</v>
      </c>
      <c r="C975" s="30" t="str">
        <f>IF(BID!$L983=FALSE,BID!C983,"-")</f>
        <v>-</v>
      </c>
      <c r="D975" s="114" t="str">
        <f>IF(BID!$L983=FALSE,BID!D983,"-")</f>
        <v>-</v>
      </c>
    </row>
    <row r="976" spans="1:4" x14ac:dyDescent="0.25">
      <c r="A976" s="438" t="str">
        <f>IF(BID!$L984=FALSE,BID!A984,"-")</f>
        <v>-</v>
      </c>
      <c r="B976" s="114" t="str">
        <f>IF(BID!$L984=FALSE,BID!B984,"-")</f>
        <v>-</v>
      </c>
      <c r="C976" s="30" t="str">
        <f>IF(BID!$L984=FALSE,BID!C984,"-")</f>
        <v>-</v>
      </c>
      <c r="D976" s="114" t="str">
        <f>IF(BID!$L984=FALSE,BID!D984,"-")</f>
        <v>-</v>
      </c>
    </row>
    <row r="977" spans="1:4" x14ac:dyDescent="0.25">
      <c r="A977" s="438" t="str">
        <f>IF(BID!$L985=FALSE,BID!A985,"-")</f>
        <v>-</v>
      </c>
      <c r="B977" s="114" t="str">
        <f>IF(BID!$L985=FALSE,BID!B985,"-")</f>
        <v>-</v>
      </c>
      <c r="C977" s="30" t="str">
        <f>IF(BID!$L985=FALSE,BID!C985,"-")</f>
        <v>-</v>
      </c>
      <c r="D977" s="114" t="str">
        <f>IF(BID!$L985=FALSE,BID!D985,"-")</f>
        <v>-</v>
      </c>
    </row>
    <row r="978" spans="1:4" x14ac:dyDescent="0.25">
      <c r="A978" s="438" t="str">
        <f>IF(BID!$L986=FALSE,BID!A986,"-")</f>
        <v>-</v>
      </c>
      <c r="B978" s="114" t="str">
        <f>IF(BID!$L986=FALSE,BID!B986,"-")</f>
        <v>-</v>
      </c>
      <c r="C978" s="30" t="str">
        <f>IF(BID!$L986=FALSE,BID!C986,"-")</f>
        <v>-</v>
      </c>
      <c r="D978" s="114" t="str">
        <f>IF(BID!$L986=FALSE,BID!D986,"-")</f>
        <v>-</v>
      </c>
    </row>
    <row r="979" spans="1:4" x14ac:dyDescent="0.25">
      <c r="A979" s="438" t="str">
        <f>IF(BID!$L987=FALSE,BID!A987,"-")</f>
        <v>-</v>
      </c>
      <c r="B979" s="114" t="str">
        <f>IF(BID!$L987=FALSE,BID!B987,"-")</f>
        <v>-</v>
      </c>
      <c r="C979" s="30" t="str">
        <f>IF(BID!$L987=FALSE,BID!C987,"-")</f>
        <v>-</v>
      </c>
      <c r="D979" s="114" t="str">
        <f>IF(BID!$L987=FALSE,BID!D987,"-")</f>
        <v>-</v>
      </c>
    </row>
    <row r="980" spans="1:4" x14ac:dyDescent="0.25">
      <c r="A980" s="438" t="str">
        <f>IF(BID!$L988=FALSE,BID!A988,"-")</f>
        <v>-</v>
      </c>
      <c r="B980" s="114" t="str">
        <f>IF(BID!$L988=FALSE,BID!B988,"-")</f>
        <v>-</v>
      </c>
      <c r="C980" s="30" t="str">
        <f>IF(BID!$L988=FALSE,BID!C988,"-")</f>
        <v>-</v>
      </c>
      <c r="D980" s="114" t="str">
        <f>IF(BID!$L988=FALSE,BID!D988,"-")</f>
        <v>-</v>
      </c>
    </row>
    <row r="981" spans="1:4" x14ac:dyDescent="0.25">
      <c r="A981" s="438" t="str">
        <f>IF(BID!$L989=FALSE,BID!A989,"-")</f>
        <v>-</v>
      </c>
      <c r="B981" s="114" t="str">
        <f>IF(BID!$L989=FALSE,BID!B989,"-")</f>
        <v>-</v>
      </c>
      <c r="C981" s="30" t="str">
        <f>IF(BID!$L989=FALSE,BID!C989,"-")</f>
        <v>-</v>
      </c>
      <c r="D981" s="114" t="str">
        <f>IF(BID!$L989=FALSE,BID!D989,"-")</f>
        <v>-</v>
      </c>
    </row>
    <row r="982" spans="1:4" x14ac:dyDescent="0.25">
      <c r="A982" s="438" t="str">
        <f>IF(BID!$L990=FALSE,BID!A990,"-")</f>
        <v>-</v>
      </c>
      <c r="B982" s="114" t="str">
        <f>IF(BID!$L990=FALSE,BID!B990,"-")</f>
        <v>-</v>
      </c>
      <c r="C982" s="30" t="str">
        <f>IF(BID!$L990=FALSE,BID!C990,"-")</f>
        <v>-</v>
      </c>
      <c r="D982" s="114" t="str">
        <f>IF(BID!$L990=FALSE,BID!D990,"-")</f>
        <v>-</v>
      </c>
    </row>
    <row r="983" spans="1:4" x14ac:dyDescent="0.25">
      <c r="A983" s="438" t="str">
        <f>IF(BID!$L991=FALSE,BID!A991,"-")</f>
        <v>-</v>
      </c>
      <c r="B983" s="114" t="str">
        <f>IF(BID!$L991=FALSE,BID!B991,"-")</f>
        <v>-</v>
      </c>
      <c r="C983" s="30" t="str">
        <f>IF(BID!$L991=FALSE,BID!C991,"-")</f>
        <v>-</v>
      </c>
      <c r="D983" s="114" t="str">
        <f>IF(BID!$L991=FALSE,BID!D991,"-")</f>
        <v>-</v>
      </c>
    </row>
    <row r="984" spans="1:4" x14ac:dyDescent="0.25">
      <c r="A984" s="438" t="str">
        <f>IF(BID!$L992=FALSE,BID!A992,"-")</f>
        <v>-</v>
      </c>
      <c r="B984" s="114" t="str">
        <f>IF(BID!$L992=FALSE,BID!B992,"-")</f>
        <v>-</v>
      </c>
      <c r="C984" s="30" t="str">
        <f>IF(BID!$L992=FALSE,BID!C992,"-")</f>
        <v>-</v>
      </c>
      <c r="D984" s="114" t="str">
        <f>IF(BID!$L992=FALSE,BID!D992,"-")</f>
        <v>-</v>
      </c>
    </row>
    <row r="985" spans="1:4" x14ac:dyDescent="0.25">
      <c r="A985" s="438" t="str">
        <f>IF(BID!$L993=FALSE,BID!A993,"-")</f>
        <v>-</v>
      </c>
      <c r="B985" s="114" t="str">
        <f>IF(BID!$L993=FALSE,BID!B993,"-")</f>
        <v>-</v>
      </c>
      <c r="C985" s="30" t="str">
        <f>IF(BID!$L993=FALSE,BID!C993,"-")</f>
        <v>-</v>
      </c>
      <c r="D985" s="114" t="str">
        <f>IF(BID!$L993=FALSE,BID!D993,"-")</f>
        <v>-</v>
      </c>
    </row>
    <row r="986" spans="1:4" x14ac:dyDescent="0.25">
      <c r="A986" s="438" t="str">
        <f>IF(BID!$L994=FALSE,BID!A994,"-")</f>
        <v>-</v>
      </c>
      <c r="B986" s="114" t="str">
        <f>IF(BID!$L994=FALSE,BID!B994,"-")</f>
        <v>-</v>
      </c>
      <c r="C986" s="30" t="str">
        <f>IF(BID!$L994=FALSE,BID!C994,"-")</f>
        <v>-</v>
      </c>
      <c r="D986" s="114" t="str">
        <f>IF(BID!$L994=FALSE,BID!D994,"-")</f>
        <v>-</v>
      </c>
    </row>
    <row r="987" spans="1:4" x14ac:dyDescent="0.25">
      <c r="A987" s="438" t="str">
        <f>IF(BID!$L995=FALSE,BID!A995,"-")</f>
        <v>-</v>
      </c>
      <c r="B987" s="114" t="str">
        <f>IF(BID!$L995=FALSE,BID!B995,"-")</f>
        <v>-</v>
      </c>
      <c r="C987" s="30" t="str">
        <f>IF(BID!$L995=FALSE,BID!C995,"-")</f>
        <v>-</v>
      </c>
      <c r="D987" s="114" t="str">
        <f>IF(BID!$L995=FALSE,BID!D995,"-")</f>
        <v>-</v>
      </c>
    </row>
    <row r="988" spans="1:4" x14ac:dyDescent="0.25">
      <c r="A988" s="438" t="str">
        <f>IF(BID!$L996=FALSE,BID!A996,"-")</f>
        <v>-</v>
      </c>
      <c r="B988" s="114" t="str">
        <f>IF(BID!$L996=FALSE,BID!B996,"-")</f>
        <v>-</v>
      </c>
      <c r="C988" s="30" t="str">
        <f>IF(BID!$L996=FALSE,BID!C996,"-")</f>
        <v>-</v>
      </c>
      <c r="D988" s="114" t="str">
        <f>IF(BID!$L996=FALSE,BID!D996,"-")</f>
        <v>-</v>
      </c>
    </row>
    <row r="989" spans="1:4" x14ac:dyDescent="0.25">
      <c r="A989" s="438" t="str">
        <f>IF(BID!$L997=FALSE,BID!A997,"-")</f>
        <v>-</v>
      </c>
      <c r="B989" s="114" t="str">
        <f>IF(BID!$L997=FALSE,BID!B997,"-")</f>
        <v>-</v>
      </c>
      <c r="C989" s="30" t="str">
        <f>IF(BID!$L997=FALSE,BID!C997,"-")</f>
        <v>-</v>
      </c>
      <c r="D989" s="114" t="str">
        <f>IF(BID!$L997=FALSE,BID!D997,"-")</f>
        <v>-</v>
      </c>
    </row>
    <row r="990" spans="1:4" x14ac:dyDescent="0.25">
      <c r="A990" s="438" t="str">
        <f>IF(BID!$L998=FALSE,BID!A998,"-")</f>
        <v>-</v>
      </c>
      <c r="B990" s="114" t="str">
        <f>IF(BID!$L998=FALSE,BID!B998,"-")</f>
        <v>-</v>
      </c>
      <c r="C990" s="30" t="str">
        <f>IF(BID!$L998=FALSE,BID!C998,"-")</f>
        <v>-</v>
      </c>
      <c r="D990" s="114" t="str">
        <f>IF(BID!$L998=FALSE,BID!D998,"-")</f>
        <v>-</v>
      </c>
    </row>
    <row r="991" spans="1:4" x14ac:dyDescent="0.25">
      <c r="A991" s="438" t="str">
        <f>IF(BID!$L999=FALSE,BID!A999,"-")</f>
        <v>-</v>
      </c>
      <c r="B991" s="114" t="str">
        <f>IF(BID!$L999=FALSE,BID!B999,"-")</f>
        <v>-</v>
      </c>
      <c r="C991" s="30" t="str">
        <f>IF(BID!$L999=FALSE,BID!C999,"-")</f>
        <v>-</v>
      </c>
      <c r="D991" s="114" t="str">
        <f>IF(BID!$L999=FALSE,BID!D999,"-")</f>
        <v>-</v>
      </c>
    </row>
    <row r="992" spans="1:4" x14ac:dyDescent="0.25">
      <c r="A992" s="438">
        <f>IF(BID!$L1000=FALSE,BID!A1000,"-")</f>
        <v>0</v>
      </c>
      <c r="B992" s="114">
        <f>IF(BID!$L1000=FALSE,BID!B1000,"-")</f>
        <v>0</v>
      </c>
      <c r="C992" s="30">
        <f>IF(BID!$L1000=FALSE,BID!C1000,"-")</f>
        <v>0</v>
      </c>
      <c r="D992" s="114">
        <f>IF(BID!$L1000=FALSE,BID!D1000,"-")</f>
        <v>0</v>
      </c>
    </row>
    <row r="993" spans="1:4" x14ac:dyDescent="0.25">
      <c r="A993" s="438">
        <f>IF(BID!$L1001=FALSE,BID!A1001,"-")</f>
        <v>0</v>
      </c>
      <c r="B993" s="114">
        <f>IF(BID!$L1001=FALSE,BID!B1001,"-")</f>
        <v>0</v>
      </c>
      <c r="C993" s="30">
        <f>IF(BID!$L1001=FALSE,BID!C1001,"-")</f>
        <v>0</v>
      </c>
      <c r="D993" s="114">
        <f>IF(BID!$L1001=FALSE,BID!D1001,"-")</f>
        <v>0</v>
      </c>
    </row>
    <row r="994" spans="1:4" x14ac:dyDescent="0.25">
      <c r="A994" s="438">
        <f>IF(BID!$L1002=FALSE,BID!A1002,"-")</f>
        <v>0</v>
      </c>
      <c r="B994" s="114">
        <f>IF(BID!$L1002=FALSE,BID!B1002,"-")</f>
        <v>0</v>
      </c>
      <c r="C994" s="30">
        <f>IF(BID!$L1002=FALSE,BID!C1002,"-")</f>
        <v>0</v>
      </c>
      <c r="D994" s="114">
        <f>IF(BID!$L1002=FALSE,BID!D1002,"-")</f>
        <v>0</v>
      </c>
    </row>
    <row r="995" spans="1:4" x14ac:dyDescent="0.25">
      <c r="A995" s="438">
        <f>IF(BID!$L1003=FALSE,BID!A1003,"-")</f>
        <v>0</v>
      </c>
      <c r="B995" s="114">
        <f>IF(BID!$L1003=FALSE,BID!B1003,"-")</f>
        <v>0</v>
      </c>
      <c r="C995" s="30">
        <f>IF(BID!$L1003=FALSE,BID!C1003,"-")</f>
        <v>0</v>
      </c>
      <c r="D995" s="114">
        <f>IF(BID!$L1003=FALSE,BID!D1003,"-")</f>
        <v>0</v>
      </c>
    </row>
    <row r="996" spans="1:4" x14ac:dyDescent="0.25">
      <c r="A996" s="438" t="str">
        <f>IF(BID!$L1004=FALSE,BID!A1004,"-")</f>
        <v>LOT 18</v>
      </c>
      <c r="B996" s="114" t="str">
        <f>IF(BID!$L1004=FALSE,BID!B1004,"-")</f>
        <v>LABORATORY DEPARTMENT - MICROBIOLOGY</v>
      </c>
      <c r="C996" s="30">
        <f>IF(BID!$L1004=FALSE,BID!C1004,"-")</f>
        <v>0</v>
      </c>
      <c r="D996" s="114">
        <f>IF(BID!$L1004=FALSE,BID!D1004,"-")</f>
        <v>0</v>
      </c>
    </row>
    <row r="997" spans="1:4" x14ac:dyDescent="0.25">
      <c r="A997" s="438">
        <f>IF(BID!$L1005=FALSE,BID!A1005,"-")</f>
        <v>0</v>
      </c>
      <c r="B997" s="114" t="str">
        <f>IF(BID!$L1005=FALSE,BID!B1005,"-")</f>
        <v>REAGENTS/KITS</v>
      </c>
      <c r="C997" s="30">
        <f>IF(BID!$L1005=FALSE,BID!C1005,"-")</f>
        <v>0</v>
      </c>
      <c r="D997" s="114">
        <f>IF(BID!$L1005=FALSE,BID!D1005,"-")</f>
        <v>0</v>
      </c>
    </row>
    <row r="998" spans="1:4" x14ac:dyDescent="0.25">
      <c r="A998" s="438" t="str">
        <f>IF(BID!$L1006=FALSE,BID!A1006,"-")</f>
        <v>-</v>
      </c>
      <c r="B998" s="114" t="str">
        <f>IF(BID!$L1006=FALSE,BID!B1006,"-")</f>
        <v>-</v>
      </c>
      <c r="C998" s="30" t="str">
        <f>IF(BID!$L1006=FALSE,BID!C1006,"-")</f>
        <v>-</v>
      </c>
      <c r="D998" s="114" t="str">
        <f>IF(BID!$L1006=FALSE,BID!D1006,"-")</f>
        <v>-</v>
      </c>
    </row>
    <row r="999" spans="1:4" x14ac:dyDescent="0.25">
      <c r="A999" s="438" t="str">
        <f>IF(BID!$L1007=FALSE,BID!A1007,"-")</f>
        <v>-</v>
      </c>
      <c r="B999" s="114" t="str">
        <f>IF(BID!$L1007=FALSE,BID!B1007,"-")</f>
        <v>-</v>
      </c>
      <c r="C999" s="30" t="str">
        <f>IF(BID!$L1007=FALSE,BID!C1007,"-")</f>
        <v>-</v>
      </c>
      <c r="D999" s="114" t="str">
        <f>IF(BID!$L1007=FALSE,BID!D1007,"-")</f>
        <v>-</v>
      </c>
    </row>
    <row r="1000" spans="1:4" x14ac:dyDescent="0.25">
      <c r="A1000" s="438" t="str">
        <f>IF(BID!$L1008=FALSE,BID!A1008,"-")</f>
        <v>-</v>
      </c>
      <c r="B1000" s="114" t="str">
        <f>IF(BID!$L1008=FALSE,BID!B1008,"-")</f>
        <v>-</v>
      </c>
      <c r="C1000" s="30" t="str">
        <f>IF(BID!$L1008=FALSE,BID!C1008,"-")</f>
        <v>-</v>
      </c>
      <c r="D1000" s="114" t="str">
        <f>IF(BID!$L1008=FALSE,BID!D1008,"-")</f>
        <v>-</v>
      </c>
    </row>
    <row r="1001" spans="1:4" x14ac:dyDescent="0.25">
      <c r="A1001" s="438" t="str">
        <f>IF(BID!$L1009=FALSE,BID!A1009,"-")</f>
        <v>-</v>
      </c>
      <c r="B1001" s="114" t="str">
        <f>IF(BID!$L1009=FALSE,BID!B1009,"-")</f>
        <v>-</v>
      </c>
      <c r="C1001" s="30" t="str">
        <f>IF(BID!$L1009=FALSE,BID!C1009,"-")</f>
        <v>-</v>
      </c>
      <c r="D1001" s="114" t="str">
        <f>IF(BID!$L1009=FALSE,BID!D1009,"-")</f>
        <v>-</v>
      </c>
    </row>
    <row r="1002" spans="1:4" x14ac:dyDescent="0.25">
      <c r="A1002" s="438" t="str">
        <f>IF(BID!$L1010=FALSE,BID!A1010,"-")</f>
        <v>-</v>
      </c>
      <c r="B1002" s="114" t="str">
        <f>IF(BID!$L1010=FALSE,BID!B1010,"-")</f>
        <v>-</v>
      </c>
      <c r="C1002" s="30" t="str">
        <f>IF(BID!$L1010=FALSE,BID!C1010,"-")</f>
        <v>-</v>
      </c>
      <c r="D1002" s="114" t="str">
        <f>IF(BID!$L1010=FALSE,BID!D1010,"-")</f>
        <v>-</v>
      </c>
    </row>
    <row r="1003" spans="1:4" x14ac:dyDescent="0.25">
      <c r="A1003" s="438" t="str">
        <f>IF(BID!$L1011=FALSE,BID!A1011,"-")</f>
        <v>-</v>
      </c>
      <c r="B1003" s="114" t="str">
        <f>IF(BID!$L1011=FALSE,BID!B1011,"-")</f>
        <v>-</v>
      </c>
      <c r="C1003" s="30" t="str">
        <f>IF(BID!$L1011=FALSE,BID!C1011,"-")</f>
        <v>-</v>
      </c>
      <c r="D1003" s="114" t="str">
        <f>IF(BID!$L1011=FALSE,BID!D1011,"-")</f>
        <v>-</v>
      </c>
    </row>
    <row r="1004" spans="1:4" x14ac:dyDescent="0.25">
      <c r="A1004" s="438" t="str">
        <f>IF(BID!$L1012=FALSE,BID!A1012,"-")</f>
        <v>-</v>
      </c>
      <c r="B1004" s="114" t="str">
        <f>IF(BID!$L1012=FALSE,BID!B1012,"-")</f>
        <v>-</v>
      </c>
      <c r="C1004" s="30" t="str">
        <f>IF(BID!$L1012=FALSE,BID!C1012,"-")</f>
        <v>-</v>
      </c>
      <c r="D1004" s="114" t="str">
        <f>IF(BID!$L1012=FALSE,BID!D1012,"-")</f>
        <v>-</v>
      </c>
    </row>
    <row r="1005" spans="1:4" x14ac:dyDescent="0.25">
      <c r="A1005" s="438" t="str">
        <f>IF(BID!$L1013=FALSE,BID!A1013,"-")</f>
        <v>-</v>
      </c>
      <c r="B1005" s="114" t="str">
        <f>IF(BID!$L1013=FALSE,BID!B1013,"-")</f>
        <v>-</v>
      </c>
      <c r="C1005" s="30" t="str">
        <f>IF(BID!$L1013=FALSE,BID!C1013,"-")</f>
        <v>-</v>
      </c>
      <c r="D1005" s="114" t="str">
        <f>IF(BID!$L1013=FALSE,BID!D1013,"-")</f>
        <v>-</v>
      </c>
    </row>
    <row r="1006" spans="1:4" x14ac:dyDescent="0.25">
      <c r="A1006" s="438" t="str">
        <f>IF(BID!$L1014=FALSE,BID!A1014,"-")</f>
        <v>-</v>
      </c>
      <c r="B1006" s="114" t="str">
        <f>IF(BID!$L1014=FALSE,BID!B1014,"-")</f>
        <v>-</v>
      </c>
      <c r="C1006" s="30" t="str">
        <f>IF(BID!$L1014=FALSE,BID!C1014,"-")</f>
        <v>-</v>
      </c>
      <c r="D1006" s="114" t="str">
        <f>IF(BID!$L1014=FALSE,BID!D1014,"-")</f>
        <v>-</v>
      </c>
    </row>
    <row r="1007" spans="1:4" x14ac:dyDescent="0.25">
      <c r="A1007" s="438" t="str">
        <f>IF(BID!$L1015=FALSE,BID!A1015,"-")</f>
        <v>-</v>
      </c>
      <c r="B1007" s="114" t="str">
        <f>IF(BID!$L1015=FALSE,BID!B1015,"-")</f>
        <v>-</v>
      </c>
      <c r="C1007" s="30" t="str">
        <f>IF(BID!$L1015=FALSE,BID!C1015,"-")</f>
        <v>-</v>
      </c>
      <c r="D1007" s="114" t="str">
        <f>IF(BID!$L1015=FALSE,BID!D1015,"-")</f>
        <v>-</v>
      </c>
    </row>
    <row r="1008" spans="1:4" x14ac:dyDescent="0.25">
      <c r="A1008" s="438" t="str">
        <f>IF(BID!$L1016=FALSE,BID!A1016,"-")</f>
        <v>-</v>
      </c>
      <c r="B1008" s="114" t="str">
        <f>IF(BID!$L1016=FALSE,BID!B1016,"-")</f>
        <v>-</v>
      </c>
      <c r="C1008" s="30" t="str">
        <f>IF(BID!$L1016=FALSE,BID!C1016,"-")</f>
        <v>-</v>
      </c>
      <c r="D1008" s="114" t="str">
        <f>IF(BID!$L1016=FALSE,BID!D1016,"-")</f>
        <v>-</v>
      </c>
    </row>
    <row r="1009" spans="1:4" x14ac:dyDescent="0.25">
      <c r="A1009" s="438" t="str">
        <f>IF(BID!$L1017=FALSE,BID!A1017,"-")</f>
        <v>-</v>
      </c>
      <c r="B1009" s="114" t="str">
        <f>IF(BID!$L1017=FALSE,BID!B1017,"-")</f>
        <v>-</v>
      </c>
      <c r="C1009" s="30" t="str">
        <f>IF(BID!$L1017=FALSE,BID!C1017,"-")</f>
        <v>-</v>
      </c>
      <c r="D1009" s="114" t="str">
        <f>IF(BID!$L1017=FALSE,BID!D1017,"-")</f>
        <v>-</v>
      </c>
    </row>
    <row r="1010" spans="1:4" x14ac:dyDescent="0.25">
      <c r="A1010" s="438" t="str">
        <f>IF(BID!$L1018=FALSE,BID!A1018,"-")</f>
        <v>-</v>
      </c>
      <c r="B1010" s="114" t="str">
        <f>IF(BID!$L1018=FALSE,BID!B1018,"-")</f>
        <v>-</v>
      </c>
      <c r="C1010" s="30" t="str">
        <f>IF(BID!$L1018=FALSE,BID!C1018,"-")</f>
        <v>-</v>
      </c>
      <c r="D1010" s="114" t="str">
        <f>IF(BID!$L1018=FALSE,BID!D1018,"-")</f>
        <v>-</v>
      </c>
    </row>
    <row r="1011" spans="1:4" x14ac:dyDescent="0.25">
      <c r="A1011" s="438" t="str">
        <f>IF(BID!$L1019=FALSE,BID!A1019,"-")</f>
        <v>-</v>
      </c>
      <c r="B1011" s="114" t="str">
        <f>IF(BID!$L1019=FALSE,BID!B1019,"-")</f>
        <v>-</v>
      </c>
      <c r="C1011" s="30" t="str">
        <f>IF(BID!$L1019=FALSE,BID!C1019,"-")</f>
        <v>-</v>
      </c>
      <c r="D1011" s="114" t="str">
        <f>IF(BID!$L1019=FALSE,BID!D1019,"-")</f>
        <v>-</v>
      </c>
    </row>
    <row r="1012" spans="1:4" x14ac:dyDescent="0.25">
      <c r="A1012" s="438" t="str">
        <f>IF(BID!$L1020=FALSE,BID!A1020,"-")</f>
        <v>-</v>
      </c>
      <c r="B1012" s="114" t="str">
        <f>IF(BID!$L1020=FALSE,BID!B1020,"-")</f>
        <v>-</v>
      </c>
      <c r="C1012" s="30" t="str">
        <f>IF(BID!$L1020=FALSE,BID!C1020,"-")</f>
        <v>-</v>
      </c>
      <c r="D1012" s="114" t="str">
        <f>IF(BID!$L1020=FALSE,BID!D1020,"-")</f>
        <v>-</v>
      </c>
    </row>
    <row r="1013" spans="1:4" x14ac:dyDescent="0.25">
      <c r="A1013" s="438" t="str">
        <f>IF(BID!$L1021=FALSE,BID!A1021,"-")</f>
        <v>-</v>
      </c>
      <c r="B1013" s="114" t="str">
        <f>IF(BID!$L1021=FALSE,BID!B1021,"-")</f>
        <v>-</v>
      </c>
      <c r="C1013" s="30" t="str">
        <f>IF(BID!$L1021=FALSE,BID!C1021,"-")</f>
        <v>-</v>
      </c>
      <c r="D1013" s="114" t="str">
        <f>IF(BID!$L1021=FALSE,BID!D1021,"-")</f>
        <v>-</v>
      </c>
    </row>
    <row r="1014" spans="1:4" x14ac:dyDescent="0.25">
      <c r="A1014" s="438" t="str">
        <f>IF(BID!$L1022=FALSE,BID!A1022,"-")</f>
        <v>-</v>
      </c>
      <c r="B1014" s="114" t="str">
        <f>IF(BID!$L1022=FALSE,BID!B1022,"-")</f>
        <v>-</v>
      </c>
      <c r="C1014" s="30" t="str">
        <f>IF(BID!$L1022=FALSE,BID!C1022,"-")</f>
        <v>-</v>
      </c>
      <c r="D1014" s="114" t="str">
        <f>IF(BID!$L1022=FALSE,BID!D1022,"-")</f>
        <v>-</v>
      </c>
    </row>
    <row r="1015" spans="1:4" x14ac:dyDescent="0.25">
      <c r="A1015" s="438" t="str">
        <f>IF(BID!$L1023=FALSE,BID!A1023,"-")</f>
        <v>-</v>
      </c>
      <c r="B1015" s="114" t="str">
        <f>IF(BID!$L1023=FALSE,BID!B1023,"-")</f>
        <v>-</v>
      </c>
      <c r="C1015" s="30" t="str">
        <f>IF(BID!$L1023=FALSE,BID!C1023,"-")</f>
        <v>-</v>
      </c>
      <c r="D1015" s="114" t="str">
        <f>IF(BID!$L1023=FALSE,BID!D1023,"-")</f>
        <v>-</v>
      </c>
    </row>
    <row r="1016" spans="1:4" x14ac:dyDescent="0.25">
      <c r="A1016" s="438" t="str">
        <f>IF(BID!$L1024=FALSE,BID!A1024,"-")</f>
        <v>-</v>
      </c>
      <c r="B1016" s="114" t="str">
        <f>IF(BID!$L1024=FALSE,BID!B1024,"-")</f>
        <v>-</v>
      </c>
      <c r="C1016" s="30" t="str">
        <f>IF(BID!$L1024=FALSE,BID!C1024,"-")</f>
        <v>-</v>
      </c>
      <c r="D1016" s="114" t="str">
        <f>IF(BID!$L1024=FALSE,BID!D1024,"-")</f>
        <v>-</v>
      </c>
    </row>
    <row r="1017" spans="1:4" x14ac:dyDescent="0.25">
      <c r="A1017" s="438" t="str">
        <f>IF(BID!$L1025=FALSE,BID!A1025,"-")</f>
        <v>-</v>
      </c>
      <c r="B1017" s="114" t="str">
        <f>IF(BID!$L1025=FALSE,BID!B1025,"-")</f>
        <v>-</v>
      </c>
      <c r="C1017" s="30" t="str">
        <f>IF(BID!$L1025=FALSE,BID!C1025,"-")</f>
        <v>-</v>
      </c>
      <c r="D1017" s="114" t="str">
        <f>IF(BID!$L1025=FALSE,BID!D1025,"-")</f>
        <v>-</v>
      </c>
    </row>
    <row r="1018" spans="1:4" x14ac:dyDescent="0.25">
      <c r="A1018" s="438" t="str">
        <f>IF(BID!$L1026=FALSE,BID!A1026,"-")</f>
        <v>-</v>
      </c>
      <c r="B1018" s="114" t="str">
        <f>IF(BID!$L1026=FALSE,BID!B1026,"-")</f>
        <v>-</v>
      </c>
      <c r="C1018" s="30" t="str">
        <f>IF(BID!$L1026=FALSE,BID!C1026,"-")</f>
        <v>-</v>
      </c>
      <c r="D1018" s="114" t="str">
        <f>IF(BID!$L1026=FALSE,BID!D1026,"-")</f>
        <v>-</v>
      </c>
    </row>
    <row r="1019" spans="1:4" x14ac:dyDescent="0.25">
      <c r="A1019" s="438" t="str">
        <f>IF(BID!$L1027=FALSE,BID!A1027,"-")</f>
        <v>-</v>
      </c>
      <c r="B1019" s="114" t="str">
        <f>IF(BID!$L1027=FALSE,BID!B1027,"-")</f>
        <v>-</v>
      </c>
      <c r="C1019" s="30" t="str">
        <f>IF(BID!$L1027=FALSE,BID!C1027,"-")</f>
        <v>-</v>
      </c>
      <c r="D1019" s="114" t="str">
        <f>IF(BID!$L1027=FALSE,BID!D1027,"-")</f>
        <v>-</v>
      </c>
    </row>
    <row r="1020" spans="1:4" x14ac:dyDescent="0.25">
      <c r="A1020" s="438" t="str">
        <f>IF(BID!$L1028=FALSE,BID!A1028,"-")</f>
        <v>-</v>
      </c>
      <c r="B1020" s="114" t="str">
        <f>IF(BID!$L1028=FALSE,BID!B1028,"-")</f>
        <v>-</v>
      </c>
      <c r="C1020" s="30" t="str">
        <f>IF(BID!$L1028=FALSE,BID!C1028,"-")</f>
        <v>-</v>
      </c>
      <c r="D1020" s="114" t="str">
        <f>IF(BID!$L1028=FALSE,BID!D1028,"-")</f>
        <v>-</v>
      </c>
    </row>
    <row r="1021" spans="1:4" x14ac:dyDescent="0.25">
      <c r="A1021" s="438" t="str">
        <f>IF(BID!$L1029=FALSE,BID!A1029,"-")</f>
        <v>-</v>
      </c>
      <c r="B1021" s="114" t="str">
        <f>IF(BID!$L1029=FALSE,BID!B1029,"-")</f>
        <v>-</v>
      </c>
      <c r="C1021" s="30" t="str">
        <f>IF(BID!$L1029=FALSE,BID!C1029,"-")</f>
        <v>-</v>
      </c>
      <c r="D1021" s="114" t="str">
        <f>IF(BID!$L1029=FALSE,BID!D1029,"-")</f>
        <v>-</v>
      </c>
    </row>
    <row r="1022" spans="1:4" x14ac:dyDescent="0.25">
      <c r="A1022" s="438" t="str">
        <f>IF(BID!$L1030=FALSE,BID!A1030,"-")</f>
        <v>-</v>
      </c>
      <c r="B1022" s="114" t="str">
        <f>IF(BID!$L1030=FALSE,BID!B1030,"-")</f>
        <v>-</v>
      </c>
      <c r="C1022" s="30" t="str">
        <f>IF(BID!$L1030=FALSE,BID!C1030,"-")</f>
        <v>-</v>
      </c>
      <c r="D1022" s="114" t="str">
        <f>IF(BID!$L1030=FALSE,BID!D1030,"-")</f>
        <v>-</v>
      </c>
    </row>
    <row r="1023" spans="1:4" x14ac:dyDescent="0.25">
      <c r="A1023" s="438" t="str">
        <f>IF(BID!$L1031=FALSE,BID!A1031,"-")</f>
        <v>-</v>
      </c>
      <c r="B1023" s="114" t="str">
        <f>IF(BID!$L1031=FALSE,BID!B1031,"-")</f>
        <v>-</v>
      </c>
      <c r="C1023" s="30" t="str">
        <f>IF(BID!$L1031=FALSE,BID!C1031,"-")</f>
        <v>-</v>
      </c>
      <c r="D1023" s="114" t="str">
        <f>IF(BID!$L1031=FALSE,BID!D1031,"-")</f>
        <v>-</v>
      </c>
    </row>
    <row r="1024" spans="1:4" x14ac:dyDescent="0.25">
      <c r="A1024" s="438" t="str">
        <f>IF(BID!$L1032=FALSE,BID!A1032,"-")</f>
        <v>-</v>
      </c>
      <c r="B1024" s="114" t="str">
        <f>IF(BID!$L1032=FALSE,BID!B1032,"-")</f>
        <v>-</v>
      </c>
      <c r="C1024" s="30" t="str">
        <f>IF(BID!$L1032=FALSE,BID!C1032,"-")</f>
        <v>-</v>
      </c>
      <c r="D1024" s="114" t="str">
        <f>IF(BID!$L1032=FALSE,BID!D1032,"-")</f>
        <v>-</v>
      </c>
    </row>
    <row r="1025" spans="1:4" x14ac:dyDescent="0.25">
      <c r="A1025" s="438" t="str">
        <f>IF(BID!$L1033=FALSE,BID!A1033,"-")</f>
        <v>-</v>
      </c>
      <c r="B1025" s="114" t="str">
        <f>IF(BID!$L1033=FALSE,BID!B1033,"-")</f>
        <v>-</v>
      </c>
      <c r="C1025" s="30" t="str">
        <f>IF(BID!$L1033=FALSE,BID!C1033,"-")</f>
        <v>-</v>
      </c>
      <c r="D1025" s="114" t="str">
        <f>IF(BID!$L1033=FALSE,BID!D1033,"-")</f>
        <v>-</v>
      </c>
    </row>
    <row r="1026" spans="1:4" x14ac:dyDescent="0.25">
      <c r="A1026" s="438" t="str">
        <f>IF(BID!$L1034=FALSE,BID!A1034,"-")</f>
        <v>-</v>
      </c>
      <c r="B1026" s="114" t="str">
        <f>IF(BID!$L1034=FALSE,BID!B1034,"-")</f>
        <v>-</v>
      </c>
      <c r="C1026" s="30" t="str">
        <f>IF(BID!$L1034=FALSE,BID!C1034,"-")</f>
        <v>-</v>
      </c>
      <c r="D1026" s="114" t="str">
        <f>IF(BID!$L1034=FALSE,BID!D1034,"-")</f>
        <v>-</v>
      </c>
    </row>
    <row r="1027" spans="1:4" x14ac:dyDescent="0.25">
      <c r="A1027" s="438" t="str">
        <f>IF(BID!$L1035=FALSE,BID!A1035,"-")</f>
        <v>-</v>
      </c>
      <c r="B1027" s="114" t="str">
        <f>IF(BID!$L1035=FALSE,BID!B1035,"-")</f>
        <v>-</v>
      </c>
      <c r="C1027" s="30" t="str">
        <f>IF(BID!$L1035=FALSE,BID!C1035,"-")</f>
        <v>-</v>
      </c>
      <c r="D1027" s="114" t="str">
        <f>IF(BID!$L1035=FALSE,BID!D1035,"-")</f>
        <v>-</v>
      </c>
    </row>
    <row r="1028" spans="1:4" x14ac:dyDescent="0.25">
      <c r="A1028" s="438" t="str">
        <f>IF(BID!$L1036=FALSE,BID!A1036,"-")</f>
        <v>-</v>
      </c>
      <c r="B1028" s="114" t="str">
        <f>IF(BID!$L1036=FALSE,BID!B1036,"-")</f>
        <v>-</v>
      </c>
      <c r="C1028" s="30" t="str">
        <f>IF(BID!$L1036=FALSE,BID!C1036,"-")</f>
        <v>-</v>
      </c>
      <c r="D1028" s="114" t="str">
        <f>IF(BID!$L1036=FALSE,BID!D1036,"-")</f>
        <v>-</v>
      </c>
    </row>
    <row r="1029" spans="1:4" x14ac:dyDescent="0.25">
      <c r="A1029" s="438" t="str">
        <f>IF(BID!$L1037=FALSE,BID!A1037,"-")</f>
        <v>-</v>
      </c>
      <c r="B1029" s="114" t="str">
        <f>IF(BID!$L1037=FALSE,BID!B1037,"-")</f>
        <v>-</v>
      </c>
      <c r="C1029" s="30" t="str">
        <f>IF(BID!$L1037=FALSE,BID!C1037,"-")</f>
        <v>-</v>
      </c>
      <c r="D1029" s="114" t="str">
        <f>IF(BID!$L1037=FALSE,BID!D1037,"-")</f>
        <v>-</v>
      </c>
    </row>
    <row r="1030" spans="1:4" x14ac:dyDescent="0.25">
      <c r="A1030" s="438" t="str">
        <f>IF(BID!$L1038=FALSE,BID!A1038,"-")</f>
        <v>-</v>
      </c>
      <c r="B1030" s="114" t="str">
        <f>IF(BID!$L1038=FALSE,BID!B1038,"-")</f>
        <v>-</v>
      </c>
      <c r="C1030" s="30" t="str">
        <f>IF(BID!$L1038=FALSE,BID!C1038,"-")</f>
        <v>-</v>
      </c>
      <c r="D1030" s="114" t="str">
        <f>IF(BID!$L1038=FALSE,BID!D1038,"-")</f>
        <v>-</v>
      </c>
    </row>
    <row r="1031" spans="1:4" x14ac:dyDescent="0.25">
      <c r="A1031" s="438" t="str">
        <f>IF(BID!$L1039=FALSE,BID!A1039,"-")</f>
        <v>-</v>
      </c>
      <c r="B1031" s="114" t="str">
        <f>IF(BID!$L1039=FALSE,BID!B1039,"-")</f>
        <v>-</v>
      </c>
      <c r="C1031" s="30" t="str">
        <f>IF(BID!$L1039=FALSE,BID!C1039,"-")</f>
        <v>-</v>
      </c>
      <c r="D1031" s="114" t="str">
        <f>IF(BID!$L1039=FALSE,BID!D1039,"-")</f>
        <v>-</v>
      </c>
    </row>
    <row r="1032" spans="1:4" x14ac:dyDescent="0.25">
      <c r="A1032" s="438" t="str">
        <f>IF(BID!$L1040=FALSE,BID!A1040,"-")</f>
        <v>-</v>
      </c>
      <c r="B1032" s="114" t="str">
        <f>IF(BID!$L1040=FALSE,BID!B1040,"-")</f>
        <v>-</v>
      </c>
      <c r="C1032" s="30" t="str">
        <f>IF(BID!$L1040=FALSE,BID!C1040,"-")</f>
        <v>-</v>
      </c>
      <c r="D1032" s="114" t="str">
        <f>IF(BID!$L1040=FALSE,BID!D1040,"-")</f>
        <v>-</v>
      </c>
    </row>
    <row r="1033" spans="1:4" x14ac:dyDescent="0.25">
      <c r="A1033" s="438" t="str">
        <f>IF(BID!$L1041=FALSE,BID!A1041,"-")</f>
        <v>-</v>
      </c>
      <c r="B1033" s="114" t="str">
        <f>IF(BID!$L1041=FALSE,BID!B1041,"-")</f>
        <v>-</v>
      </c>
      <c r="C1033" s="30" t="str">
        <f>IF(BID!$L1041=FALSE,BID!C1041,"-")</f>
        <v>-</v>
      </c>
      <c r="D1033" s="114" t="str">
        <f>IF(BID!$L1041=FALSE,BID!D1041,"-")</f>
        <v>-</v>
      </c>
    </row>
    <row r="1034" spans="1:4" x14ac:dyDescent="0.25">
      <c r="A1034" s="438" t="str">
        <f>IF(BID!$L1042=FALSE,BID!A1042,"-")</f>
        <v>-</v>
      </c>
      <c r="B1034" s="114" t="str">
        <f>IF(BID!$L1042=FALSE,BID!B1042,"-")</f>
        <v>-</v>
      </c>
      <c r="C1034" s="30" t="str">
        <f>IF(BID!$L1042=FALSE,BID!C1042,"-")</f>
        <v>-</v>
      </c>
      <c r="D1034" s="114" t="str">
        <f>IF(BID!$L1042=FALSE,BID!D1042,"-")</f>
        <v>-</v>
      </c>
    </row>
    <row r="1035" spans="1:4" x14ac:dyDescent="0.25">
      <c r="A1035" s="438" t="str">
        <f>IF(BID!$L1043=FALSE,BID!A1043,"-")</f>
        <v>-</v>
      </c>
      <c r="B1035" s="114" t="str">
        <f>IF(BID!$L1043=FALSE,BID!B1043,"-")</f>
        <v>-</v>
      </c>
      <c r="C1035" s="30" t="str">
        <f>IF(BID!$L1043=FALSE,BID!C1043,"-")</f>
        <v>-</v>
      </c>
      <c r="D1035" s="114" t="str">
        <f>IF(BID!$L1043=FALSE,BID!D1043,"-")</f>
        <v>-</v>
      </c>
    </row>
    <row r="1036" spans="1:4" x14ac:dyDescent="0.25">
      <c r="A1036" s="438" t="str">
        <f>IF(BID!$L1044=FALSE,BID!A1044,"-")</f>
        <v>-</v>
      </c>
      <c r="B1036" s="114" t="str">
        <f>IF(BID!$L1044=FALSE,BID!B1044,"-")</f>
        <v>-</v>
      </c>
      <c r="C1036" s="30" t="str">
        <f>IF(BID!$L1044=FALSE,BID!C1044,"-")</f>
        <v>-</v>
      </c>
      <c r="D1036" s="114" t="str">
        <f>IF(BID!$L1044=FALSE,BID!D1044,"-")</f>
        <v>-</v>
      </c>
    </row>
    <row r="1037" spans="1:4" x14ac:dyDescent="0.25">
      <c r="A1037" s="438" t="str">
        <f>IF(BID!$L1045=FALSE,BID!A1045,"-")</f>
        <v>-</v>
      </c>
      <c r="B1037" s="114" t="str">
        <f>IF(BID!$L1045=FALSE,BID!B1045,"-")</f>
        <v>-</v>
      </c>
      <c r="C1037" s="30" t="str">
        <f>IF(BID!$L1045=FALSE,BID!C1045,"-")</f>
        <v>-</v>
      </c>
      <c r="D1037" s="114" t="str">
        <f>IF(BID!$L1045=FALSE,BID!D1045,"-")</f>
        <v>-</v>
      </c>
    </row>
    <row r="1038" spans="1:4" x14ac:dyDescent="0.25">
      <c r="A1038" s="438" t="str">
        <f>IF(BID!$L1046=FALSE,BID!A1046,"-")</f>
        <v>-</v>
      </c>
      <c r="B1038" s="114" t="str">
        <f>IF(BID!$L1046=FALSE,BID!B1046,"-")</f>
        <v>-</v>
      </c>
      <c r="C1038" s="30" t="str">
        <f>IF(BID!$L1046=FALSE,BID!C1046,"-")</f>
        <v>-</v>
      </c>
      <c r="D1038" s="114" t="str">
        <f>IF(BID!$L1046=FALSE,BID!D1046,"-")</f>
        <v>-</v>
      </c>
    </row>
    <row r="1039" spans="1:4" x14ac:dyDescent="0.25">
      <c r="A1039" s="438" t="str">
        <f>IF(BID!$L1047=FALSE,BID!A1047,"-")</f>
        <v>-</v>
      </c>
      <c r="B1039" s="114" t="str">
        <f>IF(BID!$L1047=FALSE,BID!B1047,"-")</f>
        <v>-</v>
      </c>
      <c r="C1039" s="30" t="str">
        <f>IF(BID!$L1047=FALSE,BID!C1047,"-")</f>
        <v>-</v>
      </c>
      <c r="D1039" s="114" t="str">
        <f>IF(BID!$L1047=FALSE,BID!D1047,"-")</f>
        <v>-</v>
      </c>
    </row>
    <row r="1040" spans="1:4" x14ac:dyDescent="0.25">
      <c r="A1040" s="438" t="str">
        <f>IF(BID!$L1048=FALSE,BID!A1048,"-")</f>
        <v>-</v>
      </c>
      <c r="B1040" s="114" t="str">
        <f>IF(BID!$L1048=FALSE,BID!B1048,"-")</f>
        <v>-</v>
      </c>
      <c r="C1040" s="30" t="str">
        <f>IF(BID!$L1048=FALSE,BID!C1048,"-")</f>
        <v>-</v>
      </c>
      <c r="D1040" s="114" t="str">
        <f>IF(BID!$L1048=FALSE,BID!D1048,"-")</f>
        <v>-</v>
      </c>
    </row>
    <row r="1041" spans="1:4" x14ac:dyDescent="0.25">
      <c r="A1041" s="438" t="str">
        <f>IF(BID!$L1049=FALSE,BID!A1049,"-")</f>
        <v>-</v>
      </c>
      <c r="B1041" s="114" t="str">
        <f>IF(BID!$L1049=FALSE,BID!B1049,"-")</f>
        <v>-</v>
      </c>
      <c r="C1041" s="30" t="str">
        <f>IF(BID!$L1049=FALSE,BID!C1049,"-")</f>
        <v>-</v>
      </c>
      <c r="D1041" s="114" t="str">
        <f>IF(BID!$L1049=FALSE,BID!D1049,"-")</f>
        <v>-</v>
      </c>
    </row>
    <row r="1042" spans="1:4" x14ac:dyDescent="0.25">
      <c r="A1042" s="438" t="str">
        <f>IF(BID!$L1050=FALSE,BID!A1050,"-")</f>
        <v>-</v>
      </c>
      <c r="B1042" s="114" t="str">
        <f>IF(BID!$L1050=FALSE,BID!B1050,"-")</f>
        <v>-</v>
      </c>
      <c r="C1042" s="30" t="str">
        <f>IF(BID!$L1050=FALSE,BID!C1050,"-")</f>
        <v>-</v>
      </c>
      <c r="D1042" s="114" t="str">
        <f>IF(BID!$L1050=FALSE,BID!D1050,"-")</f>
        <v>-</v>
      </c>
    </row>
    <row r="1043" spans="1:4" x14ac:dyDescent="0.25">
      <c r="A1043" s="438" t="str">
        <f>IF(BID!$L1051=FALSE,BID!A1051,"-")</f>
        <v>-</v>
      </c>
      <c r="B1043" s="114" t="str">
        <f>IF(BID!$L1051=FALSE,BID!B1051,"-")</f>
        <v>-</v>
      </c>
      <c r="C1043" s="30" t="str">
        <f>IF(BID!$L1051=FALSE,BID!C1051,"-")</f>
        <v>-</v>
      </c>
      <c r="D1043" s="114" t="str">
        <f>IF(BID!$L1051=FALSE,BID!D1051,"-")</f>
        <v>-</v>
      </c>
    </row>
    <row r="1044" spans="1:4" x14ac:dyDescent="0.25">
      <c r="A1044" s="438" t="str">
        <f>IF(BID!$L1052=FALSE,BID!A1052,"-")</f>
        <v>-</v>
      </c>
      <c r="B1044" s="114" t="str">
        <f>IF(BID!$L1052=FALSE,BID!B1052,"-")</f>
        <v>-</v>
      </c>
      <c r="C1044" s="30" t="str">
        <f>IF(BID!$L1052=FALSE,BID!C1052,"-")</f>
        <v>-</v>
      </c>
      <c r="D1044" s="114" t="str">
        <f>IF(BID!$L1052=FALSE,BID!D1052,"-")</f>
        <v>-</v>
      </c>
    </row>
    <row r="1045" spans="1:4" x14ac:dyDescent="0.25">
      <c r="A1045" s="438" t="str">
        <f>IF(BID!$L1053=FALSE,BID!A1053,"-")</f>
        <v>-</v>
      </c>
      <c r="B1045" s="114" t="str">
        <f>IF(BID!$L1053=FALSE,BID!B1053,"-")</f>
        <v>-</v>
      </c>
      <c r="C1045" s="30" t="str">
        <f>IF(BID!$L1053=FALSE,BID!C1053,"-")</f>
        <v>-</v>
      </c>
      <c r="D1045" s="114" t="str">
        <f>IF(BID!$L1053=FALSE,BID!D1053,"-")</f>
        <v>-</v>
      </c>
    </row>
    <row r="1046" spans="1:4" x14ac:dyDescent="0.25">
      <c r="A1046" s="438" t="str">
        <f>IF(BID!$L1054=FALSE,BID!A1054,"-")</f>
        <v>-</v>
      </c>
      <c r="B1046" s="114" t="str">
        <f>IF(BID!$L1054=FALSE,BID!B1054,"-")</f>
        <v>-</v>
      </c>
      <c r="C1046" s="30" t="str">
        <f>IF(BID!$L1054=FALSE,BID!C1054,"-")</f>
        <v>-</v>
      </c>
      <c r="D1046" s="114" t="str">
        <f>IF(BID!$L1054=FALSE,BID!D1054,"-")</f>
        <v>-</v>
      </c>
    </row>
    <row r="1047" spans="1:4" x14ac:dyDescent="0.25">
      <c r="A1047" s="438" t="str">
        <f>IF(BID!$L1055=FALSE,BID!A1055,"-")</f>
        <v>-</v>
      </c>
      <c r="B1047" s="114" t="str">
        <f>IF(BID!$L1055=FALSE,BID!B1055,"-")</f>
        <v>-</v>
      </c>
      <c r="C1047" s="30" t="str">
        <f>IF(BID!$L1055=FALSE,BID!C1055,"-")</f>
        <v>-</v>
      </c>
      <c r="D1047" s="114" t="str">
        <f>IF(BID!$L1055=FALSE,BID!D1055,"-")</f>
        <v>-</v>
      </c>
    </row>
    <row r="1048" spans="1:4" x14ac:dyDescent="0.25">
      <c r="A1048" s="438" t="str">
        <f>IF(BID!$L1056=FALSE,BID!A1056,"-")</f>
        <v>-</v>
      </c>
      <c r="B1048" s="114" t="str">
        <f>IF(BID!$L1056=FALSE,BID!B1056,"-")</f>
        <v>-</v>
      </c>
      <c r="C1048" s="30" t="str">
        <f>IF(BID!$L1056=FALSE,BID!C1056,"-")</f>
        <v>-</v>
      </c>
      <c r="D1048" s="114" t="str">
        <f>IF(BID!$L1056=FALSE,BID!D1056,"-")</f>
        <v>-</v>
      </c>
    </row>
    <row r="1049" spans="1:4" x14ac:dyDescent="0.25">
      <c r="A1049" s="438" t="str">
        <f>IF(BID!$L1057=FALSE,BID!A1057,"-")</f>
        <v>-</v>
      </c>
      <c r="B1049" s="114" t="str">
        <f>IF(BID!$L1057=FALSE,BID!B1057,"-")</f>
        <v>-</v>
      </c>
      <c r="C1049" s="30" t="str">
        <f>IF(BID!$L1057=FALSE,BID!C1057,"-")</f>
        <v>-</v>
      </c>
      <c r="D1049" s="114" t="str">
        <f>IF(BID!$L1057=FALSE,BID!D1057,"-")</f>
        <v>-</v>
      </c>
    </row>
    <row r="1050" spans="1:4" x14ac:dyDescent="0.25">
      <c r="A1050" s="438" t="str">
        <f>IF(BID!$L1058=FALSE,BID!A1058,"-")</f>
        <v>-</v>
      </c>
      <c r="B1050" s="114" t="str">
        <f>IF(BID!$L1058=FALSE,BID!B1058,"-")</f>
        <v>-</v>
      </c>
      <c r="C1050" s="30" t="str">
        <f>IF(BID!$L1058=FALSE,BID!C1058,"-")</f>
        <v>-</v>
      </c>
      <c r="D1050" s="114" t="str">
        <f>IF(BID!$L1058=FALSE,BID!D1058,"-")</f>
        <v>-</v>
      </c>
    </row>
    <row r="1051" spans="1:4" x14ac:dyDescent="0.25">
      <c r="A1051" s="438" t="str">
        <f>IF(BID!$L1059=FALSE,BID!A1059,"-")</f>
        <v>-</v>
      </c>
      <c r="B1051" s="114" t="str">
        <f>IF(BID!$L1059=FALSE,BID!B1059,"-")</f>
        <v>-</v>
      </c>
      <c r="C1051" s="30" t="str">
        <f>IF(BID!$L1059=FALSE,BID!C1059,"-")</f>
        <v>-</v>
      </c>
      <c r="D1051" s="114" t="str">
        <f>IF(BID!$L1059=FALSE,BID!D1059,"-")</f>
        <v>-</v>
      </c>
    </row>
    <row r="1052" spans="1:4" x14ac:dyDescent="0.25">
      <c r="A1052" s="438" t="str">
        <f>IF(BID!$L1060=FALSE,BID!A1060,"-")</f>
        <v>-</v>
      </c>
      <c r="B1052" s="114" t="str">
        <f>IF(BID!$L1060=FALSE,BID!B1060,"-")</f>
        <v>-</v>
      </c>
      <c r="C1052" s="30" t="str">
        <f>IF(BID!$L1060=FALSE,BID!C1060,"-")</f>
        <v>-</v>
      </c>
      <c r="D1052" s="114" t="str">
        <f>IF(BID!$L1060=FALSE,BID!D1060,"-")</f>
        <v>-</v>
      </c>
    </row>
    <row r="1053" spans="1:4" x14ac:dyDescent="0.25">
      <c r="A1053" s="438">
        <f>IF(BID!$L1061=FALSE,BID!A1061,"-")</f>
        <v>0</v>
      </c>
      <c r="B1053" s="114">
        <f>IF(BID!$L1061=FALSE,BID!B1061,"-")</f>
        <v>0</v>
      </c>
      <c r="C1053" s="30">
        <f>IF(BID!$L1061=FALSE,BID!C1061,"-")</f>
        <v>0</v>
      </c>
      <c r="D1053" s="114">
        <f>IF(BID!$L1061=FALSE,BID!D1061,"-")</f>
        <v>0</v>
      </c>
    </row>
    <row r="1054" spans="1:4" x14ac:dyDescent="0.25">
      <c r="A1054" s="438">
        <f>IF(BID!$L1062=FALSE,BID!A1062,"-")</f>
        <v>0</v>
      </c>
      <c r="B1054" s="114">
        <f>IF(BID!$L1062=FALSE,BID!B1062,"-")</f>
        <v>0</v>
      </c>
      <c r="C1054" s="30">
        <f>IF(BID!$L1062=FALSE,BID!C1062,"-")</f>
        <v>0</v>
      </c>
      <c r="D1054" s="114">
        <f>IF(BID!$L1062=FALSE,BID!D1062,"-")</f>
        <v>0</v>
      </c>
    </row>
    <row r="1055" spans="1:4" x14ac:dyDescent="0.25">
      <c r="A1055" s="438" t="str">
        <f>IF(BID!$L1063=FALSE,BID!A1063,"-")</f>
        <v>LOT 19</v>
      </c>
      <c r="B1055" s="114" t="str">
        <f>IF(BID!$L1063=FALSE,BID!B1063,"-")</f>
        <v>ANTIBIOTICS SENSITIVITY DISCS</v>
      </c>
      <c r="C1055" s="30">
        <f>IF(BID!$L1063=FALSE,BID!C1063,"-")</f>
        <v>0</v>
      </c>
      <c r="D1055" s="114">
        <f>IF(BID!$L1063=FALSE,BID!D1063,"-")</f>
        <v>0</v>
      </c>
    </row>
    <row r="1056" spans="1:4" x14ac:dyDescent="0.25">
      <c r="A1056" s="438" t="str">
        <f>IF(BID!$L1064=FALSE,BID!A1064,"-")</f>
        <v>-</v>
      </c>
      <c r="B1056" s="114" t="str">
        <f>IF(BID!$L1064=FALSE,BID!B1064,"-")</f>
        <v>-</v>
      </c>
      <c r="C1056" s="30" t="str">
        <f>IF(BID!$L1064=FALSE,BID!C1064,"-")</f>
        <v>-</v>
      </c>
      <c r="D1056" s="114" t="str">
        <f>IF(BID!$L1064=FALSE,BID!D1064,"-")</f>
        <v>-</v>
      </c>
    </row>
    <row r="1057" spans="1:4" x14ac:dyDescent="0.25">
      <c r="A1057" s="438" t="str">
        <f>IF(BID!$L1065=FALSE,BID!A1065,"-")</f>
        <v>-</v>
      </c>
      <c r="B1057" s="114" t="str">
        <f>IF(BID!$L1065=FALSE,BID!B1065,"-")</f>
        <v>-</v>
      </c>
      <c r="C1057" s="30" t="str">
        <f>IF(BID!$L1065=FALSE,BID!C1065,"-")</f>
        <v>-</v>
      </c>
      <c r="D1057" s="114" t="str">
        <f>IF(BID!$L1065=FALSE,BID!D1065,"-")</f>
        <v>-</v>
      </c>
    </row>
    <row r="1058" spans="1:4" x14ac:dyDescent="0.25">
      <c r="A1058" s="438" t="str">
        <f>IF(BID!$L1066=FALSE,BID!A1066,"-")</f>
        <v>-</v>
      </c>
      <c r="B1058" s="114" t="str">
        <f>IF(BID!$L1066=FALSE,BID!B1066,"-")</f>
        <v>-</v>
      </c>
      <c r="C1058" s="30" t="str">
        <f>IF(BID!$L1066=FALSE,BID!C1066,"-")</f>
        <v>-</v>
      </c>
      <c r="D1058" s="114" t="str">
        <f>IF(BID!$L1066=FALSE,BID!D1066,"-")</f>
        <v>-</v>
      </c>
    </row>
    <row r="1059" spans="1:4" x14ac:dyDescent="0.25">
      <c r="A1059" s="438" t="str">
        <f>IF(BID!$L1067=FALSE,BID!A1067,"-")</f>
        <v>-</v>
      </c>
      <c r="B1059" s="114" t="str">
        <f>IF(BID!$L1067=FALSE,BID!B1067,"-")</f>
        <v>-</v>
      </c>
      <c r="C1059" s="30" t="str">
        <f>IF(BID!$L1067=FALSE,BID!C1067,"-")</f>
        <v>-</v>
      </c>
      <c r="D1059" s="114" t="str">
        <f>IF(BID!$L1067=FALSE,BID!D1067,"-")</f>
        <v>-</v>
      </c>
    </row>
    <row r="1060" spans="1:4" x14ac:dyDescent="0.25">
      <c r="A1060" s="438" t="str">
        <f>IF(BID!$L1068=FALSE,BID!A1068,"-")</f>
        <v>-</v>
      </c>
      <c r="B1060" s="114" t="str">
        <f>IF(BID!$L1068=FALSE,BID!B1068,"-")</f>
        <v>-</v>
      </c>
      <c r="C1060" s="30" t="str">
        <f>IF(BID!$L1068=FALSE,BID!C1068,"-")</f>
        <v>-</v>
      </c>
      <c r="D1060" s="114" t="str">
        <f>IF(BID!$L1068=FALSE,BID!D1068,"-")</f>
        <v>-</v>
      </c>
    </row>
    <row r="1061" spans="1:4" x14ac:dyDescent="0.25">
      <c r="A1061" s="438" t="str">
        <f>IF(BID!$L1069=FALSE,BID!A1069,"-")</f>
        <v>-</v>
      </c>
      <c r="B1061" s="114" t="str">
        <f>IF(BID!$L1069=FALSE,BID!B1069,"-")</f>
        <v>-</v>
      </c>
      <c r="C1061" s="30" t="str">
        <f>IF(BID!$L1069=FALSE,BID!C1069,"-")</f>
        <v>-</v>
      </c>
      <c r="D1061" s="114" t="str">
        <f>IF(BID!$L1069=FALSE,BID!D1069,"-")</f>
        <v>-</v>
      </c>
    </row>
    <row r="1062" spans="1:4" x14ac:dyDescent="0.25">
      <c r="A1062" s="438" t="str">
        <f>IF(BID!$L1070=FALSE,BID!A1070,"-")</f>
        <v>-</v>
      </c>
      <c r="B1062" s="114" t="str">
        <f>IF(BID!$L1070=FALSE,BID!B1070,"-")</f>
        <v>-</v>
      </c>
      <c r="C1062" s="30" t="str">
        <f>IF(BID!$L1070=FALSE,BID!C1070,"-")</f>
        <v>-</v>
      </c>
      <c r="D1062" s="114" t="str">
        <f>IF(BID!$L1070=FALSE,BID!D1070,"-")</f>
        <v>-</v>
      </c>
    </row>
    <row r="1063" spans="1:4" x14ac:dyDescent="0.25">
      <c r="A1063" s="438" t="str">
        <f>IF(BID!$L1071=FALSE,BID!A1071,"-")</f>
        <v>-</v>
      </c>
      <c r="B1063" s="114" t="str">
        <f>IF(BID!$L1071=FALSE,BID!B1071,"-")</f>
        <v>-</v>
      </c>
      <c r="C1063" s="30" t="str">
        <f>IF(BID!$L1071=FALSE,BID!C1071,"-")</f>
        <v>-</v>
      </c>
      <c r="D1063" s="114" t="str">
        <f>IF(BID!$L1071=FALSE,BID!D1071,"-")</f>
        <v>-</v>
      </c>
    </row>
    <row r="1064" spans="1:4" x14ac:dyDescent="0.25">
      <c r="A1064" s="438" t="str">
        <f>IF(BID!$L1072=FALSE,BID!A1072,"-")</f>
        <v>-</v>
      </c>
      <c r="B1064" s="114" t="str">
        <f>IF(BID!$L1072=FALSE,BID!B1072,"-")</f>
        <v>-</v>
      </c>
      <c r="C1064" s="30" t="str">
        <f>IF(BID!$L1072=FALSE,BID!C1072,"-")</f>
        <v>-</v>
      </c>
      <c r="D1064" s="114" t="str">
        <f>IF(BID!$L1072=FALSE,BID!D1072,"-")</f>
        <v>-</v>
      </c>
    </row>
    <row r="1065" spans="1:4" x14ac:dyDescent="0.25">
      <c r="A1065" s="438" t="str">
        <f>IF(BID!$L1073=FALSE,BID!A1073,"-")</f>
        <v>-</v>
      </c>
      <c r="B1065" s="114" t="str">
        <f>IF(BID!$L1073=FALSE,BID!B1073,"-")</f>
        <v>-</v>
      </c>
      <c r="C1065" s="30" t="str">
        <f>IF(BID!$L1073=FALSE,BID!C1073,"-")</f>
        <v>-</v>
      </c>
      <c r="D1065" s="114" t="str">
        <f>IF(BID!$L1073=FALSE,BID!D1073,"-")</f>
        <v>-</v>
      </c>
    </row>
    <row r="1066" spans="1:4" x14ac:dyDescent="0.25">
      <c r="A1066" s="438" t="str">
        <f>IF(BID!$L1074=FALSE,BID!A1074,"-")</f>
        <v>-</v>
      </c>
      <c r="B1066" s="114" t="str">
        <f>IF(BID!$L1074=FALSE,BID!B1074,"-")</f>
        <v>-</v>
      </c>
      <c r="C1066" s="30" t="str">
        <f>IF(BID!$L1074=FALSE,BID!C1074,"-")</f>
        <v>-</v>
      </c>
      <c r="D1066" s="114" t="str">
        <f>IF(BID!$L1074=FALSE,BID!D1074,"-")</f>
        <v>-</v>
      </c>
    </row>
    <row r="1067" spans="1:4" x14ac:dyDescent="0.25">
      <c r="A1067" s="438" t="str">
        <f>IF(BID!$L1075=FALSE,BID!A1075,"-")</f>
        <v>-</v>
      </c>
      <c r="B1067" s="114" t="str">
        <f>IF(BID!$L1075=FALSE,BID!B1075,"-")</f>
        <v>-</v>
      </c>
      <c r="C1067" s="30" t="str">
        <f>IF(BID!$L1075=FALSE,BID!C1075,"-")</f>
        <v>-</v>
      </c>
      <c r="D1067" s="114" t="str">
        <f>IF(BID!$L1075=FALSE,BID!D1075,"-")</f>
        <v>-</v>
      </c>
    </row>
    <row r="1068" spans="1:4" x14ac:dyDescent="0.25">
      <c r="A1068" s="438" t="str">
        <f>IF(BID!$L1076=FALSE,BID!A1076,"-")</f>
        <v>-</v>
      </c>
      <c r="B1068" s="114" t="str">
        <f>IF(BID!$L1076=FALSE,BID!B1076,"-")</f>
        <v>-</v>
      </c>
      <c r="C1068" s="30" t="str">
        <f>IF(BID!$L1076=FALSE,BID!C1076,"-")</f>
        <v>-</v>
      </c>
      <c r="D1068" s="114" t="str">
        <f>IF(BID!$L1076=FALSE,BID!D1076,"-")</f>
        <v>-</v>
      </c>
    </row>
    <row r="1069" spans="1:4" x14ac:dyDescent="0.25">
      <c r="A1069" s="438" t="str">
        <f>IF(BID!$L1077=FALSE,BID!A1077,"-")</f>
        <v>-</v>
      </c>
      <c r="B1069" s="114" t="str">
        <f>IF(BID!$L1077=FALSE,BID!B1077,"-")</f>
        <v>-</v>
      </c>
      <c r="C1069" s="30" t="str">
        <f>IF(BID!$L1077=FALSE,BID!C1077,"-")</f>
        <v>-</v>
      </c>
      <c r="D1069" s="114" t="str">
        <f>IF(BID!$L1077=FALSE,BID!D1077,"-")</f>
        <v>-</v>
      </c>
    </row>
    <row r="1070" spans="1:4" x14ac:dyDescent="0.25">
      <c r="A1070" s="438" t="str">
        <f>IF(BID!$L1078=FALSE,BID!A1078,"-")</f>
        <v>-</v>
      </c>
      <c r="B1070" s="114" t="str">
        <f>IF(BID!$L1078=FALSE,BID!B1078,"-")</f>
        <v>-</v>
      </c>
      <c r="C1070" s="30" t="str">
        <f>IF(BID!$L1078=FALSE,BID!C1078,"-")</f>
        <v>-</v>
      </c>
      <c r="D1070" s="114" t="str">
        <f>IF(BID!$L1078=FALSE,BID!D1078,"-")</f>
        <v>-</v>
      </c>
    </row>
    <row r="1071" spans="1:4" x14ac:dyDescent="0.25">
      <c r="A1071" s="438" t="str">
        <f>IF(BID!$L1079=FALSE,BID!A1079,"-")</f>
        <v>-</v>
      </c>
      <c r="B1071" s="114" t="str">
        <f>IF(BID!$L1079=FALSE,BID!B1079,"-")</f>
        <v>-</v>
      </c>
      <c r="C1071" s="30" t="str">
        <f>IF(BID!$L1079=FALSE,BID!C1079,"-")</f>
        <v>-</v>
      </c>
      <c r="D1071" s="114" t="str">
        <f>IF(BID!$L1079=FALSE,BID!D1079,"-")</f>
        <v>-</v>
      </c>
    </row>
    <row r="1072" spans="1:4" x14ac:dyDescent="0.25">
      <c r="A1072" s="438" t="str">
        <f>IF(BID!$L1080=FALSE,BID!A1080,"-")</f>
        <v>-</v>
      </c>
      <c r="B1072" s="114" t="str">
        <f>IF(BID!$L1080=FALSE,BID!B1080,"-")</f>
        <v>-</v>
      </c>
      <c r="C1072" s="30" t="str">
        <f>IF(BID!$L1080=FALSE,BID!C1080,"-")</f>
        <v>-</v>
      </c>
      <c r="D1072" s="114" t="str">
        <f>IF(BID!$L1080=FALSE,BID!D1080,"-")</f>
        <v>-</v>
      </c>
    </row>
    <row r="1073" spans="1:4" x14ac:dyDescent="0.25">
      <c r="A1073" s="438">
        <f>IF(BID!$L1081=FALSE,BID!A1081,"-")</f>
        <v>0</v>
      </c>
      <c r="B1073" s="114">
        <f>IF(BID!$L1081=FALSE,BID!B1081,"-")</f>
        <v>0</v>
      </c>
      <c r="C1073" s="30">
        <f>IF(BID!$L1081=FALSE,BID!C1081,"-")</f>
        <v>0</v>
      </c>
      <c r="D1073" s="114">
        <f>IF(BID!$L1081=FALSE,BID!D1081,"-")</f>
        <v>0</v>
      </c>
    </row>
    <row r="1074" spans="1:4" x14ac:dyDescent="0.25">
      <c r="A1074" s="438">
        <f>IF(BID!$L1082=FALSE,BID!A1082,"-")</f>
        <v>0</v>
      </c>
      <c r="B1074" s="114">
        <f>IF(BID!$L1082=FALSE,BID!B1082,"-")</f>
        <v>0</v>
      </c>
      <c r="C1074" s="30">
        <f>IF(BID!$L1082=FALSE,BID!C1082,"-")</f>
        <v>0</v>
      </c>
      <c r="D1074" s="114">
        <f>IF(BID!$L1082=FALSE,BID!D1082,"-")</f>
        <v>0</v>
      </c>
    </row>
    <row r="1075" spans="1:4" x14ac:dyDescent="0.25">
      <c r="A1075" s="438">
        <f>IF(BID!$L1083=FALSE,BID!A1083,"-")</f>
        <v>0</v>
      </c>
      <c r="B1075" s="114" t="str">
        <f>IF(BID!$L1083=FALSE,BID!B1083,"-")</f>
        <v>INFECTION CONTROL</v>
      </c>
      <c r="C1075" s="30">
        <f>IF(BID!$L1083=FALSE,BID!C1083,"-")</f>
        <v>0</v>
      </c>
      <c r="D1075" s="114">
        <f>IF(BID!$L1083=FALSE,BID!D1083,"-")</f>
        <v>0</v>
      </c>
    </row>
    <row r="1076" spans="1:4" x14ac:dyDescent="0.25">
      <c r="A1076" s="438" t="str">
        <f>IF(BID!$L1084=FALSE,BID!A1084,"-")</f>
        <v>-</v>
      </c>
      <c r="B1076" s="114" t="str">
        <f>IF(BID!$L1084=FALSE,BID!B1084,"-")</f>
        <v>-</v>
      </c>
      <c r="C1076" s="30" t="str">
        <f>IF(BID!$L1084=FALSE,BID!C1084,"-")</f>
        <v>-</v>
      </c>
      <c r="D1076" s="114" t="str">
        <f>IF(BID!$L1084=FALSE,BID!D1084,"-")</f>
        <v>-</v>
      </c>
    </row>
    <row r="1077" spans="1:4" x14ac:dyDescent="0.25">
      <c r="A1077" s="438" t="str">
        <f>IF(BID!$L1085=FALSE,BID!A1085,"-")</f>
        <v>-</v>
      </c>
      <c r="B1077" s="114" t="str">
        <f>IF(BID!$L1085=FALSE,BID!B1085,"-")</f>
        <v>-</v>
      </c>
      <c r="C1077" s="30" t="str">
        <f>IF(BID!$L1085=FALSE,BID!C1085,"-")</f>
        <v>-</v>
      </c>
      <c r="D1077" s="114" t="str">
        <f>IF(BID!$L1085=FALSE,BID!D1085,"-")</f>
        <v>-</v>
      </c>
    </row>
    <row r="1078" spans="1:4" x14ac:dyDescent="0.25">
      <c r="A1078" s="438" t="str">
        <f>IF(BID!$L1086=FALSE,BID!A1086,"-")</f>
        <v>-</v>
      </c>
      <c r="B1078" s="114" t="str">
        <f>IF(BID!$L1086=FALSE,BID!B1086,"-")</f>
        <v>-</v>
      </c>
      <c r="C1078" s="30" t="str">
        <f>IF(BID!$L1086=FALSE,BID!C1086,"-")</f>
        <v>-</v>
      </c>
      <c r="D1078" s="114" t="str">
        <f>IF(BID!$L1086=FALSE,BID!D1086,"-")</f>
        <v>-</v>
      </c>
    </row>
    <row r="1079" spans="1:4" x14ac:dyDescent="0.25">
      <c r="A1079" s="438" t="str">
        <f>IF(BID!$L1087=FALSE,BID!A1087,"-")</f>
        <v>-</v>
      </c>
      <c r="B1079" s="114" t="str">
        <f>IF(BID!$L1087=FALSE,BID!B1087,"-")</f>
        <v>-</v>
      </c>
      <c r="C1079" s="30" t="str">
        <f>IF(BID!$L1087=FALSE,BID!C1087,"-")</f>
        <v>-</v>
      </c>
      <c r="D1079" s="114" t="str">
        <f>IF(BID!$L1087=FALSE,BID!D1087,"-")</f>
        <v>-</v>
      </c>
    </row>
    <row r="1080" spans="1:4" x14ac:dyDescent="0.25">
      <c r="A1080" s="438" t="str">
        <f>IF(BID!$L1088=FALSE,BID!A1088,"-")</f>
        <v>-</v>
      </c>
      <c r="B1080" s="114" t="str">
        <f>IF(BID!$L1088=FALSE,BID!B1088,"-")</f>
        <v>-</v>
      </c>
      <c r="C1080" s="30" t="str">
        <f>IF(BID!$L1088=FALSE,BID!C1088,"-")</f>
        <v>-</v>
      </c>
      <c r="D1080" s="114" t="str">
        <f>IF(BID!$L1088=FALSE,BID!D1088,"-")</f>
        <v>-</v>
      </c>
    </row>
    <row r="1081" spans="1:4" x14ac:dyDescent="0.25">
      <c r="A1081" s="438" t="str">
        <f>IF(BID!$L1089=FALSE,BID!A1089,"-")</f>
        <v>-</v>
      </c>
      <c r="B1081" s="114" t="str">
        <f>IF(BID!$L1089=FALSE,BID!B1089,"-")</f>
        <v>-</v>
      </c>
      <c r="C1081" s="30" t="str">
        <f>IF(BID!$L1089=FALSE,BID!C1089,"-")</f>
        <v>-</v>
      </c>
      <c r="D1081" s="114" t="str">
        <f>IF(BID!$L1089=FALSE,BID!D1089,"-")</f>
        <v>-</v>
      </c>
    </row>
    <row r="1082" spans="1:4" x14ac:dyDescent="0.25">
      <c r="A1082" s="438" t="str">
        <f>IF(BID!$L1090=FALSE,BID!A1090,"-")</f>
        <v>-</v>
      </c>
      <c r="B1082" s="114" t="str">
        <f>IF(BID!$L1090=FALSE,BID!B1090,"-")</f>
        <v>-</v>
      </c>
      <c r="C1082" s="30" t="str">
        <f>IF(BID!$L1090=FALSE,BID!C1090,"-")</f>
        <v>-</v>
      </c>
      <c r="D1082" s="114" t="str">
        <f>IF(BID!$L1090=FALSE,BID!D1090,"-")</f>
        <v>-</v>
      </c>
    </row>
    <row r="1083" spans="1:4" x14ac:dyDescent="0.25">
      <c r="A1083" s="438">
        <f>IF(BID!$L1091=FALSE,BID!A1091,"-")</f>
        <v>0</v>
      </c>
      <c r="B1083" s="114">
        <f>IF(BID!$L1091=FALSE,BID!B1091,"-")</f>
        <v>0</v>
      </c>
      <c r="C1083" s="30">
        <f>IF(BID!$L1091=FALSE,BID!C1091,"-")</f>
        <v>0</v>
      </c>
      <c r="D1083" s="114">
        <f>IF(BID!$L1091=FALSE,BID!D1091,"-")</f>
        <v>0</v>
      </c>
    </row>
    <row r="1084" spans="1:4" x14ac:dyDescent="0.25">
      <c r="A1084" s="438">
        <f>IF(BID!$L1092=FALSE,BID!A1092,"-")</f>
        <v>0</v>
      </c>
      <c r="B1084" s="114">
        <f>IF(BID!$L1092=FALSE,BID!B1092,"-")</f>
        <v>0</v>
      </c>
      <c r="C1084" s="30">
        <f>IF(BID!$L1092=FALSE,BID!C1092,"-")</f>
        <v>0</v>
      </c>
      <c r="D1084" s="114">
        <f>IF(BID!$L1092=FALSE,BID!D1092,"-")</f>
        <v>0</v>
      </c>
    </row>
    <row r="1085" spans="1:4" x14ac:dyDescent="0.25">
      <c r="A1085" s="438">
        <f>IF(BID!$L1093=FALSE,BID!A1093,"-")</f>
        <v>0</v>
      </c>
      <c r="B1085" s="114">
        <f>IF(BID!$L1093=FALSE,BID!B1093,"-")</f>
        <v>0</v>
      </c>
      <c r="C1085" s="30">
        <f>IF(BID!$L1093=FALSE,BID!C1093,"-")</f>
        <v>0</v>
      </c>
      <c r="D1085" s="114">
        <f>IF(BID!$L1093=FALSE,BID!D1093,"-")</f>
        <v>0</v>
      </c>
    </row>
    <row r="1086" spans="1:4" x14ac:dyDescent="0.25">
      <c r="A1086" s="438" t="str">
        <f>IF(BID!$L1094=FALSE,BID!A1094,"-")</f>
        <v>LOT 20</v>
      </c>
      <c r="B1086" s="114" t="str">
        <f>IF(BID!$L1094=FALSE,BID!B1094,"-")</f>
        <v>LABORATORY DEPARTMENT - CHEMICAL PATHOLOGY</v>
      </c>
      <c r="C1086" s="30">
        <f>IF(BID!$L1094=FALSE,BID!C1094,"-")</f>
        <v>0</v>
      </c>
      <c r="D1086" s="114">
        <f>IF(BID!$L1094=FALSE,BID!D1094,"-")</f>
        <v>0</v>
      </c>
    </row>
    <row r="1087" spans="1:4" x14ac:dyDescent="0.25">
      <c r="A1087" s="438">
        <f>IF(BID!$L1095=FALSE,BID!A1095,"-")</f>
        <v>0</v>
      </c>
      <c r="B1087" s="114">
        <f>IF(BID!$L1095=FALSE,BID!B1095,"-")</f>
        <v>0</v>
      </c>
      <c r="C1087" s="30">
        <f>IF(BID!$L1095=FALSE,BID!C1095,"-")</f>
        <v>0</v>
      </c>
      <c r="D1087" s="114">
        <f>IF(BID!$L1095=FALSE,BID!D1095,"-")</f>
        <v>0</v>
      </c>
    </row>
    <row r="1088" spans="1:4" x14ac:dyDescent="0.25">
      <c r="A1088" s="438" t="str">
        <f>IF(BID!$L1096=FALSE,BID!A1096,"-")</f>
        <v>-</v>
      </c>
      <c r="B1088" s="114" t="str">
        <f>IF(BID!$L1096=FALSE,BID!B1096,"-")</f>
        <v>-</v>
      </c>
      <c r="C1088" s="30" t="str">
        <f>IF(BID!$L1096=FALSE,BID!C1096,"-")</f>
        <v>-</v>
      </c>
      <c r="D1088" s="114" t="str">
        <f>IF(BID!$L1096=FALSE,BID!D1096,"-")</f>
        <v>-</v>
      </c>
    </row>
    <row r="1089" spans="1:4" x14ac:dyDescent="0.25">
      <c r="A1089" s="438" t="str">
        <f>IF(BID!$L1097=FALSE,BID!A1097,"-")</f>
        <v>-</v>
      </c>
      <c r="B1089" s="114" t="str">
        <f>IF(BID!$L1097=FALSE,BID!B1097,"-")</f>
        <v>-</v>
      </c>
      <c r="C1089" s="30" t="str">
        <f>IF(BID!$L1097=FALSE,BID!C1097,"-")</f>
        <v>-</v>
      </c>
      <c r="D1089" s="114" t="str">
        <f>IF(BID!$L1097=FALSE,BID!D1097,"-")</f>
        <v>-</v>
      </c>
    </row>
    <row r="1090" spans="1:4" x14ac:dyDescent="0.25">
      <c r="A1090" s="438" t="str">
        <f>IF(BID!$L1098=FALSE,BID!A1098,"-")</f>
        <v>-</v>
      </c>
      <c r="B1090" s="114" t="str">
        <f>IF(BID!$L1098=FALSE,BID!B1098,"-")</f>
        <v>-</v>
      </c>
      <c r="C1090" s="30" t="str">
        <f>IF(BID!$L1098=FALSE,BID!C1098,"-")</f>
        <v>-</v>
      </c>
      <c r="D1090" s="114" t="str">
        <f>IF(BID!$L1098=FALSE,BID!D1098,"-")</f>
        <v>-</v>
      </c>
    </row>
    <row r="1091" spans="1:4" x14ac:dyDescent="0.25">
      <c r="A1091" s="438" t="str">
        <f>IF(BID!$L1099=FALSE,BID!A1099,"-")</f>
        <v>-</v>
      </c>
      <c r="B1091" s="114" t="str">
        <f>IF(BID!$L1099=FALSE,BID!B1099,"-")</f>
        <v>-</v>
      </c>
      <c r="C1091" s="30" t="str">
        <f>IF(BID!$L1099=FALSE,BID!C1099,"-")</f>
        <v>-</v>
      </c>
      <c r="D1091" s="114" t="str">
        <f>IF(BID!$L1099=FALSE,BID!D1099,"-")</f>
        <v>-</v>
      </c>
    </row>
    <row r="1092" spans="1:4" x14ac:dyDescent="0.25">
      <c r="A1092" s="438" t="str">
        <f>IF(BID!$L1100=FALSE,BID!A1100,"-")</f>
        <v>-</v>
      </c>
      <c r="B1092" s="114" t="str">
        <f>IF(BID!$L1100=FALSE,BID!B1100,"-")</f>
        <v>-</v>
      </c>
      <c r="C1092" s="30" t="str">
        <f>IF(BID!$L1100=FALSE,BID!C1100,"-")</f>
        <v>-</v>
      </c>
      <c r="D1092" s="114" t="str">
        <f>IF(BID!$L1100=FALSE,BID!D1100,"-")</f>
        <v>-</v>
      </c>
    </row>
    <row r="1093" spans="1:4" x14ac:dyDescent="0.25">
      <c r="A1093" s="438" t="str">
        <f>IF(BID!$L1101=FALSE,BID!A1101,"-")</f>
        <v>-</v>
      </c>
      <c r="B1093" s="114" t="str">
        <f>IF(BID!$L1101=FALSE,BID!B1101,"-")</f>
        <v>-</v>
      </c>
      <c r="C1093" s="30" t="str">
        <f>IF(BID!$L1101=FALSE,BID!C1101,"-")</f>
        <v>-</v>
      </c>
      <c r="D1093" s="114" t="str">
        <f>IF(BID!$L1101=FALSE,BID!D1101,"-")</f>
        <v>-</v>
      </c>
    </row>
    <row r="1094" spans="1:4" x14ac:dyDescent="0.25">
      <c r="A1094" s="438" t="str">
        <f>IF(BID!$L1102=FALSE,BID!A1102,"-")</f>
        <v>-</v>
      </c>
      <c r="B1094" s="114" t="str">
        <f>IF(BID!$L1102=FALSE,BID!B1102,"-")</f>
        <v>-</v>
      </c>
      <c r="C1094" s="30" t="str">
        <f>IF(BID!$L1102=FALSE,BID!C1102,"-")</f>
        <v>-</v>
      </c>
      <c r="D1094" s="114" t="str">
        <f>IF(BID!$L1102=FALSE,BID!D1102,"-")</f>
        <v>-</v>
      </c>
    </row>
    <row r="1095" spans="1:4" x14ac:dyDescent="0.25">
      <c r="A1095" s="438" t="str">
        <f>IF(BID!$L1103=FALSE,BID!A1103,"-")</f>
        <v>-</v>
      </c>
      <c r="B1095" s="114" t="str">
        <f>IF(BID!$L1103=FALSE,BID!B1103,"-")</f>
        <v>-</v>
      </c>
      <c r="C1095" s="30" t="str">
        <f>IF(BID!$L1103=FALSE,BID!C1103,"-")</f>
        <v>-</v>
      </c>
      <c r="D1095" s="114" t="str">
        <f>IF(BID!$L1103=FALSE,BID!D1103,"-")</f>
        <v>-</v>
      </c>
    </row>
    <row r="1096" spans="1:4" x14ac:dyDescent="0.25">
      <c r="A1096" s="438" t="str">
        <f>IF(BID!$L1104=FALSE,BID!A1104,"-")</f>
        <v>-</v>
      </c>
      <c r="B1096" s="114" t="str">
        <f>IF(BID!$L1104=FALSE,BID!B1104,"-")</f>
        <v>-</v>
      </c>
      <c r="C1096" s="30" t="str">
        <f>IF(BID!$L1104=FALSE,BID!C1104,"-")</f>
        <v>-</v>
      </c>
      <c r="D1096" s="114" t="str">
        <f>IF(BID!$L1104=FALSE,BID!D1104,"-")</f>
        <v>-</v>
      </c>
    </row>
    <row r="1097" spans="1:4" x14ac:dyDescent="0.25">
      <c r="A1097" s="438" t="str">
        <f>IF(BID!$L1105=FALSE,BID!A1105,"-")</f>
        <v>-</v>
      </c>
      <c r="B1097" s="114" t="str">
        <f>IF(BID!$L1105=FALSE,BID!B1105,"-")</f>
        <v>-</v>
      </c>
      <c r="C1097" s="30" t="str">
        <f>IF(BID!$L1105=FALSE,BID!C1105,"-")</f>
        <v>-</v>
      </c>
      <c r="D1097" s="114" t="str">
        <f>IF(BID!$L1105=FALSE,BID!D1105,"-")</f>
        <v>-</v>
      </c>
    </row>
    <row r="1098" spans="1:4" x14ac:dyDescent="0.25">
      <c r="A1098" s="438" t="str">
        <f>IF(BID!$L1106=FALSE,BID!A1106,"-")</f>
        <v>-</v>
      </c>
      <c r="B1098" s="114" t="str">
        <f>IF(BID!$L1106=FALSE,BID!B1106,"-")</f>
        <v>-</v>
      </c>
      <c r="C1098" s="30" t="str">
        <f>IF(BID!$L1106=FALSE,BID!C1106,"-")</f>
        <v>-</v>
      </c>
      <c r="D1098" s="114" t="str">
        <f>IF(BID!$L1106=FALSE,BID!D1106,"-")</f>
        <v>-</v>
      </c>
    </row>
    <row r="1099" spans="1:4" x14ac:dyDescent="0.25">
      <c r="A1099" s="438" t="str">
        <f>IF(BID!$L1107=FALSE,BID!A1107,"-")</f>
        <v>-</v>
      </c>
      <c r="B1099" s="114" t="str">
        <f>IF(BID!$L1107=FALSE,BID!B1107,"-")</f>
        <v>-</v>
      </c>
      <c r="C1099" s="30" t="str">
        <f>IF(BID!$L1107=FALSE,BID!C1107,"-")</f>
        <v>-</v>
      </c>
      <c r="D1099" s="114" t="str">
        <f>IF(BID!$L1107=FALSE,BID!D1107,"-")</f>
        <v>-</v>
      </c>
    </row>
    <row r="1100" spans="1:4" x14ac:dyDescent="0.25">
      <c r="A1100" s="438" t="str">
        <f>IF(BID!$L1108=FALSE,BID!A1108,"-")</f>
        <v>-</v>
      </c>
      <c r="B1100" s="114" t="str">
        <f>IF(BID!$L1108=FALSE,BID!B1108,"-")</f>
        <v>-</v>
      </c>
      <c r="C1100" s="30" t="str">
        <f>IF(BID!$L1108=FALSE,BID!C1108,"-")</f>
        <v>-</v>
      </c>
      <c r="D1100" s="114" t="str">
        <f>IF(BID!$L1108=FALSE,BID!D1108,"-")</f>
        <v>-</v>
      </c>
    </row>
    <row r="1101" spans="1:4" x14ac:dyDescent="0.25">
      <c r="A1101" s="438" t="str">
        <f>IF(BID!$L1109=FALSE,BID!A1109,"-")</f>
        <v>-</v>
      </c>
      <c r="B1101" s="114" t="str">
        <f>IF(BID!$L1109=FALSE,BID!B1109,"-")</f>
        <v>-</v>
      </c>
      <c r="C1101" s="30" t="str">
        <f>IF(BID!$L1109=FALSE,BID!C1109,"-")</f>
        <v>-</v>
      </c>
      <c r="D1101" s="114" t="str">
        <f>IF(BID!$L1109=FALSE,BID!D1109,"-")</f>
        <v>-</v>
      </c>
    </row>
    <row r="1102" spans="1:4" x14ac:dyDescent="0.25">
      <c r="A1102" s="438" t="str">
        <f>IF(BID!$L1110=FALSE,BID!A1110,"-")</f>
        <v>-</v>
      </c>
      <c r="B1102" s="114" t="str">
        <f>IF(BID!$L1110=FALSE,BID!B1110,"-")</f>
        <v>-</v>
      </c>
      <c r="C1102" s="30" t="str">
        <f>IF(BID!$L1110=FALSE,BID!C1110,"-")</f>
        <v>-</v>
      </c>
      <c r="D1102" s="114" t="str">
        <f>IF(BID!$L1110=FALSE,BID!D1110,"-")</f>
        <v>-</v>
      </c>
    </row>
    <row r="1103" spans="1:4" x14ac:dyDescent="0.25">
      <c r="A1103" s="438" t="str">
        <f>IF(BID!$L1111=FALSE,BID!A1111,"-")</f>
        <v>-</v>
      </c>
      <c r="B1103" s="114" t="str">
        <f>IF(BID!$L1111=FALSE,BID!B1111,"-")</f>
        <v>-</v>
      </c>
      <c r="C1103" s="30" t="str">
        <f>IF(BID!$L1111=FALSE,BID!C1111,"-")</f>
        <v>-</v>
      </c>
      <c r="D1103" s="114" t="str">
        <f>IF(BID!$L1111=FALSE,BID!D1111,"-")</f>
        <v>-</v>
      </c>
    </row>
    <row r="1104" spans="1:4" x14ac:dyDescent="0.25">
      <c r="A1104" s="438" t="str">
        <f>IF(BID!$L1112=FALSE,BID!A1112,"-")</f>
        <v>-</v>
      </c>
      <c r="B1104" s="114" t="str">
        <f>IF(BID!$L1112=FALSE,BID!B1112,"-")</f>
        <v>-</v>
      </c>
      <c r="C1104" s="30" t="str">
        <f>IF(BID!$L1112=FALSE,BID!C1112,"-")</f>
        <v>-</v>
      </c>
      <c r="D1104" s="114" t="str">
        <f>IF(BID!$L1112=FALSE,BID!D1112,"-")</f>
        <v>-</v>
      </c>
    </row>
    <row r="1105" spans="1:4" x14ac:dyDescent="0.25">
      <c r="A1105" s="438" t="str">
        <f>IF(BID!$L1113=FALSE,BID!A1113,"-")</f>
        <v>-</v>
      </c>
      <c r="B1105" s="114" t="str">
        <f>IF(BID!$L1113=FALSE,BID!B1113,"-")</f>
        <v>-</v>
      </c>
      <c r="C1105" s="30" t="str">
        <f>IF(BID!$L1113=FALSE,BID!C1113,"-")</f>
        <v>-</v>
      </c>
      <c r="D1105" s="114" t="str">
        <f>IF(BID!$L1113=FALSE,BID!D1113,"-")</f>
        <v>-</v>
      </c>
    </row>
    <row r="1106" spans="1:4" x14ac:dyDescent="0.25">
      <c r="A1106" s="438" t="str">
        <f>IF(BID!$L1114=FALSE,BID!A1114,"-")</f>
        <v>-</v>
      </c>
      <c r="B1106" s="114" t="str">
        <f>IF(BID!$L1114=FALSE,BID!B1114,"-")</f>
        <v>-</v>
      </c>
      <c r="C1106" s="30" t="str">
        <f>IF(BID!$L1114=FALSE,BID!C1114,"-")</f>
        <v>-</v>
      </c>
      <c r="D1106" s="114" t="str">
        <f>IF(BID!$L1114=FALSE,BID!D1114,"-")</f>
        <v>-</v>
      </c>
    </row>
    <row r="1107" spans="1:4" x14ac:dyDescent="0.25">
      <c r="A1107" s="438" t="str">
        <f>IF(BID!$L1115=FALSE,BID!A1115,"-")</f>
        <v>-</v>
      </c>
      <c r="B1107" s="114" t="str">
        <f>IF(BID!$L1115=FALSE,BID!B1115,"-")</f>
        <v>-</v>
      </c>
      <c r="C1107" s="30" t="str">
        <f>IF(BID!$L1115=FALSE,BID!C1115,"-")</f>
        <v>-</v>
      </c>
      <c r="D1107" s="114" t="str">
        <f>IF(BID!$L1115=FALSE,BID!D1115,"-")</f>
        <v>-</v>
      </c>
    </row>
    <row r="1108" spans="1:4" x14ac:dyDescent="0.25">
      <c r="A1108" s="438" t="str">
        <f>IF(BID!$L1116=FALSE,BID!A1116,"-")</f>
        <v>-</v>
      </c>
      <c r="B1108" s="114" t="str">
        <f>IF(BID!$L1116=FALSE,BID!B1116,"-")</f>
        <v>-</v>
      </c>
      <c r="C1108" s="30" t="str">
        <f>IF(BID!$L1116=FALSE,BID!C1116,"-")</f>
        <v>-</v>
      </c>
      <c r="D1108" s="114" t="str">
        <f>IF(BID!$L1116=FALSE,BID!D1116,"-")</f>
        <v>-</v>
      </c>
    </row>
    <row r="1109" spans="1:4" x14ac:dyDescent="0.25">
      <c r="A1109" s="438" t="str">
        <f>IF(BID!$L1117=FALSE,BID!A1117,"-")</f>
        <v>-</v>
      </c>
      <c r="B1109" s="114" t="str">
        <f>IF(BID!$L1117=FALSE,BID!B1117,"-")</f>
        <v>-</v>
      </c>
      <c r="C1109" s="30" t="str">
        <f>IF(BID!$L1117=FALSE,BID!C1117,"-")</f>
        <v>-</v>
      </c>
      <c r="D1109" s="114" t="str">
        <f>IF(BID!$L1117=FALSE,BID!D1117,"-")</f>
        <v>-</v>
      </c>
    </row>
    <row r="1110" spans="1:4" x14ac:dyDescent="0.25">
      <c r="A1110" s="438" t="str">
        <f>IF(BID!$L1118=FALSE,BID!A1118,"-")</f>
        <v>-</v>
      </c>
      <c r="B1110" s="114" t="str">
        <f>IF(BID!$L1118=FALSE,BID!B1118,"-")</f>
        <v>-</v>
      </c>
      <c r="C1110" s="30" t="str">
        <f>IF(BID!$L1118=FALSE,BID!C1118,"-")</f>
        <v>-</v>
      </c>
      <c r="D1110" s="114" t="str">
        <f>IF(BID!$L1118=FALSE,BID!D1118,"-")</f>
        <v>-</v>
      </c>
    </row>
    <row r="1111" spans="1:4" x14ac:dyDescent="0.25">
      <c r="A1111" s="438" t="str">
        <f>IF(BID!$L1119=FALSE,BID!A1119,"-")</f>
        <v>-</v>
      </c>
      <c r="B1111" s="114" t="str">
        <f>IF(BID!$L1119=FALSE,BID!B1119,"-")</f>
        <v>-</v>
      </c>
      <c r="C1111" s="30" t="str">
        <f>IF(BID!$L1119=FALSE,BID!C1119,"-")</f>
        <v>-</v>
      </c>
      <c r="D1111" s="114" t="str">
        <f>IF(BID!$L1119=FALSE,BID!D1119,"-")</f>
        <v>-</v>
      </c>
    </row>
    <row r="1112" spans="1:4" x14ac:dyDescent="0.25">
      <c r="A1112" s="438" t="str">
        <f>IF(BID!$L1120=FALSE,BID!A1120,"-")</f>
        <v>-</v>
      </c>
      <c r="B1112" s="114" t="str">
        <f>IF(BID!$L1120=FALSE,BID!B1120,"-")</f>
        <v>-</v>
      </c>
      <c r="C1112" s="30" t="str">
        <f>IF(BID!$L1120=FALSE,BID!C1120,"-")</f>
        <v>-</v>
      </c>
      <c r="D1112" s="114" t="str">
        <f>IF(BID!$L1120=FALSE,BID!D1120,"-")</f>
        <v>-</v>
      </c>
    </row>
    <row r="1113" spans="1:4" x14ac:dyDescent="0.25">
      <c r="A1113" s="438" t="str">
        <f>IF(BID!$L1121=FALSE,BID!A1121,"-")</f>
        <v>-</v>
      </c>
      <c r="B1113" s="114" t="str">
        <f>IF(BID!$L1121=FALSE,BID!B1121,"-")</f>
        <v>-</v>
      </c>
      <c r="C1113" s="30" t="str">
        <f>IF(BID!$L1121=FALSE,BID!C1121,"-")</f>
        <v>-</v>
      </c>
      <c r="D1113" s="114" t="str">
        <f>IF(BID!$L1121=FALSE,BID!D1121,"-")</f>
        <v>-</v>
      </c>
    </row>
    <row r="1114" spans="1:4" x14ac:dyDescent="0.25">
      <c r="A1114" s="438" t="str">
        <f>IF(BID!$L1122=FALSE,BID!A1122,"-")</f>
        <v>-</v>
      </c>
      <c r="B1114" s="114" t="str">
        <f>IF(BID!$L1122=FALSE,BID!B1122,"-")</f>
        <v>-</v>
      </c>
      <c r="C1114" s="30" t="str">
        <f>IF(BID!$L1122=FALSE,BID!C1122,"-")</f>
        <v>-</v>
      </c>
      <c r="D1114" s="114" t="str">
        <f>IF(BID!$L1122=FALSE,BID!D1122,"-")</f>
        <v>-</v>
      </c>
    </row>
    <row r="1115" spans="1:4" x14ac:dyDescent="0.25">
      <c r="A1115" s="438" t="str">
        <f>IF(BID!$L1123=FALSE,BID!A1123,"-")</f>
        <v>-</v>
      </c>
      <c r="B1115" s="114" t="str">
        <f>IF(BID!$L1123=FALSE,BID!B1123,"-")</f>
        <v>-</v>
      </c>
      <c r="C1115" s="30" t="str">
        <f>IF(BID!$L1123=FALSE,BID!C1123,"-")</f>
        <v>-</v>
      </c>
      <c r="D1115" s="114" t="str">
        <f>IF(BID!$L1123=FALSE,BID!D1123,"-")</f>
        <v>-</v>
      </c>
    </row>
    <row r="1116" spans="1:4" x14ac:dyDescent="0.25">
      <c r="A1116" s="438" t="str">
        <f>IF(BID!$L1124=FALSE,BID!A1124,"-")</f>
        <v>-</v>
      </c>
      <c r="B1116" s="114" t="str">
        <f>IF(BID!$L1124=FALSE,BID!B1124,"-")</f>
        <v>-</v>
      </c>
      <c r="C1116" s="30" t="str">
        <f>IF(BID!$L1124=FALSE,BID!C1124,"-")</f>
        <v>-</v>
      </c>
      <c r="D1116" s="114" t="str">
        <f>IF(BID!$L1124=FALSE,BID!D1124,"-")</f>
        <v>-</v>
      </c>
    </row>
    <row r="1117" spans="1:4" x14ac:dyDescent="0.25">
      <c r="A1117" s="438" t="str">
        <f>IF(BID!$L1125=FALSE,BID!A1125,"-")</f>
        <v>-</v>
      </c>
      <c r="B1117" s="114" t="str">
        <f>IF(BID!$L1125=FALSE,BID!B1125,"-")</f>
        <v>-</v>
      </c>
      <c r="C1117" s="30" t="str">
        <f>IF(BID!$L1125=FALSE,BID!C1125,"-")</f>
        <v>-</v>
      </c>
      <c r="D1117" s="114" t="str">
        <f>IF(BID!$L1125=FALSE,BID!D1125,"-")</f>
        <v>-</v>
      </c>
    </row>
    <row r="1118" spans="1:4" x14ac:dyDescent="0.25">
      <c r="A1118" s="438" t="str">
        <f>IF(BID!$L1126=FALSE,BID!A1126,"-")</f>
        <v>-</v>
      </c>
      <c r="B1118" s="114" t="str">
        <f>IF(BID!$L1126=FALSE,BID!B1126,"-")</f>
        <v>-</v>
      </c>
      <c r="C1118" s="30" t="str">
        <f>IF(BID!$L1126=FALSE,BID!C1126,"-")</f>
        <v>-</v>
      </c>
      <c r="D1118" s="114" t="str">
        <f>IF(BID!$L1126=FALSE,BID!D1126,"-")</f>
        <v>-</v>
      </c>
    </row>
    <row r="1119" spans="1:4" x14ac:dyDescent="0.25">
      <c r="A1119" s="438" t="str">
        <f>IF(BID!$L1127=FALSE,BID!A1127,"-")</f>
        <v>-</v>
      </c>
      <c r="B1119" s="114" t="str">
        <f>IF(BID!$L1127=FALSE,BID!B1127,"-")</f>
        <v>-</v>
      </c>
      <c r="C1119" s="30" t="str">
        <f>IF(BID!$L1127=FALSE,BID!C1127,"-")</f>
        <v>-</v>
      </c>
      <c r="D1119" s="114" t="str">
        <f>IF(BID!$L1127=FALSE,BID!D1127,"-")</f>
        <v>-</v>
      </c>
    </row>
    <row r="1120" spans="1:4" x14ac:dyDescent="0.25">
      <c r="A1120" s="438" t="str">
        <f>IF(BID!$L1128=FALSE,BID!A1128,"-")</f>
        <v>-</v>
      </c>
      <c r="B1120" s="114" t="str">
        <f>IF(BID!$L1128=FALSE,BID!B1128,"-")</f>
        <v>-</v>
      </c>
      <c r="C1120" s="30" t="str">
        <f>IF(BID!$L1128=FALSE,BID!C1128,"-")</f>
        <v>-</v>
      </c>
      <c r="D1120" s="114" t="str">
        <f>IF(BID!$L1128=FALSE,BID!D1128,"-")</f>
        <v>-</v>
      </c>
    </row>
    <row r="1121" spans="1:4" x14ac:dyDescent="0.25">
      <c r="A1121" s="438" t="str">
        <f>IF(BID!$L1129=FALSE,BID!A1129,"-")</f>
        <v>-</v>
      </c>
      <c r="B1121" s="114" t="str">
        <f>IF(BID!$L1129=FALSE,BID!B1129,"-")</f>
        <v>-</v>
      </c>
      <c r="C1121" s="30" t="str">
        <f>IF(BID!$L1129=FALSE,BID!C1129,"-")</f>
        <v>-</v>
      </c>
      <c r="D1121" s="114" t="str">
        <f>IF(BID!$L1129=FALSE,BID!D1129,"-")</f>
        <v>-</v>
      </c>
    </row>
    <row r="1122" spans="1:4" x14ac:dyDescent="0.25">
      <c r="A1122" s="438" t="str">
        <f>IF(BID!$L1130=FALSE,BID!A1130,"-")</f>
        <v>-</v>
      </c>
      <c r="B1122" s="114" t="str">
        <f>IF(BID!$L1130=FALSE,BID!B1130,"-")</f>
        <v>-</v>
      </c>
      <c r="C1122" s="30" t="str">
        <f>IF(BID!$L1130=FALSE,BID!C1130,"-")</f>
        <v>-</v>
      </c>
      <c r="D1122" s="114" t="str">
        <f>IF(BID!$L1130=FALSE,BID!D1130,"-")</f>
        <v>-</v>
      </c>
    </row>
    <row r="1123" spans="1:4" x14ac:dyDescent="0.25">
      <c r="A1123" s="438" t="str">
        <f>IF(BID!$L1131=FALSE,BID!A1131,"-")</f>
        <v>-</v>
      </c>
      <c r="B1123" s="114" t="str">
        <f>IF(BID!$L1131=FALSE,BID!B1131,"-")</f>
        <v>-</v>
      </c>
      <c r="C1123" s="30" t="str">
        <f>IF(BID!$L1131=FALSE,BID!C1131,"-")</f>
        <v>-</v>
      </c>
      <c r="D1123" s="114" t="str">
        <f>IF(BID!$L1131=FALSE,BID!D1131,"-")</f>
        <v>-</v>
      </c>
    </row>
    <row r="1124" spans="1:4" x14ac:dyDescent="0.25">
      <c r="A1124" s="438" t="str">
        <f>IF(BID!$L1132=FALSE,BID!A1132,"-")</f>
        <v>-</v>
      </c>
      <c r="B1124" s="114" t="str">
        <f>IF(BID!$L1132=FALSE,BID!B1132,"-")</f>
        <v>-</v>
      </c>
      <c r="C1124" s="30" t="str">
        <f>IF(BID!$L1132=FALSE,BID!C1132,"-")</f>
        <v>-</v>
      </c>
      <c r="D1124" s="114" t="str">
        <f>IF(BID!$L1132=FALSE,BID!D1132,"-")</f>
        <v>-</v>
      </c>
    </row>
    <row r="1125" spans="1:4" x14ac:dyDescent="0.25">
      <c r="A1125" s="438" t="str">
        <f>IF(BID!$L1133=FALSE,BID!A1133,"-")</f>
        <v>-</v>
      </c>
      <c r="B1125" s="114" t="str">
        <f>IF(BID!$L1133=FALSE,BID!B1133,"-")</f>
        <v>-</v>
      </c>
      <c r="C1125" s="30" t="str">
        <f>IF(BID!$L1133=FALSE,BID!C1133,"-")</f>
        <v>-</v>
      </c>
      <c r="D1125" s="114" t="str">
        <f>IF(BID!$L1133=FALSE,BID!D1133,"-")</f>
        <v>-</v>
      </c>
    </row>
    <row r="1126" spans="1:4" x14ac:dyDescent="0.25">
      <c r="A1126" s="438" t="str">
        <f>IF(BID!$L1134=FALSE,BID!A1134,"-")</f>
        <v>-</v>
      </c>
      <c r="B1126" s="114" t="str">
        <f>IF(BID!$L1134=FALSE,BID!B1134,"-")</f>
        <v>-</v>
      </c>
      <c r="C1126" s="30" t="str">
        <f>IF(BID!$L1134=FALSE,BID!C1134,"-")</f>
        <v>-</v>
      </c>
      <c r="D1126" s="114" t="str">
        <f>IF(BID!$L1134=FALSE,BID!D1134,"-")</f>
        <v>-</v>
      </c>
    </row>
    <row r="1127" spans="1:4" x14ac:dyDescent="0.25">
      <c r="A1127" s="438" t="str">
        <f>IF(BID!$L1135=FALSE,BID!A1135,"-")</f>
        <v>-</v>
      </c>
      <c r="B1127" s="114" t="str">
        <f>IF(BID!$L1135=FALSE,BID!B1135,"-")</f>
        <v>-</v>
      </c>
      <c r="C1127" s="30" t="str">
        <f>IF(BID!$L1135=FALSE,BID!C1135,"-")</f>
        <v>-</v>
      </c>
      <c r="D1127" s="114" t="str">
        <f>IF(BID!$L1135=FALSE,BID!D1135,"-")</f>
        <v>-</v>
      </c>
    </row>
    <row r="1128" spans="1:4" x14ac:dyDescent="0.25">
      <c r="A1128" s="438" t="str">
        <f>IF(BID!$L1136=FALSE,BID!A1136,"-")</f>
        <v>-</v>
      </c>
      <c r="B1128" s="114" t="str">
        <f>IF(BID!$L1136=FALSE,BID!B1136,"-")</f>
        <v>-</v>
      </c>
      <c r="C1128" s="30" t="str">
        <f>IF(BID!$L1136=FALSE,BID!C1136,"-")</f>
        <v>-</v>
      </c>
      <c r="D1128" s="114" t="str">
        <f>IF(BID!$L1136=FALSE,BID!D1136,"-")</f>
        <v>-</v>
      </c>
    </row>
    <row r="1129" spans="1:4" x14ac:dyDescent="0.25">
      <c r="A1129" s="438" t="str">
        <f>IF(BID!$L1137=FALSE,BID!A1137,"-")</f>
        <v>-</v>
      </c>
      <c r="B1129" s="114" t="str">
        <f>IF(BID!$L1137=FALSE,BID!B1137,"-")</f>
        <v>-</v>
      </c>
      <c r="C1129" s="30" t="str">
        <f>IF(BID!$L1137=FALSE,BID!C1137,"-")</f>
        <v>-</v>
      </c>
      <c r="D1129" s="114" t="str">
        <f>IF(BID!$L1137=FALSE,BID!D1137,"-")</f>
        <v>-</v>
      </c>
    </row>
    <row r="1130" spans="1:4" x14ac:dyDescent="0.25">
      <c r="A1130" s="438" t="str">
        <f>IF(BID!$L1138=FALSE,BID!A1138,"-")</f>
        <v>-</v>
      </c>
      <c r="B1130" s="114" t="str">
        <f>IF(BID!$L1138=FALSE,BID!B1138,"-")</f>
        <v>-</v>
      </c>
      <c r="C1130" s="30" t="str">
        <f>IF(BID!$L1138=FALSE,BID!C1138,"-")</f>
        <v>-</v>
      </c>
      <c r="D1130" s="114" t="str">
        <f>IF(BID!$L1138=FALSE,BID!D1138,"-")</f>
        <v>-</v>
      </c>
    </row>
    <row r="1131" spans="1:4" x14ac:dyDescent="0.25">
      <c r="A1131" s="438" t="str">
        <f>IF(BID!$L1139=FALSE,BID!A1139,"-")</f>
        <v>-</v>
      </c>
      <c r="B1131" s="114" t="str">
        <f>IF(BID!$L1139=FALSE,BID!B1139,"-")</f>
        <v>-</v>
      </c>
      <c r="C1131" s="30" t="str">
        <f>IF(BID!$L1139=FALSE,BID!C1139,"-")</f>
        <v>-</v>
      </c>
      <c r="D1131" s="114" t="str">
        <f>IF(BID!$L1139=FALSE,BID!D1139,"-")</f>
        <v>-</v>
      </c>
    </row>
    <row r="1132" spans="1:4" x14ac:dyDescent="0.25">
      <c r="A1132" s="438" t="str">
        <f>IF(BID!$L1140=FALSE,BID!A1140,"-")</f>
        <v>-</v>
      </c>
      <c r="B1132" s="114" t="str">
        <f>IF(BID!$L1140=FALSE,BID!B1140,"-")</f>
        <v>-</v>
      </c>
      <c r="C1132" s="30" t="str">
        <f>IF(BID!$L1140=FALSE,BID!C1140,"-")</f>
        <v>-</v>
      </c>
      <c r="D1132" s="114" t="str">
        <f>IF(BID!$L1140=FALSE,BID!D1140,"-")</f>
        <v>-</v>
      </c>
    </row>
    <row r="1133" spans="1:4" x14ac:dyDescent="0.25">
      <c r="A1133" s="438" t="str">
        <f>IF(BID!$L1141=FALSE,BID!A1141,"-")</f>
        <v>-</v>
      </c>
      <c r="B1133" s="114" t="str">
        <f>IF(BID!$L1141=FALSE,BID!B1141,"-")</f>
        <v>-</v>
      </c>
      <c r="C1133" s="30" t="str">
        <f>IF(BID!$L1141=FALSE,BID!C1141,"-")</f>
        <v>-</v>
      </c>
      <c r="D1133" s="114" t="str">
        <f>IF(BID!$L1141=FALSE,BID!D1141,"-")</f>
        <v>-</v>
      </c>
    </row>
    <row r="1134" spans="1:4" x14ac:dyDescent="0.25">
      <c r="A1134" s="438" t="str">
        <f>IF(BID!$L1142=FALSE,BID!A1142,"-")</f>
        <v>-</v>
      </c>
      <c r="B1134" s="114" t="str">
        <f>IF(BID!$L1142=FALSE,BID!B1142,"-")</f>
        <v>-</v>
      </c>
      <c r="C1134" s="30" t="str">
        <f>IF(BID!$L1142=FALSE,BID!C1142,"-")</f>
        <v>-</v>
      </c>
      <c r="D1134" s="114" t="str">
        <f>IF(BID!$L1142=FALSE,BID!D1142,"-")</f>
        <v>-</v>
      </c>
    </row>
    <row r="1135" spans="1:4" x14ac:dyDescent="0.25">
      <c r="A1135" s="438" t="str">
        <f>IF(BID!$L1143=FALSE,BID!A1143,"-")</f>
        <v>-</v>
      </c>
      <c r="B1135" s="114" t="str">
        <f>IF(BID!$L1143=FALSE,BID!B1143,"-")</f>
        <v>-</v>
      </c>
      <c r="C1135" s="30" t="str">
        <f>IF(BID!$L1143=FALSE,BID!C1143,"-")</f>
        <v>-</v>
      </c>
      <c r="D1135" s="114" t="str">
        <f>IF(BID!$L1143=FALSE,BID!D1143,"-")</f>
        <v>-</v>
      </c>
    </row>
    <row r="1136" spans="1:4" x14ac:dyDescent="0.25">
      <c r="A1136" s="438" t="str">
        <f>IF(BID!$L1144=FALSE,BID!A1144,"-")</f>
        <v>-</v>
      </c>
      <c r="B1136" s="114" t="str">
        <f>IF(BID!$L1144=FALSE,BID!B1144,"-")</f>
        <v>-</v>
      </c>
      <c r="C1136" s="30" t="str">
        <f>IF(BID!$L1144=FALSE,BID!C1144,"-")</f>
        <v>-</v>
      </c>
      <c r="D1136" s="114" t="str">
        <f>IF(BID!$L1144=FALSE,BID!D1144,"-")</f>
        <v>-</v>
      </c>
    </row>
    <row r="1137" spans="1:4" x14ac:dyDescent="0.25">
      <c r="A1137" s="438" t="str">
        <f>IF(BID!$L1145=FALSE,BID!A1145,"-")</f>
        <v>-</v>
      </c>
      <c r="B1137" s="114" t="str">
        <f>IF(BID!$L1145=FALSE,BID!B1145,"-")</f>
        <v>-</v>
      </c>
      <c r="C1137" s="30" t="str">
        <f>IF(BID!$L1145=FALSE,BID!C1145,"-")</f>
        <v>-</v>
      </c>
      <c r="D1137" s="114" t="str">
        <f>IF(BID!$L1145=FALSE,BID!D1145,"-")</f>
        <v>-</v>
      </c>
    </row>
    <row r="1138" spans="1:4" x14ac:dyDescent="0.25">
      <c r="A1138" s="438" t="str">
        <f>IF(BID!$L1146=FALSE,BID!A1146,"-")</f>
        <v>-</v>
      </c>
      <c r="B1138" s="114" t="str">
        <f>IF(BID!$L1146=FALSE,BID!B1146,"-")</f>
        <v>-</v>
      </c>
      <c r="C1138" s="30" t="str">
        <f>IF(BID!$L1146=FALSE,BID!C1146,"-")</f>
        <v>-</v>
      </c>
      <c r="D1138" s="114" t="str">
        <f>IF(BID!$L1146=FALSE,BID!D1146,"-")</f>
        <v>-</v>
      </c>
    </row>
    <row r="1139" spans="1:4" x14ac:dyDescent="0.25">
      <c r="A1139" s="438" t="str">
        <f>IF(BID!$L1147=FALSE,BID!A1147,"-")</f>
        <v>-</v>
      </c>
      <c r="B1139" s="114" t="str">
        <f>IF(BID!$L1147=FALSE,BID!B1147,"-")</f>
        <v>-</v>
      </c>
      <c r="C1139" s="30" t="str">
        <f>IF(BID!$L1147=FALSE,BID!C1147,"-")</f>
        <v>-</v>
      </c>
      <c r="D1139" s="114" t="str">
        <f>IF(BID!$L1147=FALSE,BID!D1147,"-")</f>
        <v>-</v>
      </c>
    </row>
    <row r="1140" spans="1:4" x14ac:dyDescent="0.25">
      <c r="A1140" s="438" t="str">
        <f>IF(BID!$L1148=FALSE,BID!A1148,"-")</f>
        <v>-</v>
      </c>
      <c r="B1140" s="114" t="str">
        <f>IF(BID!$L1148=FALSE,BID!B1148,"-")</f>
        <v>-</v>
      </c>
      <c r="C1140" s="30" t="str">
        <f>IF(BID!$L1148=FALSE,BID!C1148,"-")</f>
        <v>-</v>
      </c>
      <c r="D1140" s="114" t="str">
        <f>IF(BID!$L1148=FALSE,BID!D1148,"-")</f>
        <v>-</v>
      </c>
    </row>
    <row r="1141" spans="1:4" x14ac:dyDescent="0.25">
      <c r="A1141" s="438" t="str">
        <f>IF(BID!$L1149=FALSE,BID!A1149,"-")</f>
        <v>-</v>
      </c>
      <c r="B1141" s="114" t="str">
        <f>IF(BID!$L1149=FALSE,BID!B1149,"-")</f>
        <v>-</v>
      </c>
      <c r="C1141" s="30" t="str">
        <f>IF(BID!$L1149=FALSE,BID!C1149,"-")</f>
        <v>-</v>
      </c>
      <c r="D1141" s="114" t="str">
        <f>IF(BID!$L1149=FALSE,BID!D1149,"-")</f>
        <v>-</v>
      </c>
    </row>
    <row r="1142" spans="1:4" x14ac:dyDescent="0.25">
      <c r="A1142" s="438" t="str">
        <f>IF(BID!$L1150=FALSE,BID!A1150,"-")</f>
        <v>-</v>
      </c>
      <c r="B1142" s="114" t="str">
        <f>IF(BID!$L1150=FALSE,BID!B1150,"-")</f>
        <v>-</v>
      </c>
      <c r="C1142" s="30" t="str">
        <f>IF(BID!$L1150=FALSE,BID!C1150,"-")</f>
        <v>-</v>
      </c>
      <c r="D1142" s="114" t="str">
        <f>IF(BID!$L1150=FALSE,BID!D1150,"-")</f>
        <v>-</v>
      </c>
    </row>
    <row r="1143" spans="1:4" x14ac:dyDescent="0.25">
      <c r="A1143" s="438" t="str">
        <f>IF(BID!$L1151=FALSE,BID!A1151,"-")</f>
        <v>-</v>
      </c>
      <c r="B1143" s="114" t="str">
        <f>IF(BID!$L1151=FALSE,BID!B1151,"-")</f>
        <v>-</v>
      </c>
      <c r="C1143" s="30" t="str">
        <f>IF(BID!$L1151=FALSE,BID!C1151,"-")</f>
        <v>-</v>
      </c>
      <c r="D1143" s="114" t="str">
        <f>IF(BID!$L1151=FALSE,BID!D1151,"-")</f>
        <v>-</v>
      </c>
    </row>
    <row r="1144" spans="1:4" x14ac:dyDescent="0.25">
      <c r="A1144" s="438" t="str">
        <f>IF(BID!$L1152=FALSE,BID!A1152,"-")</f>
        <v>-</v>
      </c>
      <c r="B1144" s="114" t="str">
        <f>IF(BID!$L1152=FALSE,BID!B1152,"-")</f>
        <v>-</v>
      </c>
      <c r="C1144" s="30" t="str">
        <f>IF(BID!$L1152=FALSE,BID!C1152,"-")</f>
        <v>-</v>
      </c>
      <c r="D1144" s="114" t="str">
        <f>IF(BID!$L1152=FALSE,BID!D1152,"-")</f>
        <v>-</v>
      </c>
    </row>
    <row r="1145" spans="1:4" x14ac:dyDescent="0.25">
      <c r="A1145" s="438" t="str">
        <f>IF(BID!$L1153=FALSE,BID!A1153,"-")</f>
        <v>-</v>
      </c>
      <c r="B1145" s="114" t="str">
        <f>IF(BID!$L1153=FALSE,BID!B1153,"-")</f>
        <v>-</v>
      </c>
      <c r="C1145" s="30" t="str">
        <f>IF(BID!$L1153=FALSE,BID!C1153,"-")</f>
        <v>-</v>
      </c>
      <c r="D1145" s="114" t="str">
        <f>IF(BID!$L1153=FALSE,BID!D1153,"-")</f>
        <v>-</v>
      </c>
    </row>
    <row r="1146" spans="1:4" x14ac:dyDescent="0.25">
      <c r="A1146" s="438">
        <f>IF(BID!$L1154=FALSE,BID!A1154,"-")</f>
        <v>0</v>
      </c>
      <c r="B1146" s="114">
        <f>IF(BID!$L1154=FALSE,BID!B1154,"-")</f>
        <v>0</v>
      </c>
      <c r="C1146" s="30">
        <f>IF(BID!$L1154=FALSE,BID!C1154,"-")</f>
        <v>0</v>
      </c>
      <c r="D1146" s="114">
        <f>IF(BID!$L1154=FALSE,BID!D1154,"-")</f>
        <v>0</v>
      </c>
    </row>
    <row r="1147" spans="1:4" x14ac:dyDescent="0.25">
      <c r="A1147" s="438">
        <f>IF(BID!$L1155=FALSE,BID!A1155,"-")</f>
        <v>0</v>
      </c>
      <c r="B1147" s="114">
        <f>IF(BID!$L1155=FALSE,BID!B1155,"-")</f>
        <v>0</v>
      </c>
      <c r="C1147" s="30">
        <f>IF(BID!$L1155=FALSE,BID!C1155,"-")</f>
        <v>0</v>
      </c>
      <c r="D1147" s="114">
        <f>IF(BID!$L1155=FALSE,BID!D1155,"-")</f>
        <v>0</v>
      </c>
    </row>
    <row r="1148" spans="1:4" x14ac:dyDescent="0.25">
      <c r="A1148" s="438">
        <f>IF(BID!$L1156=FALSE,BID!A1156,"-")</f>
        <v>0</v>
      </c>
      <c r="B1148" s="114">
        <f>IF(BID!$L1156=FALSE,BID!B1156,"-")</f>
        <v>0</v>
      </c>
      <c r="C1148" s="30">
        <f>IF(BID!$L1156=FALSE,BID!C1156,"-")</f>
        <v>0</v>
      </c>
      <c r="D1148" s="114">
        <f>IF(BID!$L1156=FALSE,BID!D1156,"-")</f>
        <v>0</v>
      </c>
    </row>
    <row r="1149" spans="1:4" x14ac:dyDescent="0.25">
      <c r="A1149" s="438" t="str">
        <f>IF(BID!$L1157=FALSE,BID!A1157,"-")</f>
        <v>LOT 21</v>
      </c>
      <c r="B1149" s="114" t="str">
        <f>IF(BID!$L1157=FALSE,BID!B1157,"-")</f>
        <v>LABORATORY DEPARTMENT - OOUTH ANNEXES</v>
      </c>
      <c r="C1149" s="30">
        <f>IF(BID!$L1157=FALSE,BID!C1157,"-")</f>
        <v>0</v>
      </c>
      <c r="D1149" s="114">
        <f>IF(BID!$L1157=FALSE,BID!D1157,"-")</f>
        <v>0</v>
      </c>
    </row>
    <row r="1150" spans="1:4" x14ac:dyDescent="0.25">
      <c r="A1150" s="438">
        <f>IF(BID!$L1158=FALSE,BID!A1158,"-")</f>
        <v>0</v>
      </c>
      <c r="B1150" s="114">
        <f>IF(BID!$L1158=FALSE,BID!B1158,"-")</f>
        <v>0</v>
      </c>
      <c r="C1150" s="30">
        <f>IF(BID!$L1158=FALSE,BID!C1158,"-")</f>
        <v>0</v>
      </c>
      <c r="D1150" s="114">
        <f>IF(BID!$L1158=FALSE,BID!D1158,"-")</f>
        <v>0</v>
      </c>
    </row>
    <row r="1151" spans="1:4" x14ac:dyDescent="0.25">
      <c r="A1151" s="438">
        <f>IF(BID!$L1159=FALSE,BID!A1159,"-")</f>
        <v>0</v>
      </c>
      <c r="B1151" s="114" t="str">
        <f>IF(BID!$L1159=FALSE,BID!B1159,"-")</f>
        <v>SHAJE ANNEX</v>
      </c>
      <c r="C1151" s="30">
        <f>IF(BID!$L1159=FALSE,BID!C1159,"-")</f>
        <v>0</v>
      </c>
      <c r="D1151" s="114">
        <f>IF(BID!$L1159=FALSE,BID!D1159,"-")</f>
        <v>0</v>
      </c>
    </row>
    <row r="1152" spans="1:4" x14ac:dyDescent="0.25">
      <c r="A1152" s="438" t="str">
        <f>IF(BID!$L1160=FALSE,BID!A1160,"-")</f>
        <v>-</v>
      </c>
      <c r="B1152" s="114" t="str">
        <f>IF(BID!$L1160=FALSE,BID!B1160,"-")</f>
        <v>-</v>
      </c>
      <c r="C1152" s="30" t="str">
        <f>IF(BID!$L1160=FALSE,BID!C1160,"-")</f>
        <v>-</v>
      </c>
      <c r="D1152" s="114" t="str">
        <f>IF(BID!$L1160=FALSE,BID!D1160,"-")</f>
        <v>-</v>
      </c>
    </row>
    <row r="1153" spans="1:4" x14ac:dyDescent="0.25">
      <c r="A1153" s="438" t="str">
        <f>IF(BID!$L1161=FALSE,BID!A1161,"-")</f>
        <v>-</v>
      </c>
      <c r="B1153" s="114" t="str">
        <f>IF(BID!$L1161=FALSE,BID!B1161,"-")</f>
        <v>-</v>
      </c>
      <c r="C1153" s="30" t="str">
        <f>IF(BID!$L1161=FALSE,BID!C1161,"-")</f>
        <v>-</v>
      </c>
      <c r="D1153" s="114" t="str">
        <f>IF(BID!$L1161=FALSE,BID!D1161,"-")</f>
        <v>-</v>
      </c>
    </row>
    <row r="1154" spans="1:4" x14ac:dyDescent="0.25">
      <c r="A1154" s="438" t="str">
        <f>IF(BID!$L1162=FALSE,BID!A1162,"-")</f>
        <v>-</v>
      </c>
      <c r="B1154" s="114" t="str">
        <f>IF(BID!$L1162=FALSE,BID!B1162,"-")</f>
        <v>-</v>
      </c>
      <c r="C1154" s="30" t="str">
        <f>IF(BID!$L1162=FALSE,BID!C1162,"-")</f>
        <v>-</v>
      </c>
      <c r="D1154" s="114" t="str">
        <f>IF(BID!$L1162=FALSE,BID!D1162,"-")</f>
        <v>-</v>
      </c>
    </row>
    <row r="1155" spans="1:4" x14ac:dyDescent="0.25">
      <c r="A1155" s="438" t="str">
        <f>IF(BID!$L1163=FALSE,BID!A1163,"-")</f>
        <v>-</v>
      </c>
      <c r="B1155" s="114" t="str">
        <f>IF(BID!$L1163=FALSE,BID!B1163,"-")</f>
        <v>-</v>
      </c>
      <c r="C1155" s="30" t="str">
        <f>IF(BID!$L1163=FALSE,BID!C1163,"-")</f>
        <v>-</v>
      </c>
      <c r="D1155" s="114" t="str">
        <f>IF(BID!$L1163=FALSE,BID!D1163,"-")</f>
        <v>-</v>
      </c>
    </row>
    <row r="1156" spans="1:4" x14ac:dyDescent="0.25">
      <c r="A1156" s="438" t="str">
        <f>IF(BID!$L1164=FALSE,BID!A1164,"-")</f>
        <v>-</v>
      </c>
      <c r="B1156" s="114" t="str">
        <f>IF(BID!$L1164=FALSE,BID!B1164,"-")</f>
        <v>-</v>
      </c>
      <c r="C1156" s="30" t="str">
        <f>IF(BID!$L1164=FALSE,BID!C1164,"-")</f>
        <v>-</v>
      </c>
      <c r="D1156" s="114" t="str">
        <f>IF(BID!$L1164=FALSE,BID!D1164,"-")</f>
        <v>-</v>
      </c>
    </row>
    <row r="1157" spans="1:4" x14ac:dyDescent="0.25">
      <c r="A1157" s="438" t="str">
        <f>IF(BID!$L1165=FALSE,BID!A1165,"-")</f>
        <v>-</v>
      </c>
      <c r="B1157" s="114" t="str">
        <f>IF(BID!$L1165=FALSE,BID!B1165,"-")</f>
        <v>-</v>
      </c>
      <c r="C1157" s="30" t="str">
        <f>IF(BID!$L1165=FALSE,BID!C1165,"-")</f>
        <v>-</v>
      </c>
      <c r="D1157" s="114" t="str">
        <f>IF(BID!$L1165=FALSE,BID!D1165,"-")</f>
        <v>-</v>
      </c>
    </row>
    <row r="1158" spans="1:4" x14ac:dyDescent="0.25">
      <c r="A1158" s="438" t="str">
        <f>IF(BID!$L1166=FALSE,BID!A1166,"-")</f>
        <v>-</v>
      </c>
      <c r="B1158" s="114" t="str">
        <f>IF(BID!$L1166=FALSE,BID!B1166,"-")</f>
        <v>-</v>
      </c>
      <c r="C1158" s="30" t="str">
        <f>IF(BID!$L1166=FALSE,BID!C1166,"-")</f>
        <v>-</v>
      </c>
      <c r="D1158" s="114" t="str">
        <f>IF(BID!$L1166=FALSE,BID!D1166,"-")</f>
        <v>-</v>
      </c>
    </row>
    <row r="1159" spans="1:4" x14ac:dyDescent="0.25">
      <c r="A1159" s="438" t="str">
        <f>IF(BID!$L1167=FALSE,BID!A1167,"-")</f>
        <v>-</v>
      </c>
      <c r="B1159" s="114" t="str">
        <f>IF(BID!$L1167=FALSE,BID!B1167,"-")</f>
        <v>-</v>
      </c>
      <c r="C1159" s="30" t="str">
        <f>IF(BID!$L1167=FALSE,BID!C1167,"-")</f>
        <v>-</v>
      </c>
      <c r="D1159" s="114" t="str">
        <f>IF(BID!$L1167=FALSE,BID!D1167,"-")</f>
        <v>-</v>
      </c>
    </row>
    <row r="1160" spans="1:4" x14ac:dyDescent="0.25">
      <c r="A1160" s="438" t="str">
        <f>IF(BID!$L1168=FALSE,BID!A1168,"-")</f>
        <v>-</v>
      </c>
      <c r="B1160" s="114" t="str">
        <f>IF(BID!$L1168=FALSE,BID!B1168,"-")</f>
        <v>-</v>
      </c>
      <c r="C1160" s="30" t="str">
        <f>IF(BID!$L1168=FALSE,BID!C1168,"-")</f>
        <v>-</v>
      </c>
      <c r="D1160" s="114" t="str">
        <f>IF(BID!$L1168=FALSE,BID!D1168,"-")</f>
        <v>-</v>
      </c>
    </row>
    <row r="1161" spans="1:4" x14ac:dyDescent="0.25">
      <c r="A1161" s="438" t="str">
        <f>IF(BID!$L1169=FALSE,BID!A1169,"-")</f>
        <v>-</v>
      </c>
      <c r="B1161" s="114" t="str">
        <f>IF(BID!$L1169=FALSE,BID!B1169,"-")</f>
        <v>-</v>
      </c>
      <c r="C1161" s="30" t="str">
        <f>IF(BID!$L1169=FALSE,BID!C1169,"-")</f>
        <v>-</v>
      </c>
      <c r="D1161" s="114" t="str">
        <f>IF(BID!$L1169=FALSE,BID!D1169,"-")</f>
        <v>-</v>
      </c>
    </row>
    <row r="1162" spans="1:4" x14ac:dyDescent="0.25">
      <c r="A1162" s="438" t="str">
        <f>IF(BID!$L1170=FALSE,BID!A1170,"-")</f>
        <v>-</v>
      </c>
      <c r="B1162" s="114" t="str">
        <f>IF(BID!$L1170=FALSE,BID!B1170,"-")</f>
        <v>-</v>
      </c>
      <c r="C1162" s="30" t="str">
        <f>IF(BID!$L1170=FALSE,BID!C1170,"-")</f>
        <v>-</v>
      </c>
      <c r="D1162" s="114" t="str">
        <f>IF(BID!$L1170=FALSE,BID!D1170,"-")</f>
        <v>-</v>
      </c>
    </row>
    <row r="1163" spans="1:4" x14ac:dyDescent="0.25">
      <c r="A1163" s="438" t="str">
        <f>IF(BID!$L1171=FALSE,BID!A1171,"-")</f>
        <v>-</v>
      </c>
      <c r="B1163" s="114" t="str">
        <f>IF(BID!$L1171=FALSE,BID!B1171,"-")</f>
        <v>-</v>
      </c>
      <c r="C1163" s="30" t="str">
        <f>IF(BID!$L1171=FALSE,BID!C1171,"-")</f>
        <v>-</v>
      </c>
      <c r="D1163" s="114" t="str">
        <f>IF(BID!$L1171=FALSE,BID!D1171,"-")</f>
        <v>-</v>
      </c>
    </row>
    <row r="1164" spans="1:4" x14ac:dyDescent="0.25">
      <c r="A1164" s="438" t="str">
        <f>IF(BID!$L1172=FALSE,BID!A1172,"-")</f>
        <v>-</v>
      </c>
      <c r="B1164" s="114" t="str">
        <f>IF(BID!$L1172=FALSE,BID!B1172,"-")</f>
        <v>-</v>
      </c>
      <c r="C1164" s="30" t="str">
        <f>IF(BID!$L1172=FALSE,BID!C1172,"-")</f>
        <v>-</v>
      </c>
      <c r="D1164" s="114" t="str">
        <f>IF(BID!$L1172=FALSE,BID!D1172,"-")</f>
        <v>-</v>
      </c>
    </row>
    <row r="1165" spans="1:4" x14ac:dyDescent="0.25">
      <c r="A1165" s="438" t="str">
        <f>IF(BID!$L1173=FALSE,BID!A1173,"-")</f>
        <v>-</v>
      </c>
      <c r="B1165" s="114" t="str">
        <f>IF(BID!$L1173=FALSE,BID!B1173,"-")</f>
        <v>-</v>
      </c>
      <c r="C1165" s="30" t="str">
        <f>IF(BID!$L1173=FALSE,BID!C1173,"-")</f>
        <v>-</v>
      </c>
      <c r="D1165" s="114" t="str">
        <f>IF(BID!$L1173=FALSE,BID!D1173,"-")</f>
        <v>-</v>
      </c>
    </row>
    <row r="1166" spans="1:4" x14ac:dyDescent="0.25">
      <c r="A1166" s="438" t="str">
        <f>IF(BID!$L1174=FALSE,BID!A1174,"-")</f>
        <v>-</v>
      </c>
      <c r="B1166" s="114" t="str">
        <f>IF(BID!$L1174=FALSE,BID!B1174,"-")</f>
        <v>-</v>
      </c>
      <c r="C1166" s="30" t="str">
        <f>IF(BID!$L1174=FALSE,BID!C1174,"-")</f>
        <v>-</v>
      </c>
      <c r="D1166" s="114" t="str">
        <f>IF(BID!$L1174=FALSE,BID!D1174,"-")</f>
        <v>-</v>
      </c>
    </row>
    <row r="1167" spans="1:4" x14ac:dyDescent="0.25">
      <c r="A1167" s="438" t="str">
        <f>IF(BID!$L1175=FALSE,BID!A1175,"-")</f>
        <v>-</v>
      </c>
      <c r="B1167" s="114" t="str">
        <f>IF(BID!$L1175=FALSE,BID!B1175,"-")</f>
        <v>-</v>
      </c>
      <c r="C1167" s="30" t="str">
        <f>IF(BID!$L1175=FALSE,BID!C1175,"-")</f>
        <v>-</v>
      </c>
      <c r="D1167" s="114" t="str">
        <f>IF(BID!$L1175=FALSE,BID!D1175,"-")</f>
        <v>-</v>
      </c>
    </row>
    <row r="1168" spans="1:4" x14ac:dyDescent="0.25">
      <c r="A1168" s="438">
        <f>IF(BID!$L1176=FALSE,BID!A1176,"-")</f>
        <v>0</v>
      </c>
      <c r="B1168" s="114">
        <f>IF(BID!$L1176=FALSE,BID!B1176,"-")</f>
        <v>0</v>
      </c>
      <c r="C1168" s="30">
        <f>IF(BID!$L1176=FALSE,BID!C1176,"-")</f>
        <v>0</v>
      </c>
      <c r="D1168" s="114">
        <f>IF(BID!$L1176=FALSE,BID!D1176,"-")</f>
        <v>0</v>
      </c>
    </row>
    <row r="1169" spans="1:4" x14ac:dyDescent="0.25">
      <c r="A1169" s="438">
        <f>IF(BID!$L1177=FALSE,BID!A1177,"-")</f>
        <v>0</v>
      </c>
      <c r="B1169" s="114">
        <f>IF(BID!$L1177=FALSE,BID!B1177,"-")</f>
        <v>0</v>
      </c>
      <c r="C1169" s="30">
        <f>IF(BID!$L1177=FALSE,BID!C1177,"-")</f>
        <v>0</v>
      </c>
      <c r="D1169" s="114">
        <f>IF(BID!$L1177=FALSE,BID!D1177,"-")</f>
        <v>0</v>
      </c>
    </row>
    <row r="1170" spans="1:4" x14ac:dyDescent="0.25">
      <c r="A1170" s="438">
        <f>IF(BID!$L1178=FALSE,BID!A1178,"-")</f>
        <v>0</v>
      </c>
      <c r="B1170" s="114" t="str">
        <f>IF(BID!$L1178=FALSE,BID!B1178,"-")</f>
        <v>OBADA ANNEX</v>
      </c>
      <c r="C1170" s="30">
        <f>IF(BID!$L1178=FALSE,BID!C1178,"-")</f>
        <v>0</v>
      </c>
      <c r="D1170" s="114">
        <f>IF(BID!$L1178=FALSE,BID!D1178,"-")</f>
        <v>0</v>
      </c>
    </row>
    <row r="1171" spans="1:4" x14ac:dyDescent="0.25">
      <c r="A1171" s="438" t="str">
        <f>IF(BID!$L1179=FALSE,BID!A1179,"-")</f>
        <v>-</v>
      </c>
      <c r="B1171" s="114" t="str">
        <f>IF(BID!$L1179=FALSE,BID!B1179,"-")</f>
        <v>-</v>
      </c>
      <c r="C1171" s="30" t="str">
        <f>IF(BID!$L1179=FALSE,BID!C1179,"-")</f>
        <v>-</v>
      </c>
      <c r="D1171" s="114" t="str">
        <f>IF(BID!$L1179=FALSE,BID!D1179,"-")</f>
        <v>-</v>
      </c>
    </row>
    <row r="1172" spans="1:4" x14ac:dyDescent="0.25">
      <c r="A1172" s="438" t="str">
        <f>IF(BID!$L1180=FALSE,BID!A1180,"-")</f>
        <v>-</v>
      </c>
      <c r="B1172" s="114" t="str">
        <f>IF(BID!$L1180=FALSE,BID!B1180,"-")</f>
        <v>-</v>
      </c>
      <c r="C1172" s="30" t="str">
        <f>IF(BID!$L1180=FALSE,BID!C1180,"-")</f>
        <v>-</v>
      </c>
      <c r="D1172" s="114" t="str">
        <f>IF(BID!$L1180=FALSE,BID!D1180,"-")</f>
        <v>-</v>
      </c>
    </row>
    <row r="1173" spans="1:4" x14ac:dyDescent="0.25">
      <c r="A1173" s="438" t="str">
        <f>IF(BID!$L1181=FALSE,BID!A1181,"-")</f>
        <v>-</v>
      </c>
      <c r="B1173" s="114" t="str">
        <f>IF(BID!$L1181=FALSE,BID!B1181,"-")</f>
        <v>-</v>
      </c>
      <c r="C1173" s="30" t="str">
        <f>IF(BID!$L1181=FALSE,BID!C1181,"-")</f>
        <v>-</v>
      </c>
      <c r="D1173" s="114" t="str">
        <f>IF(BID!$L1181=FALSE,BID!D1181,"-")</f>
        <v>-</v>
      </c>
    </row>
    <row r="1174" spans="1:4" x14ac:dyDescent="0.25">
      <c r="A1174" s="438" t="str">
        <f>IF(BID!$L1182=FALSE,BID!A1182,"-")</f>
        <v>-</v>
      </c>
      <c r="B1174" s="114" t="str">
        <f>IF(BID!$L1182=FALSE,BID!B1182,"-")</f>
        <v>-</v>
      </c>
      <c r="C1174" s="30" t="str">
        <f>IF(BID!$L1182=FALSE,BID!C1182,"-")</f>
        <v>-</v>
      </c>
      <c r="D1174" s="114" t="str">
        <f>IF(BID!$L1182=FALSE,BID!D1182,"-")</f>
        <v>-</v>
      </c>
    </row>
    <row r="1175" spans="1:4" x14ac:dyDescent="0.25">
      <c r="A1175" s="438" t="str">
        <f>IF(BID!$L1183=FALSE,BID!A1183,"-")</f>
        <v>-</v>
      </c>
      <c r="B1175" s="114" t="str">
        <f>IF(BID!$L1183=FALSE,BID!B1183,"-")</f>
        <v>-</v>
      </c>
      <c r="C1175" s="30" t="str">
        <f>IF(BID!$L1183=FALSE,BID!C1183,"-")</f>
        <v>-</v>
      </c>
      <c r="D1175" s="114" t="str">
        <f>IF(BID!$L1183=FALSE,BID!D1183,"-")</f>
        <v>-</v>
      </c>
    </row>
    <row r="1176" spans="1:4" x14ac:dyDescent="0.25">
      <c r="A1176" s="438" t="str">
        <f>IF(BID!$L1184=FALSE,BID!A1184,"-")</f>
        <v>-</v>
      </c>
      <c r="B1176" s="114" t="str">
        <f>IF(BID!$L1184=FALSE,BID!B1184,"-")</f>
        <v>-</v>
      </c>
      <c r="C1176" s="30" t="str">
        <f>IF(BID!$L1184=FALSE,BID!C1184,"-")</f>
        <v>-</v>
      </c>
      <c r="D1176" s="114" t="str">
        <f>IF(BID!$L1184=FALSE,BID!D1184,"-")</f>
        <v>-</v>
      </c>
    </row>
    <row r="1177" spans="1:4" x14ac:dyDescent="0.25">
      <c r="A1177" s="438" t="str">
        <f>IF(BID!$L1185=FALSE,BID!A1185,"-")</f>
        <v>-</v>
      </c>
      <c r="B1177" s="114" t="str">
        <f>IF(BID!$L1185=FALSE,BID!B1185,"-")</f>
        <v>-</v>
      </c>
      <c r="C1177" s="30" t="str">
        <f>IF(BID!$L1185=FALSE,BID!C1185,"-")</f>
        <v>-</v>
      </c>
      <c r="D1177" s="114" t="str">
        <f>IF(BID!$L1185=FALSE,BID!D1185,"-")</f>
        <v>-</v>
      </c>
    </row>
    <row r="1178" spans="1:4" x14ac:dyDescent="0.25">
      <c r="A1178" s="438" t="str">
        <f>IF(BID!$L1186=FALSE,BID!A1186,"-")</f>
        <v>-</v>
      </c>
      <c r="B1178" s="114" t="str">
        <f>IF(BID!$L1186=FALSE,BID!B1186,"-")</f>
        <v>-</v>
      </c>
      <c r="C1178" s="30" t="str">
        <f>IF(BID!$L1186=FALSE,BID!C1186,"-")</f>
        <v>-</v>
      </c>
      <c r="D1178" s="114" t="str">
        <f>IF(BID!$L1186=FALSE,BID!D1186,"-")</f>
        <v>-</v>
      </c>
    </row>
    <row r="1179" spans="1:4" x14ac:dyDescent="0.25">
      <c r="A1179" s="438" t="str">
        <f>IF(BID!$L1187=FALSE,BID!A1187,"-")</f>
        <v>-</v>
      </c>
      <c r="B1179" s="114" t="str">
        <f>IF(BID!$L1187=FALSE,BID!B1187,"-")</f>
        <v>-</v>
      </c>
      <c r="C1179" s="30" t="str">
        <f>IF(BID!$L1187=FALSE,BID!C1187,"-")</f>
        <v>-</v>
      </c>
      <c r="D1179" s="114" t="str">
        <f>IF(BID!$L1187=FALSE,BID!D1187,"-")</f>
        <v>-</v>
      </c>
    </row>
    <row r="1180" spans="1:4" x14ac:dyDescent="0.25">
      <c r="A1180" s="438" t="str">
        <f>IF(BID!$L1188=FALSE,BID!A1188,"-")</f>
        <v>-</v>
      </c>
      <c r="B1180" s="114" t="str">
        <f>IF(BID!$L1188=FALSE,BID!B1188,"-")</f>
        <v>-</v>
      </c>
      <c r="C1180" s="30" t="str">
        <f>IF(BID!$L1188=FALSE,BID!C1188,"-")</f>
        <v>-</v>
      </c>
      <c r="D1180" s="114" t="str">
        <f>IF(BID!$L1188=FALSE,BID!D1188,"-")</f>
        <v>-</v>
      </c>
    </row>
    <row r="1181" spans="1:4" x14ac:dyDescent="0.25">
      <c r="A1181" s="438" t="str">
        <f>IF(BID!$L1189=FALSE,BID!A1189,"-")</f>
        <v>-</v>
      </c>
      <c r="B1181" s="114" t="str">
        <f>IF(BID!$L1189=FALSE,BID!B1189,"-")</f>
        <v>-</v>
      </c>
      <c r="C1181" s="30" t="str">
        <f>IF(BID!$L1189=FALSE,BID!C1189,"-")</f>
        <v>-</v>
      </c>
      <c r="D1181" s="114" t="str">
        <f>IF(BID!$L1189=FALSE,BID!D1189,"-")</f>
        <v>-</v>
      </c>
    </row>
    <row r="1182" spans="1:4" x14ac:dyDescent="0.25">
      <c r="A1182" s="438" t="str">
        <f>IF(BID!$L1190=FALSE,BID!A1190,"-")</f>
        <v>-</v>
      </c>
      <c r="B1182" s="114" t="str">
        <f>IF(BID!$L1190=FALSE,BID!B1190,"-")</f>
        <v>-</v>
      </c>
      <c r="C1182" s="30" t="str">
        <f>IF(BID!$L1190=FALSE,BID!C1190,"-")</f>
        <v>-</v>
      </c>
      <c r="D1182" s="114" t="str">
        <f>IF(BID!$L1190=FALSE,BID!D1190,"-")</f>
        <v>-</v>
      </c>
    </row>
    <row r="1183" spans="1:4" x14ac:dyDescent="0.25">
      <c r="A1183" s="438" t="str">
        <f>IF(BID!$L1191=FALSE,BID!A1191,"-")</f>
        <v>-</v>
      </c>
      <c r="B1183" s="114" t="str">
        <f>IF(BID!$L1191=FALSE,BID!B1191,"-")</f>
        <v>-</v>
      </c>
      <c r="C1183" s="30" t="str">
        <f>IF(BID!$L1191=FALSE,BID!C1191,"-")</f>
        <v>-</v>
      </c>
      <c r="D1183" s="114" t="str">
        <f>IF(BID!$L1191=FALSE,BID!D1191,"-")</f>
        <v>-</v>
      </c>
    </row>
    <row r="1184" spans="1:4" x14ac:dyDescent="0.25">
      <c r="A1184" s="438" t="str">
        <f>IF(BID!$L1192=FALSE,BID!A1192,"-")</f>
        <v>-</v>
      </c>
      <c r="B1184" s="114" t="str">
        <f>IF(BID!$L1192=FALSE,BID!B1192,"-")</f>
        <v>-</v>
      </c>
      <c r="C1184" s="30" t="str">
        <f>IF(BID!$L1192=FALSE,BID!C1192,"-")</f>
        <v>-</v>
      </c>
      <c r="D1184" s="114" t="str">
        <f>IF(BID!$L1192=FALSE,BID!D1192,"-")</f>
        <v>-</v>
      </c>
    </row>
    <row r="1185" spans="1:4" x14ac:dyDescent="0.25">
      <c r="A1185" s="438" t="str">
        <f>IF(BID!$L1193=FALSE,BID!A1193,"-")</f>
        <v>-</v>
      </c>
      <c r="B1185" s="114" t="str">
        <f>IF(BID!$L1193=FALSE,BID!B1193,"-")</f>
        <v>-</v>
      </c>
      <c r="C1185" s="30" t="str">
        <f>IF(BID!$L1193=FALSE,BID!C1193,"-")</f>
        <v>-</v>
      </c>
      <c r="D1185" s="114" t="str">
        <f>IF(BID!$L1193=FALSE,BID!D1193,"-")</f>
        <v>-</v>
      </c>
    </row>
    <row r="1186" spans="1:4" x14ac:dyDescent="0.25">
      <c r="A1186" s="438" t="str">
        <f>IF(BID!$L1194=FALSE,BID!A1194,"-")</f>
        <v>-</v>
      </c>
      <c r="B1186" s="114" t="str">
        <f>IF(BID!$L1194=FALSE,BID!B1194,"-")</f>
        <v>-</v>
      </c>
      <c r="C1186" s="30" t="str">
        <f>IF(BID!$L1194=FALSE,BID!C1194,"-")</f>
        <v>-</v>
      </c>
      <c r="D1186" s="114" t="str">
        <f>IF(BID!$L1194=FALSE,BID!D1194,"-")</f>
        <v>-</v>
      </c>
    </row>
    <row r="1187" spans="1:4" x14ac:dyDescent="0.25">
      <c r="A1187" s="438" t="str">
        <f>IF(BID!$L1195=FALSE,BID!A1195,"-")</f>
        <v>-</v>
      </c>
      <c r="B1187" s="114" t="str">
        <f>IF(BID!$L1195=FALSE,BID!B1195,"-")</f>
        <v>-</v>
      </c>
      <c r="C1187" s="30" t="str">
        <f>IF(BID!$L1195=FALSE,BID!C1195,"-")</f>
        <v>-</v>
      </c>
      <c r="D1187" s="114" t="str">
        <f>IF(BID!$L1195=FALSE,BID!D1195,"-")</f>
        <v>-</v>
      </c>
    </row>
    <row r="1188" spans="1:4" x14ac:dyDescent="0.25">
      <c r="A1188" s="438" t="str">
        <f>IF(BID!$L1196=FALSE,BID!A1196,"-")</f>
        <v>-</v>
      </c>
      <c r="B1188" s="114" t="str">
        <f>IF(BID!$L1196=FALSE,BID!B1196,"-")</f>
        <v>-</v>
      </c>
      <c r="C1188" s="30" t="str">
        <f>IF(BID!$L1196=FALSE,BID!C1196,"-")</f>
        <v>-</v>
      </c>
      <c r="D1188" s="114" t="str">
        <f>IF(BID!$L1196=FALSE,BID!D1196,"-")</f>
        <v>-</v>
      </c>
    </row>
    <row r="1189" spans="1:4" x14ac:dyDescent="0.25">
      <c r="A1189" s="438" t="str">
        <f>IF(BID!$L1197=FALSE,BID!A1197,"-")</f>
        <v>-</v>
      </c>
      <c r="B1189" s="114" t="str">
        <f>IF(BID!$L1197=FALSE,BID!B1197,"-")</f>
        <v>-</v>
      </c>
      <c r="C1189" s="30" t="str">
        <f>IF(BID!$L1197=FALSE,BID!C1197,"-")</f>
        <v>-</v>
      </c>
      <c r="D1189" s="114" t="str">
        <f>IF(BID!$L1197=FALSE,BID!D1197,"-")</f>
        <v>-</v>
      </c>
    </row>
    <row r="1190" spans="1:4" x14ac:dyDescent="0.25">
      <c r="A1190" s="438" t="str">
        <f>IF(BID!$L1198=FALSE,BID!A1198,"-")</f>
        <v>-</v>
      </c>
      <c r="B1190" s="114" t="str">
        <f>IF(BID!$L1198=FALSE,BID!B1198,"-")</f>
        <v>-</v>
      </c>
      <c r="C1190" s="30" t="str">
        <f>IF(BID!$L1198=FALSE,BID!C1198,"-")</f>
        <v>-</v>
      </c>
      <c r="D1190" s="114" t="str">
        <f>IF(BID!$L1198=FALSE,BID!D1198,"-")</f>
        <v>-</v>
      </c>
    </row>
    <row r="1191" spans="1:4" x14ac:dyDescent="0.25">
      <c r="A1191" s="438" t="str">
        <f>IF(BID!$L1199=FALSE,BID!A1199,"-")</f>
        <v>-</v>
      </c>
      <c r="B1191" s="114" t="str">
        <f>IF(BID!$L1199=FALSE,BID!B1199,"-")</f>
        <v>-</v>
      </c>
      <c r="C1191" s="30" t="str">
        <f>IF(BID!$L1199=FALSE,BID!C1199,"-")</f>
        <v>-</v>
      </c>
      <c r="D1191" s="114" t="str">
        <f>IF(BID!$L1199=FALSE,BID!D1199,"-")</f>
        <v>-</v>
      </c>
    </row>
    <row r="1192" spans="1:4" x14ac:dyDescent="0.25">
      <c r="A1192" s="438" t="str">
        <f>IF(BID!$L1200=FALSE,BID!A1200,"-")</f>
        <v>-</v>
      </c>
      <c r="B1192" s="114" t="str">
        <f>IF(BID!$L1200=FALSE,BID!B1200,"-")</f>
        <v>-</v>
      </c>
      <c r="C1192" s="30" t="str">
        <f>IF(BID!$L1200=FALSE,BID!C1200,"-")</f>
        <v>-</v>
      </c>
      <c r="D1192" s="114" t="str">
        <f>IF(BID!$L1200=FALSE,BID!D1200,"-")</f>
        <v>-</v>
      </c>
    </row>
    <row r="1193" spans="1:4" x14ac:dyDescent="0.25">
      <c r="A1193" s="438" t="str">
        <f>IF(BID!$L1201=FALSE,BID!A1201,"-")</f>
        <v>-</v>
      </c>
      <c r="B1193" s="114" t="str">
        <f>IF(BID!$L1201=FALSE,BID!B1201,"-")</f>
        <v>-</v>
      </c>
      <c r="C1193" s="30" t="str">
        <f>IF(BID!$L1201=FALSE,BID!C1201,"-")</f>
        <v>-</v>
      </c>
      <c r="D1193" s="114" t="str">
        <f>IF(BID!$L1201=FALSE,BID!D1201,"-")</f>
        <v>-</v>
      </c>
    </row>
    <row r="1194" spans="1:4" x14ac:dyDescent="0.25">
      <c r="A1194" s="438" t="str">
        <f>IF(BID!$L1202=FALSE,BID!A1202,"-")</f>
        <v>-</v>
      </c>
      <c r="B1194" s="114" t="str">
        <f>IF(BID!$L1202=FALSE,BID!B1202,"-")</f>
        <v>-</v>
      </c>
      <c r="C1194" s="30" t="str">
        <f>IF(BID!$L1202=FALSE,BID!C1202,"-")</f>
        <v>-</v>
      </c>
      <c r="D1194" s="114" t="str">
        <f>IF(BID!$L1202=FALSE,BID!D1202,"-")</f>
        <v>-</v>
      </c>
    </row>
    <row r="1195" spans="1:4" x14ac:dyDescent="0.25">
      <c r="A1195" s="438" t="str">
        <f>IF(BID!$L1203=FALSE,BID!A1203,"-")</f>
        <v>-</v>
      </c>
      <c r="B1195" s="114" t="str">
        <f>IF(BID!$L1203=FALSE,BID!B1203,"-")</f>
        <v>-</v>
      </c>
      <c r="C1195" s="30" t="str">
        <f>IF(BID!$L1203=FALSE,BID!C1203,"-")</f>
        <v>-</v>
      </c>
      <c r="D1195" s="114" t="str">
        <f>IF(BID!$L1203=FALSE,BID!D1203,"-")</f>
        <v>-</v>
      </c>
    </row>
    <row r="1196" spans="1:4" x14ac:dyDescent="0.25">
      <c r="A1196" s="438" t="str">
        <f>IF(BID!$L1204=FALSE,BID!A1204,"-")</f>
        <v>-</v>
      </c>
      <c r="B1196" s="114" t="str">
        <f>IF(BID!$L1204=FALSE,BID!B1204,"-")</f>
        <v>-</v>
      </c>
      <c r="C1196" s="30" t="str">
        <f>IF(BID!$L1204=FALSE,BID!C1204,"-")</f>
        <v>-</v>
      </c>
      <c r="D1196" s="114" t="str">
        <f>IF(BID!$L1204=FALSE,BID!D1204,"-")</f>
        <v>-</v>
      </c>
    </row>
    <row r="1197" spans="1:4" x14ac:dyDescent="0.25">
      <c r="A1197" s="438" t="str">
        <f>IF(BID!$L1205=FALSE,BID!A1205,"-")</f>
        <v>-</v>
      </c>
      <c r="B1197" s="114" t="str">
        <f>IF(BID!$L1205=FALSE,BID!B1205,"-")</f>
        <v>-</v>
      </c>
      <c r="C1197" s="30" t="str">
        <f>IF(BID!$L1205=FALSE,BID!C1205,"-")</f>
        <v>-</v>
      </c>
      <c r="D1197" s="114" t="str">
        <f>IF(BID!$L1205=FALSE,BID!D1205,"-")</f>
        <v>-</v>
      </c>
    </row>
    <row r="1198" spans="1:4" x14ac:dyDescent="0.25">
      <c r="A1198" s="438" t="str">
        <f>IF(BID!$L1206=FALSE,BID!A1206,"-")</f>
        <v>-</v>
      </c>
      <c r="B1198" s="114" t="str">
        <f>IF(BID!$L1206=FALSE,BID!B1206,"-")</f>
        <v>-</v>
      </c>
      <c r="C1198" s="30" t="str">
        <f>IF(BID!$L1206=FALSE,BID!C1206,"-")</f>
        <v>-</v>
      </c>
      <c r="D1198" s="114" t="str">
        <f>IF(BID!$L1206=FALSE,BID!D1206,"-")</f>
        <v>-</v>
      </c>
    </row>
    <row r="1199" spans="1:4" x14ac:dyDescent="0.25">
      <c r="A1199" s="438" t="str">
        <f>IF(BID!$L1207=FALSE,BID!A1207,"-")</f>
        <v>-</v>
      </c>
      <c r="B1199" s="114" t="str">
        <f>IF(BID!$L1207=FALSE,BID!B1207,"-")</f>
        <v>-</v>
      </c>
      <c r="C1199" s="30" t="str">
        <f>IF(BID!$L1207=FALSE,BID!C1207,"-")</f>
        <v>-</v>
      </c>
      <c r="D1199" s="114" t="str">
        <f>IF(BID!$L1207=FALSE,BID!D1207,"-")</f>
        <v>-</v>
      </c>
    </row>
    <row r="1200" spans="1:4" x14ac:dyDescent="0.25">
      <c r="A1200" s="438" t="str">
        <f>IF(BID!$L1208=FALSE,BID!A1208,"-")</f>
        <v>-</v>
      </c>
      <c r="B1200" s="114" t="str">
        <f>IF(BID!$L1208=FALSE,BID!B1208,"-")</f>
        <v>-</v>
      </c>
      <c r="C1200" s="30" t="str">
        <f>IF(BID!$L1208=FALSE,BID!C1208,"-")</f>
        <v>-</v>
      </c>
      <c r="D1200" s="114" t="str">
        <f>IF(BID!$L1208=FALSE,BID!D1208,"-")</f>
        <v>-</v>
      </c>
    </row>
    <row r="1201" spans="1:4" x14ac:dyDescent="0.25">
      <c r="A1201" s="438" t="str">
        <f>IF(BID!$L1209=FALSE,BID!A1209,"-")</f>
        <v>-</v>
      </c>
      <c r="B1201" s="114" t="str">
        <f>IF(BID!$L1209=FALSE,BID!B1209,"-")</f>
        <v>-</v>
      </c>
      <c r="C1201" s="30" t="str">
        <f>IF(BID!$L1209=FALSE,BID!C1209,"-")</f>
        <v>-</v>
      </c>
      <c r="D1201" s="114" t="str">
        <f>IF(BID!$L1209=FALSE,BID!D1209,"-")</f>
        <v>-</v>
      </c>
    </row>
    <row r="1202" spans="1:4" x14ac:dyDescent="0.25">
      <c r="A1202" s="438" t="str">
        <f>IF(BID!$L1210=FALSE,BID!A1210,"-")</f>
        <v>-</v>
      </c>
      <c r="B1202" s="114" t="str">
        <f>IF(BID!$L1210=FALSE,BID!B1210,"-")</f>
        <v>-</v>
      </c>
      <c r="C1202" s="30" t="str">
        <f>IF(BID!$L1210=FALSE,BID!C1210,"-")</f>
        <v>-</v>
      </c>
      <c r="D1202" s="114" t="str">
        <f>IF(BID!$L1210=FALSE,BID!D1210,"-")</f>
        <v>-</v>
      </c>
    </row>
    <row r="1203" spans="1:4" x14ac:dyDescent="0.25">
      <c r="A1203" s="438" t="str">
        <f>IF(BID!$L1211=FALSE,BID!A1211,"-")</f>
        <v>-</v>
      </c>
      <c r="B1203" s="114" t="str">
        <f>IF(BID!$L1211=FALSE,BID!B1211,"-")</f>
        <v>-</v>
      </c>
      <c r="C1203" s="30" t="str">
        <f>IF(BID!$L1211=FALSE,BID!C1211,"-")</f>
        <v>-</v>
      </c>
      <c r="D1203" s="114" t="str">
        <f>IF(BID!$L1211=FALSE,BID!D1211,"-")</f>
        <v>-</v>
      </c>
    </row>
    <row r="1204" spans="1:4" x14ac:dyDescent="0.25">
      <c r="A1204" s="438" t="str">
        <f>IF(BID!$L1212=FALSE,BID!A1212,"-")</f>
        <v>-</v>
      </c>
      <c r="B1204" s="114" t="str">
        <f>IF(BID!$L1212=FALSE,BID!B1212,"-")</f>
        <v>-</v>
      </c>
      <c r="C1204" s="30" t="str">
        <f>IF(BID!$L1212=FALSE,BID!C1212,"-")</f>
        <v>-</v>
      </c>
      <c r="D1204" s="114" t="str">
        <f>IF(BID!$L1212=FALSE,BID!D1212,"-")</f>
        <v>-</v>
      </c>
    </row>
    <row r="1205" spans="1:4" x14ac:dyDescent="0.25">
      <c r="A1205" s="438" t="str">
        <f>IF(BID!$L1213=FALSE,BID!A1213,"-")</f>
        <v>-</v>
      </c>
      <c r="B1205" s="114" t="str">
        <f>IF(BID!$L1213=FALSE,BID!B1213,"-")</f>
        <v>-</v>
      </c>
      <c r="C1205" s="30" t="str">
        <f>IF(BID!$L1213=FALSE,BID!C1213,"-")</f>
        <v>-</v>
      </c>
      <c r="D1205" s="114" t="str">
        <f>IF(BID!$L1213=FALSE,BID!D1213,"-")</f>
        <v>-</v>
      </c>
    </row>
    <row r="1206" spans="1:4" x14ac:dyDescent="0.25">
      <c r="A1206" s="438" t="str">
        <f>IF(BID!$L1214=FALSE,BID!A1214,"-")</f>
        <v>-</v>
      </c>
      <c r="B1206" s="114" t="str">
        <f>IF(BID!$L1214=FALSE,BID!B1214,"-")</f>
        <v>-</v>
      </c>
      <c r="C1206" s="30" t="str">
        <f>IF(BID!$L1214=FALSE,BID!C1214,"-")</f>
        <v>-</v>
      </c>
      <c r="D1206" s="114" t="str">
        <f>IF(BID!$L1214=FALSE,BID!D1214,"-")</f>
        <v>-</v>
      </c>
    </row>
    <row r="1207" spans="1:4" x14ac:dyDescent="0.25">
      <c r="A1207" s="438" t="str">
        <f>IF(BID!$L1215=FALSE,BID!A1215,"-")</f>
        <v>-</v>
      </c>
      <c r="B1207" s="114" t="str">
        <f>IF(BID!$L1215=FALSE,BID!B1215,"-")</f>
        <v>-</v>
      </c>
      <c r="C1207" s="30" t="str">
        <f>IF(BID!$L1215=FALSE,BID!C1215,"-")</f>
        <v>-</v>
      </c>
      <c r="D1207" s="114" t="str">
        <f>IF(BID!$L1215=FALSE,BID!D1215,"-")</f>
        <v>-</v>
      </c>
    </row>
    <row r="1208" spans="1:4" x14ac:dyDescent="0.25">
      <c r="A1208" s="438" t="str">
        <f>IF(BID!$L1216=FALSE,BID!A1216,"-")</f>
        <v>-</v>
      </c>
      <c r="B1208" s="114" t="str">
        <f>IF(BID!$L1216=FALSE,BID!B1216,"-")</f>
        <v>-</v>
      </c>
      <c r="C1208" s="30" t="str">
        <f>IF(BID!$L1216=FALSE,BID!C1216,"-")</f>
        <v>-</v>
      </c>
      <c r="D1208" s="114" t="str">
        <f>IF(BID!$L1216=FALSE,BID!D1216,"-")</f>
        <v>-</v>
      </c>
    </row>
    <row r="1209" spans="1:4" x14ac:dyDescent="0.25">
      <c r="A1209" s="438" t="str">
        <f>IF(BID!$L1217=FALSE,BID!A1217,"-")</f>
        <v>-</v>
      </c>
      <c r="B1209" s="114" t="str">
        <f>IF(BID!$L1217=FALSE,BID!B1217,"-")</f>
        <v>-</v>
      </c>
      <c r="C1209" s="30" t="str">
        <f>IF(BID!$L1217=FALSE,BID!C1217,"-")</f>
        <v>-</v>
      </c>
      <c r="D1209" s="114" t="str">
        <f>IF(BID!$L1217=FALSE,BID!D1217,"-")</f>
        <v>-</v>
      </c>
    </row>
    <row r="1210" spans="1:4" x14ac:dyDescent="0.25">
      <c r="A1210" s="438" t="str">
        <f>IF(BID!$L1218=FALSE,BID!A1218,"-")</f>
        <v>-</v>
      </c>
      <c r="B1210" s="114" t="str">
        <f>IF(BID!$L1218=FALSE,BID!B1218,"-")</f>
        <v>-</v>
      </c>
      <c r="C1210" s="30" t="str">
        <f>IF(BID!$L1218=FALSE,BID!C1218,"-")</f>
        <v>-</v>
      </c>
      <c r="D1210" s="114" t="str">
        <f>IF(BID!$L1218=FALSE,BID!D1218,"-")</f>
        <v>-</v>
      </c>
    </row>
    <row r="1211" spans="1:4" x14ac:dyDescent="0.25">
      <c r="A1211" s="438" t="str">
        <f>IF(BID!$L1219=FALSE,BID!A1219,"-")</f>
        <v>-</v>
      </c>
      <c r="B1211" s="114" t="str">
        <f>IF(BID!$L1219=FALSE,BID!B1219,"-")</f>
        <v>-</v>
      </c>
      <c r="C1211" s="30" t="str">
        <f>IF(BID!$L1219=FALSE,BID!C1219,"-")</f>
        <v>-</v>
      </c>
      <c r="D1211" s="114" t="str">
        <f>IF(BID!$L1219=FALSE,BID!D1219,"-")</f>
        <v>-</v>
      </c>
    </row>
    <row r="1212" spans="1:4" x14ac:dyDescent="0.25">
      <c r="A1212" s="438" t="str">
        <f>IF(BID!$L1220=FALSE,BID!A1220,"-")</f>
        <v>-</v>
      </c>
      <c r="B1212" s="114" t="str">
        <f>IF(BID!$L1220=FALSE,BID!B1220,"-")</f>
        <v>-</v>
      </c>
      <c r="C1212" s="30" t="str">
        <f>IF(BID!$L1220=FALSE,BID!C1220,"-")</f>
        <v>-</v>
      </c>
      <c r="D1212" s="114" t="str">
        <f>IF(BID!$L1220=FALSE,BID!D1220,"-")</f>
        <v>-</v>
      </c>
    </row>
    <row r="1213" spans="1:4" x14ac:dyDescent="0.25">
      <c r="A1213" s="438" t="str">
        <f>IF(BID!$L1221=FALSE,BID!A1221,"-")</f>
        <v>-</v>
      </c>
      <c r="B1213" s="114" t="str">
        <f>IF(BID!$L1221=FALSE,BID!B1221,"-")</f>
        <v>-</v>
      </c>
      <c r="C1213" s="30" t="str">
        <f>IF(BID!$L1221=FALSE,BID!C1221,"-")</f>
        <v>-</v>
      </c>
      <c r="D1213" s="114" t="str">
        <f>IF(BID!$L1221=FALSE,BID!D1221,"-")</f>
        <v>-</v>
      </c>
    </row>
    <row r="1214" spans="1:4" x14ac:dyDescent="0.25">
      <c r="A1214" s="438" t="str">
        <f>IF(BID!$L1222=FALSE,BID!A1222,"-")</f>
        <v>-</v>
      </c>
      <c r="B1214" s="114" t="str">
        <f>IF(BID!$L1222=FALSE,BID!B1222,"-")</f>
        <v>-</v>
      </c>
      <c r="C1214" s="30" t="str">
        <f>IF(BID!$L1222=FALSE,BID!C1222,"-")</f>
        <v>-</v>
      </c>
      <c r="D1214" s="114" t="str">
        <f>IF(BID!$L1222=FALSE,BID!D1222,"-")</f>
        <v>-</v>
      </c>
    </row>
    <row r="1215" spans="1:4" x14ac:dyDescent="0.25">
      <c r="A1215" s="438" t="str">
        <f>IF(BID!$L1223=FALSE,BID!A1223,"-")</f>
        <v>-</v>
      </c>
      <c r="B1215" s="114" t="str">
        <f>IF(BID!$L1223=FALSE,BID!B1223,"-")</f>
        <v>-</v>
      </c>
      <c r="C1215" s="30" t="str">
        <f>IF(BID!$L1223=FALSE,BID!C1223,"-")</f>
        <v>-</v>
      </c>
      <c r="D1215" s="114" t="str">
        <f>IF(BID!$L1223=FALSE,BID!D1223,"-")</f>
        <v>-</v>
      </c>
    </row>
    <row r="1216" spans="1:4" x14ac:dyDescent="0.25">
      <c r="A1216" s="438" t="str">
        <f>IF(BID!$L1224=FALSE,BID!A1224,"-")</f>
        <v>-</v>
      </c>
      <c r="B1216" s="114" t="str">
        <f>IF(BID!$L1224=FALSE,BID!B1224,"-")</f>
        <v>-</v>
      </c>
      <c r="C1216" s="30" t="str">
        <f>IF(BID!$L1224=FALSE,BID!C1224,"-")</f>
        <v>-</v>
      </c>
      <c r="D1216" s="114" t="str">
        <f>IF(BID!$L1224=FALSE,BID!D1224,"-")</f>
        <v>-</v>
      </c>
    </row>
    <row r="1217" spans="1:4" x14ac:dyDescent="0.25">
      <c r="A1217" s="438" t="str">
        <f>IF(BID!$L1225=FALSE,BID!A1225,"-")</f>
        <v>-</v>
      </c>
      <c r="B1217" s="114" t="str">
        <f>IF(BID!$L1225=FALSE,BID!B1225,"-")</f>
        <v>-</v>
      </c>
      <c r="C1217" s="30" t="str">
        <f>IF(BID!$L1225=FALSE,BID!C1225,"-")</f>
        <v>-</v>
      </c>
      <c r="D1217" s="114" t="str">
        <f>IF(BID!$L1225=FALSE,BID!D1225,"-")</f>
        <v>-</v>
      </c>
    </row>
  </sheetData>
  <sheetProtection algorithmName="SHA-512" hashValue="37gCf67gmIjy+tBtJlyt8tcrh7IiO5+ZrtJBRVS3FMezt8XMeqox8Dm7cZwZDihBBt/BDBDw3xNCnv29oxce+Q==" saltValue="i8zoqSqAMuOdaVn/7nOZEA==" spinCount="100000" sheet="1" objects="1" scenarios="1"/>
  <mergeCells count="1">
    <mergeCell ref="A1:D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K36"/>
  <sheetViews>
    <sheetView view="pageBreakPreview" zoomScale="80" zoomScaleNormal="100" zoomScaleSheetLayoutView="80" workbookViewId="0">
      <selection activeCell="A10" sqref="A10:XFD1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N!B4</f>
        <v>ALPHA PHARMACY AND STORES LTD</v>
      </c>
      <c r="C1" s="816"/>
      <c r="D1" s="816"/>
      <c r="E1" s="816"/>
      <c r="F1" s="816"/>
      <c r="K1" s="34" t="s">
        <v>634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">
      <c r="A4" s="430"/>
      <c r="B4" s="20"/>
      <c r="C4" s="65"/>
      <c r="D4" s="21"/>
      <c r="E4" s="21"/>
      <c r="F4" s="64"/>
      <c r="K4" s="446"/>
    </row>
    <row r="5" spans="1:11" s="8" customFormat="1" ht="24.75" thickTop="1" thickBot="1" x14ac:dyDescent="0.3">
      <c r="A5" s="430"/>
      <c r="B5" s="817" t="s">
        <v>1488</v>
      </c>
      <c r="C5" s="818"/>
      <c r="D5" s="818"/>
      <c r="E5" s="818"/>
      <c r="F5" s="819"/>
      <c r="K5" s="446"/>
    </row>
    <row r="6" spans="1:11" ht="20.25" thickTop="1" thickBot="1" x14ac:dyDescent="0.35">
      <c r="A6" s="430">
        <f>BID!A523</f>
        <v>469</v>
      </c>
      <c r="B6" s="15" t="str">
        <f>BID!B523</f>
        <v>ADRENALINE INJ</v>
      </c>
      <c r="C6" s="15">
        <f>BID!C523</f>
        <v>100</v>
      </c>
      <c r="D6" s="15">
        <f>IF(K6&gt;0,BID!D523*(K6/100),BID!D523)</f>
        <v>12</v>
      </c>
      <c r="E6" s="60">
        <f>IF(K6&gt;0,PR!E521,IF(BID!K523="ALPHA",BID!L523,0))</f>
        <v>30000</v>
      </c>
      <c r="F6" s="61">
        <f t="shared" ref="F6:F33" si="0">IF(E6&gt;0,(E6*D6),0)</f>
        <v>360000</v>
      </c>
      <c r="K6" s="445"/>
    </row>
    <row r="7" spans="1:11" ht="20.25" thickTop="1" thickBot="1" x14ac:dyDescent="0.35">
      <c r="A7" s="430">
        <f>BID!A439</f>
        <v>396</v>
      </c>
      <c r="B7" s="15" t="str">
        <f>BID!B439</f>
        <v>ATRACURIUM INJ</v>
      </c>
      <c r="C7" s="15">
        <f>BID!C439</f>
        <v>5</v>
      </c>
      <c r="D7" s="15">
        <f>IF(K7&gt;0,BID!D439*(K7/100),BID!D439)</f>
        <v>120</v>
      </c>
      <c r="E7" s="60">
        <f>IF(K7&gt;0,PR!E437,IF(BID!K439="ALPHA",BID!L439,0))</f>
        <v>9000</v>
      </c>
      <c r="F7" s="61">
        <f t="shared" si="0"/>
        <v>1080000</v>
      </c>
      <c r="K7" s="445"/>
    </row>
    <row r="8" spans="1:11" ht="20.25" thickTop="1" thickBot="1" x14ac:dyDescent="0.35">
      <c r="A8" s="430">
        <f>BID!A440</f>
        <v>397</v>
      </c>
      <c r="B8" s="15" t="str">
        <f>BID!B440</f>
        <v>ATROPINE INJ</v>
      </c>
      <c r="C8" s="15">
        <f>BID!C440</f>
        <v>10</v>
      </c>
      <c r="D8" s="15">
        <f>IF(K8&gt;0,BID!D440*(K8/100),BID!D440)</f>
        <v>300</v>
      </c>
      <c r="E8" s="60">
        <f>IF(K8&gt;0,PR!E438,IF(BID!K440="ALPHA",BID!L440,0))</f>
        <v>3000</v>
      </c>
      <c r="F8" s="61">
        <f t="shared" si="0"/>
        <v>900000</v>
      </c>
      <c r="K8" s="445"/>
    </row>
    <row r="9" spans="1:11" ht="20.25" thickTop="1" thickBot="1" x14ac:dyDescent="0.35">
      <c r="A9" s="430">
        <f>BID!A649</f>
        <v>585</v>
      </c>
      <c r="B9" s="15" t="str">
        <f>BID!B649</f>
        <v>COLOSTOMY BAG</v>
      </c>
      <c r="C9" s="15">
        <f>BID!C649</f>
        <v>30</v>
      </c>
      <c r="D9" s="15">
        <f>IF(K9&gt;0,BID!D649*(K9/100),BID!D649)</f>
        <v>20</v>
      </c>
      <c r="E9" s="60">
        <f>IF(K9&gt;0,PR!E647,IF(BID!K649="ALPHA",BID!L649,0))</f>
        <v>34500</v>
      </c>
      <c r="F9" s="61">
        <f t="shared" si="0"/>
        <v>690000</v>
      </c>
      <c r="K9" s="445"/>
    </row>
    <row r="10" spans="1:11" ht="20.25" thickTop="1" thickBot="1" x14ac:dyDescent="0.35">
      <c r="A10" s="430">
        <f>BID!A654</f>
        <v>590</v>
      </c>
      <c r="B10" s="15" t="str">
        <f>BID!B654</f>
        <v>COTTON WOOL 50G</v>
      </c>
      <c r="C10" s="15">
        <f>BID!C654</f>
        <v>100</v>
      </c>
      <c r="D10" s="15">
        <f>IF(K10&gt;0,BID!D654*(K10/100),BID!D654)</f>
        <v>400</v>
      </c>
      <c r="E10" s="60">
        <f>IF(K10&gt;0,PR!E652,IF(BID!K654="ALPHA",BID!L654,0))</f>
        <v>8000</v>
      </c>
      <c r="F10" s="61">
        <f t="shared" si="0"/>
        <v>3200000</v>
      </c>
      <c r="K10" s="445"/>
    </row>
    <row r="11" spans="1:11" ht="20.25" thickTop="1" thickBot="1" x14ac:dyDescent="0.35">
      <c r="A11" s="430">
        <f>BID!A332</f>
        <v>300</v>
      </c>
      <c r="B11" s="15" t="str">
        <f>BID!B332</f>
        <v>ENOXAPARIN 40MG INJ</v>
      </c>
      <c r="C11" s="15" t="str">
        <f>BID!C332</f>
        <v>AMP</v>
      </c>
      <c r="D11" s="15">
        <f>IF(K11&gt;0,BID!D332*(K11/100),BID!D332)</f>
        <v>979.99999999999989</v>
      </c>
      <c r="E11" s="60">
        <f>IF(K11&gt;0,PR!E330,IF(BID!K332="ALPHA",BID!L332,0))</f>
        <v>1670</v>
      </c>
      <c r="F11" s="61">
        <f t="shared" si="0"/>
        <v>1636599.9999999998</v>
      </c>
      <c r="K11" s="445">
        <v>70</v>
      </c>
    </row>
    <row r="12" spans="1:11" ht="20.25" thickTop="1" thickBot="1" x14ac:dyDescent="0.35">
      <c r="A12" s="430">
        <f>BID!A425</f>
        <v>385</v>
      </c>
      <c r="B12" s="15" t="str">
        <f>BID!B425</f>
        <v>ERGOMETRINE 500MCG INJ</v>
      </c>
      <c r="C12" s="15">
        <f>BID!C425</f>
        <v>100</v>
      </c>
      <c r="D12" s="15">
        <f>IF(K12&gt;0,BID!D425*(K12/100),BID!D425)</f>
        <v>20</v>
      </c>
      <c r="E12" s="60">
        <f>IF(K12&gt;0,PR!E423,IF(BID!K425="ALPHA",BID!L425,0))</f>
        <v>25000</v>
      </c>
      <c r="F12" s="61">
        <f t="shared" si="0"/>
        <v>500000</v>
      </c>
      <c r="K12" s="445"/>
    </row>
    <row r="13" spans="1:11" ht="20.25" thickTop="1" thickBot="1" x14ac:dyDescent="0.35">
      <c r="A13" s="430">
        <f>BID!A567</f>
        <v>510</v>
      </c>
      <c r="B13" s="15" t="str">
        <f>BID!B567</f>
        <v>EYE ANTI-OXIDANT TAB</v>
      </c>
      <c r="C13" s="15">
        <f>BID!C567</f>
        <v>120</v>
      </c>
      <c r="D13" s="15">
        <f>IF(K13&gt;0,BID!D567*(K13/100),BID!D567)</f>
        <v>80</v>
      </c>
      <c r="E13" s="60">
        <f>IF(K13&gt;0,PR!E565,IF(BID!K567="ALPHA",BID!L567,0))</f>
        <v>9000</v>
      </c>
      <c r="F13" s="61">
        <f t="shared" si="0"/>
        <v>720000</v>
      </c>
      <c r="K13" s="445"/>
    </row>
    <row r="14" spans="1:11" ht="20.25" thickTop="1" thickBot="1" x14ac:dyDescent="0.35">
      <c r="A14" s="430">
        <f>BID!A444</f>
        <v>401</v>
      </c>
      <c r="B14" s="15" t="str">
        <f>BID!B444</f>
        <v>GLYCOPYRULLATE INJ</v>
      </c>
      <c r="C14" s="15">
        <f>BID!C444</f>
        <v>100</v>
      </c>
      <c r="D14" s="15">
        <f>IF(K14&gt;0,BID!D444*(K14/100),BID!D444)</f>
        <v>4</v>
      </c>
      <c r="E14" s="60">
        <f>IF(K14&gt;0,PR!E442,IF(BID!K444="ALPHA",BID!L444,0))</f>
        <v>80000</v>
      </c>
      <c r="F14" s="61">
        <f t="shared" si="0"/>
        <v>320000</v>
      </c>
      <c r="K14" s="445"/>
    </row>
    <row r="15" spans="1:11" ht="20.25" thickTop="1" thickBot="1" x14ac:dyDescent="0.35">
      <c r="A15" s="430">
        <f>BID!A445</f>
        <v>402</v>
      </c>
      <c r="B15" s="15" t="str">
        <f>BID!B445</f>
        <v>HALOTHANE</v>
      </c>
      <c r="C15" s="15" t="str">
        <f>BID!C445</f>
        <v>250ML</v>
      </c>
      <c r="D15" s="15">
        <f>IF(K15&gt;0,BID!D445*(K15/100),BID!D445)</f>
        <v>12</v>
      </c>
      <c r="E15" s="60">
        <f>IF(K15&gt;0,PR!E443,IF(BID!K445="ALPHA",BID!L445,0))</f>
        <v>16500</v>
      </c>
      <c r="F15" s="61">
        <f t="shared" si="0"/>
        <v>198000</v>
      </c>
      <c r="K15" s="445"/>
    </row>
    <row r="16" spans="1:11" ht="20.25" thickTop="1" thickBot="1" x14ac:dyDescent="0.35">
      <c r="A16" s="430">
        <f>BID!A446</f>
        <v>403</v>
      </c>
      <c r="B16" s="15" t="str">
        <f>BID!B446</f>
        <v>HEAVY MARCAINE INJ</v>
      </c>
      <c r="C16" s="15">
        <f>BID!C446</f>
        <v>10</v>
      </c>
      <c r="D16" s="15">
        <f>IF(K16&gt;0,BID!D446*(K16/100),BID!D446)</f>
        <v>75.599999999999994</v>
      </c>
      <c r="E16" s="60">
        <f>IF(K16&gt;0,PR!E444,IF(BID!K446="ALPHA",BID!L446,0))</f>
        <v>10000</v>
      </c>
      <c r="F16" s="61">
        <f t="shared" si="0"/>
        <v>756000</v>
      </c>
      <c r="K16" s="445">
        <v>70</v>
      </c>
    </row>
    <row r="17" spans="1:11" ht="20.25" thickTop="1" thickBot="1" x14ac:dyDescent="0.35">
      <c r="A17" s="430">
        <f>BID!A341</f>
        <v>309</v>
      </c>
      <c r="B17" s="15" t="str">
        <f>BID!B341</f>
        <v>HEPARIN INJ</v>
      </c>
      <c r="C17" s="15" t="str">
        <f>BID!C341</f>
        <v>VIAL</v>
      </c>
      <c r="D17" s="15">
        <f>IF(K17&gt;0,BID!D341*(K17/100),BID!D341)</f>
        <v>1000</v>
      </c>
      <c r="E17" s="60">
        <f>IF(K17&gt;0,PR!E339,IF(BID!K341="ALPHA",BID!L341,0))</f>
        <v>2800</v>
      </c>
      <c r="F17" s="61">
        <f t="shared" si="0"/>
        <v>2800000</v>
      </c>
      <c r="K17" s="445"/>
    </row>
    <row r="18" spans="1:11" ht="20.25" thickTop="1" thickBot="1" x14ac:dyDescent="0.35">
      <c r="A18" s="430">
        <f>BID!A447</f>
        <v>404</v>
      </c>
      <c r="B18" s="15" t="str">
        <f>BID!B447</f>
        <v>ISOFLUORANE</v>
      </c>
      <c r="C18" s="15" t="str">
        <f>BID!C447</f>
        <v>250ML</v>
      </c>
      <c r="D18" s="15">
        <f>IF(K18&gt;0,BID!D447*(K18/100),BID!D447)</f>
        <v>120</v>
      </c>
      <c r="E18" s="60">
        <f>IF(K18&gt;0,PR!E445,IF(BID!K447="ALPHA",BID!L447,0))</f>
        <v>19500</v>
      </c>
      <c r="F18" s="61">
        <f t="shared" si="0"/>
        <v>2340000</v>
      </c>
      <c r="K18" s="445"/>
    </row>
    <row r="19" spans="1:11" ht="20.25" thickTop="1" thickBot="1" x14ac:dyDescent="0.35">
      <c r="A19" s="430">
        <f>BID!A283</f>
        <v>257</v>
      </c>
      <c r="B19" s="15" t="str">
        <f>BID!B283</f>
        <v>ITRACONAZOLE CAP</v>
      </c>
      <c r="C19" s="15">
        <f>BID!C283</f>
        <v>10</v>
      </c>
      <c r="D19" s="15">
        <f>IF(K19&gt;0,BID!D283*(K19/100),BID!D283)</f>
        <v>100</v>
      </c>
      <c r="E19" s="60">
        <f>IF(K19&gt;0,PR!E281,IF(BID!K283="ALPHA",BID!L283,0))</f>
        <v>2300</v>
      </c>
      <c r="F19" s="61">
        <f t="shared" si="0"/>
        <v>230000</v>
      </c>
      <c r="K19" s="445"/>
    </row>
    <row r="20" spans="1:11" ht="20.25" thickTop="1" thickBot="1" x14ac:dyDescent="0.35">
      <c r="A20" s="430">
        <f>BID!A448</f>
        <v>405</v>
      </c>
      <c r="B20" s="15" t="str">
        <f>BID!B448</f>
        <v>KETAMINE HCL 50MG/ML INJ</v>
      </c>
      <c r="C20" s="15">
        <f>BID!C448</f>
        <v>25</v>
      </c>
      <c r="D20" s="15">
        <f>IF(K20&gt;0,BID!D448*(K20/100),BID!D448)</f>
        <v>12</v>
      </c>
      <c r="E20" s="60">
        <f>IF(K20&gt;0,PR!E446,IF(BID!K448="ALPHA",BID!L448,0))</f>
        <v>30000</v>
      </c>
      <c r="F20" s="61">
        <f t="shared" si="0"/>
        <v>360000</v>
      </c>
      <c r="K20" s="445"/>
    </row>
    <row r="21" spans="1:11" ht="20.25" thickTop="1" thickBot="1" x14ac:dyDescent="0.35">
      <c r="A21" s="430">
        <f>BID!A427</f>
        <v>387</v>
      </c>
      <c r="B21" s="15" t="str">
        <f>BID!B427</f>
        <v>LEUPROLIDE ACETATE 3.75MG INJ</v>
      </c>
      <c r="C21" s="15">
        <f>BID!C427</f>
        <v>1</v>
      </c>
      <c r="D21" s="15">
        <f>IF(K21&gt;0,BID!D427*(K21/100),BID!D427)</f>
        <v>20</v>
      </c>
      <c r="E21" s="60">
        <f>IF(K21&gt;0,PR!E425,IF(BID!K427="ALPHA",BID!L427,0))</f>
        <v>24000</v>
      </c>
      <c r="F21" s="61">
        <f t="shared" si="0"/>
        <v>480000</v>
      </c>
      <c r="K21" s="445"/>
    </row>
    <row r="22" spans="1:11" ht="20.25" thickTop="1" thickBot="1" x14ac:dyDescent="0.35">
      <c r="A22" s="430">
        <f>BID!A449</f>
        <v>406</v>
      </c>
      <c r="B22" s="15" t="str">
        <f>BID!B449</f>
        <v>LIGHT MARCAINE INJ</v>
      </c>
      <c r="C22" s="15">
        <f>BID!C449</f>
        <v>10</v>
      </c>
      <c r="D22" s="15">
        <f>IF(K22&gt;0,BID!D449*(K22/100),BID!D449)</f>
        <v>40</v>
      </c>
      <c r="E22" s="60">
        <f>IF(K22&gt;0,PR!E447,IF(BID!K449="ALPHA",BID!L449,0))</f>
        <v>9500</v>
      </c>
      <c r="F22" s="61">
        <f t="shared" si="0"/>
        <v>380000</v>
      </c>
      <c r="K22" s="445"/>
    </row>
    <row r="23" spans="1:11" ht="20.25" thickTop="1" thickBot="1" x14ac:dyDescent="0.35">
      <c r="A23" s="430">
        <f>BID!A450</f>
        <v>407</v>
      </c>
      <c r="B23" s="15" t="str">
        <f>BID!B450</f>
        <v>MIDAZOLAM INJ</v>
      </c>
      <c r="C23" s="15">
        <f>BID!C450</f>
        <v>10</v>
      </c>
      <c r="D23" s="15">
        <f>IF(K23&gt;0,BID!D450*(K23/100),BID!D450)</f>
        <v>25</v>
      </c>
      <c r="E23" s="60">
        <f>IF(K23&gt;0,PR!E448,IF(BID!K450="ALPHA",BID!L450,0))</f>
        <v>18000</v>
      </c>
      <c r="F23" s="61">
        <f t="shared" si="0"/>
        <v>450000</v>
      </c>
      <c r="K23" s="445">
        <v>50</v>
      </c>
    </row>
    <row r="24" spans="1:11" ht="20.25" thickTop="1" thickBot="1" x14ac:dyDescent="0.35">
      <c r="A24" s="430">
        <f>BID!A451</f>
        <v>408</v>
      </c>
      <c r="B24" s="15" t="str">
        <f>BID!B451</f>
        <v>NEOSTIGMINE INJ</v>
      </c>
      <c r="C24" s="15">
        <f>BID!C451</f>
        <v>100</v>
      </c>
      <c r="D24" s="15">
        <f>IF(K24&gt;0,BID!D451*(K24/100),BID!D451)</f>
        <v>6</v>
      </c>
      <c r="E24" s="60">
        <f>IF(K24&gt;0,PR!E449,IF(BID!K451="ALPHA",BID!L451,0))</f>
        <v>65000</v>
      </c>
      <c r="F24" s="61">
        <f t="shared" si="0"/>
        <v>390000</v>
      </c>
      <c r="K24" s="445">
        <v>50</v>
      </c>
    </row>
    <row r="25" spans="1:11" ht="20.25" thickTop="1" thickBot="1" x14ac:dyDescent="0.35">
      <c r="A25" s="430">
        <f>BID!A298</f>
        <v>272</v>
      </c>
      <c r="B25" s="15" t="str">
        <f>BID!B298</f>
        <v>NYSTATIN ORAL DROPS (100,000 IU/ML)</v>
      </c>
      <c r="C25" s="15" t="str">
        <f>BID!C298</f>
        <v>BOTT</v>
      </c>
      <c r="D25" s="15">
        <f>IF(K25&gt;0,BID!D298*(K25/100),BID!D298)</f>
        <v>100</v>
      </c>
      <c r="E25" s="60">
        <f>IF(K25&gt;0,PR!E296,IF(BID!K298="ALPHA",BID!L298,0))</f>
        <v>300</v>
      </c>
      <c r="F25" s="61">
        <f t="shared" si="0"/>
        <v>30000</v>
      </c>
      <c r="K25" s="445"/>
    </row>
    <row r="26" spans="1:11" ht="20.25" thickTop="1" thickBot="1" x14ac:dyDescent="0.35">
      <c r="A26" s="430">
        <f>BID!A433</f>
        <v>393</v>
      </c>
      <c r="B26" s="15" t="str">
        <f>BID!B433</f>
        <v>OXYTOCIN INJ</v>
      </c>
      <c r="C26" s="15">
        <f>BID!C433</f>
        <v>100</v>
      </c>
      <c r="D26" s="15">
        <f>IF(K26&gt;0,BID!D433*(K26/100),BID!D433)</f>
        <v>144</v>
      </c>
      <c r="E26" s="60">
        <f>IF(K26&gt;0,PR!E431,IF(BID!K433="ALPHA",BID!L433,0))</f>
        <v>24000</v>
      </c>
      <c r="F26" s="61">
        <f t="shared" si="0"/>
        <v>3456000</v>
      </c>
      <c r="K26" s="445"/>
    </row>
    <row r="27" spans="1:11" ht="20.25" thickTop="1" thickBot="1" x14ac:dyDescent="0.35">
      <c r="A27" s="430">
        <f>BID!A452</f>
        <v>409</v>
      </c>
      <c r="B27" s="15" t="str">
        <f>BID!B452</f>
        <v>PANCURONIUM INJ</v>
      </c>
      <c r="C27" s="15" t="str">
        <f>BID!C452</f>
        <v>AMP</v>
      </c>
      <c r="D27" s="15">
        <f>IF(K27&gt;0,BID!D452*(K27/100),BID!D452)</f>
        <v>800</v>
      </c>
      <c r="E27" s="60">
        <f>IF(K27&gt;0,PR!E450,IF(BID!K452="ALPHA",BID!L452,0))</f>
        <v>650</v>
      </c>
      <c r="F27" s="61">
        <f t="shared" si="0"/>
        <v>520000</v>
      </c>
      <c r="K27" s="445"/>
    </row>
    <row r="28" spans="1:11" ht="20.25" thickTop="1" thickBot="1" x14ac:dyDescent="0.35">
      <c r="A28" s="430">
        <f>BID!A355</f>
        <v>323</v>
      </c>
      <c r="B28" s="15" t="str">
        <f>BID!B355</f>
        <v>POTASSIUM CHLORIDE INJ</v>
      </c>
      <c r="C28" s="15" t="str">
        <f>BID!C355</f>
        <v>AMP</v>
      </c>
      <c r="D28" s="15">
        <f>IF(K28&gt;0,BID!D355*(K28/100),BID!D355)</f>
        <v>2000</v>
      </c>
      <c r="E28" s="60">
        <f>IF(K28&gt;0,PR!E353,IF(BID!K355="ALPHA",BID!L355,0))</f>
        <v>560</v>
      </c>
      <c r="F28" s="61">
        <f t="shared" si="0"/>
        <v>1120000</v>
      </c>
      <c r="K28" s="445"/>
    </row>
    <row r="29" spans="1:11" ht="20.25" thickTop="1" thickBot="1" x14ac:dyDescent="0.35">
      <c r="A29" s="430">
        <f>BID!A518</f>
        <v>466</v>
      </c>
      <c r="B29" s="15" t="str">
        <f>BID!B518</f>
        <v>SALBUTAMOL NEBULES 2.5MG</v>
      </c>
      <c r="C29" s="15">
        <f>BID!C518</f>
        <v>20</v>
      </c>
      <c r="D29" s="15">
        <f>IF(K29&gt;0,BID!D518*(K29/100),BID!D518)</f>
        <v>100</v>
      </c>
      <c r="E29" s="60">
        <f>IF(K29&gt;0,PR!E516,IF(BID!K518="ALPHA",BID!L518,0))</f>
        <v>2850</v>
      </c>
      <c r="F29" s="61">
        <f t="shared" si="0"/>
        <v>285000</v>
      </c>
      <c r="K29" s="445"/>
    </row>
    <row r="30" spans="1:11" ht="20.25" thickTop="1" thickBot="1" x14ac:dyDescent="0.35">
      <c r="A30" s="430">
        <f>BID!A519</f>
        <v>467</v>
      </c>
      <c r="B30" s="15" t="str">
        <f>BID!B519</f>
        <v>SALBUTAMOL NEBULES 5MG</v>
      </c>
      <c r="C30" s="15">
        <f>BID!C519</f>
        <v>20</v>
      </c>
      <c r="D30" s="15">
        <f>IF(K30&gt;0,BID!D519*(K30/100),BID!D519)</f>
        <v>40</v>
      </c>
      <c r="E30" s="60">
        <f>IF(K30&gt;0,PR!E517,IF(BID!K519="ALPHA",BID!L519,0))</f>
        <v>3850</v>
      </c>
      <c r="F30" s="61">
        <f t="shared" si="0"/>
        <v>154000</v>
      </c>
      <c r="K30" s="445"/>
    </row>
    <row r="31" spans="1:11" ht="20.25" thickTop="1" thickBot="1" x14ac:dyDescent="0.35">
      <c r="A31" s="430">
        <f>BID!A454</f>
        <v>411</v>
      </c>
      <c r="B31" s="15" t="str">
        <f>BID!B454</f>
        <v>SEVOFLUORANE</v>
      </c>
      <c r="C31" s="15" t="str">
        <f>BID!C454</f>
        <v>250ML</v>
      </c>
      <c r="D31" s="15">
        <f>IF(K31&gt;0,BID!D454*(K31/100),BID!D454)</f>
        <v>60</v>
      </c>
      <c r="E31" s="60">
        <f>IF(K31&gt;0,PR!E452,IF(BID!K454="ALPHA",BID!L454,0))</f>
        <v>60000</v>
      </c>
      <c r="F31" s="61">
        <f t="shared" si="0"/>
        <v>3600000</v>
      </c>
      <c r="K31" s="445"/>
    </row>
    <row r="32" spans="1:11" ht="20.25" thickTop="1" thickBot="1" x14ac:dyDescent="0.35">
      <c r="A32" s="430">
        <f>BID!A212</f>
        <v>189</v>
      </c>
      <c r="B32" s="15" t="str">
        <f>BID!B212</f>
        <v>SULPHASALAZINE 500MG TAB</v>
      </c>
      <c r="C32" s="15">
        <f>BID!C212</f>
        <v>100</v>
      </c>
      <c r="D32" s="15">
        <f>IF(K32&gt;0,BID!D212*(K32/100),BID!D212)</f>
        <v>50</v>
      </c>
      <c r="E32" s="60">
        <f>IF(K32&gt;0,PR!E210,IF(BID!K212="ALPHA",BID!L212,0))</f>
        <v>8500</v>
      </c>
      <c r="F32" s="61">
        <f t="shared" si="0"/>
        <v>425000</v>
      </c>
      <c r="K32" s="445"/>
    </row>
    <row r="33" spans="1:11" ht="20.25" thickTop="1" thickBot="1" x14ac:dyDescent="0.35">
      <c r="A33" s="430">
        <f>BID!A456</f>
        <v>413</v>
      </c>
      <c r="B33" s="15" t="str">
        <f>BID!B456</f>
        <v>SUXAMETHONIUM INJ</v>
      </c>
      <c r="C33" s="15" t="str">
        <f>BID!C456</f>
        <v>AMP</v>
      </c>
      <c r="D33" s="15">
        <f>IF(K33&gt;0,BID!D456*(K33/100),BID!D456)</f>
        <v>300</v>
      </c>
      <c r="E33" s="60">
        <f>IF(K33&gt;0,PR!E454,IF(BID!K456="ALPHA",BID!L456,0))</f>
        <v>600</v>
      </c>
      <c r="F33" s="61">
        <f t="shared" si="0"/>
        <v>180000</v>
      </c>
      <c r="K33" s="445">
        <v>50</v>
      </c>
    </row>
    <row r="34" spans="1:11" ht="19.5" thickTop="1" x14ac:dyDescent="0.3">
      <c r="A34" s="430"/>
      <c r="B34" s="15"/>
      <c r="C34" s="15"/>
      <c r="D34" s="15"/>
      <c r="E34" s="60"/>
      <c r="F34" s="61"/>
    </row>
    <row r="35" spans="1:11" ht="19.5" thickBot="1" x14ac:dyDescent="0.35">
      <c r="A35" s="430"/>
      <c r="B35" s="15"/>
      <c r="C35" s="15"/>
      <c r="D35" s="15"/>
      <c r="E35" s="60"/>
      <c r="F35" s="442"/>
    </row>
    <row r="36" spans="1:11" ht="21.75" thickBot="1" x14ac:dyDescent="0.4">
      <c r="A36" s="430"/>
      <c r="B36" s="15"/>
      <c r="C36" s="15"/>
      <c r="D36" s="15"/>
      <c r="E36" s="441"/>
      <c r="F36" s="443">
        <f>SUM(F6:F33)</f>
        <v>27560600</v>
      </c>
    </row>
  </sheetData>
  <protectedRanges>
    <protectedRange sqref="K6:K33" name="Range1"/>
  </protectedRanges>
  <sortState ref="A6:K33">
    <sortCondition ref="B6:B33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C54D9-73A9-4B5B-91BE-E62146DA0DE2}">
  <sheetPr>
    <tabColor rgb="FFFF0000"/>
  </sheetPr>
  <dimension ref="A1:K12"/>
  <sheetViews>
    <sheetView view="pageBreakPreview" zoomScale="80" zoomScaleNormal="100" zoomScaleSheetLayoutView="80" workbookViewId="0">
      <selection activeCell="D19" sqref="D19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N!B6</f>
        <v>BIOFEM PHARMACEUTICALS LIMITED</v>
      </c>
      <c r="C1" s="816"/>
      <c r="D1" s="816"/>
      <c r="E1" s="816"/>
      <c r="F1" s="816"/>
      <c r="K1" t="s">
        <v>628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BID!A461</f>
        <v>416</v>
      </c>
      <c r="B6" s="15" t="str">
        <f>BID!B461</f>
        <v>ANTI D IMMUNOGLOBULIN</v>
      </c>
      <c r="C6" s="15" t="str">
        <f>BID!C461</f>
        <v>VIAL</v>
      </c>
      <c r="D6" s="15">
        <f>IF(K6&gt;0,(K6/100)*BID!D461,1*BID!D461)</f>
        <v>40</v>
      </c>
      <c r="E6" s="60">
        <f>IF(K6&gt;0,PR!G459,IF(BID!K461="BIOFEM",BID!L461,0))</f>
        <v>19500</v>
      </c>
      <c r="F6" s="61">
        <f>IF(E6&gt;0,(E6*D6),0)</f>
        <v>780000</v>
      </c>
      <c r="K6" s="445"/>
    </row>
    <row r="7" spans="1:11" ht="20.25" thickTop="1" thickBot="1" x14ac:dyDescent="0.35">
      <c r="A7" s="430">
        <f>BID!A329</f>
        <v>297</v>
      </c>
      <c r="B7" s="15" t="str">
        <f>BID!B329</f>
        <v>COD LIVER OIL (LIQUID)</v>
      </c>
      <c r="C7" s="15" t="str">
        <f>BID!C329</f>
        <v>BOTT</v>
      </c>
      <c r="D7" s="15">
        <f>IF(K7&gt;0,(K7/100)*BID!D329,1*BID!D329)</f>
        <v>100</v>
      </c>
      <c r="E7" s="60">
        <f>IF(K7&gt;0,PR!G327,IF(BID!K329="BIOFEM",BID!L329,0))</f>
        <v>1827</v>
      </c>
      <c r="F7" s="61">
        <f>IF(E7&gt;0,(E7*D7),0)</f>
        <v>182700</v>
      </c>
      <c r="K7" s="445"/>
    </row>
    <row r="8" spans="1:11" ht="20.25" thickTop="1" thickBot="1" x14ac:dyDescent="0.35">
      <c r="A8" s="430">
        <f>BID!A402</f>
        <v>366</v>
      </c>
      <c r="B8" s="15" t="str">
        <f>BID!B402</f>
        <v>GABAPENTIN+METHYLCOBALAMIN (500MCG/300MG)</v>
      </c>
      <c r="C8" s="15">
        <f>BID!C402</f>
        <v>100</v>
      </c>
      <c r="D8" s="15">
        <f>IF(K8&gt;0,(K8/100)*BID!D402,1*BID!D402)</f>
        <v>500</v>
      </c>
      <c r="E8" s="60">
        <f>IF(K8&gt;0,PR!G400,IF(BID!K402="BIOFEM",BID!L402,0))</f>
        <v>6800</v>
      </c>
      <c r="F8" s="61">
        <f>IF(E8&gt;0,(E8*D8),0)</f>
        <v>3400000</v>
      </c>
      <c r="K8" s="445"/>
    </row>
    <row r="9" spans="1:11" ht="20.25" thickTop="1" thickBot="1" x14ac:dyDescent="0.35">
      <c r="A9" s="430">
        <f>BID!A191</f>
        <v>168</v>
      </c>
      <c r="B9" s="15" t="str">
        <f>BID!B191</f>
        <v>MELOXICAM 15MG TAB</v>
      </c>
      <c r="C9" s="15">
        <f>BID!C191</f>
        <v>10</v>
      </c>
      <c r="D9" s="15">
        <f>IF(K9&gt;0,(K9/100)*BID!D191,1*BID!D191)</f>
        <v>40</v>
      </c>
      <c r="E9" s="60">
        <f>IF(K9&gt;0,PR!G189,IF(BID!K191="BIOFEM",BID!L191,0))</f>
        <v>400</v>
      </c>
      <c r="F9" s="61">
        <f>IF(E9&gt;0,(E9*D9),0)</f>
        <v>16000</v>
      </c>
      <c r="K9" s="445"/>
    </row>
    <row r="10" spans="1:11" ht="19.5" thickTop="1" x14ac:dyDescent="0.3">
      <c r="A10" s="430"/>
      <c r="B10" s="15"/>
      <c r="C10" s="15"/>
      <c r="D10" s="15"/>
      <c r="E10" s="60"/>
      <c r="F10" s="61"/>
    </row>
    <row r="11" spans="1:11" ht="19.5" thickBot="1" x14ac:dyDescent="0.35">
      <c r="A11" s="430"/>
      <c r="B11" s="15"/>
      <c r="C11" s="15"/>
      <c r="D11" s="15"/>
      <c r="E11" s="60"/>
      <c r="F11" s="442"/>
    </row>
    <row r="12" spans="1:11" ht="21.75" thickBot="1" x14ac:dyDescent="0.4">
      <c r="A12" s="430"/>
      <c r="B12" s="15"/>
      <c r="C12" s="15"/>
      <c r="D12" s="15"/>
      <c r="E12" s="441"/>
      <c r="F12" s="443">
        <f>SUM(F6:F9)</f>
        <v>4378700</v>
      </c>
    </row>
  </sheetData>
  <protectedRanges>
    <protectedRange sqref="K4:K9" name="Range1"/>
  </protectedRanges>
  <sortState ref="A6:K9">
    <sortCondition ref="B6:B9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46A9C-3815-4305-B860-F1B4644F949A}">
  <sheetPr>
    <tabColor rgb="FFFFC000"/>
  </sheetPr>
  <dimension ref="A1:K17"/>
  <sheetViews>
    <sheetView view="pageBreakPreview" zoomScale="80" zoomScaleNormal="100" zoomScaleSheetLayoutView="80" workbookViewId="0">
      <selection activeCell="A14" sqref="A14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N!B7</f>
        <v>BIOMEDICALS LIMITED</v>
      </c>
      <c r="C1" s="816"/>
      <c r="D1" s="816"/>
      <c r="E1" s="816"/>
      <c r="F1" s="816"/>
      <c r="K1" t="s">
        <v>819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BID!A34</f>
        <v>19</v>
      </c>
      <c r="B6" s="15" t="str">
        <f>BID!B34</f>
        <v xml:space="preserve">0.9% NORMAL SALINE </v>
      </c>
      <c r="C6" s="15">
        <f>BID!C34</f>
        <v>20</v>
      </c>
      <c r="D6" s="15">
        <f>IF(K6&gt;0,(K6/100)*BID!D34,1*BID!D34)</f>
        <v>600</v>
      </c>
      <c r="E6" s="60">
        <f>IF(K6&gt;0,PR!H32,IF(BID!K34="BIOMED",BID!L34,0))</f>
        <v>2350</v>
      </c>
      <c r="F6" s="61">
        <f t="shared" ref="F6:F14" si="0">IF(E6&gt;0,(E6*D6),0)</f>
        <v>1410000</v>
      </c>
      <c r="K6" s="445">
        <v>20</v>
      </c>
    </row>
    <row r="7" spans="1:11" ht="20.25" thickTop="1" thickBot="1" x14ac:dyDescent="0.35">
      <c r="A7" s="430">
        <f>BID!A38</f>
        <v>23</v>
      </c>
      <c r="B7" s="15" t="str">
        <f>BID!B38</f>
        <v>4.3% DEXTROSE IN 0.18% SALINE</v>
      </c>
      <c r="C7" s="15">
        <f>BID!C38</f>
        <v>20</v>
      </c>
      <c r="D7" s="15">
        <f>IF(K7&gt;0,(K7/100)*BID!D38,1*BID!D38)</f>
        <v>60</v>
      </c>
      <c r="E7" s="60">
        <f>IF(K7&gt;0,PR!H36,IF(BID!K38="BIOMED",BID!L38,0))</f>
        <v>2450</v>
      </c>
      <c r="F7" s="61">
        <f t="shared" si="0"/>
        <v>147000</v>
      </c>
      <c r="K7" s="445">
        <v>20</v>
      </c>
    </row>
    <row r="8" spans="1:11" ht="20.25" thickTop="1" thickBot="1" x14ac:dyDescent="0.35">
      <c r="A8" s="430">
        <f>BID!A39</f>
        <v>24</v>
      </c>
      <c r="B8" s="15" t="str">
        <f>BID!B39</f>
        <v>5% DEXTROSE SALINE</v>
      </c>
      <c r="C8" s="15">
        <f>BID!C39</f>
        <v>20</v>
      </c>
      <c r="D8" s="15">
        <f>IF(K8&gt;0,(K8/100)*BID!D39,1*BID!D39)</f>
        <v>320</v>
      </c>
      <c r="E8" s="60">
        <f>IF(K8&gt;0,PR!H37,IF(BID!K39="BIOMED",BID!L39,0))</f>
        <v>2450</v>
      </c>
      <c r="F8" s="61">
        <f t="shared" si="0"/>
        <v>784000</v>
      </c>
      <c r="K8" s="445">
        <v>20</v>
      </c>
    </row>
    <row r="9" spans="1:11" ht="20.25" thickTop="1" thickBot="1" x14ac:dyDescent="0.35">
      <c r="A9" s="430">
        <f>BID!A40</f>
        <v>25</v>
      </c>
      <c r="B9" s="15" t="str">
        <f>BID!B40</f>
        <v>5% DEXTROSE WATER</v>
      </c>
      <c r="C9" s="15">
        <f>BID!C40</f>
        <v>20</v>
      </c>
      <c r="D9" s="15">
        <f>IF(K9&gt;0,(K9/100)*BID!D40,1*BID!D40)</f>
        <v>160</v>
      </c>
      <c r="E9" s="60">
        <f>IF(K9&gt;0,PR!H38,IF(BID!K40="BIOMED",BID!L40,0))</f>
        <v>2450</v>
      </c>
      <c r="F9" s="61">
        <f t="shared" si="0"/>
        <v>392000</v>
      </c>
      <c r="K9" s="445">
        <v>20</v>
      </c>
    </row>
    <row r="10" spans="1:11" ht="20.25" thickTop="1" thickBot="1" x14ac:dyDescent="0.35">
      <c r="A10" s="430">
        <f>BID!A41</f>
        <v>26</v>
      </c>
      <c r="B10" s="15" t="str">
        <f>BID!B41</f>
        <v>50% DEXTROSE WATER</v>
      </c>
      <c r="C10" s="15">
        <f>BID!C41</f>
        <v>100</v>
      </c>
      <c r="D10" s="15">
        <f>IF(K10&gt;0,(K10/100)*BID!D41,1*BID!D41)</f>
        <v>8</v>
      </c>
      <c r="E10" s="60">
        <f>IF(K10&gt;0,PR!H39,IF(BID!K41="BIOMED",BID!L41,0))</f>
        <v>9195</v>
      </c>
      <c r="F10" s="61">
        <f t="shared" si="0"/>
        <v>73560</v>
      </c>
      <c r="K10" s="445">
        <v>20</v>
      </c>
    </row>
    <row r="11" spans="1:11" ht="20.25" thickTop="1" thickBot="1" x14ac:dyDescent="0.35">
      <c r="A11" s="430">
        <f>BID!A44</f>
        <v>29</v>
      </c>
      <c r="B11" s="15" t="str">
        <f>BID!B44</f>
        <v>FULL STRENGTH DARROWS SOLUTION</v>
      </c>
      <c r="C11" s="15">
        <f>BID!C44</f>
        <v>20</v>
      </c>
      <c r="D11" s="15">
        <f>IF(K11&gt;0,(K11/100)*BID!D44,1*BID!D44)</f>
        <v>5</v>
      </c>
      <c r="E11" s="60">
        <f>IF(K11&gt;0,PR!H42,IF(BID!K44="BIOMED",BID!L44,0))</f>
        <v>2450</v>
      </c>
      <c r="F11" s="61">
        <f t="shared" si="0"/>
        <v>12250</v>
      </c>
      <c r="K11" s="445"/>
    </row>
    <row r="12" spans="1:11" ht="20.25" thickTop="1" thickBot="1" x14ac:dyDescent="0.35">
      <c r="A12" s="430">
        <f>BID!A45</f>
        <v>30</v>
      </c>
      <c r="B12" s="15" t="str">
        <f>BID!B45</f>
        <v>HALF STRENGTH DARROWS SOLUTION</v>
      </c>
      <c r="C12" s="15">
        <f>BID!C45</f>
        <v>20</v>
      </c>
      <c r="D12" s="15">
        <f>IF(K12&gt;0,(K12/100)*BID!D45,1*BID!D45)</f>
        <v>5</v>
      </c>
      <c r="E12" s="60">
        <f>IF(K12&gt;0,PR!H43,IF(BID!K45="BIOMED",BID!L45,0))</f>
        <v>2450</v>
      </c>
      <c r="F12" s="61">
        <f t="shared" si="0"/>
        <v>12250</v>
      </c>
      <c r="K12" s="445"/>
    </row>
    <row r="13" spans="1:11" ht="20.25" thickTop="1" thickBot="1" x14ac:dyDescent="0.35">
      <c r="A13" s="430">
        <f>BID!A46</f>
        <v>31</v>
      </c>
      <c r="B13" s="15" t="str">
        <f>BID!B46</f>
        <v>HARTMANNS (RINGERS LACTATE SOLUTION)</v>
      </c>
      <c r="C13" s="15">
        <f>BID!C46</f>
        <v>20</v>
      </c>
      <c r="D13" s="15">
        <f>IF(K13&gt;0,(K13/100)*BID!D46,1*BID!D46)</f>
        <v>100</v>
      </c>
      <c r="E13" s="60">
        <f>IF(K13&gt;0,PR!H44,IF(BID!K46="BIOMED",BID!L46,0))</f>
        <v>2450</v>
      </c>
      <c r="F13" s="61">
        <f t="shared" si="0"/>
        <v>245000</v>
      </c>
      <c r="K13" s="445">
        <v>20</v>
      </c>
    </row>
    <row r="14" spans="1:11" ht="20.25" thickTop="1" thickBot="1" x14ac:dyDescent="0.35">
      <c r="A14" s="664">
        <f>BID!A47</f>
        <v>32</v>
      </c>
      <c r="B14" s="15" t="str">
        <f>BID!B47</f>
        <v>ISOPLASMA INFUSION (SUCCINYLATED GELATIN)</v>
      </c>
      <c r="C14" s="15">
        <f>BID!C47</f>
        <v>20</v>
      </c>
      <c r="D14" s="15">
        <f>IF(K14&gt;0,(K14/100)*BID!D47,1*BID!D47)</f>
        <v>6</v>
      </c>
      <c r="E14" s="60">
        <f>IF(K14&gt;0,PR!H45,IF(BID!K47="BIOMED",BID!L47,0))</f>
        <v>9500</v>
      </c>
      <c r="F14" s="61">
        <f t="shared" si="0"/>
        <v>57000</v>
      </c>
      <c r="K14" s="445"/>
    </row>
    <row r="15" spans="1:11" ht="19.5" thickTop="1" x14ac:dyDescent="0.3">
      <c r="A15" s="430"/>
      <c r="B15" s="15"/>
      <c r="C15" s="15"/>
      <c r="D15" s="15"/>
      <c r="E15" s="60"/>
      <c r="F15" s="61"/>
    </row>
    <row r="16" spans="1:11" ht="19.5" thickBot="1" x14ac:dyDescent="0.35">
      <c r="A16" s="430"/>
      <c r="B16" s="15"/>
      <c r="C16" s="15"/>
      <c r="D16" s="15"/>
      <c r="E16" s="60"/>
      <c r="F16" s="442"/>
    </row>
    <row r="17" spans="1:6" ht="21.75" thickBot="1" x14ac:dyDescent="0.4">
      <c r="A17" s="430"/>
      <c r="B17" s="15"/>
      <c r="C17" s="15"/>
      <c r="D17" s="15"/>
      <c r="E17" s="441"/>
      <c r="F17" s="443">
        <f>SUM(F6:F14)</f>
        <v>3133060</v>
      </c>
    </row>
  </sheetData>
  <protectedRanges>
    <protectedRange sqref="K4:K14" name="Range1"/>
  </protectedRanges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7F631-7209-46F7-AEF6-E226B497611D}">
  <sheetPr>
    <tabColor rgb="FF92D050"/>
  </sheetPr>
  <dimension ref="A1:K32"/>
  <sheetViews>
    <sheetView view="pageBreakPreview" topLeftCell="A16" zoomScale="80" zoomScaleNormal="100" zoomScaleSheetLayoutView="80" workbookViewId="0">
      <selection activeCell="F42" sqref="F42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N!B8</f>
        <v>CHI PHARMACEUTICALS</v>
      </c>
      <c r="C1" s="816"/>
      <c r="D1" s="816"/>
      <c r="E1" s="816"/>
      <c r="F1" s="816"/>
      <c r="K1" t="s">
        <v>1446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BID!A55</f>
        <v>37</v>
      </c>
      <c r="B6" s="15" t="str">
        <f>BID!B55</f>
        <v>AMLODIPINE 10MG TAB</v>
      </c>
      <c r="C6" s="15">
        <f>BID!C55</f>
        <v>28</v>
      </c>
      <c r="D6" s="15">
        <f>IF(K6&gt;0,(K6/100)*BID!D55,1*BID!D55)</f>
        <v>6000</v>
      </c>
      <c r="E6" s="60">
        <f>IF(K6&gt;0,PR!I53,IF(BID!K55="CHI",BID!L55,0))</f>
        <v>300</v>
      </c>
      <c r="F6" s="61">
        <f t="shared" ref="F6:F29" si="0">IF(E6&gt;0,(E6*D6),0)</f>
        <v>1800000</v>
      </c>
      <c r="K6" s="445">
        <v>50</v>
      </c>
    </row>
    <row r="7" spans="1:11" ht="20.25" thickTop="1" thickBot="1" x14ac:dyDescent="0.35">
      <c r="A7" s="430">
        <f>BID!A57</f>
        <v>39</v>
      </c>
      <c r="B7" s="15" t="str">
        <f>BID!B57</f>
        <v>AMLODIPINE 5MG TAB</v>
      </c>
      <c r="C7" s="15">
        <f>BID!C57</f>
        <v>28</v>
      </c>
      <c r="D7" s="15">
        <f>IF(K7&gt;0,(K7/100)*BID!D57,1*BID!D57)</f>
        <v>5000</v>
      </c>
      <c r="E7" s="60">
        <f>IF(K7&gt;0,PR!I55,IF(BID!K57="CHI",BID!L57,0))</f>
        <v>200</v>
      </c>
      <c r="F7" s="61">
        <f t="shared" si="0"/>
        <v>1000000</v>
      </c>
      <c r="K7" s="445">
        <v>50</v>
      </c>
    </row>
    <row r="8" spans="1:11" ht="20.25" thickTop="1" thickBot="1" x14ac:dyDescent="0.35">
      <c r="A8" s="430">
        <f>BID!A230</f>
        <v>204</v>
      </c>
      <c r="B8" s="15" t="str">
        <f>BID!B230</f>
        <v>AMOXICILLIN/CLAVULANIC ACID 1.2G INJ</v>
      </c>
      <c r="C8" s="15" t="str">
        <f>BID!C230</f>
        <v>VIAL</v>
      </c>
      <c r="D8" s="15">
        <f>IF(K8&gt;0,(K8/100)*BID!D230,1*BID!D230)</f>
        <v>9600</v>
      </c>
      <c r="E8" s="60">
        <f>IF(K8&gt;0,PR!I228,IF(BID!K230="CHI",BID!L230,0))</f>
        <v>540</v>
      </c>
      <c r="F8" s="61">
        <f t="shared" si="0"/>
        <v>5184000</v>
      </c>
      <c r="K8" s="445">
        <v>80</v>
      </c>
    </row>
    <row r="9" spans="1:11" ht="20.25" thickTop="1" thickBot="1" x14ac:dyDescent="0.35">
      <c r="A9" s="430">
        <f>BID!A231</f>
        <v>205</v>
      </c>
      <c r="B9" s="15" t="str">
        <f>BID!B231</f>
        <v>AMOXICILLIN/CLAVULANIC ACID 1G TAB</v>
      </c>
      <c r="C9" s="15">
        <f>BID!C231</f>
        <v>14</v>
      </c>
      <c r="D9" s="15">
        <f>IF(K9&gt;0,(K9/100)*BID!D231,1*BID!D231)</f>
        <v>4800</v>
      </c>
      <c r="E9" s="60">
        <f>IF(K9&gt;0,PR!I229,IF(BID!K231="CHI",BID!L231,0))</f>
        <v>1200</v>
      </c>
      <c r="F9" s="61">
        <f t="shared" si="0"/>
        <v>5760000</v>
      </c>
      <c r="K9" s="445">
        <v>80</v>
      </c>
    </row>
    <row r="10" spans="1:11" ht="20.25" thickTop="1" thickBot="1" x14ac:dyDescent="0.35">
      <c r="A10" s="430">
        <f>BID!A229</f>
        <v>203</v>
      </c>
      <c r="B10" s="15" t="str">
        <f>BID!B229</f>
        <v>AMOXICILLIN/CLAVULANIC ACID 457MG/5ML</v>
      </c>
      <c r="C10" s="15" t="str">
        <f>BID!C229</f>
        <v>BOTT</v>
      </c>
      <c r="D10" s="15">
        <f>IF(K10&gt;0,(K10/100)*BID!D229,1*BID!D229)</f>
        <v>200</v>
      </c>
      <c r="E10" s="60">
        <f>IF(K10&gt;0,PR!I227,IF(BID!K229="CHI",BID!L229,0))</f>
        <v>980</v>
      </c>
      <c r="F10" s="61">
        <f t="shared" si="0"/>
        <v>196000</v>
      </c>
      <c r="K10" s="445"/>
    </row>
    <row r="11" spans="1:11" ht="20.25" thickTop="1" thickBot="1" x14ac:dyDescent="0.35">
      <c r="A11" s="430">
        <f>BID!A233</f>
        <v>207</v>
      </c>
      <c r="B11" s="15" t="str">
        <f>BID!B233</f>
        <v>AMOXICILLIN/CLAVULANIC ACID 600MG INJ</v>
      </c>
      <c r="C11" s="15" t="str">
        <f>BID!C233</f>
        <v>VIAL</v>
      </c>
      <c r="D11" s="15">
        <f>IF(K11&gt;0,(K11/100)*BID!D233,1*BID!D233)</f>
        <v>100</v>
      </c>
      <c r="E11" s="60">
        <f>IF(K11&gt;0,PR!I231,IF(BID!K233="CHI",BID!L233,0))</f>
        <v>270</v>
      </c>
      <c r="F11" s="61">
        <f t="shared" si="0"/>
        <v>27000</v>
      </c>
      <c r="K11" s="445"/>
    </row>
    <row r="12" spans="1:11" ht="20.25" thickTop="1" thickBot="1" x14ac:dyDescent="0.35">
      <c r="A12" s="430">
        <f>BID!A252</f>
        <v>226</v>
      </c>
      <c r="B12" s="15" t="str">
        <f>BID!B252</f>
        <v>CEFPODOXIME SUSPENSION  (100ML)</v>
      </c>
      <c r="C12" s="15" t="str">
        <f>BID!C252</f>
        <v>BOTT</v>
      </c>
      <c r="D12" s="15">
        <f>IF(K12&gt;0,(K12/100)*BID!D252,1*BID!D252)</f>
        <v>200</v>
      </c>
      <c r="E12" s="60">
        <f>IF(K12&gt;0,PR!I250,IF(BID!K252="CHI",BID!L252,0))</f>
        <v>2200</v>
      </c>
      <c r="F12" s="61">
        <f t="shared" si="0"/>
        <v>440000</v>
      </c>
      <c r="K12" s="445"/>
    </row>
    <row r="13" spans="1:11" ht="20.25" thickTop="1" thickBot="1" x14ac:dyDescent="0.35">
      <c r="A13" s="430">
        <f>BID!A258</f>
        <v>232</v>
      </c>
      <c r="B13" s="15" t="str">
        <f>BID!B258</f>
        <v>CEFUROXIME 750MG INJ</v>
      </c>
      <c r="C13" s="15" t="str">
        <f>BID!C258</f>
        <v>VIAL</v>
      </c>
      <c r="D13" s="15">
        <f>IF(K13&gt;0,(K13/100)*BID!D258,1*BID!D258)</f>
        <v>4000</v>
      </c>
      <c r="E13" s="60">
        <f>IF(K13&gt;0,PR!I256,IF(BID!K258="CHI",BID!L258,0))</f>
        <v>366</v>
      </c>
      <c r="F13" s="61">
        <f t="shared" si="0"/>
        <v>1464000</v>
      </c>
      <c r="K13" s="445">
        <v>40</v>
      </c>
    </row>
    <row r="14" spans="1:11" ht="20.25" thickTop="1" thickBot="1" x14ac:dyDescent="0.35">
      <c r="A14" s="430">
        <f>BID!A475</f>
        <v>427</v>
      </c>
      <c r="B14" s="15" t="str">
        <f>BID!B475</f>
        <v>DIOSMINE 500MG TAB</v>
      </c>
      <c r="C14" s="15">
        <f>BID!C475</f>
        <v>30</v>
      </c>
      <c r="D14" s="15">
        <f>IF(K14&gt;0,(K14/100)*BID!D475,1*BID!D475)</f>
        <v>20</v>
      </c>
      <c r="E14" s="60">
        <f>IF(K14&gt;0,PR!I473,IF(BID!K475="CHI",BID!L475,0))</f>
        <v>2990</v>
      </c>
      <c r="F14" s="61">
        <f t="shared" si="0"/>
        <v>59800</v>
      </c>
      <c r="K14" s="445"/>
    </row>
    <row r="15" spans="1:11" ht="20.25" thickTop="1" thickBot="1" x14ac:dyDescent="0.35">
      <c r="A15" s="430">
        <f>BID!A84</f>
        <v>66</v>
      </c>
      <c r="B15" s="15" t="str">
        <f>BID!B84</f>
        <v>INDAPAMIDE 1.5MG</v>
      </c>
      <c r="C15" s="15">
        <f>BID!C84</f>
        <v>30</v>
      </c>
      <c r="D15" s="15">
        <f>IF(K15&gt;0,(K15/100)*BID!D84,1*BID!D84)</f>
        <v>3000</v>
      </c>
      <c r="E15" s="60">
        <f>IF(K15&gt;0,PR!I82,IF(BID!K84="CHI",BID!L84,0))</f>
        <v>2530</v>
      </c>
      <c r="F15" s="61">
        <f t="shared" si="0"/>
        <v>7590000</v>
      </c>
      <c r="K15" s="445"/>
    </row>
    <row r="16" spans="1:11" ht="20.25" thickTop="1" thickBot="1" x14ac:dyDescent="0.35">
      <c r="A16" s="430">
        <f>BID!A85</f>
        <v>67</v>
      </c>
      <c r="B16" s="15" t="str">
        <f>BID!B85</f>
        <v>INDAPAMIDE/AMLODIPINE 1.5/10MG</v>
      </c>
      <c r="C16" s="15">
        <f>BID!C85</f>
        <v>30</v>
      </c>
      <c r="D16" s="15">
        <f>IF(K16&gt;0,(K16/100)*BID!D85,1*BID!D85)</f>
        <v>5200</v>
      </c>
      <c r="E16" s="60">
        <f>IF(K16&gt;0,PR!I83,IF(BID!K85="CHI",BID!L85,0))</f>
        <v>3335</v>
      </c>
      <c r="F16" s="61">
        <f t="shared" si="0"/>
        <v>17342000</v>
      </c>
      <c r="K16" s="445"/>
    </row>
    <row r="17" spans="1:11" ht="20.25" thickTop="1" thickBot="1" x14ac:dyDescent="0.35">
      <c r="A17" s="430">
        <f>BID!A86</f>
        <v>68</v>
      </c>
      <c r="B17" s="15" t="str">
        <f>BID!B86</f>
        <v>INDAPAMIDE/AMLODIPINE 1.5/5MG</v>
      </c>
      <c r="C17" s="15">
        <f>BID!C86</f>
        <v>30</v>
      </c>
      <c r="D17" s="15">
        <f>IF(K17&gt;0,(K17/100)*BID!D86,1*BID!D86)</f>
        <v>4000</v>
      </c>
      <c r="E17" s="60">
        <f>IF(K17&gt;0,PR!I84,IF(BID!K86="CHI",BID!L86,0))</f>
        <v>3335</v>
      </c>
      <c r="F17" s="61">
        <f t="shared" si="0"/>
        <v>13340000</v>
      </c>
      <c r="K17" s="445"/>
    </row>
    <row r="18" spans="1:11" ht="20.25" thickTop="1" thickBot="1" x14ac:dyDescent="0.35">
      <c r="A18" s="430">
        <f>BID!A149</f>
        <v>129</v>
      </c>
      <c r="B18" s="15" t="str">
        <f>BID!B149</f>
        <v>INSULIN GLARGIN</v>
      </c>
      <c r="C18" s="15">
        <f>BID!C149</f>
        <v>5</v>
      </c>
      <c r="D18" s="15">
        <f>IF(K18&gt;0,(K18/100)*BID!D149,1*BID!D149)</f>
        <v>25</v>
      </c>
      <c r="E18" s="60">
        <f>IF(K18&gt;0,PR!I147,IF(BID!K149="CHI",BID!L149,0))</f>
        <v>14600</v>
      </c>
      <c r="F18" s="61">
        <f t="shared" si="0"/>
        <v>365000</v>
      </c>
      <c r="K18" s="445">
        <v>50</v>
      </c>
    </row>
    <row r="19" spans="1:11" ht="20.25" thickTop="1" thickBot="1" x14ac:dyDescent="0.35">
      <c r="A19" s="430">
        <f>BID!A87</f>
        <v>69</v>
      </c>
      <c r="B19" s="15" t="str">
        <f>BID!B87</f>
        <v>IRBESARTAN 150MG TAB</v>
      </c>
      <c r="C19" s="15">
        <f>BID!C87</f>
        <v>30</v>
      </c>
      <c r="D19" s="15">
        <f>IF(K19&gt;0,(K19/100)*BID!D87,1*BID!D87)</f>
        <v>50</v>
      </c>
      <c r="E19" s="60">
        <f>IF(K19&gt;0,PR!I85,IF(BID!K87="CHI",BID!L87,0))</f>
        <v>3000</v>
      </c>
      <c r="F19" s="61">
        <f t="shared" si="0"/>
        <v>150000</v>
      </c>
      <c r="K19" s="445"/>
    </row>
    <row r="20" spans="1:11" ht="20.25" thickTop="1" thickBot="1" x14ac:dyDescent="0.35">
      <c r="A20" s="430">
        <f>BID!A88</f>
        <v>70</v>
      </c>
      <c r="B20" s="15" t="str">
        <f>BID!B88</f>
        <v>IRBESARTAN 300MG TAB</v>
      </c>
      <c r="C20" s="15">
        <f>BID!C88</f>
        <v>30</v>
      </c>
      <c r="D20" s="15">
        <f>IF(K20&gt;0,(K20/100)*BID!D88,1*BID!D88)</f>
        <v>50</v>
      </c>
      <c r="E20" s="60">
        <f>IF(K20&gt;0,PR!I86,IF(BID!K88="CHI",BID!L88,0))</f>
        <v>3850</v>
      </c>
      <c r="F20" s="61">
        <f t="shared" si="0"/>
        <v>192500</v>
      </c>
      <c r="K20" s="445"/>
    </row>
    <row r="21" spans="1:11" ht="20.25" thickTop="1" thickBot="1" x14ac:dyDescent="0.35">
      <c r="A21" s="430">
        <f>BID!A89</f>
        <v>71</v>
      </c>
      <c r="B21" s="15" t="str">
        <f>BID!B89</f>
        <v>IRBESARTAN 300MG/HCT 12.5MG</v>
      </c>
      <c r="C21" s="15">
        <f>BID!C89</f>
        <v>30</v>
      </c>
      <c r="D21" s="15">
        <f>IF(K21&gt;0,(K21/100)*BID!D89,1*BID!D89)</f>
        <v>21</v>
      </c>
      <c r="E21" s="60">
        <f>IF(K21&gt;0,PR!I87,IF(BID!K89="CHI",BID!L89,0))</f>
        <v>4054</v>
      </c>
      <c r="F21" s="61">
        <f t="shared" si="0"/>
        <v>85134</v>
      </c>
      <c r="K21" s="445"/>
    </row>
    <row r="22" spans="1:11" ht="20.25" thickTop="1" thickBot="1" x14ac:dyDescent="0.35">
      <c r="A22" s="430">
        <f>BID!A287</f>
        <v>261</v>
      </c>
      <c r="B22" s="15" t="str">
        <f>BID!B287</f>
        <v>LEVOFLOXACIN 500MG TAB</v>
      </c>
      <c r="C22" s="15">
        <f>BID!C287</f>
        <v>10</v>
      </c>
      <c r="D22" s="15">
        <f>IF(K22&gt;0,(K22/100)*BID!D287,1*BID!D287)</f>
        <v>72</v>
      </c>
      <c r="E22" s="60">
        <f>IF(K22&gt;0,PR!I285,IF(BID!K287="CHI",BID!L287,0))</f>
        <v>3500</v>
      </c>
      <c r="F22" s="61">
        <f t="shared" si="0"/>
        <v>252000</v>
      </c>
      <c r="K22" s="445">
        <v>20</v>
      </c>
    </row>
    <row r="23" spans="1:11" ht="20.25" thickTop="1" thickBot="1" x14ac:dyDescent="0.35">
      <c r="A23" s="430">
        <f>BID!A288</f>
        <v>262</v>
      </c>
      <c r="B23" s="15" t="str">
        <f>BID!B288</f>
        <v>LEVOFLOXACIN IV</v>
      </c>
      <c r="C23" s="15" t="str">
        <f>BID!C288</f>
        <v>BOTT</v>
      </c>
      <c r="D23" s="15">
        <f>IF(K23&gt;0,(K23/100)*BID!D288,1*BID!D288)</f>
        <v>100</v>
      </c>
      <c r="E23" s="60">
        <f>IF(K23&gt;0,PR!I286,IF(BID!K288="CHI",BID!L288,0))</f>
        <v>2974</v>
      </c>
      <c r="F23" s="61">
        <f t="shared" si="0"/>
        <v>297400</v>
      </c>
      <c r="K23" s="445">
        <v>10</v>
      </c>
    </row>
    <row r="24" spans="1:11" ht="20.25" thickTop="1" thickBot="1" x14ac:dyDescent="0.35">
      <c r="A24" s="430">
        <f>BID!A107</f>
        <v>89</v>
      </c>
      <c r="B24" s="15" t="str">
        <f>BID!B107</f>
        <v>PERINDOPRIL 10MG TAB</v>
      </c>
      <c r="C24" s="15">
        <f>BID!C107</f>
        <v>30</v>
      </c>
      <c r="D24" s="15">
        <f>IF(K24&gt;0,(K24/100)*BID!D107,1*BID!D107)</f>
        <v>10</v>
      </c>
      <c r="E24" s="60">
        <f>IF(K24&gt;0,PR!I105,IF(BID!K107="CHI",BID!L107,0))</f>
        <v>6658</v>
      </c>
      <c r="F24" s="61">
        <f t="shared" si="0"/>
        <v>66580</v>
      </c>
      <c r="K24" s="445"/>
    </row>
    <row r="25" spans="1:11" ht="20.25" thickTop="1" thickBot="1" x14ac:dyDescent="0.35">
      <c r="A25" s="430">
        <f>BID!A108</f>
        <v>90</v>
      </c>
      <c r="B25" s="15" t="str">
        <f>BID!B108</f>
        <v>PERINDOPRIL 5MG TAB</v>
      </c>
      <c r="C25" s="15">
        <f>BID!C108</f>
        <v>30</v>
      </c>
      <c r="D25" s="15">
        <f>IF(K25&gt;0,(K25/100)*BID!D108,1*BID!D108)</f>
        <v>10</v>
      </c>
      <c r="E25" s="60">
        <f>IF(K25&gt;0,PR!I106,IF(BID!K108="CHI",BID!L108,0))</f>
        <v>4991</v>
      </c>
      <c r="F25" s="61">
        <f t="shared" si="0"/>
        <v>49910</v>
      </c>
      <c r="K25" s="445"/>
    </row>
    <row r="26" spans="1:11" ht="20.25" thickTop="1" thickBot="1" x14ac:dyDescent="0.35">
      <c r="A26" s="430">
        <f>BID!A109</f>
        <v>91</v>
      </c>
      <c r="B26" s="15" t="str">
        <f>BID!B109</f>
        <v>PERINDOPRIL/AMLODIPINE 10/5MG</v>
      </c>
      <c r="C26" s="15">
        <f>BID!C109</f>
        <v>30</v>
      </c>
      <c r="D26" s="15">
        <f>IF(K26&gt;0,(K26/100)*BID!D109,1*BID!D109)</f>
        <v>10</v>
      </c>
      <c r="E26" s="60">
        <f>IF(K26&gt;0,PR!I107,IF(BID!K109="CHI",BID!L109,0))</f>
        <v>6900</v>
      </c>
      <c r="F26" s="61">
        <f t="shared" si="0"/>
        <v>69000</v>
      </c>
      <c r="K26" s="445"/>
    </row>
    <row r="27" spans="1:11" ht="20.25" thickTop="1" thickBot="1" x14ac:dyDescent="0.35">
      <c r="A27" s="430">
        <f>BID!A110</f>
        <v>92</v>
      </c>
      <c r="B27" s="15" t="str">
        <f>BID!B110</f>
        <v>PERINDOPRIL/AMLODIPINE 5/5MG</v>
      </c>
      <c r="C27" s="15">
        <f>BID!C110</f>
        <v>30</v>
      </c>
      <c r="D27" s="15">
        <f>IF(K27&gt;0,(K27/100)*BID!D110,1*BID!D110)</f>
        <v>10</v>
      </c>
      <c r="E27" s="60">
        <f>IF(K27&gt;0,PR!I108,IF(BID!K110="CHI",BID!L110,0))</f>
        <v>6900</v>
      </c>
      <c r="F27" s="61">
        <f t="shared" si="0"/>
        <v>69000</v>
      </c>
      <c r="K27" s="445"/>
    </row>
    <row r="28" spans="1:11" ht="20.25" thickTop="1" thickBot="1" x14ac:dyDescent="0.35">
      <c r="A28" s="430">
        <f>BID!A111</f>
        <v>93</v>
      </c>
      <c r="B28" s="15" t="str">
        <f>BID!B111</f>
        <v>PERINDOPRIL/AMLODIPINE/INDAPAMIDE 10/10/2.5MG</v>
      </c>
      <c r="C28" s="15">
        <f>BID!C111</f>
        <v>30</v>
      </c>
      <c r="D28" s="15">
        <f>IF(K28&gt;0,(K28/100)*BID!D111,1*BID!D111)</f>
        <v>12</v>
      </c>
      <c r="E28" s="60">
        <f>IF(K28&gt;0,PR!I109,IF(BID!K111="CHI",BID!L111,0))</f>
        <v>7475</v>
      </c>
      <c r="F28" s="61">
        <f t="shared" si="0"/>
        <v>89700</v>
      </c>
      <c r="K28" s="445"/>
    </row>
    <row r="29" spans="1:11" ht="20.25" thickTop="1" thickBot="1" x14ac:dyDescent="0.35">
      <c r="A29" s="430">
        <f>BID!A112</f>
        <v>94</v>
      </c>
      <c r="B29" s="15" t="str">
        <f>BID!B112</f>
        <v>PERINDOPRIL/AMLODIPINE/INDAPAMIDE 10/5/2.5MG</v>
      </c>
      <c r="C29" s="15">
        <f>BID!C112</f>
        <v>30</v>
      </c>
      <c r="D29" s="15">
        <f>IF(K29&gt;0,(K29/100)*BID!D112,1*BID!D112)</f>
        <v>12</v>
      </c>
      <c r="E29" s="60">
        <f>IF(K29&gt;0,PR!I110,IF(BID!K112="CHI",BID!L112,0))</f>
        <v>7475</v>
      </c>
      <c r="F29" s="61">
        <f t="shared" si="0"/>
        <v>89700</v>
      </c>
      <c r="K29" s="445"/>
    </row>
    <row r="30" spans="1:11" ht="19.5" thickTop="1" x14ac:dyDescent="0.3">
      <c r="A30" s="430"/>
      <c r="B30" s="15"/>
      <c r="C30" s="15"/>
      <c r="D30" s="15"/>
      <c r="E30" s="60"/>
      <c r="F30" s="61"/>
    </row>
    <row r="31" spans="1:11" ht="19.5" thickBot="1" x14ac:dyDescent="0.35">
      <c r="A31" s="430"/>
      <c r="B31" s="15"/>
      <c r="C31" s="15"/>
      <c r="D31" s="15"/>
      <c r="E31" s="60"/>
      <c r="F31" s="442"/>
    </row>
    <row r="32" spans="1:11" ht="21.75" thickBot="1" x14ac:dyDescent="0.4">
      <c r="A32" s="430"/>
      <c r="B32" s="15"/>
      <c r="C32" s="15"/>
      <c r="D32" s="15"/>
      <c r="E32" s="441"/>
      <c r="F32" s="443">
        <f>SUM(F6:F29)</f>
        <v>55978724</v>
      </c>
    </row>
  </sheetData>
  <protectedRanges>
    <protectedRange sqref="K4:K29" name="Range1"/>
  </protectedRanges>
  <sortState ref="A6:K29">
    <sortCondition ref="B6:B29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43208-F9BE-4F0C-B850-E58B1827FDFE}">
  <sheetPr>
    <tabColor rgb="FF00B050"/>
  </sheetPr>
  <dimension ref="A1:K19"/>
  <sheetViews>
    <sheetView view="pageBreakPreview" zoomScale="80" zoomScaleNormal="100" zoomScaleSheetLayoutView="80" workbookViewId="0">
      <selection activeCell="B14" sqref="B14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N!B9</f>
        <v>CLARION MEDICALS LIMITED</v>
      </c>
      <c r="C1" s="816"/>
      <c r="D1" s="816"/>
      <c r="E1" s="816"/>
      <c r="F1" s="816"/>
      <c r="K1" t="s">
        <v>824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s="8" customFormat="1" ht="24.75" thickTop="1" thickBot="1" x14ac:dyDescent="0.3">
      <c r="A6" s="430"/>
      <c r="B6" s="650"/>
      <c r="C6" s="651"/>
      <c r="D6" s="651"/>
      <c r="E6" s="651"/>
      <c r="F6" s="652"/>
      <c r="K6" s="444"/>
    </row>
    <row r="7" spans="1:11" ht="20.25" thickTop="1" thickBot="1" x14ac:dyDescent="0.35">
      <c r="A7" s="430">
        <f>BID!A226</f>
        <v>200</v>
      </c>
      <c r="B7" s="15" t="str">
        <f>BID!B226</f>
        <v>AMOXICILLIN 500MG CAP</v>
      </c>
      <c r="C7" s="15">
        <f>BID!C226</f>
        <v>100</v>
      </c>
      <c r="D7" s="15">
        <f>IF(K7&gt;0,(K7/100)*BID!D226,1*BID!D226)</f>
        <v>1120</v>
      </c>
      <c r="E7" s="60">
        <f>IF(K7&gt;0,PR!J224,IF(BID!K226="CLARION",BID!L226,0))</f>
        <v>850</v>
      </c>
      <c r="F7" s="61">
        <f t="shared" ref="F7:F16" si="0">IF(E7&gt;0,(E7*D7),0)</f>
        <v>952000</v>
      </c>
      <c r="K7" s="445">
        <v>70</v>
      </c>
    </row>
    <row r="8" spans="1:11" ht="20.25" thickTop="1" thickBot="1" x14ac:dyDescent="0.35">
      <c r="A8" s="430">
        <f>BID!A227</f>
        <v>201</v>
      </c>
      <c r="B8" s="15" t="str">
        <f>BID!B227</f>
        <v>AMOXICILLIN 500MG INJ</v>
      </c>
      <c r="C8" s="15" t="str">
        <f>BID!C227</f>
        <v>VIAL</v>
      </c>
      <c r="D8" s="15">
        <f>IF(K8&gt;0,(K8/100)*BID!D227,1*BID!D227)</f>
        <v>500</v>
      </c>
      <c r="E8" s="60">
        <f>IF(K8&gt;0,PR!J225,IF(BID!K227="CLARION",BID!L227,0))</f>
        <v>180</v>
      </c>
      <c r="F8" s="61">
        <f t="shared" si="0"/>
        <v>90000</v>
      </c>
      <c r="K8" s="445"/>
    </row>
    <row r="9" spans="1:11" ht="20.25" thickTop="1" thickBot="1" x14ac:dyDescent="0.35">
      <c r="A9" s="430">
        <f>BID!A228</f>
        <v>202</v>
      </c>
      <c r="B9" s="15" t="str">
        <f>BID!B228</f>
        <v>AMOXICILLIN/CLAVULANIC ACID  228MG/5ML</v>
      </c>
      <c r="C9" s="15" t="str">
        <f>BID!C228</f>
        <v>BOTT</v>
      </c>
      <c r="D9" s="15">
        <f>IF(K9&gt;0,(K9/100)*BID!D228,1*BID!D228)</f>
        <v>400</v>
      </c>
      <c r="E9" s="60">
        <f>IF(K9&gt;0,PR!J226,IF(BID!K228="CLARION",BID!L228,0))</f>
        <v>450</v>
      </c>
      <c r="F9" s="61">
        <f t="shared" si="0"/>
        <v>180000</v>
      </c>
      <c r="K9" s="445">
        <v>40</v>
      </c>
    </row>
    <row r="10" spans="1:11" ht="20.25" thickTop="1" thickBot="1" x14ac:dyDescent="0.35">
      <c r="A10" s="430">
        <f>BID!A231</f>
        <v>205</v>
      </c>
      <c r="B10" s="15" t="str">
        <f>BID!B231</f>
        <v>AMOXICILLIN/CLAVULANIC ACID 1G TAB</v>
      </c>
      <c r="C10" s="15">
        <f>BID!C231</f>
        <v>14</v>
      </c>
      <c r="D10" s="15">
        <f>IF(K10&gt;0,(K10/100)*BID!D231,1*BID!D231)</f>
        <v>1200</v>
      </c>
      <c r="E10" s="60">
        <f>IF(K10&gt;0,PR!J229,IF(BID!K231="CLARION",BID!L231,0))</f>
        <v>800</v>
      </c>
      <c r="F10" s="61">
        <f t="shared" si="0"/>
        <v>960000</v>
      </c>
      <c r="K10" s="445">
        <v>20</v>
      </c>
    </row>
    <row r="11" spans="1:11" ht="20.25" thickTop="1" thickBot="1" x14ac:dyDescent="0.35">
      <c r="A11" s="430">
        <f>BID!A234</f>
        <v>208</v>
      </c>
      <c r="B11" s="15" t="str">
        <f>BID!B234</f>
        <v>AMOXICILLIN/CLAVULANIC ACID 625MG TAB</v>
      </c>
      <c r="C11" s="15">
        <f>BID!C234</f>
        <v>15</v>
      </c>
      <c r="D11" s="15">
        <f>IF(K11&gt;0,(K11/100)*BID!D234,1*BID!D234)</f>
        <v>800</v>
      </c>
      <c r="E11" s="60">
        <f>IF(K11&gt;0,PR!J232,IF(BID!K234="CLARION",BID!L234,0))</f>
        <v>700</v>
      </c>
      <c r="F11" s="61">
        <f t="shared" si="0"/>
        <v>560000</v>
      </c>
      <c r="K11" s="445">
        <v>20</v>
      </c>
    </row>
    <row r="12" spans="1:11" ht="20.25" thickTop="1" thickBot="1" x14ac:dyDescent="0.35">
      <c r="A12" s="430">
        <f>BID!A15</f>
        <v>3</v>
      </c>
      <c r="B12" s="15" t="str">
        <f>BID!B15</f>
        <v>ARTEMETHER/LUMEFANTRINE (20/120) SYR</v>
      </c>
      <c r="C12" s="15" t="str">
        <f>BID!C15</f>
        <v>BOTT</v>
      </c>
      <c r="D12" s="15">
        <f>IF(K12&gt;0,(K12/100)*BID!D15,1*BID!D15)</f>
        <v>200</v>
      </c>
      <c r="E12" s="60">
        <f>IF(K12&gt;0,PR!J13,IF(BID!K15="CLARION",BID!L15,0))</f>
        <v>260</v>
      </c>
      <c r="F12" s="61">
        <f t="shared" si="0"/>
        <v>52000</v>
      </c>
      <c r="K12" s="445">
        <v>50</v>
      </c>
    </row>
    <row r="13" spans="1:11" ht="20.25" thickTop="1" thickBot="1" x14ac:dyDescent="0.35">
      <c r="A13" s="430">
        <f>BID!A20</f>
        <v>8</v>
      </c>
      <c r="B13" s="15" t="str">
        <f>BID!B20</f>
        <v>ARTEMETHER/LUMEFANTRINE (80/480) TAB</v>
      </c>
      <c r="C13" s="15">
        <f>BID!C20</f>
        <v>6</v>
      </c>
      <c r="D13" s="15">
        <f>IF(K13&gt;0,(K13/100)*BID!D20,1*BID!D20)</f>
        <v>1000</v>
      </c>
      <c r="E13" s="60">
        <f>IF(K13&gt;0,PR!J18,IF(BID!K20="CLARION",BID!L20,0))</f>
        <v>260</v>
      </c>
      <c r="F13" s="61">
        <f t="shared" si="0"/>
        <v>260000</v>
      </c>
      <c r="K13" s="445">
        <v>25</v>
      </c>
    </row>
    <row r="14" spans="1:11" ht="20.25" thickTop="1" thickBot="1" x14ac:dyDescent="0.35">
      <c r="A14" s="430">
        <f>BID!A204</f>
        <v>181</v>
      </c>
      <c r="B14" s="15" t="str">
        <f>BID!B204</f>
        <v>PARACETAMOL 500MG TAB</v>
      </c>
      <c r="C14" s="15">
        <f>BID!C204</f>
        <v>96</v>
      </c>
      <c r="D14" s="15">
        <f>IF(K14&gt;0,(K14/100)*BID!D204,1*BID!D204)</f>
        <v>1800</v>
      </c>
      <c r="E14" s="60">
        <f>IF(K14&gt;0,PR!J202,IF(BID!K204="CLARION",BID!L204,0))</f>
        <v>180</v>
      </c>
      <c r="F14" s="61">
        <f t="shared" si="0"/>
        <v>324000</v>
      </c>
      <c r="K14" s="445">
        <v>30</v>
      </c>
    </row>
    <row r="15" spans="1:11" ht="20.25" thickTop="1" thickBot="1" x14ac:dyDescent="0.35">
      <c r="A15" s="664">
        <f>BID!A128</f>
        <v>110</v>
      </c>
      <c r="B15" s="15" t="str">
        <f>BID!B128</f>
        <v>TELMISARTAN/HYDROCHLOROTHIAZIDE 80/12.5 TAB</v>
      </c>
      <c r="C15" s="15">
        <v>30</v>
      </c>
      <c r="D15" s="15">
        <f>IF(K15&gt;0,(K15/100)*BID!D128,1*BID!D128)</f>
        <v>10</v>
      </c>
      <c r="E15" s="60">
        <v>2000</v>
      </c>
      <c r="F15" s="61">
        <f t="shared" si="0"/>
        <v>20000</v>
      </c>
      <c r="K15" s="445"/>
    </row>
    <row r="16" spans="1:11" ht="20.25" thickTop="1" thickBot="1" x14ac:dyDescent="0.35">
      <c r="A16" s="430">
        <f>BID!A243</f>
        <v>217</v>
      </c>
      <c r="B16" s="15" t="str">
        <f>BID!B243</f>
        <v>VAZEL KIT</v>
      </c>
      <c r="C16" s="15">
        <f>BID!C243</f>
        <v>3</v>
      </c>
      <c r="D16" s="15">
        <f>IF(K16&gt;0,(K16/100)*BID!D243,1*BID!D243)</f>
        <v>52</v>
      </c>
      <c r="E16" s="60">
        <f>IF(K16&gt;0,PR!J241,IF(BID!K243="CLARION",BID!L243,0))</f>
        <v>650</v>
      </c>
      <c r="F16" s="61">
        <f t="shared" si="0"/>
        <v>33800</v>
      </c>
      <c r="K16" s="445"/>
    </row>
    <row r="17" spans="1:6" ht="19.5" thickTop="1" x14ac:dyDescent="0.3">
      <c r="A17" s="430"/>
      <c r="B17" s="15"/>
      <c r="C17" s="15"/>
      <c r="D17" s="15"/>
      <c r="E17" s="60"/>
      <c r="F17" s="61"/>
    </row>
    <row r="18" spans="1:6" ht="19.5" thickBot="1" x14ac:dyDescent="0.35">
      <c r="A18" s="430"/>
      <c r="B18" s="15"/>
      <c r="C18" s="15"/>
      <c r="D18" s="15"/>
      <c r="E18" s="60"/>
      <c r="F18" s="442"/>
    </row>
    <row r="19" spans="1:6" ht="21.75" thickBot="1" x14ac:dyDescent="0.4">
      <c r="A19" s="430"/>
      <c r="B19" s="15"/>
      <c r="C19" s="15"/>
      <c r="D19" s="15"/>
      <c r="E19" s="441"/>
      <c r="F19" s="443">
        <f>SUM(F7:F16)</f>
        <v>3431800</v>
      </c>
    </row>
  </sheetData>
  <sheetProtection algorithmName="SHA-512" hashValue="S5fAasC0/61v5aWSQNqgsihU0ulwyATdS8XJ3W+k++hl4RP3zEJTAlUTRnpbkEZoKgU3a28VCd4TO+SdFA3CZQ==" saltValue="LAEe8ghjW+n3lHvAvanJEw==" spinCount="100000" sheet="1" objects="1" scenarios="1"/>
  <protectedRanges>
    <protectedRange sqref="K4:K16" name="Range1"/>
  </protectedRanges>
  <sortState ref="A7:K16">
    <sortCondition ref="B7:B16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45CB4-12CA-4A22-9150-5523C76632F1}">
  <sheetPr>
    <tabColor rgb="FF00B0F0"/>
  </sheetPr>
  <dimension ref="A1:K20"/>
  <sheetViews>
    <sheetView view="pageBreakPreview" zoomScale="80" zoomScaleNormal="100" zoomScaleSheetLayoutView="80" workbookViewId="0">
      <selection activeCell="B13" sqref="B13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N!B10</f>
        <v>CODIX PHARMACEUTICALS LIMITED</v>
      </c>
      <c r="C1" s="816"/>
      <c r="D1" s="816"/>
      <c r="E1" s="816"/>
      <c r="F1" s="816"/>
      <c r="K1" t="s">
        <v>617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2155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BID!A57</f>
        <v>39</v>
      </c>
      <c r="B6" s="15" t="str">
        <f>BID!B57</f>
        <v>AMLODIPINE 5MG TAB</v>
      </c>
      <c r="C6" s="15">
        <f>BID!C57</f>
        <v>28</v>
      </c>
      <c r="D6" s="15">
        <f>IF(K6&gt;0,(K6/100)*BID!D57,1*BID!D57)</f>
        <v>2500</v>
      </c>
      <c r="E6" s="60">
        <f>IF(K6&gt;0,PR!K55,IF(BID!K57="CODIX",BID!L57,0))</f>
        <v>180</v>
      </c>
      <c r="F6" s="61">
        <f t="shared" ref="F6:F8" si="0">IF(E6&gt;0,(E6*D6),0)</f>
        <v>450000</v>
      </c>
      <c r="K6" s="445">
        <v>25</v>
      </c>
    </row>
    <row r="7" spans="1:11" ht="20.25" thickTop="1" thickBot="1" x14ac:dyDescent="0.35">
      <c r="A7" s="664">
        <f>BID!A66</f>
        <v>48</v>
      </c>
      <c r="B7" s="15" t="str">
        <f>BID!B66</f>
        <v>ATORVASTATIN 10MG</v>
      </c>
      <c r="C7" s="15">
        <v>28</v>
      </c>
      <c r="D7" s="15">
        <f>IF(K7&gt;0,(K7/100)*BID!D66,1*BID!D66)</f>
        <v>1500</v>
      </c>
      <c r="E7" s="60">
        <v>330</v>
      </c>
      <c r="F7" s="61">
        <f t="shared" si="0"/>
        <v>495000</v>
      </c>
      <c r="K7" s="445">
        <v>50</v>
      </c>
    </row>
    <row r="8" spans="1:11" ht="20.25" thickTop="1" thickBot="1" x14ac:dyDescent="0.35">
      <c r="A8" s="664">
        <f>BID!A67</f>
        <v>49</v>
      </c>
      <c r="B8" s="15" t="str">
        <f>BID!B67</f>
        <v>ATORVASTATIN 20MG</v>
      </c>
      <c r="C8" s="15">
        <v>28</v>
      </c>
      <c r="D8" s="15">
        <f>IF(K8&gt;0,(K8/100)*BID!D67,1*BID!D67)</f>
        <v>1000</v>
      </c>
      <c r="E8" s="60">
        <v>470</v>
      </c>
      <c r="F8" s="61">
        <f t="shared" si="0"/>
        <v>470000</v>
      </c>
      <c r="K8" s="445">
        <v>50</v>
      </c>
    </row>
    <row r="9" spans="1:11" ht="20.25" thickTop="1" thickBot="1" x14ac:dyDescent="0.35">
      <c r="A9" s="430">
        <f>BID!A80</f>
        <v>62</v>
      </c>
      <c r="B9" s="15" t="str">
        <f>BID!B80</f>
        <v>FRUSEMIDE 40MG TAB</v>
      </c>
      <c r="C9" s="15">
        <f>BID!C80</f>
        <v>100</v>
      </c>
      <c r="D9" s="15">
        <f>IF(K9&gt;0,(K9/100)*BID!D80,1*BID!D80)</f>
        <v>500</v>
      </c>
      <c r="E9" s="60">
        <f>IF(K9&gt;0,PR!K78,IF(BID!K80="CODIX",BID!L80,0))</f>
        <v>320</v>
      </c>
      <c r="F9" s="61">
        <f t="shared" ref="F9:F10" si="1">IF(E9&gt;0,(E9*D9),0)</f>
        <v>160000</v>
      </c>
      <c r="K9" s="445"/>
    </row>
    <row r="10" spans="1:11" ht="20.25" thickTop="1" thickBot="1" x14ac:dyDescent="0.35">
      <c r="A10" s="430">
        <f>BID!A115</f>
        <v>97</v>
      </c>
      <c r="B10" s="15" t="str">
        <f>BID!B115</f>
        <v>RAMIPRIL 5MG TAB</v>
      </c>
      <c r="C10" s="15">
        <f>BID!C115</f>
        <v>30</v>
      </c>
      <c r="D10" s="15">
        <f>IF(K10&gt;0,(K10/100)*BID!D115,1*BID!D115)</f>
        <v>520</v>
      </c>
      <c r="E10" s="60">
        <f>IF(K10&gt;0,PR!K113,IF(BID!K115="CODIX",BID!L115,0))</f>
        <v>600</v>
      </c>
      <c r="F10" s="61">
        <f t="shared" si="1"/>
        <v>312000</v>
      </c>
      <c r="K10" s="445">
        <v>20</v>
      </c>
    </row>
    <row r="11" spans="1:11" ht="20.25" thickTop="1" thickBot="1" x14ac:dyDescent="0.35">
      <c r="A11" s="430"/>
      <c r="B11" s="15"/>
      <c r="C11" s="15"/>
      <c r="D11" s="15"/>
      <c r="E11" s="60"/>
      <c r="F11" s="61"/>
      <c r="K11" s="445"/>
    </row>
    <row r="12" spans="1:11" ht="24.75" thickTop="1" thickBot="1" x14ac:dyDescent="0.3">
      <c r="A12" s="430"/>
      <c r="B12" s="820" t="s">
        <v>1868</v>
      </c>
      <c r="C12" s="821"/>
      <c r="D12" s="821"/>
      <c r="E12" s="821"/>
      <c r="F12" s="822"/>
      <c r="K12" s="445"/>
    </row>
    <row r="13" spans="1:11" ht="20.25" thickTop="1" thickBot="1" x14ac:dyDescent="0.35">
      <c r="A13" s="430">
        <f>BID!A1123</f>
        <v>1008</v>
      </c>
      <c r="B13" s="15" t="str">
        <f>BID!B1123</f>
        <v>GLYCOSYLATED HAEMOGLOBIN (HbA1c) (COVER A1c CARTRIDGES)</v>
      </c>
      <c r="C13" s="15" t="str">
        <f>BID!C1123</f>
        <v>1*10</v>
      </c>
      <c r="D13" s="15">
        <f>IF(K13&gt;0,(K13/100)*BID!D1123,1*BID!D1123)</f>
        <v>72</v>
      </c>
      <c r="E13" s="60">
        <f>IF(K13&gt;0,PR!K1121,IF(BID!K1123="CODIX",BID!L1123,0))</f>
        <v>19200</v>
      </c>
      <c r="F13" s="61">
        <f>IF(E13&gt;0,(E13*D13),0)</f>
        <v>1382400</v>
      </c>
      <c r="K13" s="445"/>
    </row>
    <row r="14" spans="1:11" ht="20.25" thickTop="1" thickBot="1" x14ac:dyDescent="0.35">
      <c r="A14" s="430">
        <f>BID!A1116</f>
        <v>1001</v>
      </c>
      <c r="B14" s="15" t="str">
        <f>BID!B1116</f>
        <v>PROSTRATE SPECIFIC ANTIGEN (PSA) (SELEX ONCATRIDGE)</v>
      </c>
      <c r="C14" s="15" t="str">
        <f>BID!C1116</f>
        <v>1*20</v>
      </c>
      <c r="D14" s="15">
        <f>IF(K14&gt;0,(K14/100)*BID!D1116,1*BID!D1116)</f>
        <v>36</v>
      </c>
      <c r="E14" s="60">
        <f>IF(K14&gt;0,PR!K1114,IF(BID!K1116="CODIX",BID!L1116,0))</f>
        <v>23040</v>
      </c>
      <c r="F14" s="61">
        <f>IF(E14&gt;0,(E14*D14),0)</f>
        <v>829440</v>
      </c>
      <c r="K14" s="445"/>
    </row>
    <row r="15" spans="1:11" ht="20.25" thickTop="1" thickBot="1" x14ac:dyDescent="0.35">
      <c r="A15" s="430">
        <f>BID!A1122</f>
        <v>1007</v>
      </c>
      <c r="B15" s="15" t="str">
        <f>BID!B1122</f>
        <v>TETRA-IODOTHYRONINE/THYROXINE (T4) (SELEXONCARTRIDGE)</v>
      </c>
      <c r="C15" s="15" t="str">
        <f>BID!C1122</f>
        <v>1*20</v>
      </c>
      <c r="D15" s="15">
        <f>IF(K15&gt;0,(K15/100)*BID!D1122,1*BID!D1122)</f>
        <v>15</v>
      </c>
      <c r="E15" s="60">
        <f>IF(K15&gt;0,PR!K1120,IF(BID!K1122="CODIX",BID!L1122,0))</f>
        <v>23040</v>
      </c>
      <c r="F15" s="61">
        <f>IF(E15&gt;0,(E15*D15),0)</f>
        <v>345600</v>
      </c>
      <c r="K15" s="445"/>
    </row>
    <row r="16" spans="1:11" ht="20.25" thickTop="1" thickBot="1" x14ac:dyDescent="0.35">
      <c r="A16" s="430">
        <f>BID!A1121</f>
        <v>1006</v>
      </c>
      <c r="B16" s="15" t="str">
        <f>BID!B1121</f>
        <v>THYROID STIMULATING HORMONE (TSH) SELEXONCARTRIDGE</v>
      </c>
      <c r="C16" s="15" t="str">
        <f>BID!C1121</f>
        <v>1*20</v>
      </c>
      <c r="D16" s="15">
        <f>IF(K16&gt;0,(K16/100)*BID!D1121,1*BID!D1121)</f>
        <v>20</v>
      </c>
      <c r="E16" s="60">
        <f>IF(K16&gt;0,PR!K1119,IF(BID!K1121="CODIX",BID!L1121,0))</f>
        <v>23040</v>
      </c>
      <c r="F16" s="61">
        <f>IF(E16&gt;0,(E16*D16),0)</f>
        <v>460800</v>
      </c>
      <c r="K16" s="445"/>
    </row>
    <row r="17" spans="1:11" ht="20.25" thickTop="1" thickBot="1" x14ac:dyDescent="0.35">
      <c r="A17" s="430">
        <f>BID!A1124</f>
        <v>1009</v>
      </c>
      <c r="B17" s="15" t="str">
        <f>BID!B1124</f>
        <v>TRI-IODOTHYRONINE (T3) (SELEXOCARTRIDGES)</v>
      </c>
      <c r="C17" s="15" t="str">
        <f>BID!C1124</f>
        <v>1*20</v>
      </c>
      <c r="D17" s="15">
        <f>IF(K17&gt;0,(K17/100)*BID!D1124,1*BID!D1124)</f>
        <v>15</v>
      </c>
      <c r="E17" s="60">
        <f>IF(K17&gt;0,PR!K1122,IF(BID!K1124="CODIX",BID!L1124,0))</f>
        <v>23040</v>
      </c>
      <c r="F17" s="61">
        <f>IF(E17&gt;0,(E17*D17),0)</f>
        <v>345600</v>
      </c>
      <c r="K17" s="445"/>
    </row>
    <row r="18" spans="1:11" ht="19.5" thickTop="1" x14ac:dyDescent="0.3">
      <c r="A18" s="430"/>
      <c r="B18" s="15"/>
      <c r="C18" s="15"/>
      <c r="D18" s="15"/>
      <c r="E18" s="60"/>
      <c r="F18" s="61"/>
    </row>
    <row r="19" spans="1:11" ht="19.5" thickBot="1" x14ac:dyDescent="0.35">
      <c r="A19" s="430"/>
      <c r="B19" s="15"/>
      <c r="C19" s="15"/>
      <c r="D19" s="15"/>
      <c r="E19" s="60"/>
      <c r="F19" s="442"/>
    </row>
    <row r="20" spans="1:11" ht="21.75" thickBot="1" x14ac:dyDescent="0.4">
      <c r="A20" s="430"/>
      <c r="B20" s="15"/>
      <c r="C20" s="15"/>
      <c r="D20" s="15"/>
      <c r="E20" s="441"/>
      <c r="F20" s="443">
        <f>SUM(F6:F17)</f>
        <v>5250840</v>
      </c>
    </row>
  </sheetData>
  <sheetProtection algorithmName="SHA-512" hashValue="Ggrb/N3hU89+h49CuHJxFB6ypOYFUHXNSClILEauItSXJdqJK04A3yWe8ioQZjUghBfssyGUoywlwcaCOcsRLA==" saltValue="im4Wk22yBQi1zOyx6plrYg==" spinCount="100000" sheet="1" objects="1" scenarios="1"/>
  <protectedRanges>
    <protectedRange sqref="K4:K17" name="Range1"/>
  </protectedRanges>
  <sortState ref="A13:F17">
    <sortCondition ref="B13:B17"/>
  </sortState>
  <mergeCells count="3">
    <mergeCell ref="B1:F1"/>
    <mergeCell ref="B5:F5"/>
    <mergeCell ref="B12:F12"/>
  </mergeCells>
  <pageMargins left="0.25" right="0.25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6F4BA-3558-4159-AFC5-DF641216F138}">
  <sheetPr>
    <tabColor rgb="FF0070C0"/>
  </sheetPr>
  <dimension ref="A1:K53"/>
  <sheetViews>
    <sheetView view="pageBreakPreview" topLeftCell="A17" zoomScale="80" zoomScaleNormal="100" zoomScaleSheetLayoutView="80" workbookViewId="0">
      <selection activeCell="C40" sqref="C4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30.425781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N!B11</f>
        <v>COSMADE EASY MEDICALS LIMITED</v>
      </c>
      <c r="C1" s="816"/>
      <c r="D1" s="816"/>
      <c r="E1" s="816"/>
      <c r="F1" s="816"/>
      <c r="K1" t="s">
        <v>1452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BID!A639</f>
        <v>575</v>
      </c>
      <c r="B6" s="15" t="str">
        <f>BID!B639</f>
        <v>2CC NEEDLE/SYRINGE</v>
      </c>
      <c r="C6" s="15">
        <f>BID!C639</f>
        <v>100</v>
      </c>
      <c r="D6" s="15">
        <f>IF(K6&gt;0,(K6/100)*BID!D639,1*BID!D639)</f>
        <v>1500</v>
      </c>
      <c r="E6" s="60">
        <f>IF(K6&gt;0,PR!L637,IF(BID!K639="COSMADE",BID!L639,0))</f>
        <v>1200</v>
      </c>
      <c r="F6" s="61">
        <f t="shared" ref="F6:F7" si="0">IF(E6&gt;0,(E6*D6),0)</f>
        <v>1800000</v>
      </c>
      <c r="K6" s="445">
        <v>50</v>
      </c>
    </row>
    <row r="7" spans="1:11" ht="20.25" thickTop="1" thickBot="1" x14ac:dyDescent="0.35">
      <c r="A7" s="430">
        <f>BID!A640</f>
        <v>576</v>
      </c>
      <c r="B7" s="15" t="str">
        <f>BID!B640</f>
        <v xml:space="preserve">5CC NEEDLE/SYRINGE </v>
      </c>
      <c r="C7" s="15">
        <f>BID!C640</f>
        <v>100</v>
      </c>
      <c r="D7" s="15">
        <f>IF(K7&gt;0,(K7/100)*BID!D640,1*BID!D640)</f>
        <v>2000</v>
      </c>
      <c r="E7" s="60">
        <f>IF(K7&gt;0,PR!L638,IF(BID!K640="COSMADE",BID!L640,0))</f>
        <v>1200</v>
      </c>
      <c r="F7" s="61">
        <f t="shared" si="0"/>
        <v>2400000</v>
      </c>
      <c r="K7" s="445">
        <v>50</v>
      </c>
    </row>
    <row r="8" spans="1:11" ht="20.25" thickTop="1" thickBot="1" x14ac:dyDescent="0.35">
      <c r="A8" s="430">
        <f>BID!A658</f>
        <v>594</v>
      </c>
      <c r="B8" s="15" t="str">
        <f>BID!B658</f>
        <v>FOLLEY CATHETER SIZE 10"</v>
      </c>
      <c r="C8" s="15">
        <f>BID!C658</f>
        <v>10</v>
      </c>
      <c r="D8" s="15">
        <f>IF(K8&gt;0,(K8/100)*BID!D658,1*BID!D658)</f>
        <v>8</v>
      </c>
      <c r="E8" s="60">
        <f>IF(K8&gt;0,PR!L656,IF(BID!K658="COSMADE",BID!L658,0))</f>
        <v>1800</v>
      </c>
      <c r="F8" s="61">
        <f t="shared" ref="F8:F16" si="1">IF(E8&gt;0,(E8*D8),0)</f>
        <v>14400</v>
      </c>
      <c r="K8" s="445"/>
    </row>
    <row r="9" spans="1:11" ht="20.25" thickTop="1" thickBot="1" x14ac:dyDescent="0.35">
      <c r="A9" s="430">
        <f>BID!A659</f>
        <v>595</v>
      </c>
      <c r="B9" s="15" t="str">
        <f>BID!B659</f>
        <v>FOLLEY CATHETER SIZE 12"</v>
      </c>
      <c r="C9" s="15">
        <f>BID!C659</f>
        <v>10</v>
      </c>
      <c r="D9" s="15">
        <f>IF(K9&gt;0,(K9/100)*BID!D659,1*BID!D659)</f>
        <v>4</v>
      </c>
      <c r="E9" s="60">
        <f>IF(K9&gt;0,PR!L657,IF(BID!K659="COSMADE",BID!L659,0))</f>
        <v>1800</v>
      </c>
      <c r="F9" s="61">
        <f t="shared" si="1"/>
        <v>7200</v>
      </c>
      <c r="K9" s="445"/>
    </row>
    <row r="10" spans="1:11" ht="20.25" thickTop="1" thickBot="1" x14ac:dyDescent="0.35">
      <c r="A10" s="430">
        <f>BID!A660</f>
        <v>596</v>
      </c>
      <c r="B10" s="15" t="str">
        <f>BID!B660</f>
        <v>FOLLEY CATHETER SIZE 14"</v>
      </c>
      <c r="C10" s="15">
        <f>BID!C660</f>
        <v>10</v>
      </c>
      <c r="D10" s="15">
        <f>IF(K10&gt;0,(K10/100)*BID!D660,1*BID!D660)</f>
        <v>8</v>
      </c>
      <c r="E10" s="60">
        <f>IF(K10&gt;0,PR!L658,IF(BID!K660="COSMADE",BID!L660,0))</f>
        <v>1800</v>
      </c>
      <c r="F10" s="61">
        <f t="shared" si="1"/>
        <v>14400</v>
      </c>
      <c r="K10" s="445"/>
    </row>
    <row r="11" spans="1:11" ht="20.25" thickTop="1" thickBot="1" x14ac:dyDescent="0.35">
      <c r="A11" s="430">
        <f>BID!A663</f>
        <v>599</v>
      </c>
      <c r="B11" s="15" t="str">
        <f>BID!B663</f>
        <v>FOLLEY CATHETER SIZE 20"</v>
      </c>
      <c r="C11" s="15">
        <f>BID!C663</f>
        <v>10</v>
      </c>
      <c r="D11" s="15">
        <f>IF(K11&gt;0,(K11/100)*BID!D663,1*BID!D663)</f>
        <v>20</v>
      </c>
      <c r="E11" s="60">
        <f>IF(K11&gt;0,PR!L661,IF(BID!K663="COSMADE",BID!L663,0))</f>
        <v>1800</v>
      </c>
      <c r="F11" s="61">
        <f t="shared" si="1"/>
        <v>36000</v>
      </c>
      <c r="K11" s="445"/>
    </row>
    <row r="12" spans="1:11" ht="20.25" thickTop="1" thickBot="1" x14ac:dyDescent="0.35">
      <c r="A12" s="430">
        <f>BID!A664</f>
        <v>600</v>
      </c>
      <c r="B12" s="15" t="str">
        <f>BID!B664</f>
        <v>FOLLEY CATHETER SIZE 22"</v>
      </c>
      <c r="C12" s="15">
        <f>BID!C664</f>
        <v>10</v>
      </c>
      <c r="D12" s="15">
        <f>IF(K12&gt;0,(K12/100)*BID!D664,1*BID!D664)</f>
        <v>22</v>
      </c>
      <c r="E12" s="60">
        <f>IF(K12&gt;0,PR!L662,IF(BID!K664="COSMADE",BID!L664,0))</f>
        <v>1800</v>
      </c>
      <c r="F12" s="61">
        <f t="shared" si="1"/>
        <v>39600</v>
      </c>
      <c r="K12" s="445"/>
    </row>
    <row r="13" spans="1:11" ht="20.25" thickTop="1" thickBot="1" x14ac:dyDescent="0.35">
      <c r="A13" s="430">
        <f>BID!A665</f>
        <v>601</v>
      </c>
      <c r="B13" s="15" t="str">
        <f>BID!B665</f>
        <v>FOLLEY CATHETER SIZE 24"</v>
      </c>
      <c r="C13" s="15">
        <f>BID!C665</f>
        <v>10</v>
      </c>
      <c r="D13" s="15">
        <f>IF(K13&gt;0,(K13/100)*BID!D665,1*BID!D665)</f>
        <v>4</v>
      </c>
      <c r="E13" s="60">
        <f>IF(K13&gt;0,PR!L663,IF(BID!K665="COSMADE",BID!L665,0))</f>
        <v>1800</v>
      </c>
      <c r="F13" s="61">
        <f t="shared" si="1"/>
        <v>7200</v>
      </c>
      <c r="K13" s="445"/>
    </row>
    <row r="14" spans="1:11" ht="20.25" thickTop="1" thickBot="1" x14ac:dyDescent="0.35">
      <c r="A14" s="430">
        <f>BID!A666</f>
        <v>602</v>
      </c>
      <c r="B14" s="15" t="str">
        <f>BID!B666</f>
        <v>FOLLEY CATHETER SIZE 6"</v>
      </c>
      <c r="C14" s="15">
        <f>BID!C666</f>
        <v>10</v>
      </c>
      <c r="D14" s="15">
        <f>IF(K14&gt;0,(K14/100)*BID!D666,1*BID!D666)</f>
        <v>2</v>
      </c>
      <c r="E14" s="60">
        <f>IF(K14&gt;0,PR!L664,IF(BID!K666="COSMADE",BID!L666,0))</f>
        <v>1800</v>
      </c>
      <c r="F14" s="61">
        <f t="shared" si="1"/>
        <v>3600</v>
      </c>
      <c r="K14" s="445"/>
    </row>
    <row r="15" spans="1:11" ht="20.25" thickTop="1" thickBot="1" x14ac:dyDescent="0.35">
      <c r="A15" s="430">
        <f>BID!A667</f>
        <v>603</v>
      </c>
      <c r="B15" s="15" t="str">
        <f>BID!B667</f>
        <v>FOLLEY CATHETER SIZE 8"</v>
      </c>
      <c r="C15" s="15">
        <f>BID!C667</f>
        <v>10</v>
      </c>
      <c r="D15" s="15">
        <f>IF(K15&gt;0,(K15/100)*BID!D667,1*BID!D667)</f>
        <v>2</v>
      </c>
      <c r="E15" s="60">
        <f>IF(K15&gt;0,PR!L665,IF(BID!K667="COSMADE",BID!L667,0))</f>
        <v>1800</v>
      </c>
      <c r="F15" s="61">
        <f t="shared" si="1"/>
        <v>3600</v>
      </c>
      <c r="K15" s="445"/>
    </row>
    <row r="16" spans="1:11" ht="20.25" thickTop="1" thickBot="1" x14ac:dyDescent="0.35">
      <c r="A16" s="430">
        <f>BID!A692</f>
        <v>628</v>
      </c>
      <c r="B16" s="15" t="str">
        <f>BID!B692</f>
        <v>PLASTER 4" (ZINC OXIDE)</v>
      </c>
      <c r="C16" s="15" t="str">
        <f>BID!C692</f>
        <v>PCS</v>
      </c>
      <c r="D16" s="15">
        <f>IF(K16&gt;0,(K16/100)*BID!D692,1*BID!D692)</f>
        <v>100</v>
      </c>
      <c r="E16" s="60">
        <f>IF(K16&gt;0,PR!L690,IF(BID!K692="COSMADE",BID!L692,0))</f>
        <v>3000</v>
      </c>
      <c r="F16" s="61">
        <f t="shared" si="1"/>
        <v>300000</v>
      </c>
      <c r="K16" s="445"/>
    </row>
    <row r="17" spans="1:11" ht="20.25" thickTop="1" thickBot="1" x14ac:dyDescent="0.35">
      <c r="A17" s="430"/>
      <c r="B17" s="15"/>
      <c r="C17" s="15"/>
      <c r="D17" s="15"/>
      <c r="E17" s="60"/>
      <c r="F17" s="61"/>
      <c r="K17" s="445"/>
    </row>
    <row r="18" spans="1:11" ht="24.75" thickTop="1" thickBot="1" x14ac:dyDescent="0.3">
      <c r="A18" s="430"/>
      <c r="B18" s="820" t="s">
        <v>1489</v>
      </c>
      <c r="C18" s="821"/>
      <c r="D18" s="821"/>
      <c r="E18" s="821"/>
      <c r="F18" s="822"/>
      <c r="K18" s="445"/>
    </row>
    <row r="19" spans="1:11" ht="20.25" thickTop="1" thickBot="1" x14ac:dyDescent="0.35">
      <c r="A19" s="430">
        <f>BID!A788</f>
        <v>709</v>
      </c>
      <c r="B19" s="15" t="str">
        <f>BID!B788</f>
        <v>FILMS AGFA 14" X 17" DRYSTAR DT 5 B (DRY MEDICAL FILM) 7</v>
      </c>
      <c r="C19" s="15">
        <f>BID!C788</f>
        <v>12</v>
      </c>
      <c r="D19" s="15">
        <f>IF(K19&gt;0,(K19/100)*BID!D788,1*BID!D788)</f>
        <v>100</v>
      </c>
      <c r="E19" s="60">
        <f>IF(K19&gt;0,PR!L786,IF(BID!K788="COSMADE",BID!L788,0))</f>
        <v>78000</v>
      </c>
      <c r="F19" s="61">
        <f t="shared" ref="F19:F24" si="2">IF(E19&gt;0,(E19*D19),0)</f>
        <v>7800000</v>
      </c>
      <c r="K19" s="445"/>
    </row>
    <row r="20" spans="1:11" ht="20.25" thickTop="1" thickBot="1" x14ac:dyDescent="0.35">
      <c r="A20" s="430">
        <f>BID!A790</f>
        <v>711</v>
      </c>
      <c r="B20" s="15" t="str">
        <f>BID!B790</f>
        <v>CARESTREAM DRY VIEW LASER IMAGING FILM 17" x 14"</v>
      </c>
      <c r="C20" s="15" t="str">
        <f>BID!C790</f>
        <v>PACK</v>
      </c>
      <c r="D20" s="15">
        <f>IF(K20&gt;0,(K20/100)*BID!D790,1*BID!D790)</f>
        <v>25</v>
      </c>
      <c r="E20" s="60">
        <f>IF(K20&gt;0,PR!L788,IF(BID!K790="COSMADE",BID!L790,0))</f>
        <v>120000</v>
      </c>
      <c r="F20" s="61">
        <f t="shared" si="2"/>
        <v>3000000</v>
      </c>
      <c r="K20" s="445"/>
    </row>
    <row r="21" spans="1:11" ht="20.25" thickTop="1" thickBot="1" x14ac:dyDescent="0.35">
      <c r="A21" s="430">
        <f>BID!A796</f>
        <v>717</v>
      </c>
      <c r="B21" s="15" t="str">
        <f>BID!B796</f>
        <v>UROGRAPHIN</v>
      </c>
      <c r="C21" s="15" t="str">
        <f>BID!C796</f>
        <v>PACK</v>
      </c>
      <c r="D21" s="15">
        <f>IF(K21&gt;0,(K21/100)*BID!D796,1*BID!D796)</f>
        <v>60</v>
      </c>
      <c r="E21" s="60">
        <f>IF(K21&gt;0,PR!L794,IF(BID!K796="COSMADE",BID!L796,0))</f>
        <v>15000</v>
      </c>
      <c r="F21" s="61">
        <f t="shared" si="2"/>
        <v>900000</v>
      </c>
      <c r="K21" s="445"/>
    </row>
    <row r="22" spans="1:11" ht="20.25" thickTop="1" thickBot="1" x14ac:dyDescent="0.35">
      <c r="A22" s="430"/>
      <c r="B22" s="15"/>
      <c r="C22" s="15"/>
      <c r="D22" s="15"/>
      <c r="E22" s="60"/>
      <c r="F22" s="61"/>
      <c r="K22" s="445"/>
    </row>
    <row r="23" spans="1:11" ht="24.75" thickTop="1" thickBot="1" x14ac:dyDescent="0.3">
      <c r="A23" s="430"/>
      <c r="B23" s="820" t="s">
        <v>1507</v>
      </c>
      <c r="C23" s="821"/>
      <c r="D23" s="821"/>
      <c r="E23" s="821"/>
      <c r="F23" s="822"/>
      <c r="K23" s="445"/>
    </row>
    <row r="24" spans="1:11" ht="20.25" thickTop="1" thickBot="1" x14ac:dyDescent="0.35">
      <c r="A24" s="430">
        <f>BID!A838</f>
        <v>752</v>
      </c>
      <c r="B24" s="15" t="str">
        <f>BID!B838</f>
        <v>MORNING FRESH LIQUID 475MLS (PZ)</v>
      </c>
      <c r="C24" s="15" t="str">
        <f>BID!C838</f>
        <v>CARTON</v>
      </c>
      <c r="D24" s="15">
        <f>IF(K24&gt;0,(K24/100)*BID!D838,1*BID!D838)</f>
        <v>28</v>
      </c>
      <c r="E24" s="60">
        <f>IF(K24&gt;0,PR!L836,IF(BID!K838="COSMADE",BID!L838,0))</f>
        <v>5300</v>
      </c>
      <c r="F24" s="61">
        <f t="shared" si="2"/>
        <v>148400</v>
      </c>
      <c r="K24" s="445"/>
    </row>
    <row r="25" spans="1:11" ht="20.25" thickTop="1" thickBot="1" x14ac:dyDescent="0.35">
      <c r="A25" s="430"/>
      <c r="B25" s="15"/>
      <c r="C25" s="15"/>
      <c r="D25" s="15"/>
      <c r="E25" s="60"/>
      <c r="F25" s="61"/>
      <c r="K25" s="445"/>
    </row>
    <row r="26" spans="1:11" ht="20.25" thickTop="1" thickBot="1" x14ac:dyDescent="0.35">
      <c r="A26" s="430"/>
      <c r="B26" s="15"/>
      <c r="C26" s="15"/>
      <c r="D26" s="15"/>
      <c r="E26" s="60"/>
      <c r="F26" s="61"/>
      <c r="K26" s="445"/>
    </row>
    <row r="27" spans="1:11" ht="24.75" thickTop="1" thickBot="1" x14ac:dyDescent="0.3">
      <c r="A27" s="430" t="str">
        <f>BID!A850</f>
        <v>LOT 16</v>
      </c>
      <c r="B27" s="820" t="s">
        <v>1548</v>
      </c>
      <c r="C27" s="821"/>
      <c r="D27" s="821"/>
      <c r="E27" s="821"/>
      <c r="F27" s="822"/>
      <c r="K27" s="445"/>
    </row>
    <row r="28" spans="1:11" ht="20.25" thickTop="1" thickBot="1" x14ac:dyDescent="0.35">
      <c r="A28" s="430">
        <f>BID!A927</f>
        <v>835</v>
      </c>
      <c r="B28" s="15" t="str">
        <f>BID!B927</f>
        <v>DIGITAL SPHYGMOMANOMETER (OMRON)</v>
      </c>
      <c r="C28" s="15">
        <f>BID!C927</f>
        <v>0</v>
      </c>
      <c r="D28" s="15">
        <f>IF(K28&gt;0,(K28/100)*BID!D927,1*BID!D927)</f>
        <v>2</v>
      </c>
      <c r="E28" s="60">
        <f>IF(K28&gt;0,PR!L925,IF(BID!K927="COSMADE",BID!L927,0))</f>
        <v>12000</v>
      </c>
      <c r="F28" s="61">
        <f t="shared" ref="F28:F36" si="3">IF(E28&gt;0,(E28*D28),0)</f>
        <v>24000</v>
      </c>
      <c r="K28" s="445"/>
    </row>
    <row r="29" spans="1:11" ht="20.25" thickTop="1" thickBot="1" x14ac:dyDescent="0.35">
      <c r="A29" s="430">
        <f>BID!A926</f>
        <v>834</v>
      </c>
      <c r="B29" s="15" t="str">
        <f>BID!B926</f>
        <v>DIGITAL WEIGHING BALANCE</v>
      </c>
      <c r="C29" s="15">
        <f>BID!C926</f>
        <v>0</v>
      </c>
      <c r="D29" s="15">
        <f>IF(K29&gt;0,(K29/100)*BID!D926,1*BID!D926)</f>
        <v>3</v>
      </c>
      <c r="E29" s="60">
        <f>IF(K29&gt;0,PR!L924,IF(BID!K926="COSMADE",BID!L926,0))</f>
        <v>25000</v>
      </c>
      <c r="F29" s="61">
        <f t="shared" si="3"/>
        <v>75000</v>
      </c>
      <c r="K29" s="445"/>
    </row>
    <row r="30" spans="1:11" ht="20.25" thickTop="1" thickBot="1" x14ac:dyDescent="0.35">
      <c r="A30" s="430">
        <f>BID!A905</f>
        <v>813</v>
      </c>
      <c r="B30" s="15" t="str">
        <f>BID!B905</f>
        <v>M-53 CLEANSER (BC-5300) 1 LITRE</v>
      </c>
      <c r="C30" s="15" t="str">
        <f>BID!C905</f>
        <v>1 bottle</v>
      </c>
      <c r="D30" s="15">
        <f>IF(K30&gt;0,(K30/100)*BID!D905,1*BID!D905)</f>
        <v>5</v>
      </c>
      <c r="E30" s="60">
        <f>IF(K30&gt;0,PR!L903,IF(BID!K905="COSMADE",BID!L905,0))</f>
        <v>35000</v>
      </c>
      <c r="F30" s="61">
        <f t="shared" si="3"/>
        <v>175000</v>
      </c>
      <c r="K30" s="445"/>
    </row>
    <row r="31" spans="1:11" ht="20.25" thickTop="1" thickBot="1" x14ac:dyDescent="0.35">
      <c r="A31" s="430">
        <f>BID!A904</f>
        <v>812</v>
      </c>
      <c r="B31" s="15" t="str">
        <f>BID!B904</f>
        <v>M53 LH LYSE (BC-5300) 500ML</v>
      </c>
      <c r="C31" s="15" t="str">
        <f>BID!C904</f>
        <v>1 bottle of 50</v>
      </c>
      <c r="D31" s="15">
        <f>IF(K31&gt;0,(K31/100)*BID!D904,1*BID!D904)</f>
        <v>20</v>
      </c>
      <c r="E31" s="60">
        <f>IF(K31&gt;0,PR!L902,IF(BID!K904="COSMADE",BID!L904,0))</f>
        <v>122000</v>
      </c>
      <c r="F31" s="61">
        <f t="shared" si="3"/>
        <v>2440000</v>
      </c>
      <c r="K31" s="445"/>
    </row>
    <row r="32" spans="1:11" ht="20.25" thickTop="1" thickBot="1" x14ac:dyDescent="0.35">
      <c r="A32" s="430">
        <f>BID!A906</f>
        <v>814</v>
      </c>
      <c r="B32" s="15" t="str">
        <f>BID!B906</f>
        <v>M-53 PROBE CLEANSER (BC-5300) 50ML</v>
      </c>
      <c r="C32" s="15" t="str">
        <f>BID!C906</f>
        <v>1 bottle of 50</v>
      </c>
      <c r="D32" s="15">
        <f>IF(K32&gt;0,(K32/100)*BID!D906,1*BID!D906)</f>
        <v>20</v>
      </c>
      <c r="E32" s="60">
        <f>IF(K32&gt;0,PR!L904,IF(BID!K906="COSMADE",BID!L906,0))</f>
        <v>5500</v>
      </c>
      <c r="F32" s="61">
        <f t="shared" si="3"/>
        <v>110000</v>
      </c>
      <c r="K32" s="445"/>
    </row>
    <row r="33" spans="1:11" ht="20.25" thickTop="1" thickBot="1" x14ac:dyDescent="0.35">
      <c r="A33" s="430">
        <f>BID!A901</f>
        <v>809</v>
      </c>
      <c r="B33" s="15" t="str">
        <f>BID!B901</f>
        <v>M-53D DILUENT (BC-5300) 20L</v>
      </c>
      <c r="C33" s="15" t="str">
        <f>BID!C901</f>
        <v>1 pack of 20L</v>
      </c>
      <c r="D33" s="15">
        <f>IF(K33&gt;0,(K33/100)*BID!D901,1*BID!D901)</f>
        <v>20</v>
      </c>
      <c r="E33" s="60">
        <f>IF(K33&gt;0,PR!L899,IF(BID!K901="COSMADE",BID!L901,0))</f>
        <v>32000</v>
      </c>
      <c r="F33" s="61">
        <f t="shared" si="3"/>
        <v>640000</v>
      </c>
      <c r="K33" s="445"/>
    </row>
    <row r="34" spans="1:11" ht="20.25" thickTop="1" thickBot="1" x14ac:dyDescent="0.35">
      <c r="A34" s="430">
        <f>BID!A902</f>
        <v>810</v>
      </c>
      <c r="B34" s="15" t="str">
        <f>BID!B902</f>
        <v>M-53-LEO (I) LYSE (BC-5300) 1L</v>
      </c>
      <c r="C34" s="15" t="str">
        <f>BID!C902</f>
        <v>1 cnt of 1</v>
      </c>
      <c r="D34" s="15">
        <f>IF(K34&gt;0,(K34/100)*BID!D902,1*BID!D902)</f>
        <v>8</v>
      </c>
      <c r="E34" s="60">
        <f>IF(K34&gt;0,PR!L900,IF(BID!K902="COSMADE",BID!L902,0))</f>
        <v>130000</v>
      </c>
      <c r="F34" s="61">
        <f t="shared" si="3"/>
        <v>1040000</v>
      </c>
      <c r="K34" s="445"/>
    </row>
    <row r="35" spans="1:11" ht="20.25" thickTop="1" thickBot="1" x14ac:dyDescent="0.35">
      <c r="A35" s="430">
        <f>BID!A903</f>
        <v>811</v>
      </c>
      <c r="B35" s="15" t="str">
        <f>BID!B903</f>
        <v>M-53-LEO (II) LYSE (BC-5300) 400ML</v>
      </c>
      <c r="C35" s="15" t="str">
        <f>BID!C903</f>
        <v>1 cnt x 40</v>
      </c>
      <c r="D35" s="15">
        <f>IF(K35&gt;0,(K35/100)*BID!D903,1*BID!D903)</f>
        <v>20</v>
      </c>
      <c r="E35" s="60">
        <f>IF(K35&gt;0,PR!L901,IF(BID!K903="COSMADE",BID!L903,0))</f>
        <v>184000</v>
      </c>
      <c r="F35" s="61">
        <f t="shared" si="3"/>
        <v>3680000</v>
      </c>
      <c r="K35" s="445"/>
    </row>
    <row r="36" spans="1:11" ht="20.25" thickTop="1" thickBot="1" x14ac:dyDescent="0.35">
      <c r="A36" s="430">
        <f>BID!A912</f>
        <v>820</v>
      </c>
      <c r="B36" s="15" t="str">
        <f>BID!B912</f>
        <v>TRIS BUFFER POWDER</v>
      </c>
      <c r="C36" s="15">
        <f>BID!C912</f>
        <v>0</v>
      </c>
      <c r="D36" s="15">
        <f>IF(K36&gt;0,(K36/100)*BID!D912,1*BID!D912)</f>
        <v>2</v>
      </c>
      <c r="E36" s="60">
        <f>IF(K36&gt;0,PR!L910,IF(BID!K912="COSMADE",BID!L912,0))</f>
        <v>15000</v>
      </c>
      <c r="F36" s="61">
        <f t="shared" si="3"/>
        <v>30000</v>
      </c>
      <c r="K36" s="445"/>
    </row>
    <row r="37" spans="1:11" ht="20.25" thickTop="1" thickBot="1" x14ac:dyDescent="0.35">
      <c r="A37" s="430"/>
      <c r="B37" s="15"/>
      <c r="C37" s="15"/>
      <c r="D37" s="15"/>
      <c r="E37" s="60"/>
      <c r="F37" s="61"/>
      <c r="K37" s="445"/>
    </row>
    <row r="38" spans="1:11" ht="24.75" thickTop="1" thickBot="1" x14ac:dyDescent="0.3">
      <c r="A38" s="430"/>
      <c r="B38" s="820" t="s">
        <v>1657</v>
      </c>
      <c r="C38" s="821"/>
      <c r="D38" s="821"/>
      <c r="E38" s="821"/>
      <c r="F38" s="822"/>
      <c r="K38" s="445"/>
    </row>
    <row r="39" spans="1:11" ht="20.25" thickTop="1" thickBot="1" x14ac:dyDescent="0.35">
      <c r="A39" s="430">
        <f>BID!A948</f>
        <v>850</v>
      </c>
      <c r="B39" s="15" t="str">
        <f>BID!B948</f>
        <v>FROSTED END SLIDE</v>
      </c>
      <c r="C39" s="15" t="str">
        <f>BID!C948</f>
        <v>1 Carton (40packs)</v>
      </c>
      <c r="D39" s="15">
        <f>IF(K39&gt;0,(K39/100)*BID!D948,1*BID!D948)</f>
        <v>10</v>
      </c>
      <c r="E39" s="60">
        <f>IF(K39&gt;0,PR!L946,IF(BID!K948="COSMADE",BID!L948,0))</f>
        <v>18000</v>
      </c>
      <c r="F39" s="61">
        <f t="shared" ref="F39:F48" si="4">IF(E39&gt;0,(E39*D39),0)</f>
        <v>180000</v>
      </c>
      <c r="K39" s="445">
        <v>50</v>
      </c>
    </row>
    <row r="40" spans="1:11" ht="20.25" thickTop="1" thickBot="1" x14ac:dyDescent="0.35">
      <c r="A40" s="430">
        <f>BID!A949</f>
        <v>851</v>
      </c>
      <c r="B40" s="15" t="str">
        <f>BID!B949</f>
        <v>GLACIAL ACETIC ACID</v>
      </c>
      <c r="C40" s="15" t="str">
        <f>BID!C949</f>
        <v>1 bottle (2.5L)</v>
      </c>
      <c r="D40" s="15">
        <f>IF(K40&gt;0,(K40/100)*BID!D949,1*BID!D949)</f>
        <v>5</v>
      </c>
      <c r="E40" s="60">
        <f>IF(K40&gt;0,PR!L947,IF(BID!K949="COSMADE",BID!L949,0))</f>
        <v>7500</v>
      </c>
      <c r="F40" s="61">
        <f t="shared" si="4"/>
        <v>37500</v>
      </c>
      <c r="K40" s="445"/>
    </row>
    <row r="41" spans="1:11" ht="20.25" thickTop="1" thickBot="1" x14ac:dyDescent="0.35">
      <c r="A41" s="430">
        <f>BID!A952</f>
        <v>854</v>
      </c>
      <c r="B41" s="15" t="str">
        <f>BID!B952</f>
        <v>GLASS COVER SLIPS 22x50</v>
      </c>
      <c r="C41" s="15" t="str">
        <f>BID!C952</f>
        <v>1Carton (10x100)</v>
      </c>
      <c r="D41" s="15">
        <f>IF(K41&gt;0,(K41/100)*BID!D952,1*BID!D952)</f>
        <v>20</v>
      </c>
      <c r="E41" s="60">
        <f>IF(K41&gt;0,PR!L950,IF(BID!K952="COSMADE",BID!L952,0))</f>
        <v>16000</v>
      </c>
      <c r="F41" s="61">
        <f t="shared" si="4"/>
        <v>320000</v>
      </c>
      <c r="K41" s="445"/>
    </row>
    <row r="42" spans="1:11" ht="20.25" thickTop="1" thickBot="1" x14ac:dyDescent="0.35">
      <c r="A42" s="430">
        <f>BID!A957</f>
        <v>859</v>
      </c>
      <c r="B42" s="15" t="str">
        <f>BID!B957</f>
        <v>OIL IMMERSION 100ML</v>
      </c>
      <c r="C42" s="15" t="str">
        <f>BID!C957</f>
        <v>1 bottle</v>
      </c>
      <c r="D42" s="15">
        <f>IF(K42&gt;0,(K42/100)*BID!D957,1*BID!D957)</f>
        <v>1</v>
      </c>
      <c r="E42" s="60">
        <f>IF(K42&gt;0,PR!L955,IF(BID!K957="COSMADE",BID!L957,0))</f>
        <v>4000</v>
      </c>
      <c r="F42" s="61">
        <f t="shared" si="4"/>
        <v>4000</v>
      </c>
      <c r="K42" s="445"/>
    </row>
    <row r="43" spans="1:11" ht="20.25" thickTop="1" thickBot="1" x14ac:dyDescent="0.35">
      <c r="A43" s="430">
        <f>BID!A958</f>
        <v>860</v>
      </c>
      <c r="B43" s="15" t="str">
        <f>BID!B958</f>
        <v>ORANGE G 6 (OG6)</v>
      </c>
      <c r="C43" s="15" t="str">
        <f>BID!C958</f>
        <v>1 bottle (1 liter)</v>
      </c>
      <c r="D43" s="15">
        <f>IF(K43&gt;0,(K43/100)*BID!D958,1*BID!D958)</f>
        <v>5</v>
      </c>
      <c r="E43" s="60">
        <f>IF(K43&gt;0,PR!L956,IF(BID!K958="COSMADE",BID!L958,0))</f>
        <v>7000</v>
      </c>
      <c r="F43" s="61">
        <f t="shared" si="4"/>
        <v>35000</v>
      </c>
      <c r="K43" s="445"/>
    </row>
    <row r="44" spans="1:11" ht="20.25" thickTop="1" thickBot="1" x14ac:dyDescent="0.35">
      <c r="A44" s="430">
        <f>BID!A959</f>
        <v>861</v>
      </c>
      <c r="B44" s="15" t="str">
        <f>BID!B959</f>
        <v>PARAFFIN WAX</v>
      </c>
      <c r="C44" s="15" t="str">
        <f>BID!C959</f>
        <v>1 pack (5 x25KG SLAB</v>
      </c>
      <c r="D44" s="15">
        <f>IF(K44&gt;0,(K44/100)*BID!D959,1*BID!D959)</f>
        <v>15</v>
      </c>
      <c r="E44" s="60">
        <f>IF(K44&gt;0,PR!L957,IF(BID!K959="COSMADE",BID!L959,0))</f>
        <v>20000</v>
      </c>
      <c r="F44" s="61">
        <f t="shared" si="4"/>
        <v>300000</v>
      </c>
      <c r="K44" s="445"/>
    </row>
    <row r="45" spans="1:11" ht="20.25" thickTop="1" thickBot="1" x14ac:dyDescent="0.35">
      <c r="A45" s="430">
        <f>BID!A993</f>
        <v>895</v>
      </c>
      <c r="B45" s="15" t="str">
        <f>BID!B993</f>
        <v>PERIODIC ACID</v>
      </c>
      <c r="C45" s="15" t="str">
        <f>BID!C993</f>
        <v>25g</v>
      </c>
      <c r="D45" s="15">
        <f>IF(K45&gt;0,(K45/100)*BID!D993,1*BID!D993)</f>
        <v>2</v>
      </c>
      <c r="E45" s="60">
        <f>IF(K45&gt;0,PR!L991,IF(BID!K993="COSMADE",BID!L993,0))</f>
        <v>7000</v>
      </c>
      <c r="F45" s="61">
        <f t="shared" si="4"/>
        <v>14000</v>
      </c>
      <c r="K45" s="445"/>
    </row>
    <row r="46" spans="1:11" ht="20.25" thickTop="1" thickBot="1" x14ac:dyDescent="0.35">
      <c r="A46" s="430">
        <f>BID!A991</f>
        <v>893</v>
      </c>
      <c r="B46" s="15" t="str">
        <f>BID!B991</f>
        <v>POTASSIUM FERROCYANIDE</v>
      </c>
      <c r="C46" s="15" t="str">
        <f>BID!C991</f>
        <v>500ml</v>
      </c>
      <c r="D46" s="15">
        <f>IF(K46&gt;0,(K46/100)*BID!D991,1*BID!D991)</f>
        <v>2</v>
      </c>
      <c r="E46" s="60">
        <f>IF(K46&gt;0,PR!L989,IF(BID!K991="COSMADE",BID!L991,0))</f>
        <v>5000</v>
      </c>
      <c r="F46" s="61">
        <f t="shared" si="4"/>
        <v>10000</v>
      </c>
      <c r="K46" s="445"/>
    </row>
    <row r="47" spans="1:11" ht="20.25" thickTop="1" thickBot="1" x14ac:dyDescent="0.35">
      <c r="A47" s="430">
        <f>BID!A960</f>
        <v>862</v>
      </c>
      <c r="B47" s="15" t="str">
        <f>BID!B960</f>
        <v>POWDERED FORMALIN</v>
      </c>
      <c r="C47" s="15" t="str">
        <f>BID!C960</f>
        <v>1 bag (25KG)</v>
      </c>
      <c r="D47" s="15">
        <f>IF(K47&gt;0,(K47/100)*BID!D960,1*BID!D960)</f>
        <v>1</v>
      </c>
      <c r="E47" s="60">
        <f>IF(K47&gt;0,PR!L958,IF(BID!K960="COSMADE",BID!L960,0))</f>
        <v>70000</v>
      </c>
      <c r="F47" s="61">
        <f t="shared" si="4"/>
        <v>70000</v>
      </c>
      <c r="K47" s="445"/>
    </row>
    <row r="48" spans="1:11" ht="20.25" thickTop="1" thickBot="1" x14ac:dyDescent="0.35">
      <c r="A48" s="430">
        <f>BID!A987</f>
        <v>889</v>
      </c>
      <c r="B48" s="15" t="str">
        <f>BID!B987</f>
        <v>UNIVERSAL CONTAINERS</v>
      </c>
      <c r="C48" s="15" t="str">
        <f>BID!C987</f>
        <v>1 Pack of 500 pcs</v>
      </c>
      <c r="D48" s="15">
        <f>IF(K48&gt;0,(K48/100)*BID!D987,1*BID!D987)</f>
        <v>1</v>
      </c>
      <c r="E48" s="60">
        <f>IF(K48&gt;0,PR!L985,IF(BID!K987="COSMADE",BID!L987,0))</f>
        <v>13000</v>
      </c>
      <c r="F48" s="61">
        <f t="shared" si="4"/>
        <v>13000</v>
      </c>
      <c r="K48" s="445"/>
    </row>
    <row r="49" spans="1:11" ht="20.25" thickTop="1" thickBot="1" x14ac:dyDescent="0.35">
      <c r="A49" s="430"/>
      <c r="B49" s="15"/>
      <c r="C49" s="15"/>
      <c r="D49" s="15"/>
      <c r="E49" s="60"/>
      <c r="F49" s="61"/>
      <c r="K49" s="445"/>
    </row>
    <row r="50" spans="1:11" ht="24.75" thickTop="1" thickBot="1" x14ac:dyDescent="0.3">
      <c r="A50" s="430"/>
      <c r="B50" s="820" t="s">
        <v>1868</v>
      </c>
      <c r="C50" s="821"/>
      <c r="D50" s="821"/>
      <c r="E50" s="821"/>
      <c r="F50" s="822"/>
      <c r="K50" s="445"/>
    </row>
    <row r="51" spans="1:11" ht="20.25" thickTop="1" thickBot="1" x14ac:dyDescent="0.35">
      <c r="A51" s="430">
        <f>BID!A1145</f>
        <v>1030</v>
      </c>
      <c r="B51" s="15" t="str">
        <f>BID!B1145</f>
        <v>FREE T3 - ELISA KIT (MONOBIND)</v>
      </c>
      <c r="C51" s="15" t="str">
        <f>BID!C1145</f>
        <v>96 wells</v>
      </c>
      <c r="D51" s="15">
        <f>IF(K51&gt;0,(K51/100)*BID!D1145,1*BID!D1145)</f>
        <v>8</v>
      </c>
      <c r="E51" s="60">
        <f>IF(K51&gt;0,PR!L1143,IF(BID!K1145="COSMADE",BID!L1145,0))</f>
        <v>35000</v>
      </c>
      <c r="F51" s="61">
        <f t="shared" ref="F51" si="5">IF(E51&gt;0,(E51*D51),0)</f>
        <v>280000</v>
      </c>
      <c r="K51" s="445"/>
    </row>
    <row r="52" spans="1:11" ht="20.25" thickTop="1" thickBot="1" x14ac:dyDescent="0.35">
      <c r="A52" s="430"/>
      <c r="B52" s="15"/>
      <c r="C52" s="15"/>
      <c r="D52" s="15"/>
      <c r="E52" s="60"/>
      <c r="F52" s="442"/>
    </row>
    <row r="53" spans="1:11" ht="21.75" thickBot="1" x14ac:dyDescent="0.4">
      <c r="A53" s="430"/>
      <c r="B53" s="15"/>
      <c r="C53" s="15"/>
      <c r="D53" s="15"/>
      <c r="E53" s="441"/>
      <c r="F53" s="443">
        <f>SUM(F6:F51)</f>
        <v>25951900</v>
      </c>
    </row>
  </sheetData>
  <sheetProtection algorithmName="SHA-512" hashValue="Fe1NIm0nNi4JqmUI5CEK1BqOCj+uYY5y3fGufaPBy6JflMGmSKnH2jNSgUfrt13i3kWvw26X1eWHZSSKogExMg==" saltValue="PoA0GxclY9bAToOq2LqdWw==" spinCount="100000" sheet="1" objects="1" scenarios="1"/>
  <protectedRanges>
    <protectedRange sqref="K4:K51" name="Range1"/>
  </protectedRanges>
  <sortState ref="A28:K36">
    <sortCondition ref="B28:B36"/>
  </sortState>
  <mergeCells count="7">
    <mergeCell ref="B38:F38"/>
    <mergeCell ref="B50:F50"/>
    <mergeCell ref="B1:F1"/>
    <mergeCell ref="B5:F5"/>
    <mergeCell ref="B18:F18"/>
    <mergeCell ref="B23:F23"/>
    <mergeCell ref="B27:F27"/>
  </mergeCells>
  <pageMargins left="0.25" right="0.25" top="0.75" bottom="0.75" header="0.3" footer="0.3"/>
  <pageSetup paperSize="9" scale="88" orientation="landscape" r:id="rId1"/>
  <colBreaks count="1" manualBreakCount="1">
    <brk id="6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DA920-379A-45A5-A797-3F567D2BA1D5}">
  <sheetPr>
    <tabColor rgb="FF002060"/>
  </sheetPr>
  <dimension ref="A1:K113"/>
  <sheetViews>
    <sheetView view="pageBreakPreview" topLeftCell="A60" zoomScale="80" zoomScaleNormal="100" zoomScaleSheetLayoutView="80" workbookViewId="0">
      <selection activeCell="B65" sqref="B65"/>
    </sheetView>
  </sheetViews>
  <sheetFormatPr defaultColWidth="9.140625" defaultRowHeight="18.75" x14ac:dyDescent="0.3"/>
  <cols>
    <col min="1" max="1" width="10.85546875" style="440" bestFit="1" customWidth="1"/>
    <col min="2" max="2" width="83.140625" style="62" customWidth="1"/>
    <col min="3" max="3" width="32.8554687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N!B12</f>
        <v>DE SANCON &amp; ASSOCIATES LIMITED</v>
      </c>
      <c r="C1" s="816"/>
      <c r="D1" s="816"/>
      <c r="E1" s="816"/>
      <c r="F1" s="816"/>
      <c r="K1" t="s">
        <v>817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BID!A650</f>
        <v>586</v>
      </c>
      <c r="B6" s="15" t="str">
        <f>BID!B650</f>
        <v>CONDOM CATHETER</v>
      </c>
      <c r="C6" s="15">
        <f>BID!C650</f>
        <v>50</v>
      </c>
      <c r="D6" s="15">
        <f>IF(K6&gt;0,(K6/100)*BID!D650,1*BID!D650)</f>
        <v>14</v>
      </c>
      <c r="E6" s="60">
        <f>IF(K6&gt;0,PR!M648,IF(BID!K650="SANCON",BID!L650,0))</f>
        <v>8625</v>
      </c>
      <c r="F6" s="61">
        <f t="shared" ref="F6:F24" si="0">IF(E6&gt;0,(E6*D6),0)</f>
        <v>120750</v>
      </c>
      <c r="K6" s="445">
        <v>70</v>
      </c>
    </row>
    <row r="7" spans="1:11" ht="20.25" thickTop="1" thickBot="1" x14ac:dyDescent="0.35">
      <c r="A7" s="430">
        <f>BID!A651</f>
        <v>587</v>
      </c>
      <c r="B7" s="15" t="str">
        <f>BID!B651</f>
        <v>CORD CLAMP</v>
      </c>
      <c r="C7" s="15">
        <f>BID!C651</f>
        <v>100</v>
      </c>
      <c r="D7" s="15">
        <f>IF(K7&gt;0,(K7/100)*BID!D651,1*BID!D651)</f>
        <v>20</v>
      </c>
      <c r="E7" s="60">
        <f>IF(K7&gt;0,PR!M649,IF(BID!K651="SANCON",BID!L651,0))</f>
        <v>1725</v>
      </c>
      <c r="F7" s="61">
        <f t="shared" si="0"/>
        <v>34500</v>
      </c>
      <c r="K7" s="445"/>
    </row>
    <row r="8" spans="1:11" ht="20.25" thickTop="1" thickBot="1" x14ac:dyDescent="0.35">
      <c r="A8" s="430">
        <f>BID!A652</f>
        <v>588</v>
      </c>
      <c r="B8" s="15" t="str">
        <f>BID!B652</f>
        <v>COTTON BANDAGE 6"</v>
      </c>
      <c r="C8" s="15">
        <f>BID!C652</f>
        <v>12</v>
      </c>
      <c r="D8" s="15">
        <f>IF(K8&gt;0,(K8/100)*BID!D652,1*BID!D652)</f>
        <v>20</v>
      </c>
      <c r="E8" s="60">
        <f>IF(K8&gt;0,PR!M650,IF(BID!K652="SANCON",BID!L652,0))</f>
        <v>460</v>
      </c>
      <c r="F8" s="61">
        <f t="shared" si="0"/>
        <v>9200</v>
      </c>
      <c r="K8" s="445"/>
    </row>
    <row r="9" spans="1:11" ht="20.25" thickTop="1" thickBot="1" x14ac:dyDescent="0.35">
      <c r="A9" s="430">
        <f>BID!A673</f>
        <v>609</v>
      </c>
      <c r="B9" s="15" t="str">
        <f>BID!B673</f>
        <v>NASOGASTRIC TUBE 10"</v>
      </c>
      <c r="C9" s="15">
        <f>BID!C673</f>
        <v>10</v>
      </c>
      <c r="D9" s="15">
        <f>IF(K9&gt;0,(K9/100)*BID!D673,1*BID!D673)</f>
        <v>21</v>
      </c>
      <c r="E9" s="60">
        <f>IF(K9&gt;0,PR!M671,IF(BID!K673="SANCON",BID!L673,0))</f>
        <v>540</v>
      </c>
      <c r="F9" s="61">
        <f t="shared" si="0"/>
        <v>11340</v>
      </c>
      <c r="K9" s="445"/>
    </row>
    <row r="10" spans="1:11" ht="20.25" thickTop="1" thickBot="1" x14ac:dyDescent="0.35">
      <c r="A10" s="430">
        <f>BID!A674</f>
        <v>610</v>
      </c>
      <c r="B10" s="15" t="str">
        <f>BID!B674</f>
        <v>NASOGASTRIC TUBE 12"</v>
      </c>
      <c r="C10" s="15">
        <f>BID!C674</f>
        <v>10</v>
      </c>
      <c r="D10" s="15">
        <f>IF(K10&gt;0,(K10/100)*BID!D674,1*BID!D674)</f>
        <v>8</v>
      </c>
      <c r="E10" s="60">
        <f>IF(K10&gt;0,PR!M672,IF(BID!K674="SANCON",BID!L674,0))</f>
        <v>540</v>
      </c>
      <c r="F10" s="61">
        <f t="shared" si="0"/>
        <v>4320</v>
      </c>
      <c r="K10" s="445"/>
    </row>
    <row r="11" spans="1:11" ht="20.25" thickTop="1" thickBot="1" x14ac:dyDescent="0.35">
      <c r="A11" s="430">
        <f>BID!A675</f>
        <v>611</v>
      </c>
      <c r="B11" s="15" t="str">
        <f>BID!B675</f>
        <v>NASOGASTRIC TUBE 14"</v>
      </c>
      <c r="C11" s="15">
        <f>BID!C675</f>
        <v>10</v>
      </c>
      <c r="D11" s="15">
        <f>IF(K11&gt;0,(K11/100)*BID!D675,1*BID!D675)</f>
        <v>20</v>
      </c>
      <c r="E11" s="60">
        <f>IF(K11&gt;0,PR!M673,IF(BID!K675="SANCON",BID!L675,0))</f>
        <v>540</v>
      </c>
      <c r="F11" s="61">
        <f t="shared" si="0"/>
        <v>10800</v>
      </c>
      <c r="K11" s="445"/>
    </row>
    <row r="12" spans="1:11" ht="20.25" thickTop="1" thickBot="1" x14ac:dyDescent="0.35">
      <c r="A12" s="430">
        <f>BID!A676</f>
        <v>612</v>
      </c>
      <c r="B12" s="15" t="str">
        <f>BID!B676</f>
        <v>NASOGASTRIC TUBE 16"</v>
      </c>
      <c r="C12" s="15">
        <f>BID!C676</f>
        <v>10</v>
      </c>
      <c r="D12" s="15">
        <f>IF(K12&gt;0,(K12/100)*BID!D676,1*BID!D676)</f>
        <v>20</v>
      </c>
      <c r="E12" s="60">
        <f>IF(K12&gt;0,PR!M674,IF(BID!K676="SANCON",BID!L676,0))</f>
        <v>540</v>
      </c>
      <c r="F12" s="61">
        <f t="shared" si="0"/>
        <v>10800</v>
      </c>
      <c r="K12" s="445"/>
    </row>
    <row r="13" spans="1:11" ht="20.25" thickTop="1" thickBot="1" x14ac:dyDescent="0.35">
      <c r="A13" s="430">
        <f>BID!A677</f>
        <v>613</v>
      </c>
      <c r="B13" s="15" t="str">
        <f>BID!B677</f>
        <v>NASOGASTRIC TUBE 18"</v>
      </c>
      <c r="C13" s="15">
        <f>BID!C677</f>
        <v>10</v>
      </c>
      <c r="D13" s="15">
        <f>IF(K13&gt;0,(K13/100)*BID!D677,1*BID!D677)</f>
        <v>20</v>
      </c>
      <c r="E13" s="60">
        <f>IF(K13&gt;0,PR!M675,IF(BID!K677="SANCON",BID!L677,0))</f>
        <v>540</v>
      </c>
      <c r="F13" s="61">
        <f t="shared" si="0"/>
        <v>10800</v>
      </c>
      <c r="K13" s="445"/>
    </row>
    <row r="14" spans="1:11" ht="20.25" thickTop="1" thickBot="1" x14ac:dyDescent="0.35">
      <c r="A14" s="430">
        <f>BID!A679</f>
        <v>615</v>
      </c>
      <c r="B14" s="15" t="str">
        <f>BID!B679</f>
        <v>NASOGASTRIC TUBE 22"</v>
      </c>
      <c r="C14" s="15">
        <f>BID!C679</f>
        <v>10</v>
      </c>
      <c r="D14" s="15">
        <f>IF(K14&gt;0,(K14/100)*BID!D679,1*BID!D679)</f>
        <v>4</v>
      </c>
      <c r="E14" s="60">
        <f>IF(K14&gt;0,PR!M677,IF(BID!K679="SANCON",BID!L679,0))</f>
        <v>540</v>
      </c>
      <c r="F14" s="61">
        <f t="shared" si="0"/>
        <v>2160</v>
      </c>
      <c r="K14" s="445"/>
    </row>
    <row r="15" spans="1:11" ht="20.25" thickTop="1" thickBot="1" x14ac:dyDescent="0.35">
      <c r="A15" s="430">
        <f>BID!A680</f>
        <v>616</v>
      </c>
      <c r="B15" s="15" t="str">
        <f>BID!B680</f>
        <v>NASOGASTRIC TUBE 5"</v>
      </c>
      <c r="C15" s="15">
        <f>BID!C680</f>
        <v>100</v>
      </c>
      <c r="D15" s="15">
        <f>IF(K15&gt;0,(K15/100)*BID!D680,1*BID!D680)</f>
        <v>30</v>
      </c>
      <c r="E15" s="60">
        <f>IF(K15&gt;0,PR!M678,IF(BID!K680="SANCON",BID!L680,0))</f>
        <v>5400</v>
      </c>
      <c r="F15" s="61">
        <f t="shared" si="0"/>
        <v>162000</v>
      </c>
      <c r="K15" s="445"/>
    </row>
    <row r="16" spans="1:11" ht="20.25" thickTop="1" thickBot="1" x14ac:dyDescent="0.35">
      <c r="A16" s="430">
        <f>BID!A681</f>
        <v>617</v>
      </c>
      <c r="B16" s="15" t="str">
        <f>BID!B681</f>
        <v>NASOGASTRIC TUBE 6"</v>
      </c>
      <c r="C16" s="15">
        <f>BID!C681</f>
        <v>100</v>
      </c>
      <c r="D16" s="15">
        <f>IF(K16&gt;0,(K16/100)*BID!D681,1*BID!D681)</f>
        <v>24</v>
      </c>
      <c r="E16" s="60">
        <f>IF(K16&gt;0,PR!M679,IF(BID!K681="SANCON",BID!L681,0))</f>
        <v>5400</v>
      </c>
      <c r="F16" s="61">
        <f t="shared" si="0"/>
        <v>129600</v>
      </c>
      <c r="K16" s="445"/>
    </row>
    <row r="17" spans="1:11" ht="20.25" thickTop="1" thickBot="1" x14ac:dyDescent="0.35">
      <c r="A17" s="430">
        <f>BID!A682</f>
        <v>618</v>
      </c>
      <c r="B17" s="15" t="str">
        <f>BID!B682</f>
        <v>NASOGASTRIC TUBE 8"</v>
      </c>
      <c r="C17" s="15">
        <f>BID!C682</f>
        <v>10</v>
      </c>
      <c r="D17" s="15">
        <f>IF(K17&gt;0,(K17/100)*BID!D682,1*BID!D682)</f>
        <v>17</v>
      </c>
      <c r="E17" s="60">
        <f>IF(K17&gt;0,PR!M680,IF(BID!K682="SANCON",BID!L682,0))</f>
        <v>540</v>
      </c>
      <c r="F17" s="61">
        <f t="shared" si="0"/>
        <v>9180</v>
      </c>
      <c r="K17" s="445"/>
    </row>
    <row r="18" spans="1:11" ht="20.25" thickTop="1" thickBot="1" x14ac:dyDescent="0.35">
      <c r="A18" s="430">
        <f>BID!A780</f>
        <v>706</v>
      </c>
      <c r="B18" s="15" t="str">
        <f>BID!B780</f>
        <v>NYLON 2/0  (40-45) LONG NEEDLE</v>
      </c>
      <c r="C18" s="15">
        <f>BID!C780</f>
        <v>12</v>
      </c>
      <c r="D18" s="15">
        <f>IF(K18&gt;0,(K18/100)*BID!D780,1*BID!D780)</f>
        <v>50</v>
      </c>
      <c r="E18" s="60">
        <f>IF(K18&gt;0,PR!M778,IF(BID!K780="SANCON",BID!L780,0))</f>
        <v>700</v>
      </c>
      <c r="F18" s="61">
        <f t="shared" si="0"/>
        <v>35000</v>
      </c>
      <c r="K18" s="445">
        <v>50</v>
      </c>
    </row>
    <row r="19" spans="1:11" ht="20.25" thickTop="1" thickBot="1" x14ac:dyDescent="0.35">
      <c r="A19" s="430">
        <f>BID!A695</f>
        <v>631</v>
      </c>
      <c r="B19" s="15" t="str">
        <f>BID!B695</f>
        <v>SCOTCH CAST 5"</v>
      </c>
      <c r="C19" s="15">
        <f>BID!C695</f>
        <v>10</v>
      </c>
      <c r="D19" s="15">
        <f>IF(K19&gt;0,(K19/100)*BID!D695,1*BID!D695)</f>
        <v>23</v>
      </c>
      <c r="E19" s="60">
        <f>IF(K19&gt;0,PR!M693,IF(BID!K695="SANCON",BID!L695,0))</f>
        <v>16000</v>
      </c>
      <c r="F19" s="61">
        <f t="shared" si="0"/>
        <v>368000</v>
      </c>
      <c r="K19" s="445"/>
    </row>
    <row r="20" spans="1:11" ht="20.25" thickTop="1" thickBot="1" x14ac:dyDescent="0.35">
      <c r="A20" s="430">
        <f>BID!A699</f>
        <v>635</v>
      </c>
      <c r="B20" s="15" t="str">
        <f>BID!B699</f>
        <v>SKIN TRACTION KIT (ADULT)</v>
      </c>
      <c r="C20" s="15" t="str">
        <f>BID!C699</f>
        <v>PCS</v>
      </c>
      <c r="D20" s="15">
        <f>IF(K20&gt;0,(K20/100)*BID!D699,1*BID!D699)</f>
        <v>120</v>
      </c>
      <c r="E20" s="60">
        <f>IF(K20&gt;0,PR!M697,IF(BID!K699="SANCON",BID!L699,0))</f>
        <v>4600</v>
      </c>
      <c r="F20" s="61">
        <f t="shared" si="0"/>
        <v>552000</v>
      </c>
      <c r="K20" s="445"/>
    </row>
    <row r="21" spans="1:11" ht="20.25" thickTop="1" thickBot="1" x14ac:dyDescent="0.35">
      <c r="A21" s="430">
        <f>BID!A700</f>
        <v>636</v>
      </c>
      <c r="B21" s="15" t="str">
        <f>BID!B700</f>
        <v>SKIN TRACTION KIT (PAED)</v>
      </c>
      <c r="C21" s="15" t="str">
        <f>BID!C700</f>
        <v>PCS</v>
      </c>
      <c r="D21" s="15">
        <f>IF(K21&gt;0,(K21/100)*BID!D700,1*BID!D700)</f>
        <v>40</v>
      </c>
      <c r="E21" s="60">
        <f>IF(K21&gt;0,PR!M698,IF(BID!K700="SANCON",BID!L700,0))</f>
        <v>4000</v>
      </c>
      <c r="F21" s="61">
        <f t="shared" si="0"/>
        <v>160000</v>
      </c>
      <c r="K21" s="445"/>
    </row>
    <row r="22" spans="1:11" ht="20.25" thickTop="1" thickBot="1" x14ac:dyDescent="0.35">
      <c r="A22" s="430">
        <f>BID!A704</f>
        <v>640</v>
      </c>
      <c r="B22" s="15" t="str">
        <f>BID!B704</f>
        <v>SURGICAL BLADE 11"</v>
      </c>
      <c r="C22" s="15">
        <f>BID!C704</f>
        <v>100</v>
      </c>
      <c r="D22" s="15">
        <f>IF(K22&gt;0,(K22/100)*BID!D704,1*BID!D704)</f>
        <v>4</v>
      </c>
      <c r="E22" s="60">
        <f>IF(K22&gt;0,PR!M702,IF(BID!K704="SANCON",BID!L704,0))</f>
        <v>1300</v>
      </c>
      <c r="F22" s="61">
        <f t="shared" si="0"/>
        <v>5200</v>
      </c>
      <c r="K22" s="445"/>
    </row>
    <row r="23" spans="1:11" ht="20.25" thickTop="1" thickBot="1" x14ac:dyDescent="0.35">
      <c r="A23" s="430">
        <f>BID!A706</f>
        <v>642</v>
      </c>
      <c r="B23" s="15" t="str">
        <f>BID!B706</f>
        <v>SURGICAL BLADE 15"</v>
      </c>
      <c r="C23" s="15">
        <f>BID!C706</f>
        <v>100</v>
      </c>
      <c r="D23" s="15">
        <f>IF(K23&gt;0,(K23/100)*BID!D706,1*BID!D706)</f>
        <v>13</v>
      </c>
      <c r="E23" s="60">
        <f>IF(K23&gt;0,PR!M704,IF(BID!K706="SANCON",BID!L706,0))</f>
        <v>1300</v>
      </c>
      <c r="F23" s="61">
        <f t="shared" si="0"/>
        <v>16900</v>
      </c>
      <c r="K23" s="445"/>
    </row>
    <row r="24" spans="1:11" ht="20.25" thickTop="1" thickBot="1" x14ac:dyDescent="0.35">
      <c r="A24" s="430">
        <f>BID!A708</f>
        <v>644</v>
      </c>
      <c r="B24" s="15" t="str">
        <f>BID!B708</f>
        <v>SURGICAL BLADE 23"</v>
      </c>
      <c r="C24" s="15">
        <f>BID!C708</f>
        <v>100</v>
      </c>
      <c r="D24" s="15">
        <f>IF(K24&gt;0,(K24/100)*BID!D708,1*BID!D708)</f>
        <v>20</v>
      </c>
      <c r="E24" s="60">
        <f>IF(K24&gt;0,PR!M706,IF(BID!K708="SANCON",BID!L708,0))</f>
        <v>1300</v>
      </c>
      <c r="F24" s="61">
        <f t="shared" si="0"/>
        <v>26000</v>
      </c>
      <c r="K24" s="445"/>
    </row>
    <row r="25" spans="1:11" ht="20.25" thickTop="1" thickBot="1" x14ac:dyDescent="0.35">
      <c r="A25" s="430"/>
      <c r="B25" s="15"/>
      <c r="C25" s="15"/>
      <c r="D25" s="15"/>
      <c r="E25" s="60"/>
      <c r="F25" s="61"/>
      <c r="K25" s="445"/>
    </row>
    <row r="26" spans="1:11" ht="24.75" thickTop="1" thickBot="1" x14ac:dyDescent="0.3">
      <c r="A26" s="430"/>
      <c r="B26" s="820" t="s">
        <v>1507</v>
      </c>
      <c r="C26" s="821"/>
      <c r="D26" s="821"/>
      <c r="E26" s="821"/>
      <c r="F26" s="822"/>
      <c r="K26" s="445"/>
    </row>
    <row r="27" spans="1:11" ht="20.25" thickTop="1" thickBot="1" x14ac:dyDescent="0.35">
      <c r="A27" s="430">
        <f>BID!A841</f>
        <v>755</v>
      </c>
      <c r="B27" s="15" t="str">
        <f>BID!B841</f>
        <v>AUTOCLAVE TAPES (B-10)</v>
      </c>
      <c r="C27" s="15" t="str">
        <f>BID!C841</f>
        <v>PCS</v>
      </c>
      <c r="D27" s="15">
        <f>IF(K27&gt;0,(K27/100)*BID!D841,1*BID!D841)</f>
        <v>250</v>
      </c>
      <c r="E27" s="60">
        <f>IF(K27&gt;0,PR!M839,IF(BID!K841="SANCON",BID!L841,0))</f>
        <v>2200</v>
      </c>
      <c r="F27" s="61">
        <f>IF(E27&gt;0,(E27*D27),0)</f>
        <v>550000</v>
      </c>
      <c r="K27" s="445"/>
    </row>
    <row r="28" spans="1:11" ht="20.25" thickTop="1" thickBot="1" x14ac:dyDescent="0.35">
      <c r="A28" s="430">
        <f>BID!A845</f>
        <v>759</v>
      </c>
      <c r="B28" s="15" t="str">
        <f>BID!B845</f>
        <v>EPIDURAL SETS (PORTEX)</v>
      </c>
      <c r="C28" s="15" t="str">
        <f>BID!C845</f>
        <v>PACK</v>
      </c>
      <c r="D28" s="15">
        <f>IF(K28&gt;0,(K28/100)*BID!D845,1*BID!D845)</f>
        <v>30</v>
      </c>
      <c r="E28" s="60">
        <f>IF(K28&gt;0,PR!M843,IF(BID!K845="SANCON",BID!L845,0))</f>
        <v>69000</v>
      </c>
      <c r="F28" s="61">
        <f>IF(E28&gt;0,(E28*D28),0)</f>
        <v>2070000</v>
      </c>
      <c r="K28" s="445"/>
    </row>
    <row r="29" spans="1:11" ht="20.25" thickTop="1" thickBot="1" x14ac:dyDescent="0.35">
      <c r="A29" s="430">
        <f>BID!A836</f>
        <v>750</v>
      </c>
      <c r="B29" s="15" t="str">
        <f>BID!B836</f>
        <v>SODALIME 5 LITRE (SPHERASORB)</v>
      </c>
      <c r="C29" s="15" t="str">
        <f>BID!C836</f>
        <v>KEG</v>
      </c>
      <c r="D29" s="15">
        <f>IF(K29&gt;0,(K29/100)*BID!D836,1*BID!D836)</f>
        <v>8</v>
      </c>
      <c r="E29" s="60">
        <f>IF(K29&gt;0,PR!M834,IF(BID!K836="SANCON",BID!L836,0))</f>
        <v>59000</v>
      </c>
      <c r="F29" s="61">
        <f>IF(E29&gt;0,(E29*D29),0)</f>
        <v>472000</v>
      </c>
      <c r="K29" s="445"/>
    </row>
    <row r="30" spans="1:11" ht="20.25" thickTop="1" thickBot="1" x14ac:dyDescent="0.35">
      <c r="A30" s="430"/>
      <c r="B30" s="15"/>
      <c r="C30" s="15"/>
      <c r="D30" s="15"/>
      <c r="E30" s="60"/>
      <c r="F30" s="61"/>
      <c r="K30" s="445"/>
    </row>
    <row r="31" spans="1:11" ht="24.75" thickTop="1" thickBot="1" x14ac:dyDescent="0.3">
      <c r="A31" s="430"/>
      <c r="B31" s="820" t="s">
        <v>1548</v>
      </c>
      <c r="C31" s="821"/>
      <c r="D31" s="821"/>
      <c r="E31" s="821"/>
      <c r="F31" s="822"/>
      <c r="K31" s="445"/>
    </row>
    <row r="32" spans="1:11" ht="20.25" thickTop="1" thickBot="1" x14ac:dyDescent="0.35">
      <c r="A32" s="430">
        <f>BID!A857</f>
        <v>765</v>
      </c>
      <c r="B32" s="15" t="str">
        <f>BID!B857</f>
        <v>BEAKER 500ML PYREX GLASS</v>
      </c>
      <c r="C32" s="15" t="str">
        <f>BID!C857</f>
        <v>10 pcs</v>
      </c>
      <c r="D32" s="15">
        <f>IF(K32&gt;0,(K32/100)*BID!D857,1*BID!D857)</f>
        <v>10</v>
      </c>
      <c r="E32" s="60">
        <f>IF(K32&gt;0,PR!M855,IF(BID!K857="SANCON",BID!L857,0))</f>
        <v>800</v>
      </c>
      <c r="F32" s="61">
        <f t="shared" ref="F32:F44" si="1">IF(E32&gt;0,(E32*D32),0)</f>
        <v>8000</v>
      </c>
      <c r="K32" s="445"/>
    </row>
    <row r="33" spans="1:11" ht="20.25" thickTop="1" thickBot="1" x14ac:dyDescent="0.35">
      <c r="A33" s="430">
        <f>BID!A911</f>
        <v>819</v>
      </c>
      <c r="B33" s="15" t="str">
        <f>BID!B911</f>
        <v>BLOOD BAG (ADULT) CPDAL (AXIOM)</v>
      </c>
      <c r="C33" s="15">
        <f>BID!C911</f>
        <v>0</v>
      </c>
      <c r="D33" s="15">
        <f>IF(K33&gt;0,(K33/100)*BID!D911,1*BID!D911)</f>
        <v>30</v>
      </c>
      <c r="E33" s="60">
        <f>IF(K33&gt;0,PR!M909,IF(BID!K911="SANCON",BID!L911,0))</f>
        <v>39000</v>
      </c>
      <c r="F33" s="61">
        <f t="shared" si="1"/>
        <v>1170000</v>
      </c>
      <c r="K33" s="445"/>
    </row>
    <row r="34" spans="1:11" ht="20.25" thickTop="1" thickBot="1" x14ac:dyDescent="0.35">
      <c r="A34" s="430">
        <f>BID!A872</f>
        <v>780</v>
      </c>
      <c r="B34" s="15" t="str">
        <f>BID!B872</f>
        <v>BLOOD BAG (PAED) CPDAL (AXIOM)</v>
      </c>
      <c r="C34" s="15" t="str">
        <f>BID!C872</f>
        <v>1 cnt of 10</v>
      </c>
      <c r="D34" s="15">
        <f>IF(K34&gt;0,(K34/100)*BID!D872,1*BID!D872)</f>
        <v>1</v>
      </c>
      <c r="E34" s="60">
        <f>IF(K34&gt;0,PR!M870,IF(BID!K872="SANCON",BID!L872,0))</f>
        <v>40000</v>
      </c>
      <c r="F34" s="61">
        <f t="shared" si="1"/>
        <v>40000</v>
      </c>
      <c r="K34" s="445"/>
    </row>
    <row r="35" spans="1:11" ht="20.25" thickTop="1" thickBot="1" x14ac:dyDescent="0.35">
      <c r="A35" s="430">
        <f>BID!A862</f>
        <v>770</v>
      </c>
      <c r="B35" s="15" t="str">
        <f>BID!B862</f>
        <v>FIN TIPS (BLUE) (0 - 100ML)</v>
      </c>
      <c r="C35" s="15" t="str">
        <f>BID!C862</f>
        <v>1 pack of 100</v>
      </c>
      <c r="D35" s="15">
        <f>IF(K35&gt;0,(K35/100)*BID!D862,1*BID!D862)</f>
        <v>12</v>
      </c>
      <c r="E35" s="60">
        <f>IF(K35&gt;0,PR!M860,IF(BID!K862="SANCON",BID!L862,0))</f>
        <v>900</v>
      </c>
      <c r="F35" s="61">
        <f t="shared" si="1"/>
        <v>10800</v>
      </c>
      <c r="K35" s="445"/>
    </row>
    <row r="36" spans="1:11" ht="20.25" thickTop="1" thickBot="1" x14ac:dyDescent="0.35">
      <c r="A36" s="430">
        <f>BID!A929</f>
        <v>837</v>
      </c>
      <c r="B36" s="15" t="str">
        <f>BID!B929</f>
        <v>GROUPING TILES</v>
      </c>
      <c r="C36" s="15">
        <f>BID!C929</f>
        <v>0</v>
      </c>
      <c r="D36" s="15">
        <f>IF(K36&gt;0,(K36/100)*BID!D929,1*BID!D929)</f>
        <v>8</v>
      </c>
      <c r="E36" s="60">
        <f>IF(K36&gt;0,PR!M927,IF(BID!K929="SANCON",BID!L929,0))</f>
        <v>2600</v>
      </c>
      <c r="F36" s="61">
        <f t="shared" si="1"/>
        <v>20800</v>
      </c>
      <c r="K36" s="445"/>
    </row>
    <row r="37" spans="1:11" ht="20.25" thickTop="1" thickBot="1" x14ac:dyDescent="0.35">
      <c r="A37" s="430">
        <f>BID!A913</f>
        <v>821</v>
      </c>
      <c r="B37" s="15" t="str">
        <f>BID!B913</f>
        <v>LEISHMAN STAIN POWDER (25G)</v>
      </c>
      <c r="C37" s="15">
        <f>BID!C913</f>
        <v>0</v>
      </c>
      <c r="D37" s="15">
        <f>IF(K37&gt;0,(K37/100)*BID!D913,1*BID!D913)</f>
        <v>6</v>
      </c>
      <c r="E37" s="60">
        <f>IF(K37&gt;0,PR!M911,IF(BID!K913="SANCON",BID!L913,0))</f>
        <v>3000</v>
      </c>
      <c r="F37" s="61">
        <f t="shared" si="1"/>
        <v>18000</v>
      </c>
      <c r="K37" s="445"/>
    </row>
    <row r="38" spans="1:11" ht="20.25" thickTop="1" thickBot="1" x14ac:dyDescent="0.35">
      <c r="A38" s="430">
        <f>BID!A923</f>
        <v>831</v>
      </c>
      <c r="B38" s="15" t="str">
        <f>BID!B923</f>
        <v>LIQUID SOAP (500ML)</v>
      </c>
      <c r="C38" s="15" t="str">
        <f>BID!C923</f>
        <v>6 packs</v>
      </c>
      <c r="D38" s="15">
        <f>IF(K38&gt;0,(K38/100)*BID!D923,1*BID!D923)</f>
        <v>6</v>
      </c>
      <c r="E38" s="60">
        <f>IF(K38&gt;0,PR!M921,IF(BID!K923="SANCON",BID!L923,0))</f>
        <v>4200</v>
      </c>
      <c r="F38" s="61">
        <f t="shared" si="1"/>
        <v>25200</v>
      </c>
      <c r="K38" s="445"/>
    </row>
    <row r="39" spans="1:11" ht="20.25" thickTop="1" thickBot="1" x14ac:dyDescent="0.35">
      <c r="A39" s="430">
        <f>BID!A914</f>
        <v>822</v>
      </c>
      <c r="B39" s="15" t="str">
        <f>BID!B914</f>
        <v>MALACHITE GREEN STAIN</v>
      </c>
      <c r="C39" s="15">
        <f>BID!C914</f>
        <v>0</v>
      </c>
      <c r="D39" s="15">
        <f>IF(K39&gt;0,(K39/100)*BID!D914,1*BID!D914)</f>
        <v>1</v>
      </c>
      <c r="E39" s="60">
        <f>IF(K39&gt;0,PR!M912,IF(BID!K914="SANCON",BID!L914,0))</f>
        <v>3500</v>
      </c>
      <c r="F39" s="61">
        <f t="shared" si="1"/>
        <v>3500</v>
      </c>
      <c r="K39" s="445"/>
    </row>
    <row r="40" spans="1:11" ht="20.25" thickTop="1" thickBot="1" x14ac:dyDescent="0.35">
      <c r="A40" s="430">
        <f>BID!A858</f>
        <v>766</v>
      </c>
      <c r="B40" s="15" t="str">
        <f>BID!B858</f>
        <v>NON-DIGITAL LAB. THERMOMETER</v>
      </c>
      <c r="C40" s="15" t="str">
        <f>BID!C858</f>
        <v>5 pcs</v>
      </c>
      <c r="D40" s="15">
        <f>IF(K40&gt;0,(K40/100)*BID!D858,1*BID!D858)</f>
        <v>5</v>
      </c>
      <c r="E40" s="60">
        <f>IF(K40&gt;0,PR!M856,IF(BID!K858="SANCON",BID!L858,0))</f>
        <v>500</v>
      </c>
      <c r="F40" s="61">
        <f t="shared" si="1"/>
        <v>2500</v>
      </c>
      <c r="K40" s="445"/>
    </row>
    <row r="41" spans="1:11" ht="20.25" thickTop="1" thickBot="1" x14ac:dyDescent="0.35">
      <c r="A41" s="430">
        <f>BID!A919</f>
        <v>827</v>
      </c>
      <c r="B41" s="15" t="str">
        <f>BID!B919</f>
        <v>PAEDIATRIC EDTA VAC. BOTTLES</v>
      </c>
      <c r="C41" s="15" t="str">
        <f>BID!C919</f>
        <v>1 pack of 10</v>
      </c>
      <c r="D41" s="15">
        <f>IF(K41&gt;0,(K41/100)*BID!D919,1*BID!D919)</f>
        <v>3</v>
      </c>
      <c r="E41" s="60">
        <f>IF(K41&gt;0,PR!M917,IF(BID!K919="SANCON",BID!L919,0))</f>
        <v>4500</v>
      </c>
      <c r="F41" s="61">
        <f t="shared" si="1"/>
        <v>13500</v>
      </c>
      <c r="K41" s="445"/>
    </row>
    <row r="42" spans="1:11" ht="20.25" thickTop="1" thickBot="1" x14ac:dyDescent="0.35">
      <c r="A42" s="430">
        <f>BID!A935</f>
        <v>843</v>
      </c>
      <c r="B42" s="15" t="str">
        <f>BID!B935</f>
        <v>PLASTIC SLIDE BOX</v>
      </c>
      <c r="C42" s="15">
        <f>BID!C935</f>
        <v>0</v>
      </c>
      <c r="D42" s="15">
        <f>IF(K42&gt;0,(K42/100)*BID!D935,1*BID!D935)</f>
        <v>7</v>
      </c>
      <c r="E42" s="60">
        <f>IF(K42&gt;0,PR!M933,IF(BID!K935="SANCON",BID!L935,0))</f>
        <v>2000</v>
      </c>
      <c r="F42" s="61">
        <f t="shared" si="1"/>
        <v>14000</v>
      </c>
      <c r="K42" s="445"/>
    </row>
    <row r="43" spans="1:11" ht="20.25" thickTop="1" thickBot="1" x14ac:dyDescent="0.35">
      <c r="A43" s="430">
        <f>BID!A863</f>
        <v>771</v>
      </c>
      <c r="B43" s="15" t="str">
        <f>BID!B863</f>
        <v>STOP WATCH</v>
      </c>
      <c r="C43" s="15" t="str">
        <f>BID!C863</f>
        <v>2 pcs</v>
      </c>
      <c r="D43" s="15">
        <f>IF(K43&gt;0,(K43/100)*BID!D863,1*BID!D863)</f>
        <v>2</v>
      </c>
      <c r="E43" s="60">
        <f>IF(K43&gt;0,PR!M861,IF(BID!K863="SANCON",BID!L863,0))</f>
        <v>3000</v>
      </c>
      <c r="F43" s="61">
        <f t="shared" si="1"/>
        <v>6000</v>
      </c>
      <c r="K43" s="445"/>
    </row>
    <row r="44" spans="1:11" ht="20.25" thickTop="1" thickBot="1" x14ac:dyDescent="0.35">
      <c r="A44" s="430">
        <f>BID!A931</f>
        <v>839</v>
      </c>
      <c r="B44" s="15" t="str">
        <f>BID!B931</f>
        <v>TENNIS BALLS</v>
      </c>
      <c r="C44" s="15" t="str">
        <f>BID!C931</f>
        <v>1 pkt of 12</v>
      </c>
      <c r="D44" s="15">
        <f>IF(K44&gt;0,(K44/100)*BID!D931,1*BID!D931)</f>
        <v>12</v>
      </c>
      <c r="E44" s="60">
        <f>IF(K44&gt;0,PR!M929,IF(BID!K931="SANCON",BID!L931,0))</f>
        <v>7200</v>
      </c>
      <c r="F44" s="61">
        <f t="shared" si="1"/>
        <v>86400</v>
      </c>
      <c r="K44" s="445"/>
    </row>
    <row r="45" spans="1:11" ht="20.25" thickTop="1" thickBot="1" x14ac:dyDescent="0.35">
      <c r="A45" s="430"/>
      <c r="B45" s="15"/>
      <c r="C45" s="15"/>
      <c r="D45" s="15"/>
      <c r="E45" s="60"/>
      <c r="F45" s="61"/>
      <c r="K45" s="445"/>
    </row>
    <row r="46" spans="1:11" ht="24.75" thickTop="1" thickBot="1" x14ac:dyDescent="0.3">
      <c r="A46" s="430"/>
      <c r="B46" s="820" t="s">
        <v>1657</v>
      </c>
      <c r="C46" s="821"/>
      <c r="D46" s="821"/>
      <c r="E46" s="821"/>
      <c r="F46" s="822"/>
      <c r="K46" s="445"/>
    </row>
    <row r="47" spans="1:11" ht="20.25" thickTop="1" thickBot="1" x14ac:dyDescent="0.35">
      <c r="A47" s="430">
        <f>BID!A994</f>
        <v>896</v>
      </c>
      <c r="B47" s="15" t="str">
        <f>BID!B994</f>
        <v>ACID FUCHSIN</v>
      </c>
      <c r="C47" s="15" t="str">
        <f>BID!C994</f>
        <v>25g</v>
      </c>
      <c r="D47" s="15">
        <f>IF(K47&gt;0,(K47/100)*BID!D994,1*BID!D994)</f>
        <v>2</v>
      </c>
      <c r="E47" s="60">
        <f>IF(K47&gt;0,PR!M992,IF(BID!K994="SANCON",BID!L994,0))</f>
        <v>4000</v>
      </c>
      <c r="F47" s="61">
        <f t="shared" ref="F47:F57" si="2">IF(E47&gt;0,(E47*D47),0)</f>
        <v>8000</v>
      </c>
      <c r="K47" s="445"/>
    </row>
    <row r="48" spans="1:11" ht="20.25" thickTop="1" thickBot="1" x14ac:dyDescent="0.35">
      <c r="A48" s="430">
        <f>BID!A964</f>
        <v>866</v>
      </c>
      <c r="B48" s="15" t="str">
        <f>BID!B964</f>
        <v>DELTA FORCE</v>
      </c>
      <c r="C48" s="15" t="str">
        <f>BID!C964</f>
        <v>1 Carton (10pcs)</v>
      </c>
      <c r="D48" s="15">
        <f>IF(K48&gt;0,(K48/100)*BID!D964,1*BID!D964)</f>
        <v>4</v>
      </c>
      <c r="E48" s="60">
        <f>IF(K48&gt;0,PR!M962,IF(BID!K964="SANCON",BID!L964,0))</f>
        <v>32600</v>
      </c>
      <c r="F48" s="61">
        <f t="shared" si="2"/>
        <v>130400</v>
      </c>
      <c r="K48" s="445"/>
    </row>
    <row r="49" spans="1:11" ht="20.25" thickTop="1" thickBot="1" x14ac:dyDescent="0.35">
      <c r="A49" s="430">
        <f>BID!A965</f>
        <v>867</v>
      </c>
      <c r="B49" s="15" t="str">
        <f>BID!B965</f>
        <v>FACE MASK SURGICAL</v>
      </c>
      <c r="C49" s="15" t="str">
        <f>BID!C965</f>
        <v>1 Carton (50x10)</v>
      </c>
      <c r="D49" s="15">
        <f>IF(K49&gt;0,(K49/100)*BID!D965,1*BID!D965)</f>
        <v>4</v>
      </c>
      <c r="E49" s="60">
        <f>IF(K49&gt;0,PR!M963,IF(BID!K965="SANCON",BID!L965,0))</f>
        <v>4500</v>
      </c>
      <c r="F49" s="61">
        <f t="shared" si="2"/>
        <v>18000</v>
      </c>
      <c r="K49" s="445"/>
    </row>
    <row r="50" spans="1:11" ht="20.25" thickTop="1" thickBot="1" x14ac:dyDescent="0.35">
      <c r="A50" s="430">
        <f>BID!A966</f>
        <v>868</v>
      </c>
      <c r="B50" s="15" t="str">
        <f>BID!B966</f>
        <v>FILTER PAPER</v>
      </c>
      <c r="C50" s="15" t="str">
        <f>BID!C966</f>
        <v>1 pack (25pcs) Medium</v>
      </c>
      <c r="D50" s="15">
        <f>IF(K50&gt;0,(K50/100)*BID!D966,1*BID!D966)</f>
        <v>2</v>
      </c>
      <c r="E50" s="60">
        <f>IF(K50&gt;0,PR!M964,IF(BID!K966="SANCON",BID!L966,0))</f>
        <v>1200</v>
      </c>
      <c r="F50" s="61">
        <f t="shared" si="2"/>
        <v>2400</v>
      </c>
      <c r="K50" s="445"/>
    </row>
    <row r="51" spans="1:11" ht="20.25" thickTop="1" thickBot="1" x14ac:dyDescent="0.35">
      <c r="A51" s="430">
        <f>BID!A948</f>
        <v>850</v>
      </c>
      <c r="B51" s="15" t="str">
        <f>BID!B948</f>
        <v>FROSTED END SLIDE</v>
      </c>
      <c r="C51" s="15" t="str">
        <f>BID!C948</f>
        <v>1 Carton (40packs)</v>
      </c>
      <c r="D51" s="15">
        <f>IF(K51&gt;0,(K51/100)*BID!D948,1*BID!D948)</f>
        <v>10</v>
      </c>
      <c r="E51" s="60">
        <f>IF(K51&gt;0,PR!M946,IF(BID!K948="SANCON",BID!L948,0))</f>
        <v>18000</v>
      </c>
      <c r="F51" s="61">
        <f t="shared" si="2"/>
        <v>180000</v>
      </c>
      <c r="K51" s="445">
        <v>50</v>
      </c>
    </row>
    <row r="52" spans="1:11" ht="20.25" thickTop="1" thickBot="1" x14ac:dyDescent="0.35">
      <c r="A52" s="430">
        <f>BID!A970</f>
        <v>872</v>
      </c>
      <c r="B52" s="15" t="str">
        <f>BID!B970</f>
        <v>I P A ALCOHOL</v>
      </c>
      <c r="C52" s="15" t="str">
        <f>BID!C970</f>
        <v>1 Drum (200 LTRS</v>
      </c>
      <c r="D52" s="15">
        <f>IF(K52&gt;0,(K52/100)*BID!D970,1*BID!D970)</f>
        <v>2</v>
      </c>
      <c r="E52" s="60">
        <f>IF(K52&gt;0,PR!M968,IF(BID!K970="SANCON",BID!L970,0))</f>
        <v>120000</v>
      </c>
      <c r="F52" s="61">
        <f t="shared" si="2"/>
        <v>240000</v>
      </c>
      <c r="K52" s="445"/>
    </row>
    <row r="53" spans="1:11" ht="20.25" thickTop="1" thickBot="1" x14ac:dyDescent="0.35">
      <c r="A53" s="430">
        <f>BID!A956</f>
        <v>858</v>
      </c>
      <c r="B53" s="15" t="str">
        <f>BID!B956</f>
        <v>NYLON APRON (DISPOSABLE)</v>
      </c>
      <c r="C53" s="15" t="str">
        <f>BID!C956</f>
        <v>1 pack (20pcs)</v>
      </c>
      <c r="D53" s="15">
        <f>IF(K53&gt;0,(K53/100)*BID!D956,1*BID!D956)</f>
        <v>5</v>
      </c>
      <c r="E53" s="60">
        <f>IF(K53&gt;0,PR!M954,IF(BID!K956="SANCON",BID!L956,0))</f>
        <v>2500</v>
      </c>
      <c r="F53" s="61">
        <f t="shared" si="2"/>
        <v>12500</v>
      </c>
      <c r="K53" s="445"/>
    </row>
    <row r="54" spans="1:11" ht="20.25" thickTop="1" thickBot="1" x14ac:dyDescent="0.35">
      <c r="A54" s="430">
        <f>BID!A995</f>
        <v>897</v>
      </c>
      <c r="B54" s="15" t="str">
        <f>BID!B995</f>
        <v>PONCEAN 2R</v>
      </c>
      <c r="C54" s="15" t="str">
        <f>BID!C995</f>
        <v>25g</v>
      </c>
      <c r="D54" s="15">
        <f>IF(K54&gt;0,(K54/100)*BID!D995,1*BID!D995)</f>
        <v>2</v>
      </c>
      <c r="E54" s="60">
        <f>IF(K54&gt;0,PR!M993,IF(BID!K995="SANCON",BID!L995,0))</f>
        <v>4000</v>
      </c>
      <c r="F54" s="61">
        <f t="shared" si="2"/>
        <v>8000</v>
      </c>
      <c r="K54" s="445"/>
    </row>
    <row r="55" spans="1:11" ht="20.25" thickTop="1" thickBot="1" x14ac:dyDescent="0.35">
      <c r="A55" s="430">
        <f>BID!A972</f>
        <v>874</v>
      </c>
      <c r="B55" s="15" t="str">
        <f>BID!B972</f>
        <v>POTASSIUM ALUM</v>
      </c>
      <c r="C55" s="15" t="str">
        <f>BID!C972</f>
        <v>1 bottle (500g)</v>
      </c>
      <c r="D55" s="15">
        <f>IF(K55&gt;0,(K55/100)*BID!D972,1*BID!D972)</f>
        <v>1</v>
      </c>
      <c r="E55" s="60">
        <f>IF(K55&gt;0,PR!M970,IF(BID!K972="SANCON",BID!L972,0))</f>
        <v>5000</v>
      </c>
      <c r="F55" s="61">
        <f t="shared" si="2"/>
        <v>5000</v>
      </c>
      <c r="K55" s="445"/>
    </row>
    <row r="56" spans="1:11" ht="20.25" thickTop="1" thickBot="1" x14ac:dyDescent="0.35">
      <c r="A56" s="430">
        <f>BID!A984</f>
        <v>886</v>
      </c>
      <c r="B56" s="15" t="str">
        <f>BID!B984</f>
        <v>SLIDE TRAY</v>
      </c>
      <c r="C56" s="15" t="str">
        <f>BID!C984</f>
        <v>1 Carton (100pcs)</v>
      </c>
      <c r="D56" s="15">
        <f>IF(K56&gt;0,(K56/100)*BID!D984,1*BID!D984)</f>
        <v>20</v>
      </c>
      <c r="E56" s="60">
        <f>IF(K56&gt;0,PR!M982,IF(BID!K984="SANCON",BID!L984,0))</f>
        <v>2500</v>
      </c>
      <c r="F56" s="61">
        <f t="shared" si="2"/>
        <v>50000</v>
      </c>
      <c r="K56" s="445"/>
    </row>
    <row r="57" spans="1:11" ht="20.25" thickTop="1" thickBot="1" x14ac:dyDescent="0.35">
      <c r="A57" s="430">
        <f>BID!A973</f>
        <v>875</v>
      </c>
      <c r="B57" s="15" t="str">
        <f>BID!B973</f>
        <v>SNAPER</v>
      </c>
      <c r="C57" s="15" t="str">
        <f>BID!C973</f>
        <v>1 Carton (10 x500ml)</v>
      </c>
      <c r="D57" s="15">
        <f>IF(K57&gt;0,(K57/100)*BID!D973,1*BID!D973)</f>
        <v>4</v>
      </c>
      <c r="E57" s="60">
        <f>IF(K57&gt;0,PR!M971,IF(BID!K973="SANCON",BID!L973,0))</f>
        <v>21600</v>
      </c>
      <c r="F57" s="61">
        <f t="shared" si="2"/>
        <v>86400</v>
      </c>
      <c r="K57" s="445"/>
    </row>
    <row r="58" spans="1:11" ht="20.25" thickTop="1" thickBot="1" x14ac:dyDescent="0.35">
      <c r="A58" s="430"/>
      <c r="B58" s="15"/>
      <c r="C58" s="15"/>
      <c r="D58" s="15"/>
      <c r="E58" s="60"/>
      <c r="F58" s="61"/>
      <c r="K58" s="445"/>
    </row>
    <row r="59" spans="1:11" ht="24.75" thickTop="1" thickBot="1" x14ac:dyDescent="0.3">
      <c r="A59" s="430"/>
      <c r="B59" s="820" t="s">
        <v>1754</v>
      </c>
      <c r="C59" s="821"/>
      <c r="D59" s="821"/>
      <c r="E59" s="821"/>
      <c r="F59" s="822"/>
      <c r="K59" s="445"/>
    </row>
    <row r="60" spans="1:11" ht="20.25" thickTop="1" thickBot="1" x14ac:dyDescent="0.35">
      <c r="A60" s="430">
        <f>BID!A1036</f>
        <v>932</v>
      </c>
      <c r="B60" s="15" t="str">
        <f>BID!B1036</f>
        <v>CARE START MALARIA SCREENING KIT</v>
      </c>
      <c r="C60" s="15" t="str">
        <f>BID!C1036</f>
        <v>1 pack of 25kit</v>
      </c>
      <c r="D60" s="15">
        <f>IF(K60&gt;0,(K60/100)*BID!D1036,1*BID!D1036)</f>
        <v>60</v>
      </c>
      <c r="E60" s="60">
        <f>IF(K60&gt;0,PR!M1034,IF(BID!K1036="SANCON",BID!L1036,0))</f>
        <v>2400</v>
      </c>
      <c r="F60" s="61">
        <f t="shared" ref="F60:F72" si="3">IF(E60&gt;0,(E60*D60),0)</f>
        <v>144000</v>
      </c>
      <c r="K60" s="445"/>
    </row>
    <row r="61" spans="1:11" ht="20.25" thickTop="1" thickBot="1" x14ac:dyDescent="0.35">
      <c r="A61" s="430">
        <f>BID!A1043</f>
        <v>939</v>
      </c>
      <c r="B61" s="15" t="str">
        <f>BID!B1043</f>
        <v>EDTA VACUTAINER BOTTLE</v>
      </c>
      <c r="C61" s="15" t="str">
        <f>BID!C1043</f>
        <v>1 pack of 100</v>
      </c>
      <c r="D61" s="15">
        <f>IF(K61&gt;0,(K61/100)*BID!D1043,1*BID!D1043)</f>
        <v>20</v>
      </c>
      <c r="E61" s="60">
        <f>IF(K61&gt;0,PR!M1041,IF(BID!K1043="SANCON",BID!L1043,0))</f>
        <v>18000</v>
      </c>
      <c r="F61" s="61">
        <f t="shared" si="3"/>
        <v>360000</v>
      </c>
      <c r="K61" s="445"/>
    </row>
    <row r="62" spans="1:11" ht="20.25" thickTop="1" thickBot="1" x14ac:dyDescent="0.35">
      <c r="A62" s="430">
        <f>BID!A1049</f>
        <v>945</v>
      </c>
      <c r="B62" s="15" t="str">
        <f>BID!B1049</f>
        <v>FIN TIPS</v>
      </c>
      <c r="C62" s="15" t="str">
        <f>BID!C1049</f>
        <v>1 pack of 1000pieces</v>
      </c>
      <c r="D62" s="15">
        <f>IF(K62&gt;0,(K62/100)*BID!D1049,1*BID!D1049)</f>
        <v>20</v>
      </c>
      <c r="E62" s="60">
        <f>IF(K62&gt;0,PR!M1047,IF(BID!K1049="SANCON",BID!L1049,0))</f>
        <v>900</v>
      </c>
      <c r="F62" s="61">
        <f t="shared" si="3"/>
        <v>18000</v>
      </c>
      <c r="K62" s="445"/>
    </row>
    <row r="63" spans="1:11" ht="20.25" thickTop="1" thickBot="1" x14ac:dyDescent="0.35">
      <c r="A63" s="430">
        <f>BID!A1047</f>
        <v>943</v>
      </c>
      <c r="B63" s="15" t="str">
        <f>BID!B1047</f>
        <v>FROOSTED SLIDE</v>
      </c>
      <c r="C63" s="15" t="str">
        <f>BID!C1047</f>
        <v>1 pack of 72pieces</v>
      </c>
      <c r="D63" s="15">
        <f>IF(K63&gt;0,(K63/100)*BID!D1047,1*BID!D1047)</f>
        <v>5</v>
      </c>
      <c r="E63" s="60">
        <f>IF(K63&gt;0,PR!M1045,IF(BID!K1047="SANCON",BID!L1047,0))</f>
        <v>15200</v>
      </c>
      <c r="F63" s="61">
        <f t="shared" si="3"/>
        <v>76000</v>
      </c>
      <c r="K63" s="445"/>
    </row>
    <row r="64" spans="1:11" ht="20.25" thickTop="1" thickBot="1" x14ac:dyDescent="0.35">
      <c r="A64" s="430">
        <f>BID!A1046</f>
        <v>942</v>
      </c>
      <c r="B64" s="15" t="str">
        <f>BID!B1046</f>
        <v>GLASS SLIDE</v>
      </c>
      <c r="C64" s="15" t="str">
        <f>BID!C1046</f>
        <v>1 pack of 72pieces</v>
      </c>
      <c r="D64" s="15">
        <f>IF(K64&gt;0,(K64/100)*BID!D1046,1*BID!D1046)</f>
        <v>10</v>
      </c>
      <c r="E64" s="60">
        <f>IF(K64&gt;0,PR!M1044,IF(BID!K1046="SANCON",BID!L1046,0))</f>
        <v>380</v>
      </c>
      <c r="F64" s="61">
        <f t="shared" si="3"/>
        <v>3800</v>
      </c>
      <c r="K64" s="445"/>
    </row>
    <row r="65" spans="1:11" ht="20.25" thickTop="1" thickBot="1" x14ac:dyDescent="0.35">
      <c r="A65" s="430">
        <f>BID!A1050</f>
        <v>946</v>
      </c>
      <c r="B65" s="15" t="str">
        <f>BID!B1050</f>
        <v>GREASE PENCIL</v>
      </c>
      <c r="C65" s="15" t="str">
        <f>BID!C1050</f>
        <v>1 pack of 12pieces</v>
      </c>
      <c r="D65" s="15">
        <f>IF(K65&gt;0,(K65/100)*BID!D1050,1*BID!D1050)</f>
        <v>40</v>
      </c>
      <c r="E65" s="60">
        <f>IF(K65&gt;0,PR!M1048,IF(BID!K1050="SANCON",BID!L1050,0))</f>
        <v>7200</v>
      </c>
      <c r="F65" s="61">
        <f t="shared" si="3"/>
        <v>288000</v>
      </c>
      <c r="K65" s="445"/>
    </row>
    <row r="66" spans="1:11" ht="20.25" thickTop="1" thickBot="1" x14ac:dyDescent="0.35">
      <c r="A66" s="430">
        <f>BID!A1007</f>
        <v>903</v>
      </c>
      <c r="B66" s="15" t="str">
        <f>BID!B1007</f>
        <v>HAND SANITIZER</v>
      </c>
      <c r="C66" s="15" t="str">
        <f>BID!C1007</f>
        <v>1 cartoon of 24 pieces</v>
      </c>
      <c r="D66" s="15">
        <f>IF(K66&gt;0,(K66/100)*BID!D1007,1*BID!D1007)</f>
        <v>240</v>
      </c>
      <c r="E66" s="60">
        <f>IF(K66&gt;0,PR!M1005,IF(BID!K1007="SANCON",BID!L1007,0))</f>
        <v>8640</v>
      </c>
      <c r="F66" s="61">
        <f t="shared" si="3"/>
        <v>2073600</v>
      </c>
      <c r="K66" s="445"/>
    </row>
    <row r="67" spans="1:11" ht="20.25" thickTop="1" thickBot="1" x14ac:dyDescent="0.35">
      <c r="A67" s="430">
        <f>BID!A1048</f>
        <v>944</v>
      </c>
      <c r="B67" s="15" t="str">
        <f>BID!B1048</f>
        <v>IMMERSION OIL</v>
      </c>
      <c r="C67" s="15" t="str">
        <f>BID!C1048</f>
        <v>PCS</v>
      </c>
      <c r="D67" s="15">
        <f>IF(K67&gt;0,(K67/100)*BID!D1048,1*BID!D1048)</f>
        <v>12</v>
      </c>
      <c r="E67" s="60">
        <f>IF(K67&gt;0,PR!M1046,IF(BID!K1048="SANCON",BID!L1048,0))</f>
        <v>4200</v>
      </c>
      <c r="F67" s="61">
        <f t="shared" si="3"/>
        <v>50400</v>
      </c>
      <c r="K67" s="445"/>
    </row>
    <row r="68" spans="1:11" ht="20.25" thickTop="1" thickBot="1" x14ac:dyDescent="0.35">
      <c r="A68" s="430">
        <f>BID!A1006</f>
        <v>902</v>
      </c>
      <c r="B68" s="15" t="str">
        <f>BID!B1006</f>
        <v>LIQUID SOAP</v>
      </c>
      <c r="C68" s="15" t="str">
        <f>BID!C1006</f>
        <v>1 cartoon (500)</v>
      </c>
      <c r="D68" s="15">
        <f>IF(K68&gt;0,(K68/100)*BID!D1006,1*BID!D1006)</f>
        <v>240</v>
      </c>
      <c r="E68" s="60">
        <f>IF(K68&gt;0,PR!M1004,IF(BID!K1006="SANCON",BID!L1006,0))</f>
        <v>4800</v>
      </c>
      <c r="F68" s="61">
        <f t="shared" si="3"/>
        <v>1152000</v>
      </c>
      <c r="K68" s="445"/>
    </row>
    <row r="69" spans="1:11" ht="20.25" thickTop="1" thickBot="1" x14ac:dyDescent="0.35">
      <c r="A69" s="430">
        <f>BID!A1055</f>
        <v>951</v>
      </c>
      <c r="B69" s="15" t="str">
        <f>BID!B1055</f>
        <v>NEUBAR COUNTING CHAMBER</v>
      </c>
      <c r="C69" s="15" t="str">
        <f>BID!C1055</f>
        <v>1 x 10 pieces</v>
      </c>
      <c r="D69" s="15">
        <f>IF(K69&gt;0,(K69/100)*BID!D1055,1*BID!D1055)</f>
        <v>10</v>
      </c>
      <c r="E69" s="60">
        <f>IF(K69&gt;0,PR!M1053,IF(BID!K1055="SANCON",BID!L1055,0))</f>
        <v>9500</v>
      </c>
      <c r="F69" s="61">
        <f t="shared" si="3"/>
        <v>95000</v>
      </c>
      <c r="K69" s="445"/>
    </row>
    <row r="70" spans="1:11" ht="20.25" thickTop="1" thickBot="1" x14ac:dyDescent="0.35">
      <c r="A70" s="430">
        <f>BID!A1045</f>
        <v>941</v>
      </c>
      <c r="B70" s="15" t="str">
        <f>BID!B1045</f>
        <v>PLASTIC PETRI DISHES</v>
      </c>
      <c r="C70" s="15" t="str">
        <f>BID!C1045</f>
        <v>1 pack (20 roll)</v>
      </c>
      <c r="D70" s="15">
        <f>IF(K70&gt;0,(K70/100)*BID!D1045,1*BID!D1045)</f>
        <v>40</v>
      </c>
      <c r="E70" s="60">
        <f>IF(K70&gt;0,PR!M1043,IF(BID!K1045="SANCON",BID!L1045,0))</f>
        <v>8500</v>
      </c>
      <c r="F70" s="61">
        <f t="shared" si="3"/>
        <v>340000</v>
      </c>
      <c r="K70" s="445"/>
    </row>
    <row r="71" spans="1:11" ht="20.25" thickTop="1" thickBot="1" x14ac:dyDescent="0.35">
      <c r="A71" s="430">
        <f>BID!A1034</f>
        <v>930</v>
      </c>
      <c r="B71" s="15" t="str">
        <f>BID!B1034</f>
        <v>POTASSIUM HYDROXIDE 2L</v>
      </c>
      <c r="C71" s="15" t="str">
        <f>BID!C1034</f>
        <v>1 bottle of (2L)</v>
      </c>
      <c r="D71" s="15">
        <f>IF(K71&gt;0,(K71/100)*BID!D1034,1*BID!D1034)</f>
        <v>10</v>
      </c>
      <c r="E71" s="60">
        <f>IF(K71&gt;0,PR!M1032,IF(BID!K1034="SANCON",BID!L1034,0))</f>
        <v>3800</v>
      </c>
      <c r="F71" s="61">
        <f t="shared" si="3"/>
        <v>38000</v>
      </c>
      <c r="K71" s="445"/>
    </row>
    <row r="72" spans="1:11" ht="20.25" thickTop="1" thickBot="1" x14ac:dyDescent="0.35">
      <c r="A72" s="430">
        <f>BID!A1022</f>
        <v>918</v>
      </c>
      <c r="B72" s="15" t="str">
        <f>BID!B1022</f>
        <v>STERILE URINE BOTTLE</v>
      </c>
      <c r="C72" s="15" t="str">
        <f>BID!C1022</f>
        <v>1 cartoon 1000pieces</v>
      </c>
      <c r="D72" s="15">
        <f>IF(K72&gt;0,(K72/100)*BID!D1022,1*BID!D1022)</f>
        <v>10</v>
      </c>
      <c r="E72" s="60">
        <f>IF(K72&gt;0,PR!M1020,IF(BID!K1022="SANCON",BID!L1022,0))</f>
        <v>12000</v>
      </c>
      <c r="F72" s="61">
        <f t="shared" si="3"/>
        <v>120000</v>
      </c>
      <c r="K72" s="445"/>
    </row>
    <row r="73" spans="1:11" ht="20.25" thickTop="1" thickBot="1" x14ac:dyDescent="0.35">
      <c r="A73" s="430"/>
      <c r="B73" s="15"/>
      <c r="C73" s="15"/>
      <c r="D73" s="15"/>
      <c r="E73" s="60"/>
      <c r="F73" s="61"/>
      <c r="K73" s="445"/>
    </row>
    <row r="74" spans="1:11" ht="24.75" thickTop="1" thickBot="1" x14ac:dyDescent="0.3">
      <c r="A74" s="430"/>
      <c r="B74" s="820" t="str">
        <f>BID!B1083</f>
        <v>INFECTION CONTROL</v>
      </c>
      <c r="C74" s="821"/>
      <c r="D74" s="821"/>
      <c r="E74" s="821"/>
      <c r="F74" s="822"/>
      <c r="K74" s="445"/>
    </row>
    <row r="75" spans="1:11" ht="20.25" thickTop="1" thickBot="1" x14ac:dyDescent="0.35">
      <c r="A75" s="430">
        <f>BID!A1085</f>
        <v>975</v>
      </c>
      <c r="B75" s="15" t="str">
        <f>BID!B1085</f>
        <v>INJECTION SAFETY BOX</v>
      </c>
      <c r="C75" s="15" t="str">
        <f>BID!C1085</f>
        <v>25/CARTON</v>
      </c>
      <c r="D75" s="15">
        <f>IF(K75&gt;0,(K75/100)*BID!D1085,1*BID!D1085)</f>
        <v>96</v>
      </c>
      <c r="E75" s="60">
        <f>IF(K75&gt;0,PR!M1083,IF(BID!K1085="SANCON",BID!L1085,0))</f>
        <v>6000</v>
      </c>
      <c r="F75" s="61">
        <f>IF(E75&gt;0,(E75*D75),0)</f>
        <v>576000</v>
      </c>
      <c r="K75" s="445"/>
    </row>
    <row r="76" spans="1:11" ht="20.25" thickTop="1" thickBot="1" x14ac:dyDescent="0.35">
      <c r="A76" s="430">
        <f>BID!A1089</f>
        <v>979</v>
      </c>
      <c r="B76" s="15" t="str">
        <f>BID!B1089</f>
        <v>UTILITY GLOVES</v>
      </c>
      <c r="C76" s="15" t="str">
        <f>BID!C1089</f>
        <v>PAIRS</v>
      </c>
      <c r="D76" s="15">
        <f>IF(K76&gt;0,(K76/100)*BID!D1089,1*BID!D1089)</f>
        <v>288</v>
      </c>
      <c r="E76" s="60">
        <f>IF(K76&gt;0,PR!M1087,IF(BID!K1089="SANCON",BID!L1089,0))</f>
        <v>500</v>
      </c>
      <c r="F76" s="61">
        <f>IF(E76&gt;0,(E76*D76),0)</f>
        <v>144000</v>
      </c>
      <c r="K76" s="445"/>
    </row>
    <row r="77" spans="1:11" ht="20.25" thickTop="1" thickBot="1" x14ac:dyDescent="0.35">
      <c r="A77" s="430"/>
      <c r="B77" s="15"/>
      <c r="C77" s="15"/>
      <c r="D77" s="15"/>
      <c r="E77" s="60"/>
      <c r="F77" s="61"/>
      <c r="K77" s="445"/>
    </row>
    <row r="78" spans="1:11" ht="24.75" thickTop="1" thickBot="1" x14ac:dyDescent="0.3">
      <c r="A78" s="430"/>
      <c r="B78" s="820" t="s">
        <v>1868</v>
      </c>
      <c r="C78" s="821"/>
      <c r="D78" s="821"/>
      <c r="E78" s="821"/>
      <c r="F78" s="822"/>
      <c r="K78" s="445"/>
    </row>
    <row r="79" spans="1:11" ht="20.25" thickTop="1" thickBot="1" x14ac:dyDescent="0.35">
      <c r="A79" s="430">
        <f>BID!A1128</f>
        <v>1013</v>
      </c>
      <c r="B79" s="15" t="str">
        <f>BID!B1128</f>
        <v>1000ul FIN PIPETTE TIPS (BLUE)</v>
      </c>
      <c r="C79" s="15" t="str">
        <f>BID!C1128</f>
        <v>1*500</v>
      </c>
      <c r="D79" s="15">
        <f>IF(K79&gt;0,(K79/100)*BID!D1128,1*BID!D1128)</f>
        <v>60</v>
      </c>
      <c r="E79" s="60">
        <f>IF(K79&gt;0,PR!M1126,IF(BID!K1128="SANCON",BID!L1128,0))</f>
        <v>900</v>
      </c>
      <c r="F79" s="61">
        <f t="shared" ref="F79:F86" si="4">IF(E79&gt;0,(E79*D79),0)</f>
        <v>54000</v>
      </c>
      <c r="K79" s="445"/>
    </row>
    <row r="80" spans="1:11" ht="20.25" thickTop="1" thickBot="1" x14ac:dyDescent="0.35">
      <c r="A80" s="430">
        <v>998</v>
      </c>
      <c r="B80" s="15" t="s">
        <v>1911</v>
      </c>
      <c r="C80" s="15" t="s">
        <v>2189</v>
      </c>
      <c r="D80" s="15">
        <v>16</v>
      </c>
      <c r="E80" s="60">
        <v>18500</v>
      </c>
      <c r="F80" s="61">
        <f t="shared" si="4"/>
        <v>296000</v>
      </c>
      <c r="K80" s="445"/>
    </row>
    <row r="81" spans="1:11" ht="20.25" thickTop="1" thickBot="1" x14ac:dyDescent="0.35">
      <c r="A81" s="430">
        <v>983</v>
      </c>
      <c r="B81" s="15" t="s">
        <v>1896</v>
      </c>
      <c r="C81" s="15" t="s">
        <v>2190</v>
      </c>
      <c r="D81" s="15">
        <v>24</v>
      </c>
      <c r="E81" s="60">
        <v>15500</v>
      </c>
      <c r="F81" s="61">
        <f t="shared" si="4"/>
        <v>372000</v>
      </c>
      <c r="K81" s="445"/>
    </row>
    <row r="82" spans="1:11" ht="20.25" thickTop="1" thickBot="1" x14ac:dyDescent="0.35">
      <c r="A82" s="430">
        <v>986</v>
      </c>
      <c r="B82" s="15" t="s">
        <v>1899</v>
      </c>
      <c r="C82" s="15" t="s">
        <v>2190</v>
      </c>
      <c r="D82" s="15">
        <v>60</v>
      </c>
      <c r="E82" s="60">
        <v>10500</v>
      </c>
      <c r="F82" s="61">
        <f t="shared" si="4"/>
        <v>630000</v>
      </c>
      <c r="K82" s="445"/>
    </row>
    <row r="83" spans="1:11" ht="20.25" thickTop="1" thickBot="1" x14ac:dyDescent="0.35">
      <c r="A83" s="430">
        <v>985</v>
      </c>
      <c r="B83" s="15" t="s">
        <v>1898</v>
      </c>
      <c r="C83" s="15"/>
      <c r="D83" s="15">
        <v>60</v>
      </c>
      <c r="E83" s="60">
        <v>9900</v>
      </c>
      <c r="F83" s="61">
        <f t="shared" si="4"/>
        <v>594000</v>
      </c>
      <c r="K83" s="445"/>
    </row>
    <row r="84" spans="1:11" ht="20.25" thickTop="1" thickBot="1" x14ac:dyDescent="0.35">
      <c r="A84" s="430">
        <v>999</v>
      </c>
      <c r="B84" s="15" t="s">
        <v>1912</v>
      </c>
      <c r="C84" s="15" t="s">
        <v>2191</v>
      </c>
      <c r="D84" s="15">
        <v>20</v>
      </c>
      <c r="E84" s="60">
        <v>12000</v>
      </c>
      <c r="F84" s="61">
        <f t="shared" si="4"/>
        <v>240000</v>
      </c>
      <c r="K84" s="445"/>
    </row>
    <row r="85" spans="1:11" ht="20.25" thickTop="1" thickBot="1" x14ac:dyDescent="0.35">
      <c r="A85" s="430">
        <v>1015</v>
      </c>
      <c r="B85" s="15" t="s">
        <v>1928</v>
      </c>
      <c r="C85" s="15" t="s">
        <v>1886</v>
      </c>
      <c r="D85" s="15">
        <v>28</v>
      </c>
      <c r="E85" s="60">
        <v>18000</v>
      </c>
      <c r="F85" s="61">
        <f t="shared" si="4"/>
        <v>504000</v>
      </c>
      <c r="K85" s="445"/>
    </row>
    <row r="86" spans="1:11" ht="20.25" thickTop="1" thickBot="1" x14ac:dyDescent="0.35">
      <c r="A86" s="430">
        <v>1021</v>
      </c>
      <c r="B86" s="15" t="s">
        <v>1935</v>
      </c>
      <c r="C86" s="15" t="s">
        <v>1886</v>
      </c>
      <c r="D86" s="15">
        <v>20</v>
      </c>
      <c r="E86" s="60">
        <v>18000</v>
      </c>
      <c r="F86" s="61">
        <f t="shared" si="4"/>
        <v>360000</v>
      </c>
      <c r="K86" s="445"/>
    </row>
    <row r="87" spans="1:11" ht="20.25" thickTop="1" thickBot="1" x14ac:dyDescent="0.35">
      <c r="A87" s="430"/>
      <c r="B87" s="15"/>
      <c r="C87" s="15"/>
      <c r="D87" s="15"/>
      <c r="E87" s="60"/>
      <c r="F87" s="61"/>
      <c r="K87" s="445"/>
    </row>
    <row r="88" spans="1:11" ht="20.25" thickTop="1" thickBot="1" x14ac:dyDescent="0.35">
      <c r="A88" s="430"/>
      <c r="B88" s="15"/>
      <c r="C88" s="15"/>
      <c r="D88" s="15"/>
      <c r="E88" s="60"/>
      <c r="F88" s="61"/>
      <c r="K88" s="445"/>
    </row>
    <row r="89" spans="1:11" ht="24.75" thickTop="1" thickBot="1" x14ac:dyDescent="0.3">
      <c r="A89" s="430"/>
      <c r="B89" s="820" t="s">
        <v>1950</v>
      </c>
      <c r="C89" s="821"/>
      <c r="D89" s="821"/>
      <c r="E89" s="821"/>
      <c r="F89" s="822"/>
      <c r="K89" s="445"/>
    </row>
    <row r="90" spans="1:11" ht="20.25" thickTop="1" thickBot="1" x14ac:dyDescent="0.35">
      <c r="A90" s="430"/>
      <c r="B90" s="15" t="str">
        <f>BID!B1159</f>
        <v>SHAJE ANNEX</v>
      </c>
      <c r="C90" s="15"/>
      <c r="D90" s="15"/>
      <c r="E90" s="60"/>
      <c r="F90" s="61"/>
      <c r="K90" s="445"/>
    </row>
    <row r="91" spans="1:11" ht="20.25" thickTop="1" thickBot="1" x14ac:dyDescent="0.35">
      <c r="A91" s="430">
        <f>BID!A1170</f>
        <v>1049</v>
      </c>
      <c r="B91" s="15" t="str">
        <f>BID!B1170</f>
        <v>BLOOD LANCET (SILVER HEALTH)</v>
      </c>
      <c r="C91" s="15" t="str">
        <f>BID!C1170</f>
        <v>1 x 200 pcs</v>
      </c>
      <c r="D91" s="15">
        <f>IF(K91&gt;0,(K91/100)*BID!D1170,1*BID!D1170)</f>
        <v>24</v>
      </c>
      <c r="E91" s="60">
        <f>IF(K91&gt;0,PR!M1168,IF(BID!K1170="SANCON",BID!L1170,0))</f>
        <v>600</v>
      </c>
      <c r="F91" s="61">
        <f>IF(E91&gt;0,(E91*D91),0)</f>
        <v>14400</v>
      </c>
      <c r="K91" s="445"/>
    </row>
    <row r="92" spans="1:11" ht="20.25" thickTop="1" thickBot="1" x14ac:dyDescent="0.35">
      <c r="A92" s="430">
        <f>BID!A1174</f>
        <v>1053</v>
      </c>
      <c r="B92" s="15" t="str">
        <f>BID!B1174</f>
        <v>EDTA VACUTAINER BOTTLE (MICROPOINT)</v>
      </c>
      <c r="C92" s="15" t="str">
        <f>BID!C1174</f>
        <v>1 x 1000 pcs</v>
      </c>
      <c r="D92" s="15">
        <f>IF(K92&gt;0,(K92/100)*BID!D1174,1*BID!D1174)</f>
        <v>3</v>
      </c>
      <c r="E92" s="60">
        <f>IF(K92&gt;0,PR!M1172,IF(BID!K1174="SANCON",BID!L1174,0))</f>
        <v>18000</v>
      </c>
      <c r="F92" s="61">
        <f>IF(E92&gt;0,(E92*D92),0)</f>
        <v>54000</v>
      </c>
      <c r="K92" s="445"/>
    </row>
    <row r="93" spans="1:11" ht="20.25" thickTop="1" thickBot="1" x14ac:dyDescent="0.35">
      <c r="A93" s="430">
        <f>BID!A1172</f>
        <v>1051</v>
      </c>
      <c r="B93" s="15" t="str">
        <f>BID!B1172</f>
        <v>GLASS SLIDES</v>
      </c>
      <c r="C93" s="15" t="str">
        <f>BID!C1172</f>
        <v>-</v>
      </c>
      <c r="D93" s="15">
        <f>IF(K93&gt;0,(K93/100)*BID!D1172,1*BID!D1172)</f>
        <v>24</v>
      </c>
      <c r="E93" s="60">
        <f>IF(K93&gt;0,PR!M1170,IF(BID!K1172="SANCON",BID!L1172,0))</f>
        <v>380</v>
      </c>
      <c r="F93" s="61">
        <f>IF(E93&gt;0,(E93*D93),0)</f>
        <v>9120</v>
      </c>
      <c r="K93" s="445"/>
    </row>
    <row r="94" spans="1:11" ht="20.25" thickTop="1" thickBot="1" x14ac:dyDescent="0.35">
      <c r="A94" s="430">
        <f>BID!A1167</f>
        <v>1046</v>
      </c>
      <c r="B94" s="15" t="str">
        <f>BID!B1167</f>
        <v>PREGNANCY TEST CASSETTE (BIO-CHECK)</v>
      </c>
      <c r="C94" s="15" t="str">
        <f>BID!C1167</f>
        <v>1 x 25</v>
      </c>
      <c r="D94" s="15">
        <f>IF(K94&gt;0,(K94/100)*BID!D1167,1*BID!D1167)</f>
        <v>24</v>
      </c>
      <c r="E94" s="60">
        <f>IF(K94&gt;0,PR!M1165,IF(BID!K1167="SANCON",BID!L1167,0))</f>
        <v>3200</v>
      </c>
      <c r="F94" s="61">
        <f>IF(E94&gt;0,(E94*D94),0)</f>
        <v>76800</v>
      </c>
      <c r="K94" s="445"/>
    </row>
    <row r="95" spans="1:11" ht="20.25" thickTop="1" thickBot="1" x14ac:dyDescent="0.35">
      <c r="A95" s="430">
        <f>BID!A1169</f>
        <v>1048</v>
      </c>
      <c r="B95" s="15" t="str">
        <f>BID!B1169</f>
        <v>UNIVERSAL PLASTIC BOTTLE (SILVER HEALTH)</v>
      </c>
      <c r="C95" s="15" t="str">
        <f>BID!C1169</f>
        <v>1 x 400 pcs</v>
      </c>
      <c r="D95" s="15">
        <f>IF(K95&gt;0,(K95/100)*BID!D1169,1*BID!D1169)</f>
        <v>5</v>
      </c>
      <c r="E95" s="60">
        <f>IF(K95&gt;0,PR!M1167,IF(BID!K1169="SANCON",BID!L1169,0))</f>
        <v>12000</v>
      </c>
      <c r="F95" s="61">
        <f>IF(E95&gt;0,(E95*D95),0)</f>
        <v>60000</v>
      </c>
      <c r="K95" s="445"/>
    </row>
    <row r="96" spans="1:11" ht="20.25" thickTop="1" thickBot="1" x14ac:dyDescent="0.35">
      <c r="A96" s="430"/>
      <c r="B96" s="15"/>
      <c r="C96" s="15"/>
      <c r="D96" s="15"/>
      <c r="E96" s="60"/>
      <c r="F96" s="61"/>
      <c r="K96" s="445"/>
    </row>
    <row r="97" spans="1:11" ht="20.25" thickTop="1" thickBot="1" x14ac:dyDescent="0.35">
      <c r="A97" s="430"/>
      <c r="B97" s="15" t="str">
        <f>BID!B1178</f>
        <v>OBADA ANNEX</v>
      </c>
      <c r="C97" s="15"/>
      <c r="D97" s="15"/>
      <c r="E97" s="60"/>
      <c r="F97" s="61"/>
      <c r="K97" s="445"/>
    </row>
    <row r="98" spans="1:11" ht="20.25" thickTop="1" thickBot="1" x14ac:dyDescent="0.35">
      <c r="A98" s="430">
        <f>BID!A1219</f>
        <v>1095</v>
      </c>
      <c r="B98" s="15" t="str">
        <f>BID!B1219</f>
        <v>5ML GLASS TUBES</v>
      </c>
      <c r="C98" s="15" t="str">
        <f>BID!C1219</f>
        <v>Carton</v>
      </c>
      <c r="D98" s="15">
        <f>IF(K98&gt;0,(K98/100)*BID!D1219,1*BID!D1219)</f>
        <v>1</v>
      </c>
      <c r="E98" s="60">
        <f>IF(K98&gt;0,PR!M1217,IF(BID!K1219="SANCON",BID!L1219,0))</f>
        <v>3500</v>
      </c>
      <c r="F98" s="61">
        <f t="shared" ref="F98:F110" si="5">IF(E98&gt;0,(E98*D98),0)</f>
        <v>3500</v>
      </c>
      <c r="K98" s="445"/>
    </row>
    <row r="99" spans="1:11" ht="20.25" thickTop="1" thickBot="1" x14ac:dyDescent="0.35">
      <c r="A99" s="430">
        <f>BID!A1215</f>
        <v>1091</v>
      </c>
      <c r="B99" s="15" t="str">
        <f>BID!B1215</f>
        <v>DISPOSABLE PETRI DISH</v>
      </c>
      <c r="C99" s="15" t="str">
        <f>BID!C1215</f>
        <v>Carton</v>
      </c>
      <c r="D99" s="15">
        <f>IF(K99&gt;0,(K99/100)*BID!D1215,1*BID!D1215)</f>
        <v>1</v>
      </c>
      <c r="E99" s="60">
        <f>IF(K99&gt;0,PR!M1213,IF(BID!K1215="SANCON",BID!L1215,0))</f>
        <v>16500</v>
      </c>
      <c r="F99" s="61">
        <f t="shared" si="5"/>
        <v>16500</v>
      </c>
      <c r="K99" s="445"/>
    </row>
    <row r="100" spans="1:11" ht="20.25" thickTop="1" thickBot="1" x14ac:dyDescent="0.35">
      <c r="A100" s="430">
        <f>BID!A1209</f>
        <v>1085</v>
      </c>
      <c r="B100" s="15" t="str">
        <f>BID!B1209</f>
        <v>FIELDS STAIN A (25g)</v>
      </c>
      <c r="C100" s="15" t="str">
        <f>BID!C1209</f>
        <v>Bottle</v>
      </c>
      <c r="D100" s="15">
        <f>IF(K100&gt;0,(K100/100)*BID!D1209,1*BID!D1209)</f>
        <v>6</v>
      </c>
      <c r="E100" s="60">
        <f>IF(K100&gt;0,PR!M1207,IF(BID!K1209="SANCON",BID!L1209,0))</f>
        <v>2500</v>
      </c>
      <c r="F100" s="61">
        <f t="shared" si="5"/>
        <v>15000</v>
      </c>
      <c r="K100" s="445"/>
    </row>
    <row r="101" spans="1:11" ht="20.25" thickTop="1" thickBot="1" x14ac:dyDescent="0.35">
      <c r="A101" s="430">
        <f>BID!A1210</f>
        <v>1086</v>
      </c>
      <c r="B101" s="15" t="str">
        <f>BID!B1210</f>
        <v>FIELDS STAIN B (25g)</v>
      </c>
      <c r="C101" s="15" t="str">
        <f>BID!C1210</f>
        <v>Bottle</v>
      </c>
      <c r="D101" s="15">
        <f>IF(K101&gt;0,(K101/100)*BID!D1210,1*BID!D1210)</f>
        <v>6</v>
      </c>
      <c r="E101" s="60">
        <f>IF(K101&gt;0,PR!M1208,IF(BID!K1210="SANCON",BID!L1210,0))</f>
        <v>2500</v>
      </c>
      <c r="F101" s="61">
        <f t="shared" si="5"/>
        <v>15000</v>
      </c>
      <c r="K101" s="445"/>
    </row>
    <row r="102" spans="1:11" ht="20.25" thickTop="1" thickBot="1" x14ac:dyDescent="0.35">
      <c r="A102" s="430">
        <f>BID!A1196</f>
        <v>1072</v>
      </c>
      <c r="B102" s="15" t="str">
        <f>BID!B1196</f>
        <v>FROSTED GLASS SLIDE</v>
      </c>
      <c r="C102" s="15" t="str">
        <f>BID!C1196</f>
        <v>Pkt</v>
      </c>
      <c r="D102" s="15">
        <f>IF(K102&gt;0,(K102/100)*BID!D1196,1*BID!D1196)</f>
        <v>60</v>
      </c>
      <c r="E102" s="60">
        <f>IF(K102&gt;0,PR!M1194,IF(BID!K1196="SANCON",BID!L1196,0))</f>
        <v>380</v>
      </c>
      <c r="F102" s="61">
        <f t="shared" si="5"/>
        <v>22800</v>
      </c>
      <c r="K102" s="445"/>
    </row>
    <row r="103" spans="1:11" ht="20.25" thickTop="1" thickBot="1" x14ac:dyDescent="0.35">
      <c r="A103" s="430">
        <f>BID!A1180</f>
        <v>1056</v>
      </c>
      <c r="B103" s="15" t="str">
        <f>BID!B1180</f>
        <v>GLUCOSE STRIPS</v>
      </c>
      <c r="C103" s="15" t="str">
        <f>BID!C1180</f>
        <v>Packs</v>
      </c>
      <c r="D103" s="15">
        <f>IF(K103&gt;0,(K103/100)*BID!D1180,1*BID!D1180)</f>
        <v>90</v>
      </c>
      <c r="E103" s="60">
        <f>IF(K103&gt;0,PR!M1178,IF(BID!K1180="SANCON",BID!L1180,0))</f>
        <v>4800</v>
      </c>
      <c r="F103" s="61">
        <f t="shared" si="5"/>
        <v>432000</v>
      </c>
      <c r="K103" s="445"/>
    </row>
    <row r="104" spans="1:11" ht="20.25" thickTop="1" thickBot="1" x14ac:dyDescent="0.35">
      <c r="A104" s="430">
        <f>BID!A1185</f>
        <v>1061</v>
      </c>
      <c r="B104" s="15" t="str">
        <f>BID!B1185</f>
        <v>HIV KITS</v>
      </c>
      <c r="C104" s="15" t="str">
        <f>BID!C1185</f>
        <v>Pkts</v>
      </c>
      <c r="D104" s="15">
        <f>IF(K104&gt;0,(K104/100)*BID!D1185,1*BID!D1185)</f>
        <v>42</v>
      </c>
      <c r="E104" s="60">
        <f>IF(K104&gt;0,PR!M1183,IF(BID!K1185="SANCON",BID!L1185,0))</f>
        <v>15500</v>
      </c>
      <c r="F104" s="61">
        <f t="shared" si="5"/>
        <v>651000</v>
      </c>
      <c r="K104" s="445"/>
    </row>
    <row r="105" spans="1:11" ht="20.25" thickTop="1" thickBot="1" x14ac:dyDescent="0.35">
      <c r="A105" s="430">
        <f>BID!A1189</f>
        <v>1065</v>
      </c>
      <c r="B105" s="15" t="str">
        <f>BID!B1189</f>
        <v>LEISHMAN STAINER POWDER 25g</v>
      </c>
      <c r="C105" s="15" t="str">
        <f>BID!C1189</f>
        <v>Bottles</v>
      </c>
      <c r="D105" s="15">
        <f>IF(K105&gt;0,(K105/100)*BID!D1189,1*BID!D1189)</f>
        <v>6</v>
      </c>
      <c r="E105" s="60">
        <f>IF(K105&gt;0,PR!M1187,IF(BID!K1189="SANCON",BID!L1189,0))</f>
        <v>3000</v>
      </c>
      <c r="F105" s="61">
        <f t="shared" si="5"/>
        <v>18000</v>
      </c>
      <c r="K105" s="445"/>
    </row>
    <row r="106" spans="1:11" ht="20.25" thickTop="1" thickBot="1" x14ac:dyDescent="0.35">
      <c r="A106" s="430">
        <f>BID!A1199</f>
        <v>1075</v>
      </c>
      <c r="B106" s="15" t="str">
        <f>BID!B1199</f>
        <v>PIPETTE TIPS BLUE (100 - 1000)</v>
      </c>
      <c r="C106" s="15" t="str">
        <f>BID!C1199</f>
        <v>Pkt</v>
      </c>
      <c r="D106" s="15">
        <f>IF(K106&gt;0,(K106/100)*BID!D1199,1*BID!D1199)</f>
        <v>6</v>
      </c>
      <c r="E106" s="60">
        <f>IF(K106&gt;0,PR!M1197,IF(BID!K1199="SANCON",BID!L1199,0))</f>
        <v>900</v>
      </c>
      <c r="F106" s="61">
        <f t="shared" si="5"/>
        <v>5400</v>
      </c>
      <c r="K106" s="445"/>
    </row>
    <row r="107" spans="1:11" ht="20.25" thickTop="1" thickBot="1" x14ac:dyDescent="0.35">
      <c r="A107" s="430">
        <f>BID!A1198</f>
        <v>1074</v>
      </c>
      <c r="B107" s="15" t="str">
        <f>BID!B1198</f>
        <v>PIPETTE TIPS YELLOW (10 - 100)</v>
      </c>
      <c r="C107" s="15" t="str">
        <f>BID!C1198</f>
        <v>Pkt</v>
      </c>
      <c r="D107" s="15">
        <f>IF(K107&gt;0,(K107/100)*BID!D1198,1*BID!D1198)</f>
        <v>6</v>
      </c>
      <c r="E107" s="60">
        <f>IF(K107&gt;0,PR!M1196,IF(BID!K1198="SANCON",BID!L1198,0))</f>
        <v>900</v>
      </c>
      <c r="F107" s="61">
        <f t="shared" si="5"/>
        <v>5400</v>
      </c>
      <c r="K107" s="445"/>
    </row>
    <row r="108" spans="1:11" ht="20.25" thickTop="1" thickBot="1" x14ac:dyDescent="0.35">
      <c r="A108" s="430">
        <f>BID!A1179</f>
        <v>1055</v>
      </c>
      <c r="B108" s="15" t="str">
        <f>BID!B1179</f>
        <v>RDT FOR MALARIA PARASITE (CARESTART)</v>
      </c>
      <c r="C108" s="15" t="str">
        <f>BID!C1179</f>
        <v>Packs</v>
      </c>
      <c r="D108" s="15">
        <f>IF(K108&gt;0,(K108/100)*BID!D1179,1*BID!D1179)</f>
        <v>300</v>
      </c>
      <c r="E108" s="60">
        <f>IF(K108&gt;0,PR!M1177,IF(BID!K1179="SANCON",BID!L1179,0))</f>
        <v>2400</v>
      </c>
      <c r="F108" s="61">
        <f t="shared" si="5"/>
        <v>720000</v>
      </c>
      <c r="K108" s="445"/>
    </row>
    <row r="109" spans="1:11" ht="20.25" thickTop="1" thickBot="1" x14ac:dyDescent="0.35">
      <c r="A109" s="430">
        <f>BID!A1202</f>
        <v>1078</v>
      </c>
      <c r="B109" s="15" t="str">
        <f>BID!B1202</f>
        <v>STAR PACK FOR HIV</v>
      </c>
      <c r="C109" s="15" t="str">
        <f>BID!C1202</f>
        <v>Pkt</v>
      </c>
      <c r="D109" s="15">
        <f>IF(K109&gt;0,(K109/100)*BID!D1202,1*BID!D1202)</f>
        <v>5</v>
      </c>
      <c r="E109" s="60">
        <f>IF(K109&gt;0,PR!M1200,IF(BID!K1202="SANCON",BID!L1202,0))</f>
        <v>18000</v>
      </c>
      <c r="F109" s="61">
        <f t="shared" si="5"/>
        <v>90000</v>
      </c>
      <c r="K109" s="445"/>
    </row>
    <row r="110" spans="1:11" ht="20.25" thickTop="1" thickBot="1" x14ac:dyDescent="0.35">
      <c r="A110" s="430">
        <f>BID!A1200</f>
        <v>1076</v>
      </c>
      <c r="B110" s="15" t="str">
        <f>BID!B1200</f>
        <v>STOP CLOCK</v>
      </c>
      <c r="C110" s="15" t="str">
        <f>BID!C1200</f>
        <v>Pcs</v>
      </c>
      <c r="D110" s="15">
        <f>IF(K110&gt;0,(K110/100)*BID!D1200,1*BID!D1200)</f>
        <v>2</v>
      </c>
      <c r="E110" s="60">
        <f>IF(K110&gt;0,PR!M1198,IF(BID!K1200="SANCON",BID!L1200,0))</f>
        <v>3500</v>
      </c>
      <c r="F110" s="61">
        <f t="shared" si="5"/>
        <v>7000</v>
      </c>
      <c r="K110" s="445"/>
    </row>
    <row r="111" spans="1:11" ht="19.5" thickTop="1" x14ac:dyDescent="0.3">
      <c r="A111" s="430"/>
      <c r="B111" s="15"/>
      <c r="C111" s="15"/>
      <c r="D111" s="15"/>
      <c r="E111" s="60"/>
      <c r="F111" s="61"/>
    </row>
    <row r="112" spans="1:11" ht="19.5" thickBot="1" x14ac:dyDescent="0.35">
      <c r="A112" s="430"/>
      <c r="B112" s="15"/>
      <c r="C112" s="15"/>
      <c r="D112" s="15"/>
      <c r="E112" s="60"/>
      <c r="F112" s="442"/>
    </row>
    <row r="113" spans="1:6" ht="21.75" thickBot="1" x14ac:dyDescent="0.4">
      <c r="A113" s="430"/>
      <c r="B113" s="15"/>
      <c r="C113" s="15"/>
      <c r="D113" s="15"/>
      <c r="E113" s="441"/>
      <c r="F113" s="443">
        <f>SUM(F6:F110)</f>
        <v>17674670</v>
      </c>
    </row>
  </sheetData>
  <protectedRanges>
    <protectedRange sqref="K4:K110" name="Range1"/>
  </protectedRanges>
  <sortState ref="A98:K110">
    <sortCondition ref="B98:B110"/>
  </sortState>
  <mergeCells count="9">
    <mergeCell ref="B59:F59"/>
    <mergeCell ref="B74:F74"/>
    <mergeCell ref="B78:F78"/>
    <mergeCell ref="B89:F89"/>
    <mergeCell ref="B1:F1"/>
    <mergeCell ref="B5:F5"/>
    <mergeCell ref="B26:F26"/>
    <mergeCell ref="B31:F31"/>
    <mergeCell ref="B46:F46"/>
  </mergeCells>
  <pageMargins left="0.25" right="0.25" top="0.75" bottom="0.75" header="0.3" footer="0.3"/>
  <pageSetup paperSize="9" scale="74" orientation="landscape" r:id="rId1"/>
  <colBreaks count="1" manualBreakCount="1">
    <brk id="6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1BD4-B344-4B95-BA95-08A9DC24AD75}">
  <sheetPr>
    <tabColor rgb="FF7030A0"/>
  </sheetPr>
  <dimension ref="A1:K9"/>
  <sheetViews>
    <sheetView view="pageBreakPreview" zoomScale="80" zoomScaleNormal="100" zoomScaleSheetLayoutView="80" workbookViewId="0">
      <selection activeCell="B7" sqref="B7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N!B13</f>
        <v>DEVON PHARMACEUTICALS</v>
      </c>
      <c r="C1" s="816"/>
      <c r="D1" s="816"/>
      <c r="E1" s="816"/>
      <c r="F1" s="816"/>
      <c r="K1" t="s">
        <v>1431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BID!A263</f>
        <v>237</v>
      </c>
      <c r="B6" s="15" t="str">
        <f>BID!B263</f>
        <v>CIPROFLOXACIN INJ</v>
      </c>
      <c r="C6" s="15" t="str">
        <f>BID!C263</f>
        <v>BOTT</v>
      </c>
      <c r="D6" s="15">
        <f>IF(K6&gt;0,(K6/100)*BID!D263,1*BID!D263)</f>
        <v>4200</v>
      </c>
      <c r="E6" s="60">
        <f>IF(K6&gt;0,PR!N261,IF(BID!K263="DEVON",BID!L263,0))</f>
        <v>90</v>
      </c>
      <c r="F6" s="61">
        <f t="shared" ref="F6" si="0">IF(E6&gt;0,(E6*D6),0)</f>
        <v>378000</v>
      </c>
      <c r="K6" s="445">
        <v>70</v>
      </c>
    </row>
    <row r="7" spans="1:11" ht="20.25" thickTop="1" thickBot="1" x14ac:dyDescent="0.35">
      <c r="A7" s="430">
        <f>BID!A746</f>
        <v>676</v>
      </c>
      <c r="B7" s="15" t="str">
        <f>BID!B746</f>
        <v>IOHEXOL - CONTRAST MEDIA</v>
      </c>
      <c r="C7" s="15" t="s">
        <v>144</v>
      </c>
      <c r="D7" s="15">
        <f>IF(K7&gt;0,(K7/100)*BID!D746,1*BID!D746)</f>
        <v>200</v>
      </c>
      <c r="E7" s="60">
        <f>IF(K7&gt;0,PR!N744,IF(BID!K746="DEVON",BID!L746,0))</f>
        <v>9945</v>
      </c>
      <c r="F7" s="61">
        <f t="shared" ref="F7" si="1">IF(E7&gt;0,(E7*D7),0)</f>
        <v>1989000</v>
      </c>
      <c r="K7" s="445"/>
    </row>
    <row r="8" spans="1:11" ht="20.25" thickTop="1" thickBot="1" x14ac:dyDescent="0.35">
      <c r="A8" s="430"/>
      <c r="B8" s="15"/>
      <c r="C8" s="15"/>
      <c r="D8" s="15"/>
      <c r="E8" s="60"/>
      <c r="F8" s="442"/>
    </row>
    <row r="9" spans="1:11" ht="21.75" thickBot="1" x14ac:dyDescent="0.4">
      <c r="A9" s="430"/>
      <c r="B9" s="15"/>
      <c r="C9" s="15"/>
      <c r="D9" s="15"/>
      <c r="E9" s="441"/>
      <c r="F9" s="443">
        <f>SUM(F6:F7)</f>
        <v>2367000</v>
      </c>
    </row>
  </sheetData>
  <sheetProtection algorithmName="SHA-512" hashValue="yoMH9vYtGqebG60FhgNGU1nhB3Rdv0DkwReIe9i2QDpsrzpoOlYXEc394K5PQUavX2TeHevaHB3IgGT6Jl+M0Q==" saltValue="tMr7V2T8dO/rp7YPOounhA==" spinCount="100000" sheet="1" objects="1" scenarios="1"/>
  <protectedRanges>
    <protectedRange sqref="K4:K7" name="Range1"/>
  </protectedRanges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A8359-3CAB-4E38-B184-F8D28B7F51D1}">
  <sheetPr>
    <tabColor rgb="FFC00000"/>
  </sheetPr>
  <dimension ref="A1:K21"/>
  <sheetViews>
    <sheetView view="pageBreakPreview" topLeftCell="A8" zoomScale="80" zoomScaleNormal="100" zoomScaleSheetLayoutView="80" workbookViewId="0">
      <selection activeCell="B10" sqref="B1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N!B14</f>
        <v>DORTEMAG VENTURES LIMITED</v>
      </c>
      <c r="C1" s="816"/>
      <c r="D1" s="816"/>
      <c r="E1" s="816"/>
      <c r="F1" s="816"/>
      <c r="K1" t="s">
        <v>828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BID!A555</f>
        <v>498</v>
      </c>
      <c r="B6" s="15" t="str">
        <f>BID!B555</f>
        <v>BETAXOLOL GTT</v>
      </c>
      <c r="C6" s="15" t="str">
        <f>BID!C555</f>
        <v>BOTT</v>
      </c>
      <c r="D6" s="15">
        <f>IF(K6&gt;0,(K6/100)*BID!D555,1*BID!D555)</f>
        <v>20</v>
      </c>
      <c r="E6" s="60">
        <f>IF(K6&gt;0,PR!O553,IF(BID!K555="DORTEMAG",BID!L555,0))</f>
        <v>603</v>
      </c>
      <c r="F6" s="61">
        <f t="shared" ref="F6:F18" si="0">IF(E6&gt;0,(E6*D6),0)</f>
        <v>12060</v>
      </c>
      <c r="K6" s="445"/>
    </row>
    <row r="7" spans="1:11" ht="20.25" thickTop="1" thickBot="1" x14ac:dyDescent="0.35">
      <c r="A7" s="430">
        <f>BID!A253</f>
        <v>227</v>
      </c>
      <c r="B7" s="15" t="str">
        <f>BID!B253</f>
        <v>CEFTAZIDIME 1G INJ</v>
      </c>
      <c r="C7" s="15" t="str">
        <f>BID!C253</f>
        <v>VIAL</v>
      </c>
      <c r="D7" s="15">
        <f>IF(K7&gt;0,(K7/100)*BID!D253,1*BID!D253)</f>
        <v>1200</v>
      </c>
      <c r="E7" s="60">
        <f>IF(K7&gt;0,PR!O251,IF(BID!K253="DORTEMAG",BID!L253,0))</f>
        <v>1850</v>
      </c>
      <c r="F7" s="61">
        <f t="shared" si="0"/>
        <v>2220000</v>
      </c>
      <c r="K7" s="445">
        <v>40</v>
      </c>
    </row>
    <row r="8" spans="1:11" ht="20.25" thickTop="1" thickBot="1" x14ac:dyDescent="0.35">
      <c r="A8" s="430">
        <f>BID!A561</f>
        <v>504</v>
      </c>
      <c r="B8" s="15" t="str">
        <f>BID!B561</f>
        <v>CHLORAMPHENICOL EYE DROPS</v>
      </c>
      <c r="C8" s="15" t="str">
        <f>BID!C561</f>
        <v>BOTT</v>
      </c>
      <c r="D8" s="15">
        <f>IF(K8&gt;0,(K8/100)*BID!D561,1*BID!D561)</f>
        <v>400</v>
      </c>
      <c r="E8" s="60">
        <f>IF(K8&gt;0,PR!O559,IF(BID!K561="DORTEMAG",BID!L561,0))</f>
        <v>100</v>
      </c>
      <c r="F8" s="61">
        <f t="shared" si="0"/>
        <v>40000</v>
      </c>
      <c r="K8" s="445"/>
    </row>
    <row r="9" spans="1:11" ht="20.25" thickTop="1" thickBot="1" x14ac:dyDescent="0.35">
      <c r="A9" s="430">
        <f>BID!A560</f>
        <v>503</v>
      </c>
      <c r="B9" s="15" t="str">
        <f>BID!B560</f>
        <v>CHLORAMPHENICOL EYE OINTMENT</v>
      </c>
      <c r="C9" s="15" t="str">
        <f>BID!C560</f>
        <v>TUBE</v>
      </c>
      <c r="D9" s="15">
        <f>IF(K9&gt;0,(K9/100)*BID!D560,1*BID!D560)</f>
        <v>1000</v>
      </c>
      <c r="E9" s="60">
        <f>IF(K9&gt;0,PR!O558,IF(BID!K560="DORTEMAG",BID!L560,0))</f>
        <v>100</v>
      </c>
      <c r="F9" s="61">
        <f t="shared" si="0"/>
        <v>100000</v>
      </c>
      <c r="K9" s="445"/>
    </row>
    <row r="10" spans="1:11" ht="20.25" thickTop="1" thickBot="1" x14ac:dyDescent="0.35">
      <c r="A10" s="430">
        <f>BID!A562</f>
        <v>505</v>
      </c>
      <c r="B10" s="15" t="str">
        <f>BID!B562</f>
        <v>CIPROFLOXACIN EYE/EAR DROP</v>
      </c>
      <c r="C10" s="15" t="str">
        <f>BID!C562</f>
        <v>BOTT</v>
      </c>
      <c r="D10" s="15">
        <f>IF(K10&gt;0,(K10/100)*BID!D562,1*BID!D562)</f>
        <v>1000</v>
      </c>
      <c r="E10" s="60">
        <f>IF(K10&gt;0,PR!O560,IF(BID!K562="DORTEMAG",BID!L562,0))</f>
        <v>430</v>
      </c>
      <c r="F10" s="61">
        <f t="shared" si="0"/>
        <v>430000</v>
      </c>
      <c r="K10" s="445"/>
    </row>
    <row r="11" spans="1:11" ht="20.25" thickTop="1" thickBot="1" x14ac:dyDescent="0.35">
      <c r="A11" s="430">
        <f>BID!A563</f>
        <v>506</v>
      </c>
      <c r="B11" s="15" t="str">
        <f>BID!B563</f>
        <v>CROMOGLYCATE EYE DROP</v>
      </c>
      <c r="C11" s="15" t="str">
        <f>BID!C563</f>
        <v>BOTT</v>
      </c>
      <c r="D11" s="15">
        <f>IF(K11&gt;0,(K11/100)*BID!D563,1*BID!D563)</f>
        <v>200</v>
      </c>
      <c r="E11" s="60">
        <f>IF(K11&gt;0,PR!O561,IF(BID!K563="DORTEMAG",BID!L563,0))</f>
        <v>572</v>
      </c>
      <c r="F11" s="61">
        <f t="shared" si="0"/>
        <v>114400</v>
      </c>
      <c r="K11" s="445"/>
    </row>
    <row r="12" spans="1:11" ht="20.25" thickTop="1" thickBot="1" x14ac:dyDescent="0.35">
      <c r="A12" s="430">
        <f>BID!A565</f>
        <v>508</v>
      </c>
      <c r="B12" s="15" t="str">
        <f>BID!B565</f>
        <v>DEXAMETHSAONE EYE DROP</v>
      </c>
      <c r="C12" s="15" t="str">
        <f>BID!C565</f>
        <v>BOTT</v>
      </c>
      <c r="D12" s="15">
        <f>IF(K12&gt;0,(K12/100)*BID!D565,1*BID!D565)</f>
        <v>300</v>
      </c>
      <c r="E12" s="60">
        <f>IF(K12&gt;0,PR!O563,IF(BID!K565="DORTEMAG",BID!L565,0))</f>
        <v>325</v>
      </c>
      <c r="F12" s="61">
        <f t="shared" si="0"/>
        <v>97500</v>
      </c>
      <c r="K12" s="445"/>
    </row>
    <row r="13" spans="1:11" ht="20.25" thickTop="1" thickBot="1" x14ac:dyDescent="0.35">
      <c r="A13" s="430">
        <f>BID!A569</f>
        <v>512</v>
      </c>
      <c r="B13" s="15" t="str">
        <f>BID!B569</f>
        <v>FLURBIPROFEN EYE DROP</v>
      </c>
      <c r="C13" s="15" t="str">
        <f>BID!C569</f>
        <v>BOTT</v>
      </c>
      <c r="D13" s="15">
        <f>IF(K13&gt;0,(K13/100)*BID!D569,1*BID!D569)</f>
        <v>600</v>
      </c>
      <c r="E13" s="60">
        <f>IF(K13&gt;0,PR!O567,IF(BID!K569="DORTEMAG",BID!L569,0))</f>
        <v>573</v>
      </c>
      <c r="F13" s="61">
        <f t="shared" si="0"/>
        <v>343800</v>
      </c>
      <c r="K13" s="445"/>
    </row>
    <row r="14" spans="1:11" ht="20.25" thickTop="1" thickBot="1" x14ac:dyDescent="0.35">
      <c r="A14" s="430">
        <f>BID!A570</f>
        <v>513</v>
      </c>
      <c r="B14" s="15" t="str">
        <f>BID!B570</f>
        <v>GENTAMYCIN EYE DROP</v>
      </c>
      <c r="C14" s="15" t="str">
        <f>BID!C570</f>
        <v>BOTT</v>
      </c>
      <c r="D14" s="15">
        <f>IF(K14&gt;0,(K14/100)*BID!D570,1*BID!D570)</f>
        <v>200</v>
      </c>
      <c r="E14" s="60">
        <f>IF(K14&gt;0,PR!O568,IF(BID!K570="DORTEMAG",BID!L570,0))</f>
        <v>100</v>
      </c>
      <c r="F14" s="61">
        <f t="shared" si="0"/>
        <v>20000</v>
      </c>
      <c r="K14" s="445"/>
    </row>
    <row r="15" spans="1:11" ht="20.25" thickTop="1" thickBot="1" x14ac:dyDescent="0.35">
      <c r="A15" s="430">
        <f>BID!A571</f>
        <v>514</v>
      </c>
      <c r="B15" s="15" t="str">
        <f>BID!B571</f>
        <v>HYDROXYPROPYLMETHYLCELLULOSE GTT</v>
      </c>
      <c r="C15" s="15" t="str">
        <f>BID!C571</f>
        <v>BOTT</v>
      </c>
      <c r="D15" s="15">
        <f>IF(K15&gt;0,(K15/100)*BID!D571,1*BID!D571)</f>
        <v>600</v>
      </c>
      <c r="E15" s="60">
        <f>IF(K15&gt;0,PR!O569,IF(BID!K571="DORTEMAG",BID!L571,0))</f>
        <v>572</v>
      </c>
      <c r="F15" s="61">
        <f t="shared" si="0"/>
        <v>343200</v>
      </c>
      <c r="K15" s="445"/>
    </row>
    <row r="16" spans="1:11" ht="20.25" thickTop="1" thickBot="1" x14ac:dyDescent="0.35">
      <c r="A16" s="430">
        <f>BID!A186</f>
        <v>163</v>
      </c>
      <c r="B16" s="15" t="str">
        <f>BID!B186</f>
        <v>IBUPROFEN SYRUP</v>
      </c>
      <c r="C16" s="15" t="str">
        <f>BID!C186</f>
        <v>BOTT</v>
      </c>
      <c r="D16" s="15">
        <f>IF(K16&gt;0,(K16/100)*BID!D186,1*BID!D186)</f>
        <v>500</v>
      </c>
      <c r="E16" s="60">
        <f>IF(K16&gt;0,PR!O184,IF(BID!K186="DORTEMAG",BID!L186,0))</f>
        <v>200</v>
      </c>
      <c r="F16" s="61">
        <f t="shared" si="0"/>
        <v>100000</v>
      </c>
      <c r="K16" s="445">
        <v>50</v>
      </c>
    </row>
    <row r="17" spans="1:11" ht="20.25" thickTop="1" thickBot="1" x14ac:dyDescent="0.35">
      <c r="A17" s="430">
        <f>BID!A586</f>
        <v>529</v>
      </c>
      <c r="B17" s="15" t="str">
        <f>BID!B586</f>
        <v>TIMOLOL EYE DROPS</v>
      </c>
      <c r="C17" s="15" t="str">
        <f>BID!C586</f>
        <v>BOTT</v>
      </c>
      <c r="D17" s="15">
        <f>IF(K17&gt;0,(K17/100)*BID!D586,1*BID!D586)</f>
        <v>880</v>
      </c>
      <c r="E17" s="60">
        <f>IF(K17&gt;0,PR!O584,IF(BID!K586="DORTEMAG",BID!L586,0))</f>
        <v>473</v>
      </c>
      <c r="F17" s="61">
        <f t="shared" si="0"/>
        <v>416240</v>
      </c>
      <c r="K17" s="445"/>
    </row>
    <row r="18" spans="1:11" ht="20.25" thickTop="1" thickBot="1" x14ac:dyDescent="0.35">
      <c r="A18" s="430">
        <f>BID!A592</f>
        <v>535</v>
      </c>
      <c r="B18" s="15" t="str">
        <f>BID!B592</f>
        <v>TROPICAMIDE GTT</v>
      </c>
      <c r="C18" s="15" t="str">
        <f>BID!C592</f>
        <v>BOTT</v>
      </c>
      <c r="D18" s="15">
        <f>IF(K18&gt;0,(K18/100)*BID!D592,1*BID!D592)</f>
        <v>160</v>
      </c>
      <c r="E18" s="60">
        <f>IF(K18&gt;0,PR!O590,IF(BID!K592="DORTEMAG",BID!L592,0))</f>
        <v>950</v>
      </c>
      <c r="F18" s="61">
        <f t="shared" si="0"/>
        <v>152000</v>
      </c>
      <c r="K18" s="445">
        <v>80</v>
      </c>
    </row>
    <row r="19" spans="1:11" ht="19.5" thickTop="1" x14ac:dyDescent="0.3">
      <c r="A19" s="430"/>
      <c r="B19" s="15"/>
      <c r="C19" s="15"/>
      <c r="D19" s="15"/>
      <c r="E19" s="60"/>
      <c r="F19" s="61"/>
    </row>
    <row r="20" spans="1:11" ht="19.5" thickBot="1" x14ac:dyDescent="0.35">
      <c r="A20" s="430"/>
      <c r="B20" s="15"/>
      <c r="C20" s="15"/>
      <c r="D20" s="15"/>
      <c r="E20" s="60"/>
      <c r="F20" s="442"/>
    </row>
    <row r="21" spans="1:11" ht="21.75" thickBot="1" x14ac:dyDescent="0.4">
      <c r="A21" s="430"/>
      <c r="B21" s="15"/>
      <c r="C21" s="15"/>
      <c r="D21" s="15"/>
      <c r="E21" s="441"/>
      <c r="F21" s="443">
        <f>SUM(F6:F18)</f>
        <v>4389200</v>
      </c>
    </row>
  </sheetData>
  <sheetProtection algorithmName="SHA-512" hashValue="yJ4leI6NRop/5CBP+WnAxdmtSLmMiy2XxI3GzIcKRhGJHKVWESHxiJrDLL756xFAi28oMwlu+GxGajn7bqoUKQ==" saltValue="aPwMCRIbbWw+XYcGgZx8TA==" spinCount="100000" sheet="1" objects="1" scenarios="1"/>
  <protectedRanges>
    <protectedRange sqref="K4:K18" name="Range1"/>
  </protectedRanges>
  <sortState ref="A6:K18">
    <sortCondition ref="B6:B18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E4756-CCC9-44B5-ACE4-D5D7327910F2}">
  <sheetPr>
    <tabColor rgb="FFFF0000"/>
  </sheetPr>
  <dimension ref="A1:K19"/>
  <sheetViews>
    <sheetView view="pageBreakPreview" zoomScale="85" zoomScaleNormal="100" zoomScaleSheetLayoutView="85" workbookViewId="0">
      <selection activeCell="B11" sqref="B11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N!B15</f>
        <v>DRUGFIELD PHARMACEUTICALS LIMITED</v>
      </c>
      <c r="C1" s="816"/>
      <c r="D1" s="816"/>
      <c r="E1" s="816"/>
      <c r="F1" s="816"/>
      <c r="K1" t="s">
        <v>829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BID!A553</f>
        <v>496</v>
      </c>
      <c r="B6" s="15" t="str">
        <f>BID!B553</f>
        <v>ANTAZOLINE HCL+TETRAZOLINE HCL</v>
      </c>
      <c r="C6" s="15" t="str">
        <f>BID!C553</f>
        <v>BOTT</v>
      </c>
      <c r="D6" s="15">
        <f>IF(K6&gt;0,(K6/100)*BID!D553,1*BID!D553)</f>
        <v>2400</v>
      </c>
      <c r="E6" s="60">
        <f>IF(K6&gt;0,PR!P551,IF(BID!K553="DGF",BID!L553,0))</f>
        <v>500</v>
      </c>
      <c r="F6" s="61">
        <f t="shared" ref="F6:F16" si="0">IF(E6&gt;0,(E6*D6),0)</f>
        <v>1200000</v>
      </c>
      <c r="K6" s="445"/>
    </row>
    <row r="7" spans="1:11" ht="20.25" thickTop="1" thickBot="1" x14ac:dyDescent="0.35">
      <c r="A7" s="430">
        <f>BID!A556</f>
        <v>499</v>
      </c>
      <c r="B7" s="15" t="str">
        <f>BID!B556</f>
        <v>BRIMONIDINE GTT</v>
      </c>
      <c r="C7" s="15" t="str">
        <f>BID!C556</f>
        <v>BOTT</v>
      </c>
      <c r="D7" s="15">
        <f>IF(K7&gt;0,(K7/100)*BID!D556,1*BID!D556)</f>
        <v>20</v>
      </c>
      <c r="E7" s="60">
        <f>IF(K7&gt;0,PR!P554,IF(BID!K556="DGF",BID!L556,0))</f>
        <v>1300</v>
      </c>
      <c r="F7" s="61">
        <f t="shared" si="0"/>
        <v>26000</v>
      </c>
      <c r="K7" s="445"/>
    </row>
    <row r="8" spans="1:11" ht="20.25" thickTop="1" thickBot="1" x14ac:dyDescent="0.35">
      <c r="A8" s="430">
        <f>BID!A566</f>
        <v>509</v>
      </c>
      <c r="B8" s="15" t="str">
        <f>BID!B566</f>
        <v>DICLOFENAC GTT</v>
      </c>
      <c r="C8" s="15" t="str">
        <f>BID!C566</f>
        <v>BOTT</v>
      </c>
      <c r="D8" s="15">
        <f>IF(K8&gt;0,(K8/100)*BID!D566,1*BID!D566)</f>
        <v>52</v>
      </c>
      <c r="E8" s="60">
        <f>IF(K8&gt;0,PR!P564,IF(BID!K566="DGF",BID!L566,0))</f>
        <v>450</v>
      </c>
      <c r="F8" s="61">
        <f t="shared" si="0"/>
        <v>23400</v>
      </c>
      <c r="K8" s="445"/>
    </row>
    <row r="9" spans="1:11" ht="20.25" thickTop="1" thickBot="1" x14ac:dyDescent="0.35">
      <c r="A9" s="430">
        <f>BID!A568</f>
        <v>511</v>
      </c>
      <c r="B9" s="15" t="str">
        <f>BID!B568</f>
        <v>FLUCONAZOLE GTT</v>
      </c>
      <c r="C9" s="15" t="str">
        <f>BID!C568</f>
        <v>BOTT</v>
      </c>
      <c r="D9" s="15">
        <f>IF(K9&gt;0,(K9/100)*BID!D568,1*BID!D568)</f>
        <v>40</v>
      </c>
      <c r="E9" s="60">
        <f>IF(K9&gt;0,PR!P566,IF(BID!K568="DGF",BID!L568,0))</f>
        <v>720</v>
      </c>
      <c r="F9" s="61">
        <f t="shared" si="0"/>
        <v>28800</v>
      </c>
      <c r="K9" s="445"/>
    </row>
    <row r="10" spans="1:11" ht="20.25" thickTop="1" thickBot="1" x14ac:dyDescent="0.35">
      <c r="A10" s="430">
        <f>BID!A280</f>
        <v>254</v>
      </c>
      <c r="B10" s="15" t="str">
        <f>BID!B280</f>
        <v>GENTAMICIN CREAM</v>
      </c>
      <c r="C10" s="15" t="str">
        <f>BID!C280</f>
        <v>20G</v>
      </c>
      <c r="D10" s="15">
        <f>IF(K10&gt;0,(K10/100)*BID!D280,1*BID!D280)</f>
        <v>100</v>
      </c>
      <c r="E10" s="60">
        <f>IF(K10&gt;0,PR!P278,IF(BID!K280="DGF",BID!L280,0))</f>
        <v>210</v>
      </c>
      <c r="F10" s="61">
        <f t="shared" si="0"/>
        <v>21000</v>
      </c>
      <c r="K10" s="445"/>
    </row>
    <row r="11" spans="1:11" ht="20.25" thickTop="1" thickBot="1" x14ac:dyDescent="0.35">
      <c r="A11" s="430">
        <f>BID!A83</f>
        <v>65</v>
      </c>
      <c r="B11" s="15" t="str">
        <f>BID!B83</f>
        <v>HYDROCHLOROTHIAZIDE 25MG TAB</v>
      </c>
      <c r="C11" s="15">
        <f>BID!C83</f>
        <v>30</v>
      </c>
      <c r="D11" s="15">
        <f>IF(K11&gt;0,(K11/100)*BID!D83,1*BID!D83)</f>
        <v>3000</v>
      </c>
      <c r="E11" s="60">
        <f>IF(K11&gt;0,PR!P81,IF(BID!K83="DGF",BID!L83,0))</f>
        <v>300</v>
      </c>
      <c r="F11" s="61">
        <f t="shared" si="0"/>
        <v>900000</v>
      </c>
      <c r="K11" s="445"/>
    </row>
    <row r="12" spans="1:11" ht="20.25" thickTop="1" thickBot="1" x14ac:dyDescent="0.35">
      <c r="A12" s="430">
        <f>BID!A765</f>
        <v>693</v>
      </c>
      <c r="B12" s="15" t="str">
        <f>BID!B765</f>
        <v>HYDROCORTICONE  CREAM</v>
      </c>
      <c r="C12" s="15" t="str">
        <f>BID!C765</f>
        <v>TUBE</v>
      </c>
      <c r="D12" s="15">
        <f>IF(K12&gt;0,(K12/100)*BID!D765,1*BID!D765)</f>
        <v>200</v>
      </c>
      <c r="E12" s="60">
        <f>IF(K12&gt;0,PR!P763,IF(BID!K765="DGF",BID!L765,0))</f>
        <v>300</v>
      </c>
      <c r="F12" s="61">
        <f t="shared" si="0"/>
        <v>60000</v>
      </c>
      <c r="K12" s="445"/>
    </row>
    <row r="13" spans="1:11" ht="20.25" thickTop="1" thickBot="1" x14ac:dyDescent="0.35">
      <c r="A13" s="430">
        <f>BID!A286</f>
        <v>260</v>
      </c>
      <c r="B13" s="15" t="str">
        <f>BID!B286</f>
        <v>KETOCONAZOLE CREAM 2% COMPOUND</v>
      </c>
      <c r="C13" s="15" t="str">
        <f>BID!C286</f>
        <v>20g</v>
      </c>
      <c r="D13" s="15">
        <f>IF(K13&gt;0,(K13/100)*BID!D286,1*BID!D286)</f>
        <v>500</v>
      </c>
      <c r="E13" s="60">
        <f>IF(K13&gt;0,PR!P284,IF(BID!K286="DGF",BID!L286,0))</f>
        <v>360</v>
      </c>
      <c r="F13" s="61">
        <f t="shared" si="0"/>
        <v>180000</v>
      </c>
      <c r="K13" s="445"/>
    </row>
    <row r="14" spans="1:11" ht="20.25" thickTop="1" thickBot="1" x14ac:dyDescent="0.35">
      <c r="A14" s="430">
        <f>BID!A583</f>
        <v>526</v>
      </c>
      <c r="B14" s="15" t="str">
        <f>BID!B583</f>
        <v>POTASSIUM IODIDE+SODIUM IODIDE GTT</v>
      </c>
      <c r="C14" s="15" t="str">
        <f>BID!C583</f>
        <v>BOTT</v>
      </c>
      <c r="D14" s="15">
        <f>IF(K14&gt;0,(K14/100)*BID!D583,1*BID!D583)</f>
        <v>10</v>
      </c>
      <c r="E14" s="60">
        <f>IF(K14&gt;0,PR!P581,IF(BID!K583="DGF",BID!L583,0))</f>
        <v>650</v>
      </c>
      <c r="F14" s="61">
        <f t="shared" si="0"/>
        <v>6500</v>
      </c>
      <c r="K14" s="445"/>
    </row>
    <row r="15" spans="1:11" ht="20.25" thickTop="1" thickBot="1" x14ac:dyDescent="0.35">
      <c r="A15" s="430">
        <f>BID!A30</f>
        <v>18</v>
      </c>
      <c r="B15" s="15" t="str">
        <f>BID!B30</f>
        <v>SULPHADOXINE/PYRIMETHAMINE TAB</v>
      </c>
      <c r="C15" s="15">
        <f>BID!C30</f>
        <v>50</v>
      </c>
      <c r="D15" s="15">
        <f>IF(K15&gt;0,(K15/100)*BID!D30,1*BID!D30)</f>
        <v>20</v>
      </c>
      <c r="E15" s="60">
        <f>IF(K15&gt;0,PR!P28,IF(BID!K30="DGF",BID!L30,0))</f>
        <v>2900</v>
      </c>
      <c r="F15" s="61">
        <f t="shared" si="0"/>
        <v>58000</v>
      </c>
      <c r="K15" s="445"/>
    </row>
    <row r="16" spans="1:11" ht="20.25" thickTop="1" thickBot="1" x14ac:dyDescent="0.35">
      <c r="A16" s="430">
        <f>BID!A592</f>
        <v>535</v>
      </c>
      <c r="B16" s="15" t="str">
        <f>BID!B592</f>
        <v>TROPICAMIDE GTT</v>
      </c>
      <c r="C16" s="15" t="str">
        <f>BID!C592</f>
        <v>BOTT</v>
      </c>
      <c r="D16" s="15">
        <f>IF(K16&gt;0,(K16/100)*BID!D592,1*BID!D592)</f>
        <v>40</v>
      </c>
      <c r="E16" s="60">
        <f>IF(K16&gt;0,PR!P590,IF(BID!K592="DGF",BID!L592,0))</f>
        <v>500</v>
      </c>
      <c r="F16" s="61">
        <f t="shared" si="0"/>
        <v>20000</v>
      </c>
      <c r="K16" s="445">
        <v>20</v>
      </c>
    </row>
    <row r="17" spans="1:6" ht="19.5" thickTop="1" x14ac:dyDescent="0.3">
      <c r="A17" s="430"/>
      <c r="B17" s="15"/>
      <c r="C17" s="15"/>
      <c r="D17" s="15"/>
      <c r="E17" s="60"/>
      <c r="F17" s="61"/>
    </row>
    <row r="18" spans="1:6" ht="19.5" thickBot="1" x14ac:dyDescent="0.35">
      <c r="A18" s="430"/>
      <c r="B18" s="15"/>
      <c r="C18" s="15"/>
      <c r="D18" s="15"/>
      <c r="E18" s="60"/>
      <c r="F18" s="442"/>
    </row>
    <row r="19" spans="1:6" ht="21.75" thickBot="1" x14ac:dyDescent="0.4">
      <c r="A19" s="430"/>
      <c r="B19" s="15"/>
      <c r="C19" s="15"/>
      <c r="D19" s="15"/>
      <c r="E19" s="441"/>
      <c r="F19" s="443">
        <f>SUM(F6:F16)</f>
        <v>2523700</v>
      </c>
    </row>
  </sheetData>
  <protectedRanges>
    <protectedRange sqref="K4:K16" name="Range1"/>
  </protectedRanges>
  <sortState ref="A6:K16">
    <sortCondition ref="B6:B16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70601-54B2-4DA8-82C0-2B1B6D3ECD8A}">
  <sheetPr>
    <tabColor rgb="FFFFC000"/>
  </sheetPr>
  <dimension ref="A1:K78"/>
  <sheetViews>
    <sheetView view="pageBreakPreview" topLeftCell="A49" zoomScale="85" zoomScaleNormal="100" zoomScaleSheetLayoutView="85" workbookViewId="0">
      <selection activeCell="B63" sqref="B63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N!B16</f>
        <v>DYNAMIC ANCHOR SOURCE LIMITED</v>
      </c>
      <c r="C1" s="816"/>
      <c r="D1" s="816"/>
      <c r="E1" s="816"/>
      <c r="F1" s="816"/>
      <c r="K1" t="s">
        <v>626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1489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BID!A791</f>
        <v>712</v>
      </c>
      <c r="B6" s="15" t="str">
        <f>BID!B791</f>
        <v>CARESTREAM DRY VIEW LASER IMAGING FILM 12" x 10"</v>
      </c>
      <c r="C6" s="15" t="str">
        <f>BID!C791</f>
        <v>PACK</v>
      </c>
      <c r="D6" s="15">
        <f>IF(K6&gt;0,(K6/100)*BID!D791,1*BID!D791)</f>
        <v>28</v>
      </c>
      <c r="E6" s="60">
        <f>IF(K6&gt;0,PR!Q789,IF(BID!K791="DYNAMIC",BID!L791,0))</f>
        <v>95000</v>
      </c>
      <c r="F6" s="61">
        <f>IF(E6&gt;0,(E6*D6),0)</f>
        <v>2660000</v>
      </c>
      <c r="K6" s="445"/>
    </row>
    <row r="7" spans="1:11" ht="20.25" thickTop="1" thickBot="1" x14ac:dyDescent="0.35">
      <c r="A7" s="430">
        <f>BID!A794</f>
        <v>715</v>
      </c>
      <c r="B7" s="15" t="str">
        <f>BID!B794</f>
        <v>CONDOM</v>
      </c>
      <c r="C7" s="15" t="str">
        <f>BID!C794</f>
        <v>BOXES</v>
      </c>
      <c r="D7" s="15">
        <f>IF(K7&gt;0,(K7/100)*BID!D794,1*BID!D794)</f>
        <v>20</v>
      </c>
      <c r="E7" s="60">
        <f>IF(K7&gt;0,PR!Q792,IF(BID!K794="DYNAMIC",BID!L794,0))</f>
        <v>1625</v>
      </c>
      <c r="F7" s="61">
        <f>IF(E7&gt;0,(E7*D7),0)</f>
        <v>32500</v>
      </c>
      <c r="K7" s="445"/>
    </row>
    <row r="8" spans="1:11" ht="20.25" thickTop="1" thickBot="1" x14ac:dyDescent="0.35">
      <c r="A8" s="430">
        <f>BID!A799</f>
        <v>720</v>
      </c>
      <c r="B8" s="15" t="str">
        <f>BID!B799</f>
        <v>ENVELOPES LARGE (18" X 15")</v>
      </c>
      <c r="C8" s="15" t="str">
        <f>BID!C799</f>
        <v>PCS</v>
      </c>
      <c r="D8" s="15">
        <f>IF(K8&gt;0,(K8/100)*BID!D799,1*BID!D799)</f>
        <v>5000</v>
      </c>
      <c r="E8" s="60">
        <f>IF(K8&gt;0,PR!Q797,IF(BID!K799="DYNAMIC",BID!L799,0))</f>
        <v>113</v>
      </c>
      <c r="F8" s="61">
        <f>IF(E8&gt;0,(E8*D8),0)</f>
        <v>565000</v>
      </c>
      <c r="K8" s="445"/>
    </row>
    <row r="9" spans="1:11" ht="20.25" thickTop="1" thickBot="1" x14ac:dyDescent="0.35">
      <c r="A9" s="430">
        <f>BID!A798</f>
        <v>719</v>
      </c>
      <c r="B9" s="15" t="str">
        <f>BID!B798</f>
        <v>REQUEST FORMS</v>
      </c>
      <c r="C9" s="15" t="str">
        <f>BID!C798</f>
        <v>PCS</v>
      </c>
      <c r="D9" s="15">
        <f>IF(K9&gt;0,(K9/100)*BID!D798,1*BID!D798)</f>
        <v>5000</v>
      </c>
      <c r="E9" s="60">
        <f>IF(K9&gt;0,PR!Q796,IF(BID!K798="DYNAMIC",BID!L798,0))</f>
        <v>14</v>
      </c>
      <c r="F9" s="61">
        <f>IF(E9&gt;0,(E9*D9),0)</f>
        <v>70000</v>
      </c>
      <c r="K9" s="445"/>
    </row>
    <row r="10" spans="1:11" ht="20.25" thickTop="1" thickBot="1" x14ac:dyDescent="0.35">
      <c r="A10" s="430">
        <f>BID!A793</f>
        <v>714</v>
      </c>
      <c r="B10" s="15" t="str">
        <f>BID!B793</f>
        <v>TOILET ROLL</v>
      </c>
      <c r="C10" s="15">
        <f>BID!C793</f>
        <v>48</v>
      </c>
      <c r="D10" s="15">
        <f>IF(K10&gt;0,(K10/100)*BID!D793,1*BID!D793)</f>
        <v>50</v>
      </c>
      <c r="E10" s="60">
        <f>IF(K10&gt;0,PR!Q791,IF(BID!K793="DYNAMIC",BID!L793,0))</f>
        <v>4125</v>
      </c>
      <c r="F10" s="61">
        <f>IF(E10&gt;0,(E10*D10),0)</f>
        <v>206250</v>
      </c>
      <c r="K10" s="445"/>
    </row>
    <row r="11" spans="1:11" ht="20.25" thickTop="1" thickBot="1" x14ac:dyDescent="0.35">
      <c r="A11" s="430"/>
      <c r="B11" s="15"/>
      <c r="C11" s="15"/>
      <c r="D11" s="15"/>
      <c r="E11" s="60"/>
      <c r="F11" s="61"/>
      <c r="K11" s="445"/>
    </row>
    <row r="12" spans="1:11" ht="24.75" thickTop="1" thickBot="1" x14ac:dyDescent="0.3">
      <c r="A12" s="430"/>
      <c r="B12" s="820" t="s">
        <v>1507</v>
      </c>
      <c r="C12" s="821"/>
      <c r="D12" s="821"/>
      <c r="E12" s="821"/>
      <c r="F12" s="822"/>
      <c r="K12" s="445"/>
    </row>
    <row r="13" spans="1:11" ht="20.25" thickTop="1" thickBot="1" x14ac:dyDescent="0.35">
      <c r="A13" s="430">
        <f>BID!A832</f>
        <v>746</v>
      </c>
      <c r="B13" s="15" t="str">
        <f>BID!B832</f>
        <v>CARAT SOAPS</v>
      </c>
      <c r="C13" s="15" t="str">
        <f>BID!C832</f>
        <v>PIECE</v>
      </c>
      <c r="D13" s="15">
        <f>IF(K13&gt;0,(K13/100)*BID!D832,1*BID!D832)</f>
        <v>400</v>
      </c>
      <c r="E13" s="60">
        <f>IF(K13&gt;0,PR!Q830,IF(BID!K832="DYNAMIC",BID!L832,0))</f>
        <v>138</v>
      </c>
      <c r="F13" s="61">
        <f>IF(E13&gt;0,(E13*D13),0)</f>
        <v>55200</v>
      </c>
      <c r="K13" s="445"/>
    </row>
    <row r="14" spans="1:11" ht="20.25" thickTop="1" thickBot="1" x14ac:dyDescent="0.35">
      <c r="A14" s="430">
        <f>BID!A830</f>
        <v>744</v>
      </c>
      <c r="B14" s="15" t="str">
        <f>BID!B830</f>
        <v>DISPOSABLE CAPS (SILVER HEALTH CARE)</v>
      </c>
      <c r="C14" s="15" t="str">
        <f>BID!C830</f>
        <v>CARTON</v>
      </c>
      <c r="D14" s="15">
        <f>IF(K14&gt;0,(K14/100)*BID!D830,1*BID!D830)</f>
        <v>900</v>
      </c>
      <c r="E14" s="60">
        <f>IF(K14&gt;0,PR!Q828,IF(BID!K830="DYNAMIC",BID!L830,0))</f>
        <v>5630</v>
      </c>
      <c r="F14" s="61">
        <f>IF(E14&gt;0,(E14*D14),0)</f>
        <v>5067000</v>
      </c>
      <c r="K14" s="445"/>
    </row>
    <row r="15" spans="1:11" ht="20.25" thickTop="1" thickBot="1" x14ac:dyDescent="0.35">
      <c r="A15" s="430">
        <f>BID!A839</f>
        <v>753</v>
      </c>
      <c r="B15" s="15" t="str">
        <f>BID!B839</f>
        <v>O SHINE LIQUID SOAPS 4 LITRE</v>
      </c>
      <c r="C15" s="15" t="str">
        <f>BID!C839</f>
        <v>KEG</v>
      </c>
      <c r="D15" s="15">
        <f>IF(K15&gt;0,(K15/100)*BID!D839,1*BID!D839)</f>
        <v>400</v>
      </c>
      <c r="E15" s="60">
        <f>IF(K15&gt;0,PR!Q837,IF(BID!K839="DYNAMIC",BID!L839,0))</f>
        <v>1250</v>
      </c>
      <c r="F15" s="61">
        <f>IF(E15&gt;0,(E15*D15),0)</f>
        <v>500000</v>
      </c>
      <c r="K15" s="445"/>
    </row>
    <row r="16" spans="1:11" ht="20.25" thickTop="1" thickBot="1" x14ac:dyDescent="0.35">
      <c r="A16" s="430"/>
      <c r="B16" s="15"/>
      <c r="C16" s="15"/>
      <c r="D16" s="15"/>
      <c r="E16" s="60"/>
      <c r="F16" s="61"/>
      <c r="K16" s="445"/>
    </row>
    <row r="17" spans="1:11" ht="24.75" thickTop="1" thickBot="1" x14ac:dyDescent="0.3">
      <c r="A17" s="430"/>
      <c r="B17" s="820" t="s">
        <v>1548</v>
      </c>
      <c r="C17" s="821"/>
      <c r="D17" s="821"/>
      <c r="E17" s="821"/>
      <c r="F17" s="822"/>
      <c r="K17" s="445"/>
    </row>
    <row r="18" spans="1:11" ht="20.25" thickTop="1" thickBot="1" x14ac:dyDescent="0.35">
      <c r="A18" s="430">
        <f>BID!A864</f>
        <v>772</v>
      </c>
      <c r="B18" s="15" t="str">
        <f>BID!B864</f>
        <v>B. D VACUTAINER NEEDLE (21 x 0.8 x 32ML)</v>
      </c>
      <c r="C18" s="15" t="str">
        <f>BID!C864</f>
        <v>1 pack of 100</v>
      </c>
      <c r="D18" s="15">
        <f>IF(K18&gt;0,(K18/100)*BID!D864,1*BID!D864)</f>
        <v>2</v>
      </c>
      <c r="E18" s="60">
        <f>IF(K18&gt;0,PR!Q862,IF(BID!K864="DYNAMIC",BID!L864,0))</f>
        <v>2250</v>
      </c>
      <c r="F18" s="61">
        <f t="shared" ref="F18:F30" si="0">IF(E18&gt;0,(E18*D18),0)</f>
        <v>4500</v>
      </c>
      <c r="K18" s="445"/>
    </row>
    <row r="19" spans="1:11" ht="20.25" thickTop="1" thickBot="1" x14ac:dyDescent="0.35">
      <c r="A19" s="430">
        <f>BID!A934</f>
        <v>842</v>
      </c>
      <c r="B19" s="15" t="str">
        <f>BID!B934</f>
        <v>BLOOD WEIGHING SCALE</v>
      </c>
      <c r="C19" s="15">
        <f>BID!C934</f>
        <v>0</v>
      </c>
      <c r="D19" s="15">
        <f>IF(K19&gt;0,(K19/100)*BID!D934,1*BID!D934)</f>
        <v>1</v>
      </c>
      <c r="E19" s="60">
        <f>IF(K19&gt;0,PR!Q932,IF(BID!K934="DYNAMIC",BID!L934,0))</f>
        <v>296563</v>
      </c>
      <c r="F19" s="61">
        <f t="shared" si="0"/>
        <v>296563</v>
      </c>
      <c r="K19" s="445"/>
    </row>
    <row r="20" spans="1:11" ht="20.25" thickTop="1" thickBot="1" x14ac:dyDescent="0.35">
      <c r="A20" s="430">
        <f>BID!A932</f>
        <v>840</v>
      </c>
      <c r="B20" s="15" t="str">
        <f>BID!B932</f>
        <v>CALCIUM RABIT BRAIN THROMBOPLASTIN</v>
      </c>
      <c r="C20" s="15" t="str">
        <f>BID!C932</f>
        <v>1 packs of 6</v>
      </c>
      <c r="D20" s="15">
        <f>IF(K20&gt;0,(K20/100)*BID!D932,1*BID!D932)</f>
        <v>1</v>
      </c>
      <c r="E20" s="60">
        <f>IF(K20&gt;0,PR!Q930,IF(BID!K932="DYNAMIC",BID!L932,0))</f>
        <v>41250</v>
      </c>
      <c r="F20" s="61">
        <f t="shared" si="0"/>
        <v>41250</v>
      </c>
      <c r="K20" s="445"/>
    </row>
    <row r="21" spans="1:11" ht="20.25" thickTop="1" thickBot="1" x14ac:dyDescent="0.35">
      <c r="A21" s="430">
        <f>BID!A880</f>
        <v>788</v>
      </c>
      <c r="B21" s="15" t="str">
        <f>BID!B880</f>
        <v>CELLULOSE ACETATE PAPER - TITIAN</v>
      </c>
      <c r="C21" s="15">
        <f>BID!C880</f>
        <v>0</v>
      </c>
      <c r="D21" s="15">
        <f>IF(K21&gt;0,(K21/100)*BID!D880,1*BID!D880)</f>
        <v>25</v>
      </c>
      <c r="E21" s="60">
        <f>IF(K21&gt;0,PR!Q878,IF(BID!K880="DYNAMIC",BID!L880,0))</f>
        <v>25625</v>
      </c>
      <c r="F21" s="61">
        <f t="shared" si="0"/>
        <v>640625</v>
      </c>
      <c r="K21" s="445"/>
    </row>
    <row r="22" spans="1:11" ht="20.25" thickTop="1" thickBot="1" x14ac:dyDescent="0.35">
      <c r="A22" s="430">
        <f>BID!A925</f>
        <v>833</v>
      </c>
      <c r="B22" s="15" t="str">
        <f>BID!B925</f>
        <v>CLINICAL THERMOMETER</v>
      </c>
      <c r="C22" s="15" t="str">
        <f>BID!C925</f>
        <v>PCS</v>
      </c>
      <c r="D22" s="15">
        <f>IF(K22&gt;0,(K22/100)*BID!D925,1*BID!D925)</f>
        <v>12</v>
      </c>
      <c r="E22" s="60">
        <f>IF(K22&gt;0,PR!Q923,IF(BID!K925="DYNAMIC",BID!L925,0))</f>
        <v>208.33333333333334</v>
      </c>
      <c r="F22" s="61">
        <f t="shared" si="0"/>
        <v>2500</v>
      </c>
      <c r="K22" s="445"/>
    </row>
    <row r="23" spans="1:11" ht="20.25" thickTop="1" thickBot="1" x14ac:dyDescent="0.35">
      <c r="A23" s="430">
        <f>BID!A922</f>
        <v>830</v>
      </c>
      <c r="B23" s="15" t="str">
        <f>BID!B922</f>
        <v>EPPENDORF TUBE</v>
      </c>
      <c r="C23" s="15" t="str">
        <f>BID!C922</f>
        <v>1 pack of 100</v>
      </c>
      <c r="D23" s="15">
        <f>IF(K23&gt;0,(K23/100)*BID!D922,1*BID!D922)</f>
        <v>7</v>
      </c>
      <c r="E23" s="60">
        <f>IF(K23&gt;0,PR!Q920,IF(BID!K922="DYNAMIC",BID!L922,0))</f>
        <v>1125</v>
      </c>
      <c r="F23" s="61">
        <f t="shared" si="0"/>
        <v>7875</v>
      </c>
      <c r="K23" s="445"/>
    </row>
    <row r="24" spans="1:11" ht="20.25" thickTop="1" thickBot="1" x14ac:dyDescent="0.35">
      <c r="A24" s="430">
        <f>BID!A936</f>
        <v>844</v>
      </c>
      <c r="B24" s="15" t="str">
        <f>BID!B936</f>
        <v>INSULATED BLOOD BOX</v>
      </c>
      <c r="C24" s="15">
        <f>BID!C936</f>
        <v>0</v>
      </c>
      <c r="D24" s="15">
        <f>IF(K24&gt;0,(K24/100)*BID!D936,1*BID!D936)</f>
        <v>20</v>
      </c>
      <c r="E24" s="60">
        <f>IF(K24&gt;0,PR!Q934,IF(BID!K936="DYNAMIC",BID!L936,0))</f>
        <v>48388</v>
      </c>
      <c r="F24" s="61">
        <f t="shared" si="0"/>
        <v>967760</v>
      </c>
      <c r="K24" s="445"/>
    </row>
    <row r="25" spans="1:11" ht="20.25" thickTop="1" thickBot="1" x14ac:dyDescent="0.35">
      <c r="A25" s="430">
        <f>BID!A933</f>
        <v>841</v>
      </c>
      <c r="B25" s="15" t="str">
        <f>BID!B933</f>
        <v>KAOLIN PLATELET SUBSTITUTE</v>
      </c>
      <c r="C25" s="15" t="str">
        <f>BID!C933</f>
        <v>1 pc</v>
      </c>
      <c r="D25" s="15">
        <f>IF(K25&gt;0,(K25/100)*BID!D933,1*BID!D933)</f>
        <v>1</v>
      </c>
      <c r="E25" s="60">
        <f>IF(K25&gt;0,PR!Q931,IF(BID!K933="DYNAMIC",BID!L933,0))</f>
        <v>38750</v>
      </c>
      <c r="F25" s="61">
        <f t="shared" si="0"/>
        <v>38750</v>
      </c>
      <c r="K25" s="445"/>
    </row>
    <row r="26" spans="1:11" ht="20.25" thickTop="1" thickBot="1" x14ac:dyDescent="0.35">
      <c r="A26" s="430">
        <f>BID!A921</f>
        <v>829</v>
      </c>
      <c r="B26" s="15" t="str">
        <f>BID!B921</f>
        <v>KHAN TUBES</v>
      </c>
      <c r="C26" s="15" t="str">
        <f>BID!C921</f>
        <v>1 pack of 100</v>
      </c>
      <c r="D26" s="15">
        <f>IF(K26&gt;0,(K26/100)*BID!D921,1*BID!D921)</f>
        <v>10</v>
      </c>
      <c r="E26" s="60">
        <f>IF(K26&gt;0,PR!Q919,IF(BID!K921="DYNAMIC",BID!L921,0))</f>
        <v>3375</v>
      </c>
      <c r="F26" s="61">
        <f t="shared" si="0"/>
        <v>33750</v>
      </c>
      <c r="K26" s="445"/>
    </row>
    <row r="27" spans="1:11" ht="20.25" thickTop="1" thickBot="1" x14ac:dyDescent="0.35">
      <c r="A27" s="430">
        <f>BID!A865</f>
        <v>773</v>
      </c>
      <c r="B27" s="15" t="str">
        <f>BID!B865</f>
        <v>LABORATORY TIMER</v>
      </c>
      <c r="C27" s="15" t="str">
        <f>BID!C865</f>
        <v>2 pcs</v>
      </c>
      <c r="D27" s="15">
        <f>IF(K27&gt;0,(K27/100)*BID!D865,1*BID!D865)</f>
        <v>2</v>
      </c>
      <c r="E27" s="60">
        <f>IF(K27&gt;0,PR!Q863,IF(BID!K865="DYNAMIC",BID!L865,0))</f>
        <v>2875</v>
      </c>
      <c r="F27" s="61">
        <f t="shared" si="0"/>
        <v>5750</v>
      </c>
      <c r="K27" s="445"/>
    </row>
    <row r="28" spans="1:11" ht="20.25" thickTop="1" thickBot="1" x14ac:dyDescent="0.35">
      <c r="A28" s="430">
        <f>BID!A852</f>
        <v>760</v>
      </c>
      <c r="B28" s="15" t="str">
        <f>BID!B852</f>
        <v>PASTURE PIPETTE (DISPOSABLE)</v>
      </c>
      <c r="C28" s="15" t="str">
        <f>BID!C852</f>
        <v>1 pack of 100</v>
      </c>
      <c r="D28" s="15">
        <f>IF(K28&gt;0,(K28/100)*BID!D852,1*BID!D852)</f>
        <v>3</v>
      </c>
      <c r="E28" s="60">
        <f>IF(K28&gt;0,PR!Q850,IF(BID!K852="DYNAMIC",BID!L852,0))</f>
        <v>1000</v>
      </c>
      <c r="F28" s="61">
        <f t="shared" si="0"/>
        <v>3000</v>
      </c>
      <c r="K28" s="445"/>
    </row>
    <row r="29" spans="1:11" ht="20.25" thickTop="1" thickBot="1" x14ac:dyDescent="0.35">
      <c r="A29" s="430">
        <f>BID!A930</f>
        <v>838</v>
      </c>
      <c r="B29" s="15" t="str">
        <f>BID!B930</f>
        <v>PCV TRAY</v>
      </c>
      <c r="C29" s="15">
        <f>BID!C930</f>
        <v>0</v>
      </c>
      <c r="D29" s="15">
        <f>IF(K29&gt;0,(K29/100)*BID!D930,1*BID!D930)</f>
        <v>3</v>
      </c>
      <c r="E29" s="60">
        <f>IF(K29&gt;0,PR!Q928,IF(BID!K930="DYNAMIC",BID!L930,0))</f>
        <v>1250</v>
      </c>
      <c r="F29" s="61">
        <f t="shared" si="0"/>
        <v>3750</v>
      </c>
      <c r="K29" s="445"/>
    </row>
    <row r="30" spans="1:11" ht="20.25" thickTop="1" thickBot="1" x14ac:dyDescent="0.35">
      <c r="A30" s="430">
        <f>BID!A883</f>
        <v>791</v>
      </c>
      <c r="B30" s="15" t="str">
        <f>BID!B883</f>
        <v>POUCEAU'S STAIN POWDER (25G)</v>
      </c>
      <c r="C30" s="15" t="str">
        <f>BID!C883</f>
        <v>1 pc</v>
      </c>
      <c r="D30" s="15">
        <f>IF(K30&gt;0,(K30/100)*BID!D883,1*BID!D883)</f>
        <v>1</v>
      </c>
      <c r="E30" s="60">
        <f>IF(K30&gt;0,PR!Q881,IF(BID!K883="DYNAMIC",BID!L883,0))</f>
        <v>5625</v>
      </c>
      <c r="F30" s="61">
        <f t="shared" si="0"/>
        <v>5625</v>
      </c>
      <c r="K30" s="445"/>
    </row>
    <row r="31" spans="1:11" ht="20.25" thickTop="1" thickBot="1" x14ac:dyDescent="0.35">
      <c r="A31" s="430"/>
      <c r="B31" s="15"/>
      <c r="C31" s="15"/>
      <c r="D31" s="15"/>
      <c r="E31" s="60"/>
      <c r="F31" s="61"/>
      <c r="K31" s="445"/>
    </row>
    <row r="32" spans="1:11" ht="24.75" thickTop="1" thickBot="1" x14ac:dyDescent="0.3">
      <c r="A32" s="430"/>
      <c r="B32" s="820" t="s">
        <v>1657</v>
      </c>
      <c r="C32" s="821"/>
      <c r="D32" s="821"/>
      <c r="E32" s="821"/>
      <c r="F32" s="822"/>
      <c r="K32" s="445"/>
    </row>
    <row r="33" spans="1:11" ht="20.25" thickTop="1" thickBot="1" x14ac:dyDescent="0.35">
      <c r="A33" s="430">
        <f>BID!A946</f>
        <v>848</v>
      </c>
      <c r="B33" s="15" t="str">
        <f>BID!B946</f>
        <v>CRESYL VIOLET</v>
      </c>
      <c r="C33" s="15" t="str">
        <f>BID!C946</f>
        <v>1 bottle (25G)</v>
      </c>
      <c r="D33" s="15">
        <f>IF(K33&gt;0,(K33/100)*BID!D946,1*BID!D946)</f>
        <v>1</v>
      </c>
      <c r="E33" s="60">
        <f>IF(K33&gt;0,PR!Q944,IF(BID!K946="DYNAMIC",BID!L946,0))</f>
        <v>3500</v>
      </c>
      <c r="F33" s="61">
        <f t="shared" ref="F33" si="1">IF(E33&gt;0,(E33*D33),0)</f>
        <v>3500</v>
      </c>
      <c r="K33" s="445"/>
    </row>
    <row r="34" spans="1:11" ht="20.25" thickTop="1" thickBot="1" x14ac:dyDescent="0.35">
      <c r="A34" s="430">
        <f>BID!A979</f>
        <v>881</v>
      </c>
      <c r="B34" s="15" t="str">
        <f>BID!B979</f>
        <v>EOSIN ESURE (EA 360R 50)</v>
      </c>
      <c r="C34" s="15" t="str">
        <f>BID!C979</f>
        <v>1 bottle (500mls)</v>
      </c>
      <c r="D34" s="15">
        <f>IF(K34&gt;0,(K34/100)*BID!D979,1*BID!D979)</f>
        <v>5</v>
      </c>
      <c r="E34" s="60">
        <f>IF(K34&gt;0,PR!Q977,IF(BID!K979="DYNAMIC",BID!L979,0))</f>
        <v>15625</v>
      </c>
      <c r="F34" s="61">
        <f t="shared" ref="F34:F46" si="2">IF(E34&gt;0,(E34*D34),0)</f>
        <v>78125</v>
      </c>
      <c r="K34" s="445"/>
    </row>
    <row r="35" spans="1:11" ht="20.25" thickTop="1" thickBot="1" x14ac:dyDescent="0.35">
      <c r="A35" s="430">
        <f>BID!A980</f>
        <v>882</v>
      </c>
      <c r="B35" s="15" t="str">
        <f>BID!B980</f>
        <v>IZAL</v>
      </c>
      <c r="C35" s="15" t="str">
        <f>BID!C980</f>
        <v>1 keg (1liter)</v>
      </c>
      <c r="D35" s="15">
        <f>IF(K35&gt;0,(K35/100)*BID!D980,1*BID!D980)</f>
        <v>20</v>
      </c>
      <c r="E35" s="60">
        <f>IF(K35&gt;0,PR!Q978,IF(BID!K980="DYNAMIC",BID!L980,0))</f>
        <v>1125</v>
      </c>
      <c r="F35" s="61">
        <f t="shared" si="2"/>
        <v>22500</v>
      </c>
      <c r="K35" s="445"/>
    </row>
    <row r="36" spans="1:11" ht="20.25" thickTop="1" thickBot="1" x14ac:dyDescent="0.35">
      <c r="A36" s="430">
        <f>BID!A985</f>
        <v>887</v>
      </c>
      <c r="B36" s="15" t="str">
        <f>BID!B985</f>
        <v>EYES CAP</v>
      </c>
      <c r="C36" s="15" t="str">
        <f>BID!C985</f>
        <v>1 bottle (6pcs)</v>
      </c>
      <c r="D36" s="15">
        <f>IF(K36&gt;0,(K36/100)*BID!D985,1*BID!D985)</f>
        <v>5</v>
      </c>
      <c r="E36" s="60">
        <f>IF(K36&gt;0,PR!Q983,IF(BID!K985="DYNAMIC",BID!L985,0))</f>
        <v>1000</v>
      </c>
      <c r="F36" s="61">
        <f t="shared" si="2"/>
        <v>5000</v>
      </c>
      <c r="K36" s="445"/>
    </row>
    <row r="37" spans="1:11" ht="20.25" thickTop="1" thickBot="1" x14ac:dyDescent="0.35">
      <c r="A37" s="430">
        <f>BID!A986</f>
        <v>888</v>
      </c>
      <c r="B37" s="15" t="str">
        <f>BID!B986</f>
        <v>NAME LABEL (MORTUARY)</v>
      </c>
      <c r="C37" s="15" t="str">
        <f>BID!C986</f>
        <v>1 pack (10pcs)</v>
      </c>
      <c r="D37" s="15">
        <f>IF(K37&gt;0,(K37/100)*BID!D986,1*BID!D986)</f>
        <v>10</v>
      </c>
      <c r="E37" s="60">
        <f>IF(K37&gt;0,PR!Q984,IF(BID!K986="DYNAMIC",BID!L986,0))</f>
        <v>1875</v>
      </c>
      <c r="F37" s="61">
        <f t="shared" si="2"/>
        <v>18750</v>
      </c>
      <c r="K37" s="445"/>
    </row>
    <row r="38" spans="1:11" ht="20.25" thickTop="1" thickBot="1" x14ac:dyDescent="0.35">
      <c r="A38" s="430">
        <f>BID!A989</f>
        <v>891</v>
      </c>
      <c r="B38" s="15" t="str">
        <f>BID!B989</f>
        <v>CHLORALHYDRATE</v>
      </c>
      <c r="C38" s="15" t="str">
        <f>BID!C989</f>
        <v>1 bottle (500ml)</v>
      </c>
      <c r="D38" s="15">
        <f>IF(K38&gt;0,(K38/100)*BID!D989,1*BID!D989)</f>
        <v>2</v>
      </c>
      <c r="E38" s="60">
        <f>IF(K38&gt;0,PR!Q987,IF(BID!K989="DYNAMIC",BID!L989,0))</f>
        <v>6875</v>
      </c>
      <c r="F38" s="61">
        <f t="shared" si="2"/>
        <v>13750</v>
      </c>
      <c r="K38" s="445"/>
    </row>
    <row r="39" spans="1:11" ht="20.25" thickTop="1" thickBot="1" x14ac:dyDescent="0.35">
      <c r="A39" s="430">
        <f>BID!A996</f>
        <v>898</v>
      </c>
      <c r="B39" s="15" t="str">
        <f>BID!B996</f>
        <v>FERRIC ACID</v>
      </c>
      <c r="C39" s="15" t="str">
        <f>BID!C996</f>
        <v>500mls</v>
      </c>
      <c r="D39" s="15">
        <f>IF(K39&gt;0,(K39/100)*BID!D996,1*BID!D996)</f>
        <v>2</v>
      </c>
      <c r="E39" s="60">
        <f>IF(K39&gt;0,PR!Q994,IF(BID!K996="DYNAMIC",BID!L996,0))</f>
        <v>4375</v>
      </c>
      <c r="F39" s="61">
        <f t="shared" si="2"/>
        <v>8750</v>
      </c>
      <c r="K39" s="445"/>
    </row>
    <row r="40" spans="1:11" ht="20.25" thickTop="1" thickBot="1" x14ac:dyDescent="0.35">
      <c r="A40" s="430">
        <f>BID!A998</f>
        <v>900</v>
      </c>
      <c r="B40" s="15" t="str">
        <f>BID!B998</f>
        <v>HEAMATOXYLIN</v>
      </c>
      <c r="C40" s="15" t="str">
        <f>BID!C998</f>
        <v>25g</v>
      </c>
      <c r="D40" s="15">
        <f>IF(K40&gt;0,(K40/100)*BID!D998,1*BID!D998)</f>
        <v>5</v>
      </c>
      <c r="E40" s="60">
        <f>IF(K40&gt;0,PR!Q996,IF(BID!K998="DYNAMIC",BID!L998,0))</f>
        <v>15000</v>
      </c>
      <c r="F40" s="61">
        <f t="shared" si="2"/>
        <v>75000</v>
      </c>
      <c r="K40" s="445"/>
    </row>
    <row r="41" spans="1:11" ht="20.25" thickTop="1" thickBot="1" x14ac:dyDescent="0.35">
      <c r="A41" s="430">
        <f>BID!A999</f>
        <v>901</v>
      </c>
      <c r="B41" s="15" t="str">
        <f>BID!B999</f>
        <v xml:space="preserve">EOSIN  </v>
      </c>
      <c r="C41" s="15" t="str">
        <f>BID!C999</f>
        <v>25g</v>
      </c>
      <c r="D41" s="15">
        <f>IF(K41&gt;0,(K41/100)*BID!D999,1*BID!D999)</f>
        <v>5</v>
      </c>
      <c r="E41" s="60">
        <f>IF(K41&gt;0,PR!Q997,IF(BID!K999="DYNAMIC",BID!L999,0))</f>
        <v>3125</v>
      </c>
      <c r="F41" s="61">
        <f t="shared" si="2"/>
        <v>15625</v>
      </c>
      <c r="K41" s="445"/>
    </row>
    <row r="42" spans="1:11" ht="20.25" thickTop="1" thickBot="1" x14ac:dyDescent="0.35">
      <c r="A42" s="430"/>
      <c r="B42" s="15"/>
      <c r="C42" s="15"/>
      <c r="D42" s="15"/>
      <c r="E42" s="60"/>
      <c r="F42" s="61"/>
      <c r="K42" s="445"/>
    </row>
    <row r="43" spans="1:11" ht="24.75" thickTop="1" thickBot="1" x14ac:dyDescent="0.3">
      <c r="A43" s="430"/>
      <c r="B43" s="820" t="s">
        <v>1754</v>
      </c>
      <c r="C43" s="821"/>
      <c r="D43" s="821"/>
      <c r="E43" s="821"/>
      <c r="F43" s="822"/>
      <c r="K43" s="445"/>
    </row>
    <row r="44" spans="1:11" ht="20.25" thickTop="1" thickBot="1" x14ac:dyDescent="0.35">
      <c r="A44" s="430">
        <f>BID!A1019</f>
        <v>915</v>
      </c>
      <c r="B44" s="15" t="str">
        <f>BID!B1019</f>
        <v>PEPTONE POWDER AGAR</v>
      </c>
      <c r="C44" s="15" t="str">
        <f>BID!C1019</f>
        <v>1 bottle of 500g</v>
      </c>
      <c r="D44" s="15">
        <f>IF(K44&gt;0,(K44/100)*BID!D1019,1*BID!D1019)</f>
        <v>40</v>
      </c>
      <c r="E44" s="60">
        <f>IF(K44&gt;0,PR!Q1017,IF(BID!K1019="DYNAMIC",BID!L1019,0))</f>
        <v>19285</v>
      </c>
      <c r="F44" s="61">
        <f t="shared" si="2"/>
        <v>771400</v>
      </c>
      <c r="K44" s="445"/>
    </row>
    <row r="45" spans="1:11" ht="20.25" thickTop="1" thickBot="1" x14ac:dyDescent="0.35">
      <c r="A45" s="430">
        <f>BID!A1023</f>
        <v>919</v>
      </c>
      <c r="B45" s="15" t="str">
        <f>BID!B1023</f>
        <v>WIDE MOUTH BOTTLE STERILE</v>
      </c>
      <c r="C45" s="15" t="str">
        <f>BID!C1023</f>
        <v>1 cartoon 500pieces</v>
      </c>
      <c r="D45" s="15">
        <f>IF(K45&gt;0,(K45/100)*BID!D1023,1*BID!D1023)</f>
        <v>20</v>
      </c>
      <c r="E45" s="60">
        <f>IF(K45&gt;0,PR!Q1021,IF(BID!K1023="DYNAMIC",BID!L1023,0))</f>
        <v>33915</v>
      </c>
      <c r="F45" s="61">
        <f t="shared" si="2"/>
        <v>678300</v>
      </c>
      <c r="K45" s="445"/>
    </row>
    <row r="46" spans="1:11" ht="20.25" thickTop="1" thickBot="1" x14ac:dyDescent="0.35">
      <c r="A46" s="430">
        <f>BID!A1029</f>
        <v>925</v>
      </c>
      <c r="B46" s="15" t="str">
        <f>BID!B1029</f>
        <v>THIOGLYCOLLATE BROTH AGAR</v>
      </c>
      <c r="C46" s="15" t="str">
        <f>BID!C1029</f>
        <v>1 bottle of 500g</v>
      </c>
      <c r="D46" s="15">
        <f>IF(K46&gt;0,(K46/100)*BID!D1029,1*BID!D1029)</f>
        <v>20</v>
      </c>
      <c r="E46" s="60">
        <f>IF(K46&gt;0,PR!Q1027,IF(BID!K1029="DYNAMIC",BID!L1029,0))</f>
        <v>19950</v>
      </c>
      <c r="F46" s="61">
        <f t="shared" si="2"/>
        <v>399000</v>
      </c>
      <c r="K46" s="445"/>
    </row>
    <row r="47" spans="1:11" ht="20.25" thickTop="1" thickBot="1" x14ac:dyDescent="0.35">
      <c r="A47" s="430">
        <f>BID!A1039</f>
        <v>935</v>
      </c>
      <c r="B47" s="15" t="str">
        <f>BID!B1039</f>
        <v>PPD PROTEIN TUBERCULIN</v>
      </c>
      <c r="C47" s="15" t="str">
        <f>BID!C1039</f>
        <v>1 bottle of 2ml</v>
      </c>
      <c r="D47" s="15">
        <f>IF(K47&gt;0,(K47/100)*BID!D1039,1*BID!D1039)</f>
        <v>12</v>
      </c>
      <c r="E47" s="60">
        <f>IF(K47&gt;0,PR!Q1037,IF(BID!K1039="DYNAMIC",BID!L1039,0))</f>
        <v>2660</v>
      </c>
      <c r="F47" s="61">
        <f t="shared" ref="F47:F58" si="3">IF(E47&gt;0,(E47*D47),0)</f>
        <v>31920</v>
      </c>
      <c r="K47" s="445"/>
    </row>
    <row r="48" spans="1:11" ht="20.25" thickTop="1" thickBot="1" x14ac:dyDescent="0.35">
      <c r="A48" s="430">
        <f>BID!A1041</f>
        <v>937</v>
      </c>
      <c r="B48" s="15" t="str">
        <f>BID!B1041</f>
        <v>COVERSLIPS (22MM)</v>
      </c>
      <c r="C48" s="15" t="str">
        <f>BID!C1041</f>
        <v>100 x 10 pieces</v>
      </c>
      <c r="D48" s="15">
        <f>IF(K48&gt;0,(K48/100)*BID!D1041,1*BID!D1041)</f>
        <v>40</v>
      </c>
      <c r="E48" s="60">
        <f>IF(K48&gt;0,PR!Q1039,IF(BID!K1041="DYNAMIC",BID!L1041,0))</f>
        <v>7049</v>
      </c>
      <c r="F48" s="61">
        <f t="shared" si="3"/>
        <v>281960</v>
      </c>
      <c r="K48" s="445"/>
    </row>
    <row r="49" spans="1:11" ht="20.25" thickTop="1" thickBot="1" x14ac:dyDescent="0.35">
      <c r="A49" s="430">
        <f>BID!A1042</f>
        <v>938</v>
      </c>
      <c r="B49" s="15" t="str">
        <f>BID!B1042</f>
        <v>PLAIN VACUTAINER BOTTLE</v>
      </c>
      <c r="C49" s="15" t="str">
        <f>BID!C1042</f>
        <v>8pack x 50 pieces</v>
      </c>
      <c r="D49" s="15">
        <f>IF(K49&gt;0,(K49/100)*BID!D1042,1*BID!D1042)</f>
        <v>40</v>
      </c>
      <c r="E49" s="60">
        <f>IF(K49&gt;0,PR!Q1040,IF(BID!K1042="DYNAMIC",BID!L1042,0))</f>
        <v>8246</v>
      </c>
      <c r="F49" s="61">
        <f t="shared" si="3"/>
        <v>329840</v>
      </c>
      <c r="K49" s="445"/>
    </row>
    <row r="50" spans="1:11" ht="20.25" thickTop="1" thickBot="1" x14ac:dyDescent="0.35">
      <c r="A50" s="430">
        <f>BID!A1044</f>
        <v>940</v>
      </c>
      <c r="B50" s="15" t="str">
        <f>BID!B1044</f>
        <v>BIJOU BOTTLES</v>
      </c>
      <c r="C50" s="15" t="str">
        <f>BID!C1044</f>
        <v>1 cartoon (144)pieces</v>
      </c>
      <c r="D50" s="15">
        <f>IF(K50&gt;0,(K50/100)*BID!D1044,1*BID!D1044)</f>
        <v>4</v>
      </c>
      <c r="E50" s="60">
        <f>IF(K50&gt;0,PR!Q1042,IF(BID!K1044="DYNAMIC",BID!L1044,0))</f>
        <v>19152</v>
      </c>
      <c r="F50" s="61">
        <f t="shared" si="3"/>
        <v>76608</v>
      </c>
      <c r="K50" s="445"/>
    </row>
    <row r="51" spans="1:11" ht="20.25" thickTop="1" thickBot="1" x14ac:dyDescent="0.35">
      <c r="A51" s="430">
        <f>BID!A1053</f>
        <v>949</v>
      </c>
      <c r="B51" s="15" t="str">
        <f>BID!B1053</f>
        <v>EOSIN (COLOUR INDEX 45380)</v>
      </c>
      <c r="C51" s="15" t="str">
        <f>BID!C1053</f>
        <v>1 bottle of 250g</v>
      </c>
      <c r="D51" s="15">
        <f>IF(K51&gt;0,(K51/100)*BID!D1053,1*BID!D1053)</f>
        <v>4</v>
      </c>
      <c r="E51" s="60">
        <f>IF(K51&gt;0,PR!Q1051,IF(BID!K1053="DYNAMIC",BID!L1053,0))</f>
        <v>3724</v>
      </c>
      <c r="F51" s="61">
        <f t="shared" si="3"/>
        <v>14896</v>
      </c>
      <c r="K51" s="445"/>
    </row>
    <row r="52" spans="1:11" ht="20.25" thickTop="1" thickBot="1" x14ac:dyDescent="0.35">
      <c r="A52" s="430">
        <f>BID!A1054</f>
        <v>950</v>
      </c>
      <c r="B52" s="15" t="str">
        <f>BID!B1054</f>
        <v>NIGROSIN (COLOUR INDEX 50420)</v>
      </c>
      <c r="C52" s="15" t="str">
        <f>BID!C1054</f>
        <v>1 bottle of 250g</v>
      </c>
      <c r="D52" s="15">
        <f>IF(K52&gt;0,(K52/100)*BID!D1054,1*BID!D1054)</f>
        <v>4</v>
      </c>
      <c r="E52" s="60">
        <f>IF(K52&gt;0,PR!Q1052,IF(BID!K1054="DYNAMIC",BID!L1054,0))</f>
        <v>16625</v>
      </c>
      <c r="F52" s="61">
        <f t="shared" si="3"/>
        <v>66500</v>
      </c>
      <c r="K52" s="445"/>
    </row>
    <row r="53" spans="1:11" ht="20.25" thickTop="1" thickBot="1" x14ac:dyDescent="0.35">
      <c r="A53" s="430">
        <f>BID!A1056</f>
        <v>952</v>
      </c>
      <c r="B53" s="15" t="str">
        <f>BID!B1056</f>
        <v>SALMONELLA TYPING SERA</v>
      </c>
      <c r="C53" s="15" t="str">
        <f>BID!C1056</f>
        <v>1 pack (8pcs)</v>
      </c>
      <c r="D53" s="15">
        <f>IF(K53&gt;0,(K53/100)*BID!D1056,1*BID!D1056)</f>
        <v>10</v>
      </c>
      <c r="E53" s="60">
        <f>IF(K53&gt;0,PR!Q1054,IF(BID!K1056="DYNAMIC",BID!L1056,0))</f>
        <v>15960</v>
      </c>
      <c r="F53" s="61">
        <f t="shared" si="3"/>
        <v>159600</v>
      </c>
      <c r="K53" s="445"/>
    </row>
    <row r="54" spans="1:11" ht="20.25" thickTop="1" thickBot="1" x14ac:dyDescent="0.35">
      <c r="A54" s="430">
        <f>BID!A1057</f>
        <v>953</v>
      </c>
      <c r="B54" s="15" t="str">
        <f>BID!B1057</f>
        <v>E COLI TYPING SERA</v>
      </c>
      <c r="C54" s="15" t="str">
        <f>BID!C1057</f>
        <v>1 pack (8pcs)</v>
      </c>
      <c r="D54" s="15">
        <f>IF(K54&gt;0,(K54/100)*BID!D1057,1*BID!D1057)</f>
        <v>5</v>
      </c>
      <c r="E54" s="60">
        <f>IF(K54&gt;0,PR!Q1055,IF(BID!K1057="DYNAMIC",BID!L1057,0))</f>
        <v>15960</v>
      </c>
      <c r="F54" s="61">
        <f t="shared" si="3"/>
        <v>79800</v>
      </c>
      <c r="K54" s="445"/>
    </row>
    <row r="55" spans="1:11" ht="20.25" thickTop="1" thickBot="1" x14ac:dyDescent="0.35">
      <c r="A55" s="430">
        <f>BID!A1058</f>
        <v>954</v>
      </c>
      <c r="B55" s="15" t="str">
        <f>BID!B1058</f>
        <v>OXIDASE REAGENT</v>
      </c>
      <c r="C55" s="15" t="str">
        <f>BID!C1058</f>
        <v>1 bottle of 25g</v>
      </c>
      <c r="D55" s="15">
        <f>IF(K55&gt;0,(K55/100)*BID!D1058,1*BID!D1058)</f>
        <v>20</v>
      </c>
      <c r="E55" s="60">
        <f>IF(K55&gt;0,PR!Q1056,IF(BID!K1058="DYNAMIC",BID!L1058,0))</f>
        <v>6650</v>
      </c>
      <c r="F55" s="61">
        <f t="shared" si="3"/>
        <v>133000</v>
      </c>
      <c r="K55" s="445"/>
    </row>
    <row r="56" spans="1:11" ht="20.25" thickTop="1" thickBot="1" x14ac:dyDescent="0.35">
      <c r="A56" s="430">
        <f>BID!A1059</f>
        <v>955</v>
      </c>
      <c r="B56" s="15" t="str">
        <f>BID!B1059</f>
        <v>LENS TISSUE</v>
      </c>
      <c r="C56" s="15" t="str">
        <f>BID!C1059</f>
        <v>1 box (10 x 50) pieces</v>
      </c>
      <c r="D56" s="15">
        <f>IF(K56&gt;0,(K56/100)*BID!D1059,1*BID!D1059)</f>
        <v>100</v>
      </c>
      <c r="E56" s="60">
        <f>IF(K56&gt;0,PR!Q1057,IF(BID!K1059="DYNAMIC",BID!L1059,0))</f>
        <v>798</v>
      </c>
      <c r="F56" s="61">
        <f t="shared" si="3"/>
        <v>79800</v>
      </c>
      <c r="K56" s="445"/>
    </row>
    <row r="57" spans="1:11" ht="20.25" thickTop="1" thickBot="1" x14ac:dyDescent="0.35">
      <c r="A57" s="430">
        <f>BID!A1060</f>
        <v>956</v>
      </c>
      <c r="B57" s="15" t="str">
        <f>BID!B1060</f>
        <v>HEPATITIS PROFILE SCREENING KITS</v>
      </c>
      <c r="C57" s="15" t="str">
        <f>BID!C1060</f>
        <v>1 pack (25 pcs)</v>
      </c>
      <c r="D57" s="15">
        <f>IF(K57&gt;0,(K57/100)*BID!D1060,1*BID!D1060)</f>
        <v>20</v>
      </c>
      <c r="E57" s="60">
        <f>IF(K57&gt;0,PR!Q1058,IF(BID!K1060="DYNAMIC",BID!L1060,0))</f>
        <v>11305</v>
      </c>
      <c r="F57" s="61">
        <f t="shared" si="3"/>
        <v>226100</v>
      </c>
      <c r="K57" s="445"/>
    </row>
    <row r="58" spans="1:11" ht="20.25" thickTop="1" thickBot="1" x14ac:dyDescent="0.35">
      <c r="A58" s="430">
        <f>BID!A1079</f>
        <v>972</v>
      </c>
      <c r="B58" s="15" t="str">
        <f>BID!B1079</f>
        <v>TALLY COUNTERS</v>
      </c>
      <c r="C58" s="15" t="str">
        <f>BID!C1079</f>
        <v>1 X 1 PIECE</v>
      </c>
      <c r="D58" s="15">
        <f>IF(K58&gt;0,(K58/100)*BID!D1079,1*BID!D1079)</f>
        <v>20</v>
      </c>
      <c r="E58" s="60">
        <f>IF(K58&gt;0,PR!Q1077,IF(BID!K1079="DYNAMIC",BID!L1079,0))</f>
        <v>1330</v>
      </c>
      <c r="F58" s="61">
        <f t="shared" si="3"/>
        <v>26600</v>
      </c>
      <c r="K58" s="445"/>
    </row>
    <row r="59" spans="1:11" ht="20.25" thickTop="1" thickBot="1" x14ac:dyDescent="0.35">
      <c r="A59" s="430"/>
      <c r="B59" s="15"/>
      <c r="C59" s="15"/>
      <c r="D59" s="15"/>
      <c r="E59" s="60"/>
      <c r="F59" s="61"/>
      <c r="K59" s="445"/>
    </row>
    <row r="60" spans="1:11" ht="24.75" thickTop="1" thickBot="1" x14ac:dyDescent="0.3">
      <c r="A60" s="430"/>
      <c r="B60" s="820" t="s">
        <v>1868</v>
      </c>
      <c r="C60" s="821"/>
      <c r="D60" s="821"/>
      <c r="E60" s="821"/>
      <c r="F60" s="822"/>
      <c r="K60" s="445"/>
    </row>
    <row r="61" spans="1:11" ht="20.25" thickTop="1" thickBot="1" x14ac:dyDescent="0.35">
      <c r="A61" s="430">
        <f>BID!A1106</f>
        <v>991</v>
      </c>
      <c r="B61" s="15" t="str">
        <f>BID!B1106</f>
        <v>COMBI 10 URINE STRIP (UNISCREEN)</v>
      </c>
      <c r="C61" s="15" t="str">
        <f>BID!C1106</f>
        <v>1*100pcs</v>
      </c>
      <c r="D61" s="15">
        <f>IF(K61&gt;0,(K61/100)*BID!D1106,1*BID!D1106)</f>
        <v>100</v>
      </c>
      <c r="E61" s="60">
        <f>IF(K61&gt;0,PR!Q1104,IF(BID!K1106="DYNAMIC",BID!L1106,0))</f>
        <v>1875</v>
      </c>
      <c r="F61" s="61">
        <f t="shared" ref="F61:F65" si="4">IF(E61&gt;0,(E61*D61),0)</f>
        <v>187500</v>
      </c>
      <c r="K61" s="445"/>
    </row>
    <row r="62" spans="1:11" ht="20.25" thickTop="1" thickBot="1" x14ac:dyDescent="0.35">
      <c r="A62" s="430">
        <f>BID!A1129</f>
        <v>1014</v>
      </c>
      <c r="B62" s="15" t="str">
        <f>BID!B1129</f>
        <v>5ML PLAIN VACUUM TUBE (SILVER HEALTH DIAGNOSTIC)</v>
      </c>
      <c r="C62" s="15" t="str">
        <f>BID!C1129</f>
        <v>1*1000</v>
      </c>
      <c r="D62" s="15">
        <f>IF(K62&gt;0,(K62/100)*BID!D1129,1*BID!D1129)</f>
        <v>20</v>
      </c>
      <c r="E62" s="60">
        <f>IF(K62&gt;0,PR!Q1127,IF(BID!K1129="DYNAMIC",BID!L1129,0))</f>
        <v>19375</v>
      </c>
      <c r="F62" s="61">
        <f t="shared" si="4"/>
        <v>387500</v>
      </c>
      <c r="K62" s="445"/>
    </row>
    <row r="63" spans="1:11" ht="20.25" thickTop="1" thickBot="1" x14ac:dyDescent="0.35">
      <c r="A63" s="430">
        <f>BID!A1131</f>
        <v>1016</v>
      </c>
      <c r="B63" s="15" t="str">
        <f>BID!B1131</f>
        <v>UNIVERSAL PLASTIC BOTTLES  (SILVER HEALTH DIAGNOSTIC)</v>
      </c>
      <c r="C63" s="15" t="str">
        <f>BID!C1131</f>
        <v>1*1000</v>
      </c>
      <c r="D63" s="15">
        <f>IF(K63&gt;0,(K63/100)*BID!D1131,1*BID!D1131)</f>
        <v>24</v>
      </c>
      <c r="E63" s="60">
        <f>IF(K63&gt;0,PR!Q1129,IF(BID!K1131="DYNAMIC",BID!L1131,0))</f>
        <v>13125</v>
      </c>
      <c r="F63" s="61">
        <f t="shared" si="4"/>
        <v>315000</v>
      </c>
      <c r="K63" s="445"/>
    </row>
    <row r="64" spans="1:11" ht="20.25" thickTop="1" thickBot="1" x14ac:dyDescent="0.35">
      <c r="A64" s="430">
        <f>BID!A1135</f>
        <v>1020</v>
      </c>
      <c r="B64" s="15" t="str">
        <f>BID!B1135</f>
        <v>5ML EDTA VACUUM TUBE (SILVER HEALTH DIAGNOSTIC)</v>
      </c>
      <c r="C64" s="15" t="str">
        <f>BID!C1135</f>
        <v>1*1000</v>
      </c>
      <c r="D64" s="15">
        <f>IF(K64&gt;0,(K64/100)*BID!D1135,1*BID!D1135)</f>
        <v>1</v>
      </c>
      <c r="E64" s="60">
        <f>IF(K64&gt;0,PR!Q1133,IF(BID!K1135="DYNAMIC",BID!L1135,0))</f>
        <v>19375</v>
      </c>
      <c r="F64" s="61">
        <f t="shared" si="4"/>
        <v>19375</v>
      </c>
      <c r="K64" s="445"/>
    </row>
    <row r="65" spans="1:11" ht="20.25" thickTop="1" thickBot="1" x14ac:dyDescent="0.35">
      <c r="A65" s="430">
        <f>BID!A1143</f>
        <v>1028</v>
      </c>
      <c r="B65" s="15" t="str">
        <f>BID!B1143</f>
        <v>HAND SANITIZER (STERLINK)</v>
      </c>
      <c r="C65" s="15" t="str">
        <f>BID!C1143</f>
        <v>100ml</v>
      </c>
      <c r="D65" s="15">
        <f>IF(K65&gt;0,(K65/100)*BID!D1143,1*BID!D1143)</f>
        <v>80</v>
      </c>
      <c r="E65" s="60">
        <f>IF(K65&gt;0,PR!Q1141,IF(BID!K1143="DYNAMIC",BID!L1143,0))</f>
        <v>125</v>
      </c>
      <c r="F65" s="61">
        <f t="shared" si="4"/>
        <v>10000</v>
      </c>
      <c r="K65" s="445"/>
    </row>
    <row r="66" spans="1:11" ht="20.25" thickTop="1" thickBot="1" x14ac:dyDescent="0.35">
      <c r="A66" s="430"/>
      <c r="B66" s="15"/>
      <c r="C66" s="15"/>
      <c r="D66" s="15"/>
      <c r="E66" s="60"/>
      <c r="F66" s="61"/>
      <c r="K66" s="445"/>
    </row>
    <row r="67" spans="1:11" ht="20.25" thickTop="1" thickBot="1" x14ac:dyDescent="0.3">
      <c r="A67" s="430"/>
      <c r="B67" s="823" t="s">
        <v>1950</v>
      </c>
      <c r="C67" s="824"/>
      <c r="D67" s="824"/>
      <c r="E67" s="824"/>
      <c r="F67" s="825"/>
      <c r="K67" s="445"/>
    </row>
    <row r="68" spans="1:11" ht="20.25" thickTop="1" thickBot="1" x14ac:dyDescent="0.35">
      <c r="A68" s="430"/>
      <c r="B68" s="15" t="str">
        <f>BID!B1159</f>
        <v>SHAJE ANNEX</v>
      </c>
      <c r="C68" s="15"/>
      <c r="D68" s="15"/>
      <c r="E68" s="60"/>
      <c r="F68" s="61"/>
      <c r="K68" s="445"/>
    </row>
    <row r="69" spans="1:11" ht="20.25" thickTop="1" thickBot="1" x14ac:dyDescent="0.35">
      <c r="A69" s="430">
        <f>BID!A1175</f>
        <v>1054</v>
      </c>
      <c r="B69" s="15" t="str">
        <f>BID!B1175</f>
        <v>WHATMAN FILTER PAPER (WHATMAN)</v>
      </c>
      <c r="C69" s="15" t="str">
        <f>BID!C1175</f>
        <v>1 x 100 pcs</v>
      </c>
      <c r="D69" s="15">
        <f>IF(K69&gt;0,(K69/100)*BID!D1175,1*BID!D1175)</f>
        <v>2</v>
      </c>
      <c r="E69" s="60">
        <f>IF(K69&gt;0,PR!Q1173,IF(BID!K1175="DYNAMIC",BID!L1175,0))</f>
        <v>1250</v>
      </c>
      <c r="F69" s="61">
        <f t="shared" ref="F69:F75" si="5">IF(E69&gt;0,(E69*D69),0)</f>
        <v>2500</v>
      </c>
      <c r="K69" s="445"/>
    </row>
    <row r="70" spans="1:11" ht="20.25" thickTop="1" thickBot="1" x14ac:dyDescent="0.35">
      <c r="A70" s="430"/>
      <c r="B70" s="15"/>
      <c r="C70" s="15"/>
      <c r="D70" s="15"/>
      <c r="E70" s="60"/>
      <c r="F70" s="61"/>
      <c r="K70" s="445"/>
    </row>
    <row r="71" spans="1:11" ht="20.25" thickTop="1" thickBot="1" x14ac:dyDescent="0.35">
      <c r="A71" s="430"/>
      <c r="B71" s="15" t="str">
        <f>BID!B1178</f>
        <v>OBADA ANNEX</v>
      </c>
      <c r="C71" s="15"/>
      <c r="D71" s="15"/>
      <c r="E71" s="60"/>
      <c r="F71" s="61"/>
      <c r="K71" s="445"/>
    </row>
    <row r="72" spans="1:11" ht="20.25" thickTop="1" thickBot="1" x14ac:dyDescent="0.35">
      <c r="A72" s="430">
        <f>BID!A1203</f>
        <v>1079</v>
      </c>
      <c r="B72" s="15" t="str">
        <f>BID!B1203</f>
        <v>IMMERSION OIL</v>
      </c>
      <c r="C72" s="15" t="str">
        <f>BID!C1203</f>
        <v>Bottles</v>
      </c>
      <c r="D72" s="15">
        <f>IF(K72&gt;0,(K72/100)*BID!D1203,1*BID!D1203)</f>
        <v>12</v>
      </c>
      <c r="E72" s="60">
        <f>IF(K72&gt;0,PR!Q1201,IF(BID!K1203="DYNAMIC",BID!L1203,0))</f>
        <v>4375</v>
      </c>
      <c r="F72" s="61">
        <f t="shared" si="5"/>
        <v>52500</v>
      </c>
      <c r="K72" s="445"/>
    </row>
    <row r="73" spans="1:11" ht="20.25" thickTop="1" thickBot="1" x14ac:dyDescent="0.35">
      <c r="A73" s="430">
        <f>BID!A1207</f>
        <v>1083</v>
      </c>
      <c r="B73" s="15" t="str">
        <f>BID!B1207</f>
        <v>METHANOL (2.5 LITRE)</v>
      </c>
      <c r="C73" s="15" t="str">
        <f>BID!C1207</f>
        <v>Bottles</v>
      </c>
      <c r="D73" s="15">
        <f>IF(K73&gt;0,(K73/100)*BID!D1207,1*BID!D1207)</f>
        <v>6</v>
      </c>
      <c r="E73" s="60">
        <f>IF(K73&gt;0,PR!Q1205,IF(BID!K1207="DYNAMIC",BID!L1207,0))</f>
        <v>6000</v>
      </c>
      <c r="F73" s="61">
        <f t="shared" si="5"/>
        <v>36000</v>
      </c>
      <c r="K73" s="445"/>
    </row>
    <row r="74" spans="1:11" ht="20.25" thickTop="1" thickBot="1" x14ac:dyDescent="0.35">
      <c r="A74" s="430">
        <f>BID!A1212</f>
        <v>1088</v>
      </c>
      <c r="B74" s="15" t="str">
        <f>BID!B1212</f>
        <v>MISSION HAEMOGLOBIN TEST STRIP</v>
      </c>
      <c r="C74" s="15" t="str">
        <f>BID!C1212</f>
        <v>Pkt</v>
      </c>
      <c r="D74" s="15">
        <f>IF(K74&gt;0,(K74/100)*BID!D1212,1*BID!D1212)</f>
        <v>6</v>
      </c>
      <c r="E74" s="60">
        <f>IF(K74&gt;0,PR!Q1210,IF(BID!K1212="DYNAMIC",BID!L1212,0))</f>
        <v>13125</v>
      </c>
      <c r="F74" s="61">
        <f t="shared" si="5"/>
        <v>78750</v>
      </c>
      <c r="K74" s="445"/>
    </row>
    <row r="75" spans="1:11" ht="20.25" thickTop="1" thickBot="1" x14ac:dyDescent="0.35">
      <c r="A75" s="430">
        <f>BID!A1224</f>
        <v>1100</v>
      </c>
      <c r="B75" s="15" t="str">
        <f>BID!B1224</f>
        <v>NEW IMPROVED NEUBER COUNTING CHAMBER (CRYSTALLIZED)</v>
      </c>
      <c r="C75" s="15" t="str">
        <f>BID!C1224</f>
        <v>Pcs</v>
      </c>
      <c r="D75" s="15">
        <f>IF(K75&gt;0,(K75/100)*BID!D1224,1*BID!D1224)</f>
        <v>3</v>
      </c>
      <c r="E75" s="60">
        <f>IF(K75&gt;0,PR!Q1222,IF(BID!K1224="DYNAMIC",BID!L1224,0))</f>
        <v>13750</v>
      </c>
      <c r="F75" s="61">
        <f t="shared" si="5"/>
        <v>41250</v>
      </c>
      <c r="K75" s="445"/>
    </row>
    <row r="76" spans="1:11" ht="19.5" thickTop="1" x14ac:dyDescent="0.3">
      <c r="A76" s="430"/>
      <c r="B76" s="15"/>
      <c r="C76" s="15"/>
      <c r="D76" s="15"/>
      <c r="E76" s="60"/>
      <c r="F76" s="61"/>
    </row>
    <row r="77" spans="1:11" ht="19.5" thickBot="1" x14ac:dyDescent="0.35">
      <c r="A77" s="430"/>
      <c r="B77" s="15"/>
      <c r="C77" s="15"/>
      <c r="D77" s="15"/>
      <c r="E77" s="60"/>
      <c r="F77" s="442"/>
    </row>
    <row r="78" spans="1:11" ht="21.75" thickBot="1" x14ac:dyDescent="0.4">
      <c r="A78" s="430"/>
      <c r="B78" s="15"/>
      <c r="C78" s="15"/>
      <c r="D78" s="15"/>
      <c r="E78" s="441"/>
      <c r="F78" s="443">
        <f>SUM(F6:F75)</f>
        <v>15934347</v>
      </c>
    </row>
  </sheetData>
  <sheetProtection algorithmName="SHA-512" hashValue="+QhOLRBvZQlnC9zGYGJhPRh2TdfRal2W/+WqjIfgXkuRjH6CUTmLBQ6yo79xyf+HZtUseUewFmbsTNBJIAoDpQ==" saltValue="VFL3myV7WGKj5pcif6L6Mw==" spinCount="100000" sheet="1" objects="1" scenarios="1"/>
  <protectedRanges>
    <protectedRange sqref="K4:K75" name="Range1"/>
  </protectedRanges>
  <sortState ref="A18:K30">
    <sortCondition ref="B18:B30"/>
  </sortState>
  <mergeCells count="8">
    <mergeCell ref="B43:F43"/>
    <mergeCell ref="B60:F60"/>
    <mergeCell ref="B67:F67"/>
    <mergeCell ref="B1:F1"/>
    <mergeCell ref="B5:F5"/>
    <mergeCell ref="B12:F12"/>
    <mergeCell ref="B17:F17"/>
    <mergeCell ref="B32:F32"/>
  </mergeCells>
  <pageMargins left="0.25" right="0.25" top="0.75" bottom="0.75" header="0.3" footer="0.3"/>
  <pageSetup paperSize="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05D07-233D-4E15-AD79-1FB4BAFF53B4}">
  <sheetPr>
    <tabColor rgb="FFFFFF00"/>
  </sheetPr>
  <dimension ref="A1:K21"/>
  <sheetViews>
    <sheetView view="pageBreakPreview" zoomScale="85" zoomScaleNormal="100" zoomScaleSheetLayoutView="85" workbookViewId="0">
      <selection activeCell="B14" sqref="B14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N!B17</f>
        <v>EMZOR PHARMACEUTICALS LIMITED</v>
      </c>
      <c r="C1" s="816"/>
      <c r="D1" s="816"/>
      <c r="E1" s="816"/>
      <c r="F1" s="816"/>
      <c r="K1" t="s">
        <v>614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BID!A238</f>
        <v>212</v>
      </c>
      <c r="B6" s="15" t="str">
        <f>BID!B238</f>
        <v>AMPICILLIN/CLOXACILLIN 250MG/5ML SUSP</v>
      </c>
      <c r="C6" s="15" t="str">
        <f>BID!C238</f>
        <v>BOTT</v>
      </c>
      <c r="D6" s="15">
        <f>IF(K6&gt;0,(K6/100)*BID!D238,1*BID!D238)</f>
        <v>250</v>
      </c>
      <c r="E6" s="60">
        <f>IF(K6&gt;0,PR!R236,IF(BID!K238="EMZOR",BID!L238,0))</f>
        <v>275.92400000000004</v>
      </c>
      <c r="F6" s="61">
        <f t="shared" ref="F6:F18" si="0">IF(E6&gt;0,(E6*D6),0)</f>
        <v>68981.000000000015</v>
      </c>
      <c r="K6" s="445">
        <v>50</v>
      </c>
    </row>
    <row r="7" spans="1:11" ht="20.25" thickTop="1" thickBot="1" x14ac:dyDescent="0.35">
      <c r="A7" s="430">
        <f>BID!A15</f>
        <v>3</v>
      </c>
      <c r="B7" s="15" t="str">
        <f>BID!B15</f>
        <v>ARTEMETHER/LUMEFANTRINE (20/120) SYR</v>
      </c>
      <c r="C7" s="15" t="str">
        <f>BID!C15</f>
        <v>BOTT</v>
      </c>
      <c r="D7" s="15">
        <f>IF(K7&gt;0,(K7/100)*BID!D15,1*BID!D15)</f>
        <v>200</v>
      </c>
      <c r="E7" s="60">
        <f>IF(K7&gt;0,PR!R13,IF(BID!K15="EMZOR",BID!L15,0))</f>
        <v>280</v>
      </c>
      <c r="F7" s="61">
        <f t="shared" si="0"/>
        <v>56000</v>
      </c>
      <c r="K7" s="445">
        <v>50</v>
      </c>
    </row>
    <row r="8" spans="1:11" ht="20.25" thickTop="1" thickBot="1" x14ac:dyDescent="0.35">
      <c r="A8" s="430">
        <f>BID!A19</f>
        <v>7</v>
      </c>
      <c r="B8" s="15" t="str">
        <f>BID!B19</f>
        <v>ARTEMETHER/LUMEFANTRINE (20/120) TAB DISPERSIBLE</v>
      </c>
      <c r="C8" s="15">
        <f>BID!C19</f>
        <v>6</v>
      </c>
      <c r="D8" s="15">
        <f>IF(K8&gt;0,(K8/100)*BID!D19,1*BID!D19)</f>
        <v>600</v>
      </c>
      <c r="E8" s="60">
        <f>IF(K8&gt;0,PR!R17,IF(BID!K19="EMZOR",BID!L19,0))</f>
        <v>100</v>
      </c>
      <c r="F8" s="61">
        <f t="shared" si="0"/>
        <v>60000</v>
      </c>
      <c r="K8" s="445"/>
    </row>
    <row r="9" spans="1:11" ht="20.25" thickTop="1" thickBot="1" x14ac:dyDescent="0.35">
      <c r="A9" s="430">
        <v>8</v>
      </c>
      <c r="B9" s="15" t="s">
        <v>7</v>
      </c>
      <c r="C9" s="15">
        <v>6</v>
      </c>
      <c r="D9" s="15">
        <v>2000</v>
      </c>
      <c r="E9" s="60">
        <v>260</v>
      </c>
      <c r="F9" s="61">
        <f t="shared" si="0"/>
        <v>520000</v>
      </c>
      <c r="K9" s="445">
        <v>50</v>
      </c>
    </row>
    <row r="10" spans="1:11" ht="20.25" thickTop="1" thickBot="1" x14ac:dyDescent="0.35">
      <c r="A10" s="430">
        <f>BID!A64</f>
        <v>46</v>
      </c>
      <c r="B10" s="15" t="str">
        <f>BID!B64</f>
        <v>ASPIRIN 75MG TAB</v>
      </c>
      <c r="C10" s="15">
        <f>BID!C64</f>
        <v>100</v>
      </c>
      <c r="D10" s="15">
        <f>IF(K10&gt;0,(K10/100)*BID!D64,1*BID!D64)</f>
        <v>1000</v>
      </c>
      <c r="E10" s="60">
        <f>IF(K10&gt;0,PR!R62,IF(BID!K64="EMZOR",BID!L64,0))</f>
        <v>100</v>
      </c>
      <c r="F10" s="61">
        <f t="shared" si="0"/>
        <v>100000</v>
      </c>
      <c r="K10" s="445">
        <v>50</v>
      </c>
    </row>
    <row r="11" spans="1:11" ht="20.25" thickTop="1" thickBot="1" x14ac:dyDescent="0.35">
      <c r="A11" s="430">
        <f>BID!A760</f>
        <v>688</v>
      </c>
      <c r="B11" s="15" t="str">
        <f>BID!B760</f>
        <v>CHLORHEXIDINE GEL 25G</v>
      </c>
      <c r="C11" s="15" t="str">
        <f>BID!C760</f>
        <v>TUBE</v>
      </c>
      <c r="D11" s="15">
        <f>IF(K11&gt;0,(K11/100)*BID!D760,1*BID!D760)</f>
        <v>52</v>
      </c>
      <c r="E11" s="60">
        <f>IF(K11&gt;0,PR!R758,IF(BID!K760="EMZOR",BID!L760,0))</f>
        <v>120</v>
      </c>
      <c r="F11" s="61">
        <f t="shared" si="0"/>
        <v>6240</v>
      </c>
      <c r="K11" s="445"/>
    </row>
    <row r="12" spans="1:11" ht="20.25" thickTop="1" thickBot="1" x14ac:dyDescent="0.35">
      <c r="A12" s="430">
        <f>BID!A526</f>
        <v>472</v>
      </c>
      <c r="B12" s="15" t="str">
        <f>BID!B526</f>
        <v>CHLORPHENIRAMINE 4MG TAB</v>
      </c>
      <c r="C12" s="15">
        <f>BID!C526</f>
        <v>1000</v>
      </c>
      <c r="D12" s="15">
        <f>IF(K12&gt;0,(K12/100)*BID!D526,1*BID!D526)</f>
        <v>20</v>
      </c>
      <c r="E12" s="60">
        <f>IF(K12&gt;0,PR!R524,IF(BID!K526="EMZOR",BID!L526,0))</f>
        <v>310</v>
      </c>
      <c r="F12" s="61">
        <f t="shared" si="0"/>
        <v>6200</v>
      </c>
      <c r="K12" s="445"/>
    </row>
    <row r="13" spans="1:11" ht="20.25" thickTop="1" thickBot="1" x14ac:dyDescent="0.35">
      <c r="A13" s="430">
        <f>BID!A340</f>
        <v>308</v>
      </c>
      <c r="B13" s="15" t="str">
        <f>BID!B340</f>
        <v>FOLIC ACID TAB</v>
      </c>
      <c r="C13" s="15">
        <f>BID!C340</f>
        <v>1000</v>
      </c>
      <c r="D13" s="15">
        <f>IF(K13&gt;0,(K13/100)*BID!D340,1*BID!D340)</f>
        <v>200</v>
      </c>
      <c r="E13" s="60">
        <f>IF(K13&gt;0,PR!R338,IF(BID!K340="EMZOR",BID!L340,0))</f>
        <v>800</v>
      </c>
      <c r="F13" s="61">
        <f t="shared" si="0"/>
        <v>160000</v>
      </c>
      <c r="K13" s="445"/>
    </row>
    <row r="14" spans="1:11" ht="20.25" thickTop="1" thickBot="1" x14ac:dyDescent="0.35">
      <c r="A14" s="430">
        <f>BID!A184</f>
        <v>161</v>
      </c>
      <c r="B14" s="15" t="str">
        <f>BID!B184</f>
        <v>IBUPROFEN 200MG TAB</v>
      </c>
      <c r="C14" s="15">
        <f>BID!C184</f>
        <v>100</v>
      </c>
      <c r="D14" s="15">
        <f>IF(K14&gt;0,(K14/100)*BID!D184,1*BID!D184)</f>
        <v>200</v>
      </c>
      <c r="E14" s="60">
        <f>IF(K14&gt;0,PR!R182,IF(BID!K184="EMZOR",BID!L184,0))</f>
        <v>166.23200000000003</v>
      </c>
      <c r="F14" s="61">
        <f t="shared" si="0"/>
        <v>33246.400000000009</v>
      </c>
      <c r="K14" s="445"/>
    </row>
    <row r="15" spans="1:11" ht="20.25" thickTop="1" thickBot="1" x14ac:dyDescent="0.35">
      <c r="A15" s="430">
        <f>BID!A369</f>
        <v>337</v>
      </c>
      <c r="B15" s="15" t="str">
        <f>BID!B369</f>
        <v>VITAMIN B COMPLEX TAB</v>
      </c>
      <c r="C15" s="15">
        <f>BID!C369</f>
        <v>1000</v>
      </c>
      <c r="D15" s="15">
        <f>IF(K15&gt;0,(K15/100)*BID!D369,1*BID!D369)</f>
        <v>400</v>
      </c>
      <c r="E15" s="60">
        <v>500.46</v>
      </c>
      <c r="F15" s="61">
        <f>IF(E15&gt;0,(E15*D15),0)</f>
        <v>200184</v>
      </c>
      <c r="K15" s="445">
        <v>50</v>
      </c>
    </row>
    <row r="16" spans="1:11" ht="20.25" thickTop="1" thickBot="1" x14ac:dyDescent="0.35">
      <c r="A16" s="430">
        <f>BID!A373</f>
        <v>341</v>
      </c>
      <c r="B16" s="15" t="str">
        <f>BID!B373</f>
        <v>VITAMIN C 100MG (WHITE)</v>
      </c>
      <c r="C16" s="15">
        <f>BID!C373</f>
        <v>1000</v>
      </c>
      <c r="D16" s="15">
        <f>IF(K16&gt;0,(K16/100)*BID!D373,1*BID!D373)</f>
        <v>800</v>
      </c>
      <c r="E16" s="60">
        <f>IF(K16&gt;0,PR!R371,IF(BID!K373="EMZOR",BID!L373,0))</f>
        <v>758.91200000000003</v>
      </c>
      <c r="F16" s="61">
        <f t="shared" si="0"/>
        <v>607129.59999999998</v>
      </c>
      <c r="K16" s="445"/>
    </row>
    <row r="17" spans="1:11" ht="20.25" thickTop="1" thickBot="1" x14ac:dyDescent="0.35">
      <c r="A17" s="430">
        <f>BID!A376</f>
        <v>344</v>
      </c>
      <c r="B17" s="15" t="str">
        <f>BID!B376</f>
        <v>VITAMIN C SYRUP</v>
      </c>
      <c r="C17" s="15" t="str">
        <f>BID!C376</f>
        <v>BOTT</v>
      </c>
      <c r="D17" s="15">
        <f>IF(K17&gt;0,(K17/100)*BID!D376,1*BID!D376)</f>
        <v>1500</v>
      </c>
      <c r="E17" s="60">
        <f>IF(K17&gt;0,PR!R374,IF(BID!K376="EMZOR",BID!L376,0))</f>
        <v>163.9</v>
      </c>
      <c r="F17" s="61">
        <f t="shared" si="0"/>
        <v>245850</v>
      </c>
      <c r="K17" s="445">
        <v>50</v>
      </c>
    </row>
    <row r="18" spans="1:11" ht="20.25" thickTop="1" thickBot="1" x14ac:dyDescent="0.35">
      <c r="A18" s="430">
        <f>BID!A502</f>
        <v>454</v>
      </c>
      <c r="B18" s="15" t="str">
        <f>BID!B502</f>
        <v>ZINC SULPHATE TAB</v>
      </c>
      <c r="C18" s="15">
        <f>BID!C502</f>
        <v>10</v>
      </c>
      <c r="D18" s="15">
        <f>IF(K18&gt;0,(K18/100)*BID!D502,1*BID!D502)</f>
        <v>1000</v>
      </c>
      <c r="E18" s="60">
        <f>IF(K18&gt;0,PR!R500,IF(BID!K502="EMZOR",BID!L502,0))</f>
        <v>42.756999999999998</v>
      </c>
      <c r="F18" s="61">
        <f t="shared" si="0"/>
        <v>42757</v>
      </c>
      <c r="K18" s="445"/>
    </row>
    <row r="19" spans="1:11" ht="19.5" thickTop="1" x14ac:dyDescent="0.3">
      <c r="A19" s="430"/>
      <c r="B19" s="15"/>
      <c r="C19" s="15"/>
      <c r="D19" s="15"/>
      <c r="E19" s="60"/>
      <c r="F19" s="61"/>
    </row>
    <row r="20" spans="1:11" ht="19.5" thickBot="1" x14ac:dyDescent="0.35">
      <c r="A20" s="430"/>
      <c r="B20" s="15"/>
      <c r="C20" s="15"/>
      <c r="D20" s="15"/>
      <c r="E20" s="60"/>
      <c r="F20" s="442"/>
    </row>
    <row r="21" spans="1:11" ht="21.75" thickBot="1" x14ac:dyDescent="0.4">
      <c r="A21" s="430"/>
      <c r="B21" s="15"/>
      <c r="C21" s="15"/>
      <c r="D21" s="15"/>
      <c r="E21" s="441"/>
      <c r="F21" s="443">
        <f>SUM(F6:F18)</f>
        <v>2106588</v>
      </c>
    </row>
  </sheetData>
  <sheetProtection algorithmName="SHA-512" hashValue="bGEv1XPqBrY7iBa6wBLDmgxRplRDJGxCkDDeDoEBmyJfI39Xv4mxcKsTvSSMwE4WpAtdebOXhEDhEC1+t58rdg==" saltValue="buZ30cgbWnwaFQ4N/HFJ8g==" spinCount="100000" sheet="1" objects="1" scenarios="1"/>
  <protectedRanges>
    <protectedRange sqref="K4:K14 K16:K18" name="Range1"/>
    <protectedRange sqref="K15" name="Range1_1"/>
  </protectedRanges>
  <sortState ref="A6:K18">
    <sortCondition ref="B6:B18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0D80-3A53-40E9-8F8E-E331B54B4267}">
  <sheetPr>
    <tabColor rgb="FF92D050"/>
  </sheetPr>
  <dimension ref="A1:K197"/>
  <sheetViews>
    <sheetView view="pageBreakPreview" topLeftCell="A167" zoomScale="85" zoomScaleNormal="100" zoomScaleSheetLayoutView="85" workbookViewId="0">
      <selection activeCell="A187" sqref="A187:XFD187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N!B18</f>
        <v>EUMATT SERVICES LIMITED</v>
      </c>
      <c r="C1" s="816"/>
      <c r="D1" s="816"/>
      <c r="E1" s="816"/>
      <c r="F1" s="816"/>
      <c r="K1" t="s">
        <v>821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BID!A634</f>
        <v>570</v>
      </c>
      <c r="B6" s="15" t="str">
        <f>BID!B634</f>
        <v>10CC NEEDLE/SYRINGE</v>
      </c>
      <c r="C6" s="15">
        <f>BID!C634</f>
        <v>100</v>
      </c>
      <c r="D6" s="15">
        <f>IF(K6&gt;0,(K6/100)*BID!D634,1*BID!D634)</f>
        <v>2000</v>
      </c>
      <c r="E6" s="60">
        <f>IF(K6&gt;0,PR!S632,IF(BID!K634="EUMATT",BID!L634,0))</f>
        <v>1800</v>
      </c>
      <c r="F6" s="61">
        <f t="shared" ref="F6:F37" si="0">IF(E6&gt;0,(E6*D6),0)</f>
        <v>3600000</v>
      </c>
      <c r="K6" s="445"/>
    </row>
    <row r="7" spans="1:11" ht="20.25" thickTop="1" thickBot="1" x14ac:dyDescent="0.35">
      <c r="A7" s="430">
        <f>BID!A635</f>
        <v>571</v>
      </c>
      <c r="B7" s="15" t="str">
        <f>BID!B635</f>
        <v>20CC NEEDLE/SYRINGE</v>
      </c>
      <c r="C7" s="15">
        <f>BID!C635</f>
        <v>80</v>
      </c>
      <c r="D7" s="15">
        <f>IF(K7&gt;0,(K7/100)*BID!D635,1*BID!D635)</f>
        <v>200</v>
      </c>
      <c r="E7" s="60">
        <f>IF(K7&gt;0,PR!S633,IF(BID!K635="EUMATT",BID!L635,0))</f>
        <v>3000</v>
      </c>
      <c r="F7" s="61">
        <f t="shared" si="0"/>
        <v>600000</v>
      </c>
      <c r="K7" s="445"/>
    </row>
    <row r="8" spans="1:11" ht="20.25" thickTop="1" thickBot="1" x14ac:dyDescent="0.35">
      <c r="A8" s="430">
        <f>BID!A638</f>
        <v>574</v>
      </c>
      <c r="B8" s="15" t="str">
        <f>BID!B638</f>
        <v>25G NEEDLE</v>
      </c>
      <c r="C8" s="15">
        <f>BID!C638</f>
        <v>100</v>
      </c>
      <c r="D8" s="15">
        <f>IF(K8&gt;0,(K8/100)*BID!D638,1*BID!D638)</f>
        <v>300</v>
      </c>
      <c r="E8" s="60">
        <f>IF(K8&gt;0,PR!S636,IF(BID!K638="EUMATT",BID!L638,0))</f>
        <v>400</v>
      </c>
      <c r="F8" s="61">
        <f t="shared" si="0"/>
        <v>120000</v>
      </c>
      <c r="K8" s="445"/>
    </row>
    <row r="9" spans="1:11" ht="20.25" thickTop="1" thickBot="1" x14ac:dyDescent="0.35">
      <c r="A9" s="430">
        <f>BID!A639</f>
        <v>575</v>
      </c>
      <c r="B9" s="15" t="str">
        <f>BID!B639</f>
        <v>2CC NEEDLE/SYRINGE</v>
      </c>
      <c r="C9" s="15">
        <f>BID!C639</f>
        <v>100</v>
      </c>
      <c r="D9" s="15">
        <f>IF(K9&gt;0,(K9/100)*BID!D639,1*BID!D639)</f>
        <v>1500</v>
      </c>
      <c r="E9" s="60">
        <f>IF(K9&gt;0,PR!S637,IF(BID!K639="EUMATT",BID!L639,0))</f>
        <v>1200</v>
      </c>
      <c r="F9" s="61">
        <f t="shared" si="0"/>
        <v>1800000</v>
      </c>
      <c r="K9" s="445">
        <v>50</v>
      </c>
    </row>
    <row r="10" spans="1:11" ht="20.25" thickTop="1" thickBot="1" x14ac:dyDescent="0.35">
      <c r="A10" s="430">
        <f>BID!A718</f>
        <v>651</v>
      </c>
      <c r="B10" s="15" t="str">
        <f>BID!B718</f>
        <v>50SPF SUNSCREEN</v>
      </c>
      <c r="C10" s="15" t="str">
        <f>BID!C718</f>
        <v>TUBE</v>
      </c>
      <c r="D10" s="15">
        <f>IF(K10&gt;0,(K10/100)*BID!D718,1*BID!D718)</f>
        <v>20</v>
      </c>
      <c r="E10" s="60">
        <f>IF(K10&gt;0,PR!S716,IF(BID!K718="EUMATT",BID!L718,0))</f>
        <v>3300</v>
      </c>
      <c r="F10" s="61">
        <f t="shared" si="0"/>
        <v>66000</v>
      </c>
      <c r="K10" s="445"/>
    </row>
    <row r="11" spans="1:11" ht="20.25" thickTop="1" thickBot="1" x14ac:dyDescent="0.35">
      <c r="A11" s="430">
        <f>BID!A640</f>
        <v>576</v>
      </c>
      <c r="B11" s="15" t="str">
        <f>BID!B640</f>
        <v xml:space="preserve">5CC NEEDLE/SYRINGE </v>
      </c>
      <c r="C11" s="15">
        <f>BID!C640</f>
        <v>100</v>
      </c>
      <c r="D11" s="15">
        <f>IF(K11&gt;0,(K11/100)*BID!D640,1*BID!D640)</f>
        <v>2000</v>
      </c>
      <c r="E11" s="60">
        <f>IF(K11&gt;0,PR!S638,IF(BID!K640="EUMATT",BID!L640,0))</f>
        <v>1200</v>
      </c>
      <c r="F11" s="61">
        <f t="shared" si="0"/>
        <v>2400000</v>
      </c>
      <c r="K11" s="445">
        <v>50</v>
      </c>
    </row>
    <row r="12" spans="1:11" ht="20.25" thickTop="1" thickBot="1" x14ac:dyDescent="0.35">
      <c r="A12" s="430">
        <f>BID!A220</f>
        <v>194</v>
      </c>
      <c r="B12" s="15" t="str">
        <f>BID!B220</f>
        <v>ACYCLOVIR 200MG</v>
      </c>
      <c r="C12" s="15">
        <f>BID!C220</f>
        <v>25</v>
      </c>
      <c r="D12" s="15">
        <f>IF(K12&gt;0,(K12/100)*BID!D220,1*BID!D220)</f>
        <v>60</v>
      </c>
      <c r="E12" s="60">
        <f>IF(K12&gt;0,PR!S218,IF(BID!K220="EUMATT",BID!L220,0))</f>
        <v>2300</v>
      </c>
      <c r="F12" s="61">
        <f t="shared" si="0"/>
        <v>138000</v>
      </c>
      <c r="K12" s="445"/>
    </row>
    <row r="13" spans="1:11" ht="20.25" thickTop="1" thickBot="1" x14ac:dyDescent="0.35">
      <c r="A13" s="430">
        <f>BID!A221</f>
        <v>195</v>
      </c>
      <c r="B13" s="15" t="str">
        <f>BID!B221</f>
        <v>ACYCLOVIR 400MG</v>
      </c>
      <c r="C13" s="15">
        <f>BID!C221</f>
        <v>25</v>
      </c>
      <c r="D13" s="15">
        <f>IF(K13&gt;0,(K13/100)*BID!D221,1*BID!D221)</f>
        <v>100</v>
      </c>
      <c r="E13" s="60">
        <f>IF(K13&gt;0,PR!S219,IF(BID!K221="EUMATT",BID!L221,0))</f>
        <v>4200</v>
      </c>
      <c r="F13" s="61">
        <f t="shared" si="0"/>
        <v>420000</v>
      </c>
      <c r="K13" s="445"/>
    </row>
    <row r="14" spans="1:11" ht="20.25" thickTop="1" thickBot="1" x14ac:dyDescent="0.35">
      <c r="A14" s="430">
        <f>BID!A552</f>
        <v>495</v>
      </c>
      <c r="B14" s="15" t="str">
        <f>BID!B552</f>
        <v>ACYCLOVIR EYE OINTMENT</v>
      </c>
      <c r="C14" s="15" t="str">
        <f>BID!C552</f>
        <v>TUBE</v>
      </c>
      <c r="D14" s="15">
        <f>IF(K14&gt;0,(K14/100)*BID!D552,1*BID!D552)</f>
        <v>20</v>
      </c>
      <c r="E14" s="60">
        <f>IF(K14&gt;0,PR!S550,IF(BID!K552="EUMATT",BID!L552,0))</f>
        <v>1250</v>
      </c>
      <c r="F14" s="61">
        <f t="shared" si="0"/>
        <v>25000</v>
      </c>
      <c r="K14" s="445"/>
    </row>
    <row r="15" spans="1:11" ht="20.25" thickTop="1" thickBot="1" x14ac:dyDescent="0.35">
      <c r="A15" s="430">
        <f>BID!A756</f>
        <v>684</v>
      </c>
      <c r="B15" s="15" t="str">
        <f>BID!B756</f>
        <v>ALLENDRONATE 70MG TAB</v>
      </c>
      <c r="C15" s="15">
        <f>BID!C756</f>
        <v>2</v>
      </c>
      <c r="D15" s="15">
        <f>IF(K15&gt;0,(K15/100)*BID!D756,1*BID!D756)</f>
        <v>10</v>
      </c>
      <c r="E15" s="60">
        <f>IF(K15&gt;0,PR!S754,IF(BID!K756="EUMATT",BID!L756,0))</f>
        <v>780</v>
      </c>
      <c r="F15" s="61">
        <f t="shared" si="0"/>
        <v>7800</v>
      </c>
      <c r="K15" s="445"/>
    </row>
    <row r="16" spans="1:11" ht="20.25" thickTop="1" thickBot="1" x14ac:dyDescent="0.35">
      <c r="A16" s="430">
        <f>BID!A166</f>
        <v>143</v>
      </c>
      <c r="B16" s="15" t="str">
        <f>BID!B166</f>
        <v>ALLOPURINOL 100MG  TAB</v>
      </c>
      <c r="C16" s="15">
        <f>BID!C166</f>
        <v>28</v>
      </c>
      <c r="D16" s="15">
        <f>IF(K16&gt;0,(K16/100)*BID!D166,1*BID!D166)</f>
        <v>800</v>
      </c>
      <c r="E16" s="60">
        <f>IF(K16&gt;0,PR!S164,IF(BID!K166="EUMATT",BID!L166,0))</f>
        <v>1200</v>
      </c>
      <c r="F16" s="61">
        <f t="shared" si="0"/>
        <v>960000</v>
      </c>
      <c r="K16" s="445"/>
    </row>
    <row r="17" spans="1:11" ht="20.25" thickTop="1" thickBot="1" x14ac:dyDescent="0.35">
      <c r="A17" s="430">
        <f>BID!A167</f>
        <v>144</v>
      </c>
      <c r="B17" s="15" t="str">
        <f>BID!B167</f>
        <v>ALLOPURINOL 300MG  TAB</v>
      </c>
      <c r="C17" s="15">
        <f>BID!C167</f>
        <v>28</v>
      </c>
      <c r="D17" s="15">
        <f>IF(K17&gt;0,(K17/100)*BID!D167,1*BID!D167)</f>
        <v>200</v>
      </c>
      <c r="E17" s="60">
        <f>IF(K17&gt;0,PR!S165,IF(BID!K167="EUMATT",BID!L167,0))</f>
        <v>1350</v>
      </c>
      <c r="F17" s="61">
        <f t="shared" si="0"/>
        <v>270000</v>
      </c>
      <c r="K17" s="445"/>
    </row>
    <row r="18" spans="1:11" ht="20.25" thickTop="1" thickBot="1" x14ac:dyDescent="0.35">
      <c r="A18" s="430">
        <f>BID!A222</f>
        <v>196</v>
      </c>
      <c r="B18" s="15" t="str">
        <f>BID!B222</f>
        <v>AMIKACIN INJ</v>
      </c>
      <c r="C18" s="15" t="str">
        <f>BID!C222</f>
        <v>VIAL</v>
      </c>
      <c r="D18" s="15">
        <f>IF(K18&gt;0,(K18/100)*BID!D222,1*BID!D222)</f>
        <v>1200</v>
      </c>
      <c r="E18" s="60">
        <f>IF(K18&gt;0,PR!S220,IF(BID!K222="EUMATT",BID!L222,0))</f>
        <v>250</v>
      </c>
      <c r="F18" s="61">
        <f t="shared" si="0"/>
        <v>300000</v>
      </c>
      <c r="K18" s="445"/>
    </row>
    <row r="19" spans="1:11" ht="20.25" thickTop="1" thickBot="1" x14ac:dyDescent="0.35">
      <c r="A19" s="430">
        <f>BID!A508</f>
        <v>456</v>
      </c>
      <c r="B19" s="15" t="str">
        <f>BID!B508</f>
        <v>AMINOPHYLLINE 100MG TAB</v>
      </c>
      <c r="C19" s="15">
        <f>BID!C508</f>
        <v>1000</v>
      </c>
      <c r="D19" s="15">
        <f>IF(K19&gt;0,(K19/100)*BID!D508,1*BID!D508)</f>
        <v>2</v>
      </c>
      <c r="E19" s="60">
        <f>IF(K19&gt;0,PR!S506,IF(BID!K508="EUMATT",BID!L508,0))</f>
        <v>2200</v>
      </c>
      <c r="F19" s="61">
        <f t="shared" si="0"/>
        <v>4400</v>
      </c>
      <c r="K19" s="445"/>
    </row>
    <row r="20" spans="1:11" ht="20.25" thickTop="1" thickBot="1" x14ac:dyDescent="0.35">
      <c r="A20" s="430">
        <f>BID!A507</f>
        <v>455</v>
      </c>
      <c r="B20" s="15" t="str">
        <f>BID!B507</f>
        <v>AMINOPHYLLINE 250MG INJ</v>
      </c>
      <c r="C20" s="15" t="str">
        <f>BID!C507</f>
        <v>AMP</v>
      </c>
      <c r="D20" s="15">
        <f>IF(K20&gt;0,(K20/100)*BID!D507,1*BID!D507)</f>
        <v>1040</v>
      </c>
      <c r="E20" s="60">
        <f>IF(K20&gt;0,PR!S505,IF(BID!K507="EUMATT",BID!L507,0))</f>
        <v>40</v>
      </c>
      <c r="F20" s="61">
        <f t="shared" si="0"/>
        <v>41600</v>
      </c>
      <c r="K20" s="445"/>
    </row>
    <row r="21" spans="1:11" ht="20.25" thickTop="1" thickBot="1" x14ac:dyDescent="0.35">
      <c r="A21" s="430">
        <f>BID!A387</f>
        <v>351</v>
      </c>
      <c r="B21" s="15" t="str">
        <f>BID!B387</f>
        <v>AMITRYPTILLINE 25MG</v>
      </c>
      <c r="C21" s="15">
        <f>BID!C387</f>
        <v>500</v>
      </c>
      <c r="D21" s="15">
        <f>IF(K21&gt;0,(K21/100)*BID!D387,1*BID!D387)</f>
        <v>100</v>
      </c>
      <c r="E21" s="60">
        <f>IF(K21&gt;0,PR!S385,IF(BID!K387="EUMATT",BID!L387,0))</f>
        <v>2200</v>
      </c>
      <c r="F21" s="61">
        <f t="shared" si="0"/>
        <v>220000</v>
      </c>
      <c r="K21" s="445">
        <v>50</v>
      </c>
    </row>
    <row r="22" spans="1:11" ht="20.25" thickTop="1" thickBot="1" x14ac:dyDescent="0.35">
      <c r="A22" s="430">
        <f>BID!A55</f>
        <v>37</v>
      </c>
      <c r="B22" s="15" t="str">
        <f>BID!B55</f>
        <v>AMLODIPINE 10MG TAB</v>
      </c>
      <c r="C22" s="15">
        <f>BID!C55</f>
        <v>28</v>
      </c>
      <c r="D22" s="15">
        <f>IF(K22&gt;0,(K22/100)*BID!D55,1*BID!D55)</f>
        <v>6000</v>
      </c>
      <c r="E22" s="60">
        <f>IF(K22&gt;0,PR!S53,IF(BID!K55="EUMATT",BID!L55,0))</f>
        <v>230</v>
      </c>
      <c r="F22" s="61">
        <f t="shared" si="0"/>
        <v>1380000</v>
      </c>
      <c r="K22" s="445">
        <v>50</v>
      </c>
    </row>
    <row r="23" spans="1:11" ht="20.25" thickTop="1" thickBot="1" x14ac:dyDescent="0.35">
      <c r="A23" s="430">
        <f>BID!A63</f>
        <v>45</v>
      </c>
      <c r="B23" s="15" t="str">
        <f>BID!B63</f>
        <v>AMLODIPINE/VALSARTAN/HYDROCHLOROTHIAZIDE 10/160/25MG TAB</v>
      </c>
      <c r="C23" s="15">
        <f>BID!C63</f>
        <v>28</v>
      </c>
      <c r="D23" s="15">
        <f>IF(K23&gt;0,(K23/100)*BID!D63,1*BID!D63)</f>
        <v>60</v>
      </c>
      <c r="E23" s="60">
        <f>IF(K23&gt;0,PR!S61,IF(BID!K63="EUMATT",BID!L63,0))</f>
        <v>7000</v>
      </c>
      <c r="F23" s="61">
        <f t="shared" si="0"/>
        <v>420000</v>
      </c>
      <c r="K23" s="445"/>
    </row>
    <row r="24" spans="1:11" ht="20.25" thickTop="1" thickBot="1" x14ac:dyDescent="0.35">
      <c r="A24" s="430">
        <f>BID!A62</f>
        <v>44</v>
      </c>
      <c r="B24" s="15" t="str">
        <f>BID!B62</f>
        <v>AMLODIPINE/VALSARTAN/HYDROCHLOROTHIAZIDE 5/160/25MG TAB</v>
      </c>
      <c r="C24" s="15">
        <f>BID!C62</f>
        <v>28</v>
      </c>
      <c r="D24" s="15">
        <f>IF(K24&gt;0,(K24/100)*BID!D62,1*BID!D62)</f>
        <v>60</v>
      </c>
      <c r="E24" s="60">
        <f>IF(K24&gt;0,PR!S60,IF(BID!K62="EUMATT",BID!L62,0))</f>
        <v>7000</v>
      </c>
      <c r="F24" s="61">
        <f t="shared" si="0"/>
        <v>420000</v>
      </c>
      <c r="K24" s="445"/>
    </row>
    <row r="25" spans="1:11" ht="20.25" thickTop="1" thickBot="1" x14ac:dyDescent="0.35">
      <c r="A25" s="430">
        <f>BID!A224</f>
        <v>198</v>
      </c>
      <c r="B25" s="15" t="str">
        <f>BID!B224</f>
        <v>AMOXICILLIN 250MG CAP</v>
      </c>
      <c r="C25" s="15">
        <f>BID!C224</f>
        <v>100</v>
      </c>
      <c r="D25" s="15">
        <f>IF(K25&gt;0,(K25/100)*BID!D224,1*BID!D224)</f>
        <v>200</v>
      </c>
      <c r="E25" s="60">
        <f>IF(K25&gt;0,PR!S222,IF(BID!K224="EUMATT",BID!L224,0))</f>
        <v>600</v>
      </c>
      <c r="F25" s="61">
        <f t="shared" si="0"/>
        <v>120000</v>
      </c>
      <c r="K25" s="445"/>
    </row>
    <row r="26" spans="1:11" ht="20.25" thickTop="1" thickBot="1" x14ac:dyDescent="0.35">
      <c r="A26" s="430">
        <f>BID!A225</f>
        <v>199</v>
      </c>
      <c r="B26" s="15" t="str">
        <f>BID!B225</f>
        <v>AMOXICILLIN 250MG DISPERSIBLE TAB</v>
      </c>
      <c r="C26" s="15">
        <f>BID!C225</f>
        <v>100</v>
      </c>
      <c r="D26" s="15">
        <f>IF(K26&gt;0,(K26/100)*BID!D225,1*BID!D225)</f>
        <v>41.6</v>
      </c>
      <c r="E26" s="60">
        <f>IF(K26&gt;0,PR!S223,IF(BID!K225="EUMATT",BID!L225,0))</f>
        <v>1700</v>
      </c>
      <c r="F26" s="61">
        <f t="shared" si="0"/>
        <v>70720</v>
      </c>
      <c r="K26" s="445">
        <v>80</v>
      </c>
    </row>
    <row r="27" spans="1:11" ht="20.25" thickTop="1" thickBot="1" x14ac:dyDescent="0.35">
      <c r="A27" s="430">
        <f>BID!A236</f>
        <v>210</v>
      </c>
      <c r="B27" s="15" t="str">
        <f>BID!B236</f>
        <v>AMOXICILLIN/FLUCLOXACILLIN 125/125MG SUSPENSION</v>
      </c>
      <c r="C27" s="15" t="str">
        <f>BID!C236</f>
        <v>BOTT</v>
      </c>
      <c r="D27" s="15">
        <f>IF(K27&gt;0,(K27/100)*BID!D236,1*BID!D236)</f>
        <v>400</v>
      </c>
      <c r="E27" s="60">
        <f>IF(K27&gt;0,PR!S234,IF(BID!K236="EUMATT",BID!L236,0))</f>
        <v>1500</v>
      </c>
      <c r="F27" s="61">
        <f t="shared" si="0"/>
        <v>600000</v>
      </c>
      <c r="K27" s="445"/>
    </row>
    <row r="28" spans="1:11" ht="20.25" thickTop="1" thickBot="1" x14ac:dyDescent="0.35">
      <c r="A28" s="430">
        <f>BID!A235</f>
        <v>209</v>
      </c>
      <c r="B28" s="15" t="str">
        <f>BID!B235</f>
        <v>AMOXICILLIN/FLUCLOXACILLIN 250/250MG CAP</v>
      </c>
      <c r="C28" s="15">
        <f>BID!C235</f>
        <v>16</v>
      </c>
      <c r="D28" s="15">
        <f>IF(K28&gt;0,(K28/100)*BID!D235,1*BID!D235)</f>
        <v>400</v>
      </c>
      <c r="E28" s="60">
        <f>IF(K28&gt;0,PR!S233,IF(BID!K235="EUMATT",BID!L235,0))</f>
        <v>1630</v>
      </c>
      <c r="F28" s="61">
        <f t="shared" si="0"/>
        <v>652000</v>
      </c>
      <c r="K28" s="445"/>
    </row>
    <row r="29" spans="1:11" ht="20.25" thickTop="1" thickBot="1" x14ac:dyDescent="0.35">
      <c r="A29" s="430">
        <f>BID!A237</f>
        <v>211</v>
      </c>
      <c r="B29" s="15" t="str">
        <f>BID!B237</f>
        <v>AMPICILLIN/CLOXACILLIIN 500MG CAP</v>
      </c>
      <c r="C29" s="15">
        <f>BID!C237</f>
        <v>100</v>
      </c>
      <c r="D29" s="15">
        <f>IF(K29&gt;0,(K29/100)*BID!D237,1*BID!D237)</f>
        <v>250</v>
      </c>
      <c r="E29" s="60">
        <f>IF(K29&gt;0,PR!S235,IF(BID!K237="EUMATT",BID!L237,0))</f>
        <v>1100</v>
      </c>
      <c r="F29" s="61">
        <f t="shared" si="0"/>
        <v>275000</v>
      </c>
      <c r="K29" s="445">
        <v>50</v>
      </c>
    </row>
    <row r="30" spans="1:11" ht="20.25" thickTop="1" thickBot="1" x14ac:dyDescent="0.35">
      <c r="A30" s="430">
        <f>BID!A472</f>
        <v>424</v>
      </c>
      <c r="B30" s="15" t="str">
        <f>BID!B472</f>
        <v>ANUSOL SUPP</v>
      </c>
      <c r="C30" s="15">
        <f>BID!C472</f>
        <v>10</v>
      </c>
      <c r="D30" s="15">
        <f>IF(K30&gt;0,(K30/100)*BID!D472,1*BID!D472)</f>
        <v>50</v>
      </c>
      <c r="E30" s="60">
        <f>IF(K30&gt;0,PR!S470,IF(BID!K472="EUMATT",BID!L472,0))</f>
        <v>1800</v>
      </c>
      <c r="F30" s="61">
        <f t="shared" si="0"/>
        <v>90000</v>
      </c>
      <c r="K30" s="445"/>
    </row>
    <row r="31" spans="1:11" ht="20.25" thickTop="1" thickBot="1" x14ac:dyDescent="0.35">
      <c r="A31" s="430">
        <f>BID!A69</f>
        <v>51</v>
      </c>
      <c r="B31" s="15" t="str">
        <f>BID!B69</f>
        <v>ATORVASTATIN 80MG</v>
      </c>
      <c r="C31" s="15">
        <f>BID!C69</f>
        <v>30</v>
      </c>
      <c r="D31" s="15">
        <f>IF(K31&gt;0,(K31/100)*BID!D69,1*BID!D69)</f>
        <v>100</v>
      </c>
      <c r="E31" s="60">
        <f>IF(K31&gt;0,PR!S67,IF(BID!K69="EUMATT",BID!L69,0))</f>
        <v>5000</v>
      </c>
      <c r="F31" s="61">
        <f t="shared" si="0"/>
        <v>500000</v>
      </c>
      <c r="K31" s="445"/>
    </row>
    <row r="32" spans="1:11" ht="20.25" thickTop="1" thickBot="1" x14ac:dyDescent="0.35">
      <c r="A32" s="430">
        <f>BID!A554</f>
        <v>497</v>
      </c>
      <c r="B32" s="15" t="str">
        <f>BID!B554</f>
        <v>ATROPINE GTT</v>
      </c>
      <c r="C32" s="15" t="str">
        <f>BID!C554</f>
        <v>BOTT</v>
      </c>
      <c r="D32" s="15">
        <f>IF(K32&gt;0,(K32/100)*BID!D554,1*BID!D554)</f>
        <v>60</v>
      </c>
      <c r="E32" s="60">
        <f>IF(K32&gt;0,PR!S552,IF(BID!K554="EUMATT",BID!L554,0))</f>
        <v>350</v>
      </c>
      <c r="F32" s="61">
        <f t="shared" si="0"/>
        <v>21000</v>
      </c>
      <c r="K32" s="445"/>
    </row>
    <row r="33" spans="1:11" ht="20.25" thickTop="1" thickBot="1" x14ac:dyDescent="0.35">
      <c r="A33" s="430">
        <f>BID!A464</f>
        <v>419</v>
      </c>
      <c r="B33" s="15" t="str">
        <f>BID!B464</f>
        <v>ATS 1500 IU INJ</v>
      </c>
      <c r="C33" s="15">
        <f>BID!C464</f>
        <v>100</v>
      </c>
      <c r="D33" s="15">
        <f>IF(K33&gt;0,(K33/100)*BID!D464,1*BID!D464)</f>
        <v>20</v>
      </c>
      <c r="E33" s="60">
        <f>IF(K33&gt;0,PR!S462,IF(BID!K464="EUMATT",BID!L464,0))</f>
        <v>20000</v>
      </c>
      <c r="F33" s="61">
        <f t="shared" si="0"/>
        <v>400000</v>
      </c>
      <c r="K33" s="445"/>
    </row>
    <row r="34" spans="1:11" ht="20.25" thickTop="1" thickBot="1" x14ac:dyDescent="0.35">
      <c r="A34" s="430">
        <f>BID!A388</f>
        <v>352</v>
      </c>
      <c r="B34" s="15" t="str">
        <f>BID!B388</f>
        <v>BENZHEXOL 5MG</v>
      </c>
      <c r="C34" s="15">
        <f>BID!C388</f>
        <v>500</v>
      </c>
      <c r="D34" s="15">
        <f>IF(K34&gt;0,(K34/100)*BID!D388,1*BID!D388)</f>
        <v>20</v>
      </c>
      <c r="E34" s="60">
        <f>IF(K34&gt;0,PR!S386,IF(BID!K388="EUMATT",BID!L388,0))</f>
        <v>1800</v>
      </c>
      <c r="F34" s="61">
        <f t="shared" si="0"/>
        <v>36000</v>
      </c>
      <c r="K34" s="445"/>
    </row>
    <row r="35" spans="1:11" ht="20.25" thickTop="1" thickBot="1" x14ac:dyDescent="0.35">
      <c r="A35" s="430">
        <f>BID!A719</f>
        <v>652</v>
      </c>
      <c r="B35" s="15" t="str">
        <f>BID!B719</f>
        <v>BENZOYL PEROXIDE 10% CREAM</v>
      </c>
      <c r="C35" s="15" t="str">
        <f>BID!C719</f>
        <v>TUBE</v>
      </c>
      <c r="D35" s="15">
        <f>IF(K35&gt;0,(K35/100)*BID!D719,1*BID!D719)</f>
        <v>20</v>
      </c>
      <c r="E35" s="60">
        <f>IF(K35&gt;0,PR!S717,IF(BID!K719="EUMATT",BID!L719,0))</f>
        <v>1550</v>
      </c>
      <c r="F35" s="61">
        <f t="shared" si="0"/>
        <v>31000</v>
      </c>
      <c r="K35" s="445"/>
    </row>
    <row r="36" spans="1:11" ht="20.25" thickTop="1" thickBot="1" x14ac:dyDescent="0.35">
      <c r="A36" s="430">
        <f>BID!A720</f>
        <v>653</v>
      </c>
      <c r="B36" s="15" t="str">
        <f>BID!B720</f>
        <v>BENZOYL PEROXIDE 5% CREAM</v>
      </c>
      <c r="C36" s="15" t="str">
        <f>BID!C720</f>
        <v>TUBE</v>
      </c>
      <c r="D36" s="15">
        <f>IF(K36&gt;0,(K36/100)*BID!D720,1*BID!D720)</f>
        <v>20</v>
      </c>
      <c r="E36" s="60">
        <f>IF(K36&gt;0,PR!S718,IF(BID!K720="EUMATT",BID!L720,0))</f>
        <v>1550</v>
      </c>
      <c r="F36" s="61">
        <f t="shared" si="0"/>
        <v>31000</v>
      </c>
      <c r="K36" s="445"/>
    </row>
    <row r="37" spans="1:11" ht="20.25" thickTop="1" thickBot="1" x14ac:dyDescent="0.35">
      <c r="A37" s="430">
        <f>BID!A723</f>
        <v>656</v>
      </c>
      <c r="B37" s="15" t="str">
        <f>BID!B723</f>
        <v>BETNOVATE CREAM 0.05% (PLAIN)</v>
      </c>
      <c r="C37" s="15" t="str">
        <f>BID!C723</f>
        <v>TUBE</v>
      </c>
      <c r="D37" s="15">
        <f>IF(K37&gt;0,(K37/100)*BID!D723,1*BID!D723)</f>
        <v>20</v>
      </c>
      <c r="E37" s="60">
        <f>IF(K37&gt;0,PR!S721,IF(BID!K723="EUMATT",BID!L723,0))</f>
        <v>2700</v>
      </c>
      <c r="F37" s="61">
        <f t="shared" si="0"/>
        <v>54000</v>
      </c>
      <c r="K37" s="445"/>
    </row>
    <row r="38" spans="1:11" ht="20.25" thickTop="1" thickBot="1" x14ac:dyDescent="0.35">
      <c r="A38" s="430">
        <f>BID!A70</f>
        <v>52</v>
      </c>
      <c r="B38" s="15" t="str">
        <f>BID!B70</f>
        <v>BISOPROLOL 10MG TAB</v>
      </c>
      <c r="C38" s="15">
        <f>BID!C70</f>
        <v>30</v>
      </c>
      <c r="D38" s="15">
        <f>IF(K38&gt;0,(K38/100)*BID!D70,1*BID!D70)</f>
        <v>60</v>
      </c>
      <c r="E38" s="60">
        <f>IF(K38&gt;0,PR!S68,IF(BID!K70="EUMATT",BID!L70,0))</f>
        <v>800</v>
      </c>
      <c r="F38" s="61">
        <f t="shared" ref="F38:F69" si="1">IF(E38&gt;0,(E38*D38),0)</f>
        <v>48000</v>
      </c>
      <c r="K38" s="445"/>
    </row>
    <row r="39" spans="1:11" ht="20.25" thickTop="1" thickBot="1" x14ac:dyDescent="0.35">
      <c r="A39" s="430">
        <f>BID!A71</f>
        <v>53</v>
      </c>
      <c r="B39" s="15" t="str">
        <f>BID!B71</f>
        <v>BISOPROLOL 5MG TAB</v>
      </c>
      <c r="C39" s="15">
        <f>BID!C71</f>
        <v>30</v>
      </c>
      <c r="D39" s="15">
        <f>IF(K39&gt;0,(K39/100)*BID!D71,1*BID!D71)</f>
        <v>60</v>
      </c>
      <c r="E39" s="60">
        <f>IF(K39&gt;0,PR!S69,IF(BID!K71="EUMATT",BID!L71,0))</f>
        <v>500</v>
      </c>
      <c r="F39" s="61">
        <f t="shared" si="1"/>
        <v>30000</v>
      </c>
      <c r="K39" s="445"/>
    </row>
    <row r="40" spans="1:11" ht="20.25" thickTop="1" thickBot="1" x14ac:dyDescent="0.35">
      <c r="A40" s="430">
        <f>BID!A642</f>
        <v>578</v>
      </c>
      <c r="B40" s="15" t="str">
        <f>BID!B642</f>
        <v xml:space="preserve">BLOOD GIVING SET </v>
      </c>
      <c r="C40" s="15">
        <f>BID!C642</f>
        <v>400</v>
      </c>
      <c r="D40" s="15">
        <f>IF(K40&gt;0,(K40/100)*BID!D642,1*BID!D642)</f>
        <v>12</v>
      </c>
      <c r="E40" s="60">
        <f>IF(K40&gt;0,PR!S640,IF(BID!K642="EUMATT",BID!L642,0))</f>
        <v>23000</v>
      </c>
      <c r="F40" s="61">
        <f t="shared" si="1"/>
        <v>276000</v>
      </c>
      <c r="K40" s="445"/>
    </row>
    <row r="41" spans="1:11" ht="20.25" thickTop="1" thickBot="1" x14ac:dyDescent="0.35">
      <c r="A41" s="430">
        <f>BID!A557</f>
        <v>500</v>
      </c>
      <c r="B41" s="15" t="str">
        <f>BID!B557</f>
        <v xml:space="preserve">BRINZOLAMIDE GTT </v>
      </c>
      <c r="C41" s="15" t="str">
        <f>BID!C557</f>
        <v>BOTT</v>
      </c>
      <c r="D41" s="15">
        <f>IF(K41&gt;0,(K41/100)*BID!D557,1*BID!D557)</f>
        <v>40</v>
      </c>
      <c r="E41" s="60">
        <f>IF(K41&gt;0,PR!S555,IF(BID!K557="EUMATT",BID!L557,0))</f>
        <v>4300</v>
      </c>
      <c r="F41" s="61">
        <f t="shared" si="1"/>
        <v>172000</v>
      </c>
      <c r="K41" s="445"/>
    </row>
    <row r="42" spans="1:11" ht="20.25" thickTop="1" thickBot="1" x14ac:dyDescent="0.35">
      <c r="A42" s="430">
        <f>BID!A322</f>
        <v>290</v>
      </c>
      <c r="B42" s="15" t="str">
        <f>BID!B322</f>
        <v>BROMELAIN/TRYPSIN TAB</v>
      </c>
      <c r="C42" s="15">
        <f>BID!C322</f>
        <v>100</v>
      </c>
      <c r="D42" s="15">
        <f>IF(K42&gt;0,(K42/100)*BID!D322,1*BID!D322)</f>
        <v>80</v>
      </c>
      <c r="E42" s="60">
        <f>IF(K42&gt;0,PR!S320,IF(BID!K322="EUMATT",BID!L322,0))</f>
        <v>2300</v>
      </c>
      <c r="F42" s="61">
        <f t="shared" si="1"/>
        <v>184000</v>
      </c>
      <c r="K42" s="445"/>
    </row>
    <row r="43" spans="1:11" ht="20.25" thickTop="1" thickBot="1" x14ac:dyDescent="0.35">
      <c r="A43" s="430">
        <f>BID!A323</f>
        <v>291</v>
      </c>
      <c r="B43" s="15" t="str">
        <f>BID!B323</f>
        <v>CALCIMAX TAB</v>
      </c>
      <c r="C43" s="15">
        <f>BID!C323</f>
        <v>30</v>
      </c>
      <c r="D43" s="15">
        <f>IF(K43&gt;0,(K43/100)*BID!D323,1*BID!D323)</f>
        <v>600</v>
      </c>
      <c r="E43" s="60">
        <f>IF(K43&gt;0,PR!S321,IF(BID!K323="EUMATT",BID!L323,0))</f>
        <v>290</v>
      </c>
      <c r="F43" s="61">
        <f t="shared" si="1"/>
        <v>174000</v>
      </c>
      <c r="K43" s="445"/>
    </row>
    <row r="44" spans="1:11" ht="20.25" thickTop="1" thickBot="1" x14ac:dyDescent="0.35">
      <c r="A44" s="430">
        <f>BID!A758</f>
        <v>686</v>
      </c>
      <c r="B44" s="15" t="str">
        <f>BID!B758</f>
        <v>CALCIUM GLUCONATE INJ</v>
      </c>
      <c r="C44" s="15">
        <f>BID!C758</f>
        <v>10</v>
      </c>
      <c r="D44" s="15">
        <f>IF(K44&gt;0,(K44/100)*BID!D758,1*BID!D758)</f>
        <v>160</v>
      </c>
      <c r="E44" s="60">
        <f>IF(K44&gt;0,PR!S756,IF(BID!K758="EUMATT",BID!L758,0))</f>
        <v>400</v>
      </c>
      <c r="F44" s="61">
        <f t="shared" si="1"/>
        <v>64000</v>
      </c>
      <c r="K44" s="445"/>
    </row>
    <row r="45" spans="1:11" ht="20.25" thickTop="1" thickBot="1" x14ac:dyDescent="0.35">
      <c r="A45" s="430">
        <f>BID!A643</f>
        <v>579</v>
      </c>
      <c r="B45" s="15" t="str">
        <f>BID!B643</f>
        <v>CANNULA 16G GREY</v>
      </c>
      <c r="C45" s="15">
        <f>BID!C643</f>
        <v>50</v>
      </c>
      <c r="D45" s="15">
        <f>IF(K45&gt;0,(K45/100)*BID!D643,1*BID!D643)</f>
        <v>20</v>
      </c>
      <c r="E45" s="60">
        <f>IF(K45&gt;0,PR!S641,IF(BID!K643="EUMATT",BID!L643,0))</f>
        <v>2000</v>
      </c>
      <c r="F45" s="61">
        <f t="shared" si="1"/>
        <v>40000</v>
      </c>
      <c r="K45" s="445"/>
    </row>
    <row r="46" spans="1:11" ht="20.25" thickTop="1" thickBot="1" x14ac:dyDescent="0.35">
      <c r="A46" s="430">
        <v>580</v>
      </c>
      <c r="B46" s="15" t="s">
        <v>525</v>
      </c>
      <c r="C46" s="15">
        <v>50</v>
      </c>
      <c r="D46" s="15">
        <f>300*0.3</f>
        <v>90</v>
      </c>
      <c r="E46" s="60">
        <v>2000</v>
      </c>
      <c r="F46" s="61">
        <f t="shared" si="1"/>
        <v>180000</v>
      </c>
      <c r="K46" s="445"/>
    </row>
    <row r="47" spans="1:11" ht="20.25" thickTop="1" thickBot="1" x14ac:dyDescent="0.35">
      <c r="A47" s="430">
        <v>581</v>
      </c>
      <c r="B47" s="15" t="s">
        <v>2180</v>
      </c>
      <c r="C47" s="15">
        <v>50</v>
      </c>
      <c r="D47" s="15">
        <f>400*0.3</f>
        <v>120</v>
      </c>
      <c r="E47" s="60">
        <v>2000</v>
      </c>
      <c r="F47" s="61">
        <f t="shared" si="1"/>
        <v>240000</v>
      </c>
      <c r="K47" s="445"/>
    </row>
    <row r="48" spans="1:11" ht="20.25" thickTop="1" thickBot="1" x14ac:dyDescent="0.35">
      <c r="A48" s="430">
        <f>BID!A647</f>
        <v>583</v>
      </c>
      <c r="B48" s="15" t="str">
        <f>BID!B647</f>
        <v xml:space="preserve">CANNULA 24G YELLOW </v>
      </c>
      <c r="C48" s="15">
        <f>BID!C647</f>
        <v>50</v>
      </c>
      <c r="D48" s="15">
        <f>IF(K48&gt;0,(K48/100)*BID!D647,1*BID!D647)</f>
        <v>210</v>
      </c>
      <c r="E48" s="60">
        <f>IF(K48&gt;0,PR!S645,IF(BID!K647="EUMATT",BID!L647,0))</f>
        <v>2100</v>
      </c>
      <c r="F48" s="61">
        <f t="shared" si="1"/>
        <v>441000</v>
      </c>
      <c r="K48" s="445">
        <v>70</v>
      </c>
    </row>
    <row r="49" spans="1:11" ht="20.25" thickTop="1" thickBot="1" x14ac:dyDescent="0.35">
      <c r="A49" s="430">
        <f>BID!A392</f>
        <v>356</v>
      </c>
      <c r="B49" s="15" t="str">
        <f>BID!B392</f>
        <v>CARBAMAZEPINE 200MG CR</v>
      </c>
      <c r="C49" s="15">
        <f>BID!C392</f>
        <v>50</v>
      </c>
      <c r="D49" s="15">
        <f>IF(K49&gt;0,(K49/100)*BID!D392,1*BID!D392)</f>
        <v>100</v>
      </c>
      <c r="E49" s="60">
        <f>IF(K49&gt;0,PR!S390,IF(BID!K392="EUMATT",BID!L392,0))</f>
        <v>3000</v>
      </c>
      <c r="F49" s="61">
        <f t="shared" si="1"/>
        <v>300000</v>
      </c>
      <c r="K49" s="445"/>
    </row>
    <row r="50" spans="1:11" ht="20.25" thickTop="1" thickBot="1" x14ac:dyDescent="0.35">
      <c r="A50" s="430">
        <f>BID!A393</f>
        <v>357</v>
      </c>
      <c r="B50" s="15" t="str">
        <f>BID!B393</f>
        <v>CARBAMAZEPINE SYR</v>
      </c>
      <c r="C50" s="15" t="str">
        <f>BID!C393</f>
        <v>200ML</v>
      </c>
      <c r="D50" s="15">
        <f>IF(K50&gt;0,(K50/100)*BID!D393,1*BID!D393)</f>
        <v>12</v>
      </c>
      <c r="E50" s="60">
        <f>IF(K50&gt;0,PR!S391,IF(BID!K393="EUMATT",BID!L393,0))</f>
        <v>2500</v>
      </c>
      <c r="F50" s="61">
        <f t="shared" si="1"/>
        <v>30000</v>
      </c>
      <c r="K50" s="445"/>
    </row>
    <row r="51" spans="1:11" ht="20.25" thickTop="1" thickBot="1" x14ac:dyDescent="0.35">
      <c r="A51" s="430">
        <f>BID!A394</f>
        <v>358</v>
      </c>
      <c r="B51" s="15" t="str">
        <f>BID!B394</f>
        <v>CARBIDOPA+L-DOPA</v>
      </c>
      <c r="C51" s="15">
        <f>BID!C394</f>
        <v>50</v>
      </c>
      <c r="D51" s="15">
        <f>IF(K51&gt;0,(K51/100)*BID!D394,1*BID!D394)</f>
        <v>60</v>
      </c>
      <c r="E51" s="60">
        <f>IF(K51&gt;0,PR!S392,IF(BID!K394="EUMATT",BID!L394,0))</f>
        <v>6000</v>
      </c>
      <c r="F51" s="61">
        <f t="shared" si="1"/>
        <v>360000</v>
      </c>
      <c r="K51" s="445"/>
    </row>
    <row r="52" spans="1:11" ht="20.25" thickTop="1" thickBot="1" x14ac:dyDescent="0.35">
      <c r="A52" s="430">
        <f>BID!A74</f>
        <v>56</v>
      </c>
      <c r="B52" s="15" t="str">
        <f>BID!B74</f>
        <v xml:space="preserve">CARVEDILOL 6.25MG TAB </v>
      </c>
      <c r="C52" s="15">
        <f>BID!C74</f>
        <v>28</v>
      </c>
      <c r="D52" s="15">
        <f>IF(K52&gt;0,(K52/100)*BID!D74,1*BID!D74)</f>
        <v>1000</v>
      </c>
      <c r="E52" s="60">
        <f>IF(K52&gt;0,PR!S72,IF(BID!K74="EUMATT",BID!L74,0))</f>
        <v>750</v>
      </c>
      <c r="F52" s="61">
        <f t="shared" si="1"/>
        <v>750000</v>
      </c>
      <c r="K52" s="445"/>
    </row>
    <row r="53" spans="1:11" ht="20.25" thickTop="1" thickBot="1" x14ac:dyDescent="0.35">
      <c r="A53" s="430">
        <f>BID!A247</f>
        <v>221</v>
      </c>
      <c r="B53" s="15" t="str">
        <f>BID!B247</f>
        <v>CEFIXIME 200MG/CLAVULANIC ACID 125MG</v>
      </c>
      <c r="C53" s="15">
        <f>BID!C247</f>
        <v>10</v>
      </c>
      <c r="D53" s="15">
        <f>IF(K53&gt;0,(K53/100)*BID!D247,1*BID!D247)</f>
        <v>200</v>
      </c>
      <c r="E53" s="60">
        <f>IF(K53&gt;0,PR!S245,IF(BID!K247="EUMATT",BID!L247,0))</f>
        <v>0</v>
      </c>
      <c r="F53" s="61">
        <f t="shared" si="1"/>
        <v>0</v>
      </c>
      <c r="K53" s="445"/>
    </row>
    <row r="54" spans="1:11" ht="20.25" thickTop="1" thickBot="1" x14ac:dyDescent="0.35">
      <c r="A54" s="430">
        <f>BID!A248</f>
        <v>222</v>
      </c>
      <c r="B54" s="15" t="str">
        <f>BID!B248</f>
        <v>CEFIXIME 400MG TAB</v>
      </c>
      <c r="C54" s="15">
        <f>BID!C248</f>
        <v>10</v>
      </c>
      <c r="D54" s="15">
        <f>IF(K54&gt;0,(K54/100)*BID!D248,1*BID!D248)</f>
        <v>100</v>
      </c>
      <c r="E54" s="60">
        <f>IF(K54&gt;0,PR!S246,IF(BID!K248="EUMATT",BID!L248,0))</f>
        <v>870</v>
      </c>
      <c r="F54" s="61">
        <f t="shared" si="1"/>
        <v>87000</v>
      </c>
      <c r="K54" s="445"/>
    </row>
    <row r="55" spans="1:11" ht="20.25" thickTop="1" thickBot="1" x14ac:dyDescent="0.35">
      <c r="A55" s="430">
        <f>BID!A253</f>
        <v>227</v>
      </c>
      <c r="B55" s="15" t="str">
        <f>BID!B253</f>
        <v>CEFTAZIDIME 1G INJ</v>
      </c>
      <c r="C55" s="15" t="str">
        <f>BID!C253</f>
        <v>VIAL</v>
      </c>
      <c r="D55" s="15">
        <f>IF(K55&gt;0,(K55/100)*BID!D253,1*BID!D253)</f>
        <v>600</v>
      </c>
      <c r="E55" s="60">
        <f>IF(K55&gt;0,PR!S251,IF(BID!K253="EUMATT",BID!L253,0))</f>
        <v>550</v>
      </c>
      <c r="F55" s="61">
        <f t="shared" si="1"/>
        <v>330000</v>
      </c>
      <c r="K55" s="445">
        <v>20</v>
      </c>
    </row>
    <row r="56" spans="1:11" ht="20.25" thickTop="1" thickBot="1" x14ac:dyDescent="0.35">
      <c r="A56" s="430">
        <f>BID!A254</f>
        <v>228</v>
      </c>
      <c r="B56" s="15" t="str">
        <f>BID!B254</f>
        <v>CEFTRIAXONE 1G INJ</v>
      </c>
      <c r="C56" s="15" t="str">
        <f>BID!C254</f>
        <v>VIAL</v>
      </c>
      <c r="D56" s="15">
        <f>IF(K56&gt;0,(K56/100)*BID!D254,1*BID!D254)</f>
        <v>10500</v>
      </c>
      <c r="E56" s="60">
        <f>IF(K56&gt;0,PR!S252,IF(BID!K254="EUMATT",BID!L254,0))</f>
        <v>180</v>
      </c>
      <c r="F56" s="61">
        <f t="shared" si="1"/>
        <v>1890000</v>
      </c>
      <c r="K56" s="445">
        <v>35</v>
      </c>
    </row>
    <row r="57" spans="1:11" ht="20.25" thickTop="1" thickBot="1" x14ac:dyDescent="0.35">
      <c r="A57" s="430">
        <f>BID!A259</f>
        <v>233</v>
      </c>
      <c r="B57" s="15" t="str">
        <f>BID!B259</f>
        <v>CEFUROXIME SUSPENSION 125MG/5ML (100ML)</v>
      </c>
      <c r="C57" s="15" t="str">
        <f>BID!C259</f>
        <v>BOTT</v>
      </c>
      <c r="D57" s="15">
        <f>IF(K57&gt;0,(K57/100)*BID!D259,1*BID!D259)</f>
        <v>1200</v>
      </c>
      <c r="E57" s="60">
        <f>IF(K57&gt;0,PR!S257,IF(BID!K259="EUMATT",BID!L259,0))</f>
        <v>750</v>
      </c>
      <c r="F57" s="61">
        <f t="shared" si="1"/>
        <v>900000</v>
      </c>
      <c r="K57" s="445">
        <v>60</v>
      </c>
    </row>
    <row r="58" spans="1:11" ht="20.25" thickTop="1" thickBot="1" x14ac:dyDescent="0.35">
      <c r="A58" s="430">
        <f>BID!A525</f>
        <v>471</v>
      </c>
      <c r="B58" s="15" t="str">
        <f>BID!B525</f>
        <v>CETIRIZINE TAB</v>
      </c>
      <c r="C58" s="15">
        <f>BID!C525</f>
        <v>100</v>
      </c>
      <c r="D58" s="15">
        <f>IF(K58&gt;0,(K58/100)*BID!D525,1*BID!D525)</f>
        <v>60</v>
      </c>
      <c r="E58" s="60">
        <f>IF(K58&gt;0,PR!S523,IF(BID!K525="EUMATT",BID!L525,0))</f>
        <v>900</v>
      </c>
      <c r="F58" s="61">
        <f t="shared" si="1"/>
        <v>54000</v>
      </c>
      <c r="K58" s="445"/>
    </row>
    <row r="59" spans="1:11" ht="20.25" thickTop="1" thickBot="1" x14ac:dyDescent="0.35">
      <c r="A59" s="430">
        <f>BID!A559</f>
        <v>502</v>
      </c>
      <c r="B59" s="15" t="str">
        <f>BID!B559</f>
        <v>CHLORAMPHENICOL EAR DROP</v>
      </c>
      <c r="C59" s="15" t="str">
        <f>BID!C559</f>
        <v>BOTT</v>
      </c>
      <c r="D59" s="15">
        <f>IF(K59&gt;0,(K59/100)*BID!D559,1*BID!D559)</f>
        <v>120</v>
      </c>
      <c r="E59" s="60">
        <f>IF(K59&gt;0,PR!S557,IF(BID!K559="EUMATT",BID!L559,0))</f>
        <v>100</v>
      </c>
      <c r="F59" s="61">
        <f t="shared" si="1"/>
        <v>12000</v>
      </c>
      <c r="K59" s="445"/>
    </row>
    <row r="60" spans="1:11" ht="20.25" thickTop="1" thickBot="1" x14ac:dyDescent="0.35">
      <c r="A60" s="430">
        <f>BID!A528</f>
        <v>474</v>
      </c>
      <c r="B60" s="15" t="str">
        <f>BID!B528</f>
        <v>CHLORPHENIRAMINE INJ</v>
      </c>
      <c r="C60" s="15">
        <f>BID!C528</f>
        <v>100</v>
      </c>
      <c r="D60" s="15">
        <f>IF(K60&gt;0,(K60/100)*BID!D528,1*BID!D528)</f>
        <v>4</v>
      </c>
      <c r="E60" s="60">
        <f>IF(K60&gt;0,PR!S526,IF(BID!K528="EUMATT",BID!L528,0))</f>
        <v>1100</v>
      </c>
      <c r="F60" s="61">
        <f t="shared" si="1"/>
        <v>4400</v>
      </c>
      <c r="K60" s="445"/>
    </row>
    <row r="61" spans="1:11" ht="20.25" thickTop="1" thickBot="1" x14ac:dyDescent="0.35">
      <c r="A61" s="430">
        <f>BID!A396</f>
        <v>360</v>
      </c>
      <c r="B61" s="15" t="str">
        <f>BID!B396</f>
        <v>CHLORPROMAZINE 50MG TAB</v>
      </c>
      <c r="C61" s="15">
        <f>BID!C396</f>
        <v>1000</v>
      </c>
      <c r="D61" s="15">
        <f>IF(K61&gt;0,(K61/100)*BID!D396,1*BID!D396)</f>
        <v>4</v>
      </c>
      <c r="E61" s="60">
        <f>IF(K61&gt;0,PR!S394,IF(BID!K396="EUMATT",BID!L396,0))</f>
        <v>5400</v>
      </c>
      <c r="F61" s="61">
        <f t="shared" si="1"/>
        <v>21600</v>
      </c>
      <c r="K61" s="445"/>
    </row>
    <row r="62" spans="1:11" ht="20.25" thickTop="1" thickBot="1" x14ac:dyDescent="0.35">
      <c r="A62" s="430">
        <f>BID!A776</f>
        <v>702</v>
      </c>
      <c r="B62" s="15" t="str">
        <f>BID!B776</f>
        <v>CHROMIC 1</v>
      </c>
      <c r="C62" s="15">
        <f>BID!C776</f>
        <v>12</v>
      </c>
      <c r="D62" s="15">
        <f>IF(K62&gt;0,(K62/100)*BID!D776,1*BID!D776)</f>
        <v>20</v>
      </c>
      <c r="E62" s="60">
        <f>IF(K62&gt;0,PR!S774,IF(BID!K776="EUMATT",BID!L776,0))</f>
        <v>980</v>
      </c>
      <c r="F62" s="61">
        <f t="shared" si="1"/>
        <v>19600</v>
      </c>
      <c r="K62" s="445"/>
    </row>
    <row r="63" spans="1:11" ht="20.25" thickTop="1" thickBot="1" x14ac:dyDescent="0.35">
      <c r="A63" s="430">
        <f>BID!A777</f>
        <v>703</v>
      </c>
      <c r="B63" s="15" t="str">
        <f>BID!B777</f>
        <v>CHROMIC 2</v>
      </c>
      <c r="C63" s="15">
        <f>BID!C777</f>
        <v>12</v>
      </c>
      <c r="D63" s="15">
        <f>IF(K63&gt;0,(K63/100)*BID!D777,1*BID!D777)</f>
        <v>32</v>
      </c>
      <c r="E63" s="60">
        <f>IF(K63&gt;0,PR!S775,IF(BID!K777="EUMATT",BID!L777,0))</f>
        <v>980</v>
      </c>
      <c r="F63" s="61">
        <f t="shared" si="1"/>
        <v>31360</v>
      </c>
      <c r="K63" s="445"/>
    </row>
    <row r="64" spans="1:11" ht="20.25" thickTop="1" thickBot="1" x14ac:dyDescent="0.35">
      <c r="A64" s="430">
        <f>BID!A778</f>
        <v>704</v>
      </c>
      <c r="B64" s="15" t="str">
        <f>BID!B778</f>
        <v>CHROMIC 2/0</v>
      </c>
      <c r="C64" s="15">
        <f>BID!C778</f>
        <v>12</v>
      </c>
      <c r="D64" s="15">
        <f>IF(K64&gt;0,(K64/100)*BID!D778,1*BID!D778)</f>
        <v>32</v>
      </c>
      <c r="E64" s="60">
        <f>IF(K64&gt;0,PR!S776,IF(BID!K778="EUMATT",BID!L778,0))</f>
        <v>980</v>
      </c>
      <c r="F64" s="61">
        <f t="shared" si="1"/>
        <v>31360</v>
      </c>
      <c r="K64" s="445"/>
    </row>
    <row r="65" spans="1:11" ht="20.25" thickTop="1" thickBot="1" x14ac:dyDescent="0.35">
      <c r="A65" s="430">
        <f>BID!A762</f>
        <v>690</v>
      </c>
      <c r="B65" s="15" t="str">
        <f>BID!B762</f>
        <v>CIKLAVIT SYR</v>
      </c>
      <c r="C65" s="15" t="str">
        <f>BID!C762</f>
        <v>200ML</v>
      </c>
      <c r="D65" s="15">
        <f>IF(K65&gt;0,(K65/100)*BID!D762,1*BID!D762)</f>
        <v>20</v>
      </c>
      <c r="E65" s="60">
        <f>IF(K65&gt;0,PR!S760,IF(BID!K762="EUMATT",BID!L762,0))</f>
        <v>1200</v>
      </c>
      <c r="F65" s="61">
        <f t="shared" si="1"/>
        <v>24000</v>
      </c>
      <c r="K65" s="445"/>
    </row>
    <row r="66" spans="1:11" ht="20.25" thickTop="1" thickBot="1" x14ac:dyDescent="0.35">
      <c r="A66" s="430">
        <f>BID!A264</f>
        <v>238</v>
      </c>
      <c r="B66" s="15" t="str">
        <f>BID!B264</f>
        <v>CLARITHROMYCIN 500MG</v>
      </c>
      <c r="C66" s="15">
        <f>BID!C264</f>
        <v>10</v>
      </c>
      <c r="D66" s="15">
        <f>IF(K66&gt;0,(K66/100)*BID!D264,1*BID!D264)</f>
        <v>200</v>
      </c>
      <c r="E66" s="60">
        <f>IF(K66&gt;0,PR!S262,IF(BID!K264="EUMATT",BID!L264,0))</f>
        <v>900</v>
      </c>
      <c r="F66" s="61">
        <f t="shared" si="1"/>
        <v>180000</v>
      </c>
      <c r="K66" s="445"/>
    </row>
    <row r="67" spans="1:11" ht="20.25" thickTop="1" thickBot="1" x14ac:dyDescent="0.35">
      <c r="A67" s="430">
        <f>BID!A648</f>
        <v>584</v>
      </c>
      <c r="B67" s="15" t="str">
        <f>BID!B648</f>
        <v>CLINICAL THERMOMETER B/S</v>
      </c>
      <c r="C67" s="15">
        <f>BID!C648</f>
        <v>12</v>
      </c>
      <c r="D67" s="15">
        <f>IF(K67&gt;0,(K67/100)*BID!D648,1*BID!D648)</f>
        <v>400</v>
      </c>
      <c r="E67" s="60">
        <f>IF(K67&gt;0,PR!S646,IF(BID!K648="EUMATT",BID!L648,0))</f>
        <v>2200</v>
      </c>
      <c r="F67" s="61">
        <f t="shared" si="1"/>
        <v>880000</v>
      </c>
      <c r="K67" s="445"/>
    </row>
    <row r="68" spans="1:11" ht="20.25" thickTop="1" thickBot="1" x14ac:dyDescent="0.35">
      <c r="A68" s="430">
        <f>BID!A423</f>
        <v>383</v>
      </c>
      <c r="B68" s="15" t="str">
        <f>BID!B423</f>
        <v>CLOMIPHENE CITRATE TAB</v>
      </c>
      <c r="C68" s="15">
        <f>BID!C423</f>
        <v>10</v>
      </c>
      <c r="D68" s="15">
        <f>IF(K68&gt;0,(K68/100)*BID!D423,1*BID!D423)</f>
        <v>20</v>
      </c>
      <c r="E68" s="60">
        <f>IF(K68&gt;0,PR!S421,IF(BID!K423="EUMATT",BID!L423,0))</f>
        <v>600</v>
      </c>
      <c r="F68" s="61">
        <f t="shared" si="1"/>
        <v>12000</v>
      </c>
      <c r="K68" s="445"/>
    </row>
    <row r="69" spans="1:11" ht="20.25" thickTop="1" thickBot="1" x14ac:dyDescent="0.35">
      <c r="A69" s="430">
        <f>BID!A170</f>
        <v>147</v>
      </c>
      <c r="B69" s="15" t="str">
        <f>BID!B170</f>
        <v>COCODAMOL TAB</v>
      </c>
      <c r="C69" s="15">
        <f>BID!C170</f>
        <v>100</v>
      </c>
      <c r="D69" s="15">
        <f>IF(K69&gt;0,(K69/100)*BID!D170,1*BID!D170)</f>
        <v>2000</v>
      </c>
      <c r="E69" s="60">
        <f>IF(K69&gt;0,PR!S168,IF(BID!K170="EUMATT",BID!L170,0))</f>
        <v>2500</v>
      </c>
      <c r="F69" s="61">
        <f t="shared" si="1"/>
        <v>5000000</v>
      </c>
      <c r="K69" s="445"/>
    </row>
    <row r="70" spans="1:11" ht="20.25" thickTop="1" thickBot="1" x14ac:dyDescent="0.35">
      <c r="A70" s="430">
        <f>BID!A650</f>
        <v>586</v>
      </c>
      <c r="B70" s="15" t="str">
        <f>BID!B650</f>
        <v>CONDOM CATHETER</v>
      </c>
      <c r="C70" s="15">
        <f>BID!C650</f>
        <v>50</v>
      </c>
      <c r="D70" s="15">
        <f>IF(K70&gt;0,(K70/100)*BID!D650,1*BID!D650)</f>
        <v>6</v>
      </c>
      <c r="E70" s="60">
        <f>IF(K70&gt;0,PR!S648,IF(BID!K650="EUMATT",BID!L650,0))</f>
        <v>10000</v>
      </c>
      <c r="F70" s="61">
        <f t="shared" ref="F70:F101" si="2">IF(E70&gt;0,(E70*D70),0)</f>
        <v>60000</v>
      </c>
      <c r="K70" s="445">
        <v>30</v>
      </c>
    </row>
    <row r="71" spans="1:11" ht="20.25" thickTop="1" thickBot="1" x14ac:dyDescent="0.35">
      <c r="A71" s="430">
        <v>589</v>
      </c>
      <c r="B71" s="15" t="s">
        <v>1432</v>
      </c>
      <c r="C71" s="15" t="s">
        <v>353</v>
      </c>
      <c r="D71" s="15">
        <v>2200</v>
      </c>
      <c r="E71" s="60">
        <v>990</v>
      </c>
      <c r="F71" s="61">
        <f t="shared" si="2"/>
        <v>2178000</v>
      </c>
      <c r="K71" s="445"/>
    </row>
    <row r="72" spans="1:11" ht="20.25" thickTop="1" thickBot="1" x14ac:dyDescent="0.35">
      <c r="A72" s="430">
        <f>BID!A331</f>
        <v>299</v>
      </c>
      <c r="B72" s="15" t="str">
        <f>BID!B331</f>
        <v>DABIGATRAN 75MG CAP</v>
      </c>
      <c r="C72" s="15">
        <f>BID!C331</f>
        <v>60</v>
      </c>
      <c r="D72" s="15">
        <f>IF(K72&gt;0,(K72/100)*BID!D331,1*BID!D331)</f>
        <v>20</v>
      </c>
      <c r="E72" s="60">
        <f>IF(K72&gt;0,PR!S329,IF(BID!K331="EUMATT",BID!L331,0))</f>
        <v>28000</v>
      </c>
      <c r="F72" s="61">
        <f t="shared" si="2"/>
        <v>560000</v>
      </c>
      <c r="K72" s="445"/>
    </row>
    <row r="73" spans="1:11" ht="20.25" thickTop="1" thickBot="1" x14ac:dyDescent="0.35">
      <c r="A73" s="430">
        <f>BID!A172</f>
        <v>149</v>
      </c>
      <c r="B73" s="15" t="str">
        <f>BID!B172</f>
        <v>DEXAMETHASONE 4MG INJ</v>
      </c>
      <c r="C73" s="15">
        <f>BID!C172</f>
        <v>100</v>
      </c>
      <c r="D73" s="15">
        <f>IF(K73&gt;0,(K73/100)*BID!D172,1*BID!D172)</f>
        <v>200</v>
      </c>
      <c r="E73" s="60">
        <f>IF(K73&gt;0,PR!S170,IF(BID!K172="EUMATT",BID!L172,0))</f>
        <v>950</v>
      </c>
      <c r="F73" s="61">
        <f t="shared" si="2"/>
        <v>190000</v>
      </c>
      <c r="K73" s="445"/>
    </row>
    <row r="74" spans="1:11" ht="20.25" thickTop="1" thickBot="1" x14ac:dyDescent="0.35">
      <c r="A74" s="430">
        <f>BID!A398</f>
        <v>362</v>
      </c>
      <c r="B74" s="15" t="str">
        <f>BID!B398</f>
        <v>DIAZEPAM 5MG TAB (X1000)</v>
      </c>
      <c r="C74" s="15">
        <f>BID!C398</f>
        <v>1000</v>
      </c>
      <c r="D74" s="15">
        <f>IF(K74&gt;0,(K74/100)*BID!D398,1*BID!D398)</f>
        <v>12</v>
      </c>
      <c r="E74" s="60">
        <f>IF(K74&gt;0,PR!S396,IF(BID!K398="EUMATT",BID!L398,0))</f>
        <v>3000</v>
      </c>
      <c r="F74" s="61">
        <f t="shared" si="2"/>
        <v>36000</v>
      </c>
      <c r="K74" s="445"/>
    </row>
    <row r="75" spans="1:11" ht="20.25" thickTop="1" thickBot="1" x14ac:dyDescent="0.35">
      <c r="A75" s="430">
        <f>BID!A175</f>
        <v>152</v>
      </c>
      <c r="B75" s="15" t="str">
        <f>BID!B175</f>
        <v>DICLOFENAC 75MG INJ</v>
      </c>
      <c r="C75" s="15">
        <f>BID!C175</f>
        <v>100</v>
      </c>
      <c r="D75" s="15">
        <f>IF(K75&gt;0,(K75/100)*BID!D175,1*BID!D175)</f>
        <v>120</v>
      </c>
      <c r="E75" s="60">
        <f>IF(K75&gt;0,PR!S173,IF(BID!K175="EUMATT",BID!L175,0))</f>
        <v>1200</v>
      </c>
      <c r="F75" s="61">
        <f t="shared" si="2"/>
        <v>144000</v>
      </c>
      <c r="K75" s="445"/>
    </row>
    <row r="76" spans="1:11" ht="20.25" thickTop="1" thickBot="1" x14ac:dyDescent="0.35">
      <c r="A76" s="430">
        <f>BID!A178</f>
        <v>155</v>
      </c>
      <c r="B76" s="15" t="str">
        <f>BID!B178</f>
        <v>DICLOFENAC/CHOLESTYRAMINE TAB</v>
      </c>
      <c r="C76" s="15">
        <f>BID!C178</f>
        <v>20</v>
      </c>
      <c r="D76" s="15">
        <f>IF(K76&gt;0,(K76/100)*BID!D178,1*BID!D178)</f>
        <v>2000</v>
      </c>
      <c r="E76" s="60">
        <f>IF(K76&gt;0,PR!S176,IF(BID!K178="EUMATT",BID!L178,0))</f>
        <v>2200</v>
      </c>
      <c r="F76" s="61">
        <f t="shared" si="2"/>
        <v>4400000</v>
      </c>
      <c r="K76" s="445"/>
    </row>
    <row r="77" spans="1:11" ht="20.25" thickTop="1" thickBot="1" x14ac:dyDescent="0.35">
      <c r="A77" s="430">
        <f>BID!A76</f>
        <v>58</v>
      </c>
      <c r="B77" s="15" t="str">
        <f>BID!B76</f>
        <v>DIGOXIN 0.25MG TAB</v>
      </c>
      <c r="C77" s="15">
        <f>BID!C76</f>
        <v>500</v>
      </c>
      <c r="D77" s="15">
        <f>IF(K77&gt;0,(K77/100)*BID!D76,1*BID!D76)</f>
        <v>8</v>
      </c>
      <c r="E77" s="60">
        <f>IF(K77&gt;0,PR!S74,IF(BID!K76="EUMATT",BID!L76,0))</f>
        <v>3800</v>
      </c>
      <c r="F77" s="61">
        <f t="shared" si="2"/>
        <v>30400</v>
      </c>
      <c r="K77" s="445"/>
    </row>
    <row r="78" spans="1:11" ht="20.25" thickTop="1" thickBot="1" x14ac:dyDescent="0.35">
      <c r="A78" s="430">
        <f>BID!A77</f>
        <v>59</v>
      </c>
      <c r="B78" s="15" t="str">
        <f>BID!B77</f>
        <v>DIGOXIN INJ</v>
      </c>
      <c r="C78" s="15">
        <f>BID!C77</f>
        <v>10</v>
      </c>
      <c r="D78" s="15">
        <f>IF(K78&gt;0,(K78/100)*BID!D77,1*BID!D77)</f>
        <v>10</v>
      </c>
      <c r="E78" s="60">
        <f>IF(K78&gt;0,PR!S75,IF(BID!K77="EUMATT",BID!L77,0))</f>
        <v>1800</v>
      </c>
      <c r="F78" s="61">
        <f t="shared" si="2"/>
        <v>18000</v>
      </c>
      <c r="K78" s="445"/>
    </row>
    <row r="79" spans="1:11" ht="20.25" thickTop="1" thickBot="1" x14ac:dyDescent="0.35">
      <c r="A79" s="430">
        <f>BID!A23</f>
        <v>11</v>
      </c>
      <c r="B79" s="15" t="str">
        <f>BID!B23</f>
        <v>DIHYDROARTEMISININ/PIPERAQUINE SYR</v>
      </c>
      <c r="C79" s="15" t="str">
        <f>BID!C23</f>
        <v>BOTT</v>
      </c>
      <c r="D79" s="15">
        <f>IF(K79&gt;0,(K79/100)*BID!D23,1*BID!D23)</f>
        <v>200</v>
      </c>
      <c r="E79" s="60">
        <f>IF(K79&gt;0,PR!S21,IF(BID!K23="EUMATT",BID!L23,0))</f>
        <v>320</v>
      </c>
      <c r="F79" s="61">
        <f t="shared" si="2"/>
        <v>64000</v>
      </c>
      <c r="K79" s="445"/>
    </row>
    <row r="80" spans="1:11" ht="20.25" thickTop="1" thickBot="1" x14ac:dyDescent="0.35">
      <c r="A80" s="430">
        <f>BID!A24</f>
        <v>12</v>
      </c>
      <c r="B80" s="15" t="str">
        <f>BID!B24</f>
        <v>DIHYDROARTEMISININ/PIPERAQUINE TAB</v>
      </c>
      <c r="C80" s="15">
        <f>BID!C24</f>
        <v>9</v>
      </c>
      <c r="D80" s="15">
        <f>IF(K80&gt;0,(K80/100)*BID!D24,1*BID!D24)</f>
        <v>500</v>
      </c>
      <c r="E80" s="60">
        <f>IF(K80&gt;0,PR!S22,IF(BID!K24="EUMATT",BID!L24,0))</f>
        <v>350</v>
      </c>
      <c r="F80" s="61">
        <f t="shared" si="2"/>
        <v>175000</v>
      </c>
      <c r="K80" s="445"/>
    </row>
    <row r="81" spans="1:11" ht="20.25" thickTop="1" thickBot="1" x14ac:dyDescent="0.35">
      <c r="A81" s="430">
        <f>BID!A182</f>
        <v>159</v>
      </c>
      <c r="B81" s="15" t="str">
        <f>BID!B182</f>
        <v>DIHYDROCODEINE TAB (DF118)</v>
      </c>
      <c r="C81" s="15">
        <f>BID!C182</f>
        <v>100</v>
      </c>
      <c r="D81" s="15">
        <f>IF(K81&gt;0,(K81/100)*BID!D182,1*BID!D182)</f>
        <v>32</v>
      </c>
      <c r="E81" s="60">
        <f>IF(K81&gt;0,PR!S180,IF(BID!K182="EUMATT",BID!L182,0))</f>
        <v>5000</v>
      </c>
      <c r="F81" s="61">
        <f t="shared" si="2"/>
        <v>160000</v>
      </c>
      <c r="K81" s="445"/>
    </row>
    <row r="82" spans="1:11" ht="20.25" thickTop="1" thickBot="1" x14ac:dyDescent="0.35">
      <c r="A82" s="430">
        <f>BID!A726</f>
        <v>659</v>
      </c>
      <c r="B82" s="15" t="str">
        <f>BID!B726</f>
        <v>DIPROSALIC OINTMENT</v>
      </c>
      <c r="C82" s="15" t="str">
        <f>BID!C726</f>
        <v>TUBE</v>
      </c>
      <c r="D82" s="15">
        <f>IF(K82&gt;0,(K82/100)*BID!D726,1*BID!D726)</f>
        <v>20</v>
      </c>
      <c r="E82" s="60">
        <f>IF(K82&gt;0,PR!S724,IF(BID!K726="EUMATT",BID!L726,0))</f>
        <v>2750</v>
      </c>
      <c r="F82" s="61">
        <f t="shared" si="2"/>
        <v>55000</v>
      </c>
      <c r="K82" s="445"/>
    </row>
    <row r="83" spans="1:11" ht="20.25" thickTop="1" thickBot="1" x14ac:dyDescent="0.35">
      <c r="A83" s="430">
        <f>BID!A657</f>
        <v>593</v>
      </c>
      <c r="B83" s="15" t="str">
        <f>BID!B657</f>
        <v>ELBOW LENGTH GLOVES</v>
      </c>
      <c r="C83" s="15">
        <f>BID!C657</f>
        <v>50</v>
      </c>
      <c r="D83" s="15">
        <f>IF(K83&gt;0,(K83/100)*BID!D657,1*BID!D657)</f>
        <v>20</v>
      </c>
      <c r="E83" s="60">
        <f>IF(K83&gt;0,PR!S655,IF(BID!K657="EUMATT",BID!L657,0))</f>
        <v>17500</v>
      </c>
      <c r="F83" s="61">
        <f t="shared" si="2"/>
        <v>350000</v>
      </c>
      <c r="K83" s="445"/>
    </row>
    <row r="84" spans="1:11" ht="20.25" thickTop="1" thickBot="1" x14ac:dyDescent="0.35">
      <c r="A84" s="430">
        <f>BID!A442</f>
        <v>399</v>
      </c>
      <c r="B84" s="15" t="str">
        <f>BID!B442</f>
        <v>EPHEDRINE INJ (STEROP)</v>
      </c>
      <c r="C84" s="15">
        <f>BID!C442</f>
        <v>100</v>
      </c>
      <c r="D84" s="15">
        <f>IF(K84&gt;0,(K84/100)*BID!D442,1*BID!D442)</f>
        <v>4</v>
      </c>
      <c r="E84" s="60">
        <f>IF(K84&gt;0,PR!S440,IF(BID!K442="EUMATT",BID!L442,0))</f>
        <v>80000</v>
      </c>
      <c r="F84" s="61">
        <f t="shared" si="2"/>
        <v>320000</v>
      </c>
      <c r="K84" s="445"/>
    </row>
    <row r="85" spans="1:11" ht="20.25" thickTop="1" thickBot="1" x14ac:dyDescent="0.35">
      <c r="A85" s="430">
        <f>BID!A274</f>
        <v>248</v>
      </c>
      <c r="B85" s="15" t="str">
        <f>BID!B274</f>
        <v>ERYTHROMYCIN 250MG TAB</v>
      </c>
      <c r="C85" s="15">
        <f>BID!C274</f>
        <v>100</v>
      </c>
      <c r="D85" s="15">
        <f>IF(K85&gt;0,(K85/100)*BID!D274,1*BID!D274)</f>
        <v>40</v>
      </c>
      <c r="E85" s="60">
        <f>IF(K85&gt;0,PR!S272,IF(BID!K274="EUMATT",BID!L274,0))</f>
        <v>1400</v>
      </c>
      <c r="F85" s="61">
        <f t="shared" si="2"/>
        <v>56000</v>
      </c>
      <c r="K85" s="445"/>
    </row>
    <row r="86" spans="1:11" ht="20.25" thickTop="1" thickBot="1" x14ac:dyDescent="0.35">
      <c r="A86" s="430">
        <f>BID!A78</f>
        <v>60</v>
      </c>
      <c r="B86" s="15" t="str">
        <f>BID!B78</f>
        <v>FENOFIBRATE 200MG TAB</v>
      </c>
      <c r="C86" s="15">
        <f>BID!C78</f>
        <v>30</v>
      </c>
      <c r="D86" s="15">
        <f>IF(K86&gt;0,(K86/100)*BID!D78,1*BID!D78)</f>
        <v>20</v>
      </c>
      <c r="E86" s="60">
        <f>IF(K86&gt;0,PR!S76,IF(BID!K78="EUMATT",BID!L78,0))</f>
        <v>1700</v>
      </c>
      <c r="F86" s="61">
        <f t="shared" si="2"/>
        <v>34000</v>
      </c>
      <c r="K86" s="445"/>
    </row>
    <row r="87" spans="1:11" ht="20.25" thickTop="1" thickBot="1" x14ac:dyDescent="0.35">
      <c r="A87" s="430">
        <f>BID!A277</f>
        <v>251</v>
      </c>
      <c r="B87" s="15" t="str">
        <f>BID!B277</f>
        <v>FLUCONAZOLE 150MG CAP</v>
      </c>
      <c r="C87" s="15">
        <f>BID!C277</f>
        <v>10</v>
      </c>
      <c r="D87" s="15">
        <f>IF(K87&gt;0,(K87/100)*BID!D277,1*BID!D277)</f>
        <v>100</v>
      </c>
      <c r="E87" s="60">
        <f>IF(K87&gt;0,PR!S275,IF(BID!K277="EUMATT",BID!L277,0))</f>
        <v>270</v>
      </c>
      <c r="F87" s="61">
        <f t="shared" si="2"/>
        <v>27000</v>
      </c>
      <c r="K87" s="445">
        <v>50</v>
      </c>
    </row>
    <row r="88" spans="1:11" ht="20.25" thickTop="1" thickBot="1" x14ac:dyDescent="0.35">
      <c r="A88" s="430">
        <f>BID!A278</f>
        <v>252</v>
      </c>
      <c r="B88" s="15" t="str">
        <f>BID!B278</f>
        <v>FLUCONAZOLE 200MG CAP</v>
      </c>
      <c r="C88" s="15">
        <f>BID!C278</f>
        <v>10</v>
      </c>
      <c r="D88" s="15">
        <f>IF(K88&gt;0,(K88/100)*BID!D278,1*BID!D278)</f>
        <v>200</v>
      </c>
      <c r="E88" s="60">
        <f>IF(K88&gt;0,PR!S276,IF(BID!K278="EUMATT",BID!L278,0))</f>
        <v>240</v>
      </c>
      <c r="F88" s="61">
        <f t="shared" si="2"/>
        <v>48000</v>
      </c>
      <c r="K88" s="445"/>
    </row>
    <row r="89" spans="1:11" ht="20.25" thickTop="1" thickBot="1" x14ac:dyDescent="0.35">
      <c r="A89" s="430">
        <f>BID!A400</f>
        <v>364</v>
      </c>
      <c r="B89" s="15" t="str">
        <f>BID!B400</f>
        <v>FLUPENTHIXOL DECANOATE 20MG</v>
      </c>
      <c r="C89" s="15" t="str">
        <f>BID!C400</f>
        <v>AMP</v>
      </c>
      <c r="D89" s="15">
        <f>IF(K89&gt;0,(K89/100)*BID!D400,1*BID!D400)</f>
        <v>200</v>
      </c>
      <c r="E89" s="60">
        <f>IF(K89&gt;0,PR!S398,IF(BID!K400="EUMATT",BID!L400,0))</f>
        <v>1350</v>
      </c>
      <c r="F89" s="61">
        <f t="shared" si="2"/>
        <v>270000</v>
      </c>
      <c r="K89" s="445"/>
    </row>
    <row r="90" spans="1:11" ht="20.25" thickTop="1" thickBot="1" x14ac:dyDescent="0.35">
      <c r="A90" s="430">
        <f>BID!A401</f>
        <v>365</v>
      </c>
      <c r="B90" s="15" t="str">
        <f>BID!B401</f>
        <v>FLUPENTHIXOL DECANOATE 40MG</v>
      </c>
      <c r="C90" s="15" t="str">
        <f>BID!C401</f>
        <v>AMP</v>
      </c>
      <c r="D90" s="15">
        <f>IF(K90&gt;0,(K90/100)*BID!D401,1*BID!D401)</f>
        <v>100</v>
      </c>
      <c r="E90" s="60">
        <f>IF(K90&gt;0,PR!S399,IF(BID!K401="EUMATT",BID!L401,0))</f>
        <v>2200</v>
      </c>
      <c r="F90" s="61">
        <f t="shared" si="2"/>
        <v>220000</v>
      </c>
      <c r="K90" s="445"/>
    </row>
    <row r="91" spans="1:11" ht="20.25" thickTop="1" thickBot="1" x14ac:dyDescent="0.35">
      <c r="A91" s="430">
        <f>BID!A339</f>
        <v>307</v>
      </c>
      <c r="B91" s="15" t="str">
        <f>BID!B339</f>
        <v>FOLIC ACID SYR</v>
      </c>
      <c r="C91" s="15" t="str">
        <f>BID!C339</f>
        <v>BOTT</v>
      </c>
      <c r="D91" s="15">
        <f>IF(K91&gt;0,(K91/100)*BID!D339,1*BID!D339)</f>
        <v>100</v>
      </c>
      <c r="E91" s="60">
        <f>IF(K91&gt;0,PR!S337,IF(BID!K339="EUMATT",BID!L339,0))</f>
        <v>320</v>
      </c>
      <c r="F91" s="61">
        <f t="shared" si="2"/>
        <v>32000</v>
      </c>
      <c r="K91" s="445"/>
    </row>
    <row r="92" spans="1:11" ht="20.25" thickTop="1" thickBot="1" x14ac:dyDescent="0.35">
      <c r="A92" s="430">
        <f>BID!A661</f>
        <v>597</v>
      </c>
      <c r="B92" s="15" t="str">
        <f>BID!B661</f>
        <v>FOLLEY CATHETER SIZE 16"</v>
      </c>
      <c r="C92" s="15">
        <f>BID!C661</f>
        <v>10</v>
      </c>
      <c r="D92" s="15">
        <f>IF(K92&gt;0,(K92/100)*BID!D661,1*BID!D661)</f>
        <v>300</v>
      </c>
      <c r="E92" s="60">
        <f>IF(K92&gt;0,PR!S659,IF(BID!K661="EUMATT",BID!L661,0))</f>
        <v>1600</v>
      </c>
      <c r="F92" s="61">
        <f t="shared" si="2"/>
        <v>480000</v>
      </c>
      <c r="K92" s="445"/>
    </row>
    <row r="93" spans="1:11" ht="20.25" thickTop="1" thickBot="1" x14ac:dyDescent="0.35">
      <c r="A93" s="430">
        <f>BID!A662</f>
        <v>598</v>
      </c>
      <c r="B93" s="15" t="str">
        <f>BID!B662</f>
        <v>FOLLEY CATHETER SIZE 18"</v>
      </c>
      <c r="C93" s="15">
        <f>BID!C662</f>
        <v>10</v>
      </c>
      <c r="D93" s="15">
        <f>IF(K93&gt;0,(K93/100)*BID!D662,1*BID!D662)</f>
        <v>200</v>
      </c>
      <c r="E93" s="60">
        <f>IF(K93&gt;0,PR!S660,IF(BID!K662="EUMATT",BID!L662,0))</f>
        <v>1600</v>
      </c>
      <c r="F93" s="61">
        <f t="shared" si="2"/>
        <v>320000</v>
      </c>
      <c r="K93" s="445"/>
    </row>
    <row r="94" spans="1:11" ht="20.25" thickTop="1" thickBot="1" x14ac:dyDescent="0.35">
      <c r="A94" s="430">
        <f>BID!A79</f>
        <v>61</v>
      </c>
      <c r="B94" s="15" t="str">
        <f>BID!B79</f>
        <v>FRUSEMIDE 20MG INJ</v>
      </c>
      <c r="C94" s="15">
        <f>BID!C79</f>
        <v>100</v>
      </c>
      <c r="D94" s="15">
        <f>IF(K94&gt;0,(K94/100)*BID!D79,1*BID!D79)</f>
        <v>500</v>
      </c>
      <c r="E94" s="60">
        <f>IF(K94&gt;0,PR!S77,IF(BID!K79="EUMATT",BID!L79,0))</f>
        <v>2500</v>
      </c>
      <c r="F94" s="61">
        <f t="shared" si="2"/>
        <v>1250000</v>
      </c>
      <c r="K94" s="445"/>
    </row>
    <row r="95" spans="1:11" ht="20.25" thickTop="1" thickBot="1" x14ac:dyDescent="0.35">
      <c r="A95" s="430">
        <f>BID!A694</f>
        <v>630</v>
      </c>
      <c r="B95" s="15" t="str">
        <f>BID!B694</f>
        <v>GAUZE ROLL 500G  (90CM X 100 YARD) CUTISOFT BSN</v>
      </c>
      <c r="C95" s="15" t="str">
        <f>BID!C694</f>
        <v>PCS</v>
      </c>
      <c r="D95" s="15">
        <f>IF(K95&gt;0,(K95/100)*BID!D694,1*BID!D694)</f>
        <v>3000</v>
      </c>
      <c r="E95" s="60">
        <f>IF(K95&gt;0,PR!S692,IF(BID!K694="EUMATT",BID!L694,0))</f>
        <v>3100</v>
      </c>
      <c r="F95" s="61">
        <f t="shared" si="2"/>
        <v>9300000</v>
      </c>
      <c r="K95" s="445"/>
    </row>
    <row r="96" spans="1:11" ht="20.25" thickTop="1" thickBot="1" x14ac:dyDescent="0.35">
      <c r="A96" s="430">
        <f>BID!A403</f>
        <v>367</v>
      </c>
      <c r="B96" s="15" t="str">
        <f>BID!B403</f>
        <v>HALOPERIDOL 5MG TAB</v>
      </c>
      <c r="C96" s="15">
        <f>BID!C403</f>
        <v>1000</v>
      </c>
      <c r="D96" s="15">
        <f>IF(K96&gt;0,(K96/100)*BID!D403,1*BID!D403)</f>
        <v>2</v>
      </c>
      <c r="E96" s="60">
        <f>IF(K96&gt;0,PR!S401,IF(BID!K403="EUMATT",BID!L403,0))</f>
        <v>2900</v>
      </c>
      <c r="F96" s="61">
        <f t="shared" si="2"/>
        <v>5800</v>
      </c>
      <c r="K96" s="445"/>
    </row>
    <row r="97" spans="1:11" ht="20.25" thickTop="1" thickBot="1" x14ac:dyDescent="0.35">
      <c r="A97" s="430">
        <f>BID!A764</f>
        <v>692</v>
      </c>
      <c r="B97" s="15" t="str">
        <f>BID!B764</f>
        <v>HEXETIDINE MOUTH WASH</v>
      </c>
      <c r="C97" s="15" t="str">
        <f>BID!C764</f>
        <v>BOTT</v>
      </c>
      <c r="D97" s="15">
        <f>IF(K97&gt;0,(K97/100)*BID!D764,1*BID!D764)</f>
        <v>520</v>
      </c>
      <c r="E97" s="60">
        <f>IF(K97&gt;0,PR!S762,IF(BID!K764="EUMATT",BID!L764,0))</f>
        <v>500</v>
      </c>
      <c r="F97" s="61">
        <f t="shared" si="2"/>
        <v>260000</v>
      </c>
      <c r="K97" s="445"/>
    </row>
    <row r="98" spans="1:11" ht="20.25" thickTop="1" thickBot="1" x14ac:dyDescent="0.35">
      <c r="A98" s="430">
        <f>BID!A82</f>
        <v>64</v>
      </c>
      <c r="B98" s="15" t="str">
        <f>BID!B82</f>
        <v>HYDRALLAZINE INJ</v>
      </c>
      <c r="C98" s="15">
        <f>BID!C82</f>
        <v>100</v>
      </c>
      <c r="D98" s="15">
        <f>IF(K98&gt;0,(K98/100)*BID!D82,1*BID!D82)</f>
        <v>8</v>
      </c>
      <c r="E98" s="60">
        <f>IF(K98&gt;0,PR!S80,IF(BID!K82="EUMATT",BID!L82,0))</f>
        <v>9000</v>
      </c>
      <c r="F98" s="61">
        <f t="shared" si="2"/>
        <v>72000</v>
      </c>
      <c r="K98" s="445"/>
    </row>
    <row r="99" spans="1:11" ht="20.25" thickTop="1" thickBot="1" x14ac:dyDescent="0.35">
      <c r="A99" s="430">
        <f>BID!A668</f>
        <v>604</v>
      </c>
      <c r="B99" s="15" t="str">
        <f>BID!B668</f>
        <v xml:space="preserve">INFUSION GIVING SET </v>
      </c>
      <c r="C99" s="15">
        <f>BID!C668</f>
        <v>500</v>
      </c>
      <c r="D99" s="15">
        <f>IF(K99&gt;0,(K99/100)*BID!D668,1*BID!D668)</f>
        <v>20</v>
      </c>
      <c r="E99" s="60">
        <f>IF(K99&gt;0,PR!S666,IF(BID!K668="EUMATT",BID!L668,0))</f>
        <v>19000</v>
      </c>
      <c r="F99" s="61">
        <f t="shared" si="2"/>
        <v>380000</v>
      </c>
      <c r="K99" s="445"/>
    </row>
    <row r="100" spans="1:11" ht="20.25" thickTop="1" thickBot="1" x14ac:dyDescent="0.35">
      <c r="A100" s="430">
        <f>BID!A669</f>
        <v>605</v>
      </c>
      <c r="B100" s="15" t="str">
        <f>BID!B669</f>
        <v>INSULIN SYRINGE 100IU/ML</v>
      </c>
      <c r="C100" s="15">
        <f>BID!C669</f>
        <v>100</v>
      </c>
      <c r="D100" s="15">
        <f>IF(K100&gt;0,(K100/100)*BID!D669,1*BID!D669)</f>
        <v>32</v>
      </c>
      <c r="E100" s="60">
        <f>IF(K100&gt;0,PR!S667,IF(BID!K669="EUMATT",BID!L669,0))</f>
        <v>2200</v>
      </c>
      <c r="F100" s="61">
        <f t="shared" si="2"/>
        <v>70400</v>
      </c>
      <c r="K100" s="445"/>
    </row>
    <row r="101" spans="1:11" ht="20.25" thickTop="1" thickBot="1" x14ac:dyDescent="0.35">
      <c r="A101" s="430">
        <f>BID!A91</f>
        <v>73</v>
      </c>
      <c r="B101" s="15" t="str">
        <f>BID!B91</f>
        <v>LABETALOL INJ</v>
      </c>
      <c r="C101" s="15" t="str">
        <f>BID!C91</f>
        <v>AMP</v>
      </c>
      <c r="D101" s="15">
        <f>IF(K101&gt;0,(K101/100)*BID!D91,1*BID!D91)</f>
        <v>400</v>
      </c>
      <c r="E101" s="60">
        <f>IF(K101&gt;0,PR!S89,IF(BID!K91="EUMATT",BID!L91,0))</f>
        <v>750</v>
      </c>
      <c r="F101" s="61">
        <f t="shared" si="2"/>
        <v>300000</v>
      </c>
      <c r="K101" s="445"/>
    </row>
    <row r="102" spans="1:11" ht="20.25" thickTop="1" thickBot="1" x14ac:dyDescent="0.35">
      <c r="A102" s="430">
        <f>BID!A92</f>
        <v>74</v>
      </c>
      <c r="B102" s="15" t="str">
        <f>BID!B92</f>
        <v>LABETALOL TAB</v>
      </c>
      <c r="C102" s="15">
        <f>BID!C92</f>
        <v>30</v>
      </c>
      <c r="D102" s="15">
        <f>IF(K102&gt;0,(K102/100)*BID!D92,1*BID!D92)</f>
        <v>80</v>
      </c>
      <c r="E102" s="60">
        <f>IF(K102&gt;0,PR!S90,IF(BID!K92="EUMATT",BID!L92,0))</f>
        <v>3100</v>
      </c>
      <c r="F102" s="61">
        <f t="shared" ref="F102:F133" si="3">IF(E102&gt;0,(E102*D102),0)</f>
        <v>248000</v>
      </c>
      <c r="K102" s="445"/>
    </row>
    <row r="103" spans="1:11" ht="20.25" thickTop="1" thickBot="1" x14ac:dyDescent="0.35">
      <c r="A103" s="430">
        <f>BID!A670</f>
        <v>606</v>
      </c>
      <c r="B103" s="15" t="str">
        <f>BID!B670</f>
        <v>LATEX GLOVES (SUPER CARE)</v>
      </c>
      <c r="C103" s="15" t="str">
        <f>BID!C670</f>
        <v>CARTON</v>
      </c>
      <c r="D103" s="15">
        <f>IF(K103&gt;0,(K103/100)*BID!D670,1*BID!D670)</f>
        <v>1680</v>
      </c>
      <c r="E103" s="60">
        <f>IF(K103&gt;0,PR!S668,IF(BID!K670="EUMATT",BID!L670,0))</f>
        <v>8900</v>
      </c>
      <c r="F103" s="61">
        <f t="shared" si="3"/>
        <v>14952000</v>
      </c>
      <c r="K103" s="445">
        <v>70</v>
      </c>
    </row>
    <row r="104" spans="1:11" ht="20.25" thickTop="1" thickBot="1" x14ac:dyDescent="0.35">
      <c r="A104" s="430">
        <f>BID!A287</f>
        <v>261</v>
      </c>
      <c r="B104" s="15" t="str">
        <f>BID!B287</f>
        <v>LEVOFLOXACIN 500MG TAB</v>
      </c>
      <c r="C104" s="15">
        <f>BID!C287</f>
        <v>10</v>
      </c>
      <c r="D104" s="15">
        <f>IF(K104&gt;0,(K104/100)*BID!D287,1*BID!D287)</f>
        <v>288</v>
      </c>
      <c r="E104" s="60">
        <f>IF(K104&gt;0,PR!S285,IF(BID!K287="EUMATT",BID!L287,0))</f>
        <v>250</v>
      </c>
      <c r="F104" s="61">
        <f t="shared" si="3"/>
        <v>72000</v>
      </c>
      <c r="K104" s="445">
        <v>80</v>
      </c>
    </row>
    <row r="105" spans="1:11" ht="20.25" thickTop="1" thickBot="1" x14ac:dyDescent="0.35">
      <c r="A105" s="430">
        <f>BID!A93</f>
        <v>75</v>
      </c>
      <c r="B105" s="15" t="str">
        <f>BID!B93</f>
        <v>LISINOPRIL 10MG</v>
      </c>
      <c r="C105" s="15">
        <f>BID!C93</f>
        <v>28</v>
      </c>
      <c r="D105" s="15">
        <f>IF(K105&gt;0,(K105/100)*BID!D93,1*BID!D93)</f>
        <v>600</v>
      </c>
      <c r="E105" s="60">
        <f>IF(K105&gt;0,PR!S91,IF(BID!K93="EUMATT",BID!L93,0))</f>
        <v>300</v>
      </c>
      <c r="F105" s="61">
        <f t="shared" si="3"/>
        <v>180000</v>
      </c>
      <c r="K105" s="445">
        <v>20</v>
      </c>
    </row>
    <row r="106" spans="1:11" ht="20.25" thickTop="1" thickBot="1" x14ac:dyDescent="0.35">
      <c r="A106" s="430">
        <f>BID!A94</f>
        <v>76</v>
      </c>
      <c r="B106" s="15" t="str">
        <f>BID!B94</f>
        <v>LISINOPRIL 5MG</v>
      </c>
      <c r="C106" s="15">
        <f>BID!C94</f>
        <v>28</v>
      </c>
      <c r="D106" s="15">
        <f>IF(K106&gt;0,(K106/100)*BID!D94,1*BID!D94)</f>
        <v>1500</v>
      </c>
      <c r="E106" s="60">
        <f>IF(K106&gt;0,PR!S92,IF(BID!K94="EUMATT",BID!L94,0))</f>
        <v>230</v>
      </c>
      <c r="F106" s="61">
        <f t="shared" si="3"/>
        <v>345000</v>
      </c>
      <c r="K106" s="445">
        <v>50</v>
      </c>
    </row>
    <row r="107" spans="1:11" ht="20.25" thickTop="1" thickBot="1" x14ac:dyDescent="0.35">
      <c r="A107" s="430">
        <f>BID!A482</f>
        <v>434</v>
      </c>
      <c r="B107" s="15" t="str">
        <f>BID!B482</f>
        <v>LOPERAMIDE CAP</v>
      </c>
      <c r="C107" s="15">
        <f>BID!C482</f>
        <v>10</v>
      </c>
      <c r="D107" s="15">
        <f>IF(K107&gt;0,(K107/100)*BID!D482,1*BID!D482)</f>
        <v>200</v>
      </c>
      <c r="E107" s="60">
        <f>IF(K107&gt;0,PR!S480,IF(BID!K482="EUMATT",BID!L482,0))</f>
        <v>40</v>
      </c>
      <c r="F107" s="61">
        <f t="shared" si="3"/>
        <v>8000</v>
      </c>
      <c r="K107" s="445"/>
    </row>
    <row r="108" spans="1:11" ht="20.25" thickTop="1" thickBot="1" x14ac:dyDescent="0.35">
      <c r="A108" s="430">
        <f>BID!A95</f>
        <v>77</v>
      </c>
      <c r="B108" s="15" t="str">
        <f>BID!B95</f>
        <v>LOSARTAN 25MG</v>
      </c>
      <c r="C108" s="15">
        <f>BID!C95</f>
        <v>30</v>
      </c>
      <c r="D108" s="15">
        <f>IF(K108&gt;0,(K108/100)*BID!D95,1*BID!D95)</f>
        <v>2000</v>
      </c>
      <c r="E108" s="60">
        <f>IF(K108&gt;0,PR!S93,IF(BID!K95="EUMATT",BID!L95,0))</f>
        <v>480</v>
      </c>
      <c r="F108" s="61">
        <f t="shared" si="3"/>
        <v>960000</v>
      </c>
      <c r="K108" s="445"/>
    </row>
    <row r="109" spans="1:11" ht="20.25" thickTop="1" thickBot="1" x14ac:dyDescent="0.35">
      <c r="A109" s="430">
        <f>BID!A96</f>
        <v>78</v>
      </c>
      <c r="B109" s="15" t="str">
        <f>BID!B96</f>
        <v>LOSARTAN 50MG</v>
      </c>
      <c r="C109" s="15">
        <f>BID!C96</f>
        <v>30</v>
      </c>
      <c r="D109" s="15">
        <f>IF(K109&gt;0,(K109/100)*BID!D96,1*BID!D96)</f>
        <v>720</v>
      </c>
      <c r="E109" s="60">
        <f>IF(K109&gt;0,PR!S94,IF(BID!K96="EUMATT",BID!L96,0))</f>
        <v>600</v>
      </c>
      <c r="F109" s="61">
        <f t="shared" si="3"/>
        <v>432000</v>
      </c>
      <c r="K109" s="445">
        <v>30</v>
      </c>
    </row>
    <row r="110" spans="1:11" ht="20.25" thickTop="1" thickBot="1" x14ac:dyDescent="0.35">
      <c r="A110" s="430">
        <f>BID!A192</f>
        <v>169</v>
      </c>
      <c r="B110" s="15" t="str">
        <f>BID!B192</f>
        <v xml:space="preserve">METHYL PREDNISOLONE INJ </v>
      </c>
      <c r="C110" s="15" t="str">
        <f>BID!C192</f>
        <v>VIAL</v>
      </c>
      <c r="D110" s="15">
        <f>IF(K110&gt;0,(K110/100)*BID!D192,1*BID!D192)</f>
        <v>300</v>
      </c>
      <c r="E110" s="60">
        <f>IF(K110&gt;0,PR!S190,IF(BID!K192="EUMATT",BID!L192,0))</f>
        <v>750</v>
      </c>
      <c r="F110" s="61">
        <f t="shared" si="3"/>
        <v>225000</v>
      </c>
      <c r="K110" s="445"/>
    </row>
    <row r="111" spans="1:11" ht="20.25" thickTop="1" thickBot="1" x14ac:dyDescent="0.35">
      <c r="A111" s="430">
        <f>BID!A484</f>
        <v>436</v>
      </c>
      <c r="B111" s="15" t="str">
        <f>BID!B484</f>
        <v>METOCLOPRAMIDE 10MG INJ</v>
      </c>
      <c r="C111" s="15">
        <f>BID!C484</f>
        <v>100</v>
      </c>
      <c r="D111" s="15">
        <f>IF(K111&gt;0,(K111/100)*BID!D484,1*BID!D484)</f>
        <v>60</v>
      </c>
      <c r="E111" s="60">
        <f>IF(K111&gt;0,PR!S482,IF(BID!K484="EUMATT",BID!L484,0))</f>
        <v>1500</v>
      </c>
      <c r="F111" s="61">
        <f t="shared" si="3"/>
        <v>90000</v>
      </c>
      <c r="K111" s="445"/>
    </row>
    <row r="112" spans="1:11" ht="20.25" thickTop="1" thickBot="1" x14ac:dyDescent="0.35">
      <c r="A112" s="430">
        <f>BID!A99</f>
        <v>81</v>
      </c>
      <c r="B112" s="15" t="str">
        <f>BID!B99</f>
        <v>METOLAZONE 2.5MG TAB</v>
      </c>
      <c r="C112" s="15">
        <f>BID!C99</f>
        <v>100</v>
      </c>
      <c r="D112" s="15">
        <f>IF(K112&gt;0,(K112/100)*BID!D99,1*BID!D99)</f>
        <v>10</v>
      </c>
      <c r="E112" s="60">
        <f>IF(K112&gt;0,PR!S97,IF(BID!K99="EUMATT",BID!L99,0))</f>
        <v>12000</v>
      </c>
      <c r="F112" s="61">
        <f t="shared" si="3"/>
        <v>120000</v>
      </c>
      <c r="K112" s="445"/>
    </row>
    <row r="113" spans="1:11" ht="20.25" thickTop="1" thickBot="1" x14ac:dyDescent="0.35">
      <c r="A113" s="430">
        <f>BID!A100</f>
        <v>82</v>
      </c>
      <c r="B113" s="15" t="str">
        <f>BID!B100</f>
        <v>METOLAZONE 5MG TAB</v>
      </c>
      <c r="C113" s="15">
        <f>BID!C100</f>
        <v>100</v>
      </c>
      <c r="D113" s="15">
        <f>IF(K113&gt;0,(K113/100)*BID!D100,1*BID!D100)</f>
        <v>10</v>
      </c>
      <c r="E113" s="60">
        <f>IF(K113&gt;0,PR!S98,IF(BID!K100="EUMATT",BID!L100,0))</f>
        <v>15000</v>
      </c>
      <c r="F113" s="61">
        <f t="shared" si="3"/>
        <v>150000</v>
      </c>
      <c r="K113" s="445"/>
    </row>
    <row r="114" spans="1:11" ht="20.25" thickTop="1" thickBot="1" x14ac:dyDescent="0.35">
      <c r="A114" s="430">
        <f>BID!A293</f>
        <v>267</v>
      </c>
      <c r="B114" s="15" t="str">
        <f>BID!B293</f>
        <v>METRONIDAZOLE SUSP</v>
      </c>
      <c r="C114" s="15" t="str">
        <f>BID!C293</f>
        <v>BOTT</v>
      </c>
      <c r="D114" s="15">
        <f>IF(K114&gt;0,(K114/100)*BID!D293,1*BID!D293)</f>
        <v>300</v>
      </c>
      <c r="E114" s="60">
        <f>IF(K114&gt;0,PR!S291,IF(BID!K293="EUMATT",BID!L293,0))</f>
        <v>100</v>
      </c>
      <c r="F114" s="61">
        <f t="shared" si="3"/>
        <v>30000</v>
      </c>
      <c r="K114" s="445"/>
    </row>
    <row r="115" spans="1:11" ht="20.25" thickTop="1" thickBot="1" x14ac:dyDescent="0.35">
      <c r="A115" s="430">
        <f>BID!A450</f>
        <v>407</v>
      </c>
      <c r="B115" s="15" t="str">
        <f>BID!B450</f>
        <v>MIDAZOLAM INJ</v>
      </c>
      <c r="C115" s="15">
        <f>BID!C450</f>
        <v>10</v>
      </c>
      <c r="D115" s="15">
        <f>IF(K115&gt;0,(K115/100)*BID!D450,1*BID!D450)</f>
        <v>25</v>
      </c>
      <c r="E115" s="60">
        <f>IF(K115&gt;0,PR!S448,IF(BID!K450="EUMATT",BID!L450,0))</f>
        <v>16900</v>
      </c>
      <c r="F115" s="61">
        <f t="shared" si="3"/>
        <v>422500</v>
      </c>
      <c r="K115" s="445">
        <v>50</v>
      </c>
    </row>
    <row r="116" spans="1:11" ht="20.25" thickTop="1" thickBot="1" x14ac:dyDescent="0.35">
      <c r="A116" s="430">
        <f>BID!A346</f>
        <v>314</v>
      </c>
      <c r="B116" s="15" t="str">
        <f>BID!B346</f>
        <v>MULTIVITE DROPS  (ABIDEC)</v>
      </c>
      <c r="C116" s="15" t="str">
        <f>BID!C346</f>
        <v>BOTT</v>
      </c>
      <c r="D116" s="15">
        <f>IF(K116&gt;0,(K116/100)*BID!D346,1*BID!D346)</f>
        <v>200</v>
      </c>
      <c r="E116" s="60">
        <f>IF(K116&gt;0,PR!S344,IF(BID!K346="EUMATT",BID!L346,0))</f>
        <v>990</v>
      </c>
      <c r="F116" s="61">
        <f t="shared" si="3"/>
        <v>198000</v>
      </c>
      <c r="K116" s="445"/>
    </row>
    <row r="117" spans="1:11" ht="20.25" thickTop="1" thickBot="1" x14ac:dyDescent="0.35">
      <c r="A117" s="430">
        <f>BID!A348</f>
        <v>316</v>
      </c>
      <c r="B117" s="15" t="str">
        <f>BID!B348</f>
        <v>MULTIVITE TAB</v>
      </c>
      <c r="C117" s="15">
        <f>BID!C348</f>
        <v>1000</v>
      </c>
      <c r="D117" s="15">
        <f>IF(K117&gt;0,(K117/100)*BID!D348,1*BID!D348)</f>
        <v>100</v>
      </c>
      <c r="E117" s="60">
        <f>IF(K117&gt;0,PR!S346,IF(BID!K348="EUMATT",BID!L348,0))</f>
        <v>700</v>
      </c>
      <c r="F117" s="61">
        <f t="shared" si="3"/>
        <v>70000</v>
      </c>
      <c r="K117" s="445"/>
    </row>
    <row r="118" spans="1:11" ht="20.25" thickTop="1" thickBot="1" x14ac:dyDescent="0.35">
      <c r="A118" s="430">
        <f>BID!A678</f>
        <v>614</v>
      </c>
      <c r="B118" s="15" t="str">
        <f>BID!B678</f>
        <v>NASOGASTRIC TUBE 20"</v>
      </c>
      <c r="C118" s="15">
        <f>BID!C678</f>
        <v>10</v>
      </c>
      <c r="D118" s="15">
        <f>IF(K118&gt;0,(K118/100)*BID!D678,1*BID!D678)</f>
        <v>4</v>
      </c>
      <c r="E118" s="60">
        <f>IF(K118&gt;0,PR!S676,IF(BID!K678="EUMATT",BID!L678,0))</f>
        <v>600</v>
      </c>
      <c r="F118" s="61">
        <f t="shared" si="3"/>
        <v>2400</v>
      </c>
      <c r="K118" s="445"/>
    </row>
    <row r="119" spans="1:11" ht="20.25" thickTop="1" thickBot="1" x14ac:dyDescent="0.35">
      <c r="A119" s="430">
        <f>BID!A486</f>
        <v>438</v>
      </c>
      <c r="B119" s="15" t="str">
        <f>BID!B486</f>
        <v>N-BUTYL HYOSCINE HYDROBROMIDE 10MG/ML INJ</v>
      </c>
      <c r="C119" s="15">
        <f>BID!C486</f>
        <v>100</v>
      </c>
      <c r="D119" s="15">
        <f>IF(K119&gt;0,(K119/100)*BID!D486,1*BID!D486)</f>
        <v>9</v>
      </c>
      <c r="E119" s="60">
        <f>IF(K119&gt;0,PR!S484,IF(BID!K486="EUMATT",BID!L486,0))</f>
        <v>4500</v>
      </c>
      <c r="F119" s="61">
        <f t="shared" si="3"/>
        <v>40500</v>
      </c>
      <c r="K119" s="445"/>
    </row>
    <row r="120" spans="1:11" ht="20.25" thickTop="1" thickBot="1" x14ac:dyDescent="0.35">
      <c r="A120" s="430">
        <f>BID!A487</f>
        <v>439</v>
      </c>
      <c r="B120" s="15" t="str">
        <f>BID!B487</f>
        <v>N-BUTYL HYOSCINE HYDROBROMIDE TAB</v>
      </c>
      <c r="C120" s="15">
        <f>BID!C487</f>
        <v>100</v>
      </c>
      <c r="D120" s="15">
        <f>IF(K120&gt;0,(K120/100)*BID!D487,1*BID!D487)</f>
        <v>100</v>
      </c>
      <c r="E120" s="60">
        <f>IF(K120&gt;0,PR!S485,IF(BID!K487="EUMATT",BID!L487,0))</f>
        <v>1200</v>
      </c>
      <c r="F120" s="61">
        <f t="shared" si="3"/>
        <v>120000</v>
      </c>
      <c r="K120" s="445"/>
    </row>
    <row r="121" spans="1:11" ht="20.25" thickTop="1" thickBot="1" x14ac:dyDescent="0.35">
      <c r="A121" s="430">
        <f>BID!A404</f>
        <v>368</v>
      </c>
      <c r="B121" s="15" t="str">
        <f>BID!B404</f>
        <v>NEFOPAM INJ</v>
      </c>
      <c r="C121" s="15">
        <f>BID!C404</f>
        <v>5</v>
      </c>
      <c r="D121" s="15">
        <f>IF(K121&gt;0,(K121/100)*BID!D404,1*BID!D404)</f>
        <v>100</v>
      </c>
      <c r="E121" s="60">
        <f>IF(K121&gt;0,PR!S402,IF(BID!K404="EUMATT",BID!L404,0))</f>
        <v>3000</v>
      </c>
      <c r="F121" s="61">
        <f t="shared" si="3"/>
        <v>300000</v>
      </c>
      <c r="K121" s="445"/>
    </row>
    <row r="122" spans="1:11" ht="20.25" thickTop="1" thickBot="1" x14ac:dyDescent="0.35">
      <c r="A122" s="430">
        <f>BID!A296</f>
        <v>270</v>
      </c>
      <c r="B122" s="15" t="str">
        <f>BID!B296</f>
        <v>NEOMYCIN 500MG TAB</v>
      </c>
      <c r="C122" s="15">
        <f>BID!C296</f>
        <v>100</v>
      </c>
      <c r="D122" s="15">
        <f>IF(K122&gt;0,(K122/100)*BID!D296,1*BID!D296)</f>
        <v>20</v>
      </c>
      <c r="E122" s="60">
        <f>IF(K122&gt;0,PR!S294,IF(BID!K296="EUMATT",BID!L296,0))</f>
        <v>3300</v>
      </c>
      <c r="F122" s="61">
        <f t="shared" si="3"/>
        <v>66000</v>
      </c>
      <c r="K122" s="445"/>
    </row>
    <row r="123" spans="1:11" ht="20.25" thickTop="1" thickBot="1" x14ac:dyDescent="0.35">
      <c r="A123" s="430">
        <f>BID!A451</f>
        <v>408</v>
      </c>
      <c r="B123" s="15" t="str">
        <f>BID!B451</f>
        <v>NEOSTIGMINE INJ</v>
      </c>
      <c r="C123" s="15">
        <f>BID!C451</f>
        <v>100</v>
      </c>
      <c r="D123" s="15">
        <f>IF(K123&gt;0,(K123/100)*BID!D451,1*BID!D451)</f>
        <v>6</v>
      </c>
      <c r="E123" s="60">
        <f>IF(K123&gt;0,PR!S449,IF(BID!K451="EUMATT",BID!L451,0))</f>
        <v>19500</v>
      </c>
      <c r="F123" s="61">
        <f t="shared" si="3"/>
        <v>117000</v>
      </c>
      <c r="K123" s="445">
        <v>50</v>
      </c>
    </row>
    <row r="124" spans="1:11" ht="20.25" thickTop="1" thickBot="1" x14ac:dyDescent="0.35">
      <c r="A124" s="430">
        <f>BID!A105</f>
        <v>87</v>
      </c>
      <c r="B124" s="15" t="str">
        <f>BID!B105</f>
        <v>NIFEDIPINE 20MG</v>
      </c>
      <c r="C124" s="15">
        <f>BID!C105</f>
        <v>100</v>
      </c>
      <c r="D124" s="15">
        <f>IF(K124&gt;0,(K124/100)*BID!D105,1*BID!D105)</f>
        <v>600</v>
      </c>
      <c r="E124" s="60">
        <f>IF(K124&gt;0,PR!S103,IF(BID!K105="EUMATT",BID!L105,0))</f>
        <v>150</v>
      </c>
      <c r="F124" s="61">
        <f t="shared" si="3"/>
        <v>90000</v>
      </c>
      <c r="K124" s="445"/>
    </row>
    <row r="125" spans="1:11" ht="20.25" thickTop="1" thickBot="1" x14ac:dyDescent="0.35">
      <c r="A125" s="430">
        <f>BID!A405</f>
        <v>369</v>
      </c>
      <c r="B125" s="15" t="str">
        <f>BID!B405</f>
        <v>NITRAZEPAM 5MG</v>
      </c>
      <c r="C125" s="15">
        <f>BID!C405</f>
        <v>500</v>
      </c>
      <c r="D125" s="15">
        <f>IF(K125&gt;0,(K125/100)*BID!D405,1*BID!D405)</f>
        <v>8</v>
      </c>
      <c r="E125" s="60">
        <f>IF(K125&gt;0,PR!S403,IF(BID!K405="EUMATT",BID!L405,0))</f>
        <v>9800</v>
      </c>
      <c r="F125" s="61">
        <f t="shared" si="3"/>
        <v>78400</v>
      </c>
      <c r="K125" s="445"/>
    </row>
    <row r="126" spans="1:11" ht="20.25" thickTop="1" thickBot="1" x14ac:dyDescent="0.35">
      <c r="A126" s="430">
        <f>BID!A297</f>
        <v>271</v>
      </c>
      <c r="B126" s="15" t="str">
        <f>BID!B297</f>
        <v>NITROFURANTOIN 100MG TAB</v>
      </c>
      <c r="C126" s="15">
        <f>BID!C297</f>
        <v>1000</v>
      </c>
      <c r="D126" s="15">
        <f>IF(K126&gt;0,(K126/100)*BID!D297,1*BID!D297)</f>
        <v>4</v>
      </c>
      <c r="E126" s="60">
        <f>IF(K126&gt;0,PR!S295,IF(BID!K297="EUMATT",BID!L297,0))</f>
        <v>3200</v>
      </c>
      <c r="F126" s="61">
        <f t="shared" si="3"/>
        <v>12800</v>
      </c>
      <c r="K126" s="445"/>
    </row>
    <row r="127" spans="1:11" ht="20.25" thickTop="1" thickBot="1" x14ac:dyDescent="0.35">
      <c r="A127" s="430">
        <f>BID!A779</f>
        <v>705</v>
      </c>
      <c r="B127" s="15" t="str">
        <f>BID!B779</f>
        <v>NYLON 2</v>
      </c>
      <c r="C127" s="15">
        <f>BID!C779</f>
        <v>12</v>
      </c>
      <c r="D127" s="15">
        <f>IF(K127&gt;0,(K127/100)*BID!D779,1*BID!D779)</f>
        <v>10</v>
      </c>
      <c r="E127" s="60">
        <f>IF(K127&gt;0,PR!S777,IF(BID!K779="EUMATT",BID!L779,0))</f>
        <v>700</v>
      </c>
      <c r="F127" s="61">
        <f t="shared" si="3"/>
        <v>7000</v>
      </c>
      <c r="K127" s="445"/>
    </row>
    <row r="128" spans="1:11" ht="20.25" thickTop="1" thickBot="1" x14ac:dyDescent="0.35">
      <c r="A128" s="430">
        <f>BID!A780</f>
        <v>706</v>
      </c>
      <c r="B128" s="15" t="str">
        <f>BID!B780</f>
        <v>NYLON 2/0  (40-45) LONG NEEDLE</v>
      </c>
      <c r="C128" s="15">
        <f>BID!C780</f>
        <v>12</v>
      </c>
      <c r="D128" s="15">
        <f>IF(K128&gt;0,(K128/100)*BID!D780,1*BID!D780)</f>
        <v>50</v>
      </c>
      <c r="E128" s="60">
        <f>IF(K128&gt;0,PR!S778,IF(BID!K780="EUMATT",BID!L780,0))</f>
        <v>700</v>
      </c>
      <c r="F128" s="61">
        <f t="shared" si="3"/>
        <v>35000</v>
      </c>
      <c r="K128" s="445">
        <v>50</v>
      </c>
    </row>
    <row r="129" spans="1:11" ht="20.25" thickTop="1" thickBot="1" x14ac:dyDescent="0.35">
      <c r="A129" s="430">
        <f>BID!A406</f>
        <v>370</v>
      </c>
      <c r="B129" s="15" t="str">
        <f>BID!B406</f>
        <v>OLANZEPINE 10MG</v>
      </c>
      <c r="C129" s="15">
        <f>BID!C406</f>
        <v>30</v>
      </c>
      <c r="D129" s="15">
        <f>IF(K129&gt;0,(K129/100)*BID!D406,1*BID!D406)</f>
        <v>208</v>
      </c>
      <c r="E129" s="60">
        <f>IF(K129&gt;0,PR!S404,IF(BID!K406="EUMATT",BID!L406,0))</f>
        <v>2000</v>
      </c>
      <c r="F129" s="61">
        <f t="shared" si="3"/>
        <v>416000</v>
      </c>
      <c r="K129" s="445"/>
    </row>
    <row r="130" spans="1:11" ht="20.25" thickTop="1" thickBot="1" x14ac:dyDescent="0.35">
      <c r="A130" s="430">
        <f>BID!A407</f>
        <v>371</v>
      </c>
      <c r="B130" s="15" t="str">
        <f>BID!B407</f>
        <v>OLANZEPINE 5MG</v>
      </c>
      <c r="C130" s="15">
        <f>BID!C407</f>
        <v>30</v>
      </c>
      <c r="D130" s="15">
        <f>IF(K130&gt;0,(K130/100)*BID!D407,1*BID!D407)</f>
        <v>140</v>
      </c>
      <c r="E130" s="60">
        <f>IF(K130&gt;0,PR!S405,IF(BID!K407="EUMATT",BID!L407,0))</f>
        <v>1600</v>
      </c>
      <c r="F130" s="61">
        <f t="shared" si="3"/>
        <v>224000</v>
      </c>
      <c r="K130" s="445"/>
    </row>
    <row r="131" spans="1:11" ht="20.25" thickTop="1" thickBot="1" x14ac:dyDescent="0.35">
      <c r="A131" s="430">
        <f>BID!A579</f>
        <v>522</v>
      </c>
      <c r="B131" s="15" t="str">
        <f>BID!B579</f>
        <v>OLOPATADINE GTT</v>
      </c>
      <c r="C131" s="15" t="str">
        <f>BID!C579</f>
        <v>BOTT</v>
      </c>
      <c r="D131" s="15">
        <f>IF(K131&gt;0,(K131/100)*BID!D579,1*BID!D579)</f>
        <v>20</v>
      </c>
      <c r="E131" s="60">
        <f>IF(K131&gt;0,PR!S577,IF(BID!K579="EUMATT",BID!L579,0))</f>
        <v>760</v>
      </c>
      <c r="F131" s="61">
        <f t="shared" si="3"/>
        <v>15200</v>
      </c>
      <c r="K131" s="445"/>
    </row>
    <row r="132" spans="1:11" ht="20.25" thickTop="1" thickBot="1" x14ac:dyDescent="0.35">
      <c r="A132" s="430">
        <f>BID!A351</f>
        <v>319</v>
      </c>
      <c r="B132" s="15" t="str">
        <f>BID!B351</f>
        <v>OMEGA3 FATTY ACIDS  (MARINA 1000)</v>
      </c>
      <c r="C132" s="15">
        <f>BID!C351</f>
        <v>30</v>
      </c>
      <c r="D132" s="15">
        <f>IF(K132&gt;0,(K132/100)*BID!D351,1*BID!D351)</f>
        <v>2000</v>
      </c>
      <c r="E132" s="60">
        <f>IF(K132&gt;0,PR!S349,IF(BID!K351="EUMATT",BID!L351,0))</f>
        <v>1050</v>
      </c>
      <c r="F132" s="61">
        <f t="shared" si="3"/>
        <v>2100000</v>
      </c>
      <c r="K132" s="445"/>
    </row>
    <row r="133" spans="1:11" ht="20.25" thickTop="1" thickBot="1" x14ac:dyDescent="0.35">
      <c r="A133" s="430">
        <f>BID!A490</f>
        <v>442</v>
      </c>
      <c r="B133" s="15" t="str">
        <f>BID!B490</f>
        <v>OMEPRAZOLE IV</v>
      </c>
      <c r="C133" s="15" t="str">
        <f>BID!C490</f>
        <v xml:space="preserve">VIAL </v>
      </c>
      <c r="D133" s="15">
        <f>IF(K133&gt;0,(K133/100)*BID!D490,1*BID!D490)</f>
        <v>8000</v>
      </c>
      <c r="E133" s="60">
        <f>IF(K133&gt;0,PR!S488,IF(BID!K490="EUMATT",BID!L490,0))</f>
        <v>250</v>
      </c>
      <c r="F133" s="61">
        <f t="shared" si="3"/>
        <v>2000000</v>
      </c>
      <c r="K133" s="445"/>
    </row>
    <row r="134" spans="1:11" ht="20.25" thickTop="1" thickBot="1" x14ac:dyDescent="0.35">
      <c r="A134" s="430">
        <f>BID!A492</f>
        <v>444</v>
      </c>
      <c r="B134" s="15" t="str">
        <f>BID!B492</f>
        <v>ONDASETRON INJ</v>
      </c>
      <c r="C134" s="15" t="str">
        <f>BID!C492</f>
        <v>AMP</v>
      </c>
      <c r="D134" s="15">
        <f>IF(K134&gt;0,(K134/100)*BID!D492,1*BID!D492)</f>
        <v>1600</v>
      </c>
      <c r="E134" s="60">
        <f>IF(K134&gt;0,PR!S490,IF(BID!K492="EUMATT",BID!L492,0))</f>
        <v>300</v>
      </c>
      <c r="F134" s="61">
        <f t="shared" ref="F134:F165" si="4">IF(E134&gt;0,(E134*D134),0)</f>
        <v>480000</v>
      </c>
      <c r="K134" s="445"/>
    </row>
    <row r="135" spans="1:11" ht="20.25" thickTop="1" thickBot="1" x14ac:dyDescent="0.35">
      <c r="A135" s="430">
        <f>BID!A199</f>
        <v>176</v>
      </c>
      <c r="B135" s="15" t="str">
        <f>BID!B199</f>
        <v>ORPHENADRINE 100MG TAB</v>
      </c>
      <c r="C135" s="15">
        <f>BID!C199</f>
        <v>100</v>
      </c>
      <c r="D135" s="15">
        <f>IF(K135&gt;0,(K135/100)*BID!D199,1*BID!D199)</f>
        <v>20</v>
      </c>
      <c r="E135" s="60">
        <f>IF(K135&gt;0,PR!S197,IF(BID!K199="EUMATT",BID!L199,0))</f>
        <v>3200</v>
      </c>
      <c r="F135" s="61">
        <f t="shared" si="4"/>
        <v>64000</v>
      </c>
      <c r="K135" s="445"/>
    </row>
    <row r="136" spans="1:11" ht="20.25" thickTop="1" thickBot="1" x14ac:dyDescent="0.35">
      <c r="A136" s="430">
        <f>BID!A201</f>
        <v>178</v>
      </c>
      <c r="B136" s="15" t="str">
        <f>BID!B201</f>
        <v>PARACETAMOL 300MG INJ</v>
      </c>
      <c r="C136" s="15">
        <f>BID!C201</f>
        <v>100</v>
      </c>
      <c r="D136" s="15">
        <f>IF(K136&gt;0,(K136/100)*BID!D201,1*BID!D201)</f>
        <v>80</v>
      </c>
      <c r="E136" s="60">
        <f>IF(K136&gt;0,PR!S199,IF(BID!K201="EUMATT",BID!L201,0))</f>
        <v>1600</v>
      </c>
      <c r="F136" s="61">
        <f t="shared" si="4"/>
        <v>128000</v>
      </c>
      <c r="K136" s="445"/>
    </row>
    <row r="137" spans="1:11" ht="20.25" thickTop="1" thickBot="1" x14ac:dyDescent="0.35">
      <c r="A137" s="430">
        <f>BID!A408</f>
        <v>372</v>
      </c>
      <c r="B137" s="15" t="str">
        <f>BID!B408</f>
        <v>PARALDEHYDE INJ</v>
      </c>
      <c r="C137" s="15">
        <f>BID!C408</f>
        <v>5</v>
      </c>
      <c r="D137" s="15">
        <f>IF(K137&gt;0,(K137/100)*BID!D408,1*BID!D408)</f>
        <v>60</v>
      </c>
      <c r="E137" s="60">
        <f>IF(K137&gt;0,PR!S406,IF(BID!K408="EUMATT",BID!L408,0))</f>
        <v>1500</v>
      </c>
      <c r="F137" s="61">
        <f t="shared" si="4"/>
        <v>90000</v>
      </c>
      <c r="K137" s="445"/>
    </row>
    <row r="138" spans="1:11" ht="20.25" thickTop="1" thickBot="1" x14ac:dyDescent="0.35">
      <c r="A138" s="430">
        <f>BID!A729</f>
        <v>662</v>
      </c>
      <c r="B138" s="15" t="str">
        <f>BID!B729</f>
        <v>PERMETHRIN CREAM</v>
      </c>
      <c r="C138" s="15" t="str">
        <f>BID!C729</f>
        <v>TUBE</v>
      </c>
      <c r="D138" s="15">
        <f>IF(K138&gt;0,(K138/100)*BID!D729,1*BID!D729)</f>
        <v>20</v>
      </c>
      <c r="E138" s="60">
        <f>IF(K138&gt;0,PR!S727,IF(BID!K729="EUMATT",BID!L729,0))</f>
        <v>1800</v>
      </c>
      <c r="F138" s="61">
        <f t="shared" si="4"/>
        <v>36000</v>
      </c>
      <c r="K138" s="445"/>
    </row>
    <row r="139" spans="1:11" ht="20.25" thickTop="1" thickBot="1" x14ac:dyDescent="0.35">
      <c r="A139" s="430">
        <f>BID!A410</f>
        <v>374</v>
      </c>
      <c r="B139" s="15" t="str">
        <f>BID!B410</f>
        <v>PHENOBARBITONE 200MG INJ</v>
      </c>
      <c r="C139" s="15">
        <f>BID!C410</f>
        <v>100</v>
      </c>
      <c r="D139" s="15">
        <f>IF(K139&gt;0,(K139/100)*BID!D410,1*BID!D410)</f>
        <v>8</v>
      </c>
      <c r="E139" s="60">
        <f>IF(K139&gt;0,PR!S408,IF(BID!K410="EUMATT",BID!L410,0))</f>
        <v>70000</v>
      </c>
      <c r="F139" s="61">
        <f t="shared" si="4"/>
        <v>560000</v>
      </c>
      <c r="K139" s="445"/>
    </row>
    <row r="140" spans="1:11" ht="20.25" thickTop="1" thickBot="1" x14ac:dyDescent="0.35">
      <c r="A140" s="430">
        <f>BID!A411</f>
        <v>375</v>
      </c>
      <c r="B140" s="15" t="str">
        <f>BID!B411</f>
        <v>PHENOBARBITONE 30MG TAB</v>
      </c>
      <c r="C140" s="15">
        <f>BID!C411</f>
        <v>1000</v>
      </c>
      <c r="D140" s="15">
        <f>IF(K140&gt;0,(K140/100)*BID!D411,1*BID!D411)</f>
        <v>12</v>
      </c>
      <c r="E140" s="60">
        <f>IF(K140&gt;0,PR!S409,IF(BID!K411="EUMATT",BID!L411,0))</f>
        <v>6000</v>
      </c>
      <c r="F140" s="61">
        <f t="shared" si="4"/>
        <v>72000</v>
      </c>
      <c r="K140" s="445"/>
    </row>
    <row r="141" spans="1:11" ht="20.25" thickTop="1" thickBot="1" x14ac:dyDescent="0.35">
      <c r="A141" s="430">
        <f>BID!A412</f>
        <v>376</v>
      </c>
      <c r="B141" s="15" t="str">
        <f>BID!B412</f>
        <v>PHENYTOIN CAP</v>
      </c>
      <c r="C141" s="15">
        <f>BID!C412</f>
        <v>100</v>
      </c>
      <c r="D141" s="15">
        <f>IF(K141&gt;0,(K141/100)*BID!D412,1*BID!D412)</f>
        <v>2</v>
      </c>
      <c r="E141" s="60">
        <f>IF(K141&gt;0,PR!S410,IF(BID!K412="EUMATT",BID!L412,0))</f>
        <v>5800</v>
      </c>
      <c r="F141" s="61">
        <f t="shared" si="4"/>
        <v>11600</v>
      </c>
      <c r="K141" s="445"/>
    </row>
    <row r="142" spans="1:11" ht="20.25" thickTop="1" thickBot="1" x14ac:dyDescent="0.35">
      <c r="A142" s="430">
        <f>BID!A413</f>
        <v>377</v>
      </c>
      <c r="B142" s="15" t="str">
        <f>BID!B413</f>
        <v>PHENYTOIN INJ</v>
      </c>
      <c r="C142" s="15">
        <f>BID!C413</f>
        <v>5</v>
      </c>
      <c r="D142" s="15">
        <f>IF(K142&gt;0,(K142/100)*BID!D413,1*BID!D413)</f>
        <v>16</v>
      </c>
      <c r="E142" s="60">
        <f>IF(K142&gt;0,PR!S411,IF(BID!K413="EUMATT",BID!L413,0))</f>
        <v>4200</v>
      </c>
      <c r="F142" s="61">
        <f t="shared" si="4"/>
        <v>67200</v>
      </c>
      <c r="K142" s="445"/>
    </row>
    <row r="143" spans="1:11" ht="20.25" thickTop="1" thickBot="1" x14ac:dyDescent="0.35">
      <c r="A143" s="430">
        <f>BID!A582</f>
        <v>525</v>
      </c>
      <c r="B143" s="15" t="str">
        <f>BID!B582</f>
        <v>PILOCARPINE 2% GTT</v>
      </c>
      <c r="C143" s="15" t="str">
        <f>BID!C582</f>
        <v>BOTT</v>
      </c>
      <c r="D143" s="15">
        <f>IF(K143&gt;0,(K143/100)*BID!D582,1*BID!D582)</f>
        <v>80</v>
      </c>
      <c r="E143" s="60">
        <f>IF(K143&gt;0,PR!S580,IF(BID!K582="EUMATT",BID!L582,0))</f>
        <v>1500</v>
      </c>
      <c r="F143" s="61">
        <f t="shared" si="4"/>
        <v>120000</v>
      </c>
      <c r="K143" s="445"/>
    </row>
    <row r="144" spans="1:11" ht="20.25" thickTop="1" thickBot="1" x14ac:dyDescent="0.35">
      <c r="A144" s="430">
        <f>BID!A581</f>
        <v>524</v>
      </c>
      <c r="B144" s="15" t="str">
        <f>BID!B581</f>
        <v>PILOCARPINE 4% GTT</v>
      </c>
      <c r="C144" s="15" t="str">
        <f>BID!C581</f>
        <v>BOTT</v>
      </c>
      <c r="D144" s="15">
        <f>IF(K144&gt;0,(K144/100)*BID!D581,1*BID!D581)</f>
        <v>80</v>
      </c>
      <c r="E144" s="60">
        <f>IF(K144&gt;0,PR!S579,IF(BID!K581="EUMATT",BID!L581,0))</f>
        <v>2300</v>
      </c>
      <c r="F144" s="61">
        <f t="shared" si="4"/>
        <v>184000</v>
      </c>
      <c r="K144" s="445"/>
    </row>
    <row r="145" spans="1:11" ht="20.25" thickTop="1" thickBot="1" x14ac:dyDescent="0.35">
      <c r="A145" s="430">
        <f>BID!A685</f>
        <v>621</v>
      </c>
      <c r="B145" s="15" t="str">
        <f>BID!B685</f>
        <v>PLASTER 1" (2.5CM X 5M) BROWN</v>
      </c>
      <c r="C145" s="15">
        <f>BID!C685</f>
        <v>10</v>
      </c>
      <c r="D145" s="15">
        <f>IF(K145&gt;0,(K145/100)*BID!D685,1*BID!D685)</f>
        <v>260</v>
      </c>
      <c r="E145" s="60">
        <f>IF(K145&gt;0,PR!S683,IF(BID!K685="EUMATT",BID!L685,0))</f>
        <v>1600</v>
      </c>
      <c r="F145" s="61">
        <f t="shared" si="4"/>
        <v>416000</v>
      </c>
      <c r="K145" s="445"/>
    </row>
    <row r="146" spans="1:11" ht="20.25" thickTop="1" thickBot="1" x14ac:dyDescent="0.35">
      <c r="A146" s="430">
        <f>BID!A690</f>
        <v>626</v>
      </c>
      <c r="B146" s="15" t="str">
        <f>BID!B690</f>
        <v>PLASTER 2" (5CM X 9.1M) BROWN</v>
      </c>
      <c r="C146" s="15">
        <f>BID!C690</f>
        <v>5</v>
      </c>
      <c r="D146" s="15">
        <f>IF(K146&gt;0,(K146/100)*BID!D690,1*BID!D690)</f>
        <v>63</v>
      </c>
      <c r="E146" s="60">
        <f>IF(K146&gt;0,PR!S688,IF(BID!K690="EUMATT",BID!L690,0))</f>
        <v>3200</v>
      </c>
      <c r="F146" s="61">
        <f t="shared" si="4"/>
        <v>201600</v>
      </c>
      <c r="K146" s="445">
        <v>60</v>
      </c>
    </row>
    <row r="147" spans="1:11" ht="20.25" thickTop="1" thickBot="1" x14ac:dyDescent="0.35">
      <c r="A147" s="430">
        <f>BID!A691</f>
        <v>627</v>
      </c>
      <c r="B147" s="15" t="str">
        <f>BID!B691</f>
        <v>PLASTER 3"(7.5CM X 9.1M) BROWN</v>
      </c>
      <c r="C147" s="15">
        <f>BID!C691</f>
        <v>5</v>
      </c>
      <c r="D147" s="15">
        <f>IF(K147&gt;0,(K147/100)*BID!D691,1*BID!D691)</f>
        <v>48.800000000000004</v>
      </c>
      <c r="E147" s="60">
        <f>IF(K147&gt;0,PR!S689,IF(BID!K691="EUMATT",BID!L691,0))</f>
        <v>2900</v>
      </c>
      <c r="F147" s="61">
        <f t="shared" si="4"/>
        <v>141520</v>
      </c>
      <c r="K147" s="445">
        <v>40</v>
      </c>
    </row>
    <row r="148" spans="1:11" ht="20.25" thickTop="1" thickBot="1" x14ac:dyDescent="0.35">
      <c r="A148" s="430">
        <v>629</v>
      </c>
      <c r="B148" s="15" t="s">
        <v>363</v>
      </c>
      <c r="C148" s="15">
        <v>12</v>
      </c>
      <c r="D148" s="15">
        <v>40</v>
      </c>
      <c r="E148" s="60">
        <v>12000</v>
      </c>
      <c r="F148" s="61">
        <f t="shared" si="4"/>
        <v>480000</v>
      </c>
      <c r="K148" s="445"/>
    </row>
    <row r="149" spans="1:11" ht="20.25" thickTop="1" thickBot="1" x14ac:dyDescent="0.35">
      <c r="A149" s="430">
        <f>BID!A26</f>
        <v>14</v>
      </c>
      <c r="B149" s="15" t="str">
        <f>BID!B26</f>
        <v>PROGUANIL 100MG TAB</v>
      </c>
      <c r="C149" s="15">
        <f>BID!C26</f>
        <v>100</v>
      </c>
      <c r="D149" s="15">
        <f>IF(K149&gt;0,(K149/100)*BID!D26,1*BID!D26)</f>
        <v>200</v>
      </c>
      <c r="E149" s="60">
        <f>IF(K149&gt;0,PR!S24,IF(BID!K26="EUMATT",BID!L26,0))</f>
        <v>700</v>
      </c>
      <c r="F149" s="61">
        <f t="shared" si="4"/>
        <v>140000</v>
      </c>
      <c r="K149" s="445"/>
    </row>
    <row r="150" spans="1:11" ht="20.25" thickTop="1" thickBot="1" x14ac:dyDescent="0.35">
      <c r="A150" s="430">
        <f>BID!A544</f>
        <v>490</v>
      </c>
      <c r="B150" s="15" t="str">
        <f>BID!B544</f>
        <v>PROMETHAZINE 50MG INJ</v>
      </c>
      <c r="C150" s="15">
        <f>BID!C544</f>
        <v>100</v>
      </c>
      <c r="D150" s="15">
        <f>IF(K150&gt;0,(K150/100)*BID!D544,1*BID!D544)</f>
        <v>50</v>
      </c>
      <c r="E150" s="60">
        <f>IF(K150&gt;0,PR!S542,IF(BID!K544="EUMATT",BID!L544,0))</f>
        <v>1400</v>
      </c>
      <c r="F150" s="61">
        <f t="shared" si="4"/>
        <v>70000</v>
      </c>
      <c r="K150" s="445"/>
    </row>
    <row r="151" spans="1:11" ht="20.25" thickTop="1" thickBot="1" x14ac:dyDescent="0.35">
      <c r="A151" s="430">
        <f>BID!A113</f>
        <v>95</v>
      </c>
      <c r="B151" s="15" t="str">
        <f>BID!B113</f>
        <v xml:space="preserve">PROPRANOLOL 40MG </v>
      </c>
      <c r="C151" s="15">
        <f>BID!C113</f>
        <v>28</v>
      </c>
      <c r="D151" s="15">
        <f>IF(K151&gt;0,(K151/100)*BID!D113,1*BID!D113)</f>
        <v>1000</v>
      </c>
      <c r="E151" s="60">
        <f>IF(K151&gt;0,PR!S111,IF(BID!K113="EUMATT",BID!L113,0))</f>
        <v>2200</v>
      </c>
      <c r="F151" s="61">
        <f t="shared" si="4"/>
        <v>2200000</v>
      </c>
      <c r="K151" s="445"/>
    </row>
    <row r="152" spans="1:11" ht="20.25" thickTop="1" thickBot="1" x14ac:dyDescent="0.35">
      <c r="A152" s="430">
        <f>BID!A357</f>
        <v>325</v>
      </c>
      <c r="B152" s="15" t="str">
        <f>BID!B357</f>
        <v>PYRIDOXINE 50MG</v>
      </c>
      <c r="C152" s="15">
        <f>BID!C357</f>
        <v>1000</v>
      </c>
      <c r="D152" s="15">
        <f>IF(K152&gt;0,(K152/100)*BID!D357,1*BID!D357)</f>
        <v>20</v>
      </c>
      <c r="E152" s="60">
        <f>IF(K152&gt;0,PR!S355,IF(BID!K357="EUMATT",BID!L357,0))</f>
        <v>1100</v>
      </c>
      <c r="F152" s="61">
        <f t="shared" si="4"/>
        <v>22000</v>
      </c>
      <c r="K152" s="445"/>
    </row>
    <row r="153" spans="1:11" ht="20.25" thickTop="1" thickBot="1" x14ac:dyDescent="0.35">
      <c r="A153" s="430">
        <f>BID!A27</f>
        <v>15</v>
      </c>
      <c r="B153" s="15" t="str">
        <f>BID!B27</f>
        <v>PYRIMETHAMINE TAB</v>
      </c>
      <c r="C153" s="15">
        <f>BID!C27</f>
        <v>500</v>
      </c>
      <c r="D153" s="15">
        <f>IF(K153&gt;0,(K153/100)*BID!D27,1*BID!D27)</f>
        <v>4</v>
      </c>
      <c r="E153" s="60">
        <f>IF(K153&gt;0,PR!S25,IF(BID!K27="EUMATT",BID!L27,0))</f>
        <v>1200</v>
      </c>
      <c r="F153" s="61">
        <f t="shared" si="4"/>
        <v>4800</v>
      </c>
      <c r="K153" s="445"/>
    </row>
    <row r="154" spans="1:11" ht="20.25" thickTop="1" thickBot="1" x14ac:dyDescent="0.35">
      <c r="A154" s="430">
        <f>BID!A28</f>
        <v>16</v>
      </c>
      <c r="B154" s="15" t="str">
        <f>BID!B28</f>
        <v>QUININE 200ML SYR</v>
      </c>
      <c r="C154" s="15" t="str">
        <f>BID!C28</f>
        <v>BOTT</v>
      </c>
      <c r="D154" s="15">
        <f>IF(K154&gt;0,(K154/100)*BID!D28,1*BID!D28)</f>
        <v>40</v>
      </c>
      <c r="E154" s="60">
        <f>IF(K154&gt;0,PR!S26,IF(BID!K28="EUMATT",BID!L28,0))</f>
        <v>480</v>
      </c>
      <c r="F154" s="61">
        <f t="shared" si="4"/>
        <v>19200</v>
      </c>
      <c r="K154" s="445"/>
    </row>
    <row r="155" spans="1:11" ht="20.25" thickTop="1" thickBot="1" x14ac:dyDescent="0.35">
      <c r="A155" s="430">
        <f>BID!A29</f>
        <v>17</v>
      </c>
      <c r="B155" s="15" t="str">
        <f>BID!B29</f>
        <v>QUININE INJ</v>
      </c>
      <c r="C155" s="15">
        <f>BID!C29</f>
        <v>100</v>
      </c>
      <c r="D155" s="15">
        <f>IF(K155&gt;0,(K155/100)*BID!D29,1*BID!D29)</f>
        <v>1</v>
      </c>
      <c r="E155" s="60">
        <f>IF(K155&gt;0,PR!S27,IF(BID!K29="EUMATT",BID!L29,0))</f>
        <v>6200</v>
      </c>
      <c r="F155" s="61">
        <f t="shared" si="4"/>
        <v>6200</v>
      </c>
      <c r="K155" s="445"/>
    </row>
    <row r="156" spans="1:11" ht="20.25" thickTop="1" thickBot="1" x14ac:dyDescent="0.35">
      <c r="A156" s="430">
        <f>BID!A114</f>
        <v>96</v>
      </c>
      <c r="B156" s="15" t="str">
        <f>BID!B114</f>
        <v>RAMIPRIL 10MG TAB</v>
      </c>
      <c r="C156" s="15">
        <f>BID!C114</f>
        <v>30</v>
      </c>
      <c r="D156" s="15">
        <f>IF(K156&gt;0,(K156/100)*BID!D114,1*BID!D114)</f>
        <v>200</v>
      </c>
      <c r="E156" s="60">
        <f>IF(K156&gt;0,PR!S112,IF(BID!K114="EUMATT",BID!L114,0))</f>
        <v>1200</v>
      </c>
      <c r="F156" s="61">
        <f t="shared" si="4"/>
        <v>240000</v>
      </c>
      <c r="K156" s="445"/>
    </row>
    <row r="157" spans="1:11" ht="20.25" thickTop="1" thickBot="1" x14ac:dyDescent="0.35">
      <c r="A157" s="430">
        <f>BID!A731</f>
        <v>664</v>
      </c>
      <c r="B157" s="15" t="str">
        <f>BID!B731</f>
        <v>RETIN A GEL</v>
      </c>
      <c r="C157" s="15" t="str">
        <f>BID!C731</f>
        <v>TUBE</v>
      </c>
      <c r="D157" s="15">
        <f>IF(K157&gt;0,(K157/100)*BID!D731,1*BID!D731)</f>
        <v>20</v>
      </c>
      <c r="E157" s="60">
        <f>IF(K157&gt;0,PR!S729,IF(BID!K731="EUMATT",BID!L731,0))</f>
        <v>3000</v>
      </c>
      <c r="F157" s="61">
        <f t="shared" si="4"/>
        <v>60000</v>
      </c>
      <c r="K157" s="445"/>
    </row>
    <row r="158" spans="1:11" ht="20.25" thickTop="1" thickBot="1" x14ac:dyDescent="0.35">
      <c r="A158" s="430">
        <f>BID!A414</f>
        <v>378</v>
      </c>
      <c r="B158" s="15" t="str">
        <f>BID!B414</f>
        <v>RISPERIDONE 2MG</v>
      </c>
      <c r="C158" s="15">
        <f>BID!C414</f>
        <v>30</v>
      </c>
      <c r="D158" s="15">
        <f>IF(K158&gt;0,(K158/100)*BID!D414,1*BID!D414)</f>
        <v>74</v>
      </c>
      <c r="E158" s="60">
        <f>IF(K158&gt;0,PR!S412,IF(BID!K414="EUMATT",BID!L414,0))</f>
        <v>1700</v>
      </c>
      <c r="F158" s="61">
        <f t="shared" si="4"/>
        <v>125800</v>
      </c>
      <c r="K158" s="445"/>
    </row>
    <row r="159" spans="1:11" ht="20.25" thickTop="1" thickBot="1" x14ac:dyDescent="0.35">
      <c r="A159" s="430">
        <f>BID!A358</f>
        <v>326</v>
      </c>
      <c r="B159" s="15" t="str">
        <f>BID!B358</f>
        <v>RIVAROXABAN 15MG TAB</v>
      </c>
      <c r="C159" s="15">
        <f>BID!C358</f>
        <v>30</v>
      </c>
      <c r="D159" s="15">
        <f>IF(K159&gt;0,(K159/100)*BID!D358,1*BID!D358)</f>
        <v>10</v>
      </c>
      <c r="E159" s="60">
        <f>IF(K159&gt;0,PR!S356,IF(BID!K358="EUMATT",BID!L358,0))</f>
        <v>22000</v>
      </c>
      <c r="F159" s="61">
        <f t="shared" si="4"/>
        <v>220000</v>
      </c>
      <c r="K159" s="445"/>
    </row>
    <row r="160" spans="1:11" ht="20.25" thickTop="1" thickBot="1" x14ac:dyDescent="0.35">
      <c r="A160" s="430">
        <f>BID!A121</f>
        <v>103</v>
      </c>
      <c r="B160" s="15" t="str">
        <f>BID!B121</f>
        <v>S-AMLODIPINE 2.5MG TAB</v>
      </c>
      <c r="C160" s="15">
        <f>BID!C121</f>
        <v>30</v>
      </c>
      <c r="D160" s="15">
        <f>IF(K160&gt;0,(K160/100)*BID!D121,1*BID!D121)</f>
        <v>5</v>
      </c>
      <c r="E160" s="60">
        <f>IF(K160&gt;0,PR!S119,IF(BID!K121="EUMATT",BID!L121,0))</f>
        <v>600</v>
      </c>
      <c r="F160" s="61">
        <f t="shared" si="4"/>
        <v>3000</v>
      </c>
      <c r="K160" s="445">
        <v>50</v>
      </c>
    </row>
    <row r="161" spans="1:11" ht="20.25" thickTop="1" thickBot="1" x14ac:dyDescent="0.35">
      <c r="A161" s="430">
        <f>BID!A122</f>
        <v>104</v>
      </c>
      <c r="B161" s="15" t="str">
        <f>BID!B122</f>
        <v>S-AMLODIPINE 5MG TAB</v>
      </c>
      <c r="C161" s="15">
        <f>BID!C122</f>
        <v>30</v>
      </c>
      <c r="D161" s="15">
        <f>IF(K161&gt;0,(K161/100)*BID!D122,1*BID!D122)</f>
        <v>10</v>
      </c>
      <c r="E161" s="60">
        <f>IF(K161&gt;0,PR!S120,IF(BID!K122="EUMATT",BID!L122,0))</f>
        <v>700</v>
      </c>
      <c r="F161" s="61">
        <f t="shared" si="4"/>
        <v>7000</v>
      </c>
      <c r="K161" s="445"/>
    </row>
    <row r="162" spans="1:11" ht="20.25" thickTop="1" thickBot="1" x14ac:dyDescent="0.35">
      <c r="A162" s="430">
        <f>BID!A734</f>
        <v>667</v>
      </c>
      <c r="B162" s="15" t="str">
        <f>BID!B734</f>
        <v xml:space="preserve">SELENIUM SULPHIDE SHAMPOO (SELSUN) </v>
      </c>
      <c r="C162" s="15" t="str">
        <f>BID!C734</f>
        <v>PCS</v>
      </c>
      <c r="D162" s="15">
        <f>IF(K162&gt;0,(K162/100)*BID!D734,1*BID!D734)</f>
        <v>20</v>
      </c>
      <c r="E162" s="60">
        <f>IF(K162&gt;0,PR!S732,IF(BID!K734="EUMATT",BID!L734,0))</f>
        <v>2200</v>
      </c>
      <c r="F162" s="61">
        <f t="shared" si="4"/>
        <v>44000</v>
      </c>
      <c r="K162" s="445"/>
    </row>
    <row r="163" spans="1:11" ht="20.25" thickTop="1" thickBot="1" x14ac:dyDescent="0.35">
      <c r="A163" s="430">
        <f>BID!A696</f>
        <v>632</v>
      </c>
      <c r="B163" s="15" t="str">
        <f>BID!B696</f>
        <v>SHOULDER LENGTH GLOVES</v>
      </c>
      <c r="C163" s="15">
        <f>BID!C696</f>
        <v>100</v>
      </c>
      <c r="D163" s="15">
        <f>IF(K163&gt;0,(K163/100)*BID!D696,1*BID!D696)</f>
        <v>4</v>
      </c>
      <c r="E163" s="60">
        <f>IF(K163&gt;0,PR!S694,IF(BID!K696="EUMATT",BID!L696,0))</f>
        <v>1850</v>
      </c>
      <c r="F163" s="61">
        <f t="shared" si="4"/>
        <v>7400</v>
      </c>
      <c r="K163" s="445"/>
    </row>
    <row r="164" spans="1:11" ht="20.25" thickTop="1" thickBot="1" x14ac:dyDescent="0.35">
      <c r="A164" s="430">
        <v>633</v>
      </c>
      <c r="B164" s="15" t="s">
        <v>736</v>
      </c>
      <c r="C164" s="15" t="s">
        <v>333</v>
      </c>
      <c r="D164" s="15">
        <v>144</v>
      </c>
      <c r="E164" s="60">
        <v>600</v>
      </c>
      <c r="F164" s="61">
        <f t="shared" si="4"/>
        <v>86400</v>
      </c>
      <c r="K164" s="445"/>
    </row>
    <row r="165" spans="1:11" ht="20.25" thickTop="1" thickBot="1" x14ac:dyDescent="0.35">
      <c r="A165" s="430">
        <v>634</v>
      </c>
      <c r="B165" s="15" t="s">
        <v>737</v>
      </c>
      <c r="C165" s="15" t="s">
        <v>333</v>
      </c>
      <c r="D165" s="15">
        <v>144</v>
      </c>
      <c r="E165" s="60">
        <v>1500</v>
      </c>
      <c r="F165" s="61">
        <f t="shared" si="4"/>
        <v>216000</v>
      </c>
      <c r="K165" s="445"/>
    </row>
    <row r="166" spans="1:11" ht="20.25" thickTop="1" thickBot="1" x14ac:dyDescent="0.35">
      <c r="A166" s="430">
        <f>BID!A361</f>
        <v>329</v>
      </c>
      <c r="B166" s="15" t="str">
        <f>BID!B361</f>
        <v>SODIUM BICARBONATE INJ</v>
      </c>
      <c r="C166" s="15" t="str">
        <f>BID!C361</f>
        <v>AMP</v>
      </c>
      <c r="D166" s="15">
        <f>IF(K166&gt;0,(K166/100)*BID!D361,1*BID!D361)</f>
        <v>50</v>
      </c>
      <c r="E166" s="60">
        <f>IF(K166&gt;0,PR!S359,IF(BID!K361="EUMATT",BID!L361,0))</f>
        <v>460</v>
      </c>
      <c r="F166" s="61">
        <f t="shared" ref="F166:F186" si="5">IF(E166&gt;0,(E166*D166),0)</f>
        <v>23000</v>
      </c>
      <c r="K166" s="445"/>
    </row>
    <row r="167" spans="1:11" ht="20.25" thickTop="1" thickBot="1" x14ac:dyDescent="0.35">
      <c r="A167" s="430">
        <f>BID!A584</f>
        <v>527</v>
      </c>
      <c r="B167" s="15" t="str">
        <f>BID!B584</f>
        <v>SODIUM CHLORIDE GTT</v>
      </c>
      <c r="C167" s="15" t="str">
        <f>BID!C584</f>
        <v>BOTT</v>
      </c>
      <c r="D167" s="15">
        <f>IF(K167&gt;0,(K167/100)*BID!D584,1*BID!D584)</f>
        <v>20</v>
      </c>
      <c r="E167" s="60">
        <f>IF(K167&gt;0,PR!S582,IF(BID!K584="EUMATT",BID!L584,0))</f>
        <v>980</v>
      </c>
      <c r="F167" s="61">
        <f t="shared" si="5"/>
        <v>19600</v>
      </c>
      <c r="K167" s="445"/>
    </row>
    <row r="168" spans="1:11" ht="20.25" thickTop="1" thickBot="1" x14ac:dyDescent="0.35">
      <c r="A168" s="430">
        <f>BID!A455</f>
        <v>412</v>
      </c>
      <c r="B168" s="15" t="str">
        <f>BID!B455</f>
        <v>SODIUM THIOPENTONE 1GM</v>
      </c>
      <c r="C168" s="15" t="str">
        <f>BID!C455</f>
        <v>VIAL</v>
      </c>
      <c r="D168" s="15">
        <f>IF(K168&gt;0,(K168/100)*BID!D455,1*BID!D455)</f>
        <v>300</v>
      </c>
      <c r="E168" s="60">
        <f>IF(K168&gt;0,PR!S453,IF(BID!K455="EUMATT",BID!L455,0))</f>
        <v>800</v>
      </c>
      <c r="F168" s="61">
        <f t="shared" si="5"/>
        <v>240000</v>
      </c>
      <c r="K168" s="445"/>
    </row>
    <row r="169" spans="1:11" ht="20.25" thickTop="1" thickBot="1" x14ac:dyDescent="0.35">
      <c r="A169" s="430">
        <v>638</v>
      </c>
      <c r="B169" s="15" t="s">
        <v>369</v>
      </c>
      <c r="C169" s="15">
        <v>12</v>
      </c>
      <c r="D169" s="15">
        <v>50</v>
      </c>
      <c r="E169" s="60">
        <v>8500</v>
      </c>
      <c r="F169" s="61">
        <f t="shared" si="5"/>
        <v>425000</v>
      </c>
      <c r="K169" s="445"/>
    </row>
    <row r="170" spans="1:11" ht="20.25" thickTop="1" thickBot="1" x14ac:dyDescent="0.35">
      <c r="A170" s="430">
        <f>BID!A705</f>
        <v>641</v>
      </c>
      <c r="B170" s="15" t="str">
        <f>BID!B705</f>
        <v>SURGICAL BLADE 12"</v>
      </c>
      <c r="C170" s="15">
        <f>BID!C705</f>
        <v>100</v>
      </c>
      <c r="D170" s="15">
        <f>IF(K170&gt;0,(K170/100)*BID!D705,1*BID!D705)</f>
        <v>4</v>
      </c>
      <c r="E170" s="60">
        <f>IF(K170&gt;0,PR!S703,IF(BID!K705="EUMATT",BID!L705,0))</f>
        <v>1300</v>
      </c>
      <c r="F170" s="61">
        <f t="shared" si="5"/>
        <v>5200</v>
      </c>
      <c r="K170" s="445"/>
    </row>
    <row r="171" spans="1:11" ht="20.25" thickTop="1" thickBot="1" x14ac:dyDescent="0.35">
      <c r="A171" s="430">
        <f>BID!A707</f>
        <v>643</v>
      </c>
      <c r="B171" s="15" t="str">
        <f>BID!B707</f>
        <v>SURGICAL BLADE 22"</v>
      </c>
      <c r="C171" s="15">
        <f>BID!C707</f>
        <v>100</v>
      </c>
      <c r="D171" s="15">
        <f>IF(K171&gt;0,(K171/100)*BID!D707,1*BID!D707)</f>
        <v>45</v>
      </c>
      <c r="E171" s="60">
        <f>IF(K171&gt;0,PR!S705,IF(BID!K707="EUMATT",BID!L707,0))</f>
        <v>1300</v>
      </c>
      <c r="F171" s="61">
        <f t="shared" si="5"/>
        <v>58500</v>
      </c>
      <c r="K171" s="445"/>
    </row>
    <row r="172" spans="1:11" ht="20.25" thickTop="1" thickBot="1" x14ac:dyDescent="0.35">
      <c r="A172" s="430">
        <f>BID!A709</f>
        <v>645</v>
      </c>
      <c r="B172" s="15" t="str">
        <f>BID!B709</f>
        <v>SURGICAL BLADE 24"</v>
      </c>
      <c r="C172" s="15">
        <f>BID!C709</f>
        <v>100</v>
      </c>
      <c r="D172" s="15">
        <f>IF(K172&gt;0,(K172/100)*BID!D709,1*BID!D709)</f>
        <v>12</v>
      </c>
      <c r="E172" s="60">
        <f>IF(K172&gt;0,PR!S707,IF(BID!K709="EUMATT",BID!L709,0))</f>
        <v>1300</v>
      </c>
      <c r="F172" s="61">
        <f t="shared" si="5"/>
        <v>15600</v>
      </c>
      <c r="K172" s="445"/>
    </row>
    <row r="173" spans="1:11" ht="20.25" thickTop="1" thickBot="1" x14ac:dyDescent="0.35">
      <c r="A173" s="430">
        <f>BID!A456</f>
        <v>413</v>
      </c>
      <c r="B173" s="15" t="str">
        <f>BID!B456</f>
        <v>SUXAMETHONIUM INJ</v>
      </c>
      <c r="C173" s="15" t="str">
        <f>BID!C456</f>
        <v>AMP</v>
      </c>
      <c r="D173" s="15">
        <f>IF(K173&gt;0,(K173/100)*BID!D456,1*BID!D456)</f>
        <v>300</v>
      </c>
      <c r="E173" s="60">
        <f>IF(K173&gt;0,PR!S454,IF(BID!K456="EUMATT",BID!L456,0))</f>
        <v>600</v>
      </c>
      <c r="F173" s="61">
        <f t="shared" si="5"/>
        <v>180000</v>
      </c>
      <c r="K173" s="445">
        <v>50</v>
      </c>
    </row>
    <row r="174" spans="1:11" ht="20.25" thickTop="1" thickBot="1" x14ac:dyDescent="0.35">
      <c r="A174" s="430">
        <f>BID!A772</f>
        <v>700</v>
      </c>
      <c r="B174" s="15" t="str">
        <f>BID!B772</f>
        <v xml:space="preserve">TAMSULOSIN 0.4MG TAB  </v>
      </c>
      <c r="C174" s="15">
        <f>BID!C772</f>
        <v>20</v>
      </c>
      <c r="D174" s="15">
        <f>IF(K174&gt;0,(K174/100)*BID!D772,1*BID!D772)</f>
        <v>750</v>
      </c>
      <c r="E174" s="60">
        <f>IF(K174&gt;0,PR!S770,IF(BID!K772="EUMATT",BID!L772,0))</f>
        <v>800</v>
      </c>
      <c r="F174" s="61">
        <f t="shared" si="5"/>
        <v>600000</v>
      </c>
      <c r="K174" s="445"/>
    </row>
    <row r="175" spans="1:11" ht="20.25" thickTop="1" thickBot="1" x14ac:dyDescent="0.35">
      <c r="A175" s="430">
        <f>BID!A468</f>
        <v>423</v>
      </c>
      <c r="B175" s="15" t="str">
        <f>BID!B468</f>
        <v>TETANUS TOXOID 0.5ML INJ</v>
      </c>
      <c r="C175" s="15">
        <f>BID!C468</f>
        <v>100</v>
      </c>
      <c r="D175" s="15">
        <f>IF(K175&gt;0,(K175/100)*BID!D468,1*BID!D468)</f>
        <v>24</v>
      </c>
      <c r="E175" s="60">
        <f>IF(K175&gt;0,PR!S466,IF(BID!K468="EUMATT",BID!L468,0))</f>
        <v>14000</v>
      </c>
      <c r="F175" s="61">
        <f t="shared" si="5"/>
        <v>336000</v>
      </c>
      <c r="K175" s="445"/>
    </row>
    <row r="176" spans="1:11" ht="20.25" thickTop="1" thickBot="1" x14ac:dyDescent="0.35">
      <c r="A176" s="430">
        <f>BID!A585</f>
        <v>528</v>
      </c>
      <c r="B176" s="15" t="str">
        <f>BID!B585</f>
        <v>TETRAHYDROZOLINE HCL/FLUOROMETHOLONE</v>
      </c>
      <c r="C176" s="15" t="str">
        <f>BID!C585</f>
        <v>BOTT</v>
      </c>
      <c r="D176" s="15">
        <f>IF(K176&gt;0,(K176/100)*BID!D585,1*BID!D585)</f>
        <v>20</v>
      </c>
      <c r="E176" s="60">
        <f>IF(K176&gt;0,PR!S583,IF(BID!K585="EUMATT",BID!L585,0))</f>
        <v>1050</v>
      </c>
      <c r="F176" s="61">
        <f t="shared" si="5"/>
        <v>21000</v>
      </c>
      <c r="K176" s="445"/>
    </row>
    <row r="177" spans="1:11" ht="20.25" thickTop="1" thickBot="1" x14ac:dyDescent="0.35">
      <c r="A177" s="430">
        <f>BID!A588</f>
        <v>531</v>
      </c>
      <c r="B177" s="15" t="str">
        <f>BID!B588</f>
        <v>TIMOLOL/TRAVOPROST 5MG/40MCG</v>
      </c>
      <c r="C177" s="15" t="str">
        <f>BID!C588</f>
        <v>BOTT</v>
      </c>
      <c r="D177" s="15">
        <f>IF(K177&gt;0,(K177/100)*BID!D588,1*BID!D588)</f>
        <v>52</v>
      </c>
      <c r="E177" s="60">
        <f>IF(K177&gt;0,PR!S586,IF(BID!K588="EUMATT",BID!L588,0))</f>
        <v>3350</v>
      </c>
      <c r="F177" s="61">
        <f t="shared" si="5"/>
        <v>174200</v>
      </c>
      <c r="K177" s="445"/>
    </row>
    <row r="178" spans="1:11" ht="20.25" thickTop="1" thickBot="1" x14ac:dyDescent="0.35">
      <c r="A178" s="430">
        <f>BID!A214</f>
        <v>191</v>
      </c>
      <c r="B178" s="15" t="str">
        <f>BID!B214</f>
        <v>TIZANIDINE 2MG TAB</v>
      </c>
      <c r="C178" s="15">
        <f>BID!C214</f>
        <v>30</v>
      </c>
      <c r="D178" s="15">
        <f>IF(K178&gt;0,(K178/100)*BID!D214,1*BID!D214)</f>
        <v>400</v>
      </c>
      <c r="E178" s="60">
        <f>IF(K178&gt;0,PR!S212,IF(BID!K214="EUMATT",BID!L214,0))</f>
        <v>2200</v>
      </c>
      <c r="F178" s="61">
        <f t="shared" si="5"/>
        <v>880000</v>
      </c>
      <c r="K178" s="445">
        <v>20</v>
      </c>
    </row>
    <row r="179" spans="1:11" ht="20.25" thickTop="1" thickBot="1" x14ac:dyDescent="0.35">
      <c r="A179" s="430">
        <f>BID!A364</f>
        <v>332</v>
      </c>
      <c r="B179" s="15" t="str">
        <f>BID!B364</f>
        <v>TRANEXAMIC ACID INJ</v>
      </c>
      <c r="C179" s="15">
        <f>BID!C364</f>
        <v>5</v>
      </c>
      <c r="D179" s="15">
        <f>IF(K179&gt;0,(K179/100)*BID!D364,1*BID!D364)</f>
        <v>320</v>
      </c>
      <c r="E179" s="60">
        <f>IF(K179&gt;0,PR!S362,IF(BID!K364="EUMATT",BID!L364,0))</f>
        <v>1380</v>
      </c>
      <c r="F179" s="61">
        <f t="shared" si="5"/>
        <v>441600</v>
      </c>
      <c r="K179" s="445"/>
    </row>
    <row r="180" spans="1:11" ht="20.25" thickTop="1" thickBot="1" x14ac:dyDescent="0.35">
      <c r="A180" s="430">
        <f>BID!A589</f>
        <v>532</v>
      </c>
      <c r="B180" s="15" t="str">
        <f>BID!B589</f>
        <v>TRAVOPROST 40MCG</v>
      </c>
      <c r="C180" s="15" t="str">
        <f>BID!C589</f>
        <v>BOTT</v>
      </c>
      <c r="D180" s="15">
        <f>IF(K180&gt;0,(K180/100)*BID!D589,1*BID!D589)</f>
        <v>52</v>
      </c>
      <c r="E180" s="60">
        <f>IF(K180&gt;0,PR!S587,IF(BID!K589="EUMATT",BID!L589,0))</f>
        <v>3350</v>
      </c>
      <c r="F180" s="61">
        <f t="shared" si="5"/>
        <v>174200</v>
      </c>
      <c r="K180" s="445"/>
    </row>
    <row r="181" spans="1:11" ht="20.25" thickTop="1" thickBot="1" x14ac:dyDescent="0.35">
      <c r="A181" s="430">
        <f>BID!A416</f>
        <v>380</v>
      </c>
      <c r="B181" s="15" t="str">
        <f>BID!B416</f>
        <v>TRIFLUOPERAZINE 5MG TAB</v>
      </c>
      <c r="C181" s="15">
        <f>BID!C416</f>
        <v>1000</v>
      </c>
      <c r="D181" s="15">
        <f>IF(K181&gt;0,(K181/100)*BID!D416,1*BID!D416)</f>
        <v>2</v>
      </c>
      <c r="E181" s="60">
        <f>IF(K181&gt;0,PR!S414,IF(BID!K416="EUMATT",BID!L416,0))</f>
        <v>3500</v>
      </c>
      <c r="F181" s="61">
        <f t="shared" si="5"/>
        <v>7000</v>
      </c>
      <c r="K181" s="445"/>
    </row>
    <row r="182" spans="1:11" ht="20.25" thickTop="1" thickBot="1" x14ac:dyDescent="0.35">
      <c r="A182" s="430">
        <f>BID!A310</f>
        <v>284</v>
      </c>
      <c r="B182" s="15" t="str">
        <f>BID!B310</f>
        <v>VANCOMYCIN 1GM INJ</v>
      </c>
      <c r="C182" s="15" t="str">
        <f>BID!C310</f>
        <v>VIAL</v>
      </c>
      <c r="D182" s="15">
        <f>IF(K182&gt;0,(K182/100)*BID!D310,1*BID!D310)</f>
        <v>10</v>
      </c>
      <c r="E182" s="60">
        <f>IF(K182&gt;0,PR!S308,IF(BID!K310="EUMATT",BID!L310,0))</f>
        <v>2500</v>
      </c>
      <c r="F182" s="61">
        <f t="shared" si="5"/>
        <v>25000</v>
      </c>
      <c r="K182" s="445"/>
    </row>
    <row r="183" spans="1:11" ht="20.25" thickTop="1" thickBot="1" x14ac:dyDescent="0.35">
      <c r="A183" s="430">
        <f>BID!A782</f>
        <v>708</v>
      </c>
      <c r="B183" s="15" t="str">
        <f>BID!B782</f>
        <v>VICRYL 2/0</v>
      </c>
      <c r="C183" s="15">
        <f>BID!C782</f>
        <v>12</v>
      </c>
      <c r="D183" s="15">
        <f>IF(K183&gt;0,(K183/100)*BID!D782,1*BID!D782)</f>
        <v>10</v>
      </c>
      <c r="E183" s="60">
        <f>IF(K183&gt;0,PR!S780,IF(BID!K782="EUMATT",BID!L782,0))</f>
        <v>4500</v>
      </c>
      <c r="F183" s="61">
        <f t="shared" si="5"/>
        <v>45000</v>
      </c>
      <c r="K183" s="445"/>
    </row>
    <row r="184" spans="1:11" ht="20.25" thickTop="1" thickBot="1" x14ac:dyDescent="0.35">
      <c r="A184" s="430">
        <f>BID!A159</f>
        <v>139</v>
      </c>
      <c r="B184" s="15" t="str">
        <f>BID!B159</f>
        <v>VILDAGLIPTIN 50MG</v>
      </c>
      <c r="C184" s="15">
        <f>BID!C159</f>
        <v>28</v>
      </c>
      <c r="D184" s="15">
        <f>IF(K184&gt;0,(K184/100)*BID!D159,1*BID!D159)</f>
        <v>100</v>
      </c>
      <c r="E184" s="60">
        <f>IF(K184&gt;0,PR!S157,IF(BID!K159="EUMATT",BID!L159,0))</f>
        <v>4500</v>
      </c>
      <c r="F184" s="61">
        <f t="shared" si="5"/>
        <v>450000</v>
      </c>
      <c r="K184" s="445"/>
    </row>
    <row r="185" spans="1:11" ht="20.25" thickTop="1" thickBot="1" x14ac:dyDescent="0.35">
      <c r="A185" s="430">
        <f>BID!A160</f>
        <v>140</v>
      </c>
      <c r="B185" s="15" t="str">
        <f>BID!B160</f>
        <v>VILDAGLIPTIN/METFORMIN 50/1000MG TAB</v>
      </c>
      <c r="C185" s="15">
        <f>BID!C160</f>
        <v>60</v>
      </c>
      <c r="D185" s="15">
        <f>IF(K185&gt;0,(K185/100)*BID!D160,1*BID!D160)</f>
        <v>100</v>
      </c>
      <c r="E185" s="60">
        <f>IF(K185&gt;0,PR!S158,IF(BID!K160="EUMATT",BID!L160,0))</f>
        <v>9500</v>
      </c>
      <c r="F185" s="61">
        <f t="shared" si="5"/>
        <v>950000</v>
      </c>
      <c r="K185" s="445"/>
    </row>
    <row r="186" spans="1:11" ht="20.25" thickTop="1" thickBot="1" x14ac:dyDescent="0.35">
      <c r="A186" s="430">
        <f>BID!A161</f>
        <v>141</v>
      </c>
      <c r="B186" s="15" t="str">
        <f>BID!B161</f>
        <v>VILDAGLIPTIN/METFORMIN 50/500MG TAB</v>
      </c>
      <c r="C186" s="15">
        <f>BID!C161</f>
        <v>60</v>
      </c>
      <c r="D186" s="15">
        <f>IF(K186&gt;0,(K186/100)*BID!D161,1*BID!D161)</f>
        <v>100</v>
      </c>
      <c r="E186" s="60">
        <f>IF(K186&gt;0,PR!S159,IF(BID!K161="EUMATT",BID!L161,0))</f>
        <v>9500</v>
      </c>
      <c r="F186" s="61">
        <f t="shared" si="5"/>
        <v>950000</v>
      </c>
      <c r="K186" s="445"/>
    </row>
    <row r="187" spans="1:11" ht="20.25" thickTop="1" thickBot="1" x14ac:dyDescent="0.35"/>
    <row r="188" spans="1:11" ht="20.25" thickTop="1" thickBot="1" x14ac:dyDescent="0.35">
      <c r="A188" s="430">
        <f>BID!A371</f>
        <v>339</v>
      </c>
      <c r="B188" s="15" t="str">
        <f>BID!B371</f>
        <v>VITAMIN B COMPLEX SYRUP</v>
      </c>
      <c r="C188" s="15" t="str">
        <f>BID!C371</f>
        <v>BOTT</v>
      </c>
      <c r="D188" s="15">
        <f>IF(K188&gt;0,(K188/100)*BID!D371,1*BID!D371)</f>
        <v>800</v>
      </c>
      <c r="E188" s="60">
        <f>IF(K188&gt;0,PR!S369,IF(BID!K371="EUMATT",BID!L371,0))</f>
        <v>95</v>
      </c>
      <c r="F188" s="61">
        <f t="shared" ref="F188:F194" si="6">IF(E188&gt;0,(E188*D188),0)</f>
        <v>76000</v>
      </c>
      <c r="K188" s="445"/>
    </row>
    <row r="189" spans="1:11" ht="20.25" thickTop="1" thickBot="1" x14ac:dyDescent="0.35">
      <c r="A189" s="430">
        <f>BID!A375</f>
        <v>343</v>
      </c>
      <c r="B189" s="15" t="str">
        <f>BID!B375</f>
        <v>VITAMIN C INJ</v>
      </c>
      <c r="C189" s="15" t="str">
        <f>BID!C375</f>
        <v>AMP</v>
      </c>
      <c r="D189" s="15">
        <f>IF(K189&gt;0,(K189/100)*BID!D375,1*BID!D375)</f>
        <v>500</v>
      </c>
      <c r="E189" s="60">
        <f>IF(K189&gt;0,PR!S373,IF(BID!K375="EUMATT",BID!L375,0))</f>
        <v>30</v>
      </c>
      <c r="F189" s="61">
        <f t="shared" si="6"/>
        <v>15000</v>
      </c>
      <c r="K189" s="445"/>
    </row>
    <row r="190" spans="1:11" ht="20.25" thickTop="1" thickBot="1" x14ac:dyDescent="0.35">
      <c r="A190" s="430">
        <f>BID!A380</f>
        <v>348</v>
      </c>
      <c r="B190" s="15" t="str">
        <f>BID!B380</f>
        <v>VITAMIN K1</v>
      </c>
      <c r="C190" s="15" t="str">
        <f>BID!C380</f>
        <v>AMP</v>
      </c>
      <c r="D190" s="15">
        <f>IF(K190&gt;0,(K190/100)*BID!D380,1*BID!D380)</f>
        <v>2000</v>
      </c>
      <c r="E190" s="60">
        <f>IF(K190&gt;0,PR!S378,IF(BID!K380="EUMATT",BID!L380,0))</f>
        <v>52</v>
      </c>
      <c r="F190" s="61">
        <f t="shared" si="6"/>
        <v>104000</v>
      </c>
      <c r="K190" s="445"/>
    </row>
    <row r="191" spans="1:11" ht="20.25" thickTop="1" thickBot="1" x14ac:dyDescent="0.35">
      <c r="A191" s="430">
        <f>BID!A381</f>
        <v>349</v>
      </c>
      <c r="B191" s="15" t="str">
        <f>BID!B381</f>
        <v>WARFARIN 3MG TAB</v>
      </c>
      <c r="C191" s="15">
        <f>BID!C381</f>
        <v>28</v>
      </c>
      <c r="D191" s="15">
        <f>IF(K191&gt;0,(K191/100)*BID!D381,1*BID!D381)</f>
        <v>200</v>
      </c>
      <c r="E191" s="60">
        <f>IF(K191&gt;0,PR!S379,IF(BID!K381="EUMATT",BID!L381,0))</f>
        <v>420</v>
      </c>
      <c r="F191" s="61">
        <f t="shared" si="6"/>
        <v>84000</v>
      </c>
      <c r="K191" s="445"/>
    </row>
    <row r="192" spans="1:11" ht="20.25" thickTop="1" thickBot="1" x14ac:dyDescent="0.35">
      <c r="A192" s="430">
        <f>BID!A382</f>
        <v>350</v>
      </c>
      <c r="B192" s="15" t="str">
        <f>BID!B382</f>
        <v>WARFARIN 5MG TAB</v>
      </c>
      <c r="C192" s="15">
        <f>BID!C382</f>
        <v>28</v>
      </c>
      <c r="D192" s="15">
        <f>IF(K192&gt;0,(K192/100)*BID!D382,1*BID!D382)</f>
        <v>120</v>
      </c>
      <c r="E192" s="60">
        <f>IF(K192&gt;0,PR!S380,IF(BID!K382="EUMATT",BID!L382,0))</f>
        <v>470</v>
      </c>
      <c r="F192" s="61">
        <f t="shared" si="6"/>
        <v>56400</v>
      </c>
      <c r="K192" s="445"/>
    </row>
    <row r="193" spans="1:11" ht="20.25" thickTop="1" thickBot="1" x14ac:dyDescent="0.35">
      <c r="A193" s="430">
        <f>BID!A593</f>
        <v>536</v>
      </c>
      <c r="B193" s="15" t="str">
        <f>BID!B593</f>
        <v>XYLOMETHAZOLINE NASAL DROP (ADULT)</v>
      </c>
      <c r="C193" s="15" t="str">
        <f>BID!C593</f>
        <v>BOTT</v>
      </c>
      <c r="D193" s="15">
        <f>IF(K193&gt;0,(K193/100)*BID!D593,1*BID!D593)</f>
        <v>80</v>
      </c>
      <c r="E193" s="60">
        <f>IF(K193&gt;0,PR!S591,IF(BID!K593="EUMATT",BID!L593,0))</f>
        <v>1050</v>
      </c>
      <c r="F193" s="61">
        <f t="shared" si="6"/>
        <v>84000</v>
      </c>
      <c r="K193" s="445"/>
    </row>
    <row r="194" spans="1:11" ht="20.25" thickTop="1" thickBot="1" x14ac:dyDescent="0.35">
      <c r="A194" s="430">
        <f>BID!A594</f>
        <v>537</v>
      </c>
      <c r="B194" s="15" t="str">
        <f>BID!B594</f>
        <v>XYLOMETHAZOLINE NASAL DROP (PAED)</v>
      </c>
      <c r="C194" s="15" t="str">
        <f>BID!C594</f>
        <v>BOTT</v>
      </c>
      <c r="D194" s="15">
        <f>IF(K194&gt;0,(K194/100)*BID!D594,1*BID!D594)</f>
        <v>40</v>
      </c>
      <c r="E194" s="60">
        <f>IF(K194&gt;0,PR!S592,IF(BID!K594="EUMATT",BID!L594,0))</f>
        <v>1050</v>
      </c>
      <c r="F194" s="61">
        <f t="shared" si="6"/>
        <v>42000</v>
      </c>
      <c r="K194" s="445"/>
    </row>
    <row r="195" spans="1:11" ht="19.5" thickTop="1" x14ac:dyDescent="0.3">
      <c r="A195" s="430"/>
      <c r="B195" s="15"/>
      <c r="C195" s="15"/>
      <c r="D195" s="15"/>
      <c r="E195" s="60"/>
      <c r="F195" s="61"/>
    </row>
    <row r="196" spans="1:11" ht="19.5" thickBot="1" x14ac:dyDescent="0.35">
      <c r="A196" s="430"/>
      <c r="B196" s="15"/>
      <c r="C196" s="15"/>
      <c r="D196" s="15"/>
      <c r="E196" s="60"/>
      <c r="F196" s="442"/>
    </row>
    <row r="197" spans="1:11" ht="21.75" thickBot="1" x14ac:dyDescent="0.4">
      <c r="A197" s="430"/>
      <c r="B197" s="15"/>
      <c r="C197" s="15"/>
      <c r="D197" s="15"/>
      <c r="E197" s="441"/>
      <c r="F197" s="443">
        <f>SUM(F6:F194)</f>
        <v>87838260</v>
      </c>
    </row>
  </sheetData>
  <protectedRanges>
    <protectedRange sqref="K4:K186 K188:K194" name="Range1"/>
  </protectedRanges>
  <sortState ref="A6:K194">
    <sortCondition ref="B6:B194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A42FE-CC3A-42D2-AAC7-7789CA5F6401}">
  <sheetPr>
    <tabColor rgb="FF00B050"/>
  </sheetPr>
  <dimension ref="A1:K31"/>
  <sheetViews>
    <sheetView view="pageBreakPreview" zoomScale="85" zoomScaleNormal="100" zoomScaleSheetLayoutView="85" workbookViewId="0">
      <selection activeCell="B19" sqref="B19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N!B19</f>
        <v>FIDSON HEALTHCARE LIMITED</v>
      </c>
      <c r="C1" s="816"/>
      <c r="D1" s="816"/>
      <c r="E1" s="816"/>
      <c r="F1" s="816"/>
      <c r="K1" t="s">
        <v>631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BID!A34</f>
        <v>19</v>
      </c>
      <c r="B6" s="15" t="str">
        <f>BID!B34</f>
        <v xml:space="preserve">0.9% NORMAL SALINE </v>
      </c>
      <c r="C6" s="15">
        <f>BID!C34</f>
        <v>20</v>
      </c>
      <c r="D6" s="15">
        <f>IF(K6&gt;0,(K6/100)*BID!D34,1*BID!D34)</f>
        <v>2400</v>
      </c>
      <c r="E6" s="60">
        <f>IF(K6&gt;0,PR!T32,IF(BID!K34="FIDSON",BID!L34,0))</f>
        <v>2500</v>
      </c>
      <c r="F6" s="61">
        <f t="shared" ref="F6:F28" si="0">IF(E6&gt;0,(E6*D6),0)</f>
        <v>6000000</v>
      </c>
      <c r="K6" s="445">
        <v>80</v>
      </c>
    </row>
    <row r="7" spans="1:11" ht="20.25" thickTop="1" thickBot="1" x14ac:dyDescent="0.35">
      <c r="A7" s="430">
        <f>BID!A37</f>
        <v>22</v>
      </c>
      <c r="B7" s="15" t="str">
        <f>BID!B37</f>
        <v>20% MANNITOL</v>
      </c>
      <c r="C7" s="15">
        <f>BID!C37</f>
        <v>20</v>
      </c>
      <c r="D7" s="15">
        <f>IF(K7&gt;0,(K7/100)*BID!D37,1*BID!D37)</f>
        <v>40</v>
      </c>
      <c r="E7" s="60">
        <f>IF(K7&gt;0,PR!T35,IF(BID!K37="FIDSON",BID!L37,0))</f>
        <v>7800</v>
      </c>
      <c r="F7" s="61">
        <f t="shared" si="0"/>
        <v>312000</v>
      </c>
      <c r="K7" s="445"/>
    </row>
    <row r="8" spans="1:11" ht="20.25" thickTop="1" thickBot="1" x14ac:dyDescent="0.35">
      <c r="A8" s="430">
        <f>BID!A38</f>
        <v>23</v>
      </c>
      <c r="B8" s="15" t="str">
        <f>BID!B38</f>
        <v>4.3% DEXTROSE IN 0.18% SALINE</v>
      </c>
      <c r="C8" s="15">
        <f>BID!C38</f>
        <v>20</v>
      </c>
      <c r="D8" s="15">
        <f>IF(K8&gt;0,(K8/100)*BID!D38,1*BID!D38)</f>
        <v>240</v>
      </c>
      <c r="E8" s="60">
        <f>IF(K8&gt;0,PR!T36,IF(BID!K38="FIDSON",BID!L38,0))</f>
        <v>2500</v>
      </c>
      <c r="F8" s="61">
        <f t="shared" si="0"/>
        <v>600000</v>
      </c>
      <c r="K8" s="445">
        <v>80</v>
      </c>
    </row>
    <row r="9" spans="1:11" ht="20.25" thickTop="1" thickBot="1" x14ac:dyDescent="0.35">
      <c r="A9" s="430">
        <f>BID!A39</f>
        <v>24</v>
      </c>
      <c r="B9" s="15" t="str">
        <f>BID!B39</f>
        <v>5% DEXTROSE SALINE</v>
      </c>
      <c r="C9" s="15">
        <f>BID!C39</f>
        <v>20</v>
      </c>
      <c r="D9" s="15">
        <f>IF(K9&gt;0,(K9/100)*BID!D39,1*BID!D39)</f>
        <v>1280</v>
      </c>
      <c r="E9" s="60">
        <f>IF(K9&gt;0,PR!T37,IF(BID!K39="FIDSON",BID!L39,0))</f>
        <v>2500</v>
      </c>
      <c r="F9" s="61">
        <f t="shared" si="0"/>
        <v>3200000</v>
      </c>
      <c r="K9" s="445">
        <v>80</v>
      </c>
    </row>
    <row r="10" spans="1:11" ht="20.25" thickTop="1" thickBot="1" x14ac:dyDescent="0.35">
      <c r="A10" s="430">
        <f>BID!A40</f>
        <v>25</v>
      </c>
      <c r="B10" s="15" t="str">
        <f>BID!B40</f>
        <v>5% DEXTROSE WATER</v>
      </c>
      <c r="C10" s="15">
        <f>BID!C40</f>
        <v>20</v>
      </c>
      <c r="D10" s="15">
        <f>IF(K10&gt;0,(K10/100)*BID!D40,1*BID!D40)</f>
        <v>640</v>
      </c>
      <c r="E10" s="60">
        <f>IF(K10&gt;0,PR!T38,IF(BID!K40="FIDSON",BID!L40,0))</f>
        <v>2500</v>
      </c>
      <c r="F10" s="61">
        <f t="shared" si="0"/>
        <v>1600000</v>
      </c>
      <c r="K10" s="445">
        <v>80</v>
      </c>
    </row>
    <row r="11" spans="1:11" ht="20.25" thickTop="1" thickBot="1" x14ac:dyDescent="0.35">
      <c r="A11" s="430">
        <f>BID!A13</f>
        <v>1</v>
      </c>
      <c r="B11" s="15" t="str">
        <f>BID!B13</f>
        <v>ab-ARTEETHER 150MG INJ</v>
      </c>
      <c r="C11" s="15">
        <f>BID!C13</f>
        <v>3</v>
      </c>
      <c r="D11" s="15">
        <f>IF(K11&gt;0,(K11/100)*BID!D13,1*BID!D13)</f>
        <v>2100</v>
      </c>
      <c r="E11" s="60">
        <f>IF(K11&gt;0,PR!T11,IF(BID!K13="FIDSON",BID!L13,0))</f>
        <v>1300</v>
      </c>
      <c r="F11" s="61">
        <f t="shared" si="0"/>
        <v>2730000</v>
      </c>
      <c r="K11" s="445">
        <v>70</v>
      </c>
    </row>
    <row r="12" spans="1:11" ht="20.25" thickTop="1" thickBot="1" x14ac:dyDescent="0.35">
      <c r="A12" s="430">
        <f>BID!A421</f>
        <v>381</v>
      </c>
      <c r="B12" s="15" t="str">
        <f>BID!B421</f>
        <v>ADDYZOA CAP</v>
      </c>
      <c r="C12" s="15">
        <f>BID!C421</f>
        <v>20</v>
      </c>
      <c r="D12" s="15">
        <f>IF(K12&gt;0,(K12/100)*BID!D421,1*BID!D421)</f>
        <v>80</v>
      </c>
      <c r="E12" s="60">
        <f>IF(K12&gt;0,PR!T419,IF(BID!K421="FIDSON",BID!L421,0))</f>
        <v>2500</v>
      </c>
      <c r="F12" s="61">
        <f t="shared" si="0"/>
        <v>200000</v>
      </c>
      <c r="K12" s="445"/>
    </row>
    <row r="13" spans="1:11" ht="20.25" thickTop="1" thickBot="1" x14ac:dyDescent="0.35">
      <c r="A13" s="430">
        <f>BID!A43</f>
        <v>28</v>
      </c>
      <c r="B13" s="15" t="str">
        <f>BID!B43</f>
        <v>AMINO ACID INFUSION</v>
      </c>
      <c r="C13" s="15">
        <f>BID!C43</f>
        <v>10</v>
      </c>
      <c r="D13" s="15">
        <f>IF(K13&gt;0,(K13/100)*BID!D43,1*BID!D43)</f>
        <v>4</v>
      </c>
      <c r="E13" s="60">
        <f>IF(K13&gt;0,PR!T41,IF(BID!K43="FIDSON",BID!L43,0))</f>
        <v>2900</v>
      </c>
      <c r="F13" s="61">
        <f t="shared" si="0"/>
        <v>11600</v>
      </c>
      <c r="K13" s="445"/>
    </row>
    <row r="14" spans="1:11" ht="20.25" thickTop="1" thickBot="1" x14ac:dyDescent="0.35">
      <c r="A14" s="430">
        <f>BID!A318</f>
        <v>286</v>
      </c>
      <c r="B14" s="15" t="str">
        <f>BID!B318</f>
        <v>AMINO ACIDS + IRON CAP</v>
      </c>
      <c r="C14" s="15">
        <f>BID!C318</f>
        <v>30</v>
      </c>
      <c r="D14" s="15">
        <f>IF(K14&gt;0,(K14/100)*BID!D318,1*BID!D318)</f>
        <v>2000</v>
      </c>
      <c r="E14" s="60">
        <f>IF(K14&gt;0,PR!T316,IF(BID!K318="FIDSON",BID!L318,0))</f>
        <v>1160</v>
      </c>
      <c r="F14" s="61">
        <f t="shared" si="0"/>
        <v>2320000</v>
      </c>
      <c r="K14" s="445"/>
    </row>
    <row r="15" spans="1:11" ht="20.25" thickTop="1" thickBot="1" x14ac:dyDescent="0.35">
      <c r="A15" s="430">
        <f>BID!A319</f>
        <v>287</v>
      </c>
      <c r="B15" s="15" t="str">
        <f>BID!B319</f>
        <v>AMINO ACIDS + IRON SYR</v>
      </c>
      <c r="C15" s="15" t="str">
        <f>BID!C319</f>
        <v>BOTT</v>
      </c>
      <c r="D15" s="15">
        <f>IF(K15&gt;0,(K15/100)*BID!D319,1*BID!D319)</f>
        <v>600</v>
      </c>
      <c r="E15" s="60">
        <f>IF(K15&gt;0,PR!T317,IF(BID!K319="FIDSON",BID!L319,0))</f>
        <v>1160</v>
      </c>
      <c r="F15" s="61">
        <f t="shared" si="0"/>
        <v>696000</v>
      </c>
      <c r="K15" s="445"/>
    </row>
    <row r="16" spans="1:11" ht="20.25" thickTop="1" thickBot="1" x14ac:dyDescent="0.35">
      <c r="A16" s="430">
        <f>BID!A320</f>
        <v>288</v>
      </c>
      <c r="B16" s="15" t="str">
        <f>BID!B320</f>
        <v>AMINO ACIDS CAP</v>
      </c>
      <c r="C16" s="15">
        <f>BID!C320</f>
        <v>20</v>
      </c>
      <c r="D16" s="15">
        <f>IF(K16&gt;0,(K16/100)*BID!D320,1*BID!D320)</f>
        <v>1200</v>
      </c>
      <c r="E16" s="60">
        <f>IF(K16&gt;0,PR!T318,IF(BID!K320="FIDSON",BID!L320,0))</f>
        <v>1160</v>
      </c>
      <c r="F16" s="61">
        <f t="shared" si="0"/>
        <v>1392000</v>
      </c>
      <c r="K16" s="445"/>
    </row>
    <row r="17" spans="1:11" ht="20.25" thickTop="1" thickBot="1" x14ac:dyDescent="0.35">
      <c r="A17" s="430">
        <f>BID!A321</f>
        <v>289</v>
      </c>
      <c r="B17" s="15" t="str">
        <f>BID!B321</f>
        <v>AMINO ACIDS SYR</v>
      </c>
      <c r="C17" s="15" t="str">
        <f>BID!C321</f>
        <v>BOTT</v>
      </c>
      <c r="D17" s="15">
        <f>IF(K17&gt;0,(K17/100)*BID!D321,1*BID!D321)</f>
        <v>600</v>
      </c>
      <c r="E17" s="60">
        <f>IF(K17&gt;0,PR!T319,IF(BID!K321="FIDSON",BID!L321,0))</f>
        <v>1160</v>
      </c>
      <c r="F17" s="61">
        <f t="shared" si="0"/>
        <v>696000</v>
      </c>
      <c r="K17" s="445"/>
    </row>
    <row r="18" spans="1:11" ht="20.25" thickTop="1" thickBot="1" x14ac:dyDescent="0.35">
      <c r="A18" s="430">
        <f>BID!A524</f>
        <v>470</v>
      </c>
      <c r="B18" s="15" t="str">
        <f>BID!B524</f>
        <v>CETIRIZINE SYRUP</v>
      </c>
      <c r="C18" s="15" t="str">
        <f>BID!C524</f>
        <v>BOTT</v>
      </c>
      <c r="D18" s="15">
        <f>IF(K18&gt;0,(K18/100)*BID!D524,1*BID!D524)</f>
        <v>60</v>
      </c>
      <c r="E18" s="60">
        <f>IF(K18&gt;0,PR!T522,IF(BID!K524="FIDSON",BID!L524,0))</f>
        <v>240</v>
      </c>
      <c r="F18" s="61">
        <f t="shared" si="0"/>
        <v>14400</v>
      </c>
      <c r="K18" s="445"/>
    </row>
    <row r="19" spans="1:11" ht="20.25" thickTop="1" thickBot="1" x14ac:dyDescent="0.35">
      <c r="A19" s="430">
        <f>BID!A168</f>
        <v>145</v>
      </c>
      <c r="B19" s="15" t="str">
        <f>BID!B168</f>
        <v>CHONDROITIN SULPHATE/GLUCOSAMINE (FORTE)</v>
      </c>
      <c r="C19" s="15">
        <f>BID!C168</f>
        <v>30</v>
      </c>
      <c r="D19" s="15">
        <f>IF(K19&gt;0,(K19/100)*BID!D168,1*BID!D168)</f>
        <v>560</v>
      </c>
      <c r="E19" s="60">
        <f>IF(K19&gt;0,PR!T166,IF(BID!K168="FIDSON",BID!L168,0))</f>
        <v>2600</v>
      </c>
      <c r="F19" s="61">
        <f t="shared" si="0"/>
        <v>1456000</v>
      </c>
      <c r="K19" s="445">
        <v>70</v>
      </c>
    </row>
    <row r="20" spans="1:11" ht="20.25" thickTop="1" thickBot="1" x14ac:dyDescent="0.35">
      <c r="A20" s="430">
        <f>BID!A266</f>
        <v>240</v>
      </c>
      <c r="B20" s="15" t="str">
        <f>BID!B266</f>
        <v>CLOTRIMAZOLE 1% CREAM 20g</v>
      </c>
      <c r="C20" s="15" t="str">
        <f>BID!C266</f>
        <v>TUBE</v>
      </c>
      <c r="D20" s="15">
        <f>IF(K20&gt;0,(K20/100)*BID!D266,1*BID!D266)</f>
        <v>700</v>
      </c>
      <c r="E20" s="60">
        <f>IF(K20&gt;0,PR!T264,IF(BID!K266="FIDSON",BID!L266,0))</f>
        <v>115</v>
      </c>
      <c r="F20" s="61">
        <f t="shared" si="0"/>
        <v>80500</v>
      </c>
      <c r="K20" s="445">
        <v>70</v>
      </c>
    </row>
    <row r="21" spans="1:11" ht="20.25" thickTop="1" thickBot="1" x14ac:dyDescent="0.35">
      <c r="A21" s="430">
        <f>BID!A332</f>
        <v>300</v>
      </c>
      <c r="B21" s="15" t="str">
        <f>BID!B332</f>
        <v>ENOXAPARIN 40MG INJ</v>
      </c>
      <c r="C21" s="15" t="str">
        <f>BID!C332</f>
        <v>AMP</v>
      </c>
      <c r="D21" s="15">
        <f>IF(K21&gt;0,(K21/100)*BID!D332,1*BID!D332)</f>
        <v>420</v>
      </c>
      <c r="E21" s="60">
        <f>IF(K21&gt;0,PR!T330,IF(BID!K332="FIDSON",BID!L332,0))</f>
        <v>1800</v>
      </c>
      <c r="F21" s="61">
        <f t="shared" si="0"/>
        <v>756000</v>
      </c>
      <c r="K21" s="445">
        <v>30</v>
      </c>
    </row>
    <row r="22" spans="1:11" ht="20.25" thickTop="1" thickBot="1" x14ac:dyDescent="0.35">
      <c r="A22" s="430">
        <v>285</v>
      </c>
      <c r="B22" s="15" t="s">
        <v>2176</v>
      </c>
      <c r="C22" s="15">
        <v>30</v>
      </c>
      <c r="D22" s="15">
        <v>500</v>
      </c>
      <c r="E22" s="60">
        <v>340</v>
      </c>
      <c r="F22" s="61">
        <f t="shared" si="0"/>
        <v>170000</v>
      </c>
      <c r="K22" s="445"/>
    </row>
    <row r="23" spans="1:11" ht="20.25" thickTop="1" thickBot="1" x14ac:dyDescent="0.35">
      <c r="A23" s="430">
        <f>BID!A428</f>
        <v>388</v>
      </c>
      <c r="B23" s="15" t="str">
        <f>BID!B428</f>
        <v>M2TONE TAB</v>
      </c>
      <c r="C23" s="15">
        <f>BID!C428</f>
        <v>20</v>
      </c>
      <c r="D23" s="15">
        <f>IF(K23&gt;0,(K23/100)*BID!D428,1*BID!D428)</f>
        <v>20</v>
      </c>
      <c r="E23" s="60">
        <f>IF(K23&gt;0,PR!T426,IF(BID!K428="FIDSON",BID!L428,0))</f>
        <v>1600</v>
      </c>
      <c r="F23" s="61">
        <f t="shared" si="0"/>
        <v>32000</v>
      </c>
      <c r="K23" s="445"/>
    </row>
    <row r="24" spans="1:11" ht="20.25" thickTop="1" thickBot="1" x14ac:dyDescent="0.35">
      <c r="A24" s="430">
        <f>BID!A290</f>
        <v>264</v>
      </c>
      <c r="B24" s="15" t="str">
        <f>BID!B290</f>
        <v>METRONIDAZOLE 200MG TAB</v>
      </c>
      <c r="C24" s="15">
        <f>BID!C290</f>
        <v>100</v>
      </c>
      <c r="D24" s="15">
        <f>IF(K24&gt;0,(K24/100)*BID!D290,1*BID!D290)</f>
        <v>300</v>
      </c>
      <c r="E24" s="60">
        <f>IF(K24&gt;0,PR!T288,IF(BID!K290="FIDSON",BID!L290,0))</f>
        <v>220</v>
      </c>
      <c r="F24" s="61">
        <f t="shared" si="0"/>
        <v>66000</v>
      </c>
      <c r="K24" s="445"/>
    </row>
    <row r="25" spans="1:11" ht="20.25" thickTop="1" thickBot="1" x14ac:dyDescent="0.35">
      <c r="A25" s="430">
        <f>BID!A292</f>
        <v>266</v>
      </c>
      <c r="B25" s="15" t="str">
        <f>BID!B292</f>
        <v xml:space="preserve">METRONIDAZOLE INJ </v>
      </c>
      <c r="C25" s="15" t="str">
        <f>BID!C292</f>
        <v>BOTT</v>
      </c>
      <c r="D25" s="15">
        <f>IF(K25&gt;0,(K25/100)*BID!D292,1*BID!D292)</f>
        <v>13200</v>
      </c>
      <c r="E25" s="60">
        <f>IF(K25&gt;0,PR!T290,IF(BID!K292="FIDSON",BID!L292,0))</f>
        <v>95</v>
      </c>
      <c r="F25" s="61">
        <f t="shared" si="0"/>
        <v>1254000</v>
      </c>
      <c r="K25" s="445">
        <v>30</v>
      </c>
    </row>
    <row r="26" spans="1:11" ht="20.25" thickTop="1" thickBot="1" x14ac:dyDescent="0.35">
      <c r="A26" s="430">
        <f>BID!A347</f>
        <v>315</v>
      </c>
      <c r="B26" s="15" t="str">
        <f>BID!B347</f>
        <v>MULTIVITE SYRUP</v>
      </c>
      <c r="C26" s="15" t="str">
        <f>BID!C347</f>
        <v>BOTT</v>
      </c>
      <c r="D26" s="15">
        <f>IF(K26&gt;0,(K26/100)*BID!D347,1*BID!D347)</f>
        <v>800</v>
      </c>
      <c r="E26" s="60">
        <f>IF(K26&gt;0,PR!T345,IF(BID!K347="FIDSON",BID!L347,0))</f>
        <v>120</v>
      </c>
      <c r="F26" s="61">
        <f t="shared" si="0"/>
        <v>96000</v>
      </c>
      <c r="K26" s="445"/>
    </row>
    <row r="27" spans="1:11" ht="20.25" thickTop="1" thickBot="1" x14ac:dyDescent="0.35">
      <c r="A27" s="430">
        <f>BID!A520</f>
        <v>468</v>
      </c>
      <c r="B27" s="15" t="str">
        <f>BID!B520</f>
        <v>SALBUTAMOL SYRUP</v>
      </c>
      <c r="C27" s="15" t="str">
        <f>BID!C520</f>
        <v>BOTT</v>
      </c>
      <c r="D27" s="15">
        <f>IF(K27&gt;0,(K27/100)*BID!D520,1*BID!D520)</f>
        <v>60</v>
      </c>
      <c r="E27" s="60">
        <f>IF(K27&gt;0,PR!T518,IF(BID!K520="FIDSON",BID!L520,0))</f>
        <v>200</v>
      </c>
      <c r="F27" s="61">
        <f t="shared" si="0"/>
        <v>12000</v>
      </c>
      <c r="K27" s="445"/>
    </row>
    <row r="28" spans="1:11" ht="20.25" thickTop="1" thickBot="1" x14ac:dyDescent="0.35">
      <c r="A28" s="430">
        <f>BID!A435</f>
        <v>395</v>
      </c>
      <c r="B28" s="15" t="str">
        <f>BID!B435</f>
        <v>VIGOMAX TAB</v>
      </c>
      <c r="C28" s="15">
        <f>BID!C435</f>
        <v>20</v>
      </c>
      <c r="D28" s="15">
        <f>IF(K28&gt;0,(K28/100)*BID!D435,1*BID!D435)</f>
        <v>50</v>
      </c>
      <c r="E28" s="60">
        <f>IF(K28&gt;0,PR!T433,IF(BID!K435="FIDSON",BID!L435,0))</f>
        <v>2300</v>
      </c>
      <c r="F28" s="61">
        <f t="shared" si="0"/>
        <v>115000</v>
      </c>
      <c r="K28" s="445"/>
    </row>
    <row r="29" spans="1:11" ht="19.5" thickTop="1" x14ac:dyDescent="0.3">
      <c r="A29" s="430"/>
      <c r="B29" s="15"/>
      <c r="C29" s="15"/>
      <c r="D29" s="15"/>
      <c r="E29" s="60"/>
      <c r="F29" s="61"/>
    </row>
    <row r="30" spans="1:11" ht="19.5" thickBot="1" x14ac:dyDescent="0.35">
      <c r="A30" s="430"/>
      <c r="B30" s="15"/>
      <c r="C30" s="15"/>
      <c r="D30" s="15"/>
      <c r="E30" s="60"/>
      <c r="F30" s="442"/>
    </row>
    <row r="31" spans="1:11" ht="21.75" thickBot="1" x14ac:dyDescent="0.4">
      <c r="A31" s="430"/>
      <c r="B31" s="15"/>
      <c r="C31" s="15"/>
      <c r="D31" s="15"/>
      <c r="E31" s="441"/>
      <c r="F31" s="443">
        <f>SUM(F6:F28)</f>
        <v>23809500</v>
      </c>
    </row>
  </sheetData>
  <sheetProtection algorithmName="SHA-512" hashValue="SNyJECIrOnXYZsG97sc4ek4Dd9nncfhbILvxPbxjkJb5T1ZQZ7PpFOrh5Bd/hkMGlKkmrj8VYV1K8+xjrtwccw==" saltValue="QHZWJWua3DYNcTHVNuOPOw==" spinCount="100000" sheet="1" objects="1" scenarios="1"/>
  <protectedRanges>
    <protectedRange sqref="K4:K28" name="Range1"/>
  </protectedRanges>
  <sortState ref="A6:K28">
    <sortCondition ref="B6:B28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3D2C-27C1-460E-91D5-E2C3A8E6DB64}">
  <sheetPr>
    <tabColor rgb="FF00B0F0"/>
  </sheetPr>
  <dimension ref="A1:K14"/>
  <sheetViews>
    <sheetView view="pageBreakPreview" zoomScale="85" zoomScaleNormal="100" zoomScaleSheetLayoutView="85" workbookViewId="0">
      <selection activeCell="B9" sqref="B9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N!B20</f>
        <v>FIRST CHOICE GLOBAL UTILITIES LIMITED</v>
      </c>
      <c r="C1" s="816"/>
      <c r="D1" s="816"/>
      <c r="E1" s="816"/>
      <c r="F1" s="816"/>
      <c r="K1" t="s">
        <v>815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BID!A686</f>
        <v>622</v>
      </c>
      <c r="B6" s="15" t="str">
        <f>BID!B686</f>
        <v>PLASTER 1" (2.5CM X 9.1M) TRANSPARENT</v>
      </c>
      <c r="C6" s="15">
        <f>BID!C686</f>
        <v>12</v>
      </c>
      <c r="D6" s="15">
        <f>IF(K6&gt;0,(K6/100)*BID!D686,1*BID!D686)</f>
        <v>672</v>
      </c>
      <c r="E6" s="60">
        <f>IF(K6&gt;0,PR!U684,IF(BID!K686="FCGLOBAL",BID!L686,0))</f>
        <v>4800</v>
      </c>
      <c r="F6" s="61">
        <f t="shared" ref="F6:F11" si="0">IF(E6&gt;0,(E6*D6),0)</f>
        <v>3225600</v>
      </c>
      <c r="K6" s="445"/>
    </row>
    <row r="7" spans="1:11" ht="20.25" thickTop="1" thickBot="1" x14ac:dyDescent="0.35">
      <c r="A7" s="430">
        <f>BID!A690</f>
        <v>626</v>
      </c>
      <c r="B7" s="15" t="str">
        <f>BID!B690</f>
        <v>PLASTER 2" (5CM X 9.1M) BROWN</v>
      </c>
      <c r="C7" s="15">
        <f>BID!C690</f>
        <v>5</v>
      </c>
      <c r="D7" s="15">
        <f>IF(K7&gt;0,(K7/100)*BID!D690,1*BID!D690)</f>
        <v>42</v>
      </c>
      <c r="E7" s="60">
        <f>IF(K7&gt;0,PR!U688,IF(BID!K690="FCGLOBAL",BID!L690,0))</f>
        <v>3800</v>
      </c>
      <c r="F7" s="61">
        <f t="shared" si="0"/>
        <v>159600</v>
      </c>
      <c r="K7" s="445">
        <v>40</v>
      </c>
    </row>
    <row r="8" spans="1:11" ht="20.25" thickTop="1" thickBot="1" x14ac:dyDescent="0.35">
      <c r="A8" s="430">
        <f>BID!A687</f>
        <v>623</v>
      </c>
      <c r="B8" s="15" t="str">
        <f>BID!B687</f>
        <v>PLASTER 2" (5CM X 9.1M) TRANSPARENT</v>
      </c>
      <c r="C8" s="15">
        <f>BID!C687</f>
        <v>6</v>
      </c>
      <c r="D8" s="15">
        <f>IF(K8&gt;0,(K8/100)*BID!D687,1*BID!D687)</f>
        <v>20</v>
      </c>
      <c r="E8" s="60">
        <f>IF(K8&gt;0,PR!U685,IF(BID!K687="FCGLOBAL",BID!L687,0))</f>
        <v>4800</v>
      </c>
      <c r="F8" s="61">
        <f t="shared" si="0"/>
        <v>96000</v>
      </c>
      <c r="K8" s="445"/>
    </row>
    <row r="9" spans="1:11" ht="20.25" thickTop="1" thickBot="1" x14ac:dyDescent="0.35">
      <c r="A9" s="430">
        <f>BID!A688</f>
        <v>624</v>
      </c>
      <c r="B9" s="15" t="str">
        <f>BID!B688</f>
        <v>PLASTER 3"(7.5CM X 9.1M) - DURAPORE</v>
      </c>
      <c r="C9" s="15">
        <f>BID!C688</f>
        <v>4</v>
      </c>
      <c r="D9" s="15">
        <f>IF(K9&gt;0,(K9/100)*BID!D688,1*BID!D688)</f>
        <v>100</v>
      </c>
      <c r="E9" s="60">
        <f>IF(K9&gt;0,PR!U686,IF(BID!K688="FCGLOBAL",BID!L688,0))</f>
        <v>7500</v>
      </c>
      <c r="F9" s="61">
        <f t="shared" si="0"/>
        <v>750000</v>
      </c>
      <c r="K9" s="445"/>
    </row>
    <row r="10" spans="1:11" ht="20.25" thickTop="1" thickBot="1" x14ac:dyDescent="0.35">
      <c r="A10" s="430">
        <f>BID!A691</f>
        <v>627</v>
      </c>
      <c r="B10" s="15" t="str">
        <f>BID!B691</f>
        <v>PLASTER 3"(7.5CM X 9.1M) BROWN</v>
      </c>
      <c r="C10" s="15">
        <f>BID!C691</f>
        <v>5</v>
      </c>
      <c r="D10" s="15">
        <f>IF(K10&gt;0,(K10/100)*BID!D691,1*BID!D691)</f>
        <v>73.2</v>
      </c>
      <c r="E10" s="60">
        <f>IF(K10&gt;0,PR!U689,IF(BID!K691="FCGLOBAL",BID!L691,0))</f>
        <v>2700</v>
      </c>
      <c r="F10" s="61">
        <f t="shared" si="0"/>
        <v>197640</v>
      </c>
      <c r="K10" s="445">
        <v>60</v>
      </c>
    </row>
    <row r="11" spans="1:11" ht="20.25" thickTop="1" thickBot="1" x14ac:dyDescent="0.35">
      <c r="A11" s="430">
        <f>BID!A689</f>
        <v>625</v>
      </c>
      <c r="B11" s="15" t="str">
        <f>BID!B689</f>
        <v>PLASTER 3"(7.5CM X 9.1M) TRANSPARENT</v>
      </c>
      <c r="C11" s="15">
        <f>BID!C689</f>
        <v>4</v>
      </c>
      <c r="D11" s="15">
        <f>IF(K11&gt;0,(K11/100)*BID!D689,1*BID!D689)</f>
        <v>12</v>
      </c>
      <c r="E11" s="60">
        <f>IF(K11&gt;0,PR!U687,IF(BID!K689="FCGLOBAL",BID!L689,0))</f>
        <v>4800</v>
      </c>
      <c r="F11" s="61">
        <f t="shared" si="0"/>
        <v>57600</v>
      </c>
      <c r="K11" s="445"/>
    </row>
    <row r="12" spans="1:11" ht="19.5" thickTop="1" x14ac:dyDescent="0.3">
      <c r="A12" s="430"/>
      <c r="B12" s="15"/>
      <c r="C12" s="15"/>
      <c r="D12" s="15"/>
      <c r="E12" s="60"/>
      <c r="F12" s="61"/>
    </row>
    <row r="13" spans="1:11" ht="19.5" thickBot="1" x14ac:dyDescent="0.35">
      <c r="A13" s="430"/>
      <c r="B13" s="15"/>
      <c r="C13" s="15"/>
      <c r="D13" s="15"/>
      <c r="E13" s="60"/>
      <c r="F13" s="442"/>
    </row>
    <row r="14" spans="1:11" ht="21.75" thickBot="1" x14ac:dyDescent="0.4">
      <c r="A14" s="430"/>
      <c r="B14" s="15"/>
      <c r="C14" s="15"/>
      <c r="D14" s="15"/>
      <c r="E14" s="441"/>
      <c r="F14" s="443">
        <f>SUM(F6:F11)</f>
        <v>4486440</v>
      </c>
    </row>
  </sheetData>
  <sheetProtection algorithmName="SHA-512" hashValue="5OGYUzJ31WOrnTpF5XlKptsPUkwbt9qRJ/TSOmPtSTAQgQTpxtQQfqfXzvS2F4ggqmXdV8C+KAGRWnhB94qEpQ==" saltValue="2gSKdLUg9038qHe4Z3C8Xg==" spinCount="100000" sheet="1" objects="1" scenarios="1"/>
  <protectedRanges>
    <protectedRange sqref="K6:K11" name="Range1"/>
    <protectedRange sqref="K4:K5" name="Range1_1"/>
  </protectedRanges>
  <sortState ref="A6:K11">
    <sortCondition ref="B6:B11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5F990-A32F-455D-B0B2-BC519CA8A089}">
  <sheetPr>
    <tabColor rgb="FF0070C0"/>
  </sheetPr>
  <dimension ref="A1:K12"/>
  <sheetViews>
    <sheetView view="pageBreakPreview" zoomScale="85" zoomScaleNormal="100" zoomScaleSheetLayoutView="85" workbookViewId="0">
      <selection activeCell="B6" sqref="B6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N!B21</f>
        <v>GENEITH PHARMACEUTICALS LIMITED</v>
      </c>
      <c r="C1" s="816"/>
      <c r="D1" s="816"/>
      <c r="E1" s="816"/>
      <c r="F1" s="816"/>
      <c r="K1" t="s">
        <v>619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BID!A17</f>
        <v>5</v>
      </c>
      <c r="B6" s="15" t="str">
        <f>BID!B17</f>
        <v>ARTEMETHER/LUMEFANTRINE (80/480) SOFT GEL</v>
      </c>
      <c r="C6" s="15">
        <f>BID!C17</f>
        <v>6</v>
      </c>
      <c r="D6" s="15">
        <f>IF(K6&gt;0,(K6/100)*BID!D17,1*BID!D17)</f>
        <v>500</v>
      </c>
      <c r="E6" s="60">
        <f>IF(K6&gt;0,PR!V15,IF(BID!K17="GENEITH",BID!L17,0))</f>
        <v>550</v>
      </c>
      <c r="F6" s="61">
        <f>IF(E6&gt;0,(E6*D6),0)</f>
        <v>275000</v>
      </c>
      <c r="K6" s="445"/>
    </row>
    <row r="7" spans="1:11" ht="20.25" thickTop="1" thickBot="1" x14ac:dyDescent="0.35">
      <c r="A7" s="430">
        <f>BID!A273</f>
        <v>247</v>
      </c>
      <c r="B7" s="15" t="str">
        <f>BID!B273</f>
        <v>ERYTHROMYCIN 125MG/5ML SUSP</v>
      </c>
      <c r="C7" s="15" t="str">
        <f>BID!C273</f>
        <v>BOTT</v>
      </c>
      <c r="D7" s="15">
        <f>IF(K7&gt;0,(K7/100)*BID!D273,1*BID!D273)</f>
        <v>400</v>
      </c>
      <c r="E7" s="60">
        <f>IF(K7&gt;0,PR!V271,IF(BID!K273="GENEITH",BID!L273,0))</f>
        <v>400</v>
      </c>
      <c r="F7" s="61">
        <f>IF(E7&gt;0,(E7*D7),0)</f>
        <v>160000</v>
      </c>
      <c r="K7" s="445">
        <v>50</v>
      </c>
    </row>
    <row r="8" spans="1:11" ht="20.25" thickTop="1" thickBot="1" x14ac:dyDescent="0.35">
      <c r="A8" s="430">
        <f>BID!A434</f>
        <v>394</v>
      </c>
      <c r="B8" s="15" t="str">
        <f>BID!B434</f>
        <v>TADALAFIL</v>
      </c>
      <c r="C8" s="15">
        <f>BID!C434</f>
        <v>4</v>
      </c>
      <c r="D8" s="15">
        <f>IF(K8&gt;0,(K8/100)*BID!D434,1*BID!D434)</f>
        <v>100</v>
      </c>
      <c r="E8" s="60">
        <f>IF(K8&gt;0,PR!V432,IF(BID!K434="GENEITH",BID!L434,0))</f>
        <v>495</v>
      </c>
      <c r="F8" s="61">
        <f>IF(E8&gt;0,(E8*D8),0)</f>
        <v>49500</v>
      </c>
      <c r="K8" s="445"/>
    </row>
    <row r="9" spans="1:11" ht="20.25" thickTop="1" thickBot="1" x14ac:dyDescent="0.35">
      <c r="A9" s="430">
        <f>BID!A215</f>
        <v>192</v>
      </c>
      <c r="B9" s="15" t="str">
        <f>BID!B215</f>
        <v>TRAMADOL 100MG INJ</v>
      </c>
      <c r="C9" s="15">
        <f>BID!C215</f>
        <v>100</v>
      </c>
      <c r="D9" s="15">
        <f>IF(K9&gt;0,(K9/100)*BID!D215,1*BID!D215)</f>
        <v>4</v>
      </c>
      <c r="E9" s="60">
        <f>IF(K9&gt;0,PR!V213,IF(BID!K215="GENEITH",BID!L215,0))</f>
        <v>4500</v>
      </c>
      <c r="F9" s="61">
        <f>IF(E9&gt;0,(E9*D9),0)</f>
        <v>18000</v>
      </c>
      <c r="K9" s="445"/>
    </row>
    <row r="10" spans="1:11" ht="19.5" thickTop="1" x14ac:dyDescent="0.3">
      <c r="A10" s="430"/>
      <c r="B10" s="15"/>
      <c r="C10" s="15"/>
      <c r="D10" s="15"/>
      <c r="E10" s="60"/>
      <c r="F10" s="61"/>
    </row>
    <row r="11" spans="1:11" ht="19.5" thickBot="1" x14ac:dyDescent="0.35">
      <c r="A11" s="430"/>
      <c r="B11" s="15"/>
      <c r="C11" s="15"/>
      <c r="D11" s="15"/>
      <c r="E11" s="60"/>
      <c r="F11" s="442"/>
    </row>
    <row r="12" spans="1:11" ht="21.75" thickBot="1" x14ac:dyDescent="0.4">
      <c r="A12" s="430"/>
      <c r="B12" s="15"/>
      <c r="C12" s="15"/>
      <c r="D12" s="15"/>
      <c r="E12" s="441"/>
      <c r="F12" s="443">
        <f>SUM(F6:F9)</f>
        <v>502500</v>
      </c>
    </row>
  </sheetData>
  <protectedRanges>
    <protectedRange sqref="K6:K9" name="Range1"/>
    <protectedRange sqref="K4:K5" name="Range1_1"/>
  </protectedRanges>
  <sortState ref="A6:K9">
    <sortCondition ref="B6:B9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047B0-052E-4CB5-86A4-2D4FF09E21CF}">
  <sheetPr>
    <tabColor rgb="FF002060"/>
  </sheetPr>
  <dimension ref="A1:K10"/>
  <sheetViews>
    <sheetView view="pageBreakPreview" zoomScale="85" zoomScaleNormal="100" zoomScaleSheetLayoutView="85" workbookViewId="0">
      <selection activeCell="E20" sqref="E2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N!B22</f>
        <v>GINOS VENTURES LIMITED</v>
      </c>
      <c r="C1" s="816"/>
      <c r="D1" s="816"/>
      <c r="E1" s="816"/>
      <c r="F1" s="816"/>
      <c r="K1" t="s">
        <v>1454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1507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BID!A829</f>
        <v>743</v>
      </c>
      <c r="B6" s="15" t="str">
        <f>BID!B829</f>
        <v>PROLENE MESH (B/BRAUN)</v>
      </c>
      <c r="C6" s="15" t="str">
        <f>BID!C829</f>
        <v>PCS</v>
      </c>
      <c r="D6" s="15">
        <f>IF(K6&gt;0,(K6/100)*BID!D829,1*BID!D829)</f>
        <v>120</v>
      </c>
      <c r="E6" s="60">
        <f>IF(K6&gt;0,PR!W827,IF(BID!K829="GINOS",BID!L829,0))</f>
        <v>7000</v>
      </c>
      <c r="F6" s="61">
        <f>IF(E6&gt;0,(E6*D6),0)</f>
        <v>840000</v>
      </c>
      <c r="K6" s="445"/>
    </row>
    <row r="7" spans="1:11" ht="20.25" thickTop="1" thickBot="1" x14ac:dyDescent="0.35">
      <c r="A7" s="430">
        <f>BID!A808</f>
        <v>722</v>
      </c>
      <c r="B7" s="15" t="str">
        <f>BID!B808</f>
        <v>SILK 1 CUTTING 1/2 CIRCLE (ETHICON)</v>
      </c>
      <c r="C7" s="15">
        <f>BID!C808</f>
        <v>12</v>
      </c>
      <c r="D7" s="15">
        <f>IF(K7&gt;0,(K7/100)*BID!D808,1*BID!D808)</f>
        <v>3</v>
      </c>
      <c r="E7" s="60">
        <f>IF(K7&gt;0,PR!W806,IF(BID!K808="GINOS",BID!L808,0))</f>
        <v>6000</v>
      </c>
      <c r="F7" s="61">
        <f>IF(E7&gt;0,(E7*D7),0)</f>
        <v>18000</v>
      </c>
      <c r="K7" s="445"/>
    </row>
    <row r="8" spans="1:11" ht="19.5" thickTop="1" x14ac:dyDescent="0.3">
      <c r="A8" s="430"/>
      <c r="B8" s="15"/>
      <c r="C8" s="15"/>
      <c r="D8" s="15"/>
      <c r="E8" s="60"/>
      <c r="F8" s="61"/>
    </row>
    <row r="9" spans="1:11" ht="19.5" thickBot="1" x14ac:dyDescent="0.35">
      <c r="A9" s="430"/>
      <c r="B9" s="15"/>
      <c r="C9" s="15"/>
      <c r="D9" s="15"/>
      <c r="E9" s="60"/>
      <c r="F9" s="442"/>
    </row>
    <row r="10" spans="1:11" ht="21.75" thickBot="1" x14ac:dyDescent="0.4">
      <c r="A10" s="430"/>
      <c r="B10" s="15"/>
      <c r="C10" s="15"/>
      <c r="D10" s="15"/>
      <c r="E10" s="441"/>
      <c r="F10" s="443">
        <f>SUM(F6:F7)</f>
        <v>858000</v>
      </c>
    </row>
  </sheetData>
  <protectedRanges>
    <protectedRange sqref="K6:K7" name="Range1"/>
    <protectedRange sqref="K4:K5" name="Range1_1"/>
  </protectedRanges>
  <sortState ref="A6:K7">
    <sortCondition ref="B6:B7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CAE21-87AA-41FF-B97B-52956BE624BE}">
  <sheetPr>
    <tabColor rgb="FF7030A0"/>
  </sheetPr>
  <dimension ref="A1:K19"/>
  <sheetViews>
    <sheetView view="pageBreakPreview" topLeftCell="A4" zoomScale="85" zoomScaleNormal="100" zoomScaleSheetLayoutView="85" workbookViewId="0">
      <selection activeCell="B14" sqref="B14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N!B23</f>
        <v>GLAXOSMITHKLINE PHARM. LTD</v>
      </c>
      <c r="C1" s="816"/>
      <c r="D1" s="816"/>
      <c r="E1" s="816"/>
      <c r="F1" s="816"/>
      <c r="K1" t="s">
        <v>837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BID!A228</f>
        <v>202</v>
      </c>
      <c r="B6" s="15" t="str">
        <f>BID!B228</f>
        <v>AMOXICILLIN/CLAVULANIC ACID  228MG/5ML</v>
      </c>
      <c r="C6" s="15" t="str">
        <f>BID!C228</f>
        <v>BOTT</v>
      </c>
      <c r="D6" s="15">
        <f>IF(K6&gt;0,(K6/100)*BID!D228,1*BID!D228)</f>
        <v>200</v>
      </c>
      <c r="E6" s="60">
        <f>IF(K6&gt;0,PR!X226,IF(BID!K228="GSK",BID!L228,0))</f>
        <v>638</v>
      </c>
      <c r="F6" s="61">
        <f t="shared" ref="F6:F16" si="0">IF(E6&gt;0,(E6*D6),0)</f>
        <v>127600</v>
      </c>
      <c r="K6" s="445">
        <v>20</v>
      </c>
    </row>
    <row r="7" spans="1:11" ht="20.25" thickTop="1" thickBot="1" x14ac:dyDescent="0.35">
      <c r="A7" s="430">
        <f>BID!A234</f>
        <v>208</v>
      </c>
      <c r="B7" s="15" t="str">
        <f>BID!B234</f>
        <v>AMOXICILLIN/CLAVULANIC ACID 625MG TAB</v>
      </c>
      <c r="C7" s="15">
        <f>BID!C234</f>
        <v>15</v>
      </c>
      <c r="D7" s="15">
        <f>IF(K7&gt;0,(K7/100)*BID!D234,1*BID!D234)</f>
        <v>2400</v>
      </c>
      <c r="E7" s="60">
        <f>IF(K7&gt;0,PR!X232,IF(BID!K234="GSK",BID!L234,0))</f>
        <v>1097.5899999999999</v>
      </c>
      <c r="F7" s="61">
        <f t="shared" si="0"/>
        <v>2634216</v>
      </c>
      <c r="K7" s="445">
        <v>60</v>
      </c>
    </row>
    <row r="8" spans="1:11" ht="20.25" thickTop="1" thickBot="1" x14ac:dyDescent="0.35">
      <c r="A8" s="430">
        <f>BID!A257</f>
        <v>231</v>
      </c>
      <c r="B8" s="15" t="str">
        <f>BID!B257</f>
        <v>CEFUROXIME 500MG TAB</v>
      </c>
      <c r="C8" s="15">
        <f>BID!C257</f>
        <v>10</v>
      </c>
      <c r="D8" s="15">
        <f>IF(K8&gt;0,(K8/100)*BID!D257,1*BID!D257)</f>
        <v>2000</v>
      </c>
      <c r="E8" s="60">
        <f>IF(K8&gt;0,PR!X255,IF(BID!K257="GSK",BID!L257,0))</f>
        <v>1694.18</v>
      </c>
      <c r="F8" s="61">
        <f t="shared" si="0"/>
        <v>3388360</v>
      </c>
      <c r="K8" s="445">
        <v>50</v>
      </c>
    </row>
    <row r="9" spans="1:11" ht="20.25" thickTop="1" thickBot="1" x14ac:dyDescent="0.35">
      <c r="A9" s="430">
        <f>BID!A258</f>
        <v>232</v>
      </c>
      <c r="B9" s="15" t="str">
        <f>BID!B258</f>
        <v>CEFUROXIME 750MG INJ</v>
      </c>
      <c r="C9" s="15" t="str">
        <f>BID!C258</f>
        <v>VIAL</v>
      </c>
      <c r="D9" s="15">
        <f>IF(K9&gt;0,(K9/100)*BID!D258,1*BID!D258)</f>
        <v>6000</v>
      </c>
      <c r="E9" s="60">
        <f>IF(K9&gt;0,PR!X256,IF(BID!K258="GSK",BID!L258,0))</f>
        <v>881.2639999999999</v>
      </c>
      <c r="F9" s="61">
        <f t="shared" si="0"/>
        <v>5287583.9999999991</v>
      </c>
      <c r="K9" s="445">
        <v>60</v>
      </c>
    </row>
    <row r="10" spans="1:11" ht="20.25" thickTop="1" thickBot="1" x14ac:dyDescent="0.35">
      <c r="A10" s="430">
        <f>BID!A260</f>
        <v>234</v>
      </c>
      <c r="B10" s="15" t="str">
        <f>BID!B260</f>
        <v>CEFUROXIME SUSPENSION 250MG/5ML (100ML)</v>
      </c>
      <c r="C10" s="15" t="str">
        <f>BID!C260</f>
        <v>BOTT</v>
      </c>
      <c r="D10" s="15">
        <f>IF(K10&gt;0,(K10/100)*BID!D260,1*BID!D260)</f>
        <v>300</v>
      </c>
      <c r="E10" s="60">
        <f>IF(K10&gt;0,PR!X258,IF(BID!K260="GSK",BID!L260,0))</f>
        <v>1097.3599999999999</v>
      </c>
      <c r="F10" s="61">
        <f t="shared" si="0"/>
        <v>329207.99999999994</v>
      </c>
      <c r="K10" s="445"/>
    </row>
    <row r="11" spans="1:11" ht="20.25" thickTop="1" thickBot="1" x14ac:dyDescent="0.35">
      <c r="A11" s="430">
        <f>BID!A763</f>
        <v>691</v>
      </c>
      <c r="B11" s="15" t="str">
        <f>BID!B763</f>
        <v>DUTASTERIDE+TAMSULOSIN   0.5MG/0.4MG</v>
      </c>
      <c r="C11" s="15">
        <f>BID!C763</f>
        <v>30</v>
      </c>
      <c r="D11" s="15">
        <f>IF(K11&gt;0,(K11/100)*BID!D763,1*BID!D763)</f>
        <v>20</v>
      </c>
      <c r="E11" s="60">
        <f>IF(K11&gt;0,PR!X761,IF(BID!K763="GSK",BID!L763,0))</f>
        <v>5493.76</v>
      </c>
      <c r="F11" s="61">
        <f t="shared" si="0"/>
        <v>109875.20000000001</v>
      </c>
      <c r="K11" s="445"/>
    </row>
    <row r="12" spans="1:11" ht="20.25" thickTop="1" thickBot="1" x14ac:dyDescent="0.35">
      <c r="A12" s="430">
        <f>BID!A510</f>
        <v>458</v>
      </c>
      <c r="B12" s="15" t="str">
        <f>BID!B510</f>
        <v>FLUTICASONE FUROATE NASAL SPRAY</v>
      </c>
      <c r="C12" s="15" t="str">
        <f>BID!C510</f>
        <v>PCS</v>
      </c>
      <c r="D12" s="15">
        <f>IF(K12&gt;0,(K12/100)*BID!D510,1*BID!D510)</f>
        <v>100</v>
      </c>
      <c r="E12" s="60">
        <f>IF(K12&gt;0,PR!X508,IF(BID!K510="GSK",BID!L510,0))</f>
        <v>1550.92</v>
      </c>
      <c r="F12" s="61">
        <f t="shared" si="0"/>
        <v>155092</v>
      </c>
      <c r="K12" s="445"/>
    </row>
    <row r="13" spans="1:11" ht="20.25" thickTop="1" thickBot="1" x14ac:dyDescent="0.35">
      <c r="A13" s="430">
        <f>BID!A511</f>
        <v>459</v>
      </c>
      <c r="B13" s="15" t="str">
        <f>BID!B511</f>
        <v>FLUTICASONE PROPIONATE NASAL SPRAY</v>
      </c>
      <c r="C13" s="15" t="str">
        <f>BID!C511</f>
        <v>PCS</v>
      </c>
      <c r="D13" s="15">
        <f>IF(K13&gt;0,(K13/100)*BID!D511,1*BID!D511)</f>
        <v>12</v>
      </c>
      <c r="E13" s="60">
        <f>IF(K13&gt;0,PR!X509,IF(BID!K511="GSK",BID!L511,0))</f>
        <v>1514.96</v>
      </c>
      <c r="F13" s="61">
        <f t="shared" si="0"/>
        <v>18179.52</v>
      </c>
      <c r="K13" s="445"/>
    </row>
    <row r="14" spans="1:11" ht="20.25" thickTop="1" thickBot="1" x14ac:dyDescent="0.35">
      <c r="A14" s="430">
        <f>BID!A512</f>
        <v>460</v>
      </c>
      <c r="B14" s="15" t="str">
        <f>BID!B512</f>
        <v>FLUTICASONE/SALMETEROL (SERETIDE EVOHALER)</v>
      </c>
      <c r="C14" s="15" t="str">
        <f>BID!C512</f>
        <v>PCS</v>
      </c>
      <c r="D14" s="15">
        <f>IF(K14&gt;0,(K14/100)*BID!D512,1*BID!D512)</f>
        <v>52</v>
      </c>
      <c r="E14" s="60">
        <f>IF(K14&gt;0,PR!X510,IF(BID!K512="GSK",BID!L512,0))</f>
        <v>1415.2</v>
      </c>
      <c r="F14" s="61">
        <f t="shared" si="0"/>
        <v>73590.400000000009</v>
      </c>
      <c r="K14" s="445"/>
    </row>
    <row r="15" spans="1:11" ht="20.25" thickTop="1" thickBot="1" x14ac:dyDescent="0.35">
      <c r="A15" s="430">
        <f>BID!A513</f>
        <v>461</v>
      </c>
      <c r="B15" s="15" t="str">
        <f>BID!B513</f>
        <v>FLUTICASONE+SALMETEROL (ADULT)</v>
      </c>
      <c r="C15" s="15" t="str">
        <f>BID!C513</f>
        <v>PCS</v>
      </c>
      <c r="D15" s="15">
        <f>IF(K15&gt;0,(K15/100)*BID!D513,1*BID!D513)</f>
        <v>60</v>
      </c>
      <c r="E15" s="60">
        <f>IF(K15&gt;0,PR!X511,IF(BID!K513="GSK",BID!L513,0))</f>
        <v>3542.64</v>
      </c>
      <c r="F15" s="61">
        <f t="shared" si="0"/>
        <v>212558.4</v>
      </c>
      <c r="K15" s="445"/>
    </row>
    <row r="16" spans="1:11" ht="20.25" thickTop="1" thickBot="1" x14ac:dyDescent="0.35">
      <c r="A16" s="430">
        <f>BID!A517</f>
        <v>465</v>
      </c>
      <c r="B16" s="15" t="str">
        <f>BID!B517</f>
        <v>SALBUTAMOL INHALER</v>
      </c>
      <c r="C16" s="15" t="str">
        <f>BID!C517</f>
        <v>PCS</v>
      </c>
      <c r="D16" s="15">
        <f>IF(K16&gt;0,(K16/100)*BID!D517,1*BID!D517)</f>
        <v>240</v>
      </c>
      <c r="E16" s="60">
        <f>IF(K16&gt;0,PR!X515,IF(BID!K517="GSK",BID!L517,0))</f>
        <v>1155.3599999999999</v>
      </c>
      <c r="F16" s="61">
        <f t="shared" si="0"/>
        <v>277286.39999999997</v>
      </c>
      <c r="K16" s="445"/>
    </row>
    <row r="17" spans="1:6" ht="19.5" thickTop="1" x14ac:dyDescent="0.3">
      <c r="A17" s="430"/>
      <c r="B17" s="15"/>
      <c r="C17" s="15"/>
      <c r="D17" s="15"/>
      <c r="E17" s="60"/>
      <c r="F17" s="61"/>
    </row>
    <row r="18" spans="1:6" ht="19.5" thickBot="1" x14ac:dyDescent="0.35">
      <c r="A18" s="430"/>
      <c r="B18" s="15"/>
      <c r="C18" s="15"/>
      <c r="D18" s="15"/>
      <c r="E18" s="60"/>
      <c r="F18" s="442"/>
    </row>
    <row r="19" spans="1:6" ht="21.75" thickBot="1" x14ac:dyDescent="0.4">
      <c r="A19" s="430"/>
      <c r="B19" s="15"/>
      <c r="C19" s="15"/>
      <c r="D19" s="15"/>
      <c r="E19" s="441"/>
      <c r="F19" s="443">
        <f>SUM(F6:F16)</f>
        <v>12613549.92</v>
      </c>
    </row>
  </sheetData>
  <sheetProtection algorithmName="SHA-512" hashValue="fGBi6GWnVM/Rs/XyRNv8O/Fz3yOpaNIzNZ+v+q0uYN1YwJAwLIfENpASAGuPs7ayoOFopNpnOw1lMjl2XcpHWQ==" saltValue="ZFbzOg5bPZyt/G34Z4FenA==" spinCount="100000" sheet="1" objects="1" scenarios="1"/>
  <protectedRanges>
    <protectedRange sqref="K6:K16" name="Range1"/>
    <protectedRange sqref="K4:K5" name="Range1_1"/>
  </protectedRanges>
  <sortState ref="A6:K16">
    <sortCondition ref="B6:B16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3979-25B6-40A5-8506-3A81AA07E138}">
  <sheetPr>
    <tabColor rgb="FFC00000"/>
  </sheetPr>
  <dimension ref="A1:K14"/>
  <sheetViews>
    <sheetView view="pageBreakPreview" zoomScale="85" zoomScaleNormal="100" zoomScaleSheetLayoutView="85" workbookViewId="0">
      <selection activeCell="A4" sqref="A4:XFD5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N!B24</f>
        <v>GLOBAL ORGANICS LIMITED</v>
      </c>
      <c r="C1" s="816"/>
      <c r="D1" s="816"/>
      <c r="E1" s="816"/>
      <c r="F1" s="816"/>
      <c r="K1" t="s">
        <v>818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BID!A263</f>
        <v>237</v>
      </c>
      <c r="B6" s="15" t="str">
        <f>BID!B263</f>
        <v>CIPROFLOXACIN INJ</v>
      </c>
      <c r="C6" s="15" t="str">
        <f>BID!C263</f>
        <v>BOTT</v>
      </c>
      <c r="D6" s="15">
        <f>IF(K6&gt;0,(K6/100)*BID!D263,1*BID!D263)</f>
        <v>1800</v>
      </c>
      <c r="E6" s="60">
        <f>IF(K6&gt;0,PR!Y261,IF(BID!K263="GLOBORG",BID!L263,0))</f>
        <v>102</v>
      </c>
      <c r="F6" s="61">
        <f t="shared" ref="F6:F11" si="0">IF(E6&gt;0,(E6*D6),0)</f>
        <v>183600</v>
      </c>
      <c r="K6" s="445">
        <v>30</v>
      </c>
    </row>
    <row r="7" spans="1:11" ht="20.25" thickTop="1" thickBot="1" x14ac:dyDescent="0.35">
      <c r="A7" s="430">
        <f>BID!A288</f>
        <v>262</v>
      </c>
      <c r="B7" s="15" t="str">
        <f>BID!B288</f>
        <v>LEVOFLOXACIN IV</v>
      </c>
      <c r="C7" s="15" t="str">
        <f>BID!C288</f>
        <v>BOTT</v>
      </c>
      <c r="D7" s="15">
        <f>IF(K7&gt;0,(K7/100)*BID!D288,1*BID!D288)</f>
        <v>900</v>
      </c>
      <c r="E7" s="60">
        <f>IF(K7&gt;0,PR!Y286,IF(BID!K288="GLOBORG",BID!L288,0))</f>
        <v>190</v>
      </c>
      <c r="F7" s="61">
        <f t="shared" si="0"/>
        <v>171000</v>
      </c>
      <c r="K7" s="445">
        <v>90</v>
      </c>
    </row>
    <row r="8" spans="1:11" ht="20.25" thickTop="1" thickBot="1" x14ac:dyDescent="0.35">
      <c r="A8" s="430">
        <f>BID!A292</f>
        <v>266</v>
      </c>
      <c r="B8" s="15" t="str">
        <f>BID!B292</f>
        <v xml:space="preserve">METRONIDAZOLE INJ </v>
      </c>
      <c r="C8" s="15" t="str">
        <f>BID!C292</f>
        <v>BOTT</v>
      </c>
      <c r="D8" s="15">
        <f>IF(K8&gt;0,(K8/100)*BID!D292,1*BID!D292)</f>
        <v>30799.999999999996</v>
      </c>
      <c r="E8" s="60">
        <f>IF(K8&gt;0,PR!Y290,IF(BID!K292="GLOBORG",BID!L292,0))</f>
        <v>88</v>
      </c>
      <c r="F8" s="61">
        <f t="shared" si="0"/>
        <v>2710399.9999999995</v>
      </c>
      <c r="K8" s="445">
        <v>70</v>
      </c>
    </row>
    <row r="9" spans="1:11" ht="20.25" thickTop="1" thickBot="1" x14ac:dyDescent="0.35">
      <c r="A9" s="430">
        <f>BID!A488</f>
        <v>440</v>
      </c>
      <c r="B9" s="15" t="str">
        <f>BID!B488</f>
        <v>OMEPRAZOLE 20MG CAP</v>
      </c>
      <c r="C9" s="15">
        <f>BID!C488</f>
        <v>14</v>
      </c>
      <c r="D9" s="15">
        <f>IF(K9&gt;0,(K9/100)*BID!D488,1*BID!D488)</f>
        <v>8000</v>
      </c>
      <c r="E9" s="60">
        <f>IF(K9&gt;0,PR!Y486,IF(BID!K488="GLOBORG",BID!L488,0))</f>
        <v>120</v>
      </c>
      <c r="F9" s="61">
        <f t="shared" si="0"/>
        <v>960000</v>
      </c>
      <c r="K9" s="445"/>
    </row>
    <row r="10" spans="1:11" ht="20.25" thickTop="1" thickBot="1" x14ac:dyDescent="0.35">
      <c r="A10" s="430">
        <f>BID!A205</f>
        <v>182</v>
      </c>
      <c r="B10" s="15" t="str">
        <f>BID!B205</f>
        <v>PARACETAMOL INFUSION</v>
      </c>
      <c r="C10" s="15" t="str">
        <f>BID!C205</f>
        <v>BOTT</v>
      </c>
      <c r="D10" s="15">
        <f>IF(K10&gt;0,(K10/100)*BID!D205,1*BID!D205)</f>
        <v>15000</v>
      </c>
      <c r="E10" s="60">
        <f>IF(K10&gt;0,PR!Y203,IF(BID!K205="GLOBORG",BID!L205,0))</f>
        <v>380</v>
      </c>
      <c r="F10" s="61">
        <f t="shared" si="0"/>
        <v>5700000</v>
      </c>
      <c r="K10" s="445">
        <v>50</v>
      </c>
    </row>
    <row r="11" spans="1:11" ht="20.25" thickTop="1" thickBot="1" x14ac:dyDescent="0.35">
      <c r="A11" s="430">
        <f>BID!A48</f>
        <v>33</v>
      </c>
      <c r="B11" s="15" t="str">
        <f>BID!B48</f>
        <v>STERILE WATER FOR INJECTION</v>
      </c>
      <c r="C11" s="15">
        <f>BID!C48</f>
        <v>50</v>
      </c>
      <c r="D11" s="15">
        <f>IF(K11&gt;0,(K11/100)*BID!D48,1*BID!D48)</f>
        <v>2000</v>
      </c>
      <c r="E11" s="60">
        <f>IF(K11&gt;0,PR!Y46,IF(BID!K48="GLOBORG",BID!L48,0))</f>
        <v>750</v>
      </c>
      <c r="F11" s="61">
        <f t="shared" si="0"/>
        <v>1500000</v>
      </c>
      <c r="K11" s="445"/>
    </row>
    <row r="12" spans="1:11" ht="19.5" thickTop="1" x14ac:dyDescent="0.3">
      <c r="A12" s="430"/>
      <c r="B12" s="15"/>
      <c r="C12" s="15"/>
      <c r="D12" s="15"/>
      <c r="E12" s="60"/>
      <c r="F12" s="61"/>
    </row>
    <row r="13" spans="1:11" ht="19.5" thickBot="1" x14ac:dyDescent="0.35">
      <c r="A13" s="430"/>
      <c r="B13" s="15"/>
      <c r="C13" s="15"/>
      <c r="D13" s="15"/>
      <c r="E13" s="60"/>
      <c r="F13" s="442"/>
    </row>
    <row r="14" spans="1:11" ht="21.75" thickBot="1" x14ac:dyDescent="0.4">
      <c r="A14" s="430"/>
      <c r="B14" s="15"/>
      <c r="C14" s="15"/>
      <c r="D14" s="15"/>
      <c r="E14" s="441"/>
      <c r="F14" s="443">
        <f>SUM(F6:F11)</f>
        <v>11225000</v>
      </c>
    </row>
  </sheetData>
  <protectedRanges>
    <protectedRange sqref="K6:K11" name="Range1"/>
    <protectedRange sqref="K4:K5" name="Range1_1"/>
  </protectedRanges>
  <sortState ref="A6:K11">
    <sortCondition ref="B6:B11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57234-71AD-4D6E-BF88-513F95991CA5}">
  <sheetPr>
    <tabColor rgb="FFFFC000"/>
  </sheetPr>
  <dimension ref="A1:K19"/>
  <sheetViews>
    <sheetView view="pageBreakPreview" topLeftCell="A4" zoomScale="85" zoomScaleNormal="100" zoomScaleSheetLayoutView="85" workbookViewId="0">
      <selection activeCell="E15" sqref="E15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N!B26</f>
        <v>GREENLIFE PHARMACEUTICALS LIMITED</v>
      </c>
      <c r="C1" s="816"/>
      <c r="D1" s="816"/>
      <c r="E1" s="816"/>
      <c r="F1" s="816"/>
      <c r="K1" t="s">
        <v>635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BID!A228</f>
        <v>202</v>
      </c>
      <c r="B6" s="15" t="str">
        <f>BID!B228</f>
        <v>AMOXICILLIN/CLAVULANIC ACID  228MG/5ML</v>
      </c>
      <c r="C6" s="15" t="str">
        <f>BID!C228</f>
        <v>BOTT</v>
      </c>
      <c r="D6" s="15">
        <f>IF(K6&gt;0,(K6/100)*BID!D228,1*BID!D228)</f>
        <v>400</v>
      </c>
      <c r="E6" s="60">
        <f>IF(K6&gt;0,PR!AA226,IF(BID!K228="GREENLIFE",BID!L228,0))</f>
        <v>450</v>
      </c>
      <c r="F6" s="61">
        <f t="shared" ref="F6:F16" si="0">IF(E6&gt;0,(E6*D6),0)</f>
        <v>180000</v>
      </c>
      <c r="K6" s="445">
        <v>40</v>
      </c>
    </row>
    <row r="7" spans="1:11" ht="20.25" thickTop="1" thickBot="1" x14ac:dyDescent="0.35">
      <c r="A7" s="430">
        <f>BID!A22</f>
        <v>10</v>
      </c>
      <c r="B7" s="15" t="str">
        <f>BID!B22</f>
        <v>ARTESUNATE 60MG INJ</v>
      </c>
      <c r="C7" s="15">
        <f>BID!C22</f>
        <v>6</v>
      </c>
      <c r="D7" s="15">
        <f>IF(K7&gt;0,(K7/100)*BID!D22,1*BID!D22)</f>
        <v>525</v>
      </c>
      <c r="E7" s="60">
        <f>IF(K7&gt;0,PR!AA20,IF(BID!K22="GREENLIFE",BID!L22,0))</f>
        <v>450</v>
      </c>
      <c r="F7" s="61">
        <f t="shared" si="0"/>
        <v>236250</v>
      </c>
      <c r="K7" s="445">
        <v>70</v>
      </c>
    </row>
    <row r="8" spans="1:11" ht="20.25" thickTop="1" thickBot="1" x14ac:dyDescent="0.35">
      <c r="A8" s="430">
        <f>BID!A325</f>
        <v>293</v>
      </c>
      <c r="B8" s="15" t="str">
        <f>BID!B325</f>
        <v>CALCIUM LACTATE 300MG TAB</v>
      </c>
      <c r="C8" s="15">
        <f>BID!C325</f>
        <v>1000</v>
      </c>
      <c r="D8" s="15">
        <f>IF(K8&gt;0,(K8/100)*BID!D325,1*BID!D325)</f>
        <v>50</v>
      </c>
      <c r="E8" s="60">
        <f>IF(K8&gt;0,PR!AA323,IF(BID!K325="GREENLIFE",BID!L325,0))</f>
        <v>750</v>
      </c>
      <c r="F8" s="61">
        <f t="shared" si="0"/>
        <v>37500</v>
      </c>
      <c r="K8" s="445"/>
    </row>
    <row r="9" spans="1:11" ht="20.25" thickTop="1" thickBot="1" x14ac:dyDescent="0.35">
      <c r="A9" s="430">
        <f>BID!A246</f>
        <v>220</v>
      </c>
      <c r="B9" s="15" t="str">
        <f>BID!B246</f>
        <v>CEFIXIME 200MG TAB</v>
      </c>
      <c r="C9" s="15">
        <f>BID!C246</f>
        <v>10</v>
      </c>
      <c r="D9" s="15">
        <f>IF(K9&gt;0,(K9/100)*BID!D246,1*BID!D246)</f>
        <v>400</v>
      </c>
      <c r="E9" s="60">
        <f>IF(K9&gt;0,PR!AA244,IF(BID!K246="GREENLIFE",BID!L246,0))</f>
        <v>550</v>
      </c>
      <c r="F9" s="61">
        <f t="shared" si="0"/>
        <v>220000</v>
      </c>
      <c r="K9" s="445"/>
    </row>
    <row r="10" spans="1:11" ht="20.25" thickTop="1" thickBot="1" x14ac:dyDescent="0.35">
      <c r="A10" s="430">
        <f>BID!A328</f>
        <v>296</v>
      </c>
      <c r="B10" s="15" t="str">
        <f>BID!B328</f>
        <v>CHYMOTRYPSIN/TRYPSIN</v>
      </c>
      <c r="C10" s="15">
        <f>BID!C328</f>
        <v>30</v>
      </c>
      <c r="D10" s="15">
        <f>IF(K10&gt;0,(K10/100)*BID!D328,1*BID!D328)</f>
        <v>400</v>
      </c>
      <c r="E10" s="60">
        <f>IF(K10&gt;0,PR!AA326,IF(BID!K328="GREENLIFE",BID!L328,0))</f>
        <v>220</v>
      </c>
      <c r="F10" s="61">
        <f t="shared" si="0"/>
        <v>88000</v>
      </c>
      <c r="K10" s="445"/>
    </row>
    <row r="11" spans="1:11" ht="20.25" thickTop="1" thickBot="1" x14ac:dyDescent="0.35">
      <c r="A11" s="430">
        <f>BID!A725</f>
        <v>658</v>
      </c>
      <c r="B11" s="15" t="str">
        <f>BID!B725</f>
        <v>CLOBESTASOL 0.05% CREAM</v>
      </c>
      <c r="C11" s="15" t="str">
        <f>BID!C725</f>
        <v>TUBE</v>
      </c>
      <c r="D11" s="15">
        <f>IF(K11&gt;0,(K11/100)*BID!D725,1*BID!D725)</f>
        <v>20</v>
      </c>
      <c r="E11" s="60">
        <f>IF(K11&gt;0,PR!AA723,IF(BID!K725="GREENLIFE",BID!L725,0))</f>
        <v>170</v>
      </c>
      <c r="F11" s="61">
        <f t="shared" si="0"/>
        <v>3400</v>
      </c>
      <c r="K11" s="445"/>
    </row>
    <row r="12" spans="1:11" ht="20.25" thickTop="1" thickBot="1" x14ac:dyDescent="0.35">
      <c r="A12" s="430">
        <f>BID!A179</f>
        <v>156</v>
      </c>
      <c r="B12" s="15" t="str">
        <f>BID!B179</f>
        <v xml:space="preserve">DICLOFENAC/METHYL SALICYLATE CREAM </v>
      </c>
      <c r="C12" s="15" t="str">
        <f>BID!C179</f>
        <v>TUBE</v>
      </c>
      <c r="D12" s="15">
        <f>IF(K12&gt;0,(K12/100)*BID!D179,1*BID!D179)</f>
        <v>1600</v>
      </c>
      <c r="E12" s="60">
        <f>IF(K12&gt;0,PR!AA177,IF(BID!K179="GREENLIFE",BID!L179,0))</f>
        <v>190</v>
      </c>
      <c r="F12" s="61">
        <f t="shared" si="0"/>
        <v>304000</v>
      </c>
      <c r="K12" s="445">
        <v>50</v>
      </c>
    </row>
    <row r="13" spans="1:11" ht="20.25" thickTop="1" thickBot="1" x14ac:dyDescent="0.35">
      <c r="A13" s="430">
        <f>BID!A352</f>
        <v>320</v>
      </c>
      <c r="B13" s="15" t="str">
        <f>BID!B352</f>
        <v>ORAL REHYDRATION SALT</v>
      </c>
      <c r="C13" s="15">
        <f>BID!C352</f>
        <v>3</v>
      </c>
      <c r="D13" s="15">
        <f>IF(K13&gt;0,(K13/100)*BID!D352,1*BID!D352)</f>
        <v>2000</v>
      </c>
      <c r="E13" s="60">
        <f>IF(K13&gt;0,PR!AA350,IF(BID!K352="GREENLIFE",BID!L352,0))</f>
        <v>107</v>
      </c>
      <c r="F13" s="61">
        <f t="shared" si="0"/>
        <v>214000</v>
      </c>
      <c r="K13" s="445"/>
    </row>
    <row r="14" spans="1:11" ht="20.25" thickTop="1" thickBot="1" x14ac:dyDescent="0.35">
      <c r="A14" s="664">
        <f>BID!A202</f>
        <v>179</v>
      </c>
      <c r="B14" s="15" t="str">
        <f>BID!B202</f>
        <v>PARACETAMOL 125MG SUPPOSITORY</v>
      </c>
      <c r="C14" s="15">
        <v>10</v>
      </c>
      <c r="D14" s="15">
        <v>10000</v>
      </c>
      <c r="E14" s="60">
        <v>600</v>
      </c>
      <c r="F14" s="61">
        <f t="shared" si="0"/>
        <v>6000000</v>
      </c>
      <c r="K14" s="445"/>
    </row>
    <row r="15" spans="1:11" ht="20.25" thickTop="1" thickBot="1" x14ac:dyDescent="0.35">
      <c r="A15" s="664">
        <f>BID!A203</f>
        <v>180</v>
      </c>
      <c r="B15" s="15" t="str">
        <f>BID!B203</f>
        <v>PARACETAMOL 250MG SUPPOSITORY</v>
      </c>
      <c r="C15" s="15">
        <v>10</v>
      </c>
      <c r="D15" s="15">
        <v>10000</v>
      </c>
      <c r="E15" s="60">
        <v>650</v>
      </c>
      <c r="F15" s="61">
        <f t="shared" si="0"/>
        <v>6500000</v>
      </c>
      <c r="K15" s="445"/>
    </row>
    <row r="16" spans="1:11" ht="20.25" thickTop="1" thickBot="1" x14ac:dyDescent="0.35">
      <c r="A16" s="430">
        <f>BID!A306</f>
        <v>280</v>
      </c>
      <c r="B16" s="15" t="str">
        <f>BID!B306</f>
        <v>SECNIDAZOLE 500MG TAB</v>
      </c>
      <c r="C16" s="15">
        <f>BID!C306</f>
        <v>4</v>
      </c>
      <c r="D16" s="15">
        <f>IF(K16&gt;0,(K16/100)*BID!D306,1*BID!D306)</f>
        <v>60</v>
      </c>
      <c r="E16" s="60">
        <f>IF(K16&gt;0,PR!AA304,IF(BID!K306="GREENLIFE",BID!L306,0))</f>
        <v>100</v>
      </c>
      <c r="F16" s="61">
        <f t="shared" si="0"/>
        <v>6000</v>
      </c>
      <c r="K16" s="445"/>
    </row>
    <row r="17" spans="1:6" ht="19.5" thickTop="1" x14ac:dyDescent="0.3">
      <c r="A17" s="430"/>
      <c r="B17" s="15"/>
      <c r="C17" s="15"/>
      <c r="D17" s="15"/>
      <c r="E17" s="60"/>
      <c r="F17" s="61"/>
    </row>
    <row r="18" spans="1:6" ht="19.5" thickBot="1" x14ac:dyDescent="0.35">
      <c r="A18" s="430"/>
      <c r="B18" s="15"/>
      <c r="C18" s="15"/>
      <c r="D18" s="15"/>
      <c r="E18" s="60"/>
      <c r="F18" s="442"/>
    </row>
    <row r="19" spans="1:6" ht="21.75" thickBot="1" x14ac:dyDescent="0.4">
      <c r="A19" s="430"/>
      <c r="B19" s="15"/>
      <c r="C19" s="15"/>
      <c r="D19" s="15"/>
      <c r="E19" s="441"/>
      <c r="F19" s="443">
        <f>SUM(F6:F16)</f>
        <v>13789150</v>
      </c>
    </row>
  </sheetData>
  <protectedRanges>
    <protectedRange sqref="K6:K16" name="Range1"/>
    <protectedRange sqref="K4:K5" name="Range1_1"/>
  </protectedRanges>
  <sortState ref="A6:K16">
    <sortCondition ref="B6:B16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C9079-C49B-4F43-A2FB-32D2A5E8893C}">
  <sheetPr>
    <tabColor rgb="FFFFFF00"/>
  </sheetPr>
  <dimension ref="A1:K15"/>
  <sheetViews>
    <sheetView view="pageBreakPreview" zoomScale="85" zoomScaleNormal="100" zoomScaleSheetLayoutView="85" workbookViewId="0">
      <selection activeCell="E12" sqref="E12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N!B27</f>
        <v>HEALTHLINE PHARMACEUTICALS LIMITED</v>
      </c>
      <c r="C1" s="816"/>
      <c r="D1" s="816"/>
      <c r="E1" s="816"/>
      <c r="F1" s="816"/>
      <c r="K1" t="s">
        <v>1243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BID!A165</f>
        <v>142</v>
      </c>
      <c r="B6" s="15" t="str">
        <f>BID!B165</f>
        <v xml:space="preserve">ACECLOFENAC 100MG </v>
      </c>
      <c r="C6" s="15">
        <f>BID!C165</f>
        <v>30</v>
      </c>
      <c r="D6" s="15">
        <f>IF(K6&gt;0,(K6/100)*BID!D165,1*BID!D165)</f>
        <v>50</v>
      </c>
      <c r="E6" s="60">
        <f>IF(K6&gt;0,PR!AB163,IF(BID!K165="HLINE",BID!L165,0))</f>
        <v>200</v>
      </c>
      <c r="F6" s="61">
        <f t="shared" ref="F6:F12" si="0">IF(E6&gt;0,(E6*D6),0)</f>
        <v>10000</v>
      </c>
      <c r="K6" s="445"/>
    </row>
    <row r="7" spans="1:11" ht="20.25" thickTop="1" thickBot="1" x14ac:dyDescent="0.35">
      <c r="A7" s="430">
        <f>BID!A96</f>
        <v>78</v>
      </c>
      <c r="B7" s="15" t="str">
        <f>BID!B96</f>
        <v>LOSARTAN 50MG</v>
      </c>
      <c r="C7" s="15">
        <f>BID!C96</f>
        <v>30</v>
      </c>
      <c r="D7" s="15">
        <f>IF(K7&gt;0,(K7/100)*BID!D96,1*BID!D96)</f>
        <v>1680</v>
      </c>
      <c r="E7" s="60">
        <f>IF(K7&gt;0,PR!AB94,IF(BID!K96="HLINE",BID!L96,0))</f>
        <v>550</v>
      </c>
      <c r="F7" s="61">
        <f t="shared" si="0"/>
        <v>924000</v>
      </c>
      <c r="K7" s="445">
        <v>70</v>
      </c>
    </row>
    <row r="8" spans="1:11" ht="20.25" thickTop="1" thickBot="1" x14ac:dyDescent="0.35">
      <c r="A8" s="430">
        <f>BID!A97</f>
        <v>79</v>
      </c>
      <c r="B8" s="15" t="str">
        <f>BID!B97</f>
        <v xml:space="preserve">LOSARTAN 50MG/ HCT 12.5MG </v>
      </c>
      <c r="C8" s="15">
        <f>BID!C97</f>
        <v>30</v>
      </c>
      <c r="D8" s="15">
        <f>IF(K8&gt;0,(K8/100)*BID!D97,1*BID!D97)</f>
        <v>100</v>
      </c>
      <c r="E8" s="60">
        <f>IF(K8&gt;0,PR!AB95,IF(BID!K97="HLINE",BID!L97,0))</f>
        <v>800</v>
      </c>
      <c r="F8" s="61">
        <f t="shared" si="0"/>
        <v>80000</v>
      </c>
      <c r="K8" s="445"/>
    </row>
    <row r="9" spans="1:11" ht="20.25" thickTop="1" thickBot="1" x14ac:dyDescent="0.35">
      <c r="A9" s="430">
        <f>BID!A728</f>
        <v>661</v>
      </c>
      <c r="B9" s="15" t="str">
        <f>BID!B728</f>
        <v>MUPIROCIN CREAM</v>
      </c>
      <c r="C9" s="15" t="str">
        <f>BID!C728</f>
        <v>TUBE</v>
      </c>
      <c r="D9" s="15">
        <f>IF(K9&gt;0,(K9/100)*BID!D728,1*BID!D728)</f>
        <v>20</v>
      </c>
      <c r="E9" s="60">
        <f>IF(K9&gt;0,PR!AB726,IF(BID!K728="HLINE",BID!L728,0))</f>
        <v>1200</v>
      </c>
      <c r="F9" s="61">
        <f t="shared" si="0"/>
        <v>24000</v>
      </c>
      <c r="K9" s="445"/>
    </row>
    <row r="10" spans="1:11" ht="20.25" thickTop="1" thickBot="1" x14ac:dyDescent="0.35">
      <c r="A10" s="430">
        <f>BID!A121</f>
        <v>103</v>
      </c>
      <c r="B10" s="15" t="str">
        <f>BID!B121</f>
        <v>S-AMLODIPINE 2.5MG TAB</v>
      </c>
      <c r="C10" s="15">
        <f>BID!C121</f>
        <v>30</v>
      </c>
      <c r="D10" s="15">
        <f>IF(K10&gt;0,(K10/100)*BID!D121,1*BID!D121)</f>
        <v>5</v>
      </c>
      <c r="E10" s="60">
        <f>IF(K10&gt;0,PR!AB119,IF(BID!K121="HLINE",BID!L121,0))</f>
        <v>600</v>
      </c>
      <c r="F10" s="61">
        <f t="shared" si="0"/>
        <v>3000</v>
      </c>
      <c r="K10" s="445">
        <v>50</v>
      </c>
    </row>
    <row r="11" spans="1:11" ht="20.25" thickTop="1" thickBot="1" x14ac:dyDescent="0.35">
      <c r="A11" s="664">
        <f>BID!A363</f>
        <v>331</v>
      </c>
      <c r="B11" s="15" t="str">
        <f>BID!B363</f>
        <v>TRANEXAMIC ACID 500MG CAP</v>
      </c>
      <c r="C11" s="15">
        <v>30</v>
      </c>
      <c r="D11" s="15">
        <f>IF(K11&gt;0,(K11/100)*BID!D363,1*BID!D363)</f>
        <v>100</v>
      </c>
      <c r="E11" s="60">
        <v>2500</v>
      </c>
      <c r="F11" s="61">
        <f t="shared" si="0"/>
        <v>250000</v>
      </c>
      <c r="K11" s="445"/>
    </row>
    <row r="12" spans="1:11" ht="20.25" thickTop="1" thickBot="1" x14ac:dyDescent="0.35">
      <c r="A12" s="430">
        <f>BID!A626</f>
        <v>566</v>
      </c>
      <c r="B12" s="15" t="str">
        <f>BID!B626</f>
        <v>TRASTUZUMAB 440MG INJ</v>
      </c>
      <c r="C12" s="15" t="str">
        <f>BID!C626</f>
        <v>AMP</v>
      </c>
      <c r="D12" s="15">
        <f>IF(K12&gt;0,(K12/100)*BID!D626,1*BID!D626)</f>
        <v>10</v>
      </c>
      <c r="E12" s="60">
        <f>IF(K12&gt;0,PR!AB624,IF(BID!K626="HLINE",BID!L626,0))</f>
        <v>200000</v>
      </c>
      <c r="F12" s="61">
        <f t="shared" si="0"/>
        <v>2000000</v>
      </c>
      <c r="K12" s="445"/>
    </row>
    <row r="13" spans="1:11" ht="19.5" thickTop="1" x14ac:dyDescent="0.3">
      <c r="A13" s="430"/>
      <c r="B13" s="15"/>
      <c r="C13" s="15"/>
      <c r="D13" s="15"/>
      <c r="E13" s="60"/>
      <c r="F13" s="61"/>
    </row>
    <row r="14" spans="1:11" ht="19.5" thickBot="1" x14ac:dyDescent="0.35">
      <c r="A14" s="430"/>
      <c r="B14" s="15"/>
      <c r="C14" s="15"/>
      <c r="D14" s="15"/>
      <c r="E14" s="60"/>
      <c r="F14" s="442"/>
    </row>
    <row r="15" spans="1:11" ht="21.75" thickBot="1" x14ac:dyDescent="0.4">
      <c r="A15" s="430"/>
      <c r="B15" s="15"/>
      <c r="C15" s="15"/>
      <c r="D15" s="15"/>
      <c r="E15" s="441"/>
      <c r="F15" s="443">
        <f>SUM(F6:F12)</f>
        <v>3291000</v>
      </c>
    </row>
  </sheetData>
  <protectedRanges>
    <protectedRange sqref="K6:K12" name="Range1"/>
    <protectedRange sqref="K4:K5" name="Range1_1"/>
  </protectedRanges>
  <sortState ref="A6:K12">
    <sortCondition ref="B6:B12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C3DD-C745-4D6B-B164-F69B7CCAB2EE}">
  <sheetPr>
    <tabColor rgb="FF92D050"/>
  </sheetPr>
  <dimension ref="A1:K54"/>
  <sheetViews>
    <sheetView view="pageBreakPreview" topLeftCell="A31" zoomScale="85" zoomScaleNormal="100" zoomScaleSheetLayoutView="85" workbookViewId="0">
      <selection activeCell="B43" sqref="B43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26.425781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N!B28</f>
        <v>INTER-ROTECH NIGERIA LIMITED</v>
      </c>
      <c r="C1" s="816"/>
      <c r="D1" s="816"/>
      <c r="E1" s="816"/>
      <c r="F1" s="816"/>
      <c r="K1" t="s">
        <v>825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BID!A636</f>
        <v>572</v>
      </c>
      <c r="B6" s="15" t="str">
        <f>BID!B636</f>
        <v>21G NEEDLE</v>
      </c>
      <c r="C6" s="15">
        <f>BID!C636</f>
        <v>100</v>
      </c>
      <c r="D6" s="15">
        <f>IF(K6&gt;0,(K6/100)*BID!D636,1*BID!D636)</f>
        <v>10</v>
      </c>
      <c r="E6" s="60">
        <f>IF(K6&gt;0,PR!AC634,IF(BID!K636="ROTECH",BID!L636,0))</f>
        <v>310</v>
      </c>
      <c r="F6" s="61">
        <f t="shared" ref="F6:F15" si="0">IF(E6&gt;0,(E6*D6),0)</f>
        <v>3100</v>
      </c>
      <c r="K6" s="445"/>
    </row>
    <row r="7" spans="1:11" ht="20.25" thickTop="1" thickBot="1" x14ac:dyDescent="0.35">
      <c r="A7" s="430">
        <f>BID!A637</f>
        <v>573</v>
      </c>
      <c r="B7" s="15" t="str">
        <f>BID!B637</f>
        <v>23G NEEDLE</v>
      </c>
      <c r="C7" s="15">
        <f>BID!C637</f>
        <v>100</v>
      </c>
      <c r="D7" s="15">
        <f>IF(K7&gt;0,(K7/100)*BID!D637,1*BID!D637)</f>
        <v>300</v>
      </c>
      <c r="E7" s="60">
        <f>IF(K7&gt;0,PR!AC635,IF(BID!K637="ROTECH",BID!L637,0))</f>
        <v>310</v>
      </c>
      <c r="F7" s="61">
        <f t="shared" si="0"/>
        <v>93000</v>
      </c>
      <c r="K7" s="445"/>
    </row>
    <row r="8" spans="1:11" ht="20.25" thickTop="1" thickBot="1" x14ac:dyDescent="0.35">
      <c r="A8" s="430">
        <f>BID!A641</f>
        <v>577</v>
      </c>
      <c r="B8" s="15" t="str">
        <f>BID!B641</f>
        <v xml:space="preserve">50CC NEEDLE/SYRINGE </v>
      </c>
      <c r="C8" s="15">
        <f>BID!C641</f>
        <v>100</v>
      </c>
      <c r="D8" s="15">
        <f>IF(K8&gt;0,(K8/100)*BID!D641,1*BID!D641)</f>
        <v>100</v>
      </c>
      <c r="E8" s="60">
        <f>IF(K8&gt;0,PR!AC639,IF(BID!K641="ROTECH",BID!L641,0))</f>
        <v>17000</v>
      </c>
      <c r="F8" s="61">
        <f t="shared" si="0"/>
        <v>1700000</v>
      </c>
      <c r="K8" s="445"/>
    </row>
    <row r="9" spans="1:11" ht="20.25" thickTop="1" thickBot="1" x14ac:dyDescent="0.35">
      <c r="A9" s="430">
        <f>BID!A655</f>
        <v>591</v>
      </c>
      <c r="B9" s="15" t="str">
        <f>BID!B655</f>
        <v>ELASTIC BANDAGE 4"</v>
      </c>
      <c r="C9" s="15">
        <f>BID!C655</f>
        <v>12</v>
      </c>
      <c r="D9" s="15">
        <f>IF(K9&gt;0,(K9/100)*BID!D655,1*BID!D655)</f>
        <v>100</v>
      </c>
      <c r="E9" s="60">
        <f>IF(K9&gt;0,PR!AC653,IF(BID!K655="ROTECH",BID!L655,0))</f>
        <v>978</v>
      </c>
      <c r="F9" s="61">
        <f t="shared" si="0"/>
        <v>97800</v>
      </c>
      <c r="K9" s="445"/>
    </row>
    <row r="10" spans="1:11" ht="20.25" thickTop="1" thickBot="1" x14ac:dyDescent="0.35">
      <c r="A10" s="430">
        <f>BID!A656</f>
        <v>592</v>
      </c>
      <c r="B10" s="15" t="str">
        <f>BID!B656</f>
        <v>ELASTIC BANDAGE 6"</v>
      </c>
      <c r="C10" s="15">
        <f>BID!C656</f>
        <v>12</v>
      </c>
      <c r="D10" s="15">
        <f>IF(K10&gt;0,(K10/100)*BID!D656,1*BID!D656)</f>
        <v>400</v>
      </c>
      <c r="E10" s="60">
        <f>IF(K10&gt;0,PR!AC654,IF(BID!K656="ROTECH",BID!L656,0))</f>
        <v>1243</v>
      </c>
      <c r="F10" s="61">
        <f t="shared" si="0"/>
        <v>497200</v>
      </c>
      <c r="K10" s="445"/>
    </row>
    <row r="11" spans="1:11" ht="20.25" thickTop="1" thickBot="1" x14ac:dyDescent="0.35">
      <c r="A11" s="430">
        <f>BID!A672</f>
        <v>608</v>
      </c>
      <c r="B11" s="15" t="str">
        <f>BID!B672</f>
        <v>MUCUS EXRACTOR</v>
      </c>
      <c r="C11" s="15">
        <f>BID!C672</f>
        <v>25</v>
      </c>
      <c r="D11" s="15">
        <f>IF(K11&gt;0,(K11/100)*BID!D672,1*BID!D672)</f>
        <v>60</v>
      </c>
      <c r="E11" s="60">
        <f>IF(K11&gt;0,PR!AC670,IF(BID!K672="ROTECH",BID!L672,0))</f>
        <v>2220</v>
      </c>
      <c r="F11" s="61">
        <f t="shared" si="0"/>
        <v>133200</v>
      </c>
      <c r="K11" s="445"/>
    </row>
    <row r="12" spans="1:11" ht="20.25" thickTop="1" thickBot="1" x14ac:dyDescent="0.35">
      <c r="A12" s="430">
        <f>BID!A684</f>
        <v>620</v>
      </c>
      <c r="B12" s="15" t="str">
        <f>BID!B684</f>
        <v>NYLON DRUG ENVELOPE</v>
      </c>
      <c r="C12" s="15">
        <f>BID!C684</f>
        <v>250</v>
      </c>
      <c r="D12" s="15">
        <f>IF(K12&gt;0,(K12/100)*BID!D684,1*BID!D684)</f>
        <v>8</v>
      </c>
      <c r="E12" s="60">
        <f>IF(K12&gt;0,PR!AC682,IF(BID!K684="ROTECH",BID!L684,0))</f>
        <v>15540</v>
      </c>
      <c r="F12" s="61">
        <f t="shared" si="0"/>
        <v>124320</v>
      </c>
      <c r="K12" s="445"/>
    </row>
    <row r="13" spans="1:11" ht="20.25" thickTop="1" thickBot="1" x14ac:dyDescent="0.35">
      <c r="A13" s="430">
        <f>BID!A701</f>
        <v>637</v>
      </c>
      <c r="B13" s="15" t="str">
        <f>BID!B701</f>
        <v>SOFRATULLE</v>
      </c>
      <c r="C13" s="15">
        <f>BID!C701</f>
        <v>100</v>
      </c>
      <c r="D13" s="15">
        <f>IF(K13&gt;0,(K13/100)*BID!D701,1*BID!D701)</f>
        <v>32</v>
      </c>
      <c r="E13" s="60">
        <f>IF(K13&gt;0,PR!AC699,IF(BID!K701="ROTECH",BID!L701,0))</f>
        <v>5520</v>
      </c>
      <c r="F13" s="61">
        <f t="shared" si="0"/>
        <v>176640</v>
      </c>
      <c r="K13" s="445"/>
    </row>
    <row r="14" spans="1:11" ht="20.25" thickTop="1" thickBot="1" x14ac:dyDescent="0.35">
      <c r="A14" s="430">
        <f>BID!A703</f>
        <v>639</v>
      </c>
      <c r="B14" s="15" t="str">
        <f>BID!B703</f>
        <v>SOLUSET La MED</v>
      </c>
      <c r="C14" s="15">
        <f>BID!C703</f>
        <v>50</v>
      </c>
      <c r="D14" s="15">
        <f>IF(K14&gt;0,(K14/100)*BID!D703,1*BID!D703)</f>
        <v>20</v>
      </c>
      <c r="E14" s="60">
        <f>IF(K14&gt;0,PR!AC701,IF(BID!K703="ROTECH",BID!L703,0))</f>
        <v>25200</v>
      </c>
      <c r="F14" s="61">
        <f t="shared" si="0"/>
        <v>504000</v>
      </c>
      <c r="K14" s="445"/>
    </row>
    <row r="15" spans="1:11" ht="20.25" thickTop="1" thickBot="1" x14ac:dyDescent="0.35">
      <c r="A15" s="430">
        <f>BID!A713</f>
        <v>649</v>
      </c>
      <c r="B15" s="15" t="str">
        <f>BID!B713</f>
        <v>URINE BAG</v>
      </c>
      <c r="C15" s="15">
        <f>BID!C713</f>
        <v>10</v>
      </c>
      <c r="D15" s="15">
        <f>IF(K15&gt;0,(K15/100)*BID!D713,1*BID!D713)</f>
        <v>600</v>
      </c>
      <c r="E15" s="60">
        <f>IF(K15&gt;0,PR!AC711,IF(BID!K713="ROTECH",BID!L713,0))</f>
        <v>715</v>
      </c>
      <c r="F15" s="61">
        <f t="shared" si="0"/>
        <v>429000</v>
      </c>
      <c r="K15" s="445"/>
    </row>
    <row r="16" spans="1:11" s="8" customFormat="1" ht="20.25" thickTop="1" thickBot="1" x14ac:dyDescent="0.35">
      <c r="A16" s="430"/>
      <c r="B16" s="15"/>
      <c r="C16" s="15"/>
      <c r="D16" s="15"/>
      <c r="E16" s="60"/>
      <c r="F16" s="61"/>
      <c r="K16" s="444"/>
    </row>
    <row r="17" spans="1:11" s="8" customFormat="1" ht="24.75" thickTop="1" thickBot="1" x14ac:dyDescent="0.3">
      <c r="A17" s="430"/>
      <c r="B17" s="820" t="s">
        <v>1489</v>
      </c>
      <c r="C17" s="821"/>
      <c r="D17" s="821"/>
      <c r="E17" s="821"/>
      <c r="F17" s="822"/>
      <c r="K17" s="444"/>
    </row>
    <row r="18" spans="1:11" ht="20.25" thickTop="1" thickBot="1" x14ac:dyDescent="0.35">
      <c r="A18" s="430">
        <f>BID!A797</f>
        <v>718</v>
      </c>
      <c r="B18" s="15" t="str">
        <f>BID!B797</f>
        <v>BLADDER SYRINGE 50ML</v>
      </c>
      <c r="C18" s="15" t="str">
        <f>BID!C797</f>
        <v>CARTON</v>
      </c>
      <c r="D18" s="15">
        <f>IF(K18&gt;0,(K18/100)*BID!D797,1*BID!D797)</f>
        <v>5</v>
      </c>
      <c r="E18" s="60">
        <f>IF(K18&gt;0,PR!AC795,IF(BID!K797="ROTECH",BID!L797,0))</f>
        <v>17000</v>
      </c>
      <c r="F18" s="61">
        <f>IF(E18&gt;0,(E18*D18),0)</f>
        <v>85000</v>
      </c>
      <c r="K18" s="445"/>
    </row>
    <row r="19" spans="1:11" ht="20.25" thickTop="1" thickBot="1" x14ac:dyDescent="0.35">
      <c r="A19" s="430">
        <f>BID!A795</f>
        <v>716</v>
      </c>
      <c r="B19" s="15" t="str">
        <f>BID!B795</f>
        <v>FACE MASK</v>
      </c>
      <c r="C19" s="15" t="str">
        <f>BID!C795</f>
        <v>BOXES</v>
      </c>
      <c r="D19" s="15">
        <f>IF(K19&gt;0,(K19/100)*BID!D795,1*BID!D795)</f>
        <v>15</v>
      </c>
      <c r="E19" s="60">
        <f>IF(K19&gt;0,PR!AC793,IF(BID!K795="ROTECH",BID!L795,0))</f>
        <v>330</v>
      </c>
      <c r="F19" s="61">
        <f>IF(E19&gt;0,(E19*D19),0)</f>
        <v>4950</v>
      </c>
      <c r="K19" s="445"/>
    </row>
    <row r="20" spans="1:11" ht="20.25" thickTop="1" thickBot="1" x14ac:dyDescent="0.35">
      <c r="A20" s="430">
        <f>BID!A789</f>
        <v>710</v>
      </c>
      <c r="B20" s="15" t="str">
        <f>BID!B789</f>
        <v>FILMS AGFA 10" x 12" DRYSTAR DT 5 B (DRY MEDICAL FILM) 5</v>
      </c>
      <c r="C20" s="15">
        <f>BID!C789</f>
        <v>12</v>
      </c>
      <c r="D20" s="15">
        <f>IF(K20&gt;0,(K20/100)*BID!D789,1*BID!D789)</f>
        <v>90</v>
      </c>
      <c r="E20" s="60">
        <f>IF(K20&gt;0,PR!AC787,IF(BID!K789="ROTECH",BID!L789,0))</f>
        <v>60500</v>
      </c>
      <c r="F20" s="61">
        <f>IF(E20&gt;0,(E20*D20),0)</f>
        <v>5445000</v>
      </c>
      <c r="K20" s="445"/>
    </row>
    <row r="21" spans="1:11" ht="20.25" thickTop="1" thickBot="1" x14ac:dyDescent="0.35">
      <c r="A21" s="430">
        <f>BID!A792</f>
        <v>713</v>
      </c>
      <c r="B21" s="15" t="str">
        <f>BID!B792</f>
        <v>ULTRASOUND GEL</v>
      </c>
      <c r="C21" s="15" t="str">
        <f>BID!C792</f>
        <v>5L</v>
      </c>
      <c r="D21" s="15">
        <f>IF(K21&gt;0,(K21/100)*BID!D792,1*BID!D792)</f>
        <v>15</v>
      </c>
      <c r="E21" s="60">
        <f>IF(K21&gt;0,PR!AC790,IF(BID!K792="ROTECH",BID!L792,0))</f>
        <v>3850</v>
      </c>
      <c r="F21" s="61">
        <f>IF(E21&gt;0,(E21*D21),0)</f>
        <v>57750</v>
      </c>
      <c r="K21" s="445"/>
    </row>
    <row r="22" spans="1:11" s="8" customFormat="1" ht="20.25" thickTop="1" thickBot="1" x14ac:dyDescent="0.35">
      <c r="A22" s="430"/>
      <c r="B22" s="15"/>
      <c r="C22" s="15"/>
      <c r="D22" s="15"/>
      <c r="E22" s="60"/>
      <c r="F22" s="61"/>
      <c r="K22" s="444"/>
    </row>
    <row r="23" spans="1:11" s="8" customFormat="1" ht="24.75" thickTop="1" thickBot="1" x14ac:dyDescent="0.3">
      <c r="A23" s="430"/>
      <c r="B23" s="820" t="s">
        <v>1507</v>
      </c>
      <c r="C23" s="821"/>
      <c r="D23" s="821"/>
      <c r="E23" s="821"/>
      <c r="F23" s="822"/>
      <c r="K23" s="444"/>
    </row>
    <row r="24" spans="1:11" ht="20.25" thickTop="1" thickBot="1" x14ac:dyDescent="0.35">
      <c r="A24" s="430">
        <f>BID!A837</f>
        <v>751</v>
      </c>
      <c r="B24" s="15" t="str">
        <f>BID!B837</f>
        <v>AIRWAYS ADULT SIZE 3&amp;4</v>
      </c>
      <c r="C24" s="15" t="str">
        <f>BID!C837</f>
        <v>PCS</v>
      </c>
      <c r="D24" s="15">
        <f>IF(K24&gt;0,(K24/100)*BID!D837,1*BID!D837)</f>
        <v>120</v>
      </c>
      <c r="E24" s="60">
        <f>IF(K24&gt;0,PR!AC835,IF(BID!K837="ROTECH",BID!L837,0))</f>
        <v>165</v>
      </c>
      <c r="F24" s="61">
        <f t="shared" ref="F24:F29" si="1">IF(E24&gt;0,(E24*D24),0)</f>
        <v>19800</v>
      </c>
      <c r="K24" s="445"/>
    </row>
    <row r="25" spans="1:11" ht="20.25" thickTop="1" thickBot="1" x14ac:dyDescent="0.35">
      <c r="A25" s="430">
        <f>BID!A840</f>
        <v>754</v>
      </c>
      <c r="B25" s="15" t="str">
        <f>BID!B840</f>
        <v>COMBI 2 (URS - 2P)</v>
      </c>
      <c r="C25" s="15" t="str">
        <f>BID!C840</f>
        <v>BOTTLE</v>
      </c>
      <c r="D25" s="15">
        <f>IF(K25&gt;0,(K25/100)*BID!D840,1*BID!D840)</f>
        <v>240</v>
      </c>
      <c r="E25" s="60">
        <f>IF(K25&gt;0,PR!AC838,IF(BID!K840="ROTECH",BID!L840,0))</f>
        <v>1100</v>
      </c>
      <c r="F25" s="61">
        <f t="shared" si="1"/>
        <v>264000</v>
      </c>
      <c r="K25" s="445"/>
    </row>
    <row r="26" spans="1:11" ht="20.25" thickTop="1" thickBot="1" x14ac:dyDescent="0.35">
      <c r="A26" s="430">
        <f>BID!A842</f>
        <v>756</v>
      </c>
      <c r="B26" s="15" t="str">
        <f>BID!B842</f>
        <v>DISPOSABLE THEATRE GOWN</v>
      </c>
      <c r="C26" s="15" t="str">
        <f>BID!C842</f>
        <v>PCS</v>
      </c>
      <c r="D26" s="15">
        <f>IF(K26&gt;0,(K26/100)*BID!D842,1*BID!D842)</f>
        <v>160</v>
      </c>
      <c r="E26" s="60">
        <f>IF(K26&gt;0,PR!AC840,IF(BID!K842="ROTECH",BID!L842,0))</f>
        <v>314</v>
      </c>
      <c r="F26" s="61">
        <f t="shared" si="1"/>
        <v>50240</v>
      </c>
      <c r="K26" s="445"/>
    </row>
    <row r="27" spans="1:11" ht="20.25" thickTop="1" thickBot="1" x14ac:dyDescent="0.35">
      <c r="A27" s="430">
        <f>BID!A833</f>
        <v>747</v>
      </c>
      <c r="B27" s="15" t="str">
        <f>BID!B833</f>
        <v>ENDOTRACHEAL TUBE SIZE 7.5 (DGL)</v>
      </c>
      <c r="C27" s="15" t="str">
        <f>BID!C833</f>
        <v>PACK</v>
      </c>
      <c r="D27" s="15">
        <f>IF(K27&gt;0,(K27/100)*BID!D833,1*BID!D833)</f>
        <v>72</v>
      </c>
      <c r="E27" s="60">
        <f>IF(K27&gt;0,PR!AC831,IF(BID!K833="ROTECH",BID!L833,0))</f>
        <v>2240</v>
      </c>
      <c r="F27" s="61">
        <f t="shared" si="1"/>
        <v>161280</v>
      </c>
      <c r="K27" s="445"/>
    </row>
    <row r="28" spans="1:11" ht="20.25" thickTop="1" thickBot="1" x14ac:dyDescent="0.35">
      <c r="A28" s="430">
        <f>BID!A831</f>
        <v>745</v>
      </c>
      <c r="B28" s="15" t="str">
        <f>BID!B831</f>
        <v>GLUTARALDEHYDE CIDEX (ASP)</v>
      </c>
      <c r="C28" s="15" t="str">
        <f>BID!C831</f>
        <v>KEG</v>
      </c>
      <c r="D28" s="15">
        <f>IF(K28&gt;0,(K28/100)*BID!D831,1*BID!D831)</f>
        <v>30</v>
      </c>
      <c r="E28" s="60">
        <f>IF(K28&gt;0,PR!AC829,IF(BID!K831="ROTECH",BID!L831,0))</f>
        <v>27120</v>
      </c>
      <c r="F28" s="61">
        <f t="shared" si="1"/>
        <v>813600</v>
      </c>
      <c r="K28" s="445"/>
    </row>
    <row r="29" spans="1:11" ht="20.25" thickTop="1" thickBot="1" x14ac:dyDescent="0.35">
      <c r="A29" s="430">
        <f>BID!A835</f>
        <v>749</v>
      </c>
      <c r="B29" s="15" t="str">
        <f>BID!B835</f>
        <v>PURIT 4 LITRE (SAROLIFE)</v>
      </c>
      <c r="C29" s="15" t="str">
        <f>BID!C835</f>
        <v>KEG</v>
      </c>
      <c r="D29" s="15">
        <f>IF(K29&gt;0,(K29/100)*BID!D835,1*BID!D835)</f>
        <v>100</v>
      </c>
      <c r="E29" s="60">
        <f>IF(K29&gt;0,PR!AC833,IF(BID!K835="ROTECH",BID!L835,0))</f>
        <v>2650</v>
      </c>
      <c r="F29" s="61">
        <f t="shared" si="1"/>
        <v>265000</v>
      </c>
      <c r="K29" s="445"/>
    </row>
    <row r="30" spans="1:11" s="8" customFormat="1" ht="20.25" thickTop="1" thickBot="1" x14ac:dyDescent="0.35">
      <c r="A30" s="430"/>
      <c r="B30" s="15"/>
      <c r="C30" s="15"/>
      <c r="D30" s="15"/>
      <c r="E30" s="60"/>
      <c r="F30" s="61"/>
      <c r="K30" s="444"/>
    </row>
    <row r="31" spans="1:11" s="8" customFormat="1" ht="24.75" thickTop="1" thickBot="1" x14ac:dyDescent="0.3">
      <c r="A31" s="430"/>
      <c r="B31" s="820" t="s">
        <v>1657</v>
      </c>
      <c r="C31" s="821"/>
      <c r="D31" s="821"/>
      <c r="E31" s="821"/>
      <c r="F31" s="822"/>
      <c r="K31" s="444"/>
    </row>
    <row r="32" spans="1:11" ht="20.25" thickTop="1" thickBot="1" x14ac:dyDescent="0.35">
      <c r="A32" s="430">
        <f>BID!A963</f>
        <v>865</v>
      </c>
      <c r="B32" s="15" t="str">
        <f>BID!B963</f>
        <v>DD FORCE</v>
      </c>
      <c r="C32" s="15" t="str">
        <f>BID!C963</f>
        <v>1 Carton (12 x 1 litre)</v>
      </c>
      <c r="D32" s="15">
        <f>IF(K32&gt;0,(K32/100)*BID!D963,1*BID!D963)</f>
        <v>4</v>
      </c>
      <c r="E32" s="60">
        <f>IF(K32&gt;0,PR!AC961,IF(BID!K963="ROTECH",BID!L963,0))</f>
        <v>31580</v>
      </c>
      <c r="F32" s="61">
        <f>IF(E32&gt;0,(E32*D32),0)</f>
        <v>126320</v>
      </c>
      <c r="K32" s="445"/>
    </row>
    <row r="33" spans="1:11" ht="20.25" thickTop="1" thickBot="1" x14ac:dyDescent="0.35">
      <c r="A33" s="430">
        <f>BID!A967</f>
        <v>869</v>
      </c>
      <c r="B33" s="15" t="str">
        <f>BID!B967</f>
        <v>FORCEPS NON TOOTHED</v>
      </c>
      <c r="C33" s="15" t="str">
        <f>BID!C967</f>
        <v>1 piece</v>
      </c>
      <c r="D33" s="15">
        <f>IF(K33&gt;0,(K33/100)*BID!D967,1*BID!D967)</f>
        <v>8</v>
      </c>
      <c r="E33" s="60">
        <f>IF(K33&gt;0,PR!AC965,IF(BID!K967="ROTECH",BID!L967,0))</f>
        <v>250</v>
      </c>
      <c r="F33" s="61">
        <f>IF(E33&gt;0,(E33*D33),0)</f>
        <v>2000</v>
      </c>
      <c r="K33" s="445"/>
    </row>
    <row r="34" spans="1:11" ht="20.25" thickTop="1" thickBot="1" x14ac:dyDescent="0.35">
      <c r="A34" s="430">
        <f>BID!A968</f>
        <v>870</v>
      </c>
      <c r="B34" s="15" t="str">
        <f>BID!B968</f>
        <v>FORCEPS TOOTHED</v>
      </c>
      <c r="C34" s="15" t="str">
        <f>BID!C968</f>
        <v>1 piece</v>
      </c>
      <c r="D34" s="15">
        <f>IF(K34&gt;0,(K34/100)*BID!D968,1*BID!D968)</f>
        <v>8</v>
      </c>
      <c r="E34" s="60">
        <f>IF(K34&gt;0,PR!AC966,IF(BID!K968="ROTECH",BID!L968,0))</f>
        <v>250</v>
      </c>
      <c r="F34" s="61">
        <f>IF(E34&gt;0,(E34*D34),0)</f>
        <v>2000</v>
      </c>
      <c r="K34" s="445"/>
    </row>
    <row r="35" spans="1:11" ht="20.25" thickTop="1" thickBot="1" x14ac:dyDescent="0.35">
      <c r="A35" s="430">
        <f>BID!A974</f>
        <v>876</v>
      </c>
      <c r="B35" s="15" t="str">
        <f>BID!B974</f>
        <v>THICK RED RUBBER GLOVES</v>
      </c>
      <c r="C35" s="15" t="str">
        <f>BID!C974</f>
        <v>1 pair</v>
      </c>
      <c r="D35" s="15">
        <f>IF(K35&gt;0,(K35/100)*BID!D974,1*BID!D974)</f>
        <v>24</v>
      </c>
      <c r="E35" s="60">
        <f>IF(K35&gt;0,PR!AC972,IF(BID!K974="ROTECH",BID!L974,0))</f>
        <v>400</v>
      </c>
      <c r="F35" s="61">
        <f>IF(E35&gt;0,(E35*D35),0)</f>
        <v>9600</v>
      </c>
      <c r="K35" s="445"/>
    </row>
    <row r="36" spans="1:11" s="8" customFormat="1" ht="20.25" thickTop="1" thickBot="1" x14ac:dyDescent="0.35">
      <c r="A36" s="430"/>
      <c r="B36" s="15"/>
      <c r="C36" s="15"/>
      <c r="D36" s="15"/>
      <c r="E36" s="60"/>
      <c r="F36" s="61"/>
      <c r="K36" s="444"/>
    </row>
    <row r="37" spans="1:11" s="8" customFormat="1" ht="24.75" thickTop="1" thickBot="1" x14ac:dyDescent="0.3">
      <c r="A37" s="430"/>
      <c r="B37" s="820" t="s">
        <v>1754</v>
      </c>
      <c r="C37" s="821"/>
      <c r="D37" s="821"/>
      <c r="E37" s="821"/>
      <c r="F37" s="822"/>
      <c r="K37" s="444"/>
    </row>
    <row r="38" spans="1:11" ht="20.25" thickTop="1" thickBot="1" x14ac:dyDescent="0.35">
      <c r="A38" s="430">
        <f>BID!A1040</f>
        <v>936</v>
      </c>
      <c r="B38" s="15" t="str">
        <f>BID!B1040</f>
        <v>APPLICATOR STICK</v>
      </c>
      <c r="C38" s="15" t="str">
        <f>BID!C1040</f>
        <v>1 pack of 1000pieces</v>
      </c>
      <c r="D38" s="15">
        <f>IF(K38&gt;0,(K38/100)*BID!D1040,1*BID!D1040)</f>
        <v>20</v>
      </c>
      <c r="E38" s="60">
        <f>IF(K38&gt;0,PR!AC1038,IF(BID!K1040="ROTECH",BID!L1040,0))</f>
        <v>3300</v>
      </c>
      <c r="F38" s="61">
        <f t="shared" ref="F38:F43" si="2">IF(E38&gt;0,(E38*D38),0)</f>
        <v>66000</v>
      </c>
      <c r="K38" s="445"/>
    </row>
    <row r="39" spans="1:11" s="8" customFormat="1" ht="20.25" thickTop="1" thickBot="1" x14ac:dyDescent="0.35">
      <c r="A39" s="430"/>
      <c r="B39" s="15"/>
      <c r="C39" s="15"/>
      <c r="D39" s="15"/>
      <c r="E39" s="60"/>
      <c r="F39" s="61"/>
      <c r="K39" s="444"/>
    </row>
    <row r="40" spans="1:11" s="8" customFormat="1" ht="24.75" thickTop="1" thickBot="1" x14ac:dyDescent="0.3">
      <c r="A40" s="430"/>
      <c r="B40" s="820" t="s">
        <v>1857</v>
      </c>
      <c r="C40" s="821"/>
      <c r="D40" s="821"/>
      <c r="E40" s="821"/>
      <c r="F40" s="822"/>
      <c r="K40" s="444"/>
    </row>
    <row r="41" spans="1:11" ht="20.25" thickTop="1" thickBot="1" x14ac:dyDescent="0.35">
      <c r="A41" s="430">
        <f>BID!A1086</f>
        <v>976</v>
      </c>
      <c r="B41" s="15" t="str">
        <f>BID!B1086</f>
        <v>MEDICAL WASTE BIN LINERS-RED</v>
      </c>
      <c r="C41" s="15" t="str">
        <f>BID!C1086</f>
        <v>100/PACK</v>
      </c>
      <c r="D41" s="15">
        <f>IF(K41&gt;0,(K41/100)*BID!D1086,1*BID!D1086)</f>
        <v>250</v>
      </c>
      <c r="E41" s="60">
        <f>IF(K41&gt;0,PR!AC1084,IF(BID!K1086="ROTECH",BID!L1086,0))</f>
        <v>3000</v>
      </c>
      <c r="F41" s="61">
        <f t="shared" si="2"/>
        <v>750000</v>
      </c>
      <c r="K41" s="445"/>
    </row>
    <row r="42" spans="1:11" ht="20.25" thickTop="1" thickBot="1" x14ac:dyDescent="0.35">
      <c r="A42" s="430">
        <f>BID!A1087</f>
        <v>977</v>
      </c>
      <c r="B42" s="15" t="str">
        <f>BID!B1087</f>
        <v>MEDICAL WASTE BIN LINERS-YELLOW</v>
      </c>
      <c r="C42" s="15" t="str">
        <f>BID!C1087</f>
        <v>100/PACK</v>
      </c>
      <c r="D42" s="15">
        <f>IF(K42&gt;0,(K42/100)*BID!D1087,1*BID!D1087)</f>
        <v>250</v>
      </c>
      <c r="E42" s="60">
        <f>IF(K42&gt;0,PR!AC1085,IF(BID!K1087="ROTECH",BID!L1087,0))</f>
        <v>3000</v>
      </c>
      <c r="F42" s="61">
        <f t="shared" si="2"/>
        <v>750000</v>
      </c>
      <c r="K42" s="445"/>
    </row>
    <row r="43" spans="1:11" ht="20.25" thickTop="1" thickBot="1" x14ac:dyDescent="0.35">
      <c r="A43" s="430">
        <f>BID!A1090</f>
        <v>980</v>
      </c>
      <c r="B43" s="15" t="str">
        <f>BID!B1090</f>
        <v>NOSE MASK</v>
      </c>
      <c r="C43" s="15" t="str">
        <f>BID!C1090</f>
        <v>100/PACK</v>
      </c>
      <c r="D43" s="15">
        <f>IF(K43&gt;0,(K43/100)*BID!D1090,1*BID!D1090)</f>
        <v>525</v>
      </c>
      <c r="E43" s="60">
        <f>IF(K43&gt;0,PR!AC1088,IF(BID!K1090="ROTECH",BID!L1090,0))</f>
        <v>330</v>
      </c>
      <c r="F43" s="61">
        <f t="shared" si="2"/>
        <v>173250</v>
      </c>
      <c r="K43" s="445"/>
    </row>
    <row r="44" spans="1:11" s="8" customFormat="1" ht="20.25" thickTop="1" thickBot="1" x14ac:dyDescent="0.35">
      <c r="A44" s="430"/>
      <c r="B44" s="15"/>
      <c r="C44" s="15"/>
      <c r="D44" s="15"/>
      <c r="E44" s="60"/>
      <c r="F44" s="61"/>
      <c r="K44" s="444"/>
    </row>
    <row r="45" spans="1:11" s="8" customFormat="1" ht="24.75" thickTop="1" thickBot="1" x14ac:dyDescent="0.3">
      <c r="A45" s="430"/>
      <c r="B45" s="820" t="s">
        <v>1868</v>
      </c>
      <c r="C45" s="821"/>
      <c r="D45" s="821"/>
      <c r="E45" s="821"/>
      <c r="F45" s="822"/>
      <c r="K45" s="444"/>
    </row>
    <row r="46" spans="1:11" ht="20.25" thickTop="1" thickBot="1" x14ac:dyDescent="0.35">
      <c r="A46" s="430">
        <f>BID!A1127</f>
        <v>1012</v>
      </c>
      <c r="B46" s="15" t="str">
        <f>BID!B1127</f>
        <v xml:space="preserve">100ul FIN PIPETTE TIPS (YELLOW) </v>
      </c>
      <c r="C46" s="15" t="str">
        <f>BID!C1127</f>
        <v>1*500</v>
      </c>
      <c r="D46" s="15">
        <f>IF(K46&gt;0,(K46/100)*BID!D1127,1*BID!D1127)</f>
        <v>80</v>
      </c>
      <c r="E46" s="60">
        <f>IF(K46&gt;0,PR!AC1125,IF(BID!K1127="ROTECH",BID!L1127,0))</f>
        <v>800</v>
      </c>
      <c r="F46" s="61">
        <f t="shared" ref="F46:F51" si="3">IF(E46&gt;0,(E46*D46),0)</f>
        <v>64000</v>
      </c>
      <c r="K46" s="445"/>
    </row>
    <row r="47" spans="1:11" ht="20.25" thickTop="1" thickBot="1" x14ac:dyDescent="0.35">
      <c r="A47" s="430">
        <f>BID!A1097</f>
        <v>982</v>
      </c>
      <c r="B47" s="15" t="str">
        <f>BID!B1097</f>
        <v>CHOLESTEROL KIT (RANDOX)</v>
      </c>
      <c r="C47" s="15" t="str">
        <f>BID!C1097</f>
        <v>6*30ml</v>
      </c>
      <c r="D47" s="15">
        <f>IF(K47&gt;0,(K47/100)*BID!D1097,1*BID!D1097)</f>
        <v>80</v>
      </c>
      <c r="E47" s="60">
        <f>IF(K47&gt;0,PR!AC1095,IF(BID!K1097="ROTECH",BID!L1097,0))</f>
        <v>16950</v>
      </c>
      <c r="F47" s="61">
        <f t="shared" si="3"/>
        <v>1356000</v>
      </c>
      <c r="K47" s="445"/>
    </row>
    <row r="48" spans="1:11" ht="20.25" thickTop="1" thickBot="1" x14ac:dyDescent="0.35">
      <c r="A48" s="430">
        <f>BID!A1109</f>
        <v>994</v>
      </c>
      <c r="B48" s="15" t="str">
        <f>BID!B1109</f>
        <v>HDL CHOLESTEROL KIT (RANDOX)</v>
      </c>
      <c r="C48" s="15" t="str">
        <f>BID!C1109</f>
        <v>1*100ml</v>
      </c>
      <c r="D48" s="15">
        <f>IF(K48&gt;0,(K48/100)*BID!D1109,1*BID!D1109)</f>
        <v>40</v>
      </c>
      <c r="E48" s="60">
        <f>IF(K48&gt;0,PR!AC1107,IF(BID!K1109="ROTECH",BID!L1109,0))</f>
        <v>6215</v>
      </c>
      <c r="F48" s="61">
        <f t="shared" si="3"/>
        <v>248600</v>
      </c>
      <c r="K48" s="445"/>
    </row>
    <row r="49" spans="1:11" ht="20.25" thickTop="1" thickBot="1" x14ac:dyDescent="0.35">
      <c r="A49" s="430">
        <f>BID!A1099</f>
        <v>984</v>
      </c>
      <c r="B49" s="15" t="str">
        <f>BID!B1099</f>
        <v>PHOSPHORUS KIT (SFRI)</v>
      </c>
      <c r="C49" s="15" t="str">
        <f>BID!C1099</f>
        <v>1*300ml</v>
      </c>
      <c r="D49" s="15">
        <f>IF(K49&gt;0,(K49/100)*BID!D1099,1*BID!D1099)</f>
        <v>16</v>
      </c>
      <c r="E49" s="60">
        <f>IF(K49&gt;0,PR!AC1097,IF(BID!K1099="ROTECH",BID!L1099,0))</f>
        <v>13560</v>
      </c>
      <c r="F49" s="61">
        <f t="shared" si="3"/>
        <v>216960</v>
      </c>
      <c r="K49" s="445"/>
    </row>
    <row r="50" spans="1:11" ht="20.25" thickTop="1" thickBot="1" x14ac:dyDescent="0.35">
      <c r="A50" s="430">
        <f>BID!A1107</f>
        <v>992</v>
      </c>
      <c r="B50" s="15" t="str">
        <f>BID!B1107</f>
        <v>PREGNANCY TEST CASSETTE (LABMAN)</v>
      </c>
      <c r="C50" s="15" t="str">
        <f>BID!C1107</f>
        <v>1*25</v>
      </c>
      <c r="D50" s="15">
        <f>IF(K50&gt;0,(K50/100)*BID!D1107,1*BID!D1107)</f>
        <v>36</v>
      </c>
      <c r="E50" s="60">
        <f>IF(K50&gt;0,PR!AC1105,IF(BID!K1107="ROTECH",BID!L1107,0))</f>
        <v>3300</v>
      </c>
      <c r="F50" s="61">
        <f t="shared" si="3"/>
        <v>118800</v>
      </c>
      <c r="K50" s="445"/>
    </row>
    <row r="51" spans="1:11" ht="20.25" thickTop="1" thickBot="1" x14ac:dyDescent="0.35">
      <c r="A51" s="430">
        <f>BID!A1096</f>
        <v>981</v>
      </c>
      <c r="B51" s="15" t="str">
        <f>BID!B1096</f>
        <v>TRIGLYCERIDE KIT (RANDOX)</v>
      </c>
      <c r="C51" s="15" t="str">
        <f>BID!C1096</f>
        <v>6*15ml</v>
      </c>
      <c r="D51" s="15">
        <f>IF(K51&gt;0,(K51/100)*BID!D1096,1*BID!D1096)</f>
        <v>36</v>
      </c>
      <c r="E51" s="60">
        <f>IF(K51&gt;0,PR!AC1094,IF(BID!K1096="ROTECH",BID!L1096,0))</f>
        <v>19050</v>
      </c>
      <c r="F51" s="61">
        <f t="shared" si="3"/>
        <v>685800</v>
      </c>
      <c r="K51" s="445"/>
    </row>
    <row r="52" spans="1:11" ht="19.5" thickTop="1" x14ac:dyDescent="0.3">
      <c r="A52" s="430"/>
      <c r="B52" s="15"/>
      <c r="C52" s="15"/>
      <c r="D52" s="15"/>
      <c r="E52" s="60"/>
      <c r="F52" s="61"/>
    </row>
    <row r="53" spans="1:11" ht="19.5" thickBot="1" x14ac:dyDescent="0.35">
      <c r="A53" s="430"/>
      <c r="B53" s="15"/>
      <c r="C53" s="15"/>
      <c r="D53" s="15"/>
      <c r="E53" s="60"/>
      <c r="F53" s="442"/>
    </row>
    <row r="54" spans="1:11" ht="21.75" thickBot="1" x14ac:dyDescent="0.4">
      <c r="A54" s="430"/>
      <c r="B54" s="15"/>
      <c r="C54" s="15"/>
      <c r="D54" s="15"/>
      <c r="E54" s="441"/>
      <c r="F54" s="443">
        <f>SUM(F6:F51)</f>
        <v>15494210</v>
      </c>
    </row>
  </sheetData>
  <protectedRanges>
    <protectedRange sqref="K6:K15 K18:K21 K24:K29 K32:K35 K38 K46:K51 K41:K43" name="Range1"/>
    <protectedRange sqref="K4:K5 K16:K17 K22:K23 K30:K31 K36:K37 K44:K45 K39:K40" name="Range1_1"/>
  </protectedRanges>
  <sortState ref="A46:K51">
    <sortCondition ref="B46:B51"/>
  </sortState>
  <mergeCells count="8">
    <mergeCell ref="B37:F37"/>
    <mergeCell ref="B45:F45"/>
    <mergeCell ref="B1:F1"/>
    <mergeCell ref="B5:F5"/>
    <mergeCell ref="B17:F17"/>
    <mergeCell ref="B23:F23"/>
    <mergeCell ref="B31:F31"/>
    <mergeCell ref="B40:F40"/>
  </mergeCells>
  <pageMargins left="0.25" right="0.25" top="0.75" bottom="0.75" header="0.3" footer="0.3"/>
  <pageSetup paperSize="9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52E7-FAEF-4E66-AAAD-9FE7956A5491}">
  <sheetPr>
    <tabColor rgb="FF00B0F0"/>
  </sheetPr>
  <dimension ref="A1:K13"/>
  <sheetViews>
    <sheetView view="pageBreakPreview" zoomScale="85" zoomScaleNormal="100" zoomScaleSheetLayoutView="85" workbookViewId="0">
      <selection activeCell="B7" sqref="B7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N!B29</f>
        <v>ISN PRODUCTS NIGERIA LIMITED</v>
      </c>
      <c r="C1" s="816"/>
      <c r="D1" s="816"/>
      <c r="E1" s="816"/>
      <c r="F1" s="816"/>
      <c r="K1" t="s">
        <v>1248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BID!A143</f>
        <v>123</v>
      </c>
      <c r="B6" s="15" t="str">
        <f>BID!B143</f>
        <v>GLUCOMETER  (ACCU-CHEK) ACTIVE</v>
      </c>
      <c r="C6" s="15" t="str">
        <f>BID!C143</f>
        <v>PC</v>
      </c>
      <c r="D6" s="15">
        <v>200</v>
      </c>
      <c r="E6" s="60">
        <v>6500</v>
      </c>
      <c r="F6" s="61">
        <f t="shared" ref="F6:F11" si="0">IF(E6&gt;0,(E6*D6),0)</f>
        <v>1300000</v>
      </c>
      <c r="K6" s="445"/>
    </row>
    <row r="7" spans="1:11" ht="19.5" thickTop="1" x14ac:dyDescent="0.3">
      <c r="A7" s="430">
        <v>123</v>
      </c>
      <c r="B7" s="15" t="s">
        <v>2187</v>
      </c>
      <c r="C7" s="15">
        <v>25</v>
      </c>
      <c r="D7" s="15">
        <v>200</v>
      </c>
      <c r="E7" s="60">
        <v>2400</v>
      </c>
      <c r="F7" s="61">
        <f t="shared" si="0"/>
        <v>480000</v>
      </c>
      <c r="K7" s="671"/>
    </row>
    <row r="8" spans="1:11" x14ac:dyDescent="0.3">
      <c r="A8" s="430">
        <v>123</v>
      </c>
      <c r="B8" s="15" t="s">
        <v>2188</v>
      </c>
      <c r="C8" s="15">
        <v>50</v>
      </c>
      <c r="D8" s="15">
        <v>200</v>
      </c>
      <c r="E8" s="60">
        <v>4000</v>
      </c>
      <c r="F8" s="61">
        <f t="shared" si="0"/>
        <v>800000</v>
      </c>
      <c r="K8" s="671"/>
    </row>
    <row r="9" spans="1:11" x14ac:dyDescent="0.3">
      <c r="A9" s="430">
        <v>123</v>
      </c>
      <c r="B9" s="15" t="s">
        <v>2181</v>
      </c>
      <c r="C9" s="15">
        <v>200</v>
      </c>
      <c r="D9" s="15">
        <v>400</v>
      </c>
      <c r="E9" s="60">
        <v>5500</v>
      </c>
      <c r="F9" s="61">
        <f t="shared" si="0"/>
        <v>2200000</v>
      </c>
      <c r="K9" s="671"/>
    </row>
    <row r="10" spans="1:11" x14ac:dyDescent="0.3">
      <c r="A10" s="430">
        <v>123</v>
      </c>
      <c r="B10" s="15" t="s">
        <v>2182</v>
      </c>
      <c r="C10" s="15">
        <v>200</v>
      </c>
      <c r="D10" s="15">
        <v>200</v>
      </c>
      <c r="E10" s="60">
        <v>3800</v>
      </c>
      <c r="F10" s="61">
        <f t="shared" si="0"/>
        <v>760000</v>
      </c>
    </row>
    <row r="11" spans="1:11" x14ac:dyDescent="0.3">
      <c r="A11" s="430">
        <v>123</v>
      </c>
      <c r="B11" s="15" t="s">
        <v>2182</v>
      </c>
      <c r="C11" s="15">
        <v>25</v>
      </c>
      <c r="D11" s="15">
        <v>200</v>
      </c>
      <c r="E11" s="60">
        <v>1000</v>
      </c>
      <c r="F11" s="61">
        <f t="shared" si="0"/>
        <v>200000</v>
      </c>
    </row>
    <row r="12" spans="1:11" ht="19.5" thickBot="1" x14ac:dyDescent="0.35">
      <c r="A12" s="430"/>
      <c r="C12" s="15"/>
      <c r="D12" s="15"/>
      <c r="E12" s="60"/>
      <c r="F12" s="442"/>
    </row>
    <row r="13" spans="1:11" ht="21.75" thickBot="1" x14ac:dyDescent="0.4">
      <c r="A13" s="430"/>
      <c r="B13" s="15"/>
      <c r="C13" s="15"/>
      <c r="D13" s="15"/>
      <c r="E13" s="441"/>
      <c r="F13" s="443">
        <f>SUM(F6:F11)</f>
        <v>5740000</v>
      </c>
    </row>
  </sheetData>
  <sheetProtection algorithmName="SHA-512" hashValue="ba+7TD8rLR8npkwH/RjuLv9tpYUo8CBj0BluzqZ/vY7PdS0tQuPp/Qq2NewXBMXJVziC3ZjmNxPjfFpTwCC0zA==" saltValue="Wqu+fpFPueM/Fgy6aoKjNg==" spinCount="100000" sheet="1" objects="1" scenarios="1"/>
  <protectedRanges>
    <protectedRange sqref="K6:K9" name="Range1"/>
    <protectedRange sqref="K4:K5" name="Range1_1"/>
  </protectedRanges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AC4DE-7882-4E85-9B53-B3F6077246C4}">
  <sheetPr>
    <tabColor rgb="FF0070C0"/>
  </sheetPr>
  <dimension ref="A1:K17"/>
  <sheetViews>
    <sheetView view="pageBreakPreview" zoomScale="85" zoomScaleNormal="100" zoomScaleSheetLayoutView="85" workbookViewId="0">
      <selection activeCell="B14" sqref="B14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N!B30</f>
        <v>JAWA INTERNATIONAL LIMITED</v>
      </c>
      <c r="C1" s="816"/>
      <c r="D1" s="816"/>
      <c r="E1" s="816"/>
      <c r="F1" s="816"/>
      <c r="K1" t="s">
        <v>630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BID!A239</f>
        <v>213</v>
      </c>
      <c r="B6" s="15" t="str">
        <f>BID!B239</f>
        <v>AMPICILLIN/CLOXACILLIN 500MG INJ</v>
      </c>
      <c r="C6" s="15" t="str">
        <f>BID!C239</f>
        <v>VIAL</v>
      </c>
      <c r="D6" s="15">
        <f>IF(K6&gt;0,(K6/100)*BID!D239,1*BID!D239)</f>
        <v>2000</v>
      </c>
      <c r="E6" s="60">
        <f>IF(K6&gt;0,PR!AE237,IF(BID!K239="JAWA",BID!L239,0))</f>
        <v>90</v>
      </c>
      <c r="F6" s="61">
        <f t="shared" ref="F6:F14" si="0">IF(E6&gt;0,(E6*D6),0)</f>
        <v>180000</v>
      </c>
      <c r="K6" s="445"/>
    </row>
    <row r="7" spans="1:11" ht="20.25" thickTop="1" thickBot="1" x14ac:dyDescent="0.35">
      <c r="A7" s="430">
        <f>BID!A533</f>
        <v>479</v>
      </c>
      <c r="B7" s="15" t="str">
        <f>BID!B533</f>
        <v>DIPHENHYDRAMINE HCL+ BROMHEXINE HCL+AMMONIUM CHLORIDE SYR</v>
      </c>
      <c r="C7" s="15" t="str">
        <f>BID!C533</f>
        <v>BOTT</v>
      </c>
      <c r="D7" s="15">
        <f>IF(K7&gt;0,(K7/100)*BID!D533,1*BID!D533)</f>
        <v>600</v>
      </c>
      <c r="E7" s="60">
        <f>IF(K7&gt;0,PR!AE531,IF(BID!K533="JAWA",BID!L533,0))</f>
        <v>280</v>
      </c>
      <c r="F7" s="61">
        <f t="shared" si="0"/>
        <v>168000</v>
      </c>
      <c r="K7" s="445"/>
    </row>
    <row r="8" spans="1:11" ht="20.25" thickTop="1" thickBot="1" x14ac:dyDescent="0.35">
      <c r="A8" s="430">
        <f>BID!A480</f>
        <v>432</v>
      </c>
      <c r="B8" s="15" t="str">
        <f>BID!B480</f>
        <v>LACTULOSE 100mls</v>
      </c>
      <c r="C8" s="15" t="str">
        <f>BID!C480</f>
        <v>BOTT</v>
      </c>
      <c r="D8" s="15">
        <f>IF(K8&gt;0,(K8/100)*BID!D480,1*BID!D480)</f>
        <v>400</v>
      </c>
      <c r="E8" s="60">
        <f>IF(K8&gt;0,PR!AE478,IF(BID!K480="JAWA",BID!L480,0))</f>
        <v>500</v>
      </c>
      <c r="F8" s="61">
        <f t="shared" si="0"/>
        <v>200000</v>
      </c>
      <c r="K8" s="445"/>
    </row>
    <row r="9" spans="1:11" ht="20.25" thickTop="1" thickBot="1" x14ac:dyDescent="0.35">
      <c r="A9" s="430">
        <f>BID!A767</f>
        <v>695</v>
      </c>
      <c r="B9" s="15" t="str">
        <f>BID!B767</f>
        <v>MIST. POTASSIUM CITRATE 200ML</v>
      </c>
      <c r="C9" s="15" t="str">
        <f>BID!C767</f>
        <v>BOTT</v>
      </c>
      <c r="D9" s="15">
        <f>IF(K9&gt;0,(K9/100)*BID!D767,1*BID!D767)</f>
        <v>600</v>
      </c>
      <c r="E9" s="60">
        <f>IF(K9&gt;0,PR!AE765,IF(BID!K767="JAWA",BID!L767,0))</f>
        <v>295</v>
      </c>
      <c r="F9" s="61">
        <f t="shared" si="0"/>
        <v>177000</v>
      </c>
      <c r="K9" s="445"/>
    </row>
    <row r="10" spans="1:11" ht="20.25" thickTop="1" thickBot="1" x14ac:dyDescent="0.35">
      <c r="A10" s="430">
        <f>BID!A752</f>
        <v>682</v>
      </c>
      <c r="B10" s="15" t="str">
        <f>BID!B752</f>
        <v>POVIDONE IODINE 100ML 10% (100ML)</v>
      </c>
      <c r="C10" s="15" t="str">
        <f>BID!C752</f>
        <v>BOTT</v>
      </c>
      <c r="D10" s="15">
        <f>IF(K10&gt;0,(K10/100)*BID!D752,1*BID!D752)</f>
        <v>200</v>
      </c>
      <c r="E10" s="60">
        <f>IF(K10&gt;0,PR!AE750,IF(BID!K752="JAWA",BID!L752,0))</f>
        <v>375</v>
      </c>
      <c r="F10" s="61">
        <f t="shared" si="0"/>
        <v>75000</v>
      </c>
      <c r="K10" s="445"/>
    </row>
    <row r="11" spans="1:11" ht="20.25" thickTop="1" thickBot="1" x14ac:dyDescent="0.35">
      <c r="A11" s="430">
        <f>BID!A751</f>
        <v>681</v>
      </c>
      <c r="B11" s="15" t="str">
        <f>BID!B751</f>
        <v>POVIDONE IODINE 100ML 5% (100ML)</v>
      </c>
      <c r="C11" s="15" t="str">
        <f>BID!C751</f>
        <v>BOTT</v>
      </c>
      <c r="D11" s="15">
        <f>IF(K11&gt;0,(K11/100)*BID!D751,1*BID!D751)</f>
        <v>500</v>
      </c>
      <c r="E11" s="60">
        <f>IF(K11&gt;0,PR!AE749,IF(BID!K751="JAWA",BID!L751,0))</f>
        <v>225</v>
      </c>
      <c r="F11" s="61">
        <f t="shared" si="0"/>
        <v>112500</v>
      </c>
      <c r="K11" s="445"/>
    </row>
    <row r="12" spans="1:11" ht="20.25" thickTop="1" thickBot="1" x14ac:dyDescent="0.35">
      <c r="A12" s="430">
        <f>BID!A730</f>
        <v>663</v>
      </c>
      <c r="B12" s="15" t="str">
        <f>BID!B730</f>
        <v>POVIDONE IODINE OINTMENT</v>
      </c>
      <c r="C12" s="15" t="str">
        <f>BID!C730</f>
        <v>TUBE</v>
      </c>
      <c r="D12" s="15">
        <f>IF(K12&gt;0,(K12/100)*BID!D730,1*BID!D730)</f>
        <v>200</v>
      </c>
      <c r="E12" s="60">
        <f>IF(K12&gt;0,PR!AE728,IF(BID!K730="JAWA",BID!L730,0))</f>
        <v>165</v>
      </c>
      <c r="F12" s="61">
        <f t="shared" si="0"/>
        <v>33000</v>
      </c>
      <c r="K12" s="445"/>
    </row>
    <row r="13" spans="1:11" ht="20.25" thickTop="1" thickBot="1" x14ac:dyDescent="0.35">
      <c r="A13" s="430">
        <f>BID!A453</f>
        <v>410</v>
      </c>
      <c r="B13" s="15" t="str">
        <f>BID!B453</f>
        <v>PROPOFOL 1%</v>
      </c>
      <c r="C13" s="15" t="str">
        <f>BID!C453</f>
        <v>VIAL</v>
      </c>
      <c r="D13" s="15">
        <f>IF(K13&gt;0,(K13/100)*BID!D453,1*BID!D453)</f>
        <v>560</v>
      </c>
      <c r="E13" s="60">
        <f>IF(K13&gt;0,PR!AE451,IF(BID!K453="JAWA",BID!L453,0))</f>
        <v>1008</v>
      </c>
      <c r="F13" s="61">
        <f t="shared" si="0"/>
        <v>564480</v>
      </c>
      <c r="K13" s="445">
        <v>70</v>
      </c>
    </row>
    <row r="14" spans="1:11" ht="20.25" thickTop="1" thickBot="1" x14ac:dyDescent="0.35">
      <c r="A14" s="430">
        <f>BID!A457</f>
        <v>414</v>
      </c>
      <c r="B14" s="15" t="str">
        <f>BID!B457</f>
        <v>XYLOCAINE 2% INJ</v>
      </c>
      <c r="C14" s="15" t="str">
        <f>BID!C457</f>
        <v>VIAL</v>
      </c>
      <c r="D14" s="15">
        <f>IF(K14&gt;0,(K14/100)*BID!D457,1*BID!D457)</f>
        <v>1200</v>
      </c>
      <c r="E14" s="60">
        <f>IF(K14&gt;0,PR!AE455,IF(BID!K457="JAWA",BID!L457,0))</f>
        <v>290</v>
      </c>
      <c r="F14" s="61">
        <f t="shared" si="0"/>
        <v>348000</v>
      </c>
      <c r="K14" s="445"/>
    </row>
    <row r="15" spans="1:11" ht="19.5" thickTop="1" x14ac:dyDescent="0.3">
      <c r="A15" s="430"/>
      <c r="B15" s="15"/>
      <c r="C15" s="15"/>
      <c r="D15" s="15"/>
      <c r="E15" s="60"/>
      <c r="F15" s="61"/>
    </row>
    <row r="16" spans="1:11" ht="19.5" thickBot="1" x14ac:dyDescent="0.35">
      <c r="A16" s="430"/>
      <c r="B16" s="15"/>
      <c r="C16" s="15"/>
      <c r="D16" s="15"/>
      <c r="E16" s="60"/>
      <c r="F16" s="442"/>
    </row>
    <row r="17" spans="1:6" ht="21.75" thickBot="1" x14ac:dyDescent="0.4">
      <c r="A17" s="430"/>
      <c r="B17" s="15"/>
      <c r="C17" s="15"/>
      <c r="D17" s="15"/>
      <c r="E17" s="441"/>
      <c r="F17" s="443">
        <f>SUM(F6:F14)</f>
        <v>1857980</v>
      </c>
    </row>
  </sheetData>
  <sheetProtection algorithmName="SHA-512" hashValue="v9zWwBZfDpf5M9krqP9abWrQ7VlJvB6BuuLiElj9RIxEQM8gHcFqgLpxAFvXyob+v3SZPC9e/TvnaObf1i0O9g==" saltValue="nuDptwMjWqA6uStc1cewkA==" spinCount="100000" sheet="1" objects="1" scenarios="1"/>
  <protectedRanges>
    <protectedRange sqref="K6:K14" name="Range1"/>
    <protectedRange sqref="K4:K5" name="Range1_1"/>
  </protectedRanges>
  <sortState ref="A6:K14">
    <sortCondition ref="B6:B14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5657D-8838-440F-AE74-47A0F88A546C}">
  <sheetPr>
    <tabColor rgb="FF002060"/>
  </sheetPr>
  <dimension ref="A1:K48"/>
  <sheetViews>
    <sheetView view="pageBreakPreview" topLeftCell="A19" zoomScale="85" zoomScaleNormal="100" zoomScaleSheetLayoutView="85" workbookViewId="0">
      <selection activeCell="A40" sqref="A4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14.8554687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N!B31</f>
        <v>LAYO-JAT NIGERIA LIMITED</v>
      </c>
      <c r="C1" s="816"/>
      <c r="D1" s="816"/>
      <c r="E1" s="816"/>
      <c r="F1" s="816"/>
      <c r="K1" t="s">
        <v>1461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1548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BID!A861</f>
        <v>769</v>
      </c>
      <c r="B6" s="15" t="str">
        <f>BID!B861</f>
        <v>DIFFERENTIAL COUNTER-7</v>
      </c>
      <c r="C6" s="15" t="str">
        <f>BID!C861</f>
        <v>2 pcs</v>
      </c>
      <c r="D6" s="15">
        <f>IF(K6&gt;0,(K6/100)*BID!D861,1*BID!D861)</f>
        <v>2</v>
      </c>
      <c r="E6" s="60">
        <f>IF(K6&gt;0,PR!AF859,IF(BID!K861="LAYO",BID!L861,0))</f>
        <v>3250</v>
      </c>
      <c r="F6" s="61">
        <f>IF(E6&gt;0,(E6*D6),0)</f>
        <v>6500</v>
      </c>
      <c r="K6" s="445"/>
    </row>
    <row r="7" spans="1:11" ht="20.25" thickTop="1" thickBot="1" x14ac:dyDescent="0.35">
      <c r="A7" s="430">
        <f>BID!A860</f>
        <v>768</v>
      </c>
      <c r="B7" s="15" t="str">
        <f>BID!B860</f>
        <v>ELECTRONIC THERMOMETER</v>
      </c>
      <c r="C7" s="15" t="str">
        <f>BID!C860</f>
        <v>4 pcs</v>
      </c>
      <c r="D7" s="15">
        <f>IF(K7&gt;0,(K7/100)*BID!D860,1*BID!D860)</f>
        <v>4</v>
      </c>
      <c r="E7" s="60">
        <f>IF(K7&gt;0,PR!AF858,IF(BID!K860="LAYO",BID!L860,0))</f>
        <v>3900</v>
      </c>
      <c r="F7" s="61">
        <f>IF(E7&gt;0,(E7*D7),0)</f>
        <v>15600</v>
      </c>
      <c r="K7" s="445"/>
    </row>
    <row r="8" spans="1:11" ht="20.25" thickTop="1" thickBot="1" x14ac:dyDescent="0.35">
      <c r="A8" s="430">
        <f>BID!A937</f>
        <v>845</v>
      </c>
      <c r="B8" s="15" t="str">
        <f>BID!B937</f>
        <v>ICE PACK CONTAINER</v>
      </c>
      <c r="C8" s="15">
        <f>BID!C937</f>
        <v>0</v>
      </c>
      <c r="D8" s="15">
        <f>IF(K8&gt;0,(K8/100)*BID!D937,1*BID!D937)</f>
        <v>20</v>
      </c>
      <c r="E8" s="60">
        <f>IF(K8&gt;0,PR!AF935,IF(BID!K937="LAYO",BID!L937,0))</f>
        <v>7800</v>
      </c>
      <c r="F8" s="61">
        <f>IF(E8&gt;0,(E8*D8),0)</f>
        <v>156000</v>
      </c>
      <c r="K8" s="445"/>
    </row>
    <row r="9" spans="1:11" s="8" customFormat="1" ht="20.25" thickTop="1" thickBot="1" x14ac:dyDescent="0.35">
      <c r="A9" s="430"/>
      <c r="B9" s="15"/>
      <c r="C9" s="15"/>
      <c r="D9" s="15"/>
      <c r="E9" s="60"/>
      <c r="F9" s="61"/>
      <c r="K9" s="444"/>
    </row>
    <row r="10" spans="1:11" s="8" customFormat="1" ht="24.75" thickTop="1" thickBot="1" x14ac:dyDescent="0.3">
      <c r="A10" s="430"/>
      <c r="B10" s="820" t="s">
        <v>1657</v>
      </c>
      <c r="C10" s="821"/>
      <c r="D10" s="821"/>
      <c r="E10" s="821"/>
      <c r="F10" s="822"/>
      <c r="K10" s="444"/>
    </row>
    <row r="11" spans="1:11" ht="20.25" thickTop="1" thickBot="1" x14ac:dyDescent="0.35">
      <c r="A11" s="430">
        <f>BID!A977</f>
        <v>879</v>
      </c>
      <c r="B11" s="15" t="str">
        <f>BID!B977</f>
        <v>COUPLING JAR</v>
      </c>
      <c r="C11" s="15" t="str">
        <f>BID!C977</f>
        <v>1 pack of 5 Slides</v>
      </c>
      <c r="D11" s="15">
        <f>IF(K11&gt;0,(K11/100)*BID!D977,1*BID!D977)</f>
        <v>10</v>
      </c>
      <c r="E11" s="60">
        <f>IF(K11&gt;0,PR!AF975,IF(BID!K977="LAYO",BID!L977,0))</f>
        <v>650</v>
      </c>
      <c r="F11" s="61">
        <f>IF(E11&gt;0,(E11*D11),0)</f>
        <v>6500</v>
      </c>
      <c r="K11" s="445"/>
    </row>
    <row r="12" spans="1:11" ht="20.25" thickTop="1" thickBot="1" x14ac:dyDescent="0.35">
      <c r="A12" s="430">
        <f>BID!A978</f>
        <v>880</v>
      </c>
      <c r="B12" s="15" t="str">
        <f>BID!B978</f>
        <v>EMBEDDING MOULD STAINLESS</v>
      </c>
      <c r="C12" s="15" t="str">
        <f>BID!C978</f>
        <v>1 pack (12pcs)</v>
      </c>
      <c r="D12" s="15">
        <f>IF(K12&gt;0,(K12/100)*BID!D978,1*BID!D978)</f>
        <v>15</v>
      </c>
      <c r="E12" s="60">
        <f>IF(K12&gt;0,PR!AF976,IF(BID!K978="LAYO",BID!L978,0))</f>
        <v>15600</v>
      </c>
      <c r="F12" s="61">
        <f>IF(E12&gt;0,(E12*D12),0)</f>
        <v>234000</v>
      </c>
      <c r="K12" s="445"/>
    </row>
    <row r="13" spans="1:11" ht="20.25" thickTop="1" thickBot="1" x14ac:dyDescent="0.35">
      <c r="A13" s="430">
        <f>BID!A951</f>
        <v>853</v>
      </c>
      <c r="B13" s="15" t="str">
        <f>BID!B951</f>
        <v>GLASS COVER SLIPS 22x40</v>
      </c>
      <c r="C13" s="15" t="str">
        <f>BID!C951</f>
        <v>1 Carton (10x100)</v>
      </c>
      <c r="D13" s="15">
        <f>IF(K13&gt;0,(K13/100)*BID!D951,1*BID!D951)</f>
        <v>20</v>
      </c>
      <c r="E13" s="60">
        <f>IF(K13&gt;0,PR!AF949,IF(BID!K951="LAYO",BID!L951,0))</f>
        <v>12350</v>
      </c>
      <c r="F13" s="61">
        <f>IF(E13&gt;0,(E13*D13),0)</f>
        <v>247000</v>
      </c>
      <c r="K13" s="445"/>
    </row>
    <row r="14" spans="1:11" ht="20.25" thickTop="1" thickBot="1" x14ac:dyDescent="0.35">
      <c r="A14" s="430">
        <f>BID!A983</f>
        <v>885</v>
      </c>
      <c r="B14" s="15" t="str">
        <f>BID!B983</f>
        <v>PLASTIC DISPOSABLE SPECULUM</v>
      </c>
      <c r="C14" s="15" t="str">
        <f>BID!C983</f>
        <v>1 Carton (100pcs)</v>
      </c>
      <c r="D14" s="15">
        <f>IF(K14&gt;0,(K14/100)*BID!D983,1*BID!D983)</f>
        <v>10</v>
      </c>
      <c r="E14" s="60">
        <f>IF(K14&gt;0,PR!AF981,IF(BID!K983="LAYO",BID!L983,0))</f>
        <v>13650</v>
      </c>
      <c r="F14" s="61">
        <f>IF(E14&gt;0,(E14*D14),0)</f>
        <v>136500</v>
      </c>
      <c r="K14" s="445"/>
    </row>
    <row r="15" spans="1:11" ht="20.25" thickTop="1" thickBot="1" x14ac:dyDescent="0.35">
      <c r="A15" s="430">
        <f>BID!A961</f>
        <v>863</v>
      </c>
      <c r="B15" s="15" t="str">
        <f>BID!B961</f>
        <v>TISSUE PAPER</v>
      </c>
      <c r="C15" s="15" t="str">
        <f>BID!C961</f>
        <v>1 Carton (24pcs)</v>
      </c>
      <c r="D15" s="15">
        <f>IF(K15&gt;0,(K15/100)*BID!D961,1*BID!D961)</f>
        <v>8</v>
      </c>
      <c r="E15" s="60">
        <f>IF(K15&gt;0,PR!AF959,IF(BID!K961="LAYO",BID!L961,0))</f>
        <v>2184</v>
      </c>
      <c r="F15" s="61">
        <f>IF(E15&gt;0,(E15*D15),0)</f>
        <v>17472</v>
      </c>
      <c r="K15" s="445"/>
    </row>
    <row r="16" spans="1:11" s="8" customFormat="1" ht="20.25" thickTop="1" thickBot="1" x14ac:dyDescent="0.35">
      <c r="A16" s="430"/>
      <c r="B16" s="15"/>
      <c r="C16" s="15"/>
      <c r="D16" s="15"/>
      <c r="E16" s="60"/>
      <c r="F16" s="61"/>
      <c r="K16" s="444"/>
    </row>
    <row r="17" spans="1:11" s="8" customFormat="1" ht="24.75" thickTop="1" thickBot="1" x14ac:dyDescent="0.3">
      <c r="A17" s="430"/>
      <c r="B17" s="820" t="s">
        <v>1754</v>
      </c>
      <c r="C17" s="821"/>
      <c r="D17" s="821"/>
      <c r="E17" s="821"/>
      <c r="F17" s="822"/>
      <c r="K17" s="444"/>
    </row>
    <row r="18" spans="1:11" ht="20.25" thickTop="1" thickBot="1" x14ac:dyDescent="0.35">
      <c r="A18" s="430">
        <f>BID!A1080</f>
        <v>973</v>
      </c>
      <c r="B18" s="15" t="str">
        <f>BID!B1080</f>
        <v>ANTIBIOTICS DISC DISPENSER</v>
      </c>
      <c r="C18" s="15" t="str">
        <f>BID!C1080</f>
        <v>1 X 1 PIECE</v>
      </c>
      <c r="D18" s="15">
        <f>IF(K18&gt;0,(K18/100)*BID!D1080,1*BID!D1080)</f>
        <v>40</v>
      </c>
      <c r="E18" s="60">
        <f>IF(K18&gt;0,PR!AF1078,IF(BID!K1080="LAYO",BID!L1080,0))</f>
        <v>7800</v>
      </c>
      <c r="F18" s="61">
        <f t="shared" ref="F18:F21" si="0">IF(E18&gt;0,(E18*D18),0)</f>
        <v>312000</v>
      </c>
      <c r="K18" s="445"/>
    </row>
    <row r="19" spans="1:11" ht="20.25" thickTop="1" thickBot="1" x14ac:dyDescent="0.35">
      <c r="A19" s="430">
        <f>BID!A1051</f>
        <v>947</v>
      </c>
      <c r="B19" s="15" t="str">
        <f>BID!B1051</f>
        <v>BCG NEEDLES</v>
      </c>
      <c r="C19" s="15" t="str">
        <f>BID!C1051</f>
        <v>1 pack of 100pieces</v>
      </c>
      <c r="D19" s="15">
        <f>IF(K19&gt;0,(K19/100)*BID!D1051,1*BID!D1051)</f>
        <v>40</v>
      </c>
      <c r="E19" s="60">
        <f>IF(K19&gt;0,PR!AF1049,IF(BID!K1051="LAYO",BID!L1051,0))</f>
        <v>3250</v>
      </c>
      <c r="F19" s="61">
        <f t="shared" si="0"/>
        <v>130000</v>
      </c>
      <c r="K19" s="445"/>
    </row>
    <row r="20" spans="1:11" ht="20.25" thickTop="1" thickBot="1" x14ac:dyDescent="0.35">
      <c r="A20" s="430">
        <f>BID!A1026</f>
        <v>922</v>
      </c>
      <c r="B20" s="15" t="str">
        <f>BID!B1026</f>
        <v>HAEMA SCREEN</v>
      </c>
      <c r="C20" s="15" t="str">
        <f>BID!C1026</f>
        <v>1 pack of 100 tests</v>
      </c>
      <c r="D20" s="15">
        <f>IF(K20&gt;0,(K20/100)*BID!D1026,1*BID!D1026)</f>
        <v>20</v>
      </c>
      <c r="E20" s="60">
        <f>IF(K20&gt;0,PR!AF1024,IF(BID!K1026="LAYO",BID!L1026,0))</f>
        <v>11050</v>
      </c>
      <c r="F20" s="61">
        <f t="shared" si="0"/>
        <v>221000</v>
      </c>
      <c r="K20" s="445"/>
    </row>
    <row r="21" spans="1:11" ht="20.25" thickTop="1" thickBot="1" x14ac:dyDescent="0.35">
      <c r="A21" s="430">
        <f>BID!A1032</f>
        <v>928</v>
      </c>
      <c r="B21" s="15" t="str">
        <f>BID!B1032</f>
        <v>IODINE CRYSTALS</v>
      </c>
      <c r="C21" s="15" t="str">
        <f>BID!C1032</f>
        <v>1 bottle of 500g</v>
      </c>
      <c r="D21" s="15">
        <f>IF(K21&gt;0,(K21/100)*BID!D1032,1*BID!D1032)</f>
        <v>4</v>
      </c>
      <c r="E21" s="60">
        <f>IF(K21&gt;0,PR!AF1030,IF(BID!K1032="LAYO",BID!L1032,0))</f>
        <v>12480</v>
      </c>
      <c r="F21" s="61">
        <f t="shared" si="0"/>
        <v>49920</v>
      </c>
      <c r="K21" s="445"/>
    </row>
    <row r="22" spans="1:11" s="8" customFormat="1" ht="20.25" thickTop="1" thickBot="1" x14ac:dyDescent="0.35">
      <c r="A22" s="430"/>
      <c r="B22" s="15"/>
      <c r="C22" s="15"/>
      <c r="D22" s="15"/>
      <c r="E22" s="60"/>
      <c r="F22" s="61"/>
      <c r="K22" s="444"/>
    </row>
    <row r="23" spans="1:11" s="8" customFormat="1" ht="24.75" thickTop="1" thickBot="1" x14ac:dyDescent="0.3">
      <c r="A23" s="430"/>
      <c r="B23" s="820" t="s">
        <v>1868</v>
      </c>
      <c r="C23" s="821"/>
      <c r="D23" s="821"/>
      <c r="E23" s="821"/>
      <c r="F23" s="822"/>
      <c r="K23" s="444"/>
    </row>
    <row r="24" spans="1:11" ht="20.25" thickTop="1" thickBot="1" x14ac:dyDescent="0.35">
      <c r="A24" s="430">
        <f>BID!A1104</f>
        <v>989</v>
      </c>
      <c r="B24" s="15" t="str">
        <f>BID!B1104</f>
        <v>ALKALINE PHOSPHATE KIT (TECO)</v>
      </c>
      <c r="C24" s="15" t="str">
        <f>BID!C1104</f>
        <v>2*100ml</v>
      </c>
      <c r="D24" s="15">
        <f>IF(K24&gt;0,(K24/100)*BID!D1104,1*BID!D1104)</f>
        <v>36</v>
      </c>
      <c r="E24" s="60">
        <f>IF(K24&gt;0,PR!AF1102,IF(BID!K1104="LAYO",BID!L1104,0))</f>
        <v>11700</v>
      </c>
      <c r="F24" s="61">
        <f t="shared" ref="F24:F40" si="1">IF(E24&gt;0,(E24*D24),0)</f>
        <v>421200</v>
      </c>
      <c r="K24" s="445"/>
    </row>
    <row r="25" spans="1:11" ht="20.25" thickTop="1" thickBot="1" x14ac:dyDescent="0.35">
      <c r="A25" s="430">
        <f>BID!A1110</f>
        <v>995</v>
      </c>
      <c r="B25" s="15" t="str">
        <f>BID!B1110</f>
        <v>ION SELECTIVE ELECTRODE (ISE) REAGENT PACK (ISE 6000)</v>
      </c>
      <c r="C25" s="15" t="str">
        <f>BID!C1110</f>
        <v>1*5 PACKS</v>
      </c>
      <c r="D25" s="15">
        <f>IF(K25&gt;0,(K25/100)*BID!D1110,1*BID!D1110)</f>
        <v>40</v>
      </c>
      <c r="E25" s="60">
        <f>IF(K25&gt;0,PR!AF1108,IF(BID!K1110="LAYO",BID!L1110,0))</f>
        <v>120000</v>
      </c>
      <c r="F25" s="61">
        <f t="shared" si="1"/>
        <v>4800000</v>
      </c>
      <c r="K25" s="445"/>
    </row>
    <row r="26" spans="1:11" ht="20.25" thickTop="1" thickBot="1" x14ac:dyDescent="0.35">
      <c r="A26" s="430">
        <f>BID!A1125</f>
        <v>1010</v>
      </c>
      <c r="B26" s="15" t="str">
        <f>BID!B1125</f>
        <v>MICROALBUMIN (ICHROMACARTRIDGES)</v>
      </c>
      <c r="C26" s="15" t="str">
        <f>BID!C1125</f>
        <v>1*25</v>
      </c>
      <c r="D26" s="15">
        <f>IF(K26&gt;0,(K26/100)*BID!D1125,1*BID!D1125)</f>
        <v>2</v>
      </c>
      <c r="E26" s="60">
        <f>IF(K26&gt;0,PR!AF1123,IF(BID!K1125="LAYO",BID!L1125,0))</f>
        <v>32500</v>
      </c>
      <c r="F26" s="61">
        <f t="shared" si="1"/>
        <v>65000</v>
      </c>
      <c r="K26" s="445"/>
    </row>
    <row r="27" spans="1:11" ht="20.25" thickTop="1" thickBot="1" x14ac:dyDescent="0.35">
      <c r="A27" s="430">
        <f>BID!A1147</f>
        <v>1032</v>
      </c>
      <c r="B27" s="15" t="str">
        <f>BID!B1147</f>
        <v>PROSTRATE SPECIFIC ANTIGEN - ELISA KIT (MONOBIND)</v>
      </c>
      <c r="C27" s="15" t="str">
        <f>BID!C1147</f>
        <v>96 wells</v>
      </c>
      <c r="D27" s="15">
        <f>IF(K27&gt;0,(K27/100)*BID!D1147,1*BID!D1147)</f>
        <v>8</v>
      </c>
      <c r="E27" s="60">
        <f>IF(K27&gt;0,PR!AF1145,IF(BID!K1147="LAYO",BID!L1147,0))</f>
        <v>32000</v>
      </c>
      <c r="F27" s="61">
        <f t="shared" si="1"/>
        <v>256000</v>
      </c>
      <c r="K27" s="445"/>
    </row>
    <row r="28" spans="1:11" ht="20.25" thickTop="1" thickBot="1" x14ac:dyDescent="0.35">
      <c r="A28" s="430">
        <f>BID!A1126</f>
        <v>1011</v>
      </c>
      <c r="B28" s="15" t="str">
        <f>BID!B1126</f>
        <v>TESTOSTERONE (ICHROMACARTRIDGES)</v>
      </c>
      <c r="C28" s="15" t="str">
        <f>BID!C1126</f>
        <v>1*25</v>
      </c>
      <c r="D28" s="15">
        <f>IF(K28&gt;0,(K28/100)*BID!D1126,1*BID!D1126)</f>
        <v>12</v>
      </c>
      <c r="E28" s="60">
        <f>IF(K28&gt;0,PR!AF1124,IF(BID!K1126="LAYO",BID!L1126,0))</f>
        <v>36400</v>
      </c>
      <c r="F28" s="61">
        <f t="shared" si="1"/>
        <v>436800</v>
      </c>
      <c r="K28" s="445"/>
    </row>
    <row r="29" spans="1:11" ht="20.25" thickTop="1" thickBot="1" x14ac:dyDescent="0.35">
      <c r="A29" s="430">
        <f>BID!A1115</f>
        <v>1000</v>
      </c>
      <c r="B29" s="15" t="str">
        <f>BID!B1115</f>
        <v>MULTISERA CONTROL LEVEL 2 (RANDOX)</v>
      </c>
      <c r="C29" s="15" t="str">
        <f>BID!C1115</f>
        <v>20*5ml</v>
      </c>
      <c r="D29" s="15">
        <f>IF(K29&gt;0,(K29/100)*BID!D1115,1*BID!D1115)</f>
        <v>12</v>
      </c>
      <c r="E29" s="60">
        <f>IF(K29&gt;0,PR!AF1113,IF(BID!K1115="LAYO",BID!L1115,0))</f>
        <v>26650</v>
      </c>
      <c r="F29" s="61">
        <f t="shared" si="1"/>
        <v>319800</v>
      </c>
      <c r="K29" s="445"/>
    </row>
    <row r="30" spans="1:11" ht="20.25" thickTop="1" thickBot="1" x14ac:dyDescent="0.35">
      <c r="A30" s="430">
        <f>BID!A1120</f>
        <v>1005</v>
      </c>
      <c r="B30" s="15" t="str">
        <f>BID!B1120</f>
        <v>PROLACTIN (PRL) (ICHROMACARTRIDGE)</v>
      </c>
      <c r="C30" s="15" t="str">
        <f>BID!C1120</f>
        <v>1*25</v>
      </c>
      <c r="D30" s="15">
        <f>IF(K30&gt;0,(K30/100)*BID!D1120,1*BID!D1120)</f>
        <v>12</v>
      </c>
      <c r="E30" s="60">
        <f>IF(K30&gt;0,PR!AF1118,IF(BID!K1120="LAYO",BID!L1120,0))</f>
        <v>36400</v>
      </c>
      <c r="F30" s="61">
        <f t="shared" si="1"/>
        <v>436800</v>
      </c>
      <c r="K30" s="445"/>
    </row>
    <row r="31" spans="1:11" ht="20.25" thickTop="1" thickBot="1" x14ac:dyDescent="0.35">
      <c r="A31" s="430">
        <f>BID!A1108</f>
        <v>993</v>
      </c>
      <c r="B31" s="15" t="str">
        <f>BID!B1108</f>
        <v>MULTISERA CONTROL LEVEL 3 (RANDOX)</v>
      </c>
      <c r="C31" s="15" t="str">
        <f>BID!C1108</f>
        <v>20*25ml</v>
      </c>
      <c r="D31" s="15">
        <f>IF(K31&gt;0,(K31/100)*BID!D1108,1*BID!D1108)</f>
        <v>12</v>
      </c>
      <c r="E31" s="60">
        <f>IF(K31&gt;0,PR!AF1106,IF(BID!K1108="LAYO",BID!L1108,0))</f>
        <v>26650</v>
      </c>
      <c r="F31" s="61">
        <f t="shared" si="1"/>
        <v>319800</v>
      </c>
      <c r="K31" s="445"/>
    </row>
    <row r="32" spans="1:11" ht="20.25" thickTop="1" thickBot="1" x14ac:dyDescent="0.35">
      <c r="A32" s="430">
        <f>BID!A1146</f>
        <v>1031</v>
      </c>
      <c r="B32" s="15" t="str">
        <f>BID!B1146</f>
        <v>FREE T4 - ELISA KIT (MONOBIND)</v>
      </c>
      <c r="C32" s="15" t="str">
        <f>BID!C1146</f>
        <v>96 wells</v>
      </c>
      <c r="D32" s="15">
        <f>IF(K32&gt;0,(K32/100)*BID!D1146,1*BID!D1146)</f>
        <v>8</v>
      </c>
      <c r="E32" s="60">
        <f>IF(K32&gt;0,PR!AF1144,IF(BID!K1146="LAYO",BID!L1146,0))</f>
        <v>35000</v>
      </c>
      <c r="F32" s="61">
        <f t="shared" si="1"/>
        <v>280000</v>
      </c>
      <c r="K32" s="445"/>
    </row>
    <row r="33" spans="1:11" ht="20.25" thickTop="1" thickBot="1" x14ac:dyDescent="0.35">
      <c r="A33" s="430">
        <f>BID!A1111</f>
        <v>996</v>
      </c>
      <c r="B33" s="15" t="str">
        <f>BID!B1111</f>
        <v>CLEANING SOLUTION (ISE 6000)</v>
      </c>
      <c r="C33" s="15" t="str">
        <f>BID!C1111</f>
        <v>30ml</v>
      </c>
      <c r="D33" s="15">
        <f>IF(K33&gt;0,(K33/100)*BID!D1111,1*BID!D1111)</f>
        <v>24</v>
      </c>
      <c r="E33" s="60">
        <f>IF(K33&gt;0,PR!AF1109,IF(BID!K1111="LAYO",BID!L1111,0))</f>
        <v>45000</v>
      </c>
      <c r="F33" s="61">
        <f t="shared" si="1"/>
        <v>1080000</v>
      </c>
      <c r="K33" s="445"/>
    </row>
    <row r="34" spans="1:11" ht="20.25" thickTop="1" thickBot="1" x14ac:dyDescent="0.35">
      <c r="A34" s="430">
        <f>BID!A1148</f>
        <v>1033</v>
      </c>
      <c r="B34" s="15" t="str">
        <f>BID!B1148</f>
        <v>PROGESTERONE - ELISA KIT (MONOBIND)</v>
      </c>
      <c r="C34" s="15" t="str">
        <f>BID!C1148</f>
        <v>96 wells</v>
      </c>
      <c r="D34" s="15">
        <f>IF(K34&gt;0,(K34/100)*BID!D1148,1*BID!D1148)</f>
        <v>4</v>
      </c>
      <c r="E34" s="60">
        <f>IF(K34&gt;0,PR!AF1146,IF(BID!K1148="LAYO",BID!L1148,0))</f>
        <v>35100</v>
      </c>
      <c r="F34" s="61">
        <f t="shared" si="1"/>
        <v>140400</v>
      </c>
      <c r="K34" s="445"/>
    </row>
    <row r="35" spans="1:11" ht="20.25" thickTop="1" thickBot="1" x14ac:dyDescent="0.35">
      <c r="A35" s="430">
        <f>BID!A1119</f>
        <v>1004</v>
      </c>
      <c r="B35" s="15" t="str">
        <f>BID!B1119</f>
        <v>FOLLICLE STIMULATING HORMONE (FSH) (ICHROMACARTRIDGE)</v>
      </c>
      <c r="C35" s="15" t="str">
        <f>BID!C1119</f>
        <v>1*25</v>
      </c>
      <c r="D35" s="15">
        <f>IF(K35&gt;0,(K35/100)*BID!D1119,1*BID!D1119)</f>
        <v>12</v>
      </c>
      <c r="E35" s="60">
        <f>IF(K35&gt;0,PR!AF1117,IF(BID!K1119="LAYO",BID!L1119,0))</f>
        <v>36400</v>
      </c>
      <c r="F35" s="61">
        <f t="shared" si="1"/>
        <v>436800</v>
      </c>
      <c r="K35" s="445"/>
    </row>
    <row r="36" spans="1:11" ht="20.25" thickTop="1" thickBot="1" x14ac:dyDescent="0.35">
      <c r="A36" s="430">
        <f>BID!A1149</f>
        <v>1034</v>
      </c>
      <c r="B36" s="15" t="str">
        <f>BID!B1149</f>
        <v>ESTRADIOL - ELISA KIT (MONOBIND)</v>
      </c>
      <c r="C36" s="15" t="str">
        <f>BID!C1149</f>
        <v>96 wells</v>
      </c>
      <c r="D36" s="15">
        <f>IF(K36&gt;0,(K36/100)*BID!D1149,1*BID!D1149)</f>
        <v>4</v>
      </c>
      <c r="E36" s="60">
        <f>IF(K36&gt;0,PR!AF1147,IF(BID!K1149="LAYO",BID!L1149,0))</f>
        <v>35100</v>
      </c>
      <c r="F36" s="61">
        <f t="shared" si="1"/>
        <v>140400</v>
      </c>
      <c r="K36" s="445"/>
    </row>
    <row r="37" spans="1:11" ht="20.25" thickTop="1" thickBot="1" x14ac:dyDescent="0.35">
      <c r="A37" s="430">
        <f>BID!A1118</f>
        <v>1003</v>
      </c>
      <c r="B37" s="15" t="str">
        <f>BID!B1118</f>
        <v>LEUTENIZING HORMONE (LH) (ICHROMACARTRIDGE)</v>
      </c>
      <c r="C37" s="15" t="str">
        <f>BID!C1118</f>
        <v>1*25</v>
      </c>
      <c r="D37" s="15">
        <f>IF(K37&gt;0,(K37/100)*BID!D1118,1*BID!D1118)</f>
        <v>12</v>
      </c>
      <c r="E37" s="60">
        <f>IF(K37&gt;0,PR!AF1116,IF(BID!K1118="LAYO",BID!L1118,0))</f>
        <v>36400</v>
      </c>
      <c r="F37" s="61">
        <f t="shared" si="1"/>
        <v>436800</v>
      </c>
      <c r="K37" s="445"/>
    </row>
    <row r="38" spans="1:11" ht="20.25" thickTop="1" thickBot="1" x14ac:dyDescent="0.35">
      <c r="A38" s="430">
        <f>BID!A1112</f>
        <v>997</v>
      </c>
      <c r="B38" s="15" t="str">
        <f>BID!B1112</f>
        <v>CALIBRATOR (ISE 6000)</v>
      </c>
      <c r="C38" s="15" t="str">
        <f>BID!C1112</f>
        <v>30ml</v>
      </c>
      <c r="D38" s="15">
        <f>IF(K38&gt;0,(K38/100)*BID!D1112,1*BID!D1112)</f>
        <v>24</v>
      </c>
      <c r="E38" s="60">
        <f>IF(K38&gt;0,PR!AF1110,IF(BID!K1112="LAYO",BID!L1112,0))</f>
        <v>50000</v>
      </c>
      <c r="F38" s="61">
        <f t="shared" si="1"/>
        <v>1200000</v>
      </c>
      <c r="K38" s="445"/>
    </row>
    <row r="39" spans="1:11" ht="20.25" thickTop="1" thickBot="1" x14ac:dyDescent="0.35">
      <c r="A39" s="430">
        <f>BID!A1138</f>
        <v>1023</v>
      </c>
      <c r="B39" s="15" t="str">
        <f>BID!B1138</f>
        <v>CAFFEINE (BDH)</v>
      </c>
      <c r="C39" s="15" t="str">
        <f>BID!C1138</f>
        <v>500g</v>
      </c>
      <c r="D39" s="15">
        <f>IF(K39&gt;0,(K39/100)*BID!D1138,1*BID!D1138)</f>
        <v>20</v>
      </c>
      <c r="E39" s="60">
        <f>IF(K39&gt;0,PR!AF1136,IF(BID!K1138="LAYO",BID!L1138,0))</f>
        <v>11700</v>
      </c>
      <c r="F39" s="61">
        <f t="shared" si="1"/>
        <v>234000</v>
      </c>
      <c r="K39" s="445"/>
    </row>
    <row r="40" spans="1:11" ht="20.25" thickTop="1" thickBot="1" x14ac:dyDescent="0.35">
      <c r="A40" s="430">
        <f>BID!A1137</f>
        <v>1022</v>
      </c>
      <c r="B40" s="15" t="str">
        <f>BID!B1137</f>
        <v>PRINTING PAPER (ISE 6000)</v>
      </c>
      <c r="C40" s="15" t="str">
        <f>BID!C1137</f>
        <v>Roll</v>
      </c>
      <c r="D40" s="15">
        <f>IF(K40&gt;0,(K40/100)*BID!D1137,1*BID!D1137)</f>
        <v>128</v>
      </c>
      <c r="E40" s="60">
        <f>IF(K40&gt;0,PR!AF1135,IF(BID!K1137="LAYO",BID!L1137,0))</f>
        <v>1500</v>
      </c>
      <c r="F40" s="61">
        <f t="shared" si="1"/>
        <v>192000</v>
      </c>
      <c r="K40" s="445"/>
    </row>
    <row r="41" spans="1:11" s="8" customFormat="1" ht="20.25" thickTop="1" thickBot="1" x14ac:dyDescent="0.35">
      <c r="A41" s="430"/>
      <c r="B41" s="15"/>
      <c r="C41" s="15"/>
      <c r="D41" s="15"/>
      <c r="E41" s="60"/>
      <c r="F41" s="61"/>
      <c r="K41" s="444"/>
    </row>
    <row r="42" spans="1:11" s="8" customFormat="1" ht="24.75" thickTop="1" thickBot="1" x14ac:dyDescent="0.3">
      <c r="A42" s="430"/>
      <c r="B42" s="820" t="s">
        <v>1950</v>
      </c>
      <c r="C42" s="821"/>
      <c r="D42" s="821"/>
      <c r="E42" s="821"/>
      <c r="F42" s="822"/>
      <c r="K42" s="444"/>
    </row>
    <row r="43" spans="1:11" ht="20.25" thickTop="1" thickBot="1" x14ac:dyDescent="0.35">
      <c r="A43" s="430"/>
      <c r="B43" s="15" t="str">
        <f>BID!B1178</f>
        <v>OBADA ANNEX</v>
      </c>
      <c r="C43" s="15"/>
      <c r="D43" s="15"/>
      <c r="E43" s="60"/>
      <c r="F43" s="61"/>
      <c r="K43" s="445"/>
    </row>
    <row r="44" spans="1:11" ht="20.25" thickTop="1" thickBot="1" x14ac:dyDescent="0.35">
      <c r="A44" s="430">
        <f>BID!A1197</f>
        <v>1073</v>
      </c>
      <c r="B44" s="15" t="str">
        <f>BID!B1197</f>
        <v>CELLULOSE ACETATE PAPER</v>
      </c>
      <c r="C44" s="15" t="str">
        <f>BID!C1197</f>
        <v>Pkt</v>
      </c>
      <c r="D44" s="15">
        <f>IF(K44&gt;0,(K44/100)*BID!D1197,1*BID!D1197)</f>
        <v>2</v>
      </c>
      <c r="E44" s="60">
        <f>IF(K44&gt;0,PR!AF1195,IF(BID!K1197="LAYO",BID!L1197,0))</f>
        <v>27000</v>
      </c>
      <c r="F44" s="61">
        <f>IF(E44&gt;0,(E44*D44),0)</f>
        <v>54000</v>
      </c>
      <c r="K44" s="445"/>
    </row>
    <row r="45" spans="1:11" ht="20.25" thickTop="1" thickBot="1" x14ac:dyDescent="0.35">
      <c r="A45" s="430">
        <f>BID!A1188</f>
        <v>1064</v>
      </c>
      <c r="B45" s="15" t="str">
        <f>BID!B1188</f>
        <v>HAND SANITIZER</v>
      </c>
      <c r="C45" s="15" t="str">
        <f>BID!C1188</f>
        <v>Cartons</v>
      </c>
      <c r="D45" s="15">
        <f>IF(K45&gt;0,(K45/100)*BID!D1188,1*BID!D1188)</f>
        <v>12</v>
      </c>
      <c r="E45" s="60">
        <f>IF(K45&gt;0,PR!AF1186,IF(BID!K1188="LAYO",BID!L1188,0))</f>
        <v>5460</v>
      </c>
      <c r="F45" s="61">
        <f>IF(E45&gt;0,(E45*D45),0)</f>
        <v>65520</v>
      </c>
      <c r="K45" s="445"/>
    </row>
    <row r="46" spans="1:11" ht="19.5" thickTop="1" x14ac:dyDescent="0.3">
      <c r="A46" s="430"/>
      <c r="B46" s="15"/>
      <c r="C46" s="15"/>
      <c r="D46" s="15"/>
      <c r="E46" s="60"/>
      <c r="F46" s="61"/>
    </row>
    <row r="47" spans="1:11" ht="19.5" thickBot="1" x14ac:dyDescent="0.35">
      <c r="A47" s="430"/>
      <c r="B47" s="15"/>
      <c r="C47" s="15"/>
      <c r="D47" s="15"/>
      <c r="E47" s="60"/>
      <c r="F47" s="442"/>
    </row>
    <row r="48" spans="1:11" ht="21.75" thickBot="1" x14ac:dyDescent="0.4">
      <c r="A48" s="430"/>
      <c r="B48" s="15"/>
      <c r="C48" s="15"/>
      <c r="D48" s="15"/>
      <c r="E48" s="441"/>
      <c r="F48" s="443">
        <f>SUM(F4:F45)</f>
        <v>12847812</v>
      </c>
    </row>
  </sheetData>
  <protectedRanges>
    <protectedRange sqref="K6:K8 K11:K15 K43:K45 K18:K21 K24:K40" name="Range1"/>
    <protectedRange sqref="K4:K5 K9:K10 K16:K17 K41:K42 K22:K23" name="Range1_1"/>
  </protectedRanges>
  <sortState ref="A44:K45">
    <sortCondition ref="B44:B45"/>
  </sortState>
  <mergeCells count="6">
    <mergeCell ref="B1:F1"/>
    <mergeCell ref="B5:F5"/>
    <mergeCell ref="B10:F10"/>
    <mergeCell ref="B17:F17"/>
    <mergeCell ref="B42:F42"/>
    <mergeCell ref="B23:F23"/>
  </mergeCells>
  <pageMargins left="0.25" right="0.25" top="0.75" bottom="0.75" header="0.3" footer="0.3"/>
  <pageSetup paperSize="9" scale="98" orientation="landscape" r:id="rId1"/>
  <colBreaks count="1" manualBreakCount="1">
    <brk id="6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78CC-5EDA-4187-AE51-04A0BBCF4F5D}">
  <sheetPr>
    <tabColor rgb="FF7030A0"/>
  </sheetPr>
  <dimension ref="A1:K13"/>
  <sheetViews>
    <sheetView view="pageBreakPreview" zoomScale="85" zoomScaleNormal="100" zoomScaleSheetLayoutView="85" workbookViewId="0">
      <selection activeCell="B6" sqref="B6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N!B32</f>
        <v>LEADWAY PHARMACEUTICALS LIMITED</v>
      </c>
      <c r="C1" s="816"/>
      <c r="D1" s="816"/>
      <c r="E1" s="816"/>
      <c r="F1" s="816"/>
      <c r="K1" t="s">
        <v>623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BID!A551</f>
        <v>494</v>
      </c>
      <c r="B6" s="15" t="str">
        <f>BID!B551</f>
        <v>ACETAZOLAMIDE 250MG TAB</v>
      </c>
      <c r="C6" s="15">
        <f>BID!C551</f>
        <v>500</v>
      </c>
      <c r="D6" s="15">
        <f>IF(K6&gt;0,(K6/100)*BID!D551,1*BID!D551)</f>
        <v>72</v>
      </c>
      <c r="E6" s="60">
        <f>IF(K6&gt;0,PR!AG549,IF(BID!K551="LEADWAY",BID!L551,0))</f>
        <v>9500</v>
      </c>
      <c r="F6" s="61">
        <f>IF(E6&gt;0,(E6*D6),0)</f>
        <v>684000</v>
      </c>
      <c r="K6" s="445"/>
    </row>
    <row r="7" spans="1:11" ht="20.25" thickTop="1" thickBot="1" x14ac:dyDescent="0.35">
      <c r="A7" s="430">
        <f>BID!A387</f>
        <v>351</v>
      </c>
      <c r="B7" s="15" t="str">
        <f>BID!B387</f>
        <v>AMITRYPTILLINE 25MG</v>
      </c>
      <c r="C7" s="15">
        <f>BID!C387</f>
        <v>500</v>
      </c>
      <c r="D7" s="15">
        <f>IF(K7&gt;0,(K7/100)*BID!D387,1*BID!D387)</f>
        <v>100</v>
      </c>
      <c r="E7" s="60">
        <f>IF(K7&gt;0,PR!AG385,IF(BID!K387="LEADWAY",BID!L387,0))</f>
        <v>2200</v>
      </c>
      <c r="F7" s="61">
        <f>IF(E7&gt;0,(E7*D7),0)</f>
        <v>220000</v>
      </c>
      <c r="K7" s="445">
        <v>50</v>
      </c>
    </row>
    <row r="8" spans="1:11" ht="20.25" thickTop="1" thickBot="1" x14ac:dyDescent="0.35">
      <c r="A8" s="430">
        <v>606</v>
      </c>
      <c r="B8" s="15" t="s">
        <v>761</v>
      </c>
      <c r="C8" s="15" t="s">
        <v>358</v>
      </c>
      <c r="D8" s="15">
        <f>2400*0.3</f>
        <v>720</v>
      </c>
      <c r="E8" s="60">
        <v>8900</v>
      </c>
      <c r="F8" s="61">
        <f>IF(E8&gt;0,(E8*D8),0)</f>
        <v>6408000</v>
      </c>
      <c r="K8" s="445"/>
    </row>
    <row r="9" spans="1:11" ht="20.25" thickTop="1" thickBot="1" x14ac:dyDescent="0.35">
      <c r="A9" s="430">
        <f>BID!A537</f>
        <v>483</v>
      </c>
      <c r="B9" s="15" t="str">
        <f>BID!B537</f>
        <v>HYDROCORTISONE 100MG INJ</v>
      </c>
      <c r="C9" s="15" t="str">
        <f>BID!C537</f>
        <v>VIAL</v>
      </c>
      <c r="D9" s="15">
        <f>IF(K9&gt;0,(K9/100)*BID!D537,1*BID!D537)</f>
        <v>6000</v>
      </c>
      <c r="E9" s="60">
        <f>IF(K9&gt;0,PR!AG535,IF(BID!K537="LEADWAY",BID!L537,0))</f>
        <v>160</v>
      </c>
      <c r="F9" s="61">
        <f>IF(E9&gt;0,(E9*D9),0)</f>
        <v>960000</v>
      </c>
      <c r="K9" s="445"/>
    </row>
    <row r="10" spans="1:11" ht="20.25" thickTop="1" thickBot="1" x14ac:dyDescent="0.35">
      <c r="A10" s="430">
        <f>BID!A370</f>
        <v>338</v>
      </c>
      <c r="B10" s="15" t="str">
        <f>BID!B370</f>
        <v>VITAMIN B COMPLEX INJ</v>
      </c>
      <c r="C10" s="15" t="str">
        <f>BID!C370</f>
        <v>VIAL</v>
      </c>
      <c r="D10" s="15">
        <f>IF(K10&gt;0,(K10/100)*BID!D370,1*BID!D370)</f>
        <v>3500</v>
      </c>
      <c r="E10" s="60">
        <f>IF(K10&gt;0,PR!AG368,IF(BID!K370="LEADWAY",BID!L370,0))</f>
        <v>85</v>
      </c>
      <c r="F10" s="61">
        <f>IF(E10&gt;0,(E10*D10),0)</f>
        <v>297500</v>
      </c>
      <c r="K10" s="445"/>
    </row>
    <row r="11" spans="1:11" ht="19.5" thickTop="1" x14ac:dyDescent="0.3">
      <c r="A11" s="430"/>
      <c r="B11" s="15"/>
      <c r="C11" s="15"/>
      <c r="D11" s="15"/>
      <c r="E11" s="60"/>
      <c r="F11" s="61"/>
    </row>
    <row r="12" spans="1:11" ht="19.5" thickBot="1" x14ac:dyDescent="0.35">
      <c r="A12" s="430"/>
      <c r="B12" s="15"/>
      <c r="C12" s="15"/>
      <c r="D12" s="15"/>
      <c r="E12" s="60"/>
      <c r="F12" s="442"/>
    </row>
    <row r="13" spans="1:11" ht="21.75" thickBot="1" x14ac:dyDescent="0.4">
      <c r="A13" s="430"/>
      <c r="B13" s="15"/>
      <c r="C13" s="15"/>
      <c r="D13" s="15"/>
      <c r="E13" s="441"/>
      <c r="F13" s="443">
        <f>SUM(F6:F10)</f>
        <v>8569500</v>
      </c>
    </row>
  </sheetData>
  <sheetProtection algorithmName="SHA-512" hashValue="Lbhyh2mZ2dZlESC7Oe08LN1Nd0AP9OFdm08aTfU2+FCPrOWYGAh1Paep25JGccBDH4ZHmhJCsRGhRSmBmqa6Xg==" saltValue="VSfe7A7qyjQqWDLfyYsk2g==" spinCount="100000" sheet="1" objects="1" scenarios="1"/>
  <protectedRanges>
    <protectedRange sqref="K6:K10" name="Range1"/>
    <protectedRange sqref="K4:K5" name="Range1_1"/>
  </protectedRanges>
  <sortState ref="A6:K10">
    <sortCondition ref="B6:B10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215E3-9CF2-48E7-A5D2-0D888FB87CAC}">
  <sheetPr>
    <tabColor rgb="FFC00000"/>
  </sheetPr>
  <dimension ref="A1:K18"/>
  <sheetViews>
    <sheetView view="pageBreakPreview" zoomScale="85" zoomScaleNormal="100" zoomScaleSheetLayoutView="85" workbookViewId="0">
      <selection activeCell="A6" sqref="A6:XFD1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N!B33</f>
        <v>LIFTED HANDS VENTURES</v>
      </c>
      <c r="C1" s="816"/>
      <c r="D1" s="816"/>
      <c r="E1" s="816"/>
      <c r="F1" s="816"/>
      <c r="K1" t="s">
        <v>1468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1868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BID!A1152</f>
        <v>1037</v>
      </c>
      <c r="B6" s="15" t="str">
        <f>BID!B1152</f>
        <v>FOLLICLE STIMULATING HORMONE - ELISA KIT (MONOBIND)</v>
      </c>
      <c r="C6" s="15" t="str">
        <f>BID!C1152</f>
        <v>96 wells</v>
      </c>
      <c r="D6" s="15">
        <f>IF(K6&gt;0,(K6/100)*BID!D1152,1*BID!D1152)</f>
        <v>4</v>
      </c>
      <c r="E6" s="60">
        <f>IF(K6&gt;0,PR!AH1150,IF(BID!K1152="LHV",BID!L1152,0))</f>
        <v>28000</v>
      </c>
      <c r="F6" s="61">
        <f>IF(E6&gt;0,(E6*D6),0)</f>
        <v>112000</v>
      </c>
      <c r="K6" s="445"/>
    </row>
    <row r="7" spans="1:11" ht="20.25" thickTop="1" thickBot="1" x14ac:dyDescent="0.35">
      <c r="A7" s="430">
        <f>BID!A1153</f>
        <v>1038</v>
      </c>
      <c r="B7" s="15" t="str">
        <f>BID!B1153</f>
        <v>FREE PSA - ELISA KIT (MONOBIND)</v>
      </c>
      <c r="C7" s="15" t="str">
        <f>BID!C1153</f>
        <v>96 wells</v>
      </c>
      <c r="D7" s="15">
        <f>IF(K7&gt;0,(K7/100)*BID!D1153,1*BID!D1153)</f>
        <v>2</v>
      </c>
      <c r="E7" s="60">
        <f>IF(K7&gt;0,PR!AH1151,IF(BID!K1153="LHV",BID!L1153,0))</f>
        <v>38000</v>
      </c>
      <c r="F7" s="61">
        <f>IF(E7&gt;0,(E7*D7),0)</f>
        <v>76000</v>
      </c>
      <c r="K7" s="445"/>
    </row>
    <row r="8" spans="1:11" ht="20.25" thickTop="1" thickBot="1" x14ac:dyDescent="0.35">
      <c r="A8" s="430">
        <f>BID!A1151</f>
        <v>1036</v>
      </c>
      <c r="B8" s="15" t="str">
        <f>BID!B1151</f>
        <v>LEUTINIZING HORMONE - ELISA KIT (MONOBIND)</v>
      </c>
      <c r="C8" s="15" t="str">
        <f>BID!C1151</f>
        <v>96 wells</v>
      </c>
      <c r="D8" s="15">
        <f>IF(K8&gt;0,(K8/100)*BID!D1151,1*BID!D1151)</f>
        <v>4</v>
      </c>
      <c r="E8" s="60">
        <f>IF(K8&gt;0,PR!AH1149,IF(BID!K1151="LHV",BID!L1151,0))</f>
        <v>28000</v>
      </c>
      <c r="F8" s="61">
        <f>IF(E8&gt;0,(E8*D8),0)</f>
        <v>112000</v>
      </c>
      <c r="K8" s="445"/>
    </row>
    <row r="9" spans="1:11" ht="20.25" thickTop="1" thickBot="1" x14ac:dyDescent="0.35">
      <c r="A9" s="430">
        <f>BID!A1150</f>
        <v>1035</v>
      </c>
      <c r="B9" s="15" t="str">
        <f>BID!B1150</f>
        <v>PROLACTIN - ELISA KIT (MONOBIND)</v>
      </c>
      <c r="C9" s="15" t="str">
        <f>BID!C1150</f>
        <v>96 wells</v>
      </c>
      <c r="D9" s="15">
        <f>IF(K9&gt;0,(K9/100)*BID!D1150,1*BID!D1150)</f>
        <v>4</v>
      </c>
      <c r="E9" s="60">
        <f>IF(K9&gt;0,PR!AH1148,IF(BID!K1150="LHV",BID!L1150,0))</f>
        <v>28000</v>
      </c>
      <c r="F9" s="61">
        <f>IF(E9&gt;0,(E9*D9),0)</f>
        <v>112000</v>
      </c>
      <c r="K9" s="445"/>
    </row>
    <row r="10" spans="1:11" ht="20.25" thickTop="1" thickBot="1" x14ac:dyDescent="0.35">
      <c r="A10" s="430">
        <f>BID!A1144</f>
        <v>1029</v>
      </c>
      <c r="B10" s="15" t="str">
        <f>BID!B1144</f>
        <v>THYROID STIMULATING HORMONE (ELISA KIT) (MONOBIND)</v>
      </c>
      <c r="C10" s="15" t="str">
        <f>BID!C1144</f>
        <v>96 wells</v>
      </c>
      <c r="D10" s="15">
        <f>IF(K10&gt;0,(K10/100)*BID!D1144,1*BID!D1144)</f>
        <v>8</v>
      </c>
      <c r="E10" s="60">
        <f>IF(K10&gt;0,PR!AH1142,IF(BID!K1144="LHV",BID!L1144,0))</f>
        <v>33000</v>
      </c>
      <c r="F10" s="61">
        <f>IF(E10&gt;0,(E10*D10),0)</f>
        <v>264000</v>
      </c>
      <c r="K10" s="445"/>
    </row>
    <row r="11" spans="1:11" s="8" customFormat="1" ht="20.25" thickTop="1" thickBot="1" x14ac:dyDescent="0.35">
      <c r="A11" s="430"/>
      <c r="B11" s="15"/>
      <c r="C11" s="15"/>
      <c r="D11" s="15"/>
      <c r="E11" s="60"/>
      <c r="F11" s="61"/>
      <c r="K11" s="444"/>
    </row>
    <row r="12" spans="1:11" s="8" customFormat="1" ht="24.75" thickTop="1" thickBot="1" x14ac:dyDescent="0.3">
      <c r="A12" s="430"/>
      <c r="B12" s="820" t="s">
        <v>1950</v>
      </c>
      <c r="C12" s="821"/>
      <c r="D12" s="821"/>
      <c r="E12" s="821"/>
      <c r="F12" s="822"/>
      <c r="K12" s="444"/>
    </row>
    <row r="13" spans="1:11" ht="20.25" thickTop="1" thickBot="1" x14ac:dyDescent="0.35">
      <c r="A13" s="430"/>
      <c r="B13" s="15" t="str">
        <f>BID!B1178</f>
        <v>OBADA ANNEX</v>
      </c>
      <c r="C13" s="15"/>
      <c r="D13" s="15"/>
      <c r="E13" s="60"/>
      <c r="F13" s="61"/>
      <c r="K13" s="445"/>
    </row>
    <row r="14" spans="1:11" ht="20.25" thickTop="1" thickBot="1" x14ac:dyDescent="0.35">
      <c r="A14" s="430">
        <f>BID!A1181</f>
        <v>1057</v>
      </c>
      <c r="B14" s="15" t="str">
        <f>BID!B1181</f>
        <v>EDTA BOTTLES</v>
      </c>
      <c r="C14" s="15" t="str">
        <f>BID!C1181</f>
        <v>Cartons</v>
      </c>
      <c r="D14" s="15">
        <f>IF(K14&gt;0,(K14/100)*BID!D1181,1*BID!D1181)</f>
        <v>18</v>
      </c>
      <c r="E14" s="60">
        <f>IF(K14&gt;0,PR!AH1179,IF(BID!K1181="LHV",BID!L1181,0))</f>
        <v>12000</v>
      </c>
      <c r="F14" s="61">
        <f t="shared" ref="F14:F15" si="0">IF(E14&gt;0,(E14*D14),0)</f>
        <v>216000</v>
      </c>
      <c r="K14" s="445"/>
    </row>
    <row r="15" spans="1:11" ht="20.25" thickTop="1" thickBot="1" x14ac:dyDescent="0.35">
      <c r="A15" s="430">
        <f>BID!A1182</f>
        <v>1058</v>
      </c>
      <c r="B15" s="15" t="str">
        <f>BID!B1182</f>
        <v>UNIVERSAL PLASTIC BOTTLES (FOR URINE)</v>
      </c>
      <c r="C15" s="15" t="str">
        <f>BID!C1182</f>
        <v>Pcs</v>
      </c>
      <c r="D15" s="15">
        <f>IF(K15&gt;0,(K15/100)*BID!D1182,1*BID!D1182)</f>
        <v>3000</v>
      </c>
      <c r="E15" s="60">
        <f>IF(K15&gt;0,PR!AH1180,IF(BID!K1182="LHV",BID!L1182,0))</f>
        <v>26.25</v>
      </c>
      <c r="F15" s="61">
        <f t="shared" si="0"/>
        <v>78750</v>
      </c>
      <c r="K15" s="445"/>
    </row>
    <row r="16" spans="1:11" ht="19.5" thickTop="1" x14ac:dyDescent="0.3">
      <c r="A16" s="430"/>
      <c r="B16" s="15"/>
      <c r="C16" s="15"/>
      <c r="D16" s="15"/>
      <c r="E16" s="60"/>
      <c r="F16" s="61"/>
    </row>
    <row r="17" spans="1:6" ht="19.5" thickBot="1" x14ac:dyDescent="0.35">
      <c r="A17" s="430"/>
      <c r="B17" s="15"/>
      <c r="C17" s="15"/>
      <c r="D17" s="15"/>
      <c r="E17" s="60"/>
      <c r="F17" s="442"/>
    </row>
    <row r="18" spans="1:6" ht="21.75" thickBot="1" x14ac:dyDescent="0.4">
      <c r="A18" s="430"/>
      <c r="B18" s="15"/>
      <c r="C18" s="15"/>
      <c r="D18" s="15"/>
      <c r="E18" s="441"/>
      <c r="F18" s="443">
        <f>SUM(F6:F15)</f>
        <v>970750</v>
      </c>
    </row>
  </sheetData>
  <protectedRanges>
    <protectedRange sqref="K6:K10 K13:K15" name="Range1"/>
    <protectedRange sqref="K4:K5 K11:K12" name="Range1_1"/>
  </protectedRanges>
  <sortState ref="A6:K10">
    <sortCondition ref="B6:B10"/>
  </sortState>
  <mergeCells count="3">
    <mergeCell ref="B1:F1"/>
    <mergeCell ref="B5:F5"/>
    <mergeCell ref="B12:F12"/>
  </mergeCells>
  <pageMargins left="0.25" right="0.25" top="0.75" bottom="0.75" header="0.3" footer="0.3"/>
  <pageSetup paperSize="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10FF5-D03D-4038-86C9-C3638214745C}">
  <sheetPr>
    <tabColor rgb="FFFF0000"/>
  </sheetPr>
  <dimension ref="A1:K29"/>
  <sheetViews>
    <sheetView view="pageBreakPreview" topLeftCell="A10" zoomScale="85" zoomScaleNormal="100" zoomScaleSheetLayoutView="85" workbookViewId="0">
      <selection activeCell="F20" sqref="F2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N!B34</f>
        <v>MANOLA PHARMACEUTICALS</v>
      </c>
      <c r="C1" s="816"/>
      <c r="D1" s="816"/>
      <c r="E1" s="816"/>
      <c r="F1" s="816"/>
      <c r="K1" t="s">
        <v>820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BID!A599</f>
        <v>539</v>
      </c>
      <c r="B6" s="15" t="str">
        <f>BID!B599</f>
        <v>5-FLUOROURACIL INJ</v>
      </c>
      <c r="C6" s="15" t="str">
        <f>BID!C599</f>
        <v>AMP</v>
      </c>
      <c r="D6" s="15">
        <f>IF(K6&gt;0,(K6/100)*BID!D599,1*BID!D599)</f>
        <v>5</v>
      </c>
      <c r="E6" s="60">
        <f>IF(K6&gt;0,PR!AI597,IF(BID!K599="MANOLA",BID!L599,0))</f>
        <v>512</v>
      </c>
      <c r="F6" s="61">
        <f t="shared" ref="F6:F26" si="0">IF(E6&gt;0,(E6*D6),0)</f>
        <v>2560</v>
      </c>
      <c r="K6" s="445"/>
    </row>
    <row r="7" spans="1:11" ht="20.25" thickTop="1" thickBot="1" x14ac:dyDescent="0.35">
      <c r="A7" s="430">
        <f>BID!A601</f>
        <v>541</v>
      </c>
      <c r="B7" s="15" t="str">
        <f>BID!B601</f>
        <v>BLEOMYCIN SULPHATE INJ (15 UNITS)</v>
      </c>
      <c r="C7" s="15">
        <f>BID!C601</f>
        <v>10</v>
      </c>
      <c r="D7" s="15">
        <f>IF(K7&gt;0,(K7/100)*BID!D601,1*BID!D601)</f>
        <v>5</v>
      </c>
      <c r="E7" s="60">
        <f>IF(K7&gt;0,PR!AI599,IF(BID!K601="MANOLA",BID!L601,0))</f>
        <v>6500</v>
      </c>
      <c r="F7" s="61">
        <f t="shared" si="0"/>
        <v>32500</v>
      </c>
      <c r="K7" s="445"/>
    </row>
    <row r="8" spans="1:11" ht="20.25" thickTop="1" thickBot="1" x14ac:dyDescent="0.35">
      <c r="A8" s="430">
        <f>BID!A602</f>
        <v>542</v>
      </c>
      <c r="B8" s="15" t="str">
        <f>BID!B602</f>
        <v>CAPECITABINE 150MG TAB</v>
      </c>
      <c r="C8" s="15">
        <f>BID!C602</f>
        <v>10</v>
      </c>
      <c r="D8" s="15">
        <f>IF(K8&gt;0,(K8/100)*BID!D602,1*BID!D602)</f>
        <v>10</v>
      </c>
      <c r="E8" s="60">
        <f>IF(K8&gt;0,PR!AI600,IF(BID!K602="MANOLA",BID!L602,0))</f>
        <v>50350</v>
      </c>
      <c r="F8" s="61">
        <f t="shared" si="0"/>
        <v>503500</v>
      </c>
      <c r="K8" s="445"/>
    </row>
    <row r="9" spans="1:11" ht="20.25" thickTop="1" thickBot="1" x14ac:dyDescent="0.35">
      <c r="A9" s="430">
        <f>BID!A603</f>
        <v>543</v>
      </c>
      <c r="B9" s="15" t="str">
        <f>BID!B603</f>
        <v>CARBOPLASTIN INJ</v>
      </c>
      <c r="C9" s="15" t="str">
        <f>BID!C603</f>
        <v>VIAL</v>
      </c>
      <c r="D9" s="15">
        <f>IF(K9&gt;0,(K9/100)*BID!D603,1*BID!D603)</f>
        <v>26</v>
      </c>
      <c r="E9" s="60">
        <f>IF(K9&gt;0,PR!AI601,IF(BID!K603="MANOLA",BID!L603,0))</f>
        <v>15282</v>
      </c>
      <c r="F9" s="61">
        <f t="shared" si="0"/>
        <v>397332</v>
      </c>
      <c r="K9" s="445"/>
    </row>
    <row r="10" spans="1:11" ht="20.25" thickTop="1" thickBot="1" x14ac:dyDescent="0.35">
      <c r="A10" s="430">
        <f>BID!A605</f>
        <v>545</v>
      </c>
      <c r="B10" s="15" t="str">
        <f>BID!B605</f>
        <v>CISPLATIN 1MG/ML INJ</v>
      </c>
      <c r="C10" s="15">
        <f>BID!C605</f>
        <v>10</v>
      </c>
      <c r="D10" s="15">
        <f>IF(K10&gt;0,(K10/100)*BID!D605,1*BID!D605)</f>
        <v>11</v>
      </c>
      <c r="E10" s="60">
        <f>IF(K10&gt;0,PR!AI603,IF(BID!K605="MANOLA",BID!L605,0))</f>
        <v>3300</v>
      </c>
      <c r="F10" s="61">
        <f t="shared" si="0"/>
        <v>36300</v>
      </c>
      <c r="K10" s="445"/>
    </row>
    <row r="11" spans="1:11" ht="20.25" thickTop="1" thickBot="1" x14ac:dyDescent="0.35">
      <c r="A11" s="430">
        <f>BID!A606</f>
        <v>546</v>
      </c>
      <c r="B11" s="15" t="str">
        <f>BID!B606</f>
        <v>CYCLOPHOSPHAMIDE 500MG INJ</v>
      </c>
      <c r="C11" s="15" t="str">
        <f>BID!C606</f>
        <v>VIAL</v>
      </c>
      <c r="D11" s="15">
        <f>IF(K11&gt;0,(K11/100)*BID!D606,1*BID!D606)</f>
        <v>50</v>
      </c>
      <c r="E11" s="60">
        <f>IF(K11&gt;0,PR!AI604,IF(BID!K606="MANOLA",BID!L606,0))</f>
        <v>750</v>
      </c>
      <c r="F11" s="61">
        <f t="shared" si="0"/>
        <v>37500</v>
      </c>
      <c r="K11" s="445"/>
    </row>
    <row r="12" spans="1:11" ht="20.25" thickTop="1" thickBot="1" x14ac:dyDescent="0.35">
      <c r="A12" s="430">
        <f>BID!A609</f>
        <v>549</v>
      </c>
      <c r="B12" s="15" t="str">
        <f>BID!B609</f>
        <v>DACARBAZINE 100MG INJ</v>
      </c>
      <c r="C12" s="15" t="str">
        <f>BID!C609</f>
        <v>AMP</v>
      </c>
      <c r="D12" s="15">
        <f>IF(K12&gt;0,(K12/100)*BID!D609,1*BID!D609)</f>
        <v>16</v>
      </c>
      <c r="E12" s="60">
        <f>IF(K12&gt;0,PR!AI607,IF(BID!K609="MANOLA",BID!L609,0))</f>
        <v>3851</v>
      </c>
      <c r="F12" s="61">
        <f t="shared" si="0"/>
        <v>61616</v>
      </c>
      <c r="K12" s="445"/>
    </row>
    <row r="13" spans="1:11" ht="20.25" thickTop="1" thickBot="1" x14ac:dyDescent="0.35">
      <c r="A13" s="430">
        <f>BID!A611</f>
        <v>551</v>
      </c>
      <c r="B13" s="15" t="str">
        <f>BID!B611</f>
        <v>DOCETAXEL 80MG INJ</v>
      </c>
      <c r="C13" s="15">
        <f>BID!C611</f>
        <v>10</v>
      </c>
      <c r="D13" s="15">
        <f>IF(K13&gt;0,(K13/100)*BID!D611,1*BID!D611)</f>
        <v>10</v>
      </c>
      <c r="E13" s="60">
        <f>IF(K13&gt;0,PR!AI609,IF(BID!K611="MANOLA",BID!L611,0))</f>
        <v>22454</v>
      </c>
      <c r="F13" s="61">
        <f t="shared" si="0"/>
        <v>224540</v>
      </c>
      <c r="K13" s="445"/>
    </row>
    <row r="14" spans="1:11" ht="20.25" thickTop="1" thickBot="1" x14ac:dyDescent="0.35">
      <c r="A14" s="430">
        <f>BID!A612</f>
        <v>552</v>
      </c>
      <c r="B14" s="15" t="str">
        <f>BID!B612</f>
        <v>DOXORUBICIN HCL 20MG/10ML INJ</v>
      </c>
      <c r="C14" s="15" t="str">
        <f>BID!C612</f>
        <v>AMP</v>
      </c>
      <c r="D14" s="15">
        <f>IF(K14&gt;0,(K14/100)*BID!D612,1*BID!D612)</f>
        <v>11</v>
      </c>
      <c r="E14" s="60">
        <f>IF(K14&gt;0,PR!AI610,IF(BID!K612="MANOLA",BID!L612,0))</f>
        <v>3350</v>
      </c>
      <c r="F14" s="61">
        <f t="shared" si="0"/>
        <v>36850</v>
      </c>
      <c r="K14" s="445"/>
    </row>
    <row r="15" spans="1:11" ht="20.25" thickTop="1" thickBot="1" x14ac:dyDescent="0.35">
      <c r="A15" s="430">
        <f>BID!A613</f>
        <v>553</v>
      </c>
      <c r="B15" s="15" t="str">
        <f>BID!B613</f>
        <v>FOLINIC ACID</v>
      </c>
      <c r="C15" s="15">
        <f>BID!C613</f>
        <v>10</v>
      </c>
      <c r="D15" s="15">
        <f>IF(K15&gt;0,(K15/100)*BID!D613,1*BID!D613)</f>
        <v>10</v>
      </c>
      <c r="E15" s="60">
        <f>IF(K15&gt;0,PR!AI611,IF(BID!K613="MANOLA",BID!L613,0))</f>
        <v>1948</v>
      </c>
      <c r="F15" s="61">
        <f t="shared" si="0"/>
        <v>19480</v>
      </c>
      <c r="K15" s="445"/>
    </row>
    <row r="16" spans="1:11" ht="20.25" thickTop="1" thickBot="1" x14ac:dyDescent="0.35">
      <c r="A16" s="430">
        <f>BID!A615</f>
        <v>555</v>
      </c>
      <c r="B16" s="15" t="str">
        <f>BID!B615</f>
        <v>HYDROXYUREA 500MG CAP</v>
      </c>
      <c r="C16" s="15">
        <f>BID!C615</f>
        <v>100</v>
      </c>
      <c r="D16" s="15">
        <f>IF(K16&gt;0,(K16/100)*BID!D615,1*BID!D615)</f>
        <v>5</v>
      </c>
      <c r="E16" s="60">
        <f>IF(K16&gt;0,PR!AI613,IF(BID!K615="MANOLA",BID!L615,0))</f>
        <v>9000</v>
      </c>
      <c r="F16" s="61">
        <f t="shared" si="0"/>
        <v>45000</v>
      </c>
      <c r="K16" s="445"/>
    </row>
    <row r="17" spans="1:11" ht="20.25" thickTop="1" thickBot="1" x14ac:dyDescent="0.35">
      <c r="A17" s="430">
        <f>BID!A616</f>
        <v>556</v>
      </c>
      <c r="B17" s="15" t="str">
        <f>BID!B616</f>
        <v>IFOSFAMIDE 3G</v>
      </c>
      <c r="C17" s="15" t="str">
        <f>BID!C616</f>
        <v>VIAL</v>
      </c>
      <c r="D17" s="15">
        <f>IF(K17&gt;0,(K17/100)*BID!D616,1*BID!D616)</f>
        <v>20</v>
      </c>
      <c r="E17" s="60">
        <f>IF(K17&gt;0,PR!AI614,IF(BID!K616="MANOLA",BID!L616,0))</f>
        <v>9310</v>
      </c>
      <c r="F17" s="61">
        <f t="shared" si="0"/>
        <v>186200</v>
      </c>
      <c r="K17" s="445"/>
    </row>
    <row r="18" spans="1:11" ht="20.25" thickTop="1" thickBot="1" x14ac:dyDescent="0.35">
      <c r="A18" s="430">
        <f>BID!A619</f>
        <v>559</v>
      </c>
      <c r="B18" s="15" t="str">
        <f>BID!B619</f>
        <v>LETROZOLE 2.5MG TAB</v>
      </c>
      <c r="C18" s="15">
        <f>BID!C619</f>
        <v>30</v>
      </c>
      <c r="D18" s="15">
        <f>IF(K18&gt;0,(K18/100)*BID!D619,1*BID!D619)</f>
        <v>22</v>
      </c>
      <c r="E18" s="60">
        <f>IF(K18&gt;0,PR!AI617,IF(BID!K619="MANOLA",BID!L619,0))</f>
        <v>14040</v>
      </c>
      <c r="F18" s="61">
        <f t="shared" si="0"/>
        <v>308880</v>
      </c>
      <c r="K18" s="445"/>
    </row>
    <row r="19" spans="1:11" ht="20.25" thickTop="1" thickBot="1" x14ac:dyDescent="0.35">
      <c r="A19" s="430">
        <f>BID!A190</f>
        <v>167</v>
      </c>
      <c r="B19" s="15" t="str">
        <f>BID!B190</f>
        <v>MEFENAMIC ACID 250MG CAP</v>
      </c>
      <c r="C19" s="15">
        <f>BID!C190</f>
        <v>100</v>
      </c>
      <c r="D19" s="15">
        <f>IF(K19&gt;0,(K19/100)*BID!D190,1*BID!D190)</f>
        <v>60</v>
      </c>
      <c r="E19" s="60">
        <f>IF(K19&gt;0,PR!AI188,IF(BID!K190="MANOLA",BID!L190,0))</f>
        <v>350</v>
      </c>
      <c r="F19" s="61">
        <f t="shared" si="0"/>
        <v>21000</v>
      </c>
      <c r="K19" s="445"/>
    </row>
    <row r="20" spans="1:11" ht="20.25" thickTop="1" thickBot="1" x14ac:dyDescent="0.35">
      <c r="A20" s="430">
        <f>BID!A621</f>
        <v>561</v>
      </c>
      <c r="B20" s="15" t="str">
        <f>BID!B621</f>
        <v>METHOTREXATE INJ</v>
      </c>
      <c r="C20" s="15" t="str">
        <f>BID!C621</f>
        <v>AMP</v>
      </c>
      <c r="D20" s="15">
        <f>IF(K20&gt;0,(K20/100)*BID!D621,1*BID!D621)</f>
        <v>4</v>
      </c>
      <c r="E20" s="60">
        <f>IF(K20&gt;0,PR!AI619,IF(BID!K621="MANOLA",BID!L621,0))</f>
        <v>683</v>
      </c>
      <c r="F20" s="61">
        <f t="shared" si="0"/>
        <v>2732</v>
      </c>
      <c r="K20" s="445"/>
    </row>
    <row r="21" spans="1:11" ht="20.25" thickTop="1" thickBot="1" x14ac:dyDescent="0.35">
      <c r="A21" s="430">
        <f>BID!A622</f>
        <v>562</v>
      </c>
      <c r="B21" s="15" t="str">
        <f>BID!B622</f>
        <v>METHOTREXATE TAB</v>
      </c>
      <c r="C21" s="15">
        <f>BID!C622</f>
        <v>30</v>
      </c>
      <c r="D21" s="15">
        <f>IF(K21&gt;0,(K21/100)*BID!D622,1*BID!D622)</f>
        <v>24</v>
      </c>
      <c r="E21" s="60">
        <f>IF(K21&gt;0,PR!AI620,IF(BID!K622="MANOLA",BID!L622,0))</f>
        <v>878</v>
      </c>
      <c r="F21" s="61">
        <f t="shared" si="0"/>
        <v>21072</v>
      </c>
      <c r="K21" s="445"/>
    </row>
    <row r="22" spans="1:11" ht="20.25" thickTop="1" thickBot="1" x14ac:dyDescent="0.35">
      <c r="A22" s="430">
        <f>BID!A493</f>
        <v>445</v>
      </c>
      <c r="B22" s="15" t="str">
        <f>BID!B493</f>
        <v>ONDASETRON TAB</v>
      </c>
      <c r="C22" s="15">
        <f>BID!C493</f>
        <v>10</v>
      </c>
      <c r="D22" s="15">
        <f>IF(K22&gt;0,(K22/100)*BID!D493,1*BID!D493)</f>
        <v>20</v>
      </c>
      <c r="E22" s="60">
        <f>IF(K22&gt;0,PR!AI491,IF(BID!K493="MANOLA",BID!L493,0))</f>
        <v>819</v>
      </c>
      <c r="F22" s="61">
        <f t="shared" si="0"/>
        <v>16380</v>
      </c>
      <c r="K22" s="445"/>
    </row>
    <row r="23" spans="1:11" ht="20.25" thickTop="1" thickBot="1" x14ac:dyDescent="0.35">
      <c r="A23" s="430">
        <f>BID!A623</f>
        <v>563</v>
      </c>
      <c r="B23" s="15" t="str">
        <f>BID!B623</f>
        <v>PACLITAXEL 30MG INJ</v>
      </c>
      <c r="C23" s="15">
        <f>BID!C623</f>
        <v>10</v>
      </c>
      <c r="D23" s="15">
        <f>IF(K23&gt;0,(K23/100)*BID!D623,1*BID!D623)</f>
        <v>4</v>
      </c>
      <c r="E23" s="60">
        <f>IF(K23&gt;0,PR!AI621,IF(BID!K623="MANOLA",BID!L623,0))</f>
        <v>23000</v>
      </c>
      <c r="F23" s="61">
        <f t="shared" si="0"/>
        <v>92000</v>
      </c>
      <c r="K23" s="445"/>
    </row>
    <row r="24" spans="1:11" ht="20.25" thickTop="1" thickBot="1" x14ac:dyDescent="0.35">
      <c r="A24" s="430">
        <f>BID!A771</f>
        <v>699</v>
      </c>
      <c r="B24" s="15" t="str">
        <f>BID!B771</f>
        <v>SILVER NITRATE SOLUTION (250ML)</v>
      </c>
      <c r="C24" s="15" t="str">
        <f>BID!C771</f>
        <v>BOTT</v>
      </c>
      <c r="D24" s="15">
        <f>IF(K24&gt;0,(K24/100)*BID!D771,1*BID!D771)</f>
        <v>20</v>
      </c>
      <c r="E24" s="60">
        <f>IF(K24&gt;0,PR!AI769,IF(BID!K771="MANOLA",BID!L771,0))</f>
        <v>17982</v>
      </c>
      <c r="F24" s="61">
        <f t="shared" si="0"/>
        <v>359640</v>
      </c>
      <c r="K24" s="445"/>
    </row>
    <row r="25" spans="1:11" ht="20.25" thickTop="1" thickBot="1" x14ac:dyDescent="0.35">
      <c r="A25" s="430">
        <f>BID!A625</f>
        <v>565</v>
      </c>
      <c r="B25" s="15" t="str">
        <f>BID!B625</f>
        <v>TAMOXIFEN CITRATE 10MG TAB</v>
      </c>
      <c r="C25" s="15">
        <f>BID!C625</f>
        <v>100</v>
      </c>
      <c r="D25" s="15">
        <f>IF(K25&gt;0,(K25/100)*BID!D625,1*BID!D625)</f>
        <v>5</v>
      </c>
      <c r="E25" s="60">
        <f>IF(K25&gt;0,PR!AI623,IF(BID!K625="MANOLA",BID!L625,0))</f>
        <v>9750</v>
      </c>
      <c r="F25" s="61">
        <f t="shared" si="0"/>
        <v>48750</v>
      </c>
      <c r="K25" s="445"/>
    </row>
    <row r="26" spans="1:11" ht="20.25" thickTop="1" thickBot="1" x14ac:dyDescent="0.35">
      <c r="A26" s="430">
        <f>BID!A629</f>
        <v>569</v>
      </c>
      <c r="B26" s="15" t="str">
        <f>BID!B629</f>
        <v xml:space="preserve">VINCRISTINE 5MG/5ML INJ </v>
      </c>
      <c r="C26" s="15">
        <f>BID!C629</f>
        <v>10</v>
      </c>
      <c r="D26" s="15">
        <f>IF(K26&gt;0,(K26/100)*BID!D629,1*BID!D629)</f>
        <v>5</v>
      </c>
      <c r="E26" s="60">
        <f>IF(K26&gt;0,PR!AI627,IF(BID!K629="MANOLA",BID!L629,0))</f>
        <v>780</v>
      </c>
      <c r="F26" s="61">
        <f t="shared" si="0"/>
        <v>3900</v>
      </c>
      <c r="K26" s="445"/>
    </row>
    <row r="27" spans="1:11" ht="19.5" thickTop="1" x14ac:dyDescent="0.3">
      <c r="A27" s="430"/>
      <c r="B27" s="15"/>
      <c r="C27" s="15"/>
      <c r="D27" s="15"/>
      <c r="E27" s="60"/>
      <c r="F27" s="61"/>
    </row>
    <row r="28" spans="1:11" ht="19.5" thickBot="1" x14ac:dyDescent="0.35">
      <c r="A28" s="430"/>
      <c r="B28" s="15"/>
      <c r="C28" s="15"/>
      <c r="D28" s="15"/>
      <c r="E28" s="60"/>
      <c r="F28" s="442"/>
    </row>
    <row r="29" spans="1:11" ht="21.75" thickBot="1" x14ac:dyDescent="0.4">
      <c r="A29" s="430"/>
      <c r="B29" s="15"/>
      <c r="C29" s="15"/>
      <c r="D29" s="15"/>
      <c r="E29" s="441"/>
      <c r="F29" s="443">
        <f>SUM(F6:F26)</f>
        <v>2457732</v>
      </c>
    </row>
  </sheetData>
  <protectedRanges>
    <protectedRange sqref="K6:K26" name="Range1"/>
    <protectedRange sqref="K4:K5" name="Range1_1"/>
  </protectedRanges>
  <sortState ref="A6:K26">
    <sortCondition ref="B6:B26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A2E98-59AE-4EFF-8A1D-BD75C880C7FA}">
  <sheetPr>
    <tabColor rgb="FFFFC000"/>
  </sheetPr>
  <dimension ref="A1:K15"/>
  <sheetViews>
    <sheetView view="pageBreakPreview" zoomScale="85" zoomScaleNormal="100" zoomScaleSheetLayoutView="85" workbookViewId="0">
      <selection activeCell="F9" sqref="F9:F1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N!B35</f>
        <v>MARCSON HEALTHCARE LIMITED</v>
      </c>
      <c r="C1" s="816"/>
      <c r="D1" s="816"/>
      <c r="E1" s="816"/>
      <c r="F1" s="816"/>
      <c r="K1" t="s">
        <v>823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BID!A13</f>
        <v>1</v>
      </c>
      <c r="B6" s="15" t="str">
        <f>BID!B13</f>
        <v>ab-ARTEETHER 150MG INJ</v>
      </c>
      <c r="C6" s="15">
        <f>BID!C13</f>
        <v>3</v>
      </c>
      <c r="D6" s="15">
        <f>IF(K6&gt;0,(K6/100)*BID!D13,1*BID!D13)</f>
        <v>900</v>
      </c>
      <c r="E6" s="60">
        <f>IF(K6&gt;0,PR!AJ11,IF(BID!K13="MARCSON",BID!L13,0))</f>
        <v>600</v>
      </c>
      <c r="F6" s="61">
        <f t="shared" ref="F6:F12" si="0">IF(E6&gt;0,(E6*D6),0)</f>
        <v>540000</v>
      </c>
      <c r="K6" s="445">
        <v>30</v>
      </c>
    </row>
    <row r="7" spans="1:11" ht="20.25" thickTop="1" thickBot="1" x14ac:dyDescent="0.35">
      <c r="A7" s="430">
        <f>BID!A54</f>
        <v>36</v>
      </c>
      <c r="B7" s="15" t="str">
        <f>BID!B54</f>
        <v>AMLODIPINE 10MG + RAMIPRIL 5MG</v>
      </c>
      <c r="C7" s="15">
        <f>BID!C54</f>
        <v>30</v>
      </c>
      <c r="D7" s="15">
        <f>IF(K7&gt;0,(K7/100)*BID!D54,1*BID!D54)</f>
        <v>200</v>
      </c>
      <c r="E7" s="60">
        <f>IF(K7&gt;0,PR!AJ52,IF(BID!K54="MARCSON",BID!L54,0))</f>
        <v>1800</v>
      </c>
      <c r="F7" s="61">
        <f t="shared" si="0"/>
        <v>360000</v>
      </c>
      <c r="K7" s="445"/>
    </row>
    <row r="8" spans="1:11" ht="20.25" thickTop="1" thickBot="1" x14ac:dyDescent="0.35">
      <c r="A8" s="430">
        <f>BID!A56</f>
        <v>38</v>
      </c>
      <c r="B8" s="15" t="str">
        <f>BID!B56</f>
        <v>AMLODIPINE 5MG + RAMIPRIL 2.5MG</v>
      </c>
      <c r="C8" s="15">
        <f>BID!C56</f>
        <v>30</v>
      </c>
      <c r="D8" s="15">
        <f>IF(K8&gt;0,(K8/100)*BID!D56,1*BID!D56)</f>
        <v>200</v>
      </c>
      <c r="E8" s="60">
        <f>IF(K8&gt;0,PR!AJ54,IF(BID!K56="MARCSON",BID!L56,0))</f>
        <v>1250</v>
      </c>
      <c r="F8" s="61">
        <f t="shared" si="0"/>
        <v>250000</v>
      </c>
      <c r="K8" s="445"/>
    </row>
    <row r="9" spans="1:11" ht="20.25" thickTop="1" thickBot="1" x14ac:dyDescent="0.35">
      <c r="A9" s="430">
        <f>BID!A245</f>
        <v>219</v>
      </c>
      <c r="B9" s="15" t="str">
        <f>BID!B245</f>
        <v>CEFIXIME + SULBACTAM SUSPENSION</v>
      </c>
      <c r="C9" s="15" t="str">
        <f>BID!C245</f>
        <v>BOTT</v>
      </c>
      <c r="D9" s="15">
        <f>IF(K9&gt;0,(K9/100)*BID!D245,1*BID!D245)</f>
        <v>100</v>
      </c>
      <c r="E9" s="60">
        <f>IF(K9&gt;0,PR!AJ243,IF(BID!K245="MARCSON",BID!L245,0))</f>
        <v>1500</v>
      </c>
      <c r="F9" s="61">
        <f t="shared" si="0"/>
        <v>150000</v>
      </c>
      <c r="K9" s="445"/>
    </row>
    <row r="10" spans="1:11" ht="20.25" thickTop="1" thickBot="1" x14ac:dyDescent="0.35">
      <c r="A10" s="430">
        <v>221</v>
      </c>
      <c r="B10" s="15" t="s">
        <v>1302</v>
      </c>
      <c r="C10" s="15">
        <v>10</v>
      </c>
      <c r="D10" s="15">
        <v>200</v>
      </c>
      <c r="E10" s="60">
        <v>1800</v>
      </c>
      <c r="F10" s="61">
        <f t="shared" si="0"/>
        <v>360000</v>
      </c>
      <c r="K10" s="445"/>
    </row>
    <row r="11" spans="1:11" ht="20.25" thickTop="1" thickBot="1" x14ac:dyDescent="0.35">
      <c r="A11" s="430">
        <f>BID!A255</f>
        <v>229</v>
      </c>
      <c r="B11" s="15" t="str">
        <f>BID!B255</f>
        <v>CEFTRIAXONE+SULBACTAM INJ</v>
      </c>
      <c r="C11" s="15" t="str">
        <f>BID!C255</f>
        <v>VIAL</v>
      </c>
      <c r="D11" s="15">
        <f>IF(K11&gt;0,(K11/100)*BID!D255,1*BID!D255)</f>
        <v>2500</v>
      </c>
      <c r="E11" s="60">
        <f>IF(K11&gt;0,PR!AJ253,IF(BID!K255="MARCSON",BID!L255,0))</f>
        <v>900</v>
      </c>
      <c r="F11" s="61">
        <f t="shared" si="0"/>
        <v>2250000</v>
      </c>
      <c r="K11" s="445"/>
    </row>
    <row r="12" spans="1:11" ht="20.25" thickTop="1" thickBot="1" x14ac:dyDescent="0.35">
      <c r="A12" s="430">
        <f>BID!A200</f>
        <v>177</v>
      </c>
      <c r="B12" s="15" t="str">
        <f>BID!B200</f>
        <v>ORPHENADRINE/PARACETAMOL TAB</v>
      </c>
      <c r="C12" s="15">
        <f>BID!C200</f>
        <v>100</v>
      </c>
      <c r="D12" s="15">
        <f>IF(K12&gt;0,(K12/100)*BID!D200,1*BID!D200)</f>
        <v>2000</v>
      </c>
      <c r="E12" s="60">
        <f>IF(K12&gt;0,PR!AJ198,IF(BID!K200="MARCSON",BID!L200,0))</f>
        <v>1550</v>
      </c>
      <c r="F12" s="61">
        <f t="shared" si="0"/>
        <v>3100000</v>
      </c>
      <c r="K12" s="445"/>
    </row>
    <row r="13" spans="1:11" ht="19.5" thickTop="1" x14ac:dyDescent="0.3">
      <c r="A13" s="430"/>
      <c r="B13" s="15"/>
      <c r="C13" s="15"/>
      <c r="D13" s="15"/>
      <c r="E13" s="60"/>
      <c r="F13" s="61"/>
    </row>
    <row r="14" spans="1:11" ht="19.5" thickBot="1" x14ac:dyDescent="0.35">
      <c r="A14" s="430"/>
      <c r="B14" s="15"/>
      <c r="C14" s="15"/>
      <c r="D14" s="15"/>
      <c r="E14" s="60"/>
      <c r="F14" s="442"/>
    </row>
    <row r="15" spans="1:11" ht="21.75" thickBot="1" x14ac:dyDescent="0.4">
      <c r="A15" s="430"/>
      <c r="B15" s="15"/>
      <c r="C15" s="15"/>
      <c r="D15" s="15"/>
      <c r="E15" s="441"/>
      <c r="F15" s="443">
        <f>SUM(F6:F12)</f>
        <v>7010000</v>
      </c>
    </row>
  </sheetData>
  <protectedRanges>
    <protectedRange sqref="K6:K12" name="Range1"/>
    <protectedRange sqref="K4:K5" name="Range1_1"/>
  </protectedRanges>
  <sortState ref="A6:K12">
    <sortCondition ref="B6:B12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F743B-7B86-45E0-93C6-ADF7CB6D91E3}">
  <sheetPr>
    <tabColor rgb="FFFFFF00"/>
  </sheetPr>
  <dimension ref="A1:K17"/>
  <sheetViews>
    <sheetView view="pageBreakPreview" zoomScale="85" zoomScaleNormal="100" zoomScaleSheetLayoutView="85" workbookViewId="0">
      <selection activeCell="B12" sqref="B12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N!B36</f>
        <v>MAY &amp; BAKER NIGERIA LIMITED</v>
      </c>
      <c r="C1" s="816"/>
      <c r="D1" s="816"/>
      <c r="E1" s="816"/>
      <c r="F1" s="816"/>
      <c r="K1" t="s">
        <v>616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BID!A389</f>
        <v>353</v>
      </c>
      <c r="B6" s="15" t="str">
        <f>BID!B389</f>
        <v>BROMAZEPAM 1.5MG</v>
      </c>
      <c r="C6" s="15">
        <f>BID!C389</f>
        <v>30</v>
      </c>
      <c r="D6" s="15">
        <f>IF(K6&gt;0,(K6/100)*BID!D389,1*BID!D389)</f>
        <v>800</v>
      </c>
      <c r="E6" s="60">
        <f>IF(K6&gt;0,PR!AK387,IF(BID!K389="M&amp;B",BID!L389,0))</f>
        <v>170</v>
      </c>
      <c r="F6" s="61">
        <f t="shared" ref="F6:F14" si="0">IF(E6&gt;0,(E6*D6),0)</f>
        <v>136000</v>
      </c>
      <c r="K6" s="445"/>
    </row>
    <row r="7" spans="1:11" ht="20.25" thickTop="1" thickBot="1" x14ac:dyDescent="0.35">
      <c r="A7" s="430">
        <f>BID!A390</f>
        <v>354</v>
      </c>
      <c r="B7" s="15" t="str">
        <f>BID!B390</f>
        <v>BROMAZEPAM 3MG</v>
      </c>
      <c r="C7" s="15">
        <f>BID!C390</f>
        <v>30</v>
      </c>
      <c r="D7" s="15">
        <f>IF(K7&gt;0,(K7/100)*BID!D390,1*BID!D390)</f>
        <v>1000</v>
      </c>
      <c r="E7" s="60">
        <f>IF(K7&gt;0,PR!AK388,IF(BID!K390="M&amp;B",BID!L390,0))</f>
        <v>340</v>
      </c>
      <c r="F7" s="61">
        <f t="shared" si="0"/>
        <v>340000</v>
      </c>
      <c r="K7" s="445"/>
    </row>
    <row r="8" spans="1:11" ht="20.25" thickTop="1" thickBot="1" x14ac:dyDescent="0.35">
      <c r="A8" s="430">
        <f>BID!A259</f>
        <v>233</v>
      </c>
      <c r="B8" s="15" t="str">
        <f>BID!B259</f>
        <v>CEFUROXIME SUSPENSION 125MG/5ML (100ML)</v>
      </c>
      <c r="C8" s="15" t="str">
        <f>BID!C259</f>
        <v>BOTT</v>
      </c>
      <c r="D8" s="15">
        <f>IF(K8&gt;0,(K8/100)*BID!D259,1*BID!D259)</f>
        <v>800</v>
      </c>
      <c r="E8" s="60">
        <f>IF(K8&gt;0,PR!AK257,IF(BID!K259="M&amp;B",BID!L259,0))</f>
        <v>1300</v>
      </c>
      <c r="F8" s="61">
        <f t="shared" si="0"/>
        <v>1040000</v>
      </c>
      <c r="K8" s="445">
        <v>40</v>
      </c>
    </row>
    <row r="9" spans="1:11" ht="20.25" thickTop="1" thickBot="1" x14ac:dyDescent="0.35">
      <c r="A9" s="430">
        <f>BID!A527</f>
        <v>473</v>
      </c>
      <c r="B9" s="15" t="str">
        <f>BID!B527</f>
        <v>CHLORPHENIRAMINE 4MG/5ML  SYR</v>
      </c>
      <c r="C9" s="15" t="str">
        <f>BID!C527</f>
        <v>BOTT</v>
      </c>
      <c r="D9" s="15">
        <f>IF(K9&gt;0,(K9/100)*BID!D527,1*BID!D527)</f>
        <v>800</v>
      </c>
      <c r="E9" s="60">
        <f>IF(K9&gt;0,PR!AK525,IF(BID!K527="M&amp;B",BID!L527,0))</f>
        <v>100</v>
      </c>
      <c r="F9" s="61">
        <f t="shared" si="0"/>
        <v>80000</v>
      </c>
      <c r="K9" s="445"/>
    </row>
    <row r="10" spans="1:11" ht="20.25" thickTop="1" thickBot="1" x14ac:dyDescent="0.35">
      <c r="A10" s="430">
        <f>BID!A270</f>
        <v>244</v>
      </c>
      <c r="B10" s="15" t="str">
        <f>BID!B270</f>
        <v>CO-TRIMOXAZOLE SUSP.</v>
      </c>
      <c r="C10" s="15" t="str">
        <f>BID!C270</f>
        <v>BOTT</v>
      </c>
      <c r="D10" s="15">
        <f>IF(K10&gt;0,(K10/100)*BID!D270,1*BID!D270)</f>
        <v>200</v>
      </c>
      <c r="E10" s="60">
        <f>IF(K10&gt;0,PR!AK268,IF(BID!K270="M&amp;B",BID!L270,0))</f>
        <v>100</v>
      </c>
      <c r="F10" s="61">
        <f t="shared" si="0"/>
        <v>20000</v>
      </c>
      <c r="K10" s="445"/>
    </row>
    <row r="11" spans="1:11" ht="20.25" thickTop="1" thickBot="1" x14ac:dyDescent="0.35">
      <c r="A11" s="430">
        <f>BID!A141</f>
        <v>121</v>
      </c>
      <c r="B11" s="15" t="str">
        <f>BID!B141</f>
        <v>GLIMEPIRIDE 4MG TAB</v>
      </c>
      <c r="C11" s="15">
        <f>BID!C141</f>
        <v>30</v>
      </c>
      <c r="D11" s="15">
        <f>IF(K11&gt;0,(K11/100)*BID!D141,1*BID!D141)</f>
        <v>1000</v>
      </c>
      <c r="E11" s="60">
        <f>IF(K11&gt;0,PR!AK139,IF(BID!K141="M&amp;B",BID!L141,0))</f>
        <v>1850</v>
      </c>
      <c r="F11" s="61">
        <f t="shared" si="0"/>
        <v>1850000</v>
      </c>
      <c r="K11" s="445"/>
    </row>
    <row r="12" spans="1:11" ht="20.25" thickTop="1" thickBot="1" x14ac:dyDescent="0.35">
      <c r="A12" s="430">
        <f>BID!A106</f>
        <v>88</v>
      </c>
      <c r="B12" s="15" t="str">
        <f>BID!B106</f>
        <v xml:space="preserve">NIFEDIPINE 30MG </v>
      </c>
      <c r="C12" s="15">
        <f>BID!C106</f>
        <v>30</v>
      </c>
      <c r="D12" s="15">
        <f>IF(K12&gt;0,(K12/100)*BID!D106,1*BID!D106)</f>
        <v>900</v>
      </c>
      <c r="E12" s="60">
        <f>IF(K12&gt;0,PR!AK104,IF(BID!K106="M&amp;B",BID!L106,0))</f>
        <v>696.97</v>
      </c>
      <c r="F12" s="61">
        <f t="shared" si="0"/>
        <v>627273</v>
      </c>
      <c r="K12" s="445">
        <v>30</v>
      </c>
    </row>
    <row r="13" spans="1:11" ht="20.25" thickTop="1" thickBot="1" x14ac:dyDescent="0.35">
      <c r="A13" s="430">
        <f>BID!A300</f>
        <v>274</v>
      </c>
      <c r="B13" s="15" t="str">
        <f>BID!B300</f>
        <v>OFLOXACIN 200MG TAB</v>
      </c>
      <c r="C13" s="15">
        <f>BID!C300</f>
        <v>10</v>
      </c>
      <c r="D13" s="15">
        <f>IF(K13&gt;0,(K13/100)*BID!D300,1*BID!D300)</f>
        <v>1600</v>
      </c>
      <c r="E13" s="60">
        <f>IF(K13&gt;0,PR!AK298,IF(BID!K300="M&amp;B",BID!L300,0))</f>
        <v>402.93</v>
      </c>
      <c r="F13" s="61">
        <f t="shared" si="0"/>
        <v>644688</v>
      </c>
      <c r="K13" s="445"/>
    </row>
    <row r="14" spans="1:11" ht="20.25" thickTop="1" thickBot="1" x14ac:dyDescent="0.35">
      <c r="A14" s="430">
        <f>BID!A115</f>
        <v>97</v>
      </c>
      <c r="B14" s="15" t="str">
        <f>BID!B115</f>
        <v>RAMIPRIL 5MG TAB</v>
      </c>
      <c r="C14" s="15">
        <f>BID!C115</f>
        <v>30</v>
      </c>
      <c r="D14" s="15">
        <f>IF(K14&gt;0,(K14/100)*BID!D115,1*BID!D115)</f>
        <v>2080</v>
      </c>
      <c r="E14" s="60">
        <f>IF(K14&gt;0,PR!AK113,IF(BID!K115="M&amp;B",BID!L115,0))</f>
        <v>600</v>
      </c>
      <c r="F14" s="61">
        <f t="shared" si="0"/>
        <v>1248000</v>
      </c>
      <c r="K14" s="445">
        <v>80</v>
      </c>
    </row>
    <row r="15" spans="1:11" ht="19.5" thickTop="1" x14ac:dyDescent="0.3">
      <c r="A15" s="430"/>
      <c r="B15" s="15"/>
      <c r="C15" s="15"/>
      <c r="D15" s="15"/>
      <c r="E15" s="60"/>
      <c r="F15" s="61"/>
    </row>
    <row r="16" spans="1:11" ht="19.5" thickBot="1" x14ac:dyDescent="0.35">
      <c r="A16" s="430"/>
      <c r="B16" s="15"/>
      <c r="C16" s="15"/>
      <c r="D16" s="15"/>
      <c r="E16" s="60"/>
      <c r="F16" s="442"/>
    </row>
    <row r="17" spans="1:6" ht="21.75" thickBot="1" x14ac:dyDescent="0.4">
      <c r="A17" s="430"/>
      <c r="B17" s="15"/>
      <c r="C17" s="15"/>
      <c r="D17" s="15"/>
      <c r="E17" s="441"/>
      <c r="F17" s="443">
        <f>SUM(F6:F14)</f>
        <v>5985961</v>
      </c>
    </row>
  </sheetData>
  <protectedRanges>
    <protectedRange sqref="K6:K14" name="Range1"/>
    <protectedRange sqref="K4:K5" name="Range1_1"/>
  </protectedRanges>
  <sortState ref="A6:K14">
    <sortCondition ref="B6:B14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F8A0B-679B-4E60-B257-CF7DC791CAF7}">
  <sheetPr>
    <tabColor rgb="FF92D050"/>
  </sheetPr>
  <dimension ref="A1:K9"/>
  <sheetViews>
    <sheetView view="pageBreakPreview" zoomScale="85" zoomScaleNormal="100" zoomScaleSheetLayoutView="85" workbookViewId="0">
      <selection activeCell="B6" sqref="B6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N!B37</f>
        <v>MEDITRUST NIGERIA LIMITED</v>
      </c>
      <c r="C1" s="816"/>
      <c r="D1" s="816"/>
      <c r="E1" s="816"/>
      <c r="F1" s="816"/>
      <c r="K1" t="s">
        <v>1472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1489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BID!A800</f>
        <v>721</v>
      </c>
      <c r="B6" s="15" t="str">
        <f>BID!B800</f>
        <v>ENVELOPES MEDIUM (14" X 12")</v>
      </c>
      <c r="C6" s="15" t="str">
        <f>BID!C800</f>
        <v>PCS</v>
      </c>
      <c r="D6" s="15">
        <f>IF(K6&gt;0,(K6/100)*BID!D800,1*BID!D800)</f>
        <v>5000</v>
      </c>
      <c r="E6" s="60">
        <f>IF(K6&gt;0,PR!AL798,IF(BID!K800="MTRUST",BID!L800,0))</f>
        <v>30</v>
      </c>
      <c r="F6" s="61">
        <f t="shared" ref="F6" si="0">IF(E6&gt;0,(E6*D6),0)</f>
        <v>150000</v>
      </c>
      <c r="K6" s="445"/>
    </row>
    <row r="7" spans="1:11" ht="19.5" thickTop="1" x14ac:dyDescent="0.3">
      <c r="A7" s="430"/>
      <c r="B7" s="15"/>
      <c r="C7" s="15"/>
      <c r="D7" s="15"/>
      <c r="E7" s="60"/>
      <c r="F7" s="61"/>
    </row>
    <row r="8" spans="1:11" ht="19.5" thickBot="1" x14ac:dyDescent="0.35">
      <c r="A8" s="430"/>
      <c r="B8" s="15"/>
      <c r="C8" s="15"/>
      <c r="D8" s="15"/>
      <c r="E8" s="60"/>
      <c r="F8" s="442"/>
    </row>
    <row r="9" spans="1:11" ht="21.75" thickBot="1" x14ac:dyDescent="0.4">
      <c r="A9" s="430"/>
      <c r="B9" s="15"/>
      <c r="C9" s="15"/>
      <c r="D9" s="15"/>
      <c r="E9" s="441"/>
      <c r="F9" s="443">
        <f>SUM(F6:F6)</f>
        <v>150000</v>
      </c>
    </row>
  </sheetData>
  <sheetProtection algorithmName="SHA-512" hashValue="LDXGn+PHK4u/kC6weITyaEZ3yO7SVgS1jLTiNQUrPBR8lzWGmcxrIWFU49iMxfU+HIQEe1v36qq6nPpBwfIp4Q==" saltValue="WSqHR0vRP2aql5Tmhq67/Q==" spinCount="100000" sheet="1" objects="1" scenarios="1"/>
  <protectedRanges>
    <protectedRange sqref="K6" name="Range1"/>
    <protectedRange sqref="K4:K5" name="Range1_1"/>
  </protectedRanges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0719-9EAE-415F-B2C8-7BE4BEA92EB4}">
  <sheetPr>
    <tabColor rgb="FF00B0F0"/>
  </sheetPr>
  <dimension ref="A1:K15"/>
  <sheetViews>
    <sheetView view="pageBreakPreview" zoomScale="85" zoomScaleNormal="100" zoomScaleSheetLayoutView="85" workbookViewId="0">
      <selection activeCell="F21" sqref="F21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N!B39</f>
        <v>MEGA LIFESCIENCES NIGERIA LIMITED</v>
      </c>
      <c r="C1" s="816"/>
      <c r="D1" s="816"/>
      <c r="E1" s="816"/>
      <c r="F1" s="816"/>
      <c r="K1" t="s">
        <v>816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BID!A324</f>
        <v>292</v>
      </c>
      <c r="B6" s="15" t="str">
        <f>BID!B324</f>
        <v>CALCITROL 0.25MCG TAB</v>
      </c>
      <c r="C6" s="15">
        <f>BID!C324</f>
        <v>30</v>
      </c>
      <c r="D6" s="15">
        <f>IF(K6&gt;0,(K6/100)*BID!D324,1*BID!D324)</f>
        <v>600</v>
      </c>
      <c r="E6" s="60">
        <f>IF(K6&gt;0,PR!AN322,IF(BID!K324="MEGA",BID!L324,0))</f>
        <v>2600</v>
      </c>
      <c r="F6" s="61">
        <f t="shared" ref="F6:F12" si="0">IF(E6&gt;0,(E6*D6),0)</f>
        <v>1560000</v>
      </c>
      <c r="K6" s="445"/>
    </row>
    <row r="7" spans="1:11" ht="20.25" thickTop="1" thickBot="1" x14ac:dyDescent="0.35">
      <c r="A7" s="430">
        <f>BID!A75</f>
        <v>57</v>
      </c>
      <c r="B7" s="15" t="str">
        <f>BID!B75</f>
        <v>CLOPIDOGREL 75MG TAB</v>
      </c>
      <c r="C7" s="15">
        <f>BID!C75</f>
        <v>30</v>
      </c>
      <c r="D7" s="15">
        <f>IF(K7&gt;0,(K7/100)*BID!D75,1*BID!D75)</f>
        <v>2000</v>
      </c>
      <c r="E7" s="60">
        <f>IF(K7&gt;0,PR!AN73,IF(BID!K75="MEGA",BID!L75,0))</f>
        <v>750</v>
      </c>
      <c r="F7" s="61">
        <f t="shared" si="0"/>
        <v>1500000</v>
      </c>
      <c r="K7" s="445">
        <v>25</v>
      </c>
    </row>
    <row r="8" spans="1:11" ht="20.25" thickTop="1" thickBot="1" x14ac:dyDescent="0.35">
      <c r="A8" s="430">
        <f>BID!A342</f>
        <v>310</v>
      </c>
      <c r="B8" s="15" t="str">
        <f>BID!B342</f>
        <v>HIGH POTENCY VITAMIN B FORMULA TAB</v>
      </c>
      <c r="C8" s="15">
        <f>BID!C342</f>
        <v>30</v>
      </c>
      <c r="D8" s="15">
        <f>IF(K8&gt;0,(K8/100)*BID!D342,1*BID!D342)</f>
        <v>1500</v>
      </c>
      <c r="E8" s="60">
        <f>IF(K8&gt;0,PR!AN340,IF(BID!K342="MEGA",BID!L342,0))</f>
        <v>2300</v>
      </c>
      <c r="F8" s="61">
        <f t="shared" si="0"/>
        <v>3450000</v>
      </c>
      <c r="K8" s="445"/>
    </row>
    <row r="9" spans="1:11" ht="20.25" thickTop="1" thickBot="1" x14ac:dyDescent="0.35">
      <c r="A9" s="430">
        <f>BID!A353</f>
        <v>321</v>
      </c>
      <c r="B9" s="15" t="str">
        <f>BID!B353</f>
        <v>PHOSPHOLIPIDS/VIT E/VIT B COMPLEX</v>
      </c>
      <c r="C9" s="15">
        <f>BID!C353</f>
        <v>30</v>
      </c>
      <c r="D9" s="15">
        <f>IF(K9&gt;0,(K9/100)*BID!D353,1*BID!D353)</f>
        <v>400</v>
      </c>
      <c r="E9" s="60">
        <f>IF(K9&gt;0,PR!AN351,IF(BID!K353="MEGA",BID!L353,0))</f>
        <v>1500</v>
      </c>
      <c r="F9" s="61">
        <f t="shared" si="0"/>
        <v>600000</v>
      </c>
      <c r="K9" s="445"/>
    </row>
    <row r="10" spans="1:11" ht="20.25" thickTop="1" thickBot="1" x14ac:dyDescent="0.35">
      <c r="A10" s="430">
        <f>BID!A211</f>
        <v>188</v>
      </c>
      <c r="B10" s="15" t="str">
        <f>BID!B211</f>
        <v>PREGABALIN 75MG CAP</v>
      </c>
      <c r="C10" s="15">
        <f>BID!C211</f>
        <v>30</v>
      </c>
      <c r="D10" s="15">
        <f>IF(K10&gt;0,(K10/100)*BID!D211,1*BID!D211)</f>
        <v>720</v>
      </c>
      <c r="E10" s="60">
        <f>IF(K10&gt;0,PR!AN209,IF(BID!K211="MEGA",BID!L211,0))</f>
        <v>2000</v>
      </c>
      <c r="F10" s="61">
        <f t="shared" si="0"/>
        <v>1440000</v>
      </c>
      <c r="K10" s="445">
        <v>30</v>
      </c>
    </row>
    <row r="11" spans="1:11" ht="20.25" thickTop="1" thickBot="1" x14ac:dyDescent="0.35">
      <c r="A11" s="430">
        <f>BID!A125</f>
        <v>107</v>
      </c>
      <c r="B11" s="15" t="str">
        <f>BID!B125</f>
        <v>TELMISARTAN 80MG TAB</v>
      </c>
      <c r="C11" s="15">
        <f>BID!C125</f>
        <v>30</v>
      </c>
      <c r="D11" s="15">
        <f>IF(K11&gt;0,(K11/100)*BID!D125,1*BID!D125)</f>
        <v>26</v>
      </c>
      <c r="E11" s="60">
        <f>IF(K11&gt;0,PR!AN123,IF(BID!K125="MEGA",BID!L125,0))</f>
        <v>2500</v>
      </c>
      <c r="F11" s="61">
        <f t="shared" si="0"/>
        <v>65000</v>
      </c>
      <c r="K11" s="445">
        <v>50</v>
      </c>
    </row>
    <row r="12" spans="1:11" ht="20.25" thickTop="1" thickBot="1" x14ac:dyDescent="0.35">
      <c r="A12" s="430">
        <f>BID!A366</f>
        <v>334</v>
      </c>
      <c r="B12" s="15" t="str">
        <f>BID!B366</f>
        <v>URSODEOXYCHOLIC ACID 300MG TAB</v>
      </c>
      <c r="C12" s="15">
        <f>BID!C366</f>
        <v>30</v>
      </c>
      <c r="D12" s="15">
        <f>IF(K12&gt;0,(K12/100)*BID!D366,1*BID!D366)</f>
        <v>20</v>
      </c>
      <c r="E12" s="60">
        <f>IF(K12&gt;0,PR!AN364,IF(BID!K366="MEGA",BID!L366,0))</f>
        <v>7900</v>
      </c>
      <c r="F12" s="61">
        <f t="shared" si="0"/>
        <v>158000</v>
      </c>
      <c r="K12" s="445"/>
    </row>
    <row r="13" spans="1:11" ht="19.5" thickTop="1" x14ac:dyDescent="0.3">
      <c r="A13" s="430"/>
      <c r="B13" s="15"/>
      <c r="C13" s="15"/>
      <c r="D13" s="15"/>
      <c r="E13" s="60"/>
      <c r="F13" s="61"/>
    </row>
    <row r="14" spans="1:11" ht="19.5" thickBot="1" x14ac:dyDescent="0.35">
      <c r="A14" s="430"/>
      <c r="B14" s="15"/>
      <c r="C14" s="15"/>
      <c r="D14" s="15"/>
      <c r="E14" s="60"/>
      <c r="F14" s="442"/>
    </row>
    <row r="15" spans="1:11" ht="21.75" thickBot="1" x14ac:dyDescent="0.4">
      <c r="A15" s="430"/>
      <c r="B15" s="15"/>
      <c r="C15" s="15"/>
      <c r="D15" s="15"/>
      <c r="E15" s="441"/>
      <c r="F15" s="443">
        <f>SUM(F6:F12)</f>
        <v>8773000</v>
      </c>
    </row>
  </sheetData>
  <protectedRanges>
    <protectedRange sqref="K6:K12" name="Range1"/>
    <protectedRange sqref="K4:K5" name="Range1_1"/>
  </protectedRanges>
  <sortState ref="A6:K12">
    <sortCondition ref="B6:B12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19094-CF2F-4841-978C-10D5C6019B29}">
  <sheetPr>
    <tabColor rgb="FF0070C0"/>
  </sheetPr>
  <dimension ref="A1:K36"/>
  <sheetViews>
    <sheetView view="pageBreakPreview" topLeftCell="A25" zoomScale="85" zoomScaleNormal="100" zoomScaleSheetLayoutView="85" workbookViewId="0">
      <selection activeCell="C10" sqref="C1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N!B40</f>
        <v>MICRONOVA PHARMACEUTICALS</v>
      </c>
      <c r="C1" s="816"/>
      <c r="D1" s="816"/>
      <c r="E1" s="816"/>
      <c r="F1" s="816"/>
      <c r="K1" t="s">
        <v>632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BID!A53</f>
        <v>35</v>
      </c>
      <c r="B6" s="15" t="str">
        <f>BID!B53</f>
        <v>AMIODARONE 200MG TAB</v>
      </c>
      <c r="C6" s="15">
        <f>BID!C53</f>
        <v>30</v>
      </c>
      <c r="D6" s="15">
        <f>IF(K6&gt;0,(K6/100)*BID!D53,1*BID!D53)</f>
        <v>10</v>
      </c>
      <c r="E6" s="60">
        <f>IF(K6&gt;0,PR!AO51,IF(BID!K53="MICRONOVA",BID!L53,0))</f>
        <v>1727</v>
      </c>
      <c r="F6" s="61">
        <f t="shared" ref="F6:F33" si="0">IF(E6&gt;0,(E6*D6),0)</f>
        <v>17270</v>
      </c>
      <c r="K6" s="445"/>
    </row>
    <row r="7" spans="1:11" ht="20.25" thickTop="1" thickBot="1" x14ac:dyDescent="0.35">
      <c r="A7" s="430">
        <f>BID!A66</f>
        <v>48</v>
      </c>
      <c r="B7" s="15" t="str">
        <f>BID!B66</f>
        <v>ATORVASTATIN 10MG</v>
      </c>
      <c r="C7" s="15">
        <f>BID!C66</f>
        <v>30</v>
      </c>
      <c r="D7" s="15">
        <f>IF(K7&gt;0,(K7/100)*BID!D66,1*BID!D66)</f>
        <v>1500</v>
      </c>
      <c r="E7" s="60">
        <f>IF(K7&gt;0,PR!AO64,IF(BID!K66="MICRONOVA",BID!L66,0))</f>
        <v>325</v>
      </c>
      <c r="F7" s="61">
        <f t="shared" si="0"/>
        <v>487500</v>
      </c>
      <c r="K7" s="445">
        <v>50</v>
      </c>
    </row>
    <row r="8" spans="1:11" ht="20.25" thickTop="1" thickBot="1" x14ac:dyDescent="0.35">
      <c r="A8" s="430">
        <f>BID!A67</f>
        <v>49</v>
      </c>
      <c r="B8" s="15" t="str">
        <f>BID!B67</f>
        <v>ATORVASTATIN 20MG</v>
      </c>
      <c r="C8" s="15">
        <f>BID!C67</f>
        <v>30</v>
      </c>
      <c r="D8" s="15">
        <f>IF(K8&gt;0,(K8/100)*BID!D67,1*BID!D67)</f>
        <v>500</v>
      </c>
      <c r="E8" s="60">
        <f>IF(K8&gt;0,PR!AO65,IF(BID!K67="MICRONOVA",BID!L67,0))</f>
        <v>450</v>
      </c>
      <c r="F8" s="61">
        <f t="shared" si="0"/>
        <v>225000</v>
      </c>
      <c r="K8" s="445">
        <v>25</v>
      </c>
    </row>
    <row r="9" spans="1:11" ht="20.25" thickTop="1" thickBot="1" x14ac:dyDescent="0.35">
      <c r="A9" s="430">
        <f>BID!A68</f>
        <v>50</v>
      </c>
      <c r="B9" s="15" t="str">
        <f>BID!B68</f>
        <v>ATORVASTATIN 40MG</v>
      </c>
      <c r="C9" s="15">
        <f>BID!C68</f>
        <v>30</v>
      </c>
      <c r="D9" s="15">
        <f>IF(K9&gt;0,(K9/100)*BID!D68,1*BID!D68)</f>
        <v>100</v>
      </c>
      <c r="E9" s="60">
        <f>IF(K9&gt;0,PR!AO66,IF(BID!K68="MICRONOVA",BID!L68,0))</f>
        <v>725</v>
      </c>
      <c r="F9" s="61">
        <f t="shared" si="0"/>
        <v>72500</v>
      </c>
      <c r="K9" s="445"/>
    </row>
    <row r="10" spans="1:11" ht="20.25" thickTop="1" thickBot="1" x14ac:dyDescent="0.35">
      <c r="A10" s="430">
        <f>BID!A251</f>
        <v>225</v>
      </c>
      <c r="B10" s="15" t="str">
        <f>BID!B251</f>
        <v>CEFPODOXIME 200MG TAB</v>
      </c>
      <c r="C10" s="15">
        <f>BID!C251</f>
        <v>10</v>
      </c>
      <c r="D10" s="15">
        <f>IF(K10&gt;0,(K10/100)*BID!D251,1*BID!D251)</f>
        <v>50</v>
      </c>
      <c r="E10" s="60">
        <f>IF(K10&gt;0,PR!AO249,IF(BID!K251="MICRONOVA",BID!L251,0))</f>
        <v>950</v>
      </c>
      <c r="F10" s="61">
        <f t="shared" si="0"/>
        <v>47500</v>
      </c>
      <c r="K10" s="445">
        <v>50</v>
      </c>
    </row>
    <row r="11" spans="1:11" ht="20.25" thickTop="1" thickBot="1" x14ac:dyDescent="0.35">
      <c r="A11" s="430">
        <f>BID!A534</f>
        <v>480</v>
      </c>
      <c r="B11" s="15" t="str">
        <f>BID!B534</f>
        <v>FEXOFENADINE 120MG</v>
      </c>
      <c r="C11" s="15">
        <f>BID!C534</f>
        <v>10</v>
      </c>
      <c r="D11" s="15">
        <f>IF(K11&gt;0,(K11/100)*BID!D534,1*BID!D534)</f>
        <v>80</v>
      </c>
      <c r="E11" s="60">
        <f>IF(K11&gt;0,PR!AO532,IF(BID!K534="MICRONOVA",BID!L534,0))</f>
        <v>650</v>
      </c>
      <c r="F11" s="61">
        <f t="shared" si="0"/>
        <v>52000</v>
      </c>
      <c r="K11" s="445"/>
    </row>
    <row r="12" spans="1:11" ht="20.25" thickTop="1" thickBot="1" x14ac:dyDescent="0.35">
      <c r="A12" s="430">
        <f>BID!A535</f>
        <v>481</v>
      </c>
      <c r="B12" s="15" t="str">
        <f>BID!B535</f>
        <v>FEXOFENADINE 180MG</v>
      </c>
      <c r="C12" s="15">
        <f>BID!C535</f>
        <v>10</v>
      </c>
      <c r="D12" s="15">
        <f>IF(K12&gt;0,(K12/100)*BID!D535,1*BID!D535)</f>
        <v>300</v>
      </c>
      <c r="E12" s="60">
        <f>IF(K12&gt;0,PR!AO533,IF(BID!K535="MICRONOVA",BID!L535,0))</f>
        <v>895</v>
      </c>
      <c r="F12" s="61">
        <f t="shared" si="0"/>
        <v>268500</v>
      </c>
      <c r="K12" s="445"/>
    </row>
    <row r="13" spans="1:11" ht="20.25" thickTop="1" thickBot="1" x14ac:dyDescent="0.35">
      <c r="A13" s="430">
        <f>BID!A140</f>
        <v>120</v>
      </c>
      <c r="B13" s="15" t="str">
        <f>BID!B140</f>
        <v>GLIMEPIRIDE 2MG TAB</v>
      </c>
      <c r="C13" s="15">
        <f>BID!C140</f>
        <v>30</v>
      </c>
      <c r="D13" s="15">
        <f>IF(K13&gt;0,(K13/100)*BID!D140,1*BID!D140)</f>
        <v>1200</v>
      </c>
      <c r="E13" s="60">
        <f>IF(K13&gt;0,PR!AO138,IF(BID!K140="MICRONOVA",BID!L140,0))</f>
        <v>750</v>
      </c>
      <c r="F13" s="61">
        <f t="shared" si="0"/>
        <v>900000</v>
      </c>
      <c r="K13" s="445"/>
    </row>
    <row r="14" spans="1:11" ht="20.25" thickTop="1" thickBot="1" x14ac:dyDescent="0.35">
      <c r="A14" s="430">
        <f>BID!A572</f>
        <v>515</v>
      </c>
      <c r="B14" s="15" t="str">
        <f>BID!B572</f>
        <v>KETOROLAC TROMETHAMINE GTT</v>
      </c>
      <c r="C14" s="15" t="str">
        <f>BID!C572</f>
        <v>BOTT</v>
      </c>
      <c r="D14" s="15">
        <f>IF(K14&gt;0,(K14/100)*BID!D572,1*BID!D572)</f>
        <v>20</v>
      </c>
      <c r="E14" s="60">
        <f>IF(K14&gt;0,PR!AO570,IF(BID!K572="MICRONOVA",BID!L572,0))</f>
        <v>650</v>
      </c>
      <c r="F14" s="61">
        <f t="shared" si="0"/>
        <v>13000</v>
      </c>
      <c r="K14" s="445"/>
    </row>
    <row r="15" spans="1:11" ht="20.25" thickTop="1" thickBot="1" x14ac:dyDescent="0.35">
      <c r="A15" s="430">
        <f>BID!A193</f>
        <v>170</v>
      </c>
      <c r="B15" s="15" t="str">
        <f>BID!B193</f>
        <v>METHYLCOBALAMINE/MULTIVITAMINS/MULTIMINERALS/ANTIOXIDANTS</v>
      </c>
      <c r="C15" s="15">
        <f>BID!C193</f>
        <v>30</v>
      </c>
      <c r="D15" s="15">
        <f>IF(K15&gt;0,(K15/100)*BID!D193,1*BID!D193)</f>
        <v>1500</v>
      </c>
      <c r="E15" s="60">
        <f>IF(K15&gt;0,PR!AO191,IF(BID!K193="MICRONOVA",BID!L193,0))</f>
        <v>1795</v>
      </c>
      <c r="F15" s="61">
        <f t="shared" si="0"/>
        <v>2692500</v>
      </c>
      <c r="K15" s="445"/>
    </row>
    <row r="16" spans="1:11" ht="20.25" thickTop="1" thickBot="1" x14ac:dyDescent="0.35">
      <c r="A16" s="430">
        <f>BID!A101</f>
        <v>83</v>
      </c>
      <c r="B16" s="15" t="str">
        <f>BID!B101</f>
        <v>METOPROLOL SUCCINATE 25MG TAB</v>
      </c>
      <c r="C16" s="15">
        <f>BID!C101</f>
        <v>30</v>
      </c>
      <c r="D16" s="15">
        <f>IF(K16&gt;0,(K16/100)*BID!D101,1*BID!D101)</f>
        <v>80</v>
      </c>
      <c r="E16" s="60">
        <f>IF(K16&gt;0,PR!AO99,IF(BID!K101="MICRONOVA",BID!L101,0))</f>
        <v>671</v>
      </c>
      <c r="F16" s="61">
        <f t="shared" si="0"/>
        <v>53680</v>
      </c>
      <c r="K16" s="445"/>
    </row>
    <row r="17" spans="1:11" ht="20.25" thickTop="1" thickBot="1" x14ac:dyDescent="0.35">
      <c r="A17" s="430">
        <f>BID!A102</f>
        <v>84</v>
      </c>
      <c r="B17" s="15" t="str">
        <f>BID!B102</f>
        <v>METOPROLOL SUCCINATE 50MG TAB</v>
      </c>
      <c r="C17" s="15">
        <f>BID!C102</f>
        <v>30</v>
      </c>
      <c r="D17" s="15">
        <f>IF(K17&gt;0,(K17/100)*BID!D102,1*BID!D102)</f>
        <v>80</v>
      </c>
      <c r="E17" s="60">
        <f>IF(K17&gt;0,PR!AO100,IF(BID!K102="MICRONOVA",BID!L102,0))</f>
        <v>849</v>
      </c>
      <c r="F17" s="61">
        <f t="shared" si="0"/>
        <v>67920</v>
      </c>
      <c r="K17" s="445"/>
    </row>
    <row r="18" spans="1:11" ht="20.25" thickTop="1" thickBot="1" x14ac:dyDescent="0.35">
      <c r="A18" s="430">
        <f>BID!A542</f>
        <v>488</v>
      </c>
      <c r="B18" s="15" t="str">
        <f>BID!B542</f>
        <v>MONTELUKAST 10MG/LEVOCETIRIZIN 5MG</v>
      </c>
      <c r="C18" s="15">
        <f>BID!C542</f>
        <v>30</v>
      </c>
      <c r="D18" s="15">
        <f>IF(K18&gt;0,(K18/100)*BID!D542,1*BID!D542)</f>
        <v>40</v>
      </c>
      <c r="E18" s="60">
        <f>IF(K18&gt;0,PR!AO540,IF(BID!K542="MICRONOVA",BID!L542,0))</f>
        <v>975</v>
      </c>
      <c r="F18" s="61">
        <f t="shared" si="0"/>
        <v>39000</v>
      </c>
      <c r="K18" s="445"/>
    </row>
    <row r="19" spans="1:11" ht="20.25" thickTop="1" thickBot="1" x14ac:dyDescent="0.35">
      <c r="A19" s="430">
        <f>BID!A295</f>
        <v>269</v>
      </c>
      <c r="B19" s="15" t="str">
        <f>BID!B295</f>
        <v>MOXIFLOXACIN 400MG TAB</v>
      </c>
      <c r="C19" s="15">
        <f>BID!C295</f>
        <v>10</v>
      </c>
      <c r="D19" s="15">
        <f>IF(K19&gt;0,(K19/100)*BID!D295,1*BID!D295)</f>
        <v>30</v>
      </c>
      <c r="E19" s="60">
        <f>IF(K19&gt;0,PR!AO293,IF(BID!K295="MICRONOVA",BID!L295,0))</f>
        <v>1550</v>
      </c>
      <c r="F19" s="61">
        <f t="shared" si="0"/>
        <v>46500</v>
      </c>
      <c r="K19" s="445"/>
    </row>
    <row r="20" spans="1:11" ht="20.25" thickTop="1" thickBot="1" x14ac:dyDescent="0.35">
      <c r="A20" s="430">
        <f>BID!A575</f>
        <v>518</v>
      </c>
      <c r="B20" s="15" t="str">
        <f>BID!B575</f>
        <v>MOXIFLOXACIN GT</v>
      </c>
      <c r="C20" s="15" t="str">
        <f>BID!C575</f>
        <v>BOTT</v>
      </c>
      <c r="D20" s="15">
        <f>IF(K20&gt;0,(K20/100)*BID!D575,1*BID!D575)</f>
        <v>20</v>
      </c>
      <c r="E20" s="60">
        <f>IF(K20&gt;0,PR!AO573,IF(BID!K575="MICRONOVA",BID!L575,0))</f>
        <v>550</v>
      </c>
      <c r="F20" s="61">
        <f t="shared" si="0"/>
        <v>11000</v>
      </c>
      <c r="K20" s="445"/>
    </row>
    <row r="21" spans="1:11" ht="20.25" thickTop="1" thickBot="1" x14ac:dyDescent="0.35">
      <c r="A21" s="430">
        <f>BID!A103</f>
        <v>85</v>
      </c>
      <c r="B21" s="15" t="str">
        <f>BID!B103</f>
        <v>NEBIVOLOL 5MG</v>
      </c>
      <c r="C21" s="15">
        <f>BID!C103</f>
        <v>30</v>
      </c>
      <c r="D21" s="15">
        <f>IF(K21&gt;0,(K21/100)*BID!D103,1*BID!D103)</f>
        <v>10</v>
      </c>
      <c r="E21" s="60">
        <f>IF(K21&gt;0,PR!AO101,IF(BID!K103="MICRONOVA",BID!L103,0))</f>
        <v>1895</v>
      </c>
      <c r="F21" s="61">
        <f t="shared" si="0"/>
        <v>18950</v>
      </c>
      <c r="K21" s="445"/>
    </row>
    <row r="22" spans="1:11" ht="20.25" thickTop="1" thickBot="1" x14ac:dyDescent="0.35">
      <c r="A22" s="430">
        <f>BID!A104</f>
        <v>86</v>
      </c>
      <c r="B22" s="15" t="str">
        <f>BID!B104</f>
        <v>NEBIVOLOL 5MG/HYDROCHLOROTHIAZIDE 12.5MG</v>
      </c>
      <c r="C22" s="15">
        <f>BID!C104</f>
        <v>30</v>
      </c>
      <c r="D22" s="15">
        <f>IF(K22&gt;0,(K22/100)*BID!D104,1*BID!D104)</f>
        <v>10</v>
      </c>
      <c r="E22" s="60">
        <f>IF(K22&gt;0,PR!AO102,IF(BID!K104="MICRONOVA",BID!L104,0))</f>
        <v>1990</v>
      </c>
      <c r="F22" s="61">
        <f t="shared" si="0"/>
        <v>19900</v>
      </c>
      <c r="K22" s="445"/>
    </row>
    <row r="23" spans="1:11" ht="20.25" thickTop="1" thickBot="1" x14ac:dyDescent="0.35">
      <c r="A23" s="430">
        <f>BID!A578</f>
        <v>521</v>
      </c>
      <c r="B23" s="15" t="str">
        <f>BID!B578</f>
        <v>OFLOXACIN+DEXAMETHASONE</v>
      </c>
      <c r="C23" s="15" t="str">
        <f>BID!C578</f>
        <v>BOTT</v>
      </c>
      <c r="D23" s="15">
        <f>IF(K23&gt;0,(K23/100)*BID!D578,1*BID!D578)</f>
        <v>20</v>
      </c>
      <c r="E23" s="60">
        <f>IF(K23&gt;0,PR!AO576,IF(BID!K578="MICRONOVA",BID!L578,0))</f>
        <v>450</v>
      </c>
      <c r="F23" s="61">
        <f t="shared" si="0"/>
        <v>9000</v>
      </c>
      <c r="K23" s="445"/>
    </row>
    <row r="24" spans="1:11" ht="20.25" thickTop="1" thickBot="1" x14ac:dyDescent="0.35">
      <c r="A24" s="430">
        <f>BID!A489</f>
        <v>441</v>
      </c>
      <c r="B24" s="15" t="str">
        <f>BID!B489</f>
        <v>OMEPRAZOLE 20MG/DOMPERIDONE 10MG</v>
      </c>
      <c r="C24" s="15">
        <f>BID!C489</f>
        <v>10</v>
      </c>
      <c r="D24" s="15">
        <f>IF(K24&gt;0,(K24/100)*BID!D489,1*BID!D489)</f>
        <v>100</v>
      </c>
      <c r="E24" s="60">
        <f>IF(K24&gt;0,PR!AO487,IF(BID!K489="MICRONOVA",BID!L489,0))</f>
        <v>900</v>
      </c>
      <c r="F24" s="61">
        <f t="shared" si="0"/>
        <v>90000</v>
      </c>
      <c r="K24" s="445"/>
    </row>
    <row r="25" spans="1:11" ht="20.25" thickTop="1" thickBot="1" x14ac:dyDescent="0.35">
      <c r="A25" s="430">
        <f>BID!A156</f>
        <v>136</v>
      </c>
      <c r="B25" s="15" t="str">
        <f>BID!B156</f>
        <v>PIOGLITAZONE 30MG</v>
      </c>
      <c r="C25" s="15">
        <f>BID!C156</f>
        <v>30</v>
      </c>
      <c r="D25" s="15">
        <f>IF(K25&gt;0,(K25/100)*BID!D156,1*BID!D156)</f>
        <v>10</v>
      </c>
      <c r="E25" s="60">
        <f>IF(K25&gt;0,PR!AO154,IF(BID!K156="MICRONOVA",BID!L156,0))</f>
        <v>2095</v>
      </c>
      <c r="F25" s="61">
        <f t="shared" si="0"/>
        <v>20950</v>
      </c>
      <c r="K25" s="445"/>
    </row>
    <row r="26" spans="1:11" ht="20.25" thickTop="1" thickBot="1" x14ac:dyDescent="0.35">
      <c r="A26" s="430">
        <f>BID!A359</f>
        <v>327</v>
      </c>
      <c r="B26" s="15" t="str">
        <f>BID!B359</f>
        <v>SILYMARIN 140MG TAB</v>
      </c>
      <c r="C26" s="15">
        <f>BID!C359</f>
        <v>30</v>
      </c>
      <c r="D26" s="15">
        <f>IF(K26&gt;0,(K26/100)*BID!D359,1*BID!D359)</f>
        <v>100</v>
      </c>
      <c r="E26" s="60">
        <f>IF(K26&gt;0,PR!AO357,IF(BID!K359="MICRONOVA",BID!L359,0))</f>
        <v>1908</v>
      </c>
      <c r="F26" s="61">
        <f t="shared" si="0"/>
        <v>190800</v>
      </c>
      <c r="K26" s="445"/>
    </row>
    <row r="27" spans="1:11" ht="20.25" thickTop="1" thickBot="1" x14ac:dyDescent="0.35">
      <c r="A27" s="430">
        <f>BID!A360</f>
        <v>328</v>
      </c>
      <c r="B27" s="15" t="str">
        <f>BID!B360</f>
        <v>SILYMARIN 70MG TAB</v>
      </c>
      <c r="C27" s="15">
        <f>BID!C360</f>
        <v>30</v>
      </c>
      <c r="D27" s="15">
        <f>IF(K27&gt;0,(K27/100)*BID!D360,1*BID!D360)</f>
        <v>50</v>
      </c>
      <c r="E27" s="60">
        <f>IF(K27&gt;0,PR!AO358,IF(BID!K360="MICRONOVA",BID!L360,0))</f>
        <v>1265</v>
      </c>
      <c r="F27" s="61">
        <f t="shared" si="0"/>
        <v>63250</v>
      </c>
      <c r="K27" s="445"/>
    </row>
    <row r="28" spans="1:11" ht="20.25" thickTop="1" thickBot="1" x14ac:dyDescent="0.35">
      <c r="A28" s="430">
        <f>BID!A587</f>
        <v>530</v>
      </c>
      <c r="B28" s="15" t="str">
        <f>BID!B587</f>
        <v>TIMOLOL/DORZOLAMIDE GTT</v>
      </c>
      <c r="C28" s="15" t="str">
        <f>BID!C587</f>
        <v>BOTT</v>
      </c>
      <c r="D28" s="15">
        <f>IF(K28&gt;0,(K28/100)*BID!D587,1*BID!D587)</f>
        <v>800</v>
      </c>
      <c r="E28" s="60">
        <f>IF(K28&gt;0,PR!AO585,IF(BID!K587="MICRONOVA",BID!L587,0))</f>
        <v>2200</v>
      </c>
      <c r="F28" s="61">
        <f t="shared" si="0"/>
        <v>1760000</v>
      </c>
      <c r="K28" s="445"/>
    </row>
    <row r="29" spans="1:11" ht="20.25" thickTop="1" thickBot="1" x14ac:dyDescent="0.35">
      <c r="A29" s="430">
        <f>BID!A129</f>
        <v>111</v>
      </c>
      <c r="B29" s="15" t="str">
        <f>BID!B129</f>
        <v>TORSEMIDE 100MG TAB</v>
      </c>
      <c r="C29" s="15">
        <f>BID!C129</f>
        <v>30</v>
      </c>
      <c r="D29" s="15">
        <f>IF(K29&gt;0,(K29/100)*BID!D129,1*BID!D129)</f>
        <v>20</v>
      </c>
      <c r="E29" s="60">
        <f>IF(K29&gt;0,PR!AO127,IF(BID!K129="MICRONOVA",BID!L129,0))</f>
        <v>1541</v>
      </c>
      <c r="F29" s="61">
        <f t="shared" si="0"/>
        <v>30820</v>
      </c>
      <c r="K29" s="445"/>
    </row>
    <row r="30" spans="1:11" ht="20.25" thickTop="1" thickBot="1" x14ac:dyDescent="0.35">
      <c r="A30" s="430">
        <f>BID!A130</f>
        <v>112</v>
      </c>
      <c r="B30" s="15" t="str">
        <f>BID!B130</f>
        <v>TORSEMIDE 10MG TAB</v>
      </c>
      <c r="C30" s="15">
        <f>BID!C130</f>
        <v>30</v>
      </c>
      <c r="D30" s="15">
        <f>IF(K30&gt;0,(K30/100)*BID!D130,1*BID!D130)</f>
        <v>500</v>
      </c>
      <c r="E30" s="60">
        <f>IF(K30&gt;0,PR!AO128,IF(BID!K130="MICRONOVA",BID!L130,0))</f>
        <v>899</v>
      </c>
      <c r="F30" s="61">
        <f t="shared" si="0"/>
        <v>449500</v>
      </c>
      <c r="K30" s="445"/>
    </row>
    <row r="31" spans="1:11" ht="20.25" thickTop="1" thickBot="1" x14ac:dyDescent="0.35">
      <c r="A31" s="430">
        <f>BID!A131</f>
        <v>113</v>
      </c>
      <c r="B31" s="15" t="str">
        <f>BID!B131</f>
        <v>TORSEMIDE 20MG TAB</v>
      </c>
      <c r="C31" s="15">
        <f>BID!C131</f>
        <v>30</v>
      </c>
      <c r="D31" s="15">
        <f>IF(K31&gt;0,(K31/100)*BID!D131,1*BID!D131)</f>
        <v>400</v>
      </c>
      <c r="E31" s="60">
        <f>IF(K31&gt;0,PR!AO129,IF(BID!K131="MICRONOVA",BID!L131,0))</f>
        <v>1290</v>
      </c>
      <c r="F31" s="61">
        <f t="shared" si="0"/>
        <v>516000</v>
      </c>
      <c r="K31" s="445"/>
    </row>
    <row r="32" spans="1:11" ht="20.25" thickTop="1" thickBot="1" x14ac:dyDescent="0.35">
      <c r="A32" s="430">
        <f>BID!A132</f>
        <v>114</v>
      </c>
      <c r="B32" s="15" t="str">
        <f>BID!B132</f>
        <v>TORSEMIDE INJ</v>
      </c>
      <c r="C32" s="15">
        <f>BID!C132</f>
        <v>5</v>
      </c>
      <c r="D32" s="15">
        <f>IF(K32&gt;0,(K32/100)*BID!D132,1*BID!D132)</f>
        <v>500</v>
      </c>
      <c r="E32" s="60">
        <f>IF(K32&gt;0,PR!AO130,IF(BID!K132="MICRONOVA",BID!L132,0))</f>
        <v>595</v>
      </c>
      <c r="F32" s="61">
        <f t="shared" si="0"/>
        <v>297500</v>
      </c>
      <c r="K32" s="445"/>
    </row>
    <row r="33" spans="1:11" ht="20.25" thickTop="1" thickBot="1" x14ac:dyDescent="0.35">
      <c r="A33" s="430">
        <f>BID!A595</f>
        <v>538</v>
      </c>
      <c r="B33" s="15" t="str">
        <f>BID!B595</f>
        <v>ZINC/CHLORPHENIRAMINE/NAPHAZOLINE</v>
      </c>
      <c r="C33" s="15" t="str">
        <f>BID!C595</f>
        <v>BOTT</v>
      </c>
      <c r="D33" s="15">
        <f>IF(K33&gt;0,(K33/100)*BID!D595,1*BID!D595)</f>
        <v>1000</v>
      </c>
      <c r="E33" s="60">
        <f>IF(K33&gt;0,PR!AO593,IF(BID!K595="MICRONOVA",BID!L595,0))</f>
        <v>600</v>
      </c>
      <c r="F33" s="61">
        <f t="shared" si="0"/>
        <v>600000</v>
      </c>
      <c r="K33" s="445"/>
    </row>
    <row r="34" spans="1:11" ht="19.5" thickTop="1" x14ac:dyDescent="0.3">
      <c r="A34" s="430"/>
      <c r="B34" s="15"/>
      <c r="C34" s="15"/>
      <c r="D34" s="15"/>
      <c r="E34" s="60"/>
      <c r="F34" s="61"/>
    </row>
    <row r="35" spans="1:11" ht="19.5" thickBot="1" x14ac:dyDescent="0.35">
      <c r="A35" s="430"/>
      <c r="B35" s="15"/>
      <c r="C35" s="15"/>
      <c r="D35" s="15"/>
      <c r="E35" s="60"/>
      <c r="F35" s="442"/>
    </row>
    <row r="36" spans="1:11" ht="21.75" thickBot="1" x14ac:dyDescent="0.4">
      <c r="A36" s="430"/>
      <c r="B36" s="15"/>
      <c r="C36" s="15"/>
      <c r="D36" s="15"/>
      <c r="E36" s="441"/>
      <c r="F36" s="443">
        <f>SUM(F6:F33)</f>
        <v>9060540</v>
      </c>
    </row>
  </sheetData>
  <protectedRanges>
    <protectedRange sqref="K6:K33" name="Range1"/>
    <protectedRange sqref="K4:K5" name="Range1_1"/>
  </protectedRanges>
  <sortState ref="A6:K33">
    <sortCondition ref="B6:B33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24231-29AA-4E9C-89C0-1E91550A91A1}">
  <sheetPr>
    <tabColor rgb="FF002060"/>
  </sheetPr>
  <dimension ref="A1:K13"/>
  <sheetViews>
    <sheetView view="pageBreakPreview" zoomScale="85" zoomScaleNormal="100" zoomScaleSheetLayoutView="85" workbookViewId="0">
      <selection activeCell="B17" sqref="B17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N!B41</f>
        <v>MIRAFLASH NIGERIA LIMITED</v>
      </c>
      <c r="C1" s="816"/>
      <c r="D1" s="816"/>
      <c r="E1" s="816"/>
      <c r="F1" s="816"/>
      <c r="K1" t="s">
        <v>862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BID!A57</f>
        <v>39</v>
      </c>
      <c r="B6" s="15" t="str">
        <f>BID!B57</f>
        <v>AMLODIPINE 5MG TAB</v>
      </c>
      <c r="C6" s="15">
        <f>BID!C57</f>
        <v>28</v>
      </c>
      <c r="D6" s="15">
        <f>IF(K6&gt;0,(K6/100)*BID!D57,1*BID!D57)</f>
        <v>2500</v>
      </c>
      <c r="E6" s="60">
        <f>IF(K6&gt;0,PR!AP55,IF(BID!K57="MFLASH",BID!L57,0))</f>
        <v>190</v>
      </c>
      <c r="F6" s="61">
        <f t="shared" ref="F6" si="0">IF(E6&gt;0,(E6*D6),0)</f>
        <v>475000</v>
      </c>
      <c r="K6" s="445">
        <v>25</v>
      </c>
    </row>
    <row r="7" spans="1:11" ht="20.25" thickTop="1" thickBot="1" x14ac:dyDescent="0.35">
      <c r="A7" s="430">
        <f>BID!A223</f>
        <v>197</v>
      </c>
      <c r="B7" s="15" t="str">
        <f>BID!B223</f>
        <v>AMOXICILLIN 125MG/5ML SUSPENSION</v>
      </c>
      <c r="C7" s="15" t="str">
        <f>BID!C223</f>
        <v>BOTT</v>
      </c>
      <c r="D7" s="15">
        <f>IF(K7&gt;0,(K7/100)*BID!D223,1*BID!D223)</f>
        <v>1600</v>
      </c>
      <c r="E7" s="60">
        <f>IF(K7&gt;0,PR!AP221,IF(BID!K223="MFLASH",BID!L223,0))</f>
        <v>185</v>
      </c>
      <c r="F7" s="61">
        <f t="shared" ref="F7:F10" si="1">IF(E7&gt;0,(E7*D7),0)</f>
        <v>296000</v>
      </c>
      <c r="K7" s="445"/>
    </row>
    <row r="8" spans="1:11" ht="20.25" thickTop="1" thickBot="1" x14ac:dyDescent="0.35">
      <c r="A8" s="430">
        <f>BID!A251</f>
        <v>225</v>
      </c>
      <c r="B8" s="15" t="str">
        <f>BID!B251</f>
        <v>CEFPODOXIME 200MG TAB</v>
      </c>
      <c r="C8" s="15">
        <f>BID!C251</f>
        <v>10</v>
      </c>
      <c r="D8" s="15">
        <f>IF(K8&gt;0,(K8/100)*BID!D251,1*BID!D251)</f>
        <v>50</v>
      </c>
      <c r="E8" s="60">
        <f>IF(K8&gt;0,PR!AP249,IF(BID!K251="MFLASH",BID!L251,0))</f>
        <v>1600</v>
      </c>
      <c r="F8" s="61">
        <f t="shared" si="1"/>
        <v>80000</v>
      </c>
      <c r="K8" s="445">
        <v>50</v>
      </c>
    </row>
    <row r="9" spans="1:11" ht="20.25" thickTop="1" thickBot="1" x14ac:dyDescent="0.35">
      <c r="A9" s="430">
        <f>BID!A256</f>
        <v>230</v>
      </c>
      <c r="B9" s="15" t="str">
        <f>BID!B256</f>
        <v>CEFUROXIME 250MG TAB</v>
      </c>
      <c r="C9" s="15">
        <f>BID!C256</f>
        <v>10</v>
      </c>
      <c r="D9" s="15">
        <f>IF(K9&gt;0,(K9/100)*BID!D256,1*BID!D256)</f>
        <v>1000</v>
      </c>
      <c r="E9" s="60">
        <f>IF(K9&gt;0,PR!AP254,IF(BID!K256="MFLASH",BID!L256,0))</f>
        <v>600</v>
      </c>
      <c r="F9" s="61">
        <f t="shared" si="1"/>
        <v>600000</v>
      </c>
      <c r="K9" s="445"/>
    </row>
    <row r="10" spans="1:11" ht="20.25" thickTop="1" thickBot="1" x14ac:dyDescent="0.35">
      <c r="A10" s="430">
        <f>BID!A261</f>
        <v>235</v>
      </c>
      <c r="B10" s="15" t="str">
        <f>BID!B261</f>
        <v>CEPHALEXIN SUSP 125MG/5ML</v>
      </c>
      <c r="C10" s="15" t="str">
        <f>BID!C261</f>
        <v>BOTT</v>
      </c>
      <c r="D10" s="15">
        <f>IF(K10&gt;0,(K10/100)*BID!D261,1*BID!D261)</f>
        <v>200</v>
      </c>
      <c r="E10" s="60">
        <f>IF(K10&gt;0,PR!AP259,IF(BID!K261="MFLASH",BID!L261,0))</f>
        <v>350</v>
      </c>
      <c r="F10" s="61">
        <f t="shared" si="1"/>
        <v>70000</v>
      </c>
      <c r="K10" s="445"/>
    </row>
    <row r="11" spans="1:11" ht="19.5" thickTop="1" x14ac:dyDescent="0.3">
      <c r="A11" s="430"/>
      <c r="B11" s="15"/>
      <c r="C11" s="15"/>
      <c r="D11" s="15"/>
      <c r="E11" s="60"/>
      <c r="F11" s="61"/>
    </row>
    <row r="12" spans="1:11" ht="19.5" thickBot="1" x14ac:dyDescent="0.35">
      <c r="A12" s="430"/>
      <c r="B12" s="15"/>
      <c r="C12" s="15"/>
      <c r="D12" s="15"/>
      <c r="E12" s="60"/>
      <c r="F12" s="442"/>
    </row>
    <row r="13" spans="1:11" ht="21.75" thickBot="1" x14ac:dyDescent="0.4">
      <c r="A13" s="430"/>
      <c r="B13" s="15"/>
      <c r="C13" s="15"/>
      <c r="D13" s="15"/>
      <c r="E13" s="441"/>
      <c r="F13" s="443">
        <f>SUM(F6:F10)</f>
        <v>1521000</v>
      </c>
    </row>
  </sheetData>
  <protectedRanges>
    <protectedRange sqref="K6:K10" name="Range1"/>
    <protectedRange sqref="K4:K5" name="Range1_1"/>
  </protectedRanges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6D26-1742-4843-A549-B94BA9EC16BF}">
  <sheetPr>
    <tabColor rgb="FF7030A0"/>
  </sheetPr>
  <dimension ref="A1:K12"/>
  <sheetViews>
    <sheetView view="pageBreakPreview" zoomScale="85" zoomScaleNormal="100" zoomScaleSheetLayoutView="85" workbookViewId="0">
      <selection activeCell="B8" sqref="B8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N!B42</f>
        <v>MORISON INDUSTRIES PLC</v>
      </c>
      <c r="C1" s="816"/>
      <c r="D1" s="816"/>
      <c r="E1" s="816"/>
      <c r="F1" s="816"/>
      <c r="K1" t="s">
        <v>831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BID!A741</f>
        <v>671</v>
      </c>
      <c r="B6" s="15" t="str">
        <f>BID!B741</f>
        <v>CHLORHEXIDINE GLUCONATE 5% (HIBITANE)</v>
      </c>
      <c r="C6" s="15" t="str">
        <f>BID!C741</f>
        <v>4L</v>
      </c>
      <c r="D6" s="15">
        <f>IF(K6&gt;0,(K6/100)*BID!D741,1*BID!D741)</f>
        <v>30</v>
      </c>
      <c r="E6" s="60">
        <f>IF(K6&gt;0,PR!AQ739,IF(BID!K741="MORISON",BID!L741,0))</f>
        <v>7400</v>
      </c>
      <c r="F6" s="61">
        <f>IF(E6&gt;0,(E6*D6),0)</f>
        <v>222000</v>
      </c>
      <c r="K6" s="445"/>
    </row>
    <row r="7" spans="1:11" ht="20.25" thickTop="1" thickBot="1" x14ac:dyDescent="0.35">
      <c r="A7" s="430">
        <f>BID!A744</f>
        <v>674</v>
      </c>
      <c r="B7" s="15" t="str">
        <f>BID!B744</f>
        <v>GLUTARALDEHYDE (4 LITRES)</v>
      </c>
      <c r="C7" s="15" t="str">
        <f>BID!C744</f>
        <v>KEG</v>
      </c>
      <c r="D7" s="15">
        <f>IF(K7&gt;0,(K7/100)*BID!D744,1*BID!D744)</f>
        <v>10</v>
      </c>
      <c r="E7" s="60">
        <f>IF(K7&gt;0,PR!AQ742,IF(BID!K744="MORISON",BID!L744,0))</f>
        <v>3450</v>
      </c>
      <c r="F7" s="61">
        <f>IF(E7&gt;0,(E7*D7),0)</f>
        <v>34500</v>
      </c>
      <c r="K7" s="445"/>
    </row>
    <row r="8" spans="1:11" ht="20.25" thickTop="1" thickBot="1" x14ac:dyDescent="0.35">
      <c r="A8" s="430">
        <f>BID!A750</f>
        <v>680</v>
      </c>
      <c r="B8" s="15" t="str">
        <f>BID!B750</f>
        <v>MORIGAD DISINFECTANT (4 LITRES)</v>
      </c>
      <c r="C8" s="15" t="str">
        <f>BID!C750</f>
        <v>KEG</v>
      </c>
      <c r="D8" s="15">
        <f>IF(K8&gt;0,(K8/100)*BID!D750,1*BID!D750)</f>
        <v>12</v>
      </c>
      <c r="E8" s="60">
        <f>IF(K8&gt;0,PR!AQ748,IF(BID!K750="MORISON",BID!L750,0))</f>
        <v>5175</v>
      </c>
      <c r="F8" s="61">
        <f>IF(E8&gt;0,(E8*D8),0)</f>
        <v>62100</v>
      </c>
      <c r="K8" s="445"/>
    </row>
    <row r="9" spans="1:11" ht="20.25" thickTop="1" thickBot="1" x14ac:dyDescent="0.35">
      <c r="A9" s="430">
        <f>BID!A747</f>
        <v>677</v>
      </c>
      <c r="B9" s="15" t="str">
        <f>BID!B747</f>
        <v>MORIGAD GERMICIDE (4 LITRE)</v>
      </c>
      <c r="C9" s="15" t="str">
        <f>BID!C747</f>
        <v>KEG</v>
      </c>
      <c r="D9" s="15">
        <f>IF(K9&gt;0,(K9/100)*BID!D747,1*BID!D747)</f>
        <v>5</v>
      </c>
      <c r="E9" s="60">
        <f>IF(K9&gt;0,PR!AQ745,IF(BID!K747="MORISON",BID!L747,0))</f>
        <v>5550</v>
      </c>
      <c r="F9" s="61">
        <f>IF(E9&gt;0,(E9*D9),0)</f>
        <v>27750</v>
      </c>
      <c r="K9" s="445"/>
    </row>
    <row r="10" spans="1:11" ht="19.5" thickTop="1" x14ac:dyDescent="0.3">
      <c r="A10" s="430"/>
      <c r="B10" s="15"/>
      <c r="C10" s="15"/>
      <c r="D10" s="15"/>
      <c r="E10" s="60"/>
      <c r="F10" s="61"/>
    </row>
    <row r="11" spans="1:11" ht="19.5" thickBot="1" x14ac:dyDescent="0.35">
      <c r="A11" s="430"/>
      <c r="B11" s="15"/>
      <c r="C11" s="15"/>
      <c r="D11" s="15"/>
      <c r="E11" s="60"/>
      <c r="F11" s="442"/>
    </row>
    <row r="12" spans="1:11" ht="21.75" thickBot="1" x14ac:dyDescent="0.4">
      <c r="A12" s="430"/>
      <c r="B12" s="15"/>
      <c r="C12" s="15"/>
      <c r="D12" s="15"/>
      <c r="E12" s="441"/>
      <c r="F12" s="443">
        <f>SUM(F6:F9)</f>
        <v>346350</v>
      </c>
    </row>
  </sheetData>
  <sheetProtection algorithmName="SHA-512" hashValue="A2tKOptH8jYh6gp+gtGQlTkpZzzSPzdyNbEOgbFteg2LTLatf7LWuqTl+pWzadWDNQVBMUp+Vhe+ziBUATIA/Q==" saltValue="61iZ1j/YIwPdrd/I6eCIJw==" spinCount="100000" sheet="1" objects="1" scenarios="1"/>
  <protectedRanges>
    <protectedRange sqref="K6:K9" name="Range1"/>
    <protectedRange sqref="K4:K5" name="Range1_1"/>
  </protectedRanges>
  <sortState ref="A6:K9">
    <sortCondition ref="B6:B9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3C457-FF1C-4704-913D-C3B957E99E0D}">
  <sheetPr>
    <tabColor rgb="FFFFC000"/>
  </sheetPr>
  <dimension ref="A1:K19"/>
  <sheetViews>
    <sheetView view="pageBreakPreview" zoomScale="85" zoomScaleNormal="100" zoomScaleSheetLayoutView="85" workbookViewId="0">
      <selection activeCell="B15" sqref="B15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N!B45</f>
        <v>NHC PHARMACEUTICALS LIMITED</v>
      </c>
      <c r="C1" s="816"/>
      <c r="D1" s="816"/>
      <c r="E1" s="816"/>
      <c r="F1" s="816"/>
      <c r="K1" t="s">
        <v>1246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BID!A240</f>
        <v>214</v>
      </c>
      <c r="B6" s="15" t="str">
        <f>BID!B240</f>
        <v>AMPICILLIN+SULBACTAM INJ</v>
      </c>
      <c r="C6" s="15" t="str">
        <f>BID!C240</f>
        <v>VIAL</v>
      </c>
      <c r="D6" s="15">
        <f>IF(K6&gt;0,(K6/100)*BID!D240,1*BID!D240)</f>
        <v>600</v>
      </c>
      <c r="E6" s="60">
        <f>IF(K6&gt;0,PR!AT238,IF(BID!K240="NHC",BID!L240,0))</f>
        <v>829</v>
      </c>
      <c r="F6" s="61">
        <f t="shared" ref="F6:F16" si="0">IF(E6&gt;0,(E6*D6),0)</f>
        <v>497400</v>
      </c>
      <c r="K6" s="445"/>
    </row>
    <row r="7" spans="1:11" ht="20.25" thickTop="1" thickBot="1" x14ac:dyDescent="0.35">
      <c r="A7" s="430">
        <f>BID!A169</f>
        <v>146</v>
      </c>
      <c r="B7" s="15" t="str">
        <f>BID!B169</f>
        <v>CELECOXIB 200MG CAP</v>
      </c>
      <c r="C7" s="15">
        <f>BID!C169</f>
        <v>100</v>
      </c>
      <c r="D7" s="15">
        <f>IF(K7&gt;0,(K7/100)*BID!D169,1*BID!D169)</f>
        <v>500</v>
      </c>
      <c r="E7" s="60">
        <f>IF(K7&gt;0,PR!AT167,IF(BID!K169="NHC",BID!L169,0))</f>
        <v>15517</v>
      </c>
      <c r="F7" s="61">
        <f t="shared" si="0"/>
        <v>7758500</v>
      </c>
      <c r="K7" s="445"/>
    </row>
    <row r="8" spans="1:11" ht="20.25" thickTop="1" thickBot="1" x14ac:dyDescent="0.35">
      <c r="A8" s="430">
        <f>BID!A265</f>
        <v>239</v>
      </c>
      <c r="B8" s="15" t="str">
        <f>BID!B265</f>
        <v>CLINDAMYCIN 300MG CAP</v>
      </c>
      <c r="C8" s="15">
        <f>BID!C265</f>
        <v>16</v>
      </c>
      <c r="D8" s="15">
        <f>IF(K8&gt;0,(K8/100)*BID!D265,1*BID!D265)</f>
        <v>300</v>
      </c>
      <c r="E8" s="60">
        <f>IF(K8&gt;0,PR!AT263,IF(BID!K265="NHC",BID!L265,0))</f>
        <v>2579</v>
      </c>
      <c r="F8" s="61">
        <f t="shared" si="0"/>
        <v>773700</v>
      </c>
      <c r="K8" s="445"/>
    </row>
    <row r="9" spans="1:11" ht="20.25" thickTop="1" thickBot="1" x14ac:dyDescent="0.35">
      <c r="A9" s="430">
        <f>BID!A180</f>
        <v>157</v>
      </c>
      <c r="B9" s="15" t="str">
        <f>BID!B180</f>
        <v>DICLOFENAC/MISOPROSTOL TAB</v>
      </c>
      <c r="C9" s="15">
        <f>BID!C180</f>
        <v>100</v>
      </c>
      <c r="D9" s="15">
        <f>IF(K9&gt;0,(K9/100)*BID!D180,1*BID!D180)</f>
        <v>600</v>
      </c>
      <c r="E9" s="60">
        <f>IF(K9&gt;0,PR!AT178,IF(BID!K180="NHC",BID!L180,0))</f>
        <v>5559</v>
      </c>
      <c r="F9" s="61">
        <f t="shared" si="0"/>
        <v>3335400</v>
      </c>
      <c r="K9" s="445"/>
    </row>
    <row r="10" spans="1:11" ht="20.25" thickTop="1" thickBot="1" x14ac:dyDescent="0.35">
      <c r="A10" s="430">
        <f>BID!A345</f>
        <v>313</v>
      </c>
      <c r="B10" s="15" t="str">
        <f>BID!B345</f>
        <v>JOBELYN CAP</v>
      </c>
      <c r="C10" s="15">
        <f>BID!C345</f>
        <v>100</v>
      </c>
      <c r="D10" s="15">
        <f>IF(K10&gt;0,(K10/100)*BID!D345,1*BID!D345)</f>
        <v>20</v>
      </c>
      <c r="E10" s="60">
        <f>IF(K10&gt;0,PR!AT343,IF(BID!K345="NHC",BID!L345,0))</f>
        <v>4450</v>
      </c>
      <c r="F10" s="61">
        <f t="shared" si="0"/>
        <v>89000</v>
      </c>
      <c r="K10" s="445"/>
    </row>
    <row r="11" spans="1:11" ht="20.25" thickTop="1" thickBot="1" x14ac:dyDescent="0.35">
      <c r="A11" s="430">
        <f>BID!A285</f>
        <v>259</v>
      </c>
      <c r="B11" s="15" t="str">
        <f>BID!B285</f>
        <v>KETOCONAZOLE SHAMPOO</v>
      </c>
      <c r="C11" s="15" t="str">
        <f>BID!C285</f>
        <v>TUBE</v>
      </c>
      <c r="D11" s="15">
        <f>IF(K11&gt;0,(K11/100)*BID!D285,1*BID!D285)</f>
        <v>20</v>
      </c>
      <c r="E11" s="60">
        <f>IF(K11&gt;0,PR!AT283,IF(BID!K285="NHC",BID!L285,0))</f>
        <v>1825</v>
      </c>
      <c r="F11" s="61">
        <f t="shared" si="0"/>
        <v>36500</v>
      </c>
      <c r="K11" s="445"/>
    </row>
    <row r="12" spans="1:11" ht="20.25" thickTop="1" thickBot="1" x14ac:dyDescent="0.35">
      <c r="A12" s="430">
        <f>BID!A573</f>
        <v>516</v>
      </c>
      <c r="B12" s="15" t="str">
        <f>BID!B573</f>
        <v>LATANOPROST 0.05%</v>
      </c>
      <c r="C12" s="15" t="str">
        <f>BID!C573</f>
        <v>BOTT</v>
      </c>
      <c r="D12" s="15">
        <f>IF(K12&gt;0,(K12/100)*BID!D573,1*BID!D573)</f>
        <v>400</v>
      </c>
      <c r="E12" s="60">
        <f>IF(K12&gt;0,PR!AT571,IF(BID!K573="NHC",BID!L573,0))</f>
        <v>4069</v>
      </c>
      <c r="F12" s="61">
        <f t="shared" si="0"/>
        <v>1627600</v>
      </c>
      <c r="K12" s="445"/>
    </row>
    <row r="13" spans="1:11" ht="20.25" thickTop="1" thickBot="1" x14ac:dyDescent="0.35">
      <c r="A13" s="430">
        <f>BID!A574</f>
        <v>517</v>
      </c>
      <c r="B13" s="15" t="str">
        <f>BID!B574</f>
        <v>LATANOPROST+TIMOLOL GTT</v>
      </c>
      <c r="C13" s="15" t="str">
        <f>BID!C574</f>
        <v>BOTT</v>
      </c>
      <c r="D13" s="15">
        <f>IF(K13&gt;0,(K13/100)*BID!D574,1*BID!D574)</f>
        <v>300</v>
      </c>
      <c r="E13" s="60">
        <f>IF(K13&gt;0,PR!AT572,IF(BID!K574="NHC",BID!L574,0))</f>
        <v>4282</v>
      </c>
      <c r="F13" s="61">
        <f t="shared" si="0"/>
        <v>1284600</v>
      </c>
      <c r="K13" s="445"/>
    </row>
    <row r="14" spans="1:11" ht="20.25" thickTop="1" thickBot="1" x14ac:dyDescent="0.35">
      <c r="A14" s="430">
        <f>BID!A289</f>
        <v>263</v>
      </c>
      <c r="B14" s="15" t="str">
        <f>BID!B289</f>
        <v>MEROPENEM 1GM INJ</v>
      </c>
      <c r="C14" s="15" t="str">
        <f>BID!C289</f>
        <v>VIAL</v>
      </c>
      <c r="D14" s="15">
        <f>IF(K14&gt;0,(K14/100)*BID!D289,1*BID!D289)</f>
        <v>200</v>
      </c>
      <c r="E14" s="60">
        <f>IF(K14&gt;0,PR!AT287,IF(BID!K289="NHC",BID!L289,0))</f>
        <v>11067</v>
      </c>
      <c r="F14" s="61">
        <f t="shared" si="0"/>
        <v>2213400</v>
      </c>
      <c r="K14" s="445">
        <v>20</v>
      </c>
    </row>
    <row r="15" spans="1:11" ht="20.25" thickTop="1" thickBot="1" x14ac:dyDescent="0.35">
      <c r="A15" s="430">
        <f>BID!A430</f>
        <v>390</v>
      </c>
      <c r="B15" s="15" t="str">
        <f>BID!B430</f>
        <v>MISOPROSTOL200MCG TAB</v>
      </c>
      <c r="C15" s="15">
        <f>BID!C430</f>
        <v>60</v>
      </c>
      <c r="D15" s="15">
        <f>IF(K15&gt;0,(K15/100)*BID!D430,1*BID!D430)</f>
        <v>40</v>
      </c>
      <c r="E15" s="60">
        <f>IF(K15&gt;0,PR!AT428,IF(BID!K430="NHC",BID!L430,0))</f>
        <v>2579</v>
      </c>
      <c r="F15" s="61">
        <f t="shared" si="0"/>
        <v>103160</v>
      </c>
      <c r="K15" s="445">
        <v>20</v>
      </c>
    </row>
    <row r="16" spans="1:11" ht="20.25" thickTop="1" thickBot="1" x14ac:dyDescent="0.35">
      <c r="A16" s="430">
        <f>BID!A216</f>
        <v>193</v>
      </c>
      <c r="B16" s="15" t="str">
        <f>BID!B216</f>
        <v>TRAMADOL 50MG CAP</v>
      </c>
      <c r="C16" s="15">
        <f>BID!C216</f>
        <v>100</v>
      </c>
      <c r="D16" s="15">
        <f>IF(K16&gt;0,(K16/100)*BID!D216,1*BID!D216)</f>
        <v>300</v>
      </c>
      <c r="E16" s="60">
        <f>IF(K16&gt;0,PR!AT214,IF(BID!K216="NHC",BID!L216,0))</f>
        <v>6500</v>
      </c>
      <c r="F16" s="61">
        <f t="shared" si="0"/>
        <v>1950000</v>
      </c>
      <c r="K16" s="445"/>
    </row>
    <row r="17" spans="1:6" ht="19.5" thickTop="1" x14ac:dyDescent="0.3">
      <c r="A17" s="430"/>
      <c r="B17" s="15"/>
      <c r="C17" s="15"/>
      <c r="D17" s="15"/>
      <c r="E17" s="60"/>
      <c r="F17" s="61"/>
    </row>
    <row r="18" spans="1:6" ht="19.5" thickBot="1" x14ac:dyDescent="0.35">
      <c r="A18" s="430"/>
      <c r="B18" s="15"/>
      <c r="C18" s="15"/>
      <c r="D18" s="15"/>
      <c r="E18" s="60"/>
      <c r="F18" s="442"/>
    </row>
    <row r="19" spans="1:6" ht="21.75" thickBot="1" x14ac:dyDescent="0.4">
      <c r="A19" s="430"/>
      <c r="B19" s="15"/>
      <c r="C19" s="15"/>
      <c r="D19" s="15"/>
      <c r="E19" s="441"/>
      <c r="F19" s="443">
        <f>SUM(F6:F16)</f>
        <v>19669260</v>
      </c>
    </row>
  </sheetData>
  <protectedRanges>
    <protectedRange sqref="K6:K16" name="Range1"/>
    <protectedRange sqref="K4:K5" name="Range1_1"/>
  </protectedRanges>
  <sortState ref="A6:K16">
    <sortCondition ref="B6:B16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066E-DC2B-49B5-B413-3419C8339743}">
  <sheetPr>
    <tabColor rgb="FFFFFF00"/>
  </sheetPr>
  <dimension ref="A1:K9"/>
  <sheetViews>
    <sheetView view="pageBreakPreview" zoomScale="85" zoomScaleNormal="100" zoomScaleSheetLayoutView="85" workbookViewId="0">
      <selection activeCell="A4" sqref="A4:XFD5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N!B46</f>
        <v>OAK-LEAF PHARM. NIGERIA LIMITED</v>
      </c>
      <c r="C1" s="816"/>
      <c r="D1" s="816"/>
      <c r="E1" s="816"/>
      <c r="F1" s="816"/>
      <c r="K1" t="s">
        <v>1241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BID!A327</f>
        <v>295</v>
      </c>
      <c r="B6" s="15" t="str">
        <f>BID!B327</f>
        <v>CALCIUM+VITAMIN C+VITAMIN D3</v>
      </c>
      <c r="C6" s="15">
        <f>BID!C327</f>
        <v>20</v>
      </c>
      <c r="D6" s="15">
        <f>IF(K6&gt;0,(K6/100)*BID!D327,1*BID!D327)</f>
        <v>2000</v>
      </c>
      <c r="E6" s="60">
        <f>IF(K6&gt;0,PR!AU325,IF(BID!K327="OLEAF",BID!L327,0))</f>
        <v>900</v>
      </c>
      <c r="F6" s="61">
        <f t="shared" ref="F6" si="0">IF(E6&gt;0,(E6*D6),0)</f>
        <v>1800000</v>
      </c>
      <c r="K6" s="445"/>
    </row>
    <row r="7" spans="1:11" ht="19.5" thickTop="1" x14ac:dyDescent="0.3">
      <c r="A7" s="430"/>
      <c r="B7" s="15"/>
      <c r="C7" s="15"/>
      <c r="D7" s="15"/>
      <c r="E7" s="60"/>
      <c r="F7" s="61"/>
    </row>
    <row r="8" spans="1:11" ht="19.5" thickBot="1" x14ac:dyDescent="0.35">
      <c r="A8" s="430"/>
      <c r="B8" s="15"/>
      <c r="C8" s="15"/>
      <c r="D8" s="15"/>
      <c r="E8" s="60"/>
      <c r="F8" s="442"/>
    </row>
    <row r="9" spans="1:11" ht="21.75" thickBot="1" x14ac:dyDescent="0.4">
      <c r="A9" s="430"/>
      <c r="B9" s="15"/>
      <c r="C9" s="15"/>
      <c r="D9" s="15"/>
      <c r="E9" s="441"/>
      <c r="F9" s="443">
        <f>SUM(F6:F6)</f>
        <v>1800000</v>
      </c>
    </row>
  </sheetData>
  <protectedRanges>
    <protectedRange sqref="K6" name="Range1"/>
    <protectedRange sqref="K4:K5" name="Range1_1"/>
  </protectedRanges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1A20B-96D8-485A-940F-925FABDB2BB1}">
  <sheetPr>
    <tabColor rgb="FF00B050"/>
  </sheetPr>
  <dimension ref="A1:K28"/>
  <sheetViews>
    <sheetView view="pageBreakPreview" topLeftCell="A13" zoomScale="85" zoomScaleNormal="100" zoomScaleSheetLayoutView="85" workbookViewId="0">
      <selection activeCell="B6" sqref="B6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N!B48</f>
        <v>PACIFIC DIAGNOSTIC LIMITED</v>
      </c>
      <c r="C1" s="816"/>
      <c r="D1" s="816"/>
      <c r="E1" s="816"/>
      <c r="F1" s="816"/>
      <c r="K1" t="s">
        <v>1457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1507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BID!A828</f>
        <v>742</v>
      </c>
      <c r="B6" s="15" t="str">
        <f>BID!B828</f>
        <v xml:space="preserve"> VICRYL 6/0 ROUND BODY 1/2 CIRCLE (ETHICON)</v>
      </c>
      <c r="C6" s="15">
        <f>BID!C828</f>
        <v>12</v>
      </c>
      <c r="D6" s="15">
        <f>IF(K6&gt;0,(K6/100)*BID!D828,1*BID!D828)</f>
        <v>12</v>
      </c>
      <c r="E6" s="60">
        <f>IF(K6&gt;0,PR!AW826,IF(BID!K828="PACIFIC",BID!L828,0))</f>
        <v>19945.62</v>
      </c>
      <c r="F6" s="61">
        <f t="shared" ref="F6:F25" si="0">IF(E6&gt;0,(E6*D6),0)</f>
        <v>239347.44</v>
      </c>
      <c r="K6" s="445"/>
    </row>
    <row r="7" spans="1:11" ht="20.25" thickTop="1" thickBot="1" x14ac:dyDescent="0.35">
      <c r="A7" s="430">
        <f>BID!A813</f>
        <v>727</v>
      </c>
      <c r="B7" s="15" t="str">
        <f>BID!B813</f>
        <v>NYLON 0 ROUND BODY 1/2 CIRCLE (ETHICON)</v>
      </c>
      <c r="C7" s="15">
        <f>BID!C813</f>
        <v>12</v>
      </c>
      <c r="D7" s="15">
        <f>IF(K7&gt;0,(K7/100)*BID!D813,1*BID!D813)</f>
        <v>10</v>
      </c>
      <c r="E7" s="60">
        <f>IF(K7&gt;0,PR!AW811,IF(BID!K813="PACIFIC",BID!L813,0))</f>
        <v>8247.6</v>
      </c>
      <c r="F7" s="61">
        <f t="shared" si="0"/>
        <v>82476</v>
      </c>
      <c r="K7" s="445"/>
    </row>
    <row r="8" spans="1:11" ht="20.25" thickTop="1" thickBot="1" x14ac:dyDescent="0.35">
      <c r="A8" s="430">
        <f>BID!A814</f>
        <v>728</v>
      </c>
      <c r="B8" s="15" t="str">
        <f>BID!B814</f>
        <v>NYLON 1 ROUND BODY 1/2 CIRCLE (ETHICON)</v>
      </c>
      <c r="C8" s="15">
        <f>BID!C814</f>
        <v>12</v>
      </c>
      <c r="D8" s="15">
        <f>IF(K8&gt;0,(K8/100)*BID!D814,1*BID!D814)</f>
        <v>10</v>
      </c>
      <c r="E8" s="60">
        <f>IF(K8&gt;0,PR!AW812,IF(BID!K814="PACIFIC",BID!L814,0))</f>
        <v>8247.6</v>
      </c>
      <c r="F8" s="61">
        <f t="shared" si="0"/>
        <v>82476</v>
      </c>
      <c r="K8" s="445"/>
    </row>
    <row r="9" spans="1:11" ht="20.25" thickTop="1" thickBot="1" x14ac:dyDescent="0.35">
      <c r="A9" s="430">
        <f>BID!A815</f>
        <v>729</v>
      </c>
      <c r="B9" s="15" t="str">
        <f>BID!B815</f>
        <v>NYLON 2/0 CUTTING 1/2 CIRCLE (ETHICON)</v>
      </c>
      <c r="C9" s="15">
        <f>BID!C815</f>
        <v>12</v>
      </c>
      <c r="D9" s="15">
        <f>IF(K9&gt;0,(K9/100)*BID!D815,1*BID!D815)</f>
        <v>12</v>
      </c>
      <c r="E9" s="60">
        <f>IF(K9&gt;0,PR!AW813,IF(BID!K815="PACIFIC",BID!L815,0))</f>
        <v>9562.75</v>
      </c>
      <c r="F9" s="61">
        <f t="shared" si="0"/>
        <v>114753</v>
      </c>
      <c r="K9" s="445"/>
    </row>
    <row r="10" spans="1:11" ht="20.25" thickTop="1" thickBot="1" x14ac:dyDescent="0.35">
      <c r="A10" s="430">
        <f>BID!A816</f>
        <v>730</v>
      </c>
      <c r="B10" s="15" t="str">
        <f>BID!B816</f>
        <v>NYLON 4/0 CUTTING 1/2 CIRCLE</v>
      </c>
      <c r="C10" s="15">
        <f>BID!C816</f>
        <v>12</v>
      </c>
      <c r="D10" s="15">
        <f>IF(K10&gt;0,(K10/100)*BID!D816,1*BID!D816)</f>
        <v>14</v>
      </c>
      <c r="E10" s="60">
        <f>IF(K10&gt;0,PR!AW814,IF(BID!K816="PACIFIC",BID!L816,0))</f>
        <v>8966.7999999999993</v>
      </c>
      <c r="F10" s="61">
        <f t="shared" si="0"/>
        <v>125535.19999999998</v>
      </c>
      <c r="K10" s="445"/>
    </row>
    <row r="11" spans="1:11" ht="20.25" thickTop="1" thickBot="1" x14ac:dyDescent="0.35">
      <c r="A11" s="430">
        <f>BID!A817</f>
        <v>731</v>
      </c>
      <c r="B11" s="15" t="str">
        <f>BID!B817</f>
        <v>NYLON 9/0 ROUND  BODY 1/2 CIRCLE (AURO LAB.)</v>
      </c>
      <c r="C11" s="15">
        <f>BID!C817</f>
        <v>12</v>
      </c>
      <c r="D11" s="15">
        <f>IF(K11&gt;0,(K11/100)*BID!D817,1*BID!D817)</f>
        <v>18</v>
      </c>
      <c r="E11" s="60">
        <f>IF(K11&gt;0,PR!AW815,IF(BID!K817="PACIFIC",BID!L817,0))</f>
        <v>64654.05</v>
      </c>
      <c r="F11" s="61">
        <f t="shared" si="0"/>
        <v>1163772.9000000001</v>
      </c>
      <c r="K11" s="445"/>
    </row>
    <row r="12" spans="1:11" ht="20.25" thickTop="1" thickBot="1" x14ac:dyDescent="0.35">
      <c r="A12" s="430">
        <f>BID!A810</f>
        <v>724</v>
      </c>
      <c r="B12" s="15" t="str">
        <f>BID!B810</f>
        <v>SILK 2/0 CUTTING 1/2 CIRCLE (ETHICON)</v>
      </c>
      <c r="C12" s="15">
        <f>BID!C810</f>
        <v>12</v>
      </c>
      <c r="D12" s="15">
        <f>IF(K12&gt;0,(K12/100)*BID!D810,1*BID!D810)</f>
        <v>4</v>
      </c>
      <c r="E12" s="60">
        <f>IF(K12&gt;0,PR!AW808,IF(BID!K810="PACIFIC",BID!L810,0))</f>
        <v>9684.84</v>
      </c>
      <c r="F12" s="61">
        <f t="shared" si="0"/>
        <v>38739.360000000001</v>
      </c>
      <c r="K12" s="445"/>
    </row>
    <row r="13" spans="1:11" ht="20.25" thickTop="1" thickBot="1" x14ac:dyDescent="0.35">
      <c r="A13" s="430">
        <f>BID!A809</f>
        <v>723</v>
      </c>
      <c r="B13" s="15" t="str">
        <f>BID!B809</f>
        <v>SILK 2/0 ROUND BODY 1/2 CIRCLE (ETHICON)</v>
      </c>
      <c r="C13" s="15">
        <f>BID!C809</f>
        <v>12</v>
      </c>
      <c r="D13" s="15">
        <f>IF(K13&gt;0,(K13/100)*BID!D809,1*BID!D809)</f>
        <v>3</v>
      </c>
      <c r="E13" s="60">
        <f>IF(K13&gt;0,PR!AW807,IF(BID!K809="PACIFIC",BID!L809,0))</f>
        <v>6264</v>
      </c>
      <c r="F13" s="61">
        <f t="shared" si="0"/>
        <v>18792</v>
      </c>
      <c r="K13" s="445"/>
    </row>
    <row r="14" spans="1:11" ht="20.25" thickTop="1" thickBot="1" x14ac:dyDescent="0.35">
      <c r="A14" s="430">
        <f>BID!A811</f>
        <v>725</v>
      </c>
      <c r="B14" s="15" t="str">
        <f>BID!B811</f>
        <v>SILK 3/0 CUTTING 1/2 CIRCLE (ETHICON)</v>
      </c>
      <c r="C14" s="15">
        <f>BID!C811</f>
        <v>12</v>
      </c>
      <c r="D14" s="15">
        <f>IF(K14&gt;0,(K14/100)*BID!D811,1*BID!D811)</f>
        <v>3</v>
      </c>
      <c r="E14" s="60">
        <f>IF(K14&gt;0,PR!AW809,IF(BID!K811="PACIFIC",BID!L811,0))</f>
        <v>6960</v>
      </c>
      <c r="F14" s="61">
        <f t="shared" si="0"/>
        <v>20880</v>
      </c>
      <c r="K14" s="445"/>
    </row>
    <row r="15" spans="1:11" ht="20.25" thickTop="1" thickBot="1" x14ac:dyDescent="0.35">
      <c r="A15" s="430">
        <f>BID!A812</f>
        <v>726</v>
      </c>
      <c r="B15" s="15" t="str">
        <f>BID!B812</f>
        <v>SILK 3/0 ROUND BODY 1/2 CIRCLE (ETHICON)</v>
      </c>
      <c r="C15" s="15">
        <f>BID!C812</f>
        <v>12</v>
      </c>
      <c r="D15" s="15">
        <f>IF(K15&gt;0,(K15/100)*BID!D812,1*BID!D812)</f>
        <v>5</v>
      </c>
      <c r="E15" s="60">
        <f>IF(K15&gt;0,PR!AW810,IF(BID!K812="PACIFIC",BID!L812,0))</f>
        <v>7949.8666666666659</v>
      </c>
      <c r="F15" s="61">
        <f t="shared" si="0"/>
        <v>39749.333333333328</v>
      </c>
      <c r="K15" s="445"/>
    </row>
    <row r="16" spans="1:11" ht="20.25" thickTop="1" thickBot="1" x14ac:dyDescent="0.35">
      <c r="A16" s="430">
        <f>BID!A818</f>
        <v>732</v>
      </c>
      <c r="B16" s="15" t="str">
        <f>BID!B818</f>
        <v>VICRYL 0 CUTTING 1/2 CIRCLE (ETHICON)</v>
      </c>
      <c r="C16" s="15">
        <f>BID!C818</f>
        <v>12</v>
      </c>
      <c r="D16" s="15">
        <f>IF(K16&gt;0,(K16/100)*BID!D818,1*BID!D818)</f>
        <v>12</v>
      </c>
      <c r="E16" s="60">
        <f>IF(K16&gt;0,PR!AW816,IF(BID!K818="PACIFIC",BID!L818,0))</f>
        <v>14584.1</v>
      </c>
      <c r="F16" s="61">
        <f t="shared" si="0"/>
        <v>175009.2</v>
      </c>
      <c r="K16" s="445"/>
    </row>
    <row r="17" spans="1:11" ht="20.25" thickTop="1" thickBot="1" x14ac:dyDescent="0.35">
      <c r="A17" s="430">
        <f>BID!A819</f>
        <v>733</v>
      </c>
      <c r="B17" s="15" t="str">
        <f>BID!B819</f>
        <v>VICRYL 0 R/BODY 1/2 CIRCLE (ETHICON)</v>
      </c>
      <c r="C17" s="15">
        <f>BID!C819</f>
        <v>12</v>
      </c>
      <c r="D17" s="15">
        <f>IF(K17&gt;0,(K17/100)*BID!D819,1*BID!D819)</f>
        <v>120</v>
      </c>
      <c r="E17" s="60">
        <f>IF(K17&gt;0,PR!AW817,IF(BID!K819="PACIFIC",BID!L819,0))</f>
        <v>9108.9</v>
      </c>
      <c r="F17" s="61">
        <f t="shared" si="0"/>
        <v>1093068</v>
      </c>
      <c r="K17" s="445"/>
    </row>
    <row r="18" spans="1:11" ht="20.25" thickTop="1" thickBot="1" x14ac:dyDescent="0.35">
      <c r="A18" s="430">
        <f>BID!A820</f>
        <v>734</v>
      </c>
      <c r="B18" s="15" t="str">
        <f>BID!B820</f>
        <v>VICRYL 1 CUTTING 1/2 CIRCLE (ETHICON)</v>
      </c>
      <c r="C18" s="15">
        <f>BID!C820</f>
        <v>12</v>
      </c>
      <c r="D18" s="15">
        <f>IF(K18&gt;0,(K18/100)*BID!D820,1*BID!D820)</f>
        <v>10</v>
      </c>
      <c r="E18" s="60">
        <f>IF(K18&gt;0,PR!AW818,IF(BID!K820="PACIFIC",BID!L820,0))</f>
        <v>12006</v>
      </c>
      <c r="F18" s="61">
        <f t="shared" si="0"/>
        <v>120060</v>
      </c>
      <c r="K18" s="445"/>
    </row>
    <row r="19" spans="1:11" ht="20.25" thickTop="1" thickBot="1" x14ac:dyDescent="0.35">
      <c r="A19" s="430">
        <f>BID!A821</f>
        <v>735</v>
      </c>
      <c r="B19" s="15" t="str">
        <f>BID!B821</f>
        <v>VICRYL 1 ROUND BODY 1/2 CIRCLE (ETHICON)</v>
      </c>
      <c r="C19" s="15">
        <f>BID!C821</f>
        <v>12</v>
      </c>
      <c r="D19" s="15">
        <f>IF(K19&gt;0,(K19/100)*BID!D821,1*BID!D821)</f>
        <v>600</v>
      </c>
      <c r="E19" s="60">
        <f>IF(K19&gt;0,PR!AW819,IF(BID!K821="PACIFIC",BID!L821,0))</f>
        <v>9097.2000000000007</v>
      </c>
      <c r="F19" s="61">
        <f t="shared" si="0"/>
        <v>5458320</v>
      </c>
      <c r="K19" s="445"/>
    </row>
    <row r="20" spans="1:11" ht="20.25" thickTop="1" thickBot="1" x14ac:dyDescent="0.35">
      <c r="A20" s="430">
        <f>BID!A822</f>
        <v>736</v>
      </c>
      <c r="B20" s="15" t="str">
        <f>BID!B822</f>
        <v>VICRYL 2 R/BODY 1/2 CIRCLE (ETHICON)</v>
      </c>
      <c r="C20" s="15">
        <f>BID!C822</f>
        <v>12</v>
      </c>
      <c r="D20" s="15">
        <f>IF(K20&gt;0,(K20/100)*BID!D822,1*BID!D822)</f>
        <v>54</v>
      </c>
      <c r="E20" s="60">
        <f>IF(K20&gt;0,PR!AW820,IF(BID!K822="PACIFIC",BID!L822,0))</f>
        <v>11484</v>
      </c>
      <c r="F20" s="61">
        <f t="shared" si="0"/>
        <v>620136</v>
      </c>
      <c r="K20" s="445"/>
    </row>
    <row r="21" spans="1:11" ht="20.25" thickTop="1" thickBot="1" x14ac:dyDescent="0.35">
      <c r="A21" s="430">
        <f>BID!A823</f>
        <v>737</v>
      </c>
      <c r="B21" s="15" t="str">
        <f>BID!B823</f>
        <v>VICRYL 2/0 CUTTING 1/2 CIRCLE (ETHICON)</v>
      </c>
      <c r="C21" s="15">
        <f>BID!C823</f>
        <v>12</v>
      </c>
      <c r="D21" s="15">
        <f>IF(K21&gt;0,(K21/100)*BID!D823,1*BID!D823)</f>
        <v>20</v>
      </c>
      <c r="E21" s="60">
        <f>IF(K21&gt;0,PR!AW821,IF(BID!K823="PACIFIC",BID!L823,0))</f>
        <v>10440</v>
      </c>
      <c r="F21" s="61">
        <f t="shared" si="0"/>
        <v>208800</v>
      </c>
      <c r="K21" s="445"/>
    </row>
    <row r="22" spans="1:11" ht="20.25" thickTop="1" thickBot="1" x14ac:dyDescent="0.35">
      <c r="A22" s="430">
        <f>BID!A824</f>
        <v>738</v>
      </c>
      <c r="B22" s="15" t="str">
        <f>BID!B824</f>
        <v>VICRYL 2/0 ROUND BODY 1/2 CIRCLE (ETHICON)</v>
      </c>
      <c r="C22" s="15">
        <f>BID!C824</f>
        <v>12</v>
      </c>
      <c r="D22" s="15">
        <f>IF(K22&gt;0,(K22/100)*BID!D824,1*BID!D824)</f>
        <v>600</v>
      </c>
      <c r="E22" s="60">
        <f>IF(K22&gt;0,PR!AW822,IF(BID!K824="PACIFIC",BID!L824,0))</f>
        <v>8738.1</v>
      </c>
      <c r="F22" s="61">
        <f t="shared" si="0"/>
        <v>5242860</v>
      </c>
      <c r="K22" s="445"/>
    </row>
    <row r="23" spans="1:11" ht="20.25" thickTop="1" thickBot="1" x14ac:dyDescent="0.35">
      <c r="A23" s="430">
        <f>BID!A825</f>
        <v>739</v>
      </c>
      <c r="B23" s="15" t="str">
        <f>BID!B825</f>
        <v>VICRYL 3/0 CUTTING 1/2 CIRCLE (ETHICON)</v>
      </c>
      <c r="C23" s="15">
        <f>BID!C825</f>
        <v>12</v>
      </c>
      <c r="D23" s="15">
        <f>IF(K23&gt;0,(K23/100)*BID!D825,1*BID!D825)</f>
        <v>20</v>
      </c>
      <c r="E23" s="60">
        <f>IF(K23&gt;0,PR!AW823,IF(BID!K825="PACIFIC",BID!L825,0))</f>
        <v>9630.9</v>
      </c>
      <c r="F23" s="61">
        <f t="shared" si="0"/>
        <v>192618</v>
      </c>
      <c r="K23" s="445"/>
    </row>
    <row r="24" spans="1:11" ht="20.25" thickTop="1" thickBot="1" x14ac:dyDescent="0.35">
      <c r="A24" s="430">
        <f>BID!A826</f>
        <v>740</v>
      </c>
      <c r="B24" s="15" t="str">
        <f>BID!B826</f>
        <v>VICRYL 3/0 ROUND BODY 1/2 CIRCLE (ETHICON)</v>
      </c>
      <c r="C24" s="15">
        <f>BID!C826</f>
        <v>12</v>
      </c>
      <c r="D24" s="15">
        <f>IF(K24&gt;0,(K24/100)*BID!D826,1*BID!D826)</f>
        <v>80</v>
      </c>
      <c r="E24" s="60">
        <f>IF(K24&gt;0,PR!AW824,IF(BID!K826="PACIFIC",BID!L826,0))</f>
        <v>9108.9</v>
      </c>
      <c r="F24" s="61">
        <f t="shared" si="0"/>
        <v>728712</v>
      </c>
      <c r="K24" s="445"/>
    </row>
    <row r="25" spans="1:11" ht="20.25" thickTop="1" thickBot="1" x14ac:dyDescent="0.35">
      <c r="A25" s="430">
        <f>BID!A827</f>
        <v>741</v>
      </c>
      <c r="B25" s="15" t="str">
        <f>BID!B827</f>
        <v>VICRYL 4/0 ROUND BODY 1/2 CIRCLE (ETHICON)</v>
      </c>
      <c r="C25" s="15">
        <f>BID!C827</f>
        <v>12</v>
      </c>
      <c r="D25" s="15">
        <f>IF(K25&gt;0,(K25/100)*BID!D827,1*BID!D827)</f>
        <v>24</v>
      </c>
      <c r="E25" s="60">
        <f>IF(K25&gt;0,PR!AW825,IF(BID!K827="PACIFIC",BID!L827,0))</f>
        <v>10570.5</v>
      </c>
      <c r="F25" s="61">
        <f t="shared" si="0"/>
        <v>253692</v>
      </c>
      <c r="K25" s="445"/>
    </row>
    <row r="26" spans="1:11" ht="19.5" thickTop="1" x14ac:dyDescent="0.3">
      <c r="A26" s="430"/>
      <c r="B26" s="15"/>
      <c r="C26" s="15"/>
      <c r="D26" s="15"/>
      <c r="E26" s="60"/>
      <c r="F26" s="61"/>
    </row>
    <row r="27" spans="1:11" ht="19.5" thickBot="1" x14ac:dyDescent="0.35">
      <c r="A27" s="430"/>
      <c r="B27" s="15"/>
      <c r="C27" s="15"/>
      <c r="D27" s="15"/>
      <c r="E27" s="60"/>
      <c r="F27" s="442"/>
    </row>
    <row r="28" spans="1:11" ht="21.75" thickBot="1" x14ac:dyDescent="0.4">
      <c r="A28" s="430"/>
      <c r="B28" s="15"/>
      <c r="C28" s="15"/>
      <c r="D28" s="15"/>
      <c r="E28" s="441"/>
      <c r="F28" s="443">
        <f>SUM(F6:F25)</f>
        <v>16019796.433333334</v>
      </c>
    </row>
  </sheetData>
  <protectedRanges>
    <protectedRange sqref="K6:K25" name="Range1"/>
    <protectedRange sqref="K4:K5" name="Range1_1"/>
  </protectedRanges>
  <sortState ref="A6:K25">
    <sortCondition ref="B6:B25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A1F5E-9750-4B36-A6A5-76502C6EE2D2}">
  <sheetPr>
    <tabColor rgb="FF00B0F0"/>
  </sheetPr>
  <dimension ref="A1:K24"/>
  <sheetViews>
    <sheetView view="pageBreakPreview" topLeftCell="A10" zoomScale="85" zoomScaleNormal="100" zoomScaleSheetLayoutView="85" workbookViewId="0">
      <selection activeCell="B20" sqref="B2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N!B49</f>
        <v>PHAMATEX INDUSTRIES LIMITED</v>
      </c>
      <c r="C1" s="816"/>
      <c r="D1" s="816"/>
      <c r="E1" s="816"/>
      <c r="F1" s="816"/>
      <c r="K1" t="s">
        <v>627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BID!A52</f>
        <v>34</v>
      </c>
      <c r="B6" s="15" t="str">
        <f>BID!B52</f>
        <v>AMILORIDE/HCT 5/50MG TAB</v>
      </c>
      <c r="C6" s="15">
        <f>BID!C52</f>
        <v>100</v>
      </c>
      <c r="D6" s="15">
        <f>IF(K6&gt;0,(K6/100)*BID!D52,1*BID!D52)</f>
        <v>400</v>
      </c>
      <c r="E6" s="60">
        <f>IF(K6&gt;0,PR!AX50,IF(BID!K52="PHAMATEX",BID!L52,0))</f>
        <v>405</v>
      </c>
      <c r="F6" s="61">
        <f t="shared" ref="F6:F21" si="0">IF(E6&gt;0,(E6*D6),0)</f>
        <v>162000</v>
      </c>
      <c r="K6" s="445">
        <v>50</v>
      </c>
    </row>
    <row r="7" spans="1:11" ht="20.25" thickTop="1" thickBot="1" x14ac:dyDescent="0.35">
      <c r="A7" s="430">
        <f>BID!A64</f>
        <v>46</v>
      </c>
      <c r="B7" s="15" t="str">
        <f>BID!B64</f>
        <v>ASPIRIN 75MG TAB</v>
      </c>
      <c r="C7" s="15">
        <f>BID!C64</f>
        <v>100</v>
      </c>
      <c r="D7" s="15">
        <f>IF(K7&gt;0,(K7/100)*BID!D64,1*BID!D64)</f>
        <v>1000</v>
      </c>
      <c r="E7" s="60">
        <f>IF(K7&gt;0,PR!AX62,IF(BID!K64="PHAMATEX",BID!L64,0))</f>
        <v>140</v>
      </c>
      <c r="F7" s="61">
        <f t="shared" si="0"/>
        <v>140000</v>
      </c>
      <c r="K7" s="445">
        <v>50</v>
      </c>
    </row>
    <row r="8" spans="1:11" ht="20.25" thickTop="1" thickBot="1" x14ac:dyDescent="0.35">
      <c r="A8" s="430">
        <f>BID!A268</f>
        <v>242</v>
      </c>
      <c r="B8" s="15" t="str">
        <f>BID!B268</f>
        <v>CO-TRIMOXAZOLE 480MG TAB</v>
      </c>
      <c r="C8" s="15">
        <f>BID!C268</f>
        <v>100</v>
      </c>
      <c r="D8" s="15">
        <f>IF(K8&gt;0,(K8/100)*BID!D268,1*BID!D268)</f>
        <v>120</v>
      </c>
      <c r="E8" s="60">
        <f>IF(K8&gt;0,PR!AX266,IF(BID!K268="PHAMATEX",BID!L268,0))</f>
        <v>385</v>
      </c>
      <c r="F8" s="61">
        <f t="shared" si="0"/>
        <v>46200</v>
      </c>
      <c r="K8" s="445"/>
    </row>
    <row r="9" spans="1:11" ht="20.25" thickTop="1" thickBot="1" x14ac:dyDescent="0.35">
      <c r="A9" s="430">
        <f>BID!A269</f>
        <v>243</v>
      </c>
      <c r="B9" s="15" t="str">
        <f>BID!B269</f>
        <v>CO-TRIMOXAZOLE 960MG TAB</v>
      </c>
      <c r="C9" s="15">
        <f>BID!C269</f>
        <v>10</v>
      </c>
      <c r="D9" s="15">
        <f>IF(K9&gt;0,(K9/100)*BID!D269,1*BID!D269)</f>
        <v>1200</v>
      </c>
      <c r="E9" s="60">
        <f>IF(K9&gt;0,PR!AX267,IF(BID!K269="PHAMATEX",BID!L269,0))</f>
        <v>150</v>
      </c>
      <c r="F9" s="61">
        <f t="shared" si="0"/>
        <v>180000</v>
      </c>
      <c r="K9" s="445"/>
    </row>
    <row r="10" spans="1:11" ht="20.25" thickTop="1" thickBot="1" x14ac:dyDescent="0.35">
      <c r="A10" s="430">
        <f>BID!A275</f>
        <v>249</v>
      </c>
      <c r="B10" s="15" t="str">
        <f>BID!B275</f>
        <v>ERYTHROMYCIN 500MG TAB</v>
      </c>
      <c r="C10" s="15">
        <f>BID!C275</f>
        <v>100</v>
      </c>
      <c r="D10" s="15">
        <f>IF(K10&gt;0,(K10/100)*BID!D275,1*BID!D275)</f>
        <v>800</v>
      </c>
      <c r="E10" s="60">
        <f>IF(K10&gt;0,PR!AX273,IF(BID!K275="PHAMATEX",BID!L275,0))</f>
        <v>2520</v>
      </c>
      <c r="F10" s="61">
        <f t="shared" si="0"/>
        <v>2016000</v>
      </c>
      <c r="K10" s="445"/>
    </row>
    <row r="11" spans="1:11" ht="20.25" thickTop="1" thickBot="1" x14ac:dyDescent="0.35">
      <c r="A11" s="430">
        <f>BID!A277</f>
        <v>251</v>
      </c>
      <c r="B11" s="15" t="str">
        <f>BID!B277</f>
        <v>FLUCONAZOLE 150MG CAP</v>
      </c>
      <c r="C11" s="15">
        <f>BID!C277</f>
        <v>10</v>
      </c>
      <c r="D11" s="15">
        <f>IF(K11&gt;0,(K11/100)*BID!D277,1*BID!D277)</f>
        <v>100</v>
      </c>
      <c r="E11" s="60">
        <f>IF(K11&gt;0,PR!AX275,IF(BID!K277="PHAMATEX",BID!L277,0))</f>
        <v>280</v>
      </c>
      <c r="F11" s="61">
        <f t="shared" si="0"/>
        <v>28000</v>
      </c>
      <c r="K11" s="445">
        <v>50</v>
      </c>
    </row>
    <row r="12" spans="1:11" ht="20.25" thickTop="1" thickBot="1" x14ac:dyDescent="0.35">
      <c r="A12" s="430">
        <f>BID!A185</f>
        <v>162</v>
      </c>
      <c r="B12" s="15" t="str">
        <f>BID!B185</f>
        <v>IBUPROFEN 400MG TAB</v>
      </c>
      <c r="C12" s="15">
        <f>BID!C185</f>
        <v>100</v>
      </c>
      <c r="D12" s="15">
        <f>IF(K12&gt;0,(K12/100)*BID!D185,1*BID!D185)</f>
        <v>400</v>
      </c>
      <c r="E12" s="60">
        <f>IF(K12&gt;0,PR!AX183,IF(BID!K185="PHAMATEX",BID!L185,0))</f>
        <v>495</v>
      </c>
      <c r="F12" s="61">
        <f t="shared" si="0"/>
        <v>198000</v>
      </c>
      <c r="K12" s="445"/>
    </row>
    <row r="13" spans="1:11" ht="20.25" thickTop="1" thickBot="1" x14ac:dyDescent="0.35">
      <c r="A13" s="430">
        <f>BID!A284</f>
        <v>258</v>
      </c>
      <c r="B13" s="15" t="str">
        <f>BID!B284</f>
        <v>KETOCONAZOLE 200MG TAB</v>
      </c>
      <c r="C13" s="15">
        <f>BID!C284</f>
        <v>100</v>
      </c>
      <c r="D13" s="15">
        <f>IF(K13&gt;0,(K13/100)*BID!D284,1*BID!D284)</f>
        <v>100</v>
      </c>
      <c r="E13" s="60">
        <f>IF(K13&gt;0,PR!AX282,IF(BID!K284="PHAMATEX",BID!L284,0))</f>
        <v>1300</v>
      </c>
      <c r="F13" s="61">
        <f t="shared" si="0"/>
        <v>130000</v>
      </c>
      <c r="K13" s="445"/>
    </row>
    <row r="14" spans="1:11" ht="20.25" thickTop="1" thickBot="1" x14ac:dyDescent="0.35">
      <c r="A14" s="430">
        <f>BID!A539</f>
        <v>485</v>
      </c>
      <c r="B14" s="15" t="str">
        <f>BID!B539</f>
        <v>LEVOCETIRIZINE</v>
      </c>
      <c r="C14" s="15">
        <f>BID!C539</f>
        <v>100</v>
      </c>
      <c r="D14" s="15">
        <f>IF(K14&gt;0,(K14/100)*BID!D539,1*BID!D539)</f>
        <v>80</v>
      </c>
      <c r="E14" s="60">
        <f>IF(K14&gt;0,PR!AX537,IF(BID!K539="PHAMATEX",BID!L539,0))</f>
        <v>496</v>
      </c>
      <c r="F14" s="61">
        <f t="shared" si="0"/>
        <v>39680</v>
      </c>
      <c r="K14" s="445"/>
    </row>
    <row r="15" spans="1:11" ht="20.25" thickTop="1" thickBot="1" x14ac:dyDescent="0.35">
      <c r="A15" s="430">
        <f>BID!A154</f>
        <v>134</v>
      </c>
      <c r="B15" s="15" t="str">
        <f>BID!B154</f>
        <v>METFORMIN HCL 500MG TAB</v>
      </c>
      <c r="C15" s="15">
        <f>BID!C154</f>
        <v>100</v>
      </c>
      <c r="D15" s="15">
        <f>IF(K15&gt;0,(K15/100)*BID!D154,1*BID!D154)</f>
        <v>1000</v>
      </c>
      <c r="E15" s="60">
        <f>IF(K15&gt;0,PR!AX152,IF(BID!K154="PHAMATEX",BID!L154,0))</f>
        <v>450</v>
      </c>
      <c r="F15" s="61">
        <f t="shared" si="0"/>
        <v>450000</v>
      </c>
      <c r="K15" s="445">
        <v>40</v>
      </c>
    </row>
    <row r="16" spans="1:11" ht="20.25" thickTop="1" thickBot="1" x14ac:dyDescent="0.35">
      <c r="A16" s="430">
        <f>BID!A291</f>
        <v>265</v>
      </c>
      <c r="B16" s="15" t="str">
        <f>BID!B291</f>
        <v>METRONIDAZOLE 400MG TAB</v>
      </c>
      <c r="C16" s="15">
        <f>BID!C291</f>
        <v>100</v>
      </c>
      <c r="D16" s="15">
        <f>IF(K16&gt;0,(K16/100)*BID!D291,1*BID!D291)</f>
        <v>2000</v>
      </c>
      <c r="E16" s="60">
        <f>IF(K16&gt;0,PR!AX289,IF(BID!K291="PHAMATEX",BID!L291,0))</f>
        <v>380</v>
      </c>
      <c r="F16" s="61">
        <f t="shared" si="0"/>
        <v>760000</v>
      </c>
      <c r="K16" s="445"/>
    </row>
    <row r="17" spans="1:11" ht="20.25" thickTop="1" thickBot="1" x14ac:dyDescent="0.35">
      <c r="A17" s="430">
        <f>BID!A204</f>
        <v>181</v>
      </c>
      <c r="B17" s="15" t="str">
        <f>BID!B204</f>
        <v>PARACETAMOL 500MG TAB</v>
      </c>
      <c r="C17" s="15">
        <f>BID!C204</f>
        <v>96</v>
      </c>
      <c r="D17" s="15">
        <f>IF(K17&gt;0,(K17/100)*BID!D204,1*BID!D204)</f>
        <v>4200</v>
      </c>
      <c r="E17" s="60">
        <f>IF(K17&gt;0,PR!AX202,IF(BID!K204="PHAMATEX",BID!L204,0))</f>
        <v>205</v>
      </c>
      <c r="F17" s="61">
        <f t="shared" si="0"/>
        <v>861000</v>
      </c>
      <c r="K17" s="445">
        <v>70</v>
      </c>
    </row>
    <row r="18" spans="1:11" ht="20.25" thickTop="1" thickBot="1" x14ac:dyDescent="0.35">
      <c r="A18" s="430">
        <f>BID!A206</f>
        <v>183</v>
      </c>
      <c r="B18" s="15" t="str">
        <f>BID!B206</f>
        <v>PARACETAMOL SYR</v>
      </c>
      <c r="C18" s="15" t="str">
        <f>BID!C206</f>
        <v>BOTT</v>
      </c>
      <c r="D18" s="15">
        <f>IF(K18&gt;0,(K18/100)*BID!D206,1*BID!D206)</f>
        <v>3000</v>
      </c>
      <c r="E18" s="60">
        <f>IF(K18&gt;0,PR!AX204,IF(BID!K206="PHAMATEX",BID!L206,0))</f>
        <v>85</v>
      </c>
      <c r="F18" s="61">
        <f t="shared" si="0"/>
        <v>255000</v>
      </c>
      <c r="K18" s="445"/>
    </row>
    <row r="19" spans="1:11" ht="20.25" thickTop="1" thickBot="1" x14ac:dyDescent="0.35">
      <c r="A19" s="430">
        <f>BID!A213</f>
        <v>190</v>
      </c>
      <c r="B19" s="15" t="str">
        <f>BID!B213</f>
        <v>TENOXICAM 20MG CAP</v>
      </c>
      <c r="C19" s="15">
        <f>BID!C213</f>
        <v>10</v>
      </c>
      <c r="D19" s="15">
        <f>IF(K19&gt;0,(K19/100)*BID!D213,1*BID!D213)</f>
        <v>1200</v>
      </c>
      <c r="E19" s="60">
        <f>IF(K19&gt;0,PR!AX211,IF(BID!K213="PHAMATEX",BID!L213,0))</f>
        <v>250</v>
      </c>
      <c r="F19" s="61">
        <f t="shared" si="0"/>
        <v>300000</v>
      </c>
      <c r="K19" s="445"/>
    </row>
    <row r="20" spans="1:11" ht="20.25" thickTop="1" thickBot="1" x14ac:dyDescent="0.35">
      <c r="A20" s="430">
        <f>BID!A367</f>
        <v>335</v>
      </c>
      <c r="B20" s="15" t="str">
        <f>BID!B367</f>
        <v>VIT B1/VIT B2/VIT B6 TAB</v>
      </c>
      <c r="C20" s="15">
        <f>BID!C367</f>
        <v>100</v>
      </c>
      <c r="D20" s="15">
        <f>IF(K20&gt;0,(K20/100)*BID!D367,1*BID!D367)</f>
        <v>2000</v>
      </c>
      <c r="E20" s="60">
        <f>IF(K20&gt;0,PR!AX365,IF(BID!K367="PHAMATEX",BID!L367,0))</f>
        <v>3750</v>
      </c>
      <c r="F20" s="61">
        <f t="shared" si="0"/>
        <v>7500000</v>
      </c>
      <c r="K20" s="445"/>
    </row>
    <row r="21" spans="1:11" ht="20.25" thickTop="1" thickBot="1" x14ac:dyDescent="0.35">
      <c r="A21" s="430">
        <f>BID!A376</f>
        <v>344</v>
      </c>
      <c r="B21" s="15" t="str">
        <f>BID!B376</f>
        <v>VITAMIN C SYRUP</v>
      </c>
      <c r="C21" s="15" t="str">
        <f>BID!C376</f>
        <v>BOTT</v>
      </c>
      <c r="D21" s="15">
        <f>IF(K21&gt;0,(K21/100)*BID!D376,1*BID!D376)</f>
        <v>1500</v>
      </c>
      <c r="E21" s="60">
        <f>IF(K21&gt;0,PR!AX374,IF(BID!K376="PHAMATEX",BID!L376,0))</f>
        <v>98</v>
      </c>
      <c r="F21" s="61">
        <f t="shared" si="0"/>
        <v>147000</v>
      </c>
      <c r="K21" s="445">
        <v>50</v>
      </c>
    </row>
    <row r="22" spans="1:11" ht="19.5" thickTop="1" x14ac:dyDescent="0.3">
      <c r="A22" s="430"/>
      <c r="B22" s="15"/>
      <c r="C22" s="15"/>
      <c r="D22" s="15"/>
      <c r="E22" s="60"/>
      <c r="F22" s="61"/>
    </row>
    <row r="23" spans="1:11" ht="19.5" thickBot="1" x14ac:dyDescent="0.35">
      <c r="A23" s="430"/>
      <c r="B23" s="15"/>
      <c r="C23" s="15"/>
      <c r="D23" s="15"/>
      <c r="E23" s="60"/>
      <c r="F23" s="442"/>
    </row>
    <row r="24" spans="1:11" ht="21.75" thickBot="1" x14ac:dyDescent="0.4">
      <c r="A24" s="430"/>
      <c r="B24" s="15"/>
      <c r="C24" s="15"/>
      <c r="D24" s="15"/>
      <c r="E24" s="441"/>
      <c r="F24" s="443">
        <f>SUM(F6:F21)</f>
        <v>13212880</v>
      </c>
    </row>
  </sheetData>
  <protectedRanges>
    <protectedRange sqref="K6:K21" name="Range1"/>
    <protectedRange sqref="K4:K5" name="Range1_1"/>
  </protectedRanges>
  <sortState ref="A6:K21">
    <sortCondition ref="B6:B21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B47A-D6F5-4AC5-B4C6-675B93DE2A1C}">
  <sheetPr>
    <tabColor rgb="FF0070C0"/>
  </sheetPr>
  <dimension ref="A1:K12"/>
  <sheetViews>
    <sheetView view="pageBreakPreview" zoomScale="85" zoomScaleNormal="100" zoomScaleSheetLayoutView="85" workbookViewId="0">
      <selection activeCell="A6" sqref="A6:XFD9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N!B50</f>
        <v>PHARMAETHICS LIMITED</v>
      </c>
      <c r="C1" s="816"/>
      <c r="D1" s="816"/>
      <c r="E1" s="816"/>
      <c r="F1" s="816"/>
      <c r="K1" t="s">
        <v>827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BID!A424</f>
        <v>384</v>
      </c>
      <c r="B6" s="15" t="str">
        <f>BID!B424</f>
        <v>DYDROSTERONE TAB</v>
      </c>
      <c r="C6" s="15">
        <f>BID!C424</f>
        <v>20</v>
      </c>
      <c r="D6" s="15">
        <f>IF(K6&gt;0,(K6/100)*BID!D424,1*BID!D424)</f>
        <v>200</v>
      </c>
      <c r="E6" s="60">
        <f>IF(K6&gt;0,PR!AY422,IF(BID!K424="PETHICS",BID!L424,0))</f>
        <v>3000</v>
      </c>
      <c r="F6" s="61">
        <f>IF(E6&gt;0,(E6*D6),0)</f>
        <v>600000</v>
      </c>
      <c r="K6" s="445"/>
    </row>
    <row r="7" spans="1:11" ht="20.25" thickTop="1" thickBot="1" x14ac:dyDescent="0.35">
      <c r="A7" s="430">
        <f>BID!A336</f>
        <v>304</v>
      </c>
      <c r="B7" s="15" t="str">
        <f>BID!B336</f>
        <v>FERRIC SUCROSE COMPLEX INJ</v>
      </c>
      <c r="C7" s="15">
        <f>BID!C336</f>
        <v>5</v>
      </c>
      <c r="D7" s="15">
        <f>IF(K7&gt;0,(K7/100)*BID!D336,1*BID!D336)</f>
        <v>100</v>
      </c>
      <c r="E7" s="60">
        <f>IF(K7&gt;0,PR!AY334,IF(BID!K336="PETHICS",BID!L336,0))</f>
        <v>3200</v>
      </c>
      <c r="F7" s="61">
        <f>IF(E7&gt;0,(E7*D7),0)</f>
        <v>320000</v>
      </c>
      <c r="K7" s="445"/>
    </row>
    <row r="8" spans="1:11" ht="20.25" thickTop="1" thickBot="1" x14ac:dyDescent="0.35">
      <c r="A8" s="430">
        <f>BID!A426</f>
        <v>386</v>
      </c>
      <c r="B8" s="15" t="str">
        <f>BID!B426</f>
        <v>HYDROXYPROGESTERONE INJ</v>
      </c>
      <c r="C8" s="15">
        <f>BID!C426</f>
        <v>1</v>
      </c>
      <c r="D8" s="15">
        <f>IF(K8&gt;0,(K8/100)*BID!D426,1*BID!D426)</f>
        <v>48</v>
      </c>
      <c r="E8" s="60">
        <f>IF(K8&gt;0,PR!AY424,IF(BID!K426="PETHICS",BID!L426,0))</f>
        <v>1500</v>
      </c>
      <c r="F8" s="61">
        <f>IF(E8&gt;0,(E8*D8),0)</f>
        <v>72000</v>
      </c>
      <c r="K8" s="445"/>
    </row>
    <row r="9" spans="1:11" ht="20.25" thickTop="1" thickBot="1" x14ac:dyDescent="0.35">
      <c r="A9" s="430">
        <f>BID!A354</f>
        <v>322</v>
      </c>
      <c r="B9" s="15" t="str">
        <f>BID!B354</f>
        <v>PLANT STEROLS/RESVERATROL/LYCOPEINE/ANTIOXIDANTS</v>
      </c>
      <c r="C9" s="15">
        <f>BID!C354</f>
        <v>30</v>
      </c>
      <c r="D9" s="15">
        <f>IF(K9&gt;0,(K9/100)*BID!D354,1*BID!D354)</f>
        <v>50</v>
      </c>
      <c r="E9" s="60">
        <f>IF(K9&gt;0,PR!AY352,IF(BID!K354="PETHICS",BID!L354,0))</f>
        <v>1350</v>
      </c>
      <c r="F9" s="61">
        <f>IF(E9&gt;0,(E9*D9),0)</f>
        <v>67500</v>
      </c>
      <c r="K9" s="445"/>
    </row>
    <row r="10" spans="1:11" ht="19.5" thickTop="1" x14ac:dyDescent="0.3">
      <c r="A10" s="430"/>
      <c r="B10" s="15"/>
      <c r="C10" s="15"/>
      <c r="D10" s="15"/>
      <c r="E10" s="60"/>
      <c r="F10" s="61"/>
    </row>
    <row r="11" spans="1:11" ht="19.5" thickBot="1" x14ac:dyDescent="0.35">
      <c r="A11" s="430"/>
      <c r="B11" s="15"/>
      <c r="C11" s="15"/>
      <c r="D11" s="15"/>
      <c r="E11" s="60"/>
      <c r="F11" s="442"/>
    </row>
    <row r="12" spans="1:11" ht="21.75" thickBot="1" x14ac:dyDescent="0.4">
      <c r="A12" s="430"/>
      <c r="B12" s="15"/>
      <c r="C12" s="15"/>
      <c r="D12" s="15"/>
      <c r="E12" s="441"/>
      <c r="F12" s="443">
        <f>SUM(F6:F9)</f>
        <v>1059500</v>
      </c>
    </row>
  </sheetData>
  <protectedRanges>
    <protectedRange sqref="K6:K9" name="Range1"/>
    <protectedRange sqref="K4:K5" name="Range1_1"/>
  </protectedRanges>
  <sortState ref="A6:K9">
    <sortCondition ref="B6:B9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B698F-182C-4C49-9BCE-8F820111DED0}">
  <sheetPr>
    <tabColor rgb="FF002060"/>
  </sheetPr>
  <dimension ref="A1:K23"/>
  <sheetViews>
    <sheetView view="pageBreakPreview" topLeftCell="A7" zoomScale="85" zoomScaleNormal="100" zoomScaleSheetLayoutView="85" workbookViewId="0">
      <selection activeCell="G17" sqref="G17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N!B51</f>
        <v>PHILIPS PHARMACEUTICALS NIGERIA LIMITED</v>
      </c>
      <c r="C1" s="816"/>
      <c r="D1" s="816"/>
      <c r="E1" s="816"/>
      <c r="F1" s="816"/>
      <c r="K1" t="s">
        <v>618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BID!A462</f>
        <v>417</v>
      </c>
      <c r="B6" s="15" t="str">
        <f>BID!B462</f>
        <v>ANTI-SNAKE VENOM INJ</v>
      </c>
      <c r="C6" s="15" t="str">
        <f>BID!C462</f>
        <v>VIAL</v>
      </c>
      <c r="D6" s="15">
        <f>IF(K6&gt;0,(K6/100)*BID!D462,1*BID!D462)</f>
        <v>24</v>
      </c>
      <c r="E6" s="60">
        <f>IF(K6&gt;0,PR!AZ460,IF(BID!K462="PHILIPS",BID!L462,0))</f>
        <v>25000</v>
      </c>
      <c r="F6" s="61">
        <f t="shared" ref="F6:F20" si="0">IF(E6&gt;0,(E6*D6),0)</f>
        <v>600000</v>
      </c>
      <c r="K6" s="445"/>
    </row>
    <row r="7" spans="1:11" ht="20.25" thickTop="1" thickBot="1" x14ac:dyDescent="0.35">
      <c r="A7" s="430">
        <f>BID!A14</f>
        <v>2</v>
      </c>
      <c r="B7" s="15" t="str">
        <f>BID!B14</f>
        <v>ARTEMETHER 80MG INJ</v>
      </c>
      <c r="C7" s="15">
        <f>BID!C14</f>
        <v>6</v>
      </c>
      <c r="D7" s="15">
        <f>IF(K7&gt;0,(K7/100)*BID!D14,1*BID!D14)</f>
        <v>400</v>
      </c>
      <c r="E7" s="60">
        <f>IF(K7&gt;0,PR!AZ12,IF(BID!K14="PHILIPS",BID!L14,0))</f>
        <v>200</v>
      </c>
      <c r="F7" s="61">
        <f t="shared" si="0"/>
        <v>80000</v>
      </c>
      <c r="K7" s="445">
        <v>50</v>
      </c>
    </row>
    <row r="8" spans="1:11" ht="20.25" thickTop="1" thickBot="1" x14ac:dyDescent="0.35">
      <c r="A8" s="430">
        <f>BID!A242</f>
        <v>216</v>
      </c>
      <c r="B8" s="15" t="str">
        <f>BID!B242</f>
        <v>AZITHROMYCIN 500MG</v>
      </c>
      <c r="C8" s="15">
        <f>BID!C242</f>
        <v>10</v>
      </c>
      <c r="D8" s="15">
        <f>IF(K8&gt;0,(K8/100)*BID!D242,1*BID!D242)</f>
        <v>500</v>
      </c>
      <c r="E8" s="60">
        <f>IF(K8&gt;0,PR!AZ240,IF(BID!K242="PHILIPS",BID!L242,0))</f>
        <v>300</v>
      </c>
      <c r="F8" s="61">
        <f t="shared" si="0"/>
        <v>150000</v>
      </c>
      <c r="K8" s="445"/>
    </row>
    <row r="9" spans="1:11" ht="20.25" thickTop="1" thickBot="1" x14ac:dyDescent="0.35">
      <c r="A9" s="430">
        <f>BID!A257</f>
        <v>231</v>
      </c>
      <c r="B9" s="15" t="str">
        <f>BID!B257</f>
        <v>CEFUROXIME 500MG TAB</v>
      </c>
      <c r="C9" s="15">
        <f>BID!C257</f>
        <v>10</v>
      </c>
      <c r="D9" s="15">
        <f>IF(K9&gt;0,(K9/100)*BID!D257,1*BID!D257)</f>
        <v>2000</v>
      </c>
      <c r="E9" s="60">
        <f>IF(K9&gt;0,PR!AZ255,IF(BID!K257="PHILIPS",BID!L257,0))</f>
        <v>750</v>
      </c>
      <c r="F9" s="61">
        <f t="shared" si="0"/>
        <v>1500000</v>
      </c>
      <c r="K9" s="445">
        <v>50</v>
      </c>
    </row>
    <row r="10" spans="1:11" ht="20.25" thickTop="1" thickBot="1" x14ac:dyDescent="0.35">
      <c r="A10" s="430">
        <f>BID!A75</f>
        <v>57</v>
      </c>
      <c r="B10" s="15" t="str">
        <f>BID!B75</f>
        <v>CLOPIDOGREL 75MG TAB</v>
      </c>
      <c r="C10" s="15">
        <f>BID!C75</f>
        <v>30</v>
      </c>
      <c r="D10" s="15">
        <f>IF(K10&gt;0,(K10/100)*BID!D75,1*BID!D75)</f>
        <v>2000</v>
      </c>
      <c r="E10" s="60">
        <f>IF(K10&gt;0,PR!AZ73,IF(BID!K75="PHILIPS",BID!L75,0))</f>
        <v>690</v>
      </c>
      <c r="F10" s="61">
        <f t="shared" si="0"/>
        <v>1380000</v>
      </c>
      <c r="K10" s="445">
        <v>25</v>
      </c>
    </row>
    <row r="11" spans="1:11" ht="20.25" thickTop="1" thickBot="1" x14ac:dyDescent="0.35">
      <c r="A11" s="430">
        <f>BID!A173</f>
        <v>150</v>
      </c>
      <c r="B11" s="15" t="str">
        <f>BID!B173</f>
        <v>DEXKETOPROFEN 25MG</v>
      </c>
      <c r="C11" s="15">
        <f>BID!C173</f>
        <v>20</v>
      </c>
      <c r="D11" s="15">
        <f>IF(K11&gt;0,(K11/100)*BID!D173,1*BID!D173)</f>
        <v>1200</v>
      </c>
      <c r="E11" s="60">
        <f>IF(K11&gt;0,PR!AZ171,IF(BID!K173="PHILIPS",BID!L173,0))</f>
        <v>2100</v>
      </c>
      <c r="F11" s="61">
        <f t="shared" si="0"/>
        <v>2520000</v>
      </c>
      <c r="K11" s="445"/>
    </row>
    <row r="12" spans="1:11" ht="20.25" thickTop="1" thickBot="1" x14ac:dyDescent="0.35">
      <c r="A12" s="430">
        <f>BID!A189</f>
        <v>166</v>
      </c>
      <c r="B12" s="15" t="str">
        <f>BID!B189</f>
        <v>KETOPROFEN 2.5% GEL 100G</v>
      </c>
      <c r="C12" s="15" t="str">
        <f>BID!C189</f>
        <v>TUBE</v>
      </c>
      <c r="D12" s="15">
        <f>IF(K12&gt;0,(K12/100)*BID!D189,1*BID!D189)</f>
        <v>200</v>
      </c>
      <c r="E12" s="60">
        <f>IF(K12&gt;0,PR!AZ187,IF(BID!K189="PHILIPS",BID!L189,0))</f>
        <v>2950</v>
      </c>
      <c r="F12" s="61">
        <f t="shared" si="0"/>
        <v>590000</v>
      </c>
      <c r="K12" s="445"/>
    </row>
    <row r="13" spans="1:11" ht="20.25" thickTop="1" thickBot="1" x14ac:dyDescent="0.35">
      <c r="A13" s="430">
        <f>BID!A188</f>
        <v>165</v>
      </c>
      <c r="B13" s="15" t="str">
        <f>BID!B188</f>
        <v>KETOPROFEN 2.5% GEL 10G</v>
      </c>
      <c r="C13" s="15" t="str">
        <f>BID!C188</f>
        <v>TUBE</v>
      </c>
      <c r="D13" s="15">
        <f>IF(K13&gt;0,(K13/100)*BID!D188,1*BID!D188)</f>
        <v>600</v>
      </c>
      <c r="E13" s="60">
        <f>IF(K13&gt;0,PR!AZ186,IF(BID!K188="PHILIPS",BID!L188,0))</f>
        <v>500</v>
      </c>
      <c r="F13" s="61">
        <f t="shared" si="0"/>
        <v>300000</v>
      </c>
      <c r="K13" s="445"/>
    </row>
    <row r="14" spans="1:11" ht="20.25" thickTop="1" thickBot="1" x14ac:dyDescent="0.35">
      <c r="A14" s="430">
        <f>BID!A187</f>
        <v>164</v>
      </c>
      <c r="B14" s="15" t="str">
        <f>BID!B187</f>
        <v>KETOPROFEN 2.5% GEL 50G</v>
      </c>
      <c r="C14" s="15" t="str">
        <f>BID!C187</f>
        <v>TUBE</v>
      </c>
      <c r="D14" s="15">
        <f>IF(K14&gt;0,(K14/100)*BID!D187,1*BID!D187)</f>
        <v>1200</v>
      </c>
      <c r="E14" s="60">
        <f>IF(K14&gt;0,PR!AZ185,IF(BID!K187="PHILIPS",BID!L187,0))</f>
        <v>1450</v>
      </c>
      <c r="F14" s="61">
        <f t="shared" si="0"/>
        <v>1740000</v>
      </c>
      <c r="K14" s="445"/>
    </row>
    <row r="15" spans="1:11" ht="20.25" thickTop="1" thickBot="1" x14ac:dyDescent="0.35">
      <c r="A15" s="430">
        <f>BID!A483</f>
        <v>435</v>
      </c>
      <c r="B15" s="15" t="str">
        <f>BID!B483</f>
        <v>MAGNESIUM HYDROXIDE/ALUMINIUM HYDROXIDE+ DIMETHICONE SUSP</v>
      </c>
      <c r="C15" s="15" t="str">
        <f>BID!C483</f>
        <v>BOTT</v>
      </c>
      <c r="D15" s="15">
        <f>IF(K15&gt;0,(K15/100)*BID!D483,1*BID!D483)</f>
        <v>1000</v>
      </c>
      <c r="E15" s="60">
        <v>490</v>
      </c>
      <c r="F15" s="61">
        <f t="shared" si="0"/>
        <v>490000</v>
      </c>
      <c r="K15" s="445">
        <v>25</v>
      </c>
    </row>
    <row r="16" spans="1:11" ht="20.25" thickTop="1" thickBot="1" x14ac:dyDescent="0.35">
      <c r="A16" s="430">
        <f>BID!A211</f>
        <v>188</v>
      </c>
      <c r="B16" s="15" t="str">
        <f>BID!B211</f>
        <v>PREGABALIN 75MG CAP</v>
      </c>
      <c r="C16" s="15">
        <f>BID!C211</f>
        <v>30</v>
      </c>
      <c r="D16" s="15">
        <f>IF(K16&gt;0,(K16/100)*BID!D211,1*BID!D211)</f>
        <v>1680</v>
      </c>
      <c r="E16" s="60">
        <f>IF(K16&gt;0,PR!AZ209,IF(BID!K211="PHILIPS",BID!L211,0))</f>
        <v>1950</v>
      </c>
      <c r="F16" s="61">
        <f t="shared" si="0"/>
        <v>3276000</v>
      </c>
      <c r="K16" s="445">
        <v>70</v>
      </c>
    </row>
    <row r="17" spans="1:11" ht="20.25" thickTop="1" thickBot="1" x14ac:dyDescent="0.35">
      <c r="A17" s="430">
        <f>BID!A466</f>
        <v>421</v>
      </c>
      <c r="B17" s="15" t="str">
        <f>BID!B466</f>
        <v>RABBIES VACCINE INJ</v>
      </c>
      <c r="C17" s="15" t="str">
        <f>BID!C466</f>
        <v>VIAL</v>
      </c>
      <c r="D17" s="15">
        <f>IF(K17&gt;0,(K17/100)*BID!D466,1*BID!D466)</f>
        <v>120</v>
      </c>
      <c r="E17" s="60">
        <f>IF(K17&gt;0,PR!AZ464,IF(BID!K466="PHILIPS",BID!L466,0))</f>
        <v>4400</v>
      </c>
      <c r="F17" s="61">
        <f t="shared" si="0"/>
        <v>528000</v>
      </c>
      <c r="K17" s="445"/>
    </row>
    <row r="18" spans="1:11" ht="20.25" thickTop="1" thickBot="1" x14ac:dyDescent="0.35">
      <c r="A18" s="430">
        <f>BID!A500</f>
        <v>452</v>
      </c>
      <c r="B18" s="15" t="str">
        <f>BID!B500</f>
        <v>SACCHAROMYCES BOULARDII 250mg</v>
      </c>
      <c r="C18" s="15">
        <f>BID!C500</f>
        <v>10</v>
      </c>
      <c r="D18" s="15">
        <f>IF(K18&gt;0,(K18/100)*BID!D500,1*BID!D500)</f>
        <v>400</v>
      </c>
      <c r="E18" s="60">
        <f>IF(K18&gt;0,PR!AZ498,IF(BID!K500="PHILIPS",BID!L500,0))</f>
        <v>3500</v>
      </c>
      <c r="F18" s="61">
        <f t="shared" si="0"/>
        <v>1400000</v>
      </c>
      <c r="K18" s="445"/>
    </row>
    <row r="19" spans="1:11" ht="20.25" thickTop="1" thickBot="1" x14ac:dyDescent="0.35">
      <c r="A19" s="430">
        <f>BID!A125</f>
        <v>107</v>
      </c>
      <c r="B19" s="15" t="str">
        <f>BID!B125</f>
        <v>TELMISARTAN 80MG TAB</v>
      </c>
      <c r="C19" s="15">
        <f>BID!C125</f>
        <v>30</v>
      </c>
      <c r="D19" s="15">
        <f>IF(K19&gt;0,(K19/100)*BID!D125,1*BID!D125)</f>
        <v>26</v>
      </c>
      <c r="E19" s="60">
        <f>IF(K19&gt;0,PR!AZ123,IF(BID!K125="PHILIPS",BID!L125,0))</f>
        <v>2500</v>
      </c>
      <c r="F19" s="61">
        <f t="shared" si="0"/>
        <v>65000</v>
      </c>
      <c r="K19" s="445">
        <v>50</v>
      </c>
    </row>
    <row r="20" spans="1:11" ht="20.25" thickTop="1" thickBot="1" x14ac:dyDescent="0.35">
      <c r="A20" s="430">
        <f>BID!A501</f>
        <v>453</v>
      </c>
      <c r="B20" s="15" t="str">
        <f>BID!B501</f>
        <v>UNIENZYME TAB</v>
      </c>
      <c r="C20" s="15">
        <f>BID!C501</f>
        <v>20</v>
      </c>
      <c r="D20" s="15">
        <f>IF(K20&gt;0,(K20/100)*BID!D501,1*BID!D501)</f>
        <v>500</v>
      </c>
      <c r="E20" s="60">
        <f>IF(K20&gt;0,PR!AZ499,IF(BID!K501="PHILIPS",BID!L501,0))</f>
        <v>735</v>
      </c>
      <c r="F20" s="61">
        <f t="shared" si="0"/>
        <v>367500</v>
      </c>
      <c r="K20" s="445"/>
    </row>
    <row r="21" spans="1:11" ht="19.5" thickTop="1" x14ac:dyDescent="0.3">
      <c r="A21" s="430"/>
      <c r="B21" s="15"/>
      <c r="C21" s="15"/>
      <c r="D21" s="15"/>
      <c r="E21" s="60"/>
      <c r="F21" s="61"/>
    </row>
    <row r="22" spans="1:11" ht="19.5" thickBot="1" x14ac:dyDescent="0.35">
      <c r="A22" s="430"/>
      <c r="B22" s="15"/>
      <c r="C22" s="15"/>
      <c r="D22" s="15"/>
      <c r="E22" s="60"/>
      <c r="F22" s="442"/>
    </row>
    <row r="23" spans="1:11" ht="21.75" thickBot="1" x14ac:dyDescent="0.4">
      <c r="A23" s="430"/>
      <c r="B23" s="15"/>
      <c r="C23" s="15"/>
      <c r="D23" s="15"/>
      <c r="E23" s="441"/>
      <c r="F23" s="443">
        <f>SUM(F6:F20)</f>
        <v>14986500</v>
      </c>
    </row>
  </sheetData>
  <sheetProtection algorithmName="SHA-512" hashValue="VJLk71ZoJBIjPYav3cKwLYE/vhLvU20sd7St0kO+AgepLdEFGDS5TnKXta6X8Y9EY2nnqQ5dl8a1XgtKnnjqwA==" saltValue="No20peNry/xgvJ6pnW9SqA==" spinCount="100000" sheet="1" objects="1" scenarios="1"/>
  <protectedRanges>
    <protectedRange sqref="K6:K18 K20" name="Range1"/>
    <protectedRange sqref="K4:K5" name="Range1_1"/>
    <protectedRange sqref="K19" name="Range1_4"/>
  </protectedRanges>
  <sortState ref="A6:K20">
    <sortCondition ref="B6:B20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4B907-ACD4-4B3F-931A-2FD0DCC0B992}">
  <sheetPr>
    <tabColor rgb="FF7030A0"/>
  </sheetPr>
  <dimension ref="A1:K19"/>
  <sheetViews>
    <sheetView view="pageBreakPreview" zoomScale="85" zoomScaleNormal="100" zoomScaleSheetLayoutView="85" workbookViewId="0">
      <selection activeCell="K1" sqref="K1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N!B52</f>
        <v>RANBAXY NIGERIA LIMITED</v>
      </c>
      <c r="C1" s="816"/>
      <c r="D1" s="816"/>
      <c r="E1" s="816"/>
      <c r="F1" s="816"/>
      <c r="K1" t="s">
        <v>636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BID!A59</f>
        <v>41</v>
      </c>
      <c r="B6" s="15" t="str">
        <f>BID!B59</f>
        <v>AMLODIPINE/VALSARTAN 10/160MG TAB</v>
      </c>
      <c r="C6" s="15">
        <f>BID!C59</f>
        <v>28</v>
      </c>
      <c r="D6" s="15">
        <f>IF(K6&gt;0,(K6/100)*BID!D59,1*BID!D59)</f>
        <v>60</v>
      </c>
      <c r="E6" s="60">
        <f>IF(K6&gt;0,PR!BA57,IF(BID!K59="RANBAXY",BID!L59,0))</f>
        <v>2214</v>
      </c>
      <c r="F6" s="61">
        <f t="shared" ref="F6:F16" si="0">IF(E6&gt;0,(E6*D6),0)</f>
        <v>132840</v>
      </c>
      <c r="K6" s="445"/>
    </row>
    <row r="7" spans="1:11" ht="20.25" thickTop="1" thickBot="1" x14ac:dyDescent="0.35">
      <c r="A7" s="430">
        <f>BID!A58</f>
        <v>40</v>
      </c>
      <c r="B7" s="15" t="str">
        <f>BID!B58</f>
        <v>AMLODIPINE/VALSARTAN 5/160MG TAB</v>
      </c>
      <c r="C7" s="15">
        <f>BID!C58</f>
        <v>28</v>
      </c>
      <c r="D7" s="15">
        <f>IF(K7&gt;0,(K7/100)*BID!D58,1*BID!D58)</f>
        <v>60</v>
      </c>
      <c r="E7" s="60">
        <f>IF(K7&gt;0,PR!BA56,IF(BID!K58="RANBAXY",BID!L58,0))</f>
        <v>2099</v>
      </c>
      <c r="F7" s="61">
        <f t="shared" si="0"/>
        <v>125940</v>
      </c>
      <c r="K7" s="445"/>
    </row>
    <row r="8" spans="1:11" ht="20.25" thickTop="1" thickBot="1" x14ac:dyDescent="0.35">
      <c r="A8" s="430">
        <f>BID!A230</f>
        <v>204</v>
      </c>
      <c r="B8" s="15" t="str">
        <f>BID!B230</f>
        <v>AMOXICILLIN/CLAVULANIC ACID 1.2G INJ</v>
      </c>
      <c r="C8" s="15" t="str">
        <f>BID!C230</f>
        <v>VIAL</v>
      </c>
      <c r="D8" s="15">
        <f>IF(K8&gt;0,(K8/100)*BID!D230,1*BID!D230)</f>
        <v>2400</v>
      </c>
      <c r="E8" s="60">
        <f>IF(K8&gt;0,PR!BA228,IF(BID!K230="RANBAXY",BID!L230,0))</f>
        <v>552</v>
      </c>
      <c r="F8" s="61">
        <f t="shared" si="0"/>
        <v>1324800</v>
      </c>
      <c r="K8" s="445">
        <v>20</v>
      </c>
    </row>
    <row r="9" spans="1:11" ht="20.25" thickTop="1" thickBot="1" x14ac:dyDescent="0.35">
      <c r="A9" s="664">
        <f>BID!A232</f>
        <v>206</v>
      </c>
      <c r="B9" s="15" t="str">
        <f>BID!B232</f>
        <v>AMOXICILLIN/CLAVULANIC ACID 375MG TAB</v>
      </c>
      <c r="C9" s="15">
        <v>20</v>
      </c>
      <c r="D9" s="15">
        <f>IF(K9&gt;0,(K9/100)*BID!D232,1*BID!D232)</f>
        <v>600</v>
      </c>
      <c r="E9" s="60">
        <v>748</v>
      </c>
      <c r="F9" s="61">
        <f t="shared" si="0"/>
        <v>448800</v>
      </c>
      <c r="K9" s="445"/>
    </row>
    <row r="10" spans="1:11" ht="20.25" thickTop="1" thickBot="1" x14ac:dyDescent="0.35">
      <c r="A10" s="430">
        <v>9</v>
      </c>
      <c r="B10" s="15" t="s">
        <v>2174</v>
      </c>
      <c r="C10" s="15">
        <v>10</v>
      </c>
      <c r="D10" s="15">
        <v>20</v>
      </c>
      <c r="E10" s="60">
        <v>8650</v>
      </c>
      <c r="F10" s="61">
        <f t="shared" si="0"/>
        <v>173000</v>
      </c>
      <c r="K10" s="445"/>
    </row>
    <row r="11" spans="1:11" ht="20.25" thickTop="1" thickBot="1" x14ac:dyDescent="0.35">
      <c r="A11" s="430">
        <f>BID!A289</f>
        <v>263</v>
      </c>
      <c r="B11" s="15" t="str">
        <f>BID!B289</f>
        <v>MEROPENEM 1GM INJ</v>
      </c>
      <c r="C11" s="15" t="str">
        <f>BID!C289</f>
        <v>VIAL</v>
      </c>
      <c r="D11" s="15">
        <f>IF(K11&gt;0,(K11/100)*BID!D289,1*BID!D289)</f>
        <v>800</v>
      </c>
      <c r="E11" s="60">
        <f>IF(K11&gt;0,PR!BA287,IF(BID!K289="RANBAXY",BID!L289,0))</f>
        <v>3910</v>
      </c>
      <c r="F11" s="61">
        <f t="shared" si="0"/>
        <v>3128000</v>
      </c>
      <c r="K11" s="445">
        <v>80</v>
      </c>
    </row>
    <row r="12" spans="1:11" ht="20.25" thickTop="1" thickBot="1" x14ac:dyDescent="0.35">
      <c r="A12" s="430">
        <v>184</v>
      </c>
      <c r="B12" s="15" t="s">
        <v>745</v>
      </c>
      <c r="C12" s="15">
        <v>100</v>
      </c>
      <c r="D12" s="15">
        <v>84</v>
      </c>
      <c r="E12" s="60">
        <v>10350</v>
      </c>
      <c r="F12" s="61">
        <f t="shared" si="0"/>
        <v>869400</v>
      </c>
      <c r="K12" s="445">
        <v>70</v>
      </c>
    </row>
    <row r="13" spans="1:11" ht="20.25" thickTop="1" thickBot="1" x14ac:dyDescent="0.35">
      <c r="A13" s="664">
        <f>BID!A116</f>
        <v>98</v>
      </c>
      <c r="B13" s="15" t="str">
        <f>BID!B116</f>
        <v>ROSUVASTATIN 10MG</v>
      </c>
      <c r="C13" s="15">
        <v>28</v>
      </c>
      <c r="D13" s="15">
        <f>IF(K13&gt;0,(K13/100)*BID!D116,1*BID!D116)</f>
        <v>600</v>
      </c>
      <c r="E13" s="60">
        <v>805</v>
      </c>
      <c r="F13" s="61">
        <f t="shared" si="0"/>
        <v>483000</v>
      </c>
      <c r="K13" s="445">
        <v>20</v>
      </c>
    </row>
    <row r="14" spans="1:11" ht="20.25" thickTop="1" thickBot="1" x14ac:dyDescent="0.35">
      <c r="A14" s="664">
        <f>BID!A117</f>
        <v>99</v>
      </c>
      <c r="B14" s="15" t="str">
        <f>BID!B117</f>
        <v xml:space="preserve">ROSUVASTATIN 20MG </v>
      </c>
      <c r="C14" s="15">
        <v>28</v>
      </c>
      <c r="D14" s="15">
        <f>IF(K14&gt;0,(K14/100)*BID!D117,1*BID!D117)</f>
        <v>120</v>
      </c>
      <c r="E14" s="60">
        <v>1035</v>
      </c>
      <c r="F14" s="61">
        <f t="shared" si="0"/>
        <v>124200</v>
      </c>
      <c r="K14" s="445">
        <v>50</v>
      </c>
    </row>
    <row r="15" spans="1:11" ht="20.25" thickTop="1" thickBot="1" x14ac:dyDescent="0.35">
      <c r="A15" s="430">
        <f>BID!A773</f>
        <v>701</v>
      </c>
      <c r="B15" s="15" t="str">
        <f>BID!B773</f>
        <v>TOLTERODINE 2MG</v>
      </c>
      <c r="C15" s="15">
        <f>BID!C773</f>
        <v>10</v>
      </c>
      <c r="D15" s="15">
        <f>IF(K15&gt;0,(K15/100)*BID!D773,1*BID!D773)</f>
        <v>60</v>
      </c>
      <c r="E15" s="60">
        <f>IF(K15&gt;0,PR!BA771,IF(BID!K773="RANBAXY",BID!L773,0))</f>
        <v>1656</v>
      </c>
      <c r="F15" s="61">
        <f t="shared" si="0"/>
        <v>99360</v>
      </c>
      <c r="K15" s="445"/>
    </row>
    <row r="16" spans="1:11" ht="20.25" thickTop="1" thickBot="1" x14ac:dyDescent="0.35">
      <c r="A16" s="430">
        <f>BID!A134</f>
        <v>116</v>
      </c>
      <c r="B16" s="15" t="str">
        <f>BID!B134</f>
        <v>VARSALTAN/HYDROCHLOROTHIAZIDE 160/12.5MG</v>
      </c>
      <c r="C16" s="15">
        <f>BID!C134</f>
        <v>28</v>
      </c>
      <c r="D16" s="15">
        <f>IF(K16&gt;0,(K16/100)*BID!D134,1*BID!D134)</f>
        <v>10</v>
      </c>
      <c r="E16" s="60">
        <f>IF(K16&gt;0,PR!BA132,IF(BID!K134="RANBAXY",BID!L134,0))</f>
        <v>2039.3333333333333</v>
      </c>
      <c r="F16" s="61">
        <f t="shared" si="0"/>
        <v>20393.333333333332</v>
      </c>
      <c r="K16" s="445"/>
    </row>
    <row r="17" spans="1:6" ht="19.5" thickTop="1" x14ac:dyDescent="0.3">
      <c r="A17" s="430"/>
      <c r="B17" s="15"/>
      <c r="C17" s="15"/>
      <c r="D17" s="15"/>
      <c r="E17" s="60"/>
      <c r="F17" s="61"/>
    </row>
    <row r="18" spans="1:6" ht="19.5" thickBot="1" x14ac:dyDescent="0.35">
      <c r="A18" s="430"/>
      <c r="B18" s="15"/>
      <c r="C18" s="15"/>
      <c r="D18" s="15"/>
      <c r="E18" s="60"/>
      <c r="F18" s="442"/>
    </row>
    <row r="19" spans="1:6" ht="21.75" thickBot="1" x14ac:dyDescent="0.4">
      <c r="A19" s="430"/>
      <c r="B19" s="15"/>
      <c r="C19" s="15"/>
      <c r="D19" s="15"/>
      <c r="E19" s="441"/>
      <c r="F19" s="443">
        <f>SUM(F6:F16)</f>
        <v>6929733.333333333</v>
      </c>
    </row>
  </sheetData>
  <sheetProtection algorithmName="SHA-512" hashValue="jhB/knQiDji3Nd3dbuRtETuKgd6D3FhRP+Jbso9NU3H5TYV3pFumxnOqBhTPlYXDz9R1PJrgnyN7Z1vQtW0FHg==" saltValue="la7S/xHCk5RPdGsG3AzB2g==" spinCount="100000" sheet="1" objects="1" scenarios="1"/>
  <protectedRanges>
    <protectedRange sqref="K6:K16" name="Range1"/>
    <protectedRange sqref="K4:K5" name="Range1_1"/>
  </protectedRanges>
  <sortState ref="A6:K16">
    <sortCondition ref="B6:B16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1A02E-6AF4-489F-8D9E-CEFEEDF3A64B}">
  <sheetPr>
    <tabColor rgb="FFFF0000"/>
  </sheetPr>
  <dimension ref="A1:K14"/>
  <sheetViews>
    <sheetView view="pageBreakPreview" topLeftCell="A2" zoomScale="85" zoomScaleNormal="100" zoomScaleSheetLayoutView="85" workbookViewId="0">
      <selection activeCell="A6" sqref="A6:XFD9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N!B54</f>
        <v>ROYAL PRIESTHOOD LABORATORIES LIMITED</v>
      </c>
      <c r="C1" s="816"/>
      <c r="D1" s="816"/>
      <c r="E1" s="816"/>
      <c r="F1" s="816"/>
      <c r="K1" t="s">
        <v>625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BID!A740</f>
        <v>670</v>
      </c>
      <c r="B6" s="15" t="str">
        <f>BID!B740</f>
        <v>CHLORHEXIDINE GLUCONATE 4% (HIBISCRUB)</v>
      </c>
      <c r="C6" s="15" t="str">
        <f>BID!C740</f>
        <v>500ML</v>
      </c>
      <c r="D6" s="15">
        <f>IF(K6&gt;0,(K6/100)*BID!D740,1*BID!D740)</f>
        <v>128</v>
      </c>
      <c r="E6" s="60">
        <f>IF(K6&gt;0,PR!BC738,IF(BID!K740="ROYAL",BID!L740,0))</f>
        <v>7500</v>
      </c>
      <c r="F6" s="61">
        <f t="shared" ref="F6:F11" si="0">IF(E6&gt;0,(E6*D6),0)</f>
        <v>960000</v>
      </c>
      <c r="K6" s="445"/>
    </row>
    <row r="7" spans="1:11" ht="20.25" thickTop="1" thickBot="1" x14ac:dyDescent="0.35">
      <c r="A7" s="430">
        <f>BID!A742</f>
        <v>672</v>
      </c>
      <c r="B7" s="15" t="str">
        <f>BID!B742</f>
        <v>CHLORHEXIDINE GLUCONATE+CETRIMIDE LOTION 100ML  (VALON)</v>
      </c>
      <c r="C7" s="15" t="str">
        <f>BID!C742</f>
        <v>BOTT</v>
      </c>
      <c r="D7" s="15">
        <f>IF(K7&gt;0,(K7/100)*BID!D742,1*BID!D742)</f>
        <v>2600</v>
      </c>
      <c r="E7" s="60">
        <f>IF(K7&gt;0,PR!BC740,IF(BID!K742="ROYAL",BID!L742,0))</f>
        <v>200</v>
      </c>
      <c r="F7" s="61">
        <f t="shared" si="0"/>
        <v>520000</v>
      </c>
      <c r="K7" s="445"/>
    </row>
    <row r="8" spans="1:11" ht="20.25" thickTop="1" thickBot="1" x14ac:dyDescent="0.35">
      <c r="A8" s="430">
        <f>BID!A743</f>
        <v>673</v>
      </c>
      <c r="B8" s="15" t="str">
        <f>BID!B743</f>
        <v xml:space="preserve">CHLORHEXIDINE GLUCONATE+CETRIMIDE LOTION 4L </v>
      </c>
      <c r="C8" s="15">
        <f>BID!C743</f>
        <v>1</v>
      </c>
      <c r="D8" s="15">
        <f>IF(K8&gt;0,(K8/100)*BID!D743,1*BID!D743)</f>
        <v>60</v>
      </c>
      <c r="E8" s="60">
        <f>IF(K8&gt;0,PR!BC741,IF(BID!K743="ROYAL",BID!L743,0))</f>
        <v>2500</v>
      </c>
      <c r="F8" s="61">
        <f t="shared" si="0"/>
        <v>150000</v>
      </c>
      <c r="K8" s="445"/>
    </row>
    <row r="9" spans="1:11" ht="20.25" thickTop="1" thickBot="1" x14ac:dyDescent="0.35">
      <c r="A9" s="430">
        <f>BID!A748</f>
        <v>678</v>
      </c>
      <c r="B9" s="15" t="str">
        <f>BID!B748</f>
        <v>METHYLATED SPIRIT B.P 100ML</v>
      </c>
      <c r="C9" s="15" t="str">
        <f>BID!C748</f>
        <v>BOTT</v>
      </c>
      <c r="D9" s="15">
        <f>IF(K9&gt;0,(K9/100)*BID!D748,1*BID!D748)</f>
        <v>20000</v>
      </c>
      <c r="E9" s="60">
        <f>IF(K9&gt;0,PR!BC746,IF(BID!K748="ROYAL",BID!L748,0))</f>
        <v>120</v>
      </c>
      <c r="F9" s="61">
        <f t="shared" si="0"/>
        <v>2400000</v>
      </c>
      <c r="K9" s="445"/>
    </row>
    <row r="10" spans="1:11" ht="20.25" thickTop="1" thickBot="1" x14ac:dyDescent="0.35">
      <c r="A10" s="430">
        <f>BID!A749</f>
        <v>679</v>
      </c>
      <c r="B10" s="15" t="str">
        <f>BID!B749</f>
        <v>METHYLATED SPIRIT B.P 2L</v>
      </c>
      <c r="C10" s="15">
        <f>BID!C749</f>
        <v>1</v>
      </c>
      <c r="D10" s="15">
        <f>IF(K10&gt;0,(K10/100)*BID!D749,1*BID!D749)</f>
        <v>440</v>
      </c>
      <c r="E10" s="60">
        <f>IF(K10&gt;0,PR!BC747,IF(BID!K749="ROYAL",BID!L749,0))</f>
        <v>1100</v>
      </c>
      <c r="F10" s="61">
        <f t="shared" si="0"/>
        <v>484000</v>
      </c>
      <c r="K10" s="445"/>
    </row>
    <row r="11" spans="1:11" ht="20.25" thickTop="1" thickBot="1" x14ac:dyDescent="0.35">
      <c r="A11" s="430">
        <f>BID!A753</f>
        <v>683</v>
      </c>
      <c r="B11" s="15" t="str">
        <f>BID!B753</f>
        <v xml:space="preserve">SODIUM HYPOCHLORITE SOLUTION 3.5%W/V </v>
      </c>
      <c r="C11" s="15">
        <f>BID!C753</f>
        <v>12</v>
      </c>
      <c r="D11" s="15">
        <f>IF(K11&gt;0,(K11/100)*BID!D753,1*BID!D753)</f>
        <v>1000</v>
      </c>
      <c r="E11" s="60">
        <f>IF(K11&gt;0,PR!BC751,IF(BID!K753="ROYAL",BID!L753,0))</f>
        <v>4500</v>
      </c>
      <c r="F11" s="61">
        <f t="shared" si="0"/>
        <v>4500000</v>
      </c>
      <c r="K11" s="445"/>
    </row>
    <row r="12" spans="1:11" ht="19.5" thickTop="1" x14ac:dyDescent="0.3">
      <c r="A12" s="430"/>
      <c r="B12" s="15"/>
      <c r="C12" s="15"/>
      <c r="D12" s="15"/>
      <c r="E12" s="60"/>
      <c r="F12" s="61"/>
    </row>
    <row r="13" spans="1:11" ht="19.5" thickBot="1" x14ac:dyDescent="0.35">
      <c r="A13" s="430"/>
      <c r="B13" s="15"/>
      <c r="C13" s="15"/>
      <c r="D13" s="15"/>
      <c r="E13" s="60"/>
      <c r="F13" s="442"/>
    </row>
    <row r="14" spans="1:11" ht="21.75" thickBot="1" x14ac:dyDescent="0.4">
      <c r="A14" s="430"/>
      <c r="B14" s="15"/>
      <c r="C14" s="15"/>
      <c r="D14" s="15"/>
      <c r="E14" s="441"/>
      <c r="F14" s="443">
        <f>SUM(F6:F11)</f>
        <v>9014000</v>
      </c>
    </row>
  </sheetData>
  <protectedRanges>
    <protectedRange sqref="K6:K11" name="Range1"/>
    <protectedRange sqref="K4:K5" name="Range1_1"/>
  </protectedRanges>
  <sortState ref="A6:K11">
    <sortCondition ref="B6:B11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639B-21E4-426A-83FB-D5648C719201}">
  <sheetPr>
    <tabColor rgb="FFFFC000"/>
  </sheetPr>
  <dimension ref="A1:K23"/>
  <sheetViews>
    <sheetView view="pageBreakPreview" zoomScale="85" zoomScaleNormal="100" zoomScaleSheetLayoutView="85" workbookViewId="0">
      <selection activeCell="K1" sqref="K1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N!B55</f>
        <v>SAM PHARMACEUTICALS LIMITED</v>
      </c>
      <c r="C1" s="816"/>
      <c r="D1" s="816"/>
      <c r="E1" s="816"/>
      <c r="F1" s="816"/>
      <c r="K1" t="s">
        <v>622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BID!A18</f>
        <v>6</v>
      </c>
      <c r="B6" s="15" t="str">
        <f>BID!B18</f>
        <v>ARTEMETHER/LUMEFANTRINE (20/120) TAB</v>
      </c>
      <c r="C6" s="15">
        <f>BID!C18</f>
        <v>24</v>
      </c>
      <c r="D6" s="15">
        <f>IF(K6&gt;0,(K6/100)*BID!D18,1*BID!D18)</f>
        <v>10000</v>
      </c>
      <c r="E6" s="60">
        <f>IF(K6&gt;0,PR!BD16,IF(BID!K18="SAM",BID!L18,0))</f>
        <v>210</v>
      </c>
      <c r="F6" s="61">
        <f t="shared" ref="F6:F20" si="0">IF(E6&gt;0,(E6*D6),0)</f>
        <v>2100000</v>
      </c>
      <c r="K6" s="445"/>
    </row>
    <row r="7" spans="1:11" ht="20.25" thickTop="1" thickBot="1" x14ac:dyDescent="0.35">
      <c r="A7" s="430">
        <f>BID!A249</f>
        <v>223</v>
      </c>
      <c r="B7" s="15" t="str">
        <f>BID!B249</f>
        <v>CEFIXIME SUSPENSION</v>
      </c>
      <c r="C7" s="15" t="str">
        <f>BID!C249</f>
        <v>BOTT</v>
      </c>
      <c r="D7" s="15">
        <f>IF(K7&gt;0,(K7/100)*BID!D249,1*BID!D249)</f>
        <v>60</v>
      </c>
      <c r="E7" s="60">
        <f>IF(K7&gt;0,PR!BD247,IF(BID!K249="SAM",BID!L249,0))</f>
        <v>730</v>
      </c>
      <c r="F7" s="61">
        <f t="shared" si="0"/>
        <v>43800</v>
      </c>
      <c r="K7" s="445"/>
    </row>
    <row r="8" spans="1:11" ht="20.25" thickTop="1" thickBot="1" x14ac:dyDescent="0.35">
      <c r="A8" s="430">
        <f>BID!A474</f>
        <v>426</v>
      </c>
      <c r="B8" s="15" t="str">
        <f>BID!B474</f>
        <v>CIMETIDINE 200MG TAB</v>
      </c>
      <c r="C8" s="15">
        <f>BID!C474</f>
        <v>100</v>
      </c>
      <c r="D8" s="15">
        <f>IF(K8&gt;0,(K8/100)*BID!D474,1*BID!D474)</f>
        <v>20</v>
      </c>
      <c r="E8" s="60">
        <f>IF(K8&gt;0,PR!BD472,IF(BID!K474="SAM",BID!L474,0))</f>
        <v>600</v>
      </c>
      <c r="F8" s="61">
        <f t="shared" si="0"/>
        <v>12000</v>
      </c>
      <c r="K8" s="445"/>
    </row>
    <row r="9" spans="1:11" ht="20.25" thickTop="1" thickBot="1" x14ac:dyDescent="0.35">
      <c r="A9" s="430">
        <f>BID!A262</f>
        <v>236</v>
      </c>
      <c r="B9" s="15" t="str">
        <f>BID!B262</f>
        <v>CIPROFLOXACIN 500MG TAB</v>
      </c>
      <c r="C9" s="15">
        <f>BID!C262</f>
        <v>10</v>
      </c>
      <c r="D9" s="15">
        <f>IF(K9&gt;0,(K9/100)*BID!D262,1*BID!D262)</f>
        <v>4800</v>
      </c>
      <c r="E9" s="60">
        <f>IF(K9&gt;0,PR!BD260,IF(BID!K262="SAM",BID!L262,0))</f>
        <v>149</v>
      </c>
      <c r="F9" s="61">
        <f t="shared" si="0"/>
        <v>715200</v>
      </c>
      <c r="K9" s="445">
        <v>60</v>
      </c>
    </row>
    <row r="10" spans="1:11" ht="20.25" thickTop="1" thickBot="1" x14ac:dyDescent="0.35">
      <c r="A10" s="430">
        <v>151</v>
      </c>
      <c r="B10" s="15" t="s">
        <v>95</v>
      </c>
      <c r="C10" s="15">
        <v>100</v>
      </c>
      <c r="D10" s="15">
        <v>1000</v>
      </c>
      <c r="E10" s="60">
        <v>295</v>
      </c>
      <c r="F10" s="61">
        <f t="shared" si="0"/>
        <v>295000</v>
      </c>
      <c r="K10" s="445"/>
    </row>
    <row r="11" spans="1:11" ht="20.25" thickTop="1" thickBot="1" x14ac:dyDescent="0.35">
      <c r="A11" s="430">
        <f>BID!A338</f>
        <v>306</v>
      </c>
      <c r="B11" s="15" t="str">
        <f>BID!B338</f>
        <v>FERROUS SULPHATE/FOLIC ACID</v>
      </c>
      <c r="C11" s="15">
        <f>BID!C338</f>
        <v>30</v>
      </c>
      <c r="D11" s="15">
        <f>IF(K11&gt;0,(K11/100)*BID!D338,1*BID!D338)</f>
        <v>2000</v>
      </c>
      <c r="E11" s="60">
        <f>IF(K11&gt;0,PR!BD336,IF(BID!K338="SAM",BID!L338,0))</f>
        <v>195</v>
      </c>
      <c r="F11" s="61">
        <f t="shared" si="0"/>
        <v>390000</v>
      </c>
      <c r="K11" s="445"/>
    </row>
    <row r="12" spans="1:11" ht="20.25" thickTop="1" thickBot="1" x14ac:dyDescent="0.35">
      <c r="A12" s="430">
        <f>BID!A93</f>
        <v>75</v>
      </c>
      <c r="B12" s="15" t="str">
        <f>BID!B93</f>
        <v>LISINOPRIL 10MG</v>
      </c>
      <c r="C12" s="15">
        <f>BID!C93</f>
        <v>28</v>
      </c>
      <c r="D12" s="15">
        <f>IF(K12&gt;0,(K12/100)*BID!D93,1*BID!D93)</f>
        <v>2400</v>
      </c>
      <c r="E12" s="60">
        <f>IF(K12&gt;0,PR!BD91,IF(BID!K93="SAM",BID!L93,0))</f>
        <v>260</v>
      </c>
      <c r="F12" s="61">
        <f t="shared" si="0"/>
        <v>624000</v>
      </c>
      <c r="K12" s="445">
        <v>80</v>
      </c>
    </row>
    <row r="13" spans="1:11" ht="20.25" thickTop="1" thickBot="1" x14ac:dyDescent="0.35">
      <c r="A13" s="430">
        <f>BID!A94</f>
        <v>76</v>
      </c>
      <c r="B13" s="15" t="str">
        <f>BID!B94</f>
        <v>LISINOPRIL 5MG</v>
      </c>
      <c r="C13" s="15">
        <f>BID!C94</f>
        <v>28</v>
      </c>
      <c r="D13" s="15">
        <f>IF(K13&gt;0,(K13/100)*BID!D94,1*BID!D94)</f>
        <v>1500</v>
      </c>
      <c r="E13" s="60">
        <f>IF(K13&gt;0,PR!BD92,IF(BID!K94="SAM",BID!L94,0))</f>
        <v>240</v>
      </c>
      <c r="F13" s="61">
        <f t="shared" si="0"/>
        <v>360000</v>
      </c>
      <c r="K13" s="445">
        <v>50</v>
      </c>
    </row>
    <row r="14" spans="1:11" ht="20.25" thickTop="1" thickBot="1" x14ac:dyDescent="0.35">
      <c r="A14" s="430">
        <f>BID!A483</f>
        <v>435</v>
      </c>
      <c r="B14" s="15" t="str">
        <f>BID!B483</f>
        <v>MAGNESIUM HYDROXIDE/ALUMINIUM HYDROXIDE+ DIMETHICONE SUSP</v>
      </c>
      <c r="C14" s="15" t="str">
        <f>BID!C483</f>
        <v>BOTT</v>
      </c>
      <c r="D14" s="15">
        <f>IF(K14&gt;0,(K14/100)*BID!D483,1*BID!D483)</f>
        <v>1000</v>
      </c>
      <c r="E14" s="60">
        <f>IF(K14&gt;0,PR!BD481,IF(BID!K483="SAM",BID!L483,0))</f>
        <v>465</v>
      </c>
      <c r="F14" s="61">
        <f t="shared" si="0"/>
        <v>465000</v>
      </c>
      <c r="K14" s="445">
        <v>25</v>
      </c>
    </row>
    <row r="15" spans="1:11" ht="20.25" thickTop="1" thickBot="1" x14ac:dyDescent="0.35">
      <c r="A15" s="430">
        <f>BID!A98</f>
        <v>80</v>
      </c>
      <c r="B15" s="15" t="str">
        <f>BID!B98</f>
        <v>METHYL-DOPA 250MG TAB</v>
      </c>
      <c r="C15" s="15">
        <f>BID!C98</f>
        <v>100</v>
      </c>
      <c r="D15" s="15">
        <f>IF(K15&gt;0,(K15/100)*BID!D98,1*BID!D98)</f>
        <v>800</v>
      </c>
      <c r="E15" s="60">
        <f>IF(K15&gt;0,PR!BD96,IF(BID!K98="SAM",BID!L98,0))</f>
        <v>1390</v>
      </c>
      <c r="F15" s="61">
        <f t="shared" si="0"/>
        <v>1112000</v>
      </c>
      <c r="K15" s="445">
        <v>40</v>
      </c>
    </row>
    <row r="16" spans="1:11" ht="20.25" thickTop="1" thickBot="1" x14ac:dyDescent="0.35">
      <c r="A16" s="430">
        <f>BID!A205</f>
        <v>182</v>
      </c>
      <c r="B16" s="15" t="str">
        <f>BID!B205</f>
        <v>PARACETAMOL INFUSION</v>
      </c>
      <c r="C16" s="15" t="str">
        <f>BID!C205</f>
        <v>BOTT</v>
      </c>
      <c r="D16" s="15">
        <f>IF(K16&gt;0,(K16/100)*BID!D205,1*BID!D205)</f>
        <v>15000</v>
      </c>
      <c r="E16" s="60">
        <f>IF(K16&gt;0,PR!BD203,IF(BID!K205="SAM",BID!L205,0))</f>
        <v>380</v>
      </c>
      <c r="F16" s="61">
        <f t="shared" si="0"/>
        <v>5700000</v>
      </c>
      <c r="K16" s="445">
        <v>50</v>
      </c>
    </row>
    <row r="17" spans="1:11" ht="20.25" thickTop="1" thickBot="1" x14ac:dyDescent="0.35">
      <c r="A17" s="430">
        <f>BID!A543</f>
        <v>489</v>
      </c>
      <c r="B17" s="15" t="str">
        <f>BID!B543</f>
        <v>PREDNISOLONE 5MG TAB</v>
      </c>
      <c r="C17" s="15">
        <f>BID!C543</f>
        <v>100</v>
      </c>
      <c r="D17" s="15">
        <f>IF(K17&gt;0,(K17/100)*BID!D543,1*BID!D543)</f>
        <v>800</v>
      </c>
      <c r="E17" s="60">
        <f>IF(K17&gt;0,PR!BD541,IF(BID!K543="SAM",BID!L543,0))</f>
        <v>260</v>
      </c>
      <c r="F17" s="61">
        <f t="shared" si="0"/>
        <v>208000</v>
      </c>
      <c r="K17" s="445"/>
    </row>
    <row r="18" spans="1:11" ht="20.25" thickTop="1" thickBot="1" x14ac:dyDescent="0.35">
      <c r="A18" s="664">
        <f>BID!A496</f>
        <v>448</v>
      </c>
      <c r="B18" s="15" t="str">
        <f>BID!B496</f>
        <v>RABEPRAZOLE 20MG CAP</v>
      </c>
      <c r="C18" s="15">
        <v>20</v>
      </c>
      <c r="D18" s="15">
        <f>IF(K18&gt;0,(K18/100)*BID!D496,1*BID!D496)</f>
        <v>300</v>
      </c>
      <c r="E18" s="60">
        <v>530</v>
      </c>
      <c r="F18" s="61">
        <f t="shared" si="0"/>
        <v>159000</v>
      </c>
      <c r="K18" s="445"/>
    </row>
    <row r="19" spans="1:11" ht="20.25" thickTop="1" thickBot="1" x14ac:dyDescent="0.35">
      <c r="A19" s="430">
        <f>BID!A369</f>
        <v>337</v>
      </c>
      <c r="B19" s="15" t="str">
        <f>BID!B369</f>
        <v>VITAMIN B COMPLEX TAB</v>
      </c>
      <c r="C19" s="15">
        <f>BID!C369</f>
        <v>1000</v>
      </c>
      <c r="D19" s="15">
        <f>IF(K19&gt;0,(K19/100)*BID!D369,1*BID!D369)</f>
        <v>400</v>
      </c>
      <c r="E19" s="60">
        <f>IF(K19&gt;0,PR!BD367,IF(BID!K369="SAM",BID!L369,0))</f>
        <v>380</v>
      </c>
      <c r="F19" s="61">
        <f t="shared" si="0"/>
        <v>152000</v>
      </c>
      <c r="K19" s="445">
        <v>50</v>
      </c>
    </row>
    <row r="20" spans="1:11" ht="20.25" thickTop="1" thickBot="1" x14ac:dyDescent="0.35">
      <c r="A20" s="430">
        <f>BID!A372</f>
        <v>340</v>
      </c>
      <c r="B20" s="15" t="str">
        <f>BID!B372</f>
        <v>VITAMIN C 100MG (CHEWABLE)</v>
      </c>
      <c r="C20" s="15">
        <f>BID!C372</f>
        <v>1000</v>
      </c>
      <c r="D20" s="15">
        <f>IF(K20&gt;0,(K20/100)*BID!D372,1*BID!D372)</f>
        <v>400</v>
      </c>
      <c r="E20" s="60">
        <f>IF(K20&gt;0,PR!BD370,IF(BID!K372="SAM",BID!L372,0))</f>
        <v>730</v>
      </c>
      <c r="F20" s="61">
        <f t="shared" si="0"/>
        <v>292000</v>
      </c>
      <c r="K20" s="445"/>
    </row>
    <row r="21" spans="1:11" ht="19.5" thickTop="1" x14ac:dyDescent="0.3">
      <c r="A21" s="430"/>
      <c r="B21" s="15"/>
      <c r="C21" s="15"/>
      <c r="D21" s="15"/>
      <c r="E21" s="60"/>
      <c r="F21" s="61"/>
    </row>
    <row r="22" spans="1:11" ht="19.5" thickBot="1" x14ac:dyDescent="0.35">
      <c r="A22" s="430"/>
      <c r="B22" s="15"/>
      <c r="C22" s="15"/>
      <c r="D22" s="15"/>
      <c r="E22" s="60"/>
      <c r="F22" s="442"/>
    </row>
    <row r="23" spans="1:11" ht="21.75" thickBot="1" x14ac:dyDescent="0.4">
      <c r="A23" s="430"/>
      <c r="B23" s="15"/>
      <c r="C23" s="15"/>
      <c r="D23" s="15"/>
      <c r="E23" s="441"/>
      <c r="F23" s="443">
        <f>SUM(F6:F20)</f>
        <v>12628000</v>
      </c>
    </row>
  </sheetData>
  <sheetProtection algorithmName="SHA-512" hashValue="5CJGLfgHtJtRWatuBuf3tXy0uOZdAyvJgqT7NxAQIwaTJyhs9JWmQgFX2HTKxwq+51WfTiwKMHCGVJFncdBQMg==" saltValue="zTBJqnKuYeYB336C+BuPWg==" spinCount="100000" sheet="1" objects="1" scenarios="1"/>
  <protectedRanges>
    <protectedRange sqref="K6:K20" name="Range1"/>
    <protectedRange sqref="K4:K5" name="Range1_1"/>
  </protectedRanges>
  <sortState ref="A6:K20">
    <sortCondition ref="B6:B20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5641B-43DF-4277-8805-00D8502B3921}">
  <sheetPr>
    <tabColor rgb="FFFFFF00"/>
  </sheetPr>
  <dimension ref="A1:K12"/>
  <sheetViews>
    <sheetView view="pageBreakPreview" zoomScale="85" zoomScaleNormal="100" zoomScaleSheetLayoutView="85" workbookViewId="0">
      <selection activeCell="A7" sqref="A7:E7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N!B56</f>
        <v>SEAGREEN PHARMACEUTICALS LIMITED</v>
      </c>
      <c r="C1" s="816"/>
      <c r="D1" s="816"/>
      <c r="E1" s="816"/>
      <c r="F1" s="816"/>
      <c r="K1" t="s">
        <v>1450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664">
        <f>BID!A234</f>
        <v>208</v>
      </c>
      <c r="B6" s="15" t="str">
        <f>BID!B234</f>
        <v>AMOXICILLIN/CLAVULANIC ACID 625MG TAB</v>
      </c>
      <c r="C6" s="15">
        <v>14</v>
      </c>
      <c r="D6" s="15">
        <f>IF(K6&gt;0,(K6/100)*BID!D234,1*BID!D234)</f>
        <v>800</v>
      </c>
      <c r="E6" s="60">
        <v>650</v>
      </c>
      <c r="F6" s="61">
        <f>IF(E6&gt;0,(E6*D6),0)</f>
        <v>520000</v>
      </c>
      <c r="K6" s="445">
        <v>20</v>
      </c>
    </row>
    <row r="7" spans="1:11" ht="20.25" thickTop="1" thickBot="1" x14ac:dyDescent="0.35">
      <c r="A7" s="430">
        <v>241</v>
      </c>
      <c r="B7" s="15" t="s">
        <v>2156</v>
      </c>
      <c r="C7" s="15">
        <v>6</v>
      </c>
      <c r="D7" s="15">
        <v>200</v>
      </c>
      <c r="E7" s="60">
        <v>900</v>
      </c>
      <c r="F7" s="61">
        <f>IF(E7&gt;0,(E7*D7),0)</f>
        <v>180000</v>
      </c>
      <c r="K7" s="445"/>
    </row>
    <row r="8" spans="1:11" ht="20.25" thickTop="1" thickBot="1" x14ac:dyDescent="0.35">
      <c r="A8" s="430">
        <f>BID!A254</f>
        <v>228</v>
      </c>
      <c r="B8" s="15" t="str">
        <f>BID!B254</f>
        <v>CEFTRIAXONE 1G INJ</v>
      </c>
      <c r="C8" s="15" t="str">
        <f>BID!C254</f>
        <v>VIAL</v>
      </c>
      <c r="D8" s="15">
        <f>IF(K8&gt;0,(K8/100)*BID!D254,1*BID!D254)</f>
        <v>10500</v>
      </c>
      <c r="E8" s="60">
        <f>IF(K8&gt;0,PR!BE252,IF(BID!K254="SEAGREEN",BID!L254,0))</f>
        <v>180</v>
      </c>
      <c r="F8" s="61">
        <f>IF(E8&gt;0,(E8*D8),0)</f>
        <v>1890000</v>
      </c>
      <c r="K8" s="445">
        <v>35</v>
      </c>
    </row>
    <row r="9" spans="1:11" ht="20.25" thickTop="1" thickBot="1" x14ac:dyDescent="0.35">
      <c r="A9" s="430">
        <f>BID!A123</f>
        <v>105</v>
      </c>
      <c r="B9" s="15" t="str">
        <f>BID!B123</f>
        <v>SIMVASTATIN 20MG TAB</v>
      </c>
      <c r="C9" s="15">
        <f>BID!C123</f>
        <v>28</v>
      </c>
      <c r="D9" s="15">
        <f>IF(K9&gt;0,(K9/100)*BID!D123,1*BID!D123)</f>
        <v>50</v>
      </c>
      <c r="E9" s="60">
        <f>IF(K9&gt;0,PR!BE121,IF(BID!K123="SEAGREEN",BID!L123,0))</f>
        <v>300</v>
      </c>
      <c r="F9" s="61">
        <f>IF(E9&gt;0,(E9*D9),0)</f>
        <v>15000</v>
      </c>
      <c r="K9" s="445"/>
    </row>
    <row r="10" spans="1:11" ht="19.5" thickTop="1" x14ac:dyDescent="0.3">
      <c r="A10" s="430"/>
      <c r="B10" s="15"/>
      <c r="C10" s="15"/>
      <c r="D10" s="15"/>
      <c r="E10" s="60"/>
      <c r="F10" s="61"/>
    </row>
    <row r="11" spans="1:11" ht="19.5" thickBot="1" x14ac:dyDescent="0.35">
      <c r="A11" s="430"/>
      <c r="B11" s="15"/>
      <c r="C11" s="15"/>
      <c r="D11" s="15"/>
      <c r="E11" s="60"/>
      <c r="F11" s="442"/>
    </row>
    <row r="12" spans="1:11" ht="21.75" thickBot="1" x14ac:dyDescent="0.4">
      <c r="A12" s="430"/>
      <c r="B12" s="15"/>
      <c r="C12" s="15"/>
      <c r="D12" s="15"/>
      <c r="E12" s="441"/>
      <c r="F12" s="443">
        <f>SUM(F6:F9)</f>
        <v>2605000</v>
      </c>
    </row>
  </sheetData>
  <protectedRanges>
    <protectedRange sqref="K6:K9" name="Range1"/>
    <protectedRange sqref="K4:K5" name="Range1_1"/>
  </protectedRanges>
  <sortState ref="A6:K9">
    <sortCondition ref="B6:B9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520C9-D70A-4492-8514-FB58D19ECB42}">
  <sheetPr>
    <tabColor rgb="FF92D050"/>
  </sheetPr>
  <dimension ref="A1:K16"/>
  <sheetViews>
    <sheetView view="pageBreakPreview" zoomScale="85" zoomScaleNormal="100" zoomScaleSheetLayoutView="85" workbookViewId="0"/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N!B57</f>
        <v>SKG PHARMACEUTICALS LIMITED</v>
      </c>
      <c r="C1" s="816"/>
      <c r="D1" s="816"/>
      <c r="E1" s="816"/>
      <c r="F1" s="816"/>
      <c r="K1" t="s">
        <v>387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BID!A237</f>
        <v>211</v>
      </c>
      <c r="B6" s="15" t="str">
        <f>BID!B237</f>
        <v>AMPICILLIN/CLOXACILLIIN 500MG CAP</v>
      </c>
      <c r="C6" s="15">
        <f>BID!C237</f>
        <v>100</v>
      </c>
      <c r="D6" s="15">
        <f>IF(K6&gt;0,(K6/100)*BID!D237,1*BID!D237)</f>
        <v>250</v>
      </c>
      <c r="E6" s="60">
        <f>IF(K6&gt;0,PR!BF235,IF(BID!K237="SKG",BID!L237,0))</f>
        <v>1104.4000000000001</v>
      </c>
      <c r="F6" s="61">
        <f t="shared" ref="F6:F13" si="0">IF(E6&gt;0,(E6*D6),0)</f>
        <v>276100</v>
      </c>
      <c r="K6" s="445">
        <v>50</v>
      </c>
    </row>
    <row r="7" spans="1:11" ht="20.25" thickTop="1" thickBot="1" x14ac:dyDescent="0.35">
      <c r="A7" s="430">
        <f>BID!A238</f>
        <v>212</v>
      </c>
      <c r="B7" s="15" t="str">
        <f>BID!B238</f>
        <v>AMPICILLIN/CLOXACILLIN 250MG/5ML SUSP</v>
      </c>
      <c r="C7" s="15" t="str">
        <f>BID!C238</f>
        <v>BOTT</v>
      </c>
      <c r="D7" s="15">
        <f>IF(K7&gt;0,(K7/100)*BID!D238,1*BID!D238)</f>
        <v>250</v>
      </c>
      <c r="E7" s="60">
        <f>IF(K7&gt;0,PR!BF236,IF(BID!K238="SKG",BID!L238,0))</f>
        <v>293.23</v>
      </c>
      <c r="F7" s="61">
        <f t="shared" si="0"/>
        <v>73307.5</v>
      </c>
      <c r="K7" s="445">
        <v>50</v>
      </c>
    </row>
    <row r="8" spans="1:11" ht="20.25" thickTop="1" thickBot="1" x14ac:dyDescent="0.35">
      <c r="A8" s="430">
        <f>BID!A757</f>
        <v>685</v>
      </c>
      <c r="B8" s="15" t="str">
        <f>BID!B757</f>
        <v>CALAMINE LOTION</v>
      </c>
      <c r="C8" s="15">
        <f>BID!C757</f>
        <v>12</v>
      </c>
      <c r="D8" s="15">
        <f>IF(K8&gt;0,(K8/100)*BID!D757,1*BID!D757)</f>
        <v>12</v>
      </c>
      <c r="E8" s="60">
        <f>IF(K8&gt;0,PR!BF755,IF(BID!K757="SKG",BID!L757,0))</f>
        <v>2265</v>
      </c>
      <c r="F8" s="61">
        <f t="shared" si="0"/>
        <v>27180</v>
      </c>
      <c r="K8" s="445"/>
    </row>
    <row r="9" spans="1:11" ht="20.25" thickTop="1" thickBot="1" x14ac:dyDescent="0.35">
      <c r="A9" s="430">
        <f>BID!A745</f>
        <v>675</v>
      </c>
      <c r="B9" s="15" t="str">
        <f>BID!B745</f>
        <v>HYDROGEN PEROXIDE 100ML</v>
      </c>
      <c r="C9" s="15" t="str">
        <f>BID!C745</f>
        <v>BOTT</v>
      </c>
      <c r="D9" s="15">
        <f>IF(K9&gt;0,(K9/100)*BID!D745,1*BID!D745)</f>
        <v>1000</v>
      </c>
      <c r="E9" s="60">
        <f>IF(K9&gt;0,PR!BF743,IF(BID!K745="SKG",BID!L745,0))</f>
        <v>123.59</v>
      </c>
      <c r="F9" s="61">
        <f t="shared" si="0"/>
        <v>123590</v>
      </c>
      <c r="K9" s="445"/>
    </row>
    <row r="10" spans="1:11" ht="20.25" thickTop="1" thickBot="1" x14ac:dyDescent="0.35">
      <c r="A10" s="430">
        <f>BID!A481</f>
        <v>433</v>
      </c>
      <c r="B10" s="15" t="str">
        <f>BID!B481</f>
        <v>LIQUID PARAFFIN</v>
      </c>
      <c r="C10" s="15" t="str">
        <f>BID!C481</f>
        <v>BOTT</v>
      </c>
      <c r="D10" s="15">
        <f>IF(K10&gt;0,(K10/100)*BID!D481,1*BID!D481)</f>
        <v>600</v>
      </c>
      <c r="E10" s="60">
        <f>IF(K10&gt;0,PR!BF479,IF(BID!K481="SKG",BID!L481,0))</f>
        <v>350.53</v>
      </c>
      <c r="F10" s="61">
        <f t="shared" si="0"/>
        <v>210317.99999999997</v>
      </c>
      <c r="K10" s="445"/>
    </row>
    <row r="11" spans="1:11" ht="20.25" thickTop="1" thickBot="1" x14ac:dyDescent="0.35">
      <c r="A11" s="430">
        <f>BID!A483</f>
        <v>435</v>
      </c>
      <c r="B11" s="15" t="str">
        <f>BID!B483</f>
        <v>MAGNESIUM HYDROXIDE/ALUMINIUM HYDROXIDE+ DIMETHICONE SUSP</v>
      </c>
      <c r="C11" s="15" t="str">
        <f>BID!C483</f>
        <v>BOTT</v>
      </c>
      <c r="D11" s="15">
        <f>IF(K11&gt;0,(K11/100)*BID!D483,1*BID!D483)</f>
        <v>1000</v>
      </c>
      <c r="E11" s="60">
        <f>IF(K11&gt;0,PR!BF481,IF(BID!K483="SKG",BID!L483,0))</f>
        <v>410.08</v>
      </c>
      <c r="F11" s="61">
        <f t="shared" si="0"/>
        <v>410080</v>
      </c>
      <c r="K11" s="445">
        <v>25</v>
      </c>
    </row>
    <row r="12" spans="1:11" ht="20.25" thickTop="1" thickBot="1" x14ac:dyDescent="0.35">
      <c r="A12" s="430">
        <f>BID!A546</f>
        <v>492</v>
      </c>
      <c r="B12" s="15" t="str">
        <f>BID!B546</f>
        <v xml:space="preserve">PSEUDOEPHEDRINE/TRIPROLIDINE SYR             </v>
      </c>
      <c r="C12" s="15" t="str">
        <f>BID!C546</f>
        <v>BOTT</v>
      </c>
      <c r="D12" s="15">
        <f>IF(K12&gt;0,(K12/100)*BID!D546,1*BID!D546)</f>
        <v>120</v>
      </c>
      <c r="E12" s="60">
        <f>IF(K12&gt;0,PR!BF544,IF(BID!K546="SKG",BID!L546,0))</f>
        <v>316.83</v>
      </c>
      <c r="F12" s="61">
        <f t="shared" si="0"/>
        <v>38019.599999999999</v>
      </c>
      <c r="K12" s="445"/>
    </row>
    <row r="13" spans="1:11" ht="20.25" thickTop="1" thickBot="1" x14ac:dyDescent="0.35">
      <c r="A13" s="430">
        <f>BID!A547</f>
        <v>493</v>
      </c>
      <c r="B13" s="15" t="str">
        <f>BID!B547</f>
        <v>PSEUDOEPHEDRINE/TRIPROLIDINE TAB</v>
      </c>
      <c r="C13" s="15">
        <f>BID!C547</f>
        <v>100</v>
      </c>
      <c r="D13" s="15">
        <f>IF(K13&gt;0,(K13/100)*BID!D547,1*BID!D547)</f>
        <v>80</v>
      </c>
      <c r="E13" s="60">
        <f>IF(K13&gt;0,PR!BF545,IF(BID!K547="SKG",BID!L547,0))</f>
        <v>1853.78</v>
      </c>
      <c r="F13" s="61">
        <f t="shared" si="0"/>
        <v>148302.39999999999</v>
      </c>
      <c r="K13" s="445"/>
    </row>
    <row r="14" spans="1:11" ht="19.5" thickTop="1" x14ac:dyDescent="0.3">
      <c r="A14" s="430"/>
      <c r="B14" s="15"/>
      <c r="C14" s="15"/>
      <c r="D14" s="15"/>
      <c r="E14" s="60"/>
      <c r="F14" s="61"/>
    </row>
    <row r="15" spans="1:11" ht="19.5" thickBot="1" x14ac:dyDescent="0.35">
      <c r="A15" s="430"/>
      <c r="B15" s="15"/>
      <c r="C15" s="15"/>
      <c r="D15" s="15"/>
      <c r="E15" s="60"/>
      <c r="F15" s="442"/>
    </row>
    <row r="16" spans="1:11" ht="21.75" thickBot="1" x14ac:dyDescent="0.4">
      <c r="A16" s="430"/>
      <c r="B16" s="15"/>
      <c r="C16" s="15"/>
      <c r="D16" s="15"/>
      <c r="E16" s="441"/>
      <c r="F16" s="443">
        <f>SUM(F6:F13)</f>
        <v>1306897.5</v>
      </c>
    </row>
  </sheetData>
  <protectedRanges>
    <protectedRange sqref="K6:K13" name="Range1"/>
    <protectedRange sqref="K4:K5" name="Range1_1"/>
  </protectedRanges>
  <sortState ref="A6:K13">
    <sortCondition ref="B6:B13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6318F-E4AA-486B-B703-43880F78A50D}">
  <sheetPr>
    <tabColor rgb="FF00B050"/>
  </sheetPr>
  <dimension ref="A1:K22"/>
  <sheetViews>
    <sheetView view="pageBreakPreview" zoomScale="85" zoomScaleNormal="100" zoomScaleSheetLayoutView="85" workbookViewId="0">
      <selection activeCell="B8" sqref="B8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N!B58</f>
        <v>TAH PHARMACEUTICALS LIMITED</v>
      </c>
      <c r="C1" s="816"/>
      <c r="D1" s="816"/>
      <c r="E1" s="816"/>
      <c r="F1" s="816"/>
      <c r="K1" t="s">
        <v>621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BID!A67</f>
        <v>49</v>
      </c>
      <c r="B6" s="15" t="str">
        <f>BID!B67</f>
        <v>ATORVASTATIN 20MG</v>
      </c>
      <c r="C6" s="15">
        <f>BID!C67</f>
        <v>30</v>
      </c>
      <c r="D6" s="15">
        <f>IF(K6&gt;0,(K6/100)*BID!D67,1*BID!D67)</f>
        <v>500</v>
      </c>
      <c r="E6" s="60">
        <f>IF(K6&gt;0,PR!BG65,IF(BID!K67="TAH",BID!L67,0))</f>
        <v>500</v>
      </c>
      <c r="F6" s="61">
        <f t="shared" ref="F6:F19" si="0">IF(E6&gt;0,(E6*D6),0)</f>
        <v>250000</v>
      </c>
      <c r="K6" s="445">
        <v>25</v>
      </c>
    </row>
    <row r="7" spans="1:11" ht="20.25" thickTop="1" thickBot="1" x14ac:dyDescent="0.35">
      <c r="A7" s="430">
        <f>BID!A644</f>
        <v>580</v>
      </c>
      <c r="B7" s="15" t="str">
        <f>BID!B644</f>
        <v>CANNULA 18G GREEN</v>
      </c>
      <c r="C7" s="15">
        <f>BID!C644</f>
        <v>50</v>
      </c>
      <c r="D7" s="15">
        <f>IF(K7&gt;0,(K7/100)*BID!D644,1*BID!D644)</f>
        <v>210</v>
      </c>
      <c r="E7" s="60">
        <f>IF(K7&gt;0,PR!BG642,IF(BID!K644="TAH",BID!L644,0))</f>
        <v>1900</v>
      </c>
      <c r="F7" s="61">
        <f t="shared" si="0"/>
        <v>399000</v>
      </c>
      <c r="K7" s="445">
        <v>70</v>
      </c>
    </row>
    <row r="8" spans="1:11" ht="20.25" thickTop="1" thickBot="1" x14ac:dyDescent="0.35">
      <c r="A8" s="430">
        <f>BID!A645</f>
        <v>581</v>
      </c>
      <c r="B8" s="15" t="str">
        <f>BID!B645</f>
        <v xml:space="preserve">CANNULA 20G PINK </v>
      </c>
      <c r="C8" s="15">
        <f>BID!C645</f>
        <v>50</v>
      </c>
      <c r="D8" s="15">
        <f>IF(K8&gt;0,(K8/100)*BID!D645,1*BID!D645)</f>
        <v>280</v>
      </c>
      <c r="E8" s="60">
        <f>IF(K8&gt;0,PR!BG643,IF(BID!K645="TAH",BID!L645,0))</f>
        <v>1900</v>
      </c>
      <c r="F8" s="61">
        <f t="shared" si="0"/>
        <v>532000</v>
      </c>
      <c r="K8" s="445">
        <v>70</v>
      </c>
    </row>
    <row r="9" spans="1:11" ht="20.25" thickTop="1" thickBot="1" x14ac:dyDescent="0.35">
      <c r="A9" s="430">
        <f>BID!A646</f>
        <v>582</v>
      </c>
      <c r="B9" s="15" t="str">
        <f>BID!B646</f>
        <v xml:space="preserve">CANNULA 22G BLUE </v>
      </c>
      <c r="C9" s="15">
        <f>BID!C646</f>
        <v>50</v>
      </c>
      <c r="D9" s="15">
        <f>IF(K9&gt;0,(K9/100)*BID!D646,1*BID!D646)</f>
        <v>140</v>
      </c>
      <c r="E9" s="60">
        <f>IF(K9&gt;0,PR!BG644,IF(BID!K646="TAH",BID!L646,0))</f>
        <v>1900</v>
      </c>
      <c r="F9" s="61">
        <f t="shared" si="0"/>
        <v>266000</v>
      </c>
      <c r="K9" s="445">
        <v>70</v>
      </c>
    </row>
    <row r="10" spans="1:11" ht="20.25" thickTop="1" thickBot="1" x14ac:dyDescent="0.35">
      <c r="A10" s="430">
        <f>BID!A647</f>
        <v>583</v>
      </c>
      <c r="B10" s="15" t="str">
        <f>BID!B647</f>
        <v xml:space="preserve">CANNULA 24G YELLOW </v>
      </c>
      <c r="C10" s="15">
        <f>BID!C647</f>
        <v>50</v>
      </c>
      <c r="D10" s="15">
        <f>IF(K10&gt;0,(K10/100)*BID!D647,1*BID!D647)</f>
        <v>90</v>
      </c>
      <c r="E10" s="60">
        <f>IF(K10&gt;0,PR!BG645,IF(BID!K647="TAH",BID!L647,0))</f>
        <v>2250</v>
      </c>
      <c r="F10" s="61">
        <f t="shared" si="0"/>
        <v>202500</v>
      </c>
      <c r="K10" s="445">
        <v>30</v>
      </c>
    </row>
    <row r="11" spans="1:11" ht="20.25" thickTop="1" thickBot="1" x14ac:dyDescent="0.35">
      <c r="A11" s="430">
        <f>BID!A250</f>
        <v>224</v>
      </c>
      <c r="B11" s="15" t="str">
        <f>BID!B250</f>
        <v>CEFOTAXIME 1G INJ</v>
      </c>
      <c r="C11" s="15" t="str">
        <f>BID!C250</f>
        <v>VIAL</v>
      </c>
      <c r="D11" s="15">
        <f>IF(K11&gt;0,(K11/100)*BID!D250,1*BID!D250)</f>
        <v>10</v>
      </c>
      <c r="E11" s="60">
        <f>IF(K11&gt;0,PR!BG248,IF(BID!K250="TAH",BID!L250,0))</f>
        <v>250</v>
      </c>
      <c r="F11" s="61">
        <f t="shared" si="0"/>
        <v>2500</v>
      </c>
      <c r="K11" s="445"/>
    </row>
    <row r="12" spans="1:11" ht="20.25" thickTop="1" thickBot="1" x14ac:dyDescent="0.35">
      <c r="A12" s="664">
        <f>BID!A477</f>
        <v>429</v>
      </c>
      <c r="B12" s="15" t="str">
        <f>BID!B477</f>
        <v>ESOMEPRAZOLE 20MG CAP</v>
      </c>
      <c r="C12" s="15">
        <v>50</v>
      </c>
      <c r="D12" s="15">
        <f>IF(K12&gt;0,(K12/100)*BID!D477,1*BID!D477)</f>
        <v>32</v>
      </c>
      <c r="E12" s="60">
        <v>1200</v>
      </c>
      <c r="F12" s="61">
        <f t="shared" si="0"/>
        <v>38400</v>
      </c>
      <c r="K12" s="445"/>
    </row>
    <row r="13" spans="1:11" ht="20.25" thickTop="1" thickBot="1" x14ac:dyDescent="0.35">
      <c r="A13" s="664">
        <f>BID!A478</f>
        <v>430</v>
      </c>
      <c r="B13" s="15" t="str">
        <f>BID!B478</f>
        <v>ESOMEPRAZOLE 40MG CAP</v>
      </c>
      <c r="C13" s="15">
        <v>50</v>
      </c>
      <c r="D13" s="15">
        <f>IF(K13&gt;0,(K13/100)*BID!D478,1*BID!D478)</f>
        <v>20</v>
      </c>
      <c r="E13" s="60">
        <v>1200</v>
      </c>
      <c r="F13" s="61">
        <f t="shared" si="0"/>
        <v>24000</v>
      </c>
      <c r="K13" s="445"/>
    </row>
    <row r="14" spans="1:11" ht="20.25" thickTop="1" thickBot="1" x14ac:dyDescent="0.35">
      <c r="A14" s="430">
        <f>BID!A446</f>
        <v>403</v>
      </c>
      <c r="B14" s="15" t="str">
        <f>BID!B446</f>
        <v>HEAVY MARCAINE INJ</v>
      </c>
      <c r="C14" s="15">
        <f>BID!C446</f>
        <v>10</v>
      </c>
      <c r="D14" s="15">
        <f>IF(K14&gt;0,(K14/100)*BID!D446,1*BID!D446)</f>
        <v>32.4</v>
      </c>
      <c r="E14" s="60">
        <f>IF(K14&gt;0,PR!BG444,IF(BID!K446="TAH",BID!L446,0))</f>
        <v>3000</v>
      </c>
      <c r="F14" s="61">
        <f t="shared" si="0"/>
        <v>97200</v>
      </c>
      <c r="K14" s="445">
        <v>30</v>
      </c>
    </row>
    <row r="15" spans="1:11" ht="20.25" thickTop="1" thickBot="1" x14ac:dyDescent="0.35">
      <c r="A15" s="430">
        <f>BID!A453</f>
        <v>410</v>
      </c>
      <c r="B15" s="15" t="str">
        <f>BID!B453</f>
        <v>PROPOFOL 1%</v>
      </c>
      <c r="C15" s="15" t="str">
        <f>BID!C453</f>
        <v>VIAL</v>
      </c>
      <c r="D15" s="15">
        <f>IF(K15&gt;0,(K15/100)*BID!D453,1*BID!D453)</f>
        <v>240</v>
      </c>
      <c r="E15" s="60">
        <f>IF(K15&gt;0,PR!BG451,IF(BID!K453="TAH",BID!L453,0))</f>
        <v>800</v>
      </c>
      <c r="F15" s="61">
        <f t="shared" si="0"/>
        <v>192000</v>
      </c>
      <c r="K15" s="445">
        <v>30</v>
      </c>
    </row>
    <row r="16" spans="1:11" ht="20.25" thickTop="1" thickBot="1" x14ac:dyDescent="0.35">
      <c r="A16" s="430">
        <f>BID!A497</f>
        <v>449</v>
      </c>
      <c r="B16" s="15" t="str">
        <f>BID!B497</f>
        <v>RABEPRAZOLE 20MG INJ</v>
      </c>
      <c r="C16" s="15" t="str">
        <f>BID!C497</f>
        <v xml:space="preserve">VIAL </v>
      </c>
      <c r="D16" s="15">
        <f>IF(K16&gt;0,(K16/100)*BID!D497,1*BID!D497)</f>
        <v>80</v>
      </c>
      <c r="E16" s="60">
        <f>IF(K16&gt;0,PR!BG495,IF(BID!K497="TAH",BID!L497,0))</f>
        <v>650</v>
      </c>
      <c r="F16" s="61">
        <f t="shared" si="0"/>
        <v>52000</v>
      </c>
      <c r="K16" s="445"/>
    </row>
    <row r="17" spans="1:11" ht="20.25" thickTop="1" thickBot="1" x14ac:dyDescent="0.35">
      <c r="A17" s="430">
        <f>BID!A711</f>
        <v>647</v>
      </c>
      <c r="B17" s="15" t="str">
        <f>BID!B711</f>
        <v>SURGICAL GLOVES 7 1/2"</v>
      </c>
      <c r="C17" s="15">
        <f>BID!C711</f>
        <v>50</v>
      </c>
      <c r="D17" s="15">
        <f>IF(K17&gt;0,(K17/100)*BID!D711,1*BID!D711)</f>
        <v>600</v>
      </c>
      <c r="E17" s="60">
        <f>IF(K17&gt;0,PR!BG709,IF(BID!K711="TAH",BID!L711,0))</f>
        <v>3000</v>
      </c>
      <c r="F17" s="61">
        <f t="shared" si="0"/>
        <v>1800000</v>
      </c>
      <c r="K17" s="445"/>
    </row>
    <row r="18" spans="1:11" ht="20.25" thickTop="1" thickBot="1" x14ac:dyDescent="0.35">
      <c r="A18" s="430">
        <f>BID!A710</f>
        <v>646</v>
      </c>
      <c r="B18" s="15" t="str">
        <f>BID!B710</f>
        <v>SURGICAL GLOVES 7"</v>
      </c>
      <c r="C18" s="15">
        <f>BID!C710</f>
        <v>50</v>
      </c>
      <c r="D18" s="15">
        <f>IF(K18&gt;0,(K18/100)*BID!D710,1*BID!D710)</f>
        <v>240</v>
      </c>
      <c r="E18" s="60">
        <f>IF(K18&gt;0,PR!BG708,IF(BID!K710="TAH",BID!L710,0))</f>
        <v>3000</v>
      </c>
      <c r="F18" s="61">
        <f t="shared" si="0"/>
        <v>720000</v>
      </c>
      <c r="K18" s="445"/>
    </row>
    <row r="19" spans="1:11" ht="20.25" thickTop="1" thickBot="1" x14ac:dyDescent="0.35">
      <c r="A19" s="430">
        <f>BID!A712</f>
        <v>648</v>
      </c>
      <c r="B19" s="15" t="str">
        <f>BID!B712</f>
        <v>SURGICAL GLOVES 8"</v>
      </c>
      <c r="C19" s="15">
        <f>BID!C712</f>
        <v>50</v>
      </c>
      <c r="D19" s="15">
        <f>IF(K19&gt;0,(K19/100)*BID!D712,1*BID!D712)</f>
        <v>350</v>
      </c>
      <c r="E19" s="60">
        <f>IF(K19&gt;0,PR!BG710,IF(BID!K712="TAH",BID!L712,0))</f>
        <v>3000</v>
      </c>
      <c r="F19" s="61">
        <f t="shared" si="0"/>
        <v>1050000</v>
      </c>
      <c r="K19" s="445"/>
    </row>
    <row r="20" spans="1:11" ht="19.5" thickTop="1" x14ac:dyDescent="0.3">
      <c r="A20" s="430"/>
      <c r="B20" s="15"/>
      <c r="C20" s="15"/>
      <c r="D20" s="15"/>
      <c r="E20" s="60"/>
      <c r="F20" s="61"/>
    </row>
    <row r="21" spans="1:11" ht="19.5" thickBot="1" x14ac:dyDescent="0.35">
      <c r="A21" s="430"/>
      <c r="B21" s="15"/>
      <c r="C21" s="15"/>
      <c r="D21" s="15"/>
      <c r="E21" s="60"/>
      <c r="F21" s="442"/>
    </row>
    <row r="22" spans="1:11" ht="21.75" thickBot="1" x14ac:dyDescent="0.4">
      <c r="A22" s="430"/>
      <c r="B22" s="15"/>
      <c r="C22" s="15"/>
      <c r="D22" s="15"/>
      <c r="E22" s="441"/>
      <c r="F22" s="443">
        <f>SUM(F6:F19)</f>
        <v>5625600</v>
      </c>
    </row>
  </sheetData>
  <sheetProtection algorithmName="SHA-512" hashValue="cI/0LGikoFVmxHVzQlZvwS+d0R/lcH09edQEHX+jw97Up+3R4QyS/17BVyDfncL6zCq3E8CjNH6+5hnRYE+A5A==" saltValue="oUrumwkk+gRWxRnzxeawpw==" spinCount="100000" sheet="1" objects="1" scenarios="1"/>
  <protectedRanges>
    <protectedRange sqref="K6:K19" name="Range1"/>
    <protectedRange sqref="K4:K5" name="Range1_1"/>
  </protectedRanges>
  <sortState ref="A6:K19">
    <sortCondition ref="B6:B19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1DA29-BED6-4920-A116-ACB558C2F65C}">
  <sheetPr>
    <tabColor rgb="FF00B0F0"/>
  </sheetPr>
  <dimension ref="A1:K15"/>
  <sheetViews>
    <sheetView view="pageBreakPreview" zoomScale="85" zoomScaleNormal="100" zoomScaleSheetLayoutView="85" workbookViewId="0"/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N!B59</f>
        <v>TAYLEK DRUGS COMPANY LIMITED</v>
      </c>
      <c r="C1" s="816"/>
      <c r="D1" s="816"/>
      <c r="E1" s="816"/>
      <c r="F1" s="816"/>
      <c r="K1" t="s">
        <v>646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BID!A422</f>
        <v>382</v>
      </c>
      <c r="B6" s="15" t="str">
        <f>BID!B422</f>
        <v>BROMOCRYPTINE 2.5MG TAB</v>
      </c>
      <c r="C6" s="15">
        <f>BID!C422</f>
        <v>30</v>
      </c>
      <c r="D6" s="15">
        <f>IF(K6&gt;0,(K6/100)*BID!D422,1*BID!D422)</f>
        <v>52</v>
      </c>
      <c r="E6" s="60">
        <f>IF(K6&gt;0,PR!BH420,IF(BID!K422="TAYLEK",BID!L422,0))</f>
        <v>2280</v>
      </c>
      <c r="F6" s="61">
        <f t="shared" ref="F6:F12" si="0">IF(E6&gt;0,(E6*D6),0)</f>
        <v>118560</v>
      </c>
      <c r="K6" s="445"/>
    </row>
    <row r="7" spans="1:11" ht="20.25" thickTop="1" thickBot="1" x14ac:dyDescent="0.35">
      <c r="A7" s="430">
        <f>BID!A73</f>
        <v>55</v>
      </c>
      <c r="B7" s="15" t="str">
        <f>BID!B73</f>
        <v>CANDESARTAN 16MG TAB</v>
      </c>
      <c r="C7" s="15">
        <f>BID!C73</f>
        <v>28</v>
      </c>
      <c r="D7" s="15">
        <f>IF(K7&gt;0,(K7/100)*BID!D73,1*BID!D73)</f>
        <v>65</v>
      </c>
      <c r="E7" s="60">
        <f>IF(K7&gt;0,PR!BH71,IF(BID!K73="TAYLEK",BID!L73,0))</f>
        <v>3863</v>
      </c>
      <c r="F7" s="61">
        <f t="shared" si="0"/>
        <v>251095</v>
      </c>
      <c r="K7" s="445"/>
    </row>
    <row r="8" spans="1:11" ht="20.25" thickTop="1" thickBot="1" x14ac:dyDescent="0.35">
      <c r="A8" s="430">
        <f>BID!A72</f>
        <v>54</v>
      </c>
      <c r="B8" s="15" t="str">
        <f>BID!B72</f>
        <v>CANDESARTAN 8MG TAB</v>
      </c>
      <c r="C8" s="15">
        <f>BID!C72</f>
        <v>28</v>
      </c>
      <c r="D8" s="15">
        <f>IF(K8&gt;0,(K8/100)*BID!D72,1*BID!D72)</f>
        <v>100</v>
      </c>
      <c r="E8" s="60">
        <f>IF(K8&gt;0,PR!BH70,IF(BID!K72="TAYLEK",BID!L72,0))</f>
        <v>2873</v>
      </c>
      <c r="F8" s="61">
        <f t="shared" si="0"/>
        <v>287300</v>
      </c>
      <c r="K8" s="445"/>
    </row>
    <row r="9" spans="1:11" ht="20.25" thickTop="1" thickBot="1" x14ac:dyDescent="0.35">
      <c r="A9" s="430">
        <f>BID!A281</f>
        <v>255</v>
      </c>
      <c r="B9" s="15" t="str">
        <f>BID!B281</f>
        <v>GENTICIN 80MG INJ</v>
      </c>
      <c r="C9" s="15">
        <f>BID!C281</f>
        <v>50</v>
      </c>
      <c r="D9" s="15">
        <f>IF(K9&gt;0,(K9/100)*BID!D281,1*BID!D281)</f>
        <v>300</v>
      </c>
      <c r="E9" s="60">
        <f>IF(K9&gt;0,PR!BH279,IF(BID!K281="TAYLEK",BID!L281,0))</f>
        <v>8550</v>
      </c>
      <c r="F9" s="61">
        <f t="shared" si="0"/>
        <v>2565000</v>
      </c>
      <c r="K9" s="445"/>
    </row>
    <row r="10" spans="1:11" ht="20.25" thickTop="1" thickBot="1" x14ac:dyDescent="0.35">
      <c r="A10" s="430">
        <f>BID!A106</f>
        <v>88</v>
      </c>
      <c r="B10" s="15" t="str">
        <f>BID!B106</f>
        <v xml:space="preserve">NIFEDIPINE 30MG </v>
      </c>
      <c r="C10" s="15">
        <f>BID!C106</f>
        <v>30</v>
      </c>
      <c r="D10" s="15">
        <f>IF(K10&gt;0,(K10/100)*BID!D106,1*BID!D106)</f>
        <v>2100</v>
      </c>
      <c r="E10" s="60">
        <f>IF(K10&gt;0,PR!BH104,IF(BID!K106="TAYLEK",BID!L106,0))</f>
        <v>1568</v>
      </c>
      <c r="F10" s="61">
        <f t="shared" si="0"/>
        <v>3292800</v>
      </c>
      <c r="K10" s="445">
        <v>70</v>
      </c>
    </row>
    <row r="11" spans="1:11" ht="20.25" thickTop="1" thickBot="1" x14ac:dyDescent="0.35">
      <c r="A11" s="430">
        <f>BID!A307</f>
        <v>281</v>
      </c>
      <c r="B11" s="15" t="str">
        <f>BID!B307</f>
        <v>SILVER SULPHADIAZINE 25G CREAM</v>
      </c>
      <c r="C11" s="15" t="str">
        <f>BID!C307</f>
        <v>TUBE</v>
      </c>
      <c r="D11" s="15">
        <f>IF(K11&gt;0,(K11/100)*BID!D307,1*BID!D307)</f>
        <v>400</v>
      </c>
      <c r="E11" s="60">
        <f>IF(K11&gt;0,PR!BH305,IF(BID!K307="TAYLEK",BID!L307,0))</f>
        <v>786</v>
      </c>
      <c r="F11" s="61">
        <f t="shared" si="0"/>
        <v>314400</v>
      </c>
      <c r="K11" s="445"/>
    </row>
    <row r="12" spans="1:11" ht="20.25" thickTop="1" thickBot="1" x14ac:dyDescent="0.35">
      <c r="A12" s="430">
        <f>BID!A308</f>
        <v>282</v>
      </c>
      <c r="B12" s="15" t="str">
        <f>BID!B308</f>
        <v>SILVER SULPHADIAZINE 50G CREAM</v>
      </c>
      <c r="C12" s="15" t="str">
        <f>BID!C308</f>
        <v>TUBE</v>
      </c>
      <c r="D12" s="15">
        <f>IF(K12&gt;0,(K12/100)*BID!D308,1*BID!D308)</f>
        <v>500</v>
      </c>
      <c r="E12" s="60">
        <f>IF(K12&gt;0,PR!BH306,IF(BID!K308="TAYLEK",BID!L308,0))</f>
        <v>1185</v>
      </c>
      <c r="F12" s="61">
        <f t="shared" si="0"/>
        <v>592500</v>
      </c>
      <c r="K12" s="445"/>
    </row>
    <row r="13" spans="1:11" ht="19.5" thickTop="1" x14ac:dyDescent="0.3">
      <c r="A13" s="430"/>
      <c r="B13" s="15"/>
      <c r="C13" s="15"/>
      <c r="D13" s="15"/>
      <c r="E13" s="60"/>
      <c r="F13" s="61"/>
    </row>
    <row r="14" spans="1:11" ht="19.5" thickBot="1" x14ac:dyDescent="0.35">
      <c r="A14" s="430"/>
      <c r="B14" s="15"/>
      <c r="C14" s="15"/>
      <c r="D14" s="15"/>
      <c r="E14" s="60"/>
      <c r="F14" s="442"/>
    </row>
    <row r="15" spans="1:11" ht="21.75" thickBot="1" x14ac:dyDescent="0.4">
      <c r="A15" s="430"/>
      <c r="B15" s="15"/>
      <c r="C15" s="15"/>
      <c r="D15" s="15"/>
      <c r="E15" s="441"/>
      <c r="F15" s="443">
        <f>SUM(F6:F12)</f>
        <v>7421655</v>
      </c>
    </row>
  </sheetData>
  <protectedRanges>
    <protectedRange sqref="K6:K12" name="Range1"/>
    <protectedRange sqref="K4:K5" name="Range1_1"/>
  </protectedRanges>
  <sortState ref="A6:K12">
    <sortCondition ref="B6:B12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B56F5-8633-4ADC-8D97-877D3C3B7FBF}">
  <sheetPr>
    <tabColor rgb="FF0070C0"/>
  </sheetPr>
  <dimension ref="A1:K77"/>
  <sheetViews>
    <sheetView view="pageBreakPreview" topLeftCell="A34" zoomScale="85" zoomScaleNormal="100" zoomScaleSheetLayoutView="85" workbookViewId="0">
      <selection activeCell="B50" sqref="B50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N!B60</f>
        <v>TEMITA SCIENTIFIC VENTURES</v>
      </c>
      <c r="C1" s="816"/>
      <c r="D1" s="816"/>
      <c r="E1" s="816"/>
      <c r="F1" s="816"/>
      <c r="K1" t="s">
        <v>1463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1548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BID!A853</f>
        <v>761</v>
      </c>
      <c r="B6" s="15" t="str">
        <f>BID!B853</f>
        <v>AUTOMATIC MICRO PIPETTE ADJUSTABLE 0-100ML</v>
      </c>
      <c r="C6" s="15" t="str">
        <f>BID!C853</f>
        <v>2 pcs</v>
      </c>
      <c r="D6" s="15">
        <f>IF(K6&gt;0,(K6/100)*BID!D853,1*BID!D853)</f>
        <v>2</v>
      </c>
      <c r="E6" s="60">
        <f>IF(K6&gt;0,PR!BI851,IF(BID!K853="TEMITA",BID!L853,0))</f>
        <v>5500</v>
      </c>
      <c r="F6" s="61">
        <f t="shared" ref="F6:F21" si="0">IF(E6&gt;0,(E6*D6),0)</f>
        <v>11000</v>
      </c>
      <c r="K6" s="445"/>
    </row>
    <row r="7" spans="1:11" ht="20.25" thickTop="1" thickBot="1" x14ac:dyDescent="0.35">
      <c r="A7" s="430">
        <f>BID!A854</f>
        <v>762</v>
      </c>
      <c r="B7" s="15" t="str">
        <f>BID!B854</f>
        <v>AUTOMATIC MICRO PIPETTE ADJUSTABLE 1000 - 5000ML</v>
      </c>
      <c r="C7" s="15" t="str">
        <f>BID!C854</f>
        <v>2 pcs</v>
      </c>
      <c r="D7" s="15">
        <f>IF(K7&gt;0,(K7/100)*BID!D854,1*BID!D854)</f>
        <v>2</v>
      </c>
      <c r="E7" s="60">
        <f>IF(K7&gt;0,PR!BI852,IF(BID!K854="TEMITA",BID!L854,0))</f>
        <v>6000</v>
      </c>
      <c r="F7" s="61">
        <f t="shared" si="0"/>
        <v>12000</v>
      </c>
      <c r="K7" s="445"/>
    </row>
    <row r="8" spans="1:11" ht="20.25" thickTop="1" thickBot="1" x14ac:dyDescent="0.35">
      <c r="A8" s="430">
        <f>BID!A855</f>
        <v>763</v>
      </c>
      <c r="B8" s="15" t="str">
        <f>BID!B855</f>
        <v>AUTOMATIC MICRO PIPETTE ADJUSTABLE 5 - 50ML</v>
      </c>
      <c r="C8" s="15" t="str">
        <f>BID!C855</f>
        <v>2 pcs</v>
      </c>
      <c r="D8" s="15">
        <f>IF(K8&gt;0,(K8/100)*BID!D855,1*BID!D855)</f>
        <v>2</v>
      </c>
      <c r="E8" s="60">
        <f>IF(K8&gt;0,PR!BI853,IF(BID!K855="TEMITA",BID!L855,0))</f>
        <v>5500</v>
      </c>
      <c r="F8" s="61">
        <f t="shared" si="0"/>
        <v>11000</v>
      </c>
      <c r="K8" s="445"/>
    </row>
    <row r="9" spans="1:11" ht="20.25" thickTop="1" thickBot="1" x14ac:dyDescent="0.35">
      <c r="A9" s="430">
        <f>BID!A920</f>
        <v>828</v>
      </c>
      <c r="B9" s="15" t="str">
        <f>BID!B920</f>
        <v>CITRATE VACUTAINER BOTTLES</v>
      </c>
      <c r="C9" s="15" t="str">
        <f>BID!C920</f>
        <v>1 pack of 10</v>
      </c>
      <c r="D9" s="15">
        <f>IF(K9&gt;0,(K9/100)*BID!D920,1*BID!D920)</f>
        <v>3</v>
      </c>
      <c r="E9" s="60">
        <f>IF(K9&gt;0,PR!BI918,IF(BID!K920="TEMITA",BID!L920,0))</f>
        <v>3500</v>
      </c>
      <c r="F9" s="61">
        <f t="shared" si="0"/>
        <v>10500</v>
      </c>
      <c r="K9" s="445"/>
    </row>
    <row r="10" spans="1:11" ht="20.25" thickTop="1" thickBot="1" x14ac:dyDescent="0.35">
      <c r="A10" s="430">
        <f>BID!A886</f>
        <v>794</v>
      </c>
      <c r="B10" s="15" t="str">
        <f>BID!B886</f>
        <v>COVER SLIPS (22MM x 22MM)</v>
      </c>
      <c r="C10" s="15">
        <f>BID!C886</f>
        <v>0</v>
      </c>
      <c r="D10" s="15">
        <f>IF(K10&gt;0,(K10/100)*BID!D886,1*BID!D886)</f>
        <v>15</v>
      </c>
      <c r="E10" s="60">
        <f>IF(K10&gt;0,PR!BI884,IF(BID!K886="TEMITA",BID!L886,0))</f>
        <v>5500</v>
      </c>
      <c r="F10" s="61">
        <f t="shared" si="0"/>
        <v>82500</v>
      </c>
      <c r="K10" s="445"/>
    </row>
    <row r="11" spans="1:11" ht="20.25" thickTop="1" thickBot="1" x14ac:dyDescent="0.35">
      <c r="A11" s="430">
        <f>BID!A917</f>
        <v>825</v>
      </c>
      <c r="B11" s="15" t="str">
        <f>BID!B917</f>
        <v>EDTA VACUTAINER BOTTLE</v>
      </c>
      <c r="C11" s="15" t="str">
        <f>BID!C917</f>
        <v>1 pack of 10</v>
      </c>
      <c r="D11" s="15">
        <f>IF(K11&gt;0,(K11/100)*BID!D917,1*BID!D917)</f>
        <v>48</v>
      </c>
      <c r="E11" s="60">
        <f>IF(K11&gt;0,PR!BI915,IF(BID!K917="TEMITA",BID!L917,0))</f>
        <v>16000</v>
      </c>
      <c r="F11" s="61">
        <f t="shared" si="0"/>
        <v>768000</v>
      </c>
      <c r="K11" s="445"/>
    </row>
    <row r="12" spans="1:11" ht="20.25" thickTop="1" thickBot="1" x14ac:dyDescent="0.35">
      <c r="A12" s="430">
        <f>BID!A877</f>
        <v>785</v>
      </c>
      <c r="B12" s="15" t="str">
        <f>BID!B877</f>
        <v>FILTER PAPER (150MM) (WHATMAN)</v>
      </c>
      <c r="C12" s="15" t="str">
        <f>BID!C877</f>
        <v>6 packs</v>
      </c>
      <c r="D12" s="15">
        <f>IF(K12&gt;0,(K12/100)*BID!D877,1*BID!D877)</f>
        <v>6</v>
      </c>
      <c r="E12" s="60">
        <f>IF(K12&gt;0,PR!BI875,IF(BID!K877="TEMITA",BID!L877,0))</f>
        <v>1600</v>
      </c>
      <c r="F12" s="61">
        <f t="shared" si="0"/>
        <v>9600</v>
      </c>
      <c r="K12" s="445"/>
    </row>
    <row r="13" spans="1:11" ht="20.25" thickTop="1" thickBot="1" x14ac:dyDescent="0.35">
      <c r="A13" s="430">
        <f>BID!A879</f>
        <v>787</v>
      </c>
      <c r="B13" s="15" t="str">
        <f>BID!B879</f>
        <v>GLASS SLIDES</v>
      </c>
      <c r="C13" s="15" t="str">
        <f>BID!C879</f>
        <v>1 pack of 50</v>
      </c>
      <c r="D13" s="15">
        <f>IF(K13&gt;0,(K13/100)*BID!D879,1*BID!D879)</f>
        <v>12</v>
      </c>
      <c r="E13" s="60">
        <f>IF(K13&gt;0,PR!BI877,IF(BID!K879="TEMITA",BID!L879,0))</f>
        <v>14800</v>
      </c>
      <c r="F13" s="61">
        <f t="shared" si="0"/>
        <v>177600</v>
      </c>
      <c r="K13" s="445"/>
    </row>
    <row r="14" spans="1:11" ht="20.25" thickTop="1" thickBot="1" x14ac:dyDescent="0.35">
      <c r="A14" s="430">
        <f>BID!A885</f>
        <v>793</v>
      </c>
      <c r="B14" s="15" t="str">
        <f>BID!B885</f>
        <v>HEPARINIZED CAPILLARY TUBE</v>
      </c>
      <c r="C14" s="15" t="str">
        <f>BID!C885</f>
        <v>1 pack of 10</v>
      </c>
      <c r="D14" s="15">
        <f>IF(K14&gt;0,(K14/100)*BID!D885,1*BID!D885)</f>
        <v>25</v>
      </c>
      <c r="E14" s="60">
        <f>IF(K14&gt;0,PR!BI883,IF(BID!K885="TEMITA",BID!L885,0))</f>
        <v>5500</v>
      </c>
      <c r="F14" s="61">
        <f t="shared" si="0"/>
        <v>137500</v>
      </c>
      <c r="K14" s="445"/>
    </row>
    <row r="15" spans="1:11" ht="20.25" thickTop="1" thickBot="1" x14ac:dyDescent="0.35">
      <c r="A15" s="430">
        <f>BID!A915</f>
        <v>823</v>
      </c>
      <c r="B15" s="15" t="str">
        <f>BID!B915</f>
        <v>NEW METHYLENE BLUE STAIN (25G)</v>
      </c>
      <c r="C15" s="15">
        <f>BID!C915</f>
        <v>0</v>
      </c>
      <c r="D15" s="15">
        <f>IF(K15&gt;0,(K15/100)*BID!D915,1*BID!D915)</f>
        <v>2</v>
      </c>
      <c r="E15" s="60">
        <f>IF(K15&gt;0,PR!BI913,IF(BID!K915="TEMITA",BID!L915,0))</f>
        <v>3000</v>
      </c>
      <c r="F15" s="61">
        <f t="shared" si="0"/>
        <v>6000</v>
      </c>
      <c r="K15" s="445"/>
    </row>
    <row r="16" spans="1:11" ht="20.25" thickTop="1" thickBot="1" x14ac:dyDescent="0.35">
      <c r="A16" s="430">
        <f>BID!A884</f>
        <v>792</v>
      </c>
      <c r="B16" s="15" t="str">
        <f>BID!B884</f>
        <v>PLAIN CAPILLARY TUBE</v>
      </c>
      <c r="C16" s="15" t="str">
        <f>BID!C884</f>
        <v>1 pack of 10</v>
      </c>
      <c r="D16" s="15">
        <f>IF(K16&gt;0,(K16/100)*BID!D884,1*BID!D884)</f>
        <v>15</v>
      </c>
      <c r="E16" s="60">
        <f>IF(K16&gt;0,PR!BI882,IF(BID!K884="TEMITA",BID!L884,0))</f>
        <v>5500</v>
      </c>
      <c r="F16" s="61">
        <f t="shared" si="0"/>
        <v>82500</v>
      </c>
      <c r="K16" s="445"/>
    </row>
    <row r="17" spans="1:11" ht="20.25" thickTop="1" thickBot="1" x14ac:dyDescent="0.35">
      <c r="A17" s="430">
        <f>BID!A918</f>
        <v>826</v>
      </c>
      <c r="B17" s="15" t="str">
        <f>BID!B918</f>
        <v>PLAIN VACUTAINER BOTTLES</v>
      </c>
      <c r="C17" s="15" t="str">
        <f>BID!C918</f>
        <v>1 pack of 10</v>
      </c>
      <c r="D17" s="15">
        <f>IF(K17&gt;0,(K17/100)*BID!D918,1*BID!D918)</f>
        <v>48</v>
      </c>
      <c r="E17" s="60">
        <f>IF(K17&gt;0,PR!BI916,IF(BID!K918="TEMITA",BID!L918,0))</f>
        <v>16000</v>
      </c>
      <c r="F17" s="61">
        <f t="shared" si="0"/>
        <v>768000</v>
      </c>
      <c r="K17" s="445"/>
    </row>
    <row r="18" spans="1:11" ht="20.25" thickTop="1" thickBot="1" x14ac:dyDescent="0.35">
      <c r="A18" s="430">
        <f>BID!A916</f>
        <v>824</v>
      </c>
      <c r="B18" s="15" t="str">
        <f>BID!B916</f>
        <v>SODIUM CHLORIDE POWDER (500MG)</v>
      </c>
      <c r="C18" s="15">
        <f>BID!C916</f>
        <v>0</v>
      </c>
      <c r="D18" s="15">
        <f>IF(K18&gt;0,(K18/100)*BID!D916,1*BID!D916)</f>
        <v>2</v>
      </c>
      <c r="E18" s="60">
        <f>IF(K18&gt;0,PR!BI914,IF(BID!K916="TEMITA",BID!L916,0))</f>
        <v>3400</v>
      </c>
      <c r="F18" s="61">
        <f t="shared" si="0"/>
        <v>6800</v>
      </c>
      <c r="K18" s="445"/>
    </row>
    <row r="19" spans="1:11" ht="20.25" thickTop="1" thickBot="1" x14ac:dyDescent="0.35">
      <c r="A19" s="430">
        <f>BID!A928</f>
        <v>836</v>
      </c>
      <c r="B19" s="15" t="str">
        <f>BID!B928</f>
        <v>VACUTAINER HOLDER</v>
      </c>
      <c r="C19" s="15">
        <f>BID!C928</f>
        <v>0</v>
      </c>
      <c r="D19" s="15">
        <f>IF(K19&gt;0,(K19/100)*BID!D928,1*BID!D928)</f>
        <v>2</v>
      </c>
      <c r="E19" s="60">
        <f>IF(K19&gt;0,PR!BI926,IF(BID!K928="TEMITA",BID!L928,0))</f>
        <v>4375</v>
      </c>
      <c r="F19" s="61">
        <f t="shared" si="0"/>
        <v>8750</v>
      </c>
      <c r="K19" s="445"/>
    </row>
    <row r="20" spans="1:11" ht="20.25" thickTop="1" thickBot="1" x14ac:dyDescent="0.35">
      <c r="A20" s="430">
        <f>BID!A856</f>
        <v>764</v>
      </c>
      <c r="B20" s="15" t="str">
        <f>BID!B856</f>
        <v>WASH BOTTLES PLASTIC (BIG) 1L</v>
      </c>
      <c r="C20" s="15" t="str">
        <f>BID!C856</f>
        <v>6 pcs</v>
      </c>
      <c r="D20" s="15">
        <f>IF(K20&gt;0,(K20/100)*BID!D856,1*BID!D856)</f>
        <v>6</v>
      </c>
      <c r="E20" s="60">
        <f>IF(K20&gt;0,PR!BI854,IF(BID!K856="TEMITA",BID!L856,0))</f>
        <v>1100</v>
      </c>
      <c r="F20" s="61">
        <f t="shared" si="0"/>
        <v>6600</v>
      </c>
      <c r="K20" s="445"/>
    </row>
    <row r="21" spans="1:11" ht="20.25" thickTop="1" thickBot="1" x14ac:dyDescent="0.35">
      <c r="A21" s="430">
        <f>BID!A878</f>
        <v>786</v>
      </c>
      <c r="B21" s="15" t="str">
        <f>BID!B878</f>
        <v>WESTER GREEN TUBE/CUP</v>
      </c>
      <c r="C21" s="15" t="str">
        <f>BID!C878</f>
        <v>1 pack of 100</v>
      </c>
      <c r="D21" s="15">
        <f>IF(K21&gt;0,(K21/100)*BID!D878,1*BID!D878)</f>
        <v>30</v>
      </c>
      <c r="E21" s="60">
        <f>IF(K21&gt;0,PR!BI876,IF(BID!K878="TEMITA",BID!L878,0))</f>
        <v>10000</v>
      </c>
      <c r="F21" s="61">
        <f t="shared" si="0"/>
        <v>300000</v>
      </c>
      <c r="K21" s="445"/>
    </row>
    <row r="22" spans="1:11" s="8" customFormat="1" ht="20.25" thickTop="1" thickBot="1" x14ac:dyDescent="0.35">
      <c r="A22" s="430"/>
      <c r="B22" s="15"/>
      <c r="C22" s="15"/>
      <c r="D22" s="15"/>
      <c r="E22" s="60"/>
      <c r="F22" s="61"/>
      <c r="K22" s="444"/>
    </row>
    <row r="23" spans="1:11" s="8" customFormat="1" ht="24.75" thickTop="1" thickBot="1" x14ac:dyDescent="0.3">
      <c r="A23" s="430"/>
      <c r="B23" s="820" t="s">
        <v>1657</v>
      </c>
      <c r="C23" s="821"/>
      <c r="D23" s="821"/>
      <c r="E23" s="821"/>
      <c r="F23" s="822"/>
      <c r="K23" s="444"/>
    </row>
    <row r="24" spans="1:11" ht="20.25" thickTop="1" thickBot="1" x14ac:dyDescent="0.35">
      <c r="A24" s="430">
        <f>BID!A945</f>
        <v>847</v>
      </c>
      <c r="B24" s="15" t="str">
        <f>BID!B945</f>
        <v>ACETONE</v>
      </c>
      <c r="C24" s="15" t="str">
        <f>BID!C945</f>
        <v>Bottle (2.5L)</v>
      </c>
      <c r="D24" s="15">
        <f>IF(K24&gt;0,(K24/100)*BID!D945,1*BID!D945)</f>
        <v>1</v>
      </c>
      <c r="E24" s="60">
        <f>IF(K24&gt;0,PR!BI943,IF(BID!K945="TEMITA",BID!L945,0))</f>
        <v>5000</v>
      </c>
      <c r="F24" s="61">
        <f t="shared" ref="F24:F36" si="1">IF(E24&gt;0,(E24*D24),0)</f>
        <v>5000</v>
      </c>
      <c r="K24" s="445"/>
    </row>
    <row r="25" spans="1:11" ht="20.25" thickTop="1" thickBot="1" x14ac:dyDescent="0.35">
      <c r="A25" s="430">
        <f>BID!A988</f>
        <v>890</v>
      </c>
      <c r="B25" s="15" t="str">
        <f>BID!B988</f>
        <v>CITRIC ACID</v>
      </c>
      <c r="C25" s="15" t="str">
        <f>BID!C988</f>
        <v>1 bottle (500ml)</v>
      </c>
      <c r="D25" s="15">
        <f>IF(K25&gt;0,(K25/100)*BID!D988,1*BID!D988)</f>
        <v>2</v>
      </c>
      <c r="E25" s="60">
        <f>IF(K25&gt;0,PR!BI986,IF(BID!K988="TEMITA",BID!L988,0))</f>
        <v>3800</v>
      </c>
      <c r="F25" s="61">
        <f t="shared" si="1"/>
        <v>7600</v>
      </c>
      <c r="K25" s="445"/>
    </row>
    <row r="26" spans="1:11" ht="20.25" thickTop="1" thickBot="1" x14ac:dyDescent="0.35">
      <c r="A26" s="430">
        <f>BID!A976</f>
        <v>878</v>
      </c>
      <c r="B26" s="15" t="str">
        <f>BID!B976</f>
        <v>CONGO</v>
      </c>
      <c r="C26" s="15" t="str">
        <f>BID!C976</f>
        <v>1 bottle (25G)</v>
      </c>
      <c r="D26" s="15">
        <f>IF(K26&gt;0,(K26/100)*BID!D976,1*BID!D976)</f>
        <v>1</v>
      </c>
      <c r="E26" s="60">
        <f>IF(K26&gt;0,PR!BI974,IF(BID!K976="TEMITA",BID!L976,0))</f>
        <v>3300</v>
      </c>
      <c r="F26" s="61">
        <f t="shared" si="1"/>
        <v>3300</v>
      </c>
      <c r="K26" s="445"/>
    </row>
    <row r="27" spans="1:11" ht="20.25" thickTop="1" thickBot="1" x14ac:dyDescent="0.35">
      <c r="A27" s="430">
        <f>BID!A947</f>
        <v>849</v>
      </c>
      <c r="B27" s="15" t="str">
        <f>BID!B947</f>
        <v>FORMALIN</v>
      </c>
      <c r="C27" s="15" t="str">
        <f>BID!C947</f>
        <v>1 keg (40 Ltrs)</v>
      </c>
      <c r="D27" s="15">
        <f>IF(K27&gt;0,(K27/100)*BID!D947,1*BID!D947)</f>
        <v>180</v>
      </c>
      <c r="E27" s="60">
        <f>IF(K27&gt;0,PR!BI945,IF(BID!K947="TEMITA",BID!L947,0))</f>
        <v>9300</v>
      </c>
      <c r="F27" s="61">
        <f t="shared" si="1"/>
        <v>1674000</v>
      </c>
      <c r="K27" s="445"/>
    </row>
    <row r="28" spans="1:11" ht="20.25" thickTop="1" thickBot="1" x14ac:dyDescent="0.35">
      <c r="A28" s="430">
        <f>BID!A950</f>
        <v>852</v>
      </c>
      <c r="B28" s="15" t="str">
        <f>BID!B950</f>
        <v>GLASS COVER SLIPS 22 x 32</v>
      </c>
      <c r="C28" s="15" t="str">
        <f>BID!C950</f>
        <v>1Carton (10x100)</v>
      </c>
      <c r="D28" s="15">
        <f>IF(K28&gt;0,(K28/100)*BID!D950,1*BID!D950)</f>
        <v>20</v>
      </c>
      <c r="E28" s="60">
        <f>IF(K28&gt;0,PR!BI948,IF(BID!K950="TEMITA",BID!L950,0))</f>
        <v>5900</v>
      </c>
      <c r="F28" s="61">
        <f t="shared" si="1"/>
        <v>118000</v>
      </c>
      <c r="K28" s="445"/>
    </row>
    <row r="29" spans="1:11" ht="20.25" thickTop="1" thickBot="1" x14ac:dyDescent="0.35">
      <c r="A29" s="430">
        <f>BID!A953</f>
        <v>855</v>
      </c>
      <c r="B29" s="15" t="str">
        <f>BID!B953</f>
        <v>HYDROCHLORIC ACID (HCL)</v>
      </c>
      <c r="C29" s="15" t="str">
        <f>BID!C953</f>
        <v>1 bottle (2.5L)</v>
      </c>
      <c r="D29" s="15">
        <f>IF(K29&gt;0,(K29/100)*BID!D953,1*BID!D953)</f>
        <v>1</v>
      </c>
      <c r="E29" s="60">
        <f>IF(K29&gt;0,PR!BI951,IF(BID!K953="TEMITA",BID!L953,0))</f>
        <v>5000</v>
      </c>
      <c r="F29" s="61">
        <f t="shared" si="1"/>
        <v>5000</v>
      </c>
      <c r="K29" s="445"/>
    </row>
    <row r="30" spans="1:11" ht="20.25" thickTop="1" thickBot="1" x14ac:dyDescent="0.35">
      <c r="A30" s="430">
        <f>BID!A997</f>
        <v>899</v>
      </c>
      <c r="B30" s="15" t="str">
        <f>BID!B997</f>
        <v>LIGHT GREEN ANITINE BLUE</v>
      </c>
      <c r="C30" s="15" t="str">
        <f>BID!C997</f>
        <v>25g</v>
      </c>
      <c r="D30" s="15">
        <f>IF(K30&gt;0,(K30/100)*BID!D997,1*BID!D997)</f>
        <v>2</v>
      </c>
      <c r="E30" s="60">
        <f>IF(K30&gt;0,PR!BI995,IF(BID!K997="TEMITA",BID!L997,0))</f>
        <v>7000</v>
      </c>
      <c r="F30" s="61">
        <f t="shared" si="1"/>
        <v>14000</v>
      </c>
      <c r="K30" s="445"/>
    </row>
    <row r="31" spans="1:11" ht="20.25" thickTop="1" thickBot="1" x14ac:dyDescent="0.35">
      <c r="A31" s="430">
        <f>BID!A981</f>
        <v>883</v>
      </c>
      <c r="B31" s="15" t="str">
        <f>BID!B981</f>
        <v>LIQUID SOAPS</v>
      </c>
      <c r="C31" s="15" t="str">
        <f>BID!C981</f>
        <v>1 carton (12 x 500mls)</v>
      </c>
      <c r="D31" s="15">
        <f>IF(K31&gt;0,(K31/100)*BID!D981,1*BID!D981)</f>
        <v>10</v>
      </c>
      <c r="E31" s="60">
        <f>IF(K31&gt;0,PR!BI979,IF(BID!K981="TEMITA",BID!L981,0))</f>
        <v>4560</v>
      </c>
      <c r="F31" s="61">
        <f t="shared" si="1"/>
        <v>45600</v>
      </c>
      <c r="K31" s="445"/>
    </row>
    <row r="32" spans="1:11" ht="20.25" thickTop="1" thickBot="1" x14ac:dyDescent="0.35">
      <c r="A32" s="430">
        <f>BID!A954</f>
        <v>856</v>
      </c>
      <c r="B32" s="15" t="str">
        <f>BID!B954</f>
        <v>METHANOL</v>
      </c>
      <c r="C32" s="15" t="str">
        <f>BID!C954</f>
        <v>1 bottle (2.5L)</v>
      </c>
      <c r="D32" s="15">
        <f>IF(K32&gt;0,(K32/100)*BID!D954,1*BID!D954)</f>
        <v>10</v>
      </c>
      <c r="E32" s="60">
        <f>IF(K32&gt;0,PR!BI952,IF(BID!K954="TEMITA",BID!L954,0))</f>
        <v>4500</v>
      </c>
      <c r="F32" s="61">
        <f t="shared" si="1"/>
        <v>45000</v>
      </c>
      <c r="K32" s="445"/>
    </row>
    <row r="33" spans="1:11" ht="20.25" thickTop="1" thickBot="1" x14ac:dyDescent="0.35">
      <c r="A33" s="430">
        <f>BID!A982</f>
        <v>884</v>
      </c>
      <c r="B33" s="15" t="str">
        <f>BID!B982</f>
        <v>MOUNTANT DPX</v>
      </c>
      <c r="C33" s="15" t="str">
        <f>BID!C982</f>
        <v>1 bottle (500ml)</v>
      </c>
      <c r="D33" s="15">
        <f>IF(K33&gt;0,(K33/100)*BID!D982,1*BID!D982)</f>
        <v>15</v>
      </c>
      <c r="E33" s="60">
        <f>IF(K33&gt;0,PR!BI980,IF(BID!K982="TEMITA",BID!L982,0))</f>
        <v>5900</v>
      </c>
      <c r="F33" s="61">
        <f t="shared" si="1"/>
        <v>88500</v>
      </c>
      <c r="K33" s="445"/>
    </row>
    <row r="34" spans="1:11" ht="20.25" thickTop="1" thickBot="1" x14ac:dyDescent="0.35">
      <c r="A34" s="430">
        <f>BID!A992</f>
        <v>894</v>
      </c>
      <c r="B34" s="15" t="str">
        <f>BID!B992</f>
        <v>SCHIFF REGENT</v>
      </c>
      <c r="C34" s="15" t="str">
        <f>BID!C992</f>
        <v>500ml</v>
      </c>
      <c r="D34" s="15">
        <f>IF(K34&gt;0,(K34/100)*BID!D992,1*BID!D992)</f>
        <v>2</v>
      </c>
      <c r="E34" s="60">
        <f>IF(K34&gt;0,PR!BI990,IF(BID!K992="TEMITA",BID!L992,0))</f>
        <v>6000</v>
      </c>
      <c r="F34" s="61">
        <f t="shared" si="1"/>
        <v>12000</v>
      </c>
      <c r="K34" s="445"/>
    </row>
    <row r="35" spans="1:11" ht="20.25" thickTop="1" thickBot="1" x14ac:dyDescent="0.35">
      <c r="A35" s="430">
        <f>BID!A990</f>
        <v>892</v>
      </c>
      <c r="B35" s="15" t="str">
        <f>BID!B990</f>
        <v>SODIUM IODATE</v>
      </c>
      <c r="C35" s="15" t="str">
        <f>BID!C990</f>
        <v>1 bottle (500ml)</v>
      </c>
      <c r="D35" s="15">
        <f>IF(K35&gt;0,(K35/100)*BID!D990,1*BID!D990)</f>
        <v>2</v>
      </c>
      <c r="E35" s="60">
        <f>IF(K35&gt;0,PR!BI988,IF(BID!K990="TEMITA",BID!L990,0))</f>
        <v>6500</v>
      </c>
      <c r="F35" s="61">
        <f t="shared" si="1"/>
        <v>13000</v>
      </c>
      <c r="K35" s="445"/>
    </row>
    <row r="36" spans="1:11" ht="20.25" thickTop="1" thickBot="1" x14ac:dyDescent="0.35">
      <c r="A36" s="430">
        <f>BID!A975</f>
        <v>877</v>
      </c>
      <c r="B36" s="15" t="str">
        <f>BID!B975</f>
        <v>XYLINE</v>
      </c>
      <c r="C36" s="15" t="str">
        <f>BID!C975</f>
        <v>1 Drum (200 LTRS)</v>
      </c>
      <c r="D36" s="15">
        <f>IF(K36&gt;0,(K36/100)*BID!D975,1*BID!D975)</f>
        <v>2</v>
      </c>
      <c r="E36" s="60">
        <f>IF(K36&gt;0,PR!BI973,IF(BID!K975="TEMITA",BID!L975,0))</f>
        <v>125000</v>
      </c>
      <c r="F36" s="61">
        <f t="shared" si="1"/>
        <v>250000</v>
      </c>
      <c r="K36" s="445"/>
    </row>
    <row r="37" spans="1:11" s="8" customFormat="1" ht="20.25" thickTop="1" thickBot="1" x14ac:dyDescent="0.35">
      <c r="A37" s="430"/>
      <c r="B37" s="15"/>
      <c r="C37" s="15"/>
      <c r="D37" s="15"/>
      <c r="E37" s="60"/>
      <c r="F37" s="61"/>
      <c r="K37" s="444"/>
    </row>
    <row r="38" spans="1:11" s="8" customFormat="1" ht="24.75" thickTop="1" thickBot="1" x14ac:dyDescent="0.3">
      <c r="A38" s="430"/>
      <c r="B38" s="820" t="s">
        <v>1754</v>
      </c>
      <c r="C38" s="821"/>
      <c r="D38" s="821"/>
      <c r="E38" s="821"/>
      <c r="F38" s="822"/>
      <c r="K38" s="444"/>
    </row>
    <row r="39" spans="1:11" ht="20.25" thickTop="1" thickBot="1" x14ac:dyDescent="0.35">
      <c r="A39" s="430">
        <f>BID!A1078</f>
        <v>971</v>
      </c>
      <c r="B39" s="15" t="str">
        <f>BID!B1078</f>
        <v>ACETIC ACID</v>
      </c>
      <c r="C39" s="15" t="str">
        <f>BID!C1078</f>
        <v>BOTTLE (2.5L)</v>
      </c>
      <c r="D39" s="15">
        <f>IF(K39&gt;0,(K39/100)*BID!D1078,1*BID!D1078)</f>
        <v>2</v>
      </c>
      <c r="E39" s="60">
        <f>IF(K39&gt;0,PR!BI1076,IF(BID!K1078="TEMITA",BID!L1078,0))</f>
        <v>5000</v>
      </c>
      <c r="F39" s="61">
        <f t="shared" ref="F39:F47" si="2">IF(E39&gt;0,(E39*D39),0)</f>
        <v>10000</v>
      </c>
      <c r="K39" s="445"/>
    </row>
    <row r="40" spans="1:11" ht="20.25" thickTop="1" thickBot="1" x14ac:dyDescent="0.35">
      <c r="A40" s="430">
        <f>BID!A1011</f>
        <v>907</v>
      </c>
      <c r="B40" s="15" t="str">
        <f>BID!B1011</f>
        <v>ACETONE</v>
      </c>
      <c r="C40" s="15" t="str">
        <f>BID!C1011</f>
        <v>1 bottle of 2.5L</v>
      </c>
      <c r="D40" s="15">
        <f>IF(K40&gt;0,(K40/100)*BID!D1011,1*BID!D1011)</f>
        <v>20</v>
      </c>
      <c r="E40" s="60">
        <f>IF(K40&gt;0,PR!BI1009,IF(BID!K1011="TEMITA",BID!L1011,0))</f>
        <v>5000</v>
      </c>
      <c r="F40" s="61">
        <f t="shared" si="2"/>
        <v>100000</v>
      </c>
      <c r="K40" s="445"/>
    </row>
    <row r="41" spans="1:11" ht="20.25" thickTop="1" thickBot="1" x14ac:dyDescent="0.35">
      <c r="A41" s="430">
        <f>BID!A1077</f>
        <v>970</v>
      </c>
      <c r="B41" s="15" t="str">
        <f>BID!B1077</f>
        <v>ACETONE</v>
      </c>
      <c r="C41" s="15" t="str">
        <f>BID!C1077</f>
        <v>BOTTLE (2.5L)</v>
      </c>
      <c r="D41" s="15">
        <f>IF(K41&gt;0,(K41/100)*BID!D1077,1*BID!D1077)</f>
        <v>4</v>
      </c>
      <c r="E41" s="60">
        <f>IF(K41&gt;0,PR!BI1075,IF(BID!K1077="TEMITA",BID!L1077,0))</f>
        <v>5000</v>
      </c>
      <c r="F41" s="61">
        <f t="shared" si="2"/>
        <v>20000</v>
      </c>
      <c r="K41" s="445"/>
    </row>
    <row r="42" spans="1:11" ht="20.25" thickTop="1" thickBot="1" x14ac:dyDescent="0.35">
      <c r="A42" s="430">
        <f>BID!A1038</f>
        <v>934</v>
      </c>
      <c r="B42" s="15" t="str">
        <f>BID!B1038</f>
        <v>CRYSTAL VIOLET POWDER</v>
      </c>
      <c r="C42" s="15" t="str">
        <f>BID!C1038</f>
        <v>1 bottle of 25g</v>
      </c>
      <c r="D42" s="15">
        <f>IF(K42&gt;0,(K42/100)*BID!D1038,1*BID!D1038)</f>
        <v>12</v>
      </c>
      <c r="E42" s="60">
        <f>IF(K42&gt;0,PR!BI1036,IF(BID!K1038="TEMITA",BID!L1038,0))</f>
        <v>2400</v>
      </c>
      <c r="F42" s="61">
        <f t="shared" si="2"/>
        <v>28800</v>
      </c>
      <c r="K42" s="445"/>
    </row>
    <row r="43" spans="1:11" ht="20.25" thickTop="1" thickBot="1" x14ac:dyDescent="0.35">
      <c r="A43" s="430">
        <f>BID!A1012</f>
        <v>908</v>
      </c>
      <c r="B43" s="15" t="str">
        <f>BID!B1012</f>
        <v>ETHANOL</v>
      </c>
      <c r="C43" s="15" t="str">
        <f>BID!C1012</f>
        <v>1 bottle of 2.5L</v>
      </c>
      <c r="D43" s="15">
        <f>IF(K43&gt;0,(K43/100)*BID!D1012,1*BID!D1012)</f>
        <v>20</v>
      </c>
      <c r="E43" s="60">
        <f>IF(K43&gt;0,PR!BI1010,IF(BID!K1012="TEMITA",BID!L1012,0))</f>
        <v>4500</v>
      </c>
      <c r="F43" s="61">
        <f t="shared" si="2"/>
        <v>90000</v>
      </c>
      <c r="K43" s="445"/>
    </row>
    <row r="44" spans="1:11" ht="20.25" thickTop="1" thickBot="1" x14ac:dyDescent="0.35">
      <c r="A44" s="430">
        <f>BID!A1052</f>
        <v>948</v>
      </c>
      <c r="B44" s="15" t="str">
        <f>BID!B1052</f>
        <v>GLYCERINE</v>
      </c>
      <c r="C44" s="15" t="str">
        <f>BID!C1052</f>
        <v>1 bottle of 2L</v>
      </c>
      <c r="D44" s="15">
        <f>IF(K44&gt;0,(K44/100)*BID!D1052,1*BID!D1052)</f>
        <v>12</v>
      </c>
      <c r="E44" s="60">
        <f>IF(K44&gt;0,PR!BI1050,IF(BID!K1052="TEMITA",BID!L1052,0))</f>
        <v>11000</v>
      </c>
      <c r="F44" s="61">
        <f t="shared" si="2"/>
        <v>132000</v>
      </c>
      <c r="K44" s="445"/>
    </row>
    <row r="45" spans="1:11" ht="20.25" thickTop="1" thickBot="1" x14ac:dyDescent="0.35">
      <c r="A45" s="430">
        <f>BID!A1018</f>
        <v>914</v>
      </c>
      <c r="B45" s="15" t="str">
        <f>BID!B1018</f>
        <v>NUTRIENT BROTH AGAR</v>
      </c>
      <c r="C45" s="15" t="str">
        <f>BID!C1018</f>
        <v>1 bottle of 500g</v>
      </c>
      <c r="D45" s="15">
        <f>IF(K45&gt;0,(K45/100)*BID!D1018,1*BID!D1018)</f>
        <v>40</v>
      </c>
      <c r="E45" s="60">
        <f>IF(K45&gt;0,PR!BI1016,IF(BID!K1018="TEMITA",BID!L1018,0))</f>
        <v>18750</v>
      </c>
      <c r="F45" s="61">
        <f t="shared" si="2"/>
        <v>750000</v>
      </c>
      <c r="K45" s="445"/>
    </row>
    <row r="46" spans="1:11" ht="20.25" thickTop="1" thickBot="1" x14ac:dyDescent="0.35">
      <c r="A46" s="430">
        <f>BID!A1035</f>
        <v>931</v>
      </c>
      <c r="B46" s="15" t="str">
        <f>BID!B1035</f>
        <v>PHENOL CRYSTALS</v>
      </c>
      <c r="C46" s="15" t="str">
        <f>BID!C1035</f>
        <v>1 bottle of 500g</v>
      </c>
      <c r="D46" s="15">
        <f>IF(K46&gt;0,(K46/100)*BID!D1035,1*BID!D1035)</f>
        <v>4</v>
      </c>
      <c r="E46" s="60">
        <f>IF(K46&gt;0,PR!BI1033,IF(BID!K1035="TEMITA",BID!L1035,0))</f>
        <v>4000</v>
      </c>
      <c r="F46" s="61">
        <f t="shared" si="2"/>
        <v>16000</v>
      </c>
      <c r="K46" s="445"/>
    </row>
    <row r="47" spans="1:11" ht="20.25" thickTop="1" thickBot="1" x14ac:dyDescent="0.35">
      <c r="A47" s="430">
        <f>BID!A1033</f>
        <v>929</v>
      </c>
      <c r="B47" s="15" t="str">
        <f>BID!B1033</f>
        <v>POTASSIUM IODINE</v>
      </c>
      <c r="C47" s="15" t="str">
        <f>BID!C1033</f>
        <v>1 bottle of 1000</v>
      </c>
      <c r="D47" s="15">
        <f>IF(K47&gt;0,(K47/100)*BID!D1033,1*BID!D1033)</f>
        <v>4</v>
      </c>
      <c r="E47" s="60">
        <f>IF(K47&gt;0,PR!BI1031,IF(BID!K1033="TEMITA",BID!L1033,0))</f>
        <v>13000</v>
      </c>
      <c r="F47" s="61">
        <f t="shared" si="2"/>
        <v>52000</v>
      </c>
      <c r="K47" s="445"/>
    </row>
    <row r="48" spans="1:11" s="8" customFormat="1" ht="20.25" thickTop="1" thickBot="1" x14ac:dyDescent="0.35">
      <c r="A48" s="430"/>
      <c r="B48" s="15"/>
      <c r="C48" s="15"/>
      <c r="D48" s="15"/>
      <c r="E48" s="60"/>
      <c r="F48" s="61"/>
      <c r="K48" s="444"/>
    </row>
    <row r="49" spans="1:11" s="8" customFormat="1" ht="24.75" thickTop="1" thickBot="1" x14ac:dyDescent="0.3">
      <c r="A49" s="430"/>
      <c r="B49" s="820" t="s">
        <v>1857</v>
      </c>
      <c r="C49" s="821"/>
      <c r="D49" s="821"/>
      <c r="E49" s="821"/>
      <c r="F49" s="822"/>
      <c r="K49" s="444"/>
    </row>
    <row r="50" spans="1:11" ht="20.25" thickTop="1" thickBot="1" x14ac:dyDescent="0.35">
      <c r="A50" s="430">
        <f>BID!A1084</f>
        <v>974</v>
      </c>
      <c r="B50" s="15" t="str">
        <f>BID!B1084</f>
        <v>HAND WASHING SOAP (500MLS)</v>
      </c>
      <c r="C50" s="15" t="str">
        <f>BID!C1084</f>
        <v>12 PCS/CARTON</v>
      </c>
      <c r="D50" s="15">
        <f>IF(K50&gt;0,(K50/100)*BID!D1084,1*BID!D1084)</f>
        <v>500</v>
      </c>
      <c r="E50" s="60">
        <f>IF(K50&gt;0,PR!BI1082,IF(BID!K1084="TEMITA",BID!L1084,0))</f>
        <v>4660</v>
      </c>
      <c r="F50" s="61">
        <f>IF(E50&gt;0,(E50*D50),0)</f>
        <v>2330000</v>
      </c>
      <c r="K50" s="445"/>
    </row>
    <row r="51" spans="1:11" ht="20.25" thickTop="1" thickBot="1" x14ac:dyDescent="0.35">
      <c r="A51" s="430">
        <f>BID!A1088</f>
        <v>978</v>
      </c>
      <c r="B51" s="15" t="str">
        <f>BID!B1088</f>
        <v>MEDICAL WASTE BIN LINERS-BLACK</v>
      </c>
      <c r="C51" s="15" t="str">
        <f>BID!C1088</f>
        <v>100/PACK</v>
      </c>
      <c r="D51" s="15">
        <f>IF(K51&gt;0,(K51/100)*BID!D1088,1*BID!D1088)</f>
        <v>450</v>
      </c>
      <c r="E51" s="60">
        <f>IF(K51&gt;0,PR!BI1086,IF(BID!K1088="TEMITA",BID!L1088,0))</f>
        <v>3400</v>
      </c>
      <c r="F51" s="61">
        <f>IF(E51&gt;0,(E51*D51),0)</f>
        <v>1530000</v>
      </c>
      <c r="K51" s="445"/>
    </row>
    <row r="52" spans="1:11" s="8" customFormat="1" ht="20.25" thickTop="1" thickBot="1" x14ac:dyDescent="0.35">
      <c r="A52" s="430"/>
      <c r="B52" s="15"/>
      <c r="C52" s="15"/>
      <c r="D52" s="15"/>
      <c r="E52" s="60"/>
      <c r="F52" s="61"/>
      <c r="K52" s="444"/>
    </row>
    <row r="53" spans="1:11" s="8" customFormat="1" ht="24.75" thickTop="1" thickBot="1" x14ac:dyDescent="0.3">
      <c r="A53" s="430"/>
      <c r="B53" s="820" t="s">
        <v>1868</v>
      </c>
      <c r="C53" s="821"/>
      <c r="D53" s="821"/>
      <c r="E53" s="821"/>
      <c r="F53" s="822"/>
      <c r="K53" s="444"/>
    </row>
    <row r="54" spans="1:11" ht="20.25" thickTop="1" thickBot="1" x14ac:dyDescent="0.35">
      <c r="A54" s="430">
        <f>BID!A1132</f>
        <v>1017</v>
      </c>
      <c r="B54" s="15" t="str">
        <f>BID!B1132</f>
        <v>ADJUSTABLE MICROPIPETTE (HITECH)</v>
      </c>
      <c r="C54" s="15" t="str">
        <f>BID!C1132</f>
        <v>10-100ul</v>
      </c>
      <c r="D54" s="15">
        <f>IF(K54&gt;0,(K54/100)*BID!D1132,1*BID!D1132)</f>
        <v>16</v>
      </c>
      <c r="E54" s="60">
        <f>IF(K54&gt;0,PR!BI1130,IF(BID!K1132="TEMITA",BID!L1132,0))</f>
        <v>5700</v>
      </c>
      <c r="F54" s="61">
        <f t="shared" ref="F54:F60" si="3">IF(E54&gt;0,(E54*D54),0)</f>
        <v>91200</v>
      </c>
      <c r="K54" s="445"/>
    </row>
    <row r="55" spans="1:11" ht="20.25" thickTop="1" thickBot="1" x14ac:dyDescent="0.35">
      <c r="A55" s="430">
        <f>BID!A1133</f>
        <v>1018</v>
      </c>
      <c r="B55" s="15" t="str">
        <f>BID!B1133</f>
        <v>ADJUSTABLE MICROPIPETTE (HITECH)</v>
      </c>
      <c r="C55" s="15" t="str">
        <f>BID!C1133</f>
        <v>100-1000ul</v>
      </c>
      <c r="D55" s="15">
        <f>IF(K55&gt;0,(K55/100)*BID!D1133,1*BID!D1133)</f>
        <v>16</v>
      </c>
      <c r="E55" s="60">
        <f>IF(K55&gt;0,PR!BI1131,IF(BID!K1133="TEMITA",BID!L1133,0))</f>
        <v>5500</v>
      </c>
      <c r="F55" s="61">
        <f t="shared" si="3"/>
        <v>88000</v>
      </c>
      <c r="K55" s="445"/>
    </row>
    <row r="56" spans="1:11" ht="20.25" thickTop="1" thickBot="1" x14ac:dyDescent="0.35">
      <c r="A56" s="430">
        <f>BID!A1134</f>
        <v>1019</v>
      </c>
      <c r="B56" s="15" t="str">
        <f>BID!B1134</f>
        <v>ADJUSTABLE MICROPIPETTE (HITECH)</v>
      </c>
      <c r="C56" s="15" t="str">
        <f>BID!C1134</f>
        <v>1-5ul</v>
      </c>
      <c r="D56" s="15">
        <f>IF(K56&gt;0,(K56/100)*BID!D1134,1*BID!D1134)</f>
        <v>8</v>
      </c>
      <c r="E56" s="60">
        <f>IF(K56&gt;0,PR!BI1132,IF(BID!K1134="TEMITA",BID!L1134,0))</f>
        <v>5500</v>
      </c>
      <c r="F56" s="61">
        <f t="shared" si="3"/>
        <v>44000</v>
      </c>
      <c r="K56" s="445"/>
    </row>
    <row r="57" spans="1:11" ht="20.25" thickTop="1" thickBot="1" x14ac:dyDescent="0.35">
      <c r="A57" s="430">
        <f>BID!A1142</f>
        <v>1027</v>
      </c>
      <c r="B57" s="15" t="str">
        <f>BID!B1142</f>
        <v>LIQUID SOAP (ZENON)</v>
      </c>
      <c r="C57" s="15" t="str">
        <f>BID!C1142</f>
        <v>500ml</v>
      </c>
      <c r="D57" s="15">
        <f>IF(K57&gt;0,(K57/100)*BID!D1142,1*BID!D1142)</f>
        <v>80</v>
      </c>
      <c r="E57" s="60">
        <f>IF(K57&gt;0,PR!BI1140,IF(BID!K1142="TEMITA",BID!L1142,0))</f>
        <v>350</v>
      </c>
      <c r="F57" s="61">
        <f t="shared" si="3"/>
        <v>28000</v>
      </c>
      <c r="K57" s="445"/>
    </row>
    <row r="58" spans="1:11" ht="20.25" thickTop="1" thickBot="1" x14ac:dyDescent="0.35">
      <c r="A58" s="430">
        <f>BID!A1139</f>
        <v>1024</v>
      </c>
      <c r="B58" s="15" t="str">
        <f>BID!B1139</f>
        <v>SODIUM BENZOATE(BDH)</v>
      </c>
      <c r="C58" s="15" t="str">
        <f>BID!C1139</f>
        <v>500g</v>
      </c>
      <c r="D58" s="15">
        <f>IF(K58&gt;0,(K58/100)*BID!D1139,1*BID!D1139)</f>
        <v>20</v>
      </c>
      <c r="E58" s="60">
        <f>IF(K58&gt;0,PR!BI1137,IF(BID!K1139="TEMITA",BID!L1139,0))</f>
        <v>3400</v>
      </c>
      <c r="F58" s="61">
        <f t="shared" si="3"/>
        <v>68000</v>
      </c>
      <c r="K58" s="445"/>
    </row>
    <row r="59" spans="1:11" ht="20.25" thickTop="1" thickBot="1" x14ac:dyDescent="0.35">
      <c r="A59" s="430">
        <f>BID!A1141</f>
        <v>1026</v>
      </c>
      <c r="B59" s="15" t="str">
        <f>BID!B1141</f>
        <v>SODIUM HYDROXIDE (BDH)</v>
      </c>
      <c r="C59" s="15" t="str">
        <f>BID!C1141</f>
        <v>500g</v>
      </c>
      <c r="D59" s="15">
        <f>IF(K59&gt;0,(K59/100)*BID!D1141,1*BID!D1141)</f>
        <v>20</v>
      </c>
      <c r="E59" s="60">
        <f>IF(K59&gt;0,PR!BI1139,IF(BID!K1141="TEMITA",BID!L1141,0))</f>
        <v>3400</v>
      </c>
      <c r="F59" s="61">
        <f t="shared" si="3"/>
        <v>68000</v>
      </c>
      <c r="K59" s="445"/>
    </row>
    <row r="60" spans="1:11" ht="20.25" thickTop="1" thickBot="1" x14ac:dyDescent="0.35">
      <c r="A60" s="430">
        <f>BID!A1140</f>
        <v>1025</v>
      </c>
      <c r="B60" s="15" t="str">
        <f>BID!B1140</f>
        <v>SODIUM POTASSIUM TARTRATE (BDH)</v>
      </c>
      <c r="C60" s="15" t="str">
        <f>BID!C1140</f>
        <v>500g</v>
      </c>
      <c r="D60" s="15">
        <f>IF(K60&gt;0,(K60/100)*BID!D1140,1*BID!D1140)</f>
        <v>20</v>
      </c>
      <c r="E60" s="60">
        <f>IF(K60&gt;0,PR!BI1138,IF(BID!K1140="TEMITA",BID!L1140,0))</f>
        <v>3500</v>
      </c>
      <c r="F60" s="61">
        <f t="shared" si="3"/>
        <v>70000</v>
      </c>
      <c r="K60" s="445"/>
    </row>
    <row r="61" spans="1:11" s="8" customFormat="1" ht="20.25" thickTop="1" thickBot="1" x14ac:dyDescent="0.35">
      <c r="A61" s="430"/>
      <c r="B61" s="15"/>
      <c r="C61" s="15"/>
      <c r="D61" s="15"/>
      <c r="E61" s="60"/>
      <c r="F61" s="61"/>
      <c r="K61" s="444"/>
    </row>
    <row r="62" spans="1:11" s="8" customFormat="1" ht="24.75" thickTop="1" thickBot="1" x14ac:dyDescent="0.3">
      <c r="A62" s="430"/>
      <c r="B62" s="820" t="s">
        <v>1950</v>
      </c>
      <c r="C62" s="821"/>
      <c r="D62" s="821"/>
      <c r="E62" s="821"/>
      <c r="F62" s="822"/>
      <c r="K62" s="444"/>
    </row>
    <row r="63" spans="1:11" ht="20.25" thickTop="1" thickBot="1" x14ac:dyDescent="0.35">
      <c r="A63" s="430"/>
      <c r="B63" s="15" t="str">
        <f>BID!B1159</f>
        <v>SHAJE ANNEX</v>
      </c>
      <c r="C63" s="15"/>
      <c r="D63" s="15"/>
      <c r="E63" s="60"/>
      <c r="F63" s="61"/>
      <c r="K63" s="445"/>
    </row>
    <row r="64" spans="1:11" ht="20.25" thickTop="1" thickBot="1" x14ac:dyDescent="0.35">
      <c r="A64" s="430">
        <f>BID!A1173</f>
        <v>1052</v>
      </c>
      <c r="B64" s="15" t="str">
        <f>BID!B1173</f>
        <v>LIQUID SOAP</v>
      </c>
      <c r="C64" s="15" t="str">
        <f>BID!C1173</f>
        <v>-</v>
      </c>
      <c r="D64" s="15">
        <f>IF(K64&gt;0,(K64/100)*BID!D1173,1*BID!D1173)</f>
        <v>24</v>
      </c>
      <c r="E64" s="60">
        <f>IF(K64&gt;0,PR!BI1171,IF(BID!K1173="TEMITA",BID!L1173,0))</f>
        <v>350</v>
      </c>
      <c r="F64" s="61">
        <f t="shared" ref="F64" si="4">IF(E64&gt;0,(E64*D64),0)</f>
        <v>8400</v>
      </c>
      <c r="K64" s="445"/>
    </row>
    <row r="65" spans="1:11" ht="20.25" thickTop="1" thickBot="1" x14ac:dyDescent="0.35">
      <c r="A65" s="430"/>
      <c r="B65" s="15"/>
      <c r="C65" s="15"/>
      <c r="D65" s="15"/>
      <c r="E65" s="60"/>
      <c r="F65" s="61"/>
      <c r="K65" s="445"/>
    </row>
    <row r="66" spans="1:11" ht="20.25" thickTop="1" thickBot="1" x14ac:dyDescent="0.35">
      <c r="A66" s="430"/>
      <c r="B66" s="15" t="str">
        <f>BID!B1178</f>
        <v>OBADA ANNEX</v>
      </c>
      <c r="C66" s="15"/>
      <c r="D66" s="15"/>
      <c r="E66" s="60"/>
      <c r="F66" s="61"/>
      <c r="K66" s="445"/>
    </row>
    <row r="67" spans="1:11" ht="20.25" thickTop="1" thickBot="1" x14ac:dyDescent="0.35">
      <c r="A67" s="430">
        <f>BID!A1204</f>
        <v>1080</v>
      </c>
      <c r="B67" s="15" t="str">
        <f>BID!B1204</f>
        <v>COVER SLIP</v>
      </c>
      <c r="C67" s="15" t="str">
        <f>BID!C1204</f>
        <v>1 x 10</v>
      </c>
      <c r="D67" s="15">
        <f>IF(K67&gt;0,(K67/100)*BID!D1204,1*BID!D1204)</f>
        <v>10</v>
      </c>
      <c r="E67" s="60">
        <f>IF(K67&gt;0,PR!BI1202,IF(BID!K1204="TEMITA",BID!L1204,0))</f>
        <v>5500</v>
      </c>
      <c r="F67" s="61">
        <f t="shared" ref="F67:F74" si="5">IF(E67&gt;0,(E67*D67),0)</f>
        <v>55000</v>
      </c>
      <c r="K67" s="445"/>
    </row>
    <row r="68" spans="1:11" ht="20.25" thickTop="1" thickBot="1" x14ac:dyDescent="0.35">
      <c r="A68" s="430">
        <f>BID!A1205</f>
        <v>1081</v>
      </c>
      <c r="B68" s="15" t="str">
        <f>BID!B1205</f>
        <v>HEPARINIZED CAPILLARY TUBE</v>
      </c>
      <c r="C68" s="15" t="str">
        <f>BID!C1205</f>
        <v>1 x 10</v>
      </c>
      <c r="D68" s="15">
        <f>IF(K68&gt;0,(K68/100)*BID!D1205,1*BID!D1205)</f>
        <v>12</v>
      </c>
      <c r="E68" s="60">
        <f>IF(K68&gt;0,PR!BI1203,IF(BID!K1205="TEMITA",BID!L1205,0))</f>
        <v>5625</v>
      </c>
      <c r="F68" s="61">
        <f t="shared" si="5"/>
        <v>67500</v>
      </c>
      <c r="K68" s="445"/>
    </row>
    <row r="69" spans="1:11" ht="20.25" thickTop="1" thickBot="1" x14ac:dyDescent="0.35">
      <c r="A69" s="430">
        <f>BID!A1187</f>
        <v>1063</v>
      </c>
      <c r="B69" s="15" t="str">
        <f>BID!B1187</f>
        <v>LANCET</v>
      </c>
      <c r="C69" s="15" t="str">
        <f>BID!C1187</f>
        <v>Pkts</v>
      </c>
      <c r="D69" s="15">
        <f>IF(K69&gt;0,(K69/100)*BID!D1187,1*BID!D1187)</f>
        <v>60</v>
      </c>
      <c r="E69" s="60">
        <f>IF(K69&gt;0,PR!BI1185,IF(BID!K1187="TEMITA",BID!L1187,0))</f>
        <v>420</v>
      </c>
      <c r="F69" s="61">
        <f t="shared" si="5"/>
        <v>25200</v>
      </c>
      <c r="K69" s="445"/>
    </row>
    <row r="70" spans="1:11" ht="20.25" thickTop="1" thickBot="1" x14ac:dyDescent="0.35">
      <c r="A70" s="430">
        <f>BID!A1223</f>
        <v>1099</v>
      </c>
      <c r="B70" s="15" t="str">
        <f>BID!B1223</f>
        <v>MEASURING CYLINDER (GLASS) 1000ML</v>
      </c>
      <c r="C70" s="15" t="str">
        <f>BID!C1223</f>
        <v>Pcs</v>
      </c>
      <c r="D70" s="15">
        <f>IF(K70&gt;0,(K70/100)*BID!D1223,1*BID!D1223)</f>
        <v>1</v>
      </c>
      <c r="E70" s="60">
        <f>IF(K70&gt;0,PR!BI1221,IF(BID!K1223="TEMITA",BID!L1223,0))</f>
        <v>2300</v>
      </c>
      <c r="F70" s="61">
        <f t="shared" si="5"/>
        <v>2300</v>
      </c>
      <c r="K70" s="445"/>
    </row>
    <row r="71" spans="1:11" ht="20.25" thickTop="1" thickBot="1" x14ac:dyDescent="0.35">
      <c r="A71" s="430">
        <f>BID!A1221</f>
        <v>1097</v>
      </c>
      <c r="B71" s="15" t="str">
        <f>BID!B1221</f>
        <v>MEASURING CYLINDER (GLASS) 250ML</v>
      </c>
      <c r="C71" s="15" t="str">
        <f>BID!C1221</f>
        <v>Pcs</v>
      </c>
      <c r="D71" s="15">
        <f>IF(K71&gt;0,(K71/100)*BID!D1221,1*BID!D1221)</f>
        <v>1</v>
      </c>
      <c r="E71" s="60">
        <f>IF(K71&gt;0,PR!BI1219,IF(BID!K1221="TEMITA",BID!L1221,0))</f>
        <v>1000</v>
      </c>
      <c r="F71" s="61">
        <f t="shared" si="5"/>
        <v>1000</v>
      </c>
      <c r="K71" s="445"/>
    </row>
    <row r="72" spans="1:11" ht="20.25" thickTop="1" thickBot="1" x14ac:dyDescent="0.35">
      <c r="A72" s="430">
        <f>BID!A1222</f>
        <v>1098</v>
      </c>
      <c r="B72" s="15" t="str">
        <f>BID!B1222</f>
        <v>MEASURING CYLINDER (GLASS) 500ML</v>
      </c>
      <c r="C72" s="15" t="str">
        <f>BID!C1222</f>
        <v>Pcs</v>
      </c>
      <c r="D72" s="15">
        <f>IF(K72&gt;0,(K72/100)*BID!D1222,1*BID!D1222)</f>
        <v>1</v>
      </c>
      <c r="E72" s="60">
        <f>IF(K72&gt;0,PR!BI1220,IF(BID!K1222="TEMITA",BID!L1222,0))</f>
        <v>1600</v>
      </c>
      <c r="F72" s="61">
        <f t="shared" si="5"/>
        <v>1600</v>
      </c>
      <c r="K72" s="445"/>
    </row>
    <row r="73" spans="1:11" ht="20.25" thickTop="1" thickBot="1" x14ac:dyDescent="0.35">
      <c r="A73" s="430">
        <f>BID!A1208</f>
        <v>1084</v>
      </c>
      <c r="B73" s="15" t="str">
        <f>BID!B1208</f>
        <v>PLASTERCINE</v>
      </c>
      <c r="C73" s="15" t="str">
        <f>BID!C1208</f>
        <v>Pkt</v>
      </c>
      <c r="D73" s="15">
        <f>IF(K73&gt;0,(K73/100)*BID!D1208,1*BID!D1208)</f>
        <v>3</v>
      </c>
      <c r="E73" s="60">
        <f>IF(K73&gt;0,PR!BI1206,IF(BID!K1208="TEMITA",BID!L1208,0))</f>
        <v>875</v>
      </c>
      <c r="F73" s="61">
        <f t="shared" si="5"/>
        <v>2625</v>
      </c>
      <c r="K73" s="445"/>
    </row>
    <row r="74" spans="1:11" ht="20.25" thickTop="1" thickBot="1" x14ac:dyDescent="0.35">
      <c r="A74" s="430">
        <f>BID!A1216</f>
        <v>1092</v>
      </c>
      <c r="B74" s="15" t="str">
        <f>BID!B1216</f>
        <v>SWAB STICK</v>
      </c>
      <c r="C74" s="15" t="str">
        <f>BID!C1216</f>
        <v>Carton</v>
      </c>
      <c r="D74" s="15">
        <f>IF(K74&gt;0,(K74/100)*BID!D1216,1*BID!D1216)</f>
        <v>1</v>
      </c>
      <c r="E74" s="60">
        <f>IF(K74&gt;0,PR!BI1214,IF(BID!K1216="TEMITA",BID!L1216,0))</f>
        <v>18000</v>
      </c>
      <c r="F74" s="61">
        <f t="shared" si="5"/>
        <v>18000</v>
      </c>
      <c r="K74" s="445"/>
    </row>
    <row r="75" spans="1:11" ht="19.5" thickTop="1" x14ac:dyDescent="0.3">
      <c r="A75" s="430"/>
      <c r="B75" s="15"/>
      <c r="C75" s="15"/>
      <c r="D75" s="15"/>
      <c r="E75" s="60"/>
      <c r="F75" s="61"/>
    </row>
    <row r="76" spans="1:11" ht="19.5" thickBot="1" x14ac:dyDescent="0.35">
      <c r="A76" s="430"/>
      <c r="B76" s="15"/>
      <c r="C76" s="15"/>
      <c r="D76" s="15"/>
      <c r="E76" s="60"/>
      <c r="F76" s="442"/>
    </row>
    <row r="77" spans="1:11" ht="21.75" thickBot="1" x14ac:dyDescent="0.4">
      <c r="A77" s="430"/>
      <c r="B77" s="15"/>
      <c r="C77" s="15"/>
      <c r="D77" s="15"/>
      <c r="E77" s="441"/>
      <c r="F77" s="443">
        <f>SUM(F6:F74)</f>
        <v>10376975</v>
      </c>
    </row>
  </sheetData>
  <protectedRanges>
    <protectedRange sqref="K6:K21 K24:K36 K54:K60 K63:K74 K39:K47 K50:K51" name="Range1"/>
    <protectedRange sqref="K4:K5 K22:K23 K37:K38 K52:K53 K61:K62 K48:K49" name="Range1_1_1"/>
  </protectedRanges>
  <sortState ref="A67:K74">
    <sortCondition ref="B67:B74"/>
  </sortState>
  <mergeCells count="7">
    <mergeCell ref="B62:F62"/>
    <mergeCell ref="B1:F1"/>
    <mergeCell ref="B5:F5"/>
    <mergeCell ref="B23:F23"/>
    <mergeCell ref="B38:F38"/>
    <mergeCell ref="B53:F53"/>
    <mergeCell ref="B49:F49"/>
  </mergeCells>
  <pageMargins left="0.25" right="0.25" top="0.75" bottom="0.75" header="0.3" footer="0.3"/>
  <pageSetup paperSize="9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E9C13-59A8-4D02-985A-1A4B637D78B0}">
  <sheetPr>
    <tabColor rgb="FF002060"/>
  </sheetPr>
  <dimension ref="A1:K17"/>
  <sheetViews>
    <sheetView view="pageBreakPreview" zoomScale="85" zoomScaleNormal="100" zoomScaleSheetLayoutView="85" workbookViewId="0">
      <selection activeCell="K7" sqref="K7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N!B61</f>
        <v>THERAPEUTIC LABORATORIES NIGERIA LIMITED</v>
      </c>
      <c r="C1" s="816"/>
      <c r="D1" s="816"/>
      <c r="E1" s="816"/>
      <c r="F1" s="816"/>
      <c r="K1" t="s">
        <v>1235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BID!A20</f>
        <v>8</v>
      </c>
      <c r="B6" s="15" t="str">
        <f>BID!B20</f>
        <v>ARTEMETHER/LUMEFANTRINE (80/480) TAB</v>
      </c>
      <c r="C6" s="15">
        <f>BID!C20</f>
        <v>6</v>
      </c>
      <c r="D6" s="15">
        <f>IF(K6&gt;0,(K6/100)*BID!D20,1*BID!D20)</f>
        <v>1000</v>
      </c>
      <c r="E6" s="60">
        <f>IF(K6&gt;0,PR!BJ18,IF(BID!K20="THL",BID!L20,0))</f>
        <v>260</v>
      </c>
      <c r="F6" s="61">
        <f t="shared" ref="F6:F14" si="0">IF(E6&gt;0,(E6*D6),0)</f>
        <v>260000</v>
      </c>
      <c r="K6" s="445">
        <v>25</v>
      </c>
    </row>
    <row r="7" spans="1:11" ht="20.25" thickTop="1" thickBot="1" x14ac:dyDescent="0.35">
      <c r="A7" s="430">
        <f>BID!A262</f>
        <v>236</v>
      </c>
      <c r="B7" s="15" t="str">
        <f>BID!B262</f>
        <v>CIPROFLOXACIN 500MG TAB</v>
      </c>
      <c r="C7" s="15">
        <f>BID!C262</f>
        <v>10</v>
      </c>
      <c r="D7" s="15">
        <f>IF(K7&gt;0,(K7/100)*BID!D262,1*BID!D262)</f>
        <v>3200</v>
      </c>
      <c r="E7" s="60">
        <f>IF(K7&gt;0,PR!BJ260,IF(BID!K262="THL",BID!L262,0))</f>
        <v>148</v>
      </c>
      <c r="F7" s="61">
        <f t="shared" si="0"/>
        <v>473600</v>
      </c>
      <c r="K7" s="445">
        <v>40</v>
      </c>
    </row>
    <row r="8" spans="1:11" ht="20.25" thickTop="1" thickBot="1" x14ac:dyDescent="0.35">
      <c r="A8" s="430">
        <f>BID!A179</f>
        <v>156</v>
      </c>
      <c r="B8" s="15" t="str">
        <f>BID!B179</f>
        <v xml:space="preserve">DICLOFENAC/METHYL SALICYLATE CREAM </v>
      </c>
      <c r="C8" s="15" t="str">
        <f>BID!C179</f>
        <v>TUBE</v>
      </c>
      <c r="D8" s="15">
        <f>IF(K8&gt;0,(K8/100)*BID!D179,1*BID!D179)</f>
        <v>1600</v>
      </c>
      <c r="E8" s="60">
        <f>IF(K8&gt;0,PR!BJ177,IF(BID!K179="THL",BID!L179,0))</f>
        <v>190</v>
      </c>
      <c r="F8" s="61">
        <f t="shared" si="0"/>
        <v>304000</v>
      </c>
      <c r="K8" s="445">
        <v>50</v>
      </c>
    </row>
    <row r="9" spans="1:11" ht="20.25" thickTop="1" thickBot="1" x14ac:dyDescent="0.35">
      <c r="A9" s="430">
        <f>BID!A181</f>
        <v>158</v>
      </c>
      <c r="B9" s="15" t="str">
        <f>BID!B181</f>
        <v xml:space="preserve">DICLOFENAC/PARACETAMOL </v>
      </c>
      <c r="C9" s="15">
        <f>BID!C181</f>
        <v>20</v>
      </c>
      <c r="D9" s="15">
        <f>IF(K9&gt;0,(K9/100)*BID!D181,1*BID!D181)</f>
        <v>400</v>
      </c>
      <c r="E9" s="60">
        <f>IF(K9&gt;0,PR!BJ179,IF(BID!K181="THL",BID!L181,0))</f>
        <v>150</v>
      </c>
      <c r="F9" s="61">
        <f t="shared" si="0"/>
        <v>60000</v>
      </c>
      <c r="K9" s="445"/>
    </row>
    <row r="10" spans="1:11" ht="20.25" thickTop="1" thickBot="1" x14ac:dyDescent="0.35">
      <c r="A10" s="430">
        <f>BID!A337</f>
        <v>305</v>
      </c>
      <c r="B10" s="15" t="str">
        <f>BID!B337</f>
        <v>FERROUS SULPHATE 200MG TAB</v>
      </c>
      <c r="C10" s="15">
        <f>BID!C337</f>
        <v>1000</v>
      </c>
      <c r="D10" s="15">
        <f>IF(K10&gt;0,(K10/100)*BID!D337,1*BID!D337)</f>
        <v>500</v>
      </c>
      <c r="E10" s="60">
        <f>IF(K10&gt;0,PR!BJ335,IF(BID!K337="THL",BID!L337,0))</f>
        <v>700</v>
      </c>
      <c r="F10" s="61">
        <f t="shared" si="0"/>
        <v>350000</v>
      </c>
      <c r="K10" s="445"/>
    </row>
    <row r="11" spans="1:11" ht="20.25" thickTop="1" thickBot="1" x14ac:dyDescent="0.35">
      <c r="A11" s="430">
        <f>BID!A343</f>
        <v>311</v>
      </c>
      <c r="B11" s="15" t="str">
        <f>BID!B343</f>
        <v>IRON (III) HYDROXIDE POLYMALTOSE COMPLEX 50MG STERROP (TOT'HEMA)</v>
      </c>
      <c r="C11" s="15">
        <f>BID!C343</f>
        <v>20</v>
      </c>
      <c r="D11" s="15">
        <f>IF(K11&gt;0,(K11/100)*BID!D343,1*BID!D343)</f>
        <v>600</v>
      </c>
      <c r="E11" s="60">
        <f>IF(K11&gt;0,PR!BJ341,IF(BID!K343="THL",BID!L343,0))</f>
        <v>480</v>
      </c>
      <c r="F11" s="61">
        <f t="shared" si="0"/>
        <v>288000</v>
      </c>
      <c r="K11" s="445"/>
    </row>
    <row r="12" spans="1:11" ht="20.25" thickTop="1" thickBot="1" x14ac:dyDescent="0.35">
      <c r="A12" s="430">
        <f>BID!A483</f>
        <v>435</v>
      </c>
      <c r="B12" s="15" t="str">
        <f>BID!B483</f>
        <v>MAGNESIUM HYDROXIDE/ALUMINIUM HYDROXIDE+ DIMETHICONE SUSP</v>
      </c>
      <c r="C12" s="15" t="str">
        <f>BID!C483</f>
        <v>BOTT</v>
      </c>
      <c r="D12" s="15">
        <f>IF(K12&gt;0,(K12/100)*BID!D483,1*BID!D483)</f>
        <v>1000</v>
      </c>
      <c r="E12" s="60">
        <f>IF(K12&gt;0,PR!BJ481,IF(BID!K483="THL",BID!L483,0))</f>
        <v>260</v>
      </c>
      <c r="F12" s="61">
        <f t="shared" si="0"/>
        <v>260000</v>
      </c>
      <c r="K12" s="445">
        <v>25</v>
      </c>
    </row>
    <row r="13" spans="1:11" ht="20.25" thickTop="1" thickBot="1" x14ac:dyDescent="0.35">
      <c r="A13" s="430">
        <f>BID!A154</f>
        <v>134</v>
      </c>
      <c r="B13" s="15" t="str">
        <f>BID!B154</f>
        <v>METFORMIN HCL 500MG TAB</v>
      </c>
      <c r="C13" s="15">
        <f>BID!C154</f>
        <v>100</v>
      </c>
      <c r="D13" s="15">
        <f>IF(K13&gt;0,(K13/100)*BID!D154,1*BID!D154)</f>
        <v>1500</v>
      </c>
      <c r="E13" s="60">
        <f>IF(K13&gt;0,PR!BJ152,IF(BID!K154="THL",BID!L154,0))</f>
        <v>400</v>
      </c>
      <c r="F13" s="61">
        <f t="shared" si="0"/>
        <v>600000</v>
      </c>
      <c r="K13" s="445">
        <v>60</v>
      </c>
    </row>
    <row r="14" spans="1:11" ht="20.25" thickTop="1" thickBot="1" x14ac:dyDescent="0.35">
      <c r="A14" s="430">
        <f>BID!A494</f>
        <v>446</v>
      </c>
      <c r="B14" s="15" t="str">
        <f>BID!B494</f>
        <v>OXATHAZINE/MAGNESIUM HYDROXIDE/ALUMINIUM HYDROXIDE/SIMETHICONE</v>
      </c>
      <c r="C14" s="15" t="str">
        <f>BID!C494</f>
        <v>BOTT</v>
      </c>
      <c r="D14" s="15">
        <f>IF(K14&gt;0,(K14/100)*BID!D494,1*BID!D494)</f>
        <v>400</v>
      </c>
      <c r="E14" s="60">
        <f>IF(K14&gt;0,PR!BJ492,IF(BID!K494="THL",BID!L494,0))</f>
        <v>410</v>
      </c>
      <c r="F14" s="61">
        <f t="shared" si="0"/>
        <v>164000</v>
      </c>
      <c r="K14" s="445"/>
    </row>
    <row r="15" spans="1:11" ht="19.5" thickTop="1" x14ac:dyDescent="0.3">
      <c r="A15" s="430"/>
      <c r="B15" s="15"/>
      <c r="C15" s="15"/>
      <c r="D15" s="15"/>
      <c r="E15" s="60"/>
      <c r="F15" s="61"/>
    </row>
    <row r="16" spans="1:11" ht="19.5" thickBot="1" x14ac:dyDescent="0.35">
      <c r="A16" s="430"/>
      <c r="B16" s="15"/>
      <c r="C16" s="15"/>
      <c r="D16" s="15"/>
      <c r="E16" s="60"/>
      <c r="F16" s="442"/>
    </row>
    <row r="17" spans="1:6" ht="21.75" thickBot="1" x14ac:dyDescent="0.4">
      <c r="A17" s="430"/>
      <c r="B17" s="15"/>
      <c r="C17" s="15"/>
      <c r="D17" s="15"/>
      <c r="E17" s="441"/>
      <c r="F17" s="443">
        <f>SUM(F6:F14)</f>
        <v>2759600</v>
      </c>
    </row>
  </sheetData>
  <sheetProtection algorithmName="SHA-512" hashValue="bK3BKIw4GCPSLubLwd69HyDOOk0QdF1DTXvf639hWCI316HbybuZ7xvOdnFv8S6WgllRwVDWu3zo98H5POLr4w==" saltValue="12tseDi51PDzizlGEWrvwQ==" spinCount="100000" sheet="1" objects="1" scenarios="1"/>
  <protectedRanges>
    <protectedRange sqref="K6:K14" name="Range1"/>
    <protectedRange sqref="K4:K5" name="Range1_1"/>
  </protectedRanges>
  <sortState ref="A6:K14">
    <sortCondition ref="B6:B14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791C-F045-4B04-AB62-EA136386A46B}">
  <sheetPr>
    <tabColor rgb="FF7030A0"/>
  </sheetPr>
  <dimension ref="A1:K100"/>
  <sheetViews>
    <sheetView view="pageBreakPreview" topLeftCell="A82" zoomScale="85" zoomScaleNormal="100" zoomScaleSheetLayoutView="85" workbookViewId="0"/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N!B62</f>
        <v>UBASTIC NIGERIA LIMITED</v>
      </c>
      <c r="C1" s="816"/>
      <c r="D1" s="816"/>
      <c r="E1" s="816"/>
      <c r="F1" s="816"/>
      <c r="K1" t="s">
        <v>1459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1507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BID!A834</f>
        <v>748</v>
      </c>
      <c r="B6" s="15" t="str">
        <f>BID!B834</f>
        <v>FACE MASK (AGARY)</v>
      </c>
      <c r="C6" s="15" t="str">
        <f>BID!C834</f>
        <v>PACK</v>
      </c>
      <c r="D6" s="15">
        <f>IF(K6&gt;0,(K6/100)*BID!D834,1*BID!D834)</f>
        <v>1200</v>
      </c>
      <c r="E6" s="60">
        <f>IF(K6&gt;0,PR!BK832,IF(BID!K834="UBASTIC",BID!L834,0))</f>
        <v>375</v>
      </c>
      <c r="F6" s="61">
        <f t="shared" ref="F6:F8" si="0">IF(E6&gt;0,(E6*D6),0)</f>
        <v>450000</v>
      </c>
      <c r="K6" s="445"/>
    </row>
    <row r="7" spans="1:11" ht="20.25" thickTop="1" thickBot="1" x14ac:dyDescent="0.35">
      <c r="A7" s="430">
        <f>BID!A843</f>
        <v>757</v>
      </c>
      <c r="B7" s="15" t="str">
        <f>BID!B843</f>
        <v>SMALLEST BATTERY AAA (DURACELL)</v>
      </c>
      <c r="C7" s="15" t="str">
        <f>BID!C843</f>
        <v>PACK</v>
      </c>
      <c r="D7" s="15">
        <f>IF(K7&gt;0,(K7/100)*BID!D843,1*BID!D843)</f>
        <v>90</v>
      </c>
      <c r="E7" s="60">
        <f>IF(K7&gt;0,PR!BK841,IF(BID!K843="UBASTIC",BID!L843,0))</f>
        <v>450</v>
      </c>
      <c r="F7" s="61">
        <f t="shared" si="0"/>
        <v>40500</v>
      </c>
      <c r="K7" s="445"/>
    </row>
    <row r="8" spans="1:11" ht="20.25" thickTop="1" thickBot="1" x14ac:dyDescent="0.35">
      <c r="A8" s="430">
        <f>BID!A844</f>
        <v>758</v>
      </c>
      <c r="B8" s="15" t="str">
        <f>BID!B844</f>
        <v>SMALL BATTERY R6 (DURACELL)</v>
      </c>
      <c r="C8" s="15" t="str">
        <f>BID!C844</f>
        <v>PACK</v>
      </c>
      <c r="D8" s="15">
        <f>IF(K8&gt;0,(K8/100)*BID!D844,1*BID!D844)</f>
        <v>90</v>
      </c>
      <c r="E8" s="60">
        <f>IF(K8&gt;0,PR!BK842,IF(BID!K844="UBASTIC",BID!L844,0))</f>
        <v>450</v>
      </c>
      <c r="F8" s="61">
        <f t="shared" si="0"/>
        <v>40500</v>
      </c>
      <c r="K8" s="445"/>
    </row>
    <row r="9" spans="1:11" s="8" customFormat="1" ht="20.25" thickTop="1" thickBot="1" x14ac:dyDescent="0.35">
      <c r="A9" s="430"/>
      <c r="B9" s="15"/>
      <c r="C9" s="15"/>
      <c r="D9" s="15"/>
      <c r="E9" s="60"/>
      <c r="F9" s="61"/>
      <c r="K9" s="444"/>
    </row>
    <row r="10" spans="1:11" s="8" customFormat="1" ht="24.75" thickTop="1" thickBot="1" x14ac:dyDescent="0.3">
      <c r="A10" s="430"/>
      <c r="B10" s="820" t="s">
        <v>1548</v>
      </c>
      <c r="C10" s="821"/>
      <c r="D10" s="821"/>
      <c r="E10" s="821"/>
      <c r="F10" s="822"/>
      <c r="K10" s="444"/>
    </row>
    <row r="11" spans="1:11" ht="20.25" thickTop="1" thickBot="1" x14ac:dyDescent="0.35">
      <c r="A11" s="430">
        <f>BID!A871</f>
        <v>779</v>
      </c>
      <c r="B11" s="15" t="str">
        <f>BID!B871</f>
        <v>30% BOVINE ALBUMIN</v>
      </c>
      <c r="C11" s="15" t="str">
        <f>BID!C871</f>
        <v>1 pack of 10</v>
      </c>
      <c r="D11" s="15">
        <f>IF(K11&gt;0,(K11/100)*BID!D871,1*BID!D871)</f>
        <v>5</v>
      </c>
      <c r="E11" s="60">
        <f>IF(K11&gt;0,PR!BK869,IF(BID!K871="UBASTIC",BID!L871,0))</f>
        <v>20000</v>
      </c>
      <c r="F11" s="61">
        <f t="shared" ref="F11:F22" si="1">IF(E11&gt;0,(E11*D11),0)</f>
        <v>100000</v>
      </c>
      <c r="K11" s="445"/>
    </row>
    <row r="12" spans="1:11" ht="20.25" thickTop="1" thickBot="1" x14ac:dyDescent="0.35">
      <c r="A12" s="430">
        <f>BID!A866</f>
        <v>774</v>
      </c>
      <c r="B12" s="15" t="str">
        <f>BID!B866</f>
        <v>ANTI-A (BIOTEC) (10ML)</v>
      </c>
      <c r="C12" s="15" t="str">
        <f>BID!C866</f>
        <v>1 pack of 10</v>
      </c>
      <c r="D12" s="15">
        <f>IF(K12&gt;0,(K12/100)*BID!D866,1*BID!D866)</f>
        <v>12</v>
      </c>
      <c r="E12" s="60">
        <f>IF(K12&gt;0,PR!BK864,IF(BID!K866="UBASTIC",BID!L866,0))</f>
        <v>10000</v>
      </c>
      <c r="F12" s="61">
        <f t="shared" si="1"/>
        <v>120000</v>
      </c>
      <c r="K12" s="445"/>
    </row>
    <row r="13" spans="1:11" ht="20.25" thickTop="1" thickBot="1" x14ac:dyDescent="0.35">
      <c r="A13" s="430">
        <f>BID!A868</f>
        <v>776</v>
      </c>
      <c r="B13" s="15" t="str">
        <f>BID!B868</f>
        <v>ANTI-A+B (BIOTEC) (10ML)</v>
      </c>
      <c r="C13" s="15" t="str">
        <f>BID!C868</f>
        <v>1 pack of 10</v>
      </c>
      <c r="D13" s="15">
        <f>IF(K13&gt;0,(K13/100)*BID!D868,1*BID!D868)</f>
        <v>12</v>
      </c>
      <c r="E13" s="60">
        <f>IF(K13&gt;0,PR!BK866,IF(BID!K868="UBASTIC",BID!L868,0))</f>
        <v>15000</v>
      </c>
      <c r="F13" s="61">
        <f t="shared" si="1"/>
        <v>180000</v>
      </c>
      <c r="K13" s="445"/>
    </row>
    <row r="14" spans="1:11" ht="20.25" thickTop="1" thickBot="1" x14ac:dyDescent="0.35">
      <c r="A14" s="430">
        <f>BID!A867</f>
        <v>775</v>
      </c>
      <c r="B14" s="15" t="str">
        <f>BID!B867</f>
        <v>ANTI-B (BIOTEC) (10ML)</v>
      </c>
      <c r="C14" s="15" t="str">
        <f>BID!C867</f>
        <v>1 pack of 10</v>
      </c>
      <c r="D14" s="15">
        <f>IF(K14&gt;0,(K14/100)*BID!D867,1*BID!D867)</f>
        <v>12</v>
      </c>
      <c r="E14" s="60">
        <f>IF(K14&gt;0,PR!BK865,IF(BID!K867="UBASTIC",BID!L867,0))</f>
        <v>10000</v>
      </c>
      <c r="F14" s="61">
        <f t="shared" si="1"/>
        <v>120000</v>
      </c>
      <c r="K14" s="445"/>
    </row>
    <row r="15" spans="1:11" ht="20.25" thickTop="1" thickBot="1" x14ac:dyDescent="0.35">
      <c r="A15" s="430">
        <f>BID!A869</f>
        <v>777</v>
      </c>
      <c r="B15" s="15" t="str">
        <f>BID!B869</f>
        <v>ANTI-D (BIOTEC) (10ML)</v>
      </c>
      <c r="C15" s="15" t="str">
        <f>BID!C869</f>
        <v>1 pack of 10</v>
      </c>
      <c r="D15" s="15">
        <f>IF(K15&gt;0,(K15/100)*BID!D869,1*BID!D869)</f>
        <v>12</v>
      </c>
      <c r="E15" s="60">
        <f>IF(K15&gt;0,PR!BK867,IF(BID!K869="UBASTIC",BID!L869,0))</f>
        <v>15000</v>
      </c>
      <c r="F15" s="61">
        <f t="shared" si="1"/>
        <v>180000</v>
      </c>
      <c r="K15" s="445"/>
    </row>
    <row r="16" spans="1:11" ht="20.25" thickTop="1" thickBot="1" x14ac:dyDescent="0.35">
      <c r="A16" s="430">
        <f>BID!A870</f>
        <v>778</v>
      </c>
      <c r="B16" s="15" t="str">
        <f>BID!B870</f>
        <v>ANTI-HUMAN GLOBULIN (10ML)</v>
      </c>
      <c r="C16" s="15" t="str">
        <f>BID!C870</f>
        <v>1 pack of 10</v>
      </c>
      <c r="D16" s="15">
        <f>IF(K16&gt;0,(K16/100)*BID!D870,1*BID!D870)</f>
        <v>5</v>
      </c>
      <c r="E16" s="60">
        <f>IF(K16&gt;0,PR!BK868,IF(BID!K870="UBASTIC",BID!L870,0))</f>
        <v>20000</v>
      </c>
      <c r="F16" s="61">
        <f t="shared" si="1"/>
        <v>100000</v>
      </c>
      <c r="K16" s="445"/>
    </row>
    <row r="17" spans="1:11" ht="20.25" thickTop="1" thickBot="1" x14ac:dyDescent="0.35">
      <c r="A17" s="430">
        <f>BID!A859</f>
        <v>767</v>
      </c>
      <c r="B17" s="15" t="str">
        <f>BID!B859</f>
        <v>ELASTIC TORNIQUETS</v>
      </c>
      <c r="C17" s="15" t="str">
        <f>BID!C859</f>
        <v>6 pcs</v>
      </c>
      <c r="D17" s="15">
        <f>IF(K17&gt;0,(K17/100)*BID!D859,1*BID!D859)</f>
        <v>6</v>
      </c>
      <c r="E17" s="60">
        <f>IF(K17&gt;0,PR!BK857,IF(BID!K859="UBASTIC",BID!L859,0))</f>
        <v>650</v>
      </c>
      <c r="F17" s="61">
        <f t="shared" si="1"/>
        <v>3900</v>
      </c>
      <c r="K17" s="445"/>
    </row>
    <row r="18" spans="1:11" ht="20.25" thickTop="1" thickBot="1" x14ac:dyDescent="0.35">
      <c r="A18" s="430">
        <f>BID!A873</f>
        <v>781</v>
      </c>
      <c r="B18" s="15" t="str">
        <f>BID!B873</f>
        <v>HEPATITIS B SCREENING RAPID KIT</v>
      </c>
      <c r="C18" s="15" t="str">
        <f>BID!C873</f>
        <v>1 pack of 50</v>
      </c>
      <c r="D18" s="15">
        <f>IF(K18&gt;0,(K18/100)*BID!D873,1*BID!D873)</f>
        <v>50</v>
      </c>
      <c r="E18" s="60">
        <f>IF(K18&gt;0,PR!BK871,IF(BID!K873="UBASTIC",BID!L873,0))</f>
        <v>3500</v>
      </c>
      <c r="F18" s="61">
        <f t="shared" si="1"/>
        <v>175000</v>
      </c>
      <c r="K18" s="445"/>
    </row>
    <row r="19" spans="1:11" ht="20.25" thickTop="1" thickBot="1" x14ac:dyDescent="0.35">
      <c r="A19" s="430">
        <f>BID!A882</f>
        <v>790</v>
      </c>
      <c r="B19" s="15" t="str">
        <f>BID!B882</f>
        <v>HEPATITIS C SCREENING RAPID KIT</v>
      </c>
      <c r="C19" s="15" t="str">
        <f>BID!C882</f>
        <v>1 pack of 50</v>
      </c>
      <c r="D19" s="15">
        <f>IF(K19&gt;0,(K19/100)*BID!D882,1*BID!D882)</f>
        <v>2</v>
      </c>
      <c r="E19" s="60">
        <f>IF(K19&gt;0,PR!BK880,IF(BID!K882="UBASTIC",BID!L882,0))</f>
        <v>5500</v>
      </c>
      <c r="F19" s="61">
        <f t="shared" si="1"/>
        <v>11000</v>
      </c>
      <c r="K19" s="445"/>
    </row>
    <row r="20" spans="1:11" ht="20.25" thickTop="1" thickBot="1" x14ac:dyDescent="0.35">
      <c r="A20" s="430">
        <f>BID!A881</f>
        <v>789</v>
      </c>
      <c r="B20" s="15" t="str">
        <f>BID!B881</f>
        <v>HIV I &amp; II SCREENING RAPID KIT</v>
      </c>
      <c r="C20" s="15" t="str">
        <f>BID!C881</f>
        <v>1 pack of 100</v>
      </c>
      <c r="D20" s="15">
        <f>IF(K20&gt;0,(K20/100)*BID!D881,1*BID!D881)</f>
        <v>1</v>
      </c>
      <c r="E20" s="60">
        <f>IF(K20&gt;0,PR!BK879,IF(BID!K881="UBASTIC",BID!L881,0))</f>
        <v>18000</v>
      </c>
      <c r="F20" s="61">
        <f t="shared" si="1"/>
        <v>18000</v>
      </c>
      <c r="K20" s="445"/>
    </row>
    <row r="21" spans="1:11" ht="20.25" thickTop="1" thickBot="1" x14ac:dyDescent="0.35">
      <c r="A21" s="430">
        <f>BID!A876</f>
        <v>784</v>
      </c>
      <c r="B21" s="15" t="str">
        <f>BID!B876</f>
        <v>METHANOL (2.5L) (HONEY WELL)</v>
      </c>
      <c r="C21" s="15" t="str">
        <f>BID!C876</f>
        <v>30 pcs</v>
      </c>
      <c r="D21" s="15">
        <f>IF(K21&gt;0,(K21/100)*BID!D876,1*BID!D876)</f>
        <v>30</v>
      </c>
      <c r="E21" s="60">
        <f>IF(K21&gt;0,PR!BK874,IF(BID!K876="UBASTIC",BID!L876,0))</f>
        <v>7500</v>
      </c>
      <c r="F21" s="61">
        <f t="shared" si="1"/>
        <v>225000</v>
      </c>
      <c r="K21" s="445"/>
    </row>
    <row r="22" spans="1:11" ht="20.25" thickTop="1" thickBot="1" x14ac:dyDescent="0.35">
      <c r="A22" s="430">
        <f>BID!A874</f>
        <v>782</v>
      </c>
      <c r="B22" s="15" t="str">
        <f>BID!B874</f>
        <v>VDRL SCREENING RAPID KIT</v>
      </c>
      <c r="C22" s="15" t="str">
        <f>BID!C874</f>
        <v>1 pack of 50</v>
      </c>
      <c r="D22" s="15">
        <f>IF(K22&gt;0,(K22/100)*BID!D874,1*BID!D874)</f>
        <v>1</v>
      </c>
      <c r="E22" s="60">
        <f>IF(K22&gt;0,PR!BK872,IF(BID!K874="UBASTIC",BID!L874,0))</f>
        <v>3500</v>
      </c>
      <c r="F22" s="61">
        <f t="shared" si="1"/>
        <v>3500</v>
      </c>
      <c r="K22" s="445"/>
    </row>
    <row r="23" spans="1:11" s="8" customFormat="1" ht="20.25" thickTop="1" thickBot="1" x14ac:dyDescent="0.35">
      <c r="A23" s="430"/>
      <c r="B23" s="15"/>
      <c r="C23" s="15"/>
      <c r="D23" s="15"/>
      <c r="E23" s="60"/>
      <c r="F23" s="61"/>
      <c r="K23" s="444"/>
    </row>
    <row r="24" spans="1:11" s="8" customFormat="1" ht="24.75" thickTop="1" thickBot="1" x14ac:dyDescent="0.3">
      <c r="A24" s="430"/>
      <c r="B24" s="820" t="s">
        <v>1657</v>
      </c>
      <c r="C24" s="821"/>
      <c r="D24" s="821"/>
      <c r="E24" s="821"/>
      <c r="F24" s="822"/>
      <c r="K24" s="444"/>
    </row>
    <row r="25" spans="1:11" ht="20.25" thickTop="1" thickBot="1" x14ac:dyDescent="0.35">
      <c r="A25" s="430">
        <f>BID!A944</f>
        <v>846</v>
      </c>
      <c r="B25" s="15" t="str">
        <f>BID!B944</f>
        <v>ACETIC</v>
      </c>
      <c r="C25" s="15" t="str">
        <f>BID!C944</f>
        <v>Bottle (2.5L)</v>
      </c>
      <c r="D25" s="15">
        <f>IF(K25&gt;0,(K25/100)*BID!D944,1*BID!D944)</f>
        <v>1</v>
      </c>
      <c r="E25" s="60">
        <f>IF(K25&gt;0,PR!BK942,IF(BID!K944="UBASTIC",BID!L944,0))</f>
        <v>10500</v>
      </c>
      <c r="F25" s="61">
        <f>IF(E25&gt;0,(E25*D25),0)</f>
        <v>10500</v>
      </c>
      <c r="K25" s="445"/>
    </row>
    <row r="26" spans="1:11" ht="20.25" thickTop="1" thickBot="1" x14ac:dyDescent="0.35">
      <c r="A26" s="430">
        <f>BID!A969</f>
        <v>871</v>
      </c>
      <c r="B26" s="15" t="str">
        <f>BID!B969</f>
        <v>HARPIC</v>
      </c>
      <c r="C26" s="15" t="str">
        <f>BID!C969</f>
        <v>1 bottle (500MLS)</v>
      </c>
      <c r="D26" s="15">
        <f>IF(K26&gt;0,(K26/100)*BID!D969,1*BID!D969)</f>
        <v>12</v>
      </c>
      <c r="E26" s="60">
        <f>IF(K26&gt;0,PR!BK967,IF(BID!K969="UBASTIC",BID!L969,0))</f>
        <v>650</v>
      </c>
      <c r="F26" s="61">
        <f>IF(E26&gt;0,(E26*D26),0)</f>
        <v>7800</v>
      </c>
      <c r="K26" s="445"/>
    </row>
    <row r="27" spans="1:11" ht="20.25" thickTop="1" thickBot="1" x14ac:dyDescent="0.35">
      <c r="A27" s="430">
        <f>BID!A971</f>
        <v>873</v>
      </c>
      <c r="B27" s="15" t="str">
        <f>BID!B971</f>
        <v>IRON SPONGE</v>
      </c>
      <c r="C27" s="15" t="str">
        <f>BID!C971</f>
        <v>1 piece</v>
      </c>
      <c r="D27" s="15">
        <f>IF(K27&gt;0,(K27/100)*BID!D971,1*BID!D971)</f>
        <v>6</v>
      </c>
      <c r="E27" s="60">
        <f>IF(K27&gt;0,PR!BK969,IF(BID!K971="UBASTIC",BID!L971,0))</f>
        <v>50</v>
      </c>
      <c r="F27" s="61">
        <f>IF(E27&gt;0,(E27*D27),0)</f>
        <v>300</v>
      </c>
      <c r="K27" s="445"/>
    </row>
    <row r="28" spans="1:11" ht="20.25" thickTop="1" thickBot="1" x14ac:dyDescent="0.35">
      <c r="A28" s="430">
        <f>BID!A955</f>
        <v>857</v>
      </c>
      <c r="B28" s="15" t="str">
        <f>BID!B955</f>
        <v>MICROTOME BLADE</v>
      </c>
      <c r="C28" s="15" t="str">
        <f>BID!C955</f>
        <v>1 pack (50pcs)</v>
      </c>
      <c r="D28" s="15">
        <f>IF(K28&gt;0,(K28/100)*BID!D955,1*BID!D955)</f>
        <v>20</v>
      </c>
      <c r="E28" s="60">
        <f>IF(K28&gt;0,PR!BK953,IF(BID!K955="UBASTIC",BID!L955,0))</f>
        <v>40000</v>
      </c>
      <c r="F28" s="61">
        <f>IF(E28&gt;0,(E28*D28),0)</f>
        <v>800000</v>
      </c>
      <c r="K28" s="445"/>
    </row>
    <row r="29" spans="1:11" s="8" customFormat="1" ht="20.25" thickTop="1" thickBot="1" x14ac:dyDescent="0.35">
      <c r="A29" s="430"/>
      <c r="B29" s="15"/>
      <c r="C29" s="15"/>
      <c r="D29" s="15"/>
      <c r="E29" s="60"/>
      <c r="F29" s="61"/>
      <c r="K29" s="444"/>
    </row>
    <row r="30" spans="1:11" s="8" customFormat="1" ht="24.75" thickTop="1" thickBot="1" x14ac:dyDescent="0.3">
      <c r="A30" s="430"/>
      <c r="B30" s="820" t="s">
        <v>1754</v>
      </c>
      <c r="C30" s="821"/>
      <c r="D30" s="821"/>
      <c r="E30" s="821"/>
      <c r="F30" s="822"/>
      <c r="K30" s="444"/>
    </row>
    <row r="31" spans="1:11" ht="20.25" thickTop="1" thickBot="1" x14ac:dyDescent="0.35">
      <c r="A31" s="430">
        <f>BID!A1065</f>
        <v>958</v>
      </c>
      <c r="B31" s="15" t="str">
        <f>BID!B1065</f>
        <v>AMOXICILLIN</v>
      </c>
      <c r="C31" s="15" t="str">
        <f>BID!C1065</f>
        <v>1 PACK OF 250 PCS</v>
      </c>
      <c r="D31" s="15">
        <f>IF(K31&gt;0,(K31/100)*BID!D1065,1*BID!D1065)</f>
        <v>12</v>
      </c>
      <c r="E31" s="60">
        <f>IF(K31&gt;0,PR!BK1063,IF(BID!K1065="UBASTIC",BID!L1065,0))</f>
        <v>6000</v>
      </c>
      <c r="F31" s="61">
        <f t="shared" ref="F31:F59" si="2">IF(E31&gt;0,(E31*D31),0)</f>
        <v>72000</v>
      </c>
      <c r="K31" s="445"/>
    </row>
    <row r="32" spans="1:11" ht="20.25" thickTop="1" thickBot="1" x14ac:dyDescent="0.35">
      <c r="A32" s="430">
        <f>BID!A1073</f>
        <v>966</v>
      </c>
      <c r="B32" s="15" t="str">
        <f>BID!B1073</f>
        <v>AUGMENTIN</v>
      </c>
      <c r="C32" s="15" t="str">
        <f>BID!C1073</f>
        <v>1 PACK OF 250 PCS</v>
      </c>
      <c r="D32" s="15">
        <f>IF(K32&gt;0,(K32/100)*BID!D1073,1*BID!D1073)</f>
        <v>24</v>
      </c>
      <c r="E32" s="60">
        <f>IF(K32&gt;0,PR!BK1071,IF(BID!K1073="UBASTIC",BID!L1073,0))</f>
        <v>6000</v>
      </c>
      <c r="F32" s="61">
        <f t="shared" si="2"/>
        <v>144000</v>
      </c>
      <c r="K32" s="445"/>
    </row>
    <row r="33" spans="1:11" ht="20.25" thickTop="1" thickBot="1" x14ac:dyDescent="0.35">
      <c r="A33" s="430">
        <f>BID!A1076</f>
        <v>969</v>
      </c>
      <c r="B33" s="15" t="str">
        <f>BID!B1076</f>
        <v>BACITRACIN</v>
      </c>
      <c r="C33" s="15" t="str">
        <f>BID!C1076</f>
        <v>1 PACK OF 250 PCS</v>
      </c>
      <c r="D33" s="15">
        <f>IF(K33&gt;0,(K33/100)*BID!D1076,1*BID!D1076)</f>
        <v>4</v>
      </c>
      <c r="E33" s="60">
        <f>IF(K33&gt;0,PR!BK1074,IF(BID!K1076="UBASTIC",BID!L1076,0))</f>
        <v>6500</v>
      </c>
      <c r="F33" s="61">
        <f t="shared" si="2"/>
        <v>26000</v>
      </c>
      <c r="K33" s="445"/>
    </row>
    <row r="34" spans="1:11" ht="20.25" thickTop="1" thickBot="1" x14ac:dyDescent="0.35">
      <c r="A34" s="430">
        <f>BID!A1013</f>
        <v>909</v>
      </c>
      <c r="B34" s="15" t="str">
        <f>BID!B1013</f>
        <v>BLOOD AGAR BASE</v>
      </c>
      <c r="C34" s="15" t="str">
        <f>BID!C1013</f>
        <v>1 bottle of 500g</v>
      </c>
      <c r="D34" s="15">
        <f>IF(K34&gt;0,(K34/100)*BID!D1013,1*BID!D1013)</f>
        <v>40</v>
      </c>
      <c r="E34" s="60">
        <f>IF(K34&gt;0,PR!BK1011,IF(BID!K1013="UBASTIC",BID!L1013,0))</f>
        <v>20000</v>
      </c>
      <c r="F34" s="61">
        <f t="shared" si="2"/>
        <v>800000</v>
      </c>
      <c r="K34" s="445"/>
    </row>
    <row r="35" spans="1:11" ht="20.25" thickTop="1" thickBot="1" x14ac:dyDescent="0.35">
      <c r="A35" s="430">
        <f>BID!A1072</f>
        <v>965</v>
      </c>
      <c r="B35" s="15" t="str">
        <f>BID!B1072</f>
        <v>CEFOXITIN</v>
      </c>
      <c r="C35" s="15" t="str">
        <f>BID!C1072</f>
        <v>1 PACK OF 250 PCS</v>
      </c>
      <c r="D35" s="15">
        <f>IF(K35&gt;0,(K35/100)*BID!D1072,1*BID!D1072)</f>
        <v>12</v>
      </c>
      <c r="E35" s="60">
        <f>IF(K35&gt;0,PR!BK1070,IF(BID!K1072="UBASTIC",BID!L1072,0))</f>
        <v>6000</v>
      </c>
      <c r="F35" s="61">
        <f t="shared" si="2"/>
        <v>72000</v>
      </c>
      <c r="K35" s="445"/>
    </row>
    <row r="36" spans="1:11" ht="20.25" thickTop="1" thickBot="1" x14ac:dyDescent="0.35">
      <c r="A36" s="430">
        <f>BID!A1071</f>
        <v>964</v>
      </c>
      <c r="B36" s="15" t="str">
        <f>BID!B1071</f>
        <v>CEFTAZIDIME</v>
      </c>
      <c r="C36" s="15" t="str">
        <f>BID!C1071</f>
        <v>1 PACK OF 250 PCS</v>
      </c>
      <c r="D36" s="15">
        <f>IF(K36&gt;0,(K36/100)*BID!D1071,1*BID!D1071)</f>
        <v>12</v>
      </c>
      <c r="E36" s="60">
        <f>IF(K36&gt;0,PR!BK1069,IF(BID!K1071="UBASTIC",BID!L1071,0))</f>
        <v>6000</v>
      </c>
      <c r="F36" s="61">
        <f t="shared" si="2"/>
        <v>72000</v>
      </c>
      <c r="K36" s="445"/>
    </row>
    <row r="37" spans="1:11" ht="20.25" thickTop="1" thickBot="1" x14ac:dyDescent="0.35">
      <c r="A37" s="430">
        <f>BID!A1064</f>
        <v>957</v>
      </c>
      <c r="B37" s="15" t="str">
        <f>BID!B1064</f>
        <v>CEFTRIAZONE</v>
      </c>
      <c r="C37" s="15" t="str">
        <f>BID!C1064</f>
        <v>1 PACK OF 250 PCS</v>
      </c>
      <c r="D37" s="15">
        <f>IF(K37&gt;0,(K37/100)*BID!D1064,1*BID!D1064)</f>
        <v>12</v>
      </c>
      <c r="E37" s="60">
        <f>IF(K37&gt;0,PR!BK1062,IF(BID!K1064="UBASTIC",BID!L1064,0))</f>
        <v>6000</v>
      </c>
      <c r="F37" s="61">
        <f t="shared" si="2"/>
        <v>72000</v>
      </c>
      <c r="K37" s="445"/>
    </row>
    <row r="38" spans="1:11" ht="20.25" thickTop="1" thickBot="1" x14ac:dyDescent="0.35">
      <c r="A38" s="430">
        <f>BID!A1070</f>
        <v>963</v>
      </c>
      <c r="B38" s="15" t="str">
        <f>BID!B1070</f>
        <v>CEFUROXIME</v>
      </c>
      <c r="C38" s="15" t="str">
        <f>BID!C1070</f>
        <v>1 PACK OF 250 PCS</v>
      </c>
      <c r="D38" s="15">
        <f>IF(K38&gt;0,(K38/100)*BID!D1070,1*BID!D1070)</f>
        <v>12</v>
      </c>
      <c r="E38" s="60">
        <f>IF(K38&gt;0,PR!BK1068,IF(BID!K1070="UBASTIC",BID!L1070,0))</f>
        <v>6000</v>
      </c>
      <c r="F38" s="61">
        <f t="shared" si="2"/>
        <v>72000</v>
      </c>
      <c r="K38" s="445"/>
    </row>
    <row r="39" spans="1:11" ht="20.25" thickTop="1" thickBot="1" x14ac:dyDescent="0.35">
      <c r="A39" s="430">
        <f>BID!A1069</f>
        <v>962</v>
      </c>
      <c r="B39" s="15" t="str">
        <f>BID!B1069</f>
        <v>CIPROFLOXACIN</v>
      </c>
      <c r="C39" s="15" t="str">
        <f>BID!C1069</f>
        <v>1 PACK OF 250 PCS</v>
      </c>
      <c r="D39" s="15">
        <f>IF(K39&gt;0,(K39/100)*BID!D1069,1*BID!D1069)</f>
        <v>24</v>
      </c>
      <c r="E39" s="60">
        <f>IF(K39&gt;0,PR!BK1067,IF(BID!K1069="UBASTIC",BID!L1069,0))</f>
        <v>6000</v>
      </c>
      <c r="F39" s="61">
        <f t="shared" si="2"/>
        <v>144000</v>
      </c>
      <c r="K39" s="445"/>
    </row>
    <row r="40" spans="1:11" ht="20.25" thickTop="1" thickBot="1" x14ac:dyDescent="0.35">
      <c r="A40" s="430">
        <f>BID!A1014</f>
        <v>910</v>
      </c>
      <c r="B40" s="15" t="str">
        <f>BID!B1014</f>
        <v>CLED AGAR</v>
      </c>
      <c r="C40" s="15" t="str">
        <f>BID!C1014</f>
        <v>1 bottle of 500g</v>
      </c>
      <c r="D40" s="15">
        <f>IF(K40&gt;0,(K40/100)*BID!D1014,1*BID!D1014)</f>
        <v>40</v>
      </c>
      <c r="E40" s="60">
        <f>IF(K40&gt;0,PR!BK1012,IF(BID!K1014="UBASTIC",BID!L1014,0))</f>
        <v>20000</v>
      </c>
      <c r="F40" s="61">
        <f t="shared" si="2"/>
        <v>800000</v>
      </c>
      <c r="K40" s="445"/>
    </row>
    <row r="41" spans="1:11" ht="20.25" thickTop="1" thickBot="1" x14ac:dyDescent="0.35">
      <c r="A41" s="430">
        <f>BID!A1066</f>
        <v>959</v>
      </c>
      <c r="B41" s="15" t="str">
        <f>BID!B1066</f>
        <v>ERYTHROMYCIN</v>
      </c>
      <c r="C41" s="15" t="str">
        <f>BID!C1066</f>
        <v>1 PACK OF 250 PCS</v>
      </c>
      <c r="D41" s="15">
        <f>IF(K41&gt;0,(K41/100)*BID!D1066,1*BID!D1066)</f>
        <v>12</v>
      </c>
      <c r="E41" s="60">
        <f>IF(K41&gt;0,PR!BK1064,IF(BID!K1066="UBASTIC",BID!L1066,0))</f>
        <v>6000</v>
      </c>
      <c r="F41" s="61">
        <f t="shared" si="2"/>
        <v>72000</v>
      </c>
      <c r="K41" s="445"/>
    </row>
    <row r="42" spans="1:11" ht="20.25" thickTop="1" thickBot="1" x14ac:dyDescent="0.35">
      <c r="A42" s="430">
        <f>BID!A1067</f>
        <v>960</v>
      </c>
      <c r="B42" s="15" t="str">
        <f>BID!B1067</f>
        <v>GENTAMYCIN</v>
      </c>
      <c r="C42" s="15" t="str">
        <f>BID!C1067</f>
        <v>1 PACK OF 250 PCS</v>
      </c>
      <c r="D42" s="15">
        <f>IF(K42&gt;0,(K42/100)*BID!D1067,1*BID!D1067)</f>
        <v>12</v>
      </c>
      <c r="E42" s="60">
        <f>IF(K42&gt;0,PR!BK1065,IF(BID!K1067="UBASTIC",BID!L1067,0))</f>
        <v>6000</v>
      </c>
      <c r="F42" s="61">
        <f t="shared" si="2"/>
        <v>72000</v>
      </c>
      <c r="K42" s="445"/>
    </row>
    <row r="43" spans="1:11" ht="20.25" thickTop="1" thickBot="1" x14ac:dyDescent="0.35">
      <c r="A43" s="430">
        <f>BID!A1037</f>
        <v>933</v>
      </c>
      <c r="B43" s="15" t="str">
        <f>BID!B1037</f>
        <v>GIEM STAIN POWDER</v>
      </c>
      <c r="C43" s="15" t="str">
        <f>BID!C1037</f>
        <v>1 bottle of 25g</v>
      </c>
      <c r="D43" s="15">
        <f>IF(K43&gt;0,(K43/100)*BID!D1037,1*BID!D1037)</f>
        <v>12</v>
      </c>
      <c r="E43" s="60">
        <f>IF(K43&gt;0,PR!BK1035,IF(BID!K1037="UBASTIC",BID!L1037,0))</f>
        <v>3500</v>
      </c>
      <c r="F43" s="61">
        <f t="shared" si="2"/>
        <v>42000</v>
      </c>
      <c r="K43" s="445"/>
    </row>
    <row r="44" spans="1:11" ht="20.25" thickTop="1" thickBot="1" x14ac:dyDescent="0.35">
      <c r="A44" s="430">
        <f>BID!A1009</f>
        <v>905</v>
      </c>
      <c r="B44" s="15" t="str">
        <f>BID!B1009</f>
        <v>HCV (HEPATITIS C)</v>
      </c>
      <c r="C44" s="15" t="str">
        <f>BID!C1009</f>
        <v>1 pack of 50 kit</v>
      </c>
      <c r="D44" s="15">
        <f>IF(K44&gt;0,(K44/100)*BID!D1009,1*BID!D1009)</f>
        <v>240</v>
      </c>
      <c r="E44" s="60">
        <f>IF(K44&gt;0,PR!BK1007,IF(BID!K1009="UBASTIC",BID!L1009,0))</f>
        <v>5500</v>
      </c>
      <c r="F44" s="61">
        <f t="shared" si="2"/>
        <v>1320000</v>
      </c>
      <c r="K44" s="445"/>
    </row>
    <row r="45" spans="1:11" ht="20.25" thickTop="1" thickBot="1" x14ac:dyDescent="0.35">
      <c r="A45" s="430">
        <f>BID!A1008</f>
        <v>904</v>
      </c>
      <c r="B45" s="15" t="str">
        <f>BID!B1008</f>
        <v>HEPATITIS B</v>
      </c>
      <c r="C45" s="15" t="str">
        <f>BID!C1008</f>
        <v>1 pack of 50 kit</v>
      </c>
      <c r="D45" s="15">
        <f>IF(K45&gt;0,(K45/100)*BID!D1008,1*BID!D1008)</f>
        <v>240</v>
      </c>
      <c r="E45" s="60">
        <f>IF(K45&gt;0,PR!BK1006,IF(BID!K1008="UBASTIC",BID!L1008,0))</f>
        <v>3500</v>
      </c>
      <c r="F45" s="61">
        <f t="shared" si="2"/>
        <v>840000</v>
      </c>
      <c r="K45" s="445"/>
    </row>
    <row r="46" spans="1:11" ht="20.25" thickTop="1" thickBot="1" x14ac:dyDescent="0.35">
      <c r="A46" s="430">
        <f>BID!A1068</f>
        <v>961</v>
      </c>
      <c r="B46" s="15" t="str">
        <f>BID!B1068</f>
        <v>IMIPENEM</v>
      </c>
      <c r="C46" s="15" t="str">
        <f>BID!C1068</f>
        <v>1 PACK OF 250 PCS</v>
      </c>
      <c r="D46" s="15">
        <f>IF(K46&gt;0,(K46/100)*BID!D1068,1*BID!D1068)</f>
        <v>12</v>
      </c>
      <c r="E46" s="60">
        <f>IF(K46&gt;0,PR!BK1066,IF(BID!K1068="UBASTIC",BID!L1068,0))</f>
        <v>6000</v>
      </c>
      <c r="F46" s="61">
        <f t="shared" si="2"/>
        <v>72000</v>
      </c>
      <c r="K46" s="445"/>
    </row>
    <row r="47" spans="1:11" ht="20.25" thickTop="1" thickBot="1" x14ac:dyDescent="0.35">
      <c r="A47" s="430">
        <f>BID!A1015</f>
        <v>911</v>
      </c>
      <c r="B47" s="15" t="str">
        <f>BID!B1015</f>
        <v>MACCONKEY AGAR</v>
      </c>
      <c r="C47" s="15" t="str">
        <f>BID!C1015</f>
        <v>1 bottle of 500g</v>
      </c>
      <c r="D47" s="15">
        <f>IF(K47&gt;0,(K47/100)*BID!D1015,1*BID!D1015)</f>
        <v>40</v>
      </c>
      <c r="E47" s="60">
        <f>IF(K47&gt;0,PR!BK1013,IF(BID!K1015="UBASTIC",BID!L1015,0))</f>
        <v>20000</v>
      </c>
      <c r="F47" s="61">
        <f t="shared" si="2"/>
        <v>800000</v>
      </c>
      <c r="K47" s="445"/>
    </row>
    <row r="48" spans="1:11" ht="20.25" thickTop="1" thickBot="1" x14ac:dyDescent="0.35">
      <c r="A48" s="430">
        <f>BID!A1074</f>
        <v>967</v>
      </c>
      <c r="B48" s="15" t="str">
        <f>BID!B1074</f>
        <v>MEROPENEM</v>
      </c>
      <c r="C48" s="15" t="str">
        <f>BID!C1074</f>
        <v>1 PACK OF 250 PCS</v>
      </c>
      <c r="D48" s="15">
        <f>IF(K48&gt;0,(K48/100)*BID!D1074,1*BID!D1074)</f>
        <v>12</v>
      </c>
      <c r="E48" s="60">
        <f>IF(K48&gt;0,PR!BK1072,IF(BID!K1074="UBASTIC",BID!L1074,0))</f>
        <v>6000</v>
      </c>
      <c r="F48" s="61">
        <f t="shared" si="2"/>
        <v>72000</v>
      </c>
      <c r="K48" s="445"/>
    </row>
    <row r="49" spans="1:11" ht="20.25" thickTop="1" thickBot="1" x14ac:dyDescent="0.35">
      <c r="A49" s="430">
        <f>BID!A1017</f>
        <v>913</v>
      </c>
      <c r="B49" s="15" t="str">
        <f>BID!B1017</f>
        <v>MULLER HINTON AGAR</v>
      </c>
      <c r="C49" s="15" t="str">
        <f>BID!C1017</f>
        <v>1 bottle of 500g</v>
      </c>
      <c r="D49" s="15">
        <f>IF(K49&gt;0,(K49/100)*BID!D1017,1*BID!D1017)</f>
        <v>40</v>
      </c>
      <c r="E49" s="60">
        <f>IF(K49&gt;0,PR!BK1015,IF(BID!K1017="UBASTIC",BID!L1017,0))</f>
        <v>20000</v>
      </c>
      <c r="F49" s="61">
        <f t="shared" si="2"/>
        <v>800000</v>
      </c>
      <c r="K49" s="445"/>
    </row>
    <row r="50" spans="1:11" ht="20.25" thickTop="1" thickBot="1" x14ac:dyDescent="0.35">
      <c r="A50" s="430">
        <f>BID!A1016</f>
        <v>912</v>
      </c>
      <c r="B50" s="15" t="str">
        <f>BID!B1016</f>
        <v>NUTRIENT AGAR</v>
      </c>
      <c r="C50" s="15" t="str">
        <f>BID!C1016</f>
        <v>1 bottle of500g</v>
      </c>
      <c r="D50" s="15">
        <f>IF(K50&gt;0,(K50/100)*BID!D1016,1*BID!D1016)</f>
        <v>40</v>
      </c>
      <c r="E50" s="60">
        <f>IF(K50&gt;0,PR!BK1014,IF(BID!K1016="UBASTIC",BID!L1016,0))</f>
        <v>18000</v>
      </c>
      <c r="F50" s="61">
        <f t="shared" si="2"/>
        <v>720000</v>
      </c>
      <c r="K50" s="445"/>
    </row>
    <row r="51" spans="1:11" ht="20.25" thickTop="1" thickBot="1" x14ac:dyDescent="0.35">
      <c r="A51" s="430">
        <f>BID!A1075</f>
        <v>968</v>
      </c>
      <c r="B51" s="15" t="str">
        <f>BID!B1075</f>
        <v>OPTOCHIN DISC</v>
      </c>
      <c r="C51" s="15" t="str">
        <f>BID!C1075</f>
        <v>1 PACK OF 250 PCS</v>
      </c>
      <c r="D51" s="15">
        <f>IF(K51&gt;0,(K51/100)*BID!D1075,1*BID!D1075)</f>
        <v>4</v>
      </c>
      <c r="E51" s="60">
        <f>IF(K51&gt;0,PR!BK1073,IF(BID!K1075="UBASTIC",BID!L1075,0))</f>
        <v>8500</v>
      </c>
      <c r="F51" s="61">
        <f t="shared" si="2"/>
        <v>34000</v>
      </c>
      <c r="K51" s="445"/>
    </row>
    <row r="52" spans="1:11" ht="20.25" thickTop="1" thickBot="1" x14ac:dyDescent="0.35">
      <c r="A52" s="430">
        <f>BID!A1020</f>
        <v>916</v>
      </c>
      <c r="B52" s="15" t="str">
        <f>BID!B1020</f>
        <v>SALMONELLA SHIGELLAR AGAR</v>
      </c>
      <c r="C52" s="15" t="str">
        <f>BID!C1020</f>
        <v>1 bottle of 500g</v>
      </c>
      <c r="D52" s="15">
        <f>IF(K52&gt;0,(K52/100)*BID!D1020,1*BID!D1020)</f>
        <v>40</v>
      </c>
      <c r="E52" s="60">
        <f>IF(K52&gt;0,PR!BK1018,IF(BID!K1020="UBASTIC",BID!L1020,0))</f>
        <v>20000</v>
      </c>
      <c r="F52" s="61">
        <f t="shared" si="2"/>
        <v>800000</v>
      </c>
      <c r="K52" s="445"/>
    </row>
    <row r="53" spans="1:11" ht="20.25" thickTop="1" thickBot="1" x14ac:dyDescent="0.35">
      <c r="A53" s="430">
        <f>BID!A1024</f>
        <v>920</v>
      </c>
      <c r="B53" s="15" t="str">
        <f>BID!B1024</f>
        <v>SIMON CITRATE AGAR</v>
      </c>
      <c r="C53" s="15" t="str">
        <f>BID!C1024</f>
        <v>1 bottle (500g)</v>
      </c>
      <c r="D53" s="15">
        <f>IF(K53&gt;0,(K53/100)*BID!D1024,1*BID!D1024)</f>
        <v>20</v>
      </c>
      <c r="E53" s="60">
        <f>IF(K53&gt;0,PR!BK1022,IF(BID!K1024="UBASTIC",BID!L1024,0))</f>
        <v>20000</v>
      </c>
      <c r="F53" s="61">
        <f t="shared" si="2"/>
        <v>400000</v>
      </c>
      <c r="K53" s="445"/>
    </row>
    <row r="54" spans="1:11" ht="20.25" thickTop="1" thickBot="1" x14ac:dyDescent="0.35">
      <c r="A54" s="430">
        <f>BID!A1025</f>
        <v>921</v>
      </c>
      <c r="B54" s="15" t="str">
        <f>BID!B1025</f>
        <v>TRIPLE SUGAR IRON AGAR</v>
      </c>
      <c r="C54" s="15" t="str">
        <f>BID!C1025</f>
        <v>1 bottle (500g)</v>
      </c>
      <c r="D54" s="15">
        <f>IF(K54&gt;0,(K54/100)*BID!D1025,1*BID!D1025)</f>
        <v>20</v>
      </c>
      <c r="E54" s="60">
        <f>IF(K54&gt;0,PR!BK1023,IF(BID!K1025="UBASTIC",BID!L1025,0))</f>
        <v>20000</v>
      </c>
      <c r="F54" s="61">
        <f t="shared" si="2"/>
        <v>400000</v>
      </c>
      <c r="K54" s="445"/>
    </row>
    <row r="55" spans="1:11" ht="20.25" thickTop="1" thickBot="1" x14ac:dyDescent="0.35">
      <c r="A55" s="430">
        <f>BID!A1030</f>
        <v>926</v>
      </c>
      <c r="B55" s="15" t="str">
        <f>BID!B1030</f>
        <v>TSI AGAR</v>
      </c>
      <c r="C55" s="15" t="str">
        <f>BID!C1030</f>
        <v>1 bottle of 500g</v>
      </c>
      <c r="D55" s="15">
        <f>IF(K55&gt;0,(K55/100)*BID!D1030,1*BID!D1030)</f>
        <v>12</v>
      </c>
      <c r="E55" s="60">
        <f>IF(K55&gt;0,PR!BK1028,IF(BID!K1030="UBASTIC",BID!L1030,0))</f>
        <v>20000</v>
      </c>
      <c r="F55" s="61">
        <f t="shared" si="2"/>
        <v>240000</v>
      </c>
      <c r="K55" s="445"/>
    </row>
    <row r="56" spans="1:11" ht="20.25" thickTop="1" thickBot="1" x14ac:dyDescent="0.35">
      <c r="A56" s="430">
        <f>BID!A1031</f>
        <v>927</v>
      </c>
      <c r="B56" s="15" t="str">
        <f>BID!B1031</f>
        <v>UREA AGAR BASE</v>
      </c>
      <c r="C56" s="15" t="str">
        <f>BID!C1031</f>
        <v>1 bottle of 500g</v>
      </c>
      <c r="D56" s="15">
        <f>IF(K56&gt;0,(K56/100)*BID!D1031,1*BID!D1031)</f>
        <v>12</v>
      </c>
      <c r="E56" s="60">
        <f>IF(K56&gt;0,PR!BK1029,IF(BID!K1031="UBASTIC",BID!L1031,0))</f>
        <v>20000</v>
      </c>
      <c r="F56" s="61">
        <f t="shared" si="2"/>
        <v>240000</v>
      </c>
      <c r="K56" s="445"/>
    </row>
    <row r="57" spans="1:11" ht="20.25" thickTop="1" thickBot="1" x14ac:dyDescent="0.35">
      <c r="A57" s="430">
        <f>BID!A1027</f>
        <v>923</v>
      </c>
      <c r="B57" s="15" t="str">
        <f>BID!B1027</f>
        <v>UREA SALT AGAR</v>
      </c>
      <c r="C57" s="15" t="str">
        <f>BID!C1027</f>
        <v>1 bottle of 500g</v>
      </c>
      <c r="D57" s="15">
        <f>IF(K57&gt;0,(K57/100)*BID!D1027,1*BID!D1027)</f>
        <v>20</v>
      </c>
      <c r="E57" s="60">
        <f>IF(K57&gt;0,PR!BK1025,IF(BID!K1027="UBASTIC",BID!L1027,0))</f>
        <v>20000</v>
      </c>
      <c r="F57" s="61">
        <f t="shared" si="2"/>
        <v>400000</v>
      </c>
      <c r="K57" s="445"/>
    </row>
    <row r="58" spans="1:11" ht="20.25" thickTop="1" thickBot="1" x14ac:dyDescent="0.35">
      <c r="A58" s="430">
        <f>BID!A1010</f>
        <v>906</v>
      </c>
      <c r="B58" s="15" t="str">
        <f>BID!B1010</f>
        <v>VDRL SCREENING KIT</v>
      </c>
      <c r="C58" s="15" t="str">
        <f>BID!C1010</f>
        <v>1 pack of 50 kit</v>
      </c>
      <c r="D58" s="15">
        <f>IF(K58&gt;0,(K58/100)*BID!D1010,1*BID!D1010)</f>
        <v>240</v>
      </c>
      <c r="E58" s="60">
        <f>IF(K58&gt;0,PR!BK1008,IF(BID!K1010="UBASTIC",BID!L1010,0))</f>
        <v>3500</v>
      </c>
      <c r="F58" s="61">
        <f t="shared" si="2"/>
        <v>840000</v>
      </c>
      <c r="K58" s="445"/>
    </row>
    <row r="59" spans="1:11" ht="20.25" thickTop="1" thickBot="1" x14ac:dyDescent="0.35">
      <c r="A59" s="430">
        <f>BID!A1028</f>
        <v>924</v>
      </c>
      <c r="B59" s="15" t="str">
        <f>BID!B1028</f>
        <v>WIDAL KIT</v>
      </c>
      <c r="C59" s="15" t="str">
        <f>BID!C1028</f>
        <v>1 box (8 bottle)</v>
      </c>
      <c r="D59" s="15">
        <f>IF(K59&gt;0,(K59/100)*BID!D1028,1*BID!D1028)</f>
        <v>20</v>
      </c>
      <c r="E59" s="60">
        <f>IF(K59&gt;0,PR!BK1026,IF(BID!K1028="UBASTIC",BID!L1028,0))</f>
        <v>6500</v>
      </c>
      <c r="F59" s="61">
        <f t="shared" si="2"/>
        <v>130000</v>
      </c>
      <c r="K59" s="445"/>
    </row>
    <row r="60" spans="1:11" s="8" customFormat="1" ht="20.25" thickTop="1" thickBot="1" x14ac:dyDescent="0.35">
      <c r="A60" s="430"/>
      <c r="B60" s="15"/>
      <c r="C60" s="15"/>
      <c r="D60" s="15"/>
      <c r="E60" s="60"/>
      <c r="F60" s="61"/>
      <c r="K60" s="444"/>
    </row>
    <row r="61" spans="1:11" s="8" customFormat="1" ht="24.75" thickTop="1" thickBot="1" x14ac:dyDescent="0.3">
      <c r="A61" s="430"/>
      <c r="B61" s="820" t="s">
        <v>1868</v>
      </c>
      <c r="C61" s="821"/>
      <c r="D61" s="821"/>
      <c r="E61" s="821"/>
      <c r="F61" s="822"/>
      <c r="K61" s="444"/>
    </row>
    <row r="62" spans="1:11" ht="20.25" thickTop="1" thickBot="1" x14ac:dyDescent="0.35">
      <c r="A62" s="430">
        <f>BID!A1103</f>
        <v>988</v>
      </c>
      <c r="B62" s="15" t="str">
        <f>BID!B1103</f>
        <v>ALANINE TRANSFERASE KIT (RANDOX)</v>
      </c>
      <c r="C62" s="15" t="str">
        <f>BID!C1103</f>
        <v>2*100ml</v>
      </c>
      <c r="D62" s="15">
        <f>IF(K62&gt;0,(K62/100)*BID!D1103,1*BID!D1103)</f>
        <v>24</v>
      </c>
      <c r="E62" s="60">
        <f>IF(K62&gt;0,PR!BK1101,IF(BID!K1103="UBASTIC",BID!L1103,0))</f>
        <v>7500</v>
      </c>
      <c r="F62" s="61">
        <f>IF(E62&gt;0,(E62*D62),0)</f>
        <v>180000</v>
      </c>
      <c r="K62" s="445"/>
    </row>
    <row r="63" spans="1:11" ht="20.25" thickTop="1" thickBot="1" x14ac:dyDescent="0.35">
      <c r="A63" s="430">
        <f>BID!A1102</f>
        <v>987</v>
      </c>
      <c r="B63" s="15" t="str">
        <f>BID!B1102</f>
        <v>ASPARTATE TRANSFERASE KIT (RANDOX)</v>
      </c>
      <c r="C63" s="15" t="str">
        <f>BID!C1102</f>
        <v>2*100ml</v>
      </c>
      <c r="D63" s="15">
        <f>IF(K63&gt;0,(K63/100)*BID!D1102,1*BID!D1102)</f>
        <v>24</v>
      </c>
      <c r="E63" s="60">
        <f>IF(K63&gt;0,PR!BK1100,IF(BID!K1102="UBASTIC",BID!L1102,0))</f>
        <v>7500</v>
      </c>
      <c r="F63" s="61">
        <f>IF(E63&gt;0,(E63*D63),0)</f>
        <v>180000</v>
      </c>
      <c r="K63" s="445"/>
    </row>
    <row r="64" spans="1:11" ht="20.25" thickTop="1" thickBot="1" x14ac:dyDescent="0.35">
      <c r="A64" s="430">
        <f>BID!A1105</f>
        <v>990</v>
      </c>
      <c r="B64" s="15" t="str">
        <f>BID!B1105</f>
        <v>GLUCOSE KIT (RANDOX)</v>
      </c>
      <c r="C64" s="15" t="str">
        <f>BID!C1105</f>
        <v>10*100ml</v>
      </c>
      <c r="D64" s="15">
        <f>IF(K64&gt;0,(K64/100)*BID!D1105,1*BID!D1105)</f>
        <v>12</v>
      </c>
      <c r="E64" s="60">
        <f>IF(K64&gt;0,PR!BK1103,IF(BID!K1105="UBASTIC",BID!L1105,0))</f>
        <v>20000</v>
      </c>
      <c r="F64" s="61">
        <f>IF(E64&gt;0,(E64*D64),0)</f>
        <v>240000</v>
      </c>
      <c r="K64" s="445"/>
    </row>
    <row r="65" spans="1:11" ht="20.25" thickTop="1" thickBot="1" x14ac:dyDescent="0.35">
      <c r="A65" s="430">
        <f>BID!A1117</f>
        <v>1002</v>
      </c>
      <c r="B65" s="15" t="str">
        <f>BID!B1117</f>
        <v>PROGESTERONE (ICHROMACATRIDGE)</v>
      </c>
      <c r="C65" s="15" t="str">
        <f>BID!C1117</f>
        <v>1*25</v>
      </c>
      <c r="D65" s="15">
        <f>IF(K65&gt;0,(K65/100)*BID!D1117,1*BID!D1117)</f>
        <v>12</v>
      </c>
      <c r="E65" s="60">
        <f>IF(K65&gt;0,PR!BK1115,IF(BID!K1117="UBASTIC",BID!L1117,0))</f>
        <v>38000</v>
      </c>
      <c r="F65" s="61">
        <f>IF(E65&gt;0,(E65*D65),0)</f>
        <v>456000</v>
      </c>
      <c r="K65" s="445"/>
    </row>
    <row r="66" spans="1:11" s="8" customFormat="1" ht="20.25" thickTop="1" thickBot="1" x14ac:dyDescent="0.35">
      <c r="A66" s="430"/>
      <c r="B66" s="15"/>
      <c r="C66" s="15"/>
      <c r="D66" s="15"/>
      <c r="E66" s="60"/>
      <c r="F66" s="61"/>
      <c r="K66" s="444"/>
    </row>
    <row r="67" spans="1:11" s="8" customFormat="1" ht="24.75" thickTop="1" thickBot="1" x14ac:dyDescent="0.3">
      <c r="A67" s="430"/>
      <c r="B67" s="820" t="s">
        <v>1950</v>
      </c>
      <c r="C67" s="821"/>
      <c r="D67" s="821"/>
      <c r="E67" s="821"/>
      <c r="F67" s="822"/>
      <c r="K67" s="444"/>
    </row>
    <row r="68" spans="1:11" ht="20.25" thickTop="1" thickBot="1" x14ac:dyDescent="0.35">
      <c r="A68" s="430"/>
      <c r="B68" s="15" t="str">
        <f>BID!B1159</f>
        <v>SHAJE ANNEX</v>
      </c>
      <c r="C68" s="15"/>
      <c r="D68" s="15"/>
      <c r="E68" s="60"/>
      <c r="F68" s="61"/>
      <c r="K68" s="445"/>
    </row>
    <row r="69" spans="1:11" ht="20.25" thickTop="1" thickBot="1" x14ac:dyDescent="0.35">
      <c r="A69" s="430">
        <f>BID!A1160</f>
        <v>1039</v>
      </c>
      <c r="B69" s="15" t="str">
        <f>BID!B1160</f>
        <v>ANTI SERA A (BIOTECH)</v>
      </c>
      <c r="C69" s="15" t="str">
        <f>BID!C1160</f>
        <v>1 x 10 pcs</v>
      </c>
      <c r="D69" s="15">
        <f>IF(K69&gt;0,(K69/100)*BID!D1160,1*BID!D1160)</f>
        <v>1</v>
      </c>
      <c r="E69" s="60">
        <f>IF(K69&gt;0,PR!BK1158,IF(BID!K1160="UBASTIC",BID!L1160,0))</f>
        <v>10000</v>
      </c>
      <c r="F69" s="61">
        <f t="shared" ref="F69:F77" si="3">IF(E69&gt;0,(E69*D69),0)</f>
        <v>10000</v>
      </c>
      <c r="K69" s="445"/>
    </row>
    <row r="70" spans="1:11" ht="20.25" thickTop="1" thickBot="1" x14ac:dyDescent="0.35">
      <c r="A70" s="430">
        <f>BID!A1162</f>
        <v>1041</v>
      </c>
      <c r="B70" s="15" t="str">
        <f>BID!B1162</f>
        <v>ANTI SERA A+B  (BIOTECH)</v>
      </c>
      <c r="C70" s="15" t="str">
        <f>BID!C1162</f>
        <v>1 x 10 pcs</v>
      </c>
      <c r="D70" s="15">
        <f>IF(K70&gt;0,(K70/100)*BID!D1162,1*BID!D1162)</f>
        <v>1</v>
      </c>
      <c r="E70" s="60">
        <f>IF(K70&gt;0,PR!BK1160,IF(BID!K1162="UBASTIC",BID!L1162,0))</f>
        <v>15000</v>
      </c>
      <c r="F70" s="61">
        <f t="shared" si="3"/>
        <v>15000</v>
      </c>
      <c r="K70" s="445"/>
    </row>
    <row r="71" spans="1:11" ht="20.25" thickTop="1" thickBot="1" x14ac:dyDescent="0.35">
      <c r="A71" s="430">
        <f>BID!A1161</f>
        <v>1040</v>
      </c>
      <c r="B71" s="15" t="str">
        <f>BID!B1161</f>
        <v>ANTI SERA B  (BIOTECH)</v>
      </c>
      <c r="C71" s="15" t="str">
        <f>BID!C1161</f>
        <v>1 x 10 pcs</v>
      </c>
      <c r="D71" s="15">
        <f>IF(K71&gt;0,(K71/100)*BID!D1161,1*BID!D1161)</f>
        <v>1</v>
      </c>
      <c r="E71" s="60">
        <f>IF(K71&gt;0,PR!BK1159,IF(BID!K1161="UBASTIC",BID!L1161,0))</f>
        <v>10000</v>
      </c>
      <c r="F71" s="61">
        <f t="shared" si="3"/>
        <v>10000</v>
      </c>
      <c r="K71" s="445"/>
    </row>
    <row r="72" spans="1:11" ht="20.25" thickTop="1" thickBot="1" x14ac:dyDescent="0.35">
      <c r="A72" s="430">
        <f>BID!A1163</f>
        <v>1042</v>
      </c>
      <c r="B72" s="15" t="str">
        <f>BID!B1163</f>
        <v>ANTI SERA D  (BIOTECH)</v>
      </c>
      <c r="C72" s="15" t="str">
        <f>BID!C1163</f>
        <v>1 x 10 pcs</v>
      </c>
      <c r="D72" s="15">
        <f>IF(K72&gt;0,(K72/100)*BID!D1163,1*BID!D1163)</f>
        <v>1</v>
      </c>
      <c r="E72" s="60">
        <f>IF(K72&gt;0,PR!BK1161,IF(BID!K1163="UBASTIC",BID!L1163,0))</f>
        <v>15000</v>
      </c>
      <c r="F72" s="61">
        <f t="shared" si="3"/>
        <v>15000</v>
      </c>
      <c r="K72" s="445"/>
    </row>
    <row r="73" spans="1:11" ht="20.25" thickTop="1" thickBot="1" x14ac:dyDescent="0.35">
      <c r="A73" s="430">
        <f>BID!A1168</f>
        <v>1047</v>
      </c>
      <c r="B73" s="15" t="str">
        <f>BID!B1168</f>
        <v>COMBI 10 URINE STRIPS (RAPID LAB)</v>
      </c>
      <c r="C73" s="15" t="str">
        <f>BID!C1168</f>
        <v>1 x 100 pcs</v>
      </c>
      <c r="D73" s="15">
        <f>IF(K73&gt;0,(K73/100)*BID!D1168,1*BID!D1168)</f>
        <v>24</v>
      </c>
      <c r="E73" s="60">
        <f>IF(K73&gt;0,PR!BK1166,IF(BID!K1168="UBASTIC",BID!L1168,0))</f>
        <v>2800</v>
      </c>
      <c r="F73" s="61">
        <f t="shared" si="3"/>
        <v>67200</v>
      </c>
      <c r="K73" s="445"/>
    </row>
    <row r="74" spans="1:11" ht="20.25" thickTop="1" thickBot="1" x14ac:dyDescent="0.35">
      <c r="A74" s="430">
        <f>BID!A1164</f>
        <v>1043</v>
      </c>
      <c r="B74" s="15" t="str">
        <f>BID!B1164</f>
        <v>HEPATITIS B KITS (DIASPOT)</v>
      </c>
      <c r="C74" s="15" t="str">
        <f>BID!C1164</f>
        <v>1 x 50 pcs</v>
      </c>
      <c r="D74" s="15">
        <f>IF(K74&gt;0,(K74/100)*BID!D1164,1*BID!D1164)</f>
        <v>24</v>
      </c>
      <c r="E74" s="60">
        <f>IF(K74&gt;0,PR!BK1162,IF(BID!K1164="UBASTIC",BID!L1164,0))</f>
        <v>3500</v>
      </c>
      <c r="F74" s="61">
        <f t="shared" si="3"/>
        <v>84000</v>
      </c>
      <c r="K74" s="445"/>
    </row>
    <row r="75" spans="1:11" ht="20.25" thickTop="1" thickBot="1" x14ac:dyDescent="0.35">
      <c r="A75" s="430">
        <f>BID!A1165</f>
        <v>1044</v>
      </c>
      <c r="B75" s="15" t="str">
        <f>BID!B1165</f>
        <v>HEPATITIS C KITS (DIASPOT)</v>
      </c>
      <c r="C75" s="15" t="str">
        <f>BID!C1165</f>
        <v>1 x 50 pcs</v>
      </c>
      <c r="D75" s="15">
        <f>IF(K75&gt;0,(K75/100)*BID!D1165,1*BID!D1165)</f>
        <v>24</v>
      </c>
      <c r="E75" s="60">
        <f>IF(K75&gt;0,PR!BK1163,IF(BID!K1165="UBASTIC",BID!L1165,0))</f>
        <v>5500</v>
      </c>
      <c r="F75" s="61">
        <f t="shared" si="3"/>
        <v>132000</v>
      </c>
      <c r="K75" s="445"/>
    </row>
    <row r="76" spans="1:11" ht="20.25" thickTop="1" thickBot="1" x14ac:dyDescent="0.35">
      <c r="A76" s="430">
        <f>BID!A1166</f>
        <v>1045</v>
      </c>
      <c r="B76" s="15" t="str">
        <f>BID!B1166</f>
        <v>VDRL KITS (DIASPOT)</v>
      </c>
      <c r="C76" s="15" t="str">
        <f>BID!C1166</f>
        <v>1 x 50 pcs</v>
      </c>
      <c r="D76" s="15">
        <f>IF(K76&gt;0,(K76/100)*BID!D1166,1*BID!D1166)</f>
        <v>24</v>
      </c>
      <c r="E76" s="60">
        <f>IF(K76&gt;0,PR!BK1164,IF(BID!K1166="UBASTIC",BID!L1166,0))</f>
        <v>3500</v>
      </c>
      <c r="F76" s="61">
        <f t="shared" si="3"/>
        <v>84000</v>
      </c>
      <c r="K76" s="445"/>
    </row>
    <row r="77" spans="1:11" ht="20.25" thickTop="1" thickBot="1" x14ac:dyDescent="0.35">
      <c r="A77" s="430">
        <f>BID!A1171</f>
        <v>1050</v>
      </c>
      <c r="B77" s="15" t="str">
        <f>BID!B1171</f>
        <v>WIDAL KIT (CROMA TEST)</v>
      </c>
      <c r="C77" s="15" t="str">
        <f>BID!C1171</f>
        <v>1 x 200 pcs</v>
      </c>
      <c r="D77" s="15">
        <f>IF(K77&gt;0,(K77/100)*BID!D1171,1*BID!D1171)</f>
        <v>3</v>
      </c>
      <c r="E77" s="60">
        <f>IF(K77&gt;0,PR!BK1169,IF(BID!K1171="UBASTIC",BID!L1171,0))</f>
        <v>10000</v>
      </c>
      <c r="F77" s="61">
        <f t="shared" si="3"/>
        <v>30000</v>
      </c>
      <c r="K77" s="445"/>
    </row>
    <row r="78" spans="1:11" ht="20.25" thickTop="1" thickBot="1" x14ac:dyDescent="0.35">
      <c r="A78" s="430"/>
      <c r="B78" s="15"/>
      <c r="C78" s="15"/>
      <c r="D78" s="15"/>
      <c r="E78" s="60"/>
      <c r="F78" s="61"/>
      <c r="K78" s="445"/>
    </row>
    <row r="79" spans="1:11" ht="20.25" thickTop="1" thickBot="1" x14ac:dyDescent="0.35">
      <c r="A79" s="430"/>
      <c r="B79" s="15" t="str">
        <f>BID!B1178</f>
        <v>OBADA ANNEX</v>
      </c>
      <c r="C79" s="15"/>
      <c r="D79" s="15"/>
      <c r="E79" s="60"/>
      <c r="F79" s="61"/>
      <c r="K79" s="445"/>
    </row>
    <row r="80" spans="1:11" ht="20.25" thickTop="1" thickBot="1" x14ac:dyDescent="0.35">
      <c r="A80" s="430">
        <f>BID!A1195</f>
        <v>1071</v>
      </c>
      <c r="B80" s="15" t="str">
        <f>BID!B1195</f>
        <v>30% BOVINE ALBUMIN</v>
      </c>
      <c r="C80" s="15" t="str">
        <f>BID!C1195</f>
        <v>Pkt</v>
      </c>
      <c r="D80" s="15">
        <f>IF(K80&gt;0,(K80/100)*BID!D1195,1*BID!D1195)</f>
        <v>10</v>
      </c>
      <c r="E80" s="60">
        <f>IF(K80&gt;0,PR!BK1193,IF(BID!K1195="UBASTIC",BID!L1195,0))</f>
        <v>20000</v>
      </c>
      <c r="F80" s="61">
        <f t="shared" ref="F80:F97" si="4">IF(E80&gt;0,(E80*D80),0)</f>
        <v>200000</v>
      </c>
      <c r="K80" s="445"/>
    </row>
    <row r="81" spans="1:11" ht="20.25" thickTop="1" thickBot="1" x14ac:dyDescent="0.35">
      <c r="A81" s="430">
        <f>BID!A1194</f>
        <v>1070</v>
      </c>
      <c r="B81" s="15" t="str">
        <f>BID!B1194</f>
        <v>ANTI HUMAN GLOBULIN (AHG)</v>
      </c>
      <c r="C81" s="15" t="str">
        <f>BID!C1194</f>
        <v>Pack</v>
      </c>
      <c r="D81" s="15">
        <f>IF(K81&gt;0,(K81/100)*BID!D1194,1*BID!D1194)</f>
        <v>10</v>
      </c>
      <c r="E81" s="60">
        <f>IF(K81&gt;0,PR!BK1192,IF(BID!K1194="UBASTIC",BID!L1194,0))</f>
        <v>20000</v>
      </c>
      <c r="F81" s="61">
        <f t="shared" si="4"/>
        <v>200000</v>
      </c>
      <c r="K81" s="445"/>
    </row>
    <row r="82" spans="1:11" ht="20.25" thickTop="1" thickBot="1" x14ac:dyDescent="0.35">
      <c r="A82" s="430">
        <f>BID!A1190</f>
        <v>1066</v>
      </c>
      <c r="B82" s="15" t="str">
        <f>BID!B1190</f>
        <v>ANTISERA A</v>
      </c>
      <c r="C82" s="15" t="str">
        <f>BID!C1190</f>
        <v>Pkt (10)</v>
      </c>
      <c r="D82" s="15">
        <f>IF(K82&gt;0,(K82/100)*BID!D1190,1*BID!D1190)</f>
        <v>3</v>
      </c>
      <c r="E82" s="60">
        <f>IF(K82&gt;0,PR!BK1188,IF(BID!K1190="UBASTIC",BID!L1190,0))</f>
        <v>10000</v>
      </c>
      <c r="F82" s="61">
        <f t="shared" si="4"/>
        <v>30000</v>
      </c>
      <c r="K82" s="445"/>
    </row>
    <row r="83" spans="1:11" ht="20.25" thickTop="1" thickBot="1" x14ac:dyDescent="0.35">
      <c r="A83" s="430">
        <f>BID!A1192</f>
        <v>1068</v>
      </c>
      <c r="B83" s="15" t="str">
        <f>BID!B1192</f>
        <v>ANTISERA AB</v>
      </c>
      <c r="C83" s="15" t="str">
        <f>BID!C1192</f>
        <v>Pkt (10)</v>
      </c>
      <c r="D83" s="15">
        <f>IF(K83&gt;0,(K83/100)*BID!D1192,1*BID!D1192)</f>
        <v>3</v>
      </c>
      <c r="E83" s="60">
        <f>IF(K83&gt;0,PR!BK1190,IF(BID!K1192="UBASTIC",BID!L1192,0))</f>
        <v>15000</v>
      </c>
      <c r="F83" s="61">
        <f t="shared" si="4"/>
        <v>45000</v>
      </c>
      <c r="K83" s="445"/>
    </row>
    <row r="84" spans="1:11" ht="20.25" thickTop="1" thickBot="1" x14ac:dyDescent="0.35">
      <c r="A84" s="430">
        <f>BID!A1191</f>
        <v>1067</v>
      </c>
      <c r="B84" s="15" t="str">
        <f>BID!B1191</f>
        <v>ANTISERA B</v>
      </c>
      <c r="C84" s="15" t="str">
        <f>BID!C1191</f>
        <v>Pkt (10)</v>
      </c>
      <c r="D84" s="15">
        <f>IF(K84&gt;0,(K84/100)*BID!D1191,1*BID!D1191)</f>
        <v>3</v>
      </c>
      <c r="E84" s="60">
        <f>IF(K84&gt;0,PR!BK1189,IF(BID!K1191="UBASTIC",BID!L1191,0))</f>
        <v>10000</v>
      </c>
      <c r="F84" s="61">
        <f t="shared" si="4"/>
        <v>30000</v>
      </c>
      <c r="K84" s="445"/>
    </row>
    <row r="85" spans="1:11" ht="20.25" thickTop="1" thickBot="1" x14ac:dyDescent="0.35">
      <c r="A85" s="430">
        <f>BID!A1193</f>
        <v>1069</v>
      </c>
      <c r="B85" s="15" t="str">
        <f>BID!B1193</f>
        <v>ANTISERA D</v>
      </c>
      <c r="C85" s="15" t="str">
        <f>BID!C1193</f>
        <v>Pkt (10)</v>
      </c>
      <c r="D85" s="15">
        <f>IF(K85&gt;0,(K85/100)*BID!D1193,1*BID!D1193)</f>
        <v>3</v>
      </c>
      <c r="E85" s="60">
        <f>IF(K85&gt;0,PR!BK1191,IF(BID!K1193="UBASTIC",BID!L1193,0))</f>
        <v>15000</v>
      </c>
      <c r="F85" s="61">
        <f t="shared" si="4"/>
        <v>45000</v>
      </c>
      <c r="K85" s="445"/>
    </row>
    <row r="86" spans="1:11" ht="20.25" thickTop="1" thickBot="1" x14ac:dyDescent="0.35">
      <c r="A86" s="430">
        <f>BID!A1211</f>
        <v>1087</v>
      </c>
      <c r="B86" s="15" t="str">
        <f>BID!B1211</f>
        <v>GIEMSA STAIN 25g</v>
      </c>
      <c r="C86" s="15" t="str">
        <f>BID!C1211</f>
        <v>Bottles</v>
      </c>
      <c r="D86" s="15">
        <f>IF(K86&gt;0,(K86/100)*BID!D1211,1*BID!D1211)</f>
        <v>2</v>
      </c>
      <c r="E86" s="60">
        <f>IF(K86&gt;0,PR!BK1209,IF(BID!K1211="UBASTIC",BID!L1211,0))</f>
        <v>3500</v>
      </c>
      <c r="F86" s="61">
        <f t="shared" si="4"/>
        <v>7000</v>
      </c>
      <c r="K86" s="445"/>
    </row>
    <row r="87" spans="1:11" ht="20.25" thickTop="1" thickBot="1" x14ac:dyDescent="0.35">
      <c r="A87" s="430">
        <f>BID!A1184</f>
        <v>1060</v>
      </c>
      <c r="B87" s="15" t="str">
        <f>BID!B1184</f>
        <v>HbsAG KITS (LAB CON)</v>
      </c>
      <c r="C87" s="15" t="str">
        <f>BID!C1184</f>
        <v>Packs</v>
      </c>
      <c r="D87" s="15">
        <f>IF(K87&gt;0,(K87/100)*BID!D1184,1*BID!D1184)</f>
        <v>60</v>
      </c>
      <c r="E87" s="60">
        <f>IF(K87&gt;0,PR!BK1182,IF(BID!K1184="UBASTIC",BID!L1184,0))</f>
        <v>3800</v>
      </c>
      <c r="F87" s="61">
        <f t="shared" si="4"/>
        <v>228000</v>
      </c>
      <c r="K87" s="445"/>
    </row>
    <row r="88" spans="1:11" ht="20.25" thickTop="1" thickBot="1" x14ac:dyDescent="0.35">
      <c r="A88" s="430">
        <f>BID!A1183</f>
        <v>1059</v>
      </c>
      <c r="B88" s="15" t="str">
        <f>BID!B1183</f>
        <v>HCV KIT (LAB CON)</v>
      </c>
      <c r="C88" s="15" t="str">
        <f>BID!C1183</f>
        <v>Packs</v>
      </c>
      <c r="D88" s="15">
        <f>IF(K88&gt;0,(K88/100)*BID!D1183,1*BID!D1183)</f>
        <v>60</v>
      </c>
      <c r="E88" s="60">
        <f>IF(K88&gt;0,PR!BK1181,IF(BID!K1183="UBASTIC",BID!L1183,0))</f>
        <v>5500</v>
      </c>
      <c r="F88" s="61">
        <f t="shared" si="4"/>
        <v>330000</v>
      </c>
      <c r="K88" s="445"/>
    </row>
    <row r="89" spans="1:11" ht="20.25" thickTop="1" thickBot="1" x14ac:dyDescent="0.35">
      <c r="A89" s="430">
        <f>BID!A1214</f>
        <v>1090</v>
      </c>
      <c r="B89" s="15" t="str">
        <f>BID!B1214</f>
        <v>MACCONKEY AGAR</v>
      </c>
      <c r="C89" s="15" t="str">
        <f>BID!C1214</f>
        <v>Bottle</v>
      </c>
      <c r="D89" s="15">
        <f>IF(K89&gt;0,(K89/100)*BID!D1214,1*BID!D1214)</f>
        <v>1</v>
      </c>
      <c r="E89" s="60">
        <f>IF(K89&gt;0,PR!BK1212,IF(BID!K1214="UBASTIC",BID!L1214,0))</f>
        <v>20000</v>
      </c>
      <c r="F89" s="61">
        <f t="shared" si="4"/>
        <v>20000</v>
      </c>
      <c r="K89" s="445"/>
    </row>
    <row r="90" spans="1:11" ht="20.25" thickTop="1" thickBot="1" x14ac:dyDescent="0.35">
      <c r="A90" s="430">
        <f>BID!A1220</f>
        <v>1096</v>
      </c>
      <c r="B90" s="15" t="str">
        <f>BID!B1220</f>
        <v>MEASURING CYLINDER (GLASS) 100ML</v>
      </c>
      <c r="C90" s="15" t="str">
        <f>BID!C1220</f>
        <v>Pcs</v>
      </c>
      <c r="D90" s="15">
        <f>IF(K90&gt;0,(K90/100)*BID!D1220,1*BID!D1220)</f>
        <v>1</v>
      </c>
      <c r="E90" s="60">
        <f>IF(K90&gt;0,PR!BK1218,IF(BID!K1220="UBASTIC",BID!L1220,0))</f>
        <v>650</v>
      </c>
      <c r="F90" s="61">
        <f t="shared" si="4"/>
        <v>650</v>
      </c>
      <c r="K90" s="445"/>
    </row>
    <row r="91" spans="1:11" ht="20.25" thickTop="1" thickBot="1" x14ac:dyDescent="0.35">
      <c r="A91" s="430">
        <f>BID!A1218</f>
        <v>1094</v>
      </c>
      <c r="B91" s="15" t="str">
        <f>BID!B1218</f>
        <v>MULTI DISC GRAM NEGATIVE</v>
      </c>
      <c r="C91" s="15" t="str">
        <f>BID!C1218</f>
        <v>Box</v>
      </c>
      <c r="D91" s="15">
        <f>IF(K91&gt;0,(K91/100)*BID!D1218,1*BID!D1218)</f>
        <v>6</v>
      </c>
      <c r="E91" s="60">
        <f>IF(K91&gt;0,PR!BK1216,IF(BID!K1218="UBASTIC",BID!L1218,0))</f>
        <v>9500</v>
      </c>
      <c r="F91" s="61">
        <f t="shared" si="4"/>
        <v>57000</v>
      </c>
      <c r="K91" s="445"/>
    </row>
    <row r="92" spans="1:11" ht="20.25" thickTop="1" thickBot="1" x14ac:dyDescent="0.35">
      <c r="A92" s="430">
        <f>BID!A1217</f>
        <v>1093</v>
      </c>
      <c r="B92" s="15" t="str">
        <f>BID!B1217</f>
        <v>MULTI DISC GRAM POSITIVE</v>
      </c>
      <c r="C92" s="15" t="str">
        <f>BID!C1217</f>
        <v>Box</v>
      </c>
      <c r="D92" s="15">
        <f>IF(K92&gt;0,(K92/100)*BID!D1217,1*BID!D1217)</f>
        <v>6</v>
      </c>
      <c r="E92" s="60">
        <f>IF(K92&gt;0,PR!BK1215,IF(BID!K1217="UBASTIC",BID!L1217,0))</f>
        <v>9500</v>
      </c>
      <c r="F92" s="61">
        <f t="shared" si="4"/>
        <v>57000</v>
      </c>
      <c r="K92" s="445"/>
    </row>
    <row r="93" spans="1:11" ht="20.25" thickTop="1" thickBot="1" x14ac:dyDescent="0.35">
      <c r="A93" s="430">
        <f>BID!A1213</f>
        <v>1089</v>
      </c>
      <c r="B93" s="15" t="str">
        <f>BID!B1213</f>
        <v>NUTRIENTS AGAR</v>
      </c>
      <c r="C93" s="15" t="str">
        <f>BID!C1213</f>
        <v>Bottle</v>
      </c>
      <c r="D93" s="15">
        <f>IF(K93&gt;0,(K93/100)*BID!D1213,1*BID!D1213)</f>
        <v>1</v>
      </c>
      <c r="E93" s="60">
        <f>IF(K93&gt;0,PR!BK1211,IF(BID!K1213="UBASTIC",BID!L1213,0))</f>
        <v>18000</v>
      </c>
      <c r="F93" s="61">
        <f t="shared" si="4"/>
        <v>18000</v>
      </c>
      <c r="K93" s="445"/>
    </row>
    <row r="94" spans="1:11" ht="20.25" thickTop="1" thickBot="1" x14ac:dyDescent="0.35">
      <c r="A94" s="430">
        <f>BID!A1225</f>
        <v>1101</v>
      </c>
      <c r="B94" s="15" t="str">
        <f>BID!B1225</f>
        <v>PREGNANT KIT CASSETTE (LABACON)</v>
      </c>
      <c r="C94" s="15" t="str">
        <f>BID!C1225</f>
        <v>packs</v>
      </c>
      <c r="D94" s="15">
        <f>IF(K94&gt;0,(K94/100)*BID!D1225,1*BID!D1225)</f>
        <v>36</v>
      </c>
      <c r="E94" s="60">
        <f>IF(K94&gt;0,PR!BK1223,IF(BID!K1225="UBASTIC",BID!L1225,0))</f>
        <v>3500</v>
      </c>
      <c r="F94" s="61">
        <f t="shared" si="4"/>
        <v>126000</v>
      </c>
      <c r="K94" s="445"/>
    </row>
    <row r="95" spans="1:11" ht="20.25" thickTop="1" thickBot="1" x14ac:dyDescent="0.35">
      <c r="A95" s="430">
        <f>BID!A1201</f>
        <v>1077</v>
      </c>
      <c r="B95" s="15" t="str">
        <f>BID!B1201</f>
        <v>UNIGOLD FOR HIV</v>
      </c>
      <c r="C95" s="15" t="str">
        <f>BID!C1201</f>
        <v>Pkt</v>
      </c>
      <c r="D95" s="15">
        <f>IF(K95&gt;0,(K95/100)*BID!D1201,1*BID!D1201)</f>
        <v>10</v>
      </c>
      <c r="E95" s="60">
        <f>IF(K95&gt;0,PR!BK1199,IF(BID!K1201="UBASTIC",BID!L1201,0))</f>
        <v>8500</v>
      </c>
      <c r="F95" s="61">
        <f t="shared" si="4"/>
        <v>85000</v>
      </c>
      <c r="K95" s="445"/>
    </row>
    <row r="96" spans="1:11" ht="20.25" thickTop="1" thickBot="1" x14ac:dyDescent="0.35">
      <c r="A96" s="430">
        <f>BID!A1186</f>
        <v>1062</v>
      </c>
      <c r="B96" s="15" t="str">
        <f>BID!B1186</f>
        <v>VDRL (BIO CHECK)</v>
      </c>
      <c r="C96" s="15" t="str">
        <f>BID!C1186</f>
        <v>Pkts</v>
      </c>
      <c r="D96" s="15">
        <f>IF(K96&gt;0,(K96/100)*BID!D1186,1*BID!D1186)</f>
        <v>60</v>
      </c>
      <c r="E96" s="60">
        <f>IF(K96&gt;0,PR!BK1184,IF(BID!K1186="UBASTIC",BID!L1186,0))</f>
        <v>3000</v>
      </c>
      <c r="F96" s="61">
        <f t="shared" si="4"/>
        <v>180000</v>
      </c>
      <c r="K96" s="445"/>
    </row>
    <row r="97" spans="1:11" ht="20.25" thickTop="1" thickBot="1" x14ac:dyDescent="0.35">
      <c r="A97" s="430">
        <f>BID!A1206</f>
        <v>1082</v>
      </c>
      <c r="B97" s="15" t="str">
        <f>BID!B1206</f>
        <v>WIDAL KIT</v>
      </c>
      <c r="C97" s="15" t="str">
        <f>BID!C1206</f>
        <v>Pkt</v>
      </c>
      <c r="D97" s="15">
        <f>IF(K97&gt;0,(K97/100)*BID!D1206,1*BID!D1206)</f>
        <v>6</v>
      </c>
      <c r="E97" s="60">
        <f>IF(K97&gt;0,PR!BK1204,IF(BID!K1206="UBASTIC",BID!L1206,0))</f>
        <v>6500</v>
      </c>
      <c r="F97" s="61">
        <f t="shared" si="4"/>
        <v>39000</v>
      </c>
      <c r="K97" s="445"/>
    </row>
    <row r="98" spans="1:11" ht="19.5" thickTop="1" x14ac:dyDescent="0.3">
      <c r="A98" s="430"/>
      <c r="B98" s="15"/>
      <c r="C98" s="15"/>
      <c r="D98" s="15"/>
      <c r="E98" s="60"/>
      <c r="F98" s="61"/>
    </row>
    <row r="99" spans="1:11" ht="19.5" thickBot="1" x14ac:dyDescent="0.35">
      <c r="A99" s="430"/>
      <c r="B99" s="15"/>
      <c r="C99" s="15"/>
      <c r="D99" s="15"/>
      <c r="E99" s="60"/>
      <c r="F99" s="442"/>
    </row>
    <row r="100" spans="1:11" ht="21.75" thickBot="1" x14ac:dyDescent="0.4">
      <c r="A100" s="430"/>
      <c r="B100" s="15"/>
      <c r="C100" s="15"/>
      <c r="D100" s="15"/>
      <c r="E100" s="441"/>
      <c r="F100" s="443">
        <f>SUM(F6:F97)</f>
        <v>16354850</v>
      </c>
    </row>
  </sheetData>
  <protectedRanges>
    <protectedRange sqref="K6:K8 K25:K28 K11:K22 K31:K59 K62:K65 K68:K97" name="Range1"/>
    <protectedRange sqref="K4:K5 K9:K10 K23:K24 K29:K30 K60:K61 K66:K67" name="Range1_1"/>
  </protectedRanges>
  <sortState ref="A80:K97">
    <sortCondition ref="B80:B97"/>
  </sortState>
  <mergeCells count="7">
    <mergeCell ref="B61:F61"/>
    <mergeCell ref="B67:F67"/>
    <mergeCell ref="B1:F1"/>
    <mergeCell ref="B5:F5"/>
    <mergeCell ref="B10:F10"/>
    <mergeCell ref="B24:F24"/>
    <mergeCell ref="B30:F30"/>
  </mergeCells>
  <pageMargins left="0.25" right="0.25" top="0.75" bottom="0.75" header="0.3" footer="0.3"/>
  <pageSetup paperSize="9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7A1ED-E6E2-48A7-A69E-DA9AFACB38CA}">
  <sheetPr>
    <tabColor rgb="FFC00000"/>
  </sheetPr>
  <dimension ref="A1:K22"/>
  <sheetViews>
    <sheetView view="pageBreakPreview" topLeftCell="A10" zoomScale="85" zoomScaleNormal="100" zoomScaleSheetLayoutView="85" workbookViewId="0">
      <selection activeCell="A4" sqref="A4:XFD5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N!B63</f>
        <v>UNION DIAGNOSTIC AND CLINICAL SERVICES</v>
      </c>
      <c r="C1" s="816"/>
      <c r="D1" s="816"/>
      <c r="E1" s="816"/>
      <c r="F1" s="816"/>
      <c r="K1" t="s">
        <v>1470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1548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BID!A896</f>
        <v>804</v>
      </c>
      <c r="B6" s="15" t="str">
        <f>BID!B896</f>
        <v>ACTIN FS (B4218-20) 4ML</v>
      </c>
      <c r="C6" s="15" t="str">
        <f>BID!C896</f>
        <v>1 pack of 10</v>
      </c>
      <c r="D6" s="15">
        <f>IF(K6&gt;0,(K6/100)*BID!D896,1*BID!D896)</f>
        <v>6</v>
      </c>
      <c r="E6" s="60">
        <f>IF(K6&gt;0,PR!BL894,IF(BID!K896="UNION",BID!L896,0))</f>
        <v>74922.38</v>
      </c>
      <c r="F6" s="61">
        <f t="shared" ref="F6:F19" si="0">IF(E6&gt;0,(E6*D6),0)</f>
        <v>449534.28</v>
      </c>
      <c r="K6" s="445"/>
    </row>
    <row r="7" spans="1:11" ht="20.25" thickTop="1" thickBot="1" x14ac:dyDescent="0.35">
      <c r="A7" s="430">
        <f>BID!A897</f>
        <v>805</v>
      </c>
      <c r="B7" s="15" t="str">
        <f>BID!B897</f>
        <v>C1 - TROL 1E (291070) 1ML</v>
      </c>
      <c r="C7" s="15" t="str">
        <f>BID!C897</f>
        <v>1 pack of 10</v>
      </c>
      <c r="D7" s="15">
        <f>IF(K7&gt;0,(K7/100)*BID!D897,1*BID!D897)</f>
        <v>6</v>
      </c>
      <c r="E7" s="60">
        <f>IF(K7&gt;0,PR!BL895,IF(BID!K897="UNION",BID!L897,0))</f>
        <v>33391.64</v>
      </c>
      <c r="F7" s="61">
        <f t="shared" si="0"/>
        <v>200349.84</v>
      </c>
      <c r="K7" s="445"/>
    </row>
    <row r="8" spans="1:11" ht="20.25" thickTop="1" thickBot="1" x14ac:dyDescent="0.35">
      <c r="A8" s="430">
        <f>BID!A898</f>
        <v>806</v>
      </c>
      <c r="B8" s="15" t="str">
        <f>BID!B898</f>
        <v>C2 - TROL 2E (291071) 1ML</v>
      </c>
      <c r="C8" s="15" t="str">
        <f>BID!C898</f>
        <v>1 pack of 10</v>
      </c>
      <c r="D8" s="15">
        <f>IF(K8&gt;0,(K8/100)*BID!D898,1*BID!D898)</f>
        <v>6</v>
      </c>
      <c r="E8" s="60">
        <f>IF(K8&gt;0,PR!BL896,IF(BID!K898="UNION",BID!L898,0))</f>
        <v>31391.64</v>
      </c>
      <c r="F8" s="61">
        <f t="shared" si="0"/>
        <v>188349.84</v>
      </c>
      <c r="K8" s="445"/>
    </row>
    <row r="9" spans="1:11" ht="20.25" thickTop="1" thickBot="1" x14ac:dyDescent="0.35">
      <c r="A9" s="430">
        <f>BID!A899</f>
        <v>807</v>
      </c>
      <c r="B9" s="15" t="str">
        <f>BID!B899</f>
        <v>CALCIUM CHLORIDE (OR H037) 25ML</v>
      </c>
      <c r="C9" s="15" t="str">
        <f>BID!C899</f>
        <v>1 pack of 10</v>
      </c>
      <c r="D9" s="15">
        <f>IF(K9&gt;0,(K9/100)*BID!D899,1*BID!D899)</f>
        <v>6</v>
      </c>
      <c r="E9" s="60">
        <f>IF(K9&gt;0,PR!BL897,IF(BID!K899="UNION",BID!L899,0))</f>
        <v>40908.1</v>
      </c>
      <c r="F9" s="61">
        <f t="shared" si="0"/>
        <v>245448.59999999998</v>
      </c>
      <c r="K9" s="445"/>
    </row>
    <row r="10" spans="1:11" ht="20.25" thickTop="1" thickBot="1" x14ac:dyDescent="0.35">
      <c r="A10" s="430">
        <f>BID!A891</f>
        <v>799</v>
      </c>
      <c r="B10" s="15" t="str">
        <f>BID!B891</f>
        <v>CELL CLEAN (83401621) 50ML</v>
      </c>
      <c r="C10" s="15">
        <f>BID!C891</f>
        <v>0</v>
      </c>
      <c r="D10" s="15">
        <f>IF(K10&gt;0,(K10/100)*BID!D891,1*BID!D891)</f>
        <v>6</v>
      </c>
      <c r="E10" s="60">
        <f>IF(K10&gt;0,PR!BL889,IF(BID!K891="UNION",BID!L891,0))</f>
        <v>35702.300000000003</v>
      </c>
      <c r="F10" s="61">
        <f t="shared" si="0"/>
        <v>214213.80000000002</v>
      </c>
      <c r="K10" s="445"/>
    </row>
    <row r="11" spans="1:11" ht="20.25" thickTop="1" thickBot="1" x14ac:dyDescent="0.35">
      <c r="A11" s="430">
        <f>BID!A890</f>
        <v>798</v>
      </c>
      <c r="B11" s="15" t="str">
        <f>BID!B890</f>
        <v>CELL PACK DCL (C1661628) 20L</v>
      </c>
      <c r="C11" s="15">
        <f>BID!C890</f>
        <v>0</v>
      </c>
      <c r="D11" s="15">
        <f>IF(K11&gt;0,(K11/100)*BID!D890,1*BID!D890)</f>
        <v>50</v>
      </c>
      <c r="E11" s="60">
        <f>IF(K11&gt;0,PR!BL888,IF(BID!K890="UNION",BID!L890,0))</f>
        <v>39450</v>
      </c>
      <c r="F11" s="61">
        <f t="shared" si="0"/>
        <v>1972500</v>
      </c>
      <c r="K11" s="445"/>
    </row>
    <row r="12" spans="1:11" ht="20.25" thickTop="1" thickBot="1" x14ac:dyDescent="0.35">
      <c r="A12" s="430">
        <f>BID!A907</f>
        <v>815</v>
      </c>
      <c r="B12" s="15" t="str">
        <f>BID!B907</f>
        <v>CONTROL XN CHECK L1 (213484) 3ML</v>
      </c>
      <c r="C12" s="15">
        <f>BID!C907</f>
        <v>0</v>
      </c>
      <c r="D12" s="15">
        <f>IF(K12&gt;0,(K12/100)*BID!D907,1*BID!D907)</f>
        <v>24</v>
      </c>
      <c r="E12" s="60">
        <f>IF(K12&gt;0,PR!BL905,IF(BID!K907="UNION",BID!L907,0))</f>
        <v>57716.1</v>
      </c>
      <c r="F12" s="61">
        <f t="shared" si="0"/>
        <v>1385186.4</v>
      </c>
      <c r="K12" s="445"/>
    </row>
    <row r="13" spans="1:11" ht="20.25" thickTop="1" thickBot="1" x14ac:dyDescent="0.35">
      <c r="A13" s="430">
        <f>BID!A908</f>
        <v>816</v>
      </c>
      <c r="B13" s="15" t="str">
        <f>BID!B908</f>
        <v>CONTROL XN CHECK L2 (213485) 3ML</v>
      </c>
      <c r="C13" s="15">
        <f>BID!C908</f>
        <v>0</v>
      </c>
      <c r="D13" s="15">
        <f>IF(K13&gt;0,(K13/100)*BID!D908,1*BID!D908)</f>
        <v>24</v>
      </c>
      <c r="E13" s="60">
        <f>IF(K13&gt;0,PR!BL906,IF(BID!K908="UNION",BID!L908,0))</f>
        <v>57716.1</v>
      </c>
      <c r="F13" s="61">
        <f t="shared" si="0"/>
        <v>1385186.4</v>
      </c>
      <c r="K13" s="445"/>
    </row>
    <row r="14" spans="1:11" ht="20.25" thickTop="1" thickBot="1" x14ac:dyDescent="0.35">
      <c r="A14" s="430">
        <f>BID!A909</f>
        <v>817</v>
      </c>
      <c r="B14" s="15" t="str">
        <f>BID!B909</f>
        <v>CONTROL XN CHECK L3 (213486) 3ML</v>
      </c>
      <c r="C14" s="15">
        <f>BID!C909</f>
        <v>0</v>
      </c>
      <c r="D14" s="15">
        <f>IF(K14&gt;0,(K14/100)*BID!D909,1*BID!D909)</f>
        <v>24</v>
      </c>
      <c r="E14" s="60">
        <f>IF(K14&gt;0,PR!BL907,IF(BID!K909="UNION",BID!L909,0))</f>
        <v>57716.1</v>
      </c>
      <c r="F14" s="61">
        <f t="shared" si="0"/>
        <v>1385186.4</v>
      </c>
      <c r="K14" s="445"/>
    </row>
    <row r="15" spans="1:11" ht="20.25" thickTop="1" thickBot="1" x14ac:dyDescent="0.35">
      <c r="A15" s="430">
        <f>BID!A892</f>
        <v>800</v>
      </c>
      <c r="B15" s="15" t="str">
        <f>BID!B892</f>
        <v>FLUOROCELL IVDF (CV377552) 42ML</v>
      </c>
      <c r="C15" s="15">
        <f>BID!C892</f>
        <v>0</v>
      </c>
      <c r="D15" s="15">
        <f>IF(K15&gt;0,(K15/100)*BID!D892,1*BID!D892)</f>
        <v>12</v>
      </c>
      <c r="E15" s="60">
        <f>IF(K15&gt;0,PR!BL890,IF(BID!K892="UNION",BID!L892,0))</f>
        <v>335764.21</v>
      </c>
      <c r="F15" s="61">
        <f t="shared" si="0"/>
        <v>4029170.5200000005</v>
      </c>
      <c r="K15" s="445"/>
    </row>
    <row r="16" spans="1:11" ht="20.25" thickTop="1" thickBot="1" x14ac:dyDescent="0.35">
      <c r="A16" s="430">
        <f>BID!A895</f>
        <v>803</v>
      </c>
      <c r="B16" s="15" t="str">
        <f>BID!B895</f>
        <v>INNOVIN (B42182-40) 4ML</v>
      </c>
      <c r="C16" s="15" t="str">
        <f>BID!C895</f>
        <v>1 pack of 10</v>
      </c>
      <c r="D16" s="15">
        <f>IF(K16&gt;0,(K16/100)*BID!D895,1*BID!D895)</f>
        <v>12</v>
      </c>
      <c r="E16" s="60">
        <f>IF(K16&gt;0,PR!BL893,IF(BID!K895="UNION",BID!L895,0))</f>
        <v>32645.119999999999</v>
      </c>
      <c r="F16" s="61">
        <f t="shared" si="0"/>
        <v>391741.44</v>
      </c>
      <c r="K16" s="445"/>
    </row>
    <row r="17" spans="1:11" ht="20.25" thickTop="1" thickBot="1" x14ac:dyDescent="0.35">
      <c r="A17" s="430">
        <f>BID!A893</f>
        <v>801</v>
      </c>
      <c r="B17" s="15" t="str">
        <f>BID!B893</f>
        <v>LYSERCELL WDF (AL337564) 5L</v>
      </c>
      <c r="C17" s="15">
        <f>BID!C893</f>
        <v>0</v>
      </c>
      <c r="D17" s="15">
        <f>IF(K17&gt;0,(K17/100)*BID!D893,1*BID!D893)</f>
        <v>12</v>
      </c>
      <c r="E17" s="60">
        <f>IF(K17&gt;0,PR!BL891,IF(BID!K893="UNION",BID!L893,0))</f>
        <v>110000</v>
      </c>
      <c r="F17" s="61">
        <f t="shared" si="0"/>
        <v>1320000</v>
      </c>
      <c r="K17" s="445"/>
    </row>
    <row r="18" spans="1:11" ht="20.25" thickTop="1" thickBot="1" x14ac:dyDescent="0.35">
      <c r="A18" s="430">
        <f>BID!A900</f>
        <v>808</v>
      </c>
      <c r="B18" s="15" t="str">
        <f>BID!B900</f>
        <v>SUL-400A CUVETTE FL (AG405069)</v>
      </c>
      <c r="C18" s="15" t="str">
        <f>BID!C900</f>
        <v>1cnt of 50</v>
      </c>
      <c r="D18" s="15">
        <f>IF(K18&gt;0,(K18/100)*BID!D900,1*BID!D900)</f>
        <v>10</v>
      </c>
      <c r="E18" s="60">
        <f>IF(K18&gt;0,PR!BL898,IF(BID!K900="UNION",BID!L900,0))</f>
        <v>49519.73</v>
      </c>
      <c r="F18" s="61">
        <f t="shared" si="0"/>
        <v>495197.30000000005</v>
      </c>
      <c r="K18" s="445"/>
    </row>
    <row r="19" spans="1:11" ht="20.25" thickTop="1" thickBot="1" x14ac:dyDescent="0.35">
      <c r="A19" s="430">
        <f>BID!A894</f>
        <v>802</v>
      </c>
      <c r="B19" s="15" t="str">
        <f>BID!B894</f>
        <v>SULFOLYSER (90411317) 500ML</v>
      </c>
      <c r="C19" s="15">
        <f>BID!C894</f>
        <v>0</v>
      </c>
      <c r="D19" s="15">
        <f>IF(K19&gt;0,(K19/100)*BID!D894,1*BID!D894)</f>
        <v>20</v>
      </c>
      <c r="E19" s="60">
        <f>IF(K19&gt;0,PR!BL892,IF(BID!K894="UNION",BID!L894,0))</f>
        <v>20000</v>
      </c>
      <c r="F19" s="61">
        <f t="shared" si="0"/>
        <v>400000</v>
      </c>
      <c r="K19" s="445"/>
    </row>
    <row r="20" spans="1:11" ht="19.5" thickTop="1" x14ac:dyDescent="0.3">
      <c r="A20" s="430"/>
      <c r="B20" s="15"/>
      <c r="C20" s="15"/>
      <c r="D20" s="15"/>
      <c r="E20" s="60"/>
      <c r="F20" s="61"/>
    </row>
    <row r="21" spans="1:11" ht="19.5" thickBot="1" x14ac:dyDescent="0.35">
      <c r="A21" s="430"/>
      <c r="B21" s="15"/>
      <c r="C21" s="15"/>
      <c r="D21" s="15"/>
      <c r="E21" s="60"/>
      <c r="F21" s="442"/>
    </row>
    <row r="22" spans="1:11" ht="21.75" thickBot="1" x14ac:dyDescent="0.4">
      <c r="A22" s="430"/>
      <c r="B22" s="15"/>
      <c r="C22" s="15"/>
      <c r="D22" s="15"/>
      <c r="E22" s="441"/>
      <c r="F22" s="443">
        <f>SUM(F6:F19)</f>
        <v>14062064.820000002</v>
      </c>
    </row>
  </sheetData>
  <protectedRanges>
    <protectedRange sqref="K6:K19" name="Range1"/>
    <protectedRange sqref="K4:K5" name="Range1_1"/>
  </protectedRanges>
  <sortState ref="A6:K19">
    <sortCondition ref="B6:B19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3322B-6CB4-4805-892D-35D187E9CB5C}">
  <sheetPr>
    <tabColor rgb="FFFF0000"/>
  </sheetPr>
  <dimension ref="A1:K19"/>
  <sheetViews>
    <sheetView view="pageBreakPreview" zoomScale="85" zoomScaleNormal="100" zoomScaleSheetLayoutView="85" workbookViewId="0"/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N!B64</f>
        <v>UNIQUE PHARMACEUTICALS LIMITED</v>
      </c>
      <c r="C1" s="816"/>
      <c r="D1" s="816"/>
      <c r="E1" s="816"/>
      <c r="F1" s="816"/>
      <c r="K1" t="s">
        <v>633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BID!A35</f>
        <v>20</v>
      </c>
      <c r="B6" s="15" t="str">
        <f>BID!B35</f>
        <v>10% DEXTROSE WATER</v>
      </c>
      <c r="C6" s="15">
        <f>BID!C35</f>
        <v>20</v>
      </c>
      <c r="D6" s="15">
        <f>IF(K6&gt;0,(K6/100)*BID!D35,1*BID!D35)</f>
        <v>100</v>
      </c>
      <c r="E6" s="60">
        <f>IF(K6&gt;0,PR!BM33,IF(BID!K35="UNIQUE",BID!L35,0))</f>
        <v>2520</v>
      </c>
      <c r="F6" s="61">
        <f t="shared" ref="F6:F16" si="0">IF(E6&gt;0,(E6*D6),0)</f>
        <v>252000</v>
      </c>
      <c r="K6" s="445"/>
    </row>
    <row r="7" spans="1:11" ht="20.25" thickTop="1" thickBot="1" x14ac:dyDescent="0.35">
      <c r="A7" s="430">
        <f>BID!A36</f>
        <v>21</v>
      </c>
      <c r="B7" s="15" t="str">
        <f>BID!B36</f>
        <v>10% MANNITOL</v>
      </c>
      <c r="C7" s="15">
        <f>BID!C36</f>
        <v>20</v>
      </c>
      <c r="D7" s="15">
        <f>IF(K7&gt;0,(K7/100)*BID!D36,1*BID!D36)</f>
        <v>8</v>
      </c>
      <c r="E7" s="60">
        <f>IF(K7&gt;0,PR!BM34,IF(BID!K36="UNIQUE",BID!L36,0))</f>
        <v>5760</v>
      </c>
      <c r="F7" s="61">
        <f t="shared" si="0"/>
        <v>46080</v>
      </c>
      <c r="K7" s="445"/>
    </row>
    <row r="8" spans="1:11" ht="20.25" thickTop="1" thickBot="1" x14ac:dyDescent="0.35">
      <c r="A8" s="430">
        <f>BID!A41</f>
        <v>26</v>
      </c>
      <c r="B8" s="15" t="str">
        <f>BID!B41</f>
        <v>50% DEXTROSE WATER</v>
      </c>
      <c r="C8" s="15">
        <f>BID!C41</f>
        <v>100</v>
      </c>
      <c r="D8" s="15">
        <f>IF(K8&gt;0,(K8/100)*BID!D41,1*BID!D41)</f>
        <v>32</v>
      </c>
      <c r="E8" s="60">
        <f>IF(K8&gt;0,PR!BM39,IF(BID!K41="UNIQUE",BID!L41,0))</f>
        <v>12700</v>
      </c>
      <c r="F8" s="61">
        <f t="shared" si="0"/>
        <v>406400</v>
      </c>
      <c r="K8" s="445">
        <v>80</v>
      </c>
    </row>
    <row r="9" spans="1:11" ht="20.25" thickTop="1" thickBot="1" x14ac:dyDescent="0.35">
      <c r="A9" s="430">
        <f>BID!A65</f>
        <v>47</v>
      </c>
      <c r="B9" s="15" t="str">
        <f>BID!B65</f>
        <v>ATENOLOL 50MG</v>
      </c>
      <c r="C9" s="15">
        <f>BID!C65</f>
        <v>28</v>
      </c>
      <c r="D9" s="15">
        <f>IF(K9&gt;0,(K9/100)*BID!D65,1*BID!D65)</f>
        <v>2000</v>
      </c>
      <c r="E9" s="60">
        <f>IF(K9&gt;0,PR!BM63,IF(BID!K65="UNIQUE",BID!L65,0))</f>
        <v>165</v>
      </c>
      <c r="F9" s="61">
        <f t="shared" si="0"/>
        <v>330000</v>
      </c>
      <c r="K9" s="445"/>
    </row>
    <row r="10" spans="1:11" ht="20.25" thickTop="1" thickBot="1" x14ac:dyDescent="0.35">
      <c r="A10" s="430">
        <f>BID!A266</f>
        <v>240</v>
      </c>
      <c r="B10" s="15" t="str">
        <f>BID!B266</f>
        <v>CLOTRIMAZOLE 1% CREAM 20g</v>
      </c>
      <c r="C10" s="15" t="str">
        <f>BID!C266</f>
        <v>TUBE</v>
      </c>
      <c r="D10" s="15">
        <f>IF(K10&gt;0,(K10/100)*BID!D266,1*BID!D266)</f>
        <v>300</v>
      </c>
      <c r="E10" s="60">
        <f>IF(K10&gt;0,PR!BM264,IF(BID!K266="UNIQUE",BID!L266,0))</f>
        <v>115</v>
      </c>
      <c r="F10" s="61">
        <f t="shared" si="0"/>
        <v>34500</v>
      </c>
      <c r="K10" s="445">
        <v>30</v>
      </c>
    </row>
    <row r="11" spans="1:11" ht="20.25" thickTop="1" thickBot="1" x14ac:dyDescent="0.35">
      <c r="A11" s="430">
        <f>BID!A531</f>
        <v>477</v>
      </c>
      <c r="B11" s="15" t="str">
        <f>BID!B531</f>
        <v>DIPHENHYDRAMINE HCL+ AMMONIUM CHLORIDE SYR (Adult)</v>
      </c>
      <c r="C11" s="15" t="str">
        <f>BID!C531</f>
        <v>BOTT</v>
      </c>
      <c r="D11" s="15">
        <f>IF(K11&gt;0,(K11/100)*BID!D531,1*BID!D531)</f>
        <v>1600</v>
      </c>
      <c r="E11" s="60">
        <f>IF(K11&gt;0,PR!BM529,IF(BID!K531="UNIQUE",BID!L531,0))</f>
        <v>125</v>
      </c>
      <c r="F11" s="61">
        <f t="shared" si="0"/>
        <v>200000</v>
      </c>
      <c r="K11" s="445"/>
    </row>
    <row r="12" spans="1:11" ht="20.25" thickTop="1" thickBot="1" x14ac:dyDescent="0.35">
      <c r="A12" s="430">
        <f>BID!A532</f>
        <v>478</v>
      </c>
      <c r="B12" s="15" t="str">
        <f>BID!B532</f>
        <v>DIPHENHYDRAMINE HCL+ AMMONIUM CHLORIDE SYR (PAED)</v>
      </c>
      <c r="C12" s="15" t="str">
        <f>BID!C532</f>
        <v>BOTT</v>
      </c>
      <c r="D12" s="15">
        <f>IF(K12&gt;0,(K12/100)*BID!D532,1*BID!D532)</f>
        <v>1600</v>
      </c>
      <c r="E12" s="60">
        <f>IF(K12&gt;0,PR!BM530,IF(BID!K532="UNIQUE",BID!L532,0))</f>
        <v>115</v>
      </c>
      <c r="F12" s="61">
        <f t="shared" si="0"/>
        <v>184000</v>
      </c>
      <c r="K12" s="445"/>
    </row>
    <row r="13" spans="1:11" ht="20.25" thickTop="1" thickBot="1" x14ac:dyDescent="0.35">
      <c r="A13" s="430">
        <f>BID!A46</f>
        <v>31</v>
      </c>
      <c r="B13" s="15" t="str">
        <f>BID!B46</f>
        <v>HARTMANNS (RINGERS LACTATE SOLUTION)</v>
      </c>
      <c r="C13" s="15">
        <f>BID!C46</f>
        <v>20</v>
      </c>
      <c r="D13" s="15">
        <f>IF(K13&gt;0,(K13/100)*BID!D46,1*BID!D46)</f>
        <v>400</v>
      </c>
      <c r="E13" s="60">
        <f>IF(K13&gt;0,PR!BM44,IF(BID!K46="UNIQUE",BID!L46,0))</f>
        <v>2520</v>
      </c>
      <c r="F13" s="61">
        <f t="shared" si="0"/>
        <v>1008000</v>
      </c>
      <c r="K13" s="445">
        <v>80</v>
      </c>
    </row>
    <row r="14" spans="1:11" ht="20.25" thickTop="1" thickBot="1" x14ac:dyDescent="0.35">
      <c r="A14" s="430">
        <f>BID!A186</f>
        <v>163</v>
      </c>
      <c r="B14" s="15" t="str">
        <f>BID!B186</f>
        <v>IBUPROFEN SYRUP</v>
      </c>
      <c r="C14" s="15" t="str">
        <f>BID!C186</f>
        <v>BOTT</v>
      </c>
      <c r="D14" s="15">
        <f>IF(K14&gt;0,(K14/100)*BID!D186,1*BID!D186)</f>
        <v>500</v>
      </c>
      <c r="E14" s="60">
        <f>IF(K14&gt;0,PR!BM184,IF(BID!K186="UNIQUE",BID!L186,0))</f>
        <v>115</v>
      </c>
      <c r="F14" s="61">
        <f t="shared" si="0"/>
        <v>57500</v>
      </c>
      <c r="K14" s="445">
        <v>50</v>
      </c>
    </row>
    <row r="15" spans="1:11" ht="20.25" thickTop="1" thickBot="1" x14ac:dyDescent="0.35">
      <c r="A15" s="430">
        <f>BID!A344</f>
        <v>312</v>
      </c>
      <c r="B15" s="15" t="str">
        <f>BID!B344</f>
        <v>IRON MINERAL VITAMINS CAP</v>
      </c>
      <c r="C15" s="15">
        <f>BID!C344</f>
        <v>30</v>
      </c>
      <c r="D15" s="15">
        <f>IF(K15&gt;0,(K15/100)*BID!D344,1*BID!D344)</f>
        <v>960</v>
      </c>
      <c r="E15" s="60">
        <f>IF(K15&gt;0,PR!BM342,IF(BID!K344="UNIQUE",BID!L344,0))</f>
        <v>170</v>
      </c>
      <c r="F15" s="61">
        <f t="shared" si="0"/>
        <v>163200</v>
      </c>
      <c r="K15" s="445"/>
    </row>
    <row r="16" spans="1:11" ht="20.25" thickTop="1" thickBot="1" x14ac:dyDescent="0.35">
      <c r="A16" s="430">
        <f>BID!A545</f>
        <v>491</v>
      </c>
      <c r="B16" s="15" t="str">
        <f>BID!B545</f>
        <v>PROMETHAZINE SYR</v>
      </c>
      <c r="C16" s="15" t="str">
        <f>BID!C545</f>
        <v>BOTT</v>
      </c>
      <c r="D16" s="15">
        <f>IF(K16&gt;0,(K16/100)*BID!D545,1*BID!D545)</f>
        <v>80</v>
      </c>
      <c r="E16" s="60">
        <f>IF(K16&gt;0,PR!BM543,IF(BID!K545="UNIQUE",BID!L545,0))</f>
        <v>92</v>
      </c>
      <c r="F16" s="61">
        <f t="shared" si="0"/>
        <v>7360</v>
      </c>
      <c r="K16" s="445"/>
    </row>
    <row r="17" spans="1:6" ht="19.5" thickTop="1" x14ac:dyDescent="0.3">
      <c r="A17" s="430"/>
      <c r="B17" s="15"/>
      <c r="C17" s="15"/>
      <c r="D17" s="15"/>
      <c r="E17" s="60"/>
      <c r="F17" s="61"/>
    </row>
    <row r="18" spans="1:6" ht="19.5" thickBot="1" x14ac:dyDescent="0.35">
      <c r="A18" s="430"/>
      <c r="B18" s="15"/>
      <c r="C18" s="15"/>
      <c r="D18" s="15"/>
      <c r="E18" s="60"/>
      <c r="F18" s="442"/>
    </row>
    <row r="19" spans="1:6" ht="21.75" thickBot="1" x14ac:dyDescent="0.4">
      <c r="A19" s="430"/>
      <c r="B19" s="15"/>
      <c r="C19" s="15"/>
      <c r="D19" s="15"/>
      <c r="E19" s="441"/>
      <c r="F19" s="443">
        <f>SUM(F6:F16)</f>
        <v>2689040</v>
      </c>
    </row>
  </sheetData>
  <protectedRanges>
    <protectedRange sqref="K6:K16" name="Range1"/>
    <protectedRange sqref="K4:K5" name="Range1_1"/>
  </protectedRanges>
  <sortState ref="A6:K16">
    <sortCondition ref="B6:B16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7ED68-4F22-49DD-A326-3599C1F45CD0}">
  <sheetPr>
    <tabColor rgb="FFFFC000"/>
  </sheetPr>
  <dimension ref="A1:K17"/>
  <sheetViews>
    <sheetView view="pageBreakPreview" zoomScale="85" zoomScaleNormal="100" zoomScaleSheetLayoutView="85" workbookViewId="0">
      <selection activeCell="B9" sqref="B9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N!B65</f>
        <v>VIXA PHARMACEUTICALS LIMITED</v>
      </c>
      <c r="C1" s="816"/>
      <c r="D1" s="816"/>
      <c r="E1" s="816"/>
      <c r="F1" s="816"/>
      <c r="K1" t="s">
        <v>620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BID!A226</f>
        <v>200</v>
      </c>
      <c r="B6" s="15" t="str">
        <f>BID!B226</f>
        <v>AMOXICILLIN 500MG CAP</v>
      </c>
      <c r="C6" s="15">
        <f>BID!C226</f>
        <v>100</v>
      </c>
      <c r="D6" s="15">
        <f>IF(K6&gt;0,(K6/100)*BID!D226,1*BID!D226)</f>
        <v>480</v>
      </c>
      <c r="E6" s="60">
        <f>IF(K6&gt;0,PR!BN224,IF(BID!K226="VIXA",BID!L226,0))</f>
        <v>830</v>
      </c>
      <c r="F6" s="61">
        <f t="shared" ref="F6:F14" si="0">IF(E6&gt;0,(E6*D6),0)</f>
        <v>398400</v>
      </c>
      <c r="K6" s="445">
        <v>30</v>
      </c>
    </row>
    <row r="7" spans="1:11" ht="20.25" thickTop="1" thickBot="1" x14ac:dyDescent="0.35">
      <c r="A7" s="430">
        <f>BID!A14</f>
        <v>2</v>
      </c>
      <c r="B7" s="15" t="str">
        <f>BID!B14</f>
        <v>ARTEMETHER 80MG INJ</v>
      </c>
      <c r="C7" s="15">
        <f>BID!C14</f>
        <v>6</v>
      </c>
      <c r="D7" s="15">
        <f>IF(K7&gt;0,(K7/100)*BID!D14,1*BID!D14)</f>
        <v>400</v>
      </c>
      <c r="E7" s="60">
        <f>IF(K7&gt;0,PR!BN12,IF(BID!K14="VIXA",BID!L14,0))</f>
        <v>200</v>
      </c>
      <c r="F7" s="61">
        <f t="shared" si="0"/>
        <v>80000</v>
      </c>
      <c r="K7" s="445">
        <v>50</v>
      </c>
    </row>
    <row r="8" spans="1:11" ht="20.25" thickTop="1" thickBot="1" x14ac:dyDescent="0.35">
      <c r="A8" s="430">
        <f>BID!A391</f>
        <v>355</v>
      </c>
      <c r="B8" s="15" t="str">
        <f>BID!B391</f>
        <v>CARBAMAZEPINE 200MG</v>
      </c>
      <c r="C8" s="15">
        <f>BID!C391</f>
        <v>100</v>
      </c>
      <c r="D8" s="15">
        <f>IF(K8&gt;0,(K8/100)*BID!D391,1*BID!D391)</f>
        <v>1200</v>
      </c>
      <c r="E8" s="60">
        <f>IF(K8&gt;0,PR!BN389,IF(BID!K391="VIXA",BID!L391,0))</f>
        <v>1300</v>
      </c>
      <c r="F8" s="61">
        <f t="shared" si="0"/>
        <v>1560000</v>
      </c>
      <c r="K8" s="445"/>
    </row>
    <row r="9" spans="1:11" ht="20.25" thickTop="1" thickBot="1" x14ac:dyDescent="0.35">
      <c r="A9" s="430">
        <f>BID!A171</f>
        <v>148</v>
      </c>
      <c r="B9" s="15" t="str">
        <f>BID!B171</f>
        <v>DEXAMETHASONE 1MG TAB</v>
      </c>
      <c r="C9" s="15">
        <f>BID!C171</f>
        <v>100</v>
      </c>
      <c r="D9" s="15">
        <f>IF(K9&gt;0,(K9/100)*BID!D171,1*BID!D171)</f>
        <v>200</v>
      </c>
      <c r="E9" s="60">
        <f>IF(K9&gt;0,PR!BN169,IF(BID!K171="VIXA",BID!L171,0))</f>
        <v>270</v>
      </c>
      <c r="F9" s="61">
        <f t="shared" si="0"/>
        <v>54000</v>
      </c>
      <c r="K9" s="445"/>
    </row>
    <row r="10" spans="1:11" ht="20.25" thickTop="1" thickBot="1" x14ac:dyDescent="0.35">
      <c r="A10" s="430">
        <f>BID!A177</f>
        <v>154</v>
      </c>
      <c r="B10" s="15" t="str">
        <f>BID!B177</f>
        <v>DICLOFENAC 100MG TAB</v>
      </c>
      <c r="C10" s="15">
        <f>BID!C177</f>
        <v>100</v>
      </c>
      <c r="D10" s="15">
        <f>IF(K10&gt;0,(K10/100)*BID!D177,1*BID!D177)</f>
        <v>400</v>
      </c>
      <c r="E10" s="60">
        <f>IF(K10&gt;0,PR!BN175,IF(BID!K177="VIXA",BID!L177,0))</f>
        <v>350</v>
      </c>
      <c r="F10" s="61">
        <f t="shared" si="0"/>
        <v>140000</v>
      </c>
      <c r="K10" s="445"/>
    </row>
    <row r="11" spans="1:11" ht="20.25" thickTop="1" thickBot="1" x14ac:dyDescent="0.35">
      <c r="A11" s="430">
        <f>BID!A273</f>
        <v>247</v>
      </c>
      <c r="B11" s="15" t="str">
        <f>BID!B273</f>
        <v>ERYTHROMYCIN 125MG/5ML SUSP</v>
      </c>
      <c r="C11" s="15" t="str">
        <f>BID!C273</f>
        <v>BOTT</v>
      </c>
      <c r="D11" s="15">
        <f>IF(K11&gt;0,(K11/100)*BID!D273,1*BID!D273)</f>
        <v>400</v>
      </c>
      <c r="E11" s="60">
        <f>IF(K11&gt;0,PR!BN271,IF(BID!K273="VIXA",BID!L273,0))</f>
        <v>410</v>
      </c>
      <c r="F11" s="61">
        <f t="shared" si="0"/>
        <v>164000</v>
      </c>
      <c r="K11" s="445">
        <v>50</v>
      </c>
    </row>
    <row r="12" spans="1:11" ht="20.25" thickTop="1" thickBot="1" x14ac:dyDescent="0.35">
      <c r="A12" s="430">
        <f>BID!A138</f>
        <v>118</v>
      </c>
      <c r="B12" s="15" t="str">
        <f>BID!B138</f>
        <v>GLIBENCLAMIDE 5MG</v>
      </c>
      <c r="C12" s="15">
        <f>BID!C138</f>
        <v>100</v>
      </c>
      <c r="D12" s="15">
        <f>IF(K12&gt;0,(K12/100)*BID!D138,1*BID!D138)</f>
        <v>250</v>
      </c>
      <c r="E12" s="60">
        <f>IF(K12&gt;0,PR!BN136,IF(BID!K138="VIXA",BID!L138,0))</f>
        <v>250</v>
      </c>
      <c r="F12" s="61">
        <f t="shared" si="0"/>
        <v>62500</v>
      </c>
      <c r="K12" s="445"/>
    </row>
    <row r="13" spans="1:11" ht="20.25" thickTop="1" thickBot="1" x14ac:dyDescent="0.35">
      <c r="A13" s="430">
        <f>BID!A98</f>
        <v>80</v>
      </c>
      <c r="B13" s="15" t="str">
        <f>BID!B98</f>
        <v>METHYL-DOPA 250MG TAB</v>
      </c>
      <c r="C13" s="15">
        <f>BID!C98</f>
        <v>100</v>
      </c>
      <c r="D13" s="15">
        <f>IF(K13&gt;0,(K13/100)*BID!D98,1*BID!D98)</f>
        <v>1200</v>
      </c>
      <c r="E13" s="60">
        <f>IF(K13&gt;0,PR!BN96,IF(BID!K98="VIXA",BID!L98,0))</f>
        <v>1450</v>
      </c>
      <c r="F13" s="61">
        <f t="shared" si="0"/>
        <v>1740000</v>
      </c>
      <c r="K13" s="445">
        <v>60</v>
      </c>
    </row>
    <row r="14" spans="1:11" ht="20.25" thickTop="1" thickBot="1" x14ac:dyDescent="0.35">
      <c r="A14" s="430">
        <f>BID!A485</f>
        <v>437</v>
      </c>
      <c r="B14" s="15" t="str">
        <f>BID!B485</f>
        <v>METOCLOPRAMIDE 10MG TAB</v>
      </c>
      <c r="C14" s="15">
        <f>BID!C485</f>
        <v>100</v>
      </c>
      <c r="D14" s="15">
        <f>IF(K14&gt;0,(K14/100)*BID!D485,1*BID!D485)</f>
        <v>64</v>
      </c>
      <c r="E14" s="60">
        <f>IF(K14&gt;0,PR!BN483,IF(BID!K485="VIXA",BID!L485,0))</f>
        <v>330</v>
      </c>
      <c r="F14" s="61">
        <f t="shared" si="0"/>
        <v>21120</v>
      </c>
      <c r="K14" s="445"/>
    </row>
    <row r="15" spans="1:11" ht="19.5" thickTop="1" x14ac:dyDescent="0.3">
      <c r="A15" s="430"/>
      <c r="B15" s="15"/>
      <c r="C15" s="15"/>
      <c r="D15" s="15"/>
      <c r="E15" s="60"/>
      <c r="F15" s="61"/>
    </row>
    <row r="16" spans="1:11" ht="19.5" thickBot="1" x14ac:dyDescent="0.35">
      <c r="A16" s="430"/>
      <c r="B16" s="15"/>
      <c r="C16" s="15"/>
      <c r="D16" s="15"/>
      <c r="E16" s="60"/>
      <c r="F16" s="442"/>
    </row>
    <row r="17" spans="1:6" ht="21.75" thickBot="1" x14ac:dyDescent="0.4">
      <c r="A17" s="430"/>
      <c r="B17" s="15"/>
      <c r="C17" s="15"/>
      <c r="D17" s="15"/>
      <c r="E17" s="441"/>
      <c r="F17" s="443">
        <f>SUM(F6:F14)</f>
        <v>4220020</v>
      </c>
    </row>
  </sheetData>
  <sheetProtection algorithmName="SHA-512" hashValue="+I2syq2uDmWKIVqYqH8BIWJ7wHQhRXszKy1N4Q6Jr5yFG1FYsidY0ubwonFySiRuy3Z1SBe7JDuU2KGY1vmt8g==" saltValue="MJX+82NwrCudNly9Qwompw==" spinCount="100000" sheet="1" objects="1" scenarios="1"/>
  <protectedRanges>
    <protectedRange sqref="K6:K14" name="Range1"/>
    <protectedRange sqref="K4:K5" name="Range1_1"/>
  </protectedRanges>
  <sortState ref="A6:K14">
    <sortCondition ref="B6:B14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B27FD-7F7D-46B2-AAD2-B5BEA018A873}">
  <sheetPr>
    <tabColor rgb="FFFFFF00"/>
  </sheetPr>
  <dimension ref="A1:K25"/>
  <sheetViews>
    <sheetView view="pageBreakPreview" topLeftCell="A10" zoomScale="85" zoomScaleNormal="100" zoomScaleSheetLayoutView="85" workbookViewId="0">
      <selection activeCell="A4" sqref="A4:XFD5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N!B66</f>
        <v>WORLDWIDE COMMERCIAL VENTURES LIMITED</v>
      </c>
      <c r="C1" s="816"/>
      <c r="D1" s="816"/>
      <c r="E1" s="816"/>
      <c r="F1" s="816"/>
      <c r="K1" t="s">
        <v>1231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BID!A253</f>
        <v>227</v>
      </c>
      <c r="B6" s="15" t="str">
        <f>BID!B253</f>
        <v>CEFTAZIDIME 1G INJ</v>
      </c>
      <c r="C6" s="15" t="str">
        <f>BID!C253</f>
        <v>VIAL</v>
      </c>
      <c r="D6" s="15">
        <f>IF(K6&gt;0,(K6/100)*BID!D253,1*BID!D253)</f>
        <v>1200</v>
      </c>
      <c r="E6" s="60">
        <f>IF(K6&gt;0,PR!BO251,IF(BID!K253="WWCV",BID!L253,0))</f>
        <v>2419</v>
      </c>
      <c r="F6" s="61">
        <f t="shared" ref="F6:F22" si="0">IF(E6&gt;0,(E6*D6),0)</f>
        <v>2902800</v>
      </c>
      <c r="K6" s="445">
        <v>40</v>
      </c>
    </row>
    <row r="7" spans="1:11" ht="20.25" thickTop="1" thickBot="1" x14ac:dyDescent="0.35">
      <c r="A7" s="430">
        <f>BID!A254</f>
        <v>228</v>
      </c>
      <c r="B7" s="15" t="str">
        <f>BID!B254</f>
        <v>CEFTRIAXONE 1G INJ</v>
      </c>
      <c r="C7" s="15" t="str">
        <f>BID!C254</f>
        <v>VIAL</v>
      </c>
      <c r="D7" s="15">
        <f>IF(K7&gt;0,(K7/100)*BID!D254,1*BID!D254)</f>
        <v>9000</v>
      </c>
      <c r="E7" s="60">
        <f>IF(K7&gt;0,PR!BO252,IF(BID!K254="WWCV",BID!L254,0))</f>
        <v>1960</v>
      </c>
      <c r="F7" s="61">
        <f t="shared" si="0"/>
        <v>17640000</v>
      </c>
      <c r="K7" s="445">
        <v>30</v>
      </c>
    </row>
    <row r="8" spans="1:11" ht="20.25" thickTop="1" thickBot="1" x14ac:dyDescent="0.35">
      <c r="A8" s="430">
        <f>BID!A529</f>
        <v>475</v>
      </c>
      <c r="B8" s="15" t="str">
        <f>BID!B529</f>
        <v>CINNARIZINE 25MG</v>
      </c>
      <c r="C8" s="15">
        <f>BID!C529</f>
        <v>50</v>
      </c>
      <c r="D8" s="15">
        <f>IF(K8&gt;0,(K8/100)*BID!D529,1*BID!D529)</f>
        <v>200</v>
      </c>
      <c r="E8" s="60">
        <f>IF(K8&gt;0,PR!BO527,IF(BID!K529="WWCV",BID!L529,0))</f>
        <v>1079</v>
      </c>
      <c r="F8" s="61">
        <f t="shared" si="0"/>
        <v>215800</v>
      </c>
      <c r="K8" s="445"/>
    </row>
    <row r="9" spans="1:11" ht="20.25" thickTop="1" thickBot="1" x14ac:dyDescent="0.35">
      <c r="A9" s="430">
        <f>BID!A608</f>
        <v>548</v>
      </c>
      <c r="B9" s="15" t="str">
        <f>BID!B608</f>
        <v>CYCLOSPORIN 50MG CAP</v>
      </c>
      <c r="C9" s="15">
        <f>BID!C608</f>
        <v>30</v>
      </c>
      <c r="D9" s="15">
        <f>IF(K9&gt;0,(K9/100)*BID!D608,1*BID!D608)</f>
        <v>20</v>
      </c>
      <c r="E9" s="60">
        <f>IF(K9&gt;0,PR!BO606,IF(BID!K608="WWCV",BID!L608,0))</f>
        <v>53088</v>
      </c>
      <c r="F9" s="61">
        <f t="shared" si="0"/>
        <v>1061760</v>
      </c>
      <c r="K9" s="445"/>
    </row>
    <row r="10" spans="1:11" ht="20.25" thickTop="1" thickBot="1" x14ac:dyDescent="0.35">
      <c r="A10" s="430">
        <f>BID!A610</f>
        <v>550</v>
      </c>
      <c r="B10" s="15" t="str">
        <f>BID!B610</f>
        <v>DEPO-PROVERA (150MG/ML) INJ</v>
      </c>
      <c r="C10" s="15" t="str">
        <f>BID!C610</f>
        <v>VIAL</v>
      </c>
      <c r="D10" s="15">
        <f>IF(K10&gt;0,(K10/100)*BID!D610,1*BID!D610)</f>
        <v>50</v>
      </c>
      <c r="E10" s="60">
        <f>IF(K10&gt;0,PR!BO608,IF(BID!K610="WWCV",BID!L610,0))</f>
        <v>34800</v>
      </c>
      <c r="F10" s="61">
        <f t="shared" si="0"/>
        <v>1740000</v>
      </c>
      <c r="K10" s="445"/>
    </row>
    <row r="11" spans="1:11" ht="20.25" thickTop="1" thickBot="1" x14ac:dyDescent="0.35">
      <c r="A11" s="430">
        <f>BID!A397</f>
        <v>361</v>
      </c>
      <c r="B11" s="15" t="str">
        <f>BID!B397</f>
        <v>DIAZEPAM 10MG INJ  ROCHE</v>
      </c>
      <c r="C11" s="15">
        <f>BID!C397</f>
        <v>10</v>
      </c>
      <c r="D11" s="15">
        <f>IF(K11&gt;0,(K11/100)*BID!D397,1*BID!D397)</f>
        <v>360</v>
      </c>
      <c r="E11" s="60">
        <f>IF(K11&gt;0,PR!BO395,IF(BID!K397="WWCV",BID!L397,0))</f>
        <v>6000</v>
      </c>
      <c r="F11" s="61">
        <f t="shared" si="0"/>
        <v>2160000</v>
      </c>
      <c r="K11" s="445">
        <v>60</v>
      </c>
    </row>
    <row r="12" spans="1:11" ht="20.25" thickTop="1" thickBot="1" x14ac:dyDescent="0.35">
      <c r="A12" s="430">
        <f>BID!A614</f>
        <v>554</v>
      </c>
      <c r="B12" s="15" t="str">
        <f>BID!B614</f>
        <v>GOSERELIN ACETATE INJ</v>
      </c>
      <c r="C12" s="15">
        <f>BID!C614</f>
        <v>1</v>
      </c>
      <c r="D12" s="15">
        <f>IF(K12&gt;0,(K12/100)*BID!D614,1*BID!D614)</f>
        <v>6</v>
      </c>
      <c r="E12" s="60">
        <f>IF(K12&gt;0,PR!BO612,IF(BID!K614="WWCV",BID!L614,0))</f>
        <v>120000</v>
      </c>
      <c r="F12" s="61">
        <f t="shared" si="0"/>
        <v>720000</v>
      </c>
      <c r="K12" s="445"/>
    </row>
    <row r="13" spans="1:11" ht="20.25" thickTop="1" thickBot="1" x14ac:dyDescent="0.35">
      <c r="A13" s="430">
        <f>BID!A146</f>
        <v>126</v>
      </c>
      <c r="B13" s="15" t="str">
        <f>BID!B146</f>
        <v xml:space="preserve">INSULIN 30/70 FLEX-PEN </v>
      </c>
      <c r="C13" s="15">
        <f>BID!C146</f>
        <v>5</v>
      </c>
      <c r="D13" s="15">
        <f>IF(K13&gt;0,(K13/100)*BID!D146,1*BID!D146)</f>
        <v>120</v>
      </c>
      <c r="E13" s="60">
        <f>IF(K13&gt;0,PR!BO144,IF(BID!K146="WWCV",BID!L146,0))</f>
        <v>8160</v>
      </c>
      <c r="F13" s="61">
        <f t="shared" si="0"/>
        <v>979200</v>
      </c>
      <c r="K13" s="445"/>
    </row>
    <row r="14" spans="1:11" ht="20.25" thickTop="1" thickBot="1" x14ac:dyDescent="0.35">
      <c r="A14" s="430">
        <f>BID!A147</f>
        <v>127</v>
      </c>
      <c r="B14" s="15" t="str">
        <f>BID!B147</f>
        <v>INSULIN 30/70 INJ  (10ML)</v>
      </c>
      <c r="C14" s="15" t="str">
        <f>BID!C147</f>
        <v>VIAL</v>
      </c>
      <c r="D14" s="15">
        <f>IF(K14&gt;0,(K14/100)*BID!D147,1*BID!D147)</f>
        <v>900</v>
      </c>
      <c r="E14" s="60">
        <f>IF(K14&gt;0,PR!BO145,IF(BID!K147="WWCV",BID!L147,0))</f>
        <v>2992</v>
      </c>
      <c r="F14" s="61">
        <f t="shared" si="0"/>
        <v>2692800</v>
      </c>
      <c r="K14" s="445"/>
    </row>
    <row r="15" spans="1:11" ht="20.25" thickTop="1" thickBot="1" x14ac:dyDescent="0.35">
      <c r="A15" s="430">
        <f>BID!A148</f>
        <v>128</v>
      </c>
      <c r="B15" s="15" t="str">
        <f>BID!B148</f>
        <v>INSULIN DETEMIR</v>
      </c>
      <c r="C15" s="15">
        <f>BID!C148</f>
        <v>5</v>
      </c>
      <c r="D15" s="15">
        <f>IF(K15&gt;0,(K15/100)*BID!D148,1*BID!D148)</f>
        <v>40</v>
      </c>
      <c r="E15" s="60">
        <f>IF(K15&gt;0,PR!BO146,IF(BID!K148="WWCV",BID!L148,0))</f>
        <v>14076</v>
      </c>
      <c r="F15" s="61">
        <f t="shared" si="0"/>
        <v>563040</v>
      </c>
      <c r="K15" s="445"/>
    </row>
    <row r="16" spans="1:11" ht="20.25" thickTop="1" thickBot="1" x14ac:dyDescent="0.35">
      <c r="A16" s="430">
        <f>BID!A149</f>
        <v>129</v>
      </c>
      <c r="B16" s="15" t="str">
        <f>BID!B149</f>
        <v>INSULIN GLARGIN</v>
      </c>
      <c r="C16" s="15">
        <f>BID!C149</f>
        <v>5</v>
      </c>
      <c r="D16" s="15">
        <f>IF(K16&gt;0,(K16/100)*BID!D149,1*BID!D149)</f>
        <v>25</v>
      </c>
      <c r="E16" s="60">
        <f>IF(K16&gt;0,PR!BO147,IF(BID!K149="WWCV",BID!L149,0))</f>
        <v>14600</v>
      </c>
      <c r="F16" s="61">
        <f t="shared" si="0"/>
        <v>365000</v>
      </c>
      <c r="K16" s="445">
        <v>50</v>
      </c>
    </row>
    <row r="17" spans="1:11" ht="20.25" thickTop="1" thickBot="1" x14ac:dyDescent="0.35">
      <c r="A17" s="430">
        <f>BID!A155</f>
        <v>135</v>
      </c>
      <c r="B17" s="15" t="str">
        <f>BID!B155</f>
        <v>NOVOMIX INSULIN</v>
      </c>
      <c r="C17" s="15">
        <f>BID!C155</f>
        <v>5</v>
      </c>
      <c r="D17" s="15">
        <f>IF(K17&gt;0,(K17/100)*BID!D155,1*BID!D155)</f>
        <v>80</v>
      </c>
      <c r="E17" s="60">
        <f>IF(K17&gt;0,PR!BO153,IF(BID!K155="WWCV",BID!L155,0))</f>
        <v>16524</v>
      </c>
      <c r="F17" s="61">
        <f t="shared" si="0"/>
        <v>1321920</v>
      </c>
      <c r="K17" s="445"/>
    </row>
    <row r="18" spans="1:11" ht="20.25" thickTop="1" thickBot="1" x14ac:dyDescent="0.35">
      <c r="A18" s="430">
        <f>BID!A157</f>
        <v>137</v>
      </c>
      <c r="B18" s="15" t="str">
        <f>BID!B157</f>
        <v>SOLUBLE INSULIN FLEX-PEN</v>
      </c>
      <c r="C18" s="15">
        <f>BID!C157</f>
        <v>5</v>
      </c>
      <c r="D18" s="15">
        <f>IF(K18&gt;0,(K18/100)*BID!D157,1*BID!D157)</f>
        <v>100</v>
      </c>
      <c r="E18" s="60">
        <f>IF(K18&gt;0,PR!BO155,IF(BID!K157="WWCV",BID!L157,0))</f>
        <v>8160</v>
      </c>
      <c r="F18" s="61">
        <f t="shared" si="0"/>
        <v>816000</v>
      </c>
      <c r="K18" s="445"/>
    </row>
    <row r="19" spans="1:11" ht="20.25" thickTop="1" thickBot="1" x14ac:dyDescent="0.35">
      <c r="A19" s="430">
        <f>BID!A158</f>
        <v>138</v>
      </c>
      <c r="B19" s="15" t="str">
        <f>BID!B158</f>
        <v>SOLUBLE INSULIN INJ  (10ML)</v>
      </c>
      <c r="C19" s="15" t="str">
        <f>BID!C158</f>
        <v>VIAL</v>
      </c>
      <c r="D19" s="15">
        <f>IF(K19&gt;0,(K19/100)*BID!D158,1*BID!D158)</f>
        <v>600</v>
      </c>
      <c r="E19" s="60">
        <f>IF(K19&gt;0,PR!BO156,IF(BID!K158="WWCV",BID!L158,0))</f>
        <v>2992</v>
      </c>
      <c r="F19" s="61">
        <f t="shared" si="0"/>
        <v>1795200</v>
      </c>
      <c r="K19" s="445"/>
    </row>
    <row r="20" spans="1:11" ht="20.25" thickTop="1" thickBot="1" x14ac:dyDescent="0.35">
      <c r="A20" s="430">
        <f>BID!A214</f>
        <v>191</v>
      </c>
      <c r="B20" s="15" t="str">
        <f>BID!B214</f>
        <v>TIZANIDINE 2MG TAB</v>
      </c>
      <c r="C20" s="15">
        <f>BID!C214</f>
        <v>30</v>
      </c>
      <c r="D20" s="15">
        <f>IF(K20&gt;0,(K20/100)*BID!D214,1*BID!D214)</f>
        <v>1600</v>
      </c>
      <c r="E20" s="60">
        <f>IF(K20&gt;0,PR!BO212,IF(BID!K214="WWCV",BID!L214,0))</f>
        <v>1964</v>
      </c>
      <c r="F20" s="61">
        <f t="shared" si="0"/>
        <v>3142400</v>
      </c>
      <c r="K20" s="445">
        <v>80</v>
      </c>
    </row>
    <row r="21" spans="1:11" ht="20.25" thickTop="1" thickBot="1" x14ac:dyDescent="0.35">
      <c r="A21" s="430">
        <f>BID!A590</f>
        <v>533</v>
      </c>
      <c r="B21" s="15" t="str">
        <f>BID!B590</f>
        <v>TOBRAMYCIN EYE DROP</v>
      </c>
      <c r="C21" s="15" t="str">
        <f>BID!C590</f>
        <v>BOTT</v>
      </c>
      <c r="D21" s="15">
        <f>IF(K21&gt;0,(K21/100)*BID!D590,1*BID!D590)</f>
        <v>80</v>
      </c>
      <c r="E21" s="60">
        <f>IF(K21&gt;0,PR!BO588,IF(BID!K590="WWCV",BID!L590,0))</f>
        <v>1343</v>
      </c>
      <c r="F21" s="61">
        <f t="shared" si="0"/>
        <v>107440</v>
      </c>
      <c r="K21" s="445"/>
    </row>
    <row r="22" spans="1:11" ht="20.25" thickTop="1" thickBot="1" x14ac:dyDescent="0.35">
      <c r="A22" s="430">
        <f>BID!A591</f>
        <v>534</v>
      </c>
      <c r="B22" s="15" t="str">
        <f>BID!B591</f>
        <v>TOBRAMYCIN EYE OINTMENT</v>
      </c>
      <c r="C22" s="15" t="str">
        <f>BID!C591</f>
        <v>BOTT</v>
      </c>
      <c r="D22" s="15">
        <f>IF(K22&gt;0,(K22/100)*BID!D591,1*BID!D591)</f>
        <v>40</v>
      </c>
      <c r="E22" s="60">
        <f>IF(K22&gt;0,PR!BO589,IF(BID!K591="WWCV",BID!L591,0))</f>
        <v>1749</v>
      </c>
      <c r="F22" s="61">
        <f t="shared" si="0"/>
        <v>69960</v>
      </c>
      <c r="K22" s="445"/>
    </row>
    <row r="23" spans="1:11" ht="19.5" thickTop="1" x14ac:dyDescent="0.3">
      <c r="A23" s="430"/>
      <c r="B23" s="15"/>
      <c r="C23" s="15"/>
      <c r="D23" s="15"/>
      <c r="E23" s="60"/>
      <c r="F23" s="61"/>
    </row>
    <row r="24" spans="1:11" ht="19.5" thickBot="1" x14ac:dyDescent="0.35">
      <c r="A24" s="430"/>
      <c r="B24" s="15"/>
      <c r="C24" s="15"/>
      <c r="D24" s="15"/>
      <c r="E24" s="60"/>
      <c r="F24" s="442"/>
    </row>
    <row r="25" spans="1:11" ht="21.75" thickBot="1" x14ac:dyDescent="0.4">
      <c r="A25" s="430"/>
      <c r="B25" s="15"/>
      <c r="C25" s="15"/>
      <c r="D25" s="15"/>
      <c r="E25" s="441"/>
      <c r="F25" s="443">
        <f>SUM(F6:F22)</f>
        <v>38293320</v>
      </c>
    </row>
  </sheetData>
  <protectedRanges>
    <protectedRange sqref="K6:K22" name="Range1"/>
    <protectedRange sqref="K4:K5" name="Range1_1"/>
  </protectedRanges>
  <sortState ref="A6:K22">
    <sortCondition ref="B6:B22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6F8CA-F2FC-4D60-B4EA-7D3F70167E14}">
  <sheetPr>
    <tabColor rgb="FF92D050"/>
  </sheetPr>
  <dimension ref="A1:K18"/>
  <sheetViews>
    <sheetView view="pageBreakPreview" zoomScale="85" zoomScaleNormal="100" zoomScaleSheetLayoutView="85" workbookViewId="0">
      <selection activeCell="K1" sqref="K1"/>
    </sheetView>
  </sheetViews>
  <sheetFormatPr defaultColWidth="9.140625" defaultRowHeight="18.75" x14ac:dyDescent="0.3"/>
  <cols>
    <col min="1" max="1" width="10.85546875" style="440" bestFit="1" customWidth="1"/>
    <col min="2" max="2" width="54.5703125" style="62" customWidth="1"/>
    <col min="3" max="3" width="9.28515625" style="134" customWidth="1"/>
    <col min="4" max="4" width="11.140625" style="62" customWidth="1"/>
    <col min="5" max="5" width="23.140625" style="62" customWidth="1"/>
    <col min="6" max="6" width="30.5703125" style="63" customWidth="1"/>
    <col min="11" max="11" width="21" customWidth="1"/>
  </cols>
  <sheetData>
    <row r="1" spans="1:11" ht="39" customHeight="1" x14ac:dyDescent="0.25">
      <c r="A1" s="439"/>
      <c r="B1" s="816" t="str">
        <f>N!B67</f>
        <v>ZOLON HEALTHCARE LIMITED</v>
      </c>
      <c r="C1" s="816"/>
      <c r="D1" s="816"/>
      <c r="E1" s="816"/>
      <c r="F1" s="816"/>
      <c r="K1" t="s">
        <v>615</v>
      </c>
    </row>
    <row r="2" spans="1:11" ht="15.75" thickBot="1" x14ac:dyDescent="0.3">
      <c r="A2" s="436"/>
      <c r="B2"/>
      <c r="C2" s="26"/>
      <c r="D2" s="26"/>
      <c r="E2"/>
      <c r="F2" s="27"/>
    </row>
    <row r="3" spans="1:11" s="8" customFormat="1" ht="39" thickTop="1" thickBot="1" x14ac:dyDescent="0.3">
      <c r="A3" s="430"/>
      <c r="B3" s="20" t="s">
        <v>657</v>
      </c>
      <c r="C3" s="65" t="s">
        <v>874</v>
      </c>
      <c r="D3" s="21" t="s">
        <v>416</v>
      </c>
      <c r="E3" s="21" t="s">
        <v>549</v>
      </c>
      <c r="F3" s="64" t="s">
        <v>550</v>
      </c>
      <c r="K3" s="446" t="s">
        <v>2052</v>
      </c>
    </row>
    <row r="4" spans="1:11" s="8" customFormat="1" ht="20.25" thickTop="1" thickBot="1" x14ac:dyDescent="0.35">
      <c r="A4" s="430"/>
      <c r="B4" s="15"/>
      <c r="C4" s="15"/>
      <c r="D4" s="15"/>
      <c r="E4" s="60"/>
      <c r="F4" s="61"/>
      <c r="K4" s="444"/>
    </row>
    <row r="5" spans="1:11" s="8" customFormat="1" ht="24.75" thickTop="1" thickBot="1" x14ac:dyDescent="0.3">
      <c r="A5" s="430"/>
      <c r="B5" s="820" t="s">
        <v>1488</v>
      </c>
      <c r="C5" s="821"/>
      <c r="D5" s="821"/>
      <c r="E5" s="821"/>
      <c r="F5" s="822"/>
      <c r="K5" s="444"/>
    </row>
    <row r="6" spans="1:11" ht="20.25" thickTop="1" thickBot="1" x14ac:dyDescent="0.35">
      <c r="A6" s="430">
        <f>BID!A22</f>
        <v>10</v>
      </c>
      <c r="B6" s="15" t="str">
        <f>BID!B22</f>
        <v>ARTESUNATE 60MG INJ</v>
      </c>
      <c r="C6" s="15">
        <f>BID!C22</f>
        <v>6</v>
      </c>
      <c r="D6" s="15">
        <f>IF(K6&gt;0,(K6/100)*BID!D22,1*BID!D22)</f>
        <v>225</v>
      </c>
      <c r="E6" s="60">
        <f>IF(K6&gt;0,PR!BP20,IF(BID!K22="ZOLON",BID!L22,0))</f>
        <v>2500</v>
      </c>
      <c r="F6" s="61">
        <f t="shared" ref="F6:F15" si="0">IF(E6&gt;0,(E6*D6),0)</f>
        <v>562500</v>
      </c>
      <c r="K6" s="445">
        <v>30</v>
      </c>
    </row>
    <row r="7" spans="1:11" ht="20.25" thickTop="1" thickBot="1" x14ac:dyDescent="0.35">
      <c r="A7" s="430">
        <f>BID!A75</f>
        <v>57</v>
      </c>
      <c r="B7" s="15" t="str">
        <f>BID!B75</f>
        <v>CLOPIDOGREL 75MG TAB</v>
      </c>
      <c r="C7" s="15">
        <f>BID!C75</f>
        <v>30</v>
      </c>
      <c r="D7" s="15">
        <f>IF(K7&gt;0,(K7/100)*BID!D75,1*BID!D75)</f>
        <v>4000</v>
      </c>
      <c r="E7" s="60">
        <f>IF(K7&gt;0,PR!BP73,IF(BID!K75="ZOLON",BID!L75,0))</f>
        <v>700</v>
      </c>
      <c r="F7" s="61">
        <f t="shared" si="0"/>
        <v>2800000</v>
      </c>
      <c r="K7" s="445">
        <v>50</v>
      </c>
    </row>
    <row r="8" spans="1:11" ht="20.25" thickTop="1" thickBot="1" x14ac:dyDescent="0.35">
      <c r="A8" s="430">
        <f>BID!A267</f>
        <v>241</v>
      </c>
      <c r="B8" s="15" t="str">
        <f>BID!B267</f>
        <v>CLOTRIMAZOLE PESSARY</v>
      </c>
      <c r="C8" s="15">
        <f>BID!C267</f>
        <v>6</v>
      </c>
      <c r="D8" s="15">
        <f>IF(K8&gt;0,(K8/100)*BID!D267,1*BID!D267)</f>
        <v>200</v>
      </c>
      <c r="E8" s="60">
        <f>IF(K8&gt;0,PR!BP265,IF(BID!K267="ZOLON",BID!L267,0))</f>
        <v>200</v>
      </c>
      <c r="F8" s="61">
        <f t="shared" si="0"/>
        <v>40000</v>
      </c>
      <c r="K8" s="445"/>
    </row>
    <row r="9" spans="1:11" ht="20.25" thickTop="1" thickBot="1" x14ac:dyDescent="0.35">
      <c r="A9" s="430">
        <f>BID!A465</f>
        <v>420</v>
      </c>
      <c r="B9" s="15" t="str">
        <f>BID!B465</f>
        <v xml:space="preserve">HEPATITIS B IMMUNOGLOBULIN </v>
      </c>
      <c r="C9" s="15" t="str">
        <f>BID!C465</f>
        <v>VIAL</v>
      </c>
      <c r="D9" s="15">
        <f>IF(K9&gt;0,(K9/100)*BID!D465,1*BID!D465)</f>
        <v>8</v>
      </c>
      <c r="E9" s="60">
        <f>IF(K9&gt;0,PR!BP463,IF(BID!K465="ZOLON",BID!L465,0))</f>
        <v>8000</v>
      </c>
      <c r="F9" s="61">
        <f t="shared" si="0"/>
        <v>64000</v>
      </c>
      <c r="K9" s="445"/>
    </row>
    <row r="10" spans="1:11" ht="20.25" thickTop="1" thickBot="1" x14ac:dyDescent="0.35">
      <c r="A10" s="430">
        <f>BID!A429</f>
        <v>389</v>
      </c>
      <c r="B10" s="15" t="str">
        <f>BID!B429</f>
        <v>MAGNESIUM SULPHATE INJ</v>
      </c>
      <c r="C10" s="15">
        <f>BID!C429</f>
        <v>5</v>
      </c>
      <c r="D10" s="15">
        <f>IF(K10&gt;0,(K10/100)*BID!D429,1*BID!D429)</f>
        <v>200</v>
      </c>
      <c r="E10" s="60">
        <f>IF(K10&gt;0,PR!BP427,IF(BID!K429="ZOLON",BID!L429,0))</f>
        <v>900</v>
      </c>
      <c r="F10" s="61">
        <f t="shared" si="0"/>
        <v>180000</v>
      </c>
      <c r="K10" s="445"/>
    </row>
    <row r="11" spans="1:11" ht="20.25" thickTop="1" thickBot="1" x14ac:dyDescent="0.35">
      <c r="A11" s="430">
        <f>BID!A153</f>
        <v>133</v>
      </c>
      <c r="B11" s="15" t="str">
        <f>BID!B153</f>
        <v>METFORMIN HCL 1000MG TAB</v>
      </c>
      <c r="C11" s="15">
        <f>BID!C153</f>
        <v>100</v>
      </c>
      <c r="D11" s="15">
        <f>IF(K11&gt;0,(K11/100)*BID!D153,1*BID!D153)</f>
        <v>2000</v>
      </c>
      <c r="E11" s="60">
        <f>IF(K11&gt;0,PR!BP151,IF(BID!K153="ZOLON",BID!L153,0))</f>
        <v>2300</v>
      </c>
      <c r="F11" s="61">
        <f t="shared" si="0"/>
        <v>4600000</v>
      </c>
      <c r="K11" s="445"/>
    </row>
    <row r="12" spans="1:11" ht="20.25" thickTop="1" thickBot="1" x14ac:dyDescent="0.35">
      <c r="A12" s="430">
        <f>BID!A491</f>
        <v>443</v>
      </c>
      <c r="B12" s="15" t="str">
        <f>BID!B491</f>
        <v>OMEPRAZOLE/CLARITHROMYCIN+TINIDAZOLE CAP</v>
      </c>
      <c r="C12" s="15">
        <f>BID!C491</f>
        <v>42</v>
      </c>
      <c r="D12" s="15">
        <f>IF(K12&gt;0,(K12/100)*BID!D491,1*BID!D491)</f>
        <v>208</v>
      </c>
      <c r="E12" s="60">
        <f>IF(K12&gt;0,PR!BP489,IF(BID!K491="ZOLON",BID!L491,0))</f>
        <v>1900</v>
      </c>
      <c r="F12" s="61">
        <f t="shared" si="0"/>
        <v>395200</v>
      </c>
      <c r="K12" s="445"/>
    </row>
    <row r="13" spans="1:11" ht="20.25" thickTop="1" thickBot="1" x14ac:dyDescent="0.35">
      <c r="A13" s="664">
        <v>184</v>
      </c>
      <c r="B13" s="15" t="s">
        <v>745</v>
      </c>
      <c r="C13" s="15">
        <v>10</v>
      </c>
      <c r="D13" s="15">
        <f>(120-84)*10</f>
        <v>360</v>
      </c>
      <c r="E13" s="60">
        <v>750</v>
      </c>
      <c r="F13" s="61">
        <f t="shared" si="0"/>
        <v>270000</v>
      </c>
      <c r="K13" s="445"/>
    </row>
    <row r="14" spans="1:11" ht="20.25" thickTop="1" thickBot="1" x14ac:dyDescent="0.35">
      <c r="A14" s="430">
        <f>BID!A116</f>
        <v>98</v>
      </c>
      <c r="B14" s="15" t="str">
        <f>BID!B116</f>
        <v>ROSUVASTATIN 10MG</v>
      </c>
      <c r="C14" s="15">
        <f>BID!C116</f>
        <v>30</v>
      </c>
      <c r="D14" s="15">
        <f>IF(K14&gt;0,(K14/100)*BID!D116,1*BID!D116)</f>
        <v>2400</v>
      </c>
      <c r="E14" s="60">
        <f>IF(K14&gt;0,PR!BP114,IF(BID!K116="ZOLON",BID!L116,0))</f>
        <v>1700</v>
      </c>
      <c r="F14" s="61">
        <f t="shared" si="0"/>
        <v>4080000</v>
      </c>
      <c r="K14" s="445">
        <v>80</v>
      </c>
    </row>
    <row r="15" spans="1:11" ht="20.25" thickTop="1" thickBot="1" x14ac:dyDescent="0.35">
      <c r="A15" s="430">
        <f>BID!A117</f>
        <v>99</v>
      </c>
      <c r="B15" s="15" t="str">
        <f>BID!B117</f>
        <v xml:space="preserve">ROSUVASTATIN 20MG </v>
      </c>
      <c r="C15" s="15">
        <f>BID!C117</f>
        <v>30</v>
      </c>
      <c r="D15" s="15">
        <f>IF(K15&gt;0,(K15/100)*BID!D117,1*BID!D117)</f>
        <v>120</v>
      </c>
      <c r="E15" s="60">
        <f>IF(K15&gt;0,PR!BP115,IF(BID!K117="ZOLON",BID!L117,0))</f>
        <v>2300</v>
      </c>
      <c r="F15" s="61">
        <f t="shared" si="0"/>
        <v>276000</v>
      </c>
      <c r="K15" s="445">
        <v>50</v>
      </c>
    </row>
    <row r="16" spans="1:11" ht="19.5" thickTop="1" x14ac:dyDescent="0.3">
      <c r="A16" s="430"/>
      <c r="B16" s="15"/>
      <c r="C16" s="15"/>
      <c r="D16" s="15"/>
      <c r="E16" s="60"/>
      <c r="F16" s="61"/>
    </row>
    <row r="17" spans="1:6" ht="19.5" thickBot="1" x14ac:dyDescent="0.35">
      <c r="A17" s="430"/>
      <c r="B17" s="15"/>
      <c r="C17" s="15"/>
      <c r="D17" s="15"/>
      <c r="E17" s="60"/>
      <c r="F17" s="442"/>
    </row>
    <row r="18" spans="1:6" ht="21.75" thickBot="1" x14ac:dyDescent="0.4">
      <c r="A18" s="430"/>
      <c r="B18" s="15"/>
      <c r="C18" s="15"/>
      <c r="D18" s="15"/>
      <c r="E18" s="441"/>
      <c r="F18" s="443">
        <f>SUM(F6:F15)</f>
        <v>13267700</v>
      </c>
    </row>
  </sheetData>
  <sheetProtection algorithmName="SHA-512" hashValue="L9oKbXgocyyFPbCebyDvnc12PBGOf+Ty3lCA1eqQXOWnpZIP+WpVoRJKadUnMEmNSAIlxZaDnc3IVIhM3vAnjw==" saltValue="GWOQR4CqWau+MXjIcl9J5A==" spinCount="100000" sheet="1" objects="1" scenarios="1"/>
  <protectedRanges>
    <protectedRange sqref="K6:K15" name="Range1"/>
    <protectedRange sqref="K4:K5" name="Range1_1"/>
  </protectedRanges>
  <sortState ref="A6:K15">
    <sortCondition ref="B6:B15"/>
  </sortState>
  <mergeCells count="2">
    <mergeCell ref="B1:F1"/>
    <mergeCell ref="B5:F5"/>
  </mergeCells>
  <pageMargins left="0.25" right="0.25" top="0.75" bottom="0.75" header="0.3" footer="0.3"/>
  <pageSetup paperSize="9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49A7B-DC9C-4F7C-BB0B-E5BD403D478D}">
  <dimension ref="A1:H914"/>
  <sheetViews>
    <sheetView view="pageBreakPreview" topLeftCell="A168" zoomScale="70" zoomScaleNormal="70" zoomScaleSheetLayoutView="70" workbookViewId="0">
      <selection activeCell="A180" sqref="A180:XFD180"/>
    </sheetView>
  </sheetViews>
  <sheetFormatPr defaultColWidth="20" defaultRowHeight="21" x14ac:dyDescent="0.35"/>
  <cols>
    <col min="1" max="1" width="6.85546875" style="42" customWidth="1"/>
    <col min="2" max="2" width="11.140625" style="42" bestFit="1" customWidth="1"/>
    <col min="3" max="3" width="90.140625" style="8" customWidth="1"/>
    <col min="4" max="4" width="12.5703125" style="649" bestFit="1" customWidth="1"/>
    <col min="5" max="5" width="13.5703125" style="75" customWidth="1"/>
    <col min="6" max="6" width="20.140625" style="71" bestFit="1" customWidth="1"/>
    <col min="7" max="7" width="22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1488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ALPHA!B1</f>
        <v>ALPHA PHARMACY AND STORES LTD</v>
      </c>
      <c r="D7" s="648"/>
      <c r="E7" s="35"/>
      <c r="F7" s="38"/>
      <c r="G7" s="38"/>
      <c r="H7" s="38"/>
    </row>
    <row r="8" spans="1:8" s="42" customFormat="1" ht="18.75" x14ac:dyDescent="0.3">
      <c r="A8" s="35"/>
      <c r="B8" s="653">
        <f>ALPHA!A6</f>
        <v>469</v>
      </c>
      <c r="C8" s="653" t="str">
        <f>ALPHA!B6</f>
        <v>ADRENALINE INJ</v>
      </c>
      <c r="D8" s="654">
        <f>ALPHA!C6</f>
        <v>100</v>
      </c>
      <c r="E8" s="653">
        <f>ALPHA!D6</f>
        <v>12</v>
      </c>
      <c r="F8" s="38">
        <f>ALPHA!E6</f>
        <v>30000</v>
      </c>
      <c r="G8" s="38">
        <f>ALPHA!F6</f>
        <v>360000</v>
      </c>
      <c r="H8" s="38"/>
    </row>
    <row r="9" spans="1:8" s="42" customFormat="1" ht="18.75" x14ac:dyDescent="0.3">
      <c r="A9" s="35"/>
      <c r="B9" s="653">
        <f>ALPHA!A7</f>
        <v>396</v>
      </c>
      <c r="C9" s="653" t="str">
        <f>ALPHA!B7</f>
        <v>ATRACURIUM INJ</v>
      </c>
      <c r="D9" s="654">
        <f>ALPHA!C7</f>
        <v>5</v>
      </c>
      <c r="E9" s="653">
        <f>ALPHA!D7</f>
        <v>120</v>
      </c>
      <c r="F9" s="38">
        <f>ALPHA!E7</f>
        <v>9000</v>
      </c>
      <c r="G9" s="38">
        <f>ALPHA!F7</f>
        <v>1080000</v>
      </c>
      <c r="H9" s="38"/>
    </row>
    <row r="10" spans="1:8" s="42" customFormat="1" ht="18.75" x14ac:dyDescent="0.3">
      <c r="A10" s="35"/>
      <c r="B10" s="653">
        <f>ALPHA!A8</f>
        <v>397</v>
      </c>
      <c r="C10" s="653" t="str">
        <f>ALPHA!B8</f>
        <v>ATROPINE INJ</v>
      </c>
      <c r="D10" s="654">
        <f>ALPHA!C8</f>
        <v>10</v>
      </c>
      <c r="E10" s="653">
        <f>ALPHA!D8</f>
        <v>300</v>
      </c>
      <c r="F10" s="38">
        <f>ALPHA!E8</f>
        <v>3000</v>
      </c>
      <c r="G10" s="38">
        <f>ALPHA!F8</f>
        <v>900000</v>
      </c>
      <c r="H10" s="38"/>
    </row>
    <row r="11" spans="1:8" s="42" customFormat="1" ht="18.75" x14ac:dyDescent="0.3">
      <c r="A11" s="35"/>
      <c r="B11" s="653">
        <f>ALPHA!A9</f>
        <v>585</v>
      </c>
      <c r="C11" s="653" t="str">
        <f>ALPHA!B9</f>
        <v>COLOSTOMY BAG</v>
      </c>
      <c r="D11" s="654">
        <f>ALPHA!C9</f>
        <v>30</v>
      </c>
      <c r="E11" s="653">
        <f>ALPHA!D9</f>
        <v>20</v>
      </c>
      <c r="F11" s="38">
        <f>ALPHA!E9</f>
        <v>34500</v>
      </c>
      <c r="G11" s="38">
        <f>ALPHA!F9</f>
        <v>690000</v>
      </c>
      <c r="H11" s="38"/>
    </row>
    <row r="12" spans="1:8" s="42" customFormat="1" ht="18.75" x14ac:dyDescent="0.3">
      <c r="A12" s="35"/>
      <c r="B12" s="653">
        <f>ALPHA!A10</f>
        <v>590</v>
      </c>
      <c r="C12" s="653" t="str">
        <f>ALPHA!B10</f>
        <v>COTTON WOOL 50G</v>
      </c>
      <c r="D12" s="654">
        <f>ALPHA!C10</f>
        <v>100</v>
      </c>
      <c r="E12" s="653">
        <f>ALPHA!D10</f>
        <v>400</v>
      </c>
      <c r="F12" s="38">
        <f>ALPHA!E10</f>
        <v>8000</v>
      </c>
      <c r="G12" s="38">
        <f>ALPHA!F10</f>
        <v>3200000</v>
      </c>
      <c r="H12" s="38"/>
    </row>
    <row r="13" spans="1:8" s="42" customFormat="1" ht="18.75" x14ac:dyDescent="0.3">
      <c r="A13" s="35"/>
      <c r="B13" s="653">
        <f>ALPHA!A11</f>
        <v>300</v>
      </c>
      <c r="C13" s="653" t="str">
        <f>ALPHA!B11</f>
        <v>ENOXAPARIN 40MG INJ</v>
      </c>
      <c r="D13" s="654" t="str">
        <f>ALPHA!C11</f>
        <v>AMP</v>
      </c>
      <c r="E13" s="653">
        <f>ALPHA!D11</f>
        <v>979.99999999999989</v>
      </c>
      <c r="F13" s="38">
        <f>ALPHA!E11</f>
        <v>1670</v>
      </c>
      <c r="G13" s="38">
        <f>ALPHA!F11</f>
        <v>1636599.9999999998</v>
      </c>
      <c r="H13" s="38"/>
    </row>
    <row r="14" spans="1:8" s="42" customFormat="1" ht="18.75" x14ac:dyDescent="0.3">
      <c r="A14" s="35"/>
      <c r="B14" s="653">
        <f>ALPHA!A12</f>
        <v>385</v>
      </c>
      <c r="C14" s="653" t="str">
        <f>ALPHA!B12</f>
        <v>ERGOMETRINE 500MCG INJ</v>
      </c>
      <c r="D14" s="654">
        <f>ALPHA!C12</f>
        <v>100</v>
      </c>
      <c r="E14" s="653">
        <f>ALPHA!D12</f>
        <v>20</v>
      </c>
      <c r="F14" s="38">
        <f>ALPHA!E12</f>
        <v>25000</v>
      </c>
      <c r="G14" s="38">
        <f>ALPHA!F12</f>
        <v>500000</v>
      </c>
      <c r="H14" s="38"/>
    </row>
    <row r="15" spans="1:8" s="42" customFormat="1" ht="18.75" x14ac:dyDescent="0.3">
      <c r="A15" s="35"/>
      <c r="B15" s="653">
        <f>ALPHA!A13</f>
        <v>510</v>
      </c>
      <c r="C15" s="653" t="str">
        <f>ALPHA!B13</f>
        <v>EYE ANTI-OXIDANT TAB</v>
      </c>
      <c r="D15" s="654">
        <f>ALPHA!C13</f>
        <v>120</v>
      </c>
      <c r="E15" s="653">
        <f>ALPHA!D13</f>
        <v>80</v>
      </c>
      <c r="F15" s="38">
        <f>ALPHA!E13</f>
        <v>9000</v>
      </c>
      <c r="G15" s="38">
        <f>ALPHA!F13</f>
        <v>720000</v>
      </c>
      <c r="H15" s="38"/>
    </row>
    <row r="16" spans="1:8" s="42" customFormat="1" ht="18.75" x14ac:dyDescent="0.3">
      <c r="A16" s="35"/>
      <c r="B16" s="653">
        <f>ALPHA!A14</f>
        <v>401</v>
      </c>
      <c r="C16" s="653" t="str">
        <f>ALPHA!B14</f>
        <v>GLYCOPYRULLATE INJ</v>
      </c>
      <c r="D16" s="654">
        <f>ALPHA!C14</f>
        <v>100</v>
      </c>
      <c r="E16" s="653">
        <f>ALPHA!D14</f>
        <v>4</v>
      </c>
      <c r="F16" s="38">
        <f>ALPHA!E14</f>
        <v>80000</v>
      </c>
      <c r="G16" s="38">
        <f>ALPHA!F14</f>
        <v>320000</v>
      </c>
      <c r="H16" s="38"/>
    </row>
    <row r="17" spans="1:8" s="42" customFormat="1" ht="18.75" x14ac:dyDescent="0.3">
      <c r="A17" s="35"/>
      <c r="B17" s="653">
        <f>ALPHA!A15</f>
        <v>402</v>
      </c>
      <c r="C17" s="653" t="str">
        <f>ALPHA!B15</f>
        <v>HALOTHANE</v>
      </c>
      <c r="D17" s="654" t="str">
        <f>ALPHA!C15</f>
        <v>250ML</v>
      </c>
      <c r="E17" s="653">
        <f>ALPHA!D15</f>
        <v>12</v>
      </c>
      <c r="F17" s="38">
        <f>ALPHA!E15</f>
        <v>16500</v>
      </c>
      <c r="G17" s="38">
        <f>ALPHA!F15</f>
        <v>198000</v>
      </c>
      <c r="H17" s="38"/>
    </row>
    <row r="18" spans="1:8" s="42" customFormat="1" ht="18.75" x14ac:dyDescent="0.3">
      <c r="A18" s="35"/>
      <c r="B18" s="653">
        <f>ALPHA!A16</f>
        <v>403</v>
      </c>
      <c r="C18" s="653" t="str">
        <f>ALPHA!B16</f>
        <v>HEAVY MARCAINE INJ</v>
      </c>
      <c r="D18" s="654">
        <f>ALPHA!C16</f>
        <v>10</v>
      </c>
      <c r="E18" s="653">
        <f>ALPHA!D16</f>
        <v>75.599999999999994</v>
      </c>
      <c r="F18" s="38">
        <f>ALPHA!E16</f>
        <v>10000</v>
      </c>
      <c r="G18" s="38">
        <f>ALPHA!F16</f>
        <v>756000</v>
      </c>
      <c r="H18" s="38"/>
    </row>
    <row r="19" spans="1:8" s="42" customFormat="1" ht="18.75" x14ac:dyDescent="0.3">
      <c r="A19" s="35"/>
      <c r="B19" s="653">
        <f>ALPHA!A17</f>
        <v>309</v>
      </c>
      <c r="C19" s="653" t="str">
        <f>ALPHA!B17</f>
        <v>HEPARIN INJ</v>
      </c>
      <c r="D19" s="654" t="str">
        <f>ALPHA!C17</f>
        <v>VIAL</v>
      </c>
      <c r="E19" s="653">
        <f>ALPHA!D17</f>
        <v>1000</v>
      </c>
      <c r="F19" s="38">
        <f>ALPHA!E17</f>
        <v>2800</v>
      </c>
      <c r="G19" s="38">
        <f>ALPHA!F17</f>
        <v>2800000</v>
      </c>
      <c r="H19" s="38"/>
    </row>
    <row r="20" spans="1:8" s="42" customFormat="1" ht="18.75" x14ac:dyDescent="0.3">
      <c r="A20" s="35"/>
      <c r="B20" s="653">
        <f>ALPHA!A18</f>
        <v>404</v>
      </c>
      <c r="C20" s="653" t="str">
        <f>ALPHA!B18</f>
        <v>ISOFLUORANE</v>
      </c>
      <c r="D20" s="654" t="str">
        <f>ALPHA!C18</f>
        <v>250ML</v>
      </c>
      <c r="E20" s="653">
        <f>ALPHA!D18</f>
        <v>120</v>
      </c>
      <c r="F20" s="38">
        <f>ALPHA!E18</f>
        <v>19500</v>
      </c>
      <c r="G20" s="38">
        <f>ALPHA!F18</f>
        <v>2340000</v>
      </c>
      <c r="H20" s="38"/>
    </row>
    <row r="21" spans="1:8" s="42" customFormat="1" ht="18.75" x14ac:dyDescent="0.3">
      <c r="A21" s="35"/>
      <c r="B21" s="653">
        <f>ALPHA!A19</f>
        <v>257</v>
      </c>
      <c r="C21" s="653" t="str">
        <f>ALPHA!B19</f>
        <v>ITRACONAZOLE CAP</v>
      </c>
      <c r="D21" s="654">
        <f>ALPHA!C19</f>
        <v>10</v>
      </c>
      <c r="E21" s="653">
        <f>ALPHA!D19</f>
        <v>100</v>
      </c>
      <c r="F21" s="38">
        <f>ALPHA!E19</f>
        <v>2300</v>
      </c>
      <c r="G21" s="38">
        <f>ALPHA!F19</f>
        <v>230000</v>
      </c>
      <c r="H21" s="38"/>
    </row>
    <row r="22" spans="1:8" s="42" customFormat="1" ht="18.75" x14ac:dyDescent="0.3">
      <c r="A22" s="35"/>
      <c r="B22" s="653">
        <f>ALPHA!A20</f>
        <v>405</v>
      </c>
      <c r="C22" s="653" t="str">
        <f>ALPHA!B20</f>
        <v>KETAMINE HCL 50MG/ML INJ</v>
      </c>
      <c r="D22" s="654">
        <f>ALPHA!C20</f>
        <v>25</v>
      </c>
      <c r="E22" s="653">
        <f>ALPHA!D20</f>
        <v>12</v>
      </c>
      <c r="F22" s="38">
        <f>ALPHA!E20</f>
        <v>30000</v>
      </c>
      <c r="G22" s="38">
        <f>ALPHA!F20</f>
        <v>360000</v>
      </c>
      <c r="H22" s="38"/>
    </row>
    <row r="23" spans="1:8" s="42" customFormat="1" ht="18.75" x14ac:dyDescent="0.3">
      <c r="A23" s="35"/>
      <c r="B23" s="653">
        <f>ALPHA!A21</f>
        <v>387</v>
      </c>
      <c r="C23" s="653" t="str">
        <f>ALPHA!B21</f>
        <v>LEUPROLIDE ACETATE 3.75MG INJ</v>
      </c>
      <c r="D23" s="654">
        <f>ALPHA!C21</f>
        <v>1</v>
      </c>
      <c r="E23" s="653">
        <f>ALPHA!D21</f>
        <v>20</v>
      </c>
      <c r="F23" s="38">
        <f>ALPHA!E21</f>
        <v>24000</v>
      </c>
      <c r="G23" s="38">
        <f>ALPHA!F21</f>
        <v>480000</v>
      </c>
      <c r="H23" s="38"/>
    </row>
    <row r="24" spans="1:8" s="42" customFormat="1" ht="18.75" x14ac:dyDescent="0.3">
      <c r="A24" s="35"/>
      <c r="B24" s="653">
        <f>ALPHA!A22</f>
        <v>406</v>
      </c>
      <c r="C24" s="653" t="str">
        <f>ALPHA!B22</f>
        <v>LIGHT MARCAINE INJ</v>
      </c>
      <c r="D24" s="654">
        <f>ALPHA!C22</f>
        <v>10</v>
      </c>
      <c r="E24" s="653">
        <f>ALPHA!D22</f>
        <v>40</v>
      </c>
      <c r="F24" s="38">
        <f>ALPHA!E22</f>
        <v>9500</v>
      </c>
      <c r="G24" s="38">
        <f>ALPHA!F22</f>
        <v>380000</v>
      </c>
      <c r="H24" s="38"/>
    </row>
    <row r="25" spans="1:8" s="42" customFormat="1" ht="18.75" x14ac:dyDescent="0.3">
      <c r="A25" s="35"/>
      <c r="B25" s="653">
        <f>ALPHA!A23</f>
        <v>407</v>
      </c>
      <c r="C25" s="653" t="str">
        <f>ALPHA!B23</f>
        <v>MIDAZOLAM INJ</v>
      </c>
      <c r="D25" s="654">
        <f>ALPHA!C23</f>
        <v>10</v>
      </c>
      <c r="E25" s="653">
        <f>ALPHA!D23</f>
        <v>25</v>
      </c>
      <c r="F25" s="38">
        <f>ALPHA!E23</f>
        <v>18000</v>
      </c>
      <c r="G25" s="38">
        <f>ALPHA!F23</f>
        <v>450000</v>
      </c>
      <c r="H25" s="35"/>
    </row>
    <row r="26" spans="1:8" s="42" customFormat="1" ht="18.75" x14ac:dyDescent="0.3">
      <c r="A26" s="35"/>
      <c r="B26" s="653">
        <f>ALPHA!A24</f>
        <v>408</v>
      </c>
      <c r="C26" s="653" t="str">
        <f>ALPHA!B24</f>
        <v>NEOSTIGMINE INJ</v>
      </c>
      <c r="D26" s="654">
        <f>ALPHA!C24</f>
        <v>100</v>
      </c>
      <c r="E26" s="653">
        <f>ALPHA!D24</f>
        <v>6</v>
      </c>
      <c r="F26" s="38">
        <f>ALPHA!E24</f>
        <v>65000</v>
      </c>
      <c r="G26" s="38">
        <f>ALPHA!F24</f>
        <v>390000</v>
      </c>
      <c r="H26" s="35"/>
    </row>
    <row r="27" spans="1:8" s="42" customFormat="1" ht="18.75" x14ac:dyDescent="0.3">
      <c r="A27" s="35"/>
      <c r="B27" s="653">
        <f>ALPHA!A25</f>
        <v>272</v>
      </c>
      <c r="C27" s="653" t="str">
        <f>ALPHA!B25</f>
        <v>NYSTATIN ORAL DROPS (100,000 IU/ML)</v>
      </c>
      <c r="D27" s="654" t="str">
        <f>ALPHA!C25</f>
        <v>BOTT</v>
      </c>
      <c r="E27" s="653">
        <f>ALPHA!D25</f>
        <v>100</v>
      </c>
      <c r="F27" s="38">
        <f>ALPHA!E25</f>
        <v>300</v>
      </c>
      <c r="G27" s="38">
        <f>ALPHA!F25</f>
        <v>30000</v>
      </c>
      <c r="H27" s="38"/>
    </row>
    <row r="28" spans="1:8" s="42" customFormat="1" ht="18.75" x14ac:dyDescent="0.3">
      <c r="A28" s="35"/>
      <c r="B28" s="653">
        <f>ALPHA!A26</f>
        <v>393</v>
      </c>
      <c r="C28" s="653" t="str">
        <f>ALPHA!B26</f>
        <v>OXYTOCIN INJ</v>
      </c>
      <c r="D28" s="654">
        <f>ALPHA!C26</f>
        <v>100</v>
      </c>
      <c r="E28" s="653">
        <f>ALPHA!D26</f>
        <v>144</v>
      </c>
      <c r="F28" s="38">
        <f>ALPHA!E26</f>
        <v>24000</v>
      </c>
      <c r="G28" s="38">
        <f>ALPHA!F26</f>
        <v>3456000</v>
      </c>
      <c r="H28" s="38"/>
    </row>
    <row r="29" spans="1:8" s="42" customFormat="1" ht="18.75" x14ac:dyDescent="0.3">
      <c r="A29" s="35"/>
      <c r="B29" s="653">
        <f>ALPHA!A27</f>
        <v>409</v>
      </c>
      <c r="C29" s="653" t="str">
        <f>ALPHA!B27</f>
        <v>PANCURONIUM INJ</v>
      </c>
      <c r="D29" s="654" t="str">
        <f>ALPHA!C27</f>
        <v>AMP</v>
      </c>
      <c r="E29" s="653">
        <f>ALPHA!D27</f>
        <v>800</v>
      </c>
      <c r="F29" s="38">
        <f>ALPHA!E27</f>
        <v>650</v>
      </c>
      <c r="G29" s="38">
        <f>ALPHA!F27</f>
        <v>520000</v>
      </c>
      <c r="H29" s="38"/>
    </row>
    <row r="30" spans="1:8" s="42" customFormat="1" ht="18.75" x14ac:dyDescent="0.3">
      <c r="A30" s="35"/>
      <c r="B30" s="653">
        <f>ALPHA!A28</f>
        <v>323</v>
      </c>
      <c r="C30" s="653" t="str">
        <f>ALPHA!B28</f>
        <v>POTASSIUM CHLORIDE INJ</v>
      </c>
      <c r="D30" s="654" t="str">
        <f>ALPHA!C28</f>
        <v>AMP</v>
      </c>
      <c r="E30" s="653">
        <f>ALPHA!D28</f>
        <v>2000</v>
      </c>
      <c r="F30" s="38">
        <f>ALPHA!E28</f>
        <v>560</v>
      </c>
      <c r="G30" s="38">
        <f>ALPHA!F28</f>
        <v>1120000</v>
      </c>
      <c r="H30" s="38"/>
    </row>
    <row r="31" spans="1:8" s="42" customFormat="1" ht="23.25" x14ac:dyDescent="0.35">
      <c r="A31" s="35"/>
      <c r="B31" s="653">
        <f>ALPHA!A29</f>
        <v>466</v>
      </c>
      <c r="C31" s="653" t="str">
        <f>ALPHA!B29</f>
        <v>SALBUTAMOL NEBULES 2.5MG</v>
      </c>
      <c r="D31" s="654">
        <f>ALPHA!C29</f>
        <v>20</v>
      </c>
      <c r="E31" s="653">
        <f>ALPHA!D29</f>
        <v>100</v>
      </c>
      <c r="F31" s="38">
        <f>ALPHA!E29</f>
        <v>2850</v>
      </c>
      <c r="G31" s="38">
        <f>ALPHA!F29</f>
        <v>285000</v>
      </c>
      <c r="H31" s="79"/>
    </row>
    <row r="32" spans="1:8" s="42" customFormat="1" ht="18.75" x14ac:dyDescent="0.3">
      <c r="A32" s="35"/>
      <c r="B32" s="653">
        <f>ALPHA!A30</f>
        <v>467</v>
      </c>
      <c r="C32" s="653" t="str">
        <f>ALPHA!B30</f>
        <v>SALBUTAMOL NEBULES 5MG</v>
      </c>
      <c r="D32" s="654">
        <f>ALPHA!C30</f>
        <v>20</v>
      </c>
      <c r="E32" s="653">
        <f>ALPHA!D30</f>
        <v>40</v>
      </c>
      <c r="F32" s="38">
        <f>ALPHA!E30</f>
        <v>3850</v>
      </c>
      <c r="G32" s="38">
        <f>ALPHA!F30</f>
        <v>154000</v>
      </c>
      <c r="H32" s="38"/>
    </row>
    <row r="33" spans="1:8" s="42" customFormat="1" ht="18.75" x14ac:dyDescent="0.3">
      <c r="A33" s="35"/>
      <c r="B33" s="653">
        <f>ALPHA!A31</f>
        <v>411</v>
      </c>
      <c r="C33" s="653" t="str">
        <f>ALPHA!B31</f>
        <v>SEVOFLUORANE</v>
      </c>
      <c r="D33" s="654" t="str">
        <f>ALPHA!C31</f>
        <v>250ML</v>
      </c>
      <c r="E33" s="653">
        <f>ALPHA!D31</f>
        <v>60</v>
      </c>
      <c r="F33" s="38">
        <f>ALPHA!E31</f>
        <v>60000</v>
      </c>
      <c r="G33" s="38">
        <f>ALPHA!F31</f>
        <v>3600000</v>
      </c>
      <c r="H33" s="38"/>
    </row>
    <row r="34" spans="1:8" s="42" customFormat="1" ht="18.75" x14ac:dyDescent="0.3">
      <c r="A34" s="35"/>
      <c r="B34" s="653">
        <f>ALPHA!A32</f>
        <v>189</v>
      </c>
      <c r="C34" s="653" t="str">
        <f>ALPHA!B32</f>
        <v>SULPHASALAZINE 500MG TAB</v>
      </c>
      <c r="D34" s="654">
        <f>ALPHA!C32</f>
        <v>100</v>
      </c>
      <c r="E34" s="653">
        <f>ALPHA!D32</f>
        <v>50</v>
      </c>
      <c r="F34" s="38">
        <f>ALPHA!E32</f>
        <v>8500</v>
      </c>
      <c r="G34" s="38">
        <f>ALPHA!F32</f>
        <v>425000</v>
      </c>
      <c r="H34" s="35"/>
    </row>
    <row r="35" spans="1:8" s="42" customFormat="1" ht="23.25" x14ac:dyDescent="0.35">
      <c r="A35" s="35"/>
      <c r="B35" s="653">
        <f>ALPHA!A33</f>
        <v>413</v>
      </c>
      <c r="C35" s="653" t="str">
        <f>ALPHA!B33</f>
        <v>SUXAMETHONIUM INJ</v>
      </c>
      <c r="D35" s="654" t="str">
        <f>ALPHA!C33</f>
        <v>AMP</v>
      </c>
      <c r="E35" s="653">
        <f>ALPHA!D33</f>
        <v>300</v>
      </c>
      <c r="F35" s="38">
        <f>ALPHA!E33</f>
        <v>600</v>
      </c>
      <c r="G35" s="38">
        <f>ALPHA!F33</f>
        <v>180000</v>
      </c>
      <c r="H35" s="186">
        <f>SUM(G8:G35)</f>
        <v>27560600</v>
      </c>
    </row>
    <row r="36" spans="1:8" s="42" customFormat="1" ht="18.75" x14ac:dyDescent="0.3">
      <c r="A36" s="35"/>
      <c r="B36" s="653"/>
      <c r="C36" s="653"/>
      <c r="D36" s="654"/>
      <c r="E36" s="653"/>
      <c r="F36" s="38"/>
      <c r="G36" s="38"/>
    </row>
    <row r="37" spans="1:8" s="42" customFormat="1" ht="23.25" x14ac:dyDescent="0.35">
      <c r="A37" s="35">
        <v>2</v>
      </c>
      <c r="B37" s="35"/>
      <c r="C37" s="77" t="str">
        <f>BIOFEM!B1</f>
        <v>BIOFEM PHARMACEUTICALS LIMITED</v>
      </c>
      <c r="D37" s="648"/>
      <c r="E37" s="35"/>
      <c r="F37" s="38"/>
      <c r="G37" s="38"/>
      <c r="H37" s="35"/>
    </row>
    <row r="38" spans="1:8" s="42" customFormat="1" ht="18.75" x14ac:dyDescent="0.3">
      <c r="A38" s="35"/>
      <c r="B38" s="653">
        <f>BIOFEM!A6</f>
        <v>416</v>
      </c>
      <c r="C38" s="653" t="str">
        <f>BIOFEM!B6</f>
        <v>ANTI D IMMUNOGLOBULIN</v>
      </c>
      <c r="D38" s="654" t="str">
        <f>BIOFEM!C6</f>
        <v>VIAL</v>
      </c>
      <c r="E38" s="653">
        <f>BIOFEM!D6</f>
        <v>40</v>
      </c>
      <c r="F38" s="38">
        <f>BIOFEM!E6</f>
        <v>19500</v>
      </c>
      <c r="G38" s="38">
        <f>BIOFEM!F6</f>
        <v>780000</v>
      </c>
      <c r="H38" s="35"/>
    </row>
    <row r="39" spans="1:8" s="42" customFormat="1" ht="18.75" x14ac:dyDescent="0.3">
      <c r="A39" s="35"/>
      <c r="B39" s="653">
        <f>BIOFEM!A7</f>
        <v>297</v>
      </c>
      <c r="C39" s="653" t="str">
        <f>BIOFEM!B7</f>
        <v>COD LIVER OIL (LIQUID)</v>
      </c>
      <c r="D39" s="654" t="str">
        <f>BIOFEM!C7</f>
        <v>BOTT</v>
      </c>
      <c r="E39" s="653">
        <f>BIOFEM!D7</f>
        <v>100</v>
      </c>
      <c r="F39" s="38">
        <f>BIOFEM!E7</f>
        <v>1827</v>
      </c>
      <c r="G39" s="38">
        <f>BIOFEM!F7</f>
        <v>182700</v>
      </c>
      <c r="H39" s="35"/>
    </row>
    <row r="40" spans="1:8" s="42" customFormat="1" ht="18.75" x14ac:dyDescent="0.3">
      <c r="A40" s="35"/>
      <c r="B40" s="653">
        <f>BIOFEM!A8</f>
        <v>366</v>
      </c>
      <c r="C40" s="653" t="str">
        <f>BIOFEM!B8</f>
        <v>GABAPENTIN+METHYLCOBALAMIN (500MCG/300MG)</v>
      </c>
      <c r="D40" s="654">
        <f>BIOFEM!C8</f>
        <v>100</v>
      </c>
      <c r="E40" s="653">
        <f>BIOFEM!D8</f>
        <v>500</v>
      </c>
      <c r="F40" s="38">
        <f>BIOFEM!E8</f>
        <v>6800</v>
      </c>
      <c r="G40" s="38">
        <f>BIOFEM!F8</f>
        <v>3400000</v>
      </c>
      <c r="H40" s="35"/>
    </row>
    <row r="41" spans="1:8" s="42" customFormat="1" ht="23.25" x14ac:dyDescent="0.35">
      <c r="A41" s="35"/>
      <c r="B41" s="653">
        <f>BIOFEM!A9</f>
        <v>168</v>
      </c>
      <c r="C41" s="653" t="str">
        <f>BIOFEM!B9</f>
        <v>MELOXICAM 15MG TAB</v>
      </c>
      <c r="D41" s="654">
        <f>BIOFEM!C9</f>
        <v>10</v>
      </c>
      <c r="E41" s="653">
        <f>BIOFEM!D9</f>
        <v>40</v>
      </c>
      <c r="F41" s="38">
        <f>BIOFEM!E9</f>
        <v>400</v>
      </c>
      <c r="G41" s="38">
        <f>BIOFEM!F9</f>
        <v>16000</v>
      </c>
      <c r="H41" s="186">
        <f>SUM(G38:G41)</f>
        <v>4378700</v>
      </c>
    </row>
    <row r="42" spans="1:8" s="42" customFormat="1" ht="18.75" x14ac:dyDescent="0.3">
      <c r="A42" s="35"/>
      <c r="B42" s="653"/>
      <c r="C42" s="35"/>
      <c r="D42" s="648"/>
      <c r="E42" s="35"/>
      <c r="F42" s="38"/>
      <c r="G42" s="38"/>
      <c r="H42" s="38"/>
    </row>
    <row r="43" spans="1:8" s="42" customFormat="1" ht="23.25" x14ac:dyDescent="0.35">
      <c r="A43" s="35">
        <v>3</v>
      </c>
      <c r="B43" s="35"/>
      <c r="C43" s="77" t="str">
        <f>BIOMED!B1</f>
        <v>BIOMEDICALS LIMITED</v>
      </c>
      <c r="D43" s="648"/>
      <c r="E43" s="35"/>
      <c r="F43" s="38"/>
      <c r="G43" s="38"/>
      <c r="H43" s="38"/>
    </row>
    <row r="44" spans="1:8" s="42" customFormat="1" ht="18.75" x14ac:dyDescent="0.3">
      <c r="A44" s="35"/>
      <c r="B44" s="653">
        <f>BIOMED!A6</f>
        <v>19</v>
      </c>
      <c r="C44" s="653" t="str">
        <f>BIOMED!B6</f>
        <v xml:space="preserve">0.9% NORMAL SALINE </v>
      </c>
      <c r="D44" s="654">
        <f>BIOMED!C6</f>
        <v>20</v>
      </c>
      <c r="E44" s="653">
        <f>BIOMED!D6</f>
        <v>600</v>
      </c>
      <c r="F44" s="38">
        <f>BIOMED!E6</f>
        <v>2350</v>
      </c>
      <c r="G44" s="38">
        <f>BIOMED!F6</f>
        <v>1410000</v>
      </c>
      <c r="H44" s="38"/>
    </row>
    <row r="45" spans="1:8" s="42" customFormat="1" ht="18.75" x14ac:dyDescent="0.3">
      <c r="A45" s="35"/>
      <c r="B45" s="653">
        <f>BIOMED!A7</f>
        <v>23</v>
      </c>
      <c r="C45" s="653" t="str">
        <f>BIOMED!B7</f>
        <v>4.3% DEXTROSE IN 0.18% SALINE</v>
      </c>
      <c r="D45" s="654">
        <f>BIOMED!C7</f>
        <v>20</v>
      </c>
      <c r="E45" s="653">
        <f>BIOMED!D7</f>
        <v>60</v>
      </c>
      <c r="F45" s="38">
        <f>BIOMED!E7</f>
        <v>2450</v>
      </c>
      <c r="G45" s="38">
        <f>BIOMED!F7</f>
        <v>147000</v>
      </c>
      <c r="H45" s="38"/>
    </row>
    <row r="46" spans="1:8" s="42" customFormat="1" ht="18.75" x14ac:dyDescent="0.3">
      <c r="A46" s="35"/>
      <c r="B46" s="653">
        <f>BIOMED!A8</f>
        <v>24</v>
      </c>
      <c r="C46" s="653" t="str">
        <f>BIOMED!B8</f>
        <v>5% DEXTROSE SALINE</v>
      </c>
      <c r="D46" s="654">
        <f>BIOMED!C8</f>
        <v>20</v>
      </c>
      <c r="E46" s="653">
        <f>BIOMED!D8</f>
        <v>320</v>
      </c>
      <c r="F46" s="38">
        <f>BIOMED!E8</f>
        <v>2450</v>
      </c>
      <c r="G46" s="38">
        <f>BIOMED!F8</f>
        <v>784000</v>
      </c>
      <c r="H46" s="38"/>
    </row>
    <row r="47" spans="1:8" s="42" customFormat="1" ht="18.75" x14ac:dyDescent="0.3">
      <c r="A47" s="35"/>
      <c r="B47" s="653">
        <f>BIOMED!A9</f>
        <v>25</v>
      </c>
      <c r="C47" s="653" t="str">
        <f>BIOMED!B9</f>
        <v>5% DEXTROSE WATER</v>
      </c>
      <c r="D47" s="654">
        <f>BIOMED!C9</f>
        <v>20</v>
      </c>
      <c r="E47" s="653">
        <f>BIOMED!D9</f>
        <v>160</v>
      </c>
      <c r="F47" s="38">
        <f>BIOMED!E9</f>
        <v>2450</v>
      </c>
      <c r="G47" s="38">
        <f>BIOMED!F9</f>
        <v>392000</v>
      </c>
      <c r="H47" s="38"/>
    </row>
    <row r="48" spans="1:8" s="42" customFormat="1" ht="18.75" x14ac:dyDescent="0.3">
      <c r="A48" s="35"/>
      <c r="B48" s="653">
        <f>BIOMED!A10</f>
        <v>26</v>
      </c>
      <c r="C48" s="653" t="str">
        <f>BIOMED!B10</f>
        <v>50% DEXTROSE WATER</v>
      </c>
      <c r="D48" s="654">
        <f>BIOMED!C10</f>
        <v>100</v>
      </c>
      <c r="E48" s="653">
        <f>BIOMED!D10</f>
        <v>8</v>
      </c>
      <c r="F48" s="38">
        <f>BIOMED!E10</f>
        <v>9195</v>
      </c>
      <c r="G48" s="38">
        <f>BIOMED!F10</f>
        <v>73560</v>
      </c>
      <c r="H48" s="38"/>
    </row>
    <row r="49" spans="1:8" s="42" customFormat="1" ht="18.75" x14ac:dyDescent="0.3">
      <c r="A49" s="35"/>
      <c r="B49" s="653">
        <f>BIOMED!A11</f>
        <v>29</v>
      </c>
      <c r="C49" s="653" t="str">
        <f>BIOMED!B11</f>
        <v>FULL STRENGTH DARROWS SOLUTION</v>
      </c>
      <c r="D49" s="654">
        <f>BIOMED!C11</f>
        <v>20</v>
      </c>
      <c r="E49" s="653">
        <f>BIOMED!D11</f>
        <v>5</v>
      </c>
      <c r="F49" s="38">
        <f>BIOMED!E11</f>
        <v>2450</v>
      </c>
      <c r="G49" s="38">
        <f>BIOMED!F11</f>
        <v>12250</v>
      </c>
      <c r="H49" s="38"/>
    </row>
    <row r="50" spans="1:8" s="42" customFormat="1" ht="18.75" x14ac:dyDescent="0.3">
      <c r="A50" s="35"/>
      <c r="B50" s="653">
        <f>BIOMED!A12</f>
        <v>30</v>
      </c>
      <c r="C50" s="653" t="str">
        <f>BIOMED!B12</f>
        <v>HALF STRENGTH DARROWS SOLUTION</v>
      </c>
      <c r="D50" s="654">
        <f>BIOMED!C12</f>
        <v>20</v>
      </c>
      <c r="E50" s="653">
        <f>BIOMED!D12</f>
        <v>5</v>
      </c>
      <c r="F50" s="38">
        <f>BIOMED!E12</f>
        <v>2450</v>
      </c>
      <c r="G50" s="38">
        <f>BIOMED!F12</f>
        <v>12250</v>
      </c>
      <c r="H50" s="38"/>
    </row>
    <row r="51" spans="1:8" s="42" customFormat="1" ht="18.75" x14ac:dyDescent="0.3">
      <c r="A51" s="35"/>
      <c r="B51" s="653">
        <f>BIOMED!A13</f>
        <v>31</v>
      </c>
      <c r="C51" s="653" t="str">
        <f>BIOMED!B13</f>
        <v>HARTMANNS (RINGERS LACTATE SOLUTION)</v>
      </c>
      <c r="D51" s="654">
        <f>BIOMED!C13</f>
        <v>20</v>
      </c>
      <c r="E51" s="653">
        <f>BIOMED!D13</f>
        <v>100</v>
      </c>
      <c r="F51" s="38">
        <f>BIOMED!E13</f>
        <v>2450</v>
      </c>
      <c r="G51" s="38">
        <f>BIOMED!F13</f>
        <v>245000</v>
      </c>
      <c r="H51" s="38"/>
    </row>
    <row r="52" spans="1:8" s="42" customFormat="1" ht="23.25" x14ac:dyDescent="0.35">
      <c r="A52" s="35"/>
      <c r="B52" s="653">
        <f>BIOMED!A14</f>
        <v>32</v>
      </c>
      <c r="C52" s="653" t="str">
        <f>BIOMED!B14</f>
        <v>ISOPLASMA INFUSION (SUCCINYLATED GELATIN)</v>
      </c>
      <c r="D52" s="654">
        <f>BIOMED!C14</f>
        <v>20</v>
      </c>
      <c r="E52" s="653">
        <f>BIOMED!D14</f>
        <v>6</v>
      </c>
      <c r="F52" s="38">
        <f>BIOMED!E14</f>
        <v>9500</v>
      </c>
      <c r="G52" s="38">
        <f>BIOMED!F14</f>
        <v>57000</v>
      </c>
      <c r="H52" s="186">
        <f>SUM(G44:G52)</f>
        <v>3133060</v>
      </c>
    </row>
    <row r="53" spans="1:8" s="42" customFormat="1" ht="18.75" x14ac:dyDescent="0.3">
      <c r="A53" s="35"/>
      <c r="B53" s="653"/>
      <c r="C53" s="653"/>
      <c r="D53" s="654"/>
      <c r="E53" s="653"/>
      <c r="F53" s="38"/>
      <c r="G53" s="38"/>
      <c r="H53" s="35"/>
    </row>
    <row r="54" spans="1:8" s="42" customFormat="1" ht="23.25" x14ac:dyDescent="0.35">
      <c r="A54" s="35">
        <v>4</v>
      </c>
      <c r="B54" s="35"/>
      <c r="C54" s="77" t="str">
        <f>CHI!B1</f>
        <v>CHI PHARMACEUTICALS</v>
      </c>
      <c r="D54" s="184"/>
      <c r="E54" s="77"/>
      <c r="F54" s="79"/>
      <c r="G54" s="79"/>
      <c r="H54" s="79"/>
    </row>
    <row r="55" spans="1:8" s="42" customFormat="1" ht="18.75" x14ac:dyDescent="0.3">
      <c r="A55" s="35"/>
      <c r="B55" s="653">
        <f>CHI!A6</f>
        <v>37</v>
      </c>
      <c r="C55" s="653" t="str">
        <f>CHI!B6</f>
        <v>AMLODIPINE 10MG TAB</v>
      </c>
      <c r="D55" s="654">
        <f>CHI!C6</f>
        <v>28</v>
      </c>
      <c r="E55" s="653">
        <f>CHI!D6</f>
        <v>6000</v>
      </c>
      <c r="F55" s="38">
        <f>CHI!E6</f>
        <v>300</v>
      </c>
      <c r="G55" s="38">
        <f>CHI!F6</f>
        <v>1800000</v>
      </c>
      <c r="H55" s="38"/>
    </row>
    <row r="56" spans="1:8" s="42" customFormat="1" ht="18.75" x14ac:dyDescent="0.3">
      <c r="A56" s="35"/>
      <c r="B56" s="653">
        <f>CHI!A7</f>
        <v>39</v>
      </c>
      <c r="C56" s="653" t="str">
        <f>CHI!B7</f>
        <v>AMLODIPINE 5MG TAB</v>
      </c>
      <c r="D56" s="654">
        <f>CHI!C7</f>
        <v>28</v>
      </c>
      <c r="E56" s="653">
        <f>CHI!D7</f>
        <v>5000</v>
      </c>
      <c r="F56" s="38">
        <f>CHI!E7</f>
        <v>200</v>
      </c>
      <c r="G56" s="38">
        <f>CHI!F7</f>
        <v>1000000</v>
      </c>
      <c r="H56" s="38"/>
    </row>
    <row r="57" spans="1:8" s="42" customFormat="1" ht="18.75" x14ac:dyDescent="0.3">
      <c r="A57" s="35"/>
      <c r="B57" s="653">
        <f>CHI!A8</f>
        <v>204</v>
      </c>
      <c r="C57" s="653" t="str">
        <f>CHI!B8</f>
        <v>AMOXICILLIN/CLAVULANIC ACID 1.2G INJ</v>
      </c>
      <c r="D57" s="654" t="str">
        <f>CHI!C8</f>
        <v>VIAL</v>
      </c>
      <c r="E57" s="653">
        <f>CHI!D8</f>
        <v>9600</v>
      </c>
      <c r="F57" s="38">
        <f>CHI!E8</f>
        <v>540</v>
      </c>
      <c r="G57" s="38">
        <f>CHI!F8</f>
        <v>5184000</v>
      </c>
      <c r="H57" s="38"/>
    </row>
    <row r="58" spans="1:8" s="42" customFormat="1" ht="18.75" x14ac:dyDescent="0.3">
      <c r="A58" s="35"/>
      <c r="B58" s="653">
        <f>CHI!A9</f>
        <v>205</v>
      </c>
      <c r="C58" s="653" t="str">
        <f>CHI!B9</f>
        <v>AMOXICILLIN/CLAVULANIC ACID 1G TAB</v>
      </c>
      <c r="D58" s="654">
        <f>CHI!C9</f>
        <v>14</v>
      </c>
      <c r="E58" s="653">
        <f>CHI!D9</f>
        <v>4800</v>
      </c>
      <c r="F58" s="38">
        <f>CHI!E9</f>
        <v>1200</v>
      </c>
      <c r="G58" s="38">
        <f>CHI!F9</f>
        <v>5760000</v>
      </c>
      <c r="H58" s="38"/>
    </row>
    <row r="59" spans="1:8" s="42" customFormat="1" ht="18.75" x14ac:dyDescent="0.3">
      <c r="A59" s="35"/>
      <c r="B59" s="653">
        <f>CHI!A10</f>
        <v>203</v>
      </c>
      <c r="C59" s="653" t="str">
        <f>CHI!B10</f>
        <v>AMOXICILLIN/CLAVULANIC ACID 457MG/5ML</v>
      </c>
      <c r="D59" s="654" t="str">
        <f>CHI!C10</f>
        <v>BOTT</v>
      </c>
      <c r="E59" s="653">
        <f>CHI!D10</f>
        <v>200</v>
      </c>
      <c r="F59" s="38">
        <f>CHI!E10</f>
        <v>980</v>
      </c>
      <c r="G59" s="38">
        <f>CHI!F10</f>
        <v>196000</v>
      </c>
      <c r="H59" s="38"/>
    </row>
    <row r="60" spans="1:8" s="42" customFormat="1" ht="18.75" x14ac:dyDescent="0.3">
      <c r="A60" s="35"/>
      <c r="B60" s="653">
        <f>CHI!A11</f>
        <v>207</v>
      </c>
      <c r="C60" s="653" t="str">
        <f>CHI!B11</f>
        <v>AMOXICILLIN/CLAVULANIC ACID 600MG INJ</v>
      </c>
      <c r="D60" s="654" t="str">
        <f>CHI!C11</f>
        <v>VIAL</v>
      </c>
      <c r="E60" s="653">
        <f>CHI!D11</f>
        <v>100</v>
      </c>
      <c r="F60" s="38">
        <f>CHI!E11</f>
        <v>270</v>
      </c>
      <c r="G60" s="38">
        <f>CHI!F11</f>
        <v>27000</v>
      </c>
      <c r="H60" s="38"/>
    </row>
    <row r="61" spans="1:8" s="42" customFormat="1" ht="23.25" x14ac:dyDescent="0.35">
      <c r="A61" s="35"/>
      <c r="B61" s="653">
        <f>CHI!A12</f>
        <v>226</v>
      </c>
      <c r="C61" s="653" t="str">
        <f>CHI!B12</f>
        <v>CEFPODOXIME SUSPENSION  (100ML)</v>
      </c>
      <c r="D61" s="654" t="str">
        <f>CHI!C12</f>
        <v>BOTT</v>
      </c>
      <c r="E61" s="653">
        <f>CHI!D12</f>
        <v>200</v>
      </c>
      <c r="F61" s="38">
        <f>CHI!E12</f>
        <v>2200</v>
      </c>
      <c r="G61" s="38">
        <f>CHI!F12</f>
        <v>440000</v>
      </c>
      <c r="H61" s="186"/>
    </row>
    <row r="62" spans="1:8" s="42" customFormat="1" ht="18.75" x14ac:dyDescent="0.3">
      <c r="A62" s="35"/>
      <c r="B62" s="653">
        <f>CHI!A13</f>
        <v>232</v>
      </c>
      <c r="C62" s="653" t="str">
        <f>CHI!B13</f>
        <v>CEFUROXIME 750MG INJ</v>
      </c>
      <c r="D62" s="654" t="str">
        <f>CHI!C13</f>
        <v>VIAL</v>
      </c>
      <c r="E62" s="653">
        <f>CHI!D13</f>
        <v>4000</v>
      </c>
      <c r="F62" s="38">
        <f>CHI!E13</f>
        <v>366</v>
      </c>
      <c r="G62" s="38">
        <f>CHI!F13</f>
        <v>1464000</v>
      </c>
      <c r="H62" s="35"/>
    </row>
    <row r="63" spans="1:8" s="42" customFormat="1" ht="18.75" x14ac:dyDescent="0.3">
      <c r="A63" s="35"/>
      <c r="B63" s="653">
        <f>CHI!A14</f>
        <v>427</v>
      </c>
      <c r="C63" s="653" t="str">
        <f>CHI!B14</f>
        <v>DIOSMINE 500MG TAB</v>
      </c>
      <c r="D63" s="654">
        <f>CHI!C14</f>
        <v>30</v>
      </c>
      <c r="E63" s="653">
        <f>CHI!D14</f>
        <v>20</v>
      </c>
      <c r="F63" s="38">
        <f>CHI!E14</f>
        <v>2990</v>
      </c>
      <c r="G63" s="38">
        <f>CHI!F14</f>
        <v>59800</v>
      </c>
      <c r="H63" s="35"/>
    </row>
    <row r="64" spans="1:8" s="42" customFormat="1" ht="23.25" x14ac:dyDescent="0.35">
      <c r="A64" s="35"/>
      <c r="B64" s="653">
        <f>CHI!A15</f>
        <v>66</v>
      </c>
      <c r="C64" s="653" t="str">
        <f>CHI!B15</f>
        <v>INDAPAMIDE 1.5MG</v>
      </c>
      <c r="D64" s="654">
        <f>CHI!C15</f>
        <v>30</v>
      </c>
      <c r="E64" s="653">
        <f>CHI!D15</f>
        <v>3000</v>
      </c>
      <c r="F64" s="38">
        <f>CHI!E15</f>
        <v>2530</v>
      </c>
      <c r="G64" s="38">
        <f>CHI!F15</f>
        <v>7590000</v>
      </c>
      <c r="H64" s="79"/>
    </row>
    <row r="65" spans="1:8" s="42" customFormat="1" ht="18.75" x14ac:dyDescent="0.3">
      <c r="A65" s="35"/>
      <c r="B65" s="653">
        <f>CHI!A16</f>
        <v>67</v>
      </c>
      <c r="C65" s="653" t="str">
        <f>CHI!B16</f>
        <v>INDAPAMIDE/AMLODIPINE 1.5/10MG</v>
      </c>
      <c r="D65" s="654">
        <f>CHI!C16</f>
        <v>30</v>
      </c>
      <c r="E65" s="653">
        <f>CHI!D16</f>
        <v>5200</v>
      </c>
      <c r="F65" s="38">
        <f>CHI!E16</f>
        <v>3335</v>
      </c>
      <c r="G65" s="38">
        <f>CHI!F16</f>
        <v>17342000</v>
      </c>
      <c r="H65" s="38"/>
    </row>
    <row r="66" spans="1:8" s="42" customFormat="1" ht="18.75" x14ac:dyDescent="0.3">
      <c r="A66" s="35"/>
      <c r="B66" s="653">
        <f>CHI!A17</f>
        <v>68</v>
      </c>
      <c r="C66" s="653" t="str">
        <f>CHI!B17</f>
        <v>INDAPAMIDE/AMLODIPINE 1.5/5MG</v>
      </c>
      <c r="D66" s="654">
        <f>CHI!C17</f>
        <v>30</v>
      </c>
      <c r="E66" s="653">
        <f>CHI!D17</f>
        <v>4000</v>
      </c>
      <c r="F66" s="38">
        <f>CHI!E17</f>
        <v>3335</v>
      </c>
      <c r="G66" s="38">
        <f>CHI!F17</f>
        <v>13340000</v>
      </c>
      <c r="H66" s="38"/>
    </row>
    <row r="67" spans="1:8" s="42" customFormat="1" ht="18.75" x14ac:dyDescent="0.3">
      <c r="A67" s="35"/>
      <c r="B67" s="653">
        <f>CHI!A18</f>
        <v>129</v>
      </c>
      <c r="C67" s="653" t="str">
        <f>CHI!B18</f>
        <v>INSULIN GLARGIN</v>
      </c>
      <c r="D67" s="654">
        <f>CHI!C18</f>
        <v>5</v>
      </c>
      <c r="E67" s="653">
        <f>CHI!D18</f>
        <v>25</v>
      </c>
      <c r="F67" s="38">
        <f>CHI!E18</f>
        <v>14600</v>
      </c>
      <c r="G67" s="38">
        <f>CHI!F18</f>
        <v>365000</v>
      </c>
      <c r="H67" s="38"/>
    </row>
    <row r="68" spans="1:8" s="42" customFormat="1" ht="18.75" x14ac:dyDescent="0.3">
      <c r="A68" s="35"/>
      <c r="B68" s="653">
        <f>CHI!A19</f>
        <v>69</v>
      </c>
      <c r="C68" s="653" t="str">
        <f>CHI!B19</f>
        <v>IRBESARTAN 150MG TAB</v>
      </c>
      <c r="D68" s="654">
        <f>CHI!C19</f>
        <v>30</v>
      </c>
      <c r="E68" s="653">
        <f>CHI!D19</f>
        <v>50</v>
      </c>
      <c r="F68" s="38">
        <f>CHI!E19</f>
        <v>3000</v>
      </c>
      <c r="G68" s="38">
        <f>CHI!F19</f>
        <v>150000</v>
      </c>
      <c r="H68" s="38"/>
    </row>
    <row r="69" spans="1:8" s="42" customFormat="1" ht="18.75" x14ac:dyDescent="0.3">
      <c r="A69" s="35"/>
      <c r="B69" s="653">
        <f>CHI!A20</f>
        <v>70</v>
      </c>
      <c r="C69" s="653" t="str">
        <f>CHI!B20</f>
        <v>IRBESARTAN 300MG TAB</v>
      </c>
      <c r="D69" s="654">
        <f>CHI!C20</f>
        <v>30</v>
      </c>
      <c r="E69" s="653">
        <f>CHI!D20</f>
        <v>50</v>
      </c>
      <c r="F69" s="38">
        <f>CHI!E20</f>
        <v>3850</v>
      </c>
      <c r="G69" s="38">
        <f>CHI!F20</f>
        <v>192500</v>
      </c>
      <c r="H69" s="38"/>
    </row>
    <row r="70" spans="1:8" s="42" customFormat="1" ht="18.75" x14ac:dyDescent="0.3">
      <c r="A70" s="35"/>
      <c r="B70" s="653">
        <f>CHI!A21</f>
        <v>71</v>
      </c>
      <c r="C70" s="653" t="str">
        <f>CHI!B21</f>
        <v>IRBESARTAN 300MG/HCT 12.5MG</v>
      </c>
      <c r="D70" s="654">
        <f>CHI!C21</f>
        <v>30</v>
      </c>
      <c r="E70" s="653">
        <f>CHI!D21</f>
        <v>21</v>
      </c>
      <c r="F70" s="38">
        <f>CHI!E21</f>
        <v>4054</v>
      </c>
      <c r="G70" s="38">
        <f>CHI!F21</f>
        <v>85134</v>
      </c>
      <c r="H70" s="38"/>
    </row>
    <row r="71" spans="1:8" s="42" customFormat="1" ht="23.25" x14ac:dyDescent="0.35">
      <c r="A71" s="35"/>
      <c r="B71" s="653">
        <f>CHI!A22</f>
        <v>261</v>
      </c>
      <c r="C71" s="653" t="str">
        <f>CHI!B22</f>
        <v>LEVOFLOXACIN 500MG TAB</v>
      </c>
      <c r="D71" s="654">
        <f>CHI!C22</f>
        <v>10</v>
      </c>
      <c r="E71" s="653">
        <f>CHI!D22</f>
        <v>72</v>
      </c>
      <c r="F71" s="38">
        <f>CHI!E22</f>
        <v>3500</v>
      </c>
      <c r="G71" s="38">
        <f>CHI!F22</f>
        <v>252000</v>
      </c>
      <c r="H71" s="186"/>
    </row>
    <row r="72" spans="1:8" s="42" customFormat="1" ht="18.75" x14ac:dyDescent="0.3">
      <c r="A72" s="35"/>
      <c r="B72" s="653">
        <f>CHI!A23</f>
        <v>262</v>
      </c>
      <c r="C72" s="653" t="str">
        <f>CHI!B23</f>
        <v>LEVOFLOXACIN IV</v>
      </c>
      <c r="D72" s="654" t="str">
        <f>CHI!C23</f>
        <v>BOTT</v>
      </c>
      <c r="E72" s="653">
        <f>CHI!D23</f>
        <v>100</v>
      </c>
      <c r="F72" s="38">
        <f>CHI!E23</f>
        <v>2974</v>
      </c>
      <c r="G72" s="38">
        <f>CHI!F23</f>
        <v>297400</v>
      </c>
      <c r="H72" s="35"/>
    </row>
    <row r="73" spans="1:8" s="42" customFormat="1" ht="23.25" x14ac:dyDescent="0.35">
      <c r="A73" s="35"/>
      <c r="B73" s="653">
        <f>CHI!A24</f>
        <v>89</v>
      </c>
      <c r="C73" s="653" t="str">
        <f>CHI!B24</f>
        <v>PERINDOPRIL 10MG TAB</v>
      </c>
      <c r="D73" s="654">
        <f>CHI!C24</f>
        <v>30</v>
      </c>
      <c r="E73" s="653">
        <f>CHI!D24</f>
        <v>10</v>
      </c>
      <c r="F73" s="38">
        <f>CHI!E24</f>
        <v>6658</v>
      </c>
      <c r="G73" s="38">
        <f>CHI!F24</f>
        <v>66580</v>
      </c>
      <c r="H73" s="79"/>
    </row>
    <row r="74" spans="1:8" s="42" customFormat="1" ht="18.75" x14ac:dyDescent="0.3">
      <c r="A74" s="35"/>
      <c r="B74" s="653">
        <f>CHI!A25</f>
        <v>90</v>
      </c>
      <c r="C74" s="653" t="str">
        <f>CHI!B25</f>
        <v>PERINDOPRIL 5MG TAB</v>
      </c>
      <c r="D74" s="654">
        <f>CHI!C25</f>
        <v>30</v>
      </c>
      <c r="E74" s="653">
        <f>CHI!D25</f>
        <v>10</v>
      </c>
      <c r="F74" s="38">
        <f>CHI!E25</f>
        <v>4991</v>
      </c>
      <c r="G74" s="38">
        <f>CHI!F25</f>
        <v>49910</v>
      </c>
      <c r="H74" s="38"/>
    </row>
    <row r="75" spans="1:8" s="42" customFormat="1" ht="18.75" x14ac:dyDescent="0.3">
      <c r="A75" s="35"/>
      <c r="B75" s="653">
        <f>CHI!A26</f>
        <v>91</v>
      </c>
      <c r="C75" s="653" t="str">
        <f>CHI!B26</f>
        <v>PERINDOPRIL/AMLODIPINE 10/5MG</v>
      </c>
      <c r="D75" s="654">
        <f>CHI!C26</f>
        <v>30</v>
      </c>
      <c r="E75" s="653">
        <f>CHI!D26</f>
        <v>10</v>
      </c>
      <c r="F75" s="38">
        <f>CHI!E26</f>
        <v>6900</v>
      </c>
      <c r="G75" s="38">
        <f>CHI!F26</f>
        <v>69000</v>
      </c>
      <c r="H75" s="38"/>
    </row>
    <row r="76" spans="1:8" s="42" customFormat="1" ht="18.75" x14ac:dyDescent="0.3">
      <c r="A76" s="35"/>
      <c r="B76" s="653">
        <f>CHI!A27</f>
        <v>92</v>
      </c>
      <c r="C76" s="653" t="str">
        <f>CHI!B27</f>
        <v>PERINDOPRIL/AMLODIPINE 5/5MG</v>
      </c>
      <c r="D76" s="654">
        <f>CHI!C27</f>
        <v>30</v>
      </c>
      <c r="E76" s="653">
        <f>CHI!D27</f>
        <v>10</v>
      </c>
      <c r="F76" s="38">
        <f>CHI!E27</f>
        <v>6900</v>
      </c>
      <c r="G76" s="38">
        <f>CHI!F27</f>
        <v>69000</v>
      </c>
      <c r="H76" s="38"/>
    </row>
    <row r="77" spans="1:8" s="42" customFormat="1" ht="18.75" x14ac:dyDescent="0.3">
      <c r="A77" s="35"/>
      <c r="B77" s="653">
        <f>CHI!A28</f>
        <v>93</v>
      </c>
      <c r="C77" s="653" t="str">
        <f>CHI!B28</f>
        <v>PERINDOPRIL/AMLODIPINE/INDAPAMIDE 10/10/2.5MG</v>
      </c>
      <c r="D77" s="654">
        <f>CHI!C28</f>
        <v>30</v>
      </c>
      <c r="E77" s="653">
        <f>CHI!D28</f>
        <v>12</v>
      </c>
      <c r="F77" s="38">
        <f>CHI!E28</f>
        <v>7475</v>
      </c>
      <c r="G77" s="38">
        <f>CHI!F28</f>
        <v>89700</v>
      </c>
      <c r="H77" s="38"/>
    </row>
    <row r="78" spans="1:8" s="42" customFormat="1" ht="23.25" x14ac:dyDescent="0.35">
      <c r="A78" s="35"/>
      <c r="B78" s="653">
        <f>CHI!A29</f>
        <v>94</v>
      </c>
      <c r="C78" s="653" t="str">
        <f>CHI!B29</f>
        <v>PERINDOPRIL/AMLODIPINE/INDAPAMIDE 10/5/2.5MG</v>
      </c>
      <c r="D78" s="654">
        <f>CHI!C29</f>
        <v>30</v>
      </c>
      <c r="E78" s="653">
        <f>CHI!D29</f>
        <v>12</v>
      </c>
      <c r="F78" s="38">
        <f>CHI!E29</f>
        <v>7475</v>
      </c>
      <c r="G78" s="38">
        <f>CHI!F29</f>
        <v>89700</v>
      </c>
      <c r="H78" s="186">
        <f>SUM(G55:G78)</f>
        <v>55978724</v>
      </c>
    </row>
    <row r="79" spans="1:8" s="42" customFormat="1" ht="23.25" x14ac:dyDescent="0.35">
      <c r="A79" s="35"/>
      <c r="B79" s="653"/>
      <c r="C79" s="653"/>
      <c r="D79" s="654"/>
      <c r="E79" s="653"/>
      <c r="F79" s="38"/>
      <c r="G79" s="38"/>
      <c r="H79" s="79"/>
    </row>
    <row r="80" spans="1:8" s="42" customFormat="1" ht="23.25" x14ac:dyDescent="0.35">
      <c r="A80" s="35">
        <v>5</v>
      </c>
      <c r="B80" s="653"/>
      <c r="C80" s="656" t="str">
        <f>CLARION!B1</f>
        <v>CLARION MEDICALS LIMITED</v>
      </c>
      <c r="D80" s="654"/>
      <c r="E80" s="653"/>
      <c r="F80" s="38"/>
      <c r="G80" s="38"/>
      <c r="H80" s="35"/>
    </row>
    <row r="81" spans="1:8" ht="23.25" x14ac:dyDescent="0.35">
      <c r="A81" s="35"/>
      <c r="B81" s="653">
        <f>CLARION!A7</f>
        <v>200</v>
      </c>
      <c r="C81" s="653" t="str">
        <f>CLARION!B7</f>
        <v>AMOXICILLIN 500MG CAP</v>
      </c>
      <c r="D81" s="654">
        <f>CLARION!C7</f>
        <v>100</v>
      </c>
      <c r="E81" s="653">
        <f>CLARION!D7</f>
        <v>1120</v>
      </c>
      <c r="F81" s="38">
        <f>CLARION!E7</f>
        <v>850</v>
      </c>
      <c r="G81" s="38">
        <f>CLARION!F7</f>
        <v>952000</v>
      </c>
      <c r="H81" s="79"/>
    </row>
    <row r="82" spans="1:8" x14ac:dyDescent="0.35">
      <c r="A82" s="35"/>
      <c r="B82" s="653">
        <f>CLARION!A8</f>
        <v>201</v>
      </c>
      <c r="C82" s="653" t="str">
        <f>CLARION!B8</f>
        <v>AMOXICILLIN 500MG INJ</v>
      </c>
      <c r="D82" s="654" t="str">
        <f>CLARION!C8</f>
        <v>VIAL</v>
      </c>
      <c r="E82" s="653">
        <f>CLARION!D8</f>
        <v>500</v>
      </c>
      <c r="F82" s="38">
        <f>CLARION!E8</f>
        <v>180</v>
      </c>
      <c r="G82" s="38">
        <f>CLARION!F8</f>
        <v>90000</v>
      </c>
      <c r="H82" s="76"/>
    </row>
    <row r="83" spans="1:8" x14ac:dyDescent="0.35">
      <c r="A83" s="35"/>
      <c r="B83" s="653">
        <f>CLARION!A9</f>
        <v>202</v>
      </c>
      <c r="C83" s="653" t="str">
        <f>CLARION!B9</f>
        <v>AMOXICILLIN/CLAVULANIC ACID  228MG/5ML</v>
      </c>
      <c r="D83" s="654" t="str">
        <f>CLARION!C9</f>
        <v>BOTT</v>
      </c>
      <c r="E83" s="653">
        <f>CLARION!D9</f>
        <v>400</v>
      </c>
      <c r="F83" s="38">
        <f>CLARION!E9</f>
        <v>450</v>
      </c>
      <c r="G83" s="38">
        <f>CLARION!F9</f>
        <v>180000</v>
      </c>
      <c r="H83" s="76"/>
    </row>
    <row r="84" spans="1:8" x14ac:dyDescent="0.35">
      <c r="A84" s="35"/>
      <c r="B84" s="653">
        <f>CLARION!A10</f>
        <v>205</v>
      </c>
      <c r="C84" s="653" t="str">
        <f>CLARION!B10</f>
        <v>AMOXICILLIN/CLAVULANIC ACID 1G TAB</v>
      </c>
      <c r="D84" s="654">
        <f>CLARION!C10</f>
        <v>14</v>
      </c>
      <c r="E84" s="653">
        <f>CLARION!D10</f>
        <v>1200</v>
      </c>
      <c r="F84" s="38">
        <f>CLARION!E10</f>
        <v>800</v>
      </c>
      <c r="G84" s="38">
        <f>CLARION!F10</f>
        <v>960000</v>
      </c>
      <c r="H84" s="76"/>
    </row>
    <row r="85" spans="1:8" x14ac:dyDescent="0.35">
      <c r="A85" s="35"/>
      <c r="B85" s="653">
        <f>CLARION!A11</f>
        <v>208</v>
      </c>
      <c r="C85" s="653" t="str">
        <f>CLARION!B11</f>
        <v>AMOXICILLIN/CLAVULANIC ACID 625MG TAB</v>
      </c>
      <c r="D85" s="654">
        <f>CLARION!C11</f>
        <v>15</v>
      </c>
      <c r="E85" s="653">
        <f>CLARION!D11</f>
        <v>800</v>
      </c>
      <c r="F85" s="38">
        <f>CLARION!E11</f>
        <v>700</v>
      </c>
      <c r="G85" s="38">
        <f>CLARION!F11</f>
        <v>560000</v>
      </c>
      <c r="H85" s="76"/>
    </row>
    <row r="86" spans="1:8" x14ac:dyDescent="0.35">
      <c r="A86" s="35"/>
      <c r="B86" s="653">
        <f>CLARION!A12</f>
        <v>3</v>
      </c>
      <c r="C86" s="653" t="str">
        <f>CLARION!B12</f>
        <v>ARTEMETHER/LUMEFANTRINE (20/120) SYR</v>
      </c>
      <c r="D86" s="654" t="str">
        <f>CLARION!C12</f>
        <v>BOTT</v>
      </c>
      <c r="E86" s="653">
        <f>CLARION!D12</f>
        <v>200</v>
      </c>
      <c r="F86" s="38">
        <f>CLARION!E12</f>
        <v>260</v>
      </c>
      <c r="G86" s="38">
        <f>CLARION!F12</f>
        <v>52000</v>
      </c>
      <c r="H86" s="76"/>
    </row>
    <row r="87" spans="1:8" x14ac:dyDescent="0.35">
      <c r="A87" s="35"/>
      <c r="B87" s="653">
        <f>CLARION!A13</f>
        <v>8</v>
      </c>
      <c r="C87" s="653" t="str">
        <f>CLARION!B13</f>
        <v>ARTEMETHER/LUMEFANTRINE (80/480) TAB</v>
      </c>
      <c r="D87" s="654">
        <f>CLARION!C13</f>
        <v>6</v>
      </c>
      <c r="E87" s="653">
        <f>CLARION!D13</f>
        <v>1000</v>
      </c>
      <c r="F87" s="38">
        <f>CLARION!E13</f>
        <v>260</v>
      </c>
      <c r="G87" s="38">
        <f>CLARION!F13</f>
        <v>260000</v>
      </c>
      <c r="H87" s="76"/>
    </row>
    <row r="88" spans="1:8" x14ac:dyDescent="0.35">
      <c r="A88" s="35"/>
      <c r="B88" s="653">
        <f>CLARION!A14</f>
        <v>181</v>
      </c>
      <c r="C88" s="653" t="str">
        <f>CLARION!B14</f>
        <v>PARACETAMOL 500MG TAB</v>
      </c>
      <c r="D88" s="654">
        <f>CLARION!C14</f>
        <v>96</v>
      </c>
      <c r="E88" s="653">
        <f>CLARION!D14</f>
        <v>1800</v>
      </c>
      <c r="F88" s="38">
        <f>CLARION!E14</f>
        <v>180</v>
      </c>
      <c r="G88" s="38">
        <f>CLARION!F14</f>
        <v>324000</v>
      </c>
      <c r="H88" s="76"/>
    </row>
    <row r="89" spans="1:8" ht="23.25" x14ac:dyDescent="0.35">
      <c r="A89" s="35"/>
      <c r="B89" s="653">
        <f>CLARION!A15</f>
        <v>110</v>
      </c>
      <c r="C89" s="653" t="str">
        <f>CLARION!B15</f>
        <v>TELMISARTAN/HYDROCHLOROTHIAZIDE 80/12.5 TAB</v>
      </c>
      <c r="D89" s="654">
        <f>CLARION!C15</f>
        <v>30</v>
      </c>
      <c r="E89" s="653">
        <f>CLARION!D15</f>
        <v>10</v>
      </c>
      <c r="F89" s="38">
        <f>CLARION!E15</f>
        <v>2000</v>
      </c>
      <c r="G89" s="38">
        <f>CLARION!F15</f>
        <v>20000</v>
      </c>
      <c r="H89" s="186"/>
    </row>
    <row r="90" spans="1:8" ht="23.25" x14ac:dyDescent="0.35">
      <c r="A90" s="35"/>
      <c r="B90" s="653">
        <f>CLARION!A16</f>
        <v>217</v>
      </c>
      <c r="C90" s="653" t="str">
        <f>CLARION!B16</f>
        <v>VAZEL KIT</v>
      </c>
      <c r="D90" s="654">
        <f>CLARION!C16</f>
        <v>3</v>
      </c>
      <c r="E90" s="653">
        <f>CLARION!D16</f>
        <v>52</v>
      </c>
      <c r="F90" s="38">
        <f>CLARION!E16</f>
        <v>650</v>
      </c>
      <c r="G90" s="38">
        <f>CLARION!F16</f>
        <v>33800</v>
      </c>
      <c r="H90" s="186">
        <f>SUM(G81:G90)</f>
        <v>3431800</v>
      </c>
    </row>
    <row r="91" spans="1:8" s="42" customFormat="1" ht="23.25" x14ac:dyDescent="0.35">
      <c r="A91" s="35"/>
      <c r="B91" s="653"/>
      <c r="C91" s="653"/>
      <c r="D91" s="654"/>
      <c r="E91" s="653"/>
      <c r="F91" s="38"/>
      <c r="G91" s="38"/>
      <c r="H91" s="79"/>
    </row>
    <row r="92" spans="1:8" s="42" customFormat="1" ht="23.25" x14ac:dyDescent="0.35">
      <c r="A92" s="35">
        <v>6</v>
      </c>
      <c r="B92" s="653"/>
      <c r="C92" s="656" t="str">
        <f>CODIX!B1</f>
        <v>CODIX PHARMACEUTICALS LIMITED</v>
      </c>
      <c r="D92" s="654"/>
      <c r="E92" s="653"/>
      <c r="F92" s="38"/>
      <c r="G92" s="38"/>
      <c r="H92" s="79"/>
    </row>
    <row r="93" spans="1:8" s="42" customFormat="1" ht="18.75" x14ac:dyDescent="0.3">
      <c r="A93" s="35"/>
      <c r="B93" s="653">
        <f>CODIX!A6</f>
        <v>39</v>
      </c>
      <c r="C93" s="653" t="str">
        <f>CODIX!B6</f>
        <v>AMLODIPINE 5MG TAB</v>
      </c>
      <c r="D93" s="654">
        <f>CODIX!C6</f>
        <v>28</v>
      </c>
      <c r="E93" s="653">
        <f>CODIX!D6</f>
        <v>2500</v>
      </c>
      <c r="F93" s="38">
        <f>CODIX!E6</f>
        <v>180</v>
      </c>
      <c r="G93" s="38">
        <f>CODIX!F6</f>
        <v>450000</v>
      </c>
      <c r="H93" s="38"/>
    </row>
    <row r="94" spans="1:8" s="42" customFormat="1" ht="18.75" x14ac:dyDescent="0.3">
      <c r="A94" s="35"/>
      <c r="B94" s="653">
        <f>CODIX!A7</f>
        <v>48</v>
      </c>
      <c r="C94" s="653" t="str">
        <f>CODIX!B7</f>
        <v>ATORVASTATIN 10MG</v>
      </c>
      <c r="D94" s="654">
        <f>CODIX!C7</f>
        <v>28</v>
      </c>
      <c r="E94" s="653">
        <f>CODIX!D7</f>
        <v>1500</v>
      </c>
      <c r="F94" s="38">
        <f>CODIX!E7</f>
        <v>330</v>
      </c>
      <c r="G94" s="38">
        <f>CODIX!F7</f>
        <v>495000</v>
      </c>
      <c r="H94" s="38"/>
    </row>
    <row r="95" spans="1:8" s="42" customFormat="1" ht="18.75" x14ac:dyDescent="0.3">
      <c r="A95" s="35"/>
      <c r="B95" s="653">
        <f>CODIX!A8</f>
        <v>49</v>
      </c>
      <c r="C95" s="653" t="str">
        <f>CODIX!B8</f>
        <v>ATORVASTATIN 20MG</v>
      </c>
      <c r="D95" s="654">
        <f>CODIX!C8</f>
        <v>28</v>
      </c>
      <c r="E95" s="653">
        <f>CODIX!D8</f>
        <v>1000</v>
      </c>
      <c r="F95" s="38">
        <f>CODIX!E8</f>
        <v>470</v>
      </c>
      <c r="G95" s="38">
        <f>CODIX!F8</f>
        <v>470000</v>
      </c>
      <c r="H95" s="38"/>
    </row>
    <row r="96" spans="1:8" s="42" customFormat="1" ht="18.75" x14ac:dyDescent="0.3">
      <c r="A96" s="35"/>
      <c r="B96" s="653">
        <f>CODIX!A9</f>
        <v>62</v>
      </c>
      <c r="C96" s="653" t="str">
        <f>CODIX!B9</f>
        <v>FRUSEMIDE 40MG TAB</v>
      </c>
      <c r="D96" s="654">
        <f>CODIX!C9</f>
        <v>100</v>
      </c>
      <c r="E96" s="653">
        <f>CODIX!D9</f>
        <v>500</v>
      </c>
      <c r="F96" s="38">
        <f>CODIX!E9</f>
        <v>320</v>
      </c>
      <c r="G96" s="38">
        <f>CODIX!F9</f>
        <v>160000</v>
      </c>
      <c r="H96" s="38"/>
    </row>
    <row r="97" spans="1:8" s="42" customFormat="1" ht="23.25" x14ac:dyDescent="0.35">
      <c r="A97" s="35"/>
      <c r="B97" s="653">
        <f>CODIX!A10</f>
        <v>97</v>
      </c>
      <c r="C97" s="653" t="str">
        <f>CODIX!B10</f>
        <v>RAMIPRIL 5MG TAB</v>
      </c>
      <c r="D97" s="654">
        <f>CODIX!C10</f>
        <v>30</v>
      </c>
      <c r="E97" s="653">
        <f>CODIX!D10</f>
        <v>520</v>
      </c>
      <c r="F97" s="38">
        <f>CODIX!E10</f>
        <v>600</v>
      </c>
      <c r="G97" s="38">
        <f>CODIX!F10</f>
        <v>312000</v>
      </c>
      <c r="H97" s="186">
        <f>SUM(G93:G97)</f>
        <v>1887000</v>
      </c>
    </row>
    <row r="98" spans="1:8" s="42" customFormat="1" ht="18.75" x14ac:dyDescent="0.3">
      <c r="A98" s="35"/>
      <c r="B98" s="653"/>
      <c r="C98" s="653"/>
      <c r="D98" s="654"/>
      <c r="E98" s="653"/>
      <c r="F98" s="38"/>
      <c r="G98" s="38"/>
      <c r="H98" s="35"/>
    </row>
    <row r="99" spans="1:8" s="42" customFormat="1" ht="23.25" x14ac:dyDescent="0.35">
      <c r="A99" s="35">
        <v>7</v>
      </c>
      <c r="B99" s="653"/>
      <c r="C99" s="656" t="str">
        <f>COSMADE!B1</f>
        <v>COSMADE EASY MEDICALS LIMITED</v>
      </c>
      <c r="D99" s="654"/>
      <c r="E99" s="653"/>
      <c r="F99" s="38"/>
      <c r="G99" s="38"/>
      <c r="H99" s="38"/>
    </row>
    <row r="100" spans="1:8" s="42" customFormat="1" ht="18.75" x14ac:dyDescent="0.3">
      <c r="A100" s="35"/>
      <c r="B100" s="653">
        <f>COSMADE!A6</f>
        <v>575</v>
      </c>
      <c r="C100" s="653" t="str">
        <f>COSMADE!B6</f>
        <v>2CC NEEDLE/SYRINGE</v>
      </c>
      <c r="D100" s="654">
        <f>COSMADE!C6</f>
        <v>100</v>
      </c>
      <c r="E100" s="653">
        <f>COSMADE!D6</f>
        <v>1500</v>
      </c>
      <c r="F100" s="38">
        <f>COSMADE!E6</f>
        <v>1200</v>
      </c>
      <c r="G100" s="38">
        <f>COSMADE!F6</f>
        <v>1800000</v>
      </c>
      <c r="H100" s="38"/>
    </row>
    <row r="101" spans="1:8" s="42" customFormat="1" ht="18.75" x14ac:dyDescent="0.3">
      <c r="A101" s="35"/>
      <c r="B101" s="653">
        <f>COSMADE!A7</f>
        <v>576</v>
      </c>
      <c r="C101" s="653" t="str">
        <f>COSMADE!B7</f>
        <v xml:space="preserve">5CC NEEDLE/SYRINGE </v>
      </c>
      <c r="D101" s="654">
        <f>COSMADE!C7</f>
        <v>100</v>
      </c>
      <c r="E101" s="653">
        <f>COSMADE!D7</f>
        <v>2000</v>
      </c>
      <c r="F101" s="38">
        <f>COSMADE!E7</f>
        <v>1200</v>
      </c>
      <c r="G101" s="38">
        <f>COSMADE!F7</f>
        <v>2400000</v>
      </c>
      <c r="H101" s="38"/>
    </row>
    <row r="102" spans="1:8" s="42" customFormat="1" ht="18.75" x14ac:dyDescent="0.3">
      <c r="A102" s="35"/>
      <c r="B102" s="653">
        <f>COSMADE!A8</f>
        <v>594</v>
      </c>
      <c r="C102" s="653" t="str">
        <f>COSMADE!B8</f>
        <v>FOLLEY CATHETER SIZE 10"</v>
      </c>
      <c r="D102" s="654">
        <f>COSMADE!C8</f>
        <v>10</v>
      </c>
      <c r="E102" s="653">
        <f>COSMADE!D8</f>
        <v>8</v>
      </c>
      <c r="F102" s="38">
        <f>COSMADE!E8</f>
        <v>1800</v>
      </c>
      <c r="G102" s="38">
        <f>COSMADE!F8</f>
        <v>14400</v>
      </c>
      <c r="H102" s="38"/>
    </row>
    <row r="103" spans="1:8" s="42" customFormat="1" ht="18.75" x14ac:dyDescent="0.3">
      <c r="A103" s="35"/>
      <c r="B103" s="653">
        <f>COSMADE!A9</f>
        <v>595</v>
      </c>
      <c r="C103" s="653" t="str">
        <f>COSMADE!B9</f>
        <v>FOLLEY CATHETER SIZE 12"</v>
      </c>
      <c r="D103" s="654">
        <f>COSMADE!C9</f>
        <v>10</v>
      </c>
      <c r="E103" s="653">
        <f>COSMADE!D9</f>
        <v>4</v>
      </c>
      <c r="F103" s="38">
        <f>COSMADE!E9</f>
        <v>1800</v>
      </c>
      <c r="G103" s="38">
        <f>COSMADE!F9</f>
        <v>7200</v>
      </c>
      <c r="H103" s="38"/>
    </row>
    <row r="104" spans="1:8" s="42" customFormat="1" ht="18.75" x14ac:dyDescent="0.3">
      <c r="A104" s="35"/>
      <c r="B104" s="653">
        <f>COSMADE!A10</f>
        <v>596</v>
      </c>
      <c r="C104" s="653" t="str">
        <f>COSMADE!B10</f>
        <v>FOLLEY CATHETER SIZE 14"</v>
      </c>
      <c r="D104" s="654">
        <f>COSMADE!C10</f>
        <v>10</v>
      </c>
      <c r="E104" s="653">
        <f>COSMADE!D10</f>
        <v>8</v>
      </c>
      <c r="F104" s="38">
        <f>COSMADE!E10</f>
        <v>1800</v>
      </c>
      <c r="G104" s="38">
        <f>COSMADE!F10</f>
        <v>14400</v>
      </c>
      <c r="H104" s="38"/>
    </row>
    <row r="105" spans="1:8" s="42" customFormat="1" ht="18.75" x14ac:dyDescent="0.3">
      <c r="A105" s="35"/>
      <c r="B105" s="653">
        <f>COSMADE!A11</f>
        <v>599</v>
      </c>
      <c r="C105" s="653" t="str">
        <f>COSMADE!B11</f>
        <v>FOLLEY CATHETER SIZE 20"</v>
      </c>
      <c r="D105" s="654">
        <f>COSMADE!C11</f>
        <v>10</v>
      </c>
      <c r="E105" s="653">
        <f>COSMADE!D11</f>
        <v>20</v>
      </c>
      <c r="F105" s="38">
        <f>COSMADE!E11</f>
        <v>1800</v>
      </c>
      <c r="G105" s="38">
        <f>COSMADE!F11</f>
        <v>36000</v>
      </c>
      <c r="H105" s="38"/>
    </row>
    <row r="106" spans="1:8" s="42" customFormat="1" ht="23.25" x14ac:dyDescent="0.35">
      <c r="A106" s="35"/>
      <c r="B106" s="653">
        <f>COSMADE!A12</f>
        <v>600</v>
      </c>
      <c r="C106" s="653" t="str">
        <f>COSMADE!B12</f>
        <v>FOLLEY CATHETER SIZE 22"</v>
      </c>
      <c r="D106" s="654">
        <f>COSMADE!C12</f>
        <v>10</v>
      </c>
      <c r="E106" s="653">
        <f>COSMADE!D12</f>
        <v>22</v>
      </c>
      <c r="F106" s="38">
        <f>COSMADE!E12</f>
        <v>1800</v>
      </c>
      <c r="G106" s="38">
        <f>COSMADE!F12</f>
        <v>39600</v>
      </c>
      <c r="H106" s="186"/>
    </row>
    <row r="107" spans="1:8" s="42" customFormat="1" ht="18.75" x14ac:dyDescent="0.3">
      <c r="A107" s="35"/>
      <c r="B107" s="653">
        <f>COSMADE!A13</f>
        <v>601</v>
      </c>
      <c r="C107" s="653" t="str">
        <f>COSMADE!B13</f>
        <v>FOLLEY CATHETER SIZE 24"</v>
      </c>
      <c r="D107" s="654">
        <f>COSMADE!C13</f>
        <v>10</v>
      </c>
      <c r="E107" s="653">
        <f>COSMADE!D13</f>
        <v>4</v>
      </c>
      <c r="F107" s="38">
        <f>COSMADE!E13</f>
        <v>1800</v>
      </c>
      <c r="G107" s="38">
        <f>COSMADE!F13</f>
        <v>7200</v>
      </c>
      <c r="H107" s="35"/>
    </row>
    <row r="108" spans="1:8" s="42" customFormat="1" ht="18.75" x14ac:dyDescent="0.3">
      <c r="A108" s="35"/>
      <c r="B108" s="653">
        <f>COSMADE!A14</f>
        <v>602</v>
      </c>
      <c r="C108" s="653" t="str">
        <f>COSMADE!B14</f>
        <v>FOLLEY CATHETER SIZE 6"</v>
      </c>
      <c r="D108" s="654">
        <f>COSMADE!C14</f>
        <v>10</v>
      </c>
      <c r="E108" s="653">
        <f>COSMADE!D14</f>
        <v>2</v>
      </c>
      <c r="F108" s="38">
        <f>COSMADE!E14</f>
        <v>1800</v>
      </c>
      <c r="G108" s="38">
        <f>COSMADE!F14</f>
        <v>3600</v>
      </c>
      <c r="H108" s="35"/>
    </row>
    <row r="109" spans="1:8" s="41" customFormat="1" ht="18.75" x14ac:dyDescent="0.3">
      <c r="A109" s="44"/>
      <c r="B109" s="653">
        <f>COSMADE!A15</f>
        <v>603</v>
      </c>
      <c r="C109" s="653" t="str">
        <f>COSMADE!B15</f>
        <v>FOLLEY CATHETER SIZE 8"</v>
      </c>
      <c r="D109" s="654">
        <f>COSMADE!C15</f>
        <v>10</v>
      </c>
      <c r="E109" s="653">
        <f>COSMADE!D15</f>
        <v>2</v>
      </c>
      <c r="F109" s="38">
        <f>COSMADE!E15</f>
        <v>1800</v>
      </c>
      <c r="G109" s="38">
        <f>COSMADE!F15</f>
        <v>3600</v>
      </c>
      <c r="H109" s="69"/>
    </row>
    <row r="110" spans="1:8" s="41" customFormat="1" ht="23.25" x14ac:dyDescent="0.35">
      <c r="A110" s="44"/>
      <c r="B110" s="653">
        <f>COSMADE!A16</f>
        <v>628</v>
      </c>
      <c r="C110" s="653" t="str">
        <f>COSMADE!B16</f>
        <v>PLASTER 4" (ZINC OXIDE)</v>
      </c>
      <c r="D110" s="654" t="str">
        <f>COSMADE!C16</f>
        <v>PCS</v>
      </c>
      <c r="E110" s="653">
        <f>COSMADE!D16</f>
        <v>100</v>
      </c>
      <c r="F110" s="38">
        <f>COSMADE!E16</f>
        <v>3000</v>
      </c>
      <c r="G110" s="38">
        <f>COSMADE!F16</f>
        <v>300000</v>
      </c>
      <c r="H110" s="186">
        <f>SUM(G100:G110)</f>
        <v>4626000</v>
      </c>
    </row>
    <row r="111" spans="1:8" s="42" customFormat="1" ht="18.75" x14ac:dyDescent="0.3">
      <c r="A111" s="35"/>
      <c r="B111" s="653"/>
      <c r="C111" s="653"/>
      <c r="D111" s="654"/>
      <c r="E111" s="653"/>
      <c r="F111" s="38"/>
      <c r="G111" s="38"/>
      <c r="H111" s="38"/>
    </row>
    <row r="112" spans="1:8" s="42" customFormat="1" ht="23.25" x14ac:dyDescent="0.35">
      <c r="A112" s="35">
        <v>8</v>
      </c>
      <c r="B112" s="35"/>
      <c r="C112" s="77" t="str">
        <f>SANCON!B1</f>
        <v>DE SANCON &amp; ASSOCIATES LIMITED</v>
      </c>
      <c r="D112" s="648"/>
      <c r="E112" s="35"/>
      <c r="F112" s="38"/>
      <c r="G112" s="38"/>
      <c r="H112" s="38"/>
    </row>
    <row r="113" spans="1:8" s="42" customFormat="1" ht="18.75" x14ac:dyDescent="0.3">
      <c r="A113" s="35"/>
      <c r="B113" s="653">
        <f>SANCON!A6</f>
        <v>586</v>
      </c>
      <c r="C113" s="653" t="str">
        <f>SANCON!B6</f>
        <v>CONDOM CATHETER</v>
      </c>
      <c r="D113" s="654">
        <f>SANCON!C6</f>
        <v>50</v>
      </c>
      <c r="E113" s="653">
        <f>SANCON!D6</f>
        <v>14</v>
      </c>
      <c r="F113" s="38">
        <f>SANCON!E6</f>
        <v>8625</v>
      </c>
      <c r="G113" s="38">
        <f>SANCON!F6</f>
        <v>120750</v>
      </c>
      <c r="H113" s="38"/>
    </row>
    <row r="114" spans="1:8" s="42" customFormat="1" ht="18.75" x14ac:dyDescent="0.3">
      <c r="A114" s="35"/>
      <c r="B114" s="653">
        <f>SANCON!A7</f>
        <v>587</v>
      </c>
      <c r="C114" s="653" t="str">
        <f>SANCON!B7</f>
        <v>CORD CLAMP</v>
      </c>
      <c r="D114" s="654">
        <f>SANCON!C7</f>
        <v>100</v>
      </c>
      <c r="E114" s="653">
        <f>SANCON!D7</f>
        <v>20</v>
      </c>
      <c r="F114" s="38">
        <f>SANCON!E7</f>
        <v>1725</v>
      </c>
      <c r="G114" s="38">
        <f>SANCON!F7</f>
        <v>34500</v>
      </c>
      <c r="H114" s="38"/>
    </row>
    <row r="115" spans="1:8" s="42" customFormat="1" ht="18.75" x14ac:dyDescent="0.3">
      <c r="A115" s="35"/>
      <c r="B115" s="653">
        <f>SANCON!A8</f>
        <v>588</v>
      </c>
      <c r="C115" s="653" t="str">
        <f>SANCON!B8</f>
        <v>COTTON BANDAGE 6"</v>
      </c>
      <c r="D115" s="654">
        <f>SANCON!C8</f>
        <v>12</v>
      </c>
      <c r="E115" s="653">
        <f>SANCON!D8</f>
        <v>20</v>
      </c>
      <c r="F115" s="38">
        <f>SANCON!E8</f>
        <v>460</v>
      </c>
      <c r="G115" s="38">
        <f>SANCON!F8</f>
        <v>9200</v>
      </c>
      <c r="H115" s="38"/>
    </row>
    <row r="116" spans="1:8" s="42" customFormat="1" ht="23.25" x14ac:dyDescent="0.35">
      <c r="A116" s="35"/>
      <c r="B116" s="653">
        <f>SANCON!A9</f>
        <v>609</v>
      </c>
      <c r="C116" s="653" t="str">
        <f>SANCON!B9</f>
        <v>NASOGASTRIC TUBE 10"</v>
      </c>
      <c r="D116" s="654">
        <f>SANCON!C9</f>
        <v>10</v>
      </c>
      <c r="E116" s="653">
        <f>SANCON!D9</f>
        <v>21</v>
      </c>
      <c r="F116" s="38">
        <f>SANCON!E9</f>
        <v>540</v>
      </c>
      <c r="G116" s="38">
        <f>SANCON!F9</f>
        <v>11340</v>
      </c>
      <c r="H116" s="186"/>
    </row>
    <row r="117" spans="1:8" s="42" customFormat="1" ht="18.75" x14ac:dyDescent="0.3">
      <c r="A117" s="35"/>
      <c r="B117" s="653">
        <f>SANCON!A10</f>
        <v>610</v>
      </c>
      <c r="C117" s="653" t="str">
        <f>SANCON!B10</f>
        <v>NASOGASTRIC TUBE 12"</v>
      </c>
      <c r="D117" s="654">
        <f>SANCON!C10</f>
        <v>10</v>
      </c>
      <c r="E117" s="653">
        <f>SANCON!D10</f>
        <v>8</v>
      </c>
      <c r="F117" s="38">
        <f>SANCON!E10</f>
        <v>540</v>
      </c>
      <c r="G117" s="38">
        <f>SANCON!F10</f>
        <v>4320</v>
      </c>
      <c r="H117" s="35"/>
    </row>
    <row r="118" spans="1:8" s="42" customFormat="1" ht="18.75" x14ac:dyDescent="0.3">
      <c r="A118" s="35"/>
      <c r="B118" s="653">
        <f>SANCON!A11</f>
        <v>611</v>
      </c>
      <c r="C118" s="653" t="str">
        <f>SANCON!B11</f>
        <v>NASOGASTRIC TUBE 14"</v>
      </c>
      <c r="D118" s="654">
        <f>SANCON!C11</f>
        <v>10</v>
      </c>
      <c r="E118" s="653">
        <f>SANCON!D11</f>
        <v>20</v>
      </c>
      <c r="F118" s="38">
        <f>SANCON!E11</f>
        <v>540</v>
      </c>
      <c r="G118" s="38">
        <f>SANCON!F11</f>
        <v>10800</v>
      </c>
      <c r="H118" s="35"/>
    </row>
    <row r="119" spans="1:8" s="42" customFormat="1" ht="23.25" x14ac:dyDescent="0.35">
      <c r="A119" s="35"/>
      <c r="B119" s="653">
        <f>SANCON!A12</f>
        <v>612</v>
      </c>
      <c r="C119" s="653" t="str">
        <f>SANCON!B12</f>
        <v>NASOGASTRIC TUBE 16"</v>
      </c>
      <c r="D119" s="654">
        <f>SANCON!C12</f>
        <v>10</v>
      </c>
      <c r="E119" s="653">
        <f>SANCON!D12</f>
        <v>20</v>
      </c>
      <c r="F119" s="38">
        <f>SANCON!E12</f>
        <v>540</v>
      </c>
      <c r="G119" s="38">
        <f>SANCON!F12</f>
        <v>10800</v>
      </c>
      <c r="H119" s="79"/>
    </row>
    <row r="120" spans="1:8" s="42" customFormat="1" ht="18.75" x14ac:dyDescent="0.3">
      <c r="A120" s="35"/>
      <c r="B120" s="653">
        <f>SANCON!A13</f>
        <v>613</v>
      </c>
      <c r="C120" s="653" t="str">
        <f>SANCON!B13</f>
        <v>NASOGASTRIC TUBE 18"</v>
      </c>
      <c r="D120" s="654">
        <f>SANCON!C13</f>
        <v>10</v>
      </c>
      <c r="E120" s="653">
        <f>SANCON!D13</f>
        <v>20</v>
      </c>
      <c r="F120" s="38">
        <f>SANCON!E13</f>
        <v>540</v>
      </c>
      <c r="G120" s="38">
        <f>SANCON!F13</f>
        <v>10800</v>
      </c>
      <c r="H120" s="38"/>
    </row>
    <row r="121" spans="1:8" s="42" customFormat="1" ht="18.75" x14ac:dyDescent="0.3">
      <c r="A121" s="35"/>
      <c r="B121" s="653">
        <f>SANCON!A14</f>
        <v>615</v>
      </c>
      <c r="C121" s="653" t="str">
        <f>SANCON!B14</f>
        <v>NASOGASTRIC TUBE 22"</v>
      </c>
      <c r="D121" s="654">
        <f>SANCON!C14</f>
        <v>10</v>
      </c>
      <c r="E121" s="653">
        <f>SANCON!D14</f>
        <v>4</v>
      </c>
      <c r="F121" s="38">
        <f>SANCON!E14</f>
        <v>540</v>
      </c>
      <c r="G121" s="38">
        <f>SANCON!F14</f>
        <v>2160</v>
      </c>
      <c r="H121" s="38"/>
    </row>
    <row r="122" spans="1:8" s="42" customFormat="1" ht="18.75" x14ac:dyDescent="0.3">
      <c r="A122" s="35"/>
      <c r="B122" s="653">
        <f>SANCON!A15</f>
        <v>616</v>
      </c>
      <c r="C122" s="653" t="str">
        <f>SANCON!B15</f>
        <v>NASOGASTRIC TUBE 5"</v>
      </c>
      <c r="D122" s="654">
        <f>SANCON!C15</f>
        <v>100</v>
      </c>
      <c r="E122" s="653">
        <f>SANCON!D15</f>
        <v>30</v>
      </c>
      <c r="F122" s="38">
        <f>SANCON!E15</f>
        <v>5400</v>
      </c>
      <c r="G122" s="38">
        <f>SANCON!F15</f>
        <v>162000</v>
      </c>
      <c r="H122" s="38"/>
    </row>
    <row r="123" spans="1:8" s="42" customFormat="1" ht="18.75" x14ac:dyDescent="0.3">
      <c r="A123" s="35"/>
      <c r="B123" s="653">
        <f>SANCON!A16</f>
        <v>617</v>
      </c>
      <c r="C123" s="653" t="str">
        <f>SANCON!B16</f>
        <v>NASOGASTRIC TUBE 6"</v>
      </c>
      <c r="D123" s="654">
        <f>SANCON!C16</f>
        <v>100</v>
      </c>
      <c r="E123" s="653">
        <f>SANCON!D16</f>
        <v>24</v>
      </c>
      <c r="F123" s="38">
        <f>SANCON!E16</f>
        <v>5400</v>
      </c>
      <c r="G123" s="38">
        <f>SANCON!F16</f>
        <v>129600</v>
      </c>
      <c r="H123" s="38"/>
    </row>
    <row r="124" spans="1:8" s="42" customFormat="1" ht="18.75" x14ac:dyDescent="0.3">
      <c r="A124" s="35"/>
      <c r="B124" s="653">
        <f>SANCON!A17</f>
        <v>618</v>
      </c>
      <c r="C124" s="653" t="str">
        <f>SANCON!B17</f>
        <v>NASOGASTRIC TUBE 8"</v>
      </c>
      <c r="D124" s="654">
        <f>SANCON!C17</f>
        <v>10</v>
      </c>
      <c r="E124" s="653">
        <f>SANCON!D17</f>
        <v>17</v>
      </c>
      <c r="F124" s="38">
        <f>SANCON!E17</f>
        <v>540</v>
      </c>
      <c r="G124" s="38">
        <f>SANCON!F17</f>
        <v>9180</v>
      </c>
      <c r="H124" s="38"/>
    </row>
    <row r="125" spans="1:8" s="42" customFormat="1" ht="18.75" x14ac:dyDescent="0.3">
      <c r="A125" s="35"/>
      <c r="B125" s="653">
        <f>SANCON!A18</f>
        <v>706</v>
      </c>
      <c r="C125" s="653" t="str">
        <f>SANCON!B18</f>
        <v>NYLON 2/0  (40-45) LONG NEEDLE</v>
      </c>
      <c r="D125" s="654">
        <f>SANCON!C18</f>
        <v>12</v>
      </c>
      <c r="E125" s="653">
        <f>SANCON!D18</f>
        <v>50</v>
      </c>
      <c r="F125" s="38">
        <f>SANCON!E18</f>
        <v>700</v>
      </c>
      <c r="G125" s="38">
        <f>SANCON!F18</f>
        <v>35000</v>
      </c>
      <c r="H125" s="38"/>
    </row>
    <row r="126" spans="1:8" s="42" customFormat="1" ht="18.75" x14ac:dyDescent="0.3">
      <c r="A126" s="35"/>
      <c r="B126" s="653">
        <f>SANCON!A19</f>
        <v>631</v>
      </c>
      <c r="C126" s="653" t="str">
        <f>SANCON!B19</f>
        <v>SCOTCH CAST 5"</v>
      </c>
      <c r="D126" s="654">
        <f>SANCON!C19</f>
        <v>10</v>
      </c>
      <c r="E126" s="653">
        <f>SANCON!D19</f>
        <v>23</v>
      </c>
      <c r="F126" s="38">
        <f>SANCON!E19</f>
        <v>16000</v>
      </c>
      <c r="G126" s="38">
        <f>SANCON!F19</f>
        <v>368000</v>
      </c>
      <c r="H126" s="38"/>
    </row>
    <row r="127" spans="1:8" s="42" customFormat="1" ht="18.75" x14ac:dyDescent="0.3">
      <c r="A127" s="35"/>
      <c r="B127" s="653">
        <f>SANCON!A20</f>
        <v>635</v>
      </c>
      <c r="C127" s="653" t="str">
        <f>SANCON!B20</f>
        <v>SKIN TRACTION KIT (ADULT)</v>
      </c>
      <c r="D127" s="654" t="str">
        <f>SANCON!C20</f>
        <v>PCS</v>
      </c>
      <c r="E127" s="653">
        <f>SANCON!D20</f>
        <v>120</v>
      </c>
      <c r="F127" s="38">
        <f>SANCON!E20</f>
        <v>4600</v>
      </c>
      <c r="G127" s="38">
        <f>SANCON!F20</f>
        <v>552000</v>
      </c>
      <c r="H127" s="38"/>
    </row>
    <row r="128" spans="1:8" s="42" customFormat="1" ht="18.75" x14ac:dyDescent="0.3">
      <c r="A128" s="35"/>
      <c r="B128" s="653">
        <f>SANCON!A21</f>
        <v>636</v>
      </c>
      <c r="C128" s="653" t="str">
        <f>SANCON!B21</f>
        <v>SKIN TRACTION KIT (PAED)</v>
      </c>
      <c r="D128" s="654" t="str">
        <f>SANCON!C21</f>
        <v>PCS</v>
      </c>
      <c r="E128" s="653">
        <f>SANCON!D21</f>
        <v>40</v>
      </c>
      <c r="F128" s="38">
        <f>SANCON!E21</f>
        <v>4000</v>
      </c>
      <c r="G128" s="38">
        <f>SANCON!F21</f>
        <v>160000</v>
      </c>
      <c r="H128" s="38"/>
    </row>
    <row r="129" spans="1:8" s="42" customFormat="1" ht="18.75" x14ac:dyDescent="0.3">
      <c r="A129" s="35"/>
      <c r="B129" s="653">
        <f>SANCON!A22</f>
        <v>640</v>
      </c>
      <c r="C129" s="653" t="str">
        <f>SANCON!B22</f>
        <v>SURGICAL BLADE 11"</v>
      </c>
      <c r="D129" s="654">
        <f>SANCON!C22</f>
        <v>100</v>
      </c>
      <c r="E129" s="653">
        <f>SANCON!D22</f>
        <v>4</v>
      </c>
      <c r="F129" s="38">
        <f>SANCON!E22</f>
        <v>1300</v>
      </c>
      <c r="G129" s="38">
        <f>SANCON!F22</f>
        <v>5200</v>
      </c>
      <c r="H129" s="38"/>
    </row>
    <row r="130" spans="1:8" s="42" customFormat="1" ht="18.75" x14ac:dyDescent="0.3">
      <c r="A130" s="35"/>
      <c r="B130" s="653">
        <f>SANCON!A23</f>
        <v>642</v>
      </c>
      <c r="C130" s="653" t="str">
        <f>SANCON!B23</f>
        <v>SURGICAL BLADE 15"</v>
      </c>
      <c r="D130" s="654">
        <f>SANCON!C23</f>
        <v>100</v>
      </c>
      <c r="E130" s="653">
        <f>SANCON!D23</f>
        <v>13</v>
      </c>
      <c r="F130" s="38">
        <f>SANCON!E23</f>
        <v>1300</v>
      </c>
      <c r="G130" s="38">
        <f>SANCON!F23</f>
        <v>16900</v>
      </c>
      <c r="H130" s="38"/>
    </row>
    <row r="131" spans="1:8" s="42" customFormat="1" ht="23.25" x14ac:dyDescent="0.35">
      <c r="A131" s="35"/>
      <c r="B131" s="653">
        <f>SANCON!A24</f>
        <v>644</v>
      </c>
      <c r="C131" s="653" t="str">
        <f>SANCON!B24</f>
        <v>SURGICAL BLADE 23"</v>
      </c>
      <c r="D131" s="654">
        <f>SANCON!C24</f>
        <v>100</v>
      </c>
      <c r="E131" s="653">
        <f>SANCON!D24</f>
        <v>20</v>
      </c>
      <c r="F131" s="38">
        <f>SANCON!E24</f>
        <v>1300</v>
      </c>
      <c r="G131" s="38">
        <f>SANCON!F24</f>
        <v>26000</v>
      </c>
      <c r="H131" s="186">
        <f>SUM(G113:G131)</f>
        <v>1678550</v>
      </c>
    </row>
    <row r="132" spans="1:8" s="42" customFormat="1" ht="18.75" x14ac:dyDescent="0.3">
      <c r="A132" s="35"/>
      <c r="B132" s="653"/>
      <c r="C132" s="653"/>
      <c r="D132" s="654"/>
      <c r="E132" s="653"/>
      <c r="F132" s="38"/>
      <c r="G132" s="38"/>
      <c r="H132" s="38"/>
    </row>
    <row r="133" spans="1:8" s="42" customFormat="1" ht="23.25" x14ac:dyDescent="0.35">
      <c r="A133" s="35"/>
      <c r="B133" s="653"/>
      <c r="C133" s="653"/>
      <c r="D133" s="654"/>
      <c r="E133" s="653"/>
      <c r="F133" s="38"/>
      <c r="G133" s="38"/>
      <c r="H133" s="186"/>
    </row>
    <row r="134" spans="1:8" s="42" customFormat="1" ht="23.25" x14ac:dyDescent="0.35">
      <c r="A134" s="35">
        <v>9</v>
      </c>
      <c r="B134" s="35"/>
      <c r="C134" s="77" t="str">
        <f>DEVON!B1</f>
        <v>DEVON PHARMACEUTICALS</v>
      </c>
      <c r="D134" s="648"/>
      <c r="E134" s="35"/>
      <c r="F134" s="38"/>
      <c r="G134" s="38"/>
      <c r="H134" s="35"/>
    </row>
    <row r="135" spans="1:8" s="42" customFormat="1" ht="18.75" x14ac:dyDescent="0.3">
      <c r="A135" s="35"/>
      <c r="B135" s="653">
        <f>DEVON!A6</f>
        <v>237</v>
      </c>
      <c r="C135" s="653" t="str">
        <f>DEVON!B6</f>
        <v>CIPROFLOXACIN INJ</v>
      </c>
      <c r="D135" s="654" t="str">
        <f>DEVON!C6</f>
        <v>BOTT</v>
      </c>
      <c r="E135" s="653">
        <f>DEVON!D6</f>
        <v>4200</v>
      </c>
      <c r="F135" s="38">
        <f>DEVON!E6</f>
        <v>90</v>
      </c>
      <c r="G135" s="38">
        <f>DEVON!F6</f>
        <v>378000</v>
      </c>
      <c r="H135" s="35"/>
    </row>
    <row r="136" spans="1:8" s="42" customFormat="1" ht="23.25" x14ac:dyDescent="0.35">
      <c r="A136" s="35"/>
      <c r="B136" s="653">
        <f>DEVON!A7</f>
        <v>676</v>
      </c>
      <c r="C136" s="653" t="str">
        <f>DEVON!B7</f>
        <v>IOHEXOL - CONTRAST MEDIA</v>
      </c>
      <c r="D136" s="654" t="str">
        <f>DEVON!C7</f>
        <v>BOTT</v>
      </c>
      <c r="E136" s="653">
        <f>DEVON!D7</f>
        <v>200</v>
      </c>
      <c r="F136" s="38">
        <f>DEVON!E7</f>
        <v>9945</v>
      </c>
      <c r="G136" s="38">
        <f>DEVON!F7</f>
        <v>1989000</v>
      </c>
      <c r="H136" s="186">
        <f>SUM(G135:G136)</f>
        <v>2367000</v>
      </c>
    </row>
    <row r="137" spans="1:8" s="42" customFormat="1" ht="18.75" x14ac:dyDescent="0.3">
      <c r="A137" s="35"/>
      <c r="B137" s="653"/>
      <c r="C137" s="653"/>
      <c r="D137" s="654"/>
      <c r="E137" s="653"/>
      <c r="F137" s="38"/>
      <c r="G137" s="38"/>
      <c r="H137" s="38"/>
    </row>
    <row r="138" spans="1:8" s="42" customFormat="1" ht="18.75" x14ac:dyDescent="0.3">
      <c r="A138" s="35"/>
      <c r="B138" s="653"/>
      <c r="C138" s="653"/>
      <c r="D138" s="654"/>
      <c r="E138" s="653"/>
      <c r="F138" s="38"/>
      <c r="G138" s="38"/>
      <c r="H138" s="38"/>
    </row>
    <row r="139" spans="1:8" s="42" customFormat="1" ht="23.25" x14ac:dyDescent="0.35">
      <c r="A139" s="35">
        <v>10</v>
      </c>
      <c r="B139" s="653"/>
      <c r="C139" s="656" t="str">
        <f>DORTEMAG!B1</f>
        <v>DORTEMAG VENTURES LIMITED</v>
      </c>
      <c r="D139" s="654"/>
      <c r="E139" s="653"/>
      <c r="F139" s="38"/>
      <c r="G139" s="38"/>
      <c r="H139" s="38"/>
    </row>
    <row r="140" spans="1:8" s="42" customFormat="1" ht="18.75" x14ac:dyDescent="0.3">
      <c r="A140" s="35"/>
      <c r="B140" s="653">
        <f>DORTEMAG!A6</f>
        <v>498</v>
      </c>
      <c r="C140" s="653" t="str">
        <f>DORTEMAG!B6</f>
        <v>BETAXOLOL GTT</v>
      </c>
      <c r="D140" s="654" t="str">
        <f>DORTEMAG!C6</f>
        <v>BOTT</v>
      </c>
      <c r="E140" s="653">
        <f>DORTEMAG!D6</f>
        <v>20</v>
      </c>
      <c r="F140" s="38">
        <f>DORTEMAG!E6</f>
        <v>603</v>
      </c>
      <c r="G140" s="38">
        <f>DORTEMAG!F6</f>
        <v>12060</v>
      </c>
      <c r="H140" s="38"/>
    </row>
    <row r="141" spans="1:8" s="42" customFormat="1" ht="18.75" x14ac:dyDescent="0.3">
      <c r="A141" s="35"/>
      <c r="B141" s="653">
        <f>DORTEMAG!A7</f>
        <v>227</v>
      </c>
      <c r="C141" s="653" t="str">
        <f>DORTEMAG!B7</f>
        <v>CEFTAZIDIME 1G INJ</v>
      </c>
      <c r="D141" s="654" t="str">
        <f>DORTEMAG!C7</f>
        <v>VIAL</v>
      </c>
      <c r="E141" s="653">
        <f>DORTEMAG!D7</f>
        <v>1200</v>
      </c>
      <c r="F141" s="38">
        <f>DORTEMAG!E7</f>
        <v>1850</v>
      </c>
      <c r="G141" s="38">
        <f>DORTEMAG!F7</f>
        <v>2220000</v>
      </c>
      <c r="H141" s="38"/>
    </row>
    <row r="142" spans="1:8" s="42" customFormat="1" ht="18.75" x14ac:dyDescent="0.3">
      <c r="A142" s="35"/>
      <c r="B142" s="653">
        <f>DORTEMAG!A8</f>
        <v>504</v>
      </c>
      <c r="C142" s="653" t="str">
        <f>DORTEMAG!B8</f>
        <v>CHLORAMPHENICOL EYE DROPS</v>
      </c>
      <c r="D142" s="654" t="str">
        <f>DORTEMAG!C8</f>
        <v>BOTT</v>
      </c>
      <c r="E142" s="653">
        <f>DORTEMAG!D8</f>
        <v>400</v>
      </c>
      <c r="F142" s="38">
        <f>DORTEMAG!E8</f>
        <v>100</v>
      </c>
      <c r="G142" s="38">
        <f>DORTEMAG!F8</f>
        <v>40000</v>
      </c>
      <c r="H142" s="38"/>
    </row>
    <row r="143" spans="1:8" s="42" customFormat="1" ht="18.75" x14ac:dyDescent="0.3">
      <c r="A143" s="35"/>
      <c r="B143" s="653">
        <f>DORTEMAG!A9</f>
        <v>503</v>
      </c>
      <c r="C143" s="653" t="str">
        <f>DORTEMAG!B9</f>
        <v>CHLORAMPHENICOL EYE OINTMENT</v>
      </c>
      <c r="D143" s="654" t="str">
        <f>DORTEMAG!C9</f>
        <v>TUBE</v>
      </c>
      <c r="E143" s="653">
        <f>DORTEMAG!D9</f>
        <v>1000</v>
      </c>
      <c r="F143" s="38">
        <f>DORTEMAG!E9</f>
        <v>100</v>
      </c>
      <c r="G143" s="38">
        <f>DORTEMAG!F9</f>
        <v>100000</v>
      </c>
      <c r="H143" s="38"/>
    </row>
    <row r="144" spans="1:8" s="42" customFormat="1" ht="18.75" x14ac:dyDescent="0.3">
      <c r="A144" s="35"/>
      <c r="B144" s="653">
        <f>DORTEMAG!A10</f>
        <v>505</v>
      </c>
      <c r="C144" s="653" t="str">
        <f>DORTEMAG!B10</f>
        <v>CIPROFLOXACIN EYE/EAR DROP</v>
      </c>
      <c r="D144" s="654" t="str">
        <f>DORTEMAG!C10</f>
        <v>BOTT</v>
      </c>
      <c r="E144" s="653">
        <f>DORTEMAG!D10</f>
        <v>1000</v>
      </c>
      <c r="F144" s="38">
        <f>DORTEMAG!E10</f>
        <v>430</v>
      </c>
      <c r="G144" s="38">
        <f>DORTEMAG!F10</f>
        <v>430000</v>
      </c>
      <c r="H144" s="38"/>
    </row>
    <row r="145" spans="1:8" s="42" customFormat="1" ht="18.75" x14ac:dyDescent="0.3">
      <c r="A145" s="35"/>
      <c r="B145" s="653">
        <f>DORTEMAG!A11</f>
        <v>506</v>
      </c>
      <c r="C145" s="653" t="str">
        <f>DORTEMAG!B11</f>
        <v>CROMOGLYCATE EYE DROP</v>
      </c>
      <c r="D145" s="654" t="str">
        <f>DORTEMAG!C11</f>
        <v>BOTT</v>
      </c>
      <c r="E145" s="653">
        <f>DORTEMAG!D11</f>
        <v>200</v>
      </c>
      <c r="F145" s="38">
        <f>DORTEMAG!E11</f>
        <v>572</v>
      </c>
      <c r="G145" s="38">
        <f>DORTEMAG!F11</f>
        <v>114400</v>
      </c>
      <c r="H145" s="38"/>
    </row>
    <row r="146" spans="1:8" s="42" customFormat="1" ht="18.75" x14ac:dyDescent="0.3">
      <c r="A146" s="35"/>
      <c r="B146" s="653">
        <f>DORTEMAG!A12</f>
        <v>508</v>
      </c>
      <c r="C146" s="653" t="str">
        <f>DORTEMAG!B12</f>
        <v>DEXAMETHSAONE EYE DROP</v>
      </c>
      <c r="D146" s="654" t="str">
        <f>DORTEMAG!C12</f>
        <v>BOTT</v>
      </c>
      <c r="E146" s="653">
        <f>DORTEMAG!D12</f>
        <v>300</v>
      </c>
      <c r="F146" s="38">
        <f>DORTEMAG!E12</f>
        <v>325</v>
      </c>
      <c r="G146" s="38">
        <f>DORTEMAG!F12</f>
        <v>97500</v>
      </c>
      <c r="H146" s="38"/>
    </row>
    <row r="147" spans="1:8" s="42" customFormat="1" ht="18.75" x14ac:dyDescent="0.3">
      <c r="A147" s="35"/>
      <c r="B147" s="653">
        <f>DORTEMAG!A13</f>
        <v>512</v>
      </c>
      <c r="C147" s="653" t="str">
        <f>DORTEMAG!B13</f>
        <v>FLURBIPROFEN EYE DROP</v>
      </c>
      <c r="D147" s="654" t="str">
        <f>DORTEMAG!C13</f>
        <v>BOTT</v>
      </c>
      <c r="E147" s="653">
        <f>DORTEMAG!D13</f>
        <v>600</v>
      </c>
      <c r="F147" s="38">
        <f>DORTEMAG!E13</f>
        <v>573</v>
      </c>
      <c r="G147" s="38">
        <f>DORTEMAG!F13</f>
        <v>343800</v>
      </c>
      <c r="H147" s="38"/>
    </row>
    <row r="148" spans="1:8" s="42" customFormat="1" ht="18.75" x14ac:dyDescent="0.3">
      <c r="A148" s="35"/>
      <c r="B148" s="653">
        <f>DORTEMAG!A14</f>
        <v>513</v>
      </c>
      <c r="C148" s="653" t="str">
        <f>DORTEMAG!B14</f>
        <v>GENTAMYCIN EYE DROP</v>
      </c>
      <c r="D148" s="654" t="str">
        <f>DORTEMAG!C14</f>
        <v>BOTT</v>
      </c>
      <c r="E148" s="653">
        <f>DORTEMAG!D14</f>
        <v>200</v>
      </c>
      <c r="F148" s="38">
        <f>DORTEMAG!E14</f>
        <v>100</v>
      </c>
      <c r="G148" s="38">
        <f>DORTEMAG!F14</f>
        <v>20000</v>
      </c>
      <c r="H148" s="38"/>
    </row>
    <row r="149" spans="1:8" s="42" customFormat="1" ht="18.75" x14ac:dyDescent="0.3">
      <c r="A149" s="35"/>
      <c r="B149" s="653">
        <f>DORTEMAG!A15</f>
        <v>514</v>
      </c>
      <c r="C149" s="653" t="str">
        <f>DORTEMAG!B15</f>
        <v>HYDROXYPROPYLMETHYLCELLULOSE GTT</v>
      </c>
      <c r="D149" s="654" t="str">
        <f>DORTEMAG!C15</f>
        <v>BOTT</v>
      </c>
      <c r="E149" s="653">
        <f>DORTEMAG!D15</f>
        <v>600</v>
      </c>
      <c r="F149" s="38">
        <f>DORTEMAG!E15</f>
        <v>572</v>
      </c>
      <c r="G149" s="38">
        <f>DORTEMAG!F15</f>
        <v>343200</v>
      </c>
      <c r="H149" s="38"/>
    </row>
    <row r="150" spans="1:8" s="42" customFormat="1" ht="18.75" x14ac:dyDescent="0.3">
      <c r="A150" s="35"/>
      <c r="B150" s="653">
        <f>DORTEMAG!A16</f>
        <v>163</v>
      </c>
      <c r="C150" s="653" t="str">
        <f>DORTEMAG!B16</f>
        <v>IBUPROFEN SYRUP</v>
      </c>
      <c r="D150" s="654" t="str">
        <f>DORTEMAG!C16</f>
        <v>BOTT</v>
      </c>
      <c r="E150" s="653">
        <f>DORTEMAG!D16</f>
        <v>500</v>
      </c>
      <c r="F150" s="38">
        <f>DORTEMAG!E16</f>
        <v>200</v>
      </c>
      <c r="G150" s="38">
        <f>DORTEMAG!F16</f>
        <v>100000</v>
      </c>
      <c r="H150" s="38"/>
    </row>
    <row r="151" spans="1:8" s="42" customFormat="1" ht="18.75" x14ac:dyDescent="0.3">
      <c r="A151" s="35"/>
      <c r="B151" s="653">
        <f>DORTEMAG!A17</f>
        <v>529</v>
      </c>
      <c r="C151" s="653" t="str">
        <f>DORTEMAG!B17</f>
        <v>TIMOLOL EYE DROPS</v>
      </c>
      <c r="D151" s="654" t="str">
        <f>DORTEMAG!C17</f>
        <v>BOTT</v>
      </c>
      <c r="E151" s="653">
        <f>DORTEMAG!D17</f>
        <v>880</v>
      </c>
      <c r="F151" s="38">
        <f>DORTEMAG!E17</f>
        <v>473</v>
      </c>
      <c r="G151" s="38">
        <f>DORTEMAG!F17</f>
        <v>416240</v>
      </c>
      <c r="H151" s="38"/>
    </row>
    <row r="152" spans="1:8" s="42" customFormat="1" ht="23.25" x14ac:dyDescent="0.35">
      <c r="A152" s="35"/>
      <c r="B152" s="653">
        <f>DORTEMAG!A18</f>
        <v>535</v>
      </c>
      <c r="C152" s="653" t="str">
        <f>DORTEMAG!B18</f>
        <v>TROPICAMIDE GTT</v>
      </c>
      <c r="D152" s="654" t="str">
        <f>DORTEMAG!C18</f>
        <v>BOTT</v>
      </c>
      <c r="E152" s="653">
        <f>DORTEMAG!D18</f>
        <v>160</v>
      </c>
      <c r="F152" s="38">
        <f>DORTEMAG!E18</f>
        <v>950</v>
      </c>
      <c r="G152" s="38">
        <f>DORTEMAG!F18</f>
        <v>152000</v>
      </c>
      <c r="H152" s="186">
        <f>SUM(G140:G152)</f>
        <v>4389200</v>
      </c>
    </row>
    <row r="153" spans="1:8" s="42" customFormat="1" ht="18.75" x14ac:dyDescent="0.3">
      <c r="A153" s="35"/>
      <c r="B153" s="653"/>
      <c r="C153" s="653"/>
      <c r="D153" s="654"/>
      <c r="E153" s="653"/>
      <c r="F153" s="38"/>
      <c r="G153" s="38"/>
      <c r="H153" s="38"/>
    </row>
    <row r="154" spans="1:8" s="42" customFormat="1" ht="18.75" x14ac:dyDescent="0.3">
      <c r="A154" s="35"/>
      <c r="B154" s="653"/>
      <c r="C154" s="653"/>
      <c r="D154" s="654"/>
      <c r="E154" s="653"/>
      <c r="F154" s="38"/>
      <c r="G154" s="38"/>
      <c r="H154" s="38"/>
    </row>
    <row r="155" spans="1:8" s="42" customFormat="1" ht="23.25" x14ac:dyDescent="0.35">
      <c r="A155" s="35">
        <v>11</v>
      </c>
      <c r="B155" s="35"/>
      <c r="C155" s="77" t="str">
        <f>DGF!B1</f>
        <v>DRUGFIELD PHARMACEUTICALS LIMITED</v>
      </c>
      <c r="D155" s="648"/>
      <c r="E155" s="35"/>
      <c r="F155" s="38"/>
      <c r="G155" s="38"/>
      <c r="H155" s="38"/>
    </row>
    <row r="156" spans="1:8" s="42" customFormat="1" ht="18.75" x14ac:dyDescent="0.3">
      <c r="A156" s="35"/>
      <c r="B156" s="653">
        <f>DGF!A6</f>
        <v>496</v>
      </c>
      <c r="C156" s="653" t="str">
        <f>DGF!B6</f>
        <v>ANTAZOLINE HCL+TETRAZOLINE HCL</v>
      </c>
      <c r="D156" s="654" t="str">
        <f>DGF!C6</f>
        <v>BOTT</v>
      </c>
      <c r="E156" s="653">
        <f>DGF!D6</f>
        <v>2400</v>
      </c>
      <c r="F156" s="38">
        <f>DGF!E6</f>
        <v>500</v>
      </c>
      <c r="G156" s="38">
        <f>DGF!F6</f>
        <v>1200000</v>
      </c>
      <c r="H156" s="38"/>
    </row>
    <row r="157" spans="1:8" s="42" customFormat="1" ht="18.75" x14ac:dyDescent="0.3">
      <c r="A157" s="35"/>
      <c r="B157" s="653">
        <f>DGF!A7</f>
        <v>499</v>
      </c>
      <c r="C157" s="653" t="str">
        <f>DGF!B7</f>
        <v>BRIMONIDINE GTT</v>
      </c>
      <c r="D157" s="654" t="str">
        <f>DGF!C7</f>
        <v>BOTT</v>
      </c>
      <c r="E157" s="653">
        <f>DGF!D7</f>
        <v>20</v>
      </c>
      <c r="F157" s="38">
        <f>DGF!E7</f>
        <v>1300</v>
      </c>
      <c r="G157" s="38">
        <f>DGF!F7</f>
        <v>26000</v>
      </c>
      <c r="H157" s="38"/>
    </row>
    <row r="158" spans="1:8" s="42" customFormat="1" ht="18.75" x14ac:dyDescent="0.3">
      <c r="A158" s="35"/>
      <c r="B158" s="653">
        <f>DGF!A8</f>
        <v>509</v>
      </c>
      <c r="C158" s="653" t="str">
        <f>DGF!B8</f>
        <v>DICLOFENAC GTT</v>
      </c>
      <c r="D158" s="654" t="str">
        <f>DGF!C8</f>
        <v>BOTT</v>
      </c>
      <c r="E158" s="653">
        <f>DGF!D8</f>
        <v>52</v>
      </c>
      <c r="F158" s="38">
        <f>DGF!E8</f>
        <v>450</v>
      </c>
      <c r="G158" s="38">
        <f>DGF!F8</f>
        <v>23400</v>
      </c>
      <c r="H158" s="38"/>
    </row>
    <row r="159" spans="1:8" s="42" customFormat="1" ht="18.75" x14ac:dyDescent="0.3">
      <c r="A159" s="35"/>
      <c r="B159" s="653">
        <f>DGF!A9</f>
        <v>511</v>
      </c>
      <c r="C159" s="653" t="str">
        <f>DGF!B9</f>
        <v>FLUCONAZOLE GTT</v>
      </c>
      <c r="D159" s="654" t="str">
        <f>DGF!C9</f>
        <v>BOTT</v>
      </c>
      <c r="E159" s="653">
        <f>DGF!D9</f>
        <v>40</v>
      </c>
      <c r="F159" s="38">
        <f>DGF!E9</f>
        <v>720</v>
      </c>
      <c r="G159" s="38">
        <f>DGF!F9</f>
        <v>28800</v>
      </c>
      <c r="H159" s="38"/>
    </row>
    <row r="160" spans="1:8" s="42" customFormat="1" ht="18.75" x14ac:dyDescent="0.3">
      <c r="A160" s="35"/>
      <c r="B160" s="653">
        <f>DGF!A10</f>
        <v>254</v>
      </c>
      <c r="C160" s="653" t="str">
        <f>DGF!B10</f>
        <v>GENTAMICIN CREAM</v>
      </c>
      <c r="D160" s="654" t="str">
        <f>DGF!C10</f>
        <v>20G</v>
      </c>
      <c r="E160" s="653">
        <f>DGF!D10</f>
        <v>100</v>
      </c>
      <c r="F160" s="38">
        <f>DGF!E10</f>
        <v>210</v>
      </c>
      <c r="G160" s="38">
        <f>DGF!F10</f>
        <v>21000</v>
      </c>
      <c r="H160" s="38"/>
    </row>
    <row r="161" spans="1:8" s="42" customFormat="1" ht="18.75" x14ac:dyDescent="0.3">
      <c r="A161" s="35"/>
      <c r="B161" s="653">
        <f>DGF!A11</f>
        <v>65</v>
      </c>
      <c r="C161" s="653" t="str">
        <f>DGF!B11</f>
        <v>HYDROCHLOROTHIAZIDE 25MG TAB</v>
      </c>
      <c r="D161" s="654">
        <f>DGF!C11</f>
        <v>30</v>
      </c>
      <c r="E161" s="653">
        <f>DGF!D11</f>
        <v>3000</v>
      </c>
      <c r="F161" s="38">
        <f>DGF!E11</f>
        <v>300</v>
      </c>
      <c r="G161" s="38">
        <f>DGF!F11</f>
        <v>900000</v>
      </c>
      <c r="H161" s="38"/>
    </row>
    <row r="162" spans="1:8" s="42" customFormat="1" ht="18.75" x14ac:dyDescent="0.3">
      <c r="A162" s="35"/>
      <c r="B162" s="653">
        <f>DGF!A12</f>
        <v>693</v>
      </c>
      <c r="C162" s="653" t="str">
        <f>DGF!B12</f>
        <v>HYDROCORTICONE  CREAM</v>
      </c>
      <c r="D162" s="654" t="str">
        <f>DGF!C12</f>
        <v>TUBE</v>
      </c>
      <c r="E162" s="653">
        <f>DGF!D12</f>
        <v>200</v>
      </c>
      <c r="F162" s="38">
        <f>DGF!E12</f>
        <v>300</v>
      </c>
      <c r="G162" s="38">
        <f>DGF!F12</f>
        <v>60000</v>
      </c>
      <c r="H162" s="38"/>
    </row>
    <row r="163" spans="1:8" s="42" customFormat="1" ht="18.75" x14ac:dyDescent="0.3">
      <c r="A163" s="35"/>
      <c r="B163" s="653">
        <f>DGF!A13</f>
        <v>260</v>
      </c>
      <c r="C163" s="653" t="str">
        <f>DGF!B13</f>
        <v>KETOCONAZOLE CREAM 2% COMPOUND</v>
      </c>
      <c r="D163" s="654" t="str">
        <f>DGF!C13</f>
        <v>20g</v>
      </c>
      <c r="E163" s="653">
        <f>DGF!D13</f>
        <v>500</v>
      </c>
      <c r="F163" s="38">
        <f>DGF!E13</f>
        <v>360</v>
      </c>
      <c r="G163" s="38">
        <f>DGF!F13</f>
        <v>180000</v>
      </c>
      <c r="H163" s="38"/>
    </row>
    <row r="164" spans="1:8" s="42" customFormat="1" ht="23.25" x14ac:dyDescent="0.35">
      <c r="A164" s="35"/>
      <c r="B164" s="653">
        <f>DGF!A14</f>
        <v>526</v>
      </c>
      <c r="C164" s="653" t="str">
        <f>DGF!B14</f>
        <v>POTASSIUM IODIDE+SODIUM IODIDE GTT</v>
      </c>
      <c r="D164" s="654" t="str">
        <f>DGF!C14</f>
        <v>BOTT</v>
      </c>
      <c r="E164" s="653">
        <f>DGF!D14</f>
        <v>10</v>
      </c>
      <c r="F164" s="38">
        <f>DGF!E14</f>
        <v>650</v>
      </c>
      <c r="G164" s="38">
        <f>DGF!F14</f>
        <v>6500</v>
      </c>
      <c r="H164" s="79"/>
    </row>
    <row r="165" spans="1:8" s="42" customFormat="1" ht="18.75" x14ac:dyDescent="0.3">
      <c r="A165" s="35"/>
      <c r="B165" s="653">
        <f>DGF!A15</f>
        <v>18</v>
      </c>
      <c r="C165" s="653" t="str">
        <f>DGF!B15</f>
        <v>SULPHADOXINE/PYRIMETHAMINE TAB</v>
      </c>
      <c r="D165" s="654">
        <f>DGF!C15</f>
        <v>50</v>
      </c>
      <c r="E165" s="653">
        <f>DGF!D15</f>
        <v>20</v>
      </c>
      <c r="F165" s="38">
        <f>DGF!E15</f>
        <v>2900</v>
      </c>
      <c r="G165" s="38">
        <f>DGF!F15</f>
        <v>58000</v>
      </c>
      <c r="H165" s="38"/>
    </row>
    <row r="166" spans="1:8" s="42" customFormat="1" ht="23.25" x14ac:dyDescent="0.35">
      <c r="A166" s="35"/>
      <c r="B166" s="653">
        <f>DGF!A16</f>
        <v>535</v>
      </c>
      <c r="C166" s="653" t="str">
        <f>DGF!B16</f>
        <v>TROPICAMIDE GTT</v>
      </c>
      <c r="D166" s="654" t="str">
        <f>DGF!C16</f>
        <v>BOTT</v>
      </c>
      <c r="E166" s="653">
        <f>DGF!D16</f>
        <v>40</v>
      </c>
      <c r="F166" s="38">
        <f>DGF!E16</f>
        <v>500</v>
      </c>
      <c r="G166" s="38">
        <f>DGF!F16</f>
        <v>20000</v>
      </c>
      <c r="H166" s="186">
        <f>SUM(G156:G166)</f>
        <v>2523700</v>
      </c>
    </row>
    <row r="167" spans="1:8" s="67" customFormat="1" x14ac:dyDescent="0.35">
      <c r="A167" s="35"/>
      <c r="B167" s="653"/>
      <c r="C167" s="653"/>
      <c r="D167" s="654"/>
      <c r="E167" s="653"/>
      <c r="F167" s="38"/>
      <c r="G167" s="38"/>
      <c r="H167" s="76"/>
    </row>
    <row r="168" spans="1:8" s="42" customFormat="1" ht="18.75" x14ac:dyDescent="0.3">
      <c r="A168" s="35"/>
      <c r="B168" s="35"/>
      <c r="C168" s="35"/>
      <c r="D168" s="648"/>
      <c r="E168" s="35"/>
      <c r="F168" s="38"/>
      <c r="G168" s="38"/>
      <c r="H168" s="38"/>
    </row>
    <row r="169" spans="1:8" s="42" customFormat="1" ht="23.25" x14ac:dyDescent="0.35">
      <c r="A169" s="35">
        <v>12</v>
      </c>
      <c r="B169" s="35"/>
      <c r="C169" s="77" t="str">
        <f>EMZOR!B1</f>
        <v>EMZOR PHARMACEUTICALS LIMITED</v>
      </c>
      <c r="D169" s="648"/>
      <c r="E169" s="35"/>
      <c r="F169" s="38"/>
      <c r="G169" s="38"/>
      <c r="H169" s="38"/>
    </row>
    <row r="170" spans="1:8" s="42" customFormat="1" ht="18.75" x14ac:dyDescent="0.3">
      <c r="A170" s="35"/>
      <c r="B170" s="653">
        <f>EMZOR!A6</f>
        <v>212</v>
      </c>
      <c r="C170" s="653" t="str">
        <f>EMZOR!B6</f>
        <v>AMPICILLIN/CLOXACILLIN 250MG/5ML SUSP</v>
      </c>
      <c r="D170" s="654" t="str">
        <f>EMZOR!C6</f>
        <v>BOTT</v>
      </c>
      <c r="E170" s="653">
        <f>EMZOR!D6</f>
        <v>250</v>
      </c>
      <c r="F170" s="38">
        <f>EMZOR!E6</f>
        <v>275.92400000000004</v>
      </c>
      <c r="G170" s="38">
        <f>EMZOR!F6</f>
        <v>68981.000000000015</v>
      </c>
      <c r="H170" s="38"/>
    </row>
    <row r="171" spans="1:8" s="42" customFormat="1" ht="18.75" x14ac:dyDescent="0.3">
      <c r="A171" s="35"/>
      <c r="B171" s="653">
        <f>EMZOR!A7</f>
        <v>3</v>
      </c>
      <c r="C171" s="653" t="str">
        <f>EMZOR!B7</f>
        <v>ARTEMETHER/LUMEFANTRINE (20/120) SYR</v>
      </c>
      <c r="D171" s="654" t="str">
        <f>EMZOR!C7</f>
        <v>BOTT</v>
      </c>
      <c r="E171" s="653">
        <f>EMZOR!D7</f>
        <v>200</v>
      </c>
      <c r="F171" s="38">
        <f>EMZOR!E7</f>
        <v>280</v>
      </c>
      <c r="G171" s="38">
        <f>EMZOR!F7</f>
        <v>56000</v>
      </c>
      <c r="H171" s="38"/>
    </row>
    <row r="172" spans="1:8" s="42" customFormat="1" ht="18.75" x14ac:dyDescent="0.3">
      <c r="A172" s="35"/>
      <c r="B172" s="653">
        <f>EMZOR!A8</f>
        <v>7</v>
      </c>
      <c r="C172" s="653" t="str">
        <f>EMZOR!B8</f>
        <v>ARTEMETHER/LUMEFANTRINE (20/120) TAB DISPERSIBLE</v>
      </c>
      <c r="D172" s="654">
        <f>EMZOR!C8</f>
        <v>6</v>
      </c>
      <c r="E172" s="653">
        <f>EMZOR!D8</f>
        <v>600</v>
      </c>
      <c r="F172" s="38">
        <f>EMZOR!E8</f>
        <v>100</v>
      </c>
      <c r="G172" s="38">
        <f>EMZOR!F8</f>
        <v>60000</v>
      </c>
      <c r="H172" s="38"/>
    </row>
    <row r="173" spans="1:8" s="42" customFormat="1" ht="18.75" x14ac:dyDescent="0.3">
      <c r="A173" s="35"/>
      <c r="B173" s="653">
        <f>EMZOR!A9</f>
        <v>8</v>
      </c>
      <c r="C173" s="653" t="str">
        <f>EMZOR!B9</f>
        <v>ARTEMETHER/LUMEFANTRINE (80/480) TAB</v>
      </c>
      <c r="D173" s="654">
        <f>EMZOR!C9</f>
        <v>6</v>
      </c>
      <c r="E173" s="653">
        <f>EMZOR!D9</f>
        <v>2000</v>
      </c>
      <c r="F173" s="38">
        <f>EMZOR!E9</f>
        <v>260</v>
      </c>
      <c r="G173" s="38">
        <f>EMZOR!F9</f>
        <v>520000</v>
      </c>
      <c r="H173" s="38"/>
    </row>
    <row r="174" spans="1:8" s="42" customFormat="1" ht="18.75" x14ac:dyDescent="0.3">
      <c r="A174" s="35"/>
      <c r="B174" s="653">
        <f>EMZOR!A10</f>
        <v>46</v>
      </c>
      <c r="C174" s="653" t="str">
        <f>EMZOR!B10</f>
        <v>ASPIRIN 75MG TAB</v>
      </c>
      <c r="D174" s="654">
        <f>EMZOR!C10</f>
        <v>100</v>
      </c>
      <c r="E174" s="653">
        <f>EMZOR!D10</f>
        <v>1000</v>
      </c>
      <c r="F174" s="38">
        <f>EMZOR!E10</f>
        <v>100</v>
      </c>
      <c r="G174" s="38">
        <f>EMZOR!F10</f>
        <v>100000</v>
      </c>
      <c r="H174" s="38"/>
    </row>
    <row r="175" spans="1:8" s="42" customFormat="1" ht="18.75" x14ac:dyDescent="0.3">
      <c r="A175" s="35"/>
      <c r="B175" s="653">
        <f>EMZOR!A11</f>
        <v>688</v>
      </c>
      <c r="C175" s="653" t="str">
        <f>EMZOR!B11</f>
        <v>CHLORHEXIDINE GEL 25G</v>
      </c>
      <c r="D175" s="654" t="str">
        <f>EMZOR!C11</f>
        <v>TUBE</v>
      </c>
      <c r="E175" s="653">
        <f>EMZOR!D11</f>
        <v>52</v>
      </c>
      <c r="F175" s="38">
        <f>EMZOR!E11</f>
        <v>120</v>
      </c>
      <c r="G175" s="38">
        <f>EMZOR!F11</f>
        <v>6240</v>
      </c>
      <c r="H175" s="38"/>
    </row>
    <row r="176" spans="1:8" s="42" customFormat="1" ht="18.75" x14ac:dyDescent="0.3">
      <c r="A176" s="35"/>
      <c r="B176" s="653">
        <f>EMZOR!A12</f>
        <v>472</v>
      </c>
      <c r="C176" s="653" t="str">
        <f>EMZOR!B12</f>
        <v>CHLORPHENIRAMINE 4MG TAB</v>
      </c>
      <c r="D176" s="654">
        <f>EMZOR!C12</f>
        <v>1000</v>
      </c>
      <c r="E176" s="653">
        <f>EMZOR!D12</f>
        <v>20</v>
      </c>
      <c r="F176" s="38">
        <f>EMZOR!E12</f>
        <v>310</v>
      </c>
      <c r="G176" s="38">
        <f>EMZOR!F12</f>
        <v>6200</v>
      </c>
      <c r="H176" s="38"/>
    </row>
    <row r="177" spans="1:8" s="42" customFormat="1" ht="18.75" x14ac:dyDescent="0.3">
      <c r="A177" s="35"/>
      <c r="B177" s="653">
        <f>EMZOR!A13</f>
        <v>308</v>
      </c>
      <c r="C177" s="653" t="str">
        <f>EMZOR!B13</f>
        <v>FOLIC ACID TAB</v>
      </c>
      <c r="D177" s="654">
        <f>EMZOR!C13</f>
        <v>1000</v>
      </c>
      <c r="E177" s="653">
        <f>EMZOR!D13</f>
        <v>200</v>
      </c>
      <c r="F177" s="38">
        <f>EMZOR!E13</f>
        <v>800</v>
      </c>
      <c r="G177" s="38">
        <f>EMZOR!F13</f>
        <v>160000</v>
      </c>
      <c r="H177" s="38"/>
    </row>
    <row r="178" spans="1:8" s="42" customFormat="1" ht="18.75" x14ac:dyDescent="0.3">
      <c r="A178" s="35"/>
      <c r="B178" s="653">
        <f>EMZOR!A14</f>
        <v>161</v>
      </c>
      <c r="C178" s="653" t="str">
        <f>EMZOR!B14</f>
        <v>IBUPROFEN 200MG TAB</v>
      </c>
      <c r="D178" s="654">
        <f>EMZOR!C14</f>
        <v>100</v>
      </c>
      <c r="E178" s="653">
        <f>EMZOR!D14</f>
        <v>200</v>
      </c>
      <c r="F178" s="38">
        <f>EMZOR!E14</f>
        <v>166.23200000000003</v>
      </c>
      <c r="G178" s="38">
        <f>EMZOR!F14</f>
        <v>33246.400000000009</v>
      </c>
      <c r="H178" s="35"/>
    </row>
    <row r="179" spans="1:8" s="42" customFormat="1" ht="18.75" x14ac:dyDescent="0.3">
      <c r="A179" s="35"/>
      <c r="B179" s="653">
        <f>EMZOR!A15</f>
        <v>337</v>
      </c>
      <c r="C179" s="653" t="str">
        <f>EMZOR!B15</f>
        <v>VITAMIN B COMPLEX TAB</v>
      </c>
      <c r="D179" s="654">
        <f>EMZOR!C15</f>
        <v>1000</v>
      </c>
      <c r="E179" s="653">
        <f>EMZOR!D15</f>
        <v>400</v>
      </c>
      <c r="F179" s="38">
        <f>EMZOR!E15</f>
        <v>500.46</v>
      </c>
      <c r="G179" s="38">
        <f>EMZOR!F15</f>
        <v>200184</v>
      </c>
      <c r="H179" s="35"/>
    </row>
    <row r="180" spans="1:8" s="42" customFormat="1" ht="18.75" x14ac:dyDescent="0.3">
      <c r="A180" s="35"/>
      <c r="B180" s="653">
        <f>EMZOR!A16</f>
        <v>341</v>
      </c>
      <c r="C180" s="653" t="str">
        <f>EMZOR!B16</f>
        <v>VITAMIN C 100MG (WHITE)</v>
      </c>
      <c r="D180" s="654">
        <f>EMZOR!C16</f>
        <v>1000</v>
      </c>
      <c r="E180" s="653">
        <f>EMZOR!D16</f>
        <v>800</v>
      </c>
      <c r="F180" s="38">
        <f>EMZOR!E16</f>
        <v>758.91200000000003</v>
      </c>
      <c r="G180" s="38">
        <f>EMZOR!F16</f>
        <v>607129.59999999998</v>
      </c>
      <c r="H180" s="35"/>
    </row>
    <row r="181" spans="1:8" s="42" customFormat="1" ht="18.75" x14ac:dyDescent="0.3">
      <c r="A181" s="35"/>
      <c r="B181" s="653">
        <f>EMZOR!A17</f>
        <v>344</v>
      </c>
      <c r="C181" s="653" t="str">
        <f>EMZOR!B17</f>
        <v>VITAMIN C SYRUP</v>
      </c>
      <c r="D181" s="654" t="str">
        <f>EMZOR!C17</f>
        <v>BOTT</v>
      </c>
      <c r="E181" s="653">
        <f>EMZOR!D17</f>
        <v>1500</v>
      </c>
      <c r="F181" s="38">
        <f>EMZOR!E17</f>
        <v>163.9</v>
      </c>
      <c r="G181" s="38">
        <f>EMZOR!F17</f>
        <v>245850</v>
      </c>
      <c r="H181" s="35"/>
    </row>
    <row r="182" spans="1:8" s="42" customFormat="1" ht="23.25" x14ac:dyDescent="0.35">
      <c r="A182" s="35"/>
      <c r="B182" s="653">
        <f>EMZOR!A18</f>
        <v>454</v>
      </c>
      <c r="C182" s="653" t="str">
        <f>EMZOR!B18</f>
        <v>ZINC SULPHATE TAB</v>
      </c>
      <c r="D182" s="654">
        <f>EMZOR!C18</f>
        <v>10</v>
      </c>
      <c r="E182" s="653">
        <f>EMZOR!D18</f>
        <v>1000</v>
      </c>
      <c r="F182" s="38">
        <f>EMZOR!E18</f>
        <v>42.756999999999998</v>
      </c>
      <c r="G182" s="38">
        <f>EMZOR!F18</f>
        <v>42757</v>
      </c>
      <c r="H182" s="186">
        <f>SUM(G170:G182)</f>
        <v>2106588</v>
      </c>
    </row>
    <row r="183" spans="1:8" s="42" customFormat="1" ht="18.75" x14ac:dyDescent="0.3">
      <c r="A183" s="35"/>
      <c r="B183" s="653"/>
      <c r="C183" s="653"/>
      <c r="D183" s="654"/>
      <c r="E183" s="653"/>
      <c r="F183" s="38"/>
      <c r="G183" s="38"/>
      <c r="H183" s="38"/>
    </row>
    <row r="184" spans="1:8" s="42" customFormat="1" ht="18.75" x14ac:dyDescent="0.3">
      <c r="A184" s="35"/>
      <c r="B184" s="35"/>
      <c r="C184" s="35"/>
      <c r="D184" s="648"/>
      <c r="E184" s="35"/>
      <c r="F184" s="38"/>
      <c r="G184" s="38"/>
      <c r="H184" s="38"/>
    </row>
    <row r="185" spans="1:8" s="42" customFormat="1" ht="23.25" x14ac:dyDescent="0.35">
      <c r="A185" s="35">
        <v>13</v>
      </c>
      <c r="B185" s="35"/>
      <c r="C185" s="77" t="str">
        <f>EUMATT!B1</f>
        <v>EUMATT SERVICES LIMITED</v>
      </c>
      <c r="D185" s="648"/>
      <c r="E185" s="35"/>
      <c r="F185" s="38"/>
      <c r="G185" s="38"/>
      <c r="H185" s="79"/>
    </row>
    <row r="186" spans="1:8" s="42" customFormat="1" ht="18.75" x14ac:dyDescent="0.3">
      <c r="A186" s="35"/>
      <c r="B186" s="653">
        <f>EUMATT!A6</f>
        <v>570</v>
      </c>
      <c r="C186" s="653" t="str">
        <f>EUMATT!B6</f>
        <v>10CC NEEDLE/SYRINGE</v>
      </c>
      <c r="D186" s="654">
        <f>EUMATT!C6</f>
        <v>100</v>
      </c>
      <c r="E186" s="653">
        <f>EUMATT!D6</f>
        <v>2000</v>
      </c>
      <c r="F186" s="38">
        <f>EUMATT!E6</f>
        <v>1800</v>
      </c>
      <c r="G186" s="38">
        <f>EUMATT!F6</f>
        <v>3600000</v>
      </c>
      <c r="H186" s="38"/>
    </row>
    <row r="187" spans="1:8" s="42" customFormat="1" ht="18.75" x14ac:dyDescent="0.3">
      <c r="A187" s="35"/>
      <c r="B187" s="653">
        <f>EUMATT!A7</f>
        <v>571</v>
      </c>
      <c r="C187" s="653" t="str">
        <f>EUMATT!B7</f>
        <v>20CC NEEDLE/SYRINGE</v>
      </c>
      <c r="D187" s="654">
        <f>EUMATT!C7</f>
        <v>80</v>
      </c>
      <c r="E187" s="653">
        <f>EUMATT!D7</f>
        <v>200</v>
      </c>
      <c r="F187" s="38">
        <f>EUMATT!E7</f>
        <v>3000</v>
      </c>
      <c r="G187" s="38">
        <f>EUMATT!F7</f>
        <v>600000</v>
      </c>
      <c r="H187" s="38"/>
    </row>
    <row r="188" spans="1:8" s="42" customFormat="1" ht="18.75" x14ac:dyDescent="0.3">
      <c r="A188" s="35"/>
      <c r="B188" s="653">
        <f>EUMATT!A8</f>
        <v>574</v>
      </c>
      <c r="C188" s="653" t="str">
        <f>EUMATT!B8</f>
        <v>25G NEEDLE</v>
      </c>
      <c r="D188" s="654">
        <f>EUMATT!C8</f>
        <v>100</v>
      </c>
      <c r="E188" s="653">
        <f>EUMATT!D8</f>
        <v>300</v>
      </c>
      <c r="F188" s="38">
        <f>EUMATT!E8</f>
        <v>400</v>
      </c>
      <c r="G188" s="38">
        <f>EUMATT!F8</f>
        <v>120000</v>
      </c>
      <c r="H188" s="38"/>
    </row>
    <row r="189" spans="1:8" s="42" customFormat="1" ht="18.75" x14ac:dyDescent="0.3">
      <c r="A189" s="35"/>
      <c r="B189" s="653">
        <f>EUMATT!A9</f>
        <v>575</v>
      </c>
      <c r="C189" s="653" t="str">
        <f>EUMATT!B9</f>
        <v>2CC NEEDLE/SYRINGE</v>
      </c>
      <c r="D189" s="654">
        <f>EUMATT!C9</f>
        <v>100</v>
      </c>
      <c r="E189" s="653">
        <f>EUMATT!D9</f>
        <v>1500</v>
      </c>
      <c r="F189" s="38">
        <f>EUMATT!E9</f>
        <v>1200</v>
      </c>
      <c r="G189" s="38">
        <f>EUMATT!F9</f>
        <v>1800000</v>
      </c>
      <c r="H189" s="38"/>
    </row>
    <row r="190" spans="1:8" s="42" customFormat="1" ht="18.75" x14ac:dyDescent="0.3">
      <c r="A190" s="35"/>
      <c r="B190" s="653">
        <f>EUMATT!A10</f>
        <v>651</v>
      </c>
      <c r="C190" s="653" t="str">
        <f>EUMATT!B10</f>
        <v>50SPF SUNSCREEN</v>
      </c>
      <c r="D190" s="654" t="str">
        <f>EUMATT!C10</f>
        <v>TUBE</v>
      </c>
      <c r="E190" s="653">
        <f>EUMATT!D10</f>
        <v>20</v>
      </c>
      <c r="F190" s="38">
        <f>EUMATT!E10</f>
        <v>3300</v>
      </c>
      <c r="G190" s="38">
        <f>EUMATT!F10</f>
        <v>66000</v>
      </c>
      <c r="H190" s="38"/>
    </row>
    <row r="191" spans="1:8" s="42" customFormat="1" ht="23.25" x14ac:dyDescent="0.35">
      <c r="A191" s="35"/>
      <c r="B191" s="653">
        <f>EUMATT!A11</f>
        <v>576</v>
      </c>
      <c r="C191" s="653" t="str">
        <f>EUMATT!B11</f>
        <v xml:space="preserve">5CC NEEDLE/SYRINGE </v>
      </c>
      <c r="D191" s="654">
        <f>EUMATT!C11</f>
        <v>100</v>
      </c>
      <c r="E191" s="653">
        <f>EUMATT!D11</f>
        <v>2000</v>
      </c>
      <c r="F191" s="38">
        <f>EUMATT!E11</f>
        <v>1200</v>
      </c>
      <c r="G191" s="38">
        <f>EUMATT!F11</f>
        <v>2400000</v>
      </c>
      <c r="H191" s="79"/>
    </row>
    <row r="192" spans="1:8" s="42" customFormat="1" ht="18.75" x14ac:dyDescent="0.3">
      <c r="A192" s="35"/>
      <c r="B192" s="653">
        <f>EUMATT!A12</f>
        <v>194</v>
      </c>
      <c r="C192" s="653" t="str">
        <f>EUMATT!B12</f>
        <v>ACYCLOVIR 200MG</v>
      </c>
      <c r="D192" s="654">
        <f>EUMATT!C12</f>
        <v>25</v>
      </c>
      <c r="E192" s="653">
        <f>EUMATT!D12</f>
        <v>60</v>
      </c>
      <c r="F192" s="38">
        <f>EUMATT!E12</f>
        <v>2300</v>
      </c>
      <c r="G192" s="38">
        <f>EUMATT!F12</f>
        <v>138000</v>
      </c>
      <c r="H192" s="38"/>
    </row>
    <row r="193" spans="1:8" s="42" customFormat="1" ht="18.75" x14ac:dyDescent="0.3">
      <c r="A193" s="35"/>
      <c r="B193" s="653">
        <f>EUMATT!A13</f>
        <v>195</v>
      </c>
      <c r="C193" s="653" t="str">
        <f>EUMATT!B13</f>
        <v>ACYCLOVIR 400MG</v>
      </c>
      <c r="D193" s="654">
        <f>EUMATT!C13</f>
        <v>25</v>
      </c>
      <c r="E193" s="653">
        <f>EUMATT!D13</f>
        <v>100</v>
      </c>
      <c r="F193" s="38">
        <f>EUMATT!E13</f>
        <v>4200</v>
      </c>
      <c r="G193" s="38">
        <f>EUMATT!F13</f>
        <v>420000</v>
      </c>
      <c r="H193" s="38"/>
    </row>
    <row r="194" spans="1:8" s="42" customFormat="1" ht="18.75" x14ac:dyDescent="0.3">
      <c r="A194" s="35"/>
      <c r="B194" s="653">
        <f>EUMATT!A14</f>
        <v>495</v>
      </c>
      <c r="C194" s="653" t="str">
        <f>EUMATT!B14</f>
        <v>ACYCLOVIR EYE OINTMENT</v>
      </c>
      <c r="D194" s="654" t="str">
        <f>EUMATT!C14</f>
        <v>TUBE</v>
      </c>
      <c r="E194" s="653">
        <f>EUMATT!D14</f>
        <v>20</v>
      </c>
      <c r="F194" s="38">
        <f>EUMATT!E14</f>
        <v>1250</v>
      </c>
      <c r="G194" s="38">
        <f>EUMATT!F14</f>
        <v>25000</v>
      </c>
      <c r="H194" s="38"/>
    </row>
    <row r="195" spans="1:8" s="42" customFormat="1" ht="18.75" x14ac:dyDescent="0.3">
      <c r="A195" s="35"/>
      <c r="B195" s="653">
        <f>EUMATT!A15</f>
        <v>684</v>
      </c>
      <c r="C195" s="653" t="str">
        <f>EUMATT!B15</f>
        <v>ALLENDRONATE 70MG TAB</v>
      </c>
      <c r="D195" s="654">
        <f>EUMATT!C15</f>
        <v>2</v>
      </c>
      <c r="E195" s="653">
        <f>EUMATT!D15</f>
        <v>10</v>
      </c>
      <c r="F195" s="38">
        <f>EUMATT!E15</f>
        <v>780</v>
      </c>
      <c r="G195" s="38">
        <f>EUMATT!F15</f>
        <v>7800</v>
      </c>
      <c r="H195" s="38"/>
    </row>
    <row r="196" spans="1:8" s="42" customFormat="1" ht="18.75" x14ac:dyDescent="0.3">
      <c r="A196" s="35"/>
      <c r="B196" s="653">
        <f>EUMATT!A16</f>
        <v>143</v>
      </c>
      <c r="C196" s="653" t="str">
        <f>EUMATT!B16</f>
        <v>ALLOPURINOL 100MG  TAB</v>
      </c>
      <c r="D196" s="654">
        <f>EUMATT!C16</f>
        <v>28</v>
      </c>
      <c r="E196" s="653">
        <f>EUMATT!D16</f>
        <v>800</v>
      </c>
      <c r="F196" s="38">
        <f>EUMATT!E16</f>
        <v>1200</v>
      </c>
      <c r="G196" s="38">
        <f>EUMATT!F16</f>
        <v>960000</v>
      </c>
      <c r="H196" s="38"/>
    </row>
    <row r="197" spans="1:8" s="42" customFormat="1" ht="18.75" x14ac:dyDescent="0.3">
      <c r="A197" s="35"/>
      <c r="B197" s="653">
        <f>EUMATT!A17</f>
        <v>144</v>
      </c>
      <c r="C197" s="653" t="str">
        <f>EUMATT!B17</f>
        <v>ALLOPURINOL 300MG  TAB</v>
      </c>
      <c r="D197" s="654">
        <f>EUMATT!C17</f>
        <v>28</v>
      </c>
      <c r="E197" s="653">
        <f>EUMATT!D17</f>
        <v>200</v>
      </c>
      <c r="F197" s="38">
        <f>EUMATT!E17</f>
        <v>1350</v>
      </c>
      <c r="G197" s="38">
        <f>EUMATT!F17</f>
        <v>270000</v>
      </c>
      <c r="H197" s="38"/>
    </row>
    <row r="198" spans="1:8" s="42" customFormat="1" ht="18.75" x14ac:dyDescent="0.3">
      <c r="A198" s="35"/>
      <c r="B198" s="653">
        <f>EUMATT!A18</f>
        <v>196</v>
      </c>
      <c r="C198" s="653" t="str">
        <f>EUMATT!B18</f>
        <v>AMIKACIN INJ</v>
      </c>
      <c r="D198" s="654" t="str">
        <f>EUMATT!C18</f>
        <v>VIAL</v>
      </c>
      <c r="E198" s="653">
        <f>EUMATT!D18</f>
        <v>1200</v>
      </c>
      <c r="F198" s="38">
        <f>EUMATT!E18</f>
        <v>250</v>
      </c>
      <c r="G198" s="38">
        <f>EUMATT!F18</f>
        <v>300000</v>
      </c>
      <c r="H198" s="38"/>
    </row>
    <row r="199" spans="1:8" s="42" customFormat="1" ht="18.75" x14ac:dyDescent="0.3">
      <c r="A199" s="35"/>
      <c r="B199" s="653">
        <f>EUMATT!A19</f>
        <v>456</v>
      </c>
      <c r="C199" s="653" t="str">
        <f>EUMATT!B19</f>
        <v>AMINOPHYLLINE 100MG TAB</v>
      </c>
      <c r="D199" s="654">
        <f>EUMATT!C19</f>
        <v>1000</v>
      </c>
      <c r="E199" s="653">
        <f>EUMATT!D19</f>
        <v>2</v>
      </c>
      <c r="F199" s="38">
        <f>EUMATT!E19</f>
        <v>2200</v>
      </c>
      <c r="G199" s="38">
        <f>EUMATT!F19</f>
        <v>4400</v>
      </c>
      <c r="H199" s="38"/>
    </row>
    <row r="200" spans="1:8" s="42" customFormat="1" ht="18.75" x14ac:dyDescent="0.3">
      <c r="A200" s="35"/>
      <c r="B200" s="653">
        <f>EUMATT!A20</f>
        <v>455</v>
      </c>
      <c r="C200" s="653" t="str">
        <f>EUMATT!B20</f>
        <v>AMINOPHYLLINE 250MG INJ</v>
      </c>
      <c r="D200" s="654" t="str">
        <f>EUMATT!C20</f>
        <v>AMP</v>
      </c>
      <c r="E200" s="653">
        <f>EUMATT!D20</f>
        <v>1040</v>
      </c>
      <c r="F200" s="38">
        <f>EUMATT!E20</f>
        <v>40</v>
      </c>
      <c r="G200" s="38">
        <f>EUMATT!F20</f>
        <v>41600</v>
      </c>
      <c r="H200" s="38"/>
    </row>
    <row r="201" spans="1:8" s="42" customFormat="1" ht="18.75" x14ac:dyDescent="0.3">
      <c r="A201" s="35"/>
      <c r="B201" s="653">
        <f>EUMATT!A21</f>
        <v>351</v>
      </c>
      <c r="C201" s="653" t="str">
        <f>EUMATT!B21</f>
        <v>AMITRYPTILLINE 25MG</v>
      </c>
      <c r="D201" s="654">
        <f>EUMATT!C21</f>
        <v>500</v>
      </c>
      <c r="E201" s="653">
        <f>EUMATT!D21</f>
        <v>100</v>
      </c>
      <c r="F201" s="38">
        <f>EUMATT!E21</f>
        <v>2200</v>
      </c>
      <c r="G201" s="38">
        <f>EUMATT!F21</f>
        <v>220000</v>
      </c>
      <c r="H201" s="38"/>
    </row>
    <row r="202" spans="1:8" s="42" customFormat="1" ht="18.75" x14ac:dyDescent="0.3">
      <c r="A202" s="35"/>
      <c r="B202" s="653">
        <f>EUMATT!A22</f>
        <v>37</v>
      </c>
      <c r="C202" s="653" t="str">
        <f>EUMATT!B22</f>
        <v>AMLODIPINE 10MG TAB</v>
      </c>
      <c r="D202" s="654">
        <f>EUMATT!C22</f>
        <v>28</v>
      </c>
      <c r="E202" s="653">
        <f>EUMATT!D22</f>
        <v>6000</v>
      </c>
      <c r="F202" s="38">
        <f>EUMATT!E22</f>
        <v>230</v>
      </c>
      <c r="G202" s="38">
        <f>EUMATT!F22</f>
        <v>1380000</v>
      </c>
      <c r="H202" s="38"/>
    </row>
    <row r="203" spans="1:8" s="42" customFormat="1" ht="18.75" x14ac:dyDescent="0.3">
      <c r="A203" s="35"/>
      <c r="B203" s="653">
        <f>EUMATT!A23</f>
        <v>45</v>
      </c>
      <c r="C203" s="653" t="str">
        <f>EUMATT!B23</f>
        <v>AMLODIPINE/VALSARTAN/HYDROCHLOROTHIAZIDE 10/160/25MG TAB</v>
      </c>
      <c r="D203" s="654">
        <f>EUMATT!C23</f>
        <v>28</v>
      </c>
      <c r="E203" s="653">
        <f>EUMATT!D23</f>
        <v>60</v>
      </c>
      <c r="F203" s="38">
        <f>EUMATT!E23</f>
        <v>7000</v>
      </c>
      <c r="G203" s="38">
        <f>EUMATT!F23</f>
        <v>420000</v>
      </c>
      <c r="H203" s="38"/>
    </row>
    <row r="204" spans="1:8" s="42" customFormat="1" ht="18.75" x14ac:dyDescent="0.3">
      <c r="A204" s="35"/>
      <c r="B204" s="653">
        <f>EUMATT!A24</f>
        <v>44</v>
      </c>
      <c r="C204" s="653" t="str">
        <f>EUMATT!B24</f>
        <v>AMLODIPINE/VALSARTAN/HYDROCHLOROTHIAZIDE 5/160/25MG TAB</v>
      </c>
      <c r="D204" s="654">
        <f>EUMATT!C24</f>
        <v>28</v>
      </c>
      <c r="E204" s="653">
        <f>EUMATT!D24</f>
        <v>60</v>
      </c>
      <c r="F204" s="38">
        <f>EUMATT!E24</f>
        <v>7000</v>
      </c>
      <c r="G204" s="38">
        <f>EUMATT!F24</f>
        <v>420000</v>
      </c>
      <c r="H204" s="38"/>
    </row>
    <row r="205" spans="1:8" s="42" customFormat="1" ht="23.25" x14ac:dyDescent="0.35">
      <c r="A205" s="35"/>
      <c r="B205" s="653">
        <f>EUMATT!A25</f>
        <v>198</v>
      </c>
      <c r="C205" s="653" t="str">
        <f>EUMATT!B25</f>
        <v>AMOXICILLIN 250MG CAP</v>
      </c>
      <c r="D205" s="654">
        <f>EUMATT!C25</f>
        <v>100</v>
      </c>
      <c r="E205" s="653">
        <f>EUMATT!D25</f>
        <v>200</v>
      </c>
      <c r="F205" s="38">
        <f>EUMATT!E25</f>
        <v>600</v>
      </c>
      <c r="G205" s="38">
        <f>EUMATT!F25</f>
        <v>120000</v>
      </c>
      <c r="H205" s="79"/>
    </row>
    <row r="206" spans="1:8" s="42" customFormat="1" ht="18.75" x14ac:dyDescent="0.3">
      <c r="A206" s="35"/>
      <c r="B206" s="653">
        <f>EUMATT!A26</f>
        <v>199</v>
      </c>
      <c r="C206" s="653" t="str">
        <f>EUMATT!B26</f>
        <v>AMOXICILLIN 250MG DISPERSIBLE TAB</v>
      </c>
      <c r="D206" s="654">
        <f>EUMATT!C26</f>
        <v>100</v>
      </c>
      <c r="E206" s="653">
        <f>EUMATT!D26</f>
        <v>41.6</v>
      </c>
      <c r="F206" s="38">
        <f>EUMATT!E26</f>
        <v>1700</v>
      </c>
      <c r="G206" s="38">
        <f>EUMATT!F26</f>
        <v>70720</v>
      </c>
      <c r="H206" s="38"/>
    </row>
    <row r="207" spans="1:8" s="42" customFormat="1" ht="18.75" x14ac:dyDescent="0.3">
      <c r="A207" s="35"/>
      <c r="B207" s="653">
        <f>EUMATT!A27</f>
        <v>210</v>
      </c>
      <c r="C207" s="653" t="str">
        <f>EUMATT!B27</f>
        <v>AMOXICILLIN/FLUCLOXACILLIN 125/125MG SUSPENSION</v>
      </c>
      <c r="D207" s="654" t="str">
        <f>EUMATT!C27</f>
        <v>BOTT</v>
      </c>
      <c r="E207" s="653">
        <f>EUMATT!D27</f>
        <v>400</v>
      </c>
      <c r="F207" s="38">
        <f>EUMATT!E27</f>
        <v>1500</v>
      </c>
      <c r="G207" s="38">
        <f>EUMATT!F27</f>
        <v>600000</v>
      </c>
      <c r="H207" s="38"/>
    </row>
    <row r="208" spans="1:8" s="42" customFormat="1" ht="18.75" x14ac:dyDescent="0.3">
      <c r="A208" s="35"/>
      <c r="B208" s="653">
        <f>EUMATT!A28</f>
        <v>209</v>
      </c>
      <c r="C208" s="653" t="str">
        <f>EUMATT!B28</f>
        <v>AMOXICILLIN/FLUCLOXACILLIN 250/250MG CAP</v>
      </c>
      <c r="D208" s="654">
        <f>EUMATT!C28</f>
        <v>16</v>
      </c>
      <c r="E208" s="653">
        <f>EUMATT!D28</f>
        <v>400</v>
      </c>
      <c r="F208" s="38">
        <f>EUMATT!E28</f>
        <v>1630</v>
      </c>
      <c r="G208" s="38">
        <f>EUMATT!F28</f>
        <v>652000</v>
      </c>
      <c r="H208" s="38"/>
    </row>
    <row r="209" spans="1:8" s="42" customFormat="1" ht="18.75" x14ac:dyDescent="0.3">
      <c r="A209" s="35"/>
      <c r="B209" s="653">
        <f>EUMATT!A29</f>
        <v>211</v>
      </c>
      <c r="C209" s="653" t="str">
        <f>EUMATT!B29</f>
        <v>AMPICILLIN/CLOXACILLIIN 500MG CAP</v>
      </c>
      <c r="D209" s="654">
        <f>EUMATT!C29</f>
        <v>100</v>
      </c>
      <c r="E209" s="653">
        <f>EUMATT!D29</f>
        <v>250</v>
      </c>
      <c r="F209" s="38">
        <f>EUMATT!E29</f>
        <v>1100</v>
      </c>
      <c r="G209" s="38">
        <f>EUMATT!F29</f>
        <v>275000</v>
      </c>
      <c r="H209" s="38"/>
    </row>
    <row r="210" spans="1:8" s="42" customFormat="1" ht="18.75" x14ac:dyDescent="0.3">
      <c r="A210" s="35"/>
      <c r="B210" s="653">
        <f>EUMATT!A30</f>
        <v>424</v>
      </c>
      <c r="C210" s="653" t="str">
        <f>EUMATT!B30</f>
        <v>ANUSOL SUPP</v>
      </c>
      <c r="D210" s="654">
        <f>EUMATT!C30</f>
        <v>10</v>
      </c>
      <c r="E210" s="653">
        <f>EUMATT!D30</f>
        <v>50</v>
      </c>
      <c r="F210" s="38">
        <f>EUMATT!E30</f>
        <v>1800</v>
      </c>
      <c r="G210" s="38">
        <f>EUMATT!F30</f>
        <v>90000</v>
      </c>
      <c r="H210" s="38"/>
    </row>
    <row r="211" spans="1:8" s="42" customFormat="1" ht="18.75" x14ac:dyDescent="0.3">
      <c r="A211" s="35"/>
      <c r="B211" s="653">
        <f>EUMATT!A31</f>
        <v>51</v>
      </c>
      <c r="C211" s="653" t="str">
        <f>EUMATT!B31</f>
        <v>ATORVASTATIN 80MG</v>
      </c>
      <c r="D211" s="654">
        <f>EUMATT!C31</f>
        <v>30</v>
      </c>
      <c r="E211" s="653">
        <f>EUMATT!D31</f>
        <v>100</v>
      </c>
      <c r="F211" s="38">
        <f>EUMATT!E31</f>
        <v>5000</v>
      </c>
      <c r="G211" s="38">
        <f>EUMATT!F31</f>
        <v>500000</v>
      </c>
      <c r="H211" s="38"/>
    </row>
    <row r="212" spans="1:8" s="42" customFormat="1" ht="18.75" x14ac:dyDescent="0.3">
      <c r="A212" s="35"/>
      <c r="B212" s="653">
        <f>EUMATT!A32</f>
        <v>497</v>
      </c>
      <c r="C212" s="653" t="str">
        <f>EUMATT!B32</f>
        <v>ATROPINE GTT</v>
      </c>
      <c r="D212" s="654" t="str">
        <f>EUMATT!C32</f>
        <v>BOTT</v>
      </c>
      <c r="E212" s="653">
        <f>EUMATT!D32</f>
        <v>60</v>
      </c>
      <c r="F212" s="38">
        <f>EUMATT!E32</f>
        <v>350</v>
      </c>
      <c r="G212" s="38">
        <f>EUMATT!F32</f>
        <v>21000</v>
      </c>
      <c r="H212" s="38"/>
    </row>
    <row r="213" spans="1:8" s="42" customFormat="1" ht="18.75" x14ac:dyDescent="0.3">
      <c r="A213" s="35"/>
      <c r="B213" s="653">
        <f>EUMATT!A33</f>
        <v>419</v>
      </c>
      <c r="C213" s="653" t="str">
        <f>EUMATT!B33</f>
        <v>ATS 1500 IU INJ</v>
      </c>
      <c r="D213" s="654">
        <f>EUMATT!C33</f>
        <v>100</v>
      </c>
      <c r="E213" s="653">
        <f>EUMATT!D33</f>
        <v>20</v>
      </c>
      <c r="F213" s="38">
        <f>EUMATT!E33</f>
        <v>20000</v>
      </c>
      <c r="G213" s="38">
        <f>EUMATT!F33</f>
        <v>400000</v>
      </c>
      <c r="H213" s="38"/>
    </row>
    <row r="214" spans="1:8" s="42" customFormat="1" ht="18.75" x14ac:dyDescent="0.3">
      <c r="A214" s="35"/>
      <c r="B214" s="653">
        <f>EUMATT!A34</f>
        <v>352</v>
      </c>
      <c r="C214" s="653" t="str">
        <f>EUMATT!B34</f>
        <v>BENZHEXOL 5MG</v>
      </c>
      <c r="D214" s="654">
        <f>EUMATT!C34</f>
        <v>500</v>
      </c>
      <c r="E214" s="653">
        <f>EUMATT!D34</f>
        <v>20</v>
      </c>
      <c r="F214" s="38">
        <f>EUMATT!E34</f>
        <v>1800</v>
      </c>
      <c r="G214" s="38">
        <f>EUMATT!F34</f>
        <v>36000</v>
      </c>
      <c r="H214" s="38"/>
    </row>
    <row r="215" spans="1:8" s="42" customFormat="1" ht="23.25" x14ac:dyDescent="0.35">
      <c r="A215" s="35"/>
      <c r="B215" s="653">
        <f>EUMATT!A35</f>
        <v>652</v>
      </c>
      <c r="C215" s="653" t="str">
        <f>EUMATT!B35</f>
        <v>BENZOYL PEROXIDE 10% CREAM</v>
      </c>
      <c r="D215" s="654" t="str">
        <f>EUMATT!C35</f>
        <v>TUBE</v>
      </c>
      <c r="E215" s="653">
        <f>EUMATT!D35</f>
        <v>20</v>
      </c>
      <c r="F215" s="38">
        <f>EUMATT!E35</f>
        <v>1550</v>
      </c>
      <c r="G215" s="38">
        <f>EUMATT!F35</f>
        <v>31000</v>
      </c>
      <c r="H215" s="79"/>
    </row>
    <row r="216" spans="1:8" s="42" customFormat="1" ht="18.75" x14ac:dyDescent="0.3">
      <c r="A216" s="35"/>
      <c r="B216" s="653">
        <f>EUMATT!A36</f>
        <v>653</v>
      </c>
      <c r="C216" s="653" t="str">
        <f>EUMATT!B36</f>
        <v>BENZOYL PEROXIDE 5% CREAM</v>
      </c>
      <c r="D216" s="654" t="str">
        <f>EUMATT!C36</f>
        <v>TUBE</v>
      </c>
      <c r="E216" s="653">
        <f>EUMATT!D36</f>
        <v>20</v>
      </c>
      <c r="F216" s="38">
        <f>EUMATT!E36</f>
        <v>1550</v>
      </c>
      <c r="G216" s="38">
        <f>EUMATT!F36</f>
        <v>31000</v>
      </c>
      <c r="H216" s="38"/>
    </row>
    <row r="217" spans="1:8" s="42" customFormat="1" ht="18.75" x14ac:dyDescent="0.3">
      <c r="A217" s="35"/>
      <c r="B217" s="653">
        <f>EUMATT!A37</f>
        <v>656</v>
      </c>
      <c r="C217" s="653" t="str">
        <f>EUMATT!B37</f>
        <v>BETNOVATE CREAM 0.05% (PLAIN)</v>
      </c>
      <c r="D217" s="654" t="str">
        <f>EUMATT!C37</f>
        <v>TUBE</v>
      </c>
      <c r="E217" s="653">
        <f>EUMATT!D37</f>
        <v>20</v>
      </c>
      <c r="F217" s="38">
        <f>EUMATT!E37</f>
        <v>2700</v>
      </c>
      <c r="G217" s="38">
        <f>EUMATT!F37</f>
        <v>54000</v>
      </c>
      <c r="H217" s="38"/>
    </row>
    <row r="218" spans="1:8" s="42" customFormat="1" ht="18.75" x14ac:dyDescent="0.3">
      <c r="A218" s="35"/>
      <c r="B218" s="653">
        <f>EUMATT!A38</f>
        <v>52</v>
      </c>
      <c r="C218" s="653" t="str">
        <f>EUMATT!B38</f>
        <v>BISOPROLOL 10MG TAB</v>
      </c>
      <c r="D218" s="654">
        <f>EUMATT!C38</f>
        <v>30</v>
      </c>
      <c r="E218" s="653">
        <f>EUMATT!D38</f>
        <v>60</v>
      </c>
      <c r="F218" s="38">
        <f>EUMATT!E38</f>
        <v>800</v>
      </c>
      <c r="G218" s="38">
        <f>EUMATT!F38</f>
        <v>48000</v>
      </c>
      <c r="H218" s="38"/>
    </row>
    <row r="219" spans="1:8" s="42" customFormat="1" ht="18.75" x14ac:dyDescent="0.3">
      <c r="A219" s="35"/>
      <c r="B219" s="653">
        <f>EUMATT!A39</f>
        <v>53</v>
      </c>
      <c r="C219" s="653" t="str">
        <f>EUMATT!B39</f>
        <v>BISOPROLOL 5MG TAB</v>
      </c>
      <c r="D219" s="654">
        <f>EUMATT!C39</f>
        <v>30</v>
      </c>
      <c r="E219" s="653">
        <f>EUMATT!D39</f>
        <v>60</v>
      </c>
      <c r="F219" s="38">
        <f>EUMATT!E39</f>
        <v>500</v>
      </c>
      <c r="G219" s="38">
        <f>EUMATT!F39</f>
        <v>30000</v>
      </c>
      <c r="H219" s="38"/>
    </row>
    <row r="220" spans="1:8" s="42" customFormat="1" ht="18.75" x14ac:dyDescent="0.3">
      <c r="A220" s="35"/>
      <c r="B220" s="653">
        <f>EUMATT!A40</f>
        <v>578</v>
      </c>
      <c r="C220" s="653" t="str">
        <f>EUMATT!B40</f>
        <v xml:space="preserve">BLOOD GIVING SET </v>
      </c>
      <c r="D220" s="654">
        <f>EUMATT!C40</f>
        <v>400</v>
      </c>
      <c r="E220" s="653">
        <f>EUMATT!D40</f>
        <v>12</v>
      </c>
      <c r="F220" s="38">
        <f>EUMATT!E40</f>
        <v>23000</v>
      </c>
      <c r="G220" s="38">
        <f>EUMATT!F40</f>
        <v>276000</v>
      </c>
      <c r="H220" s="38"/>
    </row>
    <row r="221" spans="1:8" s="42" customFormat="1" ht="18.75" x14ac:dyDescent="0.3">
      <c r="A221" s="35"/>
      <c r="B221" s="653">
        <f>EUMATT!A41</f>
        <v>500</v>
      </c>
      <c r="C221" s="653" t="str">
        <f>EUMATT!B41</f>
        <v xml:space="preserve">BRINZOLAMIDE GTT </v>
      </c>
      <c r="D221" s="654" t="str">
        <f>EUMATT!C41</f>
        <v>BOTT</v>
      </c>
      <c r="E221" s="653">
        <f>EUMATT!D41</f>
        <v>40</v>
      </c>
      <c r="F221" s="38">
        <f>EUMATT!E41</f>
        <v>4300</v>
      </c>
      <c r="G221" s="38">
        <f>EUMATT!F41</f>
        <v>172000</v>
      </c>
      <c r="H221" s="38"/>
    </row>
    <row r="222" spans="1:8" s="42" customFormat="1" ht="18.75" x14ac:dyDescent="0.3">
      <c r="A222" s="35"/>
      <c r="B222" s="653">
        <f>EUMATT!A42</f>
        <v>290</v>
      </c>
      <c r="C222" s="653" t="str">
        <f>EUMATT!B42</f>
        <v>BROMELAIN/TRYPSIN TAB</v>
      </c>
      <c r="D222" s="654">
        <f>EUMATT!C42</f>
        <v>100</v>
      </c>
      <c r="E222" s="653">
        <f>EUMATT!D42</f>
        <v>80</v>
      </c>
      <c r="F222" s="38">
        <f>EUMATT!E42</f>
        <v>2300</v>
      </c>
      <c r="G222" s="38">
        <f>EUMATT!F42</f>
        <v>184000</v>
      </c>
      <c r="H222" s="38"/>
    </row>
    <row r="223" spans="1:8" s="42" customFormat="1" ht="18.75" x14ac:dyDescent="0.3">
      <c r="A223" s="35"/>
      <c r="B223" s="653">
        <f>EUMATT!A43</f>
        <v>291</v>
      </c>
      <c r="C223" s="653" t="str">
        <f>EUMATT!B43</f>
        <v>CALCIMAX TAB</v>
      </c>
      <c r="D223" s="654">
        <f>EUMATT!C43</f>
        <v>30</v>
      </c>
      <c r="E223" s="653">
        <f>EUMATT!D43</f>
        <v>600</v>
      </c>
      <c r="F223" s="38">
        <f>EUMATT!E43</f>
        <v>290</v>
      </c>
      <c r="G223" s="38">
        <f>EUMATT!F43</f>
        <v>174000</v>
      </c>
      <c r="H223" s="38"/>
    </row>
    <row r="224" spans="1:8" s="42" customFormat="1" ht="18.75" x14ac:dyDescent="0.3">
      <c r="A224" s="35"/>
      <c r="B224" s="653">
        <f>EUMATT!A44</f>
        <v>686</v>
      </c>
      <c r="C224" s="653" t="str">
        <f>EUMATT!B44</f>
        <v>CALCIUM GLUCONATE INJ</v>
      </c>
      <c r="D224" s="654">
        <f>EUMATT!C44</f>
        <v>10</v>
      </c>
      <c r="E224" s="653">
        <f>EUMATT!D44</f>
        <v>160</v>
      </c>
      <c r="F224" s="38">
        <f>EUMATT!E44</f>
        <v>400</v>
      </c>
      <c r="G224" s="38">
        <f>EUMATT!F44</f>
        <v>64000</v>
      </c>
      <c r="H224" s="38"/>
    </row>
    <row r="225" spans="1:8" s="42" customFormat="1" ht="18.75" x14ac:dyDescent="0.3">
      <c r="A225" s="35"/>
      <c r="B225" s="653">
        <f>EUMATT!A45</f>
        <v>579</v>
      </c>
      <c r="C225" s="653" t="str">
        <f>EUMATT!B45</f>
        <v>CANNULA 16G GREY</v>
      </c>
      <c r="D225" s="654">
        <f>EUMATT!C45</f>
        <v>50</v>
      </c>
      <c r="E225" s="653">
        <f>EUMATT!D45</f>
        <v>20</v>
      </c>
      <c r="F225" s="38">
        <f>EUMATT!E45</f>
        <v>2000</v>
      </c>
      <c r="G225" s="38">
        <f>EUMATT!F45</f>
        <v>40000</v>
      </c>
      <c r="H225" s="38"/>
    </row>
    <row r="226" spans="1:8" s="42" customFormat="1" ht="23.25" x14ac:dyDescent="0.35">
      <c r="A226" s="35"/>
      <c r="B226" s="653">
        <f>EUMATT!A46</f>
        <v>580</v>
      </c>
      <c r="C226" s="653" t="str">
        <f>EUMATT!B46</f>
        <v>CANNULA 18G GREEN</v>
      </c>
      <c r="D226" s="654">
        <f>EUMATT!C46</f>
        <v>50</v>
      </c>
      <c r="E226" s="653">
        <f>EUMATT!D46</f>
        <v>90</v>
      </c>
      <c r="F226" s="38">
        <f>EUMATT!E46</f>
        <v>2000</v>
      </c>
      <c r="G226" s="38">
        <f>EUMATT!F46</f>
        <v>180000</v>
      </c>
      <c r="H226" s="79"/>
    </row>
    <row r="227" spans="1:8" s="42" customFormat="1" ht="23.25" x14ac:dyDescent="0.35">
      <c r="A227" s="35"/>
      <c r="B227" s="653">
        <f>EUMATT!A47</f>
        <v>581</v>
      </c>
      <c r="C227" s="653" t="str">
        <f>EUMATT!B47</f>
        <v>CANNULA 20G PINK</v>
      </c>
      <c r="D227" s="654">
        <f>EUMATT!C47</f>
        <v>50</v>
      </c>
      <c r="E227" s="653">
        <f>EUMATT!D47</f>
        <v>120</v>
      </c>
      <c r="F227" s="38">
        <f>EUMATT!E47</f>
        <v>2000</v>
      </c>
      <c r="G227" s="38">
        <f>EUMATT!F47</f>
        <v>240000</v>
      </c>
      <c r="H227" s="79"/>
    </row>
    <row r="228" spans="1:8" s="42" customFormat="1" ht="23.25" x14ac:dyDescent="0.35">
      <c r="A228" s="35"/>
      <c r="B228" s="653">
        <f>EUMATT!A48</f>
        <v>583</v>
      </c>
      <c r="C228" s="653" t="str">
        <f>EUMATT!B48</f>
        <v xml:space="preserve">CANNULA 24G YELLOW </v>
      </c>
      <c r="D228" s="654">
        <f>EUMATT!C48</f>
        <v>50</v>
      </c>
      <c r="E228" s="653">
        <f>EUMATT!D48</f>
        <v>210</v>
      </c>
      <c r="F228" s="38">
        <f>EUMATT!E48</f>
        <v>2100</v>
      </c>
      <c r="G228" s="38">
        <f>EUMATT!F48</f>
        <v>441000</v>
      </c>
      <c r="H228" s="79"/>
    </row>
    <row r="229" spans="1:8" s="42" customFormat="1" ht="18.75" x14ac:dyDescent="0.3">
      <c r="A229" s="35"/>
      <c r="B229" s="653">
        <f>EUMATT!A49</f>
        <v>356</v>
      </c>
      <c r="C229" s="653" t="str">
        <f>EUMATT!B49</f>
        <v>CARBAMAZEPINE 200MG CR</v>
      </c>
      <c r="D229" s="654">
        <f>EUMATT!C49</f>
        <v>50</v>
      </c>
      <c r="E229" s="653">
        <f>EUMATT!D49</f>
        <v>100</v>
      </c>
      <c r="F229" s="38">
        <f>EUMATT!E49</f>
        <v>3000</v>
      </c>
      <c r="G229" s="38">
        <f>EUMATT!F49</f>
        <v>300000</v>
      </c>
      <c r="H229" s="38"/>
    </row>
    <row r="230" spans="1:8" s="42" customFormat="1" ht="18.75" x14ac:dyDescent="0.3">
      <c r="A230" s="35"/>
      <c r="B230" s="653">
        <f>EUMATT!A50</f>
        <v>357</v>
      </c>
      <c r="C230" s="653" t="str">
        <f>EUMATT!B50</f>
        <v>CARBAMAZEPINE SYR</v>
      </c>
      <c r="D230" s="654" t="str">
        <f>EUMATT!C50</f>
        <v>200ML</v>
      </c>
      <c r="E230" s="653">
        <f>EUMATT!D50</f>
        <v>12</v>
      </c>
      <c r="F230" s="38">
        <f>EUMATT!E50</f>
        <v>2500</v>
      </c>
      <c r="G230" s="38">
        <f>EUMATT!F50</f>
        <v>30000</v>
      </c>
      <c r="H230" s="38"/>
    </row>
    <row r="231" spans="1:8" s="42" customFormat="1" ht="18.75" x14ac:dyDescent="0.3">
      <c r="A231" s="35"/>
      <c r="B231" s="653">
        <f>EUMATT!A51</f>
        <v>358</v>
      </c>
      <c r="C231" s="653" t="str">
        <f>EUMATT!B51</f>
        <v>CARBIDOPA+L-DOPA</v>
      </c>
      <c r="D231" s="654">
        <f>EUMATT!C51</f>
        <v>50</v>
      </c>
      <c r="E231" s="653">
        <f>EUMATT!D51</f>
        <v>60</v>
      </c>
      <c r="F231" s="38">
        <f>EUMATT!E51</f>
        <v>6000</v>
      </c>
      <c r="G231" s="38">
        <f>EUMATT!F51</f>
        <v>360000</v>
      </c>
      <c r="H231" s="38"/>
    </row>
    <row r="232" spans="1:8" s="42" customFormat="1" ht="18.75" x14ac:dyDescent="0.3">
      <c r="A232" s="35"/>
      <c r="B232" s="653">
        <f>EUMATT!A52</f>
        <v>56</v>
      </c>
      <c r="C232" s="653" t="str">
        <f>EUMATT!B52</f>
        <v xml:space="preserve">CARVEDILOL 6.25MG TAB </v>
      </c>
      <c r="D232" s="654">
        <f>EUMATT!C52</f>
        <v>28</v>
      </c>
      <c r="E232" s="653">
        <f>EUMATT!D52</f>
        <v>1000</v>
      </c>
      <c r="F232" s="38">
        <f>EUMATT!E52</f>
        <v>750</v>
      </c>
      <c r="G232" s="38">
        <f>EUMATT!F52</f>
        <v>750000</v>
      </c>
      <c r="H232" s="38"/>
    </row>
    <row r="233" spans="1:8" s="42" customFormat="1" ht="18.75" x14ac:dyDescent="0.3">
      <c r="A233" s="35"/>
      <c r="B233" s="653">
        <f>EUMATT!A54</f>
        <v>222</v>
      </c>
      <c r="C233" s="653" t="str">
        <f>EUMATT!B54</f>
        <v>CEFIXIME 400MG TAB</v>
      </c>
      <c r="D233" s="654">
        <f>EUMATT!C54</f>
        <v>10</v>
      </c>
      <c r="E233" s="653">
        <f>EUMATT!D54</f>
        <v>100</v>
      </c>
      <c r="F233" s="38">
        <f>EUMATT!E54</f>
        <v>870</v>
      </c>
      <c r="G233" s="38">
        <f>EUMATT!F54</f>
        <v>87000</v>
      </c>
      <c r="H233" s="38"/>
    </row>
    <row r="234" spans="1:8" s="42" customFormat="1" ht="18.75" x14ac:dyDescent="0.3">
      <c r="A234" s="35"/>
      <c r="B234" s="653">
        <f>EUMATT!A55</f>
        <v>227</v>
      </c>
      <c r="C234" s="653" t="str">
        <f>EUMATT!B55</f>
        <v>CEFTAZIDIME 1G INJ</v>
      </c>
      <c r="D234" s="654" t="str">
        <f>EUMATT!C55</f>
        <v>VIAL</v>
      </c>
      <c r="E234" s="653">
        <f>EUMATT!D55</f>
        <v>600</v>
      </c>
      <c r="F234" s="38">
        <f>EUMATT!E55</f>
        <v>550</v>
      </c>
      <c r="G234" s="38">
        <f>EUMATT!F55</f>
        <v>330000</v>
      </c>
      <c r="H234" s="38"/>
    </row>
    <row r="235" spans="1:8" s="42" customFormat="1" ht="18.75" x14ac:dyDescent="0.3">
      <c r="A235" s="35"/>
      <c r="B235" s="653">
        <f>EUMATT!A56</f>
        <v>228</v>
      </c>
      <c r="C235" s="653" t="str">
        <f>EUMATT!B56</f>
        <v>CEFTRIAXONE 1G INJ</v>
      </c>
      <c r="D235" s="654" t="str">
        <f>EUMATT!C56</f>
        <v>VIAL</v>
      </c>
      <c r="E235" s="653">
        <f>EUMATT!D56</f>
        <v>10500</v>
      </c>
      <c r="F235" s="38">
        <f>EUMATT!E56</f>
        <v>180</v>
      </c>
      <c r="G235" s="38">
        <f>EUMATT!F56</f>
        <v>1890000</v>
      </c>
      <c r="H235" s="38"/>
    </row>
    <row r="236" spans="1:8" s="42" customFormat="1" ht="18.75" x14ac:dyDescent="0.3">
      <c r="A236" s="35"/>
      <c r="B236" s="653">
        <f>EUMATT!A57</f>
        <v>233</v>
      </c>
      <c r="C236" s="653" t="str">
        <f>EUMATT!B57</f>
        <v>CEFUROXIME SUSPENSION 125MG/5ML (100ML)</v>
      </c>
      <c r="D236" s="654" t="str">
        <f>EUMATT!C57</f>
        <v>BOTT</v>
      </c>
      <c r="E236" s="653">
        <f>EUMATT!D57</f>
        <v>1200</v>
      </c>
      <c r="F236" s="38">
        <f>EUMATT!E57</f>
        <v>750</v>
      </c>
      <c r="G236" s="38">
        <f>EUMATT!F57</f>
        <v>900000</v>
      </c>
      <c r="H236" s="38"/>
    </row>
    <row r="237" spans="1:8" s="42" customFormat="1" ht="18.75" x14ac:dyDescent="0.3">
      <c r="A237" s="35"/>
      <c r="B237" s="653">
        <f>EUMATT!A58</f>
        <v>471</v>
      </c>
      <c r="C237" s="653" t="str">
        <f>EUMATT!B58</f>
        <v>CETIRIZINE TAB</v>
      </c>
      <c r="D237" s="654">
        <f>EUMATT!C58</f>
        <v>100</v>
      </c>
      <c r="E237" s="653">
        <f>EUMATT!D58</f>
        <v>60</v>
      </c>
      <c r="F237" s="38">
        <f>EUMATT!E58</f>
        <v>900</v>
      </c>
      <c r="G237" s="38">
        <f>EUMATT!F58</f>
        <v>54000</v>
      </c>
      <c r="H237" s="38"/>
    </row>
    <row r="238" spans="1:8" s="42" customFormat="1" ht="23.25" x14ac:dyDescent="0.35">
      <c r="A238" s="35"/>
      <c r="B238" s="653">
        <f>EUMATT!A59</f>
        <v>502</v>
      </c>
      <c r="C238" s="653" t="str">
        <f>EUMATT!B59</f>
        <v>CHLORAMPHENICOL EAR DROP</v>
      </c>
      <c r="D238" s="654" t="str">
        <f>EUMATT!C59</f>
        <v>BOTT</v>
      </c>
      <c r="E238" s="653">
        <f>EUMATT!D59</f>
        <v>120</v>
      </c>
      <c r="F238" s="38">
        <f>EUMATT!E59</f>
        <v>100</v>
      </c>
      <c r="G238" s="38">
        <f>EUMATT!F59</f>
        <v>12000</v>
      </c>
      <c r="H238" s="79"/>
    </row>
    <row r="239" spans="1:8" s="42" customFormat="1" ht="18.75" x14ac:dyDescent="0.3">
      <c r="A239" s="35"/>
      <c r="B239" s="653">
        <f>EUMATT!A60</f>
        <v>474</v>
      </c>
      <c r="C239" s="653" t="str">
        <f>EUMATT!B60</f>
        <v>CHLORPHENIRAMINE INJ</v>
      </c>
      <c r="D239" s="654">
        <f>EUMATT!C60</f>
        <v>100</v>
      </c>
      <c r="E239" s="653">
        <f>EUMATT!D60</f>
        <v>4</v>
      </c>
      <c r="F239" s="38">
        <f>EUMATT!E60</f>
        <v>1100</v>
      </c>
      <c r="G239" s="38">
        <f>EUMATT!F60</f>
        <v>4400</v>
      </c>
      <c r="H239" s="38"/>
    </row>
    <row r="240" spans="1:8" s="42" customFormat="1" ht="18.75" x14ac:dyDescent="0.3">
      <c r="A240" s="35"/>
      <c r="B240" s="653">
        <f>EUMATT!A61</f>
        <v>360</v>
      </c>
      <c r="C240" s="653" t="str">
        <f>EUMATT!B61</f>
        <v>CHLORPROMAZINE 50MG TAB</v>
      </c>
      <c r="D240" s="654">
        <f>EUMATT!C61</f>
        <v>1000</v>
      </c>
      <c r="E240" s="653">
        <f>EUMATT!D61</f>
        <v>4</v>
      </c>
      <c r="F240" s="38">
        <f>EUMATT!E61</f>
        <v>5400</v>
      </c>
      <c r="G240" s="38">
        <f>EUMATT!F61</f>
        <v>21600</v>
      </c>
      <c r="H240" s="38"/>
    </row>
    <row r="241" spans="1:8" s="42" customFormat="1" ht="18.75" x14ac:dyDescent="0.3">
      <c r="A241" s="35"/>
      <c r="B241" s="653">
        <f>EUMATT!A62</f>
        <v>702</v>
      </c>
      <c r="C241" s="653" t="str">
        <f>EUMATT!B62</f>
        <v>CHROMIC 1</v>
      </c>
      <c r="D241" s="654">
        <f>EUMATT!C62</f>
        <v>12</v>
      </c>
      <c r="E241" s="653">
        <f>EUMATT!D62</f>
        <v>20</v>
      </c>
      <c r="F241" s="38">
        <f>EUMATT!E62</f>
        <v>980</v>
      </c>
      <c r="G241" s="38">
        <f>EUMATT!F62</f>
        <v>19600</v>
      </c>
      <c r="H241" s="38"/>
    </row>
    <row r="242" spans="1:8" s="42" customFormat="1" ht="18.75" x14ac:dyDescent="0.3">
      <c r="A242" s="35"/>
      <c r="B242" s="653">
        <f>EUMATT!A63</f>
        <v>703</v>
      </c>
      <c r="C242" s="653" t="str">
        <f>EUMATT!B63</f>
        <v>CHROMIC 2</v>
      </c>
      <c r="D242" s="654">
        <f>EUMATT!C63</f>
        <v>12</v>
      </c>
      <c r="E242" s="653">
        <f>EUMATT!D63</f>
        <v>32</v>
      </c>
      <c r="F242" s="38">
        <f>EUMATT!E63</f>
        <v>980</v>
      </c>
      <c r="G242" s="38">
        <f>EUMATT!F63</f>
        <v>31360</v>
      </c>
      <c r="H242" s="38"/>
    </row>
    <row r="243" spans="1:8" s="42" customFormat="1" ht="18.75" x14ac:dyDescent="0.3">
      <c r="A243" s="35"/>
      <c r="B243" s="653">
        <f>EUMATT!A64</f>
        <v>704</v>
      </c>
      <c r="C243" s="653" t="str">
        <f>EUMATT!B64</f>
        <v>CHROMIC 2/0</v>
      </c>
      <c r="D243" s="654">
        <f>EUMATT!C64</f>
        <v>12</v>
      </c>
      <c r="E243" s="653">
        <f>EUMATT!D64</f>
        <v>32</v>
      </c>
      <c r="F243" s="38">
        <f>EUMATT!E64</f>
        <v>980</v>
      </c>
      <c r="G243" s="38">
        <f>EUMATT!F64</f>
        <v>31360</v>
      </c>
      <c r="H243" s="38"/>
    </row>
    <row r="244" spans="1:8" s="42" customFormat="1" ht="18.75" x14ac:dyDescent="0.3">
      <c r="A244" s="35"/>
      <c r="B244" s="653">
        <f>EUMATT!A65</f>
        <v>690</v>
      </c>
      <c r="C244" s="653" t="str">
        <f>EUMATT!B65</f>
        <v>CIKLAVIT SYR</v>
      </c>
      <c r="D244" s="654" t="str">
        <f>EUMATT!C65</f>
        <v>200ML</v>
      </c>
      <c r="E244" s="653">
        <f>EUMATT!D65</f>
        <v>20</v>
      </c>
      <c r="F244" s="38">
        <f>EUMATT!E65</f>
        <v>1200</v>
      </c>
      <c r="G244" s="38">
        <f>EUMATT!F65</f>
        <v>24000</v>
      </c>
      <c r="H244" s="38"/>
    </row>
    <row r="245" spans="1:8" s="42" customFormat="1" ht="18.75" x14ac:dyDescent="0.3">
      <c r="A245" s="35"/>
      <c r="B245" s="653">
        <f>EUMATT!A66</f>
        <v>238</v>
      </c>
      <c r="C245" s="653" t="str">
        <f>EUMATT!B66</f>
        <v>CLARITHROMYCIN 500MG</v>
      </c>
      <c r="D245" s="654">
        <f>EUMATT!C66</f>
        <v>10</v>
      </c>
      <c r="E245" s="653">
        <f>EUMATT!D66</f>
        <v>200</v>
      </c>
      <c r="F245" s="38">
        <f>EUMATT!E66</f>
        <v>900</v>
      </c>
      <c r="G245" s="38">
        <f>EUMATT!F66</f>
        <v>180000</v>
      </c>
      <c r="H245" s="38"/>
    </row>
    <row r="246" spans="1:8" s="42" customFormat="1" ht="18.75" x14ac:dyDescent="0.3">
      <c r="A246" s="35"/>
      <c r="B246" s="653">
        <f>EUMATT!A67</f>
        <v>584</v>
      </c>
      <c r="C246" s="653" t="str">
        <f>EUMATT!B67</f>
        <v>CLINICAL THERMOMETER B/S</v>
      </c>
      <c r="D246" s="654">
        <f>EUMATT!C67</f>
        <v>12</v>
      </c>
      <c r="E246" s="653">
        <f>EUMATT!D67</f>
        <v>400</v>
      </c>
      <c r="F246" s="38">
        <f>EUMATT!E67</f>
        <v>2200</v>
      </c>
      <c r="G246" s="38">
        <f>EUMATT!F67</f>
        <v>880000</v>
      </c>
      <c r="H246" s="38"/>
    </row>
    <row r="247" spans="1:8" s="42" customFormat="1" ht="18.75" x14ac:dyDescent="0.3">
      <c r="A247" s="35"/>
      <c r="B247" s="653">
        <f>EUMATT!A68</f>
        <v>383</v>
      </c>
      <c r="C247" s="653" t="str">
        <f>EUMATT!B68</f>
        <v>CLOMIPHENE CITRATE TAB</v>
      </c>
      <c r="D247" s="654">
        <f>EUMATT!C68</f>
        <v>10</v>
      </c>
      <c r="E247" s="653">
        <f>EUMATT!D68</f>
        <v>20</v>
      </c>
      <c r="F247" s="38">
        <f>EUMATT!E68</f>
        <v>600</v>
      </c>
      <c r="G247" s="38">
        <f>EUMATT!F68</f>
        <v>12000</v>
      </c>
      <c r="H247" s="38"/>
    </row>
    <row r="248" spans="1:8" s="42" customFormat="1" ht="18.75" x14ac:dyDescent="0.3">
      <c r="A248" s="35"/>
      <c r="B248" s="653">
        <f>EUMATT!A69</f>
        <v>147</v>
      </c>
      <c r="C248" s="653" t="str">
        <f>EUMATT!B69</f>
        <v>COCODAMOL TAB</v>
      </c>
      <c r="D248" s="654">
        <f>EUMATT!C69</f>
        <v>100</v>
      </c>
      <c r="E248" s="653">
        <f>EUMATT!D69</f>
        <v>2000</v>
      </c>
      <c r="F248" s="38">
        <f>EUMATT!E69</f>
        <v>2500</v>
      </c>
      <c r="G248" s="38">
        <f>EUMATT!F69</f>
        <v>5000000</v>
      </c>
      <c r="H248" s="38"/>
    </row>
    <row r="249" spans="1:8" s="42" customFormat="1" ht="18.75" x14ac:dyDescent="0.3">
      <c r="A249" s="35"/>
      <c r="B249" s="653">
        <f>EUMATT!A70</f>
        <v>586</v>
      </c>
      <c r="C249" s="653" t="str">
        <f>EUMATT!B70</f>
        <v>CONDOM CATHETER</v>
      </c>
      <c r="D249" s="654">
        <f>EUMATT!C70</f>
        <v>50</v>
      </c>
      <c r="E249" s="653">
        <f>EUMATT!D70</f>
        <v>6</v>
      </c>
      <c r="F249" s="38">
        <f>EUMATT!E70</f>
        <v>10000</v>
      </c>
      <c r="G249" s="38">
        <f>EUMATT!F70</f>
        <v>60000</v>
      </c>
      <c r="H249" s="38"/>
    </row>
    <row r="250" spans="1:8" s="42" customFormat="1" ht="18.75" x14ac:dyDescent="0.3">
      <c r="A250" s="35"/>
      <c r="B250" s="653">
        <f>EUMATT!A71</f>
        <v>589</v>
      </c>
      <c r="C250" s="653" t="str">
        <f>EUMATT!B71</f>
        <v>COTTON WOOL 500G (DELE)</v>
      </c>
      <c r="D250" s="654" t="str">
        <f>EUMATT!C71</f>
        <v>ROLL</v>
      </c>
      <c r="E250" s="653">
        <f>EUMATT!D71</f>
        <v>2200</v>
      </c>
      <c r="F250" s="38">
        <f>EUMATT!E71</f>
        <v>990</v>
      </c>
      <c r="G250" s="38">
        <f>EUMATT!F71</f>
        <v>2178000</v>
      </c>
      <c r="H250" s="38"/>
    </row>
    <row r="251" spans="1:8" s="42" customFormat="1" ht="18.75" x14ac:dyDescent="0.3">
      <c r="A251" s="35"/>
      <c r="B251" s="653">
        <f>EUMATT!A72</f>
        <v>299</v>
      </c>
      <c r="C251" s="653" t="str">
        <f>EUMATT!B72</f>
        <v>DABIGATRAN 75MG CAP</v>
      </c>
      <c r="D251" s="654">
        <f>EUMATT!C72</f>
        <v>60</v>
      </c>
      <c r="E251" s="653">
        <f>EUMATT!D72</f>
        <v>20</v>
      </c>
      <c r="F251" s="38">
        <f>EUMATT!E72</f>
        <v>28000</v>
      </c>
      <c r="G251" s="38">
        <f>EUMATT!F72</f>
        <v>560000</v>
      </c>
      <c r="H251" s="38"/>
    </row>
    <row r="252" spans="1:8" s="42" customFormat="1" ht="18.75" x14ac:dyDescent="0.3">
      <c r="A252" s="35"/>
      <c r="B252" s="653">
        <f>EUMATT!A73</f>
        <v>149</v>
      </c>
      <c r="C252" s="653" t="str">
        <f>EUMATT!B73</f>
        <v>DEXAMETHASONE 4MG INJ</v>
      </c>
      <c r="D252" s="654">
        <f>EUMATT!C73</f>
        <v>100</v>
      </c>
      <c r="E252" s="653">
        <f>EUMATT!D73</f>
        <v>200</v>
      </c>
      <c r="F252" s="38">
        <f>EUMATT!E73</f>
        <v>950</v>
      </c>
      <c r="G252" s="38">
        <f>EUMATT!F73</f>
        <v>190000</v>
      </c>
      <c r="H252" s="38"/>
    </row>
    <row r="253" spans="1:8" s="42" customFormat="1" ht="18.75" x14ac:dyDescent="0.3">
      <c r="A253" s="35"/>
      <c r="B253" s="653">
        <f>EUMATT!A74</f>
        <v>362</v>
      </c>
      <c r="C253" s="653" t="str">
        <f>EUMATT!B74</f>
        <v>DIAZEPAM 5MG TAB (X1000)</v>
      </c>
      <c r="D253" s="654">
        <f>EUMATT!C74</f>
        <v>1000</v>
      </c>
      <c r="E253" s="653">
        <f>EUMATT!D74</f>
        <v>12</v>
      </c>
      <c r="F253" s="38">
        <f>EUMATT!E74</f>
        <v>3000</v>
      </c>
      <c r="G253" s="38">
        <f>EUMATT!F74</f>
        <v>36000</v>
      </c>
      <c r="H253" s="38"/>
    </row>
    <row r="254" spans="1:8" s="42" customFormat="1" ht="18.75" x14ac:dyDescent="0.3">
      <c r="A254" s="35"/>
      <c r="B254" s="653">
        <f>EUMATT!A75</f>
        <v>152</v>
      </c>
      <c r="C254" s="653" t="str">
        <f>EUMATT!B75</f>
        <v>DICLOFENAC 75MG INJ</v>
      </c>
      <c r="D254" s="654">
        <f>EUMATT!C75</f>
        <v>100</v>
      </c>
      <c r="E254" s="653">
        <f>EUMATT!D75</f>
        <v>120</v>
      </c>
      <c r="F254" s="38">
        <f>EUMATT!E75</f>
        <v>1200</v>
      </c>
      <c r="G254" s="38">
        <f>EUMATT!F75</f>
        <v>144000</v>
      </c>
      <c r="H254" s="38"/>
    </row>
    <row r="255" spans="1:8" s="42" customFormat="1" ht="18.75" x14ac:dyDescent="0.3">
      <c r="A255" s="35"/>
      <c r="B255" s="653">
        <f>EUMATT!A76</f>
        <v>155</v>
      </c>
      <c r="C255" s="653" t="str">
        <f>EUMATT!B76</f>
        <v>DICLOFENAC/CHOLESTYRAMINE TAB</v>
      </c>
      <c r="D255" s="654">
        <f>EUMATT!C76</f>
        <v>20</v>
      </c>
      <c r="E255" s="653">
        <f>EUMATT!D76</f>
        <v>2000</v>
      </c>
      <c r="F255" s="38">
        <f>EUMATT!E76</f>
        <v>2200</v>
      </c>
      <c r="G255" s="38">
        <f>EUMATT!F76</f>
        <v>4400000</v>
      </c>
      <c r="H255" s="38"/>
    </row>
    <row r="256" spans="1:8" s="42" customFormat="1" ht="18.75" x14ac:dyDescent="0.3">
      <c r="A256" s="35"/>
      <c r="B256" s="653">
        <f>EUMATT!A77</f>
        <v>58</v>
      </c>
      <c r="C256" s="653" t="str">
        <f>EUMATT!B77</f>
        <v>DIGOXIN 0.25MG TAB</v>
      </c>
      <c r="D256" s="654">
        <f>EUMATT!C77</f>
        <v>500</v>
      </c>
      <c r="E256" s="653">
        <f>EUMATT!D77</f>
        <v>8</v>
      </c>
      <c r="F256" s="38">
        <f>EUMATT!E77</f>
        <v>3800</v>
      </c>
      <c r="G256" s="38">
        <f>EUMATT!F77</f>
        <v>30400</v>
      </c>
      <c r="H256" s="35"/>
    </row>
    <row r="257" spans="1:8" s="42" customFormat="1" ht="18.75" x14ac:dyDescent="0.3">
      <c r="A257" s="35"/>
      <c r="B257" s="653">
        <f>EUMATT!A78</f>
        <v>59</v>
      </c>
      <c r="C257" s="653" t="str">
        <f>EUMATT!B78</f>
        <v>DIGOXIN INJ</v>
      </c>
      <c r="D257" s="654">
        <f>EUMATT!C78</f>
        <v>10</v>
      </c>
      <c r="E257" s="653">
        <f>EUMATT!D78</f>
        <v>10</v>
      </c>
      <c r="F257" s="38">
        <f>EUMATT!E78</f>
        <v>1800</v>
      </c>
      <c r="G257" s="38">
        <f>EUMATT!F78</f>
        <v>18000</v>
      </c>
      <c r="H257" s="35"/>
    </row>
    <row r="258" spans="1:8" s="42" customFormat="1" ht="18.75" x14ac:dyDescent="0.3">
      <c r="A258" s="35"/>
      <c r="B258" s="653">
        <f>EUMATT!A79</f>
        <v>11</v>
      </c>
      <c r="C258" s="653" t="str">
        <f>EUMATT!B79</f>
        <v>DIHYDROARTEMISININ/PIPERAQUINE SYR</v>
      </c>
      <c r="D258" s="654" t="str">
        <f>EUMATT!C79</f>
        <v>BOTT</v>
      </c>
      <c r="E258" s="653">
        <f>EUMATT!D79</f>
        <v>200</v>
      </c>
      <c r="F258" s="38">
        <f>EUMATT!E79</f>
        <v>320</v>
      </c>
      <c r="G258" s="38">
        <f>EUMATT!F79</f>
        <v>64000</v>
      </c>
      <c r="H258" s="35"/>
    </row>
    <row r="259" spans="1:8" s="42" customFormat="1" ht="18.75" x14ac:dyDescent="0.3">
      <c r="A259" s="35"/>
      <c r="B259" s="653">
        <f>EUMATT!A80</f>
        <v>12</v>
      </c>
      <c r="C259" s="653" t="str">
        <f>EUMATT!B80</f>
        <v>DIHYDROARTEMISININ/PIPERAQUINE TAB</v>
      </c>
      <c r="D259" s="654">
        <f>EUMATT!C80</f>
        <v>9</v>
      </c>
      <c r="E259" s="653">
        <f>EUMATT!D80</f>
        <v>500</v>
      </c>
      <c r="F259" s="38">
        <f>EUMATT!E80</f>
        <v>350</v>
      </c>
      <c r="G259" s="38">
        <f>EUMATT!F80</f>
        <v>175000</v>
      </c>
      <c r="H259" s="38"/>
    </row>
    <row r="260" spans="1:8" s="42" customFormat="1" ht="18.75" x14ac:dyDescent="0.3">
      <c r="A260" s="35"/>
      <c r="B260" s="653">
        <f>EUMATT!A81</f>
        <v>159</v>
      </c>
      <c r="C260" s="653" t="str">
        <f>EUMATT!B81</f>
        <v>DIHYDROCODEINE TAB (DF118)</v>
      </c>
      <c r="D260" s="654">
        <f>EUMATT!C81</f>
        <v>100</v>
      </c>
      <c r="E260" s="653">
        <f>EUMATT!D81</f>
        <v>32</v>
      </c>
      <c r="F260" s="38">
        <f>EUMATT!E81</f>
        <v>5000</v>
      </c>
      <c r="G260" s="38">
        <f>EUMATT!F81</f>
        <v>160000</v>
      </c>
      <c r="H260" s="38"/>
    </row>
    <row r="261" spans="1:8" s="42" customFormat="1" ht="18.75" x14ac:dyDescent="0.3">
      <c r="A261" s="35"/>
      <c r="B261" s="653">
        <f>EUMATT!A82</f>
        <v>659</v>
      </c>
      <c r="C261" s="653" t="str">
        <f>EUMATT!B82</f>
        <v>DIPROSALIC OINTMENT</v>
      </c>
      <c r="D261" s="654" t="str">
        <f>EUMATT!C82</f>
        <v>TUBE</v>
      </c>
      <c r="E261" s="653">
        <f>EUMATT!D82</f>
        <v>20</v>
      </c>
      <c r="F261" s="38">
        <f>EUMATT!E82</f>
        <v>2750</v>
      </c>
      <c r="G261" s="38">
        <f>EUMATT!F82</f>
        <v>55000</v>
      </c>
      <c r="H261" s="38"/>
    </row>
    <row r="262" spans="1:8" s="42" customFormat="1" ht="18.75" x14ac:dyDescent="0.3">
      <c r="A262" s="35"/>
      <c r="B262" s="653">
        <f>EUMATT!A83</f>
        <v>593</v>
      </c>
      <c r="C262" s="653" t="str">
        <f>EUMATT!B83</f>
        <v>ELBOW LENGTH GLOVES</v>
      </c>
      <c r="D262" s="654">
        <f>EUMATT!C83</f>
        <v>50</v>
      </c>
      <c r="E262" s="653">
        <f>EUMATT!D83</f>
        <v>20</v>
      </c>
      <c r="F262" s="38">
        <f>EUMATT!E83</f>
        <v>17500</v>
      </c>
      <c r="G262" s="38">
        <f>EUMATT!F83</f>
        <v>350000</v>
      </c>
      <c r="H262" s="38"/>
    </row>
    <row r="263" spans="1:8" s="42" customFormat="1" ht="18.75" x14ac:dyDescent="0.3">
      <c r="A263" s="35"/>
      <c r="B263" s="653">
        <f>EUMATT!A84</f>
        <v>399</v>
      </c>
      <c r="C263" s="653" t="str">
        <f>EUMATT!B84</f>
        <v>EPHEDRINE INJ (STEROP)</v>
      </c>
      <c r="D263" s="654">
        <f>EUMATT!C84</f>
        <v>100</v>
      </c>
      <c r="E263" s="653">
        <f>EUMATT!D84</f>
        <v>4</v>
      </c>
      <c r="F263" s="38">
        <f>EUMATT!E84</f>
        <v>80000</v>
      </c>
      <c r="G263" s="38">
        <f>EUMATT!F84</f>
        <v>320000</v>
      </c>
      <c r="H263" s="38"/>
    </row>
    <row r="264" spans="1:8" s="42" customFormat="1" ht="18.75" x14ac:dyDescent="0.3">
      <c r="A264" s="35"/>
      <c r="B264" s="653">
        <f>EUMATT!A85</f>
        <v>248</v>
      </c>
      <c r="C264" s="653" t="str">
        <f>EUMATT!B85</f>
        <v>ERYTHROMYCIN 250MG TAB</v>
      </c>
      <c r="D264" s="654">
        <f>EUMATT!C85</f>
        <v>100</v>
      </c>
      <c r="E264" s="653">
        <f>EUMATT!D85</f>
        <v>40</v>
      </c>
      <c r="F264" s="38">
        <f>EUMATT!E85</f>
        <v>1400</v>
      </c>
      <c r="G264" s="38">
        <f>EUMATT!F85</f>
        <v>56000</v>
      </c>
      <c r="H264" s="35"/>
    </row>
    <row r="265" spans="1:8" s="42" customFormat="1" ht="18.75" x14ac:dyDescent="0.3">
      <c r="A265" s="35"/>
      <c r="B265" s="653">
        <f>EUMATT!A86</f>
        <v>60</v>
      </c>
      <c r="C265" s="653" t="str">
        <f>EUMATT!B86</f>
        <v>FENOFIBRATE 200MG TAB</v>
      </c>
      <c r="D265" s="654">
        <f>EUMATT!C86</f>
        <v>30</v>
      </c>
      <c r="E265" s="653">
        <f>EUMATT!D86</f>
        <v>20</v>
      </c>
      <c r="F265" s="38">
        <f>EUMATT!E86</f>
        <v>1700</v>
      </c>
      <c r="G265" s="38">
        <f>EUMATT!F86</f>
        <v>34000</v>
      </c>
      <c r="H265" s="35"/>
    </row>
    <row r="266" spans="1:8" s="42" customFormat="1" ht="18.75" x14ac:dyDescent="0.3">
      <c r="A266" s="35"/>
      <c r="B266" s="653">
        <f>EUMATT!A87</f>
        <v>251</v>
      </c>
      <c r="C266" s="653" t="str">
        <f>EUMATT!B87</f>
        <v>FLUCONAZOLE 150MG CAP</v>
      </c>
      <c r="D266" s="654">
        <f>EUMATT!C87</f>
        <v>10</v>
      </c>
      <c r="E266" s="653">
        <f>EUMATT!D87</f>
        <v>100</v>
      </c>
      <c r="F266" s="38">
        <f>EUMATT!E87</f>
        <v>270</v>
      </c>
      <c r="G266" s="38">
        <f>EUMATT!F87</f>
        <v>27000</v>
      </c>
      <c r="H266" s="35"/>
    </row>
    <row r="267" spans="1:8" s="42" customFormat="1" ht="18.75" x14ac:dyDescent="0.3">
      <c r="A267" s="35"/>
      <c r="B267" s="653">
        <f>EUMATT!A88</f>
        <v>252</v>
      </c>
      <c r="C267" s="653" t="str">
        <f>EUMATT!B88</f>
        <v>FLUCONAZOLE 200MG CAP</v>
      </c>
      <c r="D267" s="654">
        <f>EUMATT!C88</f>
        <v>10</v>
      </c>
      <c r="E267" s="653">
        <f>EUMATT!D88</f>
        <v>200</v>
      </c>
      <c r="F267" s="38">
        <f>EUMATT!E88</f>
        <v>240</v>
      </c>
      <c r="G267" s="38">
        <f>EUMATT!F88</f>
        <v>48000</v>
      </c>
      <c r="H267" s="38"/>
    </row>
    <row r="268" spans="1:8" s="42" customFormat="1" ht="18.75" x14ac:dyDescent="0.3">
      <c r="A268" s="35"/>
      <c r="B268" s="653">
        <f>EUMATT!A89</f>
        <v>364</v>
      </c>
      <c r="C268" s="653" t="str">
        <f>EUMATT!B89</f>
        <v>FLUPENTHIXOL DECANOATE 20MG</v>
      </c>
      <c r="D268" s="654" t="str">
        <f>EUMATT!C89</f>
        <v>AMP</v>
      </c>
      <c r="E268" s="653">
        <f>EUMATT!D89</f>
        <v>200</v>
      </c>
      <c r="F268" s="38">
        <f>EUMATT!E89</f>
        <v>1350</v>
      </c>
      <c r="G268" s="38">
        <f>EUMATT!F89</f>
        <v>270000</v>
      </c>
      <c r="H268" s="38"/>
    </row>
    <row r="269" spans="1:8" s="42" customFormat="1" ht="18.75" x14ac:dyDescent="0.3">
      <c r="A269" s="35"/>
      <c r="B269" s="653">
        <f>EUMATT!A90</f>
        <v>365</v>
      </c>
      <c r="C269" s="653" t="str">
        <f>EUMATT!B90</f>
        <v>FLUPENTHIXOL DECANOATE 40MG</v>
      </c>
      <c r="D269" s="654" t="str">
        <f>EUMATT!C90</f>
        <v>AMP</v>
      </c>
      <c r="E269" s="653">
        <f>EUMATT!D90</f>
        <v>100</v>
      </c>
      <c r="F269" s="38">
        <f>EUMATT!E90</f>
        <v>2200</v>
      </c>
      <c r="G269" s="38">
        <f>EUMATT!F90</f>
        <v>220000</v>
      </c>
      <c r="H269" s="38"/>
    </row>
    <row r="270" spans="1:8" s="42" customFormat="1" ht="18.75" x14ac:dyDescent="0.3">
      <c r="A270" s="35"/>
      <c r="B270" s="653">
        <f>EUMATT!A91</f>
        <v>307</v>
      </c>
      <c r="C270" s="653" t="str">
        <f>EUMATT!B91</f>
        <v>FOLIC ACID SYR</v>
      </c>
      <c r="D270" s="654" t="str">
        <f>EUMATT!C91</f>
        <v>BOTT</v>
      </c>
      <c r="E270" s="653">
        <f>EUMATT!D91</f>
        <v>100</v>
      </c>
      <c r="F270" s="38">
        <f>EUMATT!E91</f>
        <v>320</v>
      </c>
      <c r="G270" s="38">
        <f>EUMATT!F91</f>
        <v>32000</v>
      </c>
      <c r="H270" s="38"/>
    </row>
    <row r="271" spans="1:8" s="42" customFormat="1" ht="18.75" x14ac:dyDescent="0.3">
      <c r="A271" s="35"/>
      <c r="B271" s="653">
        <f>EUMATT!A92</f>
        <v>597</v>
      </c>
      <c r="C271" s="653" t="str">
        <f>EUMATT!B92</f>
        <v>FOLLEY CATHETER SIZE 16"</v>
      </c>
      <c r="D271" s="654">
        <f>EUMATT!C92</f>
        <v>10</v>
      </c>
      <c r="E271" s="653">
        <f>EUMATT!D92</f>
        <v>300</v>
      </c>
      <c r="F271" s="38">
        <f>EUMATT!E92</f>
        <v>1600</v>
      </c>
      <c r="G271" s="38">
        <f>EUMATT!F92</f>
        <v>480000</v>
      </c>
      <c r="H271" s="38"/>
    </row>
    <row r="272" spans="1:8" s="42" customFormat="1" ht="18.75" x14ac:dyDescent="0.3">
      <c r="A272" s="35"/>
      <c r="B272" s="653">
        <f>EUMATT!A93</f>
        <v>598</v>
      </c>
      <c r="C272" s="653" t="str">
        <f>EUMATT!B93</f>
        <v>FOLLEY CATHETER SIZE 18"</v>
      </c>
      <c r="D272" s="654">
        <f>EUMATT!C93</f>
        <v>10</v>
      </c>
      <c r="E272" s="653">
        <f>EUMATT!D93</f>
        <v>200</v>
      </c>
      <c r="F272" s="38">
        <f>EUMATT!E93</f>
        <v>1600</v>
      </c>
      <c r="G272" s="38">
        <f>EUMATT!F93</f>
        <v>320000</v>
      </c>
      <c r="H272" s="38"/>
    </row>
    <row r="273" spans="1:8" s="42" customFormat="1" ht="18.75" x14ac:dyDescent="0.3">
      <c r="A273" s="35"/>
      <c r="B273" s="653">
        <f>EUMATT!A94</f>
        <v>61</v>
      </c>
      <c r="C273" s="653" t="str">
        <f>EUMATT!B94</f>
        <v>FRUSEMIDE 20MG INJ</v>
      </c>
      <c r="D273" s="654">
        <f>EUMATT!C94</f>
        <v>100</v>
      </c>
      <c r="E273" s="653">
        <f>EUMATT!D94</f>
        <v>500</v>
      </c>
      <c r="F273" s="38">
        <f>EUMATT!E94</f>
        <v>2500</v>
      </c>
      <c r="G273" s="38">
        <f>EUMATT!F94</f>
        <v>1250000</v>
      </c>
      <c r="H273" s="38"/>
    </row>
    <row r="274" spans="1:8" s="42" customFormat="1" ht="23.25" x14ac:dyDescent="0.35">
      <c r="A274" s="35"/>
      <c r="B274" s="653">
        <f>EUMATT!A95</f>
        <v>630</v>
      </c>
      <c r="C274" s="653" t="str">
        <f>EUMATT!B95</f>
        <v>GAUZE ROLL 500G  (90CM X 100 YARD) CUTISOFT BSN</v>
      </c>
      <c r="D274" s="654" t="str">
        <f>EUMATT!C95</f>
        <v>PCS</v>
      </c>
      <c r="E274" s="653">
        <f>EUMATT!D95</f>
        <v>3000</v>
      </c>
      <c r="F274" s="38">
        <f>EUMATT!E95</f>
        <v>3100</v>
      </c>
      <c r="G274" s="38">
        <f>EUMATT!F95</f>
        <v>9300000</v>
      </c>
      <c r="H274" s="79"/>
    </row>
    <row r="275" spans="1:8" s="42" customFormat="1" ht="18.75" x14ac:dyDescent="0.3">
      <c r="A275" s="35"/>
      <c r="B275" s="653">
        <f>EUMATT!A96</f>
        <v>367</v>
      </c>
      <c r="C275" s="653" t="str">
        <f>EUMATT!B96</f>
        <v>HALOPERIDOL 5MG TAB</v>
      </c>
      <c r="D275" s="654">
        <f>EUMATT!C96</f>
        <v>1000</v>
      </c>
      <c r="E275" s="653">
        <f>EUMATT!D96</f>
        <v>2</v>
      </c>
      <c r="F275" s="38">
        <f>EUMATT!E96</f>
        <v>2900</v>
      </c>
      <c r="G275" s="38">
        <f>EUMATT!F96</f>
        <v>5800</v>
      </c>
      <c r="H275" s="38"/>
    </row>
    <row r="276" spans="1:8" s="42" customFormat="1" ht="18.75" x14ac:dyDescent="0.3">
      <c r="A276" s="35"/>
      <c r="B276" s="653">
        <f>EUMATT!A97</f>
        <v>692</v>
      </c>
      <c r="C276" s="653" t="str">
        <f>EUMATT!B97</f>
        <v>HEXETIDINE MOUTH WASH</v>
      </c>
      <c r="D276" s="654" t="str">
        <f>EUMATT!C97</f>
        <v>BOTT</v>
      </c>
      <c r="E276" s="653">
        <f>EUMATT!D97</f>
        <v>520</v>
      </c>
      <c r="F276" s="38">
        <f>EUMATT!E97</f>
        <v>500</v>
      </c>
      <c r="G276" s="38">
        <f>EUMATT!F97</f>
        <v>260000</v>
      </c>
      <c r="H276" s="35"/>
    </row>
    <row r="277" spans="1:8" s="42" customFormat="1" ht="18.75" x14ac:dyDescent="0.3">
      <c r="A277" s="35"/>
      <c r="B277" s="653">
        <f>EUMATT!A98</f>
        <v>64</v>
      </c>
      <c r="C277" s="653" t="str">
        <f>EUMATT!B98</f>
        <v>HYDRALLAZINE INJ</v>
      </c>
      <c r="D277" s="654">
        <f>EUMATT!C98</f>
        <v>100</v>
      </c>
      <c r="E277" s="653">
        <f>EUMATT!D98</f>
        <v>8</v>
      </c>
      <c r="F277" s="38">
        <f>EUMATT!E98</f>
        <v>9000</v>
      </c>
      <c r="G277" s="38">
        <f>EUMATT!F98</f>
        <v>72000</v>
      </c>
      <c r="H277" s="35"/>
    </row>
    <row r="278" spans="1:8" s="42" customFormat="1" ht="18.75" x14ac:dyDescent="0.3">
      <c r="A278" s="35"/>
      <c r="B278" s="653">
        <f>EUMATT!A99</f>
        <v>604</v>
      </c>
      <c r="C278" s="653" t="str">
        <f>EUMATT!B99</f>
        <v xml:space="preserve">INFUSION GIVING SET </v>
      </c>
      <c r="D278" s="654">
        <f>EUMATT!C99</f>
        <v>500</v>
      </c>
      <c r="E278" s="653">
        <f>EUMATT!D99</f>
        <v>20</v>
      </c>
      <c r="F278" s="38">
        <f>EUMATT!E99</f>
        <v>19000</v>
      </c>
      <c r="G278" s="38">
        <f>EUMATT!F99</f>
        <v>380000</v>
      </c>
      <c r="H278" s="35"/>
    </row>
    <row r="279" spans="1:8" s="42" customFormat="1" ht="23.25" x14ac:dyDescent="0.35">
      <c r="A279" s="35"/>
      <c r="B279" s="653">
        <f>EUMATT!A100</f>
        <v>605</v>
      </c>
      <c r="C279" s="653" t="str">
        <f>EUMATT!B100</f>
        <v>INSULIN SYRINGE 100IU/ML</v>
      </c>
      <c r="D279" s="654">
        <f>EUMATT!C100</f>
        <v>100</v>
      </c>
      <c r="E279" s="653">
        <f>EUMATT!D100</f>
        <v>32</v>
      </c>
      <c r="F279" s="38">
        <f>EUMATT!E100</f>
        <v>2200</v>
      </c>
      <c r="G279" s="38">
        <f>EUMATT!F100</f>
        <v>70400</v>
      </c>
      <c r="H279" s="186"/>
    </row>
    <row r="280" spans="1:8" s="42" customFormat="1" ht="18.75" x14ac:dyDescent="0.3">
      <c r="A280" s="35"/>
      <c r="B280" s="653">
        <f>EUMATT!A101</f>
        <v>73</v>
      </c>
      <c r="C280" s="653" t="str">
        <f>EUMATT!B101</f>
        <v>LABETALOL INJ</v>
      </c>
      <c r="D280" s="654" t="str">
        <f>EUMATT!C101</f>
        <v>AMP</v>
      </c>
      <c r="E280" s="653">
        <f>EUMATT!D101</f>
        <v>400</v>
      </c>
      <c r="F280" s="38">
        <f>EUMATT!E101</f>
        <v>750</v>
      </c>
      <c r="G280" s="38">
        <f>EUMATT!F101</f>
        <v>300000</v>
      </c>
      <c r="H280" s="35"/>
    </row>
    <row r="281" spans="1:8" s="42" customFormat="1" ht="18.75" x14ac:dyDescent="0.3">
      <c r="A281" s="35"/>
      <c r="B281" s="653">
        <f>EUMATT!A102</f>
        <v>74</v>
      </c>
      <c r="C281" s="653" t="str">
        <f>EUMATT!B102</f>
        <v>LABETALOL TAB</v>
      </c>
      <c r="D281" s="654">
        <f>EUMATT!C102</f>
        <v>30</v>
      </c>
      <c r="E281" s="653">
        <f>EUMATT!D102</f>
        <v>80</v>
      </c>
      <c r="F281" s="38">
        <f>EUMATT!E102</f>
        <v>3100</v>
      </c>
      <c r="G281" s="38">
        <f>EUMATT!F102</f>
        <v>248000</v>
      </c>
      <c r="H281" s="38"/>
    </row>
    <row r="282" spans="1:8" s="42" customFormat="1" ht="23.25" x14ac:dyDescent="0.35">
      <c r="A282" s="35"/>
      <c r="B282" s="653">
        <f>EUMATT!A103</f>
        <v>606</v>
      </c>
      <c r="C282" s="653" t="str">
        <f>EUMATT!B103</f>
        <v>LATEX GLOVES (SUPER CARE)</v>
      </c>
      <c r="D282" s="654" t="str">
        <f>EUMATT!C103</f>
        <v>CARTON</v>
      </c>
      <c r="E282" s="653">
        <f>EUMATT!D103</f>
        <v>1680</v>
      </c>
      <c r="F282" s="38">
        <f>EUMATT!E103</f>
        <v>8900</v>
      </c>
      <c r="G282" s="38">
        <f>EUMATT!F103</f>
        <v>14952000</v>
      </c>
      <c r="H282" s="79"/>
    </row>
    <row r="283" spans="1:8" s="42" customFormat="1" ht="18.75" x14ac:dyDescent="0.3">
      <c r="A283" s="35"/>
      <c r="B283" s="653">
        <f>EUMATT!A104</f>
        <v>261</v>
      </c>
      <c r="C283" s="653" t="str">
        <f>EUMATT!B104</f>
        <v>LEVOFLOXACIN 500MG TAB</v>
      </c>
      <c r="D283" s="654">
        <f>EUMATT!C104</f>
        <v>10</v>
      </c>
      <c r="E283" s="653">
        <f>EUMATT!D104</f>
        <v>288</v>
      </c>
      <c r="F283" s="38">
        <f>EUMATT!E104</f>
        <v>250</v>
      </c>
      <c r="G283" s="38">
        <f>EUMATT!F104</f>
        <v>72000</v>
      </c>
      <c r="H283" s="38"/>
    </row>
    <row r="284" spans="1:8" s="42" customFormat="1" ht="18.75" x14ac:dyDescent="0.3">
      <c r="A284" s="35"/>
      <c r="B284" s="653">
        <f>EUMATT!A105</f>
        <v>75</v>
      </c>
      <c r="C284" s="653" t="str">
        <f>EUMATT!B105</f>
        <v>LISINOPRIL 10MG</v>
      </c>
      <c r="D284" s="654">
        <f>EUMATT!C105</f>
        <v>28</v>
      </c>
      <c r="E284" s="653">
        <f>EUMATT!D105</f>
        <v>600</v>
      </c>
      <c r="F284" s="38">
        <f>EUMATT!E105</f>
        <v>300</v>
      </c>
      <c r="G284" s="38">
        <f>EUMATT!F105</f>
        <v>180000</v>
      </c>
      <c r="H284" s="38"/>
    </row>
    <row r="285" spans="1:8" s="42" customFormat="1" ht="18.75" x14ac:dyDescent="0.3">
      <c r="A285" s="35"/>
      <c r="B285" s="653">
        <f>EUMATT!A106</f>
        <v>76</v>
      </c>
      <c r="C285" s="653" t="str">
        <f>EUMATT!B106</f>
        <v>LISINOPRIL 5MG</v>
      </c>
      <c r="D285" s="654">
        <f>EUMATT!C106</f>
        <v>28</v>
      </c>
      <c r="E285" s="653">
        <f>EUMATT!D106</f>
        <v>1500</v>
      </c>
      <c r="F285" s="38">
        <f>EUMATT!E106</f>
        <v>230</v>
      </c>
      <c r="G285" s="38">
        <f>EUMATT!F106</f>
        <v>345000</v>
      </c>
      <c r="H285" s="38"/>
    </row>
    <row r="286" spans="1:8" s="42" customFormat="1" ht="18.75" x14ac:dyDescent="0.3">
      <c r="A286" s="35"/>
      <c r="B286" s="653">
        <f>EUMATT!A107</f>
        <v>434</v>
      </c>
      <c r="C286" s="653" t="str">
        <f>EUMATT!B107</f>
        <v>LOPERAMIDE CAP</v>
      </c>
      <c r="D286" s="654">
        <f>EUMATT!C107</f>
        <v>10</v>
      </c>
      <c r="E286" s="653">
        <f>EUMATT!D107</f>
        <v>200</v>
      </c>
      <c r="F286" s="38">
        <f>EUMATT!E107</f>
        <v>40</v>
      </c>
      <c r="G286" s="38">
        <f>EUMATT!F107</f>
        <v>8000</v>
      </c>
      <c r="H286" s="38"/>
    </row>
    <row r="287" spans="1:8" s="42" customFormat="1" ht="23.25" x14ac:dyDescent="0.35">
      <c r="A287" s="35"/>
      <c r="B287" s="653">
        <f>EUMATT!A108</f>
        <v>77</v>
      </c>
      <c r="C287" s="653" t="str">
        <f>EUMATT!B108</f>
        <v>LOSARTAN 25MG</v>
      </c>
      <c r="D287" s="654">
        <f>EUMATT!C108</f>
        <v>30</v>
      </c>
      <c r="E287" s="653">
        <f>EUMATT!D108</f>
        <v>2000</v>
      </c>
      <c r="F287" s="38">
        <f>EUMATT!E108</f>
        <v>480</v>
      </c>
      <c r="G287" s="38">
        <f>EUMATT!F108</f>
        <v>960000</v>
      </c>
      <c r="H287" s="186"/>
    </row>
    <row r="288" spans="1:8" s="42" customFormat="1" ht="18.75" x14ac:dyDescent="0.3">
      <c r="A288" s="35"/>
      <c r="B288" s="653">
        <f>EUMATT!A109</f>
        <v>78</v>
      </c>
      <c r="C288" s="653" t="str">
        <f>EUMATT!B109</f>
        <v>LOSARTAN 50MG</v>
      </c>
      <c r="D288" s="654">
        <f>EUMATT!C109</f>
        <v>30</v>
      </c>
      <c r="E288" s="653">
        <f>EUMATT!D109</f>
        <v>720</v>
      </c>
      <c r="F288" s="38">
        <f>EUMATT!E109</f>
        <v>600</v>
      </c>
      <c r="G288" s="38">
        <f>EUMATT!F109</f>
        <v>432000</v>
      </c>
      <c r="H288" s="35"/>
    </row>
    <row r="289" spans="1:8" s="42" customFormat="1" ht="23.25" x14ac:dyDescent="0.35">
      <c r="A289" s="35"/>
      <c r="B289" s="653">
        <f>EUMATT!A110</f>
        <v>169</v>
      </c>
      <c r="C289" s="653" t="str">
        <f>EUMATT!B110</f>
        <v xml:space="preserve">METHYL PREDNISOLONE INJ </v>
      </c>
      <c r="D289" s="654" t="str">
        <f>EUMATT!C110</f>
        <v>VIAL</v>
      </c>
      <c r="E289" s="653">
        <f>EUMATT!D110</f>
        <v>300</v>
      </c>
      <c r="F289" s="38">
        <f>EUMATT!E110</f>
        <v>750</v>
      </c>
      <c r="G289" s="38">
        <f>EUMATT!F110</f>
        <v>225000</v>
      </c>
      <c r="H289" s="79"/>
    </row>
    <row r="290" spans="1:8" s="42" customFormat="1" ht="18.75" x14ac:dyDescent="0.3">
      <c r="A290" s="35"/>
      <c r="B290" s="653">
        <f>EUMATT!A111</f>
        <v>436</v>
      </c>
      <c r="C290" s="653" t="str">
        <f>EUMATT!B111</f>
        <v>METOCLOPRAMIDE 10MG INJ</v>
      </c>
      <c r="D290" s="654">
        <f>EUMATT!C111</f>
        <v>100</v>
      </c>
      <c r="E290" s="653">
        <f>EUMATT!D111</f>
        <v>60</v>
      </c>
      <c r="F290" s="38">
        <f>EUMATT!E111</f>
        <v>1500</v>
      </c>
      <c r="G290" s="38">
        <f>EUMATT!F111</f>
        <v>90000</v>
      </c>
      <c r="H290" s="38"/>
    </row>
    <row r="291" spans="1:8" s="42" customFormat="1" ht="18.75" x14ac:dyDescent="0.3">
      <c r="A291" s="35"/>
      <c r="B291" s="653">
        <f>EUMATT!A112</f>
        <v>81</v>
      </c>
      <c r="C291" s="653" t="str">
        <f>EUMATT!B112</f>
        <v>METOLAZONE 2.5MG TAB</v>
      </c>
      <c r="D291" s="654">
        <f>EUMATT!C112</f>
        <v>100</v>
      </c>
      <c r="E291" s="653">
        <f>EUMATT!D112</f>
        <v>10</v>
      </c>
      <c r="F291" s="38">
        <f>EUMATT!E112</f>
        <v>12000</v>
      </c>
      <c r="G291" s="38">
        <f>EUMATT!F112</f>
        <v>120000</v>
      </c>
      <c r="H291" s="38"/>
    </row>
    <row r="292" spans="1:8" s="42" customFormat="1" ht="18.75" x14ac:dyDescent="0.3">
      <c r="A292" s="35"/>
      <c r="B292" s="653">
        <f>EUMATT!A113</f>
        <v>82</v>
      </c>
      <c r="C292" s="653" t="str">
        <f>EUMATT!B113</f>
        <v>METOLAZONE 5MG TAB</v>
      </c>
      <c r="D292" s="654">
        <f>EUMATT!C113</f>
        <v>100</v>
      </c>
      <c r="E292" s="653">
        <f>EUMATT!D113</f>
        <v>10</v>
      </c>
      <c r="F292" s="38">
        <f>EUMATT!E113</f>
        <v>15000</v>
      </c>
      <c r="G292" s="38">
        <f>EUMATT!F113</f>
        <v>150000</v>
      </c>
      <c r="H292" s="35"/>
    </row>
    <row r="293" spans="1:8" s="42" customFormat="1" ht="18.75" x14ac:dyDescent="0.3">
      <c r="A293" s="35"/>
      <c r="B293" s="653">
        <f>EUMATT!A114</f>
        <v>267</v>
      </c>
      <c r="C293" s="653" t="str">
        <f>EUMATT!B114</f>
        <v>METRONIDAZOLE SUSP</v>
      </c>
      <c r="D293" s="654" t="str">
        <f>EUMATT!C114</f>
        <v>BOTT</v>
      </c>
      <c r="E293" s="653">
        <f>EUMATT!D114</f>
        <v>300</v>
      </c>
      <c r="F293" s="38">
        <f>EUMATT!E114</f>
        <v>100</v>
      </c>
      <c r="G293" s="38">
        <f>EUMATT!F114</f>
        <v>30000</v>
      </c>
      <c r="H293" s="35"/>
    </row>
    <row r="294" spans="1:8" s="42" customFormat="1" ht="18.75" x14ac:dyDescent="0.3">
      <c r="A294" s="35"/>
      <c r="B294" s="653">
        <f>EUMATT!A115</f>
        <v>407</v>
      </c>
      <c r="C294" s="653" t="str">
        <f>EUMATT!B115</f>
        <v>MIDAZOLAM INJ</v>
      </c>
      <c r="D294" s="654">
        <f>EUMATT!C115</f>
        <v>10</v>
      </c>
      <c r="E294" s="653">
        <f>EUMATT!D115</f>
        <v>25</v>
      </c>
      <c r="F294" s="38">
        <f>EUMATT!E115</f>
        <v>16900</v>
      </c>
      <c r="G294" s="38">
        <f>EUMATT!F115</f>
        <v>422500</v>
      </c>
      <c r="H294" s="35"/>
    </row>
    <row r="295" spans="1:8" s="42" customFormat="1" ht="18.75" x14ac:dyDescent="0.3">
      <c r="A295" s="35"/>
      <c r="B295" s="653">
        <f>EUMATT!A116</f>
        <v>314</v>
      </c>
      <c r="C295" s="653" t="str">
        <f>EUMATT!B116</f>
        <v>MULTIVITE DROPS  (ABIDEC)</v>
      </c>
      <c r="D295" s="654" t="str">
        <f>EUMATT!C116</f>
        <v>BOTT</v>
      </c>
      <c r="E295" s="653">
        <f>EUMATT!D116</f>
        <v>200</v>
      </c>
      <c r="F295" s="38">
        <f>EUMATT!E116</f>
        <v>990</v>
      </c>
      <c r="G295" s="38">
        <f>EUMATT!F116</f>
        <v>198000</v>
      </c>
      <c r="H295" s="38"/>
    </row>
    <row r="296" spans="1:8" s="42" customFormat="1" ht="18.75" x14ac:dyDescent="0.3">
      <c r="A296" s="35"/>
      <c r="B296" s="653">
        <f>EUMATT!A117</f>
        <v>316</v>
      </c>
      <c r="C296" s="653" t="str">
        <f>EUMATT!B117</f>
        <v>MULTIVITE TAB</v>
      </c>
      <c r="D296" s="654">
        <f>EUMATT!C117</f>
        <v>1000</v>
      </c>
      <c r="E296" s="653">
        <f>EUMATT!D117</f>
        <v>100</v>
      </c>
      <c r="F296" s="38">
        <f>EUMATT!E117</f>
        <v>700</v>
      </c>
      <c r="G296" s="38">
        <f>EUMATT!F117</f>
        <v>70000</v>
      </c>
      <c r="H296" s="38"/>
    </row>
    <row r="297" spans="1:8" s="42" customFormat="1" ht="23.25" x14ac:dyDescent="0.35">
      <c r="A297" s="35"/>
      <c r="B297" s="653">
        <f>EUMATT!A118</f>
        <v>614</v>
      </c>
      <c r="C297" s="653" t="str">
        <f>EUMATT!B118</f>
        <v>NASOGASTRIC TUBE 20"</v>
      </c>
      <c r="D297" s="654">
        <f>EUMATT!C118</f>
        <v>10</v>
      </c>
      <c r="E297" s="653">
        <f>EUMATT!D118</f>
        <v>4</v>
      </c>
      <c r="F297" s="38">
        <f>EUMATT!E118</f>
        <v>600</v>
      </c>
      <c r="G297" s="38">
        <f>EUMATT!F118</f>
        <v>2400</v>
      </c>
      <c r="H297" s="79"/>
    </row>
    <row r="298" spans="1:8" s="42" customFormat="1" ht="18.75" x14ac:dyDescent="0.3">
      <c r="A298" s="35"/>
      <c r="B298" s="653">
        <f>EUMATT!A119</f>
        <v>438</v>
      </c>
      <c r="C298" s="653" t="str">
        <f>EUMATT!B119</f>
        <v>N-BUTYL HYOSCINE HYDROBROMIDE 10MG/ML INJ</v>
      </c>
      <c r="D298" s="654">
        <f>EUMATT!C119</f>
        <v>100</v>
      </c>
      <c r="E298" s="653">
        <f>EUMATT!D119</f>
        <v>9</v>
      </c>
      <c r="F298" s="38">
        <f>EUMATT!E119</f>
        <v>4500</v>
      </c>
      <c r="G298" s="38">
        <f>EUMATT!F119</f>
        <v>40500</v>
      </c>
      <c r="H298" s="38"/>
    </row>
    <row r="299" spans="1:8" s="42" customFormat="1" ht="18.75" x14ac:dyDescent="0.3">
      <c r="A299" s="35"/>
      <c r="B299" s="653">
        <f>EUMATT!A120</f>
        <v>439</v>
      </c>
      <c r="C299" s="653" t="str">
        <f>EUMATT!B120</f>
        <v>N-BUTYL HYOSCINE HYDROBROMIDE TAB</v>
      </c>
      <c r="D299" s="654">
        <f>EUMATT!C120</f>
        <v>100</v>
      </c>
      <c r="E299" s="653">
        <f>EUMATT!D120</f>
        <v>100</v>
      </c>
      <c r="F299" s="38">
        <f>EUMATT!E120</f>
        <v>1200</v>
      </c>
      <c r="G299" s="38">
        <f>EUMATT!F120</f>
        <v>120000</v>
      </c>
      <c r="H299" s="38"/>
    </row>
    <row r="300" spans="1:8" s="42" customFormat="1" ht="18.75" x14ac:dyDescent="0.3">
      <c r="A300" s="35"/>
      <c r="B300" s="653">
        <f>EUMATT!A121</f>
        <v>368</v>
      </c>
      <c r="C300" s="653" t="str">
        <f>EUMATT!B121</f>
        <v>NEFOPAM INJ</v>
      </c>
      <c r="D300" s="654">
        <f>EUMATT!C121</f>
        <v>5</v>
      </c>
      <c r="E300" s="653">
        <f>EUMATT!D121</f>
        <v>100</v>
      </c>
      <c r="F300" s="38">
        <f>EUMATT!E121</f>
        <v>3000</v>
      </c>
      <c r="G300" s="38">
        <f>EUMATT!F121</f>
        <v>300000</v>
      </c>
      <c r="H300" s="35"/>
    </row>
    <row r="301" spans="1:8" s="42" customFormat="1" ht="18.75" x14ac:dyDescent="0.3">
      <c r="A301" s="35"/>
      <c r="B301" s="653">
        <f>EUMATT!A122</f>
        <v>270</v>
      </c>
      <c r="C301" s="653" t="str">
        <f>EUMATT!B122</f>
        <v>NEOMYCIN 500MG TAB</v>
      </c>
      <c r="D301" s="654">
        <f>EUMATT!C122</f>
        <v>100</v>
      </c>
      <c r="E301" s="653">
        <f>EUMATT!D122</f>
        <v>20</v>
      </c>
      <c r="F301" s="38">
        <f>EUMATT!E122</f>
        <v>3300</v>
      </c>
      <c r="G301" s="38">
        <f>EUMATT!F122</f>
        <v>66000</v>
      </c>
      <c r="H301" s="35"/>
    </row>
    <row r="302" spans="1:8" s="42" customFormat="1" ht="18.75" x14ac:dyDescent="0.3">
      <c r="A302" s="35"/>
      <c r="B302" s="653">
        <f>EUMATT!A123</f>
        <v>408</v>
      </c>
      <c r="C302" s="653" t="str">
        <f>EUMATT!B123</f>
        <v>NEOSTIGMINE INJ</v>
      </c>
      <c r="D302" s="654">
        <f>EUMATT!C123</f>
        <v>100</v>
      </c>
      <c r="E302" s="653">
        <f>EUMATT!D123</f>
        <v>6</v>
      </c>
      <c r="F302" s="38">
        <f>EUMATT!E123</f>
        <v>19500</v>
      </c>
      <c r="G302" s="38">
        <f>EUMATT!F123</f>
        <v>117000</v>
      </c>
      <c r="H302" s="35"/>
    </row>
    <row r="303" spans="1:8" s="42" customFormat="1" ht="18.75" x14ac:dyDescent="0.3">
      <c r="A303" s="35"/>
      <c r="B303" s="653">
        <f>EUMATT!A124</f>
        <v>87</v>
      </c>
      <c r="C303" s="653" t="str">
        <f>EUMATT!B124</f>
        <v>NIFEDIPINE 20MG</v>
      </c>
      <c r="D303" s="654">
        <f>EUMATT!C124</f>
        <v>100</v>
      </c>
      <c r="E303" s="653">
        <f>EUMATT!D124</f>
        <v>600</v>
      </c>
      <c r="F303" s="38">
        <f>EUMATT!E124</f>
        <v>150</v>
      </c>
      <c r="G303" s="38">
        <f>EUMATT!F124</f>
        <v>90000</v>
      </c>
      <c r="H303" s="38"/>
    </row>
    <row r="304" spans="1:8" s="42" customFormat="1" ht="18.75" x14ac:dyDescent="0.3">
      <c r="A304" s="35"/>
      <c r="B304" s="653">
        <f>EUMATT!A125</f>
        <v>369</v>
      </c>
      <c r="C304" s="653" t="str">
        <f>EUMATT!B125</f>
        <v>NITRAZEPAM 5MG</v>
      </c>
      <c r="D304" s="654">
        <f>EUMATT!C125</f>
        <v>500</v>
      </c>
      <c r="E304" s="653">
        <f>EUMATT!D125</f>
        <v>8</v>
      </c>
      <c r="F304" s="38">
        <f>EUMATT!E125</f>
        <v>9800</v>
      </c>
      <c r="G304" s="38">
        <f>EUMATT!F125</f>
        <v>78400</v>
      </c>
      <c r="H304" s="38"/>
    </row>
    <row r="305" spans="1:8" s="42" customFormat="1" ht="23.25" x14ac:dyDescent="0.35">
      <c r="A305" s="35"/>
      <c r="B305" s="653">
        <f>EUMATT!A126</f>
        <v>271</v>
      </c>
      <c r="C305" s="653" t="str">
        <f>EUMATT!B126</f>
        <v>NITROFURANTOIN 100MG TAB</v>
      </c>
      <c r="D305" s="654">
        <f>EUMATT!C126</f>
        <v>1000</v>
      </c>
      <c r="E305" s="653">
        <f>EUMATT!D126</f>
        <v>4</v>
      </c>
      <c r="F305" s="38">
        <f>EUMATT!E126</f>
        <v>3200</v>
      </c>
      <c r="G305" s="38">
        <f>EUMATT!F126</f>
        <v>12800</v>
      </c>
      <c r="H305" s="186"/>
    </row>
    <row r="306" spans="1:8" s="42" customFormat="1" ht="18.75" x14ac:dyDescent="0.3">
      <c r="A306" s="35"/>
      <c r="B306" s="653">
        <f>EUMATT!A127</f>
        <v>705</v>
      </c>
      <c r="C306" s="653" t="str">
        <f>EUMATT!B127</f>
        <v>NYLON 2</v>
      </c>
      <c r="D306" s="654">
        <f>EUMATT!C127</f>
        <v>12</v>
      </c>
      <c r="E306" s="653">
        <f>EUMATT!D127</f>
        <v>10</v>
      </c>
      <c r="F306" s="38">
        <f>EUMATT!E127</f>
        <v>700</v>
      </c>
      <c r="G306" s="38">
        <f>EUMATT!F127</f>
        <v>7000</v>
      </c>
      <c r="H306" s="35"/>
    </row>
    <row r="307" spans="1:8" s="42" customFormat="1" ht="18.75" x14ac:dyDescent="0.3">
      <c r="A307" s="35"/>
      <c r="B307" s="653">
        <f>EUMATT!A128</f>
        <v>706</v>
      </c>
      <c r="C307" s="653" t="str">
        <f>EUMATT!B128</f>
        <v>NYLON 2/0  (40-45) LONG NEEDLE</v>
      </c>
      <c r="D307" s="654">
        <f>EUMATT!C128</f>
        <v>12</v>
      </c>
      <c r="E307" s="653">
        <f>EUMATT!D128</f>
        <v>50</v>
      </c>
      <c r="F307" s="38">
        <f>EUMATT!E128</f>
        <v>700</v>
      </c>
      <c r="G307" s="38">
        <f>EUMATT!F128</f>
        <v>35000</v>
      </c>
      <c r="H307" s="35"/>
    </row>
    <row r="308" spans="1:8" s="42" customFormat="1" ht="18.75" x14ac:dyDescent="0.3">
      <c r="A308" s="35"/>
      <c r="B308" s="653">
        <f>EUMATT!A129</f>
        <v>370</v>
      </c>
      <c r="C308" s="653" t="str">
        <f>EUMATT!B129</f>
        <v>OLANZEPINE 10MG</v>
      </c>
      <c r="D308" s="654">
        <f>EUMATT!C129</f>
        <v>30</v>
      </c>
      <c r="E308" s="653">
        <f>EUMATT!D129</f>
        <v>208</v>
      </c>
      <c r="F308" s="38">
        <f>EUMATT!E129</f>
        <v>2000</v>
      </c>
      <c r="G308" s="38">
        <f>EUMATT!F129</f>
        <v>416000</v>
      </c>
      <c r="H308" s="35"/>
    </row>
    <row r="309" spans="1:8" s="42" customFormat="1" ht="23.25" x14ac:dyDescent="0.35">
      <c r="A309" s="35"/>
      <c r="B309" s="653">
        <f>EUMATT!A130</f>
        <v>371</v>
      </c>
      <c r="C309" s="653" t="str">
        <f>EUMATT!B130</f>
        <v>OLANZEPINE 5MG</v>
      </c>
      <c r="D309" s="654">
        <f>EUMATT!C130</f>
        <v>30</v>
      </c>
      <c r="E309" s="653">
        <f>EUMATT!D130</f>
        <v>140</v>
      </c>
      <c r="F309" s="38">
        <f>EUMATT!E130</f>
        <v>1600</v>
      </c>
      <c r="G309" s="38">
        <f>EUMATT!F130</f>
        <v>224000</v>
      </c>
      <c r="H309" s="79"/>
    </row>
    <row r="310" spans="1:8" s="42" customFormat="1" ht="18.75" x14ac:dyDescent="0.3">
      <c r="A310" s="35"/>
      <c r="B310" s="653">
        <f>EUMATT!A131</f>
        <v>522</v>
      </c>
      <c r="C310" s="653" t="str">
        <f>EUMATT!B131</f>
        <v>OLOPATADINE GTT</v>
      </c>
      <c r="D310" s="654" t="str">
        <f>EUMATT!C131</f>
        <v>BOTT</v>
      </c>
      <c r="E310" s="653">
        <f>EUMATT!D131</f>
        <v>20</v>
      </c>
      <c r="F310" s="38">
        <f>EUMATT!E131</f>
        <v>760</v>
      </c>
      <c r="G310" s="38">
        <f>EUMATT!F131</f>
        <v>15200</v>
      </c>
      <c r="H310" s="38"/>
    </row>
    <row r="311" spans="1:8" s="42" customFormat="1" ht="18.75" x14ac:dyDescent="0.3">
      <c r="A311" s="35"/>
      <c r="B311" s="653">
        <f>EUMATT!A132</f>
        <v>319</v>
      </c>
      <c r="C311" s="653" t="str">
        <f>EUMATT!B132</f>
        <v>OMEGA3 FATTY ACIDS  (MARINA 1000)</v>
      </c>
      <c r="D311" s="654">
        <f>EUMATT!C132</f>
        <v>30</v>
      </c>
      <c r="E311" s="653">
        <f>EUMATT!D132</f>
        <v>2000</v>
      </c>
      <c r="F311" s="38">
        <f>EUMATT!E132</f>
        <v>1050</v>
      </c>
      <c r="G311" s="38">
        <f>EUMATT!F132</f>
        <v>2100000</v>
      </c>
      <c r="H311" s="38"/>
    </row>
    <row r="312" spans="1:8" s="42" customFormat="1" ht="18.75" x14ac:dyDescent="0.3">
      <c r="A312" s="35"/>
      <c r="B312" s="653">
        <f>EUMATT!A133</f>
        <v>442</v>
      </c>
      <c r="C312" s="653" t="str">
        <f>EUMATT!B133</f>
        <v>OMEPRAZOLE IV</v>
      </c>
      <c r="D312" s="654" t="str">
        <f>EUMATT!C133</f>
        <v xml:space="preserve">VIAL </v>
      </c>
      <c r="E312" s="653">
        <f>EUMATT!D133</f>
        <v>8000</v>
      </c>
      <c r="F312" s="38">
        <f>EUMATT!E133</f>
        <v>250</v>
      </c>
      <c r="G312" s="38">
        <f>EUMATT!F133</f>
        <v>2000000</v>
      </c>
      <c r="H312" s="38"/>
    </row>
    <row r="313" spans="1:8" s="42" customFormat="1" ht="23.25" x14ac:dyDescent="0.35">
      <c r="A313" s="35"/>
      <c r="B313" s="653">
        <f>EUMATT!A134</f>
        <v>444</v>
      </c>
      <c r="C313" s="653" t="str">
        <f>EUMATT!B134</f>
        <v>ONDASETRON INJ</v>
      </c>
      <c r="D313" s="654" t="str">
        <f>EUMATT!C134</f>
        <v>AMP</v>
      </c>
      <c r="E313" s="653">
        <f>EUMATT!D134</f>
        <v>1600</v>
      </c>
      <c r="F313" s="38">
        <f>EUMATT!E134</f>
        <v>300</v>
      </c>
      <c r="G313" s="38">
        <f>EUMATT!F134</f>
        <v>480000</v>
      </c>
      <c r="H313" s="79"/>
    </row>
    <row r="314" spans="1:8" s="42" customFormat="1" ht="18.75" x14ac:dyDescent="0.3">
      <c r="A314" s="35"/>
      <c r="B314" s="653">
        <f>EUMATT!A135</f>
        <v>176</v>
      </c>
      <c r="C314" s="653" t="str">
        <f>EUMATT!B135</f>
        <v>ORPHENADRINE 100MG TAB</v>
      </c>
      <c r="D314" s="654">
        <f>EUMATT!C135</f>
        <v>100</v>
      </c>
      <c r="E314" s="653">
        <f>EUMATT!D135</f>
        <v>20</v>
      </c>
      <c r="F314" s="38">
        <f>EUMATT!E135</f>
        <v>3200</v>
      </c>
      <c r="G314" s="38">
        <f>EUMATT!F135</f>
        <v>64000</v>
      </c>
      <c r="H314" s="38"/>
    </row>
    <row r="315" spans="1:8" s="42" customFormat="1" ht="23.25" x14ac:dyDescent="0.35">
      <c r="A315" s="35"/>
      <c r="B315" s="653">
        <f>EUMATT!A136</f>
        <v>178</v>
      </c>
      <c r="C315" s="653" t="str">
        <f>EUMATT!B136</f>
        <v>PARACETAMOL 300MG INJ</v>
      </c>
      <c r="D315" s="654">
        <f>EUMATT!C136</f>
        <v>100</v>
      </c>
      <c r="E315" s="653">
        <f>EUMATT!D136</f>
        <v>80</v>
      </c>
      <c r="F315" s="38">
        <f>EUMATT!E136</f>
        <v>1600</v>
      </c>
      <c r="G315" s="38">
        <f>EUMATT!F136</f>
        <v>128000</v>
      </c>
      <c r="H315" s="186"/>
    </row>
    <row r="316" spans="1:8" s="42" customFormat="1" ht="18.75" x14ac:dyDescent="0.3">
      <c r="A316" s="35"/>
      <c r="B316" s="653">
        <f>EUMATT!A137</f>
        <v>372</v>
      </c>
      <c r="C316" s="653" t="str">
        <f>EUMATT!B137</f>
        <v>PARALDEHYDE INJ</v>
      </c>
      <c r="D316" s="654">
        <f>EUMATT!C137</f>
        <v>5</v>
      </c>
      <c r="E316" s="653">
        <f>EUMATT!D137</f>
        <v>60</v>
      </c>
      <c r="F316" s="38">
        <f>EUMATT!E137</f>
        <v>1500</v>
      </c>
      <c r="G316" s="38">
        <f>EUMATT!F137</f>
        <v>90000</v>
      </c>
      <c r="H316" s="35"/>
    </row>
    <row r="317" spans="1:8" s="42" customFormat="1" ht="18.75" x14ac:dyDescent="0.3">
      <c r="A317" s="35"/>
      <c r="B317" s="653">
        <f>EUMATT!A138</f>
        <v>662</v>
      </c>
      <c r="C317" s="653" t="str">
        <f>EUMATT!B138</f>
        <v>PERMETHRIN CREAM</v>
      </c>
      <c r="D317" s="654" t="str">
        <f>EUMATT!C138</f>
        <v>TUBE</v>
      </c>
      <c r="E317" s="653">
        <f>EUMATT!D138</f>
        <v>20</v>
      </c>
      <c r="F317" s="38">
        <f>EUMATT!E138</f>
        <v>1800</v>
      </c>
      <c r="G317" s="38">
        <f>EUMATT!F138</f>
        <v>36000</v>
      </c>
      <c r="H317" s="35"/>
    </row>
    <row r="318" spans="1:8" s="42" customFormat="1" ht="23.25" x14ac:dyDescent="0.35">
      <c r="A318" s="35"/>
      <c r="B318" s="653">
        <f>EUMATT!A139</f>
        <v>374</v>
      </c>
      <c r="C318" s="653" t="str">
        <f>EUMATT!B139</f>
        <v>PHENOBARBITONE 200MG INJ</v>
      </c>
      <c r="D318" s="654">
        <f>EUMATT!C139</f>
        <v>100</v>
      </c>
      <c r="E318" s="653">
        <f>EUMATT!D139</f>
        <v>8</v>
      </c>
      <c r="F318" s="38">
        <f>EUMATT!E139</f>
        <v>70000</v>
      </c>
      <c r="G318" s="38">
        <f>EUMATT!F139</f>
        <v>560000</v>
      </c>
      <c r="H318" s="79"/>
    </row>
    <row r="319" spans="1:8" s="42" customFormat="1" ht="18.75" x14ac:dyDescent="0.3">
      <c r="A319" s="35"/>
      <c r="B319" s="653">
        <f>EUMATT!A140</f>
        <v>375</v>
      </c>
      <c r="C319" s="653" t="str">
        <f>EUMATT!B140</f>
        <v>PHENOBARBITONE 30MG TAB</v>
      </c>
      <c r="D319" s="654">
        <f>EUMATT!C140</f>
        <v>1000</v>
      </c>
      <c r="E319" s="653">
        <f>EUMATT!D140</f>
        <v>12</v>
      </c>
      <c r="F319" s="38">
        <f>EUMATT!E140</f>
        <v>6000</v>
      </c>
      <c r="G319" s="38">
        <f>EUMATT!F140</f>
        <v>72000</v>
      </c>
      <c r="H319" s="38"/>
    </row>
    <row r="320" spans="1:8" s="42" customFormat="1" ht="18.75" x14ac:dyDescent="0.3">
      <c r="A320" s="35"/>
      <c r="B320" s="653">
        <f>EUMATT!A141</f>
        <v>376</v>
      </c>
      <c r="C320" s="653" t="str">
        <f>EUMATT!B141</f>
        <v>PHENYTOIN CAP</v>
      </c>
      <c r="D320" s="654">
        <f>EUMATT!C141</f>
        <v>100</v>
      </c>
      <c r="E320" s="653">
        <f>EUMATT!D141</f>
        <v>2</v>
      </c>
      <c r="F320" s="38">
        <f>EUMATT!E141</f>
        <v>5800</v>
      </c>
      <c r="G320" s="38">
        <f>EUMATT!F141</f>
        <v>11600</v>
      </c>
      <c r="H320" s="38"/>
    </row>
    <row r="321" spans="1:8" s="42" customFormat="1" ht="18.75" x14ac:dyDescent="0.3">
      <c r="A321" s="35"/>
      <c r="B321" s="653">
        <f>EUMATT!A142</f>
        <v>377</v>
      </c>
      <c r="C321" s="653" t="str">
        <f>EUMATT!B142</f>
        <v>PHENYTOIN INJ</v>
      </c>
      <c r="D321" s="654">
        <f>EUMATT!C142</f>
        <v>5</v>
      </c>
      <c r="E321" s="653">
        <f>EUMATT!D142</f>
        <v>16</v>
      </c>
      <c r="F321" s="38">
        <f>EUMATT!E142</f>
        <v>4200</v>
      </c>
      <c r="G321" s="38">
        <f>EUMATT!F142</f>
        <v>67200</v>
      </c>
      <c r="H321" s="38"/>
    </row>
    <row r="322" spans="1:8" s="42" customFormat="1" ht="18.75" x14ac:dyDescent="0.3">
      <c r="A322" s="35"/>
      <c r="B322" s="653">
        <f>EUMATT!A143</f>
        <v>525</v>
      </c>
      <c r="C322" s="653" t="str">
        <f>EUMATT!B143</f>
        <v>PILOCARPINE 2% GTT</v>
      </c>
      <c r="D322" s="654" t="str">
        <f>EUMATT!C143</f>
        <v>BOTT</v>
      </c>
      <c r="E322" s="653">
        <f>EUMATT!D143</f>
        <v>80</v>
      </c>
      <c r="F322" s="38">
        <f>EUMATT!E143</f>
        <v>1500</v>
      </c>
      <c r="G322" s="38">
        <f>EUMATT!F143</f>
        <v>120000</v>
      </c>
      <c r="H322" s="38"/>
    </row>
    <row r="323" spans="1:8" s="42" customFormat="1" ht="18.75" x14ac:dyDescent="0.3">
      <c r="A323" s="35"/>
      <c r="B323" s="653">
        <f>EUMATT!A144</f>
        <v>524</v>
      </c>
      <c r="C323" s="653" t="str">
        <f>EUMATT!B144</f>
        <v>PILOCARPINE 4% GTT</v>
      </c>
      <c r="D323" s="654" t="str">
        <f>EUMATT!C144</f>
        <v>BOTT</v>
      </c>
      <c r="E323" s="653">
        <f>EUMATT!D144</f>
        <v>80</v>
      </c>
      <c r="F323" s="38">
        <f>EUMATT!E144</f>
        <v>2300</v>
      </c>
      <c r="G323" s="38">
        <f>EUMATT!F144</f>
        <v>184000</v>
      </c>
      <c r="H323" s="38"/>
    </row>
    <row r="324" spans="1:8" s="42" customFormat="1" ht="23.25" x14ac:dyDescent="0.35">
      <c r="A324" s="35"/>
      <c r="B324" s="653">
        <f>EUMATT!A145</f>
        <v>621</v>
      </c>
      <c r="C324" s="653" t="str">
        <f>EUMATT!B145</f>
        <v>PLASTER 1" (2.5CM X 5M) BROWN</v>
      </c>
      <c r="D324" s="654">
        <f>EUMATT!C145</f>
        <v>10</v>
      </c>
      <c r="E324" s="653">
        <f>EUMATT!D145</f>
        <v>260</v>
      </c>
      <c r="F324" s="38">
        <f>EUMATT!E145</f>
        <v>1600</v>
      </c>
      <c r="G324" s="38">
        <f>EUMATT!F145</f>
        <v>416000</v>
      </c>
      <c r="H324" s="79"/>
    </row>
    <row r="325" spans="1:8" s="42" customFormat="1" ht="18.75" x14ac:dyDescent="0.3">
      <c r="A325" s="35"/>
      <c r="B325" s="653">
        <f>EUMATT!A146</f>
        <v>626</v>
      </c>
      <c r="C325" s="653" t="str">
        <f>EUMATT!B146</f>
        <v>PLASTER 2" (5CM X 9.1M) BROWN</v>
      </c>
      <c r="D325" s="654">
        <f>EUMATT!C146</f>
        <v>5</v>
      </c>
      <c r="E325" s="653">
        <f>EUMATT!D146</f>
        <v>63</v>
      </c>
      <c r="F325" s="38">
        <f>EUMATT!E146</f>
        <v>3200</v>
      </c>
      <c r="G325" s="38">
        <f>EUMATT!F146</f>
        <v>201600</v>
      </c>
      <c r="H325" s="38"/>
    </row>
    <row r="326" spans="1:8" s="42" customFormat="1" ht="18.75" x14ac:dyDescent="0.3">
      <c r="A326" s="35"/>
      <c r="B326" s="653">
        <f>EUMATT!A147</f>
        <v>627</v>
      </c>
      <c r="C326" s="653" t="str">
        <f>EUMATT!B147</f>
        <v>PLASTER 3"(7.5CM X 9.1M) BROWN</v>
      </c>
      <c r="D326" s="654">
        <f>EUMATT!C147</f>
        <v>5</v>
      </c>
      <c r="E326" s="653">
        <f>EUMATT!D147</f>
        <v>48.800000000000004</v>
      </c>
      <c r="F326" s="38">
        <f>EUMATT!E147</f>
        <v>2900</v>
      </c>
      <c r="G326" s="38">
        <f>EUMATT!F147</f>
        <v>141520</v>
      </c>
      <c r="H326" s="38"/>
    </row>
    <row r="327" spans="1:8" s="42" customFormat="1" ht="18.75" x14ac:dyDescent="0.3">
      <c r="A327" s="35"/>
      <c r="B327" s="653">
        <f>EUMATT!A148</f>
        <v>629</v>
      </c>
      <c r="C327" s="653" t="str">
        <f>EUMATT!B148</f>
        <v>POP 6" (GYPSONA)</v>
      </c>
      <c r="D327" s="654">
        <f>EUMATT!C148</f>
        <v>12</v>
      </c>
      <c r="E327" s="653">
        <f>EUMATT!D148</f>
        <v>40</v>
      </c>
      <c r="F327" s="38">
        <f>EUMATT!E148</f>
        <v>12000</v>
      </c>
      <c r="G327" s="38">
        <f>EUMATT!F148</f>
        <v>480000</v>
      </c>
      <c r="H327" s="38"/>
    </row>
    <row r="328" spans="1:8" s="42" customFormat="1" ht="18.75" x14ac:dyDescent="0.3">
      <c r="A328" s="35"/>
      <c r="B328" s="653">
        <f>EUMATT!A149</f>
        <v>14</v>
      </c>
      <c r="C328" s="653" t="str">
        <f>EUMATT!B149</f>
        <v>PROGUANIL 100MG TAB</v>
      </c>
      <c r="D328" s="654">
        <f>EUMATT!C149</f>
        <v>100</v>
      </c>
      <c r="E328" s="653">
        <f>EUMATT!D149</f>
        <v>200</v>
      </c>
      <c r="F328" s="38">
        <f>EUMATT!E149</f>
        <v>700</v>
      </c>
      <c r="G328" s="38">
        <f>EUMATT!F149</f>
        <v>140000</v>
      </c>
      <c r="H328" s="38"/>
    </row>
    <row r="329" spans="1:8" s="42" customFormat="1" ht="18.75" x14ac:dyDescent="0.3">
      <c r="A329" s="35"/>
      <c r="B329" s="653">
        <f>EUMATT!A150</f>
        <v>490</v>
      </c>
      <c r="C329" s="653" t="str">
        <f>EUMATT!B150</f>
        <v>PROMETHAZINE 50MG INJ</v>
      </c>
      <c r="D329" s="654">
        <f>EUMATT!C150</f>
        <v>100</v>
      </c>
      <c r="E329" s="653">
        <f>EUMATT!D150</f>
        <v>50</v>
      </c>
      <c r="F329" s="38">
        <f>EUMATT!E150</f>
        <v>1400</v>
      </c>
      <c r="G329" s="38">
        <f>EUMATT!F150</f>
        <v>70000</v>
      </c>
      <c r="H329" s="38"/>
    </row>
    <row r="330" spans="1:8" s="42" customFormat="1" ht="23.25" x14ac:dyDescent="0.35">
      <c r="A330" s="35"/>
      <c r="B330" s="653">
        <f>EUMATT!A151</f>
        <v>95</v>
      </c>
      <c r="C330" s="653" t="str">
        <f>EUMATT!B151</f>
        <v xml:space="preserve">PROPRANOLOL 40MG </v>
      </c>
      <c r="D330" s="654">
        <f>EUMATT!C151</f>
        <v>28</v>
      </c>
      <c r="E330" s="653">
        <f>EUMATT!D151</f>
        <v>1000</v>
      </c>
      <c r="F330" s="38">
        <f>EUMATT!E151</f>
        <v>2200</v>
      </c>
      <c r="G330" s="38">
        <f>EUMATT!F151</f>
        <v>2200000</v>
      </c>
      <c r="H330" s="186"/>
    </row>
    <row r="331" spans="1:8" s="42" customFormat="1" ht="18.75" x14ac:dyDescent="0.3">
      <c r="A331" s="35"/>
      <c r="B331" s="653">
        <f>EUMATT!A152</f>
        <v>325</v>
      </c>
      <c r="C331" s="653" t="str">
        <f>EUMATT!B152</f>
        <v>PYRIDOXINE 50MG</v>
      </c>
      <c r="D331" s="654">
        <f>EUMATT!C152</f>
        <v>1000</v>
      </c>
      <c r="E331" s="653">
        <f>EUMATT!D152</f>
        <v>20</v>
      </c>
      <c r="F331" s="38">
        <f>EUMATT!E152</f>
        <v>1100</v>
      </c>
      <c r="G331" s="38">
        <f>EUMATT!F152</f>
        <v>22000</v>
      </c>
      <c r="H331" s="35"/>
    </row>
    <row r="332" spans="1:8" s="42" customFormat="1" ht="18.75" x14ac:dyDescent="0.3">
      <c r="A332" s="35"/>
      <c r="B332" s="653">
        <f>EUMATT!A153</f>
        <v>15</v>
      </c>
      <c r="C332" s="653" t="str">
        <f>EUMATT!B153</f>
        <v>PYRIMETHAMINE TAB</v>
      </c>
      <c r="D332" s="654">
        <f>EUMATT!C153</f>
        <v>500</v>
      </c>
      <c r="E332" s="653">
        <f>EUMATT!D153</f>
        <v>4</v>
      </c>
      <c r="F332" s="38">
        <f>EUMATT!E153</f>
        <v>1200</v>
      </c>
      <c r="G332" s="38">
        <f>EUMATT!F153</f>
        <v>4800</v>
      </c>
      <c r="H332" s="35"/>
    </row>
    <row r="333" spans="1:8" s="42" customFormat="1" ht="23.25" x14ac:dyDescent="0.35">
      <c r="A333" s="35"/>
      <c r="B333" s="653">
        <f>EUMATT!A154</f>
        <v>16</v>
      </c>
      <c r="C333" s="653" t="str">
        <f>EUMATT!B154</f>
        <v>QUININE 200ML SYR</v>
      </c>
      <c r="D333" s="654" t="str">
        <f>EUMATT!C154</f>
        <v>BOTT</v>
      </c>
      <c r="E333" s="653">
        <f>EUMATT!D154</f>
        <v>40</v>
      </c>
      <c r="F333" s="38">
        <f>EUMATT!E154</f>
        <v>480</v>
      </c>
      <c r="G333" s="38">
        <f>EUMATT!F154</f>
        <v>19200</v>
      </c>
      <c r="H333" s="79"/>
    </row>
    <row r="334" spans="1:8" s="42" customFormat="1" ht="18.75" x14ac:dyDescent="0.3">
      <c r="A334" s="35"/>
      <c r="B334" s="653">
        <f>EUMATT!A155</f>
        <v>17</v>
      </c>
      <c r="C334" s="653" t="str">
        <f>EUMATT!B155</f>
        <v>QUININE INJ</v>
      </c>
      <c r="D334" s="654">
        <f>EUMATT!C155</f>
        <v>100</v>
      </c>
      <c r="E334" s="653">
        <f>EUMATT!D155</f>
        <v>1</v>
      </c>
      <c r="F334" s="38">
        <f>EUMATT!E155</f>
        <v>6200</v>
      </c>
      <c r="G334" s="38">
        <f>EUMATT!F155</f>
        <v>6200</v>
      </c>
      <c r="H334" s="38"/>
    </row>
    <row r="335" spans="1:8" s="42" customFormat="1" ht="18.75" x14ac:dyDescent="0.3">
      <c r="A335" s="35"/>
      <c r="B335" s="653">
        <f>EUMATT!A156</f>
        <v>96</v>
      </c>
      <c r="C335" s="653" t="str">
        <f>EUMATT!B156</f>
        <v>RAMIPRIL 10MG TAB</v>
      </c>
      <c r="D335" s="654">
        <f>EUMATT!C156</f>
        <v>30</v>
      </c>
      <c r="E335" s="653">
        <f>EUMATT!D156</f>
        <v>200</v>
      </c>
      <c r="F335" s="38">
        <f>EUMATT!E156</f>
        <v>1200</v>
      </c>
      <c r="G335" s="38">
        <f>EUMATT!F156</f>
        <v>240000</v>
      </c>
      <c r="H335" s="38"/>
    </row>
    <row r="336" spans="1:8" s="42" customFormat="1" ht="18.75" x14ac:dyDescent="0.3">
      <c r="A336" s="35"/>
      <c r="B336" s="653">
        <f>EUMATT!A157</f>
        <v>664</v>
      </c>
      <c r="C336" s="653" t="str">
        <f>EUMATT!B157</f>
        <v>RETIN A GEL</v>
      </c>
      <c r="D336" s="654" t="str">
        <f>EUMATT!C157</f>
        <v>TUBE</v>
      </c>
      <c r="E336" s="653">
        <f>EUMATT!D157</f>
        <v>20</v>
      </c>
      <c r="F336" s="38">
        <f>EUMATT!E157</f>
        <v>3000</v>
      </c>
      <c r="G336" s="38">
        <f>EUMATT!F157</f>
        <v>60000</v>
      </c>
      <c r="H336" s="38"/>
    </row>
    <row r="337" spans="1:8" s="42" customFormat="1" ht="18.75" x14ac:dyDescent="0.3">
      <c r="A337" s="35"/>
      <c r="B337" s="653">
        <f>EUMATT!A158</f>
        <v>378</v>
      </c>
      <c r="C337" s="653" t="str">
        <f>EUMATT!B158</f>
        <v>RISPERIDONE 2MG</v>
      </c>
      <c r="D337" s="654">
        <f>EUMATT!C158</f>
        <v>30</v>
      </c>
      <c r="E337" s="653">
        <f>EUMATT!D158</f>
        <v>74</v>
      </c>
      <c r="F337" s="38">
        <f>EUMATT!E158</f>
        <v>1700</v>
      </c>
      <c r="G337" s="38">
        <f>EUMATT!F158</f>
        <v>125800</v>
      </c>
      <c r="H337" s="38"/>
    </row>
    <row r="338" spans="1:8" s="42" customFormat="1" ht="23.25" x14ac:dyDescent="0.35">
      <c r="A338" s="35"/>
      <c r="B338" s="653">
        <f>EUMATT!A159</f>
        <v>326</v>
      </c>
      <c r="C338" s="653" t="str">
        <f>EUMATT!B159</f>
        <v>RIVAROXABAN 15MG TAB</v>
      </c>
      <c r="D338" s="654">
        <f>EUMATT!C159</f>
        <v>30</v>
      </c>
      <c r="E338" s="653">
        <f>EUMATT!D159</f>
        <v>10</v>
      </c>
      <c r="F338" s="38">
        <f>EUMATT!E159</f>
        <v>22000</v>
      </c>
      <c r="G338" s="38">
        <f>EUMATT!F159</f>
        <v>220000</v>
      </c>
      <c r="H338" s="186"/>
    </row>
    <row r="339" spans="1:8" s="42" customFormat="1" ht="18.75" x14ac:dyDescent="0.3">
      <c r="A339" s="35"/>
      <c r="B339" s="653">
        <f>EUMATT!A160</f>
        <v>103</v>
      </c>
      <c r="C339" s="653" t="str">
        <f>EUMATT!B160</f>
        <v>S-AMLODIPINE 2.5MG TAB</v>
      </c>
      <c r="D339" s="654">
        <f>EUMATT!C160</f>
        <v>30</v>
      </c>
      <c r="E339" s="653">
        <f>EUMATT!D160</f>
        <v>5</v>
      </c>
      <c r="F339" s="38">
        <f>EUMATT!E160</f>
        <v>600</v>
      </c>
      <c r="G339" s="38">
        <f>EUMATT!F160</f>
        <v>3000</v>
      </c>
      <c r="H339" s="35"/>
    </row>
    <row r="340" spans="1:8" s="42" customFormat="1" ht="18.75" x14ac:dyDescent="0.3">
      <c r="A340" s="35"/>
      <c r="B340" s="653">
        <f>EUMATT!A161</f>
        <v>104</v>
      </c>
      <c r="C340" s="653" t="str">
        <f>EUMATT!B161</f>
        <v>S-AMLODIPINE 5MG TAB</v>
      </c>
      <c r="D340" s="654">
        <f>EUMATT!C161</f>
        <v>30</v>
      </c>
      <c r="E340" s="653">
        <f>EUMATT!D161</f>
        <v>10</v>
      </c>
      <c r="F340" s="38">
        <f>EUMATT!E161</f>
        <v>700</v>
      </c>
      <c r="G340" s="38">
        <f>EUMATT!F161</f>
        <v>7000</v>
      </c>
      <c r="H340" s="35"/>
    </row>
    <row r="341" spans="1:8" s="42" customFormat="1" ht="18.75" x14ac:dyDescent="0.3">
      <c r="A341" s="35"/>
      <c r="B341" s="653">
        <f>EUMATT!A162</f>
        <v>667</v>
      </c>
      <c r="C341" s="653" t="str">
        <f>EUMATT!B162</f>
        <v xml:space="preserve">SELENIUM SULPHIDE SHAMPOO (SELSUN) </v>
      </c>
      <c r="D341" s="654" t="str">
        <f>EUMATT!C162</f>
        <v>PCS</v>
      </c>
      <c r="E341" s="653">
        <f>EUMATT!D162</f>
        <v>20</v>
      </c>
      <c r="F341" s="38">
        <f>EUMATT!E162</f>
        <v>2200</v>
      </c>
      <c r="G341" s="38">
        <f>EUMATT!F162</f>
        <v>44000</v>
      </c>
      <c r="H341" s="38"/>
    </row>
    <row r="342" spans="1:8" s="42" customFormat="1" ht="18.75" x14ac:dyDescent="0.3">
      <c r="A342" s="35"/>
      <c r="B342" s="653">
        <f>EUMATT!A163</f>
        <v>632</v>
      </c>
      <c r="C342" s="653" t="str">
        <f>EUMATT!B163</f>
        <v>SHOULDER LENGTH GLOVES</v>
      </c>
      <c r="D342" s="654">
        <f>EUMATT!C163</f>
        <v>100</v>
      </c>
      <c r="E342" s="653">
        <f>EUMATT!D163</f>
        <v>4</v>
      </c>
      <c r="F342" s="38">
        <f>EUMATT!E163</f>
        <v>1850</v>
      </c>
      <c r="G342" s="38">
        <f>EUMATT!F163</f>
        <v>7400</v>
      </c>
      <c r="H342" s="38"/>
    </row>
    <row r="343" spans="1:8" s="42" customFormat="1" ht="18.75" x14ac:dyDescent="0.3">
      <c r="A343" s="35"/>
      <c r="B343" s="653">
        <f>EUMATT!A164</f>
        <v>633</v>
      </c>
      <c r="C343" s="653" t="str">
        <f>EUMATT!B164</f>
        <v>SKIN REMOVER</v>
      </c>
      <c r="D343" s="654" t="str">
        <f>EUMATT!C164</f>
        <v>PCS</v>
      </c>
      <c r="E343" s="653">
        <f>EUMATT!D164</f>
        <v>144</v>
      </c>
      <c r="F343" s="38">
        <f>EUMATT!E164</f>
        <v>600</v>
      </c>
      <c r="G343" s="38">
        <f>EUMATT!F164</f>
        <v>86400</v>
      </c>
      <c r="H343" s="38"/>
    </row>
    <row r="344" spans="1:8" s="42" customFormat="1" ht="18.75" x14ac:dyDescent="0.3">
      <c r="A344" s="35"/>
      <c r="B344" s="653">
        <f>EUMATT!A165</f>
        <v>634</v>
      </c>
      <c r="C344" s="653" t="str">
        <f>EUMATT!B165</f>
        <v>SKIN STAPLER</v>
      </c>
      <c r="D344" s="654" t="str">
        <f>EUMATT!C165</f>
        <v>PCS</v>
      </c>
      <c r="E344" s="653">
        <f>EUMATT!D165</f>
        <v>144</v>
      </c>
      <c r="F344" s="38">
        <f>EUMATT!E165</f>
        <v>1500</v>
      </c>
      <c r="G344" s="38">
        <f>EUMATT!F165</f>
        <v>216000</v>
      </c>
      <c r="H344" s="38"/>
    </row>
    <row r="345" spans="1:8" s="42" customFormat="1" ht="18.75" x14ac:dyDescent="0.3">
      <c r="A345" s="35"/>
      <c r="B345" s="653">
        <f>EUMATT!A166</f>
        <v>329</v>
      </c>
      <c r="C345" s="653" t="str">
        <f>EUMATT!B166</f>
        <v>SODIUM BICARBONATE INJ</v>
      </c>
      <c r="D345" s="654" t="str">
        <f>EUMATT!C166</f>
        <v>AMP</v>
      </c>
      <c r="E345" s="653">
        <f>EUMATT!D166</f>
        <v>50</v>
      </c>
      <c r="F345" s="38">
        <f>EUMATT!E166</f>
        <v>460</v>
      </c>
      <c r="G345" s="38">
        <f>EUMATT!F166</f>
        <v>23000</v>
      </c>
      <c r="H345" s="38"/>
    </row>
    <row r="346" spans="1:8" s="42" customFormat="1" ht="23.25" x14ac:dyDescent="0.35">
      <c r="A346" s="35"/>
      <c r="B346" s="653">
        <f>EUMATT!A167</f>
        <v>527</v>
      </c>
      <c r="C346" s="653" t="str">
        <f>EUMATT!B167</f>
        <v>SODIUM CHLORIDE GTT</v>
      </c>
      <c r="D346" s="654" t="str">
        <f>EUMATT!C167</f>
        <v>BOTT</v>
      </c>
      <c r="E346" s="653">
        <f>EUMATT!D167</f>
        <v>20</v>
      </c>
      <c r="F346" s="38">
        <f>EUMATT!E167</f>
        <v>980</v>
      </c>
      <c r="G346" s="38">
        <f>EUMATT!F167</f>
        <v>19600</v>
      </c>
      <c r="H346" s="186"/>
    </row>
    <row r="347" spans="1:8" s="42" customFormat="1" ht="18.75" x14ac:dyDescent="0.3">
      <c r="A347" s="35"/>
      <c r="B347" s="653">
        <f>EUMATT!A168</f>
        <v>412</v>
      </c>
      <c r="C347" s="653" t="str">
        <f>EUMATT!B168</f>
        <v>SODIUM THIOPENTONE 1GM</v>
      </c>
      <c r="D347" s="654" t="str">
        <f>EUMATT!C168</f>
        <v>VIAL</v>
      </c>
      <c r="E347" s="653">
        <f>EUMATT!D168</f>
        <v>300</v>
      </c>
      <c r="F347" s="38">
        <f>EUMATT!E168</f>
        <v>800</v>
      </c>
      <c r="G347" s="38">
        <f>EUMATT!F168</f>
        <v>240000</v>
      </c>
      <c r="H347" s="35"/>
    </row>
    <row r="348" spans="1:8" s="42" customFormat="1" ht="18.75" x14ac:dyDescent="0.3">
      <c r="A348" s="35"/>
      <c r="B348" s="653">
        <f>EUMATT!A169</f>
        <v>638</v>
      </c>
      <c r="C348" s="653" t="str">
        <f>EUMATT!B169</f>
        <v>SOFT BAN 6"</v>
      </c>
      <c r="D348" s="654">
        <f>EUMATT!C169</f>
        <v>12</v>
      </c>
      <c r="E348" s="653">
        <f>EUMATT!D169</f>
        <v>50</v>
      </c>
      <c r="F348" s="38">
        <f>EUMATT!E169</f>
        <v>8500</v>
      </c>
      <c r="G348" s="38">
        <f>EUMATT!F169</f>
        <v>425000</v>
      </c>
      <c r="H348" s="35"/>
    </row>
    <row r="349" spans="1:8" s="42" customFormat="1" ht="18.75" x14ac:dyDescent="0.3">
      <c r="A349" s="35"/>
      <c r="B349" s="653">
        <f>EUMATT!A170</f>
        <v>641</v>
      </c>
      <c r="C349" s="653" t="str">
        <f>EUMATT!B170</f>
        <v>SURGICAL BLADE 12"</v>
      </c>
      <c r="D349" s="654">
        <f>EUMATT!C170</f>
        <v>100</v>
      </c>
      <c r="E349" s="653">
        <f>EUMATT!D170</f>
        <v>4</v>
      </c>
      <c r="F349" s="38">
        <f>EUMATT!E170</f>
        <v>1300</v>
      </c>
      <c r="G349" s="38">
        <f>EUMATT!F170</f>
        <v>5200</v>
      </c>
      <c r="H349" s="35"/>
    </row>
    <row r="350" spans="1:8" x14ac:dyDescent="0.35">
      <c r="A350" s="35"/>
      <c r="B350" s="653">
        <f>EUMATT!A171</f>
        <v>643</v>
      </c>
      <c r="C350" s="653" t="str">
        <f>EUMATT!B171</f>
        <v>SURGICAL BLADE 22"</v>
      </c>
      <c r="D350" s="654">
        <f>EUMATT!C171</f>
        <v>100</v>
      </c>
      <c r="E350" s="653">
        <f>EUMATT!D171</f>
        <v>45</v>
      </c>
      <c r="F350" s="38">
        <f>EUMATT!E171</f>
        <v>1300</v>
      </c>
      <c r="G350" s="38">
        <f>EUMATT!F171</f>
        <v>58500</v>
      </c>
      <c r="H350" s="76"/>
    </row>
    <row r="351" spans="1:8" x14ac:dyDescent="0.35">
      <c r="A351" s="35"/>
      <c r="B351" s="653">
        <f>EUMATT!A172</f>
        <v>645</v>
      </c>
      <c r="C351" s="653" t="str">
        <f>EUMATT!B172</f>
        <v>SURGICAL BLADE 24"</v>
      </c>
      <c r="D351" s="654">
        <f>EUMATT!C172</f>
        <v>100</v>
      </c>
      <c r="E351" s="653">
        <f>EUMATT!D172</f>
        <v>12</v>
      </c>
      <c r="F351" s="38">
        <f>EUMATT!E172</f>
        <v>1300</v>
      </c>
      <c r="G351" s="38">
        <f>EUMATT!F172</f>
        <v>15600</v>
      </c>
      <c r="H351" s="76"/>
    </row>
    <row r="352" spans="1:8" x14ac:dyDescent="0.35">
      <c r="A352" s="35"/>
      <c r="B352" s="653">
        <f>EUMATT!A173</f>
        <v>413</v>
      </c>
      <c r="C352" s="653" t="str">
        <f>EUMATT!B173</f>
        <v>SUXAMETHONIUM INJ</v>
      </c>
      <c r="D352" s="654" t="str">
        <f>EUMATT!C173</f>
        <v>AMP</v>
      </c>
      <c r="E352" s="653">
        <f>EUMATT!D173</f>
        <v>300</v>
      </c>
      <c r="F352" s="38">
        <f>EUMATT!E173</f>
        <v>600</v>
      </c>
      <c r="G352" s="38">
        <f>EUMATT!F173</f>
        <v>180000</v>
      </c>
      <c r="H352" s="76"/>
    </row>
    <row r="353" spans="1:8" x14ac:dyDescent="0.35">
      <c r="A353" s="35"/>
      <c r="B353" s="653">
        <f>EUMATT!A174</f>
        <v>700</v>
      </c>
      <c r="C353" s="653" t="str">
        <f>EUMATT!B174</f>
        <v xml:space="preserve">TAMSULOSIN 0.4MG TAB  </v>
      </c>
      <c r="D353" s="654">
        <f>EUMATT!C174</f>
        <v>20</v>
      </c>
      <c r="E353" s="653">
        <f>EUMATT!D174</f>
        <v>750</v>
      </c>
      <c r="F353" s="38">
        <f>EUMATT!E174</f>
        <v>800</v>
      </c>
      <c r="G353" s="38">
        <f>EUMATT!F174</f>
        <v>600000</v>
      </c>
      <c r="H353" s="76"/>
    </row>
    <row r="354" spans="1:8" x14ac:dyDescent="0.35">
      <c r="A354" s="35"/>
      <c r="B354" s="653">
        <f>EUMATT!A175</f>
        <v>423</v>
      </c>
      <c r="C354" s="653" t="str">
        <f>EUMATT!B175</f>
        <v>TETANUS TOXOID 0.5ML INJ</v>
      </c>
      <c r="D354" s="654">
        <f>EUMATT!C175</f>
        <v>100</v>
      </c>
      <c r="E354" s="653">
        <f>EUMATT!D175</f>
        <v>24</v>
      </c>
      <c r="F354" s="38">
        <f>EUMATT!E175</f>
        <v>14000</v>
      </c>
      <c r="G354" s="38">
        <f>EUMATT!F175</f>
        <v>336000</v>
      </c>
      <c r="H354" s="76"/>
    </row>
    <row r="355" spans="1:8" ht="23.25" x14ac:dyDescent="0.35">
      <c r="A355" s="35"/>
      <c r="B355" s="653">
        <f>EUMATT!A176</f>
        <v>528</v>
      </c>
      <c r="C355" s="653" t="str">
        <f>EUMATT!B176</f>
        <v>TETRAHYDROZOLINE HCL/FLUOROMETHOLONE</v>
      </c>
      <c r="D355" s="654" t="str">
        <f>EUMATT!C176</f>
        <v>BOTT</v>
      </c>
      <c r="E355" s="653">
        <f>EUMATT!D176</f>
        <v>20</v>
      </c>
      <c r="F355" s="38">
        <f>EUMATT!E176</f>
        <v>1050</v>
      </c>
      <c r="G355" s="38">
        <f>EUMATT!F176</f>
        <v>21000</v>
      </c>
      <c r="H355" s="186"/>
    </row>
    <row r="356" spans="1:8" ht="18.75" x14ac:dyDescent="0.3">
      <c r="A356" s="35"/>
      <c r="B356" s="653">
        <f>EUMATT!A177</f>
        <v>531</v>
      </c>
      <c r="C356" s="653" t="str">
        <f>EUMATT!B177</f>
        <v>TIMOLOL/TRAVOPROST 5MG/40MCG</v>
      </c>
      <c r="D356" s="654" t="str">
        <f>EUMATT!C177</f>
        <v>BOTT</v>
      </c>
      <c r="E356" s="653">
        <f>EUMATT!D177</f>
        <v>52</v>
      </c>
      <c r="F356" s="38">
        <f>EUMATT!E177</f>
        <v>3350</v>
      </c>
      <c r="G356" s="38">
        <f>EUMATT!F177</f>
        <v>174200</v>
      </c>
      <c r="H356" s="35"/>
    </row>
    <row r="357" spans="1:8" ht="18.75" x14ac:dyDescent="0.3">
      <c r="A357" s="35"/>
      <c r="B357" s="653">
        <f>EUMATT!A178</f>
        <v>191</v>
      </c>
      <c r="C357" s="653" t="str">
        <f>EUMATT!B178</f>
        <v>TIZANIDINE 2MG TAB</v>
      </c>
      <c r="D357" s="654">
        <f>EUMATT!C178</f>
        <v>30</v>
      </c>
      <c r="E357" s="653">
        <f>EUMATT!D178</f>
        <v>400</v>
      </c>
      <c r="F357" s="38">
        <f>EUMATT!E178</f>
        <v>2200</v>
      </c>
      <c r="G357" s="38">
        <f>EUMATT!F178</f>
        <v>880000</v>
      </c>
      <c r="H357" s="35"/>
    </row>
    <row r="358" spans="1:8" ht="18.75" x14ac:dyDescent="0.3">
      <c r="A358" s="35"/>
      <c r="B358" s="653">
        <f>EUMATT!A179</f>
        <v>332</v>
      </c>
      <c r="C358" s="653" t="str">
        <f>EUMATT!B179</f>
        <v>TRANEXAMIC ACID INJ</v>
      </c>
      <c r="D358" s="654">
        <f>EUMATT!C179</f>
        <v>5</v>
      </c>
      <c r="E358" s="653">
        <f>EUMATT!D179</f>
        <v>320</v>
      </c>
      <c r="F358" s="38">
        <f>EUMATT!E179</f>
        <v>1380</v>
      </c>
      <c r="G358" s="38">
        <f>EUMATT!F179</f>
        <v>441600</v>
      </c>
      <c r="H358" s="35"/>
    </row>
    <row r="359" spans="1:8" s="42" customFormat="1" ht="23.25" x14ac:dyDescent="0.35">
      <c r="A359" s="35"/>
      <c r="B359" s="653">
        <f>EUMATT!A180</f>
        <v>532</v>
      </c>
      <c r="C359" s="653" t="str">
        <f>EUMATT!B180</f>
        <v>TRAVOPROST 40MCG</v>
      </c>
      <c r="D359" s="654" t="str">
        <f>EUMATT!C180</f>
        <v>BOTT</v>
      </c>
      <c r="E359" s="653">
        <f>EUMATT!D180</f>
        <v>52</v>
      </c>
      <c r="F359" s="38">
        <f>EUMATT!E180</f>
        <v>3350</v>
      </c>
      <c r="G359" s="38">
        <f>EUMATT!F180</f>
        <v>174200</v>
      </c>
      <c r="H359" s="79"/>
    </row>
    <row r="360" spans="1:8" s="42" customFormat="1" ht="18.75" x14ac:dyDescent="0.3">
      <c r="A360" s="35"/>
      <c r="B360" s="653">
        <f>EUMATT!A181</f>
        <v>380</v>
      </c>
      <c r="C360" s="653" t="str">
        <f>EUMATT!B181</f>
        <v>TRIFLUOPERAZINE 5MG TAB</v>
      </c>
      <c r="D360" s="654">
        <f>EUMATT!C181</f>
        <v>1000</v>
      </c>
      <c r="E360" s="653">
        <f>EUMATT!D181</f>
        <v>2</v>
      </c>
      <c r="F360" s="38">
        <f>EUMATT!E181</f>
        <v>3500</v>
      </c>
      <c r="G360" s="38">
        <f>EUMATT!F181</f>
        <v>7000</v>
      </c>
      <c r="H360" s="38"/>
    </row>
    <row r="361" spans="1:8" s="42" customFormat="1" ht="18.75" x14ac:dyDescent="0.3">
      <c r="A361" s="35"/>
      <c r="B361" s="653">
        <f>EUMATT!A182</f>
        <v>284</v>
      </c>
      <c r="C361" s="653" t="str">
        <f>EUMATT!B182</f>
        <v>VANCOMYCIN 1GM INJ</v>
      </c>
      <c r="D361" s="654" t="str">
        <f>EUMATT!C182</f>
        <v>VIAL</v>
      </c>
      <c r="E361" s="653">
        <f>EUMATT!D182</f>
        <v>10</v>
      </c>
      <c r="F361" s="38">
        <f>EUMATT!E182</f>
        <v>2500</v>
      </c>
      <c r="G361" s="38">
        <f>EUMATT!F182</f>
        <v>25000</v>
      </c>
      <c r="H361" s="38"/>
    </row>
    <row r="362" spans="1:8" s="42" customFormat="1" ht="18.75" x14ac:dyDescent="0.3">
      <c r="A362" s="35"/>
      <c r="B362" s="653">
        <f>EUMATT!A183</f>
        <v>708</v>
      </c>
      <c r="C362" s="653" t="str">
        <f>EUMATT!B183</f>
        <v>VICRYL 2/0</v>
      </c>
      <c r="D362" s="654">
        <f>EUMATT!C183</f>
        <v>12</v>
      </c>
      <c r="E362" s="653">
        <f>EUMATT!D183</f>
        <v>10</v>
      </c>
      <c r="F362" s="38">
        <f>EUMATT!E183</f>
        <v>4500</v>
      </c>
      <c r="G362" s="38">
        <f>EUMATT!F183</f>
        <v>45000</v>
      </c>
      <c r="H362" s="38"/>
    </row>
    <row r="363" spans="1:8" s="42" customFormat="1" ht="18.75" x14ac:dyDescent="0.3">
      <c r="A363" s="35"/>
      <c r="B363" s="653">
        <f>EUMATT!A184</f>
        <v>139</v>
      </c>
      <c r="C363" s="653" t="str">
        <f>EUMATT!B184</f>
        <v>VILDAGLIPTIN 50MG</v>
      </c>
      <c r="D363" s="654">
        <f>EUMATT!C184</f>
        <v>28</v>
      </c>
      <c r="E363" s="653">
        <f>EUMATT!D184</f>
        <v>100</v>
      </c>
      <c r="F363" s="38">
        <f>EUMATT!E184</f>
        <v>4500</v>
      </c>
      <c r="G363" s="38">
        <f>EUMATT!F184</f>
        <v>450000</v>
      </c>
      <c r="H363" s="38"/>
    </row>
    <row r="364" spans="1:8" s="42" customFormat="1" ht="23.25" x14ac:dyDescent="0.35">
      <c r="A364" s="35"/>
      <c r="B364" s="653">
        <f>EUMATT!A185</f>
        <v>140</v>
      </c>
      <c r="C364" s="653" t="str">
        <f>EUMATT!B185</f>
        <v>VILDAGLIPTIN/METFORMIN 50/1000MG TAB</v>
      </c>
      <c r="D364" s="654">
        <f>EUMATT!C185</f>
        <v>60</v>
      </c>
      <c r="E364" s="653">
        <f>EUMATT!D185</f>
        <v>100</v>
      </c>
      <c r="F364" s="38">
        <f>EUMATT!E185</f>
        <v>9500</v>
      </c>
      <c r="G364" s="38">
        <f>EUMATT!F185</f>
        <v>950000</v>
      </c>
      <c r="H364" s="79"/>
    </row>
    <row r="365" spans="1:8" s="42" customFormat="1" ht="23.25" x14ac:dyDescent="0.35">
      <c r="A365" s="35"/>
      <c r="B365" s="653">
        <f>EUMATT!A186</f>
        <v>141</v>
      </c>
      <c r="C365" s="653" t="str">
        <f>EUMATT!B186</f>
        <v>VILDAGLIPTIN/METFORMIN 50/500MG TAB</v>
      </c>
      <c r="D365" s="654">
        <f>EUMATT!C186</f>
        <v>60</v>
      </c>
      <c r="E365" s="653">
        <f>EUMATT!D186</f>
        <v>100</v>
      </c>
      <c r="F365" s="38">
        <f>EUMATT!E186</f>
        <v>9500</v>
      </c>
      <c r="G365" s="38">
        <f>EUMATT!F186</f>
        <v>950000</v>
      </c>
      <c r="H365" s="186"/>
    </row>
    <row r="366" spans="1:8" s="42" customFormat="1" ht="18.75" x14ac:dyDescent="0.3">
      <c r="A366" s="35"/>
      <c r="B366" s="653">
        <f>EUMATT!A188</f>
        <v>339</v>
      </c>
      <c r="C366" s="653" t="str">
        <f>EUMATT!B188</f>
        <v>VITAMIN B COMPLEX SYRUP</v>
      </c>
      <c r="D366" s="654" t="str">
        <f>EUMATT!C188</f>
        <v>BOTT</v>
      </c>
      <c r="E366" s="653">
        <f>EUMATT!D188</f>
        <v>800</v>
      </c>
      <c r="F366" s="38">
        <f>EUMATT!E188</f>
        <v>95</v>
      </c>
      <c r="G366" s="38">
        <f>EUMATT!F188</f>
        <v>76000</v>
      </c>
      <c r="H366" s="35"/>
    </row>
    <row r="367" spans="1:8" s="42" customFormat="1" ht="18.75" x14ac:dyDescent="0.3">
      <c r="A367" s="35"/>
      <c r="B367" s="653">
        <f>EUMATT!A189</f>
        <v>343</v>
      </c>
      <c r="C367" s="653" t="str">
        <f>EUMATT!B189</f>
        <v>VITAMIN C INJ</v>
      </c>
      <c r="D367" s="654" t="str">
        <f>EUMATT!C189</f>
        <v>AMP</v>
      </c>
      <c r="E367" s="653">
        <f>EUMATT!D189</f>
        <v>500</v>
      </c>
      <c r="F367" s="38">
        <f>EUMATT!E189</f>
        <v>30</v>
      </c>
      <c r="G367" s="38">
        <f>EUMATT!F189</f>
        <v>15000</v>
      </c>
      <c r="H367" s="35"/>
    </row>
    <row r="368" spans="1:8" s="42" customFormat="1" ht="23.25" x14ac:dyDescent="0.35">
      <c r="A368" s="35"/>
      <c r="B368" s="653">
        <f>EUMATT!A190</f>
        <v>348</v>
      </c>
      <c r="C368" s="653" t="str">
        <f>EUMATT!B190</f>
        <v>VITAMIN K1</v>
      </c>
      <c r="D368" s="654" t="str">
        <f>EUMATT!C190</f>
        <v>AMP</v>
      </c>
      <c r="E368" s="653">
        <f>EUMATT!D190</f>
        <v>2000</v>
      </c>
      <c r="F368" s="38">
        <f>EUMATT!E190</f>
        <v>52</v>
      </c>
      <c r="G368" s="38">
        <f>EUMATT!F190</f>
        <v>104000</v>
      </c>
      <c r="H368" s="79"/>
    </row>
    <row r="369" spans="1:8" s="42" customFormat="1" ht="23.25" x14ac:dyDescent="0.35">
      <c r="A369" s="35"/>
      <c r="B369" s="653">
        <f>EUMATT!A191</f>
        <v>349</v>
      </c>
      <c r="C369" s="653" t="str">
        <f>EUMATT!B191</f>
        <v>WARFARIN 3MG TAB</v>
      </c>
      <c r="D369" s="654">
        <f>EUMATT!C191</f>
        <v>28</v>
      </c>
      <c r="E369" s="653">
        <f>EUMATT!D191</f>
        <v>200</v>
      </c>
      <c r="F369" s="38">
        <f>EUMATT!E191</f>
        <v>420</v>
      </c>
      <c r="G369" s="38">
        <f>EUMATT!F191</f>
        <v>84000</v>
      </c>
      <c r="H369" s="186"/>
    </row>
    <row r="370" spans="1:8" s="42" customFormat="1" ht="18.75" x14ac:dyDescent="0.3">
      <c r="A370" s="35"/>
      <c r="B370" s="653">
        <f>EUMATT!A192</f>
        <v>350</v>
      </c>
      <c r="C370" s="653" t="str">
        <f>EUMATT!B192</f>
        <v>WARFARIN 5MG TAB</v>
      </c>
      <c r="D370" s="654">
        <f>EUMATT!C192</f>
        <v>28</v>
      </c>
      <c r="E370" s="653">
        <f>EUMATT!D192</f>
        <v>120</v>
      </c>
      <c r="F370" s="38">
        <f>EUMATT!E192</f>
        <v>470</v>
      </c>
      <c r="G370" s="38">
        <f>EUMATT!F192</f>
        <v>56400</v>
      </c>
      <c r="H370" s="35"/>
    </row>
    <row r="371" spans="1:8" s="42" customFormat="1" ht="18.75" x14ac:dyDescent="0.3">
      <c r="A371" s="35"/>
      <c r="B371" s="653">
        <f>EUMATT!A193</f>
        <v>536</v>
      </c>
      <c r="C371" s="653" t="str">
        <f>EUMATT!B193</f>
        <v>XYLOMETHAZOLINE NASAL DROP (ADULT)</v>
      </c>
      <c r="D371" s="654" t="str">
        <f>EUMATT!C193</f>
        <v>BOTT</v>
      </c>
      <c r="E371" s="653">
        <f>EUMATT!D193</f>
        <v>80</v>
      </c>
      <c r="F371" s="38">
        <f>EUMATT!E193</f>
        <v>1050</v>
      </c>
      <c r="G371" s="38">
        <f>EUMATT!F193</f>
        <v>84000</v>
      </c>
      <c r="H371" s="35"/>
    </row>
    <row r="372" spans="1:8" s="42" customFormat="1" ht="23.25" x14ac:dyDescent="0.35">
      <c r="A372" s="35"/>
      <c r="B372" s="653">
        <f>EUMATT!A194</f>
        <v>537</v>
      </c>
      <c r="C372" s="653" t="str">
        <f>EUMATT!B194</f>
        <v>XYLOMETHAZOLINE NASAL DROP (PAED)</v>
      </c>
      <c r="D372" s="654" t="str">
        <f>EUMATT!C194</f>
        <v>BOTT</v>
      </c>
      <c r="E372" s="653">
        <f>EUMATT!D194</f>
        <v>40</v>
      </c>
      <c r="F372" s="38">
        <f>EUMATT!E194</f>
        <v>1050</v>
      </c>
      <c r="G372" s="38">
        <f>EUMATT!F194</f>
        <v>42000</v>
      </c>
      <c r="H372" s="186">
        <f>SUM(G186:G372)</f>
        <v>87838260</v>
      </c>
    </row>
    <row r="373" spans="1:8" s="42" customFormat="1" ht="18.75" x14ac:dyDescent="0.3">
      <c r="A373" s="35"/>
      <c r="B373" s="653"/>
      <c r="C373" s="653"/>
      <c r="D373" s="654"/>
      <c r="E373" s="653"/>
      <c r="F373" s="38"/>
      <c r="G373" s="38"/>
      <c r="H373" s="35"/>
    </row>
    <row r="374" spans="1:8" s="42" customFormat="1" ht="18.75" x14ac:dyDescent="0.3">
      <c r="A374" s="35"/>
      <c r="B374" s="653"/>
      <c r="C374" s="653"/>
      <c r="D374" s="654"/>
      <c r="E374" s="653"/>
      <c r="F374" s="38"/>
      <c r="G374" s="38"/>
      <c r="H374" s="38"/>
    </row>
    <row r="375" spans="1:8" s="42" customFormat="1" ht="23.25" x14ac:dyDescent="0.35">
      <c r="A375" s="35">
        <v>14</v>
      </c>
      <c r="B375" s="653"/>
      <c r="C375" s="656" t="str">
        <f>FIDSON!B1</f>
        <v>FIDSON HEALTHCARE LIMITED</v>
      </c>
      <c r="D375" s="654"/>
      <c r="E375" s="653"/>
      <c r="F375" s="38"/>
      <c r="G375" s="38"/>
      <c r="H375" s="38"/>
    </row>
    <row r="376" spans="1:8" s="42" customFormat="1" ht="18.75" x14ac:dyDescent="0.3">
      <c r="A376" s="35"/>
      <c r="B376" s="653">
        <f>FIDSON!A6</f>
        <v>19</v>
      </c>
      <c r="C376" s="653" t="str">
        <f>FIDSON!B6</f>
        <v xml:space="preserve">0.9% NORMAL SALINE </v>
      </c>
      <c r="D376" s="654">
        <f>FIDSON!C6</f>
        <v>20</v>
      </c>
      <c r="E376" s="653">
        <f>FIDSON!D6</f>
        <v>2400</v>
      </c>
      <c r="F376" s="38">
        <f>FIDSON!E6</f>
        <v>2500</v>
      </c>
      <c r="G376" s="38">
        <f>FIDSON!F6</f>
        <v>6000000</v>
      </c>
      <c r="H376" s="38"/>
    </row>
    <row r="377" spans="1:8" s="42" customFormat="1" ht="18.75" x14ac:dyDescent="0.3">
      <c r="A377" s="35"/>
      <c r="B377" s="653">
        <f>FIDSON!A7</f>
        <v>22</v>
      </c>
      <c r="C377" s="653" t="str">
        <f>FIDSON!B7</f>
        <v>20% MANNITOL</v>
      </c>
      <c r="D377" s="654">
        <f>FIDSON!C7</f>
        <v>20</v>
      </c>
      <c r="E377" s="653">
        <f>FIDSON!D7</f>
        <v>40</v>
      </c>
      <c r="F377" s="38">
        <f>FIDSON!E7</f>
        <v>7800</v>
      </c>
      <c r="G377" s="38">
        <f>FIDSON!F7</f>
        <v>312000</v>
      </c>
      <c r="H377" s="38"/>
    </row>
    <row r="378" spans="1:8" s="42" customFormat="1" ht="18.75" x14ac:dyDescent="0.3">
      <c r="A378" s="35"/>
      <c r="B378" s="653">
        <f>FIDSON!A8</f>
        <v>23</v>
      </c>
      <c r="C378" s="653" t="str">
        <f>FIDSON!B8</f>
        <v>4.3% DEXTROSE IN 0.18% SALINE</v>
      </c>
      <c r="D378" s="654">
        <f>FIDSON!C8</f>
        <v>20</v>
      </c>
      <c r="E378" s="653">
        <f>FIDSON!D8</f>
        <v>240</v>
      </c>
      <c r="F378" s="38">
        <f>FIDSON!E8</f>
        <v>2500</v>
      </c>
      <c r="G378" s="38">
        <f>FIDSON!F8</f>
        <v>600000</v>
      </c>
      <c r="H378" s="38"/>
    </row>
    <row r="379" spans="1:8" s="42" customFormat="1" ht="18.75" x14ac:dyDescent="0.3">
      <c r="A379" s="35"/>
      <c r="B379" s="653">
        <f>FIDSON!A9</f>
        <v>24</v>
      </c>
      <c r="C379" s="653" t="str">
        <f>FIDSON!B9</f>
        <v>5% DEXTROSE SALINE</v>
      </c>
      <c r="D379" s="654">
        <f>FIDSON!C9</f>
        <v>20</v>
      </c>
      <c r="E379" s="653">
        <f>FIDSON!D9</f>
        <v>1280</v>
      </c>
      <c r="F379" s="38">
        <f>FIDSON!E9</f>
        <v>2500</v>
      </c>
      <c r="G379" s="38">
        <f>FIDSON!F9</f>
        <v>3200000</v>
      </c>
      <c r="H379" s="38"/>
    </row>
    <row r="380" spans="1:8" s="42" customFormat="1" ht="23.25" x14ac:dyDescent="0.35">
      <c r="A380" s="35"/>
      <c r="B380" s="653">
        <f>FIDSON!A10</f>
        <v>25</v>
      </c>
      <c r="C380" s="653" t="str">
        <f>FIDSON!B10</f>
        <v>5% DEXTROSE WATER</v>
      </c>
      <c r="D380" s="654">
        <f>FIDSON!C10</f>
        <v>20</v>
      </c>
      <c r="E380" s="653">
        <f>FIDSON!D10</f>
        <v>640</v>
      </c>
      <c r="F380" s="38">
        <f>FIDSON!E10</f>
        <v>2500</v>
      </c>
      <c r="G380" s="38">
        <f>FIDSON!F10</f>
        <v>1600000</v>
      </c>
      <c r="H380" s="79"/>
    </row>
    <row r="381" spans="1:8" s="42" customFormat="1" ht="18.75" x14ac:dyDescent="0.3">
      <c r="A381" s="35"/>
      <c r="B381" s="653">
        <f>FIDSON!A11</f>
        <v>1</v>
      </c>
      <c r="C381" s="653" t="str">
        <f>FIDSON!B11</f>
        <v>ab-ARTEETHER 150MG INJ</v>
      </c>
      <c r="D381" s="654">
        <f>FIDSON!C11</f>
        <v>3</v>
      </c>
      <c r="E381" s="653">
        <f>FIDSON!D11</f>
        <v>2100</v>
      </c>
      <c r="F381" s="38">
        <f>FIDSON!E11</f>
        <v>1300</v>
      </c>
      <c r="G381" s="38">
        <f>FIDSON!F11</f>
        <v>2730000</v>
      </c>
      <c r="H381" s="38"/>
    </row>
    <row r="382" spans="1:8" s="42" customFormat="1" ht="18.75" x14ac:dyDescent="0.3">
      <c r="A382" s="35"/>
      <c r="B382" s="653">
        <f>FIDSON!A12</f>
        <v>381</v>
      </c>
      <c r="C382" s="653" t="str">
        <f>FIDSON!B12</f>
        <v>ADDYZOA CAP</v>
      </c>
      <c r="D382" s="654">
        <f>FIDSON!C12</f>
        <v>20</v>
      </c>
      <c r="E382" s="653">
        <f>FIDSON!D12</f>
        <v>80</v>
      </c>
      <c r="F382" s="38">
        <f>FIDSON!E12</f>
        <v>2500</v>
      </c>
      <c r="G382" s="38">
        <f>FIDSON!F12</f>
        <v>200000</v>
      </c>
      <c r="H382" s="38"/>
    </row>
    <row r="383" spans="1:8" s="42" customFormat="1" ht="18.75" x14ac:dyDescent="0.3">
      <c r="A383" s="35"/>
      <c r="B383" s="653">
        <f>FIDSON!A13</f>
        <v>28</v>
      </c>
      <c r="C383" s="653" t="str">
        <f>FIDSON!B13</f>
        <v>AMINO ACID INFUSION</v>
      </c>
      <c r="D383" s="654">
        <f>FIDSON!C13</f>
        <v>10</v>
      </c>
      <c r="E383" s="653">
        <f>FIDSON!D13</f>
        <v>4</v>
      </c>
      <c r="F383" s="38">
        <f>FIDSON!E13</f>
        <v>2900</v>
      </c>
      <c r="G383" s="38">
        <f>FIDSON!F13</f>
        <v>11600</v>
      </c>
      <c r="H383" s="38"/>
    </row>
    <row r="384" spans="1:8" s="42" customFormat="1" ht="18.75" x14ac:dyDescent="0.3">
      <c r="A384" s="35"/>
      <c r="B384" s="653">
        <f>FIDSON!A14</f>
        <v>286</v>
      </c>
      <c r="C384" s="653" t="str">
        <f>FIDSON!B14</f>
        <v>AMINO ACIDS + IRON CAP</v>
      </c>
      <c r="D384" s="654">
        <f>FIDSON!C14</f>
        <v>30</v>
      </c>
      <c r="E384" s="653">
        <f>FIDSON!D14</f>
        <v>2000</v>
      </c>
      <c r="F384" s="38">
        <f>FIDSON!E14</f>
        <v>1160</v>
      </c>
      <c r="G384" s="38">
        <f>FIDSON!F14</f>
        <v>2320000</v>
      </c>
      <c r="H384" s="38"/>
    </row>
    <row r="385" spans="1:8" s="42" customFormat="1" ht="18.75" x14ac:dyDescent="0.3">
      <c r="A385" s="35"/>
      <c r="B385" s="653">
        <f>FIDSON!A15</f>
        <v>287</v>
      </c>
      <c r="C385" s="653" t="str">
        <f>FIDSON!B15</f>
        <v>AMINO ACIDS + IRON SYR</v>
      </c>
      <c r="D385" s="654" t="str">
        <f>FIDSON!C15</f>
        <v>BOTT</v>
      </c>
      <c r="E385" s="653">
        <f>FIDSON!D15</f>
        <v>600</v>
      </c>
      <c r="F385" s="38">
        <f>FIDSON!E15</f>
        <v>1160</v>
      </c>
      <c r="G385" s="38">
        <f>FIDSON!F15</f>
        <v>696000</v>
      </c>
      <c r="H385" s="38"/>
    </row>
    <row r="386" spans="1:8" s="42" customFormat="1" ht="18.75" x14ac:dyDescent="0.3">
      <c r="A386" s="35"/>
      <c r="B386" s="653">
        <f>FIDSON!A16</f>
        <v>288</v>
      </c>
      <c r="C386" s="653" t="str">
        <f>FIDSON!B16</f>
        <v>AMINO ACIDS CAP</v>
      </c>
      <c r="D386" s="654">
        <f>FIDSON!C16</f>
        <v>20</v>
      </c>
      <c r="E386" s="653">
        <f>FIDSON!D16</f>
        <v>1200</v>
      </c>
      <c r="F386" s="38">
        <f>FIDSON!E16</f>
        <v>1160</v>
      </c>
      <c r="G386" s="38">
        <f>FIDSON!F16</f>
        <v>1392000</v>
      </c>
      <c r="H386" s="38"/>
    </row>
    <row r="387" spans="1:8" s="42" customFormat="1" ht="18.75" x14ac:dyDescent="0.3">
      <c r="A387" s="35"/>
      <c r="B387" s="653">
        <f>FIDSON!A17</f>
        <v>289</v>
      </c>
      <c r="C387" s="653" t="str">
        <f>FIDSON!B17</f>
        <v>AMINO ACIDS SYR</v>
      </c>
      <c r="D387" s="654" t="str">
        <f>FIDSON!C17</f>
        <v>BOTT</v>
      </c>
      <c r="E387" s="653">
        <f>FIDSON!D17</f>
        <v>600</v>
      </c>
      <c r="F387" s="38">
        <f>FIDSON!E17</f>
        <v>1160</v>
      </c>
      <c r="G387" s="38">
        <f>FIDSON!F17</f>
        <v>696000</v>
      </c>
      <c r="H387" s="38"/>
    </row>
    <row r="388" spans="1:8" s="42" customFormat="1" ht="18.75" x14ac:dyDescent="0.3">
      <c r="A388" s="35"/>
      <c r="B388" s="653">
        <f>FIDSON!A18</f>
        <v>470</v>
      </c>
      <c r="C388" s="653" t="str">
        <f>FIDSON!B18</f>
        <v>CETIRIZINE SYRUP</v>
      </c>
      <c r="D388" s="654" t="str">
        <f>FIDSON!C18</f>
        <v>BOTT</v>
      </c>
      <c r="E388" s="653">
        <f>FIDSON!D18</f>
        <v>60</v>
      </c>
      <c r="F388" s="38">
        <f>FIDSON!E18</f>
        <v>240</v>
      </c>
      <c r="G388" s="38">
        <f>FIDSON!F18</f>
        <v>14400</v>
      </c>
      <c r="H388" s="38"/>
    </row>
    <row r="389" spans="1:8" s="42" customFormat="1" ht="18.75" x14ac:dyDescent="0.3">
      <c r="A389" s="35"/>
      <c r="B389" s="653">
        <f>FIDSON!A19</f>
        <v>145</v>
      </c>
      <c r="C389" s="653" t="str">
        <f>FIDSON!B19</f>
        <v>CHONDROITIN SULPHATE/GLUCOSAMINE (FORTE)</v>
      </c>
      <c r="D389" s="654">
        <f>FIDSON!C19</f>
        <v>30</v>
      </c>
      <c r="E389" s="653">
        <f>FIDSON!D19</f>
        <v>560</v>
      </c>
      <c r="F389" s="38">
        <f>FIDSON!E19</f>
        <v>2600</v>
      </c>
      <c r="G389" s="38">
        <f>FIDSON!F19</f>
        <v>1456000</v>
      </c>
      <c r="H389" s="38"/>
    </row>
    <row r="390" spans="1:8" s="42" customFormat="1" ht="23.25" x14ac:dyDescent="0.35">
      <c r="A390" s="35"/>
      <c r="B390" s="653">
        <f>FIDSON!A20</f>
        <v>240</v>
      </c>
      <c r="C390" s="653" t="str">
        <f>FIDSON!B20</f>
        <v>CLOTRIMAZOLE 1% CREAM 20g</v>
      </c>
      <c r="D390" s="654" t="str">
        <f>FIDSON!C20</f>
        <v>TUBE</v>
      </c>
      <c r="E390" s="653">
        <f>FIDSON!D20</f>
        <v>700</v>
      </c>
      <c r="F390" s="38">
        <f>FIDSON!E20</f>
        <v>115</v>
      </c>
      <c r="G390" s="38">
        <f>FIDSON!F20</f>
        <v>80500</v>
      </c>
      <c r="H390" s="186"/>
    </row>
    <row r="391" spans="1:8" s="42" customFormat="1" ht="18.75" x14ac:dyDescent="0.3">
      <c r="A391" s="35"/>
      <c r="B391" s="653">
        <f>FIDSON!A21</f>
        <v>300</v>
      </c>
      <c r="C391" s="653" t="str">
        <f>FIDSON!B21</f>
        <v>ENOXAPARIN 40MG INJ</v>
      </c>
      <c r="D391" s="654" t="str">
        <f>FIDSON!C21</f>
        <v>AMP</v>
      </c>
      <c r="E391" s="653">
        <f>FIDSON!D21</f>
        <v>420</v>
      </c>
      <c r="F391" s="38">
        <f>FIDSON!E21</f>
        <v>1800</v>
      </c>
      <c r="G391" s="38">
        <f>FIDSON!F21</f>
        <v>756000</v>
      </c>
      <c r="H391" s="35"/>
    </row>
    <row r="392" spans="1:8" s="42" customFormat="1" ht="18.75" x14ac:dyDescent="0.3">
      <c r="A392" s="35"/>
      <c r="B392" s="653">
        <f>FIDSON!A22</f>
        <v>285</v>
      </c>
      <c r="C392" s="653" t="str">
        <f>FIDSON!B22</f>
        <v>FERROUS FUMARATE/FOLIC ACID/VIT.B12</v>
      </c>
      <c r="D392" s="654">
        <f>FIDSON!C22</f>
        <v>30</v>
      </c>
      <c r="E392" s="653">
        <f>FIDSON!D22</f>
        <v>500</v>
      </c>
      <c r="F392" s="38">
        <f>FIDSON!E22</f>
        <v>340</v>
      </c>
      <c r="G392" s="38">
        <f>FIDSON!F22</f>
        <v>170000</v>
      </c>
      <c r="H392" s="35"/>
    </row>
    <row r="393" spans="1:8" s="42" customFormat="1" ht="18.75" x14ac:dyDescent="0.3">
      <c r="A393" s="35"/>
      <c r="B393" s="653">
        <f>FIDSON!A23</f>
        <v>388</v>
      </c>
      <c r="C393" s="653" t="str">
        <f>FIDSON!B23</f>
        <v>M2TONE TAB</v>
      </c>
      <c r="D393" s="654">
        <f>FIDSON!C23</f>
        <v>20</v>
      </c>
      <c r="E393" s="653">
        <f>FIDSON!D23</f>
        <v>20</v>
      </c>
      <c r="F393" s="38">
        <f>FIDSON!E23</f>
        <v>1600</v>
      </c>
      <c r="G393" s="38">
        <f>FIDSON!F23</f>
        <v>32000</v>
      </c>
      <c r="H393" s="35"/>
    </row>
    <row r="394" spans="1:8" s="42" customFormat="1" ht="18.75" x14ac:dyDescent="0.3">
      <c r="A394" s="35"/>
      <c r="B394" s="653">
        <f>FIDSON!A24</f>
        <v>264</v>
      </c>
      <c r="C394" s="653" t="str">
        <f>FIDSON!B24</f>
        <v>METRONIDAZOLE 200MG TAB</v>
      </c>
      <c r="D394" s="654">
        <f>FIDSON!C24</f>
        <v>100</v>
      </c>
      <c r="E394" s="653">
        <f>FIDSON!D24</f>
        <v>300</v>
      </c>
      <c r="F394" s="38">
        <f>FIDSON!E24</f>
        <v>220</v>
      </c>
      <c r="G394" s="38">
        <f>FIDSON!F24</f>
        <v>66000</v>
      </c>
      <c r="H394" s="35"/>
    </row>
    <row r="395" spans="1:8" s="42" customFormat="1" ht="18.75" x14ac:dyDescent="0.3">
      <c r="A395" s="35"/>
      <c r="B395" s="653">
        <f>FIDSON!A25</f>
        <v>266</v>
      </c>
      <c r="C395" s="653" t="str">
        <f>FIDSON!B25</f>
        <v xml:space="preserve">METRONIDAZOLE INJ </v>
      </c>
      <c r="D395" s="654" t="str">
        <f>FIDSON!C25</f>
        <v>BOTT</v>
      </c>
      <c r="E395" s="653">
        <f>FIDSON!D25</f>
        <v>13200</v>
      </c>
      <c r="F395" s="38">
        <f>FIDSON!E25</f>
        <v>95</v>
      </c>
      <c r="G395" s="38">
        <f>FIDSON!F25</f>
        <v>1254000</v>
      </c>
      <c r="H395" s="38"/>
    </row>
    <row r="396" spans="1:8" s="42" customFormat="1" ht="18.75" x14ac:dyDescent="0.3">
      <c r="A396" s="35"/>
      <c r="B396" s="653">
        <f>FIDSON!A26</f>
        <v>315</v>
      </c>
      <c r="C396" s="653" t="str">
        <f>FIDSON!B26</f>
        <v>MULTIVITE SYRUP</v>
      </c>
      <c r="D396" s="654" t="str">
        <f>FIDSON!C26</f>
        <v>BOTT</v>
      </c>
      <c r="E396" s="653">
        <f>FIDSON!D26</f>
        <v>800</v>
      </c>
      <c r="F396" s="38">
        <f>FIDSON!E26</f>
        <v>120</v>
      </c>
      <c r="G396" s="38">
        <f>FIDSON!F26</f>
        <v>96000</v>
      </c>
      <c r="H396" s="38"/>
    </row>
    <row r="397" spans="1:8" s="42" customFormat="1" ht="18.75" x14ac:dyDescent="0.3">
      <c r="A397" s="35"/>
      <c r="B397" s="653">
        <f>FIDSON!A27</f>
        <v>468</v>
      </c>
      <c r="C397" s="653" t="str">
        <f>FIDSON!B27</f>
        <v>SALBUTAMOL SYRUP</v>
      </c>
      <c r="D397" s="654" t="str">
        <f>FIDSON!C27</f>
        <v>BOTT</v>
      </c>
      <c r="E397" s="653">
        <f>FIDSON!D27</f>
        <v>60</v>
      </c>
      <c r="F397" s="38">
        <f>FIDSON!E27</f>
        <v>200</v>
      </c>
      <c r="G397" s="38">
        <f>FIDSON!F27</f>
        <v>12000</v>
      </c>
      <c r="H397" s="38"/>
    </row>
    <row r="398" spans="1:8" s="42" customFormat="1" ht="23.25" x14ac:dyDescent="0.35">
      <c r="A398" s="35"/>
      <c r="B398" s="653">
        <f>FIDSON!A28</f>
        <v>395</v>
      </c>
      <c r="C398" s="653" t="str">
        <f>FIDSON!B28</f>
        <v>VIGOMAX TAB</v>
      </c>
      <c r="D398" s="654">
        <f>FIDSON!C28</f>
        <v>20</v>
      </c>
      <c r="E398" s="653">
        <f>FIDSON!D28</f>
        <v>50</v>
      </c>
      <c r="F398" s="38">
        <f>FIDSON!E28</f>
        <v>2300</v>
      </c>
      <c r="G398" s="38">
        <f>FIDSON!F28</f>
        <v>115000</v>
      </c>
      <c r="H398" s="186">
        <f>SUM(G376:G398)</f>
        <v>23809500</v>
      </c>
    </row>
    <row r="399" spans="1:8" s="42" customFormat="1" ht="18.75" x14ac:dyDescent="0.3">
      <c r="A399" s="35"/>
      <c r="B399" s="653"/>
      <c r="C399" s="653"/>
      <c r="D399" s="654"/>
      <c r="E399" s="653"/>
      <c r="F399" s="38"/>
      <c r="G399" s="38"/>
      <c r="H399" s="38"/>
    </row>
    <row r="400" spans="1:8" s="42" customFormat="1" ht="18.75" x14ac:dyDescent="0.3">
      <c r="A400" s="35"/>
      <c r="B400" s="653"/>
      <c r="C400" s="653"/>
      <c r="D400" s="654"/>
      <c r="E400" s="653"/>
      <c r="F400" s="38"/>
      <c r="G400" s="38"/>
      <c r="H400" s="38"/>
    </row>
    <row r="401" spans="1:8" s="42" customFormat="1" ht="23.25" x14ac:dyDescent="0.35">
      <c r="A401" s="35">
        <v>15</v>
      </c>
      <c r="B401" s="653"/>
      <c r="C401" s="656" t="str">
        <f>FGLOBAL!B1</f>
        <v>FIRST CHOICE GLOBAL UTILITIES LIMITED</v>
      </c>
      <c r="D401" s="654"/>
      <c r="E401" s="653"/>
      <c r="F401" s="38"/>
      <c r="G401" s="38"/>
      <c r="H401" s="38"/>
    </row>
    <row r="402" spans="1:8" s="42" customFormat="1" ht="18.75" x14ac:dyDescent="0.3">
      <c r="A402" s="35"/>
      <c r="B402" s="653">
        <f>FGLOBAL!A6</f>
        <v>622</v>
      </c>
      <c r="C402" s="653" t="str">
        <f>FGLOBAL!B6</f>
        <v>PLASTER 1" (2.5CM X 9.1M) TRANSPARENT</v>
      </c>
      <c r="D402" s="654">
        <f>FGLOBAL!C6</f>
        <v>12</v>
      </c>
      <c r="E402" s="653">
        <f>FGLOBAL!D6</f>
        <v>672</v>
      </c>
      <c r="F402" s="38">
        <f>FGLOBAL!E6</f>
        <v>4800</v>
      </c>
      <c r="G402" s="38">
        <f>FGLOBAL!F6</f>
        <v>3225600</v>
      </c>
      <c r="H402" s="38"/>
    </row>
    <row r="403" spans="1:8" s="42" customFormat="1" ht="18.75" x14ac:dyDescent="0.3">
      <c r="A403" s="35"/>
      <c r="B403" s="653">
        <f>FGLOBAL!A7</f>
        <v>626</v>
      </c>
      <c r="C403" s="653" t="str">
        <f>FGLOBAL!B7</f>
        <v>PLASTER 2" (5CM X 9.1M) BROWN</v>
      </c>
      <c r="D403" s="654">
        <f>FGLOBAL!C7</f>
        <v>5</v>
      </c>
      <c r="E403" s="653">
        <f>FGLOBAL!D7</f>
        <v>42</v>
      </c>
      <c r="F403" s="38">
        <f>FGLOBAL!E7</f>
        <v>3800</v>
      </c>
      <c r="G403" s="38">
        <f>FGLOBAL!F7</f>
        <v>159600</v>
      </c>
      <c r="H403" s="38"/>
    </row>
    <row r="404" spans="1:8" s="42" customFormat="1" ht="18.75" x14ac:dyDescent="0.3">
      <c r="A404" s="35"/>
      <c r="B404" s="653">
        <f>FGLOBAL!A8</f>
        <v>623</v>
      </c>
      <c r="C404" s="653" t="str">
        <f>FGLOBAL!B8</f>
        <v>PLASTER 2" (5CM X 9.1M) TRANSPARENT</v>
      </c>
      <c r="D404" s="654">
        <f>FGLOBAL!C8</f>
        <v>6</v>
      </c>
      <c r="E404" s="653">
        <f>FGLOBAL!D8</f>
        <v>20</v>
      </c>
      <c r="F404" s="38">
        <f>FGLOBAL!E8</f>
        <v>4800</v>
      </c>
      <c r="G404" s="38">
        <f>FGLOBAL!F8</f>
        <v>96000</v>
      </c>
      <c r="H404" s="38"/>
    </row>
    <row r="405" spans="1:8" s="42" customFormat="1" ht="18.75" x14ac:dyDescent="0.3">
      <c r="A405" s="35"/>
      <c r="B405" s="653">
        <f>FGLOBAL!A9</f>
        <v>624</v>
      </c>
      <c r="C405" s="653" t="str">
        <f>FGLOBAL!B9</f>
        <v>PLASTER 3"(7.5CM X 9.1M) - DURAPORE</v>
      </c>
      <c r="D405" s="654">
        <f>FGLOBAL!C9</f>
        <v>4</v>
      </c>
      <c r="E405" s="653">
        <f>FGLOBAL!D9</f>
        <v>100</v>
      </c>
      <c r="F405" s="38">
        <f>FGLOBAL!E9</f>
        <v>7500</v>
      </c>
      <c r="G405" s="38">
        <f>FGLOBAL!F9</f>
        <v>750000</v>
      </c>
      <c r="H405" s="38"/>
    </row>
    <row r="406" spans="1:8" s="42" customFormat="1" ht="18.75" x14ac:dyDescent="0.3">
      <c r="A406" s="35"/>
      <c r="B406" s="653">
        <f>FGLOBAL!A10</f>
        <v>627</v>
      </c>
      <c r="C406" s="653" t="str">
        <f>FGLOBAL!B10</f>
        <v>PLASTER 3"(7.5CM X 9.1M) BROWN</v>
      </c>
      <c r="D406" s="654">
        <f>FGLOBAL!C10</f>
        <v>5</v>
      </c>
      <c r="E406" s="653">
        <f>FGLOBAL!D10</f>
        <v>73.2</v>
      </c>
      <c r="F406" s="38">
        <f>FGLOBAL!E10</f>
        <v>2700</v>
      </c>
      <c r="G406" s="38">
        <f>FGLOBAL!F10</f>
        <v>197640</v>
      </c>
      <c r="H406" s="38"/>
    </row>
    <row r="407" spans="1:8" s="42" customFormat="1" ht="23.25" x14ac:dyDescent="0.35">
      <c r="A407" s="35"/>
      <c r="B407" s="653">
        <f>FGLOBAL!A11</f>
        <v>625</v>
      </c>
      <c r="C407" s="653" t="str">
        <f>FGLOBAL!B11</f>
        <v>PLASTER 3"(7.5CM X 9.1M) TRANSPARENT</v>
      </c>
      <c r="D407" s="654">
        <f>FGLOBAL!C11</f>
        <v>4</v>
      </c>
      <c r="E407" s="653">
        <f>FGLOBAL!D11</f>
        <v>12</v>
      </c>
      <c r="F407" s="38">
        <f>FGLOBAL!E11</f>
        <v>4800</v>
      </c>
      <c r="G407" s="38">
        <f>FGLOBAL!F11</f>
        <v>57600</v>
      </c>
      <c r="H407" s="186">
        <f>SUM(G402:G407)</f>
        <v>4486440</v>
      </c>
    </row>
    <row r="408" spans="1:8" s="42" customFormat="1" ht="18.75" x14ac:dyDescent="0.3">
      <c r="A408" s="35"/>
      <c r="B408" s="653"/>
      <c r="C408" s="653"/>
      <c r="D408" s="654"/>
      <c r="E408" s="653"/>
      <c r="F408" s="38"/>
      <c r="G408" s="38"/>
      <c r="H408" s="38"/>
    </row>
    <row r="409" spans="1:8" s="42" customFormat="1" ht="18.75" x14ac:dyDescent="0.3">
      <c r="A409" s="35"/>
      <c r="B409" s="653"/>
      <c r="C409" s="653"/>
      <c r="D409" s="654"/>
      <c r="E409" s="653"/>
      <c r="F409" s="38"/>
      <c r="G409" s="38"/>
      <c r="H409" s="38"/>
    </row>
    <row r="410" spans="1:8" s="42" customFormat="1" ht="23.25" x14ac:dyDescent="0.35">
      <c r="A410" s="35">
        <v>16</v>
      </c>
      <c r="B410" s="653"/>
      <c r="C410" s="656" t="str">
        <f>GENEITH!B1</f>
        <v>GENEITH PHARMACEUTICALS LIMITED</v>
      </c>
      <c r="D410" s="654"/>
      <c r="E410" s="653"/>
      <c r="F410" s="38"/>
      <c r="G410" s="38"/>
      <c r="H410" s="38"/>
    </row>
    <row r="411" spans="1:8" s="42" customFormat="1" ht="18.75" x14ac:dyDescent="0.3">
      <c r="A411" s="35"/>
      <c r="B411" s="653">
        <f>GENEITH!A6</f>
        <v>5</v>
      </c>
      <c r="C411" s="653" t="str">
        <f>GENEITH!B6</f>
        <v>ARTEMETHER/LUMEFANTRINE (80/480) SOFT GEL</v>
      </c>
      <c r="D411" s="654">
        <f>GENEITH!C6</f>
        <v>6</v>
      </c>
      <c r="E411" s="653">
        <f>GENEITH!D6</f>
        <v>500</v>
      </c>
      <c r="F411" s="38">
        <f>GENEITH!E6</f>
        <v>550</v>
      </c>
      <c r="G411" s="38">
        <f>GENEITH!F6</f>
        <v>275000</v>
      </c>
      <c r="H411" s="38"/>
    </row>
    <row r="412" spans="1:8" s="42" customFormat="1" ht="23.25" x14ac:dyDescent="0.35">
      <c r="A412" s="35"/>
      <c r="B412" s="653">
        <f>GENEITH!A7</f>
        <v>247</v>
      </c>
      <c r="C412" s="653" t="str">
        <f>GENEITH!B7</f>
        <v>ERYTHROMYCIN 125MG/5ML SUSP</v>
      </c>
      <c r="D412" s="654" t="str">
        <f>GENEITH!C7</f>
        <v>BOTT</v>
      </c>
      <c r="E412" s="653">
        <f>GENEITH!D7</f>
        <v>400</v>
      </c>
      <c r="F412" s="38">
        <f>GENEITH!E7</f>
        <v>400</v>
      </c>
      <c r="G412" s="38">
        <f>GENEITH!F7</f>
        <v>160000</v>
      </c>
      <c r="H412" s="186"/>
    </row>
    <row r="413" spans="1:8" s="42" customFormat="1" ht="18.75" x14ac:dyDescent="0.3">
      <c r="A413" s="35"/>
      <c r="B413" s="653">
        <f>GENEITH!A8</f>
        <v>394</v>
      </c>
      <c r="C413" s="653" t="str">
        <f>GENEITH!B8</f>
        <v>TADALAFIL</v>
      </c>
      <c r="D413" s="654">
        <f>GENEITH!C8</f>
        <v>4</v>
      </c>
      <c r="E413" s="653">
        <f>GENEITH!D8</f>
        <v>100</v>
      </c>
      <c r="F413" s="38">
        <f>GENEITH!E8</f>
        <v>495</v>
      </c>
      <c r="G413" s="38">
        <f>GENEITH!F8</f>
        <v>49500</v>
      </c>
      <c r="H413" s="35"/>
    </row>
    <row r="414" spans="1:8" s="42" customFormat="1" ht="23.25" x14ac:dyDescent="0.35">
      <c r="A414" s="35"/>
      <c r="B414" s="653">
        <f>GENEITH!A9</f>
        <v>192</v>
      </c>
      <c r="C414" s="653" t="str">
        <f>GENEITH!B9</f>
        <v>TRAMADOL 100MG INJ</v>
      </c>
      <c r="D414" s="654">
        <f>GENEITH!C9</f>
        <v>100</v>
      </c>
      <c r="E414" s="653">
        <f>GENEITH!D9</f>
        <v>4</v>
      </c>
      <c r="F414" s="38">
        <f>GENEITH!E9</f>
        <v>4500</v>
      </c>
      <c r="G414" s="38">
        <f>GENEITH!F9</f>
        <v>18000</v>
      </c>
      <c r="H414" s="186">
        <f>SUM(G411:G414)</f>
        <v>502500</v>
      </c>
    </row>
    <row r="415" spans="1:8" s="42" customFormat="1" ht="18.75" x14ac:dyDescent="0.3">
      <c r="A415" s="35"/>
      <c r="B415" s="653"/>
      <c r="C415" s="653"/>
      <c r="D415" s="654"/>
      <c r="E415" s="653"/>
      <c r="F415" s="38"/>
      <c r="G415" s="38"/>
      <c r="H415" s="35"/>
    </row>
    <row r="416" spans="1:8" s="42" customFormat="1" ht="18.75" x14ac:dyDescent="0.3">
      <c r="A416" s="35"/>
      <c r="B416" s="653"/>
      <c r="C416" s="653"/>
      <c r="D416" s="654"/>
      <c r="E416" s="653"/>
      <c r="F416" s="38"/>
      <c r="G416" s="38"/>
      <c r="H416" s="35"/>
    </row>
    <row r="417" spans="1:8" s="42" customFormat="1" ht="23.25" x14ac:dyDescent="0.35">
      <c r="A417" s="35">
        <v>17</v>
      </c>
      <c r="B417" s="653"/>
      <c r="C417" s="656" t="str">
        <f>GSK!B1</f>
        <v>GLAXOSMITHKLINE PHARM. LTD</v>
      </c>
      <c r="D417" s="654"/>
      <c r="E417" s="653"/>
      <c r="F417" s="38"/>
      <c r="G417" s="38"/>
      <c r="H417" s="38"/>
    </row>
    <row r="418" spans="1:8" s="42" customFormat="1" ht="23.25" x14ac:dyDescent="0.35">
      <c r="A418" s="35"/>
      <c r="B418" s="653">
        <f>GSK!A6</f>
        <v>202</v>
      </c>
      <c r="C418" s="653" t="str">
        <f>GSK!B6</f>
        <v>AMOXICILLIN/CLAVULANIC ACID  228MG/5ML</v>
      </c>
      <c r="D418" s="654" t="str">
        <f>GSK!C6</f>
        <v>BOTT</v>
      </c>
      <c r="E418" s="653">
        <f>GSK!D6</f>
        <v>200</v>
      </c>
      <c r="F418" s="38">
        <f>GSK!E6</f>
        <v>638</v>
      </c>
      <c r="G418" s="38">
        <f>GSK!F6</f>
        <v>127600</v>
      </c>
      <c r="H418" s="79"/>
    </row>
    <row r="419" spans="1:8" s="42" customFormat="1" ht="18.75" x14ac:dyDescent="0.3">
      <c r="A419" s="35"/>
      <c r="B419" s="653">
        <f>GSK!A7</f>
        <v>208</v>
      </c>
      <c r="C419" s="653" t="str">
        <f>GSK!B7</f>
        <v>AMOXICILLIN/CLAVULANIC ACID 625MG TAB</v>
      </c>
      <c r="D419" s="654">
        <f>GSK!C7</f>
        <v>15</v>
      </c>
      <c r="E419" s="653">
        <f>GSK!D7</f>
        <v>2400</v>
      </c>
      <c r="F419" s="38">
        <f>GSK!E7</f>
        <v>1097.5899999999999</v>
      </c>
      <c r="G419" s="38">
        <f>GSK!F7</f>
        <v>2634216</v>
      </c>
      <c r="H419" s="38"/>
    </row>
    <row r="420" spans="1:8" s="42" customFormat="1" ht="18.75" x14ac:dyDescent="0.3">
      <c r="A420" s="35"/>
      <c r="B420" s="653">
        <f>GSK!A8</f>
        <v>231</v>
      </c>
      <c r="C420" s="653" t="str">
        <f>GSK!B8</f>
        <v>CEFUROXIME 500MG TAB</v>
      </c>
      <c r="D420" s="654">
        <f>GSK!C8</f>
        <v>10</v>
      </c>
      <c r="E420" s="653">
        <f>GSK!D8</f>
        <v>2000</v>
      </c>
      <c r="F420" s="38">
        <f>GSK!E8</f>
        <v>1694.18</v>
      </c>
      <c r="G420" s="38">
        <f>GSK!F8</f>
        <v>3388360</v>
      </c>
      <c r="H420" s="38"/>
    </row>
    <row r="421" spans="1:8" s="42" customFormat="1" ht="18.75" x14ac:dyDescent="0.3">
      <c r="A421" s="35"/>
      <c r="B421" s="653">
        <f>GSK!A9</f>
        <v>232</v>
      </c>
      <c r="C421" s="653" t="str">
        <f>GSK!B9</f>
        <v>CEFUROXIME 750MG INJ</v>
      </c>
      <c r="D421" s="654" t="str">
        <f>GSK!C9</f>
        <v>VIAL</v>
      </c>
      <c r="E421" s="653">
        <f>GSK!D9</f>
        <v>6000</v>
      </c>
      <c r="F421" s="38">
        <f>GSK!E9</f>
        <v>881.2639999999999</v>
      </c>
      <c r="G421" s="38">
        <f>GSK!F9</f>
        <v>5287583.9999999991</v>
      </c>
      <c r="H421" s="38"/>
    </row>
    <row r="422" spans="1:8" s="42" customFormat="1" ht="23.25" x14ac:dyDescent="0.35">
      <c r="A422" s="35"/>
      <c r="B422" s="653">
        <f>GSK!A10</f>
        <v>234</v>
      </c>
      <c r="C422" s="653" t="str">
        <f>GSK!B10</f>
        <v>CEFUROXIME SUSPENSION 250MG/5ML (100ML)</v>
      </c>
      <c r="D422" s="654" t="str">
        <f>GSK!C10</f>
        <v>BOTT</v>
      </c>
      <c r="E422" s="653">
        <f>GSK!D10</f>
        <v>300</v>
      </c>
      <c r="F422" s="38">
        <f>GSK!E10</f>
        <v>1097.3599999999999</v>
      </c>
      <c r="G422" s="38">
        <f>GSK!F10</f>
        <v>329207.99999999994</v>
      </c>
      <c r="H422" s="186"/>
    </row>
    <row r="423" spans="1:8" s="42" customFormat="1" ht="18.75" x14ac:dyDescent="0.3">
      <c r="A423" s="35"/>
      <c r="B423" s="653">
        <f>GSK!A11</f>
        <v>691</v>
      </c>
      <c r="C423" s="653" t="str">
        <f>GSK!B11</f>
        <v>DUTASTERIDE+TAMSULOSIN   0.5MG/0.4MG</v>
      </c>
      <c r="D423" s="654">
        <f>GSK!C11</f>
        <v>30</v>
      </c>
      <c r="E423" s="653">
        <f>GSK!D11</f>
        <v>20</v>
      </c>
      <c r="F423" s="38">
        <f>GSK!E11</f>
        <v>5493.76</v>
      </c>
      <c r="G423" s="38">
        <f>GSK!F11</f>
        <v>109875.20000000001</v>
      </c>
      <c r="H423" s="35"/>
    </row>
    <row r="424" spans="1:8" s="42" customFormat="1" ht="18.75" x14ac:dyDescent="0.3">
      <c r="A424" s="35"/>
      <c r="B424" s="653">
        <f>GSK!A12</f>
        <v>458</v>
      </c>
      <c r="C424" s="653" t="str">
        <f>GSK!B12</f>
        <v>FLUTICASONE FUROATE NASAL SPRAY</v>
      </c>
      <c r="D424" s="654" t="str">
        <f>GSK!C12</f>
        <v>PCS</v>
      </c>
      <c r="E424" s="653">
        <f>GSK!D12</f>
        <v>100</v>
      </c>
      <c r="F424" s="38">
        <f>GSK!E12</f>
        <v>1550.92</v>
      </c>
      <c r="G424" s="38">
        <f>GSK!F12</f>
        <v>155092</v>
      </c>
      <c r="H424" s="35"/>
    </row>
    <row r="425" spans="1:8" s="42" customFormat="1" ht="18.75" x14ac:dyDescent="0.3">
      <c r="A425" s="35"/>
      <c r="B425" s="653">
        <f>GSK!A13</f>
        <v>459</v>
      </c>
      <c r="C425" s="653" t="str">
        <f>GSK!B13</f>
        <v>FLUTICASONE PROPIONATE NASAL SPRAY</v>
      </c>
      <c r="D425" s="654" t="str">
        <f>GSK!C13</f>
        <v>PCS</v>
      </c>
      <c r="E425" s="653">
        <f>GSK!D13</f>
        <v>12</v>
      </c>
      <c r="F425" s="38">
        <f>GSK!E13</f>
        <v>1514.96</v>
      </c>
      <c r="G425" s="38">
        <f>GSK!F13</f>
        <v>18179.52</v>
      </c>
      <c r="H425" s="38"/>
    </row>
    <row r="426" spans="1:8" s="42" customFormat="1" ht="18.75" x14ac:dyDescent="0.3">
      <c r="A426" s="35"/>
      <c r="B426" s="653">
        <f>GSK!A14</f>
        <v>460</v>
      </c>
      <c r="C426" s="653" t="str">
        <f>GSK!B14</f>
        <v>FLUTICASONE/SALMETEROL (SERETIDE EVOHALER)</v>
      </c>
      <c r="D426" s="654" t="str">
        <f>GSK!C14</f>
        <v>PCS</v>
      </c>
      <c r="E426" s="653">
        <f>GSK!D14</f>
        <v>52</v>
      </c>
      <c r="F426" s="38">
        <f>GSK!E14</f>
        <v>1415.2</v>
      </c>
      <c r="G426" s="38">
        <f>GSK!F14</f>
        <v>73590.400000000009</v>
      </c>
      <c r="H426" s="38"/>
    </row>
    <row r="427" spans="1:8" s="42" customFormat="1" ht="18.75" x14ac:dyDescent="0.3">
      <c r="A427" s="35"/>
      <c r="B427" s="653">
        <f>GSK!A15</f>
        <v>461</v>
      </c>
      <c r="C427" s="653" t="str">
        <f>GSK!B15</f>
        <v>FLUTICASONE+SALMETEROL (ADULT)</v>
      </c>
      <c r="D427" s="654" t="str">
        <f>GSK!C15</f>
        <v>PCS</v>
      </c>
      <c r="E427" s="653">
        <f>GSK!D15</f>
        <v>60</v>
      </c>
      <c r="F427" s="38">
        <f>GSK!E15</f>
        <v>3542.64</v>
      </c>
      <c r="G427" s="38">
        <f>GSK!F15</f>
        <v>212558.4</v>
      </c>
      <c r="H427" s="38"/>
    </row>
    <row r="428" spans="1:8" s="42" customFormat="1" ht="23.25" x14ac:dyDescent="0.35">
      <c r="A428" s="35"/>
      <c r="B428" s="653">
        <f>GSK!A16</f>
        <v>465</v>
      </c>
      <c r="C428" s="653" t="str">
        <f>GSK!B16</f>
        <v>SALBUTAMOL INHALER</v>
      </c>
      <c r="D428" s="654" t="str">
        <f>GSK!C16</f>
        <v>PCS</v>
      </c>
      <c r="E428" s="653">
        <f>GSK!D16</f>
        <v>240</v>
      </c>
      <c r="F428" s="38">
        <f>GSK!E16</f>
        <v>1155.3599999999999</v>
      </c>
      <c r="G428" s="38">
        <f>GSK!F16</f>
        <v>277286.39999999997</v>
      </c>
      <c r="H428" s="186">
        <f>SUM(G418:G428)</f>
        <v>12613549.92</v>
      </c>
    </row>
    <row r="429" spans="1:8" s="42" customFormat="1" ht="18.75" x14ac:dyDescent="0.3">
      <c r="A429" s="35"/>
      <c r="B429" s="653"/>
      <c r="C429" s="653"/>
      <c r="D429" s="654"/>
      <c r="E429" s="653"/>
      <c r="F429" s="38"/>
      <c r="G429" s="38"/>
      <c r="H429" s="38"/>
    </row>
    <row r="430" spans="1:8" s="42" customFormat="1" ht="18.75" x14ac:dyDescent="0.3">
      <c r="A430" s="35"/>
      <c r="B430" s="653"/>
      <c r="C430" s="653"/>
      <c r="D430" s="654"/>
      <c r="E430" s="653"/>
      <c r="F430" s="38"/>
      <c r="G430" s="38"/>
      <c r="H430" s="38"/>
    </row>
    <row r="431" spans="1:8" s="42" customFormat="1" ht="23.25" x14ac:dyDescent="0.35">
      <c r="A431" s="35">
        <v>18</v>
      </c>
      <c r="B431" s="653"/>
      <c r="C431" s="656" t="str">
        <f>GLOBORG!B1</f>
        <v>GLOBAL ORGANICS LIMITED</v>
      </c>
      <c r="D431" s="654"/>
      <c r="E431" s="653"/>
      <c r="F431" s="38"/>
      <c r="G431" s="38"/>
      <c r="H431" s="38"/>
    </row>
    <row r="432" spans="1:8" s="42" customFormat="1" ht="18.75" x14ac:dyDescent="0.3">
      <c r="A432" s="35"/>
      <c r="B432" s="653">
        <f>GLOBORG!A6</f>
        <v>237</v>
      </c>
      <c r="C432" s="653" t="str">
        <f>GLOBORG!B6</f>
        <v>CIPROFLOXACIN INJ</v>
      </c>
      <c r="D432" s="654" t="str">
        <f>GLOBORG!C6</f>
        <v>BOTT</v>
      </c>
      <c r="E432" s="653">
        <f>GLOBORG!D6</f>
        <v>1800</v>
      </c>
      <c r="F432" s="38">
        <f>GLOBORG!E6</f>
        <v>102</v>
      </c>
      <c r="G432" s="38">
        <f>GLOBORG!F6</f>
        <v>183600</v>
      </c>
      <c r="H432" s="38"/>
    </row>
    <row r="433" spans="1:8" s="42" customFormat="1" ht="23.25" x14ac:dyDescent="0.35">
      <c r="A433" s="35"/>
      <c r="B433" s="653">
        <f>GLOBORG!A7</f>
        <v>262</v>
      </c>
      <c r="C433" s="653" t="str">
        <f>GLOBORG!B7</f>
        <v>LEVOFLOXACIN IV</v>
      </c>
      <c r="D433" s="654" t="str">
        <f>GLOBORG!C7</f>
        <v>BOTT</v>
      </c>
      <c r="E433" s="653">
        <f>GLOBORG!D7</f>
        <v>900</v>
      </c>
      <c r="F433" s="38">
        <f>GLOBORG!E7</f>
        <v>190</v>
      </c>
      <c r="G433" s="38">
        <f>GLOBORG!F7</f>
        <v>171000</v>
      </c>
      <c r="H433" s="186"/>
    </row>
    <row r="434" spans="1:8" s="42" customFormat="1" ht="18.75" x14ac:dyDescent="0.3">
      <c r="A434" s="35"/>
      <c r="B434" s="653">
        <f>GLOBORG!A8</f>
        <v>266</v>
      </c>
      <c r="C434" s="653" t="str">
        <f>GLOBORG!B8</f>
        <v xml:space="preserve">METRONIDAZOLE INJ </v>
      </c>
      <c r="D434" s="654" t="str">
        <f>GLOBORG!C8</f>
        <v>BOTT</v>
      </c>
      <c r="E434" s="653">
        <f>GLOBORG!D8</f>
        <v>30799.999999999996</v>
      </c>
      <c r="F434" s="38">
        <f>GLOBORG!E8</f>
        <v>88</v>
      </c>
      <c r="G434" s="38">
        <f>GLOBORG!F8</f>
        <v>2710399.9999999995</v>
      </c>
      <c r="H434" s="35"/>
    </row>
    <row r="435" spans="1:8" s="42" customFormat="1" ht="18.75" x14ac:dyDescent="0.3">
      <c r="A435" s="35"/>
      <c r="B435" s="653">
        <f>GLOBORG!A9</f>
        <v>440</v>
      </c>
      <c r="C435" s="653" t="str">
        <f>GLOBORG!B9</f>
        <v>OMEPRAZOLE 20MG CAP</v>
      </c>
      <c r="D435" s="654">
        <f>GLOBORG!C9</f>
        <v>14</v>
      </c>
      <c r="E435" s="653">
        <f>GLOBORG!D9</f>
        <v>8000</v>
      </c>
      <c r="F435" s="38">
        <f>GLOBORG!E9</f>
        <v>120</v>
      </c>
      <c r="G435" s="38">
        <f>GLOBORG!F9</f>
        <v>960000</v>
      </c>
      <c r="H435" s="35"/>
    </row>
    <row r="436" spans="1:8" s="42" customFormat="1" ht="23.25" x14ac:dyDescent="0.35">
      <c r="A436" s="35"/>
      <c r="B436" s="653">
        <f>GLOBORG!A10</f>
        <v>182</v>
      </c>
      <c r="C436" s="653" t="str">
        <f>GLOBORG!B10</f>
        <v>PARACETAMOL INFUSION</v>
      </c>
      <c r="D436" s="654" t="str">
        <f>GLOBORG!C10</f>
        <v>BOTT</v>
      </c>
      <c r="E436" s="653">
        <f>GLOBORG!D10</f>
        <v>15000</v>
      </c>
      <c r="F436" s="38">
        <f>GLOBORG!E10</f>
        <v>380</v>
      </c>
      <c r="G436" s="38">
        <f>GLOBORG!F10</f>
        <v>5700000</v>
      </c>
      <c r="H436" s="79"/>
    </row>
    <row r="437" spans="1:8" s="42" customFormat="1" ht="23.25" x14ac:dyDescent="0.35">
      <c r="A437" s="35"/>
      <c r="B437" s="653">
        <f>GLOBORG!A11</f>
        <v>33</v>
      </c>
      <c r="C437" s="653" t="str">
        <f>GLOBORG!B11</f>
        <v>STERILE WATER FOR INJECTION</v>
      </c>
      <c r="D437" s="654">
        <f>GLOBORG!C11</f>
        <v>50</v>
      </c>
      <c r="E437" s="653">
        <f>GLOBORG!D11</f>
        <v>2000</v>
      </c>
      <c r="F437" s="38">
        <f>GLOBORG!E11</f>
        <v>750</v>
      </c>
      <c r="G437" s="38">
        <f>GLOBORG!F11</f>
        <v>1500000</v>
      </c>
      <c r="H437" s="186">
        <f>SUM(G432:G437)</f>
        <v>11225000</v>
      </c>
    </row>
    <row r="438" spans="1:8" s="42" customFormat="1" ht="18.75" x14ac:dyDescent="0.3">
      <c r="A438" s="35"/>
      <c r="B438" s="653"/>
      <c r="C438" s="653"/>
      <c r="D438" s="654"/>
      <c r="E438" s="653"/>
      <c r="F438" s="38"/>
      <c r="G438" s="38"/>
      <c r="H438" s="38"/>
    </row>
    <row r="439" spans="1:8" s="42" customFormat="1" ht="18.75" x14ac:dyDescent="0.3">
      <c r="A439" s="35"/>
      <c r="B439" s="653"/>
      <c r="C439" s="653"/>
      <c r="D439" s="654"/>
      <c r="E439" s="653"/>
      <c r="F439" s="38"/>
      <c r="G439" s="38"/>
      <c r="H439" s="38"/>
    </row>
    <row r="440" spans="1:8" s="42" customFormat="1" ht="23.25" x14ac:dyDescent="0.35">
      <c r="A440" s="35">
        <v>19</v>
      </c>
      <c r="B440" s="653"/>
      <c r="C440" s="656" t="str">
        <f>GREENLIFE!B1</f>
        <v>GREENLIFE PHARMACEUTICALS LIMITED</v>
      </c>
      <c r="D440" s="654"/>
      <c r="E440" s="653"/>
      <c r="F440" s="38"/>
      <c r="G440" s="38"/>
      <c r="H440" s="38"/>
    </row>
    <row r="441" spans="1:8" s="42" customFormat="1" ht="23.25" x14ac:dyDescent="0.35">
      <c r="A441" s="35"/>
      <c r="B441" s="653">
        <f>GREENLIFE!A6</f>
        <v>202</v>
      </c>
      <c r="C441" s="653" t="str">
        <f>GREENLIFE!B6</f>
        <v>AMOXICILLIN/CLAVULANIC ACID  228MG/5ML</v>
      </c>
      <c r="D441" s="654" t="str">
        <f>GREENLIFE!C6</f>
        <v>BOTT</v>
      </c>
      <c r="E441" s="653">
        <f>GREENLIFE!D6</f>
        <v>400</v>
      </c>
      <c r="F441" s="38">
        <f>GREENLIFE!E6</f>
        <v>450</v>
      </c>
      <c r="G441" s="38">
        <f>GREENLIFE!F6</f>
        <v>180000</v>
      </c>
      <c r="H441" s="186"/>
    </row>
    <row r="442" spans="1:8" s="42" customFormat="1" ht="18.75" x14ac:dyDescent="0.3">
      <c r="A442" s="35"/>
      <c r="B442" s="653">
        <f>GREENLIFE!A7</f>
        <v>10</v>
      </c>
      <c r="C442" s="653" t="str">
        <f>GREENLIFE!B7</f>
        <v>ARTESUNATE 60MG INJ</v>
      </c>
      <c r="D442" s="654">
        <f>GREENLIFE!C7</f>
        <v>6</v>
      </c>
      <c r="E442" s="653">
        <f>GREENLIFE!D7</f>
        <v>525</v>
      </c>
      <c r="F442" s="38">
        <f>GREENLIFE!E7</f>
        <v>450</v>
      </c>
      <c r="G442" s="38">
        <f>GREENLIFE!F7</f>
        <v>236250</v>
      </c>
      <c r="H442" s="35"/>
    </row>
    <row r="443" spans="1:8" s="42" customFormat="1" ht="18.75" x14ac:dyDescent="0.3">
      <c r="A443" s="35"/>
      <c r="B443" s="653">
        <f>GREENLIFE!A8</f>
        <v>293</v>
      </c>
      <c r="C443" s="653" t="str">
        <f>GREENLIFE!B8</f>
        <v>CALCIUM LACTATE 300MG TAB</v>
      </c>
      <c r="D443" s="654">
        <f>GREENLIFE!C8</f>
        <v>1000</v>
      </c>
      <c r="E443" s="653">
        <f>GREENLIFE!D8</f>
        <v>50</v>
      </c>
      <c r="F443" s="38">
        <f>GREENLIFE!E8</f>
        <v>750</v>
      </c>
      <c r="G443" s="38">
        <f>GREENLIFE!F8</f>
        <v>37500</v>
      </c>
      <c r="H443" s="35"/>
    </row>
    <row r="444" spans="1:8" s="42" customFormat="1" ht="18.75" x14ac:dyDescent="0.3">
      <c r="A444" s="35"/>
      <c r="B444" s="653">
        <f>GREENLIFE!A9</f>
        <v>220</v>
      </c>
      <c r="C444" s="653" t="str">
        <f>GREENLIFE!B9</f>
        <v>CEFIXIME 200MG TAB</v>
      </c>
      <c r="D444" s="654">
        <f>GREENLIFE!C9</f>
        <v>10</v>
      </c>
      <c r="E444" s="653">
        <f>GREENLIFE!D9</f>
        <v>400</v>
      </c>
      <c r="F444" s="38">
        <f>GREENLIFE!E9</f>
        <v>550</v>
      </c>
      <c r="G444" s="38">
        <f>GREENLIFE!F9</f>
        <v>220000</v>
      </c>
      <c r="H444" s="38"/>
    </row>
    <row r="445" spans="1:8" s="42" customFormat="1" ht="18.75" x14ac:dyDescent="0.3">
      <c r="A445" s="35"/>
      <c r="B445" s="653">
        <f>GREENLIFE!A10</f>
        <v>296</v>
      </c>
      <c r="C445" s="653" t="str">
        <f>GREENLIFE!B10</f>
        <v>CHYMOTRYPSIN/TRYPSIN</v>
      </c>
      <c r="D445" s="654">
        <f>GREENLIFE!C10</f>
        <v>30</v>
      </c>
      <c r="E445" s="653">
        <f>GREENLIFE!D10</f>
        <v>400</v>
      </c>
      <c r="F445" s="38">
        <f>GREENLIFE!E10</f>
        <v>220</v>
      </c>
      <c r="G445" s="38">
        <f>GREENLIFE!F10</f>
        <v>88000</v>
      </c>
      <c r="H445" s="38"/>
    </row>
    <row r="446" spans="1:8" s="42" customFormat="1" ht="18.75" x14ac:dyDescent="0.3">
      <c r="A446" s="35"/>
      <c r="B446" s="653">
        <f>GREENLIFE!A11</f>
        <v>658</v>
      </c>
      <c r="C446" s="653" t="str">
        <f>GREENLIFE!B11</f>
        <v>CLOBESTASOL 0.05% CREAM</v>
      </c>
      <c r="D446" s="654" t="str">
        <f>GREENLIFE!C11</f>
        <v>TUBE</v>
      </c>
      <c r="E446" s="653">
        <f>GREENLIFE!D11</f>
        <v>20</v>
      </c>
      <c r="F446" s="38">
        <f>GREENLIFE!E11</f>
        <v>170</v>
      </c>
      <c r="G446" s="38">
        <f>GREENLIFE!F11</f>
        <v>3400</v>
      </c>
      <c r="H446" s="38"/>
    </row>
    <row r="447" spans="1:8" s="42" customFormat="1" ht="18.75" x14ac:dyDescent="0.3">
      <c r="A447" s="35"/>
      <c r="B447" s="653">
        <f>GREENLIFE!A12</f>
        <v>156</v>
      </c>
      <c r="C447" s="653" t="str">
        <f>GREENLIFE!B12</f>
        <v xml:space="preserve">DICLOFENAC/METHYL SALICYLATE CREAM </v>
      </c>
      <c r="D447" s="654" t="str">
        <f>GREENLIFE!C12</f>
        <v>TUBE</v>
      </c>
      <c r="E447" s="653">
        <f>GREENLIFE!D12</f>
        <v>1600</v>
      </c>
      <c r="F447" s="38">
        <f>GREENLIFE!E12</f>
        <v>190</v>
      </c>
      <c r="G447" s="38">
        <f>GREENLIFE!F12</f>
        <v>304000</v>
      </c>
      <c r="H447" s="38"/>
    </row>
    <row r="448" spans="1:8" s="42" customFormat="1" ht="18.75" x14ac:dyDescent="0.3">
      <c r="A448" s="35"/>
      <c r="B448" s="653">
        <f>GREENLIFE!A13</f>
        <v>320</v>
      </c>
      <c r="C448" s="653" t="str">
        <f>GREENLIFE!B13</f>
        <v>ORAL REHYDRATION SALT</v>
      </c>
      <c r="D448" s="654">
        <f>GREENLIFE!C13</f>
        <v>3</v>
      </c>
      <c r="E448" s="653">
        <f>GREENLIFE!D13</f>
        <v>2000</v>
      </c>
      <c r="F448" s="38">
        <f>GREENLIFE!E13</f>
        <v>107</v>
      </c>
      <c r="G448" s="38">
        <f>GREENLIFE!F13</f>
        <v>214000</v>
      </c>
      <c r="H448" s="38"/>
    </row>
    <row r="449" spans="1:8" s="42" customFormat="1" ht="18.75" x14ac:dyDescent="0.3">
      <c r="A449" s="35"/>
      <c r="B449" s="653">
        <f>GREENLIFE!A14</f>
        <v>179</v>
      </c>
      <c r="C449" s="653" t="str">
        <f>GREENLIFE!B14</f>
        <v>PARACETAMOL 125MG SUPPOSITORY</v>
      </c>
      <c r="D449" s="654">
        <f>GREENLIFE!C14</f>
        <v>10</v>
      </c>
      <c r="E449" s="653">
        <f>GREENLIFE!D14</f>
        <v>10000</v>
      </c>
      <c r="F449" s="38">
        <f>GREENLIFE!E14</f>
        <v>600</v>
      </c>
      <c r="G449" s="38">
        <f>GREENLIFE!F14</f>
        <v>6000000</v>
      </c>
      <c r="H449" s="38"/>
    </row>
    <row r="450" spans="1:8" s="42" customFormat="1" ht="18.75" x14ac:dyDescent="0.3">
      <c r="A450" s="35"/>
      <c r="B450" s="653">
        <f>GREENLIFE!A15</f>
        <v>180</v>
      </c>
      <c r="C450" s="653" t="str">
        <f>GREENLIFE!B15</f>
        <v>PARACETAMOL 250MG SUPPOSITORY</v>
      </c>
      <c r="D450" s="654">
        <f>GREENLIFE!C15</f>
        <v>10</v>
      </c>
      <c r="E450" s="653">
        <f>GREENLIFE!D15</f>
        <v>10000</v>
      </c>
      <c r="F450" s="38">
        <f>GREENLIFE!E15</f>
        <v>650</v>
      </c>
      <c r="G450" s="38">
        <f>GREENLIFE!F15</f>
        <v>6500000</v>
      </c>
      <c r="H450" s="38"/>
    </row>
    <row r="451" spans="1:8" s="42" customFormat="1" ht="23.25" x14ac:dyDescent="0.35">
      <c r="A451" s="35"/>
      <c r="B451" s="653">
        <f>GREENLIFE!A16</f>
        <v>280</v>
      </c>
      <c r="C451" s="653" t="str">
        <f>GREENLIFE!B16</f>
        <v>SECNIDAZOLE 500MG TAB</v>
      </c>
      <c r="D451" s="654">
        <f>GREENLIFE!C16</f>
        <v>4</v>
      </c>
      <c r="E451" s="653">
        <f>GREENLIFE!D16</f>
        <v>60</v>
      </c>
      <c r="F451" s="38">
        <f>GREENLIFE!E16</f>
        <v>100</v>
      </c>
      <c r="G451" s="38">
        <f>GREENLIFE!F16</f>
        <v>6000</v>
      </c>
      <c r="H451" s="186">
        <f>SUM(G441:G451)</f>
        <v>13789150</v>
      </c>
    </row>
    <row r="452" spans="1:8" s="42" customFormat="1" ht="18.75" x14ac:dyDescent="0.3">
      <c r="A452" s="35"/>
      <c r="B452" s="653"/>
      <c r="C452" s="653"/>
      <c r="D452" s="654"/>
      <c r="E452" s="653"/>
      <c r="F452" s="38"/>
      <c r="G452" s="38"/>
      <c r="H452" s="38"/>
    </row>
    <row r="453" spans="1:8" s="42" customFormat="1" ht="18.75" x14ac:dyDescent="0.3">
      <c r="A453" s="35"/>
      <c r="B453" s="653"/>
      <c r="C453" s="653"/>
      <c r="D453" s="654"/>
      <c r="E453" s="653"/>
      <c r="F453" s="38"/>
      <c r="G453" s="38"/>
      <c r="H453" s="38"/>
    </row>
    <row r="454" spans="1:8" s="42" customFormat="1" ht="23.25" x14ac:dyDescent="0.35">
      <c r="A454" s="35">
        <v>20</v>
      </c>
      <c r="B454" s="653"/>
      <c r="C454" s="656" t="str">
        <f>HLINE!B1</f>
        <v>HEALTHLINE PHARMACEUTICALS LIMITED</v>
      </c>
      <c r="D454" s="654"/>
      <c r="E454" s="653"/>
      <c r="F454" s="38"/>
      <c r="G454" s="38"/>
      <c r="H454" s="38"/>
    </row>
    <row r="455" spans="1:8" s="42" customFormat="1" ht="18.75" x14ac:dyDescent="0.3">
      <c r="A455" s="35"/>
      <c r="B455" s="653">
        <f>HLINE!A6</f>
        <v>142</v>
      </c>
      <c r="C455" s="653" t="str">
        <f>HLINE!B6</f>
        <v xml:space="preserve">ACECLOFENAC 100MG </v>
      </c>
      <c r="D455" s="654">
        <f>HLINE!C6</f>
        <v>30</v>
      </c>
      <c r="E455" s="653">
        <f>HLINE!D6</f>
        <v>50</v>
      </c>
      <c r="F455" s="38">
        <f>HLINE!E6</f>
        <v>200</v>
      </c>
      <c r="G455" s="38">
        <f>HLINE!F6</f>
        <v>10000</v>
      </c>
      <c r="H455" s="38"/>
    </row>
    <row r="456" spans="1:8" s="42" customFormat="1" ht="18.75" x14ac:dyDescent="0.3">
      <c r="A456" s="35"/>
      <c r="B456" s="653">
        <f>HLINE!A7</f>
        <v>78</v>
      </c>
      <c r="C456" s="653" t="str">
        <f>HLINE!B7</f>
        <v>LOSARTAN 50MG</v>
      </c>
      <c r="D456" s="654">
        <f>HLINE!C7</f>
        <v>30</v>
      </c>
      <c r="E456" s="653">
        <f>HLINE!D7</f>
        <v>1680</v>
      </c>
      <c r="F456" s="38">
        <f>HLINE!E7</f>
        <v>550</v>
      </c>
      <c r="G456" s="38">
        <f>HLINE!F7</f>
        <v>924000</v>
      </c>
      <c r="H456" s="38"/>
    </row>
    <row r="457" spans="1:8" s="42" customFormat="1" ht="18.75" x14ac:dyDescent="0.3">
      <c r="A457" s="35"/>
      <c r="B457" s="653">
        <f>HLINE!A8</f>
        <v>79</v>
      </c>
      <c r="C457" s="653" t="str">
        <f>HLINE!B8</f>
        <v xml:space="preserve">LOSARTAN 50MG/ HCT 12.5MG </v>
      </c>
      <c r="D457" s="654">
        <f>HLINE!C8</f>
        <v>30</v>
      </c>
      <c r="E457" s="653">
        <f>HLINE!D8</f>
        <v>100</v>
      </c>
      <c r="F457" s="38">
        <f>HLINE!E8</f>
        <v>800</v>
      </c>
      <c r="G457" s="38">
        <f>HLINE!F8</f>
        <v>80000</v>
      </c>
      <c r="H457" s="38"/>
    </row>
    <row r="458" spans="1:8" s="42" customFormat="1" ht="18.75" x14ac:dyDescent="0.3">
      <c r="A458" s="35"/>
      <c r="B458" s="653">
        <f>HLINE!A9</f>
        <v>661</v>
      </c>
      <c r="C458" s="653" t="str">
        <f>HLINE!B9</f>
        <v>MUPIROCIN CREAM</v>
      </c>
      <c r="D458" s="654" t="str">
        <f>HLINE!C9</f>
        <v>TUBE</v>
      </c>
      <c r="E458" s="653">
        <f>HLINE!D9</f>
        <v>20</v>
      </c>
      <c r="F458" s="38">
        <f>HLINE!E9</f>
        <v>1200</v>
      </c>
      <c r="G458" s="38">
        <f>HLINE!F9</f>
        <v>24000</v>
      </c>
      <c r="H458" s="38"/>
    </row>
    <row r="459" spans="1:8" s="42" customFormat="1" ht="23.25" x14ac:dyDescent="0.35">
      <c r="A459" s="35"/>
      <c r="B459" s="653">
        <f>HLINE!A10</f>
        <v>103</v>
      </c>
      <c r="C459" s="653" t="str">
        <f>HLINE!B10</f>
        <v>S-AMLODIPINE 2.5MG TAB</v>
      </c>
      <c r="D459" s="654">
        <f>HLINE!C10</f>
        <v>30</v>
      </c>
      <c r="E459" s="653">
        <f>HLINE!D10</f>
        <v>5</v>
      </c>
      <c r="F459" s="38">
        <f>HLINE!E10</f>
        <v>600</v>
      </c>
      <c r="G459" s="38">
        <f>HLINE!F10</f>
        <v>3000</v>
      </c>
      <c r="H459" s="186"/>
    </row>
    <row r="460" spans="1:8" s="42" customFormat="1" ht="18.75" x14ac:dyDescent="0.3">
      <c r="A460" s="35"/>
      <c r="B460" s="653">
        <f>HLINE!A11</f>
        <v>331</v>
      </c>
      <c r="C460" s="653" t="str">
        <f>HLINE!B11</f>
        <v>TRANEXAMIC ACID 500MG CAP</v>
      </c>
      <c r="D460" s="654">
        <f>HLINE!C11</f>
        <v>30</v>
      </c>
      <c r="E460" s="653">
        <f>HLINE!D11</f>
        <v>100</v>
      </c>
      <c r="F460" s="38">
        <f>HLINE!E11</f>
        <v>2500</v>
      </c>
      <c r="G460" s="38">
        <f>HLINE!F11</f>
        <v>250000</v>
      </c>
      <c r="H460" s="35"/>
    </row>
    <row r="461" spans="1:8" s="42" customFormat="1" ht="23.25" x14ac:dyDescent="0.35">
      <c r="A461" s="35"/>
      <c r="B461" s="653">
        <f>HLINE!A12</f>
        <v>566</v>
      </c>
      <c r="C461" s="653" t="str">
        <f>HLINE!B12</f>
        <v>TRASTUZUMAB 440MG INJ</v>
      </c>
      <c r="D461" s="654" t="str">
        <f>HLINE!C12</f>
        <v>AMP</v>
      </c>
      <c r="E461" s="653">
        <f>HLINE!D12</f>
        <v>10</v>
      </c>
      <c r="F461" s="38">
        <f>HLINE!E12</f>
        <v>200000</v>
      </c>
      <c r="G461" s="38">
        <f>HLINE!F12</f>
        <v>2000000</v>
      </c>
      <c r="H461" s="186">
        <f>SUM(G455:G461)</f>
        <v>3291000</v>
      </c>
    </row>
    <row r="462" spans="1:8" s="42" customFormat="1" ht="18.75" x14ac:dyDescent="0.3">
      <c r="A462" s="35"/>
      <c r="B462" s="653"/>
      <c r="C462" s="653"/>
      <c r="D462" s="654"/>
      <c r="E462" s="653"/>
      <c r="F462" s="38"/>
      <c r="G462" s="38"/>
      <c r="H462" s="35"/>
    </row>
    <row r="463" spans="1:8" s="42" customFormat="1" ht="18.75" x14ac:dyDescent="0.3">
      <c r="A463" s="35"/>
      <c r="B463" s="653"/>
      <c r="C463" s="653"/>
      <c r="D463" s="654"/>
      <c r="E463" s="653"/>
      <c r="F463" s="38"/>
      <c r="G463" s="38"/>
      <c r="H463" s="38"/>
    </row>
    <row r="464" spans="1:8" s="42" customFormat="1" ht="23.25" x14ac:dyDescent="0.35">
      <c r="A464" s="35">
        <v>21</v>
      </c>
      <c r="B464" s="653"/>
      <c r="C464" s="656" t="str">
        <f>ROTECH!B1</f>
        <v>INTER-ROTECH NIGERIA LIMITED</v>
      </c>
      <c r="D464" s="654"/>
      <c r="E464" s="653"/>
      <c r="F464" s="38"/>
      <c r="G464" s="38"/>
      <c r="H464" s="38"/>
    </row>
    <row r="465" spans="1:8" s="42" customFormat="1" ht="18.75" x14ac:dyDescent="0.3">
      <c r="A465" s="35"/>
      <c r="B465" s="653">
        <f>ROTECH!A6</f>
        <v>572</v>
      </c>
      <c r="C465" s="653" t="str">
        <f>ROTECH!B6</f>
        <v>21G NEEDLE</v>
      </c>
      <c r="D465" s="654">
        <f>ROTECH!C6</f>
        <v>100</v>
      </c>
      <c r="E465" s="653">
        <f>ROTECH!D6</f>
        <v>10</v>
      </c>
      <c r="F465" s="38">
        <f>ROTECH!E6</f>
        <v>310</v>
      </c>
      <c r="G465" s="38">
        <f>ROTECH!F6</f>
        <v>3100</v>
      </c>
      <c r="H465" s="38"/>
    </row>
    <row r="466" spans="1:8" s="42" customFormat="1" ht="18.75" x14ac:dyDescent="0.3">
      <c r="A466" s="35"/>
      <c r="B466" s="653">
        <f>ROTECH!A7</f>
        <v>573</v>
      </c>
      <c r="C466" s="653" t="str">
        <f>ROTECH!B7</f>
        <v>23G NEEDLE</v>
      </c>
      <c r="D466" s="654">
        <f>ROTECH!C7</f>
        <v>100</v>
      </c>
      <c r="E466" s="653">
        <f>ROTECH!D7</f>
        <v>300</v>
      </c>
      <c r="F466" s="38">
        <f>ROTECH!E7</f>
        <v>310</v>
      </c>
      <c r="G466" s="38">
        <f>ROTECH!F7</f>
        <v>93000</v>
      </c>
      <c r="H466" s="38"/>
    </row>
    <row r="467" spans="1:8" s="42" customFormat="1" ht="18.75" x14ac:dyDescent="0.3">
      <c r="A467" s="35"/>
      <c r="B467" s="653">
        <f>ROTECH!A8</f>
        <v>577</v>
      </c>
      <c r="C467" s="653" t="str">
        <f>ROTECH!B8</f>
        <v xml:space="preserve">50CC NEEDLE/SYRINGE </v>
      </c>
      <c r="D467" s="654">
        <f>ROTECH!C8</f>
        <v>100</v>
      </c>
      <c r="E467" s="653">
        <f>ROTECH!D8</f>
        <v>100</v>
      </c>
      <c r="F467" s="38">
        <f>ROTECH!E8</f>
        <v>17000</v>
      </c>
      <c r="G467" s="38">
        <f>ROTECH!F8</f>
        <v>1700000</v>
      </c>
      <c r="H467" s="38"/>
    </row>
    <row r="468" spans="1:8" s="42" customFormat="1" ht="23.25" x14ac:dyDescent="0.35">
      <c r="A468" s="35"/>
      <c r="B468" s="653">
        <f>ROTECH!A9</f>
        <v>591</v>
      </c>
      <c r="C468" s="653" t="str">
        <f>ROTECH!B9</f>
        <v>ELASTIC BANDAGE 4"</v>
      </c>
      <c r="D468" s="654">
        <f>ROTECH!C9</f>
        <v>12</v>
      </c>
      <c r="E468" s="653">
        <f>ROTECH!D9</f>
        <v>100</v>
      </c>
      <c r="F468" s="38">
        <f>ROTECH!E9</f>
        <v>978</v>
      </c>
      <c r="G468" s="38">
        <f>ROTECH!F9</f>
        <v>97800</v>
      </c>
      <c r="H468" s="186"/>
    </row>
    <row r="469" spans="1:8" s="42" customFormat="1" ht="18.75" x14ac:dyDescent="0.3">
      <c r="A469" s="35"/>
      <c r="B469" s="653">
        <f>ROTECH!A10</f>
        <v>592</v>
      </c>
      <c r="C469" s="653" t="str">
        <f>ROTECH!B10</f>
        <v>ELASTIC BANDAGE 6"</v>
      </c>
      <c r="D469" s="654">
        <f>ROTECH!C10</f>
        <v>12</v>
      </c>
      <c r="E469" s="653">
        <f>ROTECH!D10</f>
        <v>400</v>
      </c>
      <c r="F469" s="38">
        <f>ROTECH!E10</f>
        <v>1243</v>
      </c>
      <c r="G469" s="38">
        <f>ROTECH!F10</f>
        <v>497200</v>
      </c>
      <c r="H469" s="35"/>
    </row>
    <row r="470" spans="1:8" s="42" customFormat="1" ht="18.75" x14ac:dyDescent="0.3">
      <c r="A470" s="35"/>
      <c r="B470" s="653">
        <f>ROTECH!A11</f>
        <v>608</v>
      </c>
      <c r="C470" s="653" t="str">
        <f>ROTECH!B11</f>
        <v>MUCUS EXRACTOR</v>
      </c>
      <c r="D470" s="654">
        <f>ROTECH!C11</f>
        <v>25</v>
      </c>
      <c r="E470" s="653">
        <f>ROTECH!D11</f>
        <v>60</v>
      </c>
      <c r="F470" s="38">
        <f>ROTECH!E11</f>
        <v>2220</v>
      </c>
      <c r="G470" s="38">
        <f>ROTECH!F11</f>
        <v>133200</v>
      </c>
      <c r="H470" s="35"/>
    </row>
    <row r="471" spans="1:8" s="42" customFormat="1" ht="18.75" x14ac:dyDescent="0.3">
      <c r="A471" s="35"/>
      <c r="B471" s="653">
        <f>ROTECH!A12</f>
        <v>620</v>
      </c>
      <c r="C471" s="653" t="str">
        <f>ROTECH!B12</f>
        <v>NYLON DRUG ENVELOPE</v>
      </c>
      <c r="D471" s="654">
        <f>ROTECH!C12</f>
        <v>250</v>
      </c>
      <c r="E471" s="653">
        <f>ROTECH!D12</f>
        <v>8</v>
      </c>
      <c r="F471" s="38">
        <f>ROTECH!E12</f>
        <v>15540</v>
      </c>
      <c r="G471" s="38">
        <f>ROTECH!F12</f>
        <v>124320</v>
      </c>
      <c r="H471" s="35"/>
    </row>
    <row r="472" spans="1:8" s="42" customFormat="1" ht="23.25" x14ac:dyDescent="0.35">
      <c r="A472" s="35"/>
      <c r="B472" s="653">
        <f>ROTECH!A13</f>
        <v>637</v>
      </c>
      <c r="C472" s="653" t="str">
        <f>ROTECH!B13</f>
        <v>SOFRATULLE</v>
      </c>
      <c r="D472" s="654">
        <f>ROTECH!C13</f>
        <v>100</v>
      </c>
      <c r="E472" s="653">
        <f>ROTECH!D13</f>
        <v>32</v>
      </c>
      <c r="F472" s="38">
        <f>ROTECH!E13</f>
        <v>5520</v>
      </c>
      <c r="G472" s="38">
        <f>ROTECH!F13</f>
        <v>176640</v>
      </c>
      <c r="H472" s="79"/>
    </row>
    <row r="473" spans="1:8" s="42" customFormat="1" ht="18.75" x14ac:dyDescent="0.3">
      <c r="A473" s="35"/>
      <c r="B473" s="653">
        <f>ROTECH!A14</f>
        <v>639</v>
      </c>
      <c r="C473" s="653" t="str">
        <f>ROTECH!B14</f>
        <v>SOLUSET La MED</v>
      </c>
      <c r="D473" s="654">
        <f>ROTECH!C14</f>
        <v>50</v>
      </c>
      <c r="E473" s="653">
        <f>ROTECH!D14</f>
        <v>20</v>
      </c>
      <c r="F473" s="38">
        <f>ROTECH!E14</f>
        <v>25200</v>
      </c>
      <c r="G473" s="38">
        <f>ROTECH!F14</f>
        <v>504000</v>
      </c>
      <c r="H473" s="38"/>
    </row>
    <row r="474" spans="1:8" s="42" customFormat="1" ht="23.25" x14ac:dyDescent="0.35">
      <c r="A474" s="35"/>
      <c r="B474" s="653">
        <f>ROTECH!A15</f>
        <v>649</v>
      </c>
      <c r="C474" s="653" t="str">
        <f>ROTECH!B15</f>
        <v>URINE BAG</v>
      </c>
      <c r="D474" s="654">
        <f>ROTECH!C15</f>
        <v>10</v>
      </c>
      <c r="E474" s="653">
        <f>ROTECH!D15</f>
        <v>600</v>
      </c>
      <c r="F474" s="38">
        <f>ROTECH!E15</f>
        <v>715</v>
      </c>
      <c r="G474" s="38">
        <f>ROTECH!F15</f>
        <v>429000</v>
      </c>
      <c r="H474" s="186">
        <f>SUM(G465:G474)</f>
        <v>3758260</v>
      </c>
    </row>
    <row r="475" spans="1:8" s="42" customFormat="1" ht="23.25" x14ac:dyDescent="0.35">
      <c r="A475" s="35"/>
      <c r="B475" s="653"/>
      <c r="C475" s="653"/>
      <c r="D475" s="654"/>
      <c r="E475" s="653"/>
      <c r="F475" s="38"/>
      <c r="G475" s="38"/>
      <c r="H475" s="186"/>
    </row>
    <row r="476" spans="1:8" s="42" customFormat="1" ht="18.75" x14ac:dyDescent="0.3">
      <c r="A476" s="35"/>
      <c r="B476" s="653"/>
      <c r="C476" s="653"/>
      <c r="D476" s="654"/>
      <c r="E476" s="653"/>
      <c r="F476" s="38"/>
      <c r="G476" s="38"/>
      <c r="H476" s="35"/>
    </row>
    <row r="477" spans="1:8" s="42" customFormat="1" ht="23.25" x14ac:dyDescent="0.35">
      <c r="A477" s="35">
        <v>22</v>
      </c>
      <c r="B477" s="653"/>
      <c r="C477" s="656" t="str">
        <f>ISN!B1</f>
        <v>ISN PRODUCTS NIGERIA LIMITED</v>
      </c>
      <c r="D477" s="654"/>
      <c r="E477" s="653"/>
      <c r="F477" s="38"/>
      <c r="G477" s="38"/>
      <c r="H477" s="35"/>
    </row>
    <row r="478" spans="1:8" s="42" customFormat="1" ht="18.75" x14ac:dyDescent="0.3">
      <c r="A478" s="35"/>
      <c r="B478" s="653">
        <f>ISN!A6</f>
        <v>123</v>
      </c>
      <c r="C478" s="653" t="str">
        <f>ISN!B6</f>
        <v>GLUCOMETER  (ACCU-CHEK) ACTIVE</v>
      </c>
      <c r="D478" s="654" t="str">
        <f>ISN!C6</f>
        <v>PC</v>
      </c>
      <c r="E478" s="653">
        <f>ISN!D6</f>
        <v>200</v>
      </c>
      <c r="F478" s="38">
        <f>ISN!E6</f>
        <v>6500</v>
      </c>
      <c r="G478" s="38">
        <f>ISN!F6</f>
        <v>1300000</v>
      </c>
    </row>
    <row r="479" spans="1:8" s="42" customFormat="1" ht="23.25" x14ac:dyDescent="0.35">
      <c r="A479" s="35"/>
      <c r="B479" s="653">
        <f>ISN!A7</f>
        <v>123</v>
      </c>
      <c r="C479" s="653" t="str">
        <f>ISN!B7</f>
        <v>ACCU-CHEK STRIPS x25</v>
      </c>
      <c r="D479" s="654">
        <f>ISN!C7</f>
        <v>25</v>
      </c>
      <c r="E479" s="653">
        <f>ISN!D7</f>
        <v>200</v>
      </c>
      <c r="F479" s="38">
        <f>ISN!E7</f>
        <v>2400</v>
      </c>
      <c r="G479" s="38">
        <f>ISN!F7</f>
        <v>480000</v>
      </c>
      <c r="H479" s="186"/>
    </row>
    <row r="480" spans="1:8" s="42" customFormat="1" ht="23.25" x14ac:dyDescent="0.35">
      <c r="A480" s="35"/>
      <c r="B480" s="653">
        <f>ISN!A8</f>
        <v>123</v>
      </c>
      <c r="C480" s="653" t="str">
        <f>ISN!B8</f>
        <v>ACCU-CHEK STRIPS x50</v>
      </c>
      <c r="D480" s="654">
        <f>ISN!C8</f>
        <v>50</v>
      </c>
      <c r="E480" s="653">
        <f>ISN!D8</f>
        <v>200</v>
      </c>
      <c r="F480" s="38">
        <f>ISN!E8</f>
        <v>4000</v>
      </c>
      <c r="G480" s="38">
        <f>ISN!F8</f>
        <v>800000</v>
      </c>
      <c r="H480" s="186"/>
    </row>
    <row r="481" spans="1:8" s="42" customFormat="1" ht="23.25" x14ac:dyDescent="0.35">
      <c r="A481" s="35"/>
      <c r="B481" s="653">
        <f>ISN!A9</f>
        <v>123</v>
      </c>
      <c r="C481" s="653" t="str">
        <f>ISN!B9</f>
        <v>ACCU-CHEK SAFE T PRO UNO LANCETS</v>
      </c>
      <c r="D481" s="654">
        <f>ISN!C9</f>
        <v>200</v>
      </c>
      <c r="E481" s="653">
        <f>ISN!D9</f>
        <v>400</v>
      </c>
      <c r="F481" s="38">
        <f>ISN!E9</f>
        <v>5500</v>
      </c>
      <c r="G481" s="38">
        <f>ISN!F9</f>
        <v>2200000</v>
      </c>
      <c r="H481" s="186"/>
    </row>
    <row r="482" spans="1:8" s="42" customFormat="1" ht="23.25" x14ac:dyDescent="0.35">
      <c r="A482" s="35"/>
      <c r="B482" s="653">
        <f>ISN!A10</f>
        <v>123</v>
      </c>
      <c r="C482" s="653" t="str">
        <f>ISN!B10</f>
        <v>ACCU-CHEK SOFT CLIX LANCETS</v>
      </c>
      <c r="D482" s="654">
        <f>ISN!C10</f>
        <v>200</v>
      </c>
      <c r="E482" s="653">
        <f>ISN!D10</f>
        <v>200</v>
      </c>
      <c r="F482" s="38">
        <f>ISN!E10</f>
        <v>3800</v>
      </c>
      <c r="G482" s="38">
        <f>ISN!F10</f>
        <v>760000</v>
      </c>
      <c r="H482" s="186"/>
    </row>
    <row r="483" spans="1:8" s="42" customFormat="1" ht="23.25" x14ac:dyDescent="0.35">
      <c r="A483" s="35"/>
      <c r="B483" s="653">
        <f>ISN!A11</f>
        <v>123</v>
      </c>
      <c r="C483" s="653" t="str">
        <f>ISN!B11</f>
        <v>ACCU-CHEK SOFT CLIX LANCETS</v>
      </c>
      <c r="D483" s="654">
        <f>ISN!C11</f>
        <v>25</v>
      </c>
      <c r="E483" s="653">
        <f>ISN!D11</f>
        <v>200</v>
      </c>
      <c r="F483" s="38">
        <f>ISN!E11</f>
        <v>1000</v>
      </c>
      <c r="G483" s="38">
        <f>ISN!F11</f>
        <v>200000</v>
      </c>
      <c r="H483" s="186">
        <f>SUM(G478:G483)</f>
        <v>5740000</v>
      </c>
    </row>
    <row r="484" spans="1:8" s="42" customFormat="1" ht="23.25" x14ac:dyDescent="0.35">
      <c r="A484" s="35"/>
      <c r="B484" s="653"/>
      <c r="C484" s="653"/>
      <c r="D484" s="654"/>
      <c r="E484" s="653"/>
      <c r="F484" s="38"/>
      <c r="G484" s="38"/>
      <c r="H484" s="186"/>
    </row>
    <row r="485" spans="1:8" s="42" customFormat="1" ht="23.25" x14ac:dyDescent="0.35">
      <c r="A485" s="35"/>
      <c r="B485" s="653"/>
      <c r="C485" s="653"/>
      <c r="D485" s="654"/>
      <c r="E485" s="653"/>
      <c r="F485" s="38"/>
      <c r="G485" s="38"/>
      <c r="H485" s="79"/>
    </row>
    <row r="486" spans="1:8" s="42" customFormat="1" ht="23.25" x14ac:dyDescent="0.35">
      <c r="A486" s="35"/>
      <c r="B486" s="653"/>
      <c r="C486" s="653"/>
      <c r="D486" s="654"/>
      <c r="E486" s="653"/>
      <c r="F486" s="38"/>
      <c r="G486" s="38"/>
      <c r="H486" s="79"/>
    </row>
    <row r="487" spans="1:8" s="42" customFormat="1" ht="23.25" x14ac:dyDescent="0.35">
      <c r="A487" s="35">
        <v>23</v>
      </c>
      <c r="B487" s="35"/>
      <c r="C487" s="77" t="str">
        <f>JAWA!B1</f>
        <v>JAWA INTERNATIONAL LIMITED</v>
      </c>
      <c r="D487" s="648"/>
      <c r="E487" s="35"/>
      <c r="F487" s="38"/>
      <c r="G487" s="38"/>
      <c r="H487" s="38"/>
    </row>
    <row r="488" spans="1:8" s="42" customFormat="1" ht="23.25" x14ac:dyDescent="0.35">
      <c r="A488" s="35"/>
      <c r="B488" s="653">
        <f>JAWA!A6</f>
        <v>213</v>
      </c>
      <c r="C488" s="653" t="str">
        <f>JAWA!B6</f>
        <v>AMPICILLIN/CLOXACILLIN 500MG INJ</v>
      </c>
      <c r="D488" s="654" t="str">
        <f>JAWA!C6</f>
        <v>VIAL</v>
      </c>
      <c r="E488" s="653">
        <f>JAWA!D6</f>
        <v>2000</v>
      </c>
      <c r="F488" s="38">
        <f>JAWA!E6</f>
        <v>90</v>
      </c>
      <c r="G488" s="38">
        <f>JAWA!F6</f>
        <v>180000</v>
      </c>
      <c r="H488" s="186"/>
    </row>
    <row r="489" spans="1:8" s="42" customFormat="1" ht="18.75" x14ac:dyDescent="0.3">
      <c r="A489" s="35"/>
      <c r="B489" s="653">
        <f>JAWA!A7</f>
        <v>479</v>
      </c>
      <c r="C489" s="653" t="str">
        <f>JAWA!B7</f>
        <v>DIPHENHYDRAMINE HCL+ BROMHEXINE HCL+AMMONIUM CHLORIDE SYR</v>
      </c>
      <c r="D489" s="654" t="str">
        <f>JAWA!C7</f>
        <v>BOTT</v>
      </c>
      <c r="E489" s="653">
        <f>JAWA!D7</f>
        <v>600</v>
      </c>
      <c r="F489" s="38">
        <f>JAWA!E7</f>
        <v>280</v>
      </c>
      <c r="G489" s="38">
        <f>JAWA!F7</f>
        <v>168000</v>
      </c>
      <c r="H489" s="35"/>
    </row>
    <row r="490" spans="1:8" s="42" customFormat="1" ht="18.75" x14ac:dyDescent="0.3">
      <c r="A490" s="35"/>
      <c r="B490" s="653">
        <f>JAWA!A8</f>
        <v>432</v>
      </c>
      <c r="C490" s="653" t="str">
        <f>JAWA!B8</f>
        <v>LACTULOSE 100mls</v>
      </c>
      <c r="D490" s="654" t="str">
        <f>JAWA!C8</f>
        <v>BOTT</v>
      </c>
      <c r="E490" s="653">
        <f>JAWA!D8</f>
        <v>400</v>
      </c>
      <c r="F490" s="38">
        <f>JAWA!E8</f>
        <v>500</v>
      </c>
      <c r="G490" s="38">
        <f>JAWA!F8</f>
        <v>200000</v>
      </c>
      <c r="H490" s="35"/>
    </row>
    <row r="491" spans="1:8" s="42" customFormat="1" ht="18.75" x14ac:dyDescent="0.3">
      <c r="A491" s="35"/>
      <c r="B491" s="653">
        <f>JAWA!A9</f>
        <v>695</v>
      </c>
      <c r="C491" s="653" t="str">
        <f>JAWA!B9</f>
        <v>MIST. POTASSIUM CITRATE 200ML</v>
      </c>
      <c r="D491" s="654" t="str">
        <f>JAWA!C9</f>
        <v>BOTT</v>
      </c>
      <c r="E491" s="653">
        <f>JAWA!D9</f>
        <v>600</v>
      </c>
      <c r="F491" s="38">
        <f>JAWA!E9</f>
        <v>295</v>
      </c>
      <c r="G491" s="38">
        <f>JAWA!F9</f>
        <v>177000</v>
      </c>
      <c r="H491" s="35"/>
    </row>
    <row r="492" spans="1:8" s="42" customFormat="1" ht="23.25" x14ac:dyDescent="0.35">
      <c r="A492" s="35"/>
      <c r="B492" s="653">
        <f>JAWA!A10</f>
        <v>682</v>
      </c>
      <c r="C492" s="653" t="str">
        <f>JAWA!B10</f>
        <v>POVIDONE IODINE 100ML 10% (100ML)</v>
      </c>
      <c r="D492" s="654" t="str">
        <f>JAWA!C10</f>
        <v>BOTT</v>
      </c>
      <c r="E492" s="653">
        <f>JAWA!D10</f>
        <v>200</v>
      </c>
      <c r="F492" s="38">
        <f>JAWA!E10</f>
        <v>375</v>
      </c>
      <c r="G492" s="38">
        <f>JAWA!F10</f>
        <v>75000</v>
      </c>
      <c r="H492" s="79"/>
    </row>
    <row r="493" spans="1:8" s="42" customFormat="1" ht="23.25" x14ac:dyDescent="0.35">
      <c r="A493" s="35"/>
      <c r="B493" s="653">
        <f>JAWA!A11</f>
        <v>681</v>
      </c>
      <c r="C493" s="653" t="str">
        <f>JAWA!B11</f>
        <v>POVIDONE IODINE 100ML 5% (100ML)</v>
      </c>
      <c r="D493" s="654" t="str">
        <f>JAWA!C11</f>
        <v>BOTT</v>
      </c>
      <c r="E493" s="653">
        <f>JAWA!D11</f>
        <v>500</v>
      </c>
      <c r="F493" s="38">
        <f>JAWA!E11</f>
        <v>225</v>
      </c>
      <c r="G493" s="38">
        <f>JAWA!F11</f>
        <v>112500</v>
      </c>
      <c r="H493" s="79"/>
    </row>
    <row r="494" spans="1:8" s="42" customFormat="1" ht="23.25" x14ac:dyDescent="0.35">
      <c r="A494" s="35"/>
      <c r="B494" s="653">
        <f>JAWA!A12</f>
        <v>663</v>
      </c>
      <c r="C494" s="653" t="str">
        <f>JAWA!B12</f>
        <v>POVIDONE IODINE OINTMENT</v>
      </c>
      <c r="D494" s="654" t="str">
        <f>JAWA!C12</f>
        <v>TUBE</v>
      </c>
      <c r="E494" s="653">
        <f>JAWA!D12</f>
        <v>200</v>
      </c>
      <c r="F494" s="38">
        <f>JAWA!E12</f>
        <v>165</v>
      </c>
      <c r="G494" s="38">
        <f>JAWA!F12</f>
        <v>33000</v>
      </c>
      <c r="H494" s="79"/>
    </row>
    <row r="495" spans="1:8" s="42" customFormat="1" ht="23.25" x14ac:dyDescent="0.35">
      <c r="A495" s="35"/>
      <c r="B495" s="653">
        <f>JAWA!A13</f>
        <v>410</v>
      </c>
      <c r="C495" s="653" t="str">
        <f>JAWA!B13</f>
        <v>PROPOFOL 1%</v>
      </c>
      <c r="D495" s="654" t="str">
        <f>JAWA!C13</f>
        <v>VIAL</v>
      </c>
      <c r="E495" s="653">
        <f>JAWA!D13</f>
        <v>560</v>
      </c>
      <c r="F495" s="38">
        <f>JAWA!E13</f>
        <v>1008</v>
      </c>
      <c r="G495" s="38">
        <f>JAWA!F13</f>
        <v>564480</v>
      </c>
      <c r="H495" s="79"/>
    </row>
    <row r="496" spans="1:8" s="42" customFormat="1" ht="23.25" x14ac:dyDescent="0.35">
      <c r="A496" s="35"/>
      <c r="B496" s="653">
        <f>JAWA!A14</f>
        <v>414</v>
      </c>
      <c r="C496" s="653" t="str">
        <f>JAWA!B14</f>
        <v>XYLOCAINE 2% INJ</v>
      </c>
      <c r="D496" s="654" t="str">
        <f>JAWA!C14</f>
        <v>VIAL</v>
      </c>
      <c r="E496" s="653">
        <f>JAWA!D14</f>
        <v>1200</v>
      </c>
      <c r="F496" s="38">
        <f>JAWA!E14</f>
        <v>290</v>
      </c>
      <c r="G496" s="38">
        <f>JAWA!F14</f>
        <v>348000</v>
      </c>
      <c r="H496" s="186">
        <f>SUM(G488:G496)</f>
        <v>1857980</v>
      </c>
    </row>
    <row r="497" spans="1:8" s="42" customFormat="1" ht="23.25" x14ac:dyDescent="0.35">
      <c r="A497" s="35"/>
      <c r="B497" s="653"/>
      <c r="C497" s="653"/>
      <c r="D497" s="654"/>
      <c r="E497" s="653"/>
      <c r="F497" s="38"/>
      <c r="G497" s="38"/>
      <c r="H497" s="79"/>
    </row>
    <row r="498" spans="1:8" s="42" customFormat="1" ht="23.25" x14ac:dyDescent="0.35">
      <c r="A498" s="35"/>
      <c r="B498" s="653"/>
      <c r="C498" s="653"/>
      <c r="D498" s="654"/>
      <c r="E498" s="653"/>
      <c r="F498" s="38"/>
      <c r="G498" s="38"/>
      <c r="H498" s="79"/>
    </row>
    <row r="499" spans="1:8" s="42" customFormat="1" ht="23.25" x14ac:dyDescent="0.35">
      <c r="A499" s="35">
        <v>24</v>
      </c>
      <c r="B499" s="35"/>
      <c r="C499" s="77" t="str">
        <f>LEADWAY!B1</f>
        <v>LEADWAY PHARMACEUTICALS LIMITED</v>
      </c>
      <c r="D499" s="648"/>
      <c r="E499" s="35"/>
      <c r="F499" s="38"/>
      <c r="G499" s="38"/>
      <c r="H499" s="79"/>
    </row>
    <row r="500" spans="1:8" s="42" customFormat="1" ht="23.25" x14ac:dyDescent="0.35">
      <c r="A500" s="35"/>
      <c r="B500" s="653">
        <f>LEADWAY!A6</f>
        <v>494</v>
      </c>
      <c r="C500" s="653" t="str">
        <f>LEADWAY!B6</f>
        <v>ACETAZOLAMIDE 250MG TAB</v>
      </c>
      <c r="D500" s="654">
        <f>LEADWAY!C6</f>
        <v>500</v>
      </c>
      <c r="E500" s="653">
        <f>LEADWAY!D6</f>
        <v>72</v>
      </c>
      <c r="F500" s="38">
        <f>LEADWAY!E6</f>
        <v>9500</v>
      </c>
      <c r="G500" s="38">
        <f>LEADWAY!F6</f>
        <v>684000</v>
      </c>
      <c r="H500" s="79"/>
    </row>
    <row r="501" spans="1:8" s="42" customFormat="1" ht="18.75" x14ac:dyDescent="0.3">
      <c r="A501" s="35"/>
      <c r="B501" s="653">
        <f>LEADWAY!A7</f>
        <v>351</v>
      </c>
      <c r="C501" s="653" t="str">
        <f>LEADWAY!B7</f>
        <v>AMITRYPTILLINE 25MG</v>
      </c>
      <c r="D501" s="654">
        <f>LEADWAY!C7</f>
        <v>500</v>
      </c>
      <c r="E501" s="653">
        <f>LEADWAY!D7</f>
        <v>100</v>
      </c>
      <c r="F501" s="38">
        <f>LEADWAY!E7</f>
        <v>2200</v>
      </c>
      <c r="G501" s="38">
        <f>LEADWAY!F7</f>
        <v>220000</v>
      </c>
    </row>
    <row r="502" spans="1:8" s="42" customFormat="1" ht="23.25" x14ac:dyDescent="0.35">
      <c r="A502" s="35"/>
      <c r="B502" s="653">
        <f>LEADWAY!A9</f>
        <v>483</v>
      </c>
      <c r="C502" s="653" t="str">
        <f>LEADWAY!B9</f>
        <v>HYDROCORTISONE 100MG INJ</v>
      </c>
      <c r="D502" s="654" t="str">
        <f>LEADWAY!C9</f>
        <v>VIAL</v>
      </c>
      <c r="E502" s="653">
        <f>LEADWAY!D9</f>
        <v>6000</v>
      </c>
      <c r="F502" s="38">
        <f>LEADWAY!E9</f>
        <v>160</v>
      </c>
      <c r="G502" s="38">
        <f>LEADWAY!F9</f>
        <v>960000</v>
      </c>
      <c r="H502" s="186"/>
    </row>
    <row r="503" spans="1:8" s="42" customFormat="1" ht="23.25" x14ac:dyDescent="0.35">
      <c r="A503" s="35"/>
      <c r="B503" s="653">
        <f>LEADWAY!A8</f>
        <v>606</v>
      </c>
      <c r="C503" s="653" t="str">
        <f>LEADWAY!B8</f>
        <v>LATEX GLOVES (SUPER CARE)</v>
      </c>
      <c r="D503" s="654" t="str">
        <f>LEADWAY!C8</f>
        <v>CARTON</v>
      </c>
      <c r="E503" s="653">
        <f>LEADWAY!D8</f>
        <v>720</v>
      </c>
      <c r="F503" s="38">
        <f>LEADWAY!E8</f>
        <v>8900</v>
      </c>
      <c r="G503" s="38">
        <f>LEADWAY!F8</f>
        <v>6408000</v>
      </c>
      <c r="H503" s="186"/>
    </row>
    <row r="504" spans="1:8" s="42" customFormat="1" ht="23.25" x14ac:dyDescent="0.35">
      <c r="A504" s="35"/>
      <c r="B504" s="653">
        <f>LEADWAY!A10</f>
        <v>338</v>
      </c>
      <c r="C504" s="653" t="str">
        <f>LEADWAY!B10</f>
        <v>VITAMIN B COMPLEX INJ</v>
      </c>
      <c r="D504" s="654" t="str">
        <f>LEADWAY!C10</f>
        <v>VIAL</v>
      </c>
      <c r="E504" s="653">
        <f>LEADWAY!D10</f>
        <v>3500</v>
      </c>
      <c r="F504" s="38">
        <f>LEADWAY!E10</f>
        <v>85</v>
      </c>
      <c r="G504" s="38">
        <f>LEADWAY!F10</f>
        <v>297500</v>
      </c>
      <c r="H504" s="186">
        <f>SUM(G500:G504)</f>
        <v>8569500</v>
      </c>
    </row>
    <row r="505" spans="1:8" s="42" customFormat="1" ht="23.25" x14ac:dyDescent="0.35">
      <c r="A505" s="35"/>
      <c r="B505" s="653"/>
      <c r="C505" s="653"/>
      <c r="D505" s="654"/>
      <c r="E505" s="653"/>
      <c r="F505" s="38"/>
      <c r="G505" s="38"/>
      <c r="H505" s="79"/>
    </row>
    <row r="506" spans="1:8" s="42" customFormat="1" ht="23.25" x14ac:dyDescent="0.35">
      <c r="A506" s="35"/>
      <c r="B506" s="653"/>
      <c r="C506" s="653"/>
      <c r="D506" s="654"/>
      <c r="E506" s="653"/>
      <c r="F506" s="38"/>
      <c r="G506" s="38"/>
      <c r="H506" s="79"/>
    </row>
    <row r="507" spans="1:8" s="42" customFormat="1" ht="23.25" x14ac:dyDescent="0.35">
      <c r="A507" s="35"/>
      <c r="B507" s="653"/>
      <c r="C507" s="653"/>
      <c r="D507" s="654"/>
      <c r="E507" s="653"/>
      <c r="F507" s="38"/>
      <c r="G507" s="38"/>
      <c r="H507" s="79"/>
    </row>
    <row r="508" spans="1:8" s="42" customFormat="1" ht="23.25" x14ac:dyDescent="0.35">
      <c r="A508" s="35">
        <v>25</v>
      </c>
      <c r="B508" s="653"/>
      <c r="C508" s="656" t="str">
        <f>MANOLA!B1</f>
        <v>MANOLA PHARMACEUTICALS</v>
      </c>
      <c r="D508" s="654"/>
      <c r="E508" s="653"/>
      <c r="F508" s="38"/>
      <c r="G508" s="38"/>
      <c r="H508" s="79"/>
    </row>
    <row r="509" spans="1:8" s="42" customFormat="1" ht="23.25" x14ac:dyDescent="0.35">
      <c r="A509" s="35"/>
      <c r="B509" s="653">
        <f>MANOLA!A6</f>
        <v>539</v>
      </c>
      <c r="C509" s="653" t="str">
        <f>MANOLA!B6</f>
        <v>5-FLUOROURACIL INJ</v>
      </c>
      <c r="D509" s="654" t="str">
        <f>MANOLA!C6</f>
        <v>AMP</v>
      </c>
      <c r="E509" s="653">
        <f>MANOLA!D6</f>
        <v>5</v>
      </c>
      <c r="F509" s="38">
        <f>MANOLA!E6</f>
        <v>512</v>
      </c>
      <c r="G509" s="38">
        <f>MANOLA!F6</f>
        <v>2560</v>
      </c>
      <c r="H509" s="79"/>
    </row>
    <row r="510" spans="1:8" s="42" customFormat="1" ht="23.25" x14ac:dyDescent="0.35">
      <c r="A510" s="35"/>
      <c r="B510" s="653">
        <f>MANOLA!A7</f>
        <v>541</v>
      </c>
      <c r="C510" s="653" t="str">
        <f>MANOLA!B7</f>
        <v>BLEOMYCIN SULPHATE INJ (15 UNITS)</v>
      </c>
      <c r="D510" s="654">
        <f>MANOLA!C7</f>
        <v>10</v>
      </c>
      <c r="E510" s="653">
        <f>MANOLA!D7</f>
        <v>5</v>
      </c>
      <c r="F510" s="38">
        <f>MANOLA!E7</f>
        <v>6500</v>
      </c>
      <c r="G510" s="38">
        <f>MANOLA!F7</f>
        <v>32500</v>
      </c>
      <c r="H510" s="79"/>
    </row>
    <row r="511" spans="1:8" s="42" customFormat="1" ht="23.25" x14ac:dyDescent="0.35">
      <c r="A511" s="35"/>
      <c r="B511" s="653">
        <f>MANOLA!A8</f>
        <v>542</v>
      </c>
      <c r="C511" s="653" t="str">
        <f>MANOLA!B8</f>
        <v>CAPECITABINE 150MG TAB</v>
      </c>
      <c r="D511" s="654">
        <f>MANOLA!C8</f>
        <v>10</v>
      </c>
      <c r="E511" s="653">
        <f>MANOLA!D8</f>
        <v>10</v>
      </c>
      <c r="F511" s="38">
        <f>MANOLA!E8</f>
        <v>50350</v>
      </c>
      <c r="G511" s="38">
        <f>MANOLA!F8</f>
        <v>503500</v>
      </c>
      <c r="H511" s="186"/>
    </row>
    <row r="512" spans="1:8" s="42" customFormat="1" ht="23.25" x14ac:dyDescent="0.35">
      <c r="A512" s="35"/>
      <c r="B512" s="653">
        <f>MANOLA!A9</f>
        <v>543</v>
      </c>
      <c r="C512" s="653" t="str">
        <f>MANOLA!B9</f>
        <v>CARBOPLASTIN INJ</v>
      </c>
      <c r="D512" s="654" t="str">
        <f>MANOLA!C9</f>
        <v>VIAL</v>
      </c>
      <c r="E512" s="653">
        <f>MANOLA!D9</f>
        <v>26</v>
      </c>
      <c r="F512" s="38">
        <f>MANOLA!E9</f>
        <v>15282</v>
      </c>
      <c r="G512" s="38">
        <f>MANOLA!F9</f>
        <v>397332</v>
      </c>
      <c r="H512" s="79"/>
    </row>
    <row r="513" spans="1:8" s="42" customFormat="1" ht="23.25" x14ac:dyDescent="0.35">
      <c r="A513" s="35"/>
      <c r="B513" s="653">
        <f>MANOLA!A10</f>
        <v>545</v>
      </c>
      <c r="C513" s="653" t="str">
        <f>MANOLA!B10</f>
        <v>CISPLATIN 1MG/ML INJ</v>
      </c>
      <c r="D513" s="654">
        <f>MANOLA!C10</f>
        <v>10</v>
      </c>
      <c r="E513" s="653">
        <f>MANOLA!D10</f>
        <v>11</v>
      </c>
      <c r="F513" s="38">
        <f>MANOLA!E10</f>
        <v>3300</v>
      </c>
      <c r="G513" s="38">
        <f>MANOLA!F10</f>
        <v>36300</v>
      </c>
      <c r="H513" s="79"/>
    </row>
    <row r="514" spans="1:8" s="42" customFormat="1" ht="23.25" x14ac:dyDescent="0.35">
      <c r="A514" s="35"/>
      <c r="B514" s="653">
        <f>MANOLA!A11</f>
        <v>546</v>
      </c>
      <c r="C514" s="653" t="str">
        <f>MANOLA!B11</f>
        <v>CYCLOPHOSPHAMIDE 500MG INJ</v>
      </c>
      <c r="D514" s="654" t="str">
        <f>MANOLA!C11</f>
        <v>VIAL</v>
      </c>
      <c r="E514" s="653">
        <f>MANOLA!D11</f>
        <v>50</v>
      </c>
      <c r="F514" s="38">
        <f>MANOLA!E11</f>
        <v>750</v>
      </c>
      <c r="G514" s="38">
        <f>MANOLA!F11</f>
        <v>37500</v>
      </c>
      <c r="H514" s="79"/>
    </row>
    <row r="515" spans="1:8" s="42" customFormat="1" ht="23.25" x14ac:dyDescent="0.35">
      <c r="A515" s="35"/>
      <c r="B515" s="653">
        <f>MANOLA!A12</f>
        <v>549</v>
      </c>
      <c r="C515" s="653" t="str">
        <f>MANOLA!B12</f>
        <v>DACARBAZINE 100MG INJ</v>
      </c>
      <c r="D515" s="654" t="str">
        <f>MANOLA!C12</f>
        <v>AMP</v>
      </c>
      <c r="E515" s="653">
        <f>MANOLA!D12</f>
        <v>16</v>
      </c>
      <c r="F515" s="38">
        <f>MANOLA!E12</f>
        <v>3851</v>
      </c>
      <c r="G515" s="38">
        <f>MANOLA!F12</f>
        <v>61616</v>
      </c>
      <c r="H515" s="79"/>
    </row>
    <row r="516" spans="1:8" s="42" customFormat="1" ht="23.25" x14ac:dyDescent="0.35">
      <c r="A516" s="35"/>
      <c r="B516" s="653">
        <f>MANOLA!A13</f>
        <v>551</v>
      </c>
      <c r="C516" s="653" t="str">
        <f>MANOLA!B13</f>
        <v>DOCETAXEL 80MG INJ</v>
      </c>
      <c r="D516" s="654">
        <f>MANOLA!C13</f>
        <v>10</v>
      </c>
      <c r="E516" s="653">
        <f>MANOLA!D13</f>
        <v>10</v>
      </c>
      <c r="F516" s="38">
        <f>MANOLA!E13</f>
        <v>22454</v>
      </c>
      <c r="G516" s="38">
        <f>MANOLA!F13</f>
        <v>224540</v>
      </c>
      <c r="H516" s="79"/>
    </row>
    <row r="517" spans="1:8" s="42" customFormat="1" ht="23.25" x14ac:dyDescent="0.35">
      <c r="A517" s="35"/>
      <c r="B517" s="653">
        <f>MANOLA!A14</f>
        <v>552</v>
      </c>
      <c r="C517" s="653" t="str">
        <f>MANOLA!B14</f>
        <v>DOXORUBICIN HCL 20MG/10ML INJ</v>
      </c>
      <c r="D517" s="654" t="str">
        <f>MANOLA!C14</f>
        <v>AMP</v>
      </c>
      <c r="E517" s="653">
        <f>MANOLA!D14</f>
        <v>11</v>
      </c>
      <c r="F517" s="38">
        <f>MANOLA!E14</f>
        <v>3350</v>
      </c>
      <c r="G517" s="38">
        <f>MANOLA!F14</f>
        <v>36850</v>
      </c>
      <c r="H517" s="186"/>
    </row>
    <row r="518" spans="1:8" s="42" customFormat="1" ht="23.25" x14ac:dyDescent="0.35">
      <c r="A518" s="35"/>
      <c r="B518" s="653">
        <f>MANOLA!A15</f>
        <v>553</v>
      </c>
      <c r="C518" s="653" t="str">
        <f>MANOLA!B15</f>
        <v>FOLINIC ACID</v>
      </c>
      <c r="D518" s="654">
        <f>MANOLA!C15</f>
        <v>10</v>
      </c>
      <c r="E518" s="653">
        <f>MANOLA!D15</f>
        <v>10</v>
      </c>
      <c r="F518" s="38">
        <f>MANOLA!E15</f>
        <v>1948</v>
      </c>
      <c r="G518" s="38">
        <f>MANOLA!F15</f>
        <v>19480</v>
      </c>
      <c r="H518" s="186"/>
    </row>
    <row r="519" spans="1:8" s="42" customFormat="1" ht="23.25" x14ac:dyDescent="0.35">
      <c r="A519" s="35"/>
      <c r="B519" s="653">
        <f>MANOLA!A16</f>
        <v>555</v>
      </c>
      <c r="C519" s="653" t="str">
        <f>MANOLA!B16</f>
        <v>HYDROXYUREA 500MG CAP</v>
      </c>
      <c r="D519" s="654">
        <f>MANOLA!C16</f>
        <v>100</v>
      </c>
      <c r="E519" s="653">
        <f>MANOLA!D16</f>
        <v>5</v>
      </c>
      <c r="F519" s="38">
        <f>MANOLA!E16</f>
        <v>9000</v>
      </c>
      <c r="G519" s="38">
        <f>MANOLA!F16</f>
        <v>45000</v>
      </c>
      <c r="H519" s="79"/>
    </row>
    <row r="520" spans="1:8" s="42" customFormat="1" ht="23.25" x14ac:dyDescent="0.35">
      <c r="A520" s="35"/>
      <c r="B520" s="653">
        <f>MANOLA!A17</f>
        <v>556</v>
      </c>
      <c r="C520" s="653" t="str">
        <f>MANOLA!B17</f>
        <v>IFOSFAMIDE 3G</v>
      </c>
      <c r="D520" s="654" t="str">
        <f>MANOLA!C17</f>
        <v>VIAL</v>
      </c>
      <c r="E520" s="653">
        <f>MANOLA!D17</f>
        <v>20</v>
      </c>
      <c r="F520" s="38">
        <f>MANOLA!E17</f>
        <v>9310</v>
      </c>
      <c r="G520" s="38">
        <f>MANOLA!F17</f>
        <v>186200</v>
      </c>
      <c r="H520" s="79"/>
    </row>
    <row r="521" spans="1:8" s="42" customFormat="1" ht="23.25" x14ac:dyDescent="0.35">
      <c r="A521" s="35"/>
      <c r="B521" s="653">
        <f>MANOLA!A18</f>
        <v>559</v>
      </c>
      <c r="C521" s="653" t="str">
        <f>MANOLA!B18</f>
        <v>LETROZOLE 2.5MG TAB</v>
      </c>
      <c r="D521" s="654">
        <f>MANOLA!C18</f>
        <v>30</v>
      </c>
      <c r="E521" s="653">
        <f>MANOLA!D18</f>
        <v>22</v>
      </c>
      <c r="F521" s="38">
        <f>MANOLA!E18</f>
        <v>14040</v>
      </c>
      <c r="G521" s="38">
        <f>MANOLA!F18</f>
        <v>308880</v>
      </c>
      <c r="H521" s="79"/>
    </row>
    <row r="522" spans="1:8" s="42" customFormat="1" ht="23.25" x14ac:dyDescent="0.35">
      <c r="A522" s="35"/>
      <c r="B522" s="653">
        <f>MANOLA!A19</f>
        <v>167</v>
      </c>
      <c r="C522" s="653" t="str">
        <f>MANOLA!B19</f>
        <v>MEFENAMIC ACID 250MG CAP</v>
      </c>
      <c r="D522" s="654">
        <f>MANOLA!C19</f>
        <v>100</v>
      </c>
      <c r="E522" s="653">
        <f>MANOLA!D19</f>
        <v>60</v>
      </c>
      <c r="F522" s="38">
        <f>MANOLA!E19</f>
        <v>350</v>
      </c>
      <c r="G522" s="38">
        <f>MANOLA!F19</f>
        <v>21000</v>
      </c>
      <c r="H522" s="79"/>
    </row>
    <row r="523" spans="1:8" s="42" customFormat="1" ht="23.25" x14ac:dyDescent="0.35">
      <c r="A523" s="35"/>
      <c r="B523" s="653">
        <f>MANOLA!A20</f>
        <v>561</v>
      </c>
      <c r="C523" s="653" t="str">
        <f>MANOLA!B20</f>
        <v>METHOTREXATE INJ</v>
      </c>
      <c r="D523" s="654" t="str">
        <f>MANOLA!C20</f>
        <v>AMP</v>
      </c>
      <c r="E523" s="653">
        <f>MANOLA!D20</f>
        <v>4</v>
      </c>
      <c r="F523" s="38">
        <f>MANOLA!E20</f>
        <v>683</v>
      </c>
      <c r="G523" s="38">
        <f>MANOLA!F20</f>
        <v>2732</v>
      </c>
      <c r="H523" s="79"/>
    </row>
    <row r="524" spans="1:8" s="42" customFormat="1" ht="23.25" x14ac:dyDescent="0.35">
      <c r="A524" s="35"/>
      <c r="B524" s="653">
        <f>MANOLA!A21</f>
        <v>562</v>
      </c>
      <c r="C524" s="653" t="str">
        <f>MANOLA!B21</f>
        <v>METHOTREXATE TAB</v>
      </c>
      <c r="D524" s="654">
        <f>MANOLA!C21</f>
        <v>30</v>
      </c>
      <c r="E524" s="653">
        <f>MANOLA!D21</f>
        <v>24</v>
      </c>
      <c r="F524" s="38">
        <f>MANOLA!E21</f>
        <v>878</v>
      </c>
      <c r="G524" s="38">
        <f>MANOLA!F21</f>
        <v>21072</v>
      </c>
      <c r="H524" s="79"/>
    </row>
    <row r="525" spans="1:8" s="42" customFormat="1" ht="23.25" x14ac:dyDescent="0.35">
      <c r="A525" s="35"/>
      <c r="B525" s="653">
        <f>MANOLA!A22</f>
        <v>445</v>
      </c>
      <c r="C525" s="653" t="str">
        <f>MANOLA!B22</f>
        <v>ONDASETRON TAB</v>
      </c>
      <c r="D525" s="654">
        <f>MANOLA!C22</f>
        <v>10</v>
      </c>
      <c r="E525" s="653">
        <f>MANOLA!D22</f>
        <v>20</v>
      </c>
      <c r="F525" s="38">
        <f>MANOLA!E22</f>
        <v>819</v>
      </c>
      <c r="G525" s="38">
        <f>MANOLA!F22</f>
        <v>16380</v>
      </c>
      <c r="H525" s="79"/>
    </row>
    <row r="526" spans="1:8" s="42" customFormat="1" ht="23.25" x14ac:dyDescent="0.35">
      <c r="A526" s="35"/>
      <c r="B526" s="653">
        <f>MANOLA!A23</f>
        <v>563</v>
      </c>
      <c r="C526" s="653" t="str">
        <f>MANOLA!B23</f>
        <v>PACLITAXEL 30MG INJ</v>
      </c>
      <c r="D526" s="654">
        <f>MANOLA!C23</f>
        <v>10</v>
      </c>
      <c r="E526" s="653">
        <f>MANOLA!D23</f>
        <v>4</v>
      </c>
      <c r="F526" s="38">
        <f>MANOLA!E23</f>
        <v>23000</v>
      </c>
      <c r="G526" s="38">
        <f>MANOLA!F23</f>
        <v>92000</v>
      </c>
      <c r="H526" s="79"/>
    </row>
    <row r="527" spans="1:8" s="42" customFormat="1" ht="23.25" x14ac:dyDescent="0.35">
      <c r="A527" s="35"/>
      <c r="B527" s="653">
        <f>MANOLA!A24</f>
        <v>699</v>
      </c>
      <c r="C527" s="653" t="str">
        <f>MANOLA!B24</f>
        <v>SILVER NITRATE SOLUTION (250ML)</v>
      </c>
      <c r="D527" s="654" t="str">
        <f>MANOLA!C24</f>
        <v>BOTT</v>
      </c>
      <c r="E527" s="653">
        <f>MANOLA!D24</f>
        <v>20</v>
      </c>
      <c r="F527" s="38">
        <f>MANOLA!E24</f>
        <v>17982</v>
      </c>
      <c r="G527" s="38">
        <f>MANOLA!F24</f>
        <v>359640</v>
      </c>
      <c r="H527" s="79"/>
    </row>
    <row r="528" spans="1:8" s="42" customFormat="1" ht="23.25" x14ac:dyDescent="0.35">
      <c r="A528" s="35"/>
      <c r="B528" s="653">
        <f>MANOLA!A25</f>
        <v>565</v>
      </c>
      <c r="C528" s="653" t="str">
        <f>MANOLA!B25</f>
        <v>TAMOXIFEN CITRATE 10MG TAB</v>
      </c>
      <c r="D528" s="654">
        <f>MANOLA!C25</f>
        <v>100</v>
      </c>
      <c r="E528" s="653">
        <f>MANOLA!D25</f>
        <v>5</v>
      </c>
      <c r="F528" s="38">
        <f>MANOLA!E25</f>
        <v>9750</v>
      </c>
      <c r="G528" s="38">
        <f>MANOLA!F25</f>
        <v>48750</v>
      </c>
      <c r="H528" s="79"/>
    </row>
    <row r="529" spans="1:8" s="42" customFormat="1" ht="23.25" x14ac:dyDescent="0.35">
      <c r="A529" s="35"/>
      <c r="B529" s="653">
        <f>MANOLA!A26</f>
        <v>569</v>
      </c>
      <c r="C529" s="653" t="str">
        <f>MANOLA!B26</f>
        <v xml:space="preserve">VINCRISTINE 5MG/5ML INJ </v>
      </c>
      <c r="D529" s="654">
        <f>MANOLA!C26</f>
        <v>10</v>
      </c>
      <c r="E529" s="653">
        <f>MANOLA!D26</f>
        <v>5</v>
      </c>
      <c r="F529" s="38">
        <f>MANOLA!E26</f>
        <v>780</v>
      </c>
      <c r="G529" s="38">
        <f>MANOLA!F26</f>
        <v>3900</v>
      </c>
      <c r="H529" s="186">
        <f>SUM(G509:G529)</f>
        <v>2457732</v>
      </c>
    </row>
    <row r="530" spans="1:8" s="42" customFormat="1" ht="18.75" x14ac:dyDescent="0.3">
      <c r="A530" s="35"/>
      <c r="B530" s="653"/>
      <c r="C530" s="653"/>
      <c r="D530" s="654"/>
      <c r="E530" s="653"/>
      <c r="F530" s="38"/>
      <c r="G530" s="38"/>
      <c r="H530" s="35"/>
    </row>
    <row r="531" spans="1:8" ht="18.75" x14ac:dyDescent="0.3">
      <c r="A531" s="35"/>
      <c r="B531" s="653"/>
      <c r="C531" s="653"/>
      <c r="D531" s="654"/>
      <c r="E531" s="653"/>
      <c r="F531" s="38"/>
      <c r="G531" s="38"/>
      <c r="H531" s="35"/>
    </row>
    <row r="532" spans="1:8" ht="23.25" x14ac:dyDescent="0.35">
      <c r="A532" s="35">
        <v>26</v>
      </c>
      <c r="B532" s="653"/>
      <c r="C532" s="656" t="str">
        <f>MARCSON!B1</f>
        <v>MARCSON HEALTHCARE LIMITED</v>
      </c>
      <c r="D532" s="654"/>
      <c r="E532" s="653"/>
      <c r="F532" s="38"/>
      <c r="G532" s="38"/>
      <c r="H532" s="76"/>
    </row>
    <row r="533" spans="1:8" x14ac:dyDescent="0.35">
      <c r="A533" s="35"/>
      <c r="B533" s="653">
        <f>MARCSON!A6</f>
        <v>1</v>
      </c>
      <c r="C533" s="653" t="str">
        <f>MARCSON!B6</f>
        <v>ab-ARTEETHER 150MG INJ</v>
      </c>
      <c r="D533" s="654">
        <f>MARCSON!C6</f>
        <v>3</v>
      </c>
      <c r="E533" s="653">
        <f>MARCSON!D6</f>
        <v>900</v>
      </c>
      <c r="F533" s="38">
        <f>MARCSON!E6</f>
        <v>600</v>
      </c>
      <c r="G533" s="38">
        <f>MARCSON!F6</f>
        <v>540000</v>
      </c>
      <c r="H533" s="76"/>
    </row>
    <row r="534" spans="1:8" x14ac:dyDescent="0.35">
      <c r="A534" s="35"/>
      <c r="B534" s="653">
        <f>MARCSON!A7</f>
        <v>36</v>
      </c>
      <c r="C534" s="653" t="str">
        <f>MARCSON!B7</f>
        <v>AMLODIPINE 10MG + RAMIPRIL 5MG</v>
      </c>
      <c r="D534" s="654">
        <f>MARCSON!C7</f>
        <v>30</v>
      </c>
      <c r="E534" s="653">
        <f>MARCSON!D7</f>
        <v>200</v>
      </c>
      <c r="F534" s="38">
        <f>MARCSON!E7</f>
        <v>1800</v>
      </c>
      <c r="G534" s="38">
        <f>MARCSON!F7</f>
        <v>360000</v>
      </c>
      <c r="H534" s="76"/>
    </row>
    <row r="535" spans="1:8" x14ac:dyDescent="0.35">
      <c r="A535" s="35"/>
      <c r="B535" s="653">
        <f>MARCSON!A8</f>
        <v>38</v>
      </c>
      <c r="C535" s="653" t="str">
        <f>MARCSON!B8</f>
        <v>AMLODIPINE 5MG + RAMIPRIL 2.5MG</v>
      </c>
      <c r="D535" s="654">
        <f>MARCSON!C8</f>
        <v>30</v>
      </c>
      <c r="E535" s="653">
        <f>MARCSON!D8</f>
        <v>200</v>
      </c>
      <c r="F535" s="38">
        <f>MARCSON!E8</f>
        <v>1250</v>
      </c>
      <c r="G535" s="38">
        <f>MARCSON!F8</f>
        <v>250000</v>
      </c>
      <c r="H535" s="76"/>
    </row>
    <row r="536" spans="1:8" x14ac:dyDescent="0.35">
      <c r="A536" s="35"/>
      <c r="B536" s="653">
        <f>MARCSON!A9</f>
        <v>219</v>
      </c>
      <c r="C536" s="653" t="str">
        <f>MARCSON!B9</f>
        <v>CEFIXIME + SULBACTAM SUSPENSION</v>
      </c>
      <c r="D536" s="654" t="str">
        <f>MARCSON!C9</f>
        <v>BOTT</v>
      </c>
      <c r="E536" s="653">
        <f>MARCSON!D9</f>
        <v>100</v>
      </c>
      <c r="F536" s="38">
        <f>MARCSON!E9</f>
        <v>1500</v>
      </c>
      <c r="G536" s="38">
        <f>MARCSON!F9</f>
        <v>150000</v>
      </c>
      <c r="H536" s="76"/>
    </row>
    <row r="537" spans="1:8" x14ac:dyDescent="0.35">
      <c r="A537" s="35"/>
      <c r="B537" s="653">
        <f>MARCSON!A10</f>
        <v>221</v>
      </c>
      <c r="C537" s="653" t="str">
        <f>MARCSON!B10</f>
        <v>CEFIXIME 200MG/CLAVULANIC ACID 125MG</v>
      </c>
      <c r="D537" s="654">
        <f>MARCSON!C10</f>
        <v>10</v>
      </c>
      <c r="E537" s="653">
        <f>MARCSON!D10</f>
        <v>200</v>
      </c>
      <c r="F537" s="38">
        <f>MARCSON!E10</f>
        <v>1800</v>
      </c>
      <c r="G537" s="38">
        <f>MARCSON!F10</f>
        <v>360000</v>
      </c>
      <c r="H537" s="76"/>
    </row>
    <row r="538" spans="1:8" ht="23.25" x14ac:dyDescent="0.35">
      <c r="A538" s="35"/>
      <c r="B538" s="653">
        <f>MARCSON!A11</f>
        <v>229</v>
      </c>
      <c r="C538" s="653" t="str">
        <f>MARCSON!B11</f>
        <v>CEFTRIAXONE+SULBACTAM INJ</v>
      </c>
      <c r="D538" s="654" t="str">
        <f>MARCSON!C11</f>
        <v>VIAL</v>
      </c>
      <c r="E538" s="653">
        <f>MARCSON!D11</f>
        <v>2500</v>
      </c>
      <c r="F538" s="38">
        <f>MARCSON!E11</f>
        <v>900</v>
      </c>
      <c r="G538" s="38">
        <f>MARCSON!F11</f>
        <v>2250000</v>
      </c>
      <c r="H538" s="186"/>
    </row>
    <row r="539" spans="1:8" ht="23.25" x14ac:dyDescent="0.35">
      <c r="A539" s="35"/>
      <c r="B539" s="653">
        <f>MARCSON!A12</f>
        <v>177</v>
      </c>
      <c r="C539" s="653" t="str">
        <f>MARCSON!B12</f>
        <v>ORPHENADRINE/PARACETAMOL TAB</v>
      </c>
      <c r="D539" s="654">
        <f>MARCSON!C12</f>
        <v>100</v>
      </c>
      <c r="E539" s="653">
        <f>MARCSON!D12</f>
        <v>2000</v>
      </c>
      <c r="F539" s="38">
        <f>MARCSON!E12</f>
        <v>1550</v>
      </c>
      <c r="G539" s="38">
        <f>MARCSON!F12</f>
        <v>3100000</v>
      </c>
      <c r="H539" s="186">
        <f>SUM(G533:G539)</f>
        <v>7010000</v>
      </c>
    </row>
    <row r="540" spans="1:8" ht="18.75" x14ac:dyDescent="0.3">
      <c r="A540" s="35"/>
      <c r="B540" s="653"/>
      <c r="C540" s="653"/>
      <c r="D540" s="654"/>
      <c r="E540" s="653"/>
      <c r="F540" s="38"/>
      <c r="G540" s="38"/>
      <c r="H540" s="35"/>
    </row>
    <row r="541" spans="1:8" x14ac:dyDescent="0.35">
      <c r="A541" s="35"/>
      <c r="B541" s="653"/>
      <c r="C541" s="653"/>
      <c r="D541" s="654"/>
      <c r="E541" s="653"/>
      <c r="F541" s="38"/>
      <c r="G541" s="38"/>
      <c r="H541" s="76"/>
    </row>
    <row r="542" spans="1:8" ht="23.25" x14ac:dyDescent="0.35">
      <c r="A542" s="35">
        <v>27</v>
      </c>
      <c r="B542" s="653"/>
      <c r="C542" s="656" t="str">
        <f>'M&amp;B'!B1</f>
        <v>MAY &amp; BAKER NIGERIA LIMITED</v>
      </c>
      <c r="D542" s="654"/>
      <c r="E542" s="653"/>
      <c r="F542" s="38"/>
      <c r="G542" s="38"/>
      <c r="H542" s="76"/>
    </row>
    <row r="543" spans="1:8" x14ac:dyDescent="0.35">
      <c r="A543" s="35"/>
      <c r="B543" s="653">
        <f>'M&amp;B'!A6</f>
        <v>353</v>
      </c>
      <c r="C543" s="653" t="str">
        <f>'M&amp;B'!B6</f>
        <v>BROMAZEPAM 1.5MG</v>
      </c>
      <c r="D543" s="654">
        <f>'M&amp;B'!C6</f>
        <v>30</v>
      </c>
      <c r="E543" s="653">
        <f>'M&amp;B'!D6</f>
        <v>800</v>
      </c>
      <c r="F543" s="38">
        <f>'M&amp;B'!E6</f>
        <v>170</v>
      </c>
      <c r="G543" s="38">
        <f>'M&amp;B'!F6</f>
        <v>136000</v>
      </c>
      <c r="H543" s="76"/>
    </row>
    <row r="544" spans="1:8" x14ac:dyDescent="0.35">
      <c r="A544" s="35"/>
      <c r="B544" s="653">
        <f>'M&amp;B'!A7</f>
        <v>354</v>
      </c>
      <c r="C544" s="653" t="str">
        <f>'M&amp;B'!B7</f>
        <v>BROMAZEPAM 3MG</v>
      </c>
      <c r="D544" s="654">
        <f>'M&amp;B'!C7</f>
        <v>30</v>
      </c>
      <c r="E544" s="653">
        <f>'M&amp;B'!D7</f>
        <v>1000</v>
      </c>
      <c r="F544" s="38">
        <f>'M&amp;B'!E7</f>
        <v>340</v>
      </c>
      <c r="G544" s="38">
        <f>'M&amp;B'!F7</f>
        <v>340000</v>
      </c>
      <c r="H544" s="76"/>
    </row>
    <row r="545" spans="1:8" x14ac:dyDescent="0.35">
      <c r="A545" s="35"/>
      <c r="B545" s="653">
        <f>'M&amp;B'!A8</f>
        <v>233</v>
      </c>
      <c r="C545" s="653" t="str">
        <f>'M&amp;B'!B8</f>
        <v>CEFUROXIME SUSPENSION 125MG/5ML (100ML)</v>
      </c>
      <c r="D545" s="654" t="str">
        <f>'M&amp;B'!C8</f>
        <v>BOTT</v>
      </c>
      <c r="E545" s="653">
        <f>'M&amp;B'!D8</f>
        <v>800</v>
      </c>
      <c r="F545" s="38">
        <f>'M&amp;B'!E8</f>
        <v>1300</v>
      </c>
      <c r="G545" s="38">
        <f>'M&amp;B'!F8</f>
        <v>1040000</v>
      </c>
      <c r="H545" s="76"/>
    </row>
    <row r="546" spans="1:8" x14ac:dyDescent="0.35">
      <c r="A546" s="35"/>
      <c r="B546" s="653">
        <f>'M&amp;B'!A9</f>
        <v>473</v>
      </c>
      <c r="C546" s="653" t="str">
        <f>'M&amp;B'!B9</f>
        <v>CHLORPHENIRAMINE 4MG/5ML  SYR</v>
      </c>
      <c r="D546" s="654" t="str">
        <f>'M&amp;B'!C9</f>
        <v>BOTT</v>
      </c>
      <c r="E546" s="653">
        <f>'M&amp;B'!D9</f>
        <v>800</v>
      </c>
      <c r="F546" s="38">
        <f>'M&amp;B'!E9</f>
        <v>100</v>
      </c>
      <c r="G546" s="38">
        <f>'M&amp;B'!F9</f>
        <v>80000</v>
      </c>
      <c r="H546" s="76"/>
    </row>
    <row r="547" spans="1:8" ht="23.25" x14ac:dyDescent="0.35">
      <c r="A547" s="35"/>
      <c r="B547" s="653">
        <f>'M&amp;B'!A10</f>
        <v>244</v>
      </c>
      <c r="C547" s="653" t="str">
        <f>'M&amp;B'!B10</f>
        <v>CO-TRIMOXAZOLE SUSP.</v>
      </c>
      <c r="D547" s="654" t="str">
        <f>'M&amp;B'!C10</f>
        <v>BOTT</v>
      </c>
      <c r="E547" s="653">
        <f>'M&amp;B'!D10</f>
        <v>200</v>
      </c>
      <c r="F547" s="38">
        <f>'M&amp;B'!E10</f>
        <v>100</v>
      </c>
      <c r="G547" s="38">
        <f>'M&amp;B'!F10</f>
        <v>20000</v>
      </c>
      <c r="H547" s="186"/>
    </row>
    <row r="548" spans="1:8" ht="18.75" x14ac:dyDescent="0.3">
      <c r="A548" s="35"/>
      <c r="B548" s="653">
        <f>'M&amp;B'!A11</f>
        <v>121</v>
      </c>
      <c r="C548" s="653" t="str">
        <f>'M&amp;B'!B11</f>
        <v>GLIMEPIRIDE 4MG TAB</v>
      </c>
      <c r="D548" s="654">
        <f>'M&amp;B'!C11</f>
        <v>30</v>
      </c>
      <c r="E548" s="653">
        <f>'M&amp;B'!D11</f>
        <v>1000</v>
      </c>
      <c r="F548" s="38">
        <f>'M&amp;B'!E11</f>
        <v>1850</v>
      </c>
      <c r="G548" s="38">
        <f>'M&amp;B'!F11</f>
        <v>1850000</v>
      </c>
      <c r="H548" s="35"/>
    </row>
    <row r="549" spans="1:8" ht="18.75" x14ac:dyDescent="0.3">
      <c r="A549" s="35"/>
      <c r="B549" s="653">
        <f>'M&amp;B'!A12</f>
        <v>88</v>
      </c>
      <c r="C549" s="653" t="str">
        <f>'M&amp;B'!B12</f>
        <v xml:space="preserve">NIFEDIPINE 30MG </v>
      </c>
      <c r="D549" s="654">
        <f>'M&amp;B'!C12</f>
        <v>30</v>
      </c>
      <c r="E549" s="653">
        <f>'M&amp;B'!D12</f>
        <v>900</v>
      </c>
      <c r="F549" s="38">
        <f>'M&amp;B'!E12</f>
        <v>696.97</v>
      </c>
      <c r="G549" s="38">
        <f>'M&amp;B'!F12</f>
        <v>627273</v>
      </c>
      <c r="H549" s="35"/>
    </row>
    <row r="550" spans="1:8" ht="18.75" x14ac:dyDescent="0.3">
      <c r="A550" s="35"/>
      <c r="B550" s="653">
        <f>'M&amp;B'!A13</f>
        <v>274</v>
      </c>
      <c r="C550" s="653" t="str">
        <f>'M&amp;B'!B13</f>
        <v>OFLOXACIN 200MG TAB</v>
      </c>
      <c r="D550" s="654">
        <f>'M&amp;B'!C13</f>
        <v>10</v>
      </c>
      <c r="E550" s="653">
        <f>'M&amp;B'!D13</f>
        <v>1600</v>
      </c>
      <c r="F550" s="38">
        <f>'M&amp;B'!E13</f>
        <v>402.93</v>
      </c>
      <c r="G550" s="38">
        <f>'M&amp;B'!F13</f>
        <v>644688</v>
      </c>
      <c r="H550" s="35"/>
    </row>
    <row r="551" spans="1:8" ht="23.25" x14ac:dyDescent="0.35">
      <c r="A551" s="35"/>
      <c r="B551" s="653">
        <f>'M&amp;B'!A14</f>
        <v>97</v>
      </c>
      <c r="C551" s="653" t="str">
        <f>'M&amp;B'!B14</f>
        <v>RAMIPRIL 5MG TAB</v>
      </c>
      <c r="D551" s="654">
        <f>'M&amp;B'!C14</f>
        <v>30</v>
      </c>
      <c r="E551" s="653">
        <f>'M&amp;B'!D14</f>
        <v>2080</v>
      </c>
      <c r="F551" s="38">
        <f>'M&amp;B'!E14</f>
        <v>600</v>
      </c>
      <c r="G551" s="38">
        <f>'M&amp;B'!F14</f>
        <v>1248000</v>
      </c>
      <c r="H551" s="186">
        <f>SUM(G543:G551)</f>
        <v>5985961</v>
      </c>
    </row>
    <row r="552" spans="1:8" x14ac:dyDescent="0.35">
      <c r="A552" s="35"/>
      <c r="B552" s="653"/>
      <c r="C552" s="653"/>
      <c r="D552" s="654"/>
      <c r="E552" s="653"/>
      <c r="F552" s="38"/>
      <c r="G552" s="38"/>
      <c r="H552" s="76"/>
    </row>
    <row r="553" spans="1:8" x14ac:dyDescent="0.35">
      <c r="A553" s="35"/>
      <c r="B553" s="653"/>
      <c r="C553" s="653"/>
      <c r="D553" s="654"/>
      <c r="E553" s="653"/>
      <c r="F553" s="38"/>
      <c r="G553" s="38"/>
      <c r="H553" s="76"/>
    </row>
    <row r="554" spans="1:8" ht="23.25" x14ac:dyDescent="0.35">
      <c r="A554" s="35">
        <v>28</v>
      </c>
      <c r="B554" s="653"/>
      <c r="C554" s="656" t="str">
        <f>MEGA!B1</f>
        <v>MEGA LIFESCIENCES NIGERIA LIMITED</v>
      </c>
      <c r="D554" s="654"/>
      <c r="E554" s="653"/>
      <c r="F554" s="38"/>
      <c r="G554" s="38"/>
      <c r="H554" s="76"/>
    </row>
    <row r="555" spans="1:8" x14ac:dyDescent="0.35">
      <c r="A555" s="35"/>
      <c r="B555" s="653">
        <f>MEGA!A6</f>
        <v>292</v>
      </c>
      <c r="C555" s="653" t="str">
        <f>MEGA!B6</f>
        <v>CALCITROL 0.25MCG TAB</v>
      </c>
      <c r="D555" s="654">
        <f>MEGA!C6</f>
        <v>30</v>
      </c>
      <c r="E555" s="653">
        <f>MEGA!D6</f>
        <v>600</v>
      </c>
      <c r="F555" s="38">
        <f>MEGA!E6</f>
        <v>2600</v>
      </c>
      <c r="G555" s="38">
        <f>MEGA!F6</f>
        <v>1560000</v>
      </c>
      <c r="H555" s="76"/>
    </row>
    <row r="556" spans="1:8" x14ac:dyDescent="0.35">
      <c r="A556" s="35"/>
      <c r="B556" s="653">
        <f>MEGA!A7</f>
        <v>57</v>
      </c>
      <c r="C556" s="653" t="str">
        <f>MEGA!B7</f>
        <v>CLOPIDOGREL 75MG TAB</v>
      </c>
      <c r="D556" s="654">
        <f>MEGA!C7</f>
        <v>30</v>
      </c>
      <c r="E556" s="653">
        <f>MEGA!D7</f>
        <v>2000</v>
      </c>
      <c r="F556" s="38">
        <f>MEGA!E7</f>
        <v>750</v>
      </c>
      <c r="G556" s="38">
        <f>MEGA!F7</f>
        <v>1500000</v>
      </c>
      <c r="H556" s="76"/>
    </row>
    <row r="557" spans="1:8" x14ac:dyDescent="0.35">
      <c r="A557" s="35"/>
      <c r="B557" s="653">
        <f>MEGA!A8</f>
        <v>310</v>
      </c>
      <c r="C557" s="653" t="str">
        <f>MEGA!B8</f>
        <v>HIGH POTENCY VITAMIN B FORMULA TAB</v>
      </c>
      <c r="D557" s="654">
        <f>MEGA!C8</f>
        <v>30</v>
      </c>
      <c r="E557" s="653">
        <f>MEGA!D8</f>
        <v>1500</v>
      </c>
      <c r="F557" s="38">
        <f>MEGA!E8</f>
        <v>2300</v>
      </c>
      <c r="G557" s="38">
        <f>MEGA!F8</f>
        <v>3450000</v>
      </c>
      <c r="H557" s="76"/>
    </row>
    <row r="558" spans="1:8" x14ac:dyDescent="0.35">
      <c r="A558" s="35"/>
      <c r="B558" s="653">
        <f>MEGA!A9</f>
        <v>321</v>
      </c>
      <c r="C558" s="653" t="str">
        <f>MEGA!B9</f>
        <v>PHOSPHOLIPIDS/VIT E/VIT B COMPLEX</v>
      </c>
      <c r="D558" s="654">
        <f>MEGA!C9</f>
        <v>30</v>
      </c>
      <c r="E558" s="653">
        <f>MEGA!D9</f>
        <v>400</v>
      </c>
      <c r="F558" s="38">
        <f>MEGA!E9</f>
        <v>1500</v>
      </c>
      <c r="G558" s="38">
        <f>MEGA!F9</f>
        <v>600000</v>
      </c>
      <c r="H558" s="76"/>
    </row>
    <row r="559" spans="1:8" x14ac:dyDescent="0.35">
      <c r="A559" s="35"/>
      <c r="B559" s="653">
        <f>MEGA!A10</f>
        <v>188</v>
      </c>
      <c r="C559" s="653" t="str">
        <f>MEGA!B10</f>
        <v>PREGABALIN 75MG CAP</v>
      </c>
      <c r="D559" s="654">
        <f>MEGA!C10</f>
        <v>30</v>
      </c>
      <c r="E559" s="653">
        <f>MEGA!D10</f>
        <v>720</v>
      </c>
      <c r="F559" s="38">
        <f>MEGA!E10</f>
        <v>2000</v>
      </c>
      <c r="G559" s="38">
        <f>MEGA!F10</f>
        <v>1440000</v>
      </c>
      <c r="H559" s="76"/>
    </row>
    <row r="560" spans="1:8" ht="23.25" x14ac:dyDescent="0.35">
      <c r="A560" s="35"/>
      <c r="B560" s="653">
        <f>MEGA!A11</f>
        <v>107</v>
      </c>
      <c r="C560" s="653" t="str">
        <f>MEGA!B11</f>
        <v>TELMISARTAN 80MG TAB</v>
      </c>
      <c r="D560" s="654">
        <f>MEGA!C11</f>
        <v>30</v>
      </c>
      <c r="E560" s="653">
        <f>MEGA!D11</f>
        <v>26</v>
      </c>
      <c r="F560" s="38">
        <f>MEGA!E11</f>
        <v>2500</v>
      </c>
      <c r="G560" s="38">
        <f>MEGA!F11</f>
        <v>65000</v>
      </c>
      <c r="H560" s="186"/>
    </row>
    <row r="561" spans="1:8" ht="23.25" x14ac:dyDescent="0.35">
      <c r="A561" s="35"/>
      <c r="B561" s="653">
        <f>MEGA!A12</f>
        <v>334</v>
      </c>
      <c r="C561" s="653" t="str">
        <f>MEGA!B12</f>
        <v>URSODEOXYCHOLIC ACID 300MG TAB</v>
      </c>
      <c r="D561" s="654">
        <f>MEGA!C12</f>
        <v>30</v>
      </c>
      <c r="E561" s="653">
        <f>MEGA!D12</f>
        <v>20</v>
      </c>
      <c r="F561" s="38">
        <f>MEGA!E12</f>
        <v>7900</v>
      </c>
      <c r="G561" s="38">
        <f>MEGA!F12</f>
        <v>158000</v>
      </c>
      <c r="H561" s="186">
        <f>SUM(G555:G561)</f>
        <v>8773000</v>
      </c>
    </row>
    <row r="562" spans="1:8" ht="18.75" x14ac:dyDescent="0.3">
      <c r="A562" s="35"/>
      <c r="B562" s="653"/>
      <c r="C562" s="653"/>
      <c r="D562" s="654"/>
      <c r="E562" s="653"/>
      <c r="F562" s="38"/>
      <c r="G562" s="38"/>
      <c r="H562" s="35"/>
    </row>
    <row r="563" spans="1:8" ht="18.75" x14ac:dyDescent="0.3">
      <c r="A563" s="35"/>
      <c r="B563" s="653"/>
      <c r="C563" s="653"/>
      <c r="D563" s="654"/>
      <c r="E563" s="653"/>
      <c r="F563" s="38"/>
      <c r="G563" s="38"/>
      <c r="H563" s="35"/>
    </row>
    <row r="564" spans="1:8" ht="23.25" x14ac:dyDescent="0.35">
      <c r="A564" s="35">
        <v>29</v>
      </c>
      <c r="B564" s="653"/>
      <c r="C564" s="656" t="str">
        <f>MICRONOVA!B1</f>
        <v>MICRONOVA PHARMACEUTICALS</v>
      </c>
      <c r="D564" s="654"/>
      <c r="E564" s="653"/>
      <c r="F564" s="38"/>
      <c r="G564" s="38"/>
      <c r="H564" s="76"/>
    </row>
    <row r="565" spans="1:8" ht="18.75" x14ac:dyDescent="0.3">
      <c r="A565" s="35"/>
      <c r="B565" s="653">
        <f>MICRONOVA!A6</f>
        <v>35</v>
      </c>
      <c r="C565" s="653" t="str">
        <f>MICRONOVA!B6</f>
        <v>AMIODARONE 200MG TAB</v>
      </c>
      <c r="D565" s="654">
        <f>MICRONOVA!C6</f>
        <v>30</v>
      </c>
      <c r="E565" s="653">
        <f>MICRONOVA!D6</f>
        <v>10</v>
      </c>
      <c r="F565" s="38">
        <f>MICRONOVA!E6</f>
        <v>1727</v>
      </c>
      <c r="G565" s="38">
        <f>MICRONOVA!F6</f>
        <v>17270</v>
      </c>
      <c r="H565" s="35"/>
    </row>
    <row r="566" spans="1:8" ht="18.75" x14ac:dyDescent="0.3">
      <c r="A566" s="35"/>
      <c r="B566" s="653">
        <f>MICRONOVA!A7</f>
        <v>48</v>
      </c>
      <c r="C566" s="653" t="str">
        <f>MICRONOVA!B7</f>
        <v>ATORVASTATIN 10MG</v>
      </c>
      <c r="D566" s="654">
        <f>MICRONOVA!C7</f>
        <v>30</v>
      </c>
      <c r="E566" s="653">
        <f>MICRONOVA!D7</f>
        <v>1500</v>
      </c>
      <c r="F566" s="38">
        <f>MICRONOVA!E7</f>
        <v>325</v>
      </c>
      <c r="G566" s="38">
        <f>MICRONOVA!F7</f>
        <v>487500</v>
      </c>
      <c r="H566" s="35"/>
    </row>
    <row r="567" spans="1:8" ht="18.75" x14ac:dyDescent="0.3">
      <c r="A567" s="35"/>
      <c r="B567" s="653">
        <f>MICRONOVA!A8</f>
        <v>49</v>
      </c>
      <c r="C567" s="653" t="str">
        <f>MICRONOVA!B8</f>
        <v>ATORVASTATIN 20MG</v>
      </c>
      <c r="D567" s="654">
        <f>MICRONOVA!C8</f>
        <v>30</v>
      </c>
      <c r="E567" s="653">
        <f>MICRONOVA!D8</f>
        <v>500</v>
      </c>
      <c r="F567" s="38">
        <f>MICRONOVA!E8</f>
        <v>450</v>
      </c>
      <c r="G567" s="38">
        <f>MICRONOVA!F8</f>
        <v>225000</v>
      </c>
      <c r="H567" s="35"/>
    </row>
    <row r="568" spans="1:8" ht="18.75" x14ac:dyDescent="0.3">
      <c r="A568" s="35"/>
      <c r="B568" s="653">
        <f>MICRONOVA!A9</f>
        <v>50</v>
      </c>
      <c r="C568" s="653" t="str">
        <f>MICRONOVA!B9</f>
        <v>ATORVASTATIN 40MG</v>
      </c>
      <c r="D568" s="654">
        <f>MICRONOVA!C9</f>
        <v>30</v>
      </c>
      <c r="E568" s="653">
        <f>MICRONOVA!D9</f>
        <v>100</v>
      </c>
      <c r="F568" s="38">
        <f>MICRONOVA!E9</f>
        <v>725</v>
      </c>
      <c r="G568" s="38">
        <f>MICRONOVA!F9</f>
        <v>72500</v>
      </c>
      <c r="H568" s="35"/>
    </row>
    <row r="569" spans="1:8" ht="18.75" x14ac:dyDescent="0.3">
      <c r="A569" s="35"/>
      <c r="B569" s="653">
        <f>MICRONOVA!A10</f>
        <v>225</v>
      </c>
      <c r="C569" s="653" t="str">
        <f>MICRONOVA!B10</f>
        <v>CEFPODOXIME 200MG TAB</v>
      </c>
      <c r="D569" s="654">
        <f>MICRONOVA!C10</f>
        <v>10</v>
      </c>
      <c r="E569" s="653">
        <f>MICRONOVA!D10</f>
        <v>50</v>
      </c>
      <c r="F569" s="38">
        <f>MICRONOVA!E10</f>
        <v>950</v>
      </c>
      <c r="G569" s="38">
        <f>MICRONOVA!F10</f>
        <v>47500</v>
      </c>
      <c r="H569" s="35"/>
    </row>
    <row r="570" spans="1:8" ht="18.75" x14ac:dyDescent="0.3">
      <c r="A570" s="35"/>
      <c r="B570" s="653">
        <f>MICRONOVA!A11</f>
        <v>480</v>
      </c>
      <c r="C570" s="653" t="str">
        <f>MICRONOVA!B11</f>
        <v>FEXOFENADINE 120MG</v>
      </c>
      <c r="D570" s="654">
        <f>MICRONOVA!C11</f>
        <v>10</v>
      </c>
      <c r="E570" s="653">
        <f>MICRONOVA!D11</f>
        <v>80</v>
      </c>
      <c r="F570" s="38">
        <f>MICRONOVA!E11</f>
        <v>650</v>
      </c>
      <c r="G570" s="38">
        <f>MICRONOVA!F11</f>
        <v>52000</v>
      </c>
      <c r="H570" s="35"/>
    </row>
    <row r="571" spans="1:8" ht="23.25" x14ac:dyDescent="0.35">
      <c r="A571" s="35"/>
      <c r="B571" s="653">
        <f>MICRONOVA!A12</f>
        <v>481</v>
      </c>
      <c r="C571" s="653" t="str">
        <f>MICRONOVA!B12</f>
        <v>FEXOFENADINE 180MG</v>
      </c>
      <c r="D571" s="654">
        <f>MICRONOVA!C12</f>
        <v>10</v>
      </c>
      <c r="E571" s="653">
        <f>MICRONOVA!D12</f>
        <v>300</v>
      </c>
      <c r="F571" s="38">
        <f>MICRONOVA!E12</f>
        <v>895</v>
      </c>
      <c r="G571" s="38">
        <f>MICRONOVA!F12</f>
        <v>268500</v>
      </c>
      <c r="H571" s="186"/>
    </row>
    <row r="572" spans="1:8" x14ac:dyDescent="0.35">
      <c r="A572" s="35"/>
      <c r="B572" s="653">
        <f>MICRONOVA!A13</f>
        <v>120</v>
      </c>
      <c r="C572" s="653" t="str">
        <f>MICRONOVA!B13</f>
        <v>GLIMEPIRIDE 2MG TAB</v>
      </c>
      <c r="D572" s="654">
        <f>MICRONOVA!C13</f>
        <v>30</v>
      </c>
      <c r="E572" s="653">
        <f>MICRONOVA!D13</f>
        <v>1200</v>
      </c>
      <c r="F572" s="38">
        <f>MICRONOVA!E13</f>
        <v>750</v>
      </c>
      <c r="G572" s="38">
        <f>MICRONOVA!F13</f>
        <v>900000</v>
      </c>
      <c r="H572" s="76"/>
    </row>
    <row r="573" spans="1:8" x14ac:dyDescent="0.35">
      <c r="A573" s="35"/>
      <c r="B573" s="653">
        <f>MICRONOVA!A14</f>
        <v>515</v>
      </c>
      <c r="C573" s="653" t="str">
        <f>MICRONOVA!B14</f>
        <v>KETOROLAC TROMETHAMINE GTT</v>
      </c>
      <c r="D573" s="654" t="str">
        <f>MICRONOVA!C14</f>
        <v>BOTT</v>
      </c>
      <c r="E573" s="653">
        <f>MICRONOVA!D14</f>
        <v>20</v>
      </c>
      <c r="F573" s="38">
        <f>MICRONOVA!E14</f>
        <v>650</v>
      </c>
      <c r="G573" s="38">
        <f>MICRONOVA!F14</f>
        <v>13000</v>
      </c>
      <c r="H573" s="76"/>
    </row>
    <row r="574" spans="1:8" x14ac:dyDescent="0.35">
      <c r="A574" s="35"/>
      <c r="B574" s="653">
        <f>MICRONOVA!A15</f>
        <v>170</v>
      </c>
      <c r="C574" s="653" t="str">
        <f>MICRONOVA!B15</f>
        <v>METHYLCOBALAMINE/MULTIVITAMINS/MULTIMINERALS/ANTIOXIDANTS</v>
      </c>
      <c r="D574" s="654">
        <f>MICRONOVA!C15</f>
        <v>30</v>
      </c>
      <c r="E574" s="653">
        <f>MICRONOVA!D15</f>
        <v>1500</v>
      </c>
      <c r="F574" s="38">
        <f>MICRONOVA!E15</f>
        <v>1795</v>
      </c>
      <c r="G574" s="38">
        <f>MICRONOVA!F15</f>
        <v>2692500</v>
      </c>
      <c r="H574" s="76"/>
    </row>
    <row r="575" spans="1:8" x14ac:dyDescent="0.35">
      <c r="A575" s="35"/>
      <c r="B575" s="653">
        <f>MICRONOVA!A16</f>
        <v>83</v>
      </c>
      <c r="C575" s="653" t="str">
        <f>MICRONOVA!B16</f>
        <v>METOPROLOL SUCCINATE 25MG TAB</v>
      </c>
      <c r="D575" s="654">
        <f>MICRONOVA!C16</f>
        <v>30</v>
      </c>
      <c r="E575" s="653">
        <f>MICRONOVA!D16</f>
        <v>80</v>
      </c>
      <c r="F575" s="38">
        <f>MICRONOVA!E16</f>
        <v>671</v>
      </c>
      <c r="G575" s="38">
        <f>MICRONOVA!F16</f>
        <v>53680</v>
      </c>
      <c r="H575" s="76"/>
    </row>
    <row r="576" spans="1:8" x14ac:dyDescent="0.35">
      <c r="A576" s="35"/>
      <c r="B576" s="653">
        <f>MICRONOVA!A17</f>
        <v>84</v>
      </c>
      <c r="C576" s="653" t="str">
        <f>MICRONOVA!B17</f>
        <v>METOPROLOL SUCCINATE 50MG TAB</v>
      </c>
      <c r="D576" s="654">
        <f>MICRONOVA!C17</f>
        <v>30</v>
      </c>
      <c r="E576" s="653">
        <f>MICRONOVA!D17</f>
        <v>80</v>
      </c>
      <c r="F576" s="38">
        <f>MICRONOVA!E17</f>
        <v>849</v>
      </c>
      <c r="G576" s="38">
        <f>MICRONOVA!F17</f>
        <v>67920</v>
      </c>
      <c r="H576" s="76"/>
    </row>
    <row r="577" spans="1:8" x14ac:dyDescent="0.35">
      <c r="A577" s="35"/>
      <c r="B577" s="653">
        <f>MICRONOVA!A18</f>
        <v>488</v>
      </c>
      <c r="C577" s="653" t="str">
        <f>MICRONOVA!B18</f>
        <v>MONTELUKAST 10MG/LEVOCETIRIZIN 5MG</v>
      </c>
      <c r="D577" s="654">
        <f>MICRONOVA!C18</f>
        <v>30</v>
      </c>
      <c r="E577" s="653">
        <f>MICRONOVA!D18</f>
        <v>40</v>
      </c>
      <c r="F577" s="38">
        <f>MICRONOVA!E18</f>
        <v>975</v>
      </c>
      <c r="G577" s="38">
        <f>MICRONOVA!F18</f>
        <v>39000</v>
      </c>
      <c r="H577" s="76"/>
    </row>
    <row r="578" spans="1:8" x14ac:dyDescent="0.35">
      <c r="A578" s="35"/>
      <c r="B578" s="653">
        <f>MICRONOVA!A19</f>
        <v>269</v>
      </c>
      <c r="C578" s="653" t="str">
        <f>MICRONOVA!B19</f>
        <v>MOXIFLOXACIN 400MG TAB</v>
      </c>
      <c r="D578" s="654">
        <f>MICRONOVA!C19</f>
        <v>10</v>
      </c>
      <c r="E578" s="653">
        <f>MICRONOVA!D19</f>
        <v>30</v>
      </c>
      <c r="F578" s="38">
        <f>MICRONOVA!E19</f>
        <v>1550</v>
      </c>
      <c r="G578" s="38">
        <f>MICRONOVA!F19</f>
        <v>46500</v>
      </c>
      <c r="H578" s="76"/>
    </row>
    <row r="579" spans="1:8" x14ac:dyDescent="0.35">
      <c r="A579" s="35"/>
      <c r="B579" s="653">
        <f>MICRONOVA!A20</f>
        <v>518</v>
      </c>
      <c r="C579" s="653" t="str">
        <f>MICRONOVA!B20</f>
        <v>MOXIFLOXACIN GT</v>
      </c>
      <c r="D579" s="654" t="str">
        <f>MICRONOVA!C20</f>
        <v>BOTT</v>
      </c>
      <c r="E579" s="653">
        <f>MICRONOVA!D20</f>
        <v>20</v>
      </c>
      <c r="F579" s="38">
        <f>MICRONOVA!E20</f>
        <v>550</v>
      </c>
      <c r="G579" s="38">
        <f>MICRONOVA!F20</f>
        <v>11000</v>
      </c>
      <c r="H579" s="76"/>
    </row>
    <row r="580" spans="1:8" x14ac:dyDescent="0.35">
      <c r="A580" s="35"/>
      <c r="B580" s="653">
        <f>MICRONOVA!A21</f>
        <v>85</v>
      </c>
      <c r="C580" s="653" t="str">
        <f>MICRONOVA!B21</f>
        <v>NEBIVOLOL 5MG</v>
      </c>
      <c r="D580" s="654">
        <f>MICRONOVA!C21</f>
        <v>30</v>
      </c>
      <c r="E580" s="653">
        <f>MICRONOVA!D21</f>
        <v>10</v>
      </c>
      <c r="F580" s="38">
        <f>MICRONOVA!E21</f>
        <v>1895</v>
      </c>
      <c r="G580" s="38">
        <f>MICRONOVA!F21</f>
        <v>18950</v>
      </c>
      <c r="H580" s="76"/>
    </row>
    <row r="581" spans="1:8" x14ac:dyDescent="0.35">
      <c r="A581" s="35"/>
      <c r="B581" s="653">
        <f>MICRONOVA!A22</f>
        <v>86</v>
      </c>
      <c r="C581" s="653" t="str">
        <f>MICRONOVA!B22</f>
        <v>NEBIVOLOL 5MG/HYDROCHLOROTHIAZIDE 12.5MG</v>
      </c>
      <c r="D581" s="654">
        <f>MICRONOVA!C22</f>
        <v>30</v>
      </c>
      <c r="E581" s="653">
        <f>MICRONOVA!D22</f>
        <v>10</v>
      </c>
      <c r="F581" s="38">
        <f>MICRONOVA!E22</f>
        <v>1990</v>
      </c>
      <c r="G581" s="38">
        <f>MICRONOVA!F22</f>
        <v>19900</v>
      </c>
      <c r="H581" s="76"/>
    </row>
    <row r="582" spans="1:8" x14ac:dyDescent="0.35">
      <c r="A582" s="35"/>
      <c r="B582" s="653">
        <f>MICRONOVA!A23</f>
        <v>521</v>
      </c>
      <c r="C582" s="653" t="str">
        <f>MICRONOVA!B23</f>
        <v>OFLOXACIN+DEXAMETHASONE</v>
      </c>
      <c r="D582" s="654" t="str">
        <f>MICRONOVA!C23</f>
        <v>BOTT</v>
      </c>
      <c r="E582" s="653">
        <f>MICRONOVA!D23</f>
        <v>20</v>
      </c>
      <c r="F582" s="38">
        <f>MICRONOVA!E23</f>
        <v>450</v>
      </c>
      <c r="G582" s="38">
        <f>MICRONOVA!F23</f>
        <v>9000</v>
      </c>
      <c r="H582" s="76"/>
    </row>
    <row r="583" spans="1:8" x14ac:dyDescent="0.35">
      <c r="A583" s="35"/>
      <c r="B583" s="653">
        <f>MICRONOVA!A24</f>
        <v>441</v>
      </c>
      <c r="C583" s="653" t="str">
        <f>MICRONOVA!B24</f>
        <v>OMEPRAZOLE 20MG/DOMPERIDONE 10MG</v>
      </c>
      <c r="D583" s="654">
        <f>MICRONOVA!C24</f>
        <v>10</v>
      </c>
      <c r="E583" s="653">
        <f>MICRONOVA!D24</f>
        <v>100</v>
      </c>
      <c r="F583" s="38">
        <f>MICRONOVA!E24</f>
        <v>900</v>
      </c>
      <c r="G583" s="38">
        <f>MICRONOVA!F24</f>
        <v>90000</v>
      </c>
      <c r="H583" s="76"/>
    </row>
    <row r="584" spans="1:8" ht="23.25" x14ac:dyDescent="0.35">
      <c r="A584" s="35"/>
      <c r="B584" s="653">
        <f>MICRONOVA!A25</f>
        <v>136</v>
      </c>
      <c r="C584" s="653" t="str">
        <f>MICRONOVA!B25</f>
        <v>PIOGLITAZONE 30MG</v>
      </c>
      <c r="D584" s="654">
        <f>MICRONOVA!C25</f>
        <v>30</v>
      </c>
      <c r="E584" s="653">
        <f>MICRONOVA!D25</f>
        <v>10</v>
      </c>
      <c r="F584" s="38">
        <f>MICRONOVA!E25</f>
        <v>2095</v>
      </c>
      <c r="G584" s="38">
        <f>MICRONOVA!F25</f>
        <v>20950</v>
      </c>
      <c r="H584" s="186"/>
    </row>
    <row r="585" spans="1:8" x14ac:dyDescent="0.35">
      <c r="A585" s="35"/>
      <c r="B585" s="653">
        <f>MICRONOVA!A26</f>
        <v>327</v>
      </c>
      <c r="C585" s="653" t="str">
        <f>MICRONOVA!B26</f>
        <v>SILYMARIN 140MG TAB</v>
      </c>
      <c r="D585" s="654">
        <f>MICRONOVA!C26</f>
        <v>30</v>
      </c>
      <c r="E585" s="653">
        <f>MICRONOVA!D26</f>
        <v>100</v>
      </c>
      <c r="F585" s="38">
        <f>MICRONOVA!E26</f>
        <v>1908</v>
      </c>
      <c r="G585" s="38">
        <f>MICRONOVA!F26</f>
        <v>190800</v>
      </c>
      <c r="H585" s="76"/>
    </row>
    <row r="586" spans="1:8" x14ac:dyDescent="0.35">
      <c r="A586" s="35"/>
      <c r="B586" s="653">
        <f>MICRONOVA!A27</f>
        <v>328</v>
      </c>
      <c r="C586" s="653" t="str">
        <f>MICRONOVA!B27</f>
        <v>SILYMARIN 70MG TAB</v>
      </c>
      <c r="D586" s="654">
        <f>MICRONOVA!C27</f>
        <v>30</v>
      </c>
      <c r="E586" s="653">
        <f>MICRONOVA!D27</f>
        <v>50</v>
      </c>
      <c r="F586" s="38">
        <f>MICRONOVA!E27</f>
        <v>1265</v>
      </c>
      <c r="G586" s="38">
        <f>MICRONOVA!F27</f>
        <v>63250</v>
      </c>
      <c r="H586" s="76"/>
    </row>
    <row r="587" spans="1:8" x14ac:dyDescent="0.35">
      <c r="A587" s="35"/>
      <c r="B587" s="653">
        <f>MICRONOVA!A28</f>
        <v>530</v>
      </c>
      <c r="C587" s="653" t="str">
        <f>MICRONOVA!B28</f>
        <v>TIMOLOL/DORZOLAMIDE GTT</v>
      </c>
      <c r="D587" s="654" t="str">
        <f>MICRONOVA!C28</f>
        <v>BOTT</v>
      </c>
      <c r="E587" s="653">
        <f>MICRONOVA!D28</f>
        <v>800</v>
      </c>
      <c r="F587" s="38">
        <f>MICRONOVA!E28</f>
        <v>2200</v>
      </c>
      <c r="G587" s="38">
        <f>MICRONOVA!F28</f>
        <v>1760000</v>
      </c>
      <c r="H587" s="76"/>
    </row>
    <row r="588" spans="1:8" x14ac:dyDescent="0.35">
      <c r="A588" s="35"/>
      <c r="B588" s="653">
        <f>MICRONOVA!A29</f>
        <v>111</v>
      </c>
      <c r="C588" s="653" t="str">
        <f>MICRONOVA!B29</f>
        <v>TORSEMIDE 100MG TAB</v>
      </c>
      <c r="D588" s="654">
        <f>MICRONOVA!C29</f>
        <v>30</v>
      </c>
      <c r="E588" s="653">
        <f>MICRONOVA!D29</f>
        <v>20</v>
      </c>
      <c r="F588" s="38">
        <f>MICRONOVA!E29</f>
        <v>1541</v>
      </c>
      <c r="G588" s="38">
        <f>MICRONOVA!F29</f>
        <v>30820</v>
      </c>
      <c r="H588" s="76"/>
    </row>
    <row r="589" spans="1:8" x14ac:dyDescent="0.35">
      <c r="A589" s="35"/>
      <c r="B589" s="653">
        <f>MICRONOVA!A30</f>
        <v>112</v>
      </c>
      <c r="C589" s="653" t="str">
        <f>MICRONOVA!B30</f>
        <v>TORSEMIDE 10MG TAB</v>
      </c>
      <c r="D589" s="654">
        <f>MICRONOVA!C30</f>
        <v>30</v>
      </c>
      <c r="E589" s="653">
        <f>MICRONOVA!D30</f>
        <v>500</v>
      </c>
      <c r="F589" s="38">
        <f>MICRONOVA!E30</f>
        <v>899</v>
      </c>
      <c r="G589" s="38">
        <f>MICRONOVA!F30</f>
        <v>449500</v>
      </c>
      <c r="H589" s="76"/>
    </row>
    <row r="590" spans="1:8" x14ac:dyDescent="0.35">
      <c r="A590" s="35"/>
      <c r="B590" s="653">
        <f>MICRONOVA!A31</f>
        <v>113</v>
      </c>
      <c r="C590" s="653" t="str">
        <f>MICRONOVA!B31</f>
        <v>TORSEMIDE 20MG TAB</v>
      </c>
      <c r="D590" s="654">
        <f>MICRONOVA!C31</f>
        <v>30</v>
      </c>
      <c r="E590" s="653">
        <f>MICRONOVA!D31</f>
        <v>400</v>
      </c>
      <c r="F590" s="38">
        <f>MICRONOVA!E31</f>
        <v>1290</v>
      </c>
      <c r="G590" s="38">
        <f>MICRONOVA!F31</f>
        <v>516000</v>
      </c>
      <c r="H590" s="76"/>
    </row>
    <row r="591" spans="1:8" x14ac:dyDescent="0.35">
      <c r="A591" s="35"/>
      <c r="B591" s="653">
        <f>MICRONOVA!A32</f>
        <v>114</v>
      </c>
      <c r="C591" s="653" t="str">
        <f>MICRONOVA!B32</f>
        <v>TORSEMIDE INJ</v>
      </c>
      <c r="D591" s="654">
        <f>MICRONOVA!C32</f>
        <v>5</v>
      </c>
      <c r="E591" s="653">
        <f>MICRONOVA!D32</f>
        <v>500</v>
      </c>
      <c r="F591" s="38">
        <f>MICRONOVA!E32</f>
        <v>595</v>
      </c>
      <c r="G591" s="38">
        <f>MICRONOVA!F32</f>
        <v>297500</v>
      </c>
      <c r="H591" s="76"/>
    </row>
    <row r="592" spans="1:8" ht="23.25" x14ac:dyDescent="0.35">
      <c r="A592" s="35"/>
      <c r="B592" s="653">
        <f>MICRONOVA!A33</f>
        <v>538</v>
      </c>
      <c r="C592" s="653" t="str">
        <f>MICRONOVA!B33</f>
        <v>ZINC/CHLORPHENIRAMINE/NAPHAZOLINE</v>
      </c>
      <c r="D592" s="654" t="str">
        <f>MICRONOVA!C33</f>
        <v>BOTT</v>
      </c>
      <c r="E592" s="653">
        <f>MICRONOVA!D33</f>
        <v>1000</v>
      </c>
      <c r="F592" s="38">
        <f>MICRONOVA!E33</f>
        <v>600</v>
      </c>
      <c r="G592" s="38">
        <f>MICRONOVA!F33</f>
        <v>600000</v>
      </c>
      <c r="H592" s="186">
        <f>SUM(G565:G592)</f>
        <v>9060540</v>
      </c>
    </row>
    <row r="593" spans="1:8" x14ac:dyDescent="0.35">
      <c r="A593" s="35"/>
      <c r="B593" s="653"/>
      <c r="C593" s="653"/>
      <c r="D593" s="654"/>
      <c r="E593" s="653"/>
      <c r="F593" s="38"/>
      <c r="G593" s="38"/>
      <c r="H593" s="76"/>
    </row>
    <row r="594" spans="1:8" ht="23.25" x14ac:dyDescent="0.35">
      <c r="A594" s="35">
        <v>30</v>
      </c>
      <c r="B594" s="653"/>
      <c r="C594" s="656" t="str">
        <f>MFLASH!B1</f>
        <v>MIRAFLASH NIGERIA LIMITED</v>
      </c>
      <c r="D594" s="654"/>
      <c r="E594" s="653"/>
      <c r="F594" s="38"/>
      <c r="G594" s="38"/>
      <c r="H594" s="76"/>
    </row>
    <row r="595" spans="1:8" x14ac:dyDescent="0.35">
      <c r="A595" s="35"/>
      <c r="B595" s="653">
        <f>MFLASH!A6</f>
        <v>39</v>
      </c>
      <c r="C595" s="653" t="str">
        <f>MFLASH!B6</f>
        <v>AMLODIPINE 5MG TAB</v>
      </c>
      <c r="D595" s="654">
        <f>MFLASH!C6</f>
        <v>28</v>
      </c>
      <c r="E595" s="653">
        <f>MFLASH!D6</f>
        <v>2500</v>
      </c>
      <c r="F595" s="38">
        <f>MFLASH!E6</f>
        <v>190</v>
      </c>
      <c r="G595" s="38">
        <f>MFLASH!F6</f>
        <v>475000</v>
      </c>
      <c r="H595" s="76"/>
    </row>
    <row r="596" spans="1:8" x14ac:dyDescent="0.35">
      <c r="A596" s="35"/>
      <c r="B596" s="653">
        <f>MFLASH!A7</f>
        <v>197</v>
      </c>
      <c r="C596" s="653" t="str">
        <f>MFLASH!B7</f>
        <v>AMOXICILLIN 125MG/5ML SUSPENSION</v>
      </c>
      <c r="D596" s="654" t="str">
        <f>MFLASH!C7</f>
        <v>BOTT</v>
      </c>
      <c r="E596" s="653">
        <f>MFLASH!D7</f>
        <v>1600</v>
      </c>
      <c r="F596" s="38">
        <f>MFLASH!E7</f>
        <v>185</v>
      </c>
      <c r="G596" s="38">
        <f>MFLASH!F7</f>
        <v>296000</v>
      </c>
      <c r="H596" s="76"/>
    </row>
    <row r="597" spans="1:8" x14ac:dyDescent="0.35">
      <c r="A597" s="35"/>
      <c r="B597" s="653">
        <f>MFLASH!A8</f>
        <v>225</v>
      </c>
      <c r="C597" s="653" t="str">
        <f>MFLASH!B8</f>
        <v>CEFPODOXIME 200MG TAB</v>
      </c>
      <c r="D597" s="654">
        <f>MFLASH!C8</f>
        <v>10</v>
      </c>
      <c r="E597" s="653">
        <f>MFLASH!D8</f>
        <v>50</v>
      </c>
      <c r="F597" s="38">
        <f>MFLASH!E8</f>
        <v>1600</v>
      </c>
      <c r="G597" s="38">
        <f>MFLASH!F8</f>
        <v>80000</v>
      </c>
      <c r="H597" s="76"/>
    </row>
    <row r="598" spans="1:8" x14ac:dyDescent="0.35">
      <c r="A598" s="35"/>
      <c r="B598" s="653">
        <f>MFLASH!A9</f>
        <v>230</v>
      </c>
      <c r="C598" s="653" t="str">
        <f>MFLASH!B9</f>
        <v>CEFUROXIME 250MG TAB</v>
      </c>
      <c r="D598" s="654">
        <f>MFLASH!C9</f>
        <v>10</v>
      </c>
      <c r="E598" s="653">
        <f>MFLASH!D9</f>
        <v>1000</v>
      </c>
      <c r="F598" s="38">
        <f>MFLASH!E9</f>
        <v>600</v>
      </c>
      <c r="G598" s="38">
        <f>MFLASH!F9</f>
        <v>600000</v>
      </c>
      <c r="H598" s="76"/>
    </row>
    <row r="599" spans="1:8" ht="23.25" x14ac:dyDescent="0.35">
      <c r="A599" s="35"/>
      <c r="B599" s="653">
        <f>MFLASH!A10</f>
        <v>235</v>
      </c>
      <c r="C599" s="653" t="str">
        <f>MFLASH!B10</f>
        <v>CEPHALEXIN SUSP 125MG/5ML</v>
      </c>
      <c r="D599" s="654" t="str">
        <f>MFLASH!C10</f>
        <v>BOTT</v>
      </c>
      <c r="E599" s="653">
        <f>MFLASH!D10</f>
        <v>200</v>
      </c>
      <c r="F599" s="38">
        <f>MFLASH!E10</f>
        <v>350</v>
      </c>
      <c r="G599" s="38">
        <f>MFLASH!F10</f>
        <v>70000</v>
      </c>
      <c r="H599" s="186">
        <f>SUM(G595:G599)</f>
        <v>1521000</v>
      </c>
    </row>
    <row r="600" spans="1:8" x14ac:dyDescent="0.35">
      <c r="A600" s="35"/>
      <c r="B600" s="653"/>
      <c r="C600" s="653"/>
      <c r="D600" s="654"/>
      <c r="E600" s="653"/>
      <c r="F600" s="38"/>
      <c r="G600" s="38"/>
      <c r="H600" s="76"/>
    </row>
    <row r="601" spans="1:8" ht="23.25" x14ac:dyDescent="0.35">
      <c r="A601" s="35">
        <v>31</v>
      </c>
      <c r="B601" s="653"/>
      <c r="C601" s="656" t="str">
        <f>MORISON!B1</f>
        <v>MORISON INDUSTRIES PLC</v>
      </c>
      <c r="D601" s="654"/>
      <c r="E601" s="653"/>
      <c r="F601" s="38"/>
      <c r="G601" s="38"/>
      <c r="H601" s="76"/>
    </row>
    <row r="602" spans="1:8" ht="23.25" x14ac:dyDescent="0.35">
      <c r="A602" s="35"/>
      <c r="B602" s="653">
        <f>MORISON!A6</f>
        <v>671</v>
      </c>
      <c r="C602" s="653" t="str">
        <f>MORISON!B6</f>
        <v>CHLORHEXIDINE GLUCONATE 5% (HIBITANE)</v>
      </c>
      <c r="D602" s="654" t="str">
        <f>MORISON!C6</f>
        <v>4L</v>
      </c>
      <c r="E602" s="653">
        <f>MORISON!D6</f>
        <v>30</v>
      </c>
      <c r="F602" s="38">
        <f>MORISON!E6</f>
        <v>7400</v>
      </c>
      <c r="G602" s="38">
        <f>MORISON!F6</f>
        <v>222000</v>
      </c>
      <c r="H602" s="186"/>
    </row>
    <row r="603" spans="1:8" x14ac:dyDescent="0.35">
      <c r="A603" s="35"/>
      <c r="B603" s="653">
        <f>MORISON!A7</f>
        <v>674</v>
      </c>
      <c r="C603" s="653" t="str">
        <f>MORISON!B7</f>
        <v>GLUTARALDEHYDE (4 LITRES)</v>
      </c>
      <c r="D603" s="654" t="str">
        <f>MORISON!C7</f>
        <v>KEG</v>
      </c>
      <c r="E603" s="653">
        <f>MORISON!D7</f>
        <v>10</v>
      </c>
      <c r="F603" s="38">
        <f>MORISON!E7</f>
        <v>3450</v>
      </c>
      <c r="G603" s="38">
        <f>MORISON!F7</f>
        <v>34500</v>
      </c>
      <c r="H603" s="76"/>
    </row>
    <row r="604" spans="1:8" x14ac:dyDescent="0.35">
      <c r="A604" s="35"/>
      <c r="B604" s="653">
        <f>MORISON!A8</f>
        <v>680</v>
      </c>
      <c r="C604" s="653" t="str">
        <f>MORISON!B8</f>
        <v>MORIGAD DISINFECTANT (4 LITRES)</v>
      </c>
      <c r="D604" s="654" t="str">
        <f>MORISON!C8</f>
        <v>KEG</v>
      </c>
      <c r="E604" s="653">
        <f>MORISON!D8</f>
        <v>12</v>
      </c>
      <c r="F604" s="38">
        <f>MORISON!E8</f>
        <v>5175</v>
      </c>
      <c r="G604" s="38">
        <f>MORISON!F8</f>
        <v>62100</v>
      </c>
      <c r="H604" s="76"/>
    </row>
    <row r="605" spans="1:8" ht="23.25" x14ac:dyDescent="0.35">
      <c r="A605" s="35"/>
      <c r="B605" s="653">
        <f>MORISON!A9</f>
        <v>677</v>
      </c>
      <c r="C605" s="653" t="str">
        <f>MORISON!B9</f>
        <v>MORIGAD GERMICIDE (4 LITRE)</v>
      </c>
      <c r="D605" s="654" t="str">
        <f>MORISON!C9</f>
        <v>KEG</v>
      </c>
      <c r="E605" s="653">
        <f>MORISON!D9</f>
        <v>5</v>
      </c>
      <c r="F605" s="38">
        <f>MORISON!E9</f>
        <v>5550</v>
      </c>
      <c r="G605" s="38">
        <f>MORISON!F9</f>
        <v>27750</v>
      </c>
      <c r="H605" s="186">
        <f>SUM(G602:G605)</f>
        <v>346350</v>
      </c>
    </row>
    <row r="606" spans="1:8" ht="23.25" x14ac:dyDescent="0.35">
      <c r="A606" s="35"/>
      <c r="B606" s="653"/>
      <c r="C606" s="653"/>
      <c r="D606" s="654"/>
      <c r="E606" s="653"/>
      <c r="F606" s="38"/>
      <c r="G606" s="38"/>
      <c r="H606" s="186"/>
    </row>
    <row r="607" spans="1:8" ht="23.25" x14ac:dyDescent="0.35">
      <c r="A607" s="35"/>
      <c r="B607" s="653"/>
      <c r="C607" s="653"/>
      <c r="D607" s="654"/>
      <c r="E607" s="653"/>
      <c r="F607" s="38"/>
      <c r="G607" s="38"/>
      <c r="H607" s="186"/>
    </row>
    <row r="608" spans="1:8" ht="23.25" x14ac:dyDescent="0.35">
      <c r="A608" s="35">
        <v>32</v>
      </c>
      <c r="B608" s="653"/>
      <c r="C608" s="656" t="str">
        <f>NHC!B1</f>
        <v>NHC PHARMACEUTICALS LIMITED</v>
      </c>
      <c r="D608" s="654"/>
      <c r="E608" s="653"/>
      <c r="F608" s="38"/>
      <c r="G608" s="38"/>
      <c r="H608" s="76"/>
    </row>
    <row r="609" spans="1:8" x14ac:dyDescent="0.35">
      <c r="A609" s="35"/>
      <c r="B609" s="653">
        <f>NHC!A6</f>
        <v>214</v>
      </c>
      <c r="C609" s="653" t="str">
        <f>NHC!B6</f>
        <v>AMPICILLIN+SULBACTAM INJ</v>
      </c>
      <c r="D609" s="654" t="str">
        <f>NHC!C6</f>
        <v>VIAL</v>
      </c>
      <c r="E609" s="653">
        <f>NHC!D6</f>
        <v>600</v>
      </c>
      <c r="F609" s="38">
        <f>NHC!E6</f>
        <v>829</v>
      </c>
      <c r="G609" s="38">
        <f>NHC!F6</f>
        <v>497400</v>
      </c>
      <c r="H609" s="76"/>
    </row>
    <row r="610" spans="1:8" x14ac:dyDescent="0.35">
      <c r="A610" s="35"/>
      <c r="B610" s="653">
        <f>NHC!A7</f>
        <v>146</v>
      </c>
      <c r="C610" s="653" t="str">
        <f>NHC!B7</f>
        <v>CELECOXIB 200MG CAP</v>
      </c>
      <c r="D610" s="654">
        <f>NHC!C7</f>
        <v>100</v>
      </c>
      <c r="E610" s="653">
        <f>NHC!D7</f>
        <v>500</v>
      </c>
      <c r="F610" s="38">
        <f>NHC!E7</f>
        <v>15517</v>
      </c>
      <c r="G610" s="38">
        <f>NHC!F7</f>
        <v>7758500</v>
      </c>
      <c r="H610" s="76"/>
    </row>
    <row r="611" spans="1:8" x14ac:dyDescent="0.35">
      <c r="A611" s="35"/>
      <c r="B611" s="653">
        <f>NHC!A8</f>
        <v>239</v>
      </c>
      <c r="C611" s="653" t="str">
        <f>NHC!B8</f>
        <v>CLINDAMYCIN 300MG CAP</v>
      </c>
      <c r="D611" s="654">
        <f>NHC!C8</f>
        <v>16</v>
      </c>
      <c r="E611" s="653">
        <f>NHC!D8</f>
        <v>300</v>
      </c>
      <c r="F611" s="38">
        <f>NHC!E8</f>
        <v>2579</v>
      </c>
      <c r="G611" s="38">
        <f>NHC!F8</f>
        <v>773700</v>
      </c>
      <c r="H611" s="76"/>
    </row>
    <row r="612" spans="1:8" x14ac:dyDescent="0.35">
      <c r="A612" s="35"/>
      <c r="B612" s="653">
        <f>NHC!A9</f>
        <v>157</v>
      </c>
      <c r="C612" s="653" t="str">
        <f>NHC!B9</f>
        <v>DICLOFENAC/MISOPROSTOL TAB</v>
      </c>
      <c r="D612" s="654">
        <f>NHC!C9</f>
        <v>100</v>
      </c>
      <c r="E612" s="653">
        <f>NHC!D9</f>
        <v>600</v>
      </c>
      <c r="F612" s="38">
        <f>NHC!E9</f>
        <v>5559</v>
      </c>
      <c r="G612" s="38">
        <f>NHC!F9</f>
        <v>3335400</v>
      </c>
      <c r="H612" s="76"/>
    </row>
    <row r="613" spans="1:8" x14ac:dyDescent="0.35">
      <c r="A613" s="35"/>
      <c r="B613" s="653">
        <f>NHC!A10</f>
        <v>313</v>
      </c>
      <c r="C613" s="653" t="str">
        <f>NHC!B10</f>
        <v>JOBELYN CAP</v>
      </c>
      <c r="D613" s="654">
        <f>NHC!C10</f>
        <v>100</v>
      </c>
      <c r="E613" s="653">
        <f>NHC!D10</f>
        <v>20</v>
      </c>
      <c r="F613" s="38">
        <f>NHC!E10</f>
        <v>4450</v>
      </c>
      <c r="G613" s="38">
        <f>NHC!F10</f>
        <v>89000</v>
      </c>
      <c r="H613" s="76"/>
    </row>
    <row r="614" spans="1:8" x14ac:dyDescent="0.35">
      <c r="A614" s="35"/>
      <c r="B614" s="653">
        <f>NHC!A11</f>
        <v>259</v>
      </c>
      <c r="C614" s="653" t="str">
        <f>NHC!B11</f>
        <v>KETOCONAZOLE SHAMPOO</v>
      </c>
      <c r="D614" s="654" t="str">
        <f>NHC!C11</f>
        <v>TUBE</v>
      </c>
      <c r="E614" s="653">
        <f>NHC!D11</f>
        <v>20</v>
      </c>
      <c r="F614" s="38">
        <f>NHC!E11</f>
        <v>1825</v>
      </c>
      <c r="G614" s="38">
        <f>NHC!F11</f>
        <v>36500</v>
      </c>
      <c r="H614" s="76"/>
    </row>
    <row r="615" spans="1:8" x14ac:dyDescent="0.35">
      <c r="A615" s="35"/>
      <c r="B615" s="653">
        <f>NHC!A12</f>
        <v>516</v>
      </c>
      <c r="C615" s="653" t="str">
        <f>NHC!B12</f>
        <v>LATANOPROST 0.05%</v>
      </c>
      <c r="D615" s="654" t="str">
        <f>NHC!C12</f>
        <v>BOTT</v>
      </c>
      <c r="E615" s="653">
        <f>NHC!D12</f>
        <v>400</v>
      </c>
      <c r="F615" s="38">
        <f>NHC!E12</f>
        <v>4069</v>
      </c>
      <c r="G615" s="38">
        <f>NHC!F12</f>
        <v>1627600</v>
      </c>
      <c r="H615" s="76"/>
    </row>
    <row r="616" spans="1:8" x14ac:dyDescent="0.35">
      <c r="A616" s="35"/>
      <c r="B616" s="653">
        <f>NHC!A13</f>
        <v>517</v>
      </c>
      <c r="C616" s="653" t="str">
        <f>NHC!B13</f>
        <v>LATANOPROST+TIMOLOL GTT</v>
      </c>
      <c r="D616" s="654" t="str">
        <f>NHC!C13</f>
        <v>BOTT</v>
      </c>
      <c r="E616" s="653">
        <f>NHC!D13</f>
        <v>300</v>
      </c>
      <c r="F616" s="38">
        <f>NHC!E13</f>
        <v>4282</v>
      </c>
      <c r="G616" s="38">
        <f>NHC!F13</f>
        <v>1284600</v>
      </c>
      <c r="H616" s="76"/>
    </row>
    <row r="617" spans="1:8" x14ac:dyDescent="0.35">
      <c r="A617" s="35"/>
      <c r="B617" s="653">
        <f>NHC!A14</f>
        <v>263</v>
      </c>
      <c r="C617" s="653" t="str">
        <f>NHC!B14</f>
        <v>MEROPENEM 1GM INJ</v>
      </c>
      <c r="D617" s="654" t="str">
        <f>NHC!C14</f>
        <v>VIAL</v>
      </c>
      <c r="E617" s="653">
        <f>NHC!D14</f>
        <v>200</v>
      </c>
      <c r="F617" s="38">
        <f>NHC!E14</f>
        <v>11067</v>
      </c>
      <c r="G617" s="38">
        <f>NHC!F14</f>
        <v>2213400</v>
      </c>
      <c r="H617" s="76"/>
    </row>
    <row r="618" spans="1:8" x14ac:dyDescent="0.35">
      <c r="A618" s="35"/>
      <c r="B618" s="653">
        <f>NHC!A15</f>
        <v>390</v>
      </c>
      <c r="C618" s="653" t="str">
        <f>NHC!B15</f>
        <v>MISOPROSTOL200MCG TAB</v>
      </c>
      <c r="D618" s="654">
        <f>NHC!C15</f>
        <v>60</v>
      </c>
      <c r="E618" s="653">
        <f>NHC!D15</f>
        <v>40</v>
      </c>
      <c r="F618" s="38">
        <f>NHC!E15</f>
        <v>2579</v>
      </c>
      <c r="G618" s="38">
        <f>NHC!F15</f>
        <v>103160</v>
      </c>
      <c r="H618" s="76"/>
    </row>
    <row r="619" spans="1:8" ht="23.25" x14ac:dyDescent="0.35">
      <c r="A619" s="35"/>
      <c r="B619" s="653">
        <f>NHC!A16</f>
        <v>193</v>
      </c>
      <c r="C619" s="653" t="str">
        <f>NHC!B16</f>
        <v>TRAMADOL 50MG CAP</v>
      </c>
      <c r="D619" s="654">
        <f>NHC!C16</f>
        <v>100</v>
      </c>
      <c r="E619" s="653">
        <f>NHC!D16</f>
        <v>300</v>
      </c>
      <c r="F619" s="38">
        <f>NHC!E16</f>
        <v>6500</v>
      </c>
      <c r="G619" s="38">
        <f>NHC!F16</f>
        <v>1950000</v>
      </c>
      <c r="H619" s="186">
        <f>SUM(G609:G619)</f>
        <v>19669260</v>
      </c>
    </row>
    <row r="620" spans="1:8" x14ac:dyDescent="0.35">
      <c r="A620" s="35"/>
      <c r="B620" s="653"/>
      <c r="C620" s="653"/>
      <c r="D620" s="654"/>
      <c r="E620" s="653"/>
      <c r="F620" s="38"/>
      <c r="G620" s="38"/>
      <c r="H620" s="76"/>
    </row>
    <row r="621" spans="1:8" ht="23.25" x14ac:dyDescent="0.35">
      <c r="A621" s="35">
        <v>33</v>
      </c>
      <c r="B621" s="35"/>
      <c r="C621" s="77" t="str">
        <f>OLEAF!B1</f>
        <v>OAK-LEAF PHARM. NIGERIA LIMITED</v>
      </c>
      <c r="D621" s="648"/>
      <c r="E621" s="35"/>
      <c r="F621" s="38"/>
      <c r="G621" s="38"/>
      <c r="H621" s="76"/>
    </row>
    <row r="622" spans="1:8" ht="23.25" x14ac:dyDescent="0.35">
      <c r="A622" s="35"/>
      <c r="B622" s="653">
        <f>OLEAF!A6</f>
        <v>295</v>
      </c>
      <c r="C622" s="653" t="str">
        <f>OLEAF!B6</f>
        <v>CALCIUM+VITAMIN C+VITAMIN D3</v>
      </c>
      <c r="D622" s="654">
        <f>OLEAF!C6</f>
        <v>20</v>
      </c>
      <c r="E622" s="653">
        <f>OLEAF!D6</f>
        <v>2000</v>
      </c>
      <c r="F622" s="38">
        <f>OLEAF!E6</f>
        <v>900</v>
      </c>
      <c r="G622" s="38">
        <f>OLEAF!F6</f>
        <v>1800000</v>
      </c>
      <c r="H622" s="186">
        <f>SUM(G622:G622)</f>
        <v>1800000</v>
      </c>
    </row>
    <row r="623" spans="1:8" x14ac:dyDescent="0.35">
      <c r="A623" s="35"/>
      <c r="B623" s="35"/>
      <c r="C623" s="35"/>
      <c r="D623" s="648"/>
      <c r="E623" s="35"/>
      <c r="F623" s="38"/>
      <c r="G623" s="38"/>
      <c r="H623" s="76"/>
    </row>
    <row r="624" spans="1:8" x14ac:dyDescent="0.35">
      <c r="A624" s="35"/>
      <c r="B624" s="35"/>
      <c r="C624" s="35"/>
      <c r="D624" s="648"/>
      <c r="E624" s="35"/>
      <c r="F624" s="38"/>
      <c r="G624" s="38"/>
      <c r="H624" s="76"/>
    </row>
    <row r="625" spans="1:8" ht="23.25" x14ac:dyDescent="0.35">
      <c r="A625" s="35">
        <v>34</v>
      </c>
      <c r="B625" s="35"/>
      <c r="C625" s="77" t="str">
        <f>PHAMATEX!B1</f>
        <v>PHAMATEX INDUSTRIES LIMITED</v>
      </c>
      <c r="D625" s="648"/>
      <c r="E625" s="35"/>
      <c r="F625" s="38"/>
      <c r="G625" s="38"/>
      <c r="H625" s="76"/>
    </row>
    <row r="626" spans="1:8" x14ac:dyDescent="0.35">
      <c r="A626" s="35"/>
      <c r="B626" s="653">
        <f>PHAMATEX!A6</f>
        <v>34</v>
      </c>
      <c r="C626" s="653" t="str">
        <f>PHAMATEX!B6</f>
        <v>AMILORIDE/HCT 5/50MG TAB</v>
      </c>
      <c r="D626" s="654">
        <f>PHAMATEX!C6</f>
        <v>100</v>
      </c>
      <c r="E626" s="653">
        <f>PHAMATEX!D6</f>
        <v>400</v>
      </c>
      <c r="F626" s="38">
        <f>PHAMATEX!E6</f>
        <v>405</v>
      </c>
      <c r="G626" s="38">
        <f>PHAMATEX!F6</f>
        <v>162000</v>
      </c>
      <c r="H626" s="76"/>
    </row>
    <row r="627" spans="1:8" x14ac:dyDescent="0.35">
      <c r="A627" s="35"/>
      <c r="B627" s="653">
        <f>PHAMATEX!A7</f>
        <v>46</v>
      </c>
      <c r="C627" s="653" t="str">
        <f>PHAMATEX!B7</f>
        <v>ASPIRIN 75MG TAB</v>
      </c>
      <c r="D627" s="654">
        <f>PHAMATEX!C7</f>
        <v>100</v>
      </c>
      <c r="E627" s="653">
        <f>PHAMATEX!D7</f>
        <v>1000</v>
      </c>
      <c r="F627" s="38">
        <f>PHAMATEX!E7</f>
        <v>140</v>
      </c>
      <c r="G627" s="38">
        <f>PHAMATEX!F7</f>
        <v>140000</v>
      </c>
      <c r="H627" s="76"/>
    </row>
    <row r="628" spans="1:8" x14ac:dyDescent="0.35">
      <c r="A628" s="35"/>
      <c r="B628" s="653">
        <f>PHAMATEX!A8</f>
        <v>242</v>
      </c>
      <c r="C628" s="653" t="str">
        <f>PHAMATEX!B8</f>
        <v>CO-TRIMOXAZOLE 480MG TAB</v>
      </c>
      <c r="D628" s="654">
        <f>PHAMATEX!C8</f>
        <v>100</v>
      </c>
      <c r="E628" s="653">
        <f>PHAMATEX!D8</f>
        <v>120</v>
      </c>
      <c r="F628" s="38">
        <f>PHAMATEX!E8</f>
        <v>385</v>
      </c>
      <c r="G628" s="38">
        <f>PHAMATEX!F8</f>
        <v>46200</v>
      </c>
      <c r="H628" s="76"/>
    </row>
    <row r="629" spans="1:8" x14ac:dyDescent="0.35">
      <c r="A629" s="35"/>
      <c r="B629" s="653">
        <f>PHAMATEX!A9</f>
        <v>243</v>
      </c>
      <c r="C629" s="653" t="str">
        <f>PHAMATEX!B9</f>
        <v>CO-TRIMOXAZOLE 960MG TAB</v>
      </c>
      <c r="D629" s="654">
        <f>PHAMATEX!C9</f>
        <v>10</v>
      </c>
      <c r="E629" s="653">
        <f>PHAMATEX!D9</f>
        <v>1200</v>
      </c>
      <c r="F629" s="38">
        <f>PHAMATEX!E9</f>
        <v>150</v>
      </c>
      <c r="G629" s="38">
        <f>PHAMATEX!F9</f>
        <v>180000</v>
      </c>
      <c r="H629" s="76"/>
    </row>
    <row r="630" spans="1:8" x14ac:dyDescent="0.35">
      <c r="A630" s="35"/>
      <c r="B630" s="653">
        <f>PHAMATEX!A10</f>
        <v>249</v>
      </c>
      <c r="C630" s="653" t="str">
        <f>PHAMATEX!B10</f>
        <v>ERYTHROMYCIN 500MG TAB</v>
      </c>
      <c r="D630" s="654">
        <f>PHAMATEX!C10</f>
        <v>100</v>
      </c>
      <c r="E630" s="653">
        <f>PHAMATEX!D10</f>
        <v>800</v>
      </c>
      <c r="F630" s="38">
        <f>PHAMATEX!E10</f>
        <v>2520</v>
      </c>
      <c r="G630" s="38">
        <f>PHAMATEX!F10</f>
        <v>2016000</v>
      </c>
      <c r="H630" s="76"/>
    </row>
    <row r="631" spans="1:8" x14ac:dyDescent="0.35">
      <c r="A631" s="35"/>
      <c r="B631" s="653">
        <f>PHAMATEX!A11</f>
        <v>251</v>
      </c>
      <c r="C631" s="653" t="str">
        <f>PHAMATEX!B11</f>
        <v>FLUCONAZOLE 150MG CAP</v>
      </c>
      <c r="D631" s="654">
        <f>PHAMATEX!C11</f>
        <v>10</v>
      </c>
      <c r="E631" s="653">
        <f>PHAMATEX!D11</f>
        <v>100</v>
      </c>
      <c r="F631" s="38">
        <f>PHAMATEX!E11</f>
        <v>280</v>
      </c>
      <c r="G631" s="38">
        <f>PHAMATEX!F11</f>
        <v>28000</v>
      </c>
      <c r="H631" s="76"/>
    </row>
    <row r="632" spans="1:8" x14ac:dyDescent="0.35">
      <c r="A632" s="35"/>
      <c r="B632" s="653">
        <f>PHAMATEX!A12</f>
        <v>162</v>
      </c>
      <c r="C632" s="653" t="str">
        <f>PHAMATEX!B12</f>
        <v>IBUPROFEN 400MG TAB</v>
      </c>
      <c r="D632" s="654">
        <f>PHAMATEX!C12</f>
        <v>100</v>
      </c>
      <c r="E632" s="653">
        <f>PHAMATEX!D12</f>
        <v>400</v>
      </c>
      <c r="F632" s="38">
        <f>PHAMATEX!E12</f>
        <v>495</v>
      </c>
      <c r="G632" s="38">
        <f>PHAMATEX!F12</f>
        <v>198000</v>
      </c>
      <c r="H632" s="76"/>
    </row>
    <row r="633" spans="1:8" x14ac:dyDescent="0.35">
      <c r="A633" s="35"/>
      <c r="B633" s="653">
        <f>PHAMATEX!A13</f>
        <v>258</v>
      </c>
      <c r="C633" s="653" t="str">
        <f>PHAMATEX!B13</f>
        <v>KETOCONAZOLE 200MG TAB</v>
      </c>
      <c r="D633" s="654">
        <f>PHAMATEX!C13</f>
        <v>100</v>
      </c>
      <c r="E633" s="653">
        <f>PHAMATEX!D13</f>
        <v>100</v>
      </c>
      <c r="F633" s="38">
        <f>PHAMATEX!E13</f>
        <v>1300</v>
      </c>
      <c r="G633" s="38">
        <f>PHAMATEX!F13</f>
        <v>130000</v>
      </c>
      <c r="H633" s="76"/>
    </row>
    <row r="634" spans="1:8" x14ac:dyDescent="0.35">
      <c r="A634" s="35"/>
      <c r="B634" s="653">
        <f>PHAMATEX!A14</f>
        <v>485</v>
      </c>
      <c r="C634" s="653" t="str">
        <f>PHAMATEX!B14</f>
        <v>LEVOCETIRIZINE</v>
      </c>
      <c r="D634" s="654">
        <f>PHAMATEX!C14</f>
        <v>100</v>
      </c>
      <c r="E634" s="653">
        <f>PHAMATEX!D14</f>
        <v>80</v>
      </c>
      <c r="F634" s="38">
        <f>PHAMATEX!E14</f>
        <v>496</v>
      </c>
      <c r="G634" s="38">
        <f>PHAMATEX!F14</f>
        <v>39680</v>
      </c>
      <c r="H634" s="76"/>
    </row>
    <row r="635" spans="1:8" x14ac:dyDescent="0.35">
      <c r="A635" s="35"/>
      <c r="B635" s="653">
        <f>PHAMATEX!A15</f>
        <v>134</v>
      </c>
      <c r="C635" s="653" t="str">
        <f>PHAMATEX!B15</f>
        <v>METFORMIN HCL 500MG TAB</v>
      </c>
      <c r="D635" s="654">
        <f>PHAMATEX!C15</f>
        <v>100</v>
      </c>
      <c r="E635" s="653">
        <f>PHAMATEX!D15</f>
        <v>1000</v>
      </c>
      <c r="F635" s="38">
        <f>PHAMATEX!E15</f>
        <v>450</v>
      </c>
      <c r="G635" s="38">
        <f>PHAMATEX!F15</f>
        <v>450000</v>
      </c>
      <c r="H635" s="76"/>
    </row>
    <row r="636" spans="1:8" x14ac:dyDescent="0.35">
      <c r="A636" s="35"/>
      <c r="B636" s="653">
        <f>PHAMATEX!A16</f>
        <v>265</v>
      </c>
      <c r="C636" s="653" t="str">
        <f>PHAMATEX!B16</f>
        <v>METRONIDAZOLE 400MG TAB</v>
      </c>
      <c r="D636" s="654">
        <f>PHAMATEX!C16</f>
        <v>100</v>
      </c>
      <c r="E636" s="653">
        <f>PHAMATEX!D16</f>
        <v>2000</v>
      </c>
      <c r="F636" s="38">
        <f>PHAMATEX!E16</f>
        <v>380</v>
      </c>
      <c r="G636" s="38">
        <f>PHAMATEX!F16</f>
        <v>760000</v>
      </c>
      <c r="H636" s="76"/>
    </row>
    <row r="637" spans="1:8" x14ac:dyDescent="0.35">
      <c r="A637" s="35"/>
      <c r="B637" s="653">
        <f>PHAMATEX!A17</f>
        <v>181</v>
      </c>
      <c r="C637" s="653" t="str">
        <f>PHAMATEX!B17</f>
        <v>PARACETAMOL 500MG TAB</v>
      </c>
      <c r="D637" s="654">
        <f>PHAMATEX!C17</f>
        <v>96</v>
      </c>
      <c r="E637" s="653">
        <f>PHAMATEX!D17</f>
        <v>4200</v>
      </c>
      <c r="F637" s="38">
        <f>PHAMATEX!E17</f>
        <v>205</v>
      </c>
      <c r="G637" s="38">
        <f>PHAMATEX!F17</f>
        <v>861000</v>
      </c>
      <c r="H637" s="76"/>
    </row>
    <row r="638" spans="1:8" x14ac:dyDescent="0.35">
      <c r="A638" s="35"/>
      <c r="B638" s="653">
        <f>PHAMATEX!A18</f>
        <v>183</v>
      </c>
      <c r="C638" s="653" t="str">
        <f>PHAMATEX!B18</f>
        <v>PARACETAMOL SYR</v>
      </c>
      <c r="D638" s="654" t="str">
        <f>PHAMATEX!C18</f>
        <v>BOTT</v>
      </c>
      <c r="E638" s="653">
        <f>PHAMATEX!D18</f>
        <v>3000</v>
      </c>
      <c r="F638" s="38">
        <f>PHAMATEX!E18</f>
        <v>85</v>
      </c>
      <c r="G638" s="38">
        <f>PHAMATEX!F18</f>
        <v>255000</v>
      </c>
      <c r="H638" s="76"/>
    </row>
    <row r="639" spans="1:8" x14ac:dyDescent="0.35">
      <c r="A639" s="35"/>
      <c r="B639" s="653">
        <f>PHAMATEX!A19</f>
        <v>190</v>
      </c>
      <c r="C639" s="653" t="str">
        <f>PHAMATEX!B19</f>
        <v>TENOXICAM 20MG CAP</v>
      </c>
      <c r="D639" s="654">
        <f>PHAMATEX!C19</f>
        <v>10</v>
      </c>
      <c r="E639" s="653">
        <f>PHAMATEX!D19</f>
        <v>1200</v>
      </c>
      <c r="F639" s="38">
        <f>PHAMATEX!E19</f>
        <v>250</v>
      </c>
      <c r="G639" s="38">
        <f>PHAMATEX!F19</f>
        <v>300000</v>
      </c>
      <c r="H639" s="76"/>
    </row>
    <row r="640" spans="1:8" x14ac:dyDescent="0.35">
      <c r="A640" s="35"/>
      <c r="B640" s="653">
        <f>PHAMATEX!A20</f>
        <v>335</v>
      </c>
      <c r="C640" s="653" t="str">
        <f>PHAMATEX!B20</f>
        <v>VIT B1/VIT B2/VIT B6 TAB</v>
      </c>
      <c r="D640" s="654">
        <f>PHAMATEX!C20</f>
        <v>100</v>
      </c>
      <c r="E640" s="653">
        <f>PHAMATEX!D20</f>
        <v>2000</v>
      </c>
      <c r="F640" s="38">
        <f>PHAMATEX!E20</f>
        <v>3750</v>
      </c>
      <c r="G640" s="38">
        <f>PHAMATEX!F20</f>
        <v>7500000</v>
      </c>
      <c r="H640" s="76"/>
    </row>
    <row r="641" spans="1:8" ht="23.25" x14ac:dyDescent="0.35">
      <c r="A641" s="35"/>
      <c r="B641" s="653">
        <f>PHAMATEX!A21</f>
        <v>344</v>
      </c>
      <c r="C641" s="653" t="str">
        <f>PHAMATEX!B21</f>
        <v>VITAMIN C SYRUP</v>
      </c>
      <c r="D641" s="654" t="str">
        <f>PHAMATEX!C21</f>
        <v>BOTT</v>
      </c>
      <c r="E641" s="653">
        <f>PHAMATEX!D21</f>
        <v>1500</v>
      </c>
      <c r="F641" s="38">
        <f>PHAMATEX!E21</f>
        <v>98</v>
      </c>
      <c r="G641" s="38">
        <f>PHAMATEX!F21</f>
        <v>147000</v>
      </c>
      <c r="H641" s="186">
        <f>SUM(G626:G641)</f>
        <v>13212880</v>
      </c>
    </row>
    <row r="642" spans="1:8" x14ac:dyDescent="0.35">
      <c r="A642" s="35"/>
      <c r="B642" s="653"/>
      <c r="C642" s="653"/>
      <c r="D642" s="654"/>
      <c r="E642" s="653"/>
      <c r="F642" s="38"/>
      <c r="G642" s="38"/>
      <c r="H642" s="76"/>
    </row>
    <row r="643" spans="1:8" x14ac:dyDescent="0.35">
      <c r="A643" s="35"/>
      <c r="B643" s="653"/>
      <c r="C643" s="653"/>
      <c r="D643" s="654"/>
      <c r="E643" s="653"/>
      <c r="F643" s="38"/>
      <c r="G643" s="38"/>
      <c r="H643" s="76"/>
    </row>
    <row r="644" spans="1:8" ht="23.25" x14ac:dyDescent="0.35">
      <c r="A644" s="35">
        <v>35</v>
      </c>
      <c r="B644" s="653"/>
      <c r="C644" s="656" t="str">
        <f>PETHICS!B1</f>
        <v>PHARMAETHICS LIMITED</v>
      </c>
      <c r="D644" s="654"/>
      <c r="E644" s="653"/>
      <c r="F644" s="38"/>
      <c r="G644" s="38"/>
      <c r="H644" s="76"/>
    </row>
    <row r="645" spans="1:8" x14ac:dyDescent="0.35">
      <c r="A645" s="35"/>
      <c r="B645" s="653">
        <f>PETHICS!A6</f>
        <v>384</v>
      </c>
      <c r="C645" s="653" t="str">
        <f>PETHICS!B6</f>
        <v>DYDROSTERONE TAB</v>
      </c>
      <c r="D645" s="654">
        <f>PETHICS!C6</f>
        <v>20</v>
      </c>
      <c r="E645" s="653">
        <f>PETHICS!D6</f>
        <v>200</v>
      </c>
      <c r="F645" s="38">
        <f>PETHICS!E6</f>
        <v>3000</v>
      </c>
      <c r="G645" s="38">
        <f>PETHICS!F6</f>
        <v>600000</v>
      </c>
      <c r="H645" s="76"/>
    </row>
    <row r="646" spans="1:8" x14ac:dyDescent="0.35">
      <c r="A646" s="35"/>
      <c r="B646" s="653">
        <f>PETHICS!A7</f>
        <v>304</v>
      </c>
      <c r="C646" s="653" t="str">
        <f>PETHICS!B7</f>
        <v>FERRIC SUCROSE COMPLEX INJ</v>
      </c>
      <c r="D646" s="654">
        <f>PETHICS!C7</f>
        <v>5</v>
      </c>
      <c r="E646" s="653">
        <f>PETHICS!D7</f>
        <v>100</v>
      </c>
      <c r="F646" s="38">
        <f>PETHICS!E7</f>
        <v>3200</v>
      </c>
      <c r="G646" s="38">
        <f>PETHICS!F7</f>
        <v>320000</v>
      </c>
      <c r="H646" s="76"/>
    </row>
    <row r="647" spans="1:8" x14ac:dyDescent="0.35">
      <c r="A647" s="35"/>
      <c r="B647" s="653">
        <f>PETHICS!A8</f>
        <v>386</v>
      </c>
      <c r="C647" s="653" t="str">
        <f>PETHICS!B8</f>
        <v>HYDROXYPROGESTERONE INJ</v>
      </c>
      <c r="D647" s="654">
        <f>PETHICS!C8</f>
        <v>1</v>
      </c>
      <c r="E647" s="653">
        <f>PETHICS!D8</f>
        <v>48</v>
      </c>
      <c r="F647" s="38">
        <f>PETHICS!E8</f>
        <v>1500</v>
      </c>
      <c r="G647" s="38">
        <f>PETHICS!F8</f>
        <v>72000</v>
      </c>
      <c r="H647" s="76"/>
    </row>
    <row r="648" spans="1:8" ht="23.25" x14ac:dyDescent="0.35">
      <c r="A648" s="35"/>
      <c r="B648" s="653">
        <f>PETHICS!A9</f>
        <v>322</v>
      </c>
      <c r="C648" s="653" t="str">
        <f>PETHICS!B9</f>
        <v>PLANT STEROLS/RESVERATROL/LYCOPEINE/ANTIOXIDANTS</v>
      </c>
      <c r="D648" s="654">
        <f>PETHICS!C9</f>
        <v>30</v>
      </c>
      <c r="E648" s="653">
        <f>PETHICS!D9</f>
        <v>50</v>
      </c>
      <c r="F648" s="38">
        <f>PETHICS!E9</f>
        <v>1350</v>
      </c>
      <c r="G648" s="38">
        <f>PETHICS!F9</f>
        <v>67500</v>
      </c>
      <c r="H648" s="186">
        <f>SUM(G645:G648)</f>
        <v>1059500</v>
      </c>
    </row>
    <row r="649" spans="1:8" x14ac:dyDescent="0.35">
      <c r="A649" s="35"/>
      <c r="B649" s="653"/>
      <c r="C649" s="653"/>
      <c r="D649" s="654"/>
      <c r="E649" s="653"/>
      <c r="F649" s="38"/>
      <c r="G649" s="38"/>
      <c r="H649" s="76"/>
    </row>
    <row r="650" spans="1:8" x14ac:dyDescent="0.35">
      <c r="A650" s="35"/>
      <c r="B650" s="653"/>
      <c r="C650" s="653"/>
      <c r="D650" s="654"/>
      <c r="E650" s="653"/>
      <c r="F650" s="38"/>
      <c r="G650" s="38"/>
      <c r="H650" s="76"/>
    </row>
    <row r="651" spans="1:8" ht="23.25" x14ac:dyDescent="0.35">
      <c r="A651" s="35">
        <v>36</v>
      </c>
      <c r="B651" s="653"/>
      <c r="C651" s="656" t="str">
        <f>PHILIPS!B1</f>
        <v>PHILIPS PHARMACEUTICALS NIGERIA LIMITED</v>
      </c>
      <c r="D651" s="654"/>
      <c r="E651" s="653"/>
      <c r="F651" s="38"/>
      <c r="G651" s="38"/>
      <c r="H651" s="76"/>
    </row>
    <row r="652" spans="1:8" x14ac:dyDescent="0.35">
      <c r="A652" s="35"/>
      <c r="B652" s="653">
        <f>PHILIPS!A6</f>
        <v>417</v>
      </c>
      <c r="C652" s="653" t="str">
        <f>PHILIPS!B6</f>
        <v>ANTI-SNAKE VENOM INJ</v>
      </c>
      <c r="D652" s="654" t="str">
        <f>PHILIPS!C6</f>
        <v>VIAL</v>
      </c>
      <c r="E652" s="653">
        <f>PHILIPS!D6</f>
        <v>24</v>
      </c>
      <c r="F652" s="38">
        <f>PHILIPS!E6</f>
        <v>25000</v>
      </c>
      <c r="G652" s="38">
        <f>PHILIPS!F6</f>
        <v>600000</v>
      </c>
      <c r="H652" s="76"/>
    </row>
    <row r="653" spans="1:8" x14ac:dyDescent="0.35">
      <c r="A653" s="35"/>
      <c r="B653" s="653">
        <f>PHILIPS!A7</f>
        <v>2</v>
      </c>
      <c r="C653" s="653" t="str">
        <f>PHILIPS!B7</f>
        <v>ARTEMETHER 80MG INJ</v>
      </c>
      <c r="D653" s="654">
        <f>PHILIPS!C7</f>
        <v>6</v>
      </c>
      <c r="E653" s="653">
        <f>PHILIPS!D7</f>
        <v>400</v>
      </c>
      <c r="F653" s="38">
        <f>PHILIPS!E7</f>
        <v>200</v>
      </c>
      <c r="G653" s="38">
        <f>PHILIPS!F7</f>
        <v>80000</v>
      </c>
      <c r="H653" s="76"/>
    </row>
    <row r="654" spans="1:8" x14ac:dyDescent="0.35">
      <c r="A654" s="35"/>
      <c r="B654" s="653">
        <f>PHILIPS!A8</f>
        <v>216</v>
      </c>
      <c r="C654" s="653" t="str">
        <f>PHILIPS!B8</f>
        <v>AZITHROMYCIN 500MG</v>
      </c>
      <c r="D654" s="654">
        <f>PHILIPS!C8</f>
        <v>10</v>
      </c>
      <c r="E654" s="653">
        <f>PHILIPS!D8</f>
        <v>500</v>
      </c>
      <c r="F654" s="38">
        <f>PHILIPS!E8</f>
        <v>300</v>
      </c>
      <c r="G654" s="38">
        <f>PHILIPS!F8</f>
        <v>150000</v>
      </c>
      <c r="H654" s="76"/>
    </row>
    <row r="655" spans="1:8" ht="23.25" x14ac:dyDescent="0.35">
      <c r="A655" s="35"/>
      <c r="B655" s="653">
        <f>PHILIPS!A9</f>
        <v>231</v>
      </c>
      <c r="C655" s="653" t="str">
        <f>PHILIPS!B9</f>
        <v>CEFUROXIME 500MG TAB</v>
      </c>
      <c r="D655" s="654">
        <f>PHILIPS!C9</f>
        <v>10</v>
      </c>
      <c r="E655" s="653">
        <f>PHILIPS!D9</f>
        <v>2000</v>
      </c>
      <c r="F655" s="38">
        <f>PHILIPS!E9</f>
        <v>750</v>
      </c>
      <c r="G655" s="38">
        <f>PHILIPS!F9</f>
        <v>1500000</v>
      </c>
      <c r="H655" s="186"/>
    </row>
    <row r="656" spans="1:8" x14ac:dyDescent="0.35">
      <c r="A656" s="35"/>
      <c r="B656" s="653">
        <f>PHILIPS!A10</f>
        <v>57</v>
      </c>
      <c r="C656" s="653" t="str">
        <f>PHILIPS!B10</f>
        <v>CLOPIDOGREL 75MG TAB</v>
      </c>
      <c r="D656" s="654">
        <f>PHILIPS!C10</f>
        <v>30</v>
      </c>
      <c r="E656" s="653">
        <f>PHILIPS!D10</f>
        <v>2000</v>
      </c>
      <c r="F656" s="38">
        <f>PHILIPS!E10</f>
        <v>690</v>
      </c>
      <c r="G656" s="38">
        <f>PHILIPS!F10</f>
        <v>1380000</v>
      </c>
      <c r="H656" s="76"/>
    </row>
    <row r="657" spans="1:8" x14ac:dyDescent="0.35">
      <c r="A657" s="35"/>
      <c r="B657" s="653">
        <f>PHILIPS!A11</f>
        <v>150</v>
      </c>
      <c r="C657" s="653" t="str">
        <f>PHILIPS!B11</f>
        <v>DEXKETOPROFEN 25MG</v>
      </c>
      <c r="D657" s="654">
        <f>PHILIPS!C11</f>
        <v>20</v>
      </c>
      <c r="E657" s="653">
        <f>PHILIPS!D11</f>
        <v>1200</v>
      </c>
      <c r="F657" s="38">
        <f>PHILIPS!E11</f>
        <v>2100</v>
      </c>
      <c r="G657" s="38">
        <f>PHILIPS!F11</f>
        <v>2520000</v>
      </c>
      <c r="H657" s="76"/>
    </row>
    <row r="658" spans="1:8" x14ac:dyDescent="0.35">
      <c r="A658" s="35"/>
      <c r="B658" s="653">
        <f>PHILIPS!A12</f>
        <v>166</v>
      </c>
      <c r="C658" s="653" t="str">
        <f>PHILIPS!B12</f>
        <v>KETOPROFEN 2.5% GEL 100G</v>
      </c>
      <c r="D658" s="654" t="str">
        <f>PHILIPS!C12</f>
        <v>TUBE</v>
      </c>
      <c r="E658" s="653">
        <f>PHILIPS!D12</f>
        <v>200</v>
      </c>
      <c r="F658" s="38">
        <f>PHILIPS!E12</f>
        <v>2950</v>
      </c>
      <c r="G658" s="38">
        <f>PHILIPS!F12</f>
        <v>590000</v>
      </c>
      <c r="H658" s="76"/>
    </row>
    <row r="659" spans="1:8" x14ac:dyDescent="0.35">
      <c r="A659" s="35"/>
      <c r="B659" s="653">
        <f>PHILIPS!A13</f>
        <v>165</v>
      </c>
      <c r="C659" s="653" t="str">
        <f>PHILIPS!B13</f>
        <v>KETOPROFEN 2.5% GEL 10G</v>
      </c>
      <c r="D659" s="654" t="str">
        <f>PHILIPS!C13</f>
        <v>TUBE</v>
      </c>
      <c r="E659" s="653">
        <f>PHILIPS!D13</f>
        <v>600</v>
      </c>
      <c r="F659" s="38">
        <f>PHILIPS!E13</f>
        <v>500</v>
      </c>
      <c r="G659" s="38">
        <f>PHILIPS!F13</f>
        <v>300000</v>
      </c>
      <c r="H659" s="76"/>
    </row>
    <row r="660" spans="1:8" x14ac:dyDescent="0.35">
      <c r="A660" s="35"/>
      <c r="B660" s="653">
        <f>PHILIPS!A14</f>
        <v>164</v>
      </c>
      <c r="C660" s="653" t="str">
        <f>PHILIPS!B14</f>
        <v>KETOPROFEN 2.5% GEL 50G</v>
      </c>
      <c r="D660" s="654" t="str">
        <f>PHILIPS!C14</f>
        <v>TUBE</v>
      </c>
      <c r="E660" s="653">
        <f>PHILIPS!D14</f>
        <v>1200</v>
      </c>
      <c r="F660" s="38">
        <f>PHILIPS!E14</f>
        <v>1450</v>
      </c>
      <c r="G660" s="38">
        <f>PHILIPS!F14</f>
        <v>1740000</v>
      </c>
      <c r="H660" s="76"/>
    </row>
    <row r="661" spans="1:8" x14ac:dyDescent="0.35">
      <c r="A661" s="35"/>
      <c r="B661" s="653">
        <f>PHILIPS!A15</f>
        <v>435</v>
      </c>
      <c r="C661" s="653" t="str">
        <f>PHILIPS!B15</f>
        <v>MAGNESIUM HYDROXIDE/ALUMINIUM HYDROXIDE+ DIMETHICONE SUSP</v>
      </c>
      <c r="D661" s="654" t="str">
        <f>PHILIPS!C15</f>
        <v>BOTT</v>
      </c>
      <c r="E661" s="653">
        <f>PHILIPS!D15</f>
        <v>1000</v>
      </c>
      <c r="F661" s="38">
        <f>PHILIPS!E15</f>
        <v>490</v>
      </c>
      <c r="G661" s="38">
        <f>PHILIPS!F15</f>
        <v>490000</v>
      </c>
      <c r="H661" s="76"/>
    </row>
    <row r="662" spans="1:8" x14ac:dyDescent="0.35">
      <c r="A662" s="35"/>
      <c r="B662" s="653">
        <f>PHILIPS!A16</f>
        <v>188</v>
      </c>
      <c r="C662" s="653" t="str">
        <f>PHILIPS!B16</f>
        <v>PREGABALIN 75MG CAP</v>
      </c>
      <c r="D662" s="654">
        <f>PHILIPS!C16</f>
        <v>30</v>
      </c>
      <c r="E662" s="653">
        <f>PHILIPS!D16</f>
        <v>1680</v>
      </c>
      <c r="F662" s="38">
        <f>PHILIPS!E16</f>
        <v>1950</v>
      </c>
      <c r="G662" s="38">
        <f>PHILIPS!F16</f>
        <v>3276000</v>
      </c>
      <c r="H662" s="76"/>
    </row>
    <row r="663" spans="1:8" x14ac:dyDescent="0.35">
      <c r="A663" s="35"/>
      <c r="B663" s="653">
        <f>PHILIPS!A17</f>
        <v>421</v>
      </c>
      <c r="C663" s="653" t="str">
        <f>PHILIPS!B17</f>
        <v>RABBIES VACCINE INJ</v>
      </c>
      <c r="D663" s="654" t="str">
        <f>PHILIPS!C17</f>
        <v>VIAL</v>
      </c>
      <c r="E663" s="653">
        <f>PHILIPS!D17</f>
        <v>120</v>
      </c>
      <c r="F663" s="38">
        <f>PHILIPS!E17</f>
        <v>4400</v>
      </c>
      <c r="G663" s="38">
        <f>PHILIPS!F17</f>
        <v>528000</v>
      </c>
      <c r="H663" s="76"/>
    </row>
    <row r="664" spans="1:8" x14ac:dyDescent="0.35">
      <c r="A664" s="35"/>
      <c r="B664" s="653">
        <f>PHILIPS!A18</f>
        <v>452</v>
      </c>
      <c r="C664" s="653" t="str">
        <f>PHILIPS!B18</f>
        <v>SACCHAROMYCES BOULARDII 250mg</v>
      </c>
      <c r="D664" s="654">
        <f>PHILIPS!C18</f>
        <v>10</v>
      </c>
      <c r="E664" s="653">
        <f>PHILIPS!D18</f>
        <v>400</v>
      </c>
      <c r="F664" s="38">
        <f>PHILIPS!E18</f>
        <v>3500</v>
      </c>
      <c r="G664" s="38">
        <f>PHILIPS!F18</f>
        <v>1400000</v>
      </c>
      <c r="H664" s="76"/>
    </row>
    <row r="665" spans="1:8" ht="23.25" x14ac:dyDescent="0.35">
      <c r="A665" s="35"/>
      <c r="B665" s="653">
        <f>PHILIPS!A19</f>
        <v>107</v>
      </c>
      <c r="C665" s="653" t="str">
        <f>PHILIPS!B19</f>
        <v>TELMISARTAN 80MG TAB</v>
      </c>
      <c r="D665" s="654">
        <f>PHILIPS!C19</f>
        <v>30</v>
      </c>
      <c r="E665" s="653">
        <f>PHILIPS!D19</f>
        <v>26</v>
      </c>
      <c r="F665" s="38">
        <f>PHILIPS!E19</f>
        <v>2500</v>
      </c>
      <c r="G665" s="38">
        <f>PHILIPS!F19</f>
        <v>65000</v>
      </c>
      <c r="H665" s="186"/>
    </row>
    <row r="666" spans="1:8" ht="23.25" x14ac:dyDescent="0.35">
      <c r="A666" s="35"/>
      <c r="B666" s="653">
        <f>PHILIPS!A20</f>
        <v>453</v>
      </c>
      <c r="C666" s="653" t="str">
        <f>PHILIPS!B20</f>
        <v>UNIENZYME TAB</v>
      </c>
      <c r="D666" s="654">
        <f>PHILIPS!C20</f>
        <v>20</v>
      </c>
      <c r="E666" s="653">
        <f>PHILIPS!D20</f>
        <v>500</v>
      </c>
      <c r="F666" s="38">
        <f>PHILIPS!E20</f>
        <v>735</v>
      </c>
      <c r="G666" s="38">
        <f>PHILIPS!F20</f>
        <v>367500</v>
      </c>
      <c r="H666" s="186">
        <f>SUM(G652:G666)</f>
        <v>14986500</v>
      </c>
    </row>
    <row r="667" spans="1:8" x14ac:dyDescent="0.35">
      <c r="A667" s="35"/>
      <c r="B667" s="653"/>
      <c r="C667" s="653"/>
      <c r="D667" s="654"/>
      <c r="E667" s="653"/>
      <c r="F667" s="38"/>
      <c r="G667" s="38"/>
      <c r="H667" s="76"/>
    </row>
    <row r="668" spans="1:8" x14ac:dyDescent="0.35">
      <c r="A668" s="35"/>
      <c r="B668" s="653"/>
      <c r="C668" s="653"/>
      <c r="D668" s="654"/>
      <c r="E668" s="653"/>
      <c r="F668" s="38"/>
      <c r="G668" s="38"/>
      <c r="H668" s="76"/>
    </row>
    <row r="669" spans="1:8" ht="23.25" x14ac:dyDescent="0.35">
      <c r="A669" s="35">
        <v>37</v>
      </c>
      <c r="B669" s="653"/>
      <c r="C669" s="656" t="str">
        <f>RANBAXY!B1</f>
        <v>RANBAXY NIGERIA LIMITED</v>
      </c>
      <c r="D669" s="654"/>
      <c r="E669" s="653"/>
      <c r="F669" s="38"/>
      <c r="G669" s="38"/>
      <c r="H669" s="76"/>
    </row>
    <row r="670" spans="1:8" x14ac:dyDescent="0.35">
      <c r="A670" s="35"/>
      <c r="B670" s="653">
        <f>RANBAXY!A6</f>
        <v>41</v>
      </c>
      <c r="C670" s="653" t="str">
        <f>RANBAXY!B6</f>
        <v>AMLODIPINE/VALSARTAN 10/160MG TAB</v>
      </c>
      <c r="D670" s="654">
        <f>RANBAXY!C6</f>
        <v>28</v>
      </c>
      <c r="E670" s="653">
        <f>RANBAXY!D6</f>
        <v>60</v>
      </c>
      <c r="F670" s="38">
        <f>RANBAXY!E6</f>
        <v>2214</v>
      </c>
      <c r="G670" s="38">
        <f>RANBAXY!F6</f>
        <v>132840</v>
      </c>
      <c r="H670" s="76"/>
    </row>
    <row r="671" spans="1:8" x14ac:dyDescent="0.35">
      <c r="A671" s="35"/>
      <c r="B671" s="653">
        <f>RANBAXY!A7</f>
        <v>40</v>
      </c>
      <c r="C671" s="653" t="str">
        <f>RANBAXY!B7</f>
        <v>AMLODIPINE/VALSARTAN 5/160MG TAB</v>
      </c>
      <c r="D671" s="654">
        <f>RANBAXY!C7</f>
        <v>28</v>
      </c>
      <c r="E671" s="653">
        <f>RANBAXY!D7</f>
        <v>60</v>
      </c>
      <c r="F671" s="38">
        <f>RANBAXY!E7</f>
        <v>2099</v>
      </c>
      <c r="G671" s="38">
        <f>RANBAXY!F7</f>
        <v>125940</v>
      </c>
      <c r="H671" s="76"/>
    </row>
    <row r="672" spans="1:8" x14ac:dyDescent="0.35">
      <c r="A672" s="35"/>
      <c r="B672" s="653">
        <f>RANBAXY!A8</f>
        <v>204</v>
      </c>
      <c r="C672" s="653" t="str">
        <f>RANBAXY!B8</f>
        <v>AMOXICILLIN/CLAVULANIC ACID 1.2G INJ</v>
      </c>
      <c r="D672" s="654" t="str">
        <f>RANBAXY!C8</f>
        <v>VIAL</v>
      </c>
      <c r="E672" s="653">
        <f>RANBAXY!D8</f>
        <v>2400</v>
      </c>
      <c r="F672" s="38">
        <f>RANBAXY!E8</f>
        <v>552</v>
      </c>
      <c r="G672" s="38">
        <f>RANBAXY!F8</f>
        <v>1324800</v>
      </c>
      <c r="H672" s="76"/>
    </row>
    <row r="673" spans="1:8" x14ac:dyDescent="0.35">
      <c r="A673" s="35"/>
      <c r="B673" s="653">
        <f>RANBAXY!A9</f>
        <v>206</v>
      </c>
      <c r="C673" s="653" t="str">
        <f>RANBAXY!B9</f>
        <v>AMOXICILLIN/CLAVULANIC ACID 375MG TAB</v>
      </c>
      <c r="D673" s="654">
        <f>RANBAXY!C9</f>
        <v>20</v>
      </c>
      <c r="E673" s="653">
        <f>RANBAXY!D9</f>
        <v>600</v>
      </c>
      <c r="F673" s="38">
        <f>RANBAXY!E9</f>
        <v>748</v>
      </c>
      <c r="G673" s="38">
        <f>RANBAXY!F9</f>
        <v>448800</v>
      </c>
      <c r="H673" s="76"/>
    </row>
    <row r="674" spans="1:8" x14ac:dyDescent="0.35">
      <c r="A674" s="35"/>
      <c r="B674" s="653">
        <f>RANBAXY!A10</f>
        <v>9</v>
      </c>
      <c r="C674" s="653" t="str">
        <f>RANBAXY!B10</f>
        <v>ARTEROLANE/PIPERAQUINE</v>
      </c>
      <c r="D674" s="654">
        <f>RANBAXY!C10</f>
        <v>10</v>
      </c>
      <c r="E674" s="653">
        <f>RANBAXY!D10</f>
        <v>20</v>
      </c>
      <c r="F674" s="38">
        <f>RANBAXY!E10</f>
        <v>8650</v>
      </c>
      <c r="G674" s="38">
        <f>RANBAXY!F10</f>
        <v>173000</v>
      </c>
      <c r="H674" s="76"/>
    </row>
    <row r="675" spans="1:8" x14ac:dyDescent="0.35">
      <c r="A675" s="35"/>
      <c r="B675" s="653">
        <f>RANBAXY!A11</f>
        <v>263</v>
      </c>
      <c r="C675" s="653" t="str">
        <f>RANBAXY!B11</f>
        <v>MEROPENEM 1GM INJ</v>
      </c>
      <c r="D675" s="654" t="str">
        <f>RANBAXY!C11</f>
        <v>VIAL</v>
      </c>
      <c r="E675" s="653">
        <f>RANBAXY!D11</f>
        <v>800</v>
      </c>
      <c r="F675" s="38">
        <f>RANBAXY!E11</f>
        <v>3910</v>
      </c>
      <c r="G675" s="38">
        <f>RANBAXY!F11</f>
        <v>3128000</v>
      </c>
      <c r="H675" s="76"/>
    </row>
    <row r="676" spans="1:8" x14ac:dyDescent="0.35">
      <c r="A676" s="35"/>
      <c r="B676" s="653">
        <f>RANBAXY!A12</f>
        <v>184</v>
      </c>
      <c r="C676" s="653" t="str">
        <f>RANBAXY!B12</f>
        <v>PENTAZOCIN 30MG INJ</v>
      </c>
      <c r="D676" s="654">
        <f>RANBAXY!C12</f>
        <v>100</v>
      </c>
      <c r="E676" s="653">
        <f>RANBAXY!D12</f>
        <v>84</v>
      </c>
      <c r="F676" s="38">
        <f>RANBAXY!E12</f>
        <v>10350</v>
      </c>
      <c r="G676" s="38">
        <f>RANBAXY!F12</f>
        <v>869400</v>
      </c>
      <c r="H676" s="76"/>
    </row>
    <row r="677" spans="1:8" x14ac:dyDescent="0.35">
      <c r="A677" s="35"/>
      <c r="B677" s="653">
        <f>RANBAXY!A13</f>
        <v>98</v>
      </c>
      <c r="C677" s="653" t="str">
        <f>RANBAXY!B13</f>
        <v>ROSUVASTATIN 10MG</v>
      </c>
      <c r="D677" s="654">
        <f>RANBAXY!C13</f>
        <v>28</v>
      </c>
      <c r="E677" s="653">
        <f>RANBAXY!D13</f>
        <v>600</v>
      </c>
      <c r="F677" s="38">
        <f>RANBAXY!E13</f>
        <v>805</v>
      </c>
      <c r="G677" s="38">
        <f>RANBAXY!F13</f>
        <v>483000</v>
      </c>
      <c r="H677" s="76"/>
    </row>
    <row r="678" spans="1:8" x14ac:dyDescent="0.35">
      <c r="A678" s="35"/>
      <c r="B678" s="653">
        <f>RANBAXY!A14</f>
        <v>99</v>
      </c>
      <c r="C678" s="653" t="str">
        <f>RANBAXY!B14</f>
        <v xml:space="preserve">ROSUVASTATIN 20MG </v>
      </c>
      <c r="D678" s="654">
        <f>RANBAXY!C14</f>
        <v>28</v>
      </c>
      <c r="E678" s="653">
        <f>RANBAXY!D14</f>
        <v>120</v>
      </c>
      <c r="F678" s="38">
        <f>RANBAXY!E14</f>
        <v>1035</v>
      </c>
      <c r="G678" s="38">
        <f>RANBAXY!F14</f>
        <v>124200</v>
      </c>
      <c r="H678" s="76"/>
    </row>
    <row r="679" spans="1:8" ht="23.25" x14ac:dyDescent="0.35">
      <c r="A679" s="35"/>
      <c r="B679" s="653">
        <f>RANBAXY!A15</f>
        <v>701</v>
      </c>
      <c r="C679" s="653" t="str">
        <f>RANBAXY!B15</f>
        <v>TOLTERODINE 2MG</v>
      </c>
      <c r="D679" s="654">
        <f>RANBAXY!C15</f>
        <v>10</v>
      </c>
      <c r="E679" s="653">
        <f>RANBAXY!D15</f>
        <v>60</v>
      </c>
      <c r="F679" s="38">
        <f>RANBAXY!E15</f>
        <v>1656</v>
      </c>
      <c r="G679" s="38">
        <f>RANBAXY!F15</f>
        <v>99360</v>
      </c>
      <c r="H679" s="186"/>
    </row>
    <row r="680" spans="1:8" ht="23.25" x14ac:dyDescent="0.35">
      <c r="A680" s="35"/>
      <c r="B680" s="653">
        <f>RANBAXY!A16</f>
        <v>116</v>
      </c>
      <c r="C680" s="653" t="str">
        <f>RANBAXY!B16</f>
        <v>VARSALTAN/HYDROCHLOROTHIAZIDE 160/12.5MG</v>
      </c>
      <c r="D680" s="654">
        <f>RANBAXY!C16</f>
        <v>28</v>
      </c>
      <c r="E680" s="653">
        <f>RANBAXY!D16</f>
        <v>10</v>
      </c>
      <c r="F680" s="38">
        <f>RANBAXY!E16</f>
        <v>2039.3333333333333</v>
      </c>
      <c r="G680" s="38">
        <f>RANBAXY!F16</f>
        <v>20393.333333333332</v>
      </c>
      <c r="H680" s="186">
        <f>SUM(G670:G680)</f>
        <v>6929733.333333333</v>
      </c>
    </row>
    <row r="681" spans="1:8" x14ac:dyDescent="0.35">
      <c r="A681" s="35"/>
      <c r="B681" s="653"/>
      <c r="C681" s="653"/>
      <c r="D681" s="654"/>
      <c r="E681" s="653"/>
      <c r="F681" s="38"/>
      <c r="G681" s="38"/>
      <c r="H681" s="76"/>
    </row>
    <row r="682" spans="1:8" x14ac:dyDescent="0.35">
      <c r="A682" s="35"/>
      <c r="B682" s="653"/>
      <c r="C682" s="653"/>
      <c r="D682" s="654"/>
      <c r="E682" s="653"/>
      <c r="F682" s="38"/>
      <c r="G682" s="38"/>
      <c r="H682" s="76"/>
    </row>
    <row r="683" spans="1:8" ht="23.25" x14ac:dyDescent="0.35">
      <c r="A683" s="35">
        <v>38</v>
      </c>
      <c r="B683" s="35"/>
      <c r="C683" s="77" t="str">
        <f>ROYAL!B1</f>
        <v>ROYAL PRIESTHOOD LABORATORIES LIMITED</v>
      </c>
      <c r="D683" s="648"/>
      <c r="E683" s="35"/>
      <c r="F683" s="38"/>
      <c r="G683" s="38"/>
      <c r="H683" s="76"/>
    </row>
    <row r="684" spans="1:8" x14ac:dyDescent="0.35">
      <c r="A684" s="35"/>
      <c r="B684" s="653">
        <f>ROYAL!A6</f>
        <v>670</v>
      </c>
      <c r="C684" s="653" t="str">
        <f>ROYAL!B6</f>
        <v>CHLORHEXIDINE GLUCONATE 4% (HIBISCRUB)</v>
      </c>
      <c r="D684" s="654" t="str">
        <f>ROYAL!C6</f>
        <v>500ML</v>
      </c>
      <c r="E684" s="653">
        <f>ROYAL!D6</f>
        <v>128</v>
      </c>
      <c r="F684" s="38">
        <f>ROYAL!E6</f>
        <v>7500</v>
      </c>
      <c r="G684" s="38">
        <f>ROYAL!F6</f>
        <v>960000</v>
      </c>
      <c r="H684" s="76"/>
    </row>
    <row r="685" spans="1:8" x14ac:dyDescent="0.35">
      <c r="A685" s="35"/>
      <c r="B685" s="653">
        <f>ROYAL!A7</f>
        <v>672</v>
      </c>
      <c r="C685" s="653" t="str">
        <f>ROYAL!B7</f>
        <v>CHLORHEXIDINE GLUCONATE+CETRIMIDE LOTION 100ML  (VALON)</v>
      </c>
      <c r="D685" s="654" t="str">
        <f>ROYAL!C7</f>
        <v>BOTT</v>
      </c>
      <c r="E685" s="653">
        <f>ROYAL!D7</f>
        <v>2600</v>
      </c>
      <c r="F685" s="38">
        <f>ROYAL!E7</f>
        <v>200</v>
      </c>
      <c r="G685" s="38">
        <f>ROYAL!F7</f>
        <v>520000</v>
      </c>
      <c r="H685" s="76"/>
    </row>
    <row r="686" spans="1:8" x14ac:dyDescent="0.35">
      <c r="A686" s="35"/>
      <c r="B686" s="653">
        <f>ROYAL!A8</f>
        <v>673</v>
      </c>
      <c r="C686" s="653" t="str">
        <f>ROYAL!B8</f>
        <v xml:space="preserve">CHLORHEXIDINE GLUCONATE+CETRIMIDE LOTION 4L </v>
      </c>
      <c r="D686" s="654">
        <f>ROYAL!C8</f>
        <v>1</v>
      </c>
      <c r="E686" s="653">
        <f>ROYAL!D8</f>
        <v>60</v>
      </c>
      <c r="F686" s="38">
        <f>ROYAL!E8</f>
        <v>2500</v>
      </c>
      <c r="G686" s="38">
        <f>ROYAL!F8</f>
        <v>150000</v>
      </c>
      <c r="H686" s="76"/>
    </row>
    <row r="687" spans="1:8" x14ac:dyDescent="0.35">
      <c r="A687" s="35"/>
      <c r="B687" s="653">
        <f>ROYAL!A9</f>
        <v>678</v>
      </c>
      <c r="C687" s="653" t="str">
        <f>ROYAL!B9</f>
        <v>METHYLATED SPIRIT B.P 100ML</v>
      </c>
      <c r="D687" s="654" t="str">
        <f>ROYAL!C9</f>
        <v>BOTT</v>
      </c>
      <c r="E687" s="653">
        <f>ROYAL!D9</f>
        <v>20000</v>
      </c>
      <c r="F687" s="38">
        <f>ROYAL!E9</f>
        <v>120</v>
      </c>
      <c r="G687" s="38">
        <f>ROYAL!F9</f>
        <v>2400000</v>
      </c>
      <c r="H687" s="76"/>
    </row>
    <row r="688" spans="1:8" ht="23.25" x14ac:dyDescent="0.35">
      <c r="A688" s="35"/>
      <c r="B688" s="653">
        <f>ROYAL!A10</f>
        <v>679</v>
      </c>
      <c r="C688" s="653" t="str">
        <f>ROYAL!B10</f>
        <v>METHYLATED SPIRIT B.P 2L</v>
      </c>
      <c r="D688" s="654">
        <f>ROYAL!C10</f>
        <v>1</v>
      </c>
      <c r="E688" s="653">
        <f>ROYAL!D10</f>
        <v>440</v>
      </c>
      <c r="F688" s="38">
        <f>ROYAL!E10</f>
        <v>1100</v>
      </c>
      <c r="G688" s="38">
        <f>ROYAL!F10</f>
        <v>484000</v>
      </c>
      <c r="H688" s="186"/>
    </row>
    <row r="689" spans="1:8" ht="23.25" x14ac:dyDescent="0.35">
      <c r="A689" s="35"/>
      <c r="B689" s="653">
        <f>ROYAL!A11</f>
        <v>683</v>
      </c>
      <c r="C689" s="653" t="str">
        <f>ROYAL!B11</f>
        <v xml:space="preserve">SODIUM HYPOCHLORITE SOLUTION 3.5%W/V </v>
      </c>
      <c r="D689" s="654">
        <f>ROYAL!C11</f>
        <v>12</v>
      </c>
      <c r="E689" s="653">
        <f>ROYAL!D11</f>
        <v>1000</v>
      </c>
      <c r="F689" s="38">
        <f>ROYAL!E11</f>
        <v>4500</v>
      </c>
      <c r="G689" s="38">
        <f>ROYAL!F11</f>
        <v>4500000</v>
      </c>
      <c r="H689" s="186">
        <f>SUM(G684:G689)</f>
        <v>9014000</v>
      </c>
    </row>
    <row r="690" spans="1:8" x14ac:dyDescent="0.35">
      <c r="A690" s="35"/>
      <c r="B690" s="653"/>
      <c r="C690" s="653"/>
      <c r="D690" s="654"/>
      <c r="E690" s="653"/>
      <c r="F690" s="38"/>
      <c r="G690" s="38"/>
      <c r="H690" s="76"/>
    </row>
    <row r="691" spans="1:8" x14ac:dyDescent="0.35">
      <c r="A691" s="35"/>
      <c r="B691" s="653"/>
      <c r="C691" s="653"/>
      <c r="D691" s="654"/>
      <c r="E691" s="653"/>
      <c r="F691" s="38"/>
      <c r="G691" s="38"/>
      <c r="H691" s="76"/>
    </row>
    <row r="692" spans="1:8" ht="23.25" x14ac:dyDescent="0.35">
      <c r="A692" s="35">
        <v>39</v>
      </c>
      <c r="B692" s="653"/>
      <c r="C692" s="656" t="str">
        <f>SAM!B1</f>
        <v>SAM PHARMACEUTICALS LIMITED</v>
      </c>
      <c r="D692" s="654"/>
      <c r="E692" s="653"/>
      <c r="F692" s="38"/>
      <c r="G692" s="38"/>
      <c r="H692" s="76"/>
    </row>
    <row r="693" spans="1:8" x14ac:dyDescent="0.35">
      <c r="A693" s="35"/>
      <c r="B693" s="653">
        <f>SAM!A6</f>
        <v>6</v>
      </c>
      <c r="C693" s="653" t="str">
        <f>SAM!B6</f>
        <v>ARTEMETHER/LUMEFANTRINE (20/120) TAB</v>
      </c>
      <c r="D693" s="654">
        <f>SAM!C6</f>
        <v>24</v>
      </c>
      <c r="E693" s="653">
        <f>SAM!D6</f>
        <v>10000</v>
      </c>
      <c r="F693" s="38">
        <f>SAM!E6</f>
        <v>210</v>
      </c>
      <c r="G693" s="38">
        <f>SAM!F6</f>
        <v>2100000</v>
      </c>
      <c r="H693" s="76"/>
    </row>
    <row r="694" spans="1:8" x14ac:dyDescent="0.35">
      <c r="A694" s="35"/>
      <c r="B694" s="653">
        <f>SAM!A7</f>
        <v>223</v>
      </c>
      <c r="C694" s="653" t="str">
        <f>SAM!B7</f>
        <v>CEFIXIME SUSPENSION</v>
      </c>
      <c r="D694" s="654" t="str">
        <f>SAM!C7</f>
        <v>BOTT</v>
      </c>
      <c r="E694" s="653">
        <f>SAM!D7</f>
        <v>60</v>
      </c>
      <c r="F694" s="38">
        <f>SAM!E7</f>
        <v>730</v>
      </c>
      <c r="G694" s="38">
        <f>SAM!F7</f>
        <v>43800</v>
      </c>
      <c r="H694" s="76"/>
    </row>
    <row r="695" spans="1:8" x14ac:dyDescent="0.35">
      <c r="A695" s="35"/>
      <c r="B695" s="653">
        <f>SAM!A8</f>
        <v>426</v>
      </c>
      <c r="C695" s="653" t="str">
        <f>SAM!B8</f>
        <v>CIMETIDINE 200MG TAB</v>
      </c>
      <c r="D695" s="654">
        <f>SAM!C8</f>
        <v>100</v>
      </c>
      <c r="E695" s="653">
        <f>SAM!D8</f>
        <v>20</v>
      </c>
      <c r="F695" s="38">
        <f>SAM!E8</f>
        <v>600</v>
      </c>
      <c r="G695" s="38">
        <f>SAM!F8</f>
        <v>12000</v>
      </c>
      <c r="H695" s="76"/>
    </row>
    <row r="696" spans="1:8" x14ac:dyDescent="0.35">
      <c r="A696" s="35"/>
      <c r="B696" s="653">
        <f>SAM!A9</f>
        <v>236</v>
      </c>
      <c r="C696" s="653" t="str">
        <f>SAM!B9</f>
        <v>CIPROFLOXACIN 500MG TAB</v>
      </c>
      <c r="D696" s="654">
        <f>SAM!C9</f>
        <v>10</v>
      </c>
      <c r="E696" s="653">
        <f>SAM!D9</f>
        <v>4800</v>
      </c>
      <c r="F696" s="38">
        <f>SAM!E9</f>
        <v>149</v>
      </c>
      <c r="G696" s="38">
        <f>SAM!F9</f>
        <v>715200</v>
      </c>
      <c r="H696" s="76"/>
    </row>
    <row r="697" spans="1:8" x14ac:dyDescent="0.35">
      <c r="A697" s="35"/>
      <c r="B697" s="653">
        <f>SAM!A10</f>
        <v>151</v>
      </c>
      <c r="C697" s="653" t="str">
        <f>SAM!B10</f>
        <v>DICLOFENAC 50MG TAB</v>
      </c>
      <c r="D697" s="654">
        <f>SAM!C10</f>
        <v>100</v>
      </c>
      <c r="E697" s="653">
        <f>SAM!D10</f>
        <v>1000</v>
      </c>
      <c r="F697" s="38">
        <f>SAM!E10</f>
        <v>295</v>
      </c>
      <c r="G697" s="38">
        <f>SAM!F10</f>
        <v>295000</v>
      </c>
      <c r="H697" s="76"/>
    </row>
    <row r="698" spans="1:8" x14ac:dyDescent="0.35">
      <c r="A698" s="35"/>
      <c r="B698" s="653">
        <f>SAM!A11</f>
        <v>306</v>
      </c>
      <c r="C698" s="653" t="str">
        <f>SAM!B11</f>
        <v>FERROUS SULPHATE/FOLIC ACID</v>
      </c>
      <c r="D698" s="654">
        <f>SAM!C11</f>
        <v>30</v>
      </c>
      <c r="E698" s="653">
        <f>SAM!D11</f>
        <v>2000</v>
      </c>
      <c r="F698" s="38">
        <f>SAM!E11</f>
        <v>195</v>
      </c>
      <c r="G698" s="38">
        <f>SAM!F11</f>
        <v>390000</v>
      </c>
      <c r="H698" s="76"/>
    </row>
    <row r="699" spans="1:8" x14ac:dyDescent="0.35">
      <c r="A699" s="35"/>
      <c r="B699" s="653">
        <f>SAM!A12</f>
        <v>75</v>
      </c>
      <c r="C699" s="653" t="str">
        <f>SAM!B12</f>
        <v>LISINOPRIL 10MG</v>
      </c>
      <c r="D699" s="654">
        <f>SAM!C12</f>
        <v>28</v>
      </c>
      <c r="E699" s="653">
        <f>SAM!D12</f>
        <v>2400</v>
      </c>
      <c r="F699" s="38">
        <f>SAM!E12</f>
        <v>260</v>
      </c>
      <c r="G699" s="38">
        <f>SAM!F12</f>
        <v>624000</v>
      </c>
      <c r="H699" s="76"/>
    </row>
    <row r="700" spans="1:8" x14ac:dyDescent="0.35">
      <c r="A700" s="35"/>
      <c r="B700" s="653">
        <f>SAM!A13</f>
        <v>76</v>
      </c>
      <c r="C700" s="653" t="str">
        <f>SAM!B13</f>
        <v>LISINOPRIL 5MG</v>
      </c>
      <c r="D700" s="654">
        <f>SAM!C13</f>
        <v>28</v>
      </c>
      <c r="E700" s="653">
        <f>SAM!D13</f>
        <v>1500</v>
      </c>
      <c r="F700" s="38">
        <f>SAM!E13</f>
        <v>240</v>
      </c>
      <c r="G700" s="38">
        <f>SAM!F13</f>
        <v>360000</v>
      </c>
      <c r="H700" s="76"/>
    </row>
    <row r="701" spans="1:8" x14ac:dyDescent="0.35">
      <c r="A701" s="35"/>
      <c r="B701" s="653">
        <f>SAM!A14</f>
        <v>435</v>
      </c>
      <c r="C701" s="653" t="str">
        <f>SAM!B14</f>
        <v>MAGNESIUM HYDROXIDE/ALUMINIUM HYDROXIDE+ DIMETHICONE SUSP</v>
      </c>
      <c r="D701" s="654" t="str">
        <f>SAM!C14</f>
        <v>BOTT</v>
      </c>
      <c r="E701" s="653">
        <f>SAM!D14</f>
        <v>1000</v>
      </c>
      <c r="F701" s="38">
        <f>SAM!E14</f>
        <v>465</v>
      </c>
      <c r="G701" s="38">
        <f>SAM!F14</f>
        <v>465000</v>
      </c>
      <c r="H701" s="76"/>
    </row>
    <row r="702" spans="1:8" x14ac:dyDescent="0.35">
      <c r="A702" s="35"/>
      <c r="B702" s="653">
        <f>SAM!A15</f>
        <v>80</v>
      </c>
      <c r="C702" s="653" t="str">
        <f>SAM!B15</f>
        <v>METHYL-DOPA 250MG TAB</v>
      </c>
      <c r="D702" s="654">
        <f>SAM!C15</f>
        <v>100</v>
      </c>
      <c r="E702" s="653">
        <f>SAM!D15</f>
        <v>800</v>
      </c>
      <c r="F702" s="38">
        <f>SAM!E15</f>
        <v>1390</v>
      </c>
      <c r="G702" s="38">
        <f>SAM!F15</f>
        <v>1112000</v>
      </c>
      <c r="H702" s="76"/>
    </row>
    <row r="703" spans="1:8" x14ac:dyDescent="0.35">
      <c r="A703" s="35"/>
      <c r="B703" s="653">
        <f>SAM!A16</f>
        <v>182</v>
      </c>
      <c r="C703" s="653" t="str">
        <f>SAM!B16</f>
        <v>PARACETAMOL INFUSION</v>
      </c>
      <c r="D703" s="654" t="str">
        <f>SAM!C16</f>
        <v>BOTT</v>
      </c>
      <c r="E703" s="653">
        <f>SAM!D16</f>
        <v>15000</v>
      </c>
      <c r="F703" s="38">
        <f>SAM!E16</f>
        <v>380</v>
      </c>
      <c r="G703" s="38">
        <f>SAM!F16</f>
        <v>5700000</v>
      </c>
      <c r="H703" s="76"/>
    </row>
    <row r="704" spans="1:8" x14ac:dyDescent="0.35">
      <c r="A704" s="35"/>
      <c r="B704" s="653">
        <f>SAM!A17</f>
        <v>489</v>
      </c>
      <c r="C704" s="653" t="str">
        <f>SAM!B17</f>
        <v>PREDNISOLONE 5MG TAB</v>
      </c>
      <c r="D704" s="654">
        <f>SAM!C17</f>
        <v>100</v>
      </c>
      <c r="E704" s="653">
        <f>SAM!D17</f>
        <v>800</v>
      </c>
      <c r="F704" s="38">
        <f>SAM!E17</f>
        <v>260</v>
      </c>
      <c r="G704" s="38">
        <f>SAM!F17</f>
        <v>208000</v>
      </c>
      <c r="H704" s="76"/>
    </row>
    <row r="705" spans="1:8" x14ac:dyDescent="0.35">
      <c r="A705" s="35"/>
      <c r="B705" s="653">
        <f>SAM!A18</f>
        <v>448</v>
      </c>
      <c r="C705" s="653" t="str">
        <f>SAM!B18</f>
        <v>RABEPRAZOLE 20MG CAP</v>
      </c>
      <c r="D705" s="654">
        <f>SAM!C18</f>
        <v>20</v>
      </c>
      <c r="E705" s="653">
        <f>SAM!D18</f>
        <v>300</v>
      </c>
      <c r="F705" s="38">
        <f>SAM!E18</f>
        <v>530</v>
      </c>
      <c r="G705" s="38">
        <f>SAM!F18</f>
        <v>159000</v>
      </c>
      <c r="H705" s="76"/>
    </row>
    <row r="706" spans="1:8" x14ac:dyDescent="0.35">
      <c r="A706" s="35"/>
      <c r="B706" s="653">
        <f>SAM!A19</f>
        <v>337</v>
      </c>
      <c r="C706" s="653" t="str">
        <f>SAM!B19</f>
        <v>VITAMIN B COMPLEX TAB</v>
      </c>
      <c r="D706" s="654">
        <f>SAM!C19</f>
        <v>1000</v>
      </c>
      <c r="E706" s="653">
        <f>SAM!D19</f>
        <v>400</v>
      </c>
      <c r="F706" s="38">
        <f>SAM!E19</f>
        <v>380</v>
      </c>
      <c r="G706" s="38">
        <f>SAM!F19</f>
        <v>152000</v>
      </c>
      <c r="H706" s="76"/>
    </row>
    <row r="707" spans="1:8" ht="23.25" x14ac:dyDescent="0.35">
      <c r="A707" s="35"/>
      <c r="B707" s="653">
        <f>SAM!A20</f>
        <v>340</v>
      </c>
      <c r="C707" s="653" t="str">
        <f>SAM!B20</f>
        <v>VITAMIN C 100MG (CHEWABLE)</v>
      </c>
      <c r="D707" s="654">
        <f>SAM!C20</f>
        <v>1000</v>
      </c>
      <c r="E707" s="653">
        <f>SAM!D20</f>
        <v>400</v>
      </c>
      <c r="F707" s="38">
        <f>SAM!E20</f>
        <v>730</v>
      </c>
      <c r="G707" s="38">
        <f>SAM!F20</f>
        <v>292000</v>
      </c>
      <c r="H707" s="186">
        <f>SUM(G693:G707)</f>
        <v>12628000</v>
      </c>
    </row>
    <row r="708" spans="1:8" x14ac:dyDescent="0.35">
      <c r="A708" s="35"/>
      <c r="B708" s="653"/>
      <c r="C708" s="653"/>
      <c r="D708" s="654"/>
      <c r="E708" s="653"/>
      <c r="F708" s="38"/>
      <c r="G708" s="38"/>
      <c r="H708" s="76"/>
    </row>
    <row r="709" spans="1:8" x14ac:dyDescent="0.35">
      <c r="A709" s="35"/>
      <c r="B709" s="35"/>
      <c r="C709" s="35"/>
      <c r="D709" s="648"/>
      <c r="E709" s="35"/>
      <c r="F709" s="38"/>
      <c r="G709" s="38"/>
      <c r="H709" s="76"/>
    </row>
    <row r="710" spans="1:8" ht="23.25" x14ac:dyDescent="0.35">
      <c r="A710" s="35">
        <v>40</v>
      </c>
      <c r="B710" s="35"/>
      <c r="C710" s="77" t="str">
        <f>SEAGREEN!B1</f>
        <v>SEAGREEN PHARMACEUTICALS LIMITED</v>
      </c>
      <c r="D710" s="648"/>
      <c r="E710" s="35"/>
      <c r="F710" s="38"/>
      <c r="G710" s="38"/>
      <c r="H710" s="76"/>
    </row>
    <row r="711" spans="1:8" x14ac:dyDescent="0.35">
      <c r="A711" s="35"/>
      <c r="B711" s="653">
        <f>SEAGREEN!A6</f>
        <v>208</v>
      </c>
      <c r="C711" s="653" t="str">
        <f>SEAGREEN!B6</f>
        <v>AMOXICILLIN/CLAVULANIC ACID 625MG TAB</v>
      </c>
      <c r="D711" s="654">
        <f>SEAGREEN!C6</f>
        <v>14</v>
      </c>
      <c r="E711" s="653">
        <f>SEAGREEN!D6</f>
        <v>800</v>
      </c>
      <c r="F711" s="38">
        <f>SEAGREEN!E6</f>
        <v>650</v>
      </c>
      <c r="G711" s="38">
        <f>SEAGREEN!F6</f>
        <v>520000</v>
      </c>
      <c r="H711" s="76"/>
    </row>
    <row r="712" spans="1:8" x14ac:dyDescent="0.35">
      <c r="A712" s="35"/>
      <c r="B712" s="653">
        <f>SEAGREEN!A7</f>
        <v>241</v>
      </c>
      <c r="C712" s="653" t="str">
        <f>SEAGREEN!B7</f>
        <v>CLOTRIMAZOLE/METRONIDAZOLE/LACTOBACILLUS SPORES</v>
      </c>
      <c r="D712" s="654">
        <f>SEAGREEN!C7</f>
        <v>6</v>
      </c>
      <c r="E712" s="653">
        <f>SEAGREEN!D7</f>
        <v>200</v>
      </c>
      <c r="F712" s="38">
        <f>SEAGREEN!E7</f>
        <v>900</v>
      </c>
      <c r="G712" s="38">
        <f>SEAGREEN!F7</f>
        <v>180000</v>
      </c>
      <c r="H712" s="76"/>
    </row>
    <row r="713" spans="1:8" x14ac:dyDescent="0.35">
      <c r="A713" s="35"/>
      <c r="B713" s="653">
        <f>SEAGREEN!A8</f>
        <v>228</v>
      </c>
      <c r="C713" s="653" t="str">
        <f>SEAGREEN!B8</f>
        <v>CEFTRIAXONE 1G INJ</v>
      </c>
      <c r="D713" s="654" t="str">
        <f>SEAGREEN!C8</f>
        <v>VIAL</v>
      </c>
      <c r="E713" s="653">
        <f>SEAGREEN!D8</f>
        <v>10500</v>
      </c>
      <c r="F713" s="38">
        <f>SEAGREEN!E8</f>
        <v>180</v>
      </c>
      <c r="G713" s="38">
        <f>SEAGREEN!F8</f>
        <v>1890000</v>
      </c>
      <c r="H713" s="76"/>
    </row>
    <row r="714" spans="1:8" ht="23.25" x14ac:dyDescent="0.35">
      <c r="A714" s="35"/>
      <c r="B714" s="653">
        <f>SEAGREEN!A9</f>
        <v>105</v>
      </c>
      <c r="C714" s="653" t="str">
        <f>SEAGREEN!B9</f>
        <v>SIMVASTATIN 20MG TAB</v>
      </c>
      <c r="D714" s="654">
        <f>SEAGREEN!C9</f>
        <v>28</v>
      </c>
      <c r="E714" s="653">
        <f>SEAGREEN!D9</f>
        <v>50</v>
      </c>
      <c r="F714" s="38">
        <f>SEAGREEN!E9</f>
        <v>300</v>
      </c>
      <c r="G714" s="38">
        <f>SEAGREEN!F9</f>
        <v>15000</v>
      </c>
      <c r="H714" s="186">
        <f>SUM(G711:G714)</f>
        <v>2605000</v>
      </c>
    </row>
    <row r="715" spans="1:8" x14ac:dyDescent="0.35">
      <c r="A715" s="35"/>
      <c r="B715" s="653"/>
      <c r="C715" s="653"/>
      <c r="D715" s="654"/>
      <c r="E715" s="653"/>
      <c r="F715" s="38"/>
      <c r="G715" s="38"/>
      <c r="H715" s="76"/>
    </row>
    <row r="716" spans="1:8" x14ac:dyDescent="0.35">
      <c r="A716" s="35"/>
      <c r="B716" s="653"/>
      <c r="C716" s="653"/>
      <c r="D716" s="654"/>
      <c r="E716" s="653"/>
      <c r="F716" s="38"/>
      <c r="G716" s="38"/>
      <c r="H716" s="76"/>
    </row>
    <row r="717" spans="1:8" ht="23.25" x14ac:dyDescent="0.35">
      <c r="A717" s="35">
        <v>41</v>
      </c>
      <c r="B717" s="653"/>
      <c r="C717" s="656" t="str">
        <f>SKG!B1</f>
        <v>SKG PHARMACEUTICALS LIMITED</v>
      </c>
      <c r="D717" s="654"/>
      <c r="E717" s="653"/>
      <c r="F717" s="38"/>
      <c r="G717" s="38"/>
      <c r="H717" s="76"/>
    </row>
    <row r="718" spans="1:8" x14ac:dyDescent="0.35">
      <c r="A718" s="35"/>
      <c r="B718" s="653">
        <f>SKG!A6</f>
        <v>211</v>
      </c>
      <c r="C718" s="653" t="str">
        <f>SKG!B6</f>
        <v>AMPICILLIN/CLOXACILLIIN 500MG CAP</v>
      </c>
      <c r="D718" s="654">
        <f>SKG!C6</f>
        <v>100</v>
      </c>
      <c r="E718" s="653">
        <f>SKG!D6</f>
        <v>250</v>
      </c>
      <c r="F718" s="38">
        <f>SKG!E6</f>
        <v>1104.4000000000001</v>
      </c>
      <c r="G718" s="38">
        <f>SKG!F6</f>
        <v>276100</v>
      </c>
      <c r="H718" s="76"/>
    </row>
    <row r="719" spans="1:8" x14ac:dyDescent="0.35">
      <c r="A719" s="35"/>
      <c r="B719" s="653">
        <f>SKG!A7</f>
        <v>212</v>
      </c>
      <c r="C719" s="653" t="str">
        <f>SKG!B7</f>
        <v>AMPICILLIN/CLOXACILLIN 250MG/5ML SUSP</v>
      </c>
      <c r="D719" s="654" t="str">
        <f>SKG!C7</f>
        <v>BOTT</v>
      </c>
      <c r="E719" s="653">
        <f>SKG!D7</f>
        <v>250</v>
      </c>
      <c r="F719" s="38">
        <f>SKG!E7</f>
        <v>293.23</v>
      </c>
      <c r="G719" s="38">
        <f>SKG!F7</f>
        <v>73307.5</v>
      </c>
      <c r="H719" s="76"/>
    </row>
    <row r="720" spans="1:8" x14ac:dyDescent="0.35">
      <c r="A720" s="35"/>
      <c r="B720" s="653">
        <f>SKG!A8</f>
        <v>685</v>
      </c>
      <c r="C720" s="653" t="str">
        <f>SKG!B8</f>
        <v>CALAMINE LOTION</v>
      </c>
      <c r="D720" s="654">
        <f>SKG!C8</f>
        <v>12</v>
      </c>
      <c r="E720" s="653">
        <f>SKG!D8</f>
        <v>12</v>
      </c>
      <c r="F720" s="38">
        <f>SKG!E8</f>
        <v>2265</v>
      </c>
      <c r="G720" s="38">
        <f>SKG!F8</f>
        <v>27180</v>
      </c>
      <c r="H720" s="76"/>
    </row>
    <row r="721" spans="1:8" x14ac:dyDescent="0.35">
      <c r="A721" s="35"/>
      <c r="B721" s="653">
        <f>SKG!A9</f>
        <v>675</v>
      </c>
      <c r="C721" s="653" t="str">
        <f>SKG!B9</f>
        <v>HYDROGEN PEROXIDE 100ML</v>
      </c>
      <c r="D721" s="654" t="str">
        <f>SKG!C9</f>
        <v>BOTT</v>
      </c>
      <c r="E721" s="653">
        <f>SKG!D9</f>
        <v>1000</v>
      </c>
      <c r="F721" s="38">
        <f>SKG!E9</f>
        <v>123.59</v>
      </c>
      <c r="G721" s="38">
        <f>SKG!F9</f>
        <v>123590</v>
      </c>
      <c r="H721" s="76"/>
    </row>
    <row r="722" spans="1:8" x14ac:dyDescent="0.35">
      <c r="A722" s="35"/>
      <c r="B722" s="653">
        <f>SKG!A10</f>
        <v>433</v>
      </c>
      <c r="C722" s="653" t="str">
        <f>SKG!B10</f>
        <v>LIQUID PARAFFIN</v>
      </c>
      <c r="D722" s="654" t="str">
        <f>SKG!C10</f>
        <v>BOTT</v>
      </c>
      <c r="E722" s="653">
        <f>SKG!D10</f>
        <v>600</v>
      </c>
      <c r="F722" s="38">
        <f>SKG!E10</f>
        <v>350.53</v>
      </c>
      <c r="G722" s="38">
        <f>SKG!F10</f>
        <v>210317.99999999997</v>
      </c>
      <c r="H722" s="76"/>
    </row>
    <row r="723" spans="1:8" x14ac:dyDescent="0.35">
      <c r="A723" s="35"/>
      <c r="B723" s="653">
        <f>SKG!A11</f>
        <v>435</v>
      </c>
      <c r="C723" s="653" t="str">
        <f>SKG!B11</f>
        <v>MAGNESIUM HYDROXIDE/ALUMINIUM HYDROXIDE+ DIMETHICONE SUSP</v>
      </c>
      <c r="D723" s="654" t="str">
        <f>SKG!C11</f>
        <v>BOTT</v>
      </c>
      <c r="E723" s="653">
        <f>SKG!D11</f>
        <v>1000</v>
      </c>
      <c r="F723" s="38">
        <f>SKG!E11</f>
        <v>410.08</v>
      </c>
      <c r="G723" s="38">
        <f>SKG!F11</f>
        <v>410080</v>
      </c>
      <c r="H723" s="76"/>
    </row>
    <row r="724" spans="1:8" x14ac:dyDescent="0.35">
      <c r="A724" s="35"/>
      <c r="B724" s="653">
        <f>SKG!A12</f>
        <v>492</v>
      </c>
      <c r="C724" s="653" t="str">
        <f>SKG!B12</f>
        <v xml:space="preserve">PSEUDOEPHEDRINE/TRIPROLIDINE SYR             </v>
      </c>
      <c r="D724" s="654" t="str">
        <f>SKG!C12</f>
        <v>BOTT</v>
      </c>
      <c r="E724" s="653">
        <f>SKG!D12</f>
        <v>120</v>
      </c>
      <c r="F724" s="38">
        <f>SKG!E12</f>
        <v>316.83</v>
      </c>
      <c r="G724" s="38">
        <f>SKG!F12</f>
        <v>38019.599999999999</v>
      </c>
      <c r="H724" s="76"/>
    </row>
    <row r="725" spans="1:8" ht="23.25" x14ac:dyDescent="0.35">
      <c r="A725" s="35"/>
      <c r="B725" s="653">
        <f>SKG!A13</f>
        <v>493</v>
      </c>
      <c r="C725" s="653" t="str">
        <f>SKG!B13</f>
        <v>PSEUDOEPHEDRINE/TRIPROLIDINE TAB</v>
      </c>
      <c r="D725" s="654">
        <f>SKG!C13</f>
        <v>100</v>
      </c>
      <c r="E725" s="653">
        <f>SKG!D13</f>
        <v>80</v>
      </c>
      <c r="F725" s="38">
        <f>SKG!E13</f>
        <v>1853.78</v>
      </c>
      <c r="G725" s="38">
        <f>SKG!F13</f>
        <v>148302.39999999999</v>
      </c>
      <c r="H725" s="186">
        <f>SUM(G718:G725)</f>
        <v>1306897.5</v>
      </c>
    </row>
    <row r="726" spans="1:8" x14ac:dyDescent="0.35">
      <c r="A726" s="35"/>
      <c r="B726" s="653"/>
      <c r="C726" s="653"/>
      <c r="D726" s="654"/>
      <c r="E726" s="653"/>
      <c r="F726" s="38"/>
      <c r="G726" s="38"/>
      <c r="H726" s="76"/>
    </row>
    <row r="727" spans="1:8" x14ac:dyDescent="0.35">
      <c r="A727" s="35"/>
      <c r="B727" s="653"/>
      <c r="C727" s="653"/>
      <c r="D727" s="654"/>
      <c r="E727" s="653"/>
      <c r="F727" s="38"/>
      <c r="G727" s="38"/>
      <c r="H727" s="76"/>
    </row>
    <row r="728" spans="1:8" ht="23.25" x14ac:dyDescent="0.35">
      <c r="A728" s="35">
        <v>42</v>
      </c>
      <c r="B728" s="653"/>
      <c r="C728" s="656" t="str">
        <f>TAH!B1</f>
        <v>TAH PHARMACEUTICALS LIMITED</v>
      </c>
      <c r="D728" s="654"/>
      <c r="E728" s="653"/>
      <c r="F728" s="38"/>
      <c r="G728" s="38"/>
      <c r="H728" s="76"/>
    </row>
    <row r="729" spans="1:8" x14ac:dyDescent="0.35">
      <c r="A729" s="35"/>
      <c r="B729" s="653">
        <f>TAH!A6</f>
        <v>49</v>
      </c>
      <c r="C729" s="653" t="str">
        <f>TAH!B6</f>
        <v>ATORVASTATIN 20MG</v>
      </c>
      <c r="D729" s="654">
        <f>TAH!C6</f>
        <v>30</v>
      </c>
      <c r="E729" s="653">
        <f>TAH!D6</f>
        <v>500</v>
      </c>
      <c r="F729" s="38">
        <f>TAH!E6</f>
        <v>500</v>
      </c>
      <c r="G729" s="38">
        <f>TAH!F6</f>
        <v>250000</v>
      </c>
      <c r="H729" s="76"/>
    </row>
    <row r="730" spans="1:8" x14ac:dyDescent="0.35">
      <c r="A730" s="35"/>
      <c r="B730" s="653">
        <f>TAH!A7</f>
        <v>580</v>
      </c>
      <c r="C730" s="653" t="str">
        <f>TAH!B7</f>
        <v>CANNULA 18G GREEN</v>
      </c>
      <c r="D730" s="654">
        <f>TAH!C7</f>
        <v>50</v>
      </c>
      <c r="E730" s="653">
        <f>TAH!D7</f>
        <v>210</v>
      </c>
      <c r="F730" s="38">
        <f>TAH!E7</f>
        <v>1900</v>
      </c>
      <c r="G730" s="38">
        <f>TAH!F7</f>
        <v>399000</v>
      </c>
      <c r="H730" s="76"/>
    </row>
    <row r="731" spans="1:8" x14ac:dyDescent="0.35">
      <c r="A731" s="35"/>
      <c r="B731" s="653">
        <f>TAH!A8</f>
        <v>581</v>
      </c>
      <c r="C731" s="653" t="str">
        <f>TAH!B8</f>
        <v xml:space="preserve">CANNULA 20G PINK </v>
      </c>
      <c r="D731" s="654">
        <f>TAH!C8</f>
        <v>50</v>
      </c>
      <c r="E731" s="653">
        <f>TAH!D8</f>
        <v>280</v>
      </c>
      <c r="F731" s="38">
        <f>TAH!E8</f>
        <v>1900</v>
      </c>
      <c r="G731" s="38">
        <f>TAH!F8</f>
        <v>532000</v>
      </c>
      <c r="H731" s="76"/>
    </row>
    <row r="732" spans="1:8" x14ac:dyDescent="0.35">
      <c r="A732" s="35"/>
      <c r="B732" s="653">
        <f>TAH!A9</f>
        <v>582</v>
      </c>
      <c r="C732" s="653" t="str">
        <f>TAH!B9</f>
        <v xml:space="preserve">CANNULA 22G BLUE </v>
      </c>
      <c r="D732" s="654">
        <f>TAH!C9</f>
        <v>50</v>
      </c>
      <c r="E732" s="653">
        <f>TAH!D9</f>
        <v>140</v>
      </c>
      <c r="F732" s="38">
        <f>TAH!E9</f>
        <v>1900</v>
      </c>
      <c r="G732" s="38">
        <f>TAH!F9</f>
        <v>266000</v>
      </c>
      <c r="H732" s="76"/>
    </row>
    <row r="733" spans="1:8" x14ac:dyDescent="0.35">
      <c r="A733" s="35"/>
      <c r="B733" s="653">
        <f>TAH!A10</f>
        <v>583</v>
      </c>
      <c r="C733" s="653" t="str">
        <f>TAH!B10</f>
        <v xml:space="preserve">CANNULA 24G YELLOW </v>
      </c>
      <c r="D733" s="654">
        <f>TAH!C10</f>
        <v>50</v>
      </c>
      <c r="E733" s="653">
        <f>TAH!D10</f>
        <v>90</v>
      </c>
      <c r="F733" s="38">
        <f>TAH!E10</f>
        <v>2250</v>
      </c>
      <c r="G733" s="38">
        <f>TAH!F10</f>
        <v>202500</v>
      </c>
      <c r="H733" s="76"/>
    </row>
    <row r="734" spans="1:8" x14ac:dyDescent="0.35">
      <c r="A734" s="35"/>
      <c r="B734" s="653">
        <f>TAH!A11</f>
        <v>224</v>
      </c>
      <c r="C734" s="653" t="str">
        <f>TAH!B11</f>
        <v>CEFOTAXIME 1G INJ</v>
      </c>
      <c r="D734" s="654" t="str">
        <f>TAH!C11</f>
        <v>VIAL</v>
      </c>
      <c r="E734" s="653">
        <f>TAH!D11</f>
        <v>10</v>
      </c>
      <c r="F734" s="38">
        <f>TAH!E11</f>
        <v>250</v>
      </c>
      <c r="G734" s="38">
        <f>TAH!F11</f>
        <v>2500</v>
      </c>
      <c r="H734" s="76"/>
    </row>
    <row r="735" spans="1:8" x14ac:dyDescent="0.35">
      <c r="A735" s="35"/>
      <c r="B735" s="653">
        <f>TAH!A12</f>
        <v>429</v>
      </c>
      <c r="C735" s="653" t="str">
        <f>TAH!B12</f>
        <v>ESOMEPRAZOLE 20MG CAP</v>
      </c>
      <c r="D735" s="654">
        <f>TAH!C12</f>
        <v>50</v>
      </c>
      <c r="E735" s="653">
        <f>TAH!D12</f>
        <v>32</v>
      </c>
      <c r="F735" s="38">
        <f>TAH!E12</f>
        <v>1200</v>
      </c>
      <c r="G735" s="38">
        <f>TAH!F12</f>
        <v>38400</v>
      </c>
      <c r="H735" s="76"/>
    </row>
    <row r="736" spans="1:8" x14ac:dyDescent="0.35">
      <c r="A736" s="35"/>
      <c r="B736" s="653">
        <f>TAH!A13</f>
        <v>430</v>
      </c>
      <c r="C736" s="653" t="str">
        <f>TAH!B13</f>
        <v>ESOMEPRAZOLE 40MG CAP</v>
      </c>
      <c r="D736" s="654">
        <f>TAH!C13</f>
        <v>50</v>
      </c>
      <c r="E736" s="653">
        <f>TAH!D13</f>
        <v>20</v>
      </c>
      <c r="F736" s="38">
        <f>TAH!E13</f>
        <v>1200</v>
      </c>
      <c r="G736" s="38">
        <f>TAH!F13</f>
        <v>24000</v>
      </c>
      <c r="H736" s="76"/>
    </row>
    <row r="737" spans="1:8" x14ac:dyDescent="0.35">
      <c r="A737" s="35"/>
      <c r="B737" s="653">
        <f>TAH!A14</f>
        <v>403</v>
      </c>
      <c r="C737" s="653" t="str">
        <f>TAH!B14</f>
        <v>HEAVY MARCAINE INJ</v>
      </c>
      <c r="D737" s="654">
        <f>TAH!C14</f>
        <v>10</v>
      </c>
      <c r="E737" s="653">
        <f>TAH!D14</f>
        <v>32.4</v>
      </c>
      <c r="F737" s="38">
        <f>TAH!E14</f>
        <v>3000</v>
      </c>
      <c r="G737" s="38">
        <f>TAH!F14</f>
        <v>97200</v>
      </c>
      <c r="H737" s="76"/>
    </row>
    <row r="738" spans="1:8" x14ac:dyDescent="0.35">
      <c r="A738" s="35"/>
      <c r="B738" s="653">
        <f>TAH!A15</f>
        <v>410</v>
      </c>
      <c r="C738" s="653" t="str">
        <f>TAH!B15</f>
        <v>PROPOFOL 1%</v>
      </c>
      <c r="D738" s="654" t="str">
        <f>TAH!C15</f>
        <v>VIAL</v>
      </c>
      <c r="E738" s="653">
        <f>TAH!D15</f>
        <v>240</v>
      </c>
      <c r="F738" s="38">
        <f>TAH!E15</f>
        <v>800</v>
      </c>
      <c r="G738" s="38">
        <f>TAH!F15</f>
        <v>192000</v>
      </c>
      <c r="H738" s="76"/>
    </row>
    <row r="739" spans="1:8" x14ac:dyDescent="0.35">
      <c r="A739" s="35"/>
      <c r="B739" s="653">
        <f>TAH!A16</f>
        <v>449</v>
      </c>
      <c r="C739" s="653" t="str">
        <f>TAH!B16</f>
        <v>RABEPRAZOLE 20MG INJ</v>
      </c>
      <c r="D739" s="654" t="str">
        <f>TAH!C16</f>
        <v xml:space="preserve">VIAL </v>
      </c>
      <c r="E739" s="653">
        <f>TAH!D16</f>
        <v>80</v>
      </c>
      <c r="F739" s="38">
        <f>TAH!E16</f>
        <v>650</v>
      </c>
      <c r="G739" s="38">
        <f>TAH!F16</f>
        <v>52000</v>
      </c>
      <c r="H739" s="76"/>
    </row>
    <row r="740" spans="1:8" x14ac:dyDescent="0.35">
      <c r="A740" s="35"/>
      <c r="B740" s="653">
        <f>TAH!A17</f>
        <v>647</v>
      </c>
      <c r="C740" s="653" t="str">
        <f>TAH!B17</f>
        <v>SURGICAL GLOVES 7 1/2"</v>
      </c>
      <c r="D740" s="654">
        <f>TAH!C17</f>
        <v>50</v>
      </c>
      <c r="E740" s="653">
        <f>TAH!D17</f>
        <v>600</v>
      </c>
      <c r="F740" s="38">
        <f>TAH!E17</f>
        <v>3000</v>
      </c>
      <c r="G740" s="38">
        <f>TAH!F17</f>
        <v>1800000</v>
      </c>
      <c r="H740" s="76"/>
    </row>
    <row r="741" spans="1:8" x14ac:dyDescent="0.35">
      <c r="A741" s="35"/>
      <c r="B741" s="653">
        <f>TAH!A18</f>
        <v>646</v>
      </c>
      <c r="C741" s="653" t="str">
        <f>TAH!B18</f>
        <v>SURGICAL GLOVES 7"</v>
      </c>
      <c r="D741" s="654">
        <f>TAH!C18</f>
        <v>50</v>
      </c>
      <c r="E741" s="653">
        <f>TAH!D18</f>
        <v>240</v>
      </c>
      <c r="F741" s="38">
        <f>TAH!E18</f>
        <v>3000</v>
      </c>
      <c r="G741" s="38">
        <f>TAH!F18</f>
        <v>720000</v>
      </c>
      <c r="H741" s="76"/>
    </row>
    <row r="742" spans="1:8" ht="23.25" x14ac:dyDescent="0.35">
      <c r="A742" s="35"/>
      <c r="B742" s="653">
        <f>TAH!A19</f>
        <v>648</v>
      </c>
      <c r="C742" s="653" t="str">
        <f>TAH!B19</f>
        <v>SURGICAL GLOVES 8"</v>
      </c>
      <c r="D742" s="654">
        <f>TAH!C19</f>
        <v>50</v>
      </c>
      <c r="E742" s="653">
        <f>TAH!D19</f>
        <v>350</v>
      </c>
      <c r="F742" s="38">
        <f>TAH!E19</f>
        <v>3000</v>
      </c>
      <c r="G742" s="38">
        <f>TAH!F19</f>
        <v>1050000</v>
      </c>
      <c r="H742" s="186">
        <f>SUM(G729:G742)</f>
        <v>5625600</v>
      </c>
    </row>
    <row r="743" spans="1:8" x14ac:dyDescent="0.35">
      <c r="A743" s="35"/>
      <c r="B743" s="653"/>
      <c r="C743" s="653"/>
      <c r="D743" s="654"/>
      <c r="E743" s="653"/>
      <c r="F743" s="38"/>
      <c r="G743" s="38"/>
      <c r="H743" s="76"/>
    </row>
    <row r="744" spans="1:8" x14ac:dyDescent="0.35">
      <c r="A744" s="35"/>
      <c r="B744" s="653"/>
      <c r="C744" s="653"/>
      <c r="D744" s="654"/>
      <c r="E744" s="653"/>
      <c r="F744" s="38"/>
      <c r="G744" s="38"/>
      <c r="H744" s="76"/>
    </row>
    <row r="745" spans="1:8" ht="23.25" x14ac:dyDescent="0.35">
      <c r="A745" s="35">
        <v>43</v>
      </c>
      <c r="B745" s="653"/>
      <c r="C745" s="656" t="str">
        <f>TAYLEK!B1</f>
        <v>TAYLEK DRUGS COMPANY LIMITED</v>
      </c>
      <c r="D745" s="654"/>
      <c r="E745" s="653"/>
      <c r="F745" s="38"/>
      <c r="G745" s="38"/>
      <c r="H745" s="76"/>
    </row>
    <row r="746" spans="1:8" x14ac:dyDescent="0.35">
      <c r="A746" s="35"/>
      <c r="B746" s="653">
        <f>TAYLEK!A6</f>
        <v>382</v>
      </c>
      <c r="C746" s="653" t="str">
        <f>TAYLEK!B6</f>
        <v>BROMOCRYPTINE 2.5MG TAB</v>
      </c>
      <c r="D746" s="654">
        <f>TAYLEK!C6</f>
        <v>30</v>
      </c>
      <c r="E746" s="653">
        <f>TAYLEK!D6</f>
        <v>52</v>
      </c>
      <c r="F746" s="38">
        <f>TAYLEK!E6</f>
        <v>2280</v>
      </c>
      <c r="G746" s="38">
        <f>TAYLEK!F6</f>
        <v>118560</v>
      </c>
      <c r="H746" s="76"/>
    </row>
    <row r="747" spans="1:8" x14ac:dyDescent="0.35">
      <c r="A747" s="35"/>
      <c r="B747" s="653">
        <f>TAYLEK!A7</f>
        <v>55</v>
      </c>
      <c r="C747" s="653" t="str">
        <f>TAYLEK!B7</f>
        <v>CANDESARTAN 16MG TAB</v>
      </c>
      <c r="D747" s="654">
        <f>TAYLEK!C7</f>
        <v>28</v>
      </c>
      <c r="E747" s="653">
        <f>TAYLEK!D7</f>
        <v>65</v>
      </c>
      <c r="F747" s="38">
        <f>TAYLEK!E7</f>
        <v>3863</v>
      </c>
      <c r="G747" s="38">
        <f>TAYLEK!F7</f>
        <v>251095</v>
      </c>
      <c r="H747" s="76"/>
    </row>
    <row r="748" spans="1:8" x14ac:dyDescent="0.35">
      <c r="A748" s="35"/>
      <c r="B748" s="653">
        <f>TAYLEK!A8</f>
        <v>54</v>
      </c>
      <c r="C748" s="653" t="str">
        <f>TAYLEK!B8</f>
        <v>CANDESARTAN 8MG TAB</v>
      </c>
      <c r="D748" s="654">
        <f>TAYLEK!C8</f>
        <v>28</v>
      </c>
      <c r="E748" s="653">
        <f>TAYLEK!D8</f>
        <v>100</v>
      </c>
      <c r="F748" s="38">
        <f>TAYLEK!E8</f>
        <v>2873</v>
      </c>
      <c r="G748" s="38">
        <f>TAYLEK!F8</f>
        <v>287300</v>
      </c>
      <c r="H748" s="76"/>
    </row>
    <row r="749" spans="1:8" x14ac:dyDescent="0.35">
      <c r="A749" s="35"/>
      <c r="B749" s="653">
        <f>TAYLEK!A9</f>
        <v>255</v>
      </c>
      <c r="C749" s="653" t="str">
        <f>TAYLEK!B9</f>
        <v>GENTICIN 80MG INJ</v>
      </c>
      <c r="D749" s="654">
        <f>TAYLEK!C9</f>
        <v>50</v>
      </c>
      <c r="E749" s="653">
        <f>TAYLEK!D9</f>
        <v>300</v>
      </c>
      <c r="F749" s="38">
        <f>TAYLEK!E9</f>
        <v>8550</v>
      </c>
      <c r="G749" s="38">
        <f>TAYLEK!F9</f>
        <v>2565000</v>
      </c>
      <c r="H749" s="76"/>
    </row>
    <row r="750" spans="1:8" x14ac:dyDescent="0.35">
      <c r="A750" s="35"/>
      <c r="B750" s="653">
        <f>TAYLEK!A10</f>
        <v>88</v>
      </c>
      <c r="C750" s="653" t="str">
        <f>TAYLEK!B10</f>
        <v xml:space="preserve">NIFEDIPINE 30MG </v>
      </c>
      <c r="D750" s="654">
        <f>TAYLEK!C10</f>
        <v>30</v>
      </c>
      <c r="E750" s="653">
        <f>TAYLEK!D10</f>
        <v>2100</v>
      </c>
      <c r="F750" s="38">
        <f>TAYLEK!E10</f>
        <v>1568</v>
      </c>
      <c r="G750" s="38">
        <f>TAYLEK!F10</f>
        <v>3292800</v>
      </c>
      <c r="H750" s="76"/>
    </row>
    <row r="751" spans="1:8" x14ac:dyDescent="0.35">
      <c r="A751" s="35"/>
      <c r="B751" s="653">
        <f>TAYLEK!A11</f>
        <v>281</v>
      </c>
      <c r="C751" s="653" t="str">
        <f>TAYLEK!B11</f>
        <v>SILVER SULPHADIAZINE 25G CREAM</v>
      </c>
      <c r="D751" s="654" t="str">
        <f>TAYLEK!C11</f>
        <v>TUBE</v>
      </c>
      <c r="E751" s="653">
        <f>TAYLEK!D11</f>
        <v>400</v>
      </c>
      <c r="F751" s="38">
        <f>TAYLEK!E11</f>
        <v>786</v>
      </c>
      <c r="G751" s="38">
        <f>TAYLEK!F11</f>
        <v>314400</v>
      </c>
      <c r="H751" s="76"/>
    </row>
    <row r="752" spans="1:8" ht="23.25" x14ac:dyDescent="0.35">
      <c r="A752" s="35"/>
      <c r="B752" s="653">
        <f>TAYLEK!A12</f>
        <v>282</v>
      </c>
      <c r="C752" s="653" t="str">
        <f>TAYLEK!B12</f>
        <v>SILVER SULPHADIAZINE 50G CREAM</v>
      </c>
      <c r="D752" s="654" t="str">
        <f>TAYLEK!C12</f>
        <v>TUBE</v>
      </c>
      <c r="E752" s="653">
        <f>TAYLEK!D12</f>
        <v>500</v>
      </c>
      <c r="F752" s="38">
        <f>TAYLEK!E12</f>
        <v>1185</v>
      </c>
      <c r="G752" s="38">
        <f>TAYLEK!F12</f>
        <v>592500</v>
      </c>
      <c r="H752" s="186">
        <f>SUM(G746:G752)</f>
        <v>7421655</v>
      </c>
    </row>
    <row r="753" spans="1:8" x14ac:dyDescent="0.35">
      <c r="A753" s="35"/>
      <c r="B753" s="653"/>
      <c r="C753" s="653"/>
      <c r="D753" s="654"/>
      <c r="E753" s="653"/>
      <c r="F753" s="38"/>
      <c r="G753" s="38"/>
      <c r="H753" s="76"/>
    </row>
    <row r="754" spans="1:8" x14ac:dyDescent="0.35">
      <c r="A754" s="35"/>
      <c r="B754" s="653"/>
      <c r="C754" s="653"/>
      <c r="D754" s="654"/>
      <c r="E754" s="653"/>
      <c r="F754" s="38"/>
      <c r="G754" s="38"/>
      <c r="H754" s="76"/>
    </row>
    <row r="755" spans="1:8" ht="23.25" x14ac:dyDescent="0.35">
      <c r="A755" s="35">
        <v>44</v>
      </c>
      <c r="B755" s="653"/>
      <c r="C755" s="656" t="str">
        <f>THL!B1</f>
        <v>THERAPEUTIC LABORATORIES NIGERIA LIMITED</v>
      </c>
      <c r="D755" s="654"/>
      <c r="E755" s="653"/>
      <c r="F755" s="38"/>
      <c r="G755" s="38"/>
      <c r="H755" s="76"/>
    </row>
    <row r="756" spans="1:8" x14ac:dyDescent="0.35">
      <c r="A756" s="35"/>
      <c r="B756" s="653">
        <f>THL!A6</f>
        <v>8</v>
      </c>
      <c r="C756" s="653" t="str">
        <f>THL!B6</f>
        <v>ARTEMETHER/LUMEFANTRINE (80/480) TAB</v>
      </c>
      <c r="D756" s="654">
        <f>THL!C6</f>
        <v>6</v>
      </c>
      <c r="E756" s="653">
        <f>THL!D6</f>
        <v>1000</v>
      </c>
      <c r="F756" s="38">
        <f>THL!E6</f>
        <v>260</v>
      </c>
      <c r="G756" s="38">
        <f>THL!F6</f>
        <v>260000</v>
      </c>
      <c r="H756" s="76"/>
    </row>
    <row r="757" spans="1:8" x14ac:dyDescent="0.35">
      <c r="A757" s="35"/>
      <c r="B757" s="653">
        <f>THL!A7</f>
        <v>236</v>
      </c>
      <c r="C757" s="653" t="str">
        <f>THL!B7</f>
        <v>CIPROFLOXACIN 500MG TAB</v>
      </c>
      <c r="D757" s="654">
        <f>THL!C7</f>
        <v>10</v>
      </c>
      <c r="E757" s="653">
        <f>THL!D7</f>
        <v>3200</v>
      </c>
      <c r="F757" s="38">
        <f>THL!E7</f>
        <v>148</v>
      </c>
      <c r="G757" s="38">
        <f>THL!F7</f>
        <v>473600</v>
      </c>
      <c r="H757" s="76"/>
    </row>
    <row r="758" spans="1:8" x14ac:dyDescent="0.35">
      <c r="A758" s="35"/>
      <c r="B758" s="653">
        <f>THL!A8</f>
        <v>156</v>
      </c>
      <c r="C758" s="653" t="str">
        <f>THL!B8</f>
        <v xml:space="preserve">DICLOFENAC/METHYL SALICYLATE CREAM </v>
      </c>
      <c r="D758" s="654" t="str">
        <f>THL!C8</f>
        <v>TUBE</v>
      </c>
      <c r="E758" s="653">
        <f>THL!D8</f>
        <v>1600</v>
      </c>
      <c r="F758" s="38">
        <f>THL!E8</f>
        <v>190</v>
      </c>
      <c r="G758" s="38">
        <f>THL!F8</f>
        <v>304000</v>
      </c>
      <c r="H758" s="76"/>
    </row>
    <row r="759" spans="1:8" x14ac:dyDescent="0.35">
      <c r="A759" s="35"/>
      <c r="B759" s="653">
        <f>THL!A9</f>
        <v>158</v>
      </c>
      <c r="C759" s="653" t="str">
        <f>THL!B9</f>
        <v xml:space="preserve">DICLOFENAC/PARACETAMOL </v>
      </c>
      <c r="D759" s="654">
        <f>THL!C9</f>
        <v>20</v>
      </c>
      <c r="E759" s="653">
        <f>THL!D9</f>
        <v>400</v>
      </c>
      <c r="F759" s="38">
        <f>THL!E9</f>
        <v>150</v>
      </c>
      <c r="G759" s="38">
        <f>THL!F9</f>
        <v>60000</v>
      </c>
      <c r="H759" s="76"/>
    </row>
    <row r="760" spans="1:8" x14ac:dyDescent="0.35">
      <c r="A760" s="35"/>
      <c r="B760" s="653">
        <f>THL!A10</f>
        <v>305</v>
      </c>
      <c r="C760" s="653" t="str">
        <f>THL!B10</f>
        <v>FERROUS SULPHATE 200MG TAB</v>
      </c>
      <c r="D760" s="654">
        <f>THL!C10</f>
        <v>1000</v>
      </c>
      <c r="E760" s="653">
        <f>THL!D10</f>
        <v>500</v>
      </c>
      <c r="F760" s="38">
        <f>THL!E10</f>
        <v>700</v>
      </c>
      <c r="G760" s="38">
        <f>THL!F10</f>
        <v>350000</v>
      </c>
      <c r="H760" s="76"/>
    </row>
    <row r="761" spans="1:8" x14ac:dyDescent="0.35">
      <c r="A761" s="35"/>
      <c r="B761" s="653">
        <f>THL!A11</f>
        <v>311</v>
      </c>
      <c r="C761" s="653" t="str">
        <f>THL!B11</f>
        <v>IRON (III) HYDROXIDE POLYMALTOSE COMPLEX 50MG STERROP (TOT'HEMA)</v>
      </c>
      <c r="D761" s="654">
        <f>THL!C11</f>
        <v>20</v>
      </c>
      <c r="E761" s="653">
        <f>THL!D11</f>
        <v>600</v>
      </c>
      <c r="F761" s="38">
        <f>THL!E11</f>
        <v>480</v>
      </c>
      <c r="G761" s="38">
        <f>THL!F11</f>
        <v>288000</v>
      </c>
      <c r="H761" s="76"/>
    </row>
    <row r="762" spans="1:8" ht="23.25" x14ac:dyDescent="0.35">
      <c r="A762" s="35"/>
      <c r="B762" s="653">
        <f>THL!A12</f>
        <v>435</v>
      </c>
      <c r="C762" s="653" t="str">
        <f>THL!B12</f>
        <v>MAGNESIUM HYDROXIDE/ALUMINIUM HYDROXIDE+ DIMETHICONE SUSP</v>
      </c>
      <c r="D762" s="654" t="str">
        <f>THL!C12</f>
        <v>BOTT</v>
      </c>
      <c r="E762" s="653">
        <f>THL!D12</f>
        <v>1000</v>
      </c>
      <c r="F762" s="38">
        <f>THL!E12</f>
        <v>260</v>
      </c>
      <c r="G762" s="38">
        <f>THL!F12</f>
        <v>260000</v>
      </c>
      <c r="H762" s="186"/>
    </row>
    <row r="763" spans="1:8" x14ac:dyDescent="0.35">
      <c r="A763" s="35"/>
      <c r="B763" s="653">
        <f>THL!A13</f>
        <v>134</v>
      </c>
      <c r="C763" s="653" t="str">
        <f>THL!B13</f>
        <v>METFORMIN HCL 500MG TAB</v>
      </c>
      <c r="D763" s="654">
        <f>THL!C13</f>
        <v>100</v>
      </c>
      <c r="E763" s="653">
        <f>THL!D13</f>
        <v>1500</v>
      </c>
      <c r="F763" s="38">
        <f>THL!E13</f>
        <v>400</v>
      </c>
      <c r="G763" s="38">
        <f>THL!F13</f>
        <v>600000</v>
      </c>
    </row>
    <row r="764" spans="1:8" ht="23.25" x14ac:dyDescent="0.35">
      <c r="A764" s="35"/>
      <c r="B764" s="653">
        <f>THL!A14</f>
        <v>446</v>
      </c>
      <c r="C764" s="653" t="str">
        <f>THL!B14</f>
        <v>OXATHAZINE/MAGNESIUM HYDROXIDE/ALUMINIUM HYDROXIDE/SIMETHICONE</v>
      </c>
      <c r="D764" s="654" t="str">
        <f>THL!C14</f>
        <v>BOTT</v>
      </c>
      <c r="E764" s="653">
        <f>THL!D14</f>
        <v>400</v>
      </c>
      <c r="F764" s="38">
        <f>THL!E14</f>
        <v>410</v>
      </c>
      <c r="G764" s="38">
        <f>THL!F14</f>
        <v>164000</v>
      </c>
      <c r="H764" s="186">
        <f>SUM(G756:G764)</f>
        <v>2759600</v>
      </c>
    </row>
    <row r="765" spans="1:8" x14ac:dyDescent="0.35">
      <c r="A765" s="35"/>
      <c r="B765" s="653"/>
      <c r="C765" s="653"/>
      <c r="D765" s="654"/>
      <c r="E765" s="653"/>
      <c r="F765" s="38"/>
      <c r="G765" s="38"/>
      <c r="H765" s="76"/>
    </row>
    <row r="766" spans="1:8" x14ac:dyDescent="0.35">
      <c r="A766" s="35"/>
      <c r="B766" s="653"/>
      <c r="C766" s="653"/>
      <c r="D766" s="654"/>
      <c r="E766" s="653"/>
      <c r="F766" s="38"/>
      <c r="G766" s="38"/>
      <c r="H766" s="76"/>
    </row>
    <row r="767" spans="1:8" ht="23.25" x14ac:dyDescent="0.35">
      <c r="A767" s="35">
        <v>45</v>
      </c>
      <c r="B767" s="653"/>
      <c r="C767" s="656" t="str">
        <f>UNIQUE!B1</f>
        <v>UNIQUE PHARMACEUTICALS LIMITED</v>
      </c>
      <c r="D767" s="654"/>
      <c r="E767" s="653"/>
      <c r="F767" s="38"/>
      <c r="G767" s="38"/>
      <c r="H767" s="76"/>
    </row>
    <row r="768" spans="1:8" x14ac:dyDescent="0.35">
      <c r="A768" s="35"/>
      <c r="B768" s="653">
        <f>UNIQUE!A6</f>
        <v>20</v>
      </c>
      <c r="C768" s="653" t="str">
        <f>UNIQUE!B6</f>
        <v>10% DEXTROSE WATER</v>
      </c>
      <c r="D768" s="654">
        <f>UNIQUE!C6</f>
        <v>20</v>
      </c>
      <c r="E768" s="653">
        <f>UNIQUE!D6</f>
        <v>100</v>
      </c>
      <c r="F768" s="38">
        <f>UNIQUE!E6</f>
        <v>2520</v>
      </c>
      <c r="G768" s="38">
        <f>UNIQUE!F6</f>
        <v>252000</v>
      </c>
      <c r="H768" s="76"/>
    </row>
    <row r="769" spans="1:8" x14ac:dyDescent="0.35">
      <c r="A769" s="35"/>
      <c r="B769" s="653">
        <f>UNIQUE!A7</f>
        <v>21</v>
      </c>
      <c r="C769" s="653" t="str">
        <f>UNIQUE!B7</f>
        <v>10% MANNITOL</v>
      </c>
      <c r="D769" s="654">
        <f>UNIQUE!C7</f>
        <v>20</v>
      </c>
      <c r="E769" s="653">
        <f>UNIQUE!D7</f>
        <v>8</v>
      </c>
      <c r="F769" s="38">
        <f>UNIQUE!E7</f>
        <v>5760</v>
      </c>
      <c r="G769" s="38">
        <f>UNIQUE!F7</f>
        <v>46080</v>
      </c>
      <c r="H769" s="76"/>
    </row>
    <row r="770" spans="1:8" x14ac:dyDescent="0.35">
      <c r="A770" s="35"/>
      <c r="B770" s="653">
        <f>UNIQUE!A8</f>
        <v>26</v>
      </c>
      <c r="C770" s="653" t="str">
        <f>UNIQUE!B8</f>
        <v>50% DEXTROSE WATER</v>
      </c>
      <c r="D770" s="654">
        <f>UNIQUE!C8</f>
        <v>100</v>
      </c>
      <c r="E770" s="653">
        <f>UNIQUE!D8</f>
        <v>32</v>
      </c>
      <c r="F770" s="38">
        <f>UNIQUE!E8</f>
        <v>12700</v>
      </c>
      <c r="G770" s="38">
        <f>UNIQUE!F8</f>
        <v>406400</v>
      </c>
      <c r="H770" s="76"/>
    </row>
    <row r="771" spans="1:8" x14ac:dyDescent="0.35">
      <c r="A771" s="35"/>
      <c r="B771" s="653">
        <f>UNIQUE!A9</f>
        <v>47</v>
      </c>
      <c r="C771" s="653" t="str">
        <f>UNIQUE!B9</f>
        <v>ATENOLOL 50MG</v>
      </c>
      <c r="D771" s="654">
        <f>UNIQUE!C9</f>
        <v>28</v>
      </c>
      <c r="E771" s="653">
        <f>UNIQUE!D9</f>
        <v>2000</v>
      </c>
      <c r="F771" s="38">
        <f>UNIQUE!E9</f>
        <v>165</v>
      </c>
      <c r="G771" s="38">
        <f>UNIQUE!F9</f>
        <v>330000</v>
      </c>
      <c r="H771" s="76"/>
    </row>
    <row r="772" spans="1:8" ht="23.25" x14ac:dyDescent="0.35">
      <c r="A772" s="35"/>
      <c r="B772" s="653">
        <f>UNIQUE!A10</f>
        <v>240</v>
      </c>
      <c r="C772" s="653" t="str">
        <f>UNIQUE!B10</f>
        <v>CLOTRIMAZOLE 1% CREAM 20g</v>
      </c>
      <c r="D772" s="654" t="str">
        <f>UNIQUE!C10</f>
        <v>TUBE</v>
      </c>
      <c r="E772" s="653">
        <f>UNIQUE!D10</f>
        <v>300</v>
      </c>
      <c r="F772" s="38">
        <f>UNIQUE!E10</f>
        <v>115</v>
      </c>
      <c r="G772" s="38">
        <f>UNIQUE!F10</f>
        <v>34500</v>
      </c>
      <c r="H772" s="186"/>
    </row>
    <row r="773" spans="1:8" x14ac:dyDescent="0.35">
      <c r="A773" s="35"/>
      <c r="B773" s="653">
        <f>UNIQUE!A11</f>
        <v>477</v>
      </c>
      <c r="C773" s="653" t="str">
        <f>UNIQUE!B11</f>
        <v>DIPHENHYDRAMINE HCL+ AMMONIUM CHLORIDE SYR (Adult)</v>
      </c>
      <c r="D773" s="654" t="str">
        <f>UNIQUE!C11</f>
        <v>BOTT</v>
      </c>
      <c r="E773" s="653">
        <f>UNIQUE!D11</f>
        <v>1600</v>
      </c>
      <c r="F773" s="38">
        <f>UNIQUE!E11</f>
        <v>125</v>
      </c>
      <c r="G773" s="38">
        <f>UNIQUE!F11</f>
        <v>200000</v>
      </c>
      <c r="H773" s="76"/>
    </row>
    <row r="774" spans="1:8" x14ac:dyDescent="0.35">
      <c r="A774" s="35"/>
      <c r="B774" s="653">
        <f>UNIQUE!A12</f>
        <v>478</v>
      </c>
      <c r="C774" s="653" t="str">
        <f>UNIQUE!B12</f>
        <v>DIPHENHYDRAMINE HCL+ AMMONIUM CHLORIDE SYR (PAED)</v>
      </c>
      <c r="D774" s="654" t="str">
        <f>UNIQUE!C12</f>
        <v>BOTT</v>
      </c>
      <c r="E774" s="653">
        <f>UNIQUE!D12</f>
        <v>1600</v>
      </c>
      <c r="F774" s="38">
        <f>UNIQUE!E12</f>
        <v>115</v>
      </c>
      <c r="G774" s="38">
        <f>UNIQUE!F12</f>
        <v>184000</v>
      </c>
      <c r="H774" s="76"/>
    </row>
    <row r="775" spans="1:8" x14ac:dyDescent="0.35">
      <c r="A775" s="35"/>
      <c r="B775" s="653">
        <f>UNIQUE!A13</f>
        <v>31</v>
      </c>
      <c r="C775" s="653" t="str">
        <f>UNIQUE!B13</f>
        <v>HARTMANNS (RINGERS LACTATE SOLUTION)</v>
      </c>
      <c r="D775" s="654">
        <f>UNIQUE!C13</f>
        <v>20</v>
      </c>
      <c r="E775" s="653">
        <f>UNIQUE!D13</f>
        <v>400</v>
      </c>
      <c r="F775" s="38">
        <f>UNIQUE!E13</f>
        <v>2520</v>
      </c>
      <c r="G775" s="38">
        <f>UNIQUE!F13</f>
        <v>1008000</v>
      </c>
      <c r="H775" s="185"/>
    </row>
    <row r="776" spans="1:8" x14ac:dyDescent="0.35">
      <c r="A776" s="35"/>
      <c r="B776" s="653">
        <f>UNIQUE!A14</f>
        <v>163</v>
      </c>
      <c r="C776" s="653" t="str">
        <f>UNIQUE!B14</f>
        <v>IBUPROFEN SYRUP</v>
      </c>
      <c r="D776" s="654" t="str">
        <f>UNIQUE!C14</f>
        <v>BOTT</v>
      </c>
      <c r="E776" s="653">
        <f>UNIQUE!D14</f>
        <v>500</v>
      </c>
      <c r="F776" s="38">
        <f>UNIQUE!E14</f>
        <v>115</v>
      </c>
      <c r="G776" s="38">
        <f>UNIQUE!F14</f>
        <v>57500</v>
      </c>
      <c r="H776" s="76"/>
    </row>
    <row r="777" spans="1:8" x14ac:dyDescent="0.35">
      <c r="A777" s="35"/>
      <c r="B777" s="653">
        <f>UNIQUE!A15</f>
        <v>312</v>
      </c>
      <c r="C777" s="653" t="str">
        <f>UNIQUE!B15</f>
        <v>IRON MINERAL VITAMINS CAP</v>
      </c>
      <c r="D777" s="654">
        <f>UNIQUE!C15</f>
        <v>30</v>
      </c>
      <c r="E777" s="653">
        <f>UNIQUE!D15</f>
        <v>960</v>
      </c>
      <c r="F777" s="38">
        <f>UNIQUE!E15</f>
        <v>170</v>
      </c>
      <c r="G777" s="38">
        <f>UNIQUE!F15</f>
        <v>163200</v>
      </c>
      <c r="H777" s="76"/>
    </row>
    <row r="778" spans="1:8" ht="23.25" x14ac:dyDescent="0.35">
      <c r="A778" s="35"/>
      <c r="B778" s="653">
        <f>UNIQUE!A16</f>
        <v>491</v>
      </c>
      <c r="C778" s="653" t="str">
        <f>UNIQUE!B16</f>
        <v>PROMETHAZINE SYR</v>
      </c>
      <c r="D778" s="654" t="str">
        <f>UNIQUE!C16</f>
        <v>BOTT</v>
      </c>
      <c r="E778" s="653">
        <f>UNIQUE!D16</f>
        <v>80</v>
      </c>
      <c r="F778" s="38">
        <f>UNIQUE!E16</f>
        <v>92</v>
      </c>
      <c r="G778" s="38">
        <f>UNIQUE!F16</f>
        <v>7360</v>
      </c>
      <c r="H778" s="186">
        <f>SUM(G768:G778)</f>
        <v>2689040</v>
      </c>
    </row>
    <row r="779" spans="1:8" ht="23.25" x14ac:dyDescent="0.35">
      <c r="A779" s="35"/>
      <c r="B779" s="653"/>
      <c r="C779" s="653"/>
      <c r="D779" s="654"/>
      <c r="E779" s="653"/>
      <c r="F779" s="38"/>
      <c r="G779" s="38"/>
      <c r="H779" s="186"/>
    </row>
    <row r="780" spans="1:8" ht="23.25" x14ac:dyDescent="0.35">
      <c r="A780" s="35"/>
      <c r="B780" s="653"/>
      <c r="C780" s="653"/>
      <c r="D780" s="654"/>
      <c r="E780" s="653"/>
      <c r="F780" s="38"/>
      <c r="G780" s="38"/>
      <c r="H780" s="186"/>
    </row>
    <row r="781" spans="1:8" ht="23.25" x14ac:dyDescent="0.35">
      <c r="A781" s="35"/>
      <c r="B781" s="653"/>
      <c r="C781" s="653"/>
      <c r="D781" s="654"/>
      <c r="E781" s="653"/>
      <c r="F781" s="38"/>
      <c r="G781" s="38"/>
      <c r="H781" s="186"/>
    </row>
    <row r="782" spans="1:8" x14ac:dyDescent="0.35">
      <c r="A782" s="35"/>
      <c r="B782" s="35"/>
      <c r="C782" s="188"/>
      <c r="D782" s="647"/>
      <c r="E782" s="189"/>
      <c r="F782" s="190"/>
      <c r="G782" s="191"/>
      <c r="H782" s="76"/>
    </row>
    <row r="783" spans="1:8" ht="23.25" x14ac:dyDescent="0.35">
      <c r="A783" s="35">
        <v>46</v>
      </c>
      <c r="B783" s="35"/>
      <c r="C783" s="77" t="str">
        <f>VIXA!B1</f>
        <v>VIXA PHARMACEUTICALS LIMITED</v>
      </c>
      <c r="D783" s="647"/>
      <c r="E783" s="189"/>
      <c r="F783" s="190"/>
      <c r="G783" s="191"/>
      <c r="H783" s="76"/>
    </row>
    <row r="784" spans="1:8" x14ac:dyDescent="0.35">
      <c r="A784" s="35"/>
      <c r="B784" s="653">
        <f>VIXA!A6</f>
        <v>200</v>
      </c>
      <c r="C784" s="653" t="str">
        <f>VIXA!B6</f>
        <v>AMOXICILLIN 500MG CAP</v>
      </c>
      <c r="D784" s="654">
        <f>VIXA!C6</f>
        <v>100</v>
      </c>
      <c r="E784" s="653">
        <f>VIXA!D6</f>
        <v>480</v>
      </c>
      <c r="F784" s="38">
        <f>VIXA!E6</f>
        <v>830</v>
      </c>
      <c r="G784" s="38">
        <f>VIXA!F6</f>
        <v>398400</v>
      </c>
      <c r="H784" s="185"/>
    </row>
    <row r="785" spans="1:8" x14ac:dyDescent="0.35">
      <c r="A785" s="35"/>
      <c r="B785" s="653">
        <f>VIXA!A7</f>
        <v>2</v>
      </c>
      <c r="C785" s="653" t="str">
        <f>VIXA!B7</f>
        <v>ARTEMETHER 80MG INJ</v>
      </c>
      <c r="D785" s="654">
        <f>VIXA!C7</f>
        <v>6</v>
      </c>
      <c r="E785" s="653">
        <f>VIXA!D7</f>
        <v>400</v>
      </c>
      <c r="F785" s="38">
        <f>VIXA!E7</f>
        <v>200</v>
      </c>
      <c r="G785" s="38">
        <f>VIXA!F7</f>
        <v>80000</v>
      </c>
      <c r="H785" s="76"/>
    </row>
    <row r="786" spans="1:8" x14ac:dyDescent="0.35">
      <c r="A786" s="35"/>
      <c r="B786" s="653">
        <f>VIXA!A8</f>
        <v>355</v>
      </c>
      <c r="C786" s="653" t="str">
        <f>VIXA!B8</f>
        <v>CARBAMAZEPINE 200MG</v>
      </c>
      <c r="D786" s="654">
        <f>VIXA!C8</f>
        <v>100</v>
      </c>
      <c r="E786" s="653">
        <f>VIXA!D8</f>
        <v>1200</v>
      </c>
      <c r="F786" s="38">
        <f>VIXA!E8</f>
        <v>1300</v>
      </c>
      <c r="G786" s="38">
        <f>VIXA!F8</f>
        <v>1560000</v>
      </c>
      <c r="H786" s="76"/>
    </row>
    <row r="787" spans="1:8" x14ac:dyDescent="0.35">
      <c r="A787" s="35"/>
      <c r="B787" s="653">
        <f>VIXA!A9</f>
        <v>148</v>
      </c>
      <c r="C787" s="653" t="str">
        <f>VIXA!B9</f>
        <v>DEXAMETHASONE 1MG TAB</v>
      </c>
      <c r="D787" s="654">
        <f>VIXA!C9</f>
        <v>100</v>
      </c>
      <c r="E787" s="653">
        <f>VIXA!D9</f>
        <v>200</v>
      </c>
      <c r="F787" s="38">
        <f>VIXA!E9</f>
        <v>270</v>
      </c>
      <c r="G787" s="38">
        <f>VIXA!F9</f>
        <v>54000</v>
      </c>
      <c r="H787" s="76"/>
    </row>
    <row r="788" spans="1:8" ht="23.25" x14ac:dyDescent="0.35">
      <c r="A788" s="35"/>
      <c r="B788" s="653">
        <f>VIXA!A10</f>
        <v>154</v>
      </c>
      <c r="C788" s="653" t="str">
        <f>VIXA!B10</f>
        <v>DICLOFENAC 100MG TAB</v>
      </c>
      <c r="D788" s="654">
        <f>VIXA!C10</f>
        <v>100</v>
      </c>
      <c r="E788" s="653">
        <f>VIXA!D10</f>
        <v>400</v>
      </c>
      <c r="F788" s="38">
        <f>VIXA!E10</f>
        <v>350</v>
      </c>
      <c r="G788" s="38">
        <f>VIXA!F10</f>
        <v>140000</v>
      </c>
      <c r="H788" s="186"/>
    </row>
    <row r="789" spans="1:8" x14ac:dyDescent="0.35">
      <c r="A789" s="35"/>
      <c r="B789" s="653">
        <f>VIXA!A11</f>
        <v>247</v>
      </c>
      <c r="C789" s="653" t="str">
        <f>VIXA!B11</f>
        <v>ERYTHROMYCIN 125MG/5ML SUSP</v>
      </c>
      <c r="D789" s="654" t="str">
        <f>VIXA!C11</f>
        <v>BOTT</v>
      </c>
      <c r="E789" s="653">
        <f>VIXA!D11</f>
        <v>400</v>
      </c>
      <c r="F789" s="38">
        <f>VIXA!E11</f>
        <v>410</v>
      </c>
      <c r="G789" s="38">
        <f>VIXA!F11</f>
        <v>164000</v>
      </c>
      <c r="H789" s="76"/>
    </row>
    <row r="790" spans="1:8" x14ac:dyDescent="0.35">
      <c r="A790" s="35"/>
      <c r="B790" s="653">
        <f>VIXA!A12</f>
        <v>118</v>
      </c>
      <c r="C790" s="653" t="str">
        <f>VIXA!B12</f>
        <v>GLIBENCLAMIDE 5MG</v>
      </c>
      <c r="D790" s="654">
        <f>VIXA!C12</f>
        <v>100</v>
      </c>
      <c r="E790" s="653">
        <f>VIXA!D12</f>
        <v>250</v>
      </c>
      <c r="F790" s="38">
        <f>VIXA!E12</f>
        <v>250</v>
      </c>
      <c r="G790" s="38">
        <f>VIXA!F12</f>
        <v>62500</v>
      </c>
      <c r="H790" s="76"/>
    </row>
    <row r="791" spans="1:8" x14ac:dyDescent="0.35">
      <c r="A791" s="35"/>
      <c r="B791" s="653">
        <f>VIXA!A13</f>
        <v>80</v>
      </c>
      <c r="C791" s="653" t="str">
        <f>VIXA!B13</f>
        <v>METHYL-DOPA 250MG TAB</v>
      </c>
      <c r="D791" s="654">
        <f>VIXA!C13</f>
        <v>100</v>
      </c>
      <c r="E791" s="653">
        <f>VIXA!D13</f>
        <v>1200</v>
      </c>
      <c r="F791" s="38">
        <f>VIXA!E13</f>
        <v>1450</v>
      </c>
      <c r="G791" s="38">
        <f>VIXA!F13</f>
        <v>1740000</v>
      </c>
      <c r="H791" s="185"/>
    </row>
    <row r="792" spans="1:8" ht="23.25" x14ac:dyDescent="0.35">
      <c r="A792" s="35"/>
      <c r="B792" s="653">
        <f>VIXA!A14</f>
        <v>437</v>
      </c>
      <c r="C792" s="653" t="str">
        <f>VIXA!B14</f>
        <v>METOCLOPRAMIDE 10MG TAB</v>
      </c>
      <c r="D792" s="654">
        <f>VIXA!C14</f>
        <v>100</v>
      </c>
      <c r="E792" s="653">
        <f>VIXA!D14</f>
        <v>64</v>
      </c>
      <c r="F792" s="38">
        <f>VIXA!E14</f>
        <v>330</v>
      </c>
      <c r="G792" s="38">
        <f>VIXA!F14</f>
        <v>21120</v>
      </c>
      <c r="H792" s="186">
        <f>SUM(G784:G792)</f>
        <v>4220020</v>
      </c>
    </row>
    <row r="793" spans="1:8" x14ac:dyDescent="0.35">
      <c r="A793" s="35"/>
      <c r="B793" s="653"/>
      <c r="C793" s="653"/>
      <c r="D793" s="654"/>
      <c r="E793" s="653"/>
      <c r="F793" s="38"/>
      <c r="G793" s="38"/>
      <c r="H793" s="76"/>
    </row>
    <row r="794" spans="1:8" x14ac:dyDescent="0.35">
      <c r="A794" s="35"/>
      <c r="B794" s="653"/>
      <c r="C794" s="653"/>
      <c r="D794" s="654"/>
      <c r="E794" s="653"/>
      <c r="F794" s="38"/>
      <c r="G794" s="38"/>
      <c r="H794" s="76"/>
    </row>
    <row r="795" spans="1:8" x14ac:dyDescent="0.35">
      <c r="A795" s="35"/>
      <c r="B795" s="653"/>
      <c r="C795" s="653"/>
      <c r="D795" s="654"/>
      <c r="E795" s="653"/>
      <c r="F795" s="38"/>
      <c r="G795" s="38"/>
      <c r="H795" s="76"/>
    </row>
    <row r="796" spans="1:8" ht="23.25" x14ac:dyDescent="0.35">
      <c r="A796" s="35">
        <v>47</v>
      </c>
      <c r="B796" s="653"/>
      <c r="C796" s="656" t="str">
        <f>WWCV!B1</f>
        <v>WORLDWIDE COMMERCIAL VENTURES LIMITED</v>
      </c>
      <c r="D796" s="654"/>
      <c r="E796" s="653"/>
      <c r="F796" s="38"/>
      <c r="G796" s="38"/>
      <c r="H796" s="186"/>
    </row>
    <row r="797" spans="1:8" x14ac:dyDescent="0.35">
      <c r="A797" s="35"/>
      <c r="B797" s="653">
        <f>WWCV!A6</f>
        <v>227</v>
      </c>
      <c r="C797" s="653" t="str">
        <f>WWCV!B6</f>
        <v>CEFTAZIDIME 1G INJ</v>
      </c>
      <c r="D797" s="654" t="str">
        <f>WWCV!C6</f>
        <v>VIAL</v>
      </c>
      <c r="E797" s="653">
        <f>WWCV!D6</f>
        <v>1200</v>
      </c>
      <c r="F797" s="38">
        <f>WWCV!E6</f>
        <v>2419</v>
      </c>
      <c r="G797" s="38">
        <f>WWCV!F6</f>
        <v>2902800</v>
      </c>
      <c r="H797" s="76"/>
    </row>
    <row r="798" spans="1:8" x14ac:dyDescent="0.35">
      <c r="A798" s="35"/>
      <c r="B798" s="653">
        <f>WWCV!A7</f>
        <v>228</v>
      </c>
      <c r="C798" s="653" t="str">
        <f>WWCV!B7</f>
        <v>CEFTRIAXONE 1G INJ</v>
      </c>
      <c r="D798" s="654" t="str">
        <f>WWCV!C7</f>
        <v>VIAL</v>
      </c>
      <c r="E798" s="653">
        <f>WWCV!D7</f>
        <v>9000</v>
      </c>
      <c r="F798" s="38">
        <f>WWCV!E7</f>
        <v>1960</v>
      </c>
      <c r="G798" s="38">
        <f>WWCV!F7</f>
        <v>17640000</v>
      </c>
      <c r="H798" s="76"/>
    </row>
    <row r="799" spans="1:8" x14ac:dyDescent="0.35">
      <c r="A799" s="35"/>
      <c r="B799" s="653">
        <f>WWCV!A8</f>
        <v>475</v>
      </c>
      <c r="C799" s="653" t="str">
        <f>WWCV!B8</f>
        <v>CINNARIZINE 25MG</v>
      </c>
      <c r="D799" s="654">
        <f>WWCV!C8</f>
        <v>50</v>
      </c>
      <c r="E799" s="653">
        <f>WWCV!D8</f>
        <v>200</v>
      </c>
      <c r="F799" s="38">
        <f>WWCV!E8</f>
        <v>1079</v>
      </c>
      <c r="G799" s="38">
        <f>WWCV!F8</f>
        <v>215800</v>
      </c>
      <c r="H799" s="185"/>
    </row>
    <row r="800" spans="1:8" x14ac:dyDescent="0.35">
      <c r="A800" s="35"/>
      <c r="B800" s="653">
        <f>WWCV!A9</f>
        <v>548</v>
      </c>
      <c r="C800" s="653" t="str">
        <f>WWCV!B9</f>
        <v>CYCLOSPORIN 50MG CAP</v>
      </c>
      <c r="D800" s="654">
        <f>WWCV!C9</f>
        <v>30</v>
      </c>
      <c r="E800" s="653">
        <f>WWCV!D9</f>
        <v>20</v>
      </c>
      <c r="F800" s="38">
        <f>WWCV!E9</f>
        <v>53088</v>
      </c>
      <c r="G800" s="38">
        <f>WWCV!F9</f>
        <v>1061760</v>
      </c>
      <c r="H800" s="76"/>
    </row>
    <row r="801" spans="1:8" x14ac:dyDescent="0.35">
      <c r="A801" s="35"/>
      <c r="B801" s="653">
        <f>WWCV!A10</f>
        <v>550</v>
      </c>
      <c r="C801" s="653" t="str">
        <f>WWCV!B10</f>
        <v>DEPO-PROVERA (150MG/ML) INJ</v>
      </c>
      <c r="D801" s="654" t="str">
        <f>WWCV!C10</f>
        <v>VIAL</v>
      </c>
      <c r="E801" s="653">
        <f>WWCV!D10</f>
        <v>50</v>
      </c>
      <c r="F801" s="38">
        <f>WWCV!E10</f>
        <v>34800</v>
      </c>
      <c r="G801" s="38">
        <f>WWCV!F10</f>
        <v>1740000</v>
      </c>
      <c r="H801" s="76"/>
    </row>
    <row r="802" spans="1:8" x14ac:dyDescent="0.35">
      <c r="A802" s="35"/>
      <c r="B802" s="653">
        <f>WWCV!A11</f>
        <v>361</v>
      </c>
      <c r="C802" s="653" t="str">
        <f>WWCV!B11</f>
        <v>DIAZEPAM 10MG INJ  ROCHE</v>
      </c>
      <c r="D802" s="654">
        <f>WWCV!C11</f>
        <v>10</v>
      </c>
      <c r="E802" s="653">
        <f>WWCV!D11</f>
        <v>360</v>
      </c>
      <c r="F802" s="38">
        <f>WWCV!E11</f>
        <v>6000</v>
      </c>
      <c r="G802" s="38">
        <f>WWCV!F11</f>
        <v>2160000</v>
      </c>
      <c r="H802" s="76"/>
    </row>
    <row r="803" spans="1:8" ht="23.25" x14ac:dyDescent="0.35">
      <c r="A803" s="35"/>
      <c r="B803" s="653">
        <f>WWCV!A12</f>
        <v>554</v>
      </c>
      <c r="C803" s="653" t="str">
        <f>WWCV!B12</f>
        <v>GOSERELIN ACETATE INJ</v>
      </c>
      <c r="D803" s="654">
        <f>WWCV!C12</f>
        <v>1</v>
      </c>
      <c r="E803" s="653">
        <f>WWCV!D12</f>
        <v>6</v>
      </c>
      <c r="F803" s="38">
        <f>WWCV!E12</f>
        <v>120000</v>
      </c>
      <c r="G803" s="38">
        <f>WWCV!F12</f>
        <v>720000</v>
      </c>
      <c r="H803" s="186"/>
    </row>
    <row r="804" spans="1:8" x14ac:dyDescent="0.35">
      <c r="A804" s="35"/>
      <c r="B804" s="653">
        <f>WWCV!A13</f>
        <v>126</v>
      </c>
      <c r="C804" s="653" t="str">
        <f>WWCV!B13</f>
        <v xml:space="preserve">INSULIN 30/70 FLEX-PEN </v>
      </c>
      <c r="D804" s="654">
        <f>WWCV!C13</f>
        <v>5</v>
      </c>
      <c r="E804" s="653">
        <f>WWCV!D13</f>
        <v>120</v>
      </c>
      <c r="F804" s="38">
        <f>WWCV!E13</f>
        <v>8160</v>
      </c>
      <c r="G804" s="38">
        <f>WWCV!F13</f>
        <v>979200</v>
      </c>
      <c r="H804" s="76"/>
    </row>
    <row r="805" spans="1:8" x14ac:dyDescent="0.35">
      <c r="A805" s="35"/>
      <c r="B805" s="653">
        <f>WWCV!A14</f>
        <v>127</v>
      </c>
      <c r="C805" s="653" t="str">
        <f>WWCV!B14</f>
        <v>INSULIN 30/70 INJ  (10ML)</v>
      </c>
      <c r="D805" s="654" t="str">
        <f>WWCV!C14</f>
        <v>VIAL</v>
      </c>
      <c r="E805" s="653">
        <f>WWCV!D14</f>
        <v>900</v>
      </c>
      <c r="F805" s="38">
        <f>WWCV!E14</f>
        <v>2992</v>
      </c>
      <c r="G805" s="38">
        <f>WWCV!F14</f>
        <v>2692800</v>
      </c>
      <c r="H805" s="76"/>
    </row>
    <row r="806" spans="1:8" x14ac:dyDescent="0.35">
      <c r="A806" s="35"/>
      <c r="B806" s="653">
        <f>WWCV!A15</f>
        <v>128</v>
      </c>
      <c r="C806" s="653" t="str">
        <f>WWCV!B15</f>
        <v>INSULIN DETEMIR</v>
      </c>
      <c r="D806" s="654">
        <f>WWCV!C15</f>
        <v>5</v>
      </c>
      <c r="E806" s="653">
        <f>WWCV!D15</f>
        <v>40</v>
      </c>
      <c r="F806" s="38">
        <f>WWCV!E15</f>
        <v>14076</v>
      </c>
      <c r="G806" s="38">
        <f>WWCV!F15</f>
        <v>563040</v>
      </c>
      <c r="H806" s="185"/>
    </row>
    <row r="807" spans="1:8" x14ac:dyDescent="0.35">
      <c r="A807" s="35"/>
      <c r="B807" s="653">
        <f>WWCV!A16</f>
        <v>129</v>
      </c>
      <c r="C807" s="653" t="str">
        <f>WWCV!B16</f>
        <v>INSULIN GLARGIN</v>
      </c>
      <c r="D807" s="654">
        <f>WWCV!C16</f>
        <v>5</v>
      </c>
      <c r="E807" s="653">
        <f>WWCV!D16</f>
        <v>25</v>
      </c>
      <c r="F807" s="38">
        <f>WWCV!E16</f>
        <v>14600</v>
      </c>
      <c r="G807" s="38">
        <f>WWCV!F16</f>
        <v>365000</v>
      </c>
      <c r="H807" s="76"/>
    </row>
    <row r="808" spans="1:8" x14ac:dyDescent="0.35">
      <c r="A808" s="35"/>
      <c r="B808" s="653">
        <f>WWCV!A17</f>
        <v>135</v>
      </c>
      <c r="C808" s="653" t="str">
        <f>WWCV!B17</f>
        <v>NOVOMIX INSULIN</v>
      </c>
      <c r="D808" s="654">
        <f>WWCV!C17</f>
        <v>5</v>
      </c>
      <c r="E808" s="653">
        <f>WWCV!D17</f>
        <v>80</v>
      </c>
      <c r="F808" s="38">
        <f>WWCV!E17</f>
        <v>16524</v>
      </c>
      <c r="G808" s="38">
        <f>WWCV!F17</f>
        <v>1321920</v>
      </c>
      <c r="H808" s="76"/>
    </row>
    <row r="809" spans="1:8" x14ac:dyDescent="0.35">
      <c r="A809" s="35"/>
      <c r="B809" s="653">
        <f>WWCV!A18</f>
        <v>137</v>
      </c>
      <c r="C809" s="653" t="str">
        <f>WWCV!B18</f>
        <v>SOLUBLE INSULIN FLEX-PEN</v>
      </c>
      <c r="D809" s="654">
        <f>WWCV!C18</f>
        <v>5</v>
      </c>
      <c r="E809" s="653">
        <f>WWCV!D18</f>
        <v>100</v>
      </c>
      <c r="F809" s="38">
        <f>WWCV!E18</f>
        <v>8160</v>
      </c>
      <c r="G809" s="38">
        <f>WWCV!F18</f>
        <v>816000</v>
      </c>
      <c r="H809" s="76"/>
    </row>
    <row r="810" spans="1:8" ht="23.25" x14ac:dyDescent="0.35">
      <c r="A810" s="35"/>
      <c r="B810" s="653">
        <f>WWCV!A19</f>
        <v>138</v>
      </c>
      <c r="C810" s="653" t="str">
        <f>WWCV!B19</f>
        <v>SOLUBLE INSULIN INJ  (10ML)</v>
      </c>
      <c r="D810" s="654" t="str">
        <f>WWCV!C19</f>
        <v>VIAL</v>
      </c>
      <c r="E810" s="653">
        <f>WWCV!D19</f>
        <v>600</v>
      </c>
      <c r="F810" s="38">
        <f>WWCV!E19</f>
        <v>2992</v>
      </c>
      <c r="G810" s="38">
        <f>WWCV!F19</f>
        <v>1795200</v>
      </c>
      <c r="H810" s="186"/>
    </row>
    <row r="811" spans="1:8" x14ac:dyDescent="0.35">
      <c r="A811" s="35"/>
      <c r="B811" s="653">
        <f>WWCV!A20</f>
        <v>191</v>
      </c>
      <c r="C811" s="653" t="str">
        <f>WWCV!B20</f>
        <v>TIZANIDINE 2MG TAB</v>
      </c>
      <c r="D811" s="654">
        <f>WWCV!C20</f>
        <v>30</v>
      </c>
      <c r="E811" s="653">
        <f>WWCV!D20</f>
        <v>1600</v>
      </c>
      <c r="F811" s="38">
        <f>WWCV!E20</f>
        <v>1964</v>
      </c>
      <c r="G811" s="38">
        <f>WWCV!F20</f>
        <v>3142400</v>
      </c>
      <c r="H811" s="76"/>
    </row>
    <row r="812" spans="1:8" x14ac:dyDescent="0.35">
      <c r="A812" s="35"/>
      <c r="B812" s="653">
        <f>WWCV!A21</f>
        <v>533</v>
      </c>
      <c r="C812" s="653" t="str">
        <f>WWCV!B21</f>
        <v>TOBRAMYCIN EYE DROP</v>
      </c>
      <c r="D812" s="654" t="str">
        <f>WWCV!C21</f>
        <v>BOTT</v>
      </c>
      <c r="E812" s="653">
        <f>WWCV!D21</f>
        <v>80</v>
      </c>
      <c r="F812" s="38">
        <f>WWCV!E21</f>
        <v>1343</v>
      </c>
      <c r="G812" s="38">
        <f>WWCV!F21</f>
        <v>107440</v>
      </c>
      <c r="H812" s="76"/>
    </row>
    <row r="813" spans="1:8" ht="23.25" x14ac:dyDescent="0.35">
      <c r="A813" s="35"/>
      <c r="B813" s="653">
        <f>WWCV!A22</f>
        <v>534</v>
      </c>
      <c r="C813" s="653" t="str">
        <f>WWCV!B22</f>
        <v>TOBRAMYCIN EYE OINTMENT</v>
      </c>
      <c r="D813" s="654" t="str">
        <f>WWCV!C22</f>
        <v>BOTT</v>
      </c>
      <c r="E813" s="653">
        <f>WWCV!D22</f>
        <v>40</v>
      </c>
      <c r="F813" s="38">
        <f>WWCV!E22</f>
        <v>1749</v>
      </c>
      <c r="G813" s="38">
        <f>WWCV!F22</f>
        <v>69960</v>
      </c>
      <c r="H813" s="186">
        <f>SUM(G797:G813)</f>
        <v>38293320</v>
      </c>
    </row>
    <row r="814" spans="1:8" x14ac:dyDescent="0.35">
      <c r="A814" s="35"/>
      <c r="B814" s="653"/>
      <c r="C814" s="653"/>
      <c r="D814" s="654"/>
      <c r="E814" s="653"/>
      <c r="F814" s="38"/>
      <c r="G814" s="38"/>
      <c r="H814" s="76"/>
    </row>
    <row r="815" spans="1:8" x14ac:dyDescent="0.35">
      <c r="A815" s="35"/>
      <c r="B815" s="653"/>
      <c r="C815" s="653"/>
      <c r="D815" s="654"/>
      <c r="E815" s="653"/>
      <c r="F815" s="38"/>
      <c r="G815" s="38"/>
      <c r="H815" s="76"/>
    </row>
    <row r="816" spans="1:8" x14ac:dyDescent="0.35">
      <c r="A816" s="35"/>
      <c r="B816" s="653"/>
      <c r="C816" s="653"/>
      <c r="D816" s="654"/>
      <c r="E816" s="653"/>
      <c r="F816" s="38"/>
      <c r="G816" s="38"/>
      <c r="H816" s="76"/>
    </row>
    <row r="817" spans="1:8" x14ac:dyDescent="0.35">
      <c r="A817" s="35"/>
      <c r="B817" s="653"/>
      <c r="C817" s="653"/>
      <c r="D817" s="654"/>
      <c r="E817" s="653"/>
      <c r="F817" s="38"/>
      <c r="G817" s="38"/>
      <c r="H817" s="76"/>
    </row>
    <row r="818" spans="1:8" ht="23.25" x14ac:dyDescent="0.35">
      <c r="A818" s="35">
        <v>48</v>
      </c>
      <c r="B818" s="653"/>
      <c r="C818" s="656" t="str">
        <f>ZOLON!B1</f>
        <v>ZOLON HEALTHCARE LIMITED</v>
      </c>
      <c r="D818" s="654"/>
      <c r="E818" s="653"/>
      <c r="F818" s="38"/>
      <c r="G818" s="38"/>
      <c r="H818" s="76"/>
    </row>
    <row r="819" spans="1:8" ht="23.25" x14ac:dyDescent="0.35">
      <c r="A819" s="35"/>
      <c r="B819" s="653">
        <f>ZOLON!A6</f>
        <v>10</v>
      </c>
      <c r="C819" s="653" t="str">
        <f>ZOLON!B6</f>
        <v>ARTESUNATE 60MG INJ</v>
      </c>
      <c r="D819" s="654">
        <f>ZOLON!C6</f>
        <v>6</v>
      </c>
      <c r="E819" s="653">
        <f>ZOLON!D6</f>
        <v>225</v>
      </c>
      <c r="F819" s="38">
        <f>ZOLON!E6</f>
        <v>2500</v>
      </c>
      <c r="G819" s="38">
        <f>ZOLON!F6</f>
        <v>562500</v>
      </c>
      <c r="H819" s="186"/>
    </row>
    <row r="820" spans="1:8" x14ac:dyDescent="0.35">
      <c r="A820" s="35"/>
      <c r="B820" s="653">
        <f>ZOLON!A7</f>
        <v>57</v>
      </c>
      <c r="C820" s="653" t="str">
        <f>ZOLON!B7</f>
        <v>CLOPIDOGREL 75MG TAB</v>
      </c>
      <c r="D820" s="654">
        <f>ZOLON!C7</f>
        <v>30</v>
      </c>
      <c r="E820" s="653">
        <f>ZOLON!D7</f>
        <v>4000</v>
      </c>
      <c r="F820" s="38">
        <f>ZOLON!E7</f>
        <v>700</v>
      </c>
      <c r="G820" s="38">
        <f>ZOLON!F7</f>
        <v>2800000</v>
      </c>
      <c r="H820" s="76"/>
    </row>
    <row r="821" spans="1:8" x14ac:dyDescent="0.35">
      <c r="A821" s="35"/>
      <c r="B821" s="653">
        <f>ZOLON!A8</f>
        <v>241</v>
      </c>
      <c r="C821" s="653" t="str">
        <f>ZOLON!B8</f>
        <v>CLOTRIMAZOLE PESSARY</v>
      </c>
      <c r="D821" s="654">
        <f>ZOLON!C8</f>
        <v>6</v>
      </c>
      <c r="E821" s="653">
        <f>ZOLON!D8</f>
        <v>200</v>
      </c>
      <c r="F821" s="38">
        <f>ZOLON!E8</f>
        <v>200</v>
      </c>
      <c r="G821" s="38">
        <f>ZOLON!F8</f>
        <v>40000</v>
      </c>
      <c r="H821" s="76"/>
    </row>
    <row r="822" spans="1:8" x14ac:dyDescent="0.35">
      <c r="A822" s="35"/>
      <c r="B822" s="653">
        <f>ZOLON!A9</f>
        <v>420</v>
      </c>
      <c r="C822" s="653" t="str">
        <f>ZOLON!B9</f>
        <v xml:space="preserve">HEPATITIS B IMMUNOGLOBULIN </v>
      </c>
      <c r="D822" s="654" t="str">
        <f>ZOLON!C9</f>
        <v>VIAL</v>
      </c>
      <c r="E822" s="653">
        <f>ZOLON!D9</f>
        <v>8</v>
      </c>
      <c r="F822" s="38">
        <f>ZOLON!E9</f>
        <v>8000</v>
      </c>
      <c r="G822" s="38">
        <f>ZOLON!F9</f>
        <v>64000</v>
      </c>
      <c r="H822" s="185"/>
    </row>
    <row r="823" spans="1:8" x14ac:dyDescent="0.35">
      <c r="A823" s="35"/>
      <c r="B823" s="653">
        <f>ZOLON!A10</f>
        <v>389</v>
      </c>
      <c r="C823" s="653" t="str">
        <f>ZOLON!B10</f>
        <v>MAGNESIUM SULPHATE INJ</v>
      </c>
      <c r="D823" s="654">
        <f>ZOLON!C10</f>
        <v>5</v>
      </c>
      <c r="E823" s="653">
        <f>ZOLON!D10</f>
        <v>200</v>
      </c>
      <c r="F823" s="38">
        <f>ZOLON!E10</f>
        <v>900</v>
      </c>
      <c r="G823" s="38">
        <f>ZOLON!F10</f>
        <v>180000</v>
      </c>
      <c r="H823" s="185"/>
    </row>
    <row r="824" spans="1:8" x14ac:dyDescent="0.35">
      <c r="A824" s="35"/>
      <c r="B824" s="653">
        <f>ZOLON!A11</f>
        <v>133</v>
      </c>
      <c r="C824" s="653" t="str">
        <f>ZOLON!B11</f>
        <v>METFORMIN HCL 1000MG TAB</v>
      </c>
      <c r="D824" s="654">
        <f>ZOLON!C11</f>
        <v>100</v>
      </c>
      <c r="E824" s="653">
        <f>ZOLON!D11</f>
        <v>2000</v>
      </c>
      <c r="F824" s="38">
        <f>ZOLON!E11</f>
        <v>2300</v>
      </c>
      <c r="G824" s="38">
        <f>ZOLON!F11</f>
        <v>4600000</v>
      </c>
      <c r="H824" s="76"/>
    </row>
    <row r="825" spans="1:8" x14ac:dyDescent="0.35">
      <c r="A825" s="35"/>
      <c r="B825" s="653">
        <f>ZOLON!A12</f>
        <v>443</v>
      </c>
      <c r="C825" s="653" t="str">
        <f>ZOLON!B12</f>
        <v>OMEPRAZOLE/CLARITHROMYCIN+TINIDAZOLE CAP</v>
      </c>
      <c r="D825" s="654">
        <f>ZOLON!C12</f>
        <v>42</v>
      </c>
      <c r="E825" s="653">
        <f>ZOLON!D12</f>
        <v>208</v>
      </c>
      <c r="F825" s="38">
        <f>ZOLON!E12</f>
        <v>1900</v>
      </c>
      <c r="G825" s="38">
        <f>ZOLON!F12</f>
        <v>395200</v>
      </c>
      <c r="H825" s="76"/>
    </row>
    <row r="826" spans="1:8" x14ac:dyDescent="0.35">
      <c r="A826" s="35"/>
      <c r="B826" s="653">
        <f>ZOLON!A13</f>
        <v>184</v>
      </c>
      <c r="C826" s="653" t="str">
        <f>ZOLON!B13</f>
        <v>PENTAZOCIN 30MG INJ</v>
      </c>
      <c r="D826" s="654">
        <f>ZOLON!C13</f>
        <v>10</v>
      </c>
      <c r="E826" s="653">
        <f>ZOLON!D13</f>
        <v>360</v>
      </c>
      <c r="F826" s="38">
        <f>ZOLON!E13</f>
        <v>750</v>
      </c>
      <c r="G826" s="38">
        <f>ZOLON!F13</f>
        <v>270000</v>
      </c>
      <c r="H826" s="76"/>
    </row>
    <row r="827" spans="1:8" ht="23.25" x14ac:dyDescent="0.35">
      <c r="A827" s="35"/>
      <c r="B827" s="653">
        <f>ZOLON!A14</f>
        <v>98</v>
      </c>
      <c r="C827" s="653" t="str">
        <f>ZOLON!B14</f>
        <v>ROSUVASTATIN 10MG</v>
      </c>
      <c r="D827" s="654">
        <f>ZOLON!C14</f>
        <v>30</v>
      </c>
      <c r="E827" s="653">
        <f>ZOLON!D14</f>
        <v>2400</v>
      </c>
      <c r="F827" s="38">
        <f>ZOLON!E14</f>
        <v>1700</v>
      </c>
      <c r="G827" s="38">
        <f>ZOLON!F14</f>
        <v>4080000</v>
      </c>
      <c r="H827" s="186"/>
    </row>
    <row r="828" spans="1:8" ht="23.25" x14ac:dyDescent="0.35">
      <c r="A828" s="35"/>
      <c r="B828" s="653">
        <f>ZOLON!A15</f>
        <v>99</v>
      </c>
      <c r="C828" s="653" t="str">
        <f>ZOLON!B15</f>
        <v xml:space="preserve">ROSUVASTATIN 20MG </v>
      </c>
      <c r="D828" s="654">
        <f>ZOLON!C15</f>
        <v>30</v>
      </c>
      <c r="E828" s="653">
        <f>ZOLON!D15</f>
        <v>120</v>
      </c>
      <c r="F828" s="38">
        <f>ZOLON!E15</f>
        <v>2300</v>
      </c>
      <c r="G828" s="38">
        <f>ZOLON!F15</f>
        <v>276000</v>
      </c>
      <c r="H828" s="186">
        <f>SUM(G819:G828)</f>
        <v>13267700</v>
      </c>
    </row>
    <row r="829" spans="1:8" x14ac:dyDescent="0.35">
      <c r="A829" s="35"/>
      <c r="B829" s="653"/>
      <c r="C829" s="653"/>
      <c r="D829" s="654"/>
      <c r="E829" s="653"/>
      <c r="F829" s="38"/>
      <c r="G829" s="38"/>
      <c r="H829" s="76"/>
    </row>
    <row r="830" spans="1:8" ht="21.75" thickBot="1" x14ac:dyDescent="0.4">
      <c r="A830" s="35"/>
      <c r="B830" s="35"/>
      <c r="C830" s="188"/>
      <c r="D830" s="647"/>
      <c r="E830" s="189"/>
      <c r="F830" s="190"/>
      <c r="G830" s="191"/>
      <c r="H830" s="185"/>
    </row>
    <row r="831" spans="1:8" ht="27" thickBot="1" x14ac:dyDescent="0.45">
      <c r="A831" s="35"/>
      <c r="B831" s="35"/>
      <c r="C831" s="188"/>
      <c r="D831" s="647"/>
      <c r="E831" s="189"/>
      <c r="F831" s="190"/>
      <c r="G831" s="193"/>
      <c r="H831" s="194">
        <f>SUM(G7:G829)</f>
        <v>484185350.75333333</v>
      </c>
    </row>
    <row r="858" spans="1:7" ht="31.5" x14ac:dyDescent="0.5">
      <c r="C858" s="840" t="s">
        <v>2158</v>
      </c>
      <c r="D858" s="840"/>
      <c r="E858" s="840"/>
      <c r="F858" s="840"/>
    </row>
    <row r="859" spans="1:7" s="80" customFormat="1" ht="26.25" x14ac:dyDescent="0.4">
      <c r="A859" s="42"/>
      <c r="B859" s="35"/>
      <c r="C859" s="646" t="s">
        <v>917</v>
      </c>
      <c r="D859" s="834" t="s">
        <v>918</v>
      </c>
      <c r="E859" s="835"/>
      <c r="F859" s="835"/>
      <c r="G859" s="657"/>
    </row>
    <row r="860" spans="1:7" s="80" customFormat="1" ht="26.25" x14ac:dyDescent="0.4">
      <c r="A860" s="42"/>
      <c r="B860" s="35"/>
      <c r="C860" s="188"/>
      <c r="D860" s="834"/>
      <c r="E860" s="835"/>
      <c r="F860" s="835"/>
      <c r="G860" s="657"/>
    </row>
    <row r="861" spans="1:7" s="80" customFormat="1" ht="26.25" x14ac:dyDescent="0.4">
      <c r="A861" s="42"/>
      <c r="B861" s="35">
        <v>1</v>
      </c>
      <c r="C861" s="68" t="str">
        <f>C7</f>
        <v>ALPHA PHARMACY AND STORES LTD</v>
      </c>
      <c r="D861" s="826">
        <f>H35</f>
        <v>27560600</v>
      </c>
      <c r="E861" s="827"/>
      <c r="F861" s="827"/>
      <c r="G861" s="657"/>
    </row>
    <row r="862" spans="1:7" s="80" customFormat="1" ht="26.25" x14ac:dyDescent="0.4">
      <c r="A862" s="42"/>
      <c r="B862" s="35">
        <f>1+B861</f>
        <v>2</v>
      </c>
      <c r="C862" s="68" t="str">
        <f>'PHARMACY AWARD'!C37</f>
        <v>BIOFEM PHARMACEUTICALS LIMITED</v>
      </c>
      <c r="D862" s="826">
        <f>H41</f>
        <v>4378700</v>
      </c>
      <c r="E862" s="827"/>
      <c r="F862" s="827"/>
      <c r="G862" s="657"/>
    </row>
    <row r="863" spans="1:7" s="80" customFormat="1" ht="26.25" x14ac:dyDescent="0.4">
      <c r="A863" s="42"/>
      <c r="B863" s="35">
        <f t="shared" ref="B863:B908" si="0">1+B862</f>
        <v>3</v>
      </c>
      <c r="C863" s="68" t="str">
        <f>C43</f>
        <v>BIOMEDICALS LIMITED</v>
      </c>
      <c r="D863" s="826">
        <f>H52</f>
        <v>3133060</v>
      </c>
      <c r="E863" s="827"/>
      <c r="F863" s="827"/>
      <c r="G863" s="657"/>
    </row>
    <row r="864" spans="1:7" s="80" customFormat="1" ht="26.25" x14ac:dyDescent="0.4">
      <c r="A864" s="42"/>
      <c r="B864" s="35">
        <f t="shared" si="0"/>
        <v>4</v>
      </c>
      <c r="C864" s="68" t="str">
        <f>C54</f>
        <v>CHI PHARMACEUTICALS</v>
      </c>
      <c r="D864" s="826">
        <f>H78</f>
        <v>55978724</v>
      </c>
      <c r="E864" s="827"/>
      <c r="F864" s="827"/>
      <c r="G864" s="657"/>
    </row>
    <row r="865" spans="1:7" s="80" customFormat="1" ht="26.25" x14ac:dyDescent="0.4">
      <c r="A865" s="42"/>
      <c r="B865" s="35">
        <f t="shared" si="0"/>
        <v>5</v>
      </c>
      <c r="C865" s="655" t="str">
        <f>C80</f>
        <v>CLARION MEDICALS LIMITED</v>
      </c>
      <c r="D865" s="826">
        <f>H90</f>
        <v>3431800</v>
      </c>
      <c r="E865" s="827"/>
      <c r="F865" s="827"/>
      <c r="G865" s="657"/>
    </row>
    <row r="866" spans="1:7" s="80" customFormat="1" ht="26.25" x14ac:dyDescent="0.4">
      <c r="A866" s="42"/>
      <c r="B866" s="35">
        <f t="shared" si="0"/>
        <v>6</v>
      </c>
      <c r="C866" s="655" t="str">
        <f>C92</f>
        <v>CODIX PHARMACEUTICALS LIMITED</v>
      </c>
      <c r="D866" s="826">
        <f>H97</f>
        <v>1887000</v>
      </c>
      <c r="E866" s="827"/>
      <c r="F866" s="827"/>
      <c r="G866" s="657"/>
    </row>
    <row r="867" spans="1:7" s="80" customFormat="1" ht="26.25" x14ac:dyDescent="0.4">
      <c r="A867" s="42"/>
      <c r="B867" s="35">
        <f t="shared" si="0"/>
        <v>7</v>
      </c>
      <c r="C867" s="655" t="str">
        <f>C99</f>
        <v>COSMADE EASY MEDICALS LIMITED</v>
      </c>
      <c r="D867" s="826">
        <f>H110</f>
        <v>4626000</v>
      </c>
      <c r="E867" s="827"/>
      <c r="F867" s="827"/>
      <c r="G867" s="657"/>
    </row>
    <row r="868" spans="1:7" s="80" customFormat="1" ht="26.25" x14ac:dyDescent="0.4">
      <c r="A868" s="42"/>
      <c r="B868" s="35">
        <f t="shared" si="0"/>
        <v>8</v>
      </c>
      <c r="C868" s="68" t="str">
        <f>C112</f>
        <v>DE SANCON &amp; ASSOCIATES LIMITED</v>
      </c>
      <c r="D868" s="826">
        <f>H131</f>
        <v>1678550</v>
      </c>
      <c r="E868" s="827"/>
      <c r="F868" s="827"/>
      <c r="G868" s="657"/>
    </row>
    <row r="869" spans="1:7" s="80" customFormat="1" ht="26.25" x14ac:dyDescent="0.4">
      <c r="A869" s="42"/>
      <c r="B869" s="35">
        <f t="shared" si="0"/>
        <v>9</v>
      </c>
      <c r="C869" s="68" t="str">
        <f>C134</f>
        <v>DEVON PHARMACEUTICALS</v>
      </c>
      <c r="D869" s="826">
        <f>H136</f>
        <v>2367000</v>
      </c>
      <c r="E869" s="827"/>
      <c r="F869" s="827"/>
      <c r="G869" s="657"/>
    </row>
    <row r="870" spans="1:7" s="80" customFormat="1" ht="26.25" x14ac:dyDescent="0.4">
      <c r="A870" s="42"/>
      <c r="B870" s="35">
        <f t="shared" si="0"/>
        <v>10</v>
      </c>
      <c r="C870" s="655" t="str">
        <f>C139</f>
        <v>DORTEMAG VENTURES LIMITED</v>
      </c>
      <c r="D870" s="826">
        <f>H152</f>
        <v>4389200</v>
      </c>
      <c r="E870" s="827"/>
      <c r="F870" s="827"/>
      <c r="G870" s="657"/>
    </row>
    <row r="871" spans="1:7" s="80" customFormat="1" ht="26.25" x14ac:dyDescent="0.4">
      <c r="A871" s="42"/>
      <c r="B871" s="35">
        <f t="shared" si="0"/>
        <v>11</v>
      </c>
      <c r="C871" s="68" t="str">
        <f>'PHARMACY AWARD'!C155</f>
        <v>DRUGFIELD PHARMACEUTICALS LIMITED</v>
      </c>
      <c r="D871" s="826">
        <f>H166</f>
        <v>2523700</v>
      </c>
      <c r="E871" s="827"/>
      <c r="F871" s="827"/>
      <c r="G871" s="657"/>
    </row>
    <row r="872" spans="1:7" s="80" customFormat="1" ht="26.25" x14ac:dyDescent="0.4">
      <c r="A872" s="42"/>
      <c r="B872" s="35">
        <f t="shared" si="0"/>
        <v>12</v>
      </c>
      <c r="C872" s="68" t="str">
        <f>C169</f>
        <v>EMZOR PHARMACEUTICALS LIMITED</v>
      </c>
      <c r="D872" s="826">
        <f>H182</f>
        <v>2106588</v>
      </c>
      <c r="E872" s="827"/>
      <c r="F872" s="827"/>
      <c r="G872" s="657"/>
    </row>
    <row r="873" spans="1:7" s="80" customFormat="1" ht="26.25" x14ac:dyDescent="0.4">
      <c r="A873" s="42"/>
      <c r="B873" s="35">
        <f t="shared" si="0"/>
        <v>13</v>
      </c>
      <c r="C873" s="68" t="str">
        <f>C185</f>
        <v>EUMATT SERVICES LIMITED</v>
      </c>
      <c r="D873" s="826">
        <f>H372</f>
        <v>87838260</v>
      </c>
      <c r="E873" s="827"/>
      <c r="F873" s="827"/>
      <c r="G873" s="657"/>
    </row>
    <row r="874" spans="1:7" s="80" customFormat="1" ht="26.25" x14ac:dyDescent="0.4">
      <c r="A874" s="42"/>
      <c r="B874" s="35">
        <f t="shared" si="0"/>
        <v>14</v>
      </c>
      <c r="C874" s="655" t="str">
        <f>C375</f>
        <v>FIDSON HEALTHCARE LIMITED</v>
      </c>
      <c r="D874" s="826">
        <f>H398</f>
        <v>23809500</v>
      </c>
      <c r="E874" s="827"/>
      <c r="F874" s="827"/>
      <c r="G874" s="657"/>
    </row>
    <row r="875" spans="1:7" s="80" customFormat="1" ht="26.25" x14ac:dyDescent="0.4">
      <c r="A875" s="42"/>
      <c r="B875" s="35">
        <f t="shared" si="0"/>
        <v>15</v>
      </c>
      <c r="C875" s="655" t="str">
        <f>C401</f>
        <v>FIRST CHOICE GLOBAL UTILITIES LIMITED</v>
      </c>
      <c r="D875" s="826">
        <f>H407</f>
        <v>4486440</v>
      </c>
      <c r="E875" s="827"/>
      <c r="F875" s="827"/>
      <c r="G875" s="657"/>
    </row>
    <row r="876" spans="1:7" s="80" customFormat="1" ht="26.25" x14ac:dyDescent="0.4">
      <c r="A876" s="42"/>
      <c r="B876" s="35">
        <f t="shared" si="0"/>
        <v>16</v>
      </c>
      <c r="C876" s="655" t="str">
        <f>'PHARMACY AWARD'!C410</f>
        <v>GENEITH PHARMACEUTICALS LIMITED</v>
      </c>
      <c r="D876" s="826">
        <f>H414</f>
        <v>502500</v>
      </c>
      <c r="E876" s="827"/>
      <c r="F876" s="827"/>
      <c r="G876" s="657"/>
    </row>
    <row r="877" spans="1:7" s="80" customFormat="1" ht="26.25" x14ac:dyDescent="0.4">
      <c r="A877" s="42"/>
      <c r="B877" s="35">
        <f t="shared" si="0"/>
        <v>17</v>
      </c>
      <c r="C877" s="655" t="str">
        <f>C417</f>
        <v>GLAXOSMITHKLINE PHARM. LTD</v>
      </c>
      <c r="D877" s="826">
        <f>H428</f>
        <v>12613549.92</v>
      </c>
      <c r="E877" s="827"/>
      <c r="F877" s="827"/>
      <c r="G877" s="657"/>
    </row>
    <row r="878" spans="1:7" s="80" customFormat="1" ht="26.25" x14ac:dyDescent="0.4">
      <c r="A878" s="42"/>
      <c r="B878" s="35">
        <f t="shared" si="0"/>
        <v>18</v>
      </c>
      <c r="C878" s="655" t="str">
        <f>C431</f>
        <v>GLOBAL ORGANICS LIMITED</v>
      </c>
      <c r="D878" s="826">
        <f>H437</f>
        <v>11225000</v>
      </c>
      <c r="E878" s="827"/>
      <c r="F878" s="827"/>
      <c r="G878" s="657"/>
    </row>
    <row r="879" spans="1:7" s="80" customFormat="1" ht="26.25" x14ac:dyDescent="0.4">
      <c r="A879" s="42"/>
      <c r="B879" s="35">
        <f t="shared" si="0"/>
        <v>19</v>
      </c>
      <c r="C879" s="655" t="str">
        <f>C440</f>
        <v>GREENLIFE PHARMACEUTICALS LIMITED</v>
      </c>
      <c r="D879" s="826">
        <f>H451</f>
        <v>13789150</v>
      </c>
      <c r="E879" s="827"/>
      <c r="F879" s="827"/>
      <c r="G879" s="657"/>
    </row>
    <row r="880" spans="1:7" s="80" customFormat="1" ht="26.25" x14ac:dyDescent="0.4">
      <c r="A880" s="42"/>
      <c r="B880" s="35">
        <f t="shared" si="0"/>
        <v>20</v>
      </c>
      <c r="C880" s="655" t="str">
        <f>C454</f>
        <v>HEALTHLINE PHARMACEUTICALS LIMITED</v>
      </c>
      <c r="D880" s="826">
        <f>H461</f>
        <v>3291000</v>
      </c>
      <c r="E880" s="827"/>
      <c r="F880" s="827"/>
      <c r="G880" s="657"/>
    </row>
    <row r="881" spans="1:7" s="80" customFormat="1" ht="26.25" x14ac:dyDescent="0.4">
      <c r="A881" s="42"/>
      <c r="B881" s="35">
        <f t="shared" si="0"/>
        <v>21</v>
      </c>
      <c r="C881" s="655" t="str">
        <f>C464</f>
        <v>INTER-ROTECH NIGERIA LIMITED</v>
      </c>
      <c r="D881" s="826">
        <f>H474</f>
        <v>3758260</v>
      </c>
      <c r="E881" s="827"/>
      <c r="F881" s="827"/>
      <c r="G881" s="657"/>
    </row>
    <row r="882" spans="1:7" s="80" customFormat="1" ht="26.25" x14ac:dyDescent="0.4">
      <c r="A882" s="42"/>
      <c r="B882" s="35">
        <f t="shared" si="0"/>
        <v>22</v>
      </c>
      <c r="C882" s="655" t="str">
        <f>C477</f>
        <v>ISN PRODUCTS NIGERIA LIMITED</v>
      </c>
      <c r="D882" s="826">
        <f>H483</f>
        <v>5740000</v>
      </c>
      <c r="E882" s="827"/>
      <c r="F882" s="827"/>
      <c r="G882" s="657"/>
    </row>
    <row r="883" spans="1:7" s="80" customFormat="1" ht="26.25" x14ac:dyDescent="0.4">
      <c r="A883" s="42"/>
      <c r="B883" s="35">
        <f t="shared" si="0"/>
        <v>23</v>
      </c>
      <c r="C883" s="68" t="str">
        <f>C487</f>
        <v>JAWA INTERNATIONAL LIMITED</v>
      </c>
      <c r="D883" s="826">
        <f>H496</f>
        <v>1857980</v>
      </c>
      <c r="E883" s="827"/>
      <c r="F883" s="827"/>
      <c r="G883" s="657"/>
    </row>
    <row r="884" spans="1:7" s="80" customFormat="1" ht="26.25" x14ac:dyDescent="0.4">
      <c r="A884" s="42"/>
      <c r="B884" s="35">
        <f t="shared" si="0"/>
        <v>24</v>
      </c>
      <c r="C884" s="68" t="str">
        <f>C499</f>
        <v>LEADWAY PHARMACEUTICALS LIMITED</v>
      </c>
      <c r="D884" s="826">
        <f>H504</f>
        <v>8569500</v>
      </c>
      <c r="E884" s="827"/>
      <c r="F884" s="827"/>
      <c r="G884" s="657"/>
    </row>
    <row r="885" spans="1:7" s="80" customFormat="1" ht="26.25" x14ac:dyDescent="0.4">
      <c r="A885" s="42"/>
      <c r="B885" s="35">
        <f t="shared" si="0"/>
        <v>25</v>
      </c>
      <c r="C885" s="655" t="str">
        <f>C508</f>
        <v>MANOLA PHARMACEUTICALS</v>
      </c>
      <c r="D885" s="826">
        <f>H529</f>
        <v>2457732</v>
      </c>
      <c r="E885" s="827"/>
      <c r="F885" s="827"/>
      <c r="G885" s="657"/>
    </row>
    <row r="886" spans="1:7" s="80" customFormat="1" ht="26.25" x14ac:dyDescent="0.4">
      <c r="A886" s="42"/>
      <c r="B886" s="35">
        <f t="shared" si="0"/>
        <v>26</v>
      </c>
      <c r="C886" s="655" t="str">
        <f>C532</f>
        <v>MARCSON HEALTHCARE LIMITED</v>
      </c>
      <c r="D886" s="826">
        <f>H539</f>
        <v>7010000</v>
      </c>
      <c r="E886" s="827"/>
      <c r="F886" s="827"/>
      <c r="G886" s="657"/>
    </row>
    <row r="887" spans="1:7" s="80" customFormat="1" ht="26.25" x14ac:dyDescent="0.4">
      <c r="A887" s="42"/>
      <c r="B887" s="35">
        <f t="shared" si="0"/>
        <v>27</v>
      </c>
      <c r="C887" s="655" t="str">
        <f>C542</f>
        <v>MAY &amp; BAKER NIGERIA LIMITED</v>
      </c>
      <c r="D887" s="826">
        <f>H551</f>
        <v>5985961</v>
      </c>
      <c r="E887" s="827"/>
      <c r="F887" s="827"/>
      <c r="G887" s="657"/>
    </row>
    <row r="888" spans="1:7" s="80" customFormat="1" ht="26.25" x14ac:dyDescent="0.4">
      <c r="A888" s="42"/>
      <c r="B888" s="35">
        <f t="shared" si="0"/>
        <v>28</v>
      </c>
      <c r="C888" s="655" t="str">
        <f>C554</f>
        <v>MEGA LIFESCIENCES NIGERIA LIMITED</v>
      </c>
      <c r="D888" s="826">
        <f>H561</f>
        <v>8773000</v>
      </c>
      <c r="E888" s="827"/>
      <c r="F888" s="827"/>
      <c r="G888" s="657"/>
    </row>
    <row r="889" spans="1:7" s="80" customFormat="1" ht="26.25" x14ac:dyDescent="0.4">
      <c r="A889" s="42"/>
      <c r="B889" s="35">
        <f t="shared" si="0"/>
        <v>29</v>
      </c>
      <c r="C889" s="655" t="str">
        <f>C564</f>
        <v>MICRONOVA PHARMACEUTICALS</v>
      </c>
      <c r="D889" s="826">
        <f>H592</f>
        <v>9060540</v>
      </c>
      <c r="E889" s="827"/>
      <c r="F889" s="827"/>
      <c r="G889" s="657"/>
    </row>
    <row r="890" spans="1:7" s="80" customFormat="1" ht="26.25" x14ac:dyDescent="0.4">
      <c r="A890" s="42"/>
      <c r="B890" s="35">
        <f t="shared" si="0"/>
        <v>30</v>
      </c>
      <c r="C890" s="655" t="str">
        <f>C594</f>
        <v>MIRAFLASH NIGERIA LIMITED</v>
      </c>
      <c r="D890" s="826">
        <f>H599</f>
        <v>1521000</v>
      </c>
      <c r="E890" s="827"/>
      <c r="F890" s="827"/>
      <c r="G890" s="657"/>
    </row>
    <row r="891" spans="1:7" s="80" customFormat="1" ht="26.25" x14ac:dyDescent="0.4">
      <c r="A891" s="42"/>
      <c r="B891" s="35">
        <f t="shared" si="0"/>
        <v>31</v>
      </c>
      <c r="C891" s="655" t="str">
        <f>C601</f>
        <v>MORISON INDUSTRIES PLC</v>
      </c>
      <c r="D891" s="826">
        <f>H605</f>
        <v>346350</v>
      </c>
      <c r="E891" s="827"/>
      <c r="F891" s="827"/>
      <c r="G891" s="657"/>
    </row>
    <row r="892" spans="1:7" s="80" customFormat="1" ht="26.25" x14ac:dyDescent="0.4">
      <c r="A892" s="42"/>
      <c r="B892" s="35">
        <f t="shared" si="0"/>
        <v>32</v>
      </c>
      <c r="C892" s="655" t="str">
        <f>C608</f>
        <v>NHC PHARMACEUTICALS LIMITED</v>
      </c>
      <c r="D892" s="826">
        <f>H619</f>
        <v>19669260</v>
      </c>
      <c r="E892" s="827"/>
      <c r="F892" s="827"/>
      <c r="G892" s="657"/>
    </row>
    <row r="893" spans="1:7" s="80" customFormat="1" ht="26.25" x14ac:dyDescent="0.4">
      <c r="A893" s="42"/>
      <c r="B893" s="35">
        <f t="shared" si="0"/>
        <v>33</v>
      </c>
      <c r="C893" s="68" t="str">
        <f>C621</f>
        <v>OAK-LEAF PHARM. NIGERIA LIMITED</v>
      </c>
      <c r="D893" s="826">
        <f>H622</f>
        <v>1800000</v>
      </c>
      <c r="E893" s="827"/>
      <c r="F893" s="827"/>
      <c r="G893" s="657"/>
    </row>
    <row r="894" spans="1:7" s="80" customFormat="1" ht="26.25" x14ac:dyDescent="0.4">
      <c r="A894" s="42"/>
      <c r="B894" s="35">
        <f t="shared" si="0"/>
        <v>34</v>
      </c>
      <c r="C894" s="68" t="str">
        <f>C625</f>
        <v>PHAMATEX INDUSTRIES LIMITED</v>
      </c>
      <c r="D894" s="826">
        <f>H641</f>
        <v>13212880</v>
      </c>
      <c r="E894" s="827"/>
      <c r="F894" s="827"/>
      <c r="G894" s="657"/>
    </row>
    <row r="895" spans="1:7" s="80" customFormat="1" ht="26.25" x14ac:dyDescent="0.4">
      <c r="A895" s="42"/>
      <c r="B895" s="35">
        <f t="shared" si="0"/>
        <v>35</v>
      </c>
      <c r="C895" s="655" t="str">
        <f>C644</f>
        <v>PHARMAETHICS LIMITED</v>
      </c>
      <c r="D895" s="826">
        <f>H648</f>
        <v>1059500</v>
      </c>
      <c r="E895" s="827"/>
      <c r="F895" s="827"/>
      <c r="G895" s="657"/>
    </row>
    <row r="896" spans="1:7" s="80" customFormat="1" ht="26.25" x14ac:dyDescent="0.4">
      <c r="A896" s="42"/>
      <c r="B896" s="35">
        <f t="shared" si="0"/>
        <v>36</v>
      </c>
      <c r="C896" s="655" t="str">
        <f>C651</f>
        <v>PHILIPS PHARMACEUTICALS NIGERIA LIMITED</v>
      </c>
      <c r="D896" s="826">
        <f>H666</f>
        <v>14986500</v>
      </c>
      <c r="E896" s="827"/>
      <c r="F896" s="827"/>
      <c r="G896" s="657"/>
    </row>
    <row r="897" spans="1:7" s="80" customFormat="1" ht="26.25" x14ac:dyDescent="0.4">
      <c r="A897" s="42"/>
      <c r="B897" s="35">
        <f t="shared" si="0"/>
        <v>37</v>
      </c>
      <c r="C897" s="655" t="str">
        <f>C669</f>
        <v>RANBAXY NIGERIA LIMITED</v>
      </c>
      <c r="D897" s="826">
        <f>H680</f>
        <v>6929733.333333333</v>
      </c>
      <c r="E897" s="827"/>
      <c r="F897" s="827"/>
      <c r="G897" s="657"/>
    </row>
    <row r="898" spans="1:7" s="80" customFormat="1" ht="26.25" x14ac:dyDescent="0.4">
      <c r="A898" s="42"/>
      <c r="B898" s="35">
        <f t="shared" si="0"/>
        <v>38</v>
      </c>
      <c r="C898" s="68" t="str">
        <f>C683</f>
        <v>ROYAL PRIESTHOOD LABORATORIES LIMITED</v>
      </c>
      <c r="D898" s="826">
        <f>H689</f>
        <v>9014000</v>
      </c>
      <c r="E898" s="827"/>
      <c r="F898" s="827"/>
      <c r="G898" s="657"/>
    </row>
    <row r="899" spans="1:7" s="80" customFormat="1" ht="26.25" x14ac:dyDescent="0.4">
      <c r="A899" s="42"/>
      <c r="B899" s="35">
        <f t="shared" si="0"/>
        <v>39</v>
      </c>
      <c r="C899" s="655" t="str">
        <f>C692</f>
        <v>SAM PHARMACEUTICALS LIMITED</v>
      </c>
      <c r="D899" s="826">
        <f>H707</f>
        <v>12628000</v>
      </c>
      <c r="E899" s="827"/>
      <c r="F899" s="827"/>
      <c r="G899" s="657"/>
    </row>
    <row r="900" spans="1:7" s="80" customFormat="1" ht="26.25" x14ac:dyDescent="0.4">
      <c r="A900" s="42"/>
      <c r="B900" s="35">
        <f t="shared" si="0"/>
        <v>40</v>
      </c>
      <c r="C900" s="68" t="str">
        <f>C710</f>
        <v>SEAGREEN PHARMACEUTICALS LIMITED</v>
      </c>
      <c r="D900" s="826">
        <f>H714</f>
        <v>2605000</v>
      </c>
      <c r="E900" s="827"/>
      <c r="F900" s="827"/>
      <c r="G900" s="657"/>
    </row>
    <row r="901" spans="1:7" s="80" customFormat="1" ht="26.25" x14ac:dyDescent="0.4">
      <c r="A901" s="42"/>
      <c r="B901" s="35">
        <f t="shared" si="0"/>
        <v>41</v>
      </c>
      <c r="C901" s="655" t="str">
        <f>C717</f>
        <v>SKG PHARMACEUTICALS LIMITED</v>
      </c>
      <c r="D901" s="826">
        <f>H725</f>
        <v>1306897.5</v>
      </c>
      <c r="E901" s="827"/>
      <c r="F901" s="827"/>
      <c r="G901" s="657"/>
    </row>
    <row r="902" spans="1:7" s="80" customFormat="1" ht="26.25" x14ac:dyDescent="0.4">
      <c r="A902" s="42"/>
      <c r="B902" s="35">
        <f t="shared" si="0"/>
        <v>42</v>
      </c>
      <c r="C902" s="655" t="str">
        <f>C728</f>
        <v>TAH PHARMACEUTICALS LIMITED</v>
      </c>
      <c r="D902" s="826">
        <f>H742</f>
        <v>5625600</v>
      </c>
      <c r="E902" s="827"/>
      <c r="F902" s="827"/>
      <c r="G902" s="657"/>
    </row>
    <row r="903" spans="1:7" s="80" customFormat="1" ht="26.25" x14ac:dyDescent="0.4">
      <c r="A903" s="42"/>
      <c r="B903" s="35">
        <f t="shared" si="0"/>
        <v>43</v>
      </c>
      <c r="C903" s="655" t="str">
        <f>C745</f>
        <v>TAYLEK DRUGS COMPANY LIMITED</v>
      </c>
      <c r="D903" s="826">
        <f>H752</f>
        <v>7421655</v>
      </c>
      <c r="E903" s="827"/>
      <c r="F903" s="827"/>
      <c r="G903" s="657"/>
    </row>
    <row r="904" spans="1:7" s="80" customFormat="1" ht="26.25" x14ac:dyDescent="0.4">
      <c r="A904" s="42"/>
      <c r="B904" s="35">
        <f t="shared" si="0"/>
        <v>44</v>
      </c>
      <c r="C904" s="655" t="str">
        <f>C755</f>
        <v>THERAPEUTIC LABORATORIES NIGERIA LIMITED</v>
      </c>
      <c r="D904" s="826">
        <f>H764</f>
        <v>2759600</v>
      </c>
      <c r="E904" s="827"/>
      <c r="F904" s="827"/>
      <c r="G904" s="657"/>
    </row>
    <row r="905" spans="1:7" s="80" customFormat="1" ht="26.25" x14ac:dyDescent="0.4">
      <c r="A905" s="42"/>
      <c r="B905" s="35">
        <f t="shared" si="0"/>
        <v>45</v>
      </c>
      <c r="C905" s="655" t="str">
        <f>C767</f>
        <v>UNIQUE PHARMACEUTICALS LIMITED</v>
      </c>
      <c r="D905" s="826">
        <f>H778</f>
        <v>2689040</v>
      </c>
      <c r="E905" s="827"/>
      <c r="F905" s="827"/>
      <c r="G905" s="657"/>
    </row>
    <row r="906" spans="1:7" s="80" customFormat="1" ht="26.25" x14ac:dyDescent="0.4">
      <c r="A906" s="42"/>
      <c r="B906" s="35">
        <f t="shared" si="0"/>
        <v>46</v>
      </c>
      <c r="C906" s="68" t="str">
        <f>C783</f>
        <v>VIXA PHARMACEUTICALS LIMITED</v>
      </c>
      <c r="D906" s="826">
        <f>H792</f>
        <v>4220020</v>
      </c>
      <c r="E906" s="827"/>
      <c r="F906" s="827"/>
      <c r="G906" s="657"/>
    </row>
    <row r="907" spans="1:7" s="80" customFormat="1" ht="26.25" x14ac:dyDescent="0.4">
      <c r="A907" s="42"/>
      <c r="B907" s="35">
        <f t="shared" si="0"/>
        <v>47</v>
      </c>
      <c r="C907" s="655" t="str">
        <f>C796</f>
        <v>WORLDWIDE COMMERCIAL VENTURES LIMITED</v>
      </c>
      <c r="D907" s="826">
        <f>H813</f>
        <v>38293320</v>
      </c>
      <c r="E907" s="827"/>
      <c r="F907" s="827"/>
      <c r="G907" s="657"/>
    </row>
    <row r="908" spans="1:7" s="80" customFormat="1" ht="26.25" x14ac:dyDescent="0.4">
      <c r="A908" s="42"/>
      <c r="B908" s="35">
        <f t="shared" si="0"/>
        <v>48</v>
      </c>
      <c r="C908" s="655" t="str">
        <f>C818</f>
        <v>ZOLON HEALTHCARE LIMITED</v>
      </c>
      <c r="D908" s="826">
        <f>H828</f>
        <v>13267700</v>
      </c>
      <c r="E908" s="827"/>
      <c r="F908" s="827"/>
      <c r="G908" s="657"/>
    </row>
    <row r="909" spans="1:7" s="80" customFormat="1" ht="21.75" thickBot="1" x14ac:dyDescent="0.4">
      <c r="A909" s="42"/>
      <c r="B909" s="42"/>
      <c r="C909" s="8"/>
      <c r="D909" s="836"/>
      <c r="E909" s="836"/>
      <c r="F909" s="836"/>
      <c r="G909" s="836"/>
    </row>
    <row r="910" spans="1:7" s="80" customFormat="1" ht="29.25" thickBot="1" x14ac:dyDescent="0.5">
      <c r="A910" s="42"/>
      <c r="B910" s="42"/>
      <c r="C910" s="8"/>
      <c r="D910" s="837">
        <f>SUM(D861:G908)</f>
        <v>484185350.75333327</v>
      </c>
      <c r="E910" s="838"/>
      <c r="F910" s="839"/>
      <c r="G910" s="658"/>
    </row>
    <row r="911" spans="1:7" s="80" customFormat="1" x14ac:dyDescent="0.35">
      <c r="A911" s="42"/>
      <c r="B911" s="42"/>
      <c r="C911" s="8"/>
      <c r="D911" s="836"/>
      <c r="E911" s="836"/>
      <c r="F911" s="836"/>
      <c r="G911" s="836"/>
    </row>
    <row r="912" spans="1:7" s="80" customFormat="1" x14ac:dyDescent="0.35">
      <c r="A912" s="42"/>
      <c r="B912" s="42"/>
      <c r="C912" s="8"/>
      <c r="D912" s="836"/>
      <c r="E912" s="836"/>
      <c r="F912" s="836"/>
      <c r="G912" s="836"/>
    </row>
    <row r="913" spans="1:7" s="80" customFormat="1" x14ac:dyDescent="0.35">
      <c r="A913" s="42"/>
      <c r="B913" s="42"/>
      <c r="C913" s="8"/>
      <c r="D913" s="836"/>
      <c r="E913" s="836"/>
      <c r="F913" s="836"/>
      <c r="G913" s="836"/>
    </row>
    <row r="914" spans="1:7" s="80" customFormat="1" x14ac:dyDescent="0.35">
      <c r="A914" s="42"/>
      <c r="B914" s="42"/>
      <c r="C914" s="8"/>
      <c r="D914" s="836"/>
      <c r="E914" s="836"/>
      <c r="F914" s="836"/>
      <c r="G914" s="836"/>
    </row>
  </sheetData>
  <sortState ref="B500:G504">
    <sortCondition ref="C500:C504"/>
  </sortState>
  <mergeCells count="61">
    <mergeCell ref="D877:F877"/>
    <mergeCell ref="C858:F858"/>
    <mergeCell ref="D905:F905"/>
    <mergeCell ref="D906:F906"/>
    <mergeCell ref="D907:F907"/>
    <mergeCell ref="D893:F893"/>
    <mergeCell ref="D894:F894"/>
    <mergeCell ref="D895:F895"/>
    <mergeCell ref="D896:F896"/>
    <mergeCell ref="D897:F897"/>
    <mergeCell ref="D898:F898"/>
    <mergeCell ref="D882:F882"/>
    <mergeCell ref="D883:F883"/>
    <mergeCell ref="D884:F884"/>
    <mergeCell ref="D885:F885"/>
    <mergeCell ref="D886:F886"/>
    <mergeCell ref="D872:F872"/>
    <mergeCell ref="D873:F873"/>
    <mergeCell ref="D874:F874"/>
    <mergeCell ref="D875:F875"/>
    <mergeCell ref="D876:F876"/>
    <mergeCell ref="D862:F862"/>
    <mergeCell ref="D863:F863"/>
    <mergeCell ref="D864:F864"/>
    <mergeCell ref="D865:F865"/>
    <mergeCell ref="D866:F866"/>
    <mergeCell ref="D867:F867"/>
    <mergeCell ref="D868:F868"/>
    <mergeCell ref="D869:F869"/>
    <mergeCell ref="D870:F870"/>
    <mergeCell ref="D871:F871"/>
    <mergeCell ref="D911:G911"/>
    <mergeCell ref="D912:G912"/>
    <mergeCell ref="D913:G913"/>
    <mergeCell ref="D914:G914"/>
    <mergeCell ref="D910:F910"/>
    <mergeCell ref="D909:G909"/>
    <mergeCell ref="D901:F901"/>
    <mergeCell ref="D902:F902"/>
    <mergeCell ref="D903:F903"/>
    <mergeCell ref="D904:F904"/>
    <mergeCell ref="D908:F908"/>
    <mergeCell ref="D899:F899"/>
    <mergeCell ref="D900:F900"/>
    <mergeCell ref="D890:F890"/>
    <mergeCell ref="D891:F891"/>
    <mergeCell ref="D892:F892"/>
    <mergeCell ref="D888:F888"/>
    <mergeCell ref="D889:F889"/>
    <mergeCell ref="D878:F878"/>
    <mergeCell ref="D879:F879"/>
    <mergeCell ref="D880:F880"/>
    <mergeCell ref="D881:F881"/>
    <mergeCell ref="D887:F887"/>
    <mergeCell ref="D861:F861"/>
    <mergeCell ref="A3:H3"/>
    <mergeCell ref="A1:H1"/>
    <mergeCell ref="A2:H2"/>
    <mergeCell ref="A4:H4"/>
    <mergeCell ref="D859:F859"/>
    <mergeCell ref="D860:F860"/>
  </mergeCells>
  <pageMargins left="0.25" right="0.25" top="0.28999999999999998" bottom="0.28000000000000003" header="0.3" footer="0.3"/>
  <pageSetup paperSize="9" scale="68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1135-2D19-4436-80D3-ED16B1C45035}">
  <dimension ref="A1:H49"/>
  <sheetViews>
    <sheetView view="pageBreakPreview" topLeftCell="A19" zoomScale="70" zoomScaleNormal="70" zoomScaleSheetLayoutView="70" workbookViewId="0">
      <selection activeCell="D136" sqref="D136:G136"/>
    </sheetView>
  </sheetViews>
  <sheetFormatPr defaultColWidth="20" defaultRowHeight="21" x14ac:dyDescent="0.35"/>
  <cols>
    <col min="1" max="1" width="6.85546875" style="42" customWidth="1"/>
    <col min="2" max="2" width="10.140625" style="42" bestFit="1" customWidth="1"/>
    <col min="3" max="3" width="90.140625" style="8" customWidth="1"/>
    <col min="4" max="4" width="12.5703125" style="649" bestFit="1" customWidth="1"/>
    <col min="5" max="5" width="13.5703125" style="75" customWidth="1"/>
    <col min="6" max="6" width="20.140625" style="71" bestFit="1" customWidth="1"/>
    <col min="7" max="7" width="20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1489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COSMADE!B1</f>
        <v>COSMADE EASY MEDICALS LIMITED</v>
      </c>
      <c r="D7" s="648"/>
      <c r="E7" s="35"/>
      <c r="F7" s="38"/>
      <c r="G7" s="38"/>
      <c r="H7" s="38"/>
    </row>
    <row r="8" spans="1:8" s="42" customFormat="1" ht="18.75" x14ac:dyDescent="0.3">
      <c r="A8" s="35"/>
      <c r="B8" s="653">
        <f>COSMADE!A19</f>
        <v>709</v>
      </c>
      <c r="C8" s="653" t="str">
        <f>COSMADE!B19</f>
        <v>FILMS AGFA 14" X 17" DRYSTAR DT 5 B (DRY MEDICAL FILM) 7</v>
      </c>
      <c r="D8" s="654">
        <f>COSMADE!C19</f>
        <v>12</v>
      </c>
      <c r="E8" s="653">
        <f>COSMADE!D19</f>
        <v>100</v>
      </c>
      <c r="F8" s="38">
        <f>COSMADE!E19</f>
        <v>78000</v>
      </c>
      <c r="G8" s="38">
        <f>COSMADE!F19</f>
        <v>7800000</v>
      </c>
      <c r="H8" s="38"/>
    </row>
    <row r="9" spans="1:8" s="42" customFormat="1" ht="18.75" x14ac:dyDescent="0.3">
      <c r="A9" s="35"/>
      <c r="B9" s="653">
        <f>COSMADE!A20</f>
        <v>711</v>
      </c>
      <c r="C9" s="653" t="str">
        <f>COSMADE!B20</f>
        <v>CARESTREAM DRY VIEW LASER IMAGING FILM 17" x 14"</v>
      </c>
      <c r="D9" s="654" t="str">
        <f>COSMADE!C20</f>
        <v>PACK</v>
      </c>
      <c r="E9" s="653">
        <f>COSMADE!D20</f>
        <v>25</v>
      </c>
      <c r="F9" s="38">
        <f>COSMADE!E20</f>
        <v>120000</v>
      </c>
      <c r="G9" s="38">
        <f>COSMADE!F20</f>
        <v>3000000</v>
      </c>
      <c r="H9" s="38"/>
    </row>
    <row r="10" spans="1:8" s="42" customFormat="1" ht="23.25" x14ac:dyDescent="0.35">
      <c r="A10" s="35"/>
      <c r="B10" s="653">
        <f>COSMADE!A21</f>
        <v>717</v>
      </c>
      <c r="C10" s="653" t="str">
        <f>COSMADE!B21</f>
        <v>UROGRAPHIN</v>
      </c>
      <c r="D10" s="654" t="str">
        <f>COSMADE!C21</f>
        <v>PACK</v>
      </c>
      <c r="E10" s="653">
        <f>COSMADE!D21</f>
        <v>60</v>
      </c>
      <c r="F10" s="38">
        <f>COSMADE!E21</f>
        <v>15000</v>
      </c>
      <c r="G10" s="38">
        <f>COSMADE!F21</f>
        <v>900000</v>
      </c>
      <c r="H10" s="79">
        <f>SUM(G8:G10)</f>
        <v>11700000</v>
      </c>
    </row>
    <row r="11" spans="1:8" s="42" customFormat="1" ht="18.75" x14ac:dyDescent="0.3">
      <c r="A11" s="35"/>
      <c r="B11" s="653"/>
      <c r="C11" s="653"/>
      <c r="D11" s="654"/>
      <c r="E11" s="653"/>
      <c r="F11" s="38"/>
      <c r="G11" s="38"/>
      <c r="H11" s="38"/>
    </row>
    <row r="12" spans="1:8" s="42" customFormat="1" ht="23.25" x14ac:dyDescent="0.35">
      <c r="A12" s="35">
        <v>2</v>
      </c>
      <c r="B12" s="35"/>
      <c r="C12" s="77" t="str">
        <f>DYNAMIC!B1</f>
        <v>DYNAMIC ANCHOR SOURCE LIMITED</v>
      </c>
      <c r="D12" s="648"/>
      <c r="E12" s="35"/>
      <c r="F12" s="38"/>
      <c r="G12" s="38"/>
      <c r="H12" s="38"/>
    </row>
    <row r="13" spans="1:8" s="42" customFormat="1" ht="18.75" x14ac:dyDescent="0.3">
      <c r="A13" s="35"/>
      <c r="B13" s="653">
        <f>DYNAMIC!A6</f>
        <v>712</v>
      </c>
      <c r="C13" s="653" t="str">
        <f>DYNAMIC!B6</f>
        <v>CARESTREAM DRY VIEW LASER IMAGING FILM 12" x 10"</v>
      </c>
      <c r="D13" s="654" t="str">
        <f>DYNAMIC!C6</f>
        <v>PACK</v>
      </c>
      <c r="E13" s="653">
        <f>DYNAMIC!D6</f>
        <v>28</v>
      </c>
      <c r="F13" s="38">
        <f>DYNAMIC!E6</f>
        <v>95000</v>
      </c>
      <c r="G13" s="38">
        <f>DYNAMIC!F6</f>
        <v>2660000</v>
      </c>
      <c r="H13" s="38"/>
    </row>
    <row r="14" spans="1:8" s="42" customFormat="1" ht="18.75" x14ac:dyDescent="0.3">
      <c r="A14" s="35"/>
      <c r="B14" s="653">
        <f>DYNAMIC!A7</f>
        <v>715</v>
      </c>
      <c r="C14" s="653" t="str">
        <f>DYNAMIC!B7</f>
        <v>CONDOM</v>
      </c>
      <c r="D14" s="654" t="str">
        <f>DYNAMIC!C7</f>
        <v>BOXES</v>
      </c>
      <c r="E14" s="653">
        <f>DYNAMIC!D7</f>
        <v>20</v>
      </c>
      <c r="F14" s="38">
        <f>DYNAMIC!E7</f>
        <v>1625</v>
      </c>
      <c r="G14" s="38">
        <f>DYNAMIC!F7</f>
        <v>32500</v>
      </c>
      <c r="H14" s="38"/>
    </row>
    <row r="15" spans="1:8" s="42" customFormat="1" ht="18.75" x14ac:dyDescent="0.3">
      <c r="A15" s="35"/>
      <c r="B15" s="653">
        <f>DYNAMIC!A8</f>
        <v>720</v>
      </c>
      <c r="C15" s="653" t="str">
        <f>DYNAMIC!B8</f>
        <v>ENVELOPES LARGE (18" X 15")</v>
      </c>
      <c r="D15" s="654" t="str">
        <f>DYNAMIC!C8</f>
        <v>PCS</v>
      </c>
      <c r="E15" s="653">
        <f>DYNAMIC!D8</f>
        <v>5000</v>
      </c>
      <c r="F15" s="38">
        <f>DYNAMIC!E8</f>
        <v>113</v>
      </c>
      <c r="G15" s="38">
        <f>DYNAMIC!F8</f>
        <v>565000</v>
      </c>
      <c r="H15" s="38"/>
    </row>
    <row r="16" spans="1:8" s="42" customFormat="1" ht="18.75" x14ac:dyDescent="0.3">
      <c r="A16" s="35"/>
      <c r="B16" s="653">
        <f>DYNAMIC!A9</f>
        <v>719</v>
      </c>
      <c r="C16" s="653" t="str">
        <f>DYNAMIC!B9</f>
        <v>REQUEST FORMS</v>
      </c>
      <c r="D16" s="654" t="str">
        <f>DYNAMIC!C9</f>
        <v>PCS</v>
      </c>
      <c r="E16" s="653">
        <f>DYNAMIC!D9</f>
        <v>5000</v>
      </c>
      <c r="F16" s="38">
        <f>DYNAMIC!E9</f>
        <v>14</v>
      </c>
      <c r="G16" s="38">
        <f>DYNAMIC!F9</f>
        <v>70000</v>
      </c>
      <c r="H16" s="38"/>
    </row>
    <row r="17" spans="1:8" s="42" customFormat="1" ht="23.25" x14ac:dyDescent="0.35">
      <c r="A17" s="35"/>
      <c r="B17" s="653">
        <f>DYNAMIC!A10</f>
        <v>714</v>
      </c>
      <c r="C17" s="653" t="str">
        <f>DYNAMIC!B10</f>
        <v>TOILET ROLL</v>
      </c>
      <c r="D17" s="654">
        <f>DYNAMIC!C10</f>
        <v>48</v>
      </c>
      <c r="E17" s="653">
        <f>DYNAMIC!D10</f>
        <v>50</v>
      </c>
      <c r="F17" s="38">
        <f>DYNAMIC!E10</f>
        <v>4125</v>
      </c>
      <c r="G17" s="38">
        <f>DYNAMIC!F10</f>
        <v>206250</v>
      </c>
      <c r="H17" s="79">
        <f>SUM(G13:G17)</f>
        <v>3533750</v>
      </c>
    </row>
    <row r="18" spans="1:8" s="42" customFormat="1" ht="18.75" x14ac:dyDescent="0.3">
      <c r="A18" s="35"/>
      <c r="B18" s="653"/>
      <c r="C18" s="653"/>
      <c r="D18" s="654"/>
      <c r="E18" s="653"/>
      <c r="F18" s="38"/>
      <c r="G18" s="38"/>
      <c r="H18" s="38"/>
    </row>
    <row r="19" spans="1:8" s="42" customFormat="1" ht="23.25" x14ac:dyDescent="0.35">
      <c r="A19" s="35">
        <v>3</v>
      </c>
      <c r="B19" s="653"/>
      <c r="C19" s="656" t="str">
        <f>ROTECH!B1</f>
        <v>INTER-ROTECH NIGERIA LIMITED</v>
      </c>
      <c r="D19" s="654"/>
      <c r="E19" s="653"/>
      <c r="F19" s="38"/>
      <c r="G19" s="38"/>
      <c r="H19" s="38"/>
    </row>
    <row r="20" spans="1:8" s="42" customFormat="1" ht="18.75" x14ac:dyDescent="0.3">
      <c r="A20" s="35"/>
      <c r="B20" s="653">
        <f>ROTECH!A18</f>
        <v>718</v>
      </c>
      <c r="C20" s="653" t="str">
        <f>ROTECH!B18</f>
        <v>BLADDER SYRINGE 50ML</v>
      </c>
      <c r="D20" s="654" t="str">
        <f>ROTECH!C18</f>
        <v>CARTON</v>
      </c>
      <c r="E20" s="653">
        <f>ROTECH!D18</f>
        <v>5</v>
      </c>
      <c r="F20" s="38">
        <f>ROTECH!E18</f>
        <v>17000</v>
      </c>
      <c r="G20" s="38">
        <f>ROTECH!F18</f>
        <v>85000</v>
      </c>
      <c r="H20" s="38"/>
    </row>
    <row r="21" spans="1:8" s="42" customFormat="1" ht="18.75" x14ac:dyDescent="0.3">
      <c r="A21" s="35"/>
      <c r="B21" s="653">
        <f>ROTECH!A19</f>
        <v>716</v>
      </c>
      <c r="C21" s="653" t="str">
        <f>ROTECH!B19</f>
        <v>FACE MASK</v>
      </c>
      <c r="D21" s="654" t="str">
        <f>ROTECH!C19</f>
        <v>BOXES</v>
      </c>
      <c r="E21" s="653">
        <f>ROTECH!D19</f>
        <v>15</v>
      </c>
      <c r="F21" s="38">
        <f>ROTECH!E19</f>
        <v>330</v>
      </c>
      <c r="G21" s="38">
        <f>ROTECH!F19</f>
        <v>4950</v>
      </c>
      <c r="H21" s="38"/>
    </row>
    <row r="22" spans="1:8" s="42" customFormat="1" ht="18.75" x14ac:dyDescent="0.3">
      <c r="A22" s="35"/>
      <c r="B22" s="653">
        <f>ROTECH!A20</f>
        <v>710</v>
      </c>
      <c r="C22" s="653" t="str">
        <f>ROTECH!B20</f>
        <v>FILMS AGFA 10" x 12" DRYSTAR DT 5 B (DRY MEDICAL FILM) 5</v>
      </c>
      <c r="D22" s="654">
        <f>ROTECH!C20</f>
        <v>12</v>
      </c>
      <c r="E22" s="653">
        <f>ROTECH!D20</f>
        <v>90</v>
      </c>
      <c r="F22" s="38">
        <f>ROTECH!E20</f>
        <v>60500</v>
      </c>
      <c r="G22" s="38">
        <f>ROTECH!F20</f>
        <v>5445000</v>
      </c>
      <c r="H22" s="38"/>
    </row>
    <row r="23" spans="1:8" s="42" customFormat="1" ht="23.25" x14ac:dyDescent="0.35">
      <c r="A23" s="35"/>
      <c r="B23" s="653">
        <f>ROTECH!A21</f>
        <v>713</v>
      </c>
      <c r="C23" s="653" t="str">
        <f>ROTECH!B21</f>
        <v>ULTRASOUND GEL</v>
      </c>
      <c r="D23" s="654" t="str">
        <f>ROTECH!C21</f>
        <v>5L</v>
      </c>
      <c r="E23" s="653">
        <f>ROTECH!D21</f>
        <v>15</v>
      </c>
      <c r="F23" s="38">
        <f>ROTECH!E21</f>
        <v>3850</v>
      </c>
      <c r="G23" s="38">
        <f>ROTECH!F21</f>
        <v>57750</v>
      </c>
      <c r="H23" s="79">
        <f>SUM(G20:G23)</f>
        <v>5592700</v>
      </c>
    </row>
    <row r="24" spans="1:8" s="42" customFormat="1" ht="18.75" x14ac:dyDescent="0.3">
      <c r="A24" s="35"/>
      <c r="B24" s="653"/>
      <c r="C24" s="653"/>
      <c r="D24" s="654"/>
      <c r="E24" s="653"/>
      <c r="F24" s="38"/>
      <c r="G24" s="38"/>
      <c r="H24" s="35"/>
    </row>
    <row r="25" spans="1:8" s="42" customFormat="1" ht="18.75" x14ac:dyDescent="0.3">
      <c r="A25" s="35"/>
      <c r="B25" s="653"/>
      <c r="C25" s="653"/>
      <c r="D25" s="654"/>
      <c r="E25" s="653"/>
      <c r="F25" s="38"/>
      <c r="G25" s="38"/>
      <c r="H25" s="35"/>
    </row>
    <row r="26" spans="1:8" s="42" customFormat="1" ht="23.25" x14ac:dyDescent="0.35">
      <c r="A26" s="35">
        <v>4</v>
      </c>
      <c r="B26" s="653"/>
      <c r="C26" s="656" t="str">
        <f>MTRUST!B1</f>
        <v>MEDITRUST NIGERIA LIMITED</v>
      </c>
      <c r="D26" s="654"/>
      <c r="E26" s="653"/>
      <c r="F26" s="38"/>
      <c r="G26" s="38"/>
      <c r="H26" s="38"/>
    </row>
    <row r="27" spans="1:8" s="42" customFormat="1" ht="23.25" x14ac:dyDescent="0.35">
      <c r="A27" s="35"/>
      <c r="B27" s="653">
        <f>MTRUST!A6</f>
        <v>721</v>
      </c>
      <c r="C27" s="653" t="str">
        <f>MTRUST!B6</f>
        <v>ENVELOPES MEDIUM (14" X 12")</v>
      </c>
      <c r="D27" s="654" t="str">
        <f>MTRUST!C6</f>
        <v>PCS</v>
      </c>
      <c r="E27" s="653">
        <f>MTRUST!D6</f>
        <v>5000</v>
      </c>
      <c r="F27" s="38">
        <f>MTRUST!E6</f>
        <v>30</v>
      </c>
      <c r="G27" s="38">
        <f>MTRUST!F6</f>
        <v>150000</v>
      </c>
      <c r="H27" s="79">
        <f>SUM(G27:G27)</f>
        <v>150000</v>
      </c>
    </row>
    <row r="28" spans="1:8" s="42" customFormat="1" ht="18.75" x14ac:dyDescent="0.3">
      <c r="A28" s="35"/>
      <c r="B28" s="35"/>
      <c r="C28" s="35"/>
      <c r="D28" s="648"/>
      <c r="E28" s="35"/>
      <c r="F28" s="38"/>
      <c r="G28" s="38"/>
      <c r="H28" s="38"/>
    </row>
    <row r="29" spans="1:8" ht="21.75" thickBot="1" x14ac:dyDescent="0.4">
      <c r="A29" s="35"/>
      <c r="B29" s="35"/>
      <c r="C29" s="188"/>
      <c r="D29" s="647"/>
      <c r="E29" s="189"/>
      <c r="F29" s="190"/>
      <c r="G29" s="191"/>
      <c r="H29" s="185"/>
    </row>
    <row r="30" spans="1:8" ht="27" thickBot="1" x14ac:dyDescent="0.45">
      <c r="A30" s="35"/>
      <c r="B30" s="35"/>
      <c r="C30" s="188"/>
      <c r="D30" s="647"/>
      <c r="E30" s="189"/>
      <c r="F30" s="190"/>
      <c r="G30" s="659" t="s">
        <v>666</v>
      </c>
      <c r="H30" s="194">
        <f>SUM(H7:H28)</f>
        <v>20976450</v>
      </c>
    </row>
    <row r="35" spans="1:7" ht="31.5" x14ac:dyDescent="0.5">
      <c r="C35" s="843" t="s">
        <v>2159</v>
      </c>
      <c r="D35" s="843"/>
      <c r="E35" s="843"/>
      <c r="F35" s="843"/>
      <c r="G35" s="843"/>
    </row>
    <row r="37" spans="1:7" s="80" customFormat="1" ht="26.25" x14ac:dyDescent="0.4">
      <c r="A37" s="42"/>
      <c r="B37" s="35"/>
      <c r="C37" s="646" t="s">
        <v>917</v>
      </c>
      <c r="D37" s="834" t="s">
        <v>918</v>
      </c>
      <c r="E37" s="835"/>
      <c r="F37" s="835"/>
      <c r="G37" s="844"/>
    </row>
    <row r="38" spans="1:7" s="80" customFormat="1" x14ac:dyDescent="0.35">
      <c r="A38" s="42"/>
      <c r="B38" s="35"/>
      <c r="C38" s="188"/>
      <c r="D38" s="845"/>
      <c r="E38" s="845"/>
      <c r="F38" s="845"/>
      <c r="G38" s="845"/>
    </row>
    <row r="39" spans="1:7" s="80" customFormat="1" x14ac:dyDescent="0.35">
      <c r="A39" s="42"/>
      <c r="B39" s="35">
        <v>1</v>
      </c>
      <c r="C39" s="35" t="str">
        <f>C7</f>
        <v>COSMADE EASY MEDICALS LIMITED</v>
      </c>
      <c r="D39" s="841">
        <f>H10</f>
        <v>11700000</v>
      </c>
      <c r="E39" s="842"/>
      <c r="F39" s="842"/>
      <c r="G39" s="842"/>
    </row>
    <row r="40" spans="1:7" s="80" customFormat="1" x14ac:dyDescent="0.35">
      <c r="A40" s="42"/>
      <c r="B40" s="35">
        <f>1+B39</f>
        <v>2</v>
      </c>
      <c r="C40" s="35" t="str">
        <f>C12</f>
        <v>DYNAMIC ANCHOR SOURCE LIMITED</v>
      </c>
      <c r="D40" s="841">
        <f>H17</f>
        <v>3533750</v>
      </c>
      <c r="E40" s="842"/>
      <c r="F40" s="842"/>
      <c r="G40" s="842"/>
    </row>
    <row r="41" spans="1:7" s="80" customFormat="1" x14ac:dyDescent="0.35">
      <c r="A41" s="42"/>
      <c r="B41" s="35">
        <f t="shared" ref="B41:B42" si="0">1+B40</f>
        <v>3</v>
      </c>
      <c r="C41" s="653" t="str">
        <f>C19</f>
        <v>INTER-ROTECH NIGERIA LIMITED</v>
      </c>
      <c r="D41" s="841">
        <f>H23</f>
        <v>5592700</v>
      </c>
      <c r="E41" s="842"/>
      <c r="F41" s="842"/>
      <c r="G41" s="842"/>
    </row>
    <row r="42" spans="1:7" s="80" customFormat="1" x14ac:dyDescent="0.35">
      <c r="A42" s="42"/>
      <c r="B42" s="35">
        <f t="shared" si="0"/>
        <v>4</v>
      </c>
      <c r="C42" s="653" t="str">
        <f>C26</f>
        <v>MEDITRUST NIGERIA LIMITED</v>
      </c>
      <c r="D42" s="841">
        <f>H27</f>
        <v>150000</v>
      </c>
      <c r="E42" s="842"/>
      <c r="F42" s="842"/>
      <c r="G42" s="842"/>
    </row>
    <row r="43" spans="1:7" s="80" customFormat="1" ht="21.75" thickBot="1" x14ac:dyDescent="0.4">
      <c r="A43" s="42"/>
      <c r="B43" s="42"/>
      <c r="C43" s="8"/>
      <c r="D43" s="836"/>
      <c r="E43" s="836"/>
      <c r="F43" s="836"/>
      <c r="G43" s="836"/>
    </row>
    <row r="44" spans="1:7" s="80" customFormat="1" ht="29.25" thickBot="1" x14ac:dyDescent="0.5">
      <c r="A44" s="42"/>
      <c r="B44" s="42"/>
      <c r="C44" s="8"/>
      <c r="D44" s="846">
        <f>SUM(D39:G42)</f>
        <v>20976450</v>
      </c>
      <c r="E44" s="847"/>
      <c r="F44" s="847"/>
      <c r="G44" s="848"/>
    </row>
    <row r="45" spans="1:7" s="80" customFormat="1" x14ac:dyDescent="0.35">
      <c r="A45" s="42"/>
      <c r="B45" s="42"/>
      <c r="C45" s="8"/>
      <c r="D45" s="836"/>
      <c r="E45" s="836"/>
      <c r="F45" s="836"/>
      <c r="G45" s="836"/>
    </row>
    <row r="46" spans="1:7" s="80" customFormat="1" x14ac:dyDescent="0.35">
      <c r="A46" s="42"/>
      <c r="B46" s="42"/>
      <c r="C46" s="8"/>
      <c r="D46" s="836"/>
      <c r="E46" s="836"/>
      <c r="F46" s="836"/>
      <c r="G46" s="836"/>
    </row>
    <row r="47" spans="1:7" s="80" customFormat="1" x14ac:dyDescent="0.35">
      <c r="A47" s="42"/>
      <c r="B47" s="42"/>
      <c r="C47" s="8"/>
      <c r="D47" s="836"/>
      <c r="E47" s="836"/>
      <c r="F47" s="836"/>
      <c r="G47" s="836"/>
    </row>
    <row r="48" spans="1:7" s="80" customFormat="1" x14ac:dyDescent="0.35">
      <c r="A48" s="42"/>
      <c r="B48" s="42"/>
      <c r="C48" s="8"/>
      <c r="D48" s="836"/>
      <c r="E48" s="836"/>
      <c r="F48" s="836"/>
      <c r="G48" s="836"/>
    </row>
    <row r="49" spans="1:7" s="80" customFormat="1" x14ac:dyDescent="0.35">
      <c r="A49" s="42"/>
      <c r="B49" s="42"/>
      <c r="C49" s="8"/>
      <c r="D49" s="836"/>
      <c r="E49" s="836"/>
      <c r="F49" s="836"/>
      <c r="G49" s="836"/>
    </row>
  </sheetData>
  <mergeCells count="18">
    <mergeCell ref="D49:G49"/>
    <mergeCell ref="D43:G43"/>
    <mergeCell ref="D40:G40"/>
    <mergeCell ref="D41:G41"/>
    <mergeCell ref="D42:G42"/>
    <mergeCell ref="D44:G44"/>
    <mergeCell ref="D45:G45"/>
    <mergeCell ref="D46:G46"/>
    <mergeCell ref="D47:G47"/>
    <mergeCell ref="D48:G48"/>
    <mergeCell ref="D39:G39"/>
    <mergeCell ref="A3:H3"/>
    <mergeCell ref="C35:G35"/>
    <mergeCell ref="A1:H1"/>
    <mergeCell ref="A2:H2"/>
    <mergeCell ref="A4:H4"/>
    <mergeCell ref="D37:G37"/>
    <mergeCell ref="D38:G38"/>
  </mergeCells>
  <pageMargins left="0.25" right="0.25" top="0.75" bottom="0.75" header="0.3" footer="0.3"/>
  <pageSetup paperSize="9" scale="65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C0415-DFEF-4071-8511-876CD004D54B}">
  <dimension ref="A1:H93"/>
  <sheetViews>
    <sheetView view="pageBreakPreview" topLeftCell="A54" zoomScale="70" zoomScaleNormal="70" zoomScaleSheetLayoutView="70" workbookViewId="0">
      <selection activeCell="D136" sqref="D136:G136"/>
    </sheetView>
  </sheetViews>
  <sheetFormatPr defaultColWidth="20" defaultRowHeight="21" x14ac:dyDescent="0.35"/>
  <cols>
    <col min="1" max="1" width="6.85546875" style="42" customWidth="1"/>
    <col min="2" max="2" width="10.140625" style="42" bestFit="1" customWidth="1"/>
    <col min="3" max="3" width="90.140625" style="8" customWidth="1"/>
    <col min="4" max="4" width="12.5703125" style="649" bestFit="1" customWidth="1"/>
    <col min="5" max="5" width="13.5703125" style="75" customWidth="1"/>
    <col min="6" max="6" width="20.140625" style="71" bestFit="1" customWidth="1"/>
    <col min="7" max="7" width="20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1507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COSMADE!B1</f>
        <v>COSMADE EASY MEDICALS LIMITED</v>
      </c>
      <c r="D7" s="648"/>
      <c r="E7" s="35"/>
      <c r="F7" s="38"/>
      <c r="G7" s="38"/>
      <c r="H7" s="38"/>
    </row>
    <row r="8" spans="1:8" s="42" customFormat="1" ht="23.25" x14ac:dyDescent="0.35">
      <c r="A8" s="35"/>
      <c r="B8" s="653">
        <f>COSMADE!A24</f>
        <v>752</v>
      </c>
      <c r="C8" s="653" t="str">
        <f>COSMADE!B24</f>
        <v>MORNING FRESH LIQUID 475MLS (PZ)</v>
      </c>
      <c r="D8" s="654" t="str">
        <f>COSMADE!C24</f>
        <v>CARTON</v>
      </c>
      <c r="E8" s="653">
        <f>COSMADE!D24</f>
        <v>28</v>
      </c>
      <c r="F8" s="38">
        <f>COSMADE!E24</f>
        <v>5300</v>
      </c>
      <c r="G8" s="38">
        <f>COSMADE!F24</f>
        <v>148400</v>
      </c>
      <c r="H8" s="79">
        <f>SUM(G8:G8)</f>
        <v>148400</v>
      </c>
    </row>
    <row r="9" spans="1:8" s="42" customFormat="1" ht="18.75" x14ac:dyDescent="0.3">
      <c r="A9" s="35"/>
      <c r="B9" s="35"/>
      <c r="C9" s="35"/>
      <c r="D9" s="648"/>
      <c r="E9" s="35"/>
      <c r="F9" s="38"/>
      <c r="G9" s="38"/>
      <c r="H9" s="38"/>
    </row>
    <row r="10" spans="1:8" s="42" customFormat="1" ht="18.75" x14ac:dyDescent="0.3">
      <c r="A10" s="35"/>
      <c r="B10" s="35"/>
      <c r="C10" s="35"/>
      <c r="D10" s="648"/>
      <c r="E10" s="35"/>
      <c r="F10" s="38"/>
      <c r="G10" s="38"/>
      <c r="H10" s="38"/>
    </row>
    <row r="11" spans="1:8" s="42" customFormat="1" ht="23.25" x14ac:dyDescent="0.35">
      <c r="A11" s="35">
        <v>2</v>
      </c>
      <c r="B11" s="35"/>
      <c r="C11" s="77" t="str">
        <f>SANCON!B1</f>
        <v>DE SANCON &amp; ASSOCIATES LIMITED</v>
      </c>
      <c r="D11" s="648"/>
      <c r="E11" s="35"/>
      <c r="F11" s="38"/>
      <c r="G11" s="38"/>
      <c r="H11" s="38"/>
    </row>
    <row r="12" spans="1:8" s="42" customFormat="1" ht="18.75" x14ac:dyDescent="0.3">
      <c r="A12" s="35"/>
      <c r="B12" s="653">
        <f>SANCON!A27</f>
        <v>755</v>
      </c>
      <c r="C12" s="653" t="str">
        <f>SANCON!B27</f>
        <v>AUTOCLAVE TAPES (B-10)</v>
      </c>
      <c r="D12" s="654" t="str">
        <f>SANCON!C27</f>
        <v>PCS</v>
      </c>
      <c r="E12" s="653">
        <f>SANCON!D27</f>
        <v>250</v>
      </c>
      <c r="F12" s="38">
        <f>SANCON!E27</f>
        <v>2200</v>
      </c>
      <c r="G12" s="38">
        <f>SANCON!F27</f>
        <v>550000</v>
      </c>
      <c r="H12" s="38"/>
    </row>
    <row r="13" spans="1:8" s="42" customFormat="1" ht="18.75" x14ac:dyDescent="0.3">
      <c r="A13" s="35"/>
      <c r="B13" s="653">
        <f>SANCON!A28</f>
        <v>759</v>
      </c>
      <c r="C13" s="653" t="str">
        <f>SANCON!B28</f>
        <v>EPIDURAL SETS (PORTEX)</v>
      </c>
      <c r="D13" s="654" t="str">
        <f>SANCON!C28</f>
        <v>PACK</v>
      </c>
      <c r="E13" s="653">
        <f>SANCON!D28</f>
        <v>30</v>
      </c>
      <c r="F13" s="38">
        <f>SANCON!E28</f>
        <v>69000</v>
      </c>
      <c r="G13" s="38">
        <f>SANCON!F28</f>
        <v>2070000</v>
      </c>
      <c r="H13" s="38"/>
    </row>
    <row r="14" spans="1:8" s="42" customFormat="1" ht="23.25" x14ac:dyDescent="0.35">
      <c r="A14" s="35"/>
      <c r="B14" s="653">
        <f>SANCON!A29</f>
        <v>750</v>
      </c>
      <c r="C14" s="653" t="str">
        <f>SANCON!B29</f>
        <v>SODALIME 5 LITRE (SPHERASORB)</v>
      </c>
      <c r="D14" s="654" t="str">
        <f>SANCON!C29</f>
        <v>KEG</v>
      </c>
      <c r="E14" s="653">
        <f>SANCON!D29</f>
        <v>8</v>
      </c>
      <c r="F14" s="38">
        <f>SANCON!E29</f>
        <v>59000</v>
      </c>
      <c r="G14" s="38">
        <f>SANCON!F29</f>
        <v>472000</v>
      </c>
      <c r="H14" s="79">
        <f>SUM(G12:G14)</f>
        <v>3092000</v>
      </c>
    </row>
    <row r="15" spans="1:8" s="42" customFormat="1" ht="23.25" x14ac:dyDescent="0.35">
      <c r="A15" s="35"/>
      <c r="B15" s="653"/>
      <c r="C15" s="653"/>
      <c r="D15" s="654"/>
      <c r="E15" s="653"/>
      <c r="F15" s="38"/>
      <c r="G15" s="38"/>
      <c r="H15" s="79"/>
    </row>
    <row r="16" spans="1:8" s="42" customFormat="1" ht="18.75" x14ac:dyDescent="0.3">
      <c r="A16" s="35"/>
      <c r="B16" s="35"/>
      <c r="C16" s="35"/>
      <c r="D16" s="648"/>
      <c r="E16" s="35"/>
      <c r="F16" s="38"/>
      <c r="G16" s="38"/>
      <c r="H16" s="38"/>
    </row>
    <row r="17" spans="1:8" s="42" customFormat="1" ht="23.25" x14ac:dyDescent="0.35">
      <c r="A17" s="35">
        <v>3</v>
      </c>
      <c r="B17" s="35"/>
      <c r="C17" s="77" t="str">
        <f>DYNAMIC!B1</f>
        <v>DYNAMIC ANCHOR SOURCE LIMITED</v>
      </c>
      <c r="D17" s="648"/>
      <c r="E17" s="35"/>
      <c r="F17" s="38"/>
      <c r="G17" s="38"/>
      <c r="H17" s="38"/>
    </row>
    <row r="18" spans="1:8" s="42" customFormat="1" ht="18.75" x14ac:dyDescent="0.3">
      <c r="A18" s="35"/>
      <c r="B18" s="653">
        <f>DYNAMIC!A13</f>
        <v>746</v>
      </c>
      <c r="C18" s="653" t="str">
        <f>DYNAMIC!B13</f>
        <v>CARAT SOAPS</v>
      </c>
      <c r="D18" s="654" t="str">
        <f>DYNAMIC!C13</f>
        <v>PIECE</v>
      </c>
      <c r="E18" s="653">
        <f>DYNAMIC!D13</f>
        <v>400</v>
      </c>
      <c r="F18" s="38">
        <f>DYNAMIC!E13</f>
        <v>138</v>
      </c>
      <c r="G18" s="38">
        <f>DYNAMIC!F13</f>
        <v>55200</v>
      </c>
      <c r="H18" s="38"/>
    </row>
    <row r="19" spans="1:8" s="42" customFormat="1" ht="18.75" x14ac:dyDescent="0.3">
      <c r="A19" s="35"/>
      <c r="B19" s="653">
        <f>DYNAMIC!A14</f>
        <v>744</v>
      </c>
      <c r="C19" s="653" t="str">
        <f>DYNAMIC!B14</f>
        <v>DISPOSABLE CAPS (SILVER HEALTH CARE)</v>
      </c>
      <c r="D19" s="654" t="str">
        <f>DYNAMIC!C14</f>
        <v>CARTON</v>
      </c>
      <c r="E19" s="653">
        <f>DYNAMIC!D14</f>
        <v>900</v>
      </c>
      <c r="F19" s="38">
        <f>DYNAMIC!E14</f>
        <v>5630</v>
      </c>
      <c r="G19" s="38">
        <f>DYNAMIC!F14</f>
        <v>5067000</v>
      </c>
      <c r="H19" s="38"/>
    </row>
    <row r="20" spans="1:8" s="42" customFormat="1" ht="23.25" x14ac:dyDescent="0.35">
      <c r="A20" s="35"/>
      <c r="B20" s="653">
        <f>DYNAMIC!A15</f>
        <v>753</v>
      </c>
      <c r="C20" s="653" t="str">
        <f>DYNAMIC!B15</f>
        <v>O SHINE LIQUID SOAPS 4 LITRE</v>
      </c>
      <c r="D20" s="654" t="str">
        <f>DYNAMIC!C15</f>
        <v>KEG</v>
      </c>
      <c r="E20" s="653">
        <f>DYNAMIC!D15</f>
        <v>400</v>
      </c>
      <c r="F20" s="38">
        <f>DYNAMIC!E15</f>
        <v>1250</v>
      </c>
      <c r="G20" s="38">
        <f>DYNAMIC!F15</f>
        <v>500000</v>
      </c>
      <c r="H20" s="79">
        <f>SUM(G18:G20)</f>
        <v>5622200</v>
      </c>
    </row>
    <row r="21" spans="1:8" s="42" customFormat="1" ht="23.25" x14ac:dyDescent="0.35">
      <c r="A21" s="35"/>
      <c r="B21" s="653"/>
      <c r="C21" s="653"/>
      <c r="D21" s="654"/>
      <c r="E21" s="653"/>
      <c r="F21" s="38"/>
      <c r="G21" s="38"/>
      <c r="H21" s="79"/>
    </row>
    <row r="22" spans="1:8" s="42" customFormat="1" ht="18.75" x14ac:dyDescent="0.3">
      <c r="A22" s="35"/>
      <c r="B22" s="653"/>
      <c r="C22" s="653"/>
      <c r="D22" s="654"/>
      <c r="E22" s="653"/>
      <c r="F22" s="38"/>
      <c r="G22" s="38"/>
      <c r="H22" s="38"/>
    </row>
    <row r="23" spans="1:8" s="42" customFormat="1" ht="23.25" x14ac:dyDescent="0.35">
      <c r="A23" s="35">
        <v>4</v>
      </c>
      <c r="B23" s="653"/>
      <c r="C23" s="656" t="str">
        <f>GINOS!B1</f>
        <v>GINOS VENTURES LIMITED</v>
      </c>
      <c r="D23" s="654"/>
      <c r="E23" s="653"/>
      <c r="F23" s="38"/>
      <c r="G23" s="38"/>
      <c r="H23" s="38"/>
    </row>
    <row r="24" spans="1:8" s="42" customFormat="1" ht="18.75" x14ac:dyDescent="0.3">
      <c r="A24" s="35"/>
      <c r="B24" s="653">
        <f>GINOS!A6</f>
        <v>743</v>
      </c>
      <c r="C24" s="653" t="str">
        <f>GINOS!B6</f>
        <v>PROLENE MESH (B/BRAUN)</v>
      </c>
      <c r="D24" s="654" t="str">
        <f>GINOS!C6</f>
        <v>PCS</v>
      </c>
      <c r="E24" s="653">
        <f>GINOS!D6</f>
        <v>120</v>
      </c>
      <c r="F24" s="38">
        <f>GINOS!E6</f>
        <v>7000</v>
      </c>
      <c r="G24" s="38">
        <f>GINOS!F6</f>
        <v>840000</v>
      </c>
      <c r="H24" s="38"/>
    </row>
    <row r="25" spans="1:8" s="42" customFormat="1" ht="23.25" x14ac:dyDescent="0.35">
      <c r="A25" s="35"/>
      <c r="B25" s="653">
        <f>GINOS!A7</f>
        <v>722</v>
      </c>
      <c r="C25" s="653" t="str">
        <f>GINOS!B7</f>
        <v>SILK 1 CUTTING 1/2 CIRCLE (ETHICON)</v>
      </c>
      <c r="D25" s="654">
        <f>GINOS!C7</f>
        <v>12</v>
      </c>
      <c r="E25" s="653">
        <f>GINOS!D7</f>
        <v>3</v>
      </c>
      <c r="F25" s="38">
        <f>GINOS!E7</f>
        <v>6000</v>
      </c>
      <c r="G25" s="38">
        <f>GINOS!F7</f>
        <v>18000</v>
      </c>
      <c r="H25" s="79">
        <f>SUM(G24:G25)</f>
        <v>858000</v>
      </c>
    </row>
    <row r="26" spans="1:8" s="42" customFormat="1" ht="18.75" x14ac:dyDescent="0.3">
      <c r="A26" s="35"/>
      <c r="B26" s="653"/>
      <c r="C26" s="653"/>
      <c r="D26" s="654"/>
      <c r="E26" s="653"/>
      <c r="F26" s="38"/>
      <c r="G26" s="38"/>
      <c r="H26" s="35"/>
    </row>
    <row r="27" spans="1:8" s="42" customFormat="1" ht="18.75" x14ac:dyDescent="0.3">
      <c r="A27" s="35"/>
      <c r="B27" s="653"/>
      <c r="C27" s="653"/>
      <c r="D27" s="654"/>
      <c r="E27" s="653"/>
      <c r="F27" s="38"/>
      <c r="G27" s="38"/>
      <c r="H27" s="35"/>
    </row>
    <row r="28" spans="1:8" s="42" customFormat="1" ht="23.25" x14ac:dyDescent="0.35">
      <c r="A28" s="35">
        <v>5</v>
      </c>
      <c r="B28" s="35"/>
      <c r="C28" s="77" t="str">
        <f>ROTECH!B1</f>
        <v>INTER-ROTECH NIGERIA LIMITED</v>
      </c>
      <c r="D28" s="648"/>
      <c r="E28" s="35"/>
      <c r="F28" s="38"/>
      <c r="G28" s="38"/>
      <c r="H28" s="38"/>
    </row>
    <row r="29" spans="1:8" s="42" customFormat="1" ht="18.75" x14ac:dyDescent="0.3">
      <c r="A29" s="35"/>
      <c r="B29" s="653">
        <f>ROTECH!A24</f>
        <v>751</v>
      </c>
      <c r="C29" s="653" t="str">
        <f>ROTECH!B24</f>
        <v>AIRWAYS ADULT SIZE 3&amp;4</v>
      </c>
      <c r="D29" s="654" t="str">
        <f>ROTECH!C24</f>
        <v>PCS</v>
      </c>
      <c r="E29" s="653">
        <f>ROTECH!D24</f>
        <v>120</v>
      </c>
      <c r="F29" s="38">
        <f>ROTECH!E24</f>
        <v>165</v>
      </c>
      <c r="G29" s="38">
        <f>ROTECH!F24</f>
        <v>19800</v>
      </c>
      <c r="H29" s="38"/>
    </row>
    <row r="30" spans="1:8" s="42" customFormat="1" ht="18.75" x14ac:dyDescent="0.3">
      <c r="A30" s="35"/>
      <c r="B30" s="653">
        <f>ROTECH!A25</f>
        <v>754</v>
      </c>
      <c r="C30" s="653" t="str">
        <f>ROTECH!B25</f>
        <v>COMBI 2 (URS - 2P)</v>
      </c>
      <c r="D30" s="654" t="str">
        <f>ROTECH!C25</f>
        <v>BOTTLE</v>
      </c>
      <c r="E30" s="653">
        <f>ROTECH!D25</f>
        <v>240</v>
      </c>
      <c r="F30" s="38">
        <f>ROTECH!E25</f>
        <v>1100</v>
      </c>
      <c r="G30" s="38">
        <f>ROTECH!F25</f>
        <v>264000</v>
      </c>
      <c r="H30" s="38"/>
    </row>
    <row r="31" spans="1:8" s="42" customFormat="1" ht="18.75" x14ac:dyDescent="0.3">
      <c r="A31" s="35"/>
      <c r="B31" s="653">
        <f>ROTECH!A26</f>
        <v>756</v>
      </c>
      <c r="C31" s="653" t="str">
        <f>ROTECH!B26</f>
        <v>DISPOSABLE THEATRE GOWN</v>
      </c>
      <c r="D31" s="654" t="str">
        <f>ROTECH!C26</f>
        <v>PCS</v>
      </c>
      <c r="E31" s="653">
        <f>ROTECH!D26</f>
        <v>160</v>
      </c>
      <c r="F31" s="38">
        <f>ROTECH!E26</f>
        <v>314</v>
      </c>
      <c r="G31" s="38">
        <f>ROTECH!F26</f>
        <v>50240</v>
      </c>
      <c r="H31" s="38"/>
    </row>
    <row r="32" spans="1:8" s="42" customFormat="1" ht="23.25" x14ac:dyDescent="0.35">
      <c r="A32" s="35"/>
      <c r="B32" s="653">
        <f>ROTECH!A27</f>
        <v>747</v>
      </c>
      <c r="C32" s="653" t="str">
        <f>ROTECH!B27</f>
        <v>ENDOTRACHEAL TUBE SIZE 7.5 (DGL)</v>
      </c>
      <c r="D32" s="654" t="str">
        <f>ROTECH!C27</f>
        <v>PACK</v>
      </c>
      <c r="E32" s="653">
        <f>ROTECH!D27</f>
        <v>72</v>
      </c>
      <c r="F32" s="38">
        <f>ROTECH!E27</f>
        <v>2240</v>
      </c>
      <c r="G32" s="38">
        <f>ROTECH!F27</f>
        <v>161280</v>
      </c>
      <c r="H32" s="79"/>
    </row>
    <row r="33" spans="1:8" s="42" customFormat="1" ht="18.75" x14ac:dyDescent="0.3">
      <c r="A33" s="35"/>
      <c r="B33" s="653">
        <f>ROTECH!A28</f>
        <v>745</v>
      </c>
      <c r="C33" s="653" t="str">
        <f>ROTECH!B28</f>
        <v>GLUTARALDEHYDE CIDEX (ASP)</v>
      </c>
      <c r="D33" s="654" t="str">
        <f>ROTECH!C28</f>
        <v>KEG</v>
      </c>
      <c r="E33" s="653">
        <f>ROTECH!D28</f>
        <v>30</v>
      </c>
      <c r="F33" s="38">
        <f>ROTECH!E28</f>
        <v>27120</v>
      </c>
      <c r="G33" s="38">
        <f>ROTECH!F28</f>
        <v>813600</v>
      </c>
      <c r="H33" s="38"/>
    </row>
    <row r="34" spans="1:8" s="42" customFormat="1" ht="23.25" x14ac:dyDescent="0.35">
      <c r="A34" s="35"/>
      <c r="B34" s="653">
        <f>ROTECH!A29</f>
        <v>749</v>
      </c>
      <c r="C34" s="653" t="str">
        <f>ROTECH!B29</f>
        <v>PURIT 4 LITRE (SAROLIFE)</v>
      </c>
      <c r="D34" s="654" t="str">
        <f>ROTECH!C29</f>
        <v>KEG</v>
      </c>
      <c r="E34" s="653">
        <f>ROTECH!D29</f>
        <v>100</v>
      </c>
      <c r="F34" s="38">
        <f>ROTECH!E29</f>
        <v>2650</v>
      </c>
      <c r="G34" s="38">
        <f>ROTECH!F29</f>
        <v>265000</v>
      </c>
      <c r="H34" s="186">
        <f>SUM(G29:G34)</f>
        <v>1573920</v>
      </c>
    </row>
    <row r="35" spans="1:8" s="42" customFormat="1" ht="18.75" x14ac:dyDescent="0.3">
      <c r="A35" s="35"/>
      <c r="B35" s="653"/>
      <c r="C35" s="653"/>
      <c r="D35" s="654"/>
      <c r="E35" s="653"/>
      <c r="F35" s="38"/>
      <c r="G35" s="38"/>
      <c r="H35" s="35"/>
    </row>
    <row r="36" spans="1:8" s="42" customFormat="1" ht="23.25" x14ac:dyDescent="0.35">
      <c r="A36" s="35">
        <v>6</v>
      </c>
      <c r="B36" s="653"/>
      <c r="C36" s="656" t="str">
        <f>PACIFIC!B1</f>
        <v>PACIFIC DIAGNOSTIC LIMITED</v>
      </c>
      <c r="D36" s="654"/>
      <c r="E36" s="653"/>
      <c r="F36" s="38"/>
      <c r="G36" s="38"/>
    </row>
    <row r="37" spans="1:8" s="42" customFormat="1" ht="18.75" x14ac:dyDescent="0.3">
      <c r="A37" s="35"/>
      <c r="B37" s="653">
        <f>PACIFIC!A6</f>
        <v>742</v>
      </c>
      <c r="C37" s="653" t="str">
        <f>PACIFIC!B6</f>
        <v xml:space="preserve"> VICRYL 6/0 ROUND BODY 1/2 CIRCLE (ETHICON)</v>
      </c>
      <c r="D37" s="654">
        <f>PACIFIC!C6</f>
        <v>12</v>
      </c>
      <c r="E37" s="653">
        <f>PACIFIC!D6</f>
        <v>12</v>
      </c>
      <c r="F37" s="38">
        <f>PACIFIC!E6</f>
        <v>19945.62</v>
      </c>
      <c r="G37" s="38">
        <f>PACIFIC!F6</f>
        <v>239347.44</v>
      </c>
      <c r="H37" s="35"/>
    </row>
    <row r="38" spans="1:8" s="42" customFormat="1" ht="18.75" x14ac:dyDescent="0.3">
      <c r="A38" s="35"/>
      <c r="B38" s="653">
        <f>PACIFIC!A7</f>
        <v>727</v>
      </c>
      <c r="C38" s="653" t="str">
        <f>PACIFIC!B7</f>
        <v>NYLON 0 ROUND BODY 1/2 CIRCLE (ETHICON)</v>
      </c>
      <c r="D38" s="654">
        <f>PACIFIC!C7</f>
        <v>12</v>
      </c>
      <c r="E38" s="653">
        <f>PACIFIC!D7</f>
        <v>10</v>
      </c>
      <c r="F38" s="38">
        <f>PACIFIC!E7</f>
        <v>8247.6</v>
      </c>
      <c r="G38" s="38">
        <f>PACIFIC!F7</f>
        <v>82476</v>
      </c>
      <c r="H38" s="35"/>
    </row>
    <row r="39" spans="1:8" s="42" customFormat="1" ht="18.75" x14ac:dyDescent="0.3">
      <c r="A39" s="35"/>
      <c r="B39" s="653">
        <f>PACIFIC!A8</f>
        <v>728</v>
      </c>
      <c r="C39" s="653" t="str">
        <f>PACIFIC!B8</f>
        <v>NYLON 1 ROUND BODY 1/2 CIRCLE (ETHICON)</v>
      </c>
      <c r="D39" s="654">
        <f>PACIFIC!C8</f>
        <v>12</v>
      </c>
      <c r="E39" s="653">
        <f>PACIFIC!D8</f>
        <v>10</v>
      </c>
      <c r="F39" s="38">
        <f>PACIFIC!E8</f>
        <v>8247.6</v>
      </c>
      <c r="G39" s="38">
        <f>PACIFIC!F8</f>
        <v>82476</v>
      </c>
      <c r="H39" s="35"/>
    </row>
    <row r="40" spans="1:8" s="42" customFormat="1" ht="18.75" x14ac:dyDescent="0.3">
      <c r="A40" s="35"/>
      <c r="B40" s="653">
        <f>PACIFIC!A9</f>
        <v>729</v>
      </c>
      <c r="C40" s="653" t="str">
        <f>PACIFIC!B9</f>
        <v>NYLON 2/0 CUTTING 1/2 CIRCLE (ETHICON)</v>
      </c>
      <c r="D40" s="654">
        <f>PACIFIC!C9</f>
        <v>12</v>
      </c>
      <c r="E40" s="653">
        <f>PACIFIC!D9</f>
        <v>12</v>
      </c>
      <c r="F40" s="38">
        <f>PACIFIC!E9</f>
        <v>9562.75</v>
      </c>
      <c r="G40" s="38">
        <f>PACIFIC!F9</f>
        <v>114753</v>
      </c>
      <c r="H40" s="35"/>
    </row>
    <row r="41" spans="1:8" s="42" customFormat="1" ht="18.75" x14ac:dyDescent="0.3">
      <c r="A41" s="35"/>
      <c r="B41" s="653">
        <f>PACIFIC!A10</f>
        <v>730</v>
      </c>
      <c r="C41" s="653" t="str">
        <f>PACIFIC!B10</f>
        <v>NYLON 4/0 CUTTING 1/2 CIRCLE</v>
      </c>
      <c r="D41" s="654">
        <f>PACIFIC!C10</f>
        <v>12</v>
      </c>
      <c r="E41" s="653">
        <f>PACIFIC!D10</f>
        <v>14</v>
      </c>
      <c r="F41" s="38">
        <f>PACIFIC!E10</f>
        <v>8966.7999999999993</v>
      </c>
      <c r="G41" s="38">
        <f>PACIFIC!F10</f>
        <v>125535.19999999998</v>
      </c>
      <c r="H41" s="35"/>
    </row>
    <row r="42" spans="1:8" s="42" customFormat="1" ht="18.75" x14ac:dyDescent="0.3">
      <c r="A42" s="35"/>
      <c r="B42" s="653">
        <f>PACIFIC!A11</f>
        <v>731</v>
      </c>
      <c r="C42" s="653" t="str">
        <f>PACIFIC!B11</f>
        <v>NYLON 9/0 ROUND  BODY 1/2 CIRCLE (AURO LAB.)</v>
      </c>
      <c r="D42" s="654">
        <f>PACIFIC!C11</f>
        <v>12</v>
      </c>
      <c r="E42" s="653">
        <f>PACIFIC!D11</f>
        <v>18</v>
      </c>
      <c r="F42" s="38">
        <f>PACIFIC!E11</f>
        <v>64654.05</v>
      </c>
      <c r="G42" s="38">
        <f>PACIFIC!F11</f>
        <v>1163772.9000000001</v>
      </c>
      <c r="H42" s="38"/>
    </row>
    <row r="43" spans="1:8" s="42" customFormat="1" ht="18.75" x14ac:dyDescent="0.3">
      <c r="A43" s="35"/>
      <c r="B43" s="653">
        <f>PACIFIC!A12</f>
        <v>724</v>
      </c>
      <c r="C43" s="653" t="str">
        <f>PACIFIC!B12</f>
        <v>SILK 2/0 CUTTING 1/2 CIRCLE (ETHICON)</v>
      </c>
      <c r="D43" s="654">
        <f>PACIFIC!C12</f>
        <v>12</v>
      </c>
      <c r="E43" s="653">
        <f>PACIFIC!D12</f>
        <v>4</v>
      </c>
      <c r="F43" s="38">
        <f>PACIFIC!E12</f>
        <v>9684.84</v>
      </c>
      <c r="G43" s="38">
        <f>PACIFIC!F12</f>
        <v>38739.360000000001</v>
      </c>
      <c r="H43" s="38"/>
    </row>
    <row r="44" spans="1:8" s="42" customFormat="1" ht="18.75" x14ac:dyDescent="0.3">
      <c r="A44" s="35"/>
      <c r="B44" s="653">
        <f>PACIFIC!A13</f>
        <v>723</v>
      </c>
      <c r="C44" s="653" t="str">
        <f>PACIFIC!B13</f>
        <v>SILK 2/0 ROUND BODY 1/2 CIRCLE (ETHICON)</v>
      </c>
      <c r="D44" s="654">
        <f>PACIFIC!C13</f>
        <v>12</v>
      </c>
      <c r="E44" s="653">
        <f>PACIFIC!D13</f>
        <v>3</v>
      </c>
      <c r="F44" s="38">
        <f>PACIFIC!E13</f>
        <v>6264</v>
      </c>
      <c r="G44" s="38">
        <f>PACIFIC!F13</f>
        <v>18792</v>
      </c>
      <c r="H44" s="38"/>
    </row>
    <row r="45" spans="1:8" s="42" customFormat="1" ht="18.75" x14ac:dyDescent="0.3">
      <c r="A45" s="35"/>
      <c r="B45" s="653">
        <f>PACIFIC!A14</f>
        <v>725</v>
      </c>
      <c r="C45" s="653" t="str">
        <f>PACIFIC!B14</f>
        <v>SILK 3/0 CUTTING 1/2 CIRCLE (ETHICON)</v>
      </c>
      <c r="D45" s="654">
        <f>PACIFIC!C14</f>
        <v>12</v>
      </c>
      <c r="E45" s="653">
        <f>PACIFIC!D14</f>
        <v>3</v>
      </c>
      <c r="F45" s="38">
        <f>PACIFIC!E14</f>
        <v>6960</v>
      </c>
      <c r="G45" s="38">
        <f>PACIFIC!F14</f>
        <v>20880</v>
      </c>
      <c r="H45" s="38"/>
    </row>
    <row r="46" spans="1:8" s="42" customFormat="1" ht="18.75" x14ac:dyDescent="0.3">
      <c r="A46" s="35"/>
      <c r="B46" s="653">
        <f>PACIFIC!A15</f>
        <v>726</v>
      </c>
      <c r="C46" s="653" t="str">
        <f>PACIFIC!B15</f>
        <v>SILK 3/0 ROUND BODY 1/2 CIRCLE (ETHICON)</v>
      </c>
      <c r="D46" s="654">
        <f>PACIFIC!C15</f>
        <v>12</v>
      </c>
      <c r="E46" s="653">
        <f>PACIFIC!D15</f>
        <v>5</v>
      </c>
      <c r="F46" s="38">
        <f>PACIFIC!E15</f>
        <v>7949.8666666666659</v>
      </c>
      <c r="G46" s="38">
        <f>PACIFIC!F15</f>
        <v>39749.333333333328</v>
      </c>
      <c r="H46" s="38"/>
    </row>
    <row r="47" spans="1:8" s="42" customFormat="1" ht="18.75" x14ac:dyDescent="0.3">
      <c r="A47" s="35"/>
      <c r="B47" s="653">
        <f>PACIFIC!A16</f>
        <v>732</v>
      </c>
      <c r="C47" s="653" t="str">
        <f>PACIFIC!B16</f>
        <v>VICRYL 0 CUTTING 1/2 CIRCLE (ETHICON)</v>
      </c>
      <c r="D47" s="654">
        <f>PACIFIC!C16</f>
        <v>12</v>
      </c>
      <c r="E47" s="653">
        <f>PACIFIC!D16</f>
        <v>12</v>
      </c>
      <c r="F47" s="38">
        <f>PACIFIC!E16</f>
        <v>14584.1</v>
      </c>
      <c r="G47" s="38">
        <f>PACIFIC!F16</f>
        <v>175009.2</v>
      </c>
      <c r="H47" s="38"/>
    </row>
    <row r="48" spans="1:8" s="42" customFormat="1" ht="18.75" x14ac:dyDescent="0.3">
      <c r="A48" s="35"/>
      <c r="B48" s="653">
        <f>PACIFIC!A17</f>
        <v>733</v>
      </c>
      <c r="C48" s="653" t="str">
        <f>PACIFIC!B17</f>
        <v>VICRYL 0 R/BODY 1/2 CIRCLE (ETHICON)</v>
      </c>
      <c r="D48" s="654">
        <f>PACIFIC!C17</f>
        <v>12</v>
      </c>
      <c r="E48" s="653">
        <f>PACIFIC!D17</f>
        <v>120</v>
      </c>
      <c r="F48" s="38">
        <f>PACIFIC!E17</f>
        <v>9108.9</v>
      </c>
      <c r="G48" s="38">
        <f>PACIFIC!F17</f>
        <v>1093068</v>
      </c>
      <c r="H48" s="38"/>
    </row>
    <row r="49" spans="1:8" s="42" customFormat="1" ht="18.75" x14ac:dyDescent="0.3">
      <c r="A49" s="35"/>
      <c r="B49" s="653">
        <f>PACIFIC!A18</f>
        <v>734</v>
      </c>
      <c r="C49" s="653" t="str">
        <f>PACIFIC!B18</f>
        <v>VICRYL 1 CUTTING 1/2 CIRCLE (ETHICON)</v>
      </c>
      <c r="D49" s="654">
        <f>PACIFIC!C18</f>
        <v>12</v>
      </c>
      <c r="E49" s="653">
        <f>PACIFIC!D18</f>
        <v>10</v>
      </c>
      <c r="F49" s="38">
        <f>PACIFIC!E18</f>
        <v>12006</v>
      </c>
      <c r="G49" s="38">
        <f>PACIFIC!F18</f>
        <v>120060</v>
      </c>
      <c r="H49" s="38"/>
    </row>
    <row r="50" spans="1:8" s="42" customFormat="1" ht="18.75" x14ac:dyDescent="0.3">
      <c r="A50" s="35"/>
      <c r="B50" s="653">
        <f>PACIFIC!A19</f>
        <v>735</v>
      </c>
      <c r="C50" s="653" t="str">
        <f>PACIFIC!B19</f>
        <v>VICRYL 1 ROUND BODY 1/2 CIRCLE (ETHICON)</v>
      </c>
      <c r="D50" s="654">
        <f>PACIFIC!C19</f>
        <v>12</v>
      </c>
      <c r="E50" s="653">
        <f>PACIFIC!D19</f>
        <v>600</v>
      </c>
      <c r="F50" s="38">
        <f>PACIFIC!E19</f>
        <v>9097.2000000000007</v>
      </c>
      <c r="G50" s="38">
        <f>PACIFIC!F19</f>
        <v>5458320</v>
      </c>
      <c r="H50" s="38"/>
    </row>
    <row r="51" spans="1:8" s="42" customFormat="1" ht="18.75" x14ac:dyDescent="0.3">
      <c r="A51" s="35"/>
      <c r="B51" s="653">
        <f>PACIFIC!A20</f>
        <v>736</v>
      </c>
      <c r="C51" s="653" t="str">
        <f>PACIFIC!B20</f>
        <v>VICRYL 2 R/BODY 1/2 CIRCLE (ETHICON)</v>
      </c>
      <c r="D51" s="654">
        <f>PACIFIC!C20</f>
        <v>12</v>
      </c>
      <c r="E51" s="653">
        <f>PACIFIC!D20</f>
        <v>54</v>
      </c>
      <c r="F51" s="38">
        <f>PACIFIC!E20</f>
        <v>11484</v>
      </c>
      <c r="G51" s="38">
        <f>PACIFIC!F20</f>
        <v>620136</v>
      </c>
      <c r="H51" s="38"/>
    </row>
    <row r="52" spans="1:8" s="42" customFormat="1" ht="18.75" x14ac:dyDescent="0.3">
      <c r="A52" s="35"/>
      <c r="B52" s="653">
        <f>PACIFIC!A21</f>
        <v>737</v>
      </c>
      <c r="C52" s="653" t="str">
        <f>PACIFIC!B21</f>
        <v>VICRYL 2/0 CUTTING 1/2 CIRCLE (ETHICON)</v>
      </c>
      <c r="D52" s="654">
        <f>PACIFIC!C21</f>
        <v>12</v>
      </c>
      <c r="E52" s="653">
        <f>PACIFIC!D21</f>
        <v>20</v>
      </c>
      <c r="F52" s="38">
        <f>PACIFIC!E21</f>
        <v>10440</v>
      </c>
      <c r="G52" s="38">
        <f>PACIFIC!F21</f>
        <v>208800</v>
      </c>
      <c r="H52" s="38"/>
    </row>
    <row r="53" spans="1:8" s="42" customFormat="1" ht="18.75" x14ac:dyDescent="0.3">
      <c r="A53" s="35"/>
      <c r="B53" s="653">
        <f>PACIFIC!A22</f>
        <v>738</v>
      </c>
      <c r="C53" s="653" t="str">
        <f>PACIFIC!B22</f>
        <v>VICRYL 2/0 ROUND BODY 1/2 CIRCLE (ETHICON)</v>
      </c>
      <c r="D53" s="654">
        <f>PACIFIC!C22</f>
        <v>12</v>
      </c>
      <c r="E53" s="653">
        <f>PACIFIC!D22</f>
        <v>600</v>
      </c>
      <c r="F53" s="38">
        <f>PACIFIC!E22</f>
        <v>8738.1</v>
      </c>
      <c r="G53" s="38">
        <f>PACIFIC!F22</f>
        <v>5242860</v>
      </c>
      <c r="H53" s="38"/>
    </row>
    <row r="54" spans="1:8" s="42" customFormat="1" ht="18.75" x14ac:dyDescent="0.3">
      <c r="A54" s="35"/>
      <c r="B54" s="653">
        <f>PACIFIC!A23</f>
        <v>739</v>
      </c>
      <c r="C54" s="653" t="str">
        <f>PACIFIC!B23</f>
        <v>VICRYL 3/0 CUTTING 1/2 CIRCLE (ETHICON)</v>
      </c>
      <c r="D54" s="654">
        <f>PACIFIC!C23</f>
        <v>12</v>
      </c>
      <c r="E54" s="653">
        <f>PACIFIC!D23</f>
        <v>20</v>
      </c>
      <c r="F54" s="38">
        <f>PACIFIC!E23</f>
        <v>9630.9</v>
      </c>
      <c r="G54" s="38">
        <f>PACIFIC!F23</f>
        <v>192618</v>
      </c>
    </row>
    <row r="55" spans="1:8" s="42" customFormat="1" ht="18.75" x14ac:dyDescent="0.3">
      <c r="A55" s="35"/>
      <c r="B55" s="653">
        <f>PACIFIC!A24</f>
        <v>740</v>
      </c>
      <c r="C55" s="653" t="str">
        <f>PACIFIC!B24</f>
        <v>VICRYL 3/0 ROUND BODY 1/2 CIRCLE (ETHICON)</v>
      </c>
      <c r="D55" s="654">
        <f>PACIFIC!C24</f>
        <v>12</v>
      </c>
      <c r="E55" s="653">
        <f>PACIFIC!D24</f>
        <v>80</v>
      </c>
      <c r="F55" s="38">
        <f>PACIFIC!E24</f>
        <v>9108.9</v>
      </c>
      <c r="G55" s="38">
        <f>PACIFIC!F24</f>
        <v>728712</v>
      </c>
      <c r="H55" s="35"/>
    </row>
    <row r="56" spans="1:8" s="42" customFormat="1" ht="23.25" x14ac:dyDescent="0.35">
      <c r="A56" s="35"/>
      <c r="B56" s="653">
        <f>PACIFIC!A25</f>
        <v>741</v>
      </c>
      <c r="C56" s="653" t="str">
        <f>PACIFIC!B25</f>
        <v>VICRYL 4/0 ROUND BODY 1/2 CIRCLE (ETHICON)</v>
      </c>
      <c r="D56" s="654">
        <f>PACIFIC!C25</f>
        <v>12</v>
      </c>
      <c r="E56" s="653">
        <f>PACIFIC!D25</f>
        <v>24</v>
      </c>
      <c r="F56" s="38">
        <f>PACIFIC!E25</f>
        <v>10570.5</v>
      </c>
      <c r="G56" s="38">
        <f>PACIFIC!F25</f>
        <v>253692</v>
      </c>
      <c r="H56" s="186">
        <f>SUM(G37:G56)</f>
        <v>16019796.433333334</v>
      </c>
    </row>
    <row r="57" spans="1:8" s="42" customFormat="1" ht="23.25" x14ac:dyDescent="0.35">
      <c r="A57" s="35"/>
      <c r="B57" s="653"/>
      <c r="C57" s="653"/>
      <c r="D57" s="654"/>
      <c r="E57" s="653"/>
      <c r="F57" s="38"/>
      <c r="G57" s="38"/>
      <c r="H57" s="79"/>
    </row>
    <row r="58" spans="1:8" s="42" customFormat="1" ht="18.75" x14ac:dyDescent="0.3">
      <c r="A58" s="35"/>
      <c r="B58" s="653"/>
      <c r="C58" s="653"/>
      <c r="D58" s="654"/>
      <c r="E58" s="653"/>
      <c r="F58" s="38"/>
      <c r="G58" s="38"/>
      <c r="H58" s="38"/>
    </row>
    <row r="59" spans="1:8" s="42" customFormat="1" ht="23.25" x14ac:dyDescent="0.35">
      <c r="A59" s="35">
        <v>7</v>
      </c>
      <c r="B59" s="35"/>
      <c r="C59" s="77" t="str">
        <f>UBASTIC!B1</f>
        <v>UBASTIC NIGERIA LIMITED</v>
      </c>
      <c r="D59" s="648"/>
      <c r="E59" s="35"/>
      <c r="F59" s="38"/>
      <c r="G59" s="38"/>
      <c r="H59" s="38"/>
    </row>
    <row r="60" spans="1:8" s="42" customFormat="1" ht="18.75" x14ac:dyDescent="0.3">
      <c r="A60" s="35"/>
      <c r="B60" s="653">
        <f>UBASTIC!A6</f>
        <v>748</v>
      </c>
      <c r="C60" s="653" t="str">
        <f>UBASTIC!B6</f>
        <v>FACE MASK (AGARY)</v>
      </c>
      <c r="D60" s="654" t="str">
        <f>UBASTIC!C6</f>
        <v>PACK</v>
      </c>
      <c r="E60" s="653">
        <f>UBASTIC!D6</f>
        <v>1200</v>
      </c>
      <c r="F60" s="38">
        <f>UBASTIC!E6</f>
        <v>375</v>
      </c>
      <c r="G60" s="38">
        <f>UBASTIC!F6</f>
        <v>450000</v>
      </c>
      <c r="H60" s="38"/>
    </row>
    <row r="61" spans="1:8" s="42" customFormat="1" ht="18.75" x14ac:dyDescent="0.3">
      <c r="A61" s="35"/>
      <c r="B61" s="653">
        <f>UBASTIC!A7</f>
        <v>757</v>
      </c>
      <c r="C61" s="653" t="str">
        <f>UBASTIC!B7</f>
        <v>SMALLEST BATTERY AAA (DURACELL)</v>
      </c>
      <c r="D61" s="654" t="str">
        <f>UBASTIC!C7</f>
        <v>PACK</v>
      </c>
      <c r="E61" s="653">
        <f>UBASTIC!D7</f>
        <v>90</v>
      </c>
      <c r="F61" s="38">
        <f>UBASTIC!E7</f>
        <v>450</v>
      </c>
      <c r="G61" s="38">
        <f>UBASTIC!F7</f>
        <v>40500</v>
      </c>
      <c r="H61" s="38"/>
    </row>
    <row r="62" spans="1:8" s="42" customFormat="1" ht="23.25" x14ac:dyDescent="0.35">
      <c r="A62" s="35"/>
      <c r="B62" s="653">
        <f>UBASTIC!A8</f>
        <v>758</v>
      </c>
      <c r="C62" s="653" t="str">
        <f>UBASTIC!B8</f>
        <v>SMALL BATTERY R6 (DURACELL)</v>
      </c>
      <c r="D62" s="654" t="str">
        <f>UBASTIC!C8</f>
        <v>PACK</v>
      </c>
      <c r="E62" s="653">
        <f>UBASTIC!D8</f>
        <v>90</v>
      </c>
      <c r="F62" s="38">
        <f>UBASTIC!E8</f>
        <v>450</v>
      </c>
      <c r="G62" s="38">
        <f>UBASTIC!F8</f>
        <v>40500</v>
      </c>
      <c r="H62" s="186">
        <f>SUM(G60:G62)</f>
        <v>531000</v>
      </c>
    </row>
    <row r="63" spans="1:8" s="42" customFormat="1" ht="18.75" x14ac:dyDescent="0.3">
      <c r="A63" s="35"/>
      <c r="B63" s="653"/>
      <c r="C63" s="653"/>
      <c r="D63" s="654"/>
      <c r="E63" s="653"/>
      <c r="F63" s="38"/>
      <c r="G63" s="38"/>
      <c r="H63" s="38"/>
    </row>
    <row r="64" spans="1:8" ht="21.75" thickBot="1" x14ac:dyDescent="0.4">
      <c r="A64" s="35"/>
      <c r="B64" s="35"/>
      <c r="C64" s="188"/>
      <c r="D64" s="647"/>
      <c r="E64" s="189"/>
      <c r="F64" s="190"/>
      <c r="G64" s="191"/>
      <c r="H64" s="185"/>
    </row>
    <row r="65" spans="1:8" ht="27" thickBot="1" x14ac:dyDescent="0.45">
      <c r="A65" s="35"/>
      <c r="B65" s="35"/>
      <c r="C65" s="188"/>
      <c r="D65" s="647"/>
      <c r="E65" s="189"/>
      <c r="F65" s="190"/>
      <c r="G65" s="193" t="s">
        <v>666</v>
      </c>
      <c r="H65" s="194">
        <f>SUM(H7:H63)</f>
        <v>27845316.433333334</v>
      </c>
    </row>
    <row r="76" spans="1:8" ht="31.5" x14ac:dyDescent="0.5">
      <c r="C76" s="843" t="s">
        <v>2160</v>
      </c>
      <c r="D76" s="843"/>
      <c r="E76" s="843"/>
      <c r="F76" s="843"/>
      <c r="G76" s="843"/>
    </row>
    <row r="78" spans="1:8" s="80" customFormat="1" ht="26.25" x14ac:dyDescent="0.4">
      <c r="A78" s="42"/>
      <c r="B78" s="35"/>
      <c r="C78" s="646" t="s">
        <v>917</v>
      </c>
      <c r="D78" s="849" t="s">
        <v>918</v>
      </c>
      <c r="E78" s="849"/>
      <c r="F78" s="849"/>
      <c r="G78" s="849"/>
    </row>
    <row r="79" spans="1:8" s="80" customFormat="1" x14ac:dyDescent="0.35">
      <c r="A79" s="42"/>
      <c r="B79" s="35"/>
      <c r="C79" s="188"/>
      <c r="D79" s="845"/>
      <c r="E79" s="845"/>
      <c r="F79" s="845"/>
      <c r="G79" s="845"/>
    </row>
    <row r="80" spans="1:8" s="80" customFormat="1" x14ac:dyDescent="0.35">
      <c r="A80" s="42"/>
      <c r="B80" s="35">
        <v>1</v>
      </c>
      <c r="C80" s="35" t="str">
        <f>C7</f>
        <v>COSMADE EASY MEDICALS LIMITED</v>
      </c>
      <c r="D80" s="841">
        <f>H8</f>
        <v>148400</v>
      </c>
      <c r="E80" s="842"/>
      <c r="F80" s="842"/>
      <c r="G80" s="842"/>
    </row>
    <row r="81" spans="1:7" s="80" customFormat="1" x14ac:dyDescent="0.35">
      <c r="A81" s="42"/>
      <c r="B81" s="35">
        <f>1+B80</f>
        <v>2</v>
      </c>
      <c r="C81" s="35" t="str">
        <f>C11</f>
        <v>DE SANCON &amp; ASSOCIATES LIMITED</v>
      </c>
      <c r="D81" s="841">
        <f>H14</f>
        <v>3092000</v>
      </c>
      <c r="E81" s="842"/>
      <c r="F81" s="842"/>
      <c r="G81" s="842"/>
    </row>
    <row r="82" spans="1:7" s="80" customFormat="1" x14ac:dyDescent="0.35">
      <c r="A82" s="42"/>
      <c r="B82" s="35">
        <f t="shared" ref="B82:B86" si="0">1+B81</f>
        <v>3</v>
      </c>
      <c r="C82" s="35" t="str">
        <f>C17</f>
        <v>DYNAMIC ANCHOR SOURCE LIMITED</v>
      </c>
      <c r="D82" s="841">
        <f>H20</f>
        <v>5622200</v>
      </c>
      <c r="E82" s="842"/>
      <c r="F82" s="842"/>
      <c r="G82" s="842"/>
    </row>
    <row r="83" spans="1:7" s="80" customFormat="1" x14ac:dyDescent="0.35">
      <c r="A83" s="42"/>
      <c r="B83" s="35">
        <f t="shared" si="0"/>
        <v>4</v>
      </c>
      <c r="C83" s="653" t="str">
        <f>C23</f>
        <v>GINOS VENTURES LIMITED</v>
      </c>
      <c r="D83" s="841">
        <f>H25</f>
        <v>858000</v>
      </c>
      <c r="E83" s="842"/>
      <c r="F83" s="842"/>
      <c r="G83" s="842"/>
    </row>
    <row r="84" spans="1:7" s="80" customFormat="1" x14ac:dyDescent="0.35">
      <c r="A84" s="42"/>
      <c r="B84" s="35">
        <f t="shared" si="0"/>
        <v>5</v>
      </c>
      <c r="C84" s="35" t="str">
        <f>C28</f>
        <v>INTER-ROTECH NIGERIA LIMITED</v>
      </c>
      <c r="D84" s="841">
        <f>H34</f>
        <v>1573920</v>
      </c>
      <c r="E84" s="842"/>
      <c r="F84" s="842"/>
      <c r="G84" s="842"/>
    </row>
    <row r="85" spans="1:7" s="80" customFormat="1" x14ac:dyDescent="0.35">
      <c r="A85" s="42"/>
      <c r="B85" s="35">
        <f t="shared" si="0"/>
        <v>6</v>
      </c>
      <c r="C85" s="653" t="str">
        <f>C36</f>
        <v>PACIFIC DIAGNOSTIC LIMITED</v>
      </c>
      <c r="D85" s="841">
        <f>H56</f>
        <v>16019796.433333334</v>
      </c>
      <c r="E85" s="842"/>
      <c r="F85" s="842"/>
      <c r="G85" s="842"/>
    </row>
    <row r="86" spans="1:7" s="80" customFormat="1" x14ac:dyDescent="0.35">
      <c r="A86" s="42"/>
      <c r="B86" s="35">
        <f t="shared" si="0"/>
        <v>7</v>
      </c>
      <c r="C86" s="35" t="str">
        <f>C59</f>
        <v>UBASTIC NIGERIA LIMITED</v>
      </c>
      <c r="D86" s="841">
        <f>H62</f>
        <v>531000</v>
      </c>
      <c r="E86" s="842"/>
      <c r="F86" s="842"/>
      <c r="G86" s="842"/>
    </row>
    <row r="87" spans="1:7" s="80" customFormat="1" ht="21.75" thickBot="1" x14ac:dyDescent="0.4">
      <c r="A87" s="42"/>
      <c r="B87" s="42"/>
      <c r="C87" s="8"/>
      <c r="D87" s="836"/>
      <c r="E87" s="836"/>
      <c r="F87" s="836"/>
      <c r="G87" s="836"/>
    </row>
    <row r="88" spans="1:7" s="80" customFormat="1" ht="29.25" thickBot="1" x14ac:dyDescent="0.5">
      <c r="A88" s="42"/>
      <c r="B88" s="42"/>
      <c r="C88" s="8"/>
      <c r="D88" s="846">
        <f>SUM(D80:G86)</f>
        <v>27845316.433333334</v>
      </c>
      <c r="E88" s="847"/>
      <c r="F88" s="847"/>
      <c r="G88" s="848"/>
    </row>
    <row r="89" spans="1:7" s="80" customFormat="1" x14ac:dyDescent="0.35">
      <c r="A89" s="42"/>
      <c r="B89" s="42"/>
      <c r="C89" s="8"/>
      <c r="D89" s="836"/>
      <c r="E89" s="836"/>
      <c r="F89" s="836"/>
      <c r="G89" s="836"/>
    </row>
    <row r="90" spans="1:7" s="80" customFormat="1" x14ac:dyDescent="0.35">
      <c r="A90" s="42"/>
      <c r="B90" s="42"/>
      <c r="C90" s="8"/>
      <c r="D90" s="836"/>
      <c r="E90" s="836"/>
      <c r="F90" s="836"/>
      <c r="G90" s="836"/>
    </row>
    <row r="91" spans="1:7" s="80" customFormat="1" x14ac:dyDescent="0.35">
      <c r="A91" s="42"/>
      <c r="B91" s="42"/>
      <c r="C91" s="8"/>
      <c r="D91" s="836"/>
      <c r="E91" s="836"/>
      <c r="F91" s="836"/>
      <c r="G91" s="836"/>
    </row>
    <row r="92" spans="1:7" s="80" customFormat="1" x14ac:dyDescent="0.35">
      <c r="A92" s="42"/>
      <c r="B92" s="42"/>
      <c r="C92" s="8"/>
      <c r="D92" s="836"/>
      <c r="E92" s="836"/>
      <c r="F92" s="836"/>
      <c r="G92" s="836"/>
    </row>
    <row r="93" spans="1:7" s="80" customFormat="1" x14ac:dyDescent="0.35">
      <c r="A93" s="42"/>
      <c r="B93" s="42"/>
      <c r="C93" s="8"/>
      <c r="D93" s="836"/>
      <c r="E93" s="836"/>
      <c r="F93" s="836"/>
      <c r="G93" s="836"/>
    </row>
  </sheetData>
  <mergeCells count="21">
    <mergeCell ref="D93:G93"/>
    <mergeCell ref="D87:G87"/>
    <mergeCell ref="D81:G81"/>
    <mergeCell ref="D82:G82"/>
    <mergeCell ref="D83:G83"/>
    <mergeCell ref="D84:G84"/>
    <mergeCell ref="D85:G85"/>
    <mergeCell ref="D86:G86"/>
    <mergeCell ref="D88:G88"/>
    <mergeCell ref="D89:G89"/>
    <mergeCell ref="D90:G90"/>
    <mergeCell ref="D91:G91"/>
    <mergeCell ref="D92:G92"/>
    <mergeCell ref="D80:G80"/>
    <mergeCell ref="A3:H3"/>
    <mergeCell ref="C76:G76"/>
    <mergeCell ref="A1:H1"/>
    <mergeCell ref="A2:H2"/>
    <mergeCell ref="A4:H4"/>
    <mergeCell ref="D78:G78"/>
    <mergeCell ref="D79:G79"/>
  </mergeCells>
  <pageMargins left="0.25" right="0.25" top="0.32" bottom="0.31" header="0.3" footer="0.3"/>
  <pageSetup paperSize="9" scale="69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H108"/>
  <sheetViews>
    <sheetView view="pageBreakPreview" zoomScale="70" zoomScaleNormal="70" zoomScaleSheetLayoutView="70" workbookViewId="0">
      <selection activeCell="D92" sqref="D92:G92"/>
    </sheetView>
  </sheetViews>
  <sheetFormatPr defaultColWidth="20" defaultRowHeight="21" x14ac:dyDescent="0.35"/>
  <cols>
    <col min="1" max="1" width="6.85546875" style="42" customWidth="1"/>
    <col min="2" max="2" width="10.140625" style="42" bestFit="1" customWidth="1"/>
    <col min="3" max="3" width="90.140625" style="8" customWidth="1"/>
    <col min="4" max="4" width="16" style="649" customWidth="1"/>
    <col min="5" max="5" width="13.5703125" style="75" customWidth="1"/>
    <col min="6" max="6" width="20.140625" style="71" bestFit="1" customWidth="1"/>
    <col min="7" max="7" width="20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2161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CODIX!B1</f>
        <v>CODIX PHARMACEUTICALS LIMITED</v>
      </c>
      <c r="D7" s="648"/>
      <c r="E7" s="35"/>
      <c r="F7" s="38"/>
      <c r="G7" s="38"/>
      <c r="H7" s="38"/>
    </row>
    <row r="8" spans="1:8" s="42" customFormat="1" ht="18.75" x14ac:dyDescent="0.3">
      <c r="A8" s="35"/>
      <c r="B8" s="653">
        <f>CODIX!A13</f>
        <v>1008</v>
      </c>
      <c r="C8" s="653" t="str">
        <f>CODIX!B13</f>
        <v>GLYCOSYLATED HAEMOGLOBIN (HbA1c) (COVER A1c CARTRIDGES)</v>
      </c>
      <c r="D8" s="654" t="str">
        <f>CODIX!C13</f>
        <v>1*10</v>
      </c>
      <c r="E8" s="653">
        <f>CODIX!D13</f>
        <v>72</v>
      </c>
      <c r="F8" s="38">
        <f>CODIX!E13</f>
        <v>19200</v>
      </c>
      <c r="G8" s="38">
        <f>CODIX!F13</f>
        <v>1382400</v>
      </c>
      <c r="H8" s="38"/>
    </row>
    <row r="9" spans="1:8" s="42" customFormat="1" ht="18.75" x14ac:dyDescent="0.3">
      <c r="A9" s="35"/>
      <c r="B9" s="653">
        <f>CODIX!A14</f>
        <v>1001</v>
      </c>
      <c r="C9" s="653" t="str">
        <f>CODIX!B14</f>
        <v>PROSTRATE SPECIFIC ANTIGEN (PSA) (SELEX ONCATRIDGE)</v>
      </c>
      <c r="D9" s="654" t="str">
        <f>CODIX!C14</f>
        <v>1*20</v>
      </c>
      <c r="E9" s="653">
        <f>CODIX!D14</f>
        <v>36</v>
      </c>
      <c r="F9" s="38">
        <f>CODIX!E14</f>
        <v>23040</v>
      </c>
      <c r="G9" s="38">
        <f>CODIX!F14</f>
        <v>829440</v>
      </c>
      <c r="H9" s="38"/>
    </row>
    <row r="10" spans="1:8" s="42" customFormat="1" ht="18.75" x14ac:dyDescent="0.3">
      <c r="A10" s="35"/>
      <c r="B10" s="653">
        <f>CODIX!A15</f>
        <v>1007</v>
      </c>
      <c r="C10" s="653" t="str">
        <f>CODIX!B15</f>
        <v>TETRA-IODOTHYRONINE/THYROXINE (T4) (SELEXONCARTRIDGE)</v>
      </c>
      <c r="D10" s="654" t="str">
        <f>CODIX!C15</f>
        <v>1*20</v>
      </c>
      <c r="E10" s="653">
        <f>CODIX!D15</f>
        <v>15</v>
      </c>
      <c r="F10" s="38">
        <f>CODIX!E15</f>
        <v>23040</v>
      </c>
      <c r="G10" s="38">
        <f>CODIX!F15</f>
        <v>345600</v>
      </c>
      <c r="H10" s="38"/>
    </row>
    <row r="11" spans="1:8" s="42" customFormat="1" ht="18.75" x14ac:dyDescent="0.3">
      <c r="A11" s="35"/>
      <c r="B11" s="653">
        <f>CODIX!A16</f>
        <v>1006</v>
      </c>
      <c r="C11" s="653" t="str">
        <f>CODIX!B16</f>
        <v>THYROID STIMULATING HORMONE (TSH) SELEXONCARTRIDGE</v>
      </c>
      <c r="D11" s="654" t="str">
        <f>CODIX!C16</f>
        <v>1*20</v>
      </c>
      <c r="E11" s="653">
        <f>CODIX!D16</f>
        <v>20</v>
      </c>
      <c r="F11" s="38">
        <f>CODIX!E16</f>
        <v>23040</v>
      </c>
      <c r="G11" s="38">
        <f>CODIX!F16</f>
        <v>460800</v>
      </c>
      <c r="H11" s="38"/>
    </row>
    <row r="12" spans="1:8" s="42" customFormat="1" ht="23.25" x14ac:dyDescent="0.35">
      <c r="A12" s="35"/>
      <c r="B12" s="653">
        <f>CODIX!A17</f>
        <v>1009</v>
      </c>
      <c r="C12" s="653" t="str">
        <f>CODIX!B17</f>
        <v>TRI-IODOTHYRONINE (T3) (SELEXOCARTRIDGES)</v>
      </c>
      <c r="D12" s="654" t="str">
        <f>CODIX!C17</f>
        <v>1*20</v>
      </c>
      <c r="E12" s="653">
        <f>CODIX!D17</f>
        <v>15</v>
      </c>
      <c r="F12" s="38">
        <f>CODIX!E17</f>
        <v>23040</v>
      </c>
      <c r="G12" s="38">
        <f>CODIX!F17</f>
        <v>345600</v>
      </c>
      <c r="H12" s="79">
        <f>SUM(G8:G12)</f>
        <v>3363840</v>
      </c>
    </row>
    <row r="13" spans="1:8" s="42" customFormat="1" ht="18.75" x14ac:dyDescent="0.3">
      <c r="A13" s="35"/>
      <c r="B13" s="653"/>
      <c r="C13" s="653"/>
      <c r="D13" s="654"/>
      <c r="E13" s="653"/>
      <c r="F13" s="38"/>
      <c r="G13" s="38"/>
      <c r="H13" s="38"/>
    </row>
    <row r="14" spans="1:8" s="42" customFormat="1" ht="18.75" x14ac:dyDescent="0.3">
      <c r="A14" s="35"/>
      <c r="B14" s="35"/>
      <c r="C14" s="35"/>
      <c r="D14" s="648"/>
      <c r="E14" s="35"/>
      <c r="F14" s="38"/>
      <c r="G14" s="38"/>
      <c r="H14" s="38"/>
    </row>
    <row r="15" spans="1:8" s="42" customFormat="1" ht="23.25" x14ac:dyDescent="0.35">
      <c r="A15" s="35">
        <v>2</v>
      </c>
      <c r="B15" s="35"/>
      <c r="C15" s="77" t="str">
        <f>COSMADE!B1</f>
        <v>COSMADE EASY MEDICALS LIMITED</v>
      </c>
      <c r="D15" s="648"/>
      <c r="E15" s="35"/>
      <c r="F15" s="38"/>
      <c r="G15" s="38"/>
      <c r="H15" s="38"/>
    </row>
    <row r="16" spans="1:8" s="42" customFormat="1" ht="23.25" x14ac:dyDescent="0.35">
      <c r="A16" s="35"/>
      <c r="B16" s="653">
        <f>COSMADE!A51</f>
        <v>1030</v>
      </c>
      <c r="C16" s="653" t="str">
        <f>COSMADE!B51</f>
        <v>FREE T3 - ELISA KIT (MONOBIND)</v>
      </c>
      <c r="D16" s="654" t="str">
        <f>COSMADE!C51</f>
        <v>96 wells</v>
      </c>
      <c r="E16" s="653">
        <f>COSMADE!D51</f>
        <v>8</v>
      </c>
      <c r="F16" s="38">
        <f>COSMADE!E51</f>
        <v>35000</v>
      </c>
      <c r="G16" s="38">
        <f>COSMADE!F51</f>
        <v>280000</v>
      </c>
      <c r="H16" s="79">
        <f>SUM(G16:G16)</f>
        <v>280000</v>
      </c>
    </row>
    <row r="17" spans="1:8" s="42" customFormat="1" ht="18.75" x14ac:dyDescent="0.3">
      <c r="A17" s="35"/>
      <c r="B17" s="35"/>
      <c r="C17" s="35"/>
      <c r="D17" s="648"/>
      <c r="E17" s="35"/>
      <c r="F17" s="38"/>
      <c r="G17" s="38"/>
      <c r="H17" s="38"/>
    </row>
    <row r="18" spans="1:8" s="42" customFormat="1" ht="23.25" x14ac:dyDescent="0.35">
      <c r="A18" s="35">
        <v>3</v>
      </c>
      <c r="B18" s="35"/>
      <c r="C18" s="77" t="str">
        <f>SANCON!B1</f>
        <v>DE SANCON &amp; ASSOCIATES LIMITED</v>
      </c>
      <c r="D18" s="648"/>
      <c r="E18" s="35"/>
      <c r="F18" s="38"/>
      <c r="G18" s="38"/>
      <c r="H18" s="38"/>
    </row>
    <row r="19" spans="1:8" s="42" customFormat="1" ht="18.75" x14ac:dyDescent="0.3">
      <c r="A19" s="35"/>
      <c r="B19" s="653">
        <f>SANCON!A79</f>
        <v>1013</v>
      </c>
      <c r="C19" s="653" t="str">
        <f>SANCON!B79</f>
        <v>1000ul FIN PIPETTE TIPS (BLUE)</v>
      </c>
      <c r="D19" s="654" t="str">
        <f>SANCON!C79</f>
        <v>1*500</v>
      </c>
      <c r="E19" s="653">
        <f>SANCON!D79</f>
        <v>60</v>
      </c>
      <c r="F19" s="38">
        <f>SANCON!E79</f>
        <v>900</v>
      </c>
      <c r="G19" s="38">
        <f>SANCON!F79</f>
        <v>54000</v>
      </c>
    </row>
    <row r="20" spans="1:8" s="42" customFormat="1" ht="23.25" x14ac:dyDescent="0.35">
      <c r="A20" s="35"/>
      <c r="B20" s="653">
        <f>SANCON!A80</f>
        <v>998</v>
      </c>
      <c r="C20" s="653" t="str">
        <f>SANCON!B80</f>
        <v>ALBUMIN KIT (RANDOX)</v>
      </c>
      <c r="D20" s="654" t="str">
        <f>SANCON!C80</f>
        <v>6*30ML</v>
      </c>
      <c r="E20" s="653">
        <f>SANCON!D80</f>
        <v>16</v>
      </c>
      <c r="F20" s="38">
        <f>SANCON!E80</f>
        <v>18500</v>
      </c>
      <c r="G20" s="38">
        <f>SANCON!F80</f>
        <v>296000</v>
      </c>
      <c r="H20" s="79"/>
    </row>
    <row r="21" spans="1:8" s="42" customFormat="1" ht="23.25" x14ac:dyDescent="0.35">
      <c r="A21" s="35"/>
      <c r="B21" s="653">
        <f>SANCON!A81</f>
        <v>983</v>
      </c>
      <c r="C21" s="653" t="str">
        <f>SANCON!B81</f>
        <v>CALCIUM KIT (RANDOX)</v>
      </c>
      <c r="D21" s="654" t="str">
        <f>SANCON!C81</f>
        <v>2*100ML</v>
      </c>
      <c r="E21" s="653">
        <f>SANCON!D81</f>
        <v>24</v>
      </c>
      <c r="F21" s="38">
        <f>SANCON!E81</f>
        <v>15500</v>
      </c>
      <c r="G21" s="38">
        <f>SANCON!F81</f>
        <v>372000</v>
      </c>
      <c r="H21" s="79"/>
    </row>
    <row r="22" spans="1:8" s="42" customFormat="1" ht="23.25" x14ac:dyDescent="0.35">
      <c r="A22" s="35"/>
      <c r="B22" s="653">
        <f>SANCON!A82</f>
        <v>986</v>
      </c>
      <c r="C22" s="653" t="str">
        <f>SANCON!B82</f>
        <v>CREATININE KIT (QCA)</v>
      </c>
      <c r="D22" s="654" t="str">
        <f>SANCON!C82</f>
        <v>2*100ML</v>
      </c>
      <c r="E22" s="653">
        <f>SANCON!D82</f>
        <v>60</v>
      </c>
      <c r="F22" s="38">
        <f>SANCON!E82</f>
        <v>10500</v>
      </c>
      <c r="G22" s="38">
        <f>SANCON!F82</f>
        <v>630000</v>
      </c>
      <c r="H22" s="79"/>
    </row>
    <row r="23" spans="1:8" s="42" customFormat="1" ht="23.25" x14ac:dyDescent="0.35">
      <c r="A23" s="35"/>
      <c r="B23" s="653">
        <f>SANCON!A83</f>
        <v>985</v>
      </c>
      <c r="C23" s="653" t="str">
        <f>SANCON!B83</f>
        <v>UREA KIT (RANDOX)</v>
      </c>
      <c r="D23" s="654">
        <f>SANCON!C83</f>
        <v>0</v>
      </c>
      <c r="E23" s="653">
        <f>SANCON!D83</f>
        <v>60</v>
      </c>
      <c r="F23" s="38">
        <f>SANCON!E83</f>
        <v>9900</v>
      </c>
      <c r="G23" s="38">
        <f>SANCON!F83</f>
        <v>594000</v>
      </c>
      <c r="H23" s="79"/>
    </row>
    <row r="24" spans="1:8" s="42" customFormat="1" ht="23.25" x14ac:dyDescent="0.35">
      <c r="A24" s="35"/>
      <c r="B24" s="653">
        <f>SANCON!A84</f>
        <v>999</v>
      </c>
      <c r="C24" s="653" t="str">
        <f>SANCON!B84</f>
        <v>URIC ACID KIT (RANDOX)</v>
      </c>
      <c r="D24" s="654" t="str">
        <f>SANCON!C84</f>
        <v>6*15ML</v>
      </c>
      <c r="E24" s="653">
        <f>SANCON!D84</f>
        <v>20</v>
      </c>
      <c r="F24" s="38">
        <f>SANCON!E84</f>
        <v>12000</v>
      </c>
      <c r="G24" s="38">
        <f>SANCON!F84</f>
        <v>240000</v>
      </c>
      <c r="H24" s="79"/>
    </row>
    <row r="25" spans="1:8" s="42" customFormat="1" ht="23.25" x14ac:dyDescent="0.35">
      <c r="A25" s="35"/>
      <c r="B25" s="653">
        <f>SANCON!A85</f>
        <v>1015</v>
      </c>
      <c r="C25" s="653" t="str">
        <f>SANCON!B85</f>
        <v>5ML HEPARIN VACUUM TUBE (SILVER HEALTH DIAGNOSTIC)</v>
      </c>
      <c r="D25" s="654" t="str">
        <f>SANCON!C85</f>
        <v>1*1000</v>
      </c>
      <c r="E25" s="653">
        <f>SANCON!D85</f>
        <v>28</v>
      </c>
      <c r="F25" s="38">
        <f>SANCON!E85</f>
        <v>18000</v>
      </c>
      <c r="G25" s="38">
        <f>SANCON!F85</f>
        <v>504000</v>
      </c>
      <c r="H25" s="79"/>
    </row>
    <row r="26" spans="1:8" s="42" customFormat="1" ht="23.25" x14ac:dyDescent="0.35">
      <c r="A26" s="35"/>
      <c r="B26" s="653">
        <f>SANCON!A86</f>
        <v>1021</v>
      </c>
      <c r="C26" s="653" t="str">
        <f>SANCON!B86</f>
        <v>5ML FLUORIDE VACUUM TUBE (SILVER HEALTH DIAGNOSTIC)</v>
      </c>
      <c r="D26" s="654" t="str">
        <f>SANCON!C86</f>
        <v>1*1000</v>
      </c>
      <c r="E26" s="653">
        <f>SANCON!D86</f>
        <v>20</v>
      </c>
      <c r="F26" s="38">
        <f>SANCON!E86</f>
        <v>18000</v>
      </c>
      <c r="G26" s="38">
        <f>SANCON!F86</f>
        <v>360000</v>
      </c>
      <c r="H26" s="79">
        <f>SUM(G19:G26)</f>
        <v>3050000</v>
      </c>
    </row>
    <row r="27" spans="1:8" s="42" customFormat="1" ht="23.25" x14ac:dyDescent="0.35">
      <c r="A27" s="35"/>
      <c r="B27" s="653"/>
      <c r="C27" s="653"/>
      <c r="D27" s="654"/>
      <c r="E27" s="653"/>
      <c r="F27" s="38"/>
      <c r="G27" s="38"/>
      <c r="H27" s="79"/>
    </row>
    <row r="28" spans="1:8" s="42" customFormat="1" ht="23.25" x14ac:dyDescent="0.35">
      <c r="A28" s="35">
        <v>4</v>
      </c>
      <c r="B28" s="653"/>
      <c r="C28" s="656" t="str">
        <f>DYNAMIC!B1</f>
        <v>DYNAMIC ANCHOR SOURCE LIMITED</v>
      </c>
      <c r="D28" s="654"/>
      <c r="E28" s="653"/>
      <c r="F28" s="38"/>
      <c r="G28" s="38"/>
      <c r="H28" s="38"/>
    </row>
    <row r="29" spans="1:8" s="42" customFormat="1" ht="18.75" x14ac:dyDescent="0.3">
      <c r="A29" s="35"/>
      <c r="B29" s="653">
        <f>DYNAMIC!A61</f>
        <v>991</v>
      </c>
      <c r="C29" s="653" t="str">
        <f>DYNAMIC!B61</f>
        <v>COMBI 10 URINE STRIP (UNISCREEN)</v>
      </c>
      <c r="D29" s="654" t="str">
        <f>DYNAMIC!C61</f>
        <v>1*100pcs</v>
      </c>
      <c r="E29" s="653">
        <f>DYNAMIC!D61</f>
        <v>100</v>
      </c>
      <c r="F29" s="38">
        <f>DYNAMIC!E61</f>
        <v>1875</v>
      </c>
      <c r="G29" s="38">
        <f>DYNAMIC!F61</f>
        <v>187500</v>
      </c>
      <c r="H29" s="38"/>
    </row>
    <row r="30" spans="1:8" s="42" customFormat="1" ht="18.75" x14ac:dyDescent="0.3">
      <c r="A30" s="35"/>
      <c r="B30" s="653">
        <f>DYNAMIC!A62</f>
        <v>1014</v>
      </c>
      <c r="C30" s="653" t="str">
        <f>DYNAMIC!B62</f>
        <v>5ML PLAIN VACUUM TUBE (SILVER HEALTH DIAGNOSTIC)</v>
      </c>
      <c r="D30" s="654" t="str">
        <f>DYNAMIC!C62</f>
        <v>1*1000</v>
      </c>
      <c r="E30" s="653">
        <f>DYNAMIC!D62</f>
        <v>20</v>
      </c>
      <c r="F30" s="38">
        <f>DYNAMIC!E62</f>
        <v>19375</v>
      </c>
      <c r="G30" s="38">
        <f>DYNAMIC!F62</f>
        <v>387500</v>
      </c>
      <c r="H30" s="38"/>
    </row>
    <row r="31" spans="1:8" s="42" customFormat="1" ht="18.75" x14ac:dyDescent="0.3">
      <c r="A31" s="35"/>
      <c r="B31" s="653">
        <f>DYNAMIC!A63</f>
        <v>1016</v>
      </c>
      <c r="C31" s="653" t="str">
        <f>DYNAMIC!B63</f>
        <v>UNIVERSAL PLASTIC BOTTLES  (SILVER HEALTH DIAGNOSTIC)</v>
      </c>
      <c r="D31" s="654" t="str">
        <f>DYNAMIC!C63</f>
        <v>1*1000</v>
      </c>
      <c r="E31" s="653">
        <f>DYNAMIC!D63</f>
        <v>24</v>
      </c>
      <c r="F31" s="38">
        <f>DYNAMIC!E63</f>
        <v>13125</v>
      </c>
      <c r="G31" s="38">
        <f>DYNAMIC!F63</f>
        <v>315000</v>
      </c>
      <c r="H31" s="35"/>
    </row>
    <row r="32" spans="1:8" s="42" customFormat="1" ht="18.75" x14ac:dyDescent="0.3">
      <c r="A32" s="35"/>
      <c r="B32" s="653">
        <f>DYNAMIC!A64</f>
        <v>1020</v>
      </c>
      <c r="C32" s="653" t="str">
        <f>DYNAMIC!B64</f>
        <v>5ML EDTA VACUUM TUBE (SILVER HEALTH DIAGNOSTIC)</v>
      </c>
      <c r="D32" s="654" t="str">
        <f>DYNAMIC!C64</f>
        <v>1*1000</v>
      </c>
      <c r="E32" s="653">
        <f>DYNAMIC!D64</f>
        <v>1</v>
      </c>
      <c r="F32" s="38">
        <f>DYNAMIC!E64</f>
        <v>19375</v>
      </c>
      <c r="G32" s="38">
        <f>DYNAMIC!F64</f>
        <v>19375</v>
      </c>
      <c r="H32" s="38"/>
    </row>
    <row r="33" spans="1:8" s="42" customFormat="1" ht="23.25" x14ac:dyDescent="0.35">
      <c r="A33" s="35"/>
      <c r="B33" s="653">
        <f>DYNAMIC!A65</f>
        <v>1028</v>
      </c>
      <c r="C33" s="653" t="str">
        <f>DYNAMIC!B65</f>
        <v>HAND SANITIZER (STERLINK)</v>
      </c>
      <c r="D33" s="654" t="str">
        <f>DYNAMIC!C65</f>
        <v>100ml</v>
      </c>
      <c r="E33" s="653">
        <f>DYNAMIC!D65</f>
        <v>80</v>
      </c>
      <c r="F33" s="38">
        <f>DYNAMIC!E65</f>
        <v>125</v>
      </c>
      <c r="G33" s="38">
        <f>DYNAMIC!F65</f>
        <v>10000</v>
      </c>
      <c r="H33" s="79">
        <f>SUM(G29:G33)</f>
        <v>919375</v>
      </c>
    </row>
    <row r="34" spans="1:8" s="42" customFormat="1" ht="18.75" x14ac:dyDescent="0.3">
      <c r="A34" s="35"/>
      <c r="B34" s="653"/>
      <c r="C34" s="653"/>
      <c r="D34" s="654"/>
      <c r="E34" s="653"/>
      <c r="F34" s="38"/>
      <c r="G34" s="38"/>
      <c r="H34" s="38"/>
    </row>
    <row r="35" spans="1:8" s="42" customFormat="1" ht="23.25" x14ac:dyDescent="0.35">
      <c r="A35" s="35">
        <v>5</v>
      </c>
      <c r="B35" s="653"/>
      <c r="C35" s="656" t="str">
        <f>ROTECH!B1</f>
        <v>INTER-ROTECH NIGERIA LIMITED</v>
      </c>
      <c r="D35" s="654"/>
      <c r="E35" s="653"/>
      <c r="F35" s="38"/>
      <c r="G35" s="38"/>
      <c r="H35" s="38"/>
    </row>
    <row r="36" spans="1:8" s="42" customFormat="1" ht="18.75" x14ac:dyDescent="0.3">
      <c r="A36" s="35"/>
      <c r="B36" s="653">
        <f>ROTECH!A46</f>
        <v>1012</v>
      </c>
      <c r="C36" s="653" t="str">
        <f>ROTECH!B46</f>
        <v xml:space="preserve">100ul FIN PIPETTE TIPS (YELLOW) </v>
      </c>
      <c r="D36" s="654" t="str">
        <f>ROTECH!C46</f>
        <v>1*500</v>
      </c>
      <c r="E36" s="653">
        <f>ROTECH!D46</f>
        <v>80</v>
      </c>
      <c r="F36" s="38">
        <f>ROTECH!E46</f>
        <v>800</v>
      </c>
      <c r="G36" s="38">
        <f>ROTECH!F46</f>
        <v>64000</v>
      </c>
      <c r="H36" s="38"/>
    </row>
    <row r="37" spans="1:8" s="42" customFormat="1" ht="23.25" x14ac:dyDescent="0.35">
      <c r="A37" s="35"/>
      <c r="B37" s="653">
        <f>ROTECH!A47</f>
        <v>982</v>
      </c>
      <c r="C37" s="653" t="str">
        <f>ROTECH!B47</f>
        <v>CHOLESTEROL KIT (RANDOX)</v>
      </c>
      <c r="D37" s="654" t="str">
        <f>ROTECH!C47</f>
        <v>6*30ml</v>
      </c>
      <c r="E37" s="653">
        <f>ROTECH!D47</f>
        <v>80</v>
      </c>
      <c r="F37" s="38">
        <f>ROTECH!E47</f>
        <v>16950</v>
      </c>
      <c r="G37" s="38">
        <f>ROTECH!F47</f>
        <v>1356000</v>
      </c>
      <c r="H37" s="186"/>
    </row>
    <row r="38" spans="1:8" s="42" customFormat="1" ht="18.75" x14ac:dyDescent="0.3">
      <c r="A38" s="35"/>
      <c r="B38" s="653">
        <f>ROTECH!A48</f>
        <v>994</v>
      </c>
      <c r="C38" s="653" t="str">
        <f>ROTECH!B48</f>
        <v>HDL CHOLESTEROL KIT (RANDOX)</v>
      </c>
      <c r="D38" s="654" t="str">
        <f>ROTECH!C48</f>
        <v>1*100ml</v>
      </c>
      <c r="E38" s="653">
        <f>ROTECH!D48</f>
        <v>40</v>
      </c>
      <c r="F38" s="38">
        <f>ROTECH!E48</f>
        <v>6215</v>
      </c>
      <c r="G38" s="38">
        <f>ROTECH!F48</f>
        <v>248600</v>
      </c>
      <c r="H38" s="35"/>
    </row>
    <row r="39" spans="1:8" s="42" customFormat="1" ht="18.75" x14ac:dyDescent="0.3">
      <c r="A39" s="35"/>
      <c r="B39" s="653">
        <f>ROTECH!A49</f>
        <v>984</v>
      </c>
      <c r="C39" s="653" t="str">
        <f>ROTECH!B49</f>
        <v>PHOSPHORUS KIT (SFRI)</v>
      </c>
      <c r="D39" s="654" t="str">
        <f>ROTECH!C49</f>
        <v>1*300ml</v>
      </c>
      <c r="E39" s="653">
        <f>ROTECH!D49</f>
        <v>16</v>
      </c>
      <c r="F39" s="38">
        <f>ROTECH!E49</f>
        <v>13560</v>
      </c>
      <c r="G39" s="38">
        <f>ROTECH!F49</f>
        <v>216960</v>
      </c>
      <c r="H39" s="35"/>
    </row>
    <row r="40" spans="1:8" s="42" customFormat="1" ht="18.75" x14ac:dyDescent="0.3">
      <c r="A40" s="35"/>
      <c r="B40" s="653">
        <f>ROTECH!A50</f>
        <v>992</v>
      </c>
      <c r="C40" s="653" t="str">
        <f>ROTECH!B50</f>
        <v>PREGNANCY TEST CASSETTE (LABMAN)</v>
      </c>
      <c r="D40" s="654" t="str">
        <f>ROTECH!C50</f>
        <v>1*25</v>
      </c>
      <c r="E40" s="653">
        <f>ROTECH!D50</f>
        <v>36</v>
      </c>
      <c r="F40" s="38">
        <f>ROTECH!E50</f>
        <v>3300</v>
      </c>
      <c r="G40" s="38">
        <f>ROTECH!F50</f>
        <v>118800</v>
      </c>
      <c r="H40" s="35"/>
    </row>
    <row r="41" spans="1:8" s="42" customFormat="1" ht="23.25" x14ac:dyDescent="0.35">
      <c r="A41" s="35"/>
      <c r="B41" s="653">
        <f>ROTECH!A51</f>
        <v>981</v>
      </c>
      <c r="C41" s="653" t="str">
        <f>ROTECH!B51</f>
        <v>TRIGLYCERIDE KIT (RANDOX)</v>
      </c>
      <c r="D41" s="654" t="str">
        <f>ROTECH!C51</f>
        <v>6*15ml</v>
      </c>
      <c r="E41" s="653">
        <f>ROTECH!D51</f>
        <v>36</v>
      </c>
      <c r="F41" s="38">
        <f>ROTECH!E51</f>
        <v>19050</v>
      </c>
      <c r="G41" s="38">
        <f>ROTECH!F51</f>
        <v>685800</v>
      </c>
      <c r="H41" s="79">
        <f>SUM(G36:G41)</f>
        <v>2690160</v>
      </c>
    </row>
    <row r="42" spans="1:8" s="42" customFormat="1" ht="18.75" x14ac:dyDescent="0.3">
      <c r="A42" s="35"/>
      <c r="B42" s="653"/>
      <c r="C42" s="653"/>
      <c r="D42" s="654"/>
      <c r="E42" s="653"/>
      <c r="F42" s="38"/>
      <c r="G42" s="38"/>
      <c r="H42" s="38"/>
    </row>
    <row r="43" spans="1:8" s="42" customFormat="1" ht="23.25" x14ac:dyDescent="0.35">
      <c r="A43" s="35">
        <v>6</v>
      </c>
      <c r="B43" s="653"/>
      <c r="C43" s="656" t="str">
        <f>LAYO!B1</f>
        <v>LAYO-JAT NIGERIA LIMITED</v>
      </c>
      <c r="D43" s="654"/>
      <c r="E43" s="653"/>
      <c r="F43" s="38"/>
      <c r="G43" s="38"/>
      <c r="H43" s="38"/>
    </row>
    <row r="44" spans="1:8" s="42" customFormat="1" ht="18.75" x14ac:dyDescent="0.3">
      <c r="A44" s="35"/>
      <c r="B44" s="653">
        <f>LAYO!A24</f>
        <v>989</v>
      </c>
      <c r="C44" s="653" t="str">
        <f>LAYO!B24</f>
        <v>ALKALINE PHOSPHATE KIT (TECO)</v>
      </c>
      <c r="D44" s="653" t="str">
        <f>LAYO!C24</f>
        <v>2*100ml</v>
      </c>
      <c r="E44" s="653">
        <f>LAYO!D24</f>
        <v>36</v>
      </c>
      <c r="F44" s="38">
        <f>LAYO!E24</f>
        <v>11700</v>
      </c>
      <c r="G44" s="38">
        <f>LAYO!F24</f>
        <v>421200</v>
      </c>
      <c r="H44" s="38"/>
    </row>
    <row r="45" spans="1:8" s="42" customFormat="1" ht="18.75" x14ac:dyDescent="0.3">
      <c r="A45" s="35"/>
      <c r="B45" s="653">
        <f>LAYO!A39</f>
        <v>1023</v>
      </c>
      <c r="C45" s="653" t="str">
        <f>LAYO!B39</f>
        <v>CAFFEINE (BDH)</v>
      </c>
      <c r="D45" s="653" t="str">
        <f>LAYO!C39</f>
        <v>500g</v>
      </c>
      <c r="E45" s="653">
        <f>LAYO!D39</f>
        <v>20</v>
      </c>
      <c r="F45" s="38">
        <f>LAYO!E39</f>
        <v>11700</v>
      </c>
      <c r="G45" s="38">
        <f>LAYO!F39</f>
        <v>234000</v>
      </c>
      <c r="H45" s="38"/>
    </row>
    <row r="46" spans="1:8" s="42" customFormat="1" ht="18.75" x14ac:dyDescent="0.3">
      <c r="A46" s="35"/>
      <c r="B46" s="653">
        <f>LAYO!A38</f>
        <v>997</v>
      </c>
      <c r="C46" s="653" t="str">
        <f>LAYO!B38</f>
        <v>CALIBRATOR (ISE 6000)</v>
      </c>
      <c r="D46" s="653" t="str">
        <f>LAYO!C38</f>
        <v>30ml</v>
      </c>
      <c r="E46" s="653">
        <f>LAYO!D38</f>
        <v>24</v>
      </c>
      <c r="F46" s="38">
        <f>LAYO!E38</f>
        <v>50000</v>
      </c>
      <c r="G46" s="38">
        <f>LAYO!F38</f>
        <v>1200000</v>
      </c>
      <c r="H46" s="38"/>
    </row>
    <row r="47" spans="1:8" s="42" customFormat="1" ht="18.75" x14ac:dyDescent="0.3">
      <c r="A47" s="35"/>
      <c r="B47" s="653">
        <f>LAYO!A33</f>
        <v>996</v>
      </c>
      <c r="C47" s="653" t="str">
        <f>LAYO!B33</f>
        <v>CLEANING SOLUTION (ISE 6000)</v>
      </c>
      <c r="D47" s="653" t="str">
        <f>LAYO!C33</f>
        <v>30ml</v>
      </c>
      <c r="E47" s="653">
        <f>LAYO!D33</f>
        <v>24</v>
      </c>
      <c r="F47" s="38">
        <f>LAYO!E33</f>
        <v>45000</v>
      </c>
      <c r="G47" s="38">
        <f>LAYO!F33</f>
        <v>1080000</v>
      </c>
      <c r="H47" s="38"/>
    </row>
    <row r="48" spans="1:8" s="42" customFormat="1" ht="18.75" x14ac:dyDescent="0.3">
      <c r="A48" s="35"/>
      <c r="B48" s="653">
        <f>LAYO!A36</f>
        <v>1034</v>
      </c>
      <c r="C48" s="653" t="str">
        <f>LAYO!B36</f>
        <v>ESTRADIOL - ELISA KIT (MONOBIND)</v>
      </c>
      <c r="D48" s="653" t="str">
        <f>LAYO!C36</f>
        <v>96 wells</v>
      </c>
      <c r="E48" s="653">
        <f>LAYO!D36</f>
        <v>4</v>
      </c>
      <c r="F48" s="38">
        <f>LAYO!E36</f>
        <v>35100</v>
      </c>
      <c r="G48" s="38">
        <f>LAYO!F36</f>
        <v>140400</v>
      </c>
      <c r="H48" s="38"/>
    </row>
    <row r="49" spans="1:8" s="42" customFormat="1" ht="18.75" x14ac:dyDescent="0.3">
      <c r="A49" s="35"/>
      <c r="B49" s="653">
        <f>LAYO!A35</f>
        <v>1004</v>
      </c>
      <c r="C49" s="653" t="str">
        <f>LAYO!B35</f>
        <v>FOLLICLE STIMULATING HORMONE (FSH) (ICHROMACARTRIDGE)</v>
      </c>
      <c r="D49" s="653" t="str">
        <f>LAYO!C35</f>
        <v>1*25</v>
      </c>
      <c r="E49" s="653">
        <f>LAYO!D35</f>
        <v>12</v>
      </c>
      <c r="F49" s="38">
        <f>LAYO!E35</f>
        <v>36400</v>
      </c>
      <c r="G49" s="38">
        <f>LAYO!F35</f>
        <v>436800</v>
      </c>
      <c r="H49" s="38"/>
    </row>
    <row r="50" spans="1:8" s="42" customFormat="1" ht="18.75" x14ac:dyDescent="0.3">
      <c r="A50" s="35"/>
      <c r="B50" s="653">
        <f>LAYO!A32</f>
        <v>1031</v>
      </c>
      <c r="C50" s="653" t="str">
        <f>LAYO!B32</f>
        <v>FREE T4 - ELISA KIT (MONOBIND)</v>
      </c>
      <c r="D50" s="653" t="str">
        <f>LAYO!C32</f>
        <v>96 wells</v>
      </c>
      <c r="E50" s="653">
        <f>LAYO!D32</f>
        <v>8</v>
      </c>
      <c r="F50" s="38">
        <f>LAYO!E32</f>
        <v>35000</v>
      </c>
      <c r="G50" s="38">
        <f>LAYO!F32</f>
        <v>280000</v>
      </c>
      <c r="H50" s="38"/>
    </row>
    <row r="51" spans="1:8" s="42" customFormat="1" ht="18.75" x14ac:dyDescent="0.3">
      <c r="A51" s="35"/>
      <c r="B51" s="653">
        <f>LAYO!A25</f>
        <v>995</v>
      </c>
      <c r="C51" s="653" t="str">
        <f>LAYO!B25</f>
        <v>ION SELECTIVE ELECTRODE (ISE) REAGENT PACK (ISE 6000)</v>
      </c>
      <c r="D51" s="653" t="str">
        <f>LAYO!C25</f>
        <v>1*5 PACKS</v>
      </c>
      <c r="E51" s="653">
        <f>LAYO!D25</f>
        <v>40</v>
      </c>
      <c r="F51" s="38">
        <f>LAYO!E25</f>
        <v>120000</v>
      </c>
      <c r="G51" s="38">
        <f>LAYO!F25</f>
        <v>4800000</v>
      </c>
      <c r="H51" s="38"/>
    </row>
    <row r="52" spans="1:8" s="42" customFormat="1" ht="18.75" x14ac:dyDescent="0.3">
      <c r="A52" s="35"/>
      <c r="B52" s="653">
        <f>LAYO!A37</f>
        <v>1003</v>
      </c>
      <c r="C52" s="653" t="str">
        <f>LAYO!B37</f>
        <v>LEUTENIZING HORMONE (LH) (ICHROMACARTRIDGE)</v>
      </c>
      <c r="D52" s="653" t="str">
        <f>LAYO!C37</f>
        <v>1*25</v>
      </c>
      <c r="E52" s="653">
        <f>LAYO!D37</f>
        <v>12</v>
      </c>
      <c r="F52" s="38">
        <f>LAYO!E37</f>
        <v>36400</v>
      </c>
      <c r="G52" s="38">
        <f>LAYO!F37</f>
        <v>436800</v>
      </c>
      <c r="H52" s="38"/>
    </row>
    <row r="53" spans="1:8" s="42" customFormat="1" ht="18.75" x14ac:dyDescent="0.3">
      <c r="A53" s="35"/>
      <c r="B53" s="653">
        <f>LAYO!A26</f>
        <v>1010</v>
      </c>
      <c r="C53" s="653" t="str">
        <f>LAYO!B26</f>
        <v>MICROALBUMIN (ICHROMACARTRIDGES)</v>
      </c>
      <c r="D53" s="653" t="str">
        <f>LAYO!C26</f>
        <v>1*25</v>
      </c>
      <c r="E53" s="653">
        <f>LAYO!D26</f>
        <v>2</v>
      </c>
      <c r="F53" s="38">
        <f>LAYO!E26</f>
        <v>32500</v>
      </c>
      <c r="G53" s="38">
        <f>LAYO!F26</f>
        <v>65000</v>
      </c>
      <c r="H53" s="38"/>
    </row>
    <row r="54" spans="1:8" s="42" customFormat="1" ht="18.75" x14ac:dyDescent="0.3">
      <c r="A54" s="35"/>
      <c r="B54" s="653">
        <f>LAYO!A29</f>
        <v>1000</v>
      </c>
      <c r="C54" s="653" t="str">
        <f>LAYO!B29</f>
        <v>MULTISERA CONTROL LEVEL 2 (RANDOX)</v>
      </c>
      <c r="D54" s="653" t="str">
        <f>LAYO!C29</f>
        <v>20*5ml</v>
      </c>
      <c r="E54" s="653">
        <f>LAYO!D29</f>
        <v>12</v>
      </c>
      <c r="F54" s="38">
        <f>LAYO!E29</f>
        <v>26650</v>
      </c>
      <c r="G54" s="38">
        <f>LAYO!F29</f>
        <v>319800</v>
      </c>
      <c r="H54" s="38"/>
    </row>
    <row r="55" spans="1:8" s="42" customFormat="1" ht="18.75" x14ac:dyDescent="0.3">
      <c r="A55" s="35"/>
      <c r="B55" s="653">
        <f>LAYO!A31</f>
        <v>993</v>
      </c>
      <c r="C55" s="653" t="str">
        <f>LAYO!B31</f>
        <v>MULTISERA CONTROL LEVEL 3 (RANDOX)</v>
      </c>
      <c r="D55" s="653" t="str">
        <f>LAYO!C31</f>
        <v>20*25ml</v>
      </c>
      <c r="E55" s="653">
        <f>LAYO!D31</f>
        <v>12</v>
      </c>
      <c r="F55" s="38">
        <f>LAYO!E31</f>
        <v>26650</v>
      </c>
      <c r="G55" s="38">
        <f>LAYO!F31</f>
        <v>319800</v>
      </c>
      <c r="H55" s="38"/>
    </row>
    <row r="56" spans="1:8" s="42" customFormat="1" ht="18.75" x14ac:dyDescent="0.3">
      <c r="A56" s="35"/>
      <c r="B56" s="653">
        <f>LAYO!A40</f>
        <v>1022</v>
      </c>
      <c r="C56" s="653" t="str">
        <f>LAYO!B40</f>
        <v>PRINTING PAPER (ISE 6000)</v>
      </c>
      <c r="D56" s="653" t="str">
        <f>LAYO!C40</f>
        <v>Roll</v>
      </c>
      <c r="E56" s="653">
        <f>LAYO!D40</f>
        <v>128</v>
      </c>
      <c r="F56" s="38">
        <f>LAYO!E40</f>
        <v>1500</v>
      </c>
      <c r="G56" s="38">
        <f>LAYO!F40</f>
        <v>192000</v>
      </c>
      <c r="H56" s="38"/>
    </row>
    <row r="57" spans="1:8" s="42" customFormat="1" ht="18.75" x14ac:dyDescent="0.3">
      <c r="A57" s="35"/>
      <c r="B57" s="653">
        <f>LAYO!A34</f>
        <v>1033</v>
      </c>
      <c r="C57" s="653" t="str">
        <f>LAYO!B34</f>
        <v>PROGESTERONE - ELISA KIT (MONOBIND)</v>
      </c>
      <c r="D57" s="653" t="str">
        <f>LAYO!C34</f>
        <v>96 wells</v>
      </c>
      <c r="E57" s="653">
        <f>LAYO!D34</f>
        <v>4</v>
      </c>
      <c r="F57" s="38">
        <f>LAYO!E34</f>
        <v>35100</v>
      </c>
      <c r="G57" s="38">
        <f>LAYO!F34</f>
        <v>140400</v>
      </c>
      <c r="H57" s="38"/>
    </row>
    <row r="58" spans="1:8" s="42" customFormat="1" ht="18.75" x14ac:dyDescent="0.3">
      <c r="A58" s="35"/>
      <c r="B58" s="653">
        <f>LAYO!A30</f>
        <v>1005</v>
      </c>
      <c r="C58" s="653" t="str">
        <f>LAYO!B30</f>
        <v>PROLACTIN (PRL) (ICHROMACARTRIDGE)</v>
      </c>
      <c r="D58" s="653" t="str">
        <f>LAYO!C30</f>
        <v>1*25</v>
      </c>
      <c r="E58" s="653">
        <f>LAYO!D30</f>
        <v>12</v>
      </c>
      <c r="F58" s="38">
        <f>LAYO!E30</f>
        <v>36400</v>
      </c>
      <c r="G58" s="38">
        <f>LAYO!F30</f>
        <v>436800</v>
      </c>
      <c r="H58" s="38"/>
    </row>
    <row r="59" spans="1:8" s="42" customFormat="1" ht="18.75" x14ac:dyDescent="0.3">
      <c r="A59" s="35"/>
      <c r="B59" s="653">
        <f>LAYO!A27</f>
        <v>1032</v>
      </c>
      <c r="C59" s="653" t="str">
        <f>LAYO!B27</f>
        <v>PROSTRATE SPECIFIC ANTIGEN - ELISA KIT (MONOBIND)</v>
      </c>
      <c r="D59" s="653" t="str">
        <f>LAYO!C27</f>
        <v>96 wells</v>
      </c>
      <c r="E59" s="653">
        <f>LAYO!D27</f>
        <v>8</v>
      </c>
      <c r="F59" s="38">
        <f>LAYO!E27</f>
        <v>32000</v>
      </c>
      <c r="G59" s="38">
        <f>LAYO!F27</f>
        <v>256000</v>
      </c>
      <c r="H59" s="38"/>
    </row>
    <row r="60" spans="1:8" s="42" customFormat="1" ht="23.25" x14ac:dyDescent="0.35">
      <c r="A60" s="35"/>
      <c r="B60" s="653">
        <f>LAYO!A28</f>
        <v>1011</v>
      </c>
      <c r="C60" s="653" t="str">
        <f>LAYO!B28</f>
        <v>TESTOSTERONE (ICHROMACARTRIDGES)</v>
      </c>
      <c r="D60" s="653" t="str">
        <f>LAYO!C28</f>
        <v>1*25</v>
      </c>
      <c r="E60" s="653">
        <f>LAYO!D28</f>
        <v>12</v>
      </c>
      <c r="F60" s="38">
        <f>LAYO!E28</f>
        <v>36400</v>
      </c>
      <c r="G60" s="38">
        <f>LAYO!F28</f>
        <v>436800</v>
      </c>
      <c r="H60" s="79">
        <f>SUM(G44:G60)</f>
        <v>11195800</v>
      </c>
    </row>
    <row r="61" spans="1:8" s="42" customFormat="1" ht="18.75" x14ac:dyDescent="0.3">
      <c r="A61" s="35"/>
      <c r="B61" s="653"/>
      <c r="C61" s="653"/>
      <c r="D61" s="653"/>
      <c r="E61" s="653"/>
      <c r="F61" s="653"/>
      <c r="G61" s="653"/>
      <c r="H61" s="38"/>
    </row>
    <row r="62" spans="1:8" s="42" customFormat="1" ht="23.25" x14ac:dyDescent="0.35">
      <c r="A62" s="35">
        <v>7</v>
      </c>
      <c r="B62" s="653"/>
      <c r="C62" s="656" t="str">
        <f>LHV!B1</f>
        <v>LIFTED HANDS VENTURES</v>
      </c>
      <c r="D62" s="654"/>
      <c r="E62" s="653"/>
      <c r="F62" s="38"/>
      <c r="G62" s="38"/>
      <c r="H62" s="38"/>
    </row>
    <row r="63" spans="1:8" s="42" customFormat="1" ht="18.75" x14ac:dyDescent="0.3">
      <c r="A63" s="35"/>
      <c r="B63" s="653">
        <f>LHV!A6</f>
        <v>1037</v>
      </c>
      <c r="C63" s="653" t="str">
        <f>LHV!B6</f>
        <v>FOLLICLE STIMULATING HORMONE - ELISA KIT (MONOBIND)</v>
      </c>
      <c r="D63" s="654" t="str">
        <f>LHV!C6</f>
        <v>96 wells</v>
      </c>
      <c r="E63" s="653">
        <f>LHV!D6</f>
        <v>4</v>
      </c>
      <c r="F63" s="38">
        <f>LHV!E6</f>
        <v>28000</v>
      </c>
      <c r="G63" s="38">
        <f>LHV!F6</f>
        <v>112000</v>
      </c>
      <c r="H63" s="38"/>
    </row>
    <row r="64" spans="1:8" s="42" customFormat="1" ht="18.75" x14ac:dyDescent="0.3">
      <c r="A64" s="35"/>
      <c r="B64" s="653">
        <f>LHV!A7</f>
        <v>1038</v>
      </c>
      <c r="C64" s="653" t="str">
        <f>LHV!B7</f>
        <v>FREE PSA - ELISA KIT (MONOBIND)</v>
      </c>
      <c r="D64" s="654" t="str">
        <f>LHV!C7</f>
        <v>96 wells</v>
      </c>
      <c r="E64" s="653">
        <f>LHV!D7</f>
        <v>2</v>
      </c>
      <c r="F64" s="38">
        <f>LHV!E7</f>
        <v>38000</v>
      </c>
      <c r="G64" s="38">
        <f>LHV!F7</f>
        <v>76000</v>
      </c>
      <c r="H64" s="38"/>
    </row>
    <row r="65" spans="1:8" s="42" customFormat="1" ht="18.75" x14ac:dyDescent="0.3">
      <c r="A65" s="35"/>
      <c r="B65" s="653">
        <f>LHV!A8</f>
        <v>1036</v>
      </c>
      <c r="C65" s="653" t="str">
        <f>LHV!B8</f>
        <v>LEUTINIZING HORMONE - ELISA KIT (MONOBIND)</v>
      </c>
      <c r="D65" s="654" t="str">
        <f>LHV!C8</f>
        <v>96 wells</v>
      </c>
      <c r="E65" s="653">
        <f>LHV!D8</f>
        <v>4</v>
      </c>
      <c r="F65" s="38">
        <f>LHV!E8</f>
        <v>28000</v>
      </c>
      <c r="G65" s="38">
        <f>LHV!F8</f>
        <v>112000</v>
      </c>
      <c r="H65" s="38"/>
    </row>
    <row r="66" spans="1:8" s="42" customFormat="1" ht="18.75" x14ac:dyDescent="0.3">
      <c r="A66" s="35"/>
      <c r="B66" s="653">
        <f>LHV!A9</f>
        <v>1035</v>
      </c>
      <c r="C66" s="653" t="str">
        <f>LHV!B9</f>
        <v>PROLACTIN - ELISA KIT (MONOBIND)</v>
      </c>
      <c r="D66" s="654" t="str">
        <f>LHV!C9</f>
        <v>96 wells</v>
      </c>
      <c r="E66" s="653">
        <f>LHV!D9</f>
        <v>4</v>
      </c>
      <c r="F66" s="38">
        <f>LHV!E9</f>
        <v>28000</v>
      </c>
      <c r="G66" s="38">
        <f>LHV!F9</f>
        <v>112000</v>
      </c>
      <c r="H66" s="38"/>
    </row>
    <row r="67" spans="1:8" s="42" customFormat="1" ht="23.25" x14ac:dyDescent="0.35">
      <c r="A67" s="35"/>
      <c r="B67" s="653">
        <f>LHV!A10</f>
        <v>1029</v>
      </c>
      <c r="C67" s="653" t="str">
        <f>LHV!B10</f>
        <v>THYROID STIMULATING HORMONE (ELISA KIT) (MONOBIND)</v>
      </c>
      <c r="D67" s="654" t="str">
        <f>LHV!C10</f>
        <v>96 wells</v>
      </c>
      <c r="E67" s="653">
        <f>LHV!D10</f>
        <v>8</v>
      </c>
      <c r="F67" s="38">
        <f>LHV!E10</f>
        <v>33000</v>
      </c>
      <c r="G67" s="38">
        <f>LHV!F10</f>
        <v>264000</v>
      </c>
      <c r="H67" s="79">
        <f>SUM(G63:G67)</f>
        <v>676000</v>
      </c>
    </row>
    <row r="68" spans="1:8" s="42" customFormat="1" ht="18.75" x14ac:dyDescent="0.3">
      <c r="A68" s="35"/>
      <c r="B68" s="653"/>
      <c r="C68" s="653"/>
      <c r="D68" s="654"/>
      <c r="E68" s="653"/>
      <c r="F68" s="38"/>
      <c r="G68" s="38"/>
    </row>
    <row r="69" spans="1:8" s="42" customFormat="1" ht="23.25" x14ac:dyDescent="0.35">
      <c r="A69" s="35">
        <v>8</v>
      </c>
      <c r="B69" s="653"/>
      <c r="C69" s="656" t="str">
        <f>TEMITA!B1</f>
        <v>TEMITA SCIENTIFIC VENTURES</v>
      </c>
      <c r="D69" s="654"/>
      <c r="E69" s="653"/>
      <c r="F69" s="38"/>
      <c r="G69" s="38"/>
      <c r="H69" s="186"/>
    </row>
    <row r="70" spans="1:8" s="42" customFormat="1" ht="18.75" x14ac:dyDescent="0.3">
      <c r="A70" s="35"/>
      <c r="B70" s="653">
        <f>TEMITA!A54</f>
        <v>1017</v>
      </c>
      <c r="C70" s="653" t="str">
        <f>TEMITA!B54</f>
        <v>ADJUSTABLE MICROPIPETTE (HITECH)</v>
      </c>
      <c r="D70" s="654" t="str">
        <f>TEMITA!C54</f>
        <v>10-100ul</v>
      </c>
      <c r="E70" s="653">
        <f>TEMITA!D54</f>
        <v>16</v>
      </c>
      <c r="F70" s="38">
        <f>TEMITA!E54</f>
        <v>5700</v>
      </c>
      <c r="G70" s="38">
        <f>TEMITA!F54</f>
        <v>91200</v>
      </c>
      <c r="H70" s="35"/>
    </row>
    <row r="71" spans="1:8" s="42" customFormat="1" ht="18.75" x14ac:dyDescent="0.3">
      <c r="A71" s="35"/>
      <c r="B71" s="653">
        <f>TEMITA!A55</f>
        <v>1018</v>
      </c>
      <c r="C71" s="653" t="str">
        <f>TEMITA!B55</f>
        <v>ADJUSTABLE MICROPIPETTE (HITECH)</v>
      </c>
      <c r="D71" s="654" t="str">
        <f>TEMITA!C55</f>
        <v>100-1000ul</v>
      </c>
      <c r="E71" s="653">
        <f>TEMITA!D55</f>
        <v>16</v>
      </c>
      <c r="F71" s="38">
        <f>TEMITA!E55</f>
        <v>5500</v>
      </c>
      <c r="G71" s="38">
        <f>TEMITA!F55</f>
        <v>88000</v>
      </c>
      <c r="H71" s="35"/>
    </row>
    <row r="72" spans="1:8" s="42" customFormat="1" ht="23.25" x14ac:dyDescent="0.35">
      <c r="A72" s="35"/>
      <c r="B72" s="653">
        <f>TEMITA!A56</f>
        <v>1019</v>
      </c>
      <c r="C72" s="653" t="str">
        <f>TEMITA!B56</f>
        <v>ADJUSTABLE MICROPIPETTE (HITECH)</v>
      </c>
      <c r="D72" s="654" t="str">
        <f>TEMITA!C56</f>
        <v>1-5ul</v>
      </c>
      <c r="E72" s="653">
        <f>TEMITA!D56</f>
        <v>8</v>
      </c>
      <c r="F72" s="38">
        <f>TEMITA!E56</f>
        <v>5500</v>
      </c>
      <c r="G72" s="38">
        <f>TEMITA!F56</f>
        <v>44000</v>
      </c>
      <c r="H72" s="79"/>
    </row>
    <row r="73" spans="1:8" s="42" customFormat="1" ht="18.75" x14ac:dyDescent="0.3">
      <c r="A73" s="35"/>
      <c r="B73" s="653">
        <f>TEMITA!A57</f>
        <v>1027</v>
      </c>
      <c r="C73" s="653" t="str">
        <f>TEMITA!B57</f>
        <v>LIQUID SOAP (ZENON)</v>
      </c>
      <c r="D73" s="654" t="str">
        <f>TEMITA!C57</f>
        <v>500ml</v>
      </c>
      <c r="E73" s="653">
        <f>TEMITA!D57</f>
        <v>80</v>
      </c>
      <c r="F73" s="38">
        <f>TEMITA!E57</f>
        <v>350</v>
      </c>
      <c r="G73" s="38">
        <f>TEMITA!F57</f>
        <v>28000</v>
      </c>
      <c r="H73" s="38"/>
    </row>
    <row r="74" spans="1:8" s="42" customFormat="1" ht="18.75" x14ac:dyDescent="0.3">
      <c r="A74" s="35"/>
      <c r="B74" s="653">
        <f>TEMITA!A58</f>
        <v>1024</v>
      </c>
      <c r="C74" s="653" t="str">
        <f>TEMITA!B58</f>
        <v>SODIUM BENZOATE(BDH)</v>
      </c>
      <c r="D74" s="654" t="str">
        <f>TEMITA!C58</f>
        <v>500g</v>
      </c>
      <c r="E74" s="653">
        <f>TEMITA!D58</f>
        <v>20</v>
      </c>
      <c r="F74" s="38">
        <f>TEMITA!E58</f>
        <v>3400</v>
      </c>
      <c r="G74" s="38">
        <f>TEMITA!F58</f>
        <v>68000</v>
      </c>
      <c r="H74" s="38"/>
    </row>
    <row r="75" spans="1:8" s="42" customFormat="1" ht="18.75" x14ac:dyDescent="0.3">
      <c r="A75" s="35"/>
      <c r="B75" s="653">
        <f>TEMITA!A59</f>
        <v>1026</v>
      </c>
      <c r="C75" s="653" t="str">
        <f>TEMITA!B59</f>
        <v>SODIUM HYDROXIDE (BDH)</v>
      </c>
      <c r="D75" s="654" t="str">
        <f>TEMITA!C59</f>
        <v>500g</v>
      </c>
      <c r="E75" s="653">
        <f>TEMITA!D59</f>
        <v>20</v>
      </c>
      <c r="F75" s="38">
        <f>TEMITA!E59</f>
        <v>3400</v>
      </c>
      <c r="G75" s="38">
        <f>TEMITA!F59</f>
        <v>68000</v>
      </c>
      <c r="H75" s="38"/>
    </row>
    <row r="76" spans="1:8" s="42" customFormat="1" ht="23.25" x14ac:dyDescent="0.35">
      <c r="A76" s="35"/>
      <c r="B76" s="653">
        <f>TEMITA!A60</f>
        <v>1025</v>
      </c>
      <c r="C76" s="653" t="str">
        <f>TEMITA!B60</f>
        <v>SODIUM POTASSIUM TARTRATE (BDH)</v>
      </c>
      <c r="D76" s="654" t="str">
        <f>TEMITA!C60</f>
        <v>500g</v>
      </c>
      <c r="E76" s="653">
        <f>TEMITA!D60</f>
        <v>20</v>
      </c>
      <c r="F76" s="38">
        <f>TEMITA!E60</f>
        <v>3500</v>
      </c>
      <c r="G76" s="38">
        <f>TEMITA!F60</f>
        <v>70000</v>
      </c>
      <c r="H76" s="79">
        <f>SUM(G70:G76)</f>
        <v>457200</v>
      </c>
    </row>
    <row r="77" spans="1:8" s="42" customFormat="1" ht="18.75" x14ac:dyDescent="0.3">
      <c r="A77" s="35"/>
      <c r="B77" s="653"/>
      <c r="C77" s="653"/>
      <c r="D77" s="654"/>
      <c r="E77" s="653"/>
      <c r="F77" s="38"/>
      <c r="G77" s="38"/>
      <c r="H77" s="38"/>
    </row>
    <row r="78" spans="1:8" s="42" customFormat="1" ht="23.25" x14ac:dyDescent="0.35">
      <c r="A78" s="35">
        <v>9</v>
      </c>
      <c r="B78" s="653"/>
      <c r="C78" s="656" t="str">
        <f>UBASTIC!B1</f>
        <v>UBASTIC NIGERIA LIMITED</v>
      </c>
      <c r="D78" s="654"/>
      <c r="E78" s="653"/>
      <c r="F78" s="38"/>
      <c r="G78" s="38"/>
      <c r="H78" s="186"/>
    </row>
    <row r="79" spans="1:8" s="42" customFormat="1" ht="18.75" x14ac:dyDescent="0.3">
      <c r="A79" s="35"/>
      <c r="B79" s="653">
        <f>UBASTIC!A62</f>
        <v>988</v>
      </c>
      <c r="C79" s="653" t="str">
        <f>UBASTIC!B62</f>
        <v>ALANINE TRANSFERASE KIT (RANDOX)</v>
      </c>
      <c r="D79" s="654" t="str">
        <f>UBASTIC!C62</f>
        <v>2*100ml</v>
      </c>
      <c r="E79" s="653">
        <f>UBASTIC!D62</f>
        <v>24</v>
      </c>
      <c r="F79" s="38">
        <f>UBASTIC!E62</f>
        <v>7500</v>
      </c>
      <c r="G79" s="38">
        <f>UBASTIC!F62</f>
        <v>180000</v>
      </c>
      <c r="H79" s="35"/>
    </row>
    <row r="80" spans="1:8" s="42" customFormat="1" ht="18.75" x14ac:dyDescent="0.3">
      <c r="A80" s="35"/>
      <c r="B80" s="653">
        <f>UBASTIC!A63</f>
        <v>987</v>
      </c>
      <c r="C80" s="653" t="str">
        <f>UBASTIC!B63</f>
        <v>ASPARTATE TRANSFERASE KIT (RANDOX)</v>
      </c>
      <c r="D80" s="654" t="str">
        <f>UBASTIC!C63</f>
        <v>2*100ml</v>
      </c>
      <c r="E80" s="653">
        <f>UBASTIC!D63</f>
        <v>24</v>
      </c>
      <c r="F80" s="38">
        <f>UBASTIC!E63</f>
        <v>7500</v>
      </c>
      <c r="G80" s="38">
        <f>UBASTIC!F63</f>
        <v>180000</v>
      </c>
      <c r="H80" s="35"/>
    </row>
    <row r="81" spans="1:8" s="42" customFormat="1" ht="23.25" x14ac:dyDescent="0.35">
      <c r="A81" s="35"/>
      <c r="B81" s="653">
        <f>UBASTIC!A64</f>
        <v>990</v>
      </c>
      <c r="C81" s="653" t="str">
        <f>UBASTIC!B64</f>
        <v>GLUCOSE KIT (RANDOX)</v>
      </c>
      <c r="D81" s="654" t="str">
        <f>UBASTIC!C64</f>
        <v>10*100ml</v>
      </c>
      <c r="E81" s="653">
        <f>UBASTIC!D64</f>
        <v>12</v>
      </c>
      <c r="F81" s="38">
        <f>UBASTIC!E64</f>
        <v>20000</v>
      </c>
      <c r="G81" s="38">
        <f>UBASTIC!F64</f>
        <v>240000</v>
      </c>
      <c r="H81" s="79"/>
    </row>
    <row r="82" spans="1:8" s="42" customFormat="1" ht="23.25" x14ac:dyDescent="0.35">
      <c r="A82" s="35"/>
      <c r="B82" s="653">
        <f>UBASTIC!A65</f>
        <v>1002</v>
      </c>
      <c r="C82" s="653" t="str">
        <f>UBASTIC!B65</f>
        <v>PROGESTERONE (ICHROMACATRIDGE)</v>
      </c>
      <c r="D82" s="654" t="str">
        <f>UBASTIC!C65</f>
        <v>1*25</v>
      </c>
      <c r="E82" s="653">
        <f>UBASTIC!D65</f>
        <v>12</v>
      </c>
      <c r="F82" s="38">
        <f>UBASTIC!E65</f>
        <v>38000</v>
      </c>
      <c r="G82" s="38">
        <f>UBASTIC!F65</f>
        <v>456000</v>
      </c>
      <c r="H82" s="79">
        <f>SUM(G79:G82)</f>
        <v>1056000</v>
      </c>
    </row>
    <row r="83" spans="1:8" s="42" customFormat="1" ht="18.75" x14ac:dyDescent="0.3">
      <c r="A83" s="35"/>
      <c r="B83" s="653"/>
      <c r="C83" s="653"/>
      <c r="D83" s="654"/>
      <c r="E83" s="653"/>
      <c r="F83" s="653"/>
      <c r="G83" s="653"/>
      <c r="H83" s="38"/>
    </row>
    <row r="84" spans="1:8" ht="21.75" thickBot="1" x14ac:dyDescent="0.4">
      <c r="A84" s="35"/>
      <c r="B84" s="35"/>
      <c r="C84" s="188"/>
      <c r="D84" s="647"/>
      <c r="E84" s="189"/>
      <c r="F84" s="190"/>
      <c r="G84" s="191"/>
      <c r="H84" s="185"/>
    </row>
    <row r="85" spans="1:8" ht="27" thickBot="1" x14ac:dyDescent="0.45">
      <c r="A85" s="35"/>
      <c r="B85" s="35"/>
      <c r="C85" s="188"/>
      <c r="D85" s="647"/>
      <c r="E85" s="189"/>
      <c r="F85" s="190"/>
      <c r="G85" s="193" t="s">
        <v>666</v>
      </c>
      <c r="H85" s="194">
        <f>SUM(H8:H83)</f>
        <v>23688375</v>
      </c>
    </row>
    <row r="89" spans="1:8" ht="31.5" x14ac:dyDescent="0.5">
      <c r="C89" s="843" t="s">
        <v>2162</v>
      </c>
      <c r="D89" s="843"/>
      <c r="E89" s="843"/>
      <c r="F89" s="843"/>
      <c r="G89" s="843"/>
    </row>
    <row r="91" spans="1:8" ht="26.25" x14ac:dyDescent="0.4">
      <c r="B91" s="35"/>
      <c r="C91" s="195" t="s">
        <v>917</v>
      </c>
      <c r="D91" s="849" t="s">
        <v>918</v>
      </c>
      <c r="E91" s="849"/>
      <c r="F91" s="849"/>
      <c r="G91" s="849"/>
    </row>
    <row r="92" spans="1:8" x14ac:dyDescent="0.35">
      <c r="B92" s="35"/>
      <c r="C92" s="188"/>
      <c r="D92" s="845"/>
      <c r="E92" s="845"/>
      <c r="F92" s="845"/>
      <c r="G92" s="845"/>
    </row>
    <row r="93" spans="1:8" x14ac:dyDescent="0.35">
      <c r="B93" s="35">
        <v>1</v>
      </c>
      <c r="C93" s="35" t="str">
        <f>C7</f>
        <v>CODIX PHARMACEUTICALS LIMITED</v>
      </c>
      <c r="D93" s="841">
        <f>H12</f>
        <v>3363840</v>
      </c>
      <c r="E93" s="842"/>
      <c r="F93" s="842"/>
      <c r="G93" s="842"/>
    </row>
    <row r="94" spans="1:8" x14ac:dyDescent="0.35">
      <c r="B94" s="35">
        <f>1+B93</f>
        <v>2</v>
      </c>
      <c r="C94" s="35" t="str">
        <f>C15</f>
        <v>COSMADE EASY MEDICALS LIMITED</v>
      </c>
      <c r="D94" s="841">
        <f>H16</f>
        <v>280000</v>
      </c>
      <c r="E94" s="842"/>
      <c r="F94" s="842"/>
      <c r="G94" s="842"/>
    </row>
    <row r="95" spans="1:8" x14ac:dyDescent="0.35">
      <c r="B95" s="35">
        <f t="shared" ref="B95:B101" si="0">1+B94</f>
        <v>3</v>
      </c>
      <c r="C95" s="35" t="str">
        <f>C18</f>
        <v>DE SANCON &amp; ASSOCIATES LIMITED</v>
      </c>
      <c r="D95" s="841">
        <f>H26</f>
        <v>3050000</v>
      </c>
      <c r="E95" s="842"/>
      <c r="F95" s="842"/>
      <c r="G95" s="842"/>
    </row>
    <row r="96" spans="1:8" x14ac:dyDescent="0.35">
      <c r="B96" s="35">
        <f t="shared" si="0"/>
        <v>4</v>
      </c>
      <c r="C96" s="653" t="str">
        <f>C28</f>
        <v>DYNAMIC ANCHOR SOURCE LIMITED</v>
      </c>
      <c r="D96" s="841">
        <f>H33</f>
        <v>919375</v>
      </c>
      <c r="E96" s="842"/>
      <c r="F96" s="842"/>
      <c r="G96" s="842"/>
    </row>
    <row r="97" spans="2:7" x14ac:dyDescent="0.35">
      <c r="B97" s="35">
        <f t="shared" si="0"/>
        <v>5</v>
      </c>
      <c r="C97" s="653" t="str">
        <f>C35</f>
        <v>INTER-ROTECH NIGERIA LIMITED</v>
      </c>
      <c r="D97" s="841">
        <f>H41</f>
        <v>2690160</v>
      </c>
      <c r="E97" s="842"/>
      <c r="F97" s="842"/>
      <c r="G97" s="842"/>
    </row>
    <row r="98" spans="2:7" x14ac:dyDescent="0.35">
      <c r="B98" s="35">
        <f t="shared" si="0"/>
        <v>6</v>
      </c>
      <c r="C98" s="653" t="str">
        <f>C43</f>
        <v>LAYO-JAT NIGERIA LIMITED</v>
      </c>
      <c r="D98" s="841">
        <f>H60</f>
        <v>11195800</v>
      </c>
      <c r="E98" s="842"/>
      <c r="F98" s="842"/>
      <c r="G98" s="842"/>
    </row>
    <row r="99" spans="2:7" x14ac:dyDescent="0.35">
      <c r="B99" s="35">
        <f t="shared" si="0"/>
        <v>7</v>
      </c>
      <c r="C99" s="653" t="str">
        <f>C62</f>
        <v>LIFTED HANDS VENTURES</v>
      </c>
      <c r="D99" s="841">
        <f>H67</f>
        <v>676000</v>
      </c>
      <c r="E99" s="842"/>
      <c r="F99" s="842"/>
      <c r="G99" s="842"/>
    </row>
    <row r="100" spans="2:7" x14ac:dyDescent="0.35">
      <c r="B100" s="35">
        <f t="shared" si="0"/>
        <v>8</v>
      </c>
      <c r="C100" s="653" t="str">
        <f>C69</f>
        <v>TEMITA SCIENTIFIC VENTURES</v>
      </c>
      <c r="D100" s="841">
        <f>H76</f>
        <v>457200</v>
      </c>
      <c r="E100" s="842"/>
      <c r="F100" s="842"/>
      <c r="G100" s="842"/>
    </row>
    <row r="101" spans="2:7" x14ac:dyDescent="0.35">
      <c r="B101" s="35">
        <f t="shared" si="0"/>
        <v>9</v>
      </c>
      <c r="C101" s="653" t="str">
        <f>C78</f>
        <v>UBASTIC NIGERIA LIMITED</v>
      </c>
      <c r="D101" s="841">
        <f>H82</f>
        <v>1056000</v>
      </c>
      <c r="E101" s="842"/>
      <c r="F101" s="842"/>
      <c r="G101" s="842"/>
    </row>
    <row r="102" spans="2:7" ht="21.75" thickBot="1" x14ac:dyDescent="0.4">
      <c r="D102" s="836"/>
      <c r="E102" s="836"/>
      <c r="F102" s="836"/>
      <c r="G102" s="836"/>
    </row>
    <row r="103" spans="2:7" ht="29.25" thickBot="1" x14ac:dyDescent="0.5">
      <c r="D103" s="846">
        <f>SUM(D93:G101)</f>
        <v>23688375</v>
      </c>
      <c r="E103" s="847"/>
      <c r="F103" s="847"/>
      <c r="G103" s="848"/>
    </row>
    <row r="104" spans="2:7" x14ac:dyDescent="0.35">
      <c r="D104" s="836"/>
      <c r="E104" s="836"/>
      <c r="F104" s="836"/>
      <c r="G104" s="836"/>
    </row>
    <row r="105" spans="2:7" x14ac:dyDescent="0.35">
      <c r="D105" s="836"/>
      <c r="E105" s="836"/>
      <c r="F105" s="836"/>
      <c r="G105" s="836"/>
    </row>
    <row r="106" spans="2:7" x14ac:dyDescent="0.35">
      <c r="D106" s="836"/>
      <c r="E106" s="836"/>
      <c r="F106" s="836"/>
      <c r="G106" s="836"/>
    </row>
    <row r="107" spans="2:7" x14ac:dyDescent="0.35">
      <c r="D107" s="836"/>
      <c r="E107" s="836"/>
      <c r="F107" s="836"/>
      <c r="G107" s="836"/>
    </row>
    <row r="108" spans="2:7" x14ac:dyDescent="0.35">
      <c r="D108" s="836"/>
      <c r="E108" s="836"/>
      <c r="F108" s="836"/>
      <c r="G108" s="836"/>
    </row>
  </sheetData>
  <sortState ref="B44:G60">
    <sortCondition ref="C44:C60"/>
  </sortState>
  <mergeCells count="23">
    <mergeCell ref="A1:H1"/>
    <mergeCell ref="A4:H4"/>
    <mergeCell ref="D91:G91"/>
    <mergeCell ref="D92:G92"/>
    <mergeCell ref="D93:G93"/>
    <mergeCell ref="D94:G94"/>
    <mergeCell ref="D95:G95"/>
    <mergeCell ref="D96:G96"/>
    <mergeCell ref="D97:G97"/>
    <mergeCell ref="A2:H2"/>
    <mergeCell ref="A3:H3"/>
    <mergeCell ref="C89:G89"/>
    <mergeCell ref="D98:G98"/>
    <mergeCell ref="D107:G107"/>
    <mergeCell ref="D108:G108"/>
    <mergeCell ref="D102:G102"/>
    <mergeCell ref="D103:G103"/>
    <mergeCell ref="D104:G104"/>
    <mergeCell ref="D99:G99"/>
    <mergeCell ref="D100:G100"/>
    <mergeCell ref="D101:G101"/>
    <mergeCell ref="D105:G105"/>
    <mergeCell ref="D106:G106"/>
  </mergeCells>
  <pageMargins left="0.25" right="0.25" top="0.28999999999999998" bottom="0.32" header="0.3" footer="0.3"/>
  <pageSetup paperSize="9" scale="68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4E69-A6CF-41B7-BD68-94FF202DFC2B}">
  <dimension ref="A1:H100"/>
  <sheetViews>
    <sheetView view="pageBreakPreview" topLeftCell="A79" zoomScale="70" zoomScaleNormal="70" zoomScaleSheetLayoutView="70" workbookViewId="0">
      <selection activeCell="D136" sqref="D136:G136"/>
    </sheetView>
  </sheetViews>
  <sheetFormatPr defaultColWidth="20" defaultRowHeight="21" x14ac:dyDescent="0.35"/>
  <cols>
    <col min="1" max="1" width="6.85546875" style="42" customWidth="1"/>
    <col min="2" max="2" width="10.140625" style="42" bestFit="1" customWidth="1"/>
    <col min="3" max="3" width="64.28515625" style="8" customWidth="1"/>
    <col min="4" max="4" width="30.5703125" style="649" customWidth="1"/>
    <col min="5" max="5" width="13.5703125" style="75" customWidth="1"/>
    <col min="6" max="6" width="20.140625" style="71" bestFit="1" customWidth="1"/>
    <col min="7" max="7" width="20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2163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COSMADE!B1</f>
        <v>COSMADE EASY MEDICALS LIMITED</v>
      </c>
      <c r="D7" s="648"/>
      <c r="E7" s="35"/>
      <c r="F7" s="38"/>
      <c r="G7" s="38"/>
      <c r="H7" s="38"/>
    </row>
    <row r="8" spans="1:8" s="42" customFormat="1" ht="18.75" x14ac:dyDescent="0.3">
      <c r="A8" s="35"/>
      <c r="B8" s="653">
        <f>COSMADE!A39</f>
        <v>850</v>
      </c>
      <c r="C8" s="653" t="str">
        <f>COSMADE!B39</f>
        <v>FROSTED END SLIDE</v>
      </c>
      <c r="D8" s="653" t="str">
        <f>COSMADE!C39</f>
        <v>1 Carton (40packs)</v>
      </c>
      <c r="E8" s="653">
        <f>COSMADE!D39</f>
        <v>10</v>
      </c>
      <c r="F8" s="38">
        <f>COSMADE!E39</f>
        <v>18000</v>
      </c>
      <c r="G8" s="38">
        <f>COSMADE!F39</f>
        <v>180000</v>
      </c>
      <c r="H8" s="38"/>
    </row>
    <row r="9" spans="1:8" s="42" customFormat="1" ht="18.75" x14ac:dyDescent="0.3">
      <c r="A9" s="35"/>
      <c r="B9" s="653">
        <f>COSMADE!A40</f>
        <v>851</v>
      </c>
      <c r="C9" s="653" t="str">
        <f>COSMADE!B40</f>
        <v>GLACIAL ACETIC ACID</v>
      </c>
      <c r="D9" s="653" t="str">
        <f>COSMADE!C40</f>
        <v>1 bottle (2.5L)</v>
      </c>
      <c r="E9" s="653">
        <f>COSMADE!D40</f>
        <v>5</v>
      </c>
      <c r="F9" s="38">
        <f>COSMADE!E40</f>
        <v>7500</v>
      </c>
      <c r="G9" s="38">
        <f>COSMADE!F40</f>
        <v>37500</v>
      </c>
      <c r="H9" s="38"/>
    </row>
    <row r="10" spans="1:8" s="42" customFormat="1" ht="18.75" x14ac:dyDescent="0.3">
      <c r="A10" s="35"/>
      <c r="B10" s="653">
        <f>COSMADE!A41</f>
        <v>854</v>
      </c>
      <c r="C10" s="653" t="str">
        <f>COSMADE!B41</f>
        <v>GLASS COVER SLIPS 22x50</v>
      </c>
      <c r="D10" s="653" t="str">
        <f>COSMADE!C41</f>
        <v>1Carton (10x100)</v>
      </c>
      <c r="E10" s="653">
        <f>COSMADE!D41</f>
        <v>20</v>
      </c>
      <c r="F10" s="38">
        <f>COSMADE!E41</f>
        <v>16000</v>
      </c>
      <c r="G10" s="38">
        <f>COSMADE!F41</f>
        <v>320000</v>
      </c>
      <c r="H10" s="38"/>
    </row>
    <row r="11" spans="1:8" s="42" customFormat="1" ht="18.75" x14ac:dyDescent="0.3">
      <c r="A11" s="35"/>
      <c r="B11" s="653">
        <f>COSMADE!A42</f>
        <v>859</v>
      </c>
      <c r="C11" s="653" t="str">
        <f>COSMADE!B42</f>
        <v>OIL IMMERSION 100ML</v>
      </c>
      <c r="D11" s="653" t="str">
        <f>COSMADE!C42</f>
        <v>1 bottle</v>
      </c>
      <c r="E11" s="653">
        <f>COSMADE!D42</f>
        <v>1</v>
      </c>
      <c r="F11" s="38">
        <f>COSMADE!E42</f>
        <v>4000</v>
      </c>
      <c r="G11" s="38">
        <f>COSMADE!F42</f>
        <v>4000</v>
      </c>
      <c r="H11" s="38"/>
    </row>
    <row r="12" spans="1:8" s="42" customFormat="1" ht="18.75" x14ac:dyDescent="0.3">
      <c r="A12" s="35"/>
      <c r="B12" s="653">
        <f>COSMADE!A43</f>
        <v>860</v>
      </c>
      <c r="C12" s="653" t="str">
        <f>COSMADE!B43</f>
        <v>ORANGE G 6 (OG6)</v>
      </c>
      <c r="D12" s="653" t="str">
        <f>COSMADE!C43</f>
        <v>1 bottle (1 liter)</v>
      </c>
      <c r="E12" s="653">
        <f>COSMADE!D43</f>
        <v>5</v>
      </c>
      <c r="F12" s="38">
        <f>COSMADE!E43</f>
        <v>7000</v>
      </c>
      <c r="G12" s="38">
        <f>COSMADE!F43</f>
        <v>35000</v>
      </c>
      <c r="H12" s="38"/>
    </row>
    <row r="13" spans="1:8" s="42" customFormat="1" ht="18.75" x14ac:dyDescent="0.3">
      <c r="A13" s="35"/>
      <c r="B13" s="653">
        <f>COSMADE!A44</f>
        <v>861</v>
      </c>
      <c r="C13" s="653" t="str">
        <f>COSMADE!B44</f>
        <v>PARAFFIN WAX</v>
      </c>
      <c r="D13" s="653" t="str">
        <f>COSMADE!C44</f>
        <v>1 pack (5 x25KG SLAB</v>
      </c>
      <c r="E13" s="653">
        <f>COSMADE!D44</f>
        <v>15</v>
      </c>
      <c r="F13" s="38">
        <f>COSMADE!E44</f>
        <v>20000</v>
      </c>
      <c r="G13" s="38">
        <f>COSMADE!F44</f>
        <v>300000</v>
      </c>
      <c r="H13" s="38"/>
    </row>
    <row r="14" spans="1:8" s="42" customFormat="1" ht="18.75" x14ac:dyDescent="0.3">
      <c r="A14" s="35"/>
      <c r="B14" s="653">
        <f>COSMADE!A45</f>
        <v>895</v>
      </c>
      <c r="C14" s="653" t="str">
        <f>COSMADE!B45</f>
        <v>PERIODIC ACID</v>
      </c>
      <c r="D14" s="653" t="str">
        <f>COSMADE!C45</f>
        <v>25g</v>
      </c>
      <c r="E14" s="653">
        <f>COSMADE!D45</f>
        <v>2</v>
      </c>
      <c r="F14" s="38">
        <f>COSMADE!E45</f>
        <v>7000</v>
      </c>
      <c r="G14" s="38">
        <f>COSMADE!F45</f>
        <v>14000</v>
      </c>
      <c r="H14" s="38"/>
    </row>
    <row r="15" spans="1:8" s="42" customFormat="1" ht="18.75" x14ac:dyDescent="0.3">
      <c r="A15" s="35"/>
      <c r="B15" s="653">
        <f>COSMADE!A46</f>
        <v>893</v>
      </c>
      <c r="C15" s="653" t="str">
        <f>COSMADE!B46</f>
        <v>POTASSIUM FERROCYANIDE</v>
      </c>
      <c r="D15" s="653" t="str">
        <f>COSMADE!C46</f>
        <v>500ml</v>
      </c>
      <c r="E15" s="653">
        <f>COSMADE!D46</f>
        <v>2</v>
      </c>
      <c r="F15" s="38">
        <f>COSMADE!E46</f>
        <v>5000</v>
      </c>
      <c r="G15" s="38">
        <f>COSMADE!F46</f>
        <v>10000</v>
      </c>
      <c r="H15" s="38"/>
    </row>
    <row r="16" spans="1:8" s="42" customFormat="1" ht="18.75" x14ac:dyDescent="0.3">
      <c r="A16" s="35"/>
      <c r="B16" s="653">
        <f>COSMADE!A47</f>
        <v>862</v>
      </c>
      <c r="C16" s="653" t="str">
        <f>COSMADE!B47</f>
        <v>POWDERED FORMALIN</v>
      </c>
      <c r="D16" s="653" t="str">
        <f>COSMADE!C47</f>
        <v>1 bag (25KG)</v>
      </c>
      <c r="E16" s="653">
        <f>COSMADE!D47</f>
        <v>1</v>
      </c>
      <c r="F16" s="38">
        <f>COSMADE!E47</f>
        <v>70000</v>
      </c>
      <c r="G16" s="38">
        <f>COSMADE!F47</f>
        <v>70000</v>
      </c>
      <c r="H16" s="38"/>
    </row>
    <row r="17" spans="1:8" s="42" customFormat="1" ht="23.25" x14ac:dyDescent="0.35">
      <c r="A17" s="35"/>
      <c r="B17" s="653">
        <f>COSMADE!A48</f>
        <v>889</v>
      </c>
      <c r="C17" s="653" t="str">
        <f>COSMADE!B48</f>
        <v>UNIVERSAL CONTAINERS</v>
      </c>
      <c r="D17" s="653" t="str">
        <f>COSMADE!C48</f>
        <v>1 Pack of 500 pcs</v>
      </c>
      <c r="E17" s="653">
        <f>COSMADE!D48</f>
        <v>1</v>
      </c>
      <c r="F17" s="38">
        <f>COSMADE!E48</f>
        <v>13000</v>
      </c>
      <c r="G17" s="38">
        <f>COSMADE!F48</f>
        <v>13000</v>
      </c>
      <c r="H17" s="79">
        <f>SUM(G8:G17)</f>
        <v>983500</v>
      </c>
    </row>
    <row r="18" spans="1:8" s="42" customFormat="1" ht="18.75" x14ac:dyDescent="0.3">
      <c r="A18" s="35"/>
      <c r="B18" s="653"/>
      <c r="C18" s="653"/>
      <c r="D18" s="653"/>
      <c r="E18" s="653"/>
      <c r="F18" s="38"/>
      <c r="G18" s="38"/>
      <c r="H18" s="38"/>
    </row>
    <row r="19" spans="1:8" s="42" customFormat="1" ht="23.25" x14ac:dyDescent="0.35">
      <c r="A19" s="35">
        <v>2</v>
      </c>
      <c r="B19" s="653"/>
      <c r="C19" s="656" t="str">
        <f>SANCON!B1</f>
        <v>DE SANCON &amp; ASSOCIATES LIMITED</v>
      </c>
      <c r="D19" s="653"/>
      <c r="E19" s="653"/>
      <c r="F19" s="38"/>
      <c r="G19" s="38"/>
      <c r="H19" s="38"/>
    </row>
    <row r="20" spans="1:8" s="42" customFormat="1" ht="18.75" x14ac:dyDescent="0.3">
      <c r="A20" s="35"/>
      <c r="B20" s="653">
        <f>SANCON!A47</f>
        <v>896</v>
      </c>
      <c r="C20" s="653" t="str">
        <f>SANCON!B47</f>
        <v>ACID FUCHSIN</v>
      </c>
      <c r="D20" s="653" t="str">
        <f>SANCON!C47</f>
        <v>25g</v>
      </c>
      <c r="E20" s="653">
        <f>SANCON!D47</f>
        <v>2</v>
      </c>
      <c r="F20" s="38">
        <f>SANCON!E47</f>
        <v>4000</v>
      </c>
      <c r="G20" s="38">
        <f>SANCON!F47</f>
        <v>8000</v>
      </c>
      <c r="H20" s="38"/>
    </row>
    <row r="21" spans="1:8" s="42" customFormat="1" ht="18.75" x14ac:dyDescent="0.3">
      <c r="A21" s="35"/>
      <c r="B21" s="653">
        <f>SANCON!A48</f>
        <v>866</v>
      </c>
      <c r="C21" s="653" t="str">
        <f>SANCON!B48</f>
        <v>DELTA FORCE</v>
      </c>
      <c r="D21" s="653" t="str">
        <f>SANCON!C48</f>
        <v>1 Carton (10pcs)</v>
      </c>
      <c r="E21" s="653">
        <f>SANCON!D48</f>
        <v>4</v>
      </c>
      <c r="F21" s="38">
        <f>SANCON!E48</f>
        <v>32600</v>
      </c>
      <c r="G21" s="38">
        <f>SANCON!F48</f>
        <v>130400</v>
      </c>
      <c r="H21" s="38"/>
    </row>
    <row r="22" spans="1:8" s="42" customFormat="1" ht="18.75" x14ac:dyDescent="0.3">
      <c r="A22" s="35"/>
      <c r="B22" s="653">
        <f>SANCON!A49</f>
        <v>867</v>
      </c>
      <c r="C22" s="653" t="str">
        <f>SANCON!B49</f>
        <v>FACE MASK SURGICAL</v>
      </c>
      <c r="D22" s="653" t="str">
        <f>SANCON!C49</f>
        <v>1 Carton (50x10)</v>
      </c>
      <c r="E22" s="653">
        <f>SANCON!D49</f>
        <v>4</v>
      </c>
      <c r="F22" s="38">
        <f>SANCON!E49</f>
        <v>4500</v>
      </c>
      <c r="G22" s="38">
        <f>SANCON!F49</f>
        <v>18000</v>
      </c>
      <c r="H22" s="38"/>
    </row>
    <row r="23" spans="1:8" s="42" customFormat="1" ht="18.75" x14ac:dyDescent="0.3">
      <c r="A23" s="35"/>
      <c r="B23" s="653">
        <f>SANCON!A50</f>
        <v>868</v>
      </c>
      <c r="C23" s="653" t="str">
        <f>SANCON!B50</f>
        <v>FILTER PAPER</v>
      </c>
      <c r="D23" s="653" t="str">
        <f>SANCON!C50</f>
        <v>1 pack (25pcs) Medium</v>
      </c>
      <c r="E23" s="653">
        <f>SANCON!D50</f>
        <v>2</v>
      </c>
      <c r="F23" s="38">
        <f>SANCON!E50</f>
        <v>1200</v>
      </c>
      <c r="G23" s="38">
        <f>SANCON!F50</f>
        <v>2400</v>
      </c>
      <c r="H23" s="38"/>
    </row>
    <row r="24" spans="1:8" s="42" customFormat="1" ht="18.75" x14ac:dyDescent="0.3">
      <c r="A24" s="35"/>
      <c r="B24" s="653">
        <f>SANCON!A51</f>
        <v>850</v>
      </c>
      <c r="C24" s="653" t="str">
        <f>SANCON!B51</f>
        <v>FROSTED END SLIDE</v>
      </c>
      <c r="D24" s="653" t="str">
        <f>SANCON!C51</f>
        <v>1 Carton (40packs)</v>
      </c>
      <c r="E24" s="653">
        <f>SANCON!D51</f>
        <v>10</v>
      </c>
      <c r="F24" s="38">
        <f>SANCON!E51</f>
        <v>18000</v>
      </c>
      <c r="G24" s="38">
        <f>SANCON!F51</f>
        <v>180000</v>
      </c>
      <c r="H24" s="38"/>
    </row>
    <row r="25" spans="1:8" s="42" customFormat="1" ht="18.75" x14ac:dyDescent="0.3">
      <c r="A25" s="35"/>
      <c r="B25" s="653">
        <f>SANCON!A52</f>
        <v>872</v>
      </c>
      <c r="C25" s="653" t="str">
        <f>SANCON!B52</f>
        <v>I P A ALCOHOL</v>
      </c>
      <c r="D25" s="653" t="str">
        <f>SANCON!C52</f>
        <v>1 Drum (200 LTRS</v>
      </c>
      <c r="E25" s="653">
        <f>SANCON!D52</f>
        <v>2</v>
      </c>
      <c r="F25" s="38">
        <f>SANCON!E52</f>
        <v>120000</v>
      </c>
      <c r="G25" s="38">
        <f>SANCON!F52</f>
        <v>240000</v>
      </c>
      <c r="H25" s="35"/>
    </row>
    <row r="26" spans="1:8" s="42" customFormat="1" ht="18.75" x14ac:dyDescent="0.3">
      <c r="A26" s="35"/>
      <c r="B26" s="653">
        <f>SANCON!A53</f>
        <v>858</v>
      </c>
      <c r="C26" s="653" t="str">
        <f>SANCON!B53</f>
        <v>NYLON APRON (DISPOSABLE)</v>
      </c>
      <c r="D26" s="653" t="str">
        <f>SANCON!C53</f>
        <v>1 pack (20pcs)</v>
      </c>
      <c r="E26" s="653">
        <f>SANCON!D53</f>
        <v>5</v>
      </c>
      <c r="F26" s="38">
        <f>SANCON!E53</f>
        <v>2500</v>
      </c>
      <c r="G26" s="38">
        <f>SANCON!F53</f>
        <v>12500</v>
      </c>
      <c r="H26" s="35"/>
    </row>
    <row r="27" spans="1:8" s="42" customFormat="1" ht="18.75" x14ac:dyDescent="0.3">
      <c r="A27" s="35"/>
      <c r="B27" s="653">
        <f>SANCON!A54</f>
        <v>897</v>
      </c>
      <c r="C27" s="653" t="str">
        <f>SANCON!B54</f>
        <v>PONCEAN 2R</v>
      </c>
      <c r="D27" s="653" t="str">
        <f>SANCON!C54</f>
        <v>25g</v>
      </c>
      <c r="E27" s="653">
        <f>SANCON!D54</f>
        <v>2</v>
      </c>
      <c r="F27" s="38">
        <f>SANCON!E54</f>
        <v>4000</v>
      </c>
      <c r="G27" s="38">
        <f>SANCON!F54</f>
        <v>8000</v>
      </c>
      <c r="H27" s="38"/>
    </row>
    <row r="28" spans="1:8" s="42" customFormat="1" ht="18.75" x14ac:dyDescent="0.3">
      <c r="A28" s="35"/>
      <c r="B28" s="653">
        <f>SANCON!A55</f>
        <v>874</v>
      </c>
      <c r="C28" s="653" t="str">
        <f>SANCON!B55</f>
        <v>POTASSIUM ALUM</v>
      </c>
      <c r="D28" s="653" t="str">
        <f>SANCON!C55</f>
        <v>1 bottle (500g)</v>
      </c>
      <c r="E28" s="653">
        <f>SANCON!D55</f>
        <v>1</v>
      </c>
      <c r="F28" s="38">
        <f>SANCON!E55</f>
        <v>5000</v>
      </c>
      <c r="G28" s="38">
        <f>SANCON!F55</f>
        <v>5000</v>
      </c>
      <c r="H28" s="38"/>
    </row>
    <row r="29" spans="1:8" s="42" customFormat="1" ht="18.75" x14ac:dyDescent="0.3">
      <c r="A29" s="35"/>
      <c r="B29" s="653">
        <f>SANCON!A56</f>
        <v>886</v>
      </c>
      <c r="C29" s="653" t="str">
        <f>SANCON!B56</f>
        <v>SLIDE TRAY</v>
      </c>
      <c r="D29" s="653" t="str">
        <f>SANCON!C56</f>
        <v>1 Carton (100pcs)</v>
      </c>
      <c r="E29" s="653">
        <f>SANCON!D56</f>
        <v>20</v>
      </c>
      <c r="F29" s="38">
        <f>SANCON!E56</f>
        <v>2500</v>
      </c>
      <c r="G29" s="38">
        <f>SANCON!F56</f>
        <v>50000</v>
      </c>
      <c r="H29" s="38"/>
    </row>
    <row r="30" spans="1:8" s="42" customFormat="1" ht="23.25" x14ac:dyDescent="0.35">
      <c r="A30" s="35"/>
      <c r="B30" s="653">
        <f>SANCON!A57</f>
        <v>875</v>
      </c>
      <c r="C30" s="653" t="str">
        <f>SANCON!B57</f>
        <v>SNAPER</v>
      </c>
      <c r="D30" s="653" t="str">
        <f>SANCON!C57</f>
        <v>1 Carton (10 x500ml)</v>
      </c>
      <c r="E30" s="653">
        <f>SANCON!D57</f>
        <v>4</v>
      </c>
      <c r="F30" s="38">
        <f>SANCON!E57</f>
        <v>21600</v>
      </c>
      <c r="G30" s="38">
        <f>SANCON!F57</f>
        <v>86400</v>
      </c>
      <c r="H30" s="79">
        <f>SUM(G20:G30)</f>
        <v>740700</v>
      </c>
    </row>
    <row r="31" spans="1:8" s="42" customFormat="1" ht="23.25" x14ac:dyDescent="0.35">
      <c r="A31" s="35"/>
      <c r="B31" s="653"/>
      <c r="C31" s="653"/>
      <c r="D31" s="653"/>
      <c r="E31" s="653"/>
      <c r="F31" s="38"/>
      <c r="G31" s="38"/>
      <c r="H31" s="79"/>
    </row>
    <row r="32" spans="1:8" s="42" customFormat="1" ht="23.25" x14ac:dyDescent="0.35">
      <c r="A32" s="35">
        <v>3</v>
      </c>
      <c r="B32" s="35"/>
      <c r="C32" s="77" t="str">
        <f>DYNAMIC!B1</f>
        <v>DYNAMIC ANCHOR SOURCE LIMITED</v>
      </c>
      <c r="D32" s="648"/>
      <c r="E32" s="35"/>
      <c r="F32" s="38"/>
      <c r="G32" s="38"/>
      <c r="H32" s="38"/>
    </row>
    <row r="33" spans="1:8" s="42" customFormat="1" ht="18.75" x14ac:dyDescent="0.3">
      <c r="A33" s="35"/>
      <c r="B33" s="653">
        <f>DYNAMIC!A33</f>
        <v>848</v>
      </c>
      <c r="C33" s="653" t="str">
        <f>DYNAMIC!B33</f>
        <v>CRESYL VIOLET</v>
      </c>
      <c r="D33" s="653" t="str">
        <f>DYNAMIC!C33</f>
        <v>1 bottle (25G)</v>
      </c>
      <c r="E33" s="653">
        <f>DYNAMIC!D33</f>
        <v>1</v>
      </c>
      <c r="F33" s="38">
        <f>DYNAMIC!E33</f>
        <v>3500</v>
      </c>
      <c r="G33" s="38">
        <f>DYNAMIC!F33</f>
        <v>3500</v>
      </c>
      <c r="H33" s="35"/>
    </row>
    <row r="34" spans="1:8" s="42" customFormat="1" ht="18.75" x14ac:dyDescent="0.3">
      <c r="A34" s="35"/>
      <c r="B34" s="653">
        <f>DYNAMIC!A34</f>
        <v>881</v>
      </c>
      <c r="C34" s="653" t="str">
        <f>DYNAMIC!B34</f>
        <v>EOSIN ESURE (EA 360R 50)</v>
      </c>
      <c r="D34" s="653" t="str">
        <f>DYNAMIC!C34</f>
        <v>1 bottle (500mls)</v>
      </c>
      <c r="E34" s="653">
        <f>DYNAMIC!D34</f>
        <v>5</v>
      </c>
      <c r="F34" s="38">
        <f>DYNAMIC!E34</f>
        <v>15625</v>
      </c>
      <c r="G34" s="38">
        <f>DYNAMIC!F34</f>
        <v>78125</v>
      </c>
      <c r="H34" s="35"/>
    </row>
    <row r="35" spans="1:8" s="42" customFormat="1" ht="23.25" x14ac:dyDescent="0.35">
      <c r="A35" s="35"/>
      <c r="B35" s="653">
        <f>DYNAMIC!A35</f>
        <v>882</v>
      </c>
      <c r="C35" s="653" t="str">
        <f>DYNAMIC!B35</f>
        <v>IZAL</v>
      </c>
      <c r="D35" s="653" t="str">
        <f>DYNAMIC!C35</f>
        <v>1 keg (1liter)</v>
      </c>
      <c r="E35" s="653">
        <f>DYNAMIC!D35</f>
        <v>20</v>
      </c>
      <c r="F35" s="38">
        <f>DYNAMIC!E35</f>
        <v>1125</v>
      </c>
      <c r="G35" s="38">
        <f>DYNAMIC!F35</f>
        <v>22500</v>
      </c>
      <c r="H35" s="186"/>
    </row>
    <row r="36" spans="1:8" s="42" customFormat="1" ht="18.75" x14ac:dyDescent="0.3">
      <c r="A36" s="35"/>
      <c r="B36" s="653">
        <f>DYNAMIC!A36</f>
        <v>887</v>
      </c>
      <c r="C36" s="653" t="str">
        <f>DYNAMIC!B36</f>
        <v>EYES CAP</v>
      </c>
      <c r="D36" s="653" t="str">
        <f>DYNAMIC!C36</f>
        <v>1 bottle (6pcs)</v>
      </c>
      <c r="E36" s="653">
        <f>DYNAMIC!D36</f>
        <v>5</v>
      </c>
      <c r="F36" s="38">
        <f>DYNAMIC!E36</f>
        <v>1000</v>
      </c>
      <c r="G36" s="38">
        <f>DYNAMIC!F36</f>
        <v>5000</v>
      </c>
      <c r="H36" s="35"/>
    </row>
    <row r="37" spans="1:8" s="42" customFormat="1" ht="18.75" x14ac:dyDescent="0.3">
      <c r="A37" s="35"/>
      <c r="B37" s="653">
        <f>DYNAMIC!A37</f>
        <v>888</v>
      </c>
      <c r="C37" s="653" t="str">
        <f>DYNAMIC!B37</f>
        <v>NAME LABEL (MORTUARY)</v>
      </c>
      <c r="D37" s="653" t="str">
        <f>DYNAMIC!C37</f>
        <v>1 pack (10pcs)</v>
      </c>
      <c r="E37" s="653">
        <f>DYNAMIC!D37</f>
        <v>10</v>
      </c>
      <c r="F37" s="38">
        <f>DYNAMIC!E37</f>
        <v>1875</v>
      </c>
      <c r="G37" s="38">
        <f>DYNAMIC!F37</f>
        <v>18750</v>
      </c>
      <c r="H37" s="35"/>
    </row>
    <row r="38" spans="1:8" s="42" customFormat="1" ht="18.75" x14ac:dyDescent="0.3">
      <c r="A38" s="35"/>
      <c r="B38" s="653">
        <f>DYNAMIC!A38</f>
        <v>891</v>
      </c>
      <c r="C38" s="653" t="str">
        <f>DYNAMIC!B38</f>
        <v>CHLORALHYDRATE</v>
      </c>
      <c r="D38" s="653" t="str">
        <f>DYNAMIC!C38</f>
        <v>1 bottle (500ml)</v>
      </c>
      <c r="E38" s="653">
        <f>DYNAMIC!D38</f>
        <v>2</v>
      </c>
      <c r="F38" s="38">
        <f>DYNAMIC!E38</f>
        <v>6875</v>
      </c>
      <c r="G38" s="38">
        <f>DYNAMIC!F38</f>
        <v>13750</v>
      </c>
      <c r="H38" s="35"/>
    </row>
    <row r="39" spans="1:8" s="42" customFormat="1" ht="18.75" x14ac:dyDescent="0.3">
      <c r="A39" s="35"/>
      <c r="B39" s="653">
        <f>DYNAMIC!A39</f>
        <v>898</v>
      </c>
      <c r="C39" s="653" t="str">
        <f>DYNAMIC!B39</f>
        <v>FERRIC ACID</v>
      </c>
      <c r="D39" s="653" t="str">
        <f>DYNAMIC!C39</f>
        <v>500mls</v>
      </c>
      <c r="E39" s="653">
        <f>DYNAMIC!D39</f>
        <v>2</v>
      </c>
      <c r="F39" s="38">
        <f>DYNAMIC!E39</f>
        <v>4375</v>
      </c>
      <c r="G39" s="38">
        <f>DYNAMIC!F39</f>
        <v>8750</v>
      </c>
      <c r="H39" s="35"/>
    </row>
    <row r="40" spans="1:8" s="42" customFormat="1" ht="18.75" x14ac:dyDescent="0.3">
      <c r="A40" s="35"/>
      <c r="B40" s="653">
        <f>DYNAMIC!A40</f>
        <v>900</v>
      </c>
      <c r="C40" s="653" t="str">
        <f>DYNAMIC!B40</f>
        <v>HEAMATOXYLIN</v>
      </c>
      <c r="D40" s="653" t="str">
        <f>DYNAMIC!C40</f>
        <v>25g</v>
      </c>
      <c r="E40" s="653">
        <f>DYNAMIC!D40</f>
        <v>5</v>
      </c>
      <c r="F40" s="38">
        <f>DYNAMIC!E40</f>
        <v>15000</v>
      </c>
      <c r="G40" s="38">
        <f>DYNAMIC!F40</f>
        <v>75000</v>
      </c>
      <c r="H40" s="35"/>
    </row>
    <row r="41" spans="1:8" s="42" customFormat="1" ht="23.25" x14ac:dyDescent="0.35">
      <c r="A41" s="35"/>
      <c r="B41" s="653">
        <f>DYNAMIC!A41</f>
        <v>901</v>
      </c>
      <c r="C41" s="653" t="str">
        <f>DYNAMIC!B41</f>
        <v xml:space="preserve">EOSIN  </v>
      </c>
      <c r="D41" s="653" t="str">
        <f>DYNAMIC!C41</f>
        <v>25g</v>
      </c>
      <c r="E41" s="653">
        <f>DYNAMIC!D41</f>
        <v>5</v>
      </c>
      <c r="F41" s="38">
        <f>DYNAMIC!E41</f>
        <v>3125</v>
      </c>
      <c r="G41" s="38">
        <f>DYNAMIC!F41</f>
        <v>15625</v>
      </c>
      <c r="H41" s="79">
        <f>SUM(G33:G41)</f>
        <v>241000</v>
      </c>
    </row>
    <row r="42" spans="1:8" s="42" customFormat="1" ht="18.75" x14ac:dyDescent="0.3">
      <c r="A42" s="35"/>
      <c r="B42" s="653"/>
      <c r="C42" s="653"/>
      <c r="D42" s="653"/>
      <c r="E42" s="653"/>
      <c r="F42" s="38"/>
      <c r="G42" s="38"/>
      <c r="H42" s="38"/>
    </row>
    <row r="43" spans="1:8" s="42" customFormat="1" ht="23.25" x14ac:dyDescent="0.35">
      <c r="A43" s="35">
        <v>4</v>
      </c>
      <c r="B43" s="653"/>
      <c r="C43" s="656" t="str">
        <f>ROTECH!B1</f>
        <v>INTER-ROTECH NIGERIA LIMITED</v>
      </c>
      <c r="D43" s="653"/>
      <c r="E43" s="653"/>
      <c r="F43" s="38"/>
      <c r="G43" s="38"/>
      <c r="H43" s="38"/>
    </row>
    <row r="44" spans="1:8" s="42" customFormat="1" ht="18.75" x14ac:dyDescent="0.3">
      <c r="A44" s="35"/>
      <c r="B44" s="653">
        <f>ROTECH!A32</f>
        <v>865</v>
      </c>
      <c r="C44" s="653" t="str">
        <f>ROTECH!B32</f>
        <v>DD FORCE</v>
      </c>
      <c r="D44" s="653" t="str">
        <f>ROTECH!C32</f>
        <v>1 Carton (12 x 1 litre)</v>
      </c>
      <c r="E44" s="653">
        <f>ROTECH!D32</f>
        <v>4</v>
      </c>
      <c r="F44" s="38">
        <f>ROTECH!E32</f>
        <v>31580</v>
      </c>
      <c r="G44" s="38">
        <f>ROTECH!F32</f>
        <v>126320</v>
      </c>
      <c r="H44" s="38"/>
    </row>
    <row r="45" spans="1:8" s="42" customFormat="1" ht="18.75" x14ac:dyDescent="0.3">
      <c r="A45" s="35"/>
      <c r="B45" s="653">
        <f>ROTECH!A33</f>
        <v>869</v>
      </c>
      <c r="C45" s="653" t="str">
        <f>ROTECH!B33</f>
        <v>FORCEPS NON TOOTHED</v>
      </c>
      <c r="D45" s="653" t="str">
        <f>ROTECH!C33</f>
        <v>1 piece</v>
      </c>
      <c r="E45" s="653">
        <f>ROTECH!D33</f>
        <v>8</v>
      </c>
      <c r="F45" s="38">
        <f>ROTECH!E33</f>
        <v>250</v>
      </c>
      <c r="G45" s="38">
        <f>ROTECH!F33</f>
        <v>2000</v>
      </c>
      <c r="H45" s="38"/>
    </row>
    <row r="46" spans="1:8" s="42" customFormat="1" ht="18.75" x14ac:dyDescent="0.3">
      <c r="A46" s="35"/>
      <c r="B46" s="653">
        <f>ROTECH!A34</f>
        <v>870</v>
      </c>
      <c r="C46" s="653" t="str">
        <f>ROTECH!B34</f>
        <v>FORCEPS TOOTHED</v>
      </c>
      <c r="D46" s="653" t="str">
        <f>ROTECH!C34</f>
        <v>1 piece</v>
      </c>
      <c r="E46" s="653">
        <f>ROTECH!D34</f>
        <v>8</v>
      </c>
      <c r="F46" s="38">
        <f>ROTECH!E34</f>
        <v>250</v>
      </c>
      <c r="G46" s="38">
        <f>ROTECH!F34</f>
        <v>2000</v>
      </c>
      <c r="H46" s="38"/>
    </row>
    <row r="47" spans="1:8" s="42" customFormat="1" ht="23.25" x14ac:dyDescent="0.35">
      <c r="A47" s="35"/>
      <c r="B47" s="653">
        <f>ROTECH!A35</f>
        <v>876</v>
      </c>
      <c r="C47" s="653" t="str">
        <f>ROTECH!B35</f>
        <v>THICK RED RUBBER GLOVES</v>
      </c>
      <c r="D47" s="653" t="str">
        <f>ROTECH!C35</f>
        <v>1 pair</v>
      </c>
      <c r="E47" s="653">
        <f>ROTECH!D35</f>
        <v>24</v>
      </c>
      <c r="F47" s="38">
        <f>ROTECH!E35</f>
        <v>400</v>
      </c>
      <c r="G47" s="38">
        <f>ROTECH!F35</f>
        <v>9600</v>
      </c>
      <c r="H47" s="79">
        <f>SUM(G44:G47)</f>
        <v>139920</v>
      </c>
    </row>
    <row r="48" spans="1:8" s="42" customFormat="1" ht="18.75" x14ac:dyDescent="0.3">
      <c r="A48" s="35"/>
      <c r="B48" s="653"/>
      <c r="C48" s="653"/>
      <c r="D48" s="653"/>
      <c r="E48" s="653"/>
      <c r="F48" s="38"/>
      <c r="G48" s="38"/>
      <c r="H48" s="38"/>
    </row>
    <row r="49" spans="1:8" s="42" customFormat="1" ht="23.25" x14ac:dyDescent="0.35">
      <c r="A49" s="35">
        <v>5</v>
      </c>
      <c r="B49" s="35"/>
      <c r="C49" s="77" t="str">
        <f>LAYO!B1</f>
        <v>LAYO-JAT NIGERIA LIMITED</v>
      </c>
      <c r="D49" s="648"/>
      <c r="E49" s="35"/>
      <c r="F49" s="38"/>
      <c r="G49" s="38"/>
      <c r="H49" s="38"/>
    </row>
    <row r="50" spans="1:8" s="42" customFormat="1" ht="18.75" x14ac:dyDescent="0.3">
      <c r="A50" s="35"/>
      <c r="B50" s="653">
        <f>LAYO!A11</f>
        <v>879</v>
      </c>
      <c r="C50" s="653" t="str">
        <f>LAYO!B11</f>
        <v>COUPLING JAR</v>
      </c>
      <c r="D50" s="653" t="str">
        <f>LAYO!C11</f>
        <v>1 pack of 5 Slides</v>
      </c>
      <c r="E50" s="653">
        <f>LAYO!D11</f>
        <v>10</v>
      </c>
      <c r="F50" s="38">
        <f>LAYO!E11</f>
        <v>650</v>
      </c>
      <c r="G50" s="38">
        <f>LAYO!F11</f>
        <v>6500</v>
      </c>
      <c r="H50" s="38"/>
    </row>
    <row r="51" spans="1:8" s="42" customFormat="1" ht="23.25" x14ac:dyDescent="0.35">
      <c r="A51" s="35"/>
      <c r="B51" s="653">
        <f>LAYO!A12</f>
        <v>880</v>
      </c>
      <c r="C51" s="653" t="str">
        <f>LAYO!B12</f>
        <v>EMBEDDING MOULD STAINLESS</v>
      </c>
      <c r="D51" s="653" t="str">
        <f>LAYO!C12</f>
        <v>1 pack (12pcs)</v>
      </c>
      <c r="E51" s="653">
        <f>LAYO!D12</f>
        <v>15</v>
      </c>
      <c r="F51" s="38">
        <f>LAYO!E12</f>
        <v>15600</v>
      </c>
      <c r="G51" s="38">
        <f>LAYO!F12</f>
        <v>234000</v>
      </c>
      <c r="H51" s="186"/>
    </row>
    <row r="52" spans="1:8" s="42" customFormat="1" ht="18.75" x14ac:dyDescent="0.3">
      <c r="A52" s="35"/>
      <c r="B52" s="653">
        <f>LAYO!A13</f>
        <v>853</v>
      </c>
      <c r="C52" s="653" t="str">
        <f>LAYO!B13</f>
        <v>GLASS COVER SLIPS 22x40</v>
      </c>
      <c r="D52" s="653" t="str">
        <f>LAYO!C13</f>
        <v>1 Carton (10x100)</v>
      </c>
      <c r="E52" s="653">
        <f>LAYO!D13</f>
        <v>20</v>
      </c>
      <c r="F52" s="38">
        <f>LAYO!E13</f>
        <v>12350</v>
      </c>
      <c r="G52" s="38">
        <f>LAYO!F13</f>
        <v>247000</v>
      </c>
      <c r="H52" s="35"/>
    </row>
    <row r="53" spans="1:8" s="42" customFormat="1" ht="18.75" x14ac:dyDescent="0.3">
      <c r="A53" s="35"/>
      <c r="B53" s="653">
        <f>LAYO!A14</f>
        <v>885</v>
      </c>
      <c r="C53" s="653" t="str">
        <f>LAYO!B14</f>
        <v>PLASTIC DISPOSABLE SPECULUM</v>
      </c>
      <c r="D53" s="653" t="str">
        <f>LAYO!C14</f>
        <v>1 Carton (100pcs)</v>
      </c>
      <c r="E53" s="653">
        <f>LAYO!D14</f>
        <v>10</v>
      </c>
      <c r="F53" s="38">
        <f>LAYO!E14</f>
        <v>13650</v>
      </c>
      <c r="G53" s="38">
        <f>LAYO!F14</f>
        <v>136500</v>
      </c>
      <c r="H53" s="35"/>
    </row>
    <row r="54" spans="1:8" s="42" customFormat="1" ht="23.25" x14ac:dyDescent="0.35">
      <c r="A54" s="35"/>
      <c r="B54" s="653">
        <f>LAYO!A15</f>
        <v>863</v>
      </c>
      <c r="C54" s="653" t="str">
        <f>LAYO!B15</f>
        <v>TISSUE PAPER</v>
      </c>
      <c r="D54" s="653" t="str">
        <f>LAYO!C15</f>
        <v>1 Carton (24pcs)</v>
      </c>
      <c r="E54" s="653">
        <f>LAYO!D15</f>
        <v>8</v>
      </c>
      <c r="F54" s="38">
        <f>LAYO!E15</f>
        <v>2184</v>
      </c>
      <c r="G54" s="38">
        <f>LAYO!F15</f>
        <v>17472</v>
      </c>
      <c r="H54" s="79">
        <f>SUM(G50:G54)</f>
        <v>641472</v>
      </c>
    </row>
    <row r="55" spans="1:8" s="42" customFormat="1" ht="18.75" x14ac:dyDescent="0.3">
      <c r="A55" s="35"/>
      <c r="B55" s="653"/>
      <c r="C55" s="653"/>
      <c r="D55" s="653"/>
      <c r="E55" s="653"/>
      <c r="F55" s="38"/>
      <c r="G55" s="38"/>
      <c r="H55" s="38"/>
    </row>
    <row r="56" spans="1:8" s="42" customFormat="1" ht="23.25" x14ac:dyDescent="0.35">
      <c r="A56" s="35">
        <v>6</v>
      </c>
      <c r="B56" s="653"/>
      <c r="C56" s="656" t="str">
        <f>TEMITA!B1</f>
        <v>TEMITA SCIENTIFIC VENTURES</v>
      </c>
      <c r="D56" s="653"/>
      <c r="E56" s="653"/>
      <c r="F56" s="38"/>
      <c r="G56" s="38"/>
      <c r="H56" s="38"/>
    </row>
    <row r="57" spans="1:8" s="42" customFormat="1" ht="18.75" x14ac:dyDescent="0.3">
      <c r="A57" s="35"/>
      <c r="B57" s="653">
        <f>TEMITA!A24</f>
        <v>847</v>
      </c>
      <c r="C57" s="653" t="str">
        <f>TEMITA!B24</f>
        <v>ACETONE</v>
      </c>
      <c r="D57" s="653" t="str">
        <f>TEMITA!C24</f>
        <v>Bottle (2.5L)</v>
      </c>
      <c r="E57" s="653">
        <f>TEMITA!D24</f>
        <v>1</v>
      </c>
      <c r="F57" s="38">
        <f>TEMITA!E24</f>
        <v>5000</v>
      </c>
      <c r="G57" s="38">
        <f>TEMITA!F24</f>
        <v>5000</v>
      </c>
      <c r="H57" s="38"/>
    </row>
    <row r="58" spans="1:8" s="42" customFormat="1" ht="18.75" x14ac:dyDescent="0.3">
      <c r="A58" s="35"/>
      <c r="B58" s="653">
        <f>TEMITA!A25</f>
        <v>890</v>
      </c>
      <c r="C58" s="653" t="str">
        <f>TEMITA!B25</f>
        <v>CITRIC ACID</v>
      </c>
      <c r="D58" s="653" t="str">
        <f>TEMITA!C25</f>
        <v>1 bottle (500ml)</v>
      </c>
      <c r="E58" s="653">
        <f>TEMITA!D25</f>
        <v>2</v>
      </c>
      <c r="F58" s="38">
        <f>TEMITA!E25</f>
        <v>3800</v>
      </c>
      <c r="G58" s="38">
        <f>TEMITA!F25</f>
        <v>7600</v>
      </c>
      <c r="H58" s="38"/>
    </row>
    <row r="59" spans="1:8" s="42" customFormat="1" ht="18.75" x14ac:dyDescent="0.3">
      <c r="A59" s="35"/>
      <c r="B59" s="653">
        <f>TEMITA!A26</f>
        <v>878</v>
      </c>
      <c r="C59" s="653" t="str">
        <f>TEMITA!B26</f>
        <v>CONGO</v>
      </c>
      <c r="D59" s="653" t="str">
        <f>TEMITA!C26</f>
        <v>1 bottle (25G)</v>
      </c>
      <c r="E59" s="653">
        <f>TEMITA!D26</f>
        <v>1</v>
      </c>
      <c r="F59" s="38">
        <f>TEMITA!E26</f>
        <v>3300</v>
      </c>
      <c r="G59" s="38">
        <f>TEMITA!F26</f>
        <v>3300</v>
      </c>
      <c r="H59" s="38"/>
    </row>
    <row r="60" spans="1:8" s="42" customFormat="1" ht="23.25" x14ac:dyDescent="0.35">
      <c r="A60" s="35"/>
      <c r="B60" s="653">
        <f>TEMITA!A27</f>
        <v>849</v>
      </c>
      <c r="C60" s="653" t="str">
        <f>TEMITA!B27</f>
        <v>FORMALIN</v>
      </c>
      <c r="D60" s="653" t="str">
        <f>TEMITA!C27</f>
        <v>1 keg (40 Ltrs)</v>
      </c>
      <c r="E60" s="653">
        <f>TEMITA!D27</f>
        <v>180</v>
      </c>
      <c r="F60" s="38">
        <f>TEMITA!E27</f>
        <v>9300</v>
      </c>
      <c r="G60" s="38">
        <f>TEMITA!F27</f>
        <v>1674000</v>
      </c>
      <c r="H60" s="186"/>
    </row>
    <row r="61" spans="1:8" s="42" customFormat="1" ht="18.75" x14ac:dyDescent="0.3">
      <c r="A61" s="35"/>
      <c r="B61" s="653">
        <f>TEMITA!A28</f>
        <v>852</v>
      </c>
      <c r="C61" s="653" t="str">
        <f>TEMITA!B28</f>
        <v>GLASS COVER SLIPS 22 x 32</v>
      </c>
      <c r="D61" s="653" t="str">
        <f>TEMITA!C28</f>
        <v>1Carton (10x100)</v>
      </c>
      <c r="E61" s="653">
        <f>TEMITA!D28</f>
        <v>20</v>
      </c>
      <c r="F61" s="38">
        <f>TEMITA!E28</f>
        <v>5900</v>
      </c>
      <c r="G61" s="38">
        <f>TEMITA!F28</f>
        <v>118000</v>
      </c>
      <c r="H61" s="35"/>
    </row>
    <row r="62" spans="1:8" s="42" customFormat="1" ht="18.75" x14ac:dyDescent="0.3">
      <c r="A62" s="35"/>
      <c r="B62" s="653">
        <f>TEMITA!A29</f>
        <v>855</v>
      </c>
      <c r="C62" s="653" t="str">
        <f>TEMITA!B29</f>
        <v>HYDROCHLORIC ACID (HCL)</v>
      </c>
      <c r="D62" s="653" t="str">
        <f>TEMITA!C29</f>
        <v>1 bottle (2.5L)</v>
      </c>
      <c r="E62" s="653">
        <f>TEMITA!D29</f>
        <v>1</v>
      </c>
      <c r="F62" s="38">
        <f>TEMITA!E29</f>
        <v>5000</v>
      </c>
      <c r="G62" s="38">
        <f>TEMITA!F29</f>
        <v>5000</v>
      </c>
      <c r="H62" s="35"/>
    </row>
    <row r="63" spans="1:8" s="42" customFormat="1" ht="23.25" x14ac:dyDescent="0.35">
      <c r="A63" s="35"/>
      <c r="B63" s="653">
        <f>TEMITA!A30</f>
        <v>899</v>
      </c>
      <c r="C63" s="653" t="str">
        <f>TEMITA!B30</f>
        <v>LIGHT GREEN ANITINE BLUE</v>
      </c>
      <c r="D63" s="653" t="str">
        <f>TEMITA!C30</f>
        <v>25g</v>
      </c>
      <c r="E63" s="653">
        <f>TEMITA!D30</f>
        <v>2</v>
      </c>
      <c r="F63" s="38">
        <f>TEMITA!E30</f>
        <v>7000</v>
      </c>
      <c r="G63" s="38">
        <f>TEMITA!F30</f>
        <v>14000</v>
      </c>
      <c r="H63" s="79"/>
    </row>
    <row r="64" spans="1:8" s="42" customFormat="1" ht="18.75" x14ac:dyDescent="0.3">
      <c r="A64" s="35"/>
      <c r="B64" s="653">
        <f>TEMITA!A31</f>
        <v>883</v>
      </c>
      <c r="C64" s="653" t="str">
        <f>TEMITA!B31</f>
        <v>LIQUID SOAPS</v>
      </c>
      <c r="D64" s="653" t="str">
        <f>TEMITA!C31</f>
        <v>1 carton (12 x 500mls)</v>
      </c>
      <c r="E64" s="653">
        <f>TEMITA!D31</f>
        <v>10</v>
      </c>
      <c r="F64" s="38">
        <f>TEMITA!E31</f>
        <v>4560</v>
      </c>
      <c r="G64" s="38">
        <f>TEMITA!F31</f>
        <v>45600</v>
      </c>
      <c r="H64" s="38"/>
    </row>
    <row r="65" spans="1:8" s="42" customFormat="1" ht="18.75" x14ac:dyDescent="0.3">
      <c r="A65" s="35"/>
      <c r="B65" s="653">
        <f>TEMITA!A32</f>
        <v>856</v>
      </c>
      <c r="C65" s="653" t="str">
        <f>TEMITA!B32</f>
        <v>METHANOL</v>
      </c>
      <c r="D65" s="653" t="str">
        <f>TEMITA!C32</f>
        <v>1 bottle (2.5L)</v>
      </c>
      <c r="E65" s="653">
        <f>TEMITA!D32</f>
        <v>10</v>
      </c>
      <c r="F65" s="38">
        <f>TEMITA!E32</f>
        <v>4500</v>
      </c>
      <c r="G65" s="38">
        <f>TEMITA!F32</f>
        <v>45000</v>
      </c>
      <c r="H65" s="38"/>
    </row>
    <row r="66" spans="1:8" s="42" customFormat="1" ht="18.75" x14ac:dyDescent="0.3">
      <c r="A66" s="35"/>
      <c r="B66" s="653">
        <f>TEMITA!A33</f>
        <v>884</v>
      </c>
      <c r="C66" s="653" t="str">
        <f>TEMITA!B33</f>
        <v>MOUNTANT DPX</v>
      </c>
      <c r="D66" s="653" t="str">
        <f>TEMITA!C33</f>
        <v>1 bottle (500ml)</v>
      </c>
      <c r="E66" s="653">
        <f>TEMITA!D33</f>
        <v>15</v>
      </c>
      <c r="F66" s="38">
        <f>TEMITA!E33</f>
        <v>5900</v>
      </c>
      <c r="G66" s="38">
        <f>TEMITA!F33</f>
        <v>88500</v>
      </c>
      <c r="H66" s="38"/>
    </row>
    <row r="67" spans="1:8" s="42" customFormat="1" ht="18.75" x14ac:dyDescent="0.3">
      <c r="A67" s="35"/>
      <c r="B67" s="653">
        <f>TEMITA!A34</f>
        <v>894</v>
      </c>
      <c r="C67" s="653" t="str">
        <f>TEMITA!B34</f>
        <v>SCHIFF REGENT</v>
      </c>
      <c r="D67" s="653" t="str">
        <f>TEMITA!C34</f>
        <v>500ml</v>
      </c>
      <c r="E67" s="653">
        <f>TEMITA!D34</f>
        <v>2</v>
      </c>
      <c r="F67" s="38">
        <f>TEMITA!E34</f>
        <v>6000</v>
      </c>
      <c r="G67" s="38">
        <f>TEMITA!F34</f>
        <v>12000</v>
      </c>
      <c r="H67" s="38"/>
    </row>
    <row r="68" spans="1:8" s="42" customFormat="1" ht="18.75" x14ac:dyDescent="0.3">
      <c r="A68" s="35"/>
      <c r="B68" s="653">
        <f>TEMITA!A35</f>
        <v>892</v>
      </c>
      <c r="C68" s="653" t="str">
        <f>TEMITA!B35</f>
        <v>SODIUM IODATE</v>
      </c>
      <c r="D68" s="653" t="str">
        <f>TEMITA!C35</f>
        <v>1 bottle (500ml)</v>
      </c>
      <c r="E68" s="653">
        <f>TEMITA!D35</f>
        <v>2</v>
      </c>
      <c r="F68" s="38">
        <f>TEMITA!E35</f>
        <v>6500</v>
      </c>
      <c r="G68" s="38">
        <f>TEMITA!F35</f>
        <v>13000</v>
      </c>
      <c r="H68" s="38"/>
    </row>
    <row r="69" spans="1:8" s="42" customFormat="1" ht="23.25" x14ac:dyDescent="0.35">
      <c r="A69" s="35"/>
      <c r="B69" s="653">
        <f>TEMITA!A36</f>
        <v>877</v>
      </c>
      <c r="C69" s="653" t="str">
        <f>TEMITA!B36</f>
        <v>XYLINE</v>
      </c>
      <c r="D69" s="653" t="str">
        <f>TEMITA!C36</f>
        <v>1 Drum (200 LTRS)</v>
      </c>
      <c r="E69" s="653">
        <f>TEMITA!D36</f>
        <v>2</v>
      </c>
      <c r="F69" s="38">
        <f>TEMITA!E36</f>
        <v>125000</v>
      </c>
      <c r="G69" s="38">
        <f>TEMITA!F36</f>
        <v>250000</v>
      </c>
      <c r="H69" s="79">
        <f>SUM(G57:G69)</f>
        <v>2281000</v>
      </c>
    </row>
    <row r="70" spans="1:8" s="42" customFormat="1" ht="18.75" x14ac:dyDescent="0.3">
      <c r="A70" s="35"/>
      <c r="B70" s="653"/>
      <c r="C70" s="653"/>
      <c r="D70" s="653"/>
      <c r="E70" s="653"/>
      <c r="F70" s="38"/>
      <c r="G70" s="38"/>
      <c r="H70" s="35"/>
    </row>
    <row r="71" spans="1:8" s="42" customFormat="1" ht="23.25" x14ac:dyDescent="0.35">
      <c r="A71" s="35">
        <v>7</v>
      </c>
      <c r="B71" s="653"/>
      <c r="C71" s="656" t="str">
        <f>UBASTIC!B1</f>
        <v>UBASTIC NIGERIA LIMITED</v>
      </c>
      <c r="D71" s="653"/>
      <c r="E71" s="653"/>
      <c r="F71" s="38"/>
      <c r="G71" s="38"/>
      <c r="H71" s="79"/>
    </row>
    <row r="72" spans="1:8" s="42" customFormat="1" ht="18.75" x14ac:dyDescent="0.3">
      <c r="A72" s="35"/>
      <c r="B72" s="653">
        <f>UBASTIC!A25</f>
        <v>846</v>
      </c>
      <c r="C72" s="653" t="str">
        <f>UBASTIC!B25</f>
        <v>ACETIC</v>
      </c>
      <c r="D72" s="653" t="str">
        <f>UBASTIC!C25</f>
        <v>Bottle (2.5L)</v>
      </c>
      <c r="E72" s="653">
        <f>UBASTIC!D25</f>
        <v>1</v>
      </c>
      <c r="F72" s="38">
        <f>UBASTIC!E25</f>
        <v>10500</v>
      </c>
      <c r="G72" s="38">
        <f>UBASTIC!F25</f>
        <v>10500</v>
      </c>
      <c r="H72" s="38"/>
    </row>
    <row r="73" spans="1:8" s="42" customFormat="1" ht="18.75" x14ac:dyDescent="0.3">
      <c r="A73" s="35"/>
      <c r="B73" s="653">
        <f>UBASTIC!A26</f>
        <v>871</v>
      </c>
      <c r="C73" s="653" t="str">
        <f>UBASTIC!B26</f>
        <v>HARPIC</v>
      </c>
      <c r="D73" s="653" t="str">
        <f>UBASTIC!C26</f>
        <v>1 bottle (500MLS)</v>
      </c>
      <c r="E73" s="653">
        <f>UBASTIC!D26</f>
        <v>12</v>
      </c>
      <c r="F73" s="38">
        <f>UBASTIC!E26</f>
        <v>650</v>
      </c>
      <c r="G73" s="38">
        <f>UBASTIC!F26</f>
        <v>7800</v>
      </c>
      <c r="H73" s="38"/>
    </row>
    <row r="74" spans="1:8" s="42" customFormat="1" ht="18.75" x14ac:dyDescent="0.3">
      <c r="A74" s="35"/>
      <c r="B74" s="653">
        <f>UBASTIC!A27</f>
        <v>873</v>
      </c>
      <c r="C74" s="653" t="str">
        <f>UBASTIC!B27</f>
        <v>IRON SPONGE</v>
      </c>
      <c r="D74" s="653" t="str">
        <f>UBASTIC!C27</f>
        <v>1 piece</v>
      </c>
      <c r="E74" s="653">
        <f>UBASTIC!D27</f>
        <v>6</v>
      </c>
      <c r="F74" s="38">
        <f>UBASTIC!E27</f>
        <v>50</v>
      </c>
      <c r="G74" s="38">
        <f>UBASTIC!F27</f>
        <v>300</v>
      </c>
      <c r="H74" s="38"/>
    </row>
    <row r="75" spans="1:8" s="42" customFormat="1" ht="23.25" x14ac:dyDescent="0.35">
      <c r="A75" s="35"/>
      <c r="B75" s="653">
        <f>UBASTIC!A28</f>
        <v>857</v>
      </c>
      <c r="C75" s="653" t="str">
        <f>UBASTIC!B28</f>
        <v>MICROTOME BLADE</v>
      </c>
      <c r="D75" s="653" t="str">
        <f>UBASTIC!C28</f>
        <v>1 pack (50pcs)</v>
      </c>
      <c r="E75" s="653">
        <f>UBASTIC!D28</f>
        <v>20</v>
      </c>
      <c r="F75" s="38">
        <f>UBASTIC!E28</f>
        <v>40000</v>
      </c>
      <c r="G75" s="38">
        <f>UBASTIC!F28</f>
        <v>800000</v>
      </c>
      <c r="H75" s="79">
        <f>SUM(G72:G75)</f>
        <v>818600</v>
      </c>
    </row>
    <row r="76" spans="1:8" s="42" customFormat="1" ht="18.75" x14ac:dyDescent="0.3">
      <c r="A76" s="35"/>
      <c r="B76" s="653"/>
      <c r="C76" s="653"/>
      <c r="D76" s="653"/>
      <c r="E76" s="653"/>
      <c r="F76" s="653"/>
      <c r="G76" s="653"/>
      <c r="H76" s="38"/>
    </row>
    <row r="77" spans="1:8" ht="21.75" thickBot="1" x14ac:dyDescent="0.4">
      <c r="A77" s="35"/>
      <c r="B77" s="35"/>
      <c r="C77" s="35"/>
      <c r="D77" s="648"/>
      <c r="E77" s="35"/>
      <c r="F77" s="38"/>
      <c r="G77" s="38"/>
      <c r="H77" s="76"/>
    </row>
    <row r="78" spans="1:8" ht="27" thickBot="1" x14ac:dyDescent="0.45">
      <c r="A78" s="35"/>
      <c r="B78" s="35"/>
      <c r="C78" s="188"/>
      <c r="D78" s="647"/>
      <c r="E78" s="189"/>
      <c r="F78" s="190"/>
      <c r="G78" s="193" t="s">
        <v>666</v>
      </c>
      <c r="H78" s="194">
        <f>SUM(G7:G77)</f>
        <v>5846192</v>
      </c>
    </row>
    <row r="83" spans="1:7" ht="28.5" x14ac:dyDescent="0.45">
      <c r="C83" s="850" t="s">
        <v>2164</v>
      </c>
      <c r="D83" s="850"/>
      <c r="E83" s="850"/>
      <c r="F83" s="850"/>
      <c r="G83" s="850"/>
    </row>
    <row r="85" spans="1:7" s="80" customFormat="1" ht="26.25" x14ac:dyDescent="0.4">
      <c r="A85" s="42"/>
      <c r="B85" s="35"/>
      <c r="C85" s="646" t="s">
        <v>917</v>
      </c>
      <c r="D85" s="849" t="s">
        <v>918</v>
      </c>
      <c r="E85" s="849"/>
      <c r="F85" s="849"/>
      <c r="G85" s="849"/>
    </row>
    <row r="86" spans="1:7" s="80" customFormat="1" x14ac:dyDescent="0.35">
      <c r="A86" s="42"/>
      <c r="B86" s="35"/>
      <c r="C86" s="188"/>
      <c r="D86" s="845"/>
      <c r="E86" s="845"/>
      <c r="F86" s="845"/>
      <c r="G86" s="845"/>
    </row>
    <row r="87" spans="1:7" s="80" customFormat="1" x14ac:dyDescent="0.35">
      <c r="A87" s="42"/>
      <c r="B87" s="35">
        <v>1</v>
      </c>
      <c r="C87" s="35" t="str">
        <f>C7</f>
        <v>COSMADE EASY MEDICALS LIMITED</v>
      </c>
      <c r="D87" s="841">
        <f>H17</f>
        <v>983500</v>
      </c>
      <c r="E87" s="842"/>
      <c r="F87" s="842"/>
      <c r="G87" s="842"/>
    </row>
    <row r="88" spans="1:7" s="80" customFormat="1" x14ac:dyDescent="0.35">
      <c r="A88" s="42"/>
      <c r="B88" s="35">
        <f>1+B87</f>
        <v>2</v>
      </c>
      <c r="C88" s="653" t="str">
        <f>C19</f>
        <v>DE SANCON &amp; ASSOCIATES LIMITED</v>
      </c>
      <c r="D88" s="841">
        <f>H30</f>
        <v>740700</v>
      </c>
      <c r="E88" s="842"/>
      <c r="F88" s="842"/>
      <c r="G88" s="842"/>
    </row>
    <row r="89" spans="1:7" s="80" customFormat="1" x14ac:dyDescent="0.35">
      <c r="A89" s="42"/>
      <c r="B89" s="35">
        <f t="shared" ref="B89:B93" si="0">1+B88</f>
        <v>3</v>
      </c>
      <c r="C89" s="35" t="str">
        <f>C32</f>
        <v>DYNAMIC ANCHOR SOURCE LIMITED</v>
      </c>
      <c r="D89" s="841">
        <f>H41</f>
        <v>241000</v>
      </c>
      <c r="E89" s="842"/>
      <c r="F89" s="842"/>
      <c r="G89" s="842"/>
    </row>
    <row r="90" spans="1:7" s="80" customFormat="1" x14ac:dyDescent="0.35">
      <c r="A90" s="42"/>
      <c r="B90" s="35">
        <f t="shared" si="0"/>
        <v>4</v>
      </c>
      <c r="C90" s="653" t="str">
        <f>C43</f>
        <v>INTER-ROTECH NIGERIA LIMITED</v>
      </c>
      <c r="D90" s="841">
        <f>H47</f>
        <v>139920</v>
      </c>
      <c r="E90" s="842"/>
      <c r="F90" s="842"/>
      <c r="G90" s="842"/>
    </row>
    <row r="91" spans="1:7" s="80" customFormat="1" x14ac:dyDescent="0.35">
      <c r="A91" s="42"/>
      <c r="B91" s="35">
        <f t="shared" si="0"/>
        <v>5</v>
      </c>
      <c r="C91" s="35" t="str">
        <f>C49</f>
        <v>LAYO-JAT NIGERIA LIMITED</v>
      </c>
      <c r="D91" s="841">
        <f>H54</f>
        <v>641472</v>
      </c>
      <c r="E91" s="842"/>
      <c r="F91" s="842"/>
      <c r="G91" s="842"/>
    </row>
    <row r="92" spans="1:7" s="80" customFormat="1" x14ac:dyDescent="0.35">
      <c r="A92" s="42"/>
      <c r="B92" s="35">
        <f t="shared" si="0"/>
        <v>6</v>
      </c>
      <c r="C92" s="653" t="str">
        <f>C56</f>
        <v>TEMITA SCIENTIFIC VENTURES</v>
      </c>
      <c r="D92" s="841">
        <f>H69</f>
        <v>2281000</v>
      </c>
      <c r="E92" s="842"/>
      <c r="F92" s="842"/>
      <c r="G92" s="842"/>
    </row>
    <row r="93" spans="1:7" s="80" customFormat="1" x14ac:dyDescent="0.35">
      <c r="A93" s="42"/>
      <c r="B93" s="35">
        <f t="shared" si="0"/>
        <v>7</v>
      </c>
      <c r="C93" s="653" t="str">
        <f>C71</f>
        <v>UBASTIC NIGERIA LIMITED</v>
      </c>
      <c r="D93" s="841">
        <f>H75</f>
        <v>818600</v>
      </c>
      <c r="E93" s="842"/>
      <c r="F93" s="842"/>
      <c r="G93" s="842"/>
    </row>
    <row r="94" spans="1:7" s="80" customFormat="1" ht="21.75" thickBot="1" x14ac:dyDescent="0.4">
      <c r="A94" s="42"/>
      <c r="B94" s="42"/>
      <c r="C94" s="8"/>
      <c r="D94" s="836"/>
      <c r="E94" s="836"/>
      <c r="F94" s="836"/>
      <c r="G94" s="836"/>
    </row>
    <row r="95" spans="1:7" s="80" customFormat="1" ht="29.25" thickBot="1" x14ac:dyDescent="0.5">
      <c r="A95" s="42"/>
      <c r="B95" s="42"/>
      <c r="C95" s="8"/>
      <c r="D95" s="846">
        <f>SUM(D87:G93)</f>
        <v>5846192</v>
      </c>
      <c r="E95" s="847"/>
      <c r="F95" s="847"/>
      <c r="G95" s="848"/>
    </row>
    <row r="96" spans="1:7" s="80" customFormat="1" x14ac:dyDescent="0.35">
      <c r="A96" s="42"/>
      <c r="B96" s="42"/>
      <c r="C96" s="8"/>
      <c r="D96" s="836"/>
      <c r="E96" s="836"/>
      <c r="F96" s="836"/>
      <c r="G96" s="836"/>
    </row>
    <row r="97" spans="1:7" s="80" customFormat="1" x14ac:dyDescent="0.35">
      <c r="A97" s="42"/>
      <c r="B97" s="42"/>
      <c r="C97" s="8"/>
      <c r="D97" s="836"/>
      <c r="E97" s="836"/>
      <c r="F97" s="836"/>
      <c r="G97" s="836"/>
    </row>
    <row r="98" spans="1:7" s="80" customFormat="1" x14ac:dyDescent="0.35">
      <c r="A98" s="42"/>
      <c r="B98" s="42"/>
      <c r="C98" s="8"/>
      <c r="D98" s="836"/>
      <c r="E98" s="836"/>
      <c r="F98" s="836"/>
      <c r="G98" s="836"/>
    </row>
    <row r="99" spans="1:7" s="80" customFormat="1" x14ac:dyDescent="0.35">
      <c r="A99" s="42"/>
      <c r="B99" s="42"/>
      <c r="C99" s="8"/>
      <c r="D99" s="836"/>
      <c r="E99" s="836"/>
      <c r="F99" s="836"/>
      <c r="G99" s="836"/>
    </row>
    <row r="100" spans="1:7" s="80" customFormat="1" x14ac:dyDescent="0.35">
      <c r="A100" s="42"/>
      <c r="B100" s="42"/>
      <c r="C100" s="8"/>
      <c r="D100" s="836"/>
      <c r="E100" s="836"/>
      <c r="F100" s="836"/>
      <c r="G100" s="836"/>
    </row>
  </sheetData>
  <mergeCells count="21">
    <mergeCell ref="D100:G100"/>
    <mergeCell ref="D94:G94"/>
    <mergeCell ref="D88:G88"/>
    <mergeCell ref="D89:G89"/>
    <mergeCell ref="D90:G90"/>
    <mergeCell ref="D91:G91"/>
    <mergeCell ref="D92:G92"/>
    <mergeCell ref="D93:G93"/>
    <mergeCell ref="D95:G95"/>
    <mergeCell ref="D96:G96"/>
    <mergeCell ref="D97:G97"/>
    <mergeCell ref="D98:G98"/>
    <mergeCell ref="D99:G99"/>
    <mergeCell ref="D87:G87"/>
    <mergeCell ref="A3:H3"/>
    <mergeCell ref="C83:G83"/>
    <mergeCell ref="A1:H1"/>
    <mergeCell ref="A2:H2"/>
    <mergeCell ref="A4:H4"/>
    <mergeCell ref="D85:G85"/>
    <mergeCell ref="D86:G86"/>
  </mergeCells>
  <pageMargins left="0.25" right="0.25" top="0.31" bottom="0.32" header="0.3" footer="0.3"/>
  <pageSetup paperSize="9" scale="65" orientation="landscape" r:id="rId1"/>
  <rowBreaks count="1" manualBreakCount="1">
    <brk id="35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D4835-79E4-405F-8122-02E74F4FA150}">
  <dimension ref="A1:H136"/>
  <sheetViews>
    <sheetView view="pageBreakPreview" topLeftCell="A115" zoomScale="70" zoomScaleNormal="70" zoomScaleSheetLayoutView="70" workbookViewId="0">
      <selection activeCell="D136" sqref="D136:G136"/>
    </sheetView>
  </sheetViews>
  <sheetFormatPr defaultColWidth="20" defaultRowHeight="21" x14ac:dyDescent="0.35"/>
  <cols>
    <col min="1" max="1" width="6.85546875" style="42" customWidth="1"/>
    <col min="2" max="2" width="11.140625" style="42" bestFit="1" customWidth="1"/>
    <col min="3" max="3" width="72.42578125" style="8" customWidth="1"/>
    <col min="4" max="4" width="26.42578125" style="649" customWidth="1"/>
    <col min="5" max="5" width="13.5703125" style="75" customWidth="1"/>
    <col min="6" max="6" width="20.140625" style="71" bestFit="1" customWidth="1"/>
    <col min="7" max="7" width="20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2165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COSMADE!B1</f>
        <v>COSMADE EASY MEDICALS LIMITED</v>
      </c>
      <c r="D7" s="648"/>
      <c r="E7" s="35"/>
      <c r="F7" s="38"/>
      <c r="G7" s="38"/>
      <c r="H7" s="38"/>
    </row>
    <row r="8" spans="1:8" s="42" customFormat="1" ht="18.75" x14ac:dyDescent="0.3">
      <c r="A8" s="35"/>
      <c r="B8" s="653">
        <f>COSMADE!A28</f>
        <v>835</v>
      </c>
      <c r="C8" s="653" t="str">
        <f>COSMADE!B28</f>
        <v>DIGITAL SPHYGMOMANOMETER (OMRON)</v>
      </c>
      <c r="D8" s="653">
        <f>COSMADE!C28</f>
        <v>0</v>
      </c>
      <c r="E8" s="653">
        <f>COSMADE!D28</f>
        <v>2</v>
      </c>
      <c r="F8" s="38">
        <f>COSMADE!E28</f>
        <v>12000</v>
      </c>
      <c r="G8" s="38">
        <f>COSMADE!F28</f>
        <v>24000</v>
      </c>
      <c r="H8" s="38"/>
    </row>
    <row r="9" spans="1:8" s="42" customFormat="1" ht="18.75" x14ac:dyDescent="0.3">
      <c r="A9" s="35"/>
      <c r="B9" s="653">
        <f>COSMADE!A29</f>
        <v>834</v>
      </c>
      <c r="C9" s="653" t="str">
        <f>COSMADE!B29</f>
        <v>DIGITAL WEIGHING BALANCE</v>
      </c>
      <c r="D9" s="653">
        <f>COSMADE!C29</f>
        <v>0</v>
      </c>
      <c r="E9" s="653">
        <f>COSMADE!D29</f>
        <v>3</v>
      </c>
      <c r="F9" s="38">
        <f>COSMADE!E29</f>
        <v>25000</v>
      </c>
      <c r="G9" s="38">
        <f>COSMADE!F29</f>
        <v>75000</v>
      </c>
      <c r="H9" s="38"/>
    </row>
    <row r="10" spans="1:8" s="42" customFormat="1" ht="18.75" x14ac:dyDescent="0.3">
      <c r="A10" s="35"/>
      <c r="B10" s="653">
        <f>COSMADE!A30</f>
        <v>813</v>
      </c>
      <c r="C10" s="653" t="str">
        <f>COSMADE!B30</f>
        <v>M-53 CLEANSER (BC-5300) 1 LITRE</v>
      </c>
      <c r="D10" s="653" t="str">
        <f>COSMADE!C30</f>
        <v>1 bottle</v>
      </c>
      <c r="E10" s="653">
        <f>COSMADE!D30</f>
        <v>5</v>
      </c>
      <c r="F10" s="38">
        <f>COSMADE!E30</f>
        <v>35000</v>
      </c>
      <c r="G10" s="38">
        <f>COSMADE!F30</f>
        <v>175000</v>
      </c>
      <c r="H10" s="38"/>
    </row>
    <row r="11" spans="1:8" s="42" customFormat="1" ht="18.75" x14ac:dyDescent="0.3">
      <c r="A11" s="35"/>
      <c r="B11" s="653">
        <f>COSMADE!A31</f>
        <v>812</v>
      </c>
      <c r="C11" s="653" t="str">
        <f>COSMADE!B31</f>
        <v>M53 LH LYSE (BC-5300) 500ML</v>
      </c>
      <c r="D11" s="653" t="str">
        <f>COSMADE!C31</f>
        <v>1 bottle of 50</v>
      </c>
      <c r="E11" s="653">
        <f>COSMADE!D31</f>
        <v>20</v>
      </c>
      <c r="F11" s="38">
        <f>COSMADE!E31</f>
        <v>122000</v>
      </c>
      <c r="G11" s="38">
        <f>COSMADE!F31</f>
        <v>2440000</v>
      </c>
      <c r="H11" s="38"/>
    </row>
    <row r="12" spans="1:8" s="42" customFormat="1" ht="18.75" x14ac:dyDescent="0.3">
      <c r="A12" s="35"/>
      <c r="B12" s="653">
        <f>COSMADE!A32</f>
        <v>814</v>
      </c>
      <c r="C12" s="653" t="str">
        <f>COSMADE!B32</f>
        <v>M-53 PROBE CLEANSER (BC-5300) 50ML</v>
      </c>
      <c r="D12" s="653" t="str">
        <f>COSMADE!C32</f>
        <v>1 bottle of 50</v>
      </c>
      <c r="E12" s="653">
        <f>COSMADE!D32</f>
        <v>20</v>
      </c>
      <c r="F12" s="38">
        <f>COSMADE!E32</f>
        <v>5500</v>
      </c>
      <c r="G12" s="38">
        <f>COSMADE!F32</f>
        <v>110000</v>
      </c>
      <c r="H12" s="38"/>
    </row>
    <row r="13" spans="1:8" s="42" customFormat="1" ht="18.75" x14ac:dyDescent="0.3">
      <c r="A13" s="35"/>
      <c r="B13" s="653">
        <f>COSMADE!A33</f>
        <v>809</v>
      </c>
      <c r="C13" s="653" t="str">
        <f>COSMADE!B33</f>
        <v>M-53D DILUENT (BC-5300) 20L</v>
      </c>
      <c r="D13" s="653" t="str">
        <f>COSMADE!C33</f>
        <v>1 pack of 20L</v>
      </c>
      <c r="E13" s="653">
        <f>COSMADE!D33</f>
        <v>20</v>
      </c>
      <c r="F13" s="38">
        <f>COSMADE!E33</f>
        <v>32000</v>
      </c>
      <c r="G13" s="38">
        <f>COSMADE!F33</f>
        <v>640000</v>
      </c>
      <c r="H13" s="38"/>
    </row>
    <row r="14" spans="1:8" s="42" customFormat="1" ht="18.75" x14ac:dyDescent="0.3">
      <c r="A14" s="35"/>
      <c r="B14" s="653">
        <f>COSMADE!A34</f>
        <v>810</v>
      </c>
      <c r="C14" s="653" t="str">
        <f>COSMADE!B34</f>
        <v>M-53-LEO (I) LYSE (BC-5300) 1L</v>
      </c>
      <c r="D14" s="653" t="str">
        <f>COSMADE!C34</f>
        <v>1 cnt of 1</v>
      </c>
      <c r="E14" s="653">
        <f>COSMADE!D34</f>
        <v>8</v>
      </c>
      <c r="F14" s="38">
        <f>COSMADE!E34</f>
        <v>130000</v>
      </c>
      <c r="G14" s="38">
        <f>COSMADE!F34</f>
        <v>1040000</v>
      </c>
      <c r="H14" s="38"/>
    </row>
    <row r="15" spans="1:8" s="42" customFormat="1" ht="18.75" x14ac:dyDescent="0.3">
      <c r="A15" s="35"/>
      <c r="B15" s="653">
        <f>COSMADE!A35</f>
        <v>811</v>
      </c>
      <c r="C15" s="653" t="str">
        <f>COSMADE!B35</f>
        <v>M-53-LEO (II) LYSE (BC-5300) 400ML</v>
      </c>
      <c r="D15" s="653" t="str">
        <f>COSMADE!C35</f>
        <v>1 cnt x 40</v>
      </c>
      <c r="E15" s="653">
        <f>COSMADE!D35</f>
        <v>20</v>
      </c>
      <c r="F15" s="38">
        <f>COSMADE!E35</f>
        <v>184000</v>
      </c>
      <c r="G15" s="38">
        <f>COSMADE!F35</f>
        <v>3680000</v>
      </c>
      <c r="H15" s="38"/>
    </row>
    <row r="16" spans="1:8" s="42" customFormat="1" ht="23.25" x14ac:dyDescent="0.35">
      <c r="A16" s="35"/>
      <c r="B16" s="653">
        <f>COSMADE!A36</f>
        <v>820</v>
      </c>
      <c r="C16" s="653" t="str">
        <f>COSMADE!B36</f>
        <v>TRIS BUFFER POWDER</v>
      </c>
      <c r="D16" s="653">
        <f>COSMADE!C36</f>
        <v>0</v>
      </c>
      <c r="E16" s="653">
        <f>COSMADE!D36</f>
        <v>2</v>
      </c>
      <c r="F16" s="38">
        <f>COSMADE!E36</f>
        <v>15000</v>
      </c>
      <c r="G16" s="38">
        <f>COSMADE!F36</f>
        <v>30000</v>
      </c>
      <c r="H16" s="79">
        <f>SUM(G8:G16)</f>
        <v>8214000</v>
      </c>
    </row>
    <row r="17" spans="1:8" s="42" customFormat="1" ht="18.75" x14ac:dyDescent="0.3">
      <c r="A17" s="35"/>
      <c r="B17" s="653"/>
      <c r="C17" s="653"/>
      <c r="D17" s="653"/>
      <c r="E17" s="653"/>
      <c r="F17" s="38"/>
      <c r="G17" s="38"/>
      <c r="H17" s="38"/>
    </row>
    <row r="18" spans="1:8" s="42" customFormat="1" ht="23.25" x14ac:dyDescent="0.35">
      <c r="A18" s="35">
        <v>2</v>
      </c>
      <c r="B18" s="653"/>
      <c r="C18" s="656" t="str">
        <f>SANCON!B1</f>
        <v>DE SANCON &amp; ASSOCIATES LIMITED</v>
      </c>
      <c r="D18" s="653"/>
      <c r="E18" s="653"/>
      <c r="F18" s="38"/>
      <c r="G18" s="38"/>
      <c r="H18" s="38"/>
    </row>
    <row r="19" spans="1:8" s="42" customFormat="1" ht="18.75" x14ac:dyDescent="0.3">
      <c r="A19" s="35"/>
      <c r="B19" s="653">
        <f>SANCON!A32</f>
        <v>765</v>
      </c>
      <c r="C19" s="653" t="str">
        <f>SANCON!B32</f>
        <v>BEAKER 500ML PYREX GLASS</v>
      </c>
      <c r="D19" s="653" t="str">
        <f>SANCON!C32</f>
        <v>10 pcs</v>
      </c>
      <c r="E19" s="653">
        <f>SANCON!D32</f>
        <v>10</v>
      </c>
      <c r="F19" s="38">
        <f>SANCON!E32</f>
        <v>800</v>
      </c>
      <c r="G19" s="38">
        <f>SANCON!F32</f>
        <v>8000</v>
      </c>
      <c r="H19" s="38"/>
    </row>
    <row r="20" spans="1:8" s="42" customFormat="1" ht="18.75" x14ac:dyDescent="0.3">
      <c r="A20" s="35"/>
      <c r="B20" s="653">
        <f>SANCON!A33</f>
        <v>819</v>
      </c>
      <c r="C20" s="653" t="str">
        <f>SANCON!B33</f>
        <v>BLOOD BAG (ADULT) CPDAL (AXIOM)</v>
      </c>
      <c r="D20" s="653">
        <f>SANCON!C33</f>
        <v>0</v>
      </c>
      <c r="E20" s="653">
        <f>SANCON!D33</f>
        <v>30</v>
      </c>
      <c r="F20" s="38">
        <f>SANCON!E33</f>
        <v>39000</v>
      </c>
      <c r="G20" s="38">
        <f>SANCON!F33</f>
        <v>1170000</v>
      </c>
      <c r="H20" s="38"/>
    </row>
    <row r="21" spans="1:8" s="42" customFormat="1" ht="18.75" x14ac:dyDescent="0.3">
      <c r="A21" s="35"/>
      <c r="B21" s="653">
        <f>SANCON!A34</f>
        <v>780</v>
      </c>
      <c r="C21" s="653" t="str">
        <f>SANCON!B34</f>
        <v>BLOOD BAG (PAED) CPDAL (AXIOM)</v>
      </c>
      <c r="D21" s="653" t="str">
        <f>SANCON!C34</f>
        <v>1 cnt of 10</v>
      </c>
      <c r="E21" s="653">
        <f>SANCON!D34</f>
        <v>1</v>
      </c>
      <c r="F21" s="38">
        <f>SANCON!E34</f>
        <v>40000</v>
      </c>
      <c r="G21" s="38">
        <f>SANCON!F34</f>
        <v>40000</v>
      </c>
      <c r="H21" s="38"/>
    </row>
    <row r="22" spans="1:8" s="42" customFormat="1" ht="18.75" x14ac:dyDescent="0.3">
      <c r="A22" s="35"/>
      <c r="B22" s="653">
        <f>SANCON!A35</f>
        <v>770</v>
      </c>
      <c r="C22" s="653" t="str">
        <f>SANCON!B35</f>
        <v>FIN TIPS (BLUE) (0 - 100ML)</v>
      </c>
      <c r="D22" s="653" t="str">
        <f>SANCON!C35</f>
        <v>1 pack of 100</v>
      </c>
      <c r="E22" s="653">
        <f>SANCON!D35</f>
        <v>12</v>
      </c>
      <c r="F22" s="38">
        <f>SANCON!E35</f>
        <v>900</v>
      </c>
      <c r="G22" s="38">
        <f>SANCON!F35</f>
        <v>10800</v>
      </c>
      <c r="H22" s="38"/>
    </row>
    <row r="23" spans="1:8" s="42" customFormat="1" ht="18.75" x14ac:dyDescent="0.3">
      <c r="A23" s="35"/>
      <c r="B23" s="653">
        <f>SANCON!A36</f>
        <v>837</v>
      </c>
      <c r="C23" s="653" t="str">
        <f>SANCON!B36</f>
        <v>GROUPING TILES</v>
      </c>
      <c r="D23" s="653">
        <f>SANCON!C36</f>
        <v>0</v>
      </c>
      <c r="E23" s="653">
        <f>SANCON!D36</f>
        <v>8</v>
      </c>
      <c r="F23" s="38">
        <f>SANCON!E36</f>
        <v>2600</v>
      </c>
      <c r="G23" s="38">
        <f>SANCON!F36</f>
        <v>20800</v>
      </c>
      <c r="H23" s="38"/>
    </row>
    <row r="24" spans="1:8" s="42" customFormat="1" ht="18.75" x14ac:dyDescent="0.3">
      <c r="A24" s="35"/>
      <c r="B24" s="653">
        <f>SANCON!A37</f>
        <v>821</v>
      </c>
      <c r="C24" s="653" t="str">
        <f>SANCON!B37</f>
        <v>LEISHMAN STAIN POWDER (25G)</v>
      </c>
      <c r="D24" s="653">
        <f>SANCON!C37</f>
        <v>0</v>
      </c>
      <c r="E24" s="653">
        <f>SANCON!D37</f>
        <v>6</v>
      </c>
      <c r="F24" s="38">
        <f>SANCON!E37</f>
        <v>3000</v>
      </c>
      <c r="G24" s="38">
        <f>SANCON!F37</f>
        <v>18000</v>
      </c>
      <c r="H24" s="38"/>
    </row>
    <row r="25" spans="1:8" s="42" customFormat="1" ht="18.75" x14ac:dyDescent="0.3">
      <c r="A25" s="35"/>
      <c r="B25" s="653">
        <f>SANCON!A38</f>
        <v>831</v>
      </c>
      <c r="C25" s="653" t="str">
        <f>SANCON!B38</f>
        <v>LIQUID SOAP (500ML)</v>
      </c>
      <c r="D25" s="653" t="str">
        <f>SANCON!C38</f>
        <v>6 packs</v>
      </c>
      <c r="E25" s="653">
        <f>SANCON!D38</f>
        <v>6</v>
      </c>
      <c r="F25" s="38">
        <f>SANCON!E38</f>
        <v>4200</v>
      </c>
      <c r="G25" s="38">
        <f>SANCON!F38</f>
        <v>25200</v>
      </c>
      <c r="H25" s="35"/>
    </row>
    <row r="26" spans="1:8" s="42" customFormat="1" ht="18.75" x14ac:dyDescent="0.3">
      <c r="A26" s="35"/>
      <c r="B26" s="653">
        <f>SANCON!A39</f>
        <v>822</v>
      </c>
      <c r="C26" s="653" t="str">
        <f>SANCON!B39</f>
        <v>MALACHITE GREEN STAIN</v>
      </c>
      <c r="D26" s="653">
        <f>SANCON!C39</f>
        <v>0</v>
      </c>
      <c r="E26" s="653">
        <f>SANCON!D39</f>
        <v>1</v>
      </c>
      <c r="F26" s="38">
        <f>SANCON!E39</f>
        <v>3500</v>
      </c>
      <c r="G26" s="38">
        <f>SANCON!F39</f>
        <v>3500</v>
      </c>
      <c r="H26" s="35"/>
    </row>
    <row r="27" spans="1:8" s="42" customFormat="1" ht="18.75" x14ac:dyDescent="0.3">
      <c r="A27" s="35"/>
      <c r="B27" s="653">
        <f>SANCON!A40</f>
        <v>766</v>
      </c>
      <c r="C27" s="653" t="str">
        <f>SANCON!B40</f>
        <v>NON-DIGITAL LAB. THERMOMETER</v>
      </c>
      <c r="D27" s="653" t="str">
        <f>SANCON!C40</f>
        <v>5 pcs</v>
      </c>
      <c r="E27" s="653">
        <f>SANCON!D40</f>
        <v>5</v>
      </c>
      <c r="F27" s="38">
        <f>SANCON!E40</f>
        <v>500</v>
      </c>
      <c r="G27" s="38">
        <f>SANCON!F40</f>
        <v>2500</v>
      </c>
      <c r="H27" s="38"/>
    </row>
    <row r="28" spans="1:8" s="42" customFormat="1" ht="18.75" x14ac:dyDescent="0.3">
      <c r="A28" s="35"/>
      <c r="B28" s="653">
        <f>SANCON!A41</f>
        <v>827</v>
      </c>
      <c r="C28" s="653" t="str">
        <f>SANCON!B41</f>
        <v>PAEDIATRIC EDTA VAC. BOTTLES</v>
      </c>
      <c r="D28" s="653" t="str">
        <f>SANCON!C41</f>
        <v>1 pack of 10</v>
      </c>
      <c r="E28" s="653">
        <f>SANCON!D41</f>
        <v>3</v>
      </c>
      <c r="F28" s="38">
        <f>SANCON!E41</f>
        <v>4500</v>
      </c>
      <c r="G28" s="38">
        <f>SANCON!F41</f>
        <v>13500</v>
      </c>
      <c r="H28" s="38"/>
    </row>
    <row r="29" spans="1:8" s="42" customFormat="1" ht="18.75" x14ac:dyDescent="0.3">
      <c r="A29" s="35"/>
      <c r="B29" s="653">
        <f>SANCON!A42</f>
        <v>843</v>
      </c>
      <c r="C29" s="653" t="str">
        <f>SANCON!B42</f>
        <v>PLASTIC SLIDE BOX</v>
      </c>
      <c r="D29" s="653">
        <f>SANCON!C42</f>
        <v>0</v>
      </c>
      <c r="E29" s="653">
        <f>SANCON!D42</f>
        <v>7</v>
      </c>
      <c r="F29" s="38">
        <f>SANCON!E42</f>
        <v>2000</v>
      </c>
      <c r="G29" s="38">
        <f>SANCON!F42</f>
        <v>14000</v>
      </c>
      <c r="H29" s="38"/>
    </row>
    <row r="30" spans="1:8" s="42" customFormat="1" ht="18.75" x14ac:dyDescent="0.3">
      <c r="A30" s="35"/>
      <c r="B30" s="653">
        <f>SANCON!A43</f>
        <v>771</v>
      </c>
      <c r="C30" s="653" t="str">
        <f>SANCON!B43</f>
        <v>STOP WATCH</v>
      </c>
      <c r="D30" s="653" t="str">
        <f>SANCON!C43</f>
        <v>2 pcs</v>
      </c>
      <c r="E30" s="653">
        <f>SANCON!D43</f>
        <v>2</v>
      </c>
      <c r="F30" s="38">
        <f>SANCON!E43</f>
        <v>3000</v>
      </c>
      <c r="G30" s="38">
        <f>SANCON!F43</f>
        <v>6000</v>
      </c>
      <c r="H30" s="38"/>
    </row>
    <row r="31" spans="1:8" s="42" customFormat="1" ht="23.25" x14ac:dyDescent="0.35">
      <c r="A31" s="35"/>
      <c r="B31" s="653">
        <f>SANCON!A44</f>
        <v>839</v>
      </c>
      <c r="C31" s="653" t="str">
        <f>SANCON!B44</f>
        <v>TENNIS BALLS</v>
      </c>
      <c r="D31" s="653" t="str">
        <f>SANCON!C44</f>
        <v>1 pkt of 12</v>
      </c>
      <c r="E31" s="653">
        <f>SANCON!D44</f>
        <v>12</v>
      </c>
      <c r="F31" s="38">
        <f>SANCON!E44</f>
        <v>7200</v>
      </c>
      <c r="G31" s="38">
        <f>SANCON!F44</f>
        <v>86400</v>
      </c>
      <c r="H31" s="79">
        <f>SUM(G19:G31)</f>
        <v>1418700</v>
      </c>
    </row>
    <row r="32" spans="1:8" s="42" customFormat="1" ht="18.75" x14ac:dyDescent="0.3">
      <c r="A32" s="35"/>
      <c r="B32" s="35"/>
      <c r="C32" s="35"/>
      <c r="D32" s="648"/>
      <c r="E32" s="35"/>
      <c r="F32" s="38"/>
      <c r="G32" s="38"/>
      <c r="H32" s="35"/>
    </row>
    <row r="33" spans="1:8" s="42" customFormat="1" ht="23.25" x14ac:dyDescent="0.35">
      <c r="A33" s="35">
        <v>3</v>
      </c>
      <c r="B33" s="35"/>
      <c r="C33" s="77" t="str">
        <f>DYNAMIC!B1</f>
        <v>DYNAMIC ANCHOR SOURCE LIMITED</v>
      </c>
      <c r="D33" s="648"/>
      <c r="E33" s="35"/>
      <c r="F33" s="38"/>
      <c r="G33" s="38"/>
      <c r="H33" s="35"/>
    </row>
    <row r="34" spans="1:8" s="42" customFormat="1" ht="23.25" x14ac:dyDescent="0.35">
      <c r="A34" s="35"/>
      <c r="B34" s="653">
        <f>DYNAMIC!A18</f>
        <v>772</v>
      </c>
      <c r="C34" s="653" t="str">
        <f>DYNAMIC!B18</f>
        <v>B. D VACUTAINER NEEDLE (21 x 0.8 x 32ML)</v>
      </c>
      <c r="D34" s="653" t="str">
        <f>DYNAMIC!C18</f>
        <v>1 pack of 100</v>
      </c>
      <c r="E34" s="653">
        <f>DYNAMIC!D18</f>
        <v>2</v>
      </c>
      <c r="F34" s="38">
        <f>DYNAMIC!E18</f>
        <v>2250</v>
      </c>
      <c r="G34" s="38">
        <f>DYNAMIC!F18</f>
        <v>4500</v>
      </c>
      <c r="H34" s="186"/>
    </row>
    <row r="35" spans="1:8" s="42" customFormat="1" ht="18.75" x14ac:dyDescent="0.3">
      <c r="A35" s="35"/>
      <c r="B35" s="653">
        <f>DYNAMIC!A19</f>
        <v>842</v>
      </c>
      <c r="C35" s="653" t="str">
        <f>DYNAMIC!B19</f>
        <v>BLOOD WEIGHING SCALE</v>
      </c>
      <c r="D35" s="653">
        <f>DYNAMIC!C19</f>
        <v>0</v>
      </c>
      <c r="E35" s="653">
        <f>DYNAMIC!D19</f>
        <v>1</v>
      </c>
      <c r="F35" s="38">
        <f>DYNAMIC!E19</f>
        <v>296563</v>
      </c>
      <c r="G35" s="38">
        <f>DYNAMIC!F19</f>
        <v>296563</v>
      </c>
      <c r="H35" s="35"/>
    </row>
    <row r="36" spans="1:8" s="42" customFormat="1" ht="18.75" x14ac:dyDescent="0.3">
      <c r="A36" s="35"/>
      <c r="B36" s="653">
        <f>DYNAMIC!A20</f>
        <v>840</v>
      </c>
      <c r="C36" s="653" t="str">
        <f>DYNAMIC!B20</f>
        <v>CALCIUM RABIT BRAIN THROMBOPLASTIN</v>
      </c>
      <c r="D36" s="653" t="str">
        <f>DYNAMIC!C20</f>
        <v>1 packs of 6</v>
      </c>
      <c r="E36" s="653">
        <f>DYNAMIC!D20</f>
        <v>1</v>
      </c>
      <c r="F36" s="38">
        <f>DYNAMIC!E20</f>
        <v>41250</v>
      </c>
      <c r="G36" s="38">
        <f>DYNAMIC!F20</f>
        <v>41250</v>
      </c>
      <c r="H36" s="35"/>
    </row>
    <row r="37" spans="1:8" s="42" customFormat="1" ht="18.75" x14ac:dyDescent="0.3">
      <c r="A37" s="35"/>
      <c r="B37" s="653">
        <f>DYNAMIC!A21</f>
        <v>788</v>
      </c>
      <c r="C37" s="653" t="str">
        <f>DYNAMIC!B21</f>
        <v>CELLULOSE ACETATE PAPER - TITIAN</v>
      </c>
      <c r="D37" s="653">
        <f>DYNAMIC!C21</f>
        <v>0</v>
      </c>
      <c r="E37" s="653">
        <f>DYNAMIC!D21</f>
        <v>25</v>
      </c>
      <c r="F37" s="38">
        <f>DYNAMIC!E21</f>
        <v>25625</v>
      </c>
      <c r="G37" s="38">
        <f>DYNAMIC!F21</f>
        <v>640625</v>
      </c>
      <c r="H37" s="35"/>
    </row>
    <row r="38" spans="1:8" s="42" customFormat="1" ht="18.75" x14ac:dyDescent="0.3">
      <c r="A38" s="35"/>
      <c r="B38" s="653">
        <f>DYNAMIC!A22</f>
        <v>833</v>
      </c>
      <c r="C38" s="653" t="str">
        <f>DYNAMIC!B22</f>
        <v>CLINICAL THERMOMETER</v>
      </c>
      <c r="D38" s="653" t="str">
        <f>DYNAMIC!C22</f>
        <v>PCS</v>
      </c>
      <c r="E38" s="653">
        <f>DYNAMIC!D22</f>
        <v>12</v>
      </c>
      <c r="F38" s="38">
        <f>DYNAMIC!E22</f>
        <v>208.33333333333334</v>
      </c>
      <c r="G38" s="38">
        <f>DYNAMIC!F22</f>
        <v>2500</v>
      </c>
      <c r="H38" s="35"/>
    </row>
    <row r="39" spans="1:8" s="42" customFormat="1" ht="18.75" x14ac:dyDescent="0.3">
      <c r="A39" s="35"/>
      <c r="B39" s="653">
        <f>DYNAMIC!A23</f>
        <v>830</v>
      </c>
      <c r="C39" s="653" t="str">
        <f>DYNAMIC!B23</f>
        <v>EPPENDORF TUBE</v>
      </c>
      <c r="D39" s="653" t="str">
        <f>DYNAMIC!C23</f>
        <v>1 pack of 100</v>
      </c>
      <c r="E39" s="653">
        <f>DYNAMIC!D23</f>
        <v>7</v>
      </c>
      <c r="F39" s="38">
        <f>DYNAMIC!E23</f>
        <v>1125</v>
      </c>
      <c r="G39" s="38">
        <f>DYNAMIC!F23</f>
        <v>7875</v>
      </c>
      <c r="H39" s="35"/>
    </row>
    <row r="40" spans="1:8" s="42" customFormat="1" ht="18.75" x14ac:dyDescent="0.3">
      <c r="A40" s="35"/>
      <c r="B40" s="653">
        <f>DYNAMIC!A24</f>
        <v>844</v>
      </c>
      <c r="C40" s="653" t="str">
        <f>DYNAMIC!B24</f>
        <v>INSULATED BLOOD BOX</v>
      </c>
      <c r="D40" s="653">
        <f>DYNAMIC!C24</f>
        <v>0</v>
      </c>
      <c r="E40" s="653">
        <f>DYNAMIC!D24</f>
        <v>20</v>
      </c>
      <c r="F40" s="38">
        <f>DYNAMIC!E24</f>
        <v>48388</v>
      </c>
      <c r="G40" s="38">
        <f>DYNAMIC!F24</f>
        <v>967760</v>
      </c>
      <c r="H40" s="38"/>
    </row>
    <row r="41" spans="1:8" s="42" customFormat="1" ht="18.75" x14ac:dyDescent="0.3">
      <c r="A41" s="35"/>
      <c r="B41" s="653">
        <f>DYNAMIC!A25</f>
        <v>841</v>
      </c>
      <c r="C41" s="653" t="str">
        <f>DYNAMIC!B25</f>
        <v>KAOLIN PLATELET SUBSTITUTE</v>
      </c>
      <c r="D41" s="653" t="str">
        <f>DYNAMIC!C25</f>
        <v>1 pc</v>
      </c>
      <c r="E41" s="653">
        <f>DYNAMIC!D25</f>
        <v>1</v>
      </c>
      <c r="F41" s="38">
        <f>DYNAMIC!E25</f>
        <v>38750</v>
      </c>
      <c r="G41" s="38">
        <f>DYNAMIC!F25</f>
        <v>38750</v>
      </c>
      <c r="H41" s="38"/>
    </row>
    <row r="42" spans="1:8" s="42" customFormat="1" ht="18.75" x14ac:dyDescent="0.3">
      <c r="A42" s="35"/>
      <c r="B42" s="653">
        <f>DYNAMIC!A26</f>
        <v>829</v>
      </c>
      <c r="C42" s="653" t="str">
        <f>DYNAMIC!B26</f>
        <v>KHAN TUBES</v>
      </c>
      <c r="D42" s="653" t="str">
        <f>DYNAMIC!C26</f>
        <v>1 pack of 100</v>
      </c>
      <c r="E42" s="653">
        <f>DYNAMIC!D26</f>
        <v>10</v>
      </c>
      <c r="F42" s="38">
        <f>DYNAMIC!E26</f>
        <v>3375</v>
      </c>
      <c r="G42" s="38">
        <f>DYNAMIC!F26</f>
        <v>33750</v>
      </c>
      <c r="H42" s="38"/>
    </row>
    <row r="43" spans="1:8" s="42" customFormat="1" ht="18.75" x14ac:dyDescent="0.3">
      <c r="A43" s="35"/>
      <c r="B43" s="653">
        <f>DYNAMIC!A27</f>
        <v>773</v>
      </c>
      <c r="C43" s="653" t="str">
        <f>DYNAMIC!B27</f>
        <v>LABORATORY TIMER</v>
      </c>
      <c r="D43" s="653" t="str">
        <f>DYNAMIC!C27</f>
        <v>2 pcs</v>
      </c>
      <c r="E43" s="653">
        <f>DYNAMIC!D27</f>
        <v>2</v>
      </c>
      <c r="F43" s="38">
        <f>DYNAMIC!E27</f>
        <v>2875</v>
      </c>
      <c r="G43" s="38">
        <f>DYNAMIC!F27</f>
        <v>5750</v>
      </c>
      <c r="H43" s="38"/>
    </row>
    <row r="44" spans="1:8" s="42" customFormat="1" ht="18.75" x14ac:dyDescent="0.3">
      <c r="A44" s="35"/>
      <c r="B44" s="653">
        <f>DYNAMIC!A28</f>
        <v>760</v>
      </c>
      <c r="C44" s="653" t="str">
        <f>DYNAMIC!B28</f>
        <v>PASTURE PIPETTE (DISPOSABLE)</v>
      </c>
      <c r="D44" s="653" t="str">
        <f>DYNAMIC!C28</f>
        <v>1 pack of 100</v>
      </c>
      <c r="E44" s="653">
        <f>DYNAMIC!D28</f>
        <v>3</v>
      </c>
      <c r="F44" s="38">
        <f>DYNAMIC!E28</f>
        <v>1000</v>
      </c>
      <c r="G44" s="38">
        <f>DYNAMIC!F28</f>
        <v>3000</v>
      </c>
      <c r="H44" s="38"/>
    </row>
    <row r="45" spans="1:8" s="42" customFormat="1" ht="18.75" x14ac:dyDescent="0.3">
      <c r="A45" s="35"/>
      <c r="B45" s="653">
        <f>DYNAMIC!A29</f>
        <v>838</v>
      </c>
      <c r="C45" s="653" t="str">
        <f>DYNAMIC!B29</f>
        <v>PCV TRAY</v>
      </c>
      <c r="D45" s="653">
        <f>DYNAMIC!C29</f>
        <v>0</v>
      </c>
      <c r="E45" s="653">
        <f>DYNAMIC!D29</f>
        <v>3</v>
      </c>
      <c r="F45" s="38">
        <f>DYNAMIC!E29</f>
        <v>1250</v>
      </c>
      <c r="G45" s="38">
        <f>DYNAMIC!F29</f>
        <v>3750</v>
      </c>
      <c r="H45" s="38"/>
    </row>
    <row r="46" spans="1:8" s="42" customFormat="1" ht="23.25" x14ac:dyDescent="0.35">
      <c r="A46" s="35"/>
      <c r="B46" s="653">
        <f>DYNAMIC!A30</f>
        <v>791</v>
      </c>
      <c r="C46" s="653" t="str">
        <f>DYNAMIC!B30</f>
        <v>POUCEAU'S STAIN POWDER (25G)</v>
      </c>
      <c r="D46" s="653" t="str">
        <f>DYNAMIC!C30</f>
        <v>1 pc</v>
      </c>
      <c r="E46" s="653">
        <f>DYNAMIC!D30</f>
        <v>1</v>
      </c>
      <c r="F46" s="38">
        <f>DYNAMIC!E30</f>
        <v>5625</v>
      </c>
      <c r="G46" s="38">
        <f>DYNAMIC!F30</f>
        <v>5625</v>
      </c>
      <c r="H46" s="79">
        <f>SUM(G34:G46)</f>
        <v>2051698</v>
      </c>
    </row>
    <row r="47" spans="1:8" s="42" customFormat="1" ht="18.75" x14ac:dyDescent="0.3">
      <c r="A47" s="35"/>
      <c r="B47" s="653"/>
      <c r="C47" s="653"/>
      <c r="D47" s="653"/>
      <c r="E47" s="653"/>
      <c r="F47" s="38"/>
      <c r="G47" s="38"/>
      <c r="H47" s="38"/>
    </row>
    <row r="48" spans="1:8" s="42" customFormat="1" ht="18.75" x14ac:dyDescent="0.3">
      <c r="A48" s="35"/>
      <c r="B48" s="653"/>
      <c r="C48" s="653"/>
      <c r="D48" s="653"/>
      <c r="E48" s="653"/>
      <c r="F48" s="38"/>
      <c r="G48" s="38"/>
      <c r="H48" s="38"/>
    </row>
    <row r="49" spans="1:8" s="42" customFormat="1" ht="23.25" x14ac:dyDescent="0.35">
      <c r="A49" s="35">
        <v>4</v>
      </c>
      <c r="B49" s="653"/>
      <c r="C49" s="656" t="str">
        <f>LAYO!B1</f>
        <v>LAYO-JAT NIGERIA LIMITED</v>
      </c>
      <c r="D49" s="653"/>
      <c r="E49" s="653"/>
      <c r="F49" s="38"/>
      <c r="G49" s="38"/>
      <c r="H49" s="38"/>
    </row>
    <row r="50" spans="1:8" s="42" customFormat="1" ht="18.75" x14ac:dyDescent="0.3">
      <c r="A50" s="35"/>
      <c r="B50" s="653">
        <f>LAYO!A6</f>
        <v>769</v>
      </c>
      <c r="C50" s="653" t="str">
        <f>LAYO!B6</f>
        <v>DIFFERENTIAL COUNTER-7</v>
      </c>
      <c r="D50" s="653" t="str">
        <f>LAYO!C6</f>
        <v>2 pcs</v>
      </c>
      <c r="E50" s="653">
        <f>LAYO!D6</f>
        <v>2</v>
      </c>
      <c r="F50" s="38">
        <f>LAYO!E6</f>
        <v>3250</v>
      </c>
      <c r="G50" s="38">
        <f>LAYO!F6</f>
        <v>6500</v>
      </c>
      <c r="H50" s="38"/>
    </row>
    <row r="51" spans="1:8" s="42" customFormat="1" ht="18.75" x14ac:dyDescent="0.3">
      <c r="A51" s="35"/>
      <c r="B51" s="653">
        <f>LAYO!A7</f>
        <v>768</v>
      </c>
      <c r="C51" s="653" t="str">
        <f>LAYO!B7</f>
        <v>ELECTRONIC THERMOMETER</v>
      </c>
      <c r="D51" s="653" t="str">
        <f>LAYO!C7</f>
        <v>4 pcs</v>
      </c>
      <c r="E51" s="653">
        <f>LAYO!D7</f>
        <v>4</v>
      </c>
      <c r="F51" s="38">
        <f>LAYO!E7</f>
        <v>3900</v>
      </c>
      <c r="G51" s="38">
        <f>LAYO!F7</f>
        <v>15600</v>
      </c>
      <c r="H51" s="38"/>
    </row>
    <row r="52" spans="1:8" s="42" customFormat="1" ht="23.25" x14ac:dyDescent="0.35">
      <c r="A52" s="35"/>
      <c r="B52" s="653">
        <f>LAYO!A8</f>
        <v>845</v>
      </c>
      <c r="C52" s="653" t="str">
        <f>LAYO!B8</f>
        <v>ICE PACK CONTAINER</v>
      </c>
      <c r="D52" s="653">
        <f>LAYO!C8</f>
        <v>0</v>
      </c>
      <c r="E52" s="653">
        <f>LAYO!D8</f>
        <v>20</v>
      </c>
      <c r="F52" s="38">
        <f>LAYO!E8</f>
        <v>7800</v>
      </c>
      <c r="G52" s="38">
        <f>LAYO!F8</f>
        <v>156000</v>
      </c>
      <c r="H52" s="79">
        <f>SUM(G50:G52)</f>
        <v>178100</v>
      </c>
    </row>
    <row r="53" spans="1:8" s="42" customFormat="1" ht="18.75" x14ac:dyDescent="0.3">
      <c r="A53" s="35"/>
      <c r="B53" s="653"/>
      <c r="C53" s="653"/>
      <c r="D53" s="653"/>
      <c r="E53" s="653"/>
      <c r="F53" s="38"/>
      <c r="G53" s="38"/>
      <c r="H53" s="35"/>
    </row>
    <row r="54" spans="1:8" s="42" customFormat="1" ht="18.75" x14ac:dyDescent="0.3">
      <c r="A54" s="35"/>
      <c r="B54" s="653"/>
      <c r="C54" s="653"/>
      <c r="D54" s="653"/>
      <c r="E54" s="653"/>
      <c r="F54" s="38"/>
      <c r="G54" s="38"/>
      <c r="H54" s="35"/>
    </row>
    <row r="55" spans="1:8" s="42" customFormat="1" ht="23.25" x14ac:dyDescent="0.35">
      <c r="A55" s="35">
        <v>5</v>
      </c>
      <c r="B55" s="653"/>
      <c r="C55" s="656" t="str">
        <f>TEMITA!B1</f>
        <v>TEMITA SCIENTIFIC VENTURES</v>
      </c>
      <c r="D55" s="653"/>
      <c r="E55" s="653"/>
      <c r="F55" s="38"/>
      <c r="G55" s="38"/>
      <c r="H55" s="79"/>
    </row>
    <row r="56" spans="1:8" s="42" customFormat="1" ht="18.75" x14ac:dyDescent="0.3">
      <c r="A56" s="35"/>
      <c r="B56" s="653">
        <f>TEMITA!A6</f>
        <v>761</v>
      </c>
      <c r="C56" s="653" t="str">
        <f>TEMITA!B6</f>
        <v>AUTOMATIC MICRO PIPETTE ADJUSTABLE 0-100ML</v>
      </c>
      <c r="D56" s="653" t="str">
        <f>TEMITA!C6</f>
        <v>2 pcs</v>
      </c>
      <c r="E56" s="653">
        <f>TEMITA!D6</f>
        <v>2</v>
      </c>
      <c r="F56" s="38">
        <f>TEMITA!E6</f>
        <v>5500</v>
      </c>
      <c r="G56" s="38">
        <f>TEMITA!F6</f>
        <v>11000</v>
      </c>
      <c r="H56" s="38"/>
    </row>
    <row r="57" spans="1:8" s="42" customFormat="1" ht="18.75" x14ac:dyDescent="0.3">
      <c r="A57" s="35"/>
      <c r="B57" s="653">
        <f>TEMITA!A7</f>
        <v>762</v>
      </c>
      <c r="C57" s="653" t="str">
        <f>TEMITA!B7</f>
        <v>AUTOMATIC MICRO PIPETTE ADJUSTABLE 1000 - 5000ML</v>
      </c>
      <c r="D57" s="653" t="str">
        <f>TEMITA!C7</f>
        <v>2 pcs</v>
      </c>
      <c r="E57" s="653">
        <f>TEMITA!D7</f>
        <v>2</v>
      </c>
      <c r="F57" s="38">
        <f>TEMITA!E7</f>
        <v>6000</v>
      </c>
      <c r="G57" s="38">
        <f>TEMITA!F7</f>
        <v>12000</v>
      </c>
      <c r="H57" s="38"/>
    </row>
    <row r="58" spans="1:8" s="42" customFormat="1" ht="18.75" x14ac:dyDescent="0.3">
      <c r="A58" s="35"/>
      <c r="B58" s="653">
        <f>TEMITA!A8</f>
        <v>763</v>
      </c>
      <c r="C58" s="653" t="str">
        <f>TEMITA!B8</f>
        <v>AUTOMATIC MICRO PIPETTE ADJUSTABLE 5 - 50ML</v>
      </c>
      <c r="D58" s="653" t="str">
        <f>TEMITA!C8</f>
        <v>2 pcs</v>
      </c>
      <c r="E58" s="653">
        <f>TEMITA!D8</f>
        <v>2</v>
      </c>
      <c r="F58" s="38">
        <f>TEMITA!E8</f>
        <v>5500</v>
      </c>
      <c r="G58" s="38">
        <f>TEMITA!F8</f>
        <v>11000</v>
      </c>
      <c r="H58" s="38"/>
    </row>
    <row r="59" spans="1:8" s="42" customFormat="1" ht="18.75" x14ac:dyDescent="0.3">
      <c r="A59" s="35"/>
      <c r="B59" s="653">
        <f>TEMITA!A9</f>
        <v>828</v>
      </c>
      <c r="C59" s="653" t="str">
        <f>TEMITA!B9</f>
        <v>CITRATE VACUTAINER BOTTLES</v>
      </c>
      <c r="D59" s="653" t="str">
        <f>TEMITA!C9</f>
        <v>1 pack of 10</v>
      </c>
      <c r="E59" s="653">
        <f>TEMITA!D9</f>
        <v>3</v>
      </c>
      <c r="F59" s="38">
        <f>TEMITA!E9</f>
        <v>3500</v>
      </c>
      <c r="G59" s="38">
        <f>TEMITA!F9</f>
        <v>10500</v>
      </c>
      <c r="H59" s="38"/>
    </row>
    <row r="60" spans="1:8" s="42" customFormat="1" ht="18.75" x14ac:dyDescent="0.3">
      <c r="A60" s="35"/>
      <c r="B60" s="653">
        <f>TEMITA!A10</f>
        <v>794</v>
      </c>
      <c r="C60" s="653" t="str">
        <f>TEMITA!B10</f>
        <v>COVER SLIPS (22MM x 22MM)</v>
      </c>
      <c r="D60" s="653">
        <f>TEMITA!C10</f>
        <v>0</v>
      </c>
      <c r="E60" s="653">
        <f>TEMITA!D10</f>
        <v>15</v>
      </c>
      <c r="F60" s="38">
        <f>TEMITA!E10</f>
        <v>5500</v>
      </c>
      <c r="G60" s="38">
        <f>TEMITA!F10</f>
        <v>82500</v>
      </c>
      <c r="H60" s="38"/>
    </row>
    <row r="61" spans="1:8" s="42" customFormat="1" ht="18.75" x14ac:dyDescent="0.3">
      <c r="A61" s="35"/>
      <c r="B61" s="653">
        <f>TEMITA!A11</f>
        <v>825</v>
      </c>
      <c r="C61" s="653" t="str">
        <f>TEMITA!B11</f>
        <v>EDTA VACUTAINER BOTTLE</v>
      </c>
      <c r="D61" s="653" t="str">
        <f>TEMITA!C11</f>
        <v>1 pack of 10</v>
      </c>
      <c r="E61" s="653">
        <f>TEMITA!D11</f>
        <v>48</v>
      </c>
      <c r="F61" s="38">
        <f>TEMITA!E11</f>
        <v>16000</v>
      </c>
      <c r="G61" s="38">
        <f>TEMITA!F11</f>
        <v>768000</v>
      </c>
      <c r="H61" s="38"/>
    </row>
    <row r="62" spans="1:8" s="42" customFormat="1" ht="23.25" x14ac:dyDescent="0.35">
      <c r="A62" s="35"/>
      <c r="B62" s="653">
        <f>TEMITA!A12</f>
        <v>785</v>
      </c>
      <c r="C62" s="653" t="str">
        <f>TEMITA!B12</f>
        <v>FILTER PAPER (150MM) (WHATMAN)</v>
      </c>
      <c r="D62" s="653" t="str">
        <f>TEMITA!C12</f>
        <v>6 packs</v>
      </c>
      <c r="E62" s="653">
        <f>TEMITA!D12</f>
        <v>6</v>
      </c>
      <c r="F62" s="38">
        <f>TEMITA!E12</f>
        <v>1600</v>
      </c>
      <c r="G62" s="38">
        <f>TEMITA!F12</f>
        <v>9600</v>
      </c>
      <c r="H62" s="186"/>
    </row>
    <row r="63" spans="1:8" s="42" customFormat="1" ht="18.75" x14ac:dyDescent="0.3">
      <c r="A63" s="35"/>
      <c r="B63" s="653">
        <f>TEMITA!A13</f>
        <v>787</v>
      </c>
      <c r="C63" s="653" t="str">
        <f>TEMITA!B13</f>
        <v>GLASS SLIDES</v>
      </c>
      <c r="D63" s="653" t="str">
        <f>TEMITA!C13</f>
        <v>1 pack of 50</v>
      </c>
      <c r="E63" s="653">
        <f>TEMITA!D13</f>
        <v>12</v>
      </c>
      <c r="F63" s="38">
        <f>TEMITA!E13</f>
        <v>14800</v>
      </c>
      <c r="G63" s="38">
        <f>TEMITA!F13</f>
        <v>177600</v>
      </c>
      <c r="H63" s="35"/>
    </row>
    <row r="64" spans="1:8" s="42" customFormat="1" ht="18.75" x14ac:dyDescent="0.3">
      <c r="A64" s="35"/>
      <c r="B64" s="653">
        <f>TEMITA!A14</f>
        <v>793</v>
      </c>
      <c r="C64" s="653" t="str">
        <f>TEMITA!B14</f>
        <v>HEPARINIZED CAPILLARY TUBE</v>
      </c>
      <c r="D64" s="653" t="str">
        <f>TEMITA!C14</f>
        <v>1 pack of 10</v>
      </c>
      <c r="E64" s="653">
        <f>TEMITA!D14</f>
        <v>25</v>
      </c>
      <c r="F64" s="38">
        <f>TEMITA!E14</f>
        <v>5500</v>
      </c>
      <c r="G64" s="38">
        <f>TEMITA!F14</f>
        <v>137500</v>
      </c>
      <c r="H64" s="35"/>
    </row>
    <row r="65" spans="1:8" s="42" customFormat="1" ht="23.25" x14ac:dyDescent="0.35">
      <c r="A65" s="35"/>
      <c r="B65" s="653">
        <f>TEMITA!A15</f>
        <v>823</v>
      </c>
      <c r="C65" s="653" t="str">
        <f>TEMITA!B15</f>
        <v>NEW METHYLENE BLUE STAIN (25G)</v>
      </c>
      <c r="D65" s="653">
        <f>TEMITA!C15</f>
        <v>0</v>
      </c>
      <c r="E65" s="653">
        <f>TEMITA!D15</f>
        <v>2</v>
      </c>
      <c r="F65" s="38">
        <f>TEMITA!E15</f>
        <v>3000</v>
      </c>
      <c r="G65" s="38">
        <f>TEMITA!F15</f>
        <v>6000</v>
      </c>
      <c r="H65" s="79"/>
    </row>
    <row r="66" spans="1:8" s="42" customFormat="1" ht="18.75" x14ac:dyDescent="0.3">
      <c r="A66" s="35"/>
      <c r="B66" s="653">
        <f>TEMITA!A16</f>
        <v>792</v>
      </c>
      <c r="C66" s="653" t="str">
        <f>TEMITA!B16</f>
        <v>PLAIN CAPILLARY TUBE</v>
      </c>
      <c r="D66" s="653" t="str">
        <f>TEMITA!C16</f>
        <v>1 pack of 10</v>
      </c>
      <c r="E66" s="653">
        <f>TEMITA!D16</f>
        <v>15</v>
      </c>
      <c r="F66" s="38">
        <f>TEMITA!E16</f>
        <v>5500</v>
      </c>
      <c r="G66" s="38">
        <f>TEMITA!F16</f>
        <v>82500</v>
      </c>
      <c r="H66" s="38"/>
    </row>
    <row r="67" spans="1:8" s="42" customFormat="1" ht="18.75" x14ac:dyDescent="0.3">
      <c r="A67" s="35"/>
      <c r="B67" s="653">
        <f>TEMITA!A17</f>
        <v>826</v>
      </c>
      <c r="C67" s="653" t="str">
        <f>TEMITA!B17</f>
        <v>PLAIN VACUTAINER BOTTLES</v>
      </c>
      <c r="D67" s="653" t="str">
        <f>TEMITA!C17</f>
        <v>1 pack of 10</v>
      </c>
      <c r="E67" s="653">
        <f>TEMITA!D17</f>
        <v>48</v>
      </c>
      <c r="F67" s="38">
        <f>TEMITA!E17</f>
        <v>16000</v>
      </c>
      <c r="G67" s="38">
        <f>TEMITA!F17</f>
        <v>768000</v>
      </c>
      <c r="H67" s="38"/>
    </row>
    <row r="68" spans="1:8" s="42" customFormat="1" ht="18.75" x14ac:dyDescent="0.3">
      <c r="A68" s="35"/>
      <c r="B68" s="653">
        <f>TEMITA!A18</f>
        <v>824</v>
      </c>
      <c r="C68" s="653" t="str">
        <f>TEMITA!B18</f>
        <v>SODIUM CHLORIDE POWDER (500MG)</v>
      </c>
      <c r="D68" s="653">
        <f>TEMITA!C18</f>
        <v>0</v>
      </c>
      <c r="E68" s="653">
        <f>TEMITA!D18</f>
        <v>2</v>
      </c>
      <c r="F68" s="38">
        <f>TEMITA!E18</f>
        <v>3400</v>
      </c>
      <c r="G68" s="38">
        <f>TEMITA!F18</f>
        <v>6800</v>
      </c>
      <c r="H68" s="38"/>
    </row>
    <row r="69" spans="1:8" s="42" customFormat="1" ht="18.75" x14ac:dyDescent="0.3">
      <c r="A69" s="35"/>
      <c r="B69" s="653">
        <f>TEMITA!A19</f>
        <v>836</v>
      </c>
      <c r="C69" s="653" t="str">
        <f>TEMITA!B19</f>
        <v>VACUTAINER HOLDER</v>
      </c>
      <c r="D69" s="653">
        <f>TEMITA!C19</f>
        <v>0</v>
      </c>
      <c r="E69" s="653">
        <f>TEMITA!D19</f>
        <v>2</v>
      </c>
      <c r="F69" s="38">
        <f>TEMITA!E19</f>
        <v>4375</v>
      </c>
      <c r="G69" s="38">
        <f>TEMITA!F19</f>
        <v>8750</v>
      </c>
      <c r="H69" s="38"/>
    </row>
    <row r="70" spans="1:8" s="42" customFormat="1" ht="18.75" x14ac:dyDescent="0.3">
      <c r="A70" s="35"/>
      <c r="B70" s="653">
        <f>TEMITA!A20</f>
        <v>764</v>
      </c>
      <c r="C70" s="653" t="str">
        <f>TEMITA!B20</f>
        <v>WASH BOTTLES PLASTIC (BIG) 1L</v>
      </c>
      <c r="D70" s="653" t="str">
        <f>TEMITA!C20</f>
        <v>6 pcs</v>
      </c>
      <c r="E70" s="653">
        <f>TEMITA!D20</f>
        <v>6</v>
      </c>
      <c r="F70" s="38">
        <f>TEMITA!E20</f>
        <v>1100</v>
      </c>
      <c r="G70" s="38">
        <f>TEMITA!F20</f>
        <v>6600</v>
      </c>
      <c r="H70" s="38"/>
    </row>
    <row r="71" spans="1:8" s="42" customFormat="1" ht="23.25" x14ac:dyDescent="0.35">
      <c r="A71" s="35"/>
      <c r="B71" s="653">
        <f>TEMITA!A21</f>
        <v>786</v>
      </c>
      <c r="C71" s="653" t="str">
        <f>TEMITA!B21</f>
        <v>WESTER GREEN TUBE/CUP</v>
      </c>
      <c r="D71" s="653" t="str">
        <f>TEMITA!C21</f>
        <v>1 pack of 100</v>
      </c>
      <c r="E71" s="653">
        <f>TEMITA!D21</f>
        <v>30</v>
      </c>
      <c r="F71" s="38">
        <f>TEMITA!E21</f>
        <v>10000</v>
      </c>
      <c r="G71" s="38">
        <f>TEMITA!F21</f>
        <v>300000</v>
      </c>
      <c r="H71" s="79">
        <f>SUM(G56:G71)</f>
        <v>2398350</v>
      </c>
    </row>
    <row r="72" spans="1:8" s="42" customFormat="1" ht="18.75" x14ac:dyDescent="0.3">
      <c r="A72" s="35"/>
      <c r="B72" s="653"/>
      <c r="C72" s="653"/>
      <c r="D72" s="653"/>
      <c r="E72" s="653"/>
      <c r="F72" s="38"/>
      <c r="G72" s="38"/>
      <c r="H72" s="35"/>
    </row>
    <row r="73" spans="1:8" s="42" customFormat="1" ht="23.25" x14ac:dyDescent="0.35">
      <c r="A73" s="35">
        <v>6</v>
      </c>
      <c r="B73" s="653"/>
      <c r="C73" s="656" t="str">
        <f>UBASTIC!B1</f>
        <v>UBASTIC NIGERIA LIMITED</v>
      </c>
      <c r="D73" s="653"/>
      <c r="E73" s="653"/>
      <c r="F73" s="38"/>
      <c r="G73" s="38"/>
      <c r="H73" s="79"/>
    </row>
    <row r="74" spans="1:8" s="42" customFormat="1" ht="18.75" x14ac:dyDescent="0.3">
      <c r="A74" s="35"/>
      <c r="B74" s="653">
        <f>UBASTIC!A11</f>
        <v>779</v>
      </c>
      <c r="C74" s="653" t="str">
        <f>UBASTIC!B11</f>
        <v>30% BOVINE ALBUMIN</v>
      </c>
      <c r="D74" s="653" t="str">
        <f>UBASTIC!C11</f>
        <v>1 pack of 10</v>
      </c>
      <c r="E74" s="653">
        <f>UBASTIC!D11</f>
        <v>5</v>
      </c>
      <c r="F74" s="38">
        <f>UBASTIC!E11</f>
        <v>20000</v>
      </c>
      <c r="G74" s="38">
        <f>UBASTIC!F11</f>
        <v>100000</v>
      </c>
      <c r="H74" s="38"/>
    </row>
    <row r="75" spans="1:8" s="42" customFormat="1" ht="18.75" x14ac:dyDescent="0.3">
      <c r="A75" s="35"/>
      <c r="B75" s="653">
        <f>UBASTIC!A12</f>
        <v>774</v>
      </c>
      <c r="C75" s="653" t="str">
        <f>UBASTIC!B12</f>
        <v>ANTI-A (BIOTEC) (10ML)</v>
      </c>
      <c r="D75" s="653" t="str">
        <f>UBASTIC!C12</f>
        <v>1 pack of 10</v>
      </c>
      <c r="E75" s="653">
        <f>UBASTIC!D12</f>
        <v>12</v>
      </c>
      <c r="F75" s="38">
        <f>UBASTIC!E12</f>
        <v>10000</v>
      </c>
      <c r="G75" s="38">
        <f>UBASTIC!F12</f>
        <v>120000</v>
      </c>
      <c r="H75" s="38"/>
    </row>
    <row r="76" spans="1:8" s="42" customFormat="1" ht="18.75" x14ac:dyDescent="0.3">
      <c r="A76" s="35"/>
      <c r="B76" s="653">
        <f>UBASTIC!A13</f>
        <v>776</v>
      </c>
      <c r="C76" s="653" t="str">
        <f>UBASTIC!B13</f>
        <v>ANTI-A+B (BIOTEC) (10ML)</v>
      </c>
      <c r="D76" s="653" t="str">
        <f>UBASTIC!C13</f>
        <v>1 pack of 10</v>
      </c>
      <c r="E76" s="653">
        <f>UBASTIC!D13</f>
        <v>12</v>
      </c>
      <c r="F76" s="38">
        <f>UBASTIC!E13</f>
        <v>15000</v>
      </c>
      <c r="G76" s="38">
        <f>UBASTIC!F13</f>
        <v>180000</v>
      </c>
      <c r="H76" s="38"/>
    </row>
    <row r="77" spans="1:8" s="42" customFormat="1" ht="18.75" x14ac:dyDescent="0.3">
      <c r="A77" s="35"/>
      <c r="B77" s="653">
        <f>UBASTIC!A14</f>
        <v>775</v>
      </c>
      <c r="C77" s="653" t="str">
        <f>UBASTIC!B14</f>
        <v>ANTI-B (BIOTEC) (10ML)</v>
      </c>
      <c r="D77" s="653" t="str">
        <f>UBASTIC!C14</f>
        <v>1 pack of 10</v>
      </c>
      <c r="E77" s="653">
        <f>UBASTIC!D14</f>
        <v>12</v>
      </c>
      <c r="F77" s="38">
        <f>UBASTIC!E14</f>
        <v>10000</v>
      </c>
      <c r="G77" s="38">
        <f>UBASTIC!F14</f>
        <v>120000</v>
      </c>
      <c r="H77" s="38"/>
    </row>
    <row r="78" spans="1:8" s="42" customFormat="1" ht="18.75" x14ac:dyDescent="0.3">
      <c r="A78" s="35"/>
      <c r="B78" s="653">
        <f>UBASTIC!A15</f>
        <v>777</v>
      </c>
      <c r="C78" s="653" t="str">
        <f>UBASTIC!B15</f>
        <v>ANTI-D (BIOTEC) (10ML)</v>
      </c>
      <c r="D78" s="653" t="str">
        <f>UBASTIC!C15</f>
        <v>1 pack of 10</v>
      </c>
      <c r="E78" s="653">
        <f>UBASTIC!D15</f>
        <v>12</v>
      </c>
      <c r="F78" s="38">
        <f>UBASTIC!E15</f>
        <v>15000</v>
      </c>
      <c r="G78" s="38">
        <f>UBASTIC!F15</f>
        <v>180000</v>
      </c>
      <c r="H78" s="38"/>
    </row>
    <row r="79" spans="1:8" s="42" customFormat="1" ht="23.25" x14ac:dyDescent="0.35">
      <c r="A79" s="35"/>
      <c r="B79" s="653">
        <f>UBASTIC!A16</f>
        <v>778</v>
      </c>
      <c r="C79" s="653" t="str">
        <f>UBASTIC!B16</f>
        <v>ANTI-HUMAN GLOBULIN (10ML)</v>
      </c>
      <c r="D79" s="653" t="str">
        <f>UBASTIC!C16</f>
        <v>1 pack of 10</v>
      </c>
      <c r="E79" s="653">
        <f>UBASTIC!D16</f>
        <v>5</v>
      </c>
      <c r="F79" s="38">
        <f>UBASTIC!E16</f>
        <v>20000</v>
      </c>
      <c r="G79" s="38">
        <f>UBASTIC!F16</f>
        <v>100000</v>
      </c>
      <c r="H79" s="79"/>
    </row>
    <row r="80" spans="1:8" s="42" customFormat="1" ht="23.25" x14ac:dyDescent="0.35">
      <c r="A80" s="35"/>
      <c r="B80" s="653">
        <f>UBASTIC!A17</f>
        <v>767</v>
      </c>
      <c r="C80" s="653" t="str">
        <f>UBASTIC!B17</f>
        <v>ELASTIC TORNIQUETS</v>
      </c>
      <c r="D80" s="653" t="str">
        <f>UBASTIC!C17</f>
        <v>6 pcs</v>
      </c>
      <c r="E80" s="653">
        <f>UBASTIC!D17</f>
        <v>6</v>
      </c>
      <c r="F80" s="38">
        <f>UBASTIC!E17</f>
        <v>650</v>
      </c>
      <c r="G80" s="38">
        <f>UBASTIC!F17</f>
        <v>3900</v>
      </c>
      <c r="H80" s="186"/>
    </row>
    <row r="81" spans="1:8" s="42" customFormat="1" ht="18.75" x14ac:dyDescent="0.3">
      <c r="A81" s="35"/>
      <c r="B81" s="653">
        <f>UBASTIC!A18</f>
        <v>781</v>
      </c>
      <c r="C81" s="653" t="str">
        <f>UBASTIC!B18</f>
        <v>HEPATITIS B SCREENING RAPID KIT</v>
      </c>
      <c r="D81" s="653" t="str">
        <f>UBASTIC!C18</f>
        <v>1 pack of 50</v>
      </c>
      <c r="E81" s="653">
        <f>UBASTIC!D18</f>
        <v>50</v>
      </c>
      <c r="F81" s="38">
        <f>UBASTIC!E18</f>
        <v>3500</v>
      </c>
      <c r="G81" s="38">
        <f>UBASTIC!F18</f>
        <v>175000</v>
      </c>
    </row>
    <row r="82" spans="1:8" ht="23.25" x14ac:dyDescent="0.35">
      <c r="A82" s="35"/>
      <c r="B82" s="653">
        <f>UBASTIC!A19</f>
        <v>790</v>
      </c>
      <c r="C82" s="653" t="str">
        <f>UBASTIC!B19</f>
        <v>HEPATITIS C SCREENING RAPID KIT</v>
      </c>
      <c r="D82" s="653" t="str">
        <f>UBASTIC!C19</f>
        <v>1 pack of 50</v>
      </c>
      <c r="E82" s="653">
        <f>UBASTIC!D19</f>
        <v>2</v>
      </c>
      <c r="F82" s="38">
        <f>UBASTIC!E19</f>
        <v>5500</v>
      </c>
      <c r="G82" s="38">
        <f>UBASTIC!F19</f>
        <v>11000</v>
      </c>
      <c r="H82" s="79"/>
    </row>
    <row r="83" spans="1:8" x14ac:dyDescent="0.35">
      <c r="A83" s="35"/>
      <c r="B83" s="653">
        <f>UBASTIC!A20</f>
        <v>789</v>
      </c>
      <c r="C83" s="653" t="str">
        <f>UBASTIC!B20</f>
        <v>HIV I &amp; II SCREENING RAPID KIT</v>
      </c>
      <c r="D83" s="653" t="str">
        <f>UBASTIC!C20</f>
        <v>1 pack of 100</v>
      </c>
      <c r="E83" s="653">
        <f>UBASTIC!D20</f>
        <v>1</v>
      </c>
      <c r="F83" s="38">
        <f>UBASTIC!E20</f>
        <v>18000</v>
      </c>
      <c r="G83" s="38">
        <f>UBASTIC!F20</f>
        <v>18000</v>
      </c>
      <c r="H83" s="76"/>
    </row>
    <row r="84" spans="1:8" x14ac:dyDescent="0.35">
      <c r="A84" s="35"/>
      <c r="B84" s="653">
        <f>UBASTIC!A21</f>
        <v>784</v>
      </c>
      <c r="C84" s="653" t="str">
        <f>UBASTIC!B21</f>
        <v>METHANOL (2.5L) (HONEY WELL)</v>
      </c>
      <c r="D84" s="653" t="str">
        <f>UBASTIC!C21</f>
        <v>30 pcs</v>
      </c>
      <c r="E84" s="653">
        <f>UBASTIC!D21</f>
        <v>30</v>
      </c>
      <c r="F84" s="38">
        <f>UBASTIC!E21</f>
        <v>7500</v>
      </c>
      <c r="G84" s="38">
        <f>UBASTIC!F21</f>
        <v>225000</v>
      </c>
      <c r="H84" s="76"/>
    </row>
    <row r="85" spans="1:8" ht="23.25" x14ac:dyDescent="0.35">
      <c r="A85" s="35"/>
      <c r="B85" s="653">
        <f>UBASTIC!A22</f>
        <v>782</v>
      </c>
      <c r="C85" s="653" t="str">
        <f>UBASTIC!B22</f>
        <v>VDRL SCREENING RAPID KIT</v>
      </c>
      <c r="D85" s="653" t="str">
        <f>UBASTIC!C22</f>
        <v>1 pack of 50</v>
      </c>
      <c r="E85" s="653">
        <f>UBASTIC!D22</f>
        <v>1</v>
      </c>
      <c r="F85" s="38">
        <f>UBASTIC!E22</f>
        <v>3500</v>
      </c>
      <c r="G85" s="38">
        <f>UBASTIC!F22</f>
        <v>3500</v>
      </c>
      <c r="H85" s="79">
        <f>SUM(G74:G85)</f>
        <v>1236400</v>
      </c>
    </row>
    <row r="86" spans="1:8" x14ac:dyDescent="0.35">
      <c r="A86" s="35"/>
      <c r="B86" s="653"/>
      <c r="C86" s="653"/>
      <c r="D86" s="653"/>
      <c r="E86" s="653"/>
      <c r="F86" s="38"/>
      <c r="G86" s="38"/>
      <c r="H86" s="76"/>
    </row>
    <row r="87" spans="1:8" x14ac:dyDescent="0.35">
      <c r="A87" s="35"/>
      <c r="B87" s="653"/>
      <c r="C87" s="653"/>
      <c r="D87" s="653"/>
      <c r="E87" s="653"/>
      <c r="F87" s="38"/>
      <c r="G87" s="38"/>
      <c r="H87" s="76"/>
    </row>
    <row r="88" spans="1:8" ht="23.25" x14ac:dyDescent="0.35">
      <c r="A88" s="35">
        <v>7</v>
      </c>
      <c r="B88" s="653"/>
      <c r="C88" s="656" t="str">
        <f>UNION!B1</f>
        <v>UNION DIAGNOSTIC AND CLINICAL SERVICES</v>
      </c>
      <c r="D88" s="653"/>
      <c r="E88" s="653"/>
      <c r="F88" s="38"/>
      <c r="G88" s="38"/>
      <c r="H88" s="76"/>
    </row>
    <row r="89" spans="1:8" x14ac:dyDescent="0.35">
      <c r="A89" s="35"/>
      <c r="B89" s="653">
        <f>UNION!A6</f>
        <v>804</v>
      </c>
      <c r="C89" s="653" t="str">
        <f>UNION!B6</f>
        <v>ACTIN FS (B4218-20) 4ML</v>
      </c>
      <c r="D89" s="653" t="str">
        <f>UNION!C6</f>
        <v>1 pack of 10</v>
      </c>
      <c r="E89" s="653">
        <f>UNION!D6</f>
        <v>6</v>
      </c>
      <c r="F89" s="38">
        <f>UNION!E6</f>
        <v>74922.38</v>
      </c>
      <c r="G89" s="38">
        <f>UNION!F6</f>
        <v>449534.28</v>
      </c>
      <c r="H89" s="76"/>
    </row>
    <row r="90" spans="1:8" ht="23.25" x14ac:dyDescent="0.35">
      <c r="A90" s="35"/>
      <c r="B90" s="653">
        <f>UNION!A7</f>
        <v>805</v>
      </c>
      <c r="C90" s="653" t="str">
        <f>UNION!B7</f>
        <v>C1 - TROL 1E (291070) 1ML</v>
      </c>
      <c r="D90" s="653" t="str">
        <f>UNION!C7</f>
        <v>1 pack of 10</v>
      </c>
      <c r="E90" s="653">
        <f>UNION!D7</f>
        <v>6</v>
      </c>
      <c r="F90" s="38">
        <f>UNION!E7</f>
        <v>33391.64</v>
      </c>
      <c r="G90" s="38">
        <f>UNION!F7</f>
        <v>200349.84</v>
      </c>
      <c r="H90" s="186"/>
    </row>
    <row r="91" spans="1:8" ht="18.75" x14ac:dyDescent="0.3">
      <c r="A91" s="35"/>
      <c r="B91" s="653">
        <f>UNION!A8</f>
        <v>806</v>
      </c>
      <c r="C91" s="653" t="str">
        <f>UNION!B8</f>
        <v>C2 - TROL 2E (291071) 1ML</v>
      </c>
      <c r="D91" s="653" t="str">
        <f>UNION!C8</f>
        <v>1 pack of 10</v>
      </c>
      <c r="E91" s="653">
        <f>UNION!D8</f>
        <v>6</v>
      </c>
      <c r="F91" s="38">
        <f>UNION!E8</f>
        <v>31391.64</v>
      </c>
      <c r="G91" s="38">
        <f>UNION!F8</f>
        <v>188349.84</v>
      </c>
      <c r="H91" s="35"/>
    </row>
    <row r="92" spans="1:8" s="42" customFormat="1" ht="23.25" x14ac:dyDescent="0.35">
      <c r="A92" s="35"/>
      <c r="B92" s="653">
        <f>UNION!A9</f>
        <v>807</v>
      </c>
      <c r="C92" s="653" t="str">
        <f>UNION!B9</f>
        <v>CALCIUM CHLORIDE (OR H037) 25ML</v>
      </c>
      <c r="D92" s="653" t="str">
        <f>UNION!C9</f>
        <v>1 pack of 10</v>
      </c>
      <c r="E92" s="653">
        <f>UNION!D9</f>
        <v>6</v>
      </c>
      <c r="F92" s="38">
        <f>UNION!E9</f>
        <v>40908.1</v>
      </c>
      <c r="G92" s="38">
        <f>UNION!F9</f>
        <v>245448.59999999998</v>
      </c>
      <c r="H92" s="79"/>
    </row>
    <row r="93" spans="1:8" s="42" customFormat="1" ht="18.75" x14ac:dyDescent="0.3">
      <c r="A93" s="35"/>
      <c r="B93" s="653">
        <f>UNION!A10</f>
        <v>799</v>
      </c>
      <c r="C93" s="653" t="str">
        <f>UNION!B10</f>
        <v>CELL CLEAN (83401621) 50ML</v>
      </c>
      <c r="D93" s="653">
        <f>UNION!C10</f>
        <v>0</v>
      </c>
      <c r="E93" s="653">
        <f>UNION!D10</f>
        <v>6</v>
      </c>
      <c r="F93" s="38">
        <f>UNION!E10</f>
        <v>35702.300000000003</v>
      </c>
      <c r="G93" s="38">
        <f>UNION!F10</f>
        <v>214213.80000000002</v>
      </c>
      <c r="H93" s="38"/>
    </row>
    <row r="94" spans="1:8" s="42" customFormat="1" ht="23.25" x14ac:dyDescent="0.35">
      <c r="A94" s="35"/>
      <c r="B94" s="653">
        <f>UNION!A11</f>
        <v>798</v>
      </c>
      <c r="C94" s="653" t="str">
        <f>UNION!B11</f>
        <v>CELL PACK DCL (C1661628) 20L</v>
      </c>
      <c r="D94" s="653">
        <f>UNION!C11</f>
        <v>0</v>
      </c>
      <c r="E94" s="653">
        <f>UNION!D11</f>
        <v>50</v>
      </c>
      <c r="F94" s="38">
        <f>UNION!E11</f>
        <v>39450</v>
      </c>
      <c r="G94" s="38">
        <f>UNION!F11</f>
        <v>1972500</v>
      </c>
      <c r="H94" s="79"/>
    </row>
    <row r="95" spans="1:8" s="42" customFormat="1" ht="18.75" x14ac:dyDescent="0.3">
      <c r="A95" s="35"/>
      <c r="B95" s="653">
        <f>UNION!A12</f>
        <v>815</v>
      </c>
      <c r="C95" s="653" t="str">
        <f>UNION!B12</f>
        <v>CONTROL XN CHECK L1 (213484) 3ML</v>
      </c>
      <c r="D95" s="653">
        <f>UNION!C12</f>
        <v>0</v>
      </c>
      <c r="E95" s="653">
        <f>UNION!D12</f>
        <v>24</v>
      </c>
      <c r="F95" s="38">
        <f>UNION!E12</f>
        <v>57716.1</v>
      </c>
      <c r="G95" s="38">
        <f>UNION!F12</f>
        <v>1385186.4</v>
      </c>
      <c r="H95" s="38"/>
    </row>
    <row r="96" spans="1:8" s="42" customFormat="1" ht="18.75" x14ac:dyDescent="0.3">
      <c r="A96" s="35"/>
      <c r="B96" s="653">
        <f>UNION!A13</f>
        <v>816</v>
      </c>
      <c r="C96" s="653" t="str">
        <f>UNION!B13</f>
        <v>CONTROL XN CHECK L2 (213485) 3ML</v>
      </c>
      <c r="D96" s="653">
        <f>UNION!C13</f>
        <v>0</v>
      </c>
      <c r="E96" s="653">
        <f>UNION!D13</f>
        <v>24</v>
      </c>
      <c r="F96" s="38">
        <f>UNION!E13</f>
        <v>57716.1</v>
      </c>
      <c r="G96" s="38">
        <f>UNION!F13</f>
        <v>1385186.4</v>
      </c>
      <c r="H96" s="38"/>
    </row>
    <row r="97" spans="1:8" s="42" customFormat="1" ht="18.75" x14ac:dyDescent="0.3">
      <c r="A97" s="35"/>
      <c r="B97" s="653">
        <f>UNION!A14</f>
        <v>817</v>
      </c>
      <c r="C97" s="653" t="str">
        <f>UNION!B14</f>
        <v>CONTROL XN CHECK L3 (213486) 3ML</v>
      </c>
      <c r="D97" s="653">
        <f>UNION!C14</f>
        <v>0</v>
      </c>
      <c r="E97" s="653">
        <f>UNION!D14</f>
        <v>24</v>
      </c>
      <c r="F97" s="38">
        <f>UNION!E14</f>
        <v>57716.1</v>
      </c>
      <c r="G97" s="38">
        <f>UNION!F14</f>
        <v>1385186.4</v>
      </c>
      <c r="H97" s="38"/>
    </row>
    <row r="98" spans="1:8" s="42" customFormat="1" ht="18.75" x14ac:dyDescent="0.3">
      <c r="A98" s="35"/>
      <c r="B98" s="653">
        <f>UNION!A15</f>
        <v>800</v>
      </c>
      <c r="C98" s="653" t="str">
        <f>UNION!B15</f>
        <v>FLUOROCELL IVDF (CV377552) 42ML</v>
      </c>
      <c r="D98" s="653">
        <f>UNION!C15</f>
        <v>0</v>
      </c>
      <c r="E98" s="653">
        <f>UNION!D15</f>
        <v>12</v>
      </c>
      <c r="F98" s="38">
        <f>UNION!E15</f>
        <v>335764.21</v>
      </c>
      <c r="G98" s="38">
        <f>UNION!F15</f>
        <v>4029170.5200000005</v>
      </c>
      <c r="H98" s="38"/>
    </row>
    <row r="99" spans="1:8" s="42" customFormat="1" ht="23.25" x14ac:dyDescent="0.35">
      <c r="A99" s="35"/>
      <c r="B99" s="653">
        <f>UNION!A16</f>
        <v>803</v>
      </c>
      <c r="C99" s="653" t="str">
        <f>UNION!B16</f>
        <v>INNOVIN (B42182-40) 4ML</v>
      </c>
      <c r="D99" s="653" t="str">
        <f>UNION!C16</f>
        <v>1 pack of 10</v>
      </c>
      <c r="E99" s="653">
        <f>UNION!D16</f>
        <v>12</v>
      </c>
      <c r="F99" s="38">
        <f>UNION!E16</f>
        <v>32645.119999999999</v>
      </c>
      <c r="G99" s="38">
        <f>UNION!F16</f>
        <v>391741.44</v>
      </c>
      <c r="H99" s="186"/>
    </row>
    <row r="100" spans="1:8" s="42" customFormat="1" ht="18.75" x14ac:dyDescent="0.3">
      <c r="A100" s="35"/>
      <c r="B100" s="653">
        <f>UNION!A17</f>
        <v>801</v>
      </c>
      <c r="C100" s="653" t="str">
        <f>UNION!B17</f>
        <v>LYSERCELL WDF (AL337564) 5L</v>
      </c>
      <c r="D100" s="653">
        <f>UNION!C17</f>
        <v>0</v>
      </c>
      <c r="E100" s="653">
        <f>UNION!D17</f>
        <v>12</v>
      </c>
      <c r="F100" s="38">
        <f>UNION!E17</f>
        <v>110000</v>
      </c>
      <c r="G100" s="38">
        <f>UNION!F17</f>
        <v>1320000</v>
      </c>
      <c r="H100" s="35"/>
    </row>
    <row r="101" spans="1:8" s="42" customFormat="1" ht="18.75" x14ac:dyDescent="0.3">
      <c r="A101" s="35"/>
      <c r="B101" s="653">
        <f>UNION!A18</f>
        <v>808</v>
      </c>
      <c r="C101" s="653" t="str">
        <f>UNION!B18</f>
        <v>SUL-400A CUVETTE FL (AG405069)</v>
      </c>
      <c r="D101" s="653" t="str">
        <f>UNION!C18</f>
        <v>1cnt of 50</v>
      </c>
      <c r="E101" s="653">
        <f>UNION!D18</f>
        <v>10</v>
      </c>
      <c r="F101" s="38">
        <f>UNION!E18</f>
        <v>49519.73</v>
      </c>
      <c r="G101" s="38">
        <f>UNION!F18</f>
        <v>495197.30000000005</v>
      </c>
      <c r="H101" s="38"/>
    </row>
    <row r="102" spans="1:8" s="42" customFormat="1" ht="23.25" x14ac:dyDescent="0.35">
      <c r="A102" s="35"/>
      <c r="B102" s="653">
        <f>UNION!A19</f>
        <v>802</v>
      </c>
      <c r="C102" s="653" t="str">
        <f>UNION!B19</f>
        <v>SULFOLYSER (90411317) 500ML</v>
      </c>
      <c r="D102" s="653">
        <f>UNION!C19</f>
        <v>0</v>
      </c>
      <c r="E102" s="653">
        <f>UNION!D19</f>
        <v>20</v>
      </c>
      <c r="F102" s="38">
        <f>UNION!E19</f>
        <v>20000</v>
      </c>
      <c r="G102" s="38">
        <f>UNION!F19</f>
        <v>400000</v>
      </c>
      <c r="H102" s="79">
        <f>SUM(G89:G102)</f>
        <v>14062064.820000002</v>
      </c>
    </row>
    <row r="103" spans="1:8" s="42" customFormat="1" ht="18.75" x14ac:dyDescent="0.3">
      <c r="A103" s="35"/>
      <c r="B103" s="653"/>
      <c r="C103" s="653"/>
      <c r="D103" s="653"/>
      <c r="E103" s="653"/>
      <c r="F103" s="653"/>
      <c r="G103" s="653"/>
      <c r="H103" s="38"/>
    </row>
    <row r="104" spans="1:8" x14ac:dyDescent="0.35">
      <c r="A104" s="35"/>
      <c r="B104" s="35"/>
      <c r="C104" s="188"/>
      <c r="D104" s="647"/>
      <c r="E104" s="189"/>
      <c r="F104" s="190"/>
      <c r="G104" s="191"/>
      <c r="H104" s="76"/>
    </row>
    <row r="105" spans="1:8" ht="21.75" thickBot="1" x14ac:dyDescent="0.4">
      <c r="A105" s="35"/>
      <c r="B105" s="35"/>
      <c r="C105" s="188"/>
      <c r="D105" s="647"/>
      <c r="E105" s="189"/>
      <c r="F105" s="190"/>
      <c r="G105" s="191"/>
      <c r="H105" s="185"/>
    </row>
    <row r="106" spans="1:8" ht="27" thickBot="1" x14ac:dyDescent="0.45">
      <c r="A106" s="35"/>
      <c r="B106" s="35"/>
      <c r="C106" s="188"/>
      <c r="D106" s="647"/>
      <c r="E106" s="189"/>
      <c r="F106" s="190"/>
      <c r="G106" s="193" t="s">
        <v>666</v>
      </c>
      <c r="H106" s="194">
        <f>SUM(G7:G104)</f>
        <v>29559312.819999997</v>
      </c>
    </row>
    <row r="119" spans="1:7" ht="31.5" x14ac:dyDescent="0.5">
      <c r="C119" s="843" t="s">
        <v>2166</v>
      </c>
      <c r="D119" s="843"/>
      <c r="E119" s="843"/>
      <c r="F119" s="843"/>
      <c r="G119" s="843"/>
    </row>
    <row r="121" spans="1:7" s="80" customFormat="1" ht="26.25" x14ac:dyDescent="0.4">
      <c r="A121" s="42"/>
      <c r="B121" s="35"/>
      <c r="C121" s="646" t="s">
        <v>917</v>
      </c>
      <c r="D121" s="849" t="s">
        <v>918</v>
      </c>
      <c r="E121" s="849"/>
      <c r="F121" s="849"/>
      <c r="G121" s="849"/>
    </row>
    <row r="122" spans="1:7" s="80" customFormat="1" x14ac:dyDescent="0.35">
      <c r="A122" s="42"/>
      <c r="B122" s="35"/>
      <c r="C122" s="188"/>
      <c r="D122" s="845"/>
      <c r="E122" s="845"/>
      <c r="F122" s="845"/>
      <c r="G122" s="845"/>
    </row>
    <row r="123" spans="1:7" s="80" customFormat="1" x14ac:dyDescent="0.35">
      <c r="A123" s="42"/>
      <c r="B123" s="35">
        <v>1</v>
      </c>
      <c r="C123" s="35" t="str">
        <f>C7</f>
        <v>COSMADE EASY MEDICALS LIMITED</v>
      </c>
      <c r="D123" s="841">
        <f>H16</f>
        <v>8214000</v>
      </c>
      <c r="E123" s="842"/>
      <c r="F123" s="842"/>
      <c r="G123" s="842"/>
    </row>
    <row r="124" spans="1:7" s="80" customFormat="1" x14ac:dyDescent="0.35">
      <c r="A124" s="42"/>
      <c r="B124" s="35">
        <f>1+B123</f>
        <v>2</v>
      </c>
      <c r="C124" s="653" t="str">
        <f>C18</f>
        <v>DE SANCON &amp; ASSOCIATES LIMITED</v>
      </c>
      <c r="D124" s="841">
        <f>H31</f>
        <v>1418700</v>
      </c>
      <c r="E124" s="842"/>
      <c r="F124" s="842"/>
      <c r="G124" s="842"/>
    </row>
    <row r="125" spans="1:7" s="80" customFormat="1" x14ac:dyDescent="0.35">
      <c r="A125" s="42"/>
      <c r="B125" s="35">
        <f t="shared" ref="B125:B129" si="0">1+B124</f>
        <v>3</v>
      </c>
      <c r="C125" s="35" t="str">
        <f>C33</f>
        <v>DYNAMIC ANCHOR SOURCE LIMITED</v>
      </c>
      <c r="D125" s="841">
        <f>H46</f>
        <v>2051698</v>
      </c>
      <c r="E125" s="842"/>
      <c r="F125" s="842"/>
      <c r="G125" s="842"/>
    </row>
    <row r="126" spans="1:7" s="80" customFormat="1" x14ac:dyDescent="0.35">
      <c r="A126" s="42"/>
      <c r="B126" s="35">
        <f t="shared" si="0"/>
        <v>4</v>
      </c>
      <c r="C126" s="653" t="str">
        <f>C49</f>
        <v>LAYO-JAT NIGERIA LIMITED</v>
      </c>
      <c r="D126" s="841">
        <f>H52</f>
        <v>178100</v>
      </c>
      <c r="E126" s="842"/>
      <c r="F126" s="842"/>
      <c r="G126" s="842"/>
    </row>
    <row r="127" spans="1:7" s="80" customFormat="1" x14ac:dyDescent="0.35">
      <c r="A127" s="42"/>
      <c r="B127" s="35">
        <f t="shared" si="0"/>
        <v>5</v>
      </c>
      <c r="C127" s="653" t="str">
        <f>C55</f>
        <v>TEMITA SCIENTIFIC VENTURES</v>
      </c>
      <c r="D127" s="841">
        <f>H71</f>
        <v>2398350</v>
      </c>
      <c r="E127" s="842"/>
      <c r="F127" s="842"/>
      <c r="G127" s="842"/>
    </row>
    <row r="128" spans="1:7" s="80" customFormat="1" x14ac:dyDescent="0.35">
      <c r="A128" s="42"/>
      <c r="B128" s="35">
        <f t="shared" si="0"/>
        <v>6</v>
      </c>
      <c r="C128" s="653" t="str">
        <f>C73</f>
        <v>UBASTIC NIGERIA LIMITED</v>
      </c>
      <c r="D128" s="841">
        <f>H85</f>
        <v>1236400</v>
      </c>
      <c r="E128" s="842"/>
      <c r="F128" s="842"/>
      <c r="G128" s="842"/>
    </row>
    <row r="129" spans="1:7" s="80" customFormat="1" x14ac:dyDescent="0.35">
      <c r="A129" s="42"/>
      <c r="B129" s="35">
        <f t="shared" si="0"/>
        <v>7</v>
      </c>
      <c r="C129" s="653" t="str">
        <f>C88</f>
        <v>UNION DIAGNOSTIC AND CLINICAL SERVICES</v>
      </c>
      <c r="D129" s="841">
        <f>H102</f>
        <v>14062064.820000002</v>
      </c>
      <c r="E129" s="842"/>
      <c r="F129" s="842"/>
      <c r="G129" s="842"/>
    </row>
    <row r="130" spans="1:7" s="80" customFormat="1" ht="21.75" thickBot="1" x14ac:dyDescent="0.4">
      <c r="A130" s="42"/>
      <c r="B130" s="42"/>
      <c r="C130" s="8"/>
      <c r="D130" s="836"/>
      <c r="E130" s="836"/>
      <c r="F130" s="836"/>
      <c r="G130" s="836"/>
    </row>
    <row r="131" spans="1:7" s="80" customFormat="1" ht="29.25" thickBot="1" x14ac:dyDescent="0.5">
      <c r="A131" s="42"/>
      <c r="B131" s="42"/>
      <c r="C131" s="8"/>
      <c r="D131" s="846">
        <f>SUM(D123:G129)</f>
        <v>29559312.82</v>
      </c>
      <c r="E131" s="847"/>
      <c r="F131" s="847"/>
      <c r="G131" s="848"/>
    </row>
    <row r="132" spans="1:7" s="80" customFormat="1" x14ac:dyDescent="0.35">
      <c r="A132" s="42"/>
      <c r="B132" s="42"/>
      <c r="C132" s="8"/>
      <c r="D132" s="836"/>
      <c r="E132" s="836"/>
      <c r="F132" s="836"/>
      <c r="G132" s="836"/>
    </row>
    <row r="133" spans="1:7" s="80" customFormat="1" x14ac:dyDescent="0.35">
      <c r="A133" s="42"/>
      <c r="B133" s="42"/>
      <c r="C133" s="8"/>
      <c r="D133" s="836"/>
      <c r="E133" s="836"/>
      <c r="F133" s="836"/>
      <c r="G133" s="836"/>
    </row>
    <row r="134" spans="1:7" s="80" customFormat="1" x14ac:dyDescent="0.35">
      <c r="A134" s="42"/>
      <c r="B134" s="42"/>
      <c r="C134" s="8"/>
      <c r="D134" s="836"/>
      <c r="E134" s="836"/>
      <c r="F134" s="836"/>
      <c r="G134" s="836"/>
    </row>
    <row r="135" spans="1:7" s="80" customFormat="1" x14ac:dyDescent="0.35">
      <c r="A135" s="42"/>
      <c r="B135" s="42"/>
      <c r="C135" s="8"/>
      <c r="D135" s="836"/>
      <c r="E135" s="836"/>
      <c r="F135" s="836"/>
      <c r="G135" s="836"/>
    </row>
    <row r="136" spans="1:7" s="80" customFormat="1" x14ac:dyDescent="0.35">
      <c r="A136" s="42"/>
      <c r="B136" s="42"/>
      <c r="C136" s="8"/>
      <c r="D136" s="836"/>
      <c r="E136" s="836"/>
      <c r="F136" s="836"/>
      <c r="G136" s="836"/>
    </row>
  </sheetData>
  <mergeCells count="21">
    <mergeCell ref="D136:G136"/>
    <mergeCell ref="D130:G130"/>
    <mergeCell ref="D124:G124"/>
    <mergeCell ref="D125:G125"/>
    <mergeCell ref="D126:G126"/>
    <mergeCell ref="D127:G127"/>
    <mergeCell ref="D128:G128"/>
    <mergeCell ref="D129:G129"/>
    <mergeCell ref="D131:G131"/>
    <mergeCell ref="D132:G132"/>
    <mergeCell ref="D133:G133"/>
    <mergeCell ref="D134:G134"/>
    <mergeCell ref="D135:G135"/>
    <mergeCell ref="D123:G123"/>
    <mergeCell ref="A3:H3"/>
    <mergeCell ref="C119:G119"/>
    <mergeCell ref="A1:H1"/>
    <mergeCell ref="A2:H2"/>
    <mergeCell ref="A4:H4"/>
    <mergeCell ref="D121:G121"/>
    <mergeCell ref="D122:G122"/>
  </mergeCells>
  <pageMargins left="0.25" right="0.25" top="0.28999999999999998" bottom="0.28999999999999998" header="0.3" footer="0.3"/>
  <pageSetup paperSize="9" scale="69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9103-343B-4321-957F-CEEF971D867D}">
  <dimension ref="A1:H122"/>
  <sheetViews>
    <sheetView view="pageBreakPreview" topLeftCell="A28" zoomScale="70" zoomScaleNormal="70" zoomScaleSheetLayoutView="70" workbookViewId="0">
      <selection activeCell="C63" sqref="C63"/>
    </sheetView>
  </sheetViews>
  <sheetFormatPr defaultColWidth="20" defaultRowHeight="21" x14ac:dyDescent="0.35"/>
  <cols>
    <col min="1" max="1" width="6.85546875" style="42" customWidth="1"/>
    <col min="2" max="2" width="10.140625" style="42" bestFit="1" customWidth="1"/>
    <col min="3" max="3" width="61.42578125" style="8" customWidth="1"/>
    <col min="4" max="4" width="25" style="649" customWidth="1"/>
    <col min="5" max="5" width="13.5703125" style="75" customWidth="1"/>
    <col min="6" max="6" width="20.140625" style="71" bestFit="1" customWidth="1"/>
    <col min="7" max="7" width="20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2167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SANCON!B1</f>
        <v>DE SANCON &amp; ASSOCIATES LIMITED</v>
      </c>
      <c r="D7" s="648"/>
      <c r="E7" s="35"/>
      <c r="F7" s="38"/>
      <c r="G7" s="38"/>
      <c r="H7" s="38"/>
    </row>
    <row r="8" spans="1:8" s="42" customFormat="1" ht="18.75" x14ac:dyDescent="0.3">
      <c r="A8" s="35"/>
      <c r="B8" s="653">
        <f>SANCON!A60</f>
        <v>932</v>
      </c>
      <c r="C8" s="653" t="str">
        <f>SANCON!B60</f>
        <v>CARE START MALARIA SCREENING KIT</v>
      </c>
      <c r="D8" s="653" t="str">
        <f>SANCON!C60</f>
        <v>1 pack of 25kit</v>
      </c>
      <c r="E8" s="653">
        <f>SANCON!D60</f>
        <v>60</v>
      </c>
      <c r="F8" s="38">
        <f>SANCON!E60</f>
        <v>2400</v>
      </c>
      <c r="G8" s="38">
        <f>SANCON!F60</f>
        <v>144000</v>
      </c>
      <c r="H8" s="38"/>
    </row>
    <row r="9" spans="1:8" s="42" customFormat="1" ht="18.75" x14ac:dyDescent="0.3">
      <c r="A9" s="35"/>
      <c r="B9" s="653">
        <f>SANCON!A61</f>
        <v>939</v>
      </c>
      <c r="C9" s="653" t="str">
        <f>SANCON!B61</f>
        <v>EDTA VACUTAINER BOTTLE</v>
      </c>
      <c r="D9" s="653" t="str">
        <f>SANCON!C61</f>
        <v>1 pack of 100</v>
      </c>
      <c r="E9" s="653">
        <f>SANCON!D61</f>
        <v>20</v>
      </c>
      <c r="F9" s="38">
        <f>SANCON!E61</f>
        <v>18000</v>
      </c>
      <c r="G9" s="38">
        <f>SANCON!F61</f>
        <v>360000</v>
      </c>
      <c r="H9" s="38"/>
    </row>
    <row r="10" spans="1:8" s="42" customFormat="1" ht="18.75" x14ac:dyDescent="0.3">
      <c r="A10" s="35"/>
      <c r="B10" s="653">
        <f>SANCON!A62</f>
        <v>945</v>
      </c>
      <c r="C10" s="653" t="str">
        <f>SANCON!B62</f>
        <v>FIN TIPS</v>
      </c>
      <c r="D10" s="653" t="str">
        <f>SANCON!C62</f>
        <v>1 pack of 1000pieces</v>
      </c>
      <c r="E10" s="653">
        <f>SANCON!D62</f>
        <v>20</v>
      </c>
      <c r="F10" s="38">
        <f>SANCON!E62</f>
        <v>900</v>
      </c>
      <c r="G10" s="38">
        <f>SANCON!F62</f>
        <v>18000</v>
      </c>
      <c r="H10" s="38"/>
    </row>
    <row r="11" spans="1:8" s="42" customFormat="1" ht="18.75" x14ac:dyDescent="0.3">
      <c r="A11" s="35"/>
      <c r="B11" s="653">
        <f>SANCON!A63</f>
        <v>943</v>
      </c>
      <c r="C11" s="653" t="str">
        <f>SANCON!B63</f>
        <v>FROOSTED SLIDE</v>
      </c>
      <c r="D11" s="653" t="str">
        <f>SANCON!C63</f>
        <v>1 pack of 72pieces</v>
      </c>
      <c r="E11" s="653">
        <f>SANCON!D63</f>
        <v>5</v>
      </c>
      <c r="F11" s="38">
        <f>SANCON!E63</f>
        <v>15200</v>
      </c>
      <c r="G11" s="38">
        <f>SANCON!F63</f>
        <v>76000</v>
      </c>
      <c r="H11" s="38"/>
    </row>
    <row r="12" spans="1:8" s="42" customFormat="1" ht="18.75" x14ac:dyDescent="0.3">
      <c r="A12" s="35"/>
      <c r="B12" s="653">
        <f>SANCON!A64</f>
        <v>942</v>
      </c>
      <c r="C12" s="653" t="str">
        <f>SANCON!B64</f>
        <v>GLASS SLIDE</v>
      </c>
      <c r="D12" s="653" t="str">
        <f>SANCON!C64</f>
        <v>1 pack of 72pieces</v>
      </c>
      <c r="E12" s="653">
        <f>SANCON!D64</f>
        <v>10</v>
      </c>
      <c r="F12" s="38">
        <f>SANCON!E64</f>
        <v>380</v>
      </c>
      <c r="G12" s="38">
        <f>SANCON!F64</f>
        <v>3800</v>
      </c>
      <c r="H12" s="38"/>
    </row>
    <row r="13" spans="1:8" s="42" customFormat="1" ht="18.75" x14ac:dyDescent="0.3">
      <c r="A13" s="35"/>
      <c r="B13" s="653">
        <f>SANCON!A65</f>
        <v>946</v>
      </c>
      <c r="C13" s="653" t="str">
        <f>SANCON!B65</f>
        <v>GREASE PENCIL</v>
      </c>
      <c r="D13" s="653" t="str">
        <f>SANCON!C65</f>
        <v>1 pack of 12pieces</v>
      </c>
      <c r="E13" s="653">
        <f>SANCON!D65</f>
        <v>40</v>
      </c>
      <c r="F13" s="38">
        <f>SANCON!E65</f>
        <v>7200</v>
      </c>
      <c r="G13" s="38">
        <f>SANCON!F65</f>
        <v>288000</v>
      </c>
      <c r="H13" s="38"/>
    </row>
    <row r="14" spans="1:8" s="42" customFormat="1" ht="18.75" x14ac:dyDescent="0.3">
      <c r="A14" s="35"/>
      <c r="B14" s="653">
        <f>SANCON!A66</f>
        <v>903</v>
      </c>
      <c r="C14" s="653" t="str">
        <f>SANCON!B66</f>
        <v>HAND SANITIZER</v>
      </c>
      <c r="D14" s="653" t="str">
        <f>SANCON!C66</f>
        <v>1 cartoon of 24 pieces</v>
      </c>
      <c r="E14" s="653">
        <f>SANCON!D66</f>
        <v>240</v>
      </c>
      <c r="F14" s="38">
        <f>SANCON!E66</f>
        <v>8640</v>
      </c>
      <c r="G14" s="38">
        <f>SANCON!F66</f>
        <v>2073600</v>
      </c>
      <c r="H14" s="38"/>
    </row>
    <row r="15" spans="1:8" s="42" customFormat="1" ht="18.75" x14ac:dyDescent="0.3">
      <c r="A15" s="35"/>
      <c r="B15" s="653">
        <f>SANCON!A67</f>
        <v>944</v>
      </c>
      <c r="C15" s="653" t="str">
        <f>SANCON!B67</f>
        <v>IMMERSION OIL</v>
      </c>
      <c r="D15" s="653" t="str">
        <f>SANCON!C67</f>
        <v>PCS</v>
      </c>
      <c r="E15" s="653">
        <f>SANCON!D67</f>
        <v>12</v>
      </c>
      <c r="F15" s="38">
        <f>SANCON!E67</f>
        <v>4200</v>
      </c>
      <c r="G15" s="38">
        <f>SANCON!F67</f>
        <v>50400</v>
      </c>
      <c r="H15" s="38"/>
    </row>
    <row r="16" spans="1:8" s="42" customFormat="1" ht="18.75" x14ac:dyDescent="0.3">
      <c r="A16" s="35"/>
      <c r="B16" s="653">
        <f>SANCON!A68</f>
        <v>902</v>
      </c>
      <c r="C16" s="653" t="str">
        <f>SANCON!B68</f>
        <v>LIQUID SOAP</v>
      </c>
      <c r="D16" s="653" t="str">
        <f>SANCON!C68</f>
        <v>1 cartoon (500)</v>
      </c>
      <c r="E16" s="653">
        <f>SANCON!D68</f>
        <v>240</v>
      </c>
      <c r="F16" s="38">
        <f>SANCON!E68</f>
        <v>4800</v>
      </c>
      <c r="G16" s="38">
        <f>SANCON!F68</f>
        <v>1152000</v>
      </c>
      <c r="H16" s="38"/>
    </row>
    <row r="17" spans="1:8" s="42" customFormat="1" ht="18.75" x14ac:dyDescent="0.3">
      <c r="A17" s="35"/>
      <c r="B17" s="653">
        <f>SANCON!A69</f>
        <v>951</v>
      </c>
      <c r="C17" s="653" t="str">
        <f>SANCON!B69</f>
        <v>NEUBAR COUNTING CHAMBER</v>
      </c>
      <c r="D17" s="653" t="str">
        <f>SANCON!C69</f>
        <v>1 x 10 pieces</v>
      </c>
      <c r="E17" s="653">
        <f>SANCON!D69</f>
        <v>10</v>
      </c>
      <c r="F17" s="38">
        <f>SANCON!E69</f>
        <v>9500</v>
      </c>
      <c r="G17" s="38">
        <f>SANCON!F69</f>
        <v>95000</v>
      </c>
      <c r="H17" s="38"/>
    </row>
    <row r="18" spans="1:8" s="42" customFormat="1" ht="18.75" x14ac:dyDescent="0.3">
      <c r="A18" s="35"/>
      <c r="B18" s="653">
        <f>SANCON!A70</f>
        <v>941</v>
      </c>
      <c r="C18" s="653" t="str">
        <f>SANCON!B70</f>
        <v>PLASTIC PETRI DISHES</v>
      </c>
      <c r="D18" s="653" t="str">
        <f>SANCON!C70</f>
        <v>1 pack (20 roll)</v>
      </c>
      <c r="E18" s="653">
        <f>SANCON!D70</f>
        <v>40</v>
      </c>
      <c r="F18" s="38">
        <f>SANCON!E70</f>
        <v>8500</v>
      </c>
      <c r="G18" s="38">
        <f>SANCON!F70</f>
        <v>340000</v>
      </c>
      <c r="H18" s="38"/>
    </row>
    <row r="19" spans="1:8" s="42" customFormat="1" ht="18.75" x14ac:dyDescent="0.3">
      <c r="A19" s="35"/>
      <c r="B19" s="653">
        <f>SANCON!A71</f>
        <v>930</v>
      </c>
      <c r="C19" s="653" t="str">
        <f>SANCON!B71</f>
        <v>POTASSIUM HYDROXIDE 2L</v>
      </c>
      <c r="D19" s="653" t="str">
        <f>SANCON!C71</f>
        <v>1 bottle of (2L)</v>
      </c>
      <c r="E19" s="653">
        <f>SANCON!D71</f>
        <v>10</v>
      </c>
      <c r="F19" s="38">
        <f>SANCON!E71</f>
        <v>3800</v>
      </c>
      <c r="G19" s="38">
        <f>SANCON!F71</f>
        <v>38000</v>
      </c>
      <c r="H19" s="38"/>
    </row>
    <row r="20" spans="1:8" s="42" customFormat="1" ht="23.25" x14ac:dyDescent="0.35">
      <c r="A20" s="35"/>
      <c r="B20" s="653">
        <f>SANCON!A72</f>
        <v>918</v>
      </c>
      <c r="C20" s="653" t="str">
        <f>SANCON!B72</f>
        <v>STERILE URINE BOTTLE</v>
      </c>
      <c r="D20" s="653" t="str">
        <f>SANCON!C72</f>
        <v>1 cartoon 1000pieces</v>
      </c>
      <c r="E20" s="653">
        <f>SANCON!D72</f>
        <v>10</v>
      </c>
      <c r="F20" s="38">
        <f>SANCON!E72</f>
        <v>12000</v>
      </c>
      <c r="G20" s="38">
        <f>SANCON!F72</f>
        <v>120000</v>
      </c>
      <c r="H20" s="79">
        <f>SUM(G8:G20)</f>
        <v>4758800</v>
      </c>
    </row>
    <row r="21" spans="1:8" s="42" customFormat="1" ht="18.75" x14ac:dyDescent="0.3">
      <c r="A21" s="35"/>
      <c r="B21" s="35"/>
      <c r="C21" s="35"/>
      <c r="D21" s="648"/>
      <c r="E21" s="35"/>
      <c r="F21" s="38"/>
      <c r="G21" s="38"/>
      <c r="H21" s="38"/>
    </row>
    <row r="22" spans="1:8" s="42" customFormat="1" ht="18.75" x14ac:dyDescent="0.3">
      <c r="A22" s="35"/>
      <c r="B22" s="35"/>
      <c r="C22" s="35"/>
      <c r="D22" s="648"/>
      <c r="E22" s="35"/>
      <c r="F22" s="38"/>
      <c r="G22" s="38"/>
      <c r="H22" s="38"/>
    </row>
    <row r="23" spans="1:8" s="42" customFormat="1" ht="23.25" x14ac:dyDescent="0.35">
      <c r="A23" s="35">
        <v>2</v>
      </c>
      <c r="B23" s="35"/>
      <c r="C23" s="77" t="str">
        <f>DYNAMIC!B1</f>
        <v>DYNAMIC ANCHOR SOURCE LIMITED</v>
      </c>
      <c r="D23" s="648"/>
      <c r="E23" s="35"/>
      <c r="F23" s="38"/>
      <c r="G23" s="38"/>
      <c r="H23" s="38"/>
    </row>
    <row r="24" spans="1:8" s="42" customFormat="1" ht="18.75" x14ac:dyDescent="0.3">
      <c r="A24" s="35"/>
      <c r="B24" s="653">
        <f>DYNAMIC!A44</f>
        <v>915</v>
      </c>
      <c r="C24" s="653" t="str">
        <f>DYNAMIC!B44</f>
        <v>PEPTONE POWDER AGAR</v>
      </c>
      <c r="D24" s="653" t="str">
        <f>DYNAMIC!C44</f>
        <v>1 bottle of 500g</v>
      </c>
      <c r="E24" s="653">
        <f>DYNAMIC!D44</f>
        <v>40</v>
      </c>
      <c r="F24" s="38">
        <f>DYNAMIC!E44</f>
        <v>19285</v>
      </c>
      <c r="G24" s="38">
        <f>DYNAMIC!F44</f>
        <v>771400</v>
      </c>
      <c r="H24" s="38"/>
    </row>
    <row r="25" spans="1:8" s="42" customFormat="1" ht="18.75" x14ac:dyDescent="0.3">
      <c r="A25" s="35"/>
      <c r="B25" s="653">
        <f>DYNAMIC!A45</f>
        <v>919</v>
      </c>
      <c r="C25" s="653" t="str">
        <f>DYNAMIC!B45</f>
        <v>WIDE MOUTH BOTTLE STERILE</v>
      </c>
      <c r="D25" s="653" t="str">
        <f>DYNAMIC!C45</f>
        <v>1 cartoon 500pieces</v>
      </c>
      <c r="E25" s="653">
        <f>DYNAMIC!D45</f>
        <v>20</v>
      </c>
      <c r="F25" s="38">
        <f>DYNAMIC!E45</f>
        <v>33915</v>
      </c>
      <c r="G25" s="38">
        <f>DYNAMIC!F45</f>
        <v>678300</v>
      </c>
      <c r="H25" s="38"/>
    </row>
    <row r="26" spans="1:8" s="42" customFormat="1" ht="18.75" x14ac:dyDescent="0.3">
      <c r="A26" s="35"/>
      <c r="B26" s="653">
        <f>DYNAMIC!A46</f>
        <v>925</v>
      </c>
      <c r="C26" s="653" t="str">
        <f>DYNAMIC!B46</f>
        <v>THIOGLYCOLLATE BROTH AGAR</v>
      </c>
      <c r="D26" s="653" t="str">
        <f>DYNAMIC!C46</f>
        <v>1 bottle of 500g</v>
      </c>
      <c r="E26" s="653">
        <f>DYNAMIC!D46</f>
        <v>20</v>
      </c>
      <c r="F26" s="38">
        <f>DYNAMIC!E46</f>
        <v>19950</v>
      </c>
      <c r="G26" s="38">
        <f>DYNAMIC!F46</f>
        <v>399000</v>
      </c>
      <c r="H26" s="35"/>
    </row>
    <row r="27" spans="1:8" s="42" customFormat="1" ht="18.75" x14ac:dyDescent="0.3">
      <c r="A27" s="35"/>
      <c r="B27" s="653">
        <f>DYNAMIC!A47</f>
        <v>935</v>
      </c>
      <c r="C27" s="653" t="str">
        <f>DYNAMIC!B47</f>
        <v>PPD PROTEIN TUBERCULIN</v>
      </c>
      <c r="D27" s="653" t="str">
        <f>DYNAMIC!C47</f>
        <v>1 bottle of 2ml</v>
      </c>
      <c r="E27" s="653">
        <f>DYNAMIC!D47</f>
        <v>12</v>
      </c>
      <c r="F27" s="38">
        <f>DYNAMIC!E47</f>
        <v>2660</v>
      </c>
      <c r="G27" s="38">
        <f>DYNAMIC!F47</f>
        <v>31920</v>
      </c>
      <c r="H27" s="35"/>
    </row>
    <row r="28" spans="1:8" s="42" customFormat="1" ht="18.75" x14ac:dyDescent="0.3">
      <c r="A28" s="35"/>
      <c r="B28" s="653">
        <f>DYNAMIC!A48</f>
        <v>937</v>
      </c>
      <c r="C28" s="653" t="str">
        <f>DYNAMIC!B48</f>
        <v>COVERSLIPS (22MM)</v>
      </c>
      <c r="D28" s="653" t="str">
        <f>DYNAMIC!C48</f>
        <v>100 x 10 pieces</v>
      </c>
      <c r="E28" s="653">
        <f>DYNAMIC!D48</f>
        <v>40</v>
      </c>
      <c r="F28" s="38">
        <f>DYNAMIC!E48</f>
        <v>7049</v>
      </c>
      <c r="G28" s="38">
        <f>DYNAMIC!F48</f>
        <v>281960</v>
      </c>
      <c r="H28" s="38"/>
    </row>
    <row r="29" spans="1:8" s="42" customFormat="1" ht="18.75" x14ac:dyDescent="0.3">
      <c r="A29" s="35"/>
      <c r="B29" s="653">
        <f>DYNAMIC!A49</f>
        <v>938</v>
      </c>
      <c r="C29" s="653" t="str">
        <f>DYNAMIC!B49</f>
        <v>PLAIN VACUTAINER BOTTLE</v>
      </c>
      <c r="D29" s="653" t="str">
        <f>DYNAMIC!C49</f>
        <v>8pack x 50 pieces</v>
      </c>
      <c r="E29" s="653">
        <f>DYNAMIC!D49</f>
        <v>40</v>
      </c>
      <c r="F29" s="38">
        <f>DYNAMIC!E49</f>
        <v>8246</v>
      </c>
      <c r="G29" s="38">
        <f>DYNAMIC!F49</f>
        <v>329840</v>
      </c>
      <c r="H29" s="38"/>
    </row>
    <row r="30" spans="1:8" s="42" customFormat="1" ht="18.75" x14ac:dyDescent="0.3">
      <c r="A30" s="35"/>
      <c r="B30" s="653">
        <f>DYNAMIC!A50</f>
        <v>940</v>
      </c>
      <c r="C30" s="653" t="str">
        <f>DYNAMIC!B50</f>
        <v>BIJOU BOTTLES</v>
      </c>
      <c r="D30" s="653" t="str">
        <f>DYNAMIC!C50</f>
        <v>1 cartoon (144)pieces</v>
      </c>
      <c r="E30" s="653">
        <f>DYNAMIC!D50</f>
        <v>4</v>
      </c>
      <c r="F30" s="38">
        <f>DYNAMIC!E50</f>
        <v>19152</v>
      </c>
      <c r="G30" s="38">
        <f>DYNAMIC!F50</f>
        <v>76608</v>
      </c>
      <c r="H30" s="38"/>
    </row>
    <row r="31" spans="1:8" s="42" customFormat="1" ht="18.75" x14ac:dyDescent="0.3">
      <c r="A31" s="35"/>
      <c r="B31" s="653">
        <f>DYNAMIC!A51</f>
        <v>949</v>
      </c>
      <c r="C31" s="653" t="str">
        <f>DYNAMIC!B51</f>
        <v>EOSIN (COLOUR INDEX 45380)</v>
      </c>
      <c r="D31" s="653" t="str">
        <f>DYNAMIC!C51</f>
        <v>1 bottle of 250g</v>
      </c>
      <c r="E31" s="653">
        <f>DYNAMIC!D51</f>
        <v>4</v>
      </c>
      <c r="F31" s="38">
        <f>DYNAMIC!E51</f>
        <v>3724</v>
      </c>
      <c r="G31" s="38">
        <f>DYNAMIC!F51</f>
        <v>14896</v>
      </c>
      <c r="H31" s="38"/>
    </row>
    <row r="32" spans="1:8" s="42" customFormat="1" ht="23.25" x14ac:dyDescent="0.35">
      <c r="A32" s="35"/>
      <c r="B32" s="653">
        <f>DYNAMIC!A52</f>
        <v>950</v>
      </c>
      <c r="C32" s="653" t="str">
        <f>DYNAMIC!B52</f>
        <v>NIGROSIN (COLOUR INDEX 50420)</v>
      </c>
      <c r="D32" s="653" t="str">
        <f>DYNAMIC!C52</f>
        <v>1 bottle of 250g</v>
      </c>
      <c r="E32" s="653">
        <f>DYNAMIC!D52</f>
        <v>4</v>
      </c>
      <c r="F32" s="38">
        <f>DYNAMIC!E52</f>
        <v>16625</v>
      </c>
      <c r="G32" s="38">
        <f>DYNAMIC!F52</f>
        <v>66500</v>
      </c>
      <c r="H32" s="79"/>
    </row>
    <row r="33" spans="1:8" s="42" customFormat="1" ht="18.75" x14ac:dyDescent="0.3">
      <c r="A33" s="35"/>
      <c r="B33" s="653">
        <f>DYNAMIC!A53</f>
        <v>952</v>
      </c>
      <c r="C33" s="653" t="str">
        <f>DYNAMIC!B53</f>
        <v>SALMONELLA TYPING SERA</v>
      </c>
      <c r="D33" s="653" t="str">
        <f>DYNAMIC!C53</f>
        <v>1 pack (8pcs)</v>
      </c>
      <c r="E33" s="653">
        <f>DYNAMIC!D53</f>
        <v>10</v>
      </c>
      <c r="F33" s="38">
        <f>DYNAMIC!E53</f>
        <v>15960</v>
      </c>
      <c r="G33" s="38">
        <f>DYNAMIC!F53</f>
        <v>159600</v>
      </c>
      <c r="H33" s="38"/>
    </row>
    <row r="34" spans="1:8" s="42" customFormat="1" ht="18.75" x14ac:dyDescent="0.3">
      <c r="A34" s="35"/>
      <c r="B34" s="653">
        <f>DYNAMIC!A54</f>
        <v>953</v>
      </c>
      <c r="C34" s="653" t="str">
        <f>DYNAMIC!B54</f>
        <v>E COLI TYPING SERA</v>
      </c>
      <c r="D34" s="653" t="str">
        <f>DYNAMIC!C54</f>
        <v>1 pack (8pcs)</v>
      </c>
      <c r="E34" s="653">
        <f>DYNAMIC!D54</f>
        <v>5</v>
      </c>
      <c r="F34" s="38">
        <f>DYNAMIC!E54</f>
        <v>15960</v>
      </c>
      <c r="G34" s="38">
        <f>DYNAMIC!F54</f>
        <v>79800</v>
      </c>
      <c r="H34" s="38"/>
    </row>
    <row r="35" spans="1:8" s="42" customFormat="1" ht="18.75" x14ac:dyDescent="0.3">
      <c r="A35" s="35"/>
      <c r="B35" s="653">
        <f>DYNAMIC!A55</f>
        <v>954</v>
      </c>
      <c r="C35" s="653" t="str">
        <f>DYNAMIC!B55</f>
        <v>OXIDASE REAGENT</v>
      </c>
      <c r="D35" s="653" t="str">
        <f>DYNAMIC!C55</f>
        <v>1 bottle of 25g</v>
      </c>
      <c r="E35" s="653">
        <f>DYNAMIC!D55</f>
        <v>20</v>
      </c>
      <c r="F35" s="38">
        <f>DYNAMIC!E55</f>
        <v>6650</v>
      </c>
      <c r="G35" s="38">
        <f>DYNAMIC!F55</f>
        <v>133000</v>
      </c>
      <c r="H35" s="35"/>
    </row>
    <row r="36" spans="1:8" s="42" customFormat="1" ht="18.75" x14ac:dyDescent="0.3">
      <c r="A36" s="35"/>
      <c r="B36" s="653">
        <f>DYNAMIC!A56</f>
        <v>955</v>
      </c>
      <c r="C36" s="653" t="str">
        <f>DYNAMIC!B56</f>
        <v>LENS TISSUE</v>
      </c>
      <c r="D36" s="653" t="str">
        <f>DYNAMIC!C56</f>
        <v>1 box (10 x 50) pieces</v>
      </c>
      <c r="E36" s="653">
        <f>DYNAMIC!D56</f>
        <v>100</v>
      </c>
      <c r="F36" s="38">
        <f>DYNAMIC!E56</f>
        <v>798</v>
      </c>
      <c r="G36" s="38">
        <f>DYNAMIC!F56</f>
        <v>79800</v>
      </c>
      <c r="H36" s="35"/>
    </row>
    <row r="37" spans="1:8" s="42" customFormat="1" ht="23.25" x14ac:dyDescent="0.35">
      <c r="A37" s="35"/>
      <c r="B37" s="653">
        <f>DYNAMIC!A57</f>
        <v>956</v>
      </c>
      <c r="C37" s="653" t="str">
        <f>DYNAMIC!B57</f>
        <v>HEPATITIS PROFILE SCREENING KITS</v>
      </c>
      <c r="D37" s="653" t="str">
        <f>DYNAMIC!C57</f>
        <v>1 pack (25 pcs)</v>
      </c>
      <c r="E37" s="653">
        <f>DYNAMIC!D57</f>
        <v>20</v>
      </c>
      <c r="F37" s="38">
        <f>DYNAMIC!E57</f>
        <v>11305</v>
      </c>
      <c r="G37" s="38">
        <f>DYNAMIC!F57</f>
        <v>226100</v>
      </c>
      <c r="H37" s="186"/>
    </row>
    <row r="38" spans="1:8" s="42" customFormat="1" ht="23.25" x14ac:dyDescent="0.35">
      <c r="A38" s="35"/>
      <c r="B38" s="653">
        <f>DYNAMIC!A58</f>
        <v>972</v>
      </c>
      <c r="C38" s="653" t="str">
        <f>DYNAMIC!B58</f>
        <v>TALLY COUNTERS</v>
      </c>
      <c r="D38" s="653" t="str">
        <f>DYNAMIC!C58</f>
        <v>1 X 1 PIECE</v>
      </c>
      <c r="E38" s="653">
        <f>DYNAMIC!D58</f>
        <v>20</v>
      </c>
      <c r="F38" s="38">
        <f>DYNAMIC!E58</f>
        <v>1330</v>
      </c>
      <c r="G38" s="38">
        <f>DYNAMIC!F58</f>
        <v>26600</v>
      </c>
      <c r="H38" s="79">
        <f>SUM(G24:G38)</f>
        <v>3355324</v>
      </c>
    </row>
    <row r="39" spans="1:8" s="42" customFormat="1" ht="18.75" x14ac:dyDescent="0.3">
      <c r="A39" s="35"/>
      <c r="B39" s="653"/>
      <c r="C39" s="653"/>
      <c r="D39" s="653"/>
      <c r="E39" s="653"/>
      <c r="F39" s="38"/>
      <c r="G39" s="38"/>
      <c r="H39" s="35"/>
    </row>
    <row r="40" spans="1:8" s="42" customFormat="1" ht="18.75" x14ac:dyDescent="0.3">
      <c r="A40" s="35"/>
      <c r="B40" s="653"/>
      <c r="C40" s="653"/>
      <c r="D40" s="653"/>
      <c r="E40" s="653"/>
      <c r="F40" s="38"/>
      <c r="G40" s="38"/>
      <c r="H40" s="35"/>
    </row>
    <row r="41" spans="1:8" s="42" customFormat="1" ht="23.25" x14ac:dyDescent="0.35">
      <c r="A41" s="35">
        <v>3</v>
      </c>
      <c r="B41" s="653"/>
      <c r="C41" s="656" t="str">
        <f>ROTECH!B1</f>
        <v>INTER-ROTECH NIGERIA LIMITED</v>
      </c>
      <c r="D41" s="653"/>
      <c r="E41" s="653"/>
      <c r="F41" s="38"/>
      <c r="G41" s="38"/>
      <c r="H41" s="35"/>
    </row>
    <row r="42" spans="1:8" s="42" customFormat="1" ht="23.25" x14ac:dyDescent="0.35">
      <c r="A42" s="35"/>
      <c r="B42" s="653">
        <f>ROTECH!A38</f>
        <v>936</v>
      </c>
      <c r="C42" s="653" t="str">
        <f>ROTECH!B38</f>
        <v>APPLICATOR STICK</v>
      </c>
      <c r="D42" s="653" t="str">
        <f>ROTECH!C38</f>
        <v>1 pack of 1000pieces</v>
      </c>
      <c r="E42" s="653">
        <f>ROTECH!D38</f>
        <v>20</v>
      </c>
      <c r="F42" s="38">
        <f>ROTECH!E38</f>
        <v>3300</v>
      </c>
      <c r="G42" s="38">
        <f>ROTECH!F38</f>
        <v>66000</v>
      </c>
      <c r="H42" s="79">
        <f>SUM(G42:G42)</f>
        <v>66000</v>
      </c>
    </row>
    <row r="43" spans="1:8" s="42" customFormat="1" ht="18.75" x14ac:dyDescent="0.3">
      <c r="A43" s="35"/>
      <c r="B43" s="653"/>
      <c r="C43" s="653"/>
      <c r="D43" s="653"/>
      <c r="E43" s="653"/>
      <c r="F43" s="38"/>
      <c r="G43" s="38"/>
      <c r="H43" s="38"/>
    </row>
    <row r="44" spans="1:8" s="42" customFormat="1" ht="18.75" x14ac:dyDescent="0.3">
      <c r="A44" s="35"/>
      <c r="B44" s="653"/>
      <c r="C44" s="653"/>
      <c r="D44" s="653"/>
      <c r="E44" s="653"/>
      <c r="F44" s="38"/>
      <c r="G44" s="38"/>
      <c r="H44" s="38"/>
    </row>
    <row r="45" spans="1:8" s="42" customFormat="1" ht="23.25" x14ac:dyDescent="0.35">
      <c r="A45" s="35">
        <v>4</v>
      </c>
      <c r="B45" s="653"/>
      <c r="C45" s="656" t="str">
        <f>LAYO!B1</f>
        <v>LAYO-JAT NIGERIA LIMITED</v>
      </c>
      <c r="D45" s="653"/>
      <c r="E45" s="653"/>
      <c r="F45" s="38"/>
      <c r="G45" s="38"/>
      <c r="H45" s="38"/>
    </row>
    <row r="46" spans="1:8" s="42" customFormat="1" ht="18.75" x14ac:dyDescent="0.3">
      <c r="A46" s="35"/>
      <c r="B46" s="653">
        <f>LAYO!A18</f>
        <v>973</v>
      </c>
      <c r="C46" s="653" t="str">
        <f>LAYO!B18</f>
        <v>ANTIBIOTICS DISC DISPENSER</v>
      </c>
      <c r="D46" s="653" t="str">
        <f>LAYO!C18</f>
        <v>1 X 1 PIECE</v>
      </c>
      <c r="E46" s="653">
        <f>LAYO!D18</f>
        <v>40</v>
      </c>
      <c r="F46" s="38">
        <f>LAYO!E18</f>
        <v>7800</v>
      </c>
      <c r="G46" s="38">
        <f>LAYO!F18</f>
        <v>312000</v>
      </c>
      <c r="H46" s="38"/>
    </row>
    <row r="47" spans="1:8" s="42" customFormat="1" ht="18.75" x14ac:dyDescent="0.3">
      <c r="A47" s="35"/>
      <c r="B47" s="653">
        <f>LAYO!A19</f>
        <v>947</v>
      </c>
      <c r="C47" s="653" t="str">
        <f>LAYO!B19</f>
        <v>BCG NEEDLES</v>
      </c>
      <c r="D47" s="653" t="str">
        <f>LAYO!C19</f>
        <v>1 pack of 100pieces</v>
      </c>
      <c r="E47" s="653">
        <f>LAYO!D19</f>
        <v>40</v>
      </c>
      <c r="F47" s="38">
        <f>LAYO!E19</f>
        <v>3250</v>
      </c>
      <c r="G47" s="38">
        <f>LAYO!F19</f>
        <v>130000</v>
      </c>
      <c r="H47" s="38"/>
    </row>
    <row r="48" spans="1:8" s="42" customFormat="1" ht="23.25" x14ac:dyDescent="0.35">
      <c r="A48" s="35"/>
      <c r="B48" s="653">
        <f>LAYO!A20</f>
        <v>922</v>
      </c>
      <c r="C48" s="653" t="str">
        <f>LAYO!B20</f>
        <v>HAEMA SCREEN</v>
      </c>
      <c r="D48" s="653" t="str">
        <f>LAYO!C20</f>
        <v>1 pack of 100 tests</v>
      </c>
      <c r="E48" s="653">
        <f>LAYO!D20</f>
        <v>20</v>
      </c>
      <c r="F48" s="38">
        <f>LAYO!E20</f>
        <v>11050</v>
      </c>
      <c r="G48" s="38">
        <f>LAYO!F20</f>
        <v>221000</v>
      </c>
      <c r="H48" s="79"/>
    </row>
    <row r="49" spans="1:8" s="42" customFormat="1" ht="23.25" x14ac:dyDescent="0.35">
      <c r="A49" s="35"/>
      <c r="B49" s="653">
        <f>LAYO!A21</f>
        <v>928</v>
      </c>
      <c r="C49" s="653" t="str">
        <f>LAYO!B21</f>
        <v>IODINE CRYSTALS</v>
      </c>
      <c r="D49" s="653" t="str">
        <f>LAYO!C21</f>
        <v>1 bottle of 500g</v>
      </c>
      <c r="E49" s="653">
        <f>LAYO!D21</f>
        <v>4</v>
      </c>
      <c r="F49" s="38">
        <f>LAYO!E21</f>
        <v>12480</v>
      </c>
      <c r="G49" s="38">
        <f>LAYO!F21</f>
        <v>49920</v>
      </c>
      <c r="H49" s="79">
        <f>SUM(G46:G49)</f>
        <v>712920</v>
      </c>
    </row>
    <row r="50" spans="1:8" s="42" customFormat="1" ht="18.75" x14ac:dyDescent="0.3">
      <c r="A50" s="35"/>
      <c r="B50" s="653"/>
      <c r="C50" s="653"/>
      <c r="D50" s="653"/>
      <c r="E50" s="653"/>
      <c r="F50" s="38"/>
      <c r="G50" s="38"/>
      <c r="H50" s="38"/>
    </row>
    <row r="51" spans="1:8" s="42" customFormat="1" ht="18.75" x14ac:dyDescent="0.3">
      <c r="A51" s="35"/>
      <c r="B51" s="653"/>
      <c r="C51" s="653"/>
      <c r="D51" s="653"/>
      <c r="E51" s="653"/>
      <c r="F51" s="38"/>
      <c r="G51" s="38"/>
      <c r="H51" s="38"/>
    </row>
    <row r="52" spans="1:8" s="42" customFormat="1" ht="23.25" x14ac:dyDescent="0.35">
      <c r="A52" s="35">
        <v>5</v>
      </c>
      <c r="B52" s="653"/>
      <c r="C52" s="656" t="str">
        <f>TEMITA!B1</f>
        <v>TEMITA SCIENTIFIC VENTURES</v>
      </c>
      <c r="D52" s="653"/>
      <c r="E52" s="653"/>
      <c r="F52" s="38"/>
      <c r="G52" s="38"/>
      <c r="H52" s="38"/>
    </row>
    <row r="53" spans="1:8" s="42" customFormat="1" ht="18.75" x14ac:dyDescent="0.3">
      <c r="A53" s="35"/>
      <c r="B53" s="653">
        <f>TEMITA!A39</f>
        <v>971</v>
      </c>
      <c r="C53" s="653" t="str">
        <f>TEMITA!B39</f>
        <v>ACETIC ACID</v>
      </c>
      <c r="D53" s="653" t="str">
        <f>TEMITA!C39</f>
        <v>BOTTLE (2.5L)</v>
      </c>
      <c r="E53" s="653">
        <f>TEMITA!D39</f>
        <v>2</v>
      </c>
      <c r="F53" s="38">
        <f>TEMITA!E39</f>
        <v>5000</v>
      </c>
      <c r="G53" s="38">
        <f>TEMITA!F39</f>
        <v>10000</v>
      </c>
      <c r="H53" s="38"/>
    </row>
    <row r="54" spans="1:8" s="42" customFormat="1" ht="18.75" x14ac:dyDescent="0.3">
      <c r="A54" s="35"/>
      <c r="B54" s="653">
        <f>TEMITA!A40</f>
        <v>907</v>
      </c>
      <c r="C54" s="653" t="str">
        <f>TEMITA!B40</f>
        <v>ACETONE</v>
      </c>
      <c r="D54" s="653" t="str">
        <f>TEMITA!C40</f>
        <v>1 bottle of 2.5L</v>
      </c>
      <c r="E54" s="653">
        <f>TEMITA!D40</f>
        <v>20</v>
      </c>
      <c r="F54" s="38">
        <f>TEMITA!E40</f>
        <v>5000</v>
      </c>
      <c r="G54" s="38">
        <f>TEMITA!F40</f>
        <v>100000</v>
      </c>
      <c r="H54" s="38"/>
    </row>
    <row r="55" spans="1:8" s="42" customFormat="1" ht="23.25" x14ac:dyDescent="0.35">
      <c r="A55" s="35"/>
      <c r="B55" s="653">
        <f>TEMITA!A41</f>
        <v>970</v>
      </c>
      <c r="C55" s="653" t="str">
        <f>TEMITA!B41</f>
        <v>ACETONE</v>
      </c>
      <c r="D55" s="653" t="str">
        <f>TEMITA!C41</f>
        <v>BOTTLE (2.5L)</v>
      </c>
      <c r="E55" s="653">
        <f>TEMITA!D41</f>
        <v>4</v>
      </c>
      <c r="F55" s="38">
        <f>TEMITA!E41</f>
        <v>5000</v>
      </c>
      <c r="G55" s="38">
        <f>TEMITA!F41</f>
        <v>20000</v>
      </c>
      <c r="H55" s="186"/>
    </row>
    <row r="56" spans="1:8" s="42" customFormat="1" ht="18.75" x14ac:dyDescent="0.3">
      <c r="A56" s="35"/>
      <c r="B56" s="653">
        <f>TEMITA!A42</f>
        <v>934</v>
      </c>
      <c r="C56" s="653" t="str">
        <f>TEMITA!B42</f>
        <v>CRYSTAL VIOLET POWDER</v>
      </c>
      <c r="D56" s="653" t="str">
        <f>TEMITA!C42</f>
        <v>1 bottle of 25g</v>
      </c>
      <c r="E56" s="653">
        <f>TEMITA!D42</f>
        <v>12</v>
      </c>
      <c r="F56" s="38">
        <f>TEMITA!E42</f>
        <v>2400</v>
      </c>
      <c r="G56" s="38">
        <f>TEMITA!F42</f>
        <v>28800</v>
      </c>
      <c r="H56" s="35"/>
    </row>
    <row r="57" spans="1:8" s="42" customFormat="1" ht="23.25" x14ac:dyDescent="0.35">
      <c r="A57" s="35"/>
      <c r="B57" s="653">
        <f>TEMITA!A43</f>
        <v>908</v>
      </c>
      <c r="C57" s="653" t="str">
        <f>TEMITA!B43</f>
        <v>ETHANOL</v>
      </c>
      <c r="D57" s="653" t="str">
        <f>TEMITA!C43</f>
        <v>1 bottle of 2.5L</v>
      </c>
      <c r="E57" s="653">
        <f>TEMITA!D43</f>
        <v>20</v>
      </c>
      <c r="F57" s="38">
        <f>TEMITA!E43</f>
        <v>4500</v>
      </c>
      <c r="G57" s="38">
        <f>TEMITA!F43</f>
        <v>90000</v>
      </c>
      <c r="H57" s="79"/>
    </row>
    <row r="58" spans="1:8" s="42" customFormat="1" ht="18.75" x14ac:dyDescent="0.3">
      <c r="A58" s="35"/>
      <c r="B58" s="653">
        <f>TEMITA!A44</f>
        <v>948</v>
      </c>
      <c r="C58" s="653" t="str">
        <f>TEMITA!B44</f>
        <v>GLYCERINE</v>
      </c>
      <c r="D58" s="653" t="str">
        <f>TEMITA!C44</f>
        <v>1 bottle of 2L</v>
      </c>
      <c r="E58" s="653">
        <f>TEMITA!D44</f>
        <v>12</v>
      </c>
      <c r="F58" s="38">
        <f>TEMITA!E44</f>
        <v>11000</v>
      </c>
      <c r="G58" s="38">
        <f>TEMITA!F44</f>
        <v>132000</v>
      </c>
      <c r="H58" s="38"/>
    </row>
    <row r="59" spans="1:8" s="42" customFormat="1" ht="18.75" x14ac:dyDescent="0.3">
      <c r="A59" s="35"/>
      <c r="B59" s="653">
        <f>TEMITA!A45</f>
        <v>914</v>
      </c>
      <c r="C59" s="653" t="str">
        <f>TEMITA!B45</f>
        <v>NUTRIENT BROTH AGAR</v>
      </c>
      <c r="D59" s="653" t="str">
        <f>TEMITA!C45</f>
        <v>1 bottle of 500g</v>
      </c>
      <c r="E59" s="653">
        <f>TEMITA!D45</f>
        <v>40</v>
      </c>
      <c r="F59" s="38">
        <f>TEMITA!E45</f>
        <v>18750</v>
      </c>
      <c r="G59" s="38">
        <f>TEMITA!F45</f>
        <v>750000</v>
      </c>
      <c r="H59" s="38"/>
    </row>
    <row r="60" spans="1:8" s="42" customFormat="1" ht="18.75" x14ac:dyDescent="0.3">
      <c r="A60" s="35"/>
      <c r="B60" s="653">
        <f>TEMITA!A46</f>
        <v>931</v>
      </c>
      <c r="C60" s="653" t="str">
        <f>TEMITA!B46</f>
        <v>PHENOL CRYSTALS</v>
      </c>
      <c r="D60" s="653" t="str">
        <f>TEMITA!C46</f>
        <v>1 bottle of 500g</v>
      </c>
      <c r="E60" s="653">
        <f>TEMITA!D46</f>
        <v>4</v>
      </c>
      <c r="F60" s="38">
        <f>TEMITA!E46</f>
        <v>4000</v>
      </c>
      <c r="G60" s="38">
        <f>TEMITA!F46</f>
        <v>16000</v>
      </c>
      <c r="H60" s="38"/>
    </row>
    <row r="61" spans="1:8" s="42" customFormat="1" ht="23.25" x14ac:dyDescent="0.35">
      <c r="A61" s="35"/>
      <c r="B61" s="653">
        <f>TEMITA!A47</f>
        <v>929</v>
      </c>
      <c r="C61" s="653" t="str">
        <f>TEMITA!B47</f>
        <v>POTASSIUM IODINE</v>
      </c>
      <c r="D61" s="653" t="str">
        <f>TEMITA!C47</f>
        <v>1 bottle of 1000</v>
      </c>
      <c r="E61" s="653">
        <f>TEMITA!D47</f>
        <v>4</v>
      </c>
      <c r="F61" s="38">
        <f>TEMITA!E47</f>
        <v>13000</v>
      </c>
      <c r="G61" s="38">
        <f>TEMITA!F47</f>
        <v>52000</v>
      </c>
      <c r="H61" s="79">
        <f>SUM(G53:G61)</f>
        <v>1198800</v>
      </c>
    </row>
    <row r="62" spans="1:8" s="42" customFormat="1" ht="23.25" x14ac:dyDescent="0.35">
      <c r="A62" s="35"/>
      <c r="B62" s="653"/>
      <c r="C62" s="653"/>
      <c r="D62" s="653"/>
      <c r="E62" s="653"/>
      <c r="F62" s="38"/>
      <c r="G62" s="38"/>
      <c r="H62" s="186"/>
    </row>
    <row r="63" spans="1:8" s="42" customFormat="1" ht="18.75" x14ac:dyDescent="0.3">
      <c r="A63" s="35"/>
      <c r="B63" s="653"/>
      <c r="C63" s="653"/>
      <c r="D63" s="653"/>
      <c r="E63" s="653"/>
      <c r="F63" s="38"/>
      <c r="G63" s="38"/>
      <c r="H63" s="35"/>
    </row>
    <row r="64" spans="1:8" ht="23.25" x14ac:dyDescent="0.35">
      <c r="A64" s="35">
        <v>6</v>
      </c>
      <c r="B64" s="653"/>
      <c r="C64" s="656" t="str">
        <f>UBASTIC!B1</f>
        <v>UBASTIC NIGERIA LIMITED</v>
      </c>
      <c r="D64" s="653"/>
      <c r="E64" s="653"/>
      <c r="F64" s="38"/>
      <c r="G64" s="38"/>
      <c r="H64" s="79"/>
    </row>
    <row r="65" spans="1:8" x14ac:dyDescent="0.35">
      <c r="A65" s="35"/>
      <c r="B65" s="653">
        <f>UBASTIC!A31</f>
        <v>958</v>
      </c>
      <c r="C65" s="653" t="str">
        <f>UBASTIC!B31</f>
        <v>AMOXICILLIN</v>
      </c>
      <c r="D65" s="653" t="str">
        <f>UBASTIC!C31</f>
        <v>1 PACK OF 250 PCS</v>
      </c>
      <c r="E65" s="653">
        <f>UBASTIC!D31</f>
        <v>12</v>
      </c>
      <c r="F65" s="38">
        <f>UBASTIC!E31</f>
        <v>6000</v>
      </c>
      <c r="G65" s="38">
        <f>UBASTIC!F31</f>
        <v>72000</v>
      </c>
      <c r="H65" s="76"/>
    </row>
    <row r="66" spans="1:8" x14ac:dyDescent="0.35">
      <c r="A66" s="35"/>
      <c r="B66" s="653">
        <f>UBASTIC!A32</f>
        <v>966</v>
      </c>
      <c r="C66" s="653" t="str">
        <f>UBASTIC!B32</f>
        <v>AUGMENTIN</v>
      </c>
      <c r="D66" s="653" t="str">
        <f>UBASTIC!C32</f>
        <v>1 PACK OF 250 PCS</v>
      </c>
      <c r="E66" s="653">
        <f>UBASTIC!D32</f>
        <v>24</v>
      </c>
      <c r="F66" s="38">
        <f>UBASTIC!E32</f>
        <v>6000</v>
      </c>
      <c r="G66" s="38">
        <f>UBASTIC!F32</f>
        <v>144000</v>
      </c>
      <c r="H66" s="76"/>
    </row>
    <row r="67" spans="1:8" x14ac:dyDescent="0.35">
      <c r="A67" s="35"/>
      <c r="B67" s="653">
        <f>UBASTIC!A33</f>
        <v>969</v>
      </c>
      <c r="C67" s="653" t="str">
        <f>UBASTIC!B33</f>
        <v>BACITRACIN</v>
      </c>
      <c r="D67" s="653" t="str">
        <f>UBASTIC!C33</f>
        <v>1 PACK OF 250 PCS</v>
      </c>
      <c r="E67" s="653">
        <f>UBASTIC!D33</f>
        <v>4</v>
      </c>
      <c r="F67" s="38">
        <f>UBASTIC!E33</f>
        <v>6500</v>
      </c>
      <c r="G67" s="38">
        <f>UBASTIC!F33</f>
        <v>26000</v>
      </c>
      <c r="H67" s="76"/>
    </row>
    <row r="68" spans="1:8" x14ac:dyDescent="0.35">
      <c r="A68" s="35"/>
      <c r="B68" s="653">
        <f>UBASTIC!A34</f>
        <v>909</v>
      </c>
      <c r="C68" s="653" t="str">
        <f>UBASTIC!B34</f>
        <v>BLOOD AGAR BASE</v>
      </c>
      <c r="D68" s="653" t="str">
        <f>UBASTIC!C34</f>
        <v>1 bottle of 500g</v>
      </c>
      <c r="E68" s="653">
        <f>UBASTIC!D34</f>
        <v>40</v>
      </c>
      <c r="F68" s="38">
        <f>UBASTIC!E34</f>
        <v>20000</v>
      </c>
      <c r="G68" s="38">
        <f>UBASTIC!F34</f>
        <v>800000</v>
      </c>
      <c r="H68" s="76"/>
    </row>
    <row r="69" spans="1:8" x14ac:dyDescent="0.35">
      <c r="A69" s="35"/>
      <c r="B69" s="653">
        <f>UBASTIC!A35</f>
        <v>965</v>
      </c>
      <c r="C69" s="653" t="str">
        <f>UBASTIC!B35</f>
        <v>CEFOXITIN</v>
      </c>
      <c r="D69" s="653" t="str">
        <f>UBASTIC!C35</f>
        <v>1 PACK OF 250 PCS</v>
      </c>
      <c r="E69" s="653">
        <f>UBASTIC!D35</f>
        <v>12</v>
      </c>
      <c r="F69" s="38">
        <f>UBASTIC!E35</f>
        <v>6000</v>
      </c>
      <c r="G69" s="38">
        <f>UBASTIC!F35</f>
        <v>72000</v>
      </c>
      <c r="H69" s="76"/>
    </row>
    <row r="70" spans="1:8" x14ac:dyDescent="0.35">
      <c r="A70" s="35"/>
      <c r="B70" s="653">
        <f>UBASTIC!A36</f>
        <v>964</v>
      </c>
      <c r="C70" s="653" t="str">
        <f>UBASTIC!B36</f>
        <v>CEFTAZIDIME</v>
      </c>
      <c r="D70" s="653" t="str">
        <f>UBASTIC!C36</f>
        <v>1 PACK OF 250 PCS</v>
      </c>
      <c r="E70" s="653">
        <f>UBASTIC!D36</f>
        <v>12</v>
      </c>
      <c r="F70" s="38">
        <f>UBASTIC!E36</f>
        <v>6000</v>
      </c>
      <c r="G70" s="38">
        <f>UBASTIC!F36</f>
        <v>72000</v>
      </c>
      <c r="H70" s="76"/>
    </row>
    <row r="71" spans="1:8" x14ac:dyDescent="0.35">
      <c r="A71" s="35"/>
      <c r="B71" s="653">
        <f>UBASTIC!A37</f>
        <v>957</v>
      </c>
      <c r="C71" s="653" t="str">
        <f>UBASTIC!B37</f>
        <v>CEFTRIAZONE</v>
      </c>
      <c r="D71" s="653" t="str">
        <f>UBASTIC!C37</f>
        <v>1 PACK OF 250 PCS</v>
      </c>
      <c r="E71" s="653">
        <f>UBASTIC!D37</f>
        <v>12</v>
      </c>
      <c r="F71" s="38">
        <f>UBASTIC!E37</f>
        <v>6000</v>
      </c>
      <c r="G71" s="38">
        <f>UBASTIC!F37</f>
        <v>72000</v>
      </c>
      <c r="H71" s="76"/>
    </row>
    <row r="72" spans="1:8" ht="23.25" x14ac:dyDescent="0.35">
      <c r="A72" s="35"/>
      <c r="B72" s="653">
        <f>UBASTIC!A38</f>
        <v>963</v>
      </c>
      <c r="C72" s="653" t="str">
        <f>UBASTIC!B38</f>
        <v>CEFUROXIME</v>
      </c>
      <c r="D72" s="653" t="str">
        <f>UBASTIC!C38</f>
        <v>1 PACK OF 250 PCS</v>
      </c>
      <c r="E72" s="653">
        <f>UBASTIC!D38</f>
        <v>12</v>
      </c>
      <c r="F72" s="38">
        <f>UBASTIC!E38</f>
        <v>6000</v>
      </c>
      <c r="G72" s="38">
        <f>UBASTIC!F38</f>
        <v>72000</v>
      </c>
      <c r="H72" s="186"/>
    </row>
    <row r="73" spans="1:8" ht="18.75" x14ac:dyDescent="0.3">
      <c r="A73" s="35"/>
      <c r="B73" s="653">
        <f>UBASTIC!A39</f>
        <v>962</v>
      </c>
      <c r="C73" s="653" t="str">
        <f>UBASTIC!B39</f>
        <v>CIPROFLOXACIN</v>
      </c>
      <c r="D73" s="653" t="str">
        <f>UBASTIC!C39</f>
        <v>1 PACK OF 250 PCS</v>
      </c>
      <c r="E73" s="653">
        <f>UBASTIC!D39</f>
        <v>24</v>
      </c>
      <c r="F73" s="38">
        <f>UBASTIC!E39</f>
        <v>6000</v>
      </c>
      <c r="G73" s="38">
        <f>UBASTIC!F39</f>
        <v>144000</v>
      </c>
      <c r="H73" s="35"/>
    </row>
    <row r="74" spans="1:8" s="42" customFormat="1" ht="23.25" x14ac:dyDescent="0.35">
      <c r="A74" s="35"/>
      <c r="B74" s="653">
        <f>UBASTIC!A40</f>
        <v>910</v>
      </c>
      <c r="C74" s="653" t="str">
        <f>UBASTIC!B40</f>
        <v>CLED AGAR</v>
      </c>
      <c r="D74" s="653" t="str">
        <f>UBASTIC!C40</f>
        <v>1 bottle of 500g</v>
      </c>
      <c r="E74" s="653">
        <f>UBASTIC!D40</f>
        <v>40</v>
      </c>
      <c r="F74" s="38">
        <f>UBASTIC!E40</f>
        <v>20000</v>
      </c>
      <c r="G74" s="38">
        <f>UBASTIC!F40</f>
        <v>800000</v>
      </c>
      <c r="H74" s="79"/>
    </row>
    <row r="75" spans="1:8" s="42" customFormat="1" ht="18.75" x14ac:dyDescent="0.3">
      <c r="A75" s="35"/>
      <c r="B75" s="653">
        <f>UBASTIC!A41</f>
        <v>959</v>
      </c>
      <c r="C75" s="653" t="str">
        <f>UBASTIC!B41</f>
        <v>ERYTHROMYCIN</v>
      </c>
      <c r="D75" s="653" t="str">
        <f>UBASTIC!C41</f>
        <v>1 PACK OF 250 PCS</v>
      </c>
      <c r="E75" s="653">
        <f>UBASTIC!D41</f>
        <v>12</v>
      </c>
      <c r="F75" s="38">
        <f>UBASTIC!E41</f>
        <v>6000</v>
      </c>
      <c r="G75" s="38">
        <f>UBASTIC!F41</f>
        <v>72000</v>
      </c>
      <c r="H75" s="38"/>
    </row>
    <row r="76" spans="1:8" s="42" customFormat="1" ht="23.25" x14ac:dyDescent="0.35">
      <c r="A76" s="35"/>
      <c r="B76" s="653">
        <f>UBASTIC!A42</f>
        <v>960</v>
      </c>
      <c r="C76" s="653" t="str">
        <f>UBASTIC!B42</f>
        <v>GENTAMYCIN</v>
      </c>
      <c r="D76" s="653" t="str">
        <f>UBASTIC!C42</f>
        <v>1 PACK OF 250 PCS</v>
      </c>
      <c r="E76" s="653">
        <f>UBASTIC!D42</f>
        <v>12</v>
      </c>
      <c r="F76" s="38">
        <f>UBASTIC!E42</f>
        <v>6000</v>
      </c>
      <c r="G76" s="38">
        <f>UBASTIC!F42</f>
        <v>72000</v>
      </c>
      <c r="H76" s="79"/>
    </row>
    <row r="77" spans="1:8" s="42" customFormat="1" ht="18.75" x14ac:dyDescent="0.3">
      <c r="A77" s="35"/>
      <c r="B77" s="653">
        <f>UBASTIC!A43</f>
        <v>933</v>
      </c>
      <c r="C77" s="653" t="str">
        <f>UBASTIC!B43</f>
        <v>GIEM STAIN POWDER</v>
      </c>
      <c r="D77" s="653" t="str">
        <f>UBASTIC!C43</f>
        <v>1 bottle of 25g</v>
      </c>
      <c r="E77" s="653">
        <f>UBASTIC!D43</f>
        <v>12</v>
      </c>
      <c r="F77" s="38">
        <f>UBASTIC!E43</f>
        <v>3500</v>
      </c>
      <c r="G77" s="38">
        <f>UBASTIC!F43</f>
        <v>42000</v>
      </c>
      <c r="H77" s="38"/>
    </row>
    <row r="78" spans="1:8" s="42" customFormat="1" ht="18.75" x14ac:dyDescent="0.3">
      <c r="A78" s="35"/>
      <c r="B78" s="653">
        <f>UBASTIC!A44</f>
        <v>905</v>
      </c>
      <c r="C78" s="653" t="str">
        <f>UBASTIC!B44</f>
        <v>HCV (HEPATITIS C)</v>
      </c>
      <c r="D78" s="653" t="str">
        <f>UBASTIC!C44</f>
        <v>1 pack of 50 kit</v>
      </c>
      <c r="E78" s="653">
        <f>UBASTIC!D44</f>
        <v>240</v>
      </c>
      <c r="F78" s="38">
        <f>UBASTIC!E44</f>
        <v>5500</v>
      </c>
      <c r="G78" s="38">
        <f>UBASTIC!F44</f>
        <v>1320000</v>
      </c>
      <c r="H78" s="38"/>
    </row>
    <row r="79" spans="1:8" s="42" customFormat="1" ht="18.75" x14ac:dyDescent="0.3">
      <c r="A79" s="35"/>
      <c r="B79" s="653">
        <f>UBASTIC!A45</f>
        <v>904</v>
      </c>
      <c r="C79" s="653" t="str">
        <f>UBASTIC!B45</f>
        <v>HEPATITIS B</v>
      </c>
      <c r="D79" s="653" t="str">
        <f>UBASTIC!C45</f>
        <v>1 pack of 50 kit</v>
      </c>
      <c r="E79" s="653">
        <f>UBASTIC!D45</f>
        <v>240</v>
      </c>
      <c r="F79" s="38">
        <f>UBASTIC!E45</f>
        <v>3500</v>
      </c>
      <c r="G79" s="38">
        <f>UBASTIC!F45</f>
        <v>840000</v>
      </c>
      <c r="H79" s="38"/>
    </row>
    <row r="80" spans="1:8" s="42" customFormat="1" ht="18.75" x14ac:dyDescent="0.3">
      <c r="A80" s="35"/>
      <c r="B80" s="653">
        <f>UBASTIC!A46</f>
        <v>961</v>
      </c>
      <c r="C80" s="653" t="str">
        <f>UBASTIC!B46</f>
        <v>IMIPENEM</v>
      </c>
      <c r="D80" s="653" t="str">
        <f>UBASTIC!C46</f>
        <v>1 PACK OF 250 PCS</v>
      </c>
      <c r="E80" s="653">
        <f>UBASTIC!D46</f>
        <v>12</v>
      </c>
      <c r="F80" s="38">
        <f>UBASTIC!E46</f>
        <v>6000</v>
      </c>
      <c r="G80" s="38">
        <f>UBASTIC!F46</f>
        <v>72000</v>
      </c>
      <c r="H80" s="38"/>
    </row>
    <row r="81" spans="1:8" s="42" customFormat="1" ht="23.25" x14ac:dyDescent="0.35">
      <c r="A81" s="35"/>
      <c r="B81" s="653">
        <f>UBASTIC!A47</f>
        <v>911</v>
      </c>
      <c r="C81" s="653" t="str">
        <f>UBASTIC!B47</f>
        <v>MACCONKEY AGAR</v>
      </c>
      <c r="D81" s="653" t="str">
        <f>UBASTIC!C47</f>
        <v>1 bottle of 500g</v>
      </c>
      <c r="E81" s="653">
        <f>UBASTIC!D47</f>
        <v>40</v>
      </c>
      <c r="F81" s="38">
        <f>UBASTIC!E47</f>
        <v>20000</v>
      </c>
      <c r="G81" s="38">
        <f>UBASTIC!F47</f>
        <v>800000</v>
      </c>
      <c r="H81" s="186"/>
    </row>
    <row r="82" spans="1:8" s="42" customFormat="1" ht="18.75" x14ac:dyDescent="0.3">
      <c r="A82" s="35"/>
      <c r="B82" s="653">
        <f>UBASTIC!A48</f>
        <v>967</v>
      </c>
      <c r="C82" s="653" t="str">
        <f>UBASTIC!B48</f>
        <v>MEROPENEM</v>
      </c>
      <c r="D82" s="653" t="str">
        <f>UBASTIC!C48</f>
        <v>1 PACK OF 250 PCS</v>
      </c>
      <c r="E82" s="653">
        <f>UBASTIC!D48</f>
        <v>12</v>
      </c>
      <c r="F82" s="38">
        <f>UBASTIC!E48</f>
        <v>6000</v>
      </c>
      <c r="G82" s="38">
        <f>UBASTIC!F48</f>
        <v>72000</v>
      </c>
      <c r="H82" s="35"/>
    </row>
    <row r="83" spans="1:8" s="42" customFormat="1" ht="18.75" x14ac:dyDescent="0.3">
      <c r="A83" s="35"/>
      <c r="B83" s="653">
        <f>UBASTIC!A49</f>
        <v>913</v>
      </c>
      <c r="C83" s="653" t="str">
        <f>UBASTIC!B49</f>
        <v>MULLER HINTON AGAR</v>
      </c>
      <c r="D83" s="653" t="str">
        <f>UBASTIC!C49</f>
        <v>1 bottle of 500g</v>
      </c>
      <c r="E83" s="653">
        <f>UBASTIC!D49</f>
        <v>40</v>
      </c>
      <c r="F83" s="38">
        <f>UBASTIC!E49</f>
        <v>20000</v>
      </c>
      <c r="G83" s="38">
        <f>UBASTIC!F49</f>
        <v>800000</v>
      </c>
      <c r="H83" s="38"/>
    </row>
    <row r="84" spans="1:8" s="42" customFormat="1" ht="18.75" x14ac:dyDescent="0.3">
      <c r="A84" s="35"/>
      <c r="B84" s="653">
        <f>UBASTIC!A50</f>
        <v>912</v>
      </c>
      <c r="C84" s="653" t="str">
        <f>UBASTIC!B50</f>
        <v>NUTRIENT AGAR</v>
      </c>
      <c r="D84" s="653" t="str">
        <f>UBASTIC!C50</f>
        <v>1 bottle of500g</v>
      </c>
      <c r="E84" s="653">
        <f>UBASTIC!D50</f>
        <v>40</v>
      </c>
      <c r="F84" s="38">
        <f>UBASTIC!E50</f>
        <v>18000</v>
      </c>
      <c r="G84" s="38">
        <f>UBASTIC!F50</f>
        <v>720000</v>
      </c>
      <c r="H84" s="38"/>
    </row>
    <row r="85" spans="1:8" s="42" customFormat="1" ht="18.75" x14ac:dyDescent="0.3">
      <c r="A85" s="35"/>
      <c r="B85" s="653">
        <f>UBASTIC!A51</f>
        <v>968</v>
      </c>
      <c r="C85" s="653" t="str">
        <f>UBASTIC!B51</f>
        <v>OPTOCHIN DISC</v>
      </c>
      <c r="D85" s="653" t="str">
        <f>UBASTIC!C51</f>
        <v>1 PACK OF 250 PCS</v>
      </c>
      <c r="E85" s="653">
        <f>UBASTIC!D51</f>
        <v>4</v>
      </c>
      <c r="F85" s="38">
        <f>UBASTIC!E51</f>
        <v>8500</v>
      </c>
      <c r="G85" s="38">
        <f>UBASTIC!F51</f>
        <v>34000</v>
      </c>
      <c r="H85" s="38"/>
    </row>
    <row r="86" spans="1:8" s="42" customFormat="1" ht="18.75" x14ac:dyDescent="0.3">
      <c r="A86" s="35"/>
      <c r="B86" s="653">
        <f>UBASTIC!A52</f>
        <v>916</v>
      </c>
      <c r="C86" s="653" t="str">
        <f>UBASTIC!B52</f>
        <v>SALMONELLA SHIGELLAR AGAR</v>
      </c>
      <c r="D86" s="653" t="str">
        <f>UBASTIC!C52</f>
        <v>1 bottle of 500g</v>
      </c>
      <c r="E86" s="653">
        <f>UBASTIC!D52</f>
        <v>40</v>
      </c>
      <c r="F86" s="38">
        <f>UBASTIC!E52</f>
        <v>20000</v>
      </c>
      <c r="G86" s="38">
        <f>UBASTIC!F52</f>
        <v>800000</v>
      </c>
      <c r="H86" s="38"/>
    </row>
    <row r="87" spans="1:8" s="42" customFormat="1" ht="18.75" x14ac:dyDescent="0.3">
      <c r="A87" s="35"/>
      <c r="B87" s="653">
        <f>UBASTIC!A53</f>
        <v>920</v>
      </c>
      <c r="C87" s="653" t="str">
        <f>UBASTIC!B53</f>
        <v>SIMON CITRATE AGAR</v>
      </c>
      <c r="D87" s="653" t="str">
        <f>UBASTIC!C53</f>
        <v>1 bottle (500g)</v>
      </c>
      <c r="E87" s="653">
        <f>UBASTIC!D53</f>
        <v>20</v>
      </c>
      <c r="F87" s="38">
        <f>UBASTIC!E53</f>
        <v>20000</v>
      </c>
      <c r="G87" s="38">
        <f>UBASTIC!F53</f>
        <v>400000</v>
      </c>
      <c r="H87" s="38"/>
    </row>
    <row r="88" spans="1:8" s="42" customFormat="1" ht="18.75" x14ac:dyDescent="0.3">
      <c r="A88" s="35"/>
      <c r="B88" s="653">
        <f>UBASTIC!A54</f>
        <v>921</v>
      </c>
      <c r="C88" s="653" t="str">
        <f>UBASTIC!B54</f>
        <v>TRIPLE SUGAR IRON AGAR</v>
      </c>
      <c r="D88" s="653" t="str">
        <f>UBASTIC!C54</f>
        <v>1 bottle (500g)</v>
      </c>
      <c r="E88" s="653">
        <f>UBASTIC!D54</f>
        <v>20</v>
      </c>
      <c r="F88" s="38">
        <f>UBASTIC!E54</f>
        <v>20000</v>
      </c>
      <c r="G88" s="38">
        <f>UBASTIC!F54</f>
        <v>400000</v>
      </c>
      <c r="H88" s="38"/>
    </row>
    <row r="89" spans="1:8" s="42" customFormat="1" ht="18.75" x14ac:dyDescent="0.3">
      <c r="A89" s="35"/>
      <c r="B89" s="653">
        <f>UBASTIC!A55</f>
        <v>926</v>
      </c>
      <c r="C89" s="653" t="str">
        <f>UBASTIC!B55</f>
        <v>TSI AGAR</v>
      </c>
      <c r="D89" s="653" t="str">
        <f>UBASTIC!C55</f>
        <v>1 bottle of 500g</v>
      </c>
      <c r="E89" s="653">
        <f>UBASTIC!D55</f>
        <v>12</v>
      </c>
      <c r="F89" s="38">
        <f>UBASTIC!E55</f>
        <v>20000</v>
      </c>
      <c r="G89" s="38">
        <f>UBASTIC!F55</f>
        <v>240000</v>
      </c>
      <c r="H89" s="38"/>
    </row>
    <row r="90" spans="1:8" s="42" customFormat="1" ht="18.75" x14ac:dyDescent="0.3">
      <c r="A90" s="35"/>
      <c r="B90" s="653">
        <f>UBASTIC!A56</f>
        <v>927</v>
      </c>
      <c r="C90" s="653" t="str">
        <f>UBASTIC!B56</f>
        <v>UREA AGAR BASE</v>
      </c>
      <c r="D90" s="653" t="str">
        <f>UBASTIC!C56</f>
        <v>1 bottle of 500g</v>
      </c>
      <c r="E90" s="653">
        <f>UBASTIC!D56</f>
        <v>12</v>
      </c>
      <c r="F90" s="38">
        <f>UBASTIC!E56</f>
        <v>20000</v>
      </c>
      <c r="G90" s="38">
        <f>UBASTIC!F56</f>
        <v>240000</v>
      </c>
      <c r="H90" s="38"/>
    </row>
    <row r="91" spans="1:8" s="42" customFormat="1" ht="23.25" x14ac:dyDescent="0.35">
      <c r="A91" s="35"/>
      <c r="B91" s="653">
        <f>UBASTIC!A57</f>
        <v>923</v>
      </c>
      <c r="C91" s="653" t="str">
        <f>UBASTIC!B57</f>
        <v>UREA SALT AGAR</v>
      </c>
      <c r="D91" s="653" t="str">
        <f>UBASTIC!C57</f>
        <v>1 bottle of 500g</v>
      </c>
      <c r="E91" s="653">
        <f>UBASTIC!D57</f>
        <v>20</v>
      </c>
      <c r="F91" s="38">
        <f>UBASTIC!E57</f>
        <v>20000</v>
      </c>
      <c r="G91" s="38">
        <f>UBASTIC!F57</f>
        <v>400000</v>
      </c>
      <c r="H91" s="186"/>
    </row>
    <row r="92" spans="1:8" s="42" customFormat="1" ht="18.75" x14ac:dyDescent="0.3">
      <c r="A92" s="35"/>
      <c r="B92" s="653">
        <f>UBASTIC!A58</f>
        <v>906</v>
      </c>
      <c r="C92" s="653" t="str">
        <f>UBASTIC!B58</f>
        <v>VDRL SCREENING KIT</v>
      </c>
      <c r="D92" s="653" t="str">
        <f>UBASTIC!C58</f>
        <v>1 pack of 50 kit</v>
      </c>
      <c r="E92" s="653">
        <f>UBASTIC!D58</f>
        <v>240</v>
      </c>
      <c r="F92" s="38">
        <f>UBASTIC!E58</f>
        <v>3500</v>
      </c>
      <c r="G92" s="38">
        <f>UBASTIC!F58</f>
        <v>840000</v>
      </c>
      <c r="H92" s="35"/>
    </row>
    <row r="93" spans="1:8" s="42" customFormat="1" ht="23.25" x14ac:dyDescent="0.35">
      <c r="A93" s="35"/>
      <c r="B93" s="653">
        <f>UBASTIC!A59</f>
        <v>924</v>
      </c>
      <c r="C93" s="653" t="str">
        <f>UBASTIC!B59</f>
        <v>WIDAL KIT</v>
      </c>
      <c r="D93" s="653" t="str">
        <f>UBASTIC!C59</f>
        <v>1 box (8 bottle)</v>
      </c>
      <c r="E93" s="653">
        <f>UBASTIC!D59</f>
        <v>20</v>
      </c>
      <c r="F93" s="38">
        <f>UBASTIC!E59</f>
        <v>6500</v>
      </c>
      <c r="G93" s="38">
        <f>UBASTIC!F59</f>
        <v>130000</v>
      </c>
      <c r="H93" s="79">
        <f>SUM(G65:G93)</f>
        <v>10568000</v>
      </c>
    </row>
    <row r="94" spans="1:8" x14ac:dyDescent="0.35">
      <c r="A94" s="35"/>
      <c r="B94" s="35"/>
      <c r="C94" s="188"/>
      <c r="D94" s="647"/>
      <c r="E94" s="189"/>
      <c r="F94" s="190"/>
      <c r="G94" s="191"/>
      <c r="H94" s="76"/>
    </row>
    <row r="95" spans="1:8" ht="21.75" thickBot="1" x14ac:dyDescent="0.4">
      <c r="A95" s="35"/>
      <c r="B95" s="35"/>
      <c r="C95" s="188"/>
      <c r="D95" s="647"/>
      <c r="E95" s="189"/>
      <c r="F95" s="190"/>
      <c r="G95" s="191"/>
      <c r="H95" s="185"/>
    </row>
    <row r="96" spans="1:8" ht="27" thickBot="1" x14ac:dyDescent="0.45">
      <c r="A96" s="35"/>
      <c r="B96" s="35"/>
      <c r="C96" s="188"/>
      <c r="D96" s="647"/>
      <c r="E96" s="189"/>
      <c r="F96" s="190"/>
      <c r="G96" s="193" t="s">
        <v>666</v>
      </c>
      <c r="H96" s="194">
        <f>SUM(G7:G94)</f>
        <v>20659844</v>
      </c>
    </row>
    <row r="106" spans="1:7" ht="28.5" x14ac:dyDescent="0.45">
      <c r="C106" s="850" t="s">
        <v>2168</v>
      </c>
      <c r="D106" s="850"/>
      <c r="E106" s="850"/>
      <c r="F106" s="850"/>
      <c r="G106" s="850"/>
    </row>
    <row r="108" spans="1:7" s="80" customFormat="1" ht="26.25" x14ac:dyDescent="0.4">
      <c r="A108" s="42"/>
      <c r="B108" s="35"/>
      <c r="C108" s="646" t="s">
        <v>917</v>
      </c>
      <c r="D108" s="849" t="s">
        <v>918</v>
      </c>
      <c r="E108" s="849"/>
      <c r="F108" s="849"/>
      <c r="G108" s="849"/>
    </row>
    <row r="109" spans="1:7" s="80" customFormat="1" x14ac:dyDescent="0.35">
      <c r="A109" s="42"/>
      <c r="B109" s="35"/>
      <c r="C109" s="188"/>
      <c r="D109" s="845"/>
      <c r="E109" s="845"/>
      <c r="F109" s="845"/>
      <c r="G109" s="845"/>
    </row>
    <row r="110" spans="1:7" s="80" customFormat="1" x14ac:dyDescent="0.35">
      <c r="A110" s="42"/>
      <c r="B110" s="35">
        <v>1</v>
      </c>
      <c r="C110" s="35" t="str">
        <f>C7</f>
        <v>DE SANCON &amp; ASSOCIATES LIMITED</v>
      </c>
      <c r="D110" s="841">
        <f>H20</f>
        <v>4758800</v>
      </c>
      <c r="E110" s="842"/>
      <c r="F110" s="842"/>
      <c r="G110" s="842"/>
    </row>
    <row r="111" spans="1:7" s="80" customFormat="1" x14ac:dyDescent="0.35">
      <c r="A111" s="42"/>
      <c r="B111" s="35">
        <f>1+B110</f>
        <v>2</v>
      </c>
      <c r="C111" s="35" t="str">
        <f>C23</f>
        <v>DYNAMIC ANCHOR SOURCE LIMITED</v>
      </c>
      <c r="D111" s="841">
        <f>H38</f>
        <v>3355324</v>
      </c>
      <c r="E111" s="842"/>
      <c r="F111" s="842"/>
      <c r="G111" s="842"/>
    </row>
    <row r="112" spans="1:7" s="80" customFormat="1" x14ac:dyDescent="0.35">
      <c r="A112" s="42"/>
      <c r="B112" s="35">
        <f t="shared" ref="B112:B114" si="0">1+B111</f>
        <v>3</v>
      </c>
      <c r="C112" s="653" t="str">
        <f>C41</f>
        <v>INTER-ROTECH NIGERIA LIMITED</v>
      </c>
      <c r="D112" s="841">
        <f>H42</f>
        <v>66000</v>
      </c>
      <c r="E112" s="842"/>
      <c r="F112" s="842"/>
      <c r="G112" s="842"/>
    </row>
    <row r="113" spans="1:7" s="80" customFormat="1" x14ac:dyDescent="0.35">
      <c r="A113" s="42"/>
      <c r="B113" s="35">
        <f t="shared" si="0"/>
        <v>4</v>
      </c>
      <c r="C113" s="653" t="str">
        <f>C45</f>
        <v>LAYO-JAT NIGERIA LIMITED</v>
      </c>
      <c r="D113" s="841">
        <f>H49</f>
        <v>712920</v>
      </c>
      <c r="E113" s="842"/>
      <c r="F113" s="842"/>
      <c r="G113" s="842"/>
    </row>
    <row r="114" spans="1:7" s="80" customFormat="1" x14ac:dyDescent="0.35">
      <c r="A114" s="42"/>
      <c r="B114" s="35">
        <f t="shared" si="0"/>
        <v>5</v>
      </c>
      <c r="C114" s="653" t="str">
        <f>C52</f>
        <v>TEMITA SCIENTIFIC VENTURES</v>
      </c>
      <c r="D114" s="841">
        <f>H61</f>
        <v>1198800</v>
      </c>
      <c r="E114" s="842"/>
      <c r="F114" s="842"/>
      <c r="G114" s="842"/>
    </row>
    <row r="115" spans="1:7" s="80" customFormat="1" x14ac:dyDescent="0.35">
      <c r="A115" s="42"/>
      <c r="B115" s="35">
        <f t="shared" ref="B115" si="1">1+B114</f>
        <v>6</v>
      </c>
      <c r="C115" s="653" t="str">
        <f>C64</f>
        <v>UBASTIC NIGERIA LIMITED</v>
      </c>
      <c r="D115" s="841">
        <f>H93</f>
        <v>10568000</v>
      </c>
      <c r="E115" s="842"/>
      <c r="F115" s="842"/>
      <c r="G115" s="842"/>
    </row>
    <row r="116" spans="1:7" s="80" customFormat="1" ht="21.75" thickBot="1" x14ac:dyDescent="0.4">
      <c r="A116" s="42"/>
      <c r="B116" s="42"/>
      <c r="C116" s="8"/>
      <c r="D116" s="836"/>
      <c r="E116" s="836"/>
      <c r="F116" s="836"/>
      <c r="G116" s="836"/>
    </row>
    <row r="117" spans="1:7" s="80" customFormat="1" ht="29.25" thickBot="1" x14ac:dyDescent="0.5">
      <c r="A117" s="42"/>
      <c r="B117" s="42"/>
      <c r="C117" s="8"/>
      <c r="D117" s="846">
        <f>SUM(D110:G115)</f>
        <v>20659844</v>
      </c>
      <c r="E117" s="847"/>
      <c r="F117" s="847"/>
      <c r="G117" s="848"/>
    </row>
    <row r="118" spans="1:7" s="80" customFormat="1" x14ac:dyDescent="0.35">
      <c r="A118" s="42"/>
      <c r="B118" s="42"/>
      <c r="C118" s="8"/>
      <c r="D118" s="836"/>
      <c r="E118" s="836"/>
      <c r="F118" s="836"/>
      <c r="G118" s="836"/>
    </row>
    <row r="119" spans="1:7" s="80" customFormat="1" x14ac:dyDescent="0.35">
      <c r="A119" s="42"/>
      <c r="B119" s="42"/>
      <c r="C119" s="8"/>
      <c r="D119" s="836"/>
      <c r="E119" s="836"/>
      <c r="F119" s="836"/>
      <c r="G119" s="836"/>
    </row>
    <row r="120" spans="1:7" s="80" customFormat="1" x14ac:dyDescent="0.35">
      <c r="A120" s="42"/>
      <c r="B120" s="42"/>
      <c r="C120" s="8"/>
      <c r="D120" s="836"/>
      <c r="E120" s="836"/>
      <c r="F120" s="836"/>
      <c r="G120" s="836"/>
    </row>
    <row r="121" spans="1:7" s="80" customFormat="1" x14ac:dyDescent="0.35">
      <c r="A121" s="42"/>
      <c r="B121" s="42"/>
      <c r="C121" s="8"/>
      <c r="D121" s="836"/>
      <c r="E121" s="836"/>
      <c r="F121" s="836"/>
      <c r="G121" s="836"/>
    </row>
    <row r="122" spans="1:7" s="80" customFormat="1" x14ac:dyDescent="0.35">
      <c r="A122" s="42"/>
      <c r="B122" s="42"/>
      <c r="C122" s="8"/>
      <c r="D122" s="836"/>
      <c r="E122" s="836"/>
      <c r="F122" s="836"/>
      <c r="G122" s="836"/>
    </row>
  </sheetData>
  <mergeCells count="20">
    <mergeCell ref="D122:G122"/>
    <mergeCell ref="D116:G116"/>
    <mergeCell ref="D111:G111"/>
    <mergeCell ref="D112:G112"/>
    <mergeCell ref="D114:G114"/>
    <mergeCell ref="D115:G115"/>
    <mergeCell ref="D113:G113"/>
    <mergeCell ref="D117:G117"/>
    <mergeCell ref="D118:G118"/>
    <mergeCell ref="D119:G119"/>
    <mergeCell ref="D120:G120"/>
    <mergeCell ref="D121:G121"/>
    <mergeCell ref="D110:G110"/>
    <mergeCell ref="A3:H3"/>
    <mergeCell ref="C106:G106"/>
    <mergeCell ref="A1:H1"/>
    <mergeCell ref="A2:H2"/>
    <mergeCell ref="A4:H4"/>
    <mergeCell ref="D108:G108"/>
    <mergeCell ref="D109:G109"/>
  </mergeCells>
  <pageMargins left="0.25" right="0.25" top="0.75" bottom="0.75" header="0.3" footer="0.3"/>
  <pageSetup paperSize="9" scale="75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A7F5-0F8C-4B5A-864E-3D09E85AD77E}">
  <dimension ref="A1:H20"/>
  <sheetViews>
    <sheetView view="pageBreakPreview" topLeftCell="A4" zoomScale="70" zoomScaleNormal="70" zoomScaleSheetLayoutView="70" workbookViewId="0">
      <selection activeCell="J8" sqref="J8"/>
    </sheetView>
  </sheetViews>
  <sheetFormatPr defaultColWidth="20" defaultRowHeight="21" x14ac:dyDescent="0.35"/>
  <cols>
    <col min="1" max="1" width="6.85546875" style="42" customWidth="1"/>
    <col min="2" max="2" width="10.140625" style="42" bestFit="1" customWidth="1"/>
    <col min="3" max="3" width="65.28515625" style="8" customWidth="1"/>
    <col min="4" max="4" width="24.85546875" style="649" customWidth="1"/>
    <col min="5" max="5" width="13.5703125" style="75" customWidth="1"/>
    <col min="6" max="6" width="20.140625" style="71" bestFit="1" customWidth="1"/>
    <col min="7" max="7" width="20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2169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SANCON!B1</f>
        <v>DE SANCON &amp; ASSOCIATES LIMITED</v>
      </c>
      <c r="D7" s="648"/>
      <c r="E7" s="35"/>
      <c r="F7" s="38"/>
      <c r="G7" s="38"/>
      <c r="H7" s="38"/>
    </row>
    <row r="8" spans="1:8" s="42" customFormat="1" ht="18.75" x14ac:dyDescent="0.3">
      <c r="A8" s="35"/>
      <c r="B8" s="653">
        <f>SANCON!A75</f>
        <v>975</v>
      </c>
      <c r="C8" s="653" t="str">
        <f>SANCON!B75</f>
        <v>INJECTION SAFETY BOX</v>
      </c>
      <c r="D8" s="653" t="str">
        <f>SANCON!C75</f>
        <v>25/CARTON</v>
      </c>
      <c r="E8" s="653">
        <f>SANCON!D75</f>
        <v>96</v>
      </c>
      <c r="F8" s="38">
        <f>SANCON!E75</f>
        <v>6000</v>
      </c>
      <c r="G8" s="38">
        <f>SANCON!F75</f>
        <v>576000</v>
      </c>
      <c r="H8" s="38"/>
    </row>
    <row r="9" spans="1:8" s="42" customFormat="1" ht="23.25" x14ac:dyDescent="0.35">
      <c r="A9" s="35"/>
      <c r="B9" s="653">
        <f>SANCON!A76</f>
        <v>979</v>
      </c>
      <c r="C9" s="653" t="str">
        <f>SANCON!B76</f>
        <v>UTILITY GLOVES</v>
      </c>
      <c r="D9" s="653" t="str">
        <f>SANCON!C76</f>
        <v>PAIRS</v>
      </c>
      <c r="E9" s="653">
        <f>SANCON!D76</f>
        <v>288</v>
      </c>
      <c r="F9" s="38">
        <f>SANCON!E76</f>
        <v>500</v>
      </c>
      <c r="G9" s="38">
        <f>SANCON!F76</f>
        <v>144000</v>
      </c>
      <c r="H9" s="79">
        <f>SUM(G8:G9)</f>
        <v>720000</v>
      </c>
    </row>
    <row r="10" spans="1:8" s="42" customFormat="1" ht="23.25" x14ac:dyDescent="0.35">
      <c r="A10" s="35"/>
      <c r="B10" s="653"/>
      <c r="C10" s="653"/>
      <c r="D10" s="653"/>
      <c r="E10" s="653"/>
      <c r="F10" s="38"/>
      <c r="G10" s="38"/>
      <c r="H10" s="79"/>
    </row>
    <row r="11" spans="1:8" s="42" customFormat="1" ht="23.25" x14ac:dyDescent="0.35">
      <c r="A11" s="35"/>
      <c r="B11" s="35"/>
      <c r="C11" s="77" t="s">
        <v>1165</v>
      </c>
      <c r="D11" s="648"/>
      <c r="E11" s="35"/>
      <c r="F11" s="38"/>
      <c r="G11" s="38"/>
      <c r="H11" s="38"/>
    </row>
    <row r="12" spans="1:8" s="42" customFormat="1" ht="18.75" x14ac:dyDescent="0.3">
      <c r="A12" s="35"/>
      <c r="B12" s="653">
        <v>976</v>
      </c>
      <c r="C12" s="653" t="s">
        <v>1861</v>
      </c>
      <c r="D12" s="653" t="s">
        <v>1867</v>
      </c>
      <c r="E12" s="653">
        <v>250</v>
      </c>
      <c r="F12" s="38">
        <v>3000</v>
      </c>
      <c r="G12" s="38">
        <f>E12*F12</f>
        <v>750000</v>
      </c>
      <c r="H12" s="38"/>
    </row>
    <row r="13" spans="1:8" s="42" customFormat="1" ht="18.75" x14ac:dyDescent="0.3">
      <c r="A13" s="35"/>
      <c r="B13" s="653">
        <v>977</v>
      </c>
      <c r="C13" s="653" t="s">
        <v>1862</v>
      </c>
      <c r="D13" s="653" t="s">
        <v>1867</v>
      </c>
      <c r="E13" s="653">
        <v>250</v>
      </c>
      <c r="F13" s="38">
        <v>3000</v>
      </c>
      <c r="G13" s="38">
        <f t="shared" ref="G13:G14" si="0">E13*F13</f>
        <v>750000</v>
      </c>
      <c r="H13" s="38"/>
    </row>
    <row r="14" spans="1:8" s="42" customFormat="1" ht="23.25" x14ac:dyDescent="0.35">
      <c r="A14" s="35"/>
      <c r="B14" s="653">
        <v>980</v>
      </c>
      <c r="C14" s="653" t="s">
        <v>1865</v>
      </c>
      <c r="D14" s="653" t="s">
        <v>1867</v>
      </c>
      <c r="E14" s="653">
        <v>525</v>
      </c>
      <c r="F14" s="38">
        <v>330</v>
      </c>
      <c r="G14" s="38">
        <f t="shared" si="0"/>
        <v>173250</v>
      </c>
      <c r="H14" s="79">
        <f>SUM(G12:G14)</f>
        <v>1673250</v>
      </c>
    </row>
    <row r="15" spans="1:8" s="42" customFormat="1" ht="18.75" x14ac:dyDescent="0.3">
      <c r="A15" s="35"/>
      <c r="B15" s="653"/>
      <c r="C15" s="653"/>
      <c r="D15" s="653"/>
      <c r="E15" s="653"/>
      <c r="F15" s="38"/>
      <c r="G15" s="38"/>
      <c r="H15" s="38"/>
    </row>
    <row r="16" spans="1:8" s="42" customFormat="1" ht="23.25" x14ac:dyDescent="0.35">
      <c r="A16" s="35"/>
      <c r="B16" s="653"/>
      <c r="C16" s="656" t="s">
        <v>1462</v>
      </c>
      <c r="D16" s="653"/>
      <c r="E16" s="653"/>
      <c r="F16" s="38"/>
      <c r="G16" s="38"/>
      <c r="H16" s="38"/>
    </row>
    <row r="17" spans="1:8" s="730" customFormat="1" ht="18.75" x14ac:dyDescent="0.3">
      <c r="A17" s="285"/>
      <c r="B17" s="728">
        <v>974</v>
      </c>
      <c r="C17" s="728" t="s">
        <v>1858</v>
      </c>
      <c r="D17" s="728" t="s">
        <v>2240</v>
      </c>
      <c r="E17" s="654">
        <v>500</v>
      </c>
      <c r="F17" s="729">
        <v>4660</v>
      </c>
      <c r="G17" s="38">
        <f t="shared" ref="G17:G18" si="1">E17*F17</f>
        <v>2330000</v>
      </c>
      <c r="H17" s="38"/>
    </row>
    <row r="18" spans="1:8" s="730" customFormat="1" ht="23.25" x14ac:dyDescent="0.35">
      <c r="A18" s="285"/>
      <c r="B18" s="285">
        <v>978</v>
      </c>
      <c r="C18" s="285" t="s">
        <v>2239</v>
      </c>
      <c r="D18" s="285" t="s">
        <v>1867</v>
      </c>
      <c r="E18" s="654">
        <v>450</v>
      </c>
      <c r="F18" s="729">
        <v>3400</v>
      </c>
      <c r="G18" s="38">
        <f t="shared" si="1"/>
        <v>1530000</v>
      </c>
      <c r="H18" s="79">
        <f>SUM(G17:G18)</f>
        <v>3860000</v>
      </c>
    </row>
    <row r="19" spans="1:8" ht="21.75" thickBot="1" x14ac:dyDescent="0.4">
      <c r="A19" s="35"/>
      <c r="B19" s="35"/>
      <c r="C19" s="188"/>
      <c r="D19" s="647"/>
      <c r="E19" s="189"/>
      <c r="F19" s="190"/>
      <c r="G19" s="191"/>
      <c r="H19" s="185"/>
    </row>
    <row r="20" spans="1:8" ht="27" thickBot="1" x14ac:dyDescent="0.45">
      <c r="A20" s="35"/>
      <c r="B20" s="35"/>
      <c r="C20" s="188"/>
      <c r="D20" s="647"/>
      <c r="E20" s="189"/>
      <c r="F20" s="190"/>
      <c r="G20" s="193" t="s">
        <v>666</v>
      </c>
      <c r="H20" s="194">
        <f>SUM(H7:H18)</f>
        <v>6253250</v>
      </c>
    </row>
  </sheetData>
  <mergeCells count="4">
    <mergeCell ref="A1:H1"/>
    <mergeCell ref="A2:H2"/>
    <mergeCell ref="A4:H4"/>
    <mergeCell ref="A3:H3"/>
  </mergeCells>
  <pageMargins left="0.25" right="0.25" top="0.75" bottom="0.75" header="0.3" footer="0.3"/>
  <pageSetup paperSize="9" scale="65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E4DE0-A305-42E1-90D1-345ACE7183A4}">
  <dimension ref="A1:H51"/>
  <sheetViews>
    <sheetView view="pageBreakPreview" zoomScale="70" zoomScaleNormal="70" zoomScaleSheetLayoutView="70" workbookViewId="0">
      <selection sqref="A1:H1"/>
    </sheetView>
  </sheetViews>
  <sheetFormatPr defaultColWidth="20" defaultRowHeight="21" x14ac:dyDescent="0.35"/>
  <cols>
    <col min="1" max="1" width="6.85546875" style="42" customWidth="1"/>
    <col min="2" max="2" width="10.140625" style="42" bestFit="1" customWidth="1"/>
    <col min="3" max="3" width="68.5703125" style="8" customWidth="1"/>
    <col min="4" max="4" width="27.7109375" style="649" customWidth="1"/>
    <col min="5" max="5" width="13.5703125" style="75" customWidth="1"/>
    <col min="6" max="6" width="20.140625" style="71" bestFit="1" customWidth="1"/>
    <col min="7" max="7" width="20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4">
      <c r="A3" s="832" t="s">
        <v>2171</v>
      </c>
      <c r="B3" s="833"/>
      <c r="C3" s="833"/>
      <c r="D3" s="833"/>
      <c r="E3" s="833"/>
      <c r="F3" s="833"/>
      <c r="G3" s="833"/>
      <c r="H3" s="833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SANCON!B1</f>
        <v>DE SANCON &amp; ASSOCIATES LIMITED</v>
      </c>
      <c r="D7" s="648"/>
      <c r="E7" s="35"/>
      <c r="F7" s="38"/>
      <c r="G7" s="38"/>
      <c r="H7" s="38"/>
    </row>
    <row r="8" spans="1:8" s="42" customFormat="1" ht="18.75" x14ac:dyDescent="0.3">
      <c r="A8" s="35"/>
      <c r="B8" s="653">
        <f>SANCON!A91</f>
        <v>1049</v>
      </c>
      <c r="C8" s="653" t="str">
        <f>SANCON!B91</f>
        <v>BLOOD LANCET (SILVER HEALTH)</v>
      </c>
      <c r="D8" s="653" t="str">
        <f>SANCON!C91</f>
        <v>1 x 200 pcs</v>
      </c>
      <c r="E8" s="653">
        <f>SANCON!D91</f>
        <v>24</v>
      </c>
      <c r="F8" s="38">
        <f>SANCON!E91</f>
        <v>600</v>
      </c>
      <c r="G8" s="38">
        <f>SANCON!F91</f>
        <v>14400</v>
      </c>
      <c r="H8" s="38"/>
    </row>
    <row r="9" spans="1:8" s="42" customFormat="1" ht="18.75" x14ac:dyDescent="0.3">
      <c r="A9" s="35"/>
      <c r="B9" s="653">
        <f>SANCON!A92</f>
        <v>1053</v>
      </c>
      <c r="C9" s="653" t="str">
        <f>SANCON!B92</f>
        <v>EDTA VACUTAINER BOTTLE (MICROPOINT)</v>
      </c>
      <c r="D9" s="653" t="str">
        <f>SANCON!C92</f>
        <v>1 x 1000 pcs</v>
      </c>
      <c r="E9" s="653">
        <f>SANCON!D92</f>
        <v>3</v>
      </c>
      <c r="F9" s="38">
        <f>SANCON!E92</f>
        <v>18000</v>
      </c>
      <c r="G9" s="38">
        <f>SANCON!F92</f>
        <v>54000</v>
      </c>
    </row>
    <row r="10" spans="1:8" s="42" customFormat="1" ht="18.75" x14ac:dyDescent="0.3">
      <c r="A10" s="35"/>
      <c r="B10" s="653">
        <f>SANCON!A93</f>
        <v>1051</v>
      </c>
      <c r="C10" s="653" t="str">
        <f>SANCON!B93</f>
        <v>GLASS SLIDES</v>
      </c>
      <c r="D10" s="653" t="str">
        <f>SANCON!C93</f>
        <v>-</v>
      </c>
      <c r="E10" s="653">
        <f>SANCON!D93</f>
        <v>24</v>
      </c>
      <c r="F10" s="38">
        <f>SANCON!E93</f>
        <v>380</v>
      </c>
      <c r="G10" s="38">
        <f>SANCON!F93</f>
        <v>9120</v>
      </c>
      <c r="H10" s="38"/>
    </row>
    <row r="11" spans="1:8" s="42" customFormat="1" ht="18.75" x14ac:dyDescent="0.3">
      <c r="A11" s="35"/>
      <c r="B11" s="653">
        <f>SANCON!A94</f>
        <v>1046</v>
      </c>
      <c r="C11" s="653" t="str">
        <f>SANCON!B94</f>
        <v>PREGNANCY TEST CASSETTE (BIO-CHECK)</v>
      </c>
      <c r="D11" s="653" t="str">
        <f>SANCON!C94</f>
        <v>1 x 25</v>
      </c>
      <c r="E11" s="653">
        <f>SANCON!D94</f>
        <v>24</v>
      </c>
      <c r="F11" s="38">
        <f>SANCON!E94</f>
        <v>3200</v>
      </c>
      <c r="G11" s="38">
        <f>SANCON!F94</f>
        <v>76800</v>
      </c>
      <c r="H11" s="38"/>
    </row>
    <row r="12" spans="1:8" s="42" customFormat="1" ht="23.25" x14ac:dyDescent="0.35">
      <c r="A12" s="35"/>
      <c r="B12" s="653">
        <f>SANCON!A95</f>
        <v>1048</v>
      </c>
      <c r="C12" s="653" t="str">
        <f>SANCON!B95</f>
        <v>UNIVERSAL PLASTIC BOTTLE (SILVER HEALTH)</v>
      </c>
      <c r="D12" s="653" t="str">
        <f>SANCON!C95</f>
        <v>1 x 400 pcs</v>
      </c>
      <c r="E12" s="653">
        <f>SANCON!D95</f>
        <v>5</v>
      </c>
      <c r="F12" s="38">
        <f>SANCON!E95</f>
        <v>12000</v>
      </c>
      <c r="G12" s="38">
        <f>SANCON!F95</f>
        <v>60000</v>
      </c>
      <c r="H12" s="79">
        <f>SUM(G8:G12)</f>
        <v>214320</v>
      </c>
    </row>
    <row r="13" spans="1:8" s="42" customFormat="1" ht="23.25" x14ac:dyDescent="0.35">
      <c r="A13" s="35"/>
      <c r="B13" s="653"/>
      <c r="C13" s="653"/>
      <c r="D13" s="653"/>
      <c r="E13" s="653"/>
      <c r="F13" s="38"/>
      <c r="G13" s="38"/>
      <c r="H13" s="79"/>
    </row>
    <row r="14" spans="1:8" s="42" customFormat="1" ht="18.75" x14ac:dyDescent="0.3">
      <c r="A14" s="35"/>
      <c r="B14" s="653"/>
      <c r="C14" s="653"/>
      <c r="D14" s="653"/>
      <c r="E14" s="653"/>
      <c r="F14" s="38"/>
      <c r="G14" s="38"/>
      <c r="H14" s="38"/>
    </row>
    <row r="15" spans="1:8" s="42" customFormat="1" ht="23.25" x14ac:dyDescent="0.35">
      <c r="A15" s="35">
        <v>2</v>
      </c>
      <c r="B15" s="653"/>
      <c r="C15" s="656" t="str">
        <f>DYNAMIC!B1</f>
        <v>DYNAMIC ANCHOR SOURCE LIMITED</v>
      </c>
      <c r="D15" s="653"/>
      <c r="E15" s="653"/>
      <c r="F15" s="38"/>
      <c r="G15" s="38"/>
      <c r="H15" s="38"/>
    </row>
    <row r="16" spans="1:8" s="42" customFormat="1" ht="23.25" x14ac:dyDescent="0.35">
      <c r="A16" s="35"/>
      <c r="B16" s="653">
        <f>DYNAMIC!A69</f>
        <v>1054</v>
      </c>
      <c r="C16" s="653" t="str">
        <f>DYNAMIC!B69</f>
        <v>WHATMAN FILTER PAPER (WHATMAN)</v>
      </c>
      <c r="D16" s="653" t="str">
        <f>DYNAMIC!C69</f>
        <v>1 x 100 pcs</v>
      </c>
      <c r="E16" s="653">
        <f>DYNAMIC!D69</f>
        <v>2</v>
      </c>
      <c r="F16" s="38">
        <f>DYNAMIC!E69</f>
        <v>1250</v>
      </c>
      <c r="G16" s="38">
        <f>DYNAMIC!F69</f>
        <v>2500</v>
      </c>
      <c r="H16" s="79">
        <f>SUM(G16:G16)</f>
        <v>2500</v>
      </c>
    </row>
    <row r="17" spans="1:8" s="42" customFormat="1" ht="18.75" x14ac:dyDescent="0.3">
      <c r="A17" s="35"/>
      <c r="B17" s="35"/>
      <c r="C17" s="35"/>
      <c r="D17" s="648"/>
      <c r="E17" s="35"/>
      <c r="F17" s="38"/>
      <c r="G17" s="38"/>
      <c r="H17" s="38"/>
    </row>
    <row r="18" spans="1:8" s="42" customFormat="1" ht="23.25" x14ac:dyDescent="0.35">
      <c r="A18" s="35">
        <v>3</v>
      </c>
      <c r="B18" s="35"/>
      <c r="C18" s="77" t="str">
        <f>TEMITA!B1</f>
        <v>TEMITA SCIENTIFIC VENTURES</v>
      </c>
      <c r="D18" s="648"/>
      <c r="E18" s="35"/>
      <c r="F18" s="38"/>
      <c r="G18" s="38"/>
      <c r="H18" s="38"/>
    </row>
    <row r="19" spans="1:8" s="42" customFormat="1" ht="23.25" x14ac:dyDescent="0.35">
      <c r="A19" s="35"/>
      <c r="B19" s="653">
        <f>TEMITA!A64</f>
        <v>1052</v>
      </c>
      <c r="C19" s="653" t="str">
        <f>TEMITA!B64</f>
        <v>LIQUID SOAP</v>
      </c>
      <c r="D19" s="653" t="str">
        <f>TEMITA!C64</f>
        <v>-</v>
      </c>
      <c r="E19" s="653">
        <f>TEMITA!D64</f>
        <v>24</v>
      </c>
      <c r="F19" s="38">
        <f>TEMITA!E64</f>
        <v>350</v>
      </c>
      <c r="G19" s="38">
        <f>TEMITA!F64</f>
        <v>8400</v>
      </c>
      <c r="H19" s="79">
        <f>SUM(G19:G19)</f>
        <v>8400</v>
      </c>
    </row>
    <row r="20" spans="1:8" s="42" customFormat="1" ht="23.25" x14ac:dyDescent="0.35">
      <c r="A20" s="35"/>
      <c r="B20" s="653"/>
      <c r="C20" s="653"/>
      <c r="D20" s="653"/>
      <c r="E20" s="653"/>
      <c r="F20" s="38"/>
      <c r="G20" s="38"/>
      <c r="H20" s="79"/>
    </row>
    <row r="21" spans="1:8" s="42" customFormat="1" ht="18.75" x14ac:dyDescent="0.3">
      <c r="A21" s="35"/>
      <c r="B21" s="35"/>
      <c r="C21" s="35"/>
      <c r="D21" s="648"/>
      <c r="E21" s="35"/>
      <c r="F21" s="38"/>
      <c r="G21" s="38"/>
      <c r="H21" s="38"/>
    </row>
    <row r="22" spans="1:8" s="42" customFormat="1" ht="23.25" x14ac:dyDescent="0.35">
      <c r="A22" s="35">
        <v>4</v>
      </c>
      <c r="B22" s="35"/>
      <c r="C22" s="77" t="str">
        <f>UBASTIC!B1</f>
        <v>UBASTIC NIGERIA LIMITED</v>
      </c>
      <c r="D22" s="648"/>
      <c r="E22" s="35"/>
      <c r="F22" s="38"/>
      <c r="G22" s="38"/>
      <c r="H22" s="38"/>
    </row>
    <row r="23" spans="1:8" s="42" customFormat="1" ht="18.75" x14ac:dyDescent="0.3">
      <c r="A23" s="35"/>
      <c r="B23" s="653">
        <f>UBASTIC!A69</f>
        <v>1039</v>
      </c>
      <c r="C23" s="653" t="str">
        <f>UBASTIC!B69</f>
        <v>ANTI SERA A (BIOTECH)</v>
      </c>
      <c r="D23" s="653" t="str">
        <f>UBASTIC!C69</f>
        <v>1 x 10 pcs</v>
      </c>
      <c r="E23" s="653">
        <f>UBASTIC!D69</f>
        <v>1</v>
      </c>
      <c r="F23" s="38">
        <f>UBASTIC!E69</f>
        <v>10000</v>
      </c>
      <c r="G23" s="38">
        <f>UBASTIC!F69</f>
        <v>10000</v>
      </c>
      <c r="H23" s="38"/>
    </row>
    <row r="24" spans="1:8" s="42" customFormat="1" ht="18.75" x14ac:dyDescent="0.3">
      <c r="A24" s="35"/>
      <c r="B24" s="653">
        <f>UBASTIC!A70</f>
        <v>1041</v>
      </c>
      <c r="C24" s="653" t="str">
        <f>UBASTIC!B70</f>
        <v>ANTI SERA A+B  (BIOTECH)</v>
      </c>
      <c r="D24" s="653" t="str">
        <f>UBASTIC!C70</f>
        <v>1 x 10 pcs</v>
      </c>
      <c r="E24" s="653">
        <f>UBASTIC!D70</f>
        <v>1</v>
      </c>
      <c r="F24" s="38">
        <f>UBASTIC!E70</f>
        <v>15000</v>
      </c>
      <c r="G24" s="38">
        <f>UBASTIC!F70</f>
        <v>15000</v>
      </c>
      <c r="H24" s="38"/>
    </row>
    <row r="25" spans="1:8" s="42" customFormat="1" ht="18.75" x14ac:dyDescent="0.3">
      <c r="A25" s="35"/>
      <c r="B25" s="653">
        <f>UBASTIC!A71</f>
        <v>1040</v>
      </c>
      <c r="C25" s="653" t="str">
        <f>UBASTIC!B71</f>
        <v>ANTI SERA B  (BIOTECH)</v>
      </c>
      <c r="D25" s="653" t="str">
        <f>UBASTIC!C71</f>
        <v>1 x 10 pcs</v>
      </c>
      <c r="E25" s="653">
        <f>UBASTIC!D71</f>
        <v>1</v>
      </c>
      <c r="F25" s="38">
        <f>UBASTIC!E71</f>
        <v>10000</v>
      </c>
      <c r="G25" s="38">
        <f>UBASTIC!F71</f>
        <v>10000</v>
      </c>
      <c r="H25" s="35"/>
    </row>
    <row r="26" spans="1:8" s="42" customFormat="1" ht="18.75" x14ac:dyDescent="0.3">
      <c r="A26" s="35"/>
      <c r="B26" s="653">
        <f>UBASTIC!A72</f>
        <v>1042</v>
      </c>
      <c r="C26" s="653" t="str">
        <f>UBASTIC!B72</f>
        <v>ANTI SERA D  (BIOTECH)</v>
      </c>
      <c r="D26" s="653" t="str">
        <f>UBASTIC!C72</f>
        <v>1 x 10 pcs</v>
      </c>
      <c r="E26" s="653">
        <f>UBASTIC!D72</f>
        <v>1</v>
      </c>
      <c r="F26" s="38">
        <f>UBASTIC!E72</f>
        <v>15000</v>
      </c>
      <c r="G26" s="38">
        <f>UBASTIC!F72</f>
        <v>15000</v>
      </c>
      <c r="H26" s="35"/>
    </row>
    <row r="27" spans="1:8" s="42" customFormat="1" ht="18.75" x14ac:dyDescent="0.3">
      <c r="A27" s="35"/>
      <c r="B27" s="653">
        <f>UBASTIC!A73</f>
        <v>1047</v>
      </c>
      <c r="C27" s="653" t="str">
        <f>UBASTIC!B73</f>
        <v>COMBI 10 URINE STRIPS (RAPID LAB)</v>
      </c>
      <c r="D27" s="653" t="str">
        <f>UBASTIC!C73</f>
        <v>1 x 100 pcs</v>
      </c>
      <c r="E27" s="653">
        <f>UBASTIC!D73</f>
        <v>24</v>
      </c>
      <c r="F27" s="38">
        <f>UBASTIC!E73</f>
        <v>2800</v>
      </c>
      <c r="G27" s="38">
        <f>UBASTIC!F73</f>
        <v>67200</v>
      </c>
      <c r="H27" s="38"/>
    </row>
    <row r="28" spans="1:8" s="42" customFormat="1" ht="18.75" x14ac:dyDescent="0.3">
      <c r="A28" s="35"/>
      <c r="B28" s="653">
        <f>UBASTIC!A74</f>
        <v>1043</v>
      </c>
      <c r="C28" s="653" t="str">
        <f>UBASTIC!B74</f>
        <v>HEPATITIS B KITS (DIASPOT)</v>
      </c>
      <c r="D28" s="653" t="str">
        <f>UBASTIC!C74</f>
        <v>1 x 50 pcs</v>
      </c>
      <c r="E28" s="653">
        <f>UBASTIC!D74</f>
        <v>24</v>
      </c>
      <c r="F28" s="38">
        <f>UBASTIC!E74</f>
        <v>3500</v>
      </c>
      <c r="G28" s="38">
        <f>UBASTIC!F74</f>
        <v>84000</v>
      </c>
      <c r="H28" s="38"/>
    </row>
    <row r="29" spans="1:8" s="42" customFormat="1" ht="18.75" x14ac:dyDescent="0.3">
      <c r="A29" s="35"/>
      <c r="B29" s="653">
        <f>UBASTIC!A75</f>
        <v>1044</v>
      </c>
      <c r="C29" s="653" t="str">
        <f>UBASTIC!B75</f>
        <v>HEPATITIS C KITS (DIASPOT)</v>
      </c>
      <c r="D29" s="653" t="str">
        <f>UBASTIC!C75</f>
        <v>1 x 50 pcs</v>
      </c>
      <c r="E29" s="653">
        <f>UBASTIC!D75</f>
        <v>24</v>
      </c>
      <c r="F29" s="38">
        <f>UBASTIC!E75</f>
        <v>5500</v>
      </c>
      <c r="G29" s="38">
        <f>UBASTIC!F75</f>
        <v>132000</v>
      </c>
      <c r="H29" s="38"/>
    </row>
    <row r="30" spans="1:8" s="42" customFormat="1" ht="18.75" x14ac:dyDescent="0.3">
      <c r="A30" s="35"/>
      <c r="B30" s="653">
        <f>UBASTIC!A76</f>
        <v>1045</v>
      </c>
      <c r="C30" s="653" t="str">
        <f>UBASTIC!B76</f>
        <v>VDRL KITS (DIASPOT)</v>
      </c>
      <c r="D30" s="653" t="str">
        <f>UBASTIC!C76</f>
        <v>1 x 50 pcs</v>
      </c>
      <c r="E30" s="653">
        <f>UBASTIC!D76</f>
        <v>24</v>
      </c>
      <c r="F30" s="38">
        <f>UBASTIC!E76</f>
        <v>3500</v>
      </c>
      <c r="G30" s="38">
        <f>UBASTIC!F76</f>
        <v>84000</v>
      </c>
      <c r="H30" s="38"/>
    </row>
    <row r="31" spans="1:8" s="42" customFormat="1" ht="23.25" x14ac:dyDescent="0.35">
      <c r="A31" s="35"/>
      <c r="B31" s="653">
        <f>UBASTIC!A77</f>
        <v>1050</v>
      </c>
      <c r="C31" s="653" t="str">
        <f>UBASTIC!B77</f>
        <v>WIDAL KIT (CROMA TEST)</v>
      </c>
      <c r="D31" s="653" t="str">
        <f>UBASTIC!C77</f>
        <v>1 x 200 pcs</v>
      </c>
      <c r="E31" s="653">
        <f>UBASTIC!D77</f>
        <v>3</v>
      </c>
      <c r="F31" s="38">
        <f>UBASTIC!E77</f>
        <v>10000</v>
      </c>
      <c r="G31" s="38">
        <f>UBASTIC!F77</f>
        <v>30000</v>
      </c>
      <c r="H31" s="79">
        <f>SUM(G23:G31)</f>
        <v>447200</v>
      </c>
    </row>
    <row r="32" spans="1:8" s="42" customFormat="1" ht="18.75" x14ac:dyDescent="0.3">
      <c r="A32" s="35"/>
      <c r="B32" s="653"/>
      <c r="C32" s="653"/>
      <c r="D32" s="653"/>
      <c r="E32" s="653"/>
      <c r="F32" s="38"/>
      <c r="G32" s="38"/>
      <c r="H32" s="38"/>
    </row>
    <row r="33" spans="1:8" ht="21.75" thickBot="1" x14ac:dyDescent="0.4">
      <c r="A33" s="35"/>
      <c r="B33" s="35"/>
      <c r="C33" s="188"/>
      <c r="D33" s="647"/>
      <c r="E33" s="189"/>
      <c r="F33" s="190"/>
      <c r="G33" s="191"/>
      <c r="H33" s="185"/>
    </row>
    <row r="34" spans="1:8" ht="27" thickBot="1" x14ac:dyDescent="0.45">
      <c r="A34" s="35"/>
      <c r="B34" s="35"/>
      <c r="C34" s="188"/>
      <c r="D34" s="647"/>
      <c r="E34" s="189"/>
      <c r="F34" s="190"/>
      <c r="G34" s="193" t="s">
        <v>666</v>
      </c>
      <c r="H34" s="194">
        <f>SUM(G8:G33)</f>
        <v>672420</v>
      </c>
    </row>
    <row r="37" spans="1:8" ht="28.5" x14ac:dyDescent="0.45">
      <c r="C37" s="850" t="s">
        <v>2170</v>
      </c>
      <c r="D37" s="850"/>
      <c r="E37" s="850"/>
      <c r="F37" s="850"/>
      <c r="G37" s="850"/>
    </row>
    <row r="39" spans="1:8" s="80" customFormat="1" ht="26.25" x14ac:dyDescent="0.4">
      <c r="A39" s="42"/>
      <c r="B39" s="35"/>
      <c r="C39" s="646" t="s">
        <v>917</v>
      </c>
      <c r="D39" s="849" t="s">
        <v>918</v>
      </c>
      <c r="E39" s="849"/>
      <c r="F39" s="849"/>
      <c r="G39" s="849"/>
    </row>
    <row r="40" spans="1:8" s="80" customFormat="1" x14ac:dyDescent="0.35">
      <c r="A40" s="42"/>
      <c r="B40" s="35"/>
      <c r="C40" s="188"/>
      <c r="D40" s="845"/>
      <c r="E40" s="845"/>
      <c r="F40" s="845"/>
      <c r="G40" s="845"/>
    </row>
    <row r="41" spans="1:8" s="80" customFormat="1" x14ac:dyDescent="0.35">
      <c r="A41" s="42"/>
      <c r="B41" s="35">
        <v>1</v>
      </c>
      <c r="C41" s="35" t="str">
        <f>C7</f>
        <v>DE SANCON &amp; ASSOCIATES LIMITED</v>
      </c>
      <c r="D41" s="841">
        <f>H12</f>
        <v>214320</v>
      </c>
      <c r="E41" s="842"/>
      <c r="F41" s="842"/>
      <c r="G41" s="842"/>
    </row>
    <row r="42" spans="1:8" s="80" customFormat="1" x14ac:dyDescent="0.35">
      <c r="A42" s="42"/>
      <c r="B42" s="35">
        <f>1+B41</f>
        <v>2</v>
      </c>
      <c r="C42" s="653" t="str">
        <f>C15</f>
        <v>DYNAMIC ANCHOR SOURCE LIMITED</v>
      </c>
      <c r="D42" s="841">
        <f>H16</f>
        <v>2500</v>
      </c>
      <c r="E42" s="842"/>
      <c r="F42" s="842"/>
      <c r="G42" s="842"/>
    </row>
    <row r="43" spans="1:8" s="80" customFormat="1" x14ac:dyDescent="0.35">
      <c r="A43" s="42"/>
      <c r="B43" s="35">
        <f t="shared" ref="B43:B44" si="0">1+B42</f>
        <v>3</v>
      </c>
      <c r="C43" s="35" t="str">
        <f>C18</f>
        <v>TEMITA SCIENTIFIC VENTURES</v>
      </c>
      <c r="D43" s="841">
        <f>H19</f>
        <v>8400</v>
      </c>
      <c r="E43" s="842"/>
      <c r="F43" s="842"/>
      <c r="G43" s="842"/>
    </row>
    <row r="44" spans="1:8" s="80" customFormat="1" x14ac:dyDescent="0.35">
      <c r="A44" s="42"/>
      <c r="B44" s="35">
        <f t="shared" si="0"/>
        <v>4</v>
      </c>
      <c r="C44" s="35" t="str">
        <f>C22</f>
        <v>UBASTIC NIGERIA LIMITED</v>
      </c>
      <c r="D44" s="841">
        <f>H31</f>
        <v>447200</v>
      </c>
      <c r="E44" s="842"/>
      <c r="F44" s="842"/>
      <c r="G44" s="842"/>
    </row>
    <row r="45" spans="1:8" s="80" customFormat="1" ht="21.75" thickBot="1" x14ac:dyDescent="0.4">
      <c r="A45" s="42"/>
      <c r="B45" s="42"/>
      <c r="C45" s="8"/>
      <c r="D45" s="836"/>
      <c r="E45" s="836"/>
      <c r="F45" s="836"/>
      <c r="G45" s="836"/>
    </row>
    <row r="46" spans="1:8" s="80" customFormat="1" ht="29.25" thickBot="1" x14ac:dyDescent="0.5">
      <c r="A46" s="42"/>
      <c r="B46" s="42"/>
      <c r="C46" s="8"/>
      <c r="D46" s="846">
        <f>SUM(D41:G44)</f>
        <v>672420</v>
      </c>
      <c r="E46" s="847"/>
      <c r="F46" s="847"/>
      <c r="G46" s="848"/>
    </row>
    <row r="47" spans="1:8" s="80" customFormat="1" x14ac:dyDescent="0.35">
      <c r="A47" s="42"/>
      <c r="B47" s="42"/>
      <c r="C47" s="8"/>
      <c r="D47" s="836"/>
      <c r="E47" s="836"/>
      <c r="F47" s="836"/>
      <c r="G47" s="836"/>
    </row>
    <row r="48" spans="1:8" s="80" customFormat="1" x14ac:dyDescent="0.35">
      <c r="A48" s="42"/>
      <c r="B48" s="42"/>
      <c r="C48" s="8"/>
      <c r="D48" s="836"/>
      <c r="E48" s="836"/>
      <c r="F48" s="836"/>
      <c r="G48" s="836"/>
    </row>
    <row r="49" spans="1:7" s="80" customFormat="1" x14ac:dyDescent="0.35">
      <c r="A49" s="42"/>
      <c r="B49" s="42"/>
      <c r="C49" s="8"/>
      <c r="D49" s="836"/>
      <c r="E49" s="836"/>
      <c r="F49" s="836"/>
      <c r="G49" s="836"/>
    </row>
    <row r="50" spans="1:7" s="80" customFormat="1" x14ac:dyDescent="0.35">
      <c r="A50" s="42"/>
      <c r="B50" s="42"/>
      <c r="C50" s="8"/>
      <c r="D50" s="836"/>
      <c r="E50" s="836"/>
      <c r="F50" s="836"/>
      <c r="G50" s="836"/>
    </row>
    <row r="51" spans="1:7" s="80" customFormat="1" x14ac:dyDescent="0.35">
      <c r="A51" s="42"/>
      <c r="B51" s="42"/>
      <c r="C51" s="8"/>
      <c r="D51" s="836"/>
      <c r="E51" s="836"/>
      <c r="F51" s="836"/>
      <c r="G51" s="836"/>
    </row>
  </sheetData>
  <mergeCells count="18">
    <mergeCell ref="D51:G51"/>
    <mergeCell ref="D45:G45"/>
    <mergeCell ref="D42:G42"/>
    <mergeCell ref="D43:G43"/>
    <mergeCell ref="D44:G44"/>
    <mergeCell ref="D46:G46"/>
    <mergeCell ref="D47:G47"/>
    <mergeCell ref="D48:G48"/>
    <mergeCell ref="D49:G49"/>
    <mergeCell ref="D50:G50"/>
    <mergeCell ref="D41:G41"/>
    <mergeCell ref="C37:G37"/>
    <mergeCell ref="A3:H3"/>
    <mergeCell ref="A1:H1"/>
    <mergeCell ref="A2:H2"/>
    <mergeCell ref="A4:H4"/>
    <mergeCell ref="D39:G39"/>
    <mergeCell ref="D40:G40"/>
  </mergeCells>
  <pageMargins left="0.25" right="0.25" top="0.28000000000000003" bottom="0.27" header="0.3" footer="0.3"/>
  <pageSetup paperSize="9" scale="69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31CEF-6FA6-487A-8090-E3828E935FA7}">
  <dimension ref="A1:H94"/>
  <sheetViews>
    <sheetView view="pageBreakPreview" topLeftCell="A70" zoomScale="70" zoomScaleNormal="70" zoomScaleSheetLayoutView="70" workbookViewId="0">
      <selection sqref="A1:H1"/>
    </sheetView>
  </sheetViews>
  <sheetFormatPr defaultColWidth="20" defaultRowHeight="21" x14ac:dyDescent="0.35"/>
  <cols>
    <col min="1" max="1" width="6.85546875" style="42" customWidth="1"/>
    <col min="2" max="2" width="10.140625" style="42" bestFit="1" customWidth="1"/>
    <col min="3" max="3" width="66.28515625" style="8" customWidth="1"/>
    <col min="4" max="4" width="26.85546875" style="649" customWidth="1"/>
    <col min="5" max="5" width="13.5703125" style="75" customWidth="1"/>
    <col min="6" max="6" width="20.140625" style="71" bestFit="1" customWidth="1"/>
    <col min="7" max="7" width="20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4">
      <c r="A3" s="832" t="s">
        <v>2172</v>
      </c>
      <c r="B3" s="833"/>
      <c r="C3" s="833"/>
      <c r="D3" s="833"/>
      <c r="E3" s="833"/>
      <c r="F3" s="833"/>
      <c r="G3" s="833"/>
      <c r="H3" s="833"/>
    </row>
    <row r="4" spans="1:8" ht="36.75" customHeight="1" x14ac:dyDescent="0.4">
      <c r="A4" s="832" t="s">
        <v>2137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47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42" customFormat="1" ht="23.25" x14ac:dyDescent="0.35">
      <c r="A7" s="35">
        <v>1</v>
      </c>
      <c r="B7" s="35"/>
      <c r="C7" s="77" t="str">
        <f>SANCON!B1</f>
        <v>DE SANCON &amp; ASSOCIATES LIMITED</v>
      </c>
      <c r="D7" s="648"/>
      <c r="E7" s="35"/>
      <c r="F7" s="38"/>
      <c r="G7" s="38"/>
      <c r="H7" s="38"/>
    </row>
    <row r="8" spans="1:8" s="42" customFormat="1" ht="18.75" x14ac:dyDescent="0.3">
      <c r="A8" s="35"/>
      <c r="B8" s="653">
        <f>SANCON!A98</f>
        <v>1095</v>
      </c>
      <c r="C8" s="653" t="str">
        <f>SANCON!B98</f>
        <v>5ML GLASS TUBES</v>
      </c>
      <c r="D8" s="653" t="str">
        <f>SANCON!C98</f>
        <v>Carton</v>
      </c>
      <c r="E8" s="653">
        <f>SANCON!D98</f>
        <v>1</v>
      </c>
      <c r="F8" s="38">
        <f>SANCON!E98</f>
        <v>3500</v>
      </c>
      <c r="G8" s="38">
        <f>SANCON!F98</f>
        <v>3500</v>
      </c>
      <c r="H8" s="38"/>
    </row>
    <row r="9" spans="1:8" s="42" customFormat="1" ht="18.75" x14ac:dyDescent="0.3">
      <c r="A9" s="35"/>
      <c r="B9" s="653">
        <f>SANCON!A99</f>
        <v>1091</v>
      </c>
      <c r="C9" s="653" t="str">
        <f>SANCON!B99</f>
        <v>DISPOSABLE PETRI DISH</v>
      </c>
      <c r="D9" s="653" t="str">
        <f>SANCON!C99</f>
        <v>Carton</v>
      </c>
      <c r="E9" s="653">
        <f>SANCON!D99</f>
        <v>1</v>
      </c>
      <c r="F9" s="38">
        <f>SANCON!E99</f>
        <v>16500</v>
      </c>
      <c r="G9" s="38">
        <f>SANCON!F99</f>
        <v>16500</v>
      </c>
      <c r="H9" s="38"/>
    </row>
    <row r="10" spans="1:8" s="42" customFormat="1" ht="18.75" x14ac:dyDescent="0.3">
      <c r="A10" s="35"/>
      <c r="B10" s="653">
        <f>SANCON!A100</f>
        <v>1085</v>
      </c>
      <c r="C10" s="653" t="str">
        <f>SANCON!B100</f>
        <v>FIELDS STAIN A (25g)</v>
      </c>
      <c r="D10" s="653" t="str">
        <f>SANCON!C100</f>
        <v>Bottle</v>
      </c>
      <c r="E10" s="653">
        <f>SANCON!D100</f>
        <v>6</v>
      </c>
      <c r="F10" s="38">
        <f>SANCON!E100</f>
        <v>2500</v>
      </c>
      <c r="G10" s="38">
        <f>SANCON!F100</f>
        <v>15000</v>
      </c>
      <c r="H10" s="38"/>
    </row>
    <row r="11" spans="1:8" s="42" customFormat="1" ht="18.75" x14ac:dyDescent="0.3">
      <c r="A11" s="35"/>
      <c r="B11" s="653">
        <f>SANCON!A101</f>
        <v>1086</v>
      </c>
      <c r="C11" s="653" t="str">
        <f>SANCON!B101</f>
        <v>FIELDS STAIN B (25g)</v>
      </c>
      <c r="D11" s="653" t="str">
        <f>SANCON!C101</f>
        <v>Bottle</v>
      </c>
      <c r="E11" s="653">
        <f>SANCON!D101</f>
        <v>6</v>
      </c>
      <c r="F11" s="38">
        <f>SANCON!E101</f>
        <v>2500</v>
      </c>
      <c r="G11" s="38">
        <f>SANCON!F101</f>
        <v>15000</v>
      </c>
      <c r="H11" s="38"/>
    </row>
    <row r="12" spans="1:8" s="42" customFormat="1" ht="18.75" x14ac:dyDescent="0.3">
      <c r="A12" s="35"/>
      <c r="B12" s="653">
        <f>SANCON!A102</f>
        <v>1072</v>
      </c>
      <c r="C12" s="653" t="str">
        <f>SANCON!B102</f>
        <v>FROSTED GLASS SLIDE</v>
      </c>
      <c r="D12" s="653" t="str">
        <f>SANCON!C102</f>
        <v>Pkt</v>
      </c>
      <c r="E12" s="653">
        <f>SANCON!D102</f>
        <v>60</v>
      </c>
      <c r="F12" s="38">
        <f>SANCON!E102</f>
        <v>380</v>
      </c>
      <c r="G12" s="38">
        <f>SANCON!F102</f>
        <v>22800</v>
      </c>
      <c r="H12" s="38"/>
    </row>
    <row r="13" spans="1:8" s="42" customFormat="1" ht="18.75" x14ac:dyDescent="0.3">
      <c r="A13" s="35"/>
      <c r="B13" s="653">
        <f>SANCON!A103</f>
        <v>1056</v>
      </c>
      <c r="C13" s="653" t="str">
        <f>SANCON!B103</f>
        <v>GLUCOSE STRIPS</v>
      </c>
      <c r="D13" s="653" t="str">
        <f>SANCON!C103</f>
        <v>Packs</v>
      </c>
      <c r="E13" s="653">
        <f>SANCON!D103</f>
        <v>90</v>
      </c>
      <c r="F13" s="38">
        <f>SANCON!E103</f>
        <v>4800</v>
      </c>
      <c r="G13" s="38">
        <f>SANCON!F103</f>
        <v>432000</v>
      </c>
      <c r="H13" s="38"/>
    </row>
    <row r="14" spans="1:8" s="42" customFormat="1" ht="18.75" x14ac:dyDescent="0.3">
      <c r="A14" s="35"/>
      <c r="B14" s="653">
        <f>SANCON!A104</f>
        <v>1061</v>
      </c>
      <c r="C14" s="653" t="str">
        <f>SANCON!B104</f>
        <v>HIV KITS</v>
      </c>
      <c r="D14" s="653" t="str">
        <f>SANCON!C104</f>
        <v>Pkts</v>
      </c>
      <c r="E14" s="653">
        <f>SANCON!D104</f>
        <v>42</v>
      </c>
      <c r="F14" s="38">
        <f>SANCON!E104</f>
        <v>15500</v>
      </c>
      <c r="G14" s="38">
        <f>SANCON!F104</f>
        <v>651000</v>
      </c>
      <c r="H14" s="38"/>
    </row>
    <row r="15" spans="1:8" s="42" customFormat="1" ht="18.75" x14ac:dyDescent="0.3">
      <c r="A15" s="35"/>
      <c r="B15" s="653">
        <f>SANCON!A105</f>
        <v>1065</v>
      </c>
      <c r="C15" s="653" t="str">
        <f>SANCON!B105</f>
        <v>LEISHMAN STAINER POWDER 25g</v>
      </c>
      <c r="D15" s="653" t="str">
        <f>SANCON!C105</f>
        <v>Bottles</v>
      </c>
      <c r="E15" s="653">
        <f>SANCON!D105</f>
        <v>6</v>
      </c>
      <c r="F15" s="38">
        <f>SANCON!E105</f>
        <v>3000</v>
      </c>
      <c r="G15" s="38">
        <f>SANCON!F105</f>
        <v>18000</v>
      </c>
      <c r="H15" s="38"/>
    </row>
    <row r="16" spans="1:8" s="42" customFormat="1" ht="18.75" x14ac:dyDescent="0.3">
      <c r="A16" s="35"/>
      <c r="B16" s="653">
        <f>SANCON!A106</f>
        <v>1075</v>
      </c>
      <c r="C16" s="653" t="str">
        <f>SANCON!B106</f>
        <v>PIPETTE TIPS BLUE (100 - 1000)</v>
      </c>
      <c r="D16" s="653" t="str">
        <f>SANCON!C106</f>
        <v>Pkt</v>
      </c>
      <c r="E16" s="653">
        <f>SANCON!D106</f>
        <v>6</v>
      </c>
      <c r="F16" s="38">
        <f>SANCON!E106</f>
        <v>900</v>
      </c>
      <c r="G16" s="38">
        <f>SANCON!F106</f>
        <v>5400</v>
      </c>
      <c r="H16" s="38"/>
    </row>
    <row r="17" spans="1:8" s="42" customFormat="1" ht="18.75" x14ac:dyDescent="0.3">
      <c r="A17" s="35"/>
      <c r="B17" s="653">
        <f>SANCON!A107</f>
        <v>1074</v>
      </c>
      <c r="C17" s="653" t="str">
        <f>SANCON!B107</f>
        <v>PIPETTE TIPS YELLOW (10 - 100)</v>
      </c>
      <c r="D17" s="653" t="str">
        <f>SANCON!C107</f>
        <v>Pkt</v>
      </c>
      <c r="E17" s="653">
        <f>SANCON!D107</f>
        <v>6</v>
      </c>
      <c r="F17" s="38">
        <f>SANCON!E107</f>
        <v>900</v>
      </c>
      <c r="G17" s="38">
        <f>SANCON!F107</f>
        <v>5400</v>
      </c>
      <c r="H17" s="38"/>
    </row>
    <row r="18" spans="1:8" s="42" customFormat="1" ht="18.75" x14ac:dyDescent="0.3">
      <c r="A18" s="35"/>
      <c r="B18" s="653">
        <f>SANCON!A108</f>
        <v>1055</v>
      </c>
      <c r="C18" s="653" t="str">
        <f>SANCON!B108</f>
        <v>RDT FOR MALARIA PARASITE (CARESTART)</v>
      </c>
      <c r="D18" s="653" t="str">
        <f>SANCON!C108</f>
        <v>Packs</v>
      </c>
      <c r="E18" s="653">
        <f>SANCON!D108</f>
        <v>300</v>
      </c>
      <c r="F18" s="38">
        <f>SANCON!E108</f>
        <v>2400</v>
      </c>
      <c r="G18" s="38">
        <f>SANCON!F108</f>
        <v>720000</v>
      </c>
      <c r="H18" s="38"/>
    </row>
    <row r="19" spans="1:8" s="42" customFormat="1" ht="18.75" x14ac:dyDescent="0.3">
      <c r="A19" s="35"/>
      <c r="B19" s="653">
        <f>SANCON!A109</f>
        <v>1078</v>
      </c>
      <c r="C19" s="653" t="str">
        <f>SANCON!B109</f>
        <v>STAR PACK FOR HIV</v>
      </c>
      <c r="D19" s="653" t="str">
        <f>SANCON!C109</f>
        <v>Pkt</v>
      </c>
      <c r="E19" s="653">
        <f>SANCON!D109</f>
        <v>5</v>
      </c>
      <c r="F19" s="38">
        <f>SANCON!E109</f>
        <v>18000</v>
      </c>
      <c r="G19" s="38">
        <f>SANCON!F109</f>
        <v>90000</v>
      </c>
      <c r="H19" s="38"/>
    </row>
    <row r="20" spans="1:8" s="42" customFormat="1" ht="23.25" x14ac:dyDescent="0.35">
      <c r="A20" s="35"/>
      <c r="B20" s="653">
        <f>SANCON!A110</f>
        <v>1076</v>
      </c>
      <c r="C20" s="653" t="str">
        <f>SANCON!B110</f>
        <v>STOP CLOCK</v>
      </c>
      <c r="D20" s="653" t="str">
        <f>SANCON!C110</f>
        <v>Pcs</v>
      </c>
      <c r="E20" s="653">
        <f>SANCON!D110</f>
        <v>2</v>
      </c>
      <c r="F20" s="38">
        <f>SANCON!E110</f>
        <v>3500</v>
      </c>
      <c r="G20" s="38">
        <f>SANCON!F110</f>
        <v>7000</v>
      </c>
      <c r="H20" s="79">
        <f>SUM(G8:G20)</f>
        <v>2001600</v>
      </c>
    </row>
    <row r="21" spans="1:8" s="42" customFormat="1" ht="18.75" x14ac:dyDescent="0.3">
      <c r="A21" s="35"/>
      <c r="B21" s="653"/>
      <c r="C21" s="653"/>
      <c r="D21" s="653"/>
      <c r="E21" s="653"/>
      <c r="F21" s="38"/>
      <c r="G21" s="38"/>
      <c r="H21" s="38"/>
    </row>
    <row r="22" spans="1:8" s="42" customFormat="1" ht="23.25" x14ac:dyDescent="0.35">
      <c r="A22" s="35">
        <v>2</v>
      </c>
      <c r="B22" s="35"/>
      <c r="C22" s="77" t="str">
        <f>DYNAMIC!B1</f>
        <v>DYNAMIC ANCHOR SOURCE LIMITED</v>
      </c>
      <c r="D22" s="648"/>
      <c r="E22" s="35"/>
      <c r="F22" s="38"/>
      <c r="G22" s="38"/>
      <c r="H22" s="38"/>
    </row>
    <row r="23" spans="1:8" s="42" customFormat="1" ht="18.75" x14ac:dyDescent="0.3">
      <c r="A23" s="35"/>
      <c r="B23" s="653">
        <f>DYNAMIC!A72</f>
        <v>1079</v>
      </c>
      <c r="C23" s="653" t="str">
        <f>DYNAMIC!B72</f>
        <v>IMMERSION OIL</v>
      </c>
      <c r="D23" s="653" t="str">
        <f>DYNAMIC!C72</f>
        <v>Bottles</v>
      </c>
      <c r="E23" s="653">
        <f>DYNAMIC!D72</f>
        <v>12</v>
      </c>
      <c r="F23" s="38">
        <f>DYNAMIC!E72</f>
        <v>4375</v>
      </c>
      <c r="G23" s="38">
        <f>DYNAMIC!F72</f>
        <v>52500</v>
      </c>
      <c r="H23" s="38"/>
    </row>
    <row r="24" spans="1:8" s="42" customFormat="1" ht="18.75" x14ac:dyDescent="0.3">
      <c r="A24" s="35"/>
      <c r="B24" s="653">
        <f>DYNAMIC!A73</f>
        <v>1083</v>
      </c>
      <c r="C24" s="653" t="str">
        <f>DYNAMIC!B73</f>
        <v>METHANOL (2.5 LITRE)</v>
      </c>
      <c r="D24" s="653" t="str">
        <f>DYNAMIC!C73</f>
        <v>Bottles</v>
      </c>
      <c r="E24" s="653">
        <f>DYNAMIC!D73</f>
        <v>6</v>
      </c>
      <c r="F24" s="38">
        <f>DYNAMIC!E73</f>
        <v>6000</v>
      </c>
      <c r="G24" s="38">
        <f>DYNAMIC!F73</f>
        <v>36000</v>
      </c>
      <c r="H24" s="38"/>
    </row>
    <row r="25" spans="1:8" s="42" customFormat="1" ht="18.75" x14ac:dyDescent="0.3">
      <c r="A25" s="35"/>
      <c r="B25" s="653">
        <f>DYNAMIC!A74</f>
        <v>1088</v>
      </c>
      <c r="C25" s="653" t="str">
        <f>DYNAMIC!B74</f>
        <v>MISSION HAEMOGLOBIN TEST STRIP</v>
      </c>
      <c r="D25" s="653" t="str">
        <f>DYNAMIC!C74</f>
        <v>Pkt</v>
      </c>
      <c r="E25" s="653">
        <f>DYNAMIC!D74</f>
        <v>6</v>
      </c>
      <c r="F25" s="38">
        <f>DYNAMIC!E74</f>
        <v>13125</v>
      </c>
      <c r="G25" s="38">
        <f>DYNAMIC!F74</f>
        <v>78750</v>
      </c>
      <c r="H25" s="35"/>
    </row>
    <row r="26" spans="1:8" s="42" customFormat="1" ht="23.25" x14ac:dyDescent="0.35">
      <c r="A26" s="35"/>
      <c r="B26" s="653">
        <f>DYNAMIC!A75</f>
        <v>1100</v>
      </c>
      <c r="C26" s="653" t="str">
        <f>DYNAMIC!B75</f>
        <v>NEW IMPROVED NEUBER COUNTING CHAMBER (CRYSTALLIZED)</v>
      </c>
      <c r="D26" s="653" t="str">
        <f>DYNAMIC!C75</f>
        <v>Pcs</v>
      </c>
      <c r="E26" s="653">
        <f>DYNAMIC!D75</f>
        <v>3</v>
      </c>
      <c r="F26" s="38">
        <f>DYNAMIC!E75</f>
        <v>13750</v>
      </c>
      <c r="G26" s="38">
        <f>DYNAMIC!F75</f>
        <v>41250</v>
      </c>
      <c r="H26" s="79">
        <f>SUM(G23:G26)</f>
        <v>208500</v>
      </c>
    </row>
    <row r="27" spans="1:8" s="42" customFormat="1" ht="18.75" x14ac:dyDescent="0.3">
      <c r="A27" s="35"/>
      <c r="B27" s="653"/>
      <c r="C27" s="653"/>
      <c r="D27" s="653"/>
      <c r="E27" s="653"/>
      <c r="F27" s="38"/>
      <c r="G27" s="38"/>
      <c r="H27" s="38"/>
    </row>
    <row r="28" spans="1:8" s="42" customFormat="1" ht="18.75" x14ac:dyDescent="0.3">
      <c r="A28" s="35"/>
      <c r="B28" s="653"/>
      <c r="C28" s="653"/>
      <c r="D28" s="653"/>
      <c r="E28" s="653"/>
      <c r="F28" s="38"/>
      <c r="G28" s="38"/>
      <c r="H28" s="38"/>
    </row>
    <row r="29" spans="1:8" s="42" customFormat="1" ht="23.25" x14ac:dyDescent="0.35">
      <c r="A29" s="35">
        <v>3</v>
      </c>
      <c r="B29" s="653"/>
      <c r="C29" s="656" t="str">
        <f>LAYO!B1</f>
        <v>LAYO-JAT NIGERIA LIMITED</v>
      </c>
      <c r="D29" s="653"/>
      <c r="E29" s="653"/>
      <c r="F29" s="38"/>
      <c r="G29" s="38"/>
      <c r="H29" s="38"/>
    </row>
    <row r="30" spans="1:8" s="42" customFormat="1" ht="18.75" x14ac:dyDescent="0.3">
      <c r="A30" s="35"/>
      <c r="B30" s="653">
        <f>LAYO!A44</f>
        <v>1073</v>
      </c>
      <c r="C30" s="653" t="str">
        <f>LAYO!B44</f>
        <v>CELLULOSE ACETATE PAPER</v>
      </c>
      <c r="D30" s="653" t="str">
        <f>LAYO!C44</f>
        <v>Pkt</v>
      </c>
      <c r="E30" s="653">
        <f>LAYO!D44</f>
        <v>2</v>
      </c>
      <c r="F30" s="38">
        <f>LAYO!E44</f>
        <v>27000</v>
      </c>
      <c r="G30" s="38">
        <f>LAYO!F44</f>
        <v>54000</v>
      </c>
      <c r="H30" s="38"/>
    </row>
    <row r="31" spans="1:8" s="42" customFormat="1" ht="23.25" x14ac:dyDescent="0.35">
      <c r="A31" s="35"/>
      <c r="B31" s="653">
        <f>LAYO!A45</f>
        <v>1064</v>
      </c>
      <c r="C31" s="653" t="str">
        <f>LAYO!B45</f>
        <v>HAND SANITIZER</v>
      </c>
      <c r="D31" s="653" t="str">
        <f>LAYO!C45</f>
        <v>Cartons</v>
      </c>
      <c r="E31" s="653">
        <f>LAYO!D45</f>
        <v>12</v>
      </c>
      <c r="F31" s="38">
        <f>LAYO!E45</f>
        <v>5460</v>
      </c>
      <c r="G31" s="38">
        <f>LAYO!F45</f>
        <v>65520</v>
      </c>
      <c r="H31" s="79">
        <f>SUM(G30:G31)</f>
        <v>119520</v>
      </c>
    </row>
    <row r="32" spans="1:8" s="42" customFormat="1" ht="18.75" x14ac:dyDescent="0.3">
      <c r="A32" s="35"/>
      <c r="B32" s="653"/>
      <c r="C32" s="653"/>
      <c r="D32" s="653"/>
      <c r="E32" s="653"/>
      <c r="F32" s="38"/>
      <c r="G32" s="38"/>
      <c r="H32" s="38"/>
    </row>
    <row r="33" spans="1:8" s="42" customFormat="1" ht="23.25" x14ac:dyDescent="0.35">
      <c r="A33" s="35">
        <v>4</v>
      </c>
      <c r="B33" s="653"/>
      <c r="C33" s="656" t="str">
        <f>LHV!B1</f>
        <v>LIFTED HANDS VENTURES</v>
      </c>
      <c r="D33" s="653"/>
      <c r="E33" s="653"/>
      <c r="F33" s="38"/>
      <c r="G33" s="38"/>
      <c r="H33" s="35"/>
    </row>
    <row r="34" spans="1:8" s="42" customFormat="1" ht="18.75" x14ac:dyDescent="0.3">
      <c r="A34" s="35"/>
      <c r="B34" s="653">
        <f>LHV!A14</f>
        <v>1057</v>
      </c>
      <c r="C34" s="653" t="str">
        <f>LHV!B14</f>
        <v>EDTA BOTTLES</v>
      </c>
      <c r="D34" s="653" t="str">
        <f>LHV!C14</f>
        <v>Cartons</v>
      </c>
      <c r="E34" s="653">
        <f>LHV!D14</f>
        <v>18</v>
      </c>
      <c r="F34" s="38">
        <f>LHV!E14</f>
        <v>12000</v>
      </c>
      <c r="G34" s="38">
        <f>LHV!F14</f>
        <v>216000</v>
      </c>
      <c r="H34" s="35"/>
    </row>
    <row r="35" spans="1:8" s="42" customFormat="1" ht="23.25" x14ac:dyDescent="0.35">
      <c r="A35" s="35"/>
      <c r="B35" s="653">
        <f>LHV!A15</f>
        <v>1058</v>
      </c>
      <c r="C35" s="653" t="str">
        <f>LHV!B15</f>
        <v>UNIVERSAL PLASTIC BOTTLES (FOR URINE)</v>
      </c>
      <c r="D35" s="653" t="str">
        <f>LHV!C15</f>
        <v>Pcs</v>
      </c>
      <c r="E35" s="653">
        <f>LHV!D15</f>
        <v>3000</v>
      </c>
      <c r="F35" s="38">
        <f>LHV!E15</f>
        <v>26.25</v>
      </c>
      <c r="G35" s="38">
        <f>LHV!F15</f>
        <v>78750</v>
      </c>
      <c r="H35" s="79">
        <f>SUM(G34:G35)</f>
        <v>294750</v>
      </c>
    </row>
    <row r="36" spans="1:8" s="42" customFormat="1" ht="18.75" x14ac:dyDescent="0.3">
      <c r="A36" s="35"/>
      <c r="B36" s="653"/>
      <c r="C36" s="653"/>
      <c r="D36" s="653"/>
      <c r="E36" s="653"/>
      <c r="F36" s="38"/>
      <c r="G36" s="38"/>
      <c r="H36" s="35"/>
    </row>
    <row r="37" spans="1:8" s="42" customFormat="1" ht="18.75" x14ac:dyDescent="0.3">
      <c r="A37" s="35"/>
      <c r="B37" s="653"/>
      <c r="C37" s="653"/>
      <c r="D37" s="653"/>
      <c r="E37" s="653"/>
      <c r="F37" s="38"/>
      <c r="G37" s="38"/>
      <c r="H37" s="35"/>
    </row>
    <row r="38" spans="1:8" s="42" customFormat="1" ht="23.25" x14ac:dyDescent="0.35">
      <c r="A38" s="35">
        <v>5</v>
      </c>
      <c r="B38" s="653"/>
      <c r="C38" s="656" t="str">
        <f>TEMITA!B1</f>
        <v>TEMITA SCIENTIFIC VENTURES</v>
      </c>
      <c r="D38" s="653"/>
      <c r="E38" s="653"/>
      <c r="F38" s="38"/>
      <c r="G38" s="38"/>
      <c r="H38" s="35"/>
    </row>
    <row r="39" spans="1:8" s="42" customFormat="1" ht="18.75" x14ac:dyDescent="0.3">
      <c r="A39" s="35"/>
      <c r="B39" s="653">
        <f>TEMITA!A67</f>
        <v>1080</v>
      </c>
      <c r="C39" s="653" t="str">
        <f>TEMITA!B67</f>
        <v>COVER SLIP</v>
      </c>
      <c r="D39" s="653" t="str">
        <f>TEMITA!C67</f>
        <v>1 x 10</v>
      </c>
      <c r="E39" s="653">
        <f>TEMITA!D67</f>
        <v>10</v>
      </c>
      <c r="F39" s="38">
        <f>TEMITA!E67</f>
        <v>5500</v>
      </c>
      <c r="G39" s="38">
        <f>TEMITA!F67</f>
        <v>55000</v>
      </c>
      <c r="H39" s="35"/>
    </row>
    <row r="40" spans="1:8" s="42" customFormat="1" ht="18.75" x14ac:dyDescent="0.3">
      <c r="A40" s="35"/>
      <c r="B40" s="653">
        <f>TEMITA!A68</f>
        <v>1081</v>
      </c>
      <c r="C40" s="653" t="str">
        <f>TEMITA!B68</f>
        <v>HEPARINIZED CAPILLARY TUBE</v>
      </c>
      <c r="D40" s="653" t="str">
        <f>TEMITA!C68</f>
        <v>1 x 10</v>
      </c>
      <c r="E40" s="653">
        <f>TEMITA!D68</f>
        <v>12</v>
      </c>
      <c r="F40" s="38">
        <f>TEMITA!E68</f>
        <v>5625</v>
      </c>
      <c r="G40" s="38">
        <f>TEMITA!F68</f>
        <v>67500</v>
      </c>
      <c r="H40" s="35"/>
    </row>
    <row r="41" spans="1:8" s="42" customFormat="1" ht="18.75" x14ac:dyDescent="0.3">
      <c r="A41" s="35"/>
      <c r="B41" s="653">
        <f>TEMITA!A69</f>
        <v>1063</v>
      </c>
      <c r="C41" s="653" t="str">
        <f>TEMITA!B69</f>
        <v>LANCET</v>
      </c>
      <c r="D41" s="653" t="str">
        <f>TEMITA!C69</f>
        <v>Pkts</v>
      </c>
      <c r="E41" s="653">
        <f>TEMITA!D69</f>
        <v>60</v>
      </c>
      <c r="F41" s="38">
        <f>TEMITA!E69</f>
        <v>420</v>
      </c>
      <c r="G41" s="38">
        <f>TEMITA!F69</f>
        <v>25200</v>
      </c>
      <c r="H41" s="38"/>
    </row>
    <row r="42" spans="1:8" s="42" customFormat="1" ht="18.75" x14ac:dyDescent="0.3">
      <c r="A42" s="35"/>
      <c r="B42" s="653">
        <f>TEMITA!A70</f>
        <v>1099</v>
      </c>
      <c r="C42" s="653" t="str">
        <f>TEMITA!B70</f>
        <v>MEASURING CYLINDER (GLASS) 1000ML</v>
      </c>
      <c r="D42" s="653" t="str">
        <f>TEMITA!C70</f>
        <v>Pcs</v>
      </c>
      <c r="E42" s="653">
        <f>TEMITA!D70</f>
        <v>1</v>
      </c>
      <c r="F42" s="38">
        <f>TEMITA!E70</f>
        <v>2300</v>
      </c>
      <c r="G42" s="38">
        <f>TEMITA!F70</f>
        <v>2300</v>
      </c>
      <c r="H42" s="38"/>
    </row>
    <row r="43" spans="1:8" s="42" customFormat="1" ht="18.75" x14ac:dyDescent="0.3">
      <c r="A43" s="35"/>
      <c r="B43" s="653">
        <f>TEMITA!A71</f>
        <v>1097</v>
      </c>
      <c r="C43" s="653" t="str">
        <f>TEMITA!B71</f>
        <v>MEASURING CYLINDER (GLASS) 250ML</v>
      </c>
      <c r="D43" s="653" t="str">
        <f>TEMITA!C71</f>
        <v>Pcs</v>
      </c>
      <c r="E43" s="653">
        <f>TEMITA!D71</f>
        <v>1</v>
      </c>
      <c r="F43" s="38">
        <f>TEMITA!E71</f>
        <v>1000</v>
      </c>
      <c r="G43" s="38">
        <f>TEMITA!F71</f>
        <v>1000</v>
      </c>
      <c r="H43" s="38"/>
    </row>
    <row r="44" spans="1:8" s="42" customFormat="1" ht="18.75" x14ac:dyDescent="0.3">
      <c r="A44" s="35"/>
      <c r="B44" s="653">
        <f>TEMITA!A72</f>
        <v>1098</v>
      </c>
      <c r="C44" s="653" t="str">
        <f>TEMITA!B72</f>
        <v>MEASURING CYLINDER (GLASS) 500ML</v>
      </c>
      <c r="D44" s="653" t="str">
        <f>TEMITA!C72</f>
        <v>Pcs</v>
      </c>
      <c r="E44" s="653">
        <f>TEMITA!D72</f>
        <v>1</v>
      </c>
      <c r="F44" s="38">
        <f>TEMITA!E72</f>
        <v>1600</v>
      </c>
      <c r="G44" s="38">
        <f>TEMITA!F72</f>
        <v>1600</v>
      </c>
      <c r="H44" s="38"/>
    </row>
    <row r="45" spans="1:8" s="42" customFormat="1" ht="18.75" x14ac:dyDescent="0.3">
      <c r="A45" s="35"/>
      <c r="B45" s="653">
        <f>TEMITA!A73</f>
        <v>1084</v>
      </c>
      <c r="C45" s="653" t="str">
        <f>TEMITA!B73</f>
        <v>PLASTERCINE</v>
      </c>
      <c r="D45" s="653" t="str">
        <f>TEMITA!C73</f>
        <v>Pkt</v>
      </c>
      <c r="E45" s="653">
        <f>TEMITA!D73</f>
        <v>3</v>
      </c>
      <c r="F45" s="38">
        <f>TEMITA!E73</f>
        <v>875</v>
      </c>
      <c r="G45" s="38">
        <f>TEMITA!F73</f>
        <v>2625</v>
      </c>
      <c r="H45" s="38"/>
    </row>
    <row r="46" spans="1:8" s="42" customFormat="1" ht="23.25" x14ac:dyDescent="0.35">
      <c r="A46" s="35"/>
      <c r="B46" s="653">
        <f>TEMITA!A74</f>
        <v>1092</v>
      </c>
      <c r="C46" s="653" t="str">
        <f>TEMITA!B74</f>
        <v>SWAB STICK</v>
      </c>
      <c r="D46" s="653" t="str">
        <f>TEMITA!C74</f>
        <v>Carton</v>
      </c>
      <c r="E46" s="653">
        <f>TEMITA!D74</f>
        <v>1</v>
      </c>
      <c r="F46" s="38">
        <f>TEMITA!E74</f>
        <v>18000</v>
      </c>
      <c r="G46" s="38">
        <f>TEMITA!F74</f>
        <v>18000</v>
      </c>
      <c r="H46" s="79">
        <f>SUM(G39:G46)</f>
        <v>173225</v>
      </c>
    </row>
    <row r="47" spans="1:8" s="42" customFormat="1" ht="18.75" x14ac:dyDescent="0.3">
      <c r="A47" s="35"/>
      <c r="B47" s="653"/>
      <c r="C47" s="653"/>
      <c r="D47" s="653"/>
      <c r="E47" s="653"/>
      <c r="F47" s="38"/>
      <c r="G47" s="38"/>
      <c r="H47" s="38"/>
    </row>
    <row r="48" spans="1:8" s="42" customFormat="1" ht="18.75" x14ac:dyDescent="0.3">
      <c r="A48" s="35"/>
      <c r="B48" s="653"/>
      <c r="C48" s="653"/>
      <c r="D48" s="653"/>
      <c r="E48" s="653"/>
      <c r="F48" s="38"/>
      <c r="G48" s="38"/>
      <c r="H48" s="38"/>
    </row>
    <row r="49" spans="1:8" s="42" customFormat="1" ht="23.25" x14ac:dyDescent="0.35">
      <c r="A49" s="35">
        <v>6</v>
      </c>
      <c r="B49" s="653"/>
      <c r="C49" s="656" t="str">
        <f>UBASTIC!B1</f>
        <v>UBASTIC NIGERIA LIMITED</v>
      </c>
      <c r="D49" s="653"/>
      <c r="E49" s="653"/>
      <c r="F49" s="38"/>
      <c r="G49" s="38"/>
      <c r="H49" s="38"/>
    </row>
    <row r="50" spans="1:8" s="42" customFormat="1" ht="18.75" x14ac:dyDescent="0.3">
      <c r="A50" s="35"/>
      <c r="B50" s="653">
        <f>UBASTIC!A80</f>
        <v>1071</v>
      </c>
      <c r="C50" s="653" t="str">
        <f>UBASTIC!B80</f>
        <v>30% BOVINE ALBUMIN</v>
      </c>
      <c r="D50" s="653" t="str">
        <f>UBASTIC!C80</f>
        <v>Pkt</v>
      </c>
      <c r="E50" s="653">
        <f>UBASTIC!D80</f>
        <v>10</v>
      </c>
      <c r="F50" s="38">
        <f>UBASTIC!E80</f>
        <v>20000</v>
      </c>
      <c r="G50" s="38">
        <f>UBASTIC!F80</f>
        <v>200000</v>
      </c>
      <c r="H50" s="38"/>
    </row>
    <row r="51" spans="1:8" s="42" customFormat="1" ht="18.75" x14ac:dyDescent="0.3">
      <c r="A51" s="35"/>
      <c r="B51" s="653">
        <f>UBASTIC!A81</f>
        <v>1070</v>
      </c>
      <c r="C51" s="653" t="str">
        <f>UBASTIC!B81</f>
        <v>ANTI HUMAN GLOBULIN (AHG)</v>
      </c>
      <c r="D51" s="653" t="str">
        <f>UBASTIC!C81</f>
        <v>Pack</v>
      </c>
      <c r="E51" s="653">
        <f>UBASTIC!D81</f>
        <v>10</v>
      </c>
      <c r="F51" s="38">
        <f>UBASTIC!E81</f>
        <v>20000</v>
      </c>
      <c r="G51" s="38">
        <f>UBASTIC!F81</f>
        <v>200000</v>
      </c>
      <c r="H51" s="38"/>
    </row>
    <row r="52" spans="1:8" s="42" customFormat="1" ht="18.75" x14ac:dyDescent="0.3">
      <c r="A52" s="35"/>
      <c r="B52" s="653">
        <f>UBASTIC!A82</f>
        <v>1066</v>
      </c>
      <c r="C52" s="653" t="str">
        <f>UBASTIC!B82</f>
        <v>ANTISERA A</v>
      </c>
      <c r="D52" s="653" t="str">
        <f>UBASTIC!C82</f>
        <v>Pkt (10)</v>
      </c>
      <c r="E52" s="653">
        <f>UBASTIC!D82</f>
        <v>3</v>
      </c>
      <c r="F52" s="38">
        <f>UBASTIC!E82</f>
        <v>10000</v>
      </c>
      <c r="G52" s="38">
        <f>UBASTIC!F82</f>
        <v>30000</v>
      </c>
      <c r="H52" s="38"/>
    </row>
    <row r="53" spans="1:8" s="42" customFormat="1" ht="23.25" x14ac:dyDescent="0.35">
      <c r="A53" s="35"/>
      <c r="B53" s="653">
        <f>UBASTIC!A83</f>
        <v>1068</v>
      </c>
      <c r="C53" s="653" t="str">
        <f>UBASTIC!B83</f>
        <v>ANTISERA AB</v>
      </c>
      <c r="D53" s="653" t="str">
        <f>UBASTIC!C83</f>
        <v>Pkt (10)</v>
      </c>
      <c r="E53" s="653">
        <f>UBASTIC!D83</f>
        <v>3</v>
      </c>
      <c r="F53" s="38">
        <f>UBASTIC!E83</f>
        <v>15000</v>
      </c>
      <c r="G53" s="38">
        <f>UBASTIC!F83</f>
        <v>45000</v>
      </c>
      <c r="H53" s="186"/>
    </row>
    <row r="54" spans="1:8" s="42" customFormat="1" ht="18.75" x14ac:dyDescent="0.3">
      <c r="A54" s="35"/>
      <c r="B54" s="653">
        <f>UBASTIC!A84</f>
        <v>1067</v>
      </c>
      <c r="C54" s="653" t="str">
        <f>UBASTIC!B84</f>
        <v>ANTISERA B</v>
      </c>
      <c r="D54" s="653" t="str">
        <f>UBASTIC!C84</f>
        <v>Pkt (10)</v>
      </c>
      <c r="E54" s="653">
        <f>UBASTIC!D84</f>
        <v>3</v>
      </c>
      <c r="F54" s="38">
        <f>UBASTIC!E84</f>
        <v>10000</v>
      </c>
      <c r="G54" s="38">
        <f>UBASTIC!F84</f>
        <v>30000</v>
      </c>
      <c r="H54" s="35"/>
    </row>
    <row r="55" spans="1:8" s="42" customFormat="1" ht="18.75" x14ac:dyDescent="0.3">
      <c r="A55" s="35"/>
      <c r="B55" s="653">
        <f>UBASTIC!A85</f>
        <v>1069</v>
      </c>
      <c r="C55" s="653" t="str">
        <f>UBASTIC!B85</f>
        <v>ANTISERA D</v>
      </c>
      <c r="D55" s="653" t="str">
        <f>UBASTIC!C85</f>
        <v>Pkt (10)</v>
      </c>
      <c r="E55" s="653">
        <f>UBASTIC!D85</f>
        <v>3</v>
      </c>
      <c r="F55" s="38">
        <f>UBASTIC!E85</f>
        <v>15000</v>
      </c>
      <c r="G55" s="38">
        <f>UBASTIC!F85</f>
        <v>45000</v>
      </c>
      <c r="H55" s="35"/>
    </row>
    <row r="56" spans="1:8" s="42" customFormat="1" ht="23.25" x14ac:dyDescent="0.35">
      <c r="A56" s="35"/>
      <c r="B56" s="653">
        <f>UBASTIC!A86</f>
        <v>1087</v>
      </c>
      <c r="C56" s="653" t="str">
        <f>UBASTIC!B86</f>
        <v>GIEMSA STAIN 25g</v>
      </c>
      <c r="D56" s="653" t="str">
        <f>UBASTIC!C86</f>
        <v>Bottles</v>
      </c>
      <c r="E56" s="653">
        <f>UBASTIC!D86</f>
        <v>2</v>
      </c>
      <c r="F56" s="38">
        <f>UBASTIC!E86</f>
        <v>3500</v>
      </c>
      <c r="G56" s="38">
        <f>UBASTIC!F86</f>
        <v>7000</v>
      </c>
      <c r="H56" s="79"/>
    </row>
    <row r="57" spans="1:8" s="42" customFormat="1" ht="18.75" x14ac:dyDescent="0.3">
      <c r="A57" s="35"/>
      <c r="B57" s="653">
        <f>UBASTIC!A87</f>
        <v>1060</v>
      </c>
      <c r="C57" s="653" t="str">
        <f>UBASTIC!B87</f>
        <v>HbsAG KITS (LAB CON)</v>
      </c>
      <c r="D57" s="653" t="str">
        <f>UBASTIC!C87</f>
        <v>Packs</v>
      </c>
      <c r="E57" s="653">
        <f>UBASTIC!D87</f>
        <v>60</v>
      </c>
      <c r="F57" s="38">
        <f>UBASTIC!E87</f>
        <v>3800</v>
      </c>
      <c r="G57" s="38">
        <f>UBASTIC!F87</f>
        <v>228000</v>
      </c>
      <c r="H57" s="38"/>
    </row>
    <row r="58" spans="1:8" s="42" customFormat="1" ht="18.75" x14ac:dyDescent="0.3">
      <c r="A58" s="35"/>
      <c r="B58" s="653">
        <f>UBASTIC!A88</f>
        <v>1059</v>
      </c>
      <c r="C58" s="653" t="str">
        <f>UBASTIC!B88</f>
        <v>HCV KIT (LAB CON)</v>
      </c>
      <c r="D58" s="653" t="str">
        <f>UBASTIC!C88</f>
        <v>Packs</v>
      </c>
      <c r="E58" s="653">
        <f>UBASTIC!D88</f>
        <v>60</v>
      </c>
      <c r="F58" s="38">
        <f>UBASTIC!E88</f>
        <v>5500</v>
      </c>
      <c r="G58" s="38">
        <f>UBASTIC!F88</f>
        <v>330000</v>
      </c>
      <c r="H58" s="38"/>
    </row>
    <row r="59" spans="1:8" s="42" customFormat="1" ht="18.75" x14ac:dyDescent="0.3">
      <c r="A59" s="35"/>
      <c r="B59" s="653">
        <f>UBASTIC!A89</f>
        <v>1090</v>
      </c>
      <c r="C59" s="653" t="str">
        <f>UBASTIC!B89</f>
        <v>MACCONKEY AGAR</v>
      </c>
      <c r="D59" s="653" t="str">
        <f>UBASTIC!C89</f>
        <v>Bottle</v>
      </c>
      <c r="E59" s="653">
        <f>UBASTIC!D89</f>
        <v>1</v>
      </c>
      <c r="F59" s="38">
        <f>UBASTIC!E89</f>
        <v>20000</v>
      </c>
      <c r="G59" s="38">
        <f>UBASTIC!F89</f>
        <v>20000</v>
      </c>
      <c r="H59" s="38"/>
    </row>
    <row r="60" spans="1:8" s="42" customFormat="1" ht="18.75" x14ac:dyDescent="0.3">
      <c r="A60" s="35"/>
      <c r="B60" s="653">
        <f>UBASTIC!A90</f>
        <v>1096</v>
      </c>
      <c r="C60" s="653" t="str">
        <f>UBASTIC!B90</f>
        <v>MEASURING CYLINDER (GLASS) 100ML</v>
      </c>
      <c r="D60" s="653" t="str">
        <f>UBASTIC!C90</f>
        <v>Pcs</v>
      </c>
      <c r="E60" s="653">
        <f>UBASTIC!D90</f>
        <v>1</v>
      </c>
      <c r="F60" s="38">
        <f>UBASTIC!E90</f>
        <v>650</v>
      </c>
      <c r="G60" s="38">
        <f>UBASTIC!F90</f>
        <v>650</v>
      </c>
      <c r="H60" s="38"/>
    </row>
    <row r="61" spans="1:8" s="42" customFormat="1" ht="18.75" x14ac:dyDescent="0.3">
      <c r="A61" s="35"/>
      <c r="B61" s="653">
        <f>UBASTIC!A91</f>
        <v>1094</v>
      </c>
      <c r="C61" s="653" t="str">
        <f>UBASTIC!B91</f>
        <v>MULTI DISC GRAM NEGATIVE</v>
      </c>
      <c r="D61" s="653" t="str">
        <f>UBASTIC!C91</f>
        <v>Box</v>
      </c>
      <c r="E61" s="653">
        <f>UBASTIC!D91</f>
        <v>6</v>
      </c>
      <c r="F61" s="38">
        <f>UBASTIC!E91</f>
        <v>9500</v>
      </c>
      <c r="G61" s="38">
        <f>UBASTIC!F91</f>
        <v>57000</v>
      </c>
      <c r="H61" s="38"/>
    </row>
    <row r="62" spans="1:8" s="42" customFormat="1" ht="18.75" x14ac:dyDescent="0.3">
      <c r="A62" s="35"/>
      <c r="B62" s="653">
        <f>UBASTIC!A92</f>
        <v>1093</v>
      </c>
      <c r="C62" s="653" t="str">
        <f>UBASTIC!B92</f>
        <v>MULTI DISC GRAM POSITIVE</v>
      </c>
      <c r="D62" s="653" t="str">
        <f>UBASTIC!C92</f>
        <v>Box</v>
      </c>
      <c r="E62" s="653">
        <f>UBASTIC!D92</f>
        <v>6</v>
      </c>
      <c r="F62" s="38">
        <f>UBASTIC!E92</f>
        <v>9500</v>
      </c>
      <c r="G62" s="38">
        <f>UBASTIC!F92</f>
        <v>57000</v>
      </c>
      <c r="H62" s="38"/>
    </row>
    <row r="63" spans="1:8" s="42" customFormat="1" ht="23.25" x14ac:dyDescent="0.35">
      <c r="A63" s="35"/>
      <c r="B63" s="653">
        <f>UBASTIC!A93</f>
        <v>1089</v>
      </c>
      <c r="C63" s="653" t="str">
        <f>UBASTIC!B93</f>
        <v>NUTRIENTS AGAR</v>
      </c>
      <c r="D63" s="653" t="str">
        <f>UBASTIC!C93</f>
        <v>Bottle</v>
      </c>
      <c r="E63" s="653">
        <f>UBASTIC!D93</f>
        <v>1</v>
      </c>
      <c r="F63" s="38">
        <f>UBASTIC!E93</f>
        <v>18000</v>
      </c>
      <c r="G63" s="38">
        <f>UBASTIC!F93</f>
        <v>18000</v>
      </c>
      <c r="H63" s="186"/>
    </row>
    <row r="64" spans="1:8" s="42" customFormat="1" ht="18.75" x14ac:dyDescent="0.3">
      <c r="A64" s="35"/>
      <c r="B64" s="653">
        <f>UBASTIC!A94</f>
        <v>1101</v>
      </c>
      <c r="C64" s="653" t="str">
        <f>UBASTIC!B94</f>
        <v>PREGNANT KIT CASSETTE (LABACON)</v>
      </c>
      <c r="D64" s="653" t="str">
        <f>UBASTIC!C94</f>
        <v>packs</v>
      </c>
      <c r="E64" s="653">
        <f>UBASTIC!D94</f>
        <v>36</v>
      </c>
      <c r="F64" s="38">
        <f>UBASTIC!E94</f>
        <v>3500</v>
      </c>
      <c r="G64" s="38">
        <f>UBASTIC!F94</f>
        <v>126000</v>
      </c>
      <c r="H64" s="35"/>
    </row>
    <row r="65" spans="1:8" s="42" customFormat="1" ht="18.75" x14ac:dyDescent="0.3">
      <c r="A65" s="35"/>
      <c r="B65" s="653">
        <f>UBASTIC!A95</f>
        <v>1077</v>
      </c>
      <c r="C65" s="653" t="str">
        <f>UBASTIC!B95</f>
        <v>UNIGOLD FOR HIV</v>
      </c>
      <c r="D65" s="653" t="str">
        <f>UBASTIC!C95</f>
        <v>Pkt</v>
      </c>
      <c r="E65" s="653">
        <f>UBASTIC!D95</f>
        <v>10</v>
      </c>
      <c r="F65" s="38">
        <f>UBASTIC!E95</f>
        <v>8500</v>
      </c>
      <c r="G65" s="38">
        <f>UBASTIC!F95</f>
        <v>85000</v>
      </c>
      <c r="H65" s="35"/>
    </row>
    <row r="66" spans="1:8" s="42" customFormat="1" ht="23.25" x14ac:dyDescent="0.35">
      <c r="A66" s="35"/>
      <c r="B66" s="653">
        <f>UBASTIC!A96</f>
        <v>1062</v>
      </c>
      <c r="C66" s="653" t="str">
        <f>UBASTIC!B96</f>
        <v>VDRL (BIO CHECK)</v>
      </c>
      <c r="D66" s="653" t="str">
        <f>UBASTIC!C96</f>
        <v>Pkts</v>
      </c>
      <c r="E66" s="653">
        <f>UBASTIC!D96</f>
        <v>60</v>
      </c>
      <c r="F66" s="38">
        <f>UBASTIC!E96</f>
        <v>3000</v>
      </c>
      <c r="G66" s="38">
        <f>UBASTIC!F96</f>
        <v>180000</v>
      </c>
      <c r="H66" s="79"/>
    </row>
    <row r="67" spans="1:8" s="42" customFormat="1" ht="23.25" x14ac:dyDescent="0.35">
      <c r="A67" s="35"/>
      <c r="B67" s="653">
        <f>UBASTIC!A97</f>
        <v>1082</v>
      </c>
      <c r="C67" s="653" t="str">
        <f>UBASTIC!B97</f>
        <v>WIDAL KIT</v>
      </c>
      <c r="D67" s="653" t="str">
        <f>UBASTIC!C97</f>
        <v>Pkt</v>
      </c>
      <c r="E67" s="653">
        <f>UBASTIC!D97</f>
        <v>6</v>
      </c>
      <c r="F67" s="38">
        <f>UBASTIC!E97</f>
        <v>6500</v>
      </c>
      <c r="G67" s="38">
        <f>UBASTIC!F97</f>
        <v>39000</v>
      </c>
      <c r="H67" s="79">
        <f>SUM(G50:G67)</f>
        <v>1697650</v>
      </c>
    </row>
    <row r="68" spans="1:8" s="42" customFormat="1" ht="18.75" x14ac:dyDescent="0.3">
      <c r="A68" s="35"/>
      <c r="B68" s="653"/>
      <c r="C68" s="653"/>
      <c r="D68" s="653"/>
      <c r="E68" s="653"/>
      <c r="F68" s="653"/>
      <c r="G68" s="653"/>
      <c r="H68" s="38"/>
    </row>
    <row r="69" spans="1:8" ht="21.75" thickBot="1" x14ac:dyDescent="0.4">
      <c r="A69" s="35"/>
      <c r="B69" s="35"/>
      <c r="C69" s="188"/>
      <c r="D69" s="647"/>
      <c r="E69" s="189"/>
      <c r="F69" s="190"/>
      <c r="G69" s="191"/>
      <c r="H69" s="185"/>
    </row>
    <row r="70" spans="1:8" ht="27" thickBot="1" x14ac:dyDescent="0.45">
      <c r="A70" s="35"/>
      <c r="B70" s="35"/>
      <c r="C70" s="188"/>
      <c r="D70" s="647"/>
      <c r="E70" s="189"/>
      <c r="F70" s="190"/>
      <c r="G70" s="193" t="s">
        <v>666</v>
      </c>
      <c r="H70" s="194">
        <f>SUM(G7:G69)</f>
        <v>4495245</v>
      </c>
    </row>
    <row r="78" spans="1:8" ht="28.5" x14ac:dyDescent="0.45">
      <c r="C78" s="850" t="s">
        <v>2173</v>
      </c>
      <c r="D78" s="850"/>
      <c r="E78" s="850"/>
      <c r="F78" s="850"/>
      <c r="G78" s="850"/>
    </row>
    <row r="80" spans="1:8" s="80" customFormat="1" ht="26.25" x14ac:dyDescent="0.4">
      <c r="A80" s="42"/>
      <c r="B80" s="35"/>
      <c r="C80" s="646" t="s">
        <v>917</v>
      </c>
      <c r="D80" s="849" t="s">
        <v>918</v>
      </c>
      <c r="E80" s="849"/>
      <c r="F80" s="849"/>
      <c r="G80" s="849"/>
    </row>
    <row r="81" spans="1:7" s="80" customFormat="1" x14ac:dyDescent="0.35">
      <c r="A81" s="42"/>
      <c r="B81" s="35"/>
      <c r="C81" s="188"/>
      <c r="D81" s="845"/>
      <c r="E81" s="845"/>
      <c r="F81" s="845"/>
      <c r="G81" s="845"/>
    </row>
    <row r="82" spans="1:7" s="80" customFormat="1" x14ac:dyDescent="0.35">
      <c r="A82" s="42"/>
      <c r="B82" s="35">
        <v>1</v>
      </c>
      <c r="C82" s="35" t="str">
        <f>C7</f>
        <v>DE SANCON &amp; ASSOCIATES LIMITED</v>
      </c>
      <c r="D82" s="841">
        <f>H20</f>
        <v>2001600</v>
      </c>
      <c r="E82" s="842"/>
      <c r="F82" s="842"/>
      <c r="G82" s="842"/>
    </row>
    <row r="83" spans="1:7" s="80" customFormat="1" x14ac:dyDescent="0.35">
      <c r="A83" s="42"/>
      <c r="B83" s="35">
        <f>1+B82</f>
        <v>2</v>
      </c>
      <c r="C83" s="35" t="str">
        <f>C22</f>
        <v>DYNAMIC ANCHOR SOURCE LIMITED</v>
      </c>
      <c r="D83" s="841">
        <f>H26</f>
        <v>208500</v>
      </c>
      <c r="E83" s="842"/>
      <c r="F83" s="842"/>
      <c r="G83" s="842"/>
    </row>
    <row r="84" spans="1:7" s="80" customFormat="1" x14ac:dyDescent="0.35">
      <c r="A84" s="42"/>
      <c r="B84" s="35">
        <f t="shared" ref="B84:B87" si="0">1+B83</f>
        <v>3</v>
      </c>
      <c r="C84" s="653" t="str">
        <f>C29</f>
        <v>LAYO-JAT NIGERIA LIMITED</v>
      </c>
      <c r="D84" s="841">
        <f>H31</f>
        <v>119520</v>
      </c>
      <c r="E84" s="842"/>
      <c r="F84" s="842"/>
      <c r="G84" s="842"/>
    </row>
    <row r="85" spans="1:7" s="80" customFormat="1" x14ac:dyDescent="0.35">
      <c r="A85" s="42"/>
      <c r="B85" s="35">
        <f t="shared" si="0"/>
        <v>4</v>
      </c>
      <c r="C85" s="653" t="str">
        <f>C33</f>
        <v>LIFTED HANDS VENTURES</v>
      </c>
      <c r="D85" s="841">
        <f>H35</f>
        <v>294750</v>
      </c>
      <c r="E85" s="842"/>
      <c r="F85" s="842"/>
      <c r="G85" s="842"/>
    </row>
    <row r="86" spans="1:7" s="80" customFormat="1" x14ac:dyDescent="0.35">
      <c r="A86" s="42"/>
      <c r="B86" s="35">
        <f t="shared" si="0"/>
        <v>5</v>
      </c>
      <c r="C86" s="653" t="str">
        <f>C38</f>
        <v>TEMITA SCIENTIFIC VENTURES</v>
      </c>
      <c r="D86" s="841">
        <f>H46</f>
        <v>173225</v>
      </c>
      <c r="E86" s="842"/>
      <c r="F86" s="842"/>
      <c r="G86" s="842"/>
    </row>
    <row r="87" spans="1:7" s="80" customFormat="1" x14ac:dyDescent="0.35">
      <c r="A87" s="42"/>
      <c r="B87" s="35">
        <f t="shared" si="0"/>
        <v>6</v>
      </c>
      <c r="C87" s="653" t="str">
        <f>C49</f>
        <v>UBASTIC NIGERIA LIMITED</v>
      </c>
      <c r="D87" s="841">
        <f>H67</f>
        <v>1697650</v>
      </c>
      <c r="E87" s="842"/>
      <c r="F87" s="842"/>
      <c r="G87" s="842"/>
    </row>
    <row r="88" spans="1:7" s="80" customFormat="1" ht="21.75" thickBot="1" x14ac:dyDescent="0.4">
      <c r="A88" s="42"/>
      <c r="B88" s="42"/>
      <c r="C88" s="8"/>
      <c r="D88" s="836"/>
      <c r="E88" s="836"/>
      <c r="F88" s="836"/>
      <c r="G88" s="836"/>
    </row>
    <row r="89" spans="1:7" s="80" customFormat="1" ht="29.25" thickBot="1" x14ac:dyDescent="0.5">
      <c r="A89" s="42"/>
      <c r="B89" s="42"/>
      <c r="C89" s="8"/>
      <c r="D89" s="846">
        <f>SUM(D82:G87)</f>
        <v>4495245</v>
      </c>
      <c r="E89" s="847"/>
      <c r="F89" s="847"/>
      <c r="G89" s="848"/>
    </row>
    <row r="90" spans="1:7" s="80" customFormat="1" x14ac:dyDescent="0.35">
      <c r="A90" s="42"/>
      <c r="B90" s="42"/>
      <c r="C90" s="8"/>
      <c r="D90" s="836"/>
      <c r="E90" s="836"/>
      <c r="F90" s="836"/>
      <c r="G90" s="836"/>
    </row>
    <row r="91" spans="1:7" s="80" customFormat="1" x14ac:dyDescent="0.35">
      <c r="A91" s="42"/>
      <c r="B91" s="42"/>
      <c r="C91" s="8"/>
      <c r="D91" s="836"/>
      <c r="E91" s="836"/>
      <c r="F91" s="836"/>
      <c r="G91" s="836"/>
    </row>
    <row r="92" spans="1:7" s="80" customFormat="1" x14ac:dyDescent="0.35">
      <c r="A92" s="42"/>
      <c r="B92" s="42"/>
      <c r="C92" s="8"/>
      <c r="D92" s="836"/>
      <c r="E92" s="836"/>
      <c r="F92" s="836"/>
      <c r="G92" s="836"/>
    </row>
    <row r="93" spans="1:7" s="80" customFormat="1" x14ac:dyDescent="0.35">
      <c r="A93" s="42"/>
      <c r="B93" s="42"/>
      <c r="C93" s="8"/>
      <c r="D93" s="836"/>
      <c r="E93" s="836"/>
      <c r="F93" s="836"/>
      <c r="G93" s="836"/>
    </row>
    <row r="94" spans="1:7" s="80" customFormat="1" x14ac:dyDescent="0.35">
      <c r="A94" s="42"/>
      <c r="B94" s="42"/>
      <c r="C94" s="8"/>
      <c r="D94" s="836"/>
      <c r="E94" s="836"/>
      <c r="F94" s="836"/>
      <c r="G94" s="836"/>
    </row>
  </sheetData>
  <mergeCells count="20">
    <mergeCell ref="D94:G94"/>
    <mergeCell ref="D88:G88"/>
    <mergeCell ref="D83:G83"/>
    <mergeCell ref="D84:G84"/>
    <mergeCell ref="D85:G85"/>
    <mergeCell ref="D86:G86"/>
    <mergeCell ref="D87:G87"/>
    <mergeCell ref="D89:G89"/>
    <mergeCell ref="D90:G90"/>
    <mergeCell ref="D91:G91"/>
    <mergeCell ref="D92:G92"/>
    <mergeCell ref="D93:G93"/>
    <mergeCell ref="D82:G82"/>
    <mergeCell ref="A3:H3"/>
    <mergeCell ref="C78:G78"/>
    <mergeCell ref="A1:H1"/>
    <mergeCell ref="A2:H2"/>
    <mergeCell ref="A4:H4"/>
    <mergeCell ref="D80:G80"/>
    <mergeCell ref="D81:G81"/>
  </mergeCells>
  <pageMargins left="0.25" right="0.25" top="0.28999999999999998" bottom="0.28999999999999998" header="0.3" footer="0.3"/>
  <pageSetup paperSize="9" scale="69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DE4D7-CDFA-44C7-A54A-4893A2C2915D}">
  <dimension ref="A1:H897"/>
  <sheetViews>
    <sheetView view="pageBreakPreview" zoomScale="70" zoomScaleNormal="70" zoomScaleSheetLayoutView="70" workbookViewId="0">
      <pane xSplit="3" ySplit="6" topLeftCell="D704" activePane="bottomRight" state="frozen"/>
      <selection activeCell="K1" sqref="K1"/>
      <selection pane="topRight" activeCell="K1" sqref="K1"/>
      <selection pane="bottomLeft" activeCell="K1" sqref="K1"/>
      <selection pane="bottomRight" activeCell="C590" sqref="C590"/>
    </sheetView>
  </sheetViews>
  <sheetFormatPr defaultColWidth="20" defaultRowHeight="21" x14ac:dyDescent="0.35"/>
  <cols>
    <col min="1" max="1" width="6.85546875" style="42" customWidth="1"/>
    <col min="2" max="2" width="11.140625" style="42" bestFit="1" customWidth="1"/>
    <col min="3" max="3" width="90.140625" style="8" customWidth="1"/>
    <col min="4" max="4" width="12.5703125" style="667" bestFit="1" customWidth="1"/>
    <col min="5" max="5" width="13.5703125" style="75" customWidth="1"/>
    <col min="6" max="6" width="20.140625" style="71" bestFit="1" customWidth="1"/>
    <col min="7" max="7" width="22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1488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2179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8"/>
      <c r="B5" s="35"/>
      <c r="C5" s="188"/>
      <c r="D5" s="669"/>
      <c r="E5" s="189"/>
      <c r="F5" s="190"/>
      <c r="G5" s="191"/>
      <c r="H5" s="76"/>
    </row>
    <row r="6" spans="1:8" s="24" customFormat="1" ht="56.25" x14ac:dyDescent="0.25">
      <c r="A6" s="66" t="s">
        <v>658</v>
      </c>
      <c r="B6" s="21" t="s">
        <v>659</v>
      </c>
      <c r="C6" s="21" t="s">
        <v>660</v>
      </c>
      <c r="D6" s="65" t="s">
        <v>500</v>
      </c>
      <c r="E6" s="74" t="s">
        <v>663</v>
      </c>
      <c r="F6" s="64" t="s">
        <v>661</v>
      </c>
      <c r="G6" s="72" t="s">
        <v>550</v>
      </c>
      <c r="H6" s="78" t="s">
        <v>662</v>
      </c>
    </row>
    <row r="7" spans="1:8" s="24" customFormat="1" x14ac:dyDescent="0.25">
      <c r="A7" s="66"/>
      <c r="B7" s="21"/>
      <c r="C7" s="21"/>
      <c r="D7" s="65"/>
      <c r="E7" s="74"/>
      <c r="F7" s="64"/>
      <c r="G7" s="72"/>
      <c r="H7" s="78"/>
    </row>
    <row r="8" spans="1:8" s="42" customFormat="1" ht="23.25" x14ac:dyDescent="0.35">
      <c r="A8" s="35">
        <v>1</v>
      </c>
      <c r="B8" s="35"/>
      <c r="C8" s="77" t="str">
        <f>ALPHA!B1</f>
        <v>ALPHA PHARMACY AND STORES LTD</v>
      </c>
      <c r="D8" s="668"/>
      <c r="E8" s="35"/>
      <c r="F8" s="38"/>
      <c r="G8" s="38"/>
      <c r="H8" s="38"/>
    </row>
    <row r="9" spans="1:8" s="42" customFormat="1" ht="18.75" x14ac:dyDescent="0.3">
      <c r="A9" s="35"/>
      <c r="B9" s="653">
        <f>ALPHA!A6</f>
        <v>469</v>
      </c>
      <c r="C9" s="653" t="str">
        <f>ALPHA!B6</f>
        <v>ADRENALINE INJ</v>
      </c>
      <c r="D9" s="654">
        <f>ALPHA!C6</f>
        <v>100</v>
      </c>
      <c r="E9" s="653">
        <v>3</v>
      </c>
      <c r="F9" s="38">
        <f>ALPHA!E6</f>
        <v>30000</v>
      </c>
      <c r="G9" s="38">
        <f>E9*F9</f>
        <v>90000</v>
      </c>
      <c r="H9" s="38"/>
    </row>
    <row r="10" spans="1:8" s="42" customFormat="1" ht="18.75" x14ac:dyDescent="0.3">
      <c r="A10" s="35"/>
      <c r="B10" s="653">
        <f>ALPHA!A7</f>
        <v>396</v>
      </c>
      <c r="C10" s="653" t="str">
        <f>ALPHA!B7</f>
        <v>ATRACURIUM INJ</v>
      </c>
      <c r="D10" s="654">
        <f>ALPHA!C7</f>
        <v>5</v>
      </c>
      <c r="E10" s="653">
        <v>30</v>
      </c>
      <c r="F10" s="38">
        <f>ALPHA!E7</f>
        <v>9000</v>
      </c>
      <c r="G10" s="38">
        <f t="shared" ref="G10:G36" si="0">E10*F10</f>
        <v>270000</v>
      </c>
      <c r="H10" s="38"/>
    </row>
    <row r="11" spans="1:8" s="42" customFormat="1" ht="18.75" x14ac:dyDescent="0.3">
      <c r="A11" s="35"/>
      <c r="B11" s="653">
        <f>ALPHA!A8</f>
        <v>397</v>
      </c>
      <c r="C11" s="653" t="str">
        <f>ALPHA!B8</f>
        <v>ATROPINE INJ</v>
      </c>
      <c r="D11" s="654">
        <f>ALPHA!C8</f>
        <v>10</v>
      </c>
      <c r="E11" s="653">
        <v>75</v>
      </c>
      <c r="F11" s="38">
        <f>ALPHA!E8</f>
        <v>3000</v>
      </c>
      <c r="G11" s="38">
        <f t="shared" si="0"/>
        <v>225000</v>
      </c>
      <c r="H11" s="38"/>
    </row>
    <row r="12" spans="1:8" s="42" customFormat="1" ht="18.75" x14ac:dyDescent="0.3">
      <c r="A12" s="35"/>
      <c r="B12" s="653">
        <f>ALPHA!A9</f>
        <v>585</v>
      </c>
      <c r="C12" s="653" t="str">
        <f>ALPHA!B9</f>
        <v>COLOSTOMY BAG</v>
      </c>
      <c r="D12" s="654">
        <f>ALPHA!C9</f>
        <v>30</v>
      </c>
      <c r="E12" s="653">
        <v>5</v>
      </c>
      <c r="F12" s="38">
        <f>ALPHA!E9</f>
        <v>34500</v>
      </c>
      <c r="G12" s="38">
        <f t="shared" si="0"/>
        <v>172500</v>
      </c>
      <c r="H12" s="38"/>
    </row>
    <row r="13" spans="1:8" s="42" customFormat="1" ht="18.75" x14ac:dyDescent="0.3">
      <c r="A13" s="35"/>
      <c r="B13" s="653">
        <f>ALPHA!A10</f>
        <v>590</v>
      </c>
      <c r="C13" s="653" t="str">
        <f>ALPHA!B10</f>
        <v>COTTON WOOL 50G</v>
      </c>
      <c r="D13" s="654">
        <f>ALPHA!C10</f>
        <v>100</v>
      </c>
      <c r="E13" s="653">
        <v>100</v>
      </c>
      <c r="F13" s="38">
        <f>ALPHA!E10</f>
        <v>8000</v>
      </c>
      <c r="G13" s="38">
        <f t="shared" si="0"/>
        <v>800000</v>
      </c>
      <c r="H13" s="38"/>
    </row>
    <row r="14" spans="1:8" s="42" customFormat="1" ht="18.75" x14ac:dyDescent="0.3">
      <c r="A14" s="35"/>
      <c r="B14" s="653">
        <f>ALPHA!A11</f>
        <v>300</v>
      </c>
      <c r="C14" s="653" t="str">
        <f>ALPHA!B11</f>
        <v>ENOXAPARIN 40MG INJ</v>
      </c>
      <c r="D14" s="654" t="str">
        <f>ALPHA!C11</f>
        <v>AMP</v>
      </c>
      <c r="E14" s="653">
        <v>245</v>
      </c>
      <c r="F14" s="38">
        <f>ALPHA!E11</f>
        <v>1670</v>
      </c>
      <c r="G14" s="38">
        <f t="shared" si="0"/>
        <v>409150</v>
      </c>
      <c r="H14" s="38"/>
    </row>
    <row r="15" spans="1:8" s="42" customFormat="1" ht="18.75" x14ac:dyDescent="0.3">
      <c r="A15" s="35"/>
      <c r="B15" s="653">
        <f>ALPHA!A12</f>
        <v>385</v>
      </c>
      <c r="C15" s="653" t="str">
        <f>ALPHA!B12</f>
        <v>ERGOMETRINE 500MCG INJ</v>
      </c>
      <c r="D15" s="654">
        <f>ALPHA!C12</f>
        <v>100</v>
      </c>
      <c r="E15" s="653">
        <v>5</v>
      </c>
      <c r="F15" s="38">
        <f>ALPHA!E12</f>
        <v>25000</v>
      </c>
      <c r="G15" s="38">
        <f t="shared" si="0"/>
        <v>125000</v>
      </c>
      <c r="H15" s="38"/>
    </row>
    <row r="16" spans="1:8" s="42" customFormat="1" ht="18.75" x14ac:dyDescent="0.3">
      <c r="A16" s="35"/>
      <c r="B16" s="653">
        <f>ALPHA!A13</f>
        <v>510</v>
      </c>
      <c r="C16" s="653" t="str">
        <f>ALPHA!B13</f>
        <v>EYE ANTI-OXIDANT TAB</v>
      </c>
      <c r="D16" s="654">
        <f>ALPHA!C13</f>
        <v>120</v>
      </c>
      <c r="E16" s="653">
        <v>20</v>
      </c>
      <c r="F16" s="38">
        <f>ALPHA!E13</f>
        <v>9000</v>
      </c>
      <c r="G16" s="38">
        <f t="shared" si="0"/>
        <v>180000</v>
      </c>
      <c r="H16" s="38"/>
    </row>
    <row r="17" spans="1:8" s="42" customFormat="1" ht="18.75" x14ac:dyDescent="0.3">
      <c r="A17" s="35"/>
      <c r="B17" s="653">
        <f>ALPHA!A14</f>
        <v>401</v>
      </c>
      <c r="C17" s="653" t="str">
        <f>ALPHA!B14</f>
        <v>GLYCOPYRULLATE INJ</v>
      </c>
      <c r="D17" s="654">
        <f>ALPHA!C14</f>
        <v>100</v>
      </c>
      <c r="E17" s="653">
        <v>1</v>
      </c>
      <c r="F17" s="38">
        <f>ALPHA!E14</f>
        <v>80000</v>
      </c>
      <c r="G17" s="38">
        <f t="shared" si="0"/>
        <v>80000</v>
      </c>
      <c r="H17" s="38"/>
    </row>
    <row r="18" spans="1:8" s="42" customFormat="1" ht="18.75" x14ac:dyDescent="0.3">
      <c r="A18" s="35"/>
      <c r="B18" s="653">
        <f>ALPHA!A15</f>
        <v>402</v>
      </c>
      <c r="C18" s="653" t="str">
        <f>ALPHA!B15</f>
        <v>HALOTHANE</v>
      </c>
      <c r="D18" s="654" t="str">
        <f>ALPHA!C15</f>
        <v>250ML</v>
      </c>
      <c r="E18" s="653">
        <v>3</v>
      </c>
      <c r="F18" s="38">
        <f>ALPHA!E15</f>
        <v>16500</v>
      </c>
      <c r="G18" s="38">
        <f t="shared" si="0"/>
        <v>49500</v>
      </c>
      <c r="H18" s="38"/>
    </row>
    <row r="19" spans="1:8" s="42" customFormat="1" ht="18.75" x14ac:dyDescent="0.3">
      <c r="A19" s="35"/>
      <c r="B19" s="653">
        <f>ALPHA!A16</f>
        <v>403</v>
      </c>
      <c r="C19" s="653" t="str">
        <f>ALPHA!B16</f>
        <v>HEAVY MARCAINE INJ</v>
      </c>
      <c r="D19" s="654">
        <f>ALPHA!C16</f>
        <v>10</v>
      </c>
      <c r="E19" s="653">
        <v>19</v>
      </c>
      <c r="F19" s="38">
        <f>ALPHA!E16</f>
        <v>10000</v>
      </c>
      <c r="G19" s="38">
        <f t="shared" si="0"/>
        <v>190000</v>
      </c>
      <c r="H19" s="38"/>
    </row>
    <row r="20" spans="1:8" s="42" customFormat="1" ht="18.75" x14ac:dyDescent="0.3">
      <c r="A20" s="35"/>
      <c r="B20" s="653">
        <f>ALPHA!A17</f>
        <v>309</v>
      </c>
      <c r="C20" s="653" t="str">
        <f>ALPHA!B17</f>
        <v>HEPARIN INJ</v>
      </c>
      <c r="D20" s="654" t="str">
        <f>ALPHA!C17</f>
        <v>VIAL</v>
      </c>
      <c r="E20" s="653">
        <v>250</v>
      </c>
      <c r="F20" s="38">
        <f>ALPHA!E17</f>
        <v>2800</v>
      </c>
      <c r="G20" s="38">
        <f t="shared" si="0"/>
        <v>700000</v>
      </c>
      <c r="H20" s="38"/>
    </row>
    <row r="21" spans="1:8" s="42" customFormat="1" ht="18.75" x14ac:dyDescent="0.3">
      <c r="A21" s="35"/>
      <c r="B21" s="653">
        <f>ALPHA!A18</f>
        <v>404</v>
      </c>
      <c r="C21" s="653" t="str">
        <f>ALPHA!B18</f>
        <v>ISOFLUORANE</v>
      </c>
      <c r="D21" s="654" t="str">
        <f>ALPHA!C18</f>
        <v>250ML</v>
      </c>
      <c r="E21" s="653">
        <v>30</v>
      </c>
      <c r="F21" s="38">
        <f>ALPHA!E18</f>
        <v>19500</v>
      </c>
      <c r="G21" s="38">
        <f t="shared" si="0"/>
        <v>585000</v>
      </c>
      <c r="H21" s="38"/>
    </row>
    <row r="22" spans="1:8" s="42" customFormat="1" ht="18.75" x14ac:dyDescent="0.3">
      <c r="A22" s="35"/>
      <c r="B22" s="653">
        <f>ALPHA!A19</f>
        <v>257</v>
      </c>
      <c r="C22" s="653" t="str">
        <f>ALPHA!B19</f>
        <v>ITRACONAZOLE CAP</v>
      </c>
      <c r="D22" s="654">
        <f>ALPHA!C19</f>
        <v>10</v>
      </c>
      <c r="E22" s="653">
        <v>25</v>
      </c>
      <c r="F22" s="38">
        <f>ALPHA!E19</f>
        <v>2300</v>
      </c>
      <c r="G22" s="38">
        <f t="shared" si="0"/>
        <v>57500</v>
      </c>
      <c r="H22" s="38"/>
    </row>
    <row r="23" spans="1:8" s="42" customFormat="1" ht="18.75" x14ac:dyDescent="0.3">
      <c r="A23" s="35"/>
      <c r="B23" s="653">
        <f>ALPHA!A20</f>
        <v>405</v>
      </c>
      <c r="C23" s="653" t="str">
        <f>ALPHA!B20</f>
        <v>KETAMINE HCL 50MG/ML INJ</v>
      </c>
      <c r="D23" s="654">
        <f>ALPHA!C20</f>
        <v>25</v>
      </c>
      <c r="E23" s="653">
        <v>3</v>
      </c>
      <c r="F23" s="38">
        <f>ALPHA!E20</f>
        <v>30000</v>
      </c>
      <c r="G23" s="38">
        <f t="shared" si="0"/>
        <v>90000</v>
      </c>
      <c r="H23" s="38"/>
    </row>
    <row r="24" spans="1:8" s="42" customFormat="1" ht="18.75" x14ac:dyDescent="0.3">
      <c r="A24" s="35"/>
      <c r="B24" s="653">
        <f>ALPHA!A21</f>
        <v>387</v>
      </c>
      <c r="C24" s="653" t="str">
        <f>ALPHA!B21</f>
        <v>LEUPROLIDE ACETATE 3.75MG INJ</v>
      </c>
      <c r="D24" s="654">
        <f>ALPHA!C21</f>
        <v>1</v>
      </c>
      <c r="E24" s="653">
        <v>5</v>
      </c>
      <c r="F24" s="38">
        <f>ALPHA!E21</f>
        <v>24000</v>
      </c>
      <c r="G24" s="38">
        <f t="shared" si="0"/>
        <v>120000</v>
      </c>
      <c r="H24" s="38"/>
    </row>
    <row r="25" spans="1:8" s="42" customFormat="1" ht="18.75" x14ac:dyDescent="0.3">
      <c r="A25" s="35"/>
      <c r="B25" s="653">
        <f>ALPHA!A22</f>
        <v>406</v>
      </c>
      <c r="C25" s="653" t="str">
        <f>ALPHA!B22</f>
        <v>LIGHT MARCAINE INJ</v>
      </c>
      <c r="D25" s="654">
        <f>ALPHA!C22</f>
        <v>10</v>
      </c>
      <c r="E25" s="653">
        <v>10</v>
      </c>
      <c r="F25" s="38">
        <f>ALPHA!E22</f>
        <v>9500</v>
      </c>
      <c r="G25" s="38">
        <f t="shared" si="0"/>
        <v>95000</v>
      </c>
      <c r="H25" s="38"/>
    </row>
    <row r="26" spans="1:8" s="42" customFormat="1" ht="18.75" x14ac:dyDescent="0.3">
      <c r="A26" s="35"/>
      <c r="B26" s="653">
        <f>ALPHA!A23</f>
        <v>407</v>
      </c>
      <c r="C26" s="653" t="str">
        <f>ALPHA!B23</f>
        <v>MIDAZOLAM INJ</v>
      </c>
      <c r="D26" s="654">
        <f>ALPHA!C23</f>
        <v>10</v>
      </c>
      <c r="E26" s="653">
        <v>6</v>
      </c>
      <c r="F26" s="38">
        <f>ALPHA!E23</f>
        <v>18000</v>
      </c>
      <c r="G26" s="38">
        <f t="shared" si="0"/>
        <v>108000</v>
      </c>
      <c r="H26" s="35"/>
    </row>
    <row r="27" spans="1:8" s="42" customFormat="1" ht="18.75" x14ac:dyDescent="0.3">
      <c r="A27" s="35"/>
      <c r="B27" s="653">
        <f>ALPHA!A24</f>
        <v>408</v>
      </c>
      <c r="C27" s="653" t="str">
        <f>ALPHA!B24</f>
        <v>NEOSTIGMINE INJ</v>
      </c>
      <c r="D27" s="654">
        <f>ALPHA!C24</f>
        <v>100</v>
      </c>
      <c r="E27" s="653">
        <v>2</v>
      </c>
      <c r="F27" s="38">
        <f>ALPHA!E24</f>
        <v>65000</v>
      </c>
      <c r="G27" s="38">
        <f t="shared" si="0"/>
        <v>130000</v>
      </c>
      <c r="H27" s="35"/>
    </row>
    <row r="28" spans="1:8" s="42" customFormat="1" ht="18.75" x14ac:dyDescent="0.3">
      <c r="A28" s="35"/>
      <c r="B28" s="653">
        <f>ALPHA!A25</f>
        <v>272</v>
      </c>
      <c r="C28" s="653" t="str">
        <f>ALPHA!B25</f>
        <v>NYSTATIN ORAL DROPS (100,000 IU/ML)</v>
      </c>
      <c r="D28" s="654" t="str">
        <f>ALPHA!C25</f>
        <v>BOTT</v>
      </c>
      <c r="E28" s="653">
        <v>25</v>
      </c>
      <c r="F28" s="38">
        <f>ALPHA!E25</f>
        <v>300</v>
      </c>
      <c r="G28" s="38">
        <f t="shared" si="0"/>
        <v>7500</v>
      </c>
      <c r="H28" s="38"/>
    </row>
    <row r="29" spans="1:8" s="42" customFormat="1" ht="18.75" x14ac:dyDescent="0.3">
      <c r="A29" s="35"/>
      <c r="B29" s="653">
        <f>ALPHA!A26</f>
        <v>393</v>
      </c>
      <c r="C29" s="653" t="str">
        <f>ALPHA!B26</f>
        <v>OXYTOCIN INJ</v>
      </c>
      <c r="D29" s="654">
        <f>ALPHA!C26</f>
        <v>100</v>
      </c>
      <c r="E29" s="653">
        <v>36</v>
      </c>
      <c r="F29" s="38">
        <f>ALPHA!E26</f>
        <v>24000</v>
      </c>
      <c r="G29" s="38">
        <f t="shared" si="0"/>
        <v>864000</v>
      </c>
      <c r="H29" s="38"/>
    </row>
    <row r="30" spans="1:8" s="42" customFormat="1" ht="18.75" x14ac:dyDescent="0.3">
      <c r="A30" s="35"/>
      <c r="B30" s="653">
        <f>ALPHA!A27</f>
        <v>409</v>
      </c>
      <c r="C30" s="653" t="str">
        <f>ALPHA!B27</f>
        <v>PANCURONIUM INJ</v>
      </c>
      <c r="D30" s="654" t="str">
        <f>ALPHA!C27</f>
        <v>AMP</v>
      </c>
      <c r="E30" s="653">
        <v>200</v>
      </c>
      <c r="F30" s="38">
        <f>ALPHA!E27</f>
        <v>650</v>
      </c>
      <c r="G30" s="38">
        <f t="shared" si="0"/>
        <v>130000</v>
      </c>
      <c r="H30" s="38"/>
    </row>
    <row r="31" spans="1:8" s="42" customFormat="1" ht="18.75" x14ac:dyDescent="0.3">
      <c r="A31" s="35"/>
      <c r="B31" s="653">
        <f>ALPHA!A28</f>
        <v>323</v>
      </c>
      <c r="C31" s="653" t="str">
        <f>ALPHA!B28</f>
        <v>POTASSIUM CHLORIDE INJ</v>
      </c>
      <c r="D31" s="654" t="str">
        <f>ALPHA!C28</f>
        <v>AMP</v>
      </c>
      <c r="E31" s="653">
        <v>500</v>
      </c>
      <c r="F31" s="38">
        <f>ALPHA!E28</f>
        <v>560</v>
      </c>
      <c r="G31" s="38">
        <f t="shared" si="0"/>
        <v>280000</v>
      </c>
      <c r="H31" s="38"/>
    </row>
    <row r="32" spans="1:8" s="42" customFormat="1" ht="23.25" x14ac:dyDescent="0.35">
      <c r="A32" s="35"/>
      <c r="B32" s="653">
        <f>ALPHA!A29</f>
        <v>466</v>
      </c>
      <c r="C32" s="653" t="str">
        <f>ALPHA!B29</f>
        <v>SALBUTAMOL NEBULES 2.5MG</v>
      </c>
      <c r="D32" s="654">
        <f>ALPHA!C29</f>
        <v>20</v>
      </c>
      <c r="E32" s="653">
        <v>25</v>
      </c>
      <c r="F32" s="38">
        <f>ALPHA!E29</f>
        <v>2850</v>
      </c>
      <c r="G32" s="38">
        <f t="shared" si="0"/>
        <v>71250</v>
      </c>
      <c r="H32" s="79"/>
    </row>
    <row r="33" spans="1:8" s="42" customFormat="1" ht="18.75" x14ac:dyDescent="0.3">
      <c r="A33" s="35"/>
      <c r="B33" s="653">
        <f>ALPHA!A30</f>
        <v>467</v>
      </c>
      <c r="C33" s="653" t="str">
        <f>ALPHA!B30</f>
        <v>SALBUTAMOL NEBULES 5MG</v>
      </c>
      <c r="D33" s="654">
        <f>ALPHA!C30</f>
        <v>20</v>
      </c>
      <c r="E33" s="653">
        <v>10</v>
      </c>
      <c r="F33" s="38">
        <f>ALPHA!E30</f>
        <v>3850</v>
      </c>
      <c r="G33" s="38">
        <f t="shared" si="0"/>
        <v>38500</v>
      </c>
      <c r="H33" s="38"/>
    </row>
    <row r="34" spans="1:8" s="42" customFormat="1" ht="18.75" x14ac:dyDescent="0.3">
      <c r="A34" s="35"/>
      <c r="B34" s="653">
        <f>ALPHA!A31</f>
        <v>411</v>
      </c>
      <c r="C34" s="653" t="str">
        <f>ALPHA!B31</f>
        <v>SEVOFLUORANE</v>
      </c>
      <c r="D34" s="654" t="str">
        <f>ALPHA!C31</f>
        <v>250ML</v>
      </c>
      <c r="E34" s="653">
        <v>15</v>
      </c>
      <c r="F34" s="38">
        <f>ALPHA!E31</f>
        <v>60000</v>
      </c>
      <c r="G34" s="38">
        <f t="shared" si="0"/>
        <v>900000</v>
      </c>
      <c r="H34" s="38"/>
    </row>
    <row r="35" spans="1:8" s="42" customFormat="1" ht="18.75" x14ac:dyDescent="0.3">
      <c r="A35" s="35"/>
      <c r="B35" s="653">
        <f>ALPHA!A32</f>
        <v>189</v>
      </c>
      <c r="C35" s="653" t="str">
        <f>ALPHA!B32</f>
        <v>SULPHASALAZINE 500MG TAB</v>
      </c>
      <c r="D35" s="654">
        <f>ALPHA!C32</f>
        <v>100</v>
      </c>
      <c r="E35" s="653">
        <v>13</v>
      </c>
      <c r="F35" s="38">
        <f>ALPHA!E32</f>
        <v>8500</v>
      </c>
      <c r="G35" s="38">
        <f t="shared" si="0"/>
        <v>110500</v>
      </c>
      <c r="H35" s="35"/>
    </row>
    <row r="36" spans="1:8" s="42" customFormat="1" ht="23.25" x14ac:dyDescent="0.35">
      <c r="A36" s="35"/>
      <c r="B36" s="653">
        <f>ALPHA!A33</f>
        <v>413</v>
      </c>
      <c r="C36" s="653" t="str">
        <f>ALPHA!B33</f>
        <v>SUXAMETHONIUM INJ</v>
      </c>
      <c r="D36" s="654" t="str">
        <f>ALPHA!C33</f>
        <v>AMP</v>
      </c>
      <c r="E36" s="653">
        <v>75</v>
      </c>
      <c r="F36" s="38">
        <f>ALPHA!E33</f>
        <v>600</v>
      </c>
      <c r="G36" s="38">
        <f t="shared" si="0"/>
        <v>45000</v>
      </c>
      <c r="H36" s="186">
        <f>SUM(G9:G36)</f>
        <v>6923400</v>
      </c>
    </row>
    <row r="37" spans="1:8" s="42" customFormat="1" ht="18.75" x14ac:dyDescent="0.3">
      <c r="A37" s="35"/>
      <c r="B37" s="653"/>
      <c r="C37" s="653"/>
      <c r="D37" s="654"/>
      <c r="E37" s="653"/>
      <c r="F37" s="38"/>
      <c r="G37" s="38"/>
    </row>
    <row r="38" spans="1:8" s="42" customFormat="1" ht="23.25" x14ac:dyDescent="0.35">
      <c r="A38" s="35">
        <v>2</v>
      </c>
      <c r="B38" s="35"/>
      <c r="C38" s="77" t="str">
        <f>BIOFEM!B1</f>
        <v>BIOFEM PHARMACEUTICALS LIMITED</v>
      </c>
      <c r="D38" s="668"/>
      <c r="E38" s="35"/>
      <c r="F38" s="38"/>
      <c r="G38" s="38"/>
      <c r="H38" s="35"/>
    </row>
    <row r="39" spans="1:8" s="42" customFormat="1" ht="18.75" x14ac:dyDescent="0.3">
      <c r="A39" s="35"/>
      <c r="B39" s="653">
        <f>BIOFEM!A6</f>
        <v>416</v>
      </c>
      <c r="C39" s="653" t="str">
        <f>BIOFEM!B6</f>
        <v>ANTI D IMMUNOGLOBULIN</v>
      </c>
      <c r="D39" s="654" t="str">
        <f>BIOFEM!C6</f>
        <v>VIAL</v>
      </c>
      <c r="E39" s="653">
        <v>10</v>
      </c>
      <c r="F39" s="38">
        <f>BIOFEM!E6</f>
        <v>19500</v>
      </c>
      <c r="G39" s="38">
        <f t="shared" ref="G39:G42" si="1">E39*F39</f>
        <v>195000</v>
      </c>
      <c r="H39" s="35"/>
    </row>
    <row r="40" spans="1:8" s="42" customFormat="1" ht="18.75" x14ac:dyDescent="0.3">
      <c r="A40" s="35"/>
      <c r="B40" s="653">
        <f>BIOFEM!A7</f>
        <v>297</v>
      </c>
      <c r="C40" s="653" t="str">
        <f>BIOFEM!B7</f>
        <v>COD LIVER OIL (LIQUID)</v>
      </c>
      <c r="D40" s="654" t="str">
        <f>BIOFEM!C7</f>
        <v>BOTT</v>
      </c>
      <c r="E40" s="653">
        <v>25</v>
      </c>
      <c r="F40" s="38">
        <f>BIOFEM!E7</f>
        <v>1827</v>
      </c>
      <c r="G40" s="38">
        <f t="shared" si="1"/>
        <v>45675</v>
      </c>
      <c r="H40" s="35"/>
    </row>
    <row r="41" spans="1:8" s="42" customFormat="1" ht="18.75" x14ac:dyDescent="0.3">
      <c r="A41" s="35"/>
      <c r="B41" s="653">
        <f>BIOFEM!A8</f>
        <v>366</v>
      </c>
      <c r="C41" s="653" t="str">
        <f>BIOFEM!B8</f>
        <v>GABAPENTIN+METHYLCOBALAMIN (500MCG/300MG)</v>
      </c>
      <c r="D41" s="654">
        <f>BIOFEM!C8</f>
        <v>100</v>
      </c>
      <c r="E41" s="653">
        <v>125</v>
      </c>
      <c r="F41" s="38">
        <f>BIOFEM!E8</f>
        <v>6800</v>
      </c>
      <c r="G41" s="38">
        <f t="shared" si="1"/>
        <v>850000</v>
      </c>
      <c r="H41" s="35"/>
    </row>
    <row r="42" spans="1:8" s="42" customFormat="1" ht="23.25" x14ac:dyDescent="0.35">
      <c r="A42" s="35"/>
      <c r="B42" s="653">
        <f>BIOFEM!A9</f>
        <v>168</v>
      </c>
      <c r="C42" s="653" t="str">
        <f>BIOFEM!B9</f>
        <v>MELOXICAM 15MG TAB</v>
      </c>
      <c r="D42" s="654">
        <f>BIOFEM!C9</f>
        <v>10</v>
      </c>
      <c r="E42" s="653">
        <v>10</v>
      </c>
      <c r="F42" s="38">
        <f>BIOFEM!E9</f>
        <v>400</v>
      </c>
      <c r="G42" s="38">
        <f t="shared" si="1"/>
        <v>4000</v>
      </c>
      <c r="H42" s="186">
        <f>SUM(G39:G42)</f>
        <v>1094675</v>
      </c>
    </row>
    <row r="43" spans="1:8" s="42" customFormat="1" ht="18.75" x14ac:dyDescent="0.3">
      <c r="A43" s="35"/>
      <c r="B43" s="653"/>
      <c r="C43" s="35"/>
      <c r="D43" s="668"/>
      <c r="E43" s="35"/>
      <c r="F43" s="38"/>
      <c r="G43" s="38"/>
      <c r="H43" s="38"/>
    </row>
    <row r="44" spans="1:8" s="42" customFormat="1" ht="23.25" x14ac:dyDescent="0.35">
      <c r="A44" s="35">
        <v>3</v>
      </c>
      <c r="B44" s="35"/>
      <c r="C44" s="77" t="str">
        <f>BIOMED!B1</f>
        <v>BIOMEDICALS LIMITED</v>
      </c>
      <c r="D44" s="668"/>
      <c r="E44" s="35"/>
      <c r="F44" s="38"/>
      <c r="G44" s="38"/>
      <c r="H44" s="38"/>
    </row>
    <row r="45" spans="1:8" s="42" customFormat="1" ht="18.75" x14ac:dyDescent="0.3">
      <c r="A45" s="35"/>
      <c r="B45" s="653">
        <f>BIOMED!A6</f>
        <v>19</v>
      </c>
      <c r="C45" s="653" t="str">
        <f>BIOMED!B6</f>
        <v xml:space="preserve">0.9% NORMAL SALINE </v>
      </c>
      <c r="D45" s="654">
        <f>BIOMED!C6</f>
        <v>20</v>
      </c>
      <c r="E45" s="653">
        <v>150</v>
      </c>
      <c r="F45" s="38">
        <f>BIOMED!E6</f>
        <v>2350</v>
      </c>
      <c r="G45" s="38">
        <f t="shared" ref="G45:G53" si="2">E45*F45</f>
        <v>352500</v>
      </c>
      <c r="H45" s="38"/>
    </row>
    <row r="46" spans="1:8" s="42" customFormat="1" ht="18.75" x14ac:dyDescent="0.3">
      <c r="A46" s="35"/>
      <c r="B46" s="653">
        <f>BIOMED!A7</f>
        <v>23</v>
      </c>
      <c r="C46" s="653" t="str">
        <f>BIOMED!B7</f>
        <v>4.3% DEXTROSE IN 0.18% SALINE</v>
      </c>
      <c r="D46" s="654">
        <f>BIOMED!C7</f>
        <v>20</v>
      </c>
      <c r="E46" s="653">
        <v>15</v>
      </c>
      <c r="F46" s="38">
        <f>BIOMED!E7</f>
        <v>2450</v>
      </c>
      <c r="G46" s="38">
        <f t="shared" si="2"/>
        <v>36750</v>
      </c>
      <c r="H46" s="38"/>
    </row>
    <row r="47" spans="1:8" s="42" customFormat="1" ht="18.75" x14ac:dyDescent="0.3">
      <c r="A47" s="35"/>
      <c r="B47" s="653">
        <f>BIOMED!A8</f>
        <v>24</v>
      </c>
      <c r="C47" s="653" t="str">
        <f>BIOMED!B8</f>
        <v>5% DEXTROSE SALINE</v>
      </c>
      <c r="D47" s="654">
        <f>BIOMED!C8</f>
        <v>20</v>
      </c>
      <c r="E47" s="653">
        <v>80</v>
      </c>
      <c r="F47" s="38">
        <f>BIOMED!E8</f>
        <v>2450</v>
      </c>
      <c r="G47" s="38">
        <f t="shared" si="2"/>
        <v>196000</v>
      </c>
      <c r="H47" s="38"/>
    </row>
    <row r="48" spans="1:8" s="42" customFormat="1" ht="18.75" x14ac:dyDescent="0.3">
      <c r="A48" s="35"/>
      <c r="B48" s="653">
        <f>BIOMED!A9</f>
        <v>25</v>
      </c>
      <c r="C48" s="653" t="str">
        <f>BIOMED!B9</f>
        <v>5% DEXTROSE WATER</v>
      </c>
      <c r="D48" s="654">
        <f>BIOMED!C9</f>
        <v>20</v>
      </c>
      <c r="E48" s="653">
        <v>40</v>
      </c>
      <c r="F48" s="38">
        <f>BIOMED!E9</f>
        <v>2450</v>
      </c>
      <c r="G48" s="38">
        <f t="shared" si="2"/>
        <v>98000</v>
      </c>
      <c r="H48" s="38"/>
    </row>
    <row r="49" spans="1:8" s="42" customFormat="1" ht="18.75" x14ac:dyDescent="0.3">
      <c r="A49" s="35"/>
      <c r="B49" s="653">
        <f>BIOMED!A10</f>
        <v>26</v>
      </c>
      <c r="C49" s="653" t="str">
        <f>BIOMED!B10</f>
        <v>50% DEXTROSE WATER</v>
      </c>
      <c r="D49" s="654">
        <f>BIOMED!C10</f>
        <v>100</v>
      </c>
      <c r="E49" s="653">
        <v>2</v>
      </c>
      <c r="F49" s="38">
        <f>BIOMED!E10</f>
        <v>9195</v>
      </c>
      <c r="G49" s="38">
        <f t="shared" si="2"/>
        <v>18390</v>
      </c>
      <c r="H49" s="38"/>
    </row>
    <row r="50" spans="1:8" s="42" customFormat="1" ht="18.75" x14ac:dyDescent="0.3">
      <c r="A50" s="35"/>
      <c r="B50" s="653">
        <f>BIOMED!A11</f>
        <v>29</v>
      </c>
      <c r="C50" s="653" t="str">
        <f>BIOMED!B11</f>
        <v>FULL STRENGTH DARROWS SOLUTION</v>
      </c>
      <c r="D50" s="654">
        <f>BIOMED!C11</f>
        <v>20</v>
      </c>
      <c r="E50" s="653">
        <v>1</v>
      </c>
      <c r="F50" s="38">
        <f>BIOMED!E11</f>
        <v>2450</v>
      </c>
      <c r="G50" s="38">
        <f t="shared" si="2"/>
        <v>2450</v>
      </c>
      <c r="H50" s="38"/>
    </row>
    <row r="51" spans="1:8" s="42" customFormat="1" ht="18.75" x14ac:dyDescent="0.3">
      <c r="A51" s="35"/>
      <c r="B51" s="653">
        <f>BIOMED!A12</f>
        <v>30</v>
      </c>
      <c r="C51" s="653" t="str">
        <f>BIOMED!B12</f>
        <v>HALF STRENGTH DARROWS SOLUTION</v>
      </c>
      <c r="D51" s="654">
        <f>BIOMED!C12</f>
        <v>20</v>
      </c>
      <c r="E51" s="653">
        <v>1</v>
      </c>
      <c r="F51" s="38">
        <f>BIOMED!E12</f>
        <v>2450</v>
      </c>
      <c r="G51" s="38">
        <f t="shared" si="2"/>
        <v>2450</v>
      </c>
      <c r="H51" s="38"/>
    </row>
    <row r="52" spans="1:8" s="42" customFormat="1" ht="18.75" x14ac:dyDescent="0.3">
      <c r="A52" s="35"/>
      <c r="B52" s="653">
        <f>BIOMED!A13</f>
        <v>31</v>
      </c>
      <c r="C52" s="653" t="str">
        <f>BIOMED!B13</f>
        <v>HARTMANNS (RINGERS LACTATE SOLUTION)</v>
      </c>
      <c r="D52" s="654">
        <f>BIOMED!C13</f>
        <v>20</v>
      </c>
      <c r="E52" s="653">
        <v>25</v>
      </c>
      <c r="F52" s="38">
        <f>BIOMED!E13</f>
        <v>2450</v>
      </c>
      <c r="G52" s="38">
        <f t="shared" si="2"/>
        <v>61250</v>
      </c>
      <c r="H52" s="38"/>
    </row>
    <row r="53" spans="1:8" s="42" customFormat="1" ht="23.25" x14ac:dyDescent="0.35">
      <c r="A53" s="35"/>
      <c r="B53" s="653">
        <f>BIOMED!A14</f>
        <v>32</v>
      </c>
      <c r="C53" s="653" t="str">
        <f>BIOMED!B14</f>
        <v>ISOPLASMA INFUSION (SUCCINYLATED GELATIN)</v>
      </c>
      <c r="D53" s="654">
        <f>BIOMED!C14</f>
        <v>20</v>
      </c>
      <c r="E53" s="653">
        <v>2</v>
      </c>
      <c r="F53" s="38">
        <f>BIOMED!E14</f>
        <v>9500</v>
      </c>
      <c r="G53" s="38">
        <f t="shared" si="2"/>
        <v>19000</v>
      </c>
      <c r="H53" s="186">
        <f>SUM(G45:G53)</f>
        <v>786790</v>
      </c>
    </row>
    <row r="54" spans="1:8" s="42" customFormat="1" ht="18.75" x14ac:dyDescent="0.3">
      <c r="A54" s="35"/>
      <c r="B54" s="653"/>
      <c r="C54" s="653"/>
      <c r="D54" s="654"/>
      <c r="E54" s="653"/>
      <c r="F54" s="38"/>
      <c r="G54" s="38"/>
      <c r="H54" s="35"/>
    </row>
    <row r="55" spans="1:8" s="42" customFormat="1" ht="23.25" x14ac:dyDescent="0.35">
      <c r="A55" s="35">
        <v>4</v>
      </c>
      <c r="B55" s="35"/>
      <c r="C55" s="77" t="str">
        <f>CHI!B1</f>
        <v>CHI PHARMACEUTICALS</v>
      </c>
      <c r="D55" s="184"/>
      <c r="E55" s="77"/>
      <c r="F55" s="79"/>
      <c r="G55" s="79"/>
      <c r="H55" s="79"/>
    </row>
    <row r="56" spans="1:8" s="42" customFormat="1" ht="18.75" x14ac:dyDescent="0.3">
      <c r="A56" s="35"/>
      <c r="B56" s="653">
        <f>CHI!A6</f>
        <v>37</v>
      </c>
      <c r="C56" s="653" t="str">
        <f>CHI!B6</f>
        <v>AMLODIPINE 10MG TAB</v>
      </c>
      <c r="D56" s="654">
        <f>CHI!C6</f>
        <v>28</v>
      </c>
      <c r="E56" s="653">
        <v>1500</v>
      </c>
      <c r="F56" s="38">
        <f>CHI!E6</f>
        <v>300</v>
      </c>
      <c r="G56" s="38">
        <f t="shared" ref="G56:G79" si="3">E56*F56</f>
        <v>450000</v>
      </c>
      <c r="H56" s="38"/>
    </row>
    <row r="57" spans="1:8" s="42" customFormat="1" ht="18.75" x14ac:dyDescent="0.3">
      <c r="A57" s="35"/>
      <c r="B57" s="653">
        <f>CHI!A7</f>
        <v>39</v>
      </c>
      <c r="C57" s="653" t="str">
        <f>CHI!B7</f>
        <v>AMLODIPINE 5MG TAB</v>
      </c>
      <c r="D57" s="654">
        <f>CHI!C7</f>
        <v>28</v>
      </c>
      <c r="E57" s="653">
        <v>1250</v>
      </c>
      <c r="F57" s="38">
        <f>CHI!E7</f>
        <v>200</v>
      </c>
      <c r="G57" s="38">
        <f t="shared" si="3"/>
        <v>250000</v>
      </c>
      <c r="H57" s="38"/>
    </row>
    <row r="58" spans="1:8" s="42" customFormat="1" ht="18.75" x14ac:dyDescent="0.3">
      <c r="A58" s="35"/>
      <c r="B58" s="653">
        <f>CHI!A8</f>
        <v>204</v>
      </c>
      <c r="C58" s="653" t="str">
        <f>CHI!B8</f>
        <v>AMOXICILLIN/CLAVULANIC ACID 1.2G INJ</v>
      </c>
      <c r="D58" s="654" t="str">
        <f>CHI!C8</f>
        <v>VIAL</v>
      </c>
      <c r="E58" s="653">
        <v>2400</v>
      </c>
      <c r="F58" s="38">
        <f>CHI!E8</f>
        <v>540</v>
      </c>
      <c r="G58" s="38">
        <f t="shared" si="3"/>
        <v>1296000</v>
      </c>
      <c r="H58" s="38"/>
    </row>
    <row r="59" spans="1:8" s="42" customFormat="1" ht="18.75" x14ac:dyDescent="0.3">
      <c r="A59" s="35"/>
      <c r="B59" s="653">
        <f>CHI!A9</f>
        <v>205</v>
      </c>
      <c r="C59" s="653" t="str">
        <f>CHI!B9</f>
        <v>AMOXICILLIN/CLAVULANIC ACID 1G TAB</v>
      </c>
      <c r="D59" s="654">
        <f>CHI!C9</f>
        <v>14</v>
      </c>
      <c r="E59" s="653">
        <v>1200</v>
      </c>
      <c r="F59" s="38">
        <f>CHI!E9</f>
        <v>1200</v>
      </c>
      <c r="G59" s="38">
        <f t="shared" si="3"/>
        <v>1440000</v>
      </c>
      <c r="H59" s="38"/>
    </row>
    <row r="60" spans="1:8" s="42" customFormat="1" ht="18.75" x14ac:dyDescent="0.3">
      <c r="A60" s="35"/>
      <c r="B60" s="653">
        <f>CHI!A10</f>
        <v>203</v>
      </c>
      <c r="C60" s="653" t="str">
        <f>CHI!B10</f>
        <v>AMOXICILLIN/CLAVULANIC ACID 457MG/5ML</v>
      </c>
      <c r="D60" s="654" t="str">
        <f>CHI!C10</f>
        <v>BOTT</v>
      </c>
      <c r="E60" s="653">
        <v>50</v>
      </c>
      <c r="F60" s="38">
        <f>CHI!E10</f>
        <v>980</v>
      </c>
      <c r="G60" s="38">
        <f t="shared" si="3"/>
        <v>49000</v>
      </c>
      <c r="H60" s="38"/>
    </row>
    <row r="61" spans="1:8" s="42" customFormat="1" ht="18.75" x14ac:dyDescent="0.3">
      <c r="A61" s="35"/>
      <c r="B61" s="653">
        <f>CHI!A11</f>
        <v>207</v>
      </c>
      <c r="C61" s="653" t="str">
        <f>CHI!B11</f>
        <v>AMOXICILLIN/CLAVULANIC ACID 600MG INJ</v>
      </c>
      <c r="D61" s="654" t="str">
        <f>CHI!C11</f>
        <v>VIAL</v>
      </c>
      <c r="E61" s="653">
        <v>25</v>
      </c>
      <c r="F61" s="38">
        <f>CHI!E11</f>
        <v>270</v>
      </c>
      <c r="G61" s="38">
        <f t="shared" si="3"/>
        <v>6750</v>
      </c>
      <c r="H61" s="38"/>
    </row>
    <row r="62" spans="1:8" s="42" customFormat="1" ht="23.25" x14ac:dyDescent="0.35">
      <c r="A62" s="35"/>
      <c r="B62" s="653">
        <f>CHI!A12</f>
        <v>226</v>
      </c>
      <c r="C62" s="653" t="str">
        <f>CHI!B12</f>
        <v>CEFPODOXIME SUSPENSION  (100ML)</v>
      </c>
      <c r="D62" s="654" t="str">
        <f>CHI!C12</f>
        <v>BOTT</v>
      </c>
      <c r="E62" s="653">
        <v>50</v>
      </c>
      <c r="F62" s="38">
        <f>CHI!E12</f>
        <v>2200</v>
      </c>
      <c r="G62" s="38">
        <f t="shared" si="3"/>
        <v>110000</v>
      </c>
      <c r="H62" s="186"/>
    </row>
    <row r="63" spans="1:8" s="42" customFormat="1" ht="18.75" x14ac:dyDescent="0.3">
      <c r="A63" s="35"/>
      <c r="B63" s="653">
        <f>CHI!A13</f>
        <v>232</v>
      </c>
      <c r="C63" s="653" t="str">
        <f>CHI!B13</f>
        <v>CEFUROXIME 750MG INJ</v>
      </c>
      <c r="D63" s="654" t="str">
        <f>CHI!C13</f>
        <v>VIAL</v>
      </c>
      <c r="E63" s="653">
        <v>1000</v>
      </c>
      <c r="F63" s="38">
        <f>CHI!E13</f>
        <v>366</v>
      </c>
      <c r="G63" s="38">
        <f t="shared" si="3"/>
        <v>366000</v>
      </c>
      <c r="H63" s="35"/>
    </row>
    <row r="64" spans="1:8" s="42" customFormat="1" ht="18.75" x14ac:dyDescent="0.3">
      <c r="A64" s="35"/>
      <c r="B64" s="653">
        <f>CHI!A14</f>
        <v>427</v>
      </c>
      <c r="C64" s="653" t="str">
        <f>CHI!B14</f>
        <v>DIOSMINE 500MG TAB</v>
      </c>
      <c r="D64" s="654">
        <f>CHI!C14</f>
        <v>30</v>
      </c>
      <c r="E64" s="653">
        <v>5</v>
      </c>
      <c r="F64" s="38">
        <f>CHI!E14</f>
        <v>2990</v>
      </c>
      <c r="G64" s="38">
        <f t="shared" si="3"/>
        <v>14950</v>
      </c>
      <c r="H64" s="35"/>
    </row>
    <row r="65" spans="1:8" s="42" customFormat="1" ht="23.25" x14ac:dyDescent="0.35">
      <c r="A65" s="35"/>
      <c r="B65" s="653">
        <f>CHI!A15</f>
        <v>66</v>
      </c>
      <c r="C65" s="653" t="str">
        <f>CHI!B15</f>
        <v>INDAPAMIDE 1.5MG</v>
      </c>
      <c r="D65" s="654">
        <f>CHI!C15</f>
        <v>30</v>
      </c>
      <c r="E65" s="653">
        <v>750</v>
      </c>
      <c r="F65" s="38">
        <f>CHI!E15</f>
        <v>2530</v>
      </c>
      <c r="G65" s="38">
        <f t="shared" si="3"/>
        <v>1897500</v>
      </c>
      <c r="H65" s="79"/>
    </row>
    <row r="66" spans="1:8" s="42" customFormat="1" ht="18.75" x14ac:dyDescent="0.3">
      <c r="A66" s="35"/>
      <c r="B66" s="653">
        <f>CHI!A16</f>
        <v>67</v>
      </c>
      <c r="C66" s="653" t="str">
        <f>CHI!B16</f>
        <v>INDAPAMIDE/AMLODIPINE 1.5/10MG</v>
      </c>
      <c r="D66" s="654">
        <f>CHI!C16</f>
        <v>30</v>
      </c>
      <c r="E66" s="653">
        <v>1300</v>
      </c>
      <c r="F66" s="38">
        <f>CHI!E16</f>
        <v>3335</v>
      </c>
      <c r="G66" s="38">
        <f t="shared" si="3"/>
        <v>4335500</v>
      </c>
      <c r="H66" s="38"/>
    </row>
    <row r="67" spans="1:8" s="42" customFormat="1" ht="18.75" x14ac:dyDescent="0.3">
      <c r="A67" s="35"/>
      <c r="B67" s="653">
        <f>CHI!A17</f>
        <v>68</v>
      </c>
      <c r="C67" s="653" t="str">
        <f>CHI!B17</f>
        <v>INDAPAMIDE/AMLODIPINE 1.5/5MG</v>
      </c>
      <c r="D67" s="654">
        <f>CHI!C17</f>
        <v>30</v>
      </c>
      <c r="E67" s="653">
        <v>1000</v>
      </c>
      <c r="F67" s="38">
        <f>CHI!E17</f>
        <v>3335</v>
      </c>
      <c r="G67" s="38">
        <f t="shared" si="3"/>
        <v>3335000</v>
      </c>
      <c r="H67" s="38"/>
    </row>
    <row r="68" spans="1:8" s="42" customFormat="1" ht="18.75" x14ac:dyDescent="0.3">
      <c r="A68" s="35"/>
      <c r="B68" s="653">
        <f>CHI!A18</f>
        <v>129</v>
      </c>
      <c r="C68" s="653" t="str">
        <f>CHI!B18</f>
        <v>INSULIN GLARGIN</v>
      </c>
      <c r="D68" s="654">
        <f>CHI!C18</f>
        <v>5</v>
      </c>
      <c r="E68" s="653">
        <v>6</v>
      </c>
      <c r="F68" s="38">
        <f>CHI!E18</f>
        <v>14600</v>
      </c>
      <c r="G68" s="38">
        <f t="shared" si="3"/>
        <v>87600</v>
      </c>
      <c r="H68" s="38"/>
    </row>
    <row r="69" spans="1:8" s="42" customFormat="1" ht="18.75" x14ac:dyDescent="0.3">
      <c r="A69" s="35"/>
      <c r="B69" s="653">
        <f>CHI!A19</f>
        <v>69</v>
      </c>
      <c r="C69" s="653" t="str">
        <f>CHI!B19</f>
        <v>IRBESARTAN 150MG TAB</v>
      </c>
      <c r="D69" s="654">
        <f>CHI!C19</f>
        <v>30</v>
      </c>
      <c r="E69" s="653">
        <v>13</v>
      </c>
      <c r="F69" s="38">
        <f>CHI!E19</f>
        <v>3000</v>
      </c>
      <c r="G69" s="38">
        <f t="shared" si="3"/>
        <v>39000</v>
      </c>
      <c r="H69" s="38"/>
    </row>
    <row r="70" spans="1:8" s="42" customFormat="1" ht="18.75" x14ac:dyDescent="0.3">
      <c r="A70" s="35"/>
      <c r="B70" s="653">
        <f>CHI!A20</f>
        <v>70</v>
      </c>
      <c r="C70" s="653" t="str">
        <f>CHI!B20</f>
        <v>IRBESARTAN 300MG TAB</v>
      </c>
      <c r="D70" s="654">
        <f>CHI!C20</f>
        <v>30</v>
      </c>
      <c r="E70" s="653">
        <v>13</v>
      </c>
      <c r="F70" s="38">
        <f>CHI!E20</f>
        <v>3850</v>
      </c>
      <c r="G70" s="38">
        <f t="shared" si="3"/>
        <v>50050</v>
      </c>
      <c r="H70" s="38"/>
    </row>
    <row r="71" spans="1:8" s="42" customFormat="1" ht="18.75" x14ac:dyDescent="0.3">
      <c r="A71" s="35"/>
      <c r="B71" s="653">
        <f>CHI!A21</f>
        <v>71</v>
      </c>
      <c r="C71" s="653" t="str">
        <f>CHI!B21</f>
        <v>IRBESARTAN 300MG/HCT 12.5MG</v>
      </c>
      <c r="D71" s="654">
        <f>CHI!C21</f>
        <v>30</v>
      </c>
      <c r="E71" s="653">
        <v>5</v>
      </c>
      <c r="F71" s="38">
        <f>CHI!E21</f>
        <v>4054</v>
      </c>
      <c r="G71" s="38">
        <f t="shared" si="3"/>
        <v>20270</v>
      </c>
      <c r="H71" s="38"/>
    </row>
    <row r="72" spans="1:8" s="42" customFormat="1" ht="23.25" x14ac:dyDescent="0.35">
      <c r="A72" s="35"/>
      <c r="B72" s="653">
        <f>CHI!A22</f>
        <v>261</v>
      </c>
      <c r="C72" s="653" t="str">
        <f>CHI!B22</f>
        <v>LEVOFLOXACIN 500MG TAB</v>
      </c>
      <c r="D72" s="654">
        <f>CHI!C22</f>
        <v>10</v>
      </c>
      <c r="E72" s="653">
        <v>18</v>
      </c>
      <c r="F72" s="38">
        <f>CHI!E22</f>
        <v>3500</v>
      </c>
      <c r="G72" s="38">
        <f t="shared" si="3"/>
        <v>63000</v>
      </c>
      <c r="H72" s="186"/>
    </row>
    <row r="73" spans="1:8" s="42" customFormat="1" ht="18.75" x14ac:dyDescent="0.3">
      <c r="A73" s="35"/>
      <c r="B73" s="653">
        <f>CHI!A23</f>
        <v>262</v>
      </c>
      <c r="C73" s="653" t="str">
        <f>CHI!B23</f>
        <v>LEVOFLOXACIN IV</v>
      </c>
      <c r="D73" s="654" t="str">
        <f>CHI!C23</f>
        <v>BOTT</v>
      </c>
      <c r="E73" s="653">
        <v>25</v>
      </c>
      <c r="F73" s="38">
        <f>CHI!E23</f>
        <v>2974</v>
      </c>
      <c r="G73" s="38">
        <f t="shared" si="3"/>
        <v>74350</v>
      </c>
      <c r="H73" s="35"/>
    </row>
    <row r="74" spans="1:8" s="42" customFormat="1" ht="23.25" x14ac:dyDescent="0.35">
      <c r="A74" s="35"/>
      <c r="B74" s="653">
        <f>CHI!A24</f>
        <v>89</v>
      </c>
      <c r="C74" s="653" t="str">
        <f>CHI!B24</f>
        <v>PERINDOPRIL 10MG TAB</v>
      </c>
      <c r="D74" s="654">
        <f>CHI!C24</f>
        <v>30</v>
      </c>
      <c r="E74" s="653">
        <v>3</v>
      </c>
      <c r="F74" s="38">
        <f>CHI!E24</f>
        <v>6658</v>
      </c>
      <c r="G74" s="38">
        <f t="shared" si="3"/>
        <v>19974</v>
      </c>
      <c r="H74" s="79"/>
    </row>
    <row r="75" spans="1:8" s="42" customFormat="1" ht="18.75" x14ac:dyDescent="0.3">
      <c r="A75" s="35"/>
      <c r="B75" s="653">
        <f>CHI!A25</f>
        <v>90</v>
      </c>
      <c r="C75" s="653" t="str">
        <f>CHI!B25</f>
        <v>PERINDOPRIL 5MG TAB</v>
      </c>
      <c r="D75" s="654">
        <f>CHI!C25</f>
        <v>30</v>
      </c>
      <c r="E75" s="653">
        <v>3</v>
      </c>
      <c r="F75" s="38">
        <f>CHI!E25</f>
        <v>4991</v>
      </c>
      <c r="G75" s="38">
        <f t="shared" si="3"/>
        <v>14973</v>
      </c>
      <c r="H75" s="38"/>
    </row>
    <row r="76" spans="1:8" s="42" customFormat="1" ht="18.75" x14ac:dyDescent="0.3">
      <c r="A76" s="35"/>
      <c r="B76" s="653">
        <f>CHI!A26</f>
        <v>91</v>
      </c>
      <c r="C76" s="653" t="str">
        <f>CHI!B26</f>
        <v>PERINDOPRIL/AMLODIPINE 10/5MG</v>
      </c>
      <c r="D76" s="654">
        <f>CHI!C26</f>
        <v>30</v>
      </c>
      <c r="E76" s="653">
        <v>3</v>
      </c>
      <c r="F76" s="38">
        <f>CHI!E26</f>
        <v>6900</v>
      </c>
      <c r="G76" s="38">
        <f t="shared" si="3"/>
        <v>20700</v>
      </c>
      <c r="H76" s="38"/>
    </row>
    <row r="77" spans="1:8" s="42" customFormat="1" ht="18.75" x14ac:dyDescent="0.3">
      <c r="A77" s="35"/>
      <c r="B77" s="653">
        <f>CHI!A27</f>
        <v>92</v>
      </c>
      <c r="C77" s="653" t="str">
        <f>CHI!B27</f>
        <v>PERINDOPRIL/AMLODIPINE 5/5MG</v>
      </c>
      <c r="D77" s="654">
        <f>CHI!C27</f>
        <v>30</v>
      </c>
      <c r="E77" s="653">
        <v>3</v>
      </c>
      <c r="F77" s="38">
        <f>CHI!E27</f>
        <v>6900</v>
      </c>
      <c r="G77" s="38">
        <f t="shared" si="3"/>
        <v>20700</v>
      </c>
      <c r="H77" s="38"/>
    </row>
    <row r="78" spans="1:8" s="42" customFormat="1" ht="18.75" x14ac:dyDescent="0.3">
      <c r="A78" s="35"/>
      <c r="B78" s="653">
        <f>CHI!A28</f>
        <v>93</v>
      </c>
      <c r="C78" s="653" t="str">
        <f>CHI!B28</f>
        <v>PERINDOPRIL/AMLODIPINE/INDAPAMIDE 10/10/2.5MG</v>
      </c>
      <c r="D78" s="654">
        <f>CHI!C28</f>
        <v>30</v>
      </c>
      <c r="E78" s="653">
        <v>3</v>
      </c>
      <c r="F78" s="38">
        <f>CHI!E28</f>
        <v>7475</v>
      </c>
      <c r="G78" s="38">
        <f t="shared" si="3"/>
        <v>22425</v>
      </c>
      <c r="H78" s="38"/>
    </row>
    <row r="79" spans="1:8" s="42" customFormat="1" ht="23.25" x14ac:dyDescent="0.35">
      <c r="A79" s="35"/>
      <c r="B79" s="653">
        <f>CHI!A29</f>
        <v>94</v>
      </c>
      <c r="C79" s="653" t="str">
        <f>CHI!B29</f>
        <v>PERINDOPRIL/AMLODIPINE/INDAPAMIDE 10/5/2.5MG</v>
      </c>
      <c r="D79" s="654">
        <f>CHI!C29</f>
        <v>30</v>
      </c>
      <c r="E79" s="653">
        <v>3</v>
      </c>
      <c r="F79" s="38">
        <f>CHI!E29</f>
        <v>7475</v>
      </c>
      <c r="G79" s="38">
        <f t="shared" si="3"/>
        <v>22425</v>
      </c>
      <c r="H79" s="186">
        <f>SUM(G56:G79)</f>
        <v>14006167</v>
      </c>
    </row>
    <row r="80" spans="1:8" s="42" customFormat="1" ht="23.25" x14ac:dyDescent="0.35">
      <c r="A80" s="35"/>
      <c r="B80" s="653"/>
      <c r="C80" s="653"/>
      <c r="D80" s="654"/>
      <c r="E80" s="653"/>
      <c r="F80" s="38"/>
      <c r="G80" s="38"/>
      <c r="H80" s="79"/>
    </row>
    <row r="81" spans="1:8" s="42" customFormat="1" ht="23.25" x14ac:dyDescent="0.35">
      <c r="A81" s="35">
        <v>5</v>
      </c>
      <c r="B81" s="653"/>
      <c r="C81" s="656" t="str">
        <f>CLARION!B1</f>
        <v>CLARION MEDICALS LIMITED</v>
      </c>
      <c r="D81" s="654"/>
      <c r="E81" s="653"/>
      <c r="F81" s="38"/>
      <c r="G81" s="38"/>
      <c r="H81" s="35"/>
    </row>
    <row r="82" spans="1:8" ht="23.25" x14ac:dyDescent="0.35">
      <c r="A82" s="35"/>
      <c r="B82" s="653">
        <f>CLARION!A7</f>
        <v>200</v>
      </c>
      <c r="C82" s="653" t="str">
        <f>CLARION!B7</f>
        <v>AMOXICILLIN 500MG CAP</v>
      </c>
      <c r="D82" s="654">
        <f>CLARION!C7</f>
        <v>100</v>
      </c>
      <c r="E82" s="653">
        <v>280</v>
      </c>
      <c r="F82" s="38">
        <f>CLARION!E7</f>
        <v>850</v>
      </c>
      <c r="G82" s="38">
        <f t="shared" ref="G82:G91" si="4">E82*F82</f>
        <v>238000</v>
      </c>
      <c r="H82" s="79"/>
    </row>
    <row r="83" spans="1:8" x14ac:dyDescent="0.35">
      <c r="A83" s="35"/>
      <c r="B83" s="653">
        <f>CLARION!A8</f>
        <v>201</v>
      </c>
      <c r="C83" s="653" t="str">
        <f>CLARION!B8</f>
        <v>AMOXICILLIN 500MG INJ</v>
      </c>
      <c r="D83" s="654" t="str">
        <f>CLARION!C8</f>
        <v>VIAL</v>
      </c>
      <c r="E83" s="653">
        <v>125</v>
      </c>
      <c r="F83" s="38">
        <f>CLARION!E8</f>
        <v>180</v>
      </c>
      <c r="G83" s="38">
        <f t="shared" si="4"/>
        <v>22500</v>
      </c>
      <c r="H83" s="76"/>
    </row>
    <row r="84" spans="1:8" x14ac:dyDescent="0.35">
      <c r="A84" s="35"/>
      <c r="B84" s="653">
        <f>CLARION!A9</f>
        <v>202</v>
      </c>
      <c r="C84" s="653" t="str">
        <f>CLARION!B9</f>
        <v>AMOXICILLIN/CLAVULANIC ACID  228MG/5ML</v>
      </c>
      <c r="D84" s="654" t="str">
        <f>CLARION!C9</f>
        <v>BOTT</v>
      </c>
      <c r="E84" s="653">
        <v>100</v>
      </c>
      <c r="F84" s="38">
        <f>CLARION!E9</f>
        <v>450</v>
      </c>
      <c r="G84" s="38">
        <f t="shared" si="4"/>
        <v>45000</v>
      </c>
      <c r="H84" s="76"/>
    </row>
    <row r="85" spans="1:8" x14ac:dyDescent="0.35">
      <c r="A85" s="35"/>
      <c r="B85" s="653">
        <f>CLARION!A10</f>
        <v>205</v>
      </c>
      <c r="C85" s="653" t="str">
        <f>CLARION!B10</f>
        <v>AMOXICILLIN/CLAVULANIC ACID 1G TAB</v>
      </c>
      <c r="D85" s="654">
        <f>CLARION!C10</f>
        <v>14</v>
      </c>
      <c r="E85" s="653">
        <v>300</v>
      </c>
      <c r="F85" s="38">
        <f>CLARION!E10</f>
        <v>800</v>
      </c>
      <c r="G85" s="38">
        <f t="shared" si="4"/>
        <v>240000</v>
      </c>
      <c r="H85" s="76"/>
    </row>
    <row r="86" spans="1:8" x14ac:dyDescent="0.35">
      <c r="A86" s="35"/>
      <c r="B86" s="653">
        <f>CLARION!A11</f>
        <v>208</v>
      </c>
      <c r="C86" s="653" t="str">
        <f>CLARION!B11</f>
        <v>AMOXICILLIN/CLAVULANIC ACID 625MG TAB</v>
      </c>
      <c r="D86" s="654">
        <f>CLARION!C11</f>
        <v>15</v>
      </c>
      <c r="E86" s="653">
        <v>200</v>
      </c>
      <c r="F86" s="38">
        <f>CLARION!E11</f>
        <v>700</v>
      </c>
      <c r="G86" s="38">
        <f t="shared" si="4"/>
        <v>140000</v>
      </c>
      <c r="H86" s="76"/>
    </row>
    <row r="87" spans="1:8" x14ac:dyDescent="0.35">
      <c r="A87" s="35"/>
      <c r="B87" s="653">
        <f>CLARION!A12</f>
        <v>3</v>
      </c>
      <c r="C87" s="653" t="str">
        <f>CLARION!B12</f>
        <v>ARTEMETHER/LUMEFANTRINE (20/120) SYR</v>
      </c>
      <c r="D87" s="654" t="str">
        <f>CLARION!C12</f>
        <v>BOTT</v>
      </c>
      <c r="E87" s="653">
        <v>50</v>
      </c>
      <c r="F87" s="38">
        <f>CLARION!E12</f>
        <v>260</v>
      </c>
      <c r="G87" s="38">
        <f t="shared" si="4"/>
        <v>13000</v>
      </c>
      <c r="H87" s="76"/>
    </row>
    <row r="88" spans="1:8" x14ac:dyDescent="0.35">
      <c r="A88" s="35"/>
      <c r="B88" s="653">
        <f>CLARION!A13</f>
        <v>8</v>
      </c>
      <c r="C88" s="653" t="str">
        <f>CLARION!B13</f>
        <v>ARTEMETHER/LUMEFANTRINE (80/480) TAB</v>
      </c>
      <c r="D88" s="654">
        <f>CLARION!C13</f>
        <v>6</v>
      </c>
      <c r="E88" s="653">
        <v>500</v>
      </c>
      <c r="F88" s="38">
        <f>CLARION!E13</f>
        <v>260</v>
      </c>
      <c r="G88" s="38">
        <f t="shared" si="4"/>
        <v>130000</v>
      </c>
      <c r="H88" s="76"/>
    </row>
    <row r="89" spans="1:8" x14ac:dyDescent="0.35">
      <c r="A89" s="35"/>
      <c r="B89" s="653">
        <f>CLARION!A14</f>
        <v>181</v>
      </c>
      <c r="C89" s="653" t="str">
        <f>CLARION!B14</f>
        <v>PARACETAMOL 500MG TAB</v>
      </c>
      <c r="D89" s="654">
        <f>CLARION!C14</f>
        <v>96</v>
      </c>
      <c r="E89" s="653">
        <v>450</v>
      </c>
      <c r="F89" s="38">
        <f>CLARION!E14</f>
        <v>180</v>
      </c>
      <c r="G89" s="38">
        <f t="shared" si="4"/>
        <v>81000</v>
      </c>
      <c r="H89" s="76"/>
    </row>
    <row r="90" spans="1:8" ht="23.25" x14ac:dyDescent="0.35">
      <c r="A90" s="35"/>
      <c r="B90" s="653">
        <f>CLARION!A15</f>
        <v>110</v>
      </c>
      <c r="C90" s="653" t="str">
        <f>CLARION!B15</f>
        <v>TELMISARTAN/HYDROCHLOROTHIAZIDE 80/12.5 TAB</v>
      </c>
      <c r="D90" s="654">
        <f>CLARION!C15</f>
        <v>30</v>
      </c>
      <c r="E90" s="653">
        <v>3</v>
      </c>
      <c r="F90" s="38">
        <f>CLARION!E15</f>
        <v>2000</v>
      </c>
      <c r="G90" s="38">
        <f t="shared" si="4"/>
        <v>6000</v>
      </c>
      <c r="H90" s="186"/>
    </row>
    <row r="91" spans="1:8" ht="23.25" x14ac:dyDescent="0.35">
      <c r="A91" s="35"/>
      <c r="B91" s="653">
        <f>CLARION!A16</f>
        <v>217</v>
      </c>
      <c r="C91" s="653" t="str">
        <f>CLARION!B16</f>
        <v>VAZEL KIT</v>
      </c>
      <c r="D91" s="654">
        <f>CLARION!C16</f>
        <v>3</v>
      </c>
      <c r="E91" s="653">
        <v>13</v>
      </c>
      <c r="F91" s="38">
        <f>CLARION!E16</f>
        <v>650</v>
      </c>
      <c r="G91" s="38">
        <f t="shared" si="4"/>
        <v>8450</v>
      </c>
      <c r="H91" s="186">
        <f>SUM(G82:G91)</f>
        <v>923950</v>
      </c>
    </row>
    <row r="92" spans="1:8" s="42" customFormat="1" ht="23.25" x14ac:dyDescent="0.35">
      <c r="A92" s="35"/>
      <c r="B92" s="653"/>
      <c r="C92" s="653"/>
      <c r="D92" s="654"/>
      <c r="E92" s="653"/>
      <c r="F92" s="38"/>
      <c r="G92" s="38"/>
      <c r="H92" s="79"/>
    </row>
    <row r="93" spans="1:8" s="42" customFormat="1" ht="23.25" x14ac:dyDescent="0.35">
      <c r="A93" s="35">
        <v>6</v>
      </c>
      <c r="B93" s="653"/>
      <c r="C93" s="656" t="str">
        <f>CODIX!B1</f>
        <v>CODIX PHARMACEUTICALS LIMITED</v>
      </c>
      <c r="D93" s="654"/>
      <c r="E93" s="653"/>
      <c r="F93" s="38"/>
      <c r="G93" s="38"/>
      <c r="H93" s="79"/>
    </row>
    <row r="94" spans="1:8" s="42" customFormat="1" ht="18.75" x14ac:dyDescent="0.3">
      <c r="A94" s="35"/>
      <c r="B94" s="653">
        <f>CODIX!A6</f>
        <v>39</v>
      </c>
      <c r="C94" s="653" t="str">
        <f>CODIX!B6</f>
        <v>AMLODIPINE 5MG TAB</v>
      </c>
      <c r="D94" s="654">
        <f>CODIX!C6</f>
        <v>28</v>
      </c>
      <c r="E94" s="653">
        <v>625</v>
      </c>
      <c r="F94" s="38">
        <f>CODIX!E6</f>
        <v>180</v>
      </c>
      <c r="G94" s="38">
        <f t="shared" ref="G94:G98" si="5">E94*F94</f>
        <v>112500</v>
      </c>
      <c r="H94" s="38"/>
    </row>
    <row r="95" spans="1:8" s="42" customFormat="1" ht="18.75" x14ac:dyDescent="0.3">
      <c r="A95" s="35"/>
      <c r="B95" s="653">
        <f>CODIX!A7</f>
        <v>48</v>
      </c>
      <c r="C95" s="653" t="str">
        <f>CODIX!B7</f>
        <v>ATORVASTATIN 10MG</v>
      </c>
      <c r="D95" s="654">
        <f>CODIX!C7</f>
        <v>28</v>
      </c>
      <c r="E95" s="653">
        <v>375</v>
      </c>
      <c r="F95" s="38">
        <f>CODIX!E7</f>
        <v>330</v>
      </c>
      <c r="G95" s="38">
        <f t="shared" si="5"/>
        <v>123750</v>
      </c>
      <c r="H95" s="38"/>
    </row>
    <row r="96" spans="1:8" s="42" customFormat="1" ht="18.75" x14ac:dyDescent="0.3">
      <c r="A96" s="35"/>
      <c r="B96" s="653">
        <f>CODIX!A8</f>
        <v>49</v>
      </c>
      <c r="C96" s="653" t="str">
        <f>CODIX!B8</f>
        <v>ATORVASTATIN 20MG</v>
      </c>
      <c r="D96" s="654">
        <f>CODIX!C8</f>
        <v>28</v>
      </c>
      <c r="E96" s="653">
        <v>250</v>
      </c>
      <c r="F96" s="38">
        <f>CODIX!E8</f>
        <v>470</v>
      </c>
      <c r="G96" s="38">
        <f t="shared" si="5"/>
        <v>117500</v>
      </c>
      <c r="H96" s="38"/>
    </row>
    <row r="97" spans="1:8" s="42" customFormat="1" ht="18.75" x14ac:dyDescent="0.3">
      <c r="A97" s="35"/>
      <c r="B97" s="653">
        <f>CODIX!A9</f>
        <v>62</v>
      </c>
      <c r="C97" s="653" t="str">
        <f>CODIX!B9</f>
        <v>FRUSEMIDE 40MG TAB</v>
      </c>
      <c r="D97" s="654">
        <f>CODIX!C9</f>
        <v>100</v>
      </c>
      <c r="E97" s="653">
        <v>125</v>
      </c>
      <c r="F97" s="38">
        <f>CODIX!E9</f>
        <v>320</v>
      </c>
      <c r="G97" s="38">
        <f t="shared" si="5"/>
        <v>40000</v>
      </c>
      <c r="H97" s="38"/>
    </row>
    <row r="98" spans="1:8" s="42" customFormat="1" ht="23.25" x14ac:dyDescent="0.35">
      <c r="A98" s="35"/>
      <c r="B98" s="653">
        <f>CODIX!A10</f>
        <v>97</v>
      </c>
      <c r="C98" s="653" t="str">
        <f>CODIX!B10</f>
        <v>RAMIPRIL 5MG TAB</v>
      </c>
      <c r="D98" s="654">
        <f>CODIX!C10</f>
        <v>30</v>
      </c>
      <c r="E98" s="653">
        <v>130</v>
      </c>
      <c r="F98" s="38">
        <f>CODIX!E10</f>
        <v>600</v>
      </c>
      <c r="G98" s="38">
        <f t="shared" si="5"/>
        <v>78000</v>
      </c>
      <c r="H98" s="186">
        <f>SUM(G94:G98)</f>
        <v>471750</v>
      </c>
    </row>
    <row r="99" spans="1:8" s="42" customFormat="1" ht="18.75" x14ac:dyDescent="0.3">
      <c r="A99" s="35"/>
      <c r="B99" s="653"/>
      <c r="C99" s="653"/>
      <c r="D99" s="654"/>
      <c r="E99" s="653"/>
      <c r="F99" s="38"/>
      <c r="G99" s="38"/>
      <c r="H99" s="35"/>
    </row>
    <row r="100" spans="1:8" s="42" customFormat="1" ht="23.25" x14ac:dyDescent="0.35">
      <c r="A100" s="35">
        <v>7</v>
      </c>
      <c r="B100" s="653"/>
      <c r="C100" s="656" t="str">
        <f>COSMADE!B1</f>
        <v>COSMADE EASY MEDICALS LIMITED</v>
      </c>
      <c r="D100" s="654"/>
      <c r="E100" s="653"/>
      <c r="F100" s="38"/>
      <c r="G100" s="38"/>
      <c r="H100" s="38"/>
    </row>
    <row r="101" spans="1:8" s="42" customFormat="1" ht="18.75" x14ac:dyDescent="0.3">
      <c r="A101" s="35"/>
      <c r="B101" s="653">
        <f>COSMADE!A6</f>
        <v>575</v>
      </c>
      <c r="C101" s="653" t="str">
        <f>COSMADE!B6</f>
        <v>2CC NEEDLE/SYRINGE</v>
      </c>
      <c r="D101" s="654">
        <f>COSMADE!C6</f>
        <v>100</v>
      </c>
      <c r="E101" s="653">
        <v>375</v>
      </c>
      <c r="F101" s="38">
        <f>COSMADE!E6</f>
        <v>1200</v>
      </c>
      <c r="G101" s="38">
        <f t="shared" ref="G101:G111" si="6">E101*F101</f>
        <v>450000</v>
      </c>
      <c r="H101" s="38"/>
    </row>
    <row r="102" spans="1:8" s="42" customFormat="1" ht="18.75" x14ac:dyDescent="0.3">
      <c r="A102" s="35"/>
      <c r="B102" s="653">
        <f>COSMADE!A7</f>
        <v>576</v>
      </c>
      <c r="C102" s="653" t="str">
        <f>COSMADE!B7</f>
        <v xml:space="preserve">5CC NEEDLE/SYRINGE </v>
      </c>
      <c r="D102" s="654">
        <f>COSMADE!C7</f>
        <v>100</v>
      </c>
      <c r="E102" s="653">
        <v>500</v>
      </c>
      <c r="F102" s="38">
        <f>COSMADE!E7</f>
        <v>1200</v>
      </c>
      <c r="G102" s="38">
        <f t="shared" si="6"/>
        <v>600000</v>
      </c>
      <c r="H102" s="38"/>
    </row>
    <row r="103" spans="1:8" s="42" customFormat="1" ht="18.75" x14ac:dyDescent="0.3">
      <c r="A103" s="35"/>
      <c r="B103" s="653">
        <f>COSMADE!A8</f>
        <v>594</v>
      </c>
      <c r="C103" s="653" t="str">
        <f>COSMADE!B8</f>
        <v>FOLLEY CATHETER SIZE 10"</v>
      </c>
      <c r="D103" s="654">
        <f>COSMADE!C8</f>
        <v>10</v>
      </c>
      <c r="E103" s="653">
        <v>2</v>
      </c>
      <c r="F103" s="38">
        <f>COSMADE!E8</f>
        <v>1800</v>
      </c>
      <c r="G103" s="38">
        <f t="shared" si="6"/>
        <v>3600</v>
      </c>
      <c r="H103" s="38"/>
    </row>
    <row r="104" spans="1:8" s="42" customFormat="1" ht="18.75" x14ac:dyDescent="0.3">
      <c r="A104" s="35"/>
      <c r="B104" s="653">
        <f>COSMADE!A9</f>
        <v>595</v>
      </c>
      <c r="C104" s="653" t="str">
        <f>COSMADE!B9</f>
        <v>FOLLEY CATHETER SIZE 12"</v>
      </c>
      <c r="D104" s="654">
        <f>COSMADE!C9</f>
        <v>10</v>
      </c>
      <c r="E104" s="653">
        <v>1</v>
      </c>
      <c r="F104" s="38">
        <f>COSMADE!E9</f>
        <v>1800</v>
      </c>
      <c r="G104" s="38">
        <f t="shared" si="6"/>
        <v>1800</v>
      </c>
      <c r="H104" s="38"/>
    </row>
    <row r="105" spans="1:8" s="42" customFormat="1" ht="18.75" x14ac:dyDescent="0.3">
      <c r="A105" s="35"/>
      <c r="B105" s="653">
        <f>COSMADE!A10</f>
        <v>596</v>
      </c>
      <c r="C105" s="653" t="str">
        <f>COSMADE!B10</f>
        <v>FOLLEY CATHETER SIZE 14"</v>
      </c>
      <c r="D105" s="654">
        <f>COSMADE!C10</f>
        <v>10</v>
      </c>
      <c r="E105" s="653">
        <v>2</v>
      </c>
      <c r="F105" s="38">
        <f>COSMADE!E10</f>
        <v>1800</v>
      </c>
      <c r="G105" s="38">
        <f t="shared" si="6"/>
        <v>3600</v>
      </c>
      <c r="H105" s="38"/>
    </row>
    <row r="106" spans="1:8" s="42" customFormat="1" ht="18.75" x14ac:dyDescent="0.3">
      <c r="A106" s="35"/>
      <c r="B106" s="653">
        <f>COSMADE!A11</f>
        <v>599</v>
      </c>
      <c r="C106" s="653" t="str">
        <f>COSMADE!B11</f>
        <v>FOLLEY CATHETER SIZE 20"</v>
      </c>
      <c r="D106" s="654">
        <f>COSMADE!C11</f>
        <v>10</v>
      </c>
      <c r="E106" s="653">
        <v>5</v>
      </c>
      <c r="F106" s="38">
        <f>COSMADE!E11</f>
        <v>1800</v>
      </c>
      <c r="G106" s="38">
        <f t="shared" si="6"/>
        <v>9000</v>
      </c>
      <c r="H106" s="38"/>
    </row>
    <row r="107" spans="1:8" s="42" customFormat="1" ht="23.25" x14ac:dyDescent="0.35">
      <c r="A107" s="35"/>
      <c r="B107" s="653">
        <f>COSMADE!A12</f>
        <v>600</v>
      </c>
      <c r="C107" s="653" t="str">
        <f>COSMADE!B12</f>
        <v>FOLLEY CATHETER SIZE 22"</v>
      </c>
      <c r="D107" s="654">
        <f>COSMADE!C12</f>
        <v>10</v>
      </c>
      <c r="E107" s="653">
        <v>6</v>
      </c>
      <c r="F107" s="38">
        <f>COSMADE!E12</f>
        <v>1800</v>
      </c>
      <c r="G107" s="38">
        <f t="shared" si="6"/>
        <v>10800</v>
      </c>
      <c r="H107" s="186"/>
    </row>
    <row r="108" spans="1:8" s="42" customFormat="1" ht="18.75" x14ac:dyDescent="0.3">
      <c r="A108" s="35"/>
      <c r="B108" s="653">
        <f>COSMADE!A13</f>
        <v>601</v>
      </c>
      <c r="C108" s="653" t="str">
        <f>COSMADE!B13</f>
        <v>FOLLEY CATHETER SIZE 24"</v>
      </c>
      <c r="D108" s="654">
        <f>COSMADE!C13</f>
        <v>10</v>
      </c>
      <c r="E108" s="653">
        <v>1</v>
      </c>
      <c r="F108" s="38">
        <f>COSMADE!E13</f>
        <v>1800</v>
      </c>
      <c r="G108" s="38">
        <f t="shared" si="6"/>
        <v>1800</v>
      </c>
      <c r="H108" s="35"/>
    </row>
    <row r="109" spans="1:8" s="42" customFormat="1" ht="18.75" x14ac:dyDescent="0.3">
      <c r="A109" s="35"/>
      <c r="B109" s="653">
        <f>COSMADE!A14</f>
        <v>602</v>
      </c>
      <c r="C109" s="653" t="str">
        <f>COSMADE!B14</f>
        <v>FOLLEY CATHETER SIZE 6"</v>
      </c>
      <c r="D109" s="654">
        <f>COSMADE!C14</f>
        <v>10</v>
      </c>
      <c r="E109" s="653">
        <v>1</v>
      </c>
      <c r="F109" s="38">
        <f>COSMADE!E14</f>
        <v>1800</v>
      </c>
      <c r="G109" s="38">
        <f t="shared" si="6"/>
        <v>1800</v>
      </c>
      <c r="H109" s="35"/>
    </row>
    <row r="110" spans="1:8" s="41" customFormat="1" ht="18.75" x14ac:dyDescent="0.3">
      <c r="A110" s="44"/>
      <c r="B110" s="653">
        <f>COSMADE!A15</f>
        <v>603</v>
      </c>
      <c r="C110" s="653" t="str">
        <f>COSMADE!B15</f>
        <v>FOLLEY CATHETER SIZE 8"</v>
      </c>
      <c r="D110" s="654">
        <f>COSMADE!C15</f>
        <v>10</v>
      </c>
      <c r="E110" s="653">
        <v>1</v>
      </c>
      <c r="F110" s="38">
        <f>COSMADE!E15</f>
        <v>1800</v>
      </c>
      <c r="G110" s="38">
        <f t="shared" si="6"/>
        <v>1800</v>
      </c>
      <c r="H110" s="69"/>
    </row>
    <row r="111" spans="1:8" s="41" customFormat="1" ht="23.25" x14ac:dyDescent="0.35">
      <c r="A111" s="44"/>
      <c r="B111" s="653">
        <f>COSMADE!A16</f>
        <v>628</v>
      </c>
      <c r="C111" s="653" t="str">
        <f>COSMADE!B16</f>
        <v>PLASTER 4" (ZINC OXIDE)</v>
      </c>
      <c r="D111" s="654" t="str">
        <f>COSMADE!C16</f>
        <v>PCS</v>
      </c>
      <c r="E111" s="653">
        <v>25</v>
      </c>
      <c r="F111" s="38">
        <f>COSMADE!E16</f>
        <v>3000</v>
      </c>
      <c r="G111" s="38">
        <f t="shared" si="6"/>
        <v>75000</v>
      </c>
      <c r="H111" s="186">
        <f>SUM(G101:G111)</f>
        <v>1159200</v>
      </c>
    </row>
    <row r="112" spans="1:8" s="42" customFormat="1" ht="18.75" x14ac:dyDescent="0.3">
      <c r="A112" s="35"/>
      <c r="B112" s="653"/>
      <c r="C112" s="653"/>
      <c r="D112" s="654"/>
      <c r="E112" s="653"/>
      <c r="F112" s="38"/>
      <c r="G112" s="38"/>
      <c r="H112" s="38"/>
    </row>
    <row r="113" spans="1:8" s="42" customFormat="1" ht="23.25" x14ac:dyDescent="0.35">
      <c r="A113" s="35">
        <v>8</v>
      </c>
      <c r="B113" s="35"/>
      <c r="C113" s="77" t="str">
        <f>SANCON!B1</f>
        <v>DE SANCON &amp; ASSOCIATES LIMITED</v>
      </c>
      <c r="D113" s="668"/>
      <c r="E113" s="35"/>
      <c r="F113" s="38"/>
      <c r="G113" s="38"/>
      <c r="H113" s="38"/>
    </row>
    <row r="114" spans="1:8" s="42" customFormat="1" ht="18.75" x14ac:dyDescent="0.3">
      <c r="A114" s="35"/>
      <c r="B114" s="653">
        <f>SANCON!A6</f>
        <v>586</v>
      </c>
      <c r="C114" s="653" t="str">
        <f>SANCON!B6</f>
        <v>CONDOM CATHETER</v>
      </c>
      <c r="D114" s="654">
        <f>SANCON!C6</f>
        <v>50</v>
      </c>
      <c r="E114" s="653">
        <v>4</v>
      </c>
      <c r="F114" s="38">
        <f>SANCON!E6</f>
        <v>8625</v>
      </c>
      <c r="G114" s="38">
        <f t="shared" ref="G114:G132" si="7">E114*F114</f>
        <v>34500</v>
      </c>
      <c r="H114" s="38"/>
    </row>
    <row r="115" spans="1:8" s="42" customFormat="1" ht="18.75" x14ac:dyDescent="0.3">
      <c r="A115" s="35"/>
      <c r="B115" s="653">
        <f>SANCON!A7</f>
        <v>587</v>
      </c>
      <c r="C115" s="653" t="str">
        <f>SANCON!B7</f>
        <v>CORD CLAMP</v>
      </c>
      <c r="D115" s="654">
        <f>SANCON!C7</f>
        <v>100</v>
      </c>
      <c r="E115" s="653">
        <v>5</v>
      </c>
      <c r="F115" s="38">
        <f>SANCON!E7</f>
        <v>1725</v>
      </c>
      <c r="G115" s="38">
        <f t="shared" si="7"/>
        <v>8625</v>
      </c>
      <c r="H115" s="38"/>
    </row>
    <row r="116" spans="1:8" s="42" customFormat="1" ht="18.75" x14ac:dyDescent="0.3">
      <c r="A116" s="35"/>
      <c r="B116" s="653">
        <f>SANCON!A8</f>
        <v>588</v>
      </c>
      <c r="C116" s="653" t="str">
        <f>SANCON!B8</f>
        <v>COTTON BANDAGE 6"</v>
      </c>
      <c r="D116" s="654">
        <f>SANCON!C8</f>
        <v>12</v>
      </c>
      <c r="E116" s="653">
        <v>5</v>
      </c>
      <c r="F116" s="38">
        <f>SANCON!E8</f>
        <v>460</v>
      </c>
      <c r="G116" s="38">
        <f t="shared" si="7"/>
        <v>2300</v>
      </c>
      <c r="H116" s="38"/>
    </row>
    <row r="117" spans="1:8" s="42" customFormat="1" ht="23.25" x14ac:dyDescent="0.35">
      <c r="A117" s="35"/>
      <c r="B117" s="653">
        <f>SANCON!A9</f>
        <v>609</v>
      </c>
      <c r="C117" s="653" t="str">
        <f>SANCON!B9</f>
        <v>NASOGASTRIC TUBE 10"</v>
      </c>
      <c r="D117" s="654">
        <f>SANCON!C9</f>
        <v>10</v>
      </c>
      <c r="E117" s="653">
        <v>5</v>
      </c>
      <c r="F117" s="38">
        <f>SANCON!E9</f>
        <v>540</v>
      </c>
      <c r="G117" s="38">
        <f t="shared" si="7"/>
        <v>2700</v>
      </c>
      <c r="H117" s="186"/>
    </row>
    <row r="118" spans="1:8" s="42" customFormat="1" ht="18.75" x14ac:dyDescent="0.3">
      <c r="A118" s="35"/>
      <c r="B118" s="653">
        <f>SANCON!A10</f>
        <v>610</v>
      </c>
      <c r="C118" s="653" t="str">
        <f>SANCON!B10</f>
        <v>NASOGASTRIC TUBE 12"</v>
      </c>
      <c r="D118" s="654">
        <f>SANCON!C10</f>
        <v>10</v>
      </c>
      <c r="E118" s="653">
        <v>2</v>
      </c>
      <c r="F118" s="38">
        <f>SANCON!E10</f>
        <v>540</v>
      </c>
      <c r="G118" s="38">
        <f t="shared" si="7"/>
        <v>1080</v>
      </c>
      <c r="H118" s="35"/>
    </row>
    <row r="119" spans="1:8" s="42" customFormat="1" ht="18.75" x14ac:dyDescent="0.3">
      <c r="A119" s="35"/>
      <c r="B119" s="653">
        <f>SANCON!A11</f>
        <v>611</v>
      </c>
      <c r="C119" s="653" t="str">
        <f>SANCON!B11</f>
        <v>NASOGASTRIC TUBE 14"</v>
      </c>
      <c r="D119" s="654">
        <f>SANCON!C11</f>
        <v>10</v>
      </c>
      <c r="E119" s="653">
        <v>5</v>
      </c>
      <c r="F119" s="38">
        <f>SANCON!E11</f>
        <v>540</v>
      </c>
      <c r="G119" s="38">
        <f t="shared" si="7"/>
        <v>2700</v>
      </c>
      <c r="H119" s="35"/>
    </row>
    <row r="120" spans="1:8" s="42" customFormat="1" ht="23.25" x14ac:dyDescent="0.35">
      <c r="A120" s="35"/>
      <c r="B120" s="653">
        <f>SANCON!A12</f>
        <v>612</v>
      </c>
      <c r="C120" s="653" t="str">
        <f>SANCON!B12</f>
        <v>NASOGASTRIC TUBE 16"</v>
      </c>
      <c r="D120" s="654">
        <f>SANCON!C12</f>
        <v>10</v>
      </c>
      <c r="E120" s="653">
        <v>5</v>
      </c>
      <c r="F120" s="38">
        <f>SANCON!E12</f>
        <v>540</v>
      </c>
      <c r="G120" s="38">
        <f t="shared" si="7"/>
        <v>2700</v>
      </c>
      <c r="H120" s="79"/>
    </row>
    <row r="121" spans="1:8" s="42" customFormat="1" ht="18.75" x14ac:dyDescent="0.3">
      <c r="A121" s="35"/>
      <c r="B121" s="653">
        <f>SANCON!A13</f>
        <v>613</v>
      </c>
      <c r="C121" s="653" t="str">
        <f>SANCON!B13</f>
        <v>NASOGASTRIC TUBE 18"</v>
      </c>
      <c r="D121" s="654">
        <f>SANCON!C13</f>
        <v>10</v>
      </c>
      <c r="E121" s="653">
        <v>5</v>
      </c>
      <c r="F121" s="38">
        <f>SANCON!E13</f>
        <v>540</v>
      </c>
      <c r="G121" s="38">
        <f t="shared" si="7"/>
        <v>2700</v>
      </c>
      <c r="H121" s="38"/>
    </row>
    <row r="122" spans="1:8" s="42" customFormat="1" ht="18.75" x14ac:dyDescent="0.3">
      <c r="A122" s="35"/>
      <c r="B122" s="653">
        <f>SANCON!A14</f>
        <v>615</v>
      </c>
      <c r="C122" s="653" t="str">
        <f>SANCON!B14</f>
        <v>NASOGASTRIC TUBE 22"</v>
      </c>
      <c r="D122" s="654">
        <f>SANCON!C14</f>
        <v>10</v>
      </c>
      <c r="E122" s="653">
        <v>1</v>
      </c>
      <c r="F122" s="38">
        <f>SANCON!E14</f>
        <v>540</v>
      </c>
      <c r="G122" s="38">
        <f t="shared" si="7"/>
        <v>540</v>
      </c>
      <c r="H122" s="38"/>
    </row>
    <row r="123" spans="1:8" s="42" customFormat="1" ht="18.75" x14ac:dyDescent="0.3">
      <c r="A123" s="35"/>
      <c r="B123" s="653">
        <f>SANCON!A15</f>
        <v>616</v>
      </c>
      <c r="C123" s="653" t="str">
        <f>SANCON!B15</f>
        <v>NASOGASTRIC TUBE 5"</v>
      </c>
      <c r="D123" s="654">
        <f>SANCON!C15</f>
        <v>100</v>
      </c>
      <c r="E123" s="653">
        <v>8</v>
      </c>
      <c r="F123" s="38">
        <f>SANCON!E15</f>
        <v>5400</v>
      </c>
      <c r="G123" s="38">
        <f t="shared" si="7"/>
        <v>43200</v>
      </c>
      <c r="H123" s="38"/>
    </row>
    <row r="124" spans="1:8" s="42" customFormat="1" ht="18.75" x14ac:dyDescent="0.3">
      <c r="A124" s="35"/>
      <c r="B124" s="653">
        <f>SANCON!A16</f>
        <v>617</v>
      </c>
      <c r="C124" s="653" t="str">
        <f>SANCON!B16</f>
        <v>NASOGASTRIC TUBE 6"</v>
      </c>
      <c r="D124" s="654">
        <f>SANCON!C16</f>
        <v>100</v>
      </c>
      <c r="E124" s="653">
        <v>6</v>
      </c>
      <c r="F124" s="38">
        <f>SANCON!E16</f>
        <v>5400</v>
      </c>
      <c r="G124" s="38">
        <f t="shared" si="7"/>
        <v>32400</v>
      </c>
      <c r="H124" s="38"/>
    </row>
    <row r="125" spans="1:8" s="42" customFormat="1" ht="18.75" x14ac:dyDescent="0.3">
      <c r="A125" s="35"/>
      <c r="B125" s="653">
        <f>SANCON!A17</f>
        <v>618</v>
      </c>
      <c r="C125" s="653" t="str">
        <f>SANCON!B17</f>
        <v>NASOGASTRIC TUBE 8"</v>
      </c>
      <c r="D125" s="654">
        <f>SANCON!C17</f>
        <v>10</v>
      </c>
      <c r="E125" s="653">
        <v>4</v>
      </c>
      <c r="F125" s="38">
        <f>SANCON!E17</f>
        <v>540</v>
      </c>
      <c r="G125" s="38">
        <f t="shared" si="7"/>
        <v>2160</v>
      </c>
      <c r="H125" s="38"/>
    </row>
    <row r="126" spans="1:8" s="42" customFormat="1" ht="18.75" x14ac:dyDescent="0.3">
      <c r="A126" s="35"/>
      <c r="B126" s="653">
        <f>SANCON!A18</f>
        <v>706</v>
      </c>
      <c r="C126" s="653" t="str">
        <f>SANCON!B18</f>
        <v>NYLON 2/0  (40-45) LONG NEEDLE</v>
      </c>
      <c r="D126" s="654">
        <f>SANCON!C18</f>
        <v>12</v>
      </c>
      <c r="E126" s="653">
        <v>13</v>
      </c>
      <c r="F126" s="38">
        <f>SANCON!E18</f>
        <v>700</v>
      </c>
      <c r="G126" s="38">
        <f t="shared" si="7"/>
        <v>9100</v>
      </c>
      <c r="H126" s="38"/>
    </row>
    <row r="127" spans="1:8" s="42" customFormat="1" ht="18.75" x14ac:dyDescent="0.3">
      <c r="A127" s="35"/>
      <c r="B127" s="653">
        <f>SANCON!A19</f>
        <v>631</v>
      </c>
      <c r="C127" s="653" t="str">
        <f>SANCON!B19</f>
        <v>SCOTCH CAST 5"</v>
      </c>
      <c r="D127" s="654">
        <f>SANCON!C19</f>
        <v>10</v>
      </c>
      <c r="E127" s="653">
        <v>6</v>
      </c>
      <c r="F127" s="38">
        <f>SANCON!E19</f>
        <v>16000</v>
      </c>
      <c r="G127" s="38">
        <f t="shared" si="7"/>
        <v>96000</v>
      </c>
      <c r="H127" s="38"/>
    </row>
    <row r="128" spans="1:8" s="42" customFormat="1" ht="18.75" x14ac:dyDescent="0.3">
      <c r="A128" s="35"/>
      <c r="B128" s="653">
        <f>SANCON!A20</f>
        <v>635</v>
      </c>
      <c r="C128" s="653" t="str">
        <f>SANCON!B20</f>
        <v>SKIN TRACTION KIT (ADULT)</v>
      </c>
      <c r="D128" s="654" t="str">
        <f>SANCON!C20</f>
        <v>PCS</v>
      </c>
      <c r="E128" s="653">
        <v>30</v>
      </c>
      <c r="F128" s="38">
        <f>SANCON!E20</f>
        <v>4600</v>
      </c>
      <c r="G128" s="38">
        <f t="shared" si="7"/>
        <v>138000</v>
      </c>
      <c r="H128" s="38"/>
    </row>
    <row r="129" spans="1:8" s="42" customFormat="1" ht="18.75" x14ac:dyDescent="0.3">
      <c r="A129" s="35"/>
      <c r="B129" s="653">
        <f>SANCON!A21</f>
        <v>636</v>
      </c>
      <c r="C129" s="653" t="str">
        <f>SANCON!B21</f>
        <v>SKIN TRACTION KIT (PAED)</v>
      </c>
      <c r="D129" s="654" t="str">
        <f>SANCON!C21</f>
        <v>PCS</v>
      </c>
      <c r="E129" s="653">
        <v>10</v>
      </c>
      <c r="F129" s="38">
        <f>SANCON!E21</f>
        <v>4000</v>
      </c>
      <c r="G129" s="38">
        <f t="shared" si="7"/>
        <v>40000</v>
      </c>
      <c r="H129" s="38"/>
    </row>
    <row r="130" spans="1:8" s="42" customFormat="1" ht="18.75" x14ac:dyDescent="0.3">
      <c r="A130" s="35"/>
      <c r="B130" s="653">
        <f>SANCON!A22</f>
        <v>640</v>
      </c>
      <c r="C130" s="653" t="str">
        <f>SANCON!B22</f>
        <v>SURGICAL BLADE 11"</v>
      </c>
      <c r="D130" s="654">
        <f>SANCON!C22</f>
        <v>100</v>
      </c>
      <c r="E130" s="653">
        <v>1</v>
      </c>
      <c r="F130" s="38">
        <f>SANCON!E22</f>
        <v>1300</v>
      </c>
      <c r="G130" s="38">
        <f t="shared" si="7"/>
        <v>1300</v>
      </c>
      <c r="H130" s="38"/>
    </row>
    <row r="131" spans="1:8" s="42" customFormat="1" ht="18.75" x14ac:dyDescent="0.3">
      <c r="A131" s="35"/>
      <c r="B131" s="653">
        <f>SANCON!A23</f>
        <v>642</v>
      </c>
      <c r="C131" s="653" t="str">
        <f>SANCON!B23</f>
        <v>SURGICAL BLADE 15"</v>
      </c>
      <c r="D131" s="654">
        <f>SANCON!C23</f>
        <v>100</v>
      </c>
      <c r="E131" s="653">
        <v>3</v>
      </c>
      <c r="F131" s="38">
        <f>SANCON!E23</f>
        <v>1300</v>
      </c>
      <c r="G131" s="38">
        <f t="shared" si="7"/>
        <v>3900</v>
      </c>
      <c r="H131" s="38"/>
    </row>
    <row r="132" spans="1:8" s="42" customFormat="1" ht="23.25" x14ac:dyDescent="0.35">
      <c r="A132" s="35"/>
      <c r="B132" s="653">
        <f>SANCON!A24</f>
        <v>644</v>
      </c>
      <c r="C132" s="653" t="str">
        <f>SANCON!B24</f>
        <v>SURGICAL BLADE 23"</v>
      </c>
      <c r="D132" s="654">
        <f>SANCON!C24</f>
        <v>100</v>
      </c>
      <c r="E132" s="653">
        <v>5</v>
      </c>
      <c r="F132" s="38">
        <f>SANCON!E24</f>
        <v>1300</v>
      </c>
      <c r="G132" s="38">
        <f t="shared" si="7"/>
        <v>6500</v>
      </c>
      <c r="H132" s="186">
        <f>SUM(G114:G132)</f>
        <v>430405</v>
      </c>
    </row>
    <row r="133" spans="1:8" s="42" customFormat="1" ht="18.75" x14ac:dyDescent="0.3">
      <c r="A133" s="35"/>
      <c r="B133" s="653"/>
      <c r="C133" s="653"/>
      <c r="D133" s="654"/>
      <c r="E133" s="653"/>
      <c r="F133" s="38"/>
      <c r="G133" s="38"/>
      <c r="H133" s="38"/>
    </row>
    <row r="134" spans="1:8" s="42" customFormat="1" ht="23.25" x14ac:dyDescent="0.35">
      <c r="A134" s="35"/>
      <c r="B134" s="653"/>
      <c r="C134" s="653"/>
      <c r="D134" s="654"/>
      <c r="E134" s="653"/>
      <c r="F134" s="38"/>
      <c r="G134" s="38"/>
      <c r="H134" s="186"/>
    </row>
    <row r="135" spans="1:8" s="42" customFormat="1" ht="23.25" x14ac:dyDescent="0.35">
      <c r="A135" s="35">
        <v>9</v>
      </c>
      <c r="B135" s="35"/>
      <c r="C135" s="77" t="str">
        <f>DEVON!B1</f>
        <v>DEVON PHARMACEUTICALS</v>
      </c>
      <c r="D135" s="668"/>
      <c r="E135" s="35"/>
      <c r="F135" s="38"/>
      <c r="G135" s="38"/>
      <c r="H135" s="35"/>
    </row>
    <row r="136" spans="1:8" s="42" customFormat="1" ht="18.75" x14ac:dyDescent="0.3">
      <c r="A136" s="35"/>
      <c r="B136" s="653">
        <f>DEVON!A6</f>
        <v>237</v>
      </c>
      <c r="C136" s="653" t="str">
        <f>DEVON!B6</f>
        <v>CIPROFLOXACIN INJ</v>
      </c>
      <c r="D136" s="654" t="str">
        <f>DEVON!C6</f>
        <v>BOTT</v>
      </c>
      <c r="E136" s="653">
        <v>1050</v>
      </c>
      <c r="F136" s="38">
        <f>DEVON!E6</f>
        <v>90</v>
      </c>
      <c r="G136" s="38">
        <f t="shared" ref="G136:G137" si="8">E136*F136</f>
        <v>94500</v>
      </c>
      <c r="H136" s="35"/>
    </row>
    <row r="137" spans="1:8" s="42" customFormat="1" ht="23.25" x14ac:dyDescent="0.35">
      <c r="A137" s="35"/>
      <c r="B137" s="653">
        <f>DEVON!A7</f>
        <v>676</v>
      </c>
      <c r="C137" s="653" t="str">
        <f>DEVON!B7</f>
        <v>IOHEXOL - CONTRAST MEDIA</v>
      </c>
      <c r="D137" s="654" t="str">
        <f>DEVON!C7</f>
        <v>BOTT</v>
      </c>
      <c r="E137" s="653">
        <v>50</v>
      </c>
      <c r="F137" s="38">
        <f>DEVON!E7</f>
        <v>9945</v>
      </c>
      <c r="G137" s="38">
        <f t="shared" si="8"/>
        <v>497250</v>
      </c>
      <c r="H137" s="186">
        <f>SUM(G136:G137)</f>
        <v>591750</v>
      </c>
    </row>
    <row r="138" spans="1:8" s="42" customFormat="1" ht="18.75" x14ac:dyDescent="0.3">
      <c r="A138" s="35"/>
      <c r="B138" s="653"/>
      <c r="C138" s="653"/>
      <c r="D138" s="654"/>
      <c r="E138" s="653"/>
      <c r="F138" s="38"/>
      <c r="G138" s="38"/>
      <c r="H138" s="38"/>
    </row>
    <row r="139" spans="1:8" s="42" customFormat="1" ht="18.75" x14ac:dyDescent="0.3">
      <c r="A139" s="35"/>
      <c r="B139" s="653"/>
      <c r="C139" s="653"/>
      <c r="D139" s="654"/>
      <c r="E139" s="653"/>
      <c r="F139" s="38"/>
      <c r="G139" s="38"/>
      <c r="H139" s="38"/>
    </row>
    <row r="140" spans="1:8" s="42" customFormat="1" ht="23.25" x14ac:dyDescent="0.35">
      <c r="A140" s="35">
        <v>10</v>
      </c>
      <c r="B140" s="653"/>
      <c r="C140" s="656" t="str">
        <f>DORTEMAG!B1</f>
        <v>DORTEMAG VENTURES LIMITED</v>
      </c>
      <c r="D140" s="654"/>
      <c r="E140" s="653"/>
      <c r="F140" s="38"/>
      <c r="G140" s="38"/>
      <c r="H140" s="38"/>
    </row>
    <row r="141" spans="1:8" s="42" customFormat="1" ht="18.75" x14ac:dyDescent="0.3">
      <c r="A141" s="35"/>
      <c r="B141" s="653">
        <f>DORTEMAG!A6</f>
        <v>498</v>
      </c>
      <c r="C141" s="653" t="str">
        <f>DORTEMAG!B6</f>
        <v>BETAXOLOL GTT</v>
      </c>
      <c r="D141" s="654" t="str">
        <f>DORTEMAG!C6</f>
        <v>BOTT</v>
      </c>
      <c r="E141" s="653">
        <v>5</v>
      </c>
      <c r="F141" s="38">
        <f>DORTEMAG!E6</f>
        <v>603</v>
      </c>
      <c r="G141" s="38">
        <f t="shared" ref="G141:G153" si="9">E141*F141</f>
        <v>3015</v>
      </c>
      <c r="H141" s="38"/>
    </row>
    <row r="142" spans="1:8" s="42" customFormat="1" ht="18.75" x14ac:dyDescent="0.3">
      <c r="A142" s="35"/>
      <c r="B142" s="653">
        <f>DORTEMAG!A7</f>
        <v>227</v>
      </c>
      <c r="C142" s="653" t="str">
        <f>DORTEMAG!B7</f>
        <v>CEFTAZIDIME 1G INJ</v>
      </c>
      <c r="D142" s="654" t="str">
        <f>DORTEMAG!C7</f>
        <v>VIAL</v>
      </c>
      <c r="E142" s="653">
        <v>300</v>
      </c>
      <c r="F142" s="38">
        <f>DORTEMAG!E7</f>
        <v>1850</v>
      </c>
      <c r="G142" s="38">
        <f t="shared" si="9"/>
        <v>555000</v>
      </c>
      <c r="H142" s="38"/>
    </row>
    <row r="143" spans="1:8" s="42" customFormat="1" ht="18.75" x14ac:dyDescent="0.3">
      <c r="A143" s="35"/>
      <c r="B143" s="653">
        <f>DORTEMAG!A8</f>
        <v>504</v>
      </c>
      <c r="C143" s="653" t="str">
        <f>DORTEMAG!B8</f>
        <v>CHLORAMPHENICOL EYE DROPS</v>
      </c>
      <c r="D143" s="654" t="str">
        <f>DORTEMAG!C8</f>
        <v>BOTT</v>
      </c>
      <c r="E143" s="653">
        <v>100</v>
      </c>
      <c r="F143" s="38">
        <f>DORTEMAG!E8</f>
        <v>100</v>
      </c>
      <c r="G143" s="38">
        <f t="shared" si="9"/>
        <v>10000</v>
      </c>
      <c r="H143" s="38"/>
    </row>
    <row r="144" spans="1:8" s="42" customFormat="1" ht="18.75" x14ac:dyDescent="0.3">
      <c r="A144" s="35"/>
      <c r="B144" s="653">
        <f>DORTEMAG!A9</f>
        <v>503</v>
      </c>
      <c r="C144" s="653" t="str">
        <f>DORTEMAG!B9</f>
        <v>CHLORAMPHENICOL EYE OINTMENT</v>
      </c>
      <c r="D144" s="654" t="str">
        <f>DORTEMAG!C9</f>
        <v>TUBE</v>
      </c>
      <c r="E144" s="653">
        <v>250</v>
      </c>
      <c r="F144" s="38">
        <f>DORTEMAG!E9</f>
        <v>100</v>
      </c>
      <c r="G144" s="38">
        <f t="shared" si="9"/>
        <v>25000</v>
      </c>
      <c r="H144" s="38"/>
    </row>
    <row r="145" spans="1:8" s="42" customFormat="1" ht="18.75" x14ac:dyDescent="0.3">
      <c r="A145" s="35"/>
      <c r="B145" s="653">
        <f>DORTEMAG!A10</f>
        <v>505</v>
      </c>
      <c r="C145" s="653" t="str">
        <f>DORTEMAG!B10</f>
        <v>CIPROFLOXACIN EYE/EAR DROP</v>
      </c>
      <c r="D145" s="654" t="str">
        <f>DORTEMAG!C10</f>
        <v>BOTT</v>
      </c>
      <c r="E145" s="653">
        <v>250</v>
      </c>
      <c r="F145" s="38">
        <f>DORTEMAG!E10</f>
        <v>430</v>
      </c>
      <c r="G145" s="38">
        <f t="shared" si="9"/>
        <v>107500</v>
      </c>
      <c r="H145" s="38"/>
    </row>
    <row r="146" spans="1:8" s="42" customFormat="1" ht="18.75" x14ac:dyDescent="0.3">
      <c r="A146" s="35"/>
      <c r="B146" s="653">
        <f>DORTEMAG!A11</f>
        <v>506</v>
      </c>
      <c r="C146" s="653" t="str">
        <f>DORTEMAG!B11</f>
        <v>CROMOGLYCATE EYE DROP</v>
      </c>
      <c r="D146" s="654" t="str">
        <f>DORTEMAG!C11</f>
        <v>BOTT</v>
      </c>
      <c r="E146" s="653">
        <v>50</v>
      </c>
      <c r="F146" s="38">
        <f>DORTEMAG!E11</f>
        <v>572</v>
      </c>
      <c r="G146" s="38">
        <f t="shared" si="9"/>
        <v>28600</v>
      </c>
      <c r="H146" s="38"/>
    </row>
    <row r="147" spans="1:8" s="42" customFormat="1" ht="18.75" x14ac:dyDescent="0.3">
      <c r="A147" s="35"/>
      <c r="B147" s="653">
        <f>DORTEMAG!A12</f>
        <v>508</v>
      </c>
      <c r="C147" s="653" t="str">
        <f>DORTEMAG!B12</f>
        <v>DEXAMETHSAONE EYE DROP</v>
      </c>
      <c r="D147" s="654" t="str">
        <f>DORTEMAG!C12</f>
        <v>BOTT</v>
      </c>
      <c r="E147" s="653">
        <v>75</v>
      </c>
      <c r="F147" s="38">
        <f>DORTEMAG!E12</f>
        <v>325</v>
      </c>
      <c r="G147" s="38">
        <f t="shared" si="9"/>
        <v>24375</v>
      </c>
      <c r="H147" s="38"/>
    </row>
    <row r="148" spans="1:8" s="42" customFormat="1" ht="18.75" x14ac:dyDescent="0.3">
      <c r="A148" s="35"/>
      <c r="B148" s="653">
        <f>DORTEMAG!A13</f>
        <v>512</v>
      </c>
      <c r="C148" s="653" t="str">
        <f>DORTEMAG!B13</f>
        <v>FLURBIPROFEN EYE DROP</v>
      </c>
      <c r="D148" s="654" t="str">
        <f>DORTEMAG!C13</f>
        <v>BOTT</v>
      </c>
      <c r="E148" s="653">
        <v>150</v>
      </c>
      <c r="F148" s="38">
        <f>DORTEMAG!E13</f>
        <v>573</v>
      </c>
      <c r="G148" s="38">
        <f t="shared" si="9"/>
        <v>85950</v>
      </c>
      <c r="H148" s="38"/>
    </row>
    <row r="149" spans="1:8" s="42" customFormat="1" ht="18.75" x14ac:dyDescent="0.3">
      <c r="A149" s="35"/>
      <c r="B149" s="653">
        <f>DORTEMAG!A14</f>
        <v>513</v>
      </c>
      <c r="C149" s="653" t="str">
        <f>DORTEMAG!B14</f>
        <v>GENTAMYCIN EYE DROP</v>
      </c>
      <c r="D149" s="654" t="str">
        <f>DORTEMAG!C14</f>
        <v>BOTT</v>
      </c>
      <c r="E149" s="653">
        <v>50</v>
      </c>
      <c r="F149" s="38">
        <f>DORTEMAG!E14</f>
        <v>100</v>
      </c>
      <c r="G149" s="38">
        <f t="shared" si="9"/>
        <v>5000</v>
      </c>
      <c r="H149" s="38"/>
    </row>
    <row r="150" spans="1:8" s="42" customFormat="1" ht="18.75" x14ac:dyDescent="0.3">
      <c r="A150" s="35"/>
      <c r="B150" s="653">
        <f>DORTEMAG!A15</f>
        <v>514</v>
      </c>
      <c r="C150" s="653" t="str">
        <f>DORTEMAG!B15</f>
        <v>HYDROXYPROPYLMETHYLCELLULOSE GTT</v>
      </c>
      <c r="D150" s="654" t="str">
        <f>DORTEMAG!C15</f>
        <v>BOTT</v>
      </c>
      <c r="E150" s="653">
        <v>150</v>
      </c>
      <c r="F150" s="38">
        <f>DORTEMAG!E15</f>
        <v>572</v>
      </c>
      <c r="G150" s="38">
        <f t="shared" si="9"/>
        <v>85800</v>
      </c>
      <c r="H150" s="38"/>
    </row>
    <row r="151" spans="1:8" s="42" customFormat="1" ht="18.75" x14ac:dyDescent="0.3">
      <c r="A151" s="35"/>
      <c r="B151" s="653">
        <f>DORTEMAG!A16</f>
        <v>163</v>
      </c>
      <c r="C151" s="653" t="str">
        <f>DORTEMAG!B16</f>
        <v>IBUPROFEN SYRUP</v>
      </c>
      <c r="D151" s="654" t="str">
        <f>DORTEMAG!C16</f>
        <v>BOTT</v>
      </c>
      <c r="E151" s="653">
        <v>125</v>
      </c>
      <c r="F151" s="38">
        <f>DORTEMAG!E16</f>
        <v>200</v>
      </c>
      <c r="G151" s="38">
        <f t="shared" si="9"/>
        <v>25000</v>
      </c>
      <c r="H151" s="38"/>
    </row>
    <row r="152" spans="1:8" s="42" customFormat="1" ht="18.75" x14ac:dyDescent="0.3">
      <c r="A152" s="35"/>
      <c r="B152" s="653">
        <f>DORTEMAG!A17</f>
        <v>529</v>
      </c>
      <c r="C152" s="653" t="str">
        <f>DORTEMAG!B17</f>
        <v>TIMOLOL EYE DROPS</v>
      </c>
      <c r="D152" s="654" t="str">
        <f>DORTEMAG!C17</f>
        <v>BOTT</v>
      </c>
      <c r="E152" s="653">
        <v>220</v>
      </c>
      <c r="F152" s="38">
        <f>DORTEMAG!E17</f>
        <v>473</v>
      </c>
      <c r="G152" s="38">
        <f t="shared" si="9"/>
        <v>104060</v>
      </c>
      <c r="H152" s="38"/>
    </row>
    <row r="153" spans="1:8" s="42" customFormat="1" ht="23.25" x14ac:dyDescent="0.35">
      <c r="A153" s="35"/>
      <c r="B153" s="653">
        <f>DORTEMAG!A18</f>
        <v>535</v>
      </c>
      <c r="C153" s="653" t="str">
        <f>DORTEMAG!B18</f>
        <v>TROPICAMIDE GTT</v>
      </c>
      <c r="D153" s="654" t="str">
        <f>DORTEMAG!C18</f>
        <v>BOTT</v>
      </c>
      <c r="E153" s="653">
        <v>40</v>
      </c>
      <c r="F153" s="38">
        <f>DORTEMAG!E18</f>
        <v>950</v>
      </c>
      <c r="G153" s="38">
        <f t="shared" si="9"/>
        <v>38000</v>
      </c>
      <c r="H153" s="186">
        <f>SUM(G141:G153)</f>
        <v>1097300</v>
      </c>
    </row>
    <row r="154" spans="1:8" s="42" customFormat="1" ht="18.75" x14ac:dyDescent="0.3">
      <c r="A154" s="35"/>
      <c r="B154" s="653"/>
      <c r="C154" s="653"/>
      <c r="D154" s="654"/>
      <c r="E154" s="653"/>
      <c r="F154" s="38"/>
      <c r="G154" s="38"/>
      <c r="H154" s="38"/>
    </row>
    <row r="155" spans="1:8" s="42" customFormat="1" ht="18.75" x14ac:dyDescent="0.3">
      <c r="A155" s="35"/>
      <c r="B155" s="653"/>
      <c r="C155" s="653"/>
      <c r="D155" s="654"/>
      <c r="E155" s="653"/>
      <c r="F155" s="38"/>
      <c r="G155" s="38"/>
      <c r="H155" s="38"/>
    </row>
    <row r="156" spans="1:8" s="42" customFormat="1" ht="23.25" x14ac:dyDescent="0.35">
      <c r="A156" s="35">
        <v>11</v>
      </c>
      <c r="B156" s="35"/>
      <c r="C156" s="77" t="str">
        <f>DGF!B1</f>
        <v>DRUGFIELD PHARMACEUTICALS LIMITED</v>
      </c>
      <c r="D156" s="668"/>
      <c r="E156" s="35"/>
      <c r="F156" s="38"/>
      <c r="G156" s="38"/>
      <c r="H156" s="38"/>
    </row>
    <row r="157" spans="1:8" s="42" customFormat="1" ht="18.75" x14ac:dyDescent="0.3">
      <c r="A157" s="35"/>
      <c r="B157" s="653">
        <f>DGF!A6</f>
        <v>496</v>
      </c>
      <c r="C157" s="653" t="str">
        <f>DGF!B6</f>
        <v>ANTAZOLINE HCL+TETRAZOLINE HCL</v>
      </c>
      <c r="D157" s="654" t="str">
        <f>DGF!C6</f>
        <v>BOTT</v>
      </c>
      <c r="E157" s="653">
        <v>600</v>
      </c>
      <c r="F157" s="38">
        <f>DGF!E6</f>
        <v>500</v>
      </c>
      <c r="G157" s="38">
        <f t="shared" ref="G157:G167" si="10">E157*F157</f>
        <v>300000</v>
      </c>
      <c r="H157" s="38"/>
    </row>
    <row r="158" spans="1:8" s="42" customFormat="1" ht="18.75" x14ac:dyDescent="0.3">
      <c r="A158" s="35"/>
      <c r="B158" s="653">
        <f>DGF!A7</f>
        <v>499</v>
      </c>
      <c r="C158" s="653" t="str">
        <f>DGF!B7</f>
        <v>BRIMONIDINE GTT</v>
      </c>
      <c r="D158" s="654" t="str">
        <f>DGF!C7</f>
        <v>BOTT</v>
      </c>
      <c r="E158" s="653">
        <v>5</v>
      </c>
      <c r="F158" s="38">
        <f>DGF!E7</f>
        <v>1300</v>
      </c>
      <c r="G158" s="38">
        <f t="shared" si="10"/>
        <v>6500</v>
      </c>
      <c r="H158" s="38"/>
    </row>
    <row r="159" spans="1:8" s="42" customFormat="1" ht="18.75" x14ac:dyDescent="0.3">
      <c r="A159" s="35"/>
      <c r="B159" s="653">
        <f>DGF!A8</f>
        <v>509</v>
      </c>
      <c r="C159" s="653" t="str">
        <f>DGF!B8</f>
        <v>DICLOFENAC GTT</v>
      </c>
      <c r="D159" s="654" t="str">
        <f>DGF!C8</f>
        <v>BOTT</v>
      </c>
      <c r="E159" s="653">
        <v>13</v>
      </c>
      <c r="F159" s="38">
        <f>DGF!E8</f>
        <v>450</v>
      </c>
      <c r="G159" s="38">
        <f t="shared" si="10"/>
        <v>5850</v>
      </c>
      <c r="H159" s="38"/>
    </row>
    <row r="160" spans="1:8" s="42" customFormat="1" ht="18.75" x14ac:dyDescent="0.3">
      <c r="A160" s="35"/>
      <c r="B160" s="653">
        <f>DGF!A9</f>
        <v>511</v>
      </c>
      <c r="C160" s="653" t="str">
        <f>DGF!B9</f>
        <v>FLUCONAZOLE GTT</v>
      </c>
      <c r="D160" s="654" t="str">
        <f>DGF!C9</f>
        <v>BOTT</v>
      </c>
      <c r="E160" s="653">
        <v>10</v>
      </c>
      <c r="F160" s="38">
        <f>DGF!E9</f>
        <v>720</v>
      </c>
      <c r="G160" s="38">
        <f t="shared" si="10"/>
        <v>7200</v>
      </c>
      <c r="H160" s="38"/>
    </row>
    <row r="161" spans="1:8" s="42" customFormat="1" ht="18.75" x14ac:dyDescent="0.3">
      <c r="A161" s="35"/>
      <c r="B161" s="653">
        <f>DGF!A10</f>
        <v>254</v>
      </c>
      <c r="C161" s="653" t="str">
        <f>DGF!B10</f>
        <v>GENTAMICIN CREAM</v>
      </c>
      <c r="D161" s="654" t="str">
        <f>DGF!C10</f>
        <v>20G</v>
      </c>
      <c r="E161" s="653">
        <v>25</v>
      </c>
      <c r="F161" s="38">
        <f>DGF!E10</f>
        <v>210</v>
      </c>
      <c r="G161" s="38">
        <f t="shared" si="10"/>
        <v>5250</v>
      </c>
      <c r="H161" s="38"/>
    </row>
    <row r="162" spans="1:8" s="42" customFormat="1" ht="18.75" x14ac:dyDescent="0.3">
      <c r="A162" s="35"/>
      <c r="B162" s="653">
        <f>DGF!A11</f>
        <v>65</v>
      </c>
      <c r="C162" s="653" t="str">
        <f>DGF!B11</f>
        <v>HYDROCHLOROTHIAZIDE 25MG TAB</v>
      </c>
      <c r="D162" s="654">
        <f>DGF!C11</f>
        <v>30</v>
      </c>
      <c r="E162" s="653">
        <v>750</v>
      </c>
      <c r="F162" s="38">
        <f>DGF!E11</f>
        <v>300</v>
      </c>
      <c r="G162" s="38">
        <f t="shared" si="10"/>
        <v>225000</v>
      </c>
      <c r="H162" s="38"/>
    </row>
    <row r="163" spans="1:8" s="42" customFormat="1" ht="18.75" x14ac:dyDescent="0.3">
      <c r="A163" s="35"/>
      <c r="B163" s="653">
        <f>DGF!A12</f>
        <v>693</v>
      </c>
      <c r="C163" s="653" t="str">
        <f>DGF!B12</f>
        <v>HYDROCORTICONE  CREAM</v>
      </c>
      <c r="D163" s="654" t="str">
        <f>DGF!C12</f>
        <v>TUBE</v>
      </c>
      <c r="E163" s="653">
        <v>50</v>
      </c>
      <c r="F163" s="38">
        <f>DGF!E12</f>
        <v>300</v>
      </c>
      <c r="G163" s="38">
        <f t="shared" si="10"/>
        <v>15000</v>
      </c>
      <c r="H163" s="38"/>
    </row>
    <row r="164" spans="1:8" s="42" customFormat="1" ht="18.75" x14ac:dyDescent="0.3">
      <c r="A164" s="35"/>
      <c r="B164" s="653">
        <f>DGF!A13</f>
        <v>260</v>
      </c>
      <c r="C164" s="653" t="str">
        <f>DGF!B13</f>
        <v>KETOCONAZOLE CREAM 2% COMPOUND</v>
      </c>
      <c r="D164" s="654" t="str">
        <f>DGF!C13</f>
        <v>20g</v>
      </c>
      <c r="E164" s="653">
        <v>125</v>
      </c>
      <c r="F164" s="38">
        <f>DGF!E13</f>
        <v>360</v>
      </c>
      <c r="G164" s="38">
        <f t="shared" si="10"/>
        <v>45000</v>
      </c>
      <c r="H164" s="38"/>
    </row>
    <row r="165" spans="1:8" s="42" customFormat="1" ht="23.25" x14ac:dyDescent="0.35">
      <c r="A165" s="35"/>
      <c r="B165" s="653">
        <f>DGF!A14</f>
        <v>526</v>
      </c>
      <c r="C165" s="653" t="str">
        <f>DGF!B14</f>
        <v>POTASSIUM IODIDE+SODIUM IODIDE GTT</v>
      </c>
      <c r="D165" s="654" t="str">
        <f>DGF!C14</f>
        <v>BOTT</v>
      </c>
      <c r="E165" s="653">
        <v>3</v>
      </c>
      <c r="F165" s="38">
        <f>DGF!E14</f>
        <v>650</v>
      </c>
      <c r="G165" s="38">
        <f t="shared" si="10"/>
        <v>1950</v>
      </c>
      <c r="H165" s="79"/>
    </row>
    <row r="166" spans="1:8" s="42" customFormat="1" ht="18.75" x14ac:dyDescent="0.3">
      <c r="A166" s="35"/>
      <c r="B166" s="653">
        <f>DGF!A15</f>
        <v>18</v>
      </c>
      <c r="C166" s="653" t="str">
        <f>DGF!B15</f>
        <v>SULPHADOXINE/PYRIMETHAMINE TAB</v>
      </c>
      <c r="D166" s="654">
        <f>DGF!C15</f>
        <v>50</v>
      </c>
      <c r="E166" s="653">
        <v>5</v>
      </c>
      <c r="F166" s="38">
        <f>DGF!E15</f>
        <v>2900</v>
      </c>
      <c r="G166" s="38">
        <f t="shared" si="10"/>
        <v>14500</v>
      </c>
      <c r="H166" s="38"/>
    </row>
    <row r="167" spans="1:8" s="42" customFormat="1" ht="23.25" x14ac:dyDescent="0.35">
      <c r="A167" s="35"/>
      <c r="B167" s="653">
        <f>DGF!A16</f>
        <v>535</v>
      </c>
      <c r="C167" s="653" t="str">
        <f>DGF!B16</f>
        <v>TROPICAMIDE GTT</v>
      </c>
      <c r="D167" s="654" t="str">
        <f>DGF!C16</f>
        <v>BOTT</v>
      </c>
      <c r="E167" s="653">
        <v>10</v>
      </c>
      <c r="F167" s="38">
        <f>DGF!E16</f>
        <v>500</v>
      </c>
      <c r="G167" s="38">
        <f t="shared" si="10"/>
        <v>5000</v>
      </c>
      <c r="H167" s="186">
        <f>SUM(G157:G167)</f>
        <v>631250</v>
      </c>
    </row>
    <row r="168" spans="1:8" s="67" customFormat="1" x14ac:dyDescent="0.35">
      <c r="A168" s="35"/>
      <c r="B168" s="653"/>
      <c r="C168" s="653"/>
      <c r="D168" s="654"/>
      <c r="E168" s="653"/>
      <c r="F168" s="38"/>
      <c r="G168" s="38"/>
      <c r="H168" s="76"/>
    </row>
    <row r="169" spans="1:8" s="42" customFormat="1" ht="18.75" x14ac:dyDescent="0.3">
      <c r="A169" s="35"/>
      <c r="B169" s="35"/>
      <c r="C169" s="35"/>
      <c r="D169" s="668"/>
      <c r="E169" s="35"/>
      <c r="F169" s="38"/>
      <c r="G169" s="38"/>
      <c r="H169" s="38"/>
    </row>
    <row r="170" spans="1:8" s="42" customFormat="1" ht="23.25" x14ac:dyDescent="0.35">
      <c r="A170" s="35">
        <v>12</v>
      </c>
      <c r="B170" s="35"/>
      <c r="C170" s="77" t="str">
        <f>EMZOR!B1</f>
        <v>EMZOR PHARMACEUTICALS LIMITED</v>
      </c>
      <c r="D170" s="668"/>
      <c r="E170" s="35"/>
      <c r="F170" s="38"/>
      <c r="G170" s="38"/>
      <c r="H170" s="38"/>
    </row>
    <row r="171" spans="1:8" s="42" customFormat="1" ht="18.75" x14ac:dyDescent="0.3">
      <c r="A171" s="35"/>
      <c r="B171" s="653">
        <f>EMZOR!A6</f>
        <v>212</v>
      </c>
      <c r="C171" s="653" t="str">
        <f>EMZOR!B6</f>
        <v>AMPICILLIN/CLOXACILLIN 250MG/5ML SUSP</v>
      </c>
      <c r="D171" s="654" t="str">
        <f>EMZOR!C6</f>
        <v>BOTT</v>
      </c>
      <c r="E171" s="653">
        <v>63</v>
      </c>
      <c r="F171" s="38">
        <f>EMZOR!E6</f>
        <v>275.92400000000004</v>
      </c>
      <c r="G171" s="38">
        <f t="shared" ref="G171:G181" si="11">E171*F171</f>
        <v>17383.212000000003</v>
      </c>
      <c r="H171" s="38"/>
    </row>
    <row r="172" spans="1:8" s="42" customFormat="1" ht="18.75" x14ac:dyDescent="0.3">
      <c r="A172" s="35"/>
      <c r="B172" s="653">
        <f>EMZOR!A7</f>
        <v>3</v>
      </c>
      <c r="C172" s="653" t="str">
        <f>EMZOR!B7</f>
        <v>ARTEMETHER/LUMEFANTRINE (20/120) SYR</v>
      </c>
      <c r="D172" s="654" t="str">
        <f>EMZOR!C7</f>
        <v>BOTT</v>
      </c>
      <c r="E172" s="653">
        <v>50</v>
      </c>
      <c r="F172" s="38">
        <f>EMZOR!E7</f>
        <v>280</v>
      </c>
      <c r="G172" s="38">
        <f t="shared" si="11"/>
        <v>14000</v>
      </c>
      <c r="H172" s="38"/>
    </row>
    <row r="173" spans="1:8" s="42" customFormat="1" ht="18.75" x14ac:dyDescent="0.3">
      <c r="A173" s="35"/>
      <c r="B173" s="653">
        <f>EMZOR!A8</f>
        <v>7</v>
      </c>
      <c r="C173" s="653" t="str">
        <f>EMZOR!B8</f>
        <v>ARTEMETHER/LUMEFANTRINE (20/120) TAB DISPERSIBLE</v>
      </c>
      <c r="D173" s="654">
        <f>EMZOR!C8</f>
        <v>6</v>
      </c>
      <c r="E173" s="653">
        <v>150</v>
      </c>
      <c r="F173" s="38">
        <f>EMZOR!E8</f>
        <v>100</v>
      </c>
      <c r="G173" s="38">
        <f t="shared" si="11"/>
        <v>15000</v>
      </c>
      <c r="H173" s="38"/>
    </row>
    <row r="174" spans="1:8" s="42" customFormat="1" ht="18.75" x14ac:dyDescent="0.3">
      <c r="A174" s="35"/>
      <c r="B174" s="653">
        <f>EMZOR!A10</f>
        <v>46</v>
      </c>
      <c r="C174" s="653" t="str">
        <f>EMZOR!B10</f>
        <v>ASPIRIN 75MG TAB</v>
      </c>
      <c r="D174" s="654">
        <f>EMZOR!C10</f>
        <v>100</v>
      </c>
      <c r="E174" s="653">
        <v>250</v>
      </c>
      <c r="F174" s="38">
        <f>EMZOR!E10</f>
        <v>100</v>
      </c>
      <c r="G174" s="38">
        <f t="shared" si="11"/>
        <v>25000</v>
      </c>
      <c r="H174" s="38"/>
    </row>
    <row r="175" spans="1:8" s="42" customFormat="1" ht="18.75" x14ac:dyDescent="0.3">
      <c r="A175" s="35"/>
      <c r="B175" s="653">
        <f>EMZOR!A11</f>
        <v>688</v>
      </c>
      <c r="C175" s="653" t="str">
        <f>EMZOR!B11</f>
        <v>CHLORHEXIDINE GEL 25G</v>
      </c>
      <c r="D175" s="654" t="str">
        <f>EMZOR!C11</f>
        <v>TUBE</v>
      </c>
      <c r="E175" s="653">
        <v>13</v>
      </c>
      <c r="F175" s="38">
        <f>EMZOR!E11</f>
        <v>120</v>
      </c>
      <c r="G175" s="38">
        <f t="shared" si="11"/>
        <v>1560</v>
      </c>
      <c r="H175" s="38"/>
    </row>
    <row r="176" spans="1:8" s="42" customFormat="1" ht="18.75" x14ac:dyDescent="0.3">
      <c r="A176" s="35"/>
      <c r="B176" s="653">
        <f>EMZOR!A12</f>
        <v>472</v>
      </c>
      <c r="C176" s="653" t="str">
        <f>EMZOR!B12</f>
        <v>CHLORPHENIRAMINE 4MG TAB</v>
      </c>
      <c r="D176" s="654">
        <f>EMZOR!C12</f>
        <v>1000</v>
      </c>
      <c r="E176" s="653">
        <v>5</v>
      </c>
      <c r="F176" s="38">
        <f>EMZOR!E12</f>
        <v>310</v>
      </c>
      <c r="G176" s="38">
        <f t="shared" si="11"/>
        <v>1550</v>
      </c>
      <c r="H176" s="38"/>
    </row>
    <row r="177" spans="1:8" s="42" customFormat="1" ht="18.75" x14ac:dyDescent="0.3">
      <c r="A177" s="35"/>
      <c r="B177" s="653">
        <f>EMZOR!A13</f>
        <v>308</v>
      </c>
      <c r="C177" s="653" t="str">
        <f>EMZOR!B13</f>
        <v>FOLIC ACID TAB</v>
      </c>
      <c r="D177" s="654">
        <f>EMZOR!C13</f>
        <v>1000</v>
      </c>
      <c r="E177" s="653">
        <v>50</v>
      </c>
      <c r="F177" s="38">
        <f>EMZOR!E13</f>
        <v>800</v>
      </c>
      <c r="G177" s="38">
        <f t="shared" si="11"/>
        <v>40000</v>
      </c>
      <c r="H177" s="38"/>
    </row>
    <row r="178" spans="1:8" s="42" customFormat="1" ht="18.75" x14ac:dyDescent="0.3">
      <c r="A178" s="35"/>
      <c r="B178" s="653">
        <f>EMZOR!A14</f>
        <v>161</v>
      </c>
      <c r="C178" s="653" t="str">
        <f>EMZOR!B14</f>
        <v>IBUPROFEN 200MG TAB</v>
      </c>
      <c r="D178" s="654">
        <f>EMZOR!C14</f>
        <v>100</v>
      </c>
      <c r="E178" s="653">
        <v>50</v>
      </c>
      <c r="F178" s="38">
        <f>EMZOR!E14</f>
        <v>166.23200000000003</v>
      </c>
      <c r="G178" s="38">
        <f t="shared" si="11"/>
        <v>8311.6000000000022</v>
      </c>
      <c r="H178" s="35"/>
    </row>
    <row r="179" spans="1:8" s="42" customFormat="1" ht="18.75" x14ac:dyDescent="0.3">
      <c r="A179" s="35"/>
      <c r="B179" s="653">
        <f>EMZOR!A16</f>
        <v>341</v>
      </c>
      <c r="C179" s="653" t="str">
        <f>EMZOR!B16</f>
        <v>VITAMIN C 100MG (WHITE)</v>
      </c>
      <c r="D179" s="654">
        <f>EMZOR!C16</f>
        <v>1000</v>
      </c>
      <c r="E179" s="653">
        <v>200</v>
      </c>
      <c r="F179" s="38">
        <f>EMZOR!E16</f>
        <v>758.91200000000003</v>
      </c>
      <c r="G179" s="38">
        <f t="shared" si="11"/>
        <v>151782.39999999999</v>
      </c>
      <c r="H179" s="35"/>
    </row>
    <row r="180" spans="1:8" s="42" customFormat="1" ht="18.75" x14ac:dyDescent="0.3">
      <c r="A180" s="35"/>
      <c r="B180" s="653">
        <f>EMZOR!A17</f>
        <v>344</v>
      </c>
      <c r="C180" s="653" t="str">
        <f>EMZOR!B17</f>
        <v>VITAMIN C SYRUP</v>
      </c>
      <c r="D180" s="654" t="str">
        <f>EMZOR!C17</f>
        <v>BOTT</v>
      </c>
      <c r="E180" s="653">
        <v>375</v>
      </c>
      <c r="F180" s="38">
        <f>EMZOR!E17</f>
        <v>163.9</v>
      </c>
      <c r="G180" s="38">
        <f t="shared" si="11"/>
        <v>61462.5</v>
      </c>
      <c r="H180" s="35"/>
    </row>
    <row r="181" spans="1:8" s="42" customFormat="1" ht="23.25" x14ac:dyDescent="0.35">
      <c r="A181" s="35"/>
      <c r="B181" s="653">
        <f>EMZOR!A18</f>
        <v>454</v>
      </c>
      <c r="C181" s="653" t="str">
        <f>EMZOR!B18</f>
        <v>ZINC SULPHATE TAB</v>
      </c>
      <c r="D181" s="654">
        <f>EMZOR!C18</f>
        <v>10</v>
      </c>
      <c r="E181" s="653">
        <v>250</v>
      </c>
      <c r="F181" s="38">
        <f>EMZOR!E18</f>
        <v>42.756999999999998</v>
      </c>
      <c r="G181" s="38">
        <f t="shared" si="11"/>
        <v>10689.25</v>
      </c>
      <c r="H181" s="186">
        <f>SUM(G171:G181)</f>
        <v>346738.962</v>
      </c>
    </row>
    <row r="182" spans="1:8" s="42" customFormat="1" ht="18.75" x14ac:dyDescent="0.3">
      <c r="A182" s="35"/>
      <c r="B182" s="653"/>
      <c r="C182" s="653"/>
      <c r="D182" s="654"/>
      <c r="E182" s="653"/>
      <c r="F182" s="38"/>
      <c r="G182" s="38"/>
      <c r="H182" s="38"/>
    </row>
    <row r="183" spans="1:8" s="42" customFormat="1" ht="18.75" x14ac:dyDescent="0.3">
      <c r="A183" s="35"/>
      <c r="B183" s="35"/>
      <c r="C183" s="35"/>
      <c r="D183" s="668"/>
      <c r="E183" s="35"/>
      <c r="F183" s="38"/>
      <c r="G183" s="38"/>
      <c r="H183" s="38"/>
    </row>
    <row r="184" spans="1:8" s="42" customFormat="1" ht="23.25" x14ac:dyDescent="0.35">
      <c r="A184" s="35">
        <v>13</v>
      </c>
      <c r="B184" s="35"/>
      <c r="C184" s="77" t="str">
        <f>EUMATT!B1</f>
        <v>EUMATT SERVICES LIMITED</v>
      </c>
      <c r="D184" s="668"/>
      <c r="E184" s="35"/>
      <c r="F184" s="38"/>
      <c r="G184" s="38"/>
      <c r="H184" s="79"/>
    </row>
    <row r="185" spans="1:8" s="42" customFormat="1" ht="18.75" x14ac:dyDescent="0.3">
      <c r="A185" s="35"/>
      <c r="B185" s="653">
        <f>EUMATT!A6</f>
        <v>570</v>
      </c>
      <c r="C185" s="653" t="str">
        <f>EUMATT!B6</f>
        <v>10CC NEEDLE/SYRINGE</v>
      </c>
      <c r="D185" s="654">
        <f>EUMATT!C6</f>
        <v>100</v>
      </c>
      <c r="E185" s="653">
        <v>500</v>
      </c>
      <c r="F185" s="38">
        <f>EUMATT!E6</f>
        <v>1800</v>
      </c>
      <c r="G185" s="38">
        <f t="shared" ref="G185:G247" si="12">E185*F185</f>
        <v>900000</v>
      </c>
      <c r="H185" s="38"/>
    </row>
    <row r="186" spans="1:8" s="42" customFormat="1" ht="18.75" x14ac:dyDescent="0.3">
      <c r="A186" s="35"/>
      <c r="B186" s="653">
        <f>EUMATT!A7</f>
        <v>571</v>
      </c>
      <c r="C186" s="653" t="str">
        <f>EUMATT!B7</f>
        <v>20CC NEEDLE/SYRINGE</v>
      </c>
      <c r="D186" s="654">
        <f>EUMATT!C7</f>
        <v>80</v>
      </c>
      <c r="E186" s="653">
        <v>50</v>
      </c>
      <c r="F186" s="38">
        <f>EUMATT!E7</f>
        <v>3000</v>
      </c>
      <c r="G186" s="38">
        <f t="shared" si="12"/>
        <v>150000</v>
      </c>
      <c r="H186" s="38"/>
    </row>
    <row r="187" spans="1:8" s="42" customFormat="1" ht="18.75" x14ac:dyDescent="0.3">
      <c r="A187" s="35"/>
      <c r="B187" s="653">
        <f>EUMATT!A8</f>
        <v>574</v>
      </c>
      <c r="C187" s="653" t="str">
        <f>EUMATT!B8</f>
        <v>25G NEEDLE</v>
      </c>
      <c r="D187" s="654">
        <f>EUMATT!C8</f>
        <v>100</v>
      </c>
      <c r="E187" s="653">
        <v>75</v>
      </c>
      <c r="F187" s="38">
        <f>EUMATT!E8</f>
        <v>400</v>
      </c>
      <c r="G187" s="38">
        <f t="shared" si="12"/>
        <v>30000</v>
      </c>
      <c r="H187" s="38"/>
    </row>
    <row r="188" spans="1:8" s="42" customFormat="1" ht="18.75" x14ac:dyDescent="0.3">
      <c r="A188" s="35"/>
      <c r="B188" s="653">
        <f>EUMATT!A9</f>
        <v>575</v>
      </c>
      <c r="C188" s="653" t="str">
        <f>EUMATT!B9</f>
        <v>2CC NEEDLE/SYRINGE</v>
      </c>
      <c r="D188" s="654">
        <f>EUMATT!C9</f>
        <v>100</v>
      </c>
      <c r="E188" s="653">
        <v>375</v>
      </c>
      <c r="F188" s="38">
        <f>EUMATT!E9</f>
        <v>1200</v>
      </c>
      <c r="G188" s="38">
        <f t="shared" si="12"/>
        <v>450000</v>
      </c>
      <c r="H188" s="38"/>
    </row>
    <row r="189" spans="1:8" s="42" customFormat="1" ht="18.75" x14ac:dyDescent="0.3">
      <c r="A189" s="35"/>
      <c r="B189" s="653">
        <f>EUMATT!A10</f>
        <v>651</v>
      </c>
      <c r="C189" s="653" t="str">
        <f>EUMATT!B10</f>
        <v>50SPF SUNSCREEN</v>
      </c>
      <c r="D189" s="654" t="str">
        <f>EUMATT!C10</f>
        <v>TUBE</v>
      </c>
      <c r="E189" s="653">
        <v>5</v>
      </c>
      <c r="F189" s="38">
        <f>EUMATT!E10</f>
        <v>3300</v>
      </c>
      <c r="G189" s="38">
        <f t="shared" si="12"/>
        <v>16500</v>
      </c>
      <c r="H189" s="38"/>
    </row>
    <row r="190" spans="1:8" s="42" customFormat="1" ht="23.25" x14ac:dyDescent="0.35">
      <c r="A190" s="35"/>
      <c r="B190" s="653">
        <f>EUMATT!A11</f>
        <v>576</v>
      </c>
      <c r="C190" s="653" t="str">
        <f>EUMATT!B11</f>
        <v xml:space="preserve">5CC NEEDLE/SYRINGE </v>
      </c>
      <c r="D190" s="654">
        <f>EUMATT!C11</f>
        <v>100</v>
      </c>
      <c r="E190" s="653">
        <v>500</v>
      </c>
      <c r="F190" s="38">
        <f>EUMATT!E11</f>
        <v>1200</v>
      </c>
      <c r="G190" s="38">
        <f t="shared" si="12"/>
        <v>600000</v>
      </c>
      <c r="H190" s="79"/>
    </row>
    <row r="191" spans="1:8" s="42" customFormat="1" ht="18.75" x14ac:dyDescent="0.3">
      <c r="A191" s="35"/>
      <c r="B191" s="653">
        <f>EUMATT!A12</f>
        <v>194</v>
      </c>
      <c r="C191" s="653" t="str">
        <f>EUMATT!B12</f>
        <v>ACYCLOVIR 200MG</v>
      </c>
      <c r="D191" s="654">
        <f>EUMATT!C12</f>
        <v>25</v>
      </c>
      <c r="E191" s="653">
        <v>15</v>
      </c>
      <c r="F191" s="38">
        <f>EUMATT!E12</f>
        <v>2300</v>
      </c>
      <c r="G191" s="38">
        <f t="shared" si="12"/>
        <v>34500</v>
      </c>
      <c r="H191" s="38"/>
    </row>
    <row r="192" spans="1:8" s="42" customFormat="1" ht="18.75" x14ac:dyDescent="0.3">
      <c r="A192" s="35"/>
      <c r="B192" s="653">
        <f>EUMATT!A13</f>
        <v>195</v>
      </c>
      <c r="C192" s="653" t="str">
        <f>EUMATT!B13</f>
        <v>ACYCLOVIR 400MG</v>
      </c>
      <c r="D192" s="654">
        <f>EUMATT!C13</f>
        <v>25</v>
      </c>
      <c r="E192" s="653">
        <v>25</v>
      </c>
      <c r="F192" s="38">
        <f>EUMATT!E13</f>
        <v>4200</v>
      </c>
      <c r="G192" s="38">
        <f t="shared" si="12"/>
        <v>105000</v>
      </c>
      <c r="H192" s="38"/>
    </row>
    <row r="193" spans="1:8" s="42" customFormat="1" ht="18.75" x14ac:dyDescent="0.3">
      <c r="A193" s="35"/>
      <c r="B193" s="653">
        <f>EUMATT!A14</f>
        <v>495</v>
      </c>
      <c r="C193" s="653" t="str">
        <f>EUMATT!B14</f>
        <v>ACYCLOVIR EYE OINTMENT</v>
      </c>
      <c r="D193" s="654" t="str">
        <f>EUMATT!C14</f>
        <v>TUBE</v>
      </c>
      <c r="E193" s="653">
        <v>5</v>
      </c>
      <c r="F193" s="38">
        <f>EUMATT!E14</f>
        <v>1250</v>
      </c>
      <c r="G193" s="38">
        <f t="shared" si="12"/>
        <v>6250</v>
      </c>
      <c r="H193" s="38"/>
    </row>
    <row r="194" spans="1:8" s="42" customFormat="1" ht="18.75" x14ac:dyDescent="0.3">
      <c r="A194" s="35"/>
      <c r="B194" s="653">
        <f>EUMATT!A15</f>
        <v>684</v>
      </c>
      <c r="C194" s="653" t="str">
        <f>EUMATT!B15</f>
        <v>ALLENDRONATE 70MG TAB</v>
      </c>
      <c r="D194" s="654">
        <f>EUMATT!C15</f>
        <v>2</v>
      </c>
      <c r="E194" s="653">
        <v>3</v>
      </c>
      <c r="F194" s="38">
        <f>EUMATT!E15</f>
        <v>780</v>
      </c>
      <c r="G194" s="38">
        <f t="shared" si="12"/>
        <v>2340</v>
      </c>
      <c r="H194" s="38"/>
    </row>
    <row r="195" spans="1:8" s="42" customFormat="1" ht="18.75" x14ac:dyDescent="0.3">
      <c r="A195" s="35"/>
      <c r="B195" s="653">
        <f>EUMATT!A16</f>
        <v>143</v>
      </c>
      <c r="C195" s="653" t="str">
        <f>EUMATT!B16</f>
        <v>ALLOPURINOL 100MG  TAB</v>
      </c>
      <c r="D195" s="654">
        <f>EUMATT!C16</f>
        <v>28</v>
      </c>
      <c r="E195" s="653">
        <v>200</v>
      </c>
      <c r="F195" s="38">
        <f>EUMATT!E16</f>
        <v>1200</v>
      </c>
      <c r="G195" s="38">
        <f t="shared" si="12"/>
        <v>240000</v>
      </c>
      <c r="H195" s="38"/>
    </row>
    <row r="196" spans="1:8" s="42" customFormat="1" ht="18.75" x14ac:dyDescent="0.3">
      <c r="A196" s="35"/>
      <c r="B196" s="653">
        <f>EUMATT!A17</f>
        <v>144</v>
      </c>
      <c r="C196" s="653" t="str">
        <f>EUMATT!B17</f>
        <v>ALLOPURINOL 300MG  TAB</v>
      </c>
      <c r="D196" s="654">
        <f>EUMATT!C17</f>
        <v>28</v>
      </c>
      <c r="E196" s="653">
        <v>50</v>
      </c>
      <c r="F196" s="38">
        <f>EUMATT!E17</f>
        <v>1350</v>
      </c>
      <c r="G196" s="38">
        <f t="shared" si="12"/>
        <v>67500</v>
      </c>
      <c r="H196" s="38"/>
    </row>
    <row r="197" spans="1:8" s="42" customFormat="1" ht="18.75" x14ac:dyDescent="0.3">
      <c r="A197" s="35"/>
      <c r="B197" s="653">
        <f>EUMATT!A18</f>
        <v>196</v>
      </c>
      <c r="C197" s="653" t="str">
        <f>EUMATT!B18</f>
        <v>AMIKACIN INJ</v>
      </c>
      <c r="D197" s="654" t="str">
        <f>EUMATT!C18</f>
        <v>VIAL</v>
      </c>
      <c r="E197" s="653">
        <v>300</v>
      </c>
      <c r="F197" s="38">
        <f>EUMATT!E18</f>
        <v>250</v>
      </c>
      <c r="G197" s="38">
        <f t="shared" si="12"/>
        <v>75000</v>
      </c>
      <c r="H197" s="38"/>
    </row>
    <row r="198" spans="1:8" s="42" customFormat="1" ht="18.75" x14ac:dyDescent="0.3">
      <c r="A198" s="35"/>
      <c r="B198" s="653">
        <f>EUMATT!A19</f>
        <v>456</v>
      </c>
      <c r="C198" s="653" t="str">
        <f>EUMATT!B19</f>
        <v>AMINOPHYLLINE 100MG TAB</v>
      </c>
      <c r="D198" s="654">
        <f>EUMATT!C19</f>
        <v>1000</v>
      </c>
      <c r="E198" s="653">
        <v>1</v>
      </c>
      <c r="F198" s="38">
        <f>EUMATT!E19</f>
        <v>2200</v>
      </c>
      <c r="G198" s="38">
        <f t="shared" si="12"/>
        <v>2200</v>
      </c>
      <c r="H198" s="38"/>
    </row>
    <row r="199" spans="1:8" s="42" customFormat="1" ht="18.75" x14ac:dyDescent="0.3">
      <c r="A199" s="35"/>
      <c r="B199" s="653">
        <f>EUMATT!A20</f>
        <v>455</v>
      </c>
      <c r="C199" s="653" t="str">
        <f>EUMATT!B20</f>
        <v>AMINOPHYLLINE 250MG INJ</v>
      </c>
      <c r="D199" s="654" t="str">
        <f>EUMATT!C20</f>
        <v>AMP</v>
      </c>
      <c r="E199" s="653">
        <v>260</v>
      </c>
      <c r="F199" s="38">
        <f>EUMATT!E20</f>
        <v>40</v>
      </c>
      <c r="G199" s="38">
        <f t="shared" si="12"/>
        <v>10400</v>
      </c>
      <c r="H199" s="38"/>
    </row>
    <row r="200" spans="1:8" s="42" customFormat="1" ht="18.75" x14ac:dyDescent="0.3">
      <c r="A200" s="35"/>
      <c r="B200" s="653">
        <f>EUMATT!A21</f>
        <v>351</v>
      </c>
      <c r="C200" s="653" t="str">
        <f>EUMATT!B21</f>
        <v>AMITRYPTILLINE 25MG</v>
      </c>
      <c r="D200" s="654">
        <f>EUMATT!C21</f>
        <v>500</v>
      </c>
      <c r="E200" s="653">
        <v>25</v>
      </c>
      <c r="F200" s="38">
        <f>EUMATT!E21</f>
        <v>2200</v>
      </c>
      <c r="G200" s="38">
        <f t="shared" si="12"/>
        <v>55000</v>
      </c>
      <c r="H200" s="38"/>
    </row>
    <row r="201" spans="1:8" s="42" customFormat="1" ht="18.75" x14ac:dyDescent="0.3">
      <c r="A201" s="35"/>
      <c r="B201" s="653">
        <f>EUMATT!A22</f>
        <v>37</v>
      </c>
      <c r="C201" s="653" t="str">
        <f>EUMATT!B22</f>
        <v>AMLODIPINE 10MG TAB</v>
      </c>
      <c r="D201" s="654">
        <f>EUMATT!C22</f>
        <v>28</v>
      </c>
      <c r="E201" s="653">
        <v>1500</v>
      </c>
      <c r="F201" s="38">
        <f>EUMATT!E22</f>
        <v>230</v>
      </c>
      <c r="G201" s="38">
        <f t="shared" si="12"/>
        <v>345000</v>
      </c>
      <c r="H201" s="38"/>
    </row>
    <row r="202" spans="1:8" s="42" customFormat="1" ht="18.75" x14ac:dyDescent="0.3">
      <c r="A202" s="35"/>
      <c r="B202" s="653">
        <f>EUMATT!A23</f>
        <v>45</v>
      </c>
      <c r="C202" s="653" t="str">
        <f>EUMATT!B23</f>
        <v>AMLODIPINE/VALSARTAN/HYDROCHLOROTHIAZIDE 10/160/25MG TAB</v>
      </c>
      <c r="D202" s="654">
        <f>EUMATT!C23</f>
        <v>28</v>
      </c>
      <c r="E202" s="653">
        <v>15</v>
      </c>
      <c r="F202" s="38">
        <f>EUMATT!E23</f>
        <v>7000</v>
      </c>
      <c r="G202" s="38">
        <f t="shared" si="12"/>
        <v>105000</v>
      </c>
      <c r="H202" s="38"/>
    </row>
    <row r="203" spans="1:8" s="42" customFormat="1" ht="18.75" x14ac:dyDescent="0.3">
      <c r="A203" s="35"/>
      <c r="B203" s="653">
        <f>EUMATT!A24</f>
        <v>44</v>
      </c>
      <c r="C203" s="653" t="str">
        <f>EUMATT!B24</f>
        <v>AMLODIPINE/VALSARTAN/HYDROCHLOROTHIAZIDE 5/160/25MG TAB</v>
      </c>
      <c r="D203" s="654">
        <f>EUMATT!C24</f>
        <v>28</v>
      </c>
      <c r="E203" s="653">
        <v>15</v>
      </c>
      <c r="F203" s="38">
        <f>EUMATT!E24</f>
        <v>7000</v>
      </c>
      <c r="G203" s="38">
        <f t="shared" si="12"/>
        <v>105000</v>
      </c>
      <c r="H203" s="38"/>
    </row>
    <row r="204" spans="1:8" s="42" customFormat="1" ht="23.25" x14ac:dyDescent="0.35">
      <c r="A204" s="35"/>
      <c r="B204" s="653">
        <f>EUMATT!A25</f>
        <v>198</v>
      </c>
      <c r="C204" s="653" t="str">
        <f>EUMATT!B25</f>
        <v>AMOXICILLIN 250MG CAP</v>
      </c>
      <c r="D204" s="654">
        <f>EUMATT!C25</f>
        <v>100</v>
      </c>
      <c r="E204" s="653">
        <v>50</v>
      </c>
      <c r="F204" s="38">
        <f>EUMATT!E25</f>
        <v>600</v>
      </c>
      <c r="G204" s="38">
        <f t="shared" si="12"/>
        <v>30000</v>
      </c>
      <c r="H204" s="79"/>
    </row>
    <row r="205" spans="1:8" s="42" customFormat="1" ht="18.75" x14ac:dyDescent="0.3">
      <c r="A205" s="35"/>
      <c r="B205" s="653">
        <f>EUMATT!A26</f>
        <v>199</v>
      </c>
      <c r="C205" s="653" t="str">
        <f>EUMATT!B26</f>
        <v>AMOXICILLIN 250MG DISPERSIBLE TAB</v>
      </c>
      <c r="D205" s="654">
        <f>EUMATT!C26</f>
        <v>100</v>
      </c>
      <c r="E205" s="653">
        <v>10</v>
      </c>
      <c r="F205" s="38">
        <f>EUMATT!E26</f>
        <v>1700</v>
      </c>
      <c r="G205" s="38">
        <f t="shared" si="12"/>
        <v>17000</v>
      </c>
      <c r="H205" s="38"/>
    </row>
    <row r="206" spans="1:8" s="42" customFormat="1" ht="18.75" x14ac:dyDescent="0.3">
      <c r="A206" s="35"/>
      <c r="B206" s="653">
        <f>EUMATT!A27</f>
        <v>210</v>
      </c>
      <c r="C206" s="653" t="str">
        <f>EUMATT!B27</f>
        <v>AMOXICILLIN/FLUCLOXACILLIN 125/125MG SUSPENSION</v>
      </c>
      <c r="D206" s="654" t="str">
        <f>EUMATT!C27</f>
        <v>BOTT</v>
      </c>
      <c r="E206" s="653">
        <v>100</v>
      </c>
      <c r="F206" s="38">
        <f>EUMATT!E27</f>
        <v>1500</v>
      </c>
      <c r="G206" s="38">
        <f t="shared" si="12"/>
        <v>150000</v>
      </c>
      <c r="H206" s="38"/>
    </row>
    <row r="207" spans="1:8" s="42" customFormat="1" ht="18.75" x14ac:dyDescent="0.3">
      <c r="A207" s="35"/>
      <c r="B207" s="653">
        <f>EUMATT!A28</f>
        <v>209</v>
      </c>
      <c r="C207" s="653" t="str">
        <f>EUMATT!B28</f>
        <v>AMOXICILLIN/FLUCLOXACILLIN 250/250MG CAP</v>
      </c>
      <c r="D207" s="654">
        <f>EUMATT!C28</f>
        <v>16</v>
      </c>
      <c r="E207" s="653">
        <v>100</v>
      </c>
      <c r="F207" s="38">
        <f>EUMATT!E28</f>
        <v>1630</v>
      </c>
      <c r="G207" s="38">
        <f t="shared" si="12"/>
        <v>163000</v>
      </c>
      <c r="H207" s="38"/>
    </row>
    <row r="208" spans="1:8" s="42" customFormat="1" ht="18.75" x14ac:dyDescent="0.3">
      <c r="A208" s="35"/>
      <c r="B208" s="653">
        <f>EUMATT!A29</f>
        <v>211</v>
      </c>
      <c r="C208" s="653" t="str">
        <f>EUMATT!B29</f>
        <v>AMPICILLIN/CLOXACILLIIN 500MG CAP</v>
      </c>
      <c r="D208" s="654">
        <f>EUMATT!C29</f>
        <v>100</v>
      </c>
      <c r="E208" s="653">
        <v>63</v>
      </c>
      <c r="F208" s="38">
        <f>EUMATT!E29</f>
        <v>1100</v>
      </c>
      <c r="G208" s="38">
        <f t="shared" si="12"/>
        <v>69300</v>
      </c>
      <c r="H208" s="38"/>
    </row>
    <row r="209" spans="1:8" s="42" customFormat="1" ht="18.75" x14ac:dyDescent="0.3">
      <c r="A209" s="35"/>
      <c r="B209" s="653">
        <f>EUMATT!A30</f>
        <v>424</v>
      </c>
      <c r="C209" s="653" t="str">
        <f>EUMATT!B30</f>
        <v>ANUSOL SUPP</v>
      </c>
      <c r="D209" s="654">
        <f>EUMATT!C30</f>
        <v>10</v>
      </c>
      <c r="E209" s="653">
        <v>13</v>
      </c>
      <c r="F209" s="38">
        <f>EUMATT!E30</f>
        <v>1800</v>
      </c>
      <c r="G209" s="38">
        <f t="shared" si="12"/>
        <v>23400</v>
      </c>
      <c r="H209" s="38"/>
    </row>
    <row r="210" spans="1:8" s="42" customFormat="1" ht="18.75" x14ac:dyDescent="0.3">
      <c r="A210" s="35"/>
      <c r="B210" s="653">
        <f>EUMATT!A31</f>
        <v>51</v>
      </c>
      <c r="C210" s="653" t="str">
        <f>EUMATT!B31</f>
        <v>ATORVASTATIN 80MG</v>
      </c>
      <c r="D210" s="654">
        <f>EUMATT!C31</f>
        <v>30</v>
      </c>
      <c r="E210" s="653">
        <v>25</v>
      </c>
      <c r="F210" s="38">
        <f>EUMATT!E31</f>
        <v>5000</v>
      </c>
      <c r="G210" s="38">
        <f t="shared" si="12"/>
        <v>125000</v>
      </c>
      <c r="H210" s="38"/>
    </row>
    <row r="211" spans="1:8" s="42" customFormat="1" ht="18.75" x14ac:dyDescent="0.3">
      <c r="A211" s="35"/>
      <c r="B211" s="653">
        <f>EUMATT!A32</f>
        <v>497</v>
      </c>
      <c r="C211" s="653" t="str">
        <f>EUMATT!B32</f>
        <v>ATROPINE GTT</v>
      </c>
      <c r="D211" s="654" t="str">
        <f>EUMATT!C32</f>
        <v>BOTT</v>
      </c>
      <c r="E211" s="653">
        <v>15</v>
      </c>
      <c r="F211" s="38">
        <f>EUMATT!E32</f>
        <v>350</v>
      </c>
      <c r="G211" s="38">
        <f t="shared" si="12"/>
        <v>5250</v>
      </c>
      <c r="H211" s="38"/>
    </row>
    <row r="212" spans="1:8" s="42" customFormat="1" ht="18.75" x14ac:dyDescent="0.3">
      <c r="A212" s="35"/>
      <c r="B212" s="653">
        <f>EUMATT!A33</f>
        <v>419</v>
      </c>
      <c r="C212" s="653" t="str">
        <f>EUMATT!B33</f>
        <v>ATS 1500 IU INJ</v>
      </c>
      <c r="D212" s="654">
        <f>EUMATT!C33</f>
        <v>100</v>
      </c>
      <c r="E212" s="653">
        <v>5</v>
      </c>
      <c r="F212" s="38">
        <f>EUMATT!E33</f>
        <v>20000</v>
      </c>
      <c r="G212" s="38">
        <f t="shared" si="12"/>
        <v>100000</v>
      </c>
      <c r="H212" s="38"/>
    </row>
    <row r="213" spans="1:8" s="42" customFormat="1" ht="18.75" x14ac:dyDescent="0.3">
      <c r="A213" s="35"/>
      <c r="B213" s="653">
        <f>EUMATT!A34</f>
        <v>352</v>
      </c>
      <c r="C213" s="653" t="str">
        <f>EUMATT!B34</f>
        <v>BENZHEXOL 5MG</v>
      </c>
      <c r="D213" s="654">
        <f>EUMATT!C34</f>
        <v>500</v>
      </c>
      <c r="E213" s="653">
        <v>5</v>
      </c>
      <c r="F213" s="38">
        <f>EUMATT!E34</f>
        <v>1800</v>
      </c>
      <c r="G213" s="38">
        <f t="shared" si="12"/>
        <v>9000</v>
      </c>
      <c r="H213" s="38"/>
    </row>
    <row r="214" spans="1:8" s="42" customFormat="1" ht="23.25" x14ac:dyDescent="0.35">
      <c r="A214" s="35"/>
      <c r="B214" s="653">
        <f>EUMATT!A35</f>
        <v>652</v>
      </c>
      <c r="C214" s="653" t="str">
        <f>EUMATT!B35</f>
        <v>BENZOYL PEROXIDE 10% CREAM</v>
      </c>
      <c r="D214" s="654" t="str">
        <f>EUMATT!C35</f>
        <v>TUBE</v>
      </c>
      <c r="E214" s="653">
        <v>5</v>
      </c>
      <c r="F214" s="38">
        <f>EUMATT!E35</f>
        <v>1550</v>
      </c>
      <c r="G214" s="38">
        <f t="shared" si="12"/>
        <v>7750</v>
      </c>
      <c r="H214" s="79"/>
    </row>
    <row r="215" spans="1:8" s="42" customFormat="1" ht="18.75" x14ac:dyDescent="0.3">
      <c r="A215" s="35"/>
      <c r="B215" s="653">
        <f>EUMATT!A36</f>
        <v>653</v>
      </c>
      <c r="C215" s="653" t="str">
        <f>EUMATT!B36</f>
        <v>BENZOYL PEROXIDE 5% CREAM</v>
      </c>
      <c r="D215" s="654" t="str">
        <f>EUMATT!C36</f>
        <v>TUBE</v>
      </c>
      <c r="E215" s="653">
        <v>5</v>
      </c>
      <c r="F215" s="38">
        <f>EUMATT!E36</f>
        <v>1550</v>
      </c>
      <c r="G215" s="38">
        <f t="shared" si="12"/>
        <v>7750</v>
      </c>
      <c r="H215" s="38"/>
    </row>
    <row r="216" spans="1:8" s="42" customFormat="1" ht="18.75" x14ac:dyDescent="0.3">
      <c r="A216" s="35"/>
      <c r="B216" s="653">
        <f>EUMATT!A37</f>
        <v>656</v>
      </c>
      <c r="C216" s="653" t="str">
        <f>EUMATT!B37</f>
        <v>BETNOVATE CREAM 0.05% (PLAIN)</v>
      </c>
      <c r="D216" s="654" t="str">
        <f>EUMATT!C37</f>
        <v>TUBE</v>
      </c>
      <c r="E216" s="653">
        <v>5</v>
      </c>
      <c r="F216" s="38">
        <f>EUMATT!E37</f>
        <v>2700</v>
      </c>
      <c r="G216" s="38">
        <f t="shared" si="12"/>
        <v>13500</v>
      </c>
      <c r="H216" s="38"/>
    </row>
    <row r="217" spans="1:8" s="42" customFormat="1" ht="18.75" x14ac:dyDescent="0.3">
      <c r="A217" s="35"/>
      <c r="B217" s="653">
        <f>EUMATT!A38</f>
        <v>52</v>
      </c>
      <c r="C217" s="653" t="str">
        <f>EUMATT!B38</f>
        <v>BISOPROLOL 10MG TAB</v>
      </c>
      <c r="D217" s="654">
        <f>EUMATT!C38</f>
        <v>30</v>
      </c>
      <c r="E217" s="653">
        <v>15</v>
      </c>
      <c r="F217" s="38">
        <f>EUMATT!E38</f>
        <v>800</v>
      </c>
      <c r="G217" s="38">
        <f t="shared" si="12"/>
        <v>12000</v>
      </c>
      <c r="H217" s="38"/>
    </row>
    <row r="218" spans="1:8" s="42" customFormat="1" ht="18.75" x14ac:dyDescent="0.3">
      <c r="A218" s="35"/>
      <c r="B218" s="653">
        <f>EUMATT!A39</f>
        <v>53</v>
      </c>
      <c r="C218" s="653" t="str">
        <f>EUMATT!B39</f>
        <v>BISOPROLOL 5MG TAB</v>
      </c>
      <c r="D218" s="654">
        <f>EUMATT!C39</f>
        <v>30</v>
      </c>
      <c r="E218" s="653">
        <v>15</v>
      </c>
      <c r="F218" s="38">
        <f>EUMATT!E39</f>
        <v>500</v>
      </c>
      <c r="G218" s="38">
        <f t="shared" si="12"/>
        <v>7500</v>
      </c>
      <c r="H218" s="38"/>
    </row>
    <row r="219" spans="1:8" s="42" customFormat="1" ht="18.75" x14ac:dyDescent="0.3">
      <c r="A219" s="35"/>
      <c r="B219" s="653">
        <f>EUMATT!A40</f>
        <v>578</v>
      </c>
      <c r="C219" s="653" t="str">
        <f>EUMATT!B40</f>
        <v xml:space="preserve">BLOOD GIVING SET </v>
      </c>
      <c r="D219" s="654">
        <f>EUMATT!C40</f>
        <v>400</v>
      </c>
      <c r="E219" s="653">
        <v>3</v>
      </c>
      <c r="F219" s="38">
        <f>EUMATT!E40</f>
        <v>23000</v>
      </c>
      <c r="G219" s="38">
        <f t="shared" si="12"/>
        <v>69000</v>
      </c>
      <c r="H219" s="38"/>
    </row>
    <row r="220" spans="1:8" s="42" customFormat="1" ht="18.75" x14ac:dyDescent="0.3">
      <c r="A220" s="35"/>
      <c r="B220" s="653">
        <f>EUMATT!A41</f>
        <v>500</v>
      </c>
      <c r="C220" s="653" t="str">
        <f>EUMATT!B41</f>
        <v xml:space="preserve">BRINZOLAMIDE GTT </v>
      </c>
      <c r="D220" s="654" t="str">
        <f>EUMATT!C41</f>
        <v>BOTT</v>
      </c>
      <c r="E220" s="653">
        <v>10</v>
      </c>
      <c r="F220" s="38">
        <f>EUMATT!E41</f>
        <v>4300</v>
      </c>
      <c r="G220" s="38">
        <f t="shared" si="12"/>
        <v>43000</v>
      </c>
      <c r="H220" s="38"/>
    </row>
    <row r="221" spans="1:8" s="42" customFormat="1" ht="18.75" x14ac:dyDescent="0.3">
      <c r="A221" s="35"/>
      <c r="B221" s="653">
        <f>EUMATT!A42</f>
        <v>290</v>
      </c>
      <c r="C221" s="653" t="str">
        <f>EUMATT!B42</f>
        <v>BROMELAIN/TRYPSIN TAB</v>
      </c>
      <c r="D221" s="654">
        <f>EUMATT!C42</f>
        <v>100</v>
      </c>
      <c r="E221" s="653">
        <v>20</v>
      </c>
      <c r="F221" s="38">
        <f>EUMATT!E42</f>
        <v>2300</v>
      </c>
      <c r="G221" s="38">
        <f t="shared" si="12"/>
        <v>46000</v>
      </c>
      <c r="H221" s="38"/>
    </row>
    <row r="222" spans="1:8" s="42" customFormat="1" ht="18.75" x14ac:dyDescent="0.3">
      <c r="A222" s="35"/>
      <c r="B222" s="653">
        <f>EUMATT!A43</f>
        <v>291</v>
      </c>
      <c r="C222" s="653" t="str">
        <f>EUMATT!B43</f>
        <v>CALCIMAX TAB</v>
      </c>
      <c r="D222" s="654">
        <f>EUMATT!C43</f>
        <v>30</v>
      </c>
      <c r="E222" s="653">
        <v>150</v>
      </c>
      <c r="F222" s="38">
        <f>EUMATT!E43</f>
        <v>290</v>
      </c>
      <c r="G222" s="38">
        <f t="shared" si="12"/>
        <v>43500</v>
      </c>
      <c r="H222" s="38"/>
    </row>
    <row r="223" spans="1:8" s="42" customFormat="1" ht="18.75" x14ac:dyDescent="0.3">
      <c r="A223" s="35"/>
      <c r="B223" s="653">
        <f>EUMATT!A44</f>
        <v>686</v>
      </c>
      <c r="C223" s="653" t="str">
        <f>EUMATT!B44</f>
        <v>CALCIUM GLUCONATE INJ</v>
      </c>
      <c r="D223" s="654">
        <f>EUMATT!C44</f>
        <v>10</v>
      </c>
      <c r="E223" s="653">
        <v>40</v>
      </c>
      <c r="F223" s="38">
        <f>EUMATT!E44</f>
        <v>400</v>
      </c>
      <c r="G223" s="38">
        <f t="shared" si="12"/>
        <v>16000</v>
      </c>
      <c r="H223" s="38"/>
    </row>
    <row r="224" spans="1:8" s="42" customFormat="1" ht="18.75" x14ac:dyDescent="0.3">
      <c r="A224" s="35"/>
      <c r="B224" s="653">
        <f>EUMATT!A45</f>
        <v>579</v>
      </c>
      <c r="C224" s="653" t="str">
        <f>EUMATT!B45</f>
        <v>CANNULA 16G GREY</v>
      </c>
      <c r="D224" s="654">
        <f>EUMATT!C45</f>
        <v>50</v>
      </c>
      <c r="E224" s="653">
        <v>5</v>
      </c>
      <c r="F224" s="38">
        <f>EUMATT!E45</f>
        <v>2000</v>
      </c>
      <c r="G224" s="38">
        <f t="shared" si="12"/>
        <v>10000</v>
      </c>
      <c r="H224" s="38"/>
    </row>
    <row r="225" spans="1:8" s="42" customFormat="1" ht="23.25" x14ac:dyDescent="0.35">
      <c r="A225" s="35"/>
      <c r="B225" s="653">
        <f>EUMATT!A46</f>
        <v>580</v>
      </c>
      <c r="C225" s="653" t="str">
        <f>EUMATT!B46</f>
        <v>CANNULA 18G GREEN</v>
      </c>
      <c r="D225" s="654">
        <f>EUMATT!C46</f>
        <v>50</v>
      </c>
      <c r="E225" s="653">
        <v>23</v>
      </c>
      <c r="F225" s="38">
        <f>EUMATT!E46</f>
        <v>2000</v>
      </c>
      <c r="G225" s="38">
        <f t="shared" si="12"/>
        <v>46000</v>
      </c>
      <c r="H225" s="79"/>
    </row>
    <row r="226" spans="1:8" s="42" customFormat="1" ht="23.25" x14ac:dyDescent="0.35">
      <c r="A226" s="35"/>
      <c r="B226" s="653">
        <f>EUMATT!A47</f>
        <v>581</v>
      </c>
      <c r="C226" s="653" t="str">
        <f>EUMATT!B47</f>
        <v>CANNULA 20G PINK</v>
      </c>
      <c r="D226" s="654">
        <f>EUMATT!C47</f>
        <v>50</v>
      </c>
      <c r="E226" s="653">
        <v>30</v>
      </c>
      <c r="F226" s="38">
        <f>EUMATT!E47</f>
        <v>2000</v>
      </c>
      <c r="G226" s="38">
        <f t="shared" si="12"/>
        <v>60000</v>
      </c>
      <c r="H226" s="79"/>
    </row>
    <row r="227" spans="1:8" s="42" customFormat="1" ht="23.25" x14ac:dyDescent="0.35">
      <c r="A227" s="35"/>
      <c r="B227" s="653">
        <f>EUMATT!A48</f>
        <v>583</v>
      </c>
      <c r="C227" s="653" t="str">
        <f>EUMATT!B48</f>
        <v xml:space="preserve">CANNULA 24G YELLOW </v>
      </c>
      <c r="D227" s="654">
        <f>EUMATT!C48</f>
        <v>50</v>
      </c>
      <c r="E227" s="653">
        <v>53</v>
      </c>
      <c r="F227" s="38">
        <f>EUMATT!E48</f>
        <v>2100</v>
      </c>
      <c r="G227" s="38">
        <f t="shared" si="12"/>
        <v>111300</v>
      </c>
      <c r="H227" s="79"/>
    </row>
    <row r="228" spans="1:8" s="42" customFormat="1" ht="18.75" x14ac:dyDescent="0.3">
      <c r="A228" s="35"/>
      <c r="B228" s="653">
        <f>EUMATT!A49</f>
        <v>356</v>
      </c>
      <c r="C228" s="653" t="str">
        <f>EUMATT!B49</f>
        <v>CARBAMAZEPINE 200MG CR</v>
      </c>
      <c r="D228" s="654">
        <f>EUMATT!C49</f>
        <v>50</v>
      </c>
      <c r="E228" s="653">
        <v>25</v>
      </c>
      <c r="F228" s="38">
        <f>EUMATT!E49</f>
        <v>3000</v>
      </c>
      <c r="G228" s="38">
        <f t="shared" si="12"/>
        <v>75000</v>
      </c>
      <c r="H228" s="38"/>
    </row>
    <row r="229" spans="1:8" s="42" customFormat="1" ht="18.75" x14ac:dyDescent="0.3">
      <c r="A229" s="35"/>
      <c r="B229" s="653">
        <f>EUMATT!A50</f>
        <v>357</v>
      </c>
      <c r="C229" s="653" t="str">
        <f>EUMATT!B50</f>
        <v>CARBAMAZEPINE SYR</v>
      </c>
      <c r="D229" s="654" t="str">
        <f>EUMATT!C50</f>
        <v>200ML</v>
      </c>
      <c r="E229" s="653">
        <v>3</v>
      </c>
      <c r="F229" s="38">
        <f>EUMATT!E50</f>
        <v>2500</v>
      </c>
      <c r="G229" s="38">
        <f t="shared" si="12"/>
        <v>7500</v>
      </c>
      <c r="H229" s="38"/>
    </row>
    <row r="230" spans="1:8" s="42" customFormat="1" ht="18.75" x14ac:dyDescent="0.3">
      <c r="A230" s="35"/>
      <c r="B230" s="653">
        <f>EUMATT!A51</f>
        <v>358</v>
      </c>
      <c r="C230" s="653" t="str">
        <f>EUMATT!B51</f>
        <v>CARBIDOPA+L-DOPA</v>
      </c>
      <c r="D230" s="654">
        <f>EUMATT!C51</f>
        <v>50</v>
      </c>
      <c r="E230" s="653">
        <v>15</v>
      </c>
      <c r="F230" s="38">
        <f>EUMATT!E51</f>
        <v>6000</v>
      </c>
      <c r="G230" s="38">
        <f t="shared" si="12"/>
        <v>90000</v>
      </c>
      <c r="H230" s="38"/>
    </row>
    <row r="231" spans="1:8" s="42" customFormat="1" ht="18.75" x14ac:dyDescent="0.3">
      <c r="A231" s="35"/>
      <c r="B231" s="653">
        <f>EUMATT!A52</f>
        <v>56</v>
      </c>
      <c r="C231" s="653" t="str">
        <f>EUMATT!B52</f>
        <v xml:space="preserve">CARVEDILOL 6.25MG TAB </v>
      </c>
      <c r="D231" s="654">
        <f>EUMATT!C52</f>
        <v>28</v>
      </c>
      <c r="E231" s="653">
        <v>250</v>
      </c>
      <c r="F231" s="38">
        <f>EUMATT!E52</f>
        <v>750</v>
      </c>
      <c r="G231" s="38">
        <f t="shared" si="12"/>
        <v>187500</v>
      </c>
      <c r="H231" s="38"/>
    </row>
    <row r="232" spans="1:8" s="42" customFormat="1" ht="18.75" x14ac:dyDescent="0.3">
      <c r="A232" s="35"/>
      <c r="B232" s="653">
        <f>EUMATT!A54</f>
        <v>222</v>
      </c>
      <c r="C232" s="653" t="str">
        <f>EUMATT!B54</f>
        <v>CEFIXIME 400MG TAB</v>
      </c>
      <c r="D232" s="654">
        <f>EUMATT!C54</f>
        <v>10</v>
      </c>
      <c r="E232" s="653">
        <v>25</v>
      </c>
      <c r="F232" s="38">
        <f>EUMATT!E54</f>
        <v>870</v>
      </c>
      <c r="G232" s="38">
        <f t="shared" si="12"/>
        <v>21750</v>
      </c>
      <c r="H232" s="38"/>
    </row>
    <row r="233" spans="1:8" s="42" customFormat="1" ht="18.75" x14ac:dyDescent="0.3">
      <c r="A233" s="35"/>
      <c r="B233" s="653">
        <f>EUMATT!A55</f>
        <v>227</v>
      </c>
      <c r="C233" s="653" t="str">
        <f>EUMATT!B55</f>
        <v>CEFTAZIDIME 1G INJ</v>
      </c>
      <c r="D233" s="654" t="str">
        <f>EUMATT!C55</f>
        <v>VIAL</v>
      </c>
      <c r="E233" s="653">
        <v>150</v>
      </c>
      <c r="F233" s="38">
        <f>EUMATT!E55</f>
        <v>550</v>
      </c>
      <c r="G233" s="38">
        <f t="shared" si="12"/>
        <v>82500</v>
      </c>
      <c r="H233" s="38"/>
    </row>
    <row r="234" spans="1:8" s="42" customFormat="1" ht="18.75" x14ac:dyDescent="0.3">
      <c r="A234" s="35"/>
      <c r="B234" s="653">
        <f>EUMATT!A56</f>
        <v>228</v>
      </c>
      <c r="C234" s="653" t="str">
        <f>EUMATT!B56</f>
        <v>CEFTRIAXONE 1G INJ</v>
      </c>
      <c r="D234" s="654" t="str">
        <f>EUMATT!C56</f>
        <v>VIAL</v>
      </c>
      <c r="E234" s="653">
        <v>2625</v>
      </c>
      <c r="F234" s="38">
        <f>EUMATT!E56</f>
        <v>180</v>
      </c>
      <c r="G234" s="38">
        <f t="shared" si="12"/>
        <v>472500</v>
      </c>
      <c r="H234" s="38"/>
    </row>
    <row r="235" spans="1:8" s="42" customFormat="1" ht="18.75" x14ac:dyDescent="0.3">
      <c r="A235" s="35"/>
      <c r="B235" s="653">
        <f>EUMATT!A57</f>
        <v>233</v>
      </c>
      <c r="C235" s="653" t="str">
        <f>EUMATT!B57</f>
        <v>CEFUROXIME SUSPENSION 125MG/5ML (100ML)</v>
      </c>
      <c r="D235" s="654" t="str">
        <f>EUMATT!C57</f>
        <v>BOTT</v>
      </c>
      <c r="E235" s="653">
        <v>300</v>
      </c>
      <c r="F235" s="38">
        <f>EUMATT!E57</f>
        <v>750</v>
      </c>
      <c r="G235" s="38">
        <f t="shared" si="12"/>
        <v>225000</v>
      </c>
      <c r="H235" s="38"/>
    </row>
    <row r="236" spans="1:8" s="42" customFormat="1" ht="18.75" x14ac:dyDescent="0.3">
      <c r="A236" s="35"/>
      <c r="B236" s="653">
        <f>EUMATT!A58</f>
        <v>471</v>
      </c>
      <c r="C236" s="653" t="str">
        <f>EUMATT!B58</f>
        <v>CETIRIZINE TAB</v>
      </c>
      <c r="D236" s="654">
        <f>EUMATT!C58</f>
        <v>100</v>
      </c>
      <c r="E236" s="653">
        <v>15</v>
      </c>
      <c r="F236" s="38">
        <f>EUMATT!E58</f>
        <v>900</v>
      </c>
      <c r="G236" s="38">
        <f t="shared" si="12"/>
        <v>13500</v>
      </c>
      <c r="H236" s="38"/>
    </row>
    <row r="237" spans="1:8" s="42" customFormat="1" ht="23.25" x14ac:dyDescent="0.35">
      <c r="A237" s="35"/>
      <c r="B237" s="653">
        <f>EUMATT!A59</f>
        <v>502</v>
      </c>
      <c r="C237" s="653" t="str">
        <f>EUMATT!B59</f>
        <v>CHLORAMPHENICOL EAR DROP</v>
      </c>
      <c r="D237" s="654" t="str">
        <f>EUMATT!C59</f>
        <v>BOTT</v>
      </c>
      <c r="E237" s="653">
        <v>30</v>
      </c>
      <c r="F237" s="38">
        <f>EUMATT!E59</f>
        <v>100</v>
      </c>
      <c r="G237" s="38">
        <f t="shared" si="12"/>
        <v>3000</v>
      </c>
      <c r="H237" s="79"/>
    </row>
    <row r="238" spans="1:8" s="42" customFormat="1" ht="18.75" x14ac:dyDescent="0.3">
      <c r="A238" s="35"/>
      <c r="B238" s="653">
        <f>EUMATT!A60</f>
        <v>474</v>
      </c>
      <c r="C238" s="653" t="str">
        <f>EUMATT!B60</f>
        <v>CHLORPHENIRAMINE INJ</v>
      </c>
      <c r="D238" s="654">
        <f>EUMATT!C60</f>
        <v>100</v>
      </c>
      <c r="E238" s="653">
        <v>1</v>
      </c>
      <c r="F238" s="38">
        <f>EUMATT!E60</f>
        <v>1100</v>
      </c>
      <c r="G238" s="38">
        <f t="shared" si="12"/>
        <v>1100</v>
      </c>
      <c r="H238" s="38"/>
    </row>
    <row r="239" spans="1:8" s="42" customFormat="1" ht="18.75" x14ac:dyDescent="0.3">
      <c r="A239" s="35"/>
      <c r="B239" s="653">
        <f>EUMATT!A61</f>
        <v>360</v>
      </c>
      <c r="C239" s="653" t="str">
        <f>EUMATT!B61</f>
        <v>CHLORPROMAZINE 50MG TAB</v>
      </c>
      <c r="D239" s="654">
        <f>EUMATT!C61</f>
        <v>1000</v>
      </c>
      <c r="E239" s="653">
        <v>1</v>
      </c>
      <c r="F239" s="38">
        <f>EUMATT!E61</f>
        <v>5400</v>
      </c>
      <c r="G239" s="38">
        <f t="shared" si="12"/>
        <v>5400</v>
      </c>
      <c r="H239" s="38"/>
    </row>
    <row r="240" spans="1:8" s="42" customFormat="1" ht="18.75" x14ac:dyDescent="0.3">
      <c r="A240" s="35"/>
      <c r="B240" s="653">
        <f>EUMATT!A62</f>
        <v>702</v>
      </c>
      <c r="C240" s="653" t="str">
        <f>EUMATT!B62</f>
        <v>CHROMIC 1</v>
      </c>
      <c r="D240" s="654">
        <f>EUMATT!C62</f>
        <v>12</v>
      </c>
      <c r="E240" s="653">
        <v>5</v>
      </c>
      <c r="F240" s="38">
        <f>EUMATT!E62</f>
        <v>980</v>
      </c>
      <c r="G240" s="38">
        <f t="shared" si="12"/>
        <v>4900</v>
      </c>
      <c r="H240" s="38"/>
    </row>
    <row r="241" spans="1:8" s="42" customFormat="1" ht="18.75" x14ac:dyDescent="0.3">
      <c r="A241" s="35"/>
      <c r="B241" s="653">
        <f>EUMATT!A63</f>
        <v>703</v>
      </c>
      <c r="C241" s="653" t="str">
        <f>EUMATT!B63</f>
        <v>CHROMIC 2</v>
      </c>
      <c r="D241" s="654">
        <f>EUMATT!C63</f>
        <v>12</v>
      </c>
      <c r="E241" s="653">
        <v>8</v>
      </c>
      <c r="F241" s="38">
        <f>EUMATT!E63</f>
        <v>980</v>
      </c>
      <c r="G241" s="38">
        <f t="shared" si="12"/>
        <v>7840</v>
      </c>
      <c r="H241" s="38"/>
    </row>
    <row r="242" spans="1:8" s="42" customFormat="1" ht="18.75" x14ac:dyDescent="0.3">
      <c r="A242" s="35"/>
      <c r="B242" s="653">
        <f>EUMATT!A64</f>
        <v>704</v>
      </c>
      <c r="C242" s="653" t="str">
        <f>EUMATT!B64</f>
        <v>CHROMIC 2/0</v>
      </c>
      <c r="D242" s="654">
        <f>EUMATT!C64</f>
        <v>12</v>
      </c>
      <c r="E242" s="653">
        <v>8</v>
      </c>
      <c r="F242" s="38">
        <f>EUMATT!E64</f>
        <v>980</v>
      </c>
      <c r="G242" s="38">
        <f t="shared" si="12"/>
        <v>7840</v>
      </c>
      <c r="H242" s="38"/>
    </row>
    <row r="243" spans="1:8" s="42" customFormat="1" ht="18.75" x14ac:dyDescent="0.3">
      <c r="A243" s="35"/>
      <c r="B243" s="653">
        <f>EUMATT!A65</f>
        <v>690</v>
      </c>
      <c r="C243" s="653" t="str">
        <f>EUMATT!B65</f>
        <v>CIKLAVIT SYR</v>
      </c>
      <c r="D243" s="654" t="str">
        <f>EUMATT!C65</f>
        <v>200ML</v>
      </c>
      <c r="E243" s="653">
        <v>5</v>
      </c>
      <c r="F243" s="38">
        <f>EUMATT!E65</f>
        <v>1200</v>
      </c>
      <c r="G243" s="38">
        <f t="shared" si="12"/>
        <v>6000</v>
      </c>
      <c r="H243" s="38"/>
    </row>
    <row r="244" spans="1:8" s="42" customFormat="1" ht="18.75" x14ac:dyDescent="0.3">
      <c r="A244" s="35"/>
      <c r="B244" s="653">
        <f>EUMATT!A66</f>
        <v>238</v>
      </c>
      <c r="C244" s="653" t="str">
        <f>EUMATT!B66</f>
        <v>CLARITHROMYCIN 500MG</v>
      </c>
      <c r="D244" s="654">
        <f>EUMATT!C66</f>
        <v>10</v>
      </c>
      <c r="E244" s="653">
        <v>50</v>
      </c>
      <c r="F244" s="38">
        <f>EUMATT!E66</f>
        <v>900</v>
      </c>
      <c r="G244" s="38">
        <f t="shared" si="12"/>
        <v>45000</v>
      </c>
      <c r="H244" s="38"/>
    </row>
    <row r="245" spans="1:8" s="42" customFormat="1" ht="18.75" x14ac:dyDescent="0.3">
      <c r="A245" s="35"/>
      <c r="B245" s="653">
        <f>EUMATT!A67</f>
        <v>584</v>
      </c>
      <c r="C245" s="653" t="str">
        <f>EUMATT!B67</f>
        <v>CLINICAL THERMOMETER B/S</v>
      </c>
      <c r="D245" s="654">
        <f>EUMATT!C67</f>
        <v>12</v>
      </c>
      <c r="E245" s="653">
        <v>100</v>
      </c>
      <c r="F245" s="38">
        <f>EUMATT!E67</f>
        <v>2200</v>
      </c>
      <c r="G245" s="38">
        <f t="shared" si="12"/>
        <v>220000</v>
      </c>
      <c r="H245" s="38"/>
    </row>
    <row r="246" spans="1:8" s="42" customFormat="1" ht="18.75" x14ac:dyDescent="0.3">
      <c r="A246" s="35"/>
      <c r="B246" s="653">
        <f>EUMATT!A68</f>
        <v>383</v>
      </c>
      <c r="C246" s="653" t="str">
        <f>EUMATT!B68</f>
        <v>CLOMIPHENE CITRATE TAB</v>
      </c>
      <c r="D246" s="654">
        <f>EUMATT!C68</f>
        <v>10</v>
      </c>
      <c r="E246" s="653">
        <v>5</v>
      </c>
      <c r="F246" s="38">
        <f>EUMATT!E68</f>
        <v>600</v>
      </c>
      <c r="G246" s="38">
        <f t="shared" si="12"/>
        <v>3000</v>
      </c>
      <c r="H246" s="38"/>
    </row>
    <row r="247" spans="1:8" s="42" customFormat="1" ht="18.75" x14ac:dyDescent="0.3">
      <c r="A247" s="35"/>
      <c r="B247" s="653">
        <f>EUMATT!A69</f>
        <v>147</v>
      </c>
      <c r="C247" s="653" t="str">
        <f>EUMATT!B69</f>
        <v>COCODAMOL TAB</v>
      </c>
      <c r="D247" s="654">
        <f>EUMATT!C69</f>
        <v>100</v>
      </c>
      <c r="E247" s="653">
        <v>500</v>
      </c>
      <c r="F247" s="38">
        <f>EUMATT!E69</f>
        <v>2500</v>
      </c>
      <c r="G247" s="38">
        <f t="shared" si="12"/>
        <v>1250000</v>
      </c>
      <c r="H247" s="38"/>
    </row>
    <row r="248" spans="1:8" s="42" customFormat="1" ht="18.75" x14ac:dyDescent="0.3">
      <c r="A248" s="35"/>
      <c r="B248" s="653">
        <f>EUMATT!A70</f>
        <v>586</v>
      </c>
      <c r="C248" s="653" t="str">
        <f>EUMATT!B70</f>
        <v>CONDOM CATHETER</v>
      </c>
      <c r="D248" s="654">
        <f>EUMATT!C70</f>
        <v>50</v>
      </c>
      <c r="E248" s="653">
        <v>2</v>
      </c>
      <c r="F248" s="38">
        <f>EUMATT!E70</f>
        <v>10000</v>
      </c>
      <c r="G248" s="38">
        <f t="shared" ref="G248:G311" si="13">E248*F248</f>
        <v>20000</v>
      </c>
      <c r="H248" s="38"/>
    </row>
    <row r="249" spans="1:8" s="42" customFormat="1" ht="18.75" x14ac:dyDescent="0.3">
      <c r="A249" s="35"/>
      <c r="B249" s="653">
        <f>EUMATT!A71</f>
        <v>589</v>
      </c>
      <c r="C249" s="653" t="str">
        <f>EUMATT!B71</f>
        <v>COTTON WOOL 500G (DELE)</v>
      </c>
      <c r="D249" s="654" t="str">
        <f>EUMATT!C71</f>
        <v>ROLL</v>
      </c>
      <c r="E249" s="653">
        <v>550</v>
      </c>
      <c r="F249" s="38">
        <f>EUMATT!E71</f>
        <v>990</v>
      </c>
      <c r="G249" s="38">
        <f t="shared" si="13"/>
        <v>544500</v>
      </c>
      <c r="H249" s="38"/>
    </row>
    <row r="250" spans="1:8" s="42" customFormat="1" ht="18.75" x14ac:dyDescent="0.3">
      <c r="A250" s="35"/>
      <c r="B250" s="653">
        <f>EUMATT!A72</f>
        <v>299</v>
      </c>
      <c r="C250" s="653" t="str">
        <f>EUMATT!B72</f>
        <v>DABIGATRAN 75MG CAP</v>
      </c>
      <c r="D250" s="654">
        <f>EUMATT!C72</f>
        <v>60</v>
      </c>
      <c r="E250" s="653">
        <v>5</v>
      </c>
      <c r="F250" s="38">
        <f>EUMATT!E72</f>
        <v>28000</v>
      </c>
      <c r="G250" s="38">
        <f t="shared" si="13"/>
        <v>140000</v>
      </c>
      <c r="H250" s="38"/>
    </row>
    <row r="251" spans="1:8" s="42" customFormat="1" ht="18.75" x14ac:dyDescent="0.3">
      <c r="A251" s="35"/>
      <c r="B251" s="653">
        <f>EUMATT!A73</f>
        <v>149</v>
      </c>
      <c r="C251" s="653" t="str">
        <f>EUMATT!B73</f>
        <v>DEXAMETHASONE 4MG INJ</v>
      </c>
      <c r="D251" s="654">
        <f>EUMATT!C73</f>
        <v>100</v>
      </c>
      <c r="E251" s="653">
        <v>50</v>
      </c>
      <c r="F251" s="38">
        <f>EUMATT!E73</f>
        <v>950</v>
      </c>
      <c r="G251" s="38">
        <f t="shared" si="13"/>
        <v>47500</v>
      </c>
      <c r="H251" s="38"/>
    </row>
    <row r="252" spans="1:8" s="42" customFormat="1" ht="18.75" x14ac:dyDescent="0.3">
      <c r="A252" s="35"/>
      <c r="B252" s="653">
        <f>EUMATT!A74</f>
        <v>362</v>
      </c>
      <c r="C252" s="653" t="str">
        <f>EUMATT!B74</f>
        <v>DIAZEPAM 5MG TAB (X1000)</v>
      </c>
      <c r="D252" s="654">
        <f>EUMATT!C74</f>
        <v>1000</v>
      </c>
      <c r="E252" s="653">
        <v>3</v>
      </c>
      <c r="F252" s="38">
        <f>EUMATT!E74</f>
        <v>3000</v>
      </c>
      <c r="G252" s="38">
        <f t="shared" si="13"/>
        <v>9000</v>
      </c>
      <c r="H252" s="38"/>
    </row>
    <row r="253" spans="1:8" s="42" customFormat="1" ht="18.75" x14ac:dyDescent="0.3">
      <c r="A253" s="35"/>
      <c r="B253" s="653">
        <f>EUMATT!A75</f>
        <v>152</v>
      </c>
      <c r="C253" s="653" t="str">
        <f>EUMATT!B75</f>
        <v>DICLOFENAC 75MG INJ</v>
      </c>
      <c r="D253" s="654">
        <f>EUMATT!C75</f>
        <v>100</v>
      </c>
      <c r="E253" s="653">
        <v>30</v>
      </c>
      <c r="F253" s="38">
        <f>EUMATT!E75</f>
        <v>1200</v>
      </c>
      <c r="G253" s="38">
        <f t="shared" si="13"/>
        <v>36000</v>
      </c>
      <c r="H253" s="38"/>
    </row>
    <row r="254" spans="1:8" s="42" customFormat="1" ht="18.75" x14ac:dyDescent="0.3">
      <c r="A254" s="35"/>
      <c r="B254" s="653">
        <f>EUMATT!A76</f>
        <v>155</v>
      </c>
      <c r="C254" s="653" t="str">
        <f>EUMATT!B76</f>
        <v>DICLOFENAC/CHOLESTYRAMINE TAB</v>
      </c>
      <c r="D254" s="654">
        <f>EUMATT!C76</f>
        <v>20</v>
      </c>
      <c r="E254" s="653">
        <v>500</v>
      </c>
      <c r="F254" s="38">
        <f>EUMATT!E76</f>
        <v>2200</v>
      </c>
      <c r="G254" s="38">
        <f t="shared" si="13"/>
        <v>1100000</v>
      </c>
      <c r="H254" s="38"/>
    </row>
    <row r="255" spans="1:8" s="42" customFormat="1" ht="18.75" x14ac:dyDescent="0.3">
      <c r="A255" s="35"/>
      <c r="B255" s="653">
        <f>EUMATT!A77</f>
        <v>58</v>
      </c>
      <c r="C255" s="653" t="str">
        <f>EUMATT!B77</f>
        <v>DIGOXIN 0.25MG TAB</v>
      </c>
      <c r="D255" s="654">
        <f>EUMATT!C77</f>
        <v>500</v>
      </c>
      <c r="E255" s="653">
        <v>2</v>
      </c>
      <c r="F255" s="38">
        <f>EUMATT!E77</f>
        <v>3800</v>
      </c>
      <c r="G255" s="38">
        <f t="shared" si="13"/>
        <v>7600</v>
      </c>
      <c r="H255" s="35"/>
    </row>
    <row r="256" spans="1:8" s="42" customFormat="1" ht="18.75" x14ac:dyDescent="0.3">
      <c r="A256" s="35"/>
      <c r="B256" s="653">
        <f>EUMATT!A78</f>
        <v>59</v>
      </c>
      <c r="C256" s="653" t="str">
        <f>EUMATT!B78</f>
        <v>DIGOXIN INJ</v>
      </c>
      <c r="D256" s="654">
        <f>EUMATT!C78</f>
        <v>10</v>
      </c>
      <c r="E256" s="653">
        <v>3</v>
      </c>
      <c r="F256" s="38">
        <f>EUMATT!E78</f>
        <v>1800</v>
      </c>
      <c r="G256" s="38">
        <f t="shared" si="13"/>
        <v>5400</v>
      </c>
      <c r="H256" s="35"/>
    </row>
    <row r="257" spans="1:8" s="42" customFormat="1" ht="18.75" x14ac:dyDescent="0.3">
      <c r="A257" s="35"/>
      <c r="B257" s="653">
        <f>EUMATT!A79</f>
        <v>11</v>
      </c>
      <c r="C257" s="653" t="str">
        <f>EUMATT!B79</f>
        <v>DIHYDROARTEMISININ/PIPERAQUINE SYR</v>
      </c>
      <c r="D257" s="654" t="str">
        <f>EUMATT!C79</f>
        <v>BOTT</v>
      </c>
      <c r="E257" s="653">
        <v>50</v>
      </c>
      <c r="F257" s="38">
        <f>EUMATT!E79</f>
        <v>320</v>
      </c>
      <c r="G257" s="38">
        <f t="shared" si="13"/>
        <v>16000</v>
      </c>
      <c r="H257" s="35"/>
    </row>
    <row r="258" spans="1:8" s="42" customFormat="1" ht="18.75" x14ac:dyDescent="0.3">
      <c r="A258" s="35"/>
      <c r="B258" s="653">
        <f>EUMATT!A80</f>
        <v>12</v>
      </c>
      <c r="C258" s="653" t="str">
        <f>EUMATT!B80</f>
        <v>DIHYDROARTEMISININ/PIPERAQUINE TAB</v>
      </c>
      <c r="D258" s="654">
        <f>EUMATT!C80</f>
        <v>9</v>
      </c>
      <c r="E258" s="653">
        <v>125</v>
      </c>
      <c r="F258" s="38">
        <f>EUMATT!E80</f>
        <v>350</v>
      </c>
      <c r="G258" s="38">
        <f t="shared" si="13"/>
        <v>43750</v>
      </c>
      <c r="H258" s="38"/>
    </row>
    <row r="259" spans="1:8" s="42" customFormat="1" ht="18.75" x14ac:dyDescent="0.3">
      <c r="A259" s="35"/>
      <c r="B259" s="653">
        <f>EUMATT!A81</f>
        <v>159</v>
      </c>
      <c r="C259" s="653" t="str">
        <f>EUMATT!B81</f>
        <v>DIHYDROCODEINE TAB (DF118)</v>
      </c>
      <c r="D259" s="654">
        <f>EUMATT!C81</f>
        <v>100</v>
      </c>
      <c r="E259" s="653">
        <v>8</v>
      </c>
      <c r="F259" s="38">
        <f>EUMATT!E81</f>
        <v>5000</v>
      </c>
      <c r="G259" s="38">
        <f t="shared" si="13"/>
        <v>40000</v>
      </c>
      <c r="H259" s="38"/>
    </row>
    <row r="260" spans="1:8" s="42" customFormat="1" ht="18.75" x14ac:dyDescent="0.3">
      <c r="A260" s="35"/>
      <c r="B260" s="653">
        <f>EUMATT!A82</f>
        <v>659</v>
      </c>
      <c r="C260" s="653" t="str">
        <f>EUMATT!B82</f>
        <v>DIPROSALIC OINTMENT</v>
      </c>
      <c r="D260" s="654" t="str">
        <f>EUMATT!C82</f>
        <v>TUBE</v>
      </c>
      <c r="E260" s="653">
        <v>5</v>
      </c>
      <c r="F260" s="38">
        <f>EUMATT!E82</f>
        <v>2750</v>
      </c>
      <c r="G260" s="38">
        <f t="shared" si="13"/>
        <v>13750</v>
      </c>
      <c r="H260" s="38"/>
    </row>
    <row r="261" spans="1:8" s="42" customFormat="1" ht="18.75" x14ac:dyDescent="0.3">
      <c r="A261" s="35"/>
      <c r="B261" s="653">
        <f>EUMATT!A83</f>
        <v>593</v>
      </c>
      <c r="C261" s="653" t="str">
        <f>EUMATT!B83</f>
        <v>ELBOW LENGTH GLOVES</v>
      </c>
      <c r="D261" s="654">
        <f>EUMATT!C83</f>
        <v>50</v>
      </c>
      <c r="E261" s="653">
        <v>5</v>
      </c>
      <c r="F261" s="38">
        <f>EUMATT!E83</f>
        <v>17500</v>
      </c>
      <c r="G261" s="38">
        <f t="shared" si="13"/>
        <v>87500</v>
      </c>
      <c r="H261" s="38"/>
    </row>
    <row r="262" spans="1:8" s="42" customFormat="1" ht="18.75" x14ac:dyDescent="0.3">
      <c r="A262" s="35"/>
      <c r="B262" s="653">
        <f>EUMATT!A84</f>
        <v>399</v>
      </c>
      <c r="C262" s="653" t="str">
        <f>EUMATT!B84</f>
        <v>EPHEDRINE INJ (STEROP)</v>
      </c>
      <c r="D262" s="654">
        <f>EUMATT!C84</f>
        <v>100</v>
      </c>
      <c r="E262" s="653">
        <v>1</v>
      </c>
      <c r="F262" s="38">
        <f>EUMATT!E84</f>
        <v>80000</v>
      </c>
      <c r="G262" s="38">
        <f t="shared" si="13"/>
        <v>80000</v>
      </c>
      <c r="H262" s="38"/>
    </row>
    <row r="263" spans="1:8" s="42" customFormat="1" ht="18.75" x14ac:dyDescent="0.3">
      <c r="A263" s="35"/>
      <c r="B263" s="653">
        <f>EUMATT!A85</f>
        <v>248</v>
      </c>
      <c r="C263" s="653" t="str">
        <f>EUMATT!B85</f>
        <v>ERYTHROMYCIN 250MG TAB</v>
      </c>
      <c r="D263" s="654">
        <f>EUMATT!C85</f>
        <v>100</v>
      </c>
      <c r="E263" s="653">
        <v>10</v>
      </c>
      <c r="F263" s="38">
        <f>EUMATT!E85</f>
        <v>1400</v>
      </c>
      <c r="G263" s="38">
        <f t="shared" si="13"/>
        <v>14000</v>
      </c>
      <c r="H263" s="35"/>
    </row>
    <row r="264" spans="1:8" s="42" customFormat="1" ht="18.75" x14ac:dyDescent="0.3">
      <c r="A264" s="35"/>
      <c r="B264" s="653">
        <f>EUMATT!A86</f>
        <v>60</v>
      </c>
      <c r="C264" s="653" t="str">
        <f>EUMATT!B86</f>
        <v>FENOFIBRATE 200MG TAB</v>
      </c>
      <c r="D264" s="654">
        <f>EUMATT!C86</f>
        <v>30</v>
      </c>
      <c r="E264" s="653">
        <v>5</v>
      </c>
      <c r="F264" s="38">
        <f>EUMATT!E86</f>
        <v>1700</v>
      </c>
      <c r="G264" s="38">
        <f t="shared" si="13"/>
        <v>8500</v>
      </c>
      <c r="H264" s="35"/>
    </row>
    <row r="265" spans="1:8" s="42" customFormat="1" ht="18.75" x14ac:dyDescent="0.3">
      <c r="A265" s="35"/>
      <c r="B265" s="653">
        <f>EUMATT!A87</f>
        <v>251</v>
      </c>
      <c r="C265" s="653" t="str">
        <f>EUMATT!B87</f>
        <v>FLUCONAZOLE 150MG CAP</v>
      </c>
      <c r="D265" s="654">
        <f>EUMATT!C87</f>
        <v>10</v>
      </c>
      <c r="E265" s="653">
        <v>5</v>
      </c>
      <c r="F265" s="38">
        <f>EUMATT!E87</f>
        <v>270</v>
      </c>
      <c r="G265" s="38">
        <f t="shared" si="13"/>
        <v>1350</v>
      </c>
      <c r="H265" s="35"/>
    </row>
    <row r="266" spans="1:8" s="42" customFormat="1" ht="18.75" x14ac:dyDescent="0.3">
      <c r="A266" s="35"/>
      <c r="B266" s="653">
        <f>EUMATT!A88</f>
        <v>252</v>
      </c>
      <c r="C266" s="653" t="str">
        <f>EUMATT!B88</f>
        <v>FLUCONAZOLE 200MG CAP</v>
      </c>
      <c r="D266" s="654">
        <f>EUMATT!C88</f>
        <v>10</v>
      </c>
      <c r="E266" s="653">
        <v>10</v>
      </c>
      <c r="F266" s="38">
        <f>EUMATT!E88</f>
        <v>240</v>
      </c>
      <c r="G266" s="38">
        <f t="shared" si="13"/>
        <v>2400</v>
      </c>
      <c r="H266" s="38"/>
    </row>
    <row r="267" spans="1:8" s="42" customFormat="1" ht="18.75" x14ac:dyDescent="0.3">
      <c r="A267" s="35"/>
      <c r="B267" s="653">
        <f>EUMATT!A89</f>
        <v>364</v>
      </c>
      <c r="C267" s="653" t="str">
        <f>EUMATT!B89</f>
        <v>FLUPENTHIXOL DECANOATE 20MG</v>
      </c>
      <c r="D267" s="654" t="str">
        <f>EUMATT!C89</f>
        <v>AMP</v>
      </c>
      <c r="E267" s="653">
        <v>50</v>
      </c>
      <c r="F267" s="38">
        <f>EUMATT!E89</f>
        <v>1350</v>
      </c>
      <c r="G267" s="38">
        <f t="shared" si="13"/>
        <v>67500</v>
      </c>
      <c r="H267" s="38"/>
    </row>
    <row r="268" spans="1:8" s="42" customFormat="1" ht="18.75" x14ac:dyDescent="0.3">
      <c r="A268" s="35"/>
      <c r="B268" s="653">
        <f>EUMATT!A90</f>
        <v>365</v>
      </c>
      <c r="C268" s="653" t="str">
        <f>EUMATT!B90</f>
        <v>FLUPENTHIXOL DECANOATE 40MG</v>
      </c>
      <c r="D268" s="654" t="str">
        <f>EUMATT!C90</f>
        <v>AMP</v>
      </c>
      <c r="E268" s="653">
        <v>25</v>
      </c>
      <c r="F268" s="38">
        <f>EUMATT!E90</f>
        <v>2200</v>
      </c>
      <c r="G268" s="38">
        <f t="shared" si="13"/>
        <v>55000</v>
      </c>
      <c r="H268" s="38"/>
    </row>
    <row r="269" spans="1:8" s="42" customFormat="1" ht="18.75" x14ac:dyDescent="0.3">
      <c r="A269" s="35"/>
      <c r="B269" s="653">
        <f>EUMATT!A91</f>
        <v>307</v>
      </c>
      <c r="C269" s="653" t="str">
        <f>EUMATT!B91</f>
        <v>FOLIC ACID SYR</v>
      </c>
      <c r="D269" s="654" t="str">
        <f>EUMATT!C91</f>
        <v>BOTT</v>
      </c>
      <c r="E269" s="653">
        <v>25</v>
      </c>
      <c r="F269" s="38">
        <f>EUMATT!E91</f>
        <v>320</v>
      </c>
      <c r="G269" s="38">
        <f t="shared" si="13"/>
        <v>8000</v>
      </c>
      <c r="H269" s="38"/>
    </row>
    <row r="270" spans="1:8" s="42" customFormat="1" ht="18.75" x14ac:dyDescent="0.3">
      <c r="A270" s="35"/>
      <c r="B270" s="653">
        <f>EUMATT!A92</f>
        <v>597</v>
      </c>
      <c r="C270" s="653" t="str">
        <f>EUMATT!B92</f>
        <v>FOLLEY CATHETER SIZE 16"</v>
      </c>
      <c r="D270" s="654">
        <f>EUMATT!C92</f>
        <v>10</v>
      </c>
      <c r="E270" s="653">
        <v>75</v>
      </c>
      <c r="F270" s="38">
        <f>EUMATT!E92</f>
        <v>1600</v>
      </c>
      <c r="G270" s="38">
        <f t="shared" si="13"/>
        <v>120000</v>
      </c>
      <c r="H270" s="38"/>
    </row>
    <row r="271" spans="1:8" s="42" customFormat="1" ht="18.75" x14ac:dyDescent="0.3">
      <c r="A271" s="35"/>
      <c r="B271" s="653">
        <f>EUMATT!A93</f>
        <v>598</v>
      </c>
      <c r="C271" s="653" t="str">
        <f>EUMATT!B93</f>
        <v>FOLLEY CATHETER SIZE 18"</v>
      </c>
      <c r="D271" s="654">
        <f>EUMATT!C93</f>
        <v>10</v>
      </c>
      <c r="E271" s="653">
        <v>50</v>
      </c>
      <c r="F271" s="38">
        <f>EUMATT!E93</f>
        <v>1600</v>
      </c>
      <c r="G271" s="38">
        <f t="shared" si="13"/>
        <v>80000</v>
      </c>
      <c r="H271" s="38"/>
    </row>
    <row r="272" spans="1:8" s="42" customFormat="1" ht="18.75" x14ac:dyDescent="0.3">
      <c r="A272" s="35"/>
      <c r="B272" s="653">
        <f>EUMATT!A94</f>
        <v>61</v>
      </c>
      <c r="C272" s="653" t="str">
        <f>EUMATT!B94</f>
        <v>FRUSEMIDE 20MG INJ</v>
      </c>
      <c r="D272" s="654">
        <f>EUMATT!C94</f>
        <v>100</v>
      </c>
      <c r="E272" s="653">
        <v>125</v>
      </c>
      <c r="F272" s="38">
        <f>EUMATT!E94</f>
        <v>2500</v>
      </c>
      <c r="G272" s="38">
        <f t="shared" si="13"/>
        <v>312500</v>
      </c>
      <c r="H272" s="38"/>
    </row>
    <row r="273" spans="1:8" s="42" customFormat="1" ht="23.25" x14ac:dyDescent="0.35">
      <c r="A273" s="35"/>
      <c r="B273" s="653">
        <f>EUMATT!A95</f>
        <v>630</v>
      </c>
      <c r="C273" s="653" t="str">
        <f>EUMATT!B95</f>
        <v>GAUZE ROLL 500G  (90CM X 100 YARD) CUTISOFT BSN</v>
      </c>
      <c r="D273" s="654" t="str">
        <f>EUMATT!C95</f>
        <v>PCS</v>
      </c>
      <c r="E273" s="653">
        <v>750</v>
      </c>
      <c r="F273" s="38">
        <f>EUMATT!E95</f>
        <v>3100</v>
      </c>
      <c r="G273" s="38">
        <f t="shared" si="13"/>
        <v>2325000</v>
      </c>
      <c r="H273" s="79"/>
    </row>
    <row r="274" spans="1:8" s="42" customFormat="1" ht="18.75" x14ac:dyDescent="0.3">
      <c r="A274" s="35"/>
      <c r="B274" s="653">
        <f>EUMATT!A96</f>
        <v>367</v>
      </c>
      <c r="C274" s="653" t="str">
        <f>EUMATT!B96</f>
        <v>HALOPERIDOL 5MG TAB</v>
      </c>
      <c r="D274" s="654">
        <f>EUMATT!C96</f>
        <v>1000</v>
      </c>
      <c r="E274" s="653">
        <v>1</v>
      </c>
      <c r="F274" s="38">
        <f>EUMATT!E96</f>
        <v>2900</v>
      </c>
      <c r="G274" s="38">
        <f t="shared" si="13"/>
        <v>2900</v>
      </c>
      <c r="H274" s="38"/>
    </row>
    <row r="275" spans="1:8" s="42" customFormat="1" ht="18.75" x14ac:dyDescent="0.3">
      <c r="A275" s="35"/>
      <c r="B275" s="653">
        <f>EUMATT!A97</f>
        <v>692</v>
      </c>
      <c r="C275" s="653" t="str">
        <f>EUMATT!B97</f>
        <v>HEXETIDINE MOUTH WASH</v>
      </c>
      <c r="D275" s="654" t="str">
        <f>EUMATT!C97</f>
        <v>BOTT</v>
      </c>
      <c r="E275" s="653">
        <v>130</v>
      </c>
      <c r="F275" s="38">
        <f>EUMATT!E97</f>
        <v>500</v>
      </c>
      <c r="G275" s="38">
        <f t="shared" si="13"/>
        <v>65000</v>
      </c>
      <c r="H275" s="35"/>
    </row>
    <row r="276" spans="1:8" s="42" customFormat="1" ht="18.75" x14ac:dyDescent="0.3">
      <c r="A276" s="35"/>
      <c r="B276" s="653">
        <f>EUMATT!A98</f>
        <v>64</v>
      </c>
      <c r="C276" s="653" t="str">
        <f>EUMATT!B98</f>
        <v>HYDRALLAZINE INJ</v>
      </c>
      <c r="D276" s="654">
        <f>EUMATT!C98</f>
        <v>100</v>
      </c>
      <c r="E276" s="653">
        <v>2</v>
      </c>
      <c r="F276" s="38">
        <f>EUMATT!E98</f>
        <v>9000</v>
      </c>
      <c r="G276" s="38">
        <f t="shared" si="13"/>
        <v>18000</v>
      </c>
      <c r="H276" s="35"/>
    </row>
    <row r="277" spans="1:8" s="42" customFormat="1" ht="18.75" x14ac:dyDescent="0.3">
      <c r="A277" s="35"/>
      <c r="B277" s="653">
        <f>EUMATT!A99</f>
        <v>604</v>
      </c>
      <c r="C277" s="653" t="str">
        <f>EUMATT!B99</f>
        <v xml:space="preserve">INFUSION GIVING SET </v>
      </c>
      <c r="D277" s="654">
        <f>EUMATT!C99</f>
        <v>500</v>
      </c>
      <c r="E277" s="653">
        <v>5</v>
      </c>
      <c r="F277" s="38">
        <f>EUMATT!E99</f>
        <v>19000</v>
      </c>
      <c r="G277" s="38">
        <f t="shared" si="13"/>
        <v>95000</v>
      </c>
      <c r="H277" s="35"/>
    </row>
    <row r="278" spans="1:8" s="42" customFormat="1" ht="23.25" x14ac:dyDescent="0.35">
      <c r="A278" s="35"/>
      <c r="B278" s="653">
        <f>EUMATT!A100</f>
        <v>605</v>
      </c>
      <c r="C278" s="653" t="str">
        <f>EUMATT!B100</f>
        <v>INSULIN SYRINGE 100IU/ML</v>
      </c>
      <c r="D278" s="654">
        <f>EUMATT!C100</f>
        <v>100</v>
      </c>
      <c r="E278" s="653">
        <v>8</v>
      </c>
      <c r="F278" s="38">
        <f>EUMATT!E100</f>
        <v>2200</v>
      </c>
      <c r="G278" s="38">
        <f t="shared" si="13"/>
        <v>17600</v>
      </c>
      <c r="H278" s="186"/>
    </row>
    <row r="279" spans="1:8" s="42" customFormat="1" ht="18.75" x14ac:dyDescent="0.3">
      <c r="A279" s="35"/>
      <c r="B279" s="653">
        <f>EUMATT!A101</f>
        <v>73</v>
      </c>
      <c r="C279" s="653" t="str">
        <f>EUMATT!B101</f>
        <v>LABETALOL INJ</v>
      </c>
      <c r="D279" s="654" t="str">
        <f>EUMATT!C101</f>
        <v>AMP</v>
      </c>
      <c r="E279" s="653">
        <v>100</v>
      </c>
      <c r="F279" s="38">
        <f>EUMATT!E101</f>
        <v>750</v>
      </c>
      <c r="G279" s="38">
        <f t="shared" si="13"/>
        <v>75000</v>
      </c>
      <c r="H279" s="35"/>
    </row>
    <row r="280" spans="1:8" s="42" customFormat="1" ht="18.75" x14ac:dyDescent="0.3">
      <c r="A280" s="35"/>
      <c r="B280" s="653">
        <f>EUMATT!A102</f>
        <v>74</v>
      </c>
      <c r="C280" s="653" t="str">
        <f>EUMATT!B102</f>
        <v>LABETALOL TAB</v>
      </c>
      <c r="D280" s="654">
        <f>EUMATT!C102</f>
        <v>30</v>
      </c>
      <c r="E280" s="653">
        <v>20</v>
      </c>
      <c r="F280" s="38">
        <f>EUMATT!E102</f>
        <v>3100</v>
      </c>
      <c r="G280" s="38">
        <f t="shared" si="13"/>
        <v>62000</v>
      </c>
      <c r="H280" s="38"/>
    </row>
    <row r="281" spans="1:8" s="42" customFormat="1" ht="23.25" x14ac:dyDescent="0.35">
      <c r="A281" s="35"/>
      <c r="B281" s="653">
        <f>EUMATT!A103</f>
        <v>606</v>
      </c>
      <c r="C281" s="653" t="str">
        <f>EUMATT!B103</f>
        <v>LATEX GLOVES (SUPER CARE)</v>
      </c>
      <c r="D281" s="654" t="str">
        <f>EUMATT!C103</f>
        <v>CARTON</v>
      </c>
      <c r="E281" s="653">
        <v>2100</v>
      </c>
      <c r="F281" s="38">
        <f>EUMATT!E103</f>
        <v>8900</v>
      </c>
      <c r="G281" s="38">
        <f t="shared" si="13"/>
        <v>18690000</v>
      </c>
      <c r="H281" s="79"/>
    </row>
    <row r="282" spans="1:8" s="42" customFormat="1" ht="18.75" x14ac:dyDescent="0.3">
      <c r="A282" s="35"/>
      <c r="B282" s="653">
        <f>EUMATT!A104</f>
        <v>261</v>
      </c>
      <c r="C282" s="653" t="str">
        <f>EUMATT!B104</f>
        <v>LEVOFLOXACIN 500MG TAB</v>
      </c>
      <c r="D282" s="654">
        <f>EUMATT!C104</f>
        <v>10</v>
      </c>
      <c r="E282" s="653">
        <v>72</v>
      </c>
      <c r="F282" s="38">
        <f>EUMATT!E104</f>
        <v>250</v>
      </c>
      <c r="G282" s="38">
        <f t="shared" si="13"/>
        <v>18000</v>
      </c>
      <c r="H282" s="38"/>
    </row>
    <row r="283" spans="1:8" s="42" customFormat="1" ht="18.75" x14ac:dyDescent="0.3">
      <c r="A283" s="35"/>
      <c r="B283" s="653">
        <f>EUMATT!A105</f>
        <v>75</v>
      </c>
      <c r="C283" s="653" t="str">
        <f>EUMATT!B105</f>
        <v>LISINOPRIL 10MG</v>
      </c>
      <c r="D283" s="654">
        <f>EUMATT!C105</f>
        <v>28</v>
      </c>
      <c r="E283" s="653">
        <v>150</v>
      </c>
      <c r="F283" s="38">
        <f>EUMATT!E105</f>
        <v>300</v>
      </c>
      <c r="G283" s="38">
        <f t="shared" si="13"/>
        <v>45000</v>
      </c>
      <c r="H283" s="38"/>
    </row>
    <row r="284" spans="1:8" s="42" customFormat="1" ht="18.75" x14ac:dyDescent="0.3">
      <c r="A284" s="35"/>
      <c r="B284" s="653">
        <f>EUMATT!A106</f>
        <v>76</v>
      </c>
      <c r="C284" s="653" t="str">
        <f>EUMATT!B106</f>
        <v>LISINOPRIL 5MG</v>
      </c>
      <c r="D284" s="654">
        <f>EUMATT!C106</f>
        <v>28</v>
      </c>
      <c r="E284" s="653">
        <v>375</v>
      </c>
      <c r="F284" s="38">
        <f>EUMATT!E106</f>
        <v>230</v>
      </c>
      <c r="G284" s="38">
        <f t="shared" si="13"/>
        <v>86250</v>
      </c>
      <c r="H284" s="38"/>
    </row>
    <row r="285" spans="1:8" s="42" customFormat="1" ht="18.75" x14ac:dyDescent="0.3">
      <c r="A285" s="35"/>
      <c r="B285" s="653">
        <f>EUMATT!A107</f>
        <v>434</v>
      </c>
      <c r="C285" s="653" t="str">
        <f>EUMATT!B107</f>
        <v>LOPERAMIDE CAP</v>
      </c>
      <c r="D285" s="654">
        <f>EUMATT!C107</f>
        <v>10</v>
      </c>
      <c r="E285" s="653">
        <v>50</v>
      </c>
      <c r="F285" s="38">
        <f>EUMATT!E107</f>
        <v>40</v>
      </c>
      <c r="G285" s="38">
        <f t="shared" si="13"/>
        <v>2000</v>
      </c>
      <c r="H285" s="38"/>
    </row>
    <row r="286" spans="1:8" s="42" customFormat="1" ht="23.25" x14ac:dyDescent="0.35">
      <c r="A286" s="35"/>
      <c r="B286" s="653">
        <f>EUMATT!A108</f>
        <v>77</v>
      </c>
      <c r="C286" s="653" t="str">
        <f>EUMATT!B108</f>
        <v>LOSARTAN 25MG</v>
      </c>
      <c r="D286" s="654">
        <f>EUMATT!C108</f>
        <v>30</v>
      </c>
      <c r="E286" s="653">
        <v>500</v>
      </c>
      <c r="F286" s="38">
        <f>EUMATT!E108</f>
        <v>480</v>
      </c>
      <c r="G286" s="38">
        <f t="shared" si="13"/>
        <v>240000</v>
      </c>
      <c r="H286" s="186"/>
    </row>
    <row r="287" spans="1:8" s="42" customFormat="1" ht="18.75" x14ac:dyDescent="0.3">
      <c r="A287" s="35"/>
      <c r="B287" s="653">
        <f>EUMATT!A109</f>
        <v>78</v>
      </c>
      <c r="C287" s="653" t="str">
        <f>EUMATT!B109</f>
        <v>LOSARTAN 50MG</v>
      </c>
      <c r="D287" s="654">
        <f>EUMATT!C109</f>
        <v>30</v>
      </c>
      <c r="E287" s="653">
        <v>180</v>
      </c>
      <c r="F287" s="38">
        <f>EUMATT!E109</f>
        <v>600</v>
      </c>
      <c r="G287" s="38">
        <f t="shared" si="13"/>
        <v>108000</v>
      </c>
      <c r="H287" s="35"/>
    </row>
    <row r="288" spans="1:8" s="42" customFormat="1" ht="23.25" x14ac:dyDescent="0.35">
      <c r="A288" s="35"/>
      <c r="B288" s="653">
        <f>EUMATT!A110</f>
        <v>169</v>
      </c>
      <c r="C288" s="653" t="str">
        <f>EUMATT!B110</f>
        <v xml:space="preserve">METHYL PREDNISOLONE INJ </v>
      </c>
      <c r="D288" s="654" t="str">
        <f>EUMATT!C110</f>
        <v>VIAL</v>
      </c>
      <c r="E288" s="653">
        <v>75</v>
      </c>
      <c r="F288" s="38">
        <f>EUMATT!E110</f>
        <v>750</v>
      </c>
      <c r="G288" s="38">
        <f t="shared" si="13"/>
        <v>56250</v>
      </c>
      <c r="H288" s="79"/>
    </row>
    <row r="289" spans="1:8" s="42" customFormat="1" ht="18.75" x14ac:dyDescent="0.3">
      <c r="A289" s="35"/>
      <c r="B289" s="653">
        <f>EUMATT!A111</f>
        <v>436</v>
      </c>
      <c r="C289" s="653" t="str">
        <f>EUMATT!B111</f>
        <v>METOCLOPRAMIDE 10MG INJ</v>
      </c>
      <c r="D289" s="654">
        <f>EUMATT!C111</f>
        <v>100</v>
      </c>
      <c r="E289" s="653">
        <v>15</v>
      </c>
      <c r="F289" s="38">
        <f>EUMATT!E111</f>
        <v>1500</v>
      </c>
      <c r="G289" s="38">
        <f t="shared" si="13"/>
        <v>22500</v>
      </c>
      <c r="H289" s="38"/>
    </row>
    <row r="290" spans="1:8" s="42" customFormat="1" ht="18.75" x14ac:dyDescent="0.3">
      <c r="A290" s="35"/>
      <c r="B290" s="653">
        <f>EUMATT!A112</f>
        <v>81</v>
      </c>
      <c r="C290" s="653" t="str">
        <f>EUMATT!B112</f>
        <v>METOLAZONE 2.5MG TAB</v>
      </c>
      <c r="D290" s="654">
        <f>EUMATT!C112</f>
        <v>100</v>
      </c>
      <c r="E290" s="653">
        <v>3</v>
      </c>
      <c r="F290" s="38">
        <f>EUMATT!E112</f>
        <v>12000</v>
      </c>
      <c r="G290" s="38">
        <f t="shared" si="13"/>
        <v>36000</v>
      </c>
      <c r="H290" s="38"/>
    </row>
    <row r="291" spans="1:8" s="42" customFormat="1" ht="18.75" x14ac:dyDescent="0.3">
      <c r="A291" s="35"/>
      <c r="B291" s="653">
        <f>EUMATT!A113</f>
        <v>82</v>
      </c>
      <c r="C291" s="653" t="str">
        <f>EUMATT!B113</f>
        <v>METOLAZONE 5MG TAB</v>
      </c>
      <c r="D291" s="654">
        <f>EUMATT!C113</f>
        <v>100</v>
      </c>
      <c r="E291" s="653">
        <v>3</v>
      </c>
      <c r="F291" s="38">
        <f>EUMATT!E113</f>
        <v>15000</v>
      </c>
      <c r="G291" s="38">
        <f t="shared" si="13"/>
        <v>45000</v>
      </c>
      <c r="H291" s="35"/>
    </row>
    <row r="292" spans="1:8" s="42" customFormat="1" ht="18.75" x14ac:dyDescent="0.3">
      <c r="A292" s="35"/>
      <c r="B292" s="653">
        <f>EUMATT!A114</f>
        <v>267</v>
      </c>
      <c r="C292" s="653" t="str">
        <f>EUMATT!B114</f>
        <v>METRONIDAZOLE SUSP</v>
      </c>
      <c r="D292" s="654" t="str">
        <f>EUMATT!C114</f>
        <v>BOTT</v>
      </c>
      <c r="E292" s="653">
        <v>75</v>
      </c>
      <c r="F292" s="38">
        <f>EUMATT!E114</f>
        <v>100</v>
      </c>
      <c r="G292" s="38">
        <f t="shared" si="13"/>
        <v>7500</v>
      </c>
      <c r="H292" s="35"/>
    </row>
    <row r="293" spans="1:8" s="42" customFormat="1" ht="18.75" x14ac:dyDescent="0.3">
      <c r="A293" s="35"/>
      <c r="B293" s="653">
        <f>EUMATT!A115</f>
        <v>407</v>
      </c>
      <c r="C293" s="653" t="str">
        <f>EUMATT!B115</f>
        <v>MIDAZOLAM INJ</v>
      </c>
      <c r="D293" s="654">
        <f>EUMATT!C115</f>
        <v>10</v>
      </c>
      <c r="E293" s="653">
        <v>6</v>
      </c>
      <c r="F293" s="38">
        <f>EUMATT!E115</f>
        <v>16900</v>
      </c>
      <c r="G293" s="38">
        <f t="shared" si="13"/>
        <v>101400</v>
      </c>
      <c r="H293" s="35"/>
    </row>
    <row r="294" spans="1:8" s="42" customFormat="1" ht="18.75" x14ac:dyDescent="0.3">
      <c r="A294" s="35"/>
      <c r="B294" s="653">
        <f>EUMATT!A116</f>
        <v>314</v>
      </c>
      <c r="C294" s="653" t="str">
        <f>EUMATT!B116</f>
        <v>MULTIVITE DROPS  (ABIDEC)</v>
      </c>
      <c r="D294" s="654" t="str">
        <f>EUMATT!C116</f>
        <v>BOTT</v>
      </c>
      <c r="E294" s="653">
        <v>50</v>
      </c>
      <c r="F294" s="38">
        <f>EUMATT!E116</f>
        <v>990</v>
      </c>
      <c r="G294" s="38">
        <f t="shared" si="13"/>
        <v>49500</v>
      </c>
      <c r="H294" s="38"/>
    </row>
    <row r="295" spans="1:8" s="42" customFormat="1" ht="18.75" x14ac:dyDescent="0.3">
      <c r="A295" s="35"/>
      <c r="B295" s="653">
        <f>EUMATT!A117</f>
        <v>316</v>
      </c>
      <c r="C295" s="653" t="str">
        <f>EUMATT!B117</f>
        <v>MULTIVITE TAB</v>
      </c>
      <c r="D295" s="654">
        <f>EUMATT!C117</f>
        <v>1000</v>
      </c>
      <c r="E295" s="653">
        <v>25</v>
      </c>
      <c r="F295" s="38">
        <f>EUMATT!E117</f>
        <v>700</v>
      </c>
      <c r="G295" s="38">
        <f t="shared" si="13"/>
        <v>17500</v>
      </c>
      <c r="H295" s="38"/>
    </row>
    <row r="296" spans="1:8" s="42" customFormat="1" ht="23.25" x14ac:dyDescent="0.35">
      <c r="A296" s="35"/>
      <c r="B296" s="653">
        <f>EUMATT!A118</f>
        <v>614</v>
      </c>
      <c r="C296" s="653" t="str">
        <f>EUMATT!B118</f>
        <v>NASOGASTRIC TUBE 20"</v>
      </c>
      <c r="D296" s="654">
        <f>EUMATT!C118</f>
        <v>10</v>
      </c>
      <c r="E296" s="653">
        <v>1</v>
      </c>
      <c r="F296" s="38">
        <f>EUMATT!E118</f>
        <v>600</v>
      </c>
      <c r="G296" s="38">
        <f t="shared" si="13"/>
        <v>600</v>
      </c>
      <c r="H296" s="79"/>
    </row>
    <row r="297" spans="1:8" s="42" customFormat="1" ht="18.75" x14ac:dyDescent="0.3">
      <c r="A297" s="35"/>
      <c r="B297" s="653">
        <f>EUMATT!A119</f>
        <v>438</v>
      </c>
      <c r="C297" s="653" t="str">
        <f>EUMATT!B119</f>
        <v>N-BUTYL HYOSCINE HYDROBROMIDE 10MG/ML INJ</v>
      </c>
      <c r="D297" s="654">
        <f>EUMATT!C119</f>
        <v>100</v>
      </c>
      <c r="E297" s="653">
        <v>2</v>
      </c>
      <c r="F297" s="38">
        <f>EUMATT!E119</f>
        <v>4500</v>
      </c>
      <c r="G297" s="38">
        <f t="shared" si="13"/>
        <v>9000</v>
      </c>
      <c r="H297" s="38"/>
    </row>
    <row r="298" spans="1:8" s="42" customFormat="1" ht="18.75" x14ac:dyDescent="0.3">
      <c r="A298" s="35"/>
      <c r="B298" s="653">
        <f>EUMATT!A120</f>
        <v>439</v>
      </c>
      <c r="C298" s="653" t="str">
        <f>EUMATT!B120</f>
        <v>N-BUTYL HYOSCINE HYDROBROMIDE TAB</v>
      </c>
      <c r="D298" s="654">
        <f>EUMATT!C120</f>
        <v>100</v>
      </c>
      <c r="E298" s="653">
        <v>25</v>
      </c>
      <c r="F298" s="38">
        <f>EUMATT!E120</f>
        <v>1200</v>
      </c>
      <c r="G298" s="38">
        <f t="shared" si="13"/>
        <v>30000</v>
      </c>
      <c r="H298" s="38"/>
    </row>
    <row r="299" spans="1:8" s="42" customFormat="1" ht="18.75" x14ac:dyDescent="0.3">
      <c r="A299" s="35"/>
      <c r="B299" s="653">
        <f>EUMATT!A121</f>
        <v>368</v>
      </c>
      <c r="C299" s="653" t="str">
        <f>EUMATT!B121</f>
        <v>NEFOPAM INJ</v>
      </c>
      <c r="D299" s="654">
        <f>EUMATT!C121</f>
        <v>5</v>
      </c>
      <c r="E299" s="653">
        <v>25</v>
      </c>
      <c r="F299" s="38">
        <f>EUMATT!E121</f>
        <v>3000</v>
      </c>
      <c r="G299" s="38">
        <f t="shared" si="13"/>
        <v>75000</v>
      </c>
      <c r="H299" s="35"/>
    </row>
    <row r="300" spans="1:8" s="42" customFormat="1" ht="18.75" x14ac:dyDescent="0.3">
      <c r="A300" s="35"/>
      <c r="B300" s="653">
        <f>EUMATT!A122</f>
        <v>270</v>
      </c>
      <c r="C300" s="653" t="str">
        <f>EUMATT!B122</f>
        <v>NEOMYCIN 500MG TAB</v>
      </c>
      <c r="D300" s="654">
        <f>EUMATT!C122</f>
        <v>100</v>
      </c>
      <c r="E300" s="653">
        <v>5</v>
      </c>
      <c r="F300" s="38">
        <f>EUMATT!E122</f>
        <v>3300</v>
      </c>
      <c r="G300" s="38">
        <f t="shared" si="13"/>
        <v>16500</v>
      </c>
      <c r="H300" s="35"/>
    </row>
    <row r="301" spans="1:8" s="42" customFormat="1" ht="18.75" x14ac:dyDescent="0.3">
      <c r="A301" s="35"/>
      <c r="B301" s="653">
        <f>EUMATT!A123</f>
        <v>408</v>
      </c>
      <c r="C301" s="653" t="str">
        <f>EUMATT!B123</f>
        <v>NEOSTIGMINE INJ</v>
      </c>
      <c r="D301" s="654">
        <f>EUMATT!C123</f>
        <v>100</v>
      </c>
      <c r="E301" s="653">
        <v>2</v>
      </c>
      <c r="F301" s="38">
        <f>EUMATT!E123</f>
        <v>19500</v>
      </c>
      <c r="G301" s="38">
        <f t="shared" si="13"/>
        <v>39000</v>
      </c>
      <c r="H301" s="35"/>
    </row>
    <row r="302" spans="1:8" s="42" customFormat="1" ht="18.75" x14ac:dyDescent="0.3">
      <c r="A302" s="35"/>
      <c r="B302" s="653">
        <f>EUMATT!A124</f>
        <v>87</v>
      </c>
      <c r="C302" s="653" t="str">
        <f>EUMATT!B124</f>
        <v>NIFEDIPINE 20MG</v>
      </c>
      <c r="D302" s="654">
        <f>EUMATT!C124</f>
        <v>100</v>
      </c>
      <c r="E302" s="653">
        <v>150</v>
      </c>
      <c r="F302" s="38">
        <f>EUMATT!E124</f>
        <v>150</v>
      </c>
      <c r="G302" s="38">
        <f t="shared" si="13"/>
        <v>22500</v>
      </c>
      <c r="H302" s="38"/>
    </row>
    <row r="303" spans="1:8" s="42" customFormat="1" ht="18.75" x14ac:dyDescent="0.3">
      <c r="A303" s="35"/>
      <c r="B303" s="653">
        <f>EUMATT!A125</f>
        <v>369</v>
      </c>
      <c r="C303" s="653" t="str">
        <f>EUMATT!B125</f>
        <v>NITRAZEPAM 5MG</v>
      </c>
      <c r="D303" s="654">
        <f>EUMATT!C125</f>
        <v>500</v>
      </c>
      <c r="E303" s="653">
        <v>2</v>
      </c>
      <c r="F303" s="38">
        <f>EUMATT!E125</f>
        <v>9800</v>
      </c>
      <c r="G303" s="38">
        <f t="shared" si="13"/>
        <v>19600</v>
      </c>
      <c r="H303" s="38"/>
    </row>
    <row r="304" spans="1:8" s="42" customFormat="1" ht="23.25" x14ac:dyDescent="0.35">
      <c r="A304" s="35"/>
      <c r="B304" s="653">
        <f>EUMATT!A126</f>
        <v>271</v>
      </c>
      <c r="C304" s="653" t="str">
        <f>EUMATT!B126</f>
        <v>NITROFURANTOIN 100MG TAB</v>
      </c>
      <c r="D304" s="654">
        <f>EUMATT!C126</f>
        <v>1000</v>
      </c>
      <c r="E304" s="653">
        <v>1</v>
      </c>
      <c r="F304" s="38">
        <f>EUMATT!E126</f>
        <v>3200</v>
      </c>
      <c r="G304" s="38">
        <f t="shared" si="13"/>
        <v>3200</v>
      </c>
      <c r="H304" s="186"/>
    </row>
    <row r="305" spans="1:8" s="42" customFormat="1" ht="18.75" x14ac:dyDescent="0.3">
      <c r="A305" s="35"/>
      <c r="B305" s="653">
        <f>EUMATT!A127</f>
        <v>705</v>
      </c>
      <c r="C305" s="653" t="str">
        <f>EUMATT!B127</f>
        <v>NYLON 2</v>
      </c>
      <c r="D305" s="654">
        <f>EUMATT!C127</f>
        <v>12</v>
      </c>
      <c r="E305" s="653">
        <v>3</v>
      </c>
      <c r="F305" s="38">
        <f>EUMATT!E127</f>
        <v>700</v>
      </c>
      <c r="G305" s="38">
        <f t="shared" si="13"/>
        <v>2100</v>
      </c>
      <c r="H305" s="35"/>
    </row>
    <row r="306" spans="1:8" s="42" customFormat="1" ht="18.75" x14ac:dyDescent="0.3">
      <c r="A306" s="35"/>
      <c r="B306" s="653">
        <f>EUMATT!A128</f>
        <v>706</v>
      </c>
      <c r="C306" s="653" t="str">
        <f>EUMATT!B128</f>
        <v>NYLON 2/0  (40-45) LONG NEEDLE</v>
      </c>
      <c r="D306" s="654">
        <f>EUMATT!C128</f>
        <v>12</v>
      </c>
      <c r="E306" s="653">
        <v>13</v>
      </c>
      <c r="F306" s="38">
        <f>EUMATT!E128</f>
        <v>700</v>
      </c>
      <c r="G306" s="38">
        <f t="shared" si="13"/>
        <v>9100</v>
      </c>
      <c r="H306" s="35"/>
    </row>
    <row r="307" spans="1:8" s="42" customFormat="1" ht="18.75" x14ac:dyDescent="0.3">
      <c r="A307" s="35"/>
      <c r="B307" s="653">
        <f>EUMATT!A129</f>
        <v>370</v>
      </c>
      <c r="C307" s="653" t="str">
        <f>EUMATT!B129</f>
        <v>OLANZEPINE 10MG</v>
      </c>
      <c r="D307" s="654">
        <f>EUMATT!C129</f>
        <v>30</v>
      </c>
      <c r="E307" s="653">
        <v>52</v>
      </c>
      <c r="F307" s="38">
        <f>EUMATT!E129</f>
        <v>2000</v>
      </c>
      <c r="G307" s="38">
        <f t="shared" si="13"/>
        <v>104000</v>
      </c>
      <c r="H307" s="35"/>
    </row>
    <row r="308" spans="1:8" s="42" customFormat="1" ht="23.25" x14ac:dyDescent="0.35">
      <c r="A308" s="35"/>
      <c r="B308" s="653">
        <f>EUMATT!A130</f>
        <v>371</v>
      </c>
      <c r="C308" s="653" t="str">
        <f>EUMATT!B130</f>
        <v>OLANZEPINE 5MG</v>
      </c>
      <c r="D308" s="654">
        <f>EUMATT!C130</f>
        <v>30</v>
      </c>
      <c r="E308" s="653">
        <v>35</v>
      </c>
      <c r="F308" s="38">
        <f>EUMATT!E130</f>
        <v>1600</v>
      </c>
      <c r="G308" s="38">
        <f t="shared" si="13"/>
        <v>56000</v>
      </c>
      <c r="H308" s="79"/>
    </row>
    <row r="309" spans="1:8" s="42" customFormat="1" ht="18.75" x14ac:dyDescent="0.3">
      <c r="A309" s="35"/>
      <c r="B309" s="653">
        <f>EUMATT!A131</f>
        <v>522</v>
      </c>
      <c r="C309" s="653" t="str">
        <f>EUMATT!B131</f>
        <v>OLOPATADINE GTT</v>
      </c>
      <c r="D309" s="654" t="str">
        <f>EUMATT!C131</f>
        <v>BOTT</v>
      </c>
      <c r="E309" s="653">
        <v>5</v>
      </c>
      <c r="F309" s="38">
        <f>EUMATT!E131</f>
        <v>760</v>
      </c>
      <c r="G309" s="38">
        <f t="shared" si="13"/>
        <v>3800</v>
      </c>
      <c r="H309" s="38"/>
    </row>
    <row r="310" spans="1:8" s="42" customFormat="1" ht="18.75" x14ac:dyDescent="0.3">
      <c r="A310" s="35"/>
      <c r="B310" s="653">
        <f>EUMATT!A132</f>
        <v>319</v>
      </c>
      <c r="C310" s="653" t="str">
        <f>EUMATT!B132</f>
        <v>OMEGA3 FATTY ACIDS  (MARINA 1000)</v>
      </c>
      <c r="D310" s="654">
        <f>EUMATT!C132</f>
        <v>30</v>
      </c>
      <c r="E310" s="653">
        <v>500</v>
      </c>
      <c r="F310" s="38">
        <f>EUMATT!E132</f>
        <v>1050</v>
      </c>
      <c r="G310" s="38">
        <f t="shared" si="13"/>
        <v>525000</v>
      </c>
      <c r="H310" s="38"/>
    </row>
    <row r="311" spans="1:8" s="42" customFormat="1" ht="18.75" x14ac:dyDescent="0.3">
      <c r="A311" s="35"/>
      <c r="B311" s="653">
        <f>EUMATT!A133</f>
        <v>442</v>
      </c>
      <c r="C311" s="653" t="str">
        <f>EUMATT!B133</f>
        <v>OMEPRAZOLE IV</v>
      </c>
      <c r="D311" s="654" t="str">
        <f>EUMATT!C133</f>
        <v xml:space="preserve">VIAL </v>
      </c>
      <c r="E311" s="653">
        <v>2000</v>
      </c>
      <c r="F311" s="38">
        <f>EUMATT!E133</f>
        <v>250</v>
      </c>
      <c r="G311" s="38">
        <f t="shared" si="13"/>
        <v>500000</v>
      </c>
      <c r="H311" s="38"/>
    </row>
    <row r="312" spans="1:8" s="42" customFormat="1" ht="23.25" x14ac:dyDescent="0.35">
      <c r="A312" s="35"/>
      <c r="B312" s="653">
        <f>EUMATT!A134</f>
        <v>444</v>
      </c>
      <c r="C312" s="653" t="str">
        <f>EUMATT!B134</f>
        <v>ONDASETRON INJ</v>
      </c>
      <c r="D312" s="654" t="str">
        <f>EUMATT!C134</f>
        <v>AMP</v>
      </c>
      <c r="E312" s="653">
        <v>400</v>
      </c>
      <c r="F312" s="38">
        <f>EUMATT!E134</f>
        <v>300</v>
      </c>
      <c r="G312" s="38">
        <f t="shared" ref="G312:G372" si="14">E312*F312</f>
        <v>120000</v>
      </c>
      <c r="H312" s="79"/>
    </row>
    <row r="313" spans="1:8" s="42" customFormat="1" ht="18.75" x14ac:dyDescent="0.3">
      <c r="A313" s="35"/>
      <c r="B313" s="653">
        <f>EUMATT!A135</f>
        <v>176</v>
      </c>
      <c r="C313" s="653" t="str">
        <f>EUMATT!B135</f>
        <v>ORPHENADRINE 100MG TAB</v>
      </c>
      <c r="D313" s="654">
        <f>EUMATT!C135</f>
        <v>100</v>
      </c>
      <c r="E313" s="653">
        <v>5</v>
      </c>
      <c r="F313" s="38">
        <f>EUMATT!E135</f>
        <v>3200</v>
      </c>
      <c r="G313" s="38">
        <f t="shared" si="14"/>
        <v>16000</v>
      </c>
      <c r="H313" s="38"/>
    </row>
    <row r="314" spans="1:8" s="42" customFormat="1" ht="23.25" x14ac:dyDescent="0.35">
      <c r="A314" s="35"/>
      <c r="B314" s="653">
        <f>EUMATT!A136</f>
        <v>178</v>
      </c>
      <c r="C314" s="653" t="str">
        <f>EUMATT!B136</f>
        <v>PARACETAMOL 300MG INJ</v>
      </c>
      <c r="D314" s="654">
        <f>EUMATT!C136</f>
        <v>100</v>
      </c>
      <c r="E314" s="653">
        <v>20</v>
      </c>
      <c r="F314" s="38">
        <f>EUMATT!E136</f>
        <v>1600</v>
      </c>
      <c r="G314" s="38">
        <f t="shared" si="14"/>
        <v>32000</v>
      </c>
      <c r="H314" s="186"/>
    </row>
    <row r="315" spans="1:8" s="42" customFormat="1" ht="18.75" x14ac:dyDescent="0.3">
      <c r="A315" s="35"/>
      <c r="B315" s="653">
        <f>EUMATT!A137</f>
        <v>372</v>
      </c>
      <c r="C315" s="653" t="str">
        <f>EUMATT!B137</f>
        <v>PARALDEHYDE INJ</v>
      </c>
      <c r="D315" s="654">
        <f>EUMATT!C137</f>
        <v>5</v>
      </c>
      <c r="E315" s="653">
        <v>15</v>
      </c>
      <c r="F315" s="38">
        <f>EUMATT!E137</f>
        <v>1500</v>
      </c>
      <c r="G315" s="38">
        <f t="shared" si="14"/>
        <v>22500</v>
      </c>
      <c r="H315" s="35"/>
    </row>
    <row r="316" spans="1:8" s="42" customFormat="1" ht="18.75" x14ac:dyDescent="0.3">
      <c r="A316" s="35"/>
      <c r="B316" s="653">
        <f>EUMATT!A138</f>
        <v>662</v>
      </c>
      <c r="C316" s="653" t="str">
        <f>EUMATT!B138</f>
        <v>PERMETHRIN CREAM</v>
      </c>
      <c r="D316" s="654" t="str">
        <f>EUMATT!C138</f>
        <v>TUBE</v>
      </c>
      <c r="E316" s="653">
        <v>5</v>
      </c>
      <c r="F316" s="38">
        <f>EUMATT!E138</f>
        <v>1800</v>
      </c>
      <c r="G316" s="38">
        <f t="shared" si="14"/>
        <v>9000</v>
      </c>
      <c r="H316" s="35"/>
    </row>
    <row r="317" spans="1:8" s="42" customFormat="1" ht="23.25" x14ac:dyDescent="0.35">
      <c r="A317" s="35"/>
      <c r="B317" s="653">
        <f>EUMATT!A139</f>
        <v>374</v>
      </c>
      <c r="C317" s="653" t="str">
        <f>EUMATT!B139</f>
        <v>PHENOBARBITONE 200MG INJ</v>
      </c>
      <c r="D317" s="654">
        <f>EUMATT!C139</f>
        <v>100</v>
      </c>
      <c r="E317" s="653">
        <v>2</v>
      </c>
      <c r="F317" s="38">
        <f>EUMATT!E139</f>
        <v>70000</v>
      </c>
      <c r="G317" s="38">
        <f t="shared" si="14"/>
        <v>140000</v>
      </c>
      <c r="H317" s="79"/>
    </row>
    <row r="318" spans="1:8" s="42" customFormat="1" ht="18.75" x14ac:dyDescent="0.3">
      <c r="A318" s="35"/>
      <c r="B318" s="653">
        <f>EUMATT!A140</f>
        <v>375</v>
      </c>
      <c r="C318" s="653" t="str">
        <f>EUMATT!B140</f>
        <v>PHENOBARBITONE 30MG TAB</v>
      </c>
      <c r="D318" s="654">
        <f>EUMATT!C140</f>
        <v>1000</v>
      </c>
      <c r="E318" s="653">
        <v>3</v>
      </c>
      <c r="F318" s="38">
        <f>EUMATT!E140</f>
        <v>6000</v>
      </c>
      <c r="G318" s="38">
        <f t="shared" si="14"/>
        <v>18000</v>
      </c>
      <c r="H318" s="38"/>
    </row>
    <row r="319" spans="1:8" s="42" customFormat="1" ht="18.75" x14ac:dyDescent="0.3">
      <c r="A319" s="35"/>
      <c r="B319" s="653">
        <f>EUMATT!A141</f>
        <v>376</v>
      </c>
      <c r="C319" s="653" t="str">
        <f>EUMATT!B141</f>
        <v>PHENYTOIN CAP</v>
      </c>
      <c r="D319" s="654">
        <f>EUMATT!C141</f>
        <v>100</v>
      </c>
      <c r="E319" s="653">
        <v>1</v>
      </c>
      <c r="F319" s="38">
        <f>EUMATT!E141</f>
        <v>5800</v>
      </c>
      <c r="G319" s="38">
        <f t="shared" si="14"/>
        <v>5800</v>
      </c>
      <c r="H319" s="38"/>
    </row>
    <row r="320" spans="1:8" s="42" customFormat="1" ht="18.75" x14ac:dyDescent="0.3">
      <c r="A320" s="35"/>
      <c r="B320" s="653">
        <f>EUMATT!A142</f>
        <v>377</v>
      </c>
      <c r="C320" s="653" t="str">
        <f>EUMATT!B142</f>
        <v>PHENYTOIN INJ</v>
      </c>
      <c r="D320" s="654">
        <f>EUMATT!C142</f>
        <v>5</v>
      </c>
      <c r="E320" s="653">
        <v>4</v>
      </c>
      <c r="F320" s="38">
        <f>EUMATT!E142</f>
        <v>4200</v>
      </c>
      <c r="G320" s="38">
        <f t="shared" si="14"/>
        <v>16800</v>
      </c>
      <c r="H320" s="38"/>
    </row>
    <row r="321" spans="1:8" s="42" customFormat="1" ht="18.75" x14ac:dyDescent="0.3">
      <c r="A321" s="35"/>
      <c r="B321" s="653">
        <f>EUMATT!A143</f>
        <v>525</v>
      </c>
      <c r="C321" s="653" t="str">
        <f>EUMATT!B143</f>
        <v>PILOCARPINE 2% GTT</v>
      </c>
      <c r="D321" s="654" t="str">
        <f>EUMATT!C143</f>
        <v>BOTT</v>
      </c>
      <c r="E321" s="653">
        <v>20</v>
      </c>
      <c r="F321" s="38">
        <f>EUMATT!E143</f>
        <v>1500</v>
      </c>
      <c r="G321" s="38">
        <f t="shared" si="14"/>
        <v>30000</v>
      </c>
      <c r="H321" s="38"/>
    </row>
    <row r="322" spans="1:8" s="42" customFormat="1" ht="18.75" x14ac:dyDescent="0.3">
      <c r="A322" s="35"/>
      <c r="B322" s="653">
        <f>EUMATT!A144</f>
        <v>524</v>
      </c>
      <c r="C322" s="653" t="str">
        <f>EUMATT!B144</f>
        <v>PILOCARPINE 4% GTT</v>
      </c>
      <c r="D322" s="654" t="str">
        <f>EUMATT!C144</f>
        <v>BOTT</v>
      </c>
      <c r="E322" s="653">
        <v>20</v>
      </c>
      <c r="F322" s="38">
        <f>EUMATT!E144</f>
        <v>2300</v>
      </c>
      <c r="G322" s="38">
        <f t="shared" si="14"/>
        <v>46000</v>
      </c>
      <c r="H322" s="38"/>
    </row>
    <row r="323" spans="1:8" s="42" customFormat="1" ht="23.25" x14ac:dyDescent="0.35">
      <c r="A323" s="35"/>
      <c r="B323" s="653">
        <f>EUMATT!A145</f>
        <v>621</v>
      </c>
      <c r="C323" s="653" t="str">
        <f>EUMATT!B145</f>
        <v>PLASTER 1" (2.5CM X 5M) BROWN</v>
      </c>
      <c r="D323" s="654">
        <f>EUMATT!C145</f>
        <v>10</v>
      </c>
      <c r="E323" s="653">
        <v>65</v>
      </c>
      <c r="F323" s="38">
        <f>EUMATT!E145</f>
        <v>1600</v>
      </c>
      <c r="G323" s="38">
        <f t="shared" si="14"/>
        <v>104000</v>
      </c>
      <c r="H323" s="79"/>
    </row>
    <row r="324" spans="1:8" s="42" customFormat="1" ht="18.75" x14ac:dyDescent="0.3">
      <c r="A324" s="35"/>
      <c r="B324" s="653">
        <f>EUMATT!A146</f>
        <v>626</v>
      </c>
      <c r="C324" s="653" t="str">
        <f>EUMATT!B146</f>
        <v>PLASTER 2" (5CM X 9.1M) BROWN</v>
      </c>
      <c r="D324" s="654">
        <f>EUMATT!C146</f>
        <v>5</v>
      </c>
      <c r="E324" s="653">
        <v>16</v>
      </c>
      <c r="F324" s="38">
        <f>EUMATT!E146</f>
        <v>3200</v>
      </c>
      <c r="G324" s="38">
        <f t="shared" si="14"/>
        <v>51200</v>
      </c>
      <c r="H324" s="38"/>
    </row>
    <row r="325" spans="1:8" s="42" customFormat="1" ht="18.75" x14ac:dyDescent="0.3">
      <c r="A325" s="35"/>
      <c r="B325" s="653">
        <f>EUMATT!A147</f>
        <v>627</v>
      </c>
      <c r="C325" s="653" t="str">
        <f>EUMATT!B147</f>
        <v>PLASTER 3"(7.5CM X 9.1M) BROWN</v>
      </c>
      <c r="D325" s="654">
        <f>EUMATT!C147</f>
        <v>5</v>
      </c>
      <c r="E325" s="653">
        <v>12</v>
      </c>
      <c r="F325" s="38">
        <f>EUMATT!E147</f>
        <v>2900</v>
      </c>
      <c r="G325" s="38">
        <f t="shared" si="14"/>
        <v>34800</v>
      </c>
      <c r="H325" s="38"/>
    </row>
    <row r="326" spans="1:8" s="42" customFormat="1" ht="18.75" x14ac:dyDescent="0.3">
      <c r="A326" s="35"/>
      <c r="B326" s="653">
        <f>EUMATT!A148</f>
        <v>629</v>
      </c>
      <c r="C326" s="653" t="str">
        <f>EUMATT!B148</f>
        <v>POP 6" (GYPSONA)</v>
      </c>
      <c r="D326" s="654">
        <f>EUMATT!C148</f>
        <v>12</v>
      </c>
      <c r="E326" s="653">
        <v>10</v>
      </c>
      <c r="F326" s="38">
        <f>EUMATT!E148</f>
        <v>12000</v>
      </c>
      <c r="G326" s="38">
        <f t="shared" si="14"/>
        <v>120000</v>
      </c>
      <c r="H326" s="38"/>
    </row>
    <row r="327" spans="1:8" s="42" customFormat="1" ht="18.75" x14ac:dyDescent="0.3">
      <c r="A327" s="35"/>
      <c r="B327" s="653">
        <f>EUMATT!A149</f>
        <v>14</v>
      </c>
      <c r="C327" s="653" t="str">
        <f>EUMATT!B149</f>
        <v>PROGUANIL 100MG TAB</v>
      </c>
      <c r="D327" s="654">
        <f>EUMATT!C149</f>
        <v>100</v>
      </c>
      <c r="E327" s="653">
        <v>50</v>
      </c>
      <c r="F327" s="38">
        <f>EUMATT!E149</f>
        <v>700</v>
      </c>
      <c r="G327" s="38">
        <f t="shared" si="14"/>
        <v>35000</v>
      </c>
      <c r="H327" s="38"/>
    </row>
    <row r="328" spans="1:8" s="42" customFormat="1" ht="18.75" x14ac:dyDescent="0.3">
      <c r="A328" s="35"/>
      <c r="B328" s="653">
        <f>EUMATT!A150</f>
        <v>490</v>
      </c>
      <c r="C328" s="653" t="str">
        <f>EUMATT!B150</f>
        <v>PROMETHAZINE 50MG INJ</v>
      </c>
      <c r="D328" s="654">
        <f>EUMATT!C150</f>
        <v>100</v>
      </c>
      <c r="E328" s="653">
        <v>13</v>
      </c>
      <c r="F328" s="38">
        <f>EUMATT!E150</f>
        <v>1400</v>
      </c>
      <c r="G328" s="38">
        <f t="shared" si="14"/>
        <v>18200</v>
      </c>
      <c r="H328" s="38"/>
    </row>
    <row r="329" spans="1:8" s="42" customFormat="1" ht="23.25" x14ac:dyDescent="0.35">
      <c r="A329" s="35"/>
      <c r="B329" s="653">
        <f>EUMATT!A151</f>
        <v>95</v>
      </c>
      <c r="C329" s="653" t="str">
        <f>EUMATT!B151</f>
        <v xml:space="preserve">PROPRANOLOL 40MG </v>
      </c>
      <c r="D329" s="654">
        <f>EUMATT!C151</f>
        <v>28</v>
      </c>
      <c r="E329" s="653">
        <v>250</v>
      </c>
      <c r="F329" s="38">
        <f>EUMATT!E151</f>
        <v>2200</v>
      </c>
      <c r="G329" s="38">
        <f t="shared" si="14"/>
        <v>550000</v>
      </c>
      <c r="H329" s="186"/>
    </row>
    <row r="330" spans="1:8" s="42" customFormat="1" ht="18.75" x14ac:dyDescent="0.3">
      <c r="A330" s="35"/>
      <c r="B330" s="653">
        <f>EUMATT!A152</f>
        <v>325</v>
      </c>
      <c r="C330" s="653" t="str">
        <f>EUMATT!B152</f>
        <v>PYRIDOXINE 50MG</v>
      </c>
      <c r="D330" s="654">
        <f>EUMATT!C152</f>
        <v>1000</v>
      </c>
      <c r="E330" s="653">
        <v>5</v>
      </c>
      <c r="F330" s="38">
        <f>EUMATT!E152</f>
        <v>1100</v>
      </c>
      <c r="G330" s="38">
        <f t="shared" si="14"/>
        <v>5500</v>
      </c>
      <c r="H330" s="35"/>
    </row>
    <row r="331" spans="1:8" s="42" customFormat="1" ht="18.75" x14ac:dyDescent="0.3">
      <c r="A331" s="35"/>
      <c r="B331" s="653">
        <f>EUMATT!A153</f>
        <v>15</v>
      </c>
      <c r="C331" s="653" t="str">
        <f>EUMATT!B153</f>
        <v>PYRIMETHAMINE TAB</v>
      </c>
      <c r="D331" s="654">
        <f>EUMATT!C153</f>
        <v>500</v>
      </c>
      <c r="E331" s="653">
        <v>1</v>
      </c>
      <c r="F331" s="38">
        <f>EUMATT!E153</f>
        <v>1200</v>
      </c>
      <c r="G331" s="38">
        <f t="shared" si="14"/>
        <v>1200</v>
      </c>
      <c r="H331" s="35"/>
    </row>
    <row r="332" spans="1:8" s="42" customFormat="1" ht="23.25" x14ac:dyDescent="0.35">
      <c r="A332" s="35"/>
      <c r="B332" s="653">
        <f>EUMATT!A154</f>
        <v>16</v>
      </c>
      <c r="C332" s="653" t="str">
        <f>EUMATT!B154</f>
        <v>QUININE 200ML SYR</v>
      </c>
      <c r="D332" s="654" t="str">
        <f>EUMATT!C154</f>
        <v>BOTT</v>
      </c>
      <c r="E332" s="653">
        <v>10</v>
      </c>
      <c r="F332" s="38">
        <f>EUMATT!E154</f>
        <v>480</v>
      </c>
      <c r="G332" s="38">
        <f t="shared" si="14"/>
        <v>4800</v>
      </c>
      <c r="H332" s="79"/>
    </row>
    <row r="333" spans="1:8" s="42" customFormat="1" ht="18.75" x14ac:dyDescent="0.3">
      <c r="A333" s="35"/>
      <c r="B333" s="653">
        <f>EUMATT!A155</f>
        <v>17</v>
      </c>
      <c r="C333" s="653" t="str">
        <f>EUMATT!B155</f>
        <v>QUININE INJ</v>
      </c>
      <c r="D333" s="654">
        <f>EUMATT!C155</f>
        <v>100</v>
      </c>
      <c r="E333" s="653">
        <v>1</v>
      </c>
      <c r="F333" s="38">
        <f>EUMATT!E155</f>
        <v>6200</v>
      </c>
      <c r="G333" s="38">
        <f t="shared" si="14"/>
        <v>6200</v>
      </c>
      <c r="H333" s="38"/>
    </row>
    <row r="334" spans="1:8" s="42" customFormat="1" ht="18.75" x14ac:dyDescent="0.3">
      <c r="A334" s="35"/>
      <c r="B334" s="653">
        <f>EUMATT!A156</f>
        <v>96</v>
      </c>
      <c r="C334" s="653" t="str">
        <f>EUMATT!B156</f>
        <v>RAMIPRIL 10MG TAB</v>
      </c>
      <c r="D334" s="654">
        <f>EUMATT!C156</f>
        <v>30</v>
      </c>
      <c r="E334" s="653">
        <v>50</v>
      </c>
      <c r="F334" s="38">
        <f>EUMATT!E156</f>
        <v>1200</v>
      </c>
      <c r="G334" s="38">
        <f t="shared" si="14"/>
        <v>60000</v>
      </c>
      <c r="H334" s="38"/>
    </row>
    <row r="335" spans="1:8" s="42" customFormat="1" ht="18.75" x14ac:dyDescent="0.3">
      <c r="A335" s="35"/>
      <c r="B335" s="653">
        <f>EUMATT!A157</f>
        <v>664</v>
      </c>
      <c r="C335" s="653" t="str">
        <f>EUMATT!B157</f>
        <v>RETIN A GEL</v>
      </c>
      <c r="D335" s="654" t="str">
        <f>EUMATT!C157</f>
        <v>TUBE</v>
      </c>
      <c r="E335" s="653">
        <v>5</v>
      </c>
      <c r="F335" s="38">
        <f>EUMATT!E157</f>
        <v>3000</v>
      </c>
      <c r="G335" s="38">
        <f t="shared" si="14"/>
        <v>15000</v>
      </c>
      <c r="H335" s="38"/>
    </row>
    <row r="336" spans="1:8" s="42" customFormat="1" ht="18.75" x14ac:dyDescent="0.3">
      <c r="A336" s="35"/>
      <c r="B336" s="653">
        <f>EUMATT!A158</f>
        <v>378</v>
      </c>
      <c r="C336" s="653" t="str">
        <f>EUMATT!B158</f>
        <v>RISPERIDONE 2MG</v>
      </c>
      <c r="D336" s="654">
        <f>EUMATT!C158</f>
        <v>30</v>
      </c>
      <c r="E336" s="653">
        <v>19</v>
      </c>
      <c r="F336" s="38">
        <f>EUMATT!E158</f>
        <v>1700</v>
      </c>
      <c r="G336" s="38">
        <f t="shared" si="14"/>
        <v>32300</v>
      </c>
      <c r="H336" s="38"/>
    </row>
    <row r="337" spans="1:8" s="42" customFormat="1" ht="23.25" x14ac:dyDescent="0.35">
      <c r="A337" s="35"/>
      <c r="B337" s="653">
        <f>EUMATT!A159</f>
        <v>326</v>
      </c>
      <c r="C337" s="653" t="str">
        <f>EUMATT!B159</f>
        <v>RIVAROXABAN 15MG TAB</v>
      </c>
      <c r="D337" s="654">
        <f>EUMATT!C159</f>
        <v>30</v>
      </c>
      <c r="E337" s="653">
        <v>3</v>
      </c>
      <c r="F337" s="38">
        <f>EUMATT!E159</f>
        <v>22000</v>
      </c>
      <c r="G337" s="38">
        <f t="shared" si="14"/>
        <v>66000</v>
      </c>
      <c r="H337" s="186"/>
    </row>
    <row r="338" spans="1:8" s="42" customFormat="1" ht="18.75" x14ac:dyDescent="0.3">
      <c r="A338" s="35"/>
      <c r="B338" s="653">
        <f>EUMATT!A160</f>
        <v>103</v>
      </c>
      <c r="C338" s="653" t="str">
        <f>EUMATT!B160</f>
        <v>S-AMLODIPINE 2.5MG TAB</v>
      </c>
      <c r="D338" s="654">
        <f>EUMATT!C160</f>
        <v>30</v>
      </c>
      <c r="E338" s="653">
        <v>1</v>
      </c>
      <c r="F338" s="38">
        <f>EUMATT!E160</f>
        <v>600</v>
      </c>
      <c r="G338" s="38">
        <f t="shared" si="14"/>
        <v>600</v>
      </c>
      <c r="H338" s="35"/>
    </row>
    <row r="339" spans="1:8" s="42" customFormat="1" ht="18.75" x14ac:dyDescent="0.3">
      <c r="A339" s="35"/>
      <c r="B339" s="653">
        <f>EUMATT!A161</f>
        <v>104</v>
      </c>
      <c r="C339" s="653" t="str">
        <f>EUMATT!B161</f>
        <v>S-AMLODIPINE 5MG TAB</v>
      </c>
      <c r="D339" s="654">
        <f>EUMATT!C161</f>
        <v>30</v>
      </c>
      <c r="E339" s="653">
        <v>3</v>
      </c>
      <c r="F339" s="38">
        <f>EUMATT!E161</f>
        <v>700</v>
      </c>
      <c r="G339" s="38">
        <f t="shared" si="14"/>
        <v>2100</v>
      </c>
      <c r="H339" s="35"/>
    </row>
    <row r="340" spans="1:8" s="42" customFormat="1" ht="18.75" x14ac:dyDescent="0.3">
      <c r="A340" s="35"/>
      <c r="B340" s="653">
        <f>EUMATT!A162</f>
        <v>667</v>
      </c>
      <c r="C340" s="653" t="str">
        <f>EUMATT!B162</f>
        <v xml:space="preserve">SELENIUM SULPHIDE SHAMPOO (SELSUN) </v>
      </c>
      <c r="D340" s="654" t="str">
        <f>EUMATT!C162</f>
        <v>PCS</v>
      </c>
      <c r="E340" s="653">
        <v>5</v>
      </c>
      <c r="F340" s="38">
        <f>EUMATT!E162</f>
        <v>2200</v>
      </c>
      <c r="G340" s="38">
        <f t="shared" si="14"/>
        <v>11000</v>
      </c>
      <c r="H340" s="38"/>
    </row>
    <row r="341" spans="1:8" s="42" customFormat="1" ht="18.75" x14ac:dyDescent="0.3">
      <c r="A341" s="35"/>
      <c r="B341" s="653">
        <f>EUMATT!A163</f>
        <v>632</v>
      </c>
      <c r="C341" s="653" t="str">
        <f>EUMATT!B163</f>
        <v>SHOULDER LENGTH GLOVES</v>
      </c>
      <c r="D341" s="654">
        <f>EUMATT!C163</f>
        <v>100</v>
      </c>
      <c r="E341" s="653">
        <v>1</v>
      </c>
      <c r="F341" s="38">
        <f>EUMATT!E163</f>
        <v>1850</v>
      </c>
      <c r="G341" s="38">
        <f t="shared" si="14"/>
        <v>1850</v>
      </c>
      <c r="H341" s="38"/>
    </row>
    <row r="342" spans="1:8" s="42" customFormat="1" ht="18.75" x14ac:dyDescent="0.3">
      <c r="A342" s="35"/>
      <c r="B342" s="653">
        <f>EUMATT!A164</f>
        <v>633</v>
      </c>
      <c r="C342" s="653" t="str">
        <f>EUMATT!B164</f>
        <v>SKIN REMOVER</v>
      </c>
      <c r="D342" s="654" t="str">
        <f>EUMATT!C164</f>
        <v>PCS</v>
      </c>
      <c r="E342" s="653">
        <v>36</v>
      </c>
      <c r="F342" s="38">
        <f>EUMATT!E164</f>
        <v>600</v>
      </c>
      <c r="G342" s="38">
        <f t="shared" si="14"/>
        <v>21600</v>
      </c>
      <c r="H342" s="38"/>
    </row>
    <row r="343" spans="1:8" s="42" customFormat="1" ht="18.75" x14ac:dyDescent="0.3">
      <c r="A343" s="35"/>
      <c r="B343" s="653">
        <f>EUMATT!A165</f>
        <v>634</v>
      </c>
      <c r="C343" s="653" t="str">
        <f>EUMATT!B165</f>
        <v>SKIN STAPLER</v>
      </c>
      <c r="D343" s="654" t="str">
        <f>EUMATT!C165</f>
        <v>PCS</v>
      </c>
      <c r="E343" s="653">
        <v>36</v>
      </c>
      <c r="F343" s="38">
        <f>EUMATT!E165</f>
        <v>1500</v>
      </c>
      <c r="G343" s="38">
        <f t="shared" si="14"/>
        <v>54000</v>
      </c>
      <c r="H343" s="38"/>
    </row>
    <row r="344" spans="1:8" s="42" customFormat="1" ht="18.75" x14ac:dyDescent="0.3">
      <c r="A344" s="35"/>
      <c r="B344" s="653">
        <f>EUMATT!A166</f>
        <v>329</v>
      </c>
      <c r="C344" s="653" t="str">
        <f>EUMATT!B166</f>
        <v>SODIUM BICARBONATE INJ</v>
      </c>
      <c r="D344" s="654" t="str">
        <f>EUMATT!C166</f>
        <v>AMP</v>
      </c>
      <c r="E344" s="653">
        <v>13</v>
      </c>
      <c r="F344" s="38">
        <f>EUMATT!E166</f>
        <v>460</v>
      </c>
      <c r="G344" s="38">
        <f t="shared" si="14"/>
        <v>5980</v>
      </c>
      <c r="H344" s="38"/>
    </row>
    <row r="345" spans="1:8" s="42" customFormat="1" ht="23.25" x14ac:dyDescent="0.35">
      <c r="A345" s="35"/>
      <c r="B345" s="653">
        <f>EUMATT!A167</f>
        <v>527</v>
      </c>
      <c r="C345" s="653" t="str">
        <f>EUMATT!B167</f>
        <v>SODIUM CHLORIDE GTT</v>
      </c>
      <c r="D345" s="654" t="str">
        <f>EUMATT!C167</f>
        <v>BOTT</v>
      </c>
      <c r="E345" s="653">
        <v>5</v>
      </c>
      <c r="F345" s="38">
        <f>EUMATT!E167</f>
        <v>980</v>
      </c>
      <c r="G345" s="38">
        <f t="shared" si="14"/>
        <v>4900</v>
      </c>
      <c r="H345" s="186"/>
    </row>
    <row r="346" spans="1:8" s="42" customFormat="1" ht="18.75" x14ac:dyDescent="0.3">
      <c r="A346" s="35"/>
      <c r="B346" s="653">
        <f>EUMATT!A168</f>
        <v>412</v>
      </c>
      <c r="C346" s="653" t="str">
        <f>EUMATT!B168</f>
        <v>SODIUM THIOPENTONE 1GM</v>
      </c>
      <c r="D346" s="654" t="str">
        <f>EUMATT!C168</f>
        <v>VIAL</v>
      </c>
      <c r="E346" s="653">
        <v>75</v>
      </c>
      <c r="F346" s="38">
        <f>EUMATT!E168</f>
        <v>800</v>
      </c>
      <c r="G346" s="38">
        <f t="shared" si="14"/>
        <v>60000</v>
      </c>
      <c r="H346" s="35"/>
    </row>
    <row r="347" spans="1:8" s="42" customFormat="1" ht="18.75" x14ac:dyDescent="0.3">
      <c r="A347" s="35"/>
      <c r="B347" s="653">
        <f>EUMATT!A169</f>
        <v>638</v>
      </c>
      <c r="C347" s="653" t="str">
        <f>EUMATT!B169</f>
        <v>SOFT BAN 6"</v>
      </c>
      <c r="D347" s="654">
        <f>EUMATT!C169</f>
        <v>12</v>
      </c>
      <c r="E347" s="653">
        <v>13</v>
      </c>
      <c r="F347" s="38">
        <f>EUMATT!E169</f>
        <v>8500</v>
      </c>
      <c r="G347" s="38">
        <f t="shared" si="14"/>
        <v>110500</v>
      </c>
      <c r="H347" s="35"/>
    </row>
    <row r="348" spans="1:8" s="42" customFormat="1" ht="18.75" x14ac:dyDescent="0.3">
      <c r="A348" s="35"/>
      <c r="B348" s="653">
        <f>EUMATT!A170</f>
        <v>641</v>
      </c>
      <c r="C348" s="653" t="str">
        <f>EUMATT!B170</f>
        <v>SURGICAL BLADE 12"</v>
      </c>
      <c r="D348" s="654">
        <f>EUMATT!C170</f>
        <v>100</v>
      </c>
      <c r="E348" s="653">
        <v>1</v>
      </c>
      <c r="F348" s="38">
        <f>EUMATT!E170</f>
        <v>1300</v>
      </c>
      <c r="G348" s="38">
        <f t="shared" si="14"/>
        <v>1300</v>
      </c>
      <c r="H348" s="35"/>
    </row>
    <row r="349" spans="1:8" x14ac:dyDescent="0.35">
      <c r="A349" s="35"/>
      <c r="B349" s="653">
        <f>EUMATT!A171</f>
        <v>643</v>
      </c>
      <c r="C349" s="653" t="str">
        <f>EUMATT!B171</f>
        <v>SURGICAL BLADE 22"</v>
      </c>
      <c r="D349" s="654">
        <f>EUMATT!C171</f>
        <v>100</v>
      </c>
      <c r="E349" s="653">
        <v>11</v>
      </c>
      <c r="F349" s="38">
        <f>EUMATT!E171</f>
        <v>1300</v>
      </c>
      <c r="G349" s="38">
        <f t="shared" si="14"/>
        <v>14300</v>
      </c>
      <c r="H349" s="76"/>
    </row>
    <row r="350" spans="1:8" x14ac:dyDescent="0.35">
      <c r="A350" s="35"/>
      <c r="B350" s="653">
        <f>EUMATT!A172</f>
        <v>645</v>
      </c>
      <c r="C350" s="653" t="str">
        <f>EUMATT!B172</f>
        <v>SURGICAL BLADE 24"</v>
      </c>
      <c r="D350" s="654">
        <f>EUMATT!C172</f>
        <v>100</v>
      </c>
      <c r="E350" s="653">
        <v>3</v>
      </c>
      <c r="F350" s="38">
        <f>EUMATT!E172</f>
        <v>1300</v>
      </c>
      <c r="G350" s="38">
        <f t="shared" si="14"/>
        <v>3900</v>
      </c>
      <c r="H350" s="76"/>
    </row>
    <row r="351" spans="1:8" x14ac:dyDescent="0.35">
      <c r="A351" s="35"/>
      <c r="B351" s="653">
        <f>EUMATT!A173</f>
        <v>413</v>
      </c>
      <c r="C351" s="653" t="str">
        <f>EUMATT!B173</f>
        <v>SUXAMETHONIUM INJ</v>
      </c>
      <c r="D351" s="654" t="str">
        <f>EUMATT!C173</f>
        <v>AMP</v>
      </c>
      <c r="E351" s="653">
        <v>75</v>
      </c>
      <c r="F351" s="38">
        <f>EUMATT!E173</f>
        <v>600</v>
      </c>
      <c r="G351" s="38">
        <f t="shared" si="14"/>
        <v>45000</v>
      </c>
      <c r="H351" s="76"/>
    </row>
    <row r="352" spans="1:8" x14ac:dyDescent="0.35">
      <c r="A352" s="35"/>
      <c r="B352" s="653">
        <f>EUMATT!A174</f>
        <v>700</v>
      </c>
      <c r="C352" s="653" t="str">
        <f>EUMATT!B174</f>
        <v xml:space="preserve">TAMSULOSIN 0.4MG TAB  </v>
      </c>
      <c r="D352" s="654">
        <f>EUMATT!C174</f>
        <v>20</v>
      </c>
      <c r="E352" s="653">
        <v>188</v>
      </c>
      <c r="F352" s="38">
        <f>EUMATT!E174</f>
        <v>800</v>
      </c>
      <c r="G352" s="38">
        <f t="shared" si="14"/>
        <v>150400</v>
      </c>
      <c r="H352" s="76"/>
    </row>
    <row r="353" spans="1:8" x14ac:dyDescent="0.35">
      <c r="A353" s="35"/>
      <c r="B353" s="653">
        <f>EUMATT!A175</f>
        <v>423</v>
      </c>
      <c r="C353" s="653" t="str">
        <f>EUMATT!B175</f>
        <v>TETANUS TOXOID 0.5ML INJ</v>
      </c>
      <c r="D353" s="654">
        <f>EUMATT!C175</f>
        <v>100</v>
      </c>
      <c r="E353" s="653">
        <v>6</v>
      </c>
      <c r="F353" s="38">
        <f>EUMATT!E175</f>
        <v>14000</v>
      </c>
      <c r="G353" s="38">
        <f t="shared" si="14"/>
        <v>84000</v>
      </c>
      <c r="H353" s="76"/>
    </row>
    <row r="354" spans="1:8" ht="23.25" x14ac:dyDescent="0.35">
      <c r="A354" s="35"/>
      <c r="B354" s="653">
        <f>EUMATT!A176</f>
        <v>528</v>
      </c>
      <c r="C354" s="653" t="str">
        <f>EUMATT!B176</f>
        <v>TETRAHYDROZOLINE HCL/FLUOROMETHOLONE</v>
      </c>
      <c r="D354" s="654" t="str">
        <f>EUMATT!C176</f>
        <v>BOTT</v>
      </c>
      <c r="E354" s="653">
        <v>5</v>
      </c>
      <c r="F354" s="38">
        <f>EUMATT!E176</f>
        <v>1050</v>
      </c>
      <c r="G354" s="38">
        <f t="shared" si="14"/>
        <v>5250</v>
      </c>
      <c r="H354" s="186"/>
    </row>
    <row r="355" spans="1:8" ht="18.75" x14ac:dyDescent="0.3">
      <c r="A355" s="35"/>
      <c r="B355" s="653">
        <f>EUMATT!A177</f>
        <v>531</v>
      </c>
      <c r="C355" s="653" t="str">
        <f>EUMATT!B177</f>
        <v>TIMOLOL/TRAVOPROST 5MG/40MCG</v>
      </c>
      <c r="D355" s="654" t="str">
        <f>EUMATT!C177</f>
        <v>BOTT</v>
      </c>
      <c r="E355" s="653">
        <v>13</v>
      </c>
      <c r="F355" s="38">
        <f>EUMATT!E177</f>
        <v>3350</v>
      </c>
      <c r="G355" s="38">
        <f t="shared" si="14"/>
        <v>43550</v>
      </c>
      <c r="H355" s="35"/>
    </row>
    <row r="356" spans="1:8" ht="18.75" x14ac:dyDescent="0.3">
      <c r="A356" s="35"/>
      <c r="B356" s="653">
        <f>EUMATT!A178</f>
        <v>191</v>
      </c>
      <c r="C356" s="653" t="str">
        <f>EUMATT!B178</f>
        <v>TIZANIDINE 2MG TAB</v>
      </c>
      <c r="D356" s="654">
        <f>EUMATT!C178</f>
        <v>30</v>
      </c>
      <c r="E356" s="653">
        <v>100</v>
      </c>
      <c r="F356" s="38">
        <f>EUMATT!E178</f>
        <v>2200</v>
      </c>
      <c r="G356" s="38">
        <f t="shared" si="14"/>
        <v>220000</v>
      </c>
      <c r="H356" s="35"/>
    </row>
    <row r="357" spans="1:8" ht="18.75" x14ac:dyDescent="0.3">
      <c r="A357" s="35"/>
      <c r="B357" s="653">
        <f>EUMATT!A179</f>
        <v>332</v>
      </c>
      <c r="C357" s="653" t="str">
        <f>EUMATT!B179</f>
        <v>TRANEXAMIC ACID INJ</v>
      </c>
      <c r="D357" s="654">
        <f>EUMATT!C179</f>
        <v>5</v>
      </c>
      <c r="E357" s="653">
        <v>80</v>
      </c>
      <c r="F357" s="38">
        <f>EUMATT!E179</f>
        <v>1380</v>
      </c>
      <c r="G357" s="38">
        <f t="shared" si="14"/>
        <v>110400</v>
      </c>
      <c r="H357" s="35"/>
    </row>
    <row r="358" spans="1:8" s="42" customFormat="1" ht="23.25" x14ac:dyDescent="0.35">
      <c r="A358" s="35"/>
      <c r="B358" s="653">
        <f>EUMATT!A180</f>
        <v>532</v>
      </c>
      <c r="C358" s="653" t="str">
        <f>EUMATT!B180</f>
        <v>TRAVOPROST 40MCG</v>
      </c>
      <c r="D358" s="654" t="str">
        <f>EUMATT!C180</f>
        <v>BOTT</v>
      </c>
      <c r="E358" s="653">
        <v>13</v>
      </c>
      <c r="F358" s="38">
        <f>EUMATT!E180</f>
        <v>3350</v>
      </c>
      <c r="G358" s="38">
        <f t="shared" si="14"/>
        <v>43550</v>
      </c>
      <c r="H358" s="79"/>
    </row>
    <row r="359" spans="1:8" s="42" customFormat="1" ht="18.75" x14ac:dyDescent="0.3">
      <c r="A359" s="35"/>
      <c r="B359" s="653">
        <f>EUMATT!A181</f>
        <v>380</v>
      </c>
      <c r="C359" s="653" t="str">
        <f>EUMATT!B181</f>
        <v>TRIFLUOPERAZINE 5MG TAB</v>
      </c>
      <c r="D359" s="654">
        <f>EUMATT!C181</f>
        <v>1000</v>
      </c>
      <c r="E359" s="653">
        <v>1</v>
      </c>
      <c r="F359" s="38">
        <f>EUMATT!E181</f>
        <v>3500</v>
      </c>
      <c r="G359" s="38">
        <f t="shared" si="14"/>
        <v>3500</v>
      </c>
      <c r="H359" s="38"/>
    </row>
    <row r="360" spans="1:8" s="42" customFormat="1" ht="18.75" x14ac:dyDescent="0.3">
      <c r="A360" s="35"/>
      <c r="B360" s="653">
        <f>EUMATT!A182</f>
        <v>284</v>
      </c>
      <c r="C360" s="653" t="str">
        <f>EUMATT!B182</f>
        <v>VANCOMYCIN 1GM INJ</v>
      </c>
      <c r="D360" s="654" t="str">
        <f>EUMATT!C182</f>
        <v>VIAL</v>
      </c>
      <c r="E360" s="653">
        <v>3</v>
      </c>
      <c r="F360" s="38">
        <f>EUMATT!E182</f>
        <v>2500</v>
      </c>
      <c r="G360" s="38">
        <f t="shared" si="14"/>
        <v>7500</v>
      </c>
      <c r="H360" s="38"/>
    </row>
    <row r="361" spans="1:8" s="42" customFormat="1" ht="18.75" x14ac:dyDescent="0.3">
      <c r="A361" s="35"/>
      <c r="B361" s="653">
        <f>EUMATT!A183</f>
        <v>708</v>
      </c>
      <c r="C361" s="653" t="str">
        <f>EUMATT!B183</f>
        <v>VICRYL 2/0</v>
      </c>
      <c r="D361" s="654">
        <f>EUMATT!C183</f>
        <v>12</v>
      </c>
      <c r="E361" s="653">
        <v>3</v>
      </c>
      <c r="F361" s="38">
        <f>EUMATT!E183</f>
        <v>4500</v>
      </c>
      <c r="G361" s="38">
        <f t="shared" si="14"/>
        <v>13500</v>
      </c>
      <c r="H361" s="38"/>
    </row>
    <row r="362" spans="1:8" s="42" customFormat="1" ht="18.75" x14ac:dyDescent="0.3">
      <c r="A362" s="35"/>
      <c r="B362" s="653">
        <f>EUMATT!A184</f>
        <v>139</v>
      </c>
      <c r="C362" s="653" t="str">
        <f>EUMATT!B184</f>
        <v>VILDAGLIPTIN 50MG</v>
      </c>
      <c r="D362" s="654">
        <f>EUMATT!C184</f>
        <v>28</v>
      </c>
      <c r="E362" s="653">
        <v>25</v>
      </c>
      <c r="F362" s="38">
        <f>EUMATT!E184</f>
        <v>4500</v>
      </c>
      <c r="G362" s="38">
        <f t="shared" si="14"/>
        <v>112500</v>
      </c>
      <c r="H362" s="38"/>
    </row>
    <row r="363" spans="1:8" s="42" customFormat="1" ht="23.25" x14ac:dyDescent="0.35">
      <c r="A363" s="35"/>
      <c r="B363" s="653">
        <f>EUMATT!A185</f>
        <v>140</v>
      </c>
      <c r="C363" s="653" t="str">
        <f>EUMATT!B185</f>
        <v>VILDAGLIPTIN/METFORMIN 50/1000MG TAB</v>
      </c>
      <c r="D363" s="654">
        <f>EUMATT!C185</f>
        <v>60</v>
      </c>
      <c r="E363" s="653">
        <v>25</v>
      </c>
      <c r="F363" s="38">
        <f>EUMATT!E185</f>
        <v>9500</v>
      </c>
      <c r="G363" s="38">
        <f t="shared" si="14"/>
        <v>237500</v>
      </c>
      <c r="H363" s="79"/>
    </row>
    <row r="364" spans="1:8" s="42" customFormat="1" ht="23.25" x14ac:dyDescent="0.35">
      <c r="A364" s="35"/>
      <c r="B364" s="653">
        <f>EUMATT!A186</f>
        <v>141</v>
      </c>
      <c r="C364" s="653" t="str">
        <f>EUMATT!B186</f>
        <v>VILDAGLIPTIN/METFORMIN 50/500MG TAB</v>
      </c>
      <c r="D364" s="654">
        <f>EUMATT!C186</f>
        <v>60</v>
      </c>
      <c r="E364" s="653">
        <v>25</v>
      </c>
      <c r="F364" s="38">
        <f>EUMATT!E186</f>
        <v>9500</v>
      </c>
      <c r="G364" s="38">
        <f t="shared" si="14"/>
        <v>237500</v>
      </c>
      <c r="H364" s="186"/>
    </row>
    <row r="365" spans="1:8" s="42" customFormat="1" ht="18.75" x14ac:dyDescent="0.3">
      <c r="A365" s="35"/>
      <c r="B365" s="653">
        <f>EMZOR!A15</f>
        <v>337</v>
      </c>
      <c r="C365" s="653" t="str">
        <f>EMZOR!B15</f>
        <v>VITAMIN B COMPLEX TAB</v>
      </c>
      <c r="D365" s="654">
        <f>EMZOR!C15</f>
        <v>1000</v>
      </c>
      <c r="E365" s="653">
        <v>100</v>
      </c>
      <c r="F365" s="38">
        <f>EMZOR!E15</f>
        <v>500.46</v>
      </c>
      <c r="G365" s="38">
        <f t="shared" si="14"/>
        <v>50046</v>
      </c>
      <c r="H365" s="35"/>
    </row>
    <row r="366" spans="1:8" s="42" customFormat="1" ht="18.75" x14ac:dyDescent="0.3">
      <c r="A366" s="35"/>
      <c r="B366" s="653">
        <f>EUMATT!A188</f>
        <v>339</v>
      </c>
      <c r="C366" s="653" t="str">
        <f>EUMATT!B188</f>
        <v>VITAMIN B COMPLEX SYRUP</v>
      </c>
      <c r="D366" s="654" t="str">
        <f>EUMATT!C188</f>
        <v>BOTT</v>
      </c>
      <c r="E366" s="653">
        <v>200</v>
      </c>
      <c r="F366" s="38">
        <f>EUMATT!E188</f>
        <v>95</v>
      </c>
      <c r="G366" s="38">
        <f t="shared" si="14"/>
        <v>19000</v>
      </c>
      <c r="H366" s="35"/>
    </row>
    <row r="367" spans="1:8" s="42" customFormat="1" ht="18.75" x14ac:dyDescent="0.3">
      <c r="A367" s="35"/>
      <c r="B367" s="653">
        <f>EUMATT!A189</f>
        <v>343</v>
      </c>
      <c r="C367" s="653" t="str">
        <f>EUMATT!B189</f>
        <v>VITAMIN C INJ</v>
      </c>
      <c r="D367" s="654" t="str">
        <f>EUMATT!C189</f>
        <v>AMP</v>
      </c>
      <c r="E367" s="653">
        <v>125</v>
      </c>
      <c r="F367" s="38">
        <f>EUMATT!E189</f>
        <v>30</v>
      </c>
      <c r="G367" s="38">
        <f t="shared" si="14"/>
        <v>3750</v>
      </c>
      <c r="H367" s="35"/>
    </row>
    <row r="368" spans="1:8" s="42" customFormat="1" ht="23.25" x14ac:dyDescent="0.35">
      <c r="A368" s="35"/>
      <c r="B368" s="653">
        <f>EUMATT!A190</f>
        <v>348</v>
      </c>
      <c r="C368" s="653" t="str">
        <f>EUMATT!B190</f>
        <v>VITAMIN K1</v>
      </c>
      <c r="D368" s="654" t="str">
        <f>EUMATT!C190</f>
        <v>AMP</v>
      </c>
      <c r="E368" s="653">
        <v>500</v>
      </c>
      <c r="F368" s="38">
        <f>EUMATT!E190</f>
        <v>52</v>
      </c>
      <c r="G368" s="38">
        <f t="shared" si="14"/>
        <v>26000</v>
      </c>
      <c r="H368" s="79"/>
    </row>
    <row r="369" spans="1:8" s="42" customFormat="1" ht="23.25" x14ac:dyDescent="0.35">
      <c r="A369" s="35"/>
      <c r="B369" s="653">
        <f>EUMATT!A191</f>
        <v>349</v>
      </c>
      <c r="C369" s="653" t="str">
        <f>EUMATT!B191</f>
        <v>WARFARIN 3MG TAB</v>
      </c>
      <c r="D369" s="654">
        <f>EUMATT!C191</f>
        <v>28</v>
      </c>
      <c r="E369" s="653">
        <v>50</v>
      </c>
      <c r="F369" s="38">
        <f>EUMATT!E191</f>
        <v>420</v>
      </c>
      <c r="G369" s="38">
        <f t="shared" si="14"/>
        <v>21000</v>
      </c>
      <c r="H369" s="186"/>
    </row>
    <row r="370" spans="1:8" s="42" customFormat="1" ht="18.75" x14ac:dyDescent="0.3">
      <c r="A370" s="35"/>
      <c r="B370" s="653">
        <f>EUMATT!A192</f>
        <v>350</v>
      </c>
      <c r="C370" s="653" t="str">
        <f>EUMATT!B192</f>
        <v>WARFARIN 5MG TAB</v>
      </c>
      <c r="D370" s="654">
        <f>EUMATT!C192</f>
        <v>28</v>
      </c>
      <c r="E370" s="653">
        <v>30</v>
      </c>
      <c r="F370" s="38">
        <f>EUMATT!E192</f>
        <v>470</v>
      </c>
      <c r="G370" s="38">
        <f t="shared" si="14"/>
        <v>14100</v>
      </c>
      <c r="H370" s="35"/>
    </row>
    <row r="371" spans="1:8" s="42" customFormat="1" ht="18.75" x14ac:dyDescent="0.3">
      <c r="A371" s="35"/>
      <c r="B371" s="653">
        <f>EUMATT!A193</f>
        <v>536</v>
      </c>
      <c r="C371" s="653" t="str">
        <f>EUMATT!B193</f>
        <v>XYLOMETHAZOLINE NASAL DROP (ADULT)</v>
      </c>
      <c r="D371" s="654" t="str">
        <f>EUMATT!C193</f>
        <v>BOTT</v>
      </c>
      <c r="E371" s="653">
        <v>20</v>
      </c>
      <c r="F371" s="38">
        <f>EUMATT!E193</f>
        <v>1050</v>
      </c>
      <c r="G371" s="38">
        <f t="shared" si="14"/>
        <v>21000</v>
      </c>
      <c r="H371" s="35"/>
    </row>
    <row r="372" spans="1:8" s="42" customFormat="1" ht="23.25" x14ac:dyDescent="0.35">
      <c r="A372" s="35"/>
      <c r="B372" s="653">
        <f>EUMATT!A194</f>
        <v>537</v>
      </c>
      <c r="C372" s="653" t="str">
        <f>EUMATT!B194</f>
        <v>XYLOMETHAZOLINE NASAL DROP (PAED)</v>
      </c>
      <c r="D372" s="654" t="str">
        <f>EUMATT!C194</f>
        <v>BOTT</v>
      </c>
      <c r="E372" s="653">
        <v>10</v>
      </c>
      <c r="F372" s="38">
        <f>EUMATT!E194</f>
        <v>1050</v>
      </c>
      <c r="G372" s="38">
        <f t="shared" si="14"/>
        <v>10500</v>
      </c>
      <c r="H372" s="186">
        <f>SUM(G185:G372)</f>
        <v>37007196</v>
      </c>
    </row>
    <row r="373" spans="1:8" s="42" customFormat="1" ht="18.75" x14ac:dyDescent="0.3">
      <c r="A373" s="35"/>
      <c r="B373" s="653"/>
      <c r="C373" s="653"/>
      <c r="D373" s="654"/>
      <c r="E373" s="653"/>
      <c r="F373" s="38"/>
      <c r="G373" s="38"/>
      <c r="H373" s="35"/>
    </row>
    <row r="374" spans="1:8" s="42" customFormat="1" ht="18.75" x14ac:dyDescent="0.3">
      <c r="A374" s="35"/>
      <c r="B374" s="653"/>
      <c r="C374" s="653"/>
      <c r="D374" s="654"/>
      <c r="E374" s="653"/>
      <c r="F374" s="38"/>
      <c r="G374" s="38"/>
      <c r="H374" s="38"/>
    </row>
    <row r="375" spans="1:8" s="42" customFormat="1" ht="23.25" x14ac:dyDescent="0.35">
      <c r="A375" s="35">
        <v>14</v>
      </c>
      <c r="B375" s="653"/>
      <c r="C375" s="656" t="str">
        <f>FIDSON!B1</f>
        <v>FIDSON HEALTHCARE LIMITED</v>
      </c>
      <c r="D375" s="654"/>
      <c r="E375" s="653"/>
      <c r="F375" s="38"/>
      <c r="G375" s="38"/>
      <c r="H375" s="38"/>
    </row>
    <row r="376" spans="1:8" s="42" customFormat="1" ht="18.75" x14ac:dyDescent="0.3">
      <c r="A376" s="35"/>
      <c r="B376" s="653">
        <f>FIDSON!A6</f>
        <v>19</v>
      </c>
      <c r="C376" s="653" t="str">
        <f>FIDSON!B6</f>
        <v xml:space="preserve">0.9% NORMAL SALINE </v>
      </c>
      <c r="D376" s="654">
        <f>FIDSON!C6</f>
        <v>20</v>
      </c>
      <c r="E376" s="653">
        <v>600</v>
      </c>
      <c r="F376" s="38">
        <f>FIDSON!E6</f>
        <v>2500</v>
      </c>
      <c r="G376" s="38">
        <f t="shared" ref="G376:G398" si="15">E376*F376</f>
        <v>1500000</v>
      </c>
      <c r="H376" s="38"/>
    </row>
    <row r="377" spans="1:8" s="42" customFormat="1" ht="18.75" x14ac:dyDescent="0.3">
      <c r="A377" s="35"/>
      <c r="B377" s="653">
        <f>FIDSON!A7</f>
        <v>22</v>
      </c>
      <c r="C377" s="653" t="str">
        <f>FIDSON!B7</f>
        <v>20% MANNITOL</v>
      </c>
      <c r="D377" s="654">
        <f>FIDSON!C7</f>
        <v>20</v>
      </c>
      <c r="E377" s="653">
        <v>10</v>
      </c>
      <c r="F377" s="38">
        <f>FIDSON!E7</f>
        <v>7800</v>
      </c>
      <c r="G377" s="38">
        <f t="shared" si="15"/>
        <v>78000</v>
      </c>
      <c r="H377" s="38"/>
    </row>
    <row r="378" spans="1:8" s="42" customFormat="1" ht="18.75" x14ac:dyDescent="0.3">
      <c r="A378" s="35"/>
      <c r="B378" s="653">
        <f>FIDSON!A8</f>
        <v>23</v>
      </c>
      <c r="C378" s="653" t="str">
        <f>FIDSON!B8</f>
        <v>4.3% DEXTROSE IN 0.18% SALINE</v>
      </c>
      <c r="D378" s="654">
        <f>FIDSON!C8</f>
        <v>20</v>
      </c>
      <c r="E378" s="653">
        <v>60</v>
      </c>
      <c r="F378" s="38">
        <f>FIDSON!E8</f>
        <v>2500</v>
      </c>
      <c r="G378" s="38">
        <f t="shared" si="15"/>
        <v>150000</v>
      </c>
      <c r="H378" s="38"/>
    </row>
    <row r="379" spans="1:8" s="42" customFormat="1" ht="18.75" x14ac:dyDescent="0.3">
      <c r="A379" s="35"/>
      <c r="B379" s="653">
        <f>FIDSON!A9</f>
        <v>24</v>
      </c>
      <c r="C379" s="653" t="str">
        <f>FIDSON!B9</f>
        <v>5% DEXTROSE SALINE</v>
      </c>
      <c r="D379" s="654">
        <f>FIDSON!C9</f>
        <v>20</v>
      </c>
      <c r="E379" s="653">
        <v>320</v>
      </c>
      <c r="F379" s="38">
        <f>FIDSON!E9</f>
        <v>2500</v>
      </c>
      <c r="G379" s="38">
        <f t="shared" si="15"/>
        <v>800000</v>
      </c>
      <c r="H379" s="38"/>
    </row>
    <row r="380" spans="1:8" s="42" customFormat="1" ht="23.25" x14ac:dyDescent="0.35">
      <c r="A380" s="35"/>
      <c r="B380" s="653">
        <f>FIDSON!A10</f>
        <v>25</v>
      </c>
      <c r="C380" s="653" t="str">
        <f>FIDSON!B10</f>
        <v>5% DEXTROSE WATER</v>
      </c>
      <c r="D380" s="654">
        <f>FIDSON!C10</f>
        <v>20</v>
      </c>
      <c r="E380" s="653">
        <v>160</v>
      </c>
      <c r="F380" s="38">
        <f>FIDSON!E10</f>
        <v>2500</v>
      </c>
      <c r="G380" s="38">
        <f t="shared" si="15"/>
        <v>400000</v>
      </c>
      <c r="H380" s="79"/>
    </row>
    <row r="381" spans="1:8" s="42" customFormat="1" ht="18.75" x14ac:dyDescent="0.3">
      <c r="A381" s="35"/>
      <c r="B381" s="653">
        <f>FIDSON!A11</f>
        <v>1</v>
      </c>
      <c r="C381" s="653" t="str">
        <f>FIDSON!B11</f>
        <v>ab-ARTEETHER 150MG INJ</v>
      </c>
      <c r="D381" s="654">
        <f>FIDSON!C11</f>
        <v>3</v>
      </c>
      <c r="E381" s="653">
        <v>525</v>
      </c>
      <c r="F381" s="38">
        <f>FIDSON!E11</f>
        <v>1300</v>
      </c>
      <c r="G381" s="38">
        <f t="shared" si="15"/>
        <v>682500</v>
      </c>
      <c r="H381" s="38"/>
    </row>
    <row r="382" spans="1:8" s="42" customFormat="1" ht="18.75" x14ac:dyDescent="0.3">
      <c r="A382" s="35"/>
      <c r="B382" s="653">
        <f>FIDSON!A12</f>
        <v>381</v>
      </c>
      <c r="C382" s="653" t="str">
        <f>FIDSON!B12</f>
        <v>ADDYZOA CAP</v>
      </c>
      <c r="D382" s="654">
        <f>FIDSON!C12</f>
        <v>20</v>
      </c>
      <c r="E382" s="653">
        <v>20</v>
      </c>
      <c r="F382" s="38">
        <f>FIDSON!E12</f>
        <v>2500</v>
      </c>
      <c r="G382" s="38">
        <f t="shared" si="15"/>
        <v>50000</v>
      </c>
      <c r="H382" s="38"/>
    </row>
    <row r="383" spans="1:8" s="42" customFormat="1" ht="18.75" x14ac:dyDescent="0.3">
      <c r="A383" s="35"/>
      <c r="B383" s="653">
        <f>FIDSON!A13</f>
        <v>28</v>
      </c>
      <c r="C383" s="653" t="str">
        <f>FIDSON!B13</f>
        <v>AMINO ACID INFUSION</v>
      </c>
      <c r="D383" s="654">
        <f>FIDSON!C13</f>
        <v>10</v>
      </c>
      <c r="E383" s="653">
        <v>1</v>
      </c>
      <c r="F383" s="38">
        <f>FIDSON!E13</f>
        <v>2900</v>
      </c>
      <c r="G383" s="38">
        <f t="shared" si="15"/>
        <v>2900</v>
      </c>
      <c r="H383" s="38"/>
    </row>
    <row r="384" spans="1:8" s="42" customFormat="1" ht="18.75" x14ac:dyDescent="0.3">
      <c r="A384" s="35"/>
      <c r="B384" s="653">
        <f>FIDSON!A14</f>
        <v>286</v>
      </c>
      <c r="C384" s="653" t="str">
        <f>FIDSON!B14</f>
        <v>AMINO ACIDS + IRON CAP</v>
      </c>
      <c r="D384" s="654">
        <f>FIDSON!C14</f>
        <v>30</v>
      </c>
      <c r="E384" s="653">
        <v>500</v>
      </c>
      <c r="F384" s="38">
        <f>FIDSON!E14</f>
        <v>1160</v>
      </c>
      <c r="G384" s="38">
        <f t="shared" si="15"/>
        <v>580000</v>
      </c>
      <c r="H384" s="38"/>
    </row>
    <row r="385" spans="1:8" s="42" customFormat="1" ht="18.75" x14ac:dyDescent="0.3">
      <c r="A385" s="35"/>
      <c r="B385" s="653">
        <f>FIDSON!A15</f>
        <v>287</v>
      </c>
      <c r="C385" s="653" t="str">
        <f>FIDSON!B15</f>
        <v>AMINO ACIDS + IRON SYR</v>
      </c>
      <c r="D385" s="654" t="str">
        <f>FIDSON!C15</f>
        <v>BOTT</v>
      </c>
      <c r="E385" s="653">
        <v>150</v>
      </c>
      <c r="F385" s="38">
        <f>FIDSON!E15</f>
        <v>1160</v>
      </c>
      <c r="G385" s="38">
        <f t="shared" si="15"/>
        <v>174000</v>
      </c>
      <c r="H385" s="38"/>
    </row>
    <row r="386" spans="1:8" s="42" customFormat="1" ht="18.75" x14ac:dyDescent="0.3">
      <c r="A386" s="35"/>
      <c r="B386" s="653">
        <f>FIDSON!A16</f>
        <v>288</v>
      </c>
      <c r="C386" s="653" t="str">
        <f>FIDSON!B16</f>
        <v>AMINO ACIDS CAP</v>
      </c>
      <c r="D386" s="654">
        <f>FIDSON!C16</f>
        <v>20</v>
      </c>
      <c r="E386" s="653">
        <v>300</v>
      </c>
      <c r="F386" s="38">
        <f>FIDSON!E16</f>
        <v>1160</v>
      </c>
      <c r="G386" s="38">
        <f t="shared" si="15"/>
        <v>348000</v>
      </c>
      <c r="H386" s="38"/>
    </row>
    <row r="387" spans="1:8" s="42" customFormat="1" ht="18.75" x14ac:dyDescent="0.3">
      <c r="A387" s="35"/>
      <c r="B387" s="653">
        <f>FIDSON!A17</f>
        <v>289</v>
      </c>
      <c r="C387" s="653" t="str">
        <f>FIDSON!B17</f>
        <v>AMINO ACIDS SYR</v>
      </c>
      <c r="D387" s="654" t="str">
        <f>FIDSON!C17</f>
        <v>BOTT</v>
      </c>
      <c r="E387" s="653">
        <v>150</v>
      </c>
      <c r="F387" s="38">
        <f>FIDSON!E17</f>
        <v>1160</v>
      </c>
      <c r="G387" s="38">
        <f t="shared" si="15"/>
        <v>174000</v>
      </c>
      <c r="H387" s="38"/>
    </row>
    <row r="388" spans="1:8" s="42" customFormat="1" ht="18.75" x14ac:dyDescent="0.3">
      <c r="A388" s="35"/>
      <c r="B388" s="653">
        <f>FIDSON!A18</f>
        <v>470</v>
      </c>
      <c r="C388" s="653" t="str">
        <f>FIDSON!B18</f>
        <v>CETIRIZINE SYRUP</v>
      </c>
      <c r="D388" s="654" t="str">
        <f>FIDSON!C18</f>
        <v>BOTT</v>
      </c>
      <c r="E388" s="653">
        <v>15</v>
      </c>
      <c r="F388" s="38">
        <f>FIDSON!E18</f>
        <v>240</v>
      </c>
      <c r="G388" s="38">
        <f t="shared" si="15"/>
        <v>3600</v>
      </c>
      <c r="H388" s="38"/>
    </row>
    <row r="389" spans="1:8" s="42" customFormat="1" ht="18.75" x14ac:dyDescent="0.3">
      <c r="A389" s="35"/>
      <c r="B389" s="653">
        <f>FIDSON!A19</f>
        <v>145</v>
      </c>
      <c r="C389" s="653" t="str">
        <f>FIDSON!B19</f>
        <v>CHONDROITIN SULPHATE/GLUCOSAMINE (FORTE)</v>
      </c>
      <c r="D389" s="654">
        <f>FIDSON!C19</f>
        <v>30</v>
      </c>
      <c r="E389" s="653">
        <v>140</v>
      </c>
      <c r="F389" s="38">
        <f>FIDSON!E19</f>
        <v>2600</v>
      </c>
      <c r="G389" s="38">
        <f t="shared" si="15"/>
        <v>364000</v>
      </c>
      <c r="H389" s="38"/>
    </row>
    <row r="390" spans="1:8" s="42" customFormat="1" ht="23.25" x14ac:dyDescent="0.35">
      <c r="A390" s="35"/>
      <c r="B390" s="653">
        <f>FIDSON!A20</f>
        <v>240</v>
      </c>
      <c r="C390" s="653" t="str">
        <f>FIDSON!B20</f>
        <v>CLOTRIMAZOLE 1% CREAM 20g</v>
      </c>
      <c r="D390" s="654" t="str">
        <f>FIDSON!C20</f>
        <v>TUBE</v>
      </c>
      <c r="E390" s="653">
        <v>175</v>
      </c>
      <c r="F390" s="38">
        <f>FIDSON!E20</f>
        <v>115</v>
      </c>
      <c r="G390" s="38">
        <f t="shared" si="15"/>
        <v>20125</v>
      </c>
      <c r="H390" s="186"/>
    </row>
    <row r="391" spans="1:8" s="42" customFormat="1" ht="18.75" x14ac:dyDescent="0.3">
      <c r="A391" s="35"/>
      <c r="B391" s="653">
        <f>FIDSON!A21</f>
        <v>300</v>
      </c>
      <c r="C391" s="653" t="str">
        <f>FIDSON!B21</f>
        <v>ENOXAPARIN 40MG INJ</v>
      </c>
      <c r="D391" s="654" t="str">
        <f>FIDSON!C21</f>
        <v>AMP</v>
      </c>
      <c r="E391" s="653">
        <v>105</v>
      </c>
      <c r="F391" s="38">
        <f>FIDSON!E21</f>
        <v>1800</v>
      </c>
      <c r="G391" s="38">
        <f t="shared" si="15"/>
        <v>189000</v>
      </c>
      <c r="H391" s="35"/>
    </row>
    <row r="392" spans="1:8" s="42" customFormat="1" ht="18.75" x14ac:dyDescent="0.3">
      <c r="A392" s="35"/>
      <c r="B392" s="653">
        <f>FIDSON!A22</f>
        <v>285</v>
      </c>
      <c r="C392" s="653" t="str">
        <f>FIDSON!B22</f>
        <v>FERROUS FUMARATE/FOLIC ACID/VIT.B12</v>
      </c>
      <c r="D392" s="654">
        <f>FIDSON!C22</f>
        <v>30</v>
      </c>
      <c r="E392" s="653">
        <v>125</v>
      </c>
      <c r="F392" s="38">
        <f>FIDSON!E22</f>
        <v>340</v>
      </c>
      <c r="G392" s="38">
        <f t="shared" si="15"/>
        <v>42500</v>
      </c>
      <c r="H392" s="35"/>
    </row>
    <row r="393" spans="1:8" s="42" customFormat="1" ht="18.75" x14ac:dyDescent="0.3">
      <c r="A393" s="35"/>
      <c r="B393" s="653">
        <f>FIDSON!A23</f>
        <v>388</v>
      </c>
      <c r="C393" s="653" t="str">
        <f>FIDSON!B23</f>
        <v>M2TONE TAB</v>
      </c>
      <c r="D393" s="654">
        <f>FIDSON!C23</f>
        <v>20</v>
      </c>
      <c r="E393" s="653">
        <v>5</v>
      </c>
      <c r="F393" s="38">
        <f>FIDSON!E23</f>
        <v>1600</v>
      </c>
      <c r="G393" s="38">
        <f t="shared" si="15"/>
        <v>8000</v>
      </c>
      <c r="H393" s="35"/>
    </row>
    <row r="394" spans="1:8" s="42" customFormat="1" ht="18.75" x14ac:dyDescent="0.3">
      <c r="A394" s="35"/>
      <c r="B394" s="653">
        <f>FIDSON!A24</f>
        <v>264</v>
      </c>
      <c r="C394" s="653" t="str">
        <f>FIDSON!B24</f>
        <v>METRONIDAZOLE 200MG TAB</v>
      </c>
      <c r="D394" s="654">
        <f>FIDSON!C24</f>
        <v>100</v>
      </c>
      <c r="E394" s="653">
        <v>75</v>
      </c>
      <c r="F394" s="38">
        <f>FIDSON!E24</f>
        <v>220</v>
      </c>
      <c r="G394" s="38">
        <f t="shared" si="15"/>
        <v>16500</v>
      </c>
      <c r="H394" s="35"/>
    </row>
    <row r="395" spans="1:8" s="42" customFormat="1" ht="18.75" x14ac:dyDescent="0.3">
      <c r="A395" s="35"/>
      <c r="B395" s="653">
        <f>FIDSON!A25</f>
        <v>266</v>
      </c>
      <c r="C395" s="653" t="str">
        <f>FIDSON!B25</f>
        <v xml:space="preserve">METRONIDAZOLE INJ </v>
      </c>
      <c r="D395" s="654" t="str">
        <f>FIDSON!C25</f>
        <v>BOTT</v>
      </c>
      <c r="E395" s="653">
        <v>3300</v>
      </c>
      <c r="F395" s="38">
        <f>FIDSON!E25</f>
        <v>95</v>
      </c>
      <c r="G395" s="38">
        <f t="shared" si="15"/>
        <v>313500</v>
      </c>
      <c r="H395" s="38"/>
    </row>
    <row r="396" spans="1:8" s="42" customFormat="1" ht="18.75" x14ac:dyDescent="0.3">
      <c r="A396" s="35"/>
      <c r="B396" s="653">
        <f>FIDSON!A26</f>
        <v>315</v>
      </c>
      <c r="C396" s="653" t="str">
        <f>FIDSON!B26</f>
        <v>MULTIVITE SYRUP</v>
      </c>
      <c r="D396" s="654" t="str">
        <f>FIDSON!C26</f>
        <v>BOTT</v>
      </c>
      <c r="E396" s="653">
        <v>200</v>
      </c>
      <c r="F396" s="38">
        <f>FIDSON!E26</f>
        <v>120</v>
      </c>
      <c r="G396" s="38">
        <f t="shared" si="15"/>
        <v>24000</v>
      </c>
      <c r="H396" s="38"/>
    </row>
    <row r="397" spans="1:8" s="42" customFormat="1" ht="18.75" x14ac:dyDescent="0.3">
      <c r="A397" s="35"/>
      <c r="B397" s="653">
        <f>FIDSON!A27</f>
        <v>468</v>
      </c>
      <c r="C397" s="653" t="str">
        <f>FIDSON!B27</f>
        <v>SALBUTAMOL SYRUP</v>
      </c>
      <c r="D397" s="654" t="str">
        <f>FIDSON!C27</f>
        <v>BOTT</v>
      </c>
      <c r="E397" s="653">
        <v>15</v>
      </c>
      <c r="F397" s="38">
        <f>FIDSON!E27</f>
        <v>200</v>
      </c>
      <c r="G397" s="38">
        <f t="shared" si="15"/>
        <v>3000</v>
      </c>
      <c r="H397" s="38"/>
    </row>
    <row r="398" spans="1:8" s="42" customFormat="1" ht="23.25" x14ac:dyDescent="0.35">
      <c r="A398" s="35"/>
      <c r="B398" s="653">
        <f>FIDSON!A28</f>
        <v>395</v>
      </c>
      <c r="C398" s="653" t="str">
        <f>FIDSON!B28</f>
        <v>VIGOMAX TAB</v>
      </c>
      <c r="D398" s="654">
        <f>FIDSON!C28</f>
        <v>20</v>
      </c>
      <c r="E398" s="653">
        <v>13</v>
      </c>
      <c r="F398" s="38">
        <f>FIDSON!E28</f>
        <v>2300</v>
      </c>
      <c r="G398" s="38">
        <f t="shared" si="15"/>
        <v>29900</v>
      </c>
      <c r="H398" s="186">
        <f>SUM(G376:G398)</f>
        <v>5953525</v>
      </c>
    </row>
    <row r="399" spans="1:8" s="42" customFormat="1" ht="18.75" x14ac:dyDescent="0.3">
      <c r="A399" s="35"/>
      <c r="B399" s="653"/>
      <c r="C399" s="653"/>
      <c r="D399" s="654"/>
      <c r="E399" s="653"/>
      <c r="F399" s="38"/>
      <c r="G399" s="38"/>
      <c r="H399" s="38"/>
    </row>
    <row r="400" spans="1:8" s="42" customFormat="1" ht="18.75" x14ac:dyDescent="0.3">
      <c r="A400" s="35"/>
      <c r="B400" s="653"/>
      <c r="C400" s="653"/>
      <c r="D400" s="654"/>
      <c r="E400" s="653"/>
      <c r="F400" s="38"/>
      <c r="G400" s="38"/>
      <c r="H400" s="38"/>
    </row>
    <row r="401" spans="1:8" s="42" customFormat="1" ht="23.25" x14ac:dyDescent="0.35">
      <c r="A401" s="35">
        <v>15</v>
      </c>
      <c r="B401" s="653"/>
      <c r="C401" s="656" t="str">
        <f>FGLOBAL!B1</f>
        <v>FIRST CHOICE GLOBAL UTILITIES LIMITED</v>
      </c>
      <c r="D401" s="654"/>
      <c r="E401" s="653"/>
      <c r="F401" s="38"/>
      <c r="G401" s="38"/>
      <c r="H401" s="38"/>
    </row>
    <row r="402" spans="1:8" s="42" customFormat="1" ht="18.75" x14ac:dyDescent="0.3">
      <c r="A402" s="35"/>
      <c r="B402" s="653">
        <f>FGLOBAL!A6</f>
        <v>622</v>
      </c>
      <c r="C402" s="653" t="str">
        <f>FGLOBAL!B6</f>
        <v>PLASTER 1" (2.5CM X 9.1M) TRANSPARENT</v>
      </c>
      <c r="D402" s="654">
        <f>FGLOBAL!C6</f>
        <v>12</v>
      </c>
      <c r="E402" s="653">
        <v>168</v>
      </c>
      <c r="F402" s="38">
        <f>FGLOBAL!E6</f>
        <v>4800</v>
      </c>
      <c r="G402" s="38">
        <f t="shared" ref="G402:G407" si="16">E402*F402</f>
        <v>806400</v>
      </c>
      <c r="H402" s="38"/>
    </row>
    <row r="403" spans="1:8" s="42" customFormat="1" ht="18.75" x14ac:dyDescent="0.3">
      <c r="A403" s="35"/>
      <c r="B403" s="653">
        <f>FGLOBAL!A7</f>
        <v>626</v>
      </c>
      <c r="C403" s="653" t="str">
        <f>FGLOBAL!B7</f>
        <v>PLASTER 2" (5CM X 9.1M) BROWN</v>
      </c>
      <c r="D403" s="654">
        <f>FGLOBAL!C7</f>
        <v>5</v>
      </c>
      <c r="E403" s="653">
        <v>11</v>
      </c>
      <c r="F403" s="38">
        <f>FGLOBAL!E7</f>
        <v>3800</v>
      </c>
      <c r="G403" s="38">
        <f t="shared" si="16"/>
        <v>41800</v>
      </c>
      <c r="H403" s="38"/>
    </row>
    <row r="404" spans="1:8" s="42" customFormat="1" ht="18.75" x14ac:dyDescent="0.3">
      <c r="A404" s="35"/>
      <c r="B404" s="653">
        <f>FGLOBAL!A8</f>
        <v>623</v>
      </c>
      <c r="C404" s="653" t="str">
        <f>FGLOBAL!B8</f>
        <v>PLASTER 2" (5CM X 9.1M) TRANSPARENT</v>
      </c>
      <c r="D404" s="654">
        <f>FGLOBAL!C8</f>
        <v>6</v>
      </c>
      <c r="E404" s="653">
        <v>5</v>
      </c>
      <c r="F404" s="38">
        <f>FGLOBAL!E8</f>
        <v>4800</v>
      </c>
      <c r="G404" s="38">
        <f t="shared" si="16"/>
        <v>24000</v>
      </c>
      <c r="H404" s="38"/>
    </row>
    <row r="405" spans="1:8" s="42" customFormat="1" ht="18.75" x14ac:dyDescent="0.3">
      <c r="A405" s="35"/>
      <c r="B405" s="653">
        <f>FGLOBAL!A9</f>
        <v>624</v>
      </c>
      <c r="C405" s="653" t="str">
        <f>FGLOBAL!B9</f>
        <v>PLASTER 3"(7.5CM X 9.1M) - DURAPORE</v>
      </c>
      <c r="D405" s="654">
        <f>FGLOBAL!C9</f>
        <v>4</v>
      </c>
      <c r="E405" s="653">
        <v>25</v>
      </c>
      <c r="F405" s="38">
        <f>FGLOBAL!E9</f>
        <v>7500</v>
      </c>
      <c r="G405" s="38">
        <f t="shared" si="16"/>
        <v>187500</v>
      </c>
      <c r="H405" s="38"/>
    </row>
    <row r="406" spans="1:8" s="42" customFormat="1" ht="18.75" x14ac:dyDescent="0.3">
      <c r="A406" s="35"/>
      <c r="B406" s="653">
        <f>FGLOBAL!A10</f>
        <v>627</v>
      </c>
      <c r="C406" s="653" t="str">
        <f>FGLOBAL!B10</f>
        <v>PLASTER 3"(7.5CM X 9.1M) BROWN</v>
      </c>
      <c r="D406" s="654">
        <f>FGLOBAL!C10</f>
        <v>5</v>
      </c>
      <c r="E406" s="653">
        <v>18</v>
      </c>
      <c r="F406" s="38">
        <f>FGLOBAL!E10</f>
        <v>2700</v>
      </c>
      <c r="G406" s="38">
        <f t="shared" si="16"/>
        <v>48600</v>
      </c>
      <c r="H406" s="38"/>
    </row>
    <row r="407" spans="1:8" s="42" customFormat="1" ht="23.25" x14ac:dyDescent="0.35">
      <c r="A407" s="35"/>
      <c r="B407" s="653">
        <f>FGLOBAL!A11</f>
        <v>625</v>
      </c>
      <c r="C407" s="653" t="str">
        <f>FGLOBAL!B11</f>
        <v>PLASTER 3"(7.5CM X 9.1M) TRANSPARENT</v>
      </c>
      <c r="D407" s="654">
        <f>FGLOBAL!C11</f>
        <v>4</v>
      </c>
      <c r="E407" s="653">
        <v>3</v>
      </c>
      <c r="F407" s="38">
        <f>FGLOBAL!E11</f>
        <v>4800</v>
      </c>
      <c r="G407" s="38">
        <f t="shared" si="16"/>
        <v>14400</v>
      </c>
      <c r="H407" s="186">
        <f>SUM(G402:G407)</f>
        <v>1122700</v>
      </c>
    </row>
    <row r="408" spans="1:8" s="42" customFormat="1" ht="18.75" x14ac:dyDescent="0.3">
      <c r="A408" s="35"/>
      <c r="B408" s="653"/>
      <c r="C408" s="653"/>
      <c r="D408" s="654"/>
      <c r="E408" s="653"/>
      <c r="F408" s="38"/>
      <c r="G408" s="38"/>
      <c r="H408" s="38"/>
    </row>
    <row r="409" spans="1:8" s="42" customFormat="1" ht="18.75" x14ac:dyDescent="0.3">
      <c r="A409" s="35"/>
      <c r="B409" s="653"/>
      <c r="C409" s="653"/>
      <c r="D409" s="654"/>
      <c r="E409" s="653"/>
      <c r="F409" s="38"/>
      <c r="G409" s="38"/>
      <c r="H409" s="38"/>
    </row>
    <row r="410" spans="1:8" s="42" customFormat="1" ht="23.25" x14ac:dyDescent="0.35">
      <c r="A410" s="35">
        <v>16</v>
      </c>
      <c r="B410" s="653"/>
      <c r="C410" s="656" t="str">
        <f>GENEITH!B1</f>
        <v>GENEITH PHARMACEUTICALS LIMITED</v>
      </c>
      <c r="D410" s="654"/>
      <c r="E410" s="653"/>
      <c r="F410" s="38"/>
      <c r="G410" s="38"/>
      <c r="H410" s="38"/>
    </row>
    <row r="411" spans="1:8" s="42" customFormat="1" ht="18.75" x14ac:dyDescent="0.3">
      <c r="A411" s="35"/>
      <c r="B411" s="653">
        <f>GENEITH!A6</f>
        <v>5</v>
      </c>
      <c r="C411" s="653" t="str">
        <f>GENEITH!B6</f>
        <v>ARTEMETHER/LUMEFANTRINE (80/480) SOFT GEL</v>
      </c>
      <c r="D411" s="654">
        <f>GENEITH!C6</f>
        <v>6</v>
      </c>
      <c r="E411" s="653">
        <v>125</v>
      </c>
      <c r="F411" s="38">
        <f>GENEITH!E6</f>
        <v>550</v>
      </c>
      <c r="G411" s="38">
        <f t="shared" ref="G411:G414" si="17">E411*F411</f>
        <v>68750</v>
      </c>
      <c r="H411" s="38"/>
    </row>
    <row r="412" spans="1:8" s="42" customFormat="1" ht="23.25" x14ac:dyDescent="0.35">
      <c r="A412" s="35"/>
      <c r="B412" s="653">
        <f>GENEITH!A7</f>
        <v>247</v>
      </c>
      <c r="C412" s="653" t="str">
        <f>GENEITH!B7</f>
        <v>ERYTHROMYCIN 125MG/5ML SUSP</v>
      </c>
      <c r="D412" s="654" t="str">
        <f>GENEITH!C7</f>
        <v>BOTT</v>
      </c>
      <c r="E412" s="653">
        <v>100</v>
      </c>
      <c r="F412" s="38">
        <f>GENEITH!E7</f>
        <v>400</v>
      </c>
      <c r="G412" s="38">
        <f t="shared" si="17"/>
        <v>40000</v>
      </c>
      <c r="H412" s="186"/>
    </row>
    <row r="413" spans="1:8" s="42" customFormat="1" ht="18.75" x14ac:dyDescent="0.3">
      <c r="A413" s="35"/>
      <c r="B413" s="653">
        <f>GENEITH!A8</f>
        <v>394</v>
      </c>
      <c r="C413" s="653" t="str">
        <f>GENEITH!B8</f>
        <v>TADALAFIL</v>
      </c>
      <c r="D413" s="654">
        <f>GENEITH!C8</f>
        <v>4</v>
      </c>
      <c r="E413" s="653">
        <v>25</v>
      </c>
      <c r="F413" s="38">
        <f>GENEITH!E8</f>
        <v>495</v>
      </c>
      <c r="G413" s="38">
        <f t="shared" si="17"/>
        <v>12375</v>
      </c>
      <c r="H413" s="35"/>
    </row>
    <row r="414" spans="1:8" s="42" customFormat="1" ht="23.25" x14ac:dyDescent="0.35">
      <c r="A414" s="35"/>
      <c r="B414" s="653">
        <f>GENEITH!A9</f>
        <v>192</v>
      </c>
      <c r="C414" s="653" t="str">
        <f>GENEITH!B9</f>
        <v>TRAMADOL 100MG INJ</v>
      </c>
      <c r="D414" s="654">
        <f>GENEITH!C9</f>
        <v>100</v>
      </c>
      <c r="E414" s="653">
        <v>1</v>
      </c>
      <c r="F414" s="38">
        <f>GENEITH!E9</f>
        <v>4500</v>
      </c>
      <c r="G414" s="38">
        <f t="shared" si="17"/>
        <v>4500</v>
      </c>
      <c r="H414" s="186">
        <f>SUM(G411:G414)</f>
        <v>125625</v>
      </c>
    </row>
    <row r="415" spans="1:8" s="42" customFormat="1" ht="18.75" x14ac:dyDescent="0.3">
      <c r="A415" s="35"/>
      <c r="B415" s="653"/>
      <c r="C415" s="653"/>
      <c r="D415" s="654"/>
      <c r="E415" s="653"/>
      <c r="F415" s="38"/>
      <c r="G415" s="38"/>
      <c r="H415" s="35"/>
    </row>
    <row r="416" spans="1:8" s="42" customFormat="1" ht="18.75" x14ac:dyDescent="0.3">
      <c r="A416" s="35"/>
      <c r="B416" s="653"/>
      <c r="C416" s="653"/>
      <c r="D416" s="654"/>
      <c r="E416" s="653"/>
      <c r="F416" s="38"/>
      <c r="G416" s="38"/>
      <c r="H416" s="35"/>
    </row>
    <row r="417" spans="1:8" s="42" customFormat="1" ht="23.25" x14ac:dyDescent="0.35">
      <c r="A417" s="35">
        <v>17</v>
      </c>
      <c r="B417" s="653"/>
      <c r="C417" s="656" t="str">
        <f>GSK!B1</f>
        <v>GLAXOSMITHKLINE PHARM. LTD</v>
      </c>
      <c r="D417" s="654"/>
      <c r="E417" s="653"/>
      <c r="F417" s="38"/>
      <c r="G417" s="38"/>
      <c r="H417" s="38"/>
    </row>
    <row r="418" spans="1:8" s="42" customFormat="1" ht="23.25" x14ac:dyDescent="0.35">
      <c r="A418" s="35"/>
      <c r="B418" s="653">
        <f>GSK!A6</f>
        <v>202</v>
      </c>
      <c r="C418" s="653" t="str">
        <f>GSK!B6</f>
        <v>AMOXICILLIN/CLAVULANIC ACID  228MG/5ML</v>
      </c>
      <c r="D418" s="654" t="str">
        <f>GSK!C6</f>
        <v>BOTT</v>
      </c>
      <c r="E418" s="653">
        <v>50</v>
      </c>
      <c r="F418" s="38">
        <f>GSK!E6</f>
        <v>638</v>
      </c>
      <c r="G418" s="38">
        <f t="shared" ref="G418:G428" si="18">E418*F418</f>
        <v>31900</v>
      </c>
      <c r="H418" s="79"/>
    </row>
    <row r="419" spans="1:8" s="42" customFormat="1" ht="18.75" x14ac:dyDescent="0.3">
      <c r="A419" s="35"/>
      <c r="B419" s="653">
        <f>GSK!A7</f>
        <v>208</v>
      </c>
      <c r="C419" s="653" t="str">
        <f>GSK!B7</f>
        <v>AMOXICILLIN/CLAVULANIC ACID 625MG TAB</v>
      </c>
      <c r="D419" s="654">
        <f>GSK!C7</f>
        <v>15</v>
      </c>
      <c r="E419" s="653">
        <v>600</v>
      </c>
      <c r="F419" s="38">
        <f>GSK!E7</f>
        <v>1097.5899999999999</v>
      </c>
      <c r="G419" s="38">
        <f t="shared" si="18"/>
        <v>658554</v>
      </c>
      <c r="H419" s="38"/>
    </row>
    <row r="420" spans="1:8" s="42" customFormat="1" ht="18.75" x14ac:dyDescent="0.3">
      <c r="A420" s="35"/>
      <c r="B420" s="653">
        <f>GSK!A8</f>
        <v>231</v>
      </c>
      <c r="C420" s="653" t="str">
        <f>GSK!B8</f>
        <v>CEFUROXIME 500MG TAB</v>
      </c>
      <c r="D420" s="654">
        <f>GSK!C8</f>
        <v>10</v>
      </c>
      <c r="E420" s="653">
        <v>500</v>
      </c>
      <c r="F420" s="38">
        <f>GSK!E8</f>
        <v>1694.18</v>
      </c>
      <c r="G420" s="38">
        <f t="shared" si="18"/>
        <v>847090</v>
      </c>
      <c r="H420" s="38"/>
    </row>
    <row r="421" spans="1:8" s="42" customFormat="1" ht="18.75" x14ac:dyDescent="0.3">
      <c r="A421" s="35"/>
      <c r="B421" s="653">
        <f>GSK!A9</f>
        <v>232</v>
      </c>
      <c r="C421" s="653" t="str">
        <f>GSK!B9</f>
        <v>CEFUROXIME 750MG INJ</v>
      </c>
      <c r="D421" s="654" t="str">
        <f>GSK!C9</f>
        <v>VIAL</v>
      </c>
      <c r="E421" s="653">
        <v>1500</v>
      </c>
      <c r="F421" s="38">
        <f>GSK!E9</f>
        <v>881.2639999999999</v>
      </c>
      <c r="G421" s="38">
        <f t="shared" si="18"/>
        <v>1321895.9999999998</v>
      </c>
      <c r="H421" s="38"/>
    </row>
    <row r="422" spans="1:8" s="42" customFormat="1" ht="23.25" x14ac:dyDescent="0.35">
      <c r="A422" s="35"/>
      <c r="B422" s="653">
        <f>GSK!A10</f>
        <v>234</v>
      </c>
      <c r="C422" s="653" t="str">
        <f>GSK!B10</f>
        <v>CEFUROXIME SUSPENSION 250MG/5ML (100ML)</v>
      </c>
      <c r="D422" s="654" t="str">
        <f>GSK!C10</f>
        <v>BOTT</v>
      </c>
      <c r="E422" s="653">
        <v>75</v>
      </c>
      <c r="F422" s="38">
        <f>GSK!E10</f>
        <v>1097.3599999999999</v>
      </c>
      <c r="G422" s="38">
        <f t="shared" si="18"/>
        <v>82301.999999999985</v>
      </c>
      <c r="H422" s="186"/>
    </row>
    <row r="423" spans="1:8" s="42" customFormat="1" ht="18.75" x14ac:dyDescent="0.3">
      <c r="A423" s="35"/>
      <c r="B423" s="653">
        <f>GSK!A11</f>
        <v>691</v>
      </c>
      <c r="C423" s="653" t="str">
        <f>GSK!B11</f>
        <v>DUTASTERIDE+TAMSULOSIN   0.5MG/0.4MG</v>
      </c>
      <c r="D423" s="654">
        <f>GSK!C11</f>
        <v>30</v>
      </c>
      <c r="E423" s="653">
        <v>5</v>
      </c>
      <c r="F423" s="38">
        <f>GSK!E11</f>
        <v>5493.76</v>
      </c>
      <c r="G423" s="38">
        <f t="shared" si="18"/>
        <v>27468.800000000003</v>
      </c>
      <c r="H423" s="35"/>
    </row>
    <row r="424" spans="1:8" s="42" customFormat="1" ht="18.75" x14ac:dyDescent="0.3">
      <c r="A424" s="35"/>
      <c r="B424" s="653">
        <f>GSK!A12</f>
        <v>458</v>
      </c>
      <c r="C424" s="653" t="str">
        <f>GSK!B12</f>
        <v>FLUTICASONE FUROATE NASAL SPRAY</v>
      </c>
      <c r="D424" s="654" t="str">
        <f>GSK!C12</f>
        <v>PCS</v>
      </c>
      <c r="E424" s="653">
        <v>25</v>
      </c>
      <c r="F424" s="38">
        <f>GSK!E12</f>
        <v>1550.92</v>
      </c>
      <c r="G424" s="38">
        <f t="shared" si="18"/>
        <v>38773</v>
      </c>
      <c r="H424" s="35"/>
    </row>
    <row r="425" spans="1:8" s="42" customFormat="1" ht="18.75" x14ac:dyDescent="0.3">
      <c r="A425" s="35"/>
      <c r="B425" s="653">
        <f>GSK!A13</f>
        <v>459</v>
      </c>
      <c r="C425" s="653" t="str">
        <f>GSK!B13</f>
        <v>FLUTICASONE PROPIONATE NASAL SPRAY</v>
      </c>
      <c r="D425" s="654" t="str">
        <f>GSK!C13</f>
        <v>PCS</v>
      </c>
      <c r="E425" s="653">
        <v>3</v>
      </c>
      <c r="F425" s="38">
        <f>GSK!E13</f>
        <v>1514.96</v>
      </c>
      <c r="G425" s="38">
        <f t="shared" si="18"/>
        <v>4544.88</v>
      </c>
      <c r="H425" s="38"/>
    </row>
    <row r="426" spans="1:8" s="42" customFormat="1" ht="18.75" x14ac:dyDescent="0.3">
      <c r="A426" s="35"/>
      <c r="B426" s="653">
        <f>GSK!A14</f>
        <v>460</v>
      </c>
      <c r="C426" s="653" t="str">
        <f>GSK!B14</f>
        <v>FLUTICASONE/SALMETEROL (SERETIDE EVOHALER)</v>
      </c>
      <c r="D426" s="654" t="str">
        <f>GSK!C14</f>
        <v>PCS</v>
      </c>
      <c r="E426" s="653">
        <v>13</v>
      </c>
      <c r="F426" s="38">
        <f>GSK!E14</f>
        <v>1415.2</v>
      </c>
      <c r="G426" s="38">
        <f t="shared" si="18"/>
        <v>18397.600000000002</v>
      </c>
      <c r="H426" s="38"/>
    </row>
    <row r="427" spans="1:8" s="42" customFormat="1" ht="18.75" x14ac:dyDescent="0.3">
      <c r="A427" s="35"/>
      <c r="B427" s="653">
        <f>GSK!A15</f>
        <v>461</v>
      </c>
      <c r="C427" s="653" t="str">
        <f>GSK!B15</f>
        <v>FLUTICASONE+SALMETEROL (ADULT)</v>
      </c>
      <c r="D427" s="654" t="str">
        <f>GSK!C15</f>
        <v>PCS</v>
      </c>
      <c r="E427" s="653">
        <v>15</v>
      </c>
      <c r="F427" s="38">
        <f>GSK!E15</f>
        <v>3542.64</v>
      </c>
      <c r="G427" s="38">
        <f t="shared" si="18"/>
        <v>53139.6</v>
      </c>
      <c r="H427" s="38"/>
    </row>
    <row r="428" spans="1:8" s="42" customFormat="1" ht="23.25" x14ac:dyDescent="0.35">
      <c r="A428" s="35"/>
      <c r="B428" s="653">
        <f>GSK!A16</f>
        <v>465</v>
      </c>
      <c r="C428" s="653" t="str">
        <f>GSK!B16</f>
        <v>SALBUTAMOL INHALER</v>
      </c>
      <c r="D428" s="654" t="str">
        <f>GSK!C16</f>
        <v>PCS</v>
      </c>
      <c r="E428" s="653">
        <v>60</v>
      </c>
      <c r="F428" s="38">
        <f>GSK!E16</f>
        <v>1155.3599999999999</v>
      </c>
      <c r="G428" s="38">
        <f t="shared" si="18"/>
        <v>69321.599999999991</v>
      </c>
      <c r="H428" s="186">
        <f>SUM(G418:G428)</f>
        <v>3153387.48</v>
      </c>
    </row>
    <row r="429" spans="1:8" s="42" customFormat="1" ht="18.75" x14ac:dyDescent="0.3">
      <c r="A429" s="35"/>
      <c r="B429" s="653"/>
      <c r="C429" s="653"/>
      <c r="D429" s="654"/>
      <c r="E429" s="653"/>
      <c r="F429" s="38"/>
      <c r="G429" s="38"/>
      <c r="H429" s="38"/>
    </row>
    <row r="430" spans="1:8" s="42" customFormat="1" ht="18.75" x14ac:dyDescent="0.3">
      <c r="A430" s="35"/>
      <c r="B430" s="653"/>
      <c r="C430" s="653"/>
      <c r="D430" s="654"/>
      <c r="E430" s="653"/>
      <c r="F430" s="38"/>
      <c r="G430" s="38"/>
      <c r="H430" s="38"/>
    </row>
    <row r="431" spans="1:8" s="42" customFormat="1" ht="23.25" x14ac:dyDescent="0.35">
      <c r="A431" s="35">
        <v>18</v>
      </c>
      <c r="B431" s="653"/>
      <c r="C431" s="656" t="str">
        <f>GLOBORG!B1</f>
        <v>GLOBAL ORGANICS LIMITED</v>
      </c>
      <c r="D431" s="654"/>
      <c r="E431" s="653"/>
      <c r="F431" s="38"/>
      <c r="G431" s="38"/>
      <c r="H431" s="38"/>
    </row>
    <row r="432" spans="1:8" s="42" customFormat="1" ht="18.75" x14ac:dyDescent="0.3">
      <c r="A432" s="35"/>
      <c r="B432" s="653">
        <f>GLOBORG!A6</f>
        <v>237</v>
      </c>
      <c r="C432" s="653" t="str">
        <f>GLOBORG!B6</f>
        <v>CIPROFLOXACIN INJ</v>
      </c>
      <c r="D432" s="654" t="str">
        <f>GLOBORG!C6</f>
        <v>BOTT</v>
      </c>
      <c r="E432" s="653">
        <v>450</v>
      </c>
      <c r="F432" s="38">
        <f>GLOBORG!E6</f>
        <v>102</v>
      </c>
      <c r="G432" s="38">
        <f t="shared" ref="G432:G437" si="19">E432*F432</f>
        <v>45900</v>
      </c>
      <c r="H432" s="38"/>
    </row>
    <row r="433" spans="1:8" s="42" customFormat="1" ht="23.25" x14ac:dyDescent="0.35">
      <c r="A433" s="35"/>
      <c r="B433" s="653">
        <f>GLOBORG!A7</f>
        <v>262</v>
      </c>
      <c r="C433" s="653" t="str">
        <f>GLOBORG!B7</f>
        <v>LEVOFLOXACIN IV</v>
      </c>
      <c r="D433" s="654" t="str">
        <f>GLOBORG!C7</f>
        <v>BOTT</v>
      </c>
      <c r="E433" s="653">
        <v>225</v>
      </c>
      <c r="F433" s="38">
        <f>GLOBORG!E7</f>
        <v>190</v>
      </c>
      <c r="G433" s="38">
        <f t="shared" si="19"/>
        <v>42750</v>
      </c>
      <c r="H433" s="186"/>
    </row>
    <row r="434" spans="1:8" s="42" customFormat="1" ht="18.75" x14ac:dyDescent="0.3">
      <c r="A434" s="35"/>
      <c r="B434" s="653">
        <f>GLOBORG!A8</f>
        <v>266</v>
      </c>
      <c r="C434" s="653" t="str">
        <f>GLOBORG!B8</f>
        <v xml:space="preserve">METRONIDAZOLE INJ </v>
      </c>
      <c r="D434" s="654" t="str">
        <f>GLOBORG!C8</f>
        <v>BOTT</v>
      </c>
      <c r="E434" s="653">
        <v>7700</v>
      </c>
      <c r="F434" s="38">
        <f>GLOBORG!E8</f>
        <v>88</v>
      </c>
      <c r="G434" s="38">
        <f t="shared" si="19"/>
        <v>677600</v>
      </c>
      <c r="H434" s="35"/>
    </row>
    <row r="435" spans="1:8" s="42" customFormat="1" ht="18.75" x14ac:dyDescent="0.3">
      <c r="A435" s="35"/>
      <c r="B435" s="653">
        <f>GLOBORG!A9</f>
        <v>440</v>
      </c>
      <c r="C435" s="653" t="str">
        <f>GLOBORG!B9</f>
        <v>OMEPRAZOLE 20MG CAP</v>
      </c>
      <c r="D435" s="654">
        <f>GLOBORG!C9</f>
        <v>14</v>
      </c>
      <c r="E435" s="653">
        <v>2000</v>
      </c>
      <c r="F435" s="38">
        <f>GLOBORG!E9</f>
        <v>120</v>
      </c>
      <c r="G435" s="38">
        <f t="shared" si="19"/>
        <v>240000</v>
      </c>
      <c r="H435" s="35"/>
    </row>
    <row r="436" spans="1:8" s="42" customFormat="1" ht="23.25" x14ac:dyDescent="0.35">
      <c r="A436" s="35"/>
      <c r="B436" s="653">
        <f>GLOBORG!A10</f>
        <v>182</v>
      </c>
      <c r="C436" s="653" t="str">
        <f>GLOBORG!B10</f>
        <v>PARACETAMOL INFUSION</v>
      </c>
      <c r="D436" s="654" t="str">
        <f>GLOBORG!C10</f>
        <v>BOTT</v>
      </c>
      <c r="E436" s="653">
        <v>3750</v>
      </c>
      <c r="F436" s="38">
        <f>GLOBORG!E10</f>
        <v>380</v>
      </c>
      <c r="G436" s="38">
        <f t="shared" si="19"/>
        <v>1425000</v>
      </c>
      <c r="H436" s="79"/>
    </row>
    <row r="437" spans="1:8" s="42" customFormat="1" ht="23.25" x14ac:dyDescent="0.35">
      <c r="A437" s="35"/>
      <c r="B437" s="653">
        <f>GLOBORG!A11</f>
        <v>33</v>
      </c>
      <c r="C437" s="653" t="str">
        <f>GLOBORG!B11</f>
        <v>STERILE WATER FOR INJECTION</v>
      </c>
      <c r="D437" s="654">
        <f>GLOBORG!C11</f>
        <v>50</v>
      </c>
      <c r="E437" s="653">
        <v>500</v>
      </c>
      <c r="F437" s="38">
        <f>GLOBORG!E11</f>
        <v>750</v>
      </c>
      <c r="G437" s="38">
        <f t="shared" si="19"/>
        <v>375000</v>
      </c>
      <c r="H437" s="186">
        <f>SUM(G432:G437)</f>
        <v>2806250</v>
      </c>
    </row>
    <row r="438" spans="1:8" s="42" customFormat="1" ht="18.75" x14ac:dyDescent="0.3">
      <c r="A438" s="35"/>
      <c r="B438" s="653"/>
      <c r="C438" s="653"/>
      <c r="D438" s="654"/>
      <c r="E438" s="653"/>
      <c r="F438" s="38"/>
      <c r="G438" s="38"/>
      <c r="H438" s="38"/>
    </row>
    <row r="439" spans="1:8" s="42" customFormat="1" ht="18.75" x14ac:dyDescent="0.3">
      <c r="A439" s="35"/>
      <c r="B439" s="653"/>
      <c r="C439" s="653"/>
      <c r="D439" s="654"/>
      <c r="E439" s="653"/>
      <c r="F439" s="38"/>
      <c r="G439" s="38"/>
      <c r="H439" s="38"/>
    </row>
    <row r="440" spans="1:8" s="42" customFormat="1" ht="23.25" x14ac:dyDescent="0.35">
      <c r="A440" s="35">
        <v>19</v>
      </c>
      <c r="B440" s="653"/>
      <c r="C440" s="656" t="str">
        <f>GREENLIFE!B1</f>
        <v>GREENLIFE PHARMACEUTICALS LIMITED</v>
      </c>
      <c r="D440" s="654"/>
      <c r="E440" s="653"/>
      <c r="F440" s="38"/>
      <c r="G440" s="38"/>
      <c r="H440" s="38"/>
    </row>
    <row r="441" spans="1:8" s="42" customFormat="1" ht="23.25" x14ac:dyDescent="0.35">
      <c r="A441" s="35"/>
      <c r="B441" s="653">
        <f>GREENLIFE!A6</f>
        <v>202</v>
      </c>
      <c r="C441" s="653" t="str">
        <f>GREENLIFE!B6</f>
        <v>AMOXICILLIN/CLAVULANIC ACID  228MG/5ML</v>
      </c>
      <c r="D441" s="654" t="str">
        <f>GREENLIFE!C6</f>
        <v>BOTT</v>
      </c>
      <c r="E441" s="653">
        <v>100</v>
      </c>
      <c r="F441" s="38">
        <f>GREENLIFE!E6</f>
        <v>450</v>
      </c>
      <c r="G441" s="38">
        <f t="shared" ref="G441:G451" si="20">E441*F441</f>
        <v>45000</v>
      </c>
      <c r="H441" s="186"/>
    </row>
    <row r="442" spans="1:8" s="42" customFormat="1" ht="18.75" x14ac:dyDescent="0.3">
      <c r="A442" s="35"/>
      <c r="B442" s="653">
        <f>GREENLIFE!A7</f>
        <v>10</v>
      </c>
      <c r="C442" s="653" t="str">
        <f>GREENLIFE!B7</f>
        <v>ARTESUNATE 60MG INJ</v>
      </c>
      <c r="D442" s="654">
        <f>GREENLIFE!C7</f>
        <v>6</v>
      </c>
      <c r="E442" s="653">
        <v>131</v>
      </c>
      <c r="F442" s="38">
        <f>GREENLIFE!E7</f>
        <v>450</v>
      </c>
      <c r="G442" s="38">
        <f t="shared" si="20"/>
        <v>58950</v>
      </c>
      <c r="H442" s="35"/>
    </row>
    <row r="443" spans="1:8" s="42" customFormat="1" ht="18.75" x14ac:dyDescent="0.3">
      <c r="A443" s="35"/>
      <c r="B443" s="653">
        <f>GREENLIFE!A8</f>
        <v>293</v>
      </c>
      <c r="C443" s="653" t="str">
        <f>GREENLIFE!B8</f>
        <v>CALCIUM LACTATE 300MG TAB</v>
      </c>
      <c r="D443" s="654">
        <f>GREENLIFE!C8</f>
        <v>1000</v>
      </c>
      <c r="E443" s="653">
        <v>13</v>
      </c>
      <c r="F443" s="38">
        <f>GREENLIFE!E8</f>
        <v>750</v>
      </c>
      <c r="G443" s="38">
        <f t="shared" si="20"/>
        <v>9750</v>
      </c>
      <c r="H443" s="35"/>
    </row>
    <row r="444" spans="1:8" s="42" customFormat="1" ht="18.75" x14ac:dyDescent="0.3">
      <c r="A444" s="35"/>
      <c r="B444" s="653">
        <f>GREENLIFE!A9</f>
        <v>220</v>
      </c>
      <c r="C444" s="653" t="str">
        <f>GREENLIFE!B9</f>
        <v>CEFIXIME 200MG TAB</v>
      </c>
      <c r="D444" s="654">
        <f>GREENLIFE!C9</f>
        <v>10</v>
      </c>
      <c r="E444" s="653">
        <v>100</v>
      </c>
      <c r="F444" s="38">
        <f>GREENLIFE!E9</f>
        <v>550</v>
      </c>
      <c r="G444" s="38">
        <f t="shared" si="20"/>
        <v>55000</v>
      </c>
      <c r="H444" s="38"/>
    </row>
    <row r="445" spans="1:8" s="42" customFormat="1" ht="18.75" x14ac:dyDescent="0.3">
      <c r="A445" s="35"/>
      <c r="B445" s="653">
        <f>GREENLIFE!A10</f>
        <v>296</v>
      </c>
      <c r="C445" s="653" t="str">
        <f>GREENLIFE!B10</f>
        <v>CHYMOTRYPSIN/TRYPSIN</v>
      </c>
      <c r="D445" s="654">
        <f>GREENLIFE!C10</f>
        <v>30</v>
      </c>
      <c r="E445" s="653">
        <v>100</v>
      </c>
      <c r="F445" s="38">
        <f>GREENLIFE!E10</f>
        <v>220</v>
      </c>
      <c r="G445" s="38">
        <f t="shared" si="20"/>
        <v>22000</v>
      </c>
      <c r="H445" s="38"/>
    </row>
    <row r="446" spans="1:8" s="42" customFormat="1" ht="18.75" x14ac:dyDescent="0.3">
      <c r="A446" s="35"/>
      <c r="B446" s="653">
        <f>GREENLIFE!A11</f>
        <v>658</v>
      </c>
      <c r="C446" s="653" t="str">
        <f>GREENLIFE!B11</f>
        <v>CLOBESTASOL 0.05% CREAM</v>
      </c>
      <c r="D446" s="654" t="str">
        <f>GREENLIFE!C11</f>
        <v>TUBE</v>
      </c>
      <c r="E446" s="653">
        <v>5</v>
      </c>
      <c r="F446" s="38">
        <f>GREENLIFE!E11</f>
        <v>170</v>
      </c>
      <c r="G446" s="38">
        <f t="shared" si="20"/>
        <v>850</v>
      </c>
      <c r="H446" s="38"/>
    </row>
    <row r="447" spans="1:8" s="42" customFormat="1" ht="18.75" x14ac:dyDescent="0.3">
      <c r="A447" s="35"/>
      <c r="B447" s="653">
        <f>GREENLIFE!A12</f>
        <v>156</v>
      </c>
      <c r="C447" s="653" t="str">
        <f>GREENLIFE!B12</f>
        <v xml:space="preserve">DICLOFENAC/METHYL SALICYLATE CREAM </v>
      </c>
      <c r="D447" s="654" t="str">
        <f>GREENLIFE!C12</f>
        <v>TUBE</v>
      </c>
      <c r="E447" s="653">
        <v>400</v>
      </c>
      <c r="F447" s="38">
        <f>GREENLIFE!E12</f>
        <v>190</v>
      </c>
      <c r="G447" s="38">
        <f t="shared" si="20"/>
        <v>76000</v>
      </c>
      <c r="H447" s="38"/>
    </row>
    <row r="448" spans="1:8" s="42" customFormat="1" ht="18.75" x14ac:dyDescent="0.3">
      <c r="A448" s="35"/>
      <c r="B448" s="653">
        <f>GREENLIFE!A13</f>
        <v>320</v>
      </c>
      <c r="C448" s="653" t="str">
        <f>GREENLIFE!B13</f>
        <v>ORAL REHYDRATION SALT</v>
      </c>
      <c r="D448" s="654">
        <f>GREENLIFE!C13</f>
        <v>3</v>
      </c>
      <c r="E448" s="653">
        <v>500</v>
      </c>
      <c r="F448" s="38">
        <f>GREENLIFE!E13</f>
        <v>107</v>
      </c>
      <c r="G448" s="38">
        <f t="shared" si="20"/>
        <v>53500</v>
      </c>
      <c r="H448" s="38"/>
    </row>
    <row r="449" spans="1:8" s="42" customFormat="1" ht="18.75" x14ac:dyDescent="0.3">
      <c r="A449" s="35"/>
      <c r="B449" s="653">
        <f>GREENLIFE!A14</f>
        <v>179</v>
      </c>
      <c r="C449" s="653" t="str">
        <f>GREENLIFE!B14</f>
        <v>PARACETAMOL 125MG SUPPOSITORY</v>
      </c>
      <c r="D449" s="654">
        <f>GREENLIFE!C14</f>
        <v>10</v>
      </c>
      <c r="E449" s="653">
        <v>2500</v>
      </c>
      <c r="F449" s="38">
        <f>GREENLIFE!E14</f>
        <v>600</v>
      </c>
      <c r="G449" s="38">
        <f t="shared" si="20"/>
        <v>1500000</v>
      </c>
      <c r="H449" s="38"/>
    </row>
    <row r="450" spans="1:8" s="42" customFormat="1" ht="18.75" x14ac:dyDescent="0.3">
      <c r="A450" s="35"/>
      <c r="B450" s="653">
        <f>GREENLIFE!A15</f>
        <v>180</v>
      </c>
      <c r="C450" s="653" t="str">
        <f>GREENLIFE!B15</f>
        <v>PARACETAMOL 250MG SUPPOSITORY</v>
      </c>
      <c r="D450" s="654">
        <f>GREENLIFE!C15</f>
        <v>10</v>
      </c>
      <c r="E450" s="653">
        <v>2500</v>
      </c>
      <c r="F450" s="38">
        <f>GREENLIFE!E15</f>
        <v>650</v>
      </c>
      <c r="G450" s="38">
        <f t="shared" si="20"/>
        <v>1625000</v>
      </c>
      <c r="H450" s="38"/>
    </row>
    <row r="451" spans="1:8" s="42" customFormat="1" ht="23.25" x14ac:dyDescent="0.35">
      <c r="A451" s="35"/>
      <c r="B451" s="653">
        <f>GREENLIFE!A16</f>
        <v>280</v>
      </c>
      <c r="C451" s="653" t="str">
        <f>GREENLIFE!B16</f>
        <v>SECNIDAZOLE 500MG TAB</v>
      </c>
      <c r="D451" s="654">
        <f>GREENLIFE!C16</f>
        <v>4</v>
      </c>
      <c r="E451" s="653">
        <v>15</v>
      </c>
      <c r="F451" s="38">
        <f>GREENLIFE!E16</f>
        <v>100</v>
      </c>
      <c r="G451" s="38">
        <f t="shared" si="20"/>
        <v>1500</v>
      </c>
      <c r="H451" s="186">
        <f>SUM(G441:G451)</f>
        <v>3447550</v>
      </c>
    </row>
    <row r="452" spans="1:8" s="42" customFormat="1" ht="18.75" x14ac:dyDescent="0.3">
      <c r="A452" s="35"/>
      <c r="B452" s="653"/>
      <c r="C452" s="653"/>
      <c r="D452" s="654"/>
      <c r="E452" s="653"/>
      <c r="F452" s="38"/>
      <c r="G452" s="38"/>
      <c r="H452" s="38"/>
    </row>
    <row r="453" spans="1:8" s="42" customFormat="1" ht="18.75" x14ac:dyDescent="0.3">
      <c r="A453" s="35"/>
      <c r="B453" s="653"/>
      <c r="C453" s="653"/>
      <c r="D453" s="654"/>
      <c r="E453" s="653"/>
      <c r="F453" s="38"/>
      <c r="G453" s="38"/>
      <c r="H453" s="38"/>
    </row>
    <row r="454" spans="1:8" s="42" customFormat="1" ht="23.25" x14ac:dyDescent="0.35">
      <c r="A454" s="35">
        <v>20</v>
      </c>
      <c r="B454" s="653"/>
      <c r="C454" s="656" t="str">
        <f>HLINE!B1</f>
        <v>HEALTHLINE PHARMACEUTICALS LIMITED</v>
      </c>
      <c r="D454" s="654"/>
      <c r="E454" s="653"/>
      <c r="F454" s="38"/>
      <c r="G454" s="38"/>
      <c r="H454" s="38"/>
    </row>
    <row r="455" spans="1:8" s="42" customFormat="1" ht="18.75" x14ac:dyDescent="0.3">
      <c r="A455" s="35"/>
      <c r="B455" s="653">
        <f>HLINE!A6</f>
        <v>142</v>
      </c>
      <c r="C455" s="653" t="str">
        <f>HLINE!B6</f>
        <v xml:space="preserve">ACECLOFENAC 100MG </v>
      </c>
      <c r="D455" s="654">
        <f>HLINE!C6</f>
        <v>30</v>
      </c>
      <c r="E455" s="653">
        <v>13</v>
      </c>
      <c r="F455" s="38">
        <f>HLINE!E6</f>
        <v>200</v>
      </c>
      <c r="G455" s="38">
        <f t="shared" ref="G455:G461" si="21">E455*F455</f>
        <v>2600</v>
      </c>
      <c r="H455" s="38"/>
    </row>
    <row r="456" spans="1:8" s="42" customFormat="1" ht="18.75" x14ac:dyDescent="0.3">
      <c r="A456" s="35"/>
      <c r="B456" s="653">
        <f>HLINE!A7</f>
        <v>78</v>
      </c>
      <c r="C456" s="653" t="str">
        <f>HLINE!B7</f>
        <v>LOSARTAN 50MG</v>
      </c>
      <c r="D456" s="654">
        <f>HLINE!C7</f>
        <v>30</v>
      </c>
      <c r="E456" s="653">
        <v>420</v>
      </c>
      <c r="F456" s="38">
        <f>HLINE!E7</f>
        <v>550</v>
      </c>
      <c r="G456" s="38">
        <f t="shared" si="21"/>
        <v>231000</v>
      </c>
      <c r="H456" s="38"/>
    </row>
    <row r="457" spans="1:8" s="42" customFormat="1" ht="18.75" x14ac:dyDescent="0.3">
      <c r="A457" s="35"/>
      <c r="B457" s="653">
        <f>HLINE!A8</f>
        <v>79</v>
      </c>
      <c r="C457" s="653" t="str">
        <f>HLINE!B8</f>
        <v xml:space="preserve">LOSARTAN 50MG/ HCT 12.5MG </v>
      </c>
      <c r="D457" s="654">
        <f>HLINE!C8</f>
        <v>30</v>
      </c>
      <c r="E457" s="653">
        <v>25</v>
      </c>
      <c r="F457" s="38">
        <f>HLINE!E8</f>
        <v>800</v>
      </c>
      <c r="G457" s="38">
        <f t="shared" si="21"/>
        <v>20000</v>
      </c>
      <c r="H457" s="38"/>
    </row>
    <row r="458" spans="1:8" s="42" customFormat="1" ht="18.75" x14ac:dyDescent="0.3">
      <c r="A458" s="35"/>
      <c r="B458" s="653">
        <f>HLINE!A9</f>
        <v>661</v>
      </c>
      <c r="C458" s="653" t="str">
        <f>HLINE!B9</f>
        <v>MUPIROCIN CREAM</v>
      </c>
      <c r="D458" s="654" t="str">
        <f>HLINE!C9</f>
        <v>TUBE</v>
      </c>
      <c r="E458" s="653">
        <v>5</v>
      </c>
      <c r="F458" s="38">
        <f>HLINE!E9</f>
        <v>1200</v>
      </c>
      <c r="G458" s="38">
        <f t="shared" si="21"/>
        <v>6000</v>
      </c>
      <c r="H458" s="38"/>
    </row>
    <row r="459" spans="1:8" s="42" customFormat="1" ht="23.25" x14ac:dyDescent="0.35">
      <c r="A459" s="35"/>
      <c r="B459" s="653">
        <f>HLINE!A10</f>
        <v>103</v>
      </c>
      <c r="C459" s="653" t="str">
        <f>HLINE!B10</f>
        <v>S-AMLODIPINE 2.5MG TAB</v>
      </c>
      <c r="D459" s="654">
        <f>HLINE!C10</f>
        <v>30</v>
      </c>
      <c r="E459" s="653">
        <v>1</v>
      </c>
      <c r="F459" s="38">
        <f>HLINE!E10</f>
        <v>600</v>
      </c>
      <c r="G459" s="38">
        <f t="shared" si="21"/>
        <v>600</v>
      </c>
      <c r="H459" s="186"/>
    </row>
    <row r="460" spans="1:8" s="42" customFormat="1" ht="18.75" x14ac:dyDescent="0.3">
      <c r="A460" s="35"/>
      <c r="B460" s="653">
        <f>HLINE!A11</f>
        <v>331</v>
      </c>
      <c r="C460" s="653" t="str">
        <f>HLINE!B11</f>
        <v>TRANEXAMIC ACID 500MG CAP</v>
      </c>
      <c r="D460" s="654">
        <f>HLINE!C11</f>
        <v>30</v>
      </c>
      <c r="E460" s="653">
        <v>25</v>
      </c>
      <c r="F460" s="38">
        <f>HLINE!E11</f>
        <v>2500</v>
      </c>
      <c r="G460" s="38">
        <f t="shared" si="21"/>
        <v>62500</v>
      </c>
      <c r="H460" s="35"/>
    </row>
    <row r="461" spans="1:8" s="42" customFormat="1" ht="23.25" x14ac:dyDescent="0.35">
      <c r="A461" s="35"/>
      <c r="B461" s="653">
        <f>HLINE!A12</f>
        <v>566</v>
      </c>
      <c r="C461" s="653" t="str">
        <f>HLINE!B12</f>
        <v>TRASTUZUMAB 440MG INJ</v>
      </c>
      <c r="D461" s="654" t="str">
        <f>HLINE!C12</f>
        <v>AMP</v>
      </c>
      <c r="E461" s="653">
        <v>3</v>
      </c>
      <c r="F461" s="38">
        <f>HLINE!E12</f>
        <v>200000</v>
      </c>
      <c r="G461" s="38">
        <f t="shared" si="21"/>
        <v>600000</v>
      </c>
      <c r="H461" s="186">
        <f>SUM(G455:G461)</f>
        <v>922700</v>
      </c>
    </row>
    <row r="462" spans="1:8" s="42" customFormat="1" ht="18.75" x14ac:dyDescent="0.3">
      <c r="A462" s="35"/>
      <c r="B462" s="653"/>
      <c r="C462" s="653"/>
      <c r="D462" s="654"/>
      <c r="E462" s="653"/>
      <c r="F462" s="38"/>
      <c r="G462" s="38"/>
      <c r="H462" s="35"/>
    </row>
    <row r="463" spans="1:8" s="42" customFormat="1" ht="18.75" x14ac:dyDescent="0.3">
      <c r="A463" s="35"/>
      <c r="B463" s="653"/>
      <c r="C463" s="653"/>
      <c r="D463" s="654"/>
      <c r="E463" s="653"/>
      <c r="F463" s="38"/>
      <c r="G463" s="38"/>
      <c r="H463" s="38"/>
    </row>
    <row r="464" spans="1:8" s="42" customFormat="1" ht="23.25" x14ac:dyDescent="0.35">
      <c r="A464" s="35">
        <v>21</v>
      </c>
      <c r="B464" s="653"/>
      <c r="C464" s="656" t="str">
        <f>ROTECH!B1</f>
        <v>INTER-ROTECH NIGERIA LIMITED</v>
      </c>
      <c r="D464" s="654"/>
      <c r="E464" s="653"/>
      <c r="F464" s="38"/>
      <c r="G464" s="38"/>
      <c r="H464" s="38"/>
    </row>
    <row r="465" spans="1:8" s="42" customFormat="1" ht="18.75" x14ac:dyDescent="0.3">
      <c r="A465" s="35"/>
      <c r="B465" s="653">
        <f>ROTECH!A6</f>
        <v>572</v>
      </c>
      <c r="C465" s="653" t="str">
        <f>ROTECH!B6</f>
        <v>21G NEEDLE</v>
      </c>
      <c r="D465" s="654">
        <f>ROTECH!C6</f>
        <v>100</v>
      </c>
      <c r="E465" s="653">
        <v>3</v>
      </c>
      <c r="F465" s="38">
        <f>ROTECH!E6</f>
        <v>310</v>
      </c>
      <c r="G465" s="38">
        <f t="shared" ref="G465:G474" si="22">E465*F465</f>
        <v>930</v>
      </c>
      <c r="H465" s="38"/>
    </row>
    <row r="466" spans="1:8" s="42" customFormat="1" ht="18.75" x14ac:dyDescent="0.3">
      <c r="A466" s="35"/>
      <c r="B466" s="653">
        <f>ROTECH!A7</f>
        <v>573</v>
      </c>
      <c r="C466" s="653" t="str">
        <f>ROTECH!B7</f>
        <v>23G NEEDLE</v>
      </c>
      <c r="D466" s="654">
        <f>ROTECH!C7</f>
        <v>100</v>
      </c>
      <c r="E466" s="653">
        <v>75</v>
      </c>
      <c r="F466" s="38">
        <f>ROTECH!E7</f>
        <v>310</v>
      </c>
      <c r="G466" s="38">
        <f t="shared" si="22"/>
        <v>23250</v>
      </c>
      <c r="H466" s="38"/>
    </row>
    <row r="467" spans="1:8" s="42" customFormat="1" ht="18.75" x14ac:dyDescent="0.3">
      <c r="A467" s="35"/>
      <c r="B467" s="653">
        <f>ROTECH!A8</f>
        <v>577</v>
      </c>
      <c r="C467" s="653" t="str">
        <f>ROTECH!B8</f>
        <v xml:space="preserve">50CC NEEDLE/SYRINGE </v>
      </c>
      <c r="D467" s="654">
        <f>ROTECH!C8</f>
        <v>100</v>
      </c>
      <c r="E467" s="653">
        <v>25</v>
      </c>
      <c r="F467" s="38">
        <f>ROTECH!E8</f>
        <v>17000</v>
      </c>
      <c r="G467" s="38">
        <f t="shared" si="22"/>
        <v>425000</v>
      </c>
      <c r="H467" s="38"/>
    </row>
    <row r="468" spans="1:8" s="42" customFormat="1" ht="23.25" x14ac:dyDescent="0.35">
      <c r="A468" s="35"/>
      <c r="B468" s="653">
        <f>ROTECH!A9</f>
        <v>591</v>
      </c>
      <c r="C468" s="653" t="str">
        <f>ROTECH!B9</f>
        <v>ELASTIC BANDAGE 4"</v>
      </c>
      <c r="D468" s="654">
        <f>ROTECH!C9</f>
        <v>12</v>
      </c>
      <c r="E468" s="653">
        <v>25</v>
      </c>
      <c r="F468" s="38">
        <f>ROTECH!E9</f>
        <v>978</v>
      </c>
      <c r="G468" s="38">
        <f t="shared" si="22"/>
        <v>24450</v>
      </c>
      <c r="H468" s="186"/>
    </row>
    <row r="469" spans="1:8" s="42" customFormat="1" ht="18.75" x14ac:dyDescent="0.3">
      <c r="A469" s="35"/>
      <c r="B469" s="653">
        <f>ROTECH!A10</f>
        <v>592</v>
      </c>
      <c r="C469" s="653" t="str">
        <f>ROTECH!B10</f>
        <v>ELASTIC BANDAGE 6"</v>
      </c>
      <c r="D469" s="654">
        <f>ROTECH!C10</f>
        <v>12</v>
      </c>
      <c r="E469" s="653">
        <v>100</v>
      </c>
      <c r="F469" s="38">
        <f>ROTECH!E10</f>
        <v>1243</v>
      </c>
      <c r="G469" s="38">
        <f t="shared" si="22"/>
        <v>124300</v>
      </c>
      <c r="H469" s="35"/>
    </row>
    <row r="470" spans="1:8" s="42" customFormat="1" ht="18.75" x14ac:dyDescent="0.3">
      <c r="A470" s="35"/>
      <c r="B470" s="653">
        <f>ROTECH!A11</f>
        <v>608</v>
      </c>
      <c r="C470" s="653" t="str">
        <f>ROTECH!B11</f>
        <v>MUCUS EXRACTOR</v>
      </c>
      <c r="D470" s="654">
        <f>ROTECH!C11</f>
        <v>25</v>
      </c>
      <c r="E470" s="653">
        <v>15</v>
      </c>
      <c r="F470" s="38">
        <f>ROTECH!E11</f>
        <v>2220</v>
      </c>
      <c r="G470" s="38">
        <f t="shared" si="22"/>
        <v>33300</v>
      </c>
      <c r="H470" s="35"/>
    </row>
    <row r="471" spans="1:8" s="42" customFormat="1" ht="18.75" x14ac:dyDescent="0.3">
      <c r="A471" s="35"/>
      <c r="B471" s="653">
        <f>ROTECH!A12</f>
        <v>620</v>
      </c>
      <c r="C471" s="653" t="str">
        <f>ROTECH!B12</f>
        <v>NYLON DRUG ENVELOPE</v>
      </c>
      <c r="D471" s="654">
        <f>ROTECH!C12</f>
        <v>250</v>
      </c>
      <c r="E471" s="653">
        <v>2</v>
      </c>
      <c r="F471" s="38">
        <f>ROTECH!E12</f>
        <v>15540</v>
      </c>
      <c r="G471" s="38">
        <f t="shared" si="22"/>
        <v>31080</v>
      </c>
      <c r="H471" s="35"/>
    </row>
    <row r="472" spans="1:8" s="42" customFormat="1" ht="23.25" x14ac:dyDescent="0.35">
      <c r="A472" s="35"/>
      <c r="B472" s="653">
        <f>ROTECH!A13</f>
        <v>637</v>
      </c>
      <c r="C472" s="653" t="str">
        <f>ROTECH!B13</f>
        <v>SOFRATULLE</v>
      </c>
      <c r="D472" s="654">
        <f>ROTECH!C13</f>
        <v>100</v>
      </c>
      <c r="E472" s="653">
        <v>8</v>
      </c>
      <c r="F472" s="38">
        <f>ROTECH!E13</f>
        <v>5520</v>
      </c>
      <c r="G472" s="38">
        <f t="shared" si="22"/>
        <v>44160</v>
      </c>
      <c r="H472" s="79"/>
    </row>
    <row r="473" spans="1:8" s="42" customFormat="1" ht="18.75" x14ac:dyDescent="0.3">
      <c r="A473" s="35"/>
      <c r="B473" s="653">
        <f>ROTECH!A14</f>
        <v>639</v>
      </c>
      <c r="C473" s="653" t="str">
        <f>ROTECH!B14</f>
        <v>SOLUSET La MED</v>
      </c>
      <c r="D473" s="654">
        <f>ROTECH!C14</f>
        <v>50</v>
      </c>
      <c r="E473" s="653">
        <v>5</v>
      </c>
      <c r="F473" s="38">
        <f>ROTECH!E14</f>
        <v>25200</v>
      </c>
      <c r="G473" s="38">
        <f t="shared" si="22"/>
        <v>126000</v>
      </c>
      <c r="H473" s="38"/>
    </row>
    <row r="474" spans="1:8" s="42" customFormat="1" ht="23.25" x14ac:dyDescent="0.35">
      <c r="A474" s="35"/>
      <c r="B474" s="653">
        <f>ROTECH!A15</f>
        <v>649</v>
      </c>
      <c r="C474" s="653" t="str">
        <f>ROTECH!B15</f>
        <v>URINE BAG</v>
      </c>
      <c r="D474" s="654">
        <f>ROTECH!C15</f>
        <v>10</v>
      </c>
      <c r="E474" s="653">
        <v>150</v>
      </c>
      <c r="F474" s="38">
        <f>ROTECH!E15</f>
        <v>715</v>
      </c>
      <c r="G474" s="38">
        <f t="shared" si="22"/>
        <v>107250</v>
      </c>
      <c r="H474" s="186">
        <f>SUM(G465:G474)</f>
        <v>939720</v>
      </c>
    </row>
    <row r="475" spans="1:8" s="42" customFormat="1" ht="23.25" x14ac:dyDescent="0.35">
      <c r="A475" s="35"/>
      <c r="B475" s="653"/>
      <c r="C475" s="653"/>
      <c r="D475" s="654"/>
      <c r="E475" s="653"/>
      <c r="F475" s="38"/>
      <c r="G475" s="38"/>
      <c r="H475" s="186"/>
    </row>
    <row r="476" spans="1:8" s="42" customFormat="1" ht="18.75" x14ac:dyDescent="0.3">
      <c r="A476" s="35"/>
      <c r="B476" s="653"/>
      <c r="C476" s="653"/>
      <c r="D476" s="654"/>
      <c r="E476" s="653"/>
      <c r="F476" s="38"/>
      <c r="G476" s="38"/>
      <c r="H476" s="35"/>
    </row>
    <row r="477" spans="1:8" s="42" customFormat="1" ht="23.25" x14ac:dyDescent="0.35">
      <c r="A477" s="35">
        <v>22</v>
      </c>
      <c r="B477" s="653"/>
      <c r="C477" s="656" t="str">
        <f>ISN!B1</f>
        <v>ISN PRODUCTS NIGERIA LIMITED</v>
      </c>
      <c r="D477" s="654"/>
      <c r="E477" s="653"/>
      <c r="F477" s="38"/>
      <c r="G477" s="38"/>
      <c r="H477" s="35"/>
    </row>
    <row r="478" spans="1:8" s="42" customFormat="1" ht="18.75" x14ac:dyDescent="0.3">
      <c r="A478" s="35"/>
      <c r="B478" s="653">
        <f>ISN!A6</f>
        <v>123</v>
      </c>
      <c r="C478" s="653" t="str">
        <f>ISN!B6</f>
        <v>GLUCOMETER  (ACCU-CHEK) ACTIVE</v>
      </c>
      <c r="D478" s="654" t="str">
        <f>ISN!C6</f>
        <v>PC</v>
      </c>
      <c r="E478" s="654">
        <v>50</v>
      </c>
      <c r="F478" s="38">
        <f>ISN!E6</f>
        <v>6500</v>
      </c>
      <c r="G478" s="38">
        <f t="shared" ref="G478" si="23">E478*F478</f>
        <v>325000</v>
      </c>
    </row>
    <row r="479" spans="1:8" s="42" customFormat="1" ht="23.25" x14ac:dyDescent="0.35">
      <c r="A479" s="35"/>
      <c r="B479" s="653">
        <f>ISN!A7</f>
        <v>123</v>
      </c>
      <c r="C479" s="653" t="str">
        <f>ISN!B7</f>
        <v>ACCU-CHEK STRIPS x25</v>
      </c>
      <c r="D479" s="654">
        <f>ISN!C7</f>
        <v>25</v>
      </c>
      <c r="E479" s="654">
        <v>50</v>
      </c>
      <c r="F479" s="38">
        <f>ISN!E7</f>
        <v>2400</v>
      </c>
      <c r="G479" s="38">
        <f t="shared" ref="G479:G483" si="24">E479*F479</f>
        <v>120000</v>
      </c>
      <c r="H479" s="186"/>
    </row>
    <row r="480" spans="1:8" s="42" customFormat="1" ht="23.25" x14ac:dyDescent="0.35">
      <c r="A480" s="35"/>
      <c r="B480" s="653">
        <f>ISN!A8</f>
        <v>123</v>
      </c>
      <c r="C480" s="653" t="str">
        <f>ISN!B8</f>
        <v>ACCU-CHEK STRIPS x50</v>
      </c>
      <c r="D480" s="654">
        <f>ISN!C8</f>
        <v>50</v>
      </c>
      <c r="E480" s="654">
        <v>50</v>
      </c>
      <c r="F480" s="38">
        <f>ISN!E8</f>
        <v>4000</v>
      </c>
      <c r="G480" s="38">
        <f t="shared" si="24"/>
        <v>200000</v>
      </c>
      <c r="H480" s="186"/>
    </row>
    <row r="481" spans="1:8" s="42" customFormat="1" ht="23.25" x14ac:dyDescent="0.35">
      <c r="A481" s="35"/>
      <c r="B481" s="653">
        <f>ISN!A9</f>
        <v>123</v>
      </c>
      <c r="C481" s="653" t="str">
        <f>ISN!B9</f>
        <v>ACCU-CHEK SAFE T PRO UNO LANCETS</v>
      </c>
      <c r="D481" s="654">
        <f>ISN!C9</f>
        <v>200</v>
      </c>
      <c r="E481" s="654">
        <v>100</v>
      </c>
      <c r="F481" s="38">
        <f>ISN!E9</f>
        <v>5500</v>
      </c>
      <c r="G481" s="38">
        <f t="shared" si="24"/>
        <v>550000</v>
      </c>
      <c r="H481" s="186"/>
    </row>
    <row r="482" spans="1:8" s="42" customFormat="1" ht="23.25" x14ac:dyDescent="0.35">
      <c r="A482" s="35"/>
      <c r="B482" s="653">
        <f>ISN!A10</f>
        <v>123</v>
      </c>
      <c r="C482" s="653" t="str">
        <f>ISN!B10</f>
        <v>ACCU-CHEK SOFT CLIX LANCETS</v>
      </c>
      <c r="D482" s="654">
        <f>ISN!C10</f>
        <v>200</v>
      </c>
      <c r="E482" s="654">
        <v>50</v>
      </c>
      <c r="F482" s="38">
        <f>ISN!E10</f>
        <v>3800</v>
      </c>
      <c r="G482" s="38">
        <f t="shared" si="24"/>
        <v>190000</v>
      </c>
      <c r="H482" s="186"/>
    </row>
    <row r="483" spans="1:8" s="42" customFormat="1" ht="23.25" x14ac:dyDescent="0.35">
      <c r="A483" s="35"/>
      <c r="B483" s="653">
        <f>ISN!A11</f>
        <v>123</v>
      </c>
      <c r="C483" s="653" t="str">
        <f>ISN!B11</f>
        <v>ACCU-CHEK SOFT CLIX LANCETS</v>
      </c>
      <c r="D483" s="654">
        <f>ISN!C11</f>
        <v>25</v>
      </c>
      <c r="E483" s="654">
        <v>50</v>
      </c>
      <c r="F483" s="38">
        <f>ISN!E11</f>
        <v>1000</v>
      </c>
      <c r="G483" s="38">
        <f t="shared" si="24"/>
        <v>50000</v>
      </c>
      <c r="H483" s="186">
        <f>SUM(G478:G483)</f>
        <v>1435000</v>
      </c>
    </row>
    <row r="484" spans="1:8" s="42" customFormat="1" ht="23.25" x14ac:dyDescent="0.35">
      <c r="A484" s="35"/>
      <c r="B484" s="653"/>
      <c r="C484" s="653"/>
      <c r="D484" s="654"/>
      <c r="E484" s="653"/>
      <c r="F484" s="38"/>
      <c r="G484" s="38"/>
      <c r="H484" s="186"/>
    </row>
    <row r="485" spans="1:8" s="42" customFormat="1" ht="23.25" x14ac:dyDescent="0.35">
      <c r="A485" s="35"/>
      <c r="B485" s="653"/>
      <c r="C485" s="653"/>
      <c r="D485" s="654"/>
      <c r="E485" s="653"/>
      <c r="F485" s="38"/>
      <c r="G485" s="38"/>
      <c r="H485" s="79"/>
    </row>
    <row r="486" spans="1:8" s="42" customFormat="1" ht="23.25" x14ac:dyDescent="0.35">
      <c r="A486" s="35"/>
      <c r="B486" s="653"/>
      <c r="C486" s="653"/>
      <c r="D486" s="654"/>
      <c r="E486" s="653"/>
      <c r="F486" s="38"/>
      <c r="G486" s="38"/>
      <c r="H486" s="79"/>
    </row>
    <row r="487" spans="1:8" s="42" customFormat="1" ht="23.25" x14ac:dyDescent="0.35">
      <c r="A487" s="35">
        <v>23</v>
      </c>
      <c r="B487" s="35"/>
      <c r="C487" s="77" t="str">
        <f>JAWA!B1</f>
        <v>JAWA INTERNATIONAL LIMITED</v>
      </c>
      <c r="D487" s="668"/>
      <c r="E487" s="35"/>
      <c r="F487" s="38"/>
      <c r="G487" s="38"/>
      <c r="H487" s="38"/>
    </row>
    <row r="488" spans="1:8" s="42" customFormat="1" ht="23.25" x14ac:dyDescent="0.35">
      <c r="A488" s="35"/>
      <c r="B488" s="653">
        <f>JAWA!A6</f>
        <v>213</v>
      </c>
      <c r="C488" s="653" t="str">
        <f>JAWA!B6</f>
        <v>AMPICILLIN/CLOXACILLIN 500MG INJ</v>
      </c>
      <c r="D488" s="654" t="str">
        <f>JAWA!C6</f>
        <v>VIAL</v>
      </c>
      <c r="E488" s="653">
        <v>500</v>
      </c>
      <c r="F488" s="38">
        <f>JAWA!E6</f>
        <v>90</v>
      </c>
      <c r="G488" s="38">
        <f t="shared" ref="G488:G496" si="25">E488*F488</f>
        <v>45000</v>
      </c>
      <c r="H488" s="186"/>
    </row>
    <row r="489" spans="1:8" s="42" customFormat="1" ht="18.75" x14ac:dyDescent="0.3">
      <c r="A489" s="35"/>
      <c r="B489" s="653">
        <f>JAWA!A7</f>
        <v>479</v>
      </c>
      <c r="C489" s="653" t="str">
        <f>JAWA!B7</f>
        <v>DIPHENHYDRAMINE HCL+ BROMHEXINE HCL+AMMONIUM CHLORIDE SYR</v>
      </c>
      <c r="D489" s="654" t="str">
        <f>JAWA!C7</f>
        <v>BOTT</v>
      </c>
      <c r="E489" s="653">
        <v>150</v>
      </c>
      <c r="F489" s="38">
        <f>JAWA!E7</f>
        <v>280</v>
      </c>
      <c r="G489" s="38">
        <f t="shared" si="25"/>
        <v>42000</v>
      </c>
      <c r="H489" s="35"/>
    </row>
    <row r="490" spans="1:8" s="42" customFormat="1" ht="18.75" x14ac:dyDescent="0.3">
      <c r="A490" s="35"/>
      <c r="B490" s="653">
        <f>JAWA!A8</f>
        <v>432</v>
      </c>
      <c r="C490" s="653" t="str">
        <f>JAWA!B8</f>
        <v>LACTULOSE 100mls</v>
      </c>
      <c r="D490" s="654" t="str">
        <f>JAWA!C8</f>
        <v>BOTT</v>
      </c>
      <c r="E490" s="653">
        <v>100</v>
      </c>
      <c r="F490" s="38">
        <f>JAWA!E8</f>
        <v>500</v>
      </c>
      <c r="G490" s="38">
        <f t="shared" si="25"/>
        <v>50000</v>
      </c>
      <c r="H490" s="35"/>
    </row>
    <row r="491" spans="1:8" s="42" customFormat="1" ht="18.75" x14ac:dyDescent="0.3">
      <c r="A491" s="35"/>
      <c r="B491" s="653">
        <f>JAWA!A9</f>
        <v>695</v>
      </c>
      <c r="C491" s="653" t="str">
        <f>JAWA!B9</f>
        <v>MIST. POTASSIUM CITRATE 200ML</v>
      </c>
      <c r="D491" s="654" t="str">
        <f>JAWA!C9</f>
        <v>BOTT</v>
      </c>
      <c r="E491" s="653">
        <v>150</v>
      </c>
      <c r="F491" s="38">
        <f>JAWA!E9</f>
        <v>295</v>
      </c>
      <c r="G491" s="38">
        <f t="shared" si="25"/>
        <v>44250</v>
      </c>
      <c r="H491" s="35"/>
    </row>
    <row r="492" spans="1:8" s="42" customFormat="1" ht="23.25" x14ac:dyDescent="0.35">
      <c r="A492" s="35"/>
      <c r="B492" s="653">
        <f>JAWA!A10</f>
        <v>682</v>
      </c>
      <c r="C492" s="653" t="str">
        <f>JAWA!B10</f>
        <v>POVIDONE IODINE 100ML 10% (100ML)</v>
      </c>
      <c r="D492" s="654" t="str">
        <f>JAWA!C10</f>
        <v>BOTT</v>
      </c>
      <c r="E492" s="653">
        <v>50</v>
      </c>
      <c r="F492" s="38">
        <f>JAWA!E10</f>
        <v>375</v>
      </c>
      <c r="G492" s="38">
        <f t="shared" si="25"/>
        <v>18750</v>
      </c>
      <c r="H492" s="79"/>
    </row>
    <row r="493" spans="1:8" s="42" customFormat="1" ht="23.25" x14ac:dyDescent="0.35">
      <c r="A493" s="35"/>
      <c r="B493" s="653">
        <f>JAWA!A11</f>
        <v>681</v>
      </c>
      <c r="C493" s="653" t="str">
        <f>JAWA!B11</f>
        <v>POVIDONE IODINE 100ML 5% (100ML)</v>
      </c>
      <c r="D493" s="654" t="str">
        <f>JAWA!C11</f>
        <v>BOTT</v>
      </c>
      <c r="E493" s="653">
        <v>125</v>
      </c>
      <c r="F493" s="38">
        <f>JAWA!E11</f>
        <v>225</v>
      </c>
      <c r="G493" s="38">
        <f t="shared" si="25"/>
        <v>28125</v>
      </c>
      <c r="H493" s="79"/>
    </row>
    <row r="494" spans="1:8" s="42" customFormat="1" ht="23.25" x14ac:dyDescent="0.35">
      <c r="A494" s="35"/>
      <c r="B494" s="653">
        <f>JAWA!A12</f>
        <v>663</v>
      </c>
      <c r="C494" s="653" t="str">
        <f>JAWA!B12</f>
        <v>POVIDONE IODINE OINTMENT</v>
      </c>
      <c r="D494" s="654" t="str">
        <f>JAWA!C12</f>
        <v>TUBE</v>
      </c>
      <c r="E494" s="653">
        <v>50</v>
      </c>
      <c r="F494" s="38">
        <f>JAWA!E12</f>
        <v>165</v>
      </c>
      <c r="G494" s="38">
        <f t="shared" si="25"/>
        <v>8250</v>
      </c>
      <c r="H494" s="79"/>
    </row>
    <row r="495" spans="1:8" s="42" customFormat="1" ht="23.25" x14ac:dyDescent="0.35">
      <c r="A495" s="35"/>
      <c r="B495" s="653">
        <f>JAWA!A13</f>
        <v>410</v>
      </c>
      <c r="C495" s="653" t="str">
        <f>JAWA!B13</f>
        <v>PROPOFOL 1%</v>
      </c>
      <c r="D495" s="654" t="str">
        <f>JAWA!C13</f>
        <v>VIAL</v>
      </c>
      <c r="E495" s="653">
        <v>140</v>
      </c>
      <c r="F495" s="38">
        <f>JAWA!E13</f>
        <v>1008</v>
      </c>
      <c r="G495" s="38">
        <f t="shared" si="25"/>
        <v>141120</v>
      </c>
      <c r="H495" s="79"/>
    </row>
    <row r="496" spans="1:8" s="42" customFormat="1" ht="23.25" x14ac:dyDescent="0.35">
      <c r="A496" s="35"/>
      <c r="B496" s="653">
        <f>JAWA!A14</f>
        <v>414</v>
      </c>
      <c r="C496" s="653" t="str">
        <f>JAWA!B14</f>
        <v>XYLOCAINE 2% INJ</v>
      </c>
      <c r="D496" s="654" t="str">
        <f>JAWA!C14</f>
        <v>VIAL</v>
      </c>
      <c r="E496" s="653">
        <v>300</v>
      </c>
      <c r="F496" s="38">
        <f>JAWA!E14</f>
        <v>290</v>
      </c>
      <c r="G496" s="38">
        <f t="shared" si="25"/>
        <v>87000</v>
      </c>
      <c r="H496" s="186">
        <f>SUM(G488:G496)</f>
        <v>464495</v>
      </c>
    </row>
    <row r="497" spans="1:8" s="42" customFormat="1" ht="23.25" x14ac:dyDescent="0.35">
      <c r="A497" s="35"/>
      <c r="B497" s="653"/>
      <c r="C497" s="653"/>
      <c r="D497" s="654"/>
      <c r="E497" s="653"/>
      <c r="F497" s="38"/>
      <c r="G497" s="38"/>
      <c r="H497" s="79"/>
    </row>
    <row r="498" spans="1:8" s="42" customFormat="1" ht="23.25" x14ac:dyDescent="0.35">
      <c r="A498" s="35"/>
      <c r="B498" s="653"/>
      <c r="C498" s="653"/>
      <c r="D498" s="654"/>
      <c r="E498" s="653"/>
      <c r="F498" s="38"/>
      <c r="G498" s="38"/>
      <c r="H498" s="79"/>
    </row>
    <row r="499" spans="1:8" s="42" customFormat="1" ht="23.25" x14ac:dyDescent="0.35">
      <c r="A499" s="35">
        <v>24</v>
      </c>
      <c r="B499" s="35"/>
      <c r="C499" s="77" t="str">
        <f>LEADWAY!B1</f>
        <v>LEADWAY PHARMACEUTICALS LIMITED</v>
      </c>
      <c r="D499" s="668"/>
      <c r="E499" s="35"/>
      <c r="F499" s="38"/>
      <c r="G499" s="38"/>
      <c r="H499" s="79"/>
    </row>
    <row r="500" spans="1:8" s="42" customFormat="1" ht="23.25" x14ac:dyDescent="0.35">
      <c r="A500" s="35"/>
      <c r="B500" s="653">
        <f>LEADWAY!A6</f>
        <v>494</v>
      </c>
      <c r="C500" s="653" t="str">
        <f>LEADWAY!B6</f>
        <v>ACETAZOLAMIDE 250MG TAB</v>
      </c>
      <c r="D500" s="654">
        <f>LEADWAY!C6</f>
        <v>500</v>
      </c>
      <c r="E500" s="653">
        <v>18</v>
      </c>
      <c r="F500" s="38">
        <f>LEADWAY!E6</f>
        <v>9500</v>
      </c>
      <c r="G500" s="38">
        <f t="shared" ref="G500:G564" si="26">E500*F500</f>
        <v>171000</v>
      </c>
      <c r="H500" s="79"/>
    </row>
    <row r="501" spans="1:8" s="42" customFormat="1" ht="18.75" x14ac:dyDescent="0.3">
      <c r="A501" s="35"/>
      <c r="B501" s="653">
        <f>LEADWAY!A7</f>
        <v>351</v>
      </c>
      <c r="C501" s="653" t="str">
        <f>LEADWAY!B7</f>
        <v>AMITRYPTILLINE 25MG</v>
      </c>
      <c r="D501" s="654">
        <f>LEADWAY!C7</f>
        <v>500</v>
      </c>
      <c r="E501" s="653">
        <v>25</v>
      </c>
      <c r="F501" s="38">
        <f>LEADWAY!E7</f>
        <v>2200</v>
      </c>
      <c r="G501" s="38">
        <f t="shared" si="26"/>
        <v>55000</v>
      </c>
    </row>
    <row r="502" spans="1:8" s="42" customFormat="1" ht="23.25" x14ac:dyDescent="0.35">
      <c r="A502" s="35"/>
      <c r="B502" s="653">
        <f>LEADWAY!A9</f>
        <v>483</v>
      </c>
      <c r="C502" s="653" t="str">
        <f>LEADWAY!B9</f>
        <v>HYDROCORTISONE 100MG INJ</v>
      </c>
      <c r="D502" s="654" t="str">
        <f>LEADWAY!C9</f>
        <v>VIAL</v>
      </c>
      <c r="E502" s="653">
        <v>900</v>
      </c>
      <c r="F502" s="38">
        <f>LEADWAY!E9</f>
        <v>160</v>
      </c>
      <c r="G502" s="38">
        <f t="shared" si="26"/>
        <v>144000</v>
      </c>
      <c r="H502" s="186"/>
    </row>
    <row r="503" spans="1:8" s="42" customFormat="1" ht="23.25" x14ac:dyDescent="0.35">
      <c r="A503" s="35"/>
      <c r="B503" s="653">
        <f>LEADWAY!A8</f>
        <v>606</v>
      </c>
      <c r="C503" s="653" t="str">
        <f>LEADWAY!B8</f>
        <v>LATEX GLOVES (SUPER CARE)</v>
      </c>
      <c r="D503" s="654" t="str">
        <f>LEADWAY!C8</f>
        <v>CARTON</v>
      </c>
      <c r="E503" s="653">
        <v>1500</v>
      </c>
      <c r="F503" s="38">
        <f>LEADWAY!E8</f>
        <v>8900</v>
      </c>
      <c r="G503" s="38">
        <f t="shared" si="26"/>
        <v>13350000</v>
      </c>
      <c r="H503" s="186"/>
    </row>
    <row r="504" spans="1:8" s="42" customFormat="1" ht="23.25" x14ac:dyDescent="0.35">
      <c r="A504" s="35"/>
      <c r="B504" s="653">
        <f>LEADWAY!A10</f>
        <v>338</v>
      </c>
      <c r="C504" s="653" t="str">
        <f>LEADWAY!B10</f>
        <v>VITAMIN B COMPLEX INJ</v>
      </c>
      <c r="D504" s="654" t="str">
        <f>LEADWAY!C10</f>
        <v>VIAL</v>
      </c>
      <c r="E504" s="653">
        <v>875</v>
      </c>
      <c r="F504" s="38">
        <f>LEADWAY!E10</f>
        <v>85</v>
      </c>
      <c r="G504" s="38">
        <f t="shared" si="26"/>
        <v>74375</v>
      </c>
      <c r="H504" s="186">
        <f>SUM(G500:G504)</f>
        <v>13794375</v>
      </c>
    </row>
    <row r="505" spans="1:8" s="42" customFormat="1" ht="23.25" x14ac:dyDescent="0.35">
      <c r="A505" s="35"/>
      <c r="B505" s="653"/>
      <c r="C505" s="653"/>
      <c r="D505" s="654"/>
      <c r="E505" s="653"/>
      <c r="F505" s="38"/>
      <c r="G505" s="38">
        <f t="shared" si="26"/>
        <v>0</v>
      </c>
      <c r="H505" s="79"/>
    </row>
    <row r="506" spans="1:8" s="42" customFormat="1" ht="23.25" x14ac:dyDescent="0.35">
      <c r="A506" s="35"/>
      <c r="B506" s="653"/>
      <c r="C506" s="653"/>
      <c r="D506" s="654"/>
      <c r="E506" s="653"/>
      <c r="F506" s="38"/>
      <c r="G506" s="38">
        <f t="shared" si="26"/>
        <v>0</v>
      </c>
      <c r="H506" s="79"/>
    </row>
    <row r="507" spans="1:8" s="42" customFormat="1" ht="23.25" x14ac:dyDescent="0.35">
      <c r="A507" s="35"/>
      <c r="B507" s="653"/>
      <c r="C507" s="653"/>
      <c r="D507" s="654"/>
      <c r="E507" s="653"/>
      <c r="F507" s="38"/>
      <c r="G507" s="38">
        <f t="shared" si="26"/>
        <v>0</v>
      </c>
      <c r="H507" s="79"/>
    </row>
    <row r="508" spans="1:8" s="42" customFormat="1" ht="23.25" x14ac:dyDescent="0.35">
      <c r="A508" s="35">
        <v>25</v>
      </c>
      <c r="B508" s="653"/>
      <c r="C508" s="656" t="str">
        <f>MANOLA!B1</f>
        <v>MANOLA PHARMACEUTICALS</v>
      </c>
      <c r="D508" s="654"/>
      <c r="E508" s="653"/>
      <c r="F508" s="38"/>
      <c r="G508" s="38">
        <f t="shared" si="26"/>
        <v>0</v>
      </c>
      <c r="H508" s="79"/>
    </row>
    <row r="509" spans="1:8" s="42" customFormat="1" ht="23.25" x14ac:dyDescent="0.35">
      <c r="A509" s="35"/>
      <c r="B509" s="653">
        <f>MANOLA!A6</f>
        <v>539</v>
      </c>
      <c r="C509" s="653" t="str">
        <f>MANOLA!B6</f>
        <v>5-FLUOROURACIL INJ</v>
      </c>
      <c r="D509" s="654" t="str">
        <f>MANOLA!C6</f>
        <v>AMP</v>
      </c>
      <c r="E509" s="653">
        <v>1</v>
      </c>
      <c r="F509" s="38">
        <f>MANOLA!E6</f>
        <v>512</v>
      </c>
      <c r="G509" s="38">
        <f t="shared" si="26"/>
        <v>512</v>
      </c>
      <c r="H509" s="79"/>
    </row>
    <row r="510" spans="1:8" s="42" customFormat="1" ht="23.25" x14ac:dyDescent="0.35">
      <c r="A510" s="35"/>
      <c r="B510" s="653">
        <f>MANOLA!A7</f>
        <v>541</v>
      </c>
      <c r="C510" s="653" t="str">
        <f>MANOLA!B7</f>
        <v>BLEOMYCIN SULPHATE INJ (15 UNITS)</v>
      </c>
      <c r="D510" s="654">
        <f>MANOLA!C7</f>
        <v>10</v>
      </c>
      <c r="E510" s="653">
        <v>1</v>
      </c>
      <c r="F510" s="38">
        <f>MANOLA!E7</f>
        <v>6500</v>
      </c>
      <c r="G510" s="38">
        <f t="shared" si="26"/>
        <v>6500</v>
      </c>
      <c r="H510" s="79"/>
    </row>
    <row r="511" spans="1:8" s="42" customFormat="1" ht="23.25" x14ac:dyDescent="0.35">
      <c r="A511" s="35"/>
      <c r="B511" s="653">
        <f>MANOLA!A8</f>
        <v>542</v>
      </c>
      <c r="C511" s="653" t="str">
        <f>MANOLA!B8</f>
        <v>CAPECITABINE 150MG TAB</v>
      </c>
      <c r="D511" s="654">
        <f>MANOLA!C8</f>
        <v>10</v>
      </c>
      <c r="E511" s="653">
        <v>3</v>
      </c>
      <c r="F511" s="38">
        <f>MANOLA!E8</f>
        <v>50350</v>
      </c>
      <c r="G511" s="38">
        <f t="shared" si="26"/>
        <v>151050</v>
      </c>
      <c r="H511" s="186"/>
    </row>
    <row r="512" spans="1:8" s="42" customFormat="1" ht="23.25" x14ac:dyDescent="0.35">
      <c r="A512" s="35"/>
      <c r="B512" s="653">
        <f>MANOLA!A9</f>
        <v>543</v>
      </c>
      <c r="C512" s="653" t="str">
        <f>MANOLA!B9</f>
        <v>CARBOPLASTIN INJ</v>
      </c>
      <c r="D512" s="654" t="str">
        <f>MANOLA!C9</f>
        <v>VIAL</v>
      </c>
      <c r="E512" s="653">
        <v>7</v>
      </c>
      <c r="F512" s="38">
        <f>MANOLA!E9</f>
        <v>15282</v>
      </c>
      <c r="G512" s="38">
        <f t="shared" si="26"/>
        <v>106974</v>
      </c>
      <c r="H512" s="79"/>
    </row>
    <row r="513" spans="1:8" s="42" customFormat="1" ht="23.25" x14ac:dyDescent="0.35">
      <c r="A513" s="35"/>
      <c r="B513" s="653">
        <f>MANOLA!A10</f>
        <v>545</v>
      </c>
      <c r="C513" s="653" t="str">
        <f>MANOLA!B10</f>
        <v>CISPLATIN 1MG/ML INJ</v>
      </c>
      <c r="D513" s="654">
        <f>MANOLA!C10</f>
        <v>10</v>
      </c>
      <c r="E513" s="653">
        <v>3</v>
      </c>
      <c r="F513" s="38">
        <f>MANOLA!E10</f>
        <v>3300</v>
      </c>
      <c r="G513" s="38">
        <f t="shared" si="26"/>
        <v>9900</v>
      </c>
      <c r="H513" s="79"/>
    </row>
    <row r="514" spans="1:8" s="42" customFormat="1" ht="23.25" x14ac:dyDescent="0.35">
      <c r="A514" s="35"/>
      <c r="B514" s="653">
        <f>MANOLA!A11</f>
        <v>546</v>
      </c>
      <c r="C514" s="653" t="str">
        <f>MANOLA!B11</f>
        <v>CYCLOPHOSPHAMIDE 500MG INJ</v>
      </c>
      <c r="D514" s="654" t="str">
        <f>MANOLA!C11</f>
        <v>VIAL</v>
      </c>
      <c r="E514" s="653">
        <v>13</v>
      </c>
      <c r="F514" s="38">
        <f>MANOLA!E11</f>
        <v>750</v>
      </c>
      <c r="G514" s="38">
        <f t="shared" si="26"/>
        <v>9750</v>
      </c>
      <c r="H514" s="79"/>
    </row>
    <row r="515" spans="1:8" s="42" customFormat="1" ht="23.25" x14ac:dyDescent="0.35">
      <c r="A515" s="35"/>
      <c r="B515" s="653">
        <f>MANOLA!A12</f>
        <v>549</v>
      </c>
      <c r="C515" s="653" t="str">
        <f>MANOLA!B12</f>
        <v>DACARBAZINE 100MG INJ</v>
      </c>
      <c r="D515" s="654" t="str">
        <f>MANOLA!C12</f>
        <v>AMP</v>
      </c>
      <c r="E515" s="653">
        <v>4</v>
      </c>
      <c r="F515" s="38">
        <f>MANOLA!E12</f>
        <v>3851</v>
      </c>
      <c r="G515" s="38">
        <f t="shared" si="26"/>
        <v>15404</v>
      </c>
      <c r="H515" s="79"/>
    </row>
    <row r="516" spans="1:8" s="42" customFormat="1" ht="23.25" x14ac:dyDescent="0.35">
      <c r="A516" s="35"/>
      <c r="B516" s="653">
        <f>MANOLA!A13</f>
        <v>551</v>
      </c>
      <c r="C516" s="653" t="str">
        <f>MANOLA!B13</f>
        <v>DOCETAXEL 80MG INJ</v>
      </c>
      <c r="D516" s="654">
        <f>MANOLA!C13</f>
        <v>10</v>
      </c>
      <c r="E516" s="653">
        <v>3</v>
      </c>
      <c r="F516" s="38">
        <f>MANOLA!E13</f>
        <v>22454</v>
      </c>
      <c r="G516" s="38">
        <f t="shared" si="26"/>
        <v>67362</v>
      </c>
      <c r="H516" s="79"/>
    </row>
    <row r="517" spans="1:8" s="42" customFormat="1" ht="23.25" x14ac:dyDescent="0.35">
      <c r="A517" s="35"/>
      <c r="B517" s="653">
        <f>MANOLA!A14</f>
        <v>552</v>
      </c>
      <c r="C517" s="653" t="str">
        <f>MANOLA!B14</f>
        <v>DOXORUBICIN HCL 20MG/10ML INJ</v>
      </c>
      <c r="D517" s="654" t="str">
        <f>MANOLA!C14</f>
        <v>AMP</v>
      </c>
      <c r="E517" s="653">
        <v>3</v>
      </c>
      <c r="F517" s="38">
        <f>MANOLA!E14</f>
        <v>3350</v>
      </c>
      <c r="G517" s="38">
        <f t="shared" si="26"/>
        <v>10050</v>
      </c>
      <c r="H517" s="186"/>
    </row>
    <row r="518" spans="1:8" s="42" customFormat="1" ht="23.25" x14ac:dyDescent="0.35">
      <c r="A518" s="35"/>
      <c r="B518" s="653">
        <f>MANOLA!A15</f>
        <v>553</v>
      </c>
      <c r="C518" s="653" t="str">
        <f>MANOLA!B15</f>
        <v>FOLINIC ACID</v>
      </c>
      <c r="D518" s="654">
        <f>MANOLA!C15</f>
        <v>10</v>
      </c>
      <c r="E518" s="653">
        <v>3</v>
      </c>
      <c r="F518" s="38">
        <f>MANOLA!E15</f>
        <v>1948</v>
      </c>
      <c r="G518" s="38">
        <f t="shared" si="26"/>
        <v>5844</v>
      </c>
      <c r="H518" s="186"/>
    </row>
    <row r="519" spans="1:8" s="42" customFormat="1" ht="23.25" x14ac:dyDescent="0.35">
      <c r="A519" s="35"/>
      <c r="B519" s="653">
        <f>MANOLA!A16</f>
        <v>555</v>
      </c>
      <c r="C519" s="653" t="str">
        <f>MANOLA!B16</f>
        <v>HYDROXYUREA 500MG CAP</v>
      </c>
      <c r="D519" s="654">
        <f>MANOLA!C16</f>
        <v>100</v>
      </c>
      <c r="E519" s="653">
        <v>1</v>
      </c>
      <c r="F519" s="38">
        <f>MANOLA!E16</f>
        <v>9000</v>
      </c>
      <c r="G519" s="38">
        <f t="shared" si="26"/>
        <v>9000</v>
      </c>
      <c r="H519" s="79"/>
    </row>
    <row r="520" spans="1:8" s="42" customFormat="1" ht="23.25" x14ac:dyDescent="0.35">
      <c r="A520" s="35"/>
      <c r="B520" s="653">
        <f>MANOLA!A17</f>
        <v>556</v>
      </c>
      <c r="C520" s="653" t="str">
        <f>MANOLA!B17</f>
        <v>IFOSFAMIDE 3G</v>
      </c>
      <c r="D520" s="654" t="str">
        <f>MANOLA!C17</f>
        <v>VIAL</v>
      </c>
      <c r="E520" s="653">
        <v>5</v>
      </c>
      <c r="F520" s="38">
        <f>MANOLA!E17</f>
        <v>9310</v>
      </c>
      <c r="G520" s="38">
        <f t="shared" si="26"/>
        <v>46550</v>
      </c>
      <c r="H520" s="79"/>
    </row>
    <row r="521" spans="1:8" s="42" customFormat="1" ht="23.25" x14ac:dyDescent="0.35">
      <c r="A521" s="35"/>
      <c r="B521" s="653">
        <f>MANOLA!A18</f>
        <v>559</v>
      </c>
      <c r="C521" s="653" t="str">
        <f>MANOLA!B18</f>
        <v>LETROZOLE 2.5MG TAB</v>
      </c>
      <c r="D521" s="654">
        <f>MANOLA!C18</f>
        <v>30</v>
      </c>
      <c r="E521" s="653">
        <v>6</v>
      </c>
      <c r="F521" s="38">
        <f>MANOLA!E18</f>
        <v>14040</v>
      </c>
      <c r="G521" s="38">
        <f t="shared" si="26"/>
        <v>84240</v>
      </c>
      <c r="H521" s="79"/>
    </row>
    <row r="522" spans="1:8" s="42" customFormat="1" ht="23.25" x14ac:dyDescent="0.35">
      <c r="A522" s="35"/>
      <c r="B522" s="653">
        <f>MANOLA!A19</f>
        <v>167</v>
      </c>
      <c r="C522" s="653" t="str">
        <f>MANOLA!B19</f>
        <v>MEFENAMIC ACID 250MG CAP</v>
      </c>
      <c r="D522" s="654">
        <f>MANOLA!C19</f>
        <v>100</v>
      </c>
      <c r="E522" s="653">
        <v>15</v>
      </c>
      <c r="F522" s="38">
        <f>MANOLA!E19</f>
        <v>350</v>
      </c>
      <c r="G522" s="38">
        <f t="shared" si="26"/>
        <v>5250</v>
      </c>
      <c r="H522" s="79"/>
    </row>
    <row r="523" spans="1:8" s="42" customFormat="1" ht="23.25" x14ac:dyDescent="0.35">
      <c r="A523" s="35"/>
      <c r="B523" s="653">
        <f>MANOLA!A20</f>
        <v>561</v>
      </c>
      <c r="C523" s="653" t="str">
        <f>MANOLA!B20</f>
        <v>METHOTREXATE INJ</v>
      </c>
      <c r="D523" s="654" t="str">
        <f>MANOLA!C20</f>
        <v>AMP</v>
      </c>
      <c r="E523" s="653">
        <v>1</v>
      </c>
      <c r="F523" s="38">
        <f>MANOLA!E20</f>
        <v>683</v>
      </c>
      <c r="G523" s="38">
        <f t="shared" si="26"/>
        <v>683</v>
      </c>
      <c r="H523" s="79"/>
    </row>
    <row r="524" spans="1:8" s="42" customFormat="1" ht="23.25" x14ac:dyDescent="0.35">
      <c r="A524" s="35"/>
      <c r="B524" s="653">
        <f>MANOLA!A21</f>
        <v>562</v>
      </c>
      <c r="C524" s="653" t="str">
        <f>MANOLA!B21</f>
        <v>METHOTREXATE TAB</v>
      </c>
      <c r="D524" s="654">
        <f>MANOLA!C21</f>
        <v>30</v>
      </c>
      <c r="E524" s="653">
        <v>6</v>
      </c>
      <c r="F524" s="38">
        <f>MANOLA!E21</f>
        <v>878</v>
      </c>
      <c r="G524" s="38">
        <f t="shared" si="26"/>
        <v>5268</v>
      </c>
      <c r="H524" s="79"/>
    </row>
    <row r="525" spans="1:8" s="42" customFormat="1" ht="23.25" x14ac:dyDescent="0.35">
      <c r="A525" s="35"/>
      <c r="B525" s="653">
        <f>MANOLA!A22</f>
        <v>445</v>
      </c>
      <c r="C525" s="653" t="str">
        <f>MANOLA!B22</f>
        <v>ONDASETRON TAB</v>
      </c>
      <c r="D525" s="654">
        <f>MANOLA!C22</f>
        <v>10</v>
      </c>
      <c r="E525" s="653">
        <v>5</v>
      </c>
      <c r="F525" s="38">
        <f>MANOLA!E22</f>
        <v>819</v>
      </c>
      <c r="G525" s="38">
        <f t="shared" si="26"/>
        <v>4095</v>
      </c>
      <c r="H525" s="79"/>
    </row>
    <row r="526" spans="1:8" s="42" customFormat="1" ht="23.25" x14ac:dyDescent="0.35">
      <c r="A526" s="35"/>
      <c r="B526" s="653">
        <f>MANOLA!A23</f>
        <v>563</v>
      </c>
      <c r="C526" s="653" t="str">
        <f>MANOLA!B23</f>
        <v>PACLITAXEL 30MG INJ</v>
      </c>
      <c r="D526" s="654">
        <f>MANOLA!C23</f>
        <v>10</v>
      </c>
      <c r="E526" s="653">
        <v>1</v>
      </c>
      <c r="F526" s="38">
        <f>MANOLA!E23</f>
        <v>23000</v>
      </c>
      <c r="G526" s="38">
        <f t="shared" si="26"/>
        <v>23000</v>
      </c>
      <c r="H526" s="79"/>
    </row>
    <row r="527" spans="1:8" s="42" customFormat="1" ht="23.25" x14ac:dyDescent="0.35">
      <c r="A527" s="35"/>
      <c r="B527" s="653">
        <f>MANOLA!A24</f>
        <v>699</v>
      </c>
      <c r="C527" s="653" t="str">
        <f>MANOLA!B24</f>
        <v>SILVER NITRATE SOLUTION (250ML)</v>
      </c>
      <c r="D527" s="654" t="str">
        <f>MANOLA!C24</f>
        <v>BOTT</v>
      </c>
      <c r="E527" s="653">
        <v>5</v>
      </c>
      <c r="F527" s="38">
        <f>MANOLA!E24</f>
        <v>17982</v>
      </c>
      <c r="G527" s="38">
        <f t="shared" si="26"/>
        <v>89910</v>
      </c>
      <c r="H527" s="79"/>
    </row>
    <row r="528" spans="1:8" s="42" customFormat="1" ht="23.25" x14ac:dyDescent="0.35">
      <c r="A528" s="35"/>
      <c r="B528" s="653">
        <f>MANOLA!A25</f>
        <v>565</v>
      </c>
      <c r="C528" s="653" t="str">
        <f>MANOLA!B25</f>
        <v>TAMOXIFEN CITRATE 10MG TAB</v>
      </c>
      <c r="D528" s="654">
        <f>MANOLA!C25</f>
        <v>100</v>
      </c>
      <c r="E528" s="653">
        <v>1</v>
      </c>
      <c r="F528" s="38">
        <f>MANOLA!E25</f>
        <v>9750</v>
      </c>
      <c r="G528" s="38">
        <f t="shared" si="26"/>
        <v>9750</v>
      </c>
      <c r="H528" s="79"/>
    </row>
    <row r="529" spans="1:8" s="42" customFormat="1" ht="23.25" x14ac:dyDescent="0.35">
      <c r="A529" s="35"/>
      <c r="B529" s="653">
        <f>MANOLA!A26</f>
        <v>569</v>
      </c>
      <c r="C529" s="653" t="str">
        <f>MANOLA!B26</f>
        <v xml:space="preserve">VINCRISTINE 5MG/5ML INJ </v>
      </c>
      <c r="D529" s="654">
        <f>MANOLA!C26</f>
        <v>10</v>
      </c>
      <c r="E529" s="653">
        <v>1</v>
      </c>
      <c r="F529" s="38">
        <f>MANOLA!E26</f>
        <v>780</v>
      </c>
      <c r="G529" s="38">
        <f t="shared" si="26"/>
        <v>780</v>
      </c>
      <c r="H529" s="186">
        <f>SUM(G509:G529)</f>
        <v>661872</v>
      </c>
    </row>
    <row r="530" spans="1:8" s="42" customFormat="1" ht="18.75" x14ac:dyDescent="0.3">
      <c r="A530" s="35"/>
      <c r="B530" s="653"/>
      <c r="C530" s="653"/>
      <c r="D530" s="654"/>
      <c r="E530" s="653"/>
      <c r="F530" s="38"/>
      <c r="G530" s="38">
        <f t="shared" si="26"/>
        <v>0</v>
      </c>
      <c r="H530" s="35"/>
    </row>
    <row r="531" spans="1:8" ht="18.75" x14ac:dyDescent="0.3">
      <c r="A531" s="35"/>
      <c r="B531" s="653"/>
      <c r="C531" s="653"/>
      <c r="D531" s="654"/>
      <c r="E531" s="653"/>
      <c r="F531" s="38"/>
      <c r="G531" s="38">
        <f t="shared" si="26"/>
        <v>0</v>
      </c>
      <c r="H531" s="35"/>
    </row>
    <row r="532" spans="1:8" ht="23.25" x14ac:dyDescent="0.35">
      <c r="A532" s="35">
        <v>26</v>
      </c>
      <c r="B532" s="653"/>
      <c r="C532" s="656" t="str">
        <f>MARCSON!B1</f>
        <v>MARCSON HEALTHCARE LIMITED</v>
      </c>
      <c r="D532" s="654"/>
      <c r="E532" s="653"/>
      <c r="F532" s="38"/>
      <c r="G532" s="38">
        <f t="shared" si="26"/>
        <v>0</v>
      </c>
      <c r="H532" s="76"/>
    </row>
    <row r="533" spans="1:8" x14ac:dyDescent="0.35">
      <c r="A533" s="35"/>
      <c r="B533" s="653">
        <f>MARCSON!A6</f>
        <v>1</v>
      </c>
      <c r="C533" s="653" t="str">
        <f>MARCSON!B6</f>
        <v>ab-ARTEETHER 150MG INJ</v>
      </c>
      <c r="D533" s="654">
        <f>MARCSON!C6</f>
        <v>3</v>
      </c>
      <c r="E533" s="653">
        <v>225</v>
      </c>
      <c r="F533" s="38">
        <f>MARCSON!E6</f>
        <v>600</v>
      </c>
      <c r="G533" s="38">
        <f t="shared" si="26"/>
        <v>135000</v>
      </c>
      <c r="H533" s="76"/>
    </row>
    <row r="534" spans="1:8" x14ac:dyDescent="0.35">
      <c r="A534" s="35"/>
      <c r="B534" s="653">
        <f>MARCSON!A7</f>
        <v>36</v>
      </c>
      <c r="C534" s="653" t="str">
        <f>MARCSON!B7</f>
        <v>AMLODIPINE 10MG + RAMIPRIL 5MG</v>
      </c>
      <c r="D534" s="654">
        <f>MARCSON!C7</f>
        <v>30</v>
      </c>
      <c r="E534" s="653">
        <v>50</v>
      </c>
      <c r="F534" s="38">
        <f>MARCSON!E7</f>
        <v>1800</v>
      </c>
      <c r="G534" s="38">
        <f t="shared" ref="G534:G539" si="27">E534*F534</f>
        <v>90000</v>
      </c>
      <c r="H534" s="76"/>
    </row>
    <row r="535" spans="1:8" x14ac:dyDescent="0.35">
      <c r="A535" s="35"/>
      <c r="B535" s="653">
        <f>MARCSON!A8</f>
        <v>38</v>
      </c>
      <c r="C535" s="653" t="str">
        <f>MARCSON!B8</f>
        <v>AMLODIPINE 5MG + RAMIPRIL 2.5MG</v>
      </c>
      <c r="D535" s="654">
        <f>MARCSON!C8</f>
        <v>30</v>
      </c>
      <c r="E535" s="653">
        <v>50</v>
      </c>
      <c r="F535" s="38">
        <f>MARCSON!E8</f>
        <v>1250</v>
      </c>
      <c r="G535" s="38">
        <f t="shared" si="27"/>
        <v>62500</v>
      </c>
      <c r="H535" s="76"/>
    </row>
    <row r="536" spans="1:8" x14ac:dyDescent="0.35">
      <c r="A536" s="35"/>
      <c r="B536" s="653">
        <f>MARCSON!A9</f>
        <v>219</v>
      </c>
      <c r="C536" s="653" t="str">
        <f>MARCSON!B9</f>
        <v>CEFIXIME + SULBACTAM SUSPENSION</v>
      </c>
      <c r="D536" s="654" t="str">
        <f>MARCSON!C9</f>
        <v>BOTT</v>
      </c>
      <c r="E536" s="653">
        <v>50</v>
      </c>
      <c r="F536" s="38">
        <f>MARCSON!E9</f>
        <v>1500</v>
      </c>
      <c r="G536" s="38">
        <f t="shared" si="27"/>
        <v>75000</v>
      </c>
      <c r="H536" s="76"/>
    </row>
    <row r="537" spans="1:8" x14ac:dyDescent="0.35">
      <c r="A537" s="35"/>
      <c r="B537" s="653">
        <f>MARCSON!A10</f>
        <v>221</v>
      </c>
      <c r="C537" s="653" t="str">
        <f>MARCSON!B10</f>
        <v>CEFIXIME 200MG/CLAVULANIC ACID 125MG</v>
      </c>
      <c r="D537" s="654">
        <f>MARCSON!C10</f>
        <v>10</v>
      </c>
      <c r="E537" s="653">
        <v>25</v>
      </c>
      <c r="F537" s="38">
        <f>MARCSON!E10</f>
        <v>1800</v>
      </c>
      <c r="G537" s="38">
        <f t="shared" si="27"/>
        <v>45000</v>
      </c>
      <c r="H537" s="76"/>
    </row>
    <row r="538" spans="1:8" ht="23.25" x14ac:dyDescent="0.35">
      <c r="A538" s="35"/>
      <c r="B538" s="653">
        <f>MARCSON!A11</f>
        <v>229</v>
      </c>
      <c r="C538" s="653" t="str">
        <f>MARCSON!B11</f>
        <v>CEFTRIAXONE+SULBACTAM INJ</v>
      </c>
      <c r="D538" s="654" t="str">
        <f>MARCSON!C11</f>
        <v>VIAL</v>
      </c>
      <c r="E538" s="653">
        <v>625</v>
      </c>
      <c r="F538" s="38">
        <f>MARCSON!E11</f>
        <v>900</v>
      </c>
      <c r="G538" s="38">
        <f t="shared" si="27"/>
        <v>562500</v>
      </c>
      <c r="H538" s="186"/>
    </row>
    <row r="539" spans="1:8" ht="23.25" x14ac:dyDescent="0.35">
      <c r="A539" s="35"/>
      <c r="B539" s="653">
        <f>MARCSON!A12</f>
        <v>177</v>
      </c>
      <c r="C539" s="653" t="str">
        <f>MARCSON!B12</f>
        <v>ORPHENADRINE/PARACETAMOL TAB</v>
      </c>
      <c r="D539" s="654">
        <f>MARCSON!C12</f>
        <v>100</v>
      </c>
      <c r="E539" s="653">
        <v>500</v>
      </c>
      <c r="F539" s="38">
        <f>MARCSON!E12</f>
        <v>1550</v>
      </c>
      <c r="G539" s="38">
        <f t="shared" si="27"/>
        <v>775000</v>
      </c>
      <c r="H539" s="186">
        <f>SUM(G533:G539)</f>
        <v>1745000</v>
      </c>
    </row>
    <row r="540" spans="1:8" ht="18.75" x14ac:dyDescent="0.3">
      <c r="A540" s="35"/>
      <c r="B540" s="653"/>
      <c r="C540" s="653"/>
      <c r="D540" s="654"/>
      <c r="E540" s="653"/>
      <c r="F540" s="38"/>
      <c r="G540" s="38">
        <f t="shared" si="26"/>
        <v>0</v>
      </c>
      <c r="H540" s="35"/>
    </row>
    <row r="541" spans="1:8" x14ac:dyDescent="0.35">
      <c r="A541" s="35"/>
      <c r="B541" s="653"/>
      <c r="C541" s="653"/>
      <c r="D541" s="654"/>
      <c r="E541" s="653"/>
      <c r="F541" s="38"/>
      <c r="G541" s="38">
        <f t="shared" si="26"/>
        <v>0</v>
      </c>
      <c r="H541" s="76"/>
    </row>
    <row r="542" spans="1:8" ht="23.25" x14ac:dyDescent="0.35">
      <c r="A542" s="35">
        <v>27</v>
      </c>
      <c r="B542" s="653"/>
      <c r="C542" s="656" t="str">
        <f>'M&amp;B'!B1</f>
        <v>MAY &amp; BAKER NIGERIA LIMITED</v>
      </c>
      <c r="D542" s="654"/>
      <c r="E542" s="653"/>
      <c r="F542" s="38"/>
      <c r="G542" s="38">
        <f t="shared" si="26"/>
        <v>0</v>
      </c>
      <c r="H542" s="76"/>
    </row>
    <row r="543" spans="1:8" x14ac:dyDescent="0.35">
      <c r="A543" s="35"/>
      <c r="B543" s="653">
        <f>'M&amp;B'!A6</f>
        <v>353</v>
      </c>
      <c r="C543" s="653" t="str">
        <f>'M&amp;B'!B6</f>
        <v>BROMAZEPAM 1.5MG</v>
      </c>
      <c r="D543" s="654">
        <f>'M&amp;B'!C6</f>
        <v>30</v>
      </c>
      <c r="E543" s="653">
        <v>200</v>
      </c>
      <c r="F543" s="38">
        <f>'M&amp;B'!E6</f>
        <v>170</v>
      </c>
      <c r="G543" s="38">
        <f t="shared" si="26"/>
        <v>34000</v>
      </c>
      <c r="H543" s="76"/>
    </row>
    <row r="544" spans="1:8" x14ac:dyDescent="0.35">
      <c r="A544" s="35"/>
      <c r="B544" s="653">
        <f>'M&amp;B'!A7</f>
        <v>354</v>
      </c>
      <c r="C544" s="653" t="str">
        <f>'M&amp;B'!B7</f>
        <v>BROMAZEPAM 3MG</v>
      </c>
      <c r="D544" s="654">
        <f>'M&amp;B'!C7</f>
        <v>30</v>
      </c>
      <c r="E544" s="653">
        <v>250</v>
      </c>
      <c r="F544" s="38">
        <f>'M&amp;B'!E7</f>
        <v>340</v>
      </c>
      <c r="G544" s="38">
        <f t="shared" si="26"/>
        <v>85000</v>
      </c>
      <c r="H544" s="76"/>
    </row>
    <row r="545" spans="1:8" x14ac:dyDescent="0.35">
      <c r="A545" s="35"/>
      <c r="B545" s="653">
        <f>'M&amp;B'!A8</f>
        <v>233</v>
      </c>
      <c r="C545" s="653" t="str">
        <f>'M&amp;B'!B8</f>
        <v>CEFUROXIME SUSPENSION 125MG/5ML (100ML)</v>
      </c>
      <c r="D545" s="654" t="str">
        <f>'M&amp;B'!C8</f>
        <v>BOTT</v>
      </c>
      <c r="E545" s="653">
        <v>200</v>
      </c>
      <c r="F545" s="38">
        <f>'M&amp;B'!E8</f>
        <v>1300</v>
      </c>
      <c r="G545" s="38">
        <f t="shared" si="26"/>
        <v>260000</v>
      </c>
      <c r="H545" s="76"/>
    </row>
    <row r="546" spans="1:8" x14ac:dyDescent="0.35">
      <c r="A546" s="35"/>
      <c r="B546" s="653">
        <f>'M&amp;B'!A9</f>
        <v>473</v>
      </c>
      <c r="C546" s="653" t="str">
        <f>'M&amp;B'!B9</f>
        <v>CHLORPHENIRAMINE 4MG/5ML  SYR</v>
      </c>
      <c r="D546" s="654" t="str">
        <f>'M&amp;B'!C9</f>
        <v>BOTT</v>
      </c>
      <c r="E546" s="653">
        <v>200</v>
      </c>
      <c r="F546" s="38">
        <f>'M&amp;B'!E9</f>
        <v>100</v>
      </c>
      <c r="G546" s="38">
        <f t="shared" si="26"/>
        <v>20000</v>
      </c>
      <c r="H546" s="76"/>
    </row>
    <row r="547" spans="1:8" ht="23.25" x14ac:dyDescent="0.35">
      <c r="A547" s="35"/>
      <c r="B547" s="653">
        <f>'M&amp;B'!A10</f>
        <v>244</v>
      </c>
      <c r="C547" s="653" t="str">
        <f>'M&amp;B'!B10</f>
        <v>CO-TRIMOXAZOLE SUSP.</v>
      </c>
      <c r="D547" s="654" t="str">
        <f>'M&amp;B'!C10</f>
        <v>BOTT</v>
      </c>
      <c r="E547" s="653">
        <v>50</v>
      </c>
      <c r="F547" s="38">
        <f>'M&amp;B'!E10</f>
        <v>100</v>
      </c>
      <c r="G547" s="38">
        <f t="shared" si="26"/>
        <v>5000</v>
      </c>
      <c r="H547" s="186"/>
    </row>
    <row r="548" spans="1:8" ht="18.75" x14ac:dyDescent="0.3">
      <c r="A548" s="35"/>
      <c r="B548" s="653">
        <f>'M&amp;B'!A11</f>
        <v>121</v>
      </c>
      <c r="C548" s="653" t="str">
        <f>'M&amp;B'!B11</f>
        <v>GLIMEPIRIDE 4MG TAB</v>
      </c>
      <c r="D548" s="654">
        <f>'M&amp;B'!C11</f>
        <v>30</v>
      </c>
      <c r="E548" s="653">
        <v>250</v>
      </c>
      <c r="F548" s="38">
        <f>'M&amp;B'!E11</f>
        <v>1850</v>
      </c>
      <c r="G548" s="38">
        <f t="shared" si="26"/>
        <v>462500</v>
      </c>
      <c r="H548" s="35"/>
    </row>
    <row r="549" spans="1:8" ht="18.75" x14ac:dyDescent="0.3">
      <c r="A549" s="35"/>
      <c r="B549" s="653">
        <f>'M&amp;B'!A12</f>
        <v>88</v>
      </c>
      <c r="C549" s="653" t="str">
        <f>'M&amp;B'!B12</f>
        <v xml:space="preserve">NIFEDIPINE 30MG </v>
      </c>
      <c r="D549" s="654">
        <f>'M&amp;B'!C12</f>
        <v>30</v>
      </c>
      <c r="E549" s="653">
        <v>225</v>
      </c>
      <c r="F549" s="38">
        <f>'M&amp;B'!E12</f>
        <v>696.97</v>
      </c>
      <c r="G549" s="38">
        <f t="shared" si="26"/>
        <v>156818.25</v>
      </c>
      <c r="H549" s="35"/>
    </row>
    <row r="550" spans="1:8" ht="18.75" x14ac:dyDescent="0.3">
      <c r="A550" s="35"/>
      <c r="B550" s="653">
        <f>'M&amp;B'!A13</f>
        <v>274</v>
      </c>
      <c r="C550" s="653" t="str">
        <f>'M&amp;B'!B13</f>
        <v>OFLOXACIN 200MG TAB</v>
      </c>
      <c r="D550" s="654">
        <f>'M&amp;B'!C13</f>
        <v>10</v>
      </c>
      <c r="E550" s="653">
        <v>400</v>
      </c>
      <c r="F550" s="38">
        <f>'M&amp;B'!E13</f>
        <v>402.93</v>
      </c>
      <c r="G550" s="38">
        <f t="shared" si="26"/>
        <v>161172</v>
      </c>
      <c r="H550" s="35"/>
    </row>
    <row r="551" spans="1:8" ht="23.25" x14ac:dyDescent="0.35">
      <c r="A551" s="35"/>
      <c r="B551" s="653">
        <f>'M&amp;B'!A14</f>
        <v>97</v>
      </c>
      <c r="C551" s="653" t="str">
        <f>'M&amp;B'!B14</f>
        <v>RAMIPRIL 5MG TAB</v>
      </c>
      <c r="D551" s="654">
        <f>'M&amp;B'!C14</f>
        <v>30</v>
      </c>
      <c r="E551" s="653">
        <v>520</v>
      </c>
      <c r="F551" s="38">
        <f>'M&amp;B'!E14</f>
        <v>600</v>
      </c>
      <c r="G551" s="38">
        <f t="shared" si="26"/>
        <v>312000</v>
      </c>
      <c r="H551" s="186">
        <f>SUM(G543:G551)</f>
        <v>1496490.25</v>
      </c>
    </row>
    <row r="552" spans="1:8" x14ac:dyDescent="0.35">
      <c r="A552" s="35"/>
      <c r="B552" s="653"/>
      <c r="C552" s="653"/>
      <c r="D552" s="654"/>
      <c r="E552" s="653"/>
      <c r="F552" s="38"/>
      <c r="G552" s="38">
        <f t="shared" si="26"/>
        <v>0</v>
      </c>
      <c r="H552" s="76"/>
    </row>
    <row r="553" spans="1:8" x14ac:dyDescent="0.35">
      <c r="A553" s="35"/>
      <c r="B553" s="653"/>
      <c r="C553" s="653"/>
      <c r="D553" s="654"/>
      <c r="E553" s="653"/>
      <c r="F553" s="38"/>
      <c r="G553" s="38">
        <f t="shared" si="26"/>
        <v>0</v>
      </c>
      <c r="H553" s="76"/>
    </row>
    <row r="554" spans="1:8" ht="23.25" x14ac:dyDescent="0.35">
      <c r="A554" s="35">
        <v>28</v>
      </c>
      <c r="B554" s="653"/>
      <c r="C554" s="656" t="str">
        <f>MEGA!B1</f>
        <v>MEGA LIFESCIENCES NIGERIA LIMITED</v>
      </c>
      <c r="D554" s="654"/>
      <c r="E554" s="653"/>
      <c r="F554" s="38"/>
      <c r="G554" s="38">
        <f t="shared" si="26"/>
        <v>0</v>
      </c>
      <c r="H554" s="76"/>
    </row>
    <row r="555" spans="1:8" x14ac:dyDescent="0.35">
      <c r="A555" s="35"/>
      <c r="B555" s="653">
        <f>MEGA!A6</f>
        <v>292</v>
      </c>
      <c r="C555" s="653" t="str">
        <f>MEGA!B6</f>
        <v>CALCITROL 0.25MCG TAB</v>
      </c>
      <c r="D555" s="654">
        <f>MEGA!C6</f>
        <v>30</v>
      </c>
      <c r="E555" s="653">
        <v>150</v>
      </c>
      <c r="F555" s="38">
        <f>MEGA!E6</f>
        <v>2600</v>
      </c>
      <c r="G555" s="38">
        <f t="shared" si="26"/>
        <v>390000</v>
      </c>
      <c r="H555" s="76"/>
    </row>
    <row r="556" spans="1:8" x14ac:dyDescent="0.35">
      <c r="A556" s="35"/>
      <c r="B556" s="653">
        <f>MEGA!A7</f>
        <v>57</v>
      </c>
      <c r="C556" s="653" t="str">
        <f>MEGA!B7</f>
        <v>CLOPIDOGREL 75MG TAB</v>
      </c>
      <c r="D556" s="654">
        <f>MEGA!C7</f>
        <v>30</v>
      </c>
      <c r="E556" s="653">
        <v>500</v>
      </c>
      <c r="F556" s="38">
        <f>MEGA!E7</f>
        <v>750</v>
      </c>
      <c r="G556" s="38">
        <f t="shared" si="26"/>
        <v>375000</v>
      </c>
      <c r="H556" s="76"/>
    </row>
    <row r="557" spans="1:8" x14ac:dyDescent="0.35">
      <c r="A557" s="35"/>
      <c r="B557" s="653">
        <f>MEGA!A8</f>
        <v>310</v>
      </c>
      <c r="C557" s="653" t="str">
        <f>MEGA!B8</f>
        <v>HIGH POTENCY VITAMIN B FORMULA TAB</v>
      </c>
      <c r="D557" s="654">
        <f>MEGA!C8</f>
        <v>30</v>
      </c>
      <c r="E557" s="653">
        <v>375</v>
      </c>
      <c r="F557" s="38">
        <f>MEGA!E8</f>
        <v>2300</v>
      </c>
      <c r="G557" s="38">
        <f t="shared" si="26"/>
        <v>862500</v>
      </c>
      <c r="H557" s="76"/>
    </row>
    <row r="558" spans="1:8" x14ac:dyDescent="0.35">
      <c r="A558" s="35"/>
      <c r="B558" s="653">
        <f>MEGA!A9</f>
        <v>321</v>
      </c>
      <c r="C558" s="653" t="str">
        <f>MEGA!B9</f>
        <v>PHOSPHOLIPIDS/VIT E/VIT B COMPLEX</v>
      </c>
      <c r="D558" s="654">
        <f>MEGA!C9</f>
        <v>30</v>
      </c>
      <c r="E558" s="653">
        <v>100</v>
      </c>
      <c r="F558" s="38">
        <f>MEGA!E9</f>
        <v>1500</v>
      </c>
      <c r="G558" s="38">
        <f t="shared" si="26"/>
        <v>150000</v>
      </c>
      <c r="H558" s="76"/>
    </row>
    <row r="559" spans="1:8" x14ac:dyDescent="0.35">
      <c r="A559" s="35"/>
      <c r="B559" s="653">
        <f>MEGA!A10</f>
        <v>188</v>
      </c>
      <c r="C559" s="653" t="str">
        <f>MEGA!B10</f>
        <v>PREGABALIN 75MG CAP</v>
      </c>
      <c r="D559" s="654">
        <f>MEGA!C10</f>
        <v>30</v>
      </c>
      <c r="E559" s="653">
        <v>180</v>
      </c>
      <c r="F559" s="38">
        <f>MEGA!E10</f>
        <v>2000</v>
      </c>
      <c r="G559" s="38">
        <f t="shared" si="26"/>
        <v>360000</v>
      </c>
      <c r="H559" s="76"/>
    </row>
    <row r="560" spans="1:8" ht="23.25" x14ac:dyDescent="0.35">
      <c r="A560" s="35"/>
      <c r="B560" s="653">
        <f>MEGA!A11</f>
        <v>107</v>
      </c>
      <c r="C560" s="653" t="str">
        <f>MEGA!B11</f>
        <v>TELMISARTAN 80MG TAB</v>
      </c>
      <c r="D560" s="654">
        <f>MEGA!C11</f>
        <v>30</v>
      </c>
      <c r="E560" s="653">
        <v>7</v>
      </c>
      <c r="F560" s="38">
        <f>MEGA!E11</f>
        <v>2500</v>
      </c>
      <c r="G560" s="38">
        <f t="shared" si="26"/>
        <v>17500</v>
      </c>
      <c r="H560" s="186"/>
    </row>
    <row r="561" spans="1:8" ht="23.25" x14ac:dyDescent="0.35">
      <c r="A561" s="35"/>
      <c r="B561" s="653">
        <f>MEGA!A12</f>
        <v>334</v>
      </c>
      <c r="C561" s="653" t="str">
        <f>MEGA!B12</f>
        <v>URSODEOXYCHOLIC ACID 300MG TAB</v>
      </c>
      <c r="D561" s="654">
        <f>MEGA!C12</f>
        <v>30</v>
      </c>
      <c r="E561" s="653">
        <v>5</v>
      </c>
      <c r="F561" s="38">
        <f>MEGA!E12</f>
        <v>7900</v>
      </c>
      <c r="G561" s="38">
        <f t="shared" si="26"/>
        <v>39500</v>
      </c>
      <c r="H561" s="186">
        <f>SUM(G555:G561)</f>
        <v>2194500</v>
      </c>
    </row>
    <row r="562" spans="1:8" ht="18.75" x14ac:dyDescent="0.3">
      <c r="A562" s="35"/>
      <c r="B562" s="653"/>
      <c r="C562" s="653"/>
      <c r="D562" s="654"/>
      <c r="E562" s="653"/>
      <c r="F562" s="38"/>
      <c r="G562" s="38">
        <f t="shared" si="26"/>
        <v>0</v>
      </c>
      <c r="H562" s="35"/>
    </row>
    <row r="563" spans="1:8" ht="18.75" x14ac:dyDescent="0.3">
      <c r="A563" s="35"/>
      <c r="B563" s="653"/>
      <c r="C563" s="653"/>
      <c r="D563" s="654"/>
      <c r="E563" s="653"/>
      <c r="F563" s="38"/>
      <c r="G563" s="38">
        <f t="shared" si="26"/>
        <v>0</v>
      </c>
      <c r="H563" s="35"/>
    </row>
    <row r="564" spans="1:8" ht="23.25" x14ac:dyDescent="0.35">
      <c r="A564" s="35">
        <v>29</v>
      </c>
      <c r="B564" s="653"/>
      <c r="C564" s="656" t="str">
        <f>MICRONOVA!B1</f>
        <v>MICRONOVA PHARMACEUTICALS</v>
      </c>
      <c r="D564" s="654"/>
      <c r="E564" s="653"/>
      <c r="F564" s="38"/>
      <c r="G564" s="38">
        <f t="shared" si="26"/>
        <v>0</v>
      </c>
      <c r="H564" s="76"/>
    </row>
    <row r="565" spans="1:8" ht="18.75" x14ac:dyDescent="0.3">
      <c r="A565" s="35"/>
      <c r="B565" s="653">
        <f>MICRONOVA!A6</f>
        <v>35</v>
      </c>
      <c r="C565" s="653" t="str">
        <f>MICRONOVA!B6</f>
        <v>AMIODARONE 200MG TAB</v>
      </c>
      <c r="D565" s="654">
        <f>MICRONOVA!C6</f>
        <v>30</v>
      </c>
      <c r="E565" s="653">
        <v>3</v>
      </c>
      <c r="F565" s="38">
        <f>MICRONOVA!E6</f>
        <v>1727</v>
      </c>
      <c r="G565" s="38">
        <f t="shared" ref="G565:G628" si="28">E565*F565</f>
        <v>5181</v>
      </c>
      <c r="H565" s="35"/>
    </row>
    <row r="566" spans="1:8" ht="18.75" x14ac:dyDescent="0.3">
      <c r="A566" s="35"/>
      <c r="B566" s="653">
        <f>MICRONOVA!A7</f>
        <v>48</v>
      </c>
      <c r="C566" s="653" t="str">
        <f>MICRONOVA!B7</f>
        <v>ATORVASTATIN 10MG</v>
      </c>
      <c r="D566" s="654">
        <f>MICRONOVA!C7</f>
        <v>30</v>
      </c>
      <c r="E566" s="653">
        <v>375</v>
      </c>
      <c r="F566" s="38">
        <f>MICRONOVA!E7</f>
        <v>325</v>
      </c>
      <c r="G566" s="38">
        <f t="shared" si="28"/>
        <v>121875</v>
      </c>
      <c r="H566" s="35"/>
    </row>
    <row r="567" spans="1:8" ht="18.75" x14ac:dyDescent="0.3">
      <c r="A567" s="35"/>
      <c r="B567" s="653">
        <f>MICRONOVA!A8</f>
        <v>49</v>
      </c>
      <c r="C567" s="653" t="str">
        <f>MICRONOVA!B8</f>
        <v>ATORVASTATIN 20MG</v>
      </c>
      <c r="D567" s="654">
        <f>MICRONOVA!C8</f>
        <v>30</v>
      </c>
      <c r="E567" s="653">
        <v>125</v>
      </c>
      <c r="F567" s="38">
        <f>MICRONOVA!E8</f>
        <v>450</v>
      </c>
      <c r="G567" s="38">
        <f t="shared" si="28"/>
        <v>56250</v>
      </c>
      <c r="H567" s="35"/>
    </row>
    <row r="568" spans="1:8" ht="18.75" x14ac:dyDescent="0.3">
      <c r="A568" s="35"/>
      <c r="B568" s="653">
        <f>MICRONOVA!A9</f>
        <v>50</v>
      </c>
      <c r="C568" s="653" t="str">
        <f>MICRONOVA!B9</f>
        <v>ATORVASTATIN 40MG</v>
      </c>
      <c r="D568" s="654">
        <f>MICRONOVA!C9</f>
        <v>30</v>
      </c>
      <c r="E568" s="653">
        <v>25</v>
      </c>
      <c r="F568" s="38">
        <f>MICRONOVA!E9</f>
        <v>725</v>
      </c>
      <c r="G568" s="38">
        <f t="shared" si="28"/>
        <v>18125</v>
      </c>
      <c r="H568" s="35"/>
    </row>
    <row r="569" spans="1:8" ht="18.75" x14ac:dyDescent="0.3">
      <c r="A569" s="35"/>
      <c r="B569" s="653">
        <f>MICRONOVA!A10</f>
        <v>225</v>
      </c>
      <c r="C569" s="653" t="str">
        <f>MICRONOVA!B10</f>
        <v>CEFPODOXIME 200MG TAB</v>
      </c>
      <c r="D569" s="654">
        <f>MICRONOVA!C10</f>
        <v>10</v>
      </c>
      <c r="E569" s="653">
        <v>13</v>
      </c>
      <c r="F569" s="38">
        <f>MICRONOVA!E10</f>
        <v>950</v>
      </c>
      <c r="G569" s="38">
        <f t="shared" si="28"/>
        <v>12350</v>
      </c>
      <c r="H569" s="35"/>
    </row>
    <row r="570" spans="1:8" ht="18.75" x14ac:dyDescent="0.3">
      <c r="A570" s="35"/>
      <c r="B570" s="653">
        <f>MICRONOVA!A11</f>
        <v>480</v>
      </c>
      <c r="C570" s="653" t="str">
        <f>MICRONOVA!B11</f>
        <v>FEXOFENADINE 120MG</v>
      </c>
      <c r="D570" s="654">
        <f>MICRONOVA!C11</f>
        <v>10</v>
      </c>
      <c r="E570" s="653">
        <v>20</v>
      </c>
      <c r="F570" s="38">
        <f>MICRONOVA!E11</f>
        <v>650</v>
      </c>
      <c r="G570" s="38">
        <f t="shared" si="28"/>
        <v>13000</v>
      </c>
      <c r="H570" s="35"/>
    </row>
    <row r="571" spans="1:8" ht="23.25" x14ac:dyDescent="0.35">
      <c r="A571" s="35"/>
      <c r="B571" s="653">
        <f>MICRONOVA!A12</f>
        <v>481</v>
      </c>
      <c r="C571" s="653" t="str">
        <f>MICRONOVA!B12</f>
        <v>FEXOFENADINE 180MG</v>
      </c>
      <c r="D571" s="654">
        <f>MICRONOVA!C12</f>
        <v>10</v>
      </c>
      <c r="E571" s="653">
        <v>75</v>
      </c>
      <c r="F571" s="38">
        <f>MICRONOVA!E12</f>
        <v>895</v>
      </c>
      <c r="G571" s="38">
        <f t="shared" si="28"/>
        <v>67125</v>
      </c>
      <c r="H571" s="186"/>
    </row>
    <row r="572" spans="1:8" x14ac:dyDescent="0.35">
      <c r="A572" s="35"/>
      <c r="B572" s="653">
        <f>MICRONOVA!A13</f>
        <v>120</v>
      </c>
      <c r="C572" s="653" t="str">
        <f>MICRONOVA!B13</f>
        <v>GLIMEPIRIDE 2MG TAB</v>
      </c>
      <c r="D572" s="654">
        <f>MICRONOVA!C13</f>
        <v>30</v>
      </c>
      <c r="E572" s="653">
        <v>300</v>
      </c>
      <c r="F572" s="38">
        <f>MICRONOVA!E13</f>
        <v>750</v>
      </c>
      <c r="G572" s="38">
        <f t="shared" si="28"/>
        <v>225000</v>
      </c>
      <c r="H572" s="76"/>
    </row>
    <row r="573" spans="1:8" x14ac:dyDescent="0.35">
      <c r="A573" s="35"/>
      <c r="B573" s="653">
        <f>MICRONOVA!A14</f>
        <v>515</v>
      </c>
      <c r="C573" s="653" t="str">
        <f>MICRONOVA!B14</f>
        <v>KETOROLAC TROMETHAMINE GTT</v>
      </c>
      <c r="D573" s="654" t="str">
        <f>MICRONOVA!C14</f>
        <v>BOTT</v>
      </c>
      <c r="E573" s="653">
        <v>5</v>
      </c>
      <c r="F573" s="38">
        <f>MICRONOVA!E14</f>
        <v>650</v>
      </c>
      <c r="G573" s="38">
        <f t="shared" si="28"/>
        <v>3250</v>
      </c>
      <c r="H573" s="76"/>
    </row>
    <row r="574" spans="1:8" x14ac:dyDescent="0.35">
      <c r="A574" s="35"/>
      <c r="B574" s="653">
        <f>MICRONOVA!A15</f>
        <v>170</v>
      </c>
      <c r="C574" s="653" t="str">
        <f>MICRONOVA!B15</f>
        <v>METHYLCOBALAMINE/MULTIVITAMINS/MULTIMINERALS/ANTIOXIDANTS</v>
      </c>
      <c r="D574" s="654">
        <f>MICRONOVA!C15</f>
        <v>30</v>
      </c>
      <c r="E574" s="653">
        <v>375</v>
      </c>
      <c r="F574" s="38">
        <f>MICRONOVA!E15</f>
        <v>1795</v>
      </c>
      <c r="G574" s="38">
        <f t="shared" si="28"/>
        <v>673125</v>
      </c>
      <c r="H574" s="76"/>
    </row>
    <row r="575" spans="1:8" x14ac:dyDescent="0.35">
      <c r="A575" s="35"/>
      <c r="B575" s="653">
        <f>MICRONOVA!A16</f>
        <v>83</v>
      </c>
      <c r="C575" s="653" t="str">
        <f>MICRONOVA!B16</f>
        <v>METOPROLOL SUCCINATE 25MG TAB</v>
      </c>
      <c r="D575" s="654">
        <f>MICRONOVA!C16</f>
        <v>30</v>
      </c>
      <c r="E575" s="653">
        <v>20</v>
      </c>
      <c r="F575" s="38">
        <f>MICRONOVA!E16</f>
        <v>671</v>
      </c>
      <c r="G575" s="38">
        <f t="shared" si="28"/>
        <v>13420</v>
      </c>
      <c r="H575" s="76"/>
    </row>
    <row r="576" spans="1:8" x14ac:dyDescent="0.35">
      <c r="A576" s="35"/>
      <c r="B576" s="653">
        <f>MICRONOVA!A17</f>
        <v>84</v>
      </c>
      <c r="C576" s="653" t="str">
        <f>MICRONOVA!B17</f>
        <v>METOPROLOL SUCCINATE 50MG TAB</v>
      </c>
      <c r="D576" s="654">
        <f>MICRONOVA!C17</f>
        <v>30</v>
      </c>
      <c r="E576" s="653">
        <v>20</v>
      </c>
      <c r="F576" s="38">
        <f>MICRONOVA!E17</f>
        <v>849</v>
      </c>
      <c r="G576" s="38">
        <f t="shared" si="28"/>
        <v>16980</v>
      </c>
      <c r="H576" s="76"/>
    </row>
    <row r="577" spans="1:8" x14ac:dyDescent="0.35">
      <c r="A577" s="35"/>
      <c r="B577" s="653">
        <f>MICRONOVA!A18</f>
        <v>488</v>
      </c>
      <c r="C577" s="653" t="str">
        <f>MICRONOVA!B18</f>
        <v>MONTELUKAST 10MG/LEVOCETIRIZIN 5MG</v>
      </c>
      <c r="D577" s="654">
        <f>MICRONOVA!C18</f>
        <v>30</v>
      </c>
      <c r="E577" s="653">
        <v>10</v>
      </c>
      <c r="F577" s="38">
        <f>MICRONOVA!E18</f>
        <v>975</v>
      </c>
      <c r="G577" s="38">
        <f t="shared" si="28"/>
        <v>9750</v>
      </c>
      <c r="H577" s="76"/>
    </row>
    <row r="578" spans="1:8" x14ac:dyDescent="0.35">
      <c r="A578" s="35"/>
      <c r="B578" s="653">
        <f>MICRONOVA!A19</f>
        <v>269</v>
      </c>
      <c r="C578" s="653" t="str">
        <f>MICRONOVA!B19</f>
        <v>MOXIFLOXACIN 400MG TAB</v>
      </c>
      <c r="D578" s="654">
        <f>MICRONOVA!C19</f>
        <v>10</v>
      </c>
      <c r="E578" s="653">
        <v>8</v>
      </c>
      <c r="F578" s="38">
        <f>MICRONOVA!E19</f>
        <v>1550</v>
      </c>
      <c r="G578" s="38">
        <f t="shared" si="28"/>
        <v>12400</v>
      </c>
      <c r="H578" s="76"/>
    </row>
    <row r="579" spans="1:8" x14ac:dyDescent="0.35">
      <c r="A579" s="35"/>
      <c r="B579" s="653">
        <f>MICRONOVA!A20</f>
        <v>518</v>
      </c>
      <c r="C579" s="653" t="str">
        <f>MICRONOVA!B20</f>
        <v>MOXIFLOXACIN GT</v>
      </c>
      <c r="D579" s="654" t="str">
        <f>MICRONOVA!C20</f>
        <v>BOTT</v>
      </c>
      <c r="E579" s="653">
        <v>5</v>
      </c>
      <c r="F579" s="38">
        <f>MICRONOVA!E20</f>
        <v>550</v>
      </c>
      <c r="G579" s="38">
        <f t="shared" si="28"/>
        <v>2750</v>
      </c>
      <c r="H579" s="76"/>
    </row>
    <row r="580" spans="1:8" x14ac:dyDescent="0.35">
      <c r="A580" s="35"/>
      <c r="B580" s="653">
        <f>MICRONOVA!A21</f>
        <v>85</v>
      </c>
      <c r="C580" s="653" t="str">
        <f>MICRONOVA!B21</f>
        <v>NEBIVOLOL 5MG</v>
      </c>
      <c r="D580" s="654">
        <f>MICRONOVA!C21</f>
        <v>30</v>
      </c>
      <c r="E580" s="653">
        <v>3</v>
      </c>
      <c r="F580" s="38">
        <f>MICRONOVA!E21</f>
        <v>1895</v>
      </c>
      <c r="G580" s="38">
        <f t="shared" si="28"/>
        <v>5685</v>
      </c>
      <c r="H580" s="76"/>
    </row>
    <row r="581" spans="1:8" x14ac:dyDescent="0.35">
      <c r="A581" s="35"/>
      <c r="B581" s="653">
        <f>MICRONOVA!A22</f>
        <v>86</v>
      </c>
      <c r="C581" s="653" t="str">
        <f>MICRONOVA!B22</f>
        <v>NEBIVOLOL 5MG/HYDROCHLOROTHIAZIDE 12.5MG</v>
      </c>
      <c r="D581" s="654">
        <f>MICRONOVA!C22</f>
        <v>30</v>
      </c>
      <c r="E581" s="653">
        <v>3</v>
      </c>
      <c r="F581" s="38">
        <f>MICRONOVA!E22</f>
        <v>1990</v>
      </c>
      <c r="G581" s="38">
        <f t="shared" si="28"/>
        <v>5970</v>
      </c>
      <c r="H581" s="76"/>
    </row>
    <row r="582" spans="1:8" x14ac:dyDescent="0.35">
      <c r="A582" s="35"/>
      <c r="B582" s="653">
        <f>MICRONOVA!A23</f>
        <v>521</v>
      </c>
      <c r="C582" s="653" t="str">
        <f>MICRONOVA!B23</f>
        <v>OFLOXACIN+DEXAMETHASONE</v>
      </c>
      <c r="D582" s="654" t="str">
        <f>MICRONOVA!C23</f>
        <v>BOTT</v>
      </c>
      <c r="E582" s="653">
        <v>5</v>
      </c>
      <c r="F582" s="38">
        <f>MICRONOVA!E23</f>
        <v>450</v>
      </c>
      <c r="G582" s="38">
        <f t="shared" si="28"/>
        <v>2250</v>
      </c>
      <c r="H582" s="76"/>
    </row>
    <row r="583" spans="1:8" x14ac:dyDescent="0.35">
      <c r="A583" s="35"/>
      <c r="B583" s="653">
        <f>MICRONOVA!A24</f>
        <v>441</v>
      </c>
      <c r="C583" s="653" t="str">
        <f>MICRONOVA!B24</f>
        <v>OMEPRAZOLE 20MG/DOMPERIDONE 10MG</v>
      </c>
      <c r="D583" s="654">
        <f>MICRONOVA!C24</f>
        <v>10</v>
      </c>
      <c r="E583" s="653">
        <v>25</v>
      </c>
      <c r="F583" s="38">
        <f>MICRONOVA!E24</f>
        <v>900</v>
      </c>
      <c r="G583" s="38">
        <f t="shared" si="28"/>
        <v>22500</v>
      </c>
      <c r="H583" s="76"/>
    </row>
    <row r="584" spans="1:8" ht="23.25" x14ac:dyDescent="0.35">
      <c r="A584" s="35"/>
      <c r="B584" s="653">
        <f>MICRONOVA!A25</f>
        <v>136</v>
      </c>
      <c r="C584" s="653" t="str">
        <f>MICRONOVA!B25</f>
        <v>PIOGLITAZONE 30MG</v>
      </c>
      <c r="D584" s="654">
        <f>MICRONOVA!C25</f>
        <v>30</v>
      </c>
      <c r="E584" s="653">
        <v>3</v>
      </c>
      <c r="F584" s="38">
        <f>MICRONOVA!E25</f>
        <v>2095</v>
      </c>
      <c r="G584" s="38">
        <f t="shared" si="28"/>
        <v>6285</v>
      </c>
      <c r="H584" s="186"/>
    </row>
    <row r="585" spans="1:8" x14ac:dyDescent="0.35">
      <c r="A585" s="35"/>
      <c r="B585" s="653">
        <f>MICRONOVA!A26</f>
        <v>327</v>
      </c>
      <c r="C585" s="653" t="str">
        <f>MICRONOVA!B26</f>
        <v>SILYMARIN 140MG TAB</v>
      </c>
      <c r="D585" s="654">
        <f>MICRONOVA!C26</f>
        <v>30</v>
      </c>
      <c r="E585" s="653">
        <v>25</v>
      </c>
      <c r="F585" s="38">
        <f>MICRONOVA!E26</f>
        <v>1908</v>
      </c>
      <c r="G585" s="38">
        <f t="shared" si="28"/>
        <v>47700</v>
      </c>
      <c r="H585" s="76"/>
    </row>
    <row r="586" spans="1:8" x14ac:dyDescent="0.35">
      <c r="A586" s="35"/>
      <c r="B586" s="653">
        <f>MICRONOVA!A27</f>
        <v>328</v>
      </c>
      <c r="C586" s="653" t="str">
        <f>MICRONOVA!B27</f>
        <v>SILYMARIN 70MG TAB</v>
      </c>
      <c r="D586" s="654">
        <f>MICRONOVA!C27</f>
        <v>30</v>
      </c>
      <c r="E586" s="653">
        <v>13</v>
      </c>
      <c r="F586" s="38">
        <f>MICRONOVA!E27</f>
        <v>1265</v>
      </c>
      <c r="G586" s="38">
        <f t="shared" si="28"/>
        <v>16445</v>
      </c>
      <c r="H586" s="76"/>
    </row>
    <row r="587" spans="1:8" x14ac:dyDescent="0.35">
      <c r="A587" s="35"/>
      <c r="B587" s="653">
        <f>MICRONOVA!A28</f>
        <v>530</v>
      </c>
      <c r="C587" s="653" t="str">
        <f>MICRONOVA!B28</f>
        <v>TIMOLOL/DORZOLAMIDE GTT</v>
      </c>
      <c r="D587" s="654" t="str">
        <f>MICRONOVA!C28</f>
        <v>BOTT</v>
      </c>
      <c r="E587" s="653">
        <v>200</v>
      </c>
      <c r="F587" s="38">
        <f>MICRONOVA!E28</f>
        <v>2200</v>
      </c>
      <c r="G587" s="38">
        <f t="shared" si="28"/>
        <v>440000</v>
      </c>
      <c r="H587" s="76"/>
    </row>
    <row r="588" spans="1:8" x14ac:dyDescent="0.35">
      <c r="A588" s="35"/>
      <c r="B588" s="653">
        <f>MICRONOVA!A29</f>
        <v>111</v>
      </c>
      <c r="C588" s="653" t="str">
        <f>MICRONOVA!B29</f>
        <v>TORSEMIDE 100MG TAB</v>
      </c>
      <c r="D588" s="654">
        <f>MICRONOVA!C29</f>
        <v>30</v>
      </c>
      <c r="E588" s="653">
        <v>5</v>
      </c>
      <c r="F588" s="38">
        <f>MICRONOVA!E29</f>
        <v>1541</v>
      </c>
      <c r="G588" s="38">
        <f t="shared" si="28"/>
        <v>7705</v>
      </c>
      <c r="H588" s="76"/>
    </row>
    <row r="589" spans="1:8" x14ac:dyDescent="0.35">
      <c r="A589" s="35"/>
      <c r="B589" s="653">
        <f>MICRONOVA!A30</f>
        <v>112</v>
      </c>
      <c r="C589" s="653" t="str">
        <f>MICRONOVA!B30</f>
        <v>TORSEMIDE 10MG TAB</v>
      </c>
      <c r="D589" s="654">
        <f>MICRONOVA!C30</f>
        <v>30</v>
      </c>
      <c r="E589" s="653">
        <v>125</v>
      </c>
      <c r="F589" s="38">
        <f>MICRONOVA!E30</f>
        <v>899</v>
      </c>
      <c r="G589" s="38">
        <f t="shared" si="28"/>
        <v>112375</v>
      </c>
      <c r="H589" s="76"/>
    </row>
    <row r="590" spans="1:8" x14ac:dyDescent="0.35">
      <c r="A590" s="35"/>
      <c r="B590" s="653">
        <f>MICRONOVA!A31</f>
        <v>113</v>
      </c>
      <c r="C590" s="653" t="str">
        <f>MICRONOVA!B31</f>
        <v>TORSEMIDE 20MG TAB</v>
      </c>
      <c r="D590" s="654">
        <f>MICRONOVA!C31</f>
        <v>30</v>
      </c>
      <c r="E590" s="653">
        <v>100</v>
      </c>
      <c r="F590" s="38">
        <f>MICRONOVA!E31</f>
        <v>1290</v>
      </c>
      <c r="G590" s="38">
        <f t="shared" si="28"/>
        <v>129000</v>
      </c>
      <c r="H590" s="76"/>
    </row>
    <row r="591" spans="1:8" x14ac:dyDescent="0.35">
      <c r="A591" s="35"/>
      <c r="B591" s="653">
        <f>MICRONOVA!A32</f>
        <v>114</v>
      </c>
      <c r="C591" s="653" t="str">
        <f>MICRONOVA!B32</f>
        <v>TORSEMIDE INJ</v>
      </c>
      <c r="D591" s="654">
        <f>MICRONOVA!C32</f>
        <v>5</v>
      </c>
      <c r="E591" s="653">
        <v>125</v>
      </c>
      <c r="F591" s="38">
        <f>MICRONOVA!E32</f>
        <v>595</v>
      </c>
      <c r="G591" s="38">
        <f t="shared" si="28"/>
        <v>74375</v>
      </c>
      <c r="H591" s="76"/>
    </row>
    <row r="592" spans="1:8" ht="23.25" x14ac:dyDescent="0.35">
      <c r="A592" s="35"/>
      <c r="B592" s="653">
        <f>MICRONOVA!A33</f>
        <v>538</v>
      </c>
      <c r="C592" s="653" t="str">
        <f>MICRONOVA!B33</f>
        <v>ZINC/CHLORPHENIRAMINE/NAPHAZOLINE</v>
      </c>
      <c r="D592" s="654" t="str">
        <f>MICRONOVA!C33</f>
        <v>BOTT</v>
      </c>
      <c r="E592" s="653">
        <v>250</v>
      </c>
      <c r="F592" s="38">
        <f>MICRONOVA!E33</f>
        <v>600</v>
      </c>
      <c r="G592" s="38">
        <f t="shared" si="28"/>
        <v>150000</v>
      </c>
      <c r="H592" s="186">
        <f>SUM(G565:G592)</f>
        <v>2270871</v>
      </c>
    </row>
    <row r="593" spans="1:8" x14ac:dyDescent="0.35">
      <c r="A593" s="35"/>
      <c r="B593" s="653"/>
      <c r="C593" s="653"/>
      <c r="D593" s="654"/>
      <c r="E593" s="653"/>
      <c r="F593" s="38"/>
      <c r="G593" s="38">
        <f t="shared" si="28"/>
        <v>0</v>
      </c>
      <c r="H593" s="76"/>
    </row>
    <row r="594" spans="1:8" ht="23.25" x14ac:dyDescent="0.35">
      <c r="A594" s="35">
        <v>30</v>
      </c>
      <c r="B594" s="653"/>
      <c r="C594" s="656" t="str">
        <f>MFLASH!B1</f>
        <v>MIRAFLASH NIGERIA LIMITED</v>
      </c>
      <c r="D594" s="654"/>
      <c r="E594" s="653"/>
      <c r="F594" s="38"/>
      <c r="G594" s="38">
        <f t="shared" si="28"/>
        <v>0</v>
      </c>
      <c r="H594" s="76"/>
    </row>
    <row r="595" spans="1:8" x14ac:dyDescent="0.35">
      <c r="A595" s="35"/>
      <c r="B595" s="653">
        <f>MFLASH!A6</f>
        <v>39</v>
      </c>
      <c r="C595" s="653" t="str">
        <f>MFLASH!B6</f>
        <v>AMLODIPINE 5MG TAB</v>
      </c>
      <c r="D595" s="654">
        <f>MFLASH!C6</f>
        <v>28</v>
      </c>
      <c r="E595" s="653">
        <v>625</v>
      </c>
      <c r="F595" s="38">
        <f>MFLASH!E6</f>
        <v>190</v>
      </c>
      <c r="G595" s="38">
        <f t="shared" si="28"/>
        <v>118750</v>
      </c>
      <c r="H595" s="76"/>
    </row>
    <row r="596" spans="1:8" x14ac:dyDescent="0.35">
      <c r="A596" s="35"/>
      <c r="B596" s="653">
        <f>MFLASH!A7</f>
        <v>197</v>
      </c>
      <c r="C596" s="653" t="str">
        <f>MFLASH!B7</f>
        <v>AMOXICILLIN 125MG/5ML SUSPENSION</v>
      </c>
      <c r="D596" s="654" t="str">
        <f>MFLASH!C7</f>
        <v>BOTT</v>
      </c>
      <c r="E596" s="653">
        <v>400</v>
      </c>
      <c r="F596" s="38">
        <f>MFLASH!E7</f>
        <v>185</v>
      </c>
      <c r="G596" s="38">
        <f t="shared" si="28"/>
        <v>74000</v>
      </c>
      <c r="H596" s="76"/>
    </row>
    <row r="597" spans="1:8" x14ac:dyDescent="0.35">
      <c r="A597" s="35"/>
      <c r="B597" s="653">
        <f>MFLASH!A8</f>
        <v>225</v>
      </c>
      <c r="C597" s="653" t="str">
        <f>MFLASH!B8</f>
        <v>CEFPODOXIME 200MG TAB</v>
      </c>
      <c r="D597" s="654">
        <f>MFLASH!C8</f>
        <v>10</v>
      </c>
      <c r="E597" s="653">
        <v>13</v>
      </c>
      <c r="F597" s="38">
        <f>MFLASH!E8</f>
        <v>1600</v>
      </c>
      <c r="G597" s="38">
        <f t="shared" si="28"/>
        <v>20800</v>
      </c>
      <c r="H597" s="76"/>
    </row>
    <row r="598" spans="1:8" x14ac:dyDescent="0.35">
      <c r="A598" s="35"/>
      <c r="B598" s="653">
        <f>MFLASH!A9</f>
        <v>230</v>
      </c>
      <c r="C598" s="653" t="str">
        <f>MFLASH!B9</f>
        <v>CEFUROXIME 250MG TAB</v>
      </c>
      <c r="D598" s="654">
        <f>MFLASH!C9</f>
        <v>10</v>
      </c>
      <c r="E598" s="653">
        <v>250</v>
      </c>
      <c r="F598" s="38">
        <f>MFLASH!E9</f>
        <v>600</v>
      </c>
      <c r="G598" s="38">
        <f t="shared" si="28"/>
        <v>150000</v>
      </c>
      <c r="H598" s="76"/>
    </row>
    <row r="599" spans="1:8" ht="23.25" x14ac:dyDescent="0.35">
      <c r="A599" s="35"/>
      <c r="B599" s="653">
        <f>MFLASH!A10</f>
        <v>235</v>
      </c>
      <c r="C599" s="653" t="str">
        <f>MFLASH!B10</f>
        <v>CEPHALEXIN SUSP 125MG/5ML</v>
      </c>
      <c r="D599" s="654" t="str">
        <f>MFLASH!C10</f>
        <v>BOTT</v>
      </c>
      <c r="E599" s="653">
        <v>50</v>
      </c>
      <c r="F599" s="38">
        <f>MFLASH!E10</f>
        <v>350</v>
      </c>
      <c r="G599" s="38">
        <f t="shared" si="28"/>
        <v>17500</v>
      </c>
      <c r="H599" s="186">
        <f>SUM(G595:G599)</f>
        <v>381050</v>
      </c>
    </row>
    <row r="600" spans="1:8" x14ac:dyDescent="0.35">
      <c r="A600" s="35"/>
      <c r="B600" s="653"/>
      <c r="C600" s="653"/>
      <c r="D600" s="654"/>
      <c r="E600" s="653"/>
      <c r="F600" s="38"/>
      <c r="G600" s="38">
        <f t="shared" si="28"/>
        <v>0</v>
      </c>
      <c r="H600" s="76"/>
    </row>
    <row r="601" spans="1:8" ht="23.25" x14ac:dyDescent="0.35">
      <c r="A601" s="35">
        <v>31</v>
      </c>
      <c r="B601" s="653"/>
      <c r="C601" s="656" t="str">
        <f>MORISON!B1</f>
        <v>MORISON INDUSTRIES PLC</v>
      </c>
      <c r="D601" s="654"/>
      <c r="E601" s="653"/>
      <c r="F601" s="38"/>
      <c r="G601" s="38">
        <f t="shared" si="28"/>
        <v>0</v>
      </c>
      <c r="H601" s="76"/>
    </row>
    <row r="602" spans="1:8" ht="23.25" x14ac:dyDescent="0.35">
      <c r="A602" s="35"/>
      <c r="B602" s="653">
        <f>MORISON!A6</f>
        <v>671</v>
      </c>
      <c r="C602" s="653" t="str">
        <f>MORISON!B6</f>
        <v>CHLORHEXIDINE GLUCONATE 5% (HIBITANE)</v>
      </c>
      <c r="D602" s="654" t="str">
        <f>MORISON!C6</f>
        <v>4L</v>
      </c>
      <c r="E602" s="653">
        <v>8</v>
      </c>
      <c r="F602" s="38">
        <f>MORISON!E6</f>
        <v>7400</v>
      </c>
      <c r="G602" s="38">
        <f t="shared" si="28"/>
        <v>59200</v>
      </c>
      <c r="H602" s="186"/>
    </row>
    <row r="603" spans="1:8" x14ac:dyDescent="0.35">
      <c r="A603" s="35"/>
      <c r="B603" s="653">
        <f>MORISON!A7</f>
        <v>674</v>
      </c>
      <c r="C603" s="653" t="str">
        <f>MORISON!B7</f>
        <v>GLUTARALDEHYDE (4 LITRES)</v>
      </c>
      <c r="D603" s="654" t="str">
        <f>MORISON!C7</f>
        <v>KEG</v>
      </c>
      <c r="E603" s="653">
        <v>3</v>
      </c>
      <c r="F603" s="38">
        <f>MORISON!E7</f>
        <v>3450</v>
      </c>
      <c r="G603" s="38">
        <f t="shared" si="28"/>
        <v>10350</v>
      </c>
      <c r="H603" s="76"/>
    </row>
    <row r="604" spans="1:8" x14ac:dyDescent="0.35">
      <c r="A604" s="35"/>
      <c r="B604" s="653">
        <f>MORISON!A8</f>
        <v>680</v>
      </c>
      <c r="C604" s="653" t="str">
        <f>MORISON!B8</f>
        <v>MORIGAD DISINFECTANT (4 LITRES)</v>
      </c>
      <c r="D604" s="654" t="str">
        <f>MORISON!C8</f>
        <v>KEG</v>
      </c>
      <c r="E604" s="653">
        <v>3</v>
      </c>
      <c r="F604" s="38">
        <f>MORISON!E8</f>
        <v>5175</v>
      </c>
      <c r="G604" s="38">
        <f t="shared" si="28"/>
        <v>15525</v>
      </c>
      <c r="H604" s="76"/>
    </row>
    <row r="605" spans="1:8" ht="23.25" x14ac:dyDescent="0.35">
      <c r="A605" s="35"/>
      <c r="B605" s="653">
        <f>MORISON!A9</f>
        <v>677</v>
      </c>
      <c r="C605" s="653" t="str">
        <f>MORISON!B9</f>
        <v>MORIGAD GERMICIDE (4 LITRE)</v>
      </c>
      <c r="D605" s="654" t="str">
        <f>MORISON!C9</f>
        <v>KEG</v>
      </c>
      <c r="E605" s="653">
        <v>1</v>
      </c>
      <c r="F605" s="38">
        <f>MORISON!E9</f>
        <v>5550</v>
      </c>
      <c r="G605" s="38">
        <f t="shared" si="28"/>
        <v>5550</v>
      </c>
      <c r="H605" s="186">
        <f>SUM(G602:G605)</f>
        <v>90625</v>
      </c>
    </row>
    <row r="606" spans="1:8" ht="23.25" x14ac:dyDescent="0.35">
      <c r="A606" s="35"/>
      <c r="B606" s="653"/>
      <c r="C606" s="653"/>
      <c r="D606" s="654"/>
      <c r="E606" s="653"/>
      <c r="F606" s="38"/>
      <c r="G606" s="38">
        <f t="shared" si="28"/>
        <v>0</v>
      </c>
      <c r="H606" s="186"/>
    </row>
    <row r="607" spans="1:8" ht="23.25" x14ac:dyDescent="0.35">
      <c r="A607" s="35"/>
      <c r="B607" s="653"/>
      <c r="C607" s="653"/>
      <c r="D607" s="654"/>
      <c r="E607" s="653"/>
      <c r="F607" s="38"/>
      <c r="G607" s="38">
        <f t="shared" si="28"/>
        <v>0</v>
      </c>
      <c r="H607" s="186"/>
    </row>
    <row r="608" spans="1:8" ht="23.25" x14ac:dyDescent="0.35">
      <c r="A608" s="35">
        <v>32</v>
      </c>
      <c r="B608" s="653"/>
      <c r="C608" s="656" t="str">
        <f>NHC!B1</f>
        <v>NHC PHARMACEUTICALS LIMITED</v>
      </c>
      <c r="D608" s="654"/>
      <c r="E608" s="653"/>
      <c r="F608" s="38"/>
      <c r="G608" s="38">
        <f t="shared" si="28"/>
        <v>0</v>
      </c>
      <c r="H608" s="76"/>
    </row>
    <row r="609" spans="1:8" x14ac:dyDescent="0.35">
      <c r="A609" s="35"/>
      <c r="B609" s="653">
        <f>NHC!A6</f>
        <v>214</v>
      </c>
      <c r="C609" s="653" t="str">
        <f>NHC!B6</f>
        <v>AMPICILLIN+SULBACTAM INJ</v>
      </c>
      <c r="D609" s="654" t="str">
        <f>NHC!C6</f>
        <v>VIAL</v>
      </c>
      <c r="E609" s="653">
        <v>150</v>
      </c>
      <c r="F609" s="38">
        <f>NHC!E6</f>
        <v>829</v>
      </c>
      <c r="G609" s="38">
        <f t="shared" si="28"/>
        <v>124350</v>
      </c>
      <c r="H609" s="76"/>
    </row>
    <row r="610" spans="1:8" x14ac:dyDescent="0.35">
      <c r="A610" s="35"/>
      <c r="B610" s="653">
        <f>NHC!A7</f>
        <v>146</v>
      </c>
      <c r="C610" s="653" t="str">
        <f>NHC!B7</f>
        <v>CELECOXIB 200MG CAP</v>
      </c>
      <c r="D610" s="654">
        <f>NHC!C7</f>
        <v>100</v>
      </c>
      <c r="E610" s="653">
        <v>125</v>
      </c>
      <c r="F610" s="38">
        <f>NHC!E7</f>
        <v>15517</v>
      </c>
      <c r="G610" s="38">
        <f t="shared" si="28"/>
        <v>1939625</v>
      </c>
      <c r="H610" s="76"/>
    </row>
    <row r="611" spans="1:8" x14ac:dyDescent="0.35">
      <c r="A611" s="35"/>
      <c r="B611" s="653">
        <f>NHC!A8</f>
        <v>239</v>
      </c>
      <c r="C611" s="653" t="str">
        <f>NHC!B8</f>
        <v>CLINDAMYCIN 300MG CAP</v>
      </c>
      <c r="D611" s="654">
        <f>NHC!C8</f>
        <v>16</v>
      </c>
      <c r="E611" s="653">
        <v>75</v>
      </c>
      <c r="F611" s="38">
        <f>NHC!E8</f>
        <v>2579</v>
      </c>
      <c r="G611" s="38">
        <f t="shared" si="28"/>
        <v>193425</v>
      </c>
      <c r="H611" s="76"/>
    </row>
    <row r="612" spans="1:8" x14ac:dyDescent="0.35">
      <c r="A612" s="35"/>
      <c r="B612" s="653">
        <f>NHC!A9</f>
        <v>157</v>
      </c>
      <c r="C612" s="653" t="str">
        <f>NHC!B9</f>
        <v>DICLOFENAC/MISOPROSTOL TAB</v>
      </c>
      <c r="D612" s="654">
        <f>NHC!C9</f>
        <v>100</v>
      </c>
      <c r="E612" s="653">
        <v>150</v>
      </c>
      <c r="F612" s="38">
        <f>NHC!E9</f>
        <v>5559</v>
      </c>
      <c r="G612" s="38">
        <f t="shared" si="28"/>
        <v>833850</v>
      </c>
      <c r="H612" s="76"/>
    </row>
    <row r="613" spans="1:8" x14ac:dyDescent="0.35">
      <c r="A613" s="35"/>
      <c r="B613" s="653">
        <f>NHC!A10</f>
        <v>313</v>
      </c>
      <c r="C613" s="653" t="str">
        <f>NHC!B10</f>
        <v>JOBELYN CAP</v>
      </c>
      <c r="D613" s="654">
        <f>NHC!C10</f>
        <v>100</v>
      </c>
      <c r="E613" s="653">
        <v>5</v>
      </c>
      <c r="F613" s="38">
        <f>NHC!E10</f>
        <v>4450</v>
      </c>
      <c r="G613" s="38">
        <f t="shared" si="28"/>
        <v>22250</v>
      </c>
      <c r="H613" s="76"/>
    </row>
    <row r="614" spans="1:8" x14ac:dyDescent="0.35">
      <c r="A614" s="35"/>
      <c r="B614" s="653">
        <f>NHC!A11</f>
        <v>259</v>
      </c>
      <c r="C614" s="653" t="str">
        <f>NHC!B11</f>
        <v>KETOCONAZOLE SHAMPOO</v>
      </c>
      <c r="D614" s="654" t="str">
        <f>NHC!C11</f>
        <v>TUBE</v>
      </c>
      <c r="E614" s="653">
        <v>5</v>
      </c>
      <c r="F614" s="38">
        <f>NHC!E11</f>
        <v>1825</v>
      </c>
      <c r="G614" s="38">
        <f t="shared" si="28"/>
        <v>9125</v>
      </c>
      <c r="H614" s="76"/>
    </row>
    <row r="615" spans="1:8" x14ac:dyDescent="0.35">
      <c r="A615" s="35"/>
      <c r="B615" s="653">
        <f>NHC!A12</f>
        <v>516</v>
      </c>
      <c r="C615" s="653" t="str">
        <f>NHC!B12</f>
        <v>LATANOPROST 0.05%</v>
      </c>
      <c r="D615" s="654" t="str">
        <f>NHC!C12</f>
        <v>BOTT</v>
      </c>
      <c r="E615" s="653">
        <v>100</v>
      </c>
      <c r="F615" s="38">
        <f>NHC!E12</f>
        <v>4069</v>
      </c>
      <c r="G615" s="38">
        <f t="shared" si="28"/>
        <v>406900</v>
      </c>
      <c r="H615" s="76"/>
    </row>
    <row r="616" spans="1:8" x14ac:dyDescent="0.35">
      <c r="A616" s="35"/>
      <c r="B616" s="653">
        <f>NHC!A13</f>
        <v>517</v>
      </c>
      <c r="C616" s="653" t="str">
        <f>NHC!B13</f>
        <v>LATANOPROST+TIMOLOL GTT</v>
      </c>
      <c r="D616" s="654" t="str">
        <f>NHC!C13</f>
        <v>BOTT</v>
      </c>
      <c r="E616" s="653">
        <v>75</v>
      </c>
      <c r="F616" s="38">
        <f>NHC!E13</f>
        <v>4282</v>
      </c>
      <c r="G616" s="38">
        <f t="shared" si="28"/>
        <v>321150</v>
      </c>
      <c r="H616" s="76"/>
    </row>
    <row r="617" spans="1:8" x14ac:dyDescent="0.35">
      <c r="A617" s="35"/>
      <c r="B617" s="653">
        <f>NHC!A14</f>
        <v>263</v>
      </c>
      <c r="C617" s="653" t="str">
        <f>NHC!B14</f>
        <v>MEROPENEM 1GM INJ</v>
      </c>
      <c r="D617" s="654" t="str">
        <f>NHC!C14</f>
        <v>VIAL</v>
      </c>
      <c r="E617" s="653">
        <v>50</v>
      </c>
      <c r="F617" s="38">
        <f>NHC!E14</f>
        <v>11067</v>
      </c>
      <c r="G617" s="38">
        <f t="shared" si="28"/>
        <v>553350</v>
      </c>
      <c r="H617" s="76"/>
    </row>
    <row r="618" spans="1:8" x14ac:dyDescent="0.35">
      <c r="A618" s="35"/>
      <c r="B618" s="653">
        <f>NHC!A15</f>
        <v>390</v>
      </c>
      <c r="C618" s="653" t="str">
        <f>NHC!B15</f>
        <v>MISOPROSTOL200MCG TAB</v>
      </c>
      <c r="D618" s="654">
        <f>NHC!C15</f>
        <v>60</v>
      </c>
      <c r="E618" s="653">
        <v>10</v>
      </c>
      <c r="F618" s="38">
        <f>NHC!E15</f>
        <v>2579</v>
      </c>
      <c r="G618" s="38">
        <f t="shared" si="28"/>
        <v>25790</v>
      </c>
      <c r="H618" s="76"/>
    </row>
    <row r="619" spans="1:8" ht="23.25" x14ac:dyDescent="0.35">
      <c r="A619" s="35"/>
      <c r="B619" s="653">
        <f>NHC!A16</f>
        <v>193</v>
      </c>
      <c r="C619" s="653" t="str">
        <f>NHC!B16</f>
        <v>TRAMADOL 50MG CAP</v>
      </c>
      <c r="D619" s="654">
        <f>NHC!C16</f>
        <v>100</v>
      </c>
      <c r="E619" s="653">
        <v>75</v>
      </c>
      <c r="F619" s="38">
        <f>NHC!E16</f>
        <v>6500</v>
      </c>
      <c r="G619" s="38">
        <f t="shared" si="28"/>
        <v>487500</v>
      </c>
      <c r="H619" s="186">
        <f>SUM(G609:G619)</f>
        <v>4917315</v>
      </c>
    </row>
    <row r="620" spans="1:8" x14ac:dyDescent="0.35">
      <c r="A620" s="35"/>
      <c r="B620" s="653"/>
      <c r="C620" s="653"/>
      <c r="D620" s="654"/>
      <c r="E620" s="653"/>
      <c r="F620" s="38"/>
      <c r="G620" s="38">
        <f t="shared" si="28"/>
        <v>0</v>
      </c>
      <c r="H620" s="76"/>
    </row>
    <row r="621" spans="1:8" ht="23.25" x14ac:dyDescent="0.35">
      <c r="A621" s="35">
        <v>33</v>
      </c>
      <c r="B621" s="35"/>
      <c r="C621" s="77" t="str">
        <f>OLEAF!B1</f>
        <v>OAK-LEAF PHARM. NIGERIA LIMITED</v>
      </c>
      <c r="D621" s="668"/>
      <c r="E621" s="35"/>
      <c r="F621" s="38"/>
      <c r="G621" s="38">
        <f t="shared" si="28"/>
        <v>0</v>
      </c>
      <c r="H621" s="76"/>
    </row>
    <row r="622" spans="1:8" ht="23.25" x14ac:dyDescent="0.35">
      <c r="A622" s="35"/>
      <c r="B622" s="653">
        <f>OLEAF!A6</f>
        <v>295</v>
      </c>
      <c r="C622" s="653" t="str">
        <f>OLEAF!B6</f>
        <v>CALCIUM+VITAMIN C+VITAMIN D3</v>
      </c>
      <c r="D622" s="654">
        <f>OLEAF!C6</f>
        <v>20</v>
      </c>
      <c r="E622" s="653">
        <v>500</v>
      </c>
      <c r="F622" s="38">
        <f>OLEAF!E6</f>
        <v>900</v>
      </c>
      <c r="G622" s="38">
        <f t="shared" si="28"/>
        <v>450000</v>
      </c>
      <c r="H622" s="186">
        <f>SUM(G622:G622)</f>
        <v>450000</v>
      </c>
    </row>
    <row r="623" spans="1:8" x14ac:dyDescent="0.35">
      <c r="A623" s="35"/>
      <c r="B623" s="35"/>
      <c r="C623" s="35"/>
      <c r="D623" s="668"/>
      <c r="E623" s="35"/>
      <c r="F623" s="38"/>
      <c r="G623" s="38">
        <f t="shared" si="28"/>
        <v>0</v>
      </c>
      <c r="H623" s="76"/>
    </row>
    <row r="624" spans="1:8" x14ac:dyDescent="0.35">
      <c r="A624" s="35"/>
      <c r="B624" s="35"/>
      <c r="C624" s="35"/>
      <c r="D624" s="668"/>
      <c r="E624" s="35"/>
      <c r="F624" s="38"/>
      <c r="G624" s="38">
        <f t="shared" si="28"/>
        <v>0</v>
      </c>
      <c r="H624" s="76"/>
    </row>
    <row r="625" spans="1:8" ht="23.25" x14ac:dyDescent="0.35">
      <c r="A625" s="35">
        <v>34</v>
      </c>
      <c r="B625" s="35"/>
      <c r="C625" s="77" t="str">
        <f>PHAMATEX!B1</f>
        <v>PHAMATEX INDUSTRIES LIMITED</v>
      </c>
      <c r="D625" s="668"/>
      <c r="E625" s="35"/>
      <c r="F625" s="38"/>
      <c r="G625" s="38">
        <f t="shared" si="28"/>
        <v>0</v>
      </c>
      <c r="H625" s="76"/>
    </row>
    <row r="626" spans="1:8" x14ac:dyDescent="0.35">
      <c r="A626" s="35"/>
      <c r="B626" s="653">
        <f>PHAMATEX!A6</f>
        <v>34</v>
      </c>
      <c r="C626" s="653" t="str">
        <f>PHAMATEX!B6</f>
        <v>AMILORIDE/HCT 5/50MG TAB</v>
      </c>
      <c r="D626" s="654">
        <f>PHAMATEX!C6</f>
        <v>100</v>
      </c>
      <c r="E626" s="653">
        <v>100</v>
      </c>
      <c r="F626" s="38">
        <f>PHAMATEX!E6</f>
        <v>405</v>
      </c>
      <c r="G626" s="38">
        <f t="shared" si="28"/>
        <v>40500</v>
      </c>
      <c r="H626" s="76"/>
    </row>
    <row r="627" spans="1:8" x14ac:dyDescent="0.35">
      <c r="A627" s="35"/>
      <c r="B627" s="653">
        <f>PHAMATEX!A7</f>
        <v>46</v>
      </c>
      <c r="C627" s="653" t="str">
        <f>PHAMATEX!B7</f>
        <v>ASPIRIN 75MG TAB</v>
      </c>
      <c r="D627" s="654">
        <f>PHAMATEX!C7</f>
        <v>100</v>
      </c>
      <c r="E627" s="653">
        <v>250</v>
      </c>
      <c r="F627" s="38">
        <f>PHAMATEX!E7</f>
        <v>140</v>
      </c>
      <c r="G627" s="38">
        <f t="shared" si="28"/>
        <v>35000</v>
      </c>
      <c r="H627" s="76"/>
    </row>
    <row r="628" spans="1:8" x14ac:dyDescent="0.35">
      <c r="A628" s="35"/>
      <c r="B628" s="653">
        <f>PHAMATEX!A8</f>
        <v>242</v>
      </c>
      <c r="C628" s="653" t="str">
        <f>PHAMATEX!B8</f>
        <v>CO-TRIMOXAZOLE 480MG TAB</v>
      </c>
      <c r="D628" s="654">
        <f>PHAMATEX!C8</f>
        <v>100</v>
      </c>
      <c r="E628" s="653">
        <v>30</v>
      </c>
      <c r="F628" s="38">
        <f>PHAMATEX!E8</f>
        <v>385</v>
      </c>
      <c r="G628" s="38">
        <f t="shared" si="28"/>
        <v>11550</v>
      </c>
      <c r="H628" s="76"/>
    </row>
    <row r="629" spans="1:8" x14ac:dyDescent="0.35">
      <c r="A629" s="35"/>
      <c r="B629" s="653">
        <f>PHAMATEX!A9</f>
        <v>243</v>
      </c>
      <c r="C629" s="653" t="str">
        <f>PHAMATEX!B9</f>
        <v>CO-TRIMOXAZOLE 960MG TAB</v>
      </c>
      <c r="D629" s="654">
        <f>PHAMATEX!C9</f>
        <v>10</v>
      </c>
      <c r="E629" s="653">
        <v>300</v>
      </c>
      <c r="F629" s="38">
        <f>PHAMATEX!E9</f>
        <v>150</v>
      </c>
      <c r="G629" s="38">
        <f t="shared" ref="G629:G692" si="29">E629*F629</f>
        <v>45000</v>
      </c>
      <c r="H629" s="76"/>
    </row>
    <row r="630" spans="1:8" x14ac:dyDescent="0.35">
      <c r="A630" s="35"/>
      <c r="B630" s="653">
        <f>PHAMATEX!A10</f>
        <v>249</v>
      </c>
      <c r="C630" s="653" t="str">
        <f>PHAMATEX!B10</f>
        <v>ERYTHROMYCIN 500MG TAB</v>
      </c>
      <c r="D630" s="654">
        <f>PHAMATEX!C10</f>
        <v>100</v>
      </c>
      <c r="E630" s="653">
        <v>200</v>
      </c>
      <c r="F630" s="38">
        <f>PHAMATEX!E10</f>
        <v>2520</v>
      </c>
      <c r="G630" s="38">
        <f t="shared" si="29"/>
        <v>504000</v>
      </c>
      <c r="H630" s="76"/>
    </row>
    <row r="631" spans="1:8" x14ac:dyDescent="0.35">
      <c r="A631" s="35"/>
      <c r="B631" s="653">
        <f>PHAMATEX!A11</f>
        <v>251</v>
      </c>
      <c r="C631" s="653" t="str">
        <f>PHAMATEX!B11</f>
        <v>FLUCONAZOLE 150MG CAP</v>
      </c>
      <c r="D631" s="654">
        <f>PHAMATEX!C11</f>
        <v>10</v>
      </c>
      <c r="E631" s="653">
        <v>5</v>
      </c>
      <c r="F631" s="38">
        <f>PHAMATEX!E11</f>
        <v>280</v>
      </c>
      <c r="G631" s="38">
        <f t="shared" si="29"/>
        <v>1400</v>
      </c>
      <c r="H631" s="76"/>
    </row>
    <row r="632" spans="1:8" x14ac:dyDescent="0.35">
      <c r="A632" s="35"/>
      <c r="B632" s="653">
        <f>PHAMATEX!A12</f>
        <v>162</v>
      </c>
      <c r="C632" s="653" t="str">
        <f>PHAMATEX!B12</f>
        <v>IBUPROFEN 400MG TAB</v>
      </c>
      <c r="D632" s="654">
        <f>PHAMATEX!C12</f>
        <v>100</v>
      </c>
      <c r="E632" s="653">
        <v>100</v>
      </c>
      <c r="F632" s="38">
        <f>PHAMATEX!E12</f>
        <v>495</v>
      </c>
      <c r="G632" s="38">
        <f t="shared" si="29"/>
        <v>49500</v>
      </c>
      <c r="H632" s="76"/>
    </row>
    <row r="633" spans="1:8" x14ac:dyDescent="0.35">
      <c r="A633" s="35"/>
      <c r="B633" s="653">
        <f>PHAMATEX!A13</f>
        <v>258</v>
      </c>
      <c r="C633" s="653" t="str">
        <f>PHAMATEX!B13</f>
        <v>KETOCONAZOLE 200MG TAB</v>
      </c>
      <c r="D633" s="654">
        <f>PHAMATEX!C13</f>
        <v>100</v>
      </c>
      <c r="E633" s="653">
        <v>25</v>
      </c>
      <c r="F633" s="38">
        <f>PHAMATEX!E13</f>
        <v>1300</v>
      </c>
      <c r="G633" s="38">
        <f t="shared" si="29"/>
        <v>32500</v>
      </c>
      <c r="H633" s="76"/>
    </row>
    <row r="634" spans="1:8" x14ac:dyDescent="0.35">
      <c r="A634" s="35"/>
      <c r="B634" s="653">
        <f>PHAMATEX!A14</f>
        <v>485</v>
      </c>
      <c r="C634" s="653" t="str">
        <f>PHAMATEX!B14</f>
        <v>LEVOCETIRIZINE</v>
      </c>
      <c r="D634" s="654">
        <f>PHAMATEX!C14</f>
        <v>100</v>
      </c>
      <c r="E634" s="653">
        <v>20</v>
      </c>
      <c r="F634" s="38">
        <f>PHAMATEX!E14</f>
        <v>496</v>
      </c>
      <c r="G634" s="38">
        <f t="shared" si="29"/>
        <v>9920</v>
      </c>
      <c r="H634" s="76"/>
    </row>
    <row r="635" spans="1:8" x14ac:dyDescent="0.35">
      <c r="A635" s="35"/>
      <c r="B635" s="653">
        <f>PHAMATEX!A15</f>
        <v>134</v>
      </c>
      <c r="C635" s="653" t="str">
        <f>PHAMATEX!B15</f>
        <v>METFORMIN HCL 500MG TAB</v>
      </c>
      <c r="D635" s="654">
        <f>PHAMATEX!C15</f>
        <v>100</v>
      </c>
      <c r="E635" s="653">
        <v>250</v>
      </c>
      <c r="F635" s="38">
        <f>PHAMATEX!E15</f>
        <v>450</v>
      </c>
      <c r="G635" s="38">
        <f t="shared" si="29"/>
        <v>112500</v>
      </c>
      <c r="H635" s="76"/>
    </row>
    <row r="636" spans="1:8" x14ac:dyDescent="0.35">
      <c r="A636" s="35"/>
      <c r="B636" s="653">
        <f>PHAMATEX!A16</f>
        <v>265</v>
      </c>
      <c r="C636" s="653" t="str">
        <f>PHAMATEX!B16</f>
        <v>METRONIDAZOLE 400MG TAB</v>
      </c>
      <c r="D636" s="654">
        <f>PHAMATEX!C16</f>
        <v>100</v>
      </c>
      <c r="E636" s="653">
        <v>500</v>
      </c>
      <c r="F636" s="38">
        <f>PHAMATEX!E16</f>
        <v>380</v>
      </c>
      <c r="G636" s="38">
        <f t="shared" si="29"/>
        <v>190000</v>
      </c>
      <c r="H636" s="76"/>
    </row>
    <row r="637" spans="1:8" x14ac:dyDescent="0.35">
      <c r="A637" s="35"/>
      <c r="B637" s="653">
        <f>PHAMATEX!A17</f>
        <v>181</v>
      </c>
      <c r="C637" s="653" t="str">
        <f>PHAMATEX!B17</f>
        <v>PARACETAMOL 500MG TAB</v>
      </c>
      <c r="D637" s="654">
        <f>PHAMATEX!C17</f>
        <v>96</v>
      </c>
      <c r="E637" s="653">
        <v>1050</v>
      </c>
      <c r="F637" s="38">
        <f>PHAMATEX!E17</f>
        <v>205</v>
      </c>
      <c r="G637" s="38">
        <f t="shared" si="29"/>
        <v>215250</v>
      </c>
      <c r="H637" s="76"/>
    </row>
    <row r="638" spans="1:8" x14ac:dyDescent="0.35">
      <c r="A638" s="35"/>
      <c r="B638" s="653">
        <f>PHAMATEX!A18</f>
        <v>183</v>
      </c>
      <c r="C638" s="653" t="str">
        <f>PHAMATEX!B18</f>
        <v>PARACETAMOL SYR</v>
      </c>
      <c r="D638" s="654" t="str">
        <f>PHAMATEX!C18</f>
        <v>BOTT</v>
      </c>
      <c r="E638" s="653">
        <v>750</v>
      </c>
      <c r="F638" s="38">
        <f>PHAMATEX!E18</f>
        <v>85</v>
      </c>
      <c r="G638" s="38">
        <f t="shared" si="29"/>
        <v>63750</v>
      </c>
      <c r="H638" s="76"/>
    </row>
    <row r="639" spans="1:8" x14ac:dyDescent="0.35">
      <c r="A639" s="35"/>
      <c r="B639" s="653">
        <f>PHAMATEX!A19</f>
        <v>190</v>
      </c>
      <c r="C639" s="653" t="str">
        <f>PHAMATEX!B19</f>
        <v>TENOXICAM 20MG CAP</v>
      </c>
      <c r="D639" s="654">
        <f>PHAMATEX!C19</f>
        <v>10</v>
      </c>
      <c r="E639" s="653">
        <v>300</v>
      </c>
      <c r="F639" s="38">
        <f>PHAMATEX!E19</f>
        <v>250</v>
      </c>
      <c r="G639" s="38">
        <f t="shared" si="29"/>
        <v>75000</v>
      </c>
      <c r="H639" s="76"/>
    </row>
    <row r="640" spans="1:8" x14ac:dyDescent="0.35">
      <c r="A640" s="35"/>
      <c r="B640" s="653">
        <f>PHAMATEX!A20</f>
        <v>335</v>
      </c>
      <c r="C640" s="653" t="str">
        <f>PHAMATEX!B20</f>
        <v>VIT B1/VIT B2/VIT B6 TAB</v>
      </c>
      <c r="D640" s="654">
        <f>PHAMATEX!C20</f>
        <v>100</v>
      </c>
      <c r="E640" s="653">
        <v>500</v>
      </c>
      <c r="F640" s="38">
        <f>PHAMATEX!E20</f>
        <v>3750</v>
      </c>
      <c r="G640" s="38">
        <f t="shared" si="29"/>
        <v>1875000</v>
      </c>
      <c r="H640" s="76"/>
    </row>
    <row r="641" spans="1:8" ht="23.25" x14ac:dyDescent="0.35">
      <c r="A641" s="35"/>
      <c r="B641" s="653">
        <f>PHAMATEX!A21</f>
        <v>344</v>
      </c>
      <c r="C641" s="653" t="str">
        <f>PHAMATEX!B21</f>
        <v>VITAMIN C SYRUP</v>
      </c>
      <c r="D641" s="654" t="str">
        <f>PHAMATEX!C21</f>
        <v>BOTT</v>
      </c>
      <c r="E641" s="653">
        <v>375</v>
      </c>
      <c r="F641" s="38">
        <f>PHAMATEX!E21</f>
        <v>98</v>
      </c>
      <c r="G641" s="38">
        <f t="shared" si="29"/>
        <v>36750</v>
      </c>
      <c r="H641" s="186">
        <f>SUM(G626:G641)</f>
        <v>3297620</v>
      </c>
    </row>
    <row r="642" spans="1:8" x14ac:dyDescent="0.35">
      <c r="A642" s="35"/>
      <c r="B642" s="653"/>
      <c r="C642" s="653"/>
      <c r="D642" s="654"/>
      <c r="E642" s="653"/>
      <c r="F642" s="38"/>
      <c r="G642" s="38">
        <f t="shared" si="29"/>
        <v>0</v>
      </c>
      <c r="H642" s="76"/>
    </row>
    <row r="643" spans="1:8" x14ac:dyDescent="0.35">
      <c r="A643" s="35"/>
      <c r="B643" s="653"/>
      <c r="C643" s="653"/>
      <c r="D643" s="654"/>
      <c r="E643" s="653"/>
      <c r="F643" s="38"/>
      <c r="G643" s="38">
        <f t="shared" si="29"/>
        <v>0</v>
      </c>
      <c r="H643" s="76"/>
    </row>
    <row r="644" spans="1:8" ht="23.25" x14ac:dyDescent="0.35">
      <c r="A644" s="35">
        <v>35</v>
      </c>
      <c r="B644" s="653"/>
      <c r="C644" s="656" t="str">
        <f>PETHICS!B1</f>
        <v>PHARMAETHICS LIMITED</v>
      </c>
      <c r="D644" s="654"/>
      <c r="E644" s="653"/>
      <c r="F644" s="38"/>
      <c r="G644" s="38">
        <f t="shared" si="29"/>
        <v>0</v>
      </c>
      <c r="H644" s="76"/>
    </row>
    <row r="645" spans="1:8" x14ac:dyDescent="0.35">
      <c r="A645" s="35"/>
      <c r="B645" s="653">
        <f>PETHICS!A6</f>
        <v>384</v>
      </c>
      <c r="C645" s="653" t="str">
        <f>PETHICS!B6</f>
        <v>DYDROSTERONE TAB</v>
      </c>
      <c r="D645" s="654">
        <f>PETHICS!C6</f>
        <v>20</v>
      </c>
      <c r="E645" s="653">
        <v>50</v>
      </c>
      <c r="F645" s="38">
        <f>PETHICS!E6</f>
        <v>3000</v>
      </c>
      <c r="G645" s="38">
        <f t="shared" si="29"/>
        <v>150000</v>
      </c>
      <c r="H645" s="76"/>
    </row>
    <row r="646" spans="1:8" x14ac:dyDescent="0.35">
      <c r="A646" s="35"/>
      <c r="B646" s="653">
        <f>PETHICS!A7</f>
        <v>304</v>
      </c>
      <c r="C646" s="653" t="str">
        <f>PETHICS!B7</f>
        <v>FERRIC SUCROSE COMPLEX INJ</v>
      </c>
      <c r="D646" s="654">
        <f>PETHICS!C7</f>
        <v>5</v>
      </c>
      <c r="E646" s="653">
        <v>25</v>
      </c>
      <c r="F646" s="38">
        <f>PETHICS!E7</f>
        <v>3200</v>
      </c>
      <c r="G646" s="38">
        <f t="shared" si="29"/>
        <v>80000</v>
      </c>
      <c r="H646" s="76"/>
    </row>
    <row r="647" spans="1:8" x14ac:dyDescent="0.35">
      <c r="A647" s="35"/>
      <c r="B647" s="653">
        <f>PETHICS!A8</f>
        <v>386</v>
      </c>
      <c r="C647" s="653" t="str">
        <f>PETHICS!B8</f>
        <v>HYDROXYPROGESTERONE INJ</v>
      </c>
      <c r="D647" s="654">
        <f>PETHICS!C8</f>
        <v>1</v>
      </c>
      <c r="E647" s="653">
        <v>12</v>
      </c>
      <c r="F647" s="38">
        <f>PETHICS!E8</f>
        <v>1500</v>
      </c>
      <c r="G647" s="38">
        <f t="shared" si="29"/>
        <v>18000</v>
      </c>
      <c r="H647" s="76"/>
    </row>
    <row r="648" spans="1:8" ht="23.25" x14ac:dyDescent="0.35">
      <c r="A648" s="35"/>
      <c r="B648" s="653">
        <f>PETHICS!A9</f>
        <v>322</v>
      </c>
      <c r="C648" s="653" t="str">
        <f>PETHICS!B9</f>
        <v>PLANT STEROLS/RESVERATROL/LYCOPEINE/ANTIOXIDANTS</v>
      </c>
      <c r="D648" s="654">
        <f>PETHICS!C9</f>
        <v>30</v>
      </c>
      <c r="E648" s="653">
        <v>13</v>
      </c>
      <c r="F648" s="38">
        <f>PETHICS!E9</f>
        <v>1350</v>
      </c>
      <c r="G648" s="38">
        <f t="shared" si="29"/>
        <v>17550</v>
      </c>
      <c r="H648" s="186">
        <f>SUM(G645:G648)</f>
        <v>265550</v>
      </c>
    </row>
    <row r="649" spans="1:8" x14ac:dyDescent="0.35">
      <c r="A649" s="35"/>
      <c r="B649" s="653"/>
      <c r="C649" s="653"/>
      <c r="D649" s="654"/>
      <c r="E649" s="653"/>
      <c r="F649" s="38"/>
      <c r="G649" s="38">
        <f t="shared" si="29"/>
        <v>0</v>
      </c>
      <c r="H649" s="76"/>
    </row>
    <row r="650" spans="1:8" x14ac:dyDescent="0.35">
      <c r="A650" s="35"/>
      <c r="B650" s="653"/>
      <c r="C650" s="653"/>
      <c r="D650" s="654"/>
      <c r="E650" s="653"/>
      <c r="F650" s="38"/>
      <c r="G650" s="38">
        <f t="shared" si="29"/>
        <v>0</v>
      </c>
      <c r="H650" s="76"/>
    </row>
    <row r="651" spans="1:8" ht="23.25" x14ac:dyDescent="0.35">
      <c r="A651" s="35">
        <v>36</v>
      </c>
      <c r="B651" s="653"/>
      <c r="C651" s="656" t="str">
        <f>PHILIPS!B1</f>
        <v>PHILIPS PHARMACEUTICALS NIGERIA LIMITED</v>
      </c>
      <c r="D651" s="654"/>
      <c r="E651" s="653"/>
      <c r="F651" s="38"/>
      <c r="G651" s="38">
        <f t="shared" si="29"/>
        <v>0</v>
      </c>
      <c r="H651" s="76"/>
    </row>
    <row r="652" spans="1:8" x14ac:dyDescent="0.35">
      <c r="A652" s="35"/>
      <c r="B652" s="653">
        <f>PHILIPS!A6</f>
        <v>417</v>
      </c>
      <c r="C652" s="653" t="str">
        <f>PHILIPS!B6</f>
        <v>ANTI-SNAKE VENOM INJ</v>
      </c>
      <c r="D652" s="654" t="str">
        <f>PHILIPS!C6</f>
        <v>VIAL</v>
      </c>
      <c r="E652" s="653">
        <v>6</v>
      </c>
      <c r="F652" s="38">
        <f>PHILIPS!E6</f>
        <v>25000</v>
      </c>
      <c r="G652" s="38">
        <f t="shared" si="29"/>
        <v>150000</v>
      </c>
      <c r="H652" s="76"/>
    </row>
    <row r="653" spans="1:8" x14ac:dyDescent="0.35">
      <c r="A653" s="35"/>
      <c r="B653" s="653">
        <f>PHILIPS!A7</f>
        <v>2</v>
      </c>
      <c r="C653" s="653" t="str">
        <f>PHILIPS!B7</f>
        <v>ARTEMETHER 80MG INJ</v>
      </c>
      <c r="D653" s="654">
        <f>PHILIPS!C7</f>
        <v>6</v>
      </c>
      <c r="E653" s="653">
        <v>100</v>
      </c>
      <c r="F653" s="38">
        <f>PHILIPS!E7</f>
        <v>200</v>
      </c>
      <c r="G653" s="38">
        <f t="shared" si="29"/>
        <v>20000</v>
      </c>
      <c r="H653" s="76"/>
    </row>
    <row r="654" spans="1:8" x14ac:dyDescent="0.35">
      <c r="A654" s="35"/>
      <c r="B654" s="653">
        <f>PHILIPS!A8</f>
        <v>216</v>
      </c>
      <c r="C654" s="653" t="str">
        <f>PHILIPS!B8</f>
        <v>AZITHROMYCIN 500MG</v>
      </c>
      <c r="D654" s="654">
        <f>PHILIPS!C8</f>
        <v>10</v>
      </c>
      <c r="E654" s="653">
        <v>125</v>
      </c>
      <c r="F654" s="38">
        <f>PHILIPS!E8</f>
        <v>300</v>
      </c>
      <c r="G654" s="38">
        <f t="shared" si="29"/>
        <v>37500</v>
      </c>
      <c r="H654" s="76"/>
    </row>
    <row r="655" spans="1:8" ht="23.25" x14ac:dyDescent="0.35">
      <c r="A655" s="35"/>
      <c r="B655" s="653">
        <f>PHILIPS!A9</f>
        <v>231</v>
      </c>
      <c r="C655" s="653" t="str">
        <f>PHILIPS!B9</f>
        <v>CEFUROXIME 500MG TAB</v>
      </c>
      <c r="D655" s="654">
        <f>PHILIPS!C9</f>
        <v>10</v>
      </c>
      <c r="E655" s="653">
        <v>500</v>
      </c>
      <c r="F655" s="38">
        <f>PHILIPS!E9</f>
        <v>750</v>
      </c>
      <c r="G655" s="38">
        <f t="shared" si="29"/>
        <v>375000</v>
      </c>
      <c r="H655" s="186"/>
    </row>
    <row r="656" spans="1:8" x14ac:dyDescent="0.35">
      <c r="A656" s="35"/>
      <c r="B656" s="653">
        <f>PHILIPS!A10</f>
        <v>57</v>
      </c>
      <c r="C656" s="653" t="str">
        <f>PHILIPS!B10</f>
        <v>CLOPIDOGREL 75MG TAB</v>
      </c>
      <c r="D656" s="654">
        <f>PHILIPS!C10</f>
        <v>30</v>
      </c>
      <c r="E656" s="653">
        <v>500</v>
      </c>
      <c r="F656" s="38">
        <f>PHILIPS!E10</f>
        <v>690</v>
      </c>
      <c r="G656" s="38">
        <f t="shared" si="29"/>
        <v>345000</v>
      </c>
      <c r="H656" s="76"/>
    </row>
    <row r="657" spans="1:8" x14ac:dyDescent="0.35">
      <c r="A657" s="35"/>
      <c r="B657" s="653">
        <f>PHILIPS!A11</f>
        <v>150</v>
      </c>
      <c r="C657" s="653" t="str">
        <f>PHILIPS!B11</f>
        <v>DEXKETOPROFEN 25MG</v>
      </c>
      <c r="D657" s="654">
        <f>PHILIPS!C11</f>
        <v>20</v>
      </c>
      <c r="E657" s="653">
        <v>300</v>
      </c>
      <c r="F657" s="38">
        <f>PHILIPS!E11</f>
        <v>2100</v>
      </c>
      <c r="G657" s="38">
        <f t="shared" si="29"/>
        <v>630000</v>
      </c>
      <c r="H657" s="76"/>
    </row>
    <row r="658" spans="1:8" x14ac:dyDescent="0.35">
      <c r="A658" s="35"/>
      <c r="B658" s="653">
        <f>PHILIPS!A12</f>
        <v>166</v>
      </c>
      <c r="C658" s="653" t="str">
        <f>PHILIPS!B12</f>
        <v>KETOPROFEN 2.5% GEL 100G</v>
      </c>
      <c r="D658" s="654" t="str">
        <f>PHILIPS!C12</f>
        <v>TUBE</v>
      </c>
      <c r="E658" s="653">
        <v>50</v>
      </c>
      <c r="F658" s="38">
        <f>PHILIPS!E12</f>
        <v>2950</v>
      </c>
      <c r="G658" s="38">
        <f t="shared" si="29"/>
        <v>147500</v>
      </c>
      <c r="H658" s="76"/>
    </row>
    <row r="659" spans="1:8" x14ac:dyDescent="0.35">
      <c r="A659" s="35"/>
      <c r="B659" s="653">
        <f>PHILIPS!A13</f>
        <v>165</v>
      </c>
      <c r="C659" s="653" t="str">
        <f>PHILIPS!B13</f>
        <v>KETOPROFEN 2.5% GEL 10G</v>
      </c>
      <c r="D659" s="654" t="str">
        <f>PHILIPS!C13</f>
        <v>TUBE</v>
      </c>
      <c r="E659" s="653">
        <v>150</v>
      </c>
      <c r="F659" s="38">
        <f>PHILIPS!E13</f>
        <v>500</v>
      </c>
      <c r="G659" s="38">
        <f t="shared" si="29"/>
        <v>75000</v>
      </c>
      <c r="H659" s="76"/>
    </row>
    <row r="660" spans="1:8" x14ac:dyDescent="0.35">
      <c r="A660" s="35"/>
      <c r="B660" s="653">
        <f>PHILIPS!A14</f>
        <v>164</v>
      </c>
      <c r="C660" s="653" t="str">
        <f>PHILIPS!B14</f>
        <v>KETOPROFEN 2.5% GEL 50G</v>
      </c>
      <c r="D660" s="654" t="str">
        <f>PHILIPS!C14</f>
        <v>TUBE</v>
      </c>
      <c r="E660" s="653">
        <v>300</v>
      </c>
      <c r="F660" s="38">
        <f>PHILIPS!E14</f>
        <v>1450</v>
      </c>
      <c r="G660" s="38">
        <f t="shared" si="29"/>
        <v>435000</v>
      </c>
      <c r="H660" s="76"/>
    </row>
    <row r="661" spans="1:8" x14ac:dyDescent="0.35">
      <c r="A661" s="35"/>
      <c r="B661" s="653">
        <f>PHILIPS!A15</f>
        <v>435</v>
      </c>
      <c r="C661" s="653" t="str">
        <f>PHILIPS!B15</f>
        <v>MAGNESIUM HYDROXIDE/ALUMINIUM HYDROXIDE+ DIMETHICONE SUSP</v>
      </c>
      <c r="D661" s="654" t="str">
        <f>PHILIPS!C15</f>
        <v>BOTT</v>
      </c>
      <c r="E661" s="653">
        <v>250</v>
      </c>
      <c r="F661" s="38">
        <f>PHILIPS!E15</f>
        <v>490</v>
      </c>
      <c r="G661" s="38">
        <f t="shared" si="29"/>
        <v>122500</v>
      </c>
      <c r="H661" s="76"/>
    </row>
    <row r="662" spans="1:8" x14ac:dyDescent="0.35">
      <c r="A662" s="35"/>
      <c r="B662" s="653">
        <f>PHILIPS!A16</f>
        <v>188</v>
      </c>
      <c r="C662" s="653" t="str">
        <f>PHILIPS!B16</f>
        <v>PREGABALIN 75MG CAP</v>
      </c>
      <c r="D662" s="654">
        <f>PHILIPS!C16</f>
        <v>30</v>
      </c>
      <c r="E662" s="653">
        <v>420</v>
      </c>
      <c r="F662" s="38">
        <f>PHILIPS!E16</f>
        <v>1950</v>
      </c>
      <c r="G662" s="38">
        <f t="shared" si="29"/>
        <v>819000</v>
      </c>
      <c r="H662" s="76"/>
    </row>
    <row r="663" spans="1:8" x14ac:dyDescent="0.35">
      <c r="A663" s="35"/>
      <c r="B663" s="653">
        <f>PHILIPS!A17</f>
        <v>421</v>
      </c>
      <c r="C663" s="653" t="str">
        <f>PHILIPS!B17</f>
        <v>RABBIES VACCINE INJ</v>
      </c>
      <c r="D663" s="654" t="str">
        <f>PHILIPS!C17</f>
        <v>VIAL</v>
      </c>
      <c r="E663" s="653">
        <v>30</v>
      </c>
      <c r="F663" s="38">
        <f>PHILIPS!E17</f>
        <v>4400</v>
      </c>
      <c r="G663" s="38">
        <f t="shared" si="29"/>
        <v>132000</v>
      </c>
      <c r="H663" s="76"/>
    </row>
    <row r="664" spans="1:8" x14ac:dyDescent="0.35">
      <c r="A664" s="35"/>
      <c r="B664" s="653">
        <f>PHILIPS!A18</f>
        <v>452</v>
      </c>
      <c r="C664" s="653" t="str">
        <f>PHILIPS!B18</f>
        <v>SACCHAROMYCES BOULARDII 250mg</v>
      </c>
      <c r="D664" s="654">
        <f>PHILIPS!C18</f>
        <v>10</v>
      </c>
      <c r="E664" s="653">
        <v>100</v>
      </c>
      <c r="F664" s="38">
        <f>PHILIPS!E18</f>
        <v>3500</v>
      </c>
      <c r="G664" s="38">
        <f t="shared" si="29"/>
        <v>350000</v>
      </c>
      <c r="H664" s="76"/>
    </row>
    <row r="665" spans="1:8" ht="23.25" x14ac:dyDescent="0.35">
      <c r="A665" s="35"/>
      <c r="B665" s="653">
        <f>PHILIPS!A19</f>
        <v>107</v>
      </c>
      <c r="C665" s="653" t="str">
        <f>PHILIPS!B19</f>
        <v>TELMISARTAN 80MG TAB</v>
      </c>
      <c r="D665" s="654">
        <f>PHILIPS!C19</f>
        <v>30</v>
      </c>
      <c r="E665" s="653">
        <v>7</v>
      </c>
      <c r="F665" s="38">
        <f>PHILIPS!E19</f>
        <v>2500</v>
      </c>
      <c r="G665" s="38">
        <f t="shared" si="29"/>
        <v>17500</v>
      </c>
      <c r="H665" s="186"/>
    </row>
    <row r="666" spans="1:8" ht="23.25" x14ac:dyDescent="0.35">
      <c r="A666" s="35"/>
      <c r="B666" s="653">
        <f>PHILIPS!A20</f>
        <v>453</v>
      </c>
      <c r="C666" s="653" t="str">
        <f>PHILIPS!B20</f>
        <v>UNIENZYME TAB</v>
      </c>
      <c r="D666" s="654">
        <f>PHILIPS!C20</f>
        <v>20</v>
      </c>
      <c r="E666" s="653">
        <v>125</v>
      </c>
      <c r="F666" s="38">
        <f>PHILIPS!E20</f>
        <v>735</v>
      </c>
      <c r="G666" s="38">
        <f t="shared" si="29"/>
        <v>91875</v>
      </c>
      <c r="H666" s="186">
        <f>SUM(G652:G666)</f>
        <v>3747875</v>
      </c>
    </row>
    <row r="667" spans="1:8" x14ac:dyDescent="0.35">
      <c r="A667" s="35"/>
      <c r="B667" s="653"/>
      <c r="C667" s="653"/>
      <c r="D667" s="654"/>
      <c r="E667" s="653"/>
      <c r="F667" s="38"/>
      <c r="G667" s="38">
        <f t="shared" si="29"/>
        <v>0</v>
      </c>
      <c r="H667" s="76"/>
    </row>
    <row r="668" spans="1:8" x14ac:dyDescent="0.35">
      <c r="A668" s="35"/>
      <c r="B668" s="653"/>
      <c r="C668" s="653"/>
      <c r="D668" s="654"/>
      <c r="E668" s="653"/>
      <c r="F668" s="38"/>
      <c r="G668" s="38">
        <f t="shared" si="29"/>
        <v>0</v>
      </c>
      <c r="H668" s="76"/>
    </row>
    <row r="669" spans="1:8" ht="23.25" x14ac:dyDescent="0.35">
      <c r="A669" s="35">
        <v>37</v>
      </c>
      <c r="B669" s="653"/>
      <c r="C669" s="656" t="str">
        <f>RANBAXY!B1</f>
        <v>RANBAXY NIGERIA LIMITED</v>
      </c>
      <c r="D669" s="654"/>
      <c r="E669" s="653"/>
      <c r="F669" s="38"/>
      <c r="G669" s="38">
        <f t="shared" si="29"/>
        <v>0</v>
      </c>
      <c r="H669" s="76"/>
    </row>
    <row r="670" spans="1:8" x14ac:dyDescent="0.35">
      <c r="A670" s="35"/>
      <c r="B670" s="653">
        <f>RANBAXY!A6</f>
        <v>41</v>
      </c>
      <c r="C670" s="653" t="str">
        <f>RANBAXY!B6</f>
        <v>AMLODIPINE/VALSARTAN 10/160MG TAB</v>
      </c>
      <c r="D670" s="654">
        <f>RANBAXY!C6</f>
        <v>28</v>
      </c>
      <c r="E670" s="653">
        <v>15</v>
      </c>
      <c r="F670" s="38">
        <f>RANBAXY!E6</f>
        <v>2214</v>
      </c>
      <c r="G670" s="38">
        <f t="shared" si="29"/>
        <v>33210</v>
      </c>
      <c r="H670" s="76"/>
    </row>
    <row r="671" spans="1:8" x14ac:dyDescent="0.35">
      <c r="A671" s="35"/>
      <c r="B671" s="653">
        <f>RANBAXY!A7</f>
        <v>40</v>
      </c>
      <c r="C671" s="653" t="str">
        <f>RANBAXY!B7</f>
        <v>AMLODIPINE/VALSARTAN 5/160MG TAB</v>
      </c>
      <c r="D671" s="654">
        <f>RANBAXY!C7</f>
        <v>28</v>
      </c>
      <c r="E671" s="653">
        <v>15</v>
      </c>
      <c r="F671" s="38">
        <f>RANBAXY!E7</f>
        <v>2099</v>
      </c>
      <c r="G671" s="38">
        <f t="shared" si="29"/>
        <v>31485</v>
      </c>
      <c r="H671" s="76"/>
    </row>
    <row r="672" spans="1:8" x14ac:dyDescent="0.35">
      <c r="A672" s="35"/>
      <c r="B672" s="653">
        <f>RANBAXY!A8</f>
        <v>204</v>
      </c>
      <c r="C672" s="653" t="str">
        <f>RANBAXY!B8</f>
        <v>AMOXICILLIN/CLAVULANIC ACID 1.2G INJ</v>
      </c>
      <c r="D672" s="654" t="str">
        <f>RANBAXY!C8</f>
        <v>VIAL</v>
      </c>
      <c r="E672" s="653">
        <v>600</v>
      </c>
      <c r="F672" s="38">
        <f>RANBAXY!E8</f>
        <v>552</v>
      </c>
      <c r="G672" s="38">
        <f t="shared" si="29"/>
        <v>331200</v>
      </c>
      <c r="H672" s="76"/>
    </row>
    <row r="673" spans="1:8" x14ac:dyDescent="0.35">
      <c r="A673" s="35"/>
      <c r="B673" s="653">
        <f>RANBAXY!A9</f>
        <v>206</v>
      </c>
      <c r="C673" s="653" t="str">
        <f>RANBAXY!B9</f>
        <v>AMOXICILLIN/CLAVULANIC ACID 375MG TAB</v>
      </c>
      <c r="D673" s="654">
        <f>RANBAXY!C9</f>
        <v>20</v>
      </c>
      <c r="E673" s="653">
        <v>150</v>
      </c>
      <c r="F673" s="38">
        <f>RANBAXY!E9</f>
        <v>748</v>
      </c>
      <c r="G673" s="38">
        <f t="shared" si="29"/>
        <v>112200</v>
      </c>
      <c r="H673" s="76"/>
    </row>
    <row r="674" spans="1:8" x14ac:dyDescent="0.35">
      <c r="A674" s="35"/>
      <c r="B674" s="653">
        <f>RANBAXY!A10</f>
        <v>9</v>
      </c>
      <c r="C674" s="653" t="str">
        <f>RANBAXY!B10</f>
        <v>ARTEROLANE/PIPERAQUINE</v>
      </c>
      <c r="D674" s="654">
        <f>RANBAXY!C10</f>
        <v>10</v>
      </c>
      <c r="E674" s="653">
        <v>5</v>
      </c>
      <c r="F674" s="38">
        <f>RANBAXY!E10</f>
        <v>8650</v>
      </c>
      <c r="G674" s="38">
        <f t="shared" si="29"/>
        <v>43250</v>
      </c>
      <c r="H674" s="76"/>
    </row>
    <row r="675" spans="1:8" x14ac:dyDescent="0.35">
      <c r="A675" s="35"/>
      <c r="B675" s="653">
        <f>RANBAXY!A11</f>
        <v>263</v>
      </c>
      <c r="C675" s="653" t="str">
        <f>RANBAXY!B11</f>
        <v>MEROPENEM 1GM INJ</v>
      </c>
      <c r="D675" s="654" t="str">
        <f>RANBAXY!C11</f>
        <v>VIAL</v>
      </c>
      <c r="E675" s="653">
        <v>200</v>
      </c>
      <c r="F675" s="38">
        <f>RANBAXY!E11</f>
        <v>3910</v>
      </c>
      <c r="G675" s="38">
        <f t="shared" si="29"/>
        <v>782000</v>
      </c>
      <c r="H675" s="76"/>
    </row>
    <row r="676" spans="1:8" x14ac:dyDescent="0.35">
      <c r="A676" s="35"/>
      <c r="B676" s="653">
        <f>RANBAXY!A12</f>
        <v>184</v>
      </c>
      <c r="C676" s="653" t="str">
        <f>RANBAXY!B12</f>
        <v>PENTAZOCIN 30MG INJ</v>
      </c>
      <c r="D676" s="654">
        <f>RANBAXY!C12</f>
        <v>100</v>
      </c>
      <c r="E676" s="653">
        <v>21</v>
      </c>
      <c r="F676" s="38">
        <f>RANBAXY!E12</f>
        <v>10350</v>
      </c>
      <c r="G676" s="38">
        <f t="shared" si="29"/>
        <v>217350</v>
      </c>
      <c r="H676" s="76"/>
    </row>
    <row r="677" spans="1:8" x14ac:dyDescent="0.35">
      <c r="A677" s="35"/>
      <c r="B677" s="653">
        <f>RANBAXY!A13</f>
        <v>98</v>
      </c>
      <c r="C677" s="653" t="str">
        <f>RANBAXY!B13</f>
        <v>ROSUVASTATIN 10MG</v>
      </c>
      <c r="D677" s="654">
        <f>RANBAXY!C13</f>
        <v>28</v>
      </c>
      <c r="E677" s="653">
        <v>150</v>
      </c>
      <c r="F677" s="38">
        <f>RANBAXY!E13</f>
        <v>805</v>
      </c>
      <c r="G677" s="38">
        <f t="shared" si="29"/>
        <v>120750</v>
      </c>
      <c r="H677" s="76"/>
    </row>
    <row r="678" spans="1:8" x14ac:dyDescent="0.35">
      <c r="A678" s="35"/>
      <c r="B678" s="653">
        <f>RANBAXY!A14</f>
        <v>99</v>
      </c>
      <c r="C678" s="653" t="str">
        <f>RANBAXY!B14</f>
        <v xml:space="preserve">ROSUVASTATIN 20MG </v>
      </c>
      <c r="D678" s="654">
        <f>RANBAXY!C14</f>
        <v>28</v>
      </c>
      <c r="E678" s="653">
        <v>30</v>
      </c>
      <c r="F678" s="38">
        <f>RANBAXY!E14</f>
        <v>1035</v>
      </c>
      <c r="G678" s="38">
        <f t="shared" si="29"/>
        <v>31050</v>
      </c>
      <c r="H678" s="76"/>
    </row>
    <row r="679" spans="1:8" ht="23.25" x14ac:dyDescent="0.35">
      <c r="A679" s="35"/>
      <c r="B679" s="653">
        <f>RANBAXY!A15</f>
        <v>701</v>
      </c>
      <c r="C679" s="653" t="str">
        <f>RANBAXY!B15</f>
        <v>TOLTERODINE 2MG</v>
      </c>
      <c r="D679" s="654">
        <f>RANBAXY!C15</f>
        <v>10</v>
      </c>
      <c r="E679" s="653">
        <v>15</v>
      </c>
      <c r="F679" s="38">
        <f>RANBAXY!E15</f>
        <v>1656</v>
      </c>
      <c r="G679" s="38">
        <f t="shared" si="29"/>
        <v>24840</v>
      </c>
      <c r="H679" s="186"/>
    </row>
    <row r="680" spans="1:8" ht="23.25" x14ac:dyDescent="0.35">
      <c r="A680" s="35"/>
      <c r="B680" s="653">
        <f>RANBAXY!A16</f>
        <v>116</v>
      </c>
      <c r="C680" s="653" t="str">
        <f>RANBAXY!B16</f>
        <v>VARSALTAN/HYDROCHLOROTHIAZIDE 160/12.5MG</v>
      </c>
      <c r="D680" s="654">
        <f>RANBAXY!C16</f>
        <v>28</v>
      </c>
      <c r="E680" s="653">
        <v>3</v>
      </c>
      <c r="F680" s="38">
        <f>RANBAXY!E16</f>
        <v>2039.3333333333333</v>
      </c>
      <c r="G680" s="38">
        <f t="shared" si="29"/>
        <v>6118</v>
      </c>
      <c r="H680" s="186">
        <f>SUM(G670:G680)</f>
        <v>1733453</v>
      </c>
    </row>
    <row r="681" spans="1:8" x14ac:dyDescent="0.35">
      <c r="A681" s="35"/>
      <c r="B681" s="653"/>
      <c r="C681" s="653"/>
      <c r="D681" s="654"/>
      <c r="E681" s="653"/>
      <c r="F681" s="38"/>
      <c r="G681" s="38">
        <f t="shared" si="29"/>
        <v>0</v>
      </c>
      <c r="H681" s="76"/>
    </row>
    <row r="682" spans="1:8" x14ac:dyDescent="0.35">
      <c r="A682" s="35"/>
      <c r="B682" s="653"/>
      <c r="C682" s="653"/>
      <c r="D682" s="654"/>
      <c r="E682" s="653"/>
      <c r="F682" s="38"/>
      <c r="G682" s="38">
        <f t="shared" si="29"/>
        <v>0</v>
      </c>
      <c r="H682" s="76"/>
    </row>
    <row r="683" spans="1:8" ht="23.25" x14ac:dyDescent="0.35">
      <c r="A683" s="35">
        <v>38</v>
      </c>
      <c r="B683" s="35"/>
      <c r="C683" s="77" t="str">
        <f>ROYAL!B1</f>
        <v>ROYAL PRIESTHOOD LABORATORIES LIMITED</v>
      </c>
      <c r="D683" s="668"/>
      <c r="E683" s="35"/>
      <c r="F683" s="38"/>
      <c r="G683" s="38">
        <f t="shared" si="29"/>
        <v>0</v>
      </c>
      <c r="H683" s="76"/>
    </row>
    <row r="684" spans="1:8" x14ac:dyDescent="0.35">
      <c r="A684" s="35"/>
      <c r="B684" s="653">
        <f>ROYAL!A6</f>
        <v>670</v>
      </c>
      <c r="C684" s="653" t="str">
        <f>ROYAL!B6</f>
        <v>CHLORHEXIDINE GLUCONATE 4% (HIBISCRUB)</v>
      </c>
      <c r="D684" s="654" t="str">
        <f>ROYAL!C6</f>
        <v>500ML</v>
      </c>
      <c r="E684" s="653">
        <v>32</v>
      </c>
      <c r="F684" s="38">
        <f>ROYAL!E6</f>
        <v>7500</v>
      </c>
      <c r="G684" s="38">
        <f t="shared" si="29"/>
        <v>240000</v>
      </c>
      <c r="H684" s="76"/>
    </row>
    <row r="685" spans="1:8" x14ac:dyDescent="0.35">
      <c r="A685" s="35"/>
      <c r="B685" s="653">
        <f>ROYAL!A7</f>
        <v>672</v>
      </c>
      <c r="C685" s="653" t="str">
        <f>ROYAL!B7</f>
        <v>CHLORHEXIDINE GLUCONATE+CETRIMIDE LOTION 100ML  (VALON)</v>
      </c>
      <c r="D685" s="654" t="str">
        <f>ROYAL!C7</f>
        <v>BOTT</v>
      </c>
      <c r="E685" s="653">
        <v>650</v>
      </c>
      <c r="F685" s="38">
        <f>ROYAL!E7</f>
        <v>200</v>
      </c>
      <c r="G685" s="38">
        <f t="shared" si="29"/>
        <v>130000</v>
      </c>
      <c r="H685" s="76"/>
    </row>
    <row r="686" spans="1:8" x14ac:dyDescent="0.35">
      <c r="A686" s="35"/>
      <c r="B686" s="653">
        <f>ROYAL!A8</f>
        <v>673</v>
      </c>
      <c r="C686" s="653" t="str">
        <f>ROYAL!B8</f>
        <v xml:space="preserve">CHLORHEXIDINE GLUCONATE+CETRIMIDE LOTION 4L </v>
      </c>
      <c r="D686" s="654">
        <f>ROYAL!C8</f>
        <v>1</v>
      </c>
      <c r="E686" s="653">
        <v>15</v>
      </c>
      <c r="F686" s="38">
        <f>ROYAL!E8</f>
        <v>2500</v>
      </c>
      <c r="G686" s="38">
        <f t="shared" si="29"/>
        <v>37500</v>
      </c>
      <c r="H686" s="76"/>
    </row>
    <row r="687" spans="1:8" x14ac:dyDescent="0.35">
      <c r="A687" s="35"/>
      <c r="B687" s="653">
        <f>ROYAL!A9</f>
        <v>678</v>
      </c>
      <c r="C687" s="653" t="str">
        <f>ROYAL!B9</f>
        <v>METHYLATED SPIRIT B.P 100ML</v>
      </c>
      <c r="D687" s="654" t="str">
        <f>ROYAL!C9</f>
        <v>BOTT</v>
      </c>
      <c r="E687" s="653">
        <v>5000</v>
      </c>
      <c r="F687" s="38">
        <f>ROYAL!E9</f>
        <v>120</v>
      </c>
      <c r="G687" s="38">
        <f t="shared" si="29"/>
        <v>600000</v>
      </c>
      <c r="H687" s="76"/>
    </row>
    <row r="688" spans="1:8" ht="23.25" x14ac:dyDescent="0.35">
      <c r="A688" s="35"/>
      <c r="B688" s="653">
        <f>ROYAL!A10</f>
        <v>679</v>
      </c>
      <c r="C688" s="653" t="str">
        <f>ROYAL!B10</f>
        <v>METHYLATED SPIRIT B.P 2L</v>
      </c>
      <c r="D688" s="654">
        <f>ROYAL!C10</f>
        <v>1</v>
      </c>
      <c r="E688" s="653">
        <v>110</v>
      </c>
      <c r="F688" s="38">
        <f>ROYAL!E10</f>
        <v>1100</v>
      </c>
      <c r="G688" s="38">
        <f t="shared" si="29"/>
        <v>121000</v>
      </c>
      <c r="H688" s="186"/>
    </row>
    <row r="689" spans="1:8" ht="23.25" x14ac:dyDescent="0.35">
      <c r="A689" s="35"/>
      <c r="B689" s="653">
        <f>ROYAL!A11</f>
        <v>683</v>
      </c>
      <c r="C689" s="653" t="str">
        <f>ROYAL!B11</f>
        <v xml:space="preserve">SODIUM HYPOCHLORITE SOLUTION 3.5%W/V </v>
      </c>
      <c r="D689" s="654">
        <f>ROYAL!C11</f>
        <v>12</v>
      </c>
      <c r="E689" s="653">
        <v>250</v>
      </c>
      <c r="F689" s="38">
        <f>ROYAL!E11</f>
        <v>4500</v>
      </c>
      <c r="G689" s="38">
        <f t="shared" si="29"/>
        <v>1125000</v>
      </c>
      <c r="H689" s="186">
        <f>SUM(G684:G689)</f>
        <v>2253500</v>
      </c>
    </row>
    <row r="690" spans="1:8" x14ac:dyDescent="0.35">
      <c r="A690" s="35"/>
      <c r="B690" s="653"/>
      <c r="C690" s="653"/>
      <c r="D690" s="654"/>
      <c r="E690" s="653"/>
      <c r="F690" s="38"/>
      <c r="G690" s="38">
        <f t="shared" si="29"/>
        <v>0</v>
      </c>
      <c r="H690" s="76"/>
    </row>
    <row r="691" spans="1:8" x14ac:dyDescent="0.35">
      <c r="A691" s="35"/>
      <c r="B691" s="653"/>
      <c r="C691" s="653"/>
      <c r="D691" s="654"/>
      <c r="E691" s="653"/>
      <c r="F691" s="38"/>
      <c r="G691" s="38">
        <f t="shared" si="29"/>
        <v>0</v>
      </c>
      <c r="H691" s="76"/>
    </row>
    <row r="692" spans="1:8" ht="23.25" x14ac:dyDescent="0.35">
      <c r="A692" s="35">
        <v>39</v>
      </c>
      <c r="B692" s="653"/>
      <c r="C692" s="656" t="str">
        <f>SAM!B1</f>
        <v>SAM PHARMACEUTICALS LIMITED</v>
      </c>
      <c r="D692" s="654"/>
      <c r="E692" s="653"/>
      <c r="F692" s="38"/>
      <c r="G692" s="38">
        <f t="shared" si="29"/>
        <v>0</v>
      </c>
      <c r="H692" s="76"/>
    </row>
    <row r="693" spans="1:8" x14ac:dyDescent="0.35">
      <c r="A693" s="35"/>
      <c r="B693" s="653">
        <f>SAM!A6</f>
        <v>6</v>
      </c>
      <c r="C693" s="653" t="str">
        <f>SAM!B6</f>
        <v>ARTEMETHER/LUMEFANTRINE (20/120) TAB</v>
      </c>
      <c r="D693" s="654">
        <f>SAM!C6</f>
        <v>24</v>
      </c>
      <c r="E693" s="653">
        <v>2500</v>
      </c>
      <c r="F693" s="38">
        <f>SAM!E6</f>
        <v>210</v>
      </c>
      <c r="G693" s="38">
        <f t="shared" ref="G693:G756" si="30">E693*F693</f>
        <v>525000</v>
      </c>
      <c r="H693" s="76"/>
    </row>
    <row r="694" spans="1:8" x14ac:dyDescent="0.35">
      <c r="A694" s="35"/>
      <c r="B694" s="653">
        <f>SAM!A7</f>
        <v>223</v>
      </c>
      <c r="C694" s="653" t="str">
        <f>SAM!B7</f>
        <v>CEFIXIME SUSPENSION</v>
      </c>
      <c r="D694" s="654" t="str">
        <f>SAM!C7</f>
        <v>BOTT</v>
      </c>
      <c r="E694" s="653">
        <v>15</v>
      </c>
      <c r="F694" s="38">
        <f>SAM!E7</f>
        <v>730</v>
      </c>
      <c r="G694" s="38">
        <f t="shared" si="30"/>
        <v>10950</v>
      </c>
      <c r="H694" s="76"/>
    </row>
    <row r="695" spans="1:8" x14ac:dyDescent="0.35">
      <c r="A695" s="35"/>
      <c r="B695" s="653">
        <f>SAM!A8</f>
        <v>426</v>
      </c>
      <c r="C695" s="653" t="str">
        <f>SAM!B8</f>
        <v>CIMETIDINE 200MG TAB</v>
      </c>
      <c r="D695" s="654">
        <f>SAM!C8</f>
        <v>100</v>
      </c>
      <c r="E695" s="653">
        <v>5</v>
      </c>
      <c r="F695" s="38">
        <f>SAM!E8</f>
        <v>600</v>
      </c>
      <c r="G695" s="38">
        <f t="shared" si="30"/>
        <v>3000</v>
      </c>
      <c r="H695" s="76"/>
    </row>
    <row r="696" spans="1:8" x14ac:dyDescent="0.35">
      <c r="A696" s="35"/>
      <c r="B696" s="653">
        <f>SAM!A9</f>
        <v>236</v>
      </c>
      <c r="C696" s="653" t="str">
        <f>SAM!B9</f>
        <v>CIPROFLOXACIN 500MG TAB</v>
      </c>
      <c r="D696" s="654">
        <f>SAM!C9</f>
        <v>10</v>
      </c>
      <c r="E696" s="653">
        <v>1200</v>
      </c>
      <c r="F696" s="38">
        <f>SAM!E9</f>
        <v>149</v>
      </c>
      <c r="G696" s="38">
        <f t="shared" si="30"/>
        <v>178800</v>
      </c>
      <c r="H696" s="76"/>
    </row>
    <row r="697" spans="1:8" x14ac:dyDescent="0.35">
      <c r="A697" s="35"/>
      <c r="B697" s="653">
        <f>SAM!A10</f>
        <v>151</v>
      </c>
      <c r="C697" s="653" t="str">
        <f>SAM!B10</f>
        <v>DICLOFENAC 50MG TAB</v>
      </c>
      <c r="D697" s="654">
        <f>SAM!C10</f>
        <v>100</v>
      </c>
      <c r="E697" s="653">
        <v>250</v>
      </c>
      <c r="F697" s="38">
        <f>SAM!E10</f>
        <v>295</v>
      </c>
      <c r="G697" s="38">
        <f t="shared" si="30"/>
        <v>73750</v>
      </c>
      <c r="H697" s="76"/>
    </row>
    <row r="698" spans="1:8" x14ac:dyDescent="0.35">
      <c r="A698" s="35"/>
      <c r="B698" s="653">
        <f>SAM!A11</f>
        <v>306</v>
      </c>
      <c r="C698" s="653" t="str">
        <f>SAM!B11</f>
        <v>FERROUS SULPHATE/FOLIC ACID</v>
      </c>
      <c r="D698" s="654">
        <f>SAM!C11</f>
        <v>30</v>
      </c>
      <c r="E698" s="653">
        <v>500</v>
      </c>
      <c r="F698" s="38">
        <f>SAM!E11</f>
        <v>195</v>
      </c>
      <c r="G698" s="38">
        <f t="shared" si="30"/>
        <v>97500</v>
      </c>
      <c r="H698" s="76"/>
    </row>
    <row r="699" spans="1:8" x14ac:dyDescent="0.35">
      <c r="A699" s="35"/>
      <c r="B699" s="653">
        <f>SAM!A12</f>
        <v>75</v>
      </c>
      <c r="C699" s="653" t="str">
        <f>SAM!B12</f>
        <v>LISINOPRIL 10MG</v>
      </c>
      <c r="D699" s="654">
        <f>SAM!C12</f>
        <v>28</v>
      </c>
      <c r="E699" s="653">
        <v>600</v>
      </c>
      <c r="F699" s="38">
        <f>SAM!E12</f>
        <v>260</v>
      </c>
      <c r="G699" s="38">
        <f t="shared" si="30"/>
        <v>156000</v>
      </c>
      <c r="H699" s="76"/>
    </row>
    <row r="700" spans="1:8" x14ac:dyDescent="0.35">
      <c r="A700" s="35"/>
      <c r="B700" s="653">
        <f>SAM!A13</f>
        <v>76</v>
      </c>
      <c r="C700" s="653" t="str">
        <f>SAM!B13</f>
        <v>LISINOPRIL 5MG</v>
      </c>
      <c r="D700" s="654">
        <f>SAM!C13</f>
        <v>28</v>
      </c>
      <c r="E700" s="653">
        <v>375</v>
      </c>
      <c r="F700" s="38">
        <f>SAM!E13</f>
        <v>240</v>
      </c>
      <c r="G700" s="38">
        <f t="shared" si="30"/>
        <v>90000</v>
      </c>
      <c r="H700" s="76"/>
    </row>
    <row r="701" spans="1:8" x14ac:dyDescent="0.35">
      <c r="A701" s="35"/>
      <c r="B701" s="653">
        <f>SAM!A14</f>
        <v>435</v>
      </c>
      <c r="C701" s="653" t="str">
        <f>SAM!B14</f>
        <v>MAGNESIUM HYDROXIDE/ALUMINIUM HYDROXIDE+ DIMETHICONE SUSP</v>
      </c>
      <c r="D701" s="654" t="str">
        <f>SAM!C14</f>
        <v>BOTT</v>
      </c>
      <c r="E701" s="653">
        <v>250</v>
      </c>
      <c r="F701" s="38">
        <f>SAM!E14</f>
        <v>465</v>
      </c>
      <c r="G701" s="38">
        <f t="shared" si="30"/>
        <v>116250</v>
      </c>
      <c r="H701" s="76"/>
    </row>
    <row r="702" spans="1:8" x14ac:dyDescent="0.35">
      <c r="A702" s="35"/>
      <c r="B702" s="653">
        <f>SAM!A15</f>
        <v>80</v>
      </c>
      <c r="C702" s="653" t="str">
        <f>SAM!B15</f>
        <v>METHYL-DOPA 250MG TAB</v>
      </c>
      <c r="D702" s="654">
        <f>SAM!C15</f>
        <v>100</v>
      </c>
      <c r="E702" s="653">
        <v>200</v>
      </c>
      <c r="F702" s="38">
        <f>SAM!E15</f>
        <v>1390</v>
      </c>
      <c r="G702" s="38">
        <f t="shared" si="30"/>
        <v>278000</v>
      </c>
      <c r="H702" s="76"/>
    </row>
    <row r="703" spans="1:8" x14ac:dyDescent="0.35">
      <c r="A703" s="35"/>
      <c r="B703" s="653">
        <f>SAM!A16</f>
        <v>182</v>
      </c>
      <c r="C703" s="653" t="str">
        <f>SAM!B16</f>
        <v>PARACETAMOL INFUSION</v>
      </c>
      <c r="D703" s="654" t="str">
        <f>SAM!C16</f>
        <v>BOTT</v>
      </c>
      <c r="E703" s="653">
        <v>3750</v>
      </c>
      <c r="F703" s="38">
        <f>SAM!E16</f>
        <v>380</v>
      </c>
      <c r="G703" s="38">
        <f t="shared" si="30"/>
        <v>1425000</v>
      </c>
      <c r="H703" s="76"/>
    </row>
    <row r="704" spans="1:8" x14ac:dyDescent="0.35">
      <c r="A704" s="35"/>
      <c r="B704" s="653">
        <f>SAM!A17</f>
        <v>489</v>
      </c>
      <c r="C704" s="653" t="str">
        <f>SAM!B17</f>
        <v>PREDNISOLONE 5MG TAB</v>
      </c>
      <c r="D704" s="654">
        <f>SAM!C17</f>
        <v>100</v>
      </c>
      <c r="E704" s="653">
        <v>200</v>
      </c>
      <c r="F704" s="38">
        <f>SAM!E17</f>
        <v>260</v>
      </c>
      <c r="G704" s="38">
        <f t="shared" si="30"/>
        <v>52000</v>
      </c>
      <c r="H704" s="76"/>
    </row>
    <row r="705" spans="1:8" x14ac:dyDescent="0.35">
      <c r="A705" s="35"/>
      <c r="B705" s="653">
        <f>SAM!A18</f>
        <v>448</v>
      </c>
      <c r="C705" s="653" t="str">
        <f>SAM!B18</f>
        <v>RABEPRAZOLE 20MG CAP</v>
      </c>
      <c r="D705" s="654">
        <f>SAM!C18</f>
        <v>20</v>
      </c>
      <c r="E705" s="653">
        <v>75</v>
      </c>
      <c r="F705" s="38">
        <f>SAM!E18</f>
        <v>530</v>
      </c>
      <c r="G705" s="38">
        <f t="shared" si="30"/>
        <v>39750</v>
      </c>
      <c r="H705" s="76"/>
    </row>
    <row r="706" spans="1:8" x14ac:dyDescent="0.35">
      <c r="A706" s="35"/>
      <c r="B706" s="653">
        <f>SAM!A19</f>
        <v>337</v>
      </c>
      <c r="C706" s="653" t="str">
        <f>SAM!B19</f>
        <v>VITAMIN B COMPLEX TAB</v>
      </c>
      <c r="D706" s="654">
        <f>SAM!C19</f>
        <v>1000</v>
      </c>
      <c r="E706" s="653">
        <v>100</v>
      </c>
      <c r="F706" s="38">
        <f>SAM!E19</f>
        <v>380</v>
      </c>
      <c r="G706" s="38">
        <f t="shared" si="30"/>
        <v>38000</v>
      </c>
      <c r="H706" s="76"/>
    </row>
    <row r="707" spans="1:8" ht="23.25" x14ac:dyDescent="0.35">
      <c r="A707" s="35"/>
      <c r="B707" s="653">
        <f>SAM!A20</f>
        <v>340</v>
      </c>
      <c r="C707" s="653" t="str">
        <f>SAM!B20</f>
        <v>VITAMIN C 100MG (CHEWABLE)</v>
      </c>
      <c r="D707" s="654">
        <f>SAM!C20</f>
        <v>1000</v>
      </c>
      <c r="E707" s="653">
        <v>100</v>
      </c>
      <c r="F707" s="38">
        <f>SAM!E20</f>
        <v>730</v>
      </c>
      <c r="G707" s="38">
        <f t="shared" si="30"/>
        <v>73000</v>
      </c>
      <c r="H707" s="186">
        <f>SUM(G693:G707)</f>
        <v>3157000</v>
      </c>
    </row>
    <row r="708" spans="1:8" x14ac:dyDescent="0.35">
      <c r="A708" s="35"/>
      <c r="B708" s="653"/>
      <c r="C708" s="653"/>
      <c r="D708" s="654"/>
      <c r="E708" s="653"/>
      <c r="F708" s="38"/>
      <c r="G708" s="38">
        <f t="shared" si="30"/>
        <v>0</v>
      </c>
      <c r="H708" s="76"/>
    </row>
    <row r="709" spans="1:8" x14ac:dyDescent="0.35">
      <c r="A709" s="35"/>
      <c r="B709" s="35"/>
      <c r="C709" s="35"/>
      <c r="D709" s="668"/>
      <c r="E709" s="35"/>
      <c r="F709" s="38"/>
      <c r="G709" s="38">
        <f t="shared" si="30"/>
        <v>0</v>
      </c>
      <c r="H709" s="76"/>
    </row>
    <row r="710" spans="1:8" ht="23.25" x14ac:dyDescent="0.35">
      <c r="A710" s="35">
        <v>40</v>
      </c>
      <c r="B710" s="35"/>
      <c r="C710" s="77" t="str">
        <f>SEAGREEN!B1</f>
        <v>SEAGREEN PHARMACEUTICALS LIMITED</v>
      </c>
      <c r="D710" s="668"/>
      <c r="E710" s="35"/>
      <c r="F710" s="38"/>
      <c r="G710" s="38">
        <f t="shared" si="30"/>
        <v>0</v>
      </c>
      <c r="H710" s="76"/>
    </row>
    <row r="711" spans="1:8" x14ac:dyDescent="0.35">
      <c r="A711" s="35"/>
      <c r="B711" s="653">
        <f>SEAGREEN!A6</f>
        <v>208</v>
      </c>
      <c r="C711" s="653" t="str">
        <f>SEAGREEN!B6</f>
        <v>AMOXICILLIN/CLAVULANIC ACID 625MG TAB</v>
      </c>
      <c r="D711" s="654">
        <f>SEAGREEN!C6</f>
        <v>14</v>
      </c>
      <c r="E711" s="653">
        <v>200</v>
      </c>
      <c r="F711" s="38">
        <f>SEAGREEN!E6</f>
        <v>650</v>
      </c>
      <c r="G711" s="38">
        <f t="shared" si="30"/>
        <v>130000</v>
      </c>
      <c r="H711" s="76"/>
    </row>
    <row r="712" spans="1:8" x14ac:dyDescent="0.35">
      <c r="A712" s="35"/>
      <c r="B712" s="653">
        <f>SEAGREEN!A7</f>
        <v>241</v>
      </c>
      <c r="C712" s="653" t="str">
        <f>SEAGREEN!B7</f>
        <v>CLOTRIMAZOLE/METRONIDAZOLE/LACTOBACILLUS SPORES</v>
      </c>
      <c r="D712" s="654">
        <f>SEAGREEN!C7</f>
        <v>6</v>
      </c>
      <c r="E712" s="653">
        <v>50</v>
      </c>
      <c r="F712" s="38">
        <f>SEAGREEN!E7</f>
        <v>900</v>
      </c>
      <c r="G712" s="38">
        <f t="shared" si="30"/>
        <v>45000</v>
      </c>
      <c r="H712" s="76"/>
    </row>
    <row r="713" spans="1:8" x14ac:dyDescent="0.35">
      <c r="A713" s="35"/>
      <c r="B713" s="653">
        <f>SEAGREEN!A8</f>
        <v>228</v>
      </c>
      <c r="C713" s="653" t="str">
        <f>SEAGREEN!B8</f>
        <v>CEFTRIAXONE 1G INJ</v>
      </c>
      <c r="D713" s="654" t="str">
        <f>SEAGREEN!C8</f>
        <v>VIAL</v>
      </c>
      <c r="E713" s="653">
        <v>2625</v>
      </c>
      <c r="F713" s="38">
        <f>SEAGREEN!E8</f>
        <v>180</v>
      </c>
      <c r="G713" s="38">
        <f t="shared" si="30"/>
        <v>472500</v>
      </c>
      <c r="H713" s="76"/>
    </row>
    <row r="714" spans="1:8" ht="23.25" x14ac:dyDescent="0.35">
      <c r="A714" s="35"/>
      <c r="B714" s="653">
        <f>SEAGREEN!A9</f>
        <v>105</v>
      </c>
      <c r="C714" s="653" t="str">
        <f>SEAGREEN!B9</f>
        <v>SIMVASTATIN 20MG TAB</v>
      </c>
      <c r="D714" s="654">
        <f>SEAGREEN!C9</f>
        <v>28</v>
      </c>
      <c r="E714" s="653">
        <v>13</v>
      </c>
      <c r="F714" s="38">
        <f>SEAGREEN!E9</f>
        <v>300</v>
      </c>
      <c r="G714" s="38">
        <f t="shared" si="30"/>
        <v>3900</v>
      </c>
      <c r="H714" s="186">
        <f>SUM(G711:G714)</f>
        <v>651400</v>
      </c>
    </row>
    <row r="715" spans="1:8" x14ac:dyDescent="0.35">
      <c r="A715" s="35"/>
      <c r="B715" s="653"/>
      <c r="C715" s="653"/>
      <c r="D715" s="654"/>
      <c r="E715" s="653"/>
      <c r="F715" s="38"/>
      <c r="G715" s="38">
        <f t="shared" si="30"/>
        <v>0</v>
      </c>
      <c r="H715" s="76"/>
    </row>
    <row r="716" spans="1:8" x14ac:dyDescent="0.35">
      <c r="A716" s="35"/>
      <c r="B716" s="653"/>
      <c r="C716" s="653"/>
      <c r="D716" s="654"/>
      <c r="E716" s="653"/>
      <c r="F716" s="38"/>
      <c r="G716" s="38">
        <f t="shared" si="30"/>
        <v>0</v>
      </c>
      <c r="H716" s="76"/>
    </row>
    <row r="717" spans="1:8" ht="23.25" x14ac:dyDescent="0.35">
      <c r="A717" s="35">
        <v>41</v>
      </c>
      <c r="B717" s="653"/>
      <c r="C717" s="656" t="str">
        <f>SKG!B1</f>
        <v>SKG PHARMACEUTICALS LIMITED</v>
      </c>
      <c r="D717" s="654"/>
      <c r="E717" s="653"/>
      <c r="F717" s="38"/>
      <c r="G717" s="38">
        <f t="shared" si="30"/>
        <v>0</v>
      </c>
      <c r="H717" s="76"/>
    </row>
    <row r="718" spans="1:8" x14ac:dyDescent="0.35">
      <c r="A718" s="35"/>
      <c r="B718" s="653">
        <f>SKG!A6</f>
        <v>211</v>
      </c>
      <c r="C718" s="653" t="str">
        <f>SKG!B6</f>
        <v>AMPICILLIN/CLOXACILLIIN 500MG CAP</v>
      </c>
      <c r="D718" s="654">
        <f>SKG!C6</f>
        <v>100</v>
      </c>
      <c r="E718" s="653">
        <v>63</v>
      </c>
      <c r="F718" s="38">
        <f>SKG!E6</f>
        <v>1104.4000000000001</v>
      </c>
      <c r="G718" s="38">
        <f t="shared" si="30"/>
        <v>69577.200000000012</v>
      </c>
      <c r="H718" s="76"/>
    </row>
    <row r="719" spans="1:8" x14ac:dyDescent="0.35">
      <c r="A719" s="35"/>
      <c r="B719" s="653">
        <f>SKG!A7</f>
        <v>212</v>
      </c>
      <c r="C719" s="653" t="str">
        <f>SKG!B7</f>
        <v>AMPICILLIN/CLOXACILLIN 250MG/5ML SUSP</v>
      </c>
      <c r="D719" s="654" t="str">
        <f>SKG!C7</f>
        <v>BOTT</v>
      </c>
      <c r="E719" s="653">
        <v>63</v>
      </c>
      <c r="F719" s="38">
        <f>SKG!E7</f>
        <v>293.23</v>
      </c>
      <c r="G719" s="38">
        <f t="shared" si="30"/>
        <v>18473.490000000002</v>
      </c>
      <c r="H719" s="76"/>
    </row>
    <row r="720" spans="1:8" x14ac:dyDescent="0.35">
      <c r="A720" s="35"/>
      <c r="B720" s="653">
        <f>SKG!A8</f>
        <v>685</v>
      </c>
      <c r="C720" s="653" t="str">
        <f>SKG!B8</f>
        <v>CALAMINE LOTION</v>
      </c>
      <c r="D720" s="654">
        <f>SKG!C8</f>
        <v>12</v>
      </c>
      <c r="E720" s="653">
        <v>3</v>
      </c>
      <c r="F720" s="38">
        <f>SKG!E8</f>
        <v>2265</v>
      </c>
      <c r="G720" s="38">
        <f t="shared" si="30"/>
        <v>6795</v>
      </c>
      <c r="H720" s="76"/>
    </row>
    <row r="721" spans="1:8" x14ac:dyDescent="0.35">
      <c r="A721" s="35"/>
      <c r="B721" s="653">
        <f>SKG!A9</f>
        <v>675</v>
      </c>
      <c r="C721" s="653" t="str">
        <f>SKG!B9</f>
        <v>HYDROGEN PEROXIDE 100ML</v>
      </c>
      <c r="D721" s="654" t="str">
        <f>SKG!C9</f>
        <v>BOTT</v>
      </c>
      <c r="E721" s="653">
        <v>250</v>
      </c>
      <c r="F721" s="38">
        <f>SKG!E9</f>
        <v>123.59</v>
      </c>
      <c r="G721" s="38">
        <f t="shared" si="30"/>
        <v>30897.5</v>
      </c>
      <c r="H721" s="76"/>
    </row>
    <row r="722" spans="1:8" x14ac:dyDescent="0.35">
      <c r="A722" s="35"/>
      <c r="B722" s="653">
        <f>SKG!A10</f>
        <v>433</v>
      </c>
      <c r="C722" s="653" t="str">
        <f>SKG!B10</f>
        <v>LIQUID PARAFFIN</v>
      </c>
      <c r="D722" s="654" t="str">
        <f>SKG!C10</f>
        <v>BOTT</v>
      </c>
      <c r="E722" s="653">
        <v>150</v>
      </c>
      <c r="F722" s="38">
        <f>SKG!E10</f>
        <v>350.53</v>
      </c>
      <c r="G722" s="38">
        <f t="shared" si="30"/>
        <v>52579.499999999993</v>
      </c>
      <c r="H722" s="76"/>
    </row>
    <row r="723" spans="1:8" x14ac:dyDescent="0.35">
      <c r="A723" s="35"/>
      <c r="B723" s="653">
        <f>SKG!A11</f>
        <v>435</v>
      </c>
      <c r="C723" s="653" t="str">
        <f>SKG!B11</f>
        <v>MAGNESIUM HYDROXIDE/ALUMINIUM HYDROXIDE+ DIMETHICONE SUSP</v>
      </c>
      <c r="D723" s="654" t="str">
        <f>SKG!C11</f>
        <v>BOTT</v>
      </c>
      <c r="E723" s="653">
        <v>250</v>
      </c>
      <c r="F723" s="38">
        <f>SKG!E11</f>
        <v>410.08</v>
      </c>
      <c r="G723" s="38">
        <f t="shared" si="30"/>
        <v>102520</v>
      </c>
      <c r="H723" s="76"/>
    </row>
    <row r="724" spans="1:8" x14ac:dyDescent="0.35">
      <c r="A724" s="35"/>
      <c r="B724" s="653">
        <f>SKG!A12</f>
        <v>492</v>
      </c>
      <c r="C724" s="653" t="str">
        <f>SKG!B12</f>
        <v xml:space="preserve">PSEUDOEPHEDRINE/TRIPROLIDINE SYR             </v>
      </c>
      <c r="D724" s="654" t="str">
        <f>SKG!C12</f>
        <v>BOTT</v>
      </c>
      <c r="E724" s="653">
        <v>30</v>
      </c>
      <c r="F724" s="38">
        <f>SKG!E12</f>
        <v>316.83</v>
      </c>
      <c r="G724" s="38">
        <f t="shared" si="30"/>
        <v>9504.9</v>
      </c>
      <c r="H724" s="76"/>
    </row>
    <row r="725" spans="1:8" ht="23.25" x14ac:dyDescent="0.35">
      <c r="A725" s="35"/>
      <c r="B725" s="653">
        <f>SKG!A13</f>
        <v>493</v>
      </c>
      <c r="C725" s="653" t="str">
        <f>SKG!B13</f>
        <v>PSEUDOEPHEDRINE/TRIPROLIDINE TAB</v>
      </c>
      <c r="D725" s="654">
        <f>SKG!C13</f>
        <v>100</v>
      </c>
      <c r="E725" s="653">
        <v>20</v>
      </c>
      <c r="F725" s="38">
        <f>SKG!E13</f>
        <v>1853.78</v>
      </c>
      <c r="G725" s="38">
        <f t="shared" si="30"/>
        <v>37075.599999999999</v>
      </c>
      <c r="H725" s="186">
        <f>SUM(G718:G725)</f>
        <v>327423.19</v>
      </c>
    </row>
    <row r="726" spans="1:8" x14ac:dyDescent="0.35">
      <c r="A726" s="35"/>
      <c r="B726" s="653"/>
      <c r="C726" s="653"/>
      <c r="D726" s="654"/>
      <c r="E726" s="653"/>
      <c r="F726" s="38"/>
      <c r="G726" s="38">
        <f t="shared" si="30"/>
        <v>0</v>
      </c>
      <c r="H726" s="76"/>
    </row>
    <row r="727" spans="1:8" x14ac:dyDescent="0.35">
      <c r="A727" s="35"/>
      <c r="B727" s="653"/>
      <c r="C727" s="653"/>
      <c r="D727" s="654"/>
      <c r="E727" s="653"/>
      <c r="F727" s="38"/>
      <c r="G727" s="38">
        <f t="shared" si="30"/>
        <v>0</v>
      </c>
      <c r="H727" s="76"/>
    </row>
    <row r="728" spans="1:8" ht="23.25" x14ac:dyDescent="0.35">
      <c r="A728" s="35">
        <v>42</v>
      </c>
      <c r="B728" s="653"/>
      <c r="C728" s="656" t="str">
        <f>TAH!B1</f>
        <v>TAH PHARMACEUTICALS LIMITED</v>
      </c>
      <c r="D728" s="654"/>
      <c r="E728" s="653"/>
      <c r="F728" s="38"/>
      <c r="G728" s="38">
        <f t="shared" si="30"/>
        <v>0</v>
      </c>
      <c r="H728" s="76"/>
    </row>
    <row r="729" spans="1:8" x14ac:dyDescent="0.35">
      <c r="A729" s="35"/>
      <c r="B729" s="653">
        <f>TAH!A6</f>
        <v>49</v>
      </c>
      <c r="C729" s="653" t="str">
        <f>TAH!B6</f>
        <v>ATORVASTATIN 20MG</v>
      </c>
      <c r="D729" s="654">
        <f>TAH!C6</f>
        <v>30</v>
      </c>
      <c r="E729" s="653">
        <v>125</v>
      </c>
      <c r="F729" s="38">
        <f>TAH!E6</f>
        <v>500</v>
      </c>
      <c r="G729" s="38">
        <f t="shared" si="30"/>
        <v>62500</v>
      </c>
      <c r="H729" s="76"/>
    </row>
    <row r="730" spans="1:8" x14ac:dyDescent="0.35">
      <c r="A730" s="35"/>
      <c r="B730" s="653">
        <f>TAH!A7</f>
        <v>580</v>
      </c>
      <c r="C730" s="653" t="str">
        <f>TAH!B7</f>
        <v>CANNULA 18G GREEN</v>
      </c>
      <c r="D730" s="654">
        <f>TAH!C7</f>
        <v>50</v>
      </c>
      <c r="E730" s="653">
        <v>53</v>
      </c>
      <c r="F730" s="38">
        <f>TAH!E7</f>
        <v>1900</v>
      </c>
      <c r="G730" s="38">
        <f t="shared" si="30"/>
        <v>100700</v>
      </c>
      <c r="H730" s="76"/>
    </row>
    <row r="731" spans="1:8" x14ac:dyDescent="0.35">
      <c r="A731" s="35"/>
      <c r="B731" s="653">
        <f>TAH!A8</f>
        <v>581</v>
      </c>
      <c r="C731" s="653" t="str">
        <f>TAH!B8</f>
        <v xml:space="preserve">CANNULA 20G PINK </v>
      </c>
      <c r="D731" s="654">
        <f>TAH!C8</f>
        <v>50</v>
      </c>
      <c r="E731" s="653">
        <v>70</v>
      </c>
      <c r="F731" s="38">
        <f>TAH!E8</f>
        <v>1900</v>
      </c>
      <c r="G731" s="38">
        <f t="shared" si="30"/>
        <v>133000</v>
      </c>
      <c r="H731" s="76"/>
    </row>
    <row r="732" spans="1:8" x14ac:dyDescent="0.35">
      <c r="A732" s="35"/>
      <c r="B732" s="653">
        <f>TAH!A9</f>
        <v>582</v>
      </c>
      <c r="C732" s="653" t="str">
        <f>TAH!B9</f>
        <v xml:space="preserve">CANNULA 22G BLUE </v>
      </c>
      <c r="D732" s="654">
        <f>TAH!C9</f>
        <v>50</v>
      </c>
      <c r="E732" s="653">
        <v>35</v>
      </c>
      <c r="F732" s="38">
        <f>TAH!E9</f>
        <v>1900</v>
      </c>
      <c r="G732" s="38">
        <f t="shared" si="30"/>
        <v>66500</v>
      </c>
      <c r="H732" s="76"/>
    </row>
    <row r="733" spans="1:8" x14ac:dyDescent="0.35">
      <c r="A733" s="35"/>
      <c r="B733" s="653">
        <f>TAH!A10</f>
        <v>583</v>
      </c>
      <c r="C733" s="653" t="str">
        <f>TAH!B10</f>
        <v xml:space="preserve">CANNULA 24G YELLOW </v>
      </c>
      <c r="D733" s="654">
        <f>TAH!C10</f>
        <v>50</v>
      </c>
      <c r="E733" s="653">
        <v>23</v>
      </c>
      <c r="F733" s="38">
        <f>TAH!E10</f>
        <v>2250</v>
      </c>
      <c r="G733" s="38">
        <f t="shared" si="30"/>
        <v>51750</v>
      </c>
      <c r="H733" s="76"/>
    </row>
    <row r="734" spans="1:8" x14ac:dyDescent="0.35">
      <c r="A734" s="35"/>
      <c r="B734" s="653">
        <f>TAH!A11</f>
        <v>224</v>
      </c>
      <c r="C734" s="653" t="str">
        <f>TAH!B11</f>
        <v>CEFOTAXIME 1G INJ</v>
      </c>
      <c r="D734" s="654" t="str">
        <f>TAH!C11</f>
        <v>VIAL</v>
      </c>
      <c r="E734" s="653">
        <v>3</v>
      </c>
      <c r="F734" s="38">
        <f>TAH!E11</f>
        <v>250</v>
      </c>
      <c r="G734" s="38">
        <f t="shared" si="30"/>
        <v>750</v>
      </c>
      <c r="H734" s="76"/>
    </row>
    <row r="735" spans="1:8" x14ac:dyDescent="0.35">
      <c r="A735" s="35"/>
      <c r="B735" s="653">
        <f>TAH!A12</f>
        <v>429</v>
      </c>
      <c r="C735" s="653" t="str">
        <f>TAH!B12</f>
        <v>ESOMEPRAZOLE 20MG CAP</v>
      </c>
      <c r="D735" s="654">
        <f>TAH!C12</f>
        <v>50</v>
      </c>
      <c r="E735" s="653">
        <v>8</v>
      </c>
      <c r="F735" s="38">
        <f>TAH!E12</f>
        <v>1200</v>
      </c>
      <c r="G735" s="38">
        <f t="shared" si="30"/>
        <v>9600</v>
      </c>
      <c r="H735" s="76"/>
    </row>
    <row r="736" spans="1:8" x14ac:dyDescent="0.35">
      <c r="A736" s="35"/>
      <c r="B736" s="653">
        <f>TAH!A13</f>
        <v>430</v>
      </c>
      <c r="C736" s="653" t="str">
        <f>TAH!B13</f>
        <v>ESOMEPRAZOLE 40MG CAP</v>
      </c>
      <c r="D736" s="654">
        <f>TAH!C13</f>
        <v>50</v>
      </c>
      <c r="E736" s="653">
        <v>5</v>
      </c>
      <c r="F736" s="38">
        <f>TAH!E13</f>
        <v>1200</v>
      </c>
      <c r="G736" s="38">
        <f t="shared" si="30"/>
        <v>6000</v>
      </c>
      <c r="H736" s="76"/>
    </row>
    <row r="737" spans="1:8" x14ac:dyDescent="0.35">
      <c r="A737" s="35"/>
      <c r="B737" s="653">
        <f>TAH!A14</f>
        <v>403</v>
      </c>
      <c r="C737" s="653" t="str">
        <f>TAH!B14</f>
        <v>HEAVY MARCAINE INJ</v>
      </c>
      <c r="D737" s="654">
        <f>TAH!C14</f>
        <v>10</v>
      </c>
      <c r="E737" s="653">
        <v>8</v>
      </c>
      <c r="F737" s="38">
        <f>TAH!E14</f>
        <v>3000</v>
      </c>
      <c r="G737" s="38">
        <f t="shared" si="30"/>
        <v>24000</v>
      </c>
      <c r="H737" s="76"/>
    </row>
    <row r="738" spans="1:8" x14ac:dyDescent="0.35">
      <c r="A738" s="35"/>
      <c r="B738" s="653">
        <f>TAH!A15</f>
        <v>410</v>
      </c>
      <c r="C738" s="653" t="str">
        <f>TAH!B15</f>
        <v>PROPOFOL 1%</v>
      </c>
      <c r="D738" s="654" t="str">
        <f>TAH!C15</f>
        <v>VIAL</v>
      </c>
      <c r="E738" s="653">
        <v>60</v>
      </c>
      <c r="F738" s="38">
        <f>TAH!E15</f>
        <v>800</v>
      </c>
      <c r="G738" s="38">
        <f t="shared" si="30"/>
        <v>48000</v>
      </c>
      <c r="H738" s="76"/>
    </row>
    <row r="739" spans="1:8" x14ac:dyDescent="0.35">
      <c r="A739" s="35"/>
      <c r="B739" s="653">
        <f>TAH!A16</f>
        <v>449</v>
      </c>
      <c r="C739" s="653" t="str">
        <f>TAH!B16</f>
        <v>RABEPRAZOLE 20MG INJ</v>
      </c>
      <c r="D739" s="654" t="str">
        <f>TAH!C16</f>
        <v xml:space="preserve">VIAL </v>
      </c>
      <c r="E739" s="653">
        <v>20</v>
      </c>
      <c r="F739" s="38">
        <f>TAH!E16</f>
        <v>650</v>
      </c>
      <c r="G739" s="38">
        <f t="shared" si="30"/>
        <v>13000</v>
      </c>
      <c r="H739" s="76"/>
    </row>
    <row r="740" spans="1:8" x14ac:dyDescent="0.35">
      <c r="A740" s="35"/>
      <c r="B740" s="653">
        <f>TAH!A17</f>
        <v>647</v>
      </c>
      <c r="C740" s="653" t="str">
        <f>TAH!B17</f>
        <v>SURGICAL GLOVES 7 1/2"</v>
      </c>
      <c r="D740" s="654">
        <f>TAH!C17</f>
        <v>50</v>
      </c>
      <c r="E740" s="653">
        <v>150</v>
      </c>
      <c r="F740" s="38">
        <f>TAH!E17</f>
        <v>3000</v>
      </c>
      <c r="G740" s="38">
        <f t="shared" si="30"/>
        <v>450000</v>
      </c>
      <c r="H740" s="76"/>
    </row>
    <row r="741" spans="1:8" x14ac:dyDescent="0.35">
      <c r="A741" s="35"/>
      <c r="B741" s="653">
        <f>TAH!A18</f>
        <v>646</v>
      </c>
      <c r="C741" s="653" t="str">
        <f>TAH!B18</f>
        <v>SURGICAL GLOVES 7"</v>
      </c>
      <c r="D741" s="654">
        <f>TAH!C18</f>
        <v>50</v>
      </c>
      <c r="E741" s="653">
        <v>60</v>
      </c>
      <c r="F741" s="38">
        <f>TAH!E18</f>
        <v>3000</v>
      </c>
      <c r="G741" s="38">
        <f t="shared" si="30"/>
        <v>180000</v>
      </c>
      <c r="H741" s="76"/>
    </row>
    <row r="742" spans="1:8" ht="23.25" x14ac:dyDescent="0.35">
      <c r="A742" s="35"/>
      <c r="B742" s="653">
        <f>TAH!A19</f>
        <v>648</v>
      </c>
      <c r="C742" s="653" t="str">
        <f>TAH!B19</f>
        <v>SURGICAL GLOVES 8"</v>
      </c>
      <c r="D742" s="654">
        <f>TAH!C19</f>
        <v>50</v>
      </c>
      <c r="E742" s="653">
        <v>88</v>
      </c>
      <c r="F742" s="38">
        <f>TAH!E19</f>
        <v>3000</v>
      </c>
      <c r="G742" s="38">
        <f t="shared" si="30"/>
        <v>264000</v>
      </c>
      <c r="H742" s="186">
        <f>SUM(G729:G742)</f>
        <v>1409800</v>
      </c>
    </row>
    <row r="743" spans="1:8" x14ac:dyDescent="0.35">
      <c r="A743" s="35"/>
      <c r="B743" s="653"/>
      <c r="C743" s="653"/>
      <c r="D743" s="654"/>
      <c r="E743" s="653"/>
      <c r="F743" s="38"/>
      <c r="G743" s="38">
        <f t="shared" si="30"/>
        <v>0</v>
      </c>
      <c r="H743" s="76"/>
    </row>
    <row r="744" spans="1:8" x14ac:dyDescent="0.35">
      <c r="A744" s="35"/>
      <c r="B744" s="653"/>
      <c r="C744" s="653"/>
      <c r="D744" s="654"/>
      <c r="E744" s="653"/>
      <c r="F744" s="38"/>
      <c r="G744" s="38">
        <f t="shared" si="30"/>
        <v>0</v>
      </c>
      <c r="H744" s="76"/>
    </row>
    <row r="745" spans="1:8" ht="23.25" x14ac:dyDescent="0.35">
      <c r="A745" s="35">
        <v>43</v>
      </c>
      <c r="B745" s="653"/>
      <c r="C745" s="656" t="str">
        <f>TAYLEK!B1</f>
        <v>TAYLEK DRUGS COMPANY LIMITED</v>
      </c>
      <c r="D745" s="654"/>
      <c r="E745" s="653"/>
      <c r="F745" s="38"/>
      <c r="G745" s="38">
        <f t="shared" si="30"/>
        <v>0</v>
      </c>
      <c r="H745" s="76"/>
    </row>
    <row r="746" spans="1:8" x14ac:dyDescent="0.35">
      <c r="A746" s="35"/>
      <c r="B746" s="653">
        <f>TAYLEK!A6</f>
        <v>382</v>
      </c>
      <c r="C746" s="653" t="str">
        <f>TAYLEK!B6</f>
        <v>BROMOCRYPTINE 2.5MG TAB</v>
      </c>
      <c r="D746" s="654">
        <f>TAYLEK!C6</f>
        <v>30</v>
      </c>
      <c r="E746" s="653">
        <v>13</v>
      </c>
      <c r="F746" s="38">
        <f>TAYLEK!E6</f>
        <v>2280</v>
      </c>
      <c r="G746" s="38">
        <f t="shared" si="30"/>
        <v>29640</v>
      </c>
      <c r="H746" s="76"/>
    </row>
    <row r="747" spans="1:8" x14ac:dyDescent="0.35">
      <c r="A747" s="35"/>
      <c r="B747" s="653">
        <f>TAYLEK!A7</f>
        <v>55</v>
      </c>
      <c r="C747" s="653" t="str">
        <f>TAYLEK!B7</f>
        <v>CANDESARTAN 16MG TAB</v>
      </c>
      <c r="D747" s="654">
        <f>TAYLEK!C7</f>
        <v>28</v>
      </c>
      <c r="E747" s="653">
        <v>16</v>
      </c>
      <c r="F747" s="38">
        <f>TAYLEK!E7</f>
        <v>3863</v>
      </c>
      <c r="G747" s="38">
        <f t="shared" si="30"/>
        <v>61808</v>
      </c>
      <c r="H747" s="76"/>
    </row>
    <row r="748" spans="1:8" x14ac:dyDescent="0.35">
      <c r="A748" s="35"/>
      <c r="B748" s="653">
        <f>TAYLEK!A8</f>
        <v>54</v>
      </c>
      <c r="C748" s="653" t="str">
        <f>TAYLEK!B8</f>
        <v>CANDESARTAN 8MG TAB</v>
      </c>
      <c r="D748" s="654">
        <f>TAYLEK!C8</f>
        <v>28</v>
      </c>
      <c r="E748" s="653">
        <v>25</v>
      </c>
      <c r="F748" s="38">
        <f>TAYLEK!E8</f>
        <v>2873</v>
      </c>
      <c r="G748" s="38">
        <f t="shared" si="30"/>
        <v>71825</v>
      </c>
      <c r="H748" s="76"/>
    </row>
    <row r="749" spans="1:8" x14ac:dyDescent="0.35">
      <c r="A749" s="35"/>
      <c r="B749" s="653">
        <f>TAYLEK!A9</f>
        <v>255</v>
      </c>
      <c r="C749" s="653" t="str">
        <f>TAYLEK!B9</f>
        <v>GENTICIN 80MG INJ</v>
      </c>
      <c r="D749" s="654">
        <f>TAYLEK!C9</f>
        <v>50</v>
      </c>
      <c r="E749" s="653">
        <v>75</v>
      </c>
      <c r="F749" s="38">
        <f>TAYLEK!E9</f>
        <v>8550</v>
      </c>
      <c r="G749" s="38">
        <f t="shared" si="30"/>
        <v>641250</v>
      </c>
      <c r="H749" s="76"/>
    </row>
    <row r="750" spans="1:8" x14ac:dyDescent="0.35">
      <c r="A750" s="35"/>
      <c r="B750" s="653">
        <f>TAYLEK!A10</f>
        <v>88</v>
      </c>
      <c r="C750" s="653" t="str">
        <f>TAYLEK!B10</f>
        <v xml:space="preserve">NIFEDIPINE 30MG </v>
      </c>
      <c r="D750" s="654">
        <f>TAYLEK!C10</f>
        <v>30</v>
      </c>
      <c r="E750" s="653">
        <v>525</v>
      </c>
      <c r="F750" s="38">
        <f>TAYLEK!E10</f>
        <v>1568</v>
      </c>
      <c r="G750" s="38">
        <f t="shared" si="30"/>
        <v>823200</v>
      </c>
      <c r="H750" s="76"/>
    </row>
    <row r="751" spans="1:8" x14ac:dyDescent="0.35">
      <c r="A751" s="35"/>
      <c r="B751" s="653">
        <f>TAYLEK!A11</f>
        <v>281</v>
      </c>
      <c r="C751" s="653" t="str">
        <f>TAYLEK!B11</f>
        <v>SILVER SULPHADIAZINE 25G CREAM</v>
      </c>
      <c r="D751" s="654" t="str">
        <f>TAYLEK!C11</f>
        <v>TUBE</v>
      </c>
      <c r="E751" s="653">
        <v>100</v>
      </c>
      <c r="F751" s="38">
        <f>TAYLEK!E11</f>
        <v>786</v>
      </c>
      <c r="G751" s="38">
        <f t="shared" si="30"/>
        <v>78600</v>
      </c>
      <c r="H751" s="76"/>
    </row>
    <row r="752" spans="1:8" ht="23.25" x14ac:dyDescent="0.35">
      <c r="A752" s="35"/>
      <c r="B752" s="653">
        <f>TAYLEK!A12</f>
        <v>282</v>
      </c>
      <c r="C752" s="653" t="str">
        <f>TAYLEK!B12</f>
        <v>SILVER SULPHADIAZINE 50G CREAM</v>
      </c>
      <c r="D752" s="654" t="str">
        <f>TAYLEK!C12</f>
        <v>TUBE</v>
      </c>
      <c r="E752" s="653">
        <v>125</v>
      </c>
      <c r="F752" s="38">
        <f>TAYLEK!E12</f>
        <v>1185</v>
      </c>
      <c r="G752" s="38">
        <f t="shared" si="30"/>
        <v>148125</v>
      </c>
      <c r="H752" s="186">
        <f>SUM(G746:G752)</f>
        <v>1854448</v>
      </c>
    </row>
    <row r="753" spans="1:8" x14ac:dyDescent="0.35">
      <c r="A753" s="35"/>
      <c r="B753" s="653"/>
      <c r="C753" s="653"/>
      <c r="D753" s="654"/>
      <c r="E753" s="653"/>
      <c r="F753" s="38"/>
      <c r="G753" s="38">
        <f t="shared" si="30"/>
        <v>0</v>
      </c>
      <c r="H753" s="76"/>
    </row>
    <row r="754" spans="1:8" x14ac:dyDescent="0.35">
      <c r="A754" s="35"/>
      <c r="B754" s="653"/>
      <c r="C754" s="653"/>
      <c r="D754" s="654"/>
      <c r="E754" s="653"/>
      <c r="F754" s="38"/>
      <c r="G754" s="38">
        <f t="shared" si="30"/>
        <v>0</v>
      </c>
      <c r="H754" s="76"/>
    </row>
    <row r="755" spans="1:8" ht="23.25" x14ac:dyDescent="0.35">
      <c r="A755" s="35">
        <v>44</v>
      </c>
      <c r="B755" s="653"/>
      <c r="C755" s="656" t="str">
        <f>THL!B1</f>
        <v>THERAPEUTIC LABORATORIES NIGERIA LIMITED</v>
      </c>
      <c r="D755" s="654"/>
      <c r="E755" s="653"/>
      <c r="F755" s="38"/>
      <c r="G755" s="38">
        <f t="shared" si="30"/>
        <v>0</v>
      </c>
      <c r="H755" s="76"/>
    </row>
    <row r="756" spans="1:8" x14ac:dyDescent="0.35">
      <c r="A756" s="35"/>
      <c r="B756" s="653">
        <f>THL!A6</f>
        <v>8</v>
      </c>
      <c r="C756" s="653" t="str">
        <f>THL!B6</f>
        <v>ARTEMETHER/LUMEFANTRINE (80/480) TAB</v>
      </c>
      <c r="D756" s="654">
        <f>THL!C6</f>
        <v>6</v>
      </c>
      <c r="E756" s="653">
        <v>500</v>
      </c>
      <c r="F756" s="38">
        <f>THL!E6</f>
        <v>260</v>
      </c>
      <c r="G756" s="38">
        <f t="shared" si="30"/>
        <v>130000</v>
      </c>
      <c r="H756" s="76"/>
    </row>
    <row r="757" spans="1:8" x14ac:dyDescent="0.35">
      <c r="A757" s="35"/>
      <c r="B757" s="653">
        <f>THL!A7</f>
        <v>236</v>
      </c>
      <c r="C757" s="653" t="str">
        <f>THL!B7</f>
        <v>CIPROFLOXACIN 500MG TAB</v>
      </c>
      <c r="D757" s="654">
        <f>THL!C7</f>
        <v>10</v>
      </c>
      <c r="E757" s="653">
        <v>800</v>
      </c>
      <c r="F757" s="38">
        <f>THL!E7</f>
        <v>148</v>
      </c>
      <c r="G757" s="38">
        <f t="shared" ref="G757:G820" si="31">E757*F757</f>
        <v>118400</v>
      </c>
      <c r="H757" s="76"/>
    </row>
    <row r="758" spans="1:8" x14ac:dyDescent="0.35">
      <c r="A758" s="35"/>
      <c r="B758" s="653">
        <f>THL!A8</f>
        <v>156</v>
      </c>
      <c r="C758" s="653" t="str">
        <f>THL!B8</f>
        <v xml:space="preserve">DICLOFENAC/METHYL SALICYLATE CREAM </v>
      </c>
      <c r="D758" s="654" t="str">
        <f>THL!C8</f>
        <v>TUBE</v>
      </c>
      <c r="E758" s="653">
        <v>400</v>
      </c>
      <c r="F758" s="38">
        <f>THL!E8</f>
        <v>190</v>
      </c>
      <c r="G758" s="38">
        <f t="shared" si="31"/>
        <v>76000</v>
      </c>
      <c r="H758" s="76"/>
    </row>
    <row r="759" spans="1:8" x14ac:dyDescent="0.35">
      <c r="A759" s="35"/>
      <c r="B759" s="653">
        <f>THL!A9</f>
        <v>158</v>
      </c>
      <c r="C759" s="653" t="str">
        <f>THL!B9</f>
        <v xml:space="preserve">DICLOFENAC/PARACETAMOL </v>
      </c>
      <c r="D759" s="654">
        <f>THL!C9</f>
        <v>20</v>
      </c>
      <c r="E759" s="653">
        <v>100</v>
      </c>
      <c r="F759" s="38">
        <f>THL!E9</f>
        <v>150</v>
      </c>
      <c r="G759" s="38">
        <f t="shared" si="31"/>
        <v>15000</v>
      </c>
      <c r="H759" s="76"/>
    </row>
    <row r="760" spans="1:8" x14ac:dyDescent="0.35">
      <c r="A760" s="35"/>
      <c r="B760" s="653">
        <f>THL!A10</f>
        <v>305</v>
      </c>
      <c r="C760" s="653" t="str">
        <f>THL!B10</f>
        <v>FERROUS SULPHATE 200MG TAB</v>
      </c>
      <c r="D760" s="654">
        <f>THL!C10</f>
        <v>1000</v>
      </c>
      <c r="E760" s="653">
        <v>125</v>
      </c>
      <c r="F760" s="38">
        <f>THL!E10</f>
        <v>700</v>
      </c>
      <c r="G760" s="38">
        <f t="shared" si="31"/>
        <v>87500</v>
      </c>
      <c r="H760" s="76"/>
    </row>
    <row r="761" spans="1:8" x14ac:dyDescent="0.35">
      <c r="A761" s="35"/>
      <c r="B761" s="653">
        <f>THL!A11</f>
        <v>311</v>
      </c>
      <c r="C761" s="653" t="str">
        <f>THL!B11</f>
        <v>IRON (III) HYDROXIDE POLYMALTOSE COMPLEX 50MG STERROP (TOT'HEMA)</v>
      </c>
      <c r="D761" s="654">
        <f>THL!C11</f>
        <v>20</v>
      </c>
      <c r="E761" s="653">
        <v>150</v>
      </c>
      <c r="F761" s="38">
        <f>THL!E11</f>
        <v>480</v>
      </c>
      <c r="G761" s="38">
        <f t="shared" si="31"/>
        <v>72000</v>
      </c>
      <c r="H761" s="76"/>
    </row>
    <row r="762" spans="1:8" ht="23.25" x14ac:dyDescent="0.35">
      <c r="A762" s="35"/>
      <c r="B762" s="653">
        <f>THL!A12</f>
        <v>435</v>
      </c>
      <c r="C762" s="653" t="str">
        <f>THL!B12</f>
        <v>MAGNESIUM HYDROXIDE/ALUMINIUM HYDROXIDE+ DIMETHICONE SUSP</v>
      </c>
      <c r="D762" s="654" t="str">
        <f>THL!C12</f>
        <v>BOTT</v>
      </c>
      <c r="E762" s="653">
        <v>250</v>
      </c>
      <c r="F762" s="38">
        <f>THL!E12</f>
        <v>260</v>
      </c>
      <c r="G762" s="38">
        <f t="shared" si="31"/>
        <v>65000</v>
      </c>
      <c r="H762" s="186"/>
    </row>
    <row r="763" spans="1:8" x14ac:dyDescent="0.35">
      <c r="A763" s="35"/>
      <c r="B763" s="653">
        <f>THL!A13</f>
        <v>134</v>
      </c>
      <c r="C763" s="653" t="str">
        <f>THL!B13</f>
        <v>METFORMIN HCL 500MG TAB</v>
      </c>
      <c r="D763" s="654">
        <f>THL!C13</f>
        <v>100</v>
      </c>
      <c r="E763" s="653">
        <v>375</v>
      </c>
      <c r="F763" s="38">
        <f>THL!E13</f>
        <v>400</v>
      </c>
      <c r="G763" s="38">
        <f t="shared" si="31"/>
        <v>150000</v>
      </c>
    </row>
    <row r="764" spans="1:8" ht="23.25" x14ac:dyDescent="0.35">
      <c r="A764" s="35"/>
      <c r="B764" s="653">
        <f>THL!A14</f>
        <v>446</v>
      </c>
      <c r="C764" s="653" t="str">
        <f>THL!B14</f>
        <v>OXATHAZINE/MAGNESIUM HYDROXIDE/ALUMINIUM HYDROXIDE/SIMETHICONE</v>
      </c>
      <c r="D764" s="654" t="str">
        <f>THL!C14</f>
        <v>BOTT</v>
      </c>
      <c r="E764" s="653">
        <v>100</v>
      </c>
      <c r="F764" s="38">
        <f>THL!E14</f>
        <v>410</v>
      </c>
      <c r="G764" s="38">
        <f t="shared" si="31"/>
        <v>41000</v>
      </c>
      <c r="H764" s="186">
        <f>SUM(G756:G764)</f>
        <v>754900</v>
      </c>
    </row>
    <row r="765" spans="1:8" x14ac:dyDescent="0.35">
      <c r="A765" s="35"/>
      <c r="B765" s="653"/>
      <c r="C765" s="653"/>
      <c r="D765" s="654"/>
      <c r="E765" s="653"/>
      <c r="F765" s="38"/>
      <c r="G765" s="38">
        <f t="shared" si="31"/>
        <v>0</v>
      </c>
      <c r="H765" s="76"/>
    </row>
    <row r="766" spans="1:8" x14ac:dyDescent="0.35">
      <c r="A766" s="35"/>
      <c r="B766" s="653"/>
      <c r="C766" s="653"/>
      <c r="D766" s="654"/>
      <c r="E766" s="653"/>
      <c r="F766" s="38"/>
      <c r="G766" s="38">
        <f t="shared" si="31"/>
        <v>0</v>
      </c>
      <c r="H766" s="76"/>
    </row>
    <row r="767" spans="1:8" ht="23.25" x14ac:dyDescent="0.35">
      <c r="A767" s="35">
        <v>45</v>
      </c>
      <c r="B767" s="653"/>
      <c r="C767" s="656" t="str">
        <f>UNIQUE!B1</f>
        <v>UNIQUE PHARMACEUTICALS LIMITED</v>
      </c>
      <c r="D767" s="654"/>
      <c r="E767" s="653"/>
      <c r="F767" s="38"/>
      <c r="G767" s="38">
        <f t="shared" si="31"/>
        <v>0</v>
      </c>
      <c r="H767" s="76"/>
    </row>
    <row r="768" spans="1:8" x14ac:dyDescent="0.35">
      <c r="A768" s="35"/>
      <c r="B768" s="653">
        <f>UNIQUE!A6</f>
        <v>20</v>
      </c>
      <c r="C768" s="653" t="str">
        <f>UNIQUE!B6</f>
        <v>10% DEXTROSE WATER</v>
      </c>
      <c r="D768" s="654">
        <f>UNIQUE!C6</f>
        <v>20</v>
      </c>
      <c r="E768" s="653">
        <v>25</v>
      </c>
      <c r="F768" s="38">
        <f>UNIQUE!E6</f>
        <v>2520</v>
      </c>
      <c r="G768" s="38">
        <f t="shared" si="31"/>
        <v>63000</v>
      </c>
      <c r="H768" s="76"/>
    </row>
    <row r="769" spans="1:8" x14ac:dyDescent="0.35">
      <c r="A769" s="35"/>
      <c r="B769" s="653">
        <f>UNIQUE!A7</f>
        <v>21</v>
      </c>
      <c r="C769" s="653" t="str">
        <f>UNIQUE!B7</f>
        <v>10% MANNITOL</v>
      </c>
      <c r="D769" s="654">
        <f>UNIQUE!C7</f>
        <v>20</v>
      </c>
      <c r="E769" s="653">
        <v>2</v>
      </c>
      <c r="F769" s="38">
        <f>UNIQUE!E7</f>
        <v>5760</v>
      </c>
      <c r="G769" s="38">
        <f t="shared" si="31"/>
        <v>11520</v>
      </c>
      <c r="H769" s="76"/>
    </row>
    <row r="770" spans="1:8" x14ac:dyDescent="0.35">
      <c r="A770" s="35"/>
      <c r="B770" s="653">
        <f>UNIQUE!A8</f>
        <v>26</v>
      </c>
      <c r="C770" s="653" t="str">
        <f>UNIQUE!B8</f>
        <v>50% DEXTROSE WATER</v>
      </c>
      <c r="D770" s="654">
        <f>UNIQUE!C8</f>
        <v>100</v>
      </c>
      <c r="E770" s="653">
        <v>8</v>
      </c>
      <c r="F770" s="38">
        <f>UNIQUE!E8</f>
        <v>12700</v>
      </c>
      <c r="G770" s="38">
        <f t="shared" si="31"/>
        <v>101600</v>
      </c>
      <c r="H770" s="76"/>
    </row>
    <row r="771" spans="1:8" x14ac:dyDescent="0.35">
      <c r="A771" s="35"/>
      <c r="B771" s="653">
        <f>UNIQUE!A9</f>
        <v>47</v>
      </c>
      <c r="C771" s="653" t="str">
        <f>UNIQUE!B9</f>
        <v>ATENOLOL 50MG</v>
      </c>
      <c r="D771" s="654">
        <f>UNIQUE!C9</f>
        <v>28</v>
      </c>
      <c r="E771" s="653">
        <v>500</v>
      </c>
      <c r="F771" s="38">
        <f>UNIQUE!E9</f>
        <v>165</v>
      </c>
      <c r="G771" s="38">
        <f t="shared" si="31"/>
        <v>82500</v>
      </c>
      <c r="H771" s="76"/>
    </row>
    <row r="772" spans="1:8" ht="23.25" x14ac:dyDescent="0.35">
      <c r="A772" s="35"/>
      <c r="B772" s="653">
        <f>UNIQUE!A10</f>
        <v>240</v>
      </c>
      <c r="C772" s="653" t="str">
        <f>UNIQUE!B10</f>
        <v>CLOTRIMAZOLE 1% CREAM 20g</v>
      </c>
      <c r="D772" s="654" t="str">
        <f>UNIQUE!C10</f>
        <v>TUBE</v>
      </c>
      <c r="E772" s="653">
        <v>75</v>
      </c>
      <c r="F772" s="38">
        <f>UNIQUE!E10</f>
        <v>115</v>
      </c>
      <c r="G772" s="38">
        <f t="shared" si="31"/>
        <v>8625</v>
      </c>
      <c r="H772" s="186"/>
    </row>
    <row r="773" spans="1:8" x14ac:dyDescent="0.35">
      <c r="A773" s="35"/>
      <c r="B773" s="653">
        <f>UNIQUE!A11</f>
        <v>477</v>
      </c>
      <c r="C773" s="653" t="str">
        <f>UNIQUE!B11</f>
        <v>DIPHENHYDRAMINE HCL+ AMMONIUM CHLORIDE SYR (Adult)</v>
      </c>
      <c r="D773" s="654" t="str">
        <f>UNIQUE!C11</f>
        <v>BOTT</v>
      </c>
      <c r="E773" s="653">
        <v>400</v>
      </c>
      <c r="F773" s="38">
        <f>UNIQUE!E11</f>
        <v>125</v>
      </c>
      <c r="G773" s="38">
        <f t="shared" si="31"/>
        <v>50000</v>
      </c>
      <c r="H773" s="76"/>
    </row>
    <row r="774" spans="1:8" x14ac:dyDescent="0.35">
      <c r="A774" s="35"/>
      <c r="B774" s="653">
        <f>UNIQUE!A12</f>
        <v>478</v>
      </c>
      <c r="C774" s="653" t="str">
        <f>UNIQUE!B12</f>
        <v>DIPHENHYDRAMINE HCL+ AMMONIUM CHLORIDE SYR (PAED)</v>
      </c>
      <c r="D774" s="654" t="str">
        <f>UNIQUE!C12</f>
        <v>BOTT</v>
      </c>
      <c r="E774" s="653">
        <v>400</v>
      </c>
      <c r="F774" s="38">
        <f>UNIQUE!E12</f>
        <v>115</v>
      </c>
      <c r="G774" s="38">
        <f t="shared" si="31"/>
        <v>46000</v>
      </c>
      <c r="H774" s="76"/>
    </row>
    <row r="775" spans="1:8" x14ac:dyDescent="0.35">
      <c r="A775" s="35"/>
      <c r="B775" s="653">
        <f>UNIQUE!A13</f>
        <v>31</v>
      </c>
      <c r="C775" s="653" t="str">
        <f>UNIQUE!B13</f>
        <v>HARTMANNS (RINGERS LACTATE SOLUTION)</v>
      </c>
      <c r="D775" s="654">
        <f>UNIQUE!C13</f>
        <v>20</v>
      </c>
      <c r="E775" s="653">
        <v>100</v>
      </c>
      <c r="F775" s="38">
        <f>UNIQUE!E13</f>
        <v>2520</v>
      </c>
      <c r="G775" s="38">
        <f t="shared" si="31"/>
        <v>252000</v>
      </c>
      <c r="H775" s="185"/>
    </row>
    <row r="776" spans="1:8" x14ac:dyDescent="0.35">
      <c r="A776" s="35"/>
      <c r="B776" s="653">
        <f>UNIQUE!A14</f>
        <v>163</v>
      </c>
      <c r="C776" s="653" t="str">
        <f>UNIQUE!B14</f>
        <v>IBUPROFEN SYRUP</v>
      </c>
      <c r="D776" s="654" t="str">
        <f>UNIQUE!C14</f>
        <v>BOTT</v>
      </c>
      <c r="E776" s="653">
        <v>125</v>
      </c>
      <c r="F776" s="38">
        <f>UNIQUE!E14</f>
        <v>115</v>
      </c>
      <c r="G776" s="38">
        <f t="shared" si="31"/>
        <v>14375</v>
      </c>
      <c r="H776" s="76"/>
    </row>
    <row r="777" spans="1:8" x14ac:dyDescent="0.35">
      <c r="A777" s="35"/>
      <c r="B777" s="653">
        <f>UNIQUE!A15</f>
        <v>312</v>
      </c>
      <c r="C777" s="653" t="str">
        <f>UNIQUE!B15</f>
        <v>IRON MINERAL VITAMINS CAP</v>
      </c>
      <c r="D777" s="654">
        <f>UNIQUE!C15</f>
        <v>30</v>
      </c>
      <c r="E777" s="653">
        <v>240</v>
      </c>
      <c r="F777" s="38">
        <f>UNIQUE!E15</f>
        <v>170</v>
      </c>
      <c r="G777" s="38">
        <f t="shared" si="31"/>
        <v>40800</v>
      </c>
      <c r="H777" s="76"/>
    </row>
    <row r="778" spans="1:8" ht="23.25" x14ac:dyDescent="0.35">
      <c r="A778" s="35"/>
      <c r="B778" s="653">
        <f>UNIQUE!A16</f>
        <v>491</v>
      </c>
      <c r="C778" s="653" t="str">
        <f>UNIQUE!B16</f>
        <v>PROMETHAZINE SYR</v>
      </c>
      <c r="D778" s="654" t="str">
        <f>UNIQUE!C16</f>
        <v>BOTT</v>
      </c>
      <c r="E778" s="653">
        <v>20</v>
      </c>
      <c r="F778" s="38">
        <f>UNIQUE!E16</f>
        <v>92</v>
      </c>
      <c r="G778" s="38">
        <f t="shared" si="31"/>
        <v>1840</v>
      </c>
      <c r="H778" s="186">
        <f>SUM(G768:G778)</f>
        <v>672260</v>
      </c>
    </row>
    <row r="779" spans="1:8" ht="23.25" x14ac:dyDescent="0.35">
      <c r="A779" s="35"/>
      <c r="B779" s="653"/>
      <c r="C779" s="653"/>
      <c r="D779" s="654"/>
      <c r="E779" s="653"/>
      <c r="F779" s="38"/>
      <c r="G779" s="38">
        <f t="shared" si="31"/>
        <v>0</v>
      </c>
      <c r="H779" s="186"/>
    </row>
    <row r="780" spans="1:8" ht="23.25" x14ac:dyDescent="0.35">
      <c r="A780" s="35"/>
      <c r="B780" s="653"/>
      <c r="C780" s="653"/>
      <c r="D780" s="654"/>
      <c r="E780" s="653"/>
      <c r="F780" s="38"/>
      <c r="G780" s="38">
        <f t="shared" si="31"/>
        <v>0</v>
      </c>
      <c r="H780" s="186"/>
    </row>
    <row r="781" spans="1:8" ht="23.25" x14ac:dyDescent="0.35">
      <c r="A781" s="35"/>
      <c r="B781" s="653"/>
      <c r="C781" s="653"/>
      <c r="D781" s="654"/>
      <c r="E781" s="653"/>
      <c r="F781" s="38"/>
      <c r="G781" s="38">
        <f t="shared" si="31"/>
        <v>0</v>
      </c>
      <c r="H781" s="186"/>
    </row>
    <row r="782" spans="1:8" x14ac:dyDescent="0.35">
      <c r="A782" s="35"/>
      <c r="B782" s="35"/>
      <c r="C782" s="188"/>
      <c r="D782" s="669"/>
      <c r="E782" s="189"/>
      <c r="F782" s="190"/>
      <c r="G782" s="38">
        <f t="shared" si="31"/>
        <v>0</v>
      </c>
      <c r="H782" s="76"/>
    </row>
    <row r="783" spans="1:8" ht="23.25" x14ac:dyDescent="0.35">
      <c r="A783" s="35">
        <v>46</v>
      </c>
      <c r="B783" s="35"/>
      <c r="C783" s="77" t="str">
        <f>VIXA!B1</f>
        <v>VIXA PHARMACEUTICALS LIMITED</v>
      </c>
      <c r="D783" s="669"/>
      <c r="E783" s="189"/>
      <c r="F783" s="190"/>
      <c r="G783" s="38">
        <f t="shared" si="31"/>
        <v>0</v>
      </c>
      <c r="H783" s="76"/>
    </row>
    <row r="784" spans="1:8" x14ac:dyDescent="0.35">
      <c r="A784" s="35"/>
      <c r="B784" s="653">
        <f>VIXA!A6</f>
        <v>200</v>
      </c>
      <c r="C784" s="653" t="str">
        <f>VIXA!B6</f>
        <v>AMOXICILLIN 500MG CAP</v>
      </c>
      <c r="D784" s="654">
        <f>VIXA!C6</f>
        <v>100</v>
      </c>
      <c r="E784" s="653">
        <v>120</v>
      </c>
      <c r="F784" s="38">
        <f>VIXA!E6</f>
        <v>830</v>
      </c>
      <c r="G784" s="38">
        <f t="shared" si="31"/>
        <v>99600</v>
      </c>
      <c r="H784" s="185"/>
    </row>
    <row r="785" spans="1:8" x14ac:dyDescent="0.35">
      <c r="A785" s="35"/>
      <c r="B785" s="653">
        <f>VIXA!A7</f>
        <v>2</v>
      </c>
      <c r="C785" s="653" t="str">
        <f>VIXA!B7</f>
        <v>ARTEMETHER 80MG INJ</v>
      </c>
      <c r="D785" s="654">
        <f>VIXA!C7</f>
        <v>6</v>
      </c>
      <c r="E785" s="653">
        <v>100</v>
      </c>
      <c r="F785" s="38">
        <f>VIXA!E7</f>
        <v>200</v>
      </c>
      <c r="G785" s="38">
        <f t="shared" si="31"/>
        <v>20000</v>
      </c>
      <c r="H785" s="76"/>
    </row>
    <row r="786" spans="1:8" x14ac:dyDescent="0.35">
      <c r="A786" s="35"/>
      <c r="B786" s="653">
        <f>VIXA!A8</f>
        <v>355</v>
      </c>
      <c r="C786" s="653" t="str">
        <f>VIXA!B8</f>
        <v>CARBAMAZEPINE 200MG</v>
      </c>
      <c r="D786" s="654">
        <f>VIXA!C8</f>
        <v>100</v>
      </c>
      <c r="E786" s="653">
        <v>300</v>
      </c>
      <c r="F786" s="38">
        <f>VIXA!E8</f>
        <v>1300</v>
      </c>
      <c r="G786" s="38">
        <f t="shared" si="31"/>
        <v>390000</v>
      </c>
      <c r="H786" s="76"/>
    </row>
    <row r="787" spans="1:8" x14ac:dyDescent="0.35">
      <c r="A787" s="35"/>
      <c r="B787" s="653">
        <f>VIXA!A9</f>
        <v>148</v>
      </c>
      <c r="C787" s="653" t="str">
        <f>VIXA!B9</f>
        <v>DEXAMETHASONE 1MG TAB</v>
      </c>
      <c r="D787" s="654">
        <f>VIXA!C9</f>
        <v>100</v>
      </c>
      <c r="E787" s="653">
        <v>50</v>
      </c>
      <c r="F787" s="38">
        <f>VIXA!E9</f>
        <v>270</v>
      </c>
      <c r="G787" s="38">
        <f t="shared" si="31"/>
        <v>13500</v>
      </c>
      <c r="H787" s="76"/>
    </row>
    <row r="788" spans="1:8" ht="23.25" x14ac:dyDescent="0.35">
      <c r="A788" s="35"/>
      <c r="B788" s="653">
        <f>VIXA!A10</f>
        <v>154</v>
      </c>
      <c r="C788" s="653" t="str">
        <f>VIXA!B10</f>
        <v>DICLOFENAC 100MG TAB</v>
      </c>
      <c r="D788" s="654">
        <f>VIXA!C10</f>
        <v>100</v>
      </c>
      <c r="E788" s="653">
        <v>100</v>
      </c>
      <c r="F788" s="38">
        <f>VIXA!E10</f>
        <v>350</v>
      </c>
      <c r="G788" s="38">
        <f t="shared" si="31"/>
        <v>35000</v>
      </c>
      <c r="H788" s="186"/>
    </row>
    <row r="789" spans="1:8" x14ac:dyDescent="0.35">
      <c r="A789" s="35"/>
      <c r="B789" s="653">
        <f>VIXA!A11</f>
        <v>247</v>
      </c>
      <c r="C789" s="653" t="str">
        <f>VIXA!B11</f>
        <v>ERYTHROMYCIN 125MG/5ML SUSP</v>
      </c>
      <c r="D789" s="654" t="str">
        <f>VIXA!C11</f>
        <v>BOTT</v>
      </c>
      <c r="E789" s="653">
        <v>100</v>
      </c>
      <c r="F789" s="38">
        <f>VIXA!E11</f>
        <v>410</v>
      </c>
      <c r="G789" s="38">
        <f t="shared" si="31"/>
        <v>41000</v>
      </c>
      <c r="H789" s="76"/>
    </row>
    <row r="790" spans="1:8" x14ac:dyDescent="0.35">
      <c r="A790" s="35"/>
      <c r="B790" s="653">
        <f>VIXA!A12</f>
        <v>118</v>
      </c>
      <c r="C790" s="653" t="str">
        <f>VIXA!B12</f>
        <v>GLIBENCLAMIDE 5MG</v>
      </c>
      <c r="D790" s="654">
        <f>VIXA!C12</f>
        <v>100</v>
      </c>
      <c r="E790" s="653">
        <v>63</v>
      </c>
      <c r="F790" s="38">
        <f>VIXA!E12</f>
        <v>250</v>
      </c>
      <c r="G790" s="38">
        <f t="shared" si="31"/>
        <v>15750</v>
      </c>
      <c r="H790" s="76"/>
    </row>
    <row r="791" spans="1:8" x14ac:dyDescent="0.35">
      <c r="A791" s="35"/>
      <c r="B791" s="653">
        <f>VIXA!A13</f>
        <v>80</v>
      </c>
      <c r="C791" s="653" t="str">
        <f>VIXA!B13</f>
        <v>METHYL-DOPA 250MG TAB</v>
      </c>
      <c r="D791" s="654">
        <f>VIXA!C13</f>
        <v>100</v>
      </c>
      <c r="E791" s="653">
        <v>300</v>
      </c>
      <c r="F791" s="38">
        <f>VIXA!E13</f>
        <v>1450</v>
      </c>
      <c r="G791" s="38">
        <f t="shared" si="31"/>
        <v>435000</v>
      </c>
      <c r="H791" s="185"/>
    </row>
    <row r="792" spans="1:8" ht="23.25" x14ac:dyDescent="0.35">
      <c r="A792" s="35"/>
      <c r="B792" s="653">
        <f>VIXA!A14</f>
        <v>437</v>
      </c>
      <c r="C792" s="653" t="str">
        <f>VIXA!B14</f>
        <v>METOCLOPRAMIDE 10MG TAB</v>
      </c>
      <c r="D792" s="654">
        <f>VIXA!C14</f>
        <v>100</v>
      </c>
      <c r="E792" s="653">
        <v>16</v>
      </c>
      <c r="F792" s="38">
        <f>VIXA!E14</f>
        <v>330</v>
      </c>
      <c r="G792" s="38">
        <f t="shared" si="31"/>
        <v>5280</v>
      </c>
      <c r="H792" s="186">
        <f>SUM(G784:G792)</f>
        <v>1055130</v>
      </c>
    </row>
    <row r="793" spans="1:8" x14ac:dyDescent="0.35">
      <c r="A793" s="35"/>
      <c r="B793" s="653"/>
      <c r="C793" s="653"/>
      <c r="D793" s="654"/>
      <c r="E793" s="653"/>
      <c r="F793" s="38"/>
      <c r="G793" s="38">
        <f t="shared" si="31"/>
        <v>0</v>
      </c>
      <c r="H793" s="76"/>
    </row>
    <row r="794" spans="1:8" x14ac:dyDescent="0.35">
      <c r="A794" s="35"/>
      <c r="B794" s="653"/>
      <c r="C794" s="653"/>
      <c r="D794" s="654"/>
      <c r="E794" s="653"/>
      <c r="F794" s="38"/>
      <c r="G794" s="38">
        <f t="shared" si="31"/>
        <v>0</v>
      </c>
      <c r="H794" s="76"/>
    </row>
    <row r="795" spans="1:8" x14ac:dyDescent="0.35">
      <c r="A795" s="35"/>
      <c r="B795" s="653"/>
      <c r="C795" s="653"/>
      <c r="D795" s="654"/>
      <c r="E795" s="653"/>
      <c r="F795" s="38"/>
      <c r="G795" s="38">
        <f t="shared" si="31"/>
        <v>0</v>
      </c>
      <c r="H795" s="76"/>
    </row>
    <row r="796" spans="1:8" ht="23.25" x14ac:dyDescent="0.35">
      <c r="A796" s="35">
        <v>47</v>
      </c>
      <c r="B796" s="653"/>
      <c r="C796" s="656" t="str">
        <f>WWCV!B1</f>
        <v>WORLDWIDE COMMERCIAL VENTURES LIMITED</v>
      </c>
      <c r="D796" s="654"/>
      <c r="E796" s="653"/>
      <c r="F796" s="38"/>
      <c r="G796" s="38">
        <f t="shared" si="31"/>
        <v>0</v>
      </c>
      <c r="H796" s="186"/>
    </row>
    <row r="797" spans="1:8" x14ac:dyDescent="0.35">
      <c r="A797" s="35"/>
      <c r="B797" s="653">
        <f>WWCV!A6</f>
        <v>227</v>
      </c>
      <c r="C797" s="653" t="str">
        <f>WWCV!B6</f>
        <v>CEFTAZIDIME 1G INJ</v>
      </c>
      <c r="D797" s="654" t="str">
        <f>WWCV!C6</f>
        <v>VIAL</v>
      </c>
      <c r="E797" s="653">
        <v>300</v>
      </c>
      <c r="F797" s="38">
        <f>WWCV!E6</f>
        <v>2419</v>
      </c>
      <c r="G797" s="38">
        <f t="shared" si="31"/>
        <v>725700</v>
      </c>
      <c r="H797" s="76"/>
    </row>
    <row r="798" spans="1:8" x14ac:dyDescent="0.35">
      <c r="A798" s="35"/>
      <c r="B798" s="653">
        <f>WWCV!A7</f>
        <v>228</v>
      </c>
      <c r="C798" s="653" t="str">
        <f>WWCV!B7</f>
        <v>CEFTRIAXONE 1G INJ</v>
      </c>
      <c r="D798" s="654" t="str">
        <f>WWCV!C7</f>
        <v>VIAL</v>
      </c>
      <c r="E798" s="653">
        <v>2250</v>
      </c>
      <c r="F798" s="38">
        <f>WWCV!E7</f>
        <v>1960</v>
      </c>
      <c r="G798" s="38">
        <f t="shared" si="31"/>
        <v>4410000</v>
      </c>
      <c r="H798" s="76"/>
    </row>
    <row r="799" spans="1:8" x14ac:dyDescent="0.35">
      <c r="A799" s="35"/>
      <c r="B799" s="653">
        <f>WWCV!A8</f>
        <v>475</v>
      </c>
      <c r="C799" s="653" t="str">
        <f>WWCV!B8</f>
        <v>CINNARIZINE 25MG</v>
      </c>
      <c r="D799" s="654">
        <f>WWCV!C8</f>
        <v>50</v>
      </c>
      <c r="E799" s="653">
        <v>50</v>
      </c>
      <c r="F799" s="38">
        <f>WWCV!E8</f>
        <v>1079</v>
      </c>
      <c r="G799" s="38">
        <f t="shared" si="31"/>
        <v>53950</v>
      </c>
      <c r="H799" s="185"/>
    </row>
    <row r="800" spans="1:8" x14ac:dyDescent="0.35">
      <c r="A800" s="35"/>
      <c r="B800" s="653">
        <f>WWCV!A9</f>
        <v>548</v>
      </c>
      <c r="C800" s="653" t="str">
        <f>WWCV!B9</f>
        <v>CYCLOSPORIN 50MG CAP</v>
      </c>
      <c r="D800" s="654">
        <f>WWCV!C9</f>
        <v>30</v>
      </c>
      <c r="E800" s="653">
        <v>5</v>
      </c>
      <c r="F800" s="38">
        <f>WWCV!E9</f>
        <v>53088</v>
      </c>
      <c r="G800" s="38">
        <f t="shared" si="31"/>
        <v>265440</v>
      </c>
      <c r="H800" s="76"/>
    </row>
    <row r="801" spans="1:8" x14ac:dyDescent="0.35">
      <c r="A801" s="35"/>
      <c r="B801" s="653">
        <f>WWCV!A10</f>
        <v>550</v>
      </c>
      <c r="C801" s="653" t="str">
        <f>WWCV!B10</f>
        <v>DEPO-PROVERA (150MG/ML) INJ</v>
      </c>
      <c r="D801" s="654" t="str">
        <f>WWCV!C10</f>
        <v>VIAL</v>
      </c>
      <c r="E801" s="653">
        <v>13</v>
      </c>
      <c r="F801" s="38">
        <f>WWCV!E10</f>
        <v>34800</v>
      </c>
      <c r="G801" s="38">
        <f t="shared" si="31"/>
        <v>452400</v>
      </c>
      <c r="H801" s="76"/>
    </row>
    <row r="802" spans="1:8" x14ac:dyDescent="0.35">
      <c r="A802" s="35"/>
      <c r="B802" s="653">
        <f>WWCV!A11</f>
        <v>361</v>
      </c>
      <c r="C802" s="653" t="str">
        <f>WWCV!B11</f>
        <v>DIAZEPAM 10MG INJ  ROCHE</v>
      </c>
      <c r="D802" s="654">
        <f>WWCV!C11</f>
        <v>10</v>
      </c>
      <c r="E802" s="653">
        <v>90</v>
      </c>
      <c r="F802" s="38">
        <f>WWCV!E11</f>
        <v>6000</v>
      </c>
      <c r="G802" s="38">
        <f t="shared" si="31"/>
        <v>540000</v>
      </c>
      <c r="H802" s="76"/>
    </row>
    <row r="803" spans="1:8" ht="23.25" x14ac:dyDescent="0.35">
      <c r="A803" s="35"/>
      <c r="B803" s="653">
        <f>WWCV!A12</f>
        <v>554</v>
      </c>
      <c r="C803" s="653" t="str">
        <f>WWCV!B12</f>
        <v>GOSERELIN ACETATE INJ</v>
      </c>
      <c r="D803" s="654">
        <f>WWCV!C12</f>
        <v>1</v>
      </c>
      <c r="E803" s="653">
        <v>2</v>
      </c>
      <c r="F803" s="38">
        <f>WWCV!E12</f>
        <v>120000</v>
      </c>
      <c r="G803" s="38">
        <f t="shared" si="31"/>
        <v>240000</v>
      </c>
      <c r="H803" s="186"/>
    </row>
    <row r="804" spans="1:8" x14ac:dyDescent="0.35">
      <c r="A804" s="35"/>
      <c r="B804" s="653">
        <f>WWCV!A13</f>
        <v>126</v>
      </c>
      <c r="C804" s="653" t="str">
        <f>WWCV!B13</f>
        <v xml:space="preserve">INSULIN 30/70 FLEX-PEN </v>
      </c>
      <c r="D804" s="654">
        <f>WWCV!C13</f>
        <v>5</v>
      </c>
      <c r="E804" s="653">
        <v>30</v>
      </c>
      <c r="F804" s="38">
        <f>WWCV!E13</f>
        <v>8160</v>
      </c>
      <c r="G804" s="38">
        <f t="shared" si="31"/>
        <v>244800</v>
      </c>
      <c r="H804" s="76"/>
    </row>
    <row r="805" spans="1:8" x14ac:dyDescent="0.35">
      <c r="A805" s="35"/>
      <c r="B805" s="653">
        <f>WWCV!A14</f>
        <v>127</v>
      </c>
      <c r="C805" s="653" t="str">
        <f>WWCV!B14</f>
        <v>INSULIN 30/70 INJ  (10ML)</v>
      </c>
      <c r="D805" s="654" t="str">
        <f>WWCV!C14</f>
        <v>VIAL</v>
      </c>
      <c r="E805" s="653">
        <v>225</v>
      </c>
      <c r="F805" s="38">
        <f>WWCV!E14</f>
        <v>2992</v>
      </c>
      <c r="G805" s="38">
        <f t="shared" si="31"/>
        <v>673200</v>
      </c>
      <c r="H805" s="76"/>
    </row>
    <row r="806" spans="1:8" x14ac:dyDescent="0.35">
      <c r="A806" s="35"/>
      <c r="B806" s="653">
        <f>WWCV!A15</f>
        <v>128</v>
      </c>
      <c r="C806" s="653" t="str">
        <f>WWCV!B15</f>
        <v>INSULIN DETEMIR</v>
      </c>
      <c r="D806" s="654">
        <f>WWCV!C15</f>
        <v>5</v>
      </c>
      <c r="E806" s="653">
        <v>10</v>
      </c>
      <c r="F806" s="38">
        <f>WWCV!E15</f>
        <v>14076</v>
      </c>
      <c r="G806" s="38">
        <f t="shared" si="31"/>
        <v>140760</v>
      </c>
      <c r="H806" s="185"/>
    </row>
    <row r="807" spans="1:8" x14ac:dyDescent="0.35">
      <c r="A807" s="35"/>
      <c r="B807" s="653">
        <f>WWCV!A16</f>
        <v>129</v>
      </c>
      <c r="C807" s="653" t="str">
        <f>WWCV!B16</f>
        <v>INSULIN GLARGIN</v>
      </c>
      <c r="D807" s="654">
        <f>WWCV!C16</f>
        <v>5</v>
      </c>
      <c r="E807" s="653">
        <v>6</v>
      </c>
      <c r="F807" s="38">
        <f>WWCV!E16</f>
        <v>14600</v>
      </c>
      <c r="G807" s="38">
        <f t="shared" si="31"/>
        <v>87600</v>
      </c>
      <c r="H807" s="76"/>
    </row>
    <row r="808" spans="1:8" x14ac:dyDescent="0.35">
      <c r="A808" s="35"/>
      <c r="B808" s="653">
        <f>WWCV!A17</f>
        <v>135</v>
      </c>
      <c r="C808" s="653" t="str">
        <f>WWCV!B17</f>
        <v>NOVOMIX INSULIN</v>
      </c>
      <c r="D808" s="654">
        <f>WWCV!C17</f>
        <v>5</v>
      </c>
      <c r="E808" s="653">
        <v>20</v>
      </c>
      <c r="F808" s="38">
        <f>WWCV!E17</f>
        <v>16524</v>
      </c>
      <c r="G808" s="38">
        <f t="shared" si="31"/>
        <v>330480</v>
      </c>
      <c r="H808" s="76"/>
    </row>
    <row r="809" spans="1:8" x14ac:dyDescent="0.35">
      <c r="A809" s="35"/>
      <c r="B809" s="653">
        <f>WWCV!A18</f>
        <v>137</v>
      </c>
      <c r="C809" s="653" t="str">
        <f>WWCV!B18</f>
        <v>SOLUBLE INSULIN FLEX-PEN</v>
      </c>
      <c r="D809" s="654">
        <f>WWCV!C18</f>
        <v>5</v>
      </c>
      <c r="E809" s="653">
        <v>25</v>
      </c>
      <c r="F809" s="38">
        <f>WWCV!E18</f>
        <v>8160</v>
      </c>
      <c r="G809" s="38">
        <f t="shared" si="31"/>
        <v>204000</v>
      </c>
      <c r="H809" s="76"/>
    </row>
    <row r="810" spans="1:8" ht="23.25" x14ac:dyDescent="0.35">
      <c r="A810" s="35"/>
      <c r="B810" s="653">
        <f>WWCV!A19</f>
        <v>138</v>
      </c>
      <c r="C810" s="653" t="str">
        <f>WWCV!B19</f>
        <v>SOLUBLE INSULIN INJ  (10ML)</v>
      </c>
      <c r="D810" s="654" t="str">
        <f>WWCV!C19</f>
        <v>VIAL</v>
      </c>
      <c r="E810" s="653">
        <v>150</v>
      </c>
      <c r="F810" s="38">
        <f>WWCV!E19</f>
        <v>2992</v>
      </c>
      <c r="G810" s="38">
        <f t="shared" si="31"/>
        <v>448800</v>
      </c>
      <c r="H810" s="186"/>
    </row>
    <row r="811" spans="1:8" x14ac:dyDescent="0.35">
      <c r="A811" s="35"/>
      <c r="B811" s="653">
        <f>WWCV!A20</f>
        <v>191</v>
      </c>
      <c r="C811" s="653" t="str">
        <f>WWCV!B20</f>
        <v>TIZANIDINE 2MG TAB</v>
      </c>
      <c r="D811" s="654">
        <f>WWCV!C20</f>
        <v>30</v>
      </c>
      <c r="E811" s="653">
        <v>400</v>
      </c>
      <c r="F811" s="38">
        <f>WWCV!E20</f>
        <v>1964</v>
      </c>
      <c r="G811" s="38">
        <f t="shared" si="31"/>
        <v>785600</v>
      </c>
      <c r="H811" s="76"/>
    </row>
    <row r="812" spans="1:8" x14ac:dyDescent="0.35">
      <c r="A812" s="35"/>
      <c r="B812" s="653">
        <f>WWCV!A21</f>
        <v>533</v>
      </c>
      <c r="C812" s="653" t="str">
        <f>WWCV!B21</f>
        <v>TOBRAMYCIN EYE DROP</v>
      </c>
      <c r="D812" s="654" t="str">
        <f>WWCV!C21</f>
        <v>BOTT</v>
      </c>
      <c r="E812" s="653">
        <v>20</v>
      </c>
      <c r="F812" s="38">
        <f>WWCV!E21</f>
        <v>1343</v>
      </c>
      <c r="G812" s="38">
        <f t="shared" si="31"/>
        <v>26860</v>
      </c>
      <c r="H812" s="76"/>
    </row>
    <row r="813" spans="1:8" ht="23.25" x14ac:dyDescent="0.35">
      <c r="A813" s="35"/>
      <c r="B813" s="653">
        <f>WWCV!A22</f>
        <v>534</v>
      </c>
      <c r="C813" s="653" t="str">
        <f>WWCV!B22</f>
        <v>TOBRAMYCIN EYE OINTMENT</v>
      </c>
      <c r="D813" s="654" t="str">
        <f>WWCV!C22</f>
        <v>BOTT</v>
      </c>
      <c r="E813" s="653">
        <v>10</v>
      </c>
      <c r="F813" s="38">
        <f>WWCV!E22</f>
        <v>1749</v>
      </c>
      <c r="G813" s="38">
        <f t="shared" si="31"/>
        <v>17490</v>
      </c>
      <c r="H813" s="186">
        <f>SUM(G797:G813)</f>
        <v>9647080</v>
      </c>
    </row>
    <row r="814" spans="1:8" x14ac:dyDescent="0.35">
      <c r="A814" s="35"/>
      <c r="B814" s="653"/>
      <c r="C814" s="653"/>
      <c r="D814" s="654"/>
      <c r="E814" s="653"/>
      <c r="F814" s="38"/>
      <c r="G814" s="38">
        <f t="shared" si="31"/>
        <v>0</v>
      </c>
      <c r="H814" s="76"/>
    </row>
    <row r="815" spans="1:8" x14ac:dyDescent="0.35">
      <c r="A815" s="35"/>
      <c r="B815" s="653"/>
      <c r="C815" s="653"/>
      <c r="D815" s="654"/>
      <c r="E815" s="653"/>
      <c r="F815" s="38"/>
      <c r="G815" s="38">
        <f t="shared" si="31"/>
        <v>0</v>
      </c>
      <c r="H815" s="76"/>
    </row>
    <row r="816" spans="1:8" x14ac:dyDescent="0.35">
      <c r="A816" s="35"/>
      <c r="B816" s="653"/>
      <c r="C816" s="653"/>
      <c r="D816" s="654"/>
      <c r="E816" s="653"/>
      <c r="F816" s="38"/>
      <c r="G816" s="38">
        <f t="shared" si="31"/>
        <v>0</v>
      </c>
      <c r="H816" s="76"/>
    </row>
    <row r="817" spans="1:8" x14ac:dyDescent="0.35">
      <c r="A817" s="35"/>
      <c r="B817" s="653"/>
      <c r="C817" s="653"/>
      <c r="D817" s="654"/>
      <c r="E817" s="653"/>
      <c r="F817" s="38"/>
      <c r="G817" s="38">
        <f t="shared" si="31"/>
        <v>0</v>
      </c>
      <c r="H817" s="76"/>
    </row>
    <row r="818" spans="1:8" ht="23.25" x14ac:dyDescent="0.35">
      <c r="A818" s="35">
        <v>48</v>
      </c>
      <c r="B818" s="653"/>
      <c r="C818" s="656" t="str">
        <f>ZOLON!B1</f>
        <v>ZOLON HEALTHCARE LIMITED</v>
      </c>
      <c r="D818" s="654"/>
      <c r="E818" s="653"/>
      <c r="F818" s="38"/>
      <c r="G818" s="38">
        <f t="shared" si="31"/>
        <v>0</v>
      </c>
      <c r="H818" s="76"/>
    </row>
    <row r="819" spans="1:8" ht="23.25" x14ac:dyDescent="0.35">
      <c r="A819" s="35"/>
      <c r="B819" s="653">
        <f>ZOLON!A6</f>
        <v>10</v>
      </c>
      <c r="C819" s="653" t="str">
        <f>ZOLON!B6</f>
        <v>ARTESUNATE 60MG INJ</v>
      </c>
      <c r="D819" s="654">
        <f>ZOLON!C6</f>
        <v>6</v>
      </c>
      <c r="E819" s="653">
        <v>56</v>
      </c>
      <c r="F819" s="38">
        <f>ZOLON!E6</f>
        <v>2500</v>
      </c>
      <c r="G819" s="38">
        <f t="shared" si="31"/>
        <v>140000</v>
      </c>
      <c r="H819" s="186"/>
    </row>
    <row r="820" spans="1:8" x14ac:dyDescent="0.35">
      <c r="A820" s="35"/>
      <c r="B820" s="653">
        <f>ZOLON!A7</f>
        <v>57</v>
      </c>
      <c r="C820" s="653" t="str">
        <f>ZOLON!B7</f>
        <v>CLOPIDOGREL 75MG TAB</v>
      </c>
      <c r="D820" s="654">
        <f>ZOLON!C7</f>
        <v>30</v>
      </c>
      <c r="E820" s="653">
        <v>1000</v>
      </c>
      <c r="F820" s="38">
        <f>ZOLON!E7</f>
        <v>700</v>
      </c>
      <c r="G820" s="38">
        <f t="shared" si="31"/>
        <v>700000</v>
      </c>
      <c r="H820" s="76"/>
    </row>
    <row r="821" spans="1:8" x14ac:dyDescent="0.35">
      <c r="A821" s="35"/>
      <c r="B821" s="653">
        <f>ZOLON!A8</f>
        <v>241</v>
      </c>
      <c r="C821" s="653" t="str">
        <f>ZOLON!B8</f>
        <v>CLOTRIMAZOLE PESSARY</v>
      </c>
      <c r="D821" s="654">
        <f>ZOLON!C8</f>
        <v>6</v>
      </c>
      <c r="E821" s="653">
        <v>50</v>
      </c>
      <c r="F821" s="38">
        <f>ZOLON!E8</f>
        <v>200</v>
      </c>
      <c r="G821" s="38">
        <f t="shared" ref="G821:G828" si="32">E821*F821</f>
        <v>10000</v>
      </c>
      <c r="H821" s="76"/>
    </row>
    <row r="822" spans="1:8" x14ac:dyDescent="0.35">
      <c r="A822" s="35"/>
      <c r="B822" s="653">
        <f>ZOLON!A9</f>
        <v>420</v>
      </c>
      <c r="C822" s="653" t="str">
        <f>ZOLON!B9</f>
        <v xml:space="preserve">HEPATITIS B IMMUNOGLOBULIN </v>
      </c>
      <c r="D822" s="654" t="str">
        <f>ZOLON!C9</f>
        <v>VIAL</v>
      </c>
      <c r="E822" s="653">
        <v>2</v>
      </c>
      <c r="F822" s="38">
        <f>ZOLON!E9</f>
        <v>8000</v>
      </c>
      <c r="G822" s="38">
        <f t="shared" si="32"/>
        <v>16000</v>
      </c>
      <c r="H822" s="185"/>
    </row>
    <row r="823" spans="1:8" x14ac:dyDescent="0.35">
      <c r="A823" s="35"/>
      <c r="B823" s="653">
        <f>ZOLON!A10</f>
        <v>389</v>
      </c>
      <c r="C823" s="653" t="str">
        <f>ZOLON!B10</f>
        <v>MAGNESIUM SULPHATE INJ</v>
      </c>
      <c r="D823" s="654">
        <f>ZOLON!C10</f>
        <v>5</v>
      </c>
      <c r="E823" s="653">
        <v>50</v>
      </c>
      <c r="F823" s="38">
        <f>ZOLON!E10</f>
        <v>900</v>
      </c>
      <c r="G823" s="38">
        <f t="shared" si="32"/>
        <v>45000</v>
      </c>
      <c r="H823" s="185"/>
    </row>
    <row r="824" spans="1:8" x14ac:dyDescent="0.35">
      <c r="A824" s="35"/>
      <c r="B824" s="653">
        <f>ZOLON!A11</f>
        <v>133</v>
      </c>
      <c r="C824" s="653" t="str">
        <f>ZOLON!B11</f>
        <v>METFORMIN HCL 1000MG TAB</v>
      </c>
      <c r="D824" s="654">
        <f>ZOLON!C11</f>
        <v>100</v>
      </c>
      <c r="E824" s="653">
        <v>500</v>
      </c>
      <c r="F824" s="38">
        <f>ZOLON!E11</f>
        <v>2300</v>
      </c>
      <c r="G824" s="38">
        <f t="shared" si="32"/>
        <v>1150000</v>
      </c>
      <c r="H824" s="76"/>
    </row>
    <row r="825" spans="1:8" x14ac:dyDescent="0.35">
      <c r="A825" s="35"/>
      <c r="B825" s="653">
        <f>ZOLON!A12</f>
        <v>443</v>
      </c>
      <c r="C825" s="653" t="str">
        <f>ZOLON!B12</f>
        <v>OMEPRAZOLE/CLARITHROMYCIN+TINIDAZOLE CAP</v>
      </c>
      <c r="D825" s="654">
        <f>ZOLON!C12</f>
        <v>42</v>
      </c>
      <c r="E825" s="653">
        <v>52</v>
      </c>
      <c r="F825" s="38">
        <f>ZOLON!E12</f>
        <v>1900</v>
      </c>
      <c r="G825" s="38">
        <f t="shared" si="32"/>
        <v>98800</v>
      </c>
      <c r="H825" s="76"/>
    </row>
    <row r="826" spans="1:8" x14ac:dyDescent="0.35">
      <c r="A826" s="35"/>
      <c r="B826" s="653">
        <f>ZOLON!A13</f>
        <v>184</v>
      </c>
      <c r="C826" s="653" t="str">
        <f>ZOLON!B13</f>
        <v>PENTAZOCIN 30MG INJ</v>
      </c>
      <c r="D826" s="654">
        <f>ZOLON!C13</f>
        <v>10</v>
      </c>
      <c r="E826" s="653">
        <v>90</v>
      </c>
      <c r="F826" s="38">
        <f>ZOLON!E13</f>
        <v>750</v>
      </c>
      <c r="G826" s="38">
        <f t="shared" si="32"/>
        <v>67500</v>
      </c>
      <c r="H826" s="76"/>
    </row>
    <row r="827" spans="1:8" ht="23.25" x14ac:dyDescent="0.35">
      <c r="A827" s="35"/>
      <c r="B827" s="653">
        <f>ZOLON!A14</f>
        <v>98</v>
      </c>
      <c r="C827" s="653" t="str">
        <f>ZOLON!B14</f>
        <v>ROSUVASTATIN 10MG</v>
      </c>
      <c r="D827" s="654">
        <f>ZOLON!C14</f>
        <v>30</v>
      </c>
      <c r="E827" s="653">
        <v>600</v>
      </c>
      <c r="F827" s="38">
        <f>ZOLON!E14</f>
        <v>1700</v>
      </c>
      <c r="G827" s="38">
        <f t="shared" si="32"/>
        <v>1020000</v>
      </c>
      <c r="H827" s="186"/>
    </row>
    <row r="828" spans="1:8" ht="23.25" x14ac:dyDescent="0.35">
      <c r="A828" s="35"/>
      <c r="B828" s="653">
        <f>ZOLON!A15</f>
        <v>99</v>
      </c>
      <c r="C828" s="653" t="str">
        <f>ZOLON!B15</f>
        <v xml:space="preserve">ROSUVASTATIN 20MG </v>
      </c>
      <c r="D828" s="654">
        <f>ZOLON!C15</f>
        <v>30</v>
      </c>
      <c r="E828" s="653">
        <v>30</v>
      </c>
      <c r="F828" s="38">
        <f>ZOLON!E15</f>
        <v>2300</v>
      </c>
      <c r="G828" s="38">
        <f t="shared" si="32"/>
        <v>69000</v>
      </c>
      <c r="H828" s="186">
        <f>SUM(G819:G828)</f>
        <v>3316300</v>
      </c>
    </row>
    <row r="829" spans="1:8" x14ac:dyDescent="0.35">
      <c r="A829" s="35"/>
      <c r="B829" s="653"/>
      <c r="C829" s="653"/>
      <c r="D829" s="654"/>
      <c r="E829" s="653"/>
      <c r="F829" s="38"/>
      <c r="G829" s="38"/>
      <c r="H829" s="76"/>
    </row>
    <row r="830" spans="1:8" ht="21.75" thickBot="1" x14ac:dyDescent="0.4">
      <c r="A830" s="35"/>
      <c r="B830" s="35"/>
      <c r="C830" s="188"/>
      <c r="D830" s="669"/>
      <c r="E830" s="189"/>
      <c r="F830" s="190"/>
      <c r="G830" s="191"/>
      <c r="H830" s="185"/>
    </row>
    <row r="831" spans="1:8" ht="27" thickBot="1" x14ac:dyDescent="0.45">
      <c r="A831" s="35"/>
      <c r="B831" s="35"/>
      <c r="C831" s="188"/>
      <c r="D831" s="669"/>
      <c r="E831" s="189"/>
      <c r="F831" s="190"/>
      <c r="G831" s="193"/>
      <c r="H831" s="194">
        <f>SUM(G8:G829)</f>
        <v>147987361.88199997</v>
      </c>
    </row>
    <row r="841" spans="1:7" s="80" customFormat="1" ht="31.5" x14ac:dyDescent="0.5">
      <c r="A841" s="42"/>
      <c r="B841" s="42"/>
      <c r="C841" s="840" t="s">
        <v>2158</v>
      </c>
      <c r="D841" s="840"/>
      <c r="E841" s="840"/>
      <c r="F841" s="840"/>
      <c r="G841" s="73"/>
    </row>
    <row r="842" spans="1:7" s="80" customFormat="1" ht="26.25" x14ac:dyDescent="0.4">
      <c r="A842" s="42"/>
      <c r="B842" s="35"/>
      <c r="C842" s="670" t="s">
        <v>917</v>
      </c>
      <c r="D842" s="834" t="s">
        <v>918</v>
      </c>
      <c r="E842" s="835"/>
      <c r="F842" s="835"/>
      <c r="G842" s="657"/>
    </row>
    <row r="843" spans="1:7" s="80" customFormat="1" ht="26.25" x14ac:dyDescent="0.4">
      <c r="A843" s="42"/>
      <c r="B843" s="35"/>
      <c r="C843" s="188"/>
      <c r="D843" s="834"/>
      <c r="E843" s="835"/>
      <c r="F843" s="835"/>
      <c r="G843" s="657"/>
    </row>
    <row r="844" spans="1:7" s="80" customFormat="1" ht="26.25" x14ac:dyDescent="0.4">
      <c r="A844" s="42"/>
      <c r="B844" s="35">
        <v>1</v>
      </c>
      <c r="C844" s="68"/>
      <c r="D844" s="826"/>
      <c r="E844" s="827"/>
      <c r="F844" s="827"/>
      <c r="G844" s="657"/>
    </row>
    <row r="845" spans="1:7" s="80" customFormat="1" ht="26.25" x14ac:dyDescent="0.4">
      <c r="A845" s="42"/>
      <c r="B845" s="35">
        <f>1+B844</f>
        <v>2</v>
      </c>
      <c r="C845" s="68"/>
      <c r="D845" s="826"/>
      <c r="E845" s="827"/>
      <c r="F845" s="827"/>
      <c r="G845" s="657"/>
    </row>
    <row r="846" spans="1:7" s="80" customFormat="1" ht="26.25" x14ac:dyDescent="0.4">
      <c r="A846" s="42"/>
      <c r="B846" s="35">
        <f t="shared" ref="B846:B891" si="33">1+B845</f>
        <v>3</v>
      </c>
      <c r="C846" s="68"/>
      <c r="D846" s="826"/>
      <c r="E846" s="827"/>
      <c r="F846" s="827"/>
      <c r="G846" s="657"/>
    </row>
    <row r="847" spans="1:7" s="80" customFormat="1" ht="26.25" x14ac:dyDescent="0.4">
      <c r="A847" s="42"/>
      <c r="B847" s="35">
        <f t="shared" si="33"/>
        <v>4</v>
      </c>
      <c r="C847" s="68"/>
      <c r="D847" s="826"/>
      <c r="E847" s="827"/>
      <c r="F847" s="827"/>
      <c r="G847" s="657"/>
    </row>
    <row r="848" spans="1:7" s="80" customFormat="1" ht="26.25" x14ac:dyDescent="0.4">
      <c r="A848" s="42"/>
      <c r="B848" s="35">
        <f t="shared" si="33"/>
        <v>5</v>
      </c>
      <c r="C848" s="655"/>
      <c r="D848" s="826"/>
      <c r="E848" s="827"/>
      <c r="F848" s="827"/>
      <c r="G848" s="657"/>
    </row>
    <row r="849" spans="1:7" s="80" customFormat="1" ht="26.25" x14ac:dyDescent="0.4">
      <c r="A849" s="42"/>
      <c r="B849" s="35">
        <f t="shared" si="33"/>
        <v>6</v>
      </c>
      <c r="C849" s="655"/>
      <c r="D849" s="826"/>
      <c r="E849" s="827"/>
      <c r="F849" s="827"/>
      <c r="G849" s="657"/>
    </row>
    <row r="850" spans="1:7" s="80" customFormat="1" ht="26.25" x14ac:dyDescent="0.4">
      <c r="A850" s="42"/>
      <c r="B850" s="35">
        <f t="shared" si="33"/>
        <v>7</v>
      </c>
      <c r="C850" s="655"/>
      <c r="D850" s="826"/>
      <c r="E850" s="827"/>
      <c r="F850" s="827"/>
      <c r="G850" s="657"/>
    </row>
    <row r="851" spans="1:7" s="80" customFormat="1" ht="26.25" x14ac:dyDescent="0.4">
      <c r="A851" s="42"/>
      <c r="B851" s="35">
        <f t="shared" si="33"/>
        <v>8</v>
      </c>
      <c r="C851" s="68"/>
      <c r="D851" s="826"/>
      <c r="E851" s="827"/>
      <c r="F851" s="827"/>
      <c r="G851" s="657"/>
    </row>
    <row r="852" spans="1:7" s="80" customFormat="1" ht="26.25" x14ac:dyDescent="0.4">
      <c r="A852" s="42"/>
      <c r="B852" s="35">
        <f t="shared" si="33"/>
        <v>9</v>
      </c>
      <c r="C852" s="68"/>
      <c r="D852" s="826"/>
      <c r="E852" s="827"/>
      <c r="F852" s="827"/>
      <c r="G852" s="657"/>
    </row>
    <row r="853" spans="1:7" s="80" customFormat="1" ht="26.25" x14ac:dyDescent="0.4">
      <c r="A853" s="42"/>
      <c r="B853" s="35">
        <f t="shared" si="33"/>
        <v>10</v>
      </c>
      <c r="C853" s="655"/>
      <c r="D853" s="826"/>
      <c r="E853" s="827"/>
      <c r="F853" s="827"/>
      <c r="G853" s="657"/>
    </row>
    <row r="854" spans="1:7" s="80" customFormat="1" ht="26.25" x14ac:dyDescent="0.4">
      <c r="A854" s="42"/>
      <c r="B854" s="35">
        <f t="shared" si="33"/>
        <v>11</v>
      </c>
      <c r="C854" s="68"/>
      <c r="D854" s="826"/>
      <c r="E854" s="827"/>
      <c r="F854" s="827"/>
      <c r="G854" s="657"/>
    </row>
    <row r="855" spans="1:7" s="80" customFormat="1" ht="26.25" x14ac:dyDescent="0.4">
      <c r="A855" s="42"/>
      <c r="B855" s="35">
        <f t="shared" si="33"/>
        <v>12</v>
      </c>
      <c r="C855" s="68"/>
      <c r="D855" s="826"/>
      <c r="E855" s="827"/>
      <c r="F855" s="827"/>
      <c r="G855" s="657"/>
    </row>
    <row r="856" spans="1:7" s="80" customFormat="1" ht="26.25" x14ac:dyDescent="0.4">
      <c r="A856" s="42"/>
      <c r="B856" s="35">
        <f t="shared" si="33"/>
        <v>13</v>
      </c>
      <c r="C856" s="68"/>
      <c r="D856" s="826"/>
      <c r="E856" s="827"/>
      <c r="F856" s="827"/>
      <c r="G856" s="657"/>
    </row>
    <row r="857" spans="1:7" s="80" customFormat="1" ht="26.25" x14ac:dyDescent="0.4">
      <c r="A857" s="42"/>
      <c r="B857" s="35">
        <f t="shared" si="33"/>
        <v>14</v>
      </c>
      <c r="C857" s="655"/>
      <c r="D857" s="826"/>
      <c r="E857" s="827"/>
      <c r="F857" s="827"/>
      <c r="G857" s="657"/>
    </row>
    <row r="858" spans="1:7" s="80" customFormat="1" ht="26.25" x14ac:dyDescent="0.4">
      <c r="A858" s="42"/>
      <c r="B858" s="35">
        <f t="shared" si="33"/>
        <v>15</v>
      </c>
      <c r="C858" s="655"/>
      <c r="D858" s="826"/>
      <c r="E858" s="827"/>
      <c r="F858" s="827"/>
      <c r="G858" s="657"/>
    </row>
    <row r="859" spans="1:7" s="80" customFormat="1" ht="26.25" x14ac:dyDescent="0.4">
      <c r="A859" s="42"/>
      <c r="B859" s="35">
        <f t="shared" si="33"/>
        <v>16</v>
      </c>
      <c r="C859" s="655"/>
      <c r="D859" s="826"/>
      <c r="E859" s="827"/>
      <c r="F859" s="827"/>
      <c r="G859" s="657"/>
    </row>
    <row r="860" spans="1:7" s="80" customFormat="1" ht="26.25" x14ac:dyDescent="0.4">
      <c r="A860" s="42"/>
      <c r="B860" s="35">
        <f t="shared" si="33"/>
        <v>17</v>
      </c>
      <c r="C860" s="655"/>
      <c r="D860" s="826"/>
      <c r="E860" s="827"/>
      <c r="F860" s="827"/>
      <c r="G860" s="657"/>
    </row>
    <row r="861" spans="1:7" s="80" customFormat="1" ht="26.25" x14ac:dyDescent="0.4">
      <c r="A861" s="42"/>
      <c r="B861" s="35">
        <f t="shared" si="33"/>
        <v>18</v>
      </c>
      <c r="C861" s="655"/>
      <c r="D861" s="826"/>
      <c r="E861" s="827"/>
      <c r="F861" s="827"/>
      <c r="G861" s="657"/>
    </row>
    <row r="862" spans="1:7" s="80" customFormat="1" ht="26.25" x14ac:dyDescent="0.4">
      <c r="A862" s="42"/>
      <c r="B862" s="35">
        <f t="shared" si="33"/>
        <v>19</v>
      </c>
      <c r="C862" s="655"/>
      <c r="D862" s="826"/>
      <c r="E862" s="827"/>
      <c r="F862" s="827"/>
      <c r="G862" s="657"/>
    </row>
    <row r="863" spans="1:7" s="80" customFormat="1" ht="26.25" x14ac:dyDescent="0.4">
      <c r="A863" s="42"/>
      <c r="B863" s="35">
        <f t="shared" si="33"/>
        <v>20</v>
      </c>
      <c r="C863" s="655"/>
      <c r="D863" s="826"/>
      <c r="E863" s="827"/>
      <c r="F863" s="827"/>
      <c r="G863" s="657"/>
    </row>
    <row r="864" spans="1:7" s="80" customFormat="1" ht="26.25" x14ac:dyDescent="0.4">
      <c r="A864" s="42"/>
      <c r="B864" s="35">
        <f t="shared" si="33"/>
        <v>21</v>
      </c>
      <c r="C864" s="655"/>
      <c r="D864" s="826"/>
      <c r="E864" s="827"/>
      <c r="F864" s="827"/>
      <c r="G864" s="657"/>
    </row>
    <row r="865" spans="1:7" s="80" customFormat="1" ht="26.25" x14ac:dyDescent="0.4">
      <c r="A865" s="42"/>
      <c r="B865" s="35">
        <f t="shared" si="33"/>
        <v>22</v>
      </c>
      <c r="C865" s="655"/>
      <c r="D865" s="826"/>
      <c r="E865" s="827"/>
      <c r="F865" s="827"/>
      <c r="G865" s="657"/>
    </row>
    <row r="866" spans="1:7" s="80" customFormat="1" ht="26.25" x14ac:dyDescent="0.4">
      <c r="A866" s="42"/>
      <c r="B866" s="35">
        <f t="shared" si="33"/>
        <v>23</v>
      </c>
      <c r="C866" s="68"/>
      <c r="D866" s="826"/>
      <c r="E866" s="827"/>
      <c r="F866" s="827"/>
      <c r="G866" s="657"/>
    </row>
    <row r="867" spans="1:7" s="80" customFormat="1" ht="26.25" x14ac:dyDescent="0.4">
      <c r="A867" s="42"/>
      <c r="B867" s="35">
        <f t="shared" si="33"/>
        <v>24</v>
      </c>
      <c r="C867" s="68"/>
      <c r="D867" s="826"/>
      <c r="E867" s="827"/>
      <c r="F867" s="827"/>
      <c r="G867" s="657"/>
    </row>
    <row r="868" spans="1:7" s="80" customFormat="1" ht="26.25" x14ac:dyDescent="0.4">
      <c r="A868" s="42"/>
      <c r="B868" s="35">
        <f t="shared" si="33"/>
        <v>25</v>
      </c>
      <c r="C868" s="655"/>
      <c r="D868" s="826"/>
      <c r="E868" s="827"/>
      <c r="F868" s="827"/>
      <c r="G868" s="657"/>
    </row>
    <row r="869" spans="1:7" s="80" customFormat="1" ht="26.25" x14ac:dyDescent="0.4">
      <c r="A869" s="42"/>
      <c r="B869" s="35">
        <f t="shared" si="33"/>
        <v>26</v>
      </c>
      <c r="C869" s="655"/>
      <c r="D869" s="826"/>
      <c r="E869" s="827"/>
      <c r="F869" s="827"/>
      <c r="G869" s="657"/>
    </row>
    <row r="870" spans="1:7" s="80" customFormat="1" ht="26.25" x14ac:dyDescent="0.4">
      <c r="A870" s="42"/>
      <c r="B870" s="35">
        <f t="shared" si="33"/>
        <v>27</v>
      </c>
      <c r="C870" s="655"/>
      <c r="D870" s="826"/>
      <c r="E870" s="827"/>
      <c r="F870" s="827"/>
      <c r="G870" s="657"/>
    </row>
    <row r="871" spans="1:7" s="80" customFormat="1" ht="26.25" x14ac:dyDescent="0.4">
      <c r="A871" s="42"/>
      <c r="B871" s="35">
        <f t="shared" si="33"/>
        <v>28</v>
      </c>
      <c r="C871" s="655"/>
      <c r="D871" s="826"/>
      <c r="E871" s="827"/>
      <c r="F871" s="827"/>
      <c r="G871" s="657"/>
    </row>
    <row r="872" spans="1:7" s="80" customFormat="1" ht="26.25" x14ac:dyDescent="0.4">
      <c r="A872" s="42"/>
      <c r="B872" s="35">
        <f t="shared" si="33"/>
        <v>29</v>
      </c>
      <c r="C872" s="655"/>
      <c r="D872" s="826"/>
      <c r="E872" s="827"/>
      <c r="F872" s="827"/>
      <c r="G872" s="657"/>
    </row>
    <row r="873" spans="1:7" s="80" customFormat="1" ht="26.25" x14ac:dyDescent="0.4">
      <c r="A873" s="42"/>
      <c r="B873" s="35">
        <f t="shared" si="33"/>
        <v>30</v>
      </c>
      <c r="C873" s="655"/>
      <c r="D873" s="826"/>
      <c r="E873" s="827"/>
      <c r="F873" s="827"/>
      <c r="G873" s="657"/>
    </row>
    <row r="874" spans="1:7" s="80" customFormat="1" ht="26.25" x14ac:dyDescent="0.4">
      <c r="A874" s="42"/>
      <c r="B874" s="35">
        <f t="shared" si="33"/>
        <v>31</v>
      </c>
      <c r="C874" s="655"/>
      <c r="D874" s="826"/>
      <c r="E874" s="827"/>
      <c r="F874" s="827"/>
      <c r="G874" s="657"/>
    </row>
    <row r="875" spans="1:7" s="80" customFormat="1" ht="26.25" x14ac:dyDescent="0.4">
      <c r="A875" s="42"/>
      <c r="B875" s="35">
        <f t="shared" si="33"/>
        <v>32</v>
      </c>
      <c r="C875" s="655"/>
      <c r="D875" s="826"/>
      <c r="E875" s="827"/>
      <c r="F875" s="827"/>
      <c r="G875" s="657"/>
    </row>
    <row r="876" spans="1:7" s="80" customFormat="1" ht="26.25" x14ac:dyDescent="0.4">
      <c r="A876" s="42"/>
      <c r="B876" s="35">
        <f t="shared" si="33"/>
        <v>33</v>
      </c>
      <c r="C876" s="68"/>
      <c r="D876" s="826"/>
      <c r="E876" s="827"/>
      <c r="F876" s="827"/>
      <c r="G876" s="657"/>
    </row>
    <row r="877" spans="1:7" s="80" customFormat="1" ht="26.25" x14ac:dyDescent="0.4">
      <c r="A877" s="42"/>
      <c r="B877" s="35">
        <f t="shared" si="33"/>
        <v>34</v>
      </c>
      <c r="C877" s="68"/>
      <c r="D877" s="826"/>
      <c r="E877" s="827"/>
      <c r="F877" s="827"/>
      <c r="G877" s="657"/>
    </row>
    <row r="878" spans="1:7" s="80" customFormat="1" ht="26.25" x14ac:dyDescent="0.4">
      <c r="A878" s="42"/>
      <c r="B878" s="35">
        <f t="shared" si="33"/>
        <v>35</v>
      </c>
      <c r="C878" s="655"/>
      <c r="D878" s="826"/>
      <c r="E878" s="827"/>
      <c r="F878" s="827"/>
      <c r="G878" s="657"/>
    </row>
    <row r="879" spans="1:7" s="80" customFormat="1" ht="26.25" x14ac:dyDescent="0.4">
      <c r="A879" s="42"/>
      <c r="B879" s="35">
        <f t="shared" si="33"/>
        <v>36</v>
      </c>
      <c r="C879" s="655"/>
      <c r="D879" s="826"/>
      <c r="E879" s="827"/>
      <c r="F879" s="827"/>
      <c r="G879" s="657"/>
    </row>
    <row r="880" spans="1:7" s="80" customFormat="1" ht="26.25" x14ac:dyDescent="0.4">
      <c r="A880" s="42"/>
      <c r="B880" s="35">
        <f t="shared" si="33"/>
        <v>37</v>
      </c>
      <c r="C880" s="655"/>
      <c r="D880" s="826"/>
      <c r="E880" s="827"/>
      <c r="F880" s="827"/>
      <c r="G880" s="657"/>
    </row>
    <row r="881" spans="1:7" s="80" customFormat="1" ht="26.25" x14ac:dyDescent="0.4">
      <c r="A881" s="42"/>
      <c r="B881" s="35">
        <f t="shared" si="33"/>
        <v>38</v>
      </c>
      <c r="C881" s="68"/>
      <c r="D881" s="826"/>
      <c r="E881" s="827"/>
      <c r="F881" s="827"/>
      <c r="G881" s="657"/>
    </row>
    <row r="882" spans="1:7" s="80" customFormat="1" ht="26.25" x14ac:dyDescent="0.4">
      <c r="A882" s="42"/>
      <c r="B882" s="35">
        <f t="shared" si="33"/>
        <v>39</v>
      </c>
      <c r="C882" s="655"/>
      <c r="D882" s="826"/>
      <c r="E882" s="827"/>
      <c r="F882" s="827"/>
      <c r="G882" s="657"/>
    </row>
    <row r="883" spans="1:7" s="80" customFormat="1" ht="26.25" x14ac:dyDescent="0.4">
      <c r="A883" s="42"/>
      <c r="B883" s="35">
        <f t="shared" si="33"/>
        <v>40</v>
      </c>
      <c r="C883" s="68"/>
      <c r="D883" s="826"/>
      <c r="E883" s="827"/>
      <c r="F883" s="827"/>
      <c r="G883" s="657"/>
    </row>
    <row r="884" spans="1:7" s="80" customFormat="1" ht="26.25" x14ac:dyDescent="0.4">
      <c r="A884" s="42"/>
      <c r="B884" s="35">
        <f t="shared" si="33"/>
        <v>41</v>
      </c>
      <c r="C884" s="655"/>
      <c r="D884" s="826"/>
      <c r="E884" s="827"/>
      <c r="F884" s="827"/>
      <c r="G884" s="657"/>
    </row>
    <row r="885" spans="1:7" s="80" customFormat="1" ht="26.25" x14ac:dyDescent="0.4">
      <c r="A885" s="42"/>
      <c r="B885" s="35">
        <f t="shared" si="33"/>
        <v>42</v>
      </c>
      <c r="C885" s="655"/>
      <c r="D885" s="826"/>
      <c r="E885" s="827"/>
      <c r="F885" s="827"/>
      <c r="G885" s="657"/>
    </row>
    <row r="886" spans="1:7" s="80" customFormat="1" ht="26.25" x14ac:dyDescent="0.4">
      <c r="A886" s="42"/>
      <c r="B886" s="35">
        <f t="shared" si="33"/>
        <v>43</v>
      </c>
      <c r="C886" s="655"/>
      <c r="D886" s="826"/>
      <c r="E886" s="827"/>
      <c r="F886" s="827"/>
      <c r="G886" s="657"/>
    </row>
    <row r="887" spans="1:7" s="80" customFormat="1" ht="26.25" x14ac:dyDescent="0.4">
      <c r="A887" s="42"/>
      <c r="B887" s="35">
        <f t="shared" si="33"/>
        <v>44</v>
      </c>
      <c r="C887" s="655"/>
      <c r="D887" s="826"/>
      <c r="E887" s="827"/>
      <c r="F887" s="827"/>
      <c r="G887" s="657"/>
    </row>
    <row r="888" spans="1:7" s="80" customFormat="1" ht="26.25" x14ac:dyDescent="0.4">
      <c r="A888" s="42"/>
      <c r="B888" s="35">
        <f t="shared" si="33"/>
        <v>45</v>
      </c>
      <c r="C888" s="655"/>
      <c r="D888" s="826"/>
      <c r="E888" s="827"/>
      <c r="F888" s="827"/>
      <c r="G888" s="657"/>
    </row>
    <row r="889" spans="1:7" s="80" customFormat="1" ht="26.25" x14ac:dyDescent="0.4">
      <c r="A889" s="42"/>
      <c r="B889" s="35">
        <f t="shared" si="33"/>
        <v>46</v>
      </c>
      <c r="C889" s="68"/>
      <c r="D889" s="826"/>
      <c r="E889" s="827"/>
      <c r="F889" s="827"/>
      <c r="G889" s="657"/>
    </row>
    <row r="890" spans="1:7" s="80" customFormat="1" ht="26.25" x14ac:dyDescent="0.4">
      <c r="A890" s="42"/>
      <c r="B890" s="35">
        <f t="shared" si="33"/>
        <v>47</v>
      </c>
      <c r="C890" s="655"/>
      <c r="D890" s="826"/>
      <c r="E890" s="827"/>
      <c r="F890" s="827"/>
      <c r="G890" s="657"/>
    </row>
    <row r="891" spans="1:7" s="80" customFormat="1" ht="26.25" x14ac:dyDescent="0.4">
      <c r="A891" s="42"/>
      <c r="B891" s="35">
        <f t="shared" si="33"/>
        <v>48</v>
      </c>
      <c r="C891" s="655"/>
      <c r="D891" s="826"/>
      <c r="E891" s="827"/>
      <c r="F891" s="827"/>
      <c r="G891" s="657"/>
    </row>
    <row r="892" spans="1:7" s="80" customFormat="1" ht="21.75" thickBot="1" x14ac:dyDescent="0.4">
      <c r="A892" s="42"/>
      <c r="B892" s="42"/>
      <c r="C892" s="8"/>
      <c r="D892" s="836"/>
      <c r="E892" s="836"/>
      <c r="F892" s="836"/>
      <c r="G892" s="836"/>
    </row>
    <row r="893" spans="1:7" s="80" customFormat="1" ht="29.25" thickBot="1" x14ac:dyDescent="0.5">
      <c r="A893" s="42"/>
      <c r="B893" s="42"/>
      <c r="C893" s="8"/>
      <c r="D893" s="837">
        <f>SUM(D844:G891)</f>
        <v>0</v>
      </c>
      <c r="E893" s="838"/>
      <c r="F893" s="839"/>
      <c r="G893" s="658"/>
    </row>
    <row r="894" spans="1:7" s="80" customFormat="1" x14ac:dyDescent="0.35">
      <c r="A894" s="42"/>
      <c r="B894" s="42"/>
      <c r="C894" s="8"/>
      <c r="D894" s="836"/>
      <c r="E894" s="836"/>
      <c r="F894" s="836"/>
      <c r="G894" s="836"/>
    </row>
    <row r="895" spans="1:7" s="80" customFormat="1" x14ac:dyDescent="0.35">
      <c r="A895" s="42"/>
      <c r="B895" s="42"/>
      <c r="C895" s="8"/>
      <c r="D895" s="836"/>
      <c r="E895" s="836"/>
      <c r="F895" s="836"/>
      <c r="G895" s="836"/>
    </row>
    <row r="896" spans="1:7" s="80" customFormat="1" x14ac:dyDescent="0.35">
      <c r="A896" s="42"/>
      <c r="B896" s="42"/>
      <c r="C896" s="8"/>
      <c r="D896" s="836"/>
      <c r="E896" s="836"/>
      <c r="F896" s="836"/>
      <c r="G896" s="836"/>
    </row>
    <row r="897" spans="1:7" s="80" customFormat="1" x14ac:dyDescent="0.35">
      <c r="A897" s="42"/>
      <c r="B897" s="42"/>
      <c r="C897" s="8"/>
      <c r="D897" s="836"/>
      <c r="E897" s="836"/>
      <c r="F897" s="836"/>
      <c r="G897" s="836"/>
    </row>
  </sheetData>
  <mergeCells count="61">
    <mergeCell ref="D842:F842"/>
    <mergeCell ref="A1:H1"/>
    <mergeCell ref="A2:H2"/>
    <mergeCell ref="A3:H3"/>
    <mergeCell ref="A4:H4"/>
    <mergeCell ref="C841:F841"/>
    <mergeCell ref="D854:F854"/>
    <mergeCell ref="D843:F843"/>
    <mergeCell ref="D844:F844"/>
    <mergeCell ref="D845:F845"/>
    <mergeCell ref="D846:F846"/>
    <mergeCell ref="D847:F847"/>
    <mergeCell ref="D848:F848"/>
    <mergeCell ref="D849:F849"/>
    <mergeCell ref="D850:F850"/>
    <mergeCell ref="D851:F851"/>
    <mergeCell ref="D852:F852"/>
    <mergeCell ref="D853:F853"/>
    <mergeCell ref="D866:F866"/>
    <mergeCell ref="D855:F855"/>
    <mergeCell ref="D856:F856"/>
    <mergeCell ref="D857:F857"/>
    <mergeCell ref="D858:F858"/>
    <mergeCell ref="D859:F859"/>
    <mergeCell ref="D860:F860"/>
    <mergeCell ref="D861:F861"/>
    <mergeCell ref="D862:F862"/>
    <mergeCell ref="D863:F863"/>
    <mergeCell ref="D864:F864"/>
    <mergeCell ref="D865:F865"/>
    <mergeCell ref="D878:F878"/>
    <mergeCell ref="D867:F867"/>
    <mergeCell ref="D868:F868"/>
    <mergeCell ref="D869:F869"/>
    <mergeCell ref="D870:F870"/>
    <mergeCell ref="D871:F871"/>
    <mergeCell ref="D872:F872"/>
    <mergeCell ref="D873:F873"/>
    <mergeCell ref="D874:F874"/>
    <mergeCell ref="D875:F875"/>
    <mergeCell ref="D876:F876"/>
    <mergeCell ref="D877:F877"/>
    <mergeCell ref="D890:F890"/>
    <mergeCell ref="D879:F879"/>
    <mergeCell ref="D880:F880"/>
    <mergeCell ref="D881:F881"/>
    <mergeCell ref="D882:F882"/>
    <mergeCell ref="D883:F883"/>
    <mergeCell ref="D884:F884"/>
    <mergeCell ref="D885:F885"/>
    <mergeCell ref="D886:F886"/>
    <mergeCell ref="D887:F887"/>
    <mergeCell ref="D888:F888"/>
    <mergeCell ref="D889:F889"/>
    <mergeCell ref="D897:G897"/>
    <mergeCell ref="D891:F891"/>
    <mergeCell ref="D892:G892"/>
    <mergeCell ref="D893:F893"/>
    <mergeCell ref="D894:G894"/>
    <mergeCell ref="D895:G895"/>
    <mergeCell ref="D896:G896"/>
  </mergeCells>
  <pageMargins left="0.25" right="0.25" top="0.28999999999999998" bottom="0.28000000000000003" header="0.3" footer="0.3"/>
  <pageSetup paperSize="9" scale="68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5AF0-4724-433A-B513-8700C33FD57E}">
  <dimension ref="A1:H696"/>
  <sheetViews>
    <sheetView tabSelected="1" view="pageBreakPreview" zoomScale="70" zoomScaleNormal="70" zoomScaleSheetLayoutView="70" workbookViewId="0">
      <pane xSplit="3" ySplit="6" topLeftCell="D688" activePane="bottomRight" state="frozen"/>
      <selection activeCell="S697" sqref="S697"/>
      <selection pane="topRight" activeCell="S697" sqref="S697"/>
      <selection pane="bottomLeft" activeCell="S697" sqref="S697"/>
      <selection pane="bottomRight" activeCell="A578" sqref="A578:XFD578"/>
    </sheetView>
  </sheetViews>
  <sheetFormatPr defaultColWidth="20" defaultRowHeight="21" x14ac:dyDescent="0.35"/>
  <cols>
    <col min="1" max="1" width="6.85546875" style="678" customWidth="1"/>
    <col min="2" max="2" width="11.140625" style="42" bestFit="1" customWidth="1"/>
    <col min="3" max="3" width="90.140625" style="8" customWidth="1"/>
    <col min="4" max="4" width="12.5703125" style="667" bestFit="1" customWidth="1"/>
    <col min="5" max="5" width="13.5703125" style="75" customWidth="1"/>
    <col min="6" max="6" width="20.140625" style="71" bestFit="1" customWidth="1"/>
    <col min="7" max="7" width="22" style="73" customWidth="1"/>
    <col min="8" max="8" width="31.28515625" style="80" customWidth="1"/>
    <col min="9" max="16384" width="20" style="8"/>
  </cols>
  <sheetData>
    <row r="1" spans="1:8" ht="33.75" customHeight="1" x14ac:dyDescent="0.25">
      <c r="A1" s="830" t="s">
        <v>2135</v>
      </c>
      <c r="B1" s="831"/>
      <c r="C1" s="831"/>
      <c r="D1" s="831"/>
      <c r="E1" s="831"/>
      <c r="F1" s="831"/>
      <c r="G1" s="831"/>
      <c r="H1" s="831"/>
    </row>
    <row r="2" spans="1:8" ht="42" customHeight="1" x14ac:dyDescent="0.25">
      <c r="A2" s="828" t="s">
        <v>2136</v>
      </c>
      <c r="B2" s="829"/>
      <c r="C2" s="829"/>
      <c r="D2" s="829"/>
      <c r="E2" s="829"/>
      <c r="F2" s="829"/>
      <c r="G2" s="829"/>
      <c r="H2" s="829"/>
    </row>
    <row r="3" spans="1:8" ht="42" customHeight="1" x14ac:dyDescent="0.25">
      <c r="A3" s="828" t="s">
        <v>1488</v>
      </c>
      <c r="B3" s="829"/>
      <c r="C3" s="829"/>
      <c r="D3" s="829"/>
      <c r="E3" s="829"/>
      <c r="F3" s="829"/>
      <c r="G3" s="829"/>
      <c r="H3" s="829"/>
    </row>
    <row r="4" spans="1:8" ht="36.75" customHeight="1" x14ac:dyDescent="0.4">
      <c r="A4" s="832" t="s">
        <v>2212</v>
      </c>
      <c r="B4" s="833"/>
      <c r="C4" s="833"/>
      <c r="D4" s="833"/>
      <c r="E4" s="833"/>
      <c r="F4" s="833"/>
      <c r="G4" s="833"/>
      <c r="H4" s="833"/>
    </row>
    <row r="5" spans="1:8" x14ac:dyDescent="0.35">
      <c r="A5" s="675"/>
      <c r="B5" s="35"/>
      <c r="C5" s="188"/>
      <c r="D5" s="669"/>
      <c r="E5" s="189"/>
      <c r="F5" s="190"/>
      <c r="G5" s="191"/>
      <c r="H5" s="76"/>
    </row>
    <row r="6" spans="1:8" s="24" customFormat="1" ht="56.25" x14ac:dyDescent="0.25">
      <c r="A6" s="676" t="s">
        <v>658</v>
      </c>
      <c r="B6" s="21" t="s">
        <v>659</v>
      </c>
      <c r="C6" s="21" t="s">
        <v>660</v>
      </c>
      <c r="D6" s="65" t="s">
        <v>500</v>
      </c>
      <c r="E6" s="74" t="s">
        <v>2196</v>
      </c>
      <c r="F6" s="64" t="s">
        <v>661</v>
      </c>
      <c r="G6" s="72" t="s">
        <v>550</v>
      </c>
      <c r="H6" s="78" t="s">
        <v>662</v>
      </c>
    </row>
    <row r="7" spans="1:8" s="24" customFormat="1" x14ac:dyDescent="0.25">
      <c r="A7" s="676"/>
      <c r="B7" s="21"/>
      <c r="C7" s="21"/>
      <c r="D7" s="65"/>
      <c r="E7" s="74"/>
      <c r="F7" s="64"/>
      <c r="G7" s="72"/>
      <c r="H7" s="78"/>
    </row>
    <row r="8" spans="1:8" s="42" customFormat="1" ht="23.25" x14ac:dyDescent="0.35">
      <c r="A8" s="476">
        <v>1</v>
      </c>
      <c r="B8" s="35"/>
      <c r="C8" s="77" t="str">
        <f>ALPHA!B1</f>
        <v>ALPHA PHARMACY AND STORES LTD</v>
      </c>
      <c r="D8" s="668"/>
      <c r="E8" s="35"/>
      <c r="F8" s="38"/>
      <c r="G8" s="38"/>
      <c r="H8" s="38"/>
    </row>
    <row r="9" spans="1:8" s="42" customFormat="1" ht="18.75" x14ac:dyDescent="0.3">
      <c r="A9" s="476"/>
      <c r="B9" s="653">
        <f>ALPHA!A6</f>
        <v>469</v>
      </c>
      <c r="C9" s="653" t="str">
        <f>ALPHA!B6</f>
        <v>ADRENALINE INJ</v>
      </c>
      <c r="D9" s="654">
        <f>ALPHA!C6</f>
        <v>100</v>
      </c>
      <c r="E9" s="653">
        <v>3</v>
      </c>
      <c r="F9" s="38">
        <f>ALPHA!E6</f>
        <v>30000</v>
      </c>
      <c r="G9" s="38">
        <f>E9*F9</f>
        <v>90000</v>
      </c>
      <c r="H9" s="38"/>
    </row>
    <row r="10" spans="1:8" s="42" customFormat="1" ht="18.75" x14ac:dyDescent="0.3">
      <c r="A10" s="476"/>
      <c r="B10" s="653">
        <f>ALPHA!A7</f>
        <v>396</v>
      </c>
      <c r="C10" s="653" t="str">
        <f>ALPHA!B7</f>
        <v>ATRACURIUM INJ</v>
      </c>
      <c r="D10" s="654">
        <f>ALPHA!C7</f>
        <v>5</v>
      </c>
      <c r="E10" s="653">
        <v>30</v>
      </c>
      <c r="F10" s="38">
        <f>ALPHA!E7</f>
        <v>9000</v>
      </c>
      <c r="G10" s="38">
        <f t="shared" ref="G10:G25" si="0">E10*F10</f>
        <v>270000</v>
      </c>
      <c r="H10" s="38"/>
    </row>
    <row r="11" spans="1:8" s="42" customFormat="1" ht="18.75" x14ac:dyDescent="0.3">
      <c r="A11" s="476"/>
      <c r="B11" s="653">
        <f>ALPHA!A8</f>
        <v>397</v>
      </c>
      <c r="C11" s="653" t="str">
        <f>ALPHA!B8</f>
        <v>ATROPINE INJ</v>
      </c>
      <c r="D11" s="654">
        <f>ALPHA!C8</f>
        <v>10</v>
      </c>
      <c r="E11" s="653">
        <v>75</v>
      </c>
      <c r="F11" s="38">
        <f>ALPHA!E8</f>
        <v>3000</v>
      </c>
      <c r="G11" s="38">
        <f t="shared" si="0"/>
        <v>225000</v>
      </c>
      <c r="H11" s="38"/>
    </row>
    <row r="12" spans="1:8" s="42" customFormat="1" ht="18.75" x14ac:dyDescent="0.3">
      <c r="A12" s="476"/>
      <c r="B12" s="653">
        <f>ALPHA!A9</f>
        <v>585</v>
      </c>
      <c r="C12" s="653" t="str">
        <f>ALPHA!B9</f>
        <v>COLOSTOMY BAG</v>
      </c>
      <c r="D12" s="654">
        <f>ALPHA!C9</f>
        <v>30</v>
      </c>
      <c r="E12" s="653">
        <v>5</v>
      </c>
      <c r="F12" s="38">
        <f>ALPHA!E9</f>
        <v>34500</v>
      </c>
      <c r="G12" s="38">
        <f t="shared" si="0"/>
        <v>172500</v>
      </c>
      <c r="H12" s="38"/>
    </row>
    <row r="13" spans="1:8" s="42" customFormat="1" ht="18.75" x14ac:dyDescent="0.3">
      <c r="A13" s="476"/>
      <c r="B13" s="653">
        <f>ALPHA!A10</f>
        <v>590</v>
      </c>
      <c r="C13" s="653" t="str">
        <f>ALPHA!B10</f>
        <v>COTTON WOOL 50G</v>
      </c>
      <c r="D13" s="654">
        <f>ALPHA!C10</f>
        <v>100</v>
      </c>
      <c r="E13" s="653">
        <v>100</v>
      </c>
      <c r="F13" s="38">
        <f>ALPHA!E10</f>
        <v>8000</v>
      </c>
      <c r="G13" s="38">
        <f t="shared" si="0"/>
        <v>800000</v>
      </c>
      <c r="H13" s="38"/>
    </row>
    <row r="14" spans="1:8" s="42" customFormat="1" ht="18.75" x14ac:dyDescent="0.3">
      <c r="A14" s="476"/>
      <c r="B14" s="653">
        <f>ALPHA!A11</f>
        <v>300</v>
      </c>
      <c r="C14" s="653" t="str">
        <f>ALPHA!B11</f>
        <v>ENOXAPARIN 40MG INJ</v>
      </c>
      <c r="D14" s="654" t="str">
        <f>ALPHA!C11</f>
        <v>AMP</v>
      </c>
      <c r="E14" s="653">
        <v>245</v>
      </c>
      <c r="F14" s="38">
        <f>ALPHA!E11</f>
        <v>1670</v>
      </c>
      <c r="G14" s="38">
        <f t="shared" si="0"/>
        <v>409150</v>
      </c>
      <c r="H14" s="38"/>
    </row>
    <row r="15" spans="1:8" s="42" customFormat="1" ht="18.75" x14ac:dyDescent="0.3">
      <c r="A15" s="476"/>
      <c r="B15" s="653">
        <f>ALPHA!A14</f>
        <v>401</v>
      </c>
      <c r="C15" s="653" t="str">
        <f>ALPHA!B14</f>
        <v>GLYCOPYRULLATE INJ</v>
      </c>
      <c r="D15" s="654">
        <f>ALPHA!C14</f>
        <v>100</v>
      </c>
      <c r="E15" s="653">
        <v>2</v>
      </c>
      <c r="F15" s="38">
        <f>ALPHA!E14</f>
        <v>80000</v>
      </c>
      <c r="G15" s="38">
        <f t="shared" si="0"/>
        <v>160000</v>
      </c>
      <c r="H15" s="38"/>
    </row>
    <row r="16" spans="1:8" s="42" customFormat="1" ht="18.75" x14ac:dyDescent="0.3">
      <c r="A16" s="476"/>
      <c r="B16" s="653">
        <f>ALPHA!A16</f>
        <v>403</v>
      </c>
      <c r="C16" s="653" t="str">
        <f>ALPHA!B16</f>
        <v>HEAVY MARCAINE INJ</v>
      </c>
      <c r="D16" s="654">
        <f>ALPHA!C16</f>
        <v>10</v>
      </c>
      <c r="E16" s="653">
        <v>20</v>
      </c>
      <c r="F16" s="38">
        <f>ALPHA!E16</f>
        <v>10000</v>
      </c>
      <c r="G16" s="38">
        <f t="shared" si="0"/>
        <v>200000</v>
      </c>
      <c r="H16" s="38"/>
    </row>
    <row r="17" spans="1:8" s="42" customFormat="1" ht="18.75" x14ac:dyDescent="0.3">
      <c r="A17" s="476"/>
      <c r="B17" s="653">
        <f>ALPHA!A17</f>
        <v>309</v>
      </c>
      <c r="C17" s="653" t="str">
        <f>ALPHA!B17</f>
        <v>HEPARIN INJ</v>
      </c>
      <c r="D17" s="654" t="str">
        <f>ALPHA!C17</f>
        <v>VIAL</v>
      </c>
      <c r="E17" s="653">
        <v>250</v>
      </c>
      <c r="F17" s="38">
        <f>ALPHA!E17</f>
        <v>2800</v>
      </c>
      <c r="G17" s="38">
        <f t="shared" si="0"/>
        <v>700000</v>
      </c>
      <c r="H17" s="38"/>
    </row>
    <row r="18" spans="1:8" s="42" customFormat="1" ht="18.75" x14ac:dyDescent="0.3">
      <c r="A18" s="476"/>
      <c r="B18" s="653">
        <f>ALPHA!A18</f>
        <v>404</v>
      </c>
      <c r="C18" s="653" t="str">
        <f>ALPHA!B18</f>
        <v>ISOFLUORANE</v>
      </c>
      <c r="D18" s="654" t="str">
        <f>ALPHA!C18</f>
        <v>250ML</v>
      </c>
      <c r="E18" s="653">
        <v>36</v>
      </c>
      <c r="F18" s="38">
        <f>ALPHA!E18</f>
        <v>19500</v>
      </c>
      <c r="G18" s="38">
        <f t="shared" si="0"/>
        <v>702000</v>
      </c>
      <c r="H18" s="38"/>
    </row>
    <row r="19" spans="1:8" s="42" customFormat="1" ht="18.75" x14ac:dyDescent="0.3">
      <c r="A19" s="476"/>
      <c r="B19" s="653">
        <v>257</v>
      </c>
      <c r="C19" s="653" t="s">
        <v>153</v>
      </c>
      <c r="D19" s="654">
        <v>10</v>
      </c>
      <c r="E19" s="653">
        <v>40</v>
      </c>
      <c r="F19" s="38">
        <v>2300</v>
      </c>
      <c r="G19" s="38">
        <f t="shared" si="0"/>
        <v>92000</v>
      </c>
      <c r="H19" s="38"/>
    </row>
    <row r="20" spans="1:8" s="42" customFormat="1" ht="18.75" x14ac:dyDescent="0.3">
      <c r="A20" s="476"/>
      <c r="B20" s="653">
        <f>ALPHA!A22</f>
        <v>406</v>
      </c>
      <c r="C20" s="653" t="str">
        <f>ALPHA!B22</f>
        <v>LIGHT MARCAINE INJ</v>
      </c>
      <c r="D20" s="654">
        <f>ALPHA!C22</f>
        <v>10</v>
      </c>
      <c r="E20" s="653">
        <v>12</v>
      </c>
      <c r="F20" s="38">
        <f>ALPHA!E22</f>
        <v>9500</v>
      </c>
      <c r="G20" s="38">
        <f t="shared" si="0"/>
        <v>114000</v>
      </c>
      <c r="H20" s="38"/>
    </row>
    <row r="21" spans="1:8" s="42" customFormat="1" ht="18.75" x14ac:dyDescent="0.3">
      <c r="A21" s="476"/>
      <c r="B21" s="653">
        <f>ALPHA!A25</f>
        <v>272</v>
      </c>
      <c r="C21" s="653" t="str">
        <f>ALPHA!B25</f>
        <v>NYSTATIN ORAL DROPS (100,000 IU/ML)</v>
      </c>
      <c r="D21" s="654" t="str">
        <f>ALPHA!C25</f>
        <v>BOTT</v>
      </c>
      <c r="E21" s="653">
        <v>25</v>
      </c>
      <c r="F21" s="38">
        <f>ALPHA!E25</f>
        <v>300</v>
      </c>
      <c r="G21" s="38">
        <f t="shared" si="0"/>
        <v>7500</v>
      </c>
      <c r="H21" s="38"/>
    </row>
    <row r="22" spans="1:8" s="42" customFormat="1" ht="18.75" x14ac:dyDescent="0.3">
      <c r="A22" s="476"/>
      <c r="B22" s="653">
        <f>ALPHA!A26</f>
        <v>393</v>
      </c>
      <c r="C22" s="653" t="str">
        <f>ALPHA!B26</f>
        <v>OXYTOCIN INJ</v>
      </c>
      <c r="D22" s="654">
        <f>ALPHA!C26</f>
        <v>100</v>
      </c>
      <c r="E22" s="653">
        <v>36</v>
      </c>
      <c r="F22" s="38">
        <f>ALPHA!E26</f>
        <v>24000</v>
      </c>
      <c r="G22" s="38">
        <f t="shared" si="0"/>
        <v>864000</v>
      </c>
      <c r="H22" s="38"/>
    </row>
    <row r="23" spans="1:8" s="42" customFormat="1" ht="18.75" x14ac:dyDescent="0.3">
      <c r="A23" s="476"/>
      <c r="B23" s="653">
        <f>ALPHA!A30</f>
        <v>467</v>
      </c>
      <c r="C23" s="653" t="str">
        <f>ALPHA!B30</f>
        <v>SALBUTAMOL NEBULES 5MG</v>
      </c>
      <c r="D23" s="654">
        <f>ALPHA!C30</f>
        <v>20</v>
      </c>
      <c r="E23" s="653">
        <v>10</v>
      </c>
      <c r="F23" s="38">
        <f>ALPHA!E30</f>
        <v>3850</v>
      </c>
      <c r="G23" s="38">
        <f t="shared" si="0"/>
        <v>38500</v>
      </c>
      <c r="H23" s="38"/>
    </row>
    <row r="24" spans="1:8" s="42" customFormat="1" ht="18.75" x14ac:dyDescent="0.3">
      <c r="A24" s="476"/>
      <c r="B24" s="653">
        <f>ALPHA!A31</f>
        <v>411</v>
      </c>
      <c r="C24" s="653" t="str">
        <f>ALPHA!B31</f>
        <v>SEVOFLUORANE</v>
      </c>
      <c r="D24" s="654" t="str">
        <f>ALPHA!C31</f>
        <v>250ML</v>
      </c>
      <c r="E24" s="653">
        <v>15</v>
      </c>
      <c r="F24" s="38">
        <f>ALPHA!E31</f>
        <v>60000</v>
      </c>
      <c r="G24" s="38">
        <f t="shared" si="0"/>
        <v>900000</v>
      </c>
      <c r="H24" s="38"/>
    </row>
    <row r="25" spans="1:8" s="42" customFormat="1" ht="23.25" x14ac:dyDescent="0.35">
      <c r="A25" s="476"/>
      <c r="B25" s="653">
        <f>ALPHA!A33</f>
        <v>413</v>
      </c>
      <c r="C25" s="653" t="str">
        <f>ALPHA!B33</f>
        <v>SUXAMETHONIUM INJ</v>
      </c>
      <c r="D25" s="654" t="str">
        <f>ALPHA!C33</f>
        <v>AMP</v>
      </c>
      <c r="E25" s="653">
        <v>200</v>
      </c>
      <c r="F25" s="38">
        <f>ALPHA!E33</f>
        <v>600</v>
      </c>
      <c r="G25" s="38">
        <f t="shared" si="0"/>
        <v>120000</v>
      </c>
      <c r="H25" s="186">
        <f>SUM(G9:G25)</f>
        <v>5864650</v>
      </c>
    </row>
    <row r="26" spans="1:8" s="42" customFormat="1" ht="18.75" x14ac:dyDescent="0.3">
      <c r="A26" s="476"/>
      <c r="B26" s="653"/>
      <c r="C26" s="653"/>
      <c r="D26" s="654"/>
      <c r="E26" s="653"/>
      <c r="F26" s="38"/>
      <c r="G26" s="38"/>
    </row>
    <row r="27" spans="1:8" s="42" customFormat="1" ht="23.25" x14ac:dyDescent="0.35">
      <c r="A27" s="476">
        <v>2</v>
      </c>
      <c r="B27" s="35"/>
      <c r="C27" s="77" t="str">
        <f>BIOFEM!B1</f>
        <v>BIOFEM PHARMACEUTICALS LIMITED</v>
      </c>
      <c r="D27" s="668"/>
      <c r="E27" s="35"/>
      <c r="F27" s="38"/>
      <c r="G27" s="38"/>
      <c r="H27" s="35"/>
    </row>
    <row r="28" spans="1:8" s="42" customFormat="1" ht="18.75" x14ac:dyDescent="0.3">
      <c r="A28" s="476"/>
      <c r="B28" s="653">
        <f>BIOFEM!A6</f>
        <v>416</v>
      </c>
      <c r="C28" s="653" t="str">
        <f>BIOFEM!B6</f>
        <v>ANTI D IMMUNOGLOBULIN</v>
      </c>
      <c r="D28" s="654" t="str">
        <f>BIOFEM!C6</f>
        <v>VIAL</v>
      </c>
      <c r="E28" s="653">
        <v>10</v>
      </c>
      <c r="F28" s="38">
        <f>BIOFEM!E6</f>
        <v>19500</v>
      </c>
      <c r="G28" s="38">
        <f t="shared" ref="G28:G31" si="1">E28*F28</f>
        <v>195000</v>
      </c>
      <c r="H28" s="35"/>
    </row>
    <row r="29" spans="1:8" s="42" customFormat="1" ht="18.75" x14ac:dyDescent="0.3">
      <c r="A29" s="476"/>
      <c r="B29" s="653">
        <v>297</v>
      </c>
      <c r="C29" s="653" t="s">
        <v>453</v>
      </c>
      <c r="D29" s="654" t="s">
        <v>144</v>
      </c>
      <c r="E29" s="653">
        <v>25</v>
      </c>
      <c r="F29" s="38">
        <v>1827</v>
      </c>
      <c r="G29" s="38">
        <f t="shared" si="1"/>
        <v>45675</v>
      </c>
      <c r="H29" s="35"/>
    </row>
    <row r="30" spans="1:8" s="42" customFormat="1" ht="18.75" x14ac:dyDescent="0.3">
      <c r="A30" s="476"/>
      <c r="B30" s="653">
        <f>BIOFEM!A8</f>
        <v>366</v>
      </c>
      <c r="C30" s="653" t="str">
        <f>BIOFEM!B8</f>
        <v>GABAPENTIN+METHYLCOBALAMIN (500MCG/300MG)</v>
      </c>
      <c r="D30" s="654">
        <f>BIOFEM!C8</f>
        <v>100</v>
      </c>
      <c r="E30" s="653">
        <v>125</v>
      </c>
      <c r="F30" s="38">
        <f>BIOFEM!E8</f>
        <v>6800</v>
      </c>
      <c r="G30" s="38">
        <f t="shared" si="1"/>
        <v>850000</v>
      </c>
      <c r="H30" s="35"/>
    </row>
    <row r="31" spans="1:8" s="42" customFormat="1" ht="23.25" x14ac:dyDescent="0.35">
      <c r="A31" s="476"/>
      <c r="B31" s="653">
        <f>BIOFEM!A9</f>
        <v>168</v>
      </c>
      <c r="C31" s="653" t="str">
        <f>BIOFEM!B9</f>
        <v>MELOXICAM 15MG TAB</v>
      </c>
      <c r="D31" s="654">
        <f>BIOFEM!C9</f>
        <v>10</v>
      </c>
      <c r="E31" s="653">
        <v>10</v>
      </c>
      <c r="F31" s="38">
        <f>BIOFEM!E9</f>
        <v>400</v>
      </c>
      <c r="G31" s="38">
        <f t="shared" si="1"/>
        <v>4000</v>
      </c>
      <c r="H31" s="186">
        <f>SUM(G28:G31)</f>
        <v>1094675</v>
      </c>
    </row>
    <row r="32" spans="1:8" s="42" customFormat="1" ht="18.75" x14ac:dyDescent="0.3">
      <c r="A32" s="476"/>
      <c r="B32" s="653"/>
      <c r="C32" s="35"/>
      <c r="D32" s="668"/>
      <c r="E32" s="35"/>
      <c r="F32" s="38"/>
      <c r="G32" s="38"/>
      <c r="H32" s="38"/>
    </row>
    <row r="33" spans="1:8" s="42" customFormat="1" ht="23.25" x14ac:dyDescent="0.35">
      <c r="A33" s="476">
        <v>3</v>
      </c>
      <c r="B33" s="35"/>
      <c r="C33" s="77" t="str">
        <f>BIOMED!B1</f>
        <v>BIOMEDICALS LIMITED</v>
      </c>
      <c r="D33" s="668"/>
      <c r="E33" s="35"/>
      <c r="F33" s="38"/>
      <c r="G33" s="38"/>
      <c r="H33" s="38"/>
    </row>
    <row r="34" spans="1:8" s="42" customFormat="1" ht="18.75" x14ac:dyDescent="0.3">
      <c r="A34" s="476"/>
      <c r="B34" s="653">
        <f>BIOMED!A6</f>
        <v>19</v>
      </c>
      <c r="C34" s="653" t="str">
        <f>BIOMED!B6</f>
        <v xml:space="preserve">0.9% NORMAL SALINE </v>
      </c>
      <c r="D34" s="654">
        <f>BIOMED!C6</f>
        <v>20</v>
      </c>
      <c r="E34" s="653">
        <v>150</v>
      </c>
      <c r="F34" s="38">
        <f>BIOMED!E6</f>
        <v>2350</v>
      </c>
      <c r="G34" s="38">
        <f t="shared" ref="G34:G36" si="2">E34*F34</f>
        <v>352500</v>
      </c>
      <c r="H34" s="38"/>
    </row>
    <row r="35" spans="1:8" s="42" customFormat="1" ht="18.75" x14ac:dyDescent="0.3">
      <c r="A35" s="476"/>
      <c r="B35" s="653">
        <f>BIOMED!A7</f>
        <v>23</v>
      </c>
      <c r="C35" s="653" t="str">
        <f>BIOMED!B7</f>
        <v>4.3% DEXTROSE IN 0.18% SALINE</v>
      </c>
      <c r="D35" s="654">
        <f>BIOMED!C7</f>
        <v>20</v>
      </c>
      <c r="E35" s="653">
        <v>50</v>
      </c>
      <c r="F35" s="38">
        <f>BIOMED!E7</f>
        <v>2450</v>
      </c>
      <c r="G35" s="38">
        <f t="shared" ref="G35" si="3">E35*F35</f>
        <v>122500</v>
      </c>
      <c r="H35" s="38"/>
    </row>
    <row r="36" spans="1:8" s="42" customFormat="1" ht="23.25" x14ac:dyDescent="0.35">
      <c r="A36" s="476"/>
      <c r="B36" s="653">
        <f>BIOMED!A10</f>
        <v>26</v>
      </c>
      <c r="C36" s="653" t="str">
        <f>BIOMED!B10</f>
        <v>50% DEXTROSE WATER</v>
      </c>
      <c r="D36" s="654">
        <f>BIOMED!C10</f>
        <v>100</v>
      </c>
      <c r="E36" s="653">
        <v>2</v>
      </c>
      <c r="F36" s="38">
        <f>BIOMED!E10</f>
        <v>9195</v>
      </c>
      <c r="G36" s="38">
        <f t="shared" si="2"/>
        <v>18390</v>
      </c>
      <c r="H36" s="186">
        <f>SUM(G34:G36)</f>
        <v>493390</v>
      </c>
    </row>
    <row r="37" spans="1:8" s="42" customFormat="1" ht="18.75" x14ac:dyDescent="0.3">
      <c r="A37" s="476"/>
      <c r="B37" s="653"/>
      <c r="C37" s="653"/>
      <c r="D37" s="654"/>
      <c r="E37" s="653"/>
      <c r="F37" s="38"/>
      <c r="G37" s="38"/>
      <c r="H37" s="35"/>
    </row>
    <row r="38" spans="1:8" s="42" customFormat="1" ht="23.25" x14ac:dyDescent="0.35">
      <c r="A38" s="476">
        <v>4</v>
      </c>
      <c r="B38" s="35"/>
      <c r="C38" s="77" t="str">
        <f>CHI!B1</f>
        <v>CHI PHARMACEUTICALS</v>
      </c>
      <c r="D38" s="184"/>
      <c r="E38" s="77"/>
      <c r="F38" s="79"/>
      <c r="G38" s="79"/>
      <c r="H38" s="79"/>
    </row>
    <row r="39" spans="1:8" s="42" customFormat="1" ht="18.75" x14ac:dyDescent="0.3">
      <c r="A39" s="476"/>
      <c r="B39" s="653">
        <f>CHI!A6</f>
        <v>37</v>
      </c>
      <c r="C39" s="653" t="str">
        <f>CHI!B6</f>
        <v>AMLODIPINE 10MG TAB</v>
      </c>
      <c r="D39" s="654">
        <f>CHI!C6</f>
        <v>28</v>
      </c>
      <c r="E39" s="653">
        <v>1500</v>
      </c>
      <c r="F39" s="38">
        <f>CHI!E6</f>
        <v>300</v>
      </c>
      <c r="G39" s="38">
        <f t="shared" ref="G39:G48" si="4">E39*F39</f>
        <v>450000</v>
      </c>
      <c r="H39" s="38"/>
    </row>
    <row r="40" spans="1:8" s="42" customFormat="1" ht="18.75" x14ac:dyDescent="0.3">
      <c r="A40" s="476"/>
      <c r="B40" s="653">
        <f>CHI!A7</f>
        <v>39</v>
      </c>
      <c r="C40" s="653" t="str">
        <f>CHI!B7</f>
        <v>AMLODIPINE 5MG TAB</v>
      </c>
      <c r="D40" s="654">
        <f>CHI!C7</f>
        <v>28</v>
      </c>
      <c r="E40" s="653">
        <v>1250</v>
      </c>
      <c r="F40" s="38">
        <f>CHI!E7</f>
        <v>200</v>
      </c>
      <c r="G40" s="38">
        <f t="shared" si="4"/>
        <v>250000</v>
      </c>
      <c r="H40" s="38"/>
    </row>
    <row r="41" spans="1:8" s="42" customFormat="1" ht="18.75" x14ac:dyDescent="0.3">
      <c r="A41" s="476"/>
      <c r="B41" s="653">
        <f>CHI!A8</f>
        <v>204</v>
      </c>
      <c r="C41" s="653" t="str">
        <f>CHI!B8</f>
        <v>AMOXICILLIN/CLAVULANIC ACID 1.2G INJ</v>
      </c>
      <c r="D41" s="654" t="str">
        <f>CHI!C8</f>
        <v>VIAL</v>
      </c>
      <c r="E41" s="653">
        <v>2400</v>
      </c>
      <c r="F41" s="38">
        <f>CHI!E8</f>
        <v>540</v>
      </c>
      <c r="G41" s="38">
        <f t="shared" si="4"/>
        <v>1296000</v>
      </c>
      <c r="H41" s="38"/>
    </row>
    <row r="42" spans="1:8" s="42" customFormat="1" ht="18.75" x14ac:dyDescent="0.3">
      <c r="A42" s="476"/>
      <c r="B42" s="653">
        <f>CHI!A9</f>
        <v>205</v>
      </c>
      <c r="C42" s="653" t="str">
        <f>CHI!B9</f>
        <v>AMOXICILLIN/CLAVULANIC ACID 1G TAB</v>
      </c>
      <c r="D42" s="654">
        <f>CHI!C9</f>
        <v>14</v>
      </c>
      <c r="E42" s="653">
        <v>1200</v>
      </c>
      <c r="F42" s="38">
        <f>CHI!E9</f>
        <v>1200</v>
      </c>
      <c r="G42" s="38">
        <f t="shared" si="4"/>
        <v>1440000</v>
      </c>
      <c r="H42" s="38"/>
    </row>
    <row r="43" spans="1:8" s="42" customFormat="1" ht="18.75" x14ac:dyDescent="0.3">
      <c r="A43" s="476"/>
      <c r="B43" s="653">
        <f>CHI!A10</f>
        <v>203</v>
      </c>
      <c r="C43" s="653" t="str">
        <f>CHI!B10</f>
        <v>AMOXICILLIN/CLAVULANIC ACID 457MG/5ML</v>
      </c>
      <c r="D43" s="654" t="str">
        <f>CHI!C10</f>
        <v>BOTT</v>
      </c>
      <c r="E43" s="653">
        <v>50</v>
      </c>
      <c r="F43" s="38">
        <f>CHI!E10</f>
        <v>980</v>
      </c>
      <c r="G43" s="38">
        <f t="shared" si="4"/>
        <v>49000</v>
      </c>
      <c r="H43" s="38"/>
    </row>
    <row r="44" spans="1:8" s="42" customFormat="1" ht="23.25" x14ac:dyDescent="0.35">
      <c r="A44" s="476"/>
      <c r="B44" s="653">
        <f>CHI!A12</f>
        <v>226</v>
      </c>
      <c r="C44" s="653" t="str">
        <f>CHI!B12</f>
        <v>CEFPODOXIME SUSPENSION  (100ML)</v>
      </c>
      <c r="D44" s="654" t="str">
        <f>CHI!C12</f>
        <v>BOTT</v>
      </c>
      <c r="E44" s="653">
        <v>50</v>
      </c>
      <c r="F44" s="38">
        <f>CHI!E12</f>
        <v>2200</v>
      </c>
      <c r="G44" s="38">
        <f t="shared" si="4"/>
        <v>110000</v>
      </c>
      <c r="H44" s="186"/>
    </row>
    <row r="45" spans="1:8" s="42" customFormat="1" ht="18.75" x14ac:dyDescent="0.3">
      <c r="A45" s="476"/>
      <c r="B45" s="653">
        <f>CHI!A13</f>
        <v>232</v>
      </c>
      <c r="C45" s="653" t="str">
        <f>CHI!B13</f>
        <v>CEFUROXIME 750MG INJ</v>
      </c>
      <c r="D45" s="654" t="str">
        <f>CHI!C13</f>
        <v>VIAL</v>
      </c>
      <c r="E45" s="653">
        <v>1500</v>
      </c>
      <c r="F45" s="38">
        <f>CHI!E13</f>
        <v>366</v>
      </c>
      <c r="G45" s="38">
        <f t="shared" si="4"/>
        <v>549000</v>
      </c>
      <c r="H45" s="35"/>
    </row>
    <row r="46" spans="1:8" s="42" customFormat="1" ht="18.75" x14ac:dyDescent="0.3">
      <c r="A46" s="476"/>
      <c r="B46" s="653">
        <f>CHI!A18</f>
        <v>129</v>
      </c>
      <c r="C46" s="653" t="str">
        <f>CHI!B18</f>
        <v>INSULIN GLARGIN</v>
      </c>
      <c r="D46" s="654">
        <f>CHI!C18</f>
        <v>5</v>
      </c>
      <c r="E46" s="653">
        <v>6</v>
      </c>
      <c r="F46" s="38">
        <f>CHI!E18</f>
        <v>14600</v>
      </c>
      <c r="G46" s="38">
        <f t="shared" si="4"/>
        <v>87600</v>
      </c>
      <c r="H46" s="38"/>
    </row>
    <row r="47" spans="1:8" s="42" customFormat="1" ht="23.25" x14ac:dyDescent="0.35">
      <c r="A47" s="476"/>
      <c r="B47" s="653">
        <f>CHI!A22</f>
        <v>261</v>
      </c>
      <c r="C47" s="653" t="str">
        <f>CHI!B22</f>
        <v>LEVOFLOXACIN 500MG TAB</v>
      </c>
      <c r="D47" s="654">
        <f>CHI!C22</f>
        <v>10</v>
      </c>
      <c r="E47" s="653">
        <v>20</v>
      </c>
      <c r="F47" s="38">
        <f>CHI!E22</f>
        <v>3500</v>
      </c>
      <c r="G47" s="38">
        <f t="shared" si="4"/>
        <v>70000</v>
      </c>
      <c r="H47" s="186"/>
    </row>
    <row r="48" spans="1:8" s="42" customFormat="1" ht="23.25" x14ac:dyDescent="0.35">
      <c r="A48" s="476"/>
      <c r="B48" s="653">
        <f>CHI!A23</f>
        <v>262</v>
      </c>
      <c r="C48" s="653" t="str">
        <f>CHI!B23</f>
        <v>LEVOFLOXACIN IV</v>
      </c>
      <c r="D48" s="654" t="str">
        <f>CHI!C23</f>
        <v>BOTT</v>
      </c>
      <c r="E48" s="653">
        <v>25</v>
      </c>
      <c r="F48" s="38">
        <f>CHI!E23</f>
        <v>2974</v>
      </c>
      <c r="G48" s="38">
        <f t="shared" si="4"/>
        <v>74350</v>
      </c>
      <c r="H48" s="186">
        <f>SUM(G39:G48)</f>
        <v>4375950</v>
      </c>
    </row>
    <row r="49" spans="1:8" s="42" customFormat="1" ht="23.25" x14ac:dyDescent="0.35">
      <c r="A49" s="476"/>
      <c r="B49" s="653"/>
      <c r="C49" s="653"/>
      <c r="D49" s="654"/>
      <c r="E49" s="653"/>
      <c r="F49" s="38"/>
      <c r="G49" s="38"/>
      <c r="H49" s="79"/>
    </row>
    <row r="50" spans="1:8" s="42" customFormat="1" ht="23.25" x14ac:dyDescent="0.35">
      <c r="A50" s="476">
        <v>5</v>
      </c>
      <c r="B50" s="653"/>
      <c r="C50" s="656" t="str">
        <f>CLARION!B1</f>
        <v>CLARION MEDICALS LIMITED</v>
      </c>
      <c r="D50" s="654"/>
      <c r="E50" s="653"/>
      <c r="F50" s="38"/>
      <c r="G50" s="38"/>
      <c r="H50" s="35"/>
    </row>
    <row r="51" spans="1:8" ht="23.25" x14ac:dyDescent="0.35">
      <c r="A51" s="476"/>
      <c r="B51" s="653">
        <f>CLARION!A7</f>
        <v>200</v>
      </c>
      <c r="C51" s="653" t="str">
        <f>CLARION!B7</f>
        <v>AMOXICILLIN 500MG CAP</v>
      </c>
      <c r="D51" s="654">
        <f>CLARION!C7</f>
        <v>100</v>
      </c>
      <c r="E51" s="653">
        <v>300</v>
      </c>
      <c r="F51" s="38">
        <f>CLARION!E7</f>
        <v>850</v>
      </c>
      <c r="G51" s="38">
        <f t="shared" ref="G51:G58" si="5">E51*F51</f>
        <v>255000</v>
      </c>
      <c r="H51" s="79"/>
    </row>
    <row r="52" spans="1:8" x14ac:dyDescent="0.35">
      <c r="A52" s="476"/>
      <c r="B52" s="653">
        <f>CLARION!A9</f>
        <v>202</v>
      </c>
      <c r="C52" s="653" t="str">
        <f>CLARION!B9</f>
        <v>AMOXICILLIN/CLAVULANIC ACID  228MG/5ML</v>
      </c>
      <c r="D52" s="654" t="str">
        <f>CLARION!C9</f>
        <v>BOTT</v>
      </c>
      <c r="E52" s="653">
        <v>100</v>
      </c>
      <c r="F52" s="38">
        <f>CLARION!E9</f>
        <v>450</v>
      </c>
      <c r="G52" s="38">
        <f t="shared" si="5"/>
        <v>45000</v>
      </c>
      <c r="H52" s="76"/>
    </row>
    <row r="53" spans="1:8" x14ac:dyDescent="0.35">
      <c r="A53" s="476"/>
      <c r="B53" s="653">
        <f>CLARION!A10</f>
        <v>205</v>
      </c>
      <c r="C53" s="653" t="str">
        <f>CLARION!B10</f>
        <v>AMOXICILLIN/CLAVULANIC ACID 1G TAB</v>
      </c>
      <c r="D53" s="654">
        <f>CLARION!C10</f>
        <v>14</v>
      </c>
      <c r="E53" s="653">
        <v>300</v>
      </c>
      <c r="F53" s="38">
        <f>CLARION!E10</f>
        <v>800</v>
      </c>
      <c r="G53" s="38">
        <f t="shared" si="5"/>
        <v>240000</v>
      </c>
      <c r="H53" s="76"/>
    </row>
    <row r="54" spans="1:8" x14ac:dyDescent="0.35">
      <c r="A54" s="476"/>
      <c r="B54" s="653">
        <f>CLARION!A11</f>
        <v>208</v>
      </c>
      <c r="C54" s="653" t="str">
        <f>CLARION!B11</f>
        <v>AMOXICILLIN/CLAVULANIC ACID 625MG TAB</v>
      </c>
      <c r="D54" s="654">
        <v>14</v>
      </c>
      <c r="E54" s="653">
        <v>200</v>
      </c>
      <c r="F54" s="38">
        <f>CLARION!E11</f>
        <v>700</v>
      </c>
      <c r="G54" s="38">
        <f t="shared" si="5"/>
        <v>140000</v>
      </c>
      <c r="H54" s="76"/>
    </row>
    <row r="55" spans="1:8" x14ac:dyDescent="0.35">
      <c r="A55" s="476"/>
      <c r="B55" s="653">
        <f>CLARION!A12</f>
        <v>3</v>
      </c>
      <c r="C55" s="653" t="str">
        <f>CLARION!B12</f>
        <v>ARTEMETHER/LUMEFANTRINE (20/120) SYR</v>
      </c>
      <c r="D55" s="654" t="str">
        <f>CLARION!C12</f>
        <v>BOTT</v>
      </c>
      <c r="E55" s="653">
        <v>50</v>
      </c>
      <c r="F55" s="38">
        <f>CLARION!E12</f>
        <v>260</v>
      </c>
      <c r="G55" s="38">
        <f t="shared" si="5"/>
        <v>13000</v>
      </c>
      <c r="H55" s="76"/>
    </row>
    <row r="56" spans="1:8" x14ac:dyDescent="0.35">
      <c r="A56" s="476"/>
      <c r="B56" s="653">
        <f>CLARION!A13</f>
        <v>8</v>
      </c>
      <c r="C56" s="653" t="str">
        <f>CLARION!B13</f>
        <v>ARTEMETHER/LUMEFANTRINE (80/480) TAB</v>
      </c>
      <c r="D56" s="654">
        <f>CLARION!C13</f>
        <v>6</v>
      </c>
      <c r="E56" s="653">
        <v>250</v>
      </c>
      <c r="F56" s="38">
        <f>CLARION!E13</f>
        <v>260</v>
      </c>
      <c r="G56" s="38">
        <f t="shared" si="5"/>
        <v>65000</v>
      </c>
      <c r="H56" s="76"/>
    </row>
    <row r="57" spans="1:8" x14ac:dyDescent="0.35">
      <c r="A57" s="476"/>
      <c r="B57" s="653">
        <f>CLARION!A14</f>
        <v>181</v>
      </c>
      <c r="C57" s="653" t="str">
        <f>CLARION!B14</f>
        <v>PARACETAMOL 500MG TAB</v>
      </c>
      <c r="D57" s="654">
        <f>CLARION!C14</f>
        <v>96</v>
      </c>
      <c r="E57" s="653">
        <v>450</v>
      </c>
      <c r="F57" s="38">
        <f>CLARION!E14</f>
        <v>180</v>
      </c>
      <c r="G57" s="38">
        <f t="shared" si="5"/>
        <v>81000</v>
      </c>
      <c r="H57" s="76"/>
    </row>
    <row r="58" spans="1:8" ht="23.25" x14ac:dyDescent="0.35">
      <c r="A58" s="476"/>
      <c r="B58" s="653">
        <f>CLARION!A15</f>
        <v>110</v>
      </c>
      <c r="C58" s="653" t="str">
        <f>CLARION!B15</f>
        <v>TELMISARTAN/HYDROCHLOROTHIAZIDE 80/12.5 TAB</v>
      </c>
      <c r="D58" s="654">
        <f>CLARION!C15</f>
        <v>30</v>
      </c>
      <c r="E58" s="653">
        <v>4</v>
      </c>
      <c r="F58" s="38">
        <f>CLARION!E15</f>
        <v>2000</v>
      </c>
      <c r="G58" s="38">
        <f t="shared" si="5"/>
        <v>8000</v>
      </c>
      <c r="H58" s="186">
        <f>SUM(G51:G58)</f>
        <v>847000</v>
      </c>
    </row>
    <row r="59" spans="1:8" ht="23.25" x14ac:dyDescent="0.35">
      <c r="A59" s="677"/>
      <c r="B59" s="653"/>
      <c r="C59" s="653"/>
      <c r="D59" s="654"/>
      <c r="E59" s="653"/>
      <c r="F59" s="38"/>
      <c r="G59" s="38"/>
      <c r="H59" s="186"/>
    </row>
    <row r="60" spans="1:8" s="42" customFormat="1" ht="23.25" x14ac:dyDescent="0.35">
      <c r="A60" s="476"/>
      <c r="B60" s="653"/>
      <c r="C60" s="653"/>
      <c r="D60" s="654"/>
      <c r="E60" s="653"/>
      <c r="F60" s="38"/>
      <c r="G60" s="38"/>
      <c r="H60" s="79"/>
    </row>
    <row r="61" spans="1:8" s="42" customFormat="1" ht="23.25" x14ac:dyDescent="0.35">
      <c r="A61" s="476">
        <v>6</v>
      </c>
      <c r="B61" s="653"/>
      <c r="C61" s="656" t="str">
        <f>CODIX!B1</f>
        <v>CODIX PHARMACEUTICALS LIMITED</v>
      </c>
      <c r="D61" s="654"/>
      <c r="E61" s="653"/>
      <c r="F61" s="38"/>
      <c r="G61" s="38"/>
      <c r="H61" s="79"/>
    </row>
    <row r="62" spans="1:8" s="42" customFormat="1" ht="18.75" x14ac:dyDescent="0.3">
      <c r="A62" s="476"/>
      <c r="B62" s="653">
        <f>CODIX!A6</f>
        <v>39</v>
      </c>
      <c r="C62" s="653" t="str">
        <f>CODIX!B6</f>
        <v>AMLODIPINE 5MG TAB</v>
      </c>
      <c r="D62" s="654">
        <f>CODIX!C6</f>
        <v>28</v>
      </c>
      <c r="E62" s="653">
        <v>625</v>
      </c>
      <c r="F62" s="38">
        <f>CODIX!E6</f>
        <v>180</v>
      </c>
      <c r="G62" s="38">
        <f t="shared" ref="G62:G66" si="6">E62*F62</f>
        <v>112500</v>
      </c>
      <c r="H62" s="38"/>
    </row>
    <row r="63" spans="1:8" s="42" customFormat="1" ht="18.75" x14ac:dyDescent="0.3">
      <c r="A63" s="476"/>
      <c r="B63" s="653">
        <f>CODIX!A7</f>
        <v>48</v>
      </c>
      <c r="C63" s="653" t="str">
        <f>CODIX!B7</f>
        <v>ATORVASTATIN 10MG</v>
      </c>
      <c r="D63" s="654">
        <f>CODIX!C7</f>
        <v>28</v>
      </c>
      <c r="E63" s="653">
        <v>250</v>
      </c>
      <c r="F63" s="38">
        <f>CODIX!E7</f>
        <v>330</v>
      </c>
      <c r="G63" s="38">
        <f t="shared" si="6"/>
        <v>82500</v>
      </c>
      <c r="H63" s="38"/>
    </row>
    <row r="64" spans="1:8" s="42" customFormat="1" ht="18.75" x14ac:dyDescent="0.3">
      <c r="A64" s="476"/>
      <c r="B64" s="653">
        <f>CODIX!A8</f>
        <v>49</v>
      </c>
      <c r="C64" s="653" t="str">
        <f>CODIX!B8</f>
        <v>ATORVASTATIN 20MG</v>
      </c>
      <c r="D64" s="654">
        <f>CODIX!C8</f>
        <v>28</v>
      </c>
      <c r="E64" s="653">
        <v>200</v>
      </c>
      <c r="F64" s="38">
        <f>CODIX!E8</f>
        <v>470</v>
      </c>
      <c r="G64" s="38">
        <f t="shared" si="6"/>
        <v>94000</v>
      </c>
      <c r="H64" s="38"/>
    </row>
    <row r="65" spans="1:8" s="42" customFormat="1" ht="18.75" x14ac:dyDescent="0.3">
      <c r="A65" s="476"/>
      <c r="B65" s="653">
        <f>CODIX!A9</f>
        <v>62</v>
      </c>
      <c r="C65" s="653" t="str">
        <f>CODIX!B9</f>
        <v>FRUSEMIDE 40MG TAB</v>
      </c>
      <c r="D65" s="654">
        <f>CODIX!C9</f>
        <v>100</v>
      </c>
      <c r="E65" s="653">
        <v>125</v>
      </c>
      <c r="F65" s="38">
        <f>CODIX!E9</f>
        <v>320</v>
      </c>
      <c r="G65" s="38">
        <f t="shared" si="6"/>
        <v>40000</v>
      </c>
      <c r="H65" s="38"/>
    </row>
    <row r="66" spans="1:8" s="42" customFormat="1" ht="23.25" x14ac:dyDescent="0.35">
      <c r="A66" s="476"/>
      <c r="B66" s="653">
        <f>CODIX!A10</f>
        <v>97</v>
      </c>
      <c r="C66" s="653" t="str">
        <f>CODIX!B10</f>
        <v>RAMIPRIL 5MG TAB</v>
      </c>
      <c r="D66" s="654">
        <f>CODIX!C10</f>
        <v>30</v>
      </c>
      <c r="E66" s="653">
        <v>130</v>
      </c>
      <c r="F66" s="38">
        <f>CODIX!E10</f>
        <v>600</v>
      </c>
      <c r="G66" s="38">
        <f t="shared" si="6"/>
        <v>78000</v>
      </c>
      <c r="H66" s="186">
        <f>SUM(G62:G66)</f>
        <v>407000</v>
      </c>
    </row>
    <row r="67" spans="1:8" s="42" customFormat="1" ht="18.75" x14ac:dyDescent="0.3">
      <c r="A67" s="476"/>
      <c r="B67" s="653"/>
      <c r="C67" s="653"/>
      <c r="D67" s="654"/>
      <c r="E67" s="653"/>
      <c r="F67" s="38"/>
      <c r="G67" s="38"/>
      <c r="H67" s="35"/>
    </row>
    <row r="68" spans="1:8" s="42" customFormat="1" ht="23.25" x14ac:dyDescent="0.35">
      <c r="A68" s="476">
        <v>7</v>
      </c>
      <c r="B68" s="653"/>
      <c r="C68" s="656" t="str">
        <f>COSMADE!B1</f>
        <v>COSMADE EASY MEDICALS LIMITED</v>
      </c>
      <c r="D68" s="654"/>
      <c r="E68" s="653"/>
      <c r="F68" s="38"/>
      <c r="G68" s="38"/>
      <c r="H68" s="38"/>
    </row>
    <row r="69" spans="1:8" s="42" customFormat="1" ht="18.75" x14ac:dyDescent="0.3">
      <c r="A69" s="476"/>
      <c r="B69" s="653">
        <f>COSMADE!A6</f>
        <v>575</v>
      </c>
      <c r="C69" s="653" t="str">
        <f>COSMADE!B6</f>
        <v>2CC NEEDLE/SYRINGE</v>
      </c>
      <c r="D69" s="654">
        <f>COSMADE!C6</f>
        <v>100</v>
      </c>
      <c r="E69" s="653">
        <v>375</v>
      </c>
      <c r="F69" s="38">
        <f>COSMADE!E6</f>
        <v>1200</v>
      </c>
      <c r="G69" s="38">
        <f t="shared" ref="G69:G76" si="7">E69*F69</f>
        <v>450000</v>
      </c>
      <c r="H69" s="38"/>
    </row>
    <row r="70" spans="1:8" s="42" customFormat="1" ht="18.75" x14ac:dyDescent="0.3">
      <c r="A70" s="476"/>
      <c r="B70" s="653">
        <f>COSMADE!A7</f>
        <v>576</v>
      </c>
      <c r="C70" s="653" t="str">
        <f>COSMADE!B7</f>
        <v xml:space="preserve">5CC NEEDLE/SYRINGE </v>
      </c>
      <c r="D70" s="654">
        <f>COSMADE!C7</f>
        <v>100</v>
      </c>
      <c r="E70" s="653">
        <v>500</v>
      </c>
      <c r="F70" s="38">
        <f>COSMADE!E7</f>
        <v>1200</v>
      </c>
      <c r="G70" s="38">
        <f t="shared" si="7"/>
        <v>600000</v>
      </c>
      <c r="H70" s="38"/>
    </row>
    <row r="71" spans="1:8" s="42" customFormat="1" ht="18.75" x14ac:dyDescent="0.3">
      <c r="A71" s="476"/>
      <c r="B71" s="653">
        <f>COSMADE!A8</f>
        <v>594</v>
      </c>
      <c r="C71" s="653" t="str">
        <f>COSMADE!B8</f>
        <v>FOLLEY CATHETER SIZE 10"</v>
      </c>
      <c r="D71" s="654">
        <f>COSMADE!C8</f>
        <v>10</v>
      </c>
      <c r="E71" s="653">
        <v>2</v>
      </c>
      <c r="F71" s="38">
        <f>COSMADE!E8</f>
        <v>1800</v>
      </c>
      <c r="G71" s="38">
        <f t="shared" si="7"/>
        <v>3600</v>
      </c>
      <c r="H71" s="38"/>
    </row>
    <row r="72" spans="1:8" s="42" customFormat="1" ht="18.75" x14ac:dyDescent="0.3">
      <c r="A72" s="476"/>
      <c r="B72" s="653">
        <f>COSMADE!A9</f>
        <v>595</v>
      </c>
      <c r="C72" s="653" t="str">
        <f>COSMADE!B9</f>
        <v>FOLLEY CATHETER SIZE 12"</v>
      </c>
      <c r="D72" s="654">
        <f>COSMADE!C9</f>
        <v>10</v>
      </c>
      <c r="E72" s="653">
        <v>1</v>
      </c>
      <c r="F72" s="38">
        <f>COSMADE!E9</f>
        <v>1800</v>
      </c>
      <c r="G72" s="38">
        <f t="shared" si="7"/>
        <v>1800</v>
      </c>
      <c r="H72" s="38"/>
    </row>
    <row r="73" spans="1:8" s="42" customFormat="1" ht="18.75" x14ac:dyDescent="0.3">
      <c r="A73" s="476"/>
      <c r="B73" s="653">
        <f>COSMADE!A10</f>
        <v>596</v>
      </c>
      <c r="C73" s="653" t="str">
        <f>COSMADE!B10</f>
        <v>FOLLEY CATHETER SIZE 14"</v>
      </c>
      <c r="D73" s="654">
        <f>COSMADE!C10</f>
        <v>10</v>
      </c>
      <c r="E73" s="653">
        <v>2</v>
      </c>
      <c r="F73" s="38">
        <f>COSMADE!E10</f>
        <v>1800</v>
      </c>
      <c r="G73" s="38">
        <f t="shared" si="7"/>
        <v>3600</v>
      </c>
      <c r="H73" s="38"/>
    </row>
    <row r="74" spans="1:8" s="42" customFormat="1" ht="18.75" x14ac:dyDescent="0.3">
      <c r="A74" s="476"/>
      <c r="B74" s="653">
        <f>COSMADE!A11</f>
        <v>599</v>
      </c>
      <c r="C74" s="653" t="str">
        <f>COSMADE!B11</f>
        <v>FOLLEY CATHETER SIZE 20"</v>
      </c>
      <c r="D74" s="654">
        <f>COSMADE!C11</f>
        <v>10</v>
      </c>
      <c r="E74" s="653">
        <v>5</v>
      </c>
      <c r="F74" s="38">
        <f>COSMADE!E11</f>
        <v>1800</v>
      </c>
      <c r="G74" s="38">
        <f t="shared" si="7"/>
        <v>9000</v>
      </c>
      <c r="H74" s="38"/>
    </row>
    <row r="75" spans="1:8" s="41" customFormat="1" ht="18.75" x14ac:dyDescent="0.3">
      <c r="A75" s="476"/>
      <c r="B75" s="653">
        <f>COSMADE!A15</f>
        <v>603</v>
      </c>
      <c r="C75" s="653" t="str">
        <f>COSMADE!B15</f>
        <v>FOLLEY CATHETER SIZE 8"</v>
      </c>
      <c r="D75" s="654">
        <f>COSMADE!C15</f>
        <v>10</v>
      </c>
      <c r="E75" s="653">
        <v>1</v>
      </c>
      <c r="F75" s="38">
        <f>COSMADE!E15</f>
        <v>1800</v>
      </c>
      <c r="G75" s="38">
        <f t="shared" si="7"/>
        <v>1800</v>
      </c>
      <c r="H75" s="69"/>
    </row>
    <row r="76" spans="1:8" s="41" customFormat="1" ht="23.25" x14ac:dyDescent="0.35">
      <c r="A76" s="476"/>
      <c r="B76" s="653">
        <f>COSMADE!A16</f>
        <v>628</v>
      </c>
      <c r="C76" s="653" t="str">
        <f>COSMADE!B16</f>
        <v>PLASTER 4" (ZINC OXIDE)</v>
      </c>
      <c r="D76" s="654" t="str">
        <f>COSMADE!C16</f>
        <v>PCS</v>
      </c>
      <c r="E76" s="653">
        <v>50</v>
      </c>
      <c r="F76" s="38">
        <f>COSMADE!E16</f>
        <v>3000</v>
      </c>
      <c r="G76" s="38">
        <f t="shared" si="7"/>
        <v>150000</v>
      </c>
      <c r="H76" s="186">
        <f>SUM(G69:G76)</f>
        <v>1219800</v>
      </c>
    </row>
    <row r="77" spans="1:8" s="42" customFormat="1" ht="18.75" x14ac:dyDescent="0.3">
      <c r="A77" s="476"/>
      <c r="B77" s="653"/>
      <c r="C77" s="653"/>
      <c r="D77" s="654"/>
      <c r="E77" s="653"/>
      <c r="F77" s="38"/>
      <c r="G77" s="38"/>
      <c r="H77" s="38"/>
    </row>
    <row r="78" spans="1:8" s="42" customFormat="1" ht="23.25" x14ac:dyDescent="0.35">
      <c r="A78" s="476">
        <v>8</v>
      </c>
      <c r="B78" s="35"/>
      <c r="C78" s="77" t="str">
        <f>SANCON!B1</f>
        <v>DE SANCON &amp; ASSOCIATES LIMITED</v>
      </c>
      <c r="D78" s="668"/>
      <c r="E78" s="35"/>
      <c r="F78" s="38"/>
      <c r="G78" s="38"/>
      <c r="H78" s="38"/>
    </row>
    <row r="79" spans="1:8" s="42" customFormat="1" ht="18.75" x14ac:dyDescent="0.3">
      <c r="A79" s="476"/>
      <c r="B79" s="653">
        <f>SANCON!A6</f>
        <v>586</v>
      </c>
      <c r="C79" s="653" t="str">
        <f>SANCON!B6</f>
        <v>CONDOM CATHETER</v>
      </c>
      <c r="D79" s="654">
        <f>SANCON!C6</f>
        <v>50</v>
      </c>
      <c r="E79" s="653">
        <v>4</v>
      </c>
      <c r="F79" s="38">
        <f>SANCON!E6</f>
        <v>8625</v>
      </c>
      <c r="G79" s="38">
        <f t="shared" ref="G79:G87" si="8">E79*F79</f>
        <v>34500</v>
      </c>
      <c r="H79" s="38"/>
    </row>
    <row r="80" spans="1:8" s="42" customFormat="1" ht="23.25" x14ac:dyDescent="0.35">
      <c r="A80" s="476"/>
      <c r="B80" s="653">
        <v>587</v>
      </c>
      <c r="C80" s="653" t="s">
        <v>529</v>
      </c>
      <c r="D80" s="654">
        <v>100</v>
      </c>
      <c r="E80" s="653">
        <v>5</v>
      </c>
      <c r="F80" s="38">
        <v>1725</v>
      </c>
      <c r="G80" s="38">
        <f t="shared" si="8"/>
        <v>8625</v>
      </c>
      <c r="H80" s="186"/>
    </row>
    <row r="81" spans="1:8" s="42" customFormat="1" ht="18.75" x14ac:dyDescent="0.3">
      <c r="A81" s="476"/>
      <c r="B81" s="653">
        <f>SANCON!A9</f>
        <v>609</v>
      </c>
      <c r="C81" s="653" t="str">
        <f>SANCON!B9</f>
        <v>NASOGASTRIC TUBE 10"</v>
      </c>
      <c r="D81" s="654">
        <f>SANCON!C9</f>
        <v>10</v>
      </c>
      <c r="E81" s="653">
        <v>5</v>
      </c>
      <c r="F81" s="38">
        <f>SANCON!E9</f>
        <v>540</v>
      </c>
      <c r="G81" s="38">
        <f t="shared" si="8"/>
        <v>2700</v>
      </c>
      <c r="H81" s="35"/>
    </row>
    <row r="82" spans="1:8" s="42" customFormat="1" ht="18.75" x14ac:dyDescent="0.3">
      <c r="A82" s="476"/>
      <c r="B82" s="653">
        <f>SANCON!A10</f>
        <v>610</v>
      </c>
      <c r="C82" s="653" t="str">
        <f>SANCON!B10</f>
        <v>NASOGASTRIC TUBE 12"</v>
      </c>
      <c r="D82" s="654">
        <f>SANCON!C10</f>
        <v>10</v>
      </c>
      <c r="E82" s="653">
        <v>2</v>
      </c>
      <c r="F82" s="38">
        <f>SANCON!E10</f>
        <v>540</v>
      </c>
      <c r="G82" s="38">
        <f t="shared" si="8"/>
        <v>1080</v>
      </c>
      <c r="H82" s="38"/>
    </row>
    <row r="83" spans="1:8" s="42" customFormat="1" ht="18.75" x14ac:dyDescent="0.3">
      <c r="A83" s="476"/>
      <c r="B83" s="653">
        <f>SANCON!A17</f>
        <v>618</v>
      </c>
      <c r="C83" s="653" t="str">
        <f>SANCON!B17</f>
        <v>NASOGASTRIC TUBE 8"</v>
      </c>
      <c r="D83" s="654">
        <f>SANCON!C17</f>
        <v>10</v>
      </c>
      <c r="E83" s="653">
        <v>4</v>
      </c>
      <c r="F83" s="38">
        <f>SANCON!E17</f>
        <v>540</v>
      </c>
      <c r="G83" s="38">
        <f t="shared" si="8"/>
        <v>2160</v>
      </c>
      <c r="H83" s="38"/>
    </row>
    <row r="84" spans="1:8" s="42" customFormat="1" ht="18.75" x14ac:dyDescent="0.3">
      <c r="A84" s="476"/>
      <c r="B84" s="653">
        <f>SANCON!A18</f>
        <v>706</v>
      </c>
      <c r="C84" s="653" t="str">
        <f>SANCON!B18</f>
        <v>NYLON 2/0  (40-45) LONG NEEDLE</v>
      </c>
      <c r="D84" s="654">
        <f>SANCON!C18</f>
        <v>12</v>
      </c>
      <c r="E84" s="653">
        <v>13</v>
      </c>
      <c r="F84" s="38">
        <f>SANCON!E18</f>
        <v>700</v>
      </c>
      <c r="G84" s="38">
        <f t="shared" si="8"/>
        <v>9100</v>
      </c>
      <c r="H84" s="38"/>
    </row>
    <row r="85" spans="1:8" s="42" customFormat="1" ht="18.75" x14ac:dyDescent="0.3">
      <c r="A85" s="476"/>
      <c r="B85" s="653">
        <f>SANCON!A22</f>
        <v>640</v>
      </c>
      <c r="C85" s="653" t="str">
        <f>SANCON!B22</f>
        <v>SURGICAL BLADE 11"</v>
      </c>
      <c r="D85" s="654">
        <f>SANCON!C22</f>
        <v>100</v>
      </c>
      <c r="E85" s="653">
        <v>2</v>
      </c>
      <c r="F85" s="38">
        <f>SANCON!E22</f>
        <v>1300</v>
      </c>
      <c r="G85" s="38">
        <f t="shared" si="8"/>
        <v>2600</v>
      </c>
      <c r="H85" s="38"/>
    </row>
    <row r="86" spans="1:8" s="42" customFormat="1" ht="18.75" x14ac:dyDescent="0.3">
      <c r="A86" s="476"/>
      <c r="B86" s="653">
        <f>SANCON!A23</f>
        <v>642</v>
      </c>
      <c r="C86" s="653" t="str">
        <f>SANCON!B23</f>
        <v>SURGICAL BLADE 15"</v>
      </c>
      <c r="D86" s="654">
        <f>SANCON!C23</f>
        <v>100</v>
      </c>
      <c r="E86" s="653">
        <v>3</v>
      </c>
      <c r="F86" s="38">
        <f>SANCON!E23</f>
        <v>1300</v>
      </c>
      <c r="G86" s="38">
        <f t="shared" si="8"/>
        <v>3900</v>
      </c>
    </row>
    <row r="87" spans="1:8" s="42" customFormat="1" ht="23.25" x14ac:dyDescent="0.35">
      <c r="A87" s="476"/>
      <c r="B87" s="653">
        <f>SANCON!A24</f>
        <v>644</v>
      </c>
      <c r="C87" s="653" t="str">
        <f>SANCON!B24</f>
        <v>SURGICAL BLADE 23"</v>
      </c>
      <c r="D87" s="654">
        <f>SANCON!C24</f>
        <v>100</v>
      </c>
      <c r="E87" s="653">
        <v>5</v>
      </c>
      <c r="F87" s="38">
        <f>SANCON!E24</f>
        <v>1300</v>
      </c>
      <c r="G87" s="38">
        <f t="shared" si="8"/>
        <v>6500</v>
      </c>
      <c r="H87" s="186">
        <f>SUM(G79:G87)</f>
        <v>71165</v>
      </c>
    </row>
    <row r="88" spans="1:8" s="42" customFormat="1" ht="18.75" x14ac:dyDescent="0.3">
      <c r="A88" s="476"/>
      <c r="B88" s="653"/>
      <c r="C88" s="653"/>
      <c r="D88" s="654"/>
      <c r="E88" s="653"/>
      <c r="F88" s="38"/>
      <c r="G88" s="38"/>
      <c r="H88" s="38"/>
    </row>
    <row r="89" spans="1:8" s="42" customFormat="1" ht="23.25" x14ac:dyDescent="0.35">
      <c r="A89" s="476"/>
      <c r="B89" s="653"/>
      <c r="C89" s="653"/>
      <c r="D89" s="654"/>
      <c r="E89" s="653"/>
      <c r="F89" s="38"/>
      <c r="G89" s="38"/>
      <c r="H89" s="186"/>
    </row>
    <row r="90" spans="1:8" s="42" customFormat="1" ht="23.25" x14ac:dyDescent="0.35">
      <c r="A90" s="476">
        <v>9</v>
      </c>
      <c r="B90" s="35"/>
      <c r="C90" s="77" t="str">
        <f>DEVON!B1</f>
        <v>DEVON PHARMACEUTICALS</v>
      </c>
      <c r="D90" s="668"/>
      <c r="E90" s="35"/>
      <c r="F90" s="38"/>
      <c r="G90" s="38"/>
      <c r="H90" s="35"/>
    </row>
    <row r="91" spans="1:8" s="42" customFormat="1" ht="18.75" x14ac:dyDescent="0.3">
      <c r="A91" s="476"/>
      <c r="B91" s="653">
        <f>DEVON!A6</f>
        <v>237</v>
      </c>
      <c r="C91" s="653" t="str">
        <f>DEVON!B6</f>
        <v>CIPROFLOXACIN INJ</v>
      </c>
      <c r="D91" s="654" t="str">
        <f>DEVON!C6</f>
        <v>BOTT</v>
      </c>
      <c r="E91" s="653">
        <v>1050</v>
      </c>
      <c r="F91" s="38">
        <f>DEVON!E6</f>
        <v>90</v>
      </c>
      <c r="G91" s="38">
        <f t="shared" ref="G91:G92" si="9">E91*F91</f>
        <v>94500</v>
      </c>
      <c r="H91" s="35"/>
    </row>
    <row r="92" spans="1:8" s="42" customFormat="1" ht="23.25" x14ac:dyDescent="0.35">
      <c r="A92" s="476"/>
      <c r="B92" s="653">
        <f>DEVON!A7</f>
        <v>676</v>
      </c>
      <c r="C92" s="653" t="str">
        <f>DEVON!B7</f>
        <v>IOHEXOL - CONTRAST MEDIA</v>
      </c>
      <c r="D92" s="654" t="str">
        <f>DEVON!C7</f>
        <v>BOTT</v>
      </c>
      <c r="E92" s="653">
        <v>50</v>
      </c>
      <c r="F92" s="38">
        <f>DEVON!E7</f>
        <v>9945</v>
      </c>
      <c r="G92" s="38">
        <f t="shared" si="9"/>
        <v>497250</v>
      </c>
      <c r="H92" s="186">
        <f>SUM(G91:G92)</f>
        <v>591750</v>
      </c>
    </row>
    <row r="93" spans="1:8" s="42" customFormat="1" ht="18.75" x14ac:dyDescent="0.3">
      <c r="A93" s="476"/>
      <c r="B93" s="653"/>
      <c r="C93" s="653"/>
      <c r="D93" s="654"/>
      <c r="E93" s="653"/>
      <c r="F93" s="38"/>
      <c r="G93" s="38"/>
      <c r="H93" s="38"/>
    </row>
    <row r="94" spans="1:8" s="42" customFormat="1" ht="18.75" x14ac:dyDescent="0.3">
      <c r="A94" s="476"/>
      <c r="B94" s="653"/>
      <c r="C94" s="653"/>
      <c r="D94" s="654"/>
      <c r="E94" s="653"/>
      <c r="F94" s="38"/>
      <c r="G94" s="38"/>
      <c r="H94" s="38"/>
    </row>
    <row r="95" spans="1:8" s="42" customFormat="1" ht="23.25" x14ac:dyDescent="0.35">
      <c r="A95" s="476">
        <v>10</v>
      </c>
      <c r="B95" s="653"/>
      <c r="C95" s="656" t="str">
        <f>DORTEMAG!B1</f>
        <v>DORTEMAG VENTURES LIMITED</v>
      </c>
      <c r="D95" s="654"/>
      <c r="E95" s="653"/>
      <c r="F95" s="38"/>
      <c r="G95" s="38"/>
      <c r="H95" s="38"/>
    </row>
    <row r="96" spans="1:8" s="42" customFormat="1" ht="18.75" x14ac:dyDescent="0.3">
      <c r="A96" s="476"/>
      <c r="B96" s="653">
        <f>DORTEMAG!A8</f>
        <v>504</v>
      </c>
      <c r="C96" s="653" t="str">
        <f>DORTEMAG!B8</f>
        <v>CHLORAMPHENICOL EYE DROPS</v>
      </c>
      <c r="D96" s="654" t="str">
        <f>DORTEMAG!C8</f>
        <v>BOTT</v>
      </c>
      <c r="E96" s="653">
        <v>150</v>
      </c>
      <c r="F96" s="38">
        <f>DORTEMAG!E8</f>
        <v>100</v>
      </c>
      <c r="G96" s="38">
        <f t="shared" ref="G96:G104" si="10">E96*F96</f>
        <v>15000</v>
      </c>
      <c r="H96" s="38"/>
    </row>
    <row r="97" spans="1:8" s="42" customFormat="1" ht="18.75" x14ac:dyDescent="0.3">
      <c r="A97" s="476"/>
      <c r="B97" s="653">
        <f>DORTEMAG!A9</f>
        <v>503</v>
      </c>
      <c r="C97" s="653" t="str">
        <f>DORTEMAG!B9</f>
        <v>CHLORAMPHENICOL EYE OINTMENT</v>
      </c>
      <c r="D97" s="654" t="str">
        <f>DORTEMAG!C9</f>
        <v>TUBE</v>
      </c>
      <c r="E97" s="653">
        <v>250</v>
      </c>
      <c r="F97" s="38">
        <f>DORTEMAG!E9</f>
        <v>100</v>
      </c>
      <c r="G97" s="38">
        <f t="shared" si="10"/>
        <v>25000</v>
      </c>
      <c r="H97" s="38"/>
    </row>
    <row r="98" spans="1:8" s="42" customFormat="1" ht="18.75" x14ac:dyDescent="0.3">
      <c r="A98" s="476"/>
      <c r="B98" s="653">
        <f>DORTEMAG!A12</f>
        <v>508</v>
      </c>
      <c r="C98" s="653" t="str">
        <f>DORTEMAG!B12</f>
        <v>DEXAMETHSAONE EYE DROP</v>
      </c>
      <c r="D98" s="654" t="str">
        <f>DORTEMAG!C12</f>
        <v>BOTT</v>
      </c>
      <c r="E98" s="653">
        <v>100</v>
      </c>
      <c r="F98" s="38">
        <f>DORTEMAG!E12</f>
        <v>325</v>
      </c>
      <c r="G98" s="38">
        <f t="shared" si="10"/>
        <v>32500</v>
      </c>
      <c r="H98" s="38"/>
    </row>
    <row r="99" spans="1:8" s="42" customFormat="1" ht="18.75" x14ac:dyDescent="0.3">
      <c r="A99" s="476"/>
      <c r="B99" s="653">
        <v>512</v>
      </c>
      <c r="C99" s="653" t="s">
        <v>2193</v>
      </c>
      <c r="D99" s="654" t="s">
        <v>144</v>
      </c>
      <c r="E99" s="653">
        <v>150</v>
      </c>
      <c r="F99" s="38">
        <v>573</v>
      </c>
      <c r="G99" s="38">
        <f t="shared" si="10"/>
        <v>85950</v>
      </c>
      <c r="H99" s="38"/>
    </row>
    <row r="100" spans="1:8" s="42" customFormat="1" ht="18.75" x14ac:dyDescent="0.3">
      <c r="A100" s="476"/>
      <c r="B100" s="653">
        <f>DORTEMAG!A14</f>
        <v>513</v>
      </c>
      <c r="C100" s="653" t="str">
        <f>DORTEMAG!B14</f>
        <v>GENTAMYCIN EYE DROP</v>
      </c>
      <c r="D100" s="654" t="str">
        <f>DORTEMAG!C14</f>
        <v>BOTT</v>
      </c>
      <c r="E100" s="653">
        <v>50</v>
      </c>
      <c r="F100" s="38">
        <f>DORTEMAG!E14</f>
        <v>100</v>
      </c>
      <c r="G100" s="38">
        <f t="shared" si="10"/>
        <v>5000</v>
      </c>
      <c r="H100" s="38"/>
    </row>
    <row r="101" spans="1:8" s="42" customFormat="1" ht="18.75" x14ac:dyDescent="0.3">
      <c r="A101" s="476"/>
      <c r="B101" s="653">
        <f>DORTEMAG!A15</f>
        <v>514</v>
      </c>
      <c r="C101" s="653" t="str">
        <f>DORTEMAG!B15</f>
        <v>HYDROXYPROPYLMETHYLCELLULOSE GTT</v>
      </c>
      <c r="D101" s="654" t="str">
        <f>DORTEMAG!C15</f>
        <v>BOTT</v>
      </c>
      <c r="E101" s="653">
        <v>200</v>
      </c>
      <c r="F101" s="38">
        <f>DORTEMAG!E15</f>
        <v>572</v>
      </c>
      <c r="G101" s="38">
        <f t="shared" si="10"/>
        <v>114400</v>
      </c>
      <c r="H101" s="38"/>
    </row>
    <row r="102" spans="1:8" s="42" customFormat="1" ht="18.75" x14ac:dyDescent="0.3">
      <c r="A102" s="476"/>
      <c r="B102" s="653">
        <v>163</v>
      </c>
      <c r="C102" s="653" t="s">
        <v>1288</v>
      </c>
      <c r="D102" s="654" t="s">
        <v>144</v>
      </c>
      <c r="E102" s="653">
        <v>150</v>
      </c>
      <c r="F102" s="38">
        <v>200</v>
      </c>
      <c r="G102" s="38">
        <f t="shared" si="10"/>
        <v>30000</v>
      </c>
      <c r="H102" s="38"/>
    </row>
    <row r="103" spans="1:8" s="42" customFormat="1" ht="18.75" x14ac:dyDescent="0.3">
      <c r="A103" s="476"/>
      <c r="B103" s="653">
        <v>529</v>
      </c>
      <c r="C103" s="653" t="s">
        <v>2192</v>
      </c>
      <c r="D103" s="654" t="s">
        <v>144</v>
      </c>
      <c r="E103" s="653">
        <v>100</v>
      </c>
      <c r="F103" s="38">
        <v>473</v>
      </c>
      <c r="G103" s="38">
        <f t="shared" si="10"/>
        <v>47300</v>
      </c>
      <c r="H103" s="38"/>
    </row>
    <row r="104" spans="1:8" s="42" customFormat="1" ht="23.25" x14ac:dyDescent="0.35">
      <c r="A104" s="476"/>
      <c r="B104" s="653">
        <f>DORTEMAG!A18</f>
        <v>535</v>
      </c>
      <c r="C104" s="653" t="str">
        <f>DORTEMAG!B18</f>
        <v>TROPICAMIDE GTT</v>
      </c>
      <c r="D104" s="654" t="str">
        <f>DORTEMAG!C18</f>
        <v>BOTT</v>
      </c>
      <c r="E104" s="653">
        <v>40</v>
      </c>
      <c r="F104" s="38">
        <f>DORTEMAG!E18</f>
        <v>950</v>
      </c>
      <c r="G104" s="38">
        <f t="shared" si="10"/>
        <v>38000</v>
      </c>
      <c r="H104" s="186">
        <f>SUM(G96:G104)</f>
        <v>393150</v>
      </c>
    </row>
    <row r="105" spans="1:8" s="42" customFormat="1" ht="18.75" x14ac:dyDescent="0.3">
      <c r="A105" s="476"/>
      <c r="B105" s="653"/>
      <c r="C105" s="653"/>
      <c r="D105" s="654"/>
      <c r="E105" s="653"/>
      <c r="F105" s="38"/>
      <c r="G105" s="38"/>
      <c r="H105" s="38"/>
    </row>
    <row r="106" spans="1:8" s="42" customFormat="1" ht="18.75" x14ac:dyDescent="0.3">
      <c r="A106" s="476"/>
      <c r="B106" s="653"/>
      <c r="C106" s="653"/>
      <c r="D106" s="654"/>
      <c r="E106" s="653"/>
      <c r="F106" s="38"/>
      <c r="G106" s="38"/>
      <c r="H106" s="38"/>
    </row>
    <row r="107" spans="1:8" s="42" customFormat="1" ht="23.25" x14ac:dyDescent="0.35">
      <c r="A107" s="476">
        <v>11</v>
      </c>
      <c r="B107" s="35"/>
      <c r="C107" s="77" t="str">
        <f>DGF!B1</f>
        <v>DRUGFIELD PHARMACEUTICALS LIMITED</v>
      </c>
      <c r="D107" s="668"/>
      <c r="E107" s="35"/>
      <c r="F107" s="38"/>
      <c r="G107" s="38"/>
      <c r="H107" s="38"/>
    </row>
    <row r="108" spans="1:8" s="42" customFormat="1" ht="18.75" x14ac:dyDescent="0.3">
      <c r="A108" s="476"/>
      <c r="B108" s="653">
        <f>DGF!A6</f>
        <v>496</v>
      </c>
      <c r="C108" s="653" t="str">
        <f>DGF!B6</f>
        <v>ANTAZOLINE HCL+TETRAZOLINE HCL</v>
      </c>
      <c r="D108" s="654" t="str">
        <f>DGF!C6</f>
        <v>BOTT</v>
      </c>
      <c r="E108" s="653">
        <v>600</v>
      </c>
      <c r="F108" s="38">
        <f>DGF!E6</f>
        <v>500</v>
      </c>
      <c r="G108" s="38">
        <f t="shared" ref="G108:G118" si="11">E108*F108</f>
        <v>300000</v>
      </c>
      <c r="H108" s="38"/>
    </row>
    <row r="109" spans="1:8" s="42" customFormat="1" ht="18.75" x14ac:dyDescent="0.3">
      <c r="A109" s="476"/>
      <c r="B109" s="653">
        <f>DGF!A7</f>
        <v>499</v>
      </c>
      <c r="C109" s="653" t="str">
        <f>DGF!B7</f>
        <v>BRIMONIDINE GTT</v>
      </c>
      <c r="D109" s="654" t="str">
        <f>DGF!C7</f>
        <v>BOTT</v>
      </c>
      <c r="E109" s="653">
        <v>20</v>
      </c>
      <c r="F109" s="38">
        <f>DGF!E7</f>
        <v>1300</v>
      </c>
      <c r="G109" s="38">
        <f t="shared" si="11"/>
        <v>26000</v>
      </c>
      <c r="H109" s="38"/>
    </row>
    <row r="110" spans="1:8" s="42" customFormat="1" ht="18.75" x14ac:dyDescent="0.3">
      <c r="A110" s="476"/>
      <c r="B110" s="653">
        <f>DGF!A8</f>
        <v>509</v>
      </c>
      <c r="C110" s="653" t="str">
        <f>DGF!B8</f>
        <v>DICLOFENAC GTT</v>
      </c>
      <c r="D110" s="654" t="str">
        <f>DGF!C8</f>
        <v>BOTT</v>
      </c>
      <c r="E110" s="653">
        <v>15</v>
      </c>
      <c r="F110" s="38">
        <f>DGF!E8</f>
        <v>450</v>
      </c>
      <c r="G110" s="38">
        <f t="shared" si="11"/>
        <v>6750</v>
      </c>
      <c r="H110" s="38"/>
    </row>
    <row r="111" spans="1:8" s="42" customFormat="1" ht="18.75" x14ac:dyDescent="0.3">
      <c r="A111" s="476"/>
      <c r="B111" s="653">
        <f>DGF!A9</f>
        <v>511</v>
      </c>
      <c r="C111" s="653" t="str">
        <f>DGF!B9</f>
        <v>FLUCONAZOLE GTT</v>
      </c>
      <c r="D111" s="654" t="str">
        <f>DGF!C9</f>
        <v>BOTT</v>
      </c>
      <c r="E111" s="653">
        <v>30</v>
      </c>
      <c r="F111" s="38">
        <f>DGF!E9</f>
        <v>720</v>
      </c>
      <c r="G111" s="38">
        <f t="shared" si="11"/>
        <v>21600</v>
      </c>
      <c r="H111" s="38"/>
    </row>
    <row r="112" spans="1:8" s="42" customFormat="1" ht="18.75" x14ac:dyDescent="0.3">
      <c r="A112" s="476"/>
      <c r="B112" s="653">
        <f>DGF!A10</f>
        <v>254</v>
      </c>
      <c r="C112" s="653" t="str">
        <f>DGF!B10</f>
        <v>GENTAMICIN CREAM</v>
      </c>
      <c r="D112" s="654" t="str">
        <f>DGF!C10</f>
        <v>20G</v>
      </c>
      <c r="E112" s="653">
        <v>30</v>
      </c>
      <c r="F112" s="38">
        <f>DGF!E10</f>
        <v>210</v>
      </c>
      <c r="G112" s="38">
        <f t="shared" si="11"/>
        <v>6300</v>
      </c>
      <c r="H112" s="38"/>
    </row>
    <row r="113" spans="1:8" s="42" customFormat="1" ht="18.75" x14ac:dyDescent="0.3">
      <c r="A113" s="476"/>
      <c r="B113" s="653">
        <f>DGF!A11</f>
        <v>65</v>
      </c>
      <c r="C113" s="653" t="str">
        <f>DGF!B11</f>
        <v>HYDROCHLOROTHIAZIDE 25MG TAB</v>
      </c>
      <c r="D113" s="654">
        <f>DGF!C11</f>
        <v>30</v>
      </c>
      <c r="E113" s="653">
        <v>750</v>
      </c>
      <c r="F113" s="38">
        <f>DGF!E11</f>
        <v>300</v>
      </c>
      <c r="G113" s="38">
        <f t="shared" si="11"/>
        <v>225000</v>
      </c>
      <c r="H113" s="38"/>
    </row>
    <row r="114" spans="1:8" s="42" customFormat="1" ht="18.75" x14ac:dyDescent="0.3">
      <c r="A114" s="476"/>
      <c r="B114" s="653">
        <v>693</v>
      </c>
      <c r="C114" s="653" t="s">
        <v>2234</v>
      </c>
      <c r="D114" s="654" t="s">
        <v>656</v>
      </c>
      <c r="E114" s="653">
        <v>50</v>
      </c>
      <c r="F114" s="38">
        <v>300</v>
      </c>
      <c r="G114" s="38">
        <f t="shared" si="11"/>
        <v>15000</v>
      </c>
      <c r="H114" s="38"/>
    </row>
    <row r="115" spans="1:8" s="42" customFormat="1" ht="23.25" x14ac:dyDescent="0.35">
      <c r="A115" s="476"/>
      <c r="B115" s="653">
        <f>DGF!A13</f>
        <v>260</v>
      </c>
      <c r="C115" s="653" t="str">
        <f>DGF!B13</f>
        <v>KETOCONAZOLE CREAM 2% COMPOUND</v>
      </c>
      <c r="D115" s="654" t="str">
        <f>DGF!C13</f>
        <v>20g</v>
      </c>
      <c r="E115" s="653">
        <v>125</v>
      </c>
      <c r="F115" s="38">
        <f>DGF!E13</f>
        <v>360</v>
      </c>
      <c r="G115" s="38">
        <f t="shared" si="11"/>
        <v>45000</v>
      </c>
      <c r="H115" s="79"/>
    </row>
    <row r="116" spans="1:8" s="42" customFormat="1" ht="18.75" x14ac:dyDescent="0.3">
      <c r="A116" s="476"/>
      <c r="B116" s="653">
        <f>DGF!A14</f>
        <v>526</v>
      </c>
      <c r="C116" s="653" t="str">
        <f>DGF!B14</f>
        <v>POTASSIUM IODIDE+SODIUM IODIDE GTT</v>
      </c>
      <c r="D116" s="654" t="str">
        <f>DGF!C14</f>
        <v>BOTT</v>
      </c>
      <c r="E116" s="653">
        <v>3</v>
      </c>
      <c r="F116" s="38">
        <f>DGF!E14</f>
        <v>650</v>
      </c>
      <c r="G116" s="38">
        <f t="shared" si="11"/>
        <v>1950</v>
      </c>
      <c r="H116" s="38"/>
    </row>
    <row r="117" spans="1:8" s="42" customFormat="1" ht="18.75" x14ac:dyDescent="0.3">
      <c r="A117" s="476"/>
      <c r="B117" s="653">
        <f>DGF!A15</f>
        <v>18</v>
      </c>
      <c r="C117" s="653" t="str">
        <f>DGF!B15</f>
        <v>SULPHADOXINE/PYRIMETHAMINE TAB</v>
      </c>
      <c r="D117" s="654">
        <f>DGF!C15</f>
        <v>50</v>
      </c>
      <c r="E117" s="653">
        <v>5</v>
      </c>
      <c r="F117" s="38">
        <f>DGF!E15</f>
        <v>2900</v>
      </c>
      <c r="G117" s="38">
        <f t="shared" si="11"/>
        <v>14500</v>
      </c>
      <c r="H117" s="38"/>
    </row>
    <row r="118" spans="1:8" s="42" customFormat="1" ht="23.25" x14ac:dyDescent="0.35">
      <c r="A118" s="476"/>
      <c r="B118" s="653">
        <f>DGF!A16</f>
        <v>535</v>
      </c>
      <c r="C118" s="653" t="str">
        <f>DGF!B16</f>
        <v>TROPICAMIDE GTT</v>
      </c>
      <c r="D118" s="654" t="str">
        <f>DGF!C16</f>
        <v>BOTT</v>
      </c>
      <c r="E118" s="653">
        <v>100</v>
      </c>
      <c r="F118" s="38">
        <f>DGF!E16</f>
        <v>500</v>
      </c>
      <c r="G118" s="38">
        <f t="shared" si="11"/>
        <v>50000</v>
      </c>
      <c r="H118" s="186">
        <f>SUM(G108:G118)</f>
        <v>712100</v>
      </c>
    </row>
    <row r="119" spans="1:8" s="67" customFormat="1" x14ac:dyDescent="0.35">
      <c r="A119" s="476"/>
      <c r="B119" s="653"/>
      <c r="C119" s="653"/>
      <c r="D119" s="654"/>
      <c r="E119" s="653"/>
      <c r="F119" s="38"/>
      <c r="G119" s="38"/>
      <c r="H119" s="76"/>
    </row>
    <row r="120" spans="1:8" s="42" customFormat="1" ht="23.25" x14ac:dyDescent="0.35">
      <c r="A120" s="476">
        <v>12</v>
      </c>
      <c r="B120" s="35"/>
      <c r="C120" s="77" t="str">
        <f>EMZOR!B1</f>
        <v>EMZOR PHARMACEUTICALS LIMITED</v>
      </c>
      <c r="D120" s="668"/>
      <c r="E120" s="35"/>
      <c r="F120" s="38"/>
      <c r="G120" s="38"/>
      <c r="H120" s="38"/>
    </row>
    <row r="121" spans="1:8" s="42" customFormat="1" ht="18.75" x14ac:dyDescent="0.3">
      <c r="A121" s="476"/>
      <c r="B121" s="653">
        <f>EMZOR!A8</f>
        <v>7</v>
      </c>
      <c r="C121" s="653" t="str">
        <f>EMZOR!B8</f>
        <v>ARTEMETHER/LUMEFANTRINE (20/120) TAB DISPERSIBLE</v>
      </c>
      <c r="D121" s="654">
        <f>EMZOR!C8</f>
        <v>6</v>
      </c>
      <c r="E121" s="653">
        <v>150</v>
      </c>
      <c r="F121" s="38">
        <f>EMZOR!E8</f>
        <v>100</v>
      </c>
      <c r="G121" s="38">
        <f t="shared" ref="G121:G129" si="12">E121*F121</f>
        <v>15000</v>
      </c>
      <c r="H121" s="38"/>
    </row>
    <row r="122" spans="1:8" s="42" customFormat="1" ht="18.75" x14ac:dyDescent="0.3">
      <c r="A122" s="476"/>
      <c r="B122" s="653">
        <v>8</v>
      </c>
      <c r="C122" s="653" t="s">
        <v>7</v>
      </c>
      <c r="D122" s="654">
        <v>6</v>
      </c>
      <c r="E122" s="653">
        <v>500</v>
      </c>
      <c r="F122" s="38">
        <v>260</v>
      </c>
      <c r="G122" s="38">
        <f t="shared" si="12"/>
        <v>130000</v>
      </c>
      <c r="H122" s="38"/>
    </row>
    <row r="123" spans="1:8" s="42" customFormat="1" ht="18.75" x14ac:dyDescent="0.3">
      <c r="A123" s="476"/>
      <c r="B123" s="653">
        <f>EMZOR!A10</f>
        <v>46</v>
      </c>
      <c r="C123" s="653" t="str">
        <f>EMZOR!B10</f>
        <v>ASPIRIN 75MG TAB</v>
      </c>
      <c r="D123" s="654">
        <f>EMZOR!C10</f>
        <v>100</v>
      </c>
      <c r="E123" s="653">
        <v>250</v>
      </c>
      <c r="F123" s="38">
        <f>EMZOR!E10</f>
        <v>100</v>
      </c>
      <c r="G123" s="38">
        <f t="shared" si="12"/>
        <v>25000</v>
      </c>
      <c r="H123" s="38"/>
    </row>
    <row r="124" spans="1:8" s="42" customFormat="1" ht="18.75" x14ac:dyDescent="0.3">
      <c r="A124" s="476"/>
      <c r="B124" s="653">
        <f>EMZOR!A13</f>
        <v>308</v>
      </c>
      <c r="C124" s="653" t="str">
        <f>EMZOR!B13</f>
        <v>FOLIC ACID TAB</v>
      </c>
      <c r="D124" s="654">
        <f>EMZOR!C13</f>
        <v>1000</v>
      </c>
      <c r="E124" s="653">
        <v>50</v>
      </c>
      <c r="F124" s="38">
        <f>EMZOR!E13</f>
        <v>800</v>
      </c>
      <c r="G124" s="38">
        <f t="shared" si="12"/>
        <v>40000</v>
      </c>
      <c r="H124" s="38"/>
    </row>
    <row r="125" spans="1:8" s="42" customFormat="1" ht="18.75" x14ac:dyDescent="0.3">
      <c r="A125" s="476"/>
      <c r="B125" s="653">
        <f>EMZOR!A14</f>
        <v>161</v>
      </c>
      <c r="C125" s="653" t="str">
        <f>EMZOR!B14</f>
        <v>IBUPROFEN 200MG TAB</v>
      </c>
      <c r="D125" s="654">
        <f>EMZOR!C14</f>
        <v>100</v>
      </c>
      <c r="E125" s="653">
        <v>100</v>
      </c>
      <c r="F125" s="38">
        <f>EMZOR!E14</f>
        <v>166.23200000000003</v>
      </c>
      <c r="G125" s="38">
        <f t="shared" si="12"/>
        <v>16623.200000000004</v>
      </c>
      <c r="H125" s="35"/>
    </row>
    <row r="126" spans="1:8" s="42" customFormat="1" ht="18.75" x14ac:dyDescent="0.3">
      <c r="A126" s="476"/>
      <c r="B126" s="653">
        <v>337</v>
      </c>
      <c r="C126" s="653" t="s">
        <v>1096</v>
      </c>
      <c r="D126" s="654">
        <v>1000</v>
      </c>
      <c r="E126" s="653">
        <v>100</v>
      </c>
      <c r="F126" s="38">
        <v>500.46</v>
      </c>
      <c r="G126" s="38">
        <f t="shared" si="12"/>
        <v>50046</v>
      </c>
      <c r="H126" s="35"/>
    </row>
    <row r="127" spans="1:8" s="42" customFormat="1" ht="18.75" x14ac:dyDescent="0.3">
      <c r="A127" s="476"/>
      <c r="B127" s="653">
        <f>EMZOR!A17</f>
        <v>344</v>
      </c>
      <c r="C127" s="653" t="str">
        <f>EMZOR!B17</f>
        <v>VITAMIN C SYRUP</v>
      </c>
      <c r="D127" s="654" t="str">
        <f>EMZOR!C17</f>
        <v>BOTT</v>
      </c>
      <c r="E127" s="653">
        <v>500</v>
      </c>
      <c r="F127" s="38">
        <f>EMZOR!E17</f>
        <v>163.9</v>
      </c>
      <c r="G127" s="38">
        <f t="shared" si="12"/>
        <v>81950</v>
      </c>
      <c r="H127" s="35"/>
    </row>
    <row r="128" spans="1:8" s="42" customFormat="1" ht="18.75" x14ac:dyDescent="0.3">
      <c r="A128" s="476"/>
      <c r="B128" s="653">
        <v>341</v>
      </c>
      <c r="C128" s="653" t="s">
        <v>2198</v>
      </c>
      <c r="D128" s="654">
        <v>1000</v>
      </c>
      <c r="E128" s="653">
        <v>150</v>
      </c>
      <c r="F128" s="38">
        <v>758.91</v>
      </c>
      <c r="G128" s="38">
        <f t="shared" si="12"/>
        <v>113836.5</v>
      </c>
      <c r="H128" s="35"/>
    </row>
    <row r="129" spans="1:8" s="42" customFormat="1" ht="23.25" x14ac:dyDescent="0.35">
      <c r="A129" s="476"/>
      <c r="B129" s="653">
        <f>EMZOR!A18</f>
        <v>454</v>
      </c>
      <c r="C129" s="653" t="str">
        <f>EMZOR!B18</f>
        <v>ZINC SULPHATE TAB</v>
      </c>
      <c r="D129" s="654">
        <f>EMZOR!C18</f>
        <v>10</v>
      </c>
      <c r="E129" s="653">
        <v>300</v>
      </c>
      <c r="F129" s="38">
        <f>EMZOR!E18</f>
        <v>42.756999999999998</v>
      </c>
      <c r="G129" s="38">
        <f t="shared" si="12"/>
        <v>12827.099999999999</v>
      </c>
      <c r="H129" s="186">
        <f>SUM(G121:G129)</f>
        <v>485282.8</v>
      </c>
    </row>
    <row r="130" spans="1:8" s="42" customFormat="1" ht="18.75" x14ac:dyDescent="0.3">
      <c r="A130" s="476"/>
      <c r="B130" s="653"/>
      <c r="C130" s="653"/>
      <c r="D130" s="654"/>
      <c r="E130" s="653"/>
      <c r="F130" s="38"/>
      <c r="G130" s="38"/>
      <c r="H130" s="38"/>
    </row>
    <row r="131" spans="1:8" s="42" customFormat="1" ht="18.75" x14ac:dyDescent="0.3">
      <c r="A131" s="476"/>
      <c r="B131" s="35"/>
      <c r="C131" s="35"/>
      <c r="D131" s="668"/>
      <c r="E131" s="35"/>
      <c r="F131" s="38"/>
      <c r="G131" s="38"/>
      <c r="H131" s="38"/>
    </row>
    <row r="132" spans="1:8" s="42" customFormat="1" ht="23.25" x14ac:dyDescent="0.35">
      <c r="A132" s="476">
        <v>13</v>
      </c>
      <c r="B132" s="35"/>
      <c r="C132" s="77" t="str">
        <f>EUMATT!B1</f>
        <v>EUMATT SERVICES LIMITED</v>
      </c>
      <c r="D132" s="668"/>
      <c r="E132" s="35"/>
      <c r="F132" s="38"/>
      <c r="G132" s="38"/>
      <c r="H132" s="79"/>
    </row>
    <row r="133" spans="1:8" s="42" customFormat="1" ht="18.75" x14ac:dyDescent="0.3">
      <c r="A133" s="476"/>
      <c r="B133" s="653">
        <f>EUMATT!A6</f>
        <v>570</v>
      </c>
      <c r="C133" s="653" t="str">
        <f>EUMATT!B6</f>
        <v>10CC NEEDLE/SYRINGE</v>
      </c>
      <c r="D133" s="654">
        <f>EUMATT!C6</f>
        <v>100</v>
      </c>
      <c r="E133" s="653">
        <v>500</v>
      </c>
      <c r="F133" s="38">
        <f>EUMATT!E6</f>
        <v>1800</v>
      </c>
      <c r="G133" s="38">
        <f t="shared" ref="G133:G181" si="13">E133*F133</f>
        <v>900000</v>
      </c>
      <c r="H133" s="38"/>
    </row>
    <row r="134" spans="1:8" s="42" customFormat="1" ht="18.75" x14ac:dyDescent="0.3">
      <c r="A134" s="476"/>
      <c r="B134" s="653">
        <f>EUMATT!A7</f>
        <v>571</v>
      </c>
      <c r="C134" s="653" t="str">
        <f>EUMATT!B7</f>
        <v>20CC NEEDLE/SYRINGE</v>
      </c>
      <c r="D134" s="654">
        <f>EUMATT!C7</f>
        <v>80</v>
      </c>
      <c r="E134" s="653">
        <v>50</v>
      </c>
      <c r="F134" s="38">
        <f>EUMATT!E7</f>
        <v>3000</v>
      </c>
      <c r="G134" s="38">
        <f t="shared" si="13"/>
        <v>150000</v>
      </c>
      <c r="H134" s="38"/>
    </row>
    <row r="135" spans="1:8" s="42" customFormat="1" ht="18.75" x14ac:dyDescent="0.3">
      <c r="A135" s="476"/>
      <c r="B135" s="653">
        <f>EUMATT!A8</f>
        <v>574</v>
      </c>
      <c r="C135" s="653" t="str">
        <f>EUMATT!B8</f>
        <v>25G NEEDLE</v>
      </c>
      <c r="D135" s="654">
        <f>EUMATT!C8</f>
        <v>100</v>
      </c>
      <c r="E135" s="653">
        <v>75</v>
      </c>
      <c r="F135" s="38">
        <f>EUMATT!E8</f>
        <v>400</v>
      </c>
      <c r="G135" s="38">
        <f t="shared" si="13"/>
        <v>30000</v>
      </c>
      <c r="H135" s="38"/>
    </row>
    <row r="136" spans="1:8" s="42" customFormat="1" ht="18.75" x14ac:dyDescent="0.3">
      <c r="A136" s="476"/>
      <c r="B136" s="653">
        <f>EUMATT!A9</f>
        <v>575</v>
      </c>
      <c r="C136" s="653" t="str">
        <f>EUMATT!B9</f>
        <v>2CC NEEDLE/SYRINGE</v>
      </c>
      <c r="D136" s="654">
        <f>EUMATT!C9</f>
        <v>100</v>
      </c>
      <c r="E136" s="653">
        <v>375</v>
      </c>
      <c r="F136" s="38">
        <f>EUMATT!E9</f>
        <v>1200</v>
      </c>
      <c r="G136" s="38">
        <f t="shared" si="13"/>
        <v>450000</v>
      </c>
      <c r="H136" s="38"/>
    </row>
    <row r="137" spans="1:8" s="42" customFormat="1" ht="18.75" x14ac:dyDescent="0.3">
      <c r="A137" s="476"/>
      <c r="B137" s="653">
        <f>EUMATT!A10</f>
        <v>651</v>
      </c>
      <c r="C137" s="653" t="str">
        <f>EUMATT!B10</f>
        <v>50SPF SUNSCREEN</v>
      </c>
      <c r="D137" s="654" t="str">
        <f>EUMATT!C10</f>
        <v>TUBE</v>
      </c>
      <c r="E137" s="653">
        <v>5</v>
      </c>
      <c r="F137" s="38">
        <f>EUMATT!E10</f>
        <v>3300</v>
      </c>
      <c r="G137" s="38">
        <f t="shared" si="13"/>
        <v>16500</v>
      </c>
      <c r="H137" s="38"/>
    </row>
    <row r="138" spans="1:8" s="42" customFormat="1" ht="23.25" x14ac:dyDescent="0.35">
      <c r="A138" s="476"/>
      <c r="B138" s="653">
        <f>EUMATT!A11</f>
        <v>576</v>
      </c>
      <c r="C138" s="653" t="str">
        <f>EUMATT!B11</f>
        <v xml:space="preserve">5CC NEEDLE/SYRINGE </v>
      </c>
      <c r="D138" s="654">
        <f>EUMATT!C11</f>
        <v>100</v>
      </c>
      <c r="E138" s="653">
        <v>500</v>
      </c>
      <c r="F138" s="38">
        <f>EUMATT!E11</f>
        <v>1200</v>
      </c>
      <c r="G138" s="38">
        <f t="shared" si="13"/>
        <v>600000</v>
      </c>
      <c r="H138" s="79"/>
    </row>
    <row r="139" spans="1:8" s="42" customFormat="1" ht="18.75" x14ac:dyDescent="0.3">
      <c r="A139" s="476"/>
      <c r="B139" s="653">
        <f>EUMATT!A12</f>
        <v>194</v>
      </c>
      <c r="C139" s="653" t="str">
        <f>EUMATT!B12</f>
        <v>ACYCLOVIR 200MG</v>
      </c>
      <c r="D139" s="654">
        <f>EUMATT!C12</f>
        <v>25</v>
      </c>
      <c r="E139" s="653">
        <v>15</v>
      </c>
      <c r="F139" s="38">
        <f>EUMATT!E12</f>
        <v>2300</v>
      </c>
      <c r="G139" s="38">
        <f t="shared" si="13"/>
        <v>34500</v>
      </c>
      <c r="H139" s="38"/>
    </row>
    <row r="140" spans="1:8" s="42" customFormat="1" ht="18.75" x14ac:dyDescent="0.3">
      <c r="A140" s="476"/>
      <c r="B140" s="653">
        <f>EUMATT!A13</f>
        <v>195</v>
      </c>
      <c r="C140" s="653" t="str">
        <f>EUMATT!B13</f>
        <v>ACYCLOVIR 400MG</v>
      </c>
      <c r="D140" s="654">
        <f>EUMATT!C13</f>
        <v>25</v>
      </c>
      <c r="E140" s="653">
        <v>25</v>
      </c>
      <c r="F140" s="38">
        <f>EUMATT!E13</f>
        <v>4200</v>
      </c>
      <c r="G140" s="38">
        <f t="shared" si="13"/>
        <v>105000</v>
      </c>
      <c r="H140" s="38"/>
    </row>
    <row r="141" spans="1:8" s="42" customFormat="1" ht="18.75" x14ac:dyDescent="0.3">
      <c r="A141" s="476"/>
      <c r="B141" s="653">
        <f>EUMATT!A15</f>
        <v>684</v>
      </c>
      <c r="C141" s="653" t="str">
        <f>EUMATT!B15</f>
        <v>ALLENDRONATE 70MG TAB</v>
      </c>
      <c r="D141" s="654">
        <f>EUMATT!C15</f>
        <v>2</v>
      </c>
      <c r="E141" s="653">
        <v>10</v>
      </c>
      <c r="F141" s="38">
        <f>EUMATT!E15</f>
        <v>780</v>
      </c>
      <c r="G141" s="38">
        <f t="shared" si="13"/>
        <v>7800</v>
      </c>
      <c r="H141" s="38"/>
    </row>
    <row r="142" spans="1:8" s="42" customFormat="1" ht="18.75" x14ac:dyDescent="0.3">
      <c r="A142" s="476"/>
      <c r="B142" s="653">
        <f>EUMATT!A16</f>
        <v>143</v>
      </c>
      <c r="C142" s="653" t="str">
        <f>EUMATT!B16</f>
        <v>ALLOPURINOL 100MG  TAB</v>
      </c>
      <c r="D142" s="654">
        <f>EUMATT!C16</f>
        <v>28</v>
      </c>
      <c r="E142" s="653">
        <v>200</v>
      </c>
      <c r="F142" s="38">
        <f>EUMATT!E16</f>
        <v>1200</v>
      </c>
      <c r="G142" s="38">
        <f t="shared" si="13"/>
        <v>240000</v>
      </c>
      <c r="H142" s="38"/>
    </row>
    <row r="143" spans="1:8" s="42" customFormat="1" ht="18.75" x14ac:dyDescent="0.3">
      <c r="A143" s="476"/>
      <c r="B143" s="653">
        <f>EUMATT!A17</f>
        <v>144</v>
      </c>
      <c r="C143" s="653" t="str">
        <f>EUMATT!B17</f>
        <v>ALLOPURINOL 300MG  TAB</v>
      </c>
      <c r="D143" s="654">
        <f>EUMATT!C17</f>
        <v>28</v>
      </c>
      <c r="E143" s="653">
        <v>50</v>
      </c>
      <c r="F143" s="38">
        <f>EUMATT!E17</f>
        <v>1350</v>
      </c>
      <c r="G143" s="38">
        <f t="shared" si="13"/>
        <v>67500</v>
      </c>
      <c r="H143" s="38"/>
    </row>
    <row r="144" spans="1:8" s="42" customFormat="1" ht="18.75" x14ac:dyDescent="0.3">
      <c r="A144" s="476"/>
      <c r="B144" s="653">
        <f>EUMATT!A18</f>
        <v>196</v>
      </c>
      <c r="C144" s="653" t="str">
        <f>EUMATT!B18</f>
        <v>AMIKACIN INJ</v>
      </c>
      <c r="D144" s="654" t="str">
        <f>EUMATT!C18</f>
        <v>VIAL</v>
      </c>
      <c r="E144" s="653">
        <v>300</v>
      </c>
      <c r="F144" s="38">
        <f>EUMATT!E18</f>
        <v>250</v>
      </c>
      <c r="G144" s="38">
        <f t="shared" si="13"/>
        <v>75000</v>
      </c>
      <c r="H144" s="38"/>
    </row>
    <row r="145" spans="1:8" s="42" customFormat="1" ht="18.75" x14ac:dyDescent="0.3">
      <c r="A145" s="476"/>
      <c r="B145" s="653">
        <f>EUMATT!A21</f>
        <v>351</v>
      </c>
      <c r="C145" s="653" t="str">
        <f>EUMATT!B21</f>
        <v>AMITRYPTILLINE 25MG</v>
      </c>
      <c r="D145" s="654">
        <f>EUMATT!C21</f>
        <v>500</v>
      </c>
      <c r="E145" s="653">
        <v>25</v>
      </c>
      <c r="F145" s="38">
        <f>EUMATT!E21</f>
        <v>2200</v>
      </c>
      <c r="G145" s="38">
        <f t="shared" si="13"/>
        <v>55000</v>
      </c>
      <c r="H145" s="38"/>
    </row>
    <row r="146" spans="1:8" s="42" customFormat="1" ht="18.75" x14ac:dyDescent="0.3">
      <c r="A146" s="476"/>
      <c r="B146" s="653">
        <f>EUMATT!A22</f>
        <v>37</v>
      </c>
      <c r="C146" s="653" t="str">
        <f>EUMATT!B22</f>
        <v>AMLODIPINE 10MG TAB</v>
      </c>
      <c r="D146" s="654">
        <f>EUMATT!C22</f>
        <v>28</v>
      </c>
      <c r="E146" s="653">
        <v>1500</v>
      </c>
      <c r="F146" s="38">
        <f>EUMATT!E22</f>
        <v>230</v>
      </c>
      <c r="G146" s="38">
        <f t="shared" si="13"/>
        <v>345000</v>
      </c>
      <c r="H146" s="38"/>
    </row>
    <row r="147" spans="1:8" s="42" customFormat="1" ht="18.75" x14ac:dyDescent="0.3">
      <c r="A147" s="476"/>
      <c r="B147" s="653">
        <f>EUMATT!A23</f>
        <v>45</v>
      </c>
      <c r="C147" s="653" t="str">
        <f>EUMATT!B23</f>
        <v>AMLODIPINE/VALSARTAN/HYDROCHLOROTHIAZIDE 10/160/25MG TAB</v>
      </c>
      <c r="D147" s="654">
        <f>EUMATT!C23</f>
        <v>28</v>
      </c>
      <c r="E147" s="653">
        <v>30</v>
      </c>
      <c r="F147" s="38">
        <f>EUMATT!E23</f>
        <v>7000</v>
      </c>
      <c r="G147" s="38">
        <f t="shared" si="13"/>
        <v>210000</v>
      </c>
      <c r="H147" s="38"/>
    </row>
    <row r="148" spans="1:8" s="42" customFormat="1" ht="18.75" x14ac:dyDescent="0.3">
      <c r="A148" s="476"/>
      <c r="B148" s="653">
        <f>EUMATT!A24</f>
        <v>44</v>
      </c>
      <c r="C148" s="653" t="str">
        <f>EUMATT!B24</f>
        <v>AMLODIPINE/VALSARTAN/HYDROCHLOROTHIAZIDE 5/160/25MG TAB</v>
      </c>
      <c r="D148" s="654">
        <f>EUMATT!C24</f>
        <v>28</v>
      </c>
      <c r="E148" s="653">
        <v>5</v>
      </c>
      <c r="F148" s="38">
        <f>EUMATT!E24</f>
        <v>7000</v>
      </c>
      <c r="G148" s="38">
        <f t="shared" si="13"/>
        <v>35000</v>
      </c>
      <c r="H148" s="38"/>
    </row>
    <row r="149" spans="1:8" s="42" customFormat="1" ht="23.25" x14ac:dyDescent="0.35">
      <c r="A149" s="476"/>
      <c r="B149" s="653">
        <f>EUMATT!A25</f>
        <v>198</v>
      </c>
      <c r="C149" s="653" t="str">
        <f>EUMATT!B25</f>
        <v>AMOXICILLIN 250MG CAP</v>
      </c>
      <c r="D149" s="654">
        <f>EUMATT!C25</f>
        <v>100</v>
      </c>
      <c r="E149" s="653">
        <v>50</v>
      </c>
      <c r="F149" s="38">
        <f>EUMATT!E25</f>
        <v>600</v>
      </c>
      <c r="G149" s="38">
        <f t="shared" si="13"/>
        <v>30000</v>
      </c>
      <c r="H149" s="79"/>
    </row>
    <row r="150" spans="1:8" s="42" customFormat="1" ht="18.75" x14ac:dyDescent="0.3">
      <c r="A150" s="476"/>
      <c r="B150" s="653">
        <f>EUMATT!A27</f>
        <v>210</v>
      </c>
      <c r="C150" s="653" t="str">
        <f>EUMATT!B27</f>
        <v>AMOXICILLIN/FLUCLOXACILLIN 125/125MG SUSPENSION</v>
      </c>
      <c r="D150" s="654" t="str">
        <f>EUMATT!C27</f>
        <v>BOTT</v>
      </c>
      <c r="E150" s="653">
        <v>10</v>
      </c>
      <c r="F150" s="38">
        <f>EUMATT!E27</f>
        <v>1500</v>
      </c>
      <c r="G150" s="38">
        <f t="shared" si="13"/>
        <v>15000</v>
      </c>
      <c r="H150" s="38"/>
    </row>
    <row r="151" spans="1:8" s="42" customFormat="1" ht="18.75" x14ac:dyDescent="0.3">
      <c r="A151" s="476"/>
      <c r="B151" s="653">
        <f>EUMATT!A28</f>
        <v>209</v>
      </c>
      <c r="C151" s="653" t="str">
        <f>EUMATT!B28</f>
        <v>AMOXICILLIN/FLUCLOXACILLIN 250/250MG CAP</v>
      </c>
      <c r="D151" s="654">
        <f>EUMATT!C28</f>
        <v>16</v>
      </c>
      <c r="E151" s="653">
        <v>10</v>
      </c>
      <c r="F151" s="38">
        <f>EUMATT!E28</f>
        <v>1630</v>
      </c>
      <c r="G151" s="38">
        <f t="shared" si="13"/>
        <v>16300</v>
      </c>
      <c r="H151" s="38"/>
    </row>
    <row r="152" spans="1:8" s="42" customFormat="1" ht="18.75" x14ac:dyDescent="0.3">
      <c r="A152" s="476"/>
      <c r="B152" s="653">
        <f>EUMATT!A30</f>
        <v>424</v>
      </c>
      <c r="C152" s="653" t="str">
        <f>EUMATT!B30</f>
        <v>ANUSOL SUPP</v>
      </c>
      <c r="D152" s="654">
        <f>EUMATT!C30</f>
        <v>10</v>
      </c>
      <c r="E152" s="653">
        <v>20</v>
      </c>
      <c r="F152" s="38">
        <f>EUMATT!E30</f>
        <v>1800</v>
      </c>
      <c r="G152" s="38">
        <f t="shared" si="13"/>
        <v>36000</v>
      </c>
      <c r="H152" s="38"/>
    </row>
    <row r="153" spans="1:8" s="42" customFormat="1" ht="18.75" x14ac:dyDescent="0.3">
      <c r="A153" s="476"/>
      <c r="B153" s="653">
        <v>2</v>
      </c>
      <c r="C153" s="653" t="s">
        <v>4</v>
      </c>
      <c r="D153" s="654">
        <v>6</v>
      </c>
      <c r="E153" s="653">
        <v>100</v>
      </c>
      <c r="F153" s="38">
        <v>200</v>
      </c>
      <c r="G153" s="38">
        <f t="shared" si="13"/>
        <v>20000</v>
      </c>
      <c r="H153" s="38"/>
    </row>
    <row r="154" spans="1:8" s="42" customFormat="1" ht="18.75" x14ac:dyDescent="0.3">
      <c r="A154" s="476"/>
      <c r="B154" s="653">
        <f>EUMATT!A32</f>
        <v>497</v>
      </c>
      <c r="C154" s="653" t="str">
        <f>EUMATT!B32</f>
        <v>ATROPINE GTT</v>
      </c>
      <c r="D154" s="654" t="str">
        <f>EUMATT!C32</f>
        <v>BOTT</v>
      </c>
      <c r="E154" s="653">
        <v>15</v>
      </c>
      <c r="F154" s="38">
        <f>EUMATT!E32</f>
        <v>350</v>
      </c>
      <c r="G154" s="38">
        <f t="shared" si="13"/>
        <v>5250</v>
      </c>
      <c r="H154" s="38"/>
    </row>
    <row r="155" spans="1:8" s="42" customFormat="1" ht="18.75" x14ac:dyDescent="0.3">
      <c r="A155" s="476"/>
      <c r="B155" s="653">
        <f>EUMATT!A33</f>
        <v>419</v>
      </c>
      <c r="C155" s="653" t="str">
        <f>EUMATT!B33</f>
        <v>ATS 1500 IU INJ</v>
      </c>
      <c r="D155" s="654">
        <f>EUMATT!C33</f>
        <v>100</v>
      </c>
      <c r="E155" s="653">
        <v>5</v>
      </c>
      <c r="F155" s="38">
        <f>EUMATT!E33</f>
        <v>20000</v>
      </c>
      <c r="G155" s="38">
        <f t="shared" si="13"/>
        <v>100000</v>
      </c>
      <c r="H155" s="38"/>
    </row>
    <row r="156" spans="1:8" s="42" customFormat="1" ht="18.75" x14ac:dyDescent="0.3">
      <c r="A156" s="476"/>
      <c r="B156" s="653">
        <f>EUMATT!A34</f>
        <v>352</v>
      </c>
      <c r="C156" s="653" t="str">
        <f>EUMATT!B34</f>
        <v>BENZHEXOL 5MG</v>
      </c>
      <c r="D156" s="654">
        <f>EUMATT!C34</f>
        <v>500</v>
      </c>
      <c r="E156" s="653">
        <v>10</v>
      </c>
      <c r="F156" s="38">
        <f>EUMATT!E34</f>
        <v>1800</v>
      </c>
      <c r="G156" s="38">
        <f t="shared" si="13"/>
        <v>18000</v>
      </c>
      <c r="H156" s="38"/>
    </row>
    <row r="157" spans="1:8" s="42" customFormat="1" ht="23.25" x14ac:dyDescent="0.35">
      <c r="A157" s="476"/>
      <c r="B157" s="653">
        <f>EUMATT!A35</f>
        <v>652</v>
      </c>
      <c r="C157" s="653" t="str">
        <f>EUMATT!B35</f>
        <v>BENZOYL PEROXIDE 10% CREAM</v>
      </c>
      <c r="D157" s="654" t="str">
        <f>EUMATT!C35</f>
        <v>TUBE</v>
      </c>
      <c r="E157" s="653">
        <v>10</v>
      </c>
      <c r="F157" s="38">
        <f>EUMATT!E35</f>
        <v>1550</v>
      </c>
      <c r="G157" s="38">
        <f t="shared" si="13"/>
        <v>15500</v>
      </c>
      <c r="H157" s="79"/>
    </row>
    <row r="158" spans="1:8" s="42" customFormat="1" ht="18.75" x14ac:dyDescent="0.3">
      <c r="A158" s="476"/>
      <c r="B158" s="653">
        <f>EUMATT!A36</f>
        <v>653</v>
      </c>
      <c r="C158" s="653" t="str">
        <f>EUMATT!B36</f>
        <v>BENZOYL PEROXIDE 5% CREAM</v>
      </c>
      <c r="D158" s="654" t="str">
        <f>EUMATT!C36</f>
        <v>TUBE</v>
      </c>
      <c r="E158" s="653">
        <v>10</v>
      </c>
      <c r="F158" s="38">
        <f>EUMATT!E36</f>
        <v>1550</v>
      </c>
      <c r="G158" s="38">
        <f t="shared" si="13"/>
        <v>15500</v>
      </c>
      <c r="H158" s="38"/>
    </row>
    <row r="159" spans="1:8" s="42" customFormat="1" ht="18.75" x14ac:dyDescent="0.3">
      <c r="A159" s="476"/>
      <c r="B159" s="653">
        <f>EUMATT!A37</f>
        <v>656</v>
      </c>
      <c r="C159" s="653" t="str">
        <f>EUMATT!B37</f>
        <v>BETNOVATE CREAM 0.05% (PLAIN)</v>
      </c>
      <c r="D159" s="654" t="str">
        <f>EUMATT!C37</f>
        <v>TUBE</v>
      </c>
      <c r="E159" s="653">
        <v>10</v>
      </c>
      <c r="F159" s="38">
        <f>EUMATT!E37</f>
        <v>2700</v>
      </c>
      <c r="G159" s="38">
        <f t="shared" si="13"/>
        <v>27000</v>
      </c>
      <c r="H159" s="38"/>
    </row>
    <row r="160" spans="1:8" s="42" customFormat="1" ht="18.75" x14ac:dyDescent="0.3">
      <c r="A160" s="476"/>
      <c r="B160" s="653">
        <f>EUMATT!A40</f>
        <v>578</v>
      </c>
      <c r="C160" s="653" t="str">
        <f>EUMATT!B40</f>
        <v xml:space="preserve">BLOOD GIVING SET </v>
      </c>
      <c r="D160" s="654">
        <f>EUMATT!C40</f>
        <v>400</v>
      </c>
      <c r="E160" s="653">
        <v>3</v>
      </c>
      <c r="F160" s="38">
        <f>EUMATT!E40</f>
        <v>23000</v>
      </c>
      <c r="G160" s="38">
        <f t="shared" si="13"/>
        <v>69000</v>
      </c>
      <c r="H160" s="38"/>
    </row>
    <row r="161" spans="1:8" s="42" customFormat="1" ht="18.75" x14ac:dyDescent="0.3">
      <c r="A161" s="476"/>
      <c r="B161" s="653">
        <f>EUMATT!A43</f>
        <v>291</v>
      </c>
      <c r="C161" s="653" t="str">
        <f>EUMATT!B43</f>
        <v>CALCIMAX TAB</v>
      </c>
      <c r="D161" s="654">
        <f>EUMATT!C43</f>
        <v>30</v>
      </c>
      <c r="E161" s="653">
        <v>150</v>
      </c>
      <c r="F161" s="38">
        <f>EUMATT!E43</f>
        <v>290</v>
      </c>
      <c r="G161" s="38">
        <f t="shared" si="13"/>
        <v>43500</v>
      </c>
      <c r="H161" s="38"/>
    </row>
    <row r="162" spans="1:8" s="42" customFormat="1" ht="18.75" x14ac:dyDescent="0.3">
      <c r="A162" s="476"/>
      <c r="B162" s="653">
        <v>686</v>
      </c>
      <c r="C162" s="653" t="s">
        <v>393</v>
      </c>
      <c r="D162" s="654">
        <v>10</v>
      </c>
      <c r="E162" s="653">
        <v>100</v>
      </c>
      <c r="F162" s="38">
        <v>160</v>
      </c>
      <c r="G162" s="38">
        <f t="shared" si="13"/>
        <v>16000</v>
      </c>
      <c r="H162" s="38"/>
    </row>
    <row r="163" spans="1:8" s="42" customFormat="1" ht="23.25" x14ac:dyDescent="0.35">
      <c r="A163" s="476"/>
      <c r="B163" s="653">
        <f>EUMATT!A46</f>
        <v>580</v>
      </c>
      <c r="C163" s="653" t="str">
        <f>EUMATT!B46</f>
        <v>CANNULA 18G GREEN</v>
      </c>
      <c r="D163" s="654">
        <f>EUMATT!C46</f>
        <v>50</v>
      </c>
      <c r="E163" s="653">
        <v>23</v>
      </c>
      <c r="F163" s="38">
        <f>EUMATT!E46</f>
        <v>2000</v>
      </c>
      <c r="G163" s="38">
        <f t="shared" si="13"/>
        <v>46000</v>
      </c>
      <c r="H163" s="79"/>
    </row>
    <row r="164" spans="1:8" s="42" customFormat="1" ht="23.25" x14ac:dyDescent="0.35">
      <c r="A164" s="476"/>
      <c r="B164" s="653">
        <f>EUMATT!A47</f>
        <v>581</v>
      </c>
      <c r="C164" s="653" t="str">
        <f>EUMATT!B47</f>
        <v>CANNULA 20G PINK</v>
      </c>
      <c r="D164" s="654">
        <f>EUMATT!C47</f>
        <v>50</v>
      </c>
      <c r="E164" s="653">
        <v>30</v>
      </c>
      <c r="F164" s="38">
        <f>EUMATT!E47</f>
        <v>2000</v>
      </c>
      <c r="G164" s="38">
        <f t="shared" si="13"/>
        <v>60000</v>
      </c>
      <c r="H164" s="79"/>
    </row>
    <row r="165" spans="1:8" s="42" customFormat="1" ht="23.25" x14ac:dyDescent="0.35">
      <c r="A165" s="476"/>
      <c r="B165" s="653">
        <f>EUMATT!A48</f>
        <v>583</v>
      </c>
      <c r="C165" s="653" t="str">
        <f>EUMATT!B48</f>
        <v xml:space="preserve">CANNULA 24G YELLOW </v>
      </c>
      <c r="D165" s="654">
        <f>EUMATT!C48</f>
        <v>50</v>
      </c>
      <c r="E165" s="653">
        <v>53</v>
      </c>
      <c r="F165" s="38">
        <f>EUMATT!E48</f>
        <v>2100</v>
      </c>
      <c r="G165" s="38">
        <f t="shared" si="13"/>
        <v>111300</v>
      </c>
      <c r="H165" s="79"/>
    </row>
    <row r="166" spans="1:8" s="42" customFormat="1" ht="18.75" x14ac:dyDescent="0.3">
      <c r="A166" s="476"/>
      <c r="B166" s="653">
        <f>EUMATT!A50</f>
        <v>357</v>
      </c>
      <c r="C166" s="653" t="str">
        <f>EUMATT!B50</f>
        <v>CARBAMAZEPINE SYR</v>
      </c>
      <c r="D166" s="654" t="str">
        <f>EUMATT!C50</f>
        <v>200ML</v>
      </c>
      <c r="E166" s="653">
        <v>5</v>
      </c>
      <c r="F166" s="38">
        <f>EUMATT!E50</f>
        <v>2500</v>
      </c>
      <c r="G166" s="38">
        <f t="shared" si="13"/>
        <v>12500</v>
      </c>
      <c r="H166" s="38"/>
    </row>
    <row r="167" spans="1:8" s="42" customFormat="1" ht="18.75" x14ac:dyDescent="0.3">
      <c r="A167" s="476"/>
      <c r="B167" s="653">
        <f>EUMATT!A51</f>
        <v>358</v>
      </c>
      <c r="C167" s="653" t="str">
        <f>EUMATT!B51</f>
        <v>CARBIDOPA+L-DOPA</v>
      </c>
      <c r="D167" s="654">
        <f>EUMATT!C51</f>
        <v>50</v>
      </c>
      <c r="E167" s="653">
        <v>15</v>
      </c>
      <c r="F167" s="38">
        <f>EUMATT!E51</f>
        <v>6000</v>
      </c>
      <c r="G167" s="38">
        <f t="shared" si="13"/>
        <v>90000</v>
      </c>
      <c r="H167" s="38"/>
    </row>
    <row r="168" spans="1:8" s="42" customFormat="1" ht="18.75" x14ac:dyDescent="0.3">
      <c r="A168" s="476"/>
      <c r="B168" s="653">
        <f>EUMATT!A52</f>
        <v>56</v>
      </c>
      <c r="C168" s="653" t="str">
        <f>EUMATT!B52</f>
        <v xml:space="preserve">CARVEDILOL 6.25MG TAB </v>
      </c>
      <c r="D168" s="654">
        <f>EUMATT!C52</f>
        <v>28</v>
      </c>
      <c r="E168" s="653">
        <v>250</v>
      </c>
      <c r="F168" s="38">
        <f>EUMATT!E52</f>
        <v>750</v>
      </c>
      <c r="G168" s="38">
        <f t="shared" si="13"/>
        <v>187500</v>
      </c>
      <c r="H168" s="38"/>
    </row>
    <row r="169" spans="1:8" s="42" customFormat="1" ht="18.75" x14ac:dyDescent="0.3">
      <c r="A169" s="476"/>
      <c r="B169" s="653">
        <f>EUMATT!A54</f>
        <v>222</v>
      </c>
      <c r="C169" s="653" t="str">
        <f>EUMATT!B54</f>
        <v>CEFIXIME 400MG TAB</v>
      </c>
      <c r="D169" s="654">
        <f>EUMATT!C54</f>
        <v>10</v>
      </c>
      <c r="E169" s="653">
        <v>30</v>
      </c>
      <c r="F169" s="38">
        <f>EUMATT!E54</f>
        <v>870</v>
      </c>
      <c r="G169" s="38">
        <f t="shared" si="13"/>
        <v>26100</v>
      </c>
      <c r="H169" s="38"/>
    </row>
    <row r="170" spans="1:8" s="42" customFormat="1" ht="18.75" x14ac:dyDescent="0.3">
      <c r="A170" s="476"/>
      <c r="B170" s="653">
        <f>EUMATT!A56</f>
        <v>228</v>
      </c>
      <c r="C170" s="653" t="str">
        <f>EUMATT!B56</f>
        <v>CEFTRIAXONE 1G INJ</v>
      </c>
      <c r="D170" s="654" t="str">
        <f>EUMATT!C56</f>
        <v>VIAL</v>
      </c>
      <c r="E170" s="653">
        <v>2000</v>
      </c>
      <c r="F170" s="38">
        <f>EUMATT!E56</f>
        <v>180</v>
      </c>
      <c r="G170" s="38">
        <f t="shared" si="13"/>
        <v>360000</v>
      </c>
      <c r="H170" s="38"/>
    </row>
    <row r="171" spans="1:8" s="42" customFormat="1" ht="18.75" x14ac:dyDescent="0.3">
      <c r="A171" s="476"/>
      <c r="B171" s="653">
        <f>EUMATT!A57</f>
        <v>233</v>
      </c>
      <c r="C171" s="653" t="str">
        <f>EUMATT!B57</f>
        <v>CEFUROXIME SUSPENSION 125MG/5ML (100ML)</v>
      </c>
      <c r="D171" s="654" t="str">
        <f>EUMATT!C57</f>
        <v>BOTT</v>
      </c>
      <c r="E171" s="653">
        <v>300</v>
      </c>
      <c r="F171" s="38">
        <f>EUMATT!E57</f>
        <v>750</v>
      </c>
      <c r="G171" s="38">
        <f t="shared" si="13"/>
        <v>225000</v>
      </c>
      <c r="H171" s="38"/>
    </row>
    <row r="172" spans="1:8" s="42" customFormat="1" ht="18.75" x14ac:dyDescent="0.3">
      <c r="A172" s="476"/>
      <c r="B172" s="653">
        <f>EUMATT!A58</f>
        <v>471</v>
      </c>
      <c r="C172" s="653" t="str">
        <f>EUMATT!B58</f>
        <v>CETIRIZINE TAB</v>
      </c>
      <c r="D172" s="654">
        <f>EUMATT!C58</f>
        <v>100</v>
      </c>
      <c r="E172" s="653">
        <v>15</v>
      </c>
      <c r="F172" s="38">
        <f>EUMATT!E58</f>
        <v>900</v>
      </c>
      <c r="G172" s="38">
        <f t="shared" si="13"/>
        <v>13500</v>
      </c>
      <c r="H172" s="38"/>
    </row>
    <row r="173" spans="1:8" s="42" customFormat="1" ht="23.25" x14ac:dyDescent="0.35">
      <c r="A173" s="476"/>
      <c r="B173" s="653">
        <f>EUMATT!A59</f>
        <v>502</v>
      </c>
      <c r="C173" s="653" t="str">
        <f>EUMATT!B59</f>
        <v>CHLORAMPHENICOL EAR DROP</v>
      </c>
      <c r="D173" s="654" t="str">
        <f>EUMATT!C59</f>
        <v>BOTT</v>
      </c>
      <c r="E173" s="653">
        <v>30</v>
      </c>
      <c r="F173" s="38">
        <f>EUMATT!E59</f>
        <v>100</v>
      </c>
      <c r="G173" s="38">
        <f t="shared" si="13"/>
        <v>3000</v>
      </c>
      <c r="H173" s="79"/>
    </row>
    <row r="174" spans="1:8" s="42" customFormat="1" ht="18.75" x14ac:dyDescent="0.3">
      <c r="A174" s="476"/>
      <c r="B174" s="653">
        <f>EUMATT!A61</f>
        <v>360</v>
      </c>
      <c r="C174" s="653" t="str">
        <f>EUMATT!B61</f>
        <v>CHLORPROMAZINE 50MG TAB</v>
      </c>
      <c r="D174" s="654">
        <f>EUMATT!C61</f>
        <v>1000</v>
      </c>
      <c r="E174" s="653">
        <v>1</v>
      </c>
      <c r="F174" s="38">
        <f>EUMATT!E61</f>
        <v>5400</v>
      </c>
      <c r="G174" s="38">
        <f t="shared" si="13"/>
        <v>5400</v>
      </c>
      <c r="H174" s="38"/>
    </row>
    <row r="175" spans="1:8" s="42" customFormat="1" ht="18.75" x14ac:dyDescent="0.3">
      <c r="A175" s="476"/>
      <c r="B175" s="653">
        <f>EUMATT!A62</f>
        <v>702</v>
      </c>
      <c r="C175" s="653" t="str">
        <f>EUMATT!B62</f>
        <v>CHROMIC 1</v>
      </c>
      <c r="D175" s="654">
        <f>EUMATT!C62</f>
        <v>12</v>
      </c>
      <c r="E175" s="653">
        <v>5</v>
      </c>
      <c r="F175" s="38">
        <f>EUMATT!E62</f>
        <v>980</v>
      </c>
      <c r="G175" s="38">
        <f t="shared" si="13"/>
        <v>4900</v>
      </c>
      <c r="H175" s="38"/>
    </row>
    <row r="176" spans="1:8" s="42" customFormat="1" ht="18.75" x14ac:dyDescent="0.3">
      <c r="A176" s="476"/>
      <c r="B176" s="653">
        <f>EUMATT!A63</f>
        <v>703</v>
      </c>
      <c r="C176" s="653" t="str">
        <f>EUMATT!B63</f>
        <v>CHROMIC 2</v>
      </c>
      <c r="D176" s="654">
        <f>EUMATT!C63</f>
        <v>12</v>
      </c>
      <c r="E176" s="653">
        <v>8</v>
      </c>
      <c r="F176" s="38">
        <f>EUMATT!E63</f>
        <v>980</v>
      </c>
      <c r="G176" s="38">
        <f t="shared" si="13"/>
        <v>7840</v>
      </c>
      <c r="H176" s="38"/>
    </row>
    <row r="177" spans="1:8" s="42" customFormat="1" ht="18.75" x14ac:dyDescent="0.3">
      <c r="A177" s="476"/>
      <c r="B177" s="653">
        <f>EUMATT!A64</f>
        <v>704</v>
      </c>
      <c r="C177" s="653" t="str">
        <f>EUMATT!B64</f>
        <v>CHROMIC 2/0</v>
      </c>
      <c r="D177" s="654">
        <f>EUMATT!C64</f>
        <v>12</v>
      </c>
      <c r="E177" s="653">
        <v>8</v>
      </c>
      <c r="F177" s="38">
        <f>EUMATT!E64</f>
        <v>980</v>
      </c>
      <c r="G177" s="38">
        <f t="shared" si="13"/>
        <v>7840</v>
      </c>
      <c r="H177" s="38"/>
    </row>
    <row r="178" spans="1:8" s="42" customFormat="1" ht="18.75" x14ac:dyDescent="0.3">
      <c r="A178" s="476"/>
      <c r="B178" s="653">
        <f>EUMATT!A66</f>
        <v>238</v>
      </c>
      <c r="C178" s="653" t="str">
        <f>EUMATT!B66</f>
        <v>CLARITHROMYCIN 500MG</v>
      </c>
      <c r="D178" s="654">
        <f>EUMATT!C66</f>
        <v>10</v>
      </c>
      <c r="E178" s="653">
        <v>50</v>
      </c>
      <c r="F178" s="38">
        <f>EUMATT!E66</f>
        <v>900</v>
      </c>
      <c r="G178" s="38">
        <f t="shared" si="13"/>
        <v>45000</v>
      </c>
      <c r="H178" s="38"/>
    </row>
    <row r="179" spans="1:8" s="42" customFormat="1" ht="18.75" x14ac:dyDescent="0.3">
      <c r="A179" s="476"/>
      <c r="B179" s="653">
        <f>EUMATT!A67</f>
        <v>584</v>
      </c>
      <c r="C179" s="653" t="str">
        <f>EUMATT!B67</f>
        <v>CLINICAL THERMOMETER B/S</v>
      </c>
      <c r="D179" s="654">
        <f>EUMATT!C67</f>
        <v>12</v>
      </c>
      <c r="E179" s="653">
        <v>100</v>
      </c>
      <c r="F179" s="38">
        <f>EUMATT!E67</f>
        <v>2200</v>
      </c>
      <c r="G179" s="38">
        <f t="shared" si="13"/>
        <v>220000</v>
      </c>
      <c r="H179" s="38"/>
    </row>
    <row r="180" spans="1:8" s="42" customFormat="1" ht="18.75" x14ac:dyDescent="0.3">
      <c r="A180" s="476"/>
      <c r="B180" s="653">
        <f>EUMATT!A68</f>
        <v>383</v>
      </c>
      <c r="C180" s="653" t="str">
        <f>EUMATT!B68</f>
        <v>CLOMIPHENE CITRATE TAB</v>
      </c>
      <c r="D180" s="654">
        <f>EUMATT!C68</f>
        <v>10</v>
      </c>
      <c r="E180" s="653">
        <v>5</v>
      </c>
      <c r="F180" s="38">
        <f>EUMATT!E68</f>
        <v>600</v>
      </c>
      <c r="G180" s="38">
        <f t="shared" si="13"/>
        <v>3000</v>
      </c>
      <c r="H180" s="38"/>
    </row>
    <row r="181" spans="1:8" s="42" customFormat="1" ht="18.75" x14ac:dyDescent="0.3">
      <c r="A181" s="476"/>
      <c r="B181" s="653">
        <f>EUMATT!A69</f>
        <v>147</v>
      </c>
      <c r="C181" s="653" t="str">
        <f>EUMATT!B69</f>
        <v>COCODAMOL TAB</v>
      </c>
      <c r="D181" s="654">
        <f>EUMATT!C69</f>
        <v>100</v>
      </c>
      <c r="E181" s="653">
        <v>500</v>
      </c>
      <c r="F181" s="38">
        <f>EUMATT!E69</f>
        <v>2500</v>
      </c>
      <c r="G181" s="38">
        <f t="shared" si="13"/>
        <v>1250000</v>
      </c>
      <c r="H181" s="38"/>
    </row>
    <row r="182" spans="1:8" s="42" customFormat="1" ht="18.75" x14ac:dyDescent="0.3">
      <c r="A182" s="476"/>
      <c r="B182" s="653">
        <f>EUMATT!A70</f>
        <v>586</v>
      </c>
      <c r="C182" s="653" t="str">
        <f>EUMATT!B70</f>
        <v>CONDOM CATHETER</v>
      </c>
      <c r="D182" s="654">
        <f>EUMATT!C70</f>
        <v>50</v>
      </c>
      <c r="E182" s="653">
        <v>2</v>
      </c>
      <c r="F182" s="38">
        <f>EUMATT!E70</f>
        <v>10000</v>
      </c>
      <c r="G182" s="38">
        <f t="shared" ref="G182:G230" si="14">E182*F182</f>
        <v>20000</v>
      </c>
      <c r="H182" s="38"/>
    </row>
    <row r="183" spans="1:8" s="42" customFormat="1" ht="18.75" x14ac:dyDescent="0.3">
      <c r="A183" s="476"/>
      <c r="B183" s="653">
        <f>EUMATT!A71</f>
        <v>589</v>
      </c>
      <c r="C183" s="653" t="str">
        <f>EUMATT!B71</f>
        <v>COTTON WOOL 500G (DELE)</v>
      </c>
      <c r="D183" s="654" t="str">
        <f>EUMATT!C71</f>
        <v>ROLL</v>
      </c>
      <c r="E183" s="653">
        <v>550</v>
      </c>
      <c r="F183" s="38">
        <f>EUMATT!E71</f>
        <v>990</v>
      </c>
      <c r="G183" s="38">
        <f t="shared" si="14"/>
        <v>544500</v>
      </c>
      <c r="H183" s="38"/>
    </row>
    <row r="184" spans="1:8" s="42" customFormat="1" ht="18.75" x14ac:dyDescent="0.3">
      <c r="A184" s="476"/>
      <c r="B184" s="653">
        <f>EUMATT!A73</f>
        <v>149</v>
      </c>
      <c r="C184" s="653" t="str">
        <f>EUMATT!B73</f>
        <v>DEXAMETHASONE 4MG INJ</v>
      </c>
      <c r="D184" s="654">
        <f>EUMATT!C73</f>
        <v>100</v>
      </c>
      <c r="E184" s="653">
        <v>50</v>
      </c>
      <c r="F184" s="38">
        <f>EUMATT!E73</f>
        <v>950</v>
      </c>
      <c r="G184" s="38">
        <f t="shared" si="14"/>
        <v>47500</v>
      </c>
      <c r="H184" s="38"/>
    </row>
    <row r="185" spans="1:8" s="42" customFormat="1" ht="18.75" x14ac:dyDescent="0.3">
      <c r="A185" s="476"/>
      <c r="B185" s="653">
        <f>EUMATT!A76</f>
        <v>155</v>
      </c>
      <c r="C185" s="653" t="str">
        <f>EUMATT!B76</f>
        <v>DICLOFENAC/CHOLESTYRAMINE TAB</v>
      </c>
      <c r="D185" s="654">
        <f>EUMATT!C76</f>
        <v>20</v>
      </c>
      <c r="E185" s="653">
        <v>500</v>
      </c>
      <c r="F185" s="38">
        <f>EUMATT!E76</f>
        <v>2200</v>
      </c>
      <c r="G185" s="38">
        <f t="shared" si="14"/>
        <v>1100000</v>
      </c>
      <c r="H185" s="38"/>
    </row>
    <row r="186" spans="1:8" s="42" customFormat="1" ht="18.75" x14ac:dyDescent="0.3">
      <c r="A186" s="476"/>
      <c r="B186" s="653">
        <f>EUMATT!A77</f>
        <v>58</v>
      </c>
      <c r="C186" s="653" t="str">
        <f>EUMATT!B77</f>
        <v>DIGOXIN 0.25MG TAB</v>
      </c>
      <c r="D186" s="654">
        <f>EUMATT!C77</f>
        <v>500</v>
      </c>
      <c r="E186" s="653">
        <v>1</v>
      </c>
      <c r="F186" s="38">
        <f>EUMATT!E77</f>
        <v>3800</v>
      </c>
      <c r="G186" s="38">
        <f t="shared" si="14"/>
        <v>3800</v>
      </c>
      <c r="H186" s="35"/>
    </row>
    <row r="187" spans="1:8" s="42" customFormat="1" ht="18.75" x14ac:dyDescent="0.3">
      <c r="A187" s="476"/>
      <c r="B187" s="653">
        <f>EUMATT!A79</f>
        <v>11</v>
      </c>
      <c r="C187" s="653" t="str">
        <f>EUMATT!B79</f>
        <v>DIHYDROARTEMISININ/PIPERAQUINE SYR</v>
      </c>
      <c r="D187" s="654" t="str">
        <f>EUMATT!C79</f>
        <v>BOTT</v>
      </c>
      <c r="E187" s="653">
        <v>50</v>
      </c>
      <c r="F187" s="38">
        <f>EUMATT!E79</f>
        <v>320</v>
      </c>
      <c r="G187" s="38">
        <f t="shared" si="14"/>
        <v>16000</v>
      </c>
      <c r="H187" s="35"/>
    </row>
    <row r="188" spans="1:8" s="42" customFormat="1" ht="18.75" x14ac:dyDescent="0.3">
      <c r="A188" s="476"/>
      <c r="B188" s="653">
        <f>EUMATT!A80</f>
        <v>12</v>
      </c>
      <c r="C188" s="653" t="str">
        <f>EUMATT!B80</f>
        <v>DIHYDROARTEMISININ/PIPERAQUINE TAB</v>
      </c>
      <c r="D188" s="654">
        <f>EUMATT!C80</f>
        <v>9</v>
      </c>
      <c r="E188" s="653">
        <v>125</v>
      </c>
      <c r="F188" s="38">
        <f>EUMATT!E80</f>
        <v>350</v>
      </c>
      <c r="G188" s="38">
        <f t="shared" si="14"/>
        <v>43750</v>
      </c>
      <c r="H188" s="38"/>
    </row>
    <row r="189" spans="1:8" s="42" customFormat="1" ht="18.75" x14ac:dyDescent="0.3">
      <c r="A189" s="476"/>
      <c r="B189" s="653">
        <f>EUMATT!A82</f>
        <v>659</v>
      </c>
      <c r="C189" s="653" t="str">
        <f>EUMATT!B82</f>
        <v>DIPROSALIC OINTMENT</v>
      </c>
      <c r="D189" s="654" t="str">
        <f>EUMATT!C82</f>
        <v>TUBE</v>
      </c>
      <c r="E189" s="653">
        <v>5</v>
      </c>
      <c r="F189" s="38">
        <f>EUMATT!E82</f>
        <v>2750</v>
      </c>
      <c r="G189" s="38">
        <f t="shared" si="14"/>
        <v>13750</v>
      </c>
      <c r="H189" s="38"/>
    </row>
    <row r="190" spans="1:8" s="42" customFormat="1" ht="18.75" x14ac:dyDescent="0.3">
      <c r="A190" s="476"/>
      <c r="B190" s="653">
        <f>EUMATT!A83</f>
        <v>593</v>
      </c>
      <c r="C190" s="653" t="str">
        <f>EUMATT!B83</f>
        <v>ELBOW LENGTH GLOVES</v>
      </c>
      <c r="D190" s="654">
        <f>EUMATT!C83</f>
        <v>50</v>
      </c>
      <c r="E190" s="653">
        <v>5</v>
      </c>
      <c r="F190" s="38">
        <f>EUMATT!E83</f>
        <v>17500</v>
      </c>
      <c r="G190" s="38">
        <f t="shared" si="14"/>
        <v>87500</v>
      </c>
      <c r="H190" s="38"/>
    </row>
    <row r="191" spans="1:8" s="42" customFormat="1" ht="18.75" x14ac:dyDescent="0.3">
      <c r="A191" s="476"/>
      <c r="B191" s="653">
        <f>EUMATT!A84</f>
        <v>399</v>
      </c>
      <c r="C191" s="653" t="str">
        <f>EUMATT!B84</f>
        <v>EPHEDRINE INJ (STEROP)</v>
      </c>
      <c r="D191" s="654">
        <f>EUMATT!C84</f>
        <v>100</v>
      </c>
      <c r="E191" s="653">
        <v>1</v>
      </c>
      <c r="F191" s="38">
        <f>EUMATT!E84</f>
        <v>80000</v>
      </c>
      <c r="G191" s="38">
        <f t="shared" si="14"/>
        <v>80000</v>
      </c>
      <c r="H191" s="38"/>
    </row>
    <row r="192" spans="1:8" s="42" customFormat="1" ht="18.75" x14ac:dyDescent="0.3">
      <c r="A192" s="476"/>
      <c r="B192" s="653">
        <f>EUMATT!A85</f>
        <v>248</v>
      </c>
      <c r="C192" s="653" t="str">
        <f>EUMATT!B85</f>
        <v>ERYTHROMYCIN 250MG TAB</v>
      </c>
      <c r="D192" s="654">
        <f>EUMATT!C85</f>
        <v>100</v>
      </c>
      <c r="E192" s="653">
        <v>10</v>
      </c>
      <c r="F192" s="38">
        <f>EUMATT!E85</f>
        <v>1400</v>
      </c>
      <c r="G192" s="38">
        <f t="shared" si="14"/>
        <v>14000</v>
      </c>
      <c r="H192" s="35"/>
    </row>
    <row r="193" spans="1:8" s="42" customFormat="1" ht="18.75" x14ac:dyDescent="0.3">
      <c r="A193" s="476"/>
      <c r="B193" s="653">
        <f>EUMATT!A87</f>
        <v>251</v>
      </c>
      <c r="C193" s="653" t="str">
        <f>EUMATT!B87</f>
        <v>FLUCONAZOLE 150MG CAP</v>
      </c>
      <c r="D193" s="654">
        <f>EUMATT!C87</f>
        <v>10</v>
      </c>
      <c r="E193" s="653">
        <v>50</v>
      </c>
      <c r="F193" s="38">
        <f>EUMATT!E87</f>
        <v>270</v>
      </c>
      <c r="G193" s="38">
        <f t="shared" si="14"/>
        <v>13500</v>
      </c>
      <c r="H193" s="35"/>
    </row>
    <row r="194" spans="1:8" s="42" customFormat="1" ht="18.75" x14ac:dyDescent="0.3">
      <c r="A194" s="476"/>
      <c r="B194" s="653">
        <f>EUMATT!A88</f>
        <v>252</v>
      </c>
      <c r="C194" s="653" t="str">
        <f>EUMATT!B88</f>
        <v>FLUCONAZOLE 200MG CAP</v>
      </c>
      <c r="D194" s="654">
        <f>EUMATT!C88</f>
        <v>10</v>
      </c>
      <c r="E194" s="653">
        <v>50</v>
      </c>
      <c r="F194" s="38">
        <f>EUMATT!E88</f>
        <v>240</v>
      </c>
      <c r="G194" s="38">
        <f t="shared" si="14"/>
        <v>12000</v>
      </c>
      <c r="H194" s="38"/>
    </row>
    <row r="195" spans="1:8" s="42" customFormat="1" ht="18.75" x14ac:dyDescent="0.3">
      <c r="A195" s="476"/>
      <c r="B195" s="653">
        <v>264</v>
      </c>
      <c r="C195" s="653" t="s">
        <v>2235</v>
      </c>
      <c r="D195" s="654" t="s">
        <v>455</v>
      </c>
      <c r="E195" s="653">
        <v>50</v>
      </c>
      <c r="F195" s="38">
        <v>1350</v>
      </c>
      <c r="G195" s="38">
        <f t="shared" si="14"/>
        <v>67500</v>
      </c>
      <c r="H195" s="38"/>
    </row>
    <row r="196" spans="1:8" s="42" customFormat="1" ht="18.75" x14ac:dyDescent="0.3">
      <c r="A196" s="476"/>
      <c r="B196" s="653">
        <f>EUMATT!A91</f>
        <v>307</v>
      </c>
      <c r="C196" s="653" t="str">
        <f>EUMATT!B91</f>
        <v>FOLIC ACID SYR</v>
      </c>
      <c r="D196" s="654" t="str">
        <f>EUMATT!C91</f>
        <v>BOTT</v>
      </c>
      <c r="E196" s="653">
        <v>50</v>
      </c>
      <c r="F196" s="38">
        <f>EUMATT!E91</f>
        <v>320</v>
      </c>
      <c r="G196" s="38">
        <f t="shared" si="14"/>
        <v>16000</v>
      </c>
      <c r="H196" s="38"/>
    </row>
    <row r="197" spans="1:8" s="42" customFormat="1" ht="18.75" x14ac:dyDescent="0.3">
      <c r="A197" s="476"/>
      <c r="B197" s="653">
        <f>EUMATT!A92</f>
        <v>597</v>
      </c>
      <c r="C197" s="653" t="str">
        <f>EUMATT!B92</f>
        <v>FOLLEY CATHETER SIZE 16"</v>
      </c>
      <c r="D197" s="654">
        <f>EUMATT!C92</f>
        <v>10</v>
      </c>
      <c r="E197" s="653">
        <v>75</v>
      </c>
      <c r="F197" s="38">
        <f>EUMATT!E92</f>
        <v>1600</v>
      </c>
      <c r="G197" s="38">
        <f t="shared" si="14"/>
        <v>120000</v>
      </c>
      <c r="H197" s="38"/>
    </row>
    <row r="198" spans="1:8" s="42" customFormat="1" ht="18.75" x14ac:dyDescent="0.3">
      <c r="A198" s="476"/>
      <c r="B198" s="653">
        <f>EUMATT!A93</f>
        <v>598</v>
      </c>
      <c r="C198" s="653" t="str">
        <f>EUMATT!B93</f>
        <v>FOLLEY CATHETER SIZE 18"</v>
      </c>
      <c r="D198" s="654">
        <f>EUMATT!C93</f>
        <v>10</v>
      </c>
      <c r="E198" s="653">
        <v>50</v>
      </c>
      <c r="F198" s="38">
        <f>EUMATT!E93</f>
        <v>1600</v>
      </c>
      <c r="G198" s="38">
        <f t="shared" si="14"/>
        <v>80000</v>
      </c>
      <c r="H198" s="38"/>
    </row>
    <row r="199" spans="1:8" s="42" customFormat="1" ht="18.75" x14ac:dyDescent="0.3">
      <c r="A199" s="476"/>
      <c r="B199" s="653">
        <f>EUMATT!A94</f>
        <v>61</v>
      </c>
      <c r="C199" s="653" t="str">
        <f>EUMATT!B94</f>
        <v>FRUSEMIDE 20MG INJ</v>
      </c>
      <c r="D199" s="654">
        <f>EUMATT!C94</f>
        <v>100</v>
      </c>
      <c r="E199" s="653">
        <v>125</v>
      </c>
      <c r="F199" s="38">
        <f>EUMATT!E94</f>
        <v>2500</v>
      </c>
      <c r="G199" s="38">
        <f t="shared" si="14"/>
        <v>312500</v>
      </c>
      <c r="H199" s="38"/>
    </row>
    <row r="200" spans="1:8" s="42" customFormat="1" ht="23.25" x14ac:dyDescent="0.35">
      <c r="A200" s="476"/>
      <c r="B200" s="653">
        <f>EUMATT!A95</f>
        <v>630</v>
      </c>
      <c r="C200" s="653" t="str">
        <f>EUMATT!B95</f>
        <v>GAUZE ROLL 500G  (90CM X 100 YARD) CUTISOFT BSN</v>
      </c>
      <c r="D200" s="654" t="str">
        <f>EUMATT!C95</f>
        <v>PCS</v>
      </c>
      <c r="E200" s="653">
        <v>750</v>
      </c>
      <c r="F200" s="38">
        <f>EUMATT!E95</f>
        <v>3100</v>
      </c>
      <c r="G200" s="38">
        <f t="shared" si="14"/>
        <v>2325000</v>
      </c>
      <c r="H200" s="79"/>
    </row>
    <row r="201" spans="1:8" s="42" customFormat="1" ht="18.75" x14ac:dyDescent="0.3">
      <c r="A201" s="476"/>
      <c r="B201" s="653">
        <f>EUMATT!A97</f>
        <v>692</v>
      </c>
      <c r="C201" s="653" t="str">
        <f>EUMATT!B97</f>
        <v>HEXETIDINE MOUTH WASH</v>
      </c>
      <c r="D201" s="654" t="str">
        <f>EUMATT!C97</f>
        <v>BOTT</v>
      </c>
      <c r="E201" s="653">
        <v>120</v>
      </c>
      <c r="F201" s="38">
        <f>EUMATT!E97</f>
        <v>500</v>
      </c>
      <c r="G201" s="38">
        <f t="shared" si="14"/>
        <v>60000</v>
      </c>
      <c r="H201" s="35"/>
    </row>
    <row r="202" spans="1:8" s="42" customFormat="1" ht="18.75" x14ac:dyDescent="0.3">
      <c r="A202" s="476"/>
      <c r="B202" s="653">
        <f>EUMATT!A98</f>
        <v>64</v>
      </c>
      <c r="C202" s="653" t="str">
        <f>EUMATT!B98</f>
        <v>HYDRALLAZINE INJ</v>
      </c>
      <c r="D202" s="654">
        <f>EUMATT!C98</f>
        <v>100</v>
      </c>
      <c r="E202" s="653">
        <v>1</v>
      </c>
      <c r="F202" s="38">
        <f>EUMATT!E98</f>
        <v>9000</v>
      </c>
      <c r="G202" s="38">
        <f t="shared" si="14"/>
        <v>9000</v>
      </c>
      <c r="H202" s="35"/>
    </row>
    <row r="203" spans="1:8" s="42" customFormat="1" ht="18.75" x14ac:dyDescent="0.3">
      <c r="A203" s="476"/>
      <c r="B203" s="653">
        <f>EUMATT!A99</f>
        <v>604</v>
      </c>
      <c r="C203" s="653" t="str">
        <f>EUMATT!B99</f>
        <v xml:space="preserve">INFUSION GIVING SET </v>
      </c>
      <c r="D203" s="654">
        <f>EUMATT!C99</f>
        <v>500</v>
      </c>
      <c r="E203" s="653">
        <v>5</v>
      </c>
      <c r="F203" s="38">
        <f>EUMATT!E99</f>
        <v>19000</v>
      </c>
      <c r="G203" s="38">
        <f t="shared" si="14"/>
        <v>95000</v>
      </c>
      <c r="H203" s="35"/>
    </row>
    <row r="204" spans="1:8" s="42" customFormat="1" ht="18.75" x14ac:dyDescent="0.3">
      <c r="A204" s="476"/>
      <c r="B204" s="653">
        <f>EUMATT!A101</f>
        <v>73</v>
      </c>
      <c r="C204" s="653" t="str">
        <f>EUMATT!B101</f>
        <v>LABETALOL INJ</v>
      </c>
      <c r="D204" s="654" t="str">
        <f>EUMATT!C101</f>
        <v>AMP</v>
      </c>
      <c r="E204" s="653">
        <v>100</v>
      </c>
      <c r="F204" s="38">
        <f>EUMATT!E101</f>
        <v>750</v>
      </c>
      <c r="G204" s="38">
        <f t="shared" si="14"/>
        <v>75000</v>
      </c>
      <c r="H204" s="35"/>
    </row>
    <row r="205" spans="1:8" s="42" customFormat="1" ht="18.75" x14ac:dyDescent="0.3">
      <c r="A205" s="476"/>
      <c r="B205" s="653">
        <f>EUMATT!A102</f>
        <v>74</v>
      </c>
      <c r="C205" s="653" t="str">
        <f>EUMATT!B102</f>
        <v>LABETALOL TAB</v>
      </c>
      <c r="D205" s="654">
        <f>EUMATT!C102</f>
        <v>30</v>
      </c>
      <c r="E205" s="653">
        <v>20</v>
      </c>
      <c r="F205" s="38">
        <f>EUMATT!E102</f>
        <v>3100</v>
      </c>
      <c r="G205" s="38">
        <f t="shared" si="14"/>
        <v>62000</v>
      </c>
      <c r="H205" s="38"/>
    </row>
    <row r="206" spans="1:8" s="42" customFormat="1" ht="23.25" x14ac:dyDescent="0.35">
      <c r="A206" s="476"/>
      <c r="B206" s="653">
        <f>EUMATT!A103</f>
        <v>606</v>
      </c>
      <c r="C206" s="653" t="str">
        <f>EUMATT!B103</f>
        <v>LATEX GLOVES (SUPER CARE)</v>
      </c>
      <c r="D206" s="654" t="str">
        <f>EUMATT!C103</f>
        <v>CARTON</v>
      </c>
      <c r="E206" s="653">
        <f>750*0.7</f>
        <v>525</v>
      </c>
      <c r="F206" s="38">
        <f>EUMATT!E103</f>
        <v>8900</v>
      </c>
      <c r="G206" s="38">
        <f t="shared" si="14"/>
        <v>4672500</v>
      </c>
      <c r="H206" s="79"/>
    </row>
    <row r="207" spans="1:8" s="42" customFormat="1" ht="18.75" x14ac:dyDescent="0.3">
      <c r="A207" s="476"/>
      <c r="B207" s="653">
        <f>EUMATT!A104</f>
        <v>261</v>
      </c>
      <c r="C207" s="653" t="str">
        <f>EUMATT!B104</f>
        <v>LEVOFLOXACIN 500MG TAB</v>
      </c>
      <c r="D207" s="654">
        <f>EUMATT!C104</f>
        <v>10</v>
      </c>
      <c r="E207" s="653">
        <v>50</v>
      </c>
      <c r="F207" s="38">
        <f>EUMATT!E104</f>
        <v>250</v>
      </c>
      <c r="G207" s="38">
        <f t="shared" si="14"/>
        <v>12500</v>
      </c>
      <c r="H207" s="38"/>
    </row>
    <row r="208" spans="1:8" s="42" customFormat="1" ht="18.75" x14ac:dyDescent="0.3">
      <c r="A208" s="476"/>
      <c r="B208" s="653">
        <f>EUMATT!A105</f>
        <v>75</v>
      </c>
      <c r="C208" s="653" t="str">
        <f>EUMATT!B105</f>
        <v>LISINOPRIL 10MG</v>
      </c>
      <c r="D208" s="654">
        <f>EUMATT!C105</f>
        <v>28</v>
      </c>
      <c r="E208" s="653">
        <v>100</v>
      </c>
      <c r="F208" s="38">
        <f>EUMATT!E105</f>
        <v>300</v>
      </c>
      <c r="G208" s="38">
        <f t="shared" si="14"/>
        <v>30000</v>
      </c>
      <c r="H208" s="38"/>
    </row>
    <row r="209" spans="1:8" s="42" customFormat="1" ht="18.75" x14ac:dyDescent="0.3">
      <c r="A209" s="476"/>
      <c r="B209" s="653">
        <f>EUMATT!A106</f>
        <v>76</v>
      </c>
      <c r="C209" s="653" t="str">
        <f>EUMATT!B106</f>
        <v>LISINOPRIL 5MG</v>
      </c>
      <c r="D209" s="654">
        <f>EUMATT!C106</f>
        <v>28</v>
      </c>
      <c r="E209" s="653">
        <v>375</v>
      </c>
      <c r="F209" s="38">
        <f>EUMATT!E106</f>
        <v>230</v>
      </c>
      <c r="G209" s="38">
        <f t="shared" si="14"/>
        <v>86250</v>
      </c>
      <c r="H209" s="38"/>
    </row>
    <row r="210" spans="1:8" s="42" customFormat="1" ht="18.75" x14ac:dyDescent="0.3">
      <c r="A210" s="476"/>
      <c r="B210" s="653">
        <f>EUMATT!A107</f>
        <v>434</v>
      </c>
      <c r="C210" s="653" t="str">
        <f>EUMATT!B107</f>
        <v>LOPERAMIDE CAP</v>
      </c>
      <c r="D210" s="654">
        <f>EUMATT!C107</f>
        <v>10</v>
      </c>
      <c r="E210" s="653">
        <v>100</v>
      </c>
      <c r="F210" s="38">
        <f>EUMATT!E107</f>
        <v>40</v>
      </c>
      <c r="G210" s="38">
        <f t="shared" si="14"/>
        <v>4000</v>
      </c>
      <c r="H210" s="38"/>
    </row>
    <row r="211" spans="1:8" s="42" customFormat="1" ht="23.25" x14ac:dyDescent="0.35">
      <c r="A211" s="476"/>
      <c r="B211" s="653">
        <f>EUMATT!A108</f>
        <v>77</v>
      </c>
      <c r="C211" s="653" t="str">
        <f>EUMATT!B108</f>
        <v>LOSARTAN 25MG</v>
      </c>
      <c r="D211" s="654">
        <f>EUMATT!C108</f>
        <v>30</v>
      </c>
      <c r="E211" s="653">
        <v>500</v>
      </c>
      <c r="F211" s="38">
        <f>EUMATT!E108</f>
        <v>480</v>
      </c>
      <c r="G211" s="38">
        <f t="shared" si="14"/>
        <v>240000</v>
      </c>
      <c r="H211" s="186"/>
    </row>
    <row r="212" spans="1:8" s="42" customFormat="1" ht="18.75" x14ac:dyDescent="0.3">
      <c r="A212" s="476"/>
      <c r="B212" s="653">
        <f>EUMATT!A109</f>
        <v>78</v>
      </c>
      <c r="C212" s="653" t="str">
        <f>EUMATT!B109</f>
        <v>LOSARTAN 50MG</v>
      </c>
      <c r="D212" s="654">
        <f>EUMATT!C109</f>
        <v>30</v>
      </c>
      <c r="E212" s="653">
        <v>180</v>
      </c>
      <c r="F212" s="38">
        <f>EUMATT!E109</f>
        <v>600</v>
      </c>
      <c r="G212" s="38">
        <f t="shared" si="14"/>
        <v>108000</v>
      </c>
      <c r="H212" s="35"/>
    </row>
    <row r="213" spans="1:8" s="42" customFormat="1" ht="23.25" x14ac:dyDescent="0.35">
      <c r="A213" s="476"/>
      <c r="B213" s="653">
        <f>EUMATT!A110</f>
        <v>169</v>
      </c>
      <c r="C213" s="653" t="str">
        <f>EUMATT!B110</f>
        <v xml:space="preserve">METHYL PREDNISOLONE INJ </v>
      </c>
      <c r="D213" s="654" t="str">
        <f>EUMATT!C110</f>
        <v>VIAL</v>
      </c>
      <c r="E213" s="653">
        <v>75</v>
      </c>
      <c r="F213" s="38">
        <f>EUMATT!E110</f>
        <v>750</v>
      </c>
      <c r="G213" s="38">
        <f t="shared" si="14"/>
        <v>56250</v>
      </c>
      <c r="H213" s="79"/>
    </row>
    <row r="214" spans="1:8" s="42" customFormat="1" ht="18.75" x14ac:dyDescent="0.3">
      <c r="A214" s="476"/>
      <c r="B214" s="653">
        <f>EUMATT!A111</f>
        <v>436</v>
      </c>
      <c r="C214" s="653" t="str">
        <f>EUMATT!B111</f>
        <v>METOCLOPRAMIDE 10MG INJ</v>
      </c>
      <c r="D214" s="654">
        <f>EUMATT!C111</f>
        <v>100</v>
      </c>
      <c r="E214" s="653">
        <v>20</v>
      </c>
      <c r="F214" s="38">
        <f>EUMATT!E111</f>
        <v>1500</v>
      </c>
      <c r="G214" s="38">
        <f t="shared" si="14"/>
        <v>30000</v>
      </c>
      <c r="H214" s="38"/>
    </row>
    <row r="215" spans="1:8" s="42" customFormat="1" ht="18.75" x14ac:dyDescent="0.3">
      <c r="A215" s="476"/>
      <c r="B215" s="653">
        <f>EUMATT!A114</f>
        <v>267</v>
      </c>
      <c r="C215" s="653" t="str">
        <f>EUMATT!B114</f>
        <v>METRONIDAZOLE SUSP</v>
      </c>
      <c r="D215" s="654" t="str">
        <f>EUMATT!C114</f>
        <v>BOTT</v>
      </c>
      <c r="E215" s="653">
        <v>100</v>
      </c>
      <c r="F215" s="38">
        <f>EUMATT!E114</f>
        <v>100</v>
      </c>
      <c r="G215" s="38">
        <f t="shared" si="14"/>
        <v>10000</v>
      </c>
      <c r="H215" s="35"/>
    </row>
    <row r="216" spans="1:8" s="42" customFormat="1" ht="18.75" x14ac:dyDescent="0.3">
      <c r="A216" s="476"/>
      <c r="B216" s="653">
        <f>EUMATT!A116</f>
        <v>314</v>
      </c>
      <c r="C216" s="653" t="str">
        <f>EUMATT!B116</f>
        <v>MULTIVITE DROPS  (ABIDEC)</v>
      </c>
      <c r="D216" s="654" t="str">
        <f>EUMATT!C116</f>
        <v>BOTT</v>
      </c>
      <c r="E216" s="653">
        <v>50</v>
      </c>
      <c r="F216" s="38">
        <f>EUMATT!E116</f>
        <v>990</v>
      </c>
      <c r="G216" s="38">
        <f t="shared" si="14"/>
        <v>49500</v>
      </c>
      <c r="H216" s="38"/>
    </row>
    <row r="217" spans="1:8" s="42" customFormat="1" ht="18.75" x14ac:dyDescent="0.3">
      <c r="A217" s="476"/>
      <c r="B217" s="653">
        <f>EUMATT!A117</f>
        <v>316</v>
      </c>
      <c r="C217" s="653" t="str">
        <f>EUMATT!B117</f>
        <v>MULTIVITE TAB</v>
      </c>
      <c r="D217" s="654">
        <f>EUMATT!C117</f>
        <v>1000</v>
      </c>
      <c r="E217" s="653">
        <v>25</v>
      </c>
      <c r="F217" s="38">
        <f>EUMATT!E117</f>
        <v>700</v>
      </c>
      <c r="G217" s="38">
        <f t="shared" si="14"/>
        <v>17500</v>
      </c>
      <c r="H217" s="38"/>
    </row>
    <row r="218" spans="1:8" s="42" customFormat="1" ht="23.25" x14ac:dyDescent="0.35">
      <c r="A218" s="476"/>
      <c r="B218" s="653">
        <f>EUMATT!A118</f>
        <v>614</v>
      </c>
      <c r="C218" s="653" t="str">
        <f>EUMATT!B118</f>
        <v>NASOGASTRIC TUBE 20"</v>
      </c>
      <c r="D218" s="654">
        <f>EUMATT!C118</f>
        <v>10</v>
      </c>
      <c r="E218" s="653">
        <v>1</v>
      </c>
      <c r="F218" s="38">
        <f>EUMATT!E118</f>
        <v>600</v>
      </c>
      <c r="G218" s="38">
        <f t="shared" si="14"/>
        <v>600</v>
      </c>
      <c r="H218" s="79"/>
    </row>
    <row r="219" spans="1:8" s="42" customFormat="1" ht="18.75" x14ac:dyDescent="0.3">
      <c r="A219" s="476"/>
      <c r="B219" s="653">
        <f>EUMATT!A119</f>
        <v>438</v>
      </c>
      <c r="C219" s="653" t="str">
        <f>EUMATT!B119</f>
        <v>N-BUTYL HYOSCINE HYDROBROMIDE 10MG/ML INJ</v>
      </c>
      <c r="D219" s="654">
        <f>EUMATT!C119</f>
        <v>100</v>
      </c>
      <c r="E219" s="653">
        <v>5</v>
      </c>
      <c r="F219" s="38">
        <f>EUMATT!E119</f>
        <v>4500</v>
      </c>
      <c r="G219" s="38">
        <f t="shared" si="14"/>
        <v>22500</v>
      </c>
      <c r="H219" s="38"/>
    </row>
    <row r="220" spans="1:8" s="42" customFormat="1" ht="18.75" x14ac:dyDescent="0.3">
      <c r="A220" s="476"/>
      <c r="B220" s="653">
        <f>EUMATT!A120</f>
        <v>439</v>
      </c>
      <c r="C220" s="653" t="str">
        <f>EUMATT!B120</f>
        <v>N-BUTYL HYOSCINE HYDROBROMIDE TAB</v>
      </c>
      <c r="D220" s="654">
        <f>EUMATT!C120</f>
        <v>100</v>
      </c>
      <c r="E220" s="653">
        <v>25</v>
      </c>
      <c r="F220" s="38">
        <f>EUMATT!E120</f>
        <v>1200</v>
      </c>
      <c r="G220" s="38">
        <f t="shared" si="14"/>
        <v>30000</v>
      </c>
      <c r="H220" s="38"/>
    </row>
    <row r="221" spans="1:8" s="42" customFormat="1" ht="18.75" x14ac:dyDescent="0.3">
      <c r="A221" s="476"/>
      <c r="B221" s="653">
        <f>EUMATT!A121</f>
        <v>368</v>
      </c>
      <c r="C221" s="653" t="str">
        <f>EUMATT!B121</f>
        <v>NEFOPAM INJ</v>
      </c>
      <c r="D221" s="654">
        <f>EUMATT!C121</f>
        <v>5</v>
      </c>
      <c r="E221" s="653">
        <v>30</v>
      </c>
      <c r="F221" s="38">
        <f>EUMATT!E121</f>
        <v>3000</v>
      </c>
      <c r="G221" s="38">
        <f t="shared" si="14"/>
        <v>90000</v>
      </c>
      <c r="H221" s="35"/>
    </row>
    <row r="222" spans="1:8" s="42" customFormat="1" ht="18.75" x14ac:dyDescent="0.3">
      <c r="A222" s="476"/>
      <c r="B222" s="653">
        <v>87</v>
      </c>
      <c r="C222" s="653" t="s">
        <v>1163</v>
      </c>
      <c r="D222" s="654">
        <v>100</v>
      </c>
      <c r="E222" s="653">
        <v>50</v>
      </c>
      <c r="F222" s="38">
        <v>150</v>
      </c>
      <c r="G222" s="38">
        <f t="shared" si="14"/>
        <v>7500</v>
      </c>
      <c r="H222" s="35"/>
    </row>
    <row r="223" spans="1:8" s="42" customFormat="1" ht="18.75" x14ac:dyDescent="0.3">
      <c r="A223" s="476"/>
      <c r="B223" s="653">
        <f>EUMATT!A125</f>
        <v>369</v>
      </c>
      <c r="C223" s="653" t="str">
        <f>EUMATT!B125</f>
        <v>NITRAZEPAM 5MG</v>
      </c>
      <c r="D223" s="654">
        <f>EUMATT!C125</f>
        <v>500</v>
      </c>
      <c r="E223" s="653">
        <v>2</v>
      </c>
      <c r="F223" s="38">
        <f>EUMATT!E125</f>
        <v>9800</v>
      </c>
      <c r="G223" s="38">
        <f t="shared" si="14"/>
        <v>19600</v>
      </c>
      <c r="H223" s="38"/>
    </row>
    <row r="224" spans="1:8" s="42" customFormat="1" ht="18.75" x14ac:dyDescent="0.3">
      <c r="A224" s="476"/>
      <c r="B224" s="653">
        <f>EUMATT!A127</f>
        <v>705</v>
      </c>
      <c r="C224" s="653" t="str">
        <f>EUMATT!B127</f>
        <v>NYLON 2</v>
      </c>
      <c r="D224" s="654">
        <f>EUMATT!C127</f>
        <v>12</v>
      </c>
      <c r="E224" s="653">
        <v>3</v>
      </c>
      <c r="F224" s="38">
        <f>EUMATT!E127</f>
        <v>700</v>
      </c>
      <c r="G224" s="38">
        <f t="shared" si="14"/>
        <v>2100</v>
      </c>
      <c r="H224" s="35"/>
    </row>
    <row r="225" spans="1:8" s="42" customFormat="1" ht="18.75" x14ac:dyDescent="0.3">
      <c r="A225" s="476"/>
      <c r="B225" s="653">
        <f>EUMATT!A128</f>
        <v>706</v>
      </c>
      <c r="C225" s="653" t="str">
        <f>EUMATT!B128</f>
        <v>NYLON 2/0  (40-45) LONG NEEDLE</v>
      </c>
      <c r="D225" s="654">
        <f>EUMATT!C128</f>
        <v>12</v>
      </c>
      <c r="E225" s="653">
        <v>15</v>
      </c>
      <c r="F225" s="38">
        <f>EUMATT!E128</f>
        <v>700</v>
      </c>
      <c r="G225" s="38">
        <f t="shared" si="14"/>
        <v>10500</v>
      </c>
      <c r="H225" s="35"/>
    </row>
    <row r="226" spans="1:8" s="42" customFormat="1" ht="18.75" x14ac:dyDescent="0.3">
      <c r="A226" s="476"/>
      <c r="B226" s="653">
        <f>EUMATT!A129</f>
        <v>370</v>
      </c>
      <c r="C226" s="653" t="str">
        <f>EUMATT!B129</f>
        <v>OLANZEPINE 10MG</v>
      </c>
      <c r="D226" s="654">
        <f>EUMATT!C129</f>
        <v>30</v>
      </c>
      <c r="E226" s="653">
        <v>50</v>
      </c>
      <c r="F226" s="38">
        <f>EUMATT!E129</f>
        <v>2000</v>
      </c>
      <c r="G226" s="38">
        <f t="shared" si="14"/>
        <v>100000</v>
      </c>
      <c r="H226" s="35"/>
    </row>
    <row r="227" spans="1:8" s="42" customFormat="1" ht="23.25" x14ac:dyDescent="0.35">
      <c r="A227" s="476"/>
      <c r="B227" s="653">
        <f>EUMATT!A130</f>
        <v>371</v>
      </c>
      <c r="C227" s="653" t="str">
        <f>EUMATT!B130</f>
        <v>OLANZEPINE 5MG</v>
      </c>
      <c r="D227" s="654">
        <f>EUMATT!C130</f>
        <v>30</v>
      </c>
      <c r="E227" s="653">
        <v>75</v>
      </c>
      <c r="F227" s="38">
        <f>EUMATT!E130</f>
        <v>1600</v>
      </c>
      <c r="G227" s="38">
        <f t="shared" si="14"/>
        <v>120000</v>
      </c>
      <c r="H227" s="79"/>
    </row>
    <row r="228" spans="1:8" s="42" customFormat="1" ht="18.75" x14ac:dyDescent="0.3">
      <c r="A228" s="476"/>
      <c r="B228" s="653">
        <f>EUMATT!A131</f>
        <v>522</v>
      </c>
      <c r="C228" s="653" t="str">
        <f>EUMATT!B131</f>
        <v>OLOPATADINE GTT</v>
      </c>
      <c r="D228" s="654" t="str">
        <f>EUMATT!C131</f>
        <v>BOTT</v>
      </c>
      <c r="E228" s="653">
        <v>5</v>
      </c>
      <c r="F228" s="38">
        <f>EUMATT!E131</f>
        <v>760</v>
      </c>
      <c r="G228" s="38">
        <f t="shared" si="14"/>
        <v>3800</v>
      </c>
      <c r="H228" s="38"/>
    </row>
    <row r="229" spans="1:8" s="42" customFormat="1" ht="18.75" x14ac:dyDescent="0.3">
      <c r="A229" s="476"/>
      <c r="B229" s="653">
        <f>EUMATT!A132</f>
        <v>319</v>
      </c>
      <c r="C229" s="653" t="str">
        <f>EUMATT!B132</f>
        <v>OMEGA3 FATTY ACIDS  (MARINA 1000)</v>
      </c>
      <c r="D229" s="654">
        <f>EUMATT!C132</f>
        <v>30</v>
      </c>
      <c r="E229" s="653">
        <v>500</v>
      </c>
      <c r="F229" s="38">
        <f>EUMATT!E132</f>
        <v>1050</v>
      </c>
      <c r="G229" s="38">
        <f t="shared" si="14"/>
        <v>525000</v>
      </c>
      <c r="H229" s="38"/>
    </row>
    <row r="230" spans="1:8" s="42" customFormat="1" ht="18.75" x14ac:dyDescent="0.3">
      <c r="A230" s="476"/>
      <c r="B230" s="653">
        <f>EUMATT!A133</f>
        <v>442</v>
      </c>
      <c r="C230" s="653" t="str">
        <f>EUMATT!B133</f>
        <v>OMEPRAZOLE IV</v>
      </c>
      <c r="D230" s="654" t="str">
        <f>EUMATT!C133</f>
        <v xml:space="preserve">VIAL </v>
      </c>
      <c r="E230" s="653">
        <v>2000</v>
      </c>
      <c r="F230" s="38">
        <f>EUMATT!E133</f>
        <v>250</v>
      </c>
      <c r="G230" s="38">
        <f t="shared" si="14"/>
        <v>500000</v>
      </c>
      <c r="H230" s="38"/>
    </row>
    <row r="231" spans="1:8" s="42" customFormat="1" ht="23.25" x14ac:dyDescent="0.35">
      <c r="A231" s="476"/>
      <c r="B231" s="653">
        <f>EUMATT!A134</f>
        <v>444</v>
      </c>
      <c r="C231" s="653" t="str">
        <f>EUMATT!B134</f>
        <v>ONDASETRON INJ</v>
      </c>
      <c r="D231" s="654" t="str">
        <f>EUMATT!C134</f>
        <v>AMP</v>
      </c>
      <c r="E231" s="653">
        <v>400</v>
      </c>
      <c r="F231" s="38">
        <f>EUMATT!E134</f>
        <v>300</v>
      </c>
      <c r="G231" s="38">
        <f t="shared" ref="G231:G269" si="15">E231*F231</f>
        <v>120000</v>
      </c>
      <c r="H231" s="79"/>
    </row>
    <row r="232" spans="1:8" s="42" customFormat="1" ht="18.75" x14ac:dyDescent="0.3">
      <c r="A232" s="476"/>
      <c r="B232" s="653">
        <f>EUMATT!A135</f>
        <v>176</v>
      </c>
      <c r="C232" s="653" t="str">
        <f>EUMATT!B135</f>
        <v>ORPHENADRINE 100MG TAB</v>
      </c>
      <c r="D232" s="654">
        <f>EUMATT!C135</f>
        <v>100</v>
      </c>
      <c r="E232" s="653">
        <v>10</v>
      </c>
      <c r="F232" s="38">
        <f>EUMATT!E135</f>
        <v>3200</v>
      </c>
      <c r="G232" s="38">
        <f t="shared" si="15"/>
        <v>32000</v>
      </c>
      <c r="H232" s="38"/>
    </row>
    <row r="233" spans="1:8" s="42" customFormat="1" ht="23.25" x14ac:dyDescent="0.35">
      <c r="A233" s="476"/>
      <c r="B233" s="653">
        <f>EUMATT!A136</f>
        <v>178</v>
      </c>
      <c r="C233" s="653" t="str">
        <f>EUMATT!B136</f>
        <v>PARACETAMOL 300MG INJ</v>
      </c>
      <c r="D233" s="654">
        <f>EUMATT!C136</f>
        <v>100</v>
      </c>
      <c r="E233" s="653">
        <v>20</v>
      </c>
      <c r="F233" s="38">
        <f>EUMATT!E136</f>
        <v>1600</v>
      </c>
      <c r="G233" s="38">
        <f t="shared" si="15"/>
        <v>32000</v>
      </c>
      <c r="H233" s="186"/>
    </row>
    <row r="234" spans="1:8" s="42" customFormat="1" ht="23.25" x14ac:dyDescent="0.35">
      <c r="A234" s="476"/>
      <c r="B234" s="653">
        <v>372</v>
      </c>
      <c r="C234" s="653" t="s">
        <v>221</v>
      </c>
      <c r="D234" s="654">
        <v>5</v>
      </c>
      <c r="E234" s="653">
        <v>20</v>
      </c>
      <c r="F234" s="38">
        <v>1500</v>
      </c>
      <c r="G234" s="38">
        <f t="shared" si="15"/>
        <v>30000</v>
      </c>
      <c r="H234" s="186"/>
    </row>
    <row r="235" spans="1:8" s="42" customFormat="1" ht="18.75" x14ac:dyDescent="0.3">
      <c r="A235" s="476"/>
      <c r="B235" s="653">
        <f>EUMATT!A138</f>
        <v>662</v>
      </c>
      <c r="C235" s="653" t="str">
        <f>EUMATT!B138</f>
        <v>PERMETHRIN CREAM</v>
      </c>
      <c r="D235" s="654" t="str">
        <f>EUMATT!C138</f>
        <v>TUBE</v>
      </c>
      <c r="E235" s="653">
        <v>5</v>
      </c>
      <c r="F235" s="38">
        <f>EUMATT!E138</f>
        <v>1800</v>
      </c>
      <c r="G235" s="38">
        <f t="shared" si="15"/>
        <v>9000</v>
      </c>
      <c r="H235" s="35"/>
    </row>
    <row r="236" spans="1:8" s="42" customFormat="1" ht="23.25" x14ac:dyDescent="0.35">
      <c r="A236" s="476"/>
      <c r="B236" s="653">
        <f>EUMATT!A139</f>
        <v>374</v>
      </c>
      <c r="C236" s="653" t="str">
        <f>EUMATT!B139</f>
        <v>PHENOBARBITONE 200MG INJ</v>
      </c>
      <c r="D236" s="654">
        <f>EUMATT!C139</f>
        <v>100</v>
      </c>
      <c r="E236" s="653">
        <v>2</v>
      </c>
      <c r="F236" s="38">
        <f>EUMATT!E139</f>
        <v>70000</v>
      </c>
      <c r="G236" s="38">
        <f t="shared" si="15"/>
        <v>140000</v>
      </c>
      <c r="H236" s="79"/>
    </row>
    <row r="237" spans="1:8" s="42" customFormat="1" ht="18.75" x14ac:dyDescent="0.3">
      <c r="A237" s="476"/>
      <c r="B237" s="653">
        <f>EUMATT!A140</f>
        <v>375</v>
      </c>
      <c r="C237" s="653" t="str">
        <f>EUMATT!B140</f>
        <v>PHENOBARBITONE 30MG TAB</v>
      </c>
      <c r="D237" s="654">
        <f>EUMATT!C140</f>
        <v>1000</v>
      </c>
      <c r="E237" s="653">
        <v>3</v>
      </c>
      <c r="F237" s="38">
        <f>EUMATT!E140</f>
        <v>6000</v>
      </c>
      <c r="G237" s="38">
        <f t="shared" si="15"/>
        <v>18000</v>
      </c>
      <c r="H237" s="38"/>
    </row>
    <row r="238" spans="1:8" s="42" customFormat="1" ht="23.25" x14ac:dyDescent="0.35">
      <c r="A238" s="476"/>
      <c r="B238" s="653">
        <f>EUMATT!A145</f>
        <v>621</v>
      </c>
      <c r="C238" s="653" t="str">
        <f>EUMATT!B145</f>
        <v>PLASTER 1" (2.5CM X 5M) BROWN</v>
      </c>
      <c r="D238" s="654">
        <f>EUMATT!C145</f>
        <v>10</v>
      </c>
      <c r="E238" s="653">
        <v>65</v>
      </c>
      <c r="F238" s="38">
        <f>EUMATT!E145</f>
        <v>1600</v>
      </c>
      <c r="G238" s="38">
        <f t="shared" si="15"/>
        <v>104000</v>
      </c>
      <c r="H238" s="79"/>
    </row>
    <row r="239" spans="1:8" s="42" customFormat="1" ht="18.75" x14ac:dyDescent="0.3">
      <c r="A239" s="476"/>
      <c r="B239" s="653">
        <f>EUMATT!A146</f>
        <v>626</v>
      </c>
      <c r="C239" s="653" t="str">
        <f>EUMATT!B146</f>
        <v>PLASTER 2" (5CM X 9.1M) BROWN</v>
      </c>
      <c r="D239" s="654">
        <f>EUMATT!C146</f>
        <v>5</v>
      </c>
      <c r="E239" s="653">
        <v>16</v>
      </c>
      <c r="F239" s="38">
        <f>EUMATT!E146</f>
        <v>3200</v>
      </c>
      <c r="G239" s="38">
        <f t="shared" si="15"/>
        <v>51200</v>
      </c>
      <c r="H239" s="38"/>
    </row>
    <row r="240" spans="1:8" s="42" customFormat="1" ht="18.75" x14ac:dyDescent="0.3">
      <c r="A240" s="476"/>
      <c r="B240" s="653">
        <f>EUMATT!A147</f>
        <v>627</v>
      </c>
      <c r="C240" s="653" t="str">
        <f>EUMATT!B147</f>
        <v>PLASTER 3"(7.5CM X 9.1M) BROWN</v>
      </c>
      <c r="D240" s="654">
        <f>EUMATT!C147</f>
        <v>5</v>
      </c>
      <c r="E240" s="653">
        <v>12</v>
      </c>
      <c r="F240" s="38">
        <f>EUMATT!E147</f>
        <v>2900</v>
      </c>
      <c r="G240" s="38">
        <f t="shared" si="15"/>
        <v>34800</v>
      </c>
      <c r="H240" s="38"/>
    </row>
    <row r="241" spans="1:8" s="42" customFormat="1" ht="18.75" x14ac:dyDescent="0.3">
      <c r="A241" s="476"/>
      <c r="B241" s="653">
        <f>EUMATT!A148</f>
        <v>629</v>
      </c>
      <c r="C241" s="653" t="str">
        <f>EUMATT!B148</f>
        <v>POP 6" (GYPSONA)</v>
      </c>
      <c r="D241" s="654">
        <f>EUMATT!C148</f>
        <v>12</v>
      </c>
      <c r="E241" s="653">
        <v>15</v>
      </c>
      <c r="F241" s="38">
        <f>EUMATT!E148</f>
        <v>12000</v>
      </c>
      <c r="G241" s="38">
        <f t="shared" si="15"/>
        <v>180000</v>
      </c>
      <c r="H241" s="38"/>
    </row>
    <row r="242" spans="1:8" s="42" customFormat="1" ht="23.25" x14ac:dyDescent="0.35">
      <c r="A242" s="476"/>
      <c r="B242" s="653">
        <f>EUMATT!A151</f>
        <v>95</v>
      </c>
      <c r="C242" s="653" t="str">
        <f>EUMATT!B151</f>
        <v xml:space="preserve">PROPRANOLOL 40MG </v>
      </c>
      <c r="D242" s="654">
        <f>EUMATT!C151</f>
        <v>28</v>
      </c>
      <c r="E242" s="653">
        <v>250</v>
      </c>
      <c r="F242" s="38">
        <f>EUMATT!E151</f>
        <v>2200</v>
      </c>
      <c r="G242" s="38">
        <f t="shared" si="15"/>
        <v>550000</v>
      </c>
      <c r="H242" s="186"/>
    </row>
    <row r="243" spans="1:8" s="42" customFormat="1" ht="18.75" x14ac:dyDescent="0.3">
      <c r="A243" s="476"/>
      <c r="B243" s="653">
        <f>EUMATT!A153</f>
        <v>15</v>
      </c>
      <c r="C243" s="653" t="str">
        <f>EUMATT!B153</f>
        <v>PYRIMETHAMINE TAB</v>
      </c>
      <c r="D243" s="654">
        <f>EUMATT!C153</f>
        <v>500</v>
      </c>
      <c r="E243" s="653">
        <v>1</v>
      </c>
      <c r="F243" s="38">
        <f>EUMATT!E153</f>
        <v>1200</v>
      </c>
      <c r="G243" s="38">
        <f t="shared" si="15"/>
        <v>1200</v>
      </c>
      <c r="H243" s="35"/>
    </row>
    <row r="244" spans="1:8" s="42" customFormat="1" ht="23.25" x14ac:dyDescent="0.35">
      <c r="A244" s="476"/>
      <c r="B244" s="653">
        <f>EUMATT!A154</f>
        <v>16</v>
      </c>
      <c r="C244" s="653" t="str">
        <f>EUMATT!B154</f>
        <v>QUININE 200ML SYR</v>
      </c>
      <c r="D244" s="654" t="str">
        <f>EUMATT!C154</f>
        <v>BOTT</v>
      </c>
      <c r="E244" s="653">
        <v>10</v>
      </c>
      <c r="F244" s="38">
        <f>EUMATT!E154</f>
        <v>480</v>
      </c>
      <c r="G244" s="38">
        <f t="shared" si="15"/>
        <v>4800</v>
      </c>
      <c r="H244" s="79"/>
    </row>
    <row r="245" spans="1:8" s="42" customFormat="1" ht="18.75" x14ac:dyDescent="0.3">
      <c r="A245" s="476"/>
      <c r="B245" s="653">
        <f>EUMATT!A156</f>
        <v>96</v>
      </c>
      <c r="C245" s="653" t="str">
        <f>EUMATT!B156</f>
        <v>RAMIPRIL 10MG TAB</v>
      </c>
      <c r="D245" s="654">
        <f>EUMATT!C156</f>
        <v>30</v>
      </c>
      <c r="E245" s="653">
        <v>50</v>
      </c>
      <c r="F245" s="38">
        <f>EUMATT!E156</f>
        <v>1200</v>
      </c>
      <c r="G245" s="38">
        <f t="shared" si="15"/>
        <v>60000</v>
      </c>
      <c r="H245" s="38"/>
    </row>
    <row r="246" spans="1:8" s="42" customFormat="1" ht="18.75" x14ac:dyDescent="0.3">
      <c r="A246" s="476"/>
      <c r="B246" s="653">
        <f>EUMATT!A157</f>
        <v>664</v>
      </c>
      <c r="C246" s="653" t="str">
        <f>EUMATT!B157</f>
        <v>RETIN A GEL</v>
      </c>
      <c r="D246" s="654" t="str">
        <f>EUMATT!C157</f>
        <v>TUBE</v>
      </c>
      <c r="E246" s="653">
        <v>5</v>
      </c>
      <c r="F246" s="38">
        <f>EUMATT!E157</f>
        <v>3000</v>
      </c>
      <c r="G246" s="38">
        <f t="shared" si="15"/>
        <v>15000</v>
      </c>
      <c r="H246" s="38"/>
    </row>
    <row r="247" spans="1:8" s="42" customFormat="1" ht="18.75" x14ac:dyDescent="0.3">
      <c r="A247" s="476"/>
      <c r="B247" s="653">
        <f>EUMATT!A161</f>
        <v>104</v>
      </c>
      <c r="C247" s="653" t="str">
        <f>EUMATT!B161</f>
        <v>S-AMLODIPINE 5MG TAB</v>
      </c>
      <c r="D247" s="654">
        <f>EUMATT!C161</f>
        <v>30</v>
      </c>
      <c r="E247" s="653">
        <v>5</v>
      </c>
      <c r="F247" s="38">
        <f>EUMATT!E161</f>
        <v>700</v>
      </c>
      <c r="G247" s="38">
        <f t="shared" si="15"/>
        <v>3500</v>
      </c>
      <c r="H247" s="35"/>
    </row>
    <row r="248" spans="1:8" s="42" customFormat="1" ht="18.75" x14ac:dyDescent="0.3">
      <c r="A248" s="476"/>
      <c r="B248" s="653">
        <f>EUMATT!A162</f>
        <v>667</v>
      </c>
      <c r="C248" s="653" t="str">
        <f>EUMATT!B162</f>
        <v xml:space="preserve">SELENIUM SULPHIDE SHAMPOO (SELSUN) </v>
      </c>
      <c r="D248" s="654" t="str">
        <f>EUMATT!C162</f>
        <v>PCS</v>
      </c>
      <c r="E248" s="653">
        <v>5</v>
      </c>
      <c r="F248" s="38">
        <f>EUMATT!E162</f>
        <v>2200</v>
      </c>
      <c r="G248" s="38">
        <f t="shared" si="15"/>
        <v>11000</v>
      </c>
      <c r="H248" s="38"/>
    </row>
    <row r="249" spans="1:8" s="42" customFormat="1" ht="18.75" x14ac:dyDescent="0.3">
      <c r="A249" s="476"/>
      <c r="B249" s="653">
        <f>EUMATT!A164</f>
        <v>633</v>
      </c>
      <c r="C249" s="653" t="str">
        <f>EUMATT!B164</f>
        <v>SKIN REMOVER</v>
      </c>
      <c r="D249" s="654" t="str">
        <f>EUMATT!C164</f>
        <v>PCS</v>
      </c>
      <c r="E249" s="653">
        <v>36</v>
      </c>
      <c r="F249" s="38">
        <f>EUMATT!E164</f>
        <v>600</v>
      </c>
      <c r="G249" s="38">
        <f t="shared" si="15"/>
        <v>21600</v>
      </c>
      <c r="H249" s="38"/>
    </row>
    <row r="250" spans="1:8" s="42" customFormat="1" ht="18.75" x14ac:dyDescent="0.3">
      <c r="A250" s="476"/>
      <c r="B250" s="653">
        <f>EUMATT!A165</f>
        <v>634</v>
      </c>
      <c r="C250" s="653" t="str">
        <f>EUMATT!B165</f>
        <v>SKIN STAPLER</v>
      </c>
      <c r="D250" s="654" t="str">
        <f>EUMATT!C165</f>
        <v>PCS</v>
      </c>
      <c r="E250" s="653">
        <v>36</v>
      </c>
      <c r="F250" s="38">
        <f>EUMATT!E165</f>
        <v>1500</v>
      </c>
      <c r="G250" s="38">
        <f t="shared" si="15"/>
        <v>54000</v>
      </c>
      <c r="H250" s="38"/>
    </row>
    <row r="251" spans="1:8" s="42" customFormat="1" ht="23.25" x14ac:dyDescent="0.35">
      <c r="A251" s="476"/>
      <c r="B251" s="653">
        <f>EUMATT!A167</f>
        <v>527</v>
      </c>
      <c r="C251" s="653" t="str">
        <f>EUMATT!B167</f>
        <v>SODIUM CHLORIDE GTT</v>
      </c>
      <c r="D251" s="654" t="str">
        <f>EUMATT!C167</f>
        <v>BOTT</v>
      </c>
      <c r="E251" s="653">
        <v>5</v>
      </c>
      <c r="F251" s="38">
        <f>EUMATT!E167</f>
        <v>980</v>
      </c>
      <c r="G251" s="38">
        <f t="shared" si="15"/>
        <v>4900</v>
      </c>
      <c r="H251" s="186"/>
    </row>
    <row r="252" spans="1:8" s="42" customFormat="1" ht="18.75" x14ac:dyDescent="0.3">
      <c r="A252" s="476"/>
      <c r="B252" s="653">
        <f>EUMATT!A168</f>
        <v>412</v>
      </c>
      <c r="C252" s="653" t="str">
        <f>EUMATT!B168</f>
        <v>SODIUM THIOPENTONE 1GM</v>
      </c>
      <c r="D252" s="654" t="str">
        <f>EUMATT!C168</f>
        <v>VIAL</v>
      </c>
      <c r="E252" s="653">
        <v>75</v>
      </c>
      <c r="F252" s="38">
        <f>EUMATT!E168</f>
        <v>800</v>
      </c>
      <c r="G252" s="38">
        <f t="shared" si="15"/>
        <v>60000</v>
      </c>
      <c r="H252" s="35"/>
    </row>
    <row r="253" spans="1:8" s="42" customFormat="1" ht="18.75" x14ac:dyDescent="0.3">
      <c r="A253" s="476"/>
      <c r="B253" s="653">
        <f>EUMATT!A170</f>
        <v>641</v>
      </c>
      <c r="C253" s="653" t="str">
        <f>EUMATT!B170</f>
        <v>SURGICAL BLADE 12"</v>
      </c>
      <c r="D253" s="654">
        <f>EUMATT!C170</f>
        <v>100</v>
      </c>
      <c r="E253" s="653">
        <v>1</v>
      </c>
      <c r="F253" s="38">
        <f>EUMATT!E170</f>
        <v>1300</v>
      </c>
      <c r="G253" s="38">
        <f t="shared" si="15"/>
        <v>1300</v>
      </c>
      <c r="H253" s="35"/>
    </row>
    <row r="254" spans="1:8" x14ac:dyDescent="0.35">
      <c r="A254" s="476"/>
      <c r="B254" s="653">
        <f>EUMATT!A171</f>
        <v>643</v>
      </c>
      <c r="C254" s="653" t="str">
        <f>EUMATT!B171</f>
        <v>SURGICAL BLADE 22"</v>
      </c>
      <c r="D254" s="654">
        <f>EUMATT!C171</f>
        <v>100</v>
      </c>
      <c r="E254" s="653">
        <v>11</v>
      </c>
      <c r="F254" s="38">
        <f>EUMATT!E171</f>
        <v>1300</v>
      </c>
      <c r="G254" s="38">
        <f t="shared" si="15"/>
        <v>14300</v>
      </c>
      <c r="H254" s="76"/>
    </row>
    <row r="255" spans="1:8" x14ac:dyDescent="0.35">
      <c r="A255" s="476"/>
      <c r="B255" s="653">
        <f>EUMATT!A172</f>
        <v>645</v>
      </c>
      <c r="C255" s="653" t="str">
        <f>EUMATT!B172</f>
        <v>SURGICAL BLADE 24"</v>
      </c>
      <c r="D255" s="654">
        <f>EUMATT!C172</f>
        <v>100</v>
      </c>
      <c r="E255" s="653">
        <v>3</v>
      </c>
      <c r="F255" s="38">
        <f>EUMATT!E172</f>
        <v>1300</v>
      </c>
      <c r="G255" s="38">
        <f t="shared" si="15"/>
        <v>3900</v>
      </c>
      <c r="H255" s="76"/>
    </row>
    <row r="256" spans="1:8" x14ac:dyDescent="0.35">
      <c r="A256" s="476"/>
      <c r="B256" s="653">
        <f>EUMATT!A174</f>
        <v>700</v>
      </c>
      <c r="C256" s="653" t="str">
        <f>EUMATT!B174</f>
        <v xml:space="preserve">TAMSULOSIN 0.4MG TAB  </v>
      </c>
      <c r="D256" s="654">
        <f>EUMATT!C174</f>
        <v>20</v>
      </c>
      <c r="E256" s="653">
        <v>200</v>
      </c>
      <c r="F256" s="38">
        <f>EUMATT!E174</f>
        <v>800</v>
      </c>
      <c r="G256" s="38">
        <f t="shared" si="15"/>
        <v>160000</v>
      </c>
      <c r="H256" s="76"/>
    </row>
    <row r="257" spans="1:8" x14ac:dyDescent="0.35">
      <c r="A257" s="476"/>
      <c r="B257" s="653">
        <f>EUMATT!A175</f>
        <v>423</v>
      </c>
      <c r="C257" s="653" t="str">
        <f>EUMATT!B175</f>
        <v>TETANUS TOXOID 0.5ML INJ</v>
      </c>
      <c r="D257" s="654">
        <f>EUMATT!C175</f>
        <v>100</v>
      </c>
      <c r="E257" s="653">
        <v>6</v>
      </c>
      <c r="F257" s="38">
        <f>EUMATT!E175</f>
        <v>14000</v>
      </c>
      <c r="G257" s="38">
        <f t="shared" si="15"/>
        <v>84000</v>
      </c>
      <c r="H257" s="76"/>
    </row>
    <row r="258" spans="1:8" ht="18.75" x14ac:dyDescent="0.3">
      <c r="A258" s="476"/>
      <c r="B258" s="653">
        <f>EUMATT!A177</f>
        <v>531</v>
      </c>
      <c r="C258" s="653" t="str">
        <f>EUMATT!B177</f>
        <v>TIMOLOL/TRAVOPROST 5MG/40MCG</v>
      </c>
      <c r="D258" s="654" t="str">
        <f>EUMATT!C177</f>
        <v>BOTT</v>
      </c>
      <c r="E258" s="653">
        <v>10</v>
      </c>
      <c r="F258" s="38">
        <f>EUMATT!E177</f>
        <v>3350</v>
      </c>
      <c r="G258" s="38">
        <f t="shared" si="15"/>
        <v>33500</v>
      </c>
      <c r="H258" s="35"/>
    </row>
    <row r="259" spans="1:8" ht="18.75" x14ac:dyDescent="0.3">
      <c r="A259" s="476"/>
      <c r="B259" s="653">
        <f>EUMATT!A179</f>
        <v>332</v>
      </c>
      <c r="C259" s="653" t="str">
        <f>EUMATT!B179</f>
        <v>TRANEXAMIC ACID INJ</v>
      </c>
      <c r="D259" s="654">
        <f>EUMATT!C179</f>
        <v>5</v>
      </c>
      <c r="E259" s="653">
        <v>80</v>
      </c>
      <c r="F259" s="38">
        <f>EUMATT!E179</f>
        <v>1380</v>
      </c>
      <c r="G259" s="38">
        <f t="shared" si="15"/>
        <v>110400</v>
      </c>
      <c r="H259" s="35"/>
    </row>
    <row r="260" spans="1:8" s="42" customFormat="1" ht="23.25" x14ac:dyDescent="0.35">
      <c r="A260" s="476"/>
      <c r="B260" s="653">
        <f>EUMATT!A180</f>
        <v>532</v>
      </c>
      <c r="C260" s="653" t="str">
        <f>EUMATT!B180</f>
        <v>TRAVOPROST 40MCG</v>
      </c>
      <c r="D260" s="654" t="str">
        <f>EUMATT!C180</f>
        <v>BOTT</v>
      </c>
      <c r="E260" s="653">
        <v>10</v>
      </c>
      <c r="F260" s="38">
        <f>EUMATT!E180</f>
        <v>3350</v>
      </c>
      <c r="G260" s="38">
        <f t="shared" si="15"/>
        <v>33500</v>
      </c>
      <c r="H260" s="79"/>
    </row>
    <row r="261" spans="1:8" s="42" customFormat="1" ht="18.75" x14ac:dyDescent="0.3">
      <c r="A261" s="476"/>
      <c r="B261" s="653">
        <f>EUMATT!A184</f>
        <v>139</v>
      </c>
      <c r="C261" s="653" t="str">
        <f>EUMATT!B184</f>
        <v>VILDAGLIPTIN 50MG</v>
      </c>
      <c r="D261" s="654">
        <f>EUMATT!C184</f>
        <v>28</v>
      </c>
      <c r="E261" s="653">
        <v>30</v>
      </c>
      <c r="F261" s="38">
        <f>EUMATT!E184</f>
        <v>4500</v>
      </c>
      <c r="G261" s="38">
        <f t="shared" si="15"/>
        <v>135000</v>
      </c>
      <c r="H261" s="38"/>
    </row>
    <row r="262" spans="1:8" s="42" customFormat="1" ht="23.25" x14ac:dyDescent="0.35">
      <c r="A262" s="476"/>
      <c r="B262" s="653">
        <f>EUMATT!A185</f>
        <v>140</v>
      </c>
      <c r="C262" s="653" t="str">
        <f>EUMATT!B185</f>
        <v>VILDAGLIPTIN/METFORMIN 50/1000MG TAB</v>
      </c>
      <c r="D262" s="654">
        <f>EUMATT!C185</f>
        <v>60</v>
      </c>
      <c r="E262" s="653">
        <v>30</v>
      </c>
      <c r="F262" s="38">
        <f>EUMATT!E185</f>
        <v>9500</v>
      </c>
      <c r="G262" s="38">
        <f t="shared" si="15"/>
        <v>285000</v>
      </c>
      <c r="H262" s="79"/>
    </row>
    <row r="263" spans="1:8" s="42" customFormat="1" ht="23.25" x14ac:dyDescent="0.35">
      <c r="A263" s="476"/>
      <c r="B263" s="653">
        <f>EUMATT!A186</f>
        <v>141</v>
      </c>
      <c r="C263" s="653" t="str">
        <f>EUMATT!B186</f>
        <v>VILDAGLIPTIN/METFORMIN 50/500MG TAB</v>
      </c>
      <c r="D263" s="654">
        <f>EUMATT!C186</f>
        <v>60</v>
      </c>
      <c r="E263" s="653">
        <v>30</v>
      </c>
      <c r="F263" s="38">
        <f>EUMATT!E186</f>
        <v>9500</v>
      </c>
      <c r="G263" s="38">
        <f t="shared" si="15"/>
        <v>285000</v>
      </c>
      <c r="H263" s="186"/>
    </row>
    <row r="264" spans="1:8" s="42" customFormat="1" ht="18.75" x14ac:dyDescent="0.3">
      <c r="A264" s="476"/>
      <c r="B264" s="653">
        <f>EUMATT!A188</f>
        <v>339</v>
      </c>
      <c r="C264" s="653" t="str">
        <f>EUMATT!B188</f>
        <v>VITAMIN B COMPLEX SYRUP</v>
      </c>
      <c r="D264" s="654" t="str">
        <f>EUMATT!C188</f>
        <v>BOTT</v>
      </c>
      <c r="E264" s="653">
        <v>250</v>
      </c>
      <c r="F264" s="38">
        <f>EUMATT!E188</f>
        <v>95</v>
      </c>
      <c r="G264" s="38">
        <f t="shared" si="15"/>
        <v>23750</v>
      </c>
      <c r="H264" s="35"/>
    </row>
    <row r="265" spans="1:8" s="42" customFormat="1" ht="23.25" x14ac:dyDescent="0.35">
      <c r="A265" s="476"/>
      <c r="B265" s="653">
        <f>EUMATT!A190</f>
        <v>348</v>
      </c>
      <c r="C265" s="653" t="str">
        <f>EUMATT!B190</f>
        <v>VITAMIN K1</v>
      </c>
      <c r="D265" s="654" t="str">
        <f>EUMATT!C190</f>
        <v>AMP</v>
      </c>
      <c r="E265" s="653">
        <v>500</v>
      </c>
      <c r="F265" s="38">
        <f>EUMATT!E190</f>
        <v>52</v>
      </c>
      <c r="G265" s="38">
        <f t="shared" si="15"/>
        <v>26000</v>
      </c>
      <c r="H265" s="79"/>
    </row>
    <row r="266" spans="1:8" s="42" customFormat="1" ht="23.25" x14ac:dyDescent="0.35">
      <c r="A266" s="476"/>
      <c r="B266" s="653">
        <f>EUMATT!A191</f>
        <v>349</v>
      </c>
      <c r="C266" s="653" t="str">
        <f>EUMATT!B191</f>
        <v>WARFARIN 3MG TAB</v>
      </c>
      <c r="D266" s="654">
        <f>EUMATT!C191</f>
        <v>28</v>
      </c>
      <c r="E266" s="653">
        <v>50</v>
      </c>
      <c r="F266" s="38">
        <f>EUMATT!E191</f>
        <v>420</v>
      </c>
      <c r="G266" s="38">
        <f t="shared" si="15"/>
        <v>21000</v>
      </c>
      <c r="H266" s="186"/>
    </row>
    <row r="267" spans="1:8" s="42" customFormat="1" ht="18.75" x14ac:dyDescent="0.3">
      <c r="A267" s="476"/>
      <c r="B267" s="653">
        <f>EUMATT!A192</f>
        <v>350</v>
      </c>
      <c r="C267" s="653" t="str">
        <f>EUMATT!B192</f>
        <v>WARFARIN 5MG TAB</v>
      </c>
      <c r="D267" s="654">
        <f>EUMATT!C192</f>
        <v>28</v>
      </c>
      <c r="E267" s="653">
        <v>30</v>
      </c>
      <c r="F267" s="38">
        <f>EUMATT!E192</f>
        <v>470</v>
      </c>
      <c r="G267" s="38">
        <f t="shared" si="15"/>
        <v>14100</v>
      </c>
      <c r="H267" s="35"/>
    </row>
    <row r="268" spans="1:8" s="42" customFormat="1" ht="18.75" x14ac:dyDescent="0.3">
      <c r="A268" s="476"/>
      <c r="B268" s="653">
        <f>EUMATT!A193</f>
        <v>536</v>
      </c>
      <c r="C268" s="653" t="str">
        <f>EUMATT!B193</f>
        <v>XYLOMETHAZOLINE NASAL DROP (ADULT)</v>
      </c>
      <c r="D268" s="654" t="str">
        <f>EUMATT!C193</f>
        <v>BOTT</v>
      </c>
      <c r="E268" s="653">
        <v>20</v>
      </c>
      <c r="F268" s="38">
        <f>EUMATT!E193</f>
        <v>1050</v>
      </c>
      <c r="G268" s="38">
        <f t="shared" si="15"/>
        <v>21000</v>
      </c>
      <c r="H268" s="35"/>
    </row>
    <row r="269" spans="1:8" s="42" customFormat="1" ht="23.25" x14ac:dyDescent="0.35">
      <c r="A269" s="476"/>
      <c r="B269" s="653">
        <f>EUMATT!A194</f>
        <v>537</v>
      </c>
      <c r="C269" s="653" t="str">
        <f>EUMATT!B194</f>
        <v>XYLOMETHAZOLINE NASAL DROP (PAED)</v>
      </c>
      <c r="D269" s="654" t="str">
        <f>EUMATT!C194</f>
        <v>BOTT</v>
      </c>
      <c r="E269" s="653">
        <v>10</v>
      </c>
      <c r="F269" s="38">
        <f>EUMATT!E194</f>
        <v>1050</v>
      </c>
      <c r="G269" s="38">
        <f t="shared" si="15"/>
        <v>10500</v>
      </c>
      <c r="H269" s="186">
        <f>SUM(G133:G269)</f>
        <v>21192880</v>
      </c>
    </row>
    <row r="270" spans="1:8" s="42" customFormat="1" ht="18.75" x14ac:dyDescent="0.3">
      <c r="A270" s="476"/>
      <c r="B270" s="653"/>
      <c r="C270" s="653"/>
      <c r="D270" s="654"/>
      <c r="E270" s="653"/>
      <c r="F270" s="38"/>
      <c r="G270" s="38"/>
      <c r="H270" s="35"/>
    </row>
    <row r="271" spans="1:8" s="42" customFormat="1" ht="18.75" x14ac:dyDescent="0.3">
      <c r="A271" s="476"/>
      <c r="B271" s="653"/>
      <c r="C271" s="653"/>
      <c r="D271" s="654"/>
      <c r="E271" s="653"/>
      <c r="F271" s="38"/>
      <c r="G271" s="38"/>
      <c r="H271" s="38"/>
    </row>
    <row r="272" spans="1:8" s="42" customFormat="1" ht="23.25" x14ac:dyDescent="0.35">
      <c r="A272" s="476">
        <v>14</v>
      </c>
      <c r="B272" s="653"/>
      <c r="C272" s="656" t="str">
        <f>FIDSON!B1</f>
        <v>FIDSON HEALTHCARE LIMITED</v>
      </c>
      <c r="D272" s="654"/>
      <c r="E272" s="653"/>
      <c r="F272" s="38"/>
      <c r="G272" s="38"/>
      <c r="H272" s="38"/>
    </row>
    <row r="273" spans="1:8" s="42" customFormat="1" ht="18.75" x14ac:dyDescent="0.3">
      <c r="A273" s="476"/>
      <c r="B273" s="653">
        <f>FIDSON!A6</f>
        <v>19</v>
      </c>
      <c r="C273" s="653" t="str">
        <f>FIDSON!B6</f>
        <v xml:space="preserve">0.9% NORMAL SALINE </v>
      </c>
      <c r="D273" s="654">
        <f>FIDSON!C6</f>
        <v>20</v>
      </c>
      <c r="E273" s="653">
        <v>600</v>
      </c>
      <c r="F273" s="38">
        <f>FIDSON!E6</f>
        <v>2500</v>
      </c>
      <c r="G273" s="38">
        <f t="shared" ref="G273:G290" si="16">E273*F273</f>
        <v>1500000</v>
      </c>
      <c r="H273" s="38"/>
    </row>
    <row r="274" spans="1:8" s="42" customFormat="1" ht="23.25" x14ac:dyDescent="0.35">
      <c r="A274" s="476"/>
      <c r="B274" s="653">
        <f>FIDSON!A10</f>
        <v>25</v>
      </c>
      <c r="C274" s="653" t="str">
        <f>FIDSON!B10</f>
        <v>5% DEXTROSE WATER</v>
      </c>
      <c r="D274" s="654">
        <f>FIDSON!C10</f>
        <v>20</v>
      </c>
      <c r="E274" s="653">
        <v>160</v>
      </c>
      <c r="F274" s="38">
        <f>FIDSON!E10</f>
        <v>2500</v>
      </c>
      <c r="G274" s="38">
        <f t="shared" si="16"/>
        <v>400000</v>
      </c>
      <c r="H274" s="79"/>
    </row>
    <row r="275" spans="1:8" s="42" customFormat="1" ht="18.75" x14ac:dyDescent="0.3">
      <c r="A275" s="476"/>
      <c r="B275" s="653">
        <f>FIDSON!A11</f>
        <v>1</v>
      </c>
      <c r="C275" s="653" t="str">
        <f>FIDSON!B11</f>
        <v>ab-ARTEETHER 150MG INJ</v>
      </c>
      <c r="D275" s="654">
        <f>FIDSON!C11</f>
        <v>3</v>
      </c>
      <c r="E275" s="653">
        <v>525</v>
      </c>
      <c r="F275" s="38">
        <f>FIDSON!E11</f>
        <v>1300</v>
      </c>
      <c r="G275" s="38">
        <f t="shared" si="16"/>
        <v>682500</v>
      </c>
      <c r="H275" s="38"/>
    </row>
    <row r="276" spans="1:8" s="42" customFormat="1" ht="18.75" x14ac:dyDescent="0.3">
      <c r="A276" s="476"/>
      <c r="B276" s="653">
        <f>FIDSON!A13</f>
        <v>28</v>
      </c>
      <c r="C276" s="653" t="str">
        <f>FIDSON!B13</f>
        <v>AMINO ACID INFUSION</v>
      </c>
      <c r="D276" s="654">
        <f>FIDSON!C13</f>
        <v>10</v>
      </c>
      <c r="E276" s="653">
        <v>1</v>
      </c>
      <c r="F276" s="38">
        <f>FIDSON!E13</f>
        <v>2900</v>
      </c>
      <c r="G276" s="38">
        <f t="shared" si="16"/>
        <v>2900</v>
      </c>
      <c r="H276" s="38"/>
    </row>
    <row r="277" spans="1:8" s="42" customFormat="1" ht="18.75" x14ac:dyDescent="0.3">
      <c r="A277" s="476"/>
      <c r="B277" s="653">
        <f>FIDSON!A14</f>
        <v>286</v>
      </c>
      <c r="C277" s="653" t="str">
        <f>FIDSON!B14</f>
        <v>AMINO ACIDS + IRON CAP</v>
      </c>
      <c r="D277" s="654">
        <f>FIDSON!C14</f>
        <v>30</v>
      </c>
      <c r="E277" s="653">
        <v>500</v>
      </c>
      <c r="F277" s="38">
        <f>FIDSON!E14</f>
        <v>1160</v>
      </c>
      <c r="G277" s="38">
        <f t="shared" si="16"/>
        <v>580000</v>
      </c>
      <c r="H277" s="38"/>
    </row>
    <row r="278" spans="1:8" s="42" customFormat="1" ht="18.75" x14ac:dyDescent="0.3">
      <c r="A278" s="476"/>
      <c r="B278" s="653">
        <v>287</v>
      </c>
      <c r="C278" s="653" t="s">
        <v>2194</v>
      </c>
      <c r="D278" s="654" t="s">
        <v>144</v>
      </c>
      <c r="E278" s="653">
        <v>50</v>
      </c>
      <c r="F278" s="38">
        <v>1160</v>
      </c>
      <c r="G278" s="38">
        <f t="shared" si="16"/>
        <v>58000</v>
      </c>
      <c r="H278" s="38"/>
    </row>
    <row r="279" spans="1:8" s="42" customFormat="1" ht="18.75" x14ac:dyDescent="0.3">
      <c r="A279" s="476"/>
      <c r="B279" s="653">
        <f>FIDSON!A16</f>
        <v>288</v>
      </c>
      <c r="C279" s="653" t="str">
        <f>FIDSON!B16</f>
        <v>AMINO ACIDS CAP</v>
      </c>
      <c r="D279" s="654">
        <f>FIDSON!C16</f>
        <v>20</v>
      </c>
      <c r="E279" s="653">
        <v>300</v>
      </c>
      <c r="F279" s="38">
        <f>FIDSON!E16</f>
        <v>1160</v>
      </c>
      <c r="G279" s="38">
        <f t="shared" si="16"/>
        <v>348000</v>
      </c>
      <c r="H279" s="38"/>
    </row>
    <row r="280" spans="1:8" s="42" customFormat="1" ht="18.75" x14ac:dyDescent="0.3">
      <c r="A280" s="476"/>
      <c r="B280" s="653">
        <f>FIDSON!A17</f>
        <v>289</v>
      </c>
      <c r="C280" s="653" t="str">
        <f>FIDSON!B17</f>
        <v>AMINO ACIDS SYR</v>
      </c>
      <c r="D280" s="654" t="str">
        <f>FIDSON!C17</f>
        <v>BOTT</v>
      </c>
      <c r="E280" s="653">
        <v>150</v>
      </c>
      <c r="F280" s="38">
        <f>FIDSON!E17</f>
        <v>1160</v>
      </c>
      <c r="G280" s="38">
        <f t="shared" si="16"/>
        <v>174000</v>
      </c>
      <c r="H280" s="38"/>
    </row>
    <row r="281" spans="1:8" s="42" customFormat="1" ht="18.75" x14ac:dyDescent="0.3">
      <c r="A281" s="476"/>
      <c r="B281" s="653">
        <f>FIDSON!A18</f>
        <v>470</v>
      </c>
      <c r="C281" s="653" t="str">
        <f>FIDSON!B18</f>
        <v>CETIRIZINE SYRUP</v>
      </c>
      <c r="D281" s="654" t="str">
        <f>FIDSON!C18</f>
        <v>BOTT</v>
      </c>
      <c r="E281" s="653">
        <v>15</v>
      </c>
      <c r="F281" s="38">
        <f>FIDSON!E18</f>
        <v>240</v>
      </c>
      <c r="G281" s="38">
        <f t="shared" si="16"/>
        <v>3600</v>
      </c>
      <c r="H281" s="38"/>
    </row>
    <row r="282" spans="1:8" s="42" customFormat="1" ht="18.75" x14ac:dyDescent="0.3">
      <c r="A282" s="476"/>
      <c r="B282" s="653">
        <f>FIDSON!A19</f>
        <v>145</v>
      </c>
      <c r="C282" s="653" t="str">
        <f>FIDSON!B19</f>
        <v>CHONDROITIN SULPHATE/GLUCOSAMINE (FORTE)</v>
      </c>
      <c r="D282" s="654">
        <f>FIDSON!C19</f>
        <v>30</v>
      </c>
      <c r="E282" s="653">
        <v>150</v>
      </c>
      <c r="F282" s="38">
        <f>FIDSON!E19</f>
        <v>2600</v>
      </c>
      <c r="G282" s="38">
        <f t="shared" si="16"/>
        <v>390000</v>
      </c>
      <c r="H282" s="38"/>
    </row>
    <row r="283" spans="1:8" s="42" customFormat="1" ht="23.25" x14ac:dyDescent="0.35">
      <c r="A283" s="476"/>
      <c r="B283" s="653">
        <f>FIDSON!A20</f>
        <v>240</v>
      </c>
      <c r="C283" s="653" t="str">
        <f>FIDSON!B20</f>
        <v>CLOTRIMAZOLE 1% CREAM 20g</v>
      </c>
      <c r="D283" s="654" t="str">
        <f>FIDSON!C20</f>
        <v>TUBE</v>
      </c>
      <c r="E283" s="653">
        <v>175</v>
      </c>
      <c r="F283" s="38">
        <f>FIDSON!E20</f>
        <v>115</v>
      </c>
      <c r="G283" s="38">
        <f t="shared" si="16"/>
        <v>20125</v>
      </c>
      <c r="H283" s="186"/>
    </row>
    <row r="284" spans="1:8" s="42" customFormat="1" ht="18.75" x14ac:dyDescent="0.3">
      <c r="A284" s="476"/>
      <c r="B284" s="653">
        <f>FIDSON!A22</f>
        <v>285</v>
      </c>
      <c r="C284" s="653" t="str">
        <f>FIDSON!B22</f>
        <v>FERROUS FUMARATE/FOLIC ACID/VIT.B12</v>
      </c>
      <c r="D284" s="654">
        <f>FIDSON!C22</f>
        <v>30</v>
      </c>
      <c r="E284" s="653">
        <v>150</v>
      </c>
      <c r="F284" s="38">
        <f>FIDSON!E22</f>
        <v>340</v>
      </c>
      <c r="G284" s="38">
        <f t="shared" si="16"/>
        <v>51000</v>
      </c>
      <c r="H284" s="35"/>
    </row>
    <row r="285" spans="1:8" s="42" customFormat="1" ht="18.75" x14ac:dyDescent="0.3">
      <c r="A285" s="476"/>
      <c r="B285" s="653">
        <f>FIDSON!A24</f>
        <v>264</v>
      </c>
      <c r="C285" s="653" t="str">
        <f>FIDSON!B24</f>
        <v>METRONIDAZOLE 200MG TAB</v>
      </c>
      <c r="D285" s="654">
        <f>FIDSON!C24</f>
        <v>100</v>
      </c>
      <c r="E285" s="653">
        <v>100</v>
      </c>
      <c r="F285" s="38">
        <f>FIDSON!E24</f>
        <v>220</v>
      </c>
      <c r="G285" s="38">
        <f t="shared" si="16"/>
        <v>22000</v>
      </c>
      <c r="H285" s="35"/>
    </row>
    <row r="286" spans="1:8" s="42" customFormat="1" ht="18.75" x14ac:dyDescent="0.3">
      <c r="A286" s="476"/>
      <c r="B286" s="653">
        <f>FIDSON!A25</f>
        <v>266</v>
      </c>
      <c r="C286" s="653" t="str">
        <f>FIDSON!B25</f>
        <v xml:space="preserve">METRONIDAZOLE INJ </v>
      </c>
      <c r="D286" s="654" t="str">
        <f>FIDSON!C25</f>
        <v>BOTT</v>
      </c>
      <c r="E286" s="653">
        <v>1800</v>
      </c>
      <c r="F286" s="38">
        <f>FIDSON!E25</f>
        <v>95</v>
      </c>
      <c r="G286" s="38">
        <f t="shared" si="16"/>
        <v>171000</v>
      </c>
      <c r="H286" s="38"/>
    </row>
    <row r="287" spans="1:8" s="42" customFormat="1" ht="18.75" x14ac:dyDescent="0.3">
      <c r="A287" s="476"/>
      <c r="B287" s="653">
        <f>FIDSON!A26</f>
        <v>315</v>
      </c>
      <c r="C287" s="653" t="str">
        <f>FIDSON!B26</f>
        <v>MULTIVITE SYRUP</v>
      </c>
      <c r="D287" s="654" t="str">
        <f>FIDSON!C26</f>
        <v>BOTT</v>
      </c>
      <c r="E287" s="653">
        <v>200</v>
      </c>
      <c r="F287" s="38">
        <f>FIDSON!E26</f>
        <v>120</v>
      </c>
      <c r="G287" s="38">
        <f t="shared" si="16"/>
        <v>24000</v>
      </c>
      <c r="H287" s="38"/>
    </row>
    <row r="288" spans="1:8" s="42" customFormat="1" ht="18.75" x14ac:dyDescent="0.3">
      <c r="A288" s="476"/>
      <c r="B288" s="653">
        <v>22</v>
      </c>
      <c r="C288" s="653" t="s">
        <v>2195</v>
      </c>
      <c r="D288" s="654">
        <v>20</v>
      </c>
      <c r="E288" s="653">
        <v>5</v>
      </c>
      <c r="F288" s="38">
        <v>7800</v>
      </c>
      <c r="G288" s="38">
        <f t="shared" si="16"/>
        <v>39000</v>
      </c>
      <c r="H288" s="674"/>
    </row>
    <row r="289" spans="1:8" s="42" customFormat="1" ht="18.75" x14ac:dyDescent="0.3">
      <c r="A289" s="476"/>
      <c r="B289" s="653">
        <f>FIDSON!A27</f>
        <v>468</v>
      </c>
      <c r="C289" s="653" t="str">
        <f>FIDSON!B27</f>
        <v>SALBUTAMOL SYRUP</v>
      </c>
      <c r="D289" s="654" t="str">
        <f>FIDSON!C27</f>
        <v>BOTT</v>
      </c>
      <c r="E289" s="653">
        <v>30</v>
      </c>
      <c r="F289" s="38">
        <f>FIDSON!E27</f>
        <v>200</v>
      </c>
      <c r="G289" s="38">
        <f t="shared" si="16"/>
        <v>6000</v>
      </c>
    </row>
    <row r="290" spans="1:8" s="42" customFormat="1" ht="23.25" x14ac:dyDescent="0.35">
      <c r="A290" s="476"/>
      <c r="B290" s="653">
        <f>FIDSON!A28</f>
        <v>395</v>
      </c>
      <c r="C290" s="653" t="str">
        <f>FIDSON!B28</f>
        <v>VIGOMAX TAB</v>
      </c>
      <c r="D290" s="654">
        <f>FIDSON!C28</f>
        <v>20</v>
      </c>
      <c r="E290" s="653">
        <v>13</v>
      </c>
      <c r="F290" s="38">
        <f>FIDSON!E28</f>
        <v>2300</v>
      </c>
      <c r="G290" s="38">
        <f t="shared" si="16"/>
        <v>29900</v>
      </c>
      <c r="H290" s="186">
        <f>SUM(G273:G290)</f>
        <v>4502025</v>
      </c>
    </row>
    <row r="291" spans="1:8" s="42" customFormat="1" ht="18.75" x14ac:dyDescent="0.3">
      <c r="A291" s="476"/>
      <c r="B291" s="653"/>
      <c r="C291" s="653"/>
      <c r="D291" s="654"/>
      <c r="E291" s="653"/>
      <c r="F291" s="38"/>
      <c r="G291" s="38"/>
      <c r="H291" s="38"/>
    </row>
    <row r="292" spans="1:8" s="42" customFormat="1" ht="23.25" x14ac:dyDescent="0.35">
      <c r="A292" s="476">
        <v>15</v>
      </c>
      <c r="B292" s="653"/>
      <c r="C292" s="656" t="str">
        <f>FGLOBAL!B1</f>
        <v>FIRST CHOICE GLOBAL UTILITIES LIMITED</v>
      </c>
      <c r="D292" s="654"/>
      <c r="E292" s="653"/>
      <c r="F292" s="38"/>
      <c r="G292" s="38"/>
      <c r="H292" s="38"/>
    </row>
    <row r="293" spans="1:8" s="42" customFormat="1" ht="18.75" x14ac:dyDescent="0.3">
      <c r="A293" s="476"/>
      <c r="B293" s="653">
        <f>FGLOBAL!A6</f>
        <v>622</v>
      </c>
      <c r="C293" s="653" t="str">
        <f>FGLOBAL!B6</f>
        <v>PLASTER 1" (2.5CM X 9.1M) TRANSPARENT</v>
      </c>
      <c r="D293" s="654">
        <f>FGLOBAL!C6</f>
        <v>12</v>
      </c>
      <c r="E293" s="653">
        <v>168</v>
      </c>
      <c r="F293" s="38">
        <f>FGLOBAL!E6</f>
        <v>4800</v>
      </c>
      <c r="G293" s="38">
        <f t="shared" ref="G293:G296" si="17">E293*F293</f>
        <v>806400</v>
      </c>
      <c r="H293" s="38"/>
    </row>
    <row r="294" spans="1:8" s="42" customFormat="1" ht="18.75" x14ac:dyDescent="0.3">
      <c r="A294" s="476"/>
      <c r="B294" s="653">
        <f>FGLOBAL!A7</f>
        <v>626</v>
      </c>
      <c r="C294" s="653" t="str">
        <f>FGLOBAL!B7</f>
        <v>PLASTER 2" (5CM X 9.1M) BROWN</v>
      </c>
      <c r="D294" s="654">
        <f>FGLOBAL!C7</f>
        <v>5</v>
      </c>
      <c r="E294" s="653">
        <v>11</v>
      </c>
      <c r="F294" s="38">
        <f>FGLOBAL!E7</f>
        <v>3800</v>
      </c>
      <c r="G294" s="38">
        <f t="shared" si="17"/>
        <v>41800</v>
      </c>
      <c r="H294" s="38"/>
    </row>
    <row r="295" spans="1:8" s="42" customFormat="1" ht="18.75" x14ac:dyDescent="0.3">
      <c r="A295" s="476"/>
      <c r="B295" s="653">
        <f>FGLOBAL!A9</f>
        <v>624</v>
      </c>
      <c r="C295" s="653" t="str">
        <f>FGLOBAL!B9</f>
        <v>PLASTER 3"(7.5CM X 9.1M) - DURAPORE</v>
      </c>
      <c r="D295" s="654">
        <f>FGLOBAL!C9</f>
        <v>4</v>
      </c>
      <c r="E295" s="653">
        <v>25</v>
      </c>
      <c r="F295" s="38">
        <f>FGLOBAL!E9</f>
        <v>7500</v>
      </c>
      <c r="G295" s="38">
        <f t="shared" si="17"/>
        <v>187500</v>
      </c>
      <c r="H295" s="38"/>
    </row>
    <row r="296" spans="1:8" s="42" customFormat="1" ht="23.25" x14ac:dyDescent="0.35">
      <c r="A296" s="476"/>
      <c r="B296" s="653">
        <f>FGLOBAL!A10</f>
        <v>627</v>
      </c>
      <c r="C296" s="653" t="str">
        <f>FGLOBAL!B10</f>
        <v>PLASTER 3"(7.5CM X 9.1M) BROWN</v>
      </c>
      <c r="D296" s="654">
        <f>FGLOBAL!C10</f>
        <v>5</v>
      </c>
      <c r="E296" s="653">
        <v>18</v>
      </c>
      <c r="F296" s="38">
        <f>FGLOBAL!E10</f>
        <v>2700</v>
      </c>
      <c r="G296" s="38">
        <f t="shared" si="17"/>
        <v>48600</v>
      </c>
      <c r="H296" s="186">
        <f>SUM(G293:G296)</f>
        <v>1084300</v>
      </c>
    </row>
    <row r="297" spans="1:8" s="42" customFormat="1" ht="18.75" x14ac:dyDescent="0.3">
      <c r="A297" s="476"/>
      <c r="B297" s="653"/>
      <c r="C297" s="653"/>
      <c r="D297" s="654"/>
      <c r="E297" s="653"/>
      <c r="F297" s="38"/>
      <c r="G297" s="38"/>
      <c r="H297" s="38"/>
    </row>
    <row r="298" spans="1:8" s="42" customFormat="1" ht="23.25" x14ac:dyDescent="0.35">
      <c r="A298" s="476">
        <v>16</v>
      </c>
      <c r="B298" s="653"/>
      <c r="C298" s="656" t="str">
        <f>GENEITH!B1</f>
        <v>GENEITH PHARMACEUTICALS LIMITED</v>
      </c>
      <c r="D298" s="654"/>
      <c r="E298" s="653"/>
      <c r="F298" s="38"/>
      <c r="G298" s="38"/>
      <c r="H298" s="38"/>
    </row>
    <row r="299" spans="1:8" s="42" customFormat="1" ht="18.75" x14ac:dyDescent="0.3">
      <c r="A299" s="476"/>
      <c r="B299" s="653">
        <f>GENEITH!A6</f>
        <v>5</v>
      </c>
      <c r="C299" s="653" t="str">
        <f>GENEITH!B6</f>
        <v>ARTEMETHER/LUMEFANTRINE (80/480) SOFT GEL</v>
      </c>
      <c r="D299" s="654">
        <f>GENEITH!C6</f>
        <v>6</v>
      </c>
      <c r="E299" s="653">
        <v>125</v>
      </c>
      <c r="F299" s="38">
        <f>GENEITH!E6</f>
        <v>550</v>
      </c>
      <c r="G299" s="38">
        <f t="shared" ref="G299:G302" si="18">E299*F299</f>
        <v>68750</v>
      </c>
      <c r="H299" s="38"/>
    </row>
    <row r="300" spans="1:8" s="42" customFormat="1" ht="23.25" x14ac:dyDescent="0.35">
      <c r="A300" s="476"/>
      <c r="B300" s="653">
        <f>GENEITH!A7</f>
        <v>247</v>
      </c>
      <c r="C300" s="653" t="str">
        <f>GENEITH!B7</f>
        <v>ERYTHROMYCIN 125MG/5ML SUSP</v>
      </c>
      <c r="D300" s="654" t="str">
        <f>GENEITH!C7</f>
        <v>BOTT</v>
      </c>
      <c r="E300" s="653">
        <v>100</v>
      </c>
      <c r="F300" s="38">
        <f>GENEITH!E7</f>
        <v>400</v>
      </c>
      <c r="G300" s="38">
        <f t="shared" si="18"/>
        <v>40000</v>
      </c>
      <c r="H300" s="186"/>
    </row>
    <row r="301" spans="1:8" s="42" customFormat="1" ht="18.75" x14ac:dyDescent="0.3">
      <c r="A301" s="476"/>
      <c r="B301" s="653">
        <f>GENEITH!A8</f>
        <v>394</v>
      </c>
      <c r="C301" s="653" t="str">
        <f>GENEITH!B8</f>
        <v>TADALAFIL</v>
      </c>
      <c r="D301" s="654">
        <f>GENEITH!C8</f>
        <v>4</v>
      </c>
      <c r="E301" s="653">
        <v>30</v>
      </c>
      <c r="F301" s="38">
        <f>GENEITH!E8</f>
        <v>495</v>
      </c>
      <c r="G301" s="38">
        <f t="shared" si="18"/>
        <v>14850</v>
      </c>
      <c r="H301" s="35"/>
    </row>
    <row r="302" spans="1:8" s="42" customFormat="1" ht="23.25" x14ac:dyDescent="0.35">
      <c r="A302" s="476"/>
      <c r="B302" s="653">
        <f>GENEITH!A9</f>
        <v>192</v>
      </c>
      <c r="C302" s="653" t="str">
        <f>GENEITH!B9</f>
        <v>TRAMADOL 100MG INJ</v>
      </c>
      <c r="D302" s="654">
        <f>GENEITH!C9</f>
        <v>100</v>
      </c>
      <c r="E302" s="653">
        <v>1</v>
      </c>
      <c r="F302" s="38">
        <f>GENEITH!E9</f>
        <v>4500</v>
      </c>
      <c r="G302" s="38">
        <f t="shared" si="18"/>
        <v>4500</v>
      </c>
      <c r="H302" s="186">
        <f>SUM(G299:G302)</f>
        <v>128100</v>
      </c>
    </row>
    <row r="303" spans="1:8" s="42" customFormat="1" ht="18.75" x14ac:dyDescent="0.3">
      <c r="A303" s="476"/>
      <c r="B303" s="653"/>
      <c r="C303" s="653"/>
      <c r="D303" s="654"/>
      <c r="E303" s="653"/>
      <c r="F303" s="38"/>
      <c r="G303" s="38"/>
      <c r="H303" s="35"/>
    </row>
    <row r="304" spans="1:8" s="42" customFormat="1" ht="18.75" x14ac:dyDescent="0.3">
      <c r="A304" s="476"/>
      <c r="B304" s="653"/>
      <c r="C304" s="653"/>
      <c r="D304" s="654"/>
      <c r="E304" s="653"/>
      <c r="F304" s="38"/>
      <c r="G304" s="38"/>
      <c r="H304" s="35"/>
    </row>
    <row r="305" spans="1:8" s="42" customFormat="1" ht="23.25" x14ac:dyDescent="0.35">
      <c r="A305" s="476">
        <v>17</v>
      </c>
      <c r="B305" s="653"/>
      <c r="C305" s="656" t="str">
        <f>GSK!B1</f>
        <v>GLAXOSMITHKLINE PHARM. LTD</v>
      </c>
      <c r="D305" s="654"/>
      <c r="E305" s="653"/>
      <c r="F305" s="38"/>
      <c r="G305" s="38"/>
      <c r="H305" s="38"/>
    </row>
    <row r="306" spans="1:8" s="42" customFormat="1" ht="23.25" x14ac:dyDescent="0.35">
      <c r="A306" s="476"/>
      <c r="B306" s="653">
        <f>GSK!A6</f>
        <v>202</v>
      </c>
      <c r="C306" s="653" t="str">
        <f>GSK!B6</f>
        <v>AMOXICILLIN/CLAVULANIC ACID  228MG/5ML</v>
      </c>
      <c r="D306" s="654" t="str">
        <f>GSK!C6</f>
        <v>BOTT</v>
      </c>
      <c r="E306" s="653">
        <v>50</v>
      </c>
      <c r="F306" s="38">
        <f>GSK!E6</f>
        <v>638</v>
      </c>
      <c r="G306" s="38">
        <f t="shared" ref="G306:G314" si="19">E306*F306</f>
        <v>31900</v>
      </c>
      <c r="H306" s="79"/>
    </row>
    <row r="307" spans="1:8" s="42" customFormat="1" ht="18.75" x14ac:dyDescent="0.3">
      <c r="A307" s="476"/>
      <c r="B307" s="653">
        <f>GSK!A7</f>
        <v>208</v>
      </c>
      <c r="C307" s="653" t="str">
        <f>GSK!B7</f>
        <v>AMOXICILLIN/CLAVULANIC ACID 625MG TAB</v>
      </c>
      <c r="D307" s="654">
        <v>14</v>
      </c>
      <c r="E307" s="653">
        <v>600</v>
      </c>
      <c r="F307" s="38">
        <f>GSK!E7</f>
        <v>1097.5899999999999</v>
      </c>
      <c r="G307" s="38">
        <f t="shared" si="19"/>
        <v>658554</v>
      </c>
      <c r="H307" s="38"/>
    </row>
    <row r="308" spans="1:8" s="42" customFormat="1" ht="18.75" x14ac:dyDescent="0.3">
      <c r="A308" s="476"/>
      <c r="B308" s="653">
        <f>GSK!A9</f>
        <v>232</v>
      </c>
      <c r="C308" s="653" t="str">
        <f>GSK!B9</f>
        <v>CEFUROXIME 750MG INJ</v>
      </c>
      <c r="D308" s="654" t="str">
        <f>GSK!C9</f>
        <v>VIAL</v>
      </c>
      <c r="E308" s="653">
        <v>1500</v>
      </c>
      <c r="F308" s="38">
        <f>GSK!E9</f>
        <v>881.2639999999999</v>
      </c>
      <c r="G308" s="38">
        <f t="shared" si="19"/>
        <v>1321895.9999999998</v>
      </c>
      <c r="H308" s="38"/>
    </row>
    <row r="309" spans="1:8" s="42" customFormat="1" ht="23.25" x14ac:dyDescent="0.35">
      <c r="A309" s="476"/>
      <c r="B309" s="653">
        <f>GSK!A10</f>
        <v>234</v>
      </c>
      <c r="C309" s="653" t="str">
        <f>GSK!B10</f>
        <v>CEFUROXIME SUSPENSION 250MG/5ML (100ML)</v>
      </c>
      <c r="D309" s="654" t="str">
        <f>GSK!C10</f>
        <v>BOTT</v>
      </c>
      <c r="E309" s="653">
        <v>75</v>
      </c>
      <c r="F309" s="38">
        <f>GSK!E10</f>
        <v>1097.3599999999999</v>
      </c>
      <c r="G309" s="38">
        <f t="shared" si="19"/>
        <v>82301.999999999985</v>
      </c>
      <c r="H309" s="186"/>
    </row>
    <row r="310" spans="1:8" s="42" customFormat="1" ht="18.75" x14ac:dyDescent="0.3">
      <c r="A310" s="476"/>
      <c r="B310" s="653">
        <f>GSK!A11</f>
        <v>691</v>
      </c>
      <c r="C310" s="653" t="str">
        <f>GSK!B11</f>
        <v>DUTASTERIDE+TAMSULOSIN   0.5MG/0.4MG</v>
      </c>
      <c r="D310" s="654">
        <f>GSK!C11</f>
        <v>30</v>
      </c>
      <c r="E310" s="653">
        <v>5</v>
      </c>
      <c r="F310" s="38">
        <f>GSK!E11</f>
        <v>5493.76</v>
      </c>
      <c r="G310" s="38">
        <f t="shared" si="19"/>
        <v>27468.800000000003</v>
      </c>
      <c r="H310" s="35"/>
    </row>
    <row r="311" spans="1:8" s="42" customFormat="1" ht="18.75" x14ac:dyDescent="0.3">
      <c r="A311" s="476"/>
      <c r="B311" s="653">
        <f>GSK!A12</f>
        <v>458</v>
      </c>
      <c r="C311" s="653" t="str">
        <f>GSK!B12</f>
        <v>FLUTICASONE FUROATE NASAL SPRAY</v>
      </c>
      <c r="D311" s="654" t="str">
        <f>GSK!C12</f>
        <v>PCS</v>
      </c>
      <c r="E311" s="653">
        <v>25</v>
      </c>
      <c r="F311" s="38">
        <f>GSK!E12</f>
        <v>1550.92</v>
      </c>
      <c r="G311" s="38">
        <f t="shared" si="19"/>
        <v>38773</v>
      </c>
      <c r="H311" s="35"/>
    </row>
    <row r="312" spans="1:8" s="42" customFormat="1" ht="18.75" x14ac:dyDescent="0.3">
      <c r="A312" s="476"/>
      <c r="B312" s="653">
        <f>GSK!A14</f>
        <v>460</v>
      </c>
      <c r="C312" s="653" t="str">
        <f>GSK!B14</f>
        <v>FLUTICASONE/SALMETEROL (SERETIDE EVOHALER)</v>
      </c>
      <c r="D312" s="654" t="str">
        <f>GSK!C14</f>
        <v>PCS</v>
      </c>
      <c r="E312" s="653">
        <v>13</v>
      </c>
      <c r="F312" s="38">
        <f>GSK!E14</f>
        <v>1415.2</v>
      </c>
      <c r="G312" s="38">
        <f t="shared" si="19"/>
        <v>18397.600000000002</v>
      </c>
      <c r="H312" s="38"/>
    </row>
    <row r="313" spans="1:8" s="42" customFormat="1" ht="18.75" x14ac:dyDescent="0.3">
      <c r="A313" s="476"/>
      <c r="B313" s="653">
        <f>GSK!A15</f>
        <v>461</v>
      </c>
      <c r="C313" s="653" t="str">
        <f>GSK!B15</f>
        <v>FLUTICASONE+SALMETEROL (ADULT)</v>
      </c>
      <c r="D313" s="654" t="str">
        <f>GSK!C15</f>
        <v>PCS</v>
      </c>
      <c r="E313" s="653">
        <v>40</v>
      </c>
      <c r="F313" s="38">
        <f>GSK!E15</f>
        <v>3542.64</v>
      </c>
      <c r="G313" s="38">
        <f t="shared" si="19"/>
        <v>141705.60000000001</v>
      </c>
      <c r="H313" s="38"/>
    </row>
    <row r="314" spans="1:8" s="42" customFormat="1" ht="23.25" x14ac:dyDescent="0.35">
      <c r="A314" s="476"/>
      <c r="B314" s="653">
        <f>GSK!A16</f>
        <v>465</v>
      </c>
      <c r="C314" s="653" t="str">
        <f>GSK!B16</f>
        <v>SALBUTAMOL INHALER</v>
      </c>
      <c r="D314" s="654" t="str">
        <f>GSK!C16</f>
        <v>PCS</v>
      </c>
      <c r="E314" s="653">
        <v>60</v>
      </c>
      <c r="F314" s="38">
        <f>GSK!E16</f>
        <v>1155.3599999999999</v>
      </c>
      <c r="G314" s="38">
        <f t="shared" si="19"/>
        <v>69321.599999999991</v>
      </c>
      <c r="H314" s="186">
        <f>SUM(G306:G314)</f>
        <v>2390318.6</v>
      </c>
    </row>
    <row r="315" spans="1:8" s="42" customFormat="1" ht="18.75" x14ac:dyDescent="0.3">
      <c r="A315" s="476"/>
      <c r="B315" s="653"/>
      <c r="C315" s="653"/>
      <c r="D315" s="654"/>
      <c r="E315" s="653"/>
      <c r="F315" s="38"/>
      <c r="G315" s="38"/>
      <c r="H315" s="38"/>
    </row>
    <row r="316" spans="1:8" s="42" customFormat="1" ht="23.25" x14ac:dyDescent="0.35">
      <c r="A316" s="476">
        <v>18</v>
      </c>
      <c r="B316" s="653"/>
      <c r="C316" s="656" t="str">
        <f>GLOBORG!B1</f>
        <v>GLOBAL ORGANICS LIMITED</v>
      </c>
      <c r="D316" s="654"/>
      <c r="E316" s="653"/>
      <c r="F316" s="38"/>
      <c r="G316" s="38"/>
      <c r="H316" s="38"/>
    </row>
    <row r="317" spans="1:8" s="42" customFormat="1" ht="18.75" x14ac:dyDescent="0.3">
      <c r="A317" s="476"/>
      <c r="B317" s="653">
        <f>GLOBORG!A8</f>
        <v>266</v>
      </c>
      <c r="C317" s="653" t="str">
        <f>GLOBORG!B8</f>
        <v xml:space="preserve">METRONIDAZOLE INJ </v>
      </c>
      <c r="D317" s="654" t="str">
        <f>GLOBORG!C8</f>
        <v>BOTT</v>
      </c>
      <c r="E317" s="653">
        <v>4200</v>
      </c>
      <c r="F317" s="38">
        <f>GLOBORG!E8</f>
        <v>88</v>
      </c>
      <c r="G317" s="38">
        <f t="shared" ref="G317:G320" si="20">E317*F317</f>
        <v>369600</v>
      </c>
      <c r="H317" s="35"/>
    </row>
    <row r="318" spans="1:8" s="42" customFormat="1" ht="18.75" x14ac:dyDescent="0.3">
      <c r="A318" s="476"/>
      <c r="B318" s="653">
        <f>GLOBORG!A9</f>
        <v>440</v>
      </c>
      <c r="C318" s="653" t="str">
        <f>GLOBORG!B9</f>
        <v>OMEPRAZOLE 20MG CAP</v>
      </c>
      <c r="D318" s="654">
        <f>GLOBORG!C9</f>
        <v>14</v>
      </c>
      <c r="E318" s="653">
        <v>2000</v>
      </c>
      <c r="F318" s="38">
        <f>GLOBORG!E9</f>
        <v>120</v>
      </c>
      <c r="G318" s="38">
        <f t="shared" si="20"/>
        <v>240000</v>
      </c>
      <c r="H318" s="35"/>
    </row>
    <row r="319" spans="1:8" s="42" customFormat="1" ht="23.25" x14ac:dyDescent="0.35">
      <c r="A319" s="476"/>
      <c r="B319" s="653">
        <f>GLOBORG!A10</f>
        <v>182</v>
      </c>
      <c r="C319" s="653" t="str">
        <f>GLOBORG!B10</f>
        <v>PARACETAMOL INFUSION</v>
      </c>
      <c r="D319" s="654" t="str">
        <f>GLOBORG!C10</f>
        <v>BOTT</v>
      </c>
      <c r="E319" s="653">
        <v>3750</v>
      </c>
      <c r="F319" s="38">
        <f>GLOBORG!E10</f>
        <v>380</v>
      </c>
      <c r="G319" s="38">
        <f t="shared" si="20"/>
        <v>1425000</v>
      </c>
      <c r="H319" s="79"/>
    </row>
    <row r="320" spans="1:8" s="42" customFormat="1" ht="23.25" x14ac:dyDescent="0.35">
      <c r="A320" s="476"/>
      <c r="B320" s="653">
        <f>GLOBORG!A11</f>
        <v>33</v>
      </c>
      <c r="C320" s="653" t="str">
        <f>GLOBORG!B11</f>
        <v>STERILE WATER FOR INJECTION</v>
      </c>
      <c r="D320" s="654">
        <f>GLOBORG!C11</f>
        <v>50</v>
      </c>
      <c r="E320" s="653">
        <v>600</v>
      </c>
      <c r="F320" s="38">
        <f>GLOBORG!E11</f>
        <v>750</v>
      </c>
      <c r="G320" s="38">
        <f t="shared" si="20"/>
        <v>450000</v>
      </c>
      <c r="H320" s="186">
        <f>SUM(G317:G320)</f>
        <v>2484600</v>
      </c>
    </row>
    <row r="321" spans="1:8" s="42" customFormat="1" ht="18.75" x14ac:dyDescent="0.3">
      <c r="A321" s="476"/>
      <c r="B321" s="653"/>
      <c r="C321" s="653"/>
      <c r="D321" s="654"/>
      <c r="E321" s="653"/>
      <c r="F321" s="38"/>
      <c r="G321" s="38"/>
      <c r="H321" s="38"/>
    </row>
    <row r="322" spans="1:8" s="42" customFormat="1" ht="23.25" x14ac:dyDescent="0.35">
      <c r="A322" s="476">
        <v>19</v>
      </c>
      <c r="B322" s="653"/>
      <c r="C322" s="656" t="str">
        <f>GREENLIFE!B1</f>
        <v>GREENLIFE PHARMACEUTICALS LIMITED</v>
      </c>
      <c r="D322" s="654"/>
      <c r="E322" s="653"/>
      <c r="F322" s="38"/>
      <c r="G322" s="38"/>
      <c r="H322" s="38"/>
    </row>
    <row r="323" spans="1:8" s="42" customFormat="1" ht="23.25" x14ac:dyDescent="0.35">
      <c r="A323" s="476"/>
      <c r="B323" s="653">
        <f>GREENLIFE!A6</f>
        <v>202</v>
      </c>
      <c r="C323" s="653" t="str">
        <f>GREENLIFE!B6</f>
        <v>AMOXICILLIN/CLAVULANIC ACID  228MG/5ML</v>
      </c>
      <c r="D323" s="654" t="str">
        <f>GREENLIFE!C6</f>
        <v>BOTT</v>
      </c>
      <c r="E323" s="653">
        <v>100</v>
      </c>
      <c r="F323" s="38">
        <f>GREENLIFE!E6</f>
        <v>450</v>
      </c>
      <c r="G323" s="38">
        <f t="shared" ref="G323:G330" si="21">E323*F323</f>
        <v>45000</v>
      </c>
      <c r="H323" s="186"/>
    </row>
    <row r="324" spans="1:8" s="42" customFormat="1" ht="18.75" x14ac:dyDescent="0.3">
      <c r="A324" s="476"/>
      <c r="B324" s="653">
        <f>GREENLIFE!A8</f>
        <v>293</v>
      </c>
      <c r="C324" s="653" t="str">
        <f>GREENLIFE!B8</f>
        <v>CALCIUM LACTATE 300MG TAB</v>
      </c>
      <c r="D324" s="654">
        <f>GREENLIFE!C8</f>
        <v>1000</v>
      </c>
      <c r="E324" s="653">
        <v>13</v>
      </c>
      <c r="F324" s="38">
        <f>GREENLIFE!E8</f>
        <v>750</v>
      </c>
      <c r="G324" s="38">
        <f t="shared" si="21"/>
        <v>9750</v>
      </c>
      <c r="H324" s="35"/>
    </row>
    <row r="325" spans="1:8" s="42" customFormat="1" ht="18.75" x14ac:dyDescent="0.3">
      <c r="A325" s="476"/>
      <c r="B325" s="653">
        <f>GREENLIFE!A9</f>
        <v>220</v>
      </c>
      <c r="C325" s="653" t="str">
        <f>GREENLIFE!B9</f>
        <v>CEFIXIME 200MG TAB</v>
      </c>
      <c r="D325" s="654">
        <f>GREENLIFE!C9</f>
        <v>10</v>
      </c>
      <c r="E325" s="653">
        <v>100</v>
      </c>
      <c r="F325" s="38">
        <f>GREENLIFE!E9</f>
        <v>550</v>
      </c>
      <c r="G325" s="38">
        <f t="shared" si="21"/>
        <v>55000</v>
      </c>
      <c r="H325" s="38"/>
    </row>
    <row r="326" spans="1:8" s="42" customFormat="1" ht="18.75" x14ac:dyDescent="0.3">
      <c r="A326" s="476"/>
      <c r="B326" s="653">
        <f>GREENLIFE!A12</f>
        <v>156</v>
      </c>
      <c r="C326" s="653" t="str">
        <f>GREENLIFE!B12</f>
        <v xml:space="preserve">DICLOFENAC/METHYL SALICYLATE CREAM </v>
      </c>
      <c r="D326" s="654" t="str">
        <f>GREENLIFE!C12</f>
        <v>TUBE</v>
      </c>
      <c r="E326" s="653">
        <v>200</v>
      </c>
      <c r="F326" s="38">
        <f>GREENLIFE!E12</f>
        <v>190</v>
      </c>
      <c r="G326" s="38">
        <f t="shared" si="21"/>
        <v>38000</v>
      </c>
      <c r="H326" s="38"/>
    </row>
    <row r="327" spans="1:8" s="42" customFormat="1" ht="18.75" x14ac:dyDescent="0.3">
      <c r="A327" s="476"/>
      <c r="B327" s="653">
        <f>GREENLIFE!A13</f>
        <v>320</v>
      </c>
      <c r="C327" s="653" t="str">
        <f>GREENLIFE!B13</f>
        <v>ORAL REHYDRATION SALT</v>
      </c>
      <c r="D327" s="654">
        <f>GREENLIFE!C13</f>
        <v>3</v>
      </c>
      <c r="E327" s="653">
        <v>300</v>
      </c>
      <c r="F327" s="38">
        <f>GREENLIFE!E13</f>
        <v>107</v>
      </c>
      <c r="G327" s="38">
        <f t="shared" si="21"/>
        <v>32100</v>
      </c>
      <c r="H327" s="38"/>
    </row>
    <row r="328" spans="1:8" s="42" customFormat="1" ht="18.75" x14ac:dyDescent="0.3">
      <c r="A328" s="476"/>
      <c r="B328" s="653">
        <f>GREENLIFE!A14</f>
        <v>179</v>
      </c>
      <c r="C328" s="653" t="str">
        <f>GREENLIFE!B14</f>
        <v>PARACETAMOL 125MG SUPPOSITORY</v>
      </c>
      <c r="D328" s="654">
        <f>GREENLIFE!C14</f>
        <v>10</v>
      </c>
      <c r="E328" s="653">
        <v>100</v>
      </c>
      <c r="F328" s="38">
        <f>GREENLIFE!E14</f>
        <v>600</v>
      </c>
      <c r="G328" s="38">
        <f t="shared" si="21"/>
        <v>60000</v>
      </c>
      <c r="H328" s="38"/>
    </row>
    <row r="329" spans="1:8" s="42" customFormat="1" ht="18.75" x14ac:dyDescent="0.3">
      <c r="A329" s="476"/>
      <c r="B329" s="653">
        <f>GREENLIFE!A15</f>
        <v>180</v>
      </c>
      <c r="C329" s="653" t="str">
        <f>GREENLIFE!B15</f>
        <v>PARACETAMOL 250MG SUPPOSITORY</v>
      </c>
      <c r="D329" s="654">
        <f>GREENLIFE!C15</f>
        <v>10</v>
      </c>
      <c r="E329" s="653">
        <v>100</v>
      </c>
      <c r="F329" s="38">
        <f>GREENLIFE!E15</f>
        <v>650</v>
      </c>
      <c r="G329" s="38">
        <f t="shared" si="21"/>
        <v>65000</v>
      </c>
      <c r="H329" s="38"/>
    </row>
    <row r="330" spans="1:8" s="42" customFormat="1" ht="23.25" x14ac:dyDescent="0.35">
      <c r="A330" s="476"/>
      <c r="B330" s="653">
        <f>GREENLIFE!A16</f>
        <v>280</v>
      </c>
      <c r="C330" s="653" t="str">
        <f>GREENLIFE!B16</f>
        <v>SECNIDAZOLE 500MG TAB</v>
      </c>
      <c r="D330" s="654">
        <f>GREENLIFE!C16</f>
        <v>4</v>
      </c>
      <c r="E330" s="653">
        <v>20</v>
      </c>
      <c r="F330" s="38">
        <f>GREENLIFE!E16</f>
        <v>100</v>
      </c>
      <c r="G330" s="38">
        <f t="shared" si="21"/>
        <v>2000</v>
      </c>
      <c r="H330" s="186">
        <f>SUM(G323:G330)</f>
        <v>306850</v>
      </c>
    </row>
    <row r="331" spans="1:8" s="42" customFormat="1" ht="18.75" x14ac:dyDescent="0.3">
      <c r="A331" s="476"/>
      <c r="B331" s="653"/>
      <c r="C331" s="653"/>
      <c r="D331" s="654"/>
      <c r="E331" s="653"/>
      <c r="F331" s="38"/>
      <c r="G331" s="38"/>
      <c r="H331" s="38"/>
    </row>
    <row r="332" spans="1:8" s="42" customFormat="1" ht="23.25" x14ac:dyDescent="0.35">
      <c r="A332" s="476">
        <v>20</v>
      </c>
      <c r="B332" s="653"/>
      <c r="C332" s="656" t="str">
        <f>HLINE!B1</f>
        <v>HEALTHLINE PHARMACEUTICALS LIMITED</v>
      </c>
      <c r="D332" s="654"/>
      <c r="E332" s="653"/>
      <c r="F332" s="38"/>
      <c r="G332" s="38"/>
      <c r="H332" s="38"/>
    </row>
    <row r="333" spans="1:8" s="42" customFormat="1" ht="18.75" x14ac:dyDescent="0.3">
      <c r="A333" s="476"/>
      <c r="B333" s="653">
        <f>HLINE!A7</f>
        <v>78</v>
      </c>
      <c r="C333" s="653" t="str">
        <f>HLINE!B7</f>
        <v>LOSARTAN 50MG</v>
      </c>
      <c r="D333" s="654">
        <f>HLINE!C7</f>
        <v>30</v>
      </c>
      <c r="E333" s="653">
        <v>420</v>
      </c>
      <c r="F333" s="38">
        <f>HLINE!E7</f>
        <v>550</v>
      </c>
      <c r="G333" s="38">
        <f t="shared" ref="G333:G336" si="22">E333*F333</f>
        <v>231000</v>
      </c>
      <c r="H333" s="38"/>
    </row>
    <row r="334" spans="1:8" s="42" customFormat="1" ht="18.75" x14ac:dyDescent="0.3">
      <c r="A334" s="476"/>
      <c r="B334" s="653">
        <f>HLINE!A8</f>
        <v>79</v>
      </c>
      <c r="C334" s="653" t="str">
        <f>HLINE!B8</f>
        <v xml:space="preserve">LOSARTAN 50MG/ HCT 12.5MG </v>
      </c>
      <c r="D334" s="654">
        <f>HLINE!C8</f>
        <v>30</v>
      </c>
      <c r="E334" s="653">
        <v>25</v>
      </c>
      <c r="F334" s="38">
        <f>HLINE!E8</f>
        <v>800</v>
      </c>
      <c r="G334" s="38">
        <f t="shared" si="22"/>
        <v>20000</v>
      </c>
      <c r="H334" s="38"/>
    </row>
    <row r="335" spans="1:8" s="42" customFormat="1" ht="18.75" x14ac:dyDescent="0.3">
      <c r="A335" s="476"/>
      <c r="B335" s="653">
        <f>HLINE!A9</f>
        <v>661</v>
      </c>
      <c r="C335" s="653" t="str">
        <f>HLINE!B9</f>
        <v>MUPIROCIN CREAM</v>
      </c>
      <c r="D335" s="654" t="str">
        <f>HLINE!C9</f>
        <v>TUBE</v>
      </c>
      <c r="E335" s="653">
        <v>10</v>
      </c>
      <c r="F335" s="38">
        <f>HLINE!E9</f>
        <v>1200</v>
      </c>
      <c r="G335" s="38">
        <f t="shared" si="22"/>
        <v>12000</v>
      </c>
      <c r="H335" s="38"/>
    </row>
    <row r="336" spans="1:8" s="42" customFormat="1" ht="23.25" x14ac:dyDescent="0.35">
      <c r="A336" s="476"/>
      <c r="B336" s="653">
        <f>HLINE!A11</f>
        <v>331</v>
      </c>
      <c r="C336" s="653" t="str">
        <f>HLINE!B11</f>
        <v>TRANEXAMIC ACID 500MG CAP</v>
      </c>
      <c r="D336" s="654">
        <f>HLINE!C11</f>
        <v>30</v>
      </c>
      <c r="E336" s="653">
        <v>25</v>
      </c>
      <c r="F336" s="38">
        <f>HLINE!E11</f>
        <v>2500</v>
      </c>
      <c r="G336" s="38">
        <f t="shared" si="22"/>
        <v>62500</v>
      </c>
      <c r="H336" s="186">
        <f>SUM(G333:G336)</f>
        <v>325500</v>
      </c>
    </row>
    <row r="337" spans="1:8" s="42" customFormat="1" ht="18.75" x14ac:dyDescent="0.3">
      <c r="A337" s="476"/>
      <c r="B337" s="653"/>
      <c r="C337" s="653"/>
      <c r="D337" s="654"/>
      <c r="E337" s="653"/>
      <c r="F337" s="38"/>
      <c r="G337" s="38"/>
      <c r="H337" s="38"/>
    </row>
    <row r="338" spans="1:8" s="42" customFormat="1" ht="23.25" x14ac:dyDescent="0.35">
      <c r="A338" s="476">
        <v>21</v>
      </c>
      <c r="B338" s="653"/>
      <c r="C338" s="656" t="s">
        <v>2183</v>
      </c>
      <c r="D338" s="654"/>
      <c r="E338" s="653"/>
      <c r="F338" s="38"/>
      <c r="G338" s="38"/>
      <c r="H338" s="38"/>
    </row>
    <row r="339" spans="1:8" s="42" customFormat="1" ht="23.25" x14ac:dyDescent="0.35">
      <c r="A339" s="476"/>
      <c r="B339" s="653">
        <v>119</v>
      </c>
      <c r="C339" s="653" t="s">
        <v>2184</v>
      </c>
      <c r="D339" s="654">
        <v>30</v>
      </c>
      <c r="E339" s="653">
        <v>500</v>
      </c>
      <c r="F339" s="38">
        <v>1122</v>
      </c>
      <c r="G339" s="38">
        <f>E339*F339</f>
        <v>561000</v>
      </c>
      <c r="H339" s="79"/>
    </row>
    <row r="340" spans="1:8" s="42" customFormat="1" ht="18.75" x14ac:dyDescent="0.3">
      <c r="A340" s="476"/>
      <c r="B340" s="653">
        <f>CHI!A15</f>
        <v>66</v>
      </c>
      <c r="C340" s="653" t="str">
        <f>CHI!B15</f>
        <v>INDAPAMIDE 1.5MG</v>
      </c>
      <c r="D340" s="654">
        <f>CHI!C15</f>
        <v>30</v>
      </c>
      <c r="E340" s="653">
        <v>750</v>
      </c>
      <c r="F340" s="38">
        <v>2057</v>
      </c>
      <c r="G340" s="38">
        <f>E340*F340</f>
        <v>1542750</v>
      </c>
      <c r="H340" s="38"/>
    </row>
    <row r="341" spans="1:8" s="42" customFormat="1" ht="18.75" x14ac:dyDescent="0.3">
      <c r="A341" s="476"/>
      <c r="B341" s="653">
        <f>CHI!A16</f>
        <v>67</v>
      </c>
      <c r="C341" s="653" t="str">
        <f>CHI!B16</f>
        <v>INDAPAMIDE/AMLODIPINE 1.5/10MG</v>
      </c>
      <c r="D341" s="654">
        <f>CHI!C16</f>
        <v>30</v>
      </c>
      <c r="E341" s="653">
        <v>800</v>
      </c>
      <c r="F341" s="38">
        <v>2711.5</v>
      </c>
      <c r="G341" s="38">
        <f>E341*F341</f>
        <v>2169200</v>
      </c>
    </row>
    <row r="342" spans="1:8" s="42" customFormat="1" ht="23.25" x14ac:dyDescent="0.35">
      <c r="A342" s="476"/>
      <c r="B342" s="653">
        <f>CHI!A17</f>
        <v>68</v>
      </c>
      <c r="C342" s="653" t="str">
        <f>CHI!B17</f>
        <v>INDAPAMIDE/AMLODIPINE 1.5/5MG</v>
      </c>
      <c r="D342" s="654">
        <f>CHI!C17</f>
        <v>30</v>
      </c>
      <c r="E342" s="653">
        <v>600</v>
      </c>
      <c r="F342" s="38">
        <v>2711.5</v>
      </c>
      <c r="G342" s="38">
        <f>E342*F342</f>
        <v>1626900</v>
      </c>
      <c r="H342" s="186">
        <f>SUM(G339:G342)</f>
        <v>5899850</v>
      </c>
    </row>
    <row r="343" spans="1:8" s="42" customFormat="1" ht="18.75" x14ac:dyDescent="0.3">
      <c r="A343" s="476"/>
      <c r="B343" s="653"/>
      <c r="C343" s="653"/>
      <c r="D343" s="654"/>
      <c r="E343" s="653"/>
      <c r="F343" s="38"/>
      <c r="G343" s="38"/>
      <c r="H343" s="38"/>
    </row>
    <row r="344" spans="1:8" s="42" customFormat="1" ht="23.25" x14ac:dyDescent="0.35">
      <c r="A344" s="476">
        <v>22</v>
      </c>
      <c r="B344" s="653"/>
      <c r="C344" s="656" t="str">
        <f>ROTECH!B1</f>
        <v>INTER-ROTECH NIGERIA LIMITED</v>
      </c>
      <c r="D344" s="654"/>
      <c r="E344" s="653"/>
      <c r="F344" s="38"/>
      <c r="G344" s="38"/>
      <c r="H344" s="38"/>
    </row>
    <row r="345" spans="1:8" s="42" customFormat="1" ht="18.75" x14ac:dyDescent="0.3">
      <c r="A345" s="476"/>
      <c r="B345" s="653">
        <f>ROTECH!A6</f>
        <v>572</v>
      </c>
      <c r="C345" s="653" t="str">
        <f>ROTECH!B6</f>
        <v>21G NEEDLE</v>
      </c>
      <c r="D345" s="654">
        <f>ROTECH!C6</f>
        <v>100</v>
      </c>
      <c r="E345" s="653">
        <v>3</v>
      </c>
      <c r="F345" s="38">
        <f>ROTECH!E6</f>
        <v>310</v>
      </c>
      <c r="G345" s="38">
        <f t="shared" ref="G345:G353" si="23">E345*F345</f>
        <v>930</v>
      </c>
      <c r="H345" s="38"/>
    </row>
    <row r="346" spans="1:8" s="42" customFormat="1" ht="18.75" x14ac:dyDescent="0.3">
      <c r="A346" s="476"/>
      <c r="B346" s="653">
        <f>ROTECH!A7</f>
        <v>573</v>
      </c>
      <c r="C346" s="653" t="str">
        <f>ROTECH!B7</f>
        <v>23G NEEDLE</v>
      </c>
      <c r="D346" s="654">
        <f>ROTECH!C7</f>
        <v>100</v>
      </c>
      <c r="E346" s="653">
        <v>75</v>
      </c>
      <c r="F346" s="38">
        <f>ROTECH!E7</f>
        <v>310</v>
      </c>
      <c r="G346" s="38">
        <f t="shared" si="23"/>
        <v>23250</v>
      </c>
      <c r="H346" s="38"/>
    </row>
    <row r="347" spans="1:8" s="42" customFormat="1" ht="18.75" x14ac:dyDescent="0.3">
      <c r="A347" s="476"/>
      <c r="B347" s="653">
        <f>ROTECH!A8</f>
        <v>577</v>
      </c>
      <c r="C347" s="653" t="str">
        <f>ROTECH!B8</f>
        <v xml:space="preserve">50CC NEEDLE/SYRINGE </v>
      </c>
      <c r="D347" s="654">
        <f>ROTECH!C8</f>
        <v>100</v>
      </c>
      <c r="E347" s="653">
        <v>25</v>
      </c>
      <c r="F347" s="38">
        <f>ROTECH!E8</f>
        <v>17000</v>
      </c>
      <c r="G347" s="38">
        <f t="shared" si="23"/>
        <v>425000</v>
      </c>
      <c r="H347" s="38"/>
    </row>
    <row r="348" spans="1:8" s="42" customFormat="1" ht="23.25" x14ac:dyDescent="0.35">
      <c r="A348" s="476"/>
      <c r="B348" s="653">
        <f>ROTECH!A9</f>
        <v>591</v>
      </c>
      <c r="C348" s="653" t="str">
        <f>ROTECH!B9</f>
        <v>ELASTIC BANDAGE 4"</v>
      </c>
      <c r="D348" s="654">
        <f>ROTECH!C9</f>
        <v>12</v>
      </c>
      <c r="E348" s="653">
        <v>50</v>
      </c>
      <c r="F348" s="38">
        <f>ROTECH!E9</f>
        <v>978</v>
      </c>
      <c r="G348" s="38">
        <f t="shared" si="23"/>
        <v>48900</v>
      </c>
      <c r="H348" s="186"/>
    </row>
    <row r="349" spans="1:8" s="42" customFormat="1" ht="18.75" x14ac:dyDescent="0.3">
      <c r="A349" s="476"/>
      <c r="B349" s="653">
        <f>ROTECH!A10</f>
        <v>592</v>
      </c>
      <c r="C349" s="653" t="str">
        <f>ROTECH!B10</f>
        <v>ELASTIC BANDAGE 6"</v>
      </c>
      <c r="D349" s="654">
        <f>ROTECH!C10</f>
        <v>12</v>
      </c>
      <c r="E349" s="653">
        <v>200</v>
      </c>
      <c r="F349" s="38">
        <f>ROTECH!E10</f>
        <v>1243</v>
      </c>
      <c r="G349" s="38">
        <f t="shared" si="23"/>
        <v>248600</v>
      </c>
      <c r="H349" s="35"/>
    </row>
    <row r="350" spans="1:8" s="42" customFormat="1" ht="18.75" x14ac:dyDescent="0.3">
      <c r="A350" s="476"/>
      <c r="B350" s="653">
        <f>ROTECH!A11</f>
        <v>608</v>
      </c>
      <c r="C350" s="653" t="str">
        <f>ROTECH!B11</f>
        <v>MUCUS EXRACTOR</v>
      </c>
      <c r="D350" s="654">
        <f>ROTECH!C11</f>
        <v>25</v>
      </c>
      <c r="E350" s="653">
        <v>15</v>
      </c>
      <c r="F350" s="38">
        <f>ROTECH!E11</f>
        <v>2220</v>
      </c>
      <c r="G350" s="38">
        <f t="shared" si="23"/>
        <v>33300</v>
      </c>
      <c r="H350" s="35"/>
    </row>
    <row r="351" spans="1:8" s="42" customFormat="1" ht="23.25" x14ac:dyDescent="0.35">
      <c r="A351" s="476"/>
      <c r="B351" s="653">
        <f>ROTECH!A13</f>
        <v>637</v>
      </c>
      <c r="C351" s="653" t="str">
        <f>ROTECH!B13</f>
        <v>SOFRATULLE</v>
      </c>
      <c r="D351" s="654">
        <f>ROTECH!C13</f>
        <v>100</v>
      </c>
      <c r="E351" s="653">
        <v>8</v>
      </c>
      <c r="F351" s="38">
        <f>ROTECH!E13</f>
        <v>5520</v>
      </c>
      <c r="G351" s="38">
        <f t="shared" si="23"/>
        <v>44160</v>
      </c>
      <c r="H351" s="79"/>
    </row>
    <row r="352" spans="1:8" s="42" customFormat="1" ht="18.75" x14ac:dyDescent="0.3">
      <c r="A352" s="476"/>
      <c r="B352" s="653">
        <f>ROTECH!A14</f>
        <v>639</v>
      </c>
      <c r="C352" s="653" t="str">
        <f>ROTECH!B14</f>
        <v>SOLUSET La MED</v>
      </c>
      <c r="D352" s="654">
        <f>ROTECH!C14</f>
        <v>50</v>
      </c>
      <c r="E352" s="653">
        <v>6</v>
      </c>
      <c r="F352" s="38">
        <f>ROTECH!E14</f>
        <v>25200</v>
      </c>
      <c r="G352" s="38">
        <f t="shared" si="23"/>
        <v>151200</v>
      </c>
      <c r="H352" s="38"/>
    </row>
    <row r="353" spans="1:8" s="42" customFormat="1" ht="23.25" x14ac:dyDescent="0.35">
      <c r="A353" s="476"/>
      <c r="B353" s="653">
        <f>ROTECH!A15</f>
        <v>649</v>
      </c>
      <c r="C353" s="653" t="str">
        <f>ROTECH!B15</f>
        <v>URINE BAG</v>
      </c>
      <c r="D353" s="654">
        <f>ROTECH!C15</f>
        <v>10</v>
      </c>
      <c r="E353" s="653">
        <v>150</v>
      </c>
      <c r="F353" s="38">
        <f>ROTECH!E15</f>
        <v>715</v>
      </c>
      <c r="G353" s="38">
        <f t="shared" si="23"/>
        <v>107250</v>
      </c>
      <c r="H353" s="186">
        <f>SUM(G345:G353)</f>
        <v>1082590</v>
      </c>
    </row>
    <row r="354" spans="1:8" s="42" customFormat="1" ht="18.75" x14ac:dyDescent="0.3">
      <c r="A354" s="476"/>
      <c r="B354" s="653"/>
      <c r="C354" s="653"/>
      <c r="D354" s="654"/>
      <c r="E354" s="653"/>
      <c r="F354" s="38"/>
      <c r="G354" s="38"/>
      <c r="H354" s="35"/>
    </row>
    <row r="355" spans="1:8" s="42" customFormat="1" ht="23.25" x14ac:dyDescent="0.35">
      <c r="A355" s="476">
        <v>23</v>
      </c>
      <c r="B355" s="653"/>
      <c r="C355" s="656" t="str">
        <f>ISN!B1</f>
        <v>ISN PRODUCTS NIGERIA LIMITED</v>
      </c>
      <c r="D355" s="654"/>
      <c r="E355" s="653"/>
      <c r="F355" s="38"/>
      <c r="G355" s="38"/>
      <c r="H355" s="35"/>
    </row>
    <row r="356" spans="1:8" s="42" customFormat="1" ht="18.75" x14ac:dyDescent="0.3">
      <c r="A356" s="476"/>
      <c r="B356" s="653">
        <f>ISN!A6</f>
        <v>123</v>
      </c>
      <c r="C356" s="653" t="str">
        <f>ISN!B6</f>
        <v>GLUCOMETER  (ACCU-CHEK) ACTIVE</v>
      </c>
      <c r="D356" s="654" t="str">
        <f>ISN!C6</f>
        <v>PC</v>
      </c>
      <c r="E356" s="654">
        <v>50</v>
      </c>
      <c r="F356" s="38">
        <f>ISN!E6</f>
        <v>6500</v>
      </c>
      <c r="G356" s="38">
        <f t="shared" ref="G356:G361" si="24">E356*F356</f>
        <v>325000</v>
      </c>
    </row>
    <row r="357" spans="1:8" s="42" customFormat="1" ht="23.25" x14ac:dyDescent="0.35">
      <c r="A357" s="476"/>
      <c r="B357" s="653">
        <f>ISN!A7</f>
        <v>123</v>
      </c>
      <c r="C357" s="653" t="str">
        <f>ISN!B7</f>
        <v>ACCU-CHEK STRIPS x25</v>
      </c>
      <c r="D357" s="654">
        <f>ISN!C7</f>
        <v>25</v>
      </c>
      <c r="E357" s="654">
        <v>50</v>
      </c>
      <c r="F357" s="38">
        <f>ISN!E7</f>
        <v>2400</v>
      </c>
      <c r="G357" s="38">
        <f t="shared" si="24"/>
        <v>120000</v>
      </c>
      <c r="H357" s="186"/>
    </row>
    <row r="358" spans="1:8" s="42" customFormat="1" ht="23.25" x14ac:dyDescent="0.35">
      <c r="A358" s="476"/>
      <c r="B358" s="653">
        <f>ISN!A8</f>
        <v>123</v>
      </c>
      <c r="C358" s="653" t="str">
        <f>ISN!B8</f>
        <v>ACCU-CHEK STRIPS x50</v>
      </c>
      <c r="D358" s="654">
        <f>ISN!C8</f>
        <v>50</v>
      </c>
      <c r="E358" s="654">
        <v>50</v>
      </c>
      <c r="F358" s="38">
        <f>ISN!E8</f>
        <v>4000</v>
      </c>
      <c r="G358" s="38">
        <f t="shared" si="24"/>
        <v>200000</v>
      </c>
      <c r="H358" s="186"/>
    </row>
    <row r="359" spans="1:8" s="42" customFormat="1" ht="23.25" x14ac:dyDescent="0.35">
      <c r="A359" s="476"/>
      <c r="B359" s="653">
        <f>ISN!A9</f>
        <v>123</v>
      </c>
      <c r="C359" s="653" t="str">
        <f>ISN!B9</f>
        <v>ACCU-CHEK SAFE T PRO UNO LANCETS</v>
      </c>
      <c r="D359" s="654">
        <f>ISN!C9</f>
        <v>200</v>
      </c>
      <c r="E359" s="654">
        <v>100</v>
      </c>
      <c r="F359" s="38">
        <f>ISN!E9</f>
        <v>5500</v>
      </c>
      <c r="G359" s="38">
        <f t="shared" si="24"/>
        <v>550000</v>
      </c>
      <c r="H359" s="186"/>
    </row>
    <row r="360" spans="1:8" s="42" customFormat="1" ht="23.25" x14ac:dyDescent="0.35">
      <c r="A360" s="476"/>
      <c r="B360" s="653">
        <f>ISN!A10</f>
        <v>123</v>
      </c>
      <c r="C360" s="653" t="str">
        <f>ISN!B10</f>
        <v>ACCU-CHEK SOFT CLIX LANCETS</v>
      </c>
      <c r="D360" s="654">
        <f>ISN!C10</f>
        <v>200</v>
      </c>
      <c r="E360" s="654">
        <v>50</v>
      </c>
      <c r="F360" s="38">
        <f>ISN!E10</f>
        <v>3800</v>
      </c>
      <c r="G360" s="38">
        <f t="shared" si="24"/>
        <v>190000</v>
      </c>
      <c r="H360" s="186"/>
    </row>
    <row r="361" spans="1:8" s="42" customFormat="1" ht="23.25" x14ac:dyDescent="0.35">
      <c r="A361" s="476"/>
      <c r="B361" s="653">
        <f>ISN!A11</f>
        <v>123</v>
      </c>
      <c r="C361" s="653" t="str">
        <f>ISN!B11</f>
        <v>ACCU-CHEK SOFT CLIX LANCETS</v>
      </c>
      <c r="D361" s="654">
        <f>ISN!C11</f>
        <v>25</v>
      </c>
      <c r="E361" s="654">
        <v>50</v>
      </c>
      <c r="F361" s="38">
        <f>ISN!E11</f>
        <v>1000</v>
      </c>
      <c r="G361" s="38">
        <f t="shared" si="24"/>
        <v>50000</v>
      </c>
      <c r="H361" s="186">
        <f>SUM(G356:G361)</f>
        <v>1435000</v>
      </c>
    </row>
    <row r="362" spans="1:8" s="42" customFormat="1" ht="23.25" x14ac:dyDescent="0.35">
      <c r="A362" s="476"/>
      <c r="B362" s="653"/>
      <c r="C362" s="653"/>
      <c r="D362" s="654"/>
      <c r="E362" s="653"/>
      <c r="F362" s="38"/>
      <c r="G362" s="38"/>
      <c r="H362" s="186"/>
    </row>
    <row r="363" spans="1:8" s="42" customFormat="1" ht="23.25" x14ac:dyDescent="0.35">
      <c r="A363" s="476">
        <v>24</v>
      </c>
      <c r="B363" s="35"/>
      <c r="C363" s="77" t="str">
        <f>JAWA!B1</f>
        <v>JAWA INTERNATIONAL LIMITED</v>
      </c>
      <c r="D363" s="668"/>
      <c r="E363" s="35"/>
      <c r="F363" s="38"/>
      <c r="G363" s="38"/>
      <c r="H363" s="38"/>
    </row>
    <row r="364" spans="1:8" s="42" customFormat="1" ht="18.75" x14ac:dyDescent="0.3">
      <c r="A364" s="476"/>
      <c r="B364" s="653">
        <f>JAWA!A7</f>
        <v>479</v>
      </c>
      <c r="C364" s="653" t="str">
        <f>JAWA!B7</f>
        <v>DIPHENHYDRAMINE HCL+ BROMHEXINE HCL+AMMONIUM CHLORIDE SYR</v>
      </c>
      <c r="D364" s="654" t="str">
        <f>JAWA!C7</f>
        <v>BOTT</v>
      </c>
      <c r="E364" s="653">
        <v>150</v>
      </c>
      <c r="F364" s="38">
        <f>JAWA!E7</f>
        <v>280</v>
      </c>
      <c r="G364" s="38">
        <f t="shared" ref="G364:G371" si="25">E364*F364</f>
        <v>42000</v>
      </c>
      <c r="H364" s="35"/>
    </row>
    <row r="365" spans="1:8" s="42" customFormat="1" ht="18.75" x14ac:dyDescent="0.3">
      <c r="A365" s="476"/>
      <c r="B365" s="653">
        <f>JAWA!A8</f>
        <v>432</v>
      </c>
      <c r="C365" s="653" t="str">
        <f>JAWA!B8</f>
        <v>LACTULOSE 100mls</v>
      </c>
      <c r="D365" s="654" t="str">
        <f>JAWA!C8</f>
        <v>BOTT</v>
      </c>
      <c r="E365" s="653">
        <v>100</v>
      </c>
      <c r="F365" s="38">
        <f>JAWA!E8</f>
        <v>500</v>
      </c>
      <c r="G365" s="38">
        <f t="shared" si="25"/>
        <v>50000</v>
      </c>
      <c r="H365" s="35"/>
    </row>
    <row r="366" spans="1:8" s="42" customFormat="1" ht="18.75" x14ac:dyDescent="0.3">
      <c r="A366" s="476"/>
      <c r="B366" s="653">
        <f>JAWA!A9</f>
        <v>695</v>
      </c>
      <c r="C366" s="653" t="str">
        <f>JAWA!B9</f>
        <v>MIST. POTASSIUM CITRATE 200ML</v>
      </c>
      <c r="D366" s="654" t="str">
        <f>JAWA!C9</f>
        <v>BOTT</v>
      </c>
      <c r="E366" s="653">
        <v>100</v>
      </c>
      <c r="F366" s="38">
        <f>JAWA!E9</f>
        <v>295</v>
      </c>
      <c r="G366" s="38">
        <f t="shared" si="25"/>
        <v>29500</v>
      </c>
      <c r="H366" s="35"/>
    </row>
    <row r="367" spans="1:8" s="42" customFormat="1" ht="23.25" x14ac:dyDescent="0.35">
      <c r="A367" s="476"/>
      <c r="B367" s="653">
        <f>JAWA!A10</f>
        <v>682</v>
      </c>
      <c r="C367" s="653" t="str">
        <f>JAWA!B10</f>
        <v>POVIDONE IODINE 100ML 10% (100ML)</v>
      </c>
      <c r="D367" s="654" t="str">
        <f>JAWA!C10</f>
        <v>BOTT</v>
      </c>
      <c r="E367" s="653">
        <v>50</v>
      </c>
      <c r="F367" s="38">
        <f>JAWA!E10</f>
        <v>375</v>
      </c>
      <c r="G367" s="38">
        <f t="shared" si="25"/>
        <v>18750</v>
      </c>
      <c r="H367" s="79"/>
    </row>
    <row r="368" spans="1:8" s="42" customFormat="1" ht="23.25" x14ac:dyDescent="0.35">
      <c r="A368" s="476"/>
      <c r="B368" s="653">
        <f>JAWA!A11</f>
        <v>681</v>
      </c>
      <c r="C368" s="653" t="str">
        <f>JAWA!B11</f>
        <v>POVIDONE IODINE 100ML 5% (100ML)</v>
      </c>
      <c r="D368" s="654" t="str">
        <f>JAWA!C11</f>
        <v>BOTT</v>
      </c>
      <c r="E368" s="653">
        <v>100</v>
      </c>
      <c r="F368" s="38">
        <f>JAWA!E11</f>
        <v>225</v>
      </c>
      <c r="G368" s="38">
        <f t="shared" si="25"/>
        <v>22500</v>
      </c>
      <c r="H368" s="79"/>
    </row>
    <row r="369" spans="1:8" s="42" customFormat="1" ht="23.25" x14ac:dyDescent="0.35">
      <c r="A369" s="476"/>
      <c r="B369" s="653">
        <f>JAWA!A12</f>
        <v>663</v>
      </c>
      <c r="C369" s="653" t="str">
        <f>JAWA!B12</f>
        <v>POVIDONE IODINE OINTMENT</v>
      </c>
      <c r="D369" s="654" t="str">
        <f>JAWA!C12</f>
        <v>TUBE</v>
      </c>
      <c r="E369" s="653">
        <v>50</v>
      </c>
      <c r="F369" s="38">
        <f>JAWA!E12</f>
        <v>165</v>
      </c>
      <c r="G369" s="38">
        <f t="shared" si="25"/>
        <v>8250</v>
      </c>
      <c r="H369" s="79"/>
    </row>
    <row r="370" spans="1:8" s="42" customFormat="1" ht="23.25" x14ac:dyDescent="0.35">
      <c r="A370" s="476"/>
      <c r="B370" s="653">
        <v>410</v>
      </c>
      <c r="C370" s="653" t="s">
        <v>2236</v>
      </c>
      <c r="D370" s="654" t="s">
        <v>57</v>
      </c>
      <c r="E370" s="653">
        <v>150</v>
      </c>
      <c r="F370" s="38">
        <v>1008</v>
      </c>
      <c r="G370" s="38">
        <f t="shared" si="25"/>
        <v>151200</v>
      </c>
      <c r="H370" s="79"/>
    </row>
    <row r="371" spans="1:8" s="42" customFormat="1" ht="23.25" x14ac:dyDescent="0.35">
      <c r="A371" s="476"/>
      <c r="B371" s="653">
        <f>JAWA!A14</f>
        <v>414</v>
      </c>
      <c r="C371" s="653" t="str">
        <f>JAWA!B14</f>
        <v>XYLOCAINE 2% INJ</v>
      </c>
      <c r="D371" s="654" t="str">
        <f>JAWA!C14</f>
        <v>VIAL</v>
      </c>
      <c r="E371" s="653">
        <v>150</v>
      </c>
      <c r="F371" s="38">
        <f>JAWA!E14</f>
        <v>290</v>
      </c>
      <c r="G371" s="38">
        <f t="shared" si="25"/>
        <v>43500</v>
      </c>
      <c r="H371" s="186">
        <f>SUM(G364:G371)</f>
        <v>365700</v>
      </c>
    </row>
    <row r="372" spans="1:8" s="42" customFormat="1" ht="23.25" x14ac:dyDescent="0.35">
      <c r="A372" s="476"/>
      <c r="B372" s="653"/>
      <c r="C372" s="653"/>
      <c r="D372" s="654"/>
      <c r="E372" s="653"/>
      <c r="F372" s="38"/>
      <c r="G372" s="38"/>
      <c r="H372" s="79"/>
    </row>
    <row r="373" spans="1:8" s="42" customFormat="1" ht="23.25" x14ac:dyDescent="0.35">
      <c r="A373" s="476">
        <v>25</v>
      </c>
      <c r="B373" s="35"/>
      <c r="C373" s="77" t="str">
        <f>LEADWAY!B1</f>
        <v>LEADWAY PHARMACEUTICALS LIMITED</v>
      </c>
      <c r="D373" s="668"/>
      <c r="E373" s="35"/>
      <c r="F373" s="38"/>
      <c r="G373" s="38"/>
      <c r="H373" s="79"/>
    </row>
    <row r="374" spans="1:8" s="42" customFormat="1" ht="23.25" x14ac:dyDescent="0.35">
      <c r="A374" s="476"/>
      <c r="B374" s="653">
        <f>LEADWAY!A6</f>
        <v>494</v>
      </c>
      <c r="C374" s="653" t="str">
        <f>LEADWAY!B6</f>
        <v>ACETAZOLAMIDE 250MG TAB</v>
      </c>
      <c r="D374" s="654">
        <f>LEADWAY!C6</f>
        <v>500</v>
      </c>
      <c r="E374" s="653">
        <v>7</v>
      </c>
      <c r="F374" s="38">
        <f>LEADWAY!E6</f>
        <v>9500</v>
      </c>
      <c r="G374" s="38">
        <f t="shared" ref="G374:G419" si="26">E374*F374</f>
        <v>66500</v>
      </c>
      <c r="H374" s="79"/>
    </row>
    <row r="375" spans="1:8" s="42" customFormat="1" ht="18.75" x14ac:dyDescent="0.3">
      <c r="A375" s="476"/>
      <c r="B375" s="653">
        <f>LEADWAY!A7</f>
        <v>351</v>
      </c>
      <c r="C375" s="653" t="str">
        <f>LEADWAY!B7</f>
        <v>AMITRYPTILLINE 25MG</v>
      </c>
      <c r="D375" s="654">
        <f>LEADWAY!C7</f>
        <v>500</v>
      </c>
      <c r="E375" s="653">
        <v>25</v>
      </c>
      <c r="F375" s="38">
        <f>LEADWAY!E7</f>
        <v>2200</v>
      </c>
      <c r="G375" s="38">
        <f t="shared" si="26"/>
        <v>55000</v>
      </c>
    </row>
    <row r="376" spans="1:8" s="42" customFormat="1" ht="23.25" x14ac:dyDescent="0.35">
      <c r="A376" s="476"/>
      <c r="B376" s="653">
        <f>LEADWAY!A9</f>
        <v>483</v>
      </c>
      <c r="C376" s="653" t="str">
        <f>LEADWAY!B9</f>
        <v>HYDROCORTISONE 100MG INJ</v>
      </c>
      <c r="D376" s="654" t="str">
        <f>LEADWAY!C9</f>
        <v>VIAL</v>
      </c>
      <c r="E376" s="653">
        <v>1000</v>
      </c>
      <c r="F376" s="38">
        <f>LEADWAY!E9</f>
        <v>160</v>
      </c>
      <c r="G376" s="38">
        <f t="shared" si="26"/>
        <v>160000</v>
      </c>
      <c r="H376" s="186"/>
    </row>
    <row r="377" spans="1:8" s="42" customFormat="1" ht="23.25" x14ac:dyDescent="0.35">
      <c r="A377" s="476"/>
      <c r="B377" s="653">
        <f>LEADWAY!A8</f>
        <v>606</v>
      </c>
      <c r="C377" s="653" t="str">
        <f>LEADWAY!B8</f>
        <v>LATEX GLOVES (SUPER CARE)</v>
      </c>
      <c r="D377" s="654" t="str">
        <f>LEADWAY!C8</f>
        <v>CARTON</v>
      </c>
      <c r="E377" s="653">
        <f>750*0.3</f>
        <v>225</v>
      </c>
      <c r="F377" s="38">
        <f>LEADWAY!E8</f>
        <v>8900</v>
      </c>
      <c r="G377" s="38">
        <f t="shared" si="26"/>
        <v>2002500</v>
      </c>
      <c r="H377" s="186"/>
    </row>
    <row r="378" spans="1:8" s="42" customFormat="1" ht="23.25" x14ac:dyDescent="0.35">
      <c r="A378" s="476"/>
      <c r="B378" s="653">
        <f>LEADWAY!A10</f>
        <v>338</v>
      </c>
      <c r="C378" s="653" t="str">
        <f>LEADWAY!B10</f>
        <v>VITAMIN B COMPLEX INJ</v>
      </c>
      <c r="D378" s="654" t="str">
        <f>LEADWAY!C10</f>
        <v>VIAL</v>
      </c>
      <c r="E378" s="653">
        <v>650</v>
      </c>
      <c r="F378" s="38">
        <f>LEADWAY!E10</f>
        <v>85</v>
      </c>
      <c r="G378" s="38">
        <f t="shared" si="26"/>
        <v>55250</v>
      </c>
      <c r="H378" s="186">
        <f>SUM(G374:G378)</f>
        <v>2339250</v>
      </c>
    </row>
    <row r="379" spans="1:8" s="42" customFormat="1" ht="23.25" x14ac:dyDescent="0.35">
      <c r="A379" s="476"/>
      <c r="B379" s="653"/>
      <c r="C379" s="653"/>
      <c r="D379" s="654"/>
      <c r="E379" s="653"/>
      <c r="F379" s="38"/>
      <c r="G379" s="38"/>
      <c r="H379" s="79"/>
    </row>
    <row r="380" spans="1:8" s="42" customFormat="1" ht="23.25" x14ac:dyDescent="0.35">
      <c r="A380" s="476">
        <v>26</v>
      </c>
      <c r="B380" s="653"/>
      <c r="C380" s="656" t="str">
        <f>MANOLA!B1</f>
        <v>MANOLA PHARMACEUTICALS</v>
      </c>
      <c r="D380" s="654"/>
      <c r="E380" s="653"/>
      <c r="F380" s="38"/>
      <c r="G380" s="38"/>
      <c r="H380" s="79"/>
    </row>
    <row r="381" spans="1:8" s="42" customFormat="1" ht="23.25" x14ac:dyDescent="0.35">
      <c r="A381" s="476"/>
      <c r="B381" s="653">
        <f>MANOLA!A6</f>
        <v>539</v>
      </c>
      <c r="C381" s="653" t="str">
        <f>MANOLA!B6</f>
        <v>5-FLUOROURACIL INJ</v>
      </c>
      <c r="D381" s="654" t="str">
        <f>MANOLA!C6</f>
        <v>AMP</v>
      </c>
      <c r="E381" s="653">
        <v>10</v>
      </c>
      <c r="F381" s="38">
        <f>MANOLA!E6</f>
        <v>512</v>
      </c>
      <c r="G381" s="38">
        <f t="shared" si="26"/>
        <v>5120</v>
      </c>
      <c r="H381" s="79"/>
    </row>
    <row r="382" spans="1:8" s="42" customFormat="1" ht="23.25" x14ac:dyDescent="0.35">
      <c r="A382" s="476"/>
      <c r="B382" s="653">
        <f>MANOLA!A11</f>
        <v>546</v>
      </c>
      <c r="C382" s="653" t="str">
        <f>MANOLA!B11</f>
        <v>CYCLOPHOSPHAMIDE 500MG INJ</v>
      </c>
      <c r="D382" s="654" t="str">
        <f>MANOLA!C11</f>
        <v>VIAL</v>
      </c>
      <c r="E382" s="653">
        <v>30</v>
      </c>
      <c r="F382" s="38">
        <f>MANOLA!E11</f>
        <v>750</v>
      </c>
      <c r="G382" s="38">
        <f t="shared" si="26"/>
        <v>22500</v>
      </c>
      <c r="H382" s="79"/>
    </row>
    <row r="383" spans="1:8" s="42" customFormat="1" ht="23.25" x14ac:dyDescent="0.35">
      <c r="A383" s="476"/>
      <c r="B383" s="653">
        <f>MANOLA!A12</f>
        <v>549</v>
      </c>
      <c r="C383" s="653" t="str">
        <f>MANOLA!B12</f>
        <v>DACARBAZINE 100MG INJ</v>
      </c>
      <c r="D383" s="654" t="str">
        <f>MANOLA!C12</f>
        <v>AMP</v>
      </c>
      <c r="E383" s="653">
        <v>20</v>
      </c>
      <c r="F383" s="38">
        <f>MANOLA!E12</f>
        <v>3851</v>
      </c>
      <c r="G383" s="38">
        <f t="shared" si="26"/>
        <v>77020</v>
      </c>
      <c r="H383" s="79"/>
    </row>
    <row r="384" spans="1:8" s="42" customFormat="1" ht="23.25" x14ac:dyDescent="0.35">
      <c r="A384" s="476"/>
      <c r="B384" s="653">
        <f>MANOLA!A14</f>
        <v>552</v>
      </c>
      <c r="C384" s="653" t="str">
        <f>MANOLA!B14</f>
        <v>DOXORUBICIN HCL 20MG/10ML INJ</v>
      </c>
      <c r="D384" s="654" t="str">
        <f>MANOLA!C14</f>
        <v>AMP</v>
      </c>
      <c r="E384" s="653">
        <v>30</v>
      </c>
      <c r="F384" s="38">
        <f>MANOLA!E14</f>
        <v>3350</v>
      </c>
      <c r="G384" s="38">
        <f t="shared" si="26"/>
        <v>100500</v>
      </c>
      <c r="H384" s="186"/>
    </row>
    <row r="385" spans="1:8" s="42" customFormat="1" ht="23.25" x14ac:dyDescent="0.35">
      <c r="A385" s="476"/>
      <c r="B385" s="653">
        <v>557</v>
      </c>
      <c r="C385" s="653" t="s">
        <v>2232</v>
      </c>
      <c r="D385" s="654" t="s">
        <v>57</v>
      </c>
      <c r="E385" s="653">
        <v>5</v>
      </c>
      <c r="F385" s="38">
        <v>9800</v>
      </c>
      <c r="G385" s="38">
        <f t="shared" si="26"/>
        <v>49000</v>
      </c>
      <c r="H385" s="79"/>
    </row>
    <row r="386" spans="1:8" s="42" customFormat="1" ht="23.25" x14ac:dyDescent="0.35">
      <c r="A386" s="476"/>
      <c r="B386" s="653">
        <v>558</v>
      </c>
      <c r="C386" s="653" t="s">
        <v>1373</v>
      </c>
      <c r="D386" s="654" t="s">
        <v>57</v>
      </c>
      <c r="E386" s="653">
        <v>5</v>
      </c>
      <c r="F386" s="38">
        <v>5500</v>
      </c>
      <c r="G386" s="38">
        <f t="shared" ref="G386" si="27">E386*F386</f>
        <v>27500</v>
      </c>
      <c r="H386" s="79"/>
    </row>
    <row r="387" spans="1:8" s="42" customFormat="1" ht="23.25" x14ac:dyDescent="0.35">
      <c r="A387" s="476"/>
      <c r="B387" s="653">
        <f>MANOLA!A20</f>
        <v>561</v>
      </c>
      <c r="C387" s="653" t="str">
        <f>MANOLA!B20</f>
        <v>METHOTREXATE INJ</v>
      </c>
      <c r="D387" s="654" t="str">
        <f>MANOLA!C20</f>
        <v>AMP</v>
      </c>
      <c r="E387" s="653">
        <v>5</v>
      </c>
      <c r="F387" s="38">
        <f>MANOLA!E20</f>
        <v>683</v>
      </c>
      <c r="G387" s="38">
        <f t="shared" si="26"/>
        <v>3415</v>
      </c>
      <c r="H387" s="79"/>
    </row>
    <row r="388" spans="1:8" s="42" customFormat="1" ht="23.25" x14ac:dyDescent="0.35">
      <c r="A388" s="476"/>
      <c r="B388" s="653">
        <f>MANOLA!A22</f>
        <v>445</v>
      </c>
      <c r="C388" s="653" t="str">
        <f>MANOLA!B22</f>
        <v>ONDASETRON TAB</v>
      </c>
      <c r="D388" s="654">
        <f>MANOLA!C22</f>
        <v>10</v>
      </c>
      <c r="E388" s="653">
        <v>5</v>
      </c>
      <c r="F388" s="38">
        <f>MANOLA!E22</f>
        <v>819</v>
      </c>
      <c r="G388" s="38">
        <f t="shared" si="26"/>
        <v>4095</v>
      </c>
      <c r="H388" s="79"/>
    </row>
    <row r="389" spans="1:8" s="42" customFormat="1" ht="23.25" x14ac:dyDescent="0.35">
      <c r="A389" s="476"/>
      <c r="B389" s="653">
        <f>MANOLA!A24</f>
        <v>699</v>
      </c>
      <c r="C389" s="653" t="str">
        <f>MANOLA!B24</f>
        <v>SILVER NITRATE SOLUTION (250ML)</v>
      </c>
      <c r="D389" s="654" t="str">
        <f>MANOLA!C24</f>
        <v>BOTT</v>
      </c>
      <c r="E389" s="653">
        <v>2</v>
      </c>
      <c r="F389" s="38">
        <f>MANOLA!E24</f>
        <v>17982</v>
      </c>
      <c r="G389" s="38">
        <f t="shared" si="26"/>
        <v>35964</v>
      </c>
      <c r="H389" s="186">
        <f>SUM(G381:G389)</f>
        <v>325114</v>
      </c>
    </row>
    <row r="390" spans="1:8" s="42" customFormat="1" ht="18.75" x14ac:dyDescent="0.3">
      <c r="A390" s="476"/>
      <c r="B390" s="653"/>
      <c r="C390" s="653"/>
      <c r="D390" s="654"/>
      <c r="E390" s="653"/>
      <c r="F390" s="38"/>
      <c r="G390" s="38"/>
      <c r="H390" s="35"/>
    </row>
    <row r="391" spans="1:8" ht="18.75" x14ac:dyDescent="0.3">
      <c r="A391" s="476"/>
      <c r="B391" s="653"/>
      <c r="C391" s="653"/>
      <c r="D391" s="654"/>
      <c r="E391" s="653"/>
      <c r="F391" s="38"/>
      <c r="G391" s="38"/>
      <c r="H391" s="35"/>
    </row>
    <row r="392" spans="1:8" ht="23.25" x14ac:dyDescent="0.35">
      <c r="A392" s="476">
        <v>27</v>
      </c>
      <c r="B392" s="653"/>
      <c r="C392" s="656" t="str">
        <f>MARCSON!B1</f>
        <v>MARCSON HEALTHCARE LIMITED</v>
      </c>
      <c r="D392" s="654"/>
      <c r="E392" s="653"/>
      <c r="F392" s="38"/>
      <c r="G392" s="38"/>
      <c r="H392" s="76"/>
    </row>
    <row r="393" spans="1:8" x14ac:dyDescent="0.35">
      <c r="A393" s="476"/>
      <c r="B393" s="653">
        <f>MARCSON!A6</f>
        <v>1</v>
      </c>
      <c r="C393" s="653" t="str">
        <f>MARCSON!B6</f>
        <v>ab-ARTEETHER 150MG INJ</v>
      </c>
      <c r="D393" s="654">
        <f>MARCSON!C6</f>
        <v>3</v>
      </c>
      <c r="E393" s="653">
        <v>800</v>
      </c>
      <c r="F393" s="38">
        <f>MARCSON!E6</f>
        <v>600</v>
      </c>
      <c r="G393" s="38">
        <f t="shared" si="26"/>
        <v>480000</v>
      </c>
      <c r="H393" s="76"/>
    </row>
    <row r="394" spans="1:8" x14ac:dyDescent="0.35">
      <c r="A394" s="476"/>
      <c r="B394" s="653">
        <f>MARCSON!A7</f>
        <v>36</v>
      </c>
      <c r="C394" s="653" t="str">
        <f>MARCSON!B7</f>
        <v>AMLODIPINE 10MG + RAMIPRIL 5MG</v>
      </c>
      <c r="D394" s="654">
        <f>MARCSON!C7</f>
        <v>30</v>
      </c>
      <c r="E394" s="653">
        <v>60</v>
      </c>
      <c r="F394" s="38">
        <f>MARCSON!E7</f>
        <v>1800</v>
      </c>
      <c r="G394" s="38">
        <f t="shared" ref="G394:G397" si="28">E394*F394</f>
        <v>108000</v>
      </c>
      <c r="H394" s="76"/>
    </row>
    <row r="395" spans="1:8" x14ac:dyDescent="0.35">
      <c r="A395" s="476"/>
      <c r="B395" s="653">
        <f>MARCSON!A8</f>
        <v>38</v>
      </c>
      <c r="C395" s="653" t="str">
        <f>MARCSON!B8</f>
        <v>AMLODIPINE 5MG + RAMIPRIL 2.5MG</v>
      </c>
      <c r="D395" s="654">
        <f>MARCSON!C8</f>
        <v>30</v>
      </c>
      <c r="E395" s="653">
        <v>60</v>
      </c>
      <c r="F395" s="38">
        <f>MARCSON!E8</f>
        <v>1250</v>
      </c>
      <c r="G395" s="38">
        <f t="shared" si="28"/>
        <v>75000</v>
      </c>
      <c r="H395" s="76"/>
    </row>
    <row r="396" spans="1:8" x14ac:dyDescent="0.35">
      <c r="A396" s="476"/>
      <c r="B396" s="653">
        <f>MARCSON!A10</f>
        <v>221</v>
      </c>
      <c r="C396" s="653" t="str">
        <f>MARCSON!B10</f>
        <v>CEFIXIME 200MG/CLAVULANIC ACID 125MG</v>
      </c>
      <c r="D396" s="654">
        <f>MARCSON!C10</f>
        <v>10</v>
      </c>
      <c r="E396" s="653">
        <v>50</v>
      </c>
      <c r="F396" s="38">
        <f>MARCSON!E10</f>
        <v>1800</v>
      </c>
      <c r="G396" s="38">
        <f t="shared" si="28"/>
        <v>90000</v>
      </c>
      <c r="H396" s="76"/>
    </row>
    <row r="397" spans="1:8" ht="23.25" x14ac:dyDescent="0.35">
      <c r="A397" s="476"/>
      <c r="B397" s="653">
        <f>MARCSON!A11</f>
        <v>229</v>
      </c>
      <c r="C397" s="653" t="str">
        <f>MARCSON!B11</f>
        <v>CEFTRIAXONE+SULBACTAM INJ</v>
      </c>
      <c r="D397" s="654" t="str">
        <f>MARCSON!C11</f>
        <v>VIAL</v>
      </c>
      <c r="E397" s="653">
        <v>500</v>
      </c>
      <c r="F397" s="38">
        <f>MARCSON!E11</f>
        <v>900</v>
      </c>
      <c r="G397" s="38">
        <f t="shared" si="28"/>
        <v>450000</v>
      </c>
      <c r="H397" s="186"/>
    </row>
    <row r="398" spans="1:8" ht="23.25" x14ac:dyDescent="0.35">
      <c r="A398" s="476"/>
      <c r="B398" s="653">
        <f>MARCSON!A12</f>
        <v>177</v>
      </c>
      <c r="C398" s="653" t="str">
        <f>MARCSON!B12</f>
        <v>ORPHENADRINE/PARACETAMOL TAB</v>
      </c>
      <c r="D398" s="654">
        <f>MARCSON!C12</f>
        <v>100</v>
      </c>
      <c r="E398" s="653">
        <v>300</v>
      </c>
      <c r="F398" s="38">
        <f>MARCSON!E12</f>
        <v>1550</v>
      </c>
      <c r="G398" s="38">
        <f t="shared" si="26"/>
        <v>465000</v>
      </c>
      <c r="H398" s="186">
        <f>SUM(G393:G398)</f>
        <v>1668000</v>
      </c>
    </row>
    <row r="399" spans="1:8" ht="18.75" x14ac:dyDescent="0.3">
      <c r="A399" s="476"/>
      <c r="B399" s="653"/>
      <c r="C399" s="653"/>
      <c r="D399" s="654"/>
      <c r="E399" s="653"/>
      <c r="F399" s="38"/>
      <c r="G399" s="38"/>
      <c r="H399" s="35"/>
    </row>
    <row r="400" spans="1:8" x14ac:dyDescent="0.35">
      <c r="A400" s="476"/>
      <c r="B400" s="653"/>
      <c r="C400" s="653"/>
      <c r="D400" s="654"/>
      <c r="E400" s="653"/>
      <c r="F400" s="38"/>
      <c r="G400" s="38"/>
      <c r="H400" s="76"/>
    </row>
    <row r="401" spans="1:8" ht="23.25" x14ac:dyDescent="0.35">
      <c r="A401" s="476">
        <v>28</v>
      </c>
      <c r="B401" s="653"/>
      <c r="C401" s="656" t="str">
        <f>'M&amp;B'!B1</f>
        <v>MAY &amp; BAKER NIGERIA LIMITED</v>
      </c>
      <c r="D401" s="654"/>
      <c r="E401" s="653"/>
      <c r="F401" s="38"/>
      <c r="G401" s="38"/>
      <c r="H401" s="76"/>
    </row>
    <row r="402" spans="1:8" x14ac:dyDescent="0.35">
      <c r="A402" s="476"/>
      <c r="B402" s="653">
        <f>'M&amp;B'!A6</f>
        <v>353</v>
      </c>
      <c r="C402" s="653" t="str">
        <f>'M&amp;B'!B6</f>
        <v>BROMAZEPAM 1.5MG</v>
      </c>
      <c r="D402" s="654">
        <f>'M&amp;B'!C6</f>
        <v>30</v>
      </c>
      <c r="E402" s="653">
        <v>200</v>
      </c>
      <c r="F402" s="38">
        <f>'M&amp;B'!E6</f>
        <v>170</v>
      </c>
      <c r="G402" s="38">
        <f t="shared" si="26"/>
        <v>34000</v>
      </c>
      <c r="H402" s="76"/>
    </row>
    <row r="403" spans="1:8" x14ac:dyDescent="0.35">
      <c r="A403" s="476"/>
      <c r="B403" s="653">
        <f>'M&amp;B'!A7</f>
        <v>354</v>
      </c>
      <c r="C403" s="653" t="str">
        <f>'M&amp;B'!B7</f>
        <v>BROMAZEPAM 3MG</v>
      </c>
      <c r="D403" s="654">
        <f>'M&amp;B'!C7</f>
        <v>30</v>
      </c>
      <c r="E403" s="653">
        <v>200</v>
      </c>
      <c r="F403" s="38">
        <f>'M&amp;B'!E7</f>
        <v>340</v>
      </c>
      <c r="G403" s="38">
        <f t="shared" si="26"/>
        <v>68000</v>
      </c>
      <c r="H403" s="76"/>
    </row>
    <row r="404" spans="1:8" x14ac:dyDescent="0.35">
      <c r="A404" s="476"/>
      <c r="B404" s="653">
        <f>'M&amp;B'!A8</f>
        <v>233</v>
      </c>
      <c r="C404" s="653" t="str">
        <f>'M&amp;B'!B8</f>
        <v>CEFUROXIME SUSPENSION 125MG/5ML (100ML)</v>
      </c>
      <c r="D404" s="654" t="str">
        <f>'M&amp;B'!C8</f>
        <v>BOTT</v>
      </c>
      <c r="E404" s="653">
        <v>200</v>
      </c>
      <c r="F404" s="38">
        <f>'M&amp;B'!E8</f>
        <v>1300</v>
      </c>
      <c r="G404" s="38">
        <f t="shared" si="26"/>
        <v>260000</v>
      </c>
      <c r="H404" s="76"/>
    </row>
    <row r="405" spans="1:8" x14ac:dyDescent="0.35">
      <c r="A405" s="476"/>
      <c r="B405" s="653">
        <f>'M&amp;B'!A9</f>
        <v>473</v>
      </c>
      <c r="C405" s="653" t="str">
        <f>'M&amp;B'!B9</f>
        <v>CHLORPHENIRAMINE 4MG/5ML  SYR</v>
      </c>
      <c r="D405" s="654" t="str">
        <f>'M&amp;B'!C9</f>
        <v>BOTT</v>
      </c>
      <c r="E405" s="653">
        <v>100</v>
      </c>
      <c r="F405" s="38">
        <f>'M&amp;B'!E9</f>
        <v>100</v>
      </c>
      <c r="G405" s="38">
        <f t="shared" si="26"/>
        <v>10000</v>
      </c>
      <c r="H405" s="76"/>
    </row>
    <row r="406" spans="1:8" ht="23.25" x14ac:dyDescent="0.35">
      <c r="A406" s="476"/>
      <c r="B406" s="653">
        <f>'M&amp;B'!A10</f>
        <v>244</v>
      </c>
      <c r="C406" s="653" t="str">
        <f>'M&amp;B'!B10</f>
        <v>CO-TRIMOXAZOLE SUSP.</v>
      </c>
      <c r="D406" s="654" t="str">
        <f>'M&amp;B'!C10</f>
        <v>BOTT</v>
      </c>
      <c r="E406" s="653">
        <v>50</v>
      </c>
      <c r="F406" s="38">
        <f>'M&amp;B'!E10</f>
        <v>100</v>
      </c>
      <c r="G406" s="38">
        <f t="shared" si="26"/>
        <v>5000</v>
      </c>
      <c r="H406" s="186"/>
    </row>
    <row r="407" spans="1:8" ht="18.75" x14ac:dyDescent="0.3">
      <c r="A407" s="476"/>
      <c r="B407" s="653">
        <f>'M&amp;B'!A11</f>
        <v>121</v>
      </c>
      <c r="C407" s="653" t="str">
        <f>'M&amp;B'!B11</f>
        <v>GLIMEPIRIDE 4MG TAB</v>
      </c>
      <c r="D407" s="654">
        <f>'M&amp;B'!C11</f>
        <v>30</v>
      </c>
      <c r="E407" s="653">
        <v>50</v>
      </c>
      <c r="F407" s="38">
        <f>'M&amp;B'!E11</f>
        <v>1850</v>
      </c>
      <c r="G407" s="38">
        <f t="shared" si="26"/>
        <v>92500</v>
      </c>
      <c r="H407" s="35"/>
    </row>
    <row r="408" spans="1:8" ht="18.75" x14ac:dyDescent="0.3">
      <c r="A408" s="476"/>
      <c r="B408" s="653">
        <f>'M&amp;B'!A12</f>
        <v>88</v>
      </c>
      <c r="C408" s="653" t="str">
        <f>'M&amp;B'!B12</f>
        <v xml:space="preserve">NIFEDIPINE 30MG </v>
      </c>
      <c r="D408" s="654">
        <f>'M&amp;B'!C12</f>
        <v>30</v>
      </c>
      <c r="E408" s="653">
        <v>300</v>
      </c>
      <c r="F408" s="38">
        <f>'M&amp;B'!E12</f>
        <v>696.97</v>
      </c>
      <c r="G408" s="38">
        <f t="shared" si="26"/>
        <v>209091</v>
      </c>
      <c r="H408" s="35"/>
    </row>
    <row r="409" spans="1:8" ht="18.75" x14ac:dyDescent="0.3">
      <c r="A409" s="476"/>
      <c r="B409" s="653">
        <f>'M&amp;B'!A13</f>
        <v>274</v>
      </c>
      <c r="C409" s="653" t="str">
        <f>'M&amp;B'!B13</f>
        <v>OFLOXACIN 200MG TAB</v>
      </c>
      <c r="D409" s="654">
        <f>'M&amp;B'!C13</f>
        <v>10</v>
      </c>
      <c r="E409" s="653">
        <v>300</v>
      </c>
      <c r="F409" s="38">
        <f>'M&amp;B'!E13</f>
        <v>402.93</v>
      </c>
      <c r="G409" s="38">
        <f t="shared" si="26"/>
        <v>120879</v>
      </c>
      <c r="H409" s="35"/>
    </row>
    <row r="410" spans="1:8" ht="23.25" x14ac:dyDescent="0.35">
      <c r="A410" s="476"/>
      <c r="B410" s="653">
        <f>'M&amp;B'!A14</f>
        <v>97</v>
      </c>
      <c r="C410" s="653" t="str">
        <f>'M&amp;B'!B14</f>
        <v>RAMIPRIL 5MG TAB</v>
      </c>
      <c r="D410" s="654">
        <f>'M&amp;B'!C14</f>
        <v>30</v>
      </c>
      <c r="E410" s="653">
        <v>200</v>
      </c>
      <c r="F410" s="38">
        <f>'M&amp;B'!E14</f>
        <v>600</v>
      </c>
      <c r="G410" s="38">
        <f t="shared" si="26"/>
        <v>120000</v>
      </c>
      <c r="H410" s="186">
        <f>SUM(G402:G410)</f>
        <v>919470</v>
      </c>
    </row>
    <row r="411" spans="1:8" x14ac:dyDescent="0.35">
      <c r="A411" s="476"/>
      <c r="B411" s="653"/>
      <c r="C411" s="653"/>
      <c r="D411" s="654"/>
      <c r="E411" s="653"/>
      <c r="F411" s="38"/>
      <c r="G411" s="38"/>
      <c r="H411" s="76"/>
    </row>
    <row r="412" spans="1:8" ht="23.25" x14ac:dyDescent="0.35">
      <c r="A412" s="476">
        <v>29</v>
      </c>
      <c r="B412" s="653"/>
      <c r="C412" s="656" t="str">
        <f>MEGA!B1</f>
        <v>MEGA LIFESCIENCES NIGERIA LIMITED</v>
      </c>
      <c r="D412" s="654"/>
      <c r="E412" s="653"/>
      <c r="F412" s="38"/>
      <c r="G412" s="38"/>
      <c r="H412" s="76"/>
    </row>
    <row r="413" spans="1:8" x14ac:dyDescent="0.35">
      <c r="A413" s="476"/>
      <c r="B413" s="653">
        <f>MEGA!A6</f>
        <v>292</v>
      </c>
      <c r="C413" s="653" t="str">
        <f>MEGA!B6</f>
        <v>CALCITROL 0.25MCG TAB</v>
      </c>
      <c r="D413" s="654">
        <f>MEGA!C6</f>
        <v>30</v>
      </c>
      <c r="E413" s="653">
        <v>100</v>
      </c>
      <c r="F413" s="38">
        <f>MEGA!E6</f>
        <v>2600</v>
      </c>
      <c r="G413" s="38">
        <f t="shared" si="26"/>
        <v>260000</v>
      </c>
      <c r="H413" s="76"/>
    </row>
    <row r="414" spans="1:8" x14ac:dyDescent="0.35">
      <c r="A414" s="476"/>
      <c r="B414" s="653">
        <f>MEGA!A7</f>
        <v>57</v>
      </c>
      <c r="C414" s="653" t="str">
        <f>MEGA!B7</f>
        <v>CLOPIDOGREL 75MG TAB</v>
      </c>
      <c r="D414" s="654">
        <f>MEGA!C7</f>
        <v>30</v>
      </c>
      <c r="E414" s="653">
        <v>125</v>
      </c>
      <c r="F414" s="38">
        <f>MEGA!E7</f>
        <v>750</v>
      </c>
      <c r="G414" s="38">
        <f t="shared" si="26"/>
        <v>93750</v>
      </c>
      <c r="H414" s="76"/>
    </row>
    <row r="415" spans="1:8" x14ac:dyDescent="0.35">
      <c r="A415" s="476"/>
      <c r="B415" s="653">
        <f>MEGA!A8</f>
        <v>310</v>
      </c>
      <c r="C415" s="653" t="str">
        <f>MEGA!B8</f>
        <v>HIGH POTENCY VITAMIN B FORMULA TAB</v>
      </c>
      <c r="D415" s="654">
        <f>MEGA!C8</f>
        <v>30</v>
      </c>
      <c r="E415" s="653">
        <v>375</v>
      </c>
      <c r="F415" s="38">
        <f>MEGA!E8</f>
        <v>2300</v>
      </c>
      <c r="G415" s="38">
        <f t="shared" si="26"/>
        <v>862500</v>
      </c>
      <c r="H415" s="76"/>
    </row>
    <row r="416" spans="1:8" x14ac:dyDescent="0.35">
      <c r="A416" s="476"/>
      <c r="B416" s="653">
        <f>MEGA!A9</f>
        <v>321</v>
      </c>
      <c r="C416" s="653" t="str">
        <f>MEGA!B9</f>
        <v>PHOSPHOLIPIDS/VIT E/VIT B COMPLEX</v>
      </c>
      <c r="D416" s="654">
        <f>MEGA!C9</f>
        <v>30</v>
      </c>
      <c r="E416" s="653">
        <v>100</v>
      </c>
      <c r="F416" s="38">
        <f>MEGA!E9</f>
        <v>1500</v>
      </c>
      <c r="G416" s="38">
        <f t="shared" si="26"/>
        <v>150000</v>
      </c>
      <c r="H416" s="76"/>
    </row>
    <row r="417" spans="1:8" x14ac:dyDescent="0.35">
      <c r="A417" s="476"/>
      <c r="B417" s="653">
        <f>MEGA!A10</f>
        <v>188</v>
      </c>
      <c r="C417" s="653" t="str">
        <f>MEGA!B10</f>
        <v>PREGABALIN 75MG CAP</v>
      </c>
      <c r="D417" s="654">
        <f>MEGA!C10</f>
        <v>30</v>
      </c>
      <c r="E417" s="653">
        <f>400*0.3</f>
        <v>120</v>
      </c>
      <c r="F417" s="38">
        <f>MEGA!E10</f>
        <v>2000</v>
      </c>
      <c r="G417" s="38">
        <f t="shared" si="26"/>
        <v>240000</v>
      </c>
      <c r="H417" s="76"/>
    </row>
    <row r="418" spans="1:8" ht="23.25" x14ac:dyDescent="0.35">
      <c r="A418" s="476"/>
      <c r="B418" s="653">
        <f>MEGA!A11</f>
        <v>107</v>
      </c>
      <c r="C418" s="653" t="str">
        <f>MEGA!B11</f>
        <v>TELMISARTAN 80MG TAB</v>
      </c>
      <c r="D418" s="654">
        <f>MEGA!C11</f>
        <v>30</v>
      </c>
      <c r="E418" s="653">
        <v>20</v>
      </c>
      <c r="F418" s="38">
        <f>MEGA!E11</f>
        <v>2500</v>
      </c>
      <c r="G418" s="38">
        <f t="shared" si="26"/>
        <v>50000</v>
      </c>
      <c r="H418" s="186"/>
    </row>
    <row r="419" spans="1:8" ht="23.25" x14ac:dyDescent="0.35">
      <c r="A419" s="476"/>
      <c r="B419" s="653">
        <f>MEGA!A12</f>
        <v>334</v>
      </c>
      <c r="C419" s="653" t="str">
        <f>MEGA!B12</f>
        <v>URSODEOXYCHOLIC ACID 300MG TAB</v>
      </c>
      <c r="D419" s="654">
        <f>MEGA!C12</f>
        <v>30</v>
      </c>
      <c r="E419" s="653">
        <v>5</v>
      </c>
      <c r="F419" s="38">
        <f>MEGA!E12</f>
        <v>7900</v>
      </c>
      <c r="G419" s="38">
        <f t="shared" si="26"/>
        <v>39500</v>
      </c>
      <c r="H419" s="186">
        <f>SUM(G413:G419)</f>
        <v>1695750</v>
      </c>
    </row>
    <row r="420" spans="1:8" ht="18.75" x14ac:dyDescent="0.3">
      <c r="A420" s="476"/>
      <c r="B420" s="653"/>
      <c r="C420" s="653"/>
      <c r="D420" s="654"/>
      <c r="E420" s="653"/>
      <c r="F420" s="38"/>
      <c r="G420" s="38"/>
      <c r="H420" s="35"/>
    </row>
    <row r="421" spans="1:8" ht="18.75" x14ac:dyDescent="0.3">
      <c r="A421" s="476"/>
      <c r="B421" s="653"/>
      <c r="C421" s="653"/>
      <c r="D421" s="654"/>
      <c r="E421" s="653"/>
      <c r="F421" s="38"/>
      <c r="G421" s="38"/>
      <c r="H421" s="35"/>
    </row>
    <row r="422" spans="1:8" ht="23.25" x14ac:dyDescent="0.35">
      <c r="A422" s="476">
        <v>30</v>
      </c>
      <c r="B422" s="653"/>
      <c r="C422" s="656" t="str">
        <f>MICRONOVA!B1</f>
        <v>MICRONOVA PHARMACEUTICALS</v>
      </c>
      <c r="D422" s="654"/>
      <c r="E422" s="653"/>
      <c r="F422" s="38"/>
      <c r="G422" s="38"/>
      <c r="H422" s="76"/>
    </row>
    <row r="423" spans="1:8" ht="18.75" x14ac:dyDescent="0.3">
      <c r="A423" s="476"/>
      <c r="B423" s="653">
        <f>MICRONOVA!A7</f>
        <v>48</v>
      </c>
      <c r="C423" s="653" t="str">
        <f>MICRONOVA!B7</f>
        <v>ATORVASTATIN 10MG</v>
      </c>
      <c r="D423" s="654">
        <f>MICRONOVA!C7</f>
        <v>30</v>
      </c>
      <c r="E423" s="653">
        <v>250</v>
      </c>
      <c r="F423" s="38">
        <f>MICRONOVA!E7</f>
        <v>325</v>
      </c>
      <c r="G423" s="38">
        <f t="shared" ref="G423:G476" si="29">E423*F423</f>
        <v>81250</v>
      </c>
      <c r="H423" s="35"/>
    </row>
    <row r="424" spans="1:8" ht="18.75" x14ac:dyDescent="0.3">
      <c r="A424" s="476"/>
      <c r="B424" s="653">
        <f>MICRONOVA!A10</f>
        <v>225</v>
      </c>
      <c r="C424" s="653" t="str">
        <f>MICRONOVA!B10</f>
        <v>CEFPODOXIME 200MG TAB</v>
      </c>
      <c r="D424" s="654">
        <f>MICRONOVA!C10</f>
        <v>10</v>
      </c>
      <c r="E424" s="653">
        <v>30</v>
      </c>
      <c r="F424" s="38">
        <f>MICRONOVA!E10</f>
        <v>950</v>
      </c>
      <c r="G424" s="38">
        <f t="shared" si="29"/>
        <v>28500</v>
      </c>
      <c r="H424" s="35"/>
    </row>
    <row r="425" spans="1:8" x14ac:dyDescent="0.35">
      <c r="A425" s="476"/>
      <c r="B425" s="653">
        <f>MICRONOVA!A13</f>
        <v>120</v>
      </c>
      <c r="C425" s="653" t="str">
        <f>MICRONOVA!B13</f>
        <v>GLIMEPIRIDE 2MG TAB</v>
      </c>
      <c r="D425" s="654">
        <f>MICRONOVA!C13</f>
        <v>30</v>
      </c>
      <c r="E425" s="653">
        <v>100</v>
      </c>
      <c r="F425" s="38">
        <f>MICRONOVA!E13</f>
        <v>750</v>
      </c>
      <c r="G425" s="38">
        <f t="shared" si="29"/>
        <v>75000</v>
      </c>
      <c r="H425" s="76"/>
    </row>
    <row r="426" spans="1:8" x14ac:dyDescent="0.35">
      <c r="A426" s="476"/>
      <c r="B426" s="653">
        <f>MICRONOVA!A14</f>
        <v>515</v>
      </c>
      <c r="C426" s="653" t="str">
        <f>MICRONOVA!B14</f>
        <v>KETOROLAC TROMETHAMINE GTT</v>
      </c>
      <c r="D426" s="654" t="str">
        <f>MICRONOVA!C14</f>
        <v>BOTT</v>
      </c>
      <c r="E426" s="653">
        <v>5</v>
      </c>
      <c r="F426" s="38">
        <f>MICRONOVA!E14</f>
        <v>650</v>
      </c>
      <c r="G426" s="38">
        <f t="shared" si="29"/>
        <v>3250</v>
      </c>
      <c r="H426" s="76"/>
    </row>
    <row r="427" spans="1:8" x14ac:dyDescent="0.35">
      <c r="A427" s="476"/>
      <c r="B427" s="653">
        <f>MICRONOVA!A15</f>
        <v>170</v>
      </c>
      <c r="C427" s="653" t="str">
        <f>MICRONOVA!B15</f>
        <v>METHYLCOBALAMINE/MULTIVITAMINS/MULTIMINERALS/ANTIOXIDANTS</v>
      </c>
      <c r="D427" s="654">
        <f>MICRONOVA!C15</f>
        <v>30</v>
      </c>
      <c r="E427" s="653">
        <v>200</v>
      </c>
      <c r="F427" s="38">
        <f>MICRONOVA!E15</f>
        <v>1795</v>
      </c>
      <c r="G427" s="38">
        <f t="shared" si="29"/>
        <v>359000</v>
      </c>
      <c r="H427" s="76"/>
    </row>
    <row r="428" spans="1:8" x14ac:dyDescent="0.35">
      <c r="A428" s="476"/>
      <c r="B428" s="653">
        <f>MICRONOVA!A16</f>
        <v>83</v>
      </c>
      <c r="C428" s="653" t="str">
        <f>MICRONOVA!B16</f>
        <v>METOPROLOL SUCCINATE 25MG TAB</v>
      </c>
      <c r="D428" s="654">
        <f>MICRONOVA!C16</f>
        <v>30</v>
      </c>
      <c r="E428" s="653">
        <v>30</v>
      </c>
      <c r="F428" s="38">
        <f>MICRONOVA!E16</f>
        <v>671</v>
      </c>
      <c r="G428" s="38">
        <f t="shared" si="29"/>
        <v>20130</v>
      </c>
      <c r="H428" s="76"/>
    </row>
    <row r="429" spans="1:8" x14ac:dyDescent="0.35">
      <c r="A429" s="476"/>
      <c r="B429" s="653">
        <f>MICRONOVA!A17</f>
        <v>84</v>
      </c>
      <c r="C429" s="653" t="str">
        <f>MICRONOVA!B17</f>
        <v>METOPROLOL SUCCINATE 50MG TAB</v>
      </c>
      <c r="D429" s="654">
        <f>MICRONOVA!C17</f>
        <v>30</v>
      </c>
      <c r="E429" s="653">
        <v>30</v>
      </c>
      <c r="F429" s="38">
        <f>MICRONOVA!E17</f>
        <v>849</v>
      </c>
      <c r="G429" s="38">
        <f t="shared" si="29"/>
        <v>25470</v>
      </c>
      <c r="H429" s="76"/>
    </row>
    <row r="430" spans="1:8" x14ac:dyDescent="0.35">
      <c r="A430" s="476"/>
      <c r="B430" s="653">
        <f>MICRONOVA!A18</f>
        <v>488</v>
      </c>
      <c r="C430" s="653" t="str">
        <f>MICRONOVA!B18</f>
        <v>MONTELUKAST 10MG/LEVOCETIRIZIN 5MG</v>
      </c>
      <c r="D430" s="654">
        <f>MICRONOVA!C18</f>
        <v>30</v>
      </c>
      <c r="E430" s="653">
        <v>10</v>
      </c>
      <c r="F430" s="38">
        <f>MICRONOVA!E18</f>
        <v>975</v>
      </c>
      <c r="G430" s="38">
        <f t="shared" si="29"/>
        <v>9750</v>
      </c>
      <c r="H430" s="76"/>
    </row>
    <row r="431" spans="1:8" x14ac:dyDescent="0.35">
      <c r="A431" s="476"/>
      <c r="B431" s="653">
        <f>MICRONOVA!A19</f>
        <v>269</v>
      </c>
      <c r="C431" s="653" t="str">
        <f>MICRONOVA!B19</f>
        <v>MOXIFLOXACIN 400MG TAB</v>
      </c>
      <c r="D431" s="654">
        <f>MICRONOVA!C19</f>
        <v>10</v>
      </c>
      <c r="E431" s="653">
        <v>10</v>
      </c>
      <c r="F431" s="38">
        <f>MICRONOVA!E19</f>
        <v>1550</v>
      </c>
      <c r="G431" s="38">
        <f t="shared" si="29"/>
        <v>15500</v>
      </c>
      <c r="H431" s="76"/>
    </row>
    <row r="432" spans="1:8" x14ac:dyDescent="0.35">
      <c r="A432" s="476"/>
      <c r="B432" s="653">
        <f>MICRONOVA!A20</f>
        <v>518</v>
      </c>
      <c r="C432" s="653" t="str">
        <f>MICRONOVA!B20</f>
        <v>MOXIFLOXACIN GT</v>
      </c>
      <c r="D432" s="654" t="str">
        <f>MICRONOVA!C20</f>
        <v>BOTT</v>
      </c>
      <c r="E432" s="653">
        <v>10</v>
      </c>
      <c r="F432" s="38">
        <f>MICRONOVA!E20</f>
        <v>550</v>
      </c>
      <c r="G432" s="38">
        <f t="shared" si="29"/>
        <v>5500</v>
      </c>
      <c r="H432" s="76"/>
    </row>
    <row r="433" spans="1:8" x14ac:dyDescent="0.35">
      <c r="A433" s="476"/>
      <c r="B433" s="653">
        <f>MICRONOVA!A21</f>
        <v>85</v>
      </c>
      <c r="C433" s="653" t="str">
        <f>MICRONOVA!B21</f>
        <v>NEBIVOLOL 5MG</v>
      </c>
      <c r="D433" s="654">
        <f>MICRONOVA!C21</f>
        <v>30</v>
      </c>
      <c r="E433" s="653">
        <v>3</v>
      </c>
      <c r="F433" s="38">
        <f>MICRONOVA!E21</f>
        <v>1895</v>
      </c>
      <c r="G433" s="38">
        <f t="shared" si="29"/>
        <v>5685</v>
      </c>
      <c r="H433" s="76"/>
    </row>
    <row r="434" spans="1:8" x14ac:dyDescent="0.35">
      <c r="A434" s="476"/>
      <c r="B434" s="653">
        <f>MICRONOVA!A22</f>
        <v>86</v>
      </c>
      <c r="C434" s="653" t="str">
        <f>MICRONOVA!B22</f>
        <v>NEBIVOLOL 5MG/HYDROCHLOROTHIAZIDE 12.5MG</v>
      </c>
      <c r="D434" s="654">
        <f>MICRONOVA!C22</f>
        <v>30</v>
      </c>
      <c r="E434" s="653">
        <v>3</v>
      </c>
      <c r="F434" s="38">
        <f>MICRONOVA!E22</f>
        <v>1990</v>
      </c>
      <c r="G434" s="38">
        <f t="shared" si="29"/>
        <v>5970</v>
      </c>
      <c r="H434" s="76"/>
    </row>
    <row r="435" spans="1:8" x14ac:dyDescent="0.35">
      <c r="A435" s="476"/>
      <c r="B435" s="653">
        <f>MICRONOVA!A24</f>
        <v>441</v>
      </c>
      <c r="C435" s="653" t="str">
        <f>MICRONOVA!B24</f>
        <v>OMEPRAZOLE 20MG/DOMPERIDONE 10MG</v>
      </c>
      <c r="D435" s="654">
        <f>MICRONOVA!C24</f>
        <v>10</v>
      </c>
      <c r="E435" s="653">
        <v>25</v>
      </c>
      <c r="F435" s="38">
        <f>MICRONOVA!E24</f>
        <v>900</v>
      </c>
      <c r="G435" s="38">
        <f t="shared" si="29"/>
        <v>22500</v>
      </c>
      <c r="H435" s="76"/>
    </row>
    <row r="436" spans="1:8" x14ac:dyDescent="0.35">
      <c r="A436" s="476"/>
      <c r="B436" s="653">
        <f>MICRONOVA!A26</f>
        <v>327</v>
      </c>
      <c r="C436" s="653" t="str">
        <f>MICRONOVA!B26</f>
        <v>SILYMARIN 140MG TAB</v>
      </c>
      <c r="D436" s="654">
        <f>MICRONOVA!C26</f>
        <v>30</v>
      </c>
      <c r="E436" s="653">
        <v>5</v>
      </c>
      <c r="F436" s="38">
        <f>MICRONOVA!E26</f>
        <v>1908</v>
      </c>
      <c r="G436" s="38">
        <f t="shared" si="29"/>
        <v>9540</v>
      </c>
      <c r="H436" s="76"/>
    </row>
    <row r="437" spans="1:8" x14ac:dyDescent="0.35">
      <c r="A437" s="476"/>
      <c r="B437" s="653">
        <f>MICRONOVA!A27</f>
        <v>328</v>
      </c>
      <c r="C437" s="653" t="str">
        <f>MICRONOVA!B27</f>
        <v>SILYMARIN 70MG TAB</v>
      </c>
      <c r="D437" s="654">
        <f>MICRONOVA!C27</f>
        <v>30</v>
      </c>
      <c r="E437" s="653">
        <v>10</v>
      </c>
      <c r="F437" s="38">
        <f>MICRONOVA!E27</f>
        <v>1265</v>
      </c>
      <c r="G437" s="38">
        <f t="shared" si="29"/>
        <v>12650</v>
      </c>
      <c r="H437" s="76"/>
    </row>
    <row r="438" spans="1:8" x14ac:dyDescent="0.35">
      <c r="A438" s="476"/>
      <c r="B438" s="653">
        <v>114</v>
      </c>
      <c r="C438" s="653" t="s">
        <v>77</v>
      </c>
      <c r="D438" s="654">
        <v>5</v>
      </c>
      <c r="E438" s="653">
        <v>80</v>
      </c>
      <c r="F438" s="38">
        <v>595</v>
      </c>
      <c r="G438" s="38">
        <f t="shared" si="29"/>
        <v>47600</v>
      </c>
      <c r="H438" s="76"/>
    </row>
    <row r="439" spans="1:8" x14ac:dyDescent="0.35">
      <c r="A439" s="476"/>
      <c r="B439" s="653">
        <f>MICRONOVA!A28</f>
        <v>530</v>
      </c>
      <c r="C439" s="653" t="str">
        <f>MICRONOVA!B28</f>
        <v>TIMOLOL/DORZOLAMIDE GTT</v>
      </c>
      <c r="D439" s="654" t="str">
        <f>MICRONOVA!C28</f>
        <v>BOTT</v>
      </c>
      <c r="E439" s="653">
        <v>200</v>
      </c>
      <c r="F439" s="38">
        <f>MICRONOVA!E28</f>
        <v>2200</v>
      </c>
      <c r="G439" s="38">
        <f t="shared" si="29"/>
        <v>440000</v>
      </c>
      <c r="H439" s="76"/>
    </row>
    <row r="440" spans="1:8" ht="23.25" x14ac:dyDescent="0.35">
      <c r="A440" s="476"/>
      <c r="B440" s="653">
        <f>MICRONOVA!A31</f>
        <v>113</v>
      </c>
      <c r="C440" s="653" t="str">
        <f>MICRONOVA!B31</f>
        <v>TORSEMIDE 20MG TAB</v>
      </c>
      <c r="D440" s="654">
        <f>MICRONOVA!C31</f>
        <v>30</v>
      </c>
      <c r="E440" s="653">
        <v>100</v>
      </c>
      <c r="F440" s="38">
        <f>MICRONOVA!E31</f>
        <v>1290</v>
      </c>
      <c r="G440" s="38">
        <f t="shared" si="29"/>
        <v>129000</v>
      </c>
      <c r="H440" s="186">
        <f>SUM(G423:G440)</f>
        <v>1296295</v>
      </c>
    </row>
    <row r="441" spans="1:8" ht="23.25" x14ac:dyDescent="0.35">
      <c r="A441" s="476"/>
      <c r="B441" s="653"/>
      <c r="C441" s="653"/>
      <c r="D441" s="654"/>
      <c r="E441" s="653"/>
      <c r="F441" s="38"/>
      <c r="G441" s="38"/>
      <c r="H441" s="186"/>
    </row>
    <row r="442" spans="1:8" ht="23.25" x14ac:dyDescent="0.35">
      <c r="A442" s="476"/>
      <c r="B442" s="653"/>
      <c r="C442" s="653"/>
      <c r="D442" s="654"/>
      <c r="E442" s="653"/>
      <c r="F442" s="38"/>
      <c r="G442" s="38"/>
      <c r="H442" s="186"/>
    </row>
    <row r="443" spans="1:8" x14ac:dyDescent="0.35">
      <c r="A443" s="476"/>
      <c r="B443" s="653"/>
      <c r="C443" s="653"/>
      <c r="D443" s="654"/>
      <c r="E443" s="653"/>
      <c r="F443" s="38"/>
      <c r="G443" s="38"/>
      <c r="H443" s="76"/>
    </row>
    <row r="444" spans="1:8" ht="23.25" x14ac:dyDescent="0.35">
      <c r="A444" s="476">
        <v>31</v>
      </c>
      <c r="B444" s="653"/>
      <c r="C444" s="656" t="str">
        <f>MFLASH!B1</f>
        <v>MIRAFLASH NIGERIA LIMITED</v>
      </c>
      <c r="D444" s="654"/>
      <c r="E444" s="653"/>
      <c r="F444" s="38"/>
      <c r="G444" s="38"/>
      <c r="H444" s="76"/>
    </row>
    <row r="445" spans="1:8" x14ac:dyDescent="0.35">
      <c r="A445" s="476"/>
      <c r="B445" s="653">
        <f>MFLASH!A6</f>
        <v>39</v>
      </c>
      <c r="C445" s="653" t="str">
        <f>MFLASH!B6</f>
        <v>AMLODIPINE 5MG TAB</v>
      </c>
      <c r="D445" s="654">
        <f>MFLASH!C6</f>
        <v>28</v>
      </c>
      <c r="E445" s="653">
        <v>625</v>
      </c>
      <c r="F445" s="38">
        <f>MFLASH!E6</f>
        <v>190</v>
      </c>
      <c r="G445" s="38">
        <f t="shared" si="29"/>
        <v>118750</v>
      </c>
      <c r="H445" s="76"/>
    </row>
    <row r="446" spans="1:8" x14ac:dyDescent="0.35">
      <c r="A446" s="476"/>
      <c r="B446" s="653">
        <f>MFLASH!A7</f>
        <v>197</v>
      </c>
      <c r="C446" s="653" t="str">
        <f>MFLASH!B7</f>
        <v>AMOXICILLIN 125MG/5ML SUSPENSION</v>
      </c>
      <c r="D446" s="654" t="str">
        <f>MFLASH!C7</f>
        <v>BOTT</v>
      </c>
      <c r="E446" s="653">
        <v>300</v>
      </c>
      <c r="F446" s="38">
        <f>MFLASH!E7</f>
        <v>185</v>
      </c>
      <c r="G446" s="38">
        <f t="shared" si="29"/>
        <v>55500</v>
      </c>
      <c r="H446" s="76"/>
    </row>
    <row r="447" spans="1:8" x14ac:dyDescent="0.35">
      <c r="A447" s="476"/>
      <c r="B447" s="653">
        <f>MFLASH!A8</f>
        <v>225</v>
      </c>
      <c r="C447" s="653" t="str">
        <f>MFLASH!B8</f>
        <v>CEFPODOXIME 200MG TAB</v>
      </c>
      <c r="D447" s="654">
        <f>MFLASH!C8</f>
        <v>10</v>
      </c>
      <c r="E447" s="653">
        <v>20</v>
      </c>
      <c r="F447" s="38">
        <f>MFLASH!E8</f>
        <v>1600</v>
      </c>
      <c r="G447" s="38">
        <f t="shared" si="29"/>
        <v>32000</v>
      </c>
      <c r="H447" s="76"/>
    </row>
    <row r="448" spans="1:8" ht="23.25" x14ac:dyDescent="0.35">
      <c r="A448" s="476"/>
      <c r="B448" s="653">
        <f>MFLASH!A9</f>
        <v>230</v>
      </c>
      <c r="C448" s="653" t="str">
        <f>MFLASH!B9</f>
        <v>CEFUROXIME 250MG TAB</v>
      </c>
      <c r="D448" s="654">
        <f>MFLASH!C9</f>
        <v>10</v>
      </c>
      <c r="E448" s="653">
        <v>250</v>
      </c>
      <c r="F448" s="38">
        <f>MFLASH!E9</f>
        <v>600</v>
      </c>
      <c r="G448" s="38">
        <f t="shared" si="29"/>
        <v>150000</v>
      </c>
      <c r="H448" s="186">
        <f>SUM(G445:G448)</f>
        <v>356250</v>
      </c>
    </row>
    <row r="449" spans="1:8" ht="23.25" x14ac:dyDescent="0.35">
      <c r="A449" s="476"/>
      <c r="B449" s="653"/>
      <c r="C449" s="653"/>
      <c r="D449" s="654"/>
      <c r="E449" s="653"/>
      <c r="F449" s="38"/>
      <c r="G449" s="38"/>
      <c r="H449" s="186"/>
    </row>
    <row r="450" spans="1:8" x14ac:dyDescent="0.35">
      <c r="A450" s="476"/>
      <c r="B450" s="653"/>
      <c r="C450" s="653"/>
      <c r="D450" s="654"/>
      <c r="E450" s="653"/>
      <c r="F450" s="38"/>
      <c r="G450" s="38"/>
      <c r="H450" s="76"/>
    </row>
    <row r="451" spans="1:8" ht="23.25" x14ac:dyDescent="0.35">
      <c r="A451" s="476">
        <v>32</v>
      </c>
      <c r="B451" s="653"/>
      <c r="C451" s="656" t="str">
        <f>MORISON!B1</f>
        <v>MORISON INDUSTRIES PLC</v>
      </c>
      <c r="D451" s="654"/>
      <c r="E451" s="653"/>
      <c r="F451" s="38"/>
      <c r="G451" s="38"/>
      <c r="H451" s="76"/>
    </row>
    <row r="452" spans="1:8" ht="23.25" x14ac:dyDescent="0.35">
      <c r="A452" s="476"/>
      <c r="B452" s="653">
        <f>MORISON!A6</f>
        <v>671</v>
      </c>
      <c r="C452" s="653" t="str">
        <f>MORISON!B6</f>
        <v>CHLORHEXIDINE GLUCONATE 5% (HIBITANE)</v>
      </c>
      <c r="D452" s="654" t="str">
        <f>MORISON!C6</f>
        <v>4L</v>
      </c>
      <c r="E452" s="653">
        <v>8</v>
      </c>
      <c r="F452" s="38">
        <f>MORISON!E6</f>
        <v>7400</v>
      </c>
      <c r="G452" s="38">
        <f t="shared" si="29"/>
        <v>59200</v>
      </c>
      <c r="H452" s="186"/>
    </row>
    <row r="453" spans="1:8" x14ac:dyDescent="0.35">
      <c r="A453" s="476"/>
      <c r="B453" s="653">
        <f>MORISON!A7</f>
        <v>674</v>
      </c>
      <c r="C453" s="653" t="str">
        <f>MORISON!B7</f>
        <v>GLUTARALDEHYDE (4 LITRES)</v>
      </c>
      <c r="D453" s="654" t="str">
        <f>MORISON!C7</f>
        <v>KEG</v>
      </c>
      <c r="E453" s="653">
        <v>3</v>
      </c>
      <c r="F453" s="38">
        <f>MORISON!E7</f>
        <v>3450</v>
      </c>
      <c r="G453" s="38">
        <f t="shared" si="29"/>
        <v>10350</v>
      </c>
      <c r="H453" s="76"/>
    </row>
    <row r="454" spans="1:8" x14ac:dyDescent="0.35">
      <c r="A454" s="476"/>
      <c r="B454" s="653">
        <f>MORISON!A8</f>
        <v>680</v>
      </c>
      <c r="C454" s="653" t="str">
        <f>MORISON!B8</f>
        <v>MORIGAD DISINFECTANT (4 LITRES)</v>
      </c>
      <c r="D454" s="654" t="str">
        <f>MORISON!C8</f>
        <v>KEG</v>
      </c>
      <c r="E454" s="653">
        <v>3</v>
      </c>
      <c r="F454" s="38">
        <f>MORISON!E8</f>
        <v>5175</v>
      </c>
      <c r="G454" s="38">
        <f t="shared" si="29"/>
        <v>15525</v>
      </c>
      <c r="H454" s="76"/>
    </row>
    <row r="455" spans="1:8" ht="23.25" x14ac:dyDescent="0.35">
      <c r="A455" s="476"/>
      <c r="B455" s="653">
        <f>MORISON!A9</f>
        <v>677</v>
      </c>
      <c r="C455" s="653" t="str">
        <f>MORISON!B9</f>
        <v>MORIGAD GERMICIDE (4 LITRE)</v>
      </c>
      <c r="D455" s="654" t="str">
        <f>MORISON!C9</f>
        <v>KEG</v>
      </c>
      <c r="E455" s="653">
        <v>1</v>
      </c>
      <c r="F455" s="38">
        <f>MORISON!E9</f>
        <v>5550</v>
      </c>
      <c r="G455" s="38">
        <f t="shared" si="29"/>
        <v>5550</v>
      </c>
      <c r="H455" s="186">
        <f>SUM(G452:G455)</f>
        <v>90625</v>
      </c>
    </row>
    <row r="456" spans="1:8" ht="23.25" x14ac:dyDescent="0.35">
      <c r="A456" s="476"/>
      <c r="B456" s="653"/>
      <c r="C456" s="653"/>
      <c r="D456" s="654"/>
      <c r="E456" s="653"/>
      <c r="F456" s="38"/>
      <c r="G456" s="38"/>
      <c r="H456" s="186"/>
    </row>
    <row r="457" spans="1:8" ht="23.25" x14ac:dyDescent="0.35">
      <c r="A457" s="476">
        <v>33</v>
      </c>
      <c r="B457" s="653"/>
      <c r="C457" s="656" t="str">
        <f>NHC!B1</f>
        <v>NHC PHARMACEUTICALS LIMITED</v>
      </c>
      <c r="D457" s="654"/>
      <c r="E457" s="653"/>
      <c r="F457" s="38"/>
      <c r="G457" s="38"/>
      <c r="H457" s="76"/>
    </row>
    <row r="458" spans="1:8" x14ac:dyDescent="0.35">
      <c r="A458" s="476"/>
      <c r="B458" s="653">
        <f>NHC!A6</f>
        <v>214</v>
      </c>
      <c r="C458" s="653" t="str">
        <f>NHC!B6</f>
        <v>AMPICILLIN+SULBACTAM INJ</v>
      </c>
      <c r="D458" s="654" t="str">
        <f>NHC!C6</f>
        <v>VIAL</v>
      </c>
      <c r="E458" s="653">
        <v>100</v>
      </c>
      <c r="F458" s="38">
        <f>NHC!E6</f>
        <v>829</v>
      </c>
      <c r="G458" s="38">
        <f t="shared" si="29"/>
        <v>82900</v>
      </c>
      <c r="H458" s="76"/>
    </row>
    <row r="459" spans="1:8" x14ac:dyDescent="0.35">
      <c r="A459" s="476"/>
      <c r="B459" s="653">
        <f>NHC!A7</f>
        <v>146</v>
      </c>
      <c r="C459" s="653" t="str">
        <f>NHC!B7</f>
        <v>CELECOXIB 200MG CAP</v>
      </c>
      <c r="D459" s="654">
        <f>NHC!C7</f>
        <v>100</v>
      </c>
      <c r="E459" s="653">
        <v>100</v>
      </c>
      <c r="F459" s="38">
        <f>NHC!E7</f>
        <v>15517</v>
      </c>
      <c r="G459" s="38">
        <f t="shared" si="29"/>
        <v>1551700</v>
      </c>
      <c r="H459" s="76"/>
    </row>
    <row r="460" spans="1:8" x14ac:dyDescent="0.35">
      <c r="A460" s="476"/>
      <c r="B460" s="653">
        <f>NHC!A8</f>
        <v>239</v>
      </c>
      <c r="C460" s="653" t="str">
        <f>NHC!B8</f>
        <v>CLINDAMYCIN 300MG CAP</v>
      </c>
      <c r="D460" s="654">
        <f>NHC!C8</f>
        <v>16</v>
      </c>
      <c r="E460" s="653">
        <v>100</v>
      </c>
      <c r="F460" s="38">
        <f>NHC!E8</f>
        <v>2579</v>
      </c>
      <c r="G460" s="38">
        <f t="shared" si="29"/>
        <v>257900</v>
      </c>
      <c r="H460" s="76"/>
    </row>
    <row r="461" spans="1:8" x14ac:dyDescent="0.35">
      <c r="A461" s="476"/>
      <c r="B461" s="653">
        <f>NHC!A9</f>
        <v>157</v>
      </c>
      <c r="C461" s="653" t="str">
        <f>NHC!B9</f>
        <v>DICLOFENAC/MISOPROSTOL TAB</v>
      </c>
      <c r="D461" s="654">
        <f>NHC!C9</f>
        <v>100</v>
      </c>
      <c r="E461" s="653">
        <v>150</v>
      </c>
      <c r="F461" s="38">
        <f>NHC!E9</f>
        <v>5559</v>
      </c>
      <c r="G461" s="38">
        <f t="shared" si="29"/>
        <v>833850</v>
      </c>
      <c r="H461" s="76"/>
    </row>
    <row r="462" spans="1:8" x14ac:dyDescent="0.35">
      <c r="A462" s="476"/>
      <c r="B462" s="653">
        <f>NHC!A10</f>
        <v>313</v>
      </c>
      <c r="C462" s="653" t="str">
        <f>NHC!B10</f>
        <v>JOBELYN CAP</v>
      </c>
      <c r="D462" s="654">
        <f>NHC!C10</f>
        <v>100</v>
      </c>
      <c r="E462" s="653">
        <v>2</v>
      </c>
      <c r="F462" s="38">
        <f>NHC!E10</f>
        <v>4450</v>
      </c>
      <c r="G462" s="38">
        <f t="shared" si="29"/>
        <v>8900</v>
      </c>
      <c r="H462" s="76"/>
    </row>
    <row r="463" spans="1:8" x14ac:dyDescent="0.35">
      <c r="A463" s="476"/>
      <c r="B463" s="653">
        <f>NHC!A11</f>
        <v>259</v>
      </c>
      <c r="C463" s="653" t="str">
        <f>NHC!B11</f>
        <v>KETOCONAZOLE SHAMPOO</v>
      </c>
      <c r="D463" s="654" t="str">
        <f>NHC!C11</f>
        <v>TUBE</v>
      </c>
      <c r="E463" s="653">
        <v>5</v>
      </c>
      <c r="F463" s="38">
        <f>NHC!E11</f>
        <v>1825</v>
      </c>
      <c r="G463" s="38">
        <f t="shared" si="29"/>
        <v>9125</v>
      </c>
      <c r="H463" s="76"/>
    </row>
    <row r="464" spans="1:8" x14ac:dyDescent="0.35">
      <c r="A464" s="476"/>
      <c r="B464" s="653">
        <f>NHC!A12</f>
        <v>516</v>
      </c>
      <c r="C464" s="653" t="str">
        <f>NHC!B12</f>
        <v>LATANOPROST 0.05%</v>
      </c>
      <c r="D464" s="654" t="str">
        <f>NHC!C12</f>
        <v>BOTT</v>
      </c>
      <c r="E464" s="653">
        <v>100</v>
      </c>
      <c r="F464" s="38">
        <f>NHC!E12</f>
        <v>4069</v>
      </c>
      <c r="G464" s="38">
        <f t="shared" si="29"/>
        <v>406900</v>
      </c>
      <c r="H464" s="76"/>
    </row>
    <row r="465" spans="1:8" x14ac:dyDescent="0.35">
      <c r="A465" s="476"/>
      <c r="B465" s="653">
        <f>NHC!A13</f>
        <v>517</v>
      </c>
      <c r="C465" s="653" t="str">
        <f>NHC!B13</f>
        <v>LATANOPROST+TIMOLOL GTT</v>
      </c>
      <c r="D465" s="654" t="str">
        <f>NHC!C13</f>
        <v>BOTT</v>
      </c>
      <c r="E465" s="653">
        <v>75</v>
      </c>
      <c r="F465" s="38">
        <f>NHC!E13</f>
        <v>4282</v>
      </c>
      <c r="G465" s="38">
        <f t="shared" si="29"/>
        <v>321150</v>
      </c>
      <c r="H465" s="76"/>
    </row>
    <row r="466" spans="1:8" x14ac:dyDescent="0.35">
      <c r="A466" s="476"/>
      <c r="B466" s="653">
        <f>NHC!A14</f>
        <v>263</v>
      </c>
      <c r="C466" s="653" t="str">
        <f>NHC!B14</f>
        <v>MEROPENEM 1GM INJ</v>
      </c>
      <c r="D466" s="654" t="str">
        <f>NHC!C14</f>
        <v>VIAL</v>
      </c>
      <c r="E466" s="653">
        <v>50</v>
      </c>
      <c r="F466" s="38">
        <f>NHC!E14</f>
        <v>11067</v>
      </c>
      <c r="G466" s="38">
        <f t="shared" si="29"/>
        <v>553350</v>
      </c>
      <c r="H466" s="76"/>
    </row>
    <row r="467" spans="1:8" x14ac:dyDescent="0.35">
      <c r="A467" s="476"/>
      <c r="B467" s="653">
        <f>NHC!A15</f>
        <v>390</v>
      </c>
      <c r="C467" s="653" t="str">
        <f>NHC!B15</f>
        <v>MISOPROSTOL200MCG TAB</v>
      </c>
      <c r="D467" s="654">
        <f>NHC!C15</f>
        <v>60</v>
      </c>
      <c r="E467" s="653">
        <v>10</v>
      </c>
      <c r="F467" s="38">
        <f>NHC!E15</f>
        <v>2579</v>
      </c>
      <c r="G467" s="38">
        <f t="shared" si="29"/>
        <v>25790</v>
      </c>
      <c r="H467" s="76"/>
    </row>
    <row r="468" spans="1:8" ht="23.25" x14ac:dyDescent="0.35">
      <c r="A468" s="476"/>
      <c r="B468" s="653">
        <f>NHC!A16</f>
        <v>193</v>
      </c>
      <c r="C468" s="653" t="str">
        <f>NHC!B16</f>
        <v>TRAMADOL 50MG CAP</v>
      </c>
      <c r="D468" s="654">
        <f>NHC!C16</f>
        <v>100</v>
      </c>
      <c r="E468" s="653">
        <v>75</v>
      </c>
      <c r="F468" s="38">
        <f>NHC!E16</f>
        <v>6500</v>
      </c>
      <c r="G468" s="38">
        <f t="shared" si="29"/>
        <v>487500</v>
      </c>
      <c r="H468" s="186">
        <f>SUM(G458:G468)</f>
        <v>4539065</v>
      </c>
    </row>
    <row r="469" spans="1:8" x14ac:dyDescent="0.35">
      <c r="A469" s="476"/>
      <c r="B469" s="653"/>
      <c r="C469" s="653"/>
      <c r="D469" s="654"/>
      <c r="E469" s="653"/>
      <c r="F469" s="38"/>
      <c r="G469" s="38"/>
      <c r="H469" s="76"/>
    </row>
    <row r="470" spans="1:8" ht="23.25" x14ac:dyDescent="0.35">
      <c r="A470" s="476">
        <v>34</v>
      </c>
      <c r="B470" s="35"/>
      <c r="C470" s="77" t="str">
        <f>OLEAF!B1</f>
        <v>OAK-LEAF PHARM. NIGERIA LIMITED</v>
      </c>
      <c r="D470" s="668"/>
      <c r="E470" s="35"/>
      <c r="F470" s="38"/>
      <c r="G470" s="38"/>
      <c r="H470" s="76"/>
    </row>
    <row r="471" spans="1:8" ht="23.25" x14ac:dyDescent="0.35">
      <c r="A471" s="476"/>
      <c r="B471" s="653">
        <f>OLEAF!A6</f>
        <v>295</v>
      </c>
      <c r="C471" s="653" t="str">
        <f>OLEAF!B6</f>
        <v>CALCIUM+VITAMIN C+VITAMIN D3</v>
      </c>
      <c r="D471" s="654">
        <f>OLEAF!C6</f>
        <v>20</v>
      </c>
      <c r="E471" s="653">
        <v>500</v>
      </c>
      <c r="F471" s="38">
        <f>OLEAF!E6</f>
        <v>900</v>
      </c>
      <c r="G471" s="38">
        <f t="shared" si="29"/>
        <v>450000</v>
      </c>
      <c r="H471" s="186">
        <f>SUM(G471:G471)</f>
        <v>450000</v>
      </c>
    </row>
    <row r="472" spans="1:8" x14ac:dyDescent="0.35">
      <c r="A472" s="476"/>
      <c r="B472" s="35"/>
      <c r="C472" s="35"/>
      <c r="D472" s="668"/>
      <c r="E472" s="35"/>
      <c r="F472" s="38"/>
      <c r="G472" s="38"/>
      <c r="H472" s="76"/>
    </row>
    <row r="473" spans="1:8" ht="23.25" x14ac:dyDescent="0.35">
      <c r="A473" s="476">
        <v>35</v>
      </c>
      <c r="B473" s="35"/>
      <c r="C473" s="77" t="str">
        <f>PHAMATEX!B1</f>
        <v>PHAMATEX INDUSTRIES LIMITED</v>
      </c>
      <c r="D473" s="668"/>
      <c r="E473" s="35"/>
      <c r="F473" s="38"/>
      <c r="G473" s="38"/>
      <c r="H473" s="76"/>
    </row>
    <row r="474" spans="1:8" x14ac:dyDescent="0.35">
      <c r="A474" s="476"/>
      <c r="B474" s="653">
        <f>PHAMATEX!A6</f>
        <v>34</v>
      </c>
      <c r="C474" s="653" t="str">
        <f>PHAMATEX!B6</f>
        <v>AMILORIDE/HCT 5/50MG TAB</v>
      </c>
      <c r="D474" s="654">
        <f>PHAMATEX!C6</f>
        <v>100</v>
      </c>
      <c r="E474" s="653">
        <v>50</v>
      </c>
      <c r="F474" s="38">
        <f>PHAMATEX!E6</f>
        <v>405</v>
      </c>
      <c r="G474" s="38">
        <f t="shared" si="29"/>
        <v>20250</v>
      </c>
      <c r="H474" s="76"/>
    </row>
    <row r="475" spans="1:8" x14ac:dyDescent="0.35">
      <c r="A475" s="476"/>
      <c r="B475" s="653">
        <f>PHAMATEX!A7</f>
        <v>46</v>
      </c>
      <c r="C475" s="653" t="str">
        <f>PHAMATEX!B7</f>
        <v>ASPIRIN 75MG TAB</v>
      </c>
      <c r="D475" s="654">
        <f>PHAMATEX!C7</f>
        <v>100</v>
      </c>
      <c r="E475" s="653">
        <v>100</v>
      </c>
      <c r="F475" s="38">
        <f>PHAMATEX!E7</f>
        <v>140</v>
      </c>
      <c r="G475" s="38">
        <f t="shared" si="29"/>
        <v>14000</v>
      </c>
      <c r="H475" s="76"/>
    </row>
    <row r="476" spans="1:8" x14ac:dyDescent="0.35">
      <c r="A476" s="476"/>
      <c r="B476" s="653">
        <f>PHAMATEX!A8</f>
        <v>242</v>
      </c>
      <c r="C476" s="653" t="str">
        <f>PHAMATEX!B8</f>
        <v>CO-TRIMOXAZOLE 480MG TAB</v>
      </c>
      <c r="D476" s="654">
        <f>PHAMATEX!C8</f>
        <v>100</v>
      </c>
      <c r="E476" s="653">
        <v>30</v>
      </c>
      <c r="F476" s="38">
        <f>PHAMATEX!E8</f>
        <v>385</v>
      </c>
      <c r="G476" s="38">
        <f t="shared" si="29"/>
        <v>11550</v>
      </c>
      <c r="H476" s="76"/>
    </row>
    <row r="477" spans="1:8" x14ac:dyDescent="0.35">
      <c r="A477" s="476"/>
      <c r="B477" s="653">
        <f>PHAMATEX!A9</f>
        <v>243</v>
      </c>
      <c r="C477" s="653" t="str">
        <f>PHAMATEX!B9</f>
        <v>CO-TRIMOXAZOLE 960MG TAB</v>
      </c>
      <c r="D477" s="654">
        <f>PHAMATEX!C9</f>
        <v>10</v>
      </c>
      <c r="E477" s="653">
        <v>300</v>
      </c>
      <c r="F477" s="38">
        <f>PHAMATEX!E9</f>
        <v>150</v>
      </c>
      <c r="G477" s="38">
        <f t="shared" ref="G477:G527" si="30">E477*F477</f>
        <v>45000</v>
      </c>
      <c r="H477" s="76"/>
    </row>
    <row r="478" spans="1:8" x14ac:dyDescent="0.35">
      <c r="A478" s="476"/>
      <c r="B478" s="653">
        <f>PHAMATEX!A10</f>
        <v>249</v>
      </c>
      <c r="C478" s="653" t="str">
        <f>PHAMATEX!B10</f>
        <v>ERYTHROMYCIN 500MG TAB</v>
      </c>
      <c r="D478" s="654">
        <f>PHAMATEX!C10</f>
        <v>100</v>
      </c>
      <c r="E478" s="653">
        <v>80</v>
      </c>
      <c r="F478" s="38">
        <f>PHAMATEX!E10</f>
        <v>2520</v>
      </c>
      <c r="G478" s="38">
        <f t="shared" si="30"/>
        <v>201600</v>
      </c>
      <c r="H478" s="76"/>
    </row>
    <row r="479" spans="1:8" x14ac:dyDescent="0.35">
      <c r="A479" s="476"/>
      <c r="B479" s="653">
        <f>PHAMATEX!A11</f>
        <v>251</v>
      </c>
      <c r="C479" s="653" t="str">
        <f>PHAMATEX!B11</f>
        <v>FLUCONAZOLE 150MG CAP</v>
      </c>
      <c r="D479" s="654">
        <f>PHAMATEX!C11</f>
        <v>10</v>
      </c>
      <c r="E479" s="653">
        <v>5</v>
      </c>
      <c r="F479" s="38">
        <f>PHAMATEX!E11</f>
        <v>280</v>
      </c>
      <c r="G479" s="38">
        <f t="shared" si="30"/>
        <v>1400</v>
      </c>
      <c r="H479" s="76"/>
    </row>
    <row r="480" spans="1:8" x14ac:dyDescent="0.35">
      <c r="A480" s="476"/>
      <c r="B480" s="653">
        <f>PHAMATEX!A12</f>
        <v>162</v>
      </c>
      <c r="C480" s="653" t="str">
        <f>PHAMATEX!B12</f>
        <v>IBUPROFEN 400MG TAB</v>
      </c>
      <c r="D480" s="654">
        <f>PHAMATEX!C12</f>
        <v>100</v>
      </c>
      <c r="E480" s="653">
        <v>30</v>
      </c>
      <c r="F480" s="38">
        <f>PHAMATEX!E12</f>
        <v>495</v>
      </c>
      <c r="G480" s="38">
        <f t="shared" si="30"/>
        <v>14850</v>
      </c>
      <c r="H480" s="76"/>
    </row>
    <row r="481" spans="1:8" x14ac:dyDescent="0.35">
      <c r="A481" s="476"/>
      <c r="B481" s="653">
        <f>PHAMATEX!A13</f>
        <v>258</v>
      </c>
      <c r="C481" s="653" t="str">
        <f>PHAMATEX!B13</f>
        <v>KETOCONAZOLE 200MG TAB</v>
      </c>
      <c r="D481" s="654">
        <f>PHAMATEX!C13</f>
        <v>100</v>
      </c>
      <c r="E481" s="653">
        <v>30</v>
      </c>
      <c r="F481" s="38">
        <f>PHAMATEX!E13</f>
        <v>1300</v>
      </c>
      <c r="G481" s="38">
        <f t="shared" si="30"/>
        <v>39000</v>
      </c>
      <c r="H481" s="76"/>
    </row>
    <row r="482" spans="1:8" x14ac:dyDescent="0.35">
      <c r="A482" s="476"/>
      <c r="B482" s="653">
        <f>PHAMATEX!A14</f>
        <v>485</v>
      </c>
      <c r="C482" s="653" t="str">
        <f>PHAMATEX!B14</f>
        <v>LEVOCETIRIZINE</v>
      </c>
      <c r="D482" s="654">
        <f>PHAMATEX!C14</f>
        <v>100</v>
      </c>
      <c r="E482" s="653">
        <v>20</v>
      </c>
      <c r="F482" s="38">
        <f>PHAMATEX!E14</f>
        <v>496</v>
      </c>
      <c r="G482" s="38">
        <f t="shared" si="30"/>
        <v>9920</v>
      </c>
      <c r="H482" s="76"/>
    </row>
    <row r="483" spans="1:8" x14ac:dyDescent="0.35">
      <c r="A483" s="476"/>
      <c r="B483" s="653">
        <f>PHAMATEX!A15</f>
        <v>134</v>
      </c>
      <c r="C483" s="653" t="str">
        <f>PHAMATEX!B15</f>
        <v>METFORMIN HCL 500MG TAB</v>
      </c>
      <c r="D483" s="654">
        <f>PHAMATEX!C15</f>
        <v>100</v>
      </c>
      <c r="E483" s="653">
        <f>300*0.4</f>
        <v>120</v>
      </c>
      <c r="F483" s="38">
        <f>PHAMATEX!E15</f>
        <v>450</v>
      </c>
      <c r="G483" s="38">
        <f t="shared" si="30"/>
        <v>54000</v>
      </c>
      <c r="H483" s="76"/>
    </row>
    <row r="484" spans="1:8" x14ac:dyDescent="0.35">
      <c r="A484" s="476"/>
      <c r="B484" s="653">
        <f>PHAMATEX!A16</f>
        <v>265</v>
      </c>
      <c r="C484" s="653" t="str">
        <f>PHAMATEX!B16</f>
        <v>METRONIDAZOLE 400MG TAB</v>
      </c>
      <c r="D484" s="654">
        <f>PHAMATEX!C16</f>
        <v>100</v>
      </c>
      <c r="E484" s="653">
        <v>500</v>
      </c>
      <c r="F484" s="38">
        <f>PHAMATEX!E16</f>
        <v>380</v>
      </c>
      <c r="G484" s="38">
        <f t="shared" si="30"/>
        <v>190000</v>
      </c>
      <c r="H484" s="76"/>
    </row>
    <row r="485" spans="1:8" x14ac:dyDescent="0.35">
      <c r="A485" s="476"/>
      <c r="B485" s="653">
        <f>PHAMATEX!A17</f>
        <v>181</v>
      </c>
      <c r="C485" s="653" t="str">
        <f>PHAMATEX!B17</f>
        <v>PARACETAMOL 500MG TAB</v>
      </c>
      <c r="D485" s="654">
        <f>PHAMATEX!C17</f>
        <v>96</v>
      </c>
      <c r="E485" s="653">
        <v>1050</v>
      </c>
      <c r="F485" s="38">
        <f>PHAMATEX!E17</f>
        <v>205</v>
      </c>
      <c r="G485" s="38">
        <f t="shared" si="30"/>
        <v>215250</v>
      </c>
      <c r="H485" s="76"/>
    </row>
    <row r="486" spans="1:8" x14ac:dyDescent="0.35">
      <c r="A486" s="476"/>
      <c r="B486" s="653">
        <f>PHAMATEX!A18</f>
        <v>183</v>
      </c>
      <c r="C486" s="653" t="str">
        <f>PHAMATEX!B18</f>
        <v>PARACETAMOL SYR</v>
      </c>
      <c r="D486" s="654" t="str">
        <f>PHAMATEX!C18</f>
        <v>BOTT</v>
      </c>
      <c r="E486" s="653">
        <v>250</v>
      </c>
      <c r="F486" s="38">
        <f>PHAMATEX!E18</f>
        <v>85</v>
      </c>
      <c r="G486" s="38">
        <f t="shared" si="30"/>
        <v>21250</v>
      </c>
      <c r="H486" s="76"/>
    </row>
    <row r="487" spans="1:8" x14ac:dyDescent="0.35">
      <c r="A487" s="476"/>
      <c r="B487" s="653">
        <f>PHAMATEX!A19</f>
        <v>190</v>
      </c>
      <c r="C487" s="653" t="str">
        <f>PHAMATEX!B19</f>
        <v>TENOXICAM 20MG CAP</v>
      </c>
      <c r="D487" s="654">
        <f>PHAMATEX!C19</f>
        <v>10</v>
      </c>
      <c r="E487" s="653">
        <v>200</v>
      </c>
      <c r="F487" s="38">
        <f>PHAMATEX!E19</f>
        <v>250</v>
      </c>
      <c r="G487" s="38">
        <f t="shared" si="30"/>
        <v>50000</v>
      </c>
      <c r="H487" s="76"/>
    </row>
    <row r="488" spans="1:8" x14ac:dyDescent="0.35">
      <c r="A488" s="476"/>
      <c r="B488" s="653">
        <f>PHAMATEX!A20</f>
        <v>335</v>
      </c>
      <c r="C488" s="653" t="str">
        <f>PHAMATEX!B20</f>
        <v>VIT B1/VIT B2/VIT B6 TAB</v>
      </c>
      <c r="D488" s="654">
        <f>PHAMATEX!C20</f>
        <v>100</v>
      </c>
      <c r="E488" s="653">
        <v>300</v>
      </c>
      <c r="F488" s="38">
        <f>PHAMATEX!E20</f>
        <v>3750</v>
      </c>
      <c r="G488" s="38">
        <f t="shared" si="30"/>
        <v>1125000</v>
      </c>
      <c r="H488" s="76"/>
    </row>
    <row r="489" spans="1:8" ht="23.25" x14ac:dyDescent="0.35">
      <c r="A489" s="476"/>
      <c r="B489" s="653">
        <f>PHAMATEX!A21</f>
        <v>344</v>
      </c>
      <c r="C489" s="653" t="str">
        <f>PHAMATEX!B21</f>
        <v>VITAMIN C SYRUP</v>
      </c>
      <c r="D489" s="654" t="str">
        <f>PHAMATEX!C21</f>
        <v>BOTT</v>
      </c>
      <c r="E489" s="653">
        <v>200</v>
      </c>
      <c r="F489" s="38">
        <f>PHAMATEX!E21</f>
        <v>98</v>
      </c>
      <c r="G489" s="38">
        <f t="shared" si="30"/>
        <v>19600</v>
      </c>
      <c r="H489" s="186">
        <f>SUM(G474:G489)</f>
        <v>2032670</v>
      </c>
    </row>
    <row r="490" spans="1:8" x14ac:dyDescent="0.35">
      <c r="A490" s="476"/>
      <c r="B490" s="653"/>
      <c r="C490" s="653"/>
      <c r="D490" s="654"/>
      <c r="E490" s="653"/>
      <c r="F490" s="38"/>
      <c r="G490" s="38"/>
      <c r="H490" s="76"/>
    </row>
    <row r="491" spans="1:8" ht="23.25" x14ac:dyDescent="0.35">
      <c r="A491" s="476">
        <v>36</v>
      </c>
      <c r="B491" s="653"/>
      <c r="C491" s="656" t="str">
        <f>PHILIPS!B1</f>
        <v>PHILIPS PHARMACEUTICALS NIGERIA LIMITED</v>
      </c>
      <c r="D491" s="654"/>
      <c r="E491" s="653"/>
      <c r="F491" s="38"/>
      <c r="G491" s="38"/>
      <c r="H491" s="76"/>
    </row>
    <row r="492" spans="1:8" x14ac:dyDescent="0.35">
      <c r="A492" s="476"/>
      <c r="B492" s="653">
        <v>2</v>
      </c>
      <c r="C492" s="653" t="s">
        <v>4</v>
      </c>
      <c r="D492" s="654">
        <v>6</v>
      </c>
      <c r="E492" s="653">
        <v>100</v>
      </c>
      <c r="F492" s="38">
        <v>200</v>
      </c>
      <c r="G492" s="38">
        <f t="shared" si="30"/>
        <v>20000</v>
      </c>
      <c r="H492" s="76"/>
    </row>
    <row r="493" spans="1:8" x14ac:dyDescent="0.35">
      <c r="A493" s="476"/>
      <c r="B493" s="653">
        <f>PHILIPS!A8</f>
        <v>216</v>
      </c>
      <c r="C493" s="653" t="str">
        <f>PHILIPS!B8</f>
        <v>AZITHROMYCIN 500MG</v>
      </c>
      <c r="D493" s="654">
        <f>PHILIPS!C8</f>
        <v>10</v>
      </c>
      <c r="E493" s="653">
        <v>130</v>
      </c>
      <c r="F493" s="38">
        <f>PHILIPS!E8</f>
        <v>300</v>
      </c>
      <c r="G493" s="38">
        <f t="shared" si="30"/>
        <v>39000</v>
      </c>
      <c r="H493" s="76"/>
    </row>
    <row r="494" spans="1:8" x14ac:dyDescent="0.35">
      <c r="A494" s="476"/>
      <c r="B494" s="653">
        <v>231</v>
      </c>
      <c r="C494" s="653" t="s">
        <v>137</v>
      </c>
      <c r="D494" s="654">
        <v>10</v>
      </c>
      <c r="E494" s="653">
        <v>500</v>
      </c>
      <c r="F494" s="38">
        <v>750</v>
      </c>
      <c r="G494" s="38">
        <f t="shared" si="30"/>
        <v>375000</v>
      </c>
      <c r="H494" s="76"/>
    </row>
    <row r="495" spans="1:8" x14ac:dyDescent="0.35">
      <c r="A495" s="476"/>
      <c r="B495" s="653">
        <f>PHILIPS!A10</f>
        <v>57</v>
      </c>
      <c r="C495" s="653" t="str">
        <f>PHILIPS!B10</f>
        <v>CLOPIDOGREL 75MG TAB</v>
      </c>
      <c r="D495" s="654">
        <f>PHILIPS!C10</f>
        <v>30</v>
      </c>
      <c r="E495" s="653">
        <v>125</v>
      </c>
      <c r="F495" s="38">
        <f>PHILIPS!E10</f>
        <v>690</v>
      </c>
      <c r="G495" s="38">
        <f t="shared" si="30"/>
        <v>86250</v>
      </c>
      <c r="H495" s="76"/>
    </row>
    <row r="496" spans="1:8" x14ac:dyDescent="0.35">
      <c r="A496" s="476"/>
      <c r="B496" s="653">
        <f>PHILIPS!A11</f>
        <v>150</v>
      </c>
      <c r="C496" s="653" t="str">
        <f>PHILIPS!B11</f>
        <v>DEXKETOPROFEN 25MG</v>
      </c>
      <c r="D496" s="654">
        <f>PHILIPS!C11</f>
        <v>20</v>
      </c>
      <c r="E496" s="653">
        <v>200</v>
      </c>
      <c r="F496" s="38">
        <f>PHILIPS!E11</f>
        <v>2100</v>
      </c>
      <c r="G496" s="38">
        <f t="shared" si="30"/>
        <v>420000</v>
      </c>
      <c r="H496" s="76"/>
    </row>
    <row r="497" spans="1:8" x14ac:dyDescent="0.35">
      <c r="A497" s="476"/>
      <c r="B497" s="653">
        <f>PHILIPS!A12</f>
        <v>166</v>
      </c>
      <c r="C497" s="653" t="str">
        <f>PHILIPS!B12</f>
        <v>KETOPROFEN 2.5% GEL 100G</v>
      </c>
      <c r="D497" s="654" t="str">
        <f>PHILIPS!C12</f>
        <v>TUBE</v>
      </c>
      <c r="E497" s="653">
        <v>20</v>
      </c>
      <c r="F497" s="38">
        <f>PHILIPS!E12</f>
        <v>2950</v>
      </c>
      <c r="G497" s="38">
        <f t="shared" si="30"/>
        <v>59000</v>
      </c>
      <c r="H497" s="76"/>
    </row>
    <row r="498" spans="1:8" x14ac:dyDescent="0.35">
      <c r="A498" s="476"/>
      <c r="B498" s="653">
        <f>PHILIPS!A13</f>
        <v>165</v>
      </c>
      <c r="C498" s="653" t="str">
        <f>PHILIPS!B13</f>
        <v>KETOPROFEN 2.5% GEL 10G</v>
      </c>
      <c r="D498" s="654" t="str">
        <f>PHILIPS!C13</f>
        <v>TUBE</v>
      </c>
      <c r="E498" s="653">
        <v>50</v>
      </c>
      <c r="F498" s="38">
        <f>PHILIPS!E13</f>
        <v>500</v>
      </c>
      <c r="G498" s="38">
        <f t="shared" si="30"/>
        <v>25000</v>
      </c>
      <c r="H498" s="76"/>
    </row>
    <row r="499" spans="1:8" x14ac:dyDescent="0.35">
      <c r="A499" s="476"/>
      <c r="B499" s="653">
        <f>PHILIPS!A14</f>
        <v>164</v>
      </c>
      <c r="C499" s="653" t="str">
        <f>PHILIPS!B14</f>
        <v>KETOPROFEN 2.5% GEL 50G</v>
      </c>
      <c r="D499" s="654" t="str">
        <f>PHILIPS!C14</f>
        <v>TUBE</v>
      </c>
      <c r="E499" s="653">
        <v>200</v>
      </c>
      <c r="F499" s="38">
        <f>PHILIPS!E14</f>
        <v>1450</v>
      </c>
      <c r="G499" s="38">
        <f t="shared" si="30"/>
        <v>290000</v>
      </c>
      <c r="H499" s="76"/>
    </row>
    <row r="500" spans="1:8" x14ac:dyDescent="0.35">
      <c r="A500" s="476"/>
      <c r="B500" s="653">
        <f>PHILIPS!A15</f>
        <v>435</v>
      </c>
      <c r="C500" s="653" t="str">
        <f>PHILIPS!B15</f>
        <v>MAGNESIUM HYDROXIDE/ALUMINIUM HYDROXIDE+ DIMETHICONE SUSP</v>
      </c>
      <c r="D500" s="654" t="str">
        <f>PHILIPS!C15</f>
        <v>BOTT</v>
      </c>
      <c r="E500" s="653">
        <v>250</v>
      </c>
      <c r="F500" s="38">
        <f>PHILIPS!E15</f>
        <v>490</v>
      </c>
      <c r="G500" s="38">
        <f t="shared" si="30"/>
        <v>122500</v>
      </c>
      <c r="H500" s="76"/>
    </row>
    <row r="501" spans="1:8" x14ac:dyDescent="0.35">
      <c r="A501" s="476"/>
      <c r="B501" s="653">
        <f>PHILIPS!A16</f>
        <v>188</v>
      </c>
      <c r="C501" s="653" t="str">
        <f>PHILIPS!B16</f>
        <v>PREGABALIN 75MG CAP</v>
      </c>
      <c r="D501" s="654">
        <f>PHILIPS!C16</f>
        <v>30</v>
      </c>
      <c r="E501" s="653">
        <f>400*0.7</f>
        <v>280</v>
      </c>
      <c r="F501" s="38">
        <f>PHILIPS!E16</f>
        <v>1950</v>
      </c>
      <c r="G501" s="38">
        <f t="shared" si="30"/>
        <v>546000</v>
      </c>
      <c r="H501" s="76"/>
    </row>
    <row r="502" spans="1:8" x14ac:dyDescent="0.35">
      <c r="A502" s="476"/>
      <c r="B502" s="653">
        <f>PHILIPS!A17</f>
        <v>421</v>
      </c>
      <c r="C502" s="653" t="str">
        <f>PHILIPS!B17</f>
        <v>RABBIES VACCINE INJ</v>
      </c>
      <c r="D502" s="654" t="str">
        <f>PHILIPS!C17</f>
        <v>VIAL</v>
      </c>
      <c r="E502" s="653">
        <v>30</v>
      </c>
      <c r="F502" s="38">
        <f>PHILIPS!E17</f>
        <v>4400</v>
      </c>
      <c r="G502" s="38">
        <f t="shared" si="30"/>
        <v>132000</v>
      </c>
      <c r="H502" s="76"/>
    </row>
    <row r="503" spans="1:8" x14ac:dyDescent="0.35">
      <c r="A503" s="476"/>
      <c r="B503" s="653">
        <f>PHILIPS!A18</f>
        <v>452</v>
      </c>
      <c r="C503" s="653" t="str">
        <f>PHILIPS!B18</f>
        <v>SACCHAROMYCES BOULARDII 250mg</v>
      </c>
      <c r="D503" s="654">
        <f>PHILIPS!C18</f>
        <v>10</v>
      </c>
      <c r="E503" s="653">
        <v>100</v>
      </c>
      <c r="F503" s="38">
        <f>PHILIPS!E18</f>
        <v>3500</v>
      </c>
      <c r="G503" s="38">
        <f t="shared" si="30"/>
        <v>350000</v>
      </c>
      <c r="H503" s="76"/>
    </row>
    <row r="504" spans="1:8" ht="23.25" x14ac:dyDescent="0.35">
      <c r="A504" s="476"/>
      <c r="B504" s="653">
        <f>PHILIPS!A19</f>
        <v>107</v>
      </c>
      <c r="C504" s="653" t="str">
        <f>PHILIPS!B19</f>
        <v>TELMISARTAN 80MG TAB</v>
      </c>
      <c r="D504" s="654">
        <f>PHILIPS!C19</f>
        <v>30</v>
      </c>
      <c r="E504" s="653">
        <v>10</v>
      </c>
      <c r="F504" s="38">
        <f>PHILIPS!E19</f>
        <v>2500</v>
      </c>
      <c r="G504" s="38">
        <f t="shared" si="30"/>
        <v>25000</v>
      </c>
      <c r="H504" s="186"/>
    </row>
    <row r="505" spans="1:8" ht="23.25" x14ac:dyDescent="0.35">
      <c r="A505" s="476"/>
      <c r="B505" s="653">
        <f>PHILIPS!A20</f>
        <v>453</v>
      </c>
      <c r="C505" s="653" t="str">
        <f>PHILIPS!B20</f>
        <v>UNIENZYME TAB</v>
      </c>
      <c r="D505" s="654">
        <f>PHILIPS!C20</f>
        <v>20</v>
      </c>
      <c r="E505" s="653">
        <v>150</v>
      </c>
      <c r="F505" s="38">
        <f>PHILIPS!E20</f>
        <v>735</v>
      </c>
      <c r="G505" s="38">
        <f t="shared" si="30"/>
        <v>110250</v>
      </c>
      <c r="H505" s="186">
        <f>SUM(G492:G505)</f>
        <v>2600000</v>
      </c>
    </row>
    <row r="506" spans="1:8" x14ac:dyDescent="0.35">
      <c r="A506" s="476"/>
      <c r="B506" s="653"/>
      <c r="C506" s="653"/>
      <c r="D506" s="654"/>
      <c r="E506" s="653"/>
      <c r="F506" s="38"/>
      <c r="G506" s="38"/>
      <c r="H506" s="76"/>
    </row>
    <row r="507" spans="1:8" x14ac:dyDescent="0.35">
      <c r="A507" s="476"/>
      <c r="B507" s="653"/>
      <c r="C507" s="653"/>
      <c r="D507" s="654"/>
      <c r="E507" s="653"/>
      <c r="F507" s="38"/>
      <c r="G507" s="38"/>
      <c r="H507" s="76"/>
    </row>
    <row r="508" spans="1:8" ht="23.25" x14ac:dyDescent="0.35">
      <c r="A508" s="476">
        <v>37</v>
      </c>
      <c r="B508" s="653"/>
      <c r="C508" s="656" t="str">
        <f>RANBAXY!B1</f>
        <v>RANBAXY NIGERIA LIMITED</v>
      </c>
      <c r="D508" s="654"/>
      <c r="E508" s="653"/>
      <c r="F508" s="38"/>
      <c r="G508" s="38"/>
      <c r="H508" s="76"/>
    </row>
    <row r="509" spans="1:8" x14ac:dyDescent="0.35">
      <c r="A509" s="476"/>
      <c r="B509" s="653">
        <f>RANBAXY!A8</f>
        <v>204</v>
      </c>
      <c r="C509" s="653" t="str">
        <f>RANBAXY!B8</f>
        <v>AMOXICILLIN/CLAVULANIC ACID 1.2G INJ</v>
      </c>
      <c r="D509" s="654" t="str">
        <f>RANBAXY!C8</f>
        <v>VIAL</v>
      </c>
      <c r="E509" s="653">
        <v>600</v>
      </c>
      <c r="F509" s="38">
        <f>RANBAXY!E8</f>
        <v>552</v>
      </c>
      <c r="G509" s="38">
        <f t="shared" si="30"/>
        <v>331200</v>
      </c>
      <c r="H509" s="76"/>
    </row>
    <row r="510" spans="1:8" x14ac:dyDescent="0.35">
      <c r="A510" s="476"/>
      <c r="B510" s="653">
        <f>RANBAXY!A9</f>
        <v>206</v>
      </c>
      <c r="C510" s="653" t="str">
        <f>RANBAXY!B9</f>
        <v>AMOXICILLIN/CLAVULANIC ACID 375MG TAB</v>
      </c>
      <c r="D510" s="654">
        <f>RANBAXY!C9</f>
        <v>20</v>
      </c>
      <c r="E510" s="653">
        <v>100</v>
      </c>
      <c r="F510" s="38">
        <f>RANBAXY!E9</f>
        <v>748</v>
      </c>
      <c r="G510" s="38">
        <f t="shared" si="30"/>
        <v>74800</v>
      </c>
      <c r="H510" s="76"/>
    </row>
    <row r="511" spans="1:8" x14ac:dyDescent="0.35">
      <c r="A511" s="476"/>
      <c r="B511" s="653">
        <f>RANBAXY!A10</f>
        <v>9</v>
      </c>
      <c r="C511" s="653" t="str">
        <f>RANBAXY!B10</f>
        <v>ARTEROLANE/PIPERAQUINE</v>
      </c>
      <c r="D511" s="654">
        <f>RANBAXY!C10</f>
        <v>10</v>
      </c>
      <c r="E511" s="653">
        <v>5</v>
      </c>
      <c r="F511" s="38">
        <f>RANBAXY!E10</f>
        <v>8650</v>
      </c>
      <c r="G511" s="38">
        <f t="shared" si="30"/>
        <v>43250</v>
      </c>
      <c r="H511" s="76"/>
    </row>
    <row r="512" spans="1:8" x14ac:dyDescent="0.35">
      <c r="A512" s="476"/>
      <c r="B512" s="653">
        <f>RANBAXY!A11</f>
        <v>263</v>
      </c>
      <c r="C512" s="653" t="str">
        <f>RANBAXY!B11</f>
        <v>MEROPENEM 1GM INJ</v>
      </c>
      <c r="D512" s="654" t="str">
        <f>RANBAXY!C11</f>
        <v>VIAL</v>
      </c>
      <c r="E512" s="653">
        <v>200</v>
      </c>
      <c r="F512" s="38">
        <f>RANBAXY!E11</f>
        <v>3910</v>
      </c>
      <c r="G512" s="38">
        <f t="shared" si="30"/>
        <v>782000</v>
      </c>
      <c r="H512" s="76"/>
    </row>
    <row r="513" spans="1:8" x14ac:dyDescent="0.35">
      <c r="A513" s="476"/>
      <c r="B513" s="653">
        <f>RANBAXY!A13</f>
        <v>98</v>
      </c>
      <c r="C513" s="653" t="str">
        <f>RANBAXY!B13</f>
        <v>ROSUVASTATIN 10MG</v>
      </c>
      <c r="D513" s="654">
        <f>RANBAXY!C13</f>
        <v>28</v>
      </c>
      <c r="E513" s="653">
        <v>150</v>
      </c>
      <c r="F513" s="38">
        <f>RANBAXY!E13</f>
        <v>805</v>
      </c>
      <c r="G513" s="38">
        <f t="shared" si="30"/>
        <v>120750</v>
      </c>
      <c r="H513" s="76"/>
    </row>
    <row r="514" spans="1:8" x14ac:dyDescent="0.35">
      <c r="A514" s="476"/>
      <c r="B514" s="653">
        <f>RANBAXY!A14</f>
        <v>99</v>
      </c>
      <c r="C514" s="653" t="str">
        <f>RANBAXY!B14</f>
        <v xml:space="preserve">ROSUVASTATIN 20MG </v>
      </c>
      <c r="D514" s="654">
        <f>RANBAXY!C14</f>
        <v>28</v>
      </c>
      <c r="E514" s="653">
        <v>30</v>
      </c>
      <c r="F514" s="38">
        <f>RANBAXY!E14</f>
        <v>1035</v>
      </c>
      <c r="G514" s="38">
        <f t="shared" si="30"/>
        <v>31050</v>
      </c>
    </row>
    <row r="515" spans="1:8" ht="23.25" x14ac:dyDescent="0.35">
      <c r="A515" s="476"/>
      <c r="B515" s="653">
        <f>RANBAXY!A16</f>
        <v>116</v>
      </c>
      <c r="C515" s="653" t="str">
        <f>RANBAXY!B16</f>
        <v>VARSALTAN/HYDROCHLOROTHIAZIDE 160/12.5MG</v>
      </c>
      <c r="D515" s="654">
        <f>RANBAXY!C16</f>
        <v>28</v>
      </c>
      <c r="E515" s="653">
        <v>5</v>
      </c>
      <c r="F515" s="38">
        <f>RANBAXY!E16</f>
        <v>2039.3333333333333</v>
      </c>
      <c r="G515" s="38">
        <f t="shared" si="30"/>
        <v>10196.666666666666</v>
      </c>
      <c r="H515" s="186">
        <f>SUM(G509:G515)</f>
        <v>1393246.6666666667</v>
      </c>
    </row>
    <row r="516" spans="1:8" x14ac:dyDescent="0.35">
      <c r="A516" s="476"/>
      <c r="B516" s="653"/>
      <c r="C516" s="653"/>
      <c r="D516" s="654"/>
      <c r="E516" s="653"/>
      <c r="F516" s="38"/>
      <c r="G516" s="38"/>
      <c r="H516" s="76"/>
    </row>
    <row r="517" spans="1:8" x14ac:dyDescent="0.35">
      <c r="A517" s="476"/>
      <c r="B517" s="653"/>
      <c r="C517" s="653"/>
      <c r="D517" s="654"/>
      <c r="E517" s="653"/>
      <c r="F517" s="38"/>
      <c r="G517" s="38"/>
      <c r="H517" s="76"/>
    </row>
    <row r="518" spans="1:8" x14ac:dyDescent="0.35">
      <c r="A518" s="476"/>
      <c r="B518" s="653"/>
      <c r="C518" s="653"/>
      <c r="D518" s="654"/>
      <c r="E518" s="653"/>
      <c r="F518" s="38"/>
      <c r="G518" s="38"/>
      <c r="H518" s="76"/>
    </row>
    <row r="519" spans="1:8" x14ac:dyDescent="0.35">
      <c r="A519" s="476"/>
      <c r="B519" s="653"/>
      <c r="C519" s="653"/>
      <c r="D519" s="654"/>
      <c r="E519" s="653"/>
      <c r="F519" s="38"/>
      <c r="G519" s="38"/>
      <c r="H519" s="76"/>
    </row>
    <row r="520" spans="1:8" x14ac:dyDescent="0.35">
      <c r="A520" s="476"/>
      <c r="B520" s="653"/>
      <c r="C520" s="653"/>
      <c r="D520" s="654"/>
      <c r="E520" s="653"/>
      <c r="F520" s="38"/>
      <c r="G520" s="38"/>
      <c r="H520" s="76"/>
    </row>
    <row r="521" spans="1:8" ht="23.25" x14ac:dyDescent="0.35">
      <c r="A521" s="476">
        <v>38</v>
      </c>
      <c r="B521" s="35"/>
      <c r="C521" s="77" t="str">
        <f>ROYAL!B1</f>
        <v>ROYAL PRIESTHOOD LABORATORIES LIMITED</v>
      </c>
      <c r="D521" s="668"/>
      <c r="E521" s="35"/>
      <c r="F521" s="38"/>
      <c r="G521" s="38"/>
      <c r="H521" s="76"/>
    </row>
    <row r="522" spans="1:8" x14ac:dyDescent="0.35">
      <c r="A522" s="476"/>
      <c r="B522" s="653">
        <f>ROYAL!A6</f>
        <v>670</v>
      </c>
      <c r="C522" s="653" t="str">
        <f>ROYAL!B6</f>
        <v>CHLORHEXIDINE GLUCONATE 4% (HIBISCRUB)</v>
      </c>
      <c r="D522" s="654" t="str">
        <f>ROYAL!C6</f>
        <v>500ML</v>
      </c>
      <c r="E522" s="653">
        <v>32</v>
      </c>
      <c r="F522" s="38">
        <f>ROYAL!E6</f>
        <v>7500</v>
      </c>
      <c r="G522" s="38">
        <f t="shared" si="30"/>
        <v>240000</v>
      </c>
      <c r="H522" s="76"/>
    </row>
    <row r="523" spans="1:8" x14ac:dyDescent="0.35">
      <c r="A523" s="476"/>
      <c r="B523" s="653">
        <f>ROYAL!A7</f>
        <v>672</v>
      </c>
      <c r="C523" s="653" t="str">
        <f>ROYAL!B7</f>
        <v>CHLORHEXIDINE GLUCONATE+CETRIMIDE LOTION 100ML  (VALON)</v>
      </c>
      <c r="D523" s="654" t="str">
        <f>ROYAL!C7</f>
        <v>BOTT</v>
      </c>
      <c r="E523" s="653">
        <v>650</v>
      </c>
      <c r="F523" s="38">
        <f>ROYAL!E7</f>
        <v>200</v>
      </c>
      <c r="G523" s="38">
        <f t="shared" si="30"/>
        <v>130000</v>
      </c>
      <c r="H523" s="76"/>
    </row>
    <row r="524" spans="1:8" x14ac:dyDescent="0.35">
      <c r="A524" s="476"/>
      <c r="B524" s="653">
        <f>ROYAL!A8</f>
        <v>673</v>
      </c>
      <c r="C524" s="653" t="str">
        <f>ROYAL!B8</f>
        <v xml:space="preserve">CHLORHEXIDINE GLUCONATE+CETRIMIDE LOTION 4L </v>
      </c>
      <c r="D524" s="654">
        <f>ROYAL!C8</f>
        <v>1</v>
      </c>
      <c r="E524" s="653">
        <v>15</v>
      </c>
      <c r="F524" s="38">
        <f>ROYAL!E8</f>
        <v>2500</v>
      </c>
      <c r="G524" s="38">
        <f t="shared" si="30"/>
        <v>37500</v>
      </c>
      <c r="H524" s="76"/>
    </row>
    <row r="525" spans="1:8" x14ac:dyDescent="0.35">
      <c r="A525" s="476"/>
      <c r="B525" s="653">
        <f>ROYAL!A9</f>
        <v>678</v>
      </c>
      <c r="C525" s="653" t="str">
        <f>ROYAL!B9</f>
        <v>METHYLATED SPIRIT B.P 100ML</v>
      </c>
      <c r="D525" s="654" t="str">
        <f>ROYAL!C9</f>
        <v>BOTT</v>
      </c>
      <c r="E525" s="653">
        <v>5000</v>
      </c>
      <c r="F525" s="38">
        <f>ROYAL!E9</f>
        <v>120</v>
      </c>
      <c r="G525" s="38">
        <f t="shared" si="30"/>
        <v>600000</v>
      </c>
      <c r="H525" s="76"/>
    </row>
    <row r="526" spans="1:8" ht="23.25" x14ac:dyDescent="0.35">
      <c r="A526" s="476"/>
      <c r="B526" s="653">
        <f>ROYAL!A10</f>
        <v>679</v>
      </c>
      <c r="C526" s="653" t="str">
        <f>ROYAL!B10</f>
        <v>METHYLATED SPIRIT B.P 2L</v>
      </c>
      <c r="D526" s="654">
        <f>ROYAL!C10</f>
        <v>1</v>
      </c>
      <c r="E526" s="653">
        <v>110</v>
      </c>
      <c r="F526" s="38">
        <f>ROYAL!E10</f>
        <v>1100</v>
      </c>
      <c r="G526" s="38">
        <f t="shared" si="30"/>
        <v>121000</v>
      </c>
      <c r="H526" s="186"/>
    </row>
    <row r="527" spans="1:8" ht="23.25" x14ac:dyDescent="0.35">
      <c r="A527" s="476"/>
      <c r="B527" s="653">
        <f>ROYAL!A11</f>
        <v>683</v>
      </c>
      <c r="C527" s="653" t="str">
        <f>ROYAL!B11</f>
        <v xml:space="preserve">SODIUM HYPOCHLORITE SOLUTION 3.5%W/V </v>
      </c>
      <c r="D527" s="654">
        <f>ROYAL!C11</f>
        <v>12</v>
      </c>
      <c r="E527" s="653">
        <v>250</v>
      </c>
      <c r="F527" s="38">
        <f>ROYAL!E11</f>
        <v>4500</v>
      </c>
      <c r="G527" s="38">
        <f t="shared" si="30"/>
        <v>1125000</v>
      </c>
      <c r="H527" s="186">
        <f>SUM(G522:G527)</f>
        <v>2253500</v>
      </c>
    </row>
    <row r="528" spans="1:8" x14ac:dyDescent="0.35">
      <c r="A528" s="476"/>
      <c r="B528" s="653"/>
      <c r="C528" s="653"/>
      <c r="D528" s="654"/>
      <c r="E528" s="653"/>
      <c r="F528" s="38"/>
      <c r="G528" s="38"/>
      <c r="H528" s="76"/>
    </row>
    <row r="529" spans="1:8" x14ac:dyDescent="0.35">
      <c r="A529" s="476"/>
      <c r="B529" s="653"/>
      <c r="C529" s="653"/>
      <c r="D529" s="654"/>
      <c r="E529" s="653"/>
      <c r="F529" s="38"/>
      <c r="G529" s="38"/>
      <c r="H529" s="76"/>
    </row>
    <row r="530" spans="1:8" ht="23.25" x14ac:dyDescent="0.35">
      <c r="A530" s="476">
        <v>39</v>
      </c>
      <c r="B530" s="653"/>
      <c r="C530" s="656" t="str">
        <f>SAM!B1</f>
        <v>SAM PHARMACEUTICALS LIMITED</v>
      </c>
      <c r="D530" s="654"/>
      <c r="E530" s="653"/>
      <c r="F530" s="38"/>
      <c r="G530" s="38"/>
      <c r="H530" s="76"/>
    </row>
    <row r="531" spans="1:8" x14ac:dyDescent="0.35">
      <c r="A531" s="476"/>
      <c r="B531" s="653">
        <f>SAM!A6</f>
        <v>6</v>
      </c>
      <c r="C531" s="653" t="str">
        <f>SAM!B6</f>
        <v>ARTEMETHER/LUMEFANTRINE (20/120) TAB</v>
      </c>
      <c r="D531" s="654">
        <f>SAM!C6</f>
        <v>24</v>
      </c>
      <c r="E531" s="653">
        <v>2500</v>
      </c>
      <c r="F531" s="38">
        <f>SAM!E6</f>
        <v>210</v>
      </c>
      <c r="G531" s="38">
        <f t="shared" ref="G531:G580" si="31">E531*F531</f>
        <v>525000</v>
      </c>
      <c r="H531" s="76"/>
    </row>
    <row r="532" spans="1:8" x14ac:dyDescent="0.35">
      <c r="A532" s="476"/>
      <c r="B532" s="653">
        <f>SAM!A8</f>
        <v>426</v>
      </c>
      <c r="C532" s="653" t="str">
        <f>SAM!B8</f>
        <v>CIMETIDINE 200MG TAB</v>
      </c>
      <c r="D532" s="654">
        <f>SAM!C8</f>
        <v>100</v>
      </c>
      <c r="E532" s="653">
        <v>5</v>
      </c>
      <c r="F532" s="38">
        <f>SAM!E8</f>
        <v>600</v>
      </c>
      <c r="G532" s="38">
        <f t="shared" si="31"/>
        <v>3000</v>
      </c>
      <c r="H532" s="76"/>
    </row>
    <row r="533" spans="1:8" x14ac:dyDescent="0.35">
      <c r="A533" s="476"/>
      <c r="B533" s="653">
        <f>SAM!A9</f>
        <v>236</v>
      </c>
      <c r="C533" s="653" t="str">
        <f>SAM!B9</f>
        <v>CIPROFLOXACIN 500MG TAB</v>
      </c>
      <c r="D533" s="654">
        <f>SAM!C9</f>
        <v>10</v>
      </c>
      <c r="E533" s="653">
        <f>1200*0.6</f>
        <v>720</v>
      </c>
      <c r="F533" s="38">
        <f>SAM!E9</f>
        <v>149</v>
      </c>
      <c r="G533" s="38">
        <f t="shared" si="31"/>
        <v>107280</v>
      </c>
      <c r="H533" s="76"/>
    </row>
    <row r="534" spans="1:8" x14ac:dyDescent="0.35">
      <c r="A534" s="476"/>
      <c r="B534" s="653">
        <f>SAM!A10</f>
        <v>151</v>
      </c>
      <c r="C534" s="653" t="str">
        <f>SAM!B10</f>
        <v>DICLOFENAC 50MG TAB</v>
      </c>
      <c r="D534" s="654">
        <f>SAM!C10</f>
        <v>100</v>
      </c>
      <c r="E534" s="653">
        <v>300</v>
      </c>
      <c r="F534" s="38">
        <f>SAM!E10</f>
        <v>295</v>
      </c>
      <c r="G534" s="38">
        <f t="shared" si="31"/>
        <v>88500</v>
      </c>
      <c r="H534" s="76"/>
    </row>
    <row r="535" spans="1:8" x14ac:dyDescent="0.35">
      <c r="A535" s="476"/>
      <c r="B535" s="653">
        <f>SAM!A11</f>
        <v>306</v>
      </c>
      <c r="C535" s="653" t="str">
        <f>SAM!B11</f>
        <v>FERROUS SULPHATE/FOLIC ACID</v>
      </c>
      <c r="D535" s="654">
        <f>SAM!C11</f>
        <v>30</v>
      </c>
      <c r="E535" s="653">
        <v>250</v>
      </c>
      <c r="F535" s="38">
        <f>SAM!E11</f>
        <v>195</v>
      </c>
      <c r="G535" s="38">
        <f t="shared" si="31"/>
        <v>48750</v>
      </c>
      <c r="H535" s="76"/>
    </row>
    <row r="536" spans="1:8" x14ac:dyDescent="0.35">
      <c r="A536" s="476"/>
      <c r="B536" s="653">
        <f>SAM!A12</f>
        <v>75</v>
      </c>
      <c r="C536" s="653" t="str">
        <f>SAM!B12</f>
        <v>LISINOPRIL 10MG</v>
      </c>
      <c r="D536" s="654">
        <f>SAM!C12</f>
        <v>28</v>
      </c>
      <c r="E536" s="653">
        <v>300</v>
      </c>
      <c r="F536" s="38">
        <f>SAM!E12</f>
        <v>260</v>
      </c>
      <c r="G536" s="38">
        <f t="shared" si="31"/>
        <v>78000</v>
      </c>
      <c r="H536" s="76"/>
    </row>
    <row r="537" spans="1:8" x14ac:dyDescent="0.35">
      <c r="A537" s="476"/>
      <c r="B537" s="653">
        <f>SAM!A13</f>
        <v>76</v>
      </c>
      <c r="C537" s="653" t="str">
        <f>SAM!B13</f>
        <v>LISINOPRIL 5MG</v>
      </c>
      <c r="D537" s="654">
        <f>SAM!C13</f>
        <v>28</v>
      </c>
      <c r="E537" s="653">
        <v>375</v>
      </c>
      <c r="F537" s="38">
        <f>SAM!E13</f>
        <v>240</v>
      </c>
      <c r="G537" s="38">
        <f t="shared" si="31"/>
        <v>90000</v>
      </c>
      <c r="H537" s="76"/>
    </row>
    <row r="538" spans="1:8" x14ac:dyDescent="0.35">
      <c r="A538" s="476"/>
      <c r="B538" s="653">
        <f>SAM!A14</f>
        <v>435</v>
      </c>
      <c r="C538" s="653" t="str">
        <f>SAM!B14</f>
        <v>MAGNESIUM HYDROXIDE/ALUMINIUM HYDROXIDE+ DIMETHICONE SUSP</v>
      </c>
      <c r="D538" s="654" t="str">
        <f>SAM!C14</f>
        <v>BOTT</v>
      </c>
      <c r="E538" s="653">
        <v>250</v>
      </c>
      <c r="F538" s="38">
        <f>SAM!E14</f>
        <v>465</v>
      </c>
      <c r="G538" s="38">
        <f t="shared" si="31"/>
        <v>116250</v>
      </c>
      <c r="H538" s="76"/>
    </row>
    <row r="539" spans="1:8" x14ac:dyDescent="0.35">
      <c r="A539" s="476"/>
      <c r="B539" s="653">
        <f>SAM!A15</f>
        <v>80</v>
      </c>
      <c r="C539" s="653" t="str">
        <f>SAM!B15</f>
        <v>METHYL-DOPA 250MG TAB</v>
      </c>
      <c r="D539" s="654">
        <f>SAM!C15</f>
        <v>100</v>
      </c>
      <c r="E539" s="653">
        <v>200</v>
      </c>
      <c r="F539" s="38">
        <f>SAM!E15</f>
        <v>1390</v>
      </c>
      <c r="G539" s="38">
        <f t="shared" si="31"/>
        <v>278000</v>
      </c>
      <c r="H539" s="76"/>
    </row>
    <row r="540" spans="1:8" x14ac:dyDescent="0.35">
      <c r="A540" s="476"/>
      <c r="B540" s="653">
        <f>SAM!A16</f>
        <v>182</v>
      </c>
      <c r="C540" s="653" t="str">
        <f>SAM!B16</f>
        <v>PARACETAMOL INFUSION</v>
      </c>
      <c r="D540" s="654" t="str">
        <f>SAM!C16</f>
        <v>BOTT</v>
      </c>
      <c r="E540" s="653">
        <v>3750</v>
      </c>
      <c r="F540" s="38">
        <f>SAM!E16</f>
        <v>380</v>
      </c>
      <c r="G540" s="38">
        <f t="shared" si="31"/>
        <v>1425000</v>
      </c>
      <c r="H540" s="76"/>
    </row>
    <row r="541" spans="1:8" x14ac:dyDescent="0.35">
      <c r="A541" s="476"/>
      <c r="B541" s="653">
        <f>SAM!A17</f>
        <v>489</v>
      </c>
      <c r="C541" s="653" t="str">
        <f>SAM!B17</f>
        <v>PREDNISOLONE 5MG TAB</v>
      </c>
      <c r="D541" s="654">
        <f>SAM!C17</f>
        <v>100</v>
      </c>
      <c r="E541" s="653">
        <v>200</v>
      </c>
      <c r="F541" s="38">
        <f>SAM!E17</f>
        <v>260</v>
      </c>
      <c r="G541" s="38">
        <f t="shared" si="31"/>
        <v>52000</v>
      </c>
      <c r="H541" s="76"/>
    </row>
    <row r="542" spans="1:8" x14ac:dyDescent="0.35">
      <c r="A542" s="476"/>
      <c r="B542" s="653">
        <f>SAM!A18</f>
        <v>448</v>
      </c>
      <c r="C542" s="653" t="str">
        <f>SAM!B18</f>
        <v>RABEPRAZOLE 20MG CAP</v>
      </c>
      <c r="D542" s="654">
        <f>SAM!C18</f>
        <v>20</v>
      </c>
      <c r="E542" s="653">
        <v>75</v>
      </c>
      <c r="F542" s="38">
        <f>SAM!E18</f>
        <v>530</v>
      </c>
      <c r="G542" s="38">
        <f t="shared" si="31"/>
        <v>39750</v>
      </c>
      <c r="H542" s="76"/>
    </row>
    <row r="543" spans="1:8" ht="23.25" x14ac:dyDescent="0.35">
      <c r="A543" s="476"/>
      <c r="B543" s="653">
        <f>SAM!A20</f>
        <v>340</v>
      </c>
      <c r="C543" s="653" t="str">
        <f>SAM!B20</f>
        <v>VITAMIN C 100MG (CHEWABLE)</v>
      </c>
      <c r="D543" s="654">
        <f>SAM!C20</f>
        <v>1000</v>
      </c>
      <c r="E543" s="653">
        <v>100</v>
      </c>
      <c r="F543" s="38">
        <f>SAM!E20</f>
        <v>730</v>
      </c>
      <c r="G543" s="38">
        <f t="shared" si="31"/>
        <v>73000</v>
      </c>
      <c r="H543" s="186">
        <f>SUM(G531:G543)</f>
        <v>2924530</v>
      </c>
    </row>
    <row r="544" spans="1:8" x14ac:dyDescent="0.35">
      <c r="A544" s="476"/>
      <c r="B544" s="35"/>
      <c r="C544" s="35"/>
      <c r="D544" s="668"/>
      <c r="E544" s="35"/>
      <c r="F544" s="38"/>
      <c r="G544" s="38"/>
      <c r="H544" s="76"/>
    </row>
    <row r="545" spans="1:8" ht="23.25" x14ac:dyDescent="0.35">
      <c r="A545" s="476">
        <v>40</v>
      </c>
      <c r="B545" s="35"/>
      <c r="C545" s="77" t="str">
        <f>SEAGREEN!B1</f>
        <v>SEAGREEN PHARMACEUTICALS LIMITED</v>
      </c>
      <c r="D545" s="668"/>
      <c r="E545" s="35"/>
      <c r="F545" s="38"/>
      <c r="G545" s="38"/>
      <c r="H545" s="76"/>
    </row>
    <row r="546" spans="1:8" x14ac:dyDescent="0.35">
      <c r="A546" s="476"/>
      <c r="B546" s="653">
        <f>SEAGREEN!A6</f>
        <v>208</v>
      </c>
      <c r="C546" s="653" t="str">
        <f>SEAGREEN!B6</f>
        <v>AMOXICILLIN/CLAVULANIC ACID 625MG TAB</v>
      </c>
      <c r="D546" s="654">
        <f>SEAGREEN!C6</f>
        <v>14</v>
      </c>
      <c r="E546" s="653">
        <v>200</v>
      </c>
      <c r="F546" s="38">
        <f>SEAGREEN!E6</f>
        <v>650</v>
      </c>
      <c r="G546" s="38">
        <f t="shared" si="31"/>
        <v>130000</v>
      </c>
      <c r="H546" s="76"/>
    </row>
    <row r="547" spans="1:8" x14ac:dyDescent="0.35">
      <c r="A547" s="476"/>
      <c r="B547" s="430">
        <v>241</v>
      </c>
      <c r="C547" s="15" t="s">
        <v>2156</v>
      </c>
      <c r="D547" s="15">
        <v>6</v>
      </c>
      <c r="E547" s="15">
        <v>150</v>
      </c>
      <c r="F547" s="60">
        <v>900</v>
      </c>
      <c r="G547" s="38">
        <f t="shared" si="31"/>
        <v>135000</v>
      </c>
      <c r="H547" s="76"/>
    </row>
    <row r="548" spans="1:8" x14ac:dyDescent="0.35">
      <c r="A548" s="476"/>
      <c r="B548" s="653">
        <f>SEAGREEN!A8</f>
        <v>228</v>
      </c>
      <c r="C548" s="653" t="str">
        <f>SEAGREEN!B8</f>
        <v>CEFTRIAXONE 1G INJ</v>
      </c>
      <c r="D548" s="654" t="str">
        <f>SEAGREEN!C8</f>
        <v>VIAL</v>
      </c>
      <c r="E548" s="653">
        <v>2000</v>
      </c>
      <c r="F548" s="38">
        <f>SEAGREEN!E8</f>
        <v>180</v>
      </c>
      <c r="G548" s="38">
        <f t="shared" si="31"/>
        <v>360000</v>
      </c>
      <c r="H548" s="76"/>
    </row>
    <row r="549" spans="1:8" ht="23.25" x14ac:dyDescent="0.35">
      <c r="A549" s="476"/>
      <c r="B549" s="653">
        <f>SEAGREEN!A9</f>
        <v>105</v>
      </c>
      <c r="C549" s="653" t="str">
        <f>SEAGREEN!B9</f>
        <v>SIMVASTATIN 20MG TAB</v>
      </c>
      <c r="D549" s="654">
        <f>SEAGREEN!C9</f>
        <v>28</v>
      </c>
      <c r="E549" s="653">
        <v>13</v>
      </c>
      <c r="F549" s="38">
        <f>SEAGREEN!E9</f>
        <v>300</v>
      </c>
      <c r="G549" s="38">
        <f t="shared" si="31"/>
        <v>3900</v>
      </c>
      <c r="H549" s="186">
        <f>SUM(G546:G549)</f>
        <v>628900</v>
      </c>
    </row>
    <row r="550" spans="1:8" x14ac:dyDescent="0.35">
      <c r="A550" s="476"/>
      <c r="B550" s="653"/>
      <c r="C550" s="653"/>
      <c r="D550" s="654"/>
      <c r="E550" s="653"/>
      <c r="F550" s="38"/>
      <c r="G550" s="38"/>
      <c r="H550" s="76"/>
    </row>
    <row r="551" spans="1:8" ht="23.25" x14ac:dyDescent="0.35">
      <c r="A551" s="476">
        <v>41</v>
      </c>
      <c r="B551" s="653"/>
      <c r="C551" s="656" t="str">
        <f>SKG!B1</f>
        <v>SKG PHARMACEUTICALS LIMITED</v>
      </c>
      <c r="D551" s="654"/>
      <c r="E551" s="653"/>
      <c r="F551" s="38"/>
      <c r="G551" s="38"/>
      <c r="H551" s="76"/>
    </row>
    <row r="552" spans="1:8" x14ac:dyDescent="0.35">
      <c r="A552" s="476"/>
      <c r="B552" s="653">
        <f>SKG!A9</f>
        <v>675</v>
      </c>
      <c r="C552" s="653" t="str">
        <f>SKG!B9</f>
        <v>HYDROGEN PEROXIDE 100ML</v>
      </c>
      <c r="D552" s="654" t="str">
        <f>SKG!C9</f>
        <v>BOTT</v>
      </c>
      <c r="E552" s="653">
        <v>96</v>
      </c>
      <c r="F552" s="38">
        <f>SKG!E9</f>
        <v>123.59</v>
      </c>
      <c r="G552" s="38">
        <f t="shared" si="31"/>
        <v>11864.64</v>
      </c>
      <c r="H552" s="76"/>
    </row>
    <row r="553" spans="1:8" x14ac:dyDescent="0.35">
      <c r="A553" s="476"/>
      <c r="B553" s="653">
        <f>SKG!A10</f>
        <v>433</v>
      </c>
      <c r="C553" s="653" t="str">
        <f>SKG!B10</f>
        <v>LIQUID PARAFFIN</v>
      </c>
      <c r="D553" s="654" t="str">
        <f>SKG!C10</f>
        <v>BOTT</v>
      </c>
      <c r="E553" s="653">
        <v>200</v>
      </c>
      <c r="F553" s="38">
        <f>SKG!E10</f>
        <v>350.53</v>
      </c>
      <c r="G553" s="38">
        <f t="shared" si="31"/>
        <v>70106</v>
      </c>
      <c r="H553" s="76"/>
    </row>
    <row r="554" spans="1:8" x14ac:dyDescent="0.35">
      <c r="A554" s="476"/>
      <c r="B554" s="653">
        <f>SKG!A11</f>
        <v>435</v>
      </c>
      <c r="C554" s="653" t="str">
        <f>SKG!B11</f>
        <v>MAGNESIUM HYDROXIDE/ALUMINIUM HYDROXIDE+ DIMETHICONE SUSP</v>
      </c>
      <c r="D554" s="654" t="str">
        <f>SKG!C11</f>
        <v>BOTT</v>
      </c>
      <c r="E554" s="653">
        <v>250</v>
      </c>
      <c r="F554" s="38">
        <f>SKG!E11</f>
        <v>410.08</v>
      </c>
      <c r="G554" s="38">
        <f t="shared" si="31"/>
        <v>102520</v>
      </c>
      <c r="H554" s="76"/>
    </row>
    <row r="555" spans="1:8" x14ac:dyDescent="0.35">
      <c r="A555" s="476"/>
      <c r="B555" s="653">
        <f>SKG!A12</f>
        <v>492</v>
      </c>
      <c r="C555" s="653" t="str">
        <f>SKG!B12</f>
        <v xml:space="preserve">PSEUDOEPHEDRINE/TRIPROLIDINE SYR             </v>
      </c>
      <c r="D555" s="654" t="str">
        <f>SKG!C12</f>
        <v>BOTT</v>
      </c>
      <c r="E555" s="653">
        <v>30</v>
      </c>
      <c r="F555" s="38">
        <f>SKG!E12</f>
        <v>316.83</v>
      </c>
      <c r="G555" s="38">
        <f t="shared" si="31"/>
        <v>9504.9</v>
      </c>
      <c r="H555" s="76"/>
    </row>
    <row r="556" spans="1:8" ht="23.25" x14ac:dyDescent="0.35">
      <c r="A556" s="476"/>
      <c r="B556" s="653">
        <f>SKG!A13</f>
        <v>493</v>
      </c>
      <c r="C556" s="653" t="str">
        <f>SKG!B13</f>
        <v>PSEUDOEPHEDRINE/TRIPROLIDINE TAB</v>
      </c>
      <c r="D556" s="654">
        <f>SKG!C13</f>
        <v>100</v>
      </c>
      <c r="E556" s="653">
        <v>20</v>
      </c>
      <c r="F556" s="38">
        <f>SKG!E13</f>
        <v>1853.78</v>
      </c>
      <c r="G556" s="38">
        <f t="shared" si="31"/>
        <v>37075.599999999999</v>
      </c>
      <c r="H556" s="186">
        <f>SUM(G552:G556)</f>
        <v>231071.14</v>
      </c>
    </row>
    <row r="557" spans="1:8" x14ac:dyDescent="0.35">
      <c r="A557" s="476"/>
      <c r="B557" s="653"/>
      <c r="C557" s="653"/>
      <c r="D557" s="654"/>
      <c r="E557" s="653"/>
      <c r="F557" s="38"/>
      <c r="G557" s="38"/>
      <c r="H557" s="76"/>
    </row>
    <row r="558" spans="1:8" x14ac:dyDescent="0.35">
      <c r="A558" s="476"/>
      <c r="B558" s="653"/>
      <c r="C558" s="653"/>
      <c r="D558" s="654"/>
      <c r="E558" s="653"/>
      <c r="F558" s="38"/>
      <c r="G558" s="38"/>
      <c r="H558" s="76"/>
    </row>
    <row r="559" spans="1:8" x14ac:dyDescent="0.35">
      <c r="A559" s="476"/>
      <c r="B559" s="653"/>
      <c r="C559" s="653"/>
      <c r="D559" s="654"/>
      <c r="E559" s="653"/>
      <c r="F559" s="38"/>
      <c r="G559" s="38"/>
      <c r="H559" s="76"/>
    </row>
    <row r="560" spans="1:8" ht="23.25" x14ac:dyDescent="0.35">
      <c r="A560" s="476">
        <v>42</v>
      </c>
      <c r="B560" s="653"/>
      <c r="C560" s="656" t="str">
        <f>TAH!B1</f>
        <v>TAH PHARMACEUTICALS LIMITED</v>
      </c>
      <c r="D560" s="654"/>
      <c r="E560" s="653"/>
      <c r="F560" s="38"/>
      <c r="G560" s="38"/>
      <c r="H560" s="76"/>
    </row>
    <row r="561" spans="1:8" x14ac:dyDescent="0.35">
      <c r="A561" s="476"/>
      <c r="B561" s="653">
        <f>TAH!A6</f>
        <v>49</v>
      </c>
      <c r="C561" s="653" t="str">
        <f>TAH!B6</f>
        <v>ATORVASTATIN 20MG</v>
      </c>
      <c r="D561" s="654">
        <f>TAH!C6</f>
        <v>30</v>
      </c>
      <c r="E561" s="653">
        <v>100</v>
      </c>
      <c r="F561" s="38">
        <f>TAH!E6</f>
        <v>500</v>
      </c>
      <c r="G561" s="38">
        <f t="shared" si="31"/>
        <v>50000</v>
      </c>
      <c r="H561" s="76"/>
    </row>
    <row r="562" spans="1:8" x14ac:dyDescent="0.35">
      <c r="A562" s="476"/>
      <c r="B562" s="653">
        <f>TAH!A7</f>
        <v>580</v>
      </c>
      <c r="C562" s="653" t="str">
        <f>TAH!B7</f>
        <v>CANNULA 18G GREEN</v>
      </c>
      <c r="D562" s="654">
        <f>TAH!C7</f>
        <v>50</v>
      </c>
      <c r="E562" s="653">
        <v>53</v>
      </c>
      <c r="F562" s="38">
        <f>TAH!E7</f>
        <v>1900</v>
      </c>
      <c r="G562" s="38">
        <f t="shared" si="31"/>
        <v>100700</v>
      </c>
      <c r="H562" s="76"/>
    </row>
    <row r="563" spans="1:8" x14ac:dyDescent="0.35">
      <c r="A563" s="476"/>
      <c r="B563" s="653">
        <f>TAH!A8</f>
        <v>581</v>
      </c>
      <c r="C563" s="653" t="str">
        <f>TAH!B8</f>
        <v xml:space="preserve">CANNULA 20G PINK </v>
      </c>
      <c r="D563" s="654">
        <f>TAH!C8</f>
        <v>50</v>
      </c>
      <c r="E563" s="653">
        <v>70</v>
      </c>
      <c r="F563" s="38">
        <f>TAH!E8</f>
        <v>1900</v>
      </c>
      <c r="G563" s="38">
        <f t="shared" si="31"/>
        <v>133000</v>
      </c>
      <c r="H563" s="76"/>
    </row>
    <row r="564" spans="1:8" x14ac:dyDescent="0.35">
      <c r="A564" s="476"/>
      <c r="B564" s="653">
        <f>TAH!A9</f>
        <v>582</v>
      </c>
      <c r="C564" s="653" t="str">
        <f>TAH!B9</f>
        <v xml:space="preserve">CANNULA 22G BLUE </v>
      </c>
      <c r="D564" s="654">
        <f>TAH!C9</f>
        <v>50</v>
      </c>
      <c r="E564" s="653">
        <v>35</v>
      </c>
      <c r="F564" s="38">
        <f>TAH!E9</f>
        <v>1900</v>
      </c>
      <c r="G564" s="38">
        <f t="shared" si="31"/>
        <v>66500</v>
      </c>
      <c r="H564" s="76"/>
    </row>
    <row r="565" spans="1:8" x14ac:dyDescent="0.35">
      <c r="A565" s="476"/>
      <c r="B565" s="653">
        <f>TAH!A10</f>
        <v>583</v>
      </c>
      <c r="C565" s="653" t="str">
        <f>TAH!B10</f>
        <v xml:space="preserve">CANNULA 24G YELLOW </v>
      </c>
      <c r="D565" s="654">
        <f>TAH!C10</f>
        <v>50</v>
      </c>
      <c r="E565" s="653">
        <v>23</v>
      </c>
      <c r="F565" s="38">
        <f>TAH!E10</f>
        <v>2250</v>
      </c>
      <c r="G565" s="38">
        <f t="shared" si="31"/>
        <v>51750</v>
      </c>
      <c r="H565" s="76"/>
    </row>
    <row r="566" spans="1:8" x14ac:dyDescent="0.35">
      <c r="A566" s="476"/>
      <c r="B566" s="653">
        <f>TAH!A12</f>
        <v>429</v>
      </c>
      <c r="C566" s="653" t="str">
        <f>TAH!B12</f>
        <v>ESOMEPRAZOLE 20MG CAP</v>
      </c>
      <c r="D566" s="654">
        <f>TAH!C12</f>
        <v>50</v>
      </c>
      <c r="E566" s="653">
        <v>20</v>
      </c>
      <c r="F566" s="38">
        <f>TAH!E12</f>
        <v>1200</v>
      </c>
      <c r="G566" s="38">
        <f t="shared" si="31"/>
        <v>24000</v>
      </c>
      <c r="H566" s="76"/>
    </row>
    <row r="567" spans="1:8" x14ac:dyDescent="0.35">
      <c r="A567" s="476"/>
      <c r="B567" s="653">
        <f>TAH!A14</f>
        <v>403</v>
      </c>
      <c r="C567" s="653" t="str">
        <f>TAH!B14</f>
        <v>HEAVY MARCAINE INJ</v>
      </c>
      <c r="D567" s="654">
        <f>TAH!C14</f>
        <v>10</v>
      </c>
      <c r="E567" s="653">
        <v>8</v>
      </c>
      <c r="F567" s="38">
        <f>TAH!E14</f>
        <v>3000</v>
      </c>
      <c r="G567" s="38">
        <f t="shared" si="31"/>
        <v>24000</v>
      </c>
      <c r="H567" s="76"/>
    </row>
    <row r="568" spans="1:8" x14ac:dyDescent="0.35">
      <c r="A568" s="476"/>
      <c r="B568" s="653">
        <v>410</v>
      </c>
      <c r="C568" s="653" t="s">
        <v>2236</v>
      </c>
      <c r="D568" s="654" t="s">
        <v>57</v>
      </c>
      <c r="E568" s="653">
        <v>50</v>
      </c>
      <c r="F568" s="38">
        <v>800</v>
      </c>
      <c r="G568" s="38">
        <f t="shared" si="31"/>
        <v>40000</v>
      </c>
      <c r="H568" s="76"/>
    </row>
    <row r="569" spans="1:8" x14ac:dyDescent="0.35">
      <c r="A569" s="476"/>
      <c r="B569" s="653">
        <f>TAH!A16</f>
        <v>449</v>
      </c>
      <c r="C569" s="653" t="str">
        <f>TAH!B16</f>
        <v>RABEPRAZOLE 20MG INJ</v>
      </c>
      <c r="D569" s="654" t="str">
        <f>TAH!C16</f>
        <v xml:space="preserve">VIAL </v>
      </c>
      <c r="E569" s="653">
        <v>20</v>
      </c>
      <c r="F569" s="38">
        <f>TAH!E16</f>
        <v>650</v>
      </c>
      <c r="G569" s="38">
        <f t="shared" si="31"/>
        <v>13000</v>
      </c>
      <c r="H569" s="76"/>
    </row>
    <row r="570" spans="1:8" x14ac:dyDescent="0.35">
      <c r="A570" s="476"/>
      <c r="B570" s="653">
        <f>TAH!A17</f>
        <v>647</v>
      </c>
      <c r="C570" s="653" t="str">
        <f>TAH!B17</f>
        <v>SURGICAL GLOVES 7 1/2"</v>
      </c>
      <c r="D570" s="654">
        <f>TAH!C17</f>
        <v>50</v>
      </c>
      <c r="E570" s="653">
        <v>150</v>
      </c>
      <c r="F570" s="38">
        <f>TAH!E17</f>
        <v>3000</v>
      </c>
      <c r="G570" s="38">
        <f t="shared" si="31"/>
        <v>450000</v>
      </c>
      <c r="H570" s="76"/>
    </row>
    <row r="571" spans="1:8" x14ac:dyDescent="0.35">
      <c r="A571" s="476"/>
      <c r="B571" s="653">
        <f>TAH!A18</f>
        <v>646</v>
      </c>
      <c r="C571" s="653" t="str">
        <f>TAH!B18</f>
        <v>SURGICAL GLOVES 7"</v>
      </c>
      <c r="D571" s="654">
        <f>TAH!C18</f>
        <v>50</v>
      </c>
      <c r="E571" s="653">
        <v>60</v>
      </c>
      <c r="F571" s="38">
        <f>TAH!E18</f>
        <v>3000</v>
      </c>
      <c r="G571" s="38">
        <f t="shared" si="31"/>
        <v>180000</v>
      </c>
      <c r="H571" s="76"/>
    </row>
    <row r="572" spans="1:8" ht="23.25" x14ac:dyDescent="0.35">
      <c r="A572" s="476"/>
      <c r="B572" s="653">
        <f>TAH!A19</f>
        <v>648</v>
      </c>
      <c r="C572" s="653" t="str">
        <f>TAH!B19</f>
        <v>SURGICAL GLOVES 8"</v>
      </c>
      <c r="D572" s="654">
        <f>TAH!C19</f>
        <v>50</v>
      </c>
      <c r="E572" s="653">
        <v>90</v>
      </c>
      <c r="F572" s="38">
        <f>TAH!E19</f>
        <v>3000</v>
      </c>
      <c r="G572" s="38">
        <f t="shared" si="31"/>
        <v>270000</v>
      </c>
      <c r="H572" s="186">
        <f>SUM(G561:G572)</f>
        <v>1402950</v>
      </c>
    </row>
    <row r="573" spans="1:8" x14ac:dyDescent="0.35">
      <c r="A573" s="476"/>
      <c r="B573" s="653"/>
      <c r="C573" s="653"/>
      <c r="D573" s="654"/>
      <c r="E573" s="653"/>
      <c r="F573" s="38"/>
      <c r="G573" s="38"/>
      <c r="H573" s="76"/>
    </row>
    <row r="574" spans="1:8" ht="23.25" x14ac:dyDescent="0.35">
      <c r="A574" s="476">
        <v>43</v>
      </c>
      <c r="B574" s="653"/>
      <c r="C574" s="656" t="str">
        <f>TAYLEK!B1</f>
        <v>TAYLEK DRUGS COMPANY LIMITED</v>
      </c>
      <c r="D574" s="654"/>
      <c r="E574" s="653"/>
      <c r="F574" s="38"/>
      <c r="G574" s="38"/>
      <c r="H574" s="76"/>
    </row>
    <row r="575" spans="1:8" x14ac:dyDescent="0.35">
      <c r="A575" s="476"/>
      <c r="B575" s="653">
        <f>TAYLEK!A8</f>
        <v>54</v>
      </c>
      <c r="C575" s="653" t="str">
        <f>TAYLEK!B8</f>
        <v>CANDESARTAN 8MG TAB</v>
      </c>
      <c r="D575" s="654">
        <f>TAYLEK!C8</f>
        <v>28</v>
      </c>
      <c r="E575" s="653">
        <v>25</v>
      </c>
      <c r="F575" s="38">
        <f>TAYLEK!E8</f>
        <v>2873</v>
      </c>
      <c r="G575" s="38">
        <f t="shared" si="31"/>
        <v>71825</v>
      </c>
      <c r="H575" s="76"/>
    </row>
    <row r="576" spans="1:8" x14ac:dyDescent="0.35">
      <c r="A576" s="476"/>
      <c r="B576" s="653">
        <f>TAYLEK!A9</f>
        <v>255</v>
      </c>
      <c r="C576" s="653" t="str">
        <f>TAYLEK!B9</f>
        <v>GENTICIN 80MG INJ</v>
      </c>
      <c r="D576" s="654">
        <f>TAYLEK!C9</f>
        <v>50</v>
      </c>
      <c r="E576" s="653">
        <v>80</v>
      </c>
      <c r="F576" s="38">
        <f>TAYLEK!E9</f>
        <v>8550</v>
      </c>
      <c r="G576" s="38">
        <f t="shared" si="31"/>
        <v>684000</v>
      </c>
      <c r="H576" s="76"/>
    </row>
    <row r="577" spans="1:8" ht="23.25" x14ac:dyDescent="0.35">
      <c r="A577" s="476"/>
      <c r="B577" s="653">
        <f>TAYLEK!A10</f>
        <v>88</v>
      </c>
      <c r="C577" s="653" t="str">
        <f>TAYLEK!B10</f>
        <v xml:space="preserve">NIFEDIPINE 30MG </v>
      </c>
      <c r="D577" s="654">
        <f>TAYLEK!C10</f>
        <v>30</v>
      </c>
      <c r="E577" s="653">
        <v>200</v>
      </c>
      <c r="F577" s="38">
        <f>TAYLEK!E10</f>
        <v>1568</v>
      </c>
      <c r="G577" s="38">
        <f t="shared" si="31"/>
        <v>313600</v>
      </c>
      <c r="H577" s="186">
        <f>SUM(G575:G577)</f>
        <v>1069425</v>
      </c>
    </row>
    <row r="578" spans="1:8" x14ac:dyDescent="0.35">
      <c r="A578" s="476"/>
      <c r="B578" s="653"/>
      <c r="C578" s="653"/>
      <c r="D578" s="654"/>
      <c r="E578" s="653"/>
      <c r="F578" s="38"/>
      <c r="G578" s="38"/>
      <c r="H578" s="76"/>
    </row>
    <row r="579" spans="1:8" ht="23.25" x14ac:dyDescent="0.35">
      <c r="A579" s="476">
        <v>44</v>
      </c>
      <c r="B579" s="653"/>
      <c r="C579" s="656" t="str">
        <f>THL!B1</f>
        <v>THERAPEUTIC LABORATORIES NIGERIA LIMITED</v>
      </c>
      <c r="D579" s="654"/>
      <c r="E579" s="653"/>
      <c r="F579" s="38"/>
      <c r="G579" s="38"/>
      <c r="H579" s="76"/>
    </row>
    <row r="580" spans="1:8" x14ac:dyDescent="0.35">
      <c r="A580" s="476"/>
      <c r="B580" s="653">
        <f>THL!A6</f>
        <v>8</v>
      </c>
      <c r="C580" s="653" t="str">
        <f>THL!B6</f>
        <v>ARTEMETHER/LUMEFANTRINE (80/480) TAB</v>
      </c>
      <c r="D580" s="654">
        <f>THL!C6</f>
        <v>6</v>
      </c>
      <c r="E580" s="653">
        <v>250</v>
      </c>
      <c r="F580" s="38">
        <f>THL!E6</f>
        <v>260</v>
      </c>
      <c r="G580" s="38">
        <f t="shared" si="31"/>
        <v>65000</v>
      </c>
      <c r="H580" s="76"/>
    </row>
    <row r="581" spans="1:8" x14ac:dyDescent="0.35">
      <c r="A581" s="476"/>
      <c r="B581" s="653">
        <f>THL!A7</f>
        <v>236</v>
      </c>
      <c r="C581" s="653" t="str">
        <f>THL!B7</f>
        <v>CIPROFLOXACIN 500MG TAB</v>
      </c>
      <c r="D581" s="654">
        <f>THL!C7</f>
        <v>10</v>
      </c>
      <c r="E581" s="653">
        <f>1200*0.4</f>
        <v>480</v>
      </c>
      <c r="F581" s="38">
        <f>THL!E7</f>
        <v>148</v>
      </c>
      <c r="G581" s="38">
        <f t="shared" ref="G581:G627" si="32">E581*F581</f>
        <v>71040</v>
      </c>
      <c r="H581" s="76"/>
    </row>
    <row r="582" spans="1:8" x14ac:dyDescent="0.35">
      <c r="A582" s="476"/>
      <c r="B582" s="653">
        <f>THL!A8</f>
        <v>156</v>
      </c>
      <c r="C582" s="653" t="str">
        <f>THL!B8</f>
        <v xml:space="preserve">DICLOFENAC/METHYL SALICYLATE CREAM </v>
      </c>
      <c r="D582" s="654" t="str">
        <f>THL!C8</f>
        <v>TUBE</v>
      </c>
      <c r="E582" s="653">
        <v>200</v>
      </c>
      <c r="F582" s="38">
        <f>THL!E8</f>
        <v>190</v>
      </c>
      <c r="G582" s="38">
        <f t="shared" si="32"/>
        <v>38000</v>
      </c>
      <c r="H582" s="76"/>
    </row>
    <row r="583" spans="1:8" x14ac:dyDescent="0.35">
      <c r="A583" s="476"/>
      <c r="B583" s="653">
        <f>THL!A9</f>
        <v>158</v>
      </c>
      <c r="C583" s="653" t="str">
        <f>THL!B9</f>
        <v xml:space="preserve">DICLOFENAC/PARACETAMOL </v>
      </c>
      <c r="D583" s="654">
        <f>THL!C9</f>
        <v>20</v>
      </c>
      <c r="E583" s="653">
        <v>100</v>
      </c>
      <c r="F583" s="38">
        <f>THL!E9</f>
        <v>150</v>
      </c>
      <c r="G583" s="38">
        <f t="shared" si="32"/>
        <v>15000</v>
      </c>
      <c r="H583" s="76"/>
    </row>
    <row r="584" spans="1:8" x14ac:dyDescent="0.35">
      <c r="A584" s="476"/>
      <c r="B584" s="653">
        <f>THL!A10</f>
        <v>305</v>
      </c>
      <c r="C584" s="653" t="str">
        <f>THL!B10</f>
        <v>FERROUS SULPHATE 200MG TAB</v>
      </c>
      <c r="D584" s="654">
        <f>THL!C10</f>
        <v>1000</v>
      </c>
      <c r="E584" s="653">
        <v>100</v>
      </c>
      <c r="F584" s="38">
        <f>THL!E10</f>
        <v>700</v>
      </c>
      <c r="G584" s="38">
        <f t="shared" si="32"/>
        <v>70000</v>
      </c>
      <c r="H584" s="76"/>
    </row>
    <row r="585" spans="1:8" ht="23.25" x14ac:dyDescent="0.35">
      <c r="A585" s="476"/>
      <c r="B585" s="653">
        <f>THL!A12</f>
        <v>435</v>
      </c>
      <c r="C585" s="653" t="str">
        <f>THL!B12</f>
        <v>MAGNESIUM HYDROXIDE/ALUMINIUM HYDROXIDE+ DIMETHICONE SUSP</v>
      </c>
      <c r="D585" s="654" t="str">
        <f>THL!C12</f>
        <v>BOTT</v>
      </c>
      <c r="E585" s="653">
        <v>250</v>
      </c>
      <c r="F585" s="38">
        <f>THL!E12</f>
        <v>260</v>
      </c>
      <c r="G585" s="38">
        <f t="shared" si="32"/>
        <v>65000</v>
      </c>
      <c r="H585" s="186"/>
    </row>
    <row r="586" spans="1:8" x14ac:dyDescent="0.35">
      <c r="A586" s="476"/>
      <c r="B586" s="653">
        <f>THL!A13</f>
        <v>134</v>
      </c>
      <c r="C586" s="653" t="str">
        <f>THL!B13</f>
        <v>METFORMIN HCL 500MG TAB</v>
      </c>
      <c r="D586" s="654">
        <f>THL!C13</f>
        <v>100</v>
      </c>
      <c r="E586" s="653">
        <v>180</v>
      </c>
      <c r="F586" s="38">
        <f>THL!E13</f>
        <v>400</v>
      </c>
      <c r="G586" s="38">
        <f t="shared" si="32"/>
        <v>72000</v>
      </c>
    </row>
    <row r="587" spans="1:8" ht="23.25" x14ac:dyDescent="0.35">
      <c r="A587" s="476"/>
      <c r="B587" s="653">
        <f>THL!A14</f>
        <v>446</v>
      </c>
      <c r="C587" s="653" t="str">
        <f>THL!B14</f>
        <v>OXATHAZINE/MAGNESIUM HYDROXIDE/ALUMINIUM HYDROXIDE/SIMETHICONE</v>
      </c>
      <c r="D587" s="654" t="str">
        <f>THL!C14</f>
        <v>BOTT</v>
      </c>
      <c r="E587" s="653">
        <v>100</v>
      </c>
      <c r="F587" s="38">
        <f>THL!E14</f>
        <v>410</v>
      </c>
      <c r="G587" s="38">
        <f t="shared" si="32"/>
        <v>41000</v>
      </c>
      <c r="H587" s="186">
        <f>SUM(G580:G587)</f>
        <v>437040</v>
      </c>
    </row>
    <row r="588" spans="1:8" x14ac:dyDescent="0.35">
      <c r="A588" s="476"/>
      <c r="B588" s="653"/>
      <c r="C588" s="653"/>
      <c r="D588" s="654"/>
      <c r="E588" s="653"/>
      <c r="F588" s="38"/>
      <c r="G588" s="38"/>
      <c r="H588" s="76"/>
    </row>
    <row r="589" spans="1:8" ht="23.25" x14ac:dyDescent="0.35">
      <c r="A589" s="476">
        <v>45</v>
      </c>
      <c r="B589" s="653"/>
      <c r="C589" s="656" t="str">
        <f>UNIQUE!B1</f>
        <v>UNIQUE PHARMACEUTICALS LIMITED</v>
      </c>
      <c r="D589" s="654"/>
      <c r="E589" s="653"/>
      <c r="F589" s="38"/>
      <c r="G589" s="38"/>
      <c r="H589" s="76"/>
    </row>
    <row r="590" spans="1:8" x14ac:dyDescent="0.35">
      <c r="A590" s="476"/>
      <c r="B590" s="653">
        <f>UNIQUE!A8</f>
        <v>26</v>
      </c>
      <c r="C590" s="653" t="str">
        <f>UNIQUE!B8</f>
        <v>50% DEXTROSE WATER</v>
      </c>
      <c r="D590" s="654">
        <f>UNIQUE!C8</f>
        <v>100</v>
      </c>
      <c r="E590" s="653">
        <v>8</v>
      </c>
      <c r="F590" s="38">
        <f>UNIQUE!E8</f>
        <v>12700</v>
      </c>
      <c r="G590" s="38">
        <f t="shared" si="32"/>
        <v>101600</v>
      </c>
      <c r="H590" s="76"/>
    </row>
    <row r="591" spans="1:8" x14ac:dyDescent="0.35">
      <c r="A591" s="476"/>
      <c r="B591" s="653">
        <v>20</v>
      </c>
      <c r="C591" s="653" t="s">
        <v>19</v>
      </c>
      <c r="D591" s="654">
        <v>20</v>
      </c>
      <c r="E591" s="653">
        <v>25</v>
      </c>
      <c r="F591" s="38">
        <v>2520</v>
      </c>
      <c r="G591" s="38">
        <f t="shared" si="32"/>
        <v>63000</v>
      </c>
      <c r="H591" s="76"/>
    </row>
    <row r="592" spans="1:8" x14ac:dyDescent="0.35">
      <c r="A592" s="476"/>
      <c r="B592" s="653">
        <f>UNIQUE!A9</f>
        <v>47</v>
      </c>
      <c r="C592" s="653" t="str">
        <f>UNIQUE!B9</f>
        <v>ATENOLOL 50MG</v>
      </c>
      <c r="D592" s="654">
        <f>UNIQUE!C9</f>
        <v>28</v>
      </c>
      <c r="E592" s="653">
        <v>400</v>
      </c>
      <c r="F592" s="38">
        <f>UNIQUE!E9</f>
        <v>165</v>
      </c>
      <c r="G592" s="38">
        <f t="shared" si="32"/>
        <v>66000</v>
      </c>
      <c r="H592" s="76"/>
    </row>
    <row r="593" spans="1:8" ht="23.25" x14ac:dyDescent="0.35">
      <c r="A593" s="476"/>
      <c r="B593" s="653">
        <f>UNIQUE!A10</f>
        <v>240</v>
      </c>
      <c r="C593" s="653" t="str">
        <f>UNIQUE!B10</f>
        <v>CLOTRIMAZOLE 1% CREAM 20g</v>
      </c>
      <c r="D593" s="654" t="str">
        <f>UNIQUE!C10</f>
        <v>TUBE</v>
      </c>
      <c r="E593" s="653">
        <v>75</v>
      </c>
      <c r="F593" s="38">
        <f>UNIQUE!E10</f>
        <v>115</v>
      </c>
      <c r="G593" s="38">
        <f t="shared" si="32"/>
        <v>8625</v>
      </c>
      <c r="H593" s="186"/>
    </row>
    <row r="594" spans="1:8" x14ac:dyDescent="0.35">
      <c r="A594" s="476"/>
      <c r="B594" s="653">
        <f>UNIQUE!A11</f>
        <v>477</v>
      </c>
      <c r="C594" s="653" t="str">
        <f>UNIQUE!B11</f>
        <v>DIPHENHYDRAMINE HCL+ AMMONIUM CHLORIDE SYR (Adult)</v>
      </c>
      <c r="D594" s="654" t="str">
        <f>UNIQUE!C11</f>
        <v>BOTT</v>
      </c>
      <c r="E594" s="653">
        <v>400</v>
      </c>
      <c r="F594" s="38">
        <f>UNIQUE!E11</f>
        <v>125</v>
      </c>
      <c r="G594" s="38">
        <f t="shared" si="32"/>
        <v>50000</v>
      </c>
      <c r="H594" s="76"/>
    </row>
    <row r="595" spans="1:8" x14ac:dyDescent="0.35">
      <c r="A595" s="476"/>
      <c r="B595" s="653">
        <f>UNIQUE!A12</f>
        <v>478</v>
      </c>
      <c r="C595" s="653" t="str">
        <f>UNIQUE!B12</f>
        <v>DIPHENHYDRAMINE HCL+ AMMONIUM CHLORIDE SYR (PAED)</v>
      </c>
      <c r="D595" s="654" t="str">
        <f>UNIQUE!C12</f>
        <v>BOTT</v>
      </c>
      <c r="E595" s="653">
        <v>100</v>
      </c>
      <c r="F595" s="38">
        <f>UNIQUE!E12</f>
        <v>115</v>
      </c>
      <c r="G595" s="38">
        <f t="shared" si="32"/>
        <v>11500</v>
      </c>
      <c r="H595" s="76"/>
    </row>
    <row r="596" spans="1:8" x14ac:dyDescent="0.35">
      <c r="A596" s="476"/>
      <c r="B596" s="653">
        <f>UNIQUE!A14</f>
        <v>163</v>
      </c>
      <c r="C596" s="653" t="str">
        <f>UNIQUE!B14</f>
        <v>IBUPROFEN SYRUP</v>
      </c>
      <c r="D596" s="654" t="str">
        <f>UNIQUE!C14</f>
        <v>BOTT</v>
      </c>
      <c r="E596" s="653">
        <v>200</v>
      </c>
      <c r="F596" s="38">
        <f>UNIQUE!E14</f>
        <v>115</v>
      </c>
      <c r="G596" s="38">
        <f t="shared" si="32"/>
        <v>23000</v>
      </c>
      <c r="H596" s="76"/>
    </row>
    <row r="597" spans="1:8" x14ac:dyDescent="0.35">
      <c r="A597" s="476"/>
      <c r="B597" s="653">
        <f>UNIQUE!A15</f>
        <v>312</v>
      </c>
      <c r="C597" s="653" t="str">
        <f>UNIQUE!B15</f>
        <v>IRON MINERAL VITAMINS CAP</v>
      </c>
      <c r="D597" s="654">
        <f>UNIQUE!C15</f>
        <v>30</v>
      </c>
      <c r="E597" s="653">
        <v>240</v>
      </c>
      <c r="F597" s="38">
        <f>UNIQUE!E15</f>
        <v>170</v>
      </c>
      <c r="G597" s="38">
        <f t="shared" si="32"/>
        <v>40800</v>
      </c>
      <c r="H597" s="76"/>
    </row>
    <row r="598" spans="1:8" ht="23.25" x14ac:dyDescent="0.35">
      <c r="A598" s="476"/>
      <c r="B598" s="653">
        <f>UNIQUE!A16</f>
        <v>491</v>
      </c>
      <c r="C598" s="653" t="str">
        <f>UNIQUE!B16</f>
        <v>PROMETHAZINE SYR</v>
      </c>
      <c r="D598" s="654" t="str">
        <f>UNIQUE!C16</f>
        <v>BOTT</v>
      </c>
      <c r="E598" s="653">
        <v>10</v>
      </c>
      <c r="F598" s="38">
        <f>UNIQUE!E16</f>
        <v>92</v>
      </c>
      <c r="G598" s="38">
        <f t="shared" si="32"/>
        <v>920</v>
      </c>
      <c r="H598" s="186">
        <f>SUM(G590:G598)</f>
        <v>365445</v>
      </c>
    </row>
    <row r="599" spans="1:8" ht="23.25" x14ac:dyDescent="0.35">
      <c r="A599" s="476"/>
      <c r="B599" s="653"/>
      <c r="C599" s="653"/>
      <c r="D599" s="654"/>
      <c r="E599" s="653"/>
      <c r="F599" s="38"/>
      <c r="G599" s="38"/>
      <c r="H599" s="186"/>
    </row>
    <row r="600" spans="1:8" ht="23.25" x14ac:dyDescent="0.35">
      <c r="A600" s="476">
        <v>46</v>
      </c>
      <c r="B600" s="35"/>
      <c r="C600" s="77" t="str">
        <f>VIXA!B1</f>
        <v>VIXA PHARMACEUTICALS LIMITED</v>
      </c>
      <c r="D600" s="669"/>
      <c r="E600" s="189"/>
      <c r="F600" s="190"/>
      <c r="G600" s="38"/>
      <c r="H600" s="76"/>
    </row>
    <row r="601" spans="1:8" x14ac:dyDescent="0.35">
      <c r="A601" s="476"/>
      <c r="B601" s="653">
        <f>VIXA!A6</f>
        <v>200</v>
      </c>
      <c r="C601" s="653" t="str">
        <f>VIXA!B6</f>
        <v>AMOXICILLIN 500MG CAP</v>
      </c>
      <c r="D601" s="654">
        <f>VIXA!C6</f>
        <v>100</v>
      </c>
      <c r="E601" s="653">
        <v>120</v>
      </c>
      <c r="F601" s="38">
        <f>VIXA!E6</f>
        <v>830</v>
      </c>
      <c r="G601" s="38">
        <f t="shared" si="32"/>
        <v>99600</v>
      </c>
      <c r="H601" s="185"/>
    </row>
    <row r="602" spans="1:8" x14ac:dyDescent="0.35">
      <c r="A602" s="476"/>
      <c r="B602" s="653">
        <v>2</v>
      </c>
      <c r="C602" s="653" t="s">
        <v>4</v>
      </c>
      <c r="D602" s="654">
        <v>6</v>
      </c>
      <c r="E602" s="653">
        <v>100</v>
      </c>
      <c r="F602" s="38">
        <v>200</v>
      </c>
      <c r="G602" s="38">
        <f t="shared" si="32"/>
        <v>20000</v>
      </c>
      <c r="H602" s="185"/>
    </row>
    <row r="603" spans="1:8" x14ac:dyDescent="0.35">
      <c r="A603" s="476"/>
      <c r="B603" s="653">
        <f>VIXA!A8</f>
        <v>355</v>
      </c>
      <c r="C603" s="653" t="str">
        <f>VIXA!B8</f>
        <v>CARBAMAZEPINE 200MG</v>
      </c>
      <c r="D603" s="654">
        <f>VIXA!C8</f>
        <v>100</v>
      </c>
      <c r="E603" s="653">
        <v>300</v>
      </c>
      <c r="F603" s="38">
        <f>VIXA!E8</f>
        <v>1300</v>
      </c>
      <c r="G603" s="38">
        <f t="shared" si="32"/>
        <v>390000</v>
      </c>
      <c r="H603" s="76"/>
    </row>
    <row r="604" spans="1:8" x14ac:dyDescent="0.35">
      <c r="A604" s="476"/>
      <c r="B604" s="653">
        <f>VIXA!A9</f>
        <v>148</v>
      </c>
      <c r="C604" s="653" t="str">
        <f>VIXA!B9</f>
        <v>DEXAMETHASONE 1MG TAB</v>
      </c>
      <c r="D604" s="654">
        <f>VIXA!C9</f>
        <v>100</v>
      </c>
      <c r="E604" s="653">
        <v>50</v>
      </c>
      <c r="F604" s="38">
        <f>VIXA!E9</f>
        <v>270</v>
      </c>
      <c r="G604" s="38">
        <f t="shared" si="32"/>
        <v>13500</v>
      </c>
      <c r="H604" s="76"/>
    </row>
    <row r="605" spans="1:8" ht="23.25" x14ac:dyDescent="0.35">
      <c r="A605" s="476"/>
      <c r="B605" s="653">
        <f>VIXA!A10</f>
        <v>154</v>
      </c>
      <c r="C605" s="653" t="str">
        <f>VIXA!B10</f>
        <v>DICLOFENAC 100MG TAB</v>
      </c>
      <c r="D605" s="654">
        <f>VIXA!C10</f>
        <v>100</v>
      </c>
      <c r="E605" s="653">
        <v>100</v>
      </c>
      <c r="F605" s="38">
        <f>VIXA!E10</f>
        <v>350</v>
      </c>
      <c r="G605" s="38">
        <f t="shared" si="32"/>
        <v>35000</v>
      </c>
      <c r="H605" s="186"/>
    </row>
    <row r="606" spans="1:8" x14ac:dyDescent="0.35">
      <c r="A606" s="476"/>
      <c r="B606" s="653">
        <f>VIXA!A11</f>
        <v>247</v>
      </c>
      <c r="C606" s="653" t="str">
        <f>VIXA!B11</f>
        <v>ERYTHROMYCIN 125MG/5ML SUSP</v>
      </c>
      <c r="D606" s="654" t="str">
        <f>VIXA!C11</f>
        <v>BOTT</v>
      </c>
      <c r="E606" s="653">
        <v>100</v>
      </c>
      <c r="F606" s="38">
        <f>VIXA!E11</f>
        <v>410</v>
      </c>
      <c r="G606" s="38">
        <f t="shared" si="32"/>
        <v>41000</v>
      </c>
      <c r="H606" s="76"/>
    </row>
    <row r="607" spans="1:8" x14ac:dyDescent="0.35">
      <c r="A607" s="476"/>
      <c r="B607" s="653">
        <f>VIXA!A13</f>
        <v>80</v>
      </c>
      <c r="C607" s="653" t="str">
        <f>VIXA!B13</f>
        <v>METHYL-DOPA 250MG TAB</v>
      </c>
      <c r="D607" s="654">
        <f>VIXA!C13</f>
        <v>100</v>
      </c>
      <c r="E607" s="653">
        <v>300</v>
      </c>
      <c r="F607" s="38">
        <f>VIXA!E13</f>
        <v>1450</v>
      </c>
      <c r="G607" s="38">
        <f t="shared" si="32"/>
        <v>435000</v>
      </c>
      <c r="H607" s="185"/>
    </row>
    <row r="608" spans="1:8" ht="23.25" x14ac:dyDescent="0.35">
      <c r="A608" s="476"/>
      <c r="B608" s="653">
        <f>VIXA!A14</f>
        <v>437</v>
      </c>
      <c r="C608" s="653" t="str">
        <f>VIXA!B14</f>
        <v>METOCLOPRAMIDE 10MG TAB</v>
      </c>
      <c r="D608" s="654">
        <f>VIXA!C14</f>
        <v>100</v>
      </c>
      <c r="E608" s="653">
        <v>10</v>
      </c>
      <c r="F608" s="38">
        <f>VIXA!E14</f>
        <v>330</v>
      </c>
      <c r="G608" s="38">
        <f t="shared" si="32"/>
        <v>3300</v>
      </c>
      <c r="H608" s="186">
        <f>SUM(G601:G608)</f>
        <v>1037400</v>
      </c>
    </row>
    <row r="609" spans="1:8" x14ac:dyDescent="0.35">
      <c r="A609" s="476"/>
      <c r="B609" s="653"/>
      <c r="C609" s="653"/>
      <c r="D609" s="654"/>
      <c r="E609" s="653"/>
      <c r="F609" s="38"/>
      <c r="G609" s="38"/>
      <c r="H609" s="76"/>
    </row>
    <row r="610" spans="1:8" x14ac:dyDescent="0.35">
      <c r="A610" s="476"/>
      <c r="B610" s="653"/>
      <c r="C610" s="653"/>
      <c r="D610" s="654"/>
      <c r="E610" s="653"/>
      <c r="F610" s="38"/>
      <c r="G610" s="38"/>
      <c r="H610" s="76"/>
    </row>
    <row r="611" spans="1:8" ht="23.25" x14ac:dyDescent="0.35">
      <c r="A611" s="476">
        <v>47</v>
      </c>
      <c r="B611" s="653"/>
      <c r="C611" s="656" t="str">
        <f>WWCV!B1</f>
        <v>WORLDWIDE COMMERCIAL VENTURES LIMITED</v>
      </c>
      <c r="D611" s="654"/>
      <c r="E611" s="653"/>
      <c r="F611" s="38"/>
      <c r="G611" s="38"/>
      <c r="H611" s="186"/>
    </row>
    <row r="612" spans="1:8" x14ac:dyDescent="0.35">
      <c r="A612" s="476"/>
      <c r="B612" s="653">
        <f>WWCV!A7</f>
        <v>228</v>
      </c>
      <c r="C612" s="653" t="str">
        <f>WWCV!B7</f>
        <v>CEFTRIAXONE 1G INJ</v>
      </c>
      <c r="D612" s="654" t="str">
        <f>WWCV!C7</f>
        <v>VIAL</v>
      </c>
      <c r="E612" s="653">
        <f>143*16</f>
        <v>2288</v>
      </c>
      <c r="F612" s="38">
        <f>WWCV!E7</f>
        <v>1960</v>
      </c>
      <c r="G612" s="38">
        <f t="shared" si="32"/>
        <v>4484480</v>
      </c>
      <c r="H612" s="76"/>
    </row>
    <row r="613" spans="1:8" x14ac:dyDescent="0.35">
      <c r="A613" s="476"/>
      <c r="B613" s="653">
        <f>WWCV!A8</f>
        <v>475</v>
      </c>
      <c r="C613" s="653" t="str">
        <f>WWCV!B8</f>
        <v>CINNARIZINE 25MG</v>
      </c>
      <c r="D613" s="654">
        <f>WWCV!C8</f>
        <v>50</v>
      </c>
      <c r="E613" s="653">
        <v>50</v>
      </c>
      <c r="F613" s="38">
        <f>WWCV!E8</f>
        <v>1079</v>
      </c>
      <c r="G613" s="38">
        <f t="shared" si="32"/>
        <v>53950</v>
      </c>
      <c r="H613" s="185"/>
    </row>
    <row r="614" spans="1:8" x14ac:dyDescent="0.35">
      <c r="A614" s="476"/>
      <c r="B614" s="653">
        <f>WWCV!A13</f>
        <v>126</v>
      </c>
      <c r="C614" s="653" t="str">
        <f>WWCV!B13</f>
        <v xml:space="preserve">INSULIN 30/70 FLEX-PEN </v>
      </c>
      <c r="D614" s="654">
        <f>WWCV!C13</f>
        <v>5</v>
      </c>
      <c r="E614" s="653">
        <v>15</v>
      </c>
      <c r="F614" s="38">
        <f>WWCV!E13</f>
        <v>8160</v>
      </c>
      <c r="G614" s="38">
        <f t="shared" si="32"/>
        <v>122400</v>
      </c>
      <c r="H614" s="76"/>
    </row>
    <row r="615" spans="1:8" x14ac:dyDescent="0.35">
      <c r="A615" s="476"/>
      <c r="B615" s="653">
        <f>WWCV!A14</f>
        <v>127</v>
      </c>
      <c r="C615" s="653" t="str">
        <f>WWCV!B14</f>
        <v>INSULIN 30/70 INJ  (10ML)</v>
      </c>
      <c r="D615" s="654" t="str">
        <f>WWCV!C14</f>
        <v>VIAL</v>
      </c>
      <c r="E615" s="653">
        <v>50</v>
      </c>
      <c r="F615" s="38">
        <f>WWCV!E14</f>
        <v>2992</v>
      </c>
      <c r="G615" s="38">
        <f t="shared" si="32"/>
        <v>149600</v>
      </c>
      <c r="H615" s="76"/>
    </row>
    <row r="616" spans="1:8" x14ac:dyDescent="0.35">
      <c r="A616" s="476"/>
      <c r="B616" s="653">
        <f>WWCV!A16</f>
        <v>129</v>
      </c>
      <c r="C616" s="653" t="str">
        <f>WWCV!B16</f>
        <v>INSULIN GLARGIN</v>
      </c>
      <c r="D616" s="654">
        <f>WWCV!C16</f>
        <v>5</v>
      </c>
      <c r="E616" s="653">
        <v>6</v>
      </c>
      <c r="F616" s="38">
        <f>WWCV!E16</f>
        <v>14600</v>
      </c>
      <c r="G616" s="38">
        <f t="shared" si="32"/>
        <v>87600</v>
      </c>
      <c r="H616" s="76"/>
    </row>
    <row r="617" spans="1:8" x14ac:dyDescent="0.35">
      <c r="A617" s="476"/>
      <c r="B617" s="653">
        <f>WWCV!A17</f>
        <v>135</v>
      </c>
      <c r="C617" s="653" t="str">
        <f>WWCV!B17</f>
        <v>NOVOMIX INSULIN</v>
      </c>
      <c r="D617" s="654">
        <f>WWCV!C17</f>
        <v>5</v>
      </c>
      <c r="E617" s="653">
        <v>18</v>
      </c>
      <c r="F617" s="38">
        <f>WWCV!E17</f>
        <v>16524</v>
      </c>
      <c r="G617" s="38">
        <f t="shared" si="32"/>
        <v>297432</v>
      </c>
      <c r="H617" s="76"/>
    </row>
    <row r="618" spans="1:8" x14ac:dyDescent="0.35">
      <c r="A618" s="476"/>
      <c r="B618" s="653">
        <v>619</v>
      </c>
      <c r="C618" s="653" t="s">
        <v>360</v>
      </c>
      <c r="D618" s="654">
        <v>100</v>
      </c>
      <c r="E618" s="653">
        <v>5</v>
      </c>
      <c r="F618" s="38">
        <v>8767</v>
      </c>
      <c r="G618" s="38">
        <f t="shared" si="32"/>
        <v>43835</v>
      </c>
      <c r="H618" s="76"/>
    </row>
    <row r="619" spans="1:8" ht="23.25" x14ac:dyDescent="0.35">
      <c r="A619" s="476"/>
      <c r="B619" s="653">
        <f>WWCV!A19</f>
        <v>138</v>
      </c>
      <c r="C619" s="653" t="str">
        <f>WWCV!B19</f>
        <v>SOLUBLE INSULIN INJ  (10ML)</v>
      </c>
      <c r="D619" s="654" t="str">
        <f>WWCV!C19</f>
        <v>VIAL</v>
      </c>
      <c r="E619" s="653">
        <v>150</v>
      </c>
      <c r="F619" s="38">
        <f>WWCV!E19</f>
        <v>2992</v>
      </c>
      <c r="G619" s="38">
        <f t="shared" si="32"/>
        <v>448800</v>
      </c>
      <c r="H619" s="186"/>
    </row>
    <row r="620" spans="1:8" x14ac:dyDescent="0.35">
      <c r="A620" s="476"/>
      <c r="B620" s="653">
        <f>WWCV!A20</f>
        <v>191</v>
      </c>
      <c r="C620" s="653" t="str">
        <f>WWCV!B20</f>
        <v>TIZANIDINE 2MG TAB</v>
      </c>
      <c r="D620" s="654">
        <f>WWCV!C20</f>
        <v>30</v>
      </c>
      <c r="E620" s="653">
        <v>200</v>
      </c>
      <c r="F620" s="38">
        <f>WWCV!E20</f>
        <v>1964</v>
      </c>
      <c r="G620" s="38">
        <f t="shared" si="32"/>
        <v>392800</v>
      </c>
      <c r="H620" s="76"/>
    </row>
    <row r="621" spans="1:8" x14ac:dyDescent="0.35">
      <c r="A621" s="476"/>
      <c r="B621" s="653">
        <f>WWCV!A21</f>
        <v>533</v>
      </c>
      <c r="C621" s="653" t="str">
        <f>WWCV!B21</f>
        <v>TOBRAMYCIN EYE DROP</v>
      </c>
      <c r="D621" s="654" t="str">
        <f>WWCV!C21</f>
        <v>BOTT</v>
      </c>
      <c r="E621" s="653">
        <v>20</v>
      </c>
      <c r="F621" s="38">
        <f>WWCV!E21</f>
        <v>1343</v>
      </c>
      <c r="G621" s="38">
        <f t="shared" si="32"/>
        <v>26860</v>
      </c>
      <c r="H621" s="76"/>
    </row>
    <row r="622" spans="1:8" ht="23.25" x14ac:dyDescent="0.35">
      <c r="A622" s="476"/>
      <c r="B622" s="653">
        <f>WWCV!A22</f>
        <v>534</v>
      </c>
      <c r="C622" s="653" t="str">
        <f>WWCV!B22</f>
        <v>TOBRAMYCIN EYE OINTMENT</v>
      </c>
      <c r="D622" s="654" t="str">
        <f>WWCV!C22</f>
        <v>BOTT</v>
      </c>
      <c r="E622" s="653">
        <v>10</v>
      </c>
      <c r="F622" s="38">
        <f>WWCV!E22</f>
        <v>1749</v>
      </c>
      <c r="G622" s="38">
        <f t="shared" si="32"/>
        <v>17490</v>
      </c>
      <c r="H622" s="186">
        <f>SUM(G612:G622)</f>
        <v>6125247</v>
      </c>
    </row>
    <row r="623" spans="1:8" x14ac:dyDescent="0.35">
      <c r="A623" s="476"/>
      <c r="B623" s="653"/>
      <c r="C623" s="653"/>
      <c r="D623" s="654"/>
      <c r="E623" s="653"/>
      <c r="F623" s="38"/>
      <c r="G623" s="38"/>
      <c r="H623" s="76"/>
    </row>
    <row r="624" spans="1:8" x14ac:dyDescent="0.35">
      <c r="A624" s="476"/>
      <c r="B624" s="653"/>
      <c r="C624" s="653"/>
      <c r="D624" s="654"/>
      <c r="E624" s="653"/>
      <c r="F624" s="38"/>
      <c r="G624" s="38"/>
      <c r="H624" s="76"/>
    </row>
    <row r="625" spans="1:8" ht="23.25" x14ac:dyDescent="0.35">
      <c r="A625" s="476">
        <v>48</v>
      </c>
      <c r="B625" s="653"/>
      <c r="C625" s="656" t="str">
        <f>ZOLON!B1</f>
        <v>ZOLON HEALTHCARE LIMITED</v>
      </c>
      <c r="D625" s="654"/>
      <c r="E625" s="653"/>
      <c r="F625" s="38"/>
      <c r="G625" s="38"/>
      <c r="H625" s="76"/>
    </row>
    <row r="626" spans="1:8" ht="23.25" x14ac:dyDescent="0.35">
      <c r="A626" s="476"/>
      <c r="B626" s="653">
        <f>ZOLON!A6</f>
        <v>10</v>
      </c>
      <c r="C626" s="653" t="str">
        <f>ZOLON!B6</f>
        <v>ARTESUNATE 60MG INJ</v>
      </c>
      <c r="D626" s="654">
        <f>ZOLON!C6</f>
        <v>6</v>
      </c>
      <c r="E626" s="653">
        <v>200</v>
      </c>
      <c r="F626" s="38">
        <f>ZOLON!E6</f>
        <v>2500</v>
      </c>
      <c r="G626" s="38">
        <f t="shared" si="32"/>
        <v>500000</v>
      </c>
      <c r="H626" s="186"/>
    </row>
    <row r="627" spans="1:8" x14ac:dyDescent="0.35">
      <c r="A627" s="476"/>
      <c r="B627" s="653">
        <f>ZOLON!A7</f>
        <v>57</v>
      </c>
      <c r="C627" s="653" t="str">
        <f>ZOLON!B7</f>
        <v>CLOPIDOGREL 75MG TAB</v>
      </c>
      <c r="D627" s="654">
        <f>ZOLON!C7</f>
        <v>30</v>
      </c>
      <c r="E627" s="653">
        <v>250</v>
      </c>
      <c r="F627" s="38">
        <f>ZOLON!E7</f>
        <v>700</v>
      </c>
      <c r="G627" s="38">
        <f t="shared" si="32"/>
        <v>175000</v>
      </c>
      <c r="H627" s="76"/>
    </row>
    <row r="628" spans="1:8" x14ac:dyDescent="0.35">
      <c r="A628" s="476"/>
      <c r="B628" s="653">
        <f>ZOLON!A8</f>
        <v>241</v>
      </c>
      <c r="C628" s="653" t="str">
        <f>ZOLON!B8</f>
        <v>CLOTRIMAZOLE PESSARY</v>
      </c>
      <c r="D628" s="654">
        <f>ZOLON!C8</f>
        <v>6</v>
      </c>
      <c r="E628" s="653">
        <v>50</v>
      </c>
      <c r="F628" s="38">
        <f>ZOLON!E8</f>
        <v>200</v>
      </c>
      <c r="G628" s="38">
        <f t="shared" ref="G628:G633" si="33">E628*F628</f>
        <v>10000</v>
      </c>
      <c r="H628" s="76"/>
    </row>
    <row r="629" spans="1:8" x14ac:dyDescent="0.35">
      <c r="A629" s="476"/>
      <c r="B629" s="653">
        <f>ZOLON!A10</f>
        <v>389</v>
      </c>
      <c r="C629" s="653" t="str">
        <f>ZOLON!B10</f>
        <v>MAGNESIUM SULPHATE INJ</v>
      </c>
      <c r="D629" s="654">
        <f>ZOLON!C10</f>
        <v>5</v>
      </c>
      <c r="E629" s="653">
        <v>80</v>
      </c>
      <c r="F629" s="38">
        <f>ZOLON!E10</f>
        <v>900</v>
      </c>
      <c r="G629" s="38">
        <f t="shared" si="33"/>
        <v>72000</v>
      </c>
      <c r="H629" s="185"/>
    </row>
    <row r="630" spans="1:8" x14ac:dyDescent="0.35">
      <c r="A630" s="476"/>
      <c r="B630" s="653">
        <f>ZOLON!A11</f>
        <v>133</v>
      </c>
      <c r="C630" s="653" t="str">
        <f>ZOLON!B11</f>
        <v>METFORMIN HCL 1000MG TAB</v>
      </c>
      <c r="D630" s="654">
        <f>ZOLON!C11</f>
        <v>100</v>
      </c>
      <c r="E630" s="653">
        <v>250</v>
      </c>
      <c r="F630" s="38">
        <f>ZOLON!E11</f>
        <v>2300</v>
      </c>
      <c r="G630" s="38">
        <f t="shared" si="33"/>
        <v>575000</v>
      </c>
      <c r="H630" s="76"/>
    </row>
    <row r="631" spans="1:8" x14ac:dyDescent="0.35">
      <c r="A631" s="476"/>
      <c r="B631" s="653">
        <f>ZOLON!A12</f>
        <v>443</v>
      </c>
      <c r="C631" s="653" t="str">
        <f>ZOLON!B12</f>
        <v>OMEPRAZOLE/CLARITHROMYCIN+TINIDAZOLE CAP</v>
      </c>
      <c r="D631" s="654">
        <f>ZOLON!C12</f>
        <v>42</v>
      </c>
      <c r="E631" s="653">
        <v>50</v>
      </c>
      <c r="F631" s="38">
        <f>ZOLON!E12</f>
        <v>1900</v>
      </c>
      <c r="G631" s="38">
        <f t="shared" si="33"/>
        <v>95000</v>
      </c>
      <c r="H631" s="76"/>
    </row>
    <row r="632" spans="1:8" ht="23.25" x14ac:dyDescent="0.35">
      <c r="A632" s="476"/>
      <c r="B632" s="653">
        <f>ZOLON!A14</f>
        <v>98</v>
      </c>
      <c r="C632" s="653" t="str">
        <f>ZOLON!B14</f>
        <v>ROSUVASTATIN 10MG</v>
      </c>
      <c r="D632" s="654">
        <f>ZOLON!C14</f>
        <v>30</v>
      </c>
      <c r="E632" s="653">
        <v>600</v>
      </c>
      <c r="F632" s="38">
        <f>ZOLON!E14</f>
        <v>1700</v>
      </c>
      <c r="G632" s="38">
        <f t="shared" si="33"/>
        <v>1020000</v>
      </c>
      <c r="H632" s="186"/>
    </row>
    <row r="633" spans="1:8" ht="23.25" x14ac:dyDescent="0.35">
      <c r="A633" s="476"/>
      <c r="B633" s="653">
        <f>ZOLON!A15</f>
        <v>99</v>
      </c>
      <c r="C633" s="653" t="str">
        <f>ZOLON!B15</f>
        <v xml:space="preserve">ROSUVASTATIN 20MG </v>
      </c>
      <c r="D633" s="654">
        <f>ZOLON!C15</f>
        <v>30</v>
      </c>
      <c r="E633" s="653">
        <v>30</v>
      </c>
      <c r="F633" s="38">
        <f>ZOLON!E15</f>
        <v>2300</v>
      </c>
      <c r="G633" s="38">
        <f t="shared" si="33"/>
        <v>69000</v>
      </c>
      <c r="H633" s="186">
        <f>SUM(G626:G633)</f>
        <v>2516000</v>
      </c>
    </row>
    <row r="634" spans="1:8" x14ac:dyDescent="0.35">
      <c r="A634" s="476"/>
      <c r="B634" s="653"/>
      <c r="C634" s="653"/>
      <c r="D634" s="654"/>
      <c r="E634" s="653"/>
      <c r="F634" s="38"/>
      <c r="G634" s="38"/>
      <c r="H634" s="76"/>
    </row>
    <row r="635" spans="1:8" ht="21.75" thickBot="1" x14ac:dyDescent="0.4">
      <c r="A635" s="476"/>
      <c r="B635" s="35"/>
      <c r="C635" s="188"/>
      <c r="D635" s="669"/>
      <c r="E635" s="189"/>
      <c r="F635" s="190"/>
      <c r="G635" s="191"/>
      <c r="H635" s="185"/>
    </row>
    <row r="636" spans="1:8" ht="27" thickBot="1" x14ac:dyDescent="0.45">
      <c r="A636" s="476"/>
      <c r="B636" s="35"/>
      <c r="C636" s="188"/>
      <c r="D636" s="669"/>
      <c r="E636" s="189"/>
      <c r="F636" s="190"/>
      <c r="G636" s="193"/>
      <c r="H636" s="194">
        <f>SUM(G8:G634)</f>
        <v>96450870.206666678</v>
      </c>
    </row>
    <row r="640" spans="1:8" s="80" customFormat="1" ht="31.5" x14ac:dyDescent="0.5">
      <c r="A640" s="678"/>
      <c r="B640" s="42"/>
      <c r="C640" s="840" t="s">
        <v>2158</v>
      </c>
      <c r="D640" s="840"/>
      <c r="E640" s="840"/>
      <c r="F640" s="840"/>
      <c r="G640" s="73"/>
    </row>
    <row r="641" spans="1:7" s="80" customFormat="1" ht="26.25" x14ac:dyDescent="0.4">
      <c r="A641" s="678"/>
      <c r="B641" s="35"/>
      <c r="C641" s="673" t="s">
        <v>917</v>
      </c>
      <c r="D641" s="849" t="s">
        <v>918</v>
      </c>
      <c r="E641" s="849"/>
      <c r="F641" s="849"/>
      <c r="G641" s="657"/>
    </row>
    <row r="642" spans="1:7" s="80" customFormat="1" ht="26.25" x14ac:dyDescent="0.4">
      <c r="A642" s="678"/>
      <c r="B642" s="35"/>
      <c r="C642" s="188"/>
      <c r="D642" s="849"/>
      <c r="E642" s="849"/>
      <c r="F642" s="849"/>
      <c r="G642" s="657"/>
    </row>
    <row r="643" spans="1:7" s="80" customFormat="1" ht="26.25" x14ac:dyDescent="0.4">
      <c r="A643" s="678"/>
      <c r="B643" s="35">
        <v>1</v>
      </c>
      <c r="C643" s="68" t="str">
        <f>C8</f>
        <v>ALPHA PHARMACY AND STORES LTD</v>
      </c>
      <c r="D643" s="851">
        <f>H25</f>
        <v>5864650</v>
      </c>
      <c r="E643" s="852"/>
      <c r="F643" s="852"/>
      <c r="G643" s="657"/>
    </row>
    <row r="644" spans="1:7" s="80" customFormat="1" ht="26.25" x14ac:dyDescent="0.4">
      <c r="A644" s="678"/>
      <c r="B644" s="35">
        <f>1+B643</f>
        <v>2</v>
      </c>
      <c r="C644" s="68" t="str">
        <f>C27</f>
        <v>BIOFEM PHARMACEUTICALS LIMITED</v>
      </c>
      <c r="D644" s="851">
        <f>H31</f>
        <v>1094675</v>
      </c>
      <c r="E644" s="852"/>
      <c r="F644" s="852"/>
      <c r="G644" s="657"/>
    </row>
    <row r="645" spans="1:7" s="80" customFormat="1" ht="26.25" x14ac:dyDescent="0.4">
      <c r="A645" s="678"/>
      <c r="B645" s="35">
        <f t="shared" ref="B645:B690" si="34">1+B644</f>
        <v>3</v>
      </c>
      <c r="C645" s="68" t="str">
        <f>C33</f>
        <v>BIOMEDICALS LIMITED</v>
      </c>
      <c r="D645" s="851">
        <f>H36</f>
        <v>493390</v>
      </c>
      <c r="E645" s="852"/>
      <c r="F645" s="852"/>
      <c r="G645" s="657"/>
    </row>
    <row r="646" spans="1:7" s="80" customFormat="1" ht="26.25" x14ac:dyDescent="0.4">
      <c r="A646" s="678"/>
      <c r="B646" s="35">
        <f t="shared" si="34"/>
        <v>4</v>
      </c>
      <c r="C646" s="68" t="str">
        <f>C38</f>
        <v>CHI PHARMACEUTICALS</v>
      </c>
      <c r="D646" s="851">
        <f>H48</f>
        <v>4375950</v>
      </c>
      <c r="E646" s="852"/>
      <c r="F646" s="852"/>
      <c r="G646" s="657"/>
    </row>
    <row r="647" spans="1:7" s="80" customFormat="1" ht="26.25" x14ac:dyDescent="0.4">
      <c r="A647" s="678"/>
      <c r="B647" s="35">
        <f t="shared" si="34"/>
        <v>5</v>
      </c>
      <c r="C647" s="655" t="str">
        <f>C50</f>
        <v>CLARION MEDICALS LIMITED</v>
      </c>
      <c r="D647" s="851">
        <f>H58</f>
        <v>847000</v>
      </c>
      <c r="E647" s="852"/>
      <c r="F647" s="852"/>
      <c r="G647" s="657"/>
    </row>
    <row r="648" spans="1:7" s="80" customFormat="1" ht="26.25" x14ac:dyDescent="0.4">
      <c r="A648" s="678"/>
      <c r="B648" s="35">
        <f t="shared" si="34"/>
        <v>6</v>
      </c>
      <c r="C648" s="655" t="str">
        <f>C61</f>
        <v>CODIX PHARMACEUTICALS LIMITED</v>
      </c>
      <c r="D648" s="851">
        <f>H66</f>
        <v>407000</v>
      </c>
      <c r="E648" s="852"/>
      <c r="F648" s="852"/>
      <c r="G648" s="657"/>
    </row>
    <row r="649" spans="1:7" s="80" customFormat="1" ht="26.25" x14ac:dyDescent="0.4">
      <c r="A649" s="678"/>
      <c r="B649" s="35">
        <f t="shared" si="34"/>
        <v>7</v>
      </c>
      <c r="C649" s="655" t="str">
        <f>C68</f>
        <v>COSMADE EASY MEDICALS LIMITED</v>
      </c>
      <c r="D649" s="851">
        <f>H76</f>
        <v>1219800</v>
      </c>
      <c r="E649" s="852"/>
      <c r="F649" s="852"/>
      <c r="G649" s="657"/>
    </row>
    <row r="650" spans="1:7" s="80" customFormat="1" ht="26.25" x14ac:dyDescent="0.4">
      <c r="A650" s="678"/>
      <c r="B650" s="35">
        <f t="shared" si="34"/>
        <v>8</v>
      </c>
      <c r="C650" s="68" t="str">
        <f>C78</f>
        <v>DE SANCON &amp; ASSOCIATES LIMITED</v>
      </c>
      <c r="D650" s="851">
        <f>H87</f>
        <v>71165</v>
      </c>
      <c r="E650" s="852"/>
      <c r="F650" s="852"/>
      <c r="G650" s="657"/>
    </row>
    <row r="651" spans="1:7" s="80" customFormat="1" ht="26.25" x14ac:dyDescent="0.4">
      <c r="A651" s="678"/>
      <c r="B651" s="35">
        <f t="shared" si="34"/>
        <v>9</v>
      </c>
      <c r="C651" s="68" t="str">
        <f>C90</f>
        <v>DEVON PHARMACEUTICALS</v>
      </c>
      <c r="D651" s="851">
        <f>H92</f>
        <v>591750</v>
      </c>
      <c r="E651" s="852"/>
      <c r="F651" s="852"/>
      <c r="G651" s="657"/>
    </row>
    <row r="652" spans="1:7" s="80" customFormat="1" ht="26.25" x14ac:dyDescent="0.4">
      <c r="A652" s="678"/>
      <c r="B652" s="35">
        <f t="shared" si="34"/>
        <v>10</v>
      </c>
      <c r="C652" s="655" t="str">
        <f>C95</f>
        <v>DORTEMAG VENTURES LIMITED</v>
      </c>
      <c r="D652" s="851">
        <f>H104</f>
        <v>393150</v>
      </c>
      <c r="E652" s="852"/>
      <c r="F652" s="852"/>
      <c r="G652" s="657"/>
    </row>
    <row r="653" spans="1:7" s="80" customFormat="1" ht="26.25" x14ac:dyDescent="0.4">
      <c r="A653" s="678"/>
      <c r="B653" s="35">
        <f t="shared" si="34"/>
        <v>11</v>
      </c>
      <c r="C653" s="68" t="str">
        <f>C107</f>
        <v>DRUGFIELD PHARMACEUTICALS LIMITED</v>
      </c>
      <c r="D653" s="851">
        <f>H118</f>
        <v>712100</v>
      </c>
      <c r="E653" s="852"/>
      <c r="F653" s="852"/>
      <c r="G653" s="657"/>
    </row>
    <row r="654" spans="1:7" s="80" customFormat="1" ht="26.25" x14ac:dyDescent="0.4">
      <c r="A654" s="678"/>
      <c r="B654" s="35">
        <f t="shared" si="34"/>
        <v>12</v>
      </c>
      <c r="C654" s="68" t="str">
        <f>C120</f>
        <v>EMZOR PHARMACEUTICALS LIMITED</v>
      </c>
      <c r="D654" s="851">
        <f>H129</f>
        <v>485282.8</v>
      </c>
      <c r="E654" s="852"/>
      <c r="F654" s="852"/>
      <c r="G654" s="657"/>
    </row>
    <row r="655" spans="1:7" s="80" customFormat="1" ht="26.25" x14ac:dyDescent="0.4">
      <c r="A655" s="678"/>
      <c r="B655" s="35">
        <f t="shared" si="34"/>
        <v>13</v>
      </c>
      <c r="C655" s="68" t="str">
        <f>C132</f>
        <v>EUMATT SERVICES LIMITED</v>
      </c>
      <c r="D655" s="851">
        <f>H269</f>
        <v>21192880</v>
      </c>
      <c r="E655" s="852"/>
      <c r="F655" s="852"/>
      <c r="G655" s="657"/>
    </row>
    <row r="656" spans="1:7" s="80" customFormat="1" ht="26.25" x14ac:dyDescent="0.4">
      <c r="A656" s="678"/>
      <c r="B656" s="35">
        <f t="shared" si="34"/>
        <v>14</v>
      </c>
      <c r="C656" s="655" t="str">
        <f>C272</f>
        <v>FIDSON HEALTHCARE LIMITED</v>
      </c>
      <c r="D656" s="851">
        <f>H290</f>
        <v>4502025</v>
      </c>
      <c r="E656" s="852"/>
      <c r="F656" s="852"/>
      <c r="G656" s="657"/>
    </row>
    <row r="657" spans="1:7" s="80" customFormat="1" ht="26.25" x14ac:dyDescent="0.4">
      <c r="A657" s="678"/>
      <c r="B657" s="35">
        <f t="shared" si="34"/>
        <v>15</v>
      </c>
      <c r="C657" s="655" t="str">
        <f>C292</f>
        <v>FIRST CHOICE GLOBAL UTILITIES LIMITED</v>
      </c>
      <c r="D657" s="851">
        <f>H296</f>
        <v>1084300</v>
      </c>
      <c r="E657" s="852"/>
      <c r="F657" s="852"/>
      <c r="G657" s="657"/>
    </row>
    <row r="658" spans="1:7" s="80" customFormat="1" ht="26.25" x14ac:dyDescent="0.4">
      <c r="A658" s="678"/>
      <c r="B658" s="35">
        <f t="shared" si="34"/>
        <v>16</v>
      </c>
      <c r="C658" s="655" t="str">
        <f>C298</f>
        <v>GENEITH PHARMACEUTICALS LIMITED</v>
      </c>
      <c r="D658" s="851">
        <f>H302</f>
        <v>128100</v>
      </c>
      <c r="E658" s="852"/>
      <c r="F658" s="852"/>
      <c r="G658" s="657"/>
    </row>
    <row r="659" spans="1:7" s="80" customFormat="1" ht="26.25" x14ac:dyDescent="0.4">
      <c r="A659" s="678"/>
      <c r="B659" s="35">
        <f t="shared" si="34"/>
        <v>17</v>
      </c>
      <c r="C659" s="655" t="str">
        <f>C305</f>
        <v>GLAXOSMITHKLINE PHARM. LTD</v>
      </c>
      <c r="D659" s="851">
        <f>H314</f>
        <v>2390318.6</v>
      </c>
      <c r="E659" s="852"/>
      <c r="F659" s="852"/>
      <c r="G659" s="657"/>
    </row>
    <row r="660" spans="1:7" s="80" customFormat="1" ht="26.25" x14ac:dyDescent="0.4">
      <c r="A660" s="678"/>
      <c r="B660" s="35">
        <f t="shared" si="34"/>
        <v>18</v>
      </c>
      <c r="C660" s="655" t="str">
        <f>C316</f>
        <v>GLOBAL ORGANICS LIMITED</v>
      </c>
      <c r="D660" s="851">
        <f>H320</f>
        <v>2484600</v>
      </c>
      <c r="E660" s="852"/>
      <c r="F660" s="852"/>
      <c r="G660" s="657"/>
    </row>
    <row r="661" spans="1:7" s="80" customFormat="1" ht="26.25" x14ac:dyDescent="0.4">
      <c r="A661" s="678"/>
      <c r="B661" s="35">
        <f t="shared" si="34"/>
        <v>19</v>
      </c>
      <c r="C661" s="655" t="str">
        <f>C322</f>
        <v>GREENLIFE PHARMACEUTICALS LIMITED</v>
      </c>
      <c r="D661" s="851">
        <f>H330</f>
        <v>306850</v>
      </c>
      <c r="E661" s="852"/>
      <c r="F661" s="852"/>
      <c r="G661" s="657"/>
    </row>
    <row r="662" spans="1:7" s="80" customFormat="1" ht="26.25" x14ac:dyDescent="0.4">
      <c r="A662" s="678"/>
      <c r="B662" s="35">
        <f t="shared" si="34"/>
        <v>20</v>
      </c>
      <c r="C662" s="655" t="str">
        <f>C332</f>
        <v>HEALTHLINE PHARMACEUTICALS LIMITED</v>
      </c>
      <c r="D662" s="851">
        <f>H336</f>
        <v>325500</v>
      </c>
      <c r="E662" s="852"/>
      <c r="F662" s="852"/>
      <c r="G662" s="657"/>
    </row>
    <row r="663" spans="1:7" s="80" customFormat="1" ht="26.25" x14ac:dyDescent="0.4">
      <c r="A663" s="678"/>
      <c r="B663" s="35">
        <f t="shared" si="34"/>
        <v>21</v>
      </c>
      <c r="C663" s="655" t="str">
        <f>C338</f>
        <v>HOSPITAL MANAGEMENT BOARD (CENTRAL MEDICAL STORES, ABEOKUTA)</v>
      </c>
      <c r="D663" s="851">
        <f>H342</f>
        <v>5899850</v>
      </c>
      <c r="E663" s="852"/>
      <c r="F663" s="852"/>
      <c r="G663" s="657"/>
    </row>
    <row r="664" spans="1:7" s="80" customFormat="1" ht="26.25" x14ac:dyDescent="0.4">
      <c r="A664" s="678"/>
      <c r="B664" s="35">
        <f t="shared" si="34"/>
        <v>22</v>
      </c>
      <c r="C664" s="655" t="str">
        <f>C344</f>
        <v>INTER-ROTECH NIGERIA LIMITED</v>
      </c>
      <c r="D664" s="851">
        <f>H353</f>
        <v>1082590</v>
      </c>
      <c r="E664" s="852"/>
      <c r="F664" s="852"/>
      <c r="G664" s="657"/>
    </row>
    <row r="665" spans="1:7" s="80" customFormat="1" ht="26.25" x14ac:dyDescent="0.4">
      <c r="A665" s="678"/>
      <c r="B665" s="35">
        <f t="shared" si="34"/>
        <v>23</v>
      </c>
      <c r="C665" s="655" t="str">
        <f>C355</f>
        <v>ISN PRODUCTS NIGERIA LIMITED</v>
      </c>
      <c r="D665" s="851">
        <f>H361</f>
        <v>1435000</v>
      </c>
      <c r="E665" s="852"/>
      <c r="F665" s="852"/>
      <c r="G665" s="657"/>
    </row>
    <row r="666" spans="1:7" s="80" customFormat="1" ht="26.25" x14ac:dyDescent="0.4">
      <c r="A666" s="678"/>
      <c r="B666" s="35">
        <f t="shared" si="34"/>
        <v>24</v>
      </c>
      <c r="C666" s="68" t="str">
        <f>C363</f>
        <v>JAWA INTERNATIONAL LIMITED</v>
      </c>
      <c r="D666" s="851">
        <f>H371</f>
        <v>365700</v>
      </c>
      <c r="E666" s="852"/>
      <c r="F666" s="852"/>
      <c r="G666" s="657"/>
    </row>
    <row r="667" spans="1:7" s="80" customFormat="1" ht="26.25" x14ac:dyDescent="0.4">
      <c r="A667" s="678"/>
      <c r="B667" s="35">
        <f t="shared" si="34"/>
        <v>25</v>
      </c>
      <c r="C667" s="655" t="str">
        <f>C373</f>
        <v>LEADWAY PHARMACEUTICALS LIMITED</v>
      </c>
      <c r="D667" s="851">
        <f>H378</f>
        <v>2339250</v>
      </c>
      <c r="E667" s="852"/>
      <c r="F667" s="852"/>
      <c r="G667" s="657"/>
    </row>
    <row r="668" spans="1:7" s="80" customFormat="1" ht="26.25" x14ac:dyDescent="0.4">
      <c r="A668" s="678"/>
      <c r="B668" s="35">
        <f t="shared" si="34"/>
        <v>26</v>
      </c>
      <c r="C668" s="655" t="str">
        <f>C380</f>
        <v>MANOLA PHARMACEUTICALS</v>
      </c>
      <c r="D668" s="851">
        <f>H389</f>
        <v>325114</v>
      </c>
      <c r="E668" s="852"/>
      <c r="F668" s="852"/>
      <c r="G668" s="657"/>
    </row>
    <row r="669" spans="1:7" s="80" customFormat="1" ht="26.25" x14ac:dyDescent="0.4">
      <c r="A669" s="678"/>
      <c r="B669" s="35">
        <f t="shared" si="34"/>
        <v>27</v>
      </c>
      <c r="C669" s="655" t="str">
        <f>C392</f>
        <v>MARCSON HEALTHCARE LIMITED</v>
      </c>
      <c r="D669" s="851">
        <f>H398</f>
        <v>1668000</v>
      </c>
      <c r="E669" s="852"/>
      <c r="F669" s="852"/>
      <c r="G669" s="657"/>
    </row>
    <row r="670" spans="1:7" s="80" customFormat="1" ht="26.25" x14ac:dyDescent="0.4">
      <c r="A670" s="678"/>
      <c r="B670" s="35">
        <f t="shared" si="34"/>
        <v>28</v>
      </c>
      <c r="C670" s="655" t="str">
        <f>C401</f>
        <v>MAY &amp; BAKER NIGERIA LIMITED</v>
      </c>
      <c r="D670" s="851">
        <f>H410</f>
        <v>919470</v>
      </c>
      <c r="E670" s="852"/>
      <c r="F670" s="852"/>
      <c r="G670" s="657"/>
    </row>
    <row r="671" spans="1:7" s="80" customFormat="1" ht="26.25" x14ac:dyDescent="0.4">
      <c r="A671" s="678"/>
      <c r="B671" s="35">
        <f t="shared" si="34"/>
        <v>29</v>
      </c>
      <c r="C671" s="655" t="str">
        <f>C412</f>
        <v>MEGA LIFESCIENCES NIGERIA LIMITED</v>
      </c>
      <c r="D671" s="851">
        <f>H419</f>
        <v>1695750</v>
      </c>
      <c r="E671" s="852"/>
      <c r="F671" s="852"/>
      <c r="G671" s="657"/>
    </row>
    <row r="672" spans="1:7" s="80" customFormat="1" ht="26.25" x14ac:dyDescent="0.4">
      <c r="A672" s="678"/>
      <c r="B672" s="35">
        <f t="shared" si="34"/>
        <v>30</v>
      </c>
      <c r="C672" s="655" t="str">
        <f>C422</f>
        <v>MICRONOVA PHARMACEUTICALS</v>
      </c>
      <c r="D672" s="851">
        <f>H440</f>
        <v>1296295</v>
      </c>
      <c r="E672" s="852"/>
      <c r="F672" s="852"/>
      <c r="G672" s="657"/>
    </row>
    <row r="673" spans="1:7" s="80" customFormat="1" ht="26.25" x14ac:dyDescent="0.4">
      <c r="A673" s="678"/>
      <c r="B673" s="35">
        <f t="shared" si="34"/>
        <v>31</v>
      </c>
      <c r="C673" s="655" t="str">
        <f>C444</f>
        <v>MIRAFLASH NIGERIA LIMITED</v>
      </c>
      <c r="D673" s="851">
        <f>H448</f>
        <v>356250</v>
      </c>
      <c r="E673" s="852"/>
      <c r="F673" s="852"/>
      <c r="G673" s="657"/>
    </row>
    <row r="674" spans="1:7" s="80" customFormat="1" ht="26.25" x14ac:dyDescent="0.4">
      <c r="A674" s="678"/>
      <c r="B674" s="35">
        <f t="shared" si="34"/>
        <v>32</v>
      </c>
      <c r="C674" s="655" t="str">
        <f>C451</f>
        <v>MORISON INDUSTRIES PLC</v>
      </c>
      <c r="D674" s="851">
        <f>H455</f>
        <v>90625</v>
      </c>
      <c r="E674" s="852"/>
      <c r="F674" s="852"/>
      <c r="G674" s="657"/>
    </row>
    <row r="675" spans="1:7" s="80" customFormat="1" ht="26.25" x14ac:dyDescent="0.4">
      <c r="A675" s="678"/>
      <c r="B675" s="35">
        <f t="shared" si="34"/>
        <v>33</v>
      </c>
      <c r="C675" s="655" t="str">
        <f>C457</f>
        <v>NHC PHARMACEUTICALS LIMITED</v>
      </c>
      <c r="D675" s="851">
        <f>H468</f>
        <v>4539065</v>
      </c>
      <c r="E675" s="852"/>
      <c r="F675" s="852"/>
      <c r="G675" s="657"/>
    </row>
    <row r="676" spans="1:7" s="80" customFormat="1" ht="26.25" x14ac:dyDescent="0.4">
      <c r="A676" s="678"/>
      <c r="B676" s="35">
        <f t="shared" si="34"/>
        <v>34</v>
      </c>
      <c r="C676" s="68" t="str">
        <f>C470</f>
        <v>OAK-LEAF PHARM. NIGERIA LIMITED</v>
      </c>
      <c r="D676" s="851">
        <f>H471</f>
        <v>450000</v>
      </c>
      <c r="E676" s="852"/>
      <c r="F676" s="852"/>
      <c r="G676" s="657"/>
    </row>
    <row r="677" spans="1:7" s="80" customFormat="1" ht="26.25" x14ac:dyDescent="0.4">
      <c r="A677" s="678"/>
      <c r="B677" s="35">
        <f t="shared" si="34"/>
        <v>35</v>
      </c>
      <c r="C677" s="655" t="str">
        <f>C473</f>
        <v>PHAMATEX INDUSTRIES LIMITED</v>
      </c>
      <c r="D677" s="851">
        <f>H489</f>
        <v>2032670</v>
      </c>
      <c r="E677" s="852"/>
      <c r="F677" s="852"/>
      <c r="G677" s="657"/>
    </row>
    <row r="678" spans="1:7" s="80" customFormat="1" ht="26.25" x14ac:dyDescent="0.4">
      <c r="A678" s="678"/>
      <c r="B678" s="35">
        <f t="shared" si="34"/>
        <v>36</v>
      </c>
      <c r="C678" s="655" t="str">
        <f>C491</f>
        <v>PHILIPS PHARMACEUTICALS NIGERIA LIMITED</v>
      </c>
      <c r="D678" s="851">
        <f>H505</f>
        <v>2600000</v>
      </c>
      <c r="E678" s="852"/>
      <c r="F678" s="852"/>
      <c r="G678" s="657"/>
    </row>
    <row r="679" spans="1:7" s="80" customFormat="1" ht="26.25" x14ac:dyDescent="0.4">
      <c r="A679" s="678"/>
      <c r="B679" s="35">
        <f t="shared" si="34"/>
        <v>37</v>
      </c>
      <c r="C679" s="655" t="str">
        <f>C508</f>
        <v>RANBAXY NIGERIA LIMITED</v>
      </c>
      <c r="D679" s="851">
        <f>H515</f>
        <v>1393246.6666666667</v>
      </c>
      <c r="E679" s="852"/>
      <c r="F679" s="852"/>
      <c r="G679" s="657"/>
    </row>
    <row r="680" spans="1:7" s="80" customFormat="1" ht="26.25" x14ac:dyDescent="0.4">
      <c r="A680" s="678"/>
      <c r="B680" s="35">
        <f t="shared" si="34"/>
        <v>38</v>
      </c>
      <c r="C680" s="68" t="str">
        <f>C521</f>
        <v>ROYAL PRIESTHOOD LABORATORIES LIMITED</v>
      </c>
      <c r="D680" s="851">
        <f>H527</f>
        <v>2253500</v>
      </c>
      <c r="E680" s="852"/>
      <c r="F680" s="852"/>
      <c r="G680" s="657"/>
    </row>
    <row r="681" spans="1:7" s="80" customFormat="1" ht="26.25" x14ac:dyDescent="0.4">
      <c r="A681" s="678"/>
      <c r="B681" s="35">
        <f t="shared" si="34"/>
        <v>39</v>
      </c>
      <c r="C681" s="655" t="str">
        <f>C530</f>
        <v>SAM PHARMACEUTICALS LIMITED</v>
      </c>
      <c r="D681" s="851">
        <f>H543</f>
        <v>2924530</v>
      </c>
      <c r="E681" s="852"/>
      <c r="F681" s="852"/>
      <c r="G681" s="657"/>
    </row>
    <row r="682" spans="1:7" s="80" customFormat="1" ht="26.25" x14ac:dyDescent="0.4">
      <c r="A682" s="678"/>
      <c r="B682" s="35">
        <f t="shared" si="34"/>
        <v>40</v>
      </c>
      <c r="C682" s="68" t="str">
        <f>C545</f>
        <v>SEAGREEN PHARMACEUTICALS LIMITED</v>
      </c>
      <c r="D682" s="851">
        <f>H549</f>
        <v>628900</v>
      </c>
      <c r="E682" s="852"/>
      <c r="F682" s="852"/>
      <c r="G682" s="657"/>
    </row>
    <row r="683" spans="1:7" s="80" customFormat="1" ht="26.25" x14ac:dyDescent="0.4">
      <c r="A683" s="678"/>
      <c r="B683" s="35">
        <f t="shared" si="34"/>
        <v>41</v>
      </c>
      <c r="C683" s="655" t="str">
        <f>C551</f>
        <v>SKG PHARMACEUTICALS LIMITED</v>
      </c>
      <c r="D683" s="851">
        <f>H556</f>
        <v>231071.14</v>
      </c>
      <c r="E683" s="852"/>
      <c r="F683" s="852"/>
      <c r="G683" s="657"/>
    </row>
    <row r="684" spans="1:7" s="80" customFormat="1" ht="26.25" x14ac:dyDescent="0.4">
      <c r="A684" s="678"/>
      <c r="B684" s="35">
        <f t="shared" si="34"/>
        <v>42</v>
      </c>
      <c r="C684" s="655" t="str">
        <f>C560</f>
        <v>TAH PHARMACEUTICALS LIMITED</v>
      </c>
      <c r="D684" s="851">
        <f>H572</f>
        <v>1402950</v>
      </c>
      <c r="E684" s="852"/>
      <c r="F684" s="852"/>
      <c r="G684" s="657"/>
    </row>
    <row r="685" spans="1:7" s="80" customFormat="1" ht="26.25" x14ac:dyDescent="0.4">
      <c r="A685" s="678"/>
      <c r="B685" s="35">
        <f t="shared" si="34"/>
        <v>43</v>
      </c>
      <c r="C685" s="655" t="str">
        <f>C574</f>
        <v>TAYLEK DRUGS COMPANY LIMITED</v>
      </c>
      <c r="D685" s="851">
        <f>H577</f>
        <v>1069425</v>
      </c>
      <c r="E685" s="852"/>
      <c r="F685" s="852"/>
      <c r="G685" s="657"/>
    </row>
    <row r="686" spans="1:7" s="80" customFormat="1" ht="26.25" x14ac:dyDescent="0.4">
      <c r="A686" s="678"/>
      <c r="B686" s="35">
        <f t="shared" si="34"/>
        <v>44</v>
      </c>
      <c r="C686" s="655" t="str">
        <f>C579</f>
        <v>THERAPEUTIC LABORATORIES NIGERIA LIMITED</v>
      </c>
      <c r="D686" s="851">
        <f>H587</f>
        <v>437040</v>
      </c>
      <c r="E686" s="852"/>
      <c r="F686" s="852"/>
      <c r="G686" s="657"/>
    </row>
    <row r="687" spans="1:7" s="80" customFormat="1" ht="26.25" x14ac:dyDescent="0.4">
      <c r="A687" s="678"/>
      <c r="B687" s="35">
        <f t="shared" si="34"/>
        <v>45</v>
      </c>
      <c r="C687" s="655" t="str">
        <f>C589</f>
        <v>UNIQUE PHARMACEUTICALS LIMITED</v>
      </c>
      <c r="D687" s="851">
        <f>H598</f>
        <v>365445</v>
      </c>
      <c r="E687" s="852"/>
      <c r="F687" s="852"/>
      <c r="G687" s="657"/>
    </row>
    <row r="688" spans="1:7" s="80" customFormat="1" ht="26.25" x14ac:dyDescent="0.4">
      <c r="A688" s="678"/>
      <c r="B688" s="35">
        <f t="shared" si="34"/>
        <v>46</v>
      </c>
      <c r="C688" s="68" t="str">
        <f>C600</f>
        <v>VIXA PHARMACEUTICALS LIMITED</v>
      </c>
      <c r="D688" s="851">
        <f>H608</f>
        <v>1037400</v>
      </c>
      <c r="E688" s="852"/>
      <c r="F688" s="852"/>
      <c r="G688" s="657"/>
    </row>
    <row r="689" spans="1:7" s="80" customFormat="1" ht="26.25" x14ac:dyDescent="0.4">
      <c r="A689" s="678"/>
      <c r="B689" s="35">
        <f t="shared" si="34"/>
        <v>47</v>
      </c>
      <c r="C689" s="655" t="str">
        <f>C611</f>
        <v>WORLDWIDE COMMERCIAL VENTURES LIMITED</v>
      </c>
      <c r="D689" s="851">
        <f>H622</f>
        <v>6125247</v>
      </c>
      <c r="E689" s="852"/>
      <c r="F689" s="852"/>
      <c r="G689" s="657"/>
    </row>
    <row r="690" spans="1:7" s="80" customFormat="1" ht="26.25" x14ac:dyDescent="0.4">
      <c r="A690" s="678"/>
      <c r="B690" s="35">
        <f t="shared" si="34"/>
        <v>48</v>
      </c>
      <c r="C690" s="655" t="str">
        <f>C625</f>
        <v>ZOLON HEALTHCARE LIMITED</v>
      </c>
      <c r="D690" s="851">
        <f>H633</f>
        <v>2516000</v>
      </c>
      <c r="E690" s="852"/>
      <c r="F690" s="852"/>
      <c r="G690" s="657"/>
    </row>
    <row r="691" spans="1:7" s="80" customFormat="1" ht="21.75" thickBot="1" x14ac:dyDescent="0.4">
      <c r="A691" s="678"/>
      <c r="B691" s="42"/>
      <c r="C691" s="8"/>
      <c r="D691" s="836"/>
      <c r="E691" s="836"/>
      <c r="F691" s="836"/>
      <c r="G691" s="836"/>
    </row>
    <row r="692" spans="1:7" s="80" customFormat="1" ht="29.25" thickBot="1" x14ac:dyDescent="0.5">
      <c r="A692" s="678"/>
      <c r="B692" s="42"/>
      <c r="C692" s="8"/>
      <c r="D692" s="837">
        <f>SUM(D643:G690)</f>
        <v>96450870.206666678</v>
      </c>
      <c r="E692" s="838"/>
      <c r="F692" s="839"/>
      <c r="G692" s="658"/>
    </row>
    <row r="693" spans="1:7" s="80" customFormat="1" x14ac:dyDescent="0.35">
      <c r="A693" s="678"/>
      <c r="B693" s="42"/>
      <c r="C693" s="8"/>
      <c r="D693" s="836"/>
      <c r="E693" s="836"/>
      <c r="F693" s="836"/>
      <c r="G693" s="836"/>
    </row>
    <row r="694" spans="1:7" s="80" customFormat="1" x14ac:dyDescent="0.35">
      <c r="A694" s="678"/>
      <c r="B694" s="42"/>
      <c r="C694" s="8"/>
      <c r="D694" s="836"/>
      <c r="E694" s="836"/>
      <c r="F694" s="836"/>
      <c r="G694" s="836"/>
    </row>
    <row r="695" spans="1:7" s="80" customFormat="1" x14ac:dyDescent="0.35">
      <c r="A695" s="678"/>
      <c r="B695" s="42"/>
      <c r="C695" s="8"/>
      <c r="D695" s="836"/>
      <c r="E695" s="836"/>
      <c r="F695" s="836"/>
      <c r="G695" s="836"/>
    </row>
    <row r="696" spans="1:7" s="80" customFormat="1" x14ac:dyDescent="0.35">
      <c r="A696" s="678"/>
      <c r="B696" s="42"/>
      <c r="C696" s="8"/>
      <c r="D696" s="836"/>
      <c r="E696" s="836"/>
      <c r="F696" s="836"/>
      <c r="G696" s="836"/>
    </row>
  </sheetData>
  <sortState ref="B108:G118">
    <sortCondition ref="C108:C118"/>
  </sortState>
  <mergeCells count="61">
    <mergeCell ref="D641:F641"/>
    <mergeCell ref="A1:H1"/>
    <mergeCell ref="A2:H2"/>
    <mergeCell ref="A3:H3"/>
    <mergeCell ref="A4:H4"/>
    <mergeCell ref="C640:F640"/>
    <mergeCell ref="D653:F653"/>
    <mergeCell ref="D642:F642"/>
    <mergeCell ref="D643:F643"/>
    <mergeCell ref="D644:F644"/>
    <mergeCell ref="D645:F645"/>
    <mergeCell ref="D646:F646"/>
    <mergeCell ref="D647:F647"/>
    <mergeCell ref="D648:F648"/>
    <mergeCell ref="D649:F649"/>
    <mergeCell ref="D650:F650"/>
    <mergeCell ref="D651:F651"/>
    <mergeCell ref="D652:F652"/>
    <mergeCell ref="D665:F665"/>
    <mergeCell ref="D654:F654"/>
    <mergeCell ref="D655:F655"/>
    <mergeCell ref="D656:F656"/>
    <mergeCell ref="D657:F657"/>
    <mergeCell ref="D658:F658"/>
    <mergeCell ref="D659:F659"/>
    <mergeCell ref="D660:F660"/>
    <mergeCell ref="D661:F661"/>
    <mergeCell ref="D662:F662"/>
    <mergeCell ref="D663:F663"/>
    <mergeCell ref="D664:F664"/>
    <mergeCell ref="D677:F677"/>
    <mergeCell ref="D666:F666"/>
    <mergeCell ref="D667:F667"/>
    <mergeCell ref="D668:F668"/>
    <mergeCell ref="D669:F669"/>
    <mergeCell ref="D670:F670"/>
    <mergeCell ref="D671:F671"/>
    <mergeCell ref="D672:F672"/>
    <mergeCell ref="D673:F673"/>
    <mergeCell ref="D674:F674"/>
    <mergeCell ref="D675:F675"/>
    <mergeCell ref="D676:F676"/>
    <mergeCell ref="D689:F689"/>
    <mergeCell ref="D678:F678"/>
    <mergeCell ref="D679:F679"/>
    <mergeCell ref="D680:F680"/>
    <mergeCell ref="D681:F681"/>
    <mergeCell ref="D682:F682"/>
    <mergeCell ref="D683:F683"/>
    <mergeCell ref="D684:F684"/>
    <mergeCell ref="D685:F685"/>
    <mergeCell ref="D686:F686"/>
    <mergeCell ref="D687:F687"/>
    <mergeCell ref="D688:F688"/>
    <mergeCell ref="D696:G696"/>
    <mergeCell ref="D690:F690"/>
    <mergeCell ref="D691:G691"/>
    <mergeCell ref="D692:F692"/>
    <mergeCell ref="D693:G693"/>
    <mergeCell ref="D694:G694"/>
    <mergeCell ref="D695:G695"/>
  </mergeCells>
  <pageMargins left="0.25" right="0.25" top="0.28999999999999998" bottom="0.28000000000000003" header="0.3" footer="0.3"/>
  <pageSetup paperSize="9" scale="68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0DD5E-1310-4099-91D3-426F5D7FCFB2}">
  <dimension ref="A1:V150"/>
  <sheetViews>
    <sheetView view="pageBreakPreview" zoomScale="80" zoomScaleNormal="70" zoomScaleSheetLayoutView="80" workbookViewId="0">
      <pane xSplit="4" ySplit="3" topLeftCell="E127" activePane="bottomRight" state="frozen"/>
      <selection pane="topRight" activeCell="E1" sqref="E1"/>
      <selection pane="bottomLeft" activeCell="A4" sqref="A4"/>
      <selection pane="bottomRight" activeCell="B147" sqref="B147"/>
    </sheetView>
  </sheetViews>
  <sheetFormatPr defaultRowHeight="15" x14ac:dyDescent="0.25"/>
  <cols>
    <col min="1" max="1" width="9.28515625" style="720" customWidth="1"/>
    <col min="2" max="2" width="63.42578125" style="721" customWidth="1"/>
    <col min="3" max="3" width="11" style="722" customWidth="1"/>
    <col min="4" max="4" width="16.28515625" style="721" customWidth="1"/>
    <col min="5" max="5" width="14.5703125" style="681" bestFit="1" customWidth="1"/>
    <col min="6" max="6" width="16" style="723" bestFit="1" customWidth="1"/>
    <col min="7" max="7" width="22.85546875" style="723" bestFit="1" customWidth="1"/>
    <col min="8" max="9" width="12.5703125" style="680" customWidth="1"/>
    <col min="10" max="10" width="12.42578125" style="681" hidden="1" customWidth="1"/>
    <col min="11" max="11" width="12.5703125" style="681" hidden="1" customWidth="1"/>
    <col min="12" max="13" width="9.140625" style="681" hidden="1" customWidth="1"/>
    <col min="14" max="14" width="11.28515625" style="681" hidden="1" customWidth="1"/>
    <col min="15" max="15" width="9.140625" style="681" hidden="1" customWidth="1"/>
    <col min="16" max="16" width="12.140625" style="681" hidden="1" customWidth="1"/>
    <col min="17" max="19" width="9.140625" style="681" hidden="1" customWidth="1"/>
    <col min="20" max="20" width="14.42578125" style="681" hidden="1" customWidth="1"/>
    <col min="21" max="21" width="9.140625" style="681" hidden="1" customWidth="1"/>
    <col min="22" max="22" width="27.85546875" style="681" hidden="1" customWidth="1"/>
    <col min="23" max="24" width="0" style="681" hidden="1" customWidth="1"/>
    <col min="25" max="16384" width="9.140625" style="681"/>
  </cols>
  <sheetData>
    <row r="1" spans="1:22" ht="18.75" x14ac:dyDescent="0.3">
      <c r="A1" s="856" t="s">
        <v>2245</v>
      </c>
      <c r="B1" s="856"/>
      <c r="C1" s="856"/>
      <c r="D1" s="856"/>
      <c r="E1" s="856"/>
      <c r="F1" s="856"/>
      <c r="G1" s="856"/>
    </row>
    <row r="2" spans="1:22" ht="33" customHeight="1" x14ac:dyDescent="0.25">
      <c r="A2" s="854" t="s">
        <v>2223</v>
      </c>
      <c r="B2" s="854"/>
      <c r="C2" s="854"/>
      <c r="D2" s="854"/>
      <c r="E2" s="854"/>
      <c r="F2" s="854"/>
      <c r="G2" s="854"/>
    </row>
    <row r="3" spans="1:22" s="680" customFormat="1" ht="19.5" x14ac:dyDescent="0.25">
      <c r="A3" s="684"/>
      <c r="B3" s="685"/>
      <c r="C3" s="686"/>
      <c r="D3" s="682"/>
      <c r="F3" s="683"/>
      <c r="G3" s="683"/>
      <c r="J3" s="680" t="s">
        <v>624</v>
      </c>
      <c r="K3" s="680" t="s">
        <v>2200</v>
      </c>
      <c r="L3" s="680" t="s">
        <v>2203</v>
      </c>
      <c r="M3" s="680" t="s">
        <v>2204</v>
      </c>
      <c r="N3" s="680" t="s">
        <v>627</v>
      </c>
      <c r="O3" s="680" t="s">
        <v>2205</v>
      </c>
      <c r="P3" s="680" t="s">
        <v>2206</v>
      </c>
      <c r="Q3" s="680" t="s">
        <v>2207</v>
      </c>
      <c r="R3" s="680" t="s">
        <v>2208</v>
      </c>
      <c r="S3" s="680" t="s">
        <v>2209</v>
      </c>
      <c r="T3" s="680" t="s">
        <v>2210</v>
      </c>
      <c r="U3" s="680" t="s">
        <v>2215</v>
      </c>
      <c r="V3" s="679" t="s">
        <v>2213</v>
      </c>
    </row>
    <row r="4" spans="1:22" s="678" customFormat="1" ht="23.25" x14ac:dyDescent="0.35">
      <c r="A4" s="687"/>
      <c r="B4" s="855" t="s">
        <v>2224</v>
      </c>
      <c r="C4" s="855"/>
      <c r="D4" s="855"/>
      <c r="E4" s="855"/>
      <c r="F4" s="855"/>
      <c r="G4" s="855"/>
      <c r="H4" s="688"/>
      <c r="I4" s="688"/>
      <c r="J4" s="689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</row>
    <row r="5" spans="1:22" ht="74.25" customHeight="1" x14ac:dyDescent="0.25">
      <c r="A5" s="733"/>
      <c r="B5" s="734"/>
      <c r="C5" s="691" t="s">
        <v>2244</v>
      </c>
      <c r="D5" s="691" t="s">
        <v>2199</v>
      </c>
      <c r="E5" s="735" t="s">
        <v>417</v>
      </c>
      <c r="F5" s="736" t="s">
        <v>666</v>
      </c>
      <c r="G5" s="736" t="s">
        <v>550</v>
      </c>
      <c r="H5" s="692"/>
      <c r="I5" s="692"/>
      <c r="J5" s="853" t="s">
        <v>850</v>
      </c>
      <c r="K5" s="853"/>
      <c r="L5" s="853"/>
      <c r="M5" s="853"/>
      <c r="N5" s="853"/>
      <c r="O5" s="853"/>
      <c r="P5" s="853"/>
      <c r="Q5" s="853"/>
      <c r="R5" s="853"/>
      <c r="S5" s="853"/>
      <c r="T5" s="853"/>
      <c r="U5" s="853"/>
    </row>
    <row r="6" spans="1:22" s="678" customFormat="1" ht="23.25" x14ac:dyDescent="0.35">
      <c r="A6" s="693">
        <v>1</v>
      </c>
      <c r="B6" s="731" t="s">
        <v>2216</v>
      </c>
      <c r="C6" s="694"/>
      <c r="D6" s="694"/>
      <c r="E6" s="476"/>
      <c r="F6" s="695"/>
      <c r="G6" s="695"/>
      <c r="H6" s="688"/>
      <c r="I6" s="688"/>
      <c r="J6" s="696"/>
      <c r="K6" s="476"/>
      <c r="L6" s="476"/>
      <c r="M6" s="476"/>
      <c r="N6" s="476"/>
      <c r="O6" s="476"/>
      <c r="P6" s="476"/>
      <c r="Q6" s="476"/>
      <c r="R6" s="476"/>
      <c r="S6" s="476"/>
      <c r="T6" s="476"/>
      <c r="U6" s="476"/>
      <c r="V6" s="476"/>
    </row>
    <row r="7" spans="1:22" ht="18.75" x14ac:dyDescent="0.3">
      <c r="A7" s="693"/>
      <c r="B7" s="698" t="str">
        <f>IF(BID!$L540=FALSE,BID!B540,"-")</f>
        <v>LORATIDINE 10MG TAB</v>
      </c>
      <c r="C7" s="699">
        <f>IF(BID!$L540=FALSE,BID!C540,"-")</f>
        <v>100</v>
      </c>
      <c r="D7" s="698">
        <v>250</v>
      </c>
      <c r="E7" s="700">
        <v>700</v>
      </c>
      <c r="F7" s="700">
        <f>D7*E7</f>
        <v>175000</v>
      </c>
      <c r="G7" s="701"/>
      <c r="J7" s="702"/>
      <c r="K7" s="469">
        <v>600</v>
      </c>
      <c r="L7" s="469"/>
      <c r="M7" s="469"/>
      <c r="N7" s="469">
        <v>2186</v>
      </c>
      <c r="O7" s="469"/>
      <c r="P7" s="469">
        <v>750</v>
      </c>
      <c r="Q7" s="469">
        <v>700</v>
      </c>
      <c r="R7" s="469"/>
      <c r="S7" s="469"/>
      <c r="T7" s="469">
        <v>650</v>
      </c>
      <c r="U7" s="469"/>
      <c r="V7" s="469" t="s">
        <v>2207</v>
      </c>
    </row>
    <row r="8" spans="1:22" ht="18.75" x14ac:dyDescent="0.3">
      <c r="A8" s="693"/>
      <c r="B8" s="698" t="str">
        <f>IF(BID!$L541=FALSE,BID!B541,"-")</f>
        <v>LORATIDINE 5MG/5ML SYRUP</v>
      </c>
      <c r="C8" s="699" t="str">
        <f>IF(BID!$L541=FALSE,BID!C541,"-")</f>
        <v>BOTT</v>
      </c>
      <c r="D8" s="698">
        <v>100</v>
      </c>
      <c r="E8" s="700">
        <v>350</v>
      </c>
      <c r="F8" s="700">
        <f t="shared" ref="F8:F85" si="0">D8*E8</f>
        <v>35000</v>
      </c>
      <c r="G8" s="701"/>
      <c r="J8" s="702"/>
      <c r="K8" s="469">
        <v>500</v>
      </c>
      <c r="L8" s="469"/>
      <c r="M8" s="469"/>
      <c r="N8" s="469"/>
      <c r="O8" s="469"/>
      <c r="P8" s="469">
        <v>400</v>
      </c>
      <c r="Q8" s="469">
        <v>350</v>
      </c>
      <c r="R8" s="469"/>
      <c r="S8" s="469"/>
      <c r="T8" s="469"/>
      <c r="U8" s="469"/>
      <c r="V8" s="469" t="s">
        <v>2207</v>
      </c>
    </row>
    <row r="9" spans="1:22" ht="18.75" x14ac:dyDescent="0.3">
      <c r="A9" s="693"/>
      <c r="B9" s="698" t="str">
        <f>IF(BID!$L580=FALSE,BID!B580,"-")</f>
        <v>OTOMED EAR DROP</v>
      </c>
      <c r="C9" s="699" t="str">
        <f>IF(BID!$L580=FALSE,BID!C580,"-")</f>
        <v>BOTT</v>
      </c>
      <c r="D9" s="698">
        <v>25</v>
      </c>
      <c r="E9" s="700">
        <v>390</v>
      </c>
      <c r="F9" s="700">
        <f t="shared" si="0"/>
        <v>9750</v>
      </c>
      <c r="G9" s="701"/>
      <c r="J9" s="702"/>
      <c r="K9" s="469">
        <v>500</v>
      </c>
      <c r="L9" s="469"/>
      <c r="M9" s="469"/>
      <c r="N9" s="469"/>
      <c r="O9" s="469"/>
      <c r="P9" s="469">
        <v>500</v>
      </c>
      <c r="Q9" s="469">
        <v>390</v>
      </c>
      <c r="R9" s="469"/>
      <c r="S9" s="469"/>
      <c r="T9" s="469"/>
      <c r="U9" s="469"/>
      <c r="V9" s="469" t="s">
        <v>2207</v>
      </c>
    </row>
    <row r="10" spans="1:22" ht="21" x14ac:dyDescent="0.35">
      <c r="A10" s="693"/>
      <c r="B10" s="698" t="str">
        <f>IF(BID!$L516=FALSE,BID!B516,"-")</f>
        <v>SALBUTAMOL 4MG TAB</v>
      </c>
      <c r="C10" s="699">
        <f>IF(BID!$L516=FALSE,BID!C516,"-")</f>
        <v>100</v>
      </c>
      <c r="D10" s="698">
        <v>150</v>
      </c>
      <c r="E10" s="700">
        <v>460</v>
      </c>
      <c r="F10" s="700">
        <f t="shared" si="0"/>
        <v>69000</v>
      </c>
      <c r="G10" s="703">
        <f>SUM(F7:F10)</f>
        <v>288750</v>
      </c>
      <c r="J10" s="702"/>
      <c r="K10" s="469">
        <v>250</v>
      </c>
      <c r="L10" s="469"/>
      <c r="M10" s="469"/>
      <c r="N10" s="469"/>
      <c r="O10" s="469"/>
      <c r="P10" s="469">
        <v>750</v>
      </c>
      <c r="Q10" s="469">
        <v>460</v>
      </c>
      <c r="R10" s="469"/>
      <c r="S10" s="469"/>
      <c r="T10" s="469">
        <v>1000</v>
      </c>
      <c r="U10" s="469"/>
      <c r="V10" s="469" t="s">
        <v>2207</v>
      </c>
    </row>
    <row r="11" spans="1:22" ht="18.75" x14ac:dyDescent="0.3">
      <c r="A11" s="693"/>
      <c r="B11" s="704"/>
      <c r="C11" s="705"/>
      <c r="D11" s="704"/>
      <c r="E11" s="469"/>
      <c r="F11" s="701"/>
      <c r="G11" s="701"/>
      <c r="J11" s="702"/>
      <c r="K11" s="469"/>
      <c r="L11" s="469"/>
      <c r="M11" s="469"/>
      <c r="N11" s="469"/>
      <c r="O11" s="469"/>
      <c r="P11" s="469"/>
      <c r="Q11" s="469"/>
      <c r="R11" s="469"/>
      <c r="S11" s="469"/>
      <c r="T11" s="469"/>
      <c r="U11" s="469"/>
      <c r="V11" s="469"/>
    </row>
    <row r="12" spans="1:22" ht="18.75" x14ac:dyDescent="0.3">
      <c r="A12" s="693"/>
      <c r="B12" s="704"/>
      <c r="C12" s="705"/>
      <c r="D12" s="704"/>
      <c r="E12" s="469"/>
      <c r="F12" s="701"/>
      <c r="G12" s="701"/>
      <c r="J12" s="702"/>
      <c r="K12" s="469"/>
      <c r="L12" s="469"/>
      <c r="M12" s="469"/>
      <c r="N12" s="469"/>
      <c r="O12" s="469"/>
      <c r="P12" s="469"/>
      <c r="Q12" s="469"/>
      <c r="R12" s="469"/>
      <c r="S12" s="469"/>
      <c r="T12" s="469"/>
      <c r="U12" s="469"/>
      <c r="V12" s="469"/>
    </row>
    <row r="13" spans="1:22" ht="23.25" x14ac:dyDescent="0.35">
      <c r="A13" s="693">
        <v>2</v>
      </c>
      <c r="B13" s="706" t="s">
        <v>884</v>
      </c>
      <c r="C13" s="705"/>
      <c r="D13" s="704"/>
      <c r="E13" s="469"/>
      <c r="F13" s="701"/>
      <c r="G13" s="701"/>
      <c r="J13" s="702"/>
      <c r="K13" s="469"/>
      <c r="L13" s="469"/>
      <c r="M13" s="469"/>
      <c r="N13" s="469"/>
      <c r="O13" s="469"/>
      <c r="P13" s="469"/>
      <c r="Q13" s="469"/>
      <c r="R13" s="469"/>
      <c r="S13" s="469"/>
      <c r="T13" s="469"/>
      <c r="U13" s="469"/>
      <c r="V13" s="469"/>
    </row>
    <row r="14" spans="1:22" ht="18.75" x14ac:dyDescent="0.3">
      <c r="A14" s="693"/>
      <c r="B14" s="698" t="s">
        <v>1315</v>
      </c>
      <c r="C14" s="699">
        <v>20</v>
      </c>
      <c r="D14" s="698">
        <v>150</v>
      </c>
      <c r="E14" s="715">
        <f>1.12*2852</f>
        <v>3194.2400000000002</v>
      </c>
      <c r="F14" s="700">
        <f>D14*E14</f>
        <v>479136.00000000006</v>
      </c>
      <c r="G14" s="701"/>
      <c r="J14" s="702">
        <f>1.12*2852</f>
        <v>3194.2400000000002</v>
      </c>
      <c r="K14" s="469"/>
      <c r="L14" s="469"/>
      <c r="M14" s="469"/>
      <c r="N14" s="469"/>
      <c r="O14" s="469"/>
      <c r="P14" s="469"/>
      <c r="Q14" s="469"/>
      <c r="R14" s="469"/>
      <c r="S14" s="469"/>
      <c r="T14" s="469"/>
      <c r="U14" s="469"/>
      <c r="V14" s="469" t="s">
        <v>624</v>
      </c>
    </row>
    <row r="15" spans="1:22" ht="18.75" x14ac:dyDescent="0.3">
      <c r="A15" s="693"/>
      <c r="B15" s="726" t="s">
        <v>324</v>
      </c>
      <c r="C15" s="727" t="s">
        <v>144</v>
      </c>
      <c r="D15" s="727">
        <v>100</v>
      </c>
      <c r="E15" s="715">
        <f>1.12*1071</f>
        <v>1199.5200000000002</v>
      </c>
      <c r="F15" s="700">
        <f>D15*E15</f>
        <v>119952.00000000001</v>
      </c>
      <c r="G15" s="701"/>
      <c r="J15" s="702">
        <f>1.12*1071</f>
        <v>1199.5200000000002</v>
      </c>
      <c r="K15" s="469"/>
      <c r="L15" s="469"/>
      <c r="M15" s="469"/>
      <c r="N15" s="469"/>
      <c r="O15" s="469"/>
      <c r="P15" s="469"/>
      <c r="Q15" s="469"/>
      <c r="R15" s="469"/>
      <c r="S15" s="469"/>
      <c r="T15" s="469"/>
      <c r="U15" s="469"/>
      <c r="V15" s="469" t="s">
        <v>624</v>
      </c>
    </row>
    <row r="16" spans="1:22" ht="21" x14ac:dyDescent="0.35">
      <c r="A16" s="693"/>
      <c r="B16" s="726" t="s">
        <v>325</v>
      </c>
      <c r="C16" s="727" t="s">
        <v>656</v>
      </c>
      <c r="D16" s="727">
        <v>10</v>
      </c>
      <c r="E16" s="715">
        <f>1.12*1071</f>
        <v>1199.5200000000002</v>
      </c>
      <c r="F16" s="700">
        <f>D16*E16</f>
        <v>11995.200000000003</v>
      </c>
      <c r="G16" s="703">
        <f>SUM(F14:F16)</f>
        <v>611083.20000000007</v>
      </c>
      <c r="J16" s="702">
        <f>1.12*1071</f>
        <v>1199.5200000000002</v>
      </c>
      <c r="K16" s="469"/>
      <c r="L16" s="469"/>
      <c r="M16" s="469"/>
      <c r="N16" s="469"/>
      <c r="O16" s="469"/>
      <c r="P16" s="469"/>
      <c r="Q16" s="469"/>
      <c r="R16" s="469"/>
      <c r="S16" s="469"/>
      <c r="T16" s="469"/>
      <c r="U16" s="469"/>
      <c r="V16" s="469" t="s">
        <v>624</v>
      </c>
    </row>
    <row r="17" spans="1:22" s="714" customFormat="1" ht="18.75" x14ac:dyDescent="0.3">
      <c r="A17" s="693"/>
      <c r="B17" s="707"/>
      <c r="C17" s="708"/>
      <c r="D17" s="708"/>
      <c r="E17" s="709"/>
      <c r="F17" s="710"/>
      <c r="G17" s="711"/>
      <c r="H17" s="712"/>
      <c r="I17" s="712"/>
      <c r="J17" s="713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</row>
    <row r="18" spans="1:22" s="714" customFormat="1" ht="18.75" x14ac:dyDescent="0.3">
      <c r="A18" s="693"/>
      <c r="B18" s="707"/>
      <c r="C18" s="708"/>
      <c r="D18" s="708"/>
      <c r="E18" s="709"/>
      <c r="F18" s="710"/>
      <c r="G18" s="711"/>
      <c r="H18" s="712"/>
      <c r="I18" s="712"/>
      <c r="J18" s="713"/>
      <c r="K18" s="709"/>
      <c r="L18" s="709"/>
      <c r="M18" s="709"/>
      <c r="N18" s="709"/>
      <c r="O18" s="709"/>
      <c r="P18" s="709"/>
      <c r="Q18" s="709"/>
      <c r="R18" s="709"/>
      <c r="S18" s="709"/>
      <c r="T18" s="709"/>
      <c r="U18" s="709"/>
      <c r="V18" s="709"/>
    </row>
    <row r="19" spans="1:22" ht="23.25" x14ac:dyDescent="0.35">
      <c r="A19" s="693">
        <v>3</v>
      </c>
      <c r="B19" s="706" t="s">
        <v>2217</v>
      </c>
      <c r="C19" s="705"/>
      <c r="D19" s="704"/>
      <c r="E19" s="469"/>
      <c r="F19" s="701"/>
      <c r="G19" s="701"/>
      <c r="J19" s="702"/>
      <c r="K19" s="469"/>
      <c r="L19" s="469"/>
      <c r="M19" s="469"/>
      <c r="N19" s="469"/>
      <c r="O19" s="469"/>
      <c r="P19" s="469"/>
      <c r="Q19" s="469"/>
      <c r="R19" s="469"/>
      <c r="S19" s="469"/>
      <c r="T19" s="469"/>
      <c r="U19" s="469"/>
      <c r="V19" s="469"/>
    </row>
    <row r="20" spans="1:22" ht="21" x14ac:dyDescent="0.35">
      <c r="A20" s="693"/>
      <c r="B20" s="698" t="s">
        <v>2233</v>
      </c>
      <c r="C20" s="699">
        <v>100</v>
      </c>
      <c r="D20" s="698">
        <v>10</v>
      </c>
      <c r="E20" s="700">
        <v>4200</v>
      </c>
      <c r="F20" s="700">
        <f t="shared" ref="F20" si="1">D20*E20</f>
        <v>42000</v>
      </c>
      <c r="G20" s="703"/>
      <c r="J20" s="702"/>
      <c r="K20" s="469"/>
      <c r="L20" s="469"/>
      <c r="M20" s="469">
        <v>1700</v>
      </c>
      <c r="N20" s="469"/>
      <c r="O20" s="469"/>
      <c r="P20" s="469"/>
      <c r="Q20" s="469"/>
      <c r="R20" s="469"/>
      <c r="S20" s="469"/>
      <c r="T20" s="469"/>
      <c r="U20" s="469"/>
      <c r="V20" s="469" t="s">
        <v>2204</v>
      </c>
    </row>
    <row r="21" spans="1:22" ht="21" x14ac:dyDescent="0.35">
      <c r="A21" s="693"/>
      <c r="B21" s="698" t="str">
        <f>IF(BID!$L271=FALSE,BID!B271,"-")</f>
        <v>CHLORHEXIDINE HCL/LIDOCAINE LOZENGES</v>
      </c>
      <c r="C21" s="699">
        <f>IF(BID!$L271=FALSE,BID!C271,"-")</f>
        <v>36</v>
      </c>
      <c r="D21" s="698">
        <v>75</v>
      </c>
      <c r="E21" s="700">
        <v>1700</v>
      </c>
      <c r="F21" s="700">
        <f t="shared" si="0"/>
        <v>127500</v>
      </c>
      <c r="G21" s="703">
        <f>SUM(F20:F21)</f>
        <v>169500</v>
      </c>
      <c r="J21" s="702"/>
      <c r="K21" s="469"/>
      <c r="L21" s="469"/>
      <c r="M21" s="469">
        <v>1700</v>
      </c>
      <c r="N21" s="469"/>
      <c r="O21" s="469"/>
      <c r="P21" s="469"/>
      <c r="Q21" s="469"/>
      <c r="R21" s="469"/>
      <c r="S21" s="469"/>
      <c r="T21" s="469"/>
      <c r="U21" s="469"/>
      <c r="V21" s="469" t="s">
        <v>2204</v>
      </c>
    </row>
    <row r="22" spans="1:22" ht="18.75" x14ac:dyDescent="0.3">
      <c r="A22" s="693"/>
      <c r="B22" s="704"/>
      <c r="C22" s="705"/>
      <c r="D22" s="704"/>
      <c r="E22" s="469"/>
      <c r="F22" s="701"/>
      <c r="G22" s="701"/>
      <c r="J22" s="702"/>
      <c r="K22" s="469"/>
      <c r="L22" s="469"/>
      <c r="M22" s="469"/>
      <c r="N22" s="469"/>
      <c r="O22" s="469"/>
      <c r="P22" s="469"/>
      <c r="Q22" s="469"/>
      <c r="R22" s="469"/>
      <c r="S22" s="469"/>
      <c r="T22" s="469"/>
      <c r="U22" s="469"/>
      <c r="V22" s="469"/>
    </row>
    <row r="23" spans="1:22" ht="18.75" x14ac:dyDescent="0.3">
      <c r="A23" s="693"/>
      <c r="B23" s="704"/>
      <c r="C23" s="705"/>
      <c r="D23" s="704"/>
      <c r="E23" s="469"/>
      <c r="F23" s="701"/>
      <c r="G23" s="701"/>
      <c r="J23" s="702"/>
      <c r="K23" s="469"/>
      <c r="L23" s="469"/>
      <c r="M23" s="469"/>
      <c r="N23" s="469"/>
      <c r="O23" s="469"/>
      <c r="P23" s="469"/>
      <c r="Q23" s="469"/>
      <c r="R23" s="469"/>
      <c r="S23" s="469"/>
      <c r="T23" s="469"/>
      <c r="U23" s="469"/>
      <c r="V23" s="469"/>
    </row>
    <row r="24" spans="1:22" ht="23.25" x14ac:dyDescent="0.35">
      <c r="A24" s="693">
        <v>4</v>
      </c>
      <c r="B24" s="706" t="s">
        <v>1117</v>
      </c>
      <c r="C24" s="705"/>
      <c r="D24" s="704"/>
      <c r="E24" s="469"/>
      <c r="F24" s="701"/>
      <c r="G24" s="701"/>
      <c r="J24" s="702"/>
      <c r="K24" s="469"/>
      <c r="L24" s="469"/>
      <c r="M24" s="469"/>
      <c r="N24" s="469"/>
      <c r="O24" s="469"/>
      <c r="P24" s="469"/>
      <c r="Q24" s="469"/>
      <c r="R24" s="469"/>
      <c r="S24" s="469"/>
      <c r="T24" s="469"/>
      <c r="U24" s="469"/>
      <c r="V24" s="469"/>
    </row>
    <row r="25" spans="1:22" ht="18.75" x14ac:dyDescent="0.3">
      <c r="A25" s="693"/>
      <c r="B25" s="698" t="str">
        <f>IF(BID!$L721=FALSE,BID!B721,"-")</f>
        <v>BENZYL BENZOATE 25% LOTION</v>
      </c>
      <c r="C25" s="699" t="str">
        <f>IF(BID!$L721=FALSE,BID!C721,"-")</f>
        <v>BOTT</v>
      </c>
      <c r="D25" s="698">
        <v>150</v>
      </c>
      <c r="E25" s="700">
        <v>270</v>
      </c>
      <c r="F25" s="700">
        <f t="shared" si="0"/>
        <v>40500</v>
      </c>
      <c r="G25" s="701"/>
      <c r="J25" s="702"/>
      <c r="K25" s="469">
        <v>650</v>
      </c>
      <c r="L25" s="469"/>
      <c r="M25" s="469"/>
      <c r="N25" s="469"/>
      <c r="O25" s="469"/>
      <c r="P25" s="469">
        <v>400</v>
      </c>
      <c r="Q25" s="469"/>
      <c r="R25" s="469"/>
      <c r="S25" s="469"/>
      <c r="T25" s="469">
        <v>270</v>
      </c>
      <c r="U25" s="469"/>
      <c r="V25" s="469" t="s">
        <v>2210</v>
      </c>
    </row>
    <row r="26" spans="1:22" ht="18.75" x14ac:dyDescent="0.3">
      <c r="A26" s="693"/>
      <c r="B26" s="698" t="str">
        <f>IF(BID!$L395=FALSE,BID!B395,"-")</f>
        <v>CHLORPROMAZINE 50MG INJ</v>
      </c>
      <c r="C26" s="699">
        <f>IF(BID!$L395=FALSE,BID!C395,"-")</f>
        <v>100</v>
      </c>
      <c r="D26" s="698">
        <v>3</v>
      </c>
      <c r="E26" s="700">
        <v>2700</v>
      </c>
      <c r="F26" s="700">
        <f t="shared" si="0"/>
        <v>8100</v>
      </c>
      <c r="G26" s="701"/>
      <c r="J26" s="702"/>
      <c r="K26" s="469">
        <v>5500</v>
      </c>
      <c r="L26" s="469"/>
      <c r="M26" s="469"/>
      <c r="N26" s="469"/>
      <c r="O26" s="469"/>
      <c r="P26" s="469">
        <v>4500</v>
      </c>
      <c r="Q26" s="469"/>
      <c r="R26" s="469"/>
      <c r="S26" s="469"/>
      <c r="T26" s="469">
        <v>2700</v>
      </c>
      <c r="U26" s="469"/>
      <c r="V26" s="469" t="s">
        <v>2210</v>
      </c>
    </row>
    <row r="27" spans="1:22" ht="18.75" x14ac:dyDescent="0.3">
      <c r="A27" s="693"/>
      <c r="B27" s="698" t="str">
        <f>IF(BID!$L627=FALSE,BID!B627,"-")</f>
        <v>TRIAMCINOLONE INJ</v>
      </c>
      <c r="C27" s="699">
        <f>IF(BID!$L627=FALSE,BID!C627,"-")</f>
        <v>10</v>
      </c>
      <c r="D27" s="698">
        <v>1</v>
      </c>
      <c r="E27" s="700">
        <v>2700</v>
      </c>
      <c r="F27" s="700">
        <f t="shared" si="0"/>
        <v>2700</v>
      </c>
      <c r="G27" s="701"/>
      <c r="J27" s="702"/>
      <c r="K27" s="469">
        <v>5100</v>
      </c>
      <c r="L27" s="469"/>
      <c r="M27" s="469"/>
      <c r="N27" s="469"/>
      <c r="O27" s="469"/>
      <c r="P27" s="469">
        <v>3500</v>
      </c>
      <c r="Q27" s="469"/>
      <c r="R27" s="469"/>
      <c r="S27" s="469"/>
      <c r="T27" s="469">
        <v>2700</v>
      </c>
      <c r="U27" s="469"/>
      <c r="V27" s="469" t="s">
        <v>2210</v>
      </c>
    </row>
    <row r="28" spans="1:22" ht="18.75" x14ac:dyDescent="0.3">
      <c r="A28" s="693"/>
      <c r="B28" s="698" t="s">
        <v>1042</v>
      </c>
      <c r="C28" s="699">
        <f>IF(BID!$L378=FALSE,BID!C378,"-")</f>
        <v>30</v>
      </c>
      <c r="D28" s="698">
        <v>400</v>
      </c>
      <c r="E28" s="700">
        <v>1500</v>
      </c>
      <c r="F28" s="700">
        <f t="shared" si="0"/>
        <v>600000</v>
      </c>
      <c r="G28" s="701"/>
      <c r="J28" s="702"/>
      <c r="K28" s="469"/>
      <c r="L28" s="469"/>
      <c r="M28" s="469"/>
      <c r="N28" s="469"/>
      <c r="O28" s="469"/>
      <c r="P28" s="469"/>
      <c r="Q28" s="469"/>
      <c r="R28" s="469"/>
      <c r="S28" s="469"/>
      <c r="T28" s="469">
        <v>1500</v>
      </c>
      <c r="U28" s="469"/>
      <c r="V28" s="469" t="s">
        <v>2210</v>
      </c>
    </row>
    <row r="29" spans="1:22" ht="21" x14ac:dyDescent="0.35">
      <c r="A29" s="693"/>
      <c r="B29" s="698" t="str">
        <f>IF(BID!$L458=FALSE,BID!B458,"-")</f>
        <v>XYLOCAINE/ADRENALINE INJ</v>
      </c>
      <c r="C29" s="699" t="str">
        <f>IF(BID!$L458=FALSE,BID!C458,"-")</f>
        <v>VIAL</v>
      </c>
      <c r="D29" s="698">
        <v>100</v>
      </c>
      <c r="E29" s="700">
        <v>280</v>
      </c>
      <c r="F29" s="700">
        <f t="shared" si="0"/>
        <v>28000</v>
      </c>
      <c r="G29" s="703">
        <f>SUM(F25:F29)</f>
        <v>679300</v>
      </c>
      <c r="J29" s="702"/>
      <c r="K29" s="469">
        <v>450</v>
      </c>
      <c r="L29" s="469"/>
      <c r="M29" s="469"/>
      <c r="N29" s="469"/>
      <c r="O29" s="469"/>
      <c r="P29" s="469">
        <v>450</v>
      </c>
      <c r="Q29" s="469"/>
      <c r="R29" s="469"/>
      <c r="S29" s="469"/>
      <c r="T29" s="469">
        <v>280</v>
      </c>
      <c r="U29" s="469"/>
      <c r="V29" s="469" t="s">
        <v>2210</v>
      </c>
    </row>
    <row r="30" spans="1:22" ht="18.75" x14ac:dyDescent="0.3">
      <c r="A30" s="693"/>
      <c r="B30" s="698"/>
      <c r="C30" s="699"/>
      <c r="D30" s="698"/>
      <c r="E30" s="715"/>
      <c r="F30" s="700"/>
      <c r="G30" s="701"/>
      <c r="J30" s="702"/>
      <c r="K30" s="469"/>
      <c r="L30" s="469"/>
      <c r="M30" s="469"/>
      <c r="N30" s="469"/>
      <c r="O30" s="469"/>
      <c r="P30" s="469"/>
      <c r="Q30" s="469"/>
      <c r="R30" s="469"/>
      <c r="S30" s="469"/>
      <c r="T30" s="469"/>
      <c r="U30" s="469"/>
      <c r="V30" s="469"/>
    </row>
    <row r="31" spans="1:22" ht="18.75" x14ac:dyDescent="0.3">
      <c r="A31" s="693"/>
      <c r="B31" s="704"/>
      <c r="C31" s="705"/>
      <c r="D31" s="704"/>
      <c r="E31" s="469"/>
      <c r="F31" s="701"/>
      <c r="G31" s="701"/>
      <c r="J31" s="702"/>
      <c r="K31" s="469"/>
      <c r="L31" s="469"/>
      <c r="M31" s="469"/>
      <c r="N31" s="469"/>
      <c r="O31" s="469"/>
      <c r="P31" s="469"/>
      <c r="Q31" s="469"/>
      <c r="R31" s="469"/>
      <c r="S31" s="469"/>
      <c r="T31" s="469"/>
      <c r="U31" s="469"/>
      <c r="V31" s="469"/>
    </row>
    <row r="32" spans="1:22" ht="23.25" x14ac:dyDescent="0.35">
      <c r="A32" s="693">
        <v>5</v>
      </c>
      <c r="B32" s="706" t="s">
        <v>2218</v>
      </c>
      <c r="C32" s="705"/>
      <c r="D32" s="704"/>
      <c r="E32" s="469"/>
      <c r="F32" s="701"/>
      <c r="G32" s="701"/>
      <c r="J32" s="702"/>
      <c r="K32" s="469"/>
      <c r="L32" s="469"/>
      <c r="M32" s="469"/>
      <c r="N32" s="469"/>
      <c r="O32" s="469"/>
      <c r="P32" s="469"/>
      <c r="Q32" s="469"/>
      <c r="R32" s="469"/>
      <c r="S32" s="469"/>
      <c r="T32" s="469"/>
      <c r="U32" s="469"/>
      <c r="V32" s="469"/>
    </row>
    <row r="33" spans="1:22" ht="21" x14ac:dyDescent="0.35">
      <c r="A33" s="693"/>
      <c r="B33" s="698" t="str">
        <f>IF(BID!$L279=FALSE,BID!B279,"-")</f>
        <v>FLUCONAZOLE 50MG CAP</v>
      </c>
      <c r="C33" s="699">
        <f>IF(BID!$L279=FALSE,BID!C279,"-")</f>
        <v>6</v>
      </c>
      <c r="D33" s="698">
        <v>200</v>
      </c>
      <c r="E33" s="700">
        <v>500</v>
      </c>
      <c r="F33" s="700">
        <f t="shared" si="0"/>
        <v>100000</v>
      </c>
      <c r="G33" s="703">
        <f>SUM(F33:F33)</f>
        <v>100000</v>
      </c>
      <c r="J33" s="702"/>
      <c r="K33" s="469"/>
      <c r="L33" s="469"/>
      <c r="M33" s="469"/>
      <c r="N33" s="469"/>
      <c r="O33" s="469">
        <v>500</v>
      </c>
      <c r="P33" s="469"/>
      <c r="Q33" s="469"/>
      <c r="R33" s="469"/>
      <c r="S33" s="469"/>
      <c r="T33" s="469">
        <v>320</v>
      </c>
      <c r="U33" s="469"/>
      <c r="V33" s="469" t="s">
        <v>2205</v>
      </c>
    </row>
    <row r="34" spans="1:22" ht="18.75" x14ac:dyDescent="0.3">
      <c r="A34" s="693"/>
      <c r="B34" s="704"/>
      <c r="C34" s="705"/>
      <c r="D34" s="704"/>
      <c r="E34" s="469"/>
      <c r="F34" s="701"/>
      <c r="G34" s="701"/>
      <c r="J34" s="702"/>
      <c r="K34" s="469"/>
      <c r="L34" s="469"/>
      <c r="M34" s="469"/>
      <c r="N34" s="469"/>
      <c r="O34" s="469"/>
      <c r="P34" s="469"/>
      <c r="Q34" s="469"/>
      <c r="R34" s="469"/>
      <c r="S34" s="469"/>
      <c r="T34" s="469"/>
      <c r="U34" s="469"/>
      <c r="V34" s="469"/>
    </row>
    <row r="35" spans="1:22" ht="18.75" x14ac:dyDescent="0.3">
      <c r="A35" s="693"/>
      <c r="B35" s="704"/>
      <c r="C35" s="705"/>
      <c r="D35" s="704"/>
      <c r="E35" s="469"/>
      <c r="F35" s="701"/>
      <c r="G35" s="701"/>
      <c r="J35" s="702"/>
      <c r="K35" s="469"/>
      <c r="L35" s="469"/>
      <c r="M35" s="469"/>
      <c r="N35" s="469"/>
      <c r="O35" s="469"/>
      <c r="P35" s="469"/>
      <c r="Q35" s="469"/>
      <c r="R35" s="469"/>
      <c r="S35" s="469"/>
      <c r="T35" s="469"/>
      <c r="U35" s="469"/>
      <c r="V35" s="469"/>
    </row>
    <row r="36" spans="1:22" ht="18.75" x14ac:dyDescent="0.3">
      <c r="A36" s="693"/>
      <c r="B36" s="704"/>
      <c r="C36" s="705"/>
      <c r="D36" s="704"/>
      <c r="E36" s="469"/>
      <c r="F36" s="701"/>
      <c r="G36" s="701"/>
      <c r="J36" s="702"/>
      <c r="K36" s="469"/>
      <c r="L36" s="469"/>
      <c r="M36" s="469"/>
      <c r="N36" s="469"/>
      <c r="O36" s="469"/>
      <c r="P36" s="469"/>
      <c r="Q36" s="469"/>
      <c r="R36" s="469"/>
      <c r="S36" s="469"/>
      <c r="T36" s="469"/>
      <c r="U36" s="469"/>
      <c r="V36" s="469"/>
    </row>
    <row r="37" spans="1:22" ht="23.25" x14ac:dyDescent="0.35">
      <c r="A37" s="693">
        <v>6</v>
      </c>
      <c r="B37" s="706" t="s">
        <v>2229</v>
      </c>
      <c r="C37" s="705"/>
      <c r="D37" s="704"/>
      <c r="E37" s="701"/>
      <c r="F37" s="701"/>
      <c r="G37" s="701"/>
      <c r="J37" s="702"/>
      <c r="K37" s="469"/>
      <c r="L37" s="469"/>
      <c r="M37" s="469"/>
      <c r="N37" s="469"/>
      <c r="O37" s="469"/>
      <c r="P37" s="469"/>
      <c r="Q37" s="469"/>
      <c r="R37" s="469"/>
      <c r="S37" s="469"/>
      <c r="T37" s="469"/>
      <c r="U37" s="469"/>
      <c r="V37" s="469"/>
    </row>
    <row r="38" spans="1:22" ht="18.75" x14ac:dyDescent="0.3">
      <c r="A38" s="693"/>
      <c r="B38" s="698" t="s">
        <v>2230</v>
      </c>
      <c r="C38" s="699">
        <v>10</v>
      </c>
      <c r="D38" s="698">
        <v>50</v>
      </c>
      <c r="E38" s="700">
        <v>2500</v>
      </c>
      <c r="F38" s="700">
        <f t="shared" ref="F38:F39" si="2">D38*E38</f>
        <v>125000</v>
      </c>
      <c r="G38" s="701"/>
      <c r="J38" s="702"/>
      <c r="K38" s="469">
        <v>800</v>
      </c>
      <c r="L38" s="469"/>
      <c r="M38" s="469"/>
      <c r="N38" s="469"/>
      <c r="O38" s="469"/>
      <c r="P38" s="469">
        <v>450</v>
      </c>
      <c r="Q38" s="469"/>
      <c r="R38" s="469"/>
      <c r="S38" s="469"/>
      <c r="T38" s="469"/>
      <c r="U38" s="469"/>
      <c r="V38" s="469" t="s">
        <v>2200</v>
      </c>
    </row>
    <row r="39" spans="1:22" ht="21" x14ac:dyDescent="0.35">
      <c r="A39" s="693"/>
      <c r="B39" s="698" t="s">
        <v>2231</v>
      </c>
      <c r="C39" s="699">
        <v>500</v>
      </c>
      <c r="D39" s="698">
        <v>5</v>
      </c>
      <c r="E39" s="700">
        <v>8000</v>
      </c>
      <c r="F39" s="700">
        <f t="shared" si="2"/>
        <v>40000</v>
      </c>
      <c r="G39" s="703">
        <f>SUM(F38:F39)</f>
        <v>165000</v>
      </c>
      <c r="J39" s="702"/>
      <c r="K39" s="469">
        <v>26500</v>
      </c>
      <c r="L39" s="469"/>
      <c r="M39" s="469"/>
      <c r="N39" s="469"/>
      <c r="O39" s="469"/>
      <c r="P39" s="469"/>
      <c r="Q39" s="469"/>
      <c r="R39" s="469"/>
      <c r="S39" s="469"/>
      <c r="T39" s="469"/>
      <c r="U39" s="469"/>
      <c r="V39" s="469" t="s">
        <v>2200</v>
      </c>
    </row>
    <row r="40" spans="1:22" ht="18.75" x14ac:dyDescent="0.3">
      <c r="A40" s="693"/>
      <c r="B40" s="704"/>
      <c r="C40" s="705"/>
      <c r="D40" s="704"/>
      <c r="E40" s="701"/>
      <c r="F40" s="701"/>
      <c r="G40" s="701"/>
      <c r="J40" s="702"/>
      <c r="K40" s="469"/>
      <c r="L40" s="469"/>
      <c r="M40" s="469"/>
      <c r="N40" s="469"/>
      <c r="O40" s="469"/>
      <c r="P40" s="469"/>
      <c r="Q40" s="469"/>
      <c r="R40" s="469"/>
      <c r="S40" s="469"/>
      <c r="T40" s="469"/>
      <c r="U40" s="469"/>
      <c r="V40" s="469"/>
    </row>
    <row r="41" spans="1:22" ht="18.75" x14ac:dyDescent="0.3">
      <c r="A41" s="693"/>
      <c r="B41" s="704"/>
      <c r="C41" s="705"/>
      <c r="D41" s="704"/>
      <c r="E41" s="701"/>
      <c r="F41" s="701"/>
      <c r="G41" s="701"/>
      <c r="J41" s="702"/>
      <c r="K41" s="469"/>
      <c r="L41" s="469"/>
      <c r="M41" s="469"/>
      <c r="N41" s="469"/>
      <c r="O41" s="469"/>
      <c r="P41" s="469"/>
      <c r="Q41" s="469"/>
      <c r="R41" s="469"/>
      <c r="S41" s="469"/>
      <c r="T41" s="469"/>
      <c r="U41" s="469"/>
      <c r="V41" s="469"/>
    </row>
    <row r="42" spans="1:22" ht="23.25" x14ac:dyDescent="0.35">
      <c r="A42" s="693">
        <v>7</v>
      </c>
      <c r="B42" s="706" t="s">
        <v>2225</v>
      </c>
      <c r="C42" s="705"/>
      <c r="D42" s="704"/>
      <c r="E42" s="701"/>
      <c r="F42" s="701"/>
      <c r="G42" s="701"/>
      <c r="J42" s="702"/>
      <c r="K42" s="469"/>
      <c r="L42" s="469"/>
      <c r="M42" s="469"/>
      <c r="N42" s="469"/>
      <c r="O42" s="469"/>
      <c r="P42" s="469"/>
      <c r="Q42" s="469"/>
      <c r="R42" s="469"/>
      <c r="S42" s="469"/>
      <c r="T42" s="469"/>
      <c r="U42" s="469"/>
      <c r="V42" s="469"/>
    </row>
    <row r="43" spans="1:22" ht="21" x14ac:dyDescent="0.35">
      <c r="A43" s="693"/>
      <c r="B43" s="698" t="s">
        <v>2226</v>
      </c>
      <c r="C43" s="699">
        <v>30</v>
      </c>
      <c r="D43" s="698">
        <v>50</v>
      </c>
      <c r="E43" s="700">
        <v>1453</v>
      </c>
      <c r="F43" s="700">
        <f t="shared" ref="F43" si="3">D43*E43</f>
        <v>72650</v>
      </c>
      <c r="G43" s="703">
        <f>SUM(F43:F43)</f>
        <v>72650</v>
      </c>
      <c r="J43" s="702"/>
      <c r="K43" s="469">
        <v>26500</v>
      </c>
      <c r="L43" s="469"/>
      <c r="M43" s="469"/>
      <c r="N43" s="469"/>
      <c r="O43" s="469"/>
      <c r="P43" s="469"/>
      <c r="Q43" s="469"/>
      <c r="R43" s="469"/>
      <c r="S43" s="469"/>
      <c r="T43" s="469"/>
      <c r="U43" s="469"/>
      <c r="V43" s="469" t="s">
        <v>2200</v>
      </c>
    </row>
    <row r="44" spans="1:22" ht="18.75" x14ac:dyDescent="0.3">
      <c r="A44" s="693"/>
      <c r="B44" s="704"/>
      <c r="C44" s="705"/>
      <c r="D44" s="704"/>
      <c r="E44" s="701"/>
      <c r="F44" s="701"/>
      <c r="G44" s="701"/>
      <c r="J44" s="702"/>
      <c r="K44" s="469"/>
      <c r="L44" s="469"/>
      <c r="M44" s="469"/>
      <c r="N44" s="469"/>
      <c r="O44" s="469"/>
      <c r="P44" s="469"/>
      <c r="Q44" s="469"/>
      <c r="R44" s="469"/>
      <c r="S44" s="469"/>
      <c r="T44" s="469"/>
      <c r="U44" s="469"/>
      <c r="V44" s="469"/>
    </row>
    <row r="45" spans="1:22" ht="18.75" x14ac:dyDescent="0.3">
      <c r="A45" s="693"/>
      <c r="B45" s="704"/>
      <c r="C45" s="705"/>
      <c r="D45" s="704"/>
      <c r="E45" s="701"/>
      <c r="F45" s="701"/>
      <c r="G45" s="701"/>
      <c r="J45" s="702"/>
      <c r="K45" s="469"/>
      <c r="L45" s="469"/>
      <c r="M45" s="469"/>
      <c r="N45" s="469"/>
      <c r="O45" s="469"/>
      <c r="P45" s="469"/>
      <c r="Q45" s="469"/>
      <c r="R45" s="469"/>
      <c r="S45" s="469"/>
      <c r="T45" s="469"/>
      <c r="U45" s="469"/>
      <c r="V45" s="469"/>
    </row>
    <row r="46" spans="1:22" ht="23.25" x14ac:dyDescent="0.35">
      <c r="A46" s="693">
        <v>8</v>
      </c>
      <c r="B46" s="706" t="s">
        <v>2219</v>
      </c>
      <c r="C46" s="705"/>
      <c r="D46" s="704"/>
      <c r="E46" s="469"/>
      <c r="F46" s="701"/>
      <c r="G46" s="701"/>
      <c r="J46" s="702"/>
      <c r="K46" s="469"/>
      <c r="L46" s="469"/>
      <c r="M46" s="469"/>
      <c r="N46" s="469"/>
      <c r="O46" s="469"/>
      <c r="P46" s="469"/>
      <c r="Q46" s="469"/>
      <c r="R46" s="469"/>
      <c r="S46" s="469"/>
      <c r="T46" s="469"/>
      <c r="U46" s="469"/>
      <c r="V46" s="469"/>
    </row>
    <row r="47" spans="1:22" ht="21" x14ac:dyDescent="0.35">
      <c r="A47" s="693"/>
      <c r="B47" s="698" t="str">
        <f>IF(BID!$L25=FALSE,BID!B25,"-")</f>
        <v>DIHYDROARTEMISININ/PIPERAQUINE/TRIMETHOPRIM TAB</v>
      </c>
      <c r="C47" s="699">
        <f>IF(BID!$L25=FALSE,BID!C25,"-")</f>
        <v>4</v>
      </c>
      <c r="D47" s="698">
        <v>500</v>
      </c>
      <c r="E47" s="700">
        <v>800</v>
      </c>
      <c r="F47" s="700">
        <f t="shared" si="0"/>
        <v>400000</v>
      </c>
      <c r="G47" s="703">
        <f>SUM(F47:F47)</f>
        <v>400000</v>
      </c>
      <c r="J47" s="702"/>
      <c r="K47" s="469">
        <v>650</v>
      </c>
      <c r="L47" s="469">
        <v>800</v>
      </c>
      <c r="M47" s="469"/>
      <c r="N47" s="469"/>
      <c r="O47" s="469"/>
      <c r="P47" s="469"/>
      <c r="Q47" s="469"/>
      <c r="R47" s="469"/>
      <c r="S47" s="469"/>
      <c r="T47" s="469"/>
      <c r="U47" s="469"/>
      <c r="V47" s="469" t="s">
        <v>2203</v>
      </c>
    </row>
    <row r="48" spans="1:22" ht="18.75" x14ac:dyDescent="0.3">
      <c r="A48" s="693"/>
      <c r="B48" s="704"/>
      <c r="C48" s="705"/>
      <c r="D48" s="704"/>
      <c r="E48" s="469"/>
      <c r="F48" s="701"/>
      <c r="G48" s="701"/>
      <c r="J48" s="702"/>
      <c r="K48" s="469"/>
      <c r="L48" s="469"/>
      <c r="M48" s="469"/>
      <c r="N48" s="469"/>
      <c r="O48" s="469"/>
      <c r="P48" s="469"/>
      <c r="Q48" s="469"/>
      <c r="R48" s="469"/>
      <c r="S48" s="469"/>
      <c r="T48" s="469"/>
      <c r="U48" s="469"/>
      <c r="V48" s="469"/>
    </row>
    <row r="49" spans="1:22" ht="18.75" x14ac:dyDescent="0.3">
      <c r="A49" s="693"/>
      <c r="B49" s="704"/>
      <c r="C49" s="705"/>
      <c r="D49" s="704"/>
      <c r="E49" s="469"/>
      <c r="F49" s="701"/>
      <c r="G49" s="701"/>
      <c r="J49" s="702"/>
      <c r="K49" s="469"/>
      <c r="L49" s="469"/>
      <c r="M49" s="469"/>
      <c r="N49" s="469"/>
      <c r="O49" s="469"/>
      <c r="P49" s="469"/>
      <c r="Q49" s="469"/>
      <c r="R49" s="469"/>
      <c r="S49" s="469"/>
      <c r="T49" s="469"/>
      <c r="U49" s="469"/>
      <c r="V49" s="469"/>
    </row>
    <row r="50" spans="1:22" ht="23.25" x14ac:dyDescent="0.35">
      <c r="A50" s="693">
        <v>9</v>
      </c>
      <c r="B50" s="706" t="s">
        <v>2227</v>
      </c>
      <c r="C50" s="705"/>
      <c r="D50" s="704"/>
      <c r="E50" s="701"/>
      <c r="F50" s="701"/>
      <c r="G50" s="701"/>
      <c r="J50" s="702"/>
      <c r="K50" s="469"/>
      <c r="L50" s="469"/>
      <c r="M50" s="469"/>
      <c r="N50" s="469"/>
      <c r="O50" s="469"/>
      <c r="P50" s="469"/>
      <c r="Q50" s="469"/>
      <c r="R50" s="469"/>
      <c r="S50" s="469"/>
      <c r="T50" s="469"/>
      <c r="U50" s="469"/>
      <c r="V50" s="469"/>
    </row>
    <row r="51" spans="1:22" ht="18.75" x14ac:dyDescent="0.3">
      <c r="A51" s="693"/>
      <c r="B51" s="698" t="s">
        <v>2228</v>
      </c>
      <c r="C51" s="699" t="s">
        <v>333</v>
      </c>
      <c r="D51" s="698">
        <v>30</v>
      </c>
      <c r="E51" s="700">
        <v>2240</v>
      </c>
      <c r="F51" s="700">
        <f>D51*E51</f>
        <v>67200</v>
      </c>
      <c r="G51" s="701"/>
      <c r="J51" s="702"/>
      <c r="K51" s="469">
        <v>800</v>
      </c>
      <c r="L51" s="469"/>
      <c r="M51" s="469"/>
      <c r="N51" s="469"/>
      <c r="O51" s="469"/>
      <c r="P51" s="469">
        <v>450</v>
      </c>
      <c r="Q51" s="469"/>
      <c r="R51" s="469"/>
      <c r="S51" s="469"/>
      <c r="T51" s="469"/>
      <c r="U51" s="469"/>
      <c r="V51" s="469" t="s">
        <v>2200</v>
      </c>
    </row>
    <row r="52" spans="1:22" ht="18.75" x14ac:dyDescent="0.3">
      <c r="A52" s="693"/>
      <c r="B52" s="698" t="s">
        <v>2237</v>
      </c>
      <c r="C52" s="699">
        <v>10000</v>
      </c>
      <c r="D52" s="698">
        <v>5</v>
      </c>
      <c r="E52" s="700">
        <v>44800</v>
      </c>
      <c r="F52" s="700">
        <f>D52*E52</f>
        <v>224000</v>
      </c>
      <c r="G52" s="701"/>
      <c r="J52" s="702"/>
      <c r="K52" s="469">
        <v>800</v>
      </c>
      <c r="L52" s="469"/>
      <c r="M52" s="469"/>
      <c r="N52" s="469"/>
      <c r="O52" s="469"/>
      <c r="P52" s="469">
        <v>450</v>
      </c>
      <c r="Q52" s="469"/>
      <c r="R52" s="469"/>
      <c r="S52" s="469"/>
      <c r="T52" s="469"/>
      <c r="U52" s="469"/>
      <c r="V52" s="469" t="s">
        <v>2200</v>
      </c>
    </row>
    <row r="53" spans="1:22" ht="21" x14ac:dyDescent="0.35">
      <c r="A53" s="693"/>
      <c r="B53" s="698" t="s">
        <v>2238</v>
      </c>
      <c r="C53" s="699">
        <v>10000</v>
      </c>
      <c r="D53" s="698">
        <v>2</v>
      </c>
      <c r="E53" s="700">
        <v>56000</v>
      </c>
      <c r="F53" s="700">
        <f>D53*E53</f>
        <v>112000</v>
      </c>
      <c r="G53" s="703">
        <f>SUM(F51:F53)</f>
        <v>403200</v>
      </c>
      <c r="J53" s="702"/>
      <c r="K53" s="469">
        <v>26500</v>
      </c>
      <c r="L53" s="469"/>
      <c r="M53" s="469"/>
      <c r="N53" s="469"/>
      <c r="O53" s="469"/>
      <c r="P53" s="469"/>
      <c r="Q53" s="469"/>
      <c r="R53" s="469"/>
      <c r="S53" s="469"/>
      <c r="T53" s="469"/>
      <c r="U53" s="469"/>
      <c r="V53" s="469" t="s">
        <v>2200</v>
      </c>
    </row>
    <row r="54" spans="1:22" ht="18.75" x14ac:dyDescent="0.3">
      <c r="A54" s="693"/>
      <c r="B54" s="704"/>
      <c r="C54" s="705"/>
      <c r="D54" s="704"/>
      <c r="E54" s="701"/>
      <c r="F54" s="701"/>
      <c r="G54" s="701"/>
      <c r="J54" s="702"/>
      <c r="K54" s="469"/>
      <c r="L54" s="469"/>
      <c r="M54" s="469"/>
      <c r="N54" s="469"/>
      <c r="O54" s="469"/>
      <c r="P54" s="469"/>
      <c r="Q54" s="469"/>
      <c r="R54" s="469"/>
      <c r="S54" s="469"/>
      <c r="T54" s="469"/>
      <c r="U54" s="469"/>
      <c r="V54" s="469"/>
    </row>
    <row r="55" spans="1:22" ht="18.75" x14ac:dyDescent="0.3">
      <c r="A55" s="693"/>
      <c r="B55" s="704"/>
      <c r="C55" s="705"/>
      <c r="D55" s="704"/>
      <c r="E55" s="701"/>
      <c r="F55" s="701"/>
      <c r="G55" s="701"/>
      <c r="J55" s="702"/>
      <c r="K55" s="469"/>
      <c r="L55" s="469"/>
      <c r="M55" s="469"/>
      <c r="N55" s="469"/>
      <c r="O55" s="469"/>
      <c r="P55" s="469"/>
      <c r="Q55" s="469"/>
      <c r="R55" s="469"/>
      <c r="S55" s="469"/>
      <c r="T55" s="469"/>
      <c r="U55" s="469"/>
      <c r="V55" s="469"/>
    </row>
    <row r="56" spans="1:22" ht="23.25" x14ac:dyDescent="0.35">
      <c r="A56" s="693">
        <v>10</v>
      </c>
      <c r="B56" s="706" t="s">
        <v>2220</v>
      </c>
      <c r="C56" s="705"/>
      <c r="D56" s="704"/>
      <c r="E56" s="469"/>
      <c r="F56" s="701"/>
      <c r="G56" s="701"/>
      <c r="J56" s="702"/>
      <c r="K56" s="469"/>
      <c r="L56" s="469"/>
      <c r="M56" s="469"/>
      <c r="N56" s="469"/>
      <c r="O56" s="469"/>
      <c r="P56" s="469"/>
      <c r="Q56" s="469"/>
      <c r="R56" s="469"/>
      <c r="S56" s="469"/>
      <c r="T56" s="469"/>
      <c r="U56" s="469"/>
      <c r="V56" s="469"/>
    </row>
    <row r="57" spans="1:22" ht="18.75" x14ac:dyDescent="0.3">
      <c r="A57" s="693"/>
      <c r="B57" s="698" t="s">
        <v>2241</v>
      </c>
      <c r="C57" s="699">
        <f>IF(BID!$L509=FALSE,BID!C509,"-")</f>
        <v>100</v>
      </c>
      <c r="D57" s="698">
        <v>5</v>
      </c>
      <c r="E57" s="700">
        <v>1800</v>
      </c>
      <c r="F57" s="700">
        <f t="shared" si="0"/>
        <v>9000</v>
      </c>
      <c r="G57" s="701"/>
      <c r="J57" s="702"/>
      <c r="K57" s="469"/>
      <c r="L57" s="469"/>
      <c r="M57" s="469"/>
      <c r="N57" s="469"/>
      <c r="O57" s="469"/>
      <c r="P57" s="469">
        <v>1800</v>
      </c>
      <c r="Q57" s="469"/>
      <c r="R57" s="469"/>
      <c r="S57" s="469"/>
      <c r="T57" s="469"/>
      <c r="U57" s="469"/>
      <c r="V57" s="469" t="s">
        <v>2206</v>
      </c>
    </row>
    <row r="58" spans="1:22" ht="18.75" x14ac:dyDescent="0.3">
      <c r="A58" s="693"/>
      <c r="B58" s="698" t="str">
        <f>IF(BID!$L334=FALSE,BID!B334,"-")</f>
        <v>ETHAMSYLATE 250MG/2ML INJ</v>
      </c>
      <c r="C58" s="699" t="str">
        <f>IF(BID!$L334=FALSE,BID!C334,"-")</f>
        <v>AMP</v>
      </c>
      <c r="D58" s="698">
        <v>30</v>
      </c>
      <c r="E58" s="700">
        <v>700</v>
      </c>
      <c r="F58" s="700">
        <f t="shared" si="0"/>
        <v>21000</v>
      </c>
      <c r="G58" s="701"/>
      <c r="J58" s="702"/>
      <c r="K58" s="469"/>
      <c r="L58" s="469"/>
      <c r="M58" s="469"/>
      <c r="N58" s="469"/>
      <c r="O58" s="469"/>
      <c r="P58" s="469">
        <v>700</v>
      </c>
      <c r="Q58" s="469"/>
      <c r="R58" s="469"/>
      <c r="S58" s="469"/>
      <c r="T58" s="469"/>
      <c r="U58" s="469"/>
      <c r="V58" s="469" t="s">
        <v>2206</v>
      </c>
    </row>
    <row r="59" spans="1:22" ht="18.75" x14ac:dyDescent="0.3">
      <c r="A59" s="693"/>
      <c r="B59" s="698" t="str">
        <f>IF(BID!$L183=FALSE,BID!B183,"-")</f>
        <v>HYDROXYCHLOROQUINE 200MG TAB</v>
      </c>
      <c r="C59" s="699">
        <f>IF(BID!$L183=FALSE,BID!C183,"-")</f>
        <v>20</v>
      </c>
      <c r="D59" s="698">
        <v>25</v>
      </c>
      <c r="E59" s="700">
        <v>2000</v>
      </c>
      <c r="F59" s="700">
        <f t="shared" si="0"/>
        <v>50000</v>
      </c>
      <c r="G59" s="701"/>
      <c r="J59" s="702"/>
      <c r="K59" s="469"/>
      <c r="L59" s="469"/>
      <c r="M59" s="469"/>
      <c r="N59" s="469"/>
      <c r="O59" s="469"/>
      <c r="P59" s="469">
        <v>2000</v>
      </c>
      <c r="Q59" s="469"/>
      <c r="R59" s="469"/>
      <c r="S59" s="469"/>
      <c r="T59" s="469"/>
      <c r="U59" s="469"/>
      <c r="V59" s="469" t="s">
        <v>2206</v>
      </c>
    </row>
    <row r="60" spans="1:22" ht="18.75" x14ac:dyDescent="0.3">
      <c r="A60" s="693"/>
      <c r="B60" s="698" t="str">
        <f>IF(BID!$L727=FALSE,BID!B727,"-")</f>
        <v>IVERMECTIN TAB</v>
      </c>
      <c r="C60" s="699">
        <f>IF(BID!$L727=FALSE,BID!C727,"-")</f>
        <v>500</v>
      </c>
      <c r="D60" s="698">
        <v>1</v>
      </c>
      <c r="E60" s="700">
        <v>5500</v>
      </c>
      <c r="F60" s="700">
        <f t="shared" si="0"/>
        <v>5500</v>
      </c>
      <c r="G60" s="701"/>
      <c r="J60" s="702"/>
      <c r="K60" s="469">
        <v>6800</v>
      </c>
      <c r="L60" s="469"/>
      <c r="M60" s="469"/>
      <c r="N60" s="469"/>
      <c r="O60" s="469"/>
      <c r="P60" s="469">
        <v>5500</v>
      </c>
      <c r="Q60" s="469"/>
      <c r="R60" s="469"/>
      <c r="S60" s="469"/>
      <c r="T60" s="469"/>
      <c r="U60" s="469"/>
      <c r="V60" s="469" t="s">
        <v>2206</v>
      </c>
    </row>
    <row r="61" spans="1:22" ht="18.75" x14ac:dyDescent="0.3">
      <c r="A61" s="693"/>
      <c r="B61" s="698" t="s">
        <v>2242</v>
      </c>
      <c r="C61" s="699">
        <f>IF(BID!$L350=FALSE,BID!C350,"-")</f>
        <v>100</v>
      </c>
      <c r="D61" s="698">
        <v>100</v>
      </c>
      <c r="E61" s="700">
        <v>950</v>
      </c>
      <c r="F61" s="700">
        <f t="shared" si="0"/>
        <v>95000</v>
      </c>
      <c r="G61" s="701"/>
      <c r="J61" s="702"/>
      <c r="K61" s="469">
        <v>5200</v>
      </c>
      <c r="L61" s="469"/>
      <c r="M61" s="469"/>
      <c r="N61" s="469"/>
      <c r="O61" s="469"/>
      <c r="P61" s="469">
        <v>950</v>
      </c>
      <c r="Q61" s="469"/>
      <c r="R61" s="469"/>
      <c r="S61" s="469"/>
      <c r="T61" s="469"/>
      <c r="U61" s="469"/>
      <c r="V61" s="469" t="s">
        <v>2206</v>
      </c>
    </row>
    <row r="62" spans="1:22" ht="18.75" x14ac:dyDescent="0.3">
      <c r="A62" s="693"/>
      <c r="B62" s="698" t="str">
        <f>IF(BID!$L356=FALSE,BID!B356,"-")</f>
        <v>POTASSIUM CHLORIDE TAB</v>
      </c>
      <c r="C62" s="699">
        <f>IF(BID!$L356=FALSE,BID!C356,"-")</f>
        <v>40</v>
      </c>
      <c r="D62" s="698">
        <v>60</v>
      </c>
      <c r="E62" s="700">
        <v>4000</v>
      </c>
      <c r="F62" s="700">
        <f t="shared" si="0"/>
        <v>240000</v>
      </c>
      <c r="G62" s="701"/>
      <c r="J62" s="702"/>
      <c r="K62" s="469" t="s">
        <v>2202</v>
      </c>
      <c r="L62" s="469"/>
      <c r="M62" s="469"/>
      <c r="N62" s="469"/>
      <c r="O62" s="469"/>
      <c r="P62" s="469">
        <v>4000</v>
      </c>
      <c r="Q62" s="469"/>
      <c r="R62" s="469"/>
      <c r="S62" s="469"/>
      <c r="T62" s="469"/>
      <c r="U62" s="469"/>
      <c r="V62" s="469" t="s">
        <v>2206</v>
      </c>
    </row>
    <row r="63" spans="1:22" ht="18.75" x14ac:dyDescent="0.3">
      <c r="A63" s="693"/>
      <c r="B63" s="698" t="str">
        <f>IF(BID!$L495=FALSE,BID!B495,"-")</f>
        <v>PROCHLORPERAZINE TAB</v>
      </c>
      <c r="C63" s="699">
        <v>1000</v>
      </c>
      <c r="D63" s="698">
        <v>5</v>
      </c>
      <c r="E63" s="700">
        <v>1500</v>
      </c>
      <c r="F63" s="700">
        <f t="shared" si="0"/>
        <v>7500</v>
      </c>
      <c r="G63" s="701"/>
      <c r="J63" s="702"/>
      <c r="K63" s="469">
        <v>2100</v>
      </c>
      <c r="L63" s="469"/>
      <c r="M63" s="469"/>
      <c r="N63" s="469"/>
      <c r="O63" s="469"/>
      <c r="P63" s="469">
        <v>1500</v>
      </c>
      <c r="Q63" s="469"/>
      <c r="R63" s="469"/>
      <c r="S63" s="469"/>
      <c r="T63" s="469"/>
      <c r="U63" s="469"/>
      <c r="V63" s="469" t="s">
        <v>2206</v>
      </c>
    </row>
    <row r="64" spans="1:22" ht="18.75" x14ac:dyDescent="0.3">
      <c r="A64" s="693"/>
      <c r="B64" s="698" t="str">
        <f>IF(BID!$L377=FALSE,BID!B377,"-")</f>
        <v>VITAMIN E 300IU INJ</v>
      </c>
      <c r="C64" s="699" t="str">
        <f>IF(BID!$L377=FALSE,BID!C377,"-")</f>
        <v>AMP</v>
      </c>
      <c r="D64" s="698">
        <v>20</v>
      </c>
      <c r="E64" s="700">
        <v>200</v>
      </c>
      <c r="F64" s="700">
        <f t="shared" si="0"/>
        <v>4000</v>
      </c>
      <c r="G64" s="701"/>
      <c r="J64" s="702"/>
      <c r="K64" s="469"/>
      <c r="L64" s="469"/>
      <c r="M64" s="469"/>
      <c r="N64" s="469"/>
      <c r="O64" s="469"/>
      <c r="P64" s="469">
        <v>200</v>
      </c>
      <c r="Q64" s="469"/>
      <c r="R64" s="469"/>
      <c r="S64" s="469"/>
      <c r="T64" s="469"/>
      <c r="U64" s="469"/>
      <c r="V64" s="469" t="s">
        <v>2206</v>
      </c>
    </row>
    <row r="65" spans="1:22" ht="21" x14ac:dyDescent="0.35">
      <c r="A65" s="693"/>
      <c r="B65" s="698" t="str">
        <f>IF(BID!$L714=FALSE,BID!B714,"-")</f>
        <v>XYLOCAINE GEL 35g</v>
      </c>
      <c r="C65" s="699">
        <f>IF(BID!$L714=FALSE,BID!C714,"-")</f>
        <v>10</v>
      </c>
      <c r="D65" s="698">
        <v>20</v>
      </c>
      <c r="E65" s="700">
        <v>7500</v>
      </c>
      <c r="F65" s="700">
        <f t="shared" si="0"/>
        <v>150000</v>
      </c>
      <c r="G65" s="703">
        <f>SUM(F57:F65)</f>
        <v>582000</v>
      </c>
      <c r="J65" s="702"/>
      <c r="K65" s="469">
        <v>5000</v>
      </c>
      <c r="L65" s="469"/>
      <c r="M65" s="469"/>
      <c r="N65" s="469"/>
      <c r="O65" s="469"/>
      <c r="P65" s="469">
        <v>7500</v>
      </c>
      <c r="Q65" s="469"/>
      <c r="R65" s="469"/>
      <c r="S65" s="469"/>
      <c r="T65" s="469"/>
      <c r="U65" s="469"/>
      <c r="V65" s="469" t="s">
        <v>2206</v>
      </c>
    </row>
    <row r="66" spans="1:22" ht="18.75" x14ac:dyDescent="0.3">
      <c r="A66" s="693"/>
      <c r="B66" s="704"/>
      <c r="C66" s="705"/>
      <c r="D66" s="704"/>
      <c r="E66" s="469"/>
      <c r="F66" s="701"/>
      <c r="G66" s="701"/>
      <c r="J66" s="702"/>
      <c r="K66" s="469"/>
      <c r="L66" s="469"/>
      <c r="M66" s="469"/>
      <c r="N66" s="469"/>
      <c r="O66" s="469"/>
      <c r="P66" s="469"/>
      <c r="Q66" s="469"/>
      <c r="R66" s="469"/>
      <c r="S66" s="469"/>
      <c r="T66" s="469"/>
      <c r="U66" s="469"/>
      <c r="V66" s="469"/>
    </row>
    <row r="67" spans="1:22" ht="18.75" x14ac:dyDescent="0.3">
      <c r="A67" s="693"/>
      <c r="B67" s="704"/>
      <c r="C67" s="705"/>
      <c r="D67" s="704"/>
      <c r="E67" s="469"/>
      <c r="F67" s="701"/>
      <c r="G67" s="701"/>
      <c r="J67" s="702"/>
      <c r="K67" s="469"/>
      <c r="L67" s="469"/>
      <c r="M67" s="469"/>
      <c r="N67" s="469"/>
      <c r="O67" s="469"/>
      <c r="P67" s="469"/>
      <c r="Q67" s="469"/>
      <c r="R67" s="469"/>
      <c r="S67" s="469"/>
      <c r="T67" s="469"/>
      <c r="U67" s="469"/>
      <c r="V67" s="469"/>
    </row>
    <row r="68" spans="1:22" ht="23.25" x14ac:dyDescent="0.35">
      <c r="A68" s="693">
        <v>11</v>
      </c>
      <c r="B68" s="706" t="s">
        <v>934</v>
      </c>
      <c r="C68" s="705"/>
      <c r="D68" s="704"/>
      <c r="E68" s="469"/>
      <c r="F68" s="701"/>
      <c r="G68" s="701"/>
      <c r="J68" s="702"/>
      <c r="K68" s="469"/>
      <c r="L68" s="469"/>
      <c r="M68" s="469"/>
      <c r="N68" s="469"/>
      <c r="O68" s="469"/>
      <c r="P68" s="469"/>
      <c r="Q68" s="469"/>
      <c r="R68" s="469"/>
      <c r="S68" s="469"/>
      <c r="T68" s="469"/>
      <c r="U68" s="469"/>
      <c r="V68" s="469"/>
    </row>
    <row r="69" spans="1:22" ht="18.75" x14ac:dyDescent="0.3">
      <c r="A69" s="693"/>
      <c r="B69" s="698" t="str">
        <f>IF(BID!$L759=FALSE,BID!B759,"-")</f>
        <v>CARBIMAZOLE 5MG TAB</v>
      </c>
      <c r="C69" s="699">
        <f>IF(BID!$L759=FALSE,BID!C759,"-")</f>
        <v>100</v>
      </c>
      <c r="D69" s="698">
        <v>50</v>
      </c>
      <c r="E69" s="700">
        <v>1300</v>
      </c>
      <c r="F69" s="700">
        <f t="shared" si="0"/>
        <v>65000</v>
      </c>
      <c r="G69" s="701"/>
      <c r="J69" s="702"/>
      <c r="K69" s="469"/>
      <c r="L69" s="469"/>
      <c r="M69" s="469"/>
      <c r="N69" s="469">
        <v>1300</v>
      </c>
      <c r="O69" s="469"/>
      <c r="P69" s="469">
        <v>2500</v>
      </c>
      <c r="Q69" s="469"/>
      <c r="R69" s="469"/>
      <c r="S69" s="469"/>
      <c r="T69" s="469"/>
      <c r="U69" s="469"/>
      <c r="V69" s="469" t="s">
        <v>627</v>
      </c>
    </row>
    <row r="70" spans="1:22" ht="21" x14ac:dyDescent="0.35">
      <c r="A70" s="693"/>
      <c r="B70" s="698" t="str">
        <f>IF(BID!$L272=FALSE,BID!B272,"-")</f>
        <v>DOXYCYCLINE 100MG CAP</v>
      </c>
      <c r="C70" s="699">
        <f>IF(BID!$L272=FALSE,BID!C272,"-")</f>
        <v>100</v>
      </c>
      <c r="D70" s="698">
        <v>200</v>
      </c>
      <c r="E70" s="700">
        <v>1947</v>
      </c>
      <c r="F70" s="700">
        <f t="shared" si="0"/>
        <v>389400</v>
      </c>
      <c r="G70" s="703">
        <f>SUM(F69:F70)</f>
        <v>454400</v>
      </c>
      <c r="J70" s="702"/>
      <c r="K70" s="469"/>
      <c r="L70" s="469"/>
      <c r="M70" s="469"/>
      <c r="N70" s="469">
        <v>1947</v>
      </c>
      <c r="O70" s="469"/>
      <c r="P70" s="469">
        <v>900</v>
      </c>
      <c r="Q70" s="469"/>
      <c r="R70" s="469"/>
      <c r="S70" s="469"/>
      <c r="T70" s="469">
        <v>650</v>
      </c>
      <c r="U70" s="469"/>
      <c r="V70" s="469" t="s">
        <v>627</v>
      </c>
    </row>
    <row r="71" spans="1:22" ht="18.75" x14ac:dyDescent="0.3">
      <c r="A71" s="693"/>
      <c r="B71" s="704"/>
      <c r="C71" s="705"/>
      <c r="D71" s="704"/>
      <c r="E71" s="469"/>
      <c r="F71" s="701"/>
      <c r="G71" s="701"/>
      <c r="J71" s="702"/>
      <c r="K71" s="469"/>
      <c r="L71" s="469"/>
      <c r="M71" s="469"/>
      <c r="N71" s="469"/>
      <c r="O71" s="469"/>
      <c r="P71" s="469"/>
      <c r="Q71" s="469"/>
      <c r="R71" s="469"/>
      <c r="S71" s="469"/>
      <c r="T71" s="469"/>
      <c r="U71" s="469"/>
      <c r="V71" s="469"/>
    </row>
    <row r="72" spans="1:22" ht="18.75" x14ac:dyDescent="0.3">
      <c r="A72" s="693"/>
      <c r="B72" s="704"/>
      <c r="C72" s="705"/>
      <c r="D72" s="704"/>
      <c r="E72" s="469"/>
      <c r="F72" s="701"/>
      <c r="G72" s="701"/>
      <c r="J72" s="702"/>
      <c r="K72" s="469"/>
      <c r="L72" s="469"/>
      <c r="M72" s="469"/>
      <c r="N72" s="469"/>
      <c r="O72" s="469"/>
      <c r="P72" s="469"/>
      <c r="Q72" s="469"/>
      <c r="R72" s="469"/>
      <c r="S72" s="469"/>
      <c r="T72" s="469"/>
      <c r="U72" s="469"/>
      <c r="V72" s="469"/>
    </row>
    <row r="73" spans="1:22" ht="23.25" x14ac:dyDescent="0.35">
      <c r="A73" s="693">
        <v>12</v>
      </c>
      <c r="B73" s="706" t="s">
        <v>2214</v>
      </c>
      <c r="C73" s="705"/>
      <c r="D73" s="704"/>
      <c r="E73" s="469"/>
      <c r="F73" s="701"/>
      <c r="G73" s="701"/>
      <c r="J73" s="702"/>
      <c r="K73" s="469"/>
      <c r="L73" s="469"/>
      <c r="M73" s="469"/>
      <c r="N73" s="469"/>
      <c r="O73" s="469"/>
      <c r="P73" s="469"/>
      <c r="Q73" s="469"/>
      <c r="R73" s="469"/>
      <c r="S73" s="469"/>
      <c r="T73" s="469"/>
      <c r="U73" s="469"/>
      <c r="V73" s="469"/>
    </row>
    <row r="74" spans="1:22" ht="21" x14ac:dyDescent="0.35">
      <c r="A74" s="693"/>
      <c r="B74" s="698" t="str">
        <f>IF(BID!$L671=FALSE,BID!B671,"-")</f>
        <v>LUBRICATING GEL 85g</v>
      </c>
      <c r="C74" s="699" t="str">
        <f>IF(BID!$L671=FALSE,BID!C671,"-")</f>
        <v>PCS</v>
      </c>
      <c r="D74" s="698">
        <v>125</v>
      </c>
      <c r="E74" s="700">
        <v>920</v>
      </c>
      <c r="F74" s="700">
        <f t="shared" si="0"/>
        <v>115000</v>
      </c>
      <c r="G74" s="703">
        <f>SUM(F74:F74)</f>
        <v>115000</v>
      </c>
      <c r="J74" s="702"/>
      <c r="K74" s="469"/>
      <c r="L74" s="469"/>
      <c r="M74" s="469"/>
      <c r="N74" s="469"/>
      <c r="O74" s="469"/>
      <c r="P74" s="469">
        <v>1200</v>
      </c>
      <c r="Q74" s="469"/>
      <c r="R74" s="469"/>
      <c r="S74" s="469"/>
      <c r="T74" s="469" t="s">
        <v>2211</v>
      </c>
      <c r="U74" s="469">
        <v>920</v>
      </c>
      <c r="V74" s="469" t="s">
        <v>2214</v>
      </c>
    </row>
    <row r="75" spans="1:22" ht="18.75" x14ac:dyDescent="0.3">
      <c r="A75" s="693"/>
      <c r="B75" s="704"/>
      <c r="C75" s="705"/>
      <c r="D75" s="704"/>
      <c r="E75" s="701"/>
      <c r="F75" s="701"/>
      <c r="G75" s="701"/>
      <c r="J75" s="702"/>
      <c r="K75" s="469"/>
      <c r="L75" s="469"/>
      <c r="M75" s="469"/>
      <c r="N75" s="469"/>
      <c r="O75" s="469"/>
      <c r="P75" s="469"/>
      <c r="Q75" s="469"/>
      <c r="R75" s="469"/>
      <c r="S75" s="469"/>
      <c r="T75" s="469"/>
      <c r="U75" s="469"/>
      <c r="V75" s="469"/>
    </row>
    <row r="76" spans="1:22" ht="18.75" x14ac:dyDescent="0.3">
      <c r="A76" s="693"/>
      <c r="B76" s="704"/>
      <c r="C76" s="705"/>
      <c r="D76" s="704"/>
      <c r="E76" s="701"/>
      <c r="F76" s="701"/>
      <c r="G76" s="701"/>
      <c r="J76" s="702"/>
      <c r="K76" s="469"/>
      <c r="L76" s="469"/>
      <c r="M76" s="469"/>
      <c r="N76" s="469"/>
      <c r="O76" s="469"/>
      <c r="P76" s="469"/>
      <c r="Q76" s="469"/>
      <c r="R76" s="469"/>
      <c r="S76" s="469"/>
      <c r="T76" s="469"/>
      <c r="U76" s="469"/>
      <c r="V76" s="469"/>
    </row>
    <row r="77" spans="1:22" ht="23.25" x14ac:dyDescent="0.35">
      <c r="A77" s="693">
        <v>13</v>
      </c>
      <c r="B77" s="706" t="s">
        <v>2221</v>
      </c>
      <c r="C77" s="705"/>
      <c r="D77" s="704"/>
      <c r="E77" s="701"/>
      <c r="F77" s="701"/>
      <c r="G77" s="701"/>
      <c r="J77" s="702"/>
      <c r="K77" s="469"/>
      <c r="L77" s="469"/>
      <c r="M77" s="469"/>
      <c r="N77" s="469"/>
      <c r="O77" s="469"/>
      <c r="P77" s="469"/>
      <c r="Q77" s="469"/>
      <c r="R77" s="469"/>
      <c r="S77" s="469"/>
      <c r="T77" s="469"/>
      <c r="U77" s="469"/>
      <c r="V77" s="469"/>
    </row>
    <row r="78" spans="1:22" ht="18.75" x14ac:dyDescent="0.3">
      <c r="A78" s="693"/>
      <c r="B78" s="698" t="str">
        <f>IF(BID!$L16=FALSE,BID!B16,"-")</f>
        <v>ARTEMETHER/LUMEFANTRINE (20/120) SOFT GEL</v>
      </c>
      <c r="C78" s="699">
        <f>IF(BID!$L16=FALSE,BID!C16,"-")</f>
        <v>24</v>
      </c>
      <c r="D78" s="698">
        <f>IF(BID!$L16=FALSE,BID!D16,"-")/4</f>
        <v>125</v>
      </c>
      <c r="E78" s="700">
        <v>800</v>
      </c>
      <c r="F78" s="700">
        <f t="shared" si="0"/>
        <v>100000</v>
      </c>
      <c r="G78" s="701"/>
      <c r="J78" s="702"/>
      <c r="K78" s="469">
        <v>800</v>
      </c>
      <c r="L78" s="469"/>
      <c r="M78" s="469"/>
      <c r="N78" s="469"/>
      <c r="O78" s="469"/>
      <c r="P78" s="469">
        <v>450</v>
      </c>
      <c r="Q78" s="469"/>
      <c r="R78" s="469"/>
      <c r="S78" s="469"/>
      <c r="T78" s="469"/>
      <c r="U78" s="469"/>
      <c r="V78" s="469" t="s">
        <v>2200</v>
      </c>
    </row>
    <row r="79" spans="1:22" ht="18.75" x14ac:dyDescent="0.3">
      <c r="A79" s="693"/>
      <c r="B79" s="698" t="str">
        <f>IF(BID!$L463=FALSE,BID!B463,"-")</f>
        <v>ATS 10,000 IU INJ</v>
      </c>
      <c r="C79" s="699">
        <f>IF(BID!$L463=FALSE,BID!C463,"-")</f>
        <v>10</v>
      </c>
      <c r="D79" s="698">
        <v>3</v>
      </c>
      <c r="E79" s="700">
        <v>26500</v>
      </c>
      <c r="F79" s="700">
        <f t="shared" si="0"/>
        <v>79500</v>
      </c>
      <c r="G79" s="701"/>
      <c r="J79" s="702"/>
      <c r="K79" s="469">
        <v>26500</v>
      </c>
      <c r="L79" s="469"/>
      <c r="M79" s="469"/>
      <c r="N79" s="469"/>
      <c r="O79" s="469"/>
      <c r="P79" s="469"/>
      <c r="Q79" s="469"/>
      <c r="R79" s="469"/>
      <c r="S79" s="469"/>
      <c r="T79" s="469"/>
      <c r="U79" s="469"/>
      <c r="V79" s="469" t="s">
        <v>2200</v>
      </c>
    </row>
    <row r="80" spans="1:22" s="718" customFormat="1" ht="18.75" x14ac:dyDescent="0.3">
      <c r="A80" s="693"/>
      <c r="B80" s="698" t="s">
        <v>2201</v>
      </c>
      <c r="C80" s="699" t="s">
        <v>455</v>
      </c>
      <c r="D80" s="698">
        <v>20</v>
      </c>
      <c r="E80" s="700">
        <v>30</v>
      </c>
      <c r="F80" s="700">
        <f>D80*E80</f>
        <v>600</v>
      </c>
      <c r="G80" s="700"/>
      <c r="H80" s="716"/>
      <c r="I80" s="716"/>
      <c r="J80" s="717"/>
      <c r="K80" s="715">
        <v>30</v>
      </c>
      <c r="L80" s="715"/>
      <c r="M80" s="715"/>
      <c r="N80" s="715"/>
      <c r="O80" s="715"/>
      <c r="P80" s="715"/>
      <c r="Q80" s="715"/>
      <c r="R80" s="715"/>
      <c r="S80" s="715"/>
      <c r="T80" s="715"/>
      <c r="U80" s="715"/>
      <c r="V80" s="715"/>
    </row>
    <row r="81" spans="1:22" ht="18.75" x14ac:dyDescent="0.3">
      <c r="A81" s="693"/>
      <c r="B81" s="698" t="str">
        <f>IF(BID!$L473=FALSE,BID!B473,"-")</f>
        <v>BISACODYL TAB</v>
      </c>
      <c r="C81" s="699">
        <f>IF(BID!$L473=FALSE,BID!C473,"-")</f>
        <v>105</v>
      </c>
      <c r="D81" s="698">
        <v>20</v>
      </c>
      <c r="E81" s="700">
        <v>250</v>
      </c>
      <c r="F81" s="700">
        <f t="shared" si="0"/>
        <v>5000</v>
      </c>
      <c r="G81" s="701"/>
      <c r="J81" s="702"/>
      <c r="K81" s="469">
        <v>250</v>
      </c>
      <c r="L81" s="469"/>
      <c r="M81" s="469"/>
      <c r="N81" s="469"/>
      <c r="O81" s="469"/>
      <c r="P81" s="469">
        <v>300</v>
      </c>
      <c r="Q81" s="469"/>
      <c r="R81" s="469"/>
      <c r="S81" s="469"/>
      <c r="T81" s="469"/>
      <c r="U81" s="469"/>
      <c r="V81" s="469" t="s">
        <v>2200</v>
      </c>
    </row>
    <row r="82" spans="1:22" ht="18.75" x14ac:dyDescent="0.3">
      <c r="A82" s="693"/>
      <c r="B82" s="698" t="str">
        <f>IF(BID!$L81=FALSE,BID!B81,"-")</f>
        <v>GLYCERYL TRINITRATE TAB</v>
      </c>
      <c r="C82" s="699">
        <f>IF(BID!$L81=FALSE,BID!C81,"-")</f>
        <v>100</v>
      </c>
      <c r="D82" s="698">
        <v>1</v>
      </c>
      <c r="E82" s="700">
        <v>4000</v>
      </c>
      <c r="F82" s="700">
        <f t="shared" si="0"/>
        <v>4000</v>
      </c>
      <c r="G82" s="701"/>
      <c r="J82" s="702"/>
      <c r="K82" s="469">
        <v>4000</v>
      </c>
      <c r="L82" s="469"/>
      <c r="M82" s="469"/>
      <c r="N82" s="469"/>
      <c r="O82" s="469"/>
      <c r="P82" s="469">
        <v>5500</v>
      </c>
      <c r="Q82" s="469"/>
      <c r="R82" s="469"/>
      <c r="S82" s="469"/>
      <c r="T82" s="469"/>
      <c r="U82" s="469"/>
      <c r="V82" s="469" t="s">
        <v>2200</v>
      </c>
    </row>
    <row r="83" spans="1:22" ht="18.75" x14ac:dyDescent="0.3">
      <c r="A83" s="693"/>
      <c r="B83" s="698" t="s">
        <v>2243</v>
      </c>
      <c r="C83" s="699">
        <f>IF(BID!$L299=FALSE,BID!C299,"-")</f>
        <v>100</v>
      </c>
      <c r="D83" s="698">
        <v>1</v>
      </c>
      <c r="E83" s="700">
        <v>2850</v>
      </c>
      <c r="F83" s="700">
        <f t="shared" si="0"/>
        <v>2850</v>
      </c>
      <c r="G83" s="701"/>
      <c r="J83" s="702"/>
      <c r="K83" s="469">
        <v>2850</v>
      </c>
      <c r="L83" s="469"/>
      <c r="M83" s="469"/>
      <c r="N83" s="469"/>
      <c r="O83" s="469"/>
      <c r="P83" s="469">
        <v>4500</v>
      </c>
      <c r="Q83" s="469"/>
      <c r="R83" s="469"/>
      <c r="S83" s="469"/>
      <c r="T83" s="469"/>
      <c r="U83" s="469"/>
      <c r="V83" s="469" t="s">
        <v>2200</v>
      </c>
    </row>
    <row r="84" spans="1:22" ht="18.75" x14ac:dyDescent="0.3">
      <c r="A84" s="693"/>
      <c r="B84" s="698" t="str">
        <f>IF(BID!$L124=FALSE,BID!B124,"-")</f>
        <v>SPIRINOLACTONE 25MG TAB</v>
      </c>
      <c r="C84" s="699">
        <f>IF(BID!$L124=FALSE,BID!C124,"-")</f>
        <v>500</v>
      </c>
      <c r="D84" s="698">
        <v>40</v>
      </c>
      <c r="E84" s="700">
        <v>6000</v>
      </c>
      <c r="F84" s="700">
        <f t="shared" si="0"/>
        <v>240000</v>
      </c>
      <c r="G84" s="701"/>
      <c r="J84" s="702"/>
      <c r="K84" s="469">
        <v>6000</v>
      </c>
      <c r="L84" s="469"/>
      <c r="M84" s="469"/>
      <c r="N84" s="469"/>
      <c r="O84" s="469"/>
      <c r="P84" s="469">
        <v>8500</v>
      </c>
      <c r="Q84" s="469"/>
      <c r="R84" s="469"/>
      <c r="S84" s="469"/>
      <c r="T84" s="469"/>
      <c r="U84" s="469"/>
      <c r="V84" s="469" t="s">
        <v>2200</v>
      </c>
    </row>
    <row r="85" spans="1:22" ht="21" x14ac:dyDescent="0.35">
      <c r="A85" s="693"/>
      <c r="B85" s="698" t="str">
        <f>IF(BID!$L374=FALSE,BID!B374,"-")</f>
        <v>VITAMIN C 500MG TAB</v>
      </c>
      <c r="C85" s="699">
        <f>IF(BID!$L374=FALSE,BID!C374,"-")</f>
        <v>100</v>
      </c>
      <c r="D85" s="698">
        <v>15</v>
      </c>
      <c r="E85" s="700">
        <v>2700</v>
      </c>
      <c r="F85" s="700">
        <f t="shared" si="0"/>
        <v>40500</v>
      </c>
      <c r="G85" s="703">
        <f>SUM(F78:F85)</f>
        <v>472450</v>
      </c>
      <c r="J85" s="702"/>
      <c r="K85" s="469">
        <v>2700</v>
      </c>
      <c r="L85" s="469"/>
      <c r="M85" s="469"/>
      <c r="N85" s="469"/>
      <c r="O85" s="469"/>
      <c r="P85" s="469">
        <v>3000</v>
      </c>
      <c r="Q85" s="469"/>
      <c r="R85" s="469"/>
      <c r="S85" s="469"/>
      <c r="T85" s="469"/>
      <c r="U85" s="469"/>
      <c r="V85" s="469" t="s">
        <v>2200</v>
      </c>
    </row>
    <row r="86" spans="1:22" ht="21" x14ac:dyDescent="0.35">
      <c r="A86" s="693"/>
      <c r="B86" s="704"/>
      <c r="C86" s="705"/>
      <c r="D86" s="704"/>
      <c r="E86" s="469"/>
      <c r="F86" s="701"/>
      <c r="G86" s="703"/>
      <c r="J86" s="702"/>
      <c r="K86" s="469"/>
      <c r="L86" s="469"/>
      <c r="M86" s="469"/>
      <c r="N86" s="469"/>
      <c r="O86" s="469"/>
      <c r="P86" s="469"/>
      <c r="Q86" s="469"/>
      <c r="R86" s="469"/>
      <c r="S86" s="469"/>
      <c r="T86" s="469"/>
      <c r="U86" s="469"/>
      <c r="V86" s="469"/>
    </row>
    <row r="87" spans="1:22" ht="21" x14ac:dyDescent="0.35">
      <c r="A87" s="693"/>
      <c r="B87" s="704"/>
      <c r="C87" s="705"/>
      <c r="D87" s="704"/>
      <c r="E87" s="469"/>
      <c r="F87" s="701"/>
      <c r="G87" s="703"/>
      <c r="J87" s="702"/>
      <c r="K87" s="469"/>
      <c r="L87" s="469"/>
      <c r="M87" s="469"/>
      <c r="N87" s="469"/>
      <c r="O87" s="469"/>
      <c r="P87" s="469"/>
      <c r="Q87" s="469"/>
      <c r="R87" s="469"/>
      <c r="S87" s="469"/>
      <c r="T87" s="469"/>
      <c r="U87" s="469"/>
      <c r="V87" s="469"/>
    </row>
    <row r="88" spans="1:22" ht="23.25" x14ac:dyDescent="0.35">
      <c r="A88" s="693">
        <v>14</v>
      </c>
      <c r="B88" s="706" t="s">
        <v>2222</v>
      </c>
      <c r="C88" s="705"/>
      <c r="D88" s="704"/>
      <c r="E88" s="469"/>
      <c r="F88" s="701"/>
      <c r="G88" s="703"/>
      <c r="J88" s="702"/>
      <c r="K88" s="469"/>
      <c r="L88" s="469"/>
      <c r="M88" s="469"/>
      <c r="N88" s="469"/>
      <c r="O88" s="469"/>
      <c r="P88" s="469"/>
      <c r="Q88" s="469"/>
      <c r="R88" s="469"/>
      <c r="S88" s="469"/>
      <c r="T88" s="469"/>
      <c r="U88" s="469"/>
      <c r="V88" s="469"/>
    </row>
    <row r="89" spans="1:22" ht="21" x14ac:dyDescent="0.35">
      <c r="A89" s="693"/>
      <c r="B89" s="698" t="s">
        <v>1034</v>
      </c>
      <c r="C89" s="719">
        <v>30</v>
      </c>
      <c r="D89" s="715">
        <v>200</v>
      </c>
      <c r="E89" s="715">
        <v>2600</v>
      </c>
      <c r="F89" s="700">
        <f>D89*E89</f>
        <v>520000</v>
      </c>
      <c r="G89" s="703">
        <f>SUM(F89:F89)</f>
        <v>520000</v>
      </c>
      <c r="J89" s="702"/>
      <c r="K89" s="469"/>
      <c r="L89" s="469"/>
      <c r="M89" s="469"/>
      <c r="N89" s="469"/>
      <c r="O89" s="469"/>
      <c r="P89" s="469"/>
      <c r="Q89" s="469"/>
      <c r="R89" s="469">
        <v>2600</v>
      </c>
      <c r="S89" s="469"/>
      <c r="T89" s="469"/>
      <c r="U89" s="469"/>
      <c r="V89" s="469" t="s">
        <v>2208</v>
      </c>
    </row>
    <row r="90" spans="1:22" ht="21" x14ac:dyDescent="0.35">
      <c r="A90" s="693"/>
      <c r="B90" s="698"/>
      <c r="C90" s="719"/>
      <c r="D90" s="715"/>
      <c r="E90" s="715"/>
      <c r="F90" s="700"/>
      <c r="G90" s="703"/>
      <c r="J90" s="702"/>
      <c r="K90" s="469"/>
      <c r="L90" s="469"/>
      <c r="M90" s="469"/>
      <c r="N90" s="469"/>
      <c r="O90" s="469"/>
      <c r="P90" s="469"/>
      <c r="Q90" s="469"/>
      <c r="R90" s="469"/>
      <c r="S90" s="469"/>
      <c r="T90" s="469"/>
      <c r="U90" s="469"/>
      <c r="V90" s="469"/>
    </row>
    <row r="91" spans="1:22" ht="23.25" x14ac:dyDescent="0.35">
      <c r="A91" s="697"/>
      <c r="B91" s="698"/>
      <c r="C91" s="719"/>
      <c r="D91" s="715"/>
      <c r="E91" s="715"/>
      <c r="F91" s="725" t="s">
        <v>666</v>
      </c>
      <c r="G91" s="724">
        <f>SUM(G8:G90)</f>
        <v>5033333.2</v>
      </c>
      <c r="J91" s="702"/>
      <c r="K91" s="469"/>
      <c r="L91" s="469"/>
      <c r="M91" s="469"/>
      <c r="N91" s="469"/>
      <c r="O91" s="469"/>
      <c r="P91" s="469"/>
      <c r="Q91" s="469"/>
      <c r="R91" s="469"/>
      <c r="S91" s="469"/>
      <c r="T91" s="469"/>
      <c r="U91" s="469"/>
      <c r="V91" s="469"/>
    </row>
    <row r="121" spans="1:6" ht="31.5" x14ac:dyDescent="0.5">
      <c r="A121" s="42"/>
      <c r="B121" s="840" t="s">
        <v>2158</v>
      </c>
      <c r="C121" s="840"/>
      <c r="D121" s="840"/>
      <c r="E121" s="840"/>
      <c r="F121" s="73"/>
    </row>
    <row r="122" spans="1:6" ht="26.25" x14ac:dyDescent="0.4">
      <c r="A122" s="35"/>
      <c r="B122" s="673" t="s">
        <v>917</v>
      </c>
      <c r="C122" s="849" t="s">
        <v>918</v>
      </c>
      <c r="D122" s="849"/>
      <c r="E122" s="849"/>
      <c r="F122" s="657"/>
    </row>
    <row r="123" spans="1:6" ht="26.25" x14ac:dyDescent="0.4">
      <c r="A123" s="35"/>
      <c r="B123" s="188"/>
      <c r="C123" s="849"/>
      <c r="D123" s="849"/>
      <c r="E123" s="849"/>
      <c r="F123" s="657"/>
    </row>
    <row r="124" spans="1:6" ht="26.25" x14ac:dyDescent="0.4">
      <c r="A124" s="35">
        <v>1</v>
      </c>
      <c r="B124" s="732" t="str">
        <f>B6</f>
        <v>AFRAB-CHEM LTD.</v>
      </c>
      <c r="C124" s="851">
        <f>G10</f>
        <v>288750</v>
      </c>
      <c r="D124" s="852"/>
      <c r="E124" s="852"/>
      <c r="F124" s="657"/>
    </row>
    <row r="125" spans="1:6" ht="26.25" x14ac:dyDescent="0.4">
      <c r="A125" s="35">
        <f>1+A124</f>
        <v>2</v>
      </c>
      <c r="B125" s="732" t="str">
        <f>B13</f>
        <v>ASSENE LABOREX LIMITED</v>
      </c>
      <c r="C125" s="851">
        <f>G16</f>
        <v>611083.20000000007</v>
      </c>
      <c r="D125" s="852"/>
      <c r="E125" s="852"/>
      <c r="F125" s="657"/>
    </row>
    <row r="126" spans="1:6" ht="26.25" x14ac:dyDescent="0.4">
      <c r="A126" s="35">
        <f t="shared" ref="A126:A137" si="4">1+A125</f>
        <v>3</v>
      </c>
      <c r="B126" s="732" t="str">
        <f>B19</f>
        <v>BENJAMIN MICHAELS LIMITED</v>
      </c>
      <c r="C126" s="851">
        <f>G21</f>
        <v>169500</v>
      </c>
      <c r="D126" s="852"/>
      <c r="E126" s="852"/>
      <c r="F126" s="657"/>
    </row>
    <row r="127" spans="1:6" ht="26.25" x14ac:dyDescent="0.4">
      <c r="A127" s="35">
        <f t="shared" si="4"/>
        <v>4</v>
      </c>
      <c r="B127" s="732" t="str">
        <f>B24</f>
        <v>ETERVAL LIMITED</v>
      </c>
      <c r="C127" s="851">
        <f>G29</f>
        <v>679300</v>
      </c>
      <c r="D127" s="852"/>
      <c r="E127" s="852"/>
      <c r="F127" s="657"/>
    </row>
    <row r="128" spans="1:6" ht="26.25" x14ac:dyDescent="0.4">
      <c r="A128" s="35">
        <f t="shared" si="4"/>
        <v>5</v>
      </c>
      <c r="B128" s="655" t="str">
        <f>B32</f>
        <v>KADARK PHARMACEUTICALS LIMITED</v>
      </c>
      <c r="C128" s="851">
        <f>G33</f>
        <v>100000</v>
      </c>
      <c r="D128" s="852"/>
      <c r="E128" s="852"/>
      <c r="F128" s="657"/>
    </row>
    <row r="129" spans="1:6" ht="26.25" x14ac:dyDescent="0.4">
      <c r="A129" s="35">
        <f t="shared" si="4"/>
        <v>6</v>
      </c>
      <c r="B129" s="655" t="str">
        <f>B37</f>
        <v>MEDIO PHARMACEUTICAL LIMITED</v>
      </c>
      <c r="C129" s="851">
        <f>G39</f>
        <v>165000</v>
      </c>
      <c r="D129" s="852"/>
      <c r="E129" s="852"/>
      <c r="F129" s="657"/>
    </row>
    <row r="130" spans="1:6" ht="26.25" x14ac:dyDescent="0.4">
      <c r="A130" s="35">
        <f t="shared" si="4"/>
        <v>7</v>
      </c>
      <c r="B130" s="655" t="str">
        <f>B42</f>
        <v>NEIMETH INTERNATIONAL PHARMACEUTICAL PLC</v>
      </c>
      <c r="C130" s="851">
        <f>G43</f>
        <v>72650</v>
      </c>
      <c r="D130" s="852"/>
      <c r="E130" s="852"/>
      <c r="F130" s="657"/>
    </row>
    <row r="131" spans="1:6" ht="26.25" x14ac:dyDescent="0.4">
      <c r="A131" s="35">
        <f t="shared" si="4"/>
        <v>8</v>
      </c>
      <c r="B131" s="732" t="str">
        <f>B46</f>
        <v>OMAK PHARMACEUTICAL NIGERIA LIMITED</v>
      </c>
      <c r="C131" s="851">
        <f>G47</f>
        <v>400000</v>
      </c>
      <c r="D131" s="852"/>
      <c r="E131" s="852"/>
      <c r="F131" s="657"/>
    </row>
    <row r="132" spans="1:6" ht="26.25" x14ac:dyDescent="0.4">
      <c r="A132" s="35">
        <f t="shared" si="4"/>
        <v>9</v>
      </c>
      <c r="B132" s="732" t="str">
        <f>B50</f>
        <v>OXPHARM SPECIALTIES LIMITED</v>
      </c>
      <c r="C132" s="851">
        <f>G53</f>
        <v>403200</v>
      </c>
      <c r="D132" s="852"/>
      <c r="E132" s="852"/>
      <c r="F132" s="657"/>
    </row>
    <row r="133" spans="1:6" ht="26.25" x14ac:dyDescent="0.4">
      <c r="A133" s="35">
        <f t="shared" si="4"/>
        <v>10</v>
      </c>
      <c r="B133" s="655" t="str">
        <f>B56</f>
        <v>PEACEMARK PHARMACEUTICALS LIMITED</v>
      </c>
      <c r="C133" s="851">
        <f>G65</f>
        <v>582000</v>
      </c>
      <c r="D133" s="852"/>
      <c r="E133" s="852"/>
      <c r="F133" s="657"/>
    </row>
    <row r="134" spans="1:6" ht="26.25" x14ac:dyDescent="0.4">
      <c r="A134" s="35">
        <f t="shared" si="4"/>
        <v>11</v>
      </c>
      <c r="B134" s="732" t="str">
        <f>B68</f>
        <v>PHAMATEX NIGERIA LIMITED</v>
      </c>
      <c r="C134" s="851">
        <f>G70</f>
        <v>454400</v>
      </c>
      <c r="D134" s="852"/>
      <c r="E134" s="852"/>
      <c r="F134" s="657"/>
    </row>
    <row r="135" spans="1:6" ht="26.25" x14ac:dyDescent="0.4">
      <c r="A135" s="35">
        <f t="shared" si="4"/>
        <v>12</v>
      </c>
      <c r="B135" s="732" t="str">
        <f>B73</f>
        <v>PHARMACY-PLUS</v>
      </c>
      <c r="C135" s="851">
        <f>G74</f>
        <v>115000</v>
      </c>
      <c r="D135" s="852"/>
      <c r="E135" s="852"/>
      <c r="F135" s="657"/>
    </row>
    <row r="136" spans="1:6" ht="26.25" x14ac:dyDescent="0.4">
      <c r="A136" s="35">
        <f t="shared" si="4"/>
        <v>13</v>
      </c>
      <c r="B136" s="732" t="str">
        <f>B77</f>
        <v>RACHEDAN PHARM. &amp; HEALTHCARE LIMITED</v>
      </c>
      <c r="C136" s="851">
        <f>G85</f>
        <v>472450</v>
      </c>
      <c r="D136" s="852"/>
      <c r="E136" s="852"/>
      <c r="F136" s="657"/>
    </row>
    <row r="137" spans="1:6" ht="26.25" x14ac:dyDescent="0.4">
      <c r="A137" s="35">
        <f t="shared" si="4"/>
        <v>14</v>
      </c>
      <c r="B137" s="655" t="str">
        <f>B88</f>
        <v>SEAL HEALTHCARE LTD.</v>
      </c>
      <c r="C137" s="851">
        <f>G89</f>
        <v>520000</v>
      </c>
      <c r="D137" s="852"/>
      <c r="E137" s="852"/>
      <c r="F137" s="657"/>
    </row>
    <row r="138" spans="1:6" ht="19.5" thickBot="1" x14ac:dyDescent="0.35">
      <c r="A138" s="42"/>
      <c r="B138" s="8"/>
      <c r="C138" s="836"/>
      <c r="D138" s="836"/>
      <c r="E138" s="836"/>
      <c r="F138" s="836"/>
    </row>
    <row r="139" spans="1:6" ht="29.25" thickBot="1" x14ac:dyDescent="0.5">
      <c r="A139" s="42"/>
      <c r="B139" s="8"/>
      <c r="C139" s="837">
        <f>SUM(C124:F137)</f>
        <v>5033333.2</v>
      </c>
      <c r="D139" s="838"/>
      <c r="E139" s="839"/>
      <c r="F139" s="658"/>
    </row>
    <row r="140" spans="1:6" ht="18.75" x14ac:dyDescent="0.3">
      <c r="A140" s="42"/>
      <c r="B140" s="8"/>
      <c r="C140" s="836"/>
      <c r="D140" s="836"/>
      <c r="E140" s="836"/>
      <c r="F140" s="836"/>
    </row>
    <row r="141" spans="1:6" ht="18.75" x14ac:dyDescent="0.3">
      <c r="A141" s="42"/>
      <c r="B141" s="8"/>
      <c r="C141" s="836"/>
      <c r="D141" s="836"/>
      <c r="E141" s="836"/>
      <c r="F141" s="836"/>
    </row>
    <row r="142" spans="1:6" ht="18.75" x14ac:dyDescent="0.3">
      <c r="A142" s="42"/>
      <c r="B142" s="8"/>
      <c r="C142" s="836"/>
      <c r="D142" s="836"/>
      <c r="E142" s="836"/>
      <c r="F142" s="836"/>
    </row>
    <row r="143" spans="1:6" ht="18.75" x14ac:dyDescent="0.3">
      <c r="A143" s="42"/>
      <c r="B143" s="8"/>
      <c r="C143" s="836"/>
      <c r="D143" s="836"/>
      <c r="E143" s="836"/>
      <c r="F143" s="836"/>
    </row>
    <row r="144" spans="1:6" ht="18.75" x14ac:dyDescent="0.3">
      <c r="A144" s="42"/>
      <c r="B144" s="8"/>
      <c r="C144" s="672"/>
      <c r="D144" s="75"/>
      <c r="E144" s="71"/>
      <c r="F144" s="73"/>
    </row>
    <row r="145" spans="1:6" ht="18.75" x14ac:dyDescent="0.3">
      <c r="A145" s="42"/>
      <c r="B145" s="8"/>
      <c r="C145" s="672"/>
      <c r="D145" s="75"/>
      <c r="E145" s="71"/>
      <c r="F145" s="73"/>
    </row>
    <row r="146" spans="1:6" ht="18.75" x14ac:dyDescent="0.3">
      <c r="A146" s="42"/>
      <c r="B146" s="8"/>
      <c r="C146" s="672"/>
      <c r="D146" s="75"/>
      <c r="E146" s="71"/>
      <c r="F146" s="73"/>
    </row>
    <row r="147" spans="1:6" ht="18.75" x14ac:dyDescent="0.3">
      <c r="A147" s="42"/>
      <c r="B147" s="8"/>
      <c r="C147" s="672"/>
      <c r="D147" s="75"/>
      <c r="E147" s="71"/>
      <c r="F147" s="73"/>
    </row>
    <row r="148" spans="1:6" ht="18.75" x14ac:dyDescent="0.3">
      <c r="A148" s="42"/>
      <c r="B148" s="8"/>
      <c r="C148" s="672"/>
      <c r="D148" s="75"/>
      <c r="E148" s="71"/>
      <c r="F148" s="73"/>
    </row>
    <row r="149" spans="1:6" ht="18.75" x14ac:dyDescent="0.3">
      <c r="A149" s="42"/>
      <c r="B149" s="8"/>
      <c r="C149" s="672"/>
      <c r="D149" s="75"/>
      <c r="E149" s="71"/>
      <c r="F149" s="73"/>
    </row>
    <row r="150" spans="1:6" ht="18.75" x14ac:dyDescent="0.3">
      <c r="A150" s="42"/>
      <c r="B150" s="8"/>
      <c r="C150" s="672"/>
      <c r="D150" s="75"/>
      <c r="E150" s="71"/>
      <c r="F150" s="73"/>
    </row>
  </sheetData>
  <sortState ref="B51:F53">
    <sortCondition ref="B51:B53"/>
  </sortState>
  <mergeCells count="27">
    <mergeCell ref="J5:U5"/>
    <mergeCell ref="A2:G2"/>
    <mergeCell ref="B4:G4"/>
    <mergeCell ref="A1:G1"/>
    <mergeCell ref="C141:F141"/>
    <mergeCell ref="C142:F142"/>
    <mergeCell ref="C143:F143"/>
    <mergeCell ref="C138:F138"/>
    <mergeCell ref="C139:E139"/>
    <mergeCell ref="C131:E131"/>
    <mergeCell ref="C132:E132"/>
    <mergeCell ref="C133:E133"/>
    <mergeCell ref="C134:E134"/>
    <mergeCell ref="C140:F140"/>
    <mergeCell ref="C135:E135"/>
    <mergeCell ref="C136:E136"/>
    <mergeCell ref="C137:E137"/>
    <mergeCell ref="C126:E126"/>
    <mergeCell ref="C127:E127"/>
    <mergeCell ref="C128:E128"/>
    <mergeCell ref="C129:E129"/>
    <mergeCell ref="C130:E130"/>
    <mergeCell ref="B121:E121"/>
    <mergeCell ref="C122:E122"/>
    <mergeCell ref="C123:E123"/>
    <mergeCell ref="C124:E124"/>
    <mergeCell ref="C125:E125"/>
  </mergeCells>
  <pageMargins left="0.7" right="0.7" top="0.28000000000000003" bottom="0.3" header="0.3" footer="0.3"/>
  <pageSetup scale="75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160"/>
  <sheetViews>
    <sheetView view="pageBreakPreview" zoomScale="60" zoomScaleNormal="70" workbookViewId="0">
      <selection activeCell="F100" sqref="F100"/>
    </sheetView>
  </sheetViews>
  <sheetFormatPr defaultColWidth="20" defaultRowHeight="21" x14ac:dyDescent="0.35"/>
  <cols>
    <col min="1" max="1" width="13.140625" style="42" customWidth="1"/>
    <col min="2" max="2" width="90.140625" style="8" customWidth="1"/>
    <col min="3" max="3" width="12.5703125" style="182" bestFit="1" customWidth="1"/>
    <col min="4" max="4" width="13.5703125" style="75" customWidth="1"/>
    <col min="5" max="5" width="20.140625" style="71" bestFit="1" customWidth="1"/>
    <col min="6" max="6" width="20" style="73"/>
    <col min="7" max="7" width="31.28515625" style="80" customWidth="1"/>
    <col min="8" max="16384" width="20" style="8"/>
  </cols>
  <sheetData>
    <row r="1" spans="1:7" ht="28.5" x14ac:dyDescent="0.45">
      <c r="A1" s="860" t="s">
        <v>954</v>
      </c>
      <c r="B1" s="860"/>
      <c r="C1" s="860"/>
      <c r="D1" s="860"/>
      <c r="E1" s="860"/>
      <c r="F1" s="860"/>
      <c r="G1" s="860"/>
    </row>
    <row r="2" spans="1:7" x14ac:dyDescent="0.35">
      <c r="A2" s="35"/>
      <c r="B2" s="188"/>
      <c r="C2" s="181"/>
      <c r="D2" s="189"/>
      <c r="E2" s="190"/>
      <c r="F2" s="191"/>
      <c r="G2" s="76"/>
    </row>
    <row r="3" spans="1:7" s="24" customFormat="1" ht="64.5" customHeight="1" x14ac:dyDescent="0.25">
      <c r="A3" s="21" t="s">
        <v>658</v>
      </c>
      <c r="B3" s="21" t="s">
        <v>660</v>
      </c>
      <c r="C3" s="65" t="s">
        <v>500</v>
      </c>
      <c r="D3" s="74" t="s">
        <v>920</v>
      </c>
      <c r="E3" s="64" t="s">
        <v>661</v>
      </c>
      <c r="F3" s="72" t="s">
        <v>550</v>
      </c>
      <c r="G3" s="78" t="s">
        <v>662</v>
      </c>
    </row>
    <row r="4" spans="1:7" s="42" customFormat="1" ht="23.25" x14ac:dyDescent="0.35">
      <c r="A4" s="35">
        <v>1</v>
      </c>
      <c r="B4" s="77" t="s">
        <v>957</v>
      </c>
      <c r="C4" s="174"/>
      <c r="D4" s="35"/>
      <c r="E4" s="38"/>
      <c r="F4" s="38"/>
      <c r="G4" s="38"/>
    </row>
    <row r="5" spans="1:7" s="42" customFormat="1" ht="18.75" x14ac:dyDescent="0.3">
      <c r="A5" s="35"/>
      <c r="B5" s="35" t="s">
        <v>940</v>
      </c>
      <c r="C5" s="174">
        <v>30</v>
      </c>
      <c r="D5" s="35">
        <v>13</v>
      </c>
      <c r="E5" s="38">
        <v>4000</v>
      </c>
      <c r="F5" s="38">
        <f>D5*E5</f>
        <v>52000</v>
      </c>
      <c r="G5" s="38"/>
    </row>
    <row r="6" spans="1:7" s="42" customFormat="1" ht="23.25" x14ac:dyDescent="0.35">
      <c r="A6" s="35"/>
      <c r="B6" s="35" t="s">
        <v>941</v>
      </c>
      <c r="C6" s="174">
        <v>28</v>
      </c>
      <c r="D6" s="35">
        <v>150</v>
      </c>
      <c r="E6" s="38">
        <v>250</v>
      </c>
      <c r="F6" s="38">
        <f>D6*E6</f>
        <v>37500</v>
      </c>
      <c r="G6" s="79"/>
    </row>
    <row r="7" spans="1:7" s="42" customFormat="1" ht="18.75" x14ac:dyDescent="0.3">
      <c r="A7" s="35"/>
      <c r="B7" s="35" t="s">
        <v>942</v>
      </c>
      <c r="C7" s="174">
        <v>100</v>
      </c>
      <c r="D7" s="35">
        <v>10</v>
      </c>
      <c r="E7" s="38">
        <v>11000</v>
      </c>
      <c r="F7" s="38">
        <f>D7*E7</f>
        <v>110000</v>
      </c>
      <c r="G7" s="38"/>
    </row>
    <row r="8" spans="1:7" s="42" customFormat="1" ht="18.75" x14ac:dyDescent="0.3">
      <c r="A8" s="35"/>
      <c r="B8" s="35" t="s">
        <v>943</v>
      </c>
      <c r="C8" s="174">
        <v>100</v>
      </c>
      <c r="D8" s="35">
        <v>5</v>
      </c>
      <c r="E8" s="38">
        <v>14000</v>
      </c>
      <c r="F8" s="38">
        <f>D8*E8</f>
        <v>70000</v>
      </c>
      <c r="G8" s="38"/>
    </row>
    <row r="9" spans="1:7" s="42" customFormat="1" ht="23.25" x14ac:dyDescent="0.35">
      <c r="A9" s="35"/>
      <c r="B9" s="35" t="s">
        <v>944</v>
      </c>
      <c r="C9" s="174">
        <v>100</v>
      </c>
      <c r="D9" s="35">
        <v>10</v>
      </c>
      <c r="E9" s="38">
        <v>3000</v>
      </c>
      <c r="F9" s="38">
        <f>D9*E9</f>
        <v>30000</v>
      </c>
      <c r="G9" s="186">
        <f>SUM(F5:F9)</f>
        <v>299500</v>
      </c>
    </row>
    <row r="10" spans="1:7" s="42" customFormat="1" ht="18.75" x14ac:dyDescent="0.3">
      <c r="A10" s="35"/>
      <c r="B10" s="35"/>
      <c r="C10" s="174"/>
      <c r="D10" s="35"/>
      <c r="E10" s="38"/>
      <c r="F10" s="38"/>
      <c r="G10" s="35"/>
    </row>
    <row r="11" spans="1:7" s="42" customFormat="1" ht="18.75" x14ac:dyDescent="0.3">
      <c r="A11" s="35"/>
      <c r="B11" s="35"/>
      <c r="C11" s="174"/>
      <c r="D11" s="35"/>
      <c r="E11" s="38"/>
      <c r="F11" s="38"/>
      <c r="G11" s="35"/>
    </row>
    <row r="12" spans="1:7" s="42" customFormat="1" ht="23.25" x14ac:dyDescent="0.35">
      <c r="A12" s="35">
        <v>2</v>
      </c>
      <c r="B12" s="77" t="s">
        <v>884</v>
      </c>
      <c r="C12" s="174"/>
      <c r="D12" s="35"/>
      <c r="E12" s="38"/>
      <c r="F12" s="38"/>
      <c r="G12" s="38"/>
    </row>
    <row r="13" spans="1:7" s="42" customFormat="1" ht="18.75" x14ac:dyDescent="0.3">
      <c r="A13" s="35"/>
      <c r="B13" s="35" t="s">
        <v>945</v>
      </c>
      <c r="C13" s="174">
        <v>20</v>
      </c>
      <c r="D13" s="35">
        <v>30</v>
      </c>
      <c r="E13" s="38">
        <v>849.6</v>
      </c>
      <c r="F13" s="38">
        <f>D13*E13</f>
        <v>25488</v>
      </c>
      <c r="G13" s="38"/>
    </row>
    <row r="14" spans="1:7" s="42" customFormat="1" ht="18.75" x14ac:dyDescent="0.3">
      <c r="A14" s="35"/>
      <c r="B14" s="35" t="s">
        <v>946</v>
      </c>
      <c r="C14" s="174" t="s">
        <v>144</v>
      </c>
      <c r="D14" s="35">
        <v>30</v>
      </c>
      <c r="E14" s="38">
        <v>1133</v>
      </c>
      <c r="F14" s="38">
        <f>D14*E14</f>
        <v>33990</v>
      </c>
      <c r="G14" s="38"/>
    </row>
    <row r="15" spans="1:7" s="42" customFormat="1" ht="18.75" x14ac:dyDescent="0.3">
      <c r="A15" s="35"/>
      <c r="B15" s="35" t="s">
        <v>1003</v>
      </c>
      <c r="C15" s="174">
        <v>20</v>
      </c>
      <c r="D15" s="35">
        <v>5</v>
      </c>
      <c r="E15" s="38">
        <v>2852</v>
      </c>
      <c r="F15" s="38">
        <f>D15*E15</f>
        <v>14260</v>
      </c>
      <c r="G15" s="38"/>
    </row>
    <row r="16" spans="1:7" s="42" customFormat="1" ht="23.25" x14ac:dyDescent="0.35">
      <c r="A16" s="35"/>
      <c r="B16" s="35" t="s">
        <v>947</v>
      </c>
      <c r="C16" s="174">
        <v>30</v>
      </c>
      <c r="D16" s="35">
        <v>5</v>
      </c>
      <c r="E16" s="38">
        <v>4023</v>
      </c>
      <c r="F16" s="38">
        <f>D16*E16</f>
        <v>20115</v>
      </c>
      <c r="G16" s="186">
        <f>SUM(F13:F16)</f>
        <v>93853</v>
      </c>
    </row>
    <row r="17" spans="1:7" s="42" customFormat="1" ht="18.75" x14ac:dyDescent="0.3">
      <c r="A17" s="35"/>
      <c r="B17" s="35"/>
      <c r="C17" s="174"/>
      <c r="D17" s="35"/>
      <c r="E17" s="38"/>
      <c r="F17" s="38"/>
      <c r="G17" s="35"/>
    </row>
    <row r="18" spans="1:7" s="42" customFormat="1" ht="18.75" x14ac:dyDescent="0.3">
      <c r="A18" s="35"/>
      <c r="B18" s="35"/>
      <c r="C18" s="174"/>
      <c r="D18" s="35"/>
      <c r="E18" s="38"/>
      <c r="F18" s="38"/>
      <c r="G18" s="35"/>
    </row>
    <row r="19" spans="1:7" s="42" customFormat="1" ht="23.25" x14ac:dyDescent="0.35">
      <c r="A19" s="35">
        <v>3</v>
      </c>
      <c r="B19" s="77" t="s">
        <v>948</v>
      </c>
      <c r="C19" s="184"/>
      <c r="D19" s="77"/>
      <c r="E19" s="79"/>
      <c r="F19" s="79"/>
      <c r="G19" s="79"/>
    </row>
    <row r="20" spans="1:7" s="42" customFormat="1" ht="18.75" x14ac:dyDescent="0.3">
      <c r="A20" s="35"/>
      <c r="B20" s="35" t="s">
        <v>949</v>
      </c>
      <c r="C20" s="174">
        <v>100</v>
      </c>
      <c r="D20" s="35">
        <v>1</v>
      </c>
      <c r="E20" s="38">
        <v>4900</v>
      </c>
      <c r="F20" s="38">
        <f>D20*E20</f>
        <v>4900</v>
      </c>
      <c r="G20" s="38"/>
    </row>
    <row r="21" spans="1:7" s="42" customFormat="1" ht="18.75" x14ac:dyDescent="0.3">
      <c r="A21" s="35"/>
      <c r="B21" s="35" t="s">
        <v>950</v>
      </c>
      <c r="C21" s="174">
        <v>20</v>
      </c>
      <c r="D21" s="35">
        <v>10</v>
      </c>
      <c r="E21" s="38">
        <v>2500</v>
      </c>
      <c r="F21" s="38">
        <f>D21*E21</f>
        <v>25000</v>
      </c>
      <c r="G21" s="38"/>
    </row>
    <row r="22" spans="1:7" s="42" customFormat="1" ht="18.75" x14ac:dyDescent="0.3">
      <c r="A22" s="35"/>
      <c r="B22" s="35" t="s">
        <v>952</v>
      </c>
      <c r="C22" s="174">
        <v>1000</v>
      </c>
      <c r="D22" s="35">
        <v>1</v>
      </c>
      <c r="E22" s="38">
        <v>6500</v>
      </c>
      <c r="F22" s="38">
        <f>D22*E22</f>
        <v>6500</v>
      </c>
      <c r="G22" s="38"/>
    </row>
    <row r="23" spans="1:7" s="42" customFormat="1" ht="23.25" x14ac:dyDescent="0.35">
      <c r="A23" s="35"/>
      <c r="B23" s="35" t="s">
        <v>953</v>
      </c>
      <c r="C23" s="174">
        <v>28</v>
      </c>
      <c r="D23" s="35">
        <v>3</v>
      </c>
      <c r="E23" s="38">
        <v>2100</v>
      </c>
      <c r="F23" s="38">
        <f>D23*E23</f>
        <v>6300</v>
      </c>
      <c r="G23" s="186">
        <f>SUM(F20:F23)</f>
        <v>42700</v>
      </c>
    </row>
    <row r="24" spans="1:7" s="42" customFormat="1" ht="18.75" x14ac:dyDescent="0.3">
      <c r="A24" s="35"/>
      <c r="B24" s="35"/>
      <c r="C24" s="174"/>
      <c r="D24" s="35"/>
      <c r="E24" s="38"/>
      <c r="F24" s="38"/>
      <c r="G24" s="35"/>
    </row>
    <row r="25" spans="1:7" s="42" customFormat="1" ht="18.75" x14ac:dyDescent="0.3">
      <c r="A25" s="35"/>
      <c r="B25" s="35"/>
      <c r="C25" s="174"/>
      <c r="D25" s="35"/>
      <c r="E25" s="38"/>
      <c r="F25" s="38"/>
      <c r="G25" s="35"/>
    </row>
    <row r="26" spans="1:7" s="42" customFormat="1" ht="23.25" x14ac:dyDescent="0.35">
      <c r="A26" s="35">
        <v>4</v>
      </c>
      <c r="B26" s="77" t="s">
        <v>955</v>
      </c>
      <c r="C26" s="184"/>
      <c r="D26" s="77"/>
      <c r="E26" s="79"/>
      <c r="F26" s="79"/>
      <c r="G26" s="79"/>
    </row>
    <row r="27" spans="1:7" s="42" customFormat="1" ht="23.25" x14ac:dyDescent="0.35">
      <c r="A27" s="35"/>
      <c r="B27" s="35" t="s">
        <v>956</v>
      </c>
      <c r="C27" s="174">
        <v>100</v>
      </c>
      <c r="D27" s="35">
        <v>50</v>
      </c>
      <c r="E27" s="38">
        <v>7355</v>
      </c>
      <c r="F27" s="38">
        <f>D27*E27</f>
        <v>367750</v>
      </c>
      <c r="G27" s="186">
        <f>SUM(F27:F27)</f>
        <v>367750</v>
      </c>
    </row>
    <row r="28" spans="1:7" s="42" customFormat="1" ht="23.25" x14ac:dyDescent="0.35">
      <c r="A28" s="35"/>
      <c r="B28" s="35"/>
      <c r="C28" s="174"/>
      <c r="D28" s="35"/>
      <c r="E28" s="38"/>
      <c r="F28" s="38"/>
      <c r="G28" s="186"/>
    </row>
    <row r="29" spans="1:7" s="42" customFormat="1" ht="23.25" x14ac:dyDescent="0.35">
      <c r="A29" s="35"/>
      <c r="B29" s="35"/>
      <c r="C29" s="174"/>
      <c r="D29" s="35"/>
      <c r="E29" s="38"/>
      <c r="F29" s="38"/>
      <c r="G29" s="186"/>
    </row>
    <row r="30" spans="1:7" s="42" customFormat="1" ht="23.25" x14ac:dyDescent="0.35">
      <c r="A30" s="35"/>
      <c r="B30" s="35"/>
      <c r="C30" s="174"/>
      <c r="D30" s="35"/>
      <c r="E30" s="38"/>
      <c r="F30" s="38"/>
      <c r="G30" s="186"/>
    </row>
    <row r="31" spans="1:7" s="42" customFormat="1" ht="18.75" x14ac:dyDescent="0.3">
      <c r="A31" s="35"/>
      <c r="B31" s="35"/>
      <c r="C31" s="174"/>
      <c r="D31" s="35"/>
      <c r="E31" s="38"/>
      <c r="F31" s="38"/>
      <c r="G31" s="35"/>
    </row>
    <row r="32" spans="1:7" s="42" customFormat="1" ht="23.25" x14ac:dyDescent="0.35">
      <c r="A32" s="77">
        <v>5</v>
      </c>
      <c r="B32" s="77" t="s">
        <v>958</v>
      </c>
      <c r="C32" s="184"/>
      <c r="D32" s="77"/>
      <c r="E32" s="79"/>
      <c r="F32" s="79"/>
      <c r="G32" s="79"/>
    </row>
    <row r="33" spans="1:7" s="42" customFormat="1" ht="18.75" x14ac:dyDescent="0.3">
      <c r="A33" s="35"/>
      <c r="B33" s="35" t="s">
        <v>959</v>
      </c>
      <c r="C33" s="174">
        <v>30</v>
      </c>
      <c r="D33" s="35">
        <v>10</v>
      </c>
      <c r="E33" s="38">
        <v>880</v>
      </c>
      <c r="F33" s="38">
        <f>D33*E33</f>
        <v>8800</v>
      </c>
      <c r="G33" s="38"/>
    </row>
    <row r="34" spans="1:7" s="42" customFormat="1" ht="23.25" x14ac:dyDescent="0.35">
      <c r="A34" s="35"/>
      <c r="B34" s="35" t="s">
        <v>960</v>
      </c>
      <c r="C34" s="174">
        <v>10</v>
      </c>
      <c r="D34" s="35">
        <v>50</v>
      </c>
      <c r="E34" s="38">
        <v>765</v>
      </c>
      <c r="F34" s="38">
        <f>D34*E34</f>
        <v>38250</v>
      </c>
      <c r="G34" s="79"/>
    </row>
    <row r="35" spans="1:7" s="42" customFormat="1" ht="23.25" x14ac:dyDescent="0.35">
      <c r="A35" s="35"/>
      <c r="B35" s="35" t="s">
        <v>1004</v>
      </c>
      <c r="C35" s="174">
        <v>500</v>
      </c>
      <c r="D35" s="35">
        <v>12</v>
      </c>
      <c r="E35" s="38">
        <v>9579</v>
      </c>
      <c r="F35" s="38">
        <f>D35*E35</f>
        <v>114948</v>
      </c>
      <c r="G35" s="186">
        <f>SUM(F33:F35)</f>
        <v>161998</v>
      </c>
    </row>
    <row r="36" spans="1:7" s="42" customFormat="1" ht="18.75" x14ac:dyDescent="0.3">
      <c r="A36" s="35"/>
      <c r="B36" s="35"/>
      <c r="C36" s="174"/>
      <c r="D36" s="35"/>
      <c r="E36" s="38"/>
      <c r="F36" s="38"/>
      <c r="G36" s="35"/>
    </row>
    <row r="37" spans="1:7" s="42" customFormat="1" ht="18.75" x14ac:dyDescent="0.3">
      <c r="A37" s="35"/>
      <c r="B37" s="35"/>
      <c r="C37" s="174"/>
      <c r="D37" s="35"/>
      <c r="E37" s="38"/>
      <c r="F37" s="38"/>
      <c r="G37" s="35"/>
    </row>
    <row r="38" spans="1:7" s="42" customFormat="1" ht="23.25" x14ac:dyDescent="0.35">
      <c r="A38" s="77">
        <v>6</v>
      </c>
      <c r="B38" s="77" t="s">
        <v>961</v>
      </c>
      <c r="C38" s="184"/>
      <c r="D38" s="77"/>
      <c r="E38" s="79"/>
      <c r="F38" s="79"/>
      <c r="G38" s="79"/>
    </row>
    <row r="39" spans="1:7" s="42" customFormat="1" ht="23.25" x14ac:dyDescent="0.35">
      <c r="A39" s="35"/>
      <c r="B39" s="35" t="s">
        <v>962</v>
      </c>
      <c r="C39" s="174" t="s">
        <v>57</v>
      </c>
      <c r="D39" s="35">
        <v>75</v>
      </c>
      <c r="E39" s="38">
        <v>1030</v>
      </c>
      <c r="F39" s="38">
        <f>D39*E39</f>
        <v>77250</v>
      </c>
      <c r="G39" s="186">
        <f>SUM(F39:F39)</f>
        <v>77250</v>
      </c>
    </row>
    <row r="40" spans="1:7" s="42" customFormat="1" ht="18.75" x14ac:dyDescent="0.3">
      <c r="A40" s="35"/>
      <c r="B40" s="35"/>
      <c r="C40" s="174"/>
      <c r="D40" s="35"/>
      <c r="E40" s="38"/>
      <c r="F40" s="38"/>
      <c r="G40" s="35"/>
    </row>
    <row r="41" spans="1:7" s="42" customFormat="1" ht="18.75" x14ac:dyDescent="0.3">
      <c r="A41" s="35"/>
      <c r="B41" s="35"/>
      <c r="C41" s="174"/>
      <c r="D41" s="35"/>
      <c r="E41" s="38"/>
      <c r="F41" s="38"/>
      <c r="G41" s="35"/>
    </row>
    <row r="42" spans="1:7" s="42" customFormat="1" ht="23.25" x14ac:dyDescent="0.35">
      <c r="A42" s="35">
        <v>7</v>
      </c>
      <c r="B42" s="77" t="s">
        <v>963</v>
      </c>
      <c r="C42" s="174"/>
      <c r="D42" s="35"/>
      <c r="E42" s="38"/>
      <c r="F42" s="38"/>
      <c r="G42" s="38"/>
    </row>
    <row r="43" spans="1:7" s="42" customFormat="1" ht="18.75" x14ac:dyDescent="0.3">
      <c r="A43" s="35"/>
      <c r="B43" s="35" t="s">
        <v>366</v>
      </c>
      <c r="C43" s="174" t="s">
        <v>966</v>
      </c>
      <c r="D43" s="35">
        <v>30</v>
      </c>
      <c r="E43" s="38">
        <v>5250</v>
      </c>
      <c r="F43" s="38">
        <f>D43*E43</f>
        <v>157500</v>
      </c>
      <c r="G43" s="38"/>
    </row>
    <row r="44" spans="1:7" s="42" customFormat="1" ht="18.75" x14ac:dyDescent="0.3">
      <c r="A44" s="35"/>
      <c r="B44" s="35" t="s">
        <v>367</v>
      </c>
      <c r="C44" s="174" t="s">
        <v>966</v>
      </c>
      <c r="D44" s="35">
        <v>10</v>
      </c>
      <c r="E44" s="38">
        <v>4600</v>
      </c>
      <c r="F44" s="38">
        <f>D44*E44</f>
        <v>46000</v>
      </c>
      <c r="G44" s="38"/>
    </row>
    <row r="45" spans="1:7" s="42" customFormat="1" ht="18.75" x14ac:dyDescent="0.3">
      <c r="A45" s="35"/>
      <c r="B45" s="35" t="s">
        <v>964</v>
      </c>
      <c r="C45" s="174">
        <v>12</v>
      </c>
      <c r="D45" s="35">
        <v>13</v>
      </c>
      <c r="E45" s="38">
        <v>8500</v>
      </c>
      <c r="F45" s="38">
        <f>D45*E45</f>
        <v>110500</v>
      </c>
      <c r="G45" s="38"/>
    </row>
    <row r="46" spans="1:7" s="42" customFormat="1" ht="23.25" x14ac:dyDescent="0.35">
      <c r="A46" s="35"/>
      <c r="B46" s="35" t="s">
        <v>965</v>
      </c>
      <c r="C46" s="174" t="s">
        <v>966</v>
      </c>
      <c r="D46" s="35">
        <v>25</v>
      </c>
      <c r="E46" s="38">
        <v>1670</v>
      </c>
      <c r="F46" s="38">
        <f>D46*E46</f>
        <v>41750</v>
      </c>
      <c r="G46" s="186">
        <f>SUM(F43:F46)</f>
        <v>355750</v>
      </c>
    </row>
    <row r="47" spans="1:7" s="42" customFormat="1" ht="23.25" x14ac:dyDescent="0.35">
      <c r="A47" s="35"/>
      <c r="B47" s="35"/>
      <c r="C47" s="174"/>
      <c r="D47" s="35"/>
      <c r="E47" s="38"/>
      <c r="F47" s="38"/>
      <c r="G47" s="186"/>
    </row>
    <row r="48" spans="1:7" s="42" customFormat="1" ht="18.75" x14ac:dyDescent="0.3">
      <c r="A48" s="35"/>
      <c r="B48" s="35"/>
      <c r="C48" s="174"/>
      <c r="D48" s="35"/>
      <c r="E48" s="38"/>
      <c r="F48" s="38"/>
      <c r="G48" s="35"/>
    </row>
    <row r="49" spans="1:7" s="42" customFormat="1" ht="23.25" x14ac:dyDescent="0.35">
      <c r="A49" s="35">
        <v>8</v>
      </c>
      <c r="B49" s="77" t="s">
        <v>967</v>
      </c>
      <c r="C49" s="184"/>
      <c r="D49" s="77"/>
      <c r="E49" s="79"/>
      <c r="F49" s="79"/>
      <c r="G49" s="79"/>
    </row>
    <row r="50" spans="1:7" s="42" customFormat="1" ht="18.75" x14ac:dyDescent="0.3">
      <c r="A50" s="35"/>
      <c r="B50" s="35" t="s">
        <v>968</v>
      </c>
      <c r="C50" s="174" t="s">
        <v>144</v>
      </c>
      <c r="D50" s="35">
        <v>20</v>
      </c>
      <c r="E50" s="38">
        <v>850</v>
      </c>
      <c r="F50" s="38">
        <f>D50*E50</f>
        <v>17000</v>
      </c>
      <c r="G50" s="38"/>
    </row>
    <row r="51" spans="1:7" s="42" customFormat="1" ht="23.25" x14ac:dyDescent="0.35">
      <c r="A51" s="35"/>
      <c r="B51" s="35" t="s">
        <v>969</v>
      </c>
      <c r="C51" s="174" t="s">
        <v>144</v>
      </c>
      <c r="D51" s="35">
        <v>10</v>
      </c>
      <c r="E51" s="38">
        <v>850</v>
      </c>
      <c r="F51" s="38">
        <f>D51*E51</f>
        <v>8500</v>
      </c>
      <c r="G51" s="186">
        <f>SUM(F50:F51)</f>
        <v>25500</v>
      </c>
    </row>
    <row r="52" spans="1:7" s="42" customFormat="1" ht="18.75" x14ac:dyDescent="0.3">
      <c r="A52" s="35"/>
      <c r="B52" s="35"/>
      <c r="C52" s="174"/>
      <c r="D52" s="35"/>
      <c r="E52" s="38"/>
      <c r="F52" s="38"/>
      <c r="G52" s="35"/>
    </row>
    <row r="53" spans="1:7" s="42" customFormat="1" ht="18.75" x14ac:dyDescent="0.3">
      <c r="A53" s="35"/>
      <c r="B53" s="35"/>
      <c r="C53" s="174"/>
      <c r="D53" s="35"/>
      <c r="E53" s="38"/>
      <c r="F53" s="38"/>
      <c r="G53" s="35"/>
    </row>
    <row r="54" spans="1:7" s="42" customFormat="1" ht="23.25" x14ac:dyDescent="0.35">
      <c r="A54" s="77">
        <v>9</v>
      </c>
      <c r="B54" s="77" t="s">
        <v>970</v>
      </c>
      <c r="C54" s="184"/>
      <c r="D54" s="77"/>
      <c r="E54" s="79"/>
      <c r="F54" s="79"/>
      <c r="G54" s="79"/>
    </row>
    <row r="55" spans="1:7" s="42" customFormat="1" ht="18.75" x14ac:dyDescent="0.3">
      <c r="A55" s="35"/>
      <c r="B55" s="35" t="s">
        <v>971</v>
      </c>
      <c r="C55" s="174">
        <v>10</v>
      </c>
      <c r="D55" s="35">
        <v>40</v>
      </c>
      <c r="E55" s="38">
        <v>7500</v>
      </c>
      <c r="F55" s="38">
        <f>D55*E55</f>
        <v>300000</v>
      </c>
      <c r="G55" s="35"/>
    </row>
    <row r="56" spans="1:7" s="42" customFormat="1" ht="18.75" x14ac:dyDescent="0.3">
      <c r="A56" s="35"/>
      <c r="B56" s="35" t="s">
        <v>972</v>
      </c>
      <c r="C56" s="174" t="s">
        <v>455</v>
      </c>
      <c r="D56" s="35">
        <v>25</v>
      </c>
      <c r="E56" s="38">
        <v>800</v>
      </c>
      <c r="F56" s="38">
        <f>D56*E56</f>
        <v>20000</v>
      </c>
      <c r="G56" s="35"/>
    </row>
    <row r="57" spans="1:7" s="42" customFormat="1" ht="18.75" x14ac:dyDescent="0.3">
      <c r="A57" s="35"/>
      <c r="B57" s="35" t="s">
        <v>973</v>
      </c>
      <c r="C57" s="174">
        <v>100</v>
      </c>
      <c r="D57" s="35">
        <v>5</v>
      </c>
      <c r="E57" s="38">
        <v>5000</v>
      </c>
      <c r="F57" s="38">
        <f>D57*E57</f>
        <v>25000</v>
      </c>
      <c r="G57" s="35"/>
    </row>
    <row r="58" spans="1:7" s="42" customFormat="1" ht="23.25" x14ac:dyDescent="0.35">
      <c r="A58" s="35"/>
      <c r="B58" s="35" t="s">
        <v>974</v>
      </c>
      <c r="C58" s="174">
        <v>100</v>
      </c>
      <c r="D58" s="35">
        <v>5</v>
      </c>
      <c r="E58" s="38">
        <v>3500</v>
      </c>
      <c r="F58" s="38">
        <f>D58*E58</f>
        <v>17500</v>
      </c>
      <c r="G58" s="186">
        <f>SUM(F55:F58)</f>
        <v>362500</v>
      </c>
    </row>
    <row r="59" spans="1:7" s="42" customFormat="1" ht="18.75" x14ac:dyDescent="0.3">
      <c r="A59" s="35"/>
      <c r="B59" s="35"/>
      <c r="C59" s="174"/>
      <c r="D59" s="35"/>
      <c r="E59" s="38"/>
      <c r="F59" s="38"/>
      <c r="G59" s="35"/>
    </row>
    <row r="60" spans="1:7" s="42" customFormat="1" ht="23.25" x14ac:dyDescent="0.35">
      <c r="A60" s="35">
        <v>10</v>
      </c>
      <c r="B60" s="77" t="s">
        <v>975</v>
      </c>
      <c r="C60" s="174"/>
      <c r="D60" s="35"/>
      <c r="E60" s="38"/>
      <c r="F60" s="38"/>
      <c r="G60" s="38"/>
    </row>
    <row r="61" spans="1:7" s="42" customFormat="1" ht="23.25" x14ac:dyDescent="0.35">
      <c r="A61" s="35"/>
      <c r="B61" s="35" t="s">
        <v>976</v>
      </c>
      <c r="C61" s="174">
        <v>100</v>
      </c>
      <c r="D61" s="35">
        <v>38</v>
      </c>
      <c r="E61" s="38">
        <v>1947</v>
      </c>
      <c r="F61" s="38">
        <f>D61*E61</f>
        <v>73986</v>
      </c>
      <c r="G61" s="79"/>
    </row>
    <row r="62" spans="1:7" s="42" customFormat="1" ht="18.75" x14ac:dyDescent="0.3">
      <c r="A62" s="35"/>
      <c r="B62" s="35" t="s">
        <v>977</v>
      </c>
      <c r="C62" s="174">
        <v>25</v>
      </c>
      <c r="D62" s="35">
        <v>15</v>
      </c>
      <c r="E62" s="38">
        <v>2315</v>
      </c>
      <c r="F62" s="38">
        <f>D62*E62</f>
        <v>34725</v>
      </c>
      <c r="G62" s="38"/>
    </row>
    <row r="63" spans="1:7" s="42" customFormat="1" ht="18.75" x14ac:dyDescent="0.3">
      <c r="A63" s="35"/>
      <c r="B63" s="35" t="s">
        <v>978</v>
      </c>
      <c r="C63" s="174">
        <v>25</v>
      </c>
      <c r="D63" s="35">
        <v>25</v>
      </c>
      <c r="E63" s="38">
        <v>4157</v>
      </c>
      <c r="F63" s="38">
        <f>D63*E63</f>
        <v>103925</v>
      </c>
      <c r="G63" s="38"/>
    </row>
    <row r="64" spans="1:7" s="42" customFormat="1" ht="18.75" x14ac:dyDescent="0.3">
      <c r="A64" s="35"/>
      <c r="B64" s="35" t="s">
        <v>979</v>
      </c>
      <c r="C64" s="174" t="s">
        <v>656</v>
      </c>
      <c r="D64" s="35">
        <v>5</v>
      </c>
      <c r="E64" s="38">
        <v>799</v>
      </c>
      <c r="F64" s="38">
        <f>D64*E64</f>
        <v>3995</v>
      </c>
      <c r="G64" s="38"/>
    </row>
    <row r="65" spans="1:7" s="42" customFormat="1" ht="23.25" x14ac:dyDescent="0.35">
      <c r="A65" s="35"/>
      <c r="B65" s="35" t="s">
        <v>980</v>
      </c>
      <c r="C65" s="174">
        <v>30</v>
      </c>
      <c r="D65" s="35">
        <v>20</v>
      </c>
      <c r="E65" s="38">
        <v>5066</v>
      </c>
      <c r="F65" s="38">
        <f>D65*E65</f>
        <v>101320</v>
      </c>
      <c r="G65" s="186">
        <f>SUM(F61:F65)</f>
        <v>317951</v>
      </c>
    </row>
    <row r="66" spans="1:7" s="42" customFormat="1" ht="18.75" x14ac:dyDescent="0.3">
      <c r="A66" s="35"/>
      <c r="B66" s="35"/>
      <c r="C66" s="174"/>
      <c r="D66" s="35"/>
      <c r="E66" s="38"/>
      <c r="F66" s="38"/>
      <c r="G66" s="35"/>
    </row>
    <row r="67" spans="1:7" s="42" customFormat="1" ht="23.25" x14ac:dyDescent="0.35">
      <c r="A67" s="77">
        <v>11</v>
      </c>
      <c r="B67" s="77" t="s">
        <v>981</v>
      </c>
      <c r="C67" s="184"/>
      <c r="D67" s="77"/>
      <c r="E67" s="79"/>
      <c r="F67" s="79"/>
      <c r="G67" s="79"/>
    </row>
    <row r="68" spans="1:7" s="42" customFormat="1" ht="18.75" x14ac:dyDescent="0.3">
      <c r="A68" s="35"/>
      <c r="B68" s="35" t="s">
        <v>982</v>
      </c>
      <c r="C68" s="174">
        <v>30</v>
      </c>
      <c r="D68" s="35">
        <v>30</v>
      </c>
      <c r="E68" s="38">
        <v>2530</v>
      </c>
      <c r="F68" s="38">
        <f>D68*E68</f>
        <v>75900</v>
      </c>
      <c r="G68" s="35"/>
    </row>
    <row r="69" spans="1:7" s="42" customFormat="1" ht="18.75" x14ac:dyDescent="0.3">
      <c r="A69" s="35"/>
      <c r="B69" s="35" t="s">
        <v>983</v>
      </c>
      <c r="C69" s="174">
        <v>28</v>
      </c>
      <c r="D69" s="35">
        <v>15</v>
      </c>
      <c r="E69" s="38">
        <v>1955</v>
      </c>
      <c r="F69" s="38">
        <f>D69*E69</f>
        <v>29325</v>
      </c>
      <c r="G69" s="35"/>
    </row>
    <row r="70" spans="1:7" s="42" customFormat="1" ht="18.75" x14ac:dyDescent="0.3">
      <c r="A70" s="35"/>
      <c r="B70" s="35" t="s">
        <v>984</v>
      </c>
      <c r="C70" s="174">
        <v>30</v>
      </c>
      <c r="D70" s="35">
        <v>5</v>
      </c>
      <c r="E70" s="38">
        <v>3795</v>
      </c>
      <c r="F70" s="38">
        <f>D70*E70</f>
        <v>18975</v>
      </c>
      <c r="G70" s="38"/>
    </row>
    <row r="71" spans="1:7" s="42" customFormat="1" ht="18.75" x14ac:dyDescent="0.3">
      <c r="A71" s="35"/>
      <c r="B71" s="35" t="s">
        <v>985</v>
      </c>
      <c r="C71" s="174">
        <v>84</v>
      </c>
      <c r="D71" s="35">
        <v>5</v>
      </c>
      <c r="E71" s="38">
        <v>4600</v>
      </c>
      <c r="F71" s="38">
        <f>D71*E71</f>
        <v>23000</v>
      </c>
      <c r="G71" s="38"/>
    </row>
    <row r="72" spans="1:7" s="42" customFormat="1" ht="23.25" x14ac:dyDescent="0.35">
      <c r="A72" s="35"/>
      <c r="B72" s="35" t="s">
        <v>986</v>
      </c>
      <c r="C72" s="174">
        <v>100</v>
      </c>
      <c r="D72" s="35">
        <v>41</v>
      </c>
      <c r="E72" s="38">
        <v>2185</v>
      </c>
      <c r="F72" s="38">
        <f>D72*E72</f>
        <v>89585</v>
      </c>
      <c r="G72" s="186">
        <f>SUM(F68:F72)</f>
        <v>236785</v>
      </c>
    </row>
    <row r="73" spans="1:7" s="42" customFormat="1" ht="18.75" x14ac:dyDescent="0.3">
      <c r="A73" s="35"/>
      <c r="B73" s="35"/>
      <c r="C73" s="174"/>
      <c r="D73" s="35"/>
      <c r="E73" s="38"/>
      <c r="F73" s="38"/>
      <c r="G73" s="35"/>
    </row>
    <row r="74" spans="1:7" s="42" customFormat="1" ht="18.75" x14ac:dyDescent="0.3">
      <c r="A74" s="35"/>
      <c r="B74" s="35"/>
      <c r="C74" s="174"/>
      <c r="D74" s="35"/>
      <c r="E74" s="38"/>
      <c r="F74" s="38"/>
      <c r="G74" s="35"/>
    </row>
    <row r="75" spans="1:7" s="42" customFormat="1" ht="23.25" x14ac:dyDescent="0.35">
      <c r="A75" s="77">
        <v>12</v>
      </c>
      <c r="B75" s="77" t="s">
        <v>987</v>
      </c>
      <c r="C75" s="184"/>
      <c r="D75" s="77"/>
      <c r="E75" s="79"/>
      <c r="F75" s="79"/>
      <c r="G75" s="79"/>
    </row>
    <row r="76" spans="1:7" s="42" customFormat="1" ht="23.25" x14ac:dyDescent="0.35">
      <c r="A76" s="35"/>
      <c r="B76" s="35" t="s">
        <v>988</v>
      </c>
      <c r="C76" s="174">
        <v>30</v>
      </c>
      <c r="D76" s="35">
        <v>250</v>
      </c>
      <c r="E76" s="38">
        <v>2500</v>
      </c>
      <c r="F76" s="38">
        <f>D76*E76</f>
        <v>625000</v>
      </c>
      <c r="G76" s="186">
        <f>SUM(F76:F76)</f>
        <v>625000</v>
      </c>
    </row>
    <row r="77" spans="1:7" s="42" customFormat="1" ht="18.75" x14ac:dyDescent="0.3">
      <c r="A77" s="35"/>
      <c r="B77" s="35"/>
      <c r="C77" s="174"/>
      <c r="D77" s="35"/>
      <c r="E77" s="38"/>
      <c r="F77" s="38"/>
      <c r="G77" s="35"/>
    </row>
    <row r="78" spans="1:7" s="42" customFormat="1" ht="18.75" x14ac:dyDescent="0.3">
      <c r="A78" s="35"/>
      <c r="B78" s="35"/>
      <c r="C78" s="174"/>
      <c r="D78" s="35"/>
      <c r="E78" s="38"/>
      <c r="F78" s="38"/>
      <c r="G78" s="35"/>
    </row>
    <row r="79" spans="1:7" s="42" customFormat="1" ht="23.25" x14ac:dyDescent="0.35">
      <c r="A79" s="77">
        <v>13</v>
      </c>
      <c r="B79" s="77" t="s">
        <v>1005</v>
      </c>
      <c r="C79" s="184"/>
      <c r="D79" s="77"/>
      <c r="E79" s="79"/>
      <c r="F79" s="79"/>
      <c r="G79" s="79"/>
    </row>
    <row r="80" spans="1:7" s="42" customFormat="1" ht="23.25" x14ac:dyDescent="0.35">
      <c r="A80" s="35"/>
      <c r="B80" s="35" t="s">
        <v>951</v>
      </c>
      <c r="C80" s="174" t="s">
        <v>144</v>
      </c>
      <c r="D80" s="35">
        <v>5</v>
      </c>
      <c r="E80" s="38">
        <v>4525</v>
      </c>
      <c r="F80" s="38">
        <f>D80*E80</f>
        <v>22625</v>
      </c>
      <c r="G80" s="186">
        <f>SUM(F80:F80)</f>
        <v>22625</v>
      </c>
    </row>
    <row r="81" spans="1:7" s="42" customFormat="1" ht="18.75" x14ac:dyDescent="0.3">
      <c r="A81" s="35"/>
      <c r="B81" s="35"/>
      <c r="C81" s="174"/>
      <c r="D81" s="35"/>
      <c r="E81" s="38"/>
      <c r="F81" s="38"/>
      <c r="G81" s="35"/>
    </row>
    <row r="82" spans="1:7" s="42" customFormat="1" ht="18.75" x14ac:dyDescent="0.3">
      <c r="A82" s="35"/>
      <c r="B82" s="35"/>
      <c r="C82" s="174"/>
      <c r="D82" s="35"/>
      <c r="E82" s="38"/>
      <c r="F82" s="38"/>
      <c r="G82" s="35"/>
    </row>
    <row r="83" spans="1:7" s="42" customFormat="1" ht="23.25" x14ac:dyDescent="0.35">
      <c r="A83" s="77">
        <v>14</v>
      </c>
      <c r="B83" s="77" t="s">
        <v>936</v>
      </c>
      <c r="C83" s="184"/>
      <c r="D83" s="77"/>
      <c r="E83" s="79"/>
      <c r="F83" s="79"/>
      <c r="G83" s="79"/>
    </row>
    <row r="84" spans="1:7" s="42" customFormat="1" ht="18.75" x14ac:dyDescent="0.3">
      <c r="A84" s="35"/>
      <c r="B84" s="35" t="s">
        <v>989</v>
      </c>
      <c r="C84" s="174">
        <v>50</v>
      </c>
      <c r="D84" s="35">
        <v>11</v>
      </c>
      <c r="E84" s="38">
        <v>4900</v>
      </c>
      <c r="F84" s="38">
        <f t="shared" ref="F84:F93" si="0">D84*E84</f>
        <v>53900</v>
      </c>
      <c r="G84" s="38"/>
    </row>
    <row r="85" spans="1:7" s="42" customFormat="1" ht="18.75" x14ac:dyDescent="0.3">
      <c r="A85" s="35"/>
      <c r="B85" s="35" t="s">
        <v>990</v>
      </c>
      <c r="C85" s="174">
        <v>10</v>
      </c>
      <c r="D85" s="35">
        <v>5</v>
      </c>
      <c r="E85" s="38">
        <v>3240</v>
      </c>
      <c r="F85" s="38">
        <f t="shared" si="0"/>
        <v>16200</v>
      </c>
      <c r="G85" s="38"/>
    </row>
    <row r="86" spans="1:7" s="42" customFormat="1" ht="18.75" x14ac:dyDescent="0.3">
      <c r="A86" s="35"/>
      <c r="B86" s="35" t="s">
        <v>991</v>
      </c>
      <c r="C86" s="174">
        <v>100</v>
      </c>
      <c r="D86" s="35">
        <v>45</v>
      </c>
      <c r="E86" s="38">
        <v>850</v>
      </c>
      <c r="F86" s="38">
        <f>D86*E86</f>
        <v>38250</v>
      </c>
      <c r="G86" s="38"/>
    </row>
    <row r="87" spans="1:7" s="42" customFormat="1" ht="18.75" x14ac:dyDescent="0.3">
      <c r="A87" s="35"/>
      <c r="B87" s="35" t="s">
        <v>992</v>
      </c>
      <c r="C87" s="174">
        <v>10</v>
      </c>
      <c r="D87" s="35">
        <v>1</v>
      </c>
      <c r="E87" s="38">
        <v>3250</v>
      </c>
      <c r="F87" s="38">
        <f>D87*E87</f>
        <v>3250</v>
      </c>
      <c r="G87" s="38"/>
    </row>
    <row r="88" spans="1:7" s="42" customFormat="1" ht="18.75" x14ac:dyDescent="0.3">
      <c r="A88" s="35"/>
      <c r="B88" s="35" t="s">
        <v>472</v>
      </c>
      <c r="C88" s="174" t="s">
        <v>656</v>
      </c>
      <c r="D88" s="35">
        <v>20</v>
      </c>
      <c r="E88" s="38">
        <v>1350</v>
      </c>
      <c r="F88" s="38">
        <f t="shared" si="0"/>
        <v>27000</v>
      </c>
      <c r="G88" s="38"/>
    </row>
    <row r="89" spans="1:7" s="42" customFormat="1" ht="18.75" x14ac:dyDescent="0.3">
      <c r="A89" s="35"/>
      <c r="B89" s="35" t="s">
        <v>311</v>
      </c>
      <c r="C89" s="174" t="s">
        <v>144</v>
      </c>
      <c r="D89" s="35">
        <v>25</v>
      </c>
      <c r="E89" s="38">
        <v>990</v>
      </c>
      <c r="F89" s="38">
        <f t="shared" si="0"/>
        <v>24750</v>
      </c>
      <c r="G89" s="38"/>
    </row>
    <row r="90" spans="1:7" s="42" customFormat="1" ht="18.75" x14ac:dyDescent="0.3">
      <c r="A90" s="35"/>
      <c r="B90" s="35" t="s">
        <v>327</v>
      </c>
      <c r="C90" s="174" t="s">
        <v>144</v>
      </c>
      <c r="D90" s="35">
        <v>5</v>
      </c>
      <c r="E90" s="38">
        <v>410</v>
      </c>
      <c r="F90" s="38">
        <f t="shared" si="0"/>
        <v>2050</v>
      </c>
      <c r="G90" s="38"/>
    </row>
    <row r="91" spans="1:7" s="42" customFormat="1" ht="23.25" x14ac:dyDescent="0.35">
      <c r="A91" s="35"/>
      <c r="B91" s="35" t="s">
        <v>993</v>
      </c>
      <c r="C91" s="174">
        <v>5</v>
      </c>
      <c r="D91" s="35">
        <v>10</v>
      </c>
      <c r="E91" s="38">
        <v>700</v>
      </c>
      <c r="F91" s="38">
        <f t="shared" si="0"/>
        <v>7000</v>
      </c>
      <c r="G91" s="79"/>
    </row>
    <row r="92" spans="1:7" s="42" customFormat="1" ht="18.75" x14ac:dyDescent="0.3">
      <c r="A92" s="35"/>
      <c r="B92" s="35" t="s">
        <v>994</v>
      </c>
      <c r="C92" s="174">
        <v>10</v>
      </c>
      <c r="D92" s="35">
        <v>5</v>
      </c>
      <c r="E92" s="38">
        <v>180</v>
      </c>
      <c r="F92" s="38">
        <f t="shared" si="0"/>
        <v>900</v>
      </c>
      <c r="G92" s="38"/>
    </row>
    <row r="93" spans="1:7" s="42" customFormat="1" ht="23.25" x14ac:dyDescent="0.35">
      <c r="A93" s="35"/>
      <c r="B93" s="35" t="s">
        <v>995</v>
      </c>
      <c r="C93" s="174">
        <v>100</v>
      </c>
      <c r="D93" s="35">
        <v>3</v>
      </c>
      <c r="E93" s="38">
        <v>3350</v>
      </c>
      <c r="F93" s="38">
        <f t="shared" si="0"/>
        <v>10050</v>
      </c>
      <c r="G93" s="186">
        <f>SUM(F84:F93)</f>
        <v>183350</v>
      </c>
    </row>
    <row r="94" spans="1:7" s="42" customFormat="1" ht="18.75" x14ac:dyDescent="0.3">
      <c r="A94" s="35"/>
      <c r="B94" s="35"/>
      <c r="C94" s="174"/>
      <c r="D94" s="35"/>
      <c r="E94" s="38"/>
      <c r="F94" s="38"/>
      <c r="G94" s="35"/>
    </row>
    <row r="95" spans="1:7" s="42" customFormat="1" ht="18.75" x14ac:dyDescent="0.3">
      <c r="A95" s="35"/>
      <c r="B95" s="35"/>
      <c r="C95" s="174"/>
      <c r="D95" s="35"/>
      <c r="E95" s="38"/>
      <c r="F95" s="38"/>
      <c r="G95" s="35"/>
    </row>
    <row r="96" spans="1:7" s="42" customFormat="1" ht="18.75" x14ac:dyDescent="0.3">
      <c r="A96" s="35"/>
      <c r="B96" s="35"/>
      <c r="C96" s="174"/>
      <c r="D96" s="35"/>
      <c r="E96" s="38"/>
      <c r="F96" s="38"/>
      <c r="G96" s="35"/>
    </row>
    <row r="97" spans="1:7" s="42" customFormat="1" ht="23.25" x14ac:dyDescent="0.35">
      <c r="A97" s="77">
        <v>15</v>
      </c>
      <c r="B97" s="77" t="s">
        <v>996</v>
      </c>
      <c r="C97" s="184"/>
      <c r="D97" s="77"/>
      <c r="E97" s="79"/>
      <c r="F97" s="79"/>
      <c r="G97" s="79"/>
    </row>
    <row r="98" spans="1:7" s="42" customFormat="1" ht="23.25" x14ac:dyDescent="0.35">
      <c r="A98" s="35"/>
      <c r="B98" s="35" t="s">
        <v>997</v>
      </c>
      <c r="C98" s="174">
        <v>28</v>
      </c>
      <c r="D98" s="35">
        <v>5</v>
      </c>
      <c r="E98" s="38">
        <v>29900</v>
      </c>
      <c r="F98" s="38">
        <f>D98*E98</f>
        <v>149500</v>
      </c>
      <c r="G98" s="186">
        <f>SUM(F97:F98)</f>
        <v>149500</v>
      </c>
    </row>
    <row r="99" spans="1:7" s="42" customFormat="1" ht="18.75" x14ac:dyDescent="0.3">
      <c r="A99" s="35"/>
      <c r="B99" s="35"/>
      <c r="C99" s="174"/>
      <c r="D99" s="35"/>
      <c r="E99" s="38"/>
      <c r="F99" s="38"/>
      <c r="G99" s="35"/>
    </row>
    <row r="100" spans="1:7" s="42" customFormat="1" ht="18.75" x14ac:dyDescent="0.3">
      <c r="A100" s="35"/>
      <c r="B100" s="35"/>
      <c r="C100" s="174"/>
      <c r="D100" s="35"/>
      <c r="E100" s="38"/>
      <c r="F100" s="38"/>
      <c r="G100" s="35"/>
    </row>
    <row r="101" spans="1:7" s="42" customFormat="1" ht="18.75" x14ac:dyDescent="0.3">
      <c r="A101" s="35"/>
      <c r="B101" s="35"/>
      <c r="C101" s="174"/>
      <c r="D101" s="35"/>
      <c r="E101" s="38"/>
      <c r="F101" s="38"/>
      <c r="G101" s="35"/>
    </row>
    <row r="102" spans="1:7" s="42" customFormat="1" ht="23.25" x14ac:dyDescent="0.35">
      <c r="A102" s="35">
        <v>16</v>
      </c>
      <c r="B102" s="77" t="s">
        <v>998</v>
      </c>
      <c r="C102" s="174"/>
      <c r="D102" s="35"/>
      <c r="E102" s="38"/>
      <c r="F102" s="38"/>
      <c r="G102" s="38"/>
    </row>
    <row r="103" spans="1:7" s="42" customFormat="1" ht="23.25" x14ac:dyDescent="0.35">
      <c r="A103" s="35"/>
      <c r="B103" s="35" t="s">
        <v>999</v>
      </c>
      <c r="C103" s="174">
        <v>100</v>
      </c>
      <c r="D103" s="35">
        <v>36</v>
      </c>
      <c r="E103" s="38">
        <v>1426</v>
      </c>
      <c r="F103" s="38">
        <f>D103*E103</f>
        <v>51336</v>
      </c>
      <c r="G103" s="186">
        <f>SUM(F103:F103)</f>
        <v>51336</v>
      </c>
    </row>
    <row r="104" spans="1:7" s="42" customFormat="1" ht="18.75" x14ac:dyDescent="0.3">
      <c r="A104" s="35"/>
      <c r="B104" s="35"/>
      <c r="C104" s="174"/>
      <c r="D104" s="35"/>
      <c r="E104" s="38"/>
      <c r="F104" s="38"/>
      <c r="G104" s="35"/>
    </row>
    <row r="105" spans="1:7" s="42" customFormat="1" ht="18.75" x14ac:dyDescent="0.3">
      <c r="A105" s="35"/>
      <c r="B105" s="35"/>
      <c r="C105" s="174"/>
      <c r="D105" s="35"/>
      <c r="E105" s="38"/>
      <c r="F105" s="38"/>
      <c r="G105" s="35"/>
    </row>
    <row r="106" spans="1:7" s="42" customFormat="1" ht="18.75" x14ac:dyDescent="0.3">
      <c r="A106" s="35"/>
      <c r="B106" s="35"/>
      <c r="C106" s="174"/>
      <c r="D106" s="35"/>
      <c r="E106" s="38"/>
      <c r="F106" s="38"/>
      <c r="G106" s="35"/>
    </row>
    <row r="107" spans="1:7" ht="23.25" x14ac:dyDescent="0.35">
      <c r="A107" s="35">
        <v>17</v>
      </c>
      <c r="B107" s="77" t="s">
        <v>938</v>
      </c>
      <c r="C107" s="181"/>
      <c r="D107" s="189"/>
      <c r="E107" s="190"/>
      <c r="F107" s="191"/>
      <c r="G107" s="76"/>
    </row>
    <row r="108" spans="1:7" x14ac:dyDescent="0.35">
      <c r="A108" s="35"/>
      <c r="B108" s="35" t="s">
        <v>1000</v>
      </c>
      <c r="C108" s="174">
        <v>30</v>
      </c>
      <c r="D108" s="35">
        <v>20</v>
      </c>
      <c r="E108" s="38">
        <v>1270</v>
      </c>
      <c r="F108" s="38">
        <f>D108*E108</f>
        <v>25400</v>
      </c>
      <c r="G108" s="76"/>
    </row>
    <row r="109" spans="1:7" ht="23.25" x14ac:dyDescent="0.35">
      <c r="A109" s="35"/>
      <c r="B109" s="35" t="s">
        <v>1001</v>
      </c>
      <c r="C109" s="174">
        <v>30</v>
      </c>
      <c r="D109" s="35">
        <v>100</v>
      </c>
      <c r="E109" s="38">
        <v>1376</v>
      </c>
      <c r="F109" s="38">
        <f>D109*E109</f>
        <v>137600</v>
      </c>
      <c r="G109" s="186">
        <f>SUM(F108:F109)</f>
        <v>163000</v>
      </c>
    </row>
    <row r="110" spans="1:7" ht="18.75" x14ac:dyDescent="0.3">
      <c r="A110" s="35"/>
      <c r="B110" s="35"/>
      <c r="C110" s="174"/>
      <c r="D110" s="35"/>
      <c r="E110" s="38"/>
      <c r="F110" s="38"/>
      <c r="G110" s="35"/>
    </row>
    <row r="111" spans="1:7" ht="18.75" x14ac:dyDescent="0.3">
      <c r="A111" s="35"/>
      <c r="B111" s="35"/>
      <c r="C111" s="174"/>
      <c r="D111" s="35"/>
      <c r="E111" s="38"/>
      <c r="F111" s="38"/>
      <c r="G111" s="35"/>
    </row>
    <row r="112" spans="1:7" s="42" customFormat="1" ht="18.75" x14ac:dyDescent="0.3">
      <c r="A112" s="35"/>
      <c r="G112" s="38"/>
    </row>
    <row r="113" spans="1:7" x14ac:dyDescent="0.35">
      <c r="A113" s="35"/>
      <c r="B113" s="188"/>
      <c r="C113" s="181"/>
      <c r="D113" s="189"/>
      <c r="E113" s="190"/>
      <c r="F113" s="191"/>
      <c r="G113" s="76"/>
    </row>
    <row r="114" spans="1:7" ht="21.75" thickBot="1" x14ac:dyDescent="0.4">
      <c r="A114" s="35"/>
      <c r="B114" s="188"/>
      <c r="C114" s="181"/>
      <c r="D114" s="189"/>
      <c r="E114" s="190"/>
      <c r="F114" s="191"/>
      <c r="G114" s="185"/>
    </row>
    <row r="115" spans="1:7" ht="27" thickBot="1" x14ac:dyDescent="0.45">
      <c r="A115" s="35"/>
      <c r="B115" s="188"/>
      <c r="C115" s="181"/>
      <c r="D115" s="189"/>
      <c r="E115" s="190"/>
      <c r="F115" s="193" t="s">
        <v>666</v>
      </c>
      <c r="G115" s="194">
        <f>SUM(G5:G111)</f>
        <v>3536348</v>
      </c>
    </row>
    <row r="135" spans="1:6" ht="26.25" x14ac:dyDescent="0.4">
      <c r="A135" s="35"/>
      <c r="B135" s="195" t="s">
        <v>917</v>
      </c>
      <c r="C135" s="849" t="s">
        <v>918</v>
      </c>
      <c r="D135" s="849"/>
      <c r="E135" s="849"/>
      <c r="F135" s="849"/>
    </row>
    <row r="136" spans="1:6" x14ac:dyDescent="0.35">
      <c r="A136" s="35"/>
      <c r="B136" s="188"/>
      <c r="C136" s="845"/>
      <c r="D136" s="845"/>
      <c r="E136" s="845"/>
      <c r="F136" s="845"/>
    </row>
    <row r="137" spans="1:6" x14ac:dyDescent="0.35">
      <c r="A137" s="35">
        <v>1</v>
      </c>
      <c r="B137" s="35" t="str">
        <f>B4</f>
        <v>AL-TINEZ VISION LIMITED</v>
      </c>
      <c r="C137" s="841">
        <f>G9</f>
        <v>299500</v>
      </c>
      <c r="D137" s="842"/>
      <c r="E137" s="842"/>
      <c r="F137" s="842"/>
    </row>
    <row r="138" spans="1:6" x14ac:dyDescent="0.35">
      <c r="A138" s="35">
        <f>1+A137</f>
        <v>2</v>
      </c>
      <c r="B138" s="35" t="str">
        <f>B12</f>
        <v>ASSENE LABOREX LIMITED</v>
      </c>
      <c r="C138" s="841">
        <f>G16</f>
        <v>93853</v>
      </c>
      <c r="D138" s="842"/>
      <c r="E138" s="842"/>
      <c r="F138" s="842"/>
    </row>
    <row r="139" spans="1:6" x14ac:dyDescent="0.35">
      <c r="A139" s="35">
        <f t="shared" ref="A139:A153" si="1">1+A138</f>
        <v>3</v>
      </c>
      <c r="B139" s="35" t="str">
        <f>B19</f>
        <v>BERNADOS PHARMACEUTICALS &amp; CHEMICAL LTD</v>
      </c>
      <c r="C139" s="841">
        <f>G23</f>
        <v>42700</v>
      </c>
      <c r="D139" s="842"/>
      <c r="E139" s="842"/>
      <c r="F139" s="842"/>
    </row>
    <row r="140" spans="1:6" x14ac:dyDescent="0.35">
      <c r="A140" s="35">
        <f t="shared" si="1"/>
        <v>4</v>
      </c>
      <c r="B140" s="35" t="str">
        <f>B26</f>
        <v>BIOFEM PHARMACEUTICALS LTD</v>
      </c>
      <c r="C140" s="841">
        <f>G27</f>
        <v>367750</v>
      </c>
      <c r="D140" s="842"/>
      <c r="E140" s="842"/>
      <c r="F140" s="842"/>
    </row>
    <row r="141" spans="1:6" x14ac:dyDescent="0.35">
      <c r="A141" s="35">
        <f t="shared" si="1"/>
        <v>5</v>
      </c>
      <c r="B141" s="35" t="str">
        <f>B32</f>
        <v>DONY TRIUMPH</v>
      </c>
      <c r="C141" s="841">
        <f>G35</f>
        <v>161998</v>
      </c>
      <c r="D141" s="842"/>
      <c r="E141" s="842"/>
      <c r="F141" s="842"/>
    </row>
    <row r="142" spans="1:6" x14ac:dyDescent="0.35">
      <c r="A142" s="35">
        <f t="shared" si="1"/>
        <v>6</v>
      </c>
      <c r="B142" s="35" t="str">
        <f>B38</f>
        <v>EXCEL CHARIS</v>
      </c>
      <c r="C142" s="841">
        <f>G39</f>
        <v>77250</v>
      </c>
      <c r="D142" s="842"/>
      <c r="E142" s="842"/>
      <c r="F142" s="842"/>
    </row>
    <row r="143" spans="1:6" x14ac:dyDescent="0.35">
      <c r="A143" s="35">
        <f t="shared" si="1"/>
        <v>7</v>
      </c>
      <c r="B143" s="35" t="str">
        <f>B42</f>
        <v>GRAY PHARMACEUTICALS LTD</v>
      </c>
      <c r="C143" s="841">
        <f>G46</f>
        <v>355750</v>
      </c>
      <c r="D143" s="842"/>
      <c r="E143" s="842"/>
      <c r="F143" s="842"/>
    </row>
    <row r="144" spans="1:6" x14ac:dyDescent="0.35">
      <c r="A144" s="35">
        <f t="shared" si="1"/>
        <v>8</v>
      </c>
      <c r="B144" s="35" t="str">
        <f>B49</f>
        <v>OCULUS PHARMACARE LTD</v>
      </c>
      <c r="C144" s="841">
        <f>G51</f>
        <v>25500</v>
      </c>
      <c r="D144" s="842"/>
      <c r="E144" s="842"/>
      <c r="F144" s="842"/>
    </row>
    <row r="145" spans="1:6" x14ac:dyDescent="0.35">
      <c r="A145" s="35">
        <f t="shared" si="1"/>
        <v>9</v>
      </c>
      <c r="B145" s="35" t="str">
        <f>B54</f>
        <v>PEACEMARK PHARMACEUTICALS NIG. LTD</v>
      </c>
      <c r="C145" s="841">
        <f>G58</f>
        <v>362500</v>
      </c>
      <c r="D145" s="842"/>
      <c r="E145" s="842"/>
      <c r="F145" s="842"/>
    </row>
    <row r="146" spans="1:6" x14ac:dyDescent="0.35">
      <c r="A146" s="35">
        <f t="shared" si="1"/>
        <v>10</v>
      </c>
      <c r="B146" s="35" t="str">
        <f>B60</f>
        <v>PHAMATEX NIG. LTD.</v>
      </c>
      <c r="C146" s="841">
        <f>G65</f>
        <v>317951</v>
      </c>
      <c r="D146" s="842"/>
      <c r="E146" s="842"/>
      <c r="F146" s="842"/>
    </row>
    <row r="147" spans="1:6" x14ac:dyDescent="0.35">
      <c r="A147" s="35">
        <f t="shared" si="1"/>
        <v>11</v>
      </c>
      <c r="B147" s="35" t="str">
        <f>B67</f>
        <v>PHARMACY PLUS</v>
      </c>
      <c r="C147" s="841">
        <f>G72</f>
        <v>236785</v>
      </c>
      <c r="D147" s="842"/>
      <c r="E147" s="842"/>
      <c r="F147" s="842"/>
    </row>
    <row r="148" spans="1:6" x14ac:dyDescent="0.35">
      <c r="A148" s="35">
        <f t="shared" si="1"/>
        <v>12</v>
      </c>
      <c r="B148" s="35" t="str">
        <f>B75</f>
        <v>SEAL HEALTHCARE LIMITED</v>
      </c>
      <c r="C148" s="841">
        <f>G76</f>
        <v>625000</v>
      </c>
      <c r="D148" s="842"/>
      <c r="E148" s="842"/>
      <c r="F148" s="842"/>
    </row>
    <row r="149" spans="1:6" x14ac:dyDescent="0.35">
      <c r="A149" s="35">
        <f t="shared" si="1"/>
        <v>13</v>
      </c>
      <c r="B149" s="35" t="s">
        <v>1005</v>
      </c>
      <c r="C149" s="857">
        <f>G80</f>
        <v>22625</v>
      </c>
      <c r="D149" s="858"/>
      <c r="E149" s="858"/>
      <c r="F149" s="859"/>
    </row>
    <row r="150" spans="1:6" x14ac:dyDescent="0.35">
      <c r="A150" s="35">
        <f t="shared" si="1"/>
        <v>14</v>
      </c>
      <c r="B150" s="35" t="str">
        <f>B83</f>
        <v>UNILAG PHARMACEUTICALS LTD</v>
      </c>
      <c r="C150" s="841">
        <f>G93</f>
        <v>183350</v>
      </c>
      <c r="D150" s="842"/>
      <c r="E150" s="842"/>
      <c r="F150" s="842"/>
    </row>
    <row r="151" spans="1:6" x14ac:dyDescent="0.35">
      <c r="A151" s="35">
        <f t="shared" si="1"/>
        <v>15</v>
      </c>
      <c r="B151" s="35" t="str">
        <f>B97</f>
        <v>WORLDWIDE COMMERCIAL VENTURES (ASTRA ZENECA)</v>
      </c>
      <c r="C151" s="841">
        <f>G98</f>
        <v>149500</v>
      </c>
      <c r="D151" s="842"/>
      <c r="E151" s="842"/>
      <c r="F151" s="842"/>
    </row>
    <row r="152" spans="1:6" x14ac:dyDescent="0.35">
      <c r="A152" s="35">
        <f t="shared" si="1"/>
        <v>16</v>
      </c>
      <c r="B152" s="35" t="str">
        <f>B102</f>
        <v>WORLDWIDE COMMERCIAL VENTURES (NEIMETH)</v>
      </c>
      <c r="C152" s="841">
        <f>G103</f>
        <v>51336</v>
      </c>
      <c r="D152" s="842"/>
      <c r="E152" s="842"/>
      <c r="F152" s="842"/>
    </row>
    <row r="153" spans="1:6" x14ac:dyDescent="0.35">
      <c r="A153" s="35">
        <f t="shared" si="1"/>
        <v>17</v>
      </c>
      <c r="B153" s="35" t="str">
        <f>B107</f>
        <v>WORLDWIDE COMMERCIAL VENTURES (STRIDES SHASUN)</v>
      </c>
      <c r="C153" s="841">
        <f>G109</f>
        <v>163000</v>
      </c>
      <c r="D153" s="842"/>
      <c r="E153" s="842"/>
      <c r="F153" s="842"/>
    </row>
    <row r="154" spans="1:6" ht="21.75" thickBot="1" x14ac:dyDescent="0.4">
      <c r="C154" s="836"/>
      <c r="D154" s="836"/>
      <c r="E154" s="836"/>
      <c r="F154" s="836"/>
    </row>
    <row r="155" spans="1:6" ht="29.25" thickBot="1" x14ac:dyDescent="0.5">
      <c r="C155" s="846">
        <f>SUM(C137:F153)</f>
        <v>3536348</v>
      </c>
      <c r="D155" s="847"/>
      <c r="E155" s="847"/>
      <c r="F155" s="848"/>
    </row>
    <row r="156" spans="1:6" x14ac:dyDescent="0.35">
      <c r="C156" s="836"/>
      <c r="D156" s="836"/>
      <c r="E156" s="836"/>
      <c r="F156" s="836"/>
    </row>
    <row r="157" spans="1:6" x14ac:dyDescent="0.35">
      <c r="C157" s="836"/>
      <c r="D157" s="836"/>
      <c r="E157" s="836"/>
      <c r="F157" s="836"/>
    </row>
    <row r="158" spans="1:6" x14ac:dyDescent="0.35">
      <c r="C158" s="836"/>
      <c r="D158" s="836"/>
      <c r="E158" s="836"/>
      <c r="F158" s="836"/>
    </row>
    <row r="159" spans="1:6" x14ac:dyDescent="0.35">
      <c r="C159" s="836"/>
      <c r="D159" s="836"/>
      <c r="E159" s="836"/>
      <c r="F159" s="836"/>
    </row>
    <row r="160" spans="1:6" x14ac:dyDescent="0.35">
      <c r="C160" s="836"/>
      <c r="D160" s="836"/>
      <c r="E160" s="836"/>
      <c r="F160" s="836"/>
    </row>
  </sheetData>
  <mergeCells count="27">
    <mergeCell ref="C144:F144"/>
    <mergeCell ref="A1:G1"/>
    <mergeCell ref="C135:F135"/>
    <mergeCell ref="C136:F136"/>
    <mergeCell ref="C137:F137"/>
    <mergeCell ref="C138:F138"/>
    <mergeCell ref="C139:F139"/>
    <mergeCell ref="C140:F140"/>
    <mergeCell ref="C141:F141"/>
    <mergeCell ref="C142:F142"/>
    <mergeCell ref="C143:F143"/>
    <mergeCell ref="C152:F152"/>
    <mergeCell ref="C153:F153"/>
    <mergeCell ref="C145:F145"/>
    <mergeCell ref="C146:F146"/>
    <mergeCell ref="C147:F147"/>
    <mergeCell ref="C148:F148"/>
    <mergeCell ref="C150:F150"/>
    <mergeCell ref="C151:F151"/>
    <mergeCell ref="C149:F149"/>
    <mergeCell ref="C159:F159"/>
    <mergeCell ref="C160:F160"/>
    <mergeCell ref="C154:F154"/>
    <mergeCell ref="C155:F155"/>
    <mergeCell ref="C156:F156"/>
    <mergeCell ref="C157:F157"/>
    <mergeCell ref="C158:F158"/>
  </mergeCells>
  <pageMargins left="0.25" right="0.25" top="0.75" bottom="0.75" header="0.3" footer="0.3"/>
  <pageSetup paperSize="9" scale="7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62"/>
  <sheetViews>
    <sheetView view="pageBreakPreview" topLeftCell="A37" zoomScale="60" zoomScaleNormal="60" workbookViewId="0">
      <selection activeCell="F100" sqref="F100"/>
    </sheetView>
  </sheetViews>
  <sheetFormatPr defaultColWidth="20" defaultRowHeight="21" x14ac:dyDescent="0.35"/>
  <cols>
    <col min="1" max="1" width="13.140625" style="42" customWidth="1"/>
    <col min="2" max="2" width="57.28515625" style="8" customWidth="1"/>
    <col min="3" max="3" width="3.7109375" style="8" customWidth="1"/>
    <col min="4" max="4" width="12.5703125" style="182" bestFit="1" customWidth="1"/>
    <col min="5" max="5" width="13.5703125" style="75" customWidth="1"/>
    <col min="6" max="6" width="20.140625" style="71" bestFit="1" customWidth="1"/>
    <col min="7" max="7" width="20" style="73"/>
    <col min="8" max="8" width="23.7109375" style="80" customWidth="1"/>
    <col min="9" max="9" width="4.140625" style="80" customWidth="1"/>
    <col min="10" max="11" width="20" style="8"/>
    <col min="12" max="12" width="25.28515625" style="8" bestFit="1" customWidth="1"/>
    <col min="13" max="13" width="44.5703125" style="8" bestFit="1" customWidth="1"/>
    <col min="14" max="16384" width="20" style="8"/>
  </cols>
  <sheetData>
    <row r="1" spans="1:13" ht="34.5" thickBot="1" x14ac:dyDescent="0.55000000000000004">
      <c r="A1" s="868" t="s">
        <v>1002</v>
      </c>
      <c r="B1" s="738"/>
      <c r="C1" s="738"/>
      <c r="D1" s="738"/>
      <c r="E1" s="738"/>
      <c r="F1" s="738"/>
      <c r="G1" s="738"/>
      <c r="H1" s="738"/>
      <c r="I1" s="738"/>
      <c r="J1" s="738"/>
      <c r="K1" s="738"/>
      <c r="L1" s="738"/>
      <c r="M1" s="738"/>
    </row>
    <row r="2" spans="1:13" ht="40.5" customHeight="1" thickBot="1" x14ac:dyDescent="0.35">
      <c r="A2" s="35"/>
      <c r="B2" s="220"/>
      <c r="C2" s="240"/>
      <c r="D2" s="224"/>
      <c r="E2" s="225"/>
      <c r="F2" s="861" t="s">
        <v>1010</v>
      </c>
      <c r="G2" s="862"/>
      <c r="H2" s="863"/>
      <c r="I2" s="203"/>
      <c r="J2" s="864" t="s">
        <v>1006</v>
      </c>
      <c r="K2" s="865"/>
      <c r="L2" s="865"/>
      <c r="M2" s="866"/>
    </row>
    <row r="3" spans="1:13" s="24" customFormat="1" ht="64.5" customHeight="1" x14ac:dyDescent="0.25">
      <c r="A3" s="21" t="s">
        <v>658</v>
      </c>
      <c r="B3" s="221" t="s">
        <v>660</v>
      </c>
      <c r="C3" s="241"/>
      <c r="D3" s="226" t="s">
        <v>500</v>
      </c>
      <c r="E3" s="74" t="s">
        <v>920</v>
      </c>
      <c r="F3" s="219" t="s">
        <v>661</v>
      </c>
      <c r="G3" s="212" t="s">
        <v>550</v>
      </c>
      <c r="H3" s="227" t="s">
        <v>662</v>
      </c>
      <c r="I3" s="204"/>
      <c r="J3" s="211" t="s">
        <v>661</v>
      </c>
      <c r="K3" s="212" t="s">
        <v>550</v>
      </c>
      <c r="L3" s="213" t="s">
        <v>662</v>
      </c>
      <c r="M3" s="214" t="s">
        <v>850</v>
      </c>
    </row>
    <row r="4" spans="1:13" s="42" customFormat="1" ht="23.25" x14ac:dyDescent="0.35">
      <c r="A4" s="35">
        <v>1</v>
      </c>
      <c r="B4" s="222" t="s">
        <v>922</v>
      </c>
      <c r="C4" s="242"/>
      <c r="D4" s="228"/>
      <c r="E4" s="35"/>
      <c r="F4" s="38"/>
      <c r="G4" s="38"/>
      <c r="H4" s="39"/>
      <c r="I4" s="205"/>
      <c r="J4" s="197"/>
      <c r="K4" s="35"/>
      <c r="L4" s="35"/>
      <c r="M4" s="36"/>
    </row>
    <row r="5" spans="1:13" s="42" customFormat="1" ht="23.25" x14ac:dyDescent="0.35">
      <c r="A5" s="35"/>
      <c r="B5" s="196" t="s">
        <v>923</v>
      </c>
      <c r="C5" s="207"/>
      <c r="D5" s="228">
        <v>5</v>
      </c>
      <c r="E5" s="35">
        <v>10</v>
      </c>
      <c r="F5" s="38">
        <v>2060</v>
      </c>
      <c r="G5" s="38">
        <f>E5*F5</f>
        <v>20600</v>
      </c>
      <c r="H5" s="229">
        <f>SUM(G5:G5)</f>
        <v>20600</v>
      </c>
      <c r="I5" s="206"/>
      <c r="J5" s="198">
        <v>7000</v>
      </c>
      <c r="K5" s="38">
        <f>E5*J5</f>
        <v>70000</v>
      </c>
      <c r="L5" s="79">
        <f>SUM(K5:K5)</f>
        <v>70000</v>
      </c>
      <c r="M5" s="36" t="s">
        <v>1007</v>
      </c>
    </row>
    <row r="6" spans="1:13" s="42" customFormat="1" ht="18.75" x14ac:dyDescent="0.3">
      <c r="A6" s="35"/>
      <c r="B6" s="196"/>
      <c r="C6" s="207"/>
      <c r="D6" s="228"/>
      <c r="E6" s="35"/>
      <c r="F6" s="38"/>
      <c r="G6" s="38"/>
      <c r="H6" s="36"/>
      <c r="I6" s="207"/>
      <c r="J6" s="197"/>
      <c r="K6" s="35"/>
      <c r="L6" s="35"/>
      <c r="M6" s="36"/>
    </row>
    <row r="7" spans="1:13" s="42" customFormat="1" ht="18.75" x14ac:dyDescent="0.3">
      <c r="A7" s="35"/>
      <c r="B7" s="196"/>
      <c r="C7" s="207"/>
      <c r="D7" s="228"/>
      <c r="E7" s="35"/>
      <c r="F7" s="38"/>
      <c r="G7" s="38"/>
      <c r="H7" s="36"/>
      <c r="I7" s="207"/>
      <c r="J7" s="197"/>
      <c r="K7" s="35"/>
      <c r="L7" s="35"/>
      <c r="M7" s="36"/>
    </row>
    <row r="8" spans="1:13" s="42" customFormat="1" ht="23.25" x14ac:dyDescent="0.35">
      <c r="A8" s="35">
        <v>2</v>
      </c>
      <c r="B8" s="222" t="s">
        <v>924</v>
      </c>
      <c r="C8" s="242"/>
      <c r="D8" s="228"/>
      <c r="E8" s="35"/>
      <c r="F8" s="38"/>
      <c r="G8" s="38"/>
      <c r="H8" s="39"/>
      <c r="I8" s="205"/>
      <c r="J8" s="197"/>
      <c r="K8" s="35"/>
      <c r="L8" s="35"/>
      <c r="M8" s="36"/>
    </row>
    <row r="9" spans="1:13" s="42" customFormat="1" ht="18.75" x14ac:dyDescent="0.3">
      <c r="A9" s="35"/>
      <c r="B9" s="196" t="s">
        <v>363</v>
      </c>
      <c r="C9" s="207"/>
      <c r="D9" s="228">
        <v>12</v>
      </c>
      <c r="E9" s="35">
        <v>32</v>
      </c>
      <c r="F9" s="38">
        <v>9000</v>
      </c>
      <c r="G9" s="38">
        <f>E9*F9</f>
        <v>288000</v>
      </c>
      <c r="H9" s="39"/>
      <c r="I9" s="205"/>
      <c r="J9" s="198">
        <v>10400</v>
      </c>
      <c r="K9" s="38">
        <f>E9*J9</f>
        <v>332800</v>
      </c>
      <c r="L9" s="35"/>
      <c r="M9" s="36" t="s">
        <v>888</v>
      </c>
    </row>
    <row r="10" spans="1:13" s="42" customFormat="1" ht="23.25" x14ac:dyDescent="0.35">
      <c r="A10" s="35"/>
      <c r="B10" s="196" t="s">
        <v>925</v>
      </c>
      <c r="C10" s="207"/>
      <c r="D10" s="228" t="s">
        <v>333</v>
      </c>
      <c r="E10" s="35">
        <v>50</v>
      </c>
      <c r="F10" s="38">
        <v>3000</v>
      </c>
      <c r="G10" s="38">
        <f>E10*F10</f>
        <v>150000</v>
      </c>
      <c r="H10" s="229">
        <f>SUM(G9:G10)</f>
        <v>438000</v>
      </c>
      <c r="I10" s="206"/>
      <c r="J10" s="198">
        <v>3770</v>
      </c>
      <c r="K10" s="38">
        <f>E10*J10</f>
        <v>188500</v>
      </c>
      <c r="L10" s="79">
        <f>SUM(K9:K10)</f>
        <v>521300</v>
      </c>
      <c r="M10" s="36" t="s">
        <v>888</v>
      </c>
    </row>
    <row r="11" spans="1:13" s="42" customFormat="1" ht="18.75" x14ac:dyDescent="0.3">
      <c r="A11" s="35"/>
      <c r="B11" s="196"/>
      <c r="C11" s="207"/>
      <c r="D11" s="228"/>
      <c r="E11" s="35"/>
      <c r="F11" s="38"/>
      <c r="G11" s="38"/>
      <c r="H11" s="36"/>
      <c r="I11" s="207"/>
      <c r="J11" s="197"/>
      <c r="K11" s="35"/>
      <c r="L11" s="35"/>
      <c r="M11" s="36"/>
    </row>
    <row r="12" spans="1:13" s="42" customFormat="1" ht="18.75" x14ac:dyDescent="0.3">
      <c r="A12" s="35"/>
      <c r="B12" s="196"/>
      <c r="C12" s="207"/>
      <c r="D12" s="228"/>
      <c r="E12" s="35"/>
      <c r="F12" s="38"/>
      <c r="G12" s="38"/>
      <c r="H12" s="36"/>
      <c r="I12" s="207"/>
      <c r="J12" s="197"/>
      <c r="K12" s="35"/>
      <c r="L12" s="35"/>
      <c r="M12" s="36"/>
    </row>
    <row r="13" spans="1:13" s="42" customFormat="1" ht="23.25" x14ac:dyDescent="0.35">
      <c r="A13" s="35">
        <v>3</v>
      </c>
      <c r="B13" s="222" t="s">
        <v>926</v>
      </c>
      <c r="C13" s="242"/>
      <c r="D13" s="230"/>
      <c r="E13" s="77"/>
      <c r="F13" s="79"/>
      <c r="G13" s="79"/>
      <c r="H13" s="231"/>
      <c r="I13" s="208"/>
      <c r="J13" s="197"/>
      <c r="K13" s="35"/>
      <c r="L13" s="35"/>
      <c r="M13" s="36"/>
    </row>
    <row r="14" spans="1:13" s="42" customFormat="1" ht="18.75" x14ac:dyDescent="0.3">
      <c r="A14" s="35"/>
      <c r="B14" s="196" t="s">
        <v>1008</v>
      </c>
      <c r="C14" s="207"/>
      <c r="D14" s="228">
        <v>30</v>
      </c>
      <c r="E14" s="35">
        <v>300</v>
      </c>
      <c r="F14" s="38">
        <v>880</v>
      </c>
      <c r="G14" s="38">
        <f>E14*F14</f>
        <v>264000</v>
      </c>
      <c r="H14" s="39"/>
      <c r="I14" s="205"/>
      <c r="J14" s="198">
        <v>2237.5</v>
      </c>
      <c r="K14" s="38">
        <f>E14*J14</f>
        <v>671250</v>
      </c>
      <c r="L14" s="38"/>
      <c r="M14" s="36" t="s">
        <v>885</v>
      </c>
    </row>
    <row r="15" spans="1:13" s="42" customFormat="1" ht="18.75" x14ac:dyDescent="0.3">
      <c r="A15" s="35"/>
      <c r="B15" s="196" t="s">
        <v>927</v>
      </c>
      <c r="C15" s="207"/>
      <c r="D15" s="228">
        <v>30</v>
      </c>
      <c r="E15" s="35">
        <v>375</v>
      </c>
      <c r="F15" s="38">
        <v>990</v>
      </c>
      <c r="G15" s="38">
        <f>E15*F15</f>
        <v>371250</v>
      </c>
      <c r="H15" s="39"/>
      <c r="I15" s="205"/>
      <c r="J15" s="198">
        <v>2130</v>
      </c>
      <c r="K15" s="38">
        <f>E15*J15</f>
        <v>798750</v>
      </c>
      <c r="L15" s="38"/>
      <c r="M15" s="36" t="s">
        <v>885</v>
      </c>
    </row>
    <row r="16" spans="1:13" s="42" customFormat="1" ht="18.75" x14ac:dyDescent="0.3">
      <c r="A16" s="35"/>
      <c r="B16" s="196" t="s">
        <v>928</v>
      </c>
      <c r="C16" s="207"/>
      <c r="D16" s="228">
        <v>30</v>
      </c>
      <c r="E16" s="35">
        <v>250</v>
      </c>
      <c r="F16" s="38">
        <v>1650</v>
      </c>
      <c r="G16" s="38">
        <f>E16*F16</f>
        <v>412500</v>
      </c>
      <c r="H16" s="39"/>
      <c r="I16" s="205"/>
      <c r="J16" s="198">
        <v>2980</v>
      </c>
      <c r="K16" s="38">
        <f>E16*J16</f>
        <v>745000</v>
      </c>
      <c r="L16" s="38"/>
      <c r="M16" s="36" t="s">
        <v>885</v>
      </c>
    </row>
    <row r="17" spans="1:13" s="42" customFormat="1" ht="23.25" x14ac:dyDescent="0.35">
      <c r="A17" s="35"/>
      <c r="B17" s="196" t="s">
        <v>929</v>
      </c>
      <c r="C17" s="207"/>
      <c r="D17" s="228">
        <v>30</v>
      </c>
      <c r="E17" s="35">
        <v>625</v>
      </c>
      <c r="F17" s="38">
        <v>1650</v>
      </c>
      <c r="G17" s="38">
        <f>E17*F17</f>
        <v>1031250</v>
      </c>
      <c r="H17" s="229">
        <f>SUM(G14:G17)</f>
        <v>2079000</v>
      </c>
      <c r="I17" s="206"/>
      <c r="J17" s="198">
        <v>4380</v>
      </c>
      <c r="K17" s="38">
        <f>E17*J17</f>
        <v>2737500</v>
      </c>
      <c r="L17" s="79">
        <f>SUM(K14:K17)</f>
        <v>4952500</v>
      </c>
      <c r="M17" s="36" t="s">
        <v>885</v>
      </c>
    </row>
    <row r="18" spans="1:13" s="42" customFormat="1" ht="18.75" x14ac:dyDescent="0.3">
      <c r="A18" s="35"/>
      <c r="B18" s="196"/>
      <c r="C18" s="207"/>
      <c r="D18" s="228"/>
      <c r="E18" s="35"/>
      <c r="F18" s="38"/>
      <c r="G18" s="38"/>
      <c r="H18" s="36"/>
      <c r="I18" s="207"/>
      <c r="J18" s="197"/>
      <c r="K18" s="35"/>
      <c r="L18" s="35"/>
      <c r="M18" s="36"/>
    </row>
    <row r="19" spans="1:13" s="42" customFormat="1" ht="18.75" x14ac:dyDescent="0.3">
      <c r="A19" s="35"/>
      <c r="B19" s="196"/>
      <c r="C19" s="207"/>
      <c r="D19" s="228"/>
      <c r="E19" s="35"/>
      <c r="F19" s="38"/>
      <c r="G19" s="38"/>
      <c r="H19" s="36"/>
      <c r="I19" s="207"/>
      <c r="J19" s="197"/>
      <c r="K19" s="35"/>
      <c r="L19" s="35"/>
      <c r="M19" s="36"/>
    </row>
    <row r="20" spans="1:13" s="42" customFormat="1" ht="23.25" x14ac:dyDescent="0.35">
      <c r="A20" s="35">
        <v>4</v>
      </c>
      <c r="B20" s="222" t="s">
        <v>930</v>
      </c>
      <c r="C20" s="242"/>
      <c r="D20" s="230"/>
      <c r="E20" s="77"/>
      <c r="F20" s="79"/>
      <c r="G20" s="79"/>
      <c r="H20" s="231"/>
      <c r="I20" s="208"/>
      <c r="J20" s="197"/>
      <c r="K20" s="35"/>
      <c r="L20" s="35"/>
      <c r="M20" s="36"/>
    </row>
    <row r="21" spans="1:13" s="42" customFormat="1" ht="23.25" x14ac:dyDescent="0.35">
      <c r="A21" s="35"/>
      <c r="B21" s="196" t="s">
        <v>931</v>
      </c>
      <c r="C21" s="207"/>
      <c r="D21" s="228">
        <v>20</v>
      </c>
      <c r="E21" s="35">
        <v>25</v>
      </c>
      <c r="F21" s="38">
        <v>1550</v>
      </c>
      <c r="G21" s="38">
        <f>E21*F21</f>
        <v>38750</v>
      </c>
      <c r="H21" s="229">
        <f>SUM(G21:G21)</f>
        <v>38750</v>
      </c>
      <c r="I21" s="206"/>
      <c r="J21" s="197">
        <v>2050</v>
      </c>
      <c r="K21" s="38">
        <f>E21*J21</f>
        <v>51250</v>
      </c>
      <c r="L21" s="79">
        <f>SUM(K21:K21)</f>
        <v>51250</v>
      </c>
      <c r="M21" s="36" t="s">
        <v>876</v>
      </c>
    </row>
    <row r="22" spans="1:13" s="42" customFormat="1" ht="23.25" x14ac:dyDescent="0.35">
      <c r="A22" s="35"/>
      <c r="B22" s="196"/>
      <c r="C22" s="207"/>
      <c r="D22" s="228"/>
      <c r="E22" s="35"/>
      <c r="F22" s="38"/>
      <c r="G22" s="38"/>
      <c r="H22" s="229"/>
      <c r="I22" s="206"/>
      <c r="J22" s="197"/>
      <c r="K22" s="35"/>
      <c r="L22" s="35"/>
      <c r="M22" s="36"/>
    </row>
    <row r="23" spans="1:13" s="42" customFormat="1" ht="18.75" x14ac:dyDescent="0.3">
      <c r="A23" s="35"/>
      <c r="B23" s="196"/>
      <c r="C23" s="207"/>
      <c r="D23" s="228"/>
      <c r="E23" s="35"/>
      <c r="F23" s="38"/>
      <c r="G23" s="38"/>
      <c r="H23" s="36"/>
      <c r="I23" s="207"/>
      <c r="J23" s="197"/>
      <c r="K23" s="35"/>
      <c r="L23" s="35"/>
      <c r="M23" s="36"/>
    </row>
    <row r="24" spans="1:13" s="42" customFormat="1" ht="23.25" x14ac:dyDescent="0.35">
      <c r="A24" s="77">
        <v>5</v>
      </c>
      <c r="B24" s="222" t="s">
        <v>932</v>
      </c>
      <c r="C24" s="242"/>
      <c r="D24" s="230"/>
      <c r="E24" s="77"/>
      <c r="F24" s="79"/>
      <c r="G24" s="79"/>
      <c r="H24" s="231"/>
      <c r="I24" s="208"/>
      <c r="J24" s="197"/>
      <c r="K24" s="35"/>
      <c r="L24" s="35"/>
      <c r="M24" s="36"/>
    </row>
    <row r="25" spans="1:13" s="42" customFormat="1" ht="23.25" x14ac:dyDescent="0.35">
      <c r="A25" s="35"/>
      <c r="B25" s="196" t="s">
        <v>937</v>
      </c>
      <c r="C25" s="207"/>
      <c r="D25" s="228">
        <v>100</v>
      </c>
      <c r="E25" s="35">
        <v>1</v>
      </c>
      <c r="F25" s="38">
        <v>73000</v>
      </c>
      <c r="G25" s="38">
        <f>E25*F25</f>
        <v>73000</v>
      </c>
      <c r="H25" s="229"/>
      <c r="I25" s="206"/>
      <c r="J25" s="198">
        <v>140000</v>
      </c>
      <c r="K25" s="38">
        <f>E25*J25</f>
        <v>140000</v>
      </c>
      <c r="L25" s="38"/>
      <c r="M25" s="36" t="s">
        <v>826</v>
      </c>
    </row>
    <row r="26" spans="1:13" s="42" customFormat="1" ht="23.25" x14ac:dyDescent="0.35">
      <c r="A26" s="35"/>
      <c r="B26" s="196" t="s">
        <v>933</v>
      </c>
      <c r="C26" s="207"/>
      <c r="D26" s="228" t="s">
        <v>57</v>
      </c>
      <c r="E26" s="35">
        <v>50</v>
      </c>
      <c r="F26" s="38">
        <v>400</v>
      </c>
      <c r="G26" s="38">
        <f>E26*F26</f>
        <v>20000</v>
      </c>
      <c r="H26" s="229">
        <f>SUM(G25:G26)</f>
        <v>93000</v>
      </c>
      <c r="I26" s="206"/>
      <c r="J26" s="198">
        <v>2300</v>
      </c>
      <c r="K26" s="38">
        <f>E26*J26</f>
        <v>115000</v>
      </c>
      <c r="L26" s="79">
        <f>SUM(K25:K26)</f>
        <v>255000</v>
      </c>
      <c r="M26" s="36" t="s">
        <v>826</v>
      </c>
    </row>
    <row r="27" spans="1:13" s="42" customFormat="1" ht="18.75" x14ac:dyDescent="0.3">
      <c r="A27" s="35"/>
      <c r="B27" s="196"/>
      <c r="C27" s="207"/>
      <c r="D27" s="228"/>
      <c r="E27" s="35"/>
      <c r="F27" s="38"/>
      <c r="G27" s="38"/>
      <c r="H27" s="36"/>
      <c r="I27" s="207"/>
      <c r="J27" s="197"/>
      <c r="K27" s="35"/>
      <c r="L27" s="35"/>
      <c r="M27" s="36"/>
    </row>
    <row r="28" spans="1:13" s="42" customFormat="1" ht="18.75" x14ac:dyDescent="0.3">
      <c r="A28" s="35"/>
      <c r="B28" s="196"/>
      <c r="C28" s="207"/>
      <c r="D28" s="228"/>
      <c r="E28" s="35"/>
      <c r="F28" s="38"/>
      <c r="G28" s="38"/>
      <c r="H28" s="36"/>
      <c r="I28" s="207"/>
      <c r="J28" s="197"/>
      <c r="K28" s="35"/>
      <c r="L28" s="35"/>
      <c r="M28" s="36"/>
    </row>
    <row r="29" spans="1:13" ht="23.25" x14ac:dyDescent="0.35">
      <c r="A29" s="77">
        <v>6</v>
      </c>
      <c r="B29" s="222" t="s">
        <v>934</v>
      </c>
      <c r="C29" s="242"/>
      <c r="D29" s="232"/>
      <c r="E29" s="77"/>
      <c r="F29" s="79"/>
      <c r="G29" s="187"/>
      <c r="H29" s="231"/>
      <c r="I29" s="208"/>
      <c r="J29" s="199"/>
      <c r="K29" s="188"/>
      <c r="L29" s="188"/>
      <c r="M29" s="200"/>
    </row>
    <row r="30" spans="1:13" ht="23.25" x14ac:dyDescent="0.35">
      <c r="A30" s="35"/>
      <c r="B30" s="196" t="s">
        <v>935</v>
      </c>
      <c r="C30" s="207"/>
      <c r="D30" s="228">
        <v>100</v>
      </c>
      <c r="E30" s="35">
        <v>64</v>
      </c>
      <c r="F30" s="38">
        <v>1230</v>
      </c>
      <c r="G30" s="38">
        <f>E30*F30</f>
        <v>78720</v>
      </c>
      <c r="H30" s="229">
        <f>SUM(G30:G30)</f>
        <v>78720</v>
      </c>
      <c r="I30" s="206"/>
      <c r="J30" s="201">
        <v>3250</v>
      </c>
      <c r="K30" s="38">
        <f>E30*J30</f>
        <v>208000</v>
      </c>
      <c r="L30" s="79">
        <f>SUM(K30:K30)</f>
        <v>208000</v>
      </c>
      <c r="M30" s="36" t="s">
        <v>888</v>
      </c>
    </row>
    <row r="31" spans="1:13" ht="23.25" x14ac:dyDescent="0.35">
      <c r="A31" s="35"/>
      <c r="B31" s="196"/>
      <c r="C31" s="207"/>
      <c r="D31" s="228"/>
      <c r="E31" s="35"/>
      <c r="F31" s="38"/>
      <c r="G31" s="38"/>
      <c r="H31" s="229"/>
      <c r="I31" s="206"/>
      <c r="J31" s="199"/>
      <c r="K31" s="188"/>
      <c r="L31" s="188"/>
      <c r="M31" s="200"/>
    </row>
    <row r="32" spans="1:13" ht="23.25" x14ac:dyDescent="0.35">
      <c r="A32" s="35"/>
      <c r="B32" s="196"/>
      <c r="C32" s="207"/>
      <c r="D32" s="228"/>
      <c r="E32" s="35"/>
      <c r="F32" s="38"/>
      <c r="G32" s="38"/>
      <c r="H32" s="229"/>
      <c r="I32" s="206"/>
      <c r="J32" s="199"/>
      <c r="K32" s="188"/>
      <c r="L32" s="188"/>
      <c r="M32" s="200"/>
    </row>
    <row r="33" spans="1:13" s="42" customFormat="1" ht="23.25" x14ac:dyDescent="0.35">
      <c r="A33" s="35">
        <v>7</v>
      </c>
      <c r="B33" s="222" t="s">
        <v>938</v>
      </c>
      <c r="C33" s="242"/>
      <c r="D33" s="228"/>
      <c r="E33" s="35"/>
      <c r="F33" s="38"/>
      <c r="G33" s="38"/>
      <c r="H33" s="39"/>
      <c r="I33" s="205"/>
      <c r="J33" s="197"/>
      <c r="K33" s="35"/>
      <c r="L33" s="35"/>
      <c r="M33" s="36"/>
    </row>
    <row r="34" spans="1:13" s="42" customFormat="1" ht="23.25" x14ac:dyDescent="0.35">
      <c r="A34" s="35"/>
      <c r="B34" s="196" t="s">
        <v>939</v>
      </c>
      <c r="C34" s="207"/>
      <c r="D34" s="228">
        <v>100</v>
      </c>
      <c r="E34" s="35">
        <v>10</v>
      </c>
      <c r="F34" s="38">
        <v>1700</v>
      </c>
      <c r="G34" s="38">
        <f>E34*F34</f>
        <v>17000</v>
      </c>
      <c r="H34" s="229">
        <f>SUM(G34:G34)</f>
        <v>17000</v>
      </c>
      <c r="I34" s="206"/>
      <c r="J34" s="198">
        <v>3150</v>
      </c>
      <c r="K34" s="38">
        <f>E34*J34</f>
        <v>31500</v>
      </c>
      <c r="L34" s="79">
        <f>SUM(K34:K34)</f>
        <v>31500</v>
      </c>
      <c r="M34" s="36" t="s">
        <v>1009</v>
      </c>
    </row>
    <row r="35" spans="1:13" s="42" customFormat="1" ht="18.75" x14ac:dyDescent="0.3">
      <c r="A35" s="35"/>
      <c r="B35" s="196"/>
      <c r="C35" s="207"/>
      <c r="D35" s="228"/>
      <c r="E35" s="35"/>
      <c r="F35" s="38"/>
      <c r="G35" s="38"/>
      <c r="H35" s="36"/>
      <c r="I35" s="207"/>
      <c r="J35" s="197"/>
      <c r="K35" s="35"/>
      <c r="L35" s="35"/>
      <c r="M35" s="36"/>
    </row>
    <row r="36" spans="1:13" x14ac:dyDescent="0.35">
      <c r="A36" s="35"/>
      <c r="B36" s="220"/>
      <c r="C36" s="243"/>
      <c r="D36" s="233"/>
      <c r="E36" s="189"/>
      <c r="F36" s="190"/>
      <c r="G36" s="191"/>
      <c r="H36" s="234"/>
      <c r="I36" s="209"/>
      <c r="J36" s="199"/>
      <c r="K36" s="188"/>
      <c r="L36" s="188"/>
      <c r="M36" s="200"/>
    </row>
    <row r="37" spans="1:13" ht="21.75" thickBot="1" x14ac:dyDescent="0.4">
      <c r="A37" s="35"/>
      <c r="B37" s="220"/>
      <c r="C37" s="243"/>
      <c r="D37" s="233"/>
      <c r="E37" s="189"/>
      <c r="F37" s="190"/>
      <c r="G37" s="191"/>
      <c r="H37" s="235"/>
      <c r="I37" s="210"/>
      <c r="J37" s="199"/>
      <c r="K37" s="188"/>
      <c r="L37" s="217"/>
      <c r="M37" s="200"/>
    </row>
    <row r="38" spans="1:13" ht="27" thickBot="1" x14ac:dyDescent="0.45">
      <c r="A38" s="35"/>
      <c r="B38" s="220"/>
      <c r="C38" s="244"/>
      <c r="D38" s="236"/>
      <c r="E38" s="237"/>
      <c r="F38" s="238"/>
      <c r="G38" s="239" t="s">
        <v>666</v>
      </c>
      <c r="H38" s="194">
        <f>SUM(H5:H35)</f>
        <v>2765070</v>
      </c>
      <c r="I38" s="223"/>
      <c r="J38" s="202"/>
      <c r="K38" s="215"/>
      <c r="L38" s="218">
        <f>SUM(L5:L34)</f>
        <v>6089550</v>
      </c>
      <c r="M38" s="216"/>
    </row>
    <row r="49" spans="1:7" ht="23.25" x14ac:dyDescent="0.35">
      <c r="B49" s="867" t="s">
        <v>1011</v>
      </c>
      <c r="C49" s="867"/>
      <c r="D49" s="867"/>
      <c r="E49" s="867"/>
      <c r="F49" s="867"/>
      <c r="G49" s="867"/>
    </row>
    <row r="51" spans="1:7" ht="26.25" x14ac:dyDescent="0.4">
      <c r="A51" s="35"/>
      <c r="B51" s="195" t="s">
        <v>917</v>
      </c>
      <c r="C51" s="195"/>
      <c r="D51" s="849" t="s">
        <v>918</v>
      </c>
      <c r="E51" s="849"/>
      <c r="F51" s="849"/>
      <c r="G51" s="849"/>
    </row>
    <row r="52" spans="1:7" x14ac:dyDescent="0.35">
      <c r="A52" s="35"/>
      <c r="B52" s="188"/>
      <c r="C52" s="188"/>
      <c r="D52" s="845"/>
      <c r="E52" s="845"/>
      <c r="F52" s="845"/>
      <c r="G52" s="845"/>
    </row>
    <row r="53" spans="1:7" x14ac:dyDescent="0.35">
      <c r="A53" s="35">
        <v>1</v>
      </c>
      <c r="B53" s="35" t="str">
        <f>B4</f>
        <v>EXCEL CHARIS PHARM. CHEM. LTD</v>
      </c>
      <c r="C53" s="35"/>
      <c r="D53" s="841">
        <f>H5</f>
        <v>20600</v>
      </c>
      <c r="E53" s="842"/>
      <c r="F53" s="842"/>
      <c r="G53" s="842"/>
    </row>
    <row r="54" spans="1:7" x14ac:dyDescent="0.35">
      <c r="A54" s="35">
        <f t="shared" ref="A54:A59" si="0">1+A53</f>
        <v>2</v>
      </c>
      <c r="B54" s="35" t="str">
        <f>B8</f>
        <v>GRAY PHARMACEUTICALS LIMITED</v>
      </c>
      <c r="C54" s="35"/>
      <c r="D54" s="841">
        <f>H10</f>
        <v>438000</v>
      </c>
      <c r="E54" s="842"/>
      <c r="F54" s="842"/>
      <c r="G54" s="842"/>
    </row>
    <row r="55" spans="1:7" x14ac:dyDescent="0.35">
      <c r="A55" s="35">
        <f t="shared" si="0"/>
        <v>3</v>
      </c>
      <c r="B55" s="35" t="str">
        <f>B13</f>
        <v>HOSPITAL MANAGEMENT BOARD (CENTRAL MEDICAL STORE), ABEOKUTA</v>
      </c>
      <c r="C55" s="35"/>
      <c r="D55" s="841">
        <f>H17</f>
        <v>2079000</v>
      </c>
      <c r="E55" s="842"/>
      <c r="F55" s="842"/>
      <c r="G55" s="842"/>
    </row>
    <row r="56" spans="1:7" x14ac:dyDescent="0.35">
      <c r="A56" s="35">
        <f t="shared" si="0"/>
        <v>4</v>
      </c>
      <c r="B56" s="35" t="str">
        <f>B20</f>
        <v>IPCA</v>
      </c>
      <c r="C56" s="35"/>
      <c r="D56" s="841">
        <f>H21</f>
        <v>38750</v>
      </c>
      <c r="E56" s="842"/>
      <c r="F56" s="842"/>
      <c r="G56" s="842"/>
    </row>
    <row r="57" spans="1:7" x14ac:dyDescent="0.35">
      <c r="A57" s="35">
        <f t="shared" si="0"/>
        <v>5</v>
      </c>
      <c r="B57" s="35" t="str">
        <f>B24</f>
        <v>PEACEMARK PHARMACEUTICALS NIG. LTD.</v>
      </c>
      <c r="C57" s="35"/>
      <c r="D57" s="841">
        <f>H26</f>
        <v>93000</v>
      </c>
      <c r="E57" s="842"/>
      <c r="F57" s="842"/>
      <c r="G57" s="842"/>
    </row>
    <row r="58" spans="1:7" x14ac:dyDescent="0.35">
      <c r="A58" s="35">
        <f t="shared" si="0"/>
        <v>6</v>
      </c>
      <c r="B58" s="35" t="str">
        <f>B29</f>
        <v>PHAMATEX NIGERIA LIMITED</v>
      </c>
      <c r="C58" s="35"/>
      <c r="D58" s="841">
        <f>H30</f>
        <v>78720</v>
      </c>
      <c r="E58" s="842"/>
      <c r="F58" s="842"/>
      <c r="G58" s="842"/>
    </row>
    <row r="59" spans="1:7" x14ac:dyDescent="0.35">
      <c r="A59" s="35">
        <f t="shared" si="0"/>
        <v>7</v>
      </c>
      <c r="B59" s="35" t="str">
        <f>B33</f>
        <v>WORLDWIDE COMMERCIAL VENTURES (STRIDES SHASUN)</v>
      </c>
      <c r="C59" s="35"/>
      <c r="D59" s="841">
        <f>H34</f>
        <v>17000</v>
      </c>
      <c r="E59" s="842"/>
      <c r="F59" s="842"/>
      <c r="G59" s="842"/>
    </row>
    <row r="60" spans="1:7" ht="21.75" thickBot="1" x14ac:dyDescent="0.4">
      <c r="D60" s="836"/>
      <c r="E60" s="836"/>
      <c r="F60" s="836"/>
      <c r="G60" s="836"/>
    </row>
    <row r="61" spans="1:7" ht="29.25" thickBot="1" x14ac:dyDescent="0.5">
      <c r="D61" s="846">
        <f>SUM(D53:G59)</f>
        <v>2765070</v>
      </c>
      <c r="E61" s="847"/>
      <c r="F61" s="847"/>
      <c r="G61" s="848"/>
    </row>
    <row r="62" spans="1:7" x14ac:dyDescent="0.35">
      <c r="D62" s="836"/>
      <c r="E62" s="836"/>
      <c r="F62" s="836"/>
      <c r="G62" s="836"/>
    </row>
  </sheetData>
  <mergeCells count="16">
    <mergeCell ref="D62:G62"/>
    <mergeCell ref="F2:H2"/>
    <mergeCell ref="J2:M2"/>
    <mergeCell ref="B49:G49"/>
    <mergeCell ref="A1:M1"/>
    <mergeCell ref="D56:G56"/>
    <mergeCell ref="D57:G57"/>
    <mergeCell ref="D58:G58"/>
    <mergeCell ref="D59:G59"/>
    <mergeCell ref="D60:G60"/>
    <mergeCell ref="D61:G61"/>
    <mergeCell ref="D51:G51"/>
    <mergeCell ref="D52:G52"/>
    <mergeCell ref="D53:G53"/>
    <mergeCell ref="D54:G54"/>
    <mergeCell ref="D55:G55"/>
  </mergeCells>
  <pageMargins left="0.25" right="0.25" top="0.75" bottom="0.75" header="0.3" footer="0.3"/>
  <pageSetup scale="48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50"/>
  <sheetViews>
    <sheetView view="pageBreakPreview" zoomScale="60" zoomScaleNormal="100" workbookViewId="0">
      <selection activeCell="F100" sqref="F100"/>
    </sheetView>
  </sheetViews>
  <sheetFormatPr defaultRowHeight="18.75" x14ac:dyDescent="0.3"/>
  <cols>
    <col min="1" max="1" width="5.7109375" customWidth="1"/>
    <col min="2" max="2" width="42.28515625" style="126" customWidth="1"/>
    <col min="3" max="3" width="21.42578125" style="126" customWidth="1"/>
    <col min="4" max="4" width="21.7109375" style="127" customWidth="1"/>
    <col min="5" max="5" width="16.28515625" style="126" customWidth="1"/>
    <col min="6" max="6" width="15.7109375" style="126" customWidth="1"/>
    <col min="7" max="7" width="16" style="126" customWidth="1"/>
    <col min="8" max="8" width="16.7109375" style="126" customWidth="1"/>
    <col min="9" max="9" width="17.140625" style="126" customWidth="1"/>
    <col min="10" max="10" width="22.42578125" style="127" customWidth="1"/>
    <col min="11" max="11" width="25.28515625" customWidth="1"/>
  </cols>
  <sheetData>
    <row r="1" spans="1:11" ht="31.5" x14ac:dyDescent="0.5">
      <c r="A1" s="843" t="s">
        <v>613</v>
      </c>
      <c r="B1" s="843"/>
      <c r="C1" s="843"/>
      <c r="D1" s="843"/>
      <c r="E1" s="843"/>
      <c r="F1" s="843"/>
      <c r="G1" s="843"/>
      <c r="H1" s="843"/>
      <c r="I1" s="843"/>
      <c r="J1" s="843"/>
      <c r="K1" s="843"/>
    </row>
    <row r="2" spans="1:11" ht="26.25" x14ac:dyDescent="0.4">
      <c r="A2" s="870" t="s">
        <v>849</v>
      </c>
      <c r="B2" s="870"/>
      <c r="C2" s="870"/>
      <c r="D2" s="870"/>
      <c r="E2" s="870"/>
      <c r="F2" s="870"/>
      <c r="G2" s="870"/>
      <c r="H2" s="870"/>
      <c r="I2" s="870"/>
      <c r="J2" s="870"/>
      <c r="K2" s="870"/>
    </row>
    <row r="3" spans="1:11" x14ac:dyDescent="0.3">
      <c r="C3" s="869" t="s">
        <v>851</v>
      </c>
      <c r="D3" s="869"/>
      <c r="E3" s="869"/>
      <c r="F3" s="869"/>
      <c r="G3" s="869"/>
      <c r="H3" s="869"/>
      <c r="I3" s="869"/>
      <c r="J3" s="869"/>
    </row>
    <row r="4" spans="1:11" s="121" customFormat="1" ht="57" thickBot="1" x14ac:dyDescent="0.3">
      <c r="B4" s="21" t="s">
        <v>850</v>
      </c>
      <c r="C4" s="122" t="s">
        <v>502</v>
      </c>
      <c r="D4" s="72" t="s">
        <v>503</v>
      </c>
      <c r="E4" s="122" t="s">
        <v>652</v>
      </c>
      <c r="F4" s="122" t="s">
        <v>504</v>
      </c>
      <c r="G4" s="122" t="s">
        <v>505</v>
      </c>
      <c r="H4" s="122" t="s">
        <v>506</v>
      </c>
      <c r="I4" s="122" t="s">
        <v>507</v>
      </c>
      <c r="J4" s="245" t="s">
        <v>508</v>
      </c>
      <c r="K4" s="21" t="s">
        <v>1012</v>
      </c>
    </row>
    <row r="5" spans="1:11" s="121" customFormat="1" ht="30" hidden="1" x14ac:dyDescent="0.25">
      <c r="A5" s="121" t="s">
        <v>852</v>
      </c>
      <c r="B5" s="24" t="s">
        <v>853</v>
      </c>
      <c r="C5" s="124" t="s">
        <v>854</v>
      </c>
      <c r="D5" s="125" t="s">
        <v>855</v>
      </c>
      <c r="E5" s="124" t="s">
        <v>856</v>
      </c>
      <c r="F5" s="124" t="s">
        <v>857</v>
      </c>
      <c r="G5" s="124" t="s">
        <v>858</v>
      </c>
      <c r="H5" s="124" t="s">
        <v>859</v>
      </c>
      <c r="I5" s="124" t="s">
        <v>860</v>
      </c>
      <c r="J5" s="125" t="s">
        <v>861</v>
      </c>
      <c r="K5" s="247"/>
    </row>
    <row r="6" spans="1:11" s="123" customFormat="1" ht="38.25" thickBot="1" x14ac:dyDescent="0.35">
      <c r="A6" s="123">
        <f>N!A4</f>
        <v>1</v>
      </c>
      <c r="B6" s="128" t="str">
        <f>N!B4</f>
        <v>ALPHA PHARMACY AND STORES LTD</v>
      </c>
      <c r="C6" s="128" t="s">
        <v>841</v>
      </c>
      <c r="D6" s="129">
        <f>J6*0.03</f>
        <v>1847275.8</v>
      </c>
      <c r="E6" s="128" t="s">
        <v>841</v>
      </c>
      <c r="F6" s="128" t="s">
        <v>841</v>
      </c>
      <c r="G6" s="128" t="s">
        <v>841</v>
      </c>
      <c r="H6" s="128" t="s">
        <v>841</v>
      </c>
      <c r="I6" s="128" t="s">
        <v>841</v>
      </c>
      <c r="J6" s="246">
        <v>61575860</v>
      </c>
      <c r="K6" s="248"/>
    </row>
    <row r="7" spans="1:11" s="123" customFormat="1" x14ac:dyDescent="0.3">
      <c r="A7" s="123">
        <f>N!A5</f>
        <v>2</v>
      </c>
      <c r="B7" s="128" t="str">
        <f>N!B5</f>
        <v>ASSENE LABOREX LIMITED</v>
      </c>
      <c r="C7" s="128" t="s">
        <v>841</v>
      </c>
      <c r="D7" s="129">
        <f t="shared" ref="D7:D50" si="0">J7*0.03</f>
        <v>179187</v>
      </c>
      <c r="E7" s="128" t="s">
        <v>841</v>
      </c>
      <c r="F7" s="128" t="s">
        <v>841</v>
      </c>
      <c r="G7" s="128" t="s">
        <v>841</v>
      </c>
      <c r="H7" s="128" t="s">
        <v>841</v>
      </c>
      <c r="I7" s="128" t="s">
        <v>841</v>
      </c>
      <c r="J7" s="129">
        <v>5972900</v>
      </c>
      <c r="K7" s="248"/>
    </row>
    <row r="8" spans="1:11" s="123" customFormat="1" ht="37.5" x14ac:dyDescent="0.3">
      <c r="A8" s="123">
        <f>N!A6</f>
        <v>3</v>
      </c>
      <c r="B8" s="128" t="str">
        <f>N!B6</f>
        <v>BIOFEM PHARMACEUTICALS LIMITED</v>
      </c>
      <c r="C8" s="128" t="s">
        <v>841</v>
      </c>
      <c r="D8" s="129">
        <f t="shared" si="0"/>
        <v>145380</v>
      </c>
      <c r="E8" s="128" t="s">
        <v>841</v>
      </c>
      <c r="F8" s="130"/>
      <c r="G8" s="130"/>
      <c r="H8" s="128" t="s">
        <v>841</v>
      </c>
      <c r="I8" s="128" t="s">
        <v>841</v>
      </c>
      <c r="J8" s="129">
        <v>4846000</v>
      </c>
      <c r="K8" s="248"/>
    </row>
    <row r="9" spans="1:11" s="123" customFormat="1" x14ac:dyDescent="0.3">
      <c r="A9" s="163">
        <f>N!A7</f>
        <v>4</v>
      </c>
      <c r="B9" s="128" t="str">
        <f>N!B7</f>
        <v>BIOMEDICALS LIMITED</v>
      </c>
      <c r="C9" s="128" t="s">
        <v>841</v>
      </c>
      <c r="D9" s="129">
        <f t="shared" si="0"/>
        <v>757455</v>
      </c>
      <c r="E9" s="128" t="s">
        <v>841</v>
      </c>
      <c r="F9" s="128" t="s">
        <v>841</v>
      </c>
      <c r="G9" s="128" t="s">
        <v>841</v>
      </c>
      <c r="H9" s="128" t="s">
        <v>841</v>
      </c>
      <c r="I9" s="128" t="s">
        <v>841</v>
      </c>
      <c r="J9" s="129">
        <v>25248500</v>
      </c>
      <c r="K9" s="248"/>
    </row>
    <row r="10" spans="1:11" s="123" customFormat="1" x14ac:dyDescent="0.3">
      <c r="A10" s="123">
        <f>N!A8</f>
        <v>5</v>
      </c>
      <c r="B10" s="128" t="str">
        <f>N!B8</f>
        <v>CHI PHARMACEUTICALS</v>
      </c>
      <c r="C10" s="128" t="s">
        <v>841</v>
      </c>
      <c r="D10" s="129">
        <f t="shared" si="0"/>
        <v>88346.4</v>
      </c>
      <c r="E10" s="128" t="s">
        <v>841</v>
      </c>
      <c r="F10" s="128" t="s">
        <v>841</v>
      </c>
      <c r="G10" s="128" t="s">
        <v>841</v>
      </c>
      <c r="H10" s="128" t="s">
        <v>841</v>
      </c>
      <c r="I10" s="128" t="s">
        <v>841</v>
      </c>
      <c r="J10" s="129">
        <v>2944880</v>
      </c>
      <c r="K10" s="248"/>
    </row>
    <row r="11" spans="1:11" s="123" customFormat="1" x14ac:dyDescent="0.3">
      <c r="A11" s="163">
        <f>N!A9</f>
        <v>6</v>
      </c>
      <c r="B11" s="128" t="str">
        <f>N!B9</f>
        <v>CLARION MEDICALS LIMITED</v>
      </c>
      <c r="C11" s="128" t="s">
        <v>841</v>
      </c>
      <c r="D11" s="129">
        <f t="shared" si="0"/>
        <v>177358.65</v>
      </c>
      <c r="E11" s="128" t="s">
        <v>841</v>
      </c>
      <c r="F11" s="128" t="s">
        <v>841</v>
      </c>
      <c r="G11" s="130"/>
      <c r="H11" s="128" t="s">
        <v>841</v>
      </c>
      <c r="I11" s="128" t="s">
        <v>841</v>
      </c>
      <c r="J11" s="129">
        <v>5911955</v>
      </c>
      <c r="K11" s="248"/>
    </row>
    <row r="12" spans="1:11" s="123" customFormat="1" x14ac:dyDescent="0.3">
      <c r="A12" s="123">
        <f>N!A10</f>
        <v>7</v>
      </c>
      <c r="B12" s="128" t="e">
        <f>N!#REF!</f>
        <v>#REF!</v>
      </c>
      <c r="C12" s="128" t="s">
        <v>841</v>
      </c>
      <c r="D12" s="129">
        <f t="shared" si="0"/>
        <v>511783.94999999995</v>
      </c>
      <c r="E12" s="128" t="s">
        <v>841</v>
      </c>
      <c r="F12" s="128" t="s">
        <v>841</v>
      </c>
      <c r="G12" s="128" t="s">
        <v>841</v>
      </c>
      <c r="H12" s="128"/>
      <c r="I12" s="128" t="s">
        <v>841</v>
      </c>
      <c r="J12" s="129">
        <v>17059465</v>
      </c>
      <c r="K12" s="248"/>
    </row>
    <row r="13" spans="1:11" s="123" customFormat="1" ht="37.5" x14ac:dyDescent="0.3">
      <c r="A13" s="123">
        <f>N!A11</f>
        <v>8</v>
      </c>
      <c r="B13" s="128" t="str">
        <f>N!B10</f>
        <v>CODIX PHARMACEUTICALS LIMITED</v>
      </c>
      <c r="C13" s="128"/>
      <c r="D13" s="129">
        <f t="shared" si="0"/>
        <v>537953.69999999995</v>
      </c>
      <c r="E13" s="128" t="s">
        <v>841</v>
      </c>
      <c r="F13" s="128"/>
      <c r="G13" s="128"/>
      <c r="H13" s="128" t="s">
        <v>841</v>
      </c>
      <c r="I13" s="128"/>
      <c r="J13" s="129">
        <v>17931790</v>
      </c>
      <c r="K13" s="248"/>
    </row>
    <row r="14" spans="1:11" s="123" customFormat="1" ht="37.5" x14ac:dyDescent="0.3">
      <c r="A14" s="123">
        <f>N!A12</f>
        <v>9</v>
      </c>
      <c r="B14" s="128" t="str">
        <f>N!B11</f>
        <v>COSMADE EASY MEDICALS LIMITED</v>
      </c>
      <c r="C14" s="128" t="s">
        <v>841</v>
      </c>
      <c r="D14" s="129">
        <f t="shared" si="0"/>
        <v>766140.65999999992</v>
      </c>
      <c r="E14" s="128" t="s">
        <v>841</v>
      </c>
      <c r="F14" s="128" t="s">
        <v>841</v>
      </c>
      <c r="G14" s="128" t="s">
        <v>841</v>
      </c>
      <c r="H14" s="128" t="s">
        <v>841</v>
      </c>
      <c r="I14" s="128" t="s">
        <v>841</v>
      </c>
      <c r="J14" s="129">
        <v>25538022</v>
      </c>
      <c r="K14" s="248"/>
    </row>
    <row r="15" spans="1:11" s="123" customFormat="1" ht="37.5" x14ac:dyDescent="0.3">
      <c r="A15" s="123">
        <f>N!A13</f>
        <v>10</v>
      </c>
      <c r="B15" s="128" t="str">
        <f>N!B12</f>
        <v>DE SANCON &amp; ASSOCIATES LIMITED</v>
      </c>
      <c r="C15" s="128" t="s">
        <v>841</v>
      </c>
      <c r="D15" s="129">
        <f t="shared" si="0"/>
        <v>607431</v>
      </c>
      <c r="E15" s="128" t="s">
        <v>841</v>
      </c>
      <c r="F15" s="128" t="s">
        <v>841</v>
      </c>
      <c r="G15" s="128" t="s">
        <v>841</v>
      </c>
      <c r="H15" s="128" t="s">
        <v>841</v>
      </c>
      <c r="I15" s="128" t="s">
        <v>841</v>
      </c>
      <c r="J15" s="129">
        <v>20247700</v>
      </c>
      <c r="K15" s="248"/>
    </row>
    <row r="16" spans="1:11" s="123" customFormat="1" x14ac:dyDescent="0.3">
      <c r="A16" s="123">
        <f>N!A14</f>
        <v>11</v>
      </c>
      <c r="B16" s="128" t="str">
        <f>N!B13</f>
        <v>DEVON PHARMACEUTICALS</v>
      </c>
      <c r="C16" s="128" t="s">
        <v>841</v>
      </c>
      <c r="D16" s="129">
        <f t="shared" si="0"/>
        <v>445361.39999999997</v>
      </c>
      <c r="E16" s="128" t="s">
        <v>841</v>
      </c>
      <c r="F16" s="128" t="s">
        <v>841</v>
      </c>
      <c r="G16" s="128" t="s">
        <v>841</v>
      </c>
      <c r="H16" s="128"/>
      <c r="I16" s="128" t="s">
        <v>841</v>
      </c>
      <c r="J16" s="129">
        <v>14845380</v>
      </c>
      <c r="K16" s="248"/>
    </row>
    <row r="17" spans="1:11" s="123" customFormat="1" x14ac:dyDescent="0.3">
      <c r="A17" s="123">
        <f>N!A15</f>
        <v>12</v>
      </c>
      <c r="B17" s="128" t="str">
        <f>N!B14</f>
        <v>DORTEMAG VENTURES LIMITED</v>
      </c>
      <c r="C17" s="128" t="s">
        <v>841</v>
      </c>
      <c r="D17" s="129">
        <f t="shared" si="0"/>
        <v>765830.1</v>
      </c>
      <c r="E17" s="128" t="s">
        <v>841</v>
      </c>
      <c r="F17" s="128" t="s">
        <v>841</v>
      </c>
      <c r="G17" s="128" t="s">
        <v>841</v>
      </c>
      <c r="H17" s="128" t="s">
        <v>841</v>
      </c>
      <c r="I17" s="128" t="s">
        <v>841</v>
      </c>
      <c r="J17" s="129">
        <v>25527670</v>
      </c>
      <c r="K17" s="248"/>
    </row>
    <row r="18" spans="1:11" s="123" customFormat="1" ht="37.5" x14ac:dyDescent="0.3">
      <c r="A18" s="123">
        <f>N!A16</f>
        <v>13</v>
      </c>
      <c r="B18" s="128" t="str">
        <f>N!B15</f>
        <v>DRUGFIELD PHARMACEUTICALS LIMITED</v>
      </c>
      <c r="C18" s="128" t="s">
        <v>841</v>
      </c>
      <c r="D18" s="129">
        <f t="shared" si="0"/>
        <v>784857.29999999993</v>
      </c>
      <c r="E18" s="128" t="s">
        <v>841</v>
      </c>
      <c r="F18" s="128" t="s">
        <v>841</v>
      </c>
      <c r="G18" s="128" t="s">
        <v>841</v>
      </c>
      <c r="H18" s="128" t="s">
        <v>841</v>
      </c>
      <c r="I18" s="128" t="s">
        <v>841</v>
      </c>
      <c r="J18" s="129">
        <v>26161910</v>
      </c>
      <c r="K18" s="248"/>
    </row>
    <row r="19" spans="1:11" s="123" customFormat="1" ht="37.5" x14ac:dyDescent="0.3">
      <c r="A19" s="123">
        <f>N!A17</f>
        <v>14</v>
      </c>
      <c r="B19" s="128" t="str">
        <f>N!B16</f>
        <v>DYNAMIC ANCHOR SOURCE LIMITED</v>
      </c>
      <c r="C19" s="128" t="s">
        <v>841</v>
      </c>
      <c r="D19" s="129">
        <f t="shared" si="0"/>
        <v>12046453.469999999</v>
      </c>
      <c r="E19" s="128" t="s">
        <v>841</v>
      </c>
      <c r="F19" s="128" t="s">
        <v>841</v>
      </c>
      <c r="G19" s="128" t="s">
        <v>841</v>
      </c>
      <c r="H19" s="128" t="s">
        <v>841</v>
      </c>
      <c r="I19" s="128" t="s">
        <v>841</v>
      </c>
      <c r="J19" s="129">
        <v>401548449</v>
      </c>
      <c r="K19" s="248"/>
    </row>
    <row r="20" spans="1:11" s="123" customFormat="1" ht="37.5" x14ac:dyDescent="0.3">
      <c r="A20" s="123">
        <f>N!A18</f>
        <v>15</v>
      </c>
      <c r="B20" s="128" t="str">
        <f>N!B17</f>
        <v>EMZOR PHARMACEUTICALS LIMITED</v>
      </c>
      <c r="C20" s="128" t="s">
        <v>841</v>
      </c>
      <c r="D20" s="129">
        <f t="shared" si="0"/>
        <v>241959.15</v>
      </c>
      <c r="E20" s="128" t="s">
        <v>841</v>
      </c>
      <c r="F20" s="128" t="s">
        <v>841</v>
      </c>
      <c r="G20" s="128" t="s">
        <v>841</v>
      </c>
      <c r="H20" s="128" t="s">
        <v>841</v>
      </c>
      <c r="I20" s="128"/>
      <c r="J20" s="129">
        <v>8065305</v>
      </c>
      <c r="K20" s="248"/>
    </row>
    <row r="21" spans="1:11" s="123" customFormat="1" x14ac:dyDescent="0.3">
      <c r="A21" s="123">
        <f>N!A19</f>
        <v>16</v>
      </c>
      <c r="B21" s="128" t="str">
        <f>N!B18</f>
        <v>EUMATT SERVICES LIMITED</v>
      </c>
      <c r="C21" s="128" t="s">
        <v>841</v>
      </c>
      <c r="D21" s="129">
        <f t="shared" si="0"/>
        <v>861560.1</v>
      </c>
      <c r="E21" s="128" t="s">
        <v>841</v>
      </c>
      <c r="F21" s="128" t="s">
        <v>841</v>
      </c>
      <c r="G21" s="128" t="s">
        <v>841</v>
      </c>
      <c r="H21" s="128" t="s">
        <v>841</v>
      </c>
      <c r="I21" s="128" t="s">
        <v>841</v>
      </c>
      <c r="J21" s="129">
        <v>28718670</v>
      </c>
      <c r="K21" s="248"/>
    </row>
    <row r="22" spans="1:11" s="123" customFormat="1" x14ac:dyDescent="0.3">
      <c r="A22" s="123">
        <f>N!A20</f>
        <v>17</v>
      </c>
      <c r="B22" s="128" t="str">
        <f>N!B19</f>
        <v>FIDSON HEALTHCARE LIMITED</v>
      </c>
      <c r="C22" s="128" t="s">
        <v>841</v>
      </c>
      <c r="D22" s="129">
        <f t="shared" si="0"/>
        <v>748276.07219999994</v>
      </c>
      <c r="E22" s="128" t="s">
        <v>841</v>
      </c>
      <c r="F22" s="128" t="s">
        <v>841</v>
      </c>
      <c r="G22" s="128" t="s">
        <v>841</v>
      </c>
      <c r="H22" s="128" t="s">
        <v>841</v>
      </c>
      <c r="I22" s="128" t="s">
        <v>841</v>
      </c>
      <c r="J22" s="129">
        <v>24942535.739999998</v>
      </c>
      <c r="K22" s="248"/>
    </row>
    <row r="23" spans="1:11" s="123" customFormat="1" ht="37.5" x14ac:dyDescent="0.3">
      <c r="A23" s="163">
        <f>N!A21</f>
        <v>18</v>
      </c>
      <c r="B23" s="128" t="str">
        <f>N!B20</f>
        <v>FIRST CHOICE GLOBAL UTILITIES LIMITED</v>
      </c>
      <c r="C23" s="128" t="s">
        <v>841</v>
      </c>
      <c r="D23" s="129">
        <f t="shared" si="0"/>
        <v>1040756.6939999999</v>
      </c>
      <c r="E23" s="128" t="s">
        <v>841</v>
      </c>
      <c r="F23" s="128"/>
      <c r="G23" s="128" t="s">
        <v>841</v>
      </c>
      <c r="H23" s="128" t="s">
        <v>841</v>
      </c>
      <c r="I23" s="128" t="s">
        <v>841</v>
      </c>
      <c r="J23" s="129">
        <v>34691889.799999997</v>
      </c>
      <c r="K23" s="248"/>
    </row>
    <row r="24" spans="1:11" s="123" customFormat="1" ht="37.5" x14ac:dyDescent="0.3">
      <c r="A24" s="123">
        <f>N!A22</f>
        <v>19</v>
      </c>
      <c r="B24" s="128" t="str">
        <f>N!B21</f>
        <v>GENEITH PHARMACEUTICALS LIMITED</v>
      </c>
      <c r="C24" s="128" t="s">
        <v>841</v>
      </c>
      <c r="D24" s="129">
        <f t="shared" si="0"/>
        <v>3000006</v>
      </c>
      <c r="E24" s="128" t="s">
        <v>841</v>
      </c>
      <c r="F24" s="128" t="s">
        <v>841</v>
      </c>
      <c r="G24" s="128" t="s">
        <v>841</v>
      </c>
      <c r="H24" s="128" t="s">
        <v>841</v>
      </c>
      <c r="I24" s="128" t="s">
        <v>841</v>
      </c>
      <c r="J24" s="129">
        <v>100000200</v>
      </c>
      <c r="K24" s="248"/>
    </row>
    <row r="25" spans="1:11" s="123" customFormat="1" x14ac:dyDescent="0.3">
      <c r="A25" s="123">
        <f>N!A23</f>
        <v>20</v>
      </c>
      <c r="B25" s="128" t="str">
        <f>N!B22</f>
        <v>GINOS VENTURES LIMITED</v>
      </c>
      <c r="C25" s="128" t="s">
        <v>841</v>
      </c>
      <c r="D25" s="131">
        <f t="shared" si="0"/>
        <v>253132.60049999997</v>
      </c>
      <c r="E25" s="128" t="s">
        <v>841</v>
      </c>
      <c r="F25" s="128" t="s">
        <v>841</v>
      </c>
      <c r="G25" s="128"/>
      <c r="H25" s="128" t="s">
        <v>841</v>
      </c>
      <c r="I25" s="128" t="s">
        <v>841</v>
      </c>
      <c r="J25" s="129">
        <v>8437753.3499999996</v>
      </c>
      <c r="K25" s="248"/>
    </row>
    <row r="26" spans="1:11" s="123" customFormat="1" x14ac:dyDescent="0.3">
      <c r="A26" s="123">
        <f>N!A24</f>
        <v>21</v>
      </c>
      <c r="B26" s="128" t="str">
        <f>N!B23</f>
        <v>GLAXOSMITHKLINE PHARM. LTD</v>
      </c>
      <c r="C26" s="128" t="s">
        <v>841</v>
      </c>
      <c r="D26" s="129">
        <f t="shared" si="0"/>
        <v>191388</v>
      </c>
      <c r="E26" s="128" t="s">
        <v>841</v>
      </c>
      <c r="F26" s="128" t="s">
        <v>841</v>
      </c>
      <c r="G26" s="128" t="s">
        <v>841</v>
      </c>
      <c r="H26" s="128" t="s">
        <v>841</v>
      </c>
      <c r="I26" s="128" t="s">
        <v>841</v>
      </c>
      <c r="J26" s="129">
        <v>6379600</v>
      </c>
      <c r="K26" s="248"/>
    </row>
    <row r="27" spans="1:11" s="123" customFormat="1" x14ac:dyDescent="0.3">
      <c r="A27" s="123">
        <f>N!A25</f>
        <v>22</v>
      </c>
      <c r="B27" s="128" t="str">
        <f>N!B24</f>
        <v>GLOBAL ORGANICS LIMITED</v>
      </c>
      <c r="C27" s="128" t="s">
        <v>841</v>
      </c>
      <c r="D27" s="129">
        <f t="shared" si="0"/>
        <v>71484</v>
      </c>
      <c r="E27" s="128" t="s">
        <v>841</v>
      </c>
      <c r="F27" s="128" t="s">
        <v>841</v>
      </c>
      <c r="G27" s="128" t="s">
        <v>841</v>
      </c>
      <c r="H27" s="128" t="s">
        <v>841</v>
      </c>
      <c r="I27" s="128" t="s">
        <v>841</v>
      </c>
      <c r="J27" s="129">
        <v>2382800</v>
      </c>
      <c r="K27" s="248"/>
    </row>
    <row r="28" spans="1:11" s="123" customFormat="1" ht="37.5" x14ac:dyDescent="0.3">
      <c r="A28" s="123">
        <f>N!A26</f>
        <v>23</v>
      </c>
      <c r="B28" s="128" t="str">
        <f>N!B25</f>
        <v>GOODNEWS UNIVERSAL TECHNOLOGIES</v>
      </c>
      <c r="C28" s="128" t="s">
        <v>841</v>
      </c>
      <c r="D28" s="129">
        <f t="shared" si="0"/>
        <v>1646412.9</v>
      </c>
      <c r="E28" s="128" t="s">
        <v>841</v>
      </c>
      <c r="F28" s="130"/>
      <c r="G28" s="128" t="s">
        <v>841</v>
      </c>
      <c r="H28" s="128" t="s">
        <v>841</v>
      </c>
      <c r="I28" s="128" t="s">
        <v>841</v>
      </c>
      <c r="J28" s="129">
        <v>54880430</v>
      </c>
      <c r="K28" s="248"/>
    </row>
    <row r="29" spans="1:11" s="123" customFormat="1" ht="37.5" x14ac:dyDescent="0.3">
      <c r="A29" s="123">
        <f>N!A27</f>
        <v>24</v>
      </c>
      <c r="B29" s="128" t="str">
        <f>N!B26</f>
        <v>GREENLIFE PHARMACEUTICALS LIMITED</v>
      </c>
      <c r="C29" s="128"/>
      <c r="D29" s="129">
        <f t="shared" si="0"/>
        <v>624556.92599999998</v>
      </c>
      <c r="E29" s="128" t="s">
        <v>841</v>
      </c>
      <c r="F29" s="128" t="s">
        <v>841</v>
      </c>
      <c r="G29" s="128" t="s">
        <v>841</v>
      </c>
      <c r="H29" s="128" t="s">
        <v>841</v>
      </c>
      <c r="I29" s="128" t="s">
        <v>841</v>
      </c>
      <c r="J29" s="129">
        <v>20818564.199999999</v>
      </c>
      <c r="K29" s="248"/>
    </row>
    <row r="30" spans="1:11" s="123" customFormat="1" ht="37.5" x14ac:dyDescent="0.3">
      <c r="A30" s="123">
        <f>N!A28</f>
        <v>25</v>
      </c>
      <c r="B30" s="128" t="str">
        <f>N!B27</f>
        <v>HEALTHLINE PHARMACEUTICALS LIMITED</v>
      </c>
      <c r="C30" s="128" t="s">
        <v>841</v>
      </c>
      <c r="D30" s="129">
        <f t="shared" si="0"/>
        <v>523926</v>
      </c>
      <c r="E30" s="128" t="s">
        <v>841</v>
      </c>
      <c r="F30" s="128" t="s">
        <v>841</v>
      </c>
      <c r="G30" s="128" t="s">
        <v>841</v>
      </c>
      <c r="H30" s="128" t="s">
        <v>841</v>
      </c>
      <c r="I30" s="128" t="s">
        <v>841</v>
      </c>
      <c r="J30" s="129">
        <v>17464200</v>
      </c>
      <c r="K30" s="248"/>
    </row>
    <row r="31" spans="1:11" s="123" customFormat="1" x14ac:dyDescent="0.3">
      <c r="A31" s="123">
        <f>N!A29</f>
        <v>26</v>
      </c>
      <c r="B31" s="128" t="str">
        <f>N!B28</f>
        <v>INTER-ROTECH NIGERIA LIMITED</v>
      </c>
      <c r="C31" s="128" t="s">
        <v>841</v>
      </c>
      <c r="D31" s="129">
        <f t="shared" si="0"/>
        <v>1013042.25</v>
      </c>
      <c r="E31" s="128" t="s">
        <v>841</v>
      </c>
      <c r="F31" s="128"/>
      <c r="G31" s="128"/>
      <c r="H31" s="128"/>
      <c r="I31" s="128"/>
      <c r="J31" s="129">
        <v>33768075</v>
      </c>
      <c r="K31" s="248"/>
    </row>
    <row r="32" spans="1:11" s="123" customFormat="1" x14ac:dyDescent="0.3">
      <c r="A32" s="123">
        <f>N!A30</f>
        <v>27</v>
      </c>
      <c r="B32" s="128" t="str">
        <f>N!B29</f>
        <v>ISN PRODUCTS NIGERIA LIMITED</v>
      </c>
      <c r="C32" s="128" t="s">
        <v>841</v>
      </c>
      <c r="D32" s="129">
        <f t="shared" si="0"/>
        <v>1582367.31</v>
      </c>
      <c r="E32" s="128" t="s">
        <v>841</v>
      </c>
      <c r="F32" s="128" t="s">
        <v>841</v>
      </c>
      <c r="G32" s="128"/>
      <c r="H32" s="128" t="s">
        <v>841</v>
      </c>
      <c r="I32" s="128" t="s">
        <v>841</v>
      </c>
      <c r="J32" s="129">
        <v>52745577</v>
      </c>
      <c r="K32" s="248"/>
    </row>
    <row r="33" spans="1:11" s="123" customFormat="1" x14ac:dyDescent="0.3">
      <c r="A33" s="123">
        <f>N!A31</f>
        <v>28</v>
      </c>
      <c r="B33" s="128" t="str">
        <f>N!B30</f>
        <v>JAWA INTERNATIONAL LIMITED</v>
      </c>
      <c r="C33" s="128" t="s">
        <v>841</v>
      </c>
      <c r="D33" s="129">
        <f t="shared" si="0"/>
        <v>1830991.5</v>
      </c>
      <c r="E33" s="128" t="s">
        <v>841</v>
      </c>
      <c r="F33" s="128" t="s">
        <v>841</v>
      </c>
      <c r="G33" s="128" t="s">
        <v>841</v>
      </c>
      <c r="H33" s="128"/>
      <c r="I33" s="128" t="s">
        <v>841</v>
      </c>
      <c r="J33" s="129">
        <v>61033050</v>
      </c>
      <c r="K33" s="248"/>
    </row>
    <row r="34" spans="1:11" s="123" customFormat="1" x14ac:dyDescent="0.3">
      <c r="A34" s="123">
        <f>N!A32</f>
        <v>29</v>
      </c>
      <c r="B34" s="128" t="str">
        <f>N!B31</f>
        <v>LAYO-JAT NIGERIA LIMITED</v>
      </c>
      <c r="C34" s="128" t="s">
        <v>841</v>
      </c>
      <c r="D34" s="129">
        <f t="shared" si="0"/>
        <v>2054060.8499999999</v>
      </c>
      <c r="E34" s="128" t="s">
        <v>841</v>
      </c>
      <c r="F34" s="130"/>
      <c r="G34" s="128" t="s">
        <v>841</v>
      </c>
      <c r="H34" s="128" t="s">
        <v>841</v>
      </c>
      <c r="I34" s="128" t="s">
        <v>841</v>
      </c>
      <c r="J34" s="129">
        <v>68468695</v>
      </c>
      <c r="K34" s="248"/>
    </row>
    <row r="35" spans="1:11" s="123" customFormat="1" ht="37.5" x14ac:dyDescent="0.3">
      <c r="A35" s="123">
        <f>N!A33</f>
        <v>30</v>
      </c>
      <c r="B35" s="128" t="str">
        <f>N!B32</f>
        <v>LEADWAY PHARMACEUTICALS LIMITED</v>
      </c>
      <c r="C35" s="128" t="s">
        <v>841</v>
      </c>
      <c r="D35" s="129">
        <f t="shared" si="0"/>
        <v>147588</v>
      </c>
      <c r="E35" s="128" t="s">
        <v>841</v>
      </c>
      <c r="F35" s="128" t="s">
        <v>841</v>
      </c>
      <c r="G35" s="128" t="s">
        <v>841</v>
      </c>
      <c r="H35" s="128" t="s">
        <v>841</v>
      </c>
      <c r="I35" s="128" t="s">
        <v>841</v>
      </c>
      <c r="J35" s="129">
        <v>4919600</v>
      </c>
      <c r="K35" s="248"/>
    </row>
    <row r="36" spans="1:11" s="123" customFormat="1" x14ac:dyDescent="0.3">
      <c r="A36" s="123">
        <f>N!A34</f>
        <v>31</v>
      </c>
      <c r="B36" s="128" t="str">
        <f>N!B33</f>
        <v>LIFTED HANDS VENTURES</v>
      </c>
      <c r="C36" s="128" t="s">
        <v>841</v>
      </c>
      <c r="D36" s="129">
        <f t="shared" si="0"/>
        <v>376140</v>
      </c>
      <c r="E36" s="128"/>
      <c r="F36" s="128" t="s">
        <v>841</v>
      </c>
      <c r="G36" s="128" t="s">
        <v>841</v>
      </c>
      <c r="H36" s="128" t="s">
        <v>841</v>
      </c>
      <c r="I36" s="128" t="s">
        <v>841</v>
      </c>
      <c r="J36" s="129">
        <v>12538000</v>
      </c>
      <c r="K36" s="248"/>
    </row>
    <row r="37" spans="1:11" s="123" customFormat="1" x14ac:dyDescent="0.3">
      <c r="A37" s="123">
        <f>N!A35</f>
        <v>32</v>
      </c>
      <c r="B37" s="128" t="str">
        <f>N!B34</f>
        <v>MANOLA PHARMACEUTICALS</v>
      </c>
      <c r="C37" s="128" t="s">
        <v>841</v>
      </c>
      <c r="D37" s="129">
        <f t="shared" si="0"/>
        <v>905286</v>
      </c>
      <c r="E37" s="128" t="s">
        <v>841</v>
      </c>
      <c r="F37" s="128" t="s">
        <v>841</v>
      </c>
      <c r="G37" s="128" t="s">
        <v>841</v>
      </c>
      <c r="H37" s="128" t="s">
        <v>841</v>
      </c>
      <c r="I37" s="128" t="s">
        <v>841</v>
      </c>
      <c r="J37" s="129">
        <v>30176200</v>
      </c>
      <c r="K37" s="248"/>
    </row>
    <row r="38" spans="1:11" s="123" customFormat="1" x14ac:dyDescent="0.3">
      <c r="A38" s="123">
        <f>N!A36</f>
        <v>33</v>
      </c>
      <c r="B38" s="128" t="str">
        <f>N!B35</f>
        <v>MARCSON HEALTHCARE LIMITED</v>
      </c>
      <c r="C38" s="128" t="s">
        <v>841</v>
      </c>
      <c r="D38" s="129">
        <f t="shared" si="0"/>
        <v>706129.79999999993</v>
      </c>
      <c r="E38" s="128" t="s">
        <v>841</v>
      </c>
      <c r="F38" s="128" t="s">
        <v>841</v>
      </c>
      <c r="G38" s="128" t="s">
        <v>841</v>
      </c>
      <c r="H38" s="128" t="s">
        <v>841</v>
      </c>
      <c r="I38" s="128" t="s">
        <v>841</v>
      </c>
      <c r="J38" s="129">
        <v>23537660</v>
      </c>
      <c r="K38" s="248"/>
    </row>
    <row r="39" spans="1:11" s="123" customFormat="1" x14ac:dyDescent="0.3">
      <c r="A39" s="123">
        <f>N!A37</f>
        <v>34</v>
      </c>
      <c r="B39" s="128" t="str">
        <f>N!B36</f>
        <v>MAY &amp; BAKER NIGERIA LIMITED</v>
      </c>
      <c r="C39" s="128" t="s">
        <v>841</v>
      </c>
      <c r="D39" s="129">
        <f t="shared" si="0"/>
        <v>197085</v>
      </c>
      <c r="E39" s="128" t="s">
        <v>841</v>
      </c>
      <c r="F39" s="128" t="s">
        <v>841</v>
      </c>
      <c r="G39" s="128" t="s">
        <v>841</v>
      </c>
      <c r="H39" s="128" t="s">
        <v>841</v>
      </c>
      <c r="I39" s="128" t="s">
        <v>841</v>
      </c>
      <c r="J39" s="129">
        <v>6569500</v>
      </c>
      <c r="K39" s="248"/>
    </row>
    <row r="40" spans="1:11" s="123" customFormat="1" x14ac:dyDescent="0.3">
      <c r="A40" s="123">
        <f>N!A38</f>
        <v>35</v>
      </c>
      <c r="B40" s="128" t="str">
        <f>N!B37</f>
        <v>MEDITRUST NIGERIA LIMITED</v>
      </c>
      <c r="C40" s="128" t="s">
        <v>841</v>
      </c>
      <c r="D40" s="129">
        <f t="shared" si="0"/>
        <v>1211983.68</v>
      </c>
      <c r="E40" s="128" t="s">
        <v>841</v>
      </c>
      <c r="F40" s="128" t="s">
        <v>841</v>
      </c>
      <c r="G40" s="128" t="s">
        <v>841</v>
      </c>
      <c r="H40" s="128"/>
      <c r="I40" s="128" t="s">
        <v>841</v>
      </c>
      <c r="J40" s="129">
        <v>40399456</v>
      </c>
      <c r="K40" s="248"/>
    </row>
    <row r="41" spans="1:11" s="123" customFormat="1" ht="37.5" x14ac:dyDescent="0.3">
      <c r="A41" s="123">
        <f>N!A39</f>
        <v>36</v>
      </c>
      <c r="B41" s="128" t="str">
        <f>N!B38</f>
        <v>MEDWORLD MEDICAL COMPANY LIMITED</v>
      </c>
      <c r="C41" s="128"/>
      <c r="D41" s="129">
        <f t="shared" si="0"/>
        <v>0</v>
      </c>
      <c r="E41" s="128"/>
      <c r="F41" s="128"/>
      <c r="G41" s="128"/>
      <c r="H41" s="128"/>
      <c r="I41" s="128"/>
      <c r="J41" s="129"/>
      <c r="K41" s="248"/>
    </row>
    <row r="42" spans="1:11" s="123" customFormat="1" ht="37.5" x14ac:dyDescent="0.3">
      <c r="A42" s="123">
        <f>N!A40</f>
        <v>37</v>
      </c>
      <c r="B42" s="128" t="str">
        <f>N!B39</f>
        <v>MEGA LIFESCIENCES NIGERIA LIMITED</v>
      </c>
      <c r="C42" s="130"/>
      <c r="D42" s="132">
        <f t="shared" si="0"/>
        <v>3869155.17</v>
      </c>
      <c r="E42" s="130" t="s">
        <v>841</v>
      </c>
      <c r="F42" s="128" t="s">
        <v>841</v>
      </c>
      <c r="G42" s="128"/>
      <c r="H42" s="128" t="s">
        <v>841</v>
      </c>
      <c r="I42" s="128"/>
      <c r="J42" s="129">
        <v>128971839</v>
      </c>
      <c r="K42" s="248"/>
    </row>
    <row r="43" spans="1:11" s="123" customFormat="1" x14ac:dyDescent="0.3">
      <c r="A43" s="123">
        <f>N!A41</f>
        <v>38</v>
      </c>
      <c r="B43" s="128" t="str">
        <f>N!B40</f>
        <v>MICRONOVA PHARMACEUTICALS</v>
      </c>
      <c r="C43" s="128" t="s">
        <v>841</v>
      </c>
      <c r="D43" s="129">
        <f t="shared" si="0"/>
        <v>450000</v>
      </c>
      <c r="E43" s="128" t="s">
        <v>841</v>
      </c>
      <c r="F43" s="128" t="s">
        <v>841</v>
      </c>
      <c r="G43" s="128" t="s">
        <v>841</v>
      </c>
      <c r="H43" s="128" t="s">
        <v>841</v>
      </c>
      <c r="I43" s="128" t="s">
        <v>841</v>
      </c>
      <c r="J43" s="129">
        <v>15000000</v>
      </c>
      <c r="K43" s="248"/>
    </row>
    <row r="44" spans="1:11" s="123" customFormat="1" x14ac:dyDescent="0.3">
      <c r="A44" s="123">
        <f>N!A42</f>
        <v>39</v>
      </c>
      <c r="B44" s="128" t="str">
        <f>N!B41</f>
        <v>MIRAFLASH NIGERIA LIMITED</v>
      </c>
      <c r="C44" s="128" t="s">
        <v>841</v>
      </c>
      <c r="D44" s="129">
        <f t="shared" si="0"/>
        <v>160918.01999999999</v>
      </c>
      <c r="E44" s="128" t="s">
        <v>841</v>
      </c>
      <c r="F44" s="128" t="s">
        <v>841</v>
      </c>
      <c r="G44" s="128" t="s">
        <v>841</v>
      </c>
      <c r="H44" s="128" t="s">
        <v>841</v>
      </c>
      <c r="I44" s="128" t="s">
        <v>841</v>
      </c>
      <c r="J44" s="129">
        <v>5363934</v>
      </c>
      <c r="K44" s="248"/>
    </row>
    <row r="45" spans="1:11" s="123" customFormat="1" x14ac:dyDescent="0.3">
      <c r="A45" s="123">
        <f>N!A43</f>
        <v>40</v>
      </c>
      <c r="B45" s="128" t="str">
        <f>N!B42</f>
        <v>MORISON INDUSTRIES PLC</v>
      </c>
      <c r="C45" s="128" t="s">
        <v>841</v>
      </c>
      <c r="D45" s="129">
        <f t="shared" si="0"/>
        <v>456975.6</v>
      </c>
      <c r="E45" s="128" t="s">
        <v>841</v>
      </c>
      <c r="F45" s="128" t="s">
        <v>841</v>
      </c>
      <c r="G45" s="128" t="s">
        <v>841</v>
      </c>
      <c r="H45" s="128" t="s">
        <v>841</v>
      </c>
      <c r="I45" s="128" t="s">
        <v>841</v>
      </c>
      <c r="J45" s="129">
        <v>15232520</v>
      </c>
      <c r="K45" s="248"/>
    </row>
    <row r="46" spans="1:11" s="123" customFormat="1" ht="37.5" x14ac:dyDescent="0.3">
      <c r="A46" s="163">
        <f>N!A44</f>
        <v>41</v>
      </c>
      <c r="B46" s="128" t="str">
        <f>N!B43</f>
        <v>NEMEL PHARMACEUTICALS LIMITED</v>
      </c>
      <c r="C46" s="128" t="s">
        <v>841</v>
      </c>
      <c r="D46" s="129">
        <f t="shared" si="0"/>
        <v>605299.5</v>
      </c>
      <c r="E46" s="128" t="s">
        <v>841</v>
      </c>
      <c r="F46" s="128" t="s">
        <v>841</v>
      </c>
      <c r="G46" s="128" t="s">
        <v>841</v>
      </c>
      <c r="H46" s="128" t="s">
        <v>841</v>
      </c>
      <c r="I46" s="128" t="s">
        <v>841</v>
      </c>
      <c r="J46" s="129">
        <v>20176650</v>
      </c>
      <c r="K46" s="248"/>
    </row>
    <row r="47" spans="1:11" s="123" customFormat="1" ht="37.5" x14ac:dyDescent="0.3">
      <c r="A47" s="123">
        <f>N!A45</f>
        <v>42</v>
      </c>
      <c r="B47" s="128" t="str">
        <f>N!B44</f>
        <v>NEW HEIGHTS PHARMACEUTICALS IND. LIMITED</v>
      </c>
      <c r="C47" s="128" t="s">
        <v>841</v>
      </c>
      <c r="D47" s="129">
        <f t="shared" si="0"/>
        <v>544601.22</v>
      </c>
      <c r="E47" s="128" t="s">
        <v>841</v>
      </c>
      <c r="F47" s="128" t="s">
        <v>841</v>
      </c>
      <c r="G47" s="128" t="s">
        <v>841</v>
      </c>
      <c r="H47" s="128" t="s">
        <v>841</v>
      </c>
      <c r="I47" s="128" t="s">
        <v>841</v>
      </c>
      <c r="J47" s="129">
        <v>18153374</v>
      </c>
      <c r="K47" s="248"/>
    </row>
    <row r="48" spans="1:11" s="123" customFormat="1" x14ac:dyDescent="0.3">
      <c r="A48" s="123">
        <f>N!A46</f>
        <v>43</v>
      </c>
      <c r="B48" s="128" t="str">
        <f>N!B45</f>
        <v>NHC PHARMACEUTICALS LIMITED</v>
      </c>
      <c r="C48" s="128" t="s">
        <v>841</v>
      </c>
      <c r="D48" s="129">
        <f t="shared" si="0"/>
        <v>287010</v>
      </c>
      <c r="E48" s="128" t="s">
        <v>841</v>
      </c>
      <c r="F48" s="128" t="s">
        <v>841</v>
      </c>
      <c r="G48" s="128" t="s">
        <v>841</v>
      </c>
      <c r="H48" s="128" t="s">
        <v>841</v>
      </c>
      <c r="I48" s="128" t="s">
        <v>841</v>
      </c>
      <c r="J48" s="129">
        <v>9567000</v>
      </c>
      <c r="K48" s="248"/>
    </row>
    <row r="49" spans="1:11" s="123" customFormat="1" ht="37.5" x14ac:dyDescent="0.3">
      <c r="A49" s="123">
        <f>N!A47</f>
        <v>44</v>
      </c>
      <c r="B49" s="128" t="str">
        <f>N!B46</f>
        <v>OAK-LEAF PHARM. NIGERIA LIMITED</v>
      </c>
      <c r="C49" s="128" t="s">
        <v>841</v>
      </c>
      <c r="D49" s="129">
        <f t="shared" si="0"/>
        <v>985095.45</v>
      </c>
      <c r="E49" s="128" t="s">
        <v>841</v>
      </c>
      <c r="F49" s="128" t="s">
        <v>841</v>
      </c>
      <c r="G49" s="128" t="s">
        <v>841</v>
      </c>
      <c r="H49" s="128"/>
      <c r="I49" s="128" t="s">
        <v>841</v>
      </c>
      <c r="J49" s="129">
        <v>32836515</v>
      </c>
      <c r="K49" s="248"/>
    </row>
    <row r="50" spans="1:11" s="123" customFormat="1" ht="37.5" x14ac:dyDescent="0.3">
      <c r="A50" s="163">
        <f>N!A64</f>
        <v>61</v>
      </c>
      <c r="B50" s="128" t="str">
        <f>N!B63</f>
        <v>UNION DIAGNOSTIC AND CLINICAL SERVICES</v>
      </c>
      <c r="C50" s="128" t="s">
        <v>841</v>
      </c>
      <c r="D50" s="129">
        <f t="shared" si="0"/>
        <v>4207376.9616</v>
      </c>
      <c r="E50" s="128" t="s">
        <v>841</v>
      </c>
      <c r="F50" s="128" t="s">
        <v>841</v>
      </c>
      <c r="G50" s="128" t="s">
        <v>841</v>
      </c>
      <c r="H50" s="128"/>
      <c r="I50" s="128" t="s">
        <v>841</v>
      </c>
      <c r="J50" s="129">
        <v>140245898.72</v>
      </c>
      <c r="K50" s="248"/>
    </row>
  </sheetData>
  <protectedRanges>
    <protectedRange sqref="J6" name="Range1"/>
  </protectedRanges>
  <mergeCells count="3">
    <mergeCell ref="C3:J3"/>
    <mergeCell ref="A1:K1"/>
    <mergeCell ref="A2:K2"/>
  </mergeCells>
  <pageMargins left="0.25" right="0.25" top="0.26" bottom="0.3" header="0.3" footer="0.3"/>
  <pageSetup paperSize="9" scale="64" orientation="landscape" r:id="rId1"/>
  <tableParts count="1">
    <tablePart r:id="rId2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118"/>
  <sheetViews>
    <sheetView view="pageBreakPreview" zoomScale="60" zoomScaleNormal="70" workbookViewId="0">
      <selection activeCell="C100" sqref="C100:F100"/>
    </sheetView>
  </sheetViews>
  <sheetFormatPr defaultColWidth="20" defaultRowHeight="18.75" x14ac:dyDescent="0.3"/>
  <cols>
    <col min="1" max="1" width="13.140625" style="42" customWidth="1"/>
    <col min="2" max="2" width="90.140625" style="8" customWidth="1"/>
    <col min="3" max="3" width="12.5703125" style="182" bestFit="1" customWidth="1"/>
    <col min="4" max="4" width="13.5703125" style="75" customWidth="1"/>
    <col min="5" max="5" width="24.5703125" style="71" customWidth="1"/>
    <col min="6" max="6" width="28.7109375" style="73" customWidth="1"/>
    <col min="7" max="16384" width="20" style="8"/>
  </cols>
  <sheetData>
    <row r="1" spans="1:6" ht="28.5" x14ac:dyDescent="0.45">
      <c r="A1" s="860" t="s">
        <v>954</v>
      </c>
      <c r="B1" s="860"/>
      <c r="C1" s="860"/>
      <c r="D1" s="860"/>
      <c r="E1" s="860"/>
      <c r="F1" s="860"/>
    </row>
    <row r="2" spans="1:6" x14ac:dyDescent="0.3">
      <c r="A2" s="35"/>
      <c r="B2" s="188"/>
      <c r="C2" s="181"/>
      <c r="D2" s="189"/>
      <c r="E2" s="190"/>
      <c r="F2" s="191"/>
    </row>
    <row r="3" spans="1:6" s="24" customFormat="1" ht="64.5" customHeight="1" x14ac:dyDescent="0.25">
      <c r="A3" s="21" t="s">
        <v>658</v>
      </c>
      <c r="B3" s="21" t="s">
        <v>660</v>
      </c>
      <c r="C3" s="65" t="s">
        <v>500</v>
      </c>
      <c r="D3" s="74" t="s">
        <v>920</v>
      </c>
      <c r="E3" s="64" t="s">
        <v>661</v>
      </c>
      <c r="F3" s="72" t="s">
        <v>550</v>
      </c>
    </row>
    <row r="4" spans="1:6" s="24" customFormat="1" ht="24" customHeight="1" x14ac:dyDescent="0.3">
      <c r="A4" s="35">
        <v>1</v>
      </c>
      <c r="B4" s="35" t="s">
        <v>1047</v>
      </c>
      <c r="C4" s="174">
        <v>5</v>
      </c>
      <c r="D4" s="35"/>
      <c r="E4" s="38"/>
      <c r="F4" s="38"/>
    </row>
    <row r="5" spans="1:6" s="24" customFormat="1" ht="24" customHeight="1" x14ac:dyDescent="0.3">
      <c r="A5" s="35">
        <f>A4+1</f>
        <v>2</v>
      </c>
      <c r="B5" s="35" t="s">
        <v>1027</v>
      </c>
      <c r="C5" s="174">
        <v>25</v>
      </c>
      <c r="D5" s="35">
        <v>15</v>
      </c>
      <c r="E5" s="38">
        <v>2315</v>
      </c>
      <c r="F5" s="38">
        <f>D5*E5</f>
        <v>34725</v>
      </c>
    </row>
    <row r="6" spans="1:6" s="42" customFormat="1" ht="24" customHeight="1" x14ac:dyDescent="0.3">
      <c r="A6" s="35">
        <f t="shared" ref="A6:A69" si="0">A5+1</f>
        <v>3</v>
      </c>
      <c r="B6" s="35" t="s">
        <v>1028</v>
      </c>
      <c r="C6" s="174">
        <v>25</v>
      </c>
      <c r="D6" s="35">
        <v>25</v>
      </c>
      <c r="E6" s="38">
        <v>4157</v>
      </c>
      <c r="F6" s="38">
        <f t="shared" ref="F6:F70" si="1">D6*E6</f>
        <v>103925</v>
      </c>
    </row>
    <row r="7" spans="1:6" s="42" customFormat="1" ht="24" customHeight="1" x14ac:dyDescent="0.3">
      <c r="A7" s="35">
        <f t="shared" si="0"/>
        <v>4</v>
      </c>
      <c r="B7" s="35" t="s">
        <v>979</v>
      </c>
      <c r="C7" s="174" t="s">
        <v>656</v>
      </c>
      <c r="D7" s="35">
        <v>5</v>
      </c>
      <c r="E7" s="38">
        <v>799</v>
      </c>
      <c r="F7" s="38">
        <f t="shared" si="1"/>
        <v>3995</v>
      </c>
    </row>
    <row r="8" spans="1:6" s="42" customFormat="1" ht="24" customHeight="1" x14ac:dyDescent="0.3">
      <c r="A8" s="35">
        <f t="shared" si="0"/>
        <v>5</v>
      </c>
      <c r="B8" s="35" t="s">
        <v>472</v>
      </c>
      <c r="C8" s="174" t="s">
        <v>656</v>
      </c>
      <c r="D8" s="35">
        <v>20</v>
      </c>
      <c r="E8" s="38">
        <v>1350</v>
      </c>
      <c r="F8" s="38">
        <f t="shared" si="1"/>
        <v>27000</v>
      </c>
    </row>
    <row r="9" spans="1:6" s="42" customFormat="1" ht="24" customHeight="1" x14ac:dyDescent="0.3">
      <c r="A9" s="35">
        <f t="shared" si="0"/>
        <v>6</v>
      </c>
      <c r="B9" s="35" t="s">
        <v>678</v>
      </c>
      <c r="C9" s="174">
        <v>28</v>
      </c>
      <c r="D9" s="35">
        <v>3</v>
      </c>
      <c r="E9" s="38">
        <v>2100</v>
      </c>
      <c r="F9" s="38">
        <f t="shared" si="1"/>
        <v>6300</v>
      </c>
    </row>
    <row r="10" spans="1:6" s="42" customFormat="1" ht="24" customHeight="1" x14ac:dyDescent="0.3">
      <c r="A10" s="35">
        <f t="shared" si="0"/>
        <v>7</v>
      </c>
      <c r="B10" s="35" t="s">
        <v>1029</v>
      </c>
      <c r="C10" s="174">
        <v>30</v>
      </c>
      <c r="D10" s="35">
        <v>30</v>
      </c>
      <c r="E10" s="38">
        <v>2530</v>
      </c>
      <c r="F10" s="38">
        <f t="shared" si="1"/>
        <v>75900</v>
      </c>
    </row>
    <row r="11" spans="1:6" s="42" customFormat="1" ht="24" customHeight="1" x14ac:dyDescent="0.3">
      <c r="A11" s="35">
        <f t="shared" si="0"/>
        <v>8</v>
      </c>
      <c r="B11" s="35" t="s">
        <v>1040</v>
      </c>
      <c r="C11" s="174">
        <v>100</v>
      </c>
      <c r="D11" s="35">
        <v>36</v>
      </c>
      <c r="E11" s="38">
        <v>1426</v>
      </c>
      <c r="F11" s="38">
        <f t="shared" si="1"/>
        <v>51336</v>
      </c>
    </row>
    <row r="12" spans="1:6" s="42" customFormat="1" ht="24" customHeight="1" x14ac:dyDescent="0.3">
      <c r="A12" s="35">
        <f t="shared" si="0"/>
        <v>9</v>
      </c>
      <c r="B12" s="35" t="s">
        <v>946</v>
      </c>
      <c r="C12" s="174" t="s">
        <v>144</v>
      </c>
      <c r="D12" s="35">
        <v>30</v>
      </c>
      <c r="E12" s="38">
        <v>1133</v>
      </c>
      <c r="F12" s="38">
        <f t="shared" si="1"/>
        <v>33990</v>
      </c>
    </row>
    <row r="13" spans="1:6" s="42" customFormat="1" ht="24" customHeight="1" x14ac:dyDescent="0.3">
      <c r="A13" s="35">
        <f t="shared" si="0"/>
        <v>10</v>
      </c>
      <c r="B13" s="35" t="s">
        <v>1022</v>
      </c>
      <c r="C13" s="174">
        <v>10</v>
      </c>
      <c r="D13" s="35">
        <v>50</v>
      </c>
      <c r="E13" s="38">
        <v>765</v>
      </c>
      <c r="F13" s="38">
        <f t="shared" si="1"/>
        <v>38250</v>
      </c>
    </row>
    <row r="14" spans="1:6" s="42" customFormat="1" ht="24" customHeight="1" x14ac:dyDescent="0.3">
      <c r="A14" s="35">
        <f t="shared" si="0"/>
        <v>11</v>
      </c>
      <c r="B14" s="35" t="s">
        <v>1039</v>
      </c>
      <c r="C14" s="174">
        <v>28</v>
      </c>
      <c r="D14" s="35">
        <v>5</v>
      </c>
      <c r="E14" s="38">
        <v>29900</v>
      </c>
      <c r="F14" s="38">
        <f t="shared" si="1"/>
        <v>149500</v>
      </c>
    </row>
    <row r="15" spans="1:6" s="42" customFormat="1" ht="24" customHeight="1" x14ac:dyDescent="0.3">
      <c r="A15" s="35">
        <f t="shared" si="0"/>
        <v>12</v>
      </c>
      <c r="B15" s="35" t="s">
        <v>1035</v>
      </c>
      <c r="C15" s="174" t="s">
        <v>144</v>
      </c>
      <c r="D15" s="35">
        <v>5</v>
      </c>
      <c r="E15" s="38">
        <v>4525</v>
      </c>
      <c r="F15" s="38">
        <f t="shared" si="1"/>
        <v>22625</v>
      </c>
    </row>
    <row r="16" spans="1:6" s="42" customFormat="1" ht="24" customHeight="1" x14ac:dyDescent="0.3">
      <c r="A16" s="35">
        <f t="shared" si="0"/>
        <v>13</v>
      </c>
      <c r="B16" s="35" t="s">
        <v>1033</v>
      </c>
      <c r="C16" s="174">
        <v>100</v>
      </c>
      <c r="D16" s="35">
        <v>41</v>
      </c>
      <c r="E16" s="38">
        <v>2185</v>
      </c>
      <c r="F16" s="38">
        <f t="shared" si="1"/>
        <v>89585</v>
      </c>
    </row>
    <row r="17" spans="1:6" s="42" customFormat="1" ht="24" customHeight="1" x14ac:dyDescent="0.3">
      <c r="A17" s="35">
        <f t="shared" si="0"/>
        <v>14</v>
      </c>
      <c r="B17" s="35" t="s">
        <v>1036</v>
      </c>
      <c r="C17" s="174">
        <v>50</v>
      </c>
      <c r="D17" s="35">
        <v>11</v>
      </c>
      <c r="E17" s="38">
        <v>4900</v>
      </c>
      <c r="F17" s="38">
        <f t="shared" si="1"/>
        <v>53900</v>
      </c>
    </row>
    <row r="18" spans="1:6" s="42" customFormat="1" ht="24" customHeight="1" x14ac:dyDescent="0.3">
      <c r="A18" s="35">
        <f t="shared" si="0"/>
        <v>15</v>
      </c>
      <c r="B18" s="35" t="s">
        <v>311</v>
      </c>
      <c r="C18" s="174" t="s">
        <v>144</v>
      </c>
      <c r="D18" s="35">
        <v>25</v>
      </c>
      <c r="E18" s="38">
        <v>990</v>
      </c>
      <c r="F18" s="38">
        <f t="shared" si="1"/>
        <v>24750</v>
      </c>
    </row>
    <row r="19" spans="1:6" s="42" customFormat="1" ht="24" customHeight="1" x14ac:dyDescent="0.3">
      <c r="A19" s="35">
        <f t="shared" si="0"/>
        <v>16</v>
      </c>
      <c r="B19" s="35" t="s">
        <v>215</v>
      </c>
      <c r="C19" s="174">
        <v>1000</v>
      </c>
      <c r="D19" s="35">
        <v>1</v>
      </c>
      <c r="E19" s="38">
        <v>6500</v>
      </c>
      <c r="F19" s="38">
        <f t="shared" si="1"/>
        <v>6500</v>
      </c>
    </row>
    <row r="20" spans="1:6" s="42" customFormat="1" ht="24" customHeight="1" x14ac:dyDescent="0.3">
      <c r="A20" s="35">
        <f t="shared" si="0"/>
        <v>17</v>
      </c>
      <c r="B20" s="35" t="s">
        <v>1038</v>
      </c>
      <c r="C20" s="174">
        <v>100</v>
      </c>
      <c r="D20" s="35">
        <v>3</v>
      </c>
      <c r="E20" s="38">
        <v>3350</v>
      </c>
      <c r="F20" s="38">
        <f t="shared" si="1"/>
        <v>10050</v>
      </c>
    </row>
    <row r="21" spans="1:6" s="42" customFormat="1" ht="24" customHeight="1" x14ac:dyDescent="0.3">
      <c r="A21" s="35">
        <f t="shared" si="0"/>
        <v>18</v>
      </c>
      <c r="B21" s="35" t="s">
        <v>467</v>
      </c>
      <c r="C21" s="174">
        <v>10</v>
      </c>
      <c r="D21" s="35">
        <v>5</v>
      </c>
      <c r="E21" s="38">
        <v>180</v>
      </c>
      <c r="F21" s="38">
        <f t="shared" si="1"/>
        <v>900</v>
      </c>
    </row>
    <row r="22" spans="1:6" s="42" customFormat="1" ht="24" customHeight="1" x14ac:dyDescent="0.3">
      <c r="A22" s="35">
        <f t="shared" si="0"/>
        <v>19</v>
      </c>
      <c r="B22" s="35" t="s">
        <v>228</v>
      </c>
      <c r="C22" s="174">
        <v>10</v>
      </c>
      <c r="D22" s="35">
        <v>5</v>
      </c>
      <c r="E22" s="38">
        <v>3240</v>
      </c>
      <c r="F22" s="38">
        <f t="shared" si="1"/>
        <v>16200</v>
      </c>
    </row>
    <row r="23" spans="1:6" s="42" customFormat="1" ht="24" customHeight="1" x14ac:dyDescent="0.3">
      <c r="A23" s="35">
        <f t="shared" si="0"/>
        <v>20</v>
      </c>
      <c r="B23" s="35" t="s">
        <v>1056</v>
      </c>
      <c r="C23" s="174">
        <v>20</v>
      </c>
      <c r="D23" s="35"/>
      <c r="E23" s="38"/>
      <c r="F23" s="38"/>
    </row>
    <row r="24" spans="1:6" s="42" customFormat="1" ht="24" customHeight="1" x14ac:dyDescent="0.3">
      <c r="A24" s="35">
        <f t="shared" si="0"/>
        <v>21</v>
      </c>
      <c r="B24" s="35" t="s">
        <v>145</v>
      </c>
      <c r="C24" s="174">
        <v>100</v>
      </c>
      <c r="D24" s="35">
        <v>38</v>
      </c>
      <c r="E24" s="38">
        <v>1947</v>
      </c>
      <c r="F24" s="38">
        <f t="shared" si="1"/>
        <v>73986</v>
      </c>
    </row>
    <row r="25" spans="1:6" s="42" customFormat="1" ht="24" customHeight="1" x14ac:dyDescent="0.3">
      <c r="A25" s="35">
        <f t="shared" si="0"/>
        <v>22</v>
      </c>
      <c r="B25" s="35" t="s">
        <v>1060</v>
      </c>
      <c r="C25" s="174" t="s">
        <v>1061</v>
      </c>
      <c r="D25" s="35"/>
      <c r="E25" s="38"/>
      <c r="F25" s="38"/>
    </row>
    <row r="26" spans="1:6" s="42" customFormat="1" ht="24" customHeight="1" x14ac:dyDescent="0.3">
      <c r="A26" s="35">
        <f t="shared" si="0"/>
        <v>23</v>
      </c>
      <c r="B26" s="35" t="s">
        <v>1048</v>
      </c>
      <c r="C26" s="174">
        <v>100</v>
      </c>
      <c r="D26" s="35"/>
      <c r="E26" s="38"/>
      <c r="F26" s="38"/>
    </row>
    <row r="27" spans="1:6" s="42" customFormat="1" ht="24" customHeight="1" x14ac:dyDescent="0.3">
      <c r="A27" s="35">
        <f t="shared" si="0"/>
        <v>24</v>
      </c>
      <c r="B27" s="35" t="s">
        <v>1025</v>
      </c>
      <c r="C27" s="174" t="s">
        <v>455</v>
      </c>
      <c r="D27" s="35">
        <v>25</v>
      </c>
      <c r="E27" s="38">
        <v>800</v>
      </c>
      <c r="F27" s="38">
        <f t="shared" si="1"/>
        <v>20000</v>
      </c>
    </row>
    <row r="28" spans="1:6" s="42" customFormat="1" ht="24" customHeight="1" x14ac:dyDescent="0.3">
      <c r="A28" s="35">
        <f t="shared" si="0"/>
        <v>25</v>
      </c>
      <c r="B28" s="35" t="s">
        <v>1043</v>
      </c>
      <c r="C28" s="174">
        <v>20</v>
      </c>
      <c r="D28" s="35">
        <v>10</v>
      </c>
      <c r="E28" s="38">
        <v>2500</v>
      </c>
      <c r="F28" s="38">
        <f t="shared" si="1"/>
        <v>25000</v>
      </c>
    </row>
    <row r="29" spans="1:6" s="42" customFormat="1" ht="24" customHeight="1" x14ac:dyDescent="0.3">
      <c r="A29" s="35">
        <f t="shared" si="0"/>
        <v>26</v>
      </c>
      <c r="B29" s="35" t="s">
        <v>1041</v>
      </c>
      <c r="C29" s="174">
        <v>30</v>
      </c>
      <c r="D29" s="35">
        <v>20</v>
      </c>
      <c r="E29" s="38">
        <v>1270</v>
      </c>
      <c r="F29" s="38">
        <f t="shared" si="1"/>
        <v>25400</v>
      </c>
    </row>
    <row r="30" spans="1:6" s="42" customFormat="1" ht="24" customHeight="1" x14ac:dyDescent="0.3">
      <c r="A30" s="35">
        <f t="shared" si="0"/>
        <v>27</v>
      </c>
      <c r="B30" s="35" t="s">
        <v>1065</v>
      </c>
      <c r="C30" s="174">
        <v>20</v>
      </c>
      <c r="D30" s="35">
        <v>30</v>
      </c>
      <c r="E30" s="38">
        <v>849.6</v>
      </c>
      <c r="F30" s="38">
        <f t="shared" si="1"/>
        <v>25488</v>
      </c>
    </row>
    <row r="31" spans="1:6" s="42" customFormat="1" ht="24" customHeight="1" x14ac:dyDescent="0.3">
      <c r="A31" s="35">
        <f t="shared" si="0"/>
        <v>28</v>
      </c>
      <c r="B31" s="35" t="s">
        <v>1030</v>
      </c>
      <c r="C31" s="174">
        <v>28</v>
      </c>
      <c r="D31" s="35">
        <v>15</v>
      </c>
      <c r="E31" s="38">
        <v>1955</v>
      </c>
      <c r="F31" s="38">
        <f t="shared" si="1"/>
        <v>29325</v>
      </c>
    </row>
    <row r="32" spans="1:6" s="42" customFormat="1" ht="24" customHeight="1" x14ac:dyDescent="0.3">
      <c r="A32" s="35">
        <f t="shared" si="0"/>
        <v>29</v>
      </c>
      <c r="B32" s="35" t="s">
        <v>1031</v>
      </c>
      <c r="C32" s="174">
        <v>30</v>
      </c>
      <c r="D32" s="35">
        <v>5</v>
      </c>
      <c r="E32" s="38">
        <v>3795</v>
      </c>
      <c r="F32" s="38">
        <f t="shared" si="1"/>
        <v>18975</v>
      </c>
    </row>
    <row r="33" spans="1:6" s="42" customFormat="1" ht="24" customHeight="1" x14ac:dyDescent="0.3">
      <c r="A33" s="35">
        <f t="shared" si="0"/>
        <v>30</v>
      </c>
      <c r="B33" s="35" t="s">
        <v>1032</v>
      </c>
      <c r="C33" s="174">
        <v>84</v>
      </c>
      <c r="D33" s="35">
        <v>5</v>
      </c>
      <c r="E33" s="38">
        <v>4600</v>
      </c>
      <c r="F33" s="38">
        <f t="shared" si="1"/>
        <v>23000</v>
      </c>
    </row>
    <row r="34" spans="1:6" s="42" customFormat="1" ht="24" customHeight="1" x14ac:dyDescent="0.3">
      <c r="A34" s="35">
        <f t="shared" si="0"/>
        <v>31</v>
      </c>
      <c r="B34" s="35" t="s">
        <v>1020</v>
      </c>
      <c r="C34" s="174">
        <v>100</v>
      </c>
      <c r="D34" s="35">
        <v>50</v>
      </c>
      <c r="E34" s="38">
        <v>7355</v>
      </c>
      <c r="F34" s="38">
        <f t="shared" si="1"/>
        <v>367750</v>
      </c>
    </row>
    <row r="35" spans="1:6" s="42" customFormat="1" ht="24" customHeight="1" x14ac:dyDescent="0.3">
      <c r="A35" s="35">
        <f t="shared" si="0"/>
        <v>32</v>
      </c>
      <c r="B35" s="35" t="s">
        <v>1017</v>
      </c>
      <c r="C35" s="174">
        <v>100</v>
      </c>
      <c r="D35" s="35">
        <v>10</v>
      </c>
      <c r="E35" s="38">
        <v>3000</v>
      </c>
      <c r="F35" s="38">
        <f t="shared" si="1"/>
        <v>30000</v>
      </c>
    </row>
    <row r="36" spans="1:6" s="42" customFormat="1" ht="24" customHeight="1" x14ac:dyDescent="0.3">
      <c r="A36" s="35">
        <f t="shared" si="0"/>
        <v>33</v>
      </c>
      <c r="B36" s="35" t="s">
        <v>52</v>
      </c>
      <c r="C36" s="174">
        <v>100</v>
      </c>
      <c r="D36" s="35">
        <v>1</v>
      </c>
      <c r="E36" s="38">
        <v>4900</v>
      </c>
      <c r="F36" s="38">
        <f t="shared" si="1"/>
        <v>4900</v>
      </c>
    </row>
    <row r="37" spans="1:6" s="42" customFormat="1" ht="24" customHeight="1" x14ac:dyDescent="0.3">
      <c r="A37" s="35">
        <f t="shared" si="0"/>
        <v>34</v>
      </c>
      <c r="B37" s="35" t="s">
        <v>1034</v>
      </c>
      <c r="C37" s="174">
        <v>30</v>
      </c>
      <c r="D37" s="35">
        <v>250</v>
      </c>
      <c r="E37" s="38">
        <v>2500</v>
      </c>
      <c r="F37" s="38">
        <f t="shared" si="1"/>
        <v>625000</v>
      </c>
    </row>
    <row r="38" spans="1:6" s="42" customFormat="1" ht="24" customHeight="1" x14ac:dyDescent="0.3">
      <c r="A38" s="35">
        <f t="shared" si="0"/>
        <v>35</v>
      </c>
      <c r="B38" s="35" t="s">
        <v>444</v>
      </c>
      <c r="C38" s="174">
        <v>20</v>
      </c>
      <c r="D38" s="35">
        <v>25</v>
      </c>
      <c r="E38" s="38"/>
      <c r="F38" s="38"/>
    </row>
    <row r="39" spans="1:6" s="42" customFormat="1" ht="24" customHeight="1" x14ac:dyDescent="0.3">
      <c r="A39" s="35">
        <f t="shared" si="0"/>
        <v>36</v>
      </c>
      <c r="B39" s="35" t="s">
        <v>1019</v>
      </c>
      <c r="C39" s="174">
        <v>30</v>
      </c>
      <c r="D39" s="35">
        <v>5</v>
      </c>
      <c r="E39" s="38">
        <v>4023</v>
      </c>
      <c r="F39" s="38">
        <f t="shared" si="1"/>
        <v>20115</v>
      </c>
    </row>
    <row r="40" spans="1:6" s="42" customFormat="1" ht="24" customHeight="1" x14ac:dyDescent="0.3">
      <c r="A40" s="35">
        <f t="shared" si="0"/>
        <v>37</v>
      </c>
      <c r="B40" s="35" t="s">
        <v>1045</v>
      </c>
      <c r="C40" s="174"/>
      <c r="D40" s="35"/>
      <c r="E40" s="38"/>
      <c r="F40" s="38"/>
    </row>
    <row r="41" spans="1:6" s="42" customFormat="1" ht="24" customHeight="1" x14ac:dyDescent="0.3">
      <c r="A41" s="35">
        <f t="shared" si="0"/>
        <v>38</v>
      </c>
      <c r="B41" s="35" t="s">
        <v>296</v>
      </c>
      <c r="C41" s="174">
        <v>100</v>
      </c>
      <c r="D41" s="35">
        <v>45</v>
      </c>
      <c r="E41" s="38">
        <v>850</v>
      </c>
      <c r="F41" s="38">
        <f t="shared" si="1"/>
        <v>38250</v>
      </c>
    </row>
    <row r="42" spans="1:6" s="42" customFormat="1" ht="24" customHeight="1" x14ac:dyDescent="0.3">
      <c r="A42" s="35">
        <f t="shared" si="0"/>
        <v>39</v>
      </c>
      <c r="B42" s="35" t="s">
        <v>1015</v>
      </c>
      <c r="C42" s="174">
        <v>100</v>
      </c>
      <c r="D42" s="35">
        <v>10</v>
      </c>
      <c r="E42" s="38">
        <v>11000</v>
      </c>
      <c r="F42" s="38">
        <f t="shared" si="1"/>
        <v>110000</v>
      </c>
    </row>
    <row r="43" spans="1:6" s="42" customFormat="1" ht="24" customHeight="1" x14ac:dyDescent="0.3">
      <c r="A43" s="35">
        <f t="shared" si="0"/>
        <v>40</v>
      </c>
      <c r="B43" s="35" t="s">
        <v>1016</v>
      </c>
      <c r="C43" s="174">
        <v>100</v>
      </c>
      <c r="D43" s="35">
        <v>5</v>
      </c>
      <c r="E43" s="38">
        <v>14000</v>
      </c>
      <c r="F43" s="38">
        <f t="shared" si="1"/>
        <v>70000</v>
      </c>
    </row>
    <row r="44" spans="1:6" s="42" customFormat="1" ht="24" customHeight="1" x14ac:dyDescent="0.3">
      <c r="A44" s="35">
        <f t="shared" si="0"/>
        <v>41</v>
      </c>
      <c r="B44" s="35" t="s">
        <v>1013</v>
      </c>
      <c r="C44" s="174">
        <v>30</v>
      </c>
      <c r="D44" s="35">
        <v>13</v>
      </c>
      <c r="E44" s="38">
        <v>4000</v>
      </c>
      <c r="F44" s="38">
        <f t="shared" si="1"/>
        <v>52000</v>
      </c>
    </row>
    <row r="45" spans="1:6" s="42" customFormat="1" ht="24" customHeight="1" x14ac:dyDescent="0.3">
      <c r="A45" s="35">
        <f t="shared" si="0"/>
        <v>42</v>
      </c>
      <c r="B45" s="35" t="s">
        <v>719</v>
      </c>
      <c r="C45" s="174">
        <v>100</v>
      </c>
      <c r="D45" s="35">
        <v>5</v>
      </c>
      <c r="E45" s="38">
        <v>5000</v>
      </c>
      <c r="F45" s="38">
        <f t="shared" si="1"/>
        <v>25000</v>
      </c>
    </row>
    <row r="46" spans="1:6" s="42" customFormat="1" ht="24" customHeight="1" x14ac:dyDescent="0.3">
      <c r="A46" s="35">
        <f t="shared" si="0"/>
        <v>43</v>
      </c>
      <c r="B46" s="35" t="s">
        <v>1021</v>
      </c>
      <c r="C46" s="174">
        <v>30</v>
      </c>
      <c r="D46" s="35">
        <v>10</v>
      </c>
      <c r="E46" s="38">
        <v>880</v>
      </c>
      <c r="F46" s="38">
        <f t="shared" si="1"/>
        <v>8800</v>
      </c>
    </row>
    <row r="47" spans="1:6" s="42" customFormat="1" ht="24" customHeight="1" x14ac:dyDescent="0.3">
      <c r="A47" s="35">
        <f t="shared" si="0"/>
        <v>44</v>
      </c>
      <c r="B47" s="35" t="s">
        <v>1026</v>
      </c>
      <c r="C47" s="174">
        <v>100</v>
      </c>
      <c r="D47" s="35">
        <v>5</v>
      </c>
      <c r="E47" s="38">
        <v>3500</v>
      </c>
      <c r="F47" s="38">
        <f t="shared" si="1"/>
        <v>17500</v>
      </c>
    </row>
    <row r="48" spans="1:6" s="42" customFormat="1" ht="24" customHeight="1" x14ac:dyDescent="0.3">
      <c r="A48" s="35">
        <f t="shared" si="0"/>
        <v>45</v>
      </c>
      <c r="B48" s="35" t="s">
        <v>327</v>
      </c>
      <c r="C48" s="174" t="s">
        <v>144</v>
      </c>
      <c r="D48" s="35">
        <v>5</v>
      </c>
      <c r="E48" s="38">
        <v>410</v>
      </c>
      <c r="F48" s="38">
        <f t="shared" si="1"/>
        <v>2050</v>
      </c>
    </row>
    <row r="49" spans="1:6" s="42" customFormat="1" ht="24" customHeight="1" x14ac:dyDescent="0.3">
      <c r="A49" s="35">
        <f t="shared" si="0"/>
        <v>46</v>
      </c>
      <c r="B49" s="35" t="s">
        <v>965</v>
      </c>
      <c r="C49" s="174" t="s">
        <v>966</v>
      </c>
      <c r="D49" s="35">
        <v>25</v>
      </c>
      <c r="E49" s="38">
        <v>1670</v>
      </c>
      <c r="F49" s="38">
        <f t="shared" si="1"/>
        <v>41750</v>
      </c>
    </row>
    <row r="50" spans="1:6" s="42" customFormat="1" ht="24" customHeight="1" x14ac:dyDescent="0.3">
      <c r="A50" s="35">
        <f t="shared" si="0"/>
        <v>47</v>
      </c>
      <c r="B50" s="35" t="s">
        <v>1014</v>
      </c>
      <c r="C50" s="174">
        <v>28</v>
      </c>
      <c r="D50" s="35">
        <v>150</v>
      </c>
      <c r="E50" s="38">
        <v>250</v>
      </c>
      <c r="F50" s="38">
        <f t="shared" si="1"/>
        <v>37500</v>
      </c>
    </row>
    <row r="51" spans="1:6" s="42" customFormat="1" ht="24" customHeight="1" x14ac:dyDescent="0.3">
      <c r="A51" s="35">
        <f t="shared" si="0"/>
        <v>48</v>
      </c>
      <c r="B51" s="35" t="s">
        <v>1046</v>
      </c>
      <c r="C51" s="174">
        <v>30</v>
      </c>
      <c r="D51" s="35"/>
      <c r="E51" s="38"/>
      <c r="F51" s="38"/>
    </row>
    <row r="52" spans="1:6" s="42" customFormat="1" ht="24" customHeight="1" x14ac:dyDescent="0.3">
      <c r="A52" s="35">
        <f t="shared" si="0"/>
        <v>49</v>
      </c>
      <c r="B52" s="35" t="s">
        <v>1037</v>
      </c>
      <c r="C52" s="174">
        <v>5</v>
      </c>
      <c r="D52" s="35">
        <v>10</v>
      </c>
      <c r="E52" s="38">
        <v>700</v>
      </c>
      <c r="F52" s="38">
        <f t="shared" si="1"/>
        <v>7000</v>
      </c>
    </row>
    <row r="53" spans="1:6" s="42" customFormat="1" ht="24" customHeight="1" x14ac:dyDescent="0.3">
      <c r="A53" s="35">
        <f t="shared" si="0"/>
        <v>50</v>
      </c>
      <c r="B53" s="35" t="s">
        <v>1062</v>
      </c>
      <c r="C53" s="174">
        <v>30</v>
      </c>
      <c r="D53" s="35"/>
      <c r="E53" s="38"/>
      <c r="F53" s="38"/>
    </row>
    <row r="54" spans="1:6" s="42" customFormat="1" ht="24" customHeight="1" x14ac:dyDescent="0.3">
      <c r="A54" s="35">
        <f t="shared" si="0"/>
        <v>51</v>
      </c>
      <c r="B54" s="35" t="s">
        <v>1058</v>
      </c>
      <c r="C54" s="174">
        <v>4</v>
      </c>
      <c r="D54" s="35"/>
      <c r="E54" s="38"/>
      <c r="F54" s="38"/>
    </row>
    <row r="55" spans="1:6" s="42" customFormat="1" ht="24" customHeight="1" x14ac:dyDescent="0.3">
      <c r="A55" s="35">
        <f t="shared" si="0"/>
        <v>52</v>
      </c>
      <c r="B55" s="35" t="s">
        <v>366</v>
      </c>
      <c r="C55" s="174" t="s">
        <v>966</v>
      </c>
      <c r="D55" s="35">
        <v>30</v>
      </c>
      <c r="E55" s="38">
        <v>5250</v>
      </c>
      <c r="F55" s="38">
        <f t="shared" si="1"/>
        <v>157500</v>
      </c>
    </row>
    <row r="56" spans="1:6" s="42" customFormat="1" ht="24" customHeight="1" x14ac:dyDescent="0.3">
      <c r="A56" s="35">
        <f t="shared" si="0"/>
        <v>53</v>
      </c>
      <c r="B56" s="35" t="s">
        <v>367</v>
      </c>
      <c r="C56" s="174" t="s">
        <v>966</v>
      </c>
      <c r="D56" s="35">
        <v>10</v>
      </c>
      <c r="E56" s="38">
        <v>4600</v>
      </c>
      <c r="F56" s="38">
        <f t="shared" si="1"/>
        <v>46000</v>
      </c>
    </row>
    <row r="57" spans="1:6" s="42" customFormat="1" ht="24" customHeight="1" x14ac:dyDescent="0.3">
      <c r="A57" s="35">
        <f t="shared" si="0"/>
        <v>54</v>
      </c>
      <c r="B57" s="35" t="s">
        <v>964</v>
      </c>
      <c r="C57" s="174">
        <v>12</v>
      </c>
      <c r="D57" s="35">
        <v>13</v>
      </c>
      <c r="E57" s="38">
        <v>8500</v>
      </c>
      <c r="F57" s="38">
        <f t="shared" si="1"/>
        <v>110500</v>
      </c>
    </row>
    <row r="58" spans="1:6" s="42" customFormat="1" ht="24" customHeight="1" x14ac:dyDescent="0.3">
      <c r="A58" s="35">
        <f t="shared" si="0"/>
        <v>55</v>
      </c>
      <c r="B58" s="35" t="s">
        <v>1023</v>
      </c>
      <c r="C58" s="174">
        <v>500</v>
      </c>
      <c r="D58" s="35">
        <v>12</v>
      </c>
      <c r="E58" s="38">
        <v>9579</v>
      </c>
      <c r="F58" s="38">
        <f t="shared" si="1"/>
        <v>114948</v>
      </c>
    </row>
    <row r="59" spans="1:6" s="42" customFormat="1" ht="24" customHeight="1" x14ac:dyDescent="0.3">
      <c r="A59" s="35">
        <f t="shared" si="0"/>
        <v>56</v>
      </c>
      <c r="B59" s="35" t="s">
        <v>1057</v>
      </c>
      <c r="C59" s="174">
        <v>4</v>
      </c>
      <c r="D59" s="35"/>
      <c r="E59" s="38"/>
      <c r="F59" s="38"/>
    </row>
    <row r="60" spans="1:6" s="42" customFormat="1" ht="24" customHeight="1" x14ac:dyDescent="0.3">
      <c r="A60" s="35">
        <f t="shared" si="0"/>
        <v>57</v>
      </c>
      <c r="B60" s="35" t="s">
        <v>1059</v>
      </c>
      <c r="C60" s="174">
        <v>4</v>
      </c>
      <c r="D60" s="35"/>
      <c r="E60" s="38"/>
      <c r="F60" s="38"/>
    </row>
    <row r="61" spans="1:6" s="42" customFormat="1" ht="24" customHeight="1" x14ac:dyDescent="0.3">
      <c r="A61" s="35">
        <f t="shared" si="0"/>
        <v>58</v>
      </c>
      <c r="B61" s="35" t="s">
        <v>1024</v>
      </c>
      <c r="C61" s="174" t="s">
        <v>57</v>
      </c>
      <c r="D61" s="35">
        <v>75</v>
      </c>
      <c r="E61" s="38">
        <v>1030</v>
      </c>
      <c r="F61" s="38">
        <f t="shared" si="1"/>
        <v>77250</v>
      </c>
    </row>
    <row r="62" spans="1:6" s="42" customFormat="1" ht="24" customHeight="1" x14ac:dyDescent="0.3">
      <c r="A62" s="35">
        <f t="shared" si="0"/>
        <v>59</v>
      </c>
      <c r="B62" s="35" t="s">
        <v>980</v>
      </c>
      <c r="C62" s="174">
        <v>30</v>
      </c>
      <c r="D62" s="35">
        <v>20</v>
      </c>
      <c r="E62" s="38">
        <v>5066</v>
      </c>
      <c r="F62" s="38">
        <f t="shared" si="1"/>
        <v>101320</v>
      </c>
    </row>
    <row r="63" spans="1:6" s="42" customFormat="1" ht="24" customHeight="1" x14ac:dyDescent="0.3">
      <c r="A63" s="35">
        <f t="shared" si="0"/>
        <v>60</v>
      </c>
      <c r="B63" s="35" t="s">
        <v>1003</v>
      </c>
      <c r="C63" s="174">
        <v>20</v>
      </c>
      <c r="D63" s="35">
        <v>20</v>
      </c>
      <c r="E63" s="38">
        <v>2852</v>
      </c>
      <c r="F63" s="38">
        <f t="shared" si="1"/>
        <v>57040</v>
      </c>
    </row>
    <row r="64" spans="1:6" s="42" customFormat="1" ht="24" customHeight="1" x14ac:dyDescent="0.3">
      <c r="A64" s="35">
        <f t="shared" si="0"/>
        <v>61</v>
      </c>
      <c r="B64" s="35" t="s">
        <v>409</v>
      </c>
      <c r="C64" s="174">
        <v>10</v>
      </c>
      <c r="D64" s="35">
        <v>1</v>
      </c>
      <c r="E64" s="38">
        <v>3250</v>
      </c>
      <c r="F64" s="38">
        <f t="shared" si="1"/>
        <v>3250</v>
      </c>
    </row>
    <row r="65" spans="1:6" s="42" customFormat="1" ht="24" customHeight="1" x14ac:dyDescent="0.3">
      <c r="A65" s="35">
        <f t="shared" si="0"/>
        <v>62</v>
      </c>
      <c r="B65" s="35" t="s">
        <v>1044</v>
      </c>
      <c r="C65" s="174">
        <v>30</v>
      </c>
      <c r="D65" s="35"/>
      <c r="E65" s="38"/>
      <c r="F65" s="38"/>
    </row>
    <row r="66" spans="1:6" s="42" customFormat="1" ht="24" customHeight="1" x14ac:dyDescent="0.3">
      <c r="A66" s="35">
        <f t="shared" si="0"/>
        <v>63</v>
      </c>
      <c r="B66" s="35" t="s">
        <v>1042</v>
      </c>
      <c r="C66" s="174">
        <v>30</v>
      </c>
      <c r="D66" s="35">
        <v>100</v>
      </c>
      <c r="E66" s="38">
        <v>1376</v>
      </c>
      <c r="F66" s="38">
        <f t="shared" si="1"/>
        <v>137600</v>
      </c>
    </row>
    <row r="67" spans="1:6" s="42" customFormat="1" ht="24" customHeight="1" x14ac:dyDescent="0.3">
      <c r="A67" s="35">
        <f t="shared" si="0"/>
        <v>64</v>
      </c>
      <c r="B67" s="35" t="s">
        <v>1063</v>
      </c>
      <c r="C67" s="174" t="s">
        <v>57</v>
      </c>
      <c r="D67" s="35"/>
      <c r="E67" s="38"/>
      <c r="F67" s="38"/>
    </row>
    <row r="68" spans="1:6" s="42" customFormat="1" ht="24" customHeight="1" x14ac:dyDescent="0.3">
      <c r="A68" s="35">
        <f t="shared" si="0"/>
        <v>65</v>
      </c>
      <c r="B68" s="35" t="s">
        <v>971</v>
      </c>
      <c r="C68" s="174">
        <v>10</v>
      </c>
      <c r="D68" s="35">
        <v>40</v>
      </c>
      <c r="E68" s="38">
        <v>7500</v>
      </c>
      <c r="F68" s="38">
        <f t="shared" si="1"/>
        <v>300000</v>
      </c>
    </row>
    <row r="69" spans="1:6" s="42" customFormat="1" ht="24" customHeight="1" x14ac:dyDescent="0.3">
      <c r="A69" s="35">
        <f t="shared" si="0"/>
        <v>66</v>
      </c>
      <c r="B69" s="35" t="s">
        <v>968</v>
      </c>
      <c r="C69" s="174" t="s">
        <v>144</v>
      </c>
      <c r="D69" s="35">
        <v>20</v>
      </c>
      <c r="E69" s="38">
        <v>850</v>
      </c>
      <c r="F69" s="38">
        <f t="shared" si="1"/>
        <v>17000</v>
      </c>
    </row>
    <row r="70" spans="1:6" ht="24" customHeight="1" x14ac:dyDescent="0.3">
      <c r="A70" s="35">
        <f>A69+1</f>
        <v>67</v>
      </c>
      <c r="B70" s="35" t="s">
        <v>969</v>
      </c>
      <c r="C70" s="174" t="s">
        <v>144</v>
      </c>
      <c r="D70" s="35">
        <v>10</v>
      </c>
      <c r="E70" s="38">
        <v>850</v>
      </c>
      <c r="F70" s="38">
        <f t="shared" si="1"/>
        <v>8500</v>
      </c>
    </row>
    <row r="71" spans="1:6" ht="24" customHeight="1" x14ac:dyDescent="0.25">
      <c r="A71" s="21"/>
      <c r="B71" s="21"/>
      <c r="C71" s="65"/>
      <c r="D71" s="74"/>
      <c r="E71" s="64"/>
      <c r="F71" s="72"/>
    </row>
    <row r="72" spans="1:6" x14ac:dyDescent="0.3">
      <c r="A72" s="35"/>
      <c r="B72" s="188"/>
      <c r="C72" s="181"/>
      <c r="D72" s="189"/>
      <c r="E72" s="190"/>
      <c r="F72" s="191"/>
    </row>
    <row r="73" spans="1:6" ht="26.25" x14ac:dyDescent="0.4">
      <c r="A73" s="35"/>
      <c r="B73" s="188"/>
      <c r="C73" s="181"/>
      <c r="D73" s="189"/>
      <c r="E73" s="108" t="s">
        <v>666</v>
      </c>
      <c r="F73" s="249">
        <f>SUM(F6:F71)</f>
        <v>3544403</v>
      </c>
    </row>
    <row r="93" spans="1:6" ht="26.25" x14ac:dyDescent="0.4">
      <c r="A93" s="35"/>
      <c r="B93" s="195" t="s">
        <v>917</v>
      </c>
      <c r="C93" s="849" t="s">
        <v>918</v>
      </c>
      <c r="D93" s="849"/>
      <c r="E93" s="849"/>
      <c r="F93" s="849"/>
    </row>
    <row r="94" spans="1:6" x14ac:dyDescent="0.3">
      <c r="A94" s="35"/>
      <c r="B94" s="188"/>
      <c r="C94" s="845"/>
      <c r="D94" s="845"/>
      <c r="E94" s="845"/>
      <c r="F94" s="845"/>
    </row>
    <row r="95" spans="1:6" x14ac:dyDescent="0.3">
      <c r="A95" s="35">
        <v>1</v>
      </c>
      <c r="B95" s="35" t="e">
        <f>#REF!</f>
        <v>#REF!</v>
      </c>
      <c r="C95" s="841" t="e">
        <f>#REF!</f>
        <v>#REF!</v>
      </c>
      <c r="D95" s="842"/>
      <c r="E95" s="842"/>
      <c r="F95" s="842"/>
    </row>
    <row r="96" spans="1:6" x14ac:dyDescent="0.3">
      <c r="A96" s="35">
        <f>1+A95</f>
        <v>2</v>
      </c>
      <c r="B96" s="35" t="e">
        <f>#REF!</f>
        <v>#REF!</v>
      </c>
      <c r="C96" s="841" t="e">
        <f>#REF!</f>
        <v>#REF!</v>
      </c>
      <c r="D96" s="842"/>
      <c r="E96" s="842"/>
      <c r="F96" s="842"/>
    </row>
    <row r="97" spans="1:6" x14ac:dyDescent="0.3">
      <c r="A97" s="35">
        <f t="shared" ref="A97:A111" si="2">1+A96</f>
        <v>3</v>
      </c>
      <c r="B97" s="35" t="e">
        <f>#REF!</f>
        <v>#REF!</v>
      </c>
      <c r="C97" s="841" t="e">
        <f>#REF!</f>
        <v>#REF!</v>
      </c>
      <c r="D97" s="842"/>
      <c r="E97" s="842"/>
      <c r="F97" s="842"/>
    </row>
    <row r="98" spans="1:6" x14ac:dyDescent="0.3">
      <c r="A98" s="35">
        <f t="shared" si="2"/>
        <v>4</v>
      </c>
      <c r="B98" s="35" t="e">
        <f>#REF!</f>
        <v>#REF!</v>
      </c>
      <c r="C98" s="841" t="e">
        <f>#REF!</f>
        <v>#REF!</v>
      </c>
      <c r="D98" s="842"/>
      <c r="E98" s="842"/>
      <c r="F98" s="842"/>
    </row>
    <row r="99" spans="1:6" x14ac:dyDescent="0.3">
      <c r="A99" s="35">
        <f t="shared" si="2"/>
        <v>5</v>
      </c>
      <c r="B99" s="35" t="e">
        <f>#REF!</f>
        <v>#REF!</v>
      </c>
      <c r="C99" s="841" t="e">
        <f>#REF!</f>
        <v>#REF!</v>
      </c>
      <c r="D99" s="842"/>
      <c r="E99" s="842"/>
      <c r="F99" s="842"/>
    </row>
    <row r="100" spans="1:6" x14ac:dyDescent="0.3">
      <c r="A100" s="35">
        <f t="shared" si="2"/>
        <v>6</v>
      </c>
      <c r="B100" s="35" t="e">
        <f>#REF!</f>
        <v>#REF!</v>
      </c>
      <c r="C100" s="841" t="e">
        <f>#REF!</f>
        <v>#REF!</v>
      </c>
      <c r="D100" s="842"/>
      <c r="E100" s="842"/>
      <c r="F100" s="842"/>
    </row>
    <row r="101" spans="1:6" x14ac:dyDescent="0.3">
      <c r="A101" s="35">
        <f t="shared" si="2"/>
        <v>7</v>
      </c>
      <c r="B101" s="35" t="e">
        <f>#REF!</f>
        <v>#REF!</v>
      </c>
      <c r="C101" s="841" t="e">
        <f>#REF!</f>
        <v>#REF!</v>
      </c>
      <c r="D101" s="842"/>
      <c r="E101" s="842"/>
      <c r="F101" s="842"/>
    </row>
    <row r="102" spans="1:6" x14ac:dyDescent="0.3">
      <c r="A102" s="35">
        <f t="shared" si="2"/>
        <v>8</v>
      </c>
      <c r="B102" s="35" t="e">
        <f>#REF!</f>
        <v>#REF!</v>
      </c>
      <c r="C102" s="841" t="e">
        <f>#REF!</f>
        <v>#REF!</v>
      </c>
      <c r="D102" s="842"/>
      <c r="E102" s="842"/>
      <c r="F102" s="842"/>
    </row>
    <row r="103" spans="1:6" x14ac:dyDescent="0.3">
      <c r="A103" s="35">
        <f t="shared" si="2"/>
        <v>9</v>
      </c>
      <c r="B103" s="35" t="e">
        <f>#REF!</f>
        <v>#REF!</v>
      </c>
      <c r="C103" s="841" t="e">
        <f>#REF!</f>
        <v>#REF!</v>
      </c>
      <c r="D103" s="842"/>
      <c r="E103" s="842"/>
      <c r="F103" s="842"/>
    </row>
    <row r="104" spans="1:6" x14ac:dyDescent="0.3">
      <c r="A104" s="35">
        <f t="shared" si="2"/>
        <v>10</v>
      </c>
      <c r="B104" s="35" t="e">
        <f>#REF!</f>
        <v>#REF!</v>
      </c>
      <c r="C104" s="841" t="e">
        <f>#REF!</f>
        <v>#REF!</v>
      </c>
      <c r="D104" s="842"/>
      <c r="E104" s="842"/>
      <c r="F104" s="842"/>
    </row>
    <row r="105" spans="1:6" x14ac:dyDescent="0.3">
      <c r="A105" s="35">
        <f t="shared" si="2"/>
        <v>11</v>
      </c>
      <c r="B105" s="35" t="e">
        <f>#REF!</f>
        <v>#REF!</v>
      </c>
      <c r="C105" s="841" t="e">
        <f>#REF!</f>
        <v>#REF!</v>
      </c>
      <c r="D105" s="842"/>
      <c r="E105" s="842"/>
      <c r="F105" s="842"/>
    </row>
    <row r="106" spans="1:6" x14ac:dyDescent="0.3">
      <c r="A106" s="35">
        <f t="shared" si="2"/>
        <v>12</v>
      </c>
      <c r="B106" s="35" t="e">
        <f>#REF!</f>
        <v>#REF!</v>
      </c>
      <c r="C106" s="841" t="e">
        <f>#REF!</f>
        <v>#REF!</v>
      </c>
      <c r="D106" s="842"/>
      <c r="E106" s="842"/>
      <c r="F106" s="842"/>
    </row>
    <row r="107" spans="1:6" x14ac:dyDescent="0.3">
      <c r="A107" s="35">
        <f t="shared" si="2"/>
        <v>13</v>
      </c>
      <c r="B107" s="35" t="s">
        <v>1005</v>
      </c>
      <c r="C107" s="857" t="e">
        <f>#REF!</f>
        <v>#REF!</v>
      </c>
      <c r="D107" s="858"/>
      <c r="E107" s="858"/>
      <c r="F107" s="859"/>
    </row>
    <row r="108" spans="1:6" x14ac:dyDescent="0.3">
      <c r="A108" s="35">
        <f t="shared" si="2"/>
        <v>14</v>
      </c>
      <c r="B108" s="35" t="e">
        <f>#REF!</f>
        <v>#REF!</v>
      </c>
      <c r="C108" s="841" t="e">
        <f>#REF!</f>
        <v>#REF!</v>
      </c>
      <c r="D108" s="842"/>
      <c r="E108" s="842"/>
      <c r="F108" s="842"/>
    </row>
    <row r="109" spans="1:6" x14ac:dyDescent="0.3">
      <c r="A109" s="35">
        <f t="shared" si="2"/>
        <v>15</v>
      </c>
      <c r="B109" s="35" t="e">
        <f>#REF!</f>
        <v>#REF!</v>
      </c>
      <c r="C109" s="841" t="e">
        <f>#REF!</f>
        <v>#REF!</v>
      </c>
      <c r="D109" s="842"/>
      <c r="E109" s="842"/>
      <c r="F109" s="842"/>
    </row>
    <row r="110" spans="1:6" x14ac:dyDescent="0.3">
      <c r="A110" s="35">
        <f t="shared" si="2"/>
        <v>16</v>
      </c>
      <c r="B110" s="35" t="e">
        <f>#REF!</f>
        <v>#REF!</v>
      </c>
      <c r="C110" s="841" t="e">
        <f>#REF!</f>
        <v>#REF!</v>
      </c>
      <c r="D110" s="842"/>
      <c r="E110" s="842"/>
      <c r="F110" s="842"/>
    </row>
    <row r="111" spans="1:6" x14ac:dyDescent="0.3">
      <c r="A111" s="35">
        <f t="shared" si="2"/>
        <v>17</v>
      </c>
      <c r="B111" s="35" t="e">
        <f>#REF!</f>
        <v>#REF!</v>
      </c>
      <c r="C111" s="841" t="e">
        <f>#REF!</f>
        <v>#REF!</v>
      </c>
      <c r="D111" s="842"/>
      <c r="E111" s="842"/>
      <c r="F111" s="842"/>
    </row>
    <row r="112" spans="1:6" ht="19.5" thickBot="1" x14ac:dyDescent="0.35">
      <c r="C112" s="836"/>
      <c r="D112" s="836"/>
      <c r="E112" s="836"/>
      <c r="F112" s="836"/>
    </row>
    <row r="113" spans="3:6" s="8" customFormat="1" ht="29.25" thickBot="1" x14ac:dyDescent="0.5">
      <c r="C113" s="846" t="e">
        <f>SUM(C95:F111)</f>
        <v>#REF!</v>
      </c>
      <c r="D113" s="847"/>
      <c r="E113" s="847"/>
      <c r="F113" s="848"/>
    </row>
    <row r="114" spans="3:6" s="8" customFormat="1" ht="15.75" x14ac:dyDescent="0.25">
      <c r="C114" s="836"/>
      <c r="D114" s="836"/>
      <c r="E114" s="836"/>
      <c r="F114" s="836"/>
    </row>
    <row r="115" spans="3:6" s="8" customFormat="1" ht="15.75" x14ac:dyDescent="0.25">
      <c r="C115" s="836"/>
      <c r="D115" s="836"/>
      <c r="E115" s="836"/>
      <c r="F115" s="836"/>
    </row>
    <row r="116" spans="3:6" s="8" customFormat="1" ht="15.75" x14ac:dyDescent="0.25">
      <c r="C116" s="836"/>
      <c r="D116" s="836"/>
      <c r="E116" s="836"/>
      <c r="F116" s="836"/>
    </row>
    <row r="117" spans="3:6" s="8" customFormat="1" ht="15.75" x14ac:dyDescent="0.25">
      <c r="C117" s="836"/>
      <c r="D117" s="836"/>
      <c r="E117" s="836"/>
      <c r="F117" s="836"/>
    </row>
    <row r="118" spans="3:6" s="8" customFormat="1" ht="15.75" x14ac:dyDescent="0.25">
      <c r="C118" s="836"/>
      <c r="D118" s="836"/>
      <c r="E118" s="836"/>
      <c r="F118" s="836"/>
    </row>
  </sheetData>
  <sortState ref="A5:F70">
    <sortCondition ref="B5:B70"/>
  </sortState>
  <mergeCells count="27">
    <mergeCell ref="C97:F97"/>
    <mergeCell ref="A1:F1"/>
    <mergeCell ref="C93:F93"/>
    <mergeCell ref="C94:F94"/>
    <mergeCell ref="C95:F95"/>
    <mergeCell ref="C96:F96"/>
    <mergeCell ref="C109:F109"/>
    <mergeCell ref="C98:F98"/>
    <mergeCell ref="C99:F99"/>
    <mergeCell ref="C100:F100"/>
    <mergeCell ref="C101:F101"/>
    <mergeCell ref="C102:F102"/>
    <mergeCell ref="C103:F103"/>
    <mergeCell ref="C104:F104"/>
    <mergeCell ref="C105:F105"/>
    <mergeCell ref="C106:F106"/>
    <mergeCell ref="C107:F107"/>
    <mergeCell ref="C108:F108"/>
    <mergeCell ref="C116:F116"/>
    <mergeCell ref="C117:F117"/>
    <mergeCell ref="C118:F118"/>
    <mergeCell ref="C110:F110"/>
    <mergeCell ref="C111:F111"/>
    <mergeCell ref="C112:F112"/>
    <mergeCell ref="C113:F113"/>
    <mergeCell ref="C114:F114"/>
    <mergeCell ref="C115:F115"/>
  </mergeCells>
  <pageMargins left="0.25" right="0.25" top="0.75" bottom="0.75" header="0.3" footer="0.3"/>
  <pageSetup paperSize="9" scale="78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96"/>
  <sheetViews>
    <sheetView view="pageBreakPreview" topLeftCell="A33" zoomScale="60" zoomScaleNormal="70" workbookViewId="0">
      <selection activeCell="F100" sqref="F100"/>
    </sheetView>
  </sheetViews>
  <sheetFormatPr defaultColWidth="20" defaultRowHeight="18.75" x14ac:dyDescent="0.3"/>
  <cols>
    <col min="1" max="1" width="13.140625" style="42" customWidth="1"/>
    <col min="2" max="2" width="90.140625" style="8" customWidth="1"/>
    <col min="3" max="3" width="12.5703125" style="182" bestFit="1" customWidth="1"/>
    <col min="4" max="4" width="13.5703125" style="75" customWidth="1"/>
    <col min="5" max="5" width="24.5703125" style="71" customWidth="1"/>
    <col min="6" max="6" width="28.7109375" style="73" customWidth="1"/>
    <col min="7" max="16384" width="20" style="8"/>
  </cols>
  <sheetData>
    <row r="1" spans="1:6" ht="28.5" x14ac:dyDescent="0.45">
      <c r="A1" s="860" t="s">
        <v>954</v>
      </c>
      <c r="B1" s="860"/>
      <c r="C1" s="860"/>
      <c r="D1" s="860"/>
      <c r="E1" s="860"/>
      <c r="F1" s="860"/>
    </row>
    <row r="2" spans="1:6" x14ac:dyDescent="0.3">
      <c r="A2" s="35"/>
      <c r="B2" s="188" t="s">
        <v>1064</v>
      </c>
      <c r="C2" s="181"/>
      <c r="D2" s="189"/>
      <c r="E2" s="190"/>
      <c r="F2" s="191"/>
    </row>
    <row r="3" spans="1:6" s="24" customFormat="1" ht="64.5" customHeight="1" x14ac:dyDescent="0.25">
      <c r="A3" s="21" t="s">
        <v>658</v>
      </c>
      <c r="B3" s="21" t="s">
        <v>660</v>
      </c>
      <c r="C3" s="65" t="s">
        <v>500</v>
      </c>
      <c r="D3" s="74" t="s">
        <v>920</v>
      </c>
      <c r="E3" s="64" t="s">
        <v>661</v>
      </c>
      <c r="F3" s="72" t="s">
        <v>550</v>
      </c>
    </row>
    <row r="4" spans="1:6" s="24" customFormat="1" ht="24" customHeight="1" x14ac:dyDescent="0.3">
      <c r="A4" s="35">
        <v>1</v>
      </c>
      <c r="B4" s="35" t="s">
        <v>1027</v>
      </c>
      <c r="C4" s="174">
        <v>25</v>
      </c>
      <c r="D4" s="35">
        <v>15</v>
      </c>
      <c r="E4" s="38">
        <v>2315</v>
      </c>
      <c r="F4" s="38">
        <f>D4*E4</f>
        <v>34725</v>
      </c>
    </row>
    <row r="5" spans="1:6" s="42" customFormat="1" ht="24" customHeight="1" x14ac:dyDescent="0.3">
      <c r="A5" s="35">
        <f>A4+1</f>
        <v>2</v>
      </c>
      <c r="B5" s="35" t="s">
        <v>1028</v>
      </c>
      <c r="C5" s="174">
        <v>25</v>
      </c>
      <c r="D5" s="35">
        <v>25</v>
      </c>
      <c r="E5" s="38">
        <v>4157</v>
      </c>
      <c r="F5" s="38">
        <f t="shared" ref="F5:F49" si="0">D5*E5</f>
        <v>103925</v>
      </c>
    </row>
    <row r="6" spans="1:6" s="42" customFormat="1" ht="24" customHeight="1" x14ac:dyDescent="0.3">
      <c r="A6" s="35">
        <f t="shared" ref="A6:A49" si="1">A5+1</f>
        <v>3</v>
      </c>
      <c r="B6" s="35" t="s">
        <v>472</v>
      </c>
      <c r="C6" s="174" t="s">
        <v>656</v>
      </c>
      <c r="D6" s="35">
        <v>20</v>
      </c>
      <c r="E6" s="38">
        <v>1350</v>
      </c>
      <c r="F6" s="38">
        <f t="shared" si="0"/>
        <v>27000</v>
      </c>
    </row>
    <row r="7" spans="1:6" s="42" customFormat="1" ht="24" customHeight="1" x14ac:dyDescent="0.3">
      <c r="A7" s="35">
        <f t="shared" si="1"/>
        <v>4</v>
      </c>
      <c r="B7" s="35" t="s">
        <v>1040</v>
      </c>
      <c r="C7" s="174">
        <v>100</v>
      </c>
      <c r="D7" s="35">
        <v>36</v>
      </c>
      <c r="E7" s="38">
        <v>1426</v>
      </c>
      <c r="F7" s="38">
        <f t="shared" si="0"/>
        <v>51336</v>
      </c>
    </row>
    <row r="8" spans="1:6" s="42" customFormat="1" ht="24" customHeight="1" x14ac:dyDescent="0.3">
      <c r="A8" s="35">
        <f t="shared" si="1"/>
        <v>5</v>
      </c>
      <c r="B8" s="35" t="s">
        <v>946</v>
      </c>
      <c r="C8" s="174" t="s">
        <v>144</v>
      </c>
      <c r="D8" s="35">
        <v>30</v>
      </c>
      <c r="E8" s="38">
        <v>1133</v>
      </c>
      <c r="F8" s="38">
        <f t="shared" si="0"/>
        <v>33990</v>
      </c>
    </row>
    <row r="9" spans="1:6" s="42" customFormat="1" ht="24" customHeight="1" x14ac:dyDescent="0.3">
      <c r="A9" s="35">
        <f t="shared" si="1"/>
        <v>6</v>
      </c>
      <c r="B9" s="35" t="s">
        <v>1022</v>
      </c>
      <c r="C9" s="174">
        <v>10</v>
      </c>
      <c r="D9" s="35">
        <v>50</v>
      </c>
      <c r="E9" s="38">
        <v>765</v>
      </c>
      <c r="F9" s="38">
        <f t="shared" si="0"/>
        <v>38250</v>
      </c>
    </row>
    <row r="10" spans="1:6" s="42" customFormat="1" ht="24" customHeight="1" x14ac:dyDescent="0.3">
      <c r="A10" s="35">
        <f t="shared" si="1"/>
        <v>7</v>
      </c>
      <c r="B10" s="35" t="s">
        <v>1039</v>
      </c>
      <c r="C10" s="174">
        <v>28</v>
      </c>
      <c r="D10" s="35">
        <v>5</v>
      </c>
      <c r="E10" s="38">
        <v>29900</v>
      </c>
      <c r="F10" s="38">
        <f t="shared" si="0"/>
        <v>149500</v>
      </c>
    </row>
    <row r="11" spans="1:6" s="42" customFormat="1" ht="24" customHeight="1" x14ac:dyDescent="0.3">
      <c r="A11" s="35">
        <f t="shared" si="1"/>
        <v>8</v>
      </c>
      <c r="B11" s="35" t="s">
        <v>1036</v>
      </c>
      <c r="C11" s="174">
        <v>50</v>
      </c>
      <c r="D11" s="35">
        <v>11</v>
      </c>
      <c r="E11" s="38">
        <v>4900</v>
      </c>
      <c r="F11" s="38">
        <f t="shared" si="0"/>
        <v>53900</v>
      </c>
    </row>
    <row r="12" spans="1:6" s="42" customFormat="1" ht="24" customHeight="1" x14ac:dyDescent="0.3">
      <c r="A12" s="35">
        <f t="shared" si="1"/>
        <v>9</v>
      </c>
      <c r="B12" s="35" t="s">
        <v>215</v>
      </c>
      <c r="C12" s="174">
        <v>1000</v>
      </c>
      <c r="D12" s="35">
        <v>1</v>
      </c>
      <c r="E12" s="38">
        <v>6500</v>
      </c>
      <c r="F12" s="38">
        <f t="shared" si="0"/>
        <v>6500</v>
      </c>
    </row>
    <row r="13" spans="1:6" s="42" customFormat="1" ht="24" customHeight="1" x14ac:dyDescent="0.3">
      <c r="A13" s="35">
        <f t="shared" si="1"/>
        <v>10</v>
      </c>
      <c r="B13" s="35" t="s">
        <v>1038</v>
      </c>
      <c r="C13" s="174">
        <v>100</v>
      </c>
      <c r="D13" s="35">
        <v>3</v>
      </c>
      <c r="E13" s="38">
        <v>3350</v>
      </c>
      <c r="F13" s="38">
        <f t="shared" si="0"/>
        <v>10050</v>
      </c>
    </row>
    <row r="14" spans="1:6" s="42" customFormat="1" ht="24" customHeight="1" x14ac:dyDescent="0.3">
      <c r="A14" s="35">
        <f t="shared" si="1"/>
        <v>11</v>
      </c>
      <c r="B14" s="35" t="s">
        <v>1056</v>
      </c>
      <c r="C14" s="174">
        <v>20</v>
      </c>
      <c r="D14" s="35"/>
      <c r="E14" s="38"/>
      <c r="F14" s="38"/>
    </row>
    <row r="15" spans="1:6" s="42" customFormat="1" ht="24" customHeight="1" x14ac:dyDescent="0.3">
      <c r="A15" s="35">
        <f t="shared" si="1"/>
        <v>12</v>
      </c>
      <c r="B15" s="35" t="s">
        <v>145</v>
      </c>
      <c r="C15" s="174">
        <v>100</v>
      </c>
      <c r="D15" s="35">
        <v>38</v>
      </c>
      <c r="E15" s="38">
        <v>1947</v>
      </c>
      <c r="F15" s="38">
        <f t="shared" si="0"/>
        <v>73986</v>
      </c>
    </row>
    <row r="16" spans="1:6" s="42" customFormat="1" ht="24" customHeight="1" x14ac:dyDescent="0.3">
      <c r="A16" s="35">
        <f t="shared" si="1"/>
        <v>13</v>
      </c>
      <c r="B16" s="35" t="s">
        <v>1060</v>
      </c>
      <c r="C16" s="174" t="s">
        <v>1061</v>
      </c>
      <c r="D16" s="35"/>
      <c r="E16" s="38"/>
      <c r="F16" s="38"/>
    </row>
    <row r="17" spans="1:6" s="42" customFormat="1" ht="24" customHeight="1" x14ac:dyDescent="0.3">
      <c r="A17" s="35">
        <f t="shared" si="1"/>
        <v>14</v>
      </c>
      <c r="B17" s="35" t="s">
        <v>1048</v>
      </c>
      <c r="C17" s="174">
        <v>100</v>
      </c>
      <c r="D17" s="35"/>
      <c r="E17" s="38"/>
      <c r="F17" s="38"/>
    </row>
    <row r="18" spans="1:6" s="42" customFormat="1" ht="24" customHeight="1" x14ac:dyDescent="0.3">
      <c r="A18" s="35">
        <f t="shared" si="1"/>
        <v>15</v>
      </c>
      <c r="B18" s="35" t="s">
        <v>1025</v>
      </c>
      <c r="C18" s="174" t="s">
        <v>455</v>
      </c>
      <c r="D18" s="35">
        <v>25</v>
      </c>
      <c r="E18" s="38">
        <v>800</v>
      </c>
      <c r="F18" s="38">
        <f t="shared" si="0"/>
        <v>20000</v>
      </c>
    </row>
    <row r="19" spans="1:6" s="42" customFormat="1" ht="24" customHeight="1" x14ac:dyDescent="0.3">
      <c r="A19" s="35">
        <f t="shared" si="1"/>
        <v>16</v>
      </c>
      <c r="B19" s="35" t="s">
        <v>1043</v>
      </c>
      <c r="C19" s="174">
        <v>20</v>
      </c>
      <c r="D19" s="35">
        <v>10</v>
      </c>
      <c r="E19" s="38">
        <v>2500</v>
      </c>
      <c r="F19" s="38">
        <f t="shared" si="0"/>
        <v>25000</v>
      </c>
    </row>
    <row r="20" spans="1:6" s="42" customFormat="1" ht="24" customHeight="1" x14ac:dyDescent="0.3">
      <c r="A20" s="35">
        <f t="shared" si="1"/>
        <v>17</v>
      </c>
      <c r="B20" s="35" t="s">
        <v>1041</v>
      </c>
      <c r="C20" s="174">
        <v>30</v>
      </c>
      <c r="D20" s="35">
        <v>20</v>
      </c>
      <c r="E20" s="38">
        <v>1270</v>
      </c>
      <c r="F20" s="38">
        <f t="shared" si="0"/>
        <v>25400</v>
      </c>
    </row>
    <row r="21" spans="1:6" s="42" customFormat="1" ht="24" customHeight="1" x14ac:dyDescent="0.3">
      <c r="A21" s="35">
        <f t="shared" si="1"/>
        <v>18</v>
      </c>
      <c r="B21" s="35" t="s">
        <v>1018</v>
      </c>
      <c r="C21" s="174">
        <v>20</v>
      </c>
      <c r="D21" s="35">
        <v>30</v>
      </c>
      <c r="E21" s="38">
        <v>849.6</v>
      </c>
      <c r="F21" s="38">
        <f t="shared" si="0"/>
        <v>25488</v>
      </c>
    </row>
    <row r="22" spans="1:6" s="42" customFormat="1" ht="24" customHeight="1" x14ac:dyDescent="0.3">
      <c r="A22" s="35">
        <f t="shared" si="1"/>
        <v>19</v>
      </c>
      <c r="B22" s="35" t="s">
        <v>1030</v>
      </c>
      <c r="C22" s="174">
        <v>28</v>
      </c>
      <c r="D22" s="35">
        <v>15</v>
      </c>
      <c r="E22" s="38">
        <v>1955</v>
      </c>
      <c r="F22" s="38">
        <f t="shared" si="0"/>
        <v>29325</v>
      </c>
    </row>
    <row r="23" spans="1:6" s="42" customFormat="1" ht="24" customHeight="1" x14ac:dyDescent="0.3">
      <c r="A23" s="35">
        <f t="shared" si="1"/>
        <v>20</v>
      </c>
      <c r="B23" s="35" t="s">
        <v>1031</v>
      </c>
      <c r="C23" s="174">
        <v>30</v>
      </c>
      <c r="D23" s="35">
        <v>5</v>
      </c>
      <c r="E23" s="38">
        <v>3795</v>
      </c>
      <c r="F23" s="38">
        <f t="shared" si="0"/>
        <v>18975</v>
      </c>
    </row>
    <row r="24" spans="1:6" s="42" customFormat="1" ht="24" customHeight="1" x14ac:dyDescent="0.3">
      <c r="A24" s="35">
        <f t="shared" si="1"/>
        <v>21</v>
      </c>
      <c r="B24" s="35" t="s">
        <v>1032</v>
      </c>
      <c r="C24" s="174">
        <v>84</v>
      </c>
      <c r="D24" s="35">
        <v>5</v>
      </c>
      <c r="E24" s="38">
        <v>4600</v>
      </c>
      <c r="F24" s="38">
        <f t="shared" si="0"/>
        <v>23000</v>
      </c>
    </row>
    <row r="25" spans="1:6" s="42" customFormat="1" ht="24" customHeight="1" x14ac:dyDescent="0.3">
      <c r="A25" s="35">
        <f t="shared" si="1"/>
        <v>22</v>
      </c>
      <c r="B25" s="35" t="s">
        <v>1020</v>
      </c>
      <c r="C25" s="174">
        <v>100</v>
      </c>
      <c r="D25" s="35">
        <v>50</v>
      </c>
      <c r="E25" s="38">
        <v>7355</v>
      </c>
      <c r="F25" s="38">
        <f t="shared" si="0"/>
        <v>367750</v>
      </c>
    </row>
    <row r="26" spans="1:6" s="42" customFormat="1" ht="24" customHeight="1" x14ac:dyDescent="0.3">
      <c r="A26" s="35">
        <f t="shared" si="1"/>
        <v>23</v>
      </c>
      <c r="B26" s="35" t="s">
        <v>1017</v>
      </c>
      <c r="C26" s="174">
        <v>100</v>
      </c>
      <c r="D26" s="35">
        <v>10</v>
      </c>
      <c r="E26" s="38">
        <v>3000</v>
      </c>
      <c r="F26" s="38">
        <f t="shared" si="0"/>
        <v>30000</v>
      </c>
    </row>
    <row r="27" spans="1:6" s="42" customFormat="1" ht="24" customHeight="1" x14ac:dyDescent="0.3">
      <c r="A27" s="35">
        <f t="shared" si="1"/>
        <v>24</v>
      </c>
      <c r="B27" s="35" t="s">
        <v>52</v>
      </c>
      <c r="C27" s="174">
        <v>100</v>
      </c>
      <c r="D27" s="35">
        <v>1</v>
      </c>
      <c r="E27" s="38">
        <v>4900</v>
      </c>
      <c r="F27" s="38">
        <f t="shared" si="0"/>
        <v>4900</v>
      </c>
    </row>
    <row r="28" spans="1:6" s="42" customFormat="1" ht="24" customHeight="1" x14ac:dyDescent="0.3">
      <c r="A28" s="35">
        <f t="shared" si="1"/>
        <v>25</v>
      </c>
      <c r="B28" s="35" t="s">
        <v>1034</v>
      </c>
      <c r="C28" s="174">
        <v>30</v>
      </c>
      <c r="D28" s="35">
        <v>250</v>
      </c>
      <c r="E28" s="38">
        <v>2500</v>
      </c>
      <c r="F28" s="38">
        <f t="shared" si="0"/>
        <v>625000</v>
      </c>
    </row>
    <row r="29" spans="1:6" s="42" customFormat="1" ht="24" customHeight="1" x14ac:dyDescent="0.3">
      <c r="A29" s="35">
        <f t="shared" si="1"/>
        <v>26</v>
      </c>
      <c r="B29" s="35" t="s">
        <v>444</v>
      </c>
      <c r="C29" s="174">
        <v>20</v>
      </c>
      <c r="D29" s="35">
        <v>25</v>
      </c>
      <c r="E29" s="38"/>
      <c r="F29" s="38"/>
    </row>
    <row r="30" spans="1:6" s="42" customFormat="1" ht="24" customHeight="1" x14ac:dyDescent="0.3">
      <c r="A30" s="35">
        <f t="shared" si="1"/>
        <v>27</v>
      </c>
      <c r="B30" s="35" t="s">
        <v>1066</v>
      </c>
      <c r="C30" s="174">
        <v>5</v>
      </c>
      <c r="D30" s="35">
        <v>100</v>
      </c>
      <c r="E30" s="38"/>
      <c r="F30" s="38"/>
    </row>
    <row r="31" spans="1:6" s="42" customFormat="1" ht="24" customHeight="1" x14ac:dyDescent="0.3">
      <c r="A31" s="35">
        <f t="shared" si="1"/>
        <v>28</v>
      </c>
      <c r="B31" s="35" t="s">
        <v>1045</v>
      </c>
      <c r="C31" s="174"/>
      <c r="D31" s="35"/>
      <c r="E31" s="38"/>
      <c r="F31" s="38"/>
    </row>
    <row r="32" spans="1:6" s="42" customFormat="1" ht="24" customHeight="1" x14ac:dyDescent="0.3">
      <c r="A32" s="35">
        <f t="shared" si="1"/>
        <v>29</v>
      </c>
      <c r="B32" s="35" t="s">
        <v>296</v>
      </c>
      <c r="C32" s="174">
        <v>100</v>
      </c>
      <c r="D32" s="35">
        <v>45</v>
      </c>
      <c r="E32" s="38">
        <v>850</v>
      </c>
      <c r="F32" s="38">
        <f t="shared" si="0"/>
        <v>38250</v>
      </c>
    </row>
    <row r="33" spans="1:6" s="42" customFormat="1" ht="24" customHeight="1" x14ac:dyDescent="0.3">
      <c r="A33" s="35">
        <f t="shared" si="1"/>
        <v>30</v>
      </c>
      <c r="B33" s="35" t="s">
        <v>1015</v>
      </c>
      <c r="C33" s="174">
        <v>100</v>
      </c>
      <c r="D33" s="35">
        <v>10</v>
      </c>
      <c r="E33" s="38">
        <v>11000</v>
      </c>
      <c r="F33" s="38">
        <f t="shared" si="0"/>
        <v>110000</v>
      </c>
    </row>
    <row r="34" spans="1:6" s="42" customFormat="1" ht="24" customHeight="1" x14ac:dyDescent="0.3">
      <c r="A34" s="35">
        <f t="shared" si="1"/>
        <v>31</v>
      </c>
      <c r="B34" s="35" t="s">
        <v>1016</v>
      </c>
      <c r="C34" s="174">
        <v>100</v>
      </c>
      <c r="D34" s="35">
        <v>5</v>
      </c>
      <c r="E34" s="38">
        <v>14000</v>
      </c>
      <c r="F34" s="38">
        <f t="shared" si="0"/>
        <v>70000</v>
      </c>
    </row>
    <row r="35" spans="1:6" s="42" customFormat="1" ht="24" customHeight="1" x14ac:dyDescent="0.3">
      <c r="A35" s="35">
        <f t="shared" si="1"/>
        <v>32</v>
      </c>
      <c r="B35" s="35" t="s">
        <v>1013</v>
      </c>
      <c r="C35" s="174">
        <v>30</v>
      </c>
      <c r="D35" s="35">
        <v>13</v>
      </c>
      <c r="E35" s="38">
        <v>4000</v>
      </c>
      <c r="F35" s="38">
        <f t="shared" si="0"/>
        <v>52000</v>
      </c>
    </row>
    <row r="36" spans="1:6" s="42" customFormat="1" ht="24" customHeight="1" x14ac:dyDescent="0.3">
      <c r="A36" s="35">
        <f t="shared" si="1"/>
        <v>33</v>
      </c>
      <c r="B36" s="35" t="s">
        <v>1021</v>
      </c>
      <c r="C36" s="174">
        <v>30</v>
      </c>
      <c r="D36" s="35">
        <v>10</v>
      </c>
      <c r="E36" s="38">
        <v>880</v>
      </c>
      <c r="F36" s="38">
        <f t="shared" si="0"/>
        <v>8800</v>
      </c>
    </row>
    <row r="37" spans="1:6" s="42" customFormat="1" ht="24" customHeight="1" x14ac:dyDescent="0.3">
      <c r="A37" s="35">
        <f t="shared" si="1"/>
        <v>34</v>
      </c>
      <c r="B37" s="35" t="s">
        <v>1014</v>
      </c>
      <c r="C37" s="174">
        <v>28</v>
      </c>
      <c r="D37" s="35">
        <v>150</v>
      </c>
      <c r="E37" s="38">
        <v>250</v>
      </c>
      <c r="F37" s="38">
        <f t="shared" si="0"/>
        <v>37500</v>
      </c>
    </row>
    <row r="38" spans="1:6" s="42" customFormat="1" ht="24" customHeight="1" x14ac:dyDescent="0.3">
      <c r="A38" s="35">
        <f t="shared" si="1"/>
        <v>35</v>
      </c>
      <c r="B38" s="35" t="s">
        <v>1046</v>
      </c>
      <c r="C38" s="174">
        <v>30</v>
      </c>
      <c r="D38" s="35"/>
      <c r="E38" s="38"/>
      <c r="F38" s="38"/>
    </row>
    <row r="39" spans="1:6" s="42" customFormat="1" ht="24" customHeight="1" x14ac:dyDescent="0.3">
      <c r="A39" s="35">
        <f t="shared" si="1"/>
        <v>36</v>
      </c>
      <c r="B39" s="35" t="s">
        <v>1062</v>
      </c>
      <c r="C39" s="174">
        <v>30</v>
      </c>
      <c r="D39" s="35"/>
      <c r="E39" s="38"/>
      <c r="F39" s="38"/>
    </row>
    <row r="40" spans="1:6" s="42" customFormat="1" ht="24" customHeight="1" x14ac:dyDescent="0.3">
      <c r="A40" s="35">
        <f t="shared" si="1"/>
        <v>37</v>
      </c>
      <c r="B40" s="35" t="s">
        <v>1058</v>
      </c>
      <c r="C40" s="174">
        <v>4</v>
      </c>
      <c r="D40" s="35"/>
      <c r="E40" s="38"/>
      <c r="F40" s="38"/>
    </row>
    <row r="41" spans="1:6" s="42" customFormat="1" ht="24" customHeight="1" x14ac:dyDescent="0.3">
      <c r="A41" s="35">
        <f t="shared" si="1"/>
        <v>38</v>
      </c>
      <c r="B41" s="35" t="s">
        <v>1023</v>
      </c>
      <c r="C41" s="174">
        <v>500</v>
      </c>
      <c r="D41" s="35">
        <v>12</v>
      </c>
      <c r="E41" s="38">
        <v>9579</v>
      </c>
      <c r="F41" s="38">
        <f t="shared" si="0"/>
        <v>114948</v>
      </c>
    </row>
    <row r="42" spans="1:6" s="42" customFormat="1" ht="24" customHeight="1" x14ac:dyDescent="0.3">
      <c r="A42" s="35">
        <f t="shared" si="1"/>
        <v>39</v>
      </c>
      <c r="B42" s="35" t="s">
        <v>1057</v>
      </c>
      <c r="C42" s="174">
        <v>4</v>
      </c>
      <c r="D42" s="35"/>
      <c r="E42" s="38"/>
      <c r="F42" s="38"/>
    </row>
    <row r="43" spans="1:6" s="42" customFormat="1" ht="24" customHeight="1" x14ac:dyDescent="0.3">
      <c r="A43" s="35">
        <f t="shared" si="1"/>
        <v>40</v>
      </c>
      <c r="B43" s="35" t="s">
        <v>1059</v>
      </c>
      <c r="C43" s="174">
        <v>4</v>
      </c>
      <c r="D43" s="35"/>
      <c r="E43" s="38"/>
      <c r="F43" s="38"/>
    </row>
    <row r="44" spans="1:6" s="42" customFormat="1" ht="24" customHeight="1" x14ac:dyDescent="0.3">
      <c r="A44" s="35">
        <f t="shared" si="1"/>
        <v>41</v>
      </c>
      <c r="B44" s="35" t="s">
        <v>1024</v>
      </c>
      <c r="C44" s="174" t="s">
        <v>57</v>
      </c>
      <c r="D44" s="35">
        <v>75</v>
      </c>
      <c r="E44" s="38">
        <v>1030</v>
      </c>
      <c r="F44" s="38">
        <f t="shared" si="0"/>
        <v>77250</v>
      </c>
    </row>
    <row r="45" spans="1:6" s="42" customFormat="1" ht="24" customHeight="1" x14ac:dyDescent="0.3">
      <c r="A45" s="35">
        <f t="shared" si="1"/>
        <v>42</v>
      </c>
      <c r="B45" s="35" t="s">
        <v>980</v>
      </c>
      <c r="C45" s="174">
        <v>30</v>
      </c>
      <c r="D45" s="35">
        <v>20</v>
      </c>
      <c r="E45" s="38">
        <v>5066</v>
      </c>
      <c r="F45" s="38">
        <f t="shared" si="0"/>
        <v>101320</v>
      </c>
    </row>
    <row r="46" spans="1:6" s="42" customFormat="1" ht="24" customHeight="1" x14ac:dyDescent="0.3">
      <c r="A46" s="35">
        <f t="shared" si="1"/>
        <v>43</v>
      </c>
      <c r="B46" s="35" t="s">
        <v>1003</v>
      </c>
      <c r="C46" s="174">
        <v>20</v>
      </c>
      <c r="D46" s="35">
        <v>20</v>
      </c>
      <c r="E46" s="38">
        <v>2852</v>
      </c>
      <c r="F46" s="38">
        <f t="shared" si="0"/>
        <v>57040</v>
      </c>
    </row>
    <row r="47" spans="1:6" s="42" customFormat="1" ht="24" customHeight="1" x14ac:dyDescent="0.3">
      <c r="A47" s="35">
        <f t="shared" si="1"/>
        <v>44</v>
      </c>
      <c r="B47" s="35" t="s">
        <v>1042</v>
      </c>
      <c r="C47" s="174">
        <v>30</v>
      </c>
      <c r="D47" s="35">
        <v>100</v>
      </c>
      <c r="E47" s="38">
        <v>1376</v>
      </c>
      <c r="F47" s="38">
        <f t="shared" si="0"/>
        <v>137600</v>
      </c>
    </row>
    <row r="48" spans="1:6" s="42" customFormat="1" ht="24" customHeight="1" x14ac:dyDescent="0.3">
      <c r="A48" s="35">
        <f t="shared" si="1"/>
        <v>45</v>
      </c>
      <c r="B48" s="35" t="s">
        <v>1063</v>
      </c>
      <c r="C48" s="174" t="s">
        <v>57</v>
      </c>
      <c r="D48" s="35"/>
      <c r="E48" s="38"/>
      <c r="F48" s="38"/>
    </row>
    <row r="49" spans="1:6" s="42" customFormat="1" ht="24" customHeight="1" x14ac:dyDescent="0.3">
      <c r="A49" s="35">
        <f t="shared" si="1"/>
        <v>46</v>
      </c>
      <c r="B49" s="35" t="s">
        <v>971</v>
      </c>
      <c r="C49" s="174">
        <v>10</v>
      </c>
      <c r="D49" s="35">
        <v>40</v>
      </c>
      <c r="E49" s="38">
        <v>7500</v>
      </c>
      <c r="F49" s="38">
        <f t="shared" si="0"/>
        <v>300000</v>
      </c>
    </row>
    <row r="50" spans="1:6" x14ac:dyDescent="0.3">
      <c r="A50" s="35"/>
      <c r="B50" s="188"/>
      <c r="C50" s="181"/>
      <c r="D50" s="189"/>
      <c r="E50" s="190"/>
      <c r="F50" s="191"/>
    </row>
    <row r="51" spans="1:6" ht="26.25" x14ac:dyDescent="0.4">
      <c r="A51" s="35"/>
      <c r="B51" s="188"/>
      <c r="C51" s="181"/>
      <c r="D51" s="189"/>
      <c r="E51" s="108" t="s">
        <v>666</v>
      </c>
      <c r="F51" s="249">
        <f>SUM(F5:F49)</f>
        <v>2847983</v>
      </c>
    </row>
    <row r="71" spans="1:6" ht="26.25" x14ac:dyDescent="0.4">
      <c r="A71" s="35"/>
      <c r="B71" s="195" t="s">
        <v>917</v>
      </c>
      <c r="C71" s="849" t="s">
        <v>918</v>
      </c>
      <c r="D71" s="849"/>
      <c r="E71" s="849"/>
      <c r="F71" s="849"/>
    </row>
    <row r="72" spans="1:6" x14ac:dyDescent="0.3">
      <c r="A72" s="35"/>
      <c r="B72" s="188"/>
      <c r="C72" s="845"/>
      <c r="D72" s="845"/>
      <c r="E72" s="845"/>
      <c r="F72" s="845"/>
    </row>
    <row r="73" spans="1:6" x14ac:dyDescent="0.3">
      <c r="A73" s="35">
        <v>1</v>
      </c>
      <c r="B73" s="35" t="e">
        <f>#REF!</f>
        <v>#REF!</v>
      </c>
      <c r="C73" s="841" t="e">
        <f>#REF!</f>
        <v>#REF!</v>
      </c>
      <c r="D73" s="842"/>
      <c r="E73" s="842"/>
      <c r="F73" s="842"/>
    </row>
    <row r="74" spans="1:6" x14ac:dyDescent="0.3">
      <c r="A74" s="35">
        <f>1+A73</f>
        <v>2</v>
      </c>
      <c r="B74" s="35" t="e">
        <f>#REF!</f>
        <v>#REF!</v>
      </c>
      <c r="C74" s="841" t="e">
        <f>#REF!</f>
        <v>#REF!</v>
      </c>
      <c r="D74" s="842"/>
      <c r="E74" s="842"/>
      <c r="F74" s="842"/>
    </row>
    <row r="75" spans="1:6" x14ac:dyDescent="0.3">
      <c r="A75" s="35">
        <f t="shared" ref="A75:A89" si="2">1+A74</f>
        <v>3</v>
      </c>
      <c r="B75" s="35" t="e">
        <f>#REF!</f>
        <v>#REF!</v>
      </c>
      <c r="C75" s="841" t="e">
        <f>#REF!</f>
        <v>#REF!</v>
      </c>
      <c r="D75" s="842"/>
      <c r="E75" s="842"/>
      <c r="F75" s="842"/>
    </row>
    <row r="76" spans="1:6" x14ac:dyDescent="0.3">
      <c r="A76" s="35">
        <f t="shared" si="2"/>
        <v>4</v>
      </c>
      <c r="B76" s="35" t="e">
        <f>#REF!</f>
        <v>#REF!</v>
      </c>
      <c r="C76" s="841" t="e">
        <f>#REF!</f>
        <v>#REF!</v>
      </c>
      <c r="D76" s="842"/>
      <c r="E76" s="842"/>
      <c r="F76" s="842"/>
    </row>
    <row r="77" spans="1:6" x14ac:dyDescent="0.3">
      <c r="A77" s="35">
        <f t="shared" si="2"/>
        <v>5</v>
      </c>
      <c r="B77" s="35" t="e">
        <f>#REF!</f>
        <v>#REF!</v>
      </c>
      <c r="C77" s="841" t="e">
        <f>#REF!</f>
        <v>#REF!</v>
      </c>
      <c r="D77" s="842"/>
      <c r="E77" s="842"/>
      <c r="F77" s="842"/>
    </row>
    <row r="78" spans="1:6" x14ac:dyDescent="0.3">
      <c r="A78" s="35">
        <f t="shared" si="2"/>
        <v>6</v>
      </c>
      <c r="B78" s="35" t="e">
        <f>#REF!</f>
        <v>#REF!</v>
      </c>
      <c r="C78" s="841" t="e">
        <f>#REF!</f>
        <v>#REF!</v>
      </c>
      <c r="D78" s="842"/>
      <c r="E78" s="842"/>
      <c r="F78" s="842"/>
    </row>
    <row r="79" spans="1:6" x14ac:dyDescent="0.3">
      <c r="A79" s="35">
        <f t="shared" si="2"/>
        <v>7</v>
      </c>
      <c r="B79" s="35" t="e">
        <f>#REF!</f>
        <v>#REF!</v>
      </c>
      <c r="C79" s="841" t="e">
        <f>#REF!</f>
        <v>#REF!</v>
      </c>
      <c r="D79" s="842"/>
      <c r="E79" s="842"/>
      <c r="F79" s="842"/>
    </row>
    <row r="80" spans="1:6" x14ac:dyDescent="0.3">
      <c r="A80" s="35">
        <f t="shared" si="2"/>
        <v>8</v>
      </c>
      <c r="B80" s="35" t="e">
        <f>#REF!</f>
        <v>#REF!</v>
      </c>
      <c r="C80" s="841" t="e">
        <f>#REF!</f>
        <v>#REF!</v>
      </c>
      <c r="D80" s="842"/>
      <c r="E80" s="842"/>
      <c r="F80" s="842"/>
    </row>
    <row r="81" spans="1:6" x14ac:dyDescent="0.3">
      <c r="A81" s="35">
        <f t="shared" si="2"/>
        <v>9</v>
      </c>
      <c r="B81" s="35" t="e">
        <f>#REF!</f>
        <v>#REF!</v>
      </c>
      <c r="C81" s="841" t="e">
        <f>#REF!</f>
        <v>#REF!</v>
      </c>
      <c r="D81" s="842"/>
      <c r="E81" s="842"/>
      <c r="F81" s="842"/>
    </row>
    <row r="82" spans="1:6" x14ac:dyDescent="0.3">
      <c r="A82" s="35">
        <f t="shared" si="2"/>
        <v>10</v>
      </c>
      <c r="B82" s="35" t="e">
        <f>#REF!</f>
        <v>#REF!</v>
      </c>
      <c r="C82" s="841" t="e">
        <f>#REF!</f>
        <v>#REF!</v>
      </c>
      <c r="D82" s="842"/>
      <c r="E82" s="842"/>
      <c r="F82" s="842"/>
    </row>
    <row r="83" spans="1:6" x14ac:dyDescent="0.3">
      <c r="A83" s="35">
        <f t="shared" si="2"/>
        <v>11</v>
      </c>
      <c r="B83" s="35" t="e">
        <f>#REF!</f>
        <v>#REF!</v>
      </c>
      <c r="C83" s="841" t="e">
        <f>#REF!</f>
        <v>#REF!</v>
      </c>
      <c r="D83" s="842"/>
      <c r="E83" s="842"/>
      <c r="F83" s="842"/>
    </row>
    <row r="84" spans="1:6" x14ac:dyDescent="0.3">
      <c r="A84" s="35">
        <f t="shared" si="2"/>
        <v>12</v>
      </c>
      <c r="B84" s="35" t="e">
        <f>#REF!</f>
        <v>#REF!</v>
      </c>
      <c r="C84" s="841" t="e">
        <f>#REF!</f>
        <v>#REF!</v>
      </c>
      <c r="D84" s="842"/>
      <c r="E84" s="842"/>
      <c r="F84" s="842"/>
    </row>
    <row r="85" spans="1:6" x14ac:dyDescent="0.3">
      <c r="A85" s="35">
        <f t="shared" si="2"/>
        <v>13</v>
      </c>
      <c r="B85" s="35" t="s">
        <v>1005</v>
      </c>
      <c r="C85" s="857" t="e">
        <f>#REF!</f>
        <v>#REF!</v>
      </c>
      <c r="D85" s="858"/>
      <c r="E85" s="858"/>
      <c r="F85" s="859"/>
    </row>
    <row r="86" spans="1:6" x14ac:dyDescent="0.3">
      <c r="A86" s="35">
        <f t="shared" si="2"/>
        <v>14</v>
      </c>
      <c r="B86" s="35" t="e">
        <f>#REF!</f>
        <v>#REF!</v>
      </c>
      <c r="C86" s="841" t="e">
        <f>#REF!</f>
        <v>#REF!</v>
      </c>
      <c r="D86" s="842"/>
      <c r="E86" s="842"/>
      <c r="F86" s="842"/>
    </row>
    <row r="87" spans="1:6" x14ac:dyDescent="0.3">
      <c r="A87" s="35">
        <f t="shared" si="2"/>
        <v>15</v>
      </c>
      <c r="B87" s="35" t="e">
        <f>#REF!</f>
        <v>#REF!</v>
      </c>
      <c r="C87" s="841" t="e">
        <f>#REF!</f>
        <v>#REF!</v>
      </c>
      <c r="D87" s="842"/>
      <c r="E87" s="842"/>
      <c r="F87" s="842"/>
    </row>
    <row r="88" spans="1:6" x14ac:dyDescent="0.3">
      <c r="A88" s="35">
        <f t="shared" si="2"/>
        <v>16</v>
      </c>
      <c r="B88" s="35" t="e">
        <f>#REF!</f>
        <v>#REF!</v>
      </c>
      <c r="C88" s="841" t="e">
        <f>#REF!</f>
        <v>#REF!</v>
      </c>
      <c r="D88" s="842"/>
      <c r="E88" s="842"/>
      <c r="F88" s="842"/>
    </row>
    <row r="89" spans="1:6" x14ac:dyDescent="0.3">
      <c r="A89" s="35">
        <f t="shared" si="2"/>
        <v>17</v>
      </c>
      <c r="B89" s="35" t="e">
        <f>#REF!</f>
        <v>#REF!</v>
      </c>
      <c r="C89" s="841" t="e">
        <f>#REF!</f>
        <v>#REF!</v>
      </c>
      <c r="D89" s="842"/>
      <c r="E89" s="842"/>
      <c r="F89" s="842"/>
    </row>
    <row r="90" spans="1:6" ht="19.5" thickBot="1" x14ac:dyDescent="0.35">
      <c r="C90" s="836"/>
      <c r="D90" s="836"/>
      <c r="E90" s="836"/>
      <c r="F90" s="836"/>
    </row>
    <row r="91" spans="1:6" ht="29.25" thickBot="1" x14ac:dyDescent="0.5">
      <c r="A91" s="8"/>
      <c r="C91" s="846" t="e">
        <f>SUM(C73:F89)</f>
        <v>#REF!</v>
      </c>
      <c r="D91" s="847"/>
      <c r="E91" s="847"/>
      <c r="F91" s="848"/>
    </row>
    <row r="92" spans="1:6" ht="15.75" x14ac:dyDescent="0.25">
      <c r="A92" s="8"/>
      <c r="C92" s="836"/>
      <c r="D92" s="836"/>
      <c r="E92" s="836"/>
      <c r="F92" s="836"/>
    </row>
    <row r="93" spans="1:6" ht="15.75" x14ac:dyDescent="0.25">
      <c r="A93" s="8"/>
      <c r="C93" s="836"/>
      <c r="D93" s="836"/>
      <c r="E93" s="836"/>
      <c r="F93" s="836"/>
    </row>
    <row r="94" spans="1:6" ht="15.75" x14ac:dyDescent="0.25">
      <c r="A94" s="8"/>
      <c r="C94" s="836"/>
      <c r="D94" s="836"/>
      <c r="E94" s="836"/>
      <c r="F94" s="836"/>
    </row>
    <row r="95" spans="1:6" ht="15.75" x14ac:dyDescent="0.25">
      <c r="A95" s="8"/>
      <c r="C95" s="836"/>
      <c r="D95" s="836"/>
      <c r="E95" s="836"/>
      <c r="F95" s="836"/>
    </row>
    <row r="96" spans="1:6" ht="15.75" x14ac:dyDescent="0.25">
      <c r="A96" s="8"/>
      <c r="C96" s="836"/>
      <c r="D96" s="836"/>
      <c r="E96" s="836"/>
      <c r="F96" s="836"/>
    </row>
  </sheetData>
  <mergeCells count="27">
    <mergeCell ref="C75:F75"/>
    <mergeCell ref="A1:F1"/>
    <mergeCell ref="C71:F71"/>
    <mergeCell ref="C72:F72"/>
    <mergeCell ref="C73:F73"/>
    <mergeCell ref="C74:F74"/>
    <mergeCell ref="C87:F87"/>
    <mergeCell ref="C76:F76"/>
    <mergeCell ref="C77:F77"/>
    <mergeCell ref="C78:F78"/>
    <mergeCell ref="C79:F79"/>
    <mergeCell ref="C80:F80"/>
    <mergeCell ref="C81:F81"/>
    <mergeCell ref="C82:F82"/>
    <mergeCell ref="C83:F83"/>
    <mergeCell ref="C84:F84"/>
    <mergeCell ref="C85:F85"/>
    <mergeCell ref="C86:F86"/>
    <mergeCell ref="C94:F94"/>
    <mergeCell ref="C95:F95"/>
    <mergeCell ref="C96:F96"/>
    <mergeCell ref="C88:F88"/>
    <mergeCell ref="C89:F89"/>
    <mergeCell ref="C90:F90"/>
    <mergeCell ref="C91:F91"/>
    <mergeCell ref="C92:F92"/>
    <mergeCell ref="C93:F93"/>
  </mergeCells>
  <pageMargins left="0.25" right="0.25" top="0.75" bottom="0.75" header="0.3" footer="0.3"/>
  <pageSetup paperSize="9" scale="78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18"/>
  <sheetViews>
    <sheetView view="pageBreakPreview" zoomScale="60" zoomScaleNormal="100" workbookViewId="0">
      <selection activeCell="F100" sqref="F100"/>
    </sheetView>
  </sheetViews>
  <sheetFormatPr defaultRowHeight="15" x14ac:dyDescent="0.25"/>
  <cols>
    <col min="2" max="2" width="73.85546875" customWidth="1"/>
  </cols>
  <sheetData>
    <row r="1" spans="1:2" ht="37.5" x14ac:dyDescent="0.3">
      <c r="B1" s="251" t="s">
        <v>1050</v>
      </c>
    </row>
    <row r="3" spans="1:2" ht="18.75" x14ac:dyDescent="0.3">
      <c r="B3" s="42" t="s">
        <v>1051</v>
      </c>
    </row>
    <row r="5" spans="1:2" ht="15.75" x14ac:dyDescent="0.25">
      <c r="A5" s="250">
        <v>1</v>
      </c>
      <c r="B5" s="250" t="s">
        <v>957</v>
      </c>
    </row>
    <row r="6" spans="1:2" ht="15.75" x14ac:dyDescent="0.25">
      <c r="A6" s="250">
        <v>2</v>
      </c>
      <c r="B6" s="250" t="s">
        <v>924</v>
      </c>
    </row>
    <row r="7" spans="1:2" ht="15.75" x14ac:dyDescent="0.25">
      <c r="A7" s="250">
        <v>3</v>
      </c>
      <c r="B7" s="250" t="s">
        <v>884</v>
      </c>
    </row>
    <row r="8" spans="1:2" ht="15.75" x14ac:dyDescent="0.25">
      <c r="A8" s="250">
        <v>4</v>
      </c>
      <c r="B8" s="250" t="s">
        <v>1052</v>
      </c>
    </row>
    <row r="9" spans="1:2" ht="15.75" x14ac:dyDescent="0.25">
      <c r="A9" s="250">
        <v>5</v>
      </c>
      <c r="B9" s="250" t="s">
        <v>885</v>
      </c>
    </row>
    <row r="10" spans="1:2" ht="15.75" x14ac:dyDescent="0.25">
      <c r="A10" s="250">
        <v>6</v>
      </c>
      <c r="B10" s="250" t="s">
        <v>1053</v>
      </c>
    </row>
    <row r="11" spans="1:2" ht="15.75" x14ac:dyDescent="0.25">
      <c r="A11" s="250">
        <v>7</v>
      </c>
      <c r="B11" s="250" t="s">
        <v>922</v>
      </c>
    </row>
    <row r="12" spans="1:2" ht="15.75" x14ac:dyDescent="0.25">
      <c r="A12" s="250">
        <v>8</v>
      </c>
      <c r="B12" s="250" t="s">
        <v>934</v>
      </c>
    </row>
    <row r="13" spans="1:2" ht="15.75" x14ac:dyDescent="0.25">
      <c r="A13" s="250">
        <v>9</v>
      </c>
      <c r="B13" s="250" t="s">
        <v>1054</v>
      </c>
    </row>
    <row r="14" spans="1:2" ht="15.75" x14ac:dyDescent="0.25">
      <c r="A14" s="250">
        <v>10</v>
      </c>
      <c r="B14" s="250" t="s">
        <v>987</v>
      </c>
    </row>
    <row r="15" spans="1:2" ht="15.75" x14ac:dyDescent="0.25">
      <c r="A15" s="250">
        <v>11</v>
      </c>
      <c r="B15" s="250" t="s">
        <v>996</v>
      </c>
    </row>
    <row r="16" spans="1:2" ht="15.75" x14ac:dyDescent="0.25">
      <c r="A16" s="250">
        <v>12</v>
      </c>
      <c r="B16" s="250" t="s">
        <v>998</v>
      </c>
    </row>
    <row r="17" spans="1:2" ht="15.75" x14ac:dyDescent="0.25">
      <c r="A17" s="250">
        <v>13</v>
      </c>
      <c r="B17" s="250" t="s">
        <v>938</v>
      </c>
    </row>
    <row r="18" spans="1:2" ht="15.75" x14ac:dyDescent="0.25">
      <c r="A18" s="250"/>
      <c r="B18" s="250"/>
    </row>
  </sheetData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42"/>
  <sheetViews>
    <sheetView view="pageBreakPreview" zoomScale="60" zoomScaleNormal="70" workbookViewId="0">
      <selection activeCell="F100" sqref="F100"/>
    </sheetView>
  </sheetViews>
  <sheetFormatPr defaultColWidth="20" defaultRowHeight="18.75" x14ac:dyDescent="0.3"/>
  <cols>
    <col min="1" max="1" width="13.140625" style="42" customWidth="1"/>
    <col min="2" max="2" width="90.140625" style="8" customWidth="1"/>
    <col min="3" max="3" width="12.5703125" style="182" bestFit="1" customWidth="1"/>
    <col min="4" max="4" width="13.5703125" style="75" customWidth="1"/>
    <col min="5" max="5" width="20.140625" style="71" bestFit="1" customWidth="1"/>
    <col min="6" max="6" width="29.140625" style="73" customWidth="1"/>
    <col min="7" max="7" width="25.7109375" style="8" customWidth="1"/>
    <col min="8" max="16384" width="20" style="8"/>
  </cols>
  <sheetData>
    <row r="1" spans="1:7" s="24" customFormat="1" ht="64.5" customHeight="1" x14ac:dyDescent="0.25">
      <c r="A1" s="21" t="s">
        <v>659</v>
      </c>
      <c r="B1" s="21" t="s">
        <v>660</v>
      </c>
      <c r="C1" s="65" t="s">
        <v>500</v>
      </c>
      <c r="D1" s="74" t="s">
        <v>920</v>
      </c>
      <c r="E1" s="64" t="s">
        <v>661</v>
      </c>
      <c r="F1" s="72" t="s">
        <v>550</v>
      </c>
      <c r="G1" s="21" t="s">
        <v>917</v>
      </c>
    </row>
    <row r="2" spans="1:7" x14ac:dyDescent="0.3">
      <c r="A2" s="35"/>
      <c r="B2" s="188"/>
      <c r="C2" s="181"/>
      <c r="D2" s="189"/>
      <c r="E2" s="190"/>
      <c r="F2" s="191"/>
      <c r="G2" s="188"/>
    </row>
    <row r="3" spans="1:7" ht="23.25" x14ac:dyDescent="0.35">
      <c r="A3" s="35"/>
      <c r="B3" s="77" t="s">
        <v>905</v>
      </c>
      <c r="C3" s="181"/>
      <c r="D3" s="189"/>
      <c r="E3" s="190"/>
      <c r="F3" s="191"/>
      <c r="G3" s="188"/>
    </row>
    <row r="4" spans="1:7" x14ac:dyDescent="0.3">
      <c r="A4" s="35" t="e">
        <f>#REF!</f>
        <v>#REF!</v>
      </c>
      <c r="B4" s="35" t="e">
        <f>#REF!</f>
        <v>#REF!</v>
      </c>
      <c r="C4" s="174" t="e">
        <f>#REF!</f>
        <v>#REF!</v>
      </c>
      <c r="D4" s="35">
        <v>10</v>
      </c>
      <c r="E4" s="38" t="e">
        <f>#REF!</f>
        <v>#REF!</v>
      </c>
      <c r="F4" s="38" t="e">
        <f>D4*E4</f>
        <v>#REF!</v>
      </c>
      <c r="G4" s="188" t="s">
        <v>1077</v>
      </c>
    </row>
    <row r="5" spans="1:7" x14ac:dyDescent="0.3">
      <c r="A5" s="35"/>
      <c r="B5" s="35"/>
      <c r="C5" s="174"/>
      <c r="D5" s="35"/>
      <c r="E5" s="38"/>
      <c r="F5" s="38"/>
      <c r="G5" s="188"/>
    </row>
    <row r="6" spans="1:7" x14ac:dyDescent="0.3">
      <c r="A6" s="35" t="e">
        <f>#REF!</f>
        <v>#REF!</v>
      </c>
      <c r="B6" s="35" t="e">
        <f>#REF!</f>
        <v>#REF!</v>
      </c>
      <c r="C6" s="174" t="e">
        <f>#REF!</f>
        <v>#REF!</v>
      </c>
      <c r="D6" s="35">
        <v>250</v>
      </c>
      <c r="E6" s="38" t="e">
        <f>#REF!</f>
        <v>#REF!</v>
      </c>
      <c r="F6" s="38" t="e">
        <f>D6*E6</f>
        <v>#REF!</v>
      </c>
      <c r="G6" s="188" t="s">
        <v>916</v>
      </c>
    </row>
    <row r="7" spans="1:7" x14ac:dyDescent="0.3">
      <c r="A7" s="35" t="e">
        <f>#REF!</f>
        <v>#REF!</v>
      </c>
      <c r="B7" s="35" t="e">
        <f>#REF!</f>
        <v>#REF!</v>
      </c>
      <c r="C7" s="174" t="e">
        <f>#REF!</f>
        <v>#REF!</v>
      </c>
      <c r="D7" s="35">
        <v>13</v>
      </c>
      <c r="E7" s="38" t="e">
        <f>#REF!</f>
        <v>#REF!</v>
      </c>
      <c r="F7" s="38" t="e">
        <f>D7*E7</f>
        <v>#REF!</v>
      </c>
      <c r="G7" s="188" t="s">
        <v>916</v>
      </c>
    </row>
    <row r="8" spans="1:7" x14ac:dyDescent="0.3">
      <c r="A8" s="35" t="e">
        <f>#REF!</f>
        <v>#REF!</v>
      </c>
      <c r="B8" s="35" t="e">
        <f>#REF!</f>
        <v>#REF!</v>
      </c>
      <c r="C8" s="174" t="e">
        <f>#REF!</f>
        <v>#REF!</v>
      </c>
      <c r="D8" s="35">
        <v>10</v>
      </c>
      <c r="E8" s="38" t="e">
        <f>#REF!</f>
        <v>#REF!</v>
      </c>
      <c r="F8" s="38" t="e">
        <f>D8*E8</f>
        <v>#REF!</v>
      </c>
      <c r="G8" s="188" t="s">
        <v>916</v>
      </c>
    </row>
    <row r="9" spans="1:7" x14ac:dyDescent="0.3">
      <c r="A9" s="35" t="e">
        <f>#REF!</f>
        <v>#REF!</v>
      </c>
      <c r="B9" s="35" t="e">
        <f>#REF!</f>
        <v>#REF!</v>
      </c>
      <c r="C9" s="174" t="e">
        <f>#REF!</f>
        <v>#REF!</v>
      </c>
      <c r="D9" s="35">
        <v>30</v>
      </c>
      <c r="E9" s="38" t="e">
        <f>#REF!</f>
        <v>#REF!</v>
      </c>
      <c r="F9" s="38" t="e">
        <f>D9*E9</f>
        <v>#REF!</v>
      </c>
      <c r="G9" s="188" t="s">
        <v>916</v>
      </c>
    </row>
    <row r="10" spans="1:7" x14ac:dyDescent="0.3">
      <c r="A10" s="35"/>
      <c r="B10" s="35"/>
      <c r="C10" s="174"/>
      <c r="D10" s="35"/>
      <c r="E10" s="38"/>
      <c r="F10" s="38"/>
      <c r="G10" s="188"/>
    </row>
    <row r="11" spans="1:7" x14ac:dyDescent="0.3">
      <c r="A11" s="35" t="e">
        <f>#REF!</f>
        <v>#REF!</v>
      </c>
      <c r="B11" s="35" t="e">
        <f>#REF!</f>
        <v>#REF!</v>
      </c>
      <c r="C11" s="174" t="e">
        <f>#REF!</f>
        <v>#REF!</v>
      </c>
      <c r="D11" s="35">
        <v>260</v>
      </c>
      <c r="E11" s="38" t="e">
        <f>#REF!</f>
        <v>#REF!</v>
      </c>
      <c r="F11" s="38" t="e">
        <f>D11*E11</f>
        <v>#REF!</v>
      </c>
      <c r="G11" s="188" t="s">
        <v>837</v>
      </c>
    </row>
    <row r="12" spans="1:7" x14ac:dyDescent="0.3">
      <c r="A12" s="35" t="e">
        <f>#REF!</f>
        <v>#REF!</v>
      </c>
      <c r="B12" s="35" t="e">
        <f>#REF!</f>
        <v>#REF!</v>
      </c>
      <c r="C12" s="174" t="e">
        <f>#REF!</f>
        <v>#REF!</v>
      </c>
      <c r="D12" s="35">
        <v>13</v>
      </c>
      <c r="E12" s="38" t="e">
        <f>#REF!</f>
        <v>#REF!</v>
      </c>
      <c r="F12" s="38" t="e">
        <f>D12*E12</f>
        <v>#REF!</v>
      </c>
      <c r="G12" s="188" t="s">
        <v>837</v>
      </c>
    </row>
    <row r="13" spans="1:7" x14ac:dyDescent="0.3">
      <c r="A13" s="35" t="e">
        <f>#REF!</f>
        <v>#REF!</v>
      </c>
      <c r="B13" s="35" t="e">
        <f>#REF!</f>
        <v>#REF!</v>
      </c>
      <c r="C13" s="174" t="e">
        <f>#REF!</f>
        <v>#REF!</v>
      </c>
      <c r="D13" s="35">
        <v>46</v>
      </c>
      <c r="E13" s="38" t="e">
        <f>#REF!</f>
        <v>#REF!</v>
      </c>
      <c r="F13" s="38" t="e">
        <f>D13*E13</f>
        <v>#REF!</v>
      </c>
      <c r="G13" s="188" t="s">
        <v>837</v>
      </c>
    </row>
    <row r="14" spans="1:7" x14ac:dyDescent="0.3">
      <c r="A14" s="35">
        <v>381</v>
      </c>
      <c r="B14" s="35" t="s">
        <v>331</v>
      </c>
      <c r="C14" s="174" t="s">
        <v>333</v>
      </c>
      <c r="D14" s="35">
        <v>30</v>
      </c>
      <c r="E14" s="38">
        <v>964</v>
      </c>
      <c r="F14" s="38">
        <f>D14*E14</f>
        <v>28920</v>
      </c>
      <c r="G14" s="188" t="s">
        <v>837</v>
      </c>
    </row>
    <row r="15" spans="1:7" x14ac:dyDescent="0.3">
      <c r="A15" s="35"/>
      <c r="B15" s="35"/>
      <c r="C15" s="174"/>
      <c r="D15" s="35"/>
      <c r="E15" s="38"/>
      <c r="F15" s="38"/>
      <c r="G15" s="188"/>
    </row>
    <row r="16" spans="1:7" x14ac:dyDescent="0.3">
      <c r="A16" s="35" t="e">
        <f>#REF!</f>
        <v>#REF!</v>
      </c>
      <c r="B16" s="35" t="e">
        <f>#REF!</f>
        <v>#REF!</v>
      </c>
      <c r="C16" s="174" t="e">
        <f>#REF!</f>
        <v>#REF!</v>
      </c>
      <c r="D16" s="35">
        <v>200</v>
      </c>
      <c r="E16" s="38" t="e">
        <f>#REF!</f>
        <v>#REF!</v>
      </c>
      <c r="F16" s="38" t="e">
        <f>D16*E16</f>
        <v>#REF!</v>
      </c>
      <c r="G16" s="188" t="s">
        <v>913</v>
      </c>
    </row>
    <row r="17" spans="1:7" x14ac:dyDescent="0.3">
      <c r="A17" s="35"/>
      <c r="B17" s="35"/>
      <c r="C17" s="174"/>
      <c r="D17" s="35"/>
      <c r="E17" s="38"/>
      <c r="F17" s="38"/>
      <c r="G17" s="188"/>
    </row>
    <row r="18" spans="1:7" x14ac:dyDescent="0.3">
      <c r="A18" s="35" t="e">
        <f>#REF!</f>
        <v>#REF!</v>
      </c>
      <c r="B18" s="35" t="e">
        <f>#REF!</f>
        <v>#REF!</v>
      </c>
      <c r="C18" s="174" t="e">
        <f>#REF!</f>
        <v>#REF!</v>
      </c>
      <c r="D18" s="35">
        <v>10</v>
      </c>
      <c r="E18" s="38" t="e">
        <f>#REF!</f>
        <v>#REF!</v>
      </c>
      <c r="F18" s="38" t="e">
        <f>D18*E18</f>
        <v>#REF!</v>
      </c>
      <c r="G18" s="188" t="s">
        <v>1075</v>
      </c>
    </row>
    <row r="19" spans="1:7" x14ac:dyDescent="0.3">
      <c r="A19" s="35" t="e">
        <f>#REF!</f>
        <v>#REF!</v>
      </c>
      <c r="B19" s="35" t="e">
        <f>#REF!</f>
        <v>#REF!</v>
      </c>
      <c r="C19" s="174" t="e">
        <f>#REF!</f>
        <v>#REF!</v>
      </c>
      <c r="D19" s="35">
        <v>10</v>
      </c>
      <c r="E19" s="38" t="e">
        <f>#REF!</f>
        <v>#REF!</v>
      </c>
      <c r="F19" s="38" t="e">
        <f>D19*E19</f>
        <v>#REF!</v>
      </c>
      <c r="G19" s="188" t="s">
        <v>1075</v>
      </c>
    </row>
    <row r="20" spans="1:7" x14ac:dyDescent="0.3">
      <c r="A20" s="35">
        <v>516</v>
      </c>
      <c r="B20" s="35" t="s">
        <v>360</v>
      </c>
      <c r="C20" s="174">
        <v>100</v>
      </c>
      <c r="D20" s="35">
        <v>3</v>
      </c>
      <c r="E20" s="38">
        <v>8126</v>
      </c>
      <c r="F20" s="38">
        <f>D20*E20</f>
        <v>24378</v>
      </c>
      <c r="G20" s="188" t="s">
        <v>1075</v>
      </c>
    </row>
    <row r="21" spans="1:7" x14ac:dyDescent="0.3">
      <c r="A21" s="35" t="e">
        <f>#REF!</f>
        <v>#REF!</v>
      </c>
      <c r="B21" s="35" t="e">
        <f>#REF!</f>
        <v>#REF!</v>
      </c>
      <c r="C21" s="174" t="e">
        <f>#REF!</f>
        <v>#REF!</v>
      </c>
      <c r="D21" s="35">
        <v>13</v>
      </c>
      <c r="E21" s="38" t="e">
        <f>#REF!</f>
        <v>#REF!</v>
      </c>
      <c r="F21" s="38" t="e">
        <f>D21*E21</f>
        <v>#REF!</v>
      </c>
      <c r="G21" s="188" t="s">
        <v>1075</v>
      </c>
    </row>
    <row r="22" spans="1:7" x14ac:dyDescent="0.3">
      <c r="A22" s="35" t="e">
        <f>#REF!</f>
        <v>#REF!</v>
      </c>
      <c r="B22" s="35" t="e">
        <f>#REF!</f>
        <v>#REF!</v>
      </c>
      <c r="C22" s="174" t="e">
        <f>#REF!</f>
        <v>#REF!</v>
      </c>
      <c r="D22" s="35">
        <v>50</v>
      </c>
      <c r="E22" s="38" t="e">
        <f>#REF!</f>
        <v>#REF!</v>
      </c>
      <c r="F22" s="38" t="e">
        <f>D22*E22</f>
        <v>#REF!</v>
      </c>
      <c r="G22" s="188" t="s">
        <v>1075</v>
      </c>
    </row>
    <row r="23" spans="1:7" x14ac:dyDescent="0.3">
      <c r="A23" s="35"/>
      <c r="B23" s="35"/>
      <c r="C23" s="174"/>
      <c r="D23" s="35"/>
      <c r="E23" s="38"/>
      <c r="F23" s="38"/>
      <c r="G23" s="188"/>
    </row>
    <row r="24" spans="1:7" x14ac:dyDescent="0.3">
      <c r="A24" s="35" t="e">
        <f>#REF!</f>
        <v>#REF!</v>
      </c>
      <c r="B24" s="35" t="e">
        <f>#REF!</f>
        <v>#REF!</v>
      </c>
      <c r="C24" s="174" t="e">
        <f>#REF!</f>
        <v>#REF!</v>
      </c>
      <c r="D24" s="35">
        <v>250</v>
      </c>
      <c r="E24" s="38" t="e">
        <f>#REF!</f>
        <v>#REF!</v>
      </c>
      <c r="F24" s="38" t="e">
        <f t="shared" ref="F24:F31" si="0">D24*E24</f>
        <v>#REF!</v>
      </c>
      <c r="G24" s="188" t="s">
        <v>911</v>
      </c>
    </row>
    <row r="25" spans="1:7" x14ac:dyDescent="0.3">
      <c r="A25" s="35" t="e">
        <f>#REF!</f>
        <v>#REF!</v>
      </c>
      <c r="B25" s="35" t="e">
        <f>#REF!</f>
        <v>#REF!</v>
      </c>
      <c r="C25" s="174" t="e">
        <f>#REF!</f>
        <v>#REF!</v>
      </c>
      <c r="D25" s="35">
        <v>10</v>
      </c>
      <c r="E25" s="38" t="e">
        <f>#REF!</f>
        <v>#REF!</v>
      </c>
      <c r="F25" s="38" t="e">
        <f t="shared" si="0"/>
        <v>#REF!</v>
      </c>
      <c r="G25" s="188" t="s">
        <v>911</v>
      </c>
    </row>
    <row r="26" spans="1:7" x14ac:dyDescent="0.3">
      <c r="A26" s="35" t="e">
        <f>#REF!</f>
        <v>#REF!</v>
      </c>
      <c r="B26" s="35" t="e">
        <f>#REF!</f>
        <v>#REF!</v>
      </c>
      <c r="C26" s="174" t="e">
        <f>#REF!</f>
        <v>#REF!</v>
      </c>
      <c r="D26" s="35">
        <v>25</v>
      </c>
      <c r="E26" s="38" t="e">
        <f>#REF!</f>
        <v>#REF!</v>
      </c>
      <c r="F26" s="38" t="e">
        <f t="shared" si="0"/>
        <v>#REF!</v>
      </c>
      <c r="G26" s="188" t="s">
        <v>911</v>
      </c>
    </row>
    <row r="27" spans="1:7" x14ac:dyDescent="0.3">
      <c r="A27" s="35" t="e">
        <f>#REF!</f>
        <v>#REF!</v>
      </c>
      <c r="B27" s="35" t="e">
        <f>#REF!</f>
        <v>#REF!</v>
      </c>
      <c r="C27" s="174" t="e">
        <f>#REF!</f>
        <v>#REF!</v>
      </c>
      <c r="D27" s="35">
        <v>25</v>
      </c>
      <c r="E27" s="38" t="e">
        <f>#REF!</f>
        <v>#REF!</v>
      </c>
      <c r="F27" s="38" t="e">
        <f t="shared" si="0"/>
        <v>#REF!</v>
      </c>
      <c r="G27" s="188" t="s">
        <v>911</v>
      </c>
    </row>
    <row r="28" spans="1:7" x14ac:dyDescent="0.3">
      <c r="A28" s="35" t="e">
        <f>#REF!</f>
        <v>#REF!</v>
      </c>
      <c r="B28" s="35" t="e">
        <f>#REF!</f>
        <v>#REF!</v>
      </c>
      <c r="C28" s="174" t="e">
        <f>#REF!</f>
        <v>#REF!</v>
      </c>
      <c r="D28" s="35">
        <v>10</v>
      </c>
      <c r="E28" s="38" t="e">
        <f>#REF!</f>
        <v>#REF!</v>
      </c>
      <c r="F28" s="38" t="e">
        <f t="shared" si="0"/>
        <v>#REF!</v>
      </c>
      <c r="G28" s="188" t="s">
        <v>911</v>
      </c>
    </row>
    <row r="29" spans="1:7" x14ac:dyDescent="0.3">
      <c r="A29" s="35" t="e">
        <f>#REF!</f>
        <v>#REF!</v>
      </c>
      <c r="B29" s="35" t="e">
        <f>#REF!</f>
        <v>#REF!</v>
      </c>
      <c r="C29" s="174" t="e">
        <f>#REF!</f>
        <v>#REF!</v>
      </c>
      <c r="D29" s="35">
        <v>50</v>
      </c>
      <c r="E29" s="38" t="e">
        <f>#REF!</f>
        <v>#REF!</v>
      </c>
      <c r="F29" s="38" t="e">
        <f t="shared" si="0"/>
        <v>#REF!</v>
      </c>
      <c r="G29" s="188" t="s">
        <v>911</v>
      </c>
    </row>
    <row r="30" spans="1:7" x14ac:dyDescent="0.3">
      <c r="A30" s="35" t="e">
        <f>#REF!</f>
        <v>#REF!</v>
      </c>
      <c r="B30" s="35" t="e">
        <f>#REF!</f>
        <v>#REF!</v>
      </c>
      <c r="C30" s="174" t="e">
        <f>#REF!</f>
        <v>#REF!</v>
      </c>
      <c r="D30" s="35">
        <v>60</v>
      </c>
      <c r="E30" s="38" t="e">
        <f>#REF!</f>
        <v>#REF!</v>
      </c>
      <c r="F30" s="38" t="e">
        <f t="shared" si="0"/>
        <v>#REF!</v>
      </c>
      <c r="G30" s="188" t="s">
        <v>911</v>
      </c>
    </row>
    <row r="31" spans="1:7" x14ac:dyDescent="0.3">
      <c r="A31" s="35" t="e">
        <f>#REF!</f>
        <v>#REF!</v>
      </c>
      <c r="B31" s="35" t="e">
        <f>#REF!</f>
        <v>#REF!</v>
      </c>
      <c r="C31" s="174" t="e">
        <f>#REF!</f>
        <v>#REF!</v>
      </c>
      <c r="D31" s="35">
        <v>26</v>
      </c>
      <c r="E31" s="38" t="e">
        <f>#REF!</f>
        <v>#REF!</v>
      </c>
      <c r="F31" s="38" t="e">
        <f t="shared" si="0"/>
        <v>#REF!</v>
      </c>
      <c r="G31" s="188" t="s">
        <v>911</v>
      </c>
    </row>
    <row r="32" spans="1:7" x14ac:dyDescent="0.3">
      <c r="A32" s="35"/>
      <c r="B32" s="35"/>
      <c r="C32" s="174"/>
      <c r="D32" s="35"/>
      <c r="E32" s="38"/>
      <c r="F32" s="38"/>
      <c r="G32" s="188"/>
    </row>
    <row r="33" spans="1:7" x14ac:dyDescent="0.3">
      <c r="A33" s="35" t="e">
        <f>#REF!</f>
        <v>#REF!</v>
      </c>
      <c r="B33" s="35" t="e">
        <f>#REF!</f>
        <v>#REF!</v>
      </c>
      <c r="C33" s="174" t="e">
        <f>#REF!</f>
        <v>#REF!</v>
      </c>
      <c r="D33" s="35">
        <v>1716</v>
      </c>
      <c r="E33" s="38" t="e">
        <f>#REF!</f>
        <v>#REF!</v>
      </c>
      <c r="F33" s="38" t="e">
        <f>D33*E33</f>
        <v>#REF!</v>
      </c>
      <c r="G33" s="188" t="s">
        <v>914</v>
      </c>
    </row>
    <row r="34" spans="1:7" x14ac:dyDescent="0.3">
      <c r="A34" s="35" t="e">
        <f>#REF!</f>
        <v>#REF!</v>
      </c>
      <c r="B34" s="35" t="e">
        <f>#REF!</f>
        <v>#REF!</v>
      </c>
      <c r="C34" s="174" t="e">
        <f>#REF!</f>
        <v>#REF!</v>
      </c>
      <c r="D34" s="35">
        <v>23</v>
      </c>
      <c r="E34" s="38" t="e">
        <f>#REF!</f>
        <v>#REF!</v>
      </c>
      <c r="F34" s="38" t="e">
        <f>D34*E34</f>
        <v>#REF!</v>
      </c>
      <c r="G34" s="188" t="s">
        <v>914</v>
      </c>
    </row>
    <row r="35" spans="1:7" x14ac:dyDescent="0.3">
      <c r="A35" s="35" t="e">
        <f>#REF!</f>
        <v>#REF!</v>
      </c>
      <c r="B35" s="35" t="e">
        <f>#REF!</f>
        <v>#REF!</v>
      </c>
      <c r="C35" s="174" t="e">
        <f>#REF!</f>
        <v>#REF!</v>
      </c>
      <c r="D35" s="35">
        <v>25</v>
      </c>
      <c r="E35" s="38" t="e">
        <f>#REF!</f>
        <v>#REF!</v>
      </c>
      <c r="F35" s="38" t="e">
        <f>D35*E35</f>
        <v>#REF!</v>
      </c>
      <c r="G35" s="188" t="s">
        <v>914</v>
      </c>
    </row>
    <row r="36" spans="1:7" x14ac:dyDescent="0.3">
      <c r="A36" s="35"/>
      <c r="B36" s="35"/>
      <c r="C36" s="174"/>
      <c r="D36" s="35"/>
      <c r="E36" s="38"/>
      <c r="F36" s="38"/>
      <c r="G36" s="188"/>
    </row>
    <row r="37" spans="1:7" x14ac:dyDescent="0.3">
      <c r="A37" s="35" t="e">
        <f>#REF!</f>
        <v>#REF!</v>
      </c>
      <c r="B37" s="35" t="e">
        <f>#REF!</f>
        <v>#REF!</v>
      </c>
      <c r="C37" s="174" t="e">
        <f>#REF!</f>
        <v>#REF!</v>
      </c>
      <c r="D37" s="35">
        <v>75</v>
      </c>
      <c r="E37" s="38" t="e">
        <f>#REF!</f>
        <v>#REF!</v>
      </c>
      <c r="F37" s="38" t="e">
        <f>D37*E37</f>
        <v>#REF!</v>
      </c>
      <c r="G37" s="188" t="s">
        <v>1076</v>
      </c>
    </row>
    <row r="38" spans="1:7" x14ac:dyDescent="0.3">
      <c r="A38" s="35"/>
      <c r="B38" s="35"/>
      <c r="C38" s="174"/>
      <c r="D38" s="35"/>
      <c r="E38" s="38"/>
      <c r="F38" s="38"/>
      <c r="G38" s="188"/>
    </row>
    <row r="39" spans="1:7" x14ac:dyDescent="0.3">
      <c r="A39" s="35" t="e">
        <f>#REF!</f>
        <v>#REF!</v>
      </c>
      <c r="B39" s="35" t="e">
        <f>#REF!</f>
        <v>#REF!</v>
      </c>
      <c r="C39" s="174" t="e">
        <f>#REF!</f>
        <v>#REF!</v>
      </c>
      <c r="D39" s="35">
        <v>5</v>
      </c>
      <c r="E39" s="38" t="e">
        <f>#REF!</f>
        <v>#REF!</v>
      </c>
      <c r="F39" s="38" t="e">
        <f>D39*E39</f>
        <v>#REF!</v>
      </c>
      <c r="G39" s="188" t="s">
        <v>912</v>
      </c>
    </row>
    <row r="40" spans="1:7" x14ac:dyDescent="0.3">
      <c r="A40" s="35" t="e">
        <f>#REF!</f>
        <v>#REF!</v>
      </c>
      <c r="B40" s="35" t="e">
        <f>#REF!</f>
        <v>#REF!</v>
      </c>
      <c r="C40" s="174" t="e">
        <f>#REF!</f>
        <v>#REF!</v>
      </c>
      <c r="D40" s="35">
        <v>3</v>
      </c>
      <c r="E40" s="38" t="e">
        <f>#REF!</f>
        <v>#REF!</v>
      </c>
      <c r="F40" s="38" t="e">
        <f>D40*E40</f>
        <v>#REF!</v>
      </c>
      <c r="G40" s="188" t="s">
        <v>912</v>
      </c>
    </row>
    <row r="41" spans="1:7" ht="24" thickBot="1" x14ac:dyDescent="0.4">
      <c r="A41" s="35"/>
      <c r="B41" s="77"/>
      <c r="C41" s="181"/>
      <c r="D41" s="189"/>
      <c r="E41" s="190"/>
      <c r="F41" s="253"/>
      <c r="G41" s="188"/>
    </row>
    <row r="42" spans="1:7" ht="24" thickBot="1" x14ac:dyDescent="0.4">
      <c r="A42" s="35"/>
      <c r="B42" s="188"/>
      <c r="C42" s="181"/>
      <c r="D42" s="189"/>
      <c r="E42" s="252"/>
      <c r="F42" s="254" t="e">
        <f>SUM(F4:F40)</f>
        <v>#REF!</v>
      </c>
    </row>
  </sheetData>
  <sortState ref="A4:G41">
    <sortCondition ref="G4:G41"/>
  </sortState>
  <pageMargins left="0.25" right="0.25" top="0.75" bottom="0.75" header="0.3" footer="0.3"/>
  <pageSetup paperSize="9" scale="59" orientation="landscape" r:id="rId1"/>
  <rowBreaks count="1" manualBreakCount="1">
    <brk id="42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224"/>
  <sheetViews>
    <sheetView view="pageBreakPreview" zoomScale="80" zoomScaleNormal="100" zoomScaleSheetLayoutView="80" workbookViewId="0">
      <selection activeCell="F100" sqref="F100"/>
    </sheetView>
  </sheetViews>
  <sheetFormatPr defaultRowHeight="18.75" x14ac:dyDescent="0.3"/>
  <cols>
    <col min="3" max="3" width="56.140625" customWidth="1"/>
    <col min="4" max="4" width="9.140625" style="26"/>
    <col min="5" max="5" width="16.28515625" customWidth="1"/>
    <col min="6" max="6" width="14.85546875" style="27" customWidth="1"/>
    <col min="7" max="7" width="16.140625" style="27" customWidth="1"/>
    <col min="8" max="8" width="21.7109375" style="42" customWidth="1"/>
  </cols>
  <sheetData>
    <row r="1" spans="1:8" ht="28.5" customHeight="1" x14ac:dyDescent="0.25">
      <c r="A1" s="876" t="s">
        <v>1188</v>
      </c>
      <c r="B1" s="876"/>
      <c r="C1" s="876"/>
      <c r="D1" s="876"/>
      <c r="E1" s="876"/>
      <c r="F1" s="876"/>
      <c r="G1" s="876"/>
      <c r="H1" s="876"/>
    </row>
    <row r="3" spans="1:8" ht="37.5" x14ac:dyDescent="0.25">
      <c r="A3" s="66" t="s">
        <v>658</v>
      </c>
      <c r="B3" s="21" t="s">
        <v>659</v>
      </c>
      <c r="C3" s="21" t="s">
        <v>660</v>
      </c>
      <c r="D3" s="21" t="s">
        <v>500</v>
      </c>
      <c r="E3" s="74" t="s">
        <v>1078</v>
      </c>
      <c r="F3" s="64" t="s">
        <v>661</v>
      </c>
      <c r="G3" s="72" t="s">
        <v>550</v>
      </c>
      <c r="H3" s="21" t="s">
        <v>1109</v>
      </c>
    </row>
    <row r="4" spans="1:8" x14ac:dyDescent="0.3">
      <c r="A4" s="188">
        <v>1</v>
      </c>
      <c r="B4" s="3"/>
      <c r="C4" s="35" t="s">
        <v>1097</v>
      </c>
      <c r="D4" s="277"/>
      <c r="E4" s="278"/>
      <c r="F4" s="279"/>
      <c r="G4" s="279"/>
      <c r="H4" s="35"/>
    </row>
    <row r="5" spans="1:8" x14ac:dyDescent="0.3">
      <c r="A5" s="188"/>
      <c r="B5" s="3">
        <v>255</v>
      </c>
      <c r="C5" s="278" t="s">
        <v>182</v>
      </c>
      <c r="D5" s="277" t="s">
        <v>57</v>
      </c>
      <c r="E5" s="278">
        <v>50</v>
      </c>
      <c r="F5" s="279">
        <v>2800</v>
      </c>
      <c r="G5" s="279">
        <f>E5*F5</f>
        <v>140000</v>
      </c>
      <c r="H5" s="276"/>
    </row>
    <row r="6" spans="1:8" x14ac:dyDescent="0.3">
      <c r="A6" s="188"/>
      <c r="B6" s="3">
        <v>208</v>
      </c>
      <c r="C6" s="281" t="s">
        <v>153</v>
      </c>
      <c r="D6" s="277">
        <v>10</v>
      </c>
      <c r="E6" s="278">
        <v>13</v>
      </c>
      <c r="F6" s="279">
        <v>2300</v>
      </c>
      <c r="G6" s="279">
        <f>E6*F6</f>
        <v>29900</v>
      </c>
      <c r="H6" s="276">
        <f>SUM(G5:G6)</f>
        <v>169900</v>
      </c>
    </row>
    <row r="7" spans="1:8" x14ac:dyDescent="0.3">
      <c r="A7" s="188"/>
      <c r="B7" s="3"/>
      <c r="C7" s="35"/>
      <c r="D7" s="277"/>
      <c r="E7" s="278"/>
      <c r="F7" s="279"/>
      <c r="G7" s="279"/>
      <c r="H7" s="35"/>
    </row>
    <row r="8" spans="1:8" x14ac:dyDescent="0.3">
      <c r="A8" s="188">
        <v>2</v>
      </c>
      <c r="B8" s="3"/>
      <c r="C8" s="35" t="s">
        <v>1180</v>
      </c>
      <c r="D8" s="277"/>
      <c r="E8" s="278"/>
      <c r="F8" s="279"/>
      <c r="G8" s="279"/>
      <c r="H8" s="35"/>
    </row>
    <row r="9" spans="1:8" x14ac:dyDescent="0.3">
      <c r="A9" s="188"/>
      <c r="B9" s="3">
        <v>165</v>
      </c>
      <c r="C9" s="278" t="s">
        <v>447</v>
      </c>
      <c r="D9" s="277" t="s">
        <v>57</v>
      </c>
      <c r="E9" s="278">
        <v>50</v>
      </c>
      <c r="F9" s="279">
        <v>272.8</v>
      </c>
      <c r="G9" s="279">
        <f>E9*F9</f>
        <v>13640</v>
      </c>
      <c r="H9" s="276">
        <f>SUM(G9:G9)</f>
        <v>13640</v>
      </c>
    </row>
    <row r="10" spans="1:8" x14ac:dyDescent="0.3">
      <c r="A10" s="188"/>
      <c r="B10" s="3"/>
      <c r="C10" s="278"/>
      <c r="D10" s="277"/>
      <c r="E10" s="278"/>
      <c r="F10" s="279"/>
      <c r="G10" s="279"/>
      <c r="H10" s="276"/>
    </row>
    <row r="11" spans="1:8" x14ac:dyDescent="0.3">
      <c r="A11" s="188"/>
      <c r="B11" s="3"/>
      <c r="C11" s="278"/>
      <c r="D11" s="277"/>
      <c r="E11" s="278"/>
      <c r="F11" s="279"/>
      <c r="G11" s="279"/>
      <c r="H11" s="276"/>
    </row>
    <row r="12" spans="1:8" x14ac:dyDescent="0.3">
      <c r="A12" s="188">
        <v>3</v>
      </c>
      <c r="B12" s="3"/>
      <c r="C12" s="35" t="s">
        <v>877</v>
      </c>
      <c r="D12" s="277"/>
      <c r="E12" s="278"/>
      <c r="F12" s="279"/>
      <c r="G12" s="279"/>
      <c r="H12" s="35"/>
    </row>
    <row r="13" spans="1:8" x14ac:dyDescent="0.3">
      <c r="A13" s="188"/>
      <c r="B13" s="3">
        <v>42</v>
      </c>
      <c r="C13" s="278" t="s">
        <v>1100</v>
      </c>
      <c r="D13" s="277">
        <v>30</v>
      </c>
      <c r="E13" s="278">
        <v>75</v>
      </c>
      <c r="F13" s="279">
        <v>500</v>
      </c>
      <c r="G13" s="279">
        <f>E13*F13</f>
        <v>37500</v>
      </c>
      <c r="H13" s="35"/>
    </row>
    <row r="14" spans="1:8" x14ac:dyDescent="0.3">
      <c r="A14" s="188"/>
      <c r="B14" s="3">
        <v>103</v>
      </c>
      <c r="C14" s="278" t="s">
        <v>1186</v>
      </c>
      <c r="D14" s="277">
        <v>100</v>
      </c>
      <c r="E14" s="278">
        <v>75</v>
      </c>
      <c r="F14" s="279">
        <v>1500</v>
      </c>
      <c r="G14" s="279">
        <f>E14*F14</f>
        <v>112500</v>
      </c>
      <c r="H14" s="276">
        <f>SUM(G13:G14)</f>
        <v>150000</v>
      </c>
    </row>
    <row r="15" spans="1:8" x14ac:dyDescent="0.3">
      <c r="A15" s="188"/>
      <c r="B15" s="3"/>
      <c r="C15" s="278"/>
      <c r="D15" s="277"/>
      <c r="E15" s="278"/>
      <c r="F15" s="279"/>
      <c r="G15" s="279"/>
      <c r="H15" s="35"/>
    </row>
    <row r="16" spans="1:8" x14ac:dyDescent="0.3">
      <c r="A16" s="188"/>
      <c r="B16" s="3"/>
      <c r="C16" s="278"/>
      <c r="D16" s="277"/>
      <c r="E16" s="278"/>
      <c r="F16" s="279"/>
      <c r="G16" s="279"/>
      <c r="H16" s="35"/>
    </row>
    <row r="17" spans="1:8" x14ac:dyDescent="0.3">
      <c r="A17" s="188">
        <v>4</v>
      </c>
      <c r="B17" s="3"/>
      <c r="C17" s="35" t="s">
        <v>1182</v>
      </c>
      <c r="D17" s="277"/>
      <c r="E17" s="278"/>
      <c r="F17" s="279"/>
      <c r="G17" s="279"/>
      <c r="H17" s="35"/>
    </row>
    <row r="18" spans="1:8" x14ac:dyDescent="0.3">
      <c r="A18" s="188"/>
      <c r="B18" s="3">
        <v>387</v>
      </c>
      <c r="C18" s="278" t="s">
        <v>285</v>
      </c>
      <c r="D18" s="277">
        <v>1000</v>
      </c>
      <c r="E18" s="278">
        <v>5</v>
      </c>
      <c r="F18" s="279">
        <v>310</v>
      </c>
      <c r="G18" s="279">
        <f>E18*F18</f>
        <v>1550</v>
      </c>
      <c r="H18" s="276"/>
    </row>
    <row r="19" spans="1:8" x14ac:dyDescent="0.3">
      <c r="A19" s="188"/>
      <c r="B19" s="3">
        <v>254</v>
      </c>
      <c r="C19" s="278" t="s">
        <v>180</v>
      </c>
      <c r="D19" s="277">
        <v>1000</v>
      </c>
      <c r="E19" s="278">
        <v>20</v>
      </c>
      <c r="F19" s="279">
        <v>800</v>
      </c>
      <c r="G19" s="279">
        <f>E19*F19</f>
        <v>16000</v>
      </c>
      <c r="H19" s="35"/>
    </row>
    <row r="20" spans="1:8" x14ac:dyDescent="0.3">
      <c r="A20" s="188"/>
      <c r="B20" s="3">
        <v>276</v>
      </c>
      <c r="C20" s="278" t="s">
        <v>1183</v>
      </c>
      <c r="D20" s="277">
        <v>1000</v>
      </c>
      <c r="E20" s="278">
        <v>20</v>
      </c>
      <c r="F20" s="279">
        <v>500.46</v>
      </c>
      <c r="G20" s="279">
        <f>E20*F20</f>
        <v>10009.199999999999</v>
      </c>
      <c r="H20" s="276">
        <f>SUM(G18:G20)</f>
        <v>27559.199999999997</v>
      </c>
    </row>
    <row r="21" spans="1:8" x14ac:dyDescent="0.3">
      <c r="A21" s="188"/>
      <c r="B21" s="3"/>
      <c r="C21" s="278"/>
      <c r="D21" s="277"/>
      <c r="E21" s="278"/>
      <c r="F21" s="279"/>
      <c r="G21" s="279"/>
      <c r="H21" s="35"/>
    </row>
    <row r="22" spans="1:8" x14ac:dyDescent="0.3">
      <c r="A22" s="188"/>
      <c r="B22" s="3"/>
      <c r="C22" s="278"/>
      <c r="D22" s="277"/>
      <c r="E22" s="278"/>
      <c r="F22" s="279"/>
      <c r="G22" s="279"/>
      <c r="H22" s="35"/>
    </row>
    <row r="23" spans="1:8" x14ac:dyDescent="0.3">
      <c r="A23" s="188">
        <v>5</v>
      </c>
      <c r="B23" s="3"/>
      <c r="C23" s="35" t="s">
        <v>876</v>
      </c>
      <c r="D23" s="277"/>
      <c r="E23" s="278"/>
      <c r="F23" s="279"/>
      <c r="G23" s="279"/>
      <c r="H23" s="35"/>
    </row>
    <row r="24" spans="1:8" x14ac:dyDescent="0.3">
      <c r="A24" s="188"/>
      <c r="B24" s="3">
        <v>471</v>
      </c>
      <c r="C24" s="278" t="s">
        <v>344</v>
      </c>
      <c r="D24" s="277">
        <v>100</v>
      </c>
      <c r="E24" s="278">
        <v>10</v>
      </c>
      <c r="F24" s="279">
        <v>330</v>
      </c>
      <c r="G24" s="279">
        <f t="shared" ref="G24:G52" si="0">E24*F24</f>
        <v>3300</v>
      </c>
      <c r="H24" s="35"/>
    </row>
    <row r="25" spans="1:8" x14ac:dyDescent="0.3">
      <c r="A25" s="188"/>
      <c r="B25" s="3">
        <v>472</v>
      </c>
      <c r="C25" s="278" t="s">
        <v>345</v>
      </c>
      <c r="D25" s="277">
        <v>100</v>
      </c>
      <c r="E25" s="278">
        <v>10</v>
      </c>
      <c r="F25" s="279">
        <v>460</v>
      </c>
      <c r="G25" s="279">
        <f t="shared" si="0"/>
        <v>4600</v>
      </c>
      <c r="H25" s="35"/>
    </row>
    <row r="26" spans="1:8" x14ac:dyDescent="0.3">
      <c r="A26" s="188"/>
      <c r="B26" s="3">
        <v>112</v>
      </c>
      <c r="C26" s="278" t="s">
        <v>1185</v>
      </c>
      <c r="D26" s="277">
        <v>28</v>
      </c>
      <c r="E26" s="278">
        <v>20</v>
      </c>
      <c r="F26" s="279">
        <v>380</v>
      </c>
      <c r="G26" s="279">
        <f t="shared" si="0"/>
        <v>7600</v>
      </c>
      <c r="H26" s="35"/>
    </row>
    <row r="27" spans="1:8" x14ac:dyDescent="0.3">
      <c r="A27" s="188"/>
      <c r="B27" s="3">
        <v>2</v>
      </c>
      <c r="C27" s="278" t="s">
        <v>4</v>
      </c>
      <c r="D27" s="277">
        <v>6</v>
      </c>
      <c r="E27" s="278">
        <v>20</v>
      </c>
      <c r="F27" s="279">
        <v>160</v>
      </c>
      <c r="G27" s="279">
        <f t="shared" si="0"/>
        <v>3200</v>
      </c>
      <c r="H27" s="35"/>
    </row>
    <row r="28" spans="1:8" x14ac:dyDescent="0.3">
      <c r="A28" s="188"/>
      <c r="B28" s="3">
        <v>3</v>
      </c>
      <c r="C28" s="278" t="s">
        <v>1102</v>
      </c>
      <c r="D28" s="277" t="s">
        <v>144</v>
      </c>
      <c r="E28" s="278">
        <v>20</v>
      </c>
      <c r="F28" s="279">
        <v>280</v>
      </c>
      <c r="G28" s="279">
        <f t="shared" si="0"/>
        <v>5600</v>
      </c>
      <c r="H28" s="35"/>
    </row>
    <row r="29" spans="1:8" x14ac:dyDescent="0.3">
      <c r="A29" s="188"/>
      <c r="B29" s="3">
        <v>346</v>
      </c>
      <c r="C29" s="278" t="s">
        <v>1158</v>
      </c>
      <c r="D29" s="277">
        <v>100</v>
      </c>
      <c r="E29" s="278">
        <v>1</v>
      </c>
      <c r="F29" s="279">
        <v>27000</v>
      </c>
      <c r="G29" s="279">
        <f t="shared" si="0"/>
        <v>27000</v>
      </c>
      <c r="H29" s="35"/>
    </row>
    <row r="30" spans="1:8" x14ac:dyDescent="0.3">
      <c r="A30" s="188"/>
      <c r="B30" s="3">
        <v>477</v>
      </c>
      <c r="C30" s="278" t="s">
        <v>1159</v>
      </c>
      <c r="D30" s="277">
        <v>50</v>
      </c>
      <c r="E30" s="278">
        <v>20</v>
      </c>
      <c r="F30" s="279">
        <v>1900</v>
      </c>
      <c r="G30" s="279">
        <f t="shared" si="0"/>
        <v>38000</v>
      </c>
      <c r="H30" s="35"/>
    </row>
    <row r="31" spans="1:8" x14ac:dyDescent="0.3">
      <c r="A31" s="188"/>
      <c r="B31" s="3">
        <v>476</v>
      </c>
      <c r="C31" s="278" t="s">
        <v>1092</v>
      </c>
      <c r="D31" s="277">
        <v>50</v>
      </c>
      <c r="E31" s="278">
        <v>4</v>
      </c>
      <c r="F31" s="279">
        <v>1900</v>
      </c>
      <c r="G31" s="279">
        <f t="shared" si="0"/>
        <v>7600</v>
      </c>
      <c r="H31" s="35"/>
    </row>
    <row r="32" spans="1:8" x14ac:dyDescent="0.3">
      <c r="A32" s="188"/>
      <c r="B32" s="3">
        <v>183</v>
      </c>
      <c r="C32" s="278" t="s">
        <v>136</v>
      </c>
      <c r="D32" s="277">
        <v>10</v>
      </c>
      <c r="E32" s="278">
        <v>100</v>
      </c>
      <c r="F32" s="279">
        <v>600</v>
      </c>
      <c r="G32" s="279">
        <f t="shared" si="0"/>
        <v>60000</v>
      </c>
      <c r="H32" s="35"/>
    </row>
    <row r="33" spans="1:8" x14ac:dyDescent="0.3">
      <c r="A33" s="188"/>
      <c r="B33" s="3">
        <v>10</v>
      </c>
      <c r="C33" s="278" t="s">
        <v>10</v>
      </c>
      <c r="D33" s="277" t="s">
        <v>144</v>
      </c>
      <c r="E33" s="278">
        <v>70</v>
      </c>
      <c r="F33" s="279">
        <v>350</v>
      </c>
      <c r="G33" s="279">
        <f t="shared" si="0"/>
        <v>24500</v>
      </c>
      <c r="H33" s="35"/>
    </row>
    <row r="34" spans="1:8" x14ac:dyDescent="0.3">
      <c r="A34" s="188"/>
      <c r="B34" s="3">
        <v>300</v>
      </c>
      <c r="C34" s="278" t="s">
        <v>1087</v>
      </c>
      <c r="D34" s="277">
        <v>10</v>
      </c>
      <c r="E34" s="278">
        <v>2</v>
      </c>
      <c r="F34" s="279">
        <v>13800</v>
      </c>
      <c r="G34" s="279">
        <f t="shared" si="0"/>
        <v>27600</v>
      </c>
      <c r="H34" s="35"/>
    </row>
    <row r="35" spans="1:8" x14ac:dyDescent="0.3">
      <c r="A35" s="188"/>
      <c r="B35" s="3">
        <v>494</v>
      </c>
      <c r="C35" s="278" t="s">
        <v>1160</v>
      </c>
      <c r="D35" s="277">
        <v>10</v>
      </c>
      <c r="E35" s="278">
        <v>10</v>
      </c>
      <c r="F35" s="279">
        <v>1750</v>
      </c>
      <c r="G35" s="279">
        <f t="shared" si="0"/>
        <v>17500</v>
      </c>
      <c r="H35" s="35"/>
    </row>
    <row r="36" spans="1:8" x14ac:dyDescent="0.3">
      <c r="A36" s="188"/>
      <c r="B36" s="3">
        <v>498</v>
      </c>
      <c r="C36" s="278" t="s">
        <v>1095</v>
      </c>
      <c r="D36" s="277">
        <v>10</v>
      </c>
      <c r="E36" s="278">
        <v>5</v>
      </c>
      <c r="F36" s="279">
        <v>1750</v>
      </c>
      <c r="G36" s="279">
        <f t="shared" si="0"/>
        <v>8750</v>
      </c>
      <c r="H36" s="35"/>
    </row>
    <row r="37" spans="1:8" x14ac:dyDescent="0.3">
      <c r="A37" s="188"/>
      <c r="B37" s="3">
        <v>559</v>
      </c>
      <c r="C37" s="278" t="s">
        <v>396</v>
      </c>
      <c r="D37" s="277" t="s">
        <v>144</v>
      </c>
      <c r="E37" s="278">
        <v>100</v>
      </c>
      <c r="F37" s="279">
        <v>500</v>
      </c>
      <c r="G37" s="279">
        <f t="shared" si="0"/>
        <v>50000</v>
      </c>
      <c r="H37" s="35"/>
    </row>
    <row r="38" spans="1:8" x14ac:dyDescent="0.3">
      <c r="A38" s="188"/>
      <c r="B38" s="3">
        <v>55</v>
      </c>
      <c r="C38" s="278" t="s">
        <v>1111</v>
      </c>
      <c r="D38" s="277">
        <v>10</v>
      </c>
      <c r="E38" s="278">
        <v>10</v>
      </c>
      <c r="F38" s="279">
        <v>8000</v>
      </c>
      <c r="G38" s="279">
        <f t="shared" si="0"/>
        <v>80000</v>
      </c>
      <c r="H38" s="35"/>
    </row>
    <row r="39" spans="1:8" x14ac:dyDescent="0.3">
      <c r="A39" s="188"/>
      <c r="B39" s="3">
        <v>65</v>
      </c>
      <c r="C39" s="278" t="s">
        <v>58</v>
      </c>
      <c r="D39" s="277">
        <v>28</v>
      </c>
      <c r="E39" s="278">
        <v>100</v>
      </c>
      <c r="F39" s="279">
        <v>300</v>
      </c>
      <c r="G39" s="279">
        <f t="shared" si="0"/>
        <v>30000</v>
      </c>
      <c r="H39" s="35"/>
    </row>
    <row r="40" spans="1:8" x14ac:dyDescent="0.3">
      <c r="A40" s="188"/>
      <c r="B40" s="3">
        <v>66</v>
      </c>
      <c r="C40" s="278" t="s">
        <v>59</v>
      </c>
      <c r="D40" s="277">
        <v>28</v>
      </c>
      <c r="E40" s="278">
        <v>100</v>
      </c>
      <c r="F40" s="279">
        <v>220</v>
      </c>
      <c r="G40" s="279">
        <f t="shared" si="0"/>
        <v>22000</v>
      </c>
      <c r="H40" s="35"/>
    </row>
    <row r="41" spans="1:8" x14ac:dyDescent="0.3">
      <c r="A41" s="188"/>
      <c r="B41" s="3">
        <v>133</v>
      </c>
      <c r="C41" s="278" t="s">
        <v>1181</v>
      </c>
      <c r="D41" s="277" t="s">
        <v>57</v>
      </c>
      <c r="E41" s="278">
        <v>20</v>
      </c>
      <c r="F41" s="279">
        <v>850</v>
      </c>
      <c r="G41" s="279">
        <f t="shared" si="0"/>
        <v>17000</v>
      </c>
      <c r="H41" s="35"/>
    </row>
    <row r="42" spans="1:8" x14ac:dyDescent="0.3">
      <c r="A42" s="188"/>
      <c r="B42" s="3">
        <v>561</v>
      </c>
      <c r="C42" s="278" t="s">
        <v>1116</v>
      </c>
      <c r="D42" s="277" t="s">
        <v>144</v>
      </c>
      <c r="E42" s="278">
        <v>28</v>
      </c>
      <c r="F42" s="279">
        <v>310</v>
      </c>
      <c r="G42" s="279">
        <f t="shared" si="0"/>
        <v>8680</v>
      </c>
      <c r="H42" s="35"/>
    </row>
    <row r="43" spans="1:8" x14ac:dyDescent="0.3">
      <c r="A43" s="188"/>
      <c r="B43" s="3">
        <v>505</v>
      </c>
      <c r="C43" s="278" t="s">
        <v>1162</v>
      </c>
      <c r="D43" s="277">
        <v>25</v>
      </c>
      <c r="E43" s="278">
        <v>5</v>
      </c>
      <c r="F43" s="279">
        <v>2200</v>
      </c>
      <c r="G43" s="279">
        <f t="shared" si="0"/>
        <v>11000</v>
      </c>
      <c r="H43" s="35"/>
    </row>
    <row r="44" spans="1:8" x14ac:dyDescent="0.3">
      <c r="A44" s="188"/>
      <c r="B44" s="3">
        <v>512</v>
      </c>
      <c r="C44" s="278" t="s">
        <v>704</v>
      </c>
      <c r="D44" s="277">
        <v>10</v>
      </c>
      <c r="E44" s="278">
        <v>4</v>
      </c>
      <c r="F44" s="279">
        <v>700</v>
      </c>
      <c r="G44" s="279">
        <f t="shared" si="0"/>
        <v>2800</v>
      </c>
      <c r="H44" s="35"/>
    </row>
    <row r="45" spans="1:8" x14ac:dyDescent="0.3">
      <c r="A45" s="188"/>
      <c r="B45" s="3">
        <v>73</v>
      </c>
      <c r="C45" s="278" t="s">
        <v>1163</v>
      </c>
      <c r="D45" s="277">
        <v>100</v>
      </c>
      <c r="E45" s="278">
        <v>15</v>
      </c>
      <c r="F45" s="279">
        <v>150</v>
      </c>
      <c r="G45" s="279">
        <f t="shared" si="0"/>
        <v>2250</v>
      </c>
      <c r="H45" s="35"/>
    </row>
    <row r="46" spans="1:8" x14ac:dyDescent="0.3">
      <c r="A46" s="188"/>
      <c r="B46" s="3">
        <v>263</v>
      </c>
      <c r="C46" s="278" t="s">
        <v>1171</v>
      </c>
      <c r="D46" s="277">
        <v>30</v>
      </c>
      <c r="E46" s="278">
        <v>200</v>
      </c>
      <c r="F46" s="279">
        <v>900</v>
      </c>
      <c r="G46" s="279">
        <f t="shared" si="0"/>
        <v>180000</v>
      </c>
      <c r="H46" s="35"/>
    </row>
    <row r="47" spans="1:8" x14ac:dyDescent="0.3">
      <c r="A47" s="188"/>
      <c r="B47" s="3">
        <v>312</v>
      </c>
      <c r="C47" s="278" t="s">
        <v>462</v>
      </c>
      <c r="D47" s="277">
        <v>5</v>
      </c>
      <c r="E47" s="278">
        <v>2</v>
      </c>
      <c r="F47" s="279">
        <v>4025</v>
      </c>
      <c r="G47" s="279">
        <f t="shared" si="0"/>
        <v>8050</v>
      </c>
      <c r="H47" s="35"/>
    </row>
    <row r="48" spans="1:8" x14ac:dyDescent="0.3">
      <c r="A48" s="188"/>
      <c r="B48" s="3">
        <v>400</v>
      </c>
      <c r="C48" s="278" t="s">
        <v>298</v>
      </c>
      <c r="D48" s="277">
        <v>100</v>
      </c>
      <c r="E48" s="278">
        <v>3</v>
      </c>
      <c r="F48" s="279">
        <v>1100</v>
      </c>
      <c r="G48" s="279">
        <f t="shared" si="0"/>
        <v>3300</v>
      </c>
      <c r="H48" s="276"/>
    </row>
    <row r="49" spans="1:8" x14ac:dyDescent="0.3">
      <c r="A49" s="188"/>
      <c r="B49" s="3">
        <v>273</v>
      </c>
      <c r="C49" s="278" t="s">
        <v>1179</v>
      </c>
      <c r="D49" s="277">
        <v>20</v>
      </c>
      <c r="E49" s="278">
        <v>20</v>
      </c>
      <c r="F49" s="279">
        <v>2000</v>
      </c>
      <c r="G49" s="279">
        <f t="shared" si="0"/>
        <v>40000</v>
      </c>
      <c r="H49" s="35"/>
    </row>
    <row r="50" spans="1:8" x14ac:dyDescent="0.3">
      <c r="A50" s="188"/>
      <c r="B50" s="3">
        <v>274</v>
      </c>
      <c r="C50" s="278" t="s">
        <v>191</v>
      </c>
      <c r="D50" s="277">
        <v>5</v>
      </c>
      <c r="E50" s="278">
        <v>15</v>
      </c>
      <c r="F50" s="279">
        <v>1380</v>
      </c>
      <c r="G50" s="279">
        <f t="shared" si="0"/>
        <v>20700</v>
      </c>
      <c r="H50" s="35"/>
    </row>
    <row r="51" spans="1:8" x14ac:dyDescent="0.3">
      <c r="A51" s="188"/>
      <c r="B51" s="3">
        <v>542</v>
      </c>
      <c r="C51" s="278" t="s">
        <v>377</v>
      </c>
      <c r="D51" s="277">
        <v>10</v>
      </c>
      <c r="E51" s="278">
        <v>40</v>
      </c>
      <c r="F51" s="279">
        <v>820</v>
      </c>
      <c r="G51" s="279">
        <f t="shared" si="0"/>
        <v>32800</v>
      </c>
      <c r="H51" s="276"/>
    </row>
    <row r="52" spans="1:8" x14ac:dyDescent="0.3">
      <c r="A52" s="188"/>
      <c r="B52" s="3">
        <v>286</v>
      </c>
      <c r="C52" s="278" t="s">
        <v>202</v>
      </c>
      <c r="D52" s="277">
        <v>28</v>
      </c>
      <c r="E52" s="278">
        <v>12</v>
      </c>
      <c r="F52" s="279">
        <v>300</v>
      </c>
      <c r="G52" s="279">
        <f t="shared" si="0"/>
        <v>3600</v>
      </c>
      <c r="H52" s="276">
        <f>SUM(G24:G52)</f>
        <v>747430</v>
      </c>
    </row>
    <row r="53" spans="1:8" x14ac:dyDescent="0.3">
      <c r="A53" s="188"/>
      <c r="B53" s="3"/>
      <c r="C53" s="278"/>
      <c r="D53" s="277"/>
      <c r="E53" s="278"/>
      <c r="F53" s="279"/>
      <c r="G53" s="279"/>
      <c r="H53" s="35"/>
    </row>
    <row r="54" spans="1:8" x14ac:dyDescent="0.3">
      <c r="A54" s="188"/>
      <c r="B54" s="3"/>
      <c r="C54" s="278"/>
      <c r="D54" s="277"/>
      <c r="E54" s="278"/>
      <c r="F54" s="279"/>
      <c r="G54" s="279"/>
      <c r="H54" s="35"/>
    </row>
    <row r="55" spans="1:8" x14ac:dyDescent="0.3">
      <c r="A55" s="188">
        <v>6</v>
      </c>
      <c r="B55" s="3"/>
      <c r="C55" s="35" t="s">
        <v>665</v>
      </c>
      <c r="D55" s="277"/>
      <c r="E55" s="278"/>
      <c r="F55" s="279"/>
      <c r="G55" s="279"/>
      <c r="H55" s="35"/>
    </row>
    <row r="56" spans="1:8" x14ac:dyDescent="0.3">
      <c r="A56" s="188"/>
      <c r="B56" s="3">
        <v>233</v>
      </c>
      <c r="C56" s="278" t="s">
        <v>1177</v>
      </c>
      <c r="D56" s="277">
        <v>30</v>
      </c>
      <c r="E56" s="278">
        <v>50</v>
      </c>
      <c r="F56" s="279">
        <v>1050</v>
      </c>
      <c r="G56" s="279">
        <f>E56*F56</f>
        <v>52500</v>
      </c>
      <c r="H56" s="276"/>
    </row>
    <row r="57" spans="1:8" x14ac:dyDescent="0.3">
      <c r="A57" s="188"/>
      <c r="B57" s="3">
        <v>234</v>
      </c>
      <c r="C57" s="278" t="s">
        <v>1099</v>
      </c>
      <c r="D57" s="277" t="s">
        <v>144</v>
      </c>
      <c r="E57" s="278">
        <v>50</v>
      </c>
      <c r="F57" s="279">
        <v>1050</v>
      </c>
      <c r="G57" s="279">
        <f>E57*F57</f>
        <v>52500</v>
      </c>
      <c r="H57" s="276"/>
    </row>
    <row r="58" spans="1:8" x14ac:dyDescent="0.3">
      <c r="A58" s="188"/>
      <c r="B58" s="3">
        <v>236</v>
      </c>
      <c r="C58" s="278" t="s">
        <v>1098</v>
      </c>
      <c r="D58" s="277" t="s">
        <v>144</v>
      </c>
      <c r="E58" s="278">
        <v>50</v>
      </c>
      <c r="F58" s="279">
        <v>1050</v>
      </c>
      <c r="G58" s="279">
        <f>E58*F58</f>
        <v>52500</v>
      </c>
      <c r="H58" s="35"/>
    </row>
    <row r="59" spans="1:8" x14ac:dyDescent="0.3">
      <c r="A59" s="188"/>
      <c r="B59" s="3">
        <v>216</v>
      </c>
      <c r="C59" s="278" t="s">
        <v>1161</v>
      </c>
      <c r="D59" s="277" t="s">
        <v>144</v>
      </c>
      <c r="E59" s="278">
        <v>500</v>
      </c>
      <c r="F59" s="279">
        <v>90</v>
      </c>
      <c r="G59" s="279">
        <f>E59*F59</f>
        <v>45000</v>
      </c>
      <c r="H59" s="35"/>
    </row>
    <row r="60" spans="1:8" x14ac:dyDescent="0.3">
      <c r="A60" s="188"/>
      <c r="B60" s="3">
        <v>384</v>
      </c>
      <c r="C60" s="278" t="s">
        <v>282</v>
      </c>
      <c r="D60" s="277" t="s">
        <v>144</v>
      </c>
      <c r="E60" s="278">
        <v>10</v>
      </c>
      <c r="F60" s="279">
        <v>200</v>
      </c>
      <c r="G60" s="279">
        <f>E60*F60</f>
        <v>2000</v>
      </c>
      <c r="H60" s="276">
        <f>SUM(G56:G60)</f>
        <v>204500</v>
      </c>
    </row>
    <row r="61" spans="1:8" x14ac:dyDescent="0.3">
      <c r="A61" s="188"/>
      <c r="B61" s="3"/>
      <c r="C61" s="278"/>
      <c r="D61" s="277"/>
      <c r="E61" s="278"/>
      <c r="F61" s="279"/>
      <c r="G61" s="279"/>
      <c r="H61" s="276"/>
    </row>
    <row r="62" spans="1:8" x14ac:dyDescent="0.3">
      <c r="A62" s="188"/>
      <c r="B62" s="3"/>
      <c r="C62" s="278"/>
      <c r="D62" s="277"/>
      <c r="E62" s="278"/>
      <c r="F62" s="279"/>
      <c r="G62" s="279"/>
      <c r="H62" s="276"/>
    </row>
    <row r="63" spans="1:8" x14ac:dyDescent="0.3">
      <c r="A63" s="188"/>
      <c r="B63" s="3"/>
      <c r="C63" s="278"/>
      <c r="D63" s="277"/>
      <c r="E63" s="278"/>
      <c r="F63" s="279"/>
      <c r="G63" s="279"/>
      <c r="H63" s="35"/>
    </row>
    <row r="64" spans="1:8" x14ac:dyDescent="0.3">
      <c r="A64" s="188">
        <v>7</v>
      </c>
      <c r="B64" s="3"/>
      <c r="C64" s="35" t="s">
        <v>890</v>
      </c>
      <c r="D64" s="277"/>
      <c r="E64" s="278"/>
      <c r="F64" s="279"/>
      <c r="G64" s="279"/>
      <c r="H64" s="35"/>
    </row>
    <row r="65" spans="1:8" x14ac:dyDescent="0.3">
      <c r="A65" s="188"/>
      <c r="B65" s="3">
        <v>11</v>
      </c>
      <c r="C65" s="278" t="s">
        <v>11</v>
      </c>
      <c r="D65" s="277">
        <v>9</v>
      </c>
      <c r="E65" s="278">
        <v>100</v>
      </c>
      <c r="F65" s="279">
        <v>385</v>
      </c>
      <c r="G65" s="279">
        <f>E65*F65</f>
        <v>38500</v>
      </c>
      <c r="H65" s="276">
        <f>SUM(G65:G65)</f>
        <v>38500</v>
      </c>
    </row>
    <row r="66" spans="1:8" x14ac:dyDescent="0.3">
      <c r="A66" s="188"/>
      <c r="B66" s="3"/>
      <c r="C66" s="278"/>
      <c r="D66" s="277"/>
      <c r="E66" s="278"/>
      <c r="F66" s="279"/>
      <c r="G66" s="279"/>
      <c r="H66" s="276"/>
    </row>
    <row r="67" spans="1:8" x14ac:dyDescent="0.3">
      <c r="A67" s="188"/>
      <c r="B67" s="3"/>
      <c r="C67" s="278"/>
      <c r="D67" s="277"/>
      <c r="E67" s="278"/>
      <c r="F67" s="279"/>
      <c r="G67" s="279"/>
      <c r="H67" s="35"/>
    </row>
    <row r="68" spans="1:8" x14ac:dyDescent="0.3">
      <c r="A68" s="188">
        <v>8</v>
      </c>
      <c r="B68" s="3"/>
      <c r="C68" s="35" t="s">
        <v>1113</v>
      </c>
      <c r="D68" s="277"/>
      <c r="E68" s="278"/>
      <c r="F68" s="279"/>
      <c r="G68" s="279"/>
      <c r="H68" s="35"/>
    </row>
    <row r="69" spans="1:8" x14ac:dyDescent="0.3">
      <c r="A69" s="188"/>
      <c r="B69" s="3">
        <v>377</v>
      </c>
      <c r="C69" s="278" t="s">
        <v>1190</v>
      </c>
      <c r="D69" s="277" t="s">
        <v>333</v>
      </c>
      <c r="E69" s="278">
        <v>15</v>
      </c>
      <c r="F69" s="279">
        <v>3542.64</v>
      </c>
      <c r="G69" s="279">
        <f>E69*F69</f>
        <v>53139.6</v>
      </c>
      <c r="H69" s="35"/>
    </row>
    <row r="70" spans="1:8" x14ac:dyDescent="0.3">
      <c r="A70" s="188"/>
      <c r="B70" s="3">
        <v>565</v>
      </c>
      <c r="C70" s="278" t="s">
        <v>1091</v>
      </c>
      <c r="D70" s="277">
        <v>30</v>
      </c>
      <c r="E70" s="278">
        <v>10</v>
      </c>
      <c r="F70" s="279">
        <v>5493.76</v>
      </c>
      <c r="G70" s="279">
        <f>E70*F70</f>
        <v>54937.600000000006</v>
      </c>
      <c r="H70" s="276">
        <f>SUM(G69:G70)</f>
        <v>108077.20000000001</v>
      </c>
    </row>
    <row r="71" spans="1:8" x14ac:dyDescent="0.3">
      <c r="A71" s="188"/>
      <c r="B71" s="3"/>
      <c r="C71" s="278"/>
      <c r="D71" s="277"/>
      <c r="E71" s="278"/>
      <c r="F71" s="279"/>
      <c r="G71" s="279"/>
      <c r="H71" s="276"/>
    </row>
    <row r="72" spans="1:8" x14ac:dyDescent="0.3">
      <c r="A72" s="188"/>
      <c r="B72" s="3"/>
      <c r="C72" s="278"/>
      <c r="D72" s="277"/>
      <c r="E72" s="278"/>
      <c r="F72" s="279"/>
      <c r="G72" s="279"/>
      <c r="H72" s="276"/>
    </row>
    <row r="73" spans="1:8" x14ac:dyDescent="0.3">
      <c r="A73" s="188">
        <v>9</v>
      </c>
      <c r="B73" s="3"/>
      <c r="C73" s="35" t="s">
        <v>1093</v>
      </c>
      <c r="D73" s="277"/>
      <c r="E73" s="278"/>
      <c r="F73" s="279"/>
      <c r="G73" s="279"/>
      <c r="H73" s="35"/>
    </row>
    <row r="74" spans="1:8" x14ac:dyDescent="0.3">
      <c r="A74" s="188"/>
      <c r="B74" s="3">
        <v>190</v>
      </c>
      <c r="C74" s="278" t="s">
        <v>1094</v>
      </c>
      <c r="D74" s="277" t="s">
        <v>144</v>
      </c>
      <c r="E74" s="278">
        <v>1000</v>
      </c>
      <c r="F74" s="279">
        <v>97</v>
      </c>
      <c r="G74" s="279">
        <f>E74*F74</f>
        <v>97000</v>
      </c>
      <c r="H74" s="276"/>
    </row>
    <row r="75" spans="1:8" x14ac:dyDescent="0.3">
      <c r="A75" s="188"/>
      <c r="B75" s="3">
        <v>363</v>
      </c>
      <c r="C75" s="278" t="s">
        <v>265</v>
      </c>
      <c r="D75" s="277">
        <v>14</v>
      </c>
      <c r="E75" s="278">
        <v>500</v>
      </c>
      <c r="F75" s="279">
        <v>125</v>
      </c>
      <c r="G75" s="279">
        <f>E75*F75</f>
        <v>62500</v>
      </c>
      <c r="H75" s="276">
        <f>SUM(G74:G75)</f>
        <v>159500</v>
      </c>
    </row>
    <row r="76" spans="1:8" x14ac:dyDescent="0.3">
      <c r="A76" s="188"/>
      <c r="B76" s="3"/>
      <c r="C76" s="278"/>
      <c r="D76" s="277"/>
      <c r="E76" s="278"/>
      <c r="F76" s="279"/>
      <c r="G76" s="279"/>
      <c r="H76" s="276"/>
    </row>
    <row r="77" spans="1:8" x14ac:dyDescent="0.3">
      <c r="A77" s="188"/>
      <c r="B77" s="3"/>
      <c r="C77" s="278"/>
      <c r="D77" s="277"/>
      <c r="E77" s="278"/>
      <c r="F77" s="279"/>
      <c r="G77" s="279"/>
      <c r="H77" s="35"/>
    </row>
    <row r="78" spans="1:8" x14ac:dyDescent="0.3">
      <c r="A78" s="188">
        <v>10</v>
      </c>
      <c r="B78" s="3"/>
      <c r="C78" s="35" t="s">
        <v>1165</v>
      </c>
      <c r="D78" s="277"/>
      <c r="E78" s="278"/>
      <c r="F78" s="279"/>
      <c r="G78" s="279"/>
      <c r="H78" s="35"/>
    </row>
    <row r="79" spans="1:8" x14ac:dyDescent="0.3">
      <c r="A79" s="188"/>
      <c r="B79" s="3">
        <v>481</v>
      </c>
      <c r="C79" s="278" t="s">
        <v>349</v>
      </c>
      <c r="D79" s="277">
        <v>12</v>
      </c>
      <c r="E79" s="278">
        <v>25</v>
      </c>
      <c r="F79" s="279">
        <v>2260</v>
      </c>
      <c r="G79" s="279">
        <f>E79*F79</f>
        <v>56500</v>
      </c>
      <c r="H79" s="276"/>
    </row>
    <row r="80" spans="1:8" x14ac:dyDescent="0.3">
      <c r="A80" s="188"/>
      <c r="B80" s="3">
        <v>502</v>
      </c>
      <c r="C80" s="278" t="s">
        <v>1184</v>
      </c>
      <c r="D80" s="277">
        <v>100</v>
      </c>
      <c r="E80" s="278">
        <v>5</v>
      </c>
      <c r="F80" s="279">
        <v>2035</v>
      </c>
      <c r="G80" s="279">
        <f>E80*F80</f>
        <v>10175</v>
      </c>
      <c r="H80" s="276">
        <f>SUM(G79:G80)</f>
        <v>66675</v>
      </c>
    </row>
    <row r="81" spans="1:8" x14ac:dyDescent="0.3">
      <c r="A81" s="188"/>
      <c r="B81" s="3"/>
      <c r="C81" s="278"/>
      <c r="D81" s="277"/>
      <c r="E81" s="278"/>
      <c r="F81" s="279"/>
      <c r="G81" s="279"/>
      <c r="H81" s="276"/>
    </row>
    <row r="82" spans="1:8" x14ac:dyDescent="0.3">
      <c r="A82" s="188">
        <v>11</v>
      </c>
      <c r="B82" s="3"/>
      <c r="C82" s="35" t="s">
        <v>629</v>
      </c>
      <c r="D82" s="277"/>
      <c r="E82" s="278"/>
      <c r="F82" s="279"/>
      <c r="G82" s="279"/>
      <c r="H82" s="35"/>
    </row>
    <row r="83" spans="1:8" x14ac:dyDescent="0.3">
      <c r="A83" s="188"/>
      <c r="B83" s="3">
        <v>169</v>
      </c>
      <c r="C83" s="278" t="s">
        <v>1178</v>
      </c>
      <c r="D83" s="277" t="s">
        <v>57</v>
      </c>
      <c r="E83" s="278">
        <v>75</v>
      </c>
      <c r="F83" s="279">
        <v>90</v>
      </c>
      <c r="G83" s="279">
        <f>E83*F83</f>
        <v>6750</v>
      </c>
      <c r="H83" s="276"/>
    </row>
    <row r="84" spans="1:8" x14ac:dyDescent="0.3">
      <c r="A84" s="188"/>
      <c r="B84" s="3">
        <v>259</v>
      </c>
      <c r="C84" s="278" t="s">
        <v>691</v>
      </c>
      <c r="D84" s="277" t="s">
        <v>144</v>
      </c>
      <c r="E84" s="278">
        <v>40</v>
      </c>
      <c r="F84" s="279">
        <v>195</v>
      </c>
      <c r="G84" s="279">
        <f>E84*F84</f>
        <v>7800</v>
      </c>
      <c r="H84" s="276"/>
    </row>
    <row r="85" spans="1:8" x14ac:dyDescent="0.3">
      <c r="A85" s="188"/>
      <c r="B85" s="3">
        <v>341</v>
      </c>
      <c r="C85" s="278" t="s">
        <v>247</v>
      </c>
      <c r="D85" s="277" t="s">
        <v>144</v>
      </c>
      <c r="E85" s="278">
        <v>50</v>
      </c>
      <c r="F85" s="279">
        <v>290</v>
      </c>
      <c r="G85" s="279">
        <f>E85*F85</f>
        <v>14500</v>
      </c>
      <c r="H85" s="276">
        <f>SUM(G83:G85)</f>
        <v>29050</v>
      </c>
    </row>
    <row r="86" spans="1:8" x14ac:dyDescent="0.3">
      <c r="A86" s="188"/>
      <c r="B86" s="3"/>
      <c r="C86" s="278"/>
      <c r="D86" s="277"/>
      <c r="E86" s="278"/>
      <c r="F86" s="279"/>
      <c r="G86" s="279"/>
      <c r="H86" s="276"/>
    </row>
    <row r="87" spans="1:8" x14ac:dyDescent="0.3">
      <c r="A87" s="188"/>
      <c r="B87" s="3"/>
      <c r="C87" s="278"/>
      <c r="D87" s="277"/>
      <c r="E87" s="278"/>
      <c r="F87" s="279"/>
      <c r="G87" s="279"/>
      <c r="H87" s="35"/>
    </row>
    <row r="88" spans="1:8" x14ac:dyDescent="0.3">
      <c r="A88" s="188">
        <v>12</v>
      </c>
      <c r="B88" s="3"/>
      <c r="C88" s="35" t="s">
        <v>892</v>
      </c>
      <c r="D88" s="277"/>
      <c r="E88" s="278"/>
      <c r="F88" s="279"/>
      <c r="G88" s="279"/>
      <c r="H88" s="35"/>
    </row>
    <row r="89" spans="1:8" x14ac:dyDescent="0.3">
      <c r="A89" s="188"/>
      <c r="B89" s="3">
        <v>287</v>
      </c>
      <c r="C89" s="278" t="s">
        <v>1103</v>
      </c>
      <c r="D89" s="277">
        <v>500</v>
      </c>
      <c r="E89" s="278">
        <v>20</v>
      </c>
      <c r="F89" s="279">
        <v>2100</v>
      </c>
      <c r="G89" s="279">
        <f>E89*F89</f>
        <v>42000</v>
      </c>
      <c r="H89" s="35"/>
    </row>
    <row r="90" spans="1:8" x14ac:dyDescent="0.3">
      <c r="A90" s="188"/>
      <c r="B90" s="3">
        <v>238</v>
      </c>
      <c r="C90" s="278" t="s">
        <v>693</v>
      </c>
      <c r="D90" s="277">
        <v>30</v>
      </c>
      <c r="E90" s="278">
        <v>50</v>
      </c>
      <c r="F90" s="279">
        <v>340</v>
      </c>
      <c r="G90" s="279">
        <f>E90*F90</f>
        <v>17000</v>
      </c>
      <c r="H90" s="276"/>
    </row>
    <row r="91" spans="1:8" x14ac:dyDescent="0.3">
      <c r="A91" s="188"/>
      <c r="B91" s="3">
        <v>366</v>
      </c>
      <c r="C91" s="278" t="s">
        <v>268</v>
      </c>
      <c r="D91" s="277" t="s">
        <v>455</v>
      </c>
      <c r="E91" s="278">
        <v>125</v>
      </c>
      <c r="F91" s="279">
        <v>260</v>
      </c>
      <c r="G91" s="279">
        <f>E91*F91</f>
        <v>32500</v>
      </c>
      <c r="H91" s="35"/>
    </row>
    <row r="92" spans="1:8" x14ac:dyDescent="0.3">
      <c r="A92" s="188"/>
      <c r="B92" s="3">
        <v>82</v>
      </c>
      <c r="C92" s="278" t="s">
        <v>1170</v>
      </c>
      <c r="D92" s="277">
        <v>30</v>
      </c>
      <c r="E92" s="278">
        <v>150</v>
      </c>
      <c r="F92" s="279">
        <v>1100</v>
      </c>
      <c r="G92" s="279">
        <f>E92*F92</f>
        <v>165000</v>
      </c>
      <c r="H92" s="35"/>
    </row>
    <row r="93" spans="1:8" x14ac:dyDescent="0.3">
      <c r="A93" s="188"/>
      <c r="B93" s="3">
        <v>151</v>
      </c>
      <c r="C93" s="278" t="s">
        <v>111</v>
      </c>
      <c r="D93" s="277">
        <v>100</v>
      </c>
      <c r="E93" s="278">
        <v>1</v>
      </c>
      <c r="F93" s="279">
        <v>10000</v>
      </c>
      <c r="G93" s="279">
        <f>E93*F93</f>
        <v>10000</v>
      </c>
      <c r="H93" s="276">
        <f>SUM(G89:G93)</f>
        <v>266500</v>
      </c>
    </row>
    <row r="94" spans="1:8" x14ac:dyDescent="0.3">
      <c r="A94" s="188"/>
      <c r="B94" s="3"/>
      <c r="C94" s="35"/>
      <c r="D94" s="277"/>
      <c r="E94" s="278"/>
      <c r="F94" s="279"/>
      <c r="G94" s="279"/>
      <c r="H94" s="35"/>
    </row>
    <row r="95" spans="1:8" x14ac:dyDescent="0.3">
      <c r="A95" s="188"/>
      <c r="B95" s="3"/>
      <c r="C95" s="278"/>
      <c r="D95" s="277"/>
      <c r="E95" s="278"/>
      <c r="F95" s="279"/>
      <c r="G95" s="279"/>
      <c r="H95" s="35"/>
    </row>
    <row r="96" spans="1:8" x14ac:dyDescent="0.3">
      <c r="A96" s="188">
        <v>13</v>
      </c>
      <c r="B96" s="3"/>
      <c r="C96" s="35" t="s">
        <v>1079</v>
      </c>
      <c r="D96" s="277"/>
      <c r="E96" s="278"/>
      <c r="F96" s="279"/>
      <c r="G96" s="279"/>
      <c r="H96" s="35"/>
    </row>
    <row r="97" spans="1:8" x14ac:dyDescent="0.3">
      <c r="A97" s="188"/>
      <c r="B97" s="3">
        <v>454</v>
      </c>
      <c r="C97" s="278" t="s">
        <v>1080</v>
      </c>
      <c r="D97" s="277" t="s">
        <v>57</v>
      </c>
      <c r="E97" s="278">
        <v>10</v>
      </c>
      <c r="F97" s="279">
        <v>3500</v>
      </c>
      <c r="G97" s="279">
        <f>E97*F97</f>
        <v>35000</v>
      </c>
      <c r="H97" s="35"/>
    </row>
    <row r="98" spans="1:8" x14ac:dyDescent="0.3">
      <c r="A98" s="188"/>
      <c r="B98" s="3">
        <v>131</v>
      </c>
      <c r="C98" s="278" t="s">
        <v>445</v>
      </c>
      <c r="D98" s="277">
        <v>30</v>
      </c>
      <c r="E98" s="278">
        <v>50</v>
      </c>
      <c r="F98" s="279">
        <v>300</v>
      </c>
      <c r="G98" s="279">
        <f>E98*F98</f>
        <v>15000</v>
      </c>
      <c r="H98" s="35"/>
    </row>
    <row r="99" spans="1:8" x14ac:dyDescent="0.3">
      <c r="A99" s="188"/>
      <c r="B99" s="3">
        <v>367</v>
      </c>
      <c r="C99" s="278" t="s">
        <v>269</v>
      </c>
      <c r="D99" s="277">
        <v>10</v>
      </c>
      <c r="E99" s="278">
        <v>10</v>
      </c>
      <c r="F99" s="279">
        <v>840</v>
      </c>
      <c r="G99" s="279">
        <f>E99*F99</f>
        <v>8400</v>
      </c>
      <c r="H99" s="276">
        <f>SUM(G97:G99)</f>
        <v>58400</v>
      </c>
    </row>
    <row r="100" spans="1:8" x14ac:dyDescent="0.3">
      <c r="A100" s="188"/>
      <c r="B100" s="3"/>
      <c r="C100" s="278"/>
      <c r="D100" s="277"/>
      <c r="E100" s="278"/>
      <c r="F100" s="279"/>
      <c r="G100" s="279"/>
      <c r="H100" s="35"/>
    </row>
    <row r="101" spans="1:8" x14ac:dyDescent="0.3">
      <c r="A101" s="188"/>
      <c r="B101" s="3"/>
      <c r="C101" s="278"/>
      <c r="D101" s="277"/>
      <c r="E101" s="278"/>
      <c r="F101" s="279"/>
      <c r="G101" s="279"/>
      <c r="H101" s="35"/>
    </row>
    <row r="102" spans="1:8" x14ac:dyDescent="0.3">
      <c r="A102" s="188">
        <v>14</v>
      </c>
      <c r="B102" s="3"/>
      <c r="C102" s="35" t="s">
        <v>822</v>
      </c>
      <c r="D102" s="277"/>
      <c r="E102" s="278"/>
      <c r="F102" s="279"/>
      <c r="G102" s="279"/>
      <c r="H102" s="35"/>
    </row>
    <row r="103" spans="1:8" x14ac:dyDescent="0.3">
      <c r="A103" s="188"/>
      <c r="B103" s="3">
        <v>35</v>
      </c>
      <c r="C103" s="278" t="s">
        <v>1083</v>
      </c>
      <c r="D103" s="277" t="s">
        <v>1084</v>
      </c>
      <c r="E103" s="278">
        <v>30</v>
      </c>
      <c r="F103" s="279">
        <v>1950</v>
      </c>
      <c r="G103" s="279">
        <f>E103*F103</f>
        <v>58500</v>
      </c>
      <c r="H103" s="35"/>
    </row>
    <row r="104" spans="1:8" x14ac:dyDescent="0.3">
      <c r="A104" s="188"/>
      <c r="B104" s="3">
        <v>37</v>
      </c>
      <c r="C104" s="278" t="s">
        <v>1085</v>
      </c>
      <c r="D104" s="277" t="s">
        <v>1084</v>
      </c>
      <c r="E104" s="278">
        <v>30</v>
      </c>
      <c r="F104" s="279">
        <v>1350</v>
      </c>
      <c r="G104" s="279">
        <f>E104*F104</f>
        <v>40500</v>
      </c>
      <c r="H104" s="276"/>
    </row>
    <row r="105" spans="1:8" x14ac:dyDescent="0.3">
      <c r="A105" s="188"/>
      <c r="B105" s="3">
        <v>182</v>
      </c>
      <c r="C105" s="278" t="s">
        <v>1082</v>
      </c>
      <c r="D105" s="277" t="s">
        <v>57</v>
      </c>
      <c r="E105" s="278">
        <v>250</v>
      </c>
      <c r="F105" s="279">
        <v>900</v>
      </c>
      <c r="G105" s="279">
        <f>E105*F105</f>
        <v>225000</v>
      </c>
      <c r="H105" s="35"/>
    </row>
    <row r="106" spans="1:8" x14ac:dyDescent="0.3">
      <c r="A106" s="188"/>
      <c r="B106" s="3">
        <v>139</v>
      </c>
      <c r="C106" s="278" t="s">
        <v>103</v>
      </c>
      <c r="D106" s="277">
        <v>100</v>
      </c>
      <c r="E106" s="278">
        <v>300</v>
      </c>
      <c r="F106" s="279">
        <v>1550</v>
      </c>
      <c r="G106" s="279">
        <f>E106*F106</f>
        <v>465000</v>
      </c>
      <c r="H106" s="276">
        <f>SUM(G103:G106)</f>
        <v>789000</v>
      </c>
    </row>
    <row r="107" spans="1:8" x14ac:dyDescent="0.3">
      <c r="A107" s="188"/>
      <c r="B107" s="3"/>
      <c r="C107" s="278"/>
      <c r="D107" s="277"/>
      <c r="E107" s="278"/>
      <c r="F107" s="279"/>
      <c r="G107" s="279"/>
      <c r="H107" s="276"/>
    </row>
    <row r="108" spans="1:8" x14ac:dyDescent="0.3">
      <c r="A108" s="188"/>
      <c r="B108" s="3"/>
      <c r="C108" s="278"/>
      <c r="D108" s="277"/>
      <c r="E108" s="278"/>
      <c r="F108" s="279"/>
      <c r="G108" s="279"/>
      <c r="H108" s="35"/>
    </row>
    <row r="109" spans="1:8" x14ac:dyDescent="0.3">
      <c r="A109" s="188">
        <v>15</v>
      </c>
      <c r="B109" s="3"/>
      <c r="C109" s="35" t="s">
        <v>1089</v>
      </c>
      <c r="D109" s="277"/>
      <c r="E109" s="278"/>
      <c r="F109" s="279"/>
      <c r="G109" s="279"/>
      <c r="H109" s="35"/>
    </row>
    <row r="110" spans="1:8" x14ac:dyDescent="0.3">
      <c r="A110" s="188"/>
      <c r="B110" s="3">
        <v>256</v>
      </c>
      <c r="C110" s="278" t="s">
        <v>1090</v>
      </c>
      <c r="D110" s="277">
        <v>30</v>
      </c>
      <c r="E110" s="278">
        <v>50</v>
      </c>
      <c r="F110" s="279">
        <v>2300</v>
      </c>
      <c r="G110" s="279">
        <f>E110*F110</f>
        <v>115000</v>
      </c>
      <c r="H110" s="276">
        <f>SUM(G109:G110)</f>
        <v>115000</v>
      </c>
    </row>
    <row r="111" spans="1:8" x14ac:dyDescent="0.3">
      <c r="A111" s="188"/>
      <c r="B111" s="3"/>
      <c r="C111" s="278"/>
      <c r="D111" s="277"/>
      <c r="E111" s="278"/>
      <c r="F111" s="279"/>
      <c r="G111" s="279"/>
      <c r="H111" s="276"/>
    </row>
    <row r="112" spans="1:8" x14ac:dyDescent="0.3">
      <c r="A112" s="188"/>
      <c r="B112" s="3"/>
      <c r="C112" s="278"/>
      <c r="D112" s="277"/>
      <c r="E112" s="278"/>
      <c r="F112" s="279"/>
      <c r="G112" s="279"/>
      <c r="H112" s="35"/>
    </row>
    <row r="113" spans="1:8" x14ac:dyDescent="0.3">
      <c r="A113" s="188">
        <v>16</v>
      </c>
      <c r="B113" s="3"/>
      <c r="C113" s="35" t="s">
        <v>1112</v>
      </c>
      <c r="D113" s="277"/>
      <c r="E113" s="278"/>
      <c r="F113" s="279"/>
      <c r="G113" s="279"/>
      <c r="H113" s="35"/>
    </row>
    <row r="114" spans="1:8" x14ac:dyDescent="0.3">
      <c r="A114" s="188"/>
      <c r="B114" s="3">
        <v>178</v>
      </c>
      <c r="C114" s="278" t="s">
        <v>132</v>
      </c>
      <c r="D114" s="277">
        <v>10</v>
      </c>
      <c r="E114" s="278">
        <v>20</v>
      </c>
      <c r="F114" s="279">
        <v>1595</v>
      </c>
      <c r="G114" s="279">
        <f>E114*F114</f>
        <v>31900</v>
      </c>
      <c r="H114" s="276">
        <f>SUM(G114:G114)</f>
        <v>31900</v>
      </c>
    </row>
    <row r="115" spans="1:8" x14ac:dyDescent="0.3">
      <c r="A115" s="188"/>
      <c r="B115" s="3"/>
      <c r="C115" s="278"/>
      <c r="D115" s="277"/>
      <c r="E115" s="278"/>
      <c r="F115" s="279"/>
      <c r="G115" s="279"/>
      <c r="H115" s="276"/>
    </row>
    <row r="116" spans="1:8" x14ac:dyDescent="0.3">
      <c r="A116" s="188">
        <v>17</v>
      </c>
      <c r="B116" s="3"/>
      <c r="C116" s="35" t="s">
        <v>833</v>
      </c>
      <c r="D116" s="277"/>
      <c r="E116" s="278"/>
      <c r="F116" s="279"/>
      <c r="G116" s="279"/>
      <c r="H116" s="35"/>
    </row>
    <row r="117" spans="1:8" x14ac:dyDescent="0.3">
      <c r="A117" s="188"/>
      <c r="B117" s="3">
        <v>12</v>
      </c>
      <c r="C117" s="278" t="s">
        <v>1086</v>
      </c>
      <c r="D117" s="277">
        <v>4</v>
      </c>
      <c r="E117" s="278">
        <v>200</v>
      </c>
      <c r="F117" s="279">
        <v>800</v>
      </c>
      <c r="G117" s="279">
        <f>E117*F117</f>
        <v>160000</v>
      </c>
      <c r="H117" s="276">
        <f>SUM(G117:G117)</f>
        <v>160000</v>
      </c>
    </row>
    <row r="118" spans="1:8" x14ac:dyDescent="0.3">
      <c r="A118" s="188"/>
      <c r="B118" s="3"/>
      <c r="C118" s="278"/>
      <c r="D118" s="277"/>
      <c r="E118" s="278"/>
      <c r="F118" s="279"/>
      <c r="G118" s="279"/>
      <c r="H118" s="276"/>
    </row>
    <row r="119" spans="1:8" x14ac:dyDescent="0.3">
      <c r="A119" s="188"/>
      <c r="B119" s="3"/>
      <c r="C119" s="278"/>
      <c r="D119" s="277"/>
      <c r="E119" s="278"/>
      <c r="F119" s="279"/>
      <c r="G119" s="279"/>
      <c r="H119" s="35"/>
    </row>
    <row r="120" spans="1:8" ht="16.5" customHeight="1" x14ac:dyDescent="0.3">
      <c r="A120" s="188">
        <v>18</v>
      </c>
      <c r="B120" s="3"/>
      <c r="C120" s="35" t="s">
        <v>881</v>
      </c>
      <c r="D120" s="277"/>
      <c r="E120" s="278"/>
      <c r="F120" s="279"/>
      <c r="G120" s="279"/>
      <c r="H120" s="35"/>
    </row>
    <row r="121" spans="1:8" ht="16.5" customHeight="1" x14ac:dyDescent="0.3">
      <c r="A121" s="188"/>
      <c r="B121" s="3">
        <v>129</v>
      </c>
      <c r="C121" s="278" t="s">
        <v>1105</v>
      </c>
      <c r="D121" s="277">
        <v>100</v>
      </c>
      <c r="E121" s="278">
        <v>25</v>
      </c>
      <c r="F121" s="279">
        <v>380</v>
      </c>
      <c r="G121" s="279">
        <f>E121*F121</f>
        <v>9500</v>
      </c>
      <c r="H121" s="35"/>
    </row>
    <row r="122" spans="1:8" ht="16.5" customHeight="1" x14ac:dyDescent="0.3">
      <c r="A122" s="188"/>
      <c r="B122" s="3">
        <v>275</v>
      </c>
      <c r="C122" s="278" t="s">
        <v>192</v>
      </c>
      <c r="D122" s="277">
        <v>100</v>
      </c>
      <c r="E122" s="278">
        <v>150</v>
      </c>
      <c r="F122" s="279">
        <v>3750</v>
      </c>
      <c r="G122" s="279">
        <f>E122*F122</f>
        <v>562500</v>
      </c>
      <c r="H122" s="35"/>
    </row>
    <row r="123" spans="1:8" ht="16.5" customHeight="1" x14ac:dyDescent="0.3">
      <c r="A123" s="188"/>
      <c r="B123" s="3">
        <v>209</v>
      </c>
      <c r="C123" s="278" t="s">
        <v>154</v>
      </c>
      <c r="D123" s="277">
        <v>100</v>
      </c>
      <c r="E123" s="278">
        <v>20</v>
      </c>
      <c r="F123" s="279">
        <v>1550</v>
      </c>
      <c r="G123" s="279">
        <f>E123*F123</f>
        <v>31000</v>
      </c>
      <c r="H123" s="276">
        <f>SUM(G121:G123)</f>
        <v>603000</v>
      </c>
    </row>
    <row r="124" spans="1:8" ht="16.5" customHeight="1" x14ac:dyDescent="0.3">
      <c r="A124" s="188"/>
      <c r="B124" s="3"/>
      <c r="C124" s="278"/>
      <c r="D124" s="277"/>
      <c r="E124" s="278"/>
      <c r="F124" s="279"/>
      <c r="G124" s="279"/>
      <c r="H124" s="276"/>
    </row>
    <row r="125" spans="1:8" x14ac:dyDescent="0.3">
      <c r="A125" s="188"/>
      <c r="B125" s="3"/>
      <c r="C125" s="278"/>
      <c r="D125" s="277"/>
      <c r="E125" s="278"/>
      <c r="F125" s="279"/>
      <c r="G125" s="279"/>
      <c r="H125" s="35"/>
    </row>
    <row r="126" spans="1:8" x14ac:dyDescent="0.3">
      <c r="A126" s="188">
        <v>19</v>
      </c>
      <c r="B126" s="3"/>
      <c r="C126" s="35" t="s">
        <v>1106</v>
      </c>
      <c r="D126" s="277"/>
      <c r="E126" s="278"/>
      <c r="F126" s="279"/>
      <c r="G126" s="279"/>
      <c r="H126" s="35"/>
    </row>
    <row r="127" spans="1:8" x14ac:dyDescent="0.3">
      <c r="A127" s="188"/>
      <c r="B127" s="3">
        <v>67</v>
      </c>
      <c r="C127" s="278" t="s">
        <v>1107</v>
      </c>
      <c r="D127" s="277">
        <v>30</v>
      </c>
      <c r="E127" s="278">
        <v>50</v>
      </c>
      <c r="F127" s="279">
        <v>1000</v>
      </c>
      <c r="G127" s="279">
        <f>E127*F127</f>
        <v>50000</v>
      </c>
      <c r="H127" s="276">
        <f>SUM(G127:G127)</f>
        <v>50000</v>
      </c>
    </row>
    <row r="128" spans="1:8" x14ac:dyDescent="0.3">
      <c r="A128" s="188"/>
      <c r="B128" s="3"/>
      <c r="C128" s="278"/>
      <c r="D128" s="277"/>
      <c r="E128" s="278"/>
      <c r="F128" s="279"/>
      <c r="G128" s="279"/>
      <c r="H128" s="35"/>
    </row>
    <row r="129" spans="1:8" x14ac:dyDescent="0.3">
      <c r="A129" s="188">
        <v>20</v>
      </c>
      <c r="B129" s="3"/>
      <c r="C129" s="35" t="s">
        <v>1166</v>
      </c>
      <c r="D129" s="277"/>
      <c r="E129" s="278"/>
      <c r="F129" s="279"/>
      <c r="G129" s="279"/>
      <c r="H129" s="35"/>
    </row>
    <row r="130" spans="1:8" x14ac:dyDescent="0.3">
      <c r="A130" s="188"/>
      <c r="B130" s="3">
        <v>147</v>
      </c>
      <c r="C130" s="278" t="s">
        <v>108</v>
      </c>
      <c r="D130" s="277">
        <v>30</v>
      </c>
      <c r="E130" s="278">
        <v>100</v>
      </c>
      <c r="F130" s="279">
        <v>2400</v>
      </c>
      <c r="G130" s="279">
        <f>E130*F130</f>
        <v>240000</v>
      </c>
      <c r="H130" s="276">
        <f>SUM(G130:G130)</f>
        <v>240000</v>
      </c>
    </row>
    <row r="131" spans="1:8" x14ac:dyDescent="0.3">
      <c r="A131" s="188"/>
      <c r="B131" s="3"/>
      <c r="C131" s="278"/>
      <c r="D131" s="277"/>
      <c r="E131" s="278"/>
      <c r="F131" s="279"/>
      <c r="G131" s="279"/>
      <c r="H131" s="35"/>
    </row>
    <row r="132" spans="1:8" x14ac:dyDescent="0.3">
      <c r="A132" s="188">
        <v>21</v>
      </c>
      <c r="B132" s="3"/>
      <c r="C132" s="35" t="s">
        <v>879</v>
      </c>
      <c r="D132" s="277"/>
      <c r="E132" s="278"/>
      <c r="F132" s="279"/>
      <c r="G132" s="279"/>
      <c r="H132" s="35"/>
    </row>
    <row r="133" spans="1:8" x14ac:dyDescent="0.3">
      <c r="A133" s="188"/>
      <c r="B133" s="3">
        <v>21</v>
      </c>
      <c r="C133" s="278" t="s">
        <v>21</v>
      </c>
      <c r="D133" s="277">
        <v>20</v>
      </c>
      <c r="E133" s="278">
        <v>15</v>
      </c>
      <c r="F133" s="279">
        <v>8060</v>
      </c>
      <c r="G133" s="279">
        <f>E133*F133</f>
        <v>120900</v>
      </c>
      <c r="H133" s="35"/>
    </row>
    <row r="134" spans="1:8" x14ac:dyDescent="0.3">
      <c r="A134" s="188"/>
      <c r="B134" s="3">
        <v>40</v>
      </c>
      <c r="C134" s="278" t="s">
        <v>1167</v>
      </c>
      <c r="D134" s="277">
        <v>28</v>
      </c>
      <c r="E134" s="278">
        <v>100</v>
      </c>
      <c r="F134" s="279">
        <v>165</v>
      </c>
      <c r="G134" s="279">
        <f>E134*F134</f>
        <v>16500</v>
      </c>
      <c r="H134" s="35"/>
    </row>
    <row r="135" spans="1:8" x14ac:dyDescent="0.3">
      <c r="A135" s="188"/>
      <c r="B135" s="3">
        <v>257</v>
      </c>
      <c r="C135" s="278" t="s">
        <v>1168</v>
      </c>
      <c r="D135" s="277">
        <v>30</v>
      </c>
      <c r="E135" s="278">
        <v>120</v>
      </c>
      <c r="F135" s="279">
        <v>170</v>
      </c>
      <c r="G135" s="279">
        <f>E135*F135</f>
        <v>20400</v>
      </c>
      <c r="H135" s="276">
        <f>SUM(G133:G135)</f>
        <v>157800</v>
      </c>
    </row>
    <row r="136" spans="1:8" x14ac:dyDescent="0.3">
      <c r="A136" s="188"/>
      <c r="B136" s="3"/>
      <c r="C136" s="278"/>
      <c r="D136" s="277"/>
      <c r="E136" s="278"/>
      <c r="F136" s="279"/>
      <c r="G136" s="279"/>
      <c r="H136" s="276"/>
    </row>
    <row r="137" spans="1:8" x14ac:dyDescent="0.3">
      <c r="A137" s="188">
        <v>22</v>
      </c>
      <c r="B137" s="3"/>
      <c r="C137" s="35" t="s">
        <v>1088</v>
      </c>
      <c r="D137" s="277"/>
      <c r="E137" s="278"/>
      <c r="F137" s="279"/>
      <c r="G137" s="279"/>
      <c r="H137" s="35"/>
    </row>
    <row r="138" spans="1:8" x14ac:dyDescent="0.3">
      <c r="A138" s="188"/>
      <c r="B138" s="3">
        <v>399</v>
      </c>
      <c r="C138" s="278" t="s">
        <v>297</v>
      </c>
      <c r="D138" s="277">
        <v>100</v>
      </c>
      <c r="E138" s="278">
        <v>50</v>
      </c>
      <c r="F138" s="279">
        <v>245</v>
      </c>
      <c r="G138" s="279">
        <f>E138*F138</f>
        <v>12250</v>
      </c>
      <c r="H138" s="35"/>
    </row>
    <row r="139" spans="1:8" x14ac:dyDescent="0.3">
      <c r="A139" s="188"/>
      <c r="B139" s="3">
        <v>276</v>
      </c>
      <c r="C139" s="278" t="s">
        <v>1096</v>
      </c>
      <c r="D139" s="277">
        <v>1000</v>
      </c>
      <c r="E139" s="278">
        <v>30</v>
      </c>
      <c r="F139" s="279">
        <v>380</v>
      </c>
      <c r="G139" s="279">
        <f>E139*F139</f>
        <v>11400</v>
      </c>
      <c r="H139" s="276">
        <f>SUM(G138:G139)</f>
        <v>23650</v>
      </c>
    </row>
    <row r="140" spans="1:8" x14ac:dyDescent="0.3">
      <c r="A140" s="188"/>
      <c r="B140" s="3"/>
      <c r="C140" s="278"/>
      <c r="D140" s="277"/>
      <c r="E140" s="278"/>
      <c r="F140" s="279"/>
      <c r="G140" s="279"/>
      <c r="H140" s="276"/>
    </row>
    <row r="141" spans="1:8" x14ac:dyDescent="0.3">
      <c r="A141" s="188">
        <v>23</v>
      </c>
      <c r="B141" s="3"/>
      <c r="C141" s="35" t="s">
        <v>901</v>
      </c>
      <c r="D141" s="277"/>
      <c r="E141" s="278"/>
      <c r="F141" s="279"/>
      <c r="G141" s="279"/>
      <c r="H141" s="35"/>
    </row>
    <row r="142" spans="1:8" x14ac:dyDescent="0.3">
      <c r="A142" s="188"/>
      <c r="B142" s="3">
        <v>5</v>
      </c>
      <c r="C142" s="278" t="s">
        <v>714</v>
      </c>
      <c r="D142" s="277">
        <v>6</v>
      </c>
      <c r="E142" s="278">
        <v>150</v>
      </c>
      <c r="F142" s="279">
        <v>134.82</v>
      </c>
      <c r="G142" s="279">
        <f>E142*F142</f>
        <v>20223</v>
      </c>
      <c r="H142" s="35"/>
    </row>
    <row r="143" spans="1:8" x14ac:dyDescent="0.3">
      <c r="A143" s="188"/>
      <c r="B143" s="3">
        <v>548</v>
      </c>
      <c r="C143" s="278" t="s">
        <v>1104</v>
      </c>
      <c r="D143" s="277" t="s">
        <v>144</v>
      </c>
      <c r="E143" s="278">
        <v>24</v>
      </c>
      <c r="F143" s="279">
        <v>117.97</v>
      </c>
      <c r="G143" s="279">
        <f>E143*F143</f>
        <v>2831.2799999999997</v>
      </c>
      <c r="H143" s="276"/>
    </row>
    <row r="144" spans="1:8" x14ac:dyDescent="0.3">
      <c r="A144" s="188"/>
      <c r="B144" s="3">
        <v>402</v>
      </c>
      <c r="C144" s="278" t="s">
        <v>300</v>
      </c>
      <c r="D144" s="277">
        <v>100</v>
      </c>
      <c r="E144" s="278">
        <v>15</v>
      </c>
      <c r="F144" s="279">
        <v>1685.25</v>
      </c>
      <c r="G144" s="279">
        <f>E144*F144</f>
        <v>25278.75</v>
      </c>
      <c r="H144" s="276">
        <f>SUM(G142:G144)</f>
        <v>48333.03</v>
      </c>
    </row>
    <row r="145" spans="1:8" x14ac:dyDescent="0.3">
      <c r="A145" s="188"/>
      <c r="B145" s="3"/>
      <c r="C145" s="278"/>
      <c r="D145" s="277"/>
      <c r="E145" s="278"/>
      <c r="F145" s="279"/>
      <c r="G145" s="279"/>
      <c r="H145" s="276"/>
    </row>
    <row r="146" spans="1:8" x14ac:dyDescent="0.3">
      <c r="A146" s="188">
        <v>24</v>
      </c>
      <c r="B146" s="3"/>
      <c r="C146" s="35" t="s">
        <v>902</v>
      </c>
      <c r="D146" s="277"/>
      <c r="E146" s="278"/>
      <c r="F146" s="279"/>
      <c r="G146" s="279"/>
      <c r="H146" s="276"/>
    </row>
    <row r="147" spans="1:8" x14ac:dyDescent="0.3">
      <c r="A147" s="188"/>
      <c r="B147" s="3">
        <v>216</v>
      </c>
      <c r="C147" s="278" t="s">
        <v>1161</v>
      </c>
      <c r="D147" s="277" t="s">
        <v>144</v>
      </c>
      <c r="E147" s="278">
        <v>500</v>
      </c>
      <c r="F147" s="279">
        <v>90</v>
      </c>
      <c r="G147" s="279">
        <f>E147*F147</f>
        <v>45000</v>
      </c>
      <c r="H147" s="276">
        <f>SUM(G147:G147)</f>
        <v>45000</v>
      </c>
    </row>
    <row r="148" spans="1:8" x14ac:dyDescent="0.3">
      <c r="A148" s="188"/>
      <c r="B148" s="3"/>
      <c r="C148" s="278"/>
      <c r="D148" s="277"/>
      <c r="E148" s="278"/>
      <c r="F148" s="279"/>
      <c r="G148" s="279"/>
      <c r="H148" s="35"/>
    </row>
    <row r="149" spans="1:8" x14ac:dyDescent="0.3">
      <c r="A149" s="188">
        <v>25</v>
      </c>
      <c r="B149" s="3"/>
      <c r="C149" s="35" t="s">
        <v>1110</v>
      </c>
      <c r="D149" s="277"/>
      <c r="E149" s="278"/>
      <c r="F149" s="279"/>
      <c r="G149" s="279"/>
      <c r="H149" s="35"/>
    </row>
    <row r="150" spans="1:8" x14ac:dyDescent="0.3">
      <c r="A150" s="188"/>
      <c r="B150" s="3">
        <v>289</v>
      </c>
      <c r="C150" s="278" t="s">
        <v>1081</v>
      </c>
      <c r="D150" s="277">
        <v>30</v>
      </c>
      <c r="E150" s="278">
        <v>50</v>
      </c>
      <c r="F150" s="279">
        <v>588</v>
      </c>
      <c r="G150" s="279">
        <f>E150*F150</f>
        <v>29400</v>
      </c>
      <c r="H150" s="276">
        <f>SUM(G150:G150)</f>
        <v>29400</v>
      </c>
    </row>
    <row r="151" spans="1:8" x14ac:dyDescent="0.3">
      <c r="A151" s="188"/>
      <c r="B151" s="3"/>
      <c r="C151" s="278"/>
      <c r="D151" s="277"/>
      <c r="E151" s="278"/>
      <c r="F151" s="279"/>
      <c r="G151" s="279"/>
      <c r="H151" s="276"/>
    </row>
    <row r="152" spans="1:8" x14ac:dyDescent="0.3">
      <c r="A152" s="188">
        <v>26</v>
      </c>
      <c r="B152" s="3"/>
      <c r="C152" s="35" t="s">
        <v>904</v>
      </c>
      <c r="D152" s="277"/>
      <c r="E152" s="278"/>
      <c r="F152" s="279"/>
      <c r="G152" s="279"/>
      <c r="H152" s="35"/>
    </row>
    <row r="153" spans="1:8" x14ac:dyDescent="0.3">
      <c r="A153" s="188"/>
      <c r="B153" s="3">
        <v>157</v>
      </c>
      <c r="C153" s="278" t="s">
        <v>117</v>
      </c>
      <c r="D153" s="277">
        <v>100</v>
      </c>
      <c r="E153" s="278">
        <v>10</v>
      </c>
      <c r="F153" s="279">
        <v>680</v>
      </c>
      <c r="G153" s="279">
        <f>E153*F153</f>
        <v>6800</v>
      </c>
      <c r="H153" s="35"/>
    </row>
    <row r="154" spans="1:8" x14ac:dyDescent="0.3">
      <c r="A154" s="188"/>
      <c r="B154" s="3">
        <v>210</v>
      </c>
      <c r="C154" s="278" t="s">
        <v>700</v>
      </c>
      <c r="D154" s="277" t="s">
        <v>656</v>
      </c>
      <c r="E154" s="278">
        <v>15</v>
      </c>
      <c r="F154" s="279">
        <v>350</v>
      </c>
      <c r="G154" s="279">
        <f>E154*F154</f>
        <v>5250</v>
      </c>
      <c r="H154" s="276"/>
    </row>
    <row r="155" spans="1:8" x14ac:dyDescent="0.3">
      <c r="A155" s="188"/>
      <c r="B155" s="3">
        <v>70</v>
      </c>
      <c r="C155" s="278" t="s">
        <v>63</v>
      </c>
      <c r="D155" s="277">
        <v>100</v>
      </c>
      <c r="E155" s="278">
        <v>50</v>
      </c>
      <c r="F155" s="279">
        <v>1450</v>
      </c>
      <c r="G155" s="279">
        <f>E155*F155</f>
        <v>72500</v>
      </c>
      <c r="H155" s="276"/>
    </row>
    <row r="156" spans="1:8" x14ac:dyDescent="0.3">
      <c r="A156" s="188"/>
      <c r="B156" s="3">
        <v>360</v>
      </c>
      <c r="C156" s="278" t="s">
        <v>262</v>
      </c>
      <c r="D156" s="277">
        <v>100</v>
      </c>
      <c r="E156" s="278">
        <v>16</v>
      </c>
      <c r="F156" s="279">
        <v>330</v>
      </c>
      <c r="G156" s="279">
        <f>E156*F156</f>
        <v>5280</v>
      </c>
      <c r="H156" s="276">
        <f>SUM(G153:G156)</f>
        <v>89830</v>
      </c>
    </row>
    <row r="157" spans="1:8" x14ac:dyDescent="0.3">
      <c r="A157" s="188"/>
      <c r="B157" s="3"/>
      <c r="C157" s="35"/>
      <c r="D157" s="277"/>
      <c r="E157" s="278"/>
      <c r="F157" s="279"/>
      <c r="G157" s="279"/>
      <c r="H157" s="35"/>
    </row>
    <row r="158" spans="1:8" x14ac:dyDescent="0.3">
      <c r="A158" s="188"/>
      <c r="B158" s="3"/>
      <c r="C158" s="35"/>
      <c r="D158" s="277"/>
      <c r="E158" s="278"/>
      <c r="F158" s="279"/>
      <c r="G158" s="279"/>
      <c r="H158" s="35"/>
    </row>
    <row r="159" spans="1:8" x14ac:dyDescent="0.3">
      <c r="A159" s="188"/>
      <c r="B159" s="3"/>
      <c r="C159" s="35"/>
      <c r="D159" s="277"/>
      <c r="E159" s="278"/>
      <c r="F159" s="279"/>
      <c r="G159" s="279"/>
      <c r="H159" s="35"/>
    </row>
    <row r="160" spans="1:8" x14ac:dyDescent="0.3">
      <c r="A160" s="188"/>
      <c r="B160" s="3"/>
      <c r="C160" s="35"/>
      <c r="D160" s="277"/>
      <c r="E160" s="278"/>
      <c r="F160" s="279"/>
      <c r="G160" s="279"/>
      <c r="H160" s="35"/>
    </row>
    <row r="161" spans="1:8" x14ac:dyDescent="0.3">
      <c r="A161" s="188"/>
      <c r="B161" s="3"/>
      <c r="C161" s="35"/>
      <c r="D161" s="277"/>
      <c r="E161" s="278"/>
      <c r="F161" s="279"/>
      <c r="G161" s="279"/>
      <c r="H161" s="35"/>
    </row>
    <row r="162" spans="1:8" x14ac:dyDescent="0.3">
      <c r="A162" s="188">
        <v>27</v>
      </c>
      <c r="B162" s="3"/>
      <c r="C162" s="35" t="s">
        <v>905</v>
      </c>
      <c r="D162" s="277"/>
      <c r="E162" s="278"/>
      <c r="F162" s="279"/>
      <c r="G162" s="279"/>
      <c r="H162" s="35"/>
    </row>
    <row r="163" spans="1:8" x14ac:dyDescent="0.3">
      <c r="A163" s="188"/>
      <c r="B163" s="3">
        <v>43</v>
      </c>
      <c r="C163" s="278" t="s">
        <v>1118</v>
      </c>
      <c r="D163" s="277">
        <v>30</v>
      </c>
      <c r="E163" s="278">
        <v>10</v>
      </c>
      <c r="F163" s="279">
        <v>5247</v>
      </c>
      <c r="G163" s="279">
        <f t="shared" ref="G163:G171" si="1">E163*F163</f>
        <v>52470</v>
      </c>
      <c r="H163" s="35"/>
    </row>
    <row r="164" spans="1:8" x14ac:dyDescent="0.3">
      <c r="A164" s="188"/>
      <c r="B164" s="3">
        <v>181</v>
      </c>
      <c r="C164" s="278" t="s">
        <v>1164</v>
      </c>
      <c r="D164" s="277" t="s">
        <v>57</v>
      </c>
      <c r="E164" s="278">
        <f>143*6</f>
        <v>858</v>
      </c>
      <c r="F164" s="279">
        <v>1850</v>
      </c>
      <c r="G164" s="279">
        <f t="shared" si="1"/>
        <v>1587300</v>
      </c>
      <c r="H164" s="35"/>
    </row>
    <row r="165" spans="1:8" x14ac:dyDescent="0.3">
      <c r="A165" s="188"/>
      <c r="B165" s="3">
        <v>192</v>
      </c>
      <c r="C165" s="278" t="s">
        <v>142</v>
      </c>
      <c r="D165" s="277">
        <v>16</v>
      </c>
      <c r="E165" s="278">
        <v>25</v>
      </c>
      <c r="F165" s="279">
        <v>2451</v>
      </c>
      <c r="G165" s="279">
        <f t="shared" si="1"/>
        <v>61275</v>
      </c>
      <c r="H165" s="35"/>
    </row>
    <row r="166" spans="1:8" x14ac:dyDescent="0.3">
      <c r="A166" s="188"/>
      <c r="B166" s="3">
        <v>124</v>
      </c>
      <c r="C166" s="278" t="s">
        <v>98</v>
      </c>
      <c r="D166" s="277">
        <v>100</v>
      </c>
      <c r="E166" s="278">
        <v>50</v>
      </c>
      <c r="F166" s="279">
        <v>5282</v>
      </c>
      <c r="G166" s="279">
        <f t="shared" si="1"/>
        <v>264100</v>
      </c>
      <c r="H166" s="35"/>
    </row>
    <row r="167" spans="1:8" x14ac:dyDescent="0.3">
      <c r="A167" s="188"/>
      <c r="B167" s="3">
        <v>420</v>
      </c>
      <c r="C167" s="278" t="s">
        <v>318</v>
      </c>
      <c r="D167" s="277" t="s">
        <v>144</v>
      </c>
      <c r="E167" s="278">
        <v>10</v>
      </c>
      <c r="F167" s="279">
        <v>640</v>
      </c>
      <c r="G167" s="279">
        <f t="shared" si="1"/>
        <v>6400</v>
      </c>
      <c r="H167" s="35"/>
    </row>
    <row r="168" spans="1:8" x14ac:dyDescent="0.3">
      <c r="A168" s="188"/>
      <c r="B168" s="3">
        <v>99</v>
      </c>
      <c r="C168" s="278" t="s">
        <v>1108</v>
      </c>
      <c r="D168" s="277" t="s">
        <v>144</v>
      </c>
      <c r="E168" s="278">
        <v>50</v>
      </c>
      <c r="F168" s="279">
        <v>2992</v>
      </c>
      <c r="G168" s="279">
        <f t="shared" si="1"/>
        <v>149600</v>
      </c>
      <c r="H168" s="276"/>
    </row>
    <row r="169" spans="1:8" x14ac:dyDescent="0.3">
      <c r="A169" s="188"/>
      <c r="B169" s="3">
        <v>424</v>
      </c>
      <c r="C169" s="278" t="s">
        <v>1187</v>
      </c>
      <c r="D169" s="277" t="s">
        <v>144</v>
      </c>
      <c r="E169" s="278">
        <v>25</v>
      </c>
      <c r="F169" s="279">
        <v>4282</v>
      </c>
      <c r="G169" s="279">
        <f t="shared" si="1"/>
        <v>107050</v>
      </c>
      <c r="H169" s="35"/>
    </row>
    <row r="170" spans="1:8" x14ac:dyDescent="0.3">
      <c r="A170" s="188"/>
      <c r="B170" s="3">
        <v>108</v>
      </c>
      <c r="C170" s="278" t="s">
        <v>1101</v>
      </c>
      <c r="D170" s="277" t="s">
        <v>57</v>
      </c>
      <c r="E170" s="278">
        <v>50</v>
      </c>
      <c r="F170" s="279">
        <v>2992</v>
      </c>
      <c r="G170" s="279">
        <f t="shared" si="1"/>
        <v>149600</v>
      </c>
      <c r="H170" s="35"/>
    </row>
    <row r="171" spans="1:8" x14ac:dyDescent="0.3">
      <c r="A171" s="188"/>
      <c r="B171" s="3">
        <v>110</v>
      </c>
      <c r="C171" s="278" t="s">
        <v>1114</v>
      </c>
      <c r="D171" s="277">
        <v>60</v>
      </c>
      <c r="E171" s="278">
        <v>10</v>
      </c>
      <c r="F171" s="279">
        <v>10292</v>
      </c>
      <c r="G171" s="279">
        <f t="shared" si="1"/>
        <v>102920</v>
      </c>
      <c r="H171" s="276">
        <f>SUM(G163:G171)</f>
        <v>2480715</v>
      </c>
    </row>
    <row r="172" spans="1:8" x14ac:dyDescent="0.3">
      <c r="A172" s="188"/>
      <c r="B172" s="3"/>
      <c r="C172" s="278"/>
      <c r="D172" s="277"/>
      <c r="E172" s="278"/>
      <c r="F172" s="279"/>
      <c r="G172" s="279"/>
      <c r="H172" s="276"/>
    </row>
    <row r="173" spans="1:8" ht="19.5" thickBot="1" x14ac:dyDescent="0.35"/>
    <row r="174" spans="1:8" ht="21.75" thickBot="1" x14ac:dyDescent="0.4">
      <c r="H174" s="280">
        <f>SUM(H4:H172)</f>
        <v>6903359.4300000006</v>
      </c>
    </row>
    <row r="193" spans="2:8" ht="21" x14ac:dyDescent="0.35">
      <c r="C193" s="878" t="s">
        <v>1115</v>
      </c>
      <c r="D193" s="878"/>
      <c r="E193" s="878"/>
      <c r="F193" s="67"/>
      <c r="G193" s="67"/>
      <c r="H193" s="67"/>
    </row>
    <row r="194" spans="2:8" ht="23.25" x14ac:dyDescent="0.35">
      <c r="C194" s="273"/>
    </row>
    <row r="195" spans="2:8" s="42" customFormat="1" x14ac:dyDescent="0.3">
      <c r="C195" s="48" t="s">
        <v>850</v>
      </c>
      <c r="D195" s="877" t="s">
        <v>550</v>
      </c>
      <c r="E195" s="877"/>
      <c r="F195" s="40"/>
      <c r="G195" s="40"/>
    </row>
    <row r="196" spans="2:8" x14ac:dyDescent="0.3">
      <c r="B196" s="250">
        <v>1</v>
      </c>
      <c r="C196" s="278" t="str">
        <f>C4</f>
        <v>ALPHA PHARMACY &amp; STORES</v>
      </c>
      <c r="D196" s="871">
        <f>H6</f>
        <v>169900</v>
      </c>
      <c r="E196" s="845"/>
    </row>
    <row r="197" spans="2:8" x14ac:dyDescent="0.3">
      <c r="B197" s="250">
        <f>B196+1</f>
        <v>2</v>
      </c>
      <c r="C197" s="278" t="str">
        <f>C8</f>
        <v>ASSENE LABOREX</v>
      </c>
      <c r="D197" s="874">
        <f>H9</f>
        <v>13640</v>
      </c>
      <c r="E197" s="875"/>
    </row>
    <row r="198" spans="2:8" x14ac:dyDescent="0.3">
      <c r="B198" s="250">
        <f t="shared" ref="B198:B222" si="2">B197+1</f>
        <v>3</v>
      </c>
      <c r="C198" s="278" t="str">
        <f>C12</f>
        <v>CODIX PHARMA LIMITED</v>
      </c>
      <c r="D198" s="871">
        <f>H14</f>
        <v>150000</v>
      </c>
      <c r="E198" s="845"/>
    </row>
    <row r="199" spans="2:8" x14ac:dyDescent="0.3">
      <c r="B199" s="250">
        <f t="shared" si="2"/>
        <v>4</v>
      </c>
      <c r="C199" s="278" t="str">
        <f>C17</f>
        <v>EMZOR PHARMACEUTICALS INDUSTRIES LIMITED</v>
      </c>
      <c r="D199" s="871">
        <f>H20</f>
        <v>27559.199999999997</v>
      </c>
      <c r="E199" s="845"/>
    </row>
    <row r="200" spans="2:8" x14ac:dyDescent="0.3">
      <c r="B200" s="250">
        <f t="shared" si="2"/>
        <v>5</v>
      </c>
      <c r="C200" s="278" t="str">
        <f>C23</f>
        <v>EUMATT SERVICES LIMITED</v>
      </c>
      <c r="D200" s="871">
        <f>H52</f>
        <v>747430</v>
      </c>
      <c r="E200" s="845"/>
    </row>
    <row r="201" spans="2:8" x14ac:dyDescent="0.3">
      <c r="B201" s="250">
        <f t="shared" si="2"/>
        <v>6</v>
      </c>
      <c r="C201" s="278" t="str">
        <f>C55</f>
        <v>FIDSON HEALTHCARE</v>
      </c>
      <c r="D201" s="871">
        <f>H60</f>
        <v>204500</v>
      </c>
      <c r="E201" s="845"/>
    </row>
    <row r="202" spans="2:8" x14ac:dyDescent="0.3">
      <c r="B202" s="250">
        <f t="shared" si="2"/>
        <v>7</v>
      </c>
      <c r="C202" s="278" t="str">
        <f>C64</f>
        <v>GENEITH PHARMACEUTICALS LIMITED</v>
      </c>
      <c r="D202" s="874">
        <f>H65</f>
        <v>38500</v>
      </c>
      <c r="E202" s="875"/>
    </row>
    <row r="203" spans="2:8" x14ac:dyDescent="0.3">
      <c r="B203" s="250">
        <f t="shared" si="2"/>
        <v>8</v>
      </c>
      <c r="C203" s="278" t="str">
        <f>C68</f>
        <v>GLAXOSMITHKLINE PHARMACEUTICALS NIG. LTD.</v>
      </c>
      <c r="D203" s="871">
        <f>H70</f>
        <v>108077.20000000001</v>
      </c>
      <c r="E203" s="845"/>
    </row>
    <row r="204" spans="2:8" x14ac:dyDescent="0.3">
      <c r="B204" s="250">
        <f t="shared" si="2"/>
        <v>9</v>
      </c>
      <c r="C204" s="278" t="str">
        <f>C73</f>
        <v>GLOBAL ORGANICS NIG. LTD.</v>
      </c>
      <c r="D204" s="871">
        <f>H75</f>
        <v>159500</v>
      </c>
      <c r="E204" s="845"/>
    </row>
    <row r="205" spans="2:8" x14ac:dyDescent="0.3">
      <c r="B205" s="250">
        <f t="shared" si="2"/>
        <v>10</v>
      </c>
      <c r="C205" s="278" t="str">
        <f>C78</f>
        <v>INTER-ROTECH NIGERIA LIMITED</v>
      </c>
      <c r="D205" s="871">
        <f>H80</f>
        <v>66675</v>
      </c>
      <c r="E205" s="845"/>
    </row>
    <row r="206" spans="2:8" x14ac:dyDescent="0.3">
      <c r="B206" s="250">
        <f t="shared" si="2"/>
        <v>11</v>
      </c>
      <c r="C206" s="278" t="str">
        <f>C82</f>
        <v>JAWA INTERNATIONAL LIMITED</v>
      </c>
      <c r="D206" s="871">
        <f>H85</f>
        <v>29050</v>
      </c>
      <c r="E206" s="845"/>
    </row>
    <row r="207" spans="2:8" x14ac:dyDescent="0.3">
      <c r="B207" s="250">
        <f t="shared" si="2"/>
        <v>12</v>
      </c>
      <c r="C207" s="278" t="str">
        <f>C88</f>
        <v>LEADWAY PHARMACEUTICALS LIMITED</v>
      </c>
      <c r="D207" s="871">
        <f>H93</f>
        <v>266500</v>
      </c>
      <c r="E207" s="845"/>
    </row>
    <row r="208" spans="2:8" x14ac:dyDescent="0.3">
      <c r="B208" s="250">
        <f t="shared" si="2"/>
        <v>13</v>
      </c>
      <c r="C208" s="278" t="str">
        <f>C96</f>
        <v xml:space="preserve">MANOLA PHARMACEUTICALS </v>
      </c>
      <c r="D208" s="871">
        <f>H99</f>
        <v>58400</v>
      </c>
      <c r="E208" s="845"/>
    </row>
    <row r="209" spans="2:5" x14ac:dyDescent="0.3">
      <c r="B209" s="250">
        <f t="shared" si="2"/>
        <v>14</v>
      </c>
      <c r="C209" s="278" t="str">
        <f>C102</f>
        <v>MARCSON HEALTHCARE</v>
      </c>
      <c r="D209" s="871">
        <f>H106</f>
        <v>789000</v>
      </c>
      <c r="E209" s="845"/>
    </row>
    <row r="210" spans="2:5" x14ac:dyDescent="0.3">
      <c r="B210" s="250">
        <f t="shared" si="2"/>
        <v>15</v>
      </c>
      <c r="C210" s="278" t="str">
        <f>C109</f>
        <v>MEGA LIFESCIENCES</v>
      </c>
      <c r="D210" s="871">
        <f>H110</f>
        <v>115000</v>
      </c>
      <c r="E210" s="845"/>
    </row>
    <row r="211" spans="2:5" x14ac:dyDescent="0.3">
      <c r="B211" s="250">
        <f t="shared" si="2"/>
        <v>16</v>
      </c>
      <c r="C211" s="278" t="str">
        <f>C113</f>
        <v>MICRONOVA PHARM. IND. LTD.</v>
      </c>
      <c r="D211" s="871">
        <f>H114</f>
        <v>31900</v>
      </c>
      <c r="E211" s="845"/>
    </row>
    <row r="212" spans="2:5" x14ac:dyDescent="0.3">
      <c r="B212" s="250">
        <f t="shared" si="2"/>
        <v>17</v>
      </c>
      <c r="C212" s="278" t="str">
        <f>C116</f>
        <v>OMAK HEALTHCARE SERVICES</v>
      </c>
      <c r="D212" s="871">
        <f>H117</f>
        <v>160000</v>
      </c>
      <c r="E212" s="845"/>
    </row>
    <row r="213" spans="2:5" x14ac:dyDescent="0.3">
      <c r="B213" s="250">
        <f t="shared" si="2"/>
        <v>18</v>
      </c>
      <c r="C213" s="278" t="str">
        <f>C120</f>
        <v>PHAMATEX INDUSTRIES LIMITED</v>
      </c>
      <c r="D213" s="871">
        <f>H123</f>
        <v>603000</v>
      </c>
      <c r="E213" s="845"/>
    </row>
    <row r="214" spans="2:5" x14ac:dyDescent="0.3">
      <c r="B214" s="250">
        <f t="shared" si="2"/>
        <v>19</v>
      </c>
      <c r="C214" s="278" t="str">
        <f>C126</f>
        <v>PHARMAETHICS NIG. LTD.</v>
      </c>
      <c r="D214" s="871">
        <f>H127</f>
        <v>50000</v>
      </c>
      <c r="E214" s="845"/>
    </row>
    <row r="215" spans="2:5" x14ac:dyDescent="0.3">
      <c r="B215" s="250">
        <f t="shared" si="2"/>
        <v>20</v>
      </c>
      <c r="C215" s="278" t="str">
        <f>C129</f>
        <v>PHILLIPS PHARMACEUTICALS NIGERIA LIMITED</v>
      </c>
      <c r="D215" s="871">
        <f>H130</f>
        <v>240000</v>
      </c>
      <c r="E215" s="845"/>
    </row>
    <row r="216" spans="2:5" x14ac:dyDescent="0.3">
      <c r="B216" s="250">
        <f t="shared" si="2"/>
        <v>21</v>
      </c>
      <c r="C216" s="278" t="str">
        <f>C132</f>
        <v>UNIQUE PHARMACEUTICALS LIMITED</v>
      </c>
      <c r="D216" s="871">
        <f>H135</f>
        <v>157800</v>
      </c>
      <c r="E216" s="845"/>
    </row>
    <row r="217" spans="2:5" x14ac:dyDescent="0.3">
      <c r="B217" s="250">
        <f t="shared" si="2"/>
        <v>22</v>
      </c>
      <c r="C217" s="278" t="str">
        <f>C137</f>
        <v>SAM PHARMACEUTICALS NIG. LTD</v>
      </c>
      <c r="D217" s="871">
        <f>H139</f>
        <v>23650</v>
      </c>
      <c r="E217" s="845"/>
    </row>
    <row r="218" spans="2:5" x14ac:dyDescent="0.3">
      <c r="B218" s="250">
        <f t="shared" si="2"/>
        <v>23</v>
      </c>
      <c r="C218" s="278" t="str">
        <f>C141</f>
        <v>SKG PHARMA LIMITED</v>
      </c>
      <c r="D218" s="871">
        <f>H144</f>
        <v>48333.03</v>
      </c>
      <c r="E218" s="845"/>
    </row>
    <row r="219" spans="2:5" x14ac:dyDescent="0.3">
      <c r="B219" s="250">
        <f t="shared" si="2"/>
        <v>24</v>
      </c>
      <c r="C219" s="278" t="str">
        <f>C146</f>
        <v>TAH PHARMACEUTICALS LIMITED</v>
      </c>
      <c r="D219" s="871">
        <f>H147</f>
        <v>45000</v>
      </c>
      <c r="E219" s="845"/>
    </row>
    <row r="220" spans="2:5" x14ac:dyDescent="0.3">
      <c r="B220" s="250">
        <f t="shared" si="2"/>
        <v>25</v>
      </c>
      <c r="C220" s="278" t="str">
        <f>C149</f>
        <v>TAYLEK DRUGS &amp; CO</v>
      </c>
      <c r="D220" s="871">
        <f>H150</f>
        <v>29400</v>
      </c>
      <c r="E220" s="845"/>
    </row>
    <row r="221" spans="2:5" x14ac:dyDescent="0.3">
      <c r="B221" s="250">
        <f t="shared" si="2"/>
        <v>26</v>
      </c>
      <c r="C221" s="278" t="str">
        <f>C152</f>
        <v>VIXA PHARMACEUTICALS COMPANY LIMITED</v>
      </c>
      <c r="D221" s="871">
        <f>H156</f>
        <v>89830</v>
      </c>
      <c r="E221" s="845"/>
    </row>
    <row r="222" spans="2:5" x14ac:dyDescent="0.3">
      <c r="B222" s="250">
        <f t="shared" si="2"/>
        <v>27</v>
      </c>
      <c r="C222" s="278" t="str">
        <f>C162</f>
        <v>WORLDWIDE COMMERCIAL VENTURES</v>
      </c>
      <c r="D222" s="871">
        <f>H171</f>
        <v>2480715</v>
      </c>
      <c r="E222" s="845"/>
    </row>
    <row r="223" spans="2:5" ht="19.5" thickBot="1" x14ac:dyDescent="0.35">
      <c r="D223" s="836"/>
      <c r="E223" s="836"/>
    </row>
    <row r="224" spans="2:5" ht="19.5" thickBot="1" x14ac:dyDescent="0.35">
      <c r="D224" s="872">
        <f>SUM(D196:E222)</f>
        <v>6903359.4300000006</v>
      </c>
      <c r="E224" s="873"/>
    </row>
  </sheetData>
  <sortState ref="A163:H172">
    <sortCondition ref="C163:C172"/>
  </sortState>
  <mergeCells count="32">
    <mergeCell ref="A1:H1"/>
    <mergeCell ref="D195:E195"/>
    <mergeCell ref="D221:E221"/>
    <mergeCell ref="D222:E222"/>
    <mergeCell ref="D218:E218"/>
    <mergeCell ref="D220:E220"/>
    <mergeCell ref="D208:E208"/>
    <mergeCell ref="D209:E209"/>
    <mergeCell ref="D210:E210"/>
    <mergeCell ref="D217:E217"/>
    <mergeCell ref="C193:E193"/>
    <mergeCell ref="D196:E196"/>
    <mergeCell ref="D199:E199"/>
    <mergeCell ref="D200:E200"/>
    <mergeCell ref="D201:E201"/>
    <mergeCell ref="D197:E197"/>
    <mergeCell ref="D198:E198"/>
    <mergeCell ref="D224:E224"/>
    <mergeCell ref="D223:E223"/>
    <mergeCell ref="D202:E202"/>
    <mergeCell ref="D219:E219"/>
    <mergeCell ref="D205:E205"/>
    <mergeCell ref="D211:E211"/>
    <mergeCell ref="D203:E203"/>
    <mergeCell ref="D204:E204"/>
    <mergeCell ref="D206:E206"/>
    <mergeCell ref="D207:E207"/>
    <mergeCell ref="D215:E215"/>
    <mergeCell ref="D216:E216"/>
    <mergeCell ref="D212:E212"/>
    <mergeCell ref="D213:E213"/>
    <mergeCell ref="D214:E214"/>
  </mergeCells>
  <pageMargins left="0.25" right="0.25" top="0.32" bottom="0.28999999999999998" header="0.3" footer="0.3"/>
  <pageSetup paperSize="9" scale="93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N637"/>
  <sheetViews>
    <sheetView zoomScale="90" zoomScaleNormal="90" workbookViewId="0">
      <pane xSplit="2" ySplit="4" topLeftCell="C7" activePane="bottomRight" state="frozen"/>
      <selection activeCell="F100" sqref="F100"/>
      <selection pane="topRight" activeCell="F100" sqref="F100"/>
      <selection pane="bottomLeft" activeCell="F100" sqref="F100"/>
      <selection pane="bottomRight" activeCell="F100" sqref="F100"/>
    </sheetView>
  </sheetViews>
  <sheetFormatPr defaultColWidth="9.140625" defaultRowHeight="18.75" x14ac:dyDescent="0.25"/>
  <cols>
    <col min="1" max="1" width="12.140625" style="10" customWidth="1"/>
    <col min="2" max="2" width="91" style="10" bestFit="1" customWidth="1"/>
    <col min="3" max="3" width="17.5703125" style="9" customWidth="1"/>
    <col min="4" max="4" width="31.5703125" style="25" hidden="1" customWidth="1"/>
    <col min="5" max="5" width="35.42578125" style="25" hidden="1" customWidth="1"/>
    <col min="6" max="6" width="36.85546875" style="25" hidden="1" customWidth="1"/>
    <col min="7" max="7" width="36" style="25" hidden="1" customWidth="1"/>
    <col min="8" max="8" width="34.5703125" style="25" hidden="1" customWidth="1"/>
    <col min="9" max="9" width="32" style="25" hidden="1" customWidth="1"/>
    <col min="10" max="10" width="0" style="10" hidden="1" customWidth="1"/>
    <col min="11" max="11" width="18.85546875" style="10" customWidth="1"/>
    <col min="13" max="13" width="10" bestFit="1" customWidth="1"/>
    <col min="14" max="16384" width="9.140625" style="10"/>
  </cols>
  <sheetData>
    <row r="2" spans="1:13" s="9" customFormat="1" ht="26.25" x14ac:dyDescent="0.25">
      <c r="A2" s="748" t="s">
        <v>738</v>
      </c>
      <c r="B2" s="748"/>
      <c r="C2" s="748"/>
      <c r="D2" s="748"/>
      <c r="E2" s="748"/>
      <c r="F2" s="748"/>
      <c r="G2" s="748"/>
      <c r="H2" s="748"/>
      <c r="I2" s="748"/>
      <c r="J2" s="748"/>
      <c r="K2" s="748"/>
    </row>
    <row r="3" spans="1:13" s="9" customFormat="1" ht="23.25" x14ac:dyDescent="0.25">
      <c r="A3" s="84"/>
      <c r="B3" s="84"/>
      <c r="C3" s="84"/>
      <c r="D3" s="84"/>
      <c r="E3" s="84"/>
      <c r="F3" s="84"/>
      <c r="G3" s="84"/>
      <c r="H3" s="84"/>
      <c r="I3" s="84"/>
      <c r="K3" s="24"/>
    </row>
    <row r="4" spans="1:13" s="9" customFormat="1" ht="56.25" x14ac:dyDescent="0.25">
      <c r="B4" s="11" t="s">
        <v>657</v>
      </c>
      <c r="C4" s="11" t="s">
        <v>500</v>
      </c>
      <c r="D4" s="85" t="s">
        <v>517</v>
      </c>
      <c r="E4" s="85" t="s">
        <v>518</v>
      </c>
      <c r="F4" s="85" t="s">
        <v>519</v>
      </c>
      <c r="G4" s="85" t="s">
        <v>520</v>
      </c>
      <c r="H4" s="85" t="s">
        <v>521</v>
      </c>
      <c r="I4" s="85" t="s">
        <v>522</v>
      </c>
      <c r="J4" s="20"/>
      <c r="K4" s="21" t="s">
        <v>739</v>
      </c>
    </row>
    <row r="5" spans="1:13" s="9" customFormat="1" x14ac:dyDescent="0.25">
      <c r="B5" s="86"/>
      <c r="C5" s="86"/>
      <c r="D5" s="87"/>
      <c r="E5" s="87"/>
      <c r="F5" s="87"/>
      <c r="G5" s="87"/>
      <c r="H5" s="87"/>
      <c r="I5" s="88"/>
      <c r="K5" s="89"/>
    </row>
    <row r="6" spans="1:13" ht="23.25" x14ac:dyDescent="0.25">
      <c r="A6" s="12" t="s">
        <v>1</v>
      </c>
      <c r="B6" s="13" t="s">
        <v>2</v>
      </c>
      <c r="C6" s="11"/>
      <c r="D6" s="14"/>
      <c r="E6" s="14"/>
      <c r="F6" s="14"/>
      <c r="G6" s="14"/>
      <c r="H6" s="14"/>
      <c r="I6" s="82"/>
      <c r="K6" s="19"/>
      <c r="L6" s="10"/>
      <c r="M6" s="10"/>
    </row>
    <row r="7" spans="1:13" x14ac:dyDescent="0.25">
      <c r="A7" s="10">
        <v>1</v>
      </c>
      <c r="B7" s="16" t="s">
        <v>3</v>
      </c>
      <c r="C7" s="11">
        <v>3</v>
      </c>
      <c r="D7" s="14">
        <v>670</v>
      </c>
      <c r="E7" s="14"/>
      <c r="F7" s="14">
        <v>30</v>
      </c>
      <c r="G7" s="14"/>
      <c r="H7" s="14">
        <f>SUM(D7:G7)</f>
        <v>700</v>
      </c>
      <c r="I7" s="82">
        <f>H7*2</f>
        <v>1400</v>
      </c>
      <c r="K7" s="19">
        <v>2600</v>
      </c>
      <c r="L7" s="10"/>
      <c r="M7" s="10"/>
    </row>
    <row r="8" spans="1:13" x14ac:dyDescent="0.25">
      <c r="A8" s="10">
        <f t="shared" ref="A8:A23" si="0">A7+1</f>
        <v>2</v>
      </c>
      <c r="B8" s="16" t="s">
        <v>4</v>
      </c>
      <c r="C8" s="11">
        <v>6</v>
      </c>
      <c r="D8" s="14">
        <v>30</v>
      </c>
      <c r="E8" s="14">
        <v>60</v>
      </c>
      <c r="F8" s="14">
        <v>12</v>
      </c>
      <c r="G8" s="14"/>
      <c r="H8" s="14">
        <f>SUM(D8:G8)</f>
        <v>102</v>
      </c>
      <c r="I8" s="82">
        <f>H8*2</f>
        <v>204</v>
      </c>
      <c r="K8" s="19">
        <v>220</v>
      </c>
      <c r="L8" s="10"/>
      <c r="M8" s="10"/>
    </row>
    <row r="9" spans="1:13" x14ac:dyDescent="0.25">
      <c r="A9" s="10">
        <f t="shared" si="0"/>
        <v>3</v>
      </c>
      <c r="B9" s="16" t="s">
        <v>5</v>
      </c>
      <c r="C9" s="11" t="s">
        <v>144</v>
      </c>
      <c r="D9" s="14"/>
      <c r="E9" s="14">
        <v>3</v>
      </c>
      <c r="F9" s="14"/>
      <c r="G9" s="14"/>
      <c r="H9" s="14">
        <f>SUM(D9:G9)</f>
        <v>3</v>
      </c>
      <c r="I9" s="82">
        <f>H9*2</f>
        <v>6</v>
      </c>
      <c r="K9" s="19">
        <v>70</v>
      </c>
      <c r="L9" s="10"/>
      <c r="M9" s="10"/>
    </row>
    <row r="10" spans="1:13" x14ac:dyDescent="0.25">
      <c r="A10" s="10">
        <f t="shared" si="0"/>
        <v>4</v>
      </c>
      <c r="B10" s="16" t="s">
        <v>6</v>
      </c>
      <c r="C10" s="11">
        <v>24</v>
      </c>
      <c r="D10" s="14">
        <v>1150</v>
      </c>
      <c r="E10" s="14">
        <v>180</v>
      </c>
      <c r="F10" s="14">
        <v>240</v>
      </c>
      <c r="G10" s="14"/>
      <c r="H10" s="14">
        <f>SUM(D10:G10)</f>
        <v>1570</v>
      </c>
      <c r="I10" s="82">
        <f>H10*2</f>
        <v>3140</v>
      </c>
      <c r="K10" s="19">
        <v>5000</v>
      </c>
      <c r="L10" s="10"/>
      <c r="M10" s="10"/>
    </row>
    <row r="11" spans="1:13" x14ac:dyDescent="0.25">
      <c r="A11" s="10">
        <f t="shared" si="0"/>
        <v>5</v>
      </c>
      <c r="B11" s="16" t="s">
        <v>6</v>
      </c>
      <c r="C11" s="11">
        <v>12</v>
      </c>
      <c r="D11" s="14"/>
      <c r="E11" s="14"/>
      <c r="F11" s="14"/>
      <c r="G11" s="14"/>
      <c r="H11" s="14"/>
      <c r="I11" s="82"/>
      <c r="K11" s="19">
        <v>1000</v>
      </c>
      <c r="L11" s="10"/>
      <c r="M11" s="10"/>
    </row>
    <row r="12" spans="1:13" x14ac:dyDescent="0.25">
      <c r="A12" s="10">
        <f t="shared" si="0"/>
        <v>6</v>
      </c>
      <c r="B12" s="16" t="s">
        <v>714</v>
      </c>
      <c r="C12" s="11">
        <v>6</v>
      </c>
      <c r="D12" s="14"/>
      <c r="E12" s="14"/>
      <c r="F12" s="14"/>
      <c r="G12" s="14"/>
      <c r="H12" s="14"/>
      <c r="I12" s="82"/>
      <c r="K12" s="19">
        <v>1000</v>
      </c>
      <c r="L12" s="10"/>
      <c r="M12" s="10"/>
    </row>
    <row r="13" spans="1:13" x14ac:dyDescent="0.25">
      <c r="A13" s="10">
        <f t="shared" si="0"/>
        <v>7</v>
      </c>
      <c r="B13" s="16" t="s">
        <v>7</v>
      </c>
      <c r="C13" s="11">
        <v>6</v>
      </c>
      <c r="D13" s="14">
        <v>240</v>
      </c>
      <c r="E13" s="14">
        <v>0</v>
      </c>
      <c r="F13" s="14">
        <v>60</v>
      </c>
      <c r="G13" s="14"/>
      <c r="H13" s="14">
        <f>SUM(D13:G13)</f>
        <v>300</v>
      </c>
      <c r="I13" s="82">
        <f>H13*2</f>
        <v>600</v>
      </c>
      <c r="K13" s="19">
        <v>1600</v>
      </c>
      <c r="L13" s="10"/>
      <c r="M13" s="10"/>
    </row>
    <row r="14" spans="1:13" x14ac:dyDescent="0.25">
      <c r="A14" s="10">
        <f t="shared" si="0"/>
        <v>8</v>
      </c>
      <c r="B14" s="16" t="s">
        <v>8</v>
      </c>
      <c r="C14" s="11">
        <v>3</v>
      </c>
      <c r="D14" s="14">
        <v>8</v>
      </c>
      <c r="E14" s="14"/>
      <c r="F14" s="14"/>
      <c r="G14" s="14"/>
      <c r="H14" s="14">
        <f>SUM(D14:G14)</f>
        <v>8</v>
      </c>
      <c r="I14" s="82">
        <f>H14*2</f>
        <v>16</v>
      </c>
      <c r="K14" s="19">
        <v>80</v>
      </c>
      <c r="L14" s="10"/>
      <c r="M14" s="10"/>
    </row>
    <row r="15" spans="1:13" x14ac:dyDescent="0.25">
      <c r="A15" s="10">
        <f t="shared" si="0"/>
        <v>9</v>
      </c>
      <c r="B15" s="16" t="s">
        <v>9</v>
      </c>
      <c r="C15" s="11">
        <v>6</v>
      </c>
      <c r="D15" s="14">
        <v>80</v>
      </c>
      <c r="E15" s="14"/>
      <c r="F15" s="14"/>
      <c r="G15" s="14"/>
      <c r="H15" s="14">
        <f>SUM(D15:G15)</f>
        <v>80</v>
      </c>
      <c r="I15" s="82">
        <f>H15*2</f>
        <v>160</v>
      </c>
      <c r="K15" s="19">
        <v>500</v>
      </c>
      <c r="L15" s="10"/>
      <c r="M15" s="10"/>
    </row>
    <row r="16" spans="1:13" x14ac:dyDescent="0.25">
      <c r="A16" s="10">
        <f t="shared" si="0"/>
        <v>10</v>
      </c>
      <c r="B16" s="16" t="s">
        <v>10</v>
      </c>
      <c r="C16" s="11" t="s">
        <v>144</v>
      </c>
      <c r="D16" s="14">
        <v>200</v>
      </c>
      <c r="E16" s="14"/>
      <c r="F16" s="14">
        <v>40</v>
      </c>
      <c r="G16" s="14"/>
      <c r="H16" s="14">
        <f>SUM(D16:G16)</f>
        <v>240</v>
      </c>
      <c r="I16" s="82">
        <f>H16*2</f>
        <v>480</v>
      </c>
      <c r="K16" s="19">
        <v>600</v>
      </c>
      <c r="L16" s="10"/>
      <c r="M16" s="10"/>
    </row>
    <row r="17" spans="1:13" x14ac:dyDescent="0.25">
      <c r="A17" s="10">
        <f t="shared" si="0"/>
        <v>11</v>
      </c>
      <c r="B17" s="16" t="s">
        <v>11</v>
      </c>
      <c r="C17" s="11">
        <v>8</v>
      </c>
      <c r="D17" s="14">
        <v>290</v>
      </c>
      <c r="E17" s="14"/>
      <c r="F17" s="14"/>
      <c r="G17" s="14"/>
      <c r="H17" s="14">
        <f>SUM(D17:G17)</f>
        <v>290</v>
      </c>
      <c r="I17" s="82">
        <f>H17*2</f>
        <v>580</v>
      </c>
      <c r="K17" s="19">
        <v>800</v>
      </c>
      <c r="L17" s="10"/>
      <c r="M17" s="10"/>
    </row>
    <row r="18" spans="1:13" x14ac:dyDescent="0.25">
      <c r="A18" s="10">
        <f t="shared" si="0"/>
        <v>12</v>
      </c>
      <c r="B18" s="16" t="s">
        <v>695</v>
      </c>
      <c r="C18" s="11">
        <v>4</v>
      </c>
      <c r="D18" s="14"/>
      <c r="E18" s="14"/>
      <c r="F18" s="14"/>
      <c r="G18" s="14"/>
      <c r="H18" s="14"/>
      <c r="I18" s="82"/>
      <c r="K18" s="19">
        <v>400</v>
      </c>
      <c r="L18" s="10"/>
      <c r="M18" s="10"/>
    </row>
    <row r="19" spans="1:13" x14ac:dyDescent="0.25">
      <c r="A19" s="10">
        <f t="shared" si="0"/>
        <v>13</v>
      </c>
      <c r="B19" s="16" t="s">
        <v>12</v>
      </c>
      <c r="C19" s="11">
        <v>100</v>
      </c>
      <c r="D19" s="14">
        <v>10</v>
      </c>
      <c r="E19" s="14"/>
      <c r="F19" s="14">
        <v>6</v>
      </c>
      <c r="G19" s="14"/>
      <c r="H19" s="14">
        <f>SUM(D19:G19)</f>
        <v>16</v>
      </c>
      <c r="I19" s="82">
        <f>H19*2</f>
        <v>32</v>
      </c>
      <c r="K19" s="19">
        <v>70</v>
      </c>
      <c r="L19" s="10"/>
      <c r="M19" s="10"/>
    </row>
    <row r="20" spans="1:13" x14ac:dyDescent="0.25">
      <c r="A20" s="10">
        <f t="shared" si="0"/>
        <v>14</v>
      </c>
      <c r="B20" s="16" t="s">
        <v>690</v>
      </c>
      <c r="C20" s="11">
        <v>500</v>
      </c>
      <c r="D20" s="14"/>
      <c r="E20" s="14"/>
      <c r="F20" s="14"/>
      <c r="G20" s="14"/>
      <c r="H20" s="14"/>
      <c r="I20" s="82"/>
      <c r="K20" s="19">
        <v>4</v>
      </c>
      <c r="L20" s="10"/>
      <c r="M20" s="10"/>
    </row>
    <row r="21" spans="1:13" x14ac:dyDescent="0.25">
      <c r="A21" s="10">
        <f t="shared" si="0"/>
        <v>15</v>
      </c>
      <c r="B21" s="16" t="s">
        <v>13</v>
      </c>
      <c r="C21" s="11" t="s">
        <v>144</v>
      </c>
      <c r="D21" s="14">
        <v>4</v>
      </c>
      <c r="E21" s="14"/>
      <c r="F21" s="14"/>
      <c r="G21" s="14"/>
      <c r="H21" s="14">
        <f t="shared" ref="H21:H41" si="1">SUM(D21:G21)</f>
        <v>4</v>
      </c>
      <c r="I21" s="82">
        <f t="shared" ref="I21:I41" si="2">H21*2</f>
        <v>8</v>
      </c>
      <c r="K21" s="19">
        <v>40</v>
      </c>
      <c r="L21" s="10"/>
      <c r="M21" s="10"/>
    </row>
    <row r="22" spans="1:13" x14ac:dyDescent="0.25">
      <c r="A22" s="10">
        <f t="shared" si="0"/>
        <v>16</v>
      </c>
      <c r="B22" s="16" t="s">
        <v>14</v>
      </c>
      <c r="C22" s="11">
        <v>100</v>
      </c>
      <c r="D22" s="14">
        <v>1</v>
      </c>
      <c r="E22" s="14"/>
      <c r="F22" s="14"/>
      <c r="G22" s="14"/>
      <c r="H22" s="14">
        <f t="shared" si="1"/>
        <v>1</v>
      </c>
      <c r="I22" s="82">
        <f t="shared" si="2"/>
        <v>2</v>
      </c>
      <c r="K22" s="19">
        <v>1</v>
      </c>
      <c r="L22" s="10"/>
      <c r="M22" s="10"/>
    </row>
    <row r="23" spans="1:13" x14ac:dyDescent="0.25">
      <c r="A23" s="10">
        <f t="shared" si="0"/>
        <v>17</v>
      </c>
      <c r="B23" s="16" t="s">
        <v>15</v>
      </c>
      <c r="C23" s="11">
        <v>50</v>
      </c>
      <c r="D23" s="14">
        <v>4</v>
      </c>
      <c r="E23" s="14">
        <v>4</v>
      </c>
      <c r="F23" s="14">
        <v>1</v>
      </c>
      <c r="G23" s="14"/>
      <c r="H23" s="14">
        <f t="shared" si="1"/>
        <v>9</v>
      </c>
      <c r="I23" s="82">
        <f t="shared" si="2"/>
        <v>18</v>
      </c>
      <c r="K23" s="19">
        <v>20</v>
      </c>
      <c r="L23" s="10"/>
      <c r="M23" s="10"/>
    </row>
    <row r="24" spans="1:13" x14ac:dyDescent="0.25">
      <c r="B24" s="16"/>
      <c r="C24" s="11"/>
      <c r="D24" s="14"/>
      <c r="E24" s="14"/>
      <c r="F24" s="14"/>
      <c r="G24" s="14"/>
      <c r="H24" s="14">
        <f t="shared" si="1"/>
        <v>0</v>
      </c>
      <c r="I24" s="82">
        <f t="shared" si="2"/>
        <v>0</v>
      </c>
      <c r="K24" s="19"/>
      <c r="L24" s="10"/>
      <c r="M24" s="10"/>
    </row>
    <row r="25" spans="1:13" x14ac:dyDescent="0.25">
      <c r="B25" s="16"/>
      <c r="C25" s="11"/>
      <c r="D25" s="14"/>
      <c r="E25" s="14"/>
      <c r="F25" s="14"/>
      <c r="G25" s="14"/>
      <c r="H25" s="14">
        <f t="shared" si="1"/>
        <v>0</v>
      </c>
      <c r="I25" s="82">
        <f t="shared" si="2"/>
        <v>0</v>
      </c>
      <c r="K25" s="19"/>
      <c r="L25" s="10"/>
      <c r="M25" s="10"/>
    </row>
    <row r="26" spans="1:13" ht="23.25" x14ac:dyDescent="0.25">
      <c r="A26" s="12" t="s">
        <v>16</v>
      </c>
      <c r="B26" s="13" t="s">
        <v>17</v>
      </c>
      <c r="C26" s="11"/>
      <c r="D26" s="14"/>
      <c r="E26" s="14"/>
      <c r="F26" s="14"/>
      <c r="G26" s="14"/>
      <c r="H26" s="14">
        <f t="shared" si="1"/>
        <v>0</v>
      </c>
      <c r="I26" s="82">
        <f t="shared" si="2"/>
        <v>0</v>
      </c>
      <c r="K26" s="19"/>
      <c r="L26" s="10"/>
      <c r="M26" s="10"/>
    </row>
    <row r="27" spans="1:13" x14ac:dyDescent="0.25">
      <c r="A27" s="10">
        <f>A23+1</f>
        <v>18</v>
      </c>
      <c r="B27" s="16" t="s">
        <v>18</v>
      </c>
      <c r="C27" s="11">
        <v>20</v>
      </c>
      <c r="D27" s="14">
        <v>960</v>
      </c>
      <c r="E27" s="14">
        <v>48</v>
      </c>
      <c r="F27" s="14">
        <v>12</v>
      </c>
      <c r="G27" s="14">
        <v>80</v>
      </c>
      <c r="H27" s="14">
        <f t="shared" si="1"/>
        <v>1100</v>
      </c>
      <c r="I27" s="82">
        <f t="shared" si="2"/>
        <v>2200</v>
      </c>
      <c r="K27" s="19">
        <v>2400</v>
      </c>
      <c r="L27" s="10"/>
      <c r="M27" s="10"/>
    </row>
    <row r="28" spans="1:13" x14ac:dyDescent="0.25">
      <c r="A28" s="10">
        <f t="shared" ref="A28:A39" si="3">A27+1</f>
        <v>19</v>
      </c>
      <c r="B28" s="16" t="s">
        <v>19</v>
      </c>
      <c r="C28" s="11">
        <v>20</v>
      </c>
      <c r="D28" s="14">
        <v>35</v>
      </c>
      <c r="E28" s="14">
        <v>1</v>
      </c>
      <c r="F28" s="14">
        <v>2</v>
      </c>
      <c r="G28" s="14"/>
      <c r="H28" s="14">
        <f t="shared" si="1"/>
        <v>38</v>
      </c>
      <c r="I28" s="82">
        <f t="shared" si="2"/>
        <v>76</v>
      </c>
      <c r="K28" s="19">
        <v>104</v>
      </c>
      <c r="L28" s="10"/>
      <c r="M28" s="10"/>
    </row>
    <row r="29" spans="1:13" x14ac:dyDescent="0.25">
      <c r="A29" s="10">
        <f t="shared" si="3"/>
        <v>20</v>
      </c>
      <c r="B29" s="16" t="s">
        <v>20</v>
      </c>
      <c r="C29" s="11">
        <v>20</v>
      </c>
      <c r="D29" s="14">
        <v>5</v>
      </c>
      <c r="E29" s="14"/>
      <c r="F29" s="14"/>
      <c r="G29" s="14"/>
      <c r="H29" s="14">
        <f t="shared" si="1"/>
        <v>5</v>
      </c>
      <c r="I29" s="82">
        <f t="shared" si="2"/>
        <v>10</v>
      </c>
      <c r="K29" s="19">
        <v>20</v>
      </c>
      <c r="L29" s="10"/>
      <c r="M29" s="10"/>
    </row>
    <row r="30" spans="1:13" x14ac:dyDescent="0.25">
      <c r="A30" s="10">
        <f t="shared" si="3"/>
        <v>21</v>
      </c>
      <c r="B30" s="16" t="s">
        <v>21</v>
      </c>
      <c r="C30" s="11">
        <v>20</v>
      </c>
      <c r="D30" s="14">
        <v>24</v>
      </c>
      <c r="E30" s="14"/>
      <c r="F30" s="14">
        <v>1</v>
      </c>
      <c r="G30" s="14"/>
      <c r="H30" s="14">
        <f t="shared" si="1"/>
        <v>25</v>
      </c>
      <c r="I30" s="82">
        <f t="shared" si="2"/>
        <v>50</v>
      </c>
      <c r="K30" s="19">
        <v>60</v>
      </c>
      <c r="L30" s="10"/>
      <c r="M30" s="10"/>
    </row>
    <row r="31" spans="1:13" x14ac:dyDescent="0.25">
      <c r="A31" s="10">
        <f t="shared" si="3"/>
        <v>22</v>
      </c>
      <c r="B31" s="16" t="s">
        <v>22</v>
      </c>
      <c r="C31" s="11">
        <v>20</v>
      </c>
      <c r="D31" s="14">
        <v>80</v>
      </c>
      <c r="E31" s="14">
        <v>12</v>
      </c>
      <c r="F31" s="14">
        <v>2</v>
      </c>
      <c r="G31" s="14">
        <v>5</v>
      </c>
      <c r="H31" s="14">
        <f t="shared" si="1"/>
        <v>99</v>
      </c>
      <c r="I31" s="82">
        <f t="shared" si="2"/>
        <v>198</v>
      </c>
      <c r="K31" s="19">
        <v>350</v>
      </c>
      <c r="L31" s="10"/>
      <c r="M31" s="10"/>
    </row>
    <row r="32" spans="1:13" x14ac:dyDescent="0.25">
      <c r="A32" s="10">
        <f t="shared" si="3"/>
        <v>23</v>
      </c>
      <c r="B32" s="16" t="s">
        <v>23</v>
      </c>
      <c r="C32" s="11">
        <v>20</v>
      </c>
      <c r="D32" s="14">
        <v>500</v>
      </c>
      <c r="E32" s="14">
        <v>30</v>
      </c>
      <c r="F32" s="14">
        <v>8</v>
      </c>
      <c r="G32" s="14"/>
      <c r="H32" s="14">
        <f t="shared" si="1"/>
        <v>538</v>
      </c>
      <c r="I32" s="82">
        <f t="shared" si="2"/>
        <v>1076</v>
      </c>
      <c r="K32" s="19">
        <v>1600</v>
      </c>
      <c r="L32" s="10"/>
      <c r="M32" s="10"/>
    </row>
    <row r="33" spans="1:13" x14ac:dyDescent="0.25">
      <c r="A33" s="10">
        <f t="shared" si="3"/>
        <v>24</v>
      </c>
      <c r="B33" s="16" t="s">
        <v>24</v>
      </c>
      <c r="C33" s="11">
        <v>20</v>
      </c>
      <c r="D33" s="14">
        <v>250</v>
      </c>
      <c r="E33" s="14">
        <v>30</v>
      </c>
      <c r="F33" s="14">
        <v>6</v>
      </c>
      <c r="G33" s="14"/>
      <c r="H33" s="14">
        <f t="shared" si="1"/>
        <v>286</v>
      </c>
      <c r="I33" s="82">
        <f t="shared" si="2"/>
        <v>572</v>
      </c>
      <c r="K33" s="19">
        <v>840</v>
      </c>
      <c r="L33" s="10"/>
      <c r="M33" s="10"/>
    </row>
    <row r="34" spans="1:13" x14ac:dyDescent="0.25">
      <c r="A34" s="10">
        <f t="shared" si="3"/>
        <v>25</v>
      </c>
      <c r="B34" s="16" t="s">
        <v>25</v>
      </c>
      <c r="C34" s="11">
        <v>100</v>
      </c>
      <c r="D34" s="14">
        <v>7</v>
      </c>
      <c r="E34" s="14"/>
      <c r="F34" s="14">
        <v>1</v>
      </c>
      <c r="G34" s="14"/>
      <c r="H34" s="14">
        <f t="shared" si="1"/>
        <v>8</v>
      </c>
      <c r="I34" s="82">
        <f t="shared" si="2"/>
        <v>16</v>
      </c>
      <c r="K34" s="19">
        <v>40</v>
      </c>
      <c r="L34" s="10"/>
      <c r="M34" s="10"/>
    </row>
    <row r="35" spans="1:13" x14ac:dyDescent="0.25">
      <c r="A35" s="10">
        <f t="shared" si="3"/>
        <v>26</v>
      </c>
      <c r="B35" s="16" t="s">
        <v>26</v>
      </c>
      <c r="C35" s="11">
        <v>20</v>
      </c>
      <c r="D35" s="14">
        <v>75</v>
      </c>
      <c r="E35" s="14"/>
      <c r="F35" s="14"/>
      <c r="G35" s="14"/>
      <c r="H35" s="14">
        <f t="shared" si="1"/>
        <v>75</v>
      </c>
      <c r="I35" s="82">
        <f t="shared" si="2"/>
        <v>150</v>
      </c>
      <c r="K35" s="19">
        <v>163</v>
      </c>
      <c r="L35" s="10"/>
      <c r="M35" s="10"/>
    </row>
    <row r="36" spans="1:13" x14ac:dyDescent="0.25">
      <c r="A36" s="10">
        <f t="shared" si="3"/>
        <v>27</v>
      </c>
      <c r="B36" s="16" t="s">
        <v>27</v>
      </c>
      <c r="C36" s="11">
        <v>10</v>
      </c>
      <c r="D36" s="14">
        <v>1</v>
      </c>
      <c r="E36" s="14"/>
      <c r="F36" s="14"/>
      <c r="G36" s="14"/>
      <c r="H36" s="14">
        <f t="shared" si="1"/>
        <v>1</v>
      </c>
      <c r="I36" s="82">
        <f t="shared" si="2"/>
        <v>2</v>
      </c>
      <c r="K36" s="19">
        <v>4</v>
      </c>
      <c r="L36" s="10"/>
      <c r="M36" s="10"/>
    </row>
    <row r="37" spans="1:13" x14ac:dyDescent="0.25">
      <c r="A37" s="10">
        <f t="shared" si="3"/>
        <v>28</v>
      </c>
      <c r="B37" s="16" t="s">
        <v>28</v>
      </c>
      <c r="C37" s="11">
        <v>20</v>
      </c>
      <c r="D37" s="14">
        <v>2.5</v>
      </c>
      <c r="E37" s="14"/>
      <c r="F37" s="14"/>
      <c r="G37" s="14"/>
      <c r="H37" s="14">
        <f t="shared" si="1"/>
        <v>2.5</v>
      </c>
      <c r="I37" s="82">
        <f t="shared" si="2"/>
        <v>5</v>
      </c>
      <c r="K37" s="19">
        <v>5</v>
      </c>
      <c r="L37" s="10"/>
      <c r="M37" s="10"/>
    </row>
    <row r="38" spans="1:13" x14ac:dyDescent="0.25">
      <c r="A38" s="10">
        <f t="shared" si="3"/>
        <v>29</v>
      </c>
      <c r="B38" s="16" t="s">
        <v>29</v>
      </c>
      <c r="C38" s="11">
        <v>20</v>
      </c>
      <c r="D38" s="14">
        <v>2.5</v>
      </c>
      <c r="E38" s="14"/>
      <c r="F38" s="14"/>
      <c r="G38" s="14"/>
      <c r="H38" s="14">
        <f t="shared" si="1"/>
        <v>2.5</v>
      </c>
      <c r="I38" s="82">
        <f t="shared" si="2"/>
        <v>5</v>
      </c>
      <c r="K38" s="19">
        <v>5</v>
      </c>
      <c r="L38" s="10"/>
      <c r="M38" s="10"/>
    </row>
    <row r="39" spans="1:13" x14ac:dyDescent="0.25">
      <c r="A39" s="10">
        <f t="shared" si="3"/>
        <v>30</v>
      </c>
      <c r="B39" s="16" t="s">
        <v>30</v>
      </c>
      <c r="C39" s="11">
        <v>20</v>
      </c>
      <c r="D39" s="14">
        <v>185</v>
      </c>
      <c r="E39" s="14">
        <v>13</v>
      </c>
      <c r="F39" s="14">
        <v>4</v>
      </c>
      <c r="G39" s="14">
        <v>55</v>
      </c>
      <c r="H39" s="14">
        <f t="shared" si="1"/>
        <v>257</v>
      </c>
      <c r="I39" s="82">
        <f t="shared" si="2"/>
        <v>514</v>
      </c>
      <c r="K39" s="19">
        <v>557</v>
      </c>
      <c r="L39" s="10"/>
      <c r="M39" s="10"/>
    </row>
    <row r="40" spans="1:13" x14ac:dyDescent="0.25">
      <c r="A40" s="10">
        <f>A39+1</f>
        <v>31</v>
      </c>
      <c r="B40" s="16" t="s">
        <v>740</v>
      </c>
      <c r="C40" s="11">
        <v>10</v>
      </c>
      <c r="D40" s="14"/>
      <c r="E40" s="14"/>
      <c r="F40" s="14"/>
      <c r="G40" s="14">
        <v>0.5</v>
      </c>
      <c r="H40" s="14">
        <f t="shared" si="1"/>
        <v>0.5</v>
      </c>
      <c r="I40" s="82">
        <f t="shared" si="2"/>
        <v>1</v>
      </c>
      <c r="K40" s="19">
        <v>10</v>
      </c>
      <c r="L40" s="10"/>
      <c r="M40" s="10"/>
    </row>
    <row r="41" spans="1:13" x14ac:dyDescent="0.25">
      <c r="A41" s="10">
        <f>A40+1</f>
        <v>32</v>
      </c>
      <c r="B41" s="16" t="s">
        <v>31</v>
      </c>
      <c r="C41" s="11">
        <v>50</v>
      </c>
      <c r="D41" s="14">
        <v>625</v>
      </c>
      <c r="E41" s="14">
        <v>6</v>
      </c>
      <c r="F41" s="14">
        <v>2</v>
      </c>
      <c r="G41" s="14"/>
      <c r="H41" s="14">
        <f t="shared" si="1"/>
        <v>633</v>
      </c>
      <c r="I41" s="82">
        <f t="shared" si="2"/>
        <v>1266</v>
      </c>
      <c r="K41" s="19">
        <v>1300</v>
      </c>
      <c r="L41" s="10"/>
      <c r="M41" s="10"/>
    </row>
    <row r="42" spans="1:13" x14ac:dyDescent="0.25">
      <c r="B42" s="16"/>
      <c r="C42" s="11"/>
      <c r="D42" s="14"/>
      <c r="E42" s="14"/>
      <c r="F42" s="14"/>
      <c r="G42" s="14"/>
      <c r="H42" s="14"/>
      <c r="I42" s="82"/>
      <c r="K42" s="19"/>
      <c r="L42" s="10"/>
      <c r="M42" s="10"/>
    </row>
    <row r="43" spans="1:13" x14ac:dyDescent="0.25">
      <c r="B43" s="16"/>
      <c r="C43" s="11"/>
      <c r="D43" s="14"/>
      <c r="E43" s="14"/>
      <c r="F43" s="14"/>
      <c r="G43" s="14"/>
      <c r="H43" s="14"/>
      <c r="I43" s="82"/>
      <c r="K43" s="19"/>
      <c r="L43" s="10"/>
      <c r="M43" s="10"/>
    </row>
    <row r="44" spans="1:13" ht="23.25" x14ac:dyDescent="0.25">
      <c r="A44" s="12" t="s">
        <v>32</v>
      </c>
      <c r="B44" s="13" t="s">
        <v>33</v>
      </c>
      <c r="C44" s="11"/>
      <c r="D44" s="14"/>
      <c r="E44" s="14"/>
      <c r="F44" s="14"/>
      <c r="G44" s="14"/>
      <c r="H44" s="14"/>
      <c r="I44" s="82"/>
      <c r="K44" s="19"/>
      <c r="L44" s="10"/>
      <c r="M44" s="10"/>
    </row>
    <row r="45" spans="1:13" ht="21" x14ac:dyDescent="0.25">
      <c r="B45" s="17" t="s">
        <v>34</v>
      </c>
      <c r="C45" s="11"/>
      <c r="D45" s="14"/>
      <c r="E45" s="14"/>
      <c r="F45" s="14"/>
      <c r="G45" s="14"/>
      <c r="H45" s="14"/>
      <c r="I45" s="82"/>
      <c r="K45" s="19"/>
      <c r="L45" s="10"/>
      <c r="M45" s="10"/>
    </row>
    <row r="46" spans="1:13" x14ac:dyDescent="0.25">
      <c r="A46" s="10">
        <f>A41+1</f>
        <v>33</v>
      </c>
      <c r="B46" s="16" t="s">
        <v>35</v>
      </c>
      <c r="C46" s="11">
        <v>100</v>
      </c>
      <c r="D46" s="14">
        <v>81</v>
      </c>
      <c r="E46" s="14">
        <v>36</v>
      </c>
      <c r="F46" s="14">
        <v>6</v>
      </c>
      <c r="G46" s="14"/>
      <c r="H46" s="14">
        <f t="shared" ref="H46:H55" si="4">SUM(D46:G46)</f>
        <v>123</v>
      </c>
      <c r="I46" s="82">
        <f t="shared" ref="I46:I55" si="5">H46*2</f>
        <v>246</v>
      </c>
      <c r="K46" s="19">
        <v>141</v>
      </c>
      <c r="L46" s="10"/>
      <c r="M46" s="10"/>
    </row>
    <row r="47" spans="1:13" x14ac:dyDescent="0.25">
      <c r="A47" s="10">
        <f t="shared" ref="A47:A106" si="6">A46+1</f>
        <v>34</v>
      </c>
      <c r="B47" s="16" t="s">
        <v>425</v>
      </c>
      <c r="C47" s="11">
        <v>30</v>
      </c>
      <c r="D47" s="14">
        <v>23</v>
      </c>
      <c r="E47" s="14"/>
      <c r="F47" s="14"/>
      <c r="G47" s="14"/>
      <c r="H47" s="14">
        <f t="shared" si="4"/>
        <v>23</v>
      </c>
      <c r="I47" s="82">
        <f t="shared" si="5"/>
        <v>46</v>
      </c>
      <c r="K47" s="19">
        <v>20</v>
      </c>
      <c r="L47" s="10"/>
      <c r="M47" s="10"/>
    </row>
    <row r="48" spans="1:13" x14ac:dyDescent="0.25">
      <c r="A48" s="10">
        <f t="shared" si="6"/>
        <v>35</v>
      </c>
      <c r="B48" s="16" t="s">
        <v>36</v>
      </c>
      <c r="C48" s="11">
        <v>30</v>
      </c>
      <c r="D48" s="14">
        <v>12</v>
      </c>
      <c r="E48" s="14"/>
      <c r="F48" s="14"/>
      <c r="G48" s="14"/>
      <c r="H48" s="14">
        <f t="shared" si="4"/>
        <v>12</v>
      </c>
      <c r="I48" s="82">
        <f t="shared" si="5"/>
        <v>24</v>
      </c>
      <c r="K48" s="19">
        <v>100</v>
      </c>
      <c r="L48" s="10"/>
      <c r="M48" s="10"/>
    </row>
    <row r="49" spans="1:13" x14ac:dyDescent="0.25">
      <c r="A49" s="18">
        <f t="shared" si="6"/>
        <v>36</v>
      </c>
      <c r="B49" s="16" t="s">
        <v>37</v>
      </c>
      <c r="C49" s="11">
        <v>28</v>
      </c>
      <c r="D49" s="14">
        <v>60</v>
      </c>
      <c r="E49" s="14"/>
      <c r="F49" s="14"/>
      <c r="G49" s="14"/>
      <c r="H49" s="14">
        <f t="shared" si="4"/>
        <v>60</v>
      </c>
      <c r="I49" s="82">
        <f t="shared" si="5"/>
        <v>120</v>
      </c>
      <c r="K49" s="19">
        <v>1600</v>
      </c>
      <c r="L49" s="10"/>
      <c r="M49" s="10"/>
    </row>
    <row r="50" spans="1:13" x14ac:dyDescent="0.25">
      <c r="A50" s="10">
        <f t="shared" si="6"/>
        <v>37</v>
      </c>
      <c r="B50" s="16" t="s">
        <v>38</v>
      </c>
      <c r="C50" s="11">
        <v>30</v>
      </c>
      <c r="D50" s="14">
        <v>12</v>
      </c>
      <c r="E50" s="14"/>
      <c r="F50" s="14"/>
      <c r="G50" s="14"/>
      <c r="H50" s="14">
        <f t="shared" si="4"/>
        <v>12</v>
      </c>
      <c r="I50" s="82">
        <f t="shared" si="5"/>
        <v>24</v>
      </c>
      <c r="K50" s="19">
        <v>80</v>
      </c>
      <c r="L50" s="10"/>
      <c r="M50" s="10"/>
    </row>
    <row r="51" spans="1:13" x14ac:dyDescent="0.25">
      <c r="A51" s="18">
        <f t="shared" si="6"/>
        <v>38</v>
      </c>
      <c r="B51" s="16" t="s">
        <v>39</v>
      </c>
      <c r="C51" s="11">
        <v>28</v>
      </c>
      <c r="D51" s="14">
        <v>250</v>
      </c>
      <c r="E51" s="14">
        <v>60</v>
      </c>
      <c r="F51" s="14">
        <v>12</v>
      </c>
      <c r="G51" s="14"/>
      <c r="H51" s="14">
        <f t="shared" si="4"/>
        <v>322</v>
      </c>
      <c r="I51" s="82">
        <f t="shared" si="5"/>
        <v>644</v>
      </c>
      <c r="K51" s="19">
        <v>1000</v>
      </c>
      <c r="L51" s="10"/>
      <c r="M51" s="10"/>
    </row>
    <row r="52" spans="1:13" x14ac:dyDescent="0.25">
      <c r="A52" s="18">
        <f t="shared" si="6"/>
        <v>39</v>
      </c>
      <c r="B52" s="16" t="s">
        <v>40</v>
      </c>
      <c r="C52" s="11">
        <v>100</v>
      </c>
      <c r="D52" s="14">
        <v>284</v>
      </c>
      <c r="E52" s="14">
        <v>48</v>
      </c>
      <c r="F52" s="14">
        <v>20</v>
      </c>
      <c r="G52" s="14"/>
      <c r="H52" s="14">
        <f t="shared" si="4"/>
        <v>352</v>
      </c>
      <c r="I52" s="82">
        <f t="shared" si="5"/>
        <v>704</v>
      </c>
      <c r="K52" s="19">
        <v>800</v>
      </c>
      <c r="L52" s="10"/>
    </row>
    <row r="53" spans="1:13" x14ac:dyDescent="0.25">
      <c r="A53" s="18">
        <f t="shared" si="6"/>
        <v>40</v>
      </c>
      <c r="B53" s="16" t="s">
        <v>41</v>
      </c>
      <c r="C53" s="11">
        <v>28</v>
      </c>
      <c r="D53" s="14">
        <v>150</v>
      </c>
      <c r="E53" s="14"/>
      <c r="F53" s="14">
        <v>12</v>
      </c>
      <c r="G53" s="14"/>
      <c r="H53" s="14">
        <f t="shared" si="4"/>
        <v>162</v>
      </c>
      <c r="I53" s="82">
        <f t="shared" si="5"/>
        <v>324</v>
      </c>
      <c r="K53" s="19">
        <v>360</v>
      </c>
      <c r="L53" s="10"/>
      <c r="M53" s="10"/>
    </row>
    <row r="54" spans="1:13" x14ac:dyDescent="0.25">
      <c r="A54" s="18">
        <f t="shared" si="6"/>
        <v>41</v>
      </c>
      <c r="B54" s="16" t="s">
        <v>42</v>
      </c>
      <c r="C54" s="11">
        <v>30</v>
      </c>
      <c r="D54" s="14">
        <v>225</v>
      </c>
      <c r="E54" s="14"/>
      <c r="F54" s="14">
        <v>120</v>
      </c>
      <c r="G54" s="14"/>
      <c r="H54" s="14">
        <f t="shared" si="4"/>
        <v>345</v>
      </c>
      <c r="I54" s="82">
        <f t="shared" si="5"/>
        <v>690</v>
      </c>
      <c r="K54" s="19">
        <v>800</v>
      </c>
      <c r="L54" s="10"/>
      <c r="M54" s="10"/>
    </row>
    <row r="55" spans="1:13" x14ac:dyDescent="0.25">
      <c r="A55" s="18">
        <f t="shared" si="6"/>
        <v>42</v>
      </c>
      <c r="B55" s="16" t="s">
        <v>43</v>
      </c>
      <c r="C55" s="11">
        <v>30</v>
      </c>
      <c r="D55" s="14">
        <v>75</v>
      </c>
      <c r="E55" s="14"/>
      <c r="F55" s="14">
        <v>60</v>
      </c>
      <c r="G55" s="14"/>
      <c r="H55" s="14">
        <f t="shared" si="4"/>
        <v>135</v>
      </c>
      <c r="I55" s="82">
        <f t="shared" si="5"/>
        <v>270</v>
      </c>
      <c r="K55" s="19">
        <v>300</v>
      </c>
      <c r="L55" s="10"/>
      <c r="M55" s="10"/>
    </row>
    <row r="56" spans="1:13" x14ac:dyDescent="0.25">
      <c r="A56" s="18">
        <f t="shared" si="6"/>
        <v>43</v>
      </c>
      <c r="B56" s="16" t="s">
        <v>730</v>
      </c>
      <c r="C56" s="11">
        <v>30</v>
      </c>
      <c r="D56" s="14"/>
      <c r="E56" s="14"/>
      <c r="F56" s="14"/>
      <c r="G56" s="14"/>
      <c r="H56" s="14"/>
      <c r="I56" s="82"/>
      <c r="K56" s="19">
        <v>100</v>
      </c>
      <c r="L56" s="10"/>
      <c r="M56" s="10"/>
    </row>
    <row r="57" spans="1:13" x14ac:dyDescent="0.25">
      <c r="A57" s="18">
        <f t="shared" si="6"/>
        <v>44</v>
      </c>
      <c r="B57" s="16" t="s">
        <v>44</v>
      </c>
      <c r="C57" s="11">
        <v>30</v>
      </c>
      <c r="D57" s="14"/>
      <c r="E57" s="14">
        <v>30</v>
      </c>
      <c r="F57" s="14"/>
      <c r="G57" s="14"/>
      <c r="H57" s="14">
        <f t="shared" ref="H57:H70" si="7">SUM(D57:G57)</f>
        <v>30</v>
      </c>
      <c r="I57" s="82">
        <f t="shared" ref="I57:I70" si="8">H57*2</f>
        <v>60</v>
      </c>
      <c r="K57" s="19">
        <v>100</v>
      </c>
      <c r="L57" s="10"/>
      <c r="M57" s="10"/>
    </row>
    <row r="58" spans="1:13" x14ac:dyDescent="0.25">
      <c r="A58" s="18">
        <f t="shared" si="6"/>
        <v>45</v>
      </c>
      <c r="B58" s="16" t="s">
        <v>426</v>
      </c>
      <c r="C58" s="11">
        <v>30</v>
      </c>
      <c r="D58" s="14">
        <v>23</v>
      </c>
      <c r="E58" s="14"/>
      <c r="F58" s="14"/>
      <c r="G58" s="14"/>
      <c r="H58" s="14">
        <f t="shared" si="7"/>
        <v>23</v>
      </c>
      <c r="I58" s="82">
        <f t="shared" si="8"/>
        <v>46</v>
      </c>
      <c r="K58" s="19">
        <v>50</v>
      </c>
      <c r="L58" s="10"/>
      <c r="M58" s="10"/>
    </row>
    <row r="59" spans="1:13" x14ac:dyDescent="0.25">
      <c r="A59" s="18">
        <f t="shared" si="6"/>
        <v>46</v>
      </c>
      <c r="B59" s="16" t="s">
        <v>427</v>
      </c>
      <c r="C59" s="11">
        <v>30</v>
      </c>
      <c r="D59" s="14">
        <v>23</v>
      </c>
      <c r="E59" s="14"/>
      <c r="F59" s="14"/>
      <c r="G59" s="14"/>
      <c r="H59" s="14">
        <f t="shared" si="7"/>
        <v>23</v>
      </c>
      <c r="I59" s="82">
        <f t="shared" si="8"/>
        <v>46</v>
      </c>
      <c r="K59" s="19">
        <v>50</v>
      </c>
      <c r="L59" s="10"/>
      <c r="M59" s="10"/>
    </row>
    <row r="60" spans="1:13" x14ac:dyDescent="0.25">
      <c r="A60" s="18">
        <f t="shared" si="6"/>
        <v>47</v>
      </c>
      <c r="B60" s="16" t="s">
        <v>45</v>
      </c>
      <c r="C60" s="11">
        <v>28</v>
      </c>
      <c r="D60" s="14">
        <v>30</v>
      </c>
      <c r="E60" s="14"/>
      <c r="F60" s="14"/>
      <c r="G60" s="14"/>
      <c r="H60" s="14">
        <f t="shared" si="7"/>
        <v>30</v>
      </c>
      <c r="I60" s="82">
        <f t="shared" si="8"/>
        <v>60</v>
      </c>
      <c r="K60" s="19">
        <v>65</v>
      </c>
      <c r="L60" s="10"/>
      <c r="M60" s="10"/>
    </row>
    <row r="61" spans="1:13" x14ac:dyDescent="0.25">
      <c r="A61" s="18">
        <f t="shared" si="6"/>
        <v>48</v>
      </c>
      <c r="B61" s="16" t="s">
        <v>46</v>
      </c>
      <c r="C61" s="11">
        <v>28</v>
      </c>
      <c r="D61" s="14">
        <v>188</v>
      </c>
      <c r="E61" s="14"/>
      <c r="F61" s="14"/>
      <c r="G61" s="14"/>
      <c r="H61" s="14">
        <f t="shared" si="7"/>
        <v>188</v>
      </c>
      <c r="I61" s="82">
        <f t="shared" si="8"/>
        <v>376</v>
      </c>
      <c r="K61" s="19">
        <v>600</v>
      </c>
      <c r="L61" s="10"/>
      <c r="M61" s="10"/>
    </row>
    <row r="62" spans="1:13" x14ac:dyDescent="0.25">
      <c r="A62" s="18">
        <f t="shared" si="6"/>
        <v>49</v>
      </c>
      <c r="B62" s="16" t="s">
        <v>47</v>
      </c>
      <c r="C62" s="11">
        <v>30</v>
      </c>
      <c r="D62" s="14">
        <v>974</v>
      </c>
      <c r="E62" s="14"/>
      <c r="F62" s="14">
        <v>180</v>
      </c>
      <c r="G62" s="14"/>
      <c r="H62" s="14">
        <f t="shared" si="7"/>
        <v>1154</v>
      </c>
      <c r="I62" s="82">
        <f t="shared" si="8"/>
        <v>2308</v>
      </c>
      <c r="K62" s="19">
        <v>5000</v>
      </c>
      <c r="L62" s="10"/>
      <c r="M62" s="10"/>
    </row>
    <row r="63" spans="1:13" x14ac:dyDescent="0.25">
      <c r="A63" s="18">
        <f t="shared" si="6"/>
        <v>50</v>
      </c>
      <c r="B63" s="16" t="s">
        <v>48</v>
      </c>
      <c r="C63" s="11">
        <v>500</v>
      </c>
      <c r="D63" s="14">
        <v>1</v>
      </c>
      <c r="E63" s="14"/>
      <c r="F63" s="14"/>
      <c r="G63" s="14"/>
      <c r="H63" s="14">
        <f t="shared" si="7"/>
        <v>1</v>
      </c>
      <c r="I63" s="82">
        <f t="shared" si="8"/>
        <v>2</v>
      </c>
      <c r="K63" s="19">
        <v>8</v>
      </c>
      <c r="L63" s="10"/>
      <c r="M63" s="10"/>
    </row>
    <row r="64" spans="1:13" x14ac:dyDescent="0.25">
      <c r="A64" s="18">
        <f t="shared" si="6"/>
        <v>51</v>
      </c>
      <c r="B64" s="16" t="s">
        <v>49</v>
      </c>
      <c r="C64" s="11">
        <v>10</v>
      </c>
      <c r="D64" s="14">
        <v>2</v>
      </c>
      <c r="E64" s="14"/>
      <c r="F64" s="14"/>
      <c r="G64" s="14"/>
      <c r="H64" s="14">
        <f t="shared" si="7"/>
        <v>2</v>
      </c>
      <c r="I64" s="82">
        <f t="shared" si="8"/>
        <v>4</v>
      </c>
      <c r="K64" s="19">
        <v>10</v>
      </c>
      <c r="L64" s="10"/>
      <c r="M64" s="10"/>
    </row>
    <row r="65" spans="1:14" x14ac:dyDescent="0.25">
      <c r="A65" s="18">
        <f t="shared" si="6"/>
        <v>52</v>
      </c>
      <c r="B65" s="16" t="s">
        <v>50</v>
      </c>
      <c r="C65" s="11">
        <v>100</v>
      </c>
      <c r="D65" s="14">
        <v>115</v>
      </c>
      <c r="E65" s="14"/>
      <c r="F65" s="14">
        <v>2</v>
      </c>
      <c r="G65" s="14">
        <v>1</v>
      </c>
      <c r="H65" s="14">
        <f t="shared" si="7"/>
        <v>118</v>
      </c>
      <c r="I65" s="82">
        <f t="shared" si="8"/>
        <v>236</v>
      </c>
      <c r="K65" s="19">
        <v>200</v>
      </c>
      <c r="L65" s="10"/>
      <c r="M65" s="10"/>
    </row>
    <row r="66" spans="1:14" x14ac:dyDescent="0.25">
      <c r="A66" s="18">
        <f t="shared" si="6"/>
        <v>53</v>
      </c>
      <c r="B66" s="16" t="s">
        <v>51</v>
      </c>
      <c r="C66" s="11">
        <v>100</v>
      </c>
      <c r="D66" s="14">
        <v>84</v>
      </c>
      <c r="E66" s="14"/>
      <c r="F66" s="14">
        <v>1</v>
      </c>
      <c r="G66" s="14"/>
      <c r="H66" s="14">
        <f t="shared" si="7"/>
        <v>85</v>
      </c>
      <c r="I66" s="82">
        <f t="shared" si="8"/>
        <v>170</v>
      </c>
      <c r="K66" s="19">
        <v>184</v>
      </c>
      <c r="L66" s="10"/>
      <c r="M66" s="10"/>
    </row>
    <row r="67" spans="1:14" x14ac:dyDescent="0.25">
      <c r="A67" s="18">
        <f t="shared" si="6"/>
        <v>54</v>
      </c>
      <c r="B67" s="16" t="s">
        <v>52</v>
      </c>
      <c r="C67" s="11">
        <v>100</v>
      </c>
      <c r="D67" s="14">
        <v>1</v>
      </c>
      <c r="E67" s="14"/>
      <c r="F67" s="14"/>
      <c r="G67" s="14"/>
      <c r="H67" s="14">
        <f t="shared" si="7"/>
        <v>1</v>
      </c>
      <c r="I67" s="82">
        <f t="shared" si="8"/>
        <v>2</v>
      </c>
      <c r="K67" s="19">
        <v>2</v>
      </c>
      <c r="L67" s="10"/>
      <c r="M67" s="10"/>
    </row>
    <row r="68" spans="1:14" x14ac:dyDescent="0.25">
      <c r="A68" s="18">
        <f t="shared" si="6"/>
        <v>55</v>
      </c>
      <c r="B68" s="16" t="s">
        <v>53</v>
      </c>
      <c r="C68" s="11">
        <v>100</v>
      </c>
      <c r="D68" s="14">
        <v>2</v>
      </c>
      <c r="E68" s="14"/>
      <c r="F68" s="14"/>
      <c r="G68" s="14"/>
      <c r="H68" s="14">
        <f t="shared" si="7"/>
        <v>2</v>
      </c>
      <c r="I68" s="82">
        <f t="shared" si="8"/>
        <v>4</v>
      </c>
      <c r="K68" s="19">
        <v>4</v>
      </c>
      <c r="L68" s="10"/>
      <c r="M68" s="10"/>
    </row>
    <row r="69" spans="1:14" x14ac:dyDescent="0.25">
      <c r="A69" s="18">
        <f t="shared" si="6"/>
        <v>56</v>
      </c>
      <c r="B69" s="16" t="s">
        <v>54</v>
      </c>
      <c r="C69" s="11">
        <v>30</v>
      </c>
      <c r="D69" s="14">
        <v>214</v>
      </c>
      <c r="E69" s="14"/>
      <c r="F69" s="14">
        <v>20</v>
      </c>
      <c r="G69" s="14"/>
      <c r="H69" s="14">
        <f t="shared" si="7"/>
        <v>234</v>
      </c>
      <c r="I69" s="82">
        <f t="shared" si="8"/>
        <v>468</v>
      </c>
      <c r="K69" s="19">
        <v>2000</v>
      </c>
      <c r="L69" s="10"/>
      <c r="M69" s="10"/>
    </row>
    <row r="70" spans="1:14" x14ac:dyDescent="0.25">
      <c r="A70" s="18">
        <f t="shared" si="6"/>
        <v>57</v>
      </c>
      <c r="B70" s="16" t="s">
        <v>55</v>
      </c>
      <c r="C70" s="11">
        <v>30</v>
      </c>
      <c r="D70" s="14">
        <v>70</v>
      </c>
      <c r="E70" s="14"/>
      <c r="F70" s="14"/>
      <c r="G70" s="14"/>
      <c r="H70" s="14">
        <f t="shared" si="7"/>
        <v>70</v>
      </c>
      <c r="I70" s="82">
        <f t="shared" si="8"/>
        <v>140</v>
      </c>
      <c r="K70" s="19">
        <v>1500</v>
      </c>
      <c r="L70" s="10"/>
      <c r="M70" s="10"/>
    </row>
    <row r="71" spans="1:14" x14ac:dyDescent="0.25">
      <c r="A71" s="18">
        <f t="shared" si="6"/>
        <v>58</v>
      </c>
      <c r="B71" s="16" t="s">
        <v>703</v>
      </c>
      <c r="C71" s="11">
        <v>30</v>
      </c>
      <c r="D71" s="14"/>
      <c r="E71" s="14"/>
      <c r="F71" s="14"/>
      <c r="G71" s="14"/>
      <c r="H71" s="14"/>
      <c r="I71" s="82"/>
      <c r="K71" s="19">
        <v>2500</v>
      </c>
      <c r="L71" s="10"/>
      <c r="M71" s="10"/>
      <c r="N71" s="10">
        <f>2500/4</f>
        <v>625</v>
      </c>
    </row>
    <row r="72" spans="1:14" x14ac:dyDescent="0.25">
      <c r="A72" s="18">
        <f t="shared" si="6"/>
        <v>59</v>
      </c>
      <c r="B72" s="16" t="s">
        <v>702</v>
      </c>
      <c r="C72" s="11">
        <v>30</v>
      </c>
      <c r="D72" s="14"/>
      <c r="E72" s="14"/>
      <c r="F72" s="14"/>
      <c r="G72" s="14"/>
      <c r="H72" s="14"/>
      <c r="I72" s="82"/>
      <c r="K72" s="19">
        <v>1000</v>
      </c>
      <c r="L72" s="10"/>
      <c r="M72" s="10"/>
      <c r="N72" s="10">
        <f>1000/4</f>
        <v>250</v>
      </c>
    </row>
    <row r="73" spans="1:14" x14ac:dyDescent="0.25">
      <c r="A73" s="18">
        <f t="shared" si="6"/>
        <v>60</v>
      </c>
      <c r="B73" s="16" t="s">
        <v>428</v>
      </c>
      <c r="C73" s="11">
        <v>30</v>
      </c>
      <c r="D73" s="14">
        <v>23</v>
      </c>
      <c r="E73" s="14"/>
      <c r="F73" s="14"/>
      <c r="G73" s="14"/>
      <c r="H73" s="14">
        <f>SUM(D73:G73)</f>
        <v>23</v>
      </c>
      <c r="I73" s="82">
        <f>H73*2</f>
        <v>46</v>
      </c>
      <c r="K73" s="19">
        <v>50</v>
      </c>
      <c r="L73" s="10"/>
      <c r="M73" s="10"/>
    </row>
    <row r="74" spans="1:14" x14ac:dyDescent="0.25">
      <c r="A74" s="18">
        <f t="shared" si="6"/>
        <v>61</v>
      </c>
      <c r="B74" s="16" t="s">
        <v>429</v>
      </c>
      <c r="C74" s="11">
        <v>30</v>
      </c>
      <c r="D74" s="14">
        <v>23</v>
      </c>
      <c r="E74" s="14"/>
      <c r="F74" s="14"/>
      <c r="G74" s="14"/>
      <c r="H74" s="14">
        <f>SUM(D74:G74)</f>
        <v>23</v>
      </c>
      <c r="I74" s="82">
        <f>H74*2</f>
        <v>46</v>
      </c>
      <c r="K74" s="19">
        <v>50</v>
      </c>
      <c r="L74" s="10"/>
      <c r="M74" s="10"/>
    </row>
    <row r="75" spans="1:14" x14ac:dyDescent="0.25">
      <c r="A75" s="18">
        <f t="shared" si="6"/>
        <v>62</v>
      </c>
      <c r="B75" s="16" t="s">
        <v>697</v>
      </c>
      <c r="C75" s="11">
        <v>30</v>
      </c>
      <c r="D75" s="14"/>
      <c r="E75" s="14"/>
      <c r="F75" s="14"/>
      <c r="G75" s="14"/>
      <c r="H75" s="14"/>
      <c r="I75" s="82"/>
      <c r="K75" s="19">
        <v>21</v>
      </c>
      <c r="L75" s="10"/>
      <c r="M75" s="10"/>
    </row>
    <row r="76" spans="1:14" x14ac:dyDescent="0.25">
      <c r="A76" s="18">
        <f t="shared" si="6"/>
        <v>63</v>
      </c>
      <c r="B76" s="16" t="s">
        <v>430</v>
      </c>
      <c r="C76" s="11">
        <v>30</v>
      </c>
      <c r="D76" s="14">
        <v>23</v>
      </c>
      <c r="E76" s="14"/>
      <c r="F76" s="14"/>
      <c r="G76" s="14"/>
      <c r="H76" s="14">
        <f t="shared" ref="H76:H89" si="9">SUM(D76:G76)</f>
        <v>23</v>
      </c>
      <c r="I76" s="82">
        <f t="shared" ref="I76:I89" si="10">H76*2</f>
        <v>46</v>
      </c>
      <c r="K76" s="19">
        <v>50</v>
      </c>
      <c r="L76" s="10"/>
      <c r="M76" s="10"/>
    </row>
    <row r="77" spans="1:14" x14ac:dyDescent="0.25">
      <c r="A77" s="18">
        <f t="shared" si="6"/>
        <v>64</v>
      </c>
      <c r="B77" s="16" t="s">
        <v>56</v>
      </c>
      <c r="C77" s="11" t="s">
        <v>455</v>
      </c>
      <c r="D77" s="14">
        <v>20</v>
      </c>
      <c r="E77" s="14"/>
      <c r="F77" s="14"/>
      <c r="G77" s="14"/>
      <c r="H77" s="14">
        <f t="shared" si="9"/>
        <v>20</v>
      </c>
      <c r="I77" s="82">
        <f t="shared" si="10"/>
        <v>40</v>
      </c>
      <c r="K77" s="19">
        <v>65</v>
      </c>
      <c r="L77" s="10"/>
      <c r="M77" s="10"/>
    </row>
    <row r="78" spans="1:14" x14ac:dyDescent="0.25">
      <c r="A78" s="18">
        <f t="shared" si="6"/>
        <v>65</v>
      </c>
      <c r="B78" s="16" t="s">
        <v>58</v>
      </c>
      <c r="C78" s="11">
        <v>28</v>
      </c>
      <c r="D78" s="14">
        <v>165</v>
      </c>
      <c r="E78" s="14">
        <v>54</v>
      </c>
      <c r="F78" s="14">
        <v>60</v>
      </c>
      <c r="G78" s="14"/>
      <c r="H78" s="14">
        <f t="shared" si="9"/>
        <v>279</v>
      </c>
      <c r="I78" s="82">
        <f t="shared" si="10"/>
        <v>558</v>
      </c>
      <c r="K78" s="19">
        <v>720</v>
      </c>
      <c r="L78" s="10"/>
      <c r="M78" s="10"/>
    </row>
    <row r="79" spans="1:14" x14ac:dyDescent="0.25">
      <c r="A79" s="18">
        <f t="shared" si="6"/>
        <v>66</v>
      </c>
      <c r="B79" s="16" t="s">
        <v>59</v>
      </c>
      <c r="C79" s="11">
        <v>28</v>
      </c>
      <c r="D79" s="14">
        <v>180</v>
      </c>
      <c r="E79" s="14">
        <v>54</v>
      </c>
      <c r="F79" s="14">
        <v>30</v>
      </c>
      <c r="G79" s="14"/>
      <c r="H79" s="14">
        <f t="shared" si="9"/>
        <v>264</v>
      </c>
      <c r="I79" s="82">
        <f t="shared" si="10"/>
        <v>528</v>
      </c>
      <c r="K79" s="19">
        <v>600</v>
      </c>
      <c r="L79" s="10"/>
      <c r="M79" s="10"/>
    </row>
    <row r="80" spans="1:14" x14ac:dyDescent="0.25">
      <c r="A80" s="18">
        <f t="shared" si="6"/>
        <v>67</v>
      </c>
      <c r="B80" s="16" t="s">
        <v>60</v>
      </c>
      <c r="C80" s="11">
        <v>30</v>
      </c>
      <c r="D80" s="14">
        <v>205</v>
      </c>
      <c r="E80" s="14"/>
      <c r="F80" s="14"/>
      <c r="G80" s="14"/>
      <c r="H80" s="14">
        <f t="shared" si="9"/>
        <v>205</v>
      </c>
      <c r="I80" s="82">
        <f t="shared" si="10"/>
        <v>410</v>
      </c>
      <c r="K80" s="19">
        <v>444</v>
      </c>
      <c r="L80" s="10"/>
      <c r="M80" s="10"/>
    </row>
    <row r="81" spans="1:13" x14ac:dyDescent="0.25">
      <c r="A81" s="18">
        <f t="shared" si="6"/>
        <v>68</v>
      </c>
      <c r="B81" s="16" t="s">
        <v>61</v>
      </c>
      <c r="C81" s="11">
        <v>30</v>
      </c>
      <c r="D81" s="14">
        <v>227</v>
      </c>
      <c r="E81" s="14"/>
      <c r="F81" s="14"/>
      <c r="G81" s="14"/>
      <c r="H81" s="14">
        <f t="shared" si="9"/>
        <v>227</v>
      </c>
      <c r="I81" s="82">
        <f t="shared" si="10"/>
        <v>454</v>
      </c>
      <c r="K81" s="19">
        <v>800</v>
      </c>
      <c r="L81" s="10"/>
      <c r="M81" s="10"/>
    </row>
    <row r="82" spans="1:13" x14ac:dyDescent="0.25">
      <c r="A82" s="18">
        <f t="shared" si="6"/>
        <v>69</v>
      </c>
      <c r="B82" s="16" t="s">
        <v>62</v>
      </c>
      <c r="C82" s="11">
        <v>30</v>
      </c>
      <c r="D82" s="14">
        <v>195</v>
      </c>
      <c r="E82" s="14"/>
      <c r="F82" s="14"/>
      <c r="G82" s="14"/>
      <c r="H82" s="14">
        <f t="shared" si="9"/>
        <v>195</v>
      </c>
      <c r="I82" s="82">
        <f t="shared" si="10"/>
        <v>390</v>
      </c>
      <c r="K82" s="19">
        <v>60</v>
      </c>
      <c r="L82" s="10"/>
      <c r="M82" s="10"/>
    </row>
    <row r="83" spans="1:13" x14ac:dyDescent="0.25">
      <c r="A83" s="18">
        <f t="shared" si="6"/>
        <v>70</v>
      </c>
      <c r="B83" s="16" t="s">
        <v>63</v>
      </c>
      <c r="C83" s="11">
        <v>100</v>
      </c>
      <c r="D83" s="14">
        <v>100</v>
      </c>
      <c r="E83" s="14">
        <v>18</v>
      </c>
      <c r="F83" s="14">
        <v>10</v>
      </c>
      <c r="G83" s="14"/>
      <c r="H83" s="14">
        <f t="shared" si="9"/>
        <v>128</v>
      </c>
      <c r="I83" s="82">
        <f t="shared" si="10"/>
        <v>256</v>
      </c>
      <c r="K83" s="19">
        <v>400</v>
      </c>
      <c r="L83" s="10"/>
      <c r="M83" s="10"/>
    </row>
    <row r="84" spans="1:13" x14ac:dyDescent="0.25">
      <c r="A84" s="18">
        <f t="shared" si="6"/>
        <v>71</v>
      </c>
      <c r="B84" s="16" t="s">
        <v>741</v>
      </c>
      <c r="C84" s="11">
        <v>30</v>
      </c>
      <c r="D84" s="14"/>
      <c r="E84" s="14"/>
      <c r="F84" s="14"/>
      <c r="G84" s="14"/>
      <c r="H84" s="14"/>
      <c r="I84" s="82"/>
      <c r="K84" s="19">
        <v>50</v>
      </c>
      <c r="L84" s="10"/>
      <c r="M84" s="10"/>
    </row>
    <row r="85" spans="1:13" x14ac:dyDescent="0.25">
      <c r="A85" s="18">
        <f t="shared" si="6"/>
        <v>72</v>
      </c>
      <c r="B85" s="16" t="s">
        <v>669</v>
      </c>
      <c r="C85" s="11">
        <v>30</v>
      </c>
      <c r="D85" s="14">
        <v>23</v>
      </c>
      <c r="E85" s="14"/>
      <c r="F85" s="14"/>
      <c r="G85" s="14"/>
      <c r="H85" s="14">
        <f t="shared" si="9"/>
        <v>23</v>
      </c>
      <c r="I85" s="82">
        <f t="shared" si="10"/>
        <v>46</v>
      </c>
      <c r="K85" s="19">
        <v>50</v>
      </c>
      <c r="L85" s="10"/>
      <c r="M85" s="10"/>
    </row>
    <row r="86" spans="1:13" x14ac:dyDescent="0.25">
      <c r="A86" s="18">
        <f t="shared" si="6"/>
        <v>73</v>
      </c>
      <c r="B86" s="16" t="s">
        <v>64</v>
      </c>
      <c r="C86" s="11">
        <v>100</v>
      </c>
      <c r="D86" s="14">
        <v>20</v>
      </c>
      <c r="E86" s="14">
        <v>30</v>
      </c>
      <c r="F86" s="14">
        <v>12</v>
      </c>
      <c r="G86" s="14"/>
      <c r="H86" s="14">
        <f t="shared" si="9"/>
        <v>62</v>
      </c>
      <c r="I86" s="82">
        <f t="shared" si="10"/>
        <v>124</v>
      </c>
      <c r="K86" s="19">
        <v>120</v>
      </c>
      <c r="L86" s="10"/>
      <c r="M86" s="10"/>
    </row>
    <row r="87" spans="1:13" x14ac:dyDescent="0.25">
      <c r="A87" s="18">
        <f t="shared" si="6"/>
        <v>74</v>
      </c>
      <c r="B87" s="16" t="s">
        <v>65</v>
      </c>
      <c r="C87" s="11">
        <v>30</v>
      </c>
      <c r="D87" s="14">
        <v>520</v>
      </c>
      <c r="E87" s="14">
        <v>90</v>
      </c>
      <c r="F87" s="14">
        <v>120</v>
      </c>
      <c r="G87" s="14"/>
      <c r="H87" s="14">
        <f t="shared" si="9"/>
        <v>730</v>
      </c>
      <c r="I87" s="82">
        <f t="shared" si="10"/>
        <v>1460</v>
      </c>
      <c r="K87" s="19">
        <v>1400</v>
      </c>
      <c r="L87" s="10"/>
      <c r="M87" s="10"/>
    </row>
    <row r="88" spans="1:13" x14ac:dyDescent="0.25">
      <c r="A88" s="18">
        <f t="shared" si="6"/>
        <v>75</v>
      </c>
      <c r="B88" s="16" t="s">
        <v>431</v>
      </c>
      <c r="C88" s="11">
        <v>30</v>
      </c>
      <c r="D88" s="14">
        <v>23</v>
      </c>
      <c r="E88" s="14"/>
      <c r="F88" s="14"/>
      <c r="G88" s="14"/>
      <c r="H88" s="14">
        <f t="shared" si="9"/>
        <v>23</v>
      </c>
      <c r="I88" s="82">
        <f t="shared" si="10"/>
        <v>46</v>
      </c>
      <c r="K88" s="19">
        <v>50</v>
      </c>
      <c r="L88" s="10"/>
      <c r="M88" s="10"/>
    </row>
    <row r="89" spans="1:13" x14ac:dyDescent="0.25">
      <c r="A89" s="18">
        <f t="shared" si="6"/>
        <v>76</v>
      </c>
      <c r="B89" s="16" t="s">
        <v>432</v>
      </c>
      <c r="C89" s="11">
        <v>30</v>
      </c>
      <c r="D89" s="14">
        <v>23</v>
      </c>
      <c r="E89" s="14"/>
      <c r="F89" s="14"/>
      <c r="G89" s="14"/>
      <c r="H89" s="14">
        <f t="shared" si="9"/>
        <v>23</v>
      </c>
      <c r="I89" s="82">
        <f t="shared" si="10"/>
        <v>46</v>
      </c>
      <c r="K89" s="19">
        <v>50</v>
      </c>
      <c r="L89" s="10"/>
      <c r="M89" s="10"/>
    </row>
    <row r="90" spans="1:13" x14ac:dyDescent="0.25">
      <c r="A90" s="18">
        <f t="shared" si="6"/>
        <v>77</v>
      </c>
      <c r="B90" s="16" t="s">
        <v>686</v>
      </c>
      <c r="C90" s="11">
        <v>30</v>
      </c>
      <c r="D90" s="14"/>
      <c r="E90" s="14"/>
      <c r="F90" s="14"/>
      <c r="G90" s="14"/>
      <c r="H90" s="14"/>
      <c r="I90" s="82"/>
      <c r="K90" s="19">
        <v>100</v>
      </c>
      <c r="L90" s="10"/>
      <c r="M90" s="10"/>
    </row>
    <row r="91" spans="1:13" x14ac:dyDescent="0.25">
      <c r="A91" s="18">
        <f t="shared" si="6"/>
        <v>78</v>
      </c>
      <c r="B91" s="16" t="s">
        <v>687</v>
      </c>
      <c r="C91" s="11">
        <v>30</v>
      </c>
      <c r="D91" s="14"/>
      <c r="E91" s="14"/>
      <c r="F91" s="14"/>
      <c r="G91" s="14"/>
      <c r="H91" s="14"/>
      <c r="I91" s="82"/>
      <c r="K91" s="19">
        <v>40</v>
      </c>
      <c r="L91" s="10"/>
      <c r="M91" s="10"/>
    </row>
    <row r="92" spans="1:13" x14ac:dyDescent="0.25">
      <c r="A92" s="18">
        <f t="shared" si="6"/>
        <v>79</v>
      </c>
      <c r="B92" s="16" t="s">
        <v>66</v>
      </c>
      <c r="C92" s="11">
        <v>100</v>
      </c>
      <c r="D92" s="14">
        <v>60</v>
      </c>
      <c r="E92" s="14"/>
      <c r="F92" s="14">
        <v>2</v>
      </c>
      <c r="G92" s="14"/>
      <c r="H92" s="14">
        <f t="shared" ref="H92:H97" si="11">SUM(D92:G92)</f>
        <v>62</v>
      </c>
      <c r="I92" s="82">
        <f t="shared" ref="I92:I97" si="12">H92*2</f>
        <v>124</v>
      </c>
      <c r="K92" s="19">
        <v>100</v>
      </c>
      <c r="L92" s="10"/>
      <c r="M92" s="10"/>
    </row>
    <row r="93" spans="1:13" x14ac:dyDescent="0.25">
      <c r="A93" s="18">
        <f t="shared" si="6"/>
        <v>80</v>
      </c>
      <c r="B93" s="16" t="s">
        <v>67</v>
      </c>
      <c r="C93" s="11">
        <v>30</v>
      </c>
      <c r="D93" s="14">
        <v>84</v>
      </c>
      <c r="E93" s="14"/>
      <c r="F93" s="14"/>
      <c r="G93" s="14"/>
      <c r="H93" s="14">
        <f t="shared" si="11"/>
        <v>84</v>
      </c>
      <c r="I93" s="82">
        <f t="shared" si="12"/>
        <v>168</v>
      </c>
      <c r="K93" s="19">
        <v>182</v>
      </c>
      <c r="L93" s="10"/>
      <c r="M93" s="10"/>
    </row>
    <row r="94" spans="1:13" x14ac:dyDescent="0.25">
      <c r="A94" s="18">
        <f t="shared" si="6"/>
        <v>81</v>
      </c>
      <c r="B94" s="16" t="s">
        <v>68</v>
      </c>
      <c r="C94" s="11">
        <v>30</v>
      </c>
      <c r="D94" s="14">
        <v>140</v>
      </c>
      <c r="E94" s="14"/>
      <c r="F94" s="14"/>
      <c r="G94" s="14"/>
      <c r="H94" s="14">
        <f t="shared" si="11"/>
        <v>140</v>
      </c>
      <c r="I94" s="82">
        <f t="shared" si="12"/>
        <v>280</v>
      </c>
      <c r="K94" s="19">
        <v>600</v>
      </c>
      <c r="L94" s="10"/>
      <c r="M94" s="10"/>
    </row>
    <row r="95" spans="1:13" x14ac:dyDescent="0.25">
      <c r="A95" s="18">
        <f t="shared" si="6"/>
        <v>82</v>
      </c>
      <c r="B95" s="16" t="s">
        <v>69</v>
      </c>
      <c r="C95" s="11">
        <v>30</v>
      </c>
      <c r="D95" s="14">
        <v>120</v>
      </c>
      <c r="E95" s="14"/>
      <c r="F95" s="14">
        <v>180</v>
      </c>
      <c r="G95" s="14"/>
      <c r="H95" s="14">
        <f t="shared" si="11"/>
        <v>300</v>
      </c>
      <c r="I95" s="82">
        <f t="shared" si="12"/>
        <v>600</v>
      </c>
      <c r="K95" s="19">
        <v>1000</v>
      </c>
      <c r="L95" s="10"/>
      <c r="M95" s="10"/>
    </row>
    <row r="96" spans="1:13" x14ac:dyDescent="0.25">
      <c r="A96" s="18">
        <f t="shared" si="6"/>
        <v>83</v>
      </c>
      <c r="B96" s="16" t="s">
        <v>70</v>
      </c>
      <c r="C96" s="11">
        <v>30</v>
      </c>
      <c r="D96" s="14">
        <v>195</v>
      </c>
      <c r="E96" s="14"/>
      <c r="F96" s="14"/>
      <c r="G96" s="14"/>
      <c r="H96" s="14">
        <f t="shared" si="11"/>
        <v>195</v>
      </c>
      <c r="I96" s="82">
        <f t="shared" si="12"/>
        <v>390</v>
      </c>
      <c r="K96" s="19">
        <v>240</v>
      </c>
      <c r="L96" s="10"/>
      <c r="M96" s="10"/>
    </row>
    <row r="97" spans="1:13" x14ac:dyDescent="0.25">
      <c r="A97" s="18">
        <f t="shared" si="6"/>
        <v>84</v>
      </c>
      <c r="B97" s="16" t="s">
        <v>71</v>
      </c>
      <c r="C97" s="11">
        <v>30</v>
      </c>
      <c r="D97" s="14">
        <v>20</v>
      </c>
      <c r="E97" s="14"/>
      <c r="F97" s="14"/>
      <c r="G97" s="14"/>
      <c r="H97" s="14">
        <f t="shared" si="11"/>
        <v>20</v>
      </c>
      <c r="I97" s="82">
        <f t="shared" si="12"/>
        <v>40</v>
      </c>
      <c r="K97" s="19">
        <v>40</v>
      </c>
      <c r="L97" s="10"/>
      <c r="M97" s="10"/>
    </row>
    <row r="98" spans="1:13" x14ac:dyDescent="0.25">
      <c r="A98" s="18">
        <f t="shared" si="6"/>
        <v>85</v>
      </c>
      <c r="B98" s="16" t="s">
        <v>710</v>
      </c>
      <c r="C98" s="11">
        <v>28</v>
      </c>
      <c r="D98" s="14"/>
      <c r="E98" s="14"/>
      <c r="F98" s="14"/>
      <c r="G98" s="14"/>
      <c r="H98" s="14"/>
      <c r="I98" s="82"/>
      <c r="K98" s="19">
        <v>50</v>
      </c>
      <c r="L98" s="10"/>
      <c r="M98" s="10"/>
    </row>
    <row r="99" spans="1:13" x14ac:dyDescent="0.25">
      <c r="A99" s="18">
        <f t="shared" si="6"/>
        <v>86</v>
      </c>
      <c r="B99" s="16" t="s">
        <v>72</v>
      </c>
      <c r="C99" s="11">
        <v>500</v>
      </c>
      <c r="D99" s="14">
        <v>31</v>
      </c>
      <c r="E99" s="14"/>
      <c r="F99" s="14">
        <v>1</v>
      </c>
      <c r="G99" s="14"/>
      <c r="H99" s="14">
        <f t="shared" ref="H99:H106" si="13">SUM(D99:G99)</f>
        <v>32</v>
      </c>
      <c r="I99" s="82">
        <f t="shared" ref="I99:I106" si="14">H99*2</f>
        <v>64</v>
      </c>
      <c r="K99" s="19">
        <v>48</v>
      </c>
      <c r="L99" s="10"/>
      <c r="M99" s="10"/>
    </row>
    <row r="100" spans="1:13" x14ac:dyDescent="0.25">
      <c r="A100" s="18">
        <f t="shared" si="6"/>
        <v>87</v>
      </c>
      <c r="B100" s="16" t="s">
        <v>73</v>
      </c>
      <c r="C100" s="11">
        <v>30</v>
      </c>
      <c r="D100" s="14"/>
      <c r="E100" s="14"/>
      <c r="F100" s="14">
        <v>6</v>
      </c>
      <c r="G100" s="14"/>
      <c r="H100" s="14">
        <f t="shared" si="13"/>
        <v>6</v>
      </c>
      <c r="I100" s="82">
        <f t="shared" si="14"/>
        <v>12</v>
      </c>
      <c r="K100" s="19">
        <v>10</v>
      </c>
      <c r="L100" s="10"/>
      <c r="M100" s="10"/>
    </row>
    <row r="101" spans="1:13" x14ac:dyDescent="0.25">
      <c r="A101" s="18">
        <f t="shared" si="6"/>
        <v>88</v>
      </c>
      <c r="B101" s="16" t="s">
        <v>74</v>
      </c>
      <c r="C101" s="11">
        <v>30</v>
      </c>
      <c r="D101" s="14">
        <v>33</v>
      </c>
      <c r="E101" s="14"/>
      <c r="F101" s="14"/>
      <c r="G101" s="14"/>
      <c r="H101" s="14">
        <f t="shared" si="13"/>
        <v>33</v>
      </c>
      <c r="I101" s="82">
        <f t="shared" si="14"/>
        <v>66</v>
      </c>
      <c r="K101" s="19">
        <v>300</v>
      </c>
      <c r="L101" s="10"/>
      <c r="M101" s="10"/>
    </row>
    <row r="102" spans="1:13" x14ac:dyDescent="0.25">
      <c r="A102" s="18">
        <f t="shared" si="6"/>
        <v>89</v>
      </c>
      <c r="B102" s="16" t="s">
        <v>75</v>
      </c>
      <c r="C102" s="11">
        <v>30</v>
      </c>
      <c r="D102" s="14">
        <v>70</v>
      </c>
      <c r="E102" s="14"/>
      <c r="F102" s="14"/>
      <c r="G102" s="14"/>
      <c r="H102" s="14">
        <f t="shared" si="13"/>
        <v>70</v>
      </c>
      <c r="I102" s="82">
        <f t="shared" si="14"/>
        <v>140</v>
      </c>
      <c r="K102" s="19">
        <v>80</v>
      </c>
      <c r="L102" s="10"/>
      <c r="M102" s="10"/>
    </row>
    <row r="103" spans="1:13" x14ac:dyDescent="0.25">
      <c r="A103" s="18">
        <f t="shared" si="6"/>
        <v>90</v>
      </c>
      <c r="B103" s="16" t="s">
        <v>76</v>
      </c>
      <c r="C103" s="11">
        <v>30</v>
      </c>
      <c r="D103" s="14">
        <v>150</v>
      </c>
      <c r="E103" s="14"/>
      <c r="F103" s="14"/>
      <c r="G103" s="14"/>
      <c r="H103" s="14">
        <f t="shared" si="13"/>
        <v>150</v>
      </c>
      <c r="I103" s="82">
        <f t="shared" si="14"/>
        <v>300</v>
      </c>
      <c r="K103" s="19">
        <v>400</v>
      </c>
      <c r="L103" s="10"/>
      <c r="M103" s="10"/>
    </row>
    <row r="104" spans="1:13" x14ac:dyDescent="0.25">
      <c r="A104" s="18">
        <f t="shared" si="6"/>
        <v>91</v>
      </c>
      <c r="B104" s="16" t="s">
        <v>77</v>
      </c>
      <c r="C104" s="11">
        <v>5</v>
      </c>
      <c r="D104" s="14">
        <v>46</v>
      </c>
      <c r="E104" s="14"/>
      <c r="F104" s="14"/>
      <c r="G104" s="14"/>
      <c r="H104" s="14">
        <f t="shared" si="13"/>
        <v>46</v>
      </c>
      <c r="I104" s="82">
        <f t="shared" si="14"/>
        <v>92</v>
      </c>
      <c r="K104" s="19">
        <v>500</v>
      </c>
      <c r="L104" s="10"/>
      <c r="M104" s="10"/>
    </row>
    <row r="105" spans="1:13" x14ac:dyDescent="0.25">
      <c r="A105" s="18">
        <f t="shared" si="6"/>
        <v>92</v>
      </c>
      <c r="B105" s="16" t="s">
        <v>433</v>
      </c>
      <c r="C105" s="11">
        <v>28</v>
      </c>
      <c r="D105" s="14"/>
      <c r="E105" s="14"/>
      <c r="F105" s="14">
        <v>6</v>
      </c>
      <c r="G105" s="14"/>
      <c r="H105" s="14">
        <f t="shared" si="13"/>
        <v>6</v>
      </c>
      <c r="I105" s="82">
        <f t="shared" si="14"/>
        <v>12</v>
      </c>
      <c r="K105" s="19">
        <v>10</v>
      </c>
      <c r="L105" s="10"/>
      <c r="M105" s="10"/>
    </row>
    <row r="106" spans="1:13" x14ac:dyDescent="0.25">
      <c r="A106" s="18">
        <f t="shared" si="6"/>
        <v>93</v>
      </c>
      <c r="B106" s="16" t="s">
        <v>434</v>
      </c>
      <c r="C106" s="11">
        <v>100</v>
      </c>
      <c r="D106" s="14">
        <v>23</v>
      </c>
      <c r="E106" s="14"/>
      <c r="F106" s="14"/>
      <c r="G106" s="14"/>
      <c r="H106" s="14">
        <f t="shared" si="13"/>
        <v>23</v>
      </c>
      <c r="I106" s="82">
        <f t="shared" si="14"/>
        <v>46</v>
      </c>
      <c r="K106" s="19">
        <v>10</v>
      </c>
      <c r="L106" s="10"/>
      <c r="M106" s="10"/>
    </row>
    <row r="107" spans="1:13" x14ac:dyDescent="0.25">
      <c r="B107" s="16"/>
      <c r="C107" s="11"/>
      <c r="D107" s="14"/>
      <c r="E107" s="14"/>
      <c r="F107" s="14"/>
      <c r="G107" s="14"/>
      <c r="H107" s="14"/>
      <c r="I107" s="82"/>
      <c r="K107" s="19"/>
      <c r="L107" s="10"/>
      <c r="M107" s="10"/>
    </row>
    <row r="108" spans="1:13" ht="21" x14ac:dyDescent="0.25">
      <c r="B108" s="17" t="s">
        <v>78</v>
      </c>
      <c r="C108" s="11"/>
      <c r="D108" s="14"/>
      <c r="E108" s="14"/>
      <c r="F108" s="14"/>
      <c r="G108" s="14"/>
      <c r="H108" s="14"/>
      <c r="I108" s="82"/>
      <c r="K108" s="19"/>
      <c r="L108" s="10"/>
      <c r="M108" s="10"/>
    </row>
    <row r="109" spans="1:13" x14ac:dyDescent="0.25">
      <c r="A109" s="10">
        <f>A106+1</f>
        <v>94</v>
      </c>
      <c r="B109" s="16" t="s">
        <v>79</v>
      </c>
      <c r="C109" s="11">
        <v>100</v>
      </c>
      <c r="D109" s="14"/>
      <c r="E109" s="14">
        <v>36</v>
      </c>
      <c r="F109" s="14">
        <v>3</v>
      </c>
      <c r="G109" s="14"/>
      <c r="H109" s="14">
        <f>SUM(D109:G109)</f>
        <v>39</v>
      </c>
      <c r="I109" s="82">
        <f>H109*2</f>
        <v>78</v>
      </c>
      <c r="K109" s="19">
        <v>80</v>
      </c>
      <c r="L109" s="10"/>
      <c r="M109" s="10"/>
    </row>
    <row r="110" spans="1:13" x14ac:dyDescent="0.25">
      <c r="A110" s="10">
        <f t="shared" ref="A110:A125" si="15">A109+1</f>
        <v>95</v>
      </c>
      <c r="B110" s="16" t="s">
        <v>80</v>
      </c>
      <c r="C110" s="11">
        <v>30</v>
      </c>
      <c r="D110" s="14">
        <v>90</v>
      </c>
      <c r="E110" s="14"/>
      <c r="F110" s="14"/>
      <c r="G110" s="14"/>
      <c r="H110" s="14">
        <f>SUM(D110:G110)</f>
        <v>90</v>
      </c>
      <c r="I110" s="82">
        <f>H110*2</f>
        <v>180</v>
      </c>
      <c r="K110" s="19">
        <v>1200</v>
      </c>
      <c r="L110" s="10"/>
      <c r="M110" s="10"/>
    </row>
    <row r="111" spans="1:13" x14ac:dyDescent="0.25">
      <c r="A111" s="10">
        <f t="shared" si="15"/>
        <v>96</v>
      </c>
      <c r="B111" s="16" t="s">
        <v>81</v>
      </c>
      <c r="C111" s="11">
        <v>30</v>
      </c>
      <c r="D111" s="14">
        <v>21</v>
      </c>
      <c r="E111" s="14"/>
      <c r="F111" s="14">
        <v>30</v>
      </c>
      <c r="G111" s="14"/>
      <c r="H111" s="14">
        <f>SUM(D111:G111)</f>
        <v>51</v>
      </c>
      <c r="I111" s="82">
        <f>H111*2</f>
        <v>102</v>
      </c>
      <c r="K111" s="19">
        <v>500</v>
      </c>
      <c r="L111" s="10"/>
      <c r="M111" s="10"/>
    </row>
    <row r="112" spans="1:13" x14ac:dyDescent="0.25">
      <c r="A112" s="10">
        <f t="shared" si="15"/>
        <v>97</v>
      </c>
      <c r="B112" s="16" t="s">
        <v>82</v>
      </c>
      <c r="C112" s="11">
        <v>30</v>
      </c>
      <c r="D112" s="14">
        <v>70</v>
      </c>
      <c r="E112" s="14"/>
      <c r="F112" s="14">
        <v>12</v>
      </c>
      <c r="G112" s="14"/>
      <c r="H112" s="14">
        <f>SUM(D112:G112)</f>
        <v>82</v>
      </c>
      <c r="I112" s="82">
        <f>H112*2</f>
        <v>164</v>
      </c>
      <c r="K112" s="19">
        <v>600</v>
      </c>
      <c r="L112" s="10"/>
      <c r="M112" s="10"/>
    </row>
    <row r="113" spans="1:13" x14ac:dyDescent="0.25">
      <c r="A113" s="10">
        <f t="shared" si="15"/>
        <v>98</v>
      </c>
      <c r="B113" s="16" t="s">
        <v>716</v>
      </c>
      <c r="C113" s="11">
        <v>5</v>
      </c>
      <c r="D113" s="14"/>
      <c r="E113" s="14"/>
      <c r="F113" s="14"/>
      <c r="G113" s="14"/>
      <c r="H113" s="14"/>
      <c r="I113" s="82"/>
      <c r="K113" s="19">
        <v>40</v>
      </c>
      <c r="L113" s="10"/>
      <c r="M113" s="10"/>
    </row>
    <row r="114" spans="1:13" x14ac:dyDescent="0.25">
      <c r="A114" s="10">
        <f t="shared" si="15"/>
        <v>99</v>
      </c>
      <c r="B114" s="16" t="s">
        <v>742</v>
      </c>
      <c r="C114" s="11" t="s">
        <v>57</v>
      </c>
      <c r="D114" s="14">
        <v>7</v>
      </c>
      <c r="E114" s="14"/>
      <c r="F114" s="14"/>
      <c r="G114" s="14"/>
      <c r="H114" s="14">
        <f>SUM(D114:G114)</f>
        <v>7</v>
      </c>
      <c r="I114" s="82">
        <f>H114*2</f>
        <v>14</v>
      </c>
      <c r="K114" s="19">
        <v>500</v>
      </c>
      <c r="L114" s="10"/>
      <c r="M114" s="10"/>
    </row>
    <row r="115" spans="1:13" x14ac:dyDescent="0.25">
      <c r="A115" s="10">
        <f t="shared" si="15"/>
        <v>100</v>
      </c>
      <c r="B115" s="16" t="s">
        <v>706</v>
      </c>
      <c r="C115" s="11">
        <v>5</v>
      </c>
      <c r="D115" s="14"/>
      <c r="E115" s="14"/>
      <c r="F115" s="14"/>
      <c r="G115" s="14"/>
      <c r="H115" s="14"/>
      <c r="I115" s="82"/>
      <c r="K115" s="19">
        <v>40</v>
      </c>
      <c r="L115" s="10"/>
      <c r="M115" s="10"/>
    </row>
    <row r="116" spans="1:13" x14ac:dyDescent="0.25">
      <c r="A116" s="10">
        <f t="shared" si="15"/>
        <v>101</v>
      </c>
      <c r="B116" s="16" t="s">
        <v>435</v>
      </c>
      <c r="C116" s="11">
        <v>5</v>
      </c>
      <c r="D116" s="14">
        <v>23</v>
      </c>
      <c r="E116" s="14"/>
      <c r="F116" s="14"/>
      <c r="G116" s="14"/>
      <c r="H116" s="14">
        <f>SUM(D116:G116)</f>
        <v>23</v>
      </c>
      <c r="I116" s="82">
        <f>H116*2</f>
        <v>46</v>
      </c>
      <c r="K116" s="19">
        <v>50</v>
      </c>
      <c r="L116" s="10"/>
      <c r="M116" s="10"/>
    </row>
    <row r="117" spans="1:13" x14ac:dyDescent="0.25">
      <c r="A117" s="10">
        <f t="shared" si="15"/>
        <v>102</v>
      </c>
      <c r="B117" s="16" t="s">
        <v>83</v>
      </c>
      <c r="C117" s="11">
        <v>5</v>
      </c>
      <c r="D117" s="14">
        <v>20</v>
      </c>
      <c r="E117" s="14"/>
      <c r="F117" s="14"/>
      <c r="G117" s="14"/>
      <c r="H117" s="14">
        <f>SUM(D117:G117)</f>
        <v>20</v>
      </c>
      <c r="I117" s="82">
        <f>H117*2</f>
        <v>40</v>
      </c>
      <c r="K117" s="19">
        <v>20</v>
      </c>
      <c r="L117" s="10"/>
      <c r="M117" s="10"/>
    </row>
    <row r="118" spans="1:13" x14ac:dyDescent="0.25">
      <c r="A118" s="10">
        <f t="shared" si="15"/>
        <v>103</v>
      </c>
      <c r="B118" s="16" t="s">
        <v>84</v>
      </c>
      <c r="C118" s="11">
        <v>100</v>
      </c>
      <c r="D118" s="14">
        <v>124</v>
      </c>
      <c r="E118" s="14"/>
      <c r="F118" s="14">
        <v>18</v>
      </c>
      <c r="G118" s="14"/>
      <c r="H118" s="14">
        <f>SUM(D118:G118)</f>
        <v>142</v>
      </c>
      <c r="I118" s="82">
        <f>H118*2</f>
        <v>284</v>
      </c>
      <c r="K118" s="19">
        <v>400</v>
      </c>
      <c r="L118" s="10"/>
      <c r="M118" s="10"/>
    </row>
    <row r="119" spans="1:13" x14ac:dyDescent="0.25">
      <c r="A119" s="10">
        <f t="shared" si="15"/>
        <v>104</v>
      </c>
      <c r="B119" s="16" t="s">
        <v>85</v>
      </c>
      <c r="C119" s="11">
        <v>140</v>
      </c>
      <c r="D119" s="14">
        <v>138</v>
      </c>
      <c r="E119" s="14">
        <v>90</v>
      </c>
      <c r="F119" s="14">
        <v>20</v>
      </c>
      <c r="G119" s="14"/>
      <c r="H119" s="14">
        <f>SUM(D119:G119)</f>
        <v>248</v>
      </c>
      <c r="I119" s="82">
        <f>H119*2</f>
        <v>496</v>
      </c>
      <c r="K119" s="19">
        <v>800</v>
      </c>
      <c r="L119" s="10"/>
      <c r="M119" s="10"/>
    </row>
    <row r="120" spans="1:13" x14ac:dyDescent="0.25">
      <c r="A120" s="10">
        <f t="shared" si="15"/>
        <v>105</v>
      </c>
      <c r="B120" s="16" t="s">
        <v>436</v>
      </c>
      <c r="C120" s="11">
        <v>5</v>
      </c>
      <c r="D120" s="14">
        <v>23</v>
      </c>
      <c r="E120" s="14"/>
      <c r="F120" s="14"/>
      <c r="G120" s="14"/>
      <c r="H120" s="14">
        <f>SUM(D120:G120)</f>
        <v>23</v>
      </c>
      <c r="I120" s="82">
        <f>H120*2</f>
        <v>46</v>
      </c>
      <c r="K120" s="19">
        <v>80</v>
      </c>
      <c r="L120" s="10"/>
      <c r="M120" s="10"/>
    </row>
    <row r="121" spans="1:13" x14ac:dyDescent="0.25">
      <c r="A121" s="10">
        <f t="shared" si="15"/>
        <v>106</v>
      </c>
      <c r="B121" s="16" t="s">
        <v>683</v>
      </c>
      <c r="C121" s="11">
        <v>30</v>
      </c>
      <c r="D121" s="14"/>
      <c r="E121" s="14"/>
      <c r="F121" s="14"/>
      <c r="G121" s="14"/>
      <c r="H121" s="14"/>
      <c r="I121" s="82"/>
      <c r="K121" s="19">
        <v>16</v>
      </c>
      <c r="L121" s="10"/>
      <c r="M121" s="10"/>
    </row>
    <row r="122" spans="1:13" x14ac:dyDescent="0.25">
      <c r="A122" s="10">
        <f t="shared" si="15"/>
        <v>107</v>
      </c>
      <c r="B122" s="16" t="s">
        <v>715</v>
      </c>
      <c r="C122" s="11">
        <v>5</v>
      </c>
      <c r="D122" s="14"/>
      <c r="E122" s="14"/>
      <c r="F122" s="14"/>
      <c r="G122" s="14"/>
      <c r="H122" s="14"/>
      <c r="I122" s="82"/>
      <c r="K122" s="19">
        <v>50</v>
      </c>
      <c r="L122" s="10"/>
      <c r="M122" s="10"/>
    </row>
    <row r="123" spans="1:13" x14ac:dyDescent="0.25">
      <c r="A123" s="10">
        <f t="shared" si="15"/>
        <v>108</v>
      </c>
      <c r="B123" s="16" t="s">
        <v>743</v>
      </c>
      <c r="C123" s="11" t="s">
        <v>57</v>
      </c>
      <c r="D123" s="14">
        <v>8</v>
      </c>
      <c r="E123" s="14"/>
      <c r="F123" s="14">
        <v>1.2</v>
      </c>
      <c r="G123" s="14"/>
      <c r="H123" s="14">
        <f>SUM(D123:G123)</f>
        <v>9.1999999999999993</v>
      </c>
      <c r="I123" s="82">
        <f>H123*2</f>
        <v>18.399999999999999</v>
      </c>
      <c r="K123" s="19">
        <v>200</v>
      </c>
      <c r="L123" s="10"/>
      <c r="M123" s="10"/>
    </row>
    <row r="124" spans="1:13" x14ac:dyDescent="0.25">
      <c r="A124" s="10">
        <f t="shared" si="15"/>
        <v>109</v>
      </c>
      <c r="B124" s="16" t="s">
        <v>86</v>
      </c>
      <c r="C124" s="11">
        <v>28</v>
      </c>
      <c r="D124" s="14">
        <v>45</v>
      </c>
      <c r="E124" s="14"/>
      <c r="F124" s="14"/>
      <c r="G124" s="14"/>
      <c r="H124" s="14">
        <f>SUM(D124:G124)</f>
        <v>45</v>
      </c>
      <c r="I124" s="82">
        <f>H124*2</f>
        <v>90</v>
      </c>
      <c r="K124" s="19">
        <v>60</v>
      </c>
      <c r="L124" s="10"/>
      <c r="M124" s="10"/>
    </row>
    <row r="125" spans="1:13" x14ac:dyDescent="0.25">
      <c r="A125" s="10">
        <f t="shared" si="15"/>
        <v>110</v>
      </c>
      <c r="B125" s="16" t="s">
        <v>87</v>
      </c>
      <c r="C125" s="11">
        <v>60</v>
      </c>
      <c r="D125" s="14"/>
      <c r="E125" s="14"/>
      <c r="F125" s="14">
        <v>12</v>
      </c>
      <c r="G125" s="14"/>
      <c r="H125" s="14">
        <f>SUM(D125:G125)</f>
        <v>12</v>
      </c>
      <c r="I125" s="82">
        <f>H125*2</f>
        <v>24</v>
      </c>
      <c r="K125" s="19">
        <v>24</v>
      </c>
      <c r="L125" s="10"/>
      <c r="M125" s="10"/>
    </row>
    <row r="126" spans="1:13" x14ac:dyDescent="0.25">
      <c r="B126" s="16"/>
      <c r="C126" s="11"/>
      <c r="D126" s="14"/>
      <c r="E126" s="14"/>
      <c r="F126" s="14"/>
      <c r="G126" s="14"/>
      <c r="H126" s="14"/>
      <c r="I126" s="82"/>
      <c r="K126" s="19"/>
      <c r="L126" s="10"/>
      <c r="M126" s="10"/>
    </row>
    <row r="127" spans="1:13" x14ac:dyDescent="0.25">
      <c r="B127" s="16"/>
      <c r="C127" s="11"/>
      <c r="D127" s="14"/>
      <c r="E127" s="14"/>
      <c r="F127" s="14"/>
      <c r="G127" s="14"/>
      <c r="H127" s="14"/>
      <c r="I127" s="82"/>
      <c r="K127" s="19"/>
      <c r="L127" s="10"/>
      <c r="M127" s="10"/>
    </row>
    <row r="128" spans="1:13" ht="23.25" x14ac:dyDescent="0.25">
      <c r="A128" s="12" t="s">
        <v>88</v>
      </c>
      <c r="B128" s="13" t="s">
        <v>89</v>
      </c>
      <c r="C128" s="11"/>
      <c r="D128" s="14"/>
      <c r="E128" s="14"/>
      <c r="F128" s="14"/>
      <c r="G128" s="14"/>
      <c r="H128" s="14"/>
      <c r="I128" s="82"/>
      <c r="K128" s="19"/>
      <c r="L128" s="10"/>
      <c r="M128" s="10"/>
    </row>
    <row r="129" spans="1:13" x14ac:dyDescent="0.25">
      <c r="A129" s="10">
        <f>A125+1</f>
        <v>111</v>
      </c>
      <c r="B129" s="16" t="s">
        <v>90</v>
      </c>
      <c r="C129" s="11">
        <v>30</v>
      </c>
      <c r="D129" s="14">
        <v>38</v>
      </c>
      <c r="E129" s="14"/>
      <c r="F129" s="14"/>
      <c r="G129" s="14"/>
      <c r="H129" s="14">
        <f>SUM(D129:G129)</f>
        <v>38</v>
      </c>
      <c r="I129" s="82">
        <f>H129*2</f>
        <v>76</v>
      </c>
      <c r="K129" s="19">
        <v>60</v>
      </c>
      <c r="L129" s="10"/>
      <c r="M129" s="10"/>
    </row>
    <row r="130" spans="1:13" x14ac:dyDescent="0.25">
      <c r="A130" s="10">
        <f>A129+1</f>
        <v>112</v>
      </c>
      <c r="B130" s="16" t="s">
        <v>91</v>
      </c>
      <c r="C130" s="11">
        <v>28</v>
      </c>
      <c r="D130" s="14">
        <v>29</v>
      </c>
      <c r="E130" s="14"/>
      <c r="F130" s="14"/>
      <c r="G130" s="14"/>
      <c r="H130" s="14">
        <f>SUM(D130:G130)</f>
        <v>29</v>
      </c>
      <c r="I130" s="82">
        <f>H130*2</f>
        <v>58</v>
      </c>
      <c r="K130" s="19">
        <v>100</v>
      </c>
      <c r="L130" s="10"/>
      <c r="M130" s="10"/>
    </row>
    <row r="131" spans="1:13" x14ac:dyDescent="0.25">
      <c r="A131" s="10">
        <f>A130+1</f>
        <v>113</v>
      </c>
      <c r="B131" s="16" t="s">
        <v>92</v>
      </c>
      <c r="C131" s="11">
        <v>28</v>
      </c>
      <c r="D131" s="14"/>
      <c r="E131" s="14"/>
      <c r="F131" s="14">
        <v>20</v>
      </c>
      <c r="G131" s="14"/>
      <c r="H131" s="14">
        <f>SUM(D131:G131)</f>
        <v>20</v>
      </c>
      <c r="I131" s="82">
        <f>H131*2</f>
        <v>40</v>
      </c>
      <c r="K131" s="19">
        <v>20</v>
      </c>
      <c r="L131" s="10"/>
      <c r="M131" s="10"/>
    </row>
    <row r="132" spans="1:13" x14ac:dyDescent="0.25">
      <c r="A132" s="10">
        <f>A131+1</f>
        <v>114</v>
      </c>
      <c r="B132" s="16" t="s">
        <v>688</v>
      </c>
      <c r="C132" s="11">
        <v>30</v>
      </c>
      <c r="D132" s="14"/>
      <c r="E132" s="14"/>
      <c r="F132" s="14"/>
      <c r="G132" s="14"/>
      <c r="H132" s="14"/>
      <c r="I132" s="82"/>
      <c r="K132" s="19">
        <v>50</v>
      </c>
      <c r="L132" s="10"/>
      <c r="M132" s="10"/>
    </row>
    <row r="133" spans="1:13" x14ac:dyDescent="0.25">
      <c r="A133" s="10">
        <f>A132+1</f>
        <v>115</v>
      </c>
      <c r="B133" s="16" t="s">
        <v>93</v>
      </c>
      <c r="C133" s="11">
        <v>100</v>
      </c>
      <c r="D133" s="14">
        <v>39</v>
      </c>
      <c r="E133" s="14"/>
      <c r="F133" s="14"/>
      <c r="G133" s="14"/>
      <c r="H133" s="14">
        <f t="shared" ref="H133:H143" si="16">SUM(D133:G133)</f>
        <v>39</v>
      </c>
      <c r="I133" s="82">
        <f t="shared" ref="I133:I143" si="17">H133*2</f>
        <v>78</v>
      </c>
      <c r="K133" s="19">
        <v>100</v>
      </c>
      <c r="L133" s="10"/>
      <c r="M133" s="10"/>
    </row>
    <row r="134" spans="1:13" x14ac:dyDescent="0.25">
      <c r="A134" s="10">
        <f t="shared" ref="A134:A170" si="18">A133+1</f>
        <v>116</v>
      </c>
      <c r="B134" s="16" t="s">
        <v>94</v>
      </c>
      <c r="C134" s="11">
        <v>100</v>
      </c>
      <c r="D134" s="14">
        <v>120</v>
      </c>
      <c r="E134" s="14"/>
      <c r="F134" s="14"/>
      <c r="G134" s="14"/>
      <c r="H134" s="14">
        <f t="shared" si="16"/>
        <v>120</v>
      </c>
      <c r="I134" s="82">
        <f t="shared" si="17"/>
        <v>240</v>
      </c>
      <c r="K134" s="19">
        <v>1200</v>
      </c>
      <c r="L134" s="10"/>
      <c r="M134" s="10"/>
    </row>
    <row r="135" spans="1:13" x14ac:dyDescent="0.25">
      <c r="A135" s="10">
        <f t="shared" si="18"/>
        <v>117</v>
      </c>
      <c r="B135" s="19" t="s">
        <v>288</v>
      </c>
      <c r="C135" s="20">
        <v>100</v>
      </c>
      <c r="D135" s="15">
        <v>40</v>
      </c>
      <c r="E135" s="15"/>
      <c r="F135" s="15"/>
      <c r="G135" s="15"/>
      <c r="H135" s="15">
        <f t="shared" si="16"/>
        <v>40</v>
      </c>
      <c r="I135" s="83">
        <f t="shared" si="17"/>
        <v>80</v>
      </c>
      <c r="K135" s="19">
        <v>131</v>
      </c>
      <c r="L135" s="10"/>
      <c r="M135" s="10"/>
    </row>
    <row r="136" spans="1:13" x14ac:dyDescent="0.25">
      <c r="A136" s="10">
        <f t="shared" si="18"/>
        <v>118</v>
      </c>
      <c r="B136" s="19" t="s">
        <v>289</v>
      </c>
      <c r="C136" s="20">
        <v>100</v>
      </c>
      <c r="D136" s="15">
        <v>40</v>
      </c>
      <c r="E136" s="15"/>
      <c r="F136" s="15">
        <v>2</v>
      </c>
      <c r="G136" s="15">
        <v>1</v>
      </c>
      <c r="H136" s="15">
        <f t="shared" si="16"/>
        <v>43</v>
      </c>
      <c r="I136" s="83">
        <f t="shared" si="17"/>
        <v>86</v>
      </c>
      <c r="K136" s="19">
        <v>120</v>
      </c>
      <c r="L136" s="10"/>
      <c r="M136" s="10"/>
    </row>
    <row r="137" spans="1:13" x14ac:dyDescent="0.25">
      <c r="A137" s="10">
        <f t="shared" si="18"/>
        <v>119</v>
      </c>
      <c r="B137" s="16" t="s">
        <v>95</v>
      </c>
      <c r="C137" s="11">
        <v>100</v>
      </c>
      <c r="D137" s="14">
        <v>187</v>
      </c>
      <c r="E137" s="14">
        <v>30</v>
      </c>
      <c r="F137" s="14">
        <v>12</v>
      </c>
      <c r="G137" s="14"/>
      <c r="H137" s="14">
        <f t="shared" si="16"/>
        <v>229</v>
      </c>
      <c r="I137" s="82">
        <f t="shared" si="17"/>
        <v>458</v>
      </c>
      <c r="K137" s="19">
        <v>496</v>
      </c>
      <c r="L137" s="10"/>
      <c r="M137" s="10"/>
    </row>
    <row r="138" spans="1:13" x14ac:dyDescent="0.25">
      <c r="A138" s="10">
        <f t="shared" si="18"/>
        <v>120</v>
      </c>
      <c r="B138" s="16" t="s">
        <v>96</v>
      </c>
      <c r="C138" s="11">
        <v>100</v>
      </c>
      <c r="D138" s="14">
        <v>31</v>
      </c>
      <c r="E138" s="14">
        <v>12</v>
      </c>
      <c r="F138" s="14"/>
      <c r="G138" s="14"/>
      <c r="H138" s="14">
        <f t="shared" si="16"/>
        <v>43</v>
      </c>
      <c r="I138" s="82">
        <f t="shared" si="17"/>
        <v>86</v>
      </c>
      <c r="K138" s="19">
        <v>100</v>
      </c>
      <c r="L138" s="10"/>
      <c r="M138" s="10"/>
    </row>
    <row r="139" spans="1:13" x14ac:dyDescent="0.25">
      <c r="A139" s="10">
        <f t="shared" si="18"/>
        <v>121</v>
      </c>
      <c r="B139" s="16" t="s">
        <v>510</v>
      </c>
      <c r="C139" s="11">
        <v>30</v>
      </c>
      <c r="D139" s="14">
        <v>75</v>
      </c>
      <c r="E139" s="14"/>
      <c r="F139" s="14"/>
      <c r="G139" s="14"/>
      <c r="H139" s="14">
        <f t="shared" si="16"/>
        <v>75</v>
      </c>
      <c r="I139" s="82">
        <f t="shared" si="17"/>
        <v>150</v>
      </c>
      <c r="K139" s="19">
        <v>40</v>
      </c>
      <c r="L139" s="10"/>
      <c r="M139" s="10"/>
    </row>
    <row r="140" spans="1:13" x14ac:dyDescent="0.25">
      <c r="A140" s="10">
        <f t="shared" si="18"/>
        <v>122</v>
      </c>
      <c r="B140" s="16" t="s">
        <v>97</v>
      </c>
      <c r="C140" s="11">
        <v>20</v>
      </c>
      <c r="D140" s="14">
        <v>245</v>
      </c>
      <c r="E140" s="14"/>
      <c r="F140" s="14"/>
      <c r="G140" s="14"/>
      <c r="H140" s="14">
        <f t="shared" si="16"/>
        <v>245</v>
      </c>
      <c r="I140" s="82">
        <f t="shared" si="17"/>
        <v>490</v>
      </c>
      <c r="K140" s="19">
        <v>800</v>
      </c>
      <c r="L140" s="10"/>
      <c r="M140" s="10"/>
    </row>
    <row r="141" spans="1:13" x14ac:dyDescent="0.25">
      <c r="A141" s="10">
        <f t="shared" si="18"/>
        <v>123</v>
      </c>
      <c r="B141" s="16" t="s">
        <v>439</v>
      </c>
      <c r="C141" s="11" t="s">
        <v>656</v>
      </c>
      <c r="D141" s="14">
        <v>50</v>
      </c>
      <c r="E141" s="14"/>
      <c r="F141" s="14"/>
      <c r="G141" s="14"/>
      <c r="H141" s="14">
        <f t="shared" si="16"/>
        <v>50</v>
      </c>
      <c r="I141" s="82">
        <f t="shared" si="17"/>
        <v>100</v>
      </c>
      <c r="K141" s="19">
        <v>1200</v>
      </c>
      <c r="L141" s="10"/>
      <c r="M141" s="10"/>
    </row>
    <row r="142" spans="1:13" x14ac:dyDescent="0.25">
      <c r="A142" s="10">
        <f t="shared" si="18"/>
        <v>124</v>
      </c>
      <c r="B142" s="16" t="s">
        <v>98</v>
      </c>
      <c r="C142" s="11">
        <v>100</v>
      </c>
      <c r="D142" s="14">
        <v>66</v>
      </c>
      <c r="E142" s="14"/>
      <c r="F142" s="14">
        <v>6</v>
      </c>
      <c r="G142" s="14"/>
      <c r="H142" s="14">
        <f t="shared" si="16"/>
        <v>72</v>
      </c>
      <c r="I142" s="82">
        <f t="shared" si="17"/>
        <v>144</v>
      </c>
      <c r="K142" s="19">
        <v>200</v>
      </c>
      <c r="L142" s="10"/>
      <c r="M142" s="10"/>
    </row>
    <row r="143" spans="1:13" x14ac:dyDescent="0.25">
      <c r="A143" s="10">
        <f t="shared" si="18"/>
        <v>125</v>
      </c>
      <c r="B143" s="16" t="s">
        <v>511</v>
      </c>
      <c r="C143" s="11">
        <v>100</v>
      </c>
      <c r="D143" s="14">
        <v>6</v>
      </c>
      <c r="E143" s="14"/>
      <c r="F143" s="14"/>
      <c r="G143" s="14"/>
      <c r="H143" s="14">
        <f t="shared" si="16"/>
        <v>6</v>
      </c>
      <c r="I143" s="82">
        <f t="shared" si="17"/>
        <v>12</v>
      </c>
      <c r="K143" s="19">
        <v>12</v>
      </c>
      <c r="L143" s="10"/>
      <c r="M143" s="10"/>
    </row>
    <row r="144" spans="1:13" x14ac:dyDescent="0.25">
      <c r="A144" s="10">
        <f t="shared" si="18"/>
        <v>126</v>
      </c>
      <c r="B144" s="16" t="s">
        <v>744</v>
      </c>
      <c r="C144" s="11">
        <v>30</v>
      </c>
      <c r="D144" s="14"/>
      <c r="E144" s="14"/>
      <c r="F144" s="14"/>
      <c r="G144" s="14"/>
      <c r="H144" s="14"/>
      <c r="I144" s="82"/>
      <c r="K144" s="19">
        <v>1200</v>
      </c>
      <c r="L144" s="10"/>
      <c r="M144" s="10"/>
    </row>
    <row r="145" spans="1:13" x14ac:dyDescent="0.25">
      <c r="A145" s="10">
        <f t="shared" si="18"/>
        <v>127</v>
      </c>
      <c r="B145" s="16" t="s">
        <v>444</v>
      </c>
      <c r="C145" s="11">
        <v>20</v>
      </c>
      <c r="D145" s="14">
        <v>23</v>
      </c>
      <c r="E145" s="14"/>
      <c r="F145" s="14"/>
      <c r="G145" s="14"/>
      <c r="H145" s="14">
        <f>SUM(D145:G145)</f>
        <v>23</v>
      </c>
      <c r="I145" s="82">
        <f>H145*2</f>
        <v>46</v>
      </c>
      <c r="K145" s="19">
        <v>100</v>
      </c>
      <c r="L145" s="10"/>
      <c r="M145" s="10"/>
    </row>
    <row r="146" spans="1:13" x14ac:dyDescent="0.25">
      <c r="A146" s="10">
        <f t="shared" si="18"/>
        <v>128</v>
      </c>
      <c r="B146" s="16" t="s">
        <v>99</v>
      </c>
      <c r="C146" s="11">
        <v>100</v>
      </c>
      <c r="D146" s="14">
        <v>85</v>
      </c>
      <c r="E146" s="14">
        <v>5</v>
      </c>
      <c r="F146" s="14">
        <v>6</v>
      </c>
      <c r="G146" s="14"/>
      <c r="H146" s="14">
        <f>SUM(D146:G146)</f>
        <v>96</v>
      </c>
      <c r="I146" s="82">
        <f>H146*2</f>
        <v>192</v>
      </c>
      <c r="K146" s="19">
        <v>100</v>
      </c>
      <c r="L146" s="10"/>
      <c r="M146" s="10"/>
    </row>
    <row r="147" spans="1:13" x14ac:dyDescent="0.25">
      <c r="A147" s="10">
        <f t="shared" si="18"/>
        <v>129</v>
      </c>
      <c r="B147" s="16" t="s">
        <v>100</v>
      </c>
      <c r="C147" s="11">
        <v>100</v>
      </c>
      <c r="D147" s="14">
        <v>20</v>
      </c>
      <c r="E147" s="14"/>
      <c r="F147" s="14"/>
      <c r="G147" s="14"/>
      <c r="H147" s="14">
        <f>SUM(D147:G147)</f>
        <v>20</v>
      </c>
      <c r="I147" s="82">
        <f>H147*2</f>
        <v>40</v>
      </c>
      <c r="K147" s="19">
        <v>100</v>
      </c>
      <c r="L147" s="10"/>
      <c r="M147" s="10"/>
    </row>
    <row r="148" spans="1:13" x14ac:dyDescent="0.25">
      <c r="A148" s="10">
        <f t="shared" si="18"/>
        <v>130</v>
      </c>
      <c r="B148" s="16" t="s">
        <v>871</v>
      </c>
      <c r="C148" s="11" t="s">
        <v>144</v>
      </c>
      <c r="D148" s="14">
        <v>12</v>
      </c>
      <c r="E148" s="14">
        <v>12</v>
      </c>
      <c r="F148" s="14"/>
      <c r="G148" s="14"/>
      <c r="H148" s="14">
        <f>SUM(D148:G148)</f>
        <v>24</v>
      </c>
      <c r="I148" s="82">
        <f>H148*2</f>
        <v>48</v>
      </c>
      <c r="K148" s="19">
        <v>400</v>
      </c>
      <c r="L148" s="10"/>
      <c r="M148" s="10"/>
    </row>
    <row r="149" spans="1:13" x14ac:dyDescent="0.25">
      <c r="A149" s="10">
        <f t="shared" si="18"/>
        <v>131</v>
      </c>
      <c r="B149" s="16" t="s">
        <v>445</v>
      </c>
      <c r="C149" s="11">
        <v>100</v>
      </c>
      <c r="D149" s="14">
        <v>5</v>
      </c>
      <c r="E149" s="14"/>
      <c r="F149" s="14"/>
      <c r="G149" s="14"/>
      <c r="H149" s="14">
        <f>SUM(D149:G149)</f>
        <v>5</v>
      </c>
      <c r="I149" s="82">
        <f>H149*2</f>
        <v>10</v>
      </c>
      <c r="K149" s="19">
        <v>60</v>
      </c>
      <c r="L149" s="10"/>
      <c r="M149" s="10"/>
    </row>
    <row r="150" spans="1:13" x14ac:dyDescent="0.25">
      <c r="A150" s="10">
        <f t="shared" si="18"/>
        <v>132</v>
      </c>
      <c r="B150" s="16" t="s">
        <v>701</v>
      </c>
      <c r="C150" s="11">
        <v>10</v>
      </c>
      <c r="D150" s="14"/>
      <c r="E150" s="14"/>
      <c r="F150" s="14"/>
      <c r="G150" s="14"/>
      <c r="H150" s="14"/>
      <c r="I150" s="82"/>
      <c r="K150" s="19">
        <v>40</v>
      </c>
      <c r="L150" s="10"/>
      <c r="M150" s="10"/>
    </row>
    <row r="151" spans="1:13" x14ac:dyDescent="0.25">
      <c r="A151" s="10">
        <f t="shared" si="18"/>
        <v>133</v>
      </c>
      <c r="B151" s="19" t="s">
        <v>446</v>
      </c>
      <c r="C151" s="20" t="s">
        <v>57</v>
      </c>
      <c r="D151" s="15">
        <v>120</v>
      </c>
      <c r="E151" s="15"/>
      <c r="F151" s="15"/>
      <c r="G151" s="15"/>
      <c r="H151" s="15">
        <f t="shared" ref="H151:H165" si="19">SUM(D151:G151)</f>
        <v>120</v>
      </c>
      <c r="I151" s="83">
        <f t="shared" ref="I151:I165" si="20">H151*2</f>
        <v>240</v>
      </c>
      <c r="K151" s="19">
        <v>160</v>
      </c>
      <c r="L151" s="10"/>
      <c r="M151" s="10"/>
    </row>
    <row r="152" spans="1:13" x14ac:dyDescent="0.25">
      <c r="A152" s="10">
        <f t="shared" si="18"/>
        <v>134</v>
      </c>
      <c r="B152" s="16" t="s">
        <v>440</v>
      </c>
      <c r="C152" s="11">
        <v>10</v>
      </c>
      <c r="D152" s="14">
        <v>2</v>
      </c>
      <c r="E152" s="14"/>
      <c r="F152" s="14"/>
      <c r="G152" s="14"/>
      <c r="H152" s="14">
        <f t="shared" si="19"/>
        <v>2</v>
      </c>
      <c r="I152" s="82">
        <f t="shared" si="20"/>
        <v>4</v>
      </c>
      <c r="K152" s="19">
        <v>4</v>
      </c>
      <c r="L152" s="10"/>
      <c r="M152" s="10"/>
    </row>
    <row r="153" spans="1:13" x14ac:dyDescent="0.25">
      <c r="A153" s="10">
        <f t="shared" si="18"/>
        <v>135</v>
      </c>
      <c r="B153" s="16" t="s">
        <v>441</v>
      </c>
      <c r="C153" s="11">
        <v>10</v>
      </c>
      <c r="D153" s="14">
        <v>2</v>
      </c>
      <c r="E153" s="14"/>
      <c r="F153" s="14"/>
      <c r="G153" s="14"/>
      <c r="H153" s="14">
        <f t="shared" si="19"/>
        <v>2</v>
      </c>
      <c r="I153" s="82">
        <f t="shared" si="20"/>
        <v>4</v>
      </c>
      <c r="K153" s="19">
        <v>4</v>
      </c>
      <c r="L153" s="10"/>
      <c r="M153" s="10"/>
    </row>
    <row r="154" spans="1:13" x14ac:dyDescent="0.25">
      <c r="A154" s="10">
        <f t="shared" si="18"/>
        <v>136</v>
      </c>
      <c r="B154" s="16" t="s">
        <v>437</v>
      </c>
      <c r="C154" s="11" t="s">
        <v>438</v>
      </c>
      <c r="D154" s="14">
        <v>4.5</v>
      </c>
      <c r="E154" s="14"/>
      <c r="F154" s="14"/>
      <c r="G154" s="14"/>
      <c r="H154" s="14">
        <f t="shared" si="19"/>
        <v>4.5</v>
      </c>
      <c r="I154" s="82">
        <f t="shared" si="20"/>
        <v>9</v>
      </c>
      <c r="K154" s="19">
        <v>2</v>
      </c>
      <c r="L154" s="10"/>
      <c r="M154" s="10"/>
    </row>
    <row r="155" spans="1:13" x14ac:dyDescent="0.25">
      <c r="A155" s="10">
        <f t="shared" si="18"/>
        <v>137</v>
      </c>
      <c r="B155" s="16" t="s">
        <v>101</v>
      </c>
      <c r="C155" s="11">
        <v>32</v>
      </c>
      <c r="D155" s="14">
        <v>20</v>
      </c>
      <c r="E155" s="14"/>
      <c r="F155" s="14"/>
      <c r="G155" s="14"/>
      <c r="H155" s="14">
        <f t="shared" si="19"/>
        <v>20</v>
      </c>
      <c r="I155" s="82">
        <f t="shared" si="20"/>
        <v>40</v>
      </c>
      <c r="K155" s="19">
        <v>40</v>
      </c>
      <c r="L155" s="10"/>
      <c r="M155" s="10"/>
    </row>
    <row r="156" spans="1:13" x14ac:dyDescent="0.25">
      <c r="A156" s="10">
        <f t="shared" si="18"/>
        <v>138</v>
      </c>
      <c r="B156" s="16" t="s">
        <v>102</v>
      </c>
      <c r="C156" s="11">
        <v>100</v>
      </c>
      <c r="D156" s="14">
        <v>30</v>
      </c>
      <c r="E156" s="14"/>
      <c r="F156" s="14">
        <v>12</v>
      </c>
      <c r="G156" s="14"/>
      <c r="H156" s="14">
        <f t="shared" si="19"/>
        <v>42</v>
      </c>
      <c r="I156" s="82">
        <f t="shared" si="20"/>
        <v>84</v>
      </c>
      <c r="K156" s="19">
        <v>20</v>
      </c>
      <c r="L156" s="10"/>
      <c r="M156" s="10"/>
    </row>
    <row r="157" spans="1:13" x14ac:dyDescent="0.25">
      <c r="A157" s="10">
        <f t="shared" si="18"/>
        <v>139</v>
      </c>
      <c r="B157" s="16" t="s">
        <v>103</v>
      </c>
      <c r="C157" s="11">
        <v>100</v>
      </c>
      <c r="D157" s="14">
        <v>150</v>
      </c>
      <c r="E157" s="14"/>
      <c r="F157" s="14">
        <v>12</v>
      </c>
      <c r="G157" s="14"/>
      <c r="H157" s="14">
        <f t="shared" si="19"/>
        <v>162</v>
      </c>
      <c r="I157" s="82">
        <f t="shared" si="20"/>
        <v>324</v>
      </c>
      <c r="K157" s="19">
        <v>500</v>
      </c>
      <c r="L157" s="10"/>
      <c r="M157" s="10"/>
    </row>
    <row r="158" spans="1:13" x14ac:dyDescent="0.25">
      <c r="A158" s="10">
        <f t="shared" si="18"/>
        <v>140</v>
      </c>
      <c r="B158" s="16" t="s">
        <v>104</v>
      </c>
      <c r="C158" s="11">
        <v>100</v>
      </c>
      <c r="D158" s="14">
        <v>12</v>
      </c>
      <c r="E158" s="14">
        <v>18</v>
      </c>
      <c r="F158" s="14">
        <v>1</v>
      </c>
      <c r="G158" s="14"/>
      <c r="H158" s="14">
        <f t="shared" si="19"/>
        <v>31</v>
      </c>
      <c r="I158" s="82">
        <f t="shared" si="20"/>
        <v>62</v>
      </c>
      <c r="K158" s="19">
        <v>50</v>
      </c>
      <c r="L158" s="10"/>
      <c r="M158" s="10"/>
    </row>
    <row r="159" spans="1:13" x14ac:dyDescent="0.25">
      <c r="A159" s="10">
        <f t="shared" si="18"/>
        <v>141</v>
      </c>
      <c r="B159" s="16" t="s">
        <v>105</v>
      </c>
      <c r="C159" s="11">
        <v>96</v>
      </c>
      <c r="D159" s="14">
        <v>695</v>
      </c>
      <c r="E159" s="14">
        <v>240</v>
      </c>
      <c r="F159" s="14">
        <v>80</v>
      </c>
      <c r="G159" s="14"/>
      <c r="H159" s="14">
        <f t="shared" si="19"/>
        <v>1015</v>
      </c>
      <c r="I159" s="82">
        <f t="shared" si="20"/>
        <v>2030</v>
      </c>
      <c r="K159" s="19">
        <v>2400</v>
      </c>
      <c r="L159" s="10"/>
      <c r="M159" s="10"/>
    </row>
    <row r="160" spans="1:13" x14ac:dyDescent="0.25">
      <c r="A160" s="10">
        <f t="shared" si="18"/>
        <v>142</v>
      </c>
      <c r="B160" s="16" t="s">
        <v>106</v>
      </c>
      <c r="C160" s="11" t="s">
        <v>144</v>
      </c>
      <c r="D160" s="14">
        <v>60</v>
      </c>
      <c r="E160" s="14"/>
      <c r="F160" s="14">
        <v>2</v>
      </c>
      <c r="G160" s="14"/>
      <c r="H160" s="14">
        <f t="shared" si="19"/>
        <v>62</v>
      </c>
      <c r="I160" s="82">
        <f t="shared" si="20"/>
        <v>124</v>
      </c>
      <c r="K160" s="19">
        <v>15000</v>
      </c>
      <c r="L160" s="10"/>
      <c r="M160" s="10"/>
    </row>
    <row r="161" spans="1:13" x14ac:dyDescent="0.25">
      <c r="A161" s="10">
        <f t="shared" si="18"/>
        <v>143</v>
      </c>
      <c r="B161" s="16" t="s">
        <v>107</v>
      </c>
      <c r="C161" s="11" t="s">
        <v>144</v>
      </c>
      <c r="D161" s="14">
        <v>3</v>
      </c>
      <c r="E161" s="14">
        <v>1.2</v>
      </c>
      <c r="F161" s="14">
        <v>1</v>
      </c>
      <c r="G161" s="14"/>
      <c r="H161" s="14">
        <f t="shared" si="19"/>
        <v>5.2</v>
      </c>
      <c r="I161" s="82">
        <f t="shared" si="20"/>
        <v>10.4</v>
      </c>
      <c r="K161" s="19">
        <v>1150</v>
      </c>
      <c r="L161" s="10"/>
      <c r="M161" s="10"/>
    </row>
    <row r="162" spans="1:13" x14ac:dyDescent="0.25">
      <c r="A162" s="10">
        <f t="shared" si="18"/>
        <v>144</v>
      </c>
      <c r="B162" s="16" t="s">
        <v>745</v>
      </c>
      <c r="C162" s="11">
        <v>100</v>
      </c>
      <c r="D162" s="14">
        <v>37</v>
      </c>
      <c r="E162" s="14">
        <v>0.5</v>
      </c>
      <c r="F162" s="14"/>
      <c r="G162" s="14"/>
      <c r="H162" s="14">
        <f t="shared" si="19"/>
        <v>37.5</v>
      </c>
      <c r="I162" s="82">
        <f t="shared" si="20"/>
        <v>75</v>
      </c>
      <c r="K162" s="19">
        <v>90</v>
      </c>
      <c r="L162" s="10"/>
      <c r="M162" s="10"/>
    </row>
    <row r="163" spans="1:13" x14ac:dyDescent="0.25">
      <c r="A163" s="10">
        <f t="shared" si="18"/>
        <v>145</v>
      </c>
      <c r="B163" s="16" t="s">
        <v>443</v>
      </c>
      <c r="C163" s="11">
        <v>10</v>
      </c>
      <c r="D163" s="14">
        <v>23</v>
      </c>
      <c r="E163" s="14"/>
      <c r="F163" s="14"/>
      <c r="G163" s="14"/>
      <c r="H163" s="14">
        <f t="shared" si="19"/>
        <v>23</v>
      </c>
      <c r="I163" s="82">
        <f t="shared" si="20"/>
        <v>46</v>
      </c>
      <c r="K163" s="19">
        <v>50</v>
      </c>
      <c r="L163" s="10"/>
      <c r="M163" s="10"/>
    </row>
    <row r="164" spans="1:13" x14ac:dyDescent="0.25">
      <c r="A164" s="10">
        <f t="shared" si="18"/>
        <v>146</v>
      </c>
      <c r="B164" s="16" t="s">
        <v>442</v>
      </c>
      <c r="C164" s="11">
        <v>10</v>
      </c>
      <c r="D164" s="14">
        <v>23</v>
      </c>
      <c r="E164" s="14"/>
      <c r="F164" s="14"/>
      <c r="G164" s="14"/>
      <c r="H164" s="14">
        <f t="shared" si="19"/>
        <v>23</v>
      </c>
      <c r="I164" s="82">
        <f t="shared" si="20"/>
        <v>46</v>
      </c>
      <c r="K164" s="19">
        <v>50</v>
      </c>
      <c r="L164" s="10"/>
      <c r="M164" s="10"/>
    </row>
    <row r="165" spans="1:13" x14ac:dyDescent="0.25">
      <c r="A165" s="10">
        <f t="shared" si="18"/>
        <v>147</v>
      </c>
      <c r="B165" s="16" t="s">
        <v>108</v>
      </c>
      <c r="C165" s="11">
        <v>30</v>
      </c>
      <c r="D165" s="14">
        <v>170</v>
      </c>
      <c r="E165" s="14"/>
      <c r="F165" s="14"/>
      <c r="G165" s="14"/>
      <c r="H165" s="14">
        <f t="shared" si="19"/>
        <v>170</v>
      </c>
      <c r="I165" s="82">
        <f t="shared" si="20"/>
        <v>340</v>
      </c>
      <c r="K165" s="19">
        <v>700</v>
      </c>
      <c r="L165" s="10"/>
      <c r="M165" s="10"/>
    </row>
    <row r="166" spans="1:13" x14ac:dyDescent="0.25">
      <c r="A166" s="10">
        <f t="shared" si="18"/>
        <v>148</v>
      </c>
      <c r="B166" s="16" t="s">
        <v>717</v>
      </c>
      <c r="C166" s="11">
        <v>100</v>
      </c>
      <c r="D166" s="14"/>
      <c r="E166" s="14"/>
      <c r="F166" s="14"/>
      <c r="G166" s="14"/>
      <c r="H166" s="14"/>
      <c r="I166" s="82"/>
      <c r="K166" s="19">
        <v>50</v>
      </c>
      <c r="L166" s="10"/>
      <c r="M166" s="10"/>
    </row>
    <row r="167" spans="1:13" x14ac:dyDescent="0.25">
      <c r="A167" s="10">
        <f t="shared" si="18"/>
        <v>149</v>
      </c>
      <c r="B167" s="16" t="s">
        <v>109</v>
      </c>
      <c r="C167" s="11">
        <v>10</v>
      </c>
      <c r="D167" s="14">
        <v>39</v>
      </c>
      <c r="E167" s="14"/>
      <c r="F167" s="14"/>
      <c r="G167" s="14"/>
      <c r="H167" s="14">
        <f>SUM(D167:G167)</f>
        <v>39</v>
      </c>
      <c r="I167" s="82">
        <f>H167*2</f>
        <v>78</v>
      </c>
      <c r="K167" s="19">
        <v>850</v>
      </c>
      <c r="L167" s="10"/>
      <c r="M167" s="10"/>
    </row>
    <row r="168" spans="1:13" x14ac:dyDescent="0.25">
      <c r="A168" s="10">
        <f t="shared" si="18"/>
        <v>150</v>
      </c>
      <c r="B168" s="16" t="s">
        <v>110</v>
      </c>
      <c r="C168" s="11">
        <v>30</v>
      </c>
      <c r="D168" s="14">
        <v>46</v>
      </c>
      <c r="E168" s="14"/>
      <c r="F168" s="14"/>
      <c r="G168" s="14"/>
      <c r="H168" s="14">
        <f>SUM(D168:G168)</f>
        <v>46</v>
      </c>
      <c r="I168" s="82">
        <f>H168*2</f>
        <v>92</v>
      </c>
      <c r="K168" s="19">
        <v>300</v>
      </c>
      <c r="L168" s="10"/>
      <c r="M168" s="10"/>
    </row>
    <row r="169" spans="1:13" x14ac:dyDescent="0.25">
      <c r="A169" s="10">
        <f t="shared" si="18"/>
        <v>151</v>
      </c>
      <c r="B169" s="16" t="s">
        <v>111</v>
      </c>
      <c r="C169" s="11">
        <v>100</v>
      </c>
      <c r="D169" s="14">
        <v>7</v>
      </c>
      <c r="E169" s="14"/>
      <c r="F169" s="14"/>
      <c r="G169" s="14"/>
      <c r="H169" s="14">
        <f>SUM(D169:G169)</f>
        <v>7</v>
      </c>
      <c r="I169" s="82">
        <f>H169*2</f>
        <v>14</v>
      </c>
      <c r="K169" s="19">
        <v>4</v>
      </c>
      <c r="L169" s="10"/>
      <c r="M169" s="10"/>
    </row>
    <row r="170" spans="1:13" x14ac:dyDescent="0.25">
      <c r="A170" s="10">
        <f t="shared" si="18"/>
        <v>152</v>
      </c>
      <c r="B170" s="16" t="s">
        <v>112</v>
      </c>
      <c r="C170" s="11">
        <v>100</v>
      </c>
      <c r="D170" s="14">
        <v>100</v>
      </c>
      <c r="E170" s="14"/>
      <c r="F170" s="14">
        <v>36</v>
      </c>
      <c r="G170" s="14"/>
      <c r="H170" s="14">
        <f>SUM(D170:G170)</f>
        <v>136</v>
      </c>
      <c r="I170" s="82">
        <f>H170*2</f>
        <v>272</v>
      </c>
      <c r="K170" s="19">
        <v>300</v>
      </c>
      <c r="L170" s="10"/>
      <c r="M170" s="10"/>
    </row>
    <row r="171" spans="1:13" x14ac:dyDescent="0.25">
      <c r="B171" s="19"/>
      <c r="C171" s="20"/>
      <c r="D171" s="15"/>
      <c r="E171" s="15"/>
      <c r="F171" s="15"/>
      <c r="G171" s="15"/>
      <c r="H171" s="15"/>
      <c r="I171" s="83"/>
      <c r="K171" s="19"/>
      <c r="L171" s="10"/>
      <c r="M171" s="10"/>
    </row>
    <row r="172" spans="1:13" x14ac:dyDescent="0.25">
      <c r="B172" s="19"/>
      <c r="C172" s="20"/>
      <c r="D172" s="15"/>
      <c r="E172" s="15"/>
      <c r="F172" s="15"/>
      <c r="G172" s="15"/>
      <c r="H172" s="15"/>
      <c r="I172" s="83"/>
      <c r="K172" s="19"/>
      <c r="L172" s="10"/>
      <c r="M172" s="10"/>
    </row>
    <row r="173" spans="1:13" ht="23.25" x14ac:dyDescent="0.25">
      <c r="A173" s="12" t="s">
        <v>113</v>
      </c>
      <c r="B173" s="22" t="s">
        <v>114</v>
      </c>
      <c r="C173" s="20"/>
      <c r="D173" s="15"/>
      <c r="E173" s="15"/>
      <c r="F173" s="15"/>
      <c r="G173" s="15"/>
      <c r="H173" s="15"/>
      <c r="I173" s="83"/>
      <c r="K173" s="19"/>
      <c r="L173" s="10"/>
      <c r="M173" s="10"/>
    </row>
    <row r="174" spans="1:13" x14ac:dyDescent="0.25">
      <c r="A174" s="10">
        <f>A170+1</f>
        <v>153</v>
      </c>
      <c r="B174" s="19" t="s">
        <v>718</v>
      </c>
      <c r="C174" s="20">
        <v>25</v>
      </c>
      <c r="D174" s="15"/>
      <c r="E174" s="15"/>
      <c r="F174" s="15"/>
      <c r="G174" s="15"/>
      <c r="H174" s="15"/>
      <c r="I174" s="83"/>
      <c r="K174" s="19">
        <v>60</v>
      </c>
      <c r="L174" s="10"/>
      <c r="M174" s="10"/>
    </row>
    <row r="175" spans="1:13" x14ac:dyDescent="0.25">
      <c r="A175" s="10">
        <f t="shared" ref="A175:A238" si="21">A174+1</f>
        <v>154</v>
      </c>
      <c r="B175" s="19" t="s">
        <v>115</v>
      </c>
      <c r="C175" s="20">
        <v>25</v>
      </c>
      <c r="D175" s="15">
        <v>10</v>
      </c>
      <c r="E175" s="15"/>
      <c r="F175" s="15"/>
      <c r="G175" s="15"/>
      <c r="H175" s="15">
        <f t="shared" ref="H175:H192" si="22">SUM(D175:G175)</f>
        <v>10</v>
      </c>
      <c r="I175" s="83">
        <f t="shared" ref="I175:I192" si="23">H175*2</f>
        <v>20</v>
      </c>
      <c r="K175" s="19">
        <v>100</v>
      </c>
      <c r="L175" s="10"/>
      <c r="M175" s="10"/>
    </row>
    <row r="176" spans="1:13" x14ac:dyDescent="0.25">
      <c r="A176" s="10">
        <f t="shared" si="21"/>
        <v>155</v>
      </c>
      <c r="B176" s="19" t="s">
        <v>116</v>
      </c>
      <c r="C176" s="20" t="s">
        <v>57</v>
      </c>
      <c r="D176" s="15">
        <v>21</v>
      </c>
      <c r="E176" s="15"/>
      <c r="F176" s="15"/>
      <c r="G176" s="15"/>
      <c r="H176" s="15">
        <f t="shared" si="22"/>
        <v>21</v>
      </c>
      <c r="I176" s="83">
        <f t="shared" si="23"/>
        <v>42</v>
      </c>
      <c r="K176" s="19">
        <v>1500</v>
      </c>
      <c r="L176" s="10"/>
      <c r="M176" s="10"/>
    </row>
    <row r="177" spans="1:13" x14ac:dyDescent="0.25">
      <c r="A177" s="10">
        <f t="shared" si="21"/>
        <v>156</v>
      </c>
      <c r="B177" s="19" t="s">
        <v>864</v>
      </c>
      <c r="C177" s="20" t="s">
        <v>144</v>
      </c>
      <c r="D177" s="15">
        <v>1</v>
      </c>
      <c r="E177" s="15">
        <v>1</v>
      </c>
      <c r="F177" s="15">
        <v>0.5</v>
      </c>
      <c r="G177" s="15"/>
      <c r="H177" s="15">
        <f t="shared" si="22"/>
        <v>2.5</v>
      </c>
      <c r="I177" s="83">
        <f t="shared" si="23"/>
        <v>5</v>
      </c>
      <c r="K177" s="19">
        <v>1200</v>
      </c>
      <c r="L177" s="10"/>
      <c r="M177" s="10"/>
    </row>
    <row r="178" spans="1:13" x14ac:dyDescent="0.25">
      <c r="A178" s="10">
        <f t="shared" si="21"/>
        <v>157</v>
      </c>
      <c r="B178" s="19" t="s">
        <v>117</v>
      </c>
      <c r="C178" s="20">
        <v>100</v>
      </c>
      <c r="D178" s="15">
        <v>5</v>
      </c>
      <c r="E178" s="15"/>
      <c r="F178" s="15">
        <v>6</v>
      </c>
      <c r="G178" s="15"/>
      <c r="H178" s="15">
        <f t="shared" si="22"/>
        <v>11</v>
      </c>
      <c r="I178" s="83">
        <f t="shared" si="23"/>
        <v>22</v>
      </c>
      <c r="K178" s="19">
        <v>40</v>
      </c>
      <c r="L178" s="10"/>
      <c r="M178" s="10"/>
    </row>
    <row r="179" spans="1:13" x14ac:dyDescent="0.25">
      <c r="A179" s="10">
        <f t="shared" si="21"/>
        <v>158</v>
      </c>
      <c r="B179" s="19" t="s">
        <v>746</v>
      </c>
      <c r="C179" s="20">
        <v>24</v>
      </c>
      <c r="D179" s="15"/>
      <c r="E179" s="15"/>
      <c r="F179" s="15"/>
      <c r="G179" s="15"/>
      <c r="H179" s="15"/>
      <c r="I179" s="83"/>
      <c r="K179" s="19">
        <v>300</v>
      </c>
      <c r="L179" s="10"/>
      <c r="M179" s="10"/>
    </row>
    <row r="180" spans="1:13" x14ac:dyDescent="0.25">
      <c r="A180" s="10">
        <f t="shared" si="21"/>
        <v>159</v>
      </c>
      <c r="B180" s="19" t="s">
        <v>118</v>
      </c>
      <c r="C180" s="20">
        <v>100</v>
      </c>
      <c r="D180" s="15">
        <v>90</v>
      </c>
      <c r="E180" s="15">
        <v>36</v>
      </c>
      <c r="F180" s="15">
        <v>18</v>
      </c>
      <c r="G180" s="15"/>
      <c r="H180" s="15">
        <f t="shared" si="22"/>
        <v>144</v>
      </c>
      <c r="I180" s="83">
        <f t="shared" si="23"/>
        <v>288</v>
      </c>
      <c r="K180" s="19">
        <v>400</v>
      </c>
      <c r="L180" s="10"/>
      <c r="M180" s="10"/>
    </row>
    <row r="181" spans="1:13" x14ac:dyDescent="0.25">
      <c r="A181" s="10">
        <f t="shared" si="21"/>
        <v>160</v>
      </c>
      <c r="B181" s="19" t="s">
        <v>119</v>
      </c>
      <c r="C181" s="20" t="s">
        <v>57</v>
      </c>
      <c r="D181" s="15">
        <v>1</v>
      </c>
      <c r="E181" s="15"/>
      <c r="F181" s="15"/>
      <c r="G181" s="15"/>
      <c r="H181" s="15">
        <f t="shared" si="22"/>
        <v>1</v>
      </c>
      <c r="I181" s="83">
        <f t="shared" si="23"/>
        <v>2</v>
      </c>
      <c r="K181" s="19">
        <v>200</v>
      </c>
      <c r="L181" s="10"/>
      <c r="M181" s="10"/>
    </row>
    <row r="182" spans="1:13" x14ac:dyDescent="0.25">
      <c r="A182" s="10">
        <f t="shared" si="21"/>
        <v>161</v>
      </c>
      <c r="B182" s="19" t="s">
        <v>120</v>
      </c>
      <c r="C182" s="20" t="s">
        <v>144</v>
      </c>
      <c r="D182" s="15">
        <v>14</v>
      </c>
      <c r="E182" s="15">
        <v>3</v>
      </c>
      <c r="F182" s="15">
        <v>2.5</v>
      </c>
      <c r="G182" s="15"/>
      <c r="H182" s="15">
        <f t="shared" si="22"/>
        <v>19.5</v>
      </c>
      <c r="I182" s="83">
        <f t="shared" si="23"/>
        <v>39</v>
      </c>
      <c r="K182" s="19">
        <v>460</v>
      </c>
      <c r="L182" s="10"/>
      <c r="M182" s="10"/>
    </row>
    <row r="183" spans="1:13" x14ac:dyDescent="0.25">
      <c r="A183" s="10">
        <f t="shared" si="21"/>
        <v>162</v>
      </c>
      <c r="B183" s="19" t="s">
        <v>121</v>
      </c>
      <c r="C183" s="20" t="s">
        <v>57</v>
      </c>
      <c r="D183" s="15">
        <v>350</v>
      </c>
      <c r="E183" s="15"/>
      <c r="F183" s="15">
        <v>2</v>
      </c>
      <c r="G183" s="15"/>
      <c r="H183" s="15">
        <f t="shared" si="22"/>
        <v>352</v>
      </c>
      <c r="I183" s="83">
        <f t="shared" si="23"/>
        <v>704</v>
      </c>
      <c r="K183" s="19">
        <v>4500</v>
      </c>
      <c r="L183" s="10"/>
      <c r="M183" s="10"/>
    </row>
    <row r="184" spans="1:13" x14ac:dyDescent="0.25">
      <c r="A184" s="10">
        <f t="shared" si="21"/>
        <v>163</v>
      </c>
      <c r="B184" s="19" t="s">
        <v>122</v>
      </c>
      <c r="C184" s="20">
        <v>14</v>
      </c>
      <c r="D184" s="15">
        <v>485</v>
      </c>
      <c r="E184" s="15"/>
      <c r="F184" s="15"/>
      <c r="G184" s="15"/>
      <c r="H184" s="15">
        <f t="shared" si="22"/>
        <v>485</v>
      </c>
      <c r="I184" s="83">
        <f t="shared" si="23"/>
        <v>970</v>
      </c>
      <c r="K184" s="19">
        <v>1500</v>
      </c>
      <c r="L184" s="10"/>
      <c r="M184" s="10"/>
    </row>
    <row r="185" spans="1:13" x14ac:dyDescent="0.25">
      <c r="A185" s="10">
        <f t="shared" si="21"/>
        <v>164</v>
      </c>
      <c r="B185" s="19" t="s">
        <v>123</v>
      </c>
      <c r="C185" s="20">
        <v>14</v>
      </c>
      <c r="D185" s="15">
        <v>90</v>
      </c>
      <c r="E185" s="15"/>
      <c r="F185" s="15">
        <v>10</v>
      </c>
      <c r="G185" s="15"/>
      <c r="H185" s="15">
        <f t="shared" si="22"/>
        <v>100</v>
      </c>
      <c r="I185" s="83">
        <f t="shared" si="23"/>
        <v>200</v>
      </c>
      <c r="K185" s="19">
        <v>100</v>
      </c>
      <c r="L185" s="10"/>
      <c r="M185" s="10"/>
    </row>
    <row r="186" spans="1:13" x14ac:dyDescent="0.25">
      <c r="A186" s="10">
        <f t="shared" si="21"/>
        <v>165</v>
      </c>
      <c r="B186" s="19" t="s">
        <v>447</v>
      </c>
      <c r="C186" s="20" t="s">
        <v>57</v>
      </c>
      <c r="D186" s="15">
        <v>3</v>
      </c>
      <c r="E186" s="15"/>
      <c r="F186" s="15"/>
      <c r="G186" s="15"/>
      <c r="H186" s="15">
        <f t="shared" si="22"/>
        <v>3</v>
      </c>
      <c r="I186" s="83">
        <f t="shared" si="23"/>
        <v>6</v>
      </c>
      <c r="K186" s="19">
        <v>100</v>
      </c>
      <c r="L186" s="10"/>
      <c r="M186" s="10"/>
    </row>
    <row r="187" spans="1:13" x14ac:dyDescent="0.25">
      <c r="A187" s="10">
        <f t="shared" si="21"/>
        <v>166</v>
      </c>
      <c r="B187" s="19" t="s">
        <v>124</v>
      </c>
      <c r="C187" s="20">
        <v>15</v>
      </c>
      <c r="D187" s="15">
        <v>420</v>
      </c>
      <c r="E187" s="15">
        <v>54</v>
      </c>
      <c r="F187" s="15">
        <v>60</v>
      </c>
      <c r="G187" s="15"/>
      <c r="H187" s="15">
        <f t="shared" si="22"/>
        <v>534</v>
      </c>
      <c r="I187" s="83">
        <f t="shared" si="23"/>
        <v>1068</v>
      </c>
      <c r="K187" s="19">
        <v>1500</v>
      </c>
      <c r="L187" s="10"/>
      <c r="M187" s="10"/>
    </row>
    <row r="188" spans="1:13" x14ac:dyDescent="0.25">
      <c r="A188" s="10">
        <f t="shared" si="21"/>
        <v>167</v>
      </c>
      <c r="B188" s="19" t="s">
        <v>125</v>
      </c>
      <c r="C188" s="20">
        <v>100</v>
      </c>
      <c r="D188" s="15">
        <v>31</v>
      </c>
      <c r="E188" s="15">
        <v>54</v>
      </c>
      <c r="F188" s="15">
        <v>2</v>
      </c>
      <c r="G188" s="15"/>
      <c r="H188" s="15">
        <f t="shared" si="22"/>
        <v>87</v>
      </c>
      <c r="I188" s="83">
        <f t="shared" si="23"/>
        <v>174</v>
      </c>
      <c r="K188" s="19">
        <v>100</v>
      </c>
      <c r="L188" s="10"/>
      <c r="M188" s="10"/>
    </row>
    <row r="189" spans="1:13" x14ac:dyDescent="0.25">
      <c r="A189" s="10">
        <f t="shared" si="21"/>
        <v>168</v>
      </c>
      <c r="B189" s="19" t="s">
        <v>126</v>
      </c>
      <c r="C189" s="20" t="s">
        <v>144</v>
      </c>
      <c r="D189" s="15">
        <v>1</v>
      </c>
      <c r="E189" s="15">
        <v>3</v>
      </c>
      <c r="F189" s="15">
        <v>1</v>
      </c>
      <c r="G189" s="15"/>
      <c r="H189" s="15">
        <f t="shared" si="22"/>
        <v>5</v>
      </c>
      <c r="I189" s="83">
        <f t="shared" si="23"/>
        <v>10</v>
      </c>
      <c r="K189" s="19">
        <v>50</v>
      </c>
      <c r="L189" s="10"/>
      <c r="M189" s="10"/>
    </row>
    <row r="190" spans="1:13" x14ac:dyDescent="0.25">
      <c r="A190" s="10">
        <f t="shared" si="21"/>
        <v>169</v>
      </c>
      <c r="B190" s="19" t="s">
        <v>127</v>
      </c>
      <c r="C190" s="20" t="s">
        <v>57</v>
      </c>
      <c r="D190" s="15">
        <v>50</v>
      </c>
      <c r="E190" s="15"/>
      <c r="F190" s="15"/>
      <c r="G190" s="15"/>
      <c r="H190" s="15">
        <f t="shared" si="22"/>
        <v>50</v>
      </c>
      <c r="I190" s="83">
        <f t="shared" si="23"/>
        <v>100</v>
      </c>
      <c r="K190" s="19">
        <v>100</v>
      </c>
      <c r="L190" s="10"/>
      <c r="M190" s="10"/>
    </row>
    <row r="191" spans="1:13" x14ac:dyDescent="0.25">
      <c r="A191" s="10">
        <f t="shared" si="21"/>
        <v>170</v>
      </c>
      <c r="B191" s="19" t="s">
        <v>128</v>
      </c>
      <c r="C191" s="20" t="s">
        <v>57</v>
      </c>
      <c r="D191" s="15">
        <v>11</v>
      </c>
      <c r="E191" s="15"/>
      <c r="F191" s="15"/>
      <c r="G191" s="15"/>
      <c r="H191" s="15">
        <f t="shared" si="22"/>
        <v>11</v>
      </c>
      <c r="I191" s="83">
        <f t="shared" si="23"/>
        <v>22</v>
      </c>
      <c r="K191" s="19">
        <v>1000</v>
      </c>
      <c r="L191" s="10"/>
      <c r="M191" s="10"/>
    </row>
    <row r="192" spans="1:13" x14ac:dyDescent="0.25">
      <c r="A192" s="10">
        <f t="shared" si="21"/>
        <v>171</v>
      </c>
      <c r="B192" s="19" t="s">
        <v>448</v>
      </c>
      <c r="C192" s="20" t="s">
        <v>144</v>
      </c>
      <c r="D192" s="15">
        <v>4.5</v>
      </c>
      <c r="E192" s="15"/>
      <c r="F192" s="15"/>
      <c r="G192" s="15"/>
      <c r="H192" s="15">
        <f t="shared" si="22"/>
        <v>4.5</v>
      </c>
      <c r="I192" s="83">
        <f t="shared" si="23"/>
        <v>9</v>
      </c>
      <c r="K192" s="19">
        <v>100</v>
      </c>
      <c r="L192" s="10"/>
      <c r="M192" s="10"/>
    </row>
    <row r="193" spans="1:13" x14ac:dyDescent="0.25">
      <c r="A193" s="10">
        <f t="shared" si="21"/>
        <v>172</v>
      </c>
      <c r="B193" s="19" t="s">
        <v>667</v>
      </c>
      <c r="C193" s="20">
        <v>10</v>
      </c>
      <c r="D193" s="15"/>
      <c r="E193" s="15"/>
      <c r="F193" s="15"/>
      <c r="G193" s="15"/>
      <c r="H193" s="15"/>
      <c r="I193" s="83"/>
      <c r="K193" s="19">
        <v>200</v>
      </c>
      <c r="L193" s="10"/>
      <c r="M193" s="10"/>
    </row>
    <row r="194" spans="1:13" x14ac:dyDescent="0.25">
      <c r="A194" s="10">
        <f t="shared" si="21"/>
        <v>173</v>
      </c>
      <c r="B194" s="19" t="s">
        <v>449</v>
      </c>
      <c r="C194" s="20" t="s">
        <v>57</v>
      </c>
      <c r="D194" s="15">
        <v>46</v>
      </c>
      <c r="E194" s="15"/>
      <c r="F194" s="15"/>
      <c r="G194" s="15"/>
      <c r="H194" s="15">
        <f t="shared" ref="H194:H199" si="24">SUM(D194:G194)</f>
        <v>46</v>
      </c>
      <c r="I194" s="83">
        <f t="shared" ref="I194:I199" si="25">H194*2</f>
        <v>92</v>
      </c>
      <c r="K194" s="19">
        <v>100</v>
      </c>
      <c r="L194" s="10"/>
      <c r="M194" s="10"/>
    </row>
    <row r="195" spans="1:13" x14ac:dyDescent="0.25">
      <c r="A195" s="10">
        <f t="shared" si="21"/>
        <v>174</v>
      </c>
      <c r="B195" s="19" t="s">
        <v>130</v>
      </c>
      <c r="C195" s="20" t="s">
        <v>144</v>
      </c>
      <c r="D195" s="15">
        <v>2</v>
      </c>
      <c r="E195" s="15"/>
      <c r="F195" s="15"/>
      <c r="G195" s="15"/>
      <c r="H195" s="15">
        <f t="shared" si="24"/>
        <v>2</v>
      </c>
      <c r="I195" s="83">
        <f t="shared" si="25"/>
        <v>4</v>
      </c>
      <c r="K195" s="19">
        <v>40</v>
      </c>
      <c r="L195" s="10"/>
      <c r="M195" s="10"/>
    </row>
    <row r="196" spans="1:13" x14ac:dyDescent="0.25">
      <c r="A196" s="10">
        <f t="shared" si="21"/>
        <v>175</v>
      </c>
      <c r="B196" s="19" t="s">
        <v>129</v>
      </c>
      <c r="C196" s="20">
        <v>10</v>
      </c>
      <c r="D196" s="15">
        <v>8</v>
      </c>
      <c r="E196" s="15"/>
      <c r="F196" s="15"/>
      <c r="G196" s="15"/>
      <c r="H196" s="15">
        <f t="shared" si="24"/>
        <v>8</v>
      </c>
      <c r="I196" s="83">
        <f t="shared" si="25"/>
        <v>16</v>
      </c>
      <c r="K196" s="19">
        <v>200</v>
      </c>
      <c r="L196" s="10"/>
      <c r="M196" s="10"/>
    </row>
    <row r="197" spans="1:13" x14ac:dyDescent="0.25">
      <c r="A197" s="10">
        <f t="shared" si="21"/>
        <v>176</v>
      </c>
      <c r="B197" s="19" t="s">
        <v>868</v>
      </c>
      <c r="C197" s="20" t="s">
        <v>144</v>
      </c>
      <c r="D197" s="15"/>
      <c r="E197" s="15"/>
      <c r="F197" s="15">
        <v>1</v>
      </c>
      <c r="G197" s="15"/>
      <c r="H197" s="15">
        <f t="shared" si="24"/>
        <v>1</v>
      </c>
      <c r="I197" s="83">
        <f t="shared" si="25"/>
        <v>2</v>
      </c>
      <c r="K197" s="19">
        <v>60</v>
      </c>
      <c r="L197" s="10"/>
      <c r="M197" s="10"/>
    </row>
    <row r="198" spans="1:13" x14ac:dyDescent="0.25">
      <c r="A198" s="10">
        <f t="shared" si="21"/>
        <v>177</v>
      </c>
      <c r="B198" s="19" t="s">
        <v>131</v>
      </c>
      <c r="C198" s="20" t="s">
        <v>57</v>
      </c>
      <c r="D198" s="15">
        <v>12</v>
      </c>
      <c r="E198" s="15"/>
      <c r="F198" s="15"/>
      <c r="G198" s="15"/>
      <c r="H198" s="15">
        <f t="shared" si="24"/>
        <v>12</v>
      </c>
      <c r="I198" s="83">
        <f t="shared" si="25"/>
        <v>24</v>
      </c>
      <c r="K198" s="19">
        <v>500</v>
      </c>
      <c r="L198" s="10"/>
      <c r="M198" s="10"/>
    </row>
    <row r="199" spans="1:13" x14ac:dyDescent="0.25">
      <c r="A199" s="10">
        <f t="shared" si="21"/>
        <v>178</v>
      </c>
      <c r="B199" s="19" t="s">
        <v>132</v>
      </c>
      <c r="C199" s="20">
        <v>10</v>
      </c>
      <c r="D199" s="15">
        <v>20</v>
      </c>
      <c r="E199" s="15"/>
      <c r="F199" s="15"/>
      <c r="G199" s="15"/>
      <c r="H199" s="15">
        <f t="shared" si="24"/>
        <v>20</v>
      </c>
      <c r="I199" s="83">
        <f t="shared" si="25"/>
        <v>40</v>
      </c>
      <c r="K199" s="19">
        <v>50</v>
      </c>
      <c r="L199" s="10"/>
      <c r="M199" s="10"/>
    </row>
    <row r="200" spans="1:13" x14ac:dyDescent="0.25">
      <c r="A200" s="10">
        <f t="shared" si="21"/>
        <v>179</v>
      </c>
      <c r="B200" s="19" t="s">
        <v>747</v>
      </c>
      <c r="C200" s="20" t="s">
        <v>144</v>
      </c>
      <c r="D200" s="15"/>
      <c r="E200" s="15"/>
      <c r="F200" s="15"/>
      <c r="G200" s="15"/>
      <c r="H200" s="15"/>
      <c r="I200" s="83"/>
      <c r="K200" s="19">
        <v>200</v>
      </c>
      <c r="L200" s="10"/>
      <c r="M200" s="10"/>
    </row>
    <row r="201" spans="1:13" x14ac:dyDescent="0.25">
      <c r="A201" s="18">
        <f t="shared" si="21"/>
        <v>180</v>
      </c>
      <c r="B201" s="19" t="s">
        <v>133</v>
      </c>
      <c r="C201" s="20" t="s">
        <v>57</v>
      </c>
      <c r="D201" s="15">
        <v>20</v>
      </c>
      <c r="E201" s="15"/>
      <c r="F201" s="15"/>
      <c r="G201" s="15"/>
      <c r="H201" s="15">
        <f t="shared" ref="H201:H215" si="26">SUM(D201:G201)</f>
        <v>20</v>
      </c>
      <c r="I201" s="83">
        <f t="shared" ref="I201:I215" si="27">H201*2</f>
        <v>40</v>
      </c>
      <c r="K201" s="19">
        <v>1300</v>
      </c>
      <c r="L201" s="10"/>
      <c r="M201" s="10"/>
    </row>
    <row r="202" spans="1:13" x14ac:dyDescent="0.25">
      <c r="A202" s="18">
        <f t="shared" si="21"/>
        <v>181</v>
      </c>
      <c r="B202" s="19" t="s">
        <v>134</v>
      </c>
      <c r="C202" s="20" t="s">
        <v>57</v>
      </c>
      <c r="D202" s="15">
        <v>277</v>
      </c>
      <c r="E202" s="15">
        <v>18</v>
      </c>
      <c r="F202" s="15">
        <v>7</v>
      </c>
      <c r="G202" s="15"/>
      <c r="H202" s="15">
        <f t="shared" si="26"/>
        <v>302</v>
      </c>
      <c r="I202" s="83">
        <f t="shared" si="27"/>
        <v>604</v>
      </c>
      <c r="K202" s="19">
        <v>16000</v>
      </c>
      <c r="L202" s="10"/>
      <c r="M202" s="10"/>
    </row>
    <row r="203" spans="1:13" x14ac:dyDescent="0.25">
      <c r="A203" s="18">
        <f t="shared" si="21"/>
        <v>182</v>
      </c>
      <c r="B203" s="19" t="s">
        <v>135</v>
      </c>
      <c r="C203" s="20" t="s">
        <v>57</v>
      </c>
      <c r="D203" s="15">
        <v>8</v>
      </c>
      <c r="E203" s="15"/>
      <c r="F203" s="15"/>
      <c r="G203" s="15"/>
      <c r="H203" s="15">
        <f t="shared" si="26"/>
        <v>8</v>
      </c>
      <c r="I203" s="83">
        <f t="shared" si="27"/>
        <v>16</v>
      </c>
      <c r="K203" s="19">
        <v>600</v>
      </c>
      <c r="L203" s="10"/>
      <c r="M203" s="10"/>
    </row>
    <row r="204" spans="1:13" x14ac:dyDescent="0.25">
      <c r="A204" s="18">
        <f t="shared" si="21"/>
        <v>183</v>
      </c>
      <c r="B204" s="19" t="s">
        <v>136</v>
      </c>
      <c r="C204" s="20">
        <v>10</v>
      </c>
      <c r="D204" s="15">
        <v>132</v>
      </c>
      <c r="E204" s="15">
        <v>50</v>
      </c>
      <c r="F204" s="15">
        <v>40</v>
      </c>
      <c r="G204" s="15"/>
      <c r="H204" s="15">
        <f t="shared" si="26"/>
        <v>222</v>
      </c>
      <c r="I204" s="83">
        <f t="shared" si="27"/>
        <v>444</v>
      </c>
      <c r="K204" s="19">
        <v>1000</v>
      </c>
      <c r="L204" s="10"/>
      <c r="M204" s="10"/>
    </row>
    <row r="205" spans="1:13" x14ac:dyDescent="0.25">
      <c r="A205" s="18">
        <f t="shared" si="21"/>
        <v>184</v>
      </c>
      <c r="B205" s="19" t="s">
        <v>137</v>
      </c>
      <c r="C205" s="20">
        <v>10</v>
      </c>
      <c r="D205" s="15">
        <v>710</v>
      </c>
      <c r="E205" s="15">
        <v>90</v>
      </c>
      <c r="F205" s="15">
        <v>120</v>
      </c>
      <c r="G205" s="15"/>
      <c r="H205" s="15">
        <f t="shared" si="26"/>
        <v>920</v>
      </c>
      <c r="I205" s="83">
        <f t="shared" si="27"/>
        <v>1840</v>
      </c>
      <c r="K205" s="19">
        <v>5000</v>
      </c>
      <c r="L205" s="10"/>
      <c r="M205" s="10"/>
    </row>
    <row r="206" spans="1:13" x14ac:dyDescent="0.25">
      <c r="A206" s="18">
        <f t="shared" si="21"/>
        <v>185</v>
      </c>
      <c r="B206" s="19" t="s">
        <v>138</v>
      </c>
      <c r="C206" s="20" t="s">
        <v>57</v>
      </c>
      <c r="D206" s="15">
        <v>100</v>
      </c>
      <c r="E206" s="15"/>
      <c r="F206" s="15"/>
      <c r="G206" s="15"/>
      <c r="H206" s="15">
        <f t="shared" si="26"/>
        <v>100</v>
      </c>
      <c r="I206" s="83">
        <f t="shared" si="27"/>
        <v>200</v>
      </c>
      <c r="K206" s="19">
        <f>1600*5</f>
        <v>8000</v>
      </c>
      <c r="L206" s="10"/>
      <c r="M206" s="10"/>
    </row>
    <row r="207" spans="1:13" x14ac:dyDescent="0.25">
      <c r="A207" s="18">
        <f t="shared" si="21"/>
        <v>186</v>
      </c>
      <c r="B207" s="19" t="s">
        <v>748</v>
      </c>
      <c r="C207" s="20" t="s">
        <v>144</v>
      </c>
      <c r="D207" s="15">
        <v>37</v>
      </c>
      <c r="E207" s="15">
        <v>3</v>
      </c>
      <c r="F207" s="15">
        <v>6</v>
      </c>
      <c r="G207" s="15"/>
      <c r="H207" s="15">
        <f t="shared" si="26"/>
        <v>46</v>
      </c>
      <c r="I207" s="83">
        <f t="shared" si="27"/>
        <v>92</v>
      </c>
      <c r="K207" s="19">
        <v>1200</v>
      </c>
      <c r="L207" s="10"/>
      <c r="M207" s="10"/>
    </row>
    <row r="208" spans="1:13" x14ac:dyDescent="0.25">
      <c r="A208" s="18">
        <f t="shared" si="21"/>
        <v>187</v>
      </c>
      <c r="B208" s="19" t="s">
        <v>749</v>
      </c>
      <c r="C208" s="20" t="s">
        <v>144</v>
      </c>
      <c r="D208" s="15">
        <v>23</v>
      </c>
      <c r="E208" s="15"/>
      <c r="F208" s="15"/>
      <c r="G208" s="15"/>
      <c r="H208" s="15">
        <f t="shared" si="26"/>
        <v>23</v>
      </c>
      <c r="I208" s="83">
        <f t="shared" si="27"/>
        <v>46</v>
      </c>
      <c r="K208" s="19">
        <v>300</v>
      </c>
      <c r="L208" s="10"/>
      <c r="M208" s="10"/>
    </row>
    <row r="209" spans="1:13" x14ac:dyDescent="0.25">
      <c r="A209" s="18">
        <f t="shared" si="21"/>
        <v>188</v>
      </c>
      <c r="B209" s="19" t="s">
        <v>865</v>
      </c>
      <c r="C209" s="20" t="s">
        <v>144</v>
      </c>
      <c r="D209" s="15">
        <v>3</v>
      </c>
      <c r="E209" s="15"/>
      <c r="F209" s="15"/>
      <c r="G209" s="15"/>
      <c r="H209" s="15">
        <f t="shared" si="26"/>
        <v>3</v>
      </c>
      <c r="I209" s="83">
        <f t="shared" si="27"/>
        <v>6</v>
      </c>
      <c r="K209" s="19">
        <v>70</v>
      </c>
      <c r="L209" s="10"/>
      <c r="M209" s="10"/>
    </row>
    <row r="210" spans="1:13" x14ac:dyDescent="0.25">
      <c r="A210" s="18">
        <f t="shared" si="21"/>
        <v>189</v>
      </c>
      <c r="B210" s="19" t="s">
        <v>139</v>
      </c>
      <c r="C210" s="20">
        <v>10</v>
      </c>
      <c r="D210" s="15">
        <v>543</v>
      </c>
      <c r="E210" s="15">
        <v>228</v>
      </c>
      <c r="F210" s="15">
        <v>90</v>
      </c>
      <c r="G210" s="15"/>
      <c r="H210" s="15">
        <f t="shared" si="26"/>
        <v>861</v>
      </c>
      <c r="I210" s="83">
        <f t="shared" si="27"/>
        <v>1722</v>
      </c>
      <c r="K210" s="19">
        <v>4000</v>
      </c>
      <c r="L210" s="10"/>
      <c r="M210" s="10"/>
    </row>
    <row r="211" spans="1:13" x14ac:dyDescent="0.25">
      <c r="A211" s="18">
        <f t="shared" si="21"/>
        <v>190</v>
      </c>
      <c r="B211" s="19" t="s">
        <v>140</v>
      </c>
      <c r="C211" s="20" t="s">
        <v>144</v>
      </c>
      <c r="D211" s="15">
        <v>30</v>
      </c>
      <c r="E211" s="15"/>
      <c r="F211" s="15">
        <v>1</v>
      </c>
      <c r="G211" s="15"/>
      <c r="H211" s="15">
        <f t="shared" si="26"/>
        <v>31</v>
      </c>
      <c r="I211" s="83">
        <f t="shared" si="27"/>
        <v>62</v>
      </c>
      <c r="K211" s="19">
        <v>6000</v>
      </c>
      <c r="L211" s="10"/>
      <c r="M211" s="10"/>
    </row>
    <row r="212" spans="1:13" x14ac:dyDescent="0.25">
      <c r="A212" s="18">
        <f t="shared" si="21"/>
        <v>191</v>
      </c>
      <c r="B212" s="19" t="s">
        <v>141</v>
      </c>
      <c r="C212" s="20">
        <v>10</v>
      </c>
      <c r="D212" s="15">
        <v>20</v>
      </c>
      <c r="E212" s="15"/>
      <c r="F212" s="15"/>
      <c r="G212" s="15"/>
      <c r="H212" s="15">
        <f t="shared" si="26"/>
        <v>20</v>
      </c>
      <c r="I212" s="83">
        <f t="shared" si="27"/>
        <v>40</v>
      </c>
      <c r="K212" s="19">
        <v>40</v>
      </c>
      <c r="L212" s="10"/>
      <c r="M212" s="10"/>
    </row>
    <row r="213" spans="1:13" x14ac:dyDescent="0.25">
      <c r="A213" s="18">
        <f t="shared" si="21"/>
        <v>192</v>
      </c>
      <c r="B213" s="19" t="s">
        <v>142</v>
      </c>
      <c r="C213" s="20">
        <v>16</v>
      </c>
      <c r="D213" s="15">
        <v>9</v>
      </c>
      <c r="E213" s="15"/>
      <c r="F213" s="15"/>
      <c r="G213" s="15"/>
      <c r="H213" s="15">
        <f t="shared" si="26"/>
        <v>9</v>
      </c>
      <c r="I213" s="83">
        <f t="shared" si="27"/>
        <v>18</v>
      </c>
      <c r="K213" s="19">
        <v>40</v>
      </c>
      <c r="L213" s="10"/>
      <c r="M213" s="10"/>
    </row>
    <row r="214" spans="1:13" x14ac:dyDescent="0.25">
      <c r="A214" s="18">
        <f t="shared" si="21"/>
        <v>193</v>
      </c>
      <c r="B214" s="19" t="s">
        <v>143</v>
      </c>
      <c r="C214" s="20" t="s">
        <v>656</v>
      </c>
      <c r="D214" s="15">
        <v>12</v>
      </c>
      <c r="E214" s="15"/>
      <c r="F214" s="15">
        <v>2</v>
      </c>
      <c r="G214" s="15"/>
      <c r="H214" s="15">
        <f t="shared" si="26"/>
        <v>14</v>
      </c>
      <c r="I214" s="83">
        <f t="shared" si="27"/>
        <v>28</v>
      </c>
      <c r="K214" s="19">
        <v>500</v>
      </c>
      <c r="L214" s="10"/>
      <c r="M214" s="10"/>
    </row>
    <row r="215" spans="1:13" x14ac:dyDescent="0.25">
      <c r="A215" s="18">
        <f t="shared" si="21"/>
        <v>194</v>
      </c>
      <c r="B215" s="19" t="s">
        <v>450</v>
      </c>
      <c r="C215" s="20">
        <v>6</v>
      </c>
      <c r="D215" s="15">
        <v>46</v>
      </c>
      <c r="E215" s="15"/>
      <c r="F215" s="15"/>
      <c r="G215" s="15"/>
      <c r="H215" s="15">
        <f t="shared" si="26"/>
        <v>46</v>
      </c>
      <c r="I215" s="83">
        <f t="shared" si="27"/>
        <v>92</v>
      </c>
      <c r="K215" s="19">
        <v>200</v>
      </c>
      <c r="L215" s="10"/>
      <c r="M215" s="10"/>
    </row>
    <row r="216" spans="1:13" x14ac:dyDescent="0.25">
      <c r="A216" s="18">
        <f t="shared" si="21"/>
        <v>195</v>
      </c>
      <c r="B216" s="19" t="s">
        <v>709</v>
      </c>
      <c r="C216" s="20">
        <v>100</v>
      </c>
      <c r="D216" s="15"/>
      <c r="E216" s="15"/>
      <c r="F216" s="15"/>
      <c r="G216" s="15"/>
      <c r="H216" s="15"/>
      <c r="I216" s="83"/>
      <c r="K216" s="19">
        <v>120</v>
      </c>
      <c r="L216" s="10"/>
      <c r="M216" s="10"/>
    </row>
    <row r="217" spans="1:13" x14ac:dyDescent="0.25">
      <c r="A217" s="18">
        <f t="shared" si="21"/>
        <v>196</v>
      </c>
      <c r="B217" s="19" t="s">
        <v>708</v>
      </c>
      <c r="C217" s="20">
        <v>100</v>
      </c>
      <c r="D217" s="15"/>
      <c r="E217" s="15"/>
      <c r="F217" s="15"/>
      <c r="G217" s="15"/>
      <c r="H217" s="15">
        <f t="shared" ref="H217:H239" si="28">SUM(D217:G217)</f>
        <v>0</v>
      </c>
      <c r="I217" s="83">
        <f t="shared" ref="I217:I239" si="29">H217*2</f>
        <v>0</v>
      </c>
      <c r="K217" s="19">
        <v>50</v>
      </c>
      <c r="L217" s="10"/>
      <c r="M217" s="10"/>
    </row>
    <row r="218" spans="1:13" x14ac:dyDescent="0.25">
      <c r="A218" s="18">
        <f t="shared" si="21"/>
        <v>197</v>
      </c>
      <c r="B218" s="19" t="s">
        <v>866</v>
      </c>
      <c r="C218" s="20" t="s">
        <v>144</v>
      </c>
      <c r="D218" s="15">
        <v>1</v>
      </c>
      <c r="E218" s="15"/>
      <c r="F218" s="15"/>
      <c r="G218" s="15"/>
      <c r="H218" s="15">
        <f t="shared" si="28"/>
        <v>1</v>
      </c>
      <c r="I218" s="83">
        <f t="shared" si="29"/>
        <v>2</v>
      </c>
      <c r="K218" s="19">
        <v>100</v>
      </c>
      <c r="L218" s="10"/>
      <c r="M218" s="10"/>
    </row>
    <row r="219" spans="1:13" x14ac:dyDescent="0.25">
      <c r="A219" s="18">
        <f t="shared" si="21"/>
        <v>198</v>
      </c>
      <c r="B219" s="19" t="s">
        <v>145</v>
      </c>
      <c r="C219" s="20">
        <v>100</v>
      </c>
      <c r="D219" s="15">
        <v>20</v>
      </c>
      <c r="E219" s="15"/>
      <c r="F219" s="15">
        <v>6</v>
      </c>
      <c r="G219" s="15"/>
      <c r="H219" s="15">
        <f t="shared" si="28"/>
        <v>26</v>
      </c>
      <c r="I219" s="83">
        <f t="shared" si="29"/>
        <v>52</v>
      </c>
      <c r="K219" s="19">
        <v>150</v>
      </c>
      <c r="L219" s="10"/>
      <c r="M219" s="10"/>
    </row>
    <row r="220" spans="1:13" x14ac:dyDescent="0.25">
      <c r="A220" s="18">
        <f t="shared" si="21"/>
        <v>199</v>
      </c>
      <c r="B220" s="19" t="s">
        <v>146</v>
      </c>
      <c r="C220" s="20" t="s">
        <v>144</v>
      </c>
      <c r="D220" s="15">
        <v>8</v>
      </c>
      <c r="E220" s="15"/>
      <c r="F220" s="15">
        <v>1</v>
      </c>
      <c r="G220" s="15"/>
      <c r="H220" s="15">
        <f t="shared" si="28"/>
        <v>9</v>
      </c>
      <c r="I220" s="83">
        <f t="shared" si="29"/>
        <v>18</v>
      </c>
      <c r="K220" s="19">
        <v>350</v>
      </c>
      <c r="L220" s="10"/>
      <c r="M220" s="10"/>
    </row>
    <row r="221" spans="1:13" x14ac:dyDescent="0.25">
      <c r="A221" s="18">
        <f t="shared" si="21"/>
        <v>200</v>
      </c>
      <c r="B221" s="19" t="s">
        <v>147</v>
      </c>
      <c r="C221" s="20">
        <v>100</v>
      </c>
      <c r="D221" s="15">
        <v>20</v>
      </c>
      <c r="E221" s="15"/>
      <c r="F221" s="15">
        <v>2</v>
      </c>
      <c r="G221" s="15"/>
      <c r="H221" s="15">
        <f t="shared" si="28"/>
        <v>22</v>
      </c>
      <c r="I221" s="83">
        <f t="shared" si="29"/>
        <v>44</v>
      </c>
      <c r="K221" s="19">
        <v>40</v>
      </c>
      <c r="L221" s="10"/>
      <c r="M221" s="10"/>
    </row>
    <row r="222" spans="1:13" x14ac:dyDescent="0.25">
      <c r="A222" s="18">
        <f t="shared" si="21"/>
        <v>201</v>
      </c>
      <c r="B222" s="19" t="s">
        <v>750</v>
      </c>
      <c r="C222" s="20">
        <v>1000</v>
      </c>
      <c r="D222" s="15"/>
      <c r="E222" s="15"/>
      <c r="F222" s="15"/>
      <c r="G222" s="15"/>
      <c r="H222" s="15"/>
      <c r="I222" s="83"/>
      <c r="K222" s="19">
        <v>4</v>
      </c>
      <c r="L222" s="10"/>
      <c r="M222" s="10"/>
    </row>
    <row r="223" spans="1:13" x14ac:dyDescent="0.25">
      <c r="A223" s="18">
        <f t="shared" si="21"/>
        <v>202</v>
      </c>
      <c r="B223" s="19" t="s">
        <v>148</v>
      </c>
      <c r="C223" s="20">
        <v>100</v>
      </c>
      <c r="D223" s="15">
        <v>40</v>
      </c>
      <c r="E223" s="15">
        <v>12</v>
      </c>
      <c r="F223" s="15">
        <v>5</v>
      </c>
      <c r="G223" s="15"/>
      <c r="H223" s="15">
        <f t="shared" si="28"/>
        <v>57</v>
      </c>
      <c r="I223" s="83">
        <f t="shared" si="29"/>
        <v>114</v>
      </c>
      <c r="K223" s="19">
        <v>120</v>
      </c>
      <c r="L223" s="10"/>
      <c r="M223" s="10"/>
    </row>
    <row r="224" spans="1:13" x14ac:dyDescent="0.25">
      <c r="A224" s="18">
        <f t="shared" si="21"/>
        <v>203</v>
      </c>
      <c r="B224" s="19" t="s">
        <v>149</v>
      </c>
      <c r="C224" s="20">
        <v>1000</v>
      </c>
      <c r="D224" s="15">
        <v>6</v>
      </c>
      <c r="E224" s="15"/>
      <c r="F224" s="15"/>
      <c r="G224" s="15"/>
      <c r="H224" s="15">
        <f t="shared" si="28"/>
        <v>6</v>
      </c>
      <c r="I224" s="83">
        <f t="shared" si="29"/>
        <v>12</v>
      </c>
      <c r="K224" s="19">
        <v>6</v>
      </c>
      <c r="L224" s="10"/>
      <c r="M224" s="10"/>
    </row>
    <row r="225" spans="1:13" x14ac:dyDescent="0.25">
      <c r="A225" s="18">
        <f t="shared" si="21"/>
        <v>204</v>
      </c>
      <c r="B225" s="19" t="s">
        <v>150</v>
      </c>
      <c r="C225" s="20">
        <v>6</v>
      </c>
      <c r="D225" s="15">
        <v>10</v>
      </c>
      <c r="E225" s="15"/>
      <c r="F225" s="15">
        <v>18</v>
      </c>
      <c r="G225" s="15"/>
      <c r="H225" s="15">
        <f t="shared" si="28"/>
        <v>28</v>
      </c>
      <c r="I225" s="83">
        <f t="shared" si="29"/>
        <v>56</v>
      </c>
      <c r="K225" s="19">
        <v>200</v>
      </c>
      <c r="L225" s="10"/>
      <c r="M225" s="10"/>
    </row>
    <row r="226" spans="1:13" x14ac:dyDescent="0.25">
      <c r="A226" s="18">
        <f t="shared" si="21"/>
        <v>205</v>
      </c>
      <c r="B226" s="19" t="s">
        <v>398</v>
      </c>
      <c r="C226" s="20" t="s">
        <v>399</v>
      </c>
      <c r="D226" s="15">
        <v>25</v>
      </c>
      <c r="E226" s="15"/>
      <c r="F226" s="15"/>
      <c r="G226" s="15"/>
      <c r="H226" s="15">
        <f t="shared" si="28"/>
        <v>25</v>
      </c>
      <c r="I226" s="83">
        <f t="shared" si="29"/>
        <v>50</v>
      </c>
      <c r="K226" s="19">
        <v>54</v>
      </c>
      <c r="L226" s="10"/>
      <c r="M226" s="10"/>
    </row>
    <row r="227" spans="1:13" x14ac:dyDescent="0.25">
      <c r="A227" s="18">
        <f t="shared" si="21"/>
        <v>206</v>
      </c>
      <c r="B227" s="19" t="s">
        <v>151</v>
      </c>
      <c r="C227" s="20">
        <v>50</v>
      </c>
      <c r="D227" s="15">
        <v>51</v>
      </c>
      <c r="E227" s="15">
        <v>5</v>
      </c>
      <c r="F227" s="15">
        <v>2</v>
      </c>
      <c r="G227" s="15"/>
      <c r="H227" s="15">
        <f t="shared" si="28"/>
        <v>58</v>
      </c>
      <c r="I227" s="83">
        <f t="shared" si="29"/>
        <v>116</v>
      </c>
      <c r="K227" s="19">
        <v>200</v>
      </c>
      <c r="L227" s="10"/>
      <c r="M227" s="10"/>
    </row>
    <row r="228" spans="1:13" x14ac:dyDescent="0.25">
      <c r="A228" s="18">
        <f t="shared" si="21"/>
        <v>207</v>
      </c>
      <c r="B228" s="19" t="s">
        <v>152</v>
      </c>
      <c r="C228" s="20">
        <v>1000</v>
      </c>
      <c r="D228" s="15">
        <v>6</v>
      </c>
      <c r="E228" s="15"/>
      <c r="F228" s="15"/>
      <c r="G228" s="15"/>
      <c r="H228" s="15">
        <f t="shared" si="28"/>
        <v>6</v>
      </c>
      <c r="I228" s="83">
        <f t="shared" si="29"/>
        <v>12</v>
      </c>
      <c r="K228" s="19">
        <v>10</v>
      </c>
      <c r="L228" s="10"/>
      <c r="M228" s="10"/>
    </row>
    <row r="229" spans="1:13" x14ac:dyDescent="0.25">
      <c r="A229" s="18">
        <f t="shared" si="21"/>
        <v>208</v>
      </c>
      <c r="B229" s="19" t="s">
        <v>153</v>
      </c>
      <c r="C229" s="20">
        <v>10</v>
      </c>
      <c r="D229" s="15">
        <v>90</v>
      </c>
      <c r="E229" s="15"/>
      <c r="F229" s="15"/>
      <c r="G229" s="15"/>
      <c r="H229" s="15">
        <f t="shared" si="28"/>
        <v>90</v>
      </c>
      <c r="I229" s="83">
        <f t="shared" si="29"/>
        <v>180</v>
      </c>
      <c r="K229" s="19">
        <v>50</v>
      </c>
      <c r="L229" s="10"/>
      <c r="M229" s="10"/>
    </row>
    <row r="230" spans="1:13" x14ac:dyDescent="0.25">
      <c r="A230" s="18">
        <f t="shared" si="21"/>
        <v>209</v>
      </c>
      <c r="B230" s="19" t="s">
        <v>154</v>
      </c>
      <c r="C230" s="20">
        <v>100</v>
      </c>
      <c r="D230" s="15">
        <v>10</v>
      </c>
      <c r="E230" s="15"/>
      <c r="F230" s="15">
        <v>3</v>
      </c>
      <c r="G230" s="15"/>
      <c r="H230" s="15">
        <f t="shared" si="28"/>
        <v>13</v>
      </c>
      <c r="I230" s="83">
        <f t="shared" si="29"/>
        <v>26</v>
      </c>
      <c r="K230" s="19">
        <v>50</v>
      </c>
      <c r="L230" s="10"/>
      <c r="M230" s="10"/>
    </row>
    <row r="231" spans="1:13" x14ac:dyDescent="0.25">
      <c r="A231" s="18">
        <f t="shared" si="21"/>
        <v>210</v>
      </c>
      <c r="B231" s="19" t="s">
        <v>700</v>
      </c>
      <c r="C231" s="20" t="s">
        <v>155</v>
      </c>
      <c r="D231" s="15">
        <v>23</v>
      </c>
      <c r="E231" s="15"/>
      <c r="F231" s="15"/>
      <c r="G231" s="15"/>
      <c r="H231" s="15">
        <f t="shared" si="28"/>
        <v>23</v>
      </c>
      <c r="I231" s="83">
        <f t="shared" si="29"/>
        <v>46</v>
      </c>
      <c r="K231" s="19">
        <v>50</v>
      </c>
      <c r="L231" s="10"/>
      <c r="M231" s="10"/>
    </row>
    <row r="232" spans="1:13" x14ac:dyDescent="0.25">
      <c r="A232" s="18">
        <f t="shared" si="21"/>
        <v>211</v>
      </c>
      <c r="B232" s="19" t="s">
        <v>156</v>
      </c>
      <c r="C232" s="20">
        <v>10</v>
      </c>
      <c r="D232" s="15">
        <v>10</v>
      </c>
      <c r="E232" s="15"/>
      <c r="F232" s="15"/>
      <c r="G232" s="15"/>
      <c r="H232" s="15">
        <f t="shared" si="28"/>
        <v>10</v>
      </c>
      <c r="I232" s="83">
        <f t="shared" si="29"/>
        <v>20</v>
      </c>
      <c r="K232" s="19">
        <v>360</v>
      </c>
      <c r="L232" s="10"/>
      <c r="M232" s="10"/>
    </row>
    <row r="233" spans="1:13" x14ac:dyDescent="0.25">
      <c r="A233" s="18">
        <f t="shared" si="21"/>
        <v>212</v>
      </c>
      <c r="B233" s="19" t="s">
        <v>157</v>
      </c>
      <c r="C233" s="20" t="s">
        <v>144</v>
      </c>
      <c r="D233" s="15">
        <v>2</v>
      </c>
      <c r="E233" s="15"/>
      <c r="F233" s="15"/>
      <c r="G233" s="15"/>
      <c r="H233" s="15">
        <f t="shared" si="28"/>
        <v>2</v>
      </c>
      <c r="I233" s="83">
        <f t="shared" si="29"/>
        <v>4</v>
      </c>
      <c r="K233" s="19">
        <v>2000</v>
      </c>
      <c r="L233" s="10"/>
      <c r="M233" s="10"/>
    </row>
    <row r="234" spans="1:13" x14ac:dyDescent="0.25">
      <c r="A234" s="18">
        <f t="shared" si="21"/>
        <v>213</v>
      </c>
      <c r="B234" s="19" t="s">
        <v>751</v>
      </c>
      <c r="C234" s="20" t="s">
        <v>57</v>
      </c>
      <c r="D234" s="15">
        <v>8</v>
      </c>
      <c r="E234" s="15"/>
      <c r="F234" s="15"/>
      <c r="G234" s="15"/>
      <c r="H234" s="15">
        <f t="shared" si="28"/>
        <v>8</v>
      </c>
      <c r="I234" s="83">
        <f t="shared" si="29"/>
        <v>16</v>
      </c>
      <c r="K234" s="19">
        <v>170</v>
      </c>
      <c r="L234" s="10"/>
      <c r="M234" s="10"/>
    </row>
    <row r="235" spans="1:13" x14ac:dyDescent="0.25">
      <c r="A235" s="18">
        <f t="shared" si="21"/>
        <v>214</v>
      </c>
      <c r="B235" s="19" t="s">
        <v>158</v>
      </c>
      <c r="C235" s="20">
        <v>100</v>
      </c>
      <c r="D235" s="15"/>
      <c r="E235" s="15">
        <v>120</v>
      </c>
      <c r="F235" s="15">
        <v>60</v>
      </c>
      <c r="G235" s="15"/>
      <c r="H235" s="15">
        <f t="shared" si="28"/>
        <v>180</v>
      </c>
      <c r="I235" s="83">
        <f t="shared" si="29"/>
        <v>360</v>
      </c>
      <c r="K235" s="19">
        <v>300</v>
      </c>
      <c r="L235" s="10"/>
      <c r="M235" s="10"/>
    </row>
    <row r="236" spans="1:13" x14ac:dyDescent="0.25">
      <c r="A236" s="18">
        <f t="shared" si="21"/>
        <v>215</v>
      </c>
      <c r="B236" s="19" t="s">
        <v>159</v>
      </c>
      <c r="C236" s="20">
        <v>100</v>
      </c>
      <c r="D236" s="15">
        <v>340</v>
      </c>
      <c r="E236" s="15">
        <v>60</v>
      </c>
      <c r="F236" s="15"/>
      <c r="G236" s="15"/>
      <c r="H236" s="15">
        <f t="shared" si="28"/>
        <v>400</v>
      </c>
      <c r="I236" s="83">
        <f t="shared" si="29"/>
        <v>800</v>
      </c>
      <c r="K236" s="19">
        <v>1200</v>
      </c>
      <c r="L236" s="10"/>
      <c r="M236" s="10"/>
    </row>
    <row r="237" spans="1:13" x14ac:dyDescent="0.25">
      <c r="A237" s="18">
        <f t="shared" si="21"/>
        <v>216</v>
      </c>
      <c r="B237" s="19" t="s">
        <v>160</v>
      </c>
      <c r="C237" s="20" t="s">
        <v>144</v>
      </c>
      <c r="D237" s="15">
        <v>109.5</v>
      </c>
      <c r="E237" s="15">
        <v>4</v>
      </c>
      <c r="F237" s="15">
        <v>2</v>
      </c>
      <c r="G237" s="15"/>
      <c r="H237" s="15">
        <f t="shared" si="28"/>
        <v>115.5</v>
      </c>
      <c r="I237" s="83">
        <f t="shared" si="29"/>
        <v>231</v>
      </c>
      <c r="K237" s="19">
        <v>30000</v>
      </c>
      <c r="L237" s="10"/>
      <c r="M237" s="10"/>
    </row>
    <row r="238" spans="1:13" x14ac:dyDescent="0.25">
      <c r="A238" s="18">
        <f t="shared" si="21"/>
        <v>217</v>
      </c>
      <c r="B238" s="19" t="s">
        <v>161</v>
      </c>
      <c r="C238" s="20" t="s">
        <v>144</v>
      </c>
      <c r="D238" s="15">
        <v>6</v>
      </c>
      <c r="E238" s="15">
        <v>2</v>
      </c>
      <c r="F238" s="15"/>
      <c r="G238" s="15"/>
      <c r="H238" s="15">
        <f t="shared" si="28"/>
        <v>8</v>
      </c>
      <c r="I238" s="83">
        <f t="shared" si="29"/>
        <v>16</v>
      </c>
      <c r="K238" s="19">
        <v>100</v>
      </c>
      <c r="L238" s="10"/>
      <c r="M238" s="10"/>
    </row>
    <row r="239" spans="1:13" x14ac:dyDescent="0.25">
      <c r="A239" s="18">
        <f t="shared" ref="A239:A252" si="30">A238+1</f>
        <v>218</v>
      </c>
      <c r="B239" s="19" t="s">
        <v>162</v>
      </c>
      <c r="C239" s="20" t="s">
        <v>656</v>
      </c>
      <c r="D239" s="15"/>
      <c r="E239" s="15"/>
      <c r="F239" s="15">
        <v>1</v>
      </c>
      <c r="G239" s="15"/>
      <c r="H239" s="15">
        <f t="shared" si="28"/>
        <v>1</v>
      </c>
      <c r="I239" s="83">
        <f t="shared" si="29"/>
        <v>2</v>
      </c>
      <c r="K239" s="19">
        <v>100</v>
      </c>
      <c r="L239" s="10"/>
      <c r="M239" s="10"/>
    </row>
    <row r="240" spans="1:13" x14ac:dyDescent="0.25">
      <c r="A240" s="18">
        <f t="shared" si="30"/>
        <v>219</v>
      </c>
      <c r="B240" s="19" t="s">
        <v>719</v>
      </c>
      <c r="C240" s="20">
        <v>100</v>
      </c>
      <c r="D240" s="15"/>
      <c r="E240" s="15"/>
      <c r="F240" s="15"/>
      <c r="G240" s="15"/>
      <c r="H240" s="15"/>
      <c r="I240" s="83"/>
      <c r="K240" s="19">
        <v>20</v>
      </c>
      <c r="L240" s="10"/>
      <c r="M240" s="10"/>
    </row>
    <row r="241" spans="1:13" x14ac:dyDescent="0.25">
      <c r="A241" s="18">
        <f t="shared" si="30"/>
        <v>220</v>
      </c>
      <c r="B241" s="19" t="s">
        <v>732</v>
      </c>
      <c r="C241" s="20" t="s">
        <v>144</v>
      </c>
      <c r="D241" s="15"/>
      <c r="E241" s="15"/>
      <c r="F241" s="15"/>
      <c r="G241" s="15"/>
      <c r="H241" s="15"/>
      <c r="I241" s="83"/>
      <c r="K241" s="19">
        <v>10</v>
      </c>
      <c r="L241" s="10"/>
      <c r="M241" s="10"/>
    </row>
    <row r="242" spans="1:13" x14ac:dyDescent="0.25">
      <c r="A242" s="18">
        <f t="shared" si="30"/>
        <v>221</v>
      </c>
      <c r="B242" s="19" t="s">
        <v>733</v>
      </c>
      <c r="C242" s="20">
        <v>100</v>
      </c>
      <c r="D242" s="15"/>
      <c r="E242" s="15"/>
      <c r="F242" s="15"/>
      <c r="G242" s="15"/>
      <c r="H242" s="15"/>
      <c r="I242" s="83"/>
      <c r="K242" s="19">
        <v>10</v>
      </c>
      <c r="L242" s="10"/>
      <c r="M242" s="10"/>
    </row>
    <row r="243" spans="1:13" x14ac:dyDescent="0.25">
      <c r="A243" s="18">
        <f t="shared" si="30"/>
        <v>222</v>
      </c>
      <c r="B243" s="19" t="s">
        <v>163</v>
      </c>
      <c r="C243" s="20">
        <v>10</v>
      </c>
      <c r="D243" s="15">
        <v>240</v>
      </c>
      <c r="E243" s="15"/>
      <c r="F243" s="15"/>
      <c r="G243" s="15"/>
      <c r="H243" s="15">
        <f>SUM(D243:G243)</f>
        <v>240</v>
      </c>
      <c r="I243" s="83">
        <f>H243*2</f>
        <v>480</v>
      </c>
      <c r="K243" s="19">
        <v>1000</v>
      </c>
      <c r="L243" s="10"/>
      <c r="M243" s="10"/>
    </row>
    <row r="244" spans="1:13" x14ac:dyDescent="0.25">
      <c r="A244" s="18">
        <f t="shared" si="30"/>
        <v>223</v>
      </c>
      <c r="B244" s="19" t="s">
        <v>164</v>
      </c>
      <c r="C244" s="20" t="s">
        <v>144</v>
      </c>
      <c r="D244" s="15">
        <v>5</v>
      </c>
      <c r="E244" s="15"/>
      <c r="F244" s="15"/>
      <c r="G244" s="15"/>
      <c r="H244" s="15">
        <f>SUM(D244:G244)</f>
        <v>5</v>
      </c>
      <c r="I244" s="83">
        <f>H244*2</f>
        <v>10</v>
      </c>
      <c r="K244" s="19">
        <v>100</v>
      </c>
      <c r="L244" s="10"/>
      <c r="M244" s="10"/>
    </row>
    <row r="245" spans="1:13" x14ac:dyDescent="0.25">
      <c r="A245" s="18">
        <f t="shared" si="30"/>
        <v>224</v>
      </c>
      <c r="B245" s="19" t="s">
        <v>165</v>
      </c>
      <c r="C245" s="20">
        <v>1000</v>
      </c>
      <c r="D245" s="15">
        <v>6</v>
      </c>
      <c r="E245" s="15"/>
      <c r="F245" s="15"/>
      <c r="G245" s="15"/>
      <c r="H245" s="15">
        <f>SUM(D245:G245)</f>
        <v>6</v>
      </c>
      <c r="I245" s="83">
        <f>H245*2</f>
        <v>12</v>
      </c>
      <c r="K245" s="19">
        <v>13</v>
      </c>
      <c r="L245" s="10"/>
      <c r="M245" s="10"/>
    </row>
    <row r="246" spans="1:13" x14ac:dyDescent="0.25">
      <c r="A246" s="18">
        <f t="shared" si="30"/>
        <v>225</v>
      </c>
      <c r="B246" s="19" t="s">
        <v>451</v>
      </c>
      <c r="C246" s="20">
        <v>100</v>
      </c>
      <c r="D246" s="15">
        <v>46</v>
      </c>
      <c r="E246" s="15"/>
      <c r="F246" s="15"/>
      <c r="G246" s="15"/>
      <c r="H246" s="15">
        <f>SUM(D246:G246)</f>
        <v>46</v>
      </c>
      <c r="I246" s="83">
        <f>H246*2</f>
        <v>92</v>
      </c>
      <c r="K246" s="19">
        <v>50</v>
      </c>
      <c r="L246" s="10"/>
      <c r="M246" s="10"/>
    </row>
    <row r="247" spans="1:13" x14ac:dyDescent="0.25">
      <c r="A247" s="18">
        <f t="shared" si="30"/>
        <v>226</v>
      </c>
      <c r="B247" s="19" t="s">
        <v>679</v>
      </c>
      <c r="C247" s="20">
        <v>100</v>
      </c>
      <c r="D247" s="15"/>
      <c r="E247" s="15"/>
      <c r="F247" s="15"/>
      <c r="G247" s="15"/>
      <c r="H247" s="15"/>
      <c r="I247" s="83"/>
      <c r="K247" s="19">
        <v>100</v>
      </c>
      <c r="L247" s="10"/>
      <c r="M247" s="10"/>
    </row>
    <row r="248" spans="1:13" x14ac:dyDescent="0.25">
      <c r="A248" s="18">
        <f t="shared" si="30"/>
        <v>227</v>
      </c>
      <c r="B248" s="19" t="s">
        <v>452</v>
      </c>
      <c r="C248" s="20">
        <v>100</v>
      </c>
      <c r="D248" s="15">
        <v>46</v>
      </c>
      <c r="E248" s="15"/>
      <c r="F248" s="15"/>
      <c r="G248" s="15"/>
      <c r="H248" s="15">
        <f>SUM(D248:G248)</f>
        <v>46</v>
      </c>
      <c r="I248" s="83">
        <f>H248*2</f>
        <v>92</v>
      </c>
      <c r="K248" s="19">
        <v>100</v>
      </c>
      <c r="L248" s="10"/>
      <c r="M248" s="10"/>
    </row>
    <row r="249" spans="1:13" x14ac:dyDescent="0.25">
      <c r="A249" s="18">
        <f t="shared" si="30"/>
        <v>228</v>
      </c>
      <c r="B249" s="19" t="s">
        <v>166</v>
      </c>
      <c r="C249" s="20">
        <v>10</v>
      </c>
      <c r="D249" s="15">
        <v>4</v>
      </c>
      <c r="E249" s="15"/>
      <c r="F249" s="15"/>
      <c r="G249" s="15"/>
      <c r="H249" s="15">
        <f>SUM(D249:G249)</f>
        <v>4</v>
      </c>
      <c r="I249" s="83">
        <f>H249*2</f>
        <v>8</v>
      </c>
      <c r="K249" s="19">
        <v>40</v>
      </c>
      <c r="L249" s="10"/>
      <c r="M249" s="10"/>
    </row>
    <row r="250" spans="1:13" x14ac:dyDescent="0.25">
      <c r="A250" s="18">
        <f t="shared" si="30"/>
        <v>229</v>
      </c>
      <c r="B250" s="19" t="s">
        <v>167</v>
      </c>
      <c r="C250" s="20" t="s">
        <v>656</v>
      </c>
      <c r="D250" s="15">
        <v>10</v>
      </c>
      <c r="E250" s="15"/>
      <c r="F250" s="15"/>
      <c r="G250" s="15"/>
      <c r="H250" s="15">
        <f>SUM(D250:G250)</f>
        <v>10</v>
      </c>
      <c r="I250" s="83">
        <f>H250*2</f>
        <v>20</v>
      </c>
      <c r="K250" s="19">
        <v>400</v>
      </c>
      <c r="L250" s="10"/>
      <c r="M250" s="10"/>
    </row>
    <row r="251" spans="1:13" x14ac:dyDescent="0.25">
      <c r="A251" s="18">
        <f t="shared" si="30"/>
        <v>230</v>
      </c>
      <c r="B251" s="19" t="s">
        <v>168</v>
      </c>
      <c r="C251" s="20" t="s">
        <v>656</v>
      </c>
      <c r="D251" s="15">
        <v>15</v>
      </c>
      <c r="E251" s="15"/>
      <c r="F251" s="15">
        <v>2</v>
      </c>
      <c r="G251" s="15"/>
      <c r="H251" s="15">
        <f>SUM(D251:G251)</f>
        <v>17</v>
      </c>
      <c r="I251" s="83">
        <f>H251*2</f>
        <v>34</v>
      </c>
      <c r="K251" s="19">
        <v>300</v>
      </c>
      <c r="L251" s="10"/>
      <c r="M251" s="10"/>
    </row>
    <row r="252" spans="1:13" x14ac:dyDescent="0.25">
      <c r="A252" s="18">
        <f t="shared" si="30"/>
        <v>231</v>
      </c>
      <c r="B252" s="19" t="s">
        <v>752</v>
      </c>
      <c r="C252" s="20" t="s">
        <v>57</v>
      </c>
      <c r="D252" s="15">
        <v>1</v>
      </c>
      <c r="E252" s="15"/>
      <c r="F252" s="15"/>
      <c r="G252" s="15"/>
      <c r="H252" s="15">
        <f>SUM(D252:G252)</f>
        <v>1</v>
      </c>
      <c r="I252" s="83">
        <f>H252*2</f>
        <v>2</v>
      </c>
      <c r="K252" s="19">
        <v>10</v>
      </c>
      <c r="L252" s="10"/>
      <c r="M252" s="10"/>
    </row>
    <row r="253" spans="1:13" x14ac:dyDescent="0.25">
      <c r="A253" s="18"/>
      <c r="B253" s="19"/>
      <c r="C253" s="20"/>
      <c r="D253" s="15"/>
      <c r="E253" s="15"/>
      <c r="F253" s="15"/>
      <c r="G253" s="15"/>
      <c r="H253" s="15"/>
      <c r="I253" s="83"/>
      <c r="K253" s="19"/>
      <c r="L253" s="10"/>
      <c r="M253" s="10"/>
    </row>
    <row r="254" spans="1:13" x14ac:dyDescent="0.25">
      <c r="A254" s="18"/>
      <c r="B254" s="19"/>
      <c r="C254" s="20"/>
      <c r="D254" s="15"/>
      <c r="E254" s="15"/>
      <c r="F254" s="15"/>
      <c r="G254" s="15"/>
      <c r="H254" s="15"/>
      <c r="I254" s="83"/>
      <c r="K254" s="19"/>
      <c r="L254" s="10"/>
      <c r="M254" s="10"/>
    </row>
    <row r="255" spans="1:13" x14ac:dyDescent="0.25">
      <c r="A255" s="18"/>
      <c r="B255" s="19"/>
      <c r="C255" s="20"/>
      <c r="D255" s="15"/>
      <c r="E255" s="15"/>
      <c r="F255" s="15"/>
      <c r="G255" s="15"/>
      <c r="H255" s="15"/>
      <c r="I255" s="83"/>
      <c r="K255" s="19"/>
      <c r="L255" s="10"/>
      <c r="M255" s="10"/>
    </row>
    <row r="256" spans="1:13" x14ac:dyDescent="0.25">
      <c r="A256" s="18"/>
      <c r="B256" s="19"/>
      <c r="C256" s="20"/>
      <c r="D256" s="15"/>
      <c r="E256" s="15"/>
      <c r="F256" s="15"/>
      <c r="G256" s="15"/>
      <c r="H256" s="15"/>
      <c r="I256" s="83"/>
      <c r="K256" s="19"/>
      <c r="L256" s="10"/>
      <c r="M256" s="10"/>
    </row>
    <row r="257" spans="1:13" ht="23.25" x14ac:dyDescent="0.25">
      <c r="A257" s="12" t="s">
        <v>169</v>
      </c>
      <c r="B257" s="22" t="s">
        <v>170</v>
      </c>
      <c r="C257" s="20"/>
      <c r="D257" s="15"/>
      <c r="E257" s="15"/>
      <c r="F257" s="15"/>
      <c r="G257" s="15"/>
      <c r="H257" s="15"/>
      <c r="I257" s="83"/>
      <c r="K257" s="19"/>
      <c r="L257" s="10"/>
      <c r="M257" s="10"/>
    </row>
    <row r="258" spans="1:13" x14ac:dyDescent="0.25">
      <c r="B258" s="19"/>
      <c r="C258" s="20"/>
      <c r="D258" s="15"/>
      <c r="E258" s="15"/>
      <c r="F258" s="15"/>
      <c r="G258" s="15"/>
      <c r="H258" s="15"/>
      <c r="I258" s="83"/>
      <c r="K258" s="19"/>
      <c r="L258" s="10"/>
      <c r="M258" s="10"/>
    </row>
    <row r="259" spans="1:13" x14ac:dyDescent="0.25">
      <c r="A259" s="10">
        <f>1+A252</f>
        <v>232</v>
      </c>
      <c r="B259" s="19" t="s">
        <v>171</v>
      </c>
      <c r="C259" s="20">
        <v>30</v>
      </c>
      <c r="D259" s="15">
        <v>20</v>
      </c>
      <c r="E259" s="15"/>
      <c r="F259" s="15"/>
      <c r="G259" s="15"/>
      <c r="H259" s="15">
        <f t="shared" ref="H259:H264" si="31">SUM(D259:G259)</f>
        <v>20</v>
      </c>
      <c r="I259" s="83">
        <f t="shared" ref="I259:I264" si="32">H259*2</f>
        <v>40</v>
      </c>
      <c r="K259" s="19">
        <v>100</v>
      </c>
      <c r="L259" s="10"/>
      <c r="M259" s="10"/>
    </row>
    <row r="260" spans="1:13" x14ac:dyDescent="0.25">
      <c r="A260" s="10">
        <f>1+A259</f>
        <v>233</v>
      </c>
      <c r="B260" s="19" t="s">
        <v>512</v>
      </c>
      <c r="C260" s="20">
        <v>30</v>
      </c>
      <c r="D260" s="15">
        <v>50</v>
      </c>
      <c r="E260" s="15"/>
      <c r="F260" s="15"/>
      <c r="G260" s="15"/>
      <c r="H260" s="15">
        <f t="shared" si="31"/>
        <v>50</v>
      </c>
      <c r="I260" s="83">
        <f t="shared" si="32"/>
        <v>100</v>
      </c>
      <c r="K260" s="19">
        <v>200</v>
      </c>
      <c r="L260" s="10"/>
      <c r="M260" s="10"/>
    </row>
    <row r="261" spans="1:13" x14ac:dyDescent="0.25">
      <c r="A261" s="10">
        <f t="shared" ref="A261:A313" si="33">A260+1</f>
        <v>234</v>
      </c>
      <c r="B261" s="19" t="s">
        <v>513</v>
      </c>
      <c r="C261" s="20" t="s">
        <v>144</v>
      </c>
      <c r="D261" s="15">
        <v>50</v>
      </c>
      <c r="E261" s="15"/>
      <c r="F261" s="15"/>
      <c r="G261" s="15"/>
      <c r="H261" s="15">
        <f t="shared" si="31"/>
        <v>50</v>
      </c>
      <c r="I261" s="83">
        <f t="shared" si="32"/>
        <v>100</v>
      </c>
      <c r="K261" s="19">
        <v>100</v>
      </c>
      <c r="L261" s="10"/>
      <c r="M261" s="10"/>
    </row>
    <row r="262" spans="1:13" x14ac:dyDescent="0.25">
      <c r="A262" s="10">
        <f t="shared" si="33"/>
        <v>235</v>
      </c>
      <c r="B262" s="19" t="s">
        <v>514</v>
      </c>
      <c r="C262" s="20">
        <v>20</v>
      </c>
      <c r="D262" s="15">
        <v>50</v>
      </c>
      <c r="E262" s="15"/>
      <c r="F262" s="15"/>
      <c r="G262" s="15"/>
      <c r="H262" s="15">
        <f t="shared" si="31"/>
        <v>50</v>
      </c>
      <c r="I262" s="83">
        <f t="shared" si="32"/>
        <v>100</v>
      </c>
      <c r="K262" s="19">
        <v>500</v>
      </c>
      <c r="L262" s="10"/>
      <c r="M262" s="10"/>
    </row>
    <row r="263" spans="1:13" x14ac:dyDescent="0.25">
      <c r="A263" s="10">
        <f t="shared" si="33"/>
        <v>236</v>
      </c>
      <c r="B263" s="19" t="s">
        <v>515</v>
      </c>
      <c r="C263" s="20" t="s">
        <v>144</v>
      </c>
      <c r="D263" s="15">
        <v>50</v>
      </c>
      <c r="E263" s="15"/>
      <c r="F263" s="15"/>
      <c r="G263" s="15"/>
      <c r="H263" s="15">
        <f t="shared" si="31"/>
        <v>50</v>
      </c>
      <c r="I263" s="83">
        <f t="shared" si="32"/>
        <v>100</v>
      </c>
      <c r="K263" s="19">
        <v>200</v>
      </c>
      <c r="L263" s="10"/>
      <c r="M263" s="10"/>
    </row>
    <row r="264" spans="1:13" x14ac:dyDescent="0.25">
      <c r="A264" s="10">
        <f t="shared" si="33"/>
        <v>237</v>
      </c>
      <c r="B264" s="19" t="s">
        <v>721</v>
      </c>
      <c r="C264" s="20">
        <v>100</v>
      </c>
      <c r="D264" s="15">
        <v>20</v>
      </c>
      <c r="E264" s="15"/>
      <c r="F264" s="15"/>
      <c r="G264" s="15"/>
      <c r="H264" s="15">
        <f t="shared" si="31"/>
        <v>20</v>
      </c>
      <c r="I264" s="83">
        <f t="shared" si="32"/>
        <v>40</v>
      </c>
      <c r="K264" s="19">
        <v>40</v>
      </c>
      <c r="L264" s="10"/>
      <c r="M264" s="10"/>
    </row>
    <row r="265" spans="1:13" x14ac:dyDescent="0.25">
      <c r="A265" s="10">
        <f t="shared" si="33"/>
        <v>238</v>
      </c>
      <c r="B265" s="19" t="s">
        <v>693</v>
      </c>
      <c r="C265" s="20">
        <v>30</v>
      </c>
      <c r="D265" s="15"/>
      <c r="E265" s="15"/>
      <c r="F265" s="15"/>
      <c r="G265" s="15"/>
      <c r="H265" s="15"/>
      <c r="I265" s="83"/>
      <c r="K265" s="19">
        <v>500</v>
      </c>
      <c r="L265" s="10"/>
      <c r="M265" s="10"/>
    </row>
    <row r="266" spans="1:13" x14ac:dyDescent="0.25">
      <c r="A266" s="10">
        <f t="shared" si="33"/>
        <v>239</v>
      </c>
      <c r="B266" s="19" t="s">
        <v>172</v>
      </c>
      <c r="C266" s="20">
        <v>30</v>
      </c>
      <c r="D266" s="15">
        <v>170</v>
      </c>
      <c r="E266" s="15"/>
      <c r="F266" s="15"/>
      <c r="G266" s="15"/>
      <c r="H266" s="15">
        <f t="shared" ref="H266:H275" si="34">SUM(D266:G266)</f>
        <v>170</v>
      </c>
      <c r="I266" s="83">
        <f t="shared" ref="I266:I275" si="35">H266*2</f>
        <v>340</v>
      </c>
      <c r="K266" s="19">
        <v>600</v>
      </c>
      <c r="L266" s="10"/>
      <c r="M266" s="10"/>
    </row>
    <row r="267" spans="1:13" x14ac:dyDescent="0.25">
      <c r="A267" s="10">
        <f t="shared" si="33"/>
        <v>240</v>
      </c>
      <c r="B267" s="19" t="s">
        <v>173</v>
      </c>
      <c r="C267" s="20">
        <v>1000</v>
      </c>
      <c r="D267" s="15">
        <v>20</v>
      </c>
      <c r="E267" s="15"/>
      <c r="F267" s="15"/>
      <c r="G267" s="15"/>
      <c r="H267" s="15">
        <f t="shared" si="34"/>
        <v>20</v>
      </c>
      <c r="I267" s="83">
        <f t="shared" si="35"/>
        <v>40</v>
      </c>
      <c r="K267" s="19">
        <v>43</v>
      </c>
      <c r="L267" s="10"/>
      <c r="M267" s="10"/>
    </row>
    <row r="268" spans="1:13" x14ac:dyDescent="0.25">
      <c r="A268" s="10">
        <f t="shared" si="33"/>
        <v>241</v>
      </c>
      <c r="B268" s="19" t="s">
        <v>174</v>
      </c>
      <c r="C268" s="20">
        <v>9</v>
      </c>
      <c r="D268" s="15">
        <v>539</v>
      </c>
      <c r="E268" s="15"/>
      <c r="F268" s="15"/>
      <c r="G268" s="15"/>
      <c r="H268" s="15">
        <f t="shared" si="34"/>
        <v>539</v>
      </c>
      <c r="I268" s="83">
        <f t="shared" si="35"/>
        <v>1078</v>
      </c>
      <c r="K268" s="19">
        <v>1000</v>
      </c>
      <c r="L268" s="10"/>
      <c r="M268" s="10"/>
    </row>
    <row r="269" spans="1:13" x14ac:dyDescent="0.25">
      <c r="A269" s="10">
        <f t="shared" si="33"/>
        <v>242</v>
      </c>
      <c r="B269" s="19" t="s">
        <v>720</v>
      </c>
      <c r="C269" s="20">
        <v>20</v>
      </c>
      <c r="D269" s="15">
        <v>539</v>
      </c>
      <c r="E269" s="15"/>
      <c r="F269" s="15"/>
      <c r="G269" s="15"/>
      <c r="H269" s="15">
        <f t="shared" si="34"/>
        <v>539</v>
      </c>
      <c r="I269" s="83">
        <f t="shared" si="35"/>
        <v>1078</v>
      </c>
      <c r="K269" s="19">
        <v>2000</v>
      </c>
      <c r="L269" s="10"/>
      <c r="M269" s="10"/>
    </row>
    <row r="270" spans="1:13" x14ac:dyDescent="0.25">
      <c r="A270" s="10">
        <f t="shared" si="33"/>
        <v>243</v>
      </c>
      <c r="B270" s="19" t="s">
        <v>453</v>
      </c>
      <c r="C270" s="20" t="s">
        <v>144</v>
      </c>
      <c r="D270" s="15">
        <v>2.5</v>
      </c>
      <c r="E270" s="15"/>
      <c r="F270" s="15"/>
      <c r="G270" s="15"/>
      <c r="H270" s="15">
        <f t="shared" si="34"/>
        <v>2.5</v>
      </c>
      <c r="I270" s="83">
        <f t="shared" si="35"/>
        <v>5</v>
      </c>
      <c r="K270" s="19">
        <v>40</v>
      </c>
      <c r="L270" s="10"/>
      <c r="M270" s="10"/>
    </row>
    <row r="271" spans="1:13" x14ac:dyDescent="0.25">
      <c r="A271" s="10">
        <f t="shared" si="33"/>
        <v>244</v>
      </c>
      <c r="B271" s="19" t="s">
        <v>454</v>
      </c>
      <c r="C271" s="20" t="s">
        <v>455</v>
      </c>
      <c r="D271" s="15">
        <v>25</v>
      </c>
      <c r="E271" s="15"/>
      <c r="F271" s="15"/>
      <c r="G271" s="15"/>
      <c r="H271" s="15">
        <f t="shared" si="34"/>
        <v>25</v>
      </c>
      <c r="I271" s="83">
        <f t="shared" si="35"/>
        <v>50</v>
      </c>
      <c r="K271" s="19">
        <v>50</v>
      </c>
      <c r="L271" s="10"/>
      <c r="M271" s="10"/>
    </row>
    <row r="272" spans="1:13" x14ac:dyDescent="0.25">
      <c r="A272" s="10">
        <f t="shared" si="33"/>
        <v>245</v>
      </c>
      <c r="B272" s="19" t="s">
        <v>915</v>
      </c>
      <c r="C272" s="20">
        <v>60</v>
      </c>
      <c r="D272" s="15">
        <v>46</v>
      </c>
      <c r="E272" s="15"/>
      <c r="F272" s="15"/>
      <c r="G272" s="15"/>
      <c r="H272" s="15">
        <f t="shared" si="34"/>
        <v>46</v>
      </c>
      <c r="I272" s="83">
        <f t="shared" si="35"/>
        <v>92</v>
      </c>
      <c r="K272" s="19">
        <v>40</v>
      </c>
      <c r="L272" s="10"/>
      <c r="M272" s="10"/>
    </row>
    <row r="273" spans="1:13" x14ac:dyDescent="0.25">
      <c r="A273" s="10">
        <f t="shared" si="33"/>
        <v>246</v>
      </c>
      <c r="B273" s="19" t="s">
        <v>175</v>
      </c>
      <c r="C273" s="20" t="s">
        <v>455</v>
      </c>
      <c r="D273" s="15">
        <v>33</v>
      </c>
      <c r="E273" s="15"/>
      <c r="F273" s="15"/>
      <c r="G273" s="15"/>
      <c r="H273" s="15">
        <f t="shared" si="34"/>
        <v>33</v>
      </c>
      <c r="I273" s="83">
        <f t="shared" si="35"/>
        <v>66</v>
      </c>
      <c r="K273" s="19">
        <v>300</v>
      </c>
      <c r="L273" s="10"/>
      <c r="M273" s="10"/>
    </row>
    <row r="274" spans="1:13" x14ac:dyDescent="0.25">
      <c r="A274" s="10">
        <f t="shared" si="33"/>
        <v>247</v>
      </c>
      <c r="B274" s="19" t="s">
        <v>176</v>
      </c>
      <c r="C274" s="20">
        <v>20</v>
      </c>
      <c r="D274" s="15">
        <v>20</v>
      </c>
      <c r="E274" s="15"/>
      <c r="F274" s="15"/>
      <c r="G274" s="15"/>
      <c r="H274" s="15">
        <f t="shared" si="34"/>
        <v>20</v>
      </c>
      <c r="I274" s="83">
        <f t="shared" si="35"/>
        <v>40</v>
      </c>
      <c r="K274" s="19">
        <v>40</v>
      </c>
      <c r="L274" s="10"/>
      <c r="M274" s="10"/>
    </row>
    <row r="275" spans="1:13" x14ac:dyDescent="0.25">
      <c r="A275" s="10">
        <f t="shared" si="33"/>
        <v>248</v>
      </c>
      <c r="B275" s="19" t="s">
        <v>177</v>
      </c>
      <c r="C275" s="20" t="s">
        <v>455</v>
      </c>
      <c r="D275" s="15">
        <v>6</v>
      </c>
      <c r="E275" s="15"/>
      <c r="F275" s="15"/>
      <c r="G275" s="15"/>
      <c r="H275" s="15">
        <f t="shared" si="34"/>
        <v>6</v>
      </c>
      <c r="I275" s="83">
        <f t="shared" si="35"/>
        <v>12</v>
      </c>
      <c r="K275" s="19">
        <v>100</v>
      </c>
      <c r="L275" s="10"/>
      <c r="M275" s="10"/>
    </row>
    <row r="276" spans="1:13" x14ac:dyDescent="0.25">
      <c r="A276" s="10">
        <f t="shared" si="33"/>
        <v>249</v>
      </c>
      <c r="B276" s="19" t="s">
        <v>696</v>
      </c>
      <c r="C276" s="20">
        <v>30</v>
      </c>
      <c r="D276" s="15"/>
      <c r="E276" s="15"/>
      <c r="F276" s="15"/>
      <c r="G276" s="15"/>
      <c r="H276" s="15"/>
      <c r="I276" s="83"/>
      <c r="K276" s="19">
        <v>80</v>
      </c>
      <c r="L276" s="10"/>
      <c r="M276" s="10"/>
    </row>
    <row r="277" spans="1:13" x14ac:dyDescent="0.25">
      <c r="A277" s="10">
        <f t="shared" si="33"/>
        <v>250</v>
      </c>
      <c r="B277" s="19" t="s">
        <v>178</v>
      </c>
      <c r="C277" s="20">
        <v>5</v>
      </c>
      <c r="D277" s="15">
        <v>40</v>
      </c>
      <c r="E277" s="15"/>
      <c r="F277" s="15"/>
      <c r="G277" s="15"/>
      <c r="H277" s="15">
        <f t="shared" ref="H277:H285" si="36">SUM(D277:G277)</f>
        <v>40</v>
      </c>
      <c r="I277" s="83">
        <f t="shared" ref="I277:I285" si="37">H277*2</f>
        <v>80</v>
      </c>
      <c r="K277" s="19">
        <v>100</v>
      </c>
      <c r="L277" s="10"/>
      <c r="M277" s="10"/>
    </row>
    <row r="278" spans="1:13" x14ac:dyDescent="0.25">
      <c r="A278" s="10">
        <f t="shared" si="33"/>
        <v>251</v>
      </c>
      <c r="B278" s="19" t="s">
        <v>179</v>
      </c>
      <c r="C278" s="20">
        <v>1000</v>
      </c>
      <c r="D278" s="15">
        <v>34</v>
      </c>
      <c r="E278" s="15">
        <v>50</v>
      </c>
      <c r="F278" s="15">
        <v>6</v>
      </c>
      <c r="G278" s="15"/>
      <c r="H278" s="15">
        <f t="shared" si="36"/>
        <v>90</v>
      </c>
      <c r="I278" s="83">
        <f t="shared" si="37"/>
        <v>180</v>
      </c>
      <c r="K278" s="19">
        <v>300</v>
      </c>
      <c r="L278" s="10"/>
      <c r="M278" s="10"/>
    </row>
    <row r="279" spans="1:13" x14ac:dyDescent="0.25">
      <c r="A279" s="10">
        <f t="shared" si="33"/>
        <v>252</v>
      </c>
      <c r="B279" s="19" t="s">
        <v>722</v>
      </c>
      <c r="C279" s="20">
        <v>30</v>
      </c>
      <c r="D279" s="15">
        <v>10</v>
      </c>
      <c r="E279" s="15"/>
      <c r="F279" s="15"/>
      <c r="G279" s="15"/>
      <c r="H279" s="15">
        <f t="shared" si="36"/>
        <v>10</v>
      </c>
      <c r="I279" s="83">
        <f t="shared" si="37"/>
        <v>20</v>
      </c>
      <c r="K279" s="19">
        <v>200</v>
      </c>
      <c r="L279" s="10"/>
      <c r="M279" s="10"/>
    </row>
    <row r="280" spans="1:13" x14ac:dyDescent="0.25">
      <c r="A280" s="10">
        <f t="shared" si="33"/>
        <v>253</v>
      </c>
      <c r="B280" s="19" t="s">
        <v>456</v>
      </c>
      <c r="C280" s="20" t="s">
        <v>144</v>
      </c>
      <c r="D280" s="15">
        <v>10</v>
      </c>
      <c r="E280" s="15"/>
      <c r="F280" s="15"/>
      <c r="G280" s="15"/>
      <c r="H280" s="15">
        <f t="shared" si="36"/>
        <v>10</v>
      </c>
      <c r="I280" s="83">
        <f t="shared" si="37"/>
        <v>20</v>
      </c>
      <c r="K280" s="19">
        <v>100</v>
      </c>
      <c r="L280" s="10"/>
      <c r="M280" s="10"/>
    </row>
    <row r="281" spans="1:13" x14ac:dyDescent="0.25">
      <c r="A281" s="10">
        <f t="shared" si="33"/>
        <v>254</v>
      </c>
      <c r="B281" s="19" t="s">
        <v>180</v>
      </c>
      <c r="C281" s="20">
        <v>1000</v>
      </c>
      <c r="D281" s="15">
        <v>24</v>
      </c>
      <c r="E281" s="15">
        <v>36</v>
      </c>
      <c r="F281" s="15">
        <v>2</v>
      </c>
      <c r="G281" s="15"/>
      <c r="H281" s="15">
        <f t="shared" si="36"/>
        <v>62</v>
      </c>
      <c r="I281" s="83">
        <f t="shared" si="37"/>
        <v>124</v>
      </c>
      <c r="K281" s="19">
        <v>100</v>
      </c>
      <c r="L281" s="10"/>
      <c r="M281" s="10"/>
    </row>
    <row r="282" spans="1:13" x14ac:dyDescent="0.25">
      <c r="A282" s="10">
        <f t="shared" si="33"/>
        <v>255</v>
      </c>
      <c r="B282" s="19" t="s">
        <v>182</v>
      </c>
      <c r="C282" s="20" t="s">
        <v>57</v>
      </c>
      <c r="D282" s="15">
        <v>8</v>
      </c>
      <c r="E282" s="15"/>
      <c r="F282" s="15"/>
      <c r="G282" s="15"/>
      <c r="H282" s="15">
        <f t="shared" si="36"/>
        <v>8</v>
      </c>
      <c r="I282" s="83">
        <f t="shared" si="37"/>
        <v>16</v>
      </c>
      <c r="K282" s="19">
        <v>572</v>
      </c>
      <c r="L282" s="10"/>
      <c r="M282" s="10"/>
    </row>
    <row r="283" spans="1:13" x14ac:dyDescent="0.25">
      <c r="A283" s="10">
        <f t="shared" si="33"/>
        <v>256</v>
      </c>
      <c r="B283" s="19" t="s">
        <v>183</v>
      </c>
      <c r="C283" s="20">
        <v>30</v>
      </c>
      <c r="D283" s="15">
        <v>20</v>
      </c>
      <c r="E283" s="15"/>
      <c r="F283" s="15"/>
      <c r="G283" s="15"/>
      <c r="H283" s="15">
        <f t="shared" si="36"/>
        <v>20</v>
      </c>
      <c r="I283" s="83">
        <f t="shared" si="37"/>
        <v>40</v>
      </c>
      <c r="K283" s="19">
        <v>100</v>
      </c>
      <c r="L283" s="10"/>
      <c r="M283" s="10"/>
    </row>
    <row r="284" spans="1:13" x14ac:dyDescent="0.25">
      <c r="A284" s="10">
        <f t="shared" si="33"/>
        <v>257</v>
      </c>
      <c r="B284" s="19" t="s">
        <v>181</v>
      </c>
      <c r="C284" s="20">
        <v>30</v>
      </c>
      <c r="D284" s="15"/>
      <c r="E284" s="15">
        <v>1</v>
      </c>
      <c r="F284" s="15"/>
      <c r="G284" s="15"/>
      <c r="H284" s="15">
        <f t="shared" si="36"/>
        <v>1</v>
      </c>
      <c r="I284" s="83">
        <f t="shared" si="37"/>
        <v>2</v>
      </c>
      <c r="K284" s="19">
        <v>960</v>
      </c>
      <c r="L284" s="10"/>
      <c r="M284" s="10"/>
    </row>
    <row r="285" spans="1:13" x14ac:dyDescent="0.25">
      <c r="A285" s="10">
        <f t="shared" si="33"/>
        <v>258</v>
      </c>
      <c r="B285" s="19" t="s">
        <v>753</v>
      </c>
      <c r="C285" s="20" t="s">
        <v>144</v>
      </c>
      <c r="D285" s="15">
        <v>10</v>
      </c>
      <c r="E285" s="15"/>
      <c r="F285" s="15"/>
      <c r="G285" s="15"/>
      <c r="H285" s="15">
        <f t="shared" si="36"/>
        <v>10</v>
      </c>
      <c r="I285" s="83">
        <f t="shared" si="37"/>
        <v>20</v>
      </c>
      <c r="K285" s="19">
        <v>200</v>
      </c>
      <c r="L285" s="10"/>
      <c r="M285" s="10"/>
    </row>
    <row r="286" spans="1:13" x14ac:dyDescent="0.25">
      <c r="A286" s="10">
        <f t="shared" si="33"/>
        <v>259</v>
      </c>
      <c r="B286" s="19" t="s">
        <v>691</v>
      </c>
      <c r="C286" s="20" t="s">
        <v>144</v>
      </c>
      <c r="D286" s="15"/>
      <c r="E286" s="15"/>
      <c r="F286" s="15"/>
      <c r="G286" s="15"/>
      <c r="H286" s="15"/>
      <c r="I286" s="83"/>
      <c r="K286" s="19">
        <v>150</v>
      </c>
      <c r="L286" s="10"/>
      <c r="M286" s="10"/>
    </row>
    <row r="287" spans="1:13" x14ac:dyDescent="0.25">
      <c r="A287" s="10">
        <f t="shared" si="33"/>
        <v>260</v>
      </c>
      <c r="B287" s="19" t="s">
        <v>184</v>
      </c>
      <c r="C287" s="20">
        <v>1000</v>
      </c>
      <c r="D287" s="15">
        <v>14</v>
      </c>
      <c r="E287" s="15"/>
      <c r="F287" s="15">
        <v>2</v>
      </c>
      <c r="G287" s="15"/>
      <c r="H287" s="15">
        <f>SUM(D287:G287)</f>
        <v>16</v>
      </c>
      <c r="I287" s="83">
        <f>H287*2</f>
        <v>32</v>
      </c>
      <c r="K287" s="19">
        <v>20</v>
      </c>
      <c r="L287" s="10"/>
      <c r="M287" s="10"/>
    </row>
    <row r="288" spans="1:13" x14ac:dyDescent="0.25">
      <c r="A288" s="10">
        <f t="shared" si="33"/>
        <v>261</v>
      </c>
      <c r="B288" s="19" t="s">
        <v>723</v>
      </c>
      <c r="C288" s="20">
        <v>30</v>
      </c>
      <c r="D288" s="15"/>
      <c r="E288" s="15"/>
      <c r="F288" s="15"/>
      <c r="G288" s="15"/>
      <c r="H288" s="15"/>
      <c r="I288" s="83"/>
      <c r="K288" s="19">
        <v>50</v>
      </c>
      <c r="L288" s="10"/>
      <c r="M288" s="10"/>
    </row>
    <row r="289" spans="1:13" x14ac:dyDescent="0.25">
      <c r="A289" s="10">
        <f t="shared" si="33"/>
        <v>262</v>
      </c>
      <c r="B289" s="19" t="s">
        <v>705</v>
      </c>
      <c r="C289" s="20">
        <v>100</v>
      </c>
      <c r="D289" s="15"/>
      <c r="E289" s="15"/>
      <c r="F289" s="15"/>
      <c r="G289" s="15"/>
      <c r="H289" s="15"/>
      <c r="I289" s="83"/>
      <c r="K289" s="19">
        <v>390</v>
      </c>
      <c r="L289" s="10"/>
      <c r="M289" s="10"/>
    </row>
    <row r="290" spans="1:13" x14ac:dyDescent="0.25">
      <c r="A290" s="10">
        <f t="shared" si="33"/>
        <v>263</v>
      </c>
      <c r="B290" s="19" t="s">
        <v>754</v>
      </c>
      <c r="C290" s="20">
        <v>30</v>
      </c>
      <c r="D290" s="15">
        <v>370</v>
      </c>
      <c r="E290" s="15"/>
      <c r="F290" s="15"/>
      <c r="G290" s="15"/>
      <c r="H290" s="15">
        <f t="shared" ref="H290:H298" si="38">SUM(D290:G290)</f>
        <v>370</v>
      </c>
      <c r="I290" s="83">
        <f t="shared" ref="I290:I298" si="39">H290*2</f>
        <v>740</v>
      </c>
      <c r="K290" s="19">
        <v>1800</v>
      </c>
      <c r="L290" s="10"/>
      <c r="M290" s="10"/>
    </row>
    <row r="291" spans="1:13" x14ac:dyDescent="0.25">
      <c r="A291" s="10">
        <f t="shared" si="33"/>
        <v>264</v>
      </c>
      <c r="B291" s="19" t="s">
        <v>457</v>
      </c>
      <c r="C291" s="20">
        <v>3</v>
      </c>
      <c r="D291" s="15">
        <v>13</v>
      </c>
      <c r="E291" s="15">
        <v>23</v>
      </c>
      <c r="F291" s="15">
        <v>10</v>
      </c>
      <c r="G291" s="15"/>
      <c r="H291" s="15">
        <f t="shared" si="38"/>
        <v>46</v>
      </c>
      <c r="I291" s="83">
        <f t="shared" si="39"/>
        <v>92</v>
      </c>
      <c r="K291" s="19">
        <v>455</v>
      </c>
      <c r="L291" s="10"/>
      <c r="M291" s="10"/>
    </row>
    <row r="292" spans="1:13" x14ac:dyDescent="0.25">
      <c r="A292" s="10">
        <f t="shared" si="33"/>
        <v>265</v>
      </c>
      <c r="B292" s="19" t="s">
        <v>185</v>
      </c>
      <c r="C292" s="20">
        <v>30</v>
      </c>
      <c r="D292" s="15">
        <v>46</v>
      </c>
      <c r="E292" s="15"/>
      <c r="F292" s="15"/>
      <c r="G292" s="15"/>
      <c r="H292" s="15">
        <f t="shared" si="38"/>
        <v>46</v>
      </c>
      <c r="I292" s="83">
        <f t="shared" si="39"/>
        <v>92</v>
      </c>
      <c r="K292" s="19">
        <v>195</v>
      </c>
      <c r="L292" s="10"/>
      <c r="M292" s="10"/>
    </row>
    <row r="293" spans="1:13" x14ac:dyDescent="0.25">
      <c r="A293" s="10">
        <f t="shared" si="33"/>
        <v>266</v>
      </c>
      <c r="B293" s="19" t="s">
        <v>458</v>
      </c>
      <c r="C293" s="20">
        <v>30</v>
      </c>
      <c r="D293" s="15">
        <v>40</v>
      </c>
      <c r="E293" s="15"/>
      <c r="F293" s="15"/>
      <c r="G293" s="15"/>
      <c r="H293" s="15">
        <f t="shared" si="38"/>
        <v>40</v>
      </c>
      <c r="I293" s="83">
        <f t="shared" si="39"/>
        <v>80</v>
      </c>
      <c r="K293" s="19">
        <v>50</v>
      </c>
      <c r="L293" s="10"/>
      <c r="M293" s="10"/>
    </row>
    <row r="294" spans="1:13" x14ac:dyDescent="0.25">
      <c r="A294" s="10">
        <f t="shared" si="33"/>
        <v>267</v>
      </c>
      <c r="B294" s="19" t="s">
        <v>187</v>
      </c>
      <c r="C294" s="20" t="s">
        <v>455</v>
      </c>
      <c r="D294" s="15">
        <v>110</v>
      </c>
      <c r="E294" s="15"/>
      <c r="F294" s="15">
        <v>6</v>
      </c>
      <c r="G294" s="15"/>
      <c r="H294" s="15">
        <f t="shared" si="38"/>
        <v>116</v>
      </c>
      <c r="I294" s="83">
        <f t="shared" si="39"/>
        <v>232</v>
      </c>
      <c r="K294" s="19">
        <v>2392</v>
      </c>
      <c r="L294" s="10"/>
      <c r="M294" s="10"/>
    </row>
    <row r="295" spans="1:13" x14ac:dyDescent="0.25">
      <c r="A295" s="10">
        <f t="shared" si="33"/>
        <v>268</v>
      </c>
      <c r="B295" s="19" t="s">
        <v>186</v>
      </c>
      <c r="C295" s="20">
        <v>100</v>
      </c>
      <c r="D295" s="15">
        <v>50</v>
      </c>
      <c r="E295" s="15"/>
      <c r="F295" s="15"/>
      <c r="G295" s="15"/>
      <c r="H295" s="15">
        <f t="shared" si="38"/>
        <v>50</v>
      </c>
      <c r="I295" s="83">
        <f t="shared" si="39"/>
        <v>100</v>
      </c>
      <c r="K295" s="19">
        <v>65</v>
      </c>
      <c r="L295" s="10"/>
      <c r="M295" s="10"/>
    </row>
    <row r="296" spans="1:13" x14ac:dyDescent="0.25">
      <c r="A296" s="10">
        <f t="shared" si="33"/>
        <v>269</v>
      </c>
      <c r="B296" s="19" t="s">
        <v>188</v>
      </c>
      <c r="C296" s="20">
        <v>1000</v>
      </c>
      <c r="D296" s="15">
        <v>15</v>
      </c>
      <c r="E296" s="15"/>
      <c r="F296" s="15"/>
      <c r="G296" s="15"/>
      <c r="H296" s="15">
        <f t="shared" si="38"/>
        <v>15</v>
      </c>
      <c r="I296" s="83">
        <f t="shared" si="39"/>
        <v>30</v>
      </c>
      <c r="K296" s="19">
        <v>11</v>
      </c>
      <c r="L296" s="10"/>
      <c r="M296" s="10"/>
    </row>
    <row r="297" spans="1:13" x14ac:dyDescent="0.25">
      <c r="A297" s="10">
        <f t="shared" si="33"/>
        <v>270</v>
      </c>
      <c r="B297" s="19" t="s">
        <v>459</v>
      </c>
      <c r="C297" s="20">
        <v>30</v>
      </c>
      <c r="D297" s="15">
        <v>4.5</v>
      </c>
      <c r="E297" s="15"/>
      <c r="F297" s="15"/>
      <c r="G297" s="15"/>
      <c r="H297" s="15">
        <f t="shared" si="38"/>
        <v>4.5</v>
      </c>
      <c r="I297" s="83">
        <f t="shared" si="39"/>
        <v>9</v>
      </c>
      <c r="K297" s="19">
        <v>10</v>
      </c>
      <c r="L297" s="10"/>
      <c r="M297" s="10"/>
    </row>
    <row r="298" spans="1:13" x14ac:dyDescent="0.25">
      <c r="A298" s="10">
        <f t="shared" si="33"/>
        <v>271</v>
      </c>
      <c r="B298" s="19" t="s">
        <v>189</v>
      </c>
      <c r="C298" s="20" t="s">
        <v>455</v>
      </c>
      <c r="D298" s="15">
        <v>10</v>
      </c>
      <c r="E298" s="15"/>
      <c r="F298" s="15"/>
      <c r="G298" s="15"/>
      <c r="H298" s="15">
        <f t="shared" si="38"/>
        <v>10</v>
      </c>
      <c r="I298" s="83">
        <f t="shared" si="39"/>
        <v>20</v>
      </c>
      <c r="K298" s="19">
        <v>98</v>
      </c>
      <c r="L298" s="10"/>
      <c r="M298" s="10"/>
    </row>
    <row r="299" spans="1:13" x14ac:dyDescent="0.25">
      <c r="A299" s="10">
        <f t="shared" si="33"/>
        <v>272</v>
      </c>
      <c r="B299" s="19" t="s">
        <v>711</v>
      </c>
      <c r="C299" s="20">
        <v>60</v>
      </c>
      <c r="D299" s="15"/>
      <c r="E299" s="15"/>
      <c r="F299" s="15"/>
      <c r="G299" s="15"/>
      <c r="H299" s="15"/>
      <c r="I299" s="83"/>
      <c r="K299" s="19">
        <v>200</v>
      </c>
      <c r="L299" s="10"/>
      <c r="M299" s="10"/>
    </row>
    <row r="300" spans="1:13" x14ac:dyDescent="0.25">
      <c r="A300" s="10">
        <f t="shared" si="33"/>
        <v>273</v>
      </c>
      <c r="B300" s="19" t="s">
        <v>190</v>
      </c>
      <c r="C300" s="20">
        <v>20</v>
      </c>
      <c r="D300" s="15">
        <v>36</v>
      </c>
      <c r="E300" s="15"/>
      <c r="F300" s="15"/>
      <c r="G300" s="15"/>
      <c r="H300" s="15">
        <f t="shared" ref="H300:H309" si="40">SUM(D300:G300)</f>
        <v>36</v>
      </c>
      <c r="I300" s="83">
        <f t="shared" ref="I300:I309" si="41">H300*2</f>
        <v>72</v>
      </c>
      <c r="K300" s="19">
        <v>78</v>
      </c>
      <c r="L300" s="10"/>
      <c r="M300" s="10"/>
    </row>
    <row r="301" spans="1:13" x14ac:dyDescent="0.25">
      <c r="A301" s="10">
        <f t="shared" si="33"/>
        <v>274</v>
      </c>
      <c r="B301" s="19" t="s">
        <v>191</v>
      </c>
      <c r="C301" s="20">
        <v>5</v>
      </c>
      <c r="D301" s="15">
        <v>20</v>
      </c>
      <c r="E301" s="15"/>
      <c r="F301" s="15"/>
      <c r="G301" s="15"/>
      <c r="H301" s="15">
        <f t="shared" si="40"/>
        <v>20</v>
      </c>
      <c r="I301" s="83">
        <f t="shared" si="41"/>
        <v>40</v>
      </c>
      <c r="K301" s="19">
        <v>167</v>
      </c>
      <c r="L301" s="10"/>
      <c r="M301" s="10"/>
    </row>
    <row r="302" spans="1:13" x14ac:dyDescent="0.25">
      <c r="A302" s="10">
        <f t="shared" si="33"/>
        <v>275</v>
      </c>
      <c r="B302" s="19" t="s">
        <v>192</v>
      </c>
      <c r="C302" s="20">
        <v>100</v>
      </c>
      <c r="D302" s="15">
        <v>157</v>
      </c>
      <c r="E302" s="15">
        <v>30</v>
      </c>
      <c r="F302" s="15">
        <v>20</v>
      </c>
      <c r="G302" s="15"/>
      <c r="H302" s="15">
        <f t="shared" si="40"/>
        <v>207</v>
      </c>
      <c r="I302" s="83">
        <f t="shared" si="41"/>
        <v>414</v>
      </c>
      <c r="K302" s="19">
        <v>548</v>
      </c>
      <c r="L302" s="10"/>
      <c r="M302" s="10"/>
    </row>
    <row r="303" spans="1:13" x14ac:dyDescent="0.25">
      <c r="A303" s="10">
        <f t="shared" si="33"/>
        <v>276</v>
      </c>
      <c r="B303" s="19" t="s">
        <v>193</v>
      </c>
      <c r="C303" s="20">
        <v>1000</v>
      </c>
      <c r="D303" s="15">
        <v>64</v>
      </c>
      <c r="E303" s="15">
        <v>50</v>
      </c>
      <c r="F303" s="15">
        <v>6</v>
      </c>
      <c r="G303" s="15"/>
      <c r="H303" s="15">
        <f t="shared" si="40"/>
        <v>120</v>
      </c>
      <c r="I303" s="83">
        <f t="shared" si="41"/>
        <v>240</v>
      </c>
      <c r="K303" s="19">
        <v>263</v>
      </c>
      <c r="L303" s="10"/>
      <c r="M303" s="10"/>
    </row>
    <row r="304" spans="1:13" x14ac:dyDescent="0.25">
      <c r="A304" s="10">
        <f t="shared" si="33"/>
        <v>277</v>
      </c>
      <c r="B304" s="19" t="s">
        <v>194</v>
      </c>
      <c r="C304" s="20" t="s">
        <v>57</v>
      </c>
      <c r="D304" s="15">
        <v>5</v>
      </c>
      <c r="E304" s="15"/>
      <c r="F304" s="15"/>
      <c r="G304" s="15"/>
      <c r="H304" s="15">
        <f t="shared" si="40"/>
        <v>5</v>
      </c>
      <c r="I304" s="83">
        <f t="shared" si="41"/>
        <v>10</v>
      </c>
      <c r="K304" s="19">
        <v>1950</v>
      </c>
      <c r="L304" s="10"/>
      <c r="M304" s="10"/>
    </row>
    <row r="305" spans="1:13" x14ac:dyDescent="0.25">
      <c r="A305" s="10">
        <f t="shared" si="33"/>
        <v>278</v>
      </c>
      <c r="B305" s="19" t="s">
        <v>195</v>
      </c>
      <c r="C305" s="20" t="s">
        <v>144</v>
      </c>
      <c r="D305" s="15">
        <v>12</v>
      </c>
      <c r="E305" s="15"/>
      <c r="F305" s="15"/>
      <c r="G305" s="15"/>
      <c r="H305" s="15">
        <f t="shared" si="40"/>
        <v>12</v>
      </c>
      <c r="I305" s="83">
        <f t="shared" si="41"/>
        <v>24</v>
      </c>
      <c r="K305" s="19">
        <v>800</v>
      </c>
      <c r="L305" s="10"/>
      <c r="M305" s="10"/>
    </row>
    <row r="306" spans="1:13" x14ac:dyDescent="0.25">
      <c r="A306" s="10">
        <f t="shared" si="33"/>
        <v>279</v>
      </c>
      <c r="B306" s="19" t="s">
        <v>196</v>
      </c>
      <c r="C306" s="20">
        <v>1000</v>
      </c>
      <c r="D306" s="15">
        <v>46</v>
      </c>
      <c r="E306" s="15"/>
      <c r="F306" s="15"/>
      <c r="G306" s="15"/>
      <c r="H306" s="15">
        <f t="shared" si="40"/>
        <v>46</v>
      </c>
      <c r="I306" s="83">
        <f t="shared" si="41"/>
        <v>92</v>
      </c>
      <c r="K306" s="19">
        <v>100</v>
      </c>
      <c r="L306" s="10"/>
      <c r="M306" s="10"/>
    </row>
    <row r="307" spans="1:13" x14ac:dyDescent="0.25">
      <c r="A307" s="10">
        <f t="shared" si="33"/>
        <v>280</v>
      </c>
      <c r="B307" s="19" t="s">
        <v>197</v>
      </c>
      <c r="C307" s="20">
        <v>1000</v>
      </c>
      <c r="D307" s="15">
        <v>94</v>
      </c>
      <c r="E307" s="15">
        <v>50</v>
      </c>
      <c r="F307" s="15">
        <v>12</v>
      </c>
      <c r="G307" s="15"/>
      <c r="H307" s="15">
        <f t="shared" si="40"/>
        <v>156</v>
      </c>
      <c r="I307" s="83">
        <f t="shared" si="41"/>
        <v>312</v>
      </c>
      <c r="K307" s="19">
        <v>378</v>
      </c>
      <c r="L307" s="10"/>
      <c r="M307" s="10"/>
    </row>
    <row r="308" spans="1:13" x14ac:dyDescent="0.25">
      <c r="A308" s="10">
        <f t="shared" si="33"/>
        <v>281</v>
      </c>
      <c r="B308" s="19" t="s">
        <v>198</v>
      </c>
      <c r="C308" s="20" t="s">
        <v>455</v>
      </c>
      <c r="D308" s="15">
        <v>2</v>
      </c>
      <c r="E308" s="15"/>
      <c r="F308" s="15"/>
      <c r="G308" s="15"/>
      <c r="H308" s="15">
        <f t="shared" si="40"/>
        <v>2</v>
      </c>
      <c r="I308" s="83">
        <f t="shared" si="41"/>
        <v>4</v>
      </c>
      <c r="K308" s="19">
        <v>400</v>
      </c>
      <c r="L308" s="10"/>
      <c r="M308" s="10"/>
    </row>
    <row r="309" spans="1:13" x14ac:dyDescent="0.25">
      <c r="A309" s="10">
        <f t="shared" si="33"/>
        <v>282</v>
      </c>
      <c r="B309" s="19" t="s">
        <v>199</v>
      </c>
      <c r="C309" s="20" t="s">
        <v>144</v>
      </c>
      <c r="D309" s="15">
        <v>40</v>
      </c>
      <c r="E309" s="15">
        <v>6</v>
      </c>
      <c r="F309" s="15"/>
      <c r="G309" s="15"/>
      <c r="H309" s="15">
        <f t="shared" si="40"/>
        <v>46</v>
      </c>
      <c r="I309" s="83">
        <f t="shared" si="41"/>
        <v>92</v>
      </c>
      <c r="K309" s="19">
        <v>1092</v>
      </c>
      <c r="L309" s="10"/>
      <c r="M309" s="10"/>
    </row>
    <row r="310" spans="1:13" x14ac:dyDescent="0.25">
      <c r="A310" s="10">
        <f t="shared" si="33"/>
        <v>283</v>
      </c>
      <c r="B310" s="19" t="s">
        <v>680</v>
      </c>
      <c r="C310" s="20">
        <v>30</v>
      </c>
      <c r="D310" s="15"/>
      <c r="E310" s="15"/>
      <c r="F310" s="15"/>
      <c r="G310" s="15"/>
      <c r="H310" s="15"/>
      <c r="I310" s="83"/>
      <c r="K310" s="19">
        <v>400</v>
      </c>
      <c r="L310" s="10"/>
      <c r="M310" s="10"/>
    </row>
    <row r="311" spans="1:13" x14ac:dyDescent="0.25">
      <c r="A311" s="10">
        <f t="shared" si="33"/>
        <v>284</v>
      </c>
      <c r="B311" s="19" t="s">
        <v>200</v>
      </c>
      <c r="C311" s="20">
        <v>10</v>
      </c>
      <c r="D311" s="15">
        <v>80</v>
      </c>
      <c r="E311" s="15"/>
      <c r="F311" s="15"/>
      <c r="G311" s="15"/>
      <c r="H311" s="15">
        <f>SUM(D311:G311)</f>
        <v>80</v>
      </c>
      <c r="I311" s="83">
        <f>H311*2</f>
        <v>160</v>
      </c>
      <c r="K311" s="19">
        <v>100</v>
      </c>
      <c r="L311" s="10"/>
      <c r="M311" s="10"/>
    </row>
    <row r="312" spans="1:13" x14ac:dyDescent="0.25">
      <c r="A312" s="10">
        <f t="shared" si="33"/>
        <v>285</v>
      </c>
      <c r="B312" s="19" t="s">
        <v>201</v>
      </c>
      <c r="C312" s="20">
        <v>28</v>
      </c>
      <c r="D312" s="15">
        <v>14</v>
      </c>
      <c r="E312" s="15"/>
      <c r="F312" s="15"/>
      <c r="G312" s="15"/>
      <c r="H312" s="15">
        <f>SUM(D312:G312)</f>
        <v>14</v>
      </c>
      <c r="I312" s="83">
        <f>H312*2</f>
        <v>28</v>
      </c>
      <c r="K312" s="19">
        <v>57</v>
      </c>
      <c r="L312" s="10"/>
      <c r="M312" s="10"/>
    </row>
    <row r="313" spans="1:13" x14ac:dyDescent="0.25">
      <c r="A313" s="10">
        <f t="shared" si="33"/>
        <v>286</v>
      </c>
      <c r="B313" s="19" t="s">
        <v>202</v>
      </c>
      <c r="C313" s="20">
        <v>28</v>
      </c>
      <c r="D313" s="15">
        <v>20</v>
      </c>
      <c r="E313" s="15"/>
      <c r="F313" s="15"/>
      <c r="G313" s="15"/>
      <c r="H313" s="15">
        <f>SUM(D313:G313)</f>
        <v>20</v>
      </c>
      <c r="I313" s="83">
        <f>H313*2</f>
        <v>40</v>
      </c>
      <c r="K313" s="19">
        <v>46</v>
      </c>
      <c r="L313" s="10"/>
      <c r="M313" s="10"/>
    </row>
    <row r="314" spans="1:13" x14ac:dyDescent="0.25">
      <c r="B314" s="19"/>
      <c r="C314" s="20"/>
      <c r="D314" s="15"/>
      <c r="E314" s="15"/>
      <c r="F314" s="15"/>
      <c r="G314" s="15"/>
      <c r="H314" s="15"/>
      <c r="I314" s="83"/>
      <c r="K314" s="19"/>
      <c r="L314" s="10"/>
      <c r="M314" s="10"/>
    </row>
    <row r="315" spans="1:13" x14ac:dyDescent="0.25">
      <c r="B315" s="19"/>
      <c r="C315" s="20"/>
      <c r="D315" s="15"/>
      <c r="E315" s="15"/>
      <c r="F315" s="15"/>
      <c r="G315" s="15"/>
      <c r="H315" s="15"/>
      <c r="I315" s="83"/>
      <c r="K315" s="19"/>
      <c r="L315" s="10"/>
      <c r="M315" s="10"/>
    </row>
    <row r="316" spans="1:13" ht="23.25" x14ac:dyDescent="0.25">
      <c r="A316" s="12" t="s">
        <v>203</v>
      </c>
      <c r="B316" s="22" t="s">
        <v>204</v>
      </c>
      <c r="C316" s="20"/>
      <c r="D316" s="15"/>
      <c r="E316" s="15"/>
      <c r="F316" s="15"/>
      <c r="G316" s="15"/>
      <c r="H316" s="15"/>
      <c r="I316" s="83"/>
      <c r="K316" s="19"/>
      <c r="L316" s="10"/>
      <c r="M316" s="10"/>
    </row>
    <row r="317" spans="1:13" x14ac:dyDescent="0.25">
      <c r="B317" s="19"/>
      <c r="C317" s="20"/>
      <c r="D317" s="15"/>
      <c r="E317" s="15"/>
      <c r="F317" s="15"/>
      <c r="G317" s="15"/>
      <c r="H317" s="15"/>
      <c r="I317" s="83"/>
      <c r="K317" s="19"/>
      <c r="L317" s="10"/>
      <c r="M317" s="10"/>
    </row>
    <row r="318" spans="1:13" x14ac:dyDescent="0.25">
      <c r="A318" s="10">
        <f>A313+1</f>
        <v>287</v>
      </c>
      <c r="B318" s="19" t="s">
        <v>205</v>
      </c>
      <c r="C318" s="20">
        <v>500</v>
      </c>
      <c r="D318" s="15">
        <v>35</v>
      </c>
      <c r="E318" s="15">
        <v>2</v>
      </c>
      <c r="F318" s="15">
        <v>1</v>
      </c>
      <c r="G318" s="15"/>
      <c r="H318" s="15">
        <f t="shared" ref="H318:H332" si="42">SUM(D318:G318)</f>
        <v>38</v>
      </c>
      <c r="I318" s="83">
        <f t="shared" ref="I318:I332" si="43">H318*2</f>
        <v>76</v>
      </c>
      <c r="K318" s="19">
        <v>77</v>
      </c>
      <c r="L318" s="10"/>
      <c r="M318" s="10"/>
    </row>
    <row r="319" spans="1:13" x14ac:dyDescent="0.25">
      <c r="A319" s="10">
        <f t="shared" ref="A319:A341" si="44">A318+1</f>
        <v>288</v>
      </c>
      <c r="B319" s="19" t="s">
        <v>206</v>
      </c>
      <c r="C319" s="20">
        <v>500</v>
      </c>
      <c r="D319" s="15">
        <v>1</v>
      </c>
      <c r="E319" s="15">
        <v>1</v>
      </c>
      <c r="F319" s="15"/>
      <c r="G319" s="15"/>
      <c r="H319" s="15">
        <f t="shared" si="42"/>
        <v>2</v>
      </c>
      <c r="I319" s="83">
        <f t="shared" si="43"/>
        <v>4</v>
      </c>
      <c r="K319" s="19">
        <v>15</v>
      </c>
      <c r="L319" s="10"/>
      <c r="M319" s="10"/>
    </row>
    <row r="320" spans="1:13" x14ac:dyDescent="0.25">
      <c r="A320" s="10">
        <f t="shared" si="44"/>
        <v>289</v>
      </c>
      <c r="B320" s="19" t="s">
        <v>207</v>
      </c>
      <c r="C320" s="20">
        <v>30</v>
      </c>
      <c r="D320" s="15">
        <v>124</v>
      </c>
      <c r="E320" s="15">
        <v>60</v>
      </c>
      <c r="F320" s="15">
        <v>6</v>
      </c>
      <c r="G320" s="15"/>
      <c r="H320" s="15">
        <f t="shared" si="42"/>
        <v>190</v>
      </c>
      <c r="I320" s="83">
        <f t="shared" si="43"/>
        <v>380</v>
      </c>
      <c r="K320" s="19">
        <v>200</v>
      </c>
      <c r="L320" s="10"/>
      <c r="M320" s="10"/>
    </row>
    <row r="321" spans="1:13" x14ac:dyDescent="0.25">
      <c r="A321" s="10">
        <f t="shared" si="44"/>
        <v>290</v>
      </c>
      <c r="B321" s="19" t="s">
        <v>208</v>
      </c>
      <c r="C321" s="20">
        <v>30</v>
      </c>
      <c r="D321" s="15">
        <v>36</v>
      </c>
      <c r="E321" s="15">
        <v>42</v>
      </c>
      <c r="F321" s="15">
        <v>6</v>
      </c>
      <c r="G321" s="15"/>
      <c r="H321" s="15">
        <f t="shared" si="42"/>
        <v>84</v>
      </c>
      <c r="I321" s="83">
        <f t="shared" si="43"/>
        <v>168</v>
      </c>
      <c r="K321" s="19">
        <v>221</v>
      </c>
      <c r="L321" s="10"/>
      <c r="M321" s="10"/>
    </row>
    <row r="322" spans="1:13" x14ac:dyDescent="0.25">
      <c r="A322" s="10">
        <f t="shared" si="44"/>
        <v>291</v>
      </c>
      <c r="B322" s="19" t="s">
        <v>209</v>
      </c>
      <c r="C322" s="20">
        <v>100</v>
      </c>
      <c r="D322" s="15">
        <v>129</v>
      </c>
      <c r="E322" s="15"/>
      <c r="F322" s="15">
        <v>2</v>
      </c>
      <c r="G322" s="15"/>
      <c r="H322" s="15">
        <f t="shared" si="42"/>
        <v>131</v>
      </c>
      <c r="I322" s="83">
        <f t="shared" si="43"/>
        <v>262</v>
      </c>
      <c r="K322" s="19">
        <v>339</v>
      </c>
      <c r="L322" s="10"/>
      <c r="M322" s="10"/>
    </row>
    <row r="323" spans="1:13" x14ac:dyDescent="0.25">
      <c r="A323" s="10">
        <f t="shared" si="44"/>
        <v>292</v>
      </c>
      <c r="B323" s="19" t="s">
        <v>210</v>
      </c>
      <c r="C323" s="20">
        <v>50</v>
      </c>
      <c r="D323" s="15">
        <v>150</v>
      </c>
      <c r="E323" s="15"/>
      <c r="F323" s="15">
        <v>4</v>
      </c>
      <c r="G323" s="15"/>
      <c r="H323" s="15">
        <f t="shared" si="42"/>
        <v>154</v>
      </c>
      <c r="I323" s="83">
        <f t="shared" si="43"/>
        <v>308</v>
      </c>
      <c r="K323" s="19">
        <v>163</v>
      </c>
      <c r="L323" s="10"/>
      <c r="M323" s="10"/>
    </row>
    <row r="324" spans="1:13" x14ac:dyDescent="0.25">
      <c r="A324" s="10">
        <f t="shared" si="44"/>
        <v>293</v>
      </c>
      <c r="B324" s="19" t="s">
        <v>211</v>
      </c>
      <c r="C324" s="20" t="s">
        <v>212</v>
      </c>
      <c r="D324" s="15">
        <v>20</v>
      </c>
      <c r="E324" s="15"/>
      <c r="F324" s="15"/>
      <c r="G324" s="15"/>
      <c r="H324" s="15">
        <f t="shared" si="42"/>
        <v>20</v>
      </c>
      <c r="I324" s="83">
        <f t="shared" si="43"/>
        <v>40</v>
      </c>
      <c r="K324" s="19">
        <v>13</v>
      </c>
      <c r="L324" s="10"/>
      <c r="M324" s="10"/>
    </row>
    <row r="325" spans="1:13" x14ac:dyDescent="0.25">
      <c r="A325" s="10">
        <f t="shared" si="44"/>
        <v>294</v>
      </c>
      <c r="B325" s="19" t="s">
        <v>213</v>
      </c>
      <c r="C325" s="20">
        <v>50</v>
      </c>
      <c r="D325" s="15">
        <v>30</v>
      </c>
      <c r="E325" s="15"/>
      <c r="F325" s="15"/>
      <c r="G325" s="15"/>
      <c r="H325" s="15">
        <f t="shared" si="42"/>
        <v>30</v>
      </c>
      <c r="I325" s="83">
        <f t="shared" si="43"/>
        <v>60</v>
      </c>
      <c r="K325" s="19">
        <v>45</v>
      </c>
      <c r="L325" s="10"/>
      <c r="M325" s="10"/>
    </row>
    <row r="326" spans="1:13" x14ac:dyDescent="0.25">
      <c r="A326" s="10">
        <f t="shared" si="44"/>
        <v>295</v>
      </c>
      <c r="B326" s="19" t="s">
        <v>214</v>
      </c>
      <c r="C326" s="20">
        <v>100</v>
      </c>
      <c r="D326" s="15">
        <v>3</v>
      </c>
      <c r="E326" s="15"/>
      <c r="F326" s="15"/>
      <c r="G326" s="15"/>
      <c r="H326" s="15">
        <f t="shared" si="42"/>
        <v>3</v>
      </c>
      <c r="I326" s="83">
        <f t="shared" si="43"/>
        <v>6</v>
      </c>
      <c r="K326" s="19">
        <v>10</v>
      </c>
      <c r="L326" s="10"/>
      <c r="M326" s="10"/>
    </row>
    <row r="327" spans="1:13" x14ac:dyDescent="0.25">
      <c r="A327" s="10">
        <f t="shared" si="44"/>
        <v>296</v>
      </c>
      <c r="B327" s="19" t="s">
        <v>215</v>
      </c>
      <c r="C327" s="20">
        <v>1000</v>
      </c>
      <c r="D327" s="15">
        <v>1</v>
      </c>
      <c r="E327" s="15"/>
      <c r="F327" s="15">
        <v>0.5</v>
      </c>
      <c r="G327" s="15"/>
      <c r="H327" s="15">
        <f t="shared" si="42"/>
        <v>1.5</v>
      </c>
      <c r="I327" s="83">
        <f t="shared" si="43"/>
        <v>3</v>
      </c>
      <c r="K327" s="19">
        <v>4</v>
      </c>
      <c r="L327" s="10"/>
      <c r="M327" s="10"/>
    </row>
    <row r="328" spans="1:13" x14ac:dyDescent="0.25">
      <c r="A328" s="10">
        <f t="shared" si="44"/>
        <v>297</v>
      </c>
      <c r="B328" s="19" t="s">
        <v>724</v>
      </c>
      <c r="C328" s="20">
        <v>10</v>
      </c>
      <c r="D328" s="15">
        <v>7</v>
      </c>
      <c r="E328" s="15">
        <v>1</v>
      </c>
      <c r="F328" s="15"/>
      <c r="G328" s="15"/>
      <c r="H328" s="15">
        <f t="shared" si="42"/>
        <v>8</v>
      </c>
      <c r="I328" s="83">
        <f t="shared" si="43"/>
        <v>16</v>
      </c>
      <c r="K328" s="19">
        <v>180</v>
      </c>
      <c r="L328" s="10"/>
      <c r="M328" s="10"/>
    </row>
    <row r="329" spans="1:13" x14ac:dyDescent="0.25">
      <c r="A329" s="10">
        <f t="shared" si="44"/>
        <v>298</v>
      </c>
      <c r="B329" s="19" t="s">
        <v>755</v>
      </c>
      <c r="C329" s="20">
        <v>96</v>
      </c>
      <c r="D329" s="15"/>
      <c r="E329" s="15"/>
      <c r="F329" s="15">
        <v>1</v>
      </c>
      <c r="G329" s="15"/>
      <c r="H329" s="15">
        <f t="shared" si="42"/>
        <v>1</v>
      </c>
      <c r="I329" s="83">
        <f t="shared" si="43"/>
        <v>2</v>
      </c>
      <c r="K329" s="19">
        <v>63</v>
      </c>
      <c r="L329" s="10"/>
      <c r="M329" s="10"/>
    </row>
    <row r="330" spans="1:13" x14ac:dyDescent="0.25">
      <c r="A330" s="10">
        <f t="shared" si="44"/>
        <v>299</v>
      </c>
      <c r="B330" s="19" t="s">
        <v>756</v>
      </c>
      <c r="C330" s="20">
        <v>1000</v>
      </c>
      <c r="D330" s="15"/>
      <c r="E330" s="15"/>
      <c r="F330" s="15">
        <v>1</v>
      </c>
      <c r="G330" s="15"/>
      <c r="H330" s="15">
        <f t="shared" si="42"/>
        <v>1</v>
      </c>
      <c r="I330" s="83">
        <f t="shared" si="43"/>
        <v>2</v>
      </c>
      <c r="K330" s="19">
        <v>5</v>
      </c>
      <c r="L330" s="10"/>
      <c r="M330" s="10"/>
    </row>
    <row r="331" spans="1:13" x14ac:dyDescent="0.25">
      <c r="A331" s="10">
        <f t="shared" si="44"/>
        <v>300</v>
      </c>
      <c r="B331" s="19" t="s">
        <v>216</v>
      </c>
      <c r="C331" s="20">
        <v>10</v>
      </c>
      <c r="D331" s="15">
        <v>4.5</v>
      </c>
      <c r="E331" s="15"/>
      <c r="F331" s="15"/>
      <c r="G331" s="15"/>
      <c r="H331" s="15">
        <f t="shared" si="42"/>
        <v>4.5</v>
      </c>
      <c r="I331" s="83">
        <f t="shared" si="43"/>
        <v>9</v>
      </c>
      <c r="K331" s="19">
        <v>10</v>
      </c>
      <c r="L331" s="10"/>
      <c r="M331" s="10"/>
    </row>
    <row r="332" spans="1:13" x14ac:dyDescent="0.25">
      <c r="A332" s="10">
        <f t="shared" si="44"/>
        <v>301</v>
      </c>
      <c r="B332" s="19" t="s">
        <v>217</v>
      </c>
      <c r="C332" s="20">
        <v>10</v>
      </c>
      <c r="D332" s="15">
        <v>4.5</v>
      </c>
      <c r="E332" s="15"/>
      <c r="F332" s="15"/>
      <c r="G332" s="15"/>
      <c r="H332" s="15">
        <f t="shared" si="42"/>
        <v>4.5</v>
      </c>
      <c r="I332" s="83">
        <f t="shared" si="43"/>
        <v>9</v>
      </c>
      <c r="K332" s="19">
        <v>10</v>
      </c>
      <c r="L332" s="10"/>
      <c r="M332" s="10"/>
    </row>
    <row r="333" spans="1:13" x14ac:dyDescent="0.25">
      <c r="A333" s="10">
        <f t="shared" si="44"/>
        <v>302</v>
      </c>
      <c r="B333" s="19" t="s">
        <v>668</v>
      </c>
      <c r="C333" s="20">
        <v>100</v>
      </c>
      <c r="D333" s="15"/>
      <c r="E333" s="15"/>
      <c r="F333" s="15"/>
      <c r="G333" s="15"/>
      <c r="H333" s="15"/>
      <c r="I333" s="83"/>
      <c r="K333" s="19">
        <v>200</v>
      </c>
      <c r="L333" s="10"/>
      <c r="M333" s="10"/>
    </row>
    <row r="334" spans="1:13" x14ac:dyDescent="0.25">
      <c r="A334" s="10">
        <f t="shared" si="44"/>
        <v>303</v>
      </c>
      <c r="B334" s="19" t="s">
        <v>460</v>
      </c>
      <c r="C334" s="20">
        <v>1000</v>
      </c>
      <c r="D334" s="15">
        <v>0.5</v>
      </c>
      <c r="E334" s="15"/>
      <c r="F334" s="15"/>
      <c r="G334" s="15"/>
      <c r="H334" s="15">
        <f>SUM(D334:G334)</f>
        <v>0.5</v>
      </c>
      <c r="I334" s="83">
        <f>H334*2</f>
        <v>1</v>
      </c>
      <c r="K334" s="19">
        <v>2</v>
      </c>
      <c r="L334" s="10"/>
      <c r="M334" s="10"/>
    </row>
    <row r="335" spans="1:13" x14ac:dyDescent="0.25">
      <c r="A335" s="10">
        <f t="shared" si="44"/>
        <v>304</v>
      </c>
      <c r="B335" s="19" t="s">
        <v>218</v>
      </c>
      <c r="C335" s="20">
        <v>500</v>
      </c>
      <c r="D335" s="15">
        <v>1</v>
      </c>
      <c r="E335" s="15">
        <v>1</v>
      </c>
      <c r="F335" s="15"/>
      <c r="G335" s="15"/>
      <c r="H335" s="15">
        <f>SUM(D335:G335)</f>
        <v>2</v>
      </c>
      <c r="I335" s="83">
        <f>H335*2</f>
        <v>4</v>
      </c>
      <c r="K335" s="19">
        <v>12</v>
      </c>
      <c r="L335" s="10"/>
      <c r="M335" s="10"/>
    </row>
    <row r="336" spans="1:13" x14ac:dyDescent="0.25">
      <c r="A336" s="10">
        <f t="shared" si="44"/>
        <v>305</v>
      </c>
      <c r="B336" s="19" t="s">
        <v>219</v>
      </c>
      <c r="C336" s="20">
        <v>30</v>
      </c>
      <c r="D336" s="15">
        <v>60</v>
      </c>
      <c r="E336" s="15"/>
      <c r="F336" s="15"/>
      <c r="G336" s="15"/>
      <c r="H336" s="15">
        <f>SUM(D336:G336)</f>
        <v>60</v>
      </c>
      <c r="I336" s="83">
        <f>H336*2</f>
        <v>120</v>
      </c>
      <c r="K336" s="19">
        <v>208</v>
      </c>
      <c r="L336" s="10"/>
      <c r="M336" s="10"/>
    </row>
    <row r="337" spans="1:13" x14ac:dyDescent="0.25">
      <c r="A337" s="10">
        <f t="shared" si="44"/>
        <v>306</v>
      </c>
      <c r="B337" s="19" t="s">
        <v>220</v>
      </c>
      <c r="C337" s="20">
        <v>30</v>
      </c>
      <c r="D337" s="15">
        <v>40</v>
      </c>
      <c r="E337" s="15"/>
      <c r="F337" s="15"/>
      <c r="G337" s="15"/>
      <c r="H337" s="15">
        <f>SUM(D337:G337)</f>
        <v>40</v>
      </c>
      <c r="I337" s="83">
        <f>H337*2</f>
        <v>80</v>
      </c>
      <c r="K337" s="19">
        <v>131</v>
      </c>
      <c r="L337" s="10"/>
      <c r="M337" s="10"/>
    </row>
    <row r="338" spans="1:13" x14ac:dyDescent="0.25">
      <c r="A338" s="10">
        <f t="shared" si="44"/>
        <v>307</v>
      </c>
      <c r="B338" s="19" t="s">
        <v>221</v>
      </c>
      <c r="C338" s="20">
        <v>5</v>
      </c>
      <c r="D338" s="15">
        <v>37</v>
      </c>
      <c r="E338" s="15"/>
      <c r="F338" s="15"/>
      <c r="G338" s="15"/>
      <c r="H338" s="15">
        <f>SUM(D338:G338)</f>
        <v>37</v>
      </c>
      <c r="I338" s="83">
        <f>H338*2</f>
        <v>74</v>
      </c>
      <c r="K338" s="19">
        <v>78</v>
      </c>
      <c r="L338" s="10"/>
      <c r="M338" s="10"/>
    </row>
    <row r="339" spans="1:13" x14ac:dyDescent="0.25">
      <c r="A339" s="10">
        <f t="shared" si="44"/>
        <v>308</v>
      </c>
      <c r="B339" s="19" t="s">
        <v>681</v>
      </c>
      <c r="C339" s="20">
        <v>30</v>
      </c>
      <c r="D339" s="15"/>
      <c r="E339" s="15"/>
      <c r="F339" s="15"/>
      <c r="G339" s="15"/>
      <c r="H339" s="15"/>
      <c r="I339" s="83"/>
      <c r="K339" s="19">
        <v>20</v>
      </c>
      <c r="L339" s="10"/>
      <c r="M339" s="10"/>
    </row>
    <row r="340" spans="1:13" x14ac:dyDescent="0.25">
      <c r="A340" s="10">
        <f t="shared" si="44"/>
        <v>309</v>
      </c>
      <c r="B340" s="19" t="s">
        <v>222</v>
      </c>
      <c r="C340" s="20">
        <v>100</v>
      </c>
      <c r="D340" s="15">
        <v>3</v>
      </c>
      <c r="E340" s="15"/>
      <c r="F340" s="15"/>
      <c r="G340" s="15"/>
      <c r="H340" s="15">
        <f>SUM(D340:G340)</f>
        <v>3</v>
      </c>
      <c r="I340" s="83">
        <f>H340*2</f>
        <v>6</v>
      </c>
      <c r="K340" s="19">
        <v>9</v>
      </c>
      <c r="L340" s="10"/>
      <c r="M340" s="10"/>
    </row>
    <row r="341" spans="1:13" x14ac:dyDescent="0.25">
      <c r="A341" s="10">
        <f t="shared" si="44"/>
        <v>310</v>
      </c>
      <c r="B341" s="19" t="s">
        <v>707</v>
      </c>
      <c r="C341" s="20">
        <v>1000</v>
      </c>
      <c r="D341" s="15"/>
      <c r="E341" s="15"/>
      <c r="F341" s="15"/>
      <c r="G341" s="15"/>
      <c r="H341" s="15"/>
      <c r="I341" s="83"/>
      <c r="K341" s="19">
        <v>10</v>
      </c>
      <c r="L341" s="10"/>
      <c r="M341" s="10"/>
    </row>
    <row r="342" spans="1:13" x14ac:dyDescent="0.25">
      <c r="A342" s="10">
        <f>A341+1</f>
        <v>311</v>
      </c>
      <c r="B342" s="19" t="s">
        <v>461</v>
      </c>
      <c r="C342" s="20">
        <v>100</v>
      </c>
      <c r="D342" s="15">
        <v>2</v>
      </c>
      <c r="E342" s="15"/>
      <c r="F342" s="15"/>
      <c r="G342" s="15"/>
      <c r="H342" s="15">
        <f>SUM(D342:G342)</f>
        <v>2</v>
      </c>
      <c r="I342" s="83">
        <f>H342*2</f>
        <v>4</v>
      </c>
      <c r="K342" s="19">
        <v>2</v>
      </c>
      <c r="L342" s="10"/>
      <c r="M342" s="10"/>
    </row>
    <row r="343" spans="1:13" x14ac:dyDescent="0.25">
      <c r="A343" s="10">
        <f>A342+1</f>
        <v>312</v>
      </c>
      <c r="B343" s="19" t="s">
        <v>462</v>
      </c>
      <c r="C343" s="20">
        <v>5</v>
      </c>
      <c r="D343" s="15">
        <v>7</v>
      </c>
      <c r="E343" s="15"/>
      <c r="F343" s="15"/>
      <c r="G343" s="15"/>
      <c r="H343" s="15">
        <f>SUM(D343:G343)</f>
        <v>7</v>
      </c>
      <c r="I343" s="83">
        <f>H343*2</f>
        <v>14</v>
      </c>
      <c r="K343" s="19">
        <v>15</v>
      </c>
      <c r="L343" s="10"/>
      <c r="M343" s="10"/>
    </row>
    <row r="344" spans="1:13" x14ac:dyDescent="0.25">
      <c r="A344" s="10">
        <f>A343+1</f>
        <v>313</v>
      </c>
      <c r="B344" s="19" t="s">
        <v>223</v>
      </c>
      <c r="C344" s="20">
        <v>30</v>
      </c>
      <c r="D344" s="15">
        <v>12</v>
      </c>
      <c r="E344" s="15"/>
      <c r="F344" s="15"/>
      <c r="G344" s="15"/>
      <c r="H344" s="15">
        <f>SUM(D344:G344)</f>
        <v>12</v>
      </c>
      <c r="I344" s="83">
        <f>H344*2</f>
        <v>24</v>
      </c>
      <c r="K344" s="19">
        <v>74</v>
      </c>
      <c r="L344" s="10"/>
      <c r="M344" s="10"/>
    </row>
    <row r="345" spans="1:13" x14ac:dyDescent="0.25">
      <c r="A345" s="10">
        <f>A344+1</f>
        <v>314</v>
      </c>
      <c r="B345" s="19" t="s">
        <v>224</v>
      </c>
      <c r="C345" s="20">
        <v>10</v>
      </c>
      <c r="D345" s="15">
        <v>1</v>
      </c>
      <c r="E345" s="15"/>
      <c r="F345" s="15"/>
      <c r="G345" s="15"/>
      <c r="H345" s="15">
        <f>SUM(D345:G345)</f>
        <v>1</v>
      </c>
      <c r="I345" s="83">
        <f>H345*2</f>
        <v>2</v>
      </c>
      <c r="K345" s="19">
        <v>1</v>
      </c>
      <c r="L345" s="10"/>
      <c r="M345" s="10"/>
    </row>
    <row r="346" spans="1:13" x14ac:dyDescent="0.25">
      <c r="A346" s="10">
        <f>A345+1</f>
        <v>315</v>
      </c>
      <c r="B346" s="19" t="s">
        <v>757</v>
      </c>
      <c r="C346" s="20">
        <v>1000</v>
      </c>
      <c r="D346" s="15">
        <v>1</v>
      </c>
      <c r="E346" s="15"/>
      <c r="F346" s="15"/>
      <c r="G346" s="15"/>
      <c r="H346" s="15">
        <f>SUM(D346:G346)</f>
        <v>1</v>
      </c>
      <c r="I346" s="83">
        <f>H346*2</f>
        <v>2</v>
      </c>
      <c r="K346" s="19">
        <v>2</v>
      </c>
      <c r="L346" s="10"/>
      <c r="M346" s="10"/>
    </row>
    <row r="347" spans="1:13" x14ac:dyDescent="0.25">
      <c r="B347" s="19"/>
      <c r="C347" s="20"/>
      <c r="D347" s="15"/>
      <c r="E347" s="15"/>
      <c r="F347" s="15"/>
      <c r="G347" s="15"/>
      <c r="H347" s="15"/>
      <c r="I347" s="83"/>
      <c r="K347" s="19"/>
      <c r="L347" s="10"/>
      <c r="M347" s="10"/>
    </row>
    <row r="348" spans="1:13" x14ac:dyDescent="0.25">
      <c r="B348" s="19"/>
      <c r="C348" s="20"/>
      <c r="D348" s="15"/>
      <c r="E348" s="15"/>
      <c r="F348" s="15"/>
      <c r="G348" s="15"/>
      <c r="H348" s="15"/>
      <c r="I348" s="83"/>
      <c r="K348" s="19"/>
      <c r="L348" s="10"/>
      <c r="M348" s="10"/>
    </row>
    <row r="349" spans="1:13" ht="23.25" x14ac:dyDescent="0.25">
      <c r="A349" s="12" t="s">
        <v>225</v>
      </c>
      <c r="B349" s="22" t="s">
        <v>226</v>
      </c>
      <c r="C349" s="20"/>
      <c r="D349" s="15"/>
      <c r="E349" s="15"/>
      <c r="F349" s="15"/>
      <c r="G349" s="15"/>
      <c r="H349" s="15"/>
      <c r="I349" s="83"/>
      <c r="K349" s="19"/>
      <c r="L349" s="10"/>
      <c r="M349" s="10"/>
    </row>
    <row r="350" spans="1:13" ht="21" x14ac:dyDescent="0.25">
      <c r="B350" s="17" t="s">
        <v>463</v>
      </c>
      <c r="C350" s="20"/>
      <c r="D350" s="15"/>
      <c r="E350" s="15"/>
      <c r="F350" s="15"/>
      <c r="G350" s="15"/>
      <c r="H350" s="15"/>
      <c r="I350" s="83"/>
      <c r="K350" s="19"/>
      <c r="L350" s="10"/>
      <c r="M350" s="10"/>
    </row>
    <row r="351" spans="1:13" x14ac:dyDescent="0.25">
      <c r="A351" s="10">
        <f>A346+1</f>
        <v>316</v>
      </c>
      <c r="B351" s="19" t="s">
        <v>391</v>
      </c>
      <c r="C351" s="20">
        <v>30</v>
      </c>
      <c r="D351" s="15">
        <v>20</v>
      </c>
      <c r="E351" s="15"/>
      <c r="F351" s="15"/>
      <c r="G351" s="15"/>
      <c r="H351" s="15">
        <f t="shared" ref="H351:H358" si="45">SUM(D351:G351)</f>
        <v>20</v>
      </c>
      <c r="I351" s="83">
        <f t="shared" ref="I351:I358" si="46">H351*2</f>
        <v>40</v>
      </c>
      <c r="K351" s="19">
        <v>52</v>
      </c>
      <c r="L351" s="10"/>
      <c r="M351" s="10"/>
    </row>
    <row r="352" spans="1:13" x14ac:dyDescent="0.25">
      <c r="A352" s="10">
        <f t="shared" ref="A352:A358" si="47">A351+1</f>
        <v>317</v>
      </c>
      <c r="B352" s="19" t="s">
        <v>228</v>
      </c>
      <c r="C352" s="20">
        <v>10</v>
      </c>
      <c r="D352" s="15">
        <v>10</v>
      </c>
      <c r="E352" s="15"/>
      <c r="F352" s="15"/>
      <c r="G352" s="15"/>
      <c r="H352" s="15">
        <f t="shared" si="45"/>
        <v>10</v>
      </c>
      <c r="I352" s="83">
        <f t="shared" si="46"/>
        <v>20</v>
      </c>
      <c r="K352" s="19">
        <v>20</v>
      </c>
      <c r="L352" s="10"/>
      <c r="M352" s="10"/>
    </row>
    <row r="353" spans="1:13" x14ac:dyDescent="0.25">
      <c r="A353" s="10">
        <f t="shared" si="47"/>
        <v>318</v>
      </c>
      <c r="B353" s="19" t="s">
        <v>229</v>
      </c>
      <c r="C353" s="20">
        <v>100</v>
      </c>
      <c r="D353" s="15">
        <v>5</v>
      </c>
      <c r="E353" s="15">
        <v>0.3</v>
      </c>
      <c r="F353" s="15"/>
      <c r="G353" s="15"/>
      <c r="H353" s="15">
        <f t="shared" si="45"/>
        <v>5.3</v>
      </c>
      <c r="I353" s="83">
        <f t="shared" si="46"/>
        <v>10.6</v>
      </c>
      <c r="K353" s="19">
        <v>20</v>
      </c>
      <c r="L353" s="10"/>
      <c r="M353" s="10"/>
    </row>
    <row r="354" spans="1:13" x14ac:dyDescent="0.25">
      <c r="A354" s="10">
        <f t="shared" si="47"/>
        <v>319</v>
      </c>
      <c r="B354" s="19" t="s">
        <v>233</v>
      </c>
      <c r="C354" s="20">
        <v>1</v>
      </c>
      <c r="D354" s="15">
        <v>5</v>
      </c>
      <c r="E354" s="15"/>
      <c r="F354" s="15"/>
      <c r="G354" s="15"/>
      <c r="H354" s="15">
        <f t="shared" si="45"/>
        <v>5</v>
      </c>
      <c r="I354" s="83">
        <f t="shared" si="46"/>
        <v>10</v>
      </c>
      <c r="K354" s="19">
        <v>48</v>
      </c>
      <c r="L354" s="10"/>
      <c r="M354" s="10"/>
    </row>
    <row r="355" spans="1:13" x14ac:dyDescent="0.25">
      <c r="A355" s="10">
        <f t="shared" si="47"/>
        <v>320</v>
      </c>
      <c r="B355" s="19" t="s">
        <v>230</v>
      </c>
      <c r="C355" s="20">
        <v>5</v>
      </c>
      <c r="D355" s="15">
        <v>26</v>
      </c>
      <c r="E355" s="15"/>
      <c r="F355" s="15"/>
      <c r="G355" s="15"/>
      <c r="H355" s="15">
        <f t="shared" si="45"/>
        <v>26</v>
      </c>
      <c r="I355" s="83">
        <f t="shared" si="46"/>
        <v>52</v>
      </c>
      <c r="K355" s="19">
        <v>172</v>
      </c>
      <c r="L355" s="10"/>
      <c r="M355" s="10"/>
    </row>
    <row r="356" spans="1:13" x14ac:dyDescent="0.25">
      <c r="A356" s="10">
        <f t="shared" si="47"/>
        <v>321</v>
      </c>
      <c r="B356" s="19" t="s">
        <v>231</v>
      </c>
      <c r="C356" s="20">
        <v>60</v>
      </c>
      <c r="D356" s="15">
        <v>11</v>
      </c>
      <c r="E356" s="15">
        <v>10</v>
      </c>
      <c r="F356" s="15"/>
      <c r="G356" s="15"/>
      <c r="H356" s="15">
        <f t="shared" si="45"/>
        <v>21</v>
      </c>
      <c r="I356" s="83">
        <f t="shared" si="46"/>
        <v>42</v>
      </c>
      <c r="K356" s="19">
        <v>103</v>
      </c>
      <c r="L356" s="10"/>
      <c r="M356" s="10"/>
    </row>
    <row r="357" spans="1:13" x14ac:dyDescent="0.25">
      <c r="A357" s="10">
        <f t="shared" si="47"/>
        <v>322</v>
      </c>
      <c r="B357" s="19" t="s">
        <v>232</v>
      </c>
      <c r="C357" s="20">
        <v>30</v>
      </c>
      <c r="D357" s="15">
        <v>20</v>
      </c>
      <c r="E357" s="15"/>
      <c r="F357" s="15"/>
      <c r="G357" s="15"/>
      <c r="H357" s="15">
        <f t="shared" si="45"/>
        <v>20</v>
      </c>
      <c r="I357" s="83">
        <f t="shared" si="46"/>
        <v>40</v>
      </c>
      <c r="K357" s="19">
        <v>40</v>
      </c>
      <c r="L357" s="10"/>
      <c r="M357" s="10"/>
    </row>
    <row r="358" spans="1:13" x14ac:dyDescent="0.25">
      <c r="A358" s="10">
        <f t="shared" si="47"/>
        <v>323</v>
      </c>
      <c r="B358" s="19" t="s">
        <v>227</v>
      </c>
      <c r="C358" s="20">
        <v>100</v>
      </c>
      <c r="D358" s="15">
        <v>34</v>
      </c>
      <c r="E358" s="15">
        <v>3</v>
      </c>
      <c r="F358" s="15"/>
      <c r="G358" s="15"/>
      <c r="H358" s="15">
        <f t="shared" si="45"/>
        <v>37</v>
      </c>
      <c r="I358" s="83">
        <f t="shared" si="46"/>
        <v>74</v>
      </c>
      <c r="K358" s="19">
        <v>120</v>
      </c>
      <c r="L358" s="10"/>
      <c r="M358" s="10"/>
    </row>
    <row r="359" spans="1:13" x14ac:dyDescent="0.25">
      <c r="B359" s="16"/>
      <c r="C359" s="20"/>
      <c r="D359" s="15"/>
      <c r="E359" s="15"/>
      <c r="F359" s="15"/>
      <c r="G359" s="15"/>
      <c r="H359" s="15"/>
      <c r="I359" s="83"/>
      <c r="K359" s="19"/>
      <c r="L359" s="10"/>
      <c r="M359" s="10"/>
    </row>
    <row r="360" spans="1:13" ht="21" x14ac:dyDescent="0.25">
      <c r="B360" s="23" t="s">
        <v>234</v>
      </c>
      <c r="C360" s="20"/>
      <c r="D360" s="15"/>
      <c r="E360" s="15"/>
      <c r="F360" s="15"/>
      <c r="G360" s="15"/>
      <c r="H360" s="15"/>
      <c r="I360" s="83"/>
      <c r="K360" s="19"/>
      <c r="L360" s="10"/>
      <c r="M360" s="10"/>
    </row>
    <row r="361" spans="1:13" x14ac:dyDescent="0.25">
      <c r="A361" s="10">
        <f>1+A358</f>
        <v>324</v>
      </c>
      <c r="B361" s="19" t="s">
        <v>235</v>
      </c>
      <c r="C361" s="20">
        <v>10</v>
      </c>
      <c r="D361" s="15"/>
      <c r="E361" s="15">
        <v>5</v>
      </c>
      <c r="F361" s="15"/>
      <c r="G361" s="15">
        <v>50</v>
      </c>
      <c r="H361" s="15">
        <f>SUM(D361:G361)</f>
        <v>55</v>
      </c>
      <c r="I361" s="83">
        <f>H361*2</f>
        <v>110</v>
      </c>
      <c r="K361" s="19">
        <v>150</v>
      </c>
      <c r="L361" s="10"/>
      <c r="M361" s="10"/>
    </row>
    <row r="362" spans="1:13" x14ac:dyDescent="0.25">
      <c r="A362" s="10">
        <f>1+A361</f>
        <v>325</v>
      </c>
      <c r="B362" s="19" t="s">
        <v>236</v>
      </c>
      <c r="C362" s="20">
        <v>5</v>
      </c>
      <c r="D362" s="15">
        <v>20</v>
      </c>
      <c r="E362" s="15"/>
      <c r="F362" s="15"/>
      <c r="G362" s="15">
        <v>40</v>
      </c>
      <c r="H362" s="15">
        <f>SUM(D362:G362)</f>
        <v>60</v>
      </c>
      <c r="I362" s="83">
        <f>H362*2</f>
        <v>120</v>
      </c>
      <c r="K362" s="19">
        <v>40</v>
      </c>
      <c r="L362" s="10"/>
      <c r="M362" s="10"/>
    </row>
    <row r="363" spans="1:13" x14ac:dyDescent="0.25">
      <c r="A363" s="10">
        <f t="shared" ref="A363:A379" si="48">A362+1</f>
        <v>326</v>
      </c>
      <c r="B363" s="19" t="s">
        <v>869</v>
      </c>
      <c r="C363" s="20">
        <v>5</v>
      </c>
      <c r="D363" s="15"/>
      <c r="E363" s="15"/>
      <c r="F363" s="15"/>
      <c r="G363" s="15"/>
      <c r="H363" s="15"/>
      <c r="I363" s="83"/>
      <c r="K363" s="19">
        <v>40</v>
      </c>
      <c r="L363" s="10"/>
      <c r="M363" s="10"/>
    </row>
    <row r="364" spans="1:13" x14ac:dyDescent="0.25">
      <c r="A364" s="10">
        <f t="shared" si="48"/>
        <v>327</v>
      </c>
      <c r="B364" s="19" t="s">
        <v>758</v>
      </c>
      <c r="C364" s="20" t="s">
        <v>57</v>
      </c>
      <c r="D364" s="15"/>
      <c r="E364" s="15"/>
      <c r="F364" s="15"/>
      <c r="G364" s="15"/>
      <c r="H364" s="15"/>
      <c r="I364" s="83"/>
      <c r="K364" s="19">
        <v>300</v>
      </c>
      <c r="L364" s="10"/>
      <c r="M364" s="10"/>
    </row>
    <row r="365" spans="1:13" x14ac:dyDescent="0.25">
      <c r="A365" s="10">
        <f t="shared" si="48"/>
        <v>328</v>
      </c>
      <c r="B365" s="19" t="s">
        <v>759</v>
      </c>
      <c r="C365" s="20">
        <v>100</v>
      </c>
      <c r="D365" s="15"/>
      <c r="E365" s="15"/>
      <c r="F365" s="15"/>
      <c r="G365" s="15">
        <v>20</v>
      </c>
      <c r="H365" s="15">
        <f t="shared" ref="H365:H379" si="49">SUM(D365:G365)</f>
        <v>20</v>
      </c>
      <c r="I365" s="83">
        <f t="shared" ref="I365:I379" si="50">H365*2</f>
        <v>40</v>
      </c>
      <c r="K365" s="19">
        <v>4</v>
      </c>
      <c r="L365" s="10"/>
      <c r="M365" s="10"/>
    </row>
    <row r="366" spans="1:13" x14ac:dyDescent="0.25">
      <c r="A366" s="10">
        <f t="shared" si="48"/>
        <v>329</v>
      </c>
      <c r="B366" s="19" t="s">
        <v>464</v>
      </c>
      <c r="C366" s="20">
        <v>10</v>
      </c>
      <c r="D366" s="15"/>
      <c r="E366" s="15"/>
      <c r="F366" s="15"/>
      <c r="G366" s="15">
        <v>14</v>
      </c>
      <c r="H366" s="15">
        <f t="shared" si="49"/>
        <v>14</v>
      </c>
      <c r="I366" s="83">
        <f t="shared" si="50"/>
        <v>28</v>
      </c>
      <c r="K366" s="19">
        <v>30</v>
      </c>
      <c r="L366" s="10"/>
      <c r="M366" s="10"/>
    </row>
    <row r="367" spans="1:13" x14ac:dyDescent="0.25">
      <c r="A367" s="10">
        <f t="shared" si="48"/>
        <v>330</v>
      </c>
      <c r="B367" s="19" t="s">
        <v>919</v>
      </c>
      <c r="C367" s="20">
        <v>100</v>
      </c>
      <c r="D367" s="15"/>
      <c r="E367" s="15"/>
      <c r="F367" s="15"/>
      <c r="G367" s="15">
        <v>4</v>
      </c>
      <c r="H367" s="15">
        <f t="shared" si="49"/>
        <v>4</v>
      </c>
      <c r="I367" s="83">
        <f t="shared" si="50"/>
        <v>8</v>
      </c>
      <c r="K367" s="19">
        <v>2</v>
      </c>
      <c r="L367" s="10"/>
      <c r="M367" s="10"/>
    </row>
    <row r="368" spans="1:13" x14ac:dyDescent="0.25">
      <c r="A368" s="10">
        <f t="shared" si="48"/>
        <v>331</v>
      </c>
      <c r="B368" s="19" t="s">
        <v>237</v>
      </c>
      <c r="C368" s="20" t="s">
        <v>238</v>
      </c>
      <c r="D368" s="15"/>
      <c r="E368" s="15"/>
      <c r="F368" s="15"/>
      <c r="G368" s="15">
        <v>24</v>
      </c>
      <c r="H368" s="15">
        <f t="shared" si="49"/>
        <v>24</v>
      </c>
      <c r="I368" s="83">
        <f t="shared" si="50"/>
        <v>48</v>
      </c>
      <c r="K368" s="19">
        <v>54</v>
      </c>
      <c r="L368" s="10"/>
      <c r="M368" s="10"/>
    </row>
    <row r="369" spans="1:13" x14ac:dyDescent="0.25">
      <c r="A369" s="10">
        <f t="shared" si="48"/>
        <v>332</v>
      </c>
      <c r="B369" s="19" t="s">
        <v>239</v>
      </c>
      <c r="C369" s="20">
        <v>10</v>
      </c>
      <c r="D369" s="15"/>
      <c r="E369" s="15"/>
      <c r="F369" s="15"/>
      <c r="G369" s="15">
        <v>50</v>
      </c>
      <c r="H369" s="15">
        <f t="shared" si="49"/>
        <v>50</v>
      </c>
      <c r="I369" s="83">
        <f t="shared" si="50"/>
        <v>100</v>
      </c>
      <c r="K369" s="19">
        <v>108</v>
      </c>
      <c r="L369" s="10"/>
      <c r="M369" s="10"/>
    </row>
    <row r="370" spans="1:13" x14ac:dyDescent="0.25">
      <c r="A370" s="10">
        <f t="shared" si="48"/>
        <v>333</v>
      </c>
      <c r="B370" s="19" t="s">
        <v>240</v>
      </c>
      <c r="C370" s="20" t="s">
        <v>238</v>
      </c>
      <c r="D370" s="15"/>
      <c r="E370" s="15"/>
      <c r="F370" s="15"/>
      <c r="G370" s="15">
        <v>48</v>
      </c>
      <c r="H370" s="15">
        <f t="shared" si="49"/>
        <v>48</v>
      </c>
      <c r="I370" s="83">
        <f t="shared" si="50"/>
        <v>96</v>
      </c>
      <c r="K370" s="19">
        <v>108</v>
      </c>
      <c r="L370" s="10"/>
      <c r="M370" s="10"/>
    </row>
    <row r="371" spans="1:13" x14ac:dyDescent="0.25">
      <c r="A371" s="10">
        <f t="shared" si="48"/>
        <v>334</v>
      </c>
      <c r="B371" s="19" t="s">
        <v>241</v>
      </c>
      <c r="C371" s="20">
        <v>25</v>
      </c>
      <c r="D371" s="15">
        <v>4</v>
      </c>
      <c r="E371" s="15">
        <v>1</v>
      </c>
      <c r="F371" s="15"/>
      <c r="G371" s="15">
        <v>4</v>
      </c>
      <c r="H371" s="15">
        <f t="shared" si="49"/>
        <v>9</v>
      </c>
      <c r="I371" s="83">
        <f t="shared" si="50"/>
        <v>18</v>
      </c>
      <c r="K371" s="19">
        <v>10</v>
      </c>
      <c r="L371" s="10"/>
      <c r="M371" s="10"/>
    </row>
    <row r="372" spans="1:13" x14ac:dyDescent="0.25">
      <c r="A372" s="10">
        <f t="shared" si="48"/>
        <v>335</v>
      </c>
      <c r="B372" s="19" t="s">
        <v>242</v>
      </c>
      <c r="C372" s="20">
        <v>10</v>
      </c>
      <c r="D372" s="15"/>
      <c r="E372" s="15"/>
      <c r="F372" s="15"/>
      <c r="G372" s="15">
        <v>50</v>
      </c>
      <c r="H372" s="15">
        <f t="shared" si="49"/>
        <v>50</v>
      </c>
      <c r="I372" s="83">
        <f t="shared" si="50"/>
        <v>100</v>
      </c>
      <c r="K372" s="19">
        <v>40</v>
      </c>
      <c r="L372" s="10"/>
      <c r="M372" s="10"/>
    </row>
    <row r="373" spans="1:13" x14ac:dyDescent="0.25">
      <c r="A373" s="10">
        <f t="shared" si="48"/>
        <v>336</v>
      </c>
      <c r="B373" s="19" t="s">
        <v>243</v>
      </c>
      <c r="C373" s="20">
        <v>10</v>
      </c>
      <c r="D373" s="15"/>
      <c r="E373" s="15"/>
      <c r="F373" s="15"/>
      <c r="G373" s="15">
        <v>60</v>
      </c>
      <c r="H373" s="15">
        <f t="shared" si="49"/>
        <v>60</v>
      </c>
      <c r="I373" s="83">
        <f t="shared" si="50"/>
        <v>120</v>
      </c>
      <c r="K373" s="19">
        <v>100</v>
      </c>
      <c r="L373" s="10"/>
      <c r="M373" s="10"/>
    </row>
    <row r="374" spans="1:13" x14ac:dyDescent="0.25">
      <c r="A374" s="10">
        <f t="shared" si="48"/>
        <v>337</v>
      </c>
      <c r="B374" s="19" t="s">
        <v>244</v>
      </c>
      <c r="C374" s="20">
        <v>100</v>
      </c>
      <c r="D374" s="15"/>
      <c r="E374" s="15"/>
      <c r="F374" s="15"/>
      <c r="G374" s="15">
        <v>5</v>
      </c>
      <c r="H374" s="15">
        <f t="shared" si="49"/>
        <v>5</v>
      </c>
      <c r="I374" s="83">
        <f t="shared" si="50"/>
        <v>10</v>
      </c>
      <c r="K374" s="19">
        <v>4</v>
      </c>
      <c r="L374" s="10"/>
      <c r="M374" s="10"/>
    </row>
    <row r="375" spans="1:13" x14ac:dyDescent="0.25">
      <c r="A375" s="10">
        <f t="shared" si="48"/>
        <v>338</v>
      </c>
      <c r="B375" s="19" t="s">
        <v>245</v>
      </c>
      <c r="C375" s="20" t="s">
        <v>455</v>
      </c>
      <c r="D375" s="15"/>
      <c r="E375" s="15"/>
      <c r="F375" s="15"/>
      <c r="G375" s="15">
        <v>10</v>
      </c>
      <c r="H375" s="15">
        <f t="shared" si="49"/>
        <v>10</v>
      </c>
      <c r="I375" s="83">
        <f t="shared" si="50"/>
        <v>20</v>
      </c>
      <c r="K375" s="19">
        <v>800</v>
      </c>
      <c r="L375" s="10"/>
      <c r="M375" s="10"/>
    </row>
    <row r="376" spans="1:13" x14ac:dyDescent="0.25">
      <c r="A376" s="10">
        <f t="shared" si="48"/>
        <v>339</v>
      </c>
      <c r="B376" s="19" t="s">
        <v>870</v>
      </c>
      <c r="C376" s="20" t="s">
        <v>57</v>
      </c>
      <c r="D376" s="15"/>
      <c r="E376" s="15"/>
      <c r="F376" s="15"/>
      <c r="G376" s="15">
        <v>50</v>
      </c>
      <c r="H376" s="15">
        <f t="shared" si="49"/>
        <v>50</v>
      </c>
      <c r="I376" s="83">
        <f t="shared" si="50"/>
        <v>100</v>
      </c>
      <c r="K376" s="19">
        <v>800</v>
      </c>
      <c r="L376" s="10"/>
      <c r="M376" s="10"/>
    </row>
    <row r="377" spans="1:13" x14ac:dyDescent="0.25">
      <c r="A377" s="10">
        <f t="shared" si="48"/>
        <v>340</v>
      </c>
      <c r="B377" s="19" t="s">
        <v>246</v>
      </c>
      <c r="C377" s="20" t="s">
        <v>455</v>
      </c>
      <c r="D377" s="15"/>
      <c r="E377" s="15"/>
      <c r="F377" s="15"/>
      <c r="G377" s="15">
        <v>60</v>
      </c>
      <c r="H377" s="15">
        <f t="shared" si="49"/>
        <v>60</v>
      </c>
      <c r="I377" s="83">
        <f t="shared" si="50"/>
        <v>120</v>
      </c>
      <c r="K377" s="19">
        <v>600</v>
      </c>
      <c r="L377" s="10"/>
      <c r="M377" s="10"/>
    </row>
    <row r="378" spans="1:13" x14ac:dyDescent="0.25">
      <c r="A378" s="10">
        <f t="shared" si="48"/>
        <v>341</v>
      </c>
      <c r="B378" s="19" t="s">
        <v>247</v>
      </c>
      <c r="C378" s="20" t="s">
        <v>57</v>
      </c>
      <c r="D378" s="15">
        <v>9</v>
      </c>
      <c r="E378" s="15"/>
      <c r="F378" s="15"/>
      <c r="G378" s="15">
        <v>5</v>
      </c>
      <c r="H378" s="15">
        <f t="shared" si="49"/>
        <v>14</v>
      </c>
      <c r="I378" s="83">
        <f t="shared" si="50"/>
        <v>28</v>
      </c>
      <c r="K378" s="19">
        <v>300</v>
      </c>
      <c r="L378" s="10"/>
      <c r="M378" s="10"/>
    </row>
    <row r="379" spans="1:13" x14ac:dyDescent="0.25">
      <c r="A379" s="10">
        <f t="shared" si="48"/>
        <v>342</v>
      </c>
      <c r="B379" s="19" t="s">
        <v>248</v>
      </c>
      <c r="C379" s="20" t="s">
        <v>57</v>
      </c>
      <c r="D379" s="15">
        <v>9</v>
      </c>
      <c r="E379" s="15"/>
      <c r="F379" s="15"/>
      <c r="G379" s="15">
        <v>5</v>
      </c>
      <c r="H379" s="15">
        <f t="shared" si="49"/>
        <v>14</v>
      </c>
      <c r="I379" s="83">
        <f t="shared" si="50"/>
        <v>28</v>
      </c>
      <c r="K379" s="19">
        <v>200</v>
      </c>
      <c r="L379" s="10"/>
      <c r="M379" s="10"/>
    </row>
    <row r="380" spans="1:13" x14ac:dyDescent="0.25">
      <c r="B380" s="19"/>
      <c r="C380" s="20"/>
      <c r="D380" s="15"/>
      <c r="E380" s="15"/>
      <c r="F380" s="15"/>
      <c r="G380" s="15"/>
      <c r="H380" s="15"/>
      <c r="I380" s="83"/>
      <c r="K380" s="19"/>
      <c r="L380" s="10"/>
      <c r="M380" s="10"/>
    </row>
    <row r="381" spans="1:13" ht="21" x14ac:dyDescent="0.25">
      <c r="B381" s="17" t="s">
        <v>249</v>
      </c>
      <c r="C381" s="20"/>
      <c r="D381" s="15"/>
      <c r="E381" s="15"/>
      <c r="F381" s="15"/>
      <c r="G381" s="15"/>
      <c r="H381" s="15"/>
      <c r="I381" s="83"/>
      <c r="K381" s="19"/>
      <c r="L381" s="10"/>
      <c r="M381" s="10"/>
    </row>
    <row r="382" spans="1:13" x14ac:dyDescent="0.25">
      <c r="A382" s="10">
        <f>A379+1</f>
        <v>343</v>
      </c>
      <c r="B382" s="19" t="s">
        <v>250</v>
      </c>
      <c r="C382" s="20" t="s">
        <v>57</v>
      </c>
      <c r="D382" s="15">
        <v>20</v>
      </c>
      <c r="E382" s="15"/>
      <c r="F382" s="15"/>
      <c r="G382" s="15"/>
      <c r="H382" s="15">
        <f t="shared" ref="H382:H389" si="51">SUM(D382:G382)</f>
        <v>20</v>
      </c>
      <c r="I382" s="83">
        <f t="shared" ref="I382:I389" si="52">H382*2</f>
        <v>40</v>
      </c>
      <c r="K382" s="19">
        <v>39</v>
      </c>
      <c r="L382" s="10"/>
      <c r="M382" s="10"/>
    </row>
    <row r="383" spans="1:13" x14ac:dyDescent="0.25">
      <c r="A383" s="10">
        <f t="shared" ref="A383:A389" si="53">A382+1</f>
        <v>344</v>
      </c>
      <c r="B383" s="19" t="s">
        <v>251</v>
      </c>
      <c r="C383" s="20" t="s">
        <v>57</v>
      </c>
      <c r="D383" s="15">
        <v>2</v>
      </c>
      <c r="E383" s="15"/>
      <c r="F383" s="15"/>
      <c r="G383" s="15"/>
      <c r="H383" s="15">
        <f t="shared" si="51"/>
        <v>2</v>
      </c>
      <c r="I383" s="83">
        <f t="shared" si="52"/>
        <v>4</v>
      </c>
      <c r="K383" s="19">
        <v>13</v>
      </c>
      <c r="L383" s="10"/>
      <c r="M383" s="10"/>
    </row>
    <row r="384" spans="1:13" x14ac:dyDescent="0.25">
      <c r="A384" s="10">
        <f t="shared" si="53"/>
        <v>345</v>
      </c>
      <c r="B384" s="19" t="s">
        <v>252</v>
      </c>
      <c r="C384" s="20">
        <v>10</v>
      </c>
      <c r="D384" s="15">
        <v>4</v>
      </c>
      <c r="E384" s="15"/>
      <c r="F384" s="15"/>
      <c r="G384" s="15"/>
      <c r="H384" s="15">
        <f t="shared" si="51"/>
        <v>4</v>
      </c>
      <c r="I384" s="83">
        <f t="shared" si="52"/>
        <v>8</v>
      </c>
      <c r="K384" s="19">
        <v>10</v>
      </c>
      <c r="L384" s="10"/>
      <c r="M384" s="10"/>
    </row>
    <row r="385" spans="1:13" x14ac:dyDescent="0.25">
      <c r="A385" s="10">
        <f t="shared" si="53"/>
        <v>346</v>
      </c>
      <c r="B385" s="19" t="s">
        <v>253</v>
      </c>
      <c r="C385" s="20">
        <v>100</v>
      </c>
      <c r="D385" s="15">
        <v>5</v>
      </c>
      <c r="E385" s="15"/>
      <c r="F385" s="15"/>
      <c r="G385" s="15"/>
      <c r="H385" s="15">
        <f t="shared" si="51"/>
        <v>5</v>
      </c>
      <c r="I385" s="83">
        <f t="shared" si="52"/>
        <v>10</v>
      </c>
      <c r="K385" s="19">
        <v>15</v>
      </c>
      <c r="L385" s="10"/>
      <c r="M385" s="10"/>
    </row>
    <row r="386" spans="1:13" x14ac:dyDescent="0.25">
      <c r="A386" s="10">
        <f t="shared" si="53"/>
        <v>347</v>
      </c>
      <c r="B386" s="19" t="s">
        <v>466</v>
      </c>
      <c r="C386" s="20" t="s">
        <v>57</v>
      </c>
      <c r="D386" s="15">
        <v>5</v>
      </c>
      <c r="E386" s="15"/>
      <c r="F386" s="15"/>
      <c r="G386" s="15"/>
      <c r="H386" s="15">
        <f t="shared" si="51"/>
        <v>5</v>
      </c>
      <c r="I386" s="83">
        <f t="shared" si="52"/>
        <v>10</v>
      </c>
      <c r="K386" s="19">
        <v>20</v>
      </c>
      <c r="L386" s="10"/>
      <c r="M386" s="10"/>
    </row>
    <row r="387" spans="1:13" x14ac:dyDescent="0.25">
      <c r="A387" s="10">
        <f t="shared" si="53"/>
        <v>348</v>
      </c>
      <c r="B387" s="19" t="s">
        <v>465</v>
      </c>
      <c r="C387" s="20" t="s">
        <v>57</v>
      </c>
      <c r="D387" s="15">
        <v>20</v>
      </c>
      <c r="E387" s="15"/>
      <c r="F387" s="15"/>
      <c r="G387" s="15"/>
      <c r="H387" s="15">
        <f t="shared" si="51"/>
        <v>20</v>
      </c>
      <c r="I387" s="83">
        <f t="shared" si="52"/>
        <v>40</v>
      </c>
      <c r="K387" s="19">
        <v>52</v>
      </c>
      <c r="L387" s="10"/>
      <c r="M387" s="10"/>
    </row>
    <row r="388" spans="1:13" x14ac:dyDescent="0.25">
      <c r="A388" s="10">
        <f t="shared" si="53"/>
        <v>349</v>
      </c>
      <c r="B388" s="19" t="s">
        <v>254</v>
      </c>
      <c r="C388" s="20" t="s">
        <v>57</v>
      </c>
      <c r="D388" s="15">
        <v>5</v>
      </c>
      <c r="E388" s="15"/>
      <c r="F388" s="15"/>
      <c r="G388" s="15"/>
      <c r="H388" s="15">
        <f t="shared" si="51"/>
        <v>5</v>
      </c>
      <c r="I388" s="83">
        <f t="shared" si="52"/>
        <v>10</v>
      </c>
      <c r="K388" s="19">
        <v>10</v>
      </c>
      <c r="L388" s="10"/>
      <c r="M388" s="10"/>
    </row>
    <row r="389" spans="1:13" x14ac:dyDescent="0.25">
      <c r="A389" s="10">
        <f t="shared" si="53"/>
        <v>350</v>
      </c>
      <c r="B389" s="19" t="s">
        <v>255</v>
      </c>
      <c r="C389" s="20">
        <v>100</v>
      </c>
      <c r="D389" s="15">
        <v>9</v>
      </c>
      <c r="E389" s="15"/>
      <c r="F389" s="15"/>
      <c r="G389" s="15"/>
      <c r="H389" s="15">
        <f t="shared" si="51"/>
        <v>9</v>
      </c>
      <c r="I389" s="83">
        <f t="shared" si="52"/>
        <v>18</v>
      </c>
      <c r="K389" s="19">
        <v>24</v>
      </c>
      <c r="L389" s="10"/>
      <c r="M389" s="10"/>
    </row>
    <row r="390" spans="1:13" x14ac:dyDescent="0.25">
      <c r="B390" s="19"/>
      <c r="C390" s="20"/>
      <c r="D390" s="15"/>
      <c r="E390" s="15"/>
      <c r="F390" s="15"/>
      <c r="G390" s="15"/>
      <c r="H390" s="15"/>
      <c r="I390" s="83"/>
      <c r="K390" s="19"/>
      <c r="L390" s="10"/>
      <c r="M390" s="10"/>
    </row>
    <row r="391" spans="1:13" x14ac:dyDescent="0.25">
      <c r="B391" s="19"/>
      <c r="C391" s="20"/>
      <c r="D391" s="15"/>
      <c r="E391" s="15"/>
      <c r="F391" s="15"/>
      <c r="G391" s="15"/>
      <c r="H391" s="15"/>
      <c r="I391" s="83"/>
      <c r="K391" s="19"/>
      <c r="L391" s="10"/>
      <c r="M391" s="10"/>
    </row>
    <row r="392" spans="1:13" ht="23.25" x14ac:dyDescent="0.25">
      <c r="A392" s="12" t="s">
        <v>256</v>
      </c>
      <c r="B392" s="22" t="s">
        <v>257</v>
      </c>
      <c r="C392" s="20"/>
      <c r="D392" s="15"/>
      <c r="E392" s="15"/>
      <c r="F392" s="15"/>
      <c r="G392" s="15"/>
      <c r="H392" s="15"/>
      <c r="I392" s="83"/>
      <c r="K392" s="19"/>
      <c r="L392" s="10"/>
      <c r="M392" s="10"/>
    </row>
    <row r="393" spans="1:13" x14ac:dyDescent="0.25">
      <c r="A393" s="10">
        <f>A389+1</f>
        <v>351</v>
      </c>
      <c r="B393" s="19" t="s">
        <v>258</v>
      </c>
      <c r="C393" s="20">
        <v>10</v>
      </c>
      <c r="D393" s="15">
        <v>10</v>
      </c>
      <c r="E393" s="15"/>
      <c r="F393" s="15"/>
      <c r="G393" s="15"/>
      <c r="H393" s="15">
        <f t="shared" ref="H393:H398" si="54">SUM(D393:G393)</f>
        <v>10</v>
      </c>
      <c r="I393" s="83">
        <f t="shared" ref="I393:I398" si="55">H393*2</f>
        <v>20</v>
      </c>
      <c r="K393" s="19">
        <v>15</v>
      </c>
      <c r="L393" s="10"/>
      <c r="M393" s="10"/>
    </row>
    <row r="394" spans="1:13" x14ac:dyDescent="0.25">
      <c r="A394" s="10">
        <f t="shared" ref="A394:A412" si="56">A393+1</f>
        <v>352</v>
      </c>
      <c r="B394" s="19" t="s">
        <v>259</v>
      </c>
      <c r="C394" s="20">
        <v>105</v>
      </c>
      <c r="D394" s="15">
        <v>10</v>
      </c>
      <c r="E394" s="15"/>
      <c r="F394" s="15"/>
      <c r="G394" s="15"/>
      <c r="H394" s="15">
        <f t="shared" si="54"/>
        <v>10</v>
      </c>
      <c r="I394" s="83">
        <f t="shared" si="55"/>
        <v>20</v>
      </c>
      <c r="K394" s="19">
        <v>20</v>
      </c>
      <c r="L394" s="10"/>
      <c r="M394" s="10"/>
    </row>
    <row r="395" spans="1:13" x14ac:dyDescent="0.25">
      <c r="A395" s="10">
        <f t="shared" si="56"/>
        <v>353</v>
      </c>
      <c r="B395" s="19" t="s">
        <v>467</v>
      </c>
      <c r="C395" s="20">
        <v>100</v>
      </c>
      <c r="D395" s="15">
        <v>1</v>
      </c>
      <c r="E395" s="15"/>
      <c r="F395" s="15"/>
      <c r="G395" s="15"/>
      <c r="H395" s="15">
        <f t="shared" si="54"/>
        <v>1</v>
      </c>
      <c r="I395" s="83">
        <f t="shared" si="55"/>
        <v>2</v>
      </c>
      <c r="K395" s="19">
        <v>20</v>
      </c>
      <c r="L395" s="10"/>
      <c r="M395" s="10"/>
    </row>
    <row r="396" spans="1:13" x14ac:dyDescent="0.25">
      <c r="A396" s="10">
        <f t="shared" si="56"/>
        <v>354</v>
      </c>
      <c r="B396" s="19" t="s">
        <v>760</v>
      </c>
      <c r="C396" s="20">
        <v>14</v>
      </c>
      <c r="D396" s="15"/>
      <c r="E396" s="15"/>
      <c r="F396" s="15">
        <v>12</v>
      </c>
      <c r="G396" s="15"/>
      <c r="H396" s="15">
        <f t="shared" si="54"/>
        <v>12</v>
      </c>
      <c r="I396" s="83">
        <f t="shared" si="55"/>
        <v>24</v>
      </c>
      <c r="K396" s="19">
        <v>26</v>
      </c>
      <c r="L396" s="10"/>
      <c r="M396" s="10"/>
    </row>
    <row r="397" spans="1:13" x14ac:dyDescent="0.25">
      <c r="A397" s="10">
        <f t="shared" si="56"/>
        <v>355</v>
      </c>
      <c r="B397" s="19" t="s">
        <v>863</v>
      </c>
      <c r="C397" s="20" t="s">
        <v>144</v>
      </c>
      <c r="D397" s="15">
        <v>5</v>
      </c>
      <c r="E397" s="15"/>
      <c r="F397" s="15"/>
      <c r="G397" s="15"/>
      <c r="H397" s="15">
        <f t="shared" si="54"/>
        <v>5</v>
      </c>
      <c r="I397" s="83">
        <f t="shared" si="55"/>
        <v>10</v>
      </c>
      <c r="K397" s="19">
        <v>170</v>
      </c>
      <c r="L397" s="10"/>
      <c r="M397" s="10"/>
    </row>
    <row r="398" spans="1:13" x14ac:dyDescent="0.25">
      <c r="A398" s="10">
        <f t="shared" si="56"/>
        <v>356</v>
      </c>
      <c r="B398" s="19" t="s">
        <v>260</v>
      </c>
      <c r="C398" s="20" t="s">
        <v>144</v>
      </c>
      <c r="D398" s="15">
        <v>13</v>
      </c>
      <c r="E398" s="15"/>
      <c r="F398" s="15">
        <v>1</v>
      </c>
      <c r="G398" s="15"/>
      <c r="H398" s="15">
        <f t="shared" si="54"/>
        <v>14</v>
      </c>
      <c r="I398" s="83">
        <f t="shared" si="55"/>
        <v>28</v>
      </c>
      <c r="K398" s="19">
        <v>260</v>
      </c>
      <c r="L398" s="10"/>
      <c r="M398" s="10"/>
    </row>
    <row r="399" spans="1:13" x14ac:dyDescent="0.25">
      <c r="A399" s="10">
        <f t="shared" si="56"/>
        <v>357</v>
      </c>
      <c r="B399" s="19" t="s">
        <v>725</v>
      </c>
      <c r="C399" s="20">
        <v>10</v>
      </c>
      <c r="D399" s="15"/>
      <c r="E399" s="15"/>
      <c r="F399" s="15"/>
      <c r="G399" s="15"/>
      <c r="H399" s="15"/>
      <c r="I399" s="83"/>
      <c r="K399" s="19">
        <v>42</v>
      </c>
      <c r="L399" s="10"/>
      <c r="M399" s="10"/>
    </row>
    <row r="400" spans="1:13" x14ac:dyDescent="0.25">
      <c r="A400" s="10">
        <f t="shared" si="56"/>
        <v>358</v>
      </c>
      <c r="B400" s="19" t="s">
        <v>867</v>
      </c>
      <c r="C400" s="20" t="s">
        <v>144</v>
      </c>
      <c r="D400" s="15">
        <v>15</v>
      </c>
      <c r="E400" s="15">
        <v>6</v>
      </c>
      <c r="F400" s="15"/>
      <c r="G400" s="15"/>
      <c r="H400" s="15">
        <f t="shared" ref="H400:H412" si="57">SUM(D400:G400)</f>
        <v>21</v>
      </c>
      <c r="I400" s="83">
        <f t="shared" ref="I400:I412" si="58">H400*2</f>
        <v>42</v>
      </c>
      <c r="K400" s="19">
        <v>2500</v>
      </c>
      <c r="L400" s="10"/>
      <c r="M400" s="10"/>
    </row>
    <row r="401" spans="1:13" x14ac:dyDescent="0.25">
      <c r="A401" s="10">
        <f t="shared" si="56"/>
        <v>359</v>
      </c>
      <c r="B401" s="19" t="s">
        <v>261</v>
      </c>
      <c r="C401" s="20">
        <v>100</v>
      </c>
      <c r="D401" s="15">
        <v>10</v>
      </c>
      <c r="E401" s="15">
        <v>1</v>
      </c>
      <c r="F401" s="15">
        <v>0.6</v>
      </c>
      <c r="G401" s="15">
        <v>4</v>
      </c>
      <c r="H401" s="15">
        <f t="shared" si="57"/>
        <v>15.6</v>
      </c>
      <c r="I401" s="83">
        <f t="shared" si="58"/>
        <v>31.2</v>
      </c>
      <c r="K401" s="19">
        <v>34</v>
      </c>
      <c r="L401" s="10"/>
      <c r="M401" s="10"/>
    </row>
    <row r="402" spans="1:13" x14ac:dyDescent="0.25">
      <c r="A402" s="10">
        <f t="shared" si="56"/>
        <v>360</v>
      </c>
      <c r="B402" s="19" t="s">
        <v>262</v>
      </c>
      <c r="C402" s="20">
        <v>100</v>
      </c>
      <c r="D402" s="15">
        <v>27</v>
      </c>
      <c r="E402" s="15"/>
      <c r="F402" s="15">
        <v>2</v>
      </c>
      <c r="G402" s="15"/>
      <c r="H402" s="15">
        <f t="shared" si="57"/>
        <v>29</v>
      </c>
      <c r="I402" s="83">
        <f t="shared" si="58"/>
        <v>58</v>
      </c>
      <c r="K402" s="19">
        <v>64</v>
      </c>
      <c r="L402" s="10"/>
      <c r="M402" s="10"/>
    </row>
    <row r="403" spans="1:13" x14ac:dyDescent="0.25">
      <c r="A403" s="10">
        <f t="shared" si="56"/>
        <v>361</v>
      </c>
      <c r="B403" s="19" t="s">
        <v>263</v>
      </c>
      <c r="C403" s="20">
        <v>100</v>
      </c>
      <c r="D403" s="15">
        <v>2</v>
      </c>
      <c r="E403" s="15"/>
      <c r="F403" s="15">
        <v>0.4</v>
      </c>
      <c r="G403" s="15"/>
      <c r="H403" s="15">
        <f t="shared" si="57"/>
        <v>2.4</v>
      </c>
      <c r="I403" s="83">
        <f t="shared" si="58"/>
        <v>4.8</v>
      </c>
      <c r="K403" s="19">
        <v>8</v>
      </c>
      <c r="L403" s="10"/>
      <c r="M403" s="10"/>
    </row>
    <row r="404" spans="1:13" x14ac:dyDescent="0.25">
      <c r="A404" s="10">
        <f t="shared" si="56"/>
        <v>362</v>
      </c>
      <c r="B404" s="19" t="s">
        <v>264</v>
      </c>
      <c r="C404" s="20">
        <v>100</v>
      </c>
      <c r="D404" s="15">
        <v>10</v>
      </c>
      <c r="E404" s="15"/>
      <c r="F404" s="15">
        <v>2</v>
      </c>
      <c r="G404" s="15"/>
      <c r="H404" s="15">
        <f t="shared" si="57"/>
        <v>12</v>
      </c>
      <c r="I404" s="83">
        <f t="shared" si="58"/>
        <v>24</v>
      </c>
      <c r="K404" s="19">
        <v>26</v>
      </c>
      <c r="L404" s="10"/>
      <c r="M404" s="10"/>
    </row>
    <row r="405" spans="1:13" x14ac:dyDescent="0.25">
      <c r="A405" s="10">
        <f t="shared" si="56"/>
        <v>363</v>
      </c>
      <c r="B405" s="19" t="s">
        <v>265</v>
      </c>
      <c r="C405" s="20">
        <v>14</v>
      </c>
      <c r="D405" s="15">
        <v>410</v>
      </c>
      <c r="E405" s="15">
        <v>100</v>
      </c>
      <c r="F405" s="15">
        <v>180</v>
      </c>
      <c r="G405" s="15"/>
      <c r="H405" s="15">
        <f t="shared" si="57"/>
        <v>690</v>
      </c>
      <c r="I405" s="83">
        <f t="shared" si="58"/>
        <v>1380</v>
      </c>
      <c r="K405" s="19">
        <v>4000</v>
      </c>
      <c r="L405" s="10"/>
      <c r="M405" s="10"/>
    </row>
    <row r="406" spans="1:13" x14ac:dyDescent="0.25">
      <c r="A406" s="10">
        <f t="shared" si="56"/>
        <v>364</v>
      </c>
      <c r="B406" s="19" t="s">
        <v>266</v>
      </c>
      <c r="C406" s="20" t="s">
        <v>689</v>
      </c>
      <c r="D406" s="15">
        <v>65</v>
      </c>
      <c r="E406" s="15"/>
      <c r="F406" s="15"/>
      <c r="G406" s="15"/>
      <c r="H406" s="15">
        <f t="shared" si="57"/>
        <v>65</v>
      </c>
      <c r="I406" s="83">
        <f t="shared" si="58"/>
        <v>130</v>
      </c>
      <c r="K406" s="19">
        <v>2800</v>
      </c>
      <c r="L406" s="10"/>
      <c r="M406" s="10"/>
    </row>
    <row r="407" spans="1:13" x14ac:dyDescent="0.25">
      <c r="A407" s="10">
        <f t="shared" si="56"/>
        <v>365</v>
      </c>
      <c r="B407" s="19" t="s">
        <v>267</v>
      </c>
      <c r="C407" s="20">
        <v>42</v>
      </c>
      <c r="D407" s="15">
        <v>60</v>
      </c>
      <c r="E407" s="15"/>
      <c r="F407" s="15"/>
      <c r="G407" s="15"/>
      <c r="H407" s="15">
        <f t="shared" si="57"/>
        <v>60</v>
      </c>
      <c r="I407" s="83">
        <f t="shared" si="58"/>
        <v>120</v>
      </c>
      <c r="K407" s="19">
        <v>208</v>
      </c>
      <c r="L407" s="10"/>
      <c r="M407" s="10"/>
    </row>
    <row r="408" spans="1:13" x14ac:dyDescent="0.25">
      <c r="A408" s="10">
        <f t="shared" si="56"/>
        <v>366</v>
      </c>
      <c r="B408" s="19" t="s">
        <v>268</v>
      </c>
      <c r="C408" s="20" t="s">
        <v>455</v>
      </c>
      <c r="D408" s="15">
        <v>12</v>
      </c>
      <c r="E408" s="15"/>
      <c r="F408" s="15"/>
      <c r="G408" s="15"/>
      <c r="H408" s="15">
        <f t="shared" si="57"/>
        <v>12</v>
      </c>
      <c r="I408" s="83">
        <f t="shared" si="58"/>
        <v>24</v>
      </c>
      <c r="K408" s="19">
        <v>500</v>
      </c>
      <c r="L408" s="10"/>
      <c r="M408" s="10"/>
    </row>
    <row r="409" spans="1:13" x14ac:dyDescent="0.25">
      <c r="A409" s="10">
        <f t="shared" si="56"/>
        <v>367</v>
      </c>
      <c r="B409" s="19" t="s">
        <v>269</v>
      </c>
      <c r="C409" s="20">
        <v>10</v>
      </c>
      <c r="D409" s="15">
        <v>6</v>
      </c>
      <c r="E409" s="15"/>
      <c r="F409" s="15"/>
      <c r="G409" s="15"/>
      <c r="H409" s="15">
        <f t="shared" si="57"/>
        <v>6</v>
      </c>
      <c r="I409" s="83">
        <f t="shared" si="58"/>
        <v>12</v>
      </c>
      <c r="K409" s="19">
        <v>20</v>
      </c>
      <c r="L409" s="10"/>
      <c r="M409" s="10"/>
    </row>
    <row r="410" spans="1:13" x14ac:dyDescent="0.25">
      <c r="A410" s="10">
        <f t="shared" si="56"/>
        <v>368</v>
      </c>
      <c r="B410" s="19" t="s">
        <v>270</v>
      </c>
      <c r="C410" s="20">
        <v>100</v>
      </c>
      <c r="D410" s="15">
        <v>6</v>
      </c>
      <c r="E410" s="15"/>
      <c r="F410" s="15"/>
      <c r="G410" s="15"/>
      <c r="H410" s="15">
        <f t="shared" si="57"/>
        <v>6</v>
      </c>
      <c r="I410" s="83">
        <f t="shared" si="58"/>
        <v>12</v>
      </c>
      <c r="K410" s="19">
        <v>20</v>
      </c>
      <c r="L410" s="10"/>
      <c r="M410" s="10"/>
    </row>
    <row r="411" spans="1:13" x14ac:dyDescent="0.25">
      <c r="A411" s="10">
        <f t="shared" si="56"/>
        <v>369</v>
      </c>
      <c r="B411" s="19" t="s">
        <v>271</v>
      </c>
      <c r="C411" s="20">
        <v>5</v>
      </c>
      <c r="D411" s="15">
        <v>65</v>
      </c>
      <c r="E411" s="15"/>
      <c r="F411" s="15"/>
      <c r="G411" s="15">
        <v>50</v>
      </c>
      <c r="H411" s="15">
        <f t="shared" si="57"/>
        <v>115</v>
      </c>
      <c r="I411" s="83">
        <f t="shared" si="58"/>
        <v>230</v>
      </c>
      <c r="K411" s="19">
        <v>40</v>
      </c>
      <c r="L411" s="10"/>
      <c r="M411" s="10"/>
    </row>
    <row r="412" spans="1:13" x14ac:dyDescent="0.25">
      <c r="A412" s="10">
        <f t="shared" si="56"/>
        <v>370</v>
      </c>
      <c r="B412" s="19" t="s">
        <v>272</v>
      </c>
      <c r="C412" s="20">
        <v>10</v>
      </c>
      <c r="D412" s="15">
        <v>60</v>
      </c>
      <c r="E412" s="15"/>
      <c r="F412" s="15"/>
      <c r="G412" s="15"/>
      <c r="H412" s="15">
        <f t="shared" si="57"/>
        <v>60</v>
      </c>
      <c r="I412" s="83">
        <f t="shared" si="58"/>
        <v>120</v>
      </c>
      <c r="K412" s="19">
        <v>400</v>
      </c>
      <c r="L412" s="10"/>
      <c r="M412" s="10"/>
    </row>
    <row r="413" spans="1:13" x14ac:dyDescent="0.25">
      <c r="B413" s="19"/>
      <c r="C413" s="20"/>
      <c r="D413" s="15"/>
      <c r="E413" s="15"/>
      <c r="F413" s="15"/>
      <c r="G413" s="15"/>
      <c r="H413" s="15"/>
      <c r="I413" s="83"/>
      <c r="K413" s="19"/>
      <c r="L413" s="10"/>
      <c r="M413" s="10"/>
    </row>
    <row r="414" spans="1:13" x14ac:dyDescent="0.25">
      <c r="B414" s="19"/>
      <c r="C414" s="20"/>
      <c r="D414" s="15"/>
      <c r="E414" s="15"/>
      <c r="F414" s="15"/>
      <c r="G414" s="15"/>
      <c r="H414" s="15"/>
      <c r="I414" s="83"/>
      <c r="K414" s="19"/>
      <c r="L414" s="10"/>
      <c r="M414" s="10"/>
    </row>
    <row r="415" spans="1:13" ht="23.25" x14ac:dyDescent="0.25">
      <c r="A415" s="12" t="s">
        <v>273</v>
      </c>
      <c r="B415" s="22" t="s">
        <v>274</v>
      </c>
      <c r="C415" s="20"/>
      <c r="D415" s="15"/>
      <c r="E415" s="15"/>
      <c r="F415" s="15"/>
      <c r="G415" s="15"/>
      <c r="H415" s="15"/>
      <c r="I415" s="83"/>
      <c r="K415" s="19"/>
      <c r="L415" s="10"/>
      <c r="M415" s="10"/>
    </row>
    <row r="416" spans="1:13" ht="21" x14ac:dyDescent="0.25">
      <c r="B416" s="23" t="s">
        <v>275</v>
      </c>
      <c r="C416" s="20"/>
      <c r="D416" s="15"/>
      <c r="E416" s="15"/>
      <c r="F416" s="15"/>
      <c r="G416" s="15"/>
      <c r="H416" s="15"/>
      <c r="I416" s="83"/>
      <c r="K416" s="19"/>
      <c r="L416" s="10"/>
      <c r="M416" s="10"/>
    </row>
    <row r="417" spans="1:13" x14ac:dyDescent="0.25">
      <c r="A417" s="10">
        <f>A412+1</f>
        <v>371</v>
      </c>
      <c r="B417" s="19" t="s">
        <v>276</v>
      </c>
      <c r="C417" s="20" t="s">
        <v>455</v>
      </c>
      <c r="D417" s="15">
        <v>2</v>
      </c>
      <c r="E417" s="15"/>
      <c r="F417" s="15"/>
      <c r="G417" s="15"/>
      <c r="H417" s="15">
        <f>SUM(D417:G417)</f>
        <v>2</v>
      </c>
      <c r="I417" s="83">
        <f>H417*2</f>
        <v>4</v>
      </c>
      <c r="K417" s="19">
        <v>300</v>
      </c>
      <c r="L417" s="10"/>
      <c r="M417" s="10"/>
    </row>
    <row r="418" spans="1:13" x14ac:dyDescent="0.25">
      <c r="A418" s="10">
        <f t="shared" ref="A418:A430" si="59">A417+1</f>
        <v>372</v>
      </c>
      <c r="B418" s="19" t="s">
        <v>694</v>
      </c>
      <c r="C418" s="20">
        <v>1000</v>
      </c>
      <c r="D418" s="15"/>
      <c r="E418" s="15"/>
      <c r="F418" s="15"/>
      <c r="G418" s="15"/>
      <c r="H418" s="15"/>
      <c r="I418" s="83"/>
      <c r="K418" s="19">
        <v>2</v>
      </c>
      <c r="L418" s="10"/>
      <c r="M418" s="10"/>
    </row>
    <row r="419" spans="1:13" x14ac:dyDescent="0.25">
      <c r="A419" s="10">
        <f t="shared" si="59"/>
        <v>373</v>
      </c>
      <c r="B419" s="19" t="s">
        <v>468</v>
      </c>
      <c r="C419" s="20">
        <v>100</v>
      </c>
      <c r="D419" s="15">
        <v>23</v>
      </c>
      <c r="E419" s="15"/>
      <c r="F419" s="15"/>
      <c r="G419" s="15"/>
      <c r="H419" s="15">
        <f t="shared" ref="H419:H430" si="60">SUM(D419:G419)</f>
        <v>23</v>
      </c>
      <c r="I419" s="83">
        <f t="shared" ref="I419:I430" si="61">H419*2</f>
        <v>46</v>
      </c>
      <c r="K419" s="19">
        <v>10</v>
      </c>
      <c r="L419" s="10"/>
      <c r="M419" s="10"/>
    </row>
    <row r="420" spans="1:13" x14ac:dyDescent="0.25">
      <c r="A420" s="10">
        <f t="shared" si="59"/>
        <v>374</v>
      </c>
      <c r="B420" s="19" t="s">
        <v>277</v>
      </c>
      <c r="C420" s="20" t="s">
        <v>333</v>
      </c>
      <c r="D420" s="15">
        <v>12.5</v>
      </c>
      <c r="E420" s="15"/>
      <c r="F420" s="15"/>
      <c r="G420" s="15"/>
      <c r="H420" s="15">
        <f t="shared" si="60"/>
        <v>12.5</v>
      </c>
      <c r="I420" s="83">
        <f t="shared" si="61"/>
        <v>25</v>
      </c>
      <c r="K420" s="19">
        <v>100</v>
      </c>
      <c r="L420" s="10"/>
      <c r="M420" s="10"/>
    </row>
    <row r="421" spans="1:13" x14ac:dyDescent="0.25">
      <c r="A421" s="10">
        <f t="shared" si="59"/>
        <v>375</v>
      </c>
      <c r="B421" s="19" t="s">
        <v>278</v>
      </c>
      <c r="C421" s="20" t="s">
        <v>333</v>
      </c>
      <c r="D421" s="15">
        <v>2</v>
      </c>
      <c r="E421" s="15"/>
      <c r="F421" s="15"/>
      <c r="G421" s="15"/>
      <c r="H421" s="15">
        <f t="shared" si="60"/>
        <v>2</v>
      </c>
      <c r="I421" s="83">
        <f t="shared" si="61"/>
        <v>4</v>
      </c>
      <c r="K421" s="19">
        <v>12</v>
      </c>
      <c r="L421" s="10"/>
      <c r="M421" s="10"/>
    </row>
    <row r="422" spans="1:13" x14ac:dyDescent="0.25">
      <c r="A422" s="10">
        <f t="shared" si="59"/>
        <v>376</v>
      </c>
      <c r="B422" s="19" t="s">
        <v>469</v>
      </c>
      <c r="C422" s="20" t="s">
        <v>333</v>
      </c>
      <c r="D422" s="15">
        <v>4.5</v>
      </c>
      <c r="E422" s="15"/>
      <c r="F422" s="15"/>
      <c r="G422" s="15"/>
      <c r="H422" s="15">
        <f t="shared" si="60"/>
        <v>4.5</v>
      </c>
      <c r="I422" s="83">
        <f t="shared" si="61"/>
        <v>9</v>
      </c>
      <c r="K422" s="19">
        <v>50</v>
      </c>
      <c r="L422" s="10"/>
      <c r="M422" s="10"/>
    </row>
    <row r="423" spans="1:13" x14ac:dyDescent="0.25">
      <c r="A423" s="10">
        <f t="shared" si="59"/>
        <v>377</v>
      </c>
      <c r="B423" s="19" t="s">
        <v>279</v>
      </c>
      <c r="C423" s="20" t="s">
        <v>333</v>
      </c>
      <c r="D423" s="15">
        <v>4.5</v>
      </c>
      <c r="E423" s="15"/>
      <c r="F423" s="15"/>
      <c r="G423" s="15"/>
      <c r="H423" s="15">
        <f t="shared" si="60"/>
        <v>4.5</v>
      </c>
      <c r="I423" s="83">
        <f t="shared" si="61"/>
        <v>9</v>
      </c>
      <c r="K423" s="19">
        <v>40</v>
      </c>
      <c r="L423" s="10"/>
      <c r="M423" s="10"/>
    </row>
    <row r="424" spans="1:13" x14ac:dyDescent="0.25">
      <c r="A424" s="10">
        <f t="shared" si="59"/>
        <v>378</v>
      </c>
      <c r="B424" s="19" t="s">
        <v>470</v>
      </c>
      <c r="C424" s="20" t="s">
        <v>333</v>
      </c>
      <c r="D424" s="15">
        <v>4.5</v>
      </c>
      <c r="E424" s="15"/>
      <c r="F424" s="15"/>
      <c r="G424" s="15"/>
      <c r="H424" s="15">
        <f t="shared" si="60"/>
        <v>4.5</v>
      </c>
      <c r="I424" s="83">
        <f t="shared" si="61"/>
        <v>9</v>
      </c>
      <c r="K424" s="19">
        <v>10</v>
      </c>
      <c r="L424" s="10"/>
      <c r="M424" s="10"/>
    </row>
    <row r="425" spans="1:13" x14ac:dyDescent="0.25">
      <c r="A425" s="10">
        <f t="shared" si="59"/>
        <v>379</v>
      </c>
      <c r="B425" s="19" t="s">
        <v>471</v>
      </c>
      <c r="C425" s="20">
        <v>20</v>
      </c>
      <c r="D425" s="15">
        <v>4.5</v>
      </c>
      <c r="E425" s="15"/>
      <c r="F425" s="15"/>
      <c r="G425" s="15"/>
      <c r="H425" s="15">
        <f t="shared" si="60"/>
        <v>4.5</v>
      </c>
      <c r="I425" s="83">
        <f t="shared" si="61"/>
        <v>9</v>
      </c>
      <c r="K425" s="19">
        <v>10</v>
      </c>
      <c r="L425" s="10"/>
      <c r="M425" s="10"/>
    </row>
    <row r="426" spans="1:13" x14ac:dyDescent="0.25">
      <c r="A426" s="10">
        <f t="shared" si="59"/>
        <v>380</v>
      </c>
      <c r="B426" s="19" t="s">
        <v>280</v>
      </c>
      <c r="C426" s="20">
        <v>500</v>
      </c>
      <c r="D426" s="15">
        <v>8</v>
      </c>
      <c r="E426" s="15">
        <v>2</v>
      </c>
      <c r="F426" s="15">
        <v>1</v>
      </c>
      <c r="G426" s="15"/>
      <c r="H426" s="15">
        <f t="shared" si="60"/>
        <v>11</v>
      </c>
      <c r="I426" s="83">
        <f t="shared" si="61"/>
        <v>22</v>
      </c>
      <c r="K426" s="19">
        <v>18</v>
      </c>
      <c r="L426" s="10"/>
      <c r="M426" s="10"/>
    </row>
    <row r="427" spans="1:13" x14ac:dyDescent="0.25">
      <c r="A427" s="10">
        <f t="shared" si="59"/>
        <v>381</v>
      </c>
      <c r="B427" s="19" t="s">
        <v>331</v>
      </c>
      <c r="C427" s="20" t="s">
        <v>333</v>
      </c>
      <c r="D427" s="15">
        <v>4.5999999999999996</v>
      </c>
      <c r="E427" s="15"/>
      <c r="F427" s="15"/>
      <c r="G427" s="15"/>
      <c r="H427" s="15">
        <f t="shared" si="60"/>
        <v>4.5999999999999996</v>
      </c>
      <c r="I427" s="83">
        <f t="shared" si="61"/>
        <v>9.1999999999999993</v>
      </c>
      <c r="K427" s="19">
        <v>120</v>
      </c>
      <c r="L427" s="10"/>
      <c r="M427" s="10"/>
    </row>
    <row r="428" spans="1:13" x14ac:dyDescent="0.25">
      <c r="A428" s="10">
        <f t="shared" si="59"/>
        <v>382</v>
      </c>
      <c r="B428" s="19" t="s">
        <v>281</v>
      </c>
      <c r="C428" s="20">
        <v>20</v>
      </c>
      <c r="D428" s="15">
        <v>19.2</v>
      </c>
      <c r="E428" s="15"/>
      <c r="F428" s="15"/>
      <c r="G428" s="15"/>
      <c r="H428" s="15">
        <f t="shared" si="60"/>
        <v>19.2</v>
      </c>
      <c r="I428" s="83">
        <f t="shared" si="61"/>
        <v>38.4</v>
      </c>
      <c r="K428" s="19">
        <v>58</v>
      </c>
      <c r="L428" s="10"/>
      <c r="M428" s="10"/>
    </row>
    <row r="429" spans="1:13" x14ac:dyDescent="0.25">
      <c r="A429" s="10">
        <f t="shared" si="59"/>
        <v>383</v>
      </c>
      <c r="B429" s="19" t="s">
        <v>729</v>
      </c>
      <c r="C429" s="20">
        <v>20</v>
      </c>
      <c r="D429" s="15">
        <v>19.2</v>
      </c>
      <c r="E429" s="15"/>
      <c r="F429" s="15"/>
      <c r="G429" s="15"/>
      <c r="H429" s="15">
        <f t="shared" si="60"/>
        <v>19.2</v>
      </c>
      <c r="I429" s="83">
        <f t="shared" si="61"/>
        <v>38.4</v>
      </c>
      <c r="K429" s="19">
        <v>20</v>
      </c>
      <c r="L429" s="10"/>
      <c r="M429" s="10"/>
    </row>
    <row r="430" spans="1:13" x14ac:dyDescent="0.25">
      <c r="A430" s="10">
        <f t="shared" si="59"/>
        <v>384</v>
      </c>
      <c r="B430" s="19" t="s">
        <v>282</v>
      </c>
      <c r="C430" s="20" t="s">
        <v>144</v>
      </c>
      <c r="D430" s="15">
        <v>4</v>
      </c>
      <c r="E430" s="15"/>
      <c r="F430" s="15"/>
      <c r="G430" s="15"/>
      <c r="H430" s="15">
        <f t="shared" si="60"/>
        <v>4</v>
      </c>
      <c r="I430" s="83">
        <f t="shared" si="61"/>
        <v>8</v>
      </c>
      <c r="K430" s="19">
        <v>40</v>
      </c>
      <c r="L430" s="10"/>
      <c r="M430" s="10"/>
    </row>
    <row r="431" spans="1:13" x14ac:dyDescent="0.25">
      <c r="B431" s="19"/>
      <c r="C431" s="20"/>
      <c r="D431" s="15"/>
      <c r="E431" s="15"/>
      <c r="F431" s="15"/>
      <c r="G431" s="15"/>
      <c r="H431" s="15"/>
      <c r="I431" s="83"/>
      <c r="K431" s="19"/>
      <c r="L431" s="10"/>
      <c r="M431" s="10"/>
    </row>
    <row r="432" spans="1:13" ht="21" x14ac:dyDescent="0.25">
      <c r="B432" s="23" t="s">
        <v>283</v>
      </c>
      <c r="C432" s="20"/>
      <c r="D432" s="15"/>
      <c r="E432" s="15"/>
      <c r="F432" s="15"/>
      <c r="G432" s="15"/>
      <c r="H432" s="15"/>
      <c r="I432" s="83"/>
      <c r="K432" s="19"/>
      <c r="L432" s="10"/>
      <c r="M432" s="10"/>
    </row>
    <row r="433" spans="1:13" x14ac:dyDescent="0.25">
      <c r="A433" s="10">
        <f>1+A430</f>
        <v>385</v>
      </c>
      <c r="B433" s="19" t="s">
        <v>284</v>
      </c>
      <c r="C433" s="20">
        <v>100</v>
      </c>
      <c r="D433" s="15"/>
      <c r="E433" s="15"/>
      <c r="F433" s="15"/>
      <c r="G433" s="15">
        <v>3</v>
      </c>
      <c r="H433" s="15">
        <f t="shared" ref="H433:H442" si="62">SUM(D433:G433)</f>
        <v>3</v>
      </c>
      <c r="I433" s="83">
        <f t="shared" ref="I433:I442" si="63">H433*2</f>
        <v>6</v>
      </c>
      <c r="K433" s="19">
        <v>4</v>
      </c>
      <c r="L433" s="10"/>
      <c r="M433" s="10"/>
    </row>
    <row r="434" spans="1:13" x14ac:dyDescent="0.25">
      <c r="A434" s="10">
        <f>A433+1</f>
        <v>386</v>
      </c>
      <c r="B434" s="19" t="s">
        <v>910</v>
      </c>
      <c r="C434" s="20" t="s">
        <v>144</v>
      </c>
      <c r="D434" s="15">
        <v>14</v>
      </c>
      <c r="E434" s="15"/>
      <c r="F434" s="15">
        <v>3</v>
      </c>
      <c r="G434" s="15"/>
      <c r="H434" s="15">
        <f t="shared" si="62"/>
        <v>17</v>
      </c>
      <c r="I434" s="83">
        <f t="shared" si="63"/>
        <v>34</v>
      </c>
      <c r="K434" s="19">
        <v>1400</v>
      </c>
      <c r="L434" s="10"/>
      <c r="M434" s="10"/>
    </row>
    <row r="435" spans="1:13" x14ac:dyDescent="0.25">
      <c r="A435" s="10">
        <f t="shared" ref="A435:A450" si="64">A434+1</f>
        <v>387</v>
      </c>
      <c r="B435" s="19" t="s">
        <v>285</v>
      </c>
      <c r="C435" s="20">
        <v>1000</v>
      </c>
      <c r="D435" s="15">
        <v>6</v>
      </c>
      <c r="E435" s="15">
        <v>2</v>
      </c>
      <c r="F435" s="15">
        <v>1</v>
      </c>
      <c r="G435" s="15"/>
      <c r="H435" s="15">
        <f t="shared" si="62"/>
        <v>9</v>
      </c>
      <c r="I435" s="83">
        <f t="shared" si="63"/>
        <v>18</v>
      </c>
      <c r="K435" s="19">
        <v>12</v>
      </c>
      <c r="L435" s="10"/>
      <c r="M435" s="10"/>
    </row>
    <row r="436" spans="1:13" x14ac:dyDescent="0.25">
      <c r="A436" s="10">
        <f t="shared" si="64"/>
        <v>388</v>
      </c>
      <c r="B436" s="19" t="s">
        <v>286</v>
      </c>
      <c r="C436" s="20">
        <v>100</v>
      </c>
      <c r="D436" s="15">
        <v>1</v>
      </c>
      <c r="E436" s="15"/>
      <c r="F436" s="15"/>
      <c r="G436" s="15"/>
      <c r="H436" s="15">
        <f t="shared" si="62"/>
        <v>1</v>
      </c>
      <c r="I436" s="83">
        <f t="shared" si="63"/>
        <v>2</v>
      </c>
      <c r="K436" s="19">
        <v>2</v>
      </c>
      <c r="L436" s="10"/>
      <c r="M436" s="10"/>
    </row>
    <row r="437" spans="1:13" x14ac:dyDescent="0.25">
      <c r="A437" s="10">
        <f t="shared" si="64"/>
        <v>389</v>
      </c>
      <c r="B437" s="19" t="s">
        <v>287</v>
      </c>
      <c r="C437" s="20">
        <v>50</v>
      </c>
      <c r="D437" s="15">
        <v>15</v>
      </c>
      <c r="E437" s="15"/>
      <c r="F437" s="15"/>
      <c r="G437" s="15"/>
      <c r="H437" s="15">
        <f t="shared" si="62"/>
        <v>15</v>
      </c>
      <c r="I437" s="83">
        <f t="shared" si="63"/>
        <v>30</v>
      </c>
      <c r="K437" s="19">
        <v>65</v>
      </c>
      <c r="L437" s="10"/>
      <c r="M437" s="10"/>
    </row>
    <row r="438" spans="1:13" x14ac:dyDescent="0.25">
      <c r="A438" s="10">
        <f t="shared" si="64"/>
        <v>390</v>
      </c>
      <c r="B438" s="19" t="s">
        <v>290</v>
      </c>
      <c r="C438" s="20" t="s">
        <v>144</v>
      </c>
      <c r="D438" s="15">
        <v>200</v>
      </c>
      <c r="E438" s="15"/>
      <c r="F438" s="15"/>
      <c r="G438" s="15"/>
      <c r="H438" s="15">
        <f t="shared" si="62"/>
        <v>200</v>
      </c>
      <c r="I438" s="83">
        <f t="shared" si="63"/>
        <v>400</v>
      </c>
      <c r="K438" s="19">
        <v>800</v>
      </c>
      <c r="L438" s="10"/>
      <c r="M438" s="10"/>
    </row>
    <row r="439" spans="1:13" x14ac:dyDescent="0.25">
      <c r="A439" s="10">
        <f t="shared" si="64"/>
        <v>391</v>
      </c>
      <c r="B439" s="19" t="s">
        <v>291</v>
      </c>
      <c r="C439" s="20" t="s">
        <v>144</v>
      </c>
      <c r="D439" s="15"/>
      <c r="E439" s="15">
        <v>3</v>
      </c>
      <c r="F439" s="15"/>
      <c r="G439" s="15"/>
      <c r="H439" s="15">
        <f t="shared" si="62"/>
        <v>3</v>
      </c>
      <c r="I439" s="83">
        <f t="shared" si="63"/>
        <v>6</v>
      </c>
      <c r="K439" s="19">
        <v>70</v>
      </c>
      <c r="L439" s="10"/>
      <c r="M439" s="10"/>
    </row>
    <row r="440" spans="1:13" x14ac:dyDescent="0.25">
      <c r="A440" s="10">
        <f t="shared" si="64"/>
        <v>392</v>
      </c>
      <c r="B440" s="19" t="s">
        <v>292</v>
      </c>
      <c r="C440" s="20" t="s">
        <v>144</v>
      </c>
      <c r="D440" s="15">
        <v>27</v>
      </c>
      <c r="E440" s="15"/>
      <c r="F440" s="15"/>
      <c r="G440" s="15"/>
      <c r="H440" s="15">
        <f t="shared" si="62"/>
        <v>27</v>
      </c>
      <c r="I440" s="83">
        <f t="shared" si="63"/>
        <v>54</v>
      </c>
      <c r="K440" s="19">
        <v>300</v>
      </c>
      <c r="L440" s="10"/>
      <c r="M440" s="10"/>
    </row>
    <row r="441" spans="1:13" x14ac:dyDescent="0.25">
      <c r="A441" s="10">
        <f t="shared" si="64"/>
        <v>393</v>
      </c>
      <c r="B441" s="19" t="s">
        <v>293</v>
      </c>
      <c r="C441" s="20">
        <v>10</v>
      </c>
      <c r="D441" s="15">
        <v>105</v>
      </c>
      <c r="E441" s="15"/>
      <c r="F441" s="15"/>
      <c r="G441" s="15"/>
      <c r="H441" s="15">
        <f t="shared" si="62"/>
        <v>105</v>
      </c>
      <c r="I441" s="83">
        <f t="shared" si="63"/>
        <v>210</v>
      </c>
      <c r="K441" s="19">
        <v>20</v>
      </c>
      <c r="L441" s="10"/>
      <c r="M441" s="10"/>
    </row>
    <row r="442" spans="1:13" x14ac:dyDescent="0.25">
      <c r="A442" s="10">
        <f t="shared" si="64"/>
        <v>394</v>
      </c>
      <c r="B442" s="19" t="s">
        <v>294</v>
      </c>
      <c r="C442" s="20">
        <v>10</v>
      </c>
      <c r="D442" s="15">
        <v>30</v>
      </c>
      <c r="E442" s="15"/>
      <c r="F442" s="15"/>
      <c r="G442" s="15"/>
      <c r="H442" s="15">
        <f t="shared" si="62"/>
        <v>30</v>
      </c>
      <c r="I442" s="83">
        <f t="shared" si="63"/>
        <v>60</v>
      </c>
      <c r="K442" s="19">
        <v>100</v>
      </c>
      <c r="L442" s="10"/>
      <c r="M442" s="10"/>
    </row>
    <row r="443" spans="1:13" x14ac:dyDescent="0.25">
      <c r="A443" s="10">
        <f t="shared" si="64"/>
        <v>395</v>
      </c>
      <c r="B443" s="19" t="s">
        <v>699</v>
      </c>
      <c r="C443" s="20">
        <v>100</v>
      </c>
      <c r="D443" s="15"/>
      <c r="E443" s="15"/>
      <c r="F443" s="15"/>
      <c r="G443" s="15"/>
      <c r="H443" s="15"/>
      <c r="I443" s="83"/>
      <c r="K443" s="19">
        <v>4</v>
      </c>
      <c r="L443" s="10"/>
      <c r="M443" s="10"/>
    </row>
    <row r="444" spans="1:13" x14ac:dyDescent="0.25">
      <c r="A444" s="10">
        <f t="shared" si="64"/>
        <v>396</v>
      </c>
      <c r="B444" s="19" t="s">
        <v>295</v>
      </c>
      <c r="C444" s="20" t="s">
        <v>57</v>
      </c>
      <c r="D444" s="15">
        <v>48</v>
      </c>
      <c r="E444" s="15">
        <v>1</v>
      </c>
      <c r="F444" s="15">
        <v>1</v>
      </c>
      <c r="G444" s="15">
        <v>1</v>
      </c>
      <c r="H444" s="15">
        <f t="shared" ref="H444:H450" si="65">SUM(D444:G444)</f>
        <v>51</v>
      </c>
      <c r="I444" s="83">
        <f t="shared" ref="I444:I450" si="66">H444*2</f>
        <v>102</v>
      </c>
      <c r="K444" s="19">
        <v>3341</v>
      </c>
      <c r="L444" s="10"/>
      <c r="M444" s="10"/>
    </row>
    <row r="445" spans="1:13" x14ac:dyDescent="0.25">
      <c r="A445" s="10">
        <f t="shared" si="64"/>
        <v>397</v>
      </c>
      <c r="B445" s="19" t="s">
        <v>301</v>
      </c>
      <c r="C445" s="20">
        <v>30</v>
      </c>
      <c r="D445" s="15">
        <v>3</v>
      </c>
      <c r="E445" s="15"/>
      <c r="F445" s="15"/>
      <c r="G445" s="15"/>
      <c r="H445" s="15">
        <f t="shared" si="65"/>
        <v>3</v>
      </c>
      <c r="I445" s="83">
        <f t="shared" si="66"/>
        <v>6</v>
      </c>
      <c r="K445" s="19">
        <v>4</v>
      </c>
      <c r="L445" s="10"/>
      <c r="M445" s="10"/>
    </row>
    <row r="446" spans="1:13" x14ac:dyDescent="0.25">
      <c r="A446" s="10">
        <f t="shared" si="64"/>
        <v>398</v>
      </c>
      <c r="B446" s="19" t="s">
        <v>296</v>
      </c>
      <c r="C446" s="20">
        <v>100</v>
      </c>
      <c r="D446" s="15">
        <v>46</v>
      </c>
      <c r="E446" s="15">
        <v>6</v>
      </c>
      <c r="F446" s="15">
        <v>6</v>
      </c>
      <c r="G446" s="15"/>
      <c r="H446" s="15">
        <f t="shared" si="65"/>
        <v>58</v>
      </c>
      <c r="I446" s="83">
        <f t="shared" si="66"/>
        <v>116</v>
      </c>
      <c r="K446" s="19">
        <v>180</v>
      </c>
      <c r="L446" s="10"/>
      <c r="M446" s="10"/>
    </row>
    <row r="447" spans="1:13" x14ac:dyDescent="0.25">
      <c r="A447" s="10">
        <f t="shared" si="64"/>
        <v>399</v>
      </c>
      <c r="B447" s="19" t="s">
        <v>297</v>
      </c>
      <c r="C447" s="20">
        <v>100</v>
      </c>
      <c r="D447" s="15">
        <v>80</v>
      </c>
      <c r="E447" s="15"/>
      <c r="F447" s="15">
        <v>5</v>
      </c>
      <c r="G447" s="15"/>
      <c r="H447" s="15">
        <f t="shared" si="65"/>
        <v>85</v>
      </c>
      <c r="I447" s="83">
        <f t="shared" si="66"/>
        <v>170</v>
      </c>
      <c r="K447" s="19">
        <v>200</v>
      </c>
      <c r="L447" s="10"/>
      <c r="M447" s="10"/>
    </row>
    <row r="448" spans="1:13" x14ac:dyDescent="0.25">
      <c r="A448" s="10">
        <f t="shared" si="64"/>
        <v>400</v>
      </c>
      <c r="B448" s="19" t="s">
        <v>298</v>
      </c>
      <c r="C448" s="20">
        <v>100</v>
      </c>
      <c r="D448" s="15">
        <v>5</v>
      </c>
      <c r="E448" s="15"/>
      <c r="F448" s="15">
        <v>0.4</v>
      </c>
      <c r="G448" s="15"/>
      <c r="H448" s="15">
        <f t="shared" si="65"/>
        <v>5.4</v>
      </c>
      <c r="I448" s="83">
        <f t="shared" si="66"/>
        <v>10.8</v>
      </c>
      <c r="K448" s="19">
        <v>10</v>
      </c>
      <c r="L448" s="10"/>
      <c r="M448" s="10"/>
    </row>
    <row r="449" spans="1:13" x14ac:dyDescent="0.25">
      <c r="A449" s="10">
        <f t="shared" si="64"/>
        <v>401</v>
      </c>
      <c r="B449" s="19" t="s">
        <v>299</v>
      </c>
      <c r="C449" s="20" t="s">
        <v>144</v>
      </c>
      <c r="D449" s="15">
        <v>5</v>
      </c>
      <c r="E449" s="15"/>
      <c r="F449" s="15">
        <v>2</v>
      </c>
      <c r="G449" s="15"/>
      <c r="H449" s="15">
        <f t="shared" si="65"/>
        <v>7</v>
      </c>
      <c r="I449" s="83">
        <f t="shared" si="66"/>
        <v>14</v>
      </c>
      <c r="K449" s="19">
        <v>40</v>
      </c>
      <c r="L449" s="10"/>
      <c r="M449" s="10"/>
    </row>
    <row r="450" spans="1:13" x14ac:dyDescent="0.25">
      <c r="A450" s="10">
        <f t="shared" si="64"/>
        <v>402</v>
      </c>
      <c r="B450" s="19" t="s">
        <v>300</v>
      </c>
      <c r="C450" s="20">
        <v>100</v>
      </c>
      <c r="D450" s="15">
        <v>13</v>
      </c>
      <c r="E450" s="15">
        <v>1</v>
      </c>
      <c r="F450" s="15"/>
      <c r="G450" s="15"/>
      <c r="H450" s="15">
        <f t="shared" si="65"/>
        <v>14</v>
      </c>
      <c r="I450" s="83">
        <f t="shared" si="66"/>
        <v>28</v>
      </c>
      <c r="K450" s="19">
        <v>50</v>
      </c>
      <c r="L450" s="10"/>
      <c r="M450" s="10"/>
    </row>
    <row r="451" spans="1:13" x14ac:dyDescent="0.25">
      <c r="B451" s="19"/>
      <c r="C451" s="20"/>
      <c r="D451" s="15"/>
      <c r="E451" s="15"/>
      <c r="F451" s="15"/>
      <c r="G451" s="15"/>
      <c r="H451" s="15"/>
      <c r="I451" s="83"/>
      <c r="K451" s="19"/>
      <c r="L451" s="10"/>
      <c r="M451" s="10"/>
    </row>
    <row r="452" spans="1:13" x14ac:dyDescent="0.25">
      <c r="B452" s="19"/>
      <c r="C452" s="20"/>
      <c r="D452" s="15"/>
      <c r="E452" s="15"/>
      <c r="F452" s="15"/>
      <c r="G452" s="15"/>
      <c r="H452" s="15"/>
      <c r="I452" s="83"/>
      <c r="K452" s="19"/>
      <c r="L452" s="10"/>
      <c r="M452" s="10"/>
    </row>
    <row r="453" spans="1:13" ht="23.25" x14ac:dyDescent="0.25">
      <c r="A453" s="12" t="s">
        <v>302</v>
      </c>
      <c r="B453" s="22" t="s">
        <v>303</v>
      </c>
      <c r="C453" s="20"/>
      <c r="D453" s="15"/>
      <c r="E453" s="15"/>
      <c r="F453" s="15"/>
      <c r="G453" s="15"/>
      <c r="H453" s="15"/>
      <c r="I453" s="83"/>
      <c r="K453" s="19"/>
      <c r="L453" s="10"/>
      <c r="M453" s="10"/>
    </row>
    <row r="454" spans="1:13" x14ac:dyDescent="0.25">
      <c r="A454" s="10">
        <f>A450+1</f>
        <v>403</v>
      </c>
      <c r="B454" s="19" t="s">
        <v>304</v>
      </c>
      <c r="C454" s="20">
        <v>500</v>
      </c>
      <c r="D454" s="15">
        <v>250</v>
      </c>
      <c r="E454" s="15"/>
      <c r="F454" s="15">
        <v>50</v>
      </c>
      <c r="G454" s="15"/>
      <c r="H454" s="15">
        <f t="shared" ref="H454:H466" si="67">SUM(D454:G454)</f>
        <v>300</v>
      </c>
      <c r="I454" s="83">
        <f t="shared" ref="I454:I466" si="68">H454*2</f>
        <v>600</v>
      </c>
      <c r="K454" s="19">
        <v>30</v>
      </c>
      <c r="L454" s="10"/>
      <c r="M454" s="10"/>
    </row>
    <row r="455" spans="1:13" x14ac:dyDescent="0.25">
      <c r="A455" s="10">
        <f t="shared" ref="A455:A491" si="69">A454+1</f>
        <v>404</v>
      </c>
      <c r="B455" s="19" t="s">
        <v>472</v>
      </c>
      <c r="C455" s="20" t="s">
        <v>656</v>
      </c>
      <c r="D455" s="15">
        <v>5</v>
      </c>
      <c r="E455" s="15"/>
      <c r="F455" s="15"/>
      <c r="G455" s="15"/>
      <c r="H455" s="15">
        <f t="shared" si="67"/>
        <v>5</v>
      </c>
      <c r="I455" s="83">
        <f t="shared" si="68"/>
        <v>10</v>
      </c>
      <c r="K455" s="19">
        <v>20</v>
      </c>
      <c r="L455" s="10"/>
      <c r="M455" s="10"/>
    </row>
    <row r="456" spans="1:13" x14ac:dyDescent="0.25">
      <c r="A456" s="10">
        <f t="shared" si="69"/>
        <v>405</v>
      </c>
      <c r="B456" s="16" t="s">
        <v>305</v>
      </c>
      <c r="C456" s="20" t="s">
        <v>144</v>
      </c>
      <c r="D456" s="15">
        <v>37</v>
      </c>
      <c r="E456" s="15"/>
      <c r="F456" s="15">
        <v>2</v>
      </c>
      <c r="G456" s="15"/>
      <c r="H456" s="15">
        <f t="shared" si="67"/>
        <v>39</v>
      </c>
      <c r="I456" s="83">
        <f t="shared" si="68"/>
        <v>78</v>
      </c>
      <c r="K456" s="19">
        <v>1000</v>
      </c>
      <c r="L456" s="10"/>
      <c r="M456" s="10"/>
    </row>
    <row r="457" spans="1:13" x14ac:dyDescent="0.25">
      <c r="A457" s="10">
        <f t="shared" si="69"/>
        <v>406</v>
      </c>
      <c r="B457" s="19" t="s">
        <v>306</v>
      </c>
      <c r="C457" s="20" t="s">
        <v>144</v>
      </c>
      <c r="D457" s="15">
        <v>5</v>
      </c>
      <c r="E457" s="15"/>
      <c r="F457" s="15"/>
      <c r="G457" s="15"/>
      <c r="H457" s="15">
        <f t="shared" si="67"/>
        <v>5</v>
      </c>
      <c r="I457" s="83">
        <f t="shared" si="68"/>
        <v>10</v>
      </c>
      <c r="K457" s="19">
        <v>60</v>
      </c>
      <c r="L457" s="10"/>
      <c r="M457" s="10"/>
    </row>
    <row r="458" spans="1:13" x14ac:dyDescent="0.25">
      <c r="A458" s="10">
        <f t="shared" si="69"/>
        <v>407</v>
      </c>
      <c r="B458" s="19" t="s">
        <v>307</v>
      </c>
      <c r="C458" s="20" t="s">
        <v>144</v>
      </c>
      <c r="D458" s="15">
        <v>1</v>
      </c>
      <c r="E458" s="15"/>
      <c r="F458" s="15"/>
      <c r="G458" s="15"/>
      <c r="H458" s="15">
        <f t="shared" si="67"/>
        <v>1</v>
      </c>
      <c r="I458" s="83">
        <f t="shared" si="68"/>
        <v>2</v>
      </c>
      <c r="K458" s="19">
        <v>20</v>
      </c>
      <c r="L458" s="10"/>
      <c r="M458" s="10"/>
    </row>
    <row r="459" spans="1:13" x14ac:dyDescent="0.25">
      <c r="A459" s="10">
        <f t="shared" si="69"/>
        <v>408</v>
      </c>
      <c r="B459" s="19" t="s">
        <v>308</v>
      </c>
      <c r="C459" s="20" t="s">
        <v>144</v>
      </c>
      <c r="D459" s="15">
        <v>2</v>
      </c>
      <c r="E459" s="15"/>
      <c r="F459" s="15"/>
      <c r="G459" s="15"/>
      <c r="H459" s="15">
        <f t="shared" si="67"/>
        <v>2</v>
      </c>
      <c r="I459" s="83">
        <f t="shared" si="68"/>
        <v>4</v>
      </c>
      <c r="K459" s="19">
        <v>20</v>
      </c>
      <c r="L459" s="10"/>
      <c r="M459" s="10"/>
    </row>
    <row r="460" spans="1:13" x14ac:dyDescent="0.25">
      <c r="A460" s="10">
        <f t="shared" si="69"/>
        <v>409</v>
      </c>
      <c r="B460" s="19" t="s">
        <v>309</v>
      </c>
      <c r="C460" s="20" t="s">
        <v>144</v>
      </c>
      <c r="D460" s="15">
        <v>3</v>
      </c>
      <c r="E460" s="15"/>
      <c r="F460" s="15"/>
      <c r="G460" s="15"/>
      <c r="H460" s="15">
        <f t="shared" si="67"/>
        <v>3</v>
      </c>
      <c r="I460" s="83">
        <f t="shared" si="68"/>
        <v>6</v>
      </c>
      <c r="K460" s="19">
        <v>20</v>
      </c>
      <c r="L460" s="10"/>
      <c r="M460" s="10"/>
    </row>
    <row r="461" spans="1:13" x14ac:dyDescent="0.25">
      <c r="A461" s="10">
        <f t="shared" si="69"/>
        <v>410</v>
      </c>
      <c r="B461" s="19" t="s">
        <v>310</v>
      </c>
      <c r="C461" s="20" t="s">
        <v>144</v>
      </c>
      <c r="D461" s="15">
        <v>2</v>
      </c>
      <c r="E461" s="15"/>
      <c r="F461" s="15"/>
      <c r="G461" s="15"/>
      <c r="H461" s="15">
        <f t="shared" si="67"/>
        <v>2</v>
      </c>
      <c r="I461" s="83">
        <f t="shared" si="68"/>
        <v>4</v>
      </c>
      <c r="K461" s="19">
        <v>40</v>
      </c>
      <c r="L461" s="10"/>
      <c r="M461" s="10"/>
    </row>
    <row r="462" spans="1:13" x14ac:dyDescent="0.25">
      <c r="A462" s="10">
        <f t="shared" si="69"/>
        <v>411</v>
      </c>
      <c r="B462" s="19" t="s">
        <v>311</v>
      </c>
      <c r="C462" s="20" t="s">
        <v>144</v>
      </c>
      <c r="D462" s="15">
        <v>5</v>
      </c>
      <c r="E462" s="15"/>
      <c r="F462" s="15"/>
      <c r="G462" s="15"/>
      <c r="H462" s="15">
        <f t="shared" si="67"/>
        <v>5</v>
      </c>
      <c r="I462" s="83">
        <f t="shared" si="68"/>
        <v>10</v>
      </c>
      <c r="K462" s="19">
        <v>100</v>
      </c>
      <c r="L462" s="10"/>
      <c r="M462" s="10"/>
    </row>
    <row r="463" spans="1:13" x14ac:dyDescent="0.25">
      <c r="A463" s="10">
        <f t="shared" si="69"/>
        <v>412</v>
      </c>
      <c r="B463" s="19" t="s">
        <v>312</v>
      </c>
      <c r="C463" s="20" t="s">
        <v>656</v>
      </c>
      <c r="D463" s="15">
        <v>40</v>
      </c>
      <c r="E463" s="15"/>
      <c r="F463" s="15">
        <v>1</v>
      </c>
      <c r="G463" s="15"/>
      <c r="H463" s="15">
        <f t="shared" si="67"/>
        <v>41</v>
      </c>
      <c r="I463" s="83">
        <f t="shared" si="68"/>
        <v>82</v>
      </c>
      <c r="K463" s="19">
        <v>800</v>
      </c>
      <c r="L463" s="10"/>
      <c r="M463" s="10"/>
    </row>
    <row r="464" spans="1:13" x14ac:dyDescent="0.25">
      <c r="A464" s="10">
        <f t="shared" si="69"/>
        <v>413</v>
      </c>
      <c r="B464" s="19" t="s">
        <v>908</v>
      </c>
      <c r="C464" s="20" t="s">
        <v>144</v>
      </c>
      <c r="D464" s="15">
        <v>30</v>
      </c>
      <c r="E464" s="15"/>
      <c r="F464" s="15">
        <v>3</v>
      </c>
      <c r="G464" s="15"/>
      <c r="H464" s="15">
        <f t="shared" si="67"/>
        <v>33</v>
      </c>
      <c r="I464" s="83">
        <f t="shared" si="68"/>
        <v>66</v>
      </c>
      <c r="K464" s="19">
        <v>400</v>
      </c>
      <c r="L464" s="10"/>
      <c r="M464" s="10"/>
    </row>
    <row r="465" spans="1:13" x14ac:dyDescent="0.25">
      <c r="A465" s="10">
        <f t="shared" si="69"/>
        <v>414</v>
      </c>
      <c r="B465" s="19" t="s">
        <v>313</v>
      </c>
      <c r="C465" s="20" t="s">
        <v>144</v>
      </c>
      <c r="D465" s="15">
        <v>19</v>
      </c>
      <c r="E465" s="15"/>
      <c r="F465" s="15">
        <v>3</v>
      </c>
      <c r="G465" s="15"/>
      <c r="H465" s="15">
        <f t="shared" si="67"/>
        <v>22</v>
      </c>
      <c r="I465" s="83">
        <f t="shared" si="68"/>
        <v>44</v>
      </c>
      <c r="K465" s="19">
        <v>1000</v>
      </c>
      <c r="L465" s="10"/>
      <c r="M465" s="10"/>
    </row>
    <row r="466" spans="1:13" x14ac:dyDescent="0.25">
      <c r="A466" s="10">
        <f t="shared" si="69"/>
        <v>415</v>
      </c>
      <c r="B466" s="19" t="s">
        <v>314</v>
      </c>
      <c r="C466" s="20" t="s">
        <v>144</v>
      </c>
      <c r="D466" s="15">
        <v>4</v>
      </c>
      <c r="E466" s="15"/>
      <c r="F466" s="15"/>
      <c r="G466" s="15"/>
      <c r="H466" s="15">
        <f t="shared" si="67"/>
        <v>4</v>
      </c>
      <c r="I466" s="83">
        <f t="shared" si="68"/>
        <v>8</v>
      </c>
      <c r="K466" s="19">
        <v>280</v>
      </c>
      <c r="L466" s="10"/>
      <c r="M466" s="10"/>
    </row>
    <row r="467" spans="1:13" x14ac:dyDescent="0.25">
      <c r="A467" s="10">
        <f t="shared" si="69"/>
        <v>416</v>
      </c>
      <c r="B467" s="19" t="s">
        <v>684</v>
      </c>
      <c r="C467" s="20" t="s">
        <v>144</v>
      </c>
      <c r="D467" s="15"/>
      <c r="E467" s="15"/>
      <c r="F467" s="15"/>
      <c r="G467" s="15"/>
      <c r="H467" s="15"/>
      <c r="I467" s="83"/>
      <c r="K467" s="19">
        <v>20</v>
      </c>
      <c r="L467" s="10"/>
      <c r="M467" s="10"/>
    </row>
    <row r="468" spans="1:13" x14ac:dyDescent="0.25">
      <c r="A468" s="10">
        <f t="shared" si="69"/>
        <v>417</v>
      </c>
      <c r="B468" s="19" t="s">
        <v>315</v>
      </c>
      <c r="C468" s="20" t="s">
        <v>144</v>
      </c>
      <c r="D468" s="15">
        <v>2</v>
      </c>
      <c r="E468" s="15"/>
      <c r="F468" s="15"/>
      <c r="G468" s="15"/>
      <c r="H468" s="15">
        <f t="shared" ref="H468:H482" si="70">SUM(D468:G468)</f>
        <v>2</v>
      </c>
      <c r="I468" s="83">
        <f t="shared" ref="I468:I482" si="71">H468*2</f>
        <v>4</v>
      </c>
      <c r="K468" s="19">
        <v>80</v>
      </c>
      <c r="L468" s="10"/>
      <c r="M468" s="10"/>
    </row>
    <row r="469" spans="1:13" x14ac:dyDescent="0.25">
      <c r="A469" s="10">
        <f t="shared" si="69"/>
        <v>418</v>
      </c>
      <c r="B469" s="19" t="s">
        <v>316</v>
      </c>
      <c r="C469" s="20" t="s">
        <v>144</v>
      </c>
      <c r="D469" s="15">
        <v>8</v>
      </c>
      <c r="E469" s="15"/>
      <c r="F469" s="15"/>
      <c r="G469" s="15"/>
      <c r="H469" s="15">
        <f t="shared" si="70"/>
        <v>8</v>
      </c>
      <c r="I469" s="83">
        <f t="shared" si="71"/>
        <v>16</v>
      </c>
      <c r="K469" s="19">
        <v>50</v>
      </c>
      <c r="L469" s="10"/>
      <c r="M469" s="10"/>
    </row>
    <row r="470" spans="1:13" x14ac:dyDescent="0.25">
      <c r="A470" s="10">
        <f t="shared" si="69"/>
        <v>419</v>
      </c>
      <c r="B470" s="19" t="s">
        <v>317</v>
      </c>
      <c r="C470" s="20">
        <v>120</v>
      </c>
      <c r="D470" s="15">
        <v>10</v>
      </c>
      <c r="E470" s="15"/>
      <c r="F470" s="15"/>
      <c r="G470" s="15"/>
      <c r="H470" s="15">
        <f t="shared" si="70"/>
        <v>10</v>
      </c>
      <c r="I470" s="83">
        <f t="shared" si="71"/>
        <v>20</v>
      </c>
      <c r="K470" s="19">
        <v>32</v>
      </c>
      <c r="L470" s="10"/>
      <c r="M470" s="10"/>
    </row>
    <row r="471" spans="1:13" x14ac:dyDescent="0.25">
      <c r="A471" s="10">
        <f t="shared" si="69"/>
        <v>420</v>
      </c>
      <c r="B471" s="19" t="s">
        <v>318</v>
      </c>
      <c r="C471" s="20" t="s">
        <v>144</v>
      </c>
      <c r="D471" s="15">
        <v>2</v>
      </c>
      <c r="E471" s="15"/>
      <c r="F471" s="15"/>
      <c r="G471" s="15"/>
      <c r="H471" s="15">
        <f t="shared" si="70"/>
        <v>2</v>
      </c>
      <c r="I471" s="83">
        <f t="shared" si="71"/>
        <v>4</v>
      </c>
      <c r="K471" s="19">
        <v>40</v>
      </c>
      <c r="L471" s="10"/>
      <c r="M471" s="10"/>
    </row>
    <row r="472" spans="1:13" x14ac:dyDescent="0.25">
      <c r="A472" s="10">
        <f t="shared" si="69"/>
        <v>421</v>
      </c>
      <c r="B472" s="19" t="s">
        <v>319</v>
      </c>
      <c r="C472" s="20" t="s">
        <v>144</v>
      </c>
      <c r="D472" s="15">
        <v>11</v>
      </c>
      <c r="E472" s="15"/>
      <c r="F472" s="15"/>
      <c r="G472" s="15"/>
      <c r="H472" s="15">
        <f t="shared" si="70"/>
        <v>11</v>
      </c>
      <c r="I472" s="83">
        <f t="shared" si="71"/>
        <v>22</v>
      </c>
      <c r="K472" s="19">
        <v>600</v>
      </c>
      <c r="L472" s="10"/>
      <c r="M472" s="10"/>
    </row>
    <row r="473" spans="1:13" x14ac:dyDescent="0.25">
      <c r="A473" s="10">
        <f t="shared" si="69"/>
        <v>422</v>
      </c>
      <c r="B473" s="19" t="s">
        <v>320</v>
      </c>
      <c r="C473" s="20" t="s">
        <v>144</v>
      </c>
      <c r="D473" s="15">
        <v>20</v>
      </c>
      <c r="E473" s="15"/>
      <c r="F473" s="15"/>
      <c r="G473" s="15"/>
      <c r="H473" s="15">
        <f t="shared" si="70"/>
        <v>20</v>
      </c>
      <c r="I473" s="83">
        <f t="shared" si="71"/>
        <v>40</v>
      </c>
      <c r="K473" s="19">
        <v>600</v>
      </c>
      <c r="L473" s="10"/>
      <c r="M473" s="10"/>
    </row>
    <row r="474" spans="1:13" x14ac:dyDescent="0.25">
      <c r="A474" s="10">
        <f t="shared" si="69"/>
        <v>423</v>
      </c>
      <c r="B474" s="19" t="s">
        <v>321</v>
      </c>
      <c r="C474" s="20" t="s">
        <v>144</v>
      </c>
      <c r="D474" s="15">
        <v>4</v>
      </c>
      <c r="E474" s="15"/>
      <c r="F474" s="15">
        <v>3</v>
      </c>
      <c r="G474" s="15"/>
      <c r="H474" s="15">
        <f t="shared" si="70"/>
        <v>7</v>
      </c>
      <c r="I474" s="83">
        <f t="shared" si="71"/>
        <v>14</v>
      </c>
      <c r="K474" s="19">
        <v>240</v>
      </c>
      <c r="L474" s="10"/>
      <c r="M474" s="10"/>
    </row>
    <row r="475" spans="1:13" x14ac:dyDescent="0.25">
      <c r="A475" s="10">
        <f t="shared" si="69"/>
        <v>424</v>
      </c>
      <c r="B475" s="19" t="s">
        <v>322</v>
      </c>
      <c r="C475" s="20" t="s">
        <v>144</v>
      </c>
      <c r="D475" s="15">
        <v>2</v>
      </c>
      <c r="E475" s="15"/>
      <c r="F475" s="15"/>
      <c r="G475" s="15"/>
      <c r="H475" s="15">
        <f t="shared" si="70"/>
        <v>2</v>
      </c>
      <c r="I475" s="83">
        <f t="shared" si="71"/>
        <v>4</v>
      </c>
      <c r="K475" s="19">
        <v>155</v>
      </c>
      <c r="L475" s="10"/>
      <c r="M475" s="10"/>
    </row>
    <row r="476" spans="1:13" x14ac:dyDescent="0.25">
      <c r="A476" s="10">
        <f t="shared" si="69"/>
        <v>425</v>
      </c>
      <c r="B476" s="16" t="s">
        <v>323</v>
      </c>
      <c r="C476" s="20" t="s">
        <v>144</v>
      </c>
      <c r="D476" s="15">
        <v>5</v>
      </c>
      <c r="E476" s="15"/>
      <c r="F476" s="15"/>
      <c r="G476" s="15"/>
      <c r="H476" s="15">
        <f t="shared" si="70"/>
        <v>5</v>
      </c>
      <c r="I476" s="83">
        <f t="shared" si="71"/>
        <v>10</v>
      </c>
      <c r="K476" s="19">
        <v>20</v>
      </c>
      <c r="L476" s="10"/>
      <c r="M476" s="10"/>
    </row>
    <row r="477" spans="1:13" x14ac:dyDescent="0.25">
      <c r="A477" s="10">
        <f t="shared" si="69"/>
        <v>426</v>
      </c>
      <c r="B477" s="19" t="s">
        <v>324</v>
      </c>
      <c r="C477" s="20" t="s">
        <v>144</v>
      </c>
      <c r="D477" s="15">
        <v>18</v>
      </c>
      <c r="E477" s="15"/>
      <c r="F477" s="15"/>
      <c r="G477" s="15"/>
      <c r="H477" s="15">
        <f t="shared" si="70"/>
        <v>18</v>
      </c>
      <c r="I477" s="83">
        <f t="shared" si="71"/>
        <v>36</v>
      </c>
      <c r="K477" s="19">
        <v>300</v>
      </c>
      <c r="L477" s="10"/>
      <c r="M477" s="10"/>
    </row>
    <row r="478" spans="1:13" x14ac:dyDescent="0.25">
      <c r="A478" s="10">
        <f t="shared" si="69"/>
        <v>427</v>
      </c>
      <c r="B478" s="19" t="s">
        <v>325</v>
      </c>
      <c r="C478" s="20" t="s">
        <v>656</v>
      </c>
      <c r="D478" s="15">
        <v>3</v>
      </c>
      <c r="E478" s="15"/>
      <c r="F478" s="15"/>
      <c r="G478" s="15"/>
      <c r="H478" s="15">
        <f t="shared" si="70"/>
        <v>3</v>
      </c>
      <c r="I478" s="83">
        <f t="shared" si="71"/>
        <v>6</v>
      </c>
      <c r="K478" s="19">
        <v>100</v>
      </c>
      <c r="L478" s="10"/>
      <c r="M478" s="10"/>
    </row>
    <row r="479" spans="1:13" x14ac:dyDescent="0.25">
      <c r="A479" s="10">
        <f t="shared" si="69"/>
        <v>428</v>
      </c>
      <c r="B479" s="19" t="s">
        <v>326</v>
      </c>
      <c r="C479" s="20" t="s">
        <v>144</v>
      </c>
      <c r="D479" s="15">
        <v>5</v>
      </c>
      <c r="E479" s="15"/>
      <c r="F479" s="15"/>
      <c r="G479" s="15"/>
      <c r="H479" s="15">
        <f t="shared" si="70"/>
        <v>5</v>
      </c>
      <c r="I479" s="83">
        <f t="shared" si="71"/>
        <v>10</v>
      </c>
      <c r="K479" s="19">
        <v>50</v>
      </c>
      <c r="L479" s="10"/>
      <c r="M479" s="10"/>
    </row>
    <row r="480" spans="1:13" x14ac:dyDescent="0.25">
      <c r="A480" s="10">
        <f t="shared" si="69"/>
        <v>429</v>
      </c>
      <c r="B480" s="19" t="s">
        <v>327</v>
      </c>
      <c r="C480" s="20" t="s">
        <v>144</v>
      </c>
      <c r="D480" s="15">
        <v>6</v>
      </c>
      <c r="E480" s="15"/>
      <c r="F480" s="15"/>
      <c r="G480" s="15"/>
      <c r="H480" s="15">
        <f t="shared" si="70"/>
        <v>6</v>
      </c>
      <c r="I480" s="83">
        <f t="shared" si="71"/>
        <v>12</v>
      </c>
      <c r="K480" s="19">
        <v>20</v>
      </c>
      <c r="L480" s="10"/>
      <c r="M480" s="10"/>
    </row>
    <row r="481" spans="1:13" x14ac:dyDescent="0.25">
      <c r="A481" s="10">
        <f t="shared" si="69"/>
        <v>430</v>
      </c>
      <c r="B481" s="16" t="s">
        <v>330</v>
      </c>
      <c r="C481" s="20" t="s">
        <v>144</v>
      </c>
      <c r="D481" s="15">
        <v>2</v>
      </c>
      <c r="E481" s="15"/>
      <c r="F481" s="15"/>
      <c r="G481" s="15"/>
      <c r="H481" s="15">
        <f t="shared" si="70"/>
        <v>2</v>
      </c>
      <c r="I481" s="83">
        <f t="shared" si="71"/>
        <v>4</v>
      </c>
      <c r="K481" s="19">
        <v>10</v>
      </c>
      <c r="L481" s="10"/>
      <c r="M481" s="10"/>
    </row>
    <row r="482" spans="1:13" x14ac:dyDescent="0.25">
      <c r="A482" s="10">
        <f t="shared" si="69"/>
        <v>431</v>
      </c>
      <c r="B482" s="19" t="s">
        <v>332</v>
      </c>
      <c r="C482" s="20" t="s">
        <v>144</v>
      </c>
      <c r="D482" s="15">
        <v>5</v>
      </c>
      <c r="E482" s="15"/>
      <c r="F482" s="15"/>
      <c r="G482" s="15"/>
      <c r="H482" s="15">
        <f t="shared" si="70"/>
        <v>5</v>
      </c>
      <c r="I482" s="83">
        <f t="shared" si="71"/>
        <v>10</v>
      </c>
      <c r="K482" s="19">
        <v>20</v>
      </c>
      <c r="L482" s="10"/>
      <c r="M482" s="10"/>
    </row>
    <row r="483" spans="1:13" x14ac:dyDescent="0.25">
      <c r="A483" s="10">
        <f t="shared" si="69"/>
        <v>432</v>
      </c>
      <c r="B483" s="19" t="s">
        <v>731</v>
      </c>
      <c r="C483" s="20" t="s">
        <v>144</v>
      </c>
      <c r="D483" s="15"/>
      <c r="E483" s="15"/>
      <c r="F483" s="15"/>
      <c r="G483" s="15"/>
      <c r="H483" s="15"/>
      <c r="I483" s="83"/>
      <c r="K483" s="19">
        <v>40</v>
      </c>
      <c r="L483" s="10"/>
      <c r="M483" s="10"/>
    </row>
    <row r="484" spans="1:13" x14ac:dyDescent="0.25">
      <c r="A484" s="10">
        <f t="shared" si="69"/>
        <v>433</v>
      </c>
      <c r="B484" s="16" t="s">
        <v>334</v>
      </c>
      <c r="C484" s="20" t="s">
        <v>144</v>
      </c>
      <c r="D484" s="15">
        <v>14</v>
      </c>
      <c r="E484" s="15"/>
      <c r="F484" s="15">
        <v>4</v>
      </c>
      <c r="G484" s="15"/>
      <c r="H484" s="15">
        <f t="shared" ref="H484:H491" si="72">SUM(D484:G484)</f>
        <v>18</v>
      </c>
      <c r="I484" s="83">
        <f t="shared" ref="I484:I491" si="73">H484*2</f>
        <v>36</v>
      </c>
      <c r="K484" s="19">
        <v>880</v>
      </c>
      <c r="L484" s="10"/>
      <c r="M484" s="10"/>
    </row>
    <row r="485" spans="1:13" x14ac:dyDescent="0.25">
      <c r="A485" s="10">
        <f t="shared" si="69"/>
        <v>434</v>
      </c>
      <c r="B485" s="19" t="s">
        <v>335</v>
      </c>
      <c r="C485" s="20" t="s">
        <v>144</v>
      </c>
      <c r="D485" s="15">
        <v>2</v>
      </c>
      <c r="E485" s="15"/>
      <c r="F485" s="15"/>
      <c r="G485" s="15"/>
      <c r="H485" s="15">
        <f t="shared" si="72"/>
        <v>2</v>
      </c>
      <c r="I485" s="83">
        <f t="shared" si="73"/>
        <v>4</v>
      </c>
      <c r="K485" s="19">
        <v>210</v>
      </c>
      <c r="L485" s="10"/>
      <c r="M485" s="10"/>
    </row>
    <row r="486" spans="1:13" x14ac:dyDescent="0.25">
      <c r="A486" s="10">
        <f t="shared" si="69"/>
        <v>435</v>
      </c>
      <c r="B486" s="16" t="s">
        <v>336</v>
      </c>
      <c r="C486" s="20" t="s">
        <v>144</v>
      </c>
      <c r="D486" s="15">
        <v>5</v>
      </c>
      <c r="E486" s="15"/>
      <c r="F486" s="15"/>
      <c r="G486" s="15"/>
      <c r="H486" s="15">
        <f t="shared" si="72"/>
        <v>5</v>
      </c>
      <c r="I486" s="83">
        <f t="shared" si="73"/>
        <v>10</v>
      </c>
      <c r="K486" s="19">
        <v>120</v>
      </c>
      <c r="L486" s="10"/>
      <c r="M486" s="10"/>
    </row>
    <row r="487" spans="1:13" x14ac:dyDescent="0.25">
      <c r="A487" s="10">
        <f t="shared" si="69"/>
        <v>436</v>
      </c>
      <c r="B487" s="16" t="s">
        <v>337</v>
      </c>
      <c r="C487" s="20" t="s">
        <v>144</v>
      </c>
      <c r="D487" s="15">
        <v>2</v>
      </c>
      <c r="E487" s="15"/>
      <c r="F487" s="15"/>
      <c r="G487" s="15"/>
      <c r="H487" s="15">
        <f t="shared" si="72"/>
        <v>2</v>
      </c>
      <c r="I487" s="83">
        <f t="shared" si="73"/>
        <v>4</v>
      </c>
      <c r="K487" s="19">
        <v>40</v>
      </c>
      <c r="L487" s="10"/>
      <c r="M487" s="10"/>
    </row>
    <row r="488" spans="1:13" x14ac:dyDescent="0.25">
      <c r="A488" s="10">
        <f t="shared" si="69"/>
        <v>437</v>
      </c>
      <c r="B488" s="19" t="s">
        <v>338</v>
      </c>
      <c r="C488" s="20" t="s">
        <v>144</v>
      </c>
      <c r="D488" s="15">
        <v>10</v>
      </c>
      <c r="E488" s="15"/>
      <c r="F488" s="15">
        <v>1</v>
      </c>
      <c r="G488" s="15"/>
      <c r="H488" s="15">
        <f t="shared" si="72"/>
        <v>11</v>
      </c>
      <c r="I488" s="83">
        <f t="shared" si="73"/>
        <v>22</v>
      </c>
      <c r="K488" s="19">
        <v>200</v>
      </c>
      <c r="L488" s="10"/>
      <c r="M488" s="10"/>
    </row>
    <row r="489" spans="1:13" x14ac:dyDescent="0.25">
      <c r="A489" s="10">
        <f t="shared" si="69"/>
        <v>438</v>
      </c>
      <c r="B489" s="19" t="s">
        <v>328</v>
      </c>
      <c r="C489" s="20" t="s">
        <v>144</v>
      </c>
      <c r="D489" s="15">
        <v>2</v>
      </c>
      <c r="E489" s="15"/>
      <c r="F489" s="15"/>
      <c r="G489" s="15"/>
      <c r="H489" s="15">
        <f t="shared" si="72"/>
        <v>2</v>
      </c>
      <c r="I489" s="83">
        <f t="shared" si="73"/>
        <v>4</v>
      </c>
      <c r="K489" s="19">
        <v>80</v>
      </c>
      <c r="L489" s="10"/>
      <c r="M489" s="10"/>
    </row>
    <row r="490" spans="1:13" x14ac:dyDescent="0.25">
      <c r="A490" s="10">
        <f t="shared" si="69"/>
        <v>439</v>
      </c>
      <c r="B490" s="19" t="s">
        <v>329</v>
      </c>
      <c r="C490" s="20" t="s">
        <v>144</v>
      </c>
      <c r="D490" s="15">
        <v>2</v>
      </c>
      <c r="E490" s="15"/>
      <c r="F490" s="15"/>
      <c r="G490" s="15"/>
      <c r="H490" s="15">
        <f t="shared" si="72"/>
        <v>2</v>
      </c>
      <c r="I490" s="83">
        <f t="shared" si="73"/>
        <v>4</v>
      </c>
      <c r="K490" s="19">
        <v>40</v>
      </c>
      <c r="L490" s="10"/>
      <c r="M490" s="10"/>
    </row>
    <row r="491" spans="1:13" x14ac:dyDescent="0.25">
      <c r="A491" s="10">
        <f t="shared" si="69"/>
        <v>440</v>
      </c>
      <c r="B491" s="19" t="s">
        <v>473</v>
      </c>
      <c r="C491" s="20" t="s">
        <v>144</v>
      </c>
      <c r="D491" s="15">
        <v>14</v>
      </c>
      <c r="E491" s="15"/>
      <c r="F491" s="15"/>
      <c r="G491" s="15"/>
      <c r="H491" s="15">
        <f t="shared" si="72"/>
        <v>14</v>
      </c>
      <c r="I491" s="83">
        <f t="shared" si="73"/>
        <v>28</v>
      </c>
      <c r="K491" s="19">
        <v>900</v>
      </c>
      <c r="L491" s="10"/>
      <c r="M491" s="10"/>
    </row>
    <row r="492" spans="1:13" x14ac:dyDescent="0.25">
      <c r="B492" s="19"/>
      <c r="C492" s="20"/>
      <c r="D492" s="15"/>
      <c r="E492" s="15"/>
      <c r="F492" s="15"/>
      <c r="G492" s="15"/>
      <c r="H492" s="15"/>
      <c r="I492" s="83"/>
      <c r="K492" s="19"/>
      <c r="L492" s="10"/>
      <c r="M492" s="10"/>
    </row>
    <row r="493" spans="1:13" x14ac:dyDescent="0.25">
      <c r="B493" s="19"/>
      <c r="C493" s="20"/>
      <c r="D493" s="15"/>
      <c r="E493" s="15"/>
      <c r="F493" s="15"/>
      <c r="G493" s="15"/>
      <c r="H493" s="15"/>
      <c r="I493" s="83"/>
      <c r="K493" s="19"/>
      <c r="L493" s="10"/>
      <c r="M493" s="10"/>
    </row>
    <row r="494" spans="1:13" ht="23.25" x14ac:dyDescent="0.25">
      <c r="A494" s="12" t="s">
        <v>339</v>
      </c>
      <c r="B494" s="22" t="s">
        <v>474</v>
      </c>
      <c r="C494" s="20"/>
      <c r="D494" s="15"/>
      <c r="E494" s="15"/>
      <c r="F494" s="15"/>
      <c r="G494" s="15"/>
      <c r="H494" s="15"/>
      <c r="I494" s="83"/>
      <c r="K494" s="19"/>
      <c r="L494" s="10"/>
      <c r="M494" s="10"/>
    </row>
    <row r="495" spans="1:13" x14ac:dyDescent="0.25">
      <c r="A495" s="10">
        <f>A491+1</f>
        <v>441</v>
      </c>
      <c r="B495" s="19" t="s">
        <v>390</v>
      </c>
      <c r="C495" s="20" t="s">
        <v>455</v>
      </c>
      <c r="D495" s="15">
        <v>3</v>
      </c>
      <c r="E495" s="15"/>
      <c r="F495" s="15"/>
      <c r="G495" s="15"/>
      <c r="H495" s="15">
        <f t="shared" ref="H495:H501" si="74">SUM(D495:G495)</f>
        <v>3</v>
      </c>
      <c r="I495" s="83">
        <f t="shared" ref="I495:I501" si="75">H495*2</f>
        <v>6</v>
      </c>
      <c r="K495" s="19">
        <v>70</v>
      </c>
      <c r="L495" s="10"/>
      <c r="M495" s="10"/>
    </row>
    <row r="496" spans="1:13" x14ac:dyDescent="0.25">
      <c r="A496" s="10">
        <f t="shared" ref="A496:A519" si="76">A495+1</f>
        <v>442</v>
      </c>
      <c r="B496" s="19" t="s">
        <v>475</v>
      </c>
      <c r="C496" s="20">
        <v>30</v>
      </c>
      <c r="D496" s="15">
        <v>5</v>
      </c>
      <c r="E496" s="15"/>
      <c r="F496" s="15"/>
      <c r="G496" s="15"/>
      <c r="H496" s="15">
        <f t="shared" si="74"/>
        <v>5</v>
      </c>
      <c r="I496" s="83">
        <f t="shared" si="75"/>
        <v>10</v>
      </c>
      <c r="K496" s="19">
        <v>11</v>
      </c>
      <c r="L496" s="10"/>
      <c r="M496" s="10"/>
    </row>
    <row r="497" spans="1:13" x14ac:dyDescent="0.25">
      <c r="A497" s="10">
        <f t="shared" si="76"/>
        <v>443</v>
      </c>
      <c r="B497" s="19" t="s">
        <v>476</v>
      </c>
      <c r="C497" s="20" t="s">
        <v>57</v>
      </c>
      <c r="D497" s="15">
        <v>2.5</v>
      </c>
      <c r="E497" s="15"/>
      <c r="F497" s="15"/>
      <c r="G497" s="15"/>
      <c r="H497" s="15">
        <f t="shared" si="74"/>
        <v>2.5</v>
      </c>
      <c r="I497" s="83">
        <f t="shared" si="75"/>
        <v>5</v>
      </c>
      <c r="K497" s="19">
        <v>5</v>
      </c>
      <c r="L497" s="10"/>
      <c r="M497" s="10"/>
    </row>
    <row r="498" spans="1:13" x14ac:dyDescent="0.25">
      <c r="A498" s="10">
        <f t="shared" si="76"/>
        <v>444</v>
      </c>
      <c r="B498" s="19" t="s">
        <v>477</v>
      </c>
      <c r="C498" s="20" t="s">
        <v>872</v>
      </c>
      <c r="D498" s="15">
        <v>4.5</v>
      </c>
      <c r="E498" s="15"/>
      <c r="F498" s="15"/>
      <c r="G498" s="15"/>
      <c r="H498" s="15">
        <f t="shared" si="74"/>
        <v>4.5</v>
      </c>
      <c r="I498" s="83">
        <f t="shared" si="75"/>
        <v>9</v>
      </c>
      <c r="K498" s="19">
        <v>10</v>
      </c>
      <c r="L498" s="10"/>
      <c r="M498" s="10"/>
    </row>
    <row r="499" spans="1:13" x14ac:dyDescent="0.25">
      <c r="A499" s="10">
        <f t="shared" si="76"/>
        <v>445</v>
      </c>
      <c r="B499" s="19" t="s">
        <v>478</v>
      </c>
      <c r="C499" s="20">
        <v>50</v>
      </c>
      <c r="D499" s="15">
        <v>15</v>
      </c>
      <c r="E499" s="15"/>
      <c r="F499" s="15"/>
      <c r="G499" s="15"/>
      <c r="H499" s="15">
        <f t="shared" si="74"/>
        <v>15</v>
      </c>
      <c r="I499" s="83">
        <f t="shared" si="75"/>
        <v>30</v>
      </c>
      <c r="K499" s="19">
        <v>10</v>
      </c>
      <c r="L499" s="10"/>
      <c r="M499" s="10"/>
    </row>
    <row r="500" spans="1:13" x14ac:dyDescent="0.25">
      <c r="A500" s="10">
        <f t="shared" si="76"/>
        <v>446</v>
      </c>
      <c r="B500" s="19" t="s">
        <v>479</v>
      </c>
      <c r="C500" s="20" t="s">
        <v>57</v>
      </c>
      <c r="D500" s="15">
        <v>5</v>
      </c>
      <c r="E500" s="15"/>
      <c r="F500" s="15"/>
      <c r="G500" s="15"/>
      <c r="H500" s="15">
        <f t="shared" si="74"/>
        <v>5</v>
      </c>
      <c r="I500" s="83">
        <f t="shared" si="75"/>
        <v>10</v>
      </c>
      <c r="K500" s="19">
        <v>11</v>
      </c>
      <c r="L500" s="10"/>
      <c r="M500" s="10"/>
    </row>
    <row r="501" spans="1:13" x14ac:dyDescent="0.25">
      <c r="A501" s="10">
        <f t="shared" si="76"/>
        <v>447</v>
      </c>
      <c r="B501" s="19" t="s">
        <v>480</v>
      </c>
      <c r="C501" s="20" t="s">
        <v>57</v>
      </c>
      <c r="D501" s="15">
        <v>23</v>
      </c>
      <c r="E501" s="15"/>
      <c r="F501" s="15"/>
      <c r="G501" s="15"/>
      <c r="H501" s="15">
        <f t="shared" si="74"/>
        <v>23</v>
      </c>
      <c r="I501" s="83">
        <f t="shared" si="75"/>
        <v>46</v>
      </c>
      <c r="K501" s="19">
        <v>50</v>
      </c>
      <c r="L501" s="10"/>
      <c r="M501" s="10"/>
    </row>
    <row r="502" spans="1:13" x14ac:dyDescent="0.25">
      <c r="A502" s="10">
        <f t="shared" si="76"/>
        <v>448</v>
      </c>
      <c r="B502" s="19" t="s">
        <v>692</v>
      </c>
      <c r="C502" s="20" t="s">
        <v>57</v>
      </c>
      <c r="D502" s="15"/>
      <c r="E502" s="15"/>
      <c r="F502" s="15"/>
      <c r="G502" s="15"/>
      <c r="H502" s="15"/>
      <c r="I502" s="83"/>
      <c r="K502" s="19">
        <v>26</v>
      </c>
      <c r="L502" s="10"/>
      <c r="M502" s="10"/>
    </row>
    <row r="503" spans="1:13" x14ac:dyDescent="0.25">
      <c r="A503" s="10">
        <f t="shared" si="76"/>
        <v>449</v>
      </c>
      <c r="B503" s="19" t="s">
        <v>481</v>
      </c>
      <c r="C503" s="20">
        <v>100</v>
      </c>
      <c r="D503" s="15">
        <v>10</v>
      </c>
      <c r="E503" s="15"/>
      <c r="F503" s="15"/>
      <c r="G503" s="15"/>
      <c r="H503" s="15">
        <f t="shared" ref="H503:H522" si="77">SUM(D503:G503)</f>
        <v>10</v>
      </c>
      <c r="I503" s="83">
        <f t="shared" ref="I503:I522" si="78">H503*2</f>
        <v>20</v>
      </c>
      <c r="K503" s="19">
        <v>20</v>
      </c>
      <c r="L503" s="10"/>
      <c r="M503" s="10"/>
    </row>
    <row r="504" spans="1:13" x14ac:dyDescent="0.25">
      <c r="A504" s="10">
        <f t="shared" si="76"/>
        <v>450</v>
      </c>
      <c r="B504" s="19" t="s">
        <v>482</v>
      </c>
      <c r="C504" s="20">
        <v>30</v>
      </c>
      <c r="D504" s="15">
        <v>20</v>
      </c>
      <c r="E504" s="15"/>
      <c r="F504" s="15"/>
      <c r="G504" s="15"/>
      <c r="H504" s="15">
        <f t="shared" si="77"/>
        <v>20</v>
      </c>
      <c r="I504" s="83">
        <f t="shared" si="78"/>
        <v>40</v>
      </c>
      <c r="K504" s="19">
        <v>20</v>
      </c>
      <c r="L504" s="10"/>
      <c r="M504" s="10"/>
    </row>
    <row r="505" spans="1:13" x14ac:dyDescent="0.25">
      <c r="A505" s="10">
        <f t="shared" si="76"/>
        <v>451</v>
      </c>
      <c r="B505" s="19" t="s">
        <v>483</v>
      </c>
      <c r="C505" s="20" t="s">
        <v>455</v>
      </c>
      <c r="D505" s="15">
        <v>10</v>
      </c>
      <c r="E505" s="15"/>
      <c r="F505" s="15"/>
      <c r="G505" s="15"/>
      <c r="H505" s="15">
        <f t="shared" si="77"/>
        <v>10</v>
      </c>
      <c r="I505" s="83">
        <f t="shared" si="78"/>
        <v>20</v>
      </c>
      <c r="K505" s="19">
        <v>16</v>
      </c>
      <c r="L505" s="10"/>
      <c r="M505" s="10"/>
    </row>
    <row r="506" spans="1:13" x14ac:dyDescent="0.25">
      <c r="A506" s="10">
        <f t="shared" si="76"/>
        <v>452</v>
      </c>
      <c r="B506" s="19" t="s">
        <v>484</v>
      </c>
      <c r="C506" s="20" t="s">
        <v>57</v>
      </c>
      <c r="D506" s="15">
        <v>23</v>
      </c>
      <c r="E506" s="15"/>
      <c r="F506" s="15"/>
      <c r="G506" s="15"/>
      <c r="H506" s="15">
        <f t="shared" si="77"/>
        <v>23</v>
      </c>
      <c r="I506" s="83">
        <f t="shared" si="78"/>
        <v>46</v>
      </c>
      <c r="K506" s="19">
        <v>50</v>
      </c>
      <c r="L506" s="10"/>
      <c r="M506" s="10"/>
    </row>
    <row r="507" spans="1:13" x14ac:dyDescent="0.25">
      <c r="A507" s="10">
        <f t="shared" si="76"/>
        <v>453</v>
      </c>
      <c r="B507" s="19" t="s">
        <v>485</v>
      </c>
      <c r="C507" s="20" t="s">
        <v>57</v>
      </c>
      <c r="D507" s="15">
        <v>4.5</v>
      </c>
      <c r="E507" s="15"/>
      <c r="F507" s="15"/>
      <c r="G507" s="15"/>
      <c r="H507" s="15">
        <f t="shared" si="77"/>
        <v>4.5</v>
      </c>
      <c r="I507" s="83">
        <f t="shared" si="78"/>
        <v>9</v>
      </c>
      <c r="K507" s="19">
        <v>100</v>
      </c>
      <c r="L507" s="10"/>
      <c r="M507" s="10"/>
    </row>
    <row r="508" spans="1:13" x14ac:dyDescent="0.25">
      <c r="A508" s="10">
        <f t="shared" si="76"/>
        <v>454</v>
      </c>
      <c r="B508" s="19" t="s">
        <v>486</v>
      </c>
      <c r="C508" s="20" t="s">
        <v>57</v>
      </c>
      <c r="D508" s="15">
        <v>5</v>
      </c>
      <c r="E508" s="15"/>
      <c r="F508" s="15"/>
      <c r="G508" s="15"/>
      <c r="H508" s="15">
        <f t="shared" si="77"/>
        <v>5</v>
      </c>
      <c r="I508" s="83">
        <f t="shared" si="78"/>
        <v>10</v>
      </c>
      <c r="K508" s="19">
        <v>110</v>
      </c>
      <c r="L508" s="10"/>
      <c r="M508" s="10"/>
    </row>
    <row r="509" spans="1:13" x14ac:dyDescent="0.25">
      <c r="A509" s="10">
        <f t="shared" si="76"/>
        <v>455</v>
      </c>
      <c r="B509" s="19" t="s">
        <v>487</v>
      </c>
      <c r="C509" s="20">
        <v>10</v>
      </c>
      <c r="D509" s="15">
        <v>4.5</v>
      </c>
      <c r="E509" s="15"/>
      <c r="F509" s="15"/>
      <c r="G509" s="15"/>
      <c r="H509" s="15">
        <f t="shared" si="77"/>
        <v>4.5</v>
      </c>
      <c r="I509" s="83">
        <f t="shared" si="78"/>
        <v>9</v>
      </c>
      <c r="K509" s="19">
        <v>10</v>
      </c>
      <c r="L509" s="10"/>
      <c r="M509" s="10"/>
    </row>
    <row r="510" spans="1:13" x14ac:dyDescent="0.25">
      <c r="A510" s="10">
        <f t="shared" si="76"/>
        <v>456</v>
      </c>
      <c r="B510" s="19" t="s">
        <v>400</v>
      </c>
      <c r="C510" s="20">
        <v>1</v>
      </c>
      <c r="D510" s="15">
        <v>2</v>
      </c>
      <c r="E510" s="15"/>
      <c r="F510" s="15"/>
      <c r="G510" s="15"/>
      <c r="H510" s="15">
        <f t="shared" si="77"/>
        <v>2</v>
      </c>
      <c r="I510" s="83">
        <f t="shared" si="78"/>
        <v>4</v>
      </c>
      <c r="K510" s="19">
        <v>6</v>
      </c>
      <c r="L510" s="10"/>
      <c r="M510" s="10"/>
    </row>
    <row r="511" spans="1:13" x14ac:dyDescent="0.25">
      <c r="A511" s="10">
        <f t="shared" si="76"/>
        <v>457</v>
      </c>
      <c r="B511" s="19" t="s">
        <v>488</v>
      </c>
      <c r="C511" s="20">
        <v>100</v>
      </c>
      <c r="D511" s="15">
        <v>2.5</v>
      </c>
      <c r="E511" s="15"/>
      <c r="F511" s="15"/>
      <c r="G511" s="15"/>
      <c r="H511" s="15">
        <f t="shared" si="77"/>
        <v>2.5</v>
      </c>
      <c r="I511" s="83">
        <f t="shared" si="78"/>
        <v>5</v>
      </c>
      <c r="K511" s="19">
        <v>5</v>
      </c>
      <c r="L511" s="10"/>
      <c r="M511" s="10"/>
    </row>
    <row r="512" spans="1:13" x14ac:dyDescent="0.25">
      <c r="A512" s="10">
        <f t="shared" si="76"/>
        <v>458</v>
      </c>
      <c r="B512" s="19" t="s">
        <v>489</v>
      </c>
      <c r="C512" s="20">
        <v>30</v>
      </c>
      <c r="D512" s="15">
        <v>10</v>
      </c>
      <c r="E512" s="15"/>
      <c r="F512" s="15"/>
      <c r="G512" s="15"/>
      <c r="H512" s="15">
        <f t="shared" si="77"/>
        <v>10</v>
      </c>
      <c r="I512" s="83">
        <f t="shared" si="78"/>
        <v>20</v>
      </c>
      <c r="K512" s="19">
        <v>22</v>
      </c>
      <c r="L512" s="10"/>
      <c r="M512" s="10"/>
    </row>
    <row r="513" spans="1:13" x14ac:dyDescent="0.25">
      <c r="A513" s="10">
        <f t="shared" si="76"/>
        <v>459</v>
      </c>
      <c r="B513" s="19" t="s">
        <v>490</v>
      </c>
      <c r="C513" s="20">
        <v>30</v>
      </c>
      <c r="D513" s="15">
        <v>5</v>
      </c>
      <c r="E513" s="15"/>
      <c r="F513" s="15"/>
      <c r="G513" s="15"/>
      <c r="H513" s="15">
        <f t="shared" si="77"/>
        <v>5</v>
      </c>
      <c r="I513" s="83">
        <f t="shared" si="78"/>
        <v>10</v>
      </c>
      <c r="K513" s="19">
        <v>11</v>
      </c>
      <c r="L513" s="10"/>
      <c r="M513" s="10"/>
    </row>
    <row r="514" spans="1:13" x14ac:dyDescent="0.25">
      <c r="A514" s="10">
        <f t="shared" si="76"/>
        <v>460</v>
      </c>
      <c r="B514" s="19" t="s">
        <v>402</v>
      </c>
      <c r="C514" s="20">
        <v>10</v>
      </c>
      <c r="D514" s="15">
        <v>2</v>
      </c>
      <c r="E514" s="15"/>
      <c r="F514" s="15"/>
      <c r="G514" s="15"/>
      <c r="H514" s="15">
        <f t="shared" si="77"/>
        <v>2</v>
      </c>
      <c r="I514" s="83">
        <f t="shared" si="78"/>
        <v>4</v>
      </c>
      <c r="K514" s="19">
        <v>4</v>
      </c>
      <c r="L514" s="10"/>
      <c r="M514" s="10"/>
    </row>
    <row r="515" spans="1:13" x14ac:dyDescent="0.25">
      <c r="A515" s="10">
        <f t="shared" si="76"/>
        <v>461</v>
      </c>
      <c r="B515" s="19" t="s">
        <v>403</v>
      </c>
      <c r="C515" s="20">
        <v>30</v>
      </c>
      <c r="D515" s="15">
        <v>5</v>
      </c>
      <c r="E515" s="15"/>
      <c r="F515" s="15">
        <v>6</v>
      </c>
      <c r="G515" s="15"/>
      <c r="H515" s="15">
        <f t="shared" si="77"/>
        <v>11</v>
      </c>
      <c r="I515" s="83">
        <f t="shared" si="78"/>
        <v>22</v>
      </c>
      <c r="K515" s="19">
        <v>24</v>
      </c>
      <c r="L515" s="10"/>
      <c r="M515" s="10"/>
    </row>
    <row r="516" spans="1:13" x14ac:dyDescent="0.25">
      <c r="A516" s="10">
        <f t="shared" si="76"/>
        <v>462</v>
      </c>
      <c r="B516" s="19" t="s">
        <v>491</v>
      </c>
      <c r="C516" s="20" t="s">
        <v>57</v>
      </c>
      <c r="D516" s="15">
        <v>4.5</v>
      </c>
      <c r="E516" s="15"/>
      <c r="F516" s="15"/>
      <c r="G516" s="15"/>
      <c r="H516" s="15">
        <f t="shared" si="77"/>
        <v>4.5</v>
      </c>
      <c r="I516" s="83">
        <f t="shared" si="78"/>
        <v>9</v>
      </c>
      <c r="K516" s="19">
        <v>40</v>
      </c>
      <c r="L516" s="10"/>
      <c r="M516" s="10"/>
    </row>
    <row r="517" spans="1:13" x14ac:dyDescent="0.25">
      <c r="A517" s="10">
        <f t="shared" si="76"/>
        <v>463</v>
      </c>
      <c r="B517" s="19" t="s">
        <v>407</v>
      </c>
      <c r="C517" s="20">
        <v>30</v>
      </c>
      <c r="D517" s="15">
        <v>10</v>
      </c>
      <c r="E517" s="15"/>
      <c r="F517" s="15"/>
      <c r="G517" s="15"/>
      <c r="H517" s="15">
        <f t="shared" si="77"/>
        <v>10</v>
      </c>
      <c r="I517" s="83">
        <f t="shared" si="78"/>
        <v>20</v>
      </c>
      <c r="K517" s="19">
        <v>35</v>
      </c>
      <c r="L517" s="10"/>
      <c r="M517" s="10"/>
    </row>
    <row r="518" spans="1:13" x14ac:dyDescent="0.25">
      <c r="A518" s="10">
        <f t="shared" si="76"/>
        <v>464</v>
      </c>
      <c r="B518" s="19" t="s">
        <v>873</v>
      </c>
      <c r="C518" s="20">
        <v>100</v>
      </c>
      <c r="D518" s="15">
        <v>2.5</v>
      </c>
      <c r="E518" s="15"/>
      <c r="F518" s="15"/>
      <c r="G518" s="15"/>
      <c r="H518" s="15">
        <f t="shared" si="77"/>
        <v>2.5</v>
      </c>
      <c r="I518" s="83">
        <f t="shared" si="78"/>
        <v>5</v>
      </c>
      <c r="K518" s="19">
        <v>5</v>
      </c>
      <c r="L518" s="10"/>
      <c r="M518" s="10"/>
    </row>
    <row r="519" spans="1:13" x14ac:dyDescent="0.25">
      <c r="A519" s="10">
        <f t="shared" si="76"/>
        <v>465</v>
      </c>
      <c r="B519" s="19" t="s">
        <v>492</v>
      </c>
      <c r="C519" s="20" t="s">
        <v>455</v>
      </c>
      <c r="D519" s="15">
        <v>4.5</v>
      </c>
      <c r="E519" s="15"/>
      <c r="F519" s="15"/>
      <c r="G519" s="15"/>
      <c r="H519" s="15">
        <f t="shared" si="77"/>
        <v>4.5</v>
      </c>
      <c r="I519" s="83">
        <f t="shared" si="78"/>
        <v>9</v>
      </c>
      <c r="K519" s="19">
        <v>10</v>
      </c>
      <c r="L519" s="10"/>
      <c r="M519" s="10"/>
    </row>
    <row r="520" spans="1:13" x14ac:dyDescent="0.25">
      <c r="A520" s="10">
        <f>A519+1</f>
        <v>466</v>
      </c>
      <c r="B520" s="19" t="s">
        <v>409</v>
      </c>
      <c r="C520" s="20">
        <v>10</v>
      </c>
      <c r="D520" s="15">
        <v>4</v>
      </c>
      <c r="E520" s="15"/>
      <c r="F520" s="15"/>
      <c r="G520" s="15"/>
      <c r="H520" s="15">
        <f t="shared" si="77"/>
        <v>4</v>
      </c>
      <c r="I520" s="83">
        <f t="shared" si="78"/>
        <v>8</v>
      </c>
      <c r="K520" s="19">
        <v>4</v>
      </c>
      <c r="L520" s="10"/>
      <c r="M520" s="10"/>
    </row>
    <row r="521" spans="1:13" x14ac:dyDescent="0.25">
      <c r="A521" s="10">
        <f>A520+1</f>
        <v>467</v>
      </c>
      <c r="B521" s="19" t="s">
        <v>493</v>
      </c>
      <c r="C521" s="20">
        <v>10</v>
      </c>
      <c r="D521" s="15">
        <v>2.5</v>
      </c>
      <c r="E521" s="15"/>
      <c r="F521" s="15"/>
      <c r="G521" s="15"/>
      <c r="H521" s="15">
        <f t="shared" si="77"/>
        <v>2.5</v>
      </c>
      <c r="I521" s="83">
        <f t="shared" si="78"/>
        <v>5</v>
      </c>
      <c r="K521" s="19">
        <v>5</v>
      </c>
      <c r="L521" s="10"/>
      <c r="M521" s="10"/>
    </row>
    <row r="522" spans="1:13" x14ac:dyDescent="0.25">
      <c r="A522" s="10">
        <f>A521+1</f>
        <v>468</v>
      </c>
      <c r="B522" s="19" t="s">
        <v>494</v>
      </c>
      <c r="C522" s="20" t="s">
        <v>57</v>
      </c>
      <c r="D522" s="15">
        <v>2.5</v>
      </c>
      <c r="E522" s="15"/>
      <c r="F522" s="15"/>
      <c r="G522" s="15"/>
      <c r="H522" s="15">
        <f t="shared" si="77"/>
        <v>2.5</v>
      </c>
      <c r="I522" s="83">
        <f t="shared" si="78"/>
        <v>5</v>
      </c>
      <c r="K522" s="19">
        <v>50</v>
      </c>
      <c r="L522" s="10"/>
      <c r="M522" s="10"/>
    </row>
    <row r="523" spans="1:13" x14ac:dyDescent="0.25">
      <c r="B523" s="19"/>
      <c r="C523" s="20"/>
      <c r="D523" s="15"/>
      <c r="E523" s="15"/>
      <c r="F523" s="15"/>
      <c r="G523" s="15"/>
      <c r="H523" s="15"/>
      <c r="I523" s="83"/>
      <c r="K523" s="19"/>
      <c r="L523" s="10"/>
      <c r="M523" s="10"/>
    </row>
    <row r="524" spans="1:13" x14ac:dyDescent="0.25">
      <c r="B524" s="19"/>
      <c r="C524" s="20"/>
      <c r="D524" s="15"/>
      <c r="E524" s="15"/>
      <c r="F524" s="15"/>
      <c r="G524" s="15"/>
      <c r="H524" s="15"/>
      <c r="I524" s="83"/>
      <c r="K524" s="19"/>
      <c r="L524" s="10"/>
      <c r="M524" s="10"/>
    </row>
    <row r="525" spans="1:13" ht="23.25" x14ac:dyDescent="0.25">
      <c r="A525" s="12" t="s">
        <v>495</v>
      </c>
      <c r="B525" s="22" t="s">
        <v>340</v>
      </c>
      <c r="C525" s="20"/>
      <c r="D525" s="15"/>
      <c r="E525" s="15"/>
      <c r="F525" s="15"/>
      <c r="G525" s="15"/>
      <c r="H525" s="15"/>
      <c r="I525" s="83"/>
      <c r="K525" s="19"/>
      <c r="L525" s="10"/>
      <c r="M525" s="10"/>
    </row>
    <row r="526" spans="1:13" ht="21" x14ac:dyDescent="0.25">
      <c r="B526" s="17" t="s">
        <v>341</v>
      </c>
      <c r="C526" s="11"/>
      <c r="D526" s="14"/>
      <c r="E526" s="14"/>
      <c r="F526" s="14"/>
      <c r="G526" s="15"/>
      <c r="H526" s="15"/>
      <c r="I526" s="83"/>
      <c r="K526" s="19"/>
      <c r="L526" s="10"/>
      <c r="M526" s="10"/>
    </row>
    <row r="527" spans="1:13" x14ac:dyDescent="0.25">
      <c r="A527" s="10">
        <f>A522+1</f>
        <v>469</v>
      </c>
      <c r="B527" s="16" t="s">
        <v>342</v>
      </c>
      <c r="C527" s="11">
        <v>100</v>
      </c>
      <c r="D527" s="14">
        <v>118</v>
      </c>
      <c r="E527" s="14">
        <v>2</v>
      </c>
      <c r="F527" s="14">
        <v>4</v>
      </c>
      <c r="G527" s="15"/>
      <c r="H527" s="15">
        <f t="shared" ref="H527:H575" si="79">SUM(D527:G527)</f>
        <v>124</v>
      </c>
      <c r="I527" s="83">
        <f t="shared" ref="I527:I575" si="80">H527*2</f>
        <v>248</v>
      </c>
      <c r="K527" s="19">
        <v>500</v>
      </c>
      <c r="L527" s="10"/>
      <c r="M527" s="10"/>
    </row>
    <row r="528" spans="1:13" x14ac:dyDescent="0.25">
      <c r="A528" s="10">
        <f>1+A527</f>
        <v>470</v>
      </c>
      <c r="B528" s="16" t="s">
        <v>343</v>
      </c>
      <c r="C528" s="11">
        <v>80</v>
      </c>
      <c r="D528" s="14">
        <v>16</v>
      </c>
      <c r="E528" s="14"/>
      <c r="F528" s="14">
        <v>1</v>
      </c>
      <c r="G528" s="15"/>
      <c r="H528" s="15">
        <f t="shared" si="79"/>
        <v>17</v>
      </c>
      <c r="I528" s="83">
        <f t="shared" si="80"/>
        <v>34</v>
      </c>
      <c r="K528" s="19">
        <v>100</v>
      </c>
      <c r="L528" s="10"/>
      <c r="M528" s="10"/>
    </row>
    <row r="529" spans="1:13" x14ac:dyDescent="0.25">
      <c r="A529" s="10">
        <f t="shared" ref="A529:A592" si="81">A528+1</f>
        <v>471</v>
      </c>
      <c r="B529" s="16" t="s">
        <v>344</v>
      </c>
      <c r="C529" s="11">
        <v>100</v>
      </c>
      <c r="D529" s="14">
        <v>40</v>
      </c>
      <c r="E529" s="14"/>
      <c r="F529" s="14"/>
      <c r="G529" s="15"/>
      <c r="H529" s="15">
        <f t="shared" si="79"/>
        <v>40</v>
      </c>
      <c r="I529" s="83">
        <f t="shared" si="80"/>
        <v>80</v>
      </c>
      <c r="K529" s="19">
        <v>113</v>
      </c>
      <c r="L529" s="10"/>
      <c r="M529" s="10"/>
    </row>
    <row r="530" spans="1:13" x14ac:dyDescent="0.25">
      <c r="A530" s="10">
        <f t="shared" si="81"/>
        <v>472</v>
      </c>
      <c r="B530" s="16" t="s">
        <v>345</v>
      </c>
      <c r="C530" s="11">
        <v>100</v>
      </c>
      <c r="D530" s="14">
        <v>33</v>
      </c>
      <c r="E530" s="14"/>
      <c r="F530" s="14"/>
      <c r="G530" s="15"/>
      <c r="H530" s="15">
        <f t="shared" si="79"/>
        <v>33</v>
      </c>
      <c r="I530" s="83">
        <f t="shared" si="80"/>
        <v>66</v>
      </c>
      <c r="K530" s="19">
        <v>73</v>
      </c>
      <c r="L530" s="10"/>
      <c r="M530" s="10"/>
    </row>
    <row r="531" spans="1:13" x14ac:dyDescent="0.25">
      <c r="A531" s="10">
        <f t="shared" si="81"/>
        <v>473</v>
      </c>
      <c r="B531" s="16" t="s">
        <v>346</v>
      </c>
      <c r="C531" s="11">
        <v>100</v>
      </c>
      <c r="D531" s="14">
        <v>163</v>
      </c>
      <c r="E531" s="14">
        <v>6</v>
      </c>
      <c r="F531" s="14">
        <v>6</v>
      </c>
      <c r="G531" s="15"/>
      <c r="H531" s="15">
        <f t="shared" si="79"/>
        <v>175</v>
      </c>
      <c r="I531" s="83">
        <f t="shared" si="80"/>
        <v>350</v>
      </c>
      <c r="K531" s="19">
        <v>450</v>
      </c>
      <c r="L531" s="10"/>
      <c r="M531" s="10"/>
    </row>
    <row r="532" spans="1:13" x14ac:dyDescent="0.25">
      <c r="A532" s="10">
        <f t="shared" si="81"/>
        <v>474</v>
      </c>
      <c r="B532" s="16" t="s">
        <v>347</v>
      </c>
      <c r="C532" s="11">
        <v>100</v>
      </c>
      <c r="D532" s="14">
        <v>350</v>
      </c>
      <c r="E532" s="14">
        <v>30</v>
      </c>
      <c r="F532" s="14">
        <v>6</v>
      </c>
      <c r="G532" s="15"/>
      <c r="H532" s="15">
        <f t="shared" si="79"/>
        <v>386</v>
      </c>
      <c r="I532" s="83">
        <f t="shared" si="80"/>
        <v>772</v>
      </c>
      <c r="K532" s="19">
        <v>880</v>
      </c>
      <c r="L532" s="10"/>
      <c r="M532" s="10"/>
    </row>
    <row r="533" spans="1:13" x14ac:dyDescent="0.25">
      <c r="A533" s="10">
        <f t="shared" si="81"/>
        <v>475</v>
      </c>
      <c r="B533" s="16" t="s">
        <v>348</v>
      </c>
      <c r="C533" s="11">
        <v>400</v>
      </c>
      <c r="D533" s="14">
        <v>2</v>
      </c>
      <c r="E533" s="14"/>
      <c r="F533" s="14">
        <v>1</v>
      </c>
      <c r="G533" s="15"/>
      <c r="H533" s="15">
        <f t="shared" si="79"/>
        <v>3</v>
      </c>
      <c r="I533" s="83">
        <f t="shared" si="80"/>
        <v>6</v>
      </c>
      <c r="K533" s="19">
        <v>8</v>
      </c>
      <c r="L533" s="10"/>
      <c r="M533" s="10"/>
    </row>
    <row r="534" spans="1:13" x14ac:dyDescent="0.25">
      <c r="A534" s="10">
        <f t="shared" si="81"/>
        <v>476</v>
      </c>
      <c r="B534" s="16" t="s">
        <v>523</v>
      </c>
      <c r="C534" s="11">
        <v>50</v>
      </c>
      <c r="D534" s="14">
        <v>5</v>
      </c>
      <c r="E534" s="14"/>
      <c r="F534" s="14" t="s">
        <v>524</v>
      </c>
      <c r="G534" s="15"/>
      <c r="H534" s="15">
        <f t="shared" si="79"/>
        <v>5</v>
      </c>
      <c r="I534" s="83">
        <f t="shared" si="80"/>
        <v>10</v>
      </c>
      <c r="K534" s="19">
        <v>16</v>
      </c>
      <c r="L534" s="10"/>
      <c r="M534" s="10"/>
    </row>
    <row r="535" spans="1:13" x14ac:dyDescent="0.25">
      <c r="A535" s="10">
        <f t="shared" si="81"/>
        <v>477</v>
      </c>
      <c r="B535" s="16" t="s">
        <v>525</v>
      </c>
      <c r="C535" s="11">
        <v>50</v>
      </c>
      <c r="D535" s="14">
        <v>55</v>
      </c>
      <c r="E535" s="14">
        <v>1</v>
      </c>
      <c r="F535" s="14">
        <v>4</v>
      </c>
      <c r="G535" s="15"/>
      <c r="H535" s="15">
        <f t="shared" si="79"/>
        <v>60</v>
      </c>
      <c r="I535" s="83">
        <f t="shared" si="80"/>
        <v>120</v>
      </c>
      <c r="K535" s="19">
        <v>120</v>
      </c>
      <c r="L535" s="10"/>
      <c r="M535" s="10"/>
    </row>
    <row r="536" spans="1:13" x14ac:dyDescent="0.25">
      <c r="A536" s="10">
        <f t="shared" si="81"/>
        <v>478</v>
      </c>
      <c r="B536" s="16" t="s">
        <v>526</v>
      </c>
      <c r="C536" s="11">
        <v>50</v>
      </c>
      <c r="D536" s="14">
        <v>105</v>
      </c>
      <c r="E536" s="14">
        <v>6</v>
      </c>
      <c r="F536" s="14">
        <v>4</v>
      </c>
      <c r="G536" s="15"/>
      <c r="H536" s="15">
        <f t="shared" si="79"/>
        <v>115</v>
      </c>
      <c r="I536" s="83">
        <f t="shared" si="80"/>
        <v>230</v>
      </c>
      <c r="K536" s="19">
        <v>300</v>
      </c>
      <c r="L536" s="10"/>
      <c r="M536" s="10"/>
    </row>
    <row r="537" spans="1:13" x14ac:dyDescent="0.25">
      <c r="A537" s="10">
        <f t="shared" si="81"/>
        <v>479</v>
      </c>
      <c r="B537" s="16" t="s">
        <v>527</v>
      </c>
      <c r="C537" s="11">
        <v>50</v>
      </c>
      <c r="D537" s="14">
        <v>55</v>
      </c>
      <c r="E537" s="14">
        <v>2</v>
      </c>
      <c r="F537" s="14">
        <v>2</v>
      </c>
      <c r="G537" s="15"/>
      <c r="H537" s="15">
        <f t="shared" si="79"/>
        <v>59</v>
      </c>
      <c r="I537" s="83">
        <f t="shared" si="80"/>
        <v>118</v>
      </c>
      <c r="K537" s="19">
        <v>150</v>
      </c>
      <c r="L537" s="10"/>
      <c r="M537" s="10"/>
    </row>
    <row r="538" spans="1:13" x14ac:dyDescent="0.25">
      <c r="A538" s="10">
        <f t="shared" si="81"/>
        <v>480</v>
      </c>
      <c r="B538" s="16" t="s">
        <v>528</v>
      </c>
      <c r="C538" s="11">
        <v>50</v>
      </c>
      <c r="D538" s="14">
        <v>70</v>
      </c>
      <c r="E538" s="14">
        <v>2</v>
      </c>
      <c r="F538" s="14">
        <v>2</v>
      </c>
      <c r="G538" s="15"/>
      <c r="H538" s="15">
        <f t="shared" si="79"/>
        <v>74</v>
      </c>
      <c r="I538" s="83">
        <f t="shared" si="80"/>
        <v>148</v>
      </c>
      <c r="K538" s="19">
        <v>150</v>
      </c>
      <c r="L538" s="10"/>
      <c r="M538" s="10"/>
    </row>
    <row r="539" spans="1:13" x14ac:dyDescent="0.25">
      <c r="A539" s="10">
        <f t="shared" si="81"/>
        <v>481</v>
      </c>
      <c r="B539" s="16" t="s">
        <v>349</v>
      </c>
      <c r="C539" s="11">
        <v>12</v>
      </c>
      <c r="D539" s="14">
        <v>70</v>
      </c>
      <c r="E539" s="14">
        <v>6</v>
      </c>
      <c r="F539" s="14"/>
      <c r="G539" s="15"/>
      <c r="H539" s="15">
        <f t="shared" si="79"/>
        <v>76</v>
      </c>
      <c r="I539" s="83">
        <f t="shared" si="80"/>
        <v>152</v>
      </c>
      <c r="K539" s="19">
        <v>200</v>
      </c>
      <c r="L539" s="10"/>
      <c r="M539" s="10"/>
    </row>
    <row r="540" spans="1:13" x14ac:dyDescent="0.25">
      <c r="A540" s="10">
        <f t="shared" si="81"/>
        <v>482</v>
      </c>
      <c r="B540" s="16" t="s">
        <v>350</v>
      </c>
      <c r="C540" s="11">
        <v>30</v>
      </c>
      <c r="D540" s="14">
        <v>2</v>
      </c>
      <c r="E540" s="14"/>
      <c r="F540" s="14"/>
      <c r="G540" s="15"/>
      <c r="H540" s="15">
        <f t="shared" si="79"/>
        <v>2</v>
      </c>
      <c r="I540" s="83">
        <f t="shared" si="80"/>
        <v>4</v>
      </c>
      <c r="K540" s="19">
        <v>50</v>
      </c>
      <c r="L540" s="10"/>
      <c r="M540" s="10"/>
    </row>
    <row r="541" spans="1:13" x14ac:dyDescent="0.25">
      <c r="A541" s="10">
        <f t="shared" si="81"/>
        <v>483</v>
      </c>
      <c r="B541" s="16" t="s">
        <v>351</v>
      </c>
      <c r="C541" s="11" t="s">
        <v>333</v>
      </c>
      <c r="D541" s="14">
        <v>600</v>
      </c>
      <c r="E541" s="14"/>
      <c r="F541" s="14"/>
      <c r="G541" s="15"/>
      <c r="H541" s="15">
        <f t="shared" si="79"/>
        <v>600</v>
      </c>
      <c r="I541" s="83">
        <f t="shared" si="80"/>
        <v>1200</v>
      </c>
      <c r="K541" s="19">
        <v>200</v>
      </c>
      <c r="L541" s="10"/>
      <c r="M541" s="10"/>
    </row>
    <row r="542" spans="1:13" x14ac:dyDescent="0.25">
      <c r="A542" s="10">
        <f t="shared" si="81"/>
        <v>484</v>
      </c>
      <c r="B542" s="16" t="s">
        <v>529</v>
      </c>
      <c r="C542" s="11">
        <v>100</v>
      </c>
      <c r="D542" s="14">
        <v>8</v>
      </c>
      <c r="E542" s="14">
        <v>1</v>
      </c>
      <c r="F542" s="14"/>
      <c r="G542" s="15"/>
      <c r="H542" s="15">
        <f t="shared" si="79"/>
        <v>9</v>
      </c>
      <c r="I542" s="83">
        <f t="shared" si="80"/>
        <v>18</v>
      </c>
      <c r="K542" s="19">
        <v>20</v>
      </c>
      <c r="L542" s="10"/>
      <c r="M542" s="10"/>
    </row>
    <row r="543" spans="1:13" x14ac:dyDescent="0.25">
      <c r="A543" s="10">
        <f t="shared" si="81"/>
        <v>485</v>
      </c>
      <c r="B543" s="16" t="s">
        <v>352</v>
      </c>
      <c r="C543" s="11">
        <v>12</v>
      </c>
      <c r="D543" s="14">
        <v>18</v>
      </c>
      <c r="E543" s="14"/>
      <c r="F543" s="14"/>
      <c r="G543" s="15"/>
      <c r="H543" s="15">
        <f t="shared" si="79"/>
        <v>18</v>
      </c>
      <c r="I543" s="83">
        <f t="shared" si="80"/>
        <v>36</v>
      </c>
      <c r="K543" s="19">
        <v>52</v>
      </c>
      <c r="L543" s="10"/>
      <c r="M543" s="10"/>
    </row>
    <row r="544" spans="1:13" x14ac:dyDescent="0.25">
      <c r="A544" s="10">
        <f t="shared" si="81"/>
        <v>486</v>
      </c>
      <c r="B544" s="16" t="s">
        <v>734</v>
      </c>
      <c r="C544" s="11" t="s">
        <v>353</v>
      </c>
      <c r="D544" s="14">
        <v>30</v>
      </c>
      <c r="E544" s="14"/>
      <c r="F544" s="14"/>
      <c r="G544" s="15"/>
      <c r="H544" s="15">
        <f t="shared" si="79"/>
        <v>30</v>
      </c>
      <c r="I544" s="83">
        <f t="shared" si="80"/>
        <v>60</v>
      </c>
      <c r="K544" s="19">
        <v>65</v>
      </c>
      <c r="L544" s="10"/>
      <c r="M544" s="10"/>
    </row>
    <row r="545" spans="1:13" x14ac:dyDescent="0.25">
      <c r="A545" s="10">
        <f t="shared" si="81"/>
        <v>487</v>
      </c>
      <c r="B545" s="16" t="s">
        <v>354</v>
      </c>
      <c r="C545" s="11">
        <v>100</v>
      </c>
      <c r="D545" s="14">
        <v>50</v>
      </c>
      <c r="E545" s="14">
        <v>2</v>
      </c>
      <c r="F545" s="14">
        <v>1</v>
      </c>
      <c r="G545" s="15"/>
      <c r="H545" s="15">
        <f t="shared" si="79"/>
        <v>53</v>
      </c>
      <c r="I545" s="83">
        <f t="shared" si="80"/>
        <v>106</v>
      </c>
      <c r="K545" s="19">
        <v>115</v>
      </c>
      <c r="L545" s="10"/>
      <c r="M545" s="10"/>
    </row>
    <row r="546" spans="1:13" x14ac:dyDescent="0.25">
      <c r="A546" s="10">
        <f t="shared" si="81"/>
        <v>488</v>
      </c>
      <c r="B546" s="16" t="s">
        <v>355</v>
      </c>
      <c r="C546" s="11">
        <v>12</v>
      </c>
      <c r="D546" s="14">
        <v>20</v>
      </c>
      <c r="E546" s="14"/>
      <c r="F546" s="14"/>
      <c r="G546" s="15"/>
      <c r="H546" s="15">
        <f t="shared" si="79"/>
        <v>20</v>
      </c>
      <c r="I546" s="83">
        <f t="shared" si="80"/>
        <v>40</v>
      </c>
      <c r="K546" s="19">
        <v>40</v>
      </c>
      <c r="L546" s="10"/>
      <c r="M546" s="10"/>
    </row>
    <row r="547" spans="1:13" x14ac:dyDescent="0.25">
      <c r="A547" s="10">
        <f t="shared" si="81"/>
        <v>489</v>
      </c>
      <c r="B547" s="16" t="s">
        <v>356</v>
      </c>
      <c r="C547" s="11">
        <v>12</v>
      </c>
      <c r="D547" s="14">
        <v>80</v>
      </c>
      <c r="E547" s="14"/>
      <c r="F547" s="14">
        <v>6</v>
      </c>
      <c r="G547" s="15"/>
      <c r="H547" s="15">
        <f t="shared" si="79"/>
        <v>86</v>
      </c>
      <c r="I547" s="83">
        <f t="shared" si="80"/>
        <v>172</v>
      </c>
      <c r="K547" s="19">
        <v>250</v>
      </c>
      <c r="L547" s="10"/>
      <c r="M547" s="10"/>
    </row>
    <row r="548" spans="1:13" x14ac:dyDescent="0.25">
      <c r="A548" s="10">
        <f t="shared" si="81"/>
        <v>490</v>
      </c>
      <c r="B548" s="16" t="s">
        <v>357</v>
      </c>
      <c r="C548" s="11">
        <v>50</v>
      </c>
      <c r="D548" s="14">
        <v>11</v>
      </c>
      <c r="E548" s="14"/>
      <c r="F548" s="14"/>
      <c r="G548" s="15"/>
      <c r="H548" s="15">
        <f t="shared" si="79"/>
        <v>11</v>
      </c>
      <c r="I548" s="83">
        <f t="shared" si="80"/>
        <v>22</v>
      </c>
      <c r="K548" s="19">
        <v>10</v>
      </c>
      <c r="L548" s="10"/>
      <c r="M548" s="10"/>
    </row>
    <row r="549" spans="1:13" x14ac:dyDescent="0.25">
      <c r="A549" s="10">
        <f t="shared" si="81"/>
        <v>491</v>
      </c>
      <c r="B549" s="16" t="s">
        <v>530</v>
      </c>
      <c r="C549" s="11">
        <v>10</v>
      </c>
      <c r="D549" s="14">
        <v>10</v>
      </c>
      <c r="E549" s="14"/>
      <c r="F549" s="14"/>
      <c r="G549" s="15"/>
      <c r="H549" s="15">
        <f t="shared" si="79"/>
        <v>10</v>
      </c>
      <c r="I549" s="83">
        <f t="shared" si="80"/>
        <v>20</v>
      </c>
      <c r="K549" s="19">
        <v>7</v>
      </c>
      <c r="L549" s="10"/>
      <c r="M549" s="10"/>
    </row>
    <row r="550" spans="1:13" x14ac:dyDescent="0.25">
      <c r="A550" s="10">
        <f t="shared" si="81"/>
        <v>492</v>
      </c>
      <c r="B550" s="16" t="s">
        <v>531</v>
      </c>
      <c r="C550" s="11">
        <v>10</v>
      </c>
      <c r="D550" s="14">
        <v>5</v>
      </c>
      <c r="E550" s="14"/>
      <c r="F550" s="14"/>
      <c r="G550" s="15"/>
      <c r="H550" s="15">
        <f t="shared" si="79"/>
        <v>5</v>
      </c>
      <c r="I550" s="83">
        <f t="shared" si="80"/>
        <v>10</v>
      </c>
      <c r="K550" s="19">
        <v>3</v>
      </c>
      <c r="L550" s="10"/>
      <c r="M550" s="10"/>
    </row>
    <row r="551" spans="1:13" x14ac:dyDescent="0.25">
      <c r="A551" s="10">
        <f t="shared" si="81"/>
        <v>493</v>
      </c>
      <c r="B551" s="16" t="s">
        <v>532</v>
      </c>
      <c r="C551" s="11">
        <v>10</v>
      </c>
      <c r="D551" s="14"/>
      <c r="E551" s="14">
        <v>3</v>
      </c>
      <c r="F551" s="14"/>
      <c r="G551" s="15"/>
      <c r="H551" s="15">
        <f t="shared" si="79"/>
        <v>3</v>
      </c>
      <c r="I551" s="83">
        <f t="shared" si="80"/>
        <v>6</v>
      </c>
      <c r="K551" s="19">
        <v>7</v>
      </c>
      <c r="L551" s="10"/>
      <c r="M551" s="10"/>
    </row>
    <row r="552" spans="1:13" x14ac:dyDescent="0.25">
      <c r="A552" s="10">
        <f t="shared" si="81"/>
        <v>494</v>
      </c>
      <c r="B552" s="16" t="s">
        <v>533</v>
      </c>
      <c r="C552" s="11">
        <v>10</v>
      </c>
      <c r="D552" s="14">
        <v>80</v>
      </c>
      <c r="E552" s="14">
        <v>3</v>
      </c>
      <c r="F552" s="14">
        <v>6</v>
      </c>
      <c r="G552" s="15"/>
      <c r="H552" s="15">
        <f t="shared" si="79"/>
        <v>89</v>
      </c>
      <c r="I552" s="83">
        <f t="shared" si="80"/>
        <v>178</v>
      </c>
      <c r="K552" s="19">
        <v>294</v>
      </c>
      <c r="L552" s="10"/>
      <c r="M552" s="10"/>
    </row>
    <row r="553" spans="1:13" x14ac:dyDescent="0.25">
      <c r="A553" s="10">
        <f t="shared" si="81"/>
        <v>495</v>
      </c>
      <c r="B553" s="16" t="s">
        <v>534</v>
      </c>
      <c r="C553" s="11">
        <v>10</v>
      </c>
      <c r="D553" s="14">
        <v>48</v>
      </c>
      <c r="E553" s="14">
        <v>3</v>
      </c>
      <c r="F553" s="14">
        <v>6</v>
      </c>
      <c r="G553" s="15"/>
      <c r="H553" s="15">
        <f t="shared" si="79"/>
        <v>57</v>
      </c>
      <c r="I553" s="83">
        <f t="shared" si="80"/>
        <v>114</v>
      </c>
      <c r="K553" s="19">
        <v>134</v>
      </c>
      <c r="L553" s="10"/>
      <c r="M553" s="10"/>
    </row>
    <row r="554" spans="1:13" x14ac:dyDescent="0.25">
      <c r="A554" s="10">
        <f t="shared" si="81"/>
        <v>496</v>
      </c>
      <c r="B554" s="16" t="s">
        <v>535</v>
      </c>
      <c r="C554" s="11">
        <v>10</v>
      </c>
      <c r="D554" s="14">
        <v>5</v>
      </c>
      <c r="E554" s="14"/>
      <c r="F554" s="14"/>
      <c r="G554" s="15"/>
      <c r="H554" s="15">
        <f t="shared" si="79"/>
        <v>5</v>
      </c>
      <c r="I554" s="83">
        <f t="shared" si="80"/>
        <v>10</v>
      </c>
      <c r="K554" s="19">
        <v>20</v>
      </c>
      <c r="L554" s="10"/>
      <c r="M554" s="10"/>
    </row>
    <row r="555" spans="1:13" x14ac:dyDescent="0.25">
      <c r="A555" s="10">
        <f t="shared" si="81"/>
        <v>497</v>
      </c>
      <c r="B555" s="16" t="s">
        <v>536</v>
      </c>
      <c r="C555" s="11">
        <v>10</v>
      </c>
      <c r="D555" s="14">
        <v>6</v>
      </c>
      <c r="E555" s="14"/>
      <c r="F555" s="14"/>
      <c r="G555" s="15"/>
      <c r="H555" s="15">
        <f t="shared" si="79"/>
        <v>6</v>
      </c>
      <c r="I555" s="83">
        <f t="shared" si="80"/>
        <v>12</v>
      </c>
      <c r="K555" s="19">
        <v>49</v>
      </c>
      <c r="L555" s="10"/>
      <c r="M555" s="10"/>
    </row>
    <row r="556" spans="1:13" x14ac:dyDescent="0.25">
      <c r="A556" s="10">
        <f t="shared" si="81"/>
        <v>498</v>
      </c>
      <c r="B556" s="16" t="s">
        <v>537</v>
      </c>
      <c r="C556" s="11">
        <v>10</v>
      </c>
      <c r="D556" s="14">
        <v>6</v>
      </c>
      <c r="E556" s="14"/>
      <c r="F556" s="14"/>
      <c r="G556" s="15"/>
      <c r="H556" s="15">
        <f t="shared" si="79"/>
        <v>6</v>
      </c>
      <c r="I556" s="83">
        <f t="shared" si="80"/>
        <v>12</v>
      </c>
      <c r="K556" s="19">
        <v>10</v>
      </c>
      <c r="L556" s="10"/>
      <c r="M556" s="10"/>
    </row>
    <row r="557" spans="1:13" x14ac:dyDescent="0.25">
      <c r="A557" s="10">
        <f t="shared" si="81"/>
        <v>499</v>
      </c>
      <c r="B557" s="16" t="s">
        <v>538</v>
      </c>
      <c r="C557" s="11">
        <v>10</v>
      </c>
      <c r="D557" s="14">
        <v>8</v>
      </c>
      <c r="E557" s="14"/>
      <c r="F557" s="14"/>
      <c r="G557" s="15"/>
      <c r="H557" s="15">
        <f t="shared" si="79"/>
        <v>8</v>
      </c>
      <c r="I557" s="83">
        <f t="shared" si="80"/>
        <v>16</v>
      </c>
      <c r="K557" s="19">
        <v>2</v>
      </c>
      <c r="L557" s="10"/>
      <c r="M557" s="10"/>
    </row>
    <row r="558" spans="1:13" x14ac:dyDescent="0.25">
      <c r="A558" s="10">
        <f t="shared" si="81"/>
        <v>500</v>
      </c>
      <c r="B558" s="16" t="s">
        <v>539</v>
      </c>
      <c r="C558" s="11">
        <v>10</v>
      </c>
      <c r="D558" s="14"/>
      <c r="E558" s="14"/>
      <c r="F558" s="14">
        <v>1</v>
      </c>
      <c r="G558" s="15"/>
      <c r="H558" s="15">
        <f t="shared" si="79"/>
        <v>1</v>
      </c>
      <c r="I558" s="83">
        <f t="shared" si="80"/>
        <v>2</v>
      </c>
      <c r="K558" s="19">
        <v>2</v>
      </c>
      <c r="L558" s="10"/>
      <c r="M558" s="10"/>
    </row>
    <row r="559" spans="1:13" x14ac:dyDescent="0.25">
      <c r="A559" s="10">
        <f t="shared" si="81"/>
        <v>501</v>
      </c>
      <c r="B559" s="16" t="s">
        <v>735</v>
      </c>
      <c r="C559" s="11">
        <v>500</v>
      </c>
      <c r="D559" s="14">
        <v>7</v>
      </c>
      <c r="E559" s="14">
        <v>2</v>
      </c>
      <c r="F559" s="14">
        <v>2</v>
      </c>
      <c r="G559" s="15"/>
      <c r="H559" s="15">
        <f t="shared" si="79"/>
        <v>11</v>
      </c>
      <c r="I559" s="83">
        <f t="shared" si="80"/>
        <v>22</v>
      </c>
      <c r="K559" s="19">
        <v>20</v>
      </c>
      <c r="L559" s="10"/>
      <c r="M559" s="10"/>
    </row>
    <row r="560" spans="1:13" x14ac:dyDescent="0.25">
      <c r="A560" s="10">
        <f t="shared" si="81"/>
        <v>502</v>
      </c>
      <c r="B560" s="16" t="s">
        <v>496</v>
      </c>
      <c r="C560" s="11">
        <v>100</v>
      </c>
      <c r="D560" s="14">
        <v>10</v>
      </c>
      <c r="E560" s="14"/>
      <c r="F560" s="14">
        <v>1</v>
      </c>
      <c r="G560" s="15"/>
      <c r="H560" s="15">
        <f t="shared" si="79"/>
        <v>11</v>
      </c>
      <c r="I560" s="83">
        <f t="shared" si="80"/>
        <v>22</v>
      </c>
      <c r="K560" s="19">
        <v>26</v>
      </c>
      <c r="L560" s="10"/>
      <c r="M560" s="10"/>
    </row>
    <row r="561" spans="1:13" x14ac:dyDescent="0.25">
      <c r="A561" s="10">
        <f t="shared" si="81"/>
        <v>503</v>
      </c>
      <c r="B561" s="16" t="s">
        <v>761</v>
      </c>
      <c r="C561" s="11" t="s">
        <v>358</v>
      </c>
      <c r="D561" s="14">
        <v>300</v>
      </c>
      <c r="E561" s="14">
        <v>30</v>
      </c>
      <c r="F561" s="14">
        <v>10</v>
      </c>
      <c r="G561" s="15"/>
      <c r="H561" s="15">
        <f t="shared" si="79"/>
        <v>340</v>
      </c>
      <c r="I561" s="83">
        <f t="shared" si="80"/>
        <v>680</v>
      </c>
      <c r="K561" s="19">
        <v>2000</v>
      </c>
      <c r="L561" s="10"/>
      <c r="M561" s="10"/>
    </row>
    <row r="562" spans="1:13" x14ac:dyDescent="0.25">
      <c r="A562" s="10">
        <f t="shared" si="81"/>
        <v>504</v>
      </c>
      <c r="B562" s="16" t="s">
        <v>907</v>
      </c>
      <c r="C562" s="11" t="s">
        <v>333</v>
      </c>
      <c r="D562" s="14">
        <v>6</v>
      </c>
      <c r="E562" s="14"/>
      <c r="F562" s="14"/>
      <c r="G562" s="15"/>
      <c r="H562" s="15">
        <f t="shared" si="79"/>
        <v>6</v>
      </c>
      <c r="I562" s="83">
        <f t="shared" si="80"/>
        <v>12</v>
      </c>
      <c r="K562" s="19">
        <v>1584</v>
      </c>
      <c r="L562" s="10"/>
      <c r="M562" s="10"/>
    </row>
    <row r="563" spans="1:13" x14ac:dyDescent="0.25">
      <c r="A563" s="10">
        <f t="shared" si="81"/>
        <v>505</v>
      </c>
      <c r="B563" s="16" t="s">
        <v>359</v>
      </c>
      <c r="C563" s="11">
        <v>25</v>
      </c>
      <c r="D563" s="14">
        <v>23</v>
      </c>
      <c r="E563" s="14">
        <v>1</v>
      </c>
      <c r="F563" s="14"/>
      <c r="G563" s="15"/>
      <c r="H563" s="15">
        <f t="shared" si="79"/>
        <v>24</v>
      </c>
      <c r="I563" s="83">
        <f t="shared" si="80"/>
        <v>48</v>
      </c>
      <c r="K563" s="19">
        <v>40</v>
      </c>
      <c r="L563" s="10"/>
      <c r="M563" s="10"/>
    </row>
    <row r="564" spans="1:13" x14ac:dyDescent="0.25">
      <c r="A564" s="10">
        <f t="shared" si="81"/>
        <v>506</v>
      </c>
      <c r="B564" s="16" t="s">
        <v>540</v>
      </c>
      <c r="C564" s="11">
        <v>10</v>
      </c>
      <c r="D564" s="14">
        <v>6</v>
      </c>
      <c r="E564" s="14"/>
      <c r="F564" s="14"/>
      <c r="G564" s="15"/>
      <c r="H564" s="15">
        <f t="shared" si="79"/>
        <v>6</v>
      </c>
      <c r="I564" s="83">
        <f t="shared" si="80"/>
        <v>12</v>
      </c>
      <c r="K564" s="19">
        <v>13</v>
      </c>
      <c r="L564" s="10"/>
      <c r="M564" s="10"/>
    </row>
    <row r="565" spans="1:13" x14ac:dyDescent="0.25">
      <c r="A565" s="10">
        <f t="shared" si="81"/>
        <v>507</v>
      </c>
      <c r="B565" s="16" t="s">
        <v>541</v>
      </c>
      <c r="C565" s="11">
        <v>10</v>
      </c>
      <c r="D565" s="14">
        <v>6</v>
      </c>
      <c r="E565" s="14"/>
      <c r="F565" s="14"/>
      <c r="G565" s="15"/>
      <c r="H565" s="15">
        <f t="shared" si="79"/>
        <v>6</v>
      </c>
      <c r="I565" s="83">
        <f t="shared" si="80"/>
        <v>12</v>
      </c>
      <c r="K565" s="19">
        <v>4</v>
      </c>
      <c r="L565" s="10"/>
      <c r="M565" s="10"/>
    </row>
    <row r="566" spans="1:13" x14ac:dyDescent="0.25">
      <c r="A566" s="10">
        <f t="shared" si="81"/>
        <v>508</v>
      </c>
      <c r="B566" s="16" t="s">
        <v>542</v>
      </c>
      <c r="C566" s="11">
        <v>10</v>
      </c>
      <c r="D566" s="14">
        <v>7</v>
      </c>
      <c r="E566" s="14"/>
      <c r="F566" s="14"/>
      <c r="G566" s="15"/>
      <c r="H566" s="15">
        <f t="shared" si="79"/>
        <v>7</v>
      </c>
      <c r="I566" s="83">
        <f t="shared" si="80"/>
        <v>14</v>
      </c>
      <c r="K566" s="19">
        <v>4</v>
      </c>
      <c r="L566" s="10"/>
      <c r="M566" s="10"/>
    </row>
    <row r="567" spans="1:13" x14ac:dyDescent="0.25">
      <c r="A567" s="10">
        <f t="shared" si="81"/>
        <v>509</v>
      </c>
      <c r="B567" s="16" t="s">
        <v>543</v>
      </c>
      <c r="C567" s="11">
        <v>10</v>
      </c>
      <c r="D567" s="14">
        <v>20</v>
      </c>
      <c r="E567" s="14"/>
      <c r="F567" s="14">
        <v>3</v>
      </c>
      <c r="G567" s="15"/>
      <c r="H567" s="15">
        <f t="shared" si="79"/>
        <v>23</v>
      </c>
      <c r="I567" s="83">
        <f t="shared" si="80"/>
        <v>46</v>
      </c>
      <c r="K567" s="19">
        <v>40</v>
      </c>
      <c r="L567" s="10"/>
      <c r="M567" s="10"/>
    </row>
    <row r="568" spans="1:13" x14ac:dyDescent="0.25">
      <c r="A568" s="10">
        <f t="shared" si="81"/>
        <v>510</v>
      </c>
      <c r="B568" s="16" t="s">
        <v>544</v>
      </c>
      <c r="C568" s="11">
        <v>10</v>
      </c>
      <c r="D568" s="14">
        <v>18</v>
      </c>
      <c r="E568" s="14"/>
      <c r="F568" s="14">
        <v>3</v>
      </c>
      <c r="G568" s="15"/>
      <c r="H568" s="15">
        <f t="shared" si="79"/>
        <v>21</v>
      </c>
      <c r="I568" s="83">
        <f t="shared" si="80"/>
        <v>42</v>
      </c>
      <c r="K568" s="19">
        <v>42</v>
      </c>
      <c r="L568" s="10"/>
      <c r="M568" s="10"/>
    </row>
    <row r="569" spans="1:13" x14ac:dyDescent="0.25">
      <c r="A569" s="10">
        <f t="shared" si="81"/>
        <v>511</v>
      </c>
      <c r="B569" s="16" t="s">
        <v>545</v>
      </c>
      <c r="C569" s="11">
        <v>10</v>
      </c>
      <c r="D569" s="14">
        <v>14</v>
      </c>
      <c r="E569" s="14"/>
      <c r="F569" s="14"/>
      <c r="G569" s="15"/>
      <c r="H569" s="15">
        <f t="shared" si="79"/>
        <v>14</v>
      </c>
      <c r="I569" s="83">
        <f t="shared" si="80"/>
        <v>28</v>
      </c>
      <c r="K569" s="19">
        <v>4</v>
      </c>
      <c r="L569" s="10"/>
      <c r="M569" s="10"/>
    </row>
    <row r="570" spans="1:13" x14ac:dyDescent="0.25">
      <c r="A570" s="10">
        <f t="shared" si="81"/>
        <v>512</v>
      </c>
      <c r="B570" s="16" t="s">
        <v>704</v>
      </c>
      <c r="C570" s="11">
        <v>10</v>
      </c>
      <c r="D570" s="14">
        <v>11</v>
      </c>
      <c r="E570" s="14"/>
      <c r="F570" s="14">
        <v>1</v>
      </c>
      <c r="G570" s="15"/>
      <c r="H570" s="15">
        <f t="shared" si="79"/>
        <v>12</v>
      </c>
      <c r="I570" s="83">
        <f t="shared" si="80"/>
        <v>24</v>
      </c>
      <c r="K570" s="19">
        <v>4</v>
      </c>
      <c r="L570" s="10"/>
      <c r="M570" s="10"/>
    </row>
    <row r="571" spans="1:13" x14ac:dyDescent="0.25">
      <c r="A571" s="10">
        <f t="shared" si="81"/>
        <v>513</v>
      </c>
      <c r="B571" s="16" t="s">
        <v>546</v>
      </c>
      <c r="C571" s="11">
        <v>100</v>
      </c>
      <c r="D571" s="14">
        <v>11</v>
      </c>
      <c r="E571" s="14"/>
      <c r="F571" s="14">
        <v>1</v>
      </c>
      <c r="G571" s="15"/>
      <c r="H571" s="15">
        <f t="shared" si="79"/>
        <v>12</v>
      </c>
      <c r="I571" s="83">
        <f t="shared" si="80"/>
        <v>24</v>
      </c>
      <c r="K571" s="19">
        <v>32</v>
      </c>
      <c r="L571" s="10"/>
      <c r="M571" s="10"/>
    </row>
    <row r="572" spans="1:13" x14ac:dyDescent="0.25">
      <c r="A572" s="10">
        <f t="shared" si="81"/>
        <v>514</v>
      </c>
      <c r="B572" s="16" t="s">
        <v>547</v>
      </c>
      <c r="C572" s="11">
        <v>100</v>
      </c>
      <c r="D572" s="14">
        <v>10</v>
      </c>
      <c r="E572" s="14"/>
      <c r="F572" s="14">
        <v>1</v>
      </c>
      <c r="G572" s="15"/>
      <c r="H572" s="15">
        <f t="shared" si="79"/>
        <v>11</v>
      </c>
      <c r="I572" s="83">
        <f t="shared" si="80"/>
        <v>22</v>
      </c>
      <c r="K572" s="19">
        <v>25</v>
      </c>
      <c r="L572" s="10"/>
      <c r="M572" s="10"/>
    </row>
    <row r="573" spans="1:13" x14ac:dyDescent="0.25">
      <c r="A573" s="10">
        <f t="shared" si="81"/>
        <v>515</v>
      </c>
      <c r="B573" s="16" t="s">
        <v>548</v>
      </c>
      <c r="C573" s="11">
        <v>10</v>
      </c>
      <c r="D573" s="14">
        <v>10</v>
      </c>
      <c r="E573" s="14"/>
      <c r="F573" s="14">
        <v>3</v>
      </c>
      <c r="G573" s="15"/>
      <c r="H573" s="15">
        <f t="shared" si="79"/>
        <v>13</v>
      </c>
      <c r="I573" s="83">
        <f t="shared" si="80"/>
        <v>26</v>
      </c>
      <c r="K573" s="19">
        <v>20</v>
      </c>
      <c r="L573" s="10"/>
      <c r="M573" s="10"/>
    </row>
    <row r="574" spans="1:13" x14ac:dyDescent="0.25">
      <c r="A574" s="10">
        <f t="shared" si="81"/>
        <v>516</v>
      </c>
      <c r="B574" s="16" t="s">
        <v>360</v>
      </c>
      <c r="C574" s="11">
        <v>100</v>
      </c>
      <c r="D574" s="14"/>
      <c r="E574" s="14">
        <v>6</v>
      </c>
      <c r="F574" s="14"/>
      <c r="G574" s="15"/>
      <c r="H574" s="15">
        <f t="shared" si="79"/>
        <v>6</v>
      </c>
      <c r="I574" s="83">
        <f t="shared" si="80"/>
        <v>12</v>
      </c>
      <c r="K574" s="19">
        <v>13</v>
      </c>
      <c r="L574" s="10"/>
      <c r="M574" s="10"/>
    </row>
    <row r="575" spans="1:13" x14ac:dyDescent="0.25">
      <c r="A575" s="10">
        <f t="shared" si="81"/>
        <v>517</v>
      </c>
      <c r="B575" s="16" t="s">
        <v>361</v>
      </c>
      <c r="C575" s="11">
        <v>250</v>
      </c>
      <c r="D575" s="14">
        <v>4</v>
      </c>
      <c r="E575" s="14"/>
      <c r="F575" s="14"/>
      <c r="G575" s="15"/>
      <c r="H575" s="15">
        <f t="shared" si="79"/>
        <v>4</v>
      </c>
      <c r="I575" s="83">
        <f t="shared" si="80"/>
        <v>8</v>
      </c>
      <c r="K575" s="19">
        <v>8</v>
      </c>
      <c r="L575" s="10"/>
      <c r="M575" s="10"/>
    </row>
    <row r="576" spans="1:13" x14ac:dyDescent="0.25">
      <c r="A576" s="10">
        <f t="shared" si="81"/>
        <v>518</v>
      </c>
      <c r="B576" s="16" t="s">
        <v>712</v>
      </c>
      <c r="C576" s="11">
        <v>12</v>
      </c>
      <c r="D576" s="14"/>
      <c r="E576" s="14"/>
      <c r="F576" s="14"/>
      <c r="G576" s="15"/>
      <c r="H576" s="15"/>
      <c r="I576" s="83"/>
      <c r="K576" s="19">
        <v>670</v>
      </c>
      <c r="L576" s="10"/>
      <c r="M576" s="10"/>
    </row>
    <row r="577" spans="1:13" x14ac:dyDescent="0.25">
      <c r="A577" s="10">
        <f t="shared" si="81"/>
        <v>519</v>
      </c>
      <c r="B577" s="16" t="s">
        <v>713</v>
      </c>
      <c r="C577" s="11">
        <v>10</v>
      </c>
      <c r="D577" s="14">
        <v>405</v>
      </c>
      <c r="E577" s="14">
        <v>40</v>
      </c>
      <c r="F577" s="14">
        <v>60</v>
      </c>
      <c r="G577" s="15"/>
      <c r="H577" s="15">
        <f>SUM(D577:G577)</f>
        <v>505</v>
      </c>
      <c r="I577" s="83">
        <f>H577*2</f>
        <v>1010</v>
      </c>
      <c r="K577" s="19">
        <v>400</v>
      </c>
      <c r="L577" s="10"/>
      <c r="M577" s="10"/>
    </row>
    <row r="578" spans="1:13" x14ac:dyDescent="0.25">
      <c r="A578" s="10">
        <f t="shared" si="81"/>
        <v>520</v>
      </c>
      <c r="B578" s="16" t="s">
        <v>726</v>
      </c>
      <c r="C578" s="11">
        <v>6</v>
      </c>
      <c r="D578" s="14"/>
      <c r="E578" s="14"/>
      <c r="F578" s="14"/>
      <c r="G578" s="15"/>
      <c r="H578" s="15"/>
      <c r="I578" s="83"/>
      <c r="K578" s="19">
        <v>75</v>
      </c>
      <c r="L578" s="10"/>
      <c r="M578" s="10"/>
    </row>
    <row r="579" spans="1:13" x14ac:dyDescent="0.25">
      <c r="A579" s="10">
        <f t="shared" si="81"/>
        <v>521</v>
      </c>
      <c r="B579" s="16" t="s">
        <v>728</v>
      </c>
      <c r="C579" s="11">
        <v>4</v>
      </c>
      <c r="D579" s="14"/>
      <c r="E579" s="14"/>
      <c r="F579" s="14"/>
      <c r="G579" s="15"/>
      <c r="H579" s="15"/>
      <c r="I579" s="83"/>
      <c r="K579" s="19">
        <v>150</v>
      </c>
      <c r="L579" s="10"/>
      <c r="M579" s="10"/>
    </row>
    <row r="580" spans="1:13" x14ac:dyDescent="0.25">
      <c r="A580" s="10">
        <f t="shared" si="81"/>
        <v>522</v>
      </c>
      <c r="B580" s="16" t="s">
        <v>362</v>
      </c>
      <c r="C580" s="11" t="s">
        <v>333</v>
      </c>
      <c r="D580" s="14">
        <v>12</v>
      </c>
      <c r="E580" s="14">
        <v>3</v>
      </c>
      <c r="F580" s="14"/>
      <c r="G580" s="15"/>
      <c r="H580" s="15">
        <f>SUM(D580:G580)</f>
        <v>15</v>
      </c>
      <c r="I580" s="83">
        <f>H580*2</f>
        <v>30</v>
      </c>
      <c r="K580" s="19">
        <v>100</v>
      </c>
      <c r="L580" s="10"/>
      <c r="M580" s="10"/>
    </row>
    <row r="581" spans="1:13" x14ac:dyDescent="0.25">
      <c r="A581" s="10">
        <f t="shared" si="81"/>
        <v>523</v>
      </c>
      <c r="B581" s="16" t="s">
        <v>727</v>
      </c>
      <c r="C581" s="11" t="s">
        <v>333</v>
      </c>
      <c r="D581" s="14"/>
      <c r="E581" s="14"/>
      <c r="F581" s="14"/>
      <c r="G581" s="15"/>
      <c r="H581" s="15"/>
      <c r="I581" s="83"/>
      <c r="K581" s="19">
        <v>20</v>
      </c>
      <c r="L581" s="10"/>
      <c r="M581" s="10"/>
    </row>
    <row r="582" spans="1:13" x14ac:dyDescent="0.25">
      <c r="A582" s="10">
        <f t="shared" si="81"/>
        <v>524</v>
      </c>
      <c r="B582" s="16" t="s">
        <v>737</v>
      </c>
      <c r="C582" s="11" t="s">
        <v>333</v>
      </c>
      <c r="D582" s="14"/>
      <c r="E582" s="14"/>
      <c r="F582" s="14"/>
      <c r="G582" s="15"/>
      <c r="H582" s="15"/>
      <c r="I582" s="83"/>
      <c r="K582" s="19">
        <v>144</v>
      </c>
      <c r="L582" s="10"/>
      <c r="M582" s="10"/>
    </row>
    <row r="583" spans="1:13" x14ac:dyDescent="0.25">
      <c r="A583" s="10">
        <f t="shared" si="81"/>
        <v>525</v>
      </c>
      <c r="B583" s="16" t="s">
        <v>736</v>
      </c>
      <c r="C583" s="11" t="s">
        <v>333</v>
      </c>
      <c r="D583" s="14"/>
      <c r="E583" s="14"/>
      <c r="F583" s="14"/>
      <c r="G583" s="15"/>
      <c r="H583" s="15"/>
      <c r="I583" s="83"/>
      <c r="K583" s="19">
        <v>144</v>
      </c>
      <c r="L583" s="10"/>
      <c r="M583" s="10"/>
    </row>
    <row r="584" spans="1:13" x14ac:dyDescent="0.25">
      <c r="A584" s="10">
        <f t="shared" si="81"/>
        <v>526</v>
      </c>
      <c r="B584" s="16" t="s">
        <v>363</v>
      </c>
      <c r="C584" s="11">
        <v>12</v>
      </c>
      <c r="D584" s="14">
        <v>54</v>
      </c>
      <c r="E584" s="14"/>
      <c r="F584" s="14"/>
      <c r="G584" s="15"/>
      <c r="H584" s="15">
        <f t="shared" ref="H584:H601" si="82">SUM(D584:G584)</f>
        <v>54</v>
      </c>
      <c r="I584" s="83">
        <f t="shared" ref="I584:I601" si="83">H584*2</f>
        <v>108</v>
      </c>
      <c r="K584" s="19">
        <v>129</v>
      </c>
      <c r="L584" s="10"/>
      <c r="M584" s="10"/>
    </row>
    <row r="585" spans="1:13" x14ac:dyDescent="0.25">
      <c r="A585" s="10">
        <f t="shared" si="81"/>
        <v>527</v>
      </c>
      <c r="B585" s="16" t="s">
        <v>762</v>
      </c>
      <c r="C585" s="11" t="s">
        <v>333</v>
      </c>
      <c r="D585" s="14">
        <v>1</v>
      </c>
      <c r="E585" s="14">
        <v>3</v>
      </c>
      <c r="F585" s="14"/>
      <c r="G585" s="15"/>
      <c r="H585" s="15">
        <f t="shared" si="82"/>
        <v>4</v>
      </c>
      <c r="I585" s="83">
        <f t="shared" si="83"/>
        <v>8</v>
      </c>
      <c r="K585" s="19">
        <v>200</v>
      </c>
      <c r="L585" s="10"/>
      <c r="M585" s="10"/>
    </row>
    <row r="586" spans="1:13" x14ac:dyDescent="0.25">
      <c r="A586" s="10">
        <f t="shared" si="81"/>
        <v>528</v>
      </c>
      <c r="B586" s="16" t="s">
        <v>364</v>
      </c>
      <c r="C586" s="11">
        <v>10</v>
      </c>
      <c r="D586" s="14">
        <v>4</v>
      </c>
      <c r="E586" s="14"/>
      <c r="F586" s="14"/>
      <c r="G586" s="15"/>
      <c r="H586" s="15">
        <f t="shared" si="82"/>
        <v>4</v>
      </c>
      <c r="I586" s="83">
        <f t="shared" si="83"/>
        <v>8</v>
      </c>
      <c r="K586" s="19">
        <v>23</v>
      </c>
      <c r="L586" s="10"/>
      <c r="M586" s="10"/>
    </row>
    <row r="587" spans="1:13" x14ac:dyDescent="0.25">
      <c r="A587" s="10">
        <f t="shared" si="81"/>
        <v>529</v>
      </c>
      <c r="B587" s="16" t="s">
        <v>365</v>
      </c>
      <c r="C587" s="11">
        <v>100</v>
      </c>
      <c r="D587" s="14">
        <v>6</v>
      </c>
      <c r="E587" s="14"/>
      <c r="F587" s="14"/>
      <c r="G587" s="15"/>
      <c r="H587" s="15">
        <f t="shared" si="82"/>
        <v>6</v>
      </c>
      <c r="I587" s="83">
        <f t="shared" si="83"/>
        <v>12</v>
      </c>
      <c r="K587" s="19">
        <v>4</v>
      </c>
      <c r="L587" s="10"/>
      <c r="M587" s="10"/>
    </row>
    <row r="588" spans="1:13" x14ac:dyDescent="0.25">
      <c r="A588" s="10">
        <f t="shared" si="81"/>
        <v>530</v>
      </c>
      <c r="B588" s="16" t="s">
        <v>366</v>
      </c>
      <c r="C588" s="11" t="s">
        <v>333</v>
      </c>
      <c r="D588" s="14">
        <v>34</v>
      </c>
      <c r="E588" s="14"/>
      <c r="F588" s="14"/>
      <c r="G588" s="15"/>
      <c r="H588" s="15">
        <f t="shared" si="82"/>
        <v>34</v>
      </c>
      <c r="I588" s="83">
        <f t="shared" si="83"/>
        <v>68</v>
      </c>
      <c r="K588" s="19">
        <v>120</v>
      </c>
      <c r="L588" s="10"/>
      <c r="M588" s="10"/>
    </row>
    <row r="589" spans="1:13" x14ac:dyDescent="0.25">
      <c r="A589" s="10">
        <f t="shared" si="81"/>
        <v>531</v>
      </c>
      <c r="B589" s="16" t="s">
        <v>367</v>
      </c>
      <c r="C589" s="11" t="s">
        <v>333</v>
      </c>
      <c r="D589" s="14">
        <v>15</v>
      </c>
      <c r="E589" s="14"/>
      <c r="F589" s="14"/>
      <c r="G589" s="15"/>
      <c r="H589" s="15">
        <f t="shared" si="82"/>
        <v>15</v>
      </c>
      <c r="I589" s="83">
        <f t="shared" si="83"/>
        <v>30</v>
      </c>
      <c r="K589" s="19">
        <v>40</v>
      </c>
      <c r="L589" s="10"/>
      <c r="M589" s="10"/>
    </row>
    <row r="590" spans="1:13" x14ac:dyDescent="0.25">
      <c r="A590" s="10">
        <f t="shared" si="81"/>
        <v>532</v>
      </c>
      <c r="B590" s="16" t="s">
        <v>368</v>
      </c>
      <c r="C590" s="11">
        <v>100</v>
      </c>
      <c r="D590" s="14">
        <v>8</v>
      </c>
      <c r="E590" s="14"/>
      <c r="F590" s="14"/>
      <c r="G590" s="15"/>
      <c r="H590" s="15">
        <f t="shared" si="82"/>
        <v>8</v>
      </c>
      <c r="I590" s="83">
        <f t="shared" si="83"/>
        <v>16</v>
      </c>
      <c r="K590" s="19">
        <v>13</v>
      </c>
      <c r="L590" s="10"/>
      <c r="M590" s="10"/>
    </row>
    <row r="591" spans="1:13" x14ac:dyDescent="0.25">
      <c r="A591" s="10">
        <f t="shared" si="81"/>
        <v>533</v>
      </c>
      <c r="B591" s="16" t="s">
        <v>369</v>
      </c>
      <c r="C591" s="11">
        <v>12</v>
      </c>
      <c r="D591" s="14">
        <v>114</v>
      </c>
      <c r="E591" s="14"/>
      <c r="F591" s="14"/>
      <c r="G591" s="15"/>
      <c r="H591" s="15">
        <f t="shared" si="82"/>
        <v>114</v>
      </c>
      <c r="I591" s="83">
        <f t="shared" si="83"/>
        <v>228</v>
      </c>
      <c r="K591" s="19">
        <v>50</v>
      </c>
      <c r="L591" s="10"/>
      <c r="M591" s="10"/>
    </row>
    <row r="592" spans="1:13" x14ac:dyDescent="0.25">
      <c r="A592" s="10">
        <f t="shared" si="81"/>
        <v>534</v>
      </c>
      <c r="B592" s="16" t="s">
        <v>516</v>
      </c>
      <c r="C592" s="11">
        <v>50</v>
      </c>
      <c r="D592" s="14">
        <v>7</v>
      </c>
      <c r="E592" s="14"/>
      <c r="F592" s="14">
        <v>0.4</v>
      </c>
      <c r="G592" s="15"/>
      <c r="H592" s="15">
        <f t="shared" si="82"/>
        <v>7.4</v>
      </c>
      <c r="I592" s="83">
        <f t="shared" si="83"/>
        <v>14.8</v>
      </c>
      <c r="K592" s="19">
        <v>20</v>
      </c>
      <c r="L592" s="10"/>
      <c r="M592" s="10"/>
    </row>
    <row r="593" spans="1:13" x14ac:dyDescent="0.25">
      <c r="A593" s="10">
        <f t="shared" ref="A593:A601" si="84">A592+1</f>
        <v>535</v>
      </c>
      <c r="B593" s="16" t="s">
        <v>370</v>
      </c>
      <c r="C593" s="11">
        <v>100</v>
      </c>
      <c r="D593" s="14">
        <v>2</v>
      </c>
      <c r="E593" s="14"/>
      <c r="F593" s="14"/>
      <c r="G593" s="15"/>
      <c r="H593" s="15">
        <f t="shared" si="82"/>
        <v>2</v>
      </c>
      <c r="I593" s="83">
        <f t="shared" si="83"/>
        <v>4</v>
      </c>
      <c r="K593" s="19">
        <v>4</v>
      </c>
      <c r="L593" s="10"/>
      <c r="M593" s="10"/>
    </row>
    <row r="594" spans="1:13" x14ac:dyDescent="0.25">
      <c r="A594" s="10">
        <f t="shared" si="84"/>
        <v>536</v>
      </c>
      <c r="B594" s="16" t="s">
        <v>371</v>
      </c>
      <c r="C594" s="11">
        <v>100</v>
      </c>
      <c r="D594" s="14">
        <v>2</v>
      </c>
      <c r="E594" s="14"/>
      <c r="F594" s="14"/>
      <c r="G594" s="15"/>
      <c r="H594" s="15">
        <f t="shared" si="82"/>
        <v>2</v>
      </c>
      <c r="I594" s="83">
        <f t="shared" si="83"/>
        <v>4</v>
      </c>
      <c r="K594" s="19">
        <v>4</v>
      </c>
      <c r="L594" s="10"/>
      <c r="M594" s="10"/>
    </row>
    <row r="595" spans="1:13" x14ac:dyDescent="0.25">
      <c r="A595" s="10">
        <f t="shared" si="84"/>
        <v>537</v>
      </c>
      <c r="B595" s="16" t="s">
        <v>372</v>
      </c>
      <c r="C595" s="11">
        <v>100</v>
      </c>
      <c r="D595" s="14">
        <v>2</v>
      </c>
      <c r="E595" s="14"/>
      <c r="F595" s="14">
        <v>1</v>
      </c>
      <c r="G595" s="15"/>
      <c r="H595" s="15">
        <f t="shared" si="82"/>
        <v>3</v>
      </c>
      <c r="I595" s="83">
        <f t="shared" si="83"/>
        <v>6</v>
      </c>
      <c r="J595" s="10">
        <v>23</v>
      </c>
      <c r="K595" s="19">
        <v>7</v>
      </c>
      <c r="L595" s="10"/>
      <c r="M595" s="10"/>
    </row>
    <row r="596" spans="1:13" x14ac:dyDescent="0.25">
      <c r="A596" s="10">
        <f t="shared" si="84"/>
        <v>538</v>
      </c>
      <c r="B596" s="16" t="s">
        <v>373</v>
      </c>
      <c r="C596" s="11">
        <v>100</v>
      </c>
      <c r="D596" s="14">
        <v>2</v>
      </c>
      <c r="E596" s="14">
        <v>1</v>
      </c>
      <c r="F596" s="14">
        <v>1</v>
      </c>
      <c r="G596" s="15"/>
      <c r="H596" s="15">
        <f t="shared" si="82"/>
        <v>4</v>
      </c>
      <c r="I596" s="83">
        <f t="shared" si="83"/>
        <v>8</v>
      </c>
      <c r="K596" s="19">
        <v>7</v>
      </c>
      <c r="L596" s="10"/>
      <c r="M596" s="10"/>
    </row>
    <row r="597" spans="1:13" x14ac:dyDescent="0.25">
      <c r="A597" s="10">
        <f t="shared" si="84"/>
        <v>539</v>
      </c>
      <c r="B597" s="16" t="s">
        <v>374</v>
      </c>
      <c r="C597" s="11">
        <v>100</v>
      </c>
      <c r="D597" s="14">
        <v>2</v>
      </c>
      <c r="E597" s="14">
        <v>2</v>
      </c>
      <c r="F597" s="14"/>
      <c r="G597" s="15"/>
      <c r="H597" s="15">
        <f t="shared" si="82"/>
        <v>4</v>
      </c>
      <c r="I597" s="83">
        <f t="shared" si="83"/>
        <v>8</v>
      </c>
      <c r="K597" s="19">
        <v>4</v>
      </c>
      <c r="L597" s="10"/>
      <c r="M597" s="10"/>
    </row>
    <row r="598" spans="1:13" x14ac:dyDescent="0.25">
      <c r="A598" s="10">
        <f t="shared" si="84"/>
        <v>540</v>
      </c>
      <c r="B598" s="16" t="s">
        <v>375</v>
      </c>
      <c r="C598" s="11">
        <v>50</v>
      </c>
      <c r="D598" s="14">
        <v>47</v>
      </c>
      <c r="E598" s="14">
        <v>18</v>
      </c>
      <c r="F598" s="14"/>
      <c r="G598" s="15"/>
      <c r="H598" s="15">
        <f t="shared" si="82"/>
        <v>65</v>
      </c>
      <c r="I598" s="83">
        <f t="shared" si="83"/>
        <v>130</v>
      </c>
      <c r="K598" s="19">
        <v>160</v>
      </c>
      <c r="L598" s="10"/>
      <c r="M598" s="10"/>
    </row>
    <row r="599" spans="1:13" x14ac:dyDescent="0.25">
      <c r="A599" s="10">
        <f t="shared" si="84"/>
        <v>541</v>
      </c>
      <c r="B599" s="16" t="s">
        <v>376</v>
      </c>
      <c r="C599" s="11">
        <v>50</v>
      </c>
      <c r="D599" s="14">
        <v>13</v>
      </c>
      <c r="E599" s="14"/>
      <c r="F599" s="14"/>
      <c r="G599" s="15"/>
      <c r="H599" s="15">
        <f t="shared" si="82"/>
        <v>13</v>
      </c>
      <c r="I599" s="83">
        <f t="shared" si="83"/>
        <v>26</v>
      </c>
      <c r="K599" s="19">
        <v>60</v>
      </c>
      <c r="L599" s="10"/>
      <c r="M599" s="10"/>
    </row>
    <row r="600" spans="1:13" x14ac:dyDescent="0.25">
      <c r="A600" s="10">
        <f t="shared" si="84"/>
        <v>542</v>
      </c>
      <c r="B600" s="16" t="s">
        <v>377</v>
      </c>
      <c r="C600" s="11">
        <v>10</v>
      </c>
      <c r="D600" s="14">
        <v>125</v>
      </c>
      <c r="E600" s="14">
        <v>12</v>
      </c>
      <c r="F600" s="14">
        <v>3</v>
      </c>
      <c r="G600" s="15"/>
      <c r="H600" s="15">
        <f t="shared" si="82"/>
        <v>140</v>
      </c>
      <c r="I600" s="83">
        <f t="shared" si="83"/>
        <v>280</v>
      </c>
      <c r="K600" s="19">
        <v>360</v>
      </c>
      <c r="L600" s="10"/>
      <c r="M600" s="10"/>
    </row>
    <row r="601" spans="1:13" x14ac:dyDescent="0.25">
      <c r="A601" s="10">
        <f t="shared" si="84"/>
        <v>543</v>
      </c>
      <c r="B601" s="16" t="s">
        <v>378</v>
      </c>
      <c r="C601" s="11">
        <v>10</v>
      </c>
      <c r="D601" s="14">
        <v>52</v>
      </c>
      <c r="E601" s="14"/>
      <c r="F601" s="14"/>
      <c r="G601" s="15"/>
      <c r="H601" s="15">
        <f t="shared" si="82"/>
        <v>52</v>
      </c>
      <c r="I601" s="83">
        <f t="shared" si="83"/>
        <v>104</v>
      </c>
      <c r="K601" s="19">
        <v>160</v>
      </c>
      <c r="L601" s="10"/>
      <c r="M601" s="10"/>
    </row>
    <row r="602" spans="1:13" x14ac:dyDescent="0.25">
      <c r="B602" s="19"/>
      <c r="C602" s="20"/>
      <c r="D602" s="15"/>
      <c r="E602" s="15"/>
      <c r="F602" s="15"/>
      <c r="G602" s="15"/>
      <c r="H602" s="15"/>
      <c r="I602" s="83"/>
      <c r="K602" s="19"/>
      <c r="L602" s="10"/>
      <c r="M602" s="10"/>
    </row>
    <row r="603" spans="1:13" ht="21" x14ac:dyDescent="0.25">
      <c r="B603" s="17" t="s">
        <v>379</v>
      </c>
      <c r="C603" s="20"/>
      <c r="D603" s="15"/>
      <c r="E603" s="15"/>
      <c r="F603" s="15"/>
      <c r="G603" s="15"/>
      <c r="H603" s="15"/>
      <c r="I603" s="83"/>
      <c r="K603" s="19"/>
      <c r="L603" s="10"/>
      <c r="M603" s="10"/>
    </row>
    <row r="604" spans="1:13" x14ac:dyDescent="0.25">
      <c r="A604" s="10">
        <f>A601+1</f>
        <v>544</v>
      </c>
      <c r="B604" s="19" t="s">
        <v>380</v>
      </c>
      <c r="C604" s="20" t="s">
        <v>381</v>
      </c>
      <c r="D604" s="15"/>
      <c r="E604" s="15"/>
      <c r="F604" s="15">
        <v>1</v>
      </c>
      <c r="G604" s="15"/>
      <c r="H604" s="15">
        <f t="shared" ref="H604:H612" si="85">SUM(D604:G604)</f>
        <v>1</v>
      </c>
      <c r="I604" s="83">
        <f t="shared" ref="I604:I612" si="86">H604*2</f>
        <v>2</v>
      </c>
      <c r="K604" s="19">
        <v>4</v>
      </c>
      <c r="L604" s="10"/>
      <c r="M604" s="10"/>
    </row>
    <row r="605" spans="1:13" x14ac:dyDescent="0.25">
      <c r="A605" s="10">
        <f t="shared" ref="A605:A612" si="87">A604+1</f>
        <v>545</v>
      </c>
      <c r="B605" s="19" t="s">
        <v>382</v>
      </c>
      <c r="C605" s="20" t="s">
        <v>383</v>
      </c>
      <c r="D605" s="15">
        <v>6</v>
      </c>
      <c r="E605" s="15"/>
      <c r="F605" s="15"/>
      <c r="G605" s="15"/>
      <c r="H605" s="15">
        <f t="shared" si="85"/>
        <v>6</v>
      </c>
      <c r="I605" s="83">
        <f t="shared" si="86"/>
        <v>12</v>
      </c>
      <c r="K605" s="19">
        <v>4</v>
      </c>
      <c r="L605" s="10"/>
      <c r="M605" s="10"/>
    </row>
    <row r="606" spans="1:13" x14ac:dyDescent="0.25">
      <c r="A606" s="10">
        <f t="shared" si="87"/>
        <v>546</v>
      </c>
      <c r="B606" s="19" t="s">
        <v>384</v>
      </c>
      <c r="C606" s="20">
        <v>100</v>
      </c>
      <c r="D606" s="15">
        <v>5</v>
      </c>
      <c r="E606" s="15">
        <v>1</v>
      </c>
      <c r="F606" s="15"/>
      <c r="G606" s="15"/>
      <c r="H606" s="15">
        <f t="shared" si="85"/>
        <v>6</v>
      </c>
      <c r="I606" s="83">
        <f t="shared" si="86"/>
        <v>12</v>
      </c>
      <c r="K606" s="19">
        <v>1500</v>
      </c>
      <c r="L606" s="10"/>
      <c r="M606" s="10"/>
    </row>
    <row r="607" spans="1:13" x14ac:dyDescent="0.25">
      <c r="A607" s="10">
        <f t="shared" si="87"/>
        <v>547</v>
      </c>
      <c r="B607" s="19" t="s">
        <v>385</v>
      </c>
      <c r="C607" s="20" t="s">
        <v>383</v>
      </c>
      <c r="D607" s="15"/>
      <c r="E607" s="15">
        <v>6</v>
      </c>
      <c r="F607" s="15"/>
      <c r="G607" s="15"/>
      <c r="H607" s="15">
        <f t="shared" si="85"/>
        <v>6</v>
      </c>
      <c r="I607" s="83">
        <f t="shared" si="86"/>
        <v>12</v>
      </c>
      <c r="K607" s="19">
        <v>4</v>
      </c>
      <c r="L607" s="10"/>
      <c r="M607" s="10"/>
    </row>
    <row r="608" spans="1:13" x14ac:dyDescent="0.25">
      <c r="A608" s="10">
        <f t="shared" si="87"/>
        <v>548</v>
      </c>
      <c r="B608" s="19" t="s">
        <v>386</v>
      </c>
      <c r="C608" s="20">
        <v>10</v>
      </c>
      <c r="D608" s="15">
        <v>6</v>
      </c>
      <c r="E608" s="15"/>
      <c r="F608" s="15"/>
      <c r="G608" s="15"/>
      <c r="H608" s="15">
        <f t="shared" si="85"/>
        <v>6</v>
      </c>
      <c r="I608" s="83">
        <f t="shared" si="86"/>
        <v>12</v>
      </c>
      <c r="K608" s="19">
        <v>30</v>
      </c>
      <c r="L608" s="10"/>
      <c r="M608" s="10"/>
    </row>
    <row r="609" spans="1:13" x14ac:dyDescent="0.25">
      <c r="A609" s="10">
        <f t="shared" si="87"/>
        <v>549</v>
      </c>
      <c r="B609" s="19" t="s">
        <v>497</v>
      </c>
      <c r="C609" s="20">
        <v>100</v>
      </c>
      <c r="D609" s="15">
        <v>35</v>
      </c>
      <c r="E609" s="15">
        <v>1</v>
      </c>
      <c r="F609" s="15">
        <v>1</v>
      </c>
      <c r="G609" s="15"/>
      <c r="H609" s="15">
        <f t="shared" si="85"/>
        <v>37</v>
      </c>
      <c r="I609" s="83">
        <f t="shared" si="86"/>
        <v>74</v>
      </c>
      <c r="K609" s="19">
        <v>100</v>
      </c>
      <c r="L609" s="10"/>
      <c r="M609" s="10"/>
    </row>
    <row r="610" spans="1:13" x14ac:dyDescent="0.25">
      <c r="A610" s="10">
        <f t="shared" si="87"/>
        <v>550</v>
      </c>
      <c r="B610" s="19" t="s">
        <v>498</v>
      </c>
      <c r="C610" s="20">
        <v>1</v>
      </c>
      <c r="D610" s="15"/>
      <c r="E610" s="15">
        <v>30</v>
      </c>
      <c r="F610" s="15"/>
      <c r="G610" s="15"/>
      <c r="H610" s="15">
        <f t="shared" si="85"/>
        <v>30</v>
      </c>
      <c r="I610" s="83">
        <f t="shared" si="86"/>
        <v>60</v>
      </c>
      <c r="K610" s="19">
        <v>12</v>
      </c>
      <c r="L610" s="10"/>
      <c r="M610" s="10"/>
    </row>
    <row r="611" spans="1:13" x14ac:dyDescent="0.25">
      <c r="A611" s="10">
        <f t="shared" si="87"/>
        <v>551</v>
      </c>
      <c r="B611" s="19" t="s">
        <v>909</v>
      </c>
      <c r="C611" s="20">
        <v>10</v>
      </c>
      <c r="D611" s="15">
        <v>5</v>
      </c>
      <c r="E611" s="15"/>
      <c r="F611" s="15"/>
      <c r="G611" s="15"/>
      <c r="H611" s="15">
        <f t="shared" si="85"/>
        <v>5</v>
      </c>
      <c r="I611" s="83">
        <f t="shared" si="86"/>
        <v>10</v>
      </c>
      <c r="K611" s="19">
        <v>35</v>
      </c>
      <c r="L611" s="10"/>
      <c r="M611" s="10"/>
    </row>
    <row r="612" spans="1:13" x14ac:dyDescent="0.25">
      <c r="A612" s="10">
        <f t="shared" si="87"/>
        <v>552</v>
      </c>
      <c r="B612" s="19" t="s">
        <v>388</v>
      </c>
      <c r="C612" s="20">
        <v>12</v>
      </c>
      <c r="D612" s="15">
        <v>195.5</v>
      </c>
      <c r="E612" s="15">
        <v>12</v>
      </c>
      <c r="F612" s="15"/>
      <c r="G612" s="15"/>
      <c r="H612" s="15">
        <f t="shared" si="85"/>
        <v>207.5</v>
      </c>
      <c r="I612" s="83">
        <f t="shared" si="86"/>
        <v>415</v>
      </c>
      <c r="K612" s="19">
        <v>800</v>
      </c>
      <c r="L612" s="10"/>
      <c r="M612" s="10"/>
    </row>
    <row r="613" spans="1:13" x14ac:dyDescent="0.25">
      <c r="B613" s="19"/>
      <c r="C613" s="20"/>
      <c r="D613" s="15"/>
      <c r="E613" s="15"/>
      <c r="F613" s="15"/>
      <c r="G613" s="15"/>
      <c r="H613" s="15"/>
      <c r="I613" s="83"/>
      <c r="K613" s="19"/>
      <c r="L613" s="10"/>
      <c r="M613" s="10"/>
    </row>
    <row r="614" spans="1:13" ht="21" x14ac:dyDescent="0.25">
      <c r="B614" s="23" t="s">
        <v>389</v>
      </c>
      <c r="C614" s="20"/>
      <c r="D614" s="15"/>
      <c r="E614" s="15"/>
      <c r="F614" s="15"/>
      <c r="G614" s="15"/>
      <c r="H614" s="15"/>
      <c r="I614" s="83"/>
      <c r="K614" s="19"/>
      <c r="L614" s="10"/>
      <c r="M614" s="10"/>
    </row>
    <row r="615" spans="1:13" x14ac:dyDescent="0.25">
      <c r="A615" s="10">
        <f>1+A612</f>
        <v>553</v>
      </c>
      <c r="B615" s="19" t="s">
        <v>392</v>
      </c>
      <c r="C615" s="20">
        <v>12</v>
      </c>
      <c r="D615" s="15">
        <v>2</v>
      </c>
      <c r="E615" s="15"/>
      <c r="F615" s="15">
        <v>10</v>
      </c>
      <c r="G615" s="15"/>
      <c r="H615" s="15">
        <f t="shared" ref="H615:H620" si="88">SUM(D615:G615)</f>
        <v>12</v>
      </c>
      <c r="I615" s="83">
        <f t="shared" ref="I615:I620" si="89">H615*2</f>
        <v>24</v>
      </c>
      <c r="K615" s="19">
        <v>12</v>
      </c>
      <c r="L615" s="10"/>
      <c r="M615" s="10"/>
    </row>
    <row r="616" spans="1:13" x14ac:dyDescent="0.25">
      <c r="A616" s="10">
        <f t="shared" ref="A616:A629" si="90">A615+1</f>
        <v>554</v>
      </c>
      <c r="B616" s="19" t="s">
        <v>393</v>
      </c>
      <c r="C616" s="20">
        <v>10</v>
      </c>
      <c r="D616" s="15">
        <v>480</v>
      </c>
      <c r="E616" s="15"/>
      <c r="F616" s="15">
        <v>10</v>
      </c>
      <c r="G616" s="15"/>
      <c r="H616" s="15">
        <f t="shared" si="88"/>
        <v>490</v>
      </c>
      <c r="I616" s="83">
        <f t="shared" si="89"/>
        <v>980</v>
      </c>
      <c r="K616" s="19">
        <v>100</v>
      </c>
      <c r="L616" s="10"/>
      <c r="M616" s="10"/>
    </row>
    <row r="617" spans="1:13" x14ac:dyDescent="0.25">
      <c r="A617" s="10">
        <f t="shared" si="90"/>
        <v>555</v>
      </c>
      <c r="B617" s="19" t="s">
        <v>763</v>
      </c>
      <c r="C617" s="20">
        <v>100</v>
      </c>
      <c r="D617" s="15">
        <v>93</v>
      </c>
      <c r="E617" s="15"/>
      <c r="F617" s="15">
        <v>24</v>
      </c>
      <c r="G617" s="15"/>
      <c r="H617" s="15">
        <f t="shared" si="88"/>
        <v>117</v>
      </c>
      <c r="I617" s="83">
        <f t="shared" si="89"/>
        <v>234</v>
      </c>
      <c r="K617" s="19">
        <v>254</v>
      </c>
      <c r="L617" s="10"/>
      <c r="M617" s="10"/>
    </row>
    <row r="618" spans="1:13" x14ac:dyDescent="0.25">
      <c r="A618" s="10">
        <f t="shared" si="90"/>
        <v>556</v>
      </c>
      <c r="B618" s="19" t="s">
        <v>394</v>
      </c>
      <c r="C618" s="20" t="s">
        <v>656</v>
      </c>
      <c r="D618" s="15">
        <v>20</v>
      </c>
      <c r="E618" s="15"/>
      <c r="F618" s="15"/>
      <c r="G618" s="15"/>
      <c r="H618" s="15">
        <f t="shared" si="88"/>
        <v>20</v>
      </c>
      <c r="I618" s="83">
        <f t="shared" si="89"/>
        <v>40</v>
      </c>
      <c r="K618" s="19">
        <v>43</v>
      </c>
      <c r="L618" s="10"/>
      <c r="M618" s="10"/>
    </row>
    <row r="619" spans="1:13" x14ac:dyDescent="0.25">
      <c r="A619" s="10">
        <f t="shared" si="90"/>
        <v>557</v>
      </c>
      <c r="B619" s="19" t="s">
        <v>395</v>
      </c>
      <c r="C619" s="20" t="s">
        <v>656</v>
      </c>
      <c r="D619" s="15">
        <v>30</v>
      </c>
      <c r="E619" s="15"/>
      <c r="F619" s="15"/>
      <c r="G619" s="15"/>
      <c r="H619" s="15">
        <f t="shared" si="88"/>
        <v>30</v>
      </c>
      <c r="I619" s="83">
        <f t="shared" si="89"/>
        <v>60</v>
      </c>
      <c r="K619" s="19">
        <v>65</v>
      </c>
      <c r="L619" s="10"/>
      <c r="M619" s="10"/>
    </row>
    <row r="620" spans="1:13" x14ac:dyDescent="0.25">
      <c r="A620" s="10">
        <f t="shared" si="90"/>
        <v>558</v>
      </c>
      <c r="B620" s="19" t="s">
        <v>397</v>
      </c>
      <c r="C620" s="20" t="s">
        <v>212</v>
      </c>
      <c r="D620" s="15">
        <v>20</v>
      </c>
      <c r="E620" s="15"/>
      <c r="F620" s="15"/>
      <c r="G620" s="15"/>
      <c r="H620" s="15">
        <f t="shared" si="88"/>
        <v>20</v>
      </c>
      <c r="I620" s="83">
        <f t="shared" si="89"/>
        <v>40</v>
      </c>
      <c r="K620" s="19">
        <v>65</v>
      </c>
      <c r="L620" s="10"/>
      <c r="M620" s="10"/>
    </row>
    <row r="621" spans="1:13" x14ac:dyDescent="0.25">
      <c r="A621" s="10">
        <f t="shared" si="90"/>
        <v>559</v>
      </c>
      <c r="B621" s="19" t="s">
        <v>396</v>
      </c>
      <c r="C621" s="20" t="s">
        <v>144</v>
      </c>
      <c r="D621" s="15">
        <v>5</v>
      </c>
      <c r="E621" s="15"/>
      <c r="F621" s="15">
        <v>1</v>
      </c>
      <c r="G621" s="15"/>
      <c r="H621" s="15">
        <f>SUM(D621:G621)</f>
        <v>6</v>
      </c>
      <c r="I621" s="83">
        <f>H621*2</f>
        <v>12</v>
      </c>
      <c r="K621" s="19">
        <f>40*13</f>
        <v>520</v>
      </c>
      <c r="L621" s="10"/>
      <c r="M621" s="10"/>
    </row>
    <row r="622" spans="1:13" x14ac:dyDescent="0.25">
      <c r="A622" s="10">
        <f t="shared" si="90"/>
        <v>560</v>
      </c>
      <c r="B622" s="19" t="s">
        <v>401</v>
      </c>
      <c r="C622" s="20" t="s">
        <v>656</v>
      </c>
      <c r="D622" s="15">
        <v>5</v>
      </c>
      <c r="E622" s="15"/>
      <c r="F622" s="15">
        <v>10</v>
      </c>
      <c r="G622" s="15"/>
      <c r="H622" s="15">
        <f>SUM(D622:G622)</f>
        <v>15</v>
      </c>
      <c r="I622" s="83">
        <f>H622*2</f>
        <v>30</v>
      </c>
      <c r="K622" s="19">
        <v>120</v>
      </c>
      <c r="L622" s="10"/>
      <c r="M622" s="10"/>
    </row>
    <row r="623" spans="1:13" x14ac:dyDescent="0.25">
      <c r="A623" s="10">
        <f t="shared" si="90"/>
        <v>561</v>
      </c>
      <c r="B623" s="19" t="s">
        <v>404</v>
      </c>
      <c r="C623" s="20" t="s">
        <v>144</v>
      </c>
      <c r="D623" s="15">
        <v>6</v>
      </c>
      <c r="E623" s="15"/>
      <c r="F623" s="15">
        <v>3</v>
      </c>
      <c r="G623" s="15"/>
      <c r="H623" s="15">
        <f>SUM(D623:G623)</f>
        <v>9</v>
      </c>
      <c r="I623" s="83">
        <f>H623*2</f>
        <v>18</v>
      </c>
      <c r="K623" s="19">
        <v>110</v>
      </c>
      <c r="L623" s="10"/>
      <c r="M623" s="10"/>
    </row>
    <row r="624" spans="1:13" x14ac:dyDescent="0.25">
      <c r="A624" s="10">
        <f t="shared" si="90"/>
        <v>562</v>
      </c>
      <c r="B624" s="19" t="s">
        <v>698</v>
      </c>
      <c r="C624" s="20">
        <v>10</v>
      </c>
      <c r="D624" s="15"/>
      <c r="E624" s="15"/>
      <c r="F624" s="15"/>
      <c r="G624" s="15"/>
      <c r="H624" s="15"/>
      <c r="I624" s="83"/>
      <c r="K624" s="19">
        <v>10</v>
      </c>
      <c r="L624" s="10"/>
      <c r="M624" s="10"/>
    </row>
    <row r="625" spans="1:13" x14ac:dyDescent="0.25">
      <c r="A625" s="10">
        <f t="shared" si="90"/>
        <v>563</v>
      </c>
      <c r="B625" s="19" t="s">
        <v>405</v>
      </c>
      <c r="C625" s="20">
        <v>10</v>
      </c>
      <c r="D625" s="15">
        <v>50</v>
      </c>
      <c r="E625" s="15"/>
      <c r="F625" s="15"/>
      <c r="G625" s="15"/>
      <c r="H625" s="15">
        <f>SUM(D625:G625)</f>
        <v>50</v>
      </c>
      <c r="I625" s="83">
        <f>H625*2</f>
        <v>100</v>
      </c>
      <c r="K625" s="19">
        <v>10</v>
      </c>
      <c r="L625" s="10"/>
      <c r="M625" s="10"/>
    </row>
    <row r="626" spans="1:13" x14ac:dyDescent="0.25">
      <c r="A626" s="10">
        <f t="shared" si="90"/>
        <v>564</v>
      </c>
      <c r="B626" s="19" t="s">
        <v>406</v>
      </c>
      <c r="C626" s="20">
        <v>10</v>
      </c>
      <c r="D626" s="15">
        <v>50</v>
      </c>
      <c r="E626" s="15"/>
      <c r="F626" s="15"/>
      <c r="G626" s="15"/>
      <c r="H626" s="15">
        <f>SUM(D626:G626)</f>
        <v>50</v>
      </c>
      <c r="I626" s="83">
        <f>H626*2</f>
        <v>100</v>
      </c>
      <c r="K626" s="19">
        <v>100</v>
      </c>
      <c r="L626" s="10"/>
      <c r="M626" s="10"/>
    </row>
    <row r="627" spans="1:13" x14ac:dyDescent="0.25">
      <c r="A627" s="10">
        <f t="shared" si="90"/>
        <v>565</v>
      </c>
      <c r="B627" s="19" t="s">
        <v>682</v>
      </c>
      <c r="C627" s="20">
        <v>30</v>
      </c>
      <c r="D627" s="15"/>
      <c r="E627" s="15"/>
      <c r="F627" s="15"/>
      <c r="G627" s="15"/>
      <c r="H627" s="15"/>
      <c r="I627" s="83"/>
      <c r="K627" s="19">
        <v>20</v>
      </c>
      <c r="L627" s="10"/>
      <c r="M627" s="10"/>
    </row>
    <row r="628" spans="1:13" x14ac:dyDescent="0.25">
      <c r="A628" s="10">
        <f t="shared" si="90"/>
        <v>566</v>
      </c>
      <c r="B628" s="19" t="s">
        <v>685</v>
      </c>
      <c r="C628" s="20">
        <v>30</v>
      </c>
      <c r="D628" s="15"/>
      <c r="E628" s="15"/>
      <c r="F628" s="15"/>
      <c r="G628" s="15"/>
      <c r="H628" s="15"/>
      <c r="I628" s="83"/>
      <c r="K628" s="19">
        <v>20</v>
      </c>
      <c r="L628" s="10"/>
      <c r="M628" s="10"/>
    </row>
    <row r="629" spans="1:13" x14ac:dyDescent="0.25">
      <c r="A629" s="10">
        <f t="shared" si="90"/>
        <v>567</v>
      </c>
      <c r="B629" s="19" t="s">
        <v>408</v>
      </c>
      <c r="C629" s="20">
        <v>30</v>
      </c>
      <c r="D629" s="15">
        <v>90</v>
      </c>
      <c r="E629" s="15"/>
      <c r="F629" s="15">
        <v>30</v>
      </c>
      <c r="G629" s="15"/>
      <c r="H629" s="15">
        <f>SUM(D629:G629)</f>
        <v>120</v>
      </c>
      <c r="I629" s="83">
        <f>H629*2</f>
        <v>240</v>
      </c>
      <c r="K629" s="19">
        <v>500</v>
      </c>
      <c r="L629" s="10"/>
      <c r="M629" s="10"/>
    </row>
    <row r="630" spans="1:13" x14ac:dyDescent="0.25">
      <c r="A630" s="10">
        <f>A629+1</f>
        <v>568</v>
      </c>
      <c r="B630" s="19" t="s">
        <v>678</v>
      </c>
      <c r="C630" s="20">
        <v>2</v>
      </c>
      <c r="D630" s="15"/>
      <c r="E630" s="15"/>
      <c r="F630" s="15"/>
      <c r="G630" s="15"/>
      <c r="H630" s="15"/>
      <c r="I630" s="83"/>
      <c r="K630" s="19">
        <v>10</v>
      </c>
      <c r="L630" s="10"/>
      <c r="M630" s="10"/>
    </row>
    <row r="631" spans="1:13" x14ac:dyDescent="0.25">
      <c r="B631" s="19"/>
      <c r="C631" s="20"/>
      <c r="D631" s="15"/>
      <c r="E631" s="15"/>
      <c r="F631" s="15"/>
      <c r="G631" s="15"/>
      <c r="H631" s="15"/>
      <c r="I631" s="83"/>
      <c r="K631" s="19"/>
      <c r="L631" s="10"/>
      <c r="M631" s="10"/>
    </row>
    <row r="632" spans="1:13" ht="21" x14ac:dyDescent="0.25">
      <c r="B632" s="23" t="s">
        <v>410</v>
      </c>
      <c r="C632" s="20"/>
      <c r="D632" s="15"/>
      <c r="E632" s="15"/>
      <c r="F632" s="15"/>
      <c r="G632" s="15"/>
      <c r="H632" s="15"/>
      <c r="I632" s="83"/>
      <c r="K632" s="19"/>
      <c r="L632" s="10"/>
      <c r="M632" s="10"/>
    </row>
    <row r="633" spans="1:13" x14ac:dyDescent="0.25">
      <c r="A633" s="10">
        <f>A630+1</f>
        <v>569</v>
      </c>
      <c r="B633" s="19" t="s">
        <v>411</v>
      </c>
      <c r="C633" s="20">
        <v>12</v>
      </c>
      <c r="D633" s="15"/>
      <c r="E633" s="15">
        <v>18</v>
      </c>
      <c r="F633" s="15"/>
      <c r="G633" s="15"/>
      <c r="H633" s="15">
        <f>SUM(D633:G633)</f>
        <v>18</v>
      </c>
      <c r="I633" s="83">
        <f>H633*2</f>
        <v>36</v>
      </c>
      <c r="K633" s="19">
        <v>23</v>
      </c>
      <c r="L633" s="10"/>
      <c r="M633" s="10"/>
    </row>
    <row r="634" spans="1:13" x14ac:dyDescent="0.25">
      <c r="A634" s="10">
        <f>A633+1</f>
        <v>570</v>
      </c>
      <c r="B634" s="19" t="s">
        <v>412</v>
      </c>
      <c r="C634" s="20">
        <v>12</v>
      </c>
      <c r="D634" s="15"/>
      <c r="E634" s="15">
        <v>18</v>
      </c>
      <c r="F634" s="15"/>
      <c r="G634" s="15"/>
      <c r="H634" s="15">
        <f>SUM(D634:G634)</f>
        <v>18</v>
      </c>
      <c r="I634" s="83">
        <f>H634*2</f>
        <v>36</v>
      </c>
      <c r="K634" s="19">
        <v>31</v>
      </c>
      <c r="L634" s="10"/>
      <c r="M634" s="10"/>
    </row>
    <row r="635" spans="1:13" x14ac:dyDescent="0.25">
      <c r="A635" s="10">
        <f>A634+1</f>
        <v>571</v>
      </c>
      <c r="B635" s="19" t="s">
        <v>413</v>
      </c>
      <c r="C635" s="20">
        <v>12</v>
      </c>
      <c r="D635" s="15"/>
      <c r="E635" s="15">
        <v>6</v>
      </c>
      <c r="F635" s="15"/>
      <c r="G635" s="15"/>
      <c r="H635" s="15">
        <f>SUM(D635:G635)</f>
        <v>6</v>
      </c>
      <c r="I635" s="83">
        <f>H635*2</f>
        <v>12</v>
      </c>
      <c r="K635" s="19">
        <v>10</v>
      </c>
      <c r="L635" s="10"/>
      <c r="M635" s="10"/>
    </row>
    <row r="636" spans="1:13" x14ac:dyDescent="0.25">
      <c r="A636" s="10">
        <f>A635+1</f>
        <v>572</v>
      </c>
      <c r="B636" s="19" t="s">
        <v>414</v>
      </c>
      <c r="C636" s="20">
        <v>12</v>
      </c>
      <c r="D636" s="15"/>
      <c r="E636" s="15">
        <v>6</v>
      </c>
      <c r="F636" s="15"/>
      <c r="G636" s="15"/>
      <c r="H636" s="15">
        <f>SUM(D636:G636)</f>
        <v>6</v>
      </c>
      <c r="I636" s="83">
        <f>H636*2</f>
        <v>12</v>
      </c>
      <c r="K636" s="19">
        <v>32</v>
      </c>
      <c r="L636" s="10"/>
      <c r="M636" s="10"/>
    </row>
    <row r="637" spans="1:13" x14ac:dyDescent="0.25">
      <c r="A637" s="10">
        <f>A636+1</f>
        <v>573</v>
      </c>
      <c r="B637" s="19" t="s">
        <v>499</v>
      </c>
      <c r="C637" s="20">
        <v>12</v>
      </c>
      <c r="D637" s="15"/>
      <c r="E637" s="15">
        <v>6</v>
      </c>
      <c r="F637" s="15"/>
      <c r="G637" s="15"/>
      <c r="H637" s="15">
        <f>SUM(D637:G637)</f>
        <v>6</v>
      </c>
      <c r="I637" s="83">
        <f>H637*2</f>
        <v>12</v>
      </c>
      <c r="K637" s="19">
        <v>10</v>
      </c>
      <c r="L637" s="10"/>
      <c r="M637" s="10"/>
    </row>
  </sheetData>
  <mergeCells count="1">
    <mergeCell ref="A2:K2"/>
  </mergeCells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593"/>
  <sheetViews>
    <sheetView view="pageBreakPreview" topLeftCell="A519" zoomScale="70" zoomScaleNormal="70" zoomScaleSheetLayoutView="70" workbookViewId="0">
      <selection activeCell="F100" sqref="F100"/>
    </sheetView>
  </sheetViews>
  <sheetFormatPr defaultColWidth="20" defaultRowHeight="21" x14ac:dyDescent="0.35"/>
  <cols>
    <col min="1" max="1" width="6.85546875" style="42" customWidth="1"/>
    <col min="2" max="2" width="13.140625" style="42" customWidth="1"/>
    <col min="3" max="3" width="90.140625" style="8" customWidth="1"/>
    <col min="4" max="4" width="12.5703125" style="182" bestFit="1" customWidth="1"/>
    <col min="5" max="5" width="13.5703125" style="75" customWidth="1"/>
    <col min="6" max="6" width="20.140625" style="71" bestFit="1" customWidth="1"/>
    <col min="7" max="7" width="20" style="73"/>
    <col min="8" max="8" width="31.28515625" style="80" customWidth="1"/>
    <col min="9" max="16384" width="20" style="8"/>
  </cols>
  <sheetData>
    <row r="1" spans="1:8" ht="28.5" x14ac:dyDescent="0.45">
      <c r="A1" s="879" t="s">
        <v>883</v>
      </c>
      <c r="B1" s="860"/>
      <c r="C1" s="860"/>
      <c r="D1" s="860"/>
      <c r="E1" s="860"/>
      <c r="F1" s="860"/>
      <c r="G1" s="860"/>
      <c r="H1" s="860"/>
    </row>
    <row r="2" spans="1:8" x14ac:dyDescent="0.35">
      <c r="A2" s="68"/>
      <c r="B2" s="35"/>
      <c r="C2" s="188"/>
      <c r="D2" s="181"/>
      <c r="E2" s="189"/>
      <c r="F2" s="190"/>
      <c r="G2" s="191"/>
      <c r="H2" s="76"/>
    </row>
    <row r="3" spans="1:8" s="24" customFormat="1" ht="64.5" customHeight="1" x14ac:dyDescent="0.25">
      <c r="A3" s="66" t="s">
        <v>658</v>
      </c>
      <c r="B3" s="21" t="s">
        <v>659</v>
      </c>
      <c r="C3" s="21" t="s">
        <v>660</v>
      </c>
      <c r="D3" s="65" t="s">
        <v>500</v>
      </c>
      <c r="E3" s="74" t="s">
        <v>920</v>
      </c>
      <c r="F3" s="64" t="s">
        <v>661</v>
      </c>
      <c r="G3" s="72" t="s">
        <v>550</v>
      </c>
      <c r="H3" s="78" t="s">
        <v>662</v>
      </c>
    </row>
    <row r="4" spans="1:8" s="42" customFormat="1" ht="23.25" x14ac:dyDescent="0.35">
      <c r="A4" s="35">
        <v>1</v>
      </c>
      <c r="B4" s="35"/>
      <c r="C4" s="77" t="s">
        <v>826</v>
      </c>
      <c r="D4" s="174"/>
      <c r="E4" s="35"/>
      <c r="F4" s="38"/>
      <c r="G4" s="38"/>
      <c r="H4" s="38"/>
    </row>
    <row r="5" spans="1:8" s="42" customFormat="1" ht="18.75" x14ac:dyDescent="0.3">
      <c r="A5" s="35"/>
      <c r="B5" s="35" t="e">
        <f>ALPHA!#REF!</f>
        <v>#REF!</v>
      </c>
      <c r="C5" s="35" t="e">
        <f>ALPHA!#REF!</f>
        <v>#REF!</v>
      </c>
      <c r="D5" s="174" t="e">
        <f>ALPHA!#REF!</f>
        <v>#REF!</v>
      </c>
      <c r="E5" s="35">
        <v>1</v>
      </c>
      <c r="F5" s="38" t="e">
        <f>ALPHA!#REF!</f>
        <v>#REF!</v>
      </c>
      <c r="G5" s="38" t="e">
        <f>E5*F5</f>
        <v>#REF!</v>
      </c>
      <c r="H5" s="38"/>
    </row>
    <row r="6" spans="1:8" s="42" customFormat="1" ht="18.75" x14ac:dyDescent="0.3">
      <c r="A6" s="35"/>
      <c r="B6" s="35" t="e">
        <f>ALPHA!#REF!</f>
        <v>#REF!</v>
      </c>
      <c r="C6" s="35" t="e">
        <f>ALPHA!#REF!</f>
        <v>#REF!</v>
      </c>
      <c r="D6" s="174" t="e">
        <f>ALPHA!#REF!</f>
        <v>#REF!</v>
      </c>
      <c r="E6" s="35">
        <v>38</v>
      </c>
      <c r="F6" s="38" t="e">
        <f>ALPHA!#REF!</f>
        <v>#REF!</v>
      </c>
      <c r="G6" s="38" t="e">
        <f t="shared" ref="G6:G30" si="0">E6*F6</f>
        <v>#REF!</v>
      </c>
      <c r="H6" s="38"/>
    </row>
    <row r="7" spans="1:8" s="42" customFormat="1" ht="18.75" x14ac:dyDescent="0.3">
      <c r="A7" s="35"/>
      <c r="B7" s="35" t="e">
        <f>ALPHA!#REF!</f>
        <v>#REF!</v>
      </c>
      <c r="C7" s="35" t="e">
        <f>ALPHA!#REF!</f>
        <v>#REF!</v>
      </c>
      <c r="D7" s="174" t="e">
        <f>ALPHA!#REF!</f>
        <v>#REF!</v>
      </c>
      <c r="E7" s="35">
        <v>23</v>
      </c>
      <c r="F7" s="38" t="e">
        <f>ALPHA!#REF!</f>
        <v>#REF!</v>
      </c>
      <c r="G7" s="38" t="e">
        <f t="shared" si="0"/>
        <v>#REF!</v>
      </c>
      <c r="H7" s="38"/>
    </row>
    <row r="8" spans="1:8" s="42" customFormat="1" ht="18.75" x14ac:dyDescent="0.3">
      <c r="A8" s="35"/>
      <c r="B8" s="35" t="e">
        <f>ALPHA!#REF!</f>
        <v>#REF!</v>
      </c>
      <c r="C8" s="35" t="e">
        <f>ALPHA!#REF!</f>
        <v>#REF!</v>
      </c>
      <c r="D8" s="174" t="e">
        <f>ALPHA!#REF!</f>
        <v>#REF!</v>
      </c>
      <c r="E8" s="35">
        <v>5</v>
      </c>
      <c r="F8" s="38" t="e">
        <f>ALPHA!#REF!</f>
        <v>#REF!</v>
      </c>
      <c r="G8" s="38" t="e">
        <f t="shared" si="0"/>
        <v>#REF!</v>
      </c>
      <c r="H8" s="38"/>
    </row>
    <row r="9" spans="1:8" s="42" customFormat="1" ht="18.75" x14ac:dyDescent="0.3">
      <c r="A9" s="35"/>
      <c r="B9" s="35" t="e">
        <f>ALPHA!#REF!</f>
        <v>#REF!</v>
      </c>
      <c r="C9" s="35" t="e">
        <f>ALPHA!#REF!</f>
        <v>#REF!</v>
      </c>
      <c r="D9" s="174" t="e">
        <f>ALPHA!#REF!</f>
        <v>#REF!</v>
      </c>
      <c r="E9" s="35">
        <v>8</v>
      </c>
      <c r="F9" s="38" t="e">
        <f>ALPHA!#REF!</f>
        <v>#REF!</v>
      </c>
      <c r="G9" s="38" t="e">
        <f t="shared" si="0"/>
        <v>#REF!</v>
      </c>
      <c r="H9" s="38"/>
    </row>
    <row r="10" spans="1:8" s="42" customFormat="1" ht="18.75" x14ac:dyDescent="0.3">
      <c r="A10" s="35"/>
      <c r="B10" s="35" t="e">
        <f>ALPHA!#REF!</f>
        <v>#REF!</v>
      </c>
      <c r="C10" s="35" t="e">
        <f>ALPHA!#REF!</f>
        <v>#REF!</v>
      </c>
      <c r="D10" s="174" t="e">
        <f>ALPHA!#REF!</f>
        <v>#REF!</v>
      </c>
      <c r="E10" s="35">
        <v>1</v>
      </c>
      <c r="F10" s="38" t="e">
        <f>ALPHA!#REF!</f>
        <v>#REF!</v>
      </c>
      <c r="G10" s="38" t="e">
        <f t="shared" si="0"/>
        <v>#REF!</v>
      </c>
      <c r="H10" s="38"/>
    </row>
    <row r="11" spans="1:8" s="42" customFormat="1" ht="18.75" x14ac:dyDescent="0.3">
      <c r="A11" s="35"/>
      <c r="B11" s="35" t="e">
        <f>ALPHA!#REF!</f>
        <v>#REF!</v>
      </c>
      <c r="C11" s="35" t="e">
        <f>ALPHA!#REF!</f>
        <v>#REF!</v>
      </c>
      <c r="D11" s="174" t="e">
        <f>ALPHA!#REF!</f>
        <v>#REF!</v>
      </c>
      <c r="E11" s="35">
        <v>14</v>
      </c>
      <c r="F11" s="38" t="e">
        <f>ALPHA!#REF!</f>
        <v>#REF!</v>
      </c>
      <c r="G11" s="38" t="e">
        <f t="shared" si="0"/>
        <v>#REF!</v>
      </c>
      <c r="H11" s="38"/>
    </row>
    <row r="12" spans="1:8" s="42" customFormat="1" ht="18.75" x14ac:dyDescent="0.3">
      <c r="A12" s="35"/>
      <c r="B12" s="35" t="e">
        <f>ALPHA!#REF!</f>
        <v>#REF!</v>
      </c>
      <c r="C12" s="35" t="e">
        <f>ALPHA!#REF!</f>
        <v>#REF!</v>
      </c>
      <c r="D12" s="174" t="e">
        <f>ALPHA!#REF!</f>
        <v>#REF!</v>
      </c>
      <c r="E12" s="35">
        <v>143</v>
      </c>
      <c r="F12" s="38" t="e">
        <f>ALPHA!#REF!</f>
        <v>#REF!</v>
      </c>
      <c r="G12" s="38" t="e">
        <f t="shared" si="0"/>
        <v>#REF!</v>
      </c>
      <c r="H12" s="38"/>
    </row>
    <row r="13" spans="1:8" s="42" customFormat="1" ht="18.75" x14ac:dyDescent="0.3">
      <c r="A13" s="35"/>
      <c r="B13" s="35" t="e">
        <f>ALPHA!#REF!</f>
        <v>#REF!</v>
      </c>
      <c r="C13" s="35" t="e">
        <f>ALPHA!#REF!</f>
        <v>#REF!</v>
      </c>
      <c r="D13" s="174" t="e">
        <f>ALPHA!#REF!</f>
        <v>#REF!</v>
      </c>
      <c r="E13" s="35">
        <v>1</v>
      </c>
      <c r="F13" s="38" t="e">
        <f>ALPHA!#REF!</f>
        <v>#REF!</v>
      </c>
      <c r="G13" s="38" t="e">
        <f t="shared" si="0"/>
        <v>#REF!</v>
      </c>
      <c r="H13" s="38"/>
    </row>
    <row r="14" spans="1:8" s="42" customFormat="1" ht="18.75" x14ac:dyDescent="0.3">
      <c r="A14" s="35"/>
      <c r="B14" s="35" t="e">
        <f>ALPHA!#REF!</f>
        <v>#REF!</v>
      </c>
      <c r="C14" s="35" t="e">
        <f>ALPHA!#REF!</f>
        <v>#REF!</v>
      </c>
      <c r="D14" s="174" t="e">
        <f>ALPHA!#REF!</f>
        <v>#REF!</v>
      </c>
      <c r="E14" s="35">
        <v>3</v>
      </c>
      <c r="F14" s="38" t="e">
        <f>ALPHA!#REF!</f>
        <v>#REF!</v>
      </c>
      <c r="G14" s="38" t="e">
        <f t="shared" si="0"/>
        <v>#REF!</v>
      </c>
      <c r="H14" s="38"/>
    </row>
    <row r="15" spans="1:8" s="42" customFormat="1" ht="18.75" x14ac:dyDescent="0.3">
      <c r="A15" s="35"/>
      <c r="B15" s="35" t="e">
        <f>ALPHA!#REF!</f>
        <v>#REF!</v>
      </c>
      <c r="C15" s="35" t="e">
        <f>ALPHA!#REF!</f>
        <v>#REF!</v>
      </c>
      <c r="D15" s="174" t="e">
        <f>ALPHA!#REF!</f>
        <v>#REF!</v>
      </c>
      <c r="E15" s="35">
        <v>27</v>
      </c>
      <c r="F15" s="38" t="e">
        <f>ALPHA!#REF!</f>
        <v>#REF!</v>
      </c>
      <c r="G15" s="38" t="e">
        <f t="shared" si="0"/>
        <v>#REF!</v>
      </c>
      <c r="H15" s="38"/>
    </row>
    <row r="16" spans="1:8" s="42" customFormat="1" ht="18.75" x14ac:dyDescent="0.3">
      <c r="A16" s="35"/>
      <c r="B16" s="35" t="e">
        <f>ALPHA!#REF!</f>
        <v>#REF!</v>
      </c>
      <c r="C16" s="35" t="e">
        <f>ALPHA!#REF!</f>
        <v>#REF!</v>
      </c>
      <c r="D16" s="174" t="e">
        <f>ALPHA!#REF!</f>
        <v>#REF!</v>
      </c>
      <c r="E16" s="35">
        <v>13</v>
      </c>
      <c r="F16" s="38" t="e">
        <f>ALPHA!#REF!</f>
        <v>#REF!</v>
      </c>
      <c r="G16" s="38" t="e">
        <f t="shared" si="0"/>
        <v>#REF!</v>
      </c>
      <c r="H16" s="38"/>
    </row>
    <row r="17" spans="1:8" s="42" customFormat="1" ht="18.75" x14ac:dyDescent="0.3">
      <c r="A17" s="35"/>
      <c r="B17" s="35" t="e">
        <f>ALPHA!#REF!</f>
        <v>#REF!</v>
      </c>
      <c r="C17" s="35" t="e">
        <f>ALPHA!#REF!</f>
        <v>#REF!</v>
      </c>
      <c r="D17" s="174" t="e">
        <f>ALPHA!#REF!</f>
        <v>#REF!</v>
      </c>
      <c r="E17" s="35">
        <v>3</v>
      </c>
      <c r="F17" s="38" t="e">
        <f>ALPHA!#REF!</f>
        <v>#REF!</v>
      </c>
      <c r="G17" s="38" t="e">
        <f t="shared" si="0"/>
        <v>#REF!</v>
      </c>
      <c r="H17" s="38"/>
    </row>
    <row r="18" spans="1:8" s="42" customFormat="1" ht="18.75" x14ac:dyDescent="0.3">
      <c r="A18" s="35"/>
      <c r="B18" s="35" t="e">
        <f>ALPHA!#REF!</f>
        <v>#REF!</v>
      </c>
      <c r="C18" s="35" t="e">
        <f>ALPHA!#REF!</f>
        <v>#REF!</v>
      </c>
      <c r="D18" s="174" t="e">
        <f>ALPHA!#REF!</f>
        <v>#REF!</v>
      </c>
      <c r="E18" s="35">
        <v>43</v>
      </c>
      <c r="F18" s="38" t="e">
        <f>ALPHA!#REF!</f>
        <v>#REF!</v>
      </c>
      <c r="G18" s="38" t="e">
        <f t="shared" si="0"/>
        <v>#REF!</v>
      </c>
      <c r="H18" s="38"/>
    </row>
    <row r="19" spans="1:8" s="42" customFormat="1" ht="18.75" x14ac:dyDescent="0.3">
      <c r="A19" s="35"/>
      <c r="B19" s="35" t="e">
        <f>ALPHA!#REF!</f>
        <v>#REF!</v>
      </c>
      <c r="C19" s="35" t="e">
        <f>ALPHA!#REF!</f>
        <v>#REF!</v>
      </c>
      <c r="D19" s="174" t="e">
        <f>ALPHA!#REF!</f>
        <v>#REF!</v>
      </c>
      <c r="E19" s="35">
        <v>10</v>
      </c>
      <c r="F19" s="38" t="e">
        <f>ALPHA!#REF!</f>
        <v>#REF!</v>
      </c>
      <c r="G19" s="38" t="e">
        <f t="shared" si="0"/>
        <v>#REF!</v>
      </c>
      <c r="H19" s="38"/>
    </row>
    <row r="20" spans="1:8" s="42" customFormat="1" ht="18.75" x14ac:dyDescent="0.3">
      <c r="A20" s="35"/>
      <c r="B20" s="35" t="e">
        <f>ALPHA!#REF!</f>
        <v>#REF!</v>
      </c>
      <c r="C20" s="35" t="e">
        <f>ALPHA!#REF!</f>
        <v>#REF!</v>
      </c>
      <c r="D20" s="174" t="e">
        <f>ALPHA!#REF!</f>
        <v>#REF!</v>
      </c>
      <c r="E20" s="35">
        <v>6</v>
      </c>
      <c r="F20" s="38" t="e">
        <f>ALPHA!#REF!</f>
        <v>#REF!</v>
      </c>
      <c r="G20" s="38" t="e">
        <f t="shared" si="0"/>
        <v>#REF!</v>
      </c>
      <c r="H20" s="38"/>
    </row>
    <row r="21" spans="1:8" s="42" customFormat="1" ht="18.75" x14ac:dyDescent="0.3">
      <c r="A21" s="35"/>
      <c r="B21" s="35" t="e">
        <f>ALPHA!#REF!</f>
        <v>#REF!</v>
      </c>
      <c r="C21" s="35" t="e">
        <f>ALPHA!#REF!</f>
        <v>#REF!</v>
      </c>
      <c r="D21" s="174" t="e">
        <f>ALPHA!#REF!</f>
        <v>#REF!</v>
      </c>
      <c r="E21" s="35">
        <v>1</v>
      </c>
      <c r="F21" s="38" t="e">
        <f>ALPHA!#REF!</f>
        <v>#REF!</v>
      </c>
      <c r="G21" s="38" t="e">
        <f t="shared" si="0"/>
        <v>#REF!</v>
      </c>
      <c r="H21" s="35"/>
    </row>
    <row r="22" spans="1:8" s="42" customFormat="1" ht="18.75" x14ac:dyDescent="0.3">
      <c r="A22" s="35"/>
      <c r="B22" s="35" t="e">
        <f>ALPHA!#REF!</f>
        <v>#REF!</v>
      </c>
      <c r="C22" s="35" t="e">
        <f>ALPHA!#REF!</f>
        <v>#REF!</v>
      </c>
      <c r="D22" s="174" t="e">
        <f>ALPHA!#REF!</f>
        <v>#REF!</v>
      </c>
      <c r="E22" s="35">
        <v>3</v>
      </c>
      <c r="F22" s="38" t="e">
        <f>ALPHA!#REF!</f>
        <v>#REF!</v>
      </c>
      <c r="G22" s="38" t="e">
        <f t="shared" si="0"/>
        <v>#REF!</v>
      </c>
      <c r="H22" s="35"/>
    </row>
    <row r="23" spans="1:8" s="42" customFormat="1" ht="18.75" x14ac:dyDescent="0.3">
      <c r="A23" s="35"/>
      <c r="B23" s="35" t="e">
        <f>ALPHA!#REF!</f>
        <v>#REF!</v>
      </c>
      <c r="C23" s="35" t="e">
        <f>ALPHA!#REF!</f>
        <v>#REF!</v>
      </c>
      <c r="D23" s="174" t="e">
        <f>ALPHA!#REF!</f>
        <v>#REF!</v>
      </c>
      <c r="E23" s="35">
        <v>30</v>
      </c>
      <c r="F23" s="38" t="e">
        <f>ALPHA!#REF!</f>
        <v>#REF!</v>
      </c>
      <c r="G23" s="38" t="e">
        <f t="shared" si="0"/>
        <v>#REF!</v>
      </c>
      <c r="H23" s="38"/>
    </row>
    <row r="24" spans="1:8" s="42" customFormat="1" ht="18.75" x14ac:dyDescent="0.3">
      <c r="A24" s="35"/>
      <c r="B24" s="35" t="e">
        <f>ALPHA!#REF!</f>
        <v>#REF!</v>
      </c>
      <c r="C24" s="35" t="e">
        <f>ALPHA!#REF!</f>
        <v>#REF!</v>
      </c>
      <c r="D24" s="174" t="e">
        <f>ALPHA!#REF!</f>
        <v>#REF!</v>
      </c>
      <c r="E24" s="35">
        <v>200</v>
      </c>
      <c r="F24" s="38" t="e">
        <f>ALPHA!#REF!</f>
        <v>#REF!</v>
      </c>
      <c r="G24" s="38" t="e">
        <f t="shared" si="0"/>
        <v>#REF!</v>
      </c>
      <c r="H24" s="38"/>
    </row>
    <row r="25" spans="1:8" s="42" customFormat="1" ht="18.75" x14ac:dyDescent="0.3">
      <c r="A25" s="35"/>
      <c r="B25" s="35" t="e">
        <f>ALPHA!#REF!</f>
        <v>#REF!</v>
      </c>
      <c r="C25" s="35" t="e">
        <f>ALPHA!#REF!</f>
        <v>#REF!</v>
      </c>
      <c r="D25" s="174" t="e">
        <f>ALPHA!#REF!</f>
        <v>#REF!</v>
      </c>
      <c r="E25" s="35">
        <v>598</v>
      </c>
      <c r="F25" s="38" t="e">
        <f>ALPHA!#REF!</f>
        <v>#REF!</v>
      </c>
      <c r="G25" s="38" t="e">
        <f t="shared" si="0"/>
        <v>#REF!</v>
      </c>
      <c r="H25" s="38"/>
    </row>
    <row r="26" spans="1:8" s="42" customFormat="1" ht="18.75" x14ac:dyDescent="0.3">
      <c r="A26" s="35"/>
      <c r="B26" s="35" t="e">
        <f>ALPHA!#REF!</f>
        <v>#REF!</v>
      </c>
      <c r="C26" s="35" t="e">
        <f>ALPHA!#REF!</f>
        <v>#REF!</v>
      </c>
      <c r="D26" s="174" t="e">
        <f>ALPHA!#REF!</f>
        <v>#REF!</v>
      </c>
      <c r="E26" s="35">
        <v>15</v>
      </c>
      <c r="F26" s="38" t="e">
        <f>ALPHA!#REF!</f>
        <v>#REF!</v>
      </c>
      <c r="G26" s="38" t="e">
        <f t="shared" si="0"/>
        <v>#REF!</v>
      </c>
      <c r="H26" s="38"/>
    </row>
    <row r="27" spans="1:8" s="42" customFormat="1" ht="23.25" x14ac:dyDescent="0.35">
      <c r="A27" s="35"/>
      <c r="B27" s="35" t="e">
        <f>ALPHA!#REF!</f>
        <v>#REF!</v>
      </c>
      <c r="C27" s="35" t="e">
        <f>ALPHA!#REF!</f>
        <v>#REF!</v>
      </c>
      <c r="D27" s="174" t="e">
        <f>ALPHA!#REF!</f>
        <v>#REF!</v>
      </c>
      <c r="E27" s="35">
        <v>5</v>
      </c>
      <c r="F27" s="38" t="e">
        <f>ALPHA!#REF!</f>
        <v>#REF!</v>
      </c>
      <c r="G27" s="38" t="e">
        <f t="shared" si="0"/>
        <v>#REF!</v>
      </c>
      <c r="H27" s="79"/>
    </row>
    <row r="28" spans="1:8" s="42" customFormat="1" ht="18.75" x14ac:dyDescent="0.3">
      <c r="A28" s="35"/>
      <c r="B28" s="35" t="e">
        <f>ALPHA!#REF!</f>
        <v>#REF!</v>
      </c>
      <c r="C28" s="35" t="e">
        <f>ALPHA!#REF!</f>
        <v>#REF!</v>
      </c>
      <c r="D28" s="174" t="e">
        <f>ALPHA!#REF!</f>
        <v>#REF!</v>
      </c>
      <c r="E28" s="35">
        <v>25</v>
      </c>
      <c r="F28" s="38" t="e">
        <f>ALPHA!#REF!</f>
        <v>#REF!</v>
      </c>
      <c r="G28" s="38" t="e">
        <f t="shared" si="0"/>
        <v>#REF!</v>
      </c>
      <c r="H28" s="38"/>
    </row>
    <row r="29" spans="1:8" s="42" customFormat="1" ht="18.75" x14ac:dyDescent="0.3">
      <c r="A29" s="35"/>
      <c r="B29" s="35" t="e">
        <f>ALPHA!#REF!</f>
        <v>#REF!</v>
      </c>
      <c r="C29" s="35" t="e">
        <f>ALPHA!#REF!</f>
        <v>#REF!</v>
      </c>
      <c r="D29" s="174" t="e">
        <f>ALPHA!#REF!</f>
        <v>#REF!</v>
      </c>
      <c r="E29" s="35">
        <v>150</v>
      </c>
      <c r="F29" s="38" t="e">
        <f>ALPHA!#REF!</f>
        <v>#REF!</v>
      </c>
      <c r="G29" s="38" t="e">
        <f t="shared" si="0"/>
        <v>#REF!</v>
      </c>
      <c r="H29" s="38"/>
    </row>
    <row r="30" spans="1:8" s="42" customFormat="1" ht="23.25" x14ac:dyDescent="0.35">
      <c r="A30" s="35"/>
      <c r="B30" s="35" t="e">
        <f>ALPHA!#REF!</f>
        <v>#REF!</v>
      </c>
      <c r="C30" s="35" t="e">
        <f>ALPHA!#REF!</f>
        <v>#REF!</v>
      </c>
      <c r="D30" s="174" t="e">
        <f>ALPHA!#REF!</f>
        <v>#REF!</v>
      </c>
      <c r="E30" s="35">
        <v>25</v>
      </c>
      <c r="F30" s="38" t="e">
        <f>ALPHA!#REF!</f>
        <v>#REF!</v>
      </c>
      <c r="G30" s="38" t="e">
        <f t="shared" si="0"/>
        <v>#REF!</v>
      </c>
      <c r="H30" s="186" t="e">
        <f>SUM(G5:G30)</f>
        <v>#REF!</v>
      </c>
    </row>
    <row r="31" spans="1:8" s="42" customFormat="1" ht="18.75" x14ac:dyDescent="0.3">
      <c r="A31" s="35"/>
      <c r="B31" s="35"/>
      <c r="C31" s="35"/>
      <c r="D31" s="174"/>
      <c r="E31" s="35"/>
      <c r="F31" s="38"/>
      <c r="G31" s="38"/>
      <c r="H31" s="35"/>
    </row>
    <row r="32" spans="1:8" s="42" customFormat="1" ht="18.75" x14ac:dyDescent="0.3">
      <c r="A32" s="35"/>
      <c r="B32" s="35"/>
      <c r="C32" s="35"/>
      <c r="D32" s="174"/>
      <c r="E32" s="35"/>
      <c r="F32" s="38"/>
      <c r="G32" s="38"/>
      <c r="H32" s="35"/>
    </row>
    <row r="33" spans="1:8" s="42" customFormat="1" ht="18.75" x14ac:dyDescent="0.3">
      <c r="A33" s="35"/>
      <c r="B33" s="35"/>
      <c r="C33" s="35"/>
      <c r="D33" s="174"/>
      <c r="E33" s="35"/>
      <c r="F33" s="38"/>
      <c r="G33" s="38"/>
      <c r="H33" s="35"/>
    </row>
    <row r="34" spans="1:8" s="42" customFormat="1" ht="18.75" x14ac:dyDescent="0.3">
      <c r="A34" s="35"/>
      <c r="B34" s="35"/>
      <c r="C34" s="35"/>
      <c r="D34" s="174"/>
      <c r="E34" s="35"/>
      <c r="F34" s="38"/>
      <c r="G34" s="38"/>
      <c r="H34" s="35"/>
    </row>
    <row r="35" spans="1:8" s="42" customFormat="1" ht="18.75" x14ac:dyDescent="0.3">
      <c r="A35" s="35"/>
      <c r="B35" s="35"/>
      <c r="C35" s="35"/>
      <c r="D35" s="174"/>
      <c r="E35" s="35"/>
      <c r="F35" s="38"/>
      <c r="G35" s="38"/>
      <c r="H35" s="35"/>
    </row>
    <row r="36" spans="1:8" s="42" customFormat="1" ht="18.75" x14ac:dyDescent="0.3">
      <c r="A36" s="35"/>
      <c r="B36" s="35"/>
      <c r="C36" s="35"/>
      <c r="D36" s="174"/>
      <c r="E36" s="35"/>
      <c r="F36" s="38"/>
      <c r="G36" s="38"/>
      <c r="H36" s="35"/>
    </row>
    <row r="37" spans="1:8" s="42" customFormat="1" ht="23.25" x14ac:dyDescent="0.35">
      <c r="A37" s="35">
        <v>2</v>
      </c>
      <c r="B37" s="35"/>
      <c r="C37" s="77" t="s">
        <v>884</v>
      </c>
      <c r="D37" s="174"/>
      <c r="E37" s="35"/>
      <c r="F37" s="38"/>
      <c r="G37" s="38"/>
      <c r="H37" s="38"/>
    </row>
    <row r="38" spans="1:8" s="42" customFormat="1" ht="18.75" x14ac:dyDescent="0.3">
      <c r="A38" s="35"/>
      <c r="B38" s="35" t="e">
        <f>#REF!</f>
        <v>#REF!</v>
      </c>
      <c r="C38" s="35" t="e">
        <f>#REF!</f>
        <v>#REF!</v>
      </c>
      <c r="D38" s="174" t="e">
        <f>#REF!</f>
        <v>#REF!</v>
      </c>
      <c r="E38" s="35">
        <v>300</v>
      </c>
      <c r="F38" s="38" t="e">
        <f>#REF!</f>
        <v>#REF!</v>
      </c>
      <c r="G38" s="38" t="e">
        <f t="shared" ref="G38:G43" si="1">E38*F38</f>
        <v>#REF!</v>
      </c>
      <c r="H38" s="38"/>
    </row>
    <row r="39" spans="1:8" s="42" customFormat="1" ht="18.75" x14ac:dyDescent="0.3">
      <c r="A39" s="35"/>
      <c r="B39" s="35" t="e">
        <f>#REF!</f>
        <v>#REF!</v>
      </c>
      <c r="C39" s="35" t="e">
        <f>#REF!</f>
        <v>#REF!</v>
      </c>
      <c r="D39" s="174" t="e">
        <f>#REF!</f>
        <v>#REF!</v>
      </c>
      <c r="E39" s="35">
        <v>50</v>
      </c>
      <c r="F39" s="38" t="e">
        <f>#REF!</f>
        <v>#REF!</v>
      </c>
      <c r="G39" s="38" t="e">
        <f t="shared" si="1"/>
        <v>#REF!</v>
      </c>
      <c r="H39" s="38"/>
    </row>
    <row r="40" spans="1:8" s="42" customFormat="1" ht="18.75" x14ac:dyDescent="0.3">
      <c r="A40" s="35"/>
      <c r="B40" s="35" t="e">
        <f>#REF!</f>
        <v>#REF!</v>
      </c>
      <c r="C40" s="35" t="e">
        <f>#REF!</f>
        <v>#REF!</v>
      </c>
      <c r="D40" s="174" t="e">
        <f>#REF!</f>
        <v>#REF!</v>
      </c>
      <c r="E40" s="35">
        <v>600</v>
      </c>
      <c r="F40" s="38" t="e">
        <f>#REF!</f>
        <v>#REF!</v>
      </c>
      <c r="G40" s="38" t="e">
        <f t="shared" si="1"/>
        <v>#REF!</v>
      </c>
      <c r="H40" s="38"/>
    </row>
    <row r="41" spans="1:8" s="42" customFormat="1" ht="18.75" x14ac:dyDescent="0.3">
      <c r="A41" s="35"/>
      <c r="B41" s="35">
        <v>250</v>
      </c>
      <c r="C41" s="35" t="s">
        <v>178</v>
      </c>
      <c r="D41" s="174">
        <v>5</v>
      </c>
      <c r="E41" s="35">
        <v>25</v>
      </c>
      <c r="F41" s="38">
        <v>8296</v>
      </c>
      <c r="G41" s="38">
        <f t="shared" si="1"/>
        <v>207400</v>
      </c>
      <c r="H41" s="38"/>
    </row>
    <row r="42" spans="1:8" s="42" customFormat="1" ht="18.75" x14ac:dyDescent="0.3">
      <c r="A42" s="35"/>
      <c r="B42" s="35" t="e">
        <f>#REF!</f>
        <v>#REF!</v>
      </c>
      <c r="C42" s="35" t="e">
        <f>#REF!</f>
        <v>#REF!</v>
      </c>
      <c r="D42" s="174" t="e">
        <f>#REF!</f>
        <v>#REF!</v>
      </c>
      <c r="E42" s="35">
        <v>25</v>
      </c>
      <c r="F42" s="38" t="e">
        <f>#REF!</f>
        <v>#REF!</v>
      </c>
      <c r="G42" s="38" t="e">
        <f t="shared" si="1"/>
        <v>#REF!</v>
      </c>
      <c r="H42" s="38"/>
    </row>
    <row r="43" spans="1:8" s="42" customFormat="1" ht="23.25" x14ac:dyDescent="0.35">
      <c r="A43" s="35"/>
      <c r="B43" s="35" t="e">
        <f>#REF!</f>
        <v>#REF!</v>
      </c>
      <c r="C43" s="35" t="e">
        <f>#REF!</f>
        <v>#REF!</v>
      </c>
      <c r="D43" s="174" t="e">
        <f>#REF!</f>
        <v>#REF!</v>
      </c>
      <c r="E43" s="35">
        <v>10</v>
      </c>
      <c r="F43" s="38" t="e">
        <f>#REF!</f>
        <v>#REF!</v>
      </c>
      <c r="G43" s="38" t="e">
        <f t="shared" si="1"/>
        <v>#REF!</v>
      </c>
      <c r="H43" s="186" t="e">
        <f>SUM(G38:G43)</f>
        <v>#REF!</v>
      </c>
    </row>
    <row r="44" spans="1:8" s="42" customFormat="1" ht="18.75" x14ac:dyDescent="0.3">
      <c r="A44" s="35"/>
      <c r="B44" s="35"/>
      <c r="C44" s="35"/>
      <c r="D44" s="174"/>
      <c r="E44" s="35"/>
      <c r="F44" s="38"/>
      <c r="G44" s="38"/>
      <c r="H44" s="35"/>
    </row>
    <row r="45" spans="1:8" s="42" customFormat="1" ht="18.75" x14ac:dyDescent="0.3">
      <c r="A45" s="35"/>
      <c r="B45" s="35"/>
      <c r="C45" s="35"/>
      <c r="D45" s="174"/>
      <c r="E45" s="35"/>
      <c r="F45" s="38"/>
      <c r="G45" s="38"/>
      <c r="H45" s="35"/>
    </row>
    <row r="46" spans="1:8" s="42" customFormat="1" ht="23.25" x14ac:dyDescent="0.35">
      <c r="A46" s="35">
        <v>3</v>
      </c>
      <c r="B46" s="35"/>
      <c r="C46" s="77" t="s">
        <v>885</v>
      </c>
      <c r="D46" s="184"/>
      <c r="E46" s="77"/>
      <c r="F46" s="79"/>
      <c r="G46" s="79"/>
      <c r="H46" s="79"/>
    </row>
    <row r="47" spans="1:8" s="42" customFormat="1" ht="18.75" x14ac:dyDescent="0.3">
      <c r="A47" s="35"/>
      <c r="B47" s="35" t="e">
        <f>#REF!</f>
        <v>#REF!</v>
      </c>
      <c r="C47" s="35" t="e">
        <f>#REF!</f>
        <v>#REF!</v>
      </c>
      <c r="D47" s="174" t="e">
        <f>#REF!</f>
        <v>#REF!</v>
      </c>
      <c r="E47" s="35">
        <v>10</v>
      </c>
      <c r="F47" s="38" t="e">
        <f>#REF!</f>
        <v>#REF!</v>
      </c>
      <c r="G47" s="38" t="e">
        <f>E47*F47</f>
        <v>#REF!</v>
      </c>
      <c r="H47" s="38"/>
    </row>
    <row r="48" spans="1:8" s="42" customFormat="1" ht="18.75" x14ac:dyDescent="0.3">
      <c r="A48" s="35"/>
      <c r="B48" s="35" t="e">
        <f>#REF!</f>
        <v>#REF!</v>
      </c>
      <c r="C48" s="35" t="e">
        <f>#REF!</f>
        <v>#REF!</v>
      </c>
      <c r="D48" s="174" t="e">
        <f>#REF!</f>
        <v>#REF!</v>
      </c>
      <c r="E48" s="35">
        <v>500</v>
      </c>
      <c r="F48" s="38" t="e">
        <f>#REF!</f>
        <v>#REF!</v>
      </c>
      <c r="G48" s="38" t="e">
        <f>E48*F48</f>
        <v>#REF!</v>
      </c>
      <c r="H48" s="38"/>
    </row>
    <row r="49" spans="1:8" s="42" customFormat="1" ht="23.25" x14ac:dyDescent="0.35">
      <c r="A49" s="35"/>
      <c r="B49" s="35" t="e">
        <f>#REF!</f>
        <v>#REF!</v>
      </c>
      <c r="C49" s="35" t="e">
        <f>#REF!</f>
        <v>#REF!</v>
      </c>
      <c r="D49" s="174" t="e">
        <f>#REF!</f>
        <v>#REF!</v>
      </c>
      <c r="E49" s="35">
        <v>10</v>
      </c>
      <c r="F49" s="38" t="e">
        <f>#REF!</f>
        <v>#REF!</v>
      </c>
      <c r="G49" s="38" t="e">
        <f>E49*F49</f>
        <v>#REF!</v>
      </c>
      <c r="H49" s="186" t="e">
        <f>SUM(G47:G49)</f>
        <v>#REF!</v>
      </c>
    </row>
    <row r="50" spans="1:8" s="42" customFormat="1" ht="18.75" x14ac:dyDescent="0.3">
      <c r="A50" s="35"/>
      <c r="B50" s="35"/>
      <c r="C50" s="35"/>
      <c r="D50" s="174"/>
      <c r="E50" s="35"/>
      <c r="F50" s="38"/>
      <c r="G50" s="38"/>
      <c r="H50" s="35"/>
    </row>
    <row r="51" spans="1:8" s="42" customFormat="1" ht="18.75" x14ac:dyDescent="0.3">
      <c r="A51" s="35"/>
      <c r="B51" s="35"/>
      <c r="C51" s="35"/>
      <c r="D51" s="174"/>
      <c r="E51" s="35"/>
      <c r="F51" s="38"/>
      <c r="G51" s="38"/>
      <c r="H51" s="35"/>
    </row>
    <row r="52" spans="1:8" s="42" customFormat="1" ht="23.25" x14ac:dyDescent="0.35">
      <c r="A52" s="35">
        <v>4</v>
      </c>
      <c r="B52" s="35"/>
      <c r="C52" s="77" t="s">
        <v>878</v>
      </c>
      <c r="D52" s="184"/>
      <c r="E52" s="77"/>
      <c r="F52" s="79"/>
      <c r="G52" s="79"/>
      <c r="H52" s="79"/>
    </row>
    <row r="53" spans="1:8" s="42" customFormat="1" ht="18.75" x14ac:dyDescent="0.3">
      <c r="A53" s="35"/>
      <c r="B53" s="35" t="e">
        <f>#REF!</f>
        <v>#REF!</v>
      </c>
      <c r="C53" s="35" t="e">
        <f>#REF!</f>
        <v>#REF!</v>
      </c>
      <c r="D53" s="174" t="e">
        <f>#REF!</f>
        <v>#REF!</v>
      </c>
      <c r="E53" s="35">
        <v>120</v>
      </c>
      <c r="F53" s="38" t="e">
        <f>#REF!</f>
        <v>#REF!</v>
      </c>
      <c r="G53" s="38" t="e">
        <f>E53*F53</f>
        <v>#REF!</v>
      </c>
      <c r="H53" s="38"/>
    </row>
    <row r="54" spans="1:8" s="42" customFormat="1" ht="18.75" x14ac:dyDescent="0.3">
      <c r="A54" s="35"/>
      <c r="B54" s="35" t="e">
        <f>#REF!</f>
        <v>#REF!</v>
      </c>
      <c r="C54" s="35" t="e">
        <f>#REF!</f>
        <v>#REF!</v>
      </c>
      <c r="D54" s="174" t="e">
        <f>#REF!</f>
        <v>#REF!</v>
      </c>
      <c r="E54" s="35">
        <v>18</v>
      </c>
      <c r="F54" s="38" t="e">
        <f>#REF!</f>
        <v>#REF!</v>
      </c>
      <c r="G54" s="38" t="e">
        <f>E54*F54</f>
        <v>#REF!</v>
      </c>
      <c r="H54" s="38"/>
    </row>
    <row r="55" spans="1:8" s="42" customFormat="1" ht="18.75" x14ac:dyDescent="0.3">
      <c r="A55" s="35"/>
      <c r="B55" s="35" t="e">
        <f>#REF!</f>
        <v>#REF!</v>
      </c>
      <c r="C55" s="35" t="e">
        <f>#REF!</f>
        <v>#REF!</v>
      </c>
      <c r="D55" s="174" t="e">
        <f>#REF!</f>
        <v>#REF!</v>
      </c>
      <c r="E55" s="35">
        <v>80</v>
      </c>
      <c r="F55" s="38" t="e">
        <f>#REF!</f>
        <v>#REF!</v>
      </c>
      <c r="G55" s="38" t="e">
        <f>E55*F55</f>
        <v>#REF!</v>
      </c>
      <c r="H55" s="38"/>
    </row>
    <row r="56" spans="1:8" s="42" customFormat="1" ht="18.75" x14ac:dyDescent="0.3">
      <c r="A56" s="35"/>
      <c r="B56" s="35" t="e">
        <f>#REF!</f>
        <v>#REF!</v>
      </c>
      <c r="C56" s="35" t="e">
        <f>#REF!</f>
        <v>#REF!</v>
      </c>
      <c r="D56" s="174" t="e">
        <f>#REF!</f>
        <v>#REF!</v>
      </c>
      <c r="E56" s="35">
        <v>42</v>
      </c>
      <c r="F56" s="38" t="e">
        <f>#REF!</f>
        <v>#REF!</v>
      </c>
      <c r="G56" s="38" t="e">
        <f>E56*F56</f>
        <v>#REF!</v>
      </c>
      <c r="H56" s="38"/>
    </row>
    <row r="57" spans="1:8" s="42" customFormat="1" ht="23.25" x14ac:dyDescent="0.35">
      <c r="A57" s="35"/>
      <c r="B57" s="35" t="e">
        <f>#REF!</f>
        <v>#REF!</v>
      </c>
      <c r="C57" s="35" t="e">
        <f>#REF!</f>
        <v>#REF!</v>
      </c>
      <c r="D57" s="174" t="e">
        <f>#REF!</f>
        <v>#REF!</v>
      </c>
      <c r="E57" s="35">
        <v>28</v>
      </c>
      <c r="F57" s="38" t="e">
        <f>#REF!</f>
        <v>#REF!</v>
      </c>
      <c r="G57" s="38" t="e">
        <f>E57*F57</f>
        <v>#REF!</v>
      </c>
      <c r="H57" s="186" t="e">
        <f>SUM(G53:G57)</f>
        <v>#REF!</v>
      </c>
    </row>
    <row r="58" spans="1:8" s="42" customFormat="1" ht="23.25" x14ac:dyDescent="0.35">
      <c r="A58" s="35"/>
      <c r="B58" s="35"/>
      <c r="C58" s="35"/>
      <c r="D58" s="174"/>
      <c r="E58" s="35"/>
      <c r="F58" s="38"/>
      <c r="G58" s="38"/>
      <c r="H58" s="186"/>
    </row>
    <row r="59" spans="1:8" s="42" customFormat="1" ht="23.25" x14ac:dyDescent="0.35">
      <c r="A59" s="35"/>
      <c r="B59" s="35"/>
      <c r="C59" s="35"/>
      <c r="D59" s="174"/>
      <c r="E59" s="35"/>
      <c r="F59" s="38"/>
      <c r="G59" s="38"/>
      <c r="H59" s="186"/>
    </row>
    <row r="60" spans="1:8" s="42" customFormat="1" ht="18.75" x14ac:dyDescent="0.3">
      <c r="A60" s="35"/>
      <c r="B60" s="35"/>
      <c r="C60" s="35"/>
      <c r="D60" s="174"/>
      <c r="E60" s="35"/>
      <c r="F60" s="38"/>
      <c r="G60" s="38"/>
      <c r="H60" s="35"/>
    </row>
    <row r="61" spans="1:8" s="42" customFormat="1" ht="23.25" x14ac:dyDescent="0.35">
      <c r="A61" s="35">
        <v>5</v>
      </c>
      <c r="B61" s="77"/>
      <c r="C61" s="77" t="s">
        <v>877</v>
      </c>
      <c r="D61" s="184"/>
      <c r="E61" s="77"/>
      <c r="F61" s="79"/>
      <c r="G61" s="79"/>
      <c r="H61" s="79"/>
    </row>
    <row r="62" spans="1:8" s="42" customFormat="1" ht="18.75" x14ac:dyDescent="0.3">
      <c r="A62" s="35"/>
      <c r="B62" s="35" t="e">
        <f>#REF!</f>
        <v>#REF!</v>
      </c>
      <c r="C62" s="35" t="e">
        <f>#REF!</f>
        <v>#REF!</v>
      </c>
      <c r="D62" s="174" t="e">
        <f>#REF!</f>
        <v>#REF!</v>
      </c>
      <c r="E62" s="35">
        <v>320</v>
      </c>
      <c r="F62" s="38" t="e">
        <f>#REF!</f>
        <v>#REF!</v>
      </c>
      <c r="G62" s="38" t="e">
        <f t="shared" ref="G62:G68" si="2">E62*F62</f>
        <v>#REF!</v>
      </c>
      <c r="H62" s="38"/>
    </row>
    <row r="63" spans="1:8" s="42" customFormat="1" ht="18.75" x14ac:dyDescent="0.3">
      <c r="A63" s="35"/>
      <c r="B63" s="35" t="e">
        <f>#REF!</f>
        <v>#REF!</v>
      </c>
      <c r="C63" s="35" t="e">
        <f>#REF!</f>
        <v>#REF!</v>
      </c>
      <c r="D63" s="174" t="e">
        <f>#REF!</f>
        <v>#REF!</v>
      </c>
      <c r="E63" s="35">
        <v>250</v>
      </c>
      <c r="F63" s="38" t="e">
        <f>#REF!</f>
        <v>#REF!</v>
      </c>
      <c r="G63" s="38" t="e">
        <f t="shared" si="2"/>
        <v>#REF!</v>
      </c>
      <c r="H63" s="38"/>
    </row>
    <row r="64" spans="1:8" s="42" customFormat="1" ht="18.75" x14ac:dyDescent="0.3">
      <c r="A64" s="35"/>
      <c r="B64" s="35" t="e">
        <f>#REF!</f>
        <v>#REF!</v>
      </c>
      <c r="C64" s="35" t="e">
        <f>#REF!</f>
        <v>#REF!</v>
      </c>
      <c r="D64" s="174" t="e">
        <f>#REF!</f>
        <v>#REF!</v>
      </c>
      <c r="E64" s="35">
        <v>200</v>
      </c>
      <c r="F64" s="38" t="e">
        <f>#REF!</f>
        <v>#REF!</v>
      </c>
      <c r="G64" s="38" t="e">
        <f t="shared" si="2"/>
        <v>#REF!</v>
      </c>
      <c r="H64" s="38"/>
    </row>
    <row r="65" spans="1:8" s="42" customFormat="1" ht="18.75" x14ac:dyDescent="0.3">
      <c r="A65" s="35"/>
      <c r="B65" s="35" t="e">
        <f>#REF!</f>
        <v>#REF!</v>
      </c>
      <c r="C65" s="35" t="e">
        <f>#REF!</f>
        <v>#REF!</v>
      </c>
      <c r="D65" s="174" t="e">
        <f>#REF!</f>
        <v>#REF!</v>
      </c>
      <c r="E65" s="35">
        <v>75</v>
      </c>
      <c r="F65" s="38" t="e">
        <f>#REF!</f>
        <v>#REF!</v>
      </c>
      <c r="G65" s="38" t="e">
        <f t="shared" si="2"/>
        <v>#REF!</v>
      </c>
      <c r="H65" s="38"/>
    </row>
    <row r="66" spans="1:8" s="42" customFormat="1" ht="18.75" x14ac:dyDescent="0.3">
      <c r="A66" s="35"/>
      <c r="B66" s="35" t="e">
        <f>#REF!</f>
        <v>#REF!</v>
      </c>
      <c r="C66" s="35" t="e">
        <f>#REF!</f>
        <v>#REF!</v>
      </c>
      <c r="D66" s="174" t="e">
        <f>#REF!</f>
        <v>#REF!</v>
      </c>
      <c r="E66" s="35">
        <v>46</v>
      </c>
      <c r="F66" s="38" t="e">
        <f>#REF!</f>
        <v>#REF!</v>
      </c>
      <c r="G66" s="38" t="e">
        <f t="shared" si="2"/>
        <v>#REF!</v>
      </c>
      <c r="H66" s="38"/>
    </row>
    <row r="67" spans="1:8" s="42" customFormat="1" ht="23.25" x14ac:dyDescent="0.35">
      <c r="A67" s="35"/>
      <c r="B67" s="35" t="e">
        <f>#REF!</f>
        <v>#REF!</v>
      </c>
      <c r="C67" s="35" t="e">
        <f>#REF!</f>
        <v>#REF!</v>
      </c>
      <c r="D67" s="174" t="e">
        <f>#REF!</f>
        <v>#REF!</v>
      </c>
      <c r="E67" s="35">
        <v>100</v>
      </c>
      <c r="F67" s="38" t="e">
        <f>#REF!</f>
        <v>#REF!</v>
      </c>
      <c r="G67" s="38" t="e">
        <f t="shared" si="2"/>
        <v>#REF!</v>
      </c>
      <c r="H67" s="79"/>
    </row>
    <row r="68" spans="1:8" s="42" customFormat="1" ht="23.25" x14ac:dyDescent="0.35">
      <c r="A68" s="35"/>
      <c r="B68" s="35" t="e">
        <f>#REF!</f>
        <v>#REF!</v>
      </c>
      <c r="C68" s="35" t="e">
        <f>#REF!</f>
        <v>#REF!</v>
      </c>
      <c r="D68" s="174" t="e">
        <f>#REF!</f>
        <v>#REF!</v>
      </c>
      <c r="E68" s="35">
        <v>200</v>
      </c>
      <c r="F68" s="38" t="e">
        <f>#REF!</f>
        <v>#REF!</v>
      </c>
      <c r="G68" s="38" t="e">
        <f t="shared" si="2"/>
        <v>#REF!</v>
      </c>
      <c r="H68" s="186" t="e">
        <f>SUM(G62:G68)</f>
        <v>#REF!</v>
      </c>
    </row>
    <row r="69" spans="1:8" s="42" customFormat="1" ht="18.75" x14ac:dyDescent="0.3">
      <c r="A69" s="35"/>
      <c r="B69" s="35"/>
      <c r="C69" s="35"/>
      <c r="D69" s="174"/>
      <c r="E69" s="35"/>
      <c r="F69" s="38"/>
      <c r="G69" s="38"/>
      <c r="H69" s="35"/>
    </row>
    <row r="70" spans="1:8" s="42" customFormat="1" ht="18.75" x14ac:dyDescent="0.3">
      <c r="A70" s="35"/>
      <c r="B70" s="35"/>
      <c r="C70" s="35"/>
      <c r="D70" s="174"/>
      <c r="E70" s="35"/>
      <c r="F70" s="38"/>
      <c r="G70" s="38"/>
      <c r="H70" s="35"/>
    </row>
    <row r="71" spans="1:8" s="42" customFormat="1" ht="18.75" x14ac:dyDescent="0.3">
      <c r="A71" s="35"/>
      <c r="B71" s="35"/>
      <c r="C71" s="35"/>
      <c r="D71" s="174"/>
      <c r="E71" s="35"/>
      <c r="F71" s="38"/>
      <c r="G71" s="38"/>
      <c r="H71" s="35"/>
    </row>
    <row r="72" spans="1:8" ht="23.25" x14ac:dyDescent="0.35">
      <c r="A72" s="35">
        <v>6</v>
      </c>
      <c r="B72" s="77"/>
      <c r="C72" s="77" t="s">
        <v>664</v>
      </c>
      <c r="D72" s="192"/>
      <c r="E72" s="77"/>
      <c r="F72" s="79"/>
      <c r="G72" s="187"/>
      <c r="H72" s="79"/>
    </row>
    <row r="73" spans="1:8" x14ac:dyDescent="0.35">
      <c r="A73" s="35"/>
      <c r="B73" s="35" t="e">
        <f>#REF!</f>
        <v>#REF!</v>
      </c>
      <c r="C73" s="35" t="e">
        <f>#REF!</f>
        <v>#REF!</v>
      </c>
      <c r="D73" s="174" t="e">
        <f>#REF!</f>
        <v>#REF!</v>
      </c>
      <c r="E73" s="35">
        <v>6</v>
      </c>
      <c r="F73" s="38" t="e">
        <f>#REF!</f>
        <v>#REF!</v>
      </c>
      <c r="G73" s="38" t="e">
        <f t="shared" ref="G73:G78" si="3">E73*F73</f>
        <v>#REF!</v>
      </c>
      <c r="H73" s="76"/>
    </row>
    <row r="74" spans="1:8" x14ac:dyDescent="0.35">
      <c r="A74" s="35"/>
      <c r="B74" s="35" t="e">
        <f>#REF!</f>
        <v>#REF!</v>
      </c>
      <c r="C74" s="35" t="e">
        <f>#REF!</f>
        <v>#REF!</v>
      </c>
      <c r="D74" s="174" t="e">
        <f>#REF!</f>
        <v>#REF!</v>
      </c>
      <c r="E74" s="35">
        <v>8</v>
      </c>
      <c r="F74" s="38" t="e">
        <f>#REF!</f>
        <v>#REF!</v>
      </c>
      <c r="G74" s="38" t="e">
        <f t="shared" si="3"/>
        <v>#REF!</v>
      </c>
      <c r="H74" s="76"/>
    </row>
    <row r="75" spans="1:8" x14ac:dyDescent="0.35">
      <c r="A75" s="35"/>
      <c r="B75" s="35" t="e">
        <f>#REF!</f>
        <v>#REF!</v>
      </c>
      <c r="C75" s="35" t="e">
        <f>#REF!</f>
        <v>#REF!</v>
      </c>
      <c r="D75" s="174" t="e">
        <f>#REF!</f>
        <v>#REF!</v>
      </c>
      <c r="E75" s="35">
        <v>10</v>
      </c>
      <c r="F75" s="38" t="e">
        <f>#REF!</f>
        <v>#REF!</v>
      </c>
      <c r="G75" s="38" t="e">
        <f t="shared" si="3"/>
        <v>#REF!</v>
      </c>
      <c r="H75" s="76"/>
    </row>
    <row r="76" spans="1:8" x14ac:dyDescent="0.35">
      <c r="A76" s="35"/>
      <c r="B76" s="35" t="e">
        <f>#REF!</f>
        <v>#REF!</v>
      </c>
      <c r="C76" s="35" t="e">
        <f>#REF!</f>
        <v>#REF!</v>
      </c>
      <c r="D76" s="174" t="e">
        <f>#REF!</f>
        <v>#REF!</v>
      </c>
      <c r="E76" s="35">
        <v>11</v>
      </c>
      <c r="F76" s="38" t="e">
        <f>#REF!</f>
        <v>#REF!</v>
      </c>
      <c r="G76" s="38" t="e">
        <f t="shared" si="3"/>
        <v>#REF!</v>
      </c>
      <c r="H76" s="76"/>
    </row>
    <row r="77" spans="1:8" x14ac:dyDescent="0.35">
      <c r="A77" s="35"/>
      <c r="B77" s="35" t="e">
        <f>#REF!</f>
        <v>#REF!</v>
      </c>
      <c r="C77" s="35" t="e">
        <f>#REF!</f>
        <v>#REF!</v>
      </c>
      <c r="D77" s="174" t="e">
        <f>#REF!</f>
        <v>#REF!</v>
      </c>
      <c r="E77" s="35">
        <v>2</v>
      </c>
      <c r="F77" s="38" t="e">
        <f>#REF!</f>
        <v>#REF!</v>
      </c>
      <c r="G77" s="38" t="e">
        <f t="shared" si="3"/>
        <v>#REF!</v>
      </c>
      <c r="H77" s="76"/>
    </row>
    <row r="78" spans="1:8" ht="23.25" x14ac:dyDescent="0.35">
      <c r="A78" s="35"/>
      <c r="B78" s="35" t="e">
        <f>#REF!</f>
        <v>#REF!</v>
      </c>
      <c r="C78" s="35" t="e">
        <f>#REF!</f>
        <v>#REF!</v>
      </c>
      <c r="D78" s="174" t="e">
        <f>#REF!</f>
        <v>#REF!</v>
      </c>
      <c r="E78" s="35">
        <v>2</v>
      </c>
      <c r="F78" s="38" t="e">
        <f>#REF!</f>
        <v>#REF!</v>
      </c>
      <c r="G78" s="38" t="e">
        <f t="shared" si="3"/>
        <v>#REF!</v>
      </c>
      <c r="H78" s="186" t="e">
        <f>SUM(G73:G78)</f>
        <v>#REF!</v>
      </c>
    </row>
    <row r="79" spans="1:8" ht="23.25" x14ac:dyDescent="0.35">
      <c r="A79" s="35"/>
      <c r="B79" s="35"/>
      <c r="C79" s="35"/>
      <c r="D79" s="174"/>
      <c r="E79" s="35"/>
      <c r="F79" s="38"/>
      <c r="G79" s="38"/>
      <c r="H79" s="186"/>
    </row>
    <row r="80" spans="1:8" ht="23.25" x14ac:dyDescent="0.35">
      <c r="A80" s="35"/>
      <c r="B80" s="35"/>
      <c r="C80" s="35"/>
      <c r="D80" s="174"/>
      <c r="E80" s="35"/>
      <c r="F80" s="38"/>
      <c r="G80" s="38"/>
      <c r="H80" s="186"/>
    </row>
    <row r="81" spans="1:8" s="42" customFormat="1" ht="23.25" x14ac:dyDescent="0.35">
      <c r="A81" s="35">
        <v>7</v>
      </c>
      <c r="B81" s="77"/>
      <c r="C81" s="77" t="s">
        <v>886</v>
      </c>
      <c r="D81" s="184"/>
      <c r="E81" s="77"/>
      <c r="F81" s="79"/>
      <c r="G81" s="79"/>
      <c r="H81" s="79"/>
    </row>
    <row r="82" spans="1:8" s="42" customFormat="1" ht="23.25" x14ac:dyDescent="0.35">
      <c r="A82" s="35"/>
      <c r="B82" s="35" t="e">
        <f>#REF!</f>
        <v>#REF!</v>
      </c>
      <c r="C82" s="35" t="e">
        <f>#REF!</f>
        <v>#REF!</v>
      </c>
      <c r="D82" s="174" t="e">
        <f>#REF!</f>
        <v>#REF!</v>
      </c>
      <c r="E82" s="35">
        <v>200</v>
      </c>
      <c r="F82" s="38" t="e">
        <f>#REF!</f>
        <v>#REF!</v>
      </c>
      <c r="G82" s="38" t="e">
        <f>E82*F82</f>
        <v>#REF!</v>
      </c>
      <c r="H82" s="79"/>
    </row>
    <row r="83" spans="1:8" s="42" customFormat="1" ht="18.75" x14ac:dyDescent="0.3">
      <c r="A83" s="35"/>
      <c r="B83" s="35" t="e">
        <f>#REF!</f>
        <v>#REF!</v>
      </c>
      <c r="C83" s="35" t="e">
        <f>#REF!</f>
        <v>#REF!</v>
      </c>
      <c r="D83" s="174" t="e">
        <f>#REF!</f>
        <v>#REF!</v>
      </c>
      <c r="E83" s="35">
        <v>11</v>
      </c>
      <c r="F83" s="38" t="e">
        <f>#REF!</f>
        <v>#REF!</v>
      </c>
      <c r="G83" s="38" t="e">
        <f>E83*F83</f>
        <v>#REF!</v>
      </c>
      <c r="H83" s="38"/>
    </row>
    <row r="84" spans="1:8" s="42" customFormat="1" ht="18.75" x14ac:dyDescent="0.3">
      <c r="A84" s="35"/>
      <c r="B84" s="35" t="e">
        <f>#REF!</f>
        <v>#REF!</v>
      </c>
      <c r="C84" s="35" t="e">
        <f>#REF!</f>
        <v>#REF!</v>
      </c>
      <c r="D84" s="174" t="e">
        <f>#REF!</f>
        <v>#REF!</v>
      </c>
      <c r="E84" s="35">
        <v>14</v>
      </c>
      <c r="F84" s="38" t="e">
        <f>#REF!</f>
        <v>#REF!</v>
      </c>
      <c r="G84" s="38" t="e">
        <f>E84*F84</f>
        <v>#REF!</v>
      </c>
      <c r="H84" s="38"/>
    </row>
    <row r="85" spans="1:8" s="42" customFormat="1" ht="18.75" x14ac:dyDescent="0.3">
      <c r="A85" s="35"/>
      <c r="B85" s="35" t="e">
        <f>#REF!</f>
        <v>#REF!</v>
      </c>
      <c r="C85" s="35" t="e">
        <f>#REF!</f>
        <v>#REF!</v>
      </c>
      <c r="D85" s="174" t="e">
        <f>#REF!</f>
        <v>#REF!</v>
      </c>
      <c r="E85" s="35">
        <v>500</v>
      </c>
      <c r="F85" s="38" t="e">
        <f>#REF!</f>
        <v>#REF!</v>
      </c>
      <c r="G85" s="38" t="e">
        <f>E85*F85</f>
        <v>#REF!</v>
      </c>
      <c r="H85" s="38"/>
    </row>
    <row r="86" spans="1:8" s="42" customFormat="1" ht="23.25" x14ac:dyDescent="0.35">
      <c r="A86" s="35"/>
      <c r="B86" s="35" t="e">
        <f>#REF!</f>
        <v>#REF!</v>
      </c>
      <c r="C86" s="35" t="e">
        <f>#REF!</f>
        <v>#REF!</v>
      </c>
      <c r="D86" s="174" t="e">
        <f>#REF!</f>
        <v>#REF!</v>
      </c>
      <c r="E86" s="35">
        <v>13</v>
      </c>
      <c r="F86" s="38" t="e">
        <f>#REF!</f>
        <v>#REF!</v>
      </c>
      <c r="G86" s="38" t="e">
        <f>E86*F86</f>
        <v>#REF!</v>
      </c>
      <c r="H86" s="186" t="e">
        <f>SUM(G82:G86)</f>
        <v>#REF!</v>
      </c>
    </row>
    <row r="87" spans="1:8" s="42" customFormat="1" ht="18.75" x14ac:dyDescent="0.3">
      <c r="A87" s="35"/>
      <c r="B87" s="35"/>
      <c r="C87" s="35"/>
      <c r="D87" s="174"/>
      <c r="E87" s="35"/>
      <c r="F87" s="38"/>
      <c r="G87" s="38"/>
      <c r="H87" s="35"/>
    </row>
    <row r="88" spans="1:8" s="42" customFormat="1" ht="23.25" x14ac:dyDescent="0.35">
      <c r="A88" s="35">
        <v>8</v>
      </c>
      <c r="B88" s="35"/>
      <c r="C88" s="77" t="s">
        <v>887</v>
      </c>
      <c r="D88" s="174"/>
      <c r="E88" s="35"/>
      <c r="F88" s="38"/>
      <c r="G88" s="38"/>
      <c r="H88" s="38"/>
    </row>
    <row r="89" spans="1:8" s="42" customFormat="1" ht="18.75" x14ac:dyDescent="0.3">
      <c r="A89" s="35"/>
      <c r="B89" s="35" t="e">
        <f>#REF!</f>
        <v>#REF!</v>
      </c>
      <c r="C89" s="35" t="e">
        <f>#REF!</f>
        <v>#REF!</v>
      </c>
      <c r="D89" s="174" t="e">
        <f>#REF!</f>
        <v>#REF!</v>
      </c>
      <c r="E89" s="35">
        <v>100</v>
      </c>
      <c r="F89" s="38" t="e">
        <f>#REF!</f>
        <v>#REF!</v>
      </c>
      <c r="G89" s="38" t="e">
        <f t="shared" ref="G89:G94" si="4">E89*F89</f>
        <v>#REF!</v>
      </c>
      <c r="H89" s="38"/>
    </row>
    <row r="90" spans="1:8" s="42" customFormat="1" ht="18.75" x14ac:dyDescent="0.3">
      <c r="A90" s="35"/>
      <c r="B90" s="35" t="e">
        <f>#REF!</f>
        <v>#REF!</v>
      </c>
      <c r="C90" s="35" t="e">
        <f>#REF!</f>
        <v>#REF!</v>
      </c>
      <c r="D90" s="174" t="e">
        <f>#REF!</f>
        <v>#REF!</v>
      </c>
      <c r="E90" s="35">
        <v>250</v>
      </c>
      <c r="F90" s="38" t="e">
        <f>#REF!</f>
        <v>#REF!</v>
      </c>
      <c r="G90" s="38" t="e">
        <f t="shared" si="4"/>
        <v>#REF!</v>
      </c>
      <c r="H90" s="38"/>
    </row>
    <row r="91" spans="1:8" s="42" customFormat="1" ht="18.75" x14ac:dyDescent="0.3">
      <c r="A91" s="35"/>
      <c r="B91" s="35" t="e">
        <f>#REF!</f>
        <v>#REF!</v>
      </c>
      <c r="C91" s="35" t="e">
        <f>#REF!</f>
        <v>#REF!</v>
      </c>
      <c r="D91" s="174" t="e">
        <f>#REF!</f>
        <v>#REF!</v>
      </c>
      <c r="E91" s="35">
        <v>20</v>
      </c>
      <c r="F91" s="38" t="e">
        <f>#REF!</f>
        <v>#REF!</v>
      </c>
      <c r="G91" s="38" t="e">
        <f t="shared" si="4"/>
        <v>#REF!</v>
      </c>
      <c r="H91" s="38"/>
    </row>
    <row r="92" spans="1:8" s="42" customFormat="1" ht="18.75" x14ac:dyDescent="0.3">
      <c r="A92" s="35"/>
      <c r="B92" s="35" t="e">
        <f>#REF!</f>
        <v>#REF!</v>
      </c>
      <c r="C92" s="35" t="e">
        <f>#REF!</f>
        <v>#REF!</v>
      </c>
      <c r="D92" s="174" t="e">
        <f>#REF!</f>
        <v>#REF!</v>
      </c>
      <c r="E92" s="35">
        <v>150</v>
      </c>
      <c r="F92" s="38" t="e">
        <f>#REF!</f>
        <v>#REF!</v>
      </c>
      <c r="G92" s="38" t="e">
        <f t="shared" si="4"/>
        <v>#REF!</v>
      </c>
      <c r="H92" s="38"/>
    </row>
    <row r="93" spans="1:8" s="42" customFormat="1" ht="18.75" x14ac:dyDescent="0.3">
      <c r="A93" s="35"/>
      <c r="B93" s="35" t="e">
        <f>#REF!</f>
        <v>#REF!</v>
      </c>
      <c r="C93" s="35" t="e">
        <f>#REF!</f>
        <v>#REF!</v>
      </c>
      <c r="D93" s="174" t="e">
        <f>#REF!</f>
        <v>#REF!</v>
      </c>
      <c r="E93" s="35">
        <v>150</v>
      </c>
      <c r="F93" s="38" t="e">
        <f>#REF!</f>
        <v>#REF!</v>
      </c>
      <c r="G93" s="38" t="e">
        <f t="shared" si="4"/>
        <v>#REF!</v>
      </c>
      <c r="H93" s="38"/>
    </row>
    <row r="94" spans="1:8" s="42" customFormat="1" ht="23.25" x14ac:dyDescent="0.35">
      <c r="A94" s="35"/>
      <c r="B94" s="35" t="e">
        <f>#REF!</f>
        <v>#REF!</v>
      </c>
      <c r="C94" s="35" t="e">
        <f>#REF!</f>
        <v>#REF!</v>
      </c>
      <c r="D94" s="174" t="e">
        <f>#REF!</f>
        <v>#REF!</v>
      </c>
      <c r="E94" s="35">
        <v>220</v>
      </c>
      <c r="F94" s="38" t="e">
        <f>#REF!</f>
        <v>#REF!</v>
      </c>
      <c r="G94" s="38" t="e">
        <f t="shared" si="4"/>
        <v>#REF!</v>
      </c>
      <c r="H94" s="186" t="e">
        <f>SUM(G89:G94)</f>
        <v>#REF!</v>
      </c>
    </row>
    <row r="95" spans="1:8" s="42" customFormat="1" ht="18.75" x14ac:dyDescent="0.3">
      <c r="A95" s="35"/>
      <c r="B95" s="35"/>
      <c r="C95" s="35"/>
      <c r="D95" s="174"/>
      <c r="E95" s="35"/>
      <c r="F95" s="38"/>
      <c r="G95" s="38"/>
      <c r="H95" s="35"/>
    </row>
    <row r="96" spans="1:8" s="42" customFormat="1" ht="23.25" x14ac:dyDescent="0.35">
      <c r="A96" s="35">
        <v>9</v>
      </c>
      <c r="B96" s="35"/>
      <c r="C96" s="77" t="s">
        <v>889</v>
      </c>
      <c r="D96" s="184"/>
      <c r="E96" s="77"/>
      <c r="F96" s="79"/>
      <c r="G96" s="79"/>
      <c r="H96" s="79"/>
    </row>
    <row r="97" spans="1:8" s="42" customFormat="1" ht="18.75" x14ac:dyDescent="0.3">
      <c r="A97" s="35"/>
      <c r="B97" s="35" t="e">
        <f>#REF!</f>
        <v>#REF!</v>
      </c>
      <c r="C97" s="35" t="e">
        <f>#REF!</f>
        <v>#REF!</v>
      </c>
      <c r="D97" s="174" t="e">
        <f>#REF!</f>
        <v>#REF!</v>
      </c>
      <c r="E97" s="35">
        <v>250</v>
      </c>
      <c r="F97" s="38" t="e">
        <f>#REF!</f>
        <v>#REF!</v>
      </c>
      <c r="G97" s="38" t="e">
        <f t="shared" ref="G97:G107" si="5">E97*F97</f>
        <v>#REF!</v>
      </c>
      <c r="H97" s="38"/>
    </row>
    <row r="98" spans="1:8" s="42" customFormat="1" ht="18.75" x14ac:dyDescent="0.3">
      <c r="A98" s="35"/>
      <c r="B98" s="35" t="e">
        <f>#REF!</f>
        <v>#REF!</v>
      </c>
      <c r="C98" s="35" t="e">
        <f>#REF!</f>
        <v>#REF!</v>
      </c>
      <c r="D98" s="174" t="e">
        <f>#REF!</f>
        <v>#REF!</v>
      </c>
      <c r="E98" s="35">
        <v>200</v>
      </c>
      <c r="F98" s="38" t="e">
        <f>#REF!</f>
        <v>#REF!</v>
      </c>
      <c r="G98" s="38" t="e">
        <f t="shared" si="5"/>
        <v>#REF!</v>
      </c>
      <c r="H98" s="38"/>
    </row>
    <row r="99" spans="1:8" s="42" customFormat="1" ht="18.75" x14ac:dyDescent="0.3">
      <c r="A99" s="35"/>
      <c r="B99" s="35" t="e">
        <f>#REF!</f>
        <v>#REF!</v>
      </c>
      <c r="C99" s="35" t="e">
        <f>#REF!</f>
        <v>#REF!</v>
      </c>
      <c r="D99" s="174" t="e">
        <f>#REF!</f>
        <v>#REF!</v>
      </c>
      <c r="E99" s="35">
        <v>350</v>
      </c>
      <c r="F99" s="38" t="e">
        <f>#REF!</f>
        <v>#REF!</v>
      </c>
      <c r="G99" s="38" t="e">
        <f t="shared" si="5"/>
        <v>#REF!</v>
      </c>
      <c r="H99" s="38"/>
    </row>
    <row r="100" spans="1:8" s="42" customFormat="1" ht="18.75" x14ac:dyDescent="0.3">
      <c r="A100" s="35"/>
      <c r="B100" s="35" t="e">
        <f>#REF!</f>
        <v>#REF!</v>
      </c>
      <c r="C100" s="35" t="e">
        <f>#REF!</f>
        <v>#REF!</v>
      </c>
      <c r="D100" s="174" t="e">
        <f>#REF!</f>
        <v>#REF!</v>
      </c>
      <c r="E100" s="35">
        <v>3</v>
      </c>
      <c r="F100" s="38" t="e">
        <f>#REF!</f>
        <v>#REF!</v>
      </c>
      <c r="G100" s="38" t="e">
        <f t="shared" si="5"/>
        <v>#REF!</v>
      </c>
      <c r="H100" s="38"/>
    </row>
    <row r="101" spans="1:8" s="42" customFormat="1" ht="18.75" x14ac:dyDescent="0.3">
      <c r="A101" s="35"/>
      <c r="B101" s="35" t="e">
        <f>#REF!</f>
        <v>#REF!</v>
      </c>
      <c r="C101" s="35" t="e">
        <f>#REF!</f>
        <v>#REF!</v>
      </c>
      <c r="D101" s="174" t="e">
        <f>#REF!</f>
        <v>#REF!</v>
      </c>
      <c r="E101" s="35">
        <v>25</v>
      </c>
      <c r="F101" s="38" t="e">
        <f>#REF!</f>
        <v>#REF!</v>
      </c>
      <c r="G101" s="38" t="e">
        <f t="shared" si="5"/>
        <v>#REF!</v>
      </c>
      <c r="H101" s="38"/>
    </row>
    <row r="102" spans="1:8" s="42" customFormat="1" ht="18.75" x14ac:dyDescent="0.3">
      <c r="A102" s="35"/>
      <c r="B102" s="35" t="e">
        <f>#REF!</f>
        <v>#REF!</v>
      </c>
      <c r="C102" s="35" t="e">
        <f>#REF!</f>
        <v>#REF!</v>
      </c>
      <c r="D102" s="174" t="e">
        <f>#REF!</f>
        <v>#REF!</v>
      </c>
      <c r="E102" s="35">
        <v>3</v>
      </c>
      <c r="F102" s="38" t="e">
        <f>#REF!</f>
        <v>#REF!</v>
      </c>
      <c r="G102" s="38" t="e">
        <f t="shared" si="5"/>
        <v>#REF!</v>
      </c>
      <c r="H102" s="38"/>
    </row>
    <row r="103" spans="1:8" s="42" customFormat="1" ht="18.75" x14ac:dyDescent="0.3">
      <c r="A103" s="35"/>
      <c r="B103" s="35" t="e">
        <f>#REF!</f>
        <v>#REF!</v>
      </c>
      <c r="C103" s="35" t="e">
        <f>#REF!</f>
        <v>#REF!</v>
      </c>
      <c r="D103" s="174" t="e">
        <f>#REF!</f>
        <v>#REF!</v>
      </c>
      <c r="E103" s="35">
        <v>5</v>
      </c>
      <c r="F103" s="38" t="e">
        <f>#REF!</f>
        <v>#REF!</v>
      </c>
      <c r="G103" s="38" t="e">
        <f t="shared" si="5"/>
        <v>#REF!</v>
      </c>
      <c r="H103" s="38"/>
    </row>
    <row r="104" spans="1:8" s="42" customFormat="1" ht="18.75" x14ac:dyDescent="0.3">
      <c r="A104" s="35"/>
      <c r="B104" s="35" t="e">
        <f>#REF!</f>
        <v>#REF!</v>
      </c>
      <c r="C104" s="35" t="e">
        <f>#REF!</f>
        <v>#REF!</v>
      </c>
      <c r="D104" s="174" t="e">
        <f>#REF!</f>
        <v>#REF!</v>
      </c>
      <c r="E104" s="35">
        <v>6</v>
      </c>
      <c r="F104" s="38" t="e">
        <f>#REF!</f>
        <v>#REF!</v>
      </c>
      <c r="G104" s="38" t="e">
        <f t="shared" si="5"/>
        <v>#REF!</v>
      </c>
      <c r="H104" s="38"/>
    </row>
    <row r="105" spans="1:8" s="42" customFormat="1" ht="18.75" x14ac:dyDescent="0.3">
      <c r="A105" s="35"/>
      <c r="B105" s="35" t="e">
        <f>#REF!</f>
        <v>#REF!</v>
      </c>
      <c r="C105" s="35" t="e">
        <f>#REF!</f>
        <v>#REF!</v>
      </c>
      <c r="D105" s="174" t="e">
        <f>#REF!</f>
        <v>#REF!</v>
      </c>
      <c r="E105" s="35">
        <v>33</v>
      </c>
      <c r="F105" s="38" t="e">
        <f>#REF!</f>
        <v>#REF!</v>
      </c>
      <c r="G105" s="38" t="e">
        <f t="shared" si="5"/>
        <v>#REF!</v>
      </c>
      <c r="H105" s="38"/>
    </row>
    <row r="106" spans="1:8" s="42" customFormat="1" ht="18.75" x14ac:dyDescent="0.3">
      <c r="A106" s="35"/>
      <c r="B106" s="35" t="e">
        <f>#REF!</f>
        <v>#REF!</v>
      </c>
      <c r="C106" s="35" t="e">
        <f>#REF!</f>
        <v>#REF!</v>
      </c>
      <c r="D106" s="174" t="e">
        <f>#REF!</f>
        <v>#REF!</v>
      </c>
      <c r="E106" s="35">
        <v>95</v>
      </c>
      <c r="F106" s="38" t="e">
        <f>#REF!</f>
        <v>#REF!</v>
      </c>
      <c r="G106" s="38" t="e">
        <f t="shared" si="5"/>
        <v>#REF!</v>
      </c>
      <c r="H106" s="38"/>
    </row>
    <row r="107" spans="1:8" s="42" customFormat="1" ht="23.25" x14ac:dyDescent="0.35">
      <c r="A107" s="35"/>
      <c r="B107" s="35" t="e">
        <f>#REF!</f>
        <v>#REF!</v>
      </c>
      <c r="C107" s="35" t="e">
        <f>#REF!</f>
        <v>#REF!</v>
      </c>
      <c r="D107" s="174" t="e">
        <f>#REF!</f>
        <v>#REF!</v>
      </c>
      <c r="E107" s="35">
        <v>100</v>
      </c>
      <c r="F107" s="38" t="e">
        <f>#REF!</f>
        <v>#REF!</v>
      </c>
      <c r="G107" s="38" t="e">
        <f t="shared" si="5"/>
        <v>#REF!</v>
      </c>
      <c r="H107" s="186" t="e">
        <f>SUM(G97:G107)</f>
        <v>#REF!</v>
      </c>
    </row>
    <row r="108" spans="1:8" s="42" customFormat="1" ht="18.75" x14ac:dyDescent="0.3">
      <c r="A108" s="35"/>
      <c r="B108" s="35"/>
      <c r="C108" s="35"/>
      <c r="D108" s="174"/>
      <c r="E108" s="35"/>
      <c r="F108" s="38"/>
      <c r="G108" s="38"/>
      <c r="H108" s="35"/>
    </row>
    <row r="109" spans="1:8" s="42" customFormat="1" ht="23.25" x14ac:dyDescent="0.35">
      <c r="A109" s="35">
        <v>10</v>
      </c>
      <c r="B109" s="77"/>
      <c r="C109" s="77" t="s">
        <v>876</v>
      </c>
      <c r="D109" s="184"/>
      <c r="E109" s="77"/>
      <c r="F109" s="79"/>
      <c r="G109" s="79"/>
      <c r="H109" s="79"/>
    </row>
    <row r="110" spans="1:8" s="42" customFormat="1" ht="18.75" x14ac:dyDescent="0.3">
      <c r="A110" s="35"/>
      <c r="B110" s="35" t="e">
        <f>#REF!</f>
        <v>#REF!</v>
      </c>
      <c r="C110" s="35" t="e">
        <f>#REF!</f>
        <v>#REF!</v>
      </c>
      <c r="D110" s="174" t="e">
        <f>#REF!</f>
        <v>#REF!</v>
      </c>
      <c r="E110" s="35">
        <v>125</v>
      </c>
      <c r="F110" s="38" t="e">
        <f>#REF!</f>
        <v>#REF!</v>
      </c>
      <c r="G110" s="38" t="e">
        <f t="shared" ref="G110:G173" si="6">E110*F110</f>
        <v>#REF!</v>
      </c>
      <c r="H110" s="38"/>
    </row>
    <row r="111" spans="1:8" s="42" customFormat="1" ht="18.75" x14ac:dyDescent="0.3">
      <c r="A111" s="35"/>
      <c r="B111" s="35" t="e">
        <f>#REF!</f>
        <v>#REF!</v>
      </c>
      <c r="C111" s="35" t="e">
        <f>#REF!</f>
        <v>#REF!</v>
      </c>
      <c r="D111" s="174" t="e">
        <f>#REF!</f>
        <v>#REF!</v>
      </c>
      <c r="E111" s="35">
        <v>25</v>
      </c>
      <c r="F111" s="38" t="e">
        <f>#REF!</f>
        <v>#REF!</v>
      </c>
      <c r="G111" s="38" t="e">
        <f t="shared" si="6"/>
        <v>#REF!</v>
      </c>
      <c r="H111" s="38"/>
    </row>
    <row r="112" spans="1:8" s="42" customFormat="1" ht="18.75" x14ac:dyDescent="0.3">
      <c r="A112" s="35"/>
      <c r="B112" s="35" t="e">
        <f>#REF!</f>
        <v>#REF!</v>
      </c>
      <c r="C112" s="35" t="e">
        <f>#REF!</f>
        <v>#REF!</v>
      </c>
      <c r="D112" s="174" t="e">
        <f>#REF!</f>
        <v>#REF!</v>
      </c>
      <c r="E112" s="35">
        <v>28</v>
      </c>
      <c r="F112" s="38" t="e">
        <f>#REF!</f>
        <v>#REF!</v>
      </c>
      <c r="G112" s="38" t="e">
        <f t="shared" si="6"/>
        <v>#REF!</v>
      </c>
      <c r="H112" s="38"/>
    </row>
    <row r="113" spans="1:8" s="42" customFormat="1" ht="18.75" x14ac:dyDescent="0.3">
      <c r="A113" s="35"/>
      <c r="B113" s="35" t="e">
        <f>#REF!</f>
        <v>#REF!</v>
      </c>
      <c r="C113" s="35" t="e">
        <f>#REF!</f>
        <v>#REF!</v>
      </c>
      <c r="D113" s="174" t="e">
        <f>#REF!</f>
        <v>#REF!</v>
      </c>
      <c r="E113" s="35">
        <v>18</v>
      </c>
      <c r="F113" s="38" t="e">
        <f>#REF!</f>
        <v>#REF!</v>
      </c>
      <c r="G113" s="38" t="e">
        <f t="shared" si="6"/>
        <v>#REF!</v>
      </c>
      <c r="H113" s="38"/>
    </row>
    <row r="114" spans="1:8" s="42" customFormat="1" ht="18.75" x14ac:dyDescent="0.3">
      <c r="A114" s="35"/>
      <c r="B114" s="35" t="e">
        <f>#REF!</f>
        <v>#REF!</v>
      </c>
      <c r="C114" s="35" t="e">
        <f>#REF!</f>
        <v>#REF!</v>
      </c>
      <c r="D114" s="174" t="e">
        <f>#REF!</f>
        <v>#REF!</v>
      </c>
      <c r="E114" s="35">
        <v>113</v>
      </c>
      <c r="F114" s="38" t="e">
        <f>#REF!</f>
        <v>#REF!</v>
      </c>
      <c r="G114" s="38" t="e">
        <f t="shared" si="6"/>
        <v>#REF!</v>
      </c>
      <c r="H114" s="38"/>
    </row>
    <row r="115" spans="1:8" s="42" customFormat="1" ht="18.75" x14ac:dyDescent="0.3">
      <c r="A115" s="35"/>
      <c r="B115" s="35" t="e">
        <f>#REF!</f>
        <v>#REF!</v>
      </c>
      <c r="C115" s="35" t="e">
        <f>#REF!</f>
        <v>#REF!</v>
      </c>
      <c r="D115" s="174" t="e">
        <f>#REF!</f>
        <v>#REF!</v>
      </c>
      <c r="E115" s="35">
        <v>220</v>
      </c>
      <c r="F115" s="38" t="e">
        <f>#REF!</f>
        <v>#REF!</v>
      </c>
      <c r="G115" s="38" t="e">
        <f t="shared" si="6"/>
        <v>#REF!</v>
      </c>
      <c r="H115" s="38"/>
    </row>
    <row r="116" spans="1:8" s="42" customFormat="1" ht="18.75" x14ac:dyDescent="0.3">
      <c r="A116" s="35"/>
      <c r="B116" s="35" t="e">
        <f>#REF!</f>
        <v>#REF!</v>
      </c>
      <c r="C116" s="35" t="e">
        <f>#REF!</f>
        <v>#REF!</v>
      </c>
      <c r="D116" s="174" t="e">
        <f>#REF!</f>
        <v>#REF!</v>
      </c>
      <c r="E116" s="35">
        <v>25</v>
      </c>
      <c r="F116" s="38" t="e">
        <f>#REF!</f>
        <v>#REF!</v>
      </c>
      <c r="G116" s="38" t="e">
        <f t="shared" si="6"/>
        <v>#REF!</v>
      </c>
      <c r="H116" s="38"/>
    </row>
    <row r="117" spans="1:8" s="42" customFormat="1" ht="18.75" x14ac:dyDescent="0.3">
      <c r="A117" s="35"/>
      <c r="B117" s="35" t="e">
        <f>#REF!</f>
        <v>#REF!</v>
      </c>
      <c r="C117" s="35" t="e">
        <f>#REF!</f>
        <v>#REF!</v>
      </c>
      <c r="D117" s="174" t="e">
        <f>#REF!</f>
        <v>#REF!</v>
      </c>
      <c r="E117" s="35">
        <v>5</v>
      </c>
      <c r="F117" s="38" t="e">
        <f>#REF!</f>
        <v>#REF!</v>
      </c>
      <c r="G117" s="38" t="e">
        <f t="shared" si="6"/>
        <v>#REF!</v>
      </c>
      <c r="H117" s="38"/>
    </row>
    <row r="118" spans="1:8" s="42" customFormat="1" ht="18.75" x14ac:dyDescent="0.3">
      <c r="A118" s="35"/>
      <c r="B118" s="35" t="e">
        <f>#REF!</f>
        <v>#REF!</v>
      </c>
      <c r="C118" s="35" t="e">
        <f>#REF!</f>
        <v>#REF!</v>
      </c>
      <c r="D118" s="174" t="e">
        <f>#REF!</f>
        <v>#REF!</v>
      </c>
      <c r="E118" s="35">
        <v>375</v>
      </c>
      <c r="F118" s="38" t="e">
        <f>#REF!</f>
        <v>#REF!</v>
      </c>
      <c r="G118" s="38" t="e">
        <f t="shared" si="6"/>
        <v>#REF!</v>
      </c>
      <c r="H118" s="38"/>
    </row>
    <row r="119" spans="1:8" s="42" customFormat="1" ht="18.75" x14ac:dyDescent="0.3">
      <c r="A119" s="35"/>
      <c r="B119" s="35" t="e">
        <f>#REF!</f>
        <v>#REF!</v>
      </c>
      <c r="C119" s="35" t="e">
        <f>#REF!</f>
        <v>#REF!</v>
      </c>
      <c r="D119" s="174" t="e">
        <f>#REF!</f>
        <v>#REF!</v>
      </c>
      <c r="E119" s="35">
        <v>1</v>
      </c>
      <c r="F119" s="38" t="e">
        <f>#REF!</f>
        <v>#REF!</v>
      </c>
      <c r="G119" s="38" t="e">
        <f t="shared" si="6"/>
        <v>#REF!</v>
      </c>
      <c r="H119" s="38"/>
    </row>
    <row r="120" spans="1:8" s="42" customFormat="1" ht="18.75" x14ac:dyDescent="0.3">
      <c r="A120" s="35"/>
      <c r="B120" s="35" t="e">
        <f>#REF!</f>
        <v>#REF!</v>
      </c>
      <c r="C120" s="35" t="e">
        <f>#REF!</f>
        <v>#REF!</v>
      </c>
      <c r="D120" s="174" t="e">
        <f>#REF!</f>
        <v>#REF!</v>
      </c>
      <c r="E120" s="35">
        <v>5</v>
      </c>
      <c r="F120" s="38" t="e">
        <f>#REF!</f>
        <v>#REF!</v>
      </c>
      <c r="G120" s="38" t="e">
        <f t="shared" si="6"/>
        <v>#REF!</v>
      </c>
      <c r="H120" s="38"/>
    </row>
    <row r="121" spans="1:8" s="42" customFormat="1" ht="18.75" x14ac:dyDescent="0.3">
      <c r="A121" s="35"/>
      <c r="B121" s="35" t="e">
        <f>#REF!</f>
        <v>#REF!</v>
      </c>
      <c r="C121" s="35" t="e">
        <f>#REF!</f>
        <v>#REF!</v>
      </c>
      <c r="D121" s="174" t="e">
        <f>#REF!</f>
        <v>#REF!</v>
      </c>
      <c r="E121" s="35">
        <v>80</v>
      </c>
      <c r="F121" s="38" t="e">
        <f>#REF!</f>
        <v>#REF!</v>
      </c>
      <c r="G121" s="38" t="e">
        <f t="shared" si="6"/>
        <v>#REF!</v>
      </c>
      <c r="H121" s="38"/>
    </row>
    <row r="122" spans="1:8" s="42" customFormat="1" ht="18.75" x14ac:dyDescent="0.3">
      <c r="A122" s="35"/>
      <c r="B122" s="35" t="e">
        <f>#REF!</f>
        <v>#REF!</v>
      </c>
      <c r="C122" s="35" t="e">
        <f>#REF!</f>
        <v>#REF!</v>
      </c>
      <c r="D122" s="174" t="e">
        <f>#REF!</f>
        <v>#REF!</v>
      </c>
      <c r="E122" s="35">
        <v>50</v>
      </c>
      <c r="F122" s="38" t="e">
        <f>#REF!</f>
        <v>#REF!</v>
      </c>
      <c r="G122" s="38" t="e">
        <f t="shared" si="6"/>
        <v>#REF!</v>
      </c>
      <c r="H122" s="38"/>
    </row>
    <row r="123" spans="1:8" s="42" customFormat="1" ht="18.75" x14ac:dyDescent="0.3">
      <c r="A123" s="35"/>
      <c r="B123" s="35" t="e">
        <f>#REF!</f>
        <v>#REF!</v>
      </c>
      <c r="C123" s="35" t="e">
        <f>#REF!</f>
        <v>#REF!</v>
      </c>
      <c r="D123" s="174" t="e">
        <f>#REF!</f>
        <v>#REF!</v>
      </c>
      <c r="E123" s="35">
        <v>55</v>
      </c>
      <c r="F123" s="38" t="e">
        <f>#REF!</f>
        <v>#REF!</v>
      </c>
      <c r="G123" s="38" t="e">
        <f t="shared" si="6"/>
        <v>#REF!</v>
      </c>
      <c r="H123" s="38"/>
    </row>
    <row r="124" spans="1:8" s="42" customFormat="1" ht="18.75" x14ac:dyDescent="0.3">
      <c r="A124" s="35"/>
      <c r="B124" s="35" t="e">
        <f>#REF!</f>
        <v>#REF!</v>
      </c>
      <c r="C124" s="35" t="e">
        <f>#REF!</f>
        <v>#REF!</v>
      </c>
      <c r="D124" s="174" t="e">
        <f>#REF!</f>
        <v>#REF!</v>
      </c>
      <c r="E124" s="35">
        <v>18</v>
      </c>
      <c r="F124" s="38" t="e">
        <f>#REF!</f>
        <v>#REF!</v>
      </c>
      <c r="G124" s="38" t="e">
        <f t="shared" si="6"/>
        <v>#REF!</v>
      </c>
      <c r="H124" s="38"/>
    </row>
    <row r="125" spans="1:8" s="42" customFormat="1" ht="18.75" x14ac:dyDescent="0.3">
      <c r="A125" s="35"/>
      <c r="B125" s="35" t="e">
        <f>#REF!</f>
        <v>#REF!</v>
      </c>
      <c r="C125" s="35" t="e">
        <f>#REF!</f>
        <v>#REF!</v>
      </c>
      <c r="D125" s="174" t="e">
        <f>#REF!</f>
        <v>#REF!</v>
      </c>
      <c r="E125" s="35">
        <v>20</v>
      </c>
      <c r="F125" s="38" t="e">
        <f>#REF!</f>
        <v>#REF!</v>
      </c>
      <c r="G125" s="38" t="e">
        <f t="shared" si="6"/>
        <v>#REF!</v>
      </c>
      <c r="H125" s="38"/>
    </row>
    <row r="126" spans="1:8" s="42" customFormat="1" ht="18.75" x14ac:dyDescent="0.3">
      <c r="A126" s="35"/>
      <c r="B126" s="35" t="e">
        <f>#REF!</f>
        <v>#REF!</v>
      </c>
      <c r="C126" s="35" t="e">
        <f>#REF!</f>
        <v>#REF!</v>
      </c>
      <c r="D126" s="174" t="e">
        <f>#REF!</f>
        <v>#REF!</v>
      </c>
      <c r="E126" s="35">
        <v>4</v>
      </c>
      <c r="F126" s="38" t="e">
        <f>#REF!</f>
        <v>#REF!</v>
      </c>
      <c r="G126" s="38" t="e">
        <f t="shared" si="6"/>
        <v>#REF!</v>
      </c>
      <c r="H126" s="38"/>
    </row>
    <row r="127" spans="1:8" s="42" customFormat="1" ht="18.75" x14ac:dyDescent="0.3">
      <c r="A127" s="35"/>
      <c r="B127" s="35" t="e">
        <f>#REF!</f>
        <v>#REF!</v>
      </c>
      <c r="C127" s="35" t="e">
        <f>#REF!</f>
        <v>#REF!</v>
      </c>
      <c r="D127" s="174" t="e">
        <f>#REF!</f>
        <v>#REF!</v>
      </c>
      <c r="E127" s="35">
        <v>4</v>
      </c>
      <c r="F127" s="38" t="e">
        <f>#REF!</f>
        <v>#REF!</v>
      </c>
      <c r="G127" s="38" t="e">
        <f t="shared" si="6"/>
        <v>#REF!</v>
      </c>
      <c r="H127" s="38"/>
    </row>
    <row r="128" spans="1:8" s="42" customFormat="1" ht="18.75" x14ac:dyDescent="0.3">
      <c r="A128" s="35"/>
      <c r="B128" s="35" t="e">
        <f>#REF!</f>
        <v>#REF!</v>
      </c>
      <c r="C128" s="35" t="e">
        <f>#REF!</f>
        <v>#REF!</v>
      </c>
      <c r="D128" s="174" t="e">
        <f>#REF!</f>
        <v>#REF!</v>
      </c>
      <c r="E128" s="35">
        <v>2</v>
      </c>
      <c r="F128" s="38" t="e">
        <f>#REF!</f>
        <v>#REF!</v>
      </c>
      <c r="G128" s="38" t="e">
        <f t="shared" si="6"/>
        <v>#REF!</v>
      </c>
      <c r="H128" s="38"/>
    </row>
    <row r="129" spans="1:8" s="42" customFormat="1" ht="18.75" x14ac:dyDescent="0.3">
      <c r="A129" s="35"/>
      <c r="B129" s="35" t="e">
        <f>#REF!</f>
        <v>#REF!</v>
      </c>
      <c r="C129" s="35" t="e">
        <f>#REF!</f>
        <v>#REF!</v>
      </c>
      <c r="D129" s="174" t="e">
        <f>#REF!</f>
        <v>#REF!</v>
      </c>
      <c r="E129" s="35">
        <v>10</v>
      </c>
      <c r="F129" s="38" t="e">
        <f>#REF!</f>
        <v>#REF!</v>
      </c>
      <c r="G129" s="38" t="e">
        <f t="shared" si="6"/>
        <v>#REF!</v>
      </c>
      <c r="H129" s="38"/>
    </row>
    <row r="130" spans="1:8" s="42" customFormat="1" ht="18.75" x14ac:dyDescent="0.3">
      <c r="A130" s="35"/>
      <c r="B130" s="35" t="e">
        <f>#REF!</f>
        <v>#REF!</v>
      </c>
      <c r="C130" s="35" t="e">
        <f>#REF!</f>
        <v>#REF!</v>
      </c>
      <c r="D130" s="174" t="e">
        <f>#REF!</f>
        <v>#REF!</v>
      </c>
      <c r="E130" s="35">
        <v>25</v>
      </c>
      <c r="F130" s="38" t="e">
        <f>#REF!</f>
        <v>#REF!</v>
      </c>
      <c r="G130" s="38" t="e">
        <f t="shared" si="6"/>
        <v>#REF!</v>
      </c>
      <c r="H130" s="38"/>
    </row>
    <row r="131" spans="1:8" s="42" customFormat="1" ht="18.75" x14ac:dyDescent="0.3">
      <c r="A131" s="35"/>
      <c r="B131" s="35" t="e">
        <f>#REF!</f>
        <v>#REF!</v>
      </c>
      <c r="C131" s="35" t="e">
        <f>#REF!</f>
        <v>#REF!</v>
      </c>
      <c r="D131" s="174" t="e">
        <f>#REF!</f>
        <v>#REF!</v>
      </c>
      <c r="E131" s="35">
        <v>4</v>
      </c>
      <c r="F131" s="38" t="e">
        <f>#REF!</f>
        <v>#REF!</v>
      </c>
      <c r="G131" s="38" t="e">
        <f t="shared" si="6"/>
        <v>#REF!</v>
      </c>
      <c r="H131" s="38"/>
    </row>
    <row r="132" spans="1:8" s="42" customFormat="1" ht="18.75" x14ac:dyDescent="0.3">
      <c r="A132" s="35"/>
      <c r="B132" s="35" t="e">
        <f>#REF!</f>
        <v>#REF!</v>
      </c>
      <c r="C132" s="35" t="e">
        <f>#REF!</f>
        <v>#REF!</v>
      </c>
      <c r="D132" s="174" t="e">
        <f>#REF!</f>
        <v>#REF!</v>
      </c>
      <c r="E132" s="35">
        <v>30</v>
      </c>
      <c r="F132" s="38" t="e">
        <f>#REF!</f>
        <v>#REF!</v>
      </c>
      <c r="G132" s="38" t="e">
        <f t="shared" si="6"/>
        <v>#REF!</v>
      </c>
      <c r="H132" s="38"/>
    </row>
    <row r="133" spans="1:8" s="42" customFormat="1" ht="23.25" x14ac:dyDescent="0.35">
      <c r="A133" s="35"/>
      <c r="B133" s="35" t="e">
        <f>#REF!</f>
        <v>#REF!</v>
      </c>
      <c r="C133" s="35" t="e">
        <f>#REF!</f>
        <v>#REF!</v>
      </c>
      <c r="D133" s="174" t="e">
        <f>#REF!</f>
        <v>#REF!</v>
      </c>
      <c r="E133" s="35">
        <v>75</v>
      </c>
      <c r="F133" s="38" t="e">
        <f>#REF!</f>
        <v>#REF!</v>
      </c>
      <c r="G133" s="38" t="e">
        <f t="shared" si="6"/>
        <v>#REF!</v>
      </c>
      <c r="H133" s="79"/>
    </row>
    <row r="134" spans="1:8" s="42" customFormat="1" ht="18.75" x14ac:dyDescent="0.3">
      <c r="A134" s="35"/>
      <c r="B134" s="35" t="e">
        <f>#REF!</f>
        <v>#REF!</v>
      </c>
      <c r="C134" s="35" t="e">
        <f>#REF!</f>
        <v>#REF!</v>
      </c>
      <c r="D134" s="174" t="e">
        <f>#REF!</f>
        <v>#REF!</v>
      </c>
      <c r="E134" s="35">
        <v>38</v>
      </c>
      <c r="F134" s="38" t="e">
        <f>#REF!</f>
        <v>#REF!</v>
      </c>
      <c r="G134" s="38" t="e">
        <f t="shared" si="6"/>
        <v>#REF!</v>
      </c>
      <c r="H134" s="38"/>
    </row>
    <row r="135" spans="1:8" s="42" customFormat="1" ht="18.75" x14ac:dyDescent="0.3">
      <c r="A135" s="35"/>
      <c r="B135" s="35" t="e">
        <f>#REF!</f>
        <v>#REF!</v>
      </c>
      <c r="C135" s="35" t="e">
        <f>#REF!</f>
        <v>#REF!</v>
      </c>
      <c r="D135" s="174" t="e">
        <f>#REF!</f>
        <v>#REF!</v>
      </c>
      <c r="E135" s="35">
        <v>38</v>
      </c>
      <c r="F135" s="38" t="e">
        <f>#REF!</f>
        <v>#REF!</v>
      </c>
      <c r="G135" s="38" t="e">
        <f t="shared" si="6"/>
        <v>#REF!</v>
      </c>
      <c r="H135" s="38"/>
    </row>
    <row r="136" spans="1:8" s="67" customFormat="1" x14ac:dyDescent="0.35">
      <c r="A136" s="35"/>
      <c r="B136" s="35" t="e">
        <f>#REF!</f>
        <v>#REF!</v>
      </c>
      <c r="C136" s="35" t="e">
        <f>#REF!</f>
        <v>#REF!</v>
      </c>
      <c r="D136" s="174" t="e">
        <f>#REF!</f>
        <v>#REF!</v>
      </c>
      <c r="E136" s="35">
        <v>150</v>
      </c>
      <c r="F136" s="38" t="e">
        <f>#REF!</f>
        <v>#REF!</v>
      </c>
      <c r="G136" s="38" t="e">
        <f t="shared" si="6"/>
        <v>#REF!</v>
      </c>
      <c r="H136" s="76"/>
    </row>
    <row r="137" spans="1:8" s="42" customFormat="1" ht="18.75" x14ac:dyDescent="0.3">
      <c r="A137" s="35"/>
      <c r="B137" s="35" t="e">
        <f>#REF!</f>
        <v>#REF!</v>
      </c>
      <c r="C137" s="35" t="e">
        <f>#REF!</f>
        <v>#REF!</v>
      </c>
      <c r="D137" s="174" t="e">
        <f>#REF!</f>
        <v>#REF!</v>
      </c>
      <c r="E137" s="35">
        <v>50</v>
      </c>
      <c r="F137" s="38" t="e">
        <f>#REF!</f>
        <v>#REF!</v>
      </c>
      <c r="G137" s="38" t="e">
        <f t="shared" si="6"/>
        <v>#REF!</v>
      </c>
      <c r="H137" s="38"/>
    </row>
    <row r="138" spans="1:8" s="42" customFormat="1" ht="18.75" x14ac:dyDescent="0.3">
      <c r="A138" s="35"/>
      <c r="B138" s="35" t="e">
        <f>#REF!</f>
        <v>#REF!</v>
      </c>
      <c r="C138" s="35" t="e">
        <f>#REF!</f>
        <v>#REF!</v>
      </c>
      <c r="D138" s="174" t="e">
        <f>#REF!</f>
        <v>#REF!</v>
      </c>
      <c r="E138" s="35">
        <v>65</v>
      </c>
      <c r="F138" s="38" t="e">
        <f>#REF!</f>
        <v>#REF!</v>
      </c>
      <c r="G138" s="38" t="e">
        <f t="shared" si="6"/>
        <v>#REF!</v>
      </c>
      <c r="H138" s="38"/>
    </row>
    <row r="139" spans="1:8" s="42" customFormat="1" ht="18.75" x14ac:dyDescent="0.3">
      <c r="A139" s="35"/>
      <c r="B139" s="35" t="e">
        <f>#REF!</f>
        <v>#REF!</v>
      </c>
      <c r="C139" s="35" t="e">
        <f>#REF!</f>
        <v>#REF!</v>
      </c>
      <c r="D139" s="174" t="e">
        <f>#REF!</f>
        <v>#REF!</v>
      </c>
      <c r="E139" s="35">
        <v>1280</v>
      </c>
      <c r="F139" s="38" t="e">
        <f>#REF!</f>
        <v>#REF!</v>
      </c>
      <c r="G139" s="38" t="e">
        <f t="shared" si="6"/>
        <v>#REF!</v>
      </c>
      <c r="H139" s="38"/>
    </row>
    <row r="140" spans="1:8" s="42" customFormat="1" ht="18.75" x14ac:dyDescent="0.3">
      <c r="A140" s="35"/>
      <c r="B140" s="35" t="e">
        <f>#REF!</f>
        <v>#REF!</v>
      </c>
      <c r="C140" s="35" t="e">
        <f>#REF!</f>
        <v>#REF!</v>
      </c>
      <c r="D140" s="174" t="e">
        <f>#REF!</f>
        <v>#REF!</v>
      </c>
      <c r="E140" s="35">
        <v>250</v>
      </c>
      <c r="F140" s="38" t="e">
        <f>#REF!</f>
        <v>#REF!</v>
      </c>
      <c r="G140" s="38" t="e">
        <f t="shared" si="6"/>
        <v>#REF!</v>
      </c>
      <c r="H140" s="38"/>
    </row>
    <row r="141" spans="1:8" s="42" customFormat="1" ht="18.75" x14ac:dyDescent="0.3">
      <c r="A141" s="35"/>
      <c r="B141" s="35" t="e">
        <f>#REF!</f>
        <v>#REF!</v>
      </c>
      <c r="C141" s="35" t="e">
        <f>#REF!</f>
        <v>#REF!</v>
      </c>
      <c r="D141" s="174" t="e">
        <f>#REF!</f>
        <v>#REF!</v>
      </c>
      <c r="E141" s="35">
        <v>250</v>
      </c>
      <c r="F141" s="38" t="e">
        <f>#REF!</f>
        <v>#REF!</v>
      </c>
      <c r="G141" s="38" t="e">
        <f t="shared" si="6"/>
        <v>#REF!</v>
      </c>
      <c r="H141" s="38"/>
    </row>
    <row r="142" spans="1:8" s="42" customFormat="1" ht="18.75" x14ac:dyDescent="0.3">
      <c r="A142" s="35"/>
      <c r="B142" s="35" t="e">
        <f>#REF!</f>
        <v>#REF!</v>
      </c>
      <c r="C142" s="35" t="e">
        <f>#REF!</f>
        <v>#REF!</v>
      </c>
      <c r="D142" s="174" t="e">
        <f>#REF!</f>
        <v>#REF!</v>
      </c>
      <c r="E142" s="35">
        <v>5</v>
      </c>
      <c r="F142" s="38" t="e">
        <f>#REF!</f>
        <v>#REF!</v>
      </c>
      <c r="G142" s="38" t="e">
        <f t="shared" si="6"/>
        <v>#REF!</v>
      </c>
      <c r="H142" s="38"/>
    </row>
    <row r="143" spans="1:8" s="42" customFormat="1" ht="18.75" x14ac:dyDescent="0.3">
      <c r="A143" s="35"/>
      <c r="B143" s="35" t="e">
        <f>#REF!</f>
        <v>#REF!</v>
      </c>
      <c r="C143" s="35" t="e">
        <f>#REF!</f>
        <v>#REF!</v>
      </c>
      <c r="D143" s="174" t="e">
        <f>#REF!</f>
        <v>#REF!</v>
      </c>
      <c r="E143" s="35">
        <v>29</v>
      </c>
      <c r="F143" s="38" t="e">
        <f>#REF!</f>
        <v>#REF!</v>
      </c>
      <c r="G143" s="38" t="e">
        <f t="shared" si="6"/>
        <v>#REF!</v>
      </c>
      <c r="H143" s="35"/>
    </row>
    <row r="144" spans="1:8" s="42" customFormat="1" ht="18.75" x14ac:dyDescent="0.3">
      <c r="A144" s="35"/>
      <c r="B144" s="35" t="e">
        <f>#REF!</f>
        <v>#REF!</v>
      </c>
      <c r="C144" s="35" t="e">
        <f>#REF!</f>
        <v>#REF!</v>
      </c>
      <c r="D144" s="174" t="e">
        <f>#REF!</f>
        <v>#REF!</v>
      </c>
      <c r="E144" s="35">
        <v>30</v>
      </c>
      <c r="F144" s="38" t="e">
        <f>#REF!</f>
        <v>#REF!</v>
      </c>
      <c r="G144" s="38" t="e">
        <f t="shared" si="6"/>
        <v>#REF!</v>
      </c>
      <c r="H144" s="38"/>
    </row>
    <row r="145" spans="1:8" s="42" customFormat="1" ht="18.75" x14ac:dyDescent="0.3">
      <c r="A145" s="35"/>
      <c r="B145" s="35" t="e">
        <f>#REF!</f>
        <v>#REF!</v>
      </c>
      <c r="C145" s="35" t="e">
        <f>#REF!</f>
        <v>#REF!</v>
      </c>
      <c r="D145" s="174" t="e">
        <f>#REF!</f>
        <v>#REF!</v>
      </c>
      <c r="E145" s="35">
        <v>1</v>
      </c>
      <c r="F145" s="38" t="e">
        <f>#REF!</f>
        <v>#REF!</v>
      </c>
      <c r="G145" s="38" t="e">
        <f t="shared" si="6"/>
        <v>#REF!</v>
      </c>
      <c r="H145" s="38"/>
    </row>
    <row r="146" spans="1:8" s="42" customFormat="1" ht="18.75" x14ac:dyDescent="0.3">
      <c r="A146" s="35"/>
      <c r="B146" s="35" t="e">
        <f>#REF!</f>
        <v>#REF!</v>
      </c>
      <c r="C146" s="35" t="e">
        <f>#REF!</f>
        <v>#REF!</v>
      </c>
      <c r="D146" s="174" t="e">
        <f>#REF!</f>
        <v>#REF!</v>
      </c>
      <c r="E146" s="35">
        <v>124</v>
      </c>
      <c r="F146" s="38" t="e">
        <f>#REF!</f>
        <v>#REF!</v>
      </c>
      <c r="G146" s="38" t="e">
        <f t="shared" si="6"/>
        <v>#REF!</v>
      </c>
      <c r="H146" s="38"/>
    </row>
    <row r="147" spans="1:8" s="42" customFormat="1" ht="23.25" x14ac:dyDescent="0.35">
      <c r="A147" s="35"/>
      <c r="B147" s="35" t="e">
        <f>#REF!</f>
        <v>#REF!</v>
      </c>
      <c r="C147" s="35" t="e">
        <f>#REF!</f>
        <v>#REF!</v>
      </c>
      <c r="D147" s="174" t="e">
        <f>#REF!</f>
        <v>#REF!</v>
      </c>
      <c r="E147" s="35">
        <v>2</v>
      </c>
      <c r="F147" s="38" t="e">
        <f>#REF!</f>
        <v>#REF!</v>
      </c>
      <c r="G147" s="38" t="e">
        <f t="shared" si="6"/>
        <v>#REF!</v>
      </c>
      <c r="H147" s="79"/>
    </row>
    <row r="148" spans="1:8" s="42" customFormat="1" ht="18.75" x14ac:dyDescent="0.3">
      <c r="A148" s="35"/>
      <c r="B148" s="35" t="e">
        <f>#REF!</f>
        <v>#REF!</v>
      </c>
      <c r="C148" s="35" t="e">
        <f>#REF!</f>
        <v>#REF!</v>
      </c>
      <c r="D148" s="174" t="e">
        <f>#REF!</f>
        <v>#REF!</v>
      </c>
      <c r="E148" s="35">
        <v>3</v>
      </c>
      <c r="F148" s="38" t="e">
        <f>#REF!</f>
        <v>#REF!</v>
      </c>
      <c r="G148" s="38" t="e">
        <f t="shared" si="6"/>
        <v>#REF!</v>
      </c>
      <c r="H148" s="38"/>
    </row>
    <row r="149" spans="1:8" s="42" customFormat="1" ht="18.75" x14ac:dyDescent="0.3">
      <c r="A149" s="35"/>
      <c r="B149" s="35" t="e">
        <f>#REF!</f>
        <v>#REF!</v>
      </c>
      <c r="C149" s="35" t="e">
        <f>#REF!</f>
        <v>#REF!</v>
      </c>
      <c r="D149" s="174" t="e">
        <f>#REF!</f>
        <v>#REF!</v>
      </c>
      <c r="E149" s="35">
        <v>3</v>
      </c>
      <c r="F149" s="38" t="e">
        <f>#REF!</f>
        <v>#REF!</v>
      </c>
      <c r="G149" s="38" t="e">
        <f t="shared" si="6"/>
        <v>#REF!</v>
      </c>
      <c r="H149" s="38"/>
    </row>
    <row r="150" spans="1:8" s="42" customFormat="1" ht="18.75" x14ac:dyDescent="0.3">
      <c r="A150" s="35"/>
      <c r="B150" s="35" t="e">
        <f>#REF!</f>
        <v>#REF!</v>
      </c>
      <c r="C150" s="35" t="e">
        <f>#REF!</f>
        <v>#REF!</v>
      </c>
      <c r="D150" s="174" t="e">
        <f>#REF!</f>
        <v>#REF!</v>
      </c>
      <c r="E150" s="35">
        <v>63</v>
      </c>
      <c r="F150" s="38" t="e">
        <f>#REF!</f>
        <v>#REF!</v>
      </c>
      <c r="G150" s="38" t="e">
        <f t="shared" si="6"/>
        <v>#REF!</v>
      </c>
      <c r="H150" s="38"/>
    </row>
    <row r="151" spans="1:8" s="42" customFormat="1" ht="18.75" x14ac:dyDescent="0.3">
      <c r="A151" s="35"/>
      <c r="B151" s="35">
        <v>490</v>
      </c>
      <c r="C151" s="35" t="s">
        <v>357</v>
      </c>
      <c r="D151" s="174">
        <v>50</v>
      </c>
      <c r="E151" s="35">
        <v>3</v>
      </c>
      <c r="F151" s="38">
        <v>18000</v>
      </c>
      <c r="G151" s="38">
        <f t="shared" si="6"/>
        <v>54000</v>
      </c>
      <c r="H151" s="38"/>
    </row>
    <row r="152" spans="1:8" s="42" customFormat="1" ht="18.75" x14ac:dyDescent="0.3">
      <c r="A152" s="35"/>
      <c r="B152" s="35" t="e">
        <f>#REF!</f>
        <v>#REF!</v>
      </c>
      <c r="C152" s="35" t="e">
        <f>#REF!</f>
        <v>#REF!</v>
      </c>
      <c r="D152" s="174" t="e">
        <f>#REF!</f>
        <v>#REF!</v>
      </c>
      <c r="E152" s="35">
        <v>7</v>
      </c>
      <c r="F152" s="38" t="e">
        <f>#REF!</f>
        <v>#REF!</v>
      </c>
      <c r="G152" s="38" t="e">
        <f t="shared" si="6"/>
        <v>#REF!</v>
      </c>
      <c r="H152" s="38"/>
    </row>
    <row r="153" spans="1:8" s="42" customFormat="1" ht="18.75" x14ac:dyDescent="0.3">
      <c r="A153" s="35"/>
      <c r="B153" s="35" t="e">
        <f>#REF!</f>
        <v>#REF!</v>
      </c>
      <c r="C153" s="35" t="e">
        <f>#REF!</f>
        <v>#REF!</v>
      </c>
      <c r="D153" s="174" t="e">
        <f>#REF!</f>
        <v>#REF!</v>
      </c>
      <c r="E153" s="35">
        <v>75</v>
      </c>
      <c r="F153" s="38" t="e">
        <f>#REF!</f>
        <v>#REF!</v>
      </c>
      <c r="G153" s="38" t="e">
        <f t="shared" si="6"/>
        <v>#REF!</v>
      </c>
      <c r="H153" s="38"/>
    </row>
    <row r="154" spans="1:8" s="42" customFormat="1" ht="18.75" x14ac:dyDescent="0.3">
      <c r="A154" s="35"/>
      <c r="B154" s="35" t="e">
        <f>#REF!</f>
        <v>#REF!</v>
      </c>
      <c r="C154" s="35" t="e">
        <f>#REF!</f>
        <v>#REF!</v>
      </c>
      <c r="D154" s="174" t="e">
        <f>#REF!</f>
        <v>#REF!</v>
      </c>
      <c r="E154" s="35">
        <v>3</v>
      </c>
      <c r="F154" s="38" t="e">
        <f>#REF!</f>
        <v>#REF!</v>
      </c>
      <c r="G154" s="38" t="e">
        <f t="shared" si="6"/>
        <v>#REF!</v>
      </c>
      <c r="H154" s="38"/>
    </row>
    <row r="155" spans="1:8" s="42" customFormat="1" ht="18.75" x14ac:dyDescent="0.3">
      <c r="A155" s="35"/>
      <c r="B155" s="35" t="e">
        <f>#REF!</f>
        <v>#REF!</v>
      </c>
      <c r="C155" s="35" t="e">
        <f>#REF!</f>
        <v>#REF!</v>
      </c>
      <c r="D155" s="174" t="e">
        <f>#REF!</f>
        <v>#REF!</v>
      </c>
      <c r="E155" s="35">
        <v>3</v>
      </c>
      <c r="F155" s="38" t="e">
        <f>#REF!</f>
        <v>#REF!</v>
      </c>
      <c r="G155" s="38" t="e">
        <f t="shared" si="6"/>
        <v>#REF!</v>
      </c>
      <c r="H155" s="38"/>
    </row>
    <row r="156" spans="1:8" s="42" customFormat="1" ht="18.75" x14ac:dyDescent="0.3">
      <c r="A156" s="35"/>
      <c r="B156" s="35" t="e">
        <f>#REF!</f>
        <v>#REF!</v>
      </c>
      <c r="C156" s="35" t="e">
        <f>#REF!</f>
        <v>#REF!</v>
      </c>
      <c r="D156" s="174" t="e">
        <f>#REF!</f>
        <v>#REF!</v>
      </c>
      <c r="E156" s="35">
        <v>2</v>
      </c>
      <c r="F156" s="38" t="e">
        <f>#REF!</f>
        <v>#REF!</v>
      </c>
      <c r="G156" s="38" t="e">
        <f t="shared" si="6"/>
        <v>#REF!</v>
      </c>
      <c r="H156" s="38"/>
    </row>
    <row r="157" spans="1:8" s="42" customFormat="1" ht="18.75" x14ac:dyDescent="0.3">
      <c r="A157" s="35"/>
      <c r="B157" s="35" t="e">
        <f>#REF!</f>
        <v>#REF!</v>
      </c>
      <c r="C157" s="35" t="e">
        <f>#REF!</f>
        <v>#REF!</v>
      </c>
      <c r="D157" s="174" t="e">
        <f>#REF!</f>
        <v>#REF!</v>
      </c>
      <c r="E157" s="35">
        <v>1</v>
      </c>
      <c r="F157" s="38" t="e">
        <f>#REF!</f>
        <v>#REF!</v>
      </c>
      <c r="G157" s="38" t="e">
        <f t="shared" si="6"/>
        <v>#REF!</v>
      </c>
      <c r="H157" s="38"/>
    </row>
    <row r="158" spans="1:8" s="42" customFormat="1" ht="18.75" x14ac:dyDescent="0.3">
      <c r="A158" s="35"/>
      <c r="B158" s="35" t="e">
        <f>#REF!</f>
        <v>#REF!</v>
      </c>
      <c r="C158" s="35" t="e">
        <f>#REF!</f>
        <v>#REF!</v>
      </c>
      <c r="D158" s="174" t="e">
        <f>#REF!</f>
        <v>#REF!</v>
      </c>
      <c r="E158" s="35">
        <v>2</v>
      </c>
      <c r="F158" s="38" t="e">
        <f>#REF!</f>
        <v>#REF!</v>
      </c>
      <c r="G158" s="38" t="e">
        <f t="shared" si="6"/>
        <v>#REF!</v>
      </c>
      <c r="H158" s="38"/>
    </row>
    <row r="159" spans="1:8" s="42" customFormat="1" ht="18.75" x14ac:dyDescent="0.3">
      <c r="A159" s="35"/>
      <c r="B159" s="35" t="e">
        <f>#REF!</f>
        <v>#REF!</v>
      </c>
      <c r="C159" s="35" t="e">
        <f>#REF!</f>
        <v>#REF!</v>
      </c>
      <c r="D159" s="174" t="e">
        <f>#REF!</f>
        <v>#REF!</v>
      </c>
      <c r="E159" s="35">
        <v>34</v>
      </c>
      <c r="F159" s="38" t="e">
        <f>#REF!</f>
        <v>#REF!</v>
      </c>
      <c r="G159" s="38" t="e">
        <f t="shared" si="6"/>
        <v>#REF!</v>
      </c>
      <c r="H159" s="38"/>
    </row>
    <row r="160" spans="1:8" s="42" customFormat="1" ht="18.75" x14ac:dyDescent="0.3">
      <c r="A160" s="35"/>
      <c r="B160" s="35" t="e">
        <f>#REF!</f>
        <v>#REF!</v>
      </c>
      <c r="C160" s="35" t="e">
        <f>#REF!</f>
        <v>#REF!</v>
      </c>
      <c r="D160" s="174" t="e">
        <f>#REF!</f>
        <v>#REF!</v>
      </c>
      <c r="E160" s="35">
        <v>5</v>
      </c>
      <c r="F160" s="38" t="e">
        <f>#REF!</f>
        <v>#REF!</v>
      </c>
      <c r="G160" s="38" t="e">
        <f t="shared" si="6"/>
        <v>#REF!</v>
      </c>
      <c r="H160" s="38"/>
    </row>
    <row r="161" spans="1:8" s="42" customFormat="1" ht="18.75" x14ac:dyDescent="0.3">
      <c r="A161" s="35"/>
      <c r="B161" s="35" t="e">
        <f>#REF!</f>
        <v>#REF!</v>
      </c>
      <c r="C161" s="35" t="e">
        <f>#REF!</f>
        <v>#REF!</v>
      </c>
      <c r="D161" s="174" t="e">
        <f>#REF!</f>
        <v>#REF!</v>
      </c>
      <c r="E161" s="35">
        <v>12</v>
      </c>
      <c r="F161" s="38" t="e">
        <f>#REF!</f>
        <v>#REF!</v>
      </c>
      <c r="G161" s="38" t="e">
        <f t="shared" si="6"/>
        <v>#REF!</v>
      </c>
      <c r="H161" s="38"/>
    </row>
    <row r="162" spans="1:8" s="42" customFormat="1" ht="18.75" x14ac:dyDescent="0.3">
      <c r="A162" s="35"/>
      <c r="B162" s="35" t="e">
        <f>#REF!</f>
        <v>#REF!</v>
      </c>
      <c r="C162" s="35" t="e">
        <f>#REF!</f>
        <v>#REF!</v>
      </c>
      <c r="D162" s="174" t="e">
        <f>#REF!</f>
        <v>#REF!</v>
      </c>
      <c r="E162" s="35">
        <v>3</v>
      </c>
      <c r="F162" s="38" t="e">
        <f>#REF!</f>
        <v>#REF!</v>
      </c>
      <c r="G162" s="38" t="e">
        <f t="shared" si="6"/>
        <v>#REF!</v>
      </c>
      <c r="H162" s="38"/>
    </row>
    <row r="163" spans="1:8" s="42" customFormat="1" ht="23.25" x14ac:dyDescent="0.35">
      <c r="A163" s="35"/>
      <c r="B163" s="35" t="e">
        <f>#REF!</f>
        <v>#REF!</v>
      </c>
      <c r="C163" s="35" t="e">
        <f>#REF!</f>
        <v>#REF!</v>
      </c>
      <c r="D163" s="174" t="e">
        <f>#REF!</f>
        <v>#REF!</v>
      </c>
      <c r="E163" s="35">
        <v>1</v>
      </c>
      <c r="F163" s="38" t="e">
        <f>#REF!</f>
        <v>#REF!</v>
      </c>
      <c r="G163" s="38" t="e">
        <f t="shared" si="6"/>
        <v>#REF!</v>
      </c>
      <c r="H163" s="79"/>
    </row>
    <row r="164" spans="1:8" s="42" customFormat="1" ht="18.75" x14ac:dyDescent="0.3">
      <c r="A164" s="35"/>
      <c r="B164" s="35" t="e">
        <f>#REF!</f>
        <v>#REF!</v>
      </c>
      <c r="C164" s="35" t="e">
        <f>#REF!</f>
        <v>#REF!</v>
      </c>
      <c r="D164" s="174" t="e">
        <f>#REF!</f>
        <v>#REF!</v>
      </c>
      <c r="E164" s="35">
        <v>1</v>
      </c>
      <c r="F164" s="38" t="e">
        <f>#REF!</f>
        <v>#REF!</v>
      </c>
      <c r="G164" s="38" t="e">
        <f t="shared" si="6"/>
        <v>#REF!</v>
      </c>
      <c r="H164" s="38"/>
    </row>
    <row r="165" spans="1:8" s="42" customFormat="1" ht="18.75" x14ac:dyDescent="0.3">
      <c r="A165" s="35"/>
      <c r="B165" s="35" t="e">
        <f>#REF!</f>
        <v>#REF!</v>
      </c>
      <c r="C165" s="35" t="e">
        <f>#REF!</f>
        <v>#REF!</v>
      </c>
      <c r="D165" s="174" t="e">
        <f>#REF!</f>
        <v>#REF!</v>
      </c>
      <c r="E165" s="35">
        <v>50</v>
      </c>
      <c r="F165" s="38" t="e">
        <f>#REF!</f>
        <v>#REF!</v>
      </c>
      <c r="G165" s="38" t="e">
        <f t="shared" si="6"/>
        <v>#REF!</v>
      </c>
      <c r="H165" s="38"/>
    </row>
    <row r="166" spans="1:8" s="42" customFormat="1" ht="18.75" x14ac:dyDescent="0.3">
      <c r="A166" s="35"/>
      <c r="B166" s="35" t="e">
        <f>#REF!</f>
        <v>#REF!</v>
      </c>
      <c r="C166" s="35" t="e">
        <f>#REF!</f>
        <v>#REF!</v>
      </c>
      <c r="D166" s="174" t="e">
        <f>#REF!</f>
        <v>#REF!</v>
      </c>
      <c r="E166" s="35">
        <v>1</v>
      </c>
      <c r="F166" s="38" t="e">
        <f>#REF!</f>
        <v>#REF!</v>
      </c>
      <c r="G166" s="38" t="e">
        <f t="shared" si="6"/>
        <v>#REF!</v>
      </c>
      <c r="H166" s="38"/>
    </row>
    <row r="167" spans="1:8" s="42" customFormat="1" ht="18.75" x14ac:dyDescent="0.3">
      <c r="A167" s="35"/>
      <c r="B167" s="35" t="e">
        <f>#REF!</f>
        <v>#REF!</v>
      </c>
      <c r="C167" s="35" t="e">
        <f>#REF!</f>
        <v>#REF!</v>
      </c>
      <c r="D167" s="174" t="e">
        <f>#REF!</f>
        <v>#REF!</v>
      </c>
      <c r="E167" s="35">
        <v>1</v>
      </c>
      <c r="F167" s="38" t="e">
        <f>#REF!</f>
        <v>#REF!</v>
      </c>
      <c r="G167" s="38" t="e">
        <f t="shared" si="6"/>
        <v>#REF!</v>
      </c>
      <c r="H167" s="38"/>
    </row>
    <row r="168" spans="1:8" s="42" customFormat="1" ht="18.75" x14ac:dyDescent="0.3">
      <c r="A168" s="35"/>
      <c r="B168" s="35" t="e">
        <f>#REF!</f>
        <v>#REF!</v>
      </c>
      <c r="C168" s="35" t="e">
        <f>#REF!</f>
        <v>#REF!</v>
      </c>
      <c r="D168" s="174" t="e">
        <f>#REF!</f>
        <v>#REF!</v>
      </c>
      <c r="E168" s="35">
        <v>835</v>
      </c>
      <c r="F168" s="38" t="e">
        <f>#REF!</f>
        <v>#REF!</v>
      </c>
      <c r="G168" s="38" t="e">
        <f t="shared" si="6"/>
        <v>#REF!</v>
      </c>
      <c r="H168" s="38"/>
    </row>
    <row r="169" spans="1:8" s="42" customFormat="1" ht="18.75" x14ac:dyDescent="0.3">
      <c r="A169" s="35"/>
      <c r="B169" s="35" t="e">
        <f>#REF!</f>
        <v>#REF!</v>
      </c>
      <c r="C169" s="35" t="e">
        <f>#REF!</f>
        <v>#REF!</v>
      </c>
      <c r="D169" s="174" t="e">
        <f>#REF!</f>
        <v>#REF!</v>
      </c>
      <c r="E169" s="35">
        <v>25</v>
      </c>
      <c r="F169" s="38" t="e">
        <f>#REF!</f>
        <v>#REF!</v>
      </c>
      <c r="G169" s="38" t="e">
        <f t="shared" si="6"/>
        <v>#REF!</v>
      </c>
      <c r="H169" s="38"/>
    </row>
    <row r="170" spans="1:8" s="42" customFormat="1" ht="18.75" x14ac:dyDescent="0.3">
      <c r="A170" s="35"/>
      <c r="B170" s="35" t="e">
        <f>#REF!</f>
        <v>#REF!</v>
      </c>
      <c r="C170" s="35" t="e">
        <f>#REF!</f>
        <v>#REF!</v>
      </c>
      <c r="D170" s="174" t="e">
        <f>#REF!</f>
        <v>#REF!</v>
      </c>
      <c r="E170" s="35">
        <v>100</v>
      </c>
      <c r="F170" s="38" t="e">
        <f>#REF!</f>
        <v>#REF!</v>
      </c>
      <c r="G170" s="38" t="e">
        <f t="shared" si="6"/>
        <v>#REF!</v>
      </c>
      <c r="H170" s="38"/>
    </row>
    <row r="171" spans="1:8" s="42" customFormat="1" ht="18.75" x14ac:dyDescent="0.3">
      <c r="A171" s="35"/>
      <c r="B171" s="35" t="e">
        <f>#REF!</f>
        <v>#REF!</v>
      </c>
      <c r="C171" s="35" t="e">
        <f>#REF!</f>
        <v>#REF!</v>
      </c>
      <c r="D171" s="174" t="e">
        <f>#REF!</f>
        <v>#REF!</v>
      </c>
      <c r="E171" s="35">
        <v>5</v>
      </c>
      <c r="F171" s="38" t="e">
        <f>#REF!</f>
        <v>#REF!</v>
      </c>
      <c r="G171" s="38" t="e">
        <f t="shared" si="6"/>
        <v>#REF!</v>
      </c>
      <c r="H171" s="38"/>
    </row>
    <row r="172" spans="1:8" s="42" customFormat="1" ht="18.75" x14ac:dyDescent="0.3">
      <c r="A172" s="35"/>
      <c r="B172" s="35" t="e">
        <f>#REF!</f>
        <v>#REF!</v>
      </c>
      <c r="C172" s="35" t="e">
        <f>#REF!</f>
        <v>#REF!</v>
      </c>
      <c r="D172" s="174" t="e">
        <f>#REF!</f>
        <v>#REF!</v>
      </c>
      <c r="E172" s="35">
        <v>500</v>
      </c>
      <c r="F172" s="38" t="e">
        <f>#REF!</f>
        <v>#REF!</v>
      </c>
      <c r="G172" s="38" t="e">
        <f t="shared" si="6"/>
        <v>#REF!</v>
      </c>
      <c r="H172" s="38"/>
    </row>
    <row r="173" spans="1:8" s="42" customFormat="1" ht="18.75" x14ac:dyDescent="0.3">
      <c r="A173" s="35"/>
      <c r="B173" s="35" t="e">
        <f>#REF!</f>
        <v>#REF!</v>
      </c>
      <c r="C173" s="35" t="e">
        <f>#REF!</f>
        <v>#REF!</v>
      </c>
      <c r="D173" s="174" t="e">
        <f>#REF!</f>
        <v>#REF!</v>
      </c>
      <c r="E173" s="35">
        <v>90</v>
      </c>
      <c r="F173" s="38" t="e">
        <f>#REF!</f>
        <v>#REF!</v>
      </c>
      <c r="G173" s="38" t="e">
        <f t="shared" si="6"/>
        <v>#REF!</v>
      </c>
      <c r="H173" s="38"/>
    </row>
    <row r="174" spans="1:8" s="42" customFormat="1" ht="18.75" x14ac:dyDescent="0.3">
      <c r="A174" s="35"/>
      <c r="B174" s="35" t="e">
        <f>#REF!</f>
        <v>#REF!</v>
      </c>
      <c r="C174" s="35" t="e">
        <f>#REF!</f>
        <v>#REF!</v>
      </c>
      <c r="D174" s="174" t="e">
        <f>#REF!</f>
        <v>#REF!</v>
      </c>
      <c r="E174" s="35">
        <v>180</v>
      </c>
      <c r="F174" s="38" t="e">
        <f>#REF!</f>
        <v>#REF!</v>
      </c>
      <c r="G174" s="38" t="e">
        <f t="shared" ref="G174:G220" si="7">E174*F174</f>
        <v>#REF!</v>
      </c>
      <c r="H174" s="38"/>
    </row>
    <row r="175" spans="1:8" s="42" customFormat="1" ht="18.75" x14ac:dyDescent="0.3">
      <c r="A175" s="35"/>
      <c r="B175" s="35" t="e">
        <f>#REF!</f>
        <v>#REF!</v>
      </c>
      <c r="C175" s="35" t="e">
        <f>#REF!</f>
        <v>#REF!</v>
      </c>
      <c r="D175" s="174" t="e">
        <f>#REF!</f>
        <v>#REF!</v>
      </c>
      <c r="E175" s="35">
        <v>150</v>
      </c>
      <c r="F175" s="38" t="e">
        <f>#REF!</f>
        <v>#REF!</v>
      </c>
      <c r="G175" s="38" t="e">
        <f t="shared" si="7"/>
        <v>#REF!</v>
      </c>
      <c r="H175" s="38"/>
    </row>
    <row r="176" spans="1:8" s="42" customFormat="1" ht="18.75" x14ac:dyDescent="0.3">
      <c r="A176" s="35"/>
      <c r="B176" s="35" t="e">
        <f>#REF!</f>
        <v>#REF!</v>
      </c>
      <c r="C176" s="35" t="e">
        <f>#REF!</f>
        <v>#REF!</v>
      </c>
      <c r="D176" s="174" t="e">
        <f>#REF!</f>
        <v>#REF!</v>
      </c>
      <c r="E176" s="35">
        <v>40</v>
      </c>
      <c r="F176" s="38" t="e">
        <f>#REF!</f>
        <v>#REF!</v>
      </c>
      <c r="G176" s="38" t="e">
        <f t="shared" si="7"/>
        <v>#REF!</v>
      </c>
      <c r="H176" s="38"/>
    </row>
    <row r="177" spans="1:8" s="42" customFormat="1" ht="18.75" x14ac:dyDescent="0.3">
      <c r="A177" s="35"/>
      <c r="B177" s="35" t="e">
        <f>#REF!</f>
        <v>#REF!</v>
      </c>
      <c r="C177" s="35" t="e">
        <f>#REF!</f>
        <v>#REF!</v>
      </c>
      <c r="D177" s="174" t="e">
        <f>#REF!</f>
        <v>#REF!</v>
      </c>
      <c r="E177" s="35">
        <v>9</v>
      </c>
      <c r="F177" s="38" t="e">
        <f>#REF!</f>
        <v>#REF!</v>
      </c>
      <c r="G177" s="38" t="e">
        <f t="shared" si="7"/>
        <v>#REF!</v>
      </c>
      <c r="H177" s="38"/>
    </row>
    <row r="178" spans="1:8" s="42" customFormat="1" ht="18.75" x14ac:dyDescent="0.3">
      <c r="A178" s="35"/>
      <c r="B178" s="35" t="e">
        <f>#REF!</f>
        <v>#REF!</v>
      </c>
      <c r="C178" s="35" t="e">
        <f>#REF!</f>
        <v>#REF!</v>
      </c>
      <c r="D178" s="174" t="e">
        <f>#REF!</f>
        <v>#REF!</v>
      </c>
      <c r="E178" s="35">
        <v>28</v>
      </c>
      <c r="F178" s="38" t="e">
        <f>#REF!</f>
        <v>#REF!</v>
      </c>
      <c r="G178" s="38" t="e">
        <f t="shared" si="7"/>
        <v>#REF!</v>
      </c>
      <c r="H178" s="38"/>
    </row>
    <row r="179" spans="1:8" s="42" customFormat="1" ht="18.75" x14ac:dyDescent="0.3">
      <c r="A179" s="35"/>
      <c r="B179" s="35" t="e">
        <f>#REF!</f>
        <v>#REF!</v>
      </c>
      <c r="C179" s="35" t="e">
        <f>#REF!</f>
        <v>#REF!</v>
      </c>
      <c r="D179" s="174" t="e">
        <f>#REF!</f>
        <v>#REF!</v>
      </c>
      <c r="E179" s="35">
        <v>10</v>
      </c>
      <c r="F179" s="38" t="e">
        <f>#REF!</f>
        <v>#REF!</v>
      </c>
      <c r="G179" s="38" t="e">
        <f t="shared" si="7"/>
        <v>#REF!</v>
      </c>
      <c r="H179" s="38"/>
    </row>
    <row r="180" spans="1:8" s="42" customFormat="1" ht="18.75" x14ac:dyDescent="0.3">
      <c r="A180" s="35"/>
      <c r="B180" s="35" t="e">
        <f>#REF!</f>
        <v>#REF!</v>
      </c>
      <c r="C180" s="35" t="e">
        <f>#REF!</f>
        <v>#REF!</v>
      </c>
      <c r="D180" s="174" t="e">
        <f>#REF!</f>
        <v>#REF!</v>
      </c>
      <c r="E180" s="35">
        <v>3</v>
      </c>
      <c r="F180" s="38" t="e">
        <f>#REF!</f>
        <v>#REF!</v>
      </c>
      <c r="G180" s="38" t="e">
        <f t="shared" si="7"/>
        <v>#REF!</v>
      </c>
      <c r="H180" s="38"/>
    </row>
    <row r="181" spans="1:8" s="42" customFormat="1" ht="23.25" x14ac:dyDescent="0.35">
      <c r="A181" s="35"/>
      <c r="B181" s="35" t="e">
        <f>#REF!</f>
        <v>#REF!</v>
      </c>
      <c r="C181" s="35" t="e">
        <f>#REF!</f>
        <v>#REF!</v>
      </c>
      <c r="D181" s="174" t="e">
        <f>#REF!</f>
        <v>#REF!</v>
      </c>
      <c r="E181" s="35">
        <v>1</v>
      </c>
      <c r="F181" s="38" t="e">
        <f>#REF!</f>
        <v>#REF!</v>
      </c>
      <c r="G181" s="38" t="e">
        <f t="shared" si="7"/>
        <v>#REF!</v>
      </c>
      <c r="H181" s="79"/>
    </row>
    <row r="182" spans="1:8" s="42" customFormat="1" ht="18.75" x14ac:dyDescent="0.3">
      <c r="A182" s="35"/>
      <c r="B182" s="35" t="e">
        <f>#REF!</f>
        <v>#REF!</v>
      </c>
      <c r="C182" s="35" t="e">
        <f>#REF!</f>
        <v>#REF!</v>
      </c>
      <c r="D182" s="174" t="e">
        <f>#REF!</f>
        <v>#REF!</v>
      </c>
      <c r="E182" s="35">
        <v>1</v>
      </c>
      <c r="F182" s="38" t="e">
        <f>#REF!</f>
        <v>#REF!</v>
      </c>
      <c r="G182" s="38" t="e">
        <f t="shared" si="7"/>
        <v>#REF!</v>
      </c>
      <c r="H182" s="38"/>
    </row>
    <row r="183" spans="1:8" s="42" customFormat="1" ht="18.75" x14ac:dyDescent="0.3">
      <c r="A183" s="35"/>
      <c r="B183" s="35" t="e">
        <f>#REF!</f>
        <v>#REF!</v>
      </c>
      <c r="C183" s="35" t="e">
        <f>#REF!</f>
        <v>#REF!</v>
      </c>
      <c r="D183" s="174" t="e">
        <f>#REF!</f>
        <v>#REF!</v>
      </c>
      <c r="E183" s="35">
        <v>1</v>
      </c>
      <c r="F183" s="38" t="e">
        <f>#REF!</f>
        <v>#REF!</v>
      </c>
      <c r="G183" s="38" t="e">
        <f t="shared" si="7"/>
        <v>#REF!</v>
      </c>
      <c r="H183" s="38"/>
    </row>
    <row r="184" spans="1:8" s="42" customFormat="1" ht="18.75" x14ac:dyDescent="0.3">
      <c r="A184" s="35"/>
      <c r="B184" s="35" t="e">
        <f>#REF!</f>
        <v>#REF!</v>
      </c>
      <c r="C184" s="35" t="e">
        <f>#REF!</f>
        <v>#REF!</v>
      </c>
      <c r="D184" s="174" t="e">
        <f>#REF!</f>
        <v>#REF!</v>
      </c>
      <c r="E184" s="35">
        <v>8</v>
      </c>
      <c r="F184" s="38" t="e">
        <f>#REF!</f>
        <v>#REF!</v>
      </c>
      <c r="G184" s="38" t="e">
        <f t="shared" si="7"/>
        <v>#REF!</v>
      </c>
      <c r="H184" s="38"/>
    </row>
    <row r="185" spans="1:8" s="42" customFormat="1" ht="18.75" x14ac:dyDescent="0.3">
      <c r="A185" s="35"/>
      <c r="B185" s="35" t="e">
        <f>#REF!</f>
        <v>#REF!</v>
      </c>
      <c r="C185" s="35" t="e">
        <f>#REF!</f>
        <v>#REF!</v>
      </c>
      <c r="D185" s="174" t="e">
        <f>#REF!</f>
        <v>#REF!</v>
      </c>
      <c r="E185" s="35">
        <v>6</v>
      </c>
      <c r="F185" s="38" t="e">
        <f>#REF!</f>
        <v>#REF!</v>
      </c>
      <c r="G185" s="38" t="e">
        <f t="shared" si="7"/>
        <v>#REF!</v>
      </c>
      <c r="H185" s="38"/>
    </row>
    <row r="186" spans="1:8" s="42" customFormat="1" ht="18.75" x14ac:dyDescent="0.3">
      <c r="A186" s="35"/>
      <c r="B186" s="35" t="e">
        <f>#REF!</f>
        <v>#REF!</v>
      </c>
      <c r="C186" s="35" t="e">
        <f>#REF!</f>
        <v>#REF!</v>
      </c>
      <c r="D186" s="174" t="e">
        <f>#REF!</f>
        <v>#REF!</v>
      </c>
      <c r="E186" s="35">
        <v>5</v>
      </c>
      <c r="F186" s="38" t="e">
        <f>#REF!</f>
        <v>#REF!</v>
      </c>
      <c r="G186" s="38" t="e">
        <f t="shared" si="7"/>
        <v>#REF!</v>
      </c>
      <c r="H186" s="38"/>
    </row>
    <row r="187" spans="1:8" s="42" customFormat="1" ht="18.75" x14ac:dyDescent="0.3">
      <c r="A187" s="35"/>
      <c r="B187" s="35" t="e">
        <f>#REF!</f>
        <v>#REF!</v>
      </c>
      <c r="C187" s="35" t="e">
        <f>#REF!</f>
        <v>#REF!</v>
      </c>
      <c r="D187" s="174" t="e">
        <f>#REF!</f>
        <v>#REF!</v>
      </c>
      <c r="E187" s="35">
        <v>2</v>
      </c>
      <c r="F187" s="38" t="e">
        <f>#REF!</f>
        <v>#REF!</v>
      </c>
      <c r="G187" s="38" t="e">
        <f t="shared" si="7"/>
        <v>#REF!</v>
      </c>
      <c r="H187" s="38"/>
    </row>
    <row r="188" spans="1:8" s="42" customFormat="1" ht="18.75" x14ac:dyDescent="0.3">
      <c r="A188" s="35"/>
      <c r="B188" s="35" t="e">
        <f>#REF!</f>
        <v>#REF!</v>
      </c>
      <c r="C188" s="35" t="e">
        <f>#REF!</f>
        <v>#REF!</v>
      </c>
      <c r="D188" s="174" t="e">
        <f>#REF!</f>
        <v>#REF!</v>
      </c>
      <c r="E188" s="35">
        <v>98</v>
      </c>
      <c r="F188" s="38" t="e">
        <f>#REF!</f>
        <v>#REF!</v>
      </c>
      <c r="G188" s="38" t="e">
        <f t="shared" si="7"/>
        <v>#REF!</v>
      </c>
      <c r="H188" s="38"/>
    </row>
    <row r="189" spans="1:8" s="42" customFormat="1" ht="18.75" x14ac:dyDescent="0.3">
      <c r="A189" s="35"/>
      <c r="B189" s="35" t="e">
        <f>#REF!</f>
        <v>#REF!</v>
      </c>
      <c r="C189" s="35" t="e">
        <f>#REF!</f>
        <v>#REF!</v>
      </c>
      <c r="D189" s="174" t="e">
        <f>#REF!</f>
        <v>#REF!</v>
      </c>
      <c r="E189" s="35">
        <v>30</v>
      </c>
      <c r="F189" s="38" t="e">
        <f>#REF!</f>
        <v>#REF!</v>
      </c>
      <c r="G189" s="38" t="e">
        <f t="shared" si="7"/>
        <v>#REF!</v>
      </c>
      <c r="H189" s="38"/>
    </row>
    <row r="190" spans="1:8" s="42" customFormat="1" ht="18.75" x14ac:dyDescent="0.3">
      <c r="A190" s="35"/>
      <c r="B190" s="35" t="e">
        <f>#REF!</f>
        <v>#REF!</v>
      </c>
      <c r="C190" s="35" t="e">
        <f>#REF!</f>
        <v>#REF!</v>
      </c>
      <c r="D190" s="174" t="e">
        <f>#REF!</f>
        <v>#REF!</v>
      </c>
      <c r="E190" s="35">
        <v>1</v>
      </c>
      <c r="F190" s="38" t="e">
        <f>#REF!</f>
        <v>#REF!</v>
      </c>
      <c r="G190" s="38" t="e">
        <f t="shared" si="7"/>
        <v>#REF!</v>
      </c>
      <c r="H190" s="38"/>
    </row>
    <row r="191" spans="1:8" s="42" customFormat="1" ht="23.25" x14ac:dyDescent="0.35">
      <c r="A191" s="35"/>
      <c r="B191" s="35" t="e">
        <f>#REF!</f>
        <v>#REF!</v>
      </c>
      <c r="C191" s="35" t="e">
        <f>#REF!</f>
        <v>#REF!</v>
      </c>
      <c r="D191" s="174" t="e">
        <f>#REF!</f>
        <v>#REF!</v>
      </c>
      <c r="E191" s="35">
        <v>3</v>
      </c>
      <c r="F191" s="38" t="e">
        <f>#REF!</f>
        <v>#REF!</v>
      </c>
      <c r="G191" s="38" t="e">
        <f t="shared" si="7"/>
        <v>#REF!</v>
      </c>
      <c r="H191" s="79"/>
    </row>
    <row r="192" spans="1:8" s="42" customFormat="1" ht="18.75" x14ac:dyDescent="0.3">
      <c r="A192" s="35"/>
      <c r="B192" s="35" t="e">
        <f>#REF!</f>
        <v>#REF!</v>
      </c>
      <c r="C192" s="35" t="e">
        <f>#REF!</f>
        <v>#REF!</v>
      </c>
      <c r="D192" s="174" t="e">
        <f>#REF!</f>
        <v>#REF!</v>
      </c>
      <c r="E192" s="35">
        <v>8</v>
      </c>
      <c r="F192" s="38" t="e">
        <f>#REF!</f>
        <v>#REF!</v>
      </c>
      <c r="G192" s="38" t="e">
        <f t="shared" si="7"/>
        <v>#REF!</v>
      </c>
      <c r="H192" s="38"/>
    </row>
    <row r="193" spans="1:8" s="42" customFormat="1" ht="18.75" x14ac:dyDescent="0.3">
      <c r="A193" s="35"/>
      <c r="B193" s="35" t="e">
        <f>#REF!</f>
        <v>#REF!</v>
      </c>
      <c r="C193" s="35" t="e">
        <f>#REF!</f>
        <v>#REF!</v>
      </c>
      <c r="D193" s="174">
        <v>100</v>
      </c>
      <c r="E193" s="35">
        <v>63</v>
      </c>
      <c r="F193" s="38" t="e">
        <f>#REF!</f>
        <v>#REF!</v>
      </c>
      <c r="G193" s="38" t="e">
        <f t="shared" si="7"/>
        <v>#REF!</v>
      </c>
      <c r="H193" s="38"/>
    </row>
    <row r="194" spans="1:8" s="42" customFormat="1" ht="18.75" x14ac:dyDescent="0.3">
      <c r="A194" s="35"/>
      <c r="B194" s="35" t="e">
        <f>#REF!</f>
        <v>#REF!</v>
      </c>
      <c r="C194" s="35" t="e">
        <f>#REF!</f>
        <v>#REF!</v>
      </c>
      <c r="D194" s="174">
        <v>100</v>
      </c>
      <c r="E194" s="35">
        <v>10</v>
      </c>
      <c r="F194" s="38" t="e">
        <f>#REF!</f>
        <v>#REF!</v>
      </c>
      <c r="G194" s="38" t="e">
        <f t="shared" si="7"/>
        <v>#REF!</v>
      </c>
      <c r="H194" s="38"/>
    </row>
    <row r="195" spans="1:8" s="42" customFormat="1" ht="18.75" x14ac:dyDescent="0.3">
      <c r="A195" s="35"/>
      <c r="B195" s="35" t="e">
        <f>#REF!</f>
        <v>#REF!</v>
      </c>
      <c r="C195" s="35" t="e">
        <f>#REF!</f>
        <v>#REF!</v>
      </c>
      <c r="D195" s="174" t="e">
        <f>#REF!</f>
        <v>#REF!</v>
      </c>
      <c r="E195" s="35">
        <v>450</v>
      </c>
      <c r="F195" s="38" t="e">
        <f>#REF!</f>
        <v>#REF!</v>
      </c>
      <c r="G195" s="38" t="e">
        <f t="shared" si="7"/>
        <v>#REF!</v>
      </c>
      <c r="H195" s="38"/>
    </row>
    <row r="196" spans="1:8" s="42" customFormat="1" ht="18.75" x14ac:dyDescent="0.3">
      <c r="A196" s="35"/>
      <c r="B196" s="35" t="e">
        <f>#REF!</f>
        <v>#REF!</v>
      </c>
      <c r="C196" s="35" t="e">
        <f>#REF!</f>
        <v>#REF!</v>
      </c>
      <c r="D196" s="174" t="e">
        <f>#REF!</f>
        <v>#REF!</v>
      </c>
      <c r="E196" s="35">
        <v>700</v>
      </c>
      <c r="F196" s="38" t="e">
        <f>#REF!</f>
        <v>#REF!</v>
      </c>
      <c r="G196" s="38" t="e">
        <f t="shared" si="7"/>
        <v>#REF!</v>
      </c>
      <c r="H196" s="38"/>
    </row>
    <row r="197" spans="1:8" s="42" customFormat="1" ht="18.75" x14ac:dyDescent="0.3">
      <c r="A197" s="35"/>
      <c r="B197" s="35" t="e">
        <f>#REF!</f>
        <v>#REF!</v>
      </c>
      <c r="C197" s="35" t="e">
        <f>#REF!</f>
        <v>#REF!</v>
      </c>
      <c r="D197" s="174" t="e">
        <f>#REF!</f>
        <v>#REF!</v>
      </c>
      <c r="E197" s="35">
        <v>13</v>
      </c>
      <c r="F197" s="38" t="e">
        <f>#REF!</f>
        <v>#REF!</v>
      </c>
      <c r="G197" s="38" t="e">
        <f t="shared" si="7"/>
        <v>#REF!</v>
      </c>
      <c r="H197" s="38"/>
    </row>
    <row r="198" spans="1:8" s="42" customFormat="1" ht="18.75" x14ac:dyDescent="0.3">
      <c r="A198" s="35"/>
      <c r="B198" s="35" t="e">
        <f>#REF!</f>
        <v>#REF!</v>
      </c>
      <c r="C198" s="35" t="e">
        <f>#REF!</f>
        <v>#REF!</v>
      </c>
      <c r="D198" s="174" t="e">
        <f>#REF!</f>
        <v>#REF!</v>
      </c>
      <c r="E198" s="35">
        <v>2</v>
      </c>
      <c r="F198" s="38" t="e">
        <f>#REF!</f>
        <v>#REF!</v>
      </c>
      <c r="G198" s="38" t="e">
        <f t="shared" si="7"/>
        <v>#REF!</v>
      </c>
      <c r="H198" s="38"/>
    </row>
    <row r="199" spans="1:8" s="42" customFormat="1" ht="18.75" x14ac:dyDescent="0.3">
      <c r="A199" s="35"/>
      <c r="B199" s="35" t="e">
        <f>#REF!</f>
        <v>#REF!</v>
      </c>
      <c r="C199" s="35" t="e">
        <f>#REF!</f>
        <v>#REF!</v>
      </c>
      <c r="D199" s="174" t="e">
        <f>#REF!</f>
        <v>#REF!</v>
      </c>
      <c r="E199" s="35">
        <v>3</v>
      </c>
      <c r="F199" s="38" t="e">
        <f>#REF!</f>
        <v>#REF!</v>
      </c>
      <c r="G199" s="38" t="e">
        <f t="shared" si="7"/>
        <v>#REF!</v>
      </c>
      <c r="H199" s="38"/>
    </row>
    <row r="200" spans="1:8" s="42" customFormat="1" ht="18.75" x14ac:dyDescent="0.3">
      <c r="A200" s="35"/>
      <c r="B200" s="35" t="e">
        <f>#REF!</f>
        <v>#REF!</v>
      </c>
      <c r="C200" s="35" t="e">
        <f>#REF!</f>
        <v>#REF!</v>
      </c>
      <c r="D200" s="174" t="e">
        <f>#REF!</f>
        <v>#REF!</v>
      </c>
      <c r="E200" s="35">
        <v>1</v>
      </c>
      <c r="F200" s="38" t="e">
        <f>#REF!</f>
        <v>#REF!</v>
      </c>
      <c r="G200" s="38" t="e">
        <f t="shared" si="7"/>
        <v>#REF!</v>
      </c>
      <c r="H200" s="38"/>
    </row>
    <row r="201" spans="1:8" s="42" customFormat="1" ht="18.75" x14ac:dyDescent="0.3">
      <c r="A201" s="35"/>
      <c r="B201" s="35" t="e">
        <f>#REF!</f>
        <v>#REF!</v>
      </c>
      <c r="C201" s="35" t="e">
        <f>#REF!</f>
        <v>#REF!</v>
      </c>
      <c r="D201" s="174" t="e">
        <f>#REF!</f>
        <v>#REF!</v>
      </c>
      <c r="E201" s="35">
        <v>4</v>
      </c>
      <c r="F201" s="38" t="e">
        <f>#REF!</f>
        <v>#REF!</v>
      </c>
      <c r="G201" s="38" t="e">
        <f t="shared" si="7"/>
        <v>#REF!</v>
      </c>
      <c r="H201" s="38"/>
    </row>
    <row r="202" spans="1:8" s="42" customFormat="1" ht="18.75" x14ac:dyDescent="0.3">
      <c r="A202" s="35"/>
      <c r="B202" s="35" t="e">
        <f>#REF!</f>
        <v>#REF!</v>
      </c>
      <c r="C202" s="35" t="e">
        <f>#REF!</f>
        <v>#REF!</v>
      </c>
      <c r="D202" s="174" t="e">
        <f>#REF!</f>
        <v>#REF!</v>
      </c>
      <c r="E202" s="35">
        <v>3</v>
      </c>
      <c r="F202" s="38" t="e">
        <f>#REF!</f>
        <v>#REF!</v>
      </c>
      <c r="G202" s="38" t="e">
        <f t="shared" si="7"/>
        <v>#REF!</v>
      </c>
      <c r="H202" s="38"/>
    </row>
    <row r="203" spans="1:8" s="42" customFormat="1" ht="18.75" x14ac:dyDescent="0.3">
      <c r="A203" s="35"/>
      <c r="B203" s="35" t="e">
        <f>#REF!</f>
        <v>#REF!</v>
      </c>
      <c r="C203" s="35" t="e">
        <f>#REF!</f>
        <v>#REF!</v>
      </c>
      <c r="D203" s="174" t="e">
        <f>#REF!</f>
        <v>#REF!</v>
      </c>
      <c r="E203" s="35">
        <v>13</v>
      </c>
      <c r="F203" s="38" t="e">
        <f>#REF!</f>
        <v>#REF!</v>
      </c>
      <c r="G203" s="38" t="e">
        <f t="shared" si="7"/>
        <v>#REF!</v>
      </c>
      <c r="H203" s="35"/>
    </row>
    <row r="204" spans="1:8" s="42" customFormat="1" ht="18.75" x14ac:dyDescent="0.3">
      <c r="A204" s="35"/>
      <c r="B204" s="35" t="e">
        <f>#REF!</f>
        <v>#REF!</v>
      </c>
      <c r="C204" s="35" t="e">
        <f>#REF!</f>
        <v>#REF!</v>
      </c>
      <c r="D204" s="174" t="e">
        <f>#REF!</f>
        <v>#REF!</v>
      </c>
      <c r="E204" s="35">
        <v>3</v>
      </c>
      <c r="F204" s="38" t="e">
        <f>#REF!</f>
        <v>#REF!</v>
      </c>
      <c r="G204" s="38" t="e">
        <f t="shared" si="7"/>
        <v>#REF!</v>
      </c>
      <c r="H204" s="35"/>
    </row>
    <row r="205" spans="1:8" s="42" customFormat="1" ht="18.75" x14ac:dyDescent="0.3">
      <c r="A205" s="35"/>
      <c r="B205" s="35" t="e">
        <f>#REF!</f>
        <v>#REF!</v>
      </c>
      <c r="C205" s="35" t="e">
        <f>#REF!</f>
        <v>#REF!</v>
      </c>
      <c r="D205" s="174" t="e">
        <f>#REF!</f>
        <v>#REF!</v>
      </c>
      <c r="E205" s="35">
        <v>2</v>
      </c>
      <c r="F205" s="38" t="e">
        <f>#REF!</f>
        <v>#REF!</v>
      </c>
      <c r="G205" s="38" t="e">
        <f t="shared" si="7"/>
        <v>#REF!</v>
      </c>
      <c r="H205" s="38"/>
    </row>
    <row r="206" spans="1:8" s="42" customFormat="1" ht="18.75" x14ac:dyDescent="0.3">
      <c r="A206" s="35"/>
      <c r="B206" s="35" t="e">
        <f>#REF!</f>
        <v>#REF!</v>
      </c>
      <c r="C206" s="35" t="e">
        <f>#REF!</f>
        <v>#REF!</v>
      </c>
      <c r="D206" s="174" t="e">
        <f>#REF!</f>
        <v>#REF!</v>
      </c>
      <c r="E206" s="35">
        <v>1</v>
      </c>
      <c r="F206" s="38" t="e">
        <f>#REF!</f>
        <v>#REF!</v>
      </c>
      <c r="G206" s="38" t="e">
        <f t="shared" si="7"/>
        <v>#REF!</v>
      </c>
      <c r="H206" s="35"/>
    </row>
    <row r="207" spans="1:8" s="42" customFormat="1" ht="18.75" x14ac:dyDescent="0.3">
      <c r="A207" s="35"/>
      <c r="B207" s="35" t="e">
        <f>#REF!</f>
        <v>#REF!</v>
      </c>
      <c r="C207" s="35" t="e">
        <f>#REF!</f>
        <v>#REF!</v>
      </c>
      <c r="D207" s="174" t="e">
        <f>#REF!</f>
        <v>#REF!</v>
      </c>
      <c r="E207" s="35">
        <v>40</v>
      </c>
      <c r="F207" s="38" t="e">
        <f>#REF!</f>
        <v>#REF!</v>
      </c>
      <c r="G207" s="38" t="e">
        <f t="shared" si="7"/>
        <v>#REF!</v>
      </c>
      <c r="H207" s="35"/>
    </row>
    <row r="208" spans="1:8" s="42" customFormat="1" ht="18.75" x14ac:dyDescent="0.3">
      <c r="A208" s="35"/>
      <c r="B208" s="35" t="e">
        <f>#REF!</f>
        <v>#REF!</v>
      </c>
      <c r="C208" s="35" t="e">
        <f>#REF!</f>
        <v>#REF!</v>
      </c>
      <c r="D208" s="174" t="e">
        <f>#REF!</f>
        <v>#REF!</v>
      </c>
      <c r="E208" s="35">
        <v>15</v>
      </c>
      <c r="F208" s="38" t="e">
        <f>#REF!</f>
        <v>#REF!</v>
      </c>
      <c r="G208" s="38" t="e">
        <f t="shared" si="7"/>
        <v>#REF!</v>
      </c>
      <c r="H208" s="35"/>
    </row>
    <row r="209" spans="1:8" s="42" customFormat="1" ht="18.75" x14ac:dyDescent="0.3">
      <c r="A209" s="35"/>
      <c r="B209" s="35" t="e">
        <f>#REF!</f>
        <v>#REF!</v>
      </c>
      <c r="C209" s="35" t="e">
        <f>#REF!</f>
        <v>#REF!</v>
      </c>
      <c r="D209" s="174" t="e">
        <f>#REF!</f>
        <v>#REF!</v>
      </c>
      <c r="E209" s="35">
        <v>125</v>
      </c>
      <c r="F209" s="38" t="e">
        <f>#REF!</f>
        <v>#REF!</v>
      </c>
      <c r="G209" s="38" t="e">
        <f t="shared" si="7"/>
        <v>#REF!</v>
      </c>
      <c r="H209" s="38"/>
    </row>
    <row r="210" spans="1:8" s="42" customFormat="1" ht="18.75" x14ac:dyDescent="0.3">
      <c r="A210" s="35"/>
      <c r="B210" s="35" t="e">
        <f>#REF!</f>
        <v>#REF!</v>
      </c>
      <c r="C210" s="35" t="e">
        <f>#REF!</f>
        <v>#REF!</v>
      </c>
      <c r="D210" s="174" t="e">
        <f>#REF!</f>
        <v>#REF!</v>
      </c>
      <c r="E210" s="35">
        <v>6</v>
      </c>
      <c r="F210" s="38" t="e">
        <f>#REF!</f>
        <v>#REF!</v>
      </c>
      <c r="G210" s="38" t="e">
        <f t="shared" si="7"/>
        <v>#REF!</v>
      </c>
      <c r="H210" s="38"/>
    </row>
    <row r="211" spans="1:8" s="42" customFormat="1" ht="18.75" x14ac:dyDescent="0.3">
      <c r="A211" s="35"/>
      <c r="B211" s="35" t="e">
        <f>#REF!</f>
        <v>#REF!</v>
      </c>
      <c r="C211" s="35" t="e">
        <f>#REF!</f>
        <v>#REF!</v>
      </c>
      <c r="D211" s="174" t="e">
        <f>#REF!</f>
        <v>#REF!</v>
      </c>
      <c r="E211" s="35">
        <v>4</v>
      </c>
      <c r="F211" s="38" t="e">
        <f>#REF!</f>
        <v>#REF!</v>
      </c>
      <c r="G211" s="38" t="e">
        <f t="shared" si="7"/>
        <v>#REF!</v>
      </c>
      <c r="H211" s="38"/>
    </row>
    <row r="212" spans="1:8" s="42" customFormat="1" ht="18.75" x14ac:dyDescent="0.3">
      <c r="A212" s="35"/>
      <c r="B212" s="35" t="e">
        <f>#REF!</f>
        <v>#REF!</v>
      </c>
      <c r="C212" s="35" t="e">
        <f>#REF!</f>
        <v>#REF!</v>
      </c>
      <c r="D212" s="174" t="e">
        <f>#REF!</f>
        <v>#REF!</v>
      </c>
      <c r="E212" s="35">
        <v>20</v>
      </c>
      <c r="F212" s="38" t="e">
        <f>#REF!</f>
        <v>#REF!</v>
      </c>
      <c r="G212" s="38" t="e">
        <f t="shared" si="7"/>
        <v>#REF!</v>
      </c>
      <c r="H212" s="38"/>
    </row>
    <row r="213" spans="1:8" s="42" customFormat="1" ht="18.75" x14ac:dyDescent="0.3">
      <c r="A213" s="35"/>
      <c r="B213" s="35" t="e">
        <f>#REF!</f>
        <v>#REF!</v>
      </c>
      <c r="C213" s="35" t="e">
        <f>#REF!</f>
        <v>#REF!</v>
      </c>
      <c r="D213" s="174" t="e">
        <f>#REF!</f>
        <v>#REF!</v>
      </c>
      <c r="E213" s="35">
        <v>42</v>
      </c>
      <c r="F213" s="38" t="e">
        <f>#REF!</f>
        <v>#REF!</v>
      </c>
      <c r="G213" s="38" t="e">
        <f t="shared" si="7"/>
        <v>#REF!</v>
      </c>
      <c r="H213" s="38"/>
    </row>
    <row r="214" spans="1:8" s="42" customFormat="1" ht="18.75" x14ac:dyDescent="0.3">
      <c r="A214" s="35"/>
      <c r="B214" s="35" t="e">
        <f>#REF!</f>
        <v>#REF!</v>
      </c>
      <c r="C214" s="35" t="e">
        <f>#REF!</f>
        <v>#REF!</v>
      </c>
      <c r="D214" s="174" t="e">
        <f>#REF!</f>
        <v>#REF!</v>
      </c>
      <c r="E214" s="35">
        <v>1</v>
      </c>
      <c r="F214" s="38" t="e">
        <f>#REF!</f>
        <v>#REF!</v>
      </c>
      <c r="G214" s="38" t="e">
        <f t="shared" si="7"/>
        <v>#REF!</v>
      </c>
      <c r="H214" s="38"/>
    </row>
    <row r="215" spans="1:8" s="42" customFormat="1" ht="18.75" x14ac:dyDescent="0.3">
      <c r="A215" s="35"/>
      <c r="B215" s="35" t="e">
        <f>#REF!</f>
        <v>#REF!</v>
      </c>
      <c r="C215" s="35" t="e">
        <f>#REF!</f>
        <v>#REF!</v>
      </c>
      <c r="D215" s="174" t="e">
        <f>#REF!</f>
        <v>#REF!</v>
      </c>
      <c r="E215" s="35">
        <v>90</v>
      </c>
      <c r="F215" s="38" t="e">
        <f>#REF!</f>
        <v>#REF!</v>
      </c>
      <c r="G215" s="38" t="e">
        <f t="shared" si="7"/>
        <v>#REF!</v>
      </c>
      <c r="H215" s="38"/>
    </row>
    <row r="216" spans="1:8" s="42" customFormat="1" ht="18.75" x14ac:dyDescent="0.3">
      <c r="A216" s="35"/>
      <c r="B216" s="35" t="e">
        <f>#REF!</f>
        <v>#REF!</v>
      </c>
      <c r="C216" s="35" t="e">
        <f>#REF!</f>
        <v>#REF!</v>
      </c>
      <c r="D216" s="174" t="e">
        <f>#REF!</f>
        <v>#REF!</v>
      </c>
      <c r="E216" s="35">
        <v>200</v>
      </c>
      <c r="F216" s="38" t="e">
        <f>#REF!</f>
        <v>#REF!</v>
      </c>
      <c r="G216" s="38" t="e">
        <f t="shared" si="7"/>
        <v>#REF!</v>
      </c>
      <c r="H216" s="38"/>
    </row>
    <row r="217" spans="1:8" s="42" customFormat="1" ht="18.75" x14ac:dyDescent="0.3">
      <c r="A217" s="35"/>
      <c r="B217" s="35" t="e">
        <f>#REF!</f>
        <v>#REF!</v>
      </c>
      <c r="C217" s="35" t="e">
        <f>#REF!</f>
        <v>#REF!</v>
      </c>
      <c r="D217" s="174" t="e">
        <f>#REF!</f>
        <v>#REF!</v>
      </c>
      <c r="E217" s="35">
        <v>100</v>
      </c>
      <c r="F217" s="38" t="e">
        <f>#REF!</f>
        <v>#REF!</v>
      </c>
      <c r="G217" s="38" t="e">
        <f t="shared" si="7"/>
        <v>#REF!</v>
      </c>
      <c r="H217" s="35"/>
    </row>
    <row r="218" spans="1:8" s="42" customFormat="1" ht="18.75" x14ac:dyDescent="0.3">
      <c r="A218" s="35"/>
      <c r="B218" s="35" t="e">
        <f>#REF!</f>
        <v>#REF!</v>
      </c>
      <c r="C218" s="35" t="e">
        <f>#REF!</f>
        <v>#REF!</v>
      </c>
      <c r="D218" s="174" t="e">
        <f>#REF!</f>
        <v>#REF!</v>
      </c>
      <c r="E218" s="35">
        <v>273</v>
      </c>
      <c r="F218" s="38" t="e">
        <f>#REF!</f>
        <v>#REF!</v>
      </c>
      <c r="G218" s="38" t="e">
        <f t="shared" si="7"/>
        <v>#REF!</v>
      </c>
      <c r="H218" s="35"/>
    </row>
    <row r="219" spans="1:8" s="42" customFormat="1" ht="18.75" x14ac:dyDescent="0.3">
      <c r="A219" s="35"/>
      <c r="B219" s="35" t="e">
        <f>#REF!</f>
        <v>#REF!</v>
      </c>
      <c r="C219" s="35" t="e">
        <f>#REF!</f>
        <v>#REF!</v>
      </c>
      <c r="D219" s="174" t="e">
        <f>#REF!</f>
        <v>#REF!</v>
      </c>
      <c r="E219" s="35">
        <v>14</v>
      </c>
      <c r="F219" s="38" t="e">
        <f>#REF!</f>
        <v>#REF!</v>
      </c>
      <c r="G219" s="38" t="e">
        <f t="shared" si="7"/>
        <v>#REF!</v>
      </c>
      <c r="H219" s="35"/>
    </row>
    <row r="220" spans="1:8" s="42" customFormat="1" ht="23.25" x14ac:dyDescent="0.35">
      <c r="A220" s="35"/>
      <c r="B220" s="35" t="e">
        <f>#REF!</f>
        <v>#REF!</v>
      </c>
      <c r="C220" s="35" t="e">
        <f>#REF!</f>
        <v>#REF!</v>
      </c>
      <c r="D220" s="174" t="e">
        <f>#REF!</f>
        <v>#REF!</v>
      </c>
      <c r="E220" s="35">
        <v>12</v>
      </c>
      <c r="F220" s="38" t="e">
        <f>#REF!</f>
        <v>#REF!</v>
      </c>
      <c r="G220" s="38" t="e">
        <f t="shared" si="7"/>
        <v>#REF!</v>
      </c>
      <c r="H220" s="186" t="e">
        <f>SUM(G110:G220)</f>
        <v>#REF!</v>
      </c>
    </row>
    <row r="221" spans="1:8" s="42" customFormat="1" ht="18.75" x14ac:dyDescent="0.3">
      <c r="A221" s="35"/>
      <c r="B221" s="35"/>
      <c r="C221" s="35"/>
      <c r="D221" s="174"/>
      <c r="E221" s="35"/>
      <c r="F221" s="38"/>
      <c r="G221" s="38"/>
      <c r="H221" s="35"/>
    </row>
    <row r="222" spans="1:8" s="42" customFormat="1" ht="18.75" x14ac:dyDescent="0.3">
      <c r="A222" s="35"/>
      <c r="B222" s="35"/>
      <c r="C222" s="35"/>
      <c r="D222" s="174"/>
      <c r="E222" s="35"/>
      <c r="F222" s="38"/>
      <c r="G222" s="38"/>
      <c r="H222" s="35"/>
    </row>
    <row r="223" spans="1:8" s="42" customFormat="1" ht="23.25" x14ac:dyDescent="0.35">
      <c r="A223" s="35">
        <v>11</v>
      </c>
      <c r="B223" s="35"/>
      <c r="C223" s="77" t="s">
        <v>1055</v>
      </c>
      <c r="D223" s="174"/>
      <c r="E223" s="35"/>
      <c r="F223" s="38"/>
      <c r="G223" s="38"/>
      <c r="H223" s="38"/>
    </row>
    <row r="224" spans="1:8" s="42" customFormat="1" ht="23.25" x14ac:dyDescent="0.35">
      <c r="A224" s="35"/>
      <c r="B224" s="35" t="e">
        <f>#REF!</f>
        <v>#REF!</v>
      </c>
      <c r="C224" s="35" t="e">
        <f>#REF!</f>
        <v>#REF!</v>
      </c>
      <c r="D224" s="174" t="e">
        <f>#REF!</f>
        <v>#REF!</v>
      </c>
      <c r="E224" s="35">
        <v>168</v>
      </c>
      <c r="F224" s="38" t="e">
        <f>#REF!</f>
        <v>#REF!</v>
      </c>
      <c r="G224" s="38" t="e">
        <f>E224*F224</f>
        <v>#REF!</v>
      </c>
      <c r="H224" s="79"/>
    </row>
    <row r="225" spans="1:8" s="42" customFormat="1" ht="18.75" x14ac:dyDescent="0.3">
      <c r="A225" s="35"/>
      <c r="B225" s="35" t="e">
        <f>#REF!</f>
        <v>#REF!</v>
      </c>
      <c r="C225" s="35" t="e">
        <f>#REF!</f>
        <v>#REF!</v>
      </c>
      <c r="D225" s="174" t="e">
        <f>#REF!</f>
        <v>#REF!</v>
      </c>
      <c r="E225" s="35">
        <v>19</v>
      </c>
      <c r="F225" s="38" t="e">
        <f>#REF!</f>
        <v>#REF!</v>
      </c>
      <c r="G225" s="38" t="e">
        <f>E225*F225</f>
        <v>#REF!</v>
      </c>
      <c r="H225" s="38"/>
    </row>
    <row r="226" spans="1:8" s="42" customFormat="1" ht="18.75" x14ac:dyDescent="0.3">
      <c r="A226" s="35"/>
      <c r="B226" s="35" t="e">
        <f>#REF!</f>
        <v>#REF!</v>
      </c>
      <c r="C226" s="35" t="e">
        <f>#REF!</f>
        <v>#REF!</v>
      </c>
      <c r="D226" s="174" t="e">
        <f>#REF!</f>
        <v>#REF!</v>
      </c>
      <c r="E226" s="35">
        <v>38</v>
      </c>
      <c r="F226" s="38" t="e">
        <f>#REF!</f>
        <v>#REF!</v>
      </c>
      <c r="G226" s="38" t="e">
        <f>E226*F226</f>
        <v>#REF!</v>
      </c>
      <c r="H226" s="38"/>
    </row>
    <row r="227" spans="1:8" s="42" customFormat="1" ht="18.75" x14ac:dyDescent="0.3">
      <c r="A227" s="35"/>
      <c r="B227" s="35" t="e">
        <f>#REF!</f>
        <v>#REF!</v>
      </c>
      <c r="C227" s="35" t="e">
        <f>#REF!</f>
        <v>#REF!</v>
      </c>
      <c r="D227" s="174" t="e">
        <f>#REF!</f>
        <v>#REF!</v>
      </c>
      <c r="E227" s="35">
        <v>36</v>
      </c>
      <c r="F227" s="38" t="e">
        <f>#REF!</f>
        <v>#REF!</v>
      </c>
      <c r="G227" s="38" t="e">
        <f>E227*F227</f>
        <v>#REF!</v>
      </c>
      <c r="H227" s="38"/>
    </row>
    <row r="228" spans="1:8" s="42" customFormat="1" ht="23.25" x14ac:dyDescent="0.35">
      <c r="A228" s="35"/>
      <c r="B228" s="35" t="e">
        <f>#REF!</f>
        <v>#REF!</v>
      </c>
      <c r="C228" s="35" t="e">
        <f>#REF!</f>
        <v>#REF!</v>
      </c>
      <c r="D228" s="174" t="e">
        <f>#REF!</f>
        <v>#REF!</v>
      </c>
      <c r="E228" s="35">
        <v>36</v>
      </c>
      <c r="F228" s="38" t="e">
        <f>#REF!</f>
        <v>#REF!</v>
      </c>
      <c r="G228" s="38" t="e">
        <f>E228*F228</f>
        <v>#REF!</v>
      </c>
      <c r="H228" s="186" t="e">
        <f>SUM(G224:G228)</f>
        <v>#REF!</v>
      </c>
    </row>
    <row r="229" spans="1:8" s="42" customFormat="1" ht="18.75" x14ac:dyDescent="0.3">
      <c r="A229" s="35"/>
      <c r="B229" s="35"/>
      <c r="C229" s="35"/>
      <c r="D229" s="174"/>
      <c r="E229" s="35"/>
      <c r="F229" s="38"/>
      <c r="G229" s="38"/>
      <c r="H229" s="35"/>
    </row>
    <row r="230" spans="1:8" s="42" customFormat="1" ht="23.25" x14ac:dyDescent="0.35">
      <c r="A230" s="35">
        <v>12</v>
      </c>
      <c r="B230" s="77"/>
      <c r="C230" s="77" t="s">
        <v>665</v>
      </c>
      <c r="D230" s="184"/>
      <c r="E230" s="77"/>
      <c r="F230" s="79"/>
      <c r="G230" s="79"/>
      <c r="H230" s="79"/>
    </row>
    <row r="231" spans="1:8" s="42" customFormat="1" ht="18.75" x14ac:dyDescent="0.3">
      <c r="A231" s="35"/>
      <c r="B231" s="35" t="e">
        <f>#REF!</f>
        <v>#REF!</v>
      </c>
      <c r="C231" s="35" t="e">
        <f>#REF!</f>
        <v>#REF!</v>
      </c>
      <c r="D231" s="174" t="e">
        <f>#REF!</f>
        <v>#REF!</v>
      </c>
      <c r="E231" s="35">
        <v>455</v>
      </c>
      <c r="F231" s="38" t="e">
        <f>#REF!</f>
        <v>#REF!</v>
      </c>
      <c r="G231" s="38" t="e">
        <f t="shared" ref="G231:G244" si="8">E231*F231</f>
        <v>#REF!</v>
      </c>
      <c r="H231" s="38"/>
    </row>
    <row r="232" spans="1:8" s="42" customFormat="1" ht="18.75" x14ac:dyDescent="0.3">
      <c r="A232" s="35"/>
      <c r="B232" s="35" t="e">
        <f>#REF!</f>
        <v>#REF!</v>
      </c>
      <c r="C232" s="35" t="e">
        <f>#REF!</f>
        <v>#REF!</v>
      </c>
      <c r="D232" s="174" t="e">
        <f>#REF!</f>
        <v>#REF!</v>
      </c>
      <c r="E232" s="35">
        <v>1</v>
      </c>
      <c r="F232" s="38" t="e">
        <f>#REF!</f>
        <v>#REF!</v>
      </c>
      <c r="G232" s="38" t="e">
        <f t="shared" si="8"/>
        <v>#REF!</v>
      </c>
      <c r="H232" s="38"/>
    </row>
    <row r="233" spans="1:8" s="42" customFormat="1" ht="18.75" x14ac:dyDescent="0.3">
      <c r="A233" s="35"/>
      <c r="B233" s="35" t="e">
        <f>#REF!</f>
        <v>#REF!</v>
      </c>
      <c r="C233" s="35" t="e">
        <f>#REF!</f>
        <v>#REF!</v>
      </c>
      <c r="D233" s="174" t="e">
        <f>#REF!</f>
        <v>#REF!</v>
      </c>
      <c r="E233" s="35">
        <v>50</v>
      </c>
      <c r="F233" s="38" t="e">
        <f>#REF!</f>
        <v>#REF!</v>
      </c>
      <c r="G233" s="38" t="e">
        <f t="shared" si="8"/>
        <v>#REF!</v>
      </c>
      <c r="H233" s="35"/>
    </row>
    <row r="234" spans="1:8" s="42" customFormat="1" ht="18.75" x14ac:dyDescent="0.3">
      <c r="A234" s="35"/>
      <c r="B234" s="35" t="e">
        <f>#REF!</f>
        <v>#REF!</v>
      </c>
      <c r="C234" s="35" t="e">
        <f>#REF!</f>
        <v>#REF!</v>
      </c>
      <c r="D234" s="174" t="e">
        <f>#REF!</f>
        <v>#REF!</v>
      </c>
      <c r="E234" s="35">
        <v>25</v>
      </c>
      <c r="F234" s="38" t="e">
        <f>#REF!</f>
        <v>#REF!</v>
      </c>
      <c r="G234" s="38" t="e">
        <f t="shared" si="8"/>
        <v>#REF!</v>
      </c>
      <c r="H234" s="35"/>
    </row>
    <row r="235" spans="1:8" s="42" customFormat="1" ht="18.75" x14ac:dyDescent="0.3">
      <c r="A235" s="35"/>
      <c r="B235" s="35" t="e">
        <f>#REF!</f>
        <v>#REF!</v>
      </c>
      <c r="C235" s="35" t="e">
        <f>#REF!</f>
        <v>#REF!</v>
      </c>
      <c r="D235" s="174" t="e">
        <f>#REF!</f>
        <v>#REF!</v>
      </c>
      <c r="E235" s="35">
        <v>125</v>
      </c>
      <c r="F235" s="38" t="e">
        <f>#REF!</f>
        <v>#REF!</v>
      </c>
      <c r="G235" s="38" t="e">
        <f t="shared" si="8"/>
        <v>#REF!</v>
      </c>
      <c r="H235" s="35"/>
    </row>
    <row r="236" spans="1:8" s="42" customFormat="1" ht="18.75" x14ac:dyDescent="0.3">
      <c r="A236" s="35"/>
      <c r="B236" s="35" t="e">
        <f>#REF!</f>
        <v>#REF!</v>
      </c>
      <c r="C236" s="35" t="e">
        <f>#REF!</f>
        <v>#REF!</v>
      </c>
      <c r="D236" s="174" t="e">
        <f>#REF!</f>
        <v>#REF!</v>
      </c>
      <c r="E236" s="35">
        <v>50</v>
      </c>
      <c r="F236" s="38" t="e">
        <f>#REF!</f>
        <v>#REF!</v>
      </c>
      <c r="G236" s="38" t="e">
        <f t="shared" si="8"/>
        <v>#REF!</v>
      </c>
      <c r="H236" s="38"/>
    </row>
    <row r="237" spans="1:8" s="42" customFormat="1" ht="18.75" x14ac:dyDescent="0.3">
      <c r="A237" s="35"/>
      <c r="B237" s="35" t="e">
        <f>#REF!</f>
        <v>#REF!</v>
      </c>
      <c r="C237" s="35" t="e">
        <f>#REF!</f>
        <v>#REF!</v>
      </c>
      <c r="D237" s="174" t="e">
        <f>#REF!</f>
        <v>#REF!</v>
      </c>
      <c r="E237" s="35">
        <v>200</v>
      </c>
      <c r="F237" s="38" t="e">
        <f>#REF!</f>
        <v>#REF!</v>
      </c>
      <c r="G237" s="38" t="e">
        <f t="shared" si="8"/>
        <v>#REF!</v>
      </c>
      <c r="H237" s="38"/>
    </row>
    <row r="238" spans="1:8" s="42" customFormat="1" ht="18.75" x14ac:dyDescent="0.3">
      <c r="A238" s="35"/>
      <c r="B238" s="35" t="e">
        <f>#REF!</f>
        <v>#REF!</v>
      </c>
      <c r="C238" s="35" t="e">
        <f>#REF!</f>
        <v>#REF!</v>
      </c>
      <c r="D238" s="174" t="e">
        <f>#REF!</f>
        <v>#REF!</v>
      </c>
      <c r="E238" s="35">
        <v>125</v>
      </c>
      <c r="F238" s="38" t="e">
        <f>#REF!</f>
        <v>#REF!</v>
      </c>
      <c r="G238" s="38" t="e">
        <f t="shared" si="8"/>
        <v>#REF!</v>
      </c>
      <c r="H238" s="38"/>
    </row>
    <row r="239" spans="1:8" s="42" customFormat="1" ht="18.75" x14ac:dyDescent="0.3">
      <c r="A239" s="35"/>
      <c r="B239" s="35" t="e">
        <f>#REF!</f>
        <v>#REF!</v>
      </c>
      <c r="C239" s="35" t="e">
        <f>#REF!</f>
        <v>#REF!</v>
      </c>
      <c r="D239" s="174" t="e">
        <f>#REF!</f>
        <v>#REF!</v>
      </c>
      <c r="E239" s="35">
        <v>75</v>
      </c>
      <c r="F239" s="38" t="e">
        <f>#REF!</f>
        <v>#REF!</v>
      </c>
      <c r="G239" s="38" t="e">
        <f t="shared" si="8"/>
        <v>#REF!</v>
      </c>
      <c r="H239" s="38"/>
    </row>
    <row r="240" spans="1:8" s="42" customFormat="1" ht="18.75" x14ac:dyDescent="0.3">
      <c r="A240" s="35"/>
      <c r="B240" s="35" t="e">
        <f>#REF!</f>
        <v>#REF!</v>
      </c>
      <c r="C240" s="35" t="e">
        <f>#REF!</f>
        <v>#REF!</v>
      </c>
      <c r="D240" s="174" t="e">
        <f>#REF!</f>
        <v>#REF!</v>
      </c>
      <c r="E240" s="35">
        <v>25</v>
      </c>
      <c r="F240" s="38" t="e">
        <f>#REF!</f>
        <v>#REF!</v>
      </c>
      <c r="G240" s="38" t="e">
        <f t="shared" si="8"/>
        <v>#REF!</v>
      </c>
      <c r="H240" s="35"/>
    </row>
    <row r="241" spans="1:8" s="42" customFormat="1" ht="18.75" x14ac:dyDescent="0.3">
      <c r="A241" s="35"/>
      <c r="B241" s="35" t="e">
        <f>#REF!</f>
        <v>#REF!</v>
      </c>
      <c r="C241" s="35" t="e">
        <f>#REF!</f>
        <v>#REF!</v>
      </c>
      <c r="D241" s="174" t="e">
        <f>#REF!</f>
        <v>#REF!</v>
      </c>
      <c r="E241" s="35">
        <v>750</v>
      </c>
      <c r="F241" s="38" t="e">
        <f>#REF!</f>
        <v>#REF!</v>
      </c>
      <c r="G241" s="38" t="e">
        <f t="shared" si="8"/>
        <v>#REF!</v>
      </c>
      <c r="H241" s="35"/>
    </row>
    <row r="242" spans="1:8" s="42" customFormat="1" ht="18.75" x14ac:dyDescent="0.3">
      <c r="A242" s="35"/>
      <c r="B242" s="35" t="e">
        <f>#REF!</f>
        <v>#REF!</v>
      </c>
      <c r="C242" s="35" t="e">
        <f>#REF!</f>
        <v>#REF!</v>
      </c>
      <c r="D242" s="174" t="e">
        <f>#REF!</f>
        <v>#REF!</v>
      </c>
      <c r="E242" s="35">
        <v>38</v>
      </c>
      <c r="F242" s="38" t="e">
        <f>#REF!</f>
        <v>#REF!</v>
      </c>
      <c r="G242" s="38" t="e">
        <f t="shared" si="8"/>
        <v>#REF!</v>
      </c>
      <c r="H242" s="38"/>
    </row>
    <row r="243" spans="1:8" s="42" customFormat="1" ht="18.75" x14ac:dyDescent="0.3">
      <c r="A243" s="35"/>
      <c r="B243" s="35" t="e">
        <f>#REF!</f>
        <v>#REF!</v>
      </c>
      <c r="C243" s="35" t="e">
        <f>#REF!</f>
        <v>#REF!</v>
      </c>
      <c r="D243" s="174" t="e">
        <f>#REF!</f>
        <v>#REF!</v>
      </c>
      <c r="E243" s="35">
        <v>10</v>
      </c>
      <c r="F243" s="38" t="e">
        <f>#REF!</f>
        <v>#REF!</v>
      </c>
      <c r="G243" s="38" t="e">
        <f t="shared" si="8"/>
        <v>#REF!</v>
      </c>
      <c r="H243" s="38"/>
    </row>
    <row r="244" spans="1:8" s="42" customFormat="1" ht="23.25" x14ac:dyDescent="0.35">
      <c r="A244" s="35"/>
      <c r="B244" s="35" t="e">
        <f>#REF!</f>
        <v>#REF!</v>
      </c>
      <c r="C244" s="35" t="e">
        <f>#REF!</f>
        <v>#REF!</v>
      </c>
      <c r="D244" s="174" t="e">
        <f>#REF!</f>
        <v>#REF!</v>
      </c>
      <c r="E244" s="35">
        <v>325</v>
      </c>
      <c r="F244" s="38" t="e">
        <f>#REF!</f>
        <v>#REF!</v>
      </c>
      <c r="G244" s="38" t="e">
        <f t="shared" si="8"/>
        <v>#REF!</v>
      </c>
      <c r="H244" s="186" t="e">
        <f>SUM(G231:G244)</f>
        <v>#REF!</v>
      </c>
    </row>
    <row r="245" spans="1:8" s="42" customFormat="1" ht="18.75" x14ac:dyDescent="0.3">
      <c r="A245" s="35"/>
      <c r="B245" s="35"/>
      <c r="C245" s="35"/>
      <c r="D245" s="174"/>
      <c r="E245" s="35"/>
      <c r="F245" s="38"/>
      <c r="G245" s="38"/>
      <c r="H245" s="35"/>
    </row>
    <row r="246" spans="1:8" s="42" customFormat="1" ht="18.75" x14ac:dyDescent="0.3">
      <c r="A246" s="35"/>
      <c r="B246" s="35"/>
      <c r="C246" s="35"/>
      <c r="D246" s="174"/>
      <c r="E246" s="35"/>
      <c r="F246" s="38"/>
      <c r="G246" s="38"/>
      <c r="H246" s="35"/>
    </row>
    <row r="247" spans="1:8" s="42" customFormat="1" ht="23.25" x14ac:dyDescent="0.35">
      <c r="A247" s="35">
        <v>13</v>
      </c>
      <c r="B247" s="77"/>
      <c r="C247" s="77" t="s">
        <v>890</v>
      </c>
      <c r="D247" s="184"/>
      <c r="E247" s="77"/>
      <c r="F247" s="79"/>
      <c r="G247" s="79"/>
      <c r="H247" s="79"/>
    </row>
    <row r="248" spans="1:8" s="42" customFormat="1" ht="18.75" x14ac:dyDescent="0.3">
      <c r="A248" s="35"/>
      <c r="B248" s="35" t="e">
        <f>#REF!</f>
        <v>#REF!</v>
      </c>
      <c r="C248" s="35" t="e">
        <f>#REF!</f>
        <v>#REF!</v>
      </c>
      <c r="D248" s="174" t="e">
        <f>#REF!</f>
        <v>#REF!</v>
      </c>
      <c r="E248" s="35">
        <v>75</v>
      </c>
      <c r="F248" s="38" t="e">
        <f>#REF!</f>
        <v>#REF!</v>
      </c>
      <c r="G248" s="38" t="e">
        <f t="shared" ref="G248:G253" si="9">E248*F248</f>
        <v>#REF!</v>
      </c>
      <c r="H248" s="38"/>
    </row>
    <row r="249" spans="1:8" s="42" customFormat="1" ht="18.75" x14ac:dyDescent="0.3">
      <c r="A249" s="35"/>
      <c r="B249" s="35" t="e">
        <f>#REF!</f>
        <v>#REF!</v>
      </c>
      <c r="C249" s="35" t="e">
        <f>#REF!</f>
        <v>#REF!</v>
      </c>
      <c r="D249" s="174" t="e">
        <f>#REF!</f>
        <v>#REF!</v>
      </c>
      <c r="E249" s="35">
        <v>100</v>
      </c>
      <c r="F249" s="38" t="e">
        <f>#REF!</f>
        <v>#REF!</v>
      </c>
      <c r="G249" s="38" t="e">
        <f t="shared" si="9"/>
        <v>#REF!</v>
      </c>
      <c r="H249" s="38"/>
    </row>
    <row r="250" spans="1:8" s="42" customFormat="1" ht="18.75" x14ac:dyDescent="0.3">
      <c r="A250" s="35"/>
      <c r="B250" s="35" t="e">
        <f>#REF!</f>
        <v>#REF!</v>
      </c>
      <c r="C250" s="35" t="e">
        <f>#REF!</f>
        <v>#REF!</v>
      </c>
      <c r="D250" s="174" t="e">
        <f>#REF!</f>
        <v>#REF!</v>
      </c>
      <c r="E250" s="35">
        <v>200</v>
      </c>
      <c r="F250" s="38" t="e">
        <f>#REF!</f>
        <v>#REF!</v>
      </c>
      <c r="G250" s="38" t="e">
        <f t="shared" si="9"/>
        <v>#REF!</v>
      </c>
      <c r="H250" s="38"/>
    </row>
    <row r="251" spans="1:8" s="42" customFormat="1" ht="23.25" x14ac:dyDescent="0.35">
      <c r="A251" s="35"/>
      <c r="B251" s="35" t="e">
        <f>#REF!</f>
        <v>#REF!</v>
      </c>
      <c r="C251" s="35" t="e">
        <f>#REF!</f>
        <v>#REF!</v>
      </c>
      <c r="D251" s="174" t="e">
        <f>#REF!</f>
        <v>#REF!</v>
      </c>
      <c r="E251" s="35">
        <v>88</v>
      </c>
      <c r="F251" s="38" t="e">
        <f>#REF!</f>
        <v>#REF!</v>
      </c>
      <c r="G251" s="38" t="e">
        <f t="shared" si="9"/>
        <v>#REF!</v>
      </c>
      <c r="H251" s="79"/>
    </row>
    <row r="252" spans="1:8" s="42" customFormat="1" ht="18.75" x14ac:dyDescent="0.3">
      <c r="A252" s="35"/>
      <c r="B252" s="35" t="e">
        <f>#REF!</f>
        <v>#REF!</v>
      </c>
      <c r="C252" s="35" t="e">
        <f>#REF!</f>
        <v>#REF!</v>
      </c>
      <c r="D252" s="174" t="e">
        <f>#REF!</f>
        <v>#REF!</v>
      </c>
      <c r="E252" s="35">
        <v>30</v>
      </c>
      <c r="F252" s="38" t="e">
        <f>#REF!</f>
        <v>#REF!</v>
      </c>
      <c r="G252" s="38" t="e">
        <f t="shared" si="9"/>
        <v>#REF!</v>
      </c>
      <c r="H252" s="38"/>
    </row>
    <row r="253" spans="1:8" s="42" customFormat="1" ht="23.25" x14ac:dyDescent="0.35">
      <c r="A253" s="35"/>
      <c r="B253" s="35" t="e">
        <f>#REF!</f>
        <v>#REF!</v>
      </c>
      <c r="C253" s="35" t="e">
        <f>#REF!</f>
        <v>#REF!</v>
      </c>
      <c r="D253" s="174" t="e">
        <f>#REF!</f>
        <v>#REF!</v>
      </c>
      <c r="E253" s="35">
        <v>75</v>
      </c>
      <c r="F253" s="38" t="e">
        <f>#REF!</f>
        <v>#REF!</v>
      </c>
      <c r="G253" s="38" t="e">
        <f t="shared" si="9"/>
        <v>#REF!</v>
      </c>
      <c r="H253" s="186" t="e">
        <f>SUM(G248:G253)</f>
        <v>#REF!</v>
      </c>
    </row>
    <row r="254" spans="1:8" s="42" customFormat="1" ht="18.75" x14ac:dyDescent="0.3">
      <c r="A254" s="35"/>
      <c r="B254" s="35"/>
      <c r="C254" s="35"/>
      <c r="D254" s="174"/>
      <c r="E254" s="35"/>
      <c r="F254" s="38"/>
      <c r="G254" s="38"/>
      <c r="H254" s="35"/>
    </row>
    <row r="255" spans="1:8" s="42" customFormat="1" ht="18.75" x14ac:dyDescent="0.3">
      <c r="A255" s="35"/>
      <c r="B255" s="35"/>
      <c r="C255" s="35"/>
      <c r="D255" s="174"/>
      <c r="E255" s="35"/>
      <c r="F255" s="38"/>
      <c r="G255" s="38"/>
      <c r="H255" s="35"/>
    </row>
    <row r="256" spans="1:8" s="42" customFormat="1" ht="18.75" x14ac:dyDescent="0.3">
      <c r="A256" s="35"/>
      <c r="B256" s="35"/>
      <c r="C256" s="35"/>
      <c r="D256" s="174"/>
      <c r="E256" s="35"/>
      <c r="F256" s="38"/>
      <c r="G256" s="38"/>
      <c r="H256" s="35"/>
    </row>
    <row r="257" spans="1:8" s="42" customFormat="1" ht="18.75" x14ac:dyDescent="0.3">
      <c r="A257" s="35"/>
      <c r="B257" s="35"/>
      <c r="C257" s="35"/>
      <c r="D257" s="174"/>
      <c r="E257" s="35"/>
      <c r="F257" s="38"/>
      <c r="G257" s="38"/>
      <c r="H257" s="35"/>
    </row>
    <row r="258" spans="1:8" s="42" customFormat="1" ht="18.75" x14ac:dyDescent="0.3">
      <c r="A258" s="35"/>
      <c r="B258" s="35"/>
      <c r="C258" s="35"/>
      <c r="D258" s="174"/>
      <c r="E258" s="35"/>
      <c r="F258" s="38"/>
      <c r="G258" s="38"/>
      <c r="H258" s="35"/>
    </row>
    <row r="259" spans="1:8" s="42" customFormat="1" ht="18.75" x14ac:dyDescent="0.3">
      <c r="A259" s="35"/>
      <c r="B259" s="35"/>
      <c r="C259" s="35"/>
      <c r="D259" s="174"/>
      <c r="E259" s="35"/>
      <c r="F259" s="38"/>
      <c r="G259" s="38"/>
      <c r="H259" s="35"/>
    </row>
    <row r="260" spans="1:8" s="42" customFormat="1" ht="23.25" x14ac:dyDescent="0.35">
      <c r="A260" s="35">
        <v>14</v>
      </c>
      <c r="B260" s="77"/>
      <c r="C260" s="77" t="s">
        <v>836</v>
      </c>
      <c r="D260" s="184"/>
      <c r="E260" s="77"/>
      <c r="F260" s="79"/>
      <c r="G260" s="79"/>
      <c r="H260" s="79"/>
    </row>
    <row r="261" spans="1:8" s="42" customFormat="1" ht="18.75" x14ac:dyDescent="0.3">
      <c r="A261" s="35"/>
      <c r="B261" s="35" t="e">
        <f>#REF!</f>
        <v>#REF!</v>
      </c>
      <c r="C261" s="35" t="e">
        <f>#REF!</f>
        <v>#REF!</v>
      </c>
      <c r="D261" s="174" t="e">
        <f>#REF!</f>
        <v>#REF!</v>
      </c>
      <c r="E261" s="35">
        <v>69</v>
      </c>
      <c r="F261" s="38" t="e">
        <f>#REF!</f>
        <v>#REF!</v>
      </c>
      <c r="G261" s="38" t="e">
        <f t="shared" ref="G261:G269" si="10">E261*F261</f>
        <v>#REF!</v>
      </c>
      <c r="H261" s="38"/>
    </row>
    <row r="262" spans="1:8" s="42" customFormat="1" ht="18.75" x14ac:dyDescent="0.3">
      <c r="A262" s="35"/>
      <c r="B262" s="35" t="e">
        <f>#REF!</f>
        <v>#REF!</v>
      </c>
      <c r="C262" s="35" t="e">
        <f>#REF!</f>
        <v>#REF!</v>
      </c>
      <c r="D262" s="174" t="e">
        <f>#REF!</f>
        <v>#REF!</v>
      </c>
      <c r="E262" s="35">
        <v>375</v>
      </c>
      <c r="F262" s="38" t="e">
        <f>#REF!</f>
        <v>#REF!</v>
      </c>
      <c r="G262" s="38" t="e">
        <f t="shared" si="10"/>
        <v>#REF!</v>
      </c>
      <c r="H262" s="38"/>
    </row>
    <row r="263" spans="1:8" s="42" customFormat="1" ht="18.75" x14ac:dyDescent="0.3">
      <c r="A263" s="35"/>
      <c r="B263" s="35" t="e">
        <f>#REF!</f>
        <v>#REF!</v>
      </c>
      <c r="C263" s="35" t="e">
        <f>#REF!</f>
        <v>#REF!</v>
      </c>
      <c r="D263" s="174" t="e">
        <f>#REF!</f>
        <v>#REF!</v>
      </c>
      <c r="E263" s="35">
        <v>1000</v>
      </c>
      <c r="F263" s="38" t="e">
        <f>#REF!</f>
        <v>#REF!</v>
      </c>
      <c r="G263" s="38" t="e">
        <f t="shared" si="10"/>
        <v>#REF!</v>
      </c>
      <c r="H263" s="38"/>
    </row>
    <row r="264" spans="1:8" s="42" customFormat="1" ht="18.75" x14ac:dyDescent="0.3">
      <c r="A264" s="35"/>
      <c r="B264" s="35" t="e">
        <f>#REF!</f>
        <v>#REF!</v>
      </c>
      <c r="C264" s="35" t="e">
        <f>#REF!</f>
        <v>#REF!</v>
      </c>
      <c r="D264" s="174" t="e">
        <f>#REF!</f>
        <v>#REF!</v>
      </c>
      <c r="E264" s="35">
        <v>1400</v>
      </c>
      <c r="F264" s="38" t="e">
        <f>#REF!</f>
        <v>#REF!</v>
      </c>
      <c r="G264" s="38" t="e">
        <f t="shared" si="10"/>
        <v>#REF!</v>
      </c>
      <c r="H264" s="38"/>
    </row>
    <row r="265" spans="1:8" s="42" customFormat="1" ht="18.75" x14ac:dyDescent="0.3">
      <c r="A265" s="35"/>
      <c r="B265" s="35" t="e">
        <f>#REF!</f>
        <v>#REF!</v>
      </c>
      <c r="C265" s="35" t="e">
        <f>#REF!</f>
        <v>#REF!</v>
      </c>
      <c r="D265" s="174" t="e">
        <f>#REF!</f>
        <v>#REF!</v>
      </c>
      <c r="E265" s="35">
        <v>5</v>
      </c>
      <c r="F265" s="38" t="e">
        <f>#REF!</f>
        <v>#REF!</v>
      </c>
      <c r="G265" s="38" t="e">
        <f t="shared" si="10"/>
        <v>#REF!</v>
      </c>
      <c r="H265" s="38"/>
    </row>
    <row r="266" spans="1:8" s="42" customFormat="1" ht="23.25" x14ac:dyDescent="0.35">
      <c r="A266" s="35"/>
      <c r="B266" s="35" t="e">
        <f>#REF!</f>
        <v>#REF!</v>
      </c>
      <c r="C266" s="35" t="e">
        <f>#REF!</f>
        <v>#REF!</v>
      </c>
      <c r="D266" s="174" t="e">
        <f>#REF!</f>
        <v>#REF!</v>
      </c>
      <c r="E266" s="35">
        <v>25</v>
      </c>
      <c r="F266" s="38" t="e">
        <f>#REF!</f>
        <v>#REF!</v>
      </c>
      <c r="G266" s="38" t="e">
        <f t="shared" si="10"/>
        <v>#REF!</v>
      </c>
      <c r="H266" s="79"/>
    </row>
    <row r="267" spans="1:8" s="42" customFormat="1" ht="18.75" x14ac:dyDescent="0.3">
      <c r="A267" s="35"/>
      <c r="B267" s="35" t="e">
        <f>#REF!</f>
        <v>#REF!</v>
      </c>
      <c r="C267" s="35" t="e">
        <f>#REF!</f>
        <v>#REF!</v>
      </c>
      <c r="D267" s="174" t="e">
        <f>#REF!</f>
        <v>#REF!</v>
      </c>
      <c r="E267" s="35">
        <v>10</v>
      </c>
      <c r="F267" s="38" t="e">
        <f>#REF!</f>
        <v>#REF!</v>
      </c>
      <c r="G267" s="38" t="e">
        <f t="shared" si="10"/>
        <v>#REF!</v>
      </c>
      <c r="H267" s="38"/>
    </row>
    <row r="268" spans="1:8" s="42" customFormat="1" ht="18.75" x14ac:dyDescent="0.3">
      <c r="A268" s="35"/>
      <c r="B268" s="35" t="e">
        <f>#REF!</f>
        <v>#REF!</v>
      </c>
      <c r="C268" s="35" t="e">
        <f>#REF!</f>
        <v>#REF!</v>
      </c>
      <c r="D268" s="174" t="e">
        <f>#REF!</f>
        <v>#REF!</v>
      </c>
      <c r="E268" s="35">
        <v>3</v>
      </c>
      <c r="F268" s="38" t="e">
        <f>#REF!</f>
        <v>#REF!</v>
      </c>
      <c r="G268" s="38" t="e">
        <f t="shared" si="10"/>
        <v>#REF!</v>
      </c>
      <c r="H268" s="38"/>
    </row>
    <row r="269" spans="1:8" s="42" customFormat="1" ht="23.25" x14ac:dyDescent="0.35">
      <c r="A269" s="35"/>
      <c r="B269" s="35" t="e">
        <f>#REF!</f>
        <v>#REF!</v>
      </c>
      <c r="C269" s="35" t="e">
        <f>#REF!</f>
        <v>#REF!</v>
      </c>
      <c r="D269" s="174" t="e">
        <f>#REF!</f>
        <v>#REF!</v>
      </c>
      <c r="E269" s="35">
        <v>5</v>
      </c>
      <c r="F269" s="38" t="e">
        <f>#REF!</f>
        <v>#REF!</v>
      </c>
      <c r="G269" s="38" t="e">
        <f t="shared" si="10"/>
        <v>#REF!</v>
      </c>
      <c r="H269" s="186" t="e">
        <f>SUM(G261:G269)</f>
        <v>#REF!</v>
      </c>
    </row>
    <row r="270" spans="1:8" s="42" customFormat="1" ht="18.75" x14ac:dyDescent="0.3">
      <c r="A270" s="35"/>
      <c r="B270" s="35"/>
      <c r="C270" s="35"/>
      <c r="D270" s="174"/>
      <c r="E270" s="35"/>
      <c r="F270" s="38"/>
      <c r="G270" s="38"/>
      <c r="H270" s="35"/>
    </row>
    <row r="271" spans="1:8" s="42" customFormat="1" ht="18.75" x14ac:dyDescent="0.3">
      <c r="A271" s="35"/>
      <c r="B271" s="35"/>
      <c r="C271" s="35"/>
      <c r="D271" s="174"/>
      <c r="E271" s="35"/>
      <c r="F271" s="38"/>
      <c r="G271" s="38"/>
      <c r="H271" s="35"/>
    </row>
    <row r="272" spans="1:8" s="42" customFormat="1" ht="23.25" x14ac:dyDescent="0.35">
      <c r="A272" s="35">
        <v>15</v>
      </c>
      <c r="B272" s="77"/>
      <c r="C272" s="77" t="s">
        <v>882</v>
      </c>
      <c r="D272" s="184"/>
      <c r="E272" s="77"/>
      <c r="F272" s="79"/>
      <c r="G272" s="79"/>
      <c r="H272" s="79"/>
    </row>
    <row r="273" spans="1:8" s="42" customFormat="1" ht="18.75" x14ac:dyDescent="0.3">
      <c r="A273" s="35"/>
      <c r="B273" s="35" t="e">
        <f>#REF!</f>
        <v>#REF!</v>
      </c>
      <c r="C273" s="35" t="e">
        <f>#REF!</f>
        <v>#REF!</v>
      </c>
      <c r="D273" s="174" t="e">
        <f>#REF!</f>
        <v>#REF!</v>
      </c>
      <c r="E273" s="35">
        <v>15</v>
      </c>
      <c r="F273" s="38" t="e">
        <f>#REF!</f>
        <v>#REF!</v>
      </c>
      <c r="G273" s="38" t="e">
        <f>E273*F273</f>
        <v>#REF!</v>
      </c>
      <c r="H273" s="38"/>
    </row>
    <row r="274" spans="1:8" s="42" customFormat="1" ht="18.75" x14ac:dyDescent="0.3">
      <c r="A274" s="35"/>
      <c r="B274" s="35" t="e">
        <f>#REF!</f>
        <v>#REF!</v>
      </c>
      <c r="C274" s="35" t="e">
        <f>#REF!</f>
        <v>#REF!</v>
      </c>
      <c r="D274" s="174" t="e">
        <f>#REF!</f>
        <v>#REF!</v>
      </c>
      <c r="E274" s="35">
        <v>1500</v>
      </c>
      <c r="F274" s="38" t="e">
        <f>#REF!</f>
        <v>#REF!</v>
      </c>
      <c r="G274" s="38" t="e">
        <f>E274*F274</f>
        <v>#REF!</v>
      </c>
      <c r="H274" s="38"/>
    </row>
    <row r="275" spans="1:8" s="42" customFormat="1" ht="18.75" x14ac:dyDescent="0.3">
      <c r="A275" s="35"/>
      <c r="B275" s="35" t="e">
        <f>#REF!</f>
        <v>#REF!</v>
      </c>
      <c r="C275" s="35" t="e">
        <f>#REF!</f>
        <v>#REF!</v>
      </c>
      <c r="D275" s="174" t="e">
        <f>#REF!</f>
        <v>#REF!</v>
      </c>
      <c r="E275" s="35">
        <v>500</v>
      </c>
      <c r="F275" s="38" t="e">
        <f>#REF!</f>
        <v>#REF!</v>
      </c>
      <c r="G275" s="38" t="e">
        <f>E275*F275</f>
        <v>#REF!</v>
      </c>
      <c r="H275" s="38"/>
    </row>
    <row r="276" spans="1:8" s="42" customFormat="1" ht="18.75" x14ac:dyDescent="0.3">
      <c r="A276" s="35"/>
      <c r="B276" s="35" t="e">
        <f>#REF!</f>
        <v>#REF!</v>
      </c>
      <c r="C276" s="35" t="e">
        <f>#REF!</f>
        <v>#REF!</v>
      </c>
      <c r="D276" s="174" t="e">
        <f>#REF!</f>
        <v>#REF!</v>
      </c>
      <c r="E276" s="35">
        <v>6000</v>
      </c>
      <c r="F276" s="38" t="e">
        <f>#REF!</f>
        <v>#REF!</v>
      </c>
      <c r="G276" s="38" t="e">
        <f>E276*F276</f>
        <v>#REF!</v>
      </c>
      <c r="H276" s="38"/>
    </row>
    <row r="277" spans="1:8" s="42" customFormat="1" ht="23.25" x14ac:dyDescent="0.35">
      <c r="A277" s="35"/>
      <c r="B277" s="35" t="e">
        <f>#REF!</f>
        <v>#REF!</v>
      </c>
      <c r="C277" s="35" t="e">
        <f>#REF!</f>
        <v>#REF!</v>
      </c>
      <c r="D277" s="174" t="e">
        <f>#REF!</f>
        <v>#REF!</v>
      </c>
      <c r="E277" s="35">
        <v>1000</v>
      </c>
      <c r="F277" s="38" t="e">
        <f>#REF!</f>
        <v>#REF!</v>
      </c>
      <c r="G277" s="38" t="e">
        <f>E277*F277</f>
        <v>#REF!</v>
      </c>
      <c r="H277" s="186" t="e">
        <f>SUM(G272:G277)</f>
        <v>#REF!</v>
      </c>
    </row>
    <row r="278" spans="1:8" s="42" customFormat="1" ht="18.75" x14ac:dyDescent="0.3">
      <c r="A278" s="35"/>
      <c r="B278" s="35"/>
      <c r="C278" s="35"/>
      <c r="D278" s="174"/>
      <c r="E278" s="35"/>
      <c r="F278" s="38"/>
      <c r="G278" s="38"/>
      <c r="H278" s="35"/>
    </row>
    <row r="279" spans="1:8" s="42" customFormat="1" ht="18.75" x14ac:dyDescent="0.3">
      <c r="A279" s="35"/>
      <c r="B279" s="35"/>
      <c r="C279" s="35"/>
      <c r="D279" s="174"/>
      <c r="E279" s="35"/>
      <c r="F279" s="38"/>
      <c r="G279" s="38"/>
      <c r="H279" s="35"/>
    </row>
    <row r="280" spans="1:8" s="42" customFormat="1" ht="23.25" x14ac:dyDescent="0.35">
      <c r="A280" s="35">
        <v>16</v>
      </c>
      <c r="B280" s="35"/>
      <c r="C280" s="77" t="s">
        <v>891</v>
      </c>
      <c r="D280" s="174"/>
      <c r="E280" s="35"/>
      <c r="F280" s="38"/>
      <c r="G280" s="38"/>
      <c r="H280" s="38"/>
    </row>
    <row r="281" spans="1:8" s="42" customFormat="1" ht="18.75" x14ac:dyDescent="0.3">
      <c r="A281" s="35"/>
      <c r="B281" s="35" t="e">
        <f>#REF!</f>
        <v>#REF!</v>
      </c>
      <c r="C281" s="35" t="e">
        <f>#REF!</f>
        <v>#REF!</v>
      </c>
      <c r="D281" s="174" t="e">
        <f>#REF!</f>
        <v>#REF!</v>
      </c>
      <c r="E281" s="35">
        <v>11</v>
      </c>
      <c r="F281" s="38" t="e">
        <f>#REF!</f>
        <v>#REF!</v>
      </c>
      <c r="G281" s="38" t="e">
        <f>E281*F281</f>
        <v>#REF!</v>
      </c>
      <c r="H281" s="38"/>
    </row>
    <row r="282" spans="1:8" s="42" customFormat="1" ht="23.25" x14ac:dyDescent="0.35">
      <c r="A282" s="35"/>
      <c r="B282" s="35" t="e">
        <f>#REF!</f>
        <v>#REF!</v>
      </c>
      <c r="C282" s="35" t="e">
        <f>#REF!</f>
        <v>#REF!</v>
      </c>
      <c r="D282" s="174" t="e">
        <f>#REF!</f>
        <v>#REF!</v>
      </c>
      <c r="E282" s="35">
        <v>300</v>
      </c>
      <c r="F282" s="38" t="e">
        <f>#REF!</f>
        <v>#REF!</v>
      </c>
      <c r="G282" s="38" t="e">
        <f>E282*F282</f>
        <v>#REF!</v>
      </c>
      <c r="H282" s="186" t="e">
        <f>SUM(G281:G282)</f>
        <v>#REF!</v>
      </c>
    </row>
    <row r="283" spans="1:8" s="42" customFormat="1" ht="18.75" x14ac:dyDescent="0.3">
      <c r="A283" s="35"/>
      <c r="B283" s="35"/>
      <c r="C283" s="35"/>
      <c r="D283" s="174"/>
      <c r="E283" s="35"/>
      <c r="F283" s="38"/>
      <c r="G283" s="38"/>
      <c r="H283" s="35"/>
    </row>
    <row r="284" spans="1:8" s="42" customFormat="1" ht="18.75" x14ac:dyDescent="0.3">
      <c r="A284" s="35"/>
      <c r="B284" s="35"/>
      <c r="C284" s="35"/>
      <c r="D284" s="174"/>
      <c r="E284" s="35"/>
      <c r="F284" s="38"/>
      <c r="G284" s="38"/>
      <c r="H284" s="35"/>
    </row>
    <row r="285" spans="1:8" s="42" customFormat="1" ht="18.75" x14ac:dyDescent="0.3">
      <c r="A285" s="35"/>
      <c r="B285" s="35"/>
      <c r="C285" s="35"/>
      <c r="D285" s="174"/>
      <c r="E285" s="35"/>
      <c r="F285" s="38"/>
      <c r="G285" s="38"/>
      <c r="H285" s="35"/>
    </row>
    <row r="286" spans="1:8" s="42" customFormat="1" ht="23.25" x14ac:dyDescent="0.35">
      <c r="A286" s="35">
        <v>17</v>
      </c>
      <c r="B286" s="35"/>
      <c r="C286" s="77" t="s">
        <v>926</v>
      </c>
      <c r="D286" s="184"/>
      <c r="E286" s="77"/>
      <c r="F286" s="79"/>
      <c r="G286" s="79"/>
      <c r="H286" s="79"/>
    </row>
    <row r="287" spans="1:8" s="42" customFormat="1" ht="18.75" x14ac:dyDescent="0.3">
      <c r="A287" s="35"/>
      <c r="B287" s="35"/>
      <c r="C287" s="35" t="s">
        <v>1008</v>
      </c>
      <c r="D287" s="174">
        <v>30</v>
      </c>
      <c r="E287" s="35">
        <v>300</v>
      </c>
      <c r="F287" s="38">
        <v>880</v>
      </c>
      <c r="G287" s="38">
        <f>E287*F287</f>
        <v>264000</v>
      </c>
      <c r="H287" s="38"/>
    </row>
    <row r="288" spans="1:8" s="42" customFormat="1" ht="18.75" x14ac:dyDescent="0.3">
      <c r="A288" s="35"/>
      <c r="B288" s="35"/>
      <c r="C288" s="35" t="s">
        <v>927</v>
      </c>
      <c r="D288" s="174">
        <v>30</v>
      </c>
      <c r="E288" s="35">
        <v>375</v>
      </c>
      <c r="F288" s="38">
        <v>990</v>
      </c>
      <c r="G288" s="38">
        <f>E288*F288</f>
        <v>371250</v>
      </c>
      <c r="H288" s="38"/>
    </row>
    <row r="289" spans="1:8" s="42" customFormat="1" ht="18.75" x14ac:dyDescent="0.3">
      <c r="A289" s="35"/>
      <c r="B289" s="35"/>
      <c r="C289" s="35" t="s">
        <v>928</v>
      </c>
      <c r="D289" s="174">
        <v>30</v>
      </c>
      <c r="E289" s="35">
        <v>250</v>
      </c>
      <c r="F289" s="38">
        <v>1650</v>
      </c>
      <c r="G289" s="38">
        <f>E289*F289</f>
        <v>412500</v>
      </c>
      <c r="H289" s="38"/>
    </row>
    <row r="290" spans="1:8" s="42" customFormat="1" ht="23.25" x14ac:dyDescent="0.35">
      <c r="A290" s="35"/>
      <c r="B290" s="35"/>
      <c r="C290" s="35" t="s">
        <v>929</v>
      </c>
      <c r="D290" s="174">
        <v>30</v>
      </c>
      <c r="E290" s="35">
        <v>625</v>
      </c>
      <c r="F290" s="38">
        <v>1650</v>
      </c>
      <c r="G290" s="38">
        <f>E290*F290</f>
        <v>1031250</v>
      </c>
      <c r="H290" s="186">
        <f>SUM(G287:G290)</f>
        <v>2079000</v>
      </c>
    </row>
    <row r="291" spans="1:8" s="42" customFormat="1" ht="18.75" x14ac:dyDescent="0.3">
      <c r="A291" s="35"/>
      <c r="B291" s="35"/>
      <c r="C291" s="35"/>
      <c r="D291" s="174"/>
      <c r="E291" s="35"/>
      <c r="F291" s="38"/>
      <c r="G291" s="38"/>
      <c r="H291" s="35"/>
    </row>
    <row r="292" spans="1:8" s="42" customFormat="1" ht="18.75" x14ac:dyDescent="0.3">
      <c r="A292" s="35"/>
      <c r="B292" s="35"/>
      <c r="C292" s="35"/>
      <c r="D292" s="174"/>
      <c r="E292" s="35"/>
      <c r="F292" s="38"/>
      <c r="G292" s="38"/>
      <c r="H292" s="35"/>
    </row>
    <row r="293" spans="1:8" s="42" customFormat="1" ht="18.75" x14ac:dyDescent="0.3">
      <c r="A293" s="35"/>
      <c r="B293" s="35"/>
      <c r="C293" s="35"/>
      <c r="D293" s="174"/>
      <c r="E293" s="35"/>
      <c r="F293" s="38"/>
      <c r="G293" s="38"/>
      <c r="H293" s="35"/>
    </row>
    <row r="294" spans="1:8" s="42" customFormat="1" ht="18.75" x14ac:dyDescent="0.3">
      <c r="A294" s="35"/>
      <c r="B294" s="35"/>
      <c r="C294" s="35"/>
      <c r="D294" s="174"/>
      <c r="E294" s="35"/>
      <c r="F294" s="38"/>
      <c r="G294" s="38"/>
      <c r="H294" s="35"/>
    </row>
    <row r="295" spans="1:8" s="42" customFormat="1" ht="18.75" x14ac:dyDescent="0.3">
      <c r="A295" s="35"/>
      <c r="B295" s="35"/>
      <c r="C295" s="35"/>
      <c r="D295" s="174"/>
      <c r="E295" s="35"/>
      <c r="F295" s="38"/>
      <c r="G295" s="38"/>
      <c r="H295" s="35"/>
    </row>
    <row r="296" spans="1:8" ht="23.25" x14ac:dyDescent="0.35">
      <c r="A296" s="35">
        <v>18</v>
      </c>
      <c r="B296" s="35"/>
      <c r="C296" s="77" t="s">
        <v>898</v>
      </c>
      <c r="D296" s="181"/>
      <c r="E296" s="189"/>
      <c r="F296" s="190"/>
      <c r="G296" s="191"/>
      <c r="H296" s="76"/>
    </row>
    <row r="297" spans="1:8" x14ac:dyDescent="0.35">
      <c r="A297" s="35"/>
      <c r="B297" s="35" t="e">
        <f>#REF!</f>
        <v>#REF!</v>
      </c>
      <c r="C297" s="35" t="e">
        <f>#REF!</f>
        <v>#REF!</v>
      </c>
      <c r="D297" s="174" t="e">
        <f>#REF!</f>
        <v>#REF!</v>
      </c>
      <c r="E297" s="35">
        <v>50</v>
      </c>
      <c r="F297" s="38" t="e">
        <f>#REF!</f>
        <v>#REF!</v>
      </c>
      <c r="G297" s="38" t="e">
        <f>E297*F297</f>
        <v>#REF!</v>
      </c>
      <c r="H297" s="76"/>
    </row>
    <row r="298" spans="1:8" x14ac:dyDescent="0.35">
      <c r="A298" s="35"/>
      <c r="B298" s="35" t="e">
        <f>#REF!</f>
        <v>#REF!</v>
      </c>
      <c r="C298" s="35" t="e">
        <f>#REF!</f>
        <v>#REF!</v>
      </c>
      <c r="D298" s="174" t="e">
        <f>#REF!</f>
        <v>#REF!</v>
      </c>
      <c r="E298" s="35">
        <v>10</v>
      </c>
      <c r="F298" s="38" t="e">
        <f>#REF!</f>
        <v>#REF!</v>
      </c>
      <c r="G298" s="38" t="e">
        <f>E298*F298</f>
        <v>#REF!</v>
      </c>
      <c r="H298" s="76"/>
    </row>
    <row r="299" spans="1:8" x14ac:dyDescent="0.35">
      <c r="A299" s="35"/>
      <c r="B299" s="35" t="e">
        <f>#REF!</f>
        <v>#REF!</v>
      </c>
      <c r="C299" s="35" t="e">
        <f>#REF!</f>
        <v>#REF!</v>
      </c>
      <c r="D299" s="174" t="e">
        <f>#REF!</f>
        <v>#REF!</v>
      </c>
      <c r="E299" s="35">
        <v>7</v>
      </c>
      <c r="F299" s="38" t="e">
        <f>#REF!</f>
        <v>#REF!</v>
      </c>
      <c r="G299" s="38" t="e">
        <f>E299*F299</f>
        <v>#REF!</v>
      </c>
      <c r="H299" s="76"/>
    </row>
    <row r="300" spans="1:8" ht="23.25" x14ac:dyDescent="0.35">
      <c r="A300" s="35"/>
      <c r="B300" s="35" t="e">
        <f>#REF!</f>
        <v>#REF!</v>
      </c>
      <c r="C300" s="35" t="e">
        <f>#REF!</f>
        <v>#REF!</v>
      </c>
      <c r="D300" s="174" t="e">
        <f>#REF!</f>
        <v>#REF!</v>
      </c>
      <c r="E300" s="35">
        <v>5</v>
      </c>
      <c r="F300" s="38" t="e">
        <f>#REF!</f>
        <v>#REF!</v>
      </c>
      <c r="G300" s="38" t="e">
        <f>E300*F300</f>
        <v>#REF!</v>
      </c>
      <c r="H300" s="186" t="e">
        <f>SUM(G297:G300)</f>
        <v>#REF!</v>
      </c>
    </row>
    <row r="301" spans="1:8" ht="18.75" x14ac:dyDescent="0.3">
      <c r="A301" s="35"/>
      <c r="B301" s="35"/>
      <c r="C301" s="35"/>
      <c r="D301" s="174"/>
      <c r="E301" s="35"/>
      <c r="F301" s="38"/>
      <c r="G301" s="38"/>
      <c r="H301" s="35"/>
    </row>
    <row r="302" spans="1:8" ht="18.75" x14ac:dyDescent="0.3">
      <c r="A302" s="35"/>
      <c r="B302" s="35"/>
      <c r="C302" s="35"/>
      <c r="D302" s="174"/>
      <c r="E302" s="35"/>
      <c r="F302" s="38"/>
      <c r="G302" s="38"/>
      <c r="H302" s="35"/>
    </row>
    <row r="303" spans="1:8" ht="18.75" x14ac:dyDescent="0.3">
      <c r="A303" s="35"/>
      <c r="B303" s="35"/>
      <c r="C303" s="35"/>
      <c r="D303" s="174"/>
      <c r="E303" s="35"/>
      <c r="F303" s="38"/>
      <c r="G303" s="38"/>
      <c r="H303" s="35"/>
    </row>
    <row r="304" spans="1:8" ht="18.75" x14ac:dyDescent="0.3">
      <c r="A304" s="35"/>
      <c r="B304" s="35"/>
      <c r="C304" s="35"/>
      <c r="D304" s="174"/>
      <c r="E304" s="35"/>
      <c r="F304" s="38"/>
      <c r="G304" s="38"/>
      <c r="H304" s="35"/>
    </row>
    <row r="305" spans="1:8" s="42" customFormat="1" ht="23.25" x14ac:dyDescent="0.35">
      <c r="A305" s="35">
        <v>19</v>
      </c>
      <c r="B305" s="77"/>
      <c r="C305" s="77" t="s">
        <v>629</v>
      </c>
      <c r="D305" s="184"/>
      <c r="E305" s="77"/>
      <c r="F305" s="79"/>
      <c r="G305" s="79"/>
      <c r="H305" s="79"/>
    </row>
    <row r="306" spans="1:8" s="42" customFormat="1" ht="18.75" x14ac:dyDescent="0.3">
      <c r="A306" s="35"/>
      <c r="B306" s="35" t="e">
        <f>#REF!</f>
        <v>#REF!</v>
      </c>
      <c r="C306" s="35" t="e">
        <f>#REF!</f>
        <v>#REF!</v>
      </c>
      <c r="D306" s="174" t="e">
        <f>#REF!</f>
        <v>#REF!</v>
      </c>
      <c r="E306" s="35">
        <v>25</v>
      </c>
      <c r="F306" s="38" t="e">
        <f>#REF!</f>
        <v>#REF!</v>
      </c>
      <c r="G306" s="38" t="e">
        <f>E306*F306</f>
        <v>#REF!</v>
      </c>
      <c r="H306" s="38"/>
    </row>
    <row r="307" spans="1:8" s="42" customFormat="1" ht="18.75" x14ac:dyDescent="0.3">
      <c r="A307" s="35"/>
      <c r="B307" s="35" t="e">
        <f>#REF!</f>
        <v>#REF!</v>
      </c>
      <c r="C307" s="35" t="e">
        <f>#REF!</f>
        <v>#REF!</v>
      </c>
      <c r="D307" s="174" t="e">
        <f>#REF!</f>
        <v>#REF!</v>
      </c>
      <c r="E307" s="35">
        <v>10</v>
      </c>
      <c r="F307" s="38" t="e">
        <f>#REF!</f>
        <v>#REF!</v>
      </c>
      <c r="G307" s="38" t="e">
        <f>E307*F307</f>
        <v>#REF!</v>
      </c>
      <c r="H307" s="38"/>
    </row>
    <row r="308" spans="1:8" s="42" customFormat="1" ht="18.75" x14ac:dyDescent="0.3">
      <c r="A308" s="35"/>
      <c r="B308" s="35" t="e">
        <f>#REF!</f>
        <v>#REF!</v>
      </c>
      <c r="C308" s="35" t="e">
        <f>#REF!</f>
        <v>#REF!</v>
      </c>
      <c r="D308" s="174" t="e">
        <f>#REF!</f>
        <v>#REF!</v>
      </c>
      <c r="E308" s="35">
        <v>75</v>
      </c>
      <c r="F308" s="38" t="e">
        <f>#REF!</f>
        <v>#REF!</v>
      </c>
      <c r="G308" s="38" t="e">
        <f>E308*F308</f>
        <v>#REF!</v>
      </c>
      <c r="H308" s="38"/>
    </row>
    <row r="309" spans="1:8" s="42" customFormat="1" ht="23.25" x14ac:dyDescent="0.35">
      <c r="A309" s="35"/>
      <c r="B309" s="35" t="e">
        <f>#REF!</f>
        <v>#REF!</v>
      </c>
      <c r="C309" s="35" t="e">
        <f>#REF!</f>
        <v>#REF!</v>
      </c>
      <c r="D309" s="174" t="e">
        <f>#REF!</f>
        <v>#REF!</v>
      </c>
      <c r="E309" s="35">
        <v>3</v>
      </c>
      <c r="F309" s="38" t="e">
        <f>#REF!</f>
        <v>#REF!</v>
      </c>
      <c r="G309" s="38" t="e">
        <f>E309*F309</f>
        <v>#REF!</v>
      </c>
      <c r="H309" s="79"/>
    </row>
    <row r="310" spans="1:8" s="42" customFormat="1" ht="23.25" x14ac:dyDescent="0.35">
      <c r="A310" s="35"/>
      <c r="B310" s="35" t="e">
        <f>#REF!</f>
        <v>#REF!</v>
      </c>
      <c r="C310" s="35" t="e">
        <f>#REF!</f>
        <v>#REF!</v>
      </c>
      <c r="D310" s="174" t="e">
        <f>#REF!</f>
        <v>#REF!</v>
      </c>
      <c r="E310" s="35">
        <v>75</v>
      </c>
      <c r="F310" s="38" t="e">
        <f>#REF!</f>
        <v>#REF!</v>
      </c>
      <c r="G310" s="38" t="e">
        <f>E310*F310</f>
        <v>#REF!</v>
      </c>
      <c r="H310" s="186" t="e">
        <f>SUM(G306:G310)</f>
        <v>#REF!</v>
      </c>
    </row>
    <row r="311" spans="1:8" s="42" customFormat="1" ht="18.75" x14ac:dyDescent="0.3">
      <c r="A311" s="35"/>
      <c r="B311" s="35"/>
      <c r="C311" s="35"/>
      <c r="D311" s="174"/>
      <c r="E311" s="35"/>
      <c r="F311" s="38"/>
      <c r="G311" s="38"/>
      <c r="H311" s="35"/>
    </row>
    <row r="312" spans="1:8" s="42" customFormat="1" ht="18.75" x14ac:dyDescent="0.3">
      <c r="A312" s="35"/>
      <c r="B312" s="35"/>
      <c r="C312" s="35"/>
      <c r="D312" s="174"/>
      <c r="E312" s="35"/>
      <c r="F312" s="38"/>
      <c r="G312" s="38"/>
      <c r="H312" s="35"/>
    </row>
    <row r="313" spans="1:8" s="42" customFormat="1" ht="18.75" x14ac:dyDescent="0.3">
      <c r="A313" s="35"/>
      <c r="B313" s="35"/>
      <c r="C313" s="35"/>
      <c r="D313" s="174"/>
      <c r="E313" s="35"/>
      <c r="F313" s="38"/>
      <c r="G313" s="38"/>
      <c r="H313" s="35"/>
    </row>
    <row r="314" spans="1:8" s="42" customFormat="1" ht="23.25" x14ac:dyDescent="0.35">
      <c r="A314" s="35">
        <v>20</v>
      </c>
      <c r="B314" s="35"/>
      <c r="C314" s="77" t="s">
        <v>892</v>
      </c>
      <c r="D314" s="174"/>
      <c r="E314" s="70"/>
      <c r="F314" s="38"/>
      <c r="G314" s="69"/>
      <c r="H314" s="38"/>
    </row>
    <row r="315" spans="1:8" s="42" customFormat="1" ht="18.75" x14ac:dyDescent="0.3">
      <c r="A315" s="35"/>
      <c r="B315" s="35" t="e">
        <f>#REF!</f>
        <v>#REF!</v>
      </c>
      <c r="C315" s="35" t="e">
        <f>#REF!</f>
        <v>#REF!</v>
      </c>
      <c r="D315" s="174" t="e">
        <f>#REF!</f>
        <v>#REF!</v>
      </c>
      <c r="E315" s="35">
        <v>8</v>
      </c>
      <c r="F315" s="38" t="e">
        <f>#REF!</f>
        <v>#REF!</v>
      </c>
      <c r="G315" s="38" t="e">
        <f t="shared" ref="G315:G327" si="11">E315*F315</f>
        <v>#REF!</v>
      </c>
      <c r="H315" s="38"/>
    </row>
    <row r="316" spans="1:8" s="42" customFormat="1" ht="18.75" x14ac:dyDescent="0.3">
      <c r="A316" s="35"/>
      <c r="B316" s="35" t="e">
        <f>#REF!</f>
        <v>#REF!</v>
      </c>
      <c r="C316" s="35" t="e">
        <f>#REF!</f>
        <v>#REF!</v>
      </c>
      <c r="D316" s="174" t="e">
        <f>#REF!</f>
        <v>#REF!</v>
      </c>
      <c r="E316" s="35">
        <v>5</v>
      </c>
      <c r="F316" s="38" t="e">
        <f>#REF!</f>
        <v>#REF!</v>
      </c>
      <c r="G316" s="38" t="e">
        <f t="shared" si="11"/>
        <v>#REF!</v>
      </c>
      <c r="H316" s="38"/>
    </row>
    <row r="317" spans="1:8" s="42" customFormat="1" ht="18.75" x14ac:dyDescent="0.3">
      <c r="A317" s="35"/>
      <c r="B317" s="35" t="e">
        <f>#REF!</f>
        <v>#REF!</v>
      </c>
      <c r="C317" s="35" t="e">
        <f>#REF!</f>
        <v>#REF!</v>
      </c>
      <c r="D317" s="174" t="e">
        <f>#REF!</f>
        <v>#REF!</v>
      </c>
      <c r="E317" s="35">
        <v>19</v>
      </c>
      <c r="F317" s="38" t="e">
        <f>#REF!</f>
        <v>#REF!</v>
      </c>
      <c r="G317" s="38" t="e">
        <f t="shared" si="11"/>
        <v>#REF!</v>
      </c>
      <c r="H317" s="38"/>
    </row>
    <row r="318" spans="1:8" s="42" customFormat="1" ht="18.75" x14ac:dyDescent="0.3">
      <c r="A318" s="35"/>
      <c r="B318" s="35" t="e">
        <f>#REF!</f>
        <v>#REF!</v>
      </c>
      <c r="C318" s="35" t="e">
        <f>#REF!</f>
        <v>#REF!</v>
      </c>
      <c r="D318" s="174" t="e">
        <f>#REF!</f>
        <v>#REF!</v>
      </c>
      <c r="E318" s="35">
        <v>200</v>
      </c>
      <c r="F318" s="38" t="e">
        <f>#REF!</f>
        <v>#REF!</v>
      </c>
      <c r="G318" s="38" t="e">
        <f t="shared" si="11"/>
        <v>#REF!</v>
      </c>
      <c r="H318" s="38"/>
    </row>
    <row r="319" spans="1:8" s="42" customFormat="1" ht="18.75" x14ac:dyDescent="0.3">
      <c r="A319" s="35"/>
      <c r="B319" s="35" t="e">
        <f>#REF!</f>
        <v>#REF!</v>
      </c>
      <c r="C319" s="35" t="e">
        <f>#REF!</f>
        <v>#REF!</v>
      </c>
      <c r="D319" s="174" t="e">
        <f>#REF!</f>
        <v>#REF!</v>
      </c>
      <c r="E319" s="35">
        <v>15</v>
      </c>
      <c r="F319" s="38" t="e">
        <f>#REF!</f>
        <v>#REF!</v>
      </c>
      <c r="G319" s="38" t="e">
        <f t="shared" si="11"/>
        <v>#REF!</v>
      </c>
      <c r="H319" s="38"/>
    </row>
    <row r="320" spans="1:8" s="42" customFormat="1" ht="18.75" x14ac:dyDescent="0.3">
      <c r="A320" s="35"/>
      <c r="B320" s="35" t="e">
        <f>#REF!</f>
        <v>#REF!</v>
      </c>
      <c r="C320" s="35" t="e">
        <f>#REF!</f>
        <v>#REF!</v>
      </c>
      <c r="D320" s="174" t="e">
        <f>#REF!</f>
        <v>#REF!</v>
      </c>
      <c r="E320" s="35">
        <v>125</v>
      </c>
      <c r="F320" s="38">
        <v>340</v>
      </c>
      <c r="G320" s="38">
        <f t="shared" si="11"/>
        <v>42500</v>
      </c>
      <c r="H320" s="38"/>
    </row>
    <row r="321" spans="1:8" s="42" customFormat="1" ht="18.75" x14ac:dyDescent="0.3">
      <c r="A321" s="35"/>
      <c r="B321" s="35" t="e">
        <f>#REF!</f>
        <v>#REF!</v>
      </c>
      <c r="C321" s="35" t="e">
        <f>#REF!</f>
        <v>#REF!</v>
      </c>
      <c r="D321" s="174" t="e">
        <f>#REF!</f>
        <v>#REF!</v>
      </c>
      <c r="E321" s="35">
        <v>300</v>
      </c>
      <c r="F321" s="38" t="e">
        <f>#REF!</f>
        <v>#REF!</v>
      </c>
      <c r="G321" s="38" t="e">
        <f t="shared" si="11"/>
        <v>#REF!</v>
      </c>
      <c r="H321" s="38"/>
    </row>
    <row r="322" spans="1:8" s="42" customFormat="1" ht="18.75" x14ac:dyDescent="0.3">
      <c r="A322" s="35"/>
      <c r="B322" s="35" t="e">
        <f>#REF!</f>
        <v>#REF!</v>
      </c>
      <c r="C322" s="35" t="e">
        <f>#REF!</f>
        <v>#REF!</v>
      </c>
      <c r="D322" s="174" t="e">
        <f>#REF!</f>
        <v>#REF!</v>
      </c>
      <c r="E322" s="35">
        <v>200</v>
      </c>
      <c r="F322" s="38" t="e">
        <f>#REF!</f>
        <v>#REF!</v>
      </c>
      <c r="G322" s="38" t="e">
        <f t="shared" si="11"/>
        <v>#REF!</v>
      </c>
      <c r="H322" s="38"/>
    </row>
    <row r="323" spans="1:8" s="42" customFormat="1" ht="18.75" x14ac:dyDescent="0.3">
      <c r="A323" s="35"/>
      <c r="B323" s="35" t="e">
        <f>#REF!</f>
        <v>#REF!</v>
      </c>
      <c r="C323" s="35" t="e">
        <f>#REF!</f>
        <v>#REF!</v>
      </c>
      <c r="D323" s="174" t="e">
        <f>#REF!</f>
        <v>#REF!</v>
      </c>
      <c r="E323" s="35">
        <v>125</v>
      </c>
      <c r="F323" s="38" t="e">
        <f>#REF!</f>
        <v>#REF!</v>
      </c>
      <c r="G323" s="38" t="e">
        <f t="shared" si="11"/>
        <v>#REF!</v>
      </c>
      <c r="H323" s="38"/>
    </row>
    <row r="324" spans="1:8" s="42" customFormat="1" ht="18.75" x14ac:dyDescent="0.3">
      <c r="A324" s="35"/>
      <c r="B324" s="35" t="e">
        <f>#REF!</f>
        <v>#REF!</v>
      </c>
      <c r="C324" s="35" t="e">
        <f>#REF!</f>
        <v>#REF!</v>
      </c>
      <c r="D324" s="174" t="e">
        <f>#REF!</f>
        <v>#REF!</v>
      </c>
      <c r="E324" s="35">
        <v>18</v>
      </c>
      <c r="F324" s="38" t="e">
        <f>#REF!</f>
        <v>#REF!</v>
      </c>
      <c r="G324" s="38" t="e">
        <f t="shared" si="11"/>
        <v>#REF!</v>
      </c>
      <c r="H324" s="38"/>
    </row>
    <row r="325" spans="1:8" s="42" customFormat="1" ht="18.75" x14ac:dyDescent="0.3">
      <c r="A325" s="35"/>
      <c r="B325" s="35" t="e">
        <f>#REF!</f>
        <v>#REF!</v>
      </c>
      <c r="C325" s="35" t="e">
        <f>#REF!</f>
        <v>#REF!</v>
      </c>
      <c r="D325" s="174" t="e">
        <f>#REF!</f>
        <v>#REF!</v>
      </c>
      <c r="E325" s="35">
        <v>250</v>
      </c>
      <c r="F325" s="38" t="e">
        <f>#REF!</f>
        <v>#REF!</v>
      </c>
      <c r="G325" s="38" t="e">
        <f t="shared" si="11"/>
        <v>#REF!</v>
      </c>
      <c r="H325" s="38"/>
    </row>
    <row r="326" spans="1:8" s="42" customFormat="1" ht="18.75" x14ac:dyDescent="0.3">
      <c r="A326" s="35"/>
      <c r="B326" s="35" t="e">
        <f>#REF!</f>
        <v>#REF!</v>
      </c>
      <c r="C326" s="35" t="e">
        <f>#REF!</f>
        <v>#REF!</v>
      </c>
      <c r="D326" s="174" t="e">
        <f>#REF!</f>
        <v>#REF!</v>
      </c>
      <c r="E326" s="35">
        <v>1</v>
      </c>
      <c r="F326" s="38" t="e">
        <f>#REF!</f>
        <v>#REF!</v>
      </c>
      <c r="G326" s="38" t="e">
        <f t="shared" si="11"/>
        <v>#REF!</v>
      </c>
      <c r="H326" s="38"/>
    </row>
    <row r="327" spans="1:8" s="42" customFormat="1" ht="23.25" x14ac:dyDescent="0.35">
      <c r="A327" s="35"/>
      <c r="B327" s="35" t="e">
        <f>#REF!</f>
        <v>#REF!</v>
      </c>
      <c r="C327" s="35" t="e">
        <f>#REF!</f>
        <v>#REF!</v>
      </c>
      <c r="D327" s="174" t="e">
        <f>#REF!</f>
        <v>#REF!</v>
      </c>
      <c r="E327" s="35">
        <v>488</v>
      </c>
      <c r="F327" s="38" t="e">
        <f>#REF!</f>
        <v>#REF!</v>
      </c>
      <c r="G327" s="38" t="e">
        <f t="shared" si="11"/>
        <v>#REF!</v>
      </c>
      <c r="H327" s="186" t="e">
        <f>SUM(G315:G327)</f>
        <v>#REF!</v>
      </c>
    </row>
    <row r="328" spans="1:8" s="42" customFormat="1" ht="18.75" x14ac:dyDescent="0.3">
      <c r="A328" s="35"/>
      <c r="B328" s="35"/>
      <c r="C328" s="35"/>
      <c r="D328" s="174"/>
      <c r="E328" s="35"/>
      <c r="F328" s="38"/>
      <c r="G328" s="38"/>
      <c r="H328" s="35"/>
    </row>
    <row r="329" spans="1:8" s="42" customFormat="1" ht="18.75" x14ac:dyDescent="0.3">
      <c r="A329" s="35"/>
      <c r="B329" s="35"/>
      <c r="C329" s="35"/>
      <c r="D329" s="174"/>
      <c r="E329" s="35"/>
      <c r="F329" s="38"/>
      <c r="G329" s="38"/>
      <c r="H329" s="35"/>
    </row>
    <row r="330" spans="1:8" s="42" customFormat="1" ht="18.75" x14ac:dyDescent="0.3">
      <c r="A330" s="35"/>
      <c r="B330" s="35"/>
      <c r="C330" s="35"/>
      <c r="D330" s="174"/>
      <c r="E330" s="35"/>
      <c r="F330" s="38"/>
      <c r="G330" s="38"/>
      <c r="H330" s="35"/>
    </row>
    <row r="331" spans="1:8" s="42" customFormat="1" ht="18.75" x14ac:dyDescent="0.3">
      <c r="A331" s="35"/>
      <c r="B331" s="35"/>
      <c r="C331" s="35"/>
      <c r="D331" s="174"/>
      <c r="E331" s="35"/>
      <c r="F331" s="38"/>
      <c r="G331" s="38"/>
      <c r="H331" s="35"/>
    </row>
    <row r="332" spans="1:8" s="42" customFormat="1" ht="18.75" x14ac:dyDescent="0.3">
      <c r="A332" s="35"/>
      <c r="B332" s="35"/>
      <c r="C332" s="35"/>
      <c r="D332" s="174"/>
      <c r="E332" s="35"/>
      <c r="F332" s="38"/>
      <c r="G332" s="38"/>
      <c r="H332" s="35"/>
    </row>
    <row r="333" spans="1:8" s="42" customFormat="1" ht="23.25" x14ac:dyDescent="0.35">
      <c r="A333" s="35">
        <v>21</v>
      </c>
      <c r="B333" s="35"/>
      <c r="C333" s="77" t="s">
        <v>893</v>
      </c>
      <c r="D333" s="174"/>
      <c r="E333" s="35"/>
      <c r="F333" s="38"/>
      <c r="G333" s="38"/>
      <c r="H333" s="38"/>
    </row>
    <row r="334" spans="1:8" s="42" customFormat="1" ht="18.75" x14ac:dyDescent="0.3">
      <c r="A334" s="35"/>
      <c r="B334" s="35" t="e">
        <f>#REF!</f>
        <v>#REF!</v>
      </c>
      <c r="C334" s="35" t="e">
        <f>#REF!</f>
        <v>#REF!</v>
      </c>
      <c r="D334" s="174" t="e">
        <f>#REF!</f>
        <v>#REF!</v>
      </c>
      <c r="E334" s="35">
        <v>18</v>
      </c>
      <c r="F334" s="38" t="e">
        <f>#REF!</f>
        <v>#REF!</v>
      </c>
      <c r="G334" s="38" t="e">
        <f>E334*F334</f>
        <v>#REF!</v>
      </c>
      <c r="H334" s="38"/>
    </row>
    <row r="335" spans="1:8" s="42" customFormat="1" ht="18.75" x14ac:dyDescent="0.3">
      <c r="A335" s="35"/>
      <c r="B335" s="35" t="e">
        <f>#REF!</f>
        <v>#REF!</v>
      </c>
      <c r="C335" s="35" t="e">
        <f>#REF!</f>
        <v>#REF!</v>
      </c>
      <c r="D335" s="174" t="e">
        <f>#REF!</f>
        <v>#REF!</v>
      </c>
      <c r="E335" s="35">
        <v>13</v>
      </c>
      <c r="F335" s="38" t="e">
        <f>#REF!</f>
        <v>#REF!</v>
      </c>
      <c r="G335" s="38" t="e">
        <f t="shared" ref="G335:G341" si="12">E335*F335</f>
        <v>#REF!</v>
      </c>
      <c r="H335" s="38"/>
    </row>
    <row r="336" spans="1:8" s="42" customFormat="1" ht="18.75" x14ac:dyDescent="0.3">
      <c r="A336" s="35"/>
      <c r="B336" s="35" t="e">
        <f>#REF!</f>
        <v>#REF!</v>
      </c>
      <c r="C336" s="35" t="e">
        <f>#REF!</f>
        <v>#REF!</v>
      </c>
      <c r="D336" s="174" t="e">
        <f>#REF!</f>
        <v>#REF!</v>
      </c>
      <c r="E336" s="35">
        <v>20</v>
      </c>
      <c r="F336" s="38" t="e">
        <f>#REF!</f>
        <v>#REF!</v>
      </c>
      <c r="G336" s="38" t="e">
        <f t="shared" si="12"/>
        <v>#REF!</v>
      </c>
      <c r="H336" s="38"/>
    </row>
    <row r="337" spans="1:8" s="42" customFormat="1" ht="18.75" x14ac:dyDescent="0.3">
      <c r="A337" s="35"/>
      <c r="B337" s="35" t="e">
        <f>#REF!</f>
        <v>#REF!</v>
      </c>
      <c r="C337" s="35" t="e">
        <f>#REF!</f>
        <v>#REF!</v>
      </c>
      <c r="D337" s="174" t="e">
        <f>#REF!</f>
        <v>#REF!</v>
      </c>
      <c r="E337" s="35">
        <v>50</v>
      </c>
      <c r="F337" s="38" t="e">
        <f>#REF!</f>
        <v>#REF!</v>
      </c>
      <c r="G337" s="38" t="e">
        <f t="shared" si="12"/>
        <v>#REF!</v>
      </c>
      <c r="H337" s="38"/>
    </row>
    <row r="338" spans="1:8" s="42" customFormat="1" ht="18.75" x14ac:dyDescent="0.3">
      <c r="A338" s="35"/>
      <c r="B338" s="35" t="e">
        <f>#REF!</f>
        <v>#REF!</v>
      </c>
      <c r="C338" s="35" t="e">
        <f>#REF!</f>
        <v>#REF!</v>
      </c>
      <c r="D338" s="174" t="e">
        <f>#REF!</f>
        <v>#REF!</v>
      </c>
      <c r="E338" s="35">
        <v>1</v>
      </c>
      <c r="F338" s="38" t="e">
        <f>#REF!</f>
        <v>#REF!</v>
      </c>
      <c r="G338" s="38" t="e">
        <f t="shared" si="12"/>
        <v>#REF!</v>
      </c>
      <c r="H338" s="38"/>
    </row>
    <row r="339" spans="1:8" s="42" customFormat="1" ht="18.75" x14ac:dyDescent="0.3">
      <c r="A339" s="35"/>
      <c r="B339" s="35" t="e">
        <f>#REF!</f>
        <v>#REF!</v>
      </c>
      <c r="C339" s="35" t="e">
        <f>#REF!</f>
        <v>#REF!</v>
      </c>
      <c r="D339" s="174" t="e">
        <f>#REF!</f>
        <v>#REF!</v>
      </c>
      <c r="E339" s="35">
        <v>5</v>
      </c>
      <c r="F339" s="38" t="e">
        <f>#REF!</f>
        <v>#REF!</v>
      </c>
      <c r="G339" s="38" t="e">
        <f t="shared" si="12"/>
        <v>#REF!</v>
      </c>
      <c r="H339" s="38"/>
    </row>
    <row r="340" spans="1:8" s="42" customFormat="1" ht="18.75" x14ac:dyDescent="0.3">
      <c r="A340" s="35"/>
      <c r="B340" s="35" t="e">
        <f>#REF!</f>
        <v>#REF!</v>
      </c>
      <c r="C340" s="35" t="e">
        <f>#REF!</f>
        <v>#REF!</v>
      </c>
      <c r="D340" s="174" t="e">
        <f>#REF!</f>
        <v>#REF!</v>
      </c>
      <c r="E340" s="35">
        <v>1</v>
      </c>
      <c r="F340" s="38" t="e">
        <f>#REF!</f>
        <v>#REF!</v>
      </c>
      <c r="G340" s="38" t="e">
        <f t="shared" si="12"/>
        <v>#REF!</v>
      </c>
      <c r="H340" s="38"/>
    </row>
    <row r="341" spans="1:8" s="42" customFormat="1" ht="23.25" x14ac:dyDescent="0.35">
      <c r="A341" s="35"/>
      <c r="B341" s="35" t="e">
        <f>#REF!</f>
        <v>#REF!</v>
      </c>
      <c r="C341" s="35" t="e">
        <f>#REF!</f>
        <v>#REF!</v>
      </c>
      <c r="D341" s="174" t="e">
        <f>#REF!</f>
        <v>#REF!</v>
      </c>
      <c r="E341" s="35">
        <v>13</v>
      </c>
      <c r="F341" s="38" t="e">
        <f>#REF!</f>
        <v>#REF!</v>
      </c>
      <c r="G341" s="38" t="e">
        <f t="shared" si="12"/>
        <v>#REF!</v>
      </c>
      <c r="H341" s="186" t="e">
        <f>SUM(G334:G341)</f>
        <v>#REF!</v>
      </c>
    </row>
    <row r="342" spans="1:8" s="42" customFormat="1" ht="18.75" x14ac:dyDescent="0.3">
      <c r="A342" s="35"/>
      <c r="B342" s="35"/>
      <c r="C342" s="35"/>
      <c r="D342" s="174"/>
      <c r="E342" s="35"/>
      <c r="F342" s="38"/>
      <c r="G342" s="38"/>
      <c r="H342" s="35"/>
    </row>
    <row r="343" spans="1:8" s="42" customFormat="1" ht="23.25" x14ac:dyDescent="0.35">
      <c r="A343" s="35">
        <v>22</v>
      </c>
      <c r="B343" s="35"/>
      <c r="C343" s="77" t="s">
        <v>822</v>
      </c>
      <c r="D343" s="174"/>
      <c r="E343" s="35"/>
      <c r="F343" s="38"/>
      <c r="G343" s="38"/>
      <c r="H343" s="38"/>
    </row>
    <row r="344" spans="1:8" s="42" customFormat="1" ht="23.25" x14ac:dyDescent="0.35">
      <c r="A344" s="35"/>
      <c r="B344" s="35" t="e">
        <f>#REF!</f>
        <v>#REF!</v>
      </c>
      <c r="C344" s="35" t="e">
        <f>#REF!</f>
        <v>#REF!</v>
      </c>
      <c r="D344" s="174" t="e">
        <f>#REF!</f>
        <v>#REF!</v>
      </c>
      <c r="E344" s="35">
        <v>25</v>
      </c>
      <c r="F344" s="38" t="e">
        <f>#REF!</f>
        <v>#REF!</v>
      </c>
      <c r="G344" s="38" t="e">
        <f>E344*F344</f>
        <v>#REF!</v>
      </c>
      <c r="H344" s="79"/>
    </row>
    <row r="345" spans="1:8" s="42" customFormat="1" ht="18.75" x14ac:dyDescent="0.3">
      <c r="A345" s="35"/>
      <c r="B345" s="35" t="e">
        <f>#REF!</f>
        <v>#REF!</v>
      </c>
      <c r="C345" s="35" t="e">
        <f>#REF!</f>
        <v>#REF!</v>
      </c>
      <c r="D345" s="174" t="e">
        <f>#REF!</f>
        <v>#REF!</v>
      </c>
      <c r="E345" s="35">
        <v>20</v>
      </c>
      <c r="F345" s="38" t="e">
        <f>#REF!</f>
        <v>#REF!</v>
      </c>
      <c r="G345" s="38" t="e">
        <f>E345*F345</f>
        <v>#REF!</v>
      </c>
      <c r="H345" s="38"/>
    </row>
    <row r="346" spans="1:8" s="42" customFormat="1" ht="18.75" x14ac:dyDescent="0.3">
      <c r="A346" s="35"/>
      <c r="B346" s="35" t="e">
        <f>#REF!</f>
        <v>#REF!</v>
      </c>
      <c r="C346" s="35" t="s">
        <v>921</v>
      </c>
      <c r="D346" s="174" t="e">
        <f>#REF!</f>
        <v>#REF!</v>
      </c>
      <c r="E346" s="35">
        <v>10</v>
      </c>
      <c r="F346" s="38" t="e">
        <f>#REF!</f>
        <v>#REF!</v>
      </c>
      <c r="G346" s="38" t="e">
        <f>E346*F346</f>
        <v>#REF!</v>
      </c>
      <c r="H346" s="38"/>
    </row>
    <row r="347" spans="1:8" s="42" customFormat="1" ht="18.75" x14ac:dyDescent="0.3">
      <c r="A347" s="35"/>
      <c r="B347" s="35" t="e">
        <f>#REF!</f>
        <v>#REF!</v>
      </c>
      <c r="C347" s="35" t="e">
        <f>#REF!</f>
        <v>#REF!</v>
      </c>
      <c r="D347" s="174" t="e">
        <f>#REF!</f>
        <v>#REF!</v>
      </c>
      <c r="E347" s="35">
        <v>150</v>
      </c>
      <c r="F347" s="38" t="e">
        <f>#REF!</f>
        <v>#REF!</v>
      </c>
      <c r="G347" s="38" t="e">
        <f>E347*F347</f>
        <v>#REF!</v>
      </c>
      <c r="H347" s="38"/>
    </row>
    <row r="348" spans="1:8" s="42" customFormat="1" ht="23.25" x14ac:dyDescent="0.35">
      <c r="A348" s="35"/>
      <c r="B348" s="35" t="e">
        <f>#REF!</f>
        <v>#REF!</v>
      </c>
      <c r="C348" s="35" t="e">
        <f>#REF!</f>
        <v>#REF!</v>
      </c>
      <c r="D348" s="174" t="e">
        <f>#REF!</f>
        <v>#REF!</v>
      </c>
      <c r="E348" s="35">
        <v>125</v>
      </c>
      <c r="F348" s="38" t="e">
        <f>#REF!</f>
        <v>#REF!</v>
      </c>
      <c r="G348" s="38" t="e">
        <f>E348*F348</f>
        <v>#REF!</v>
      </c>
      <c r="H348" s="186" t="e">
        <f>SUM(G344:G348)</f>
        <v>#REF!</v>
      </c>
    </row>
    <row r="349" spans="1:8" s="42" customFormat="1" ht="18.75" x14ac:dyDescent="0.3">
      <c r="A349" s="35"/>
      <c r="B349" s="35"/>
      <c r="C349" s="35"/>
      <c r="D349" s="174"/>
      <c r="E349" s="35"/>
      <c r="F349" s="38"/>
      <c r="G349" s="38"/>
      <c r="H349" s="35"/>
    </row>
    <row r="350" spans="1:8" s="42" customFormat="1" ht="18.75" x14ac:dyDescent="0.3">
      <c r="A350" s="35"/>
      <c r="B350" s="35"/>
      <c r="C350" s="35"/>
      <c r="D350" s="174"/>
      <c r="E350" s="35"/>
      <c r="F350" s="38"/>
      <c r="G350" s="38"/>
      <c r="H350" s="35"/>
    </row>
    <row r="351" spans="1:8" s="42" customFormat="1" ht="23.25" x14ac:dyDescent="0.35">
      <c r="A351" s="35">
        <v>23</v>
      </c>
      <c r="B351" s="35"/>
      <c r="C351" s="77" t="s">
        <v>875</v>
      </c>
      <c r="D351" s="174"/>
      <c r="E351" s="70"/>
      <c r="F351" s="38"/>
      <c r="G351" s="69"/>
      <c r="H351" s="38"/>
    </row>
    <row r="352" spans="1:8" s="42" customFormat="1" ht="18.75" x14ac:dyDescent="0.3">
      <c r="A352" s="35"/>
      <c r="B352" s="35" t="e">
        <f>#REF!</f>
        <v>#REF!</v>
      </c>
      <c r="C352" s="35" t="e">
        <f>#REF!</f>
        <v>#REF!</v>
      </c>
      <c r="D352" s="174" t="e">
        <f>#REF!</f>
        <v>#REF!</v>
      </c>
      <c r="E352" s="35">
        <v>50</v>
      </c>
      <c r="F352" s="38" t="e">
        <f>#REF!</f>
        <v>#REF!</v>
      </c>
      <c r="G352" s="38" t="e">
        <f t="shared" ref="G352:G359" si="13">E352*F352</f>
        <v>#REF!</v>
      </c>
      <c r="H352" s="38"/>
    </row>
    <row r="353" spans="1:8" s="42" customFormat="1" ht="18.75" x14ac:dyDescent="0.3">
      <c r="A353" s="35"/>
      <c r="B353" s="35" t="e">
        <f>#REF!</f>
        <v>#REF!</v>
      </c>
      <c r="C353" s="35" t="e">
        <f>#REF!</f>
        <v>#REF!</v>
      </c>
      <c r="D353" s="174" t="e">
        <f>#REF!</f>
        <v>#REF!</v>
      </c>
      <c r="E353" s="35">
        <v>55</v>
      </c>
      <c r="F353" s="38" t="e">
        <f>#REF!</f>
        <v>#REF!</v>
      </c>
      <c r="G353" s="38" t="e">
        <f t="shared" si="13"/>
        <v>#REF!</v>
      </c>
      <c r="H353" s="38"/>
    </row>
    <row r="354" spans="1:8" s="42" customFormat="1" ht="18.75" x14ac:dyDescent="0.3">
      <c r="A354" s="35"/>
      <c r="B354" s="35" t="e">
        <f>#REF!</f>
        <v>#REF!</v>
      </c>
      <c r="C354" s="35" t="e">
        <f>#REF!</f>
        <v>#REF!</v>
      </c>
      <c r="D354" s="174" t="e">
        <f>#REF!</f>
        <v>#REF!</v>
      </c>
      <c r="E354" s="35">
        <v>240</v>
      </c>
      <c r="F354" s="38" t="e">
        <f>#REF!</f>
        <v>#REF!</v>
      </c>
      <c r="G354" s="38" t="e">
        <f t="shared" si="13"/>
        <v>#REF!</v>
      </c>
      <c r="H354" s="38"/>
    </row>
    <row r="355" spans="1:8" s="42" customFormat="1" ht="18.75" x14ac:dyDescent="0.3">
      <c r="A355" s="35"/>
      <c r="B355" s="35" t="e">
        <f>#REF!</f>
        <v>#REF!</v>
      </c>
      <c r="C355" s="35" t="e">
        <f>#REF!</f>
        <v>#REF!</v>
      </c>
      <c r="D355" s="174" t="e">
        <f>#REF!</f>
        <v>#REF!</v>
      </c>
      <c r="E355" s="35">
        <v>125</v>
      </c>
      <c r="F355" s="38" t="e">
        <f>#REF!</f>
        <v>#REF!</v>
      </c>
      <c r="G355" s="38" t="e">
        <f t="shared" si="13"/>
        <v>#REF!</v>
      </c>
      <c r="H355" s="38"/>
    </row>
    <row r="356" spans="1:8" s="42" customFormat="1" ht="18.75" x14ac:dyDescent="0.3">
      <c r="A356" s="35"/>
      <c r="B356" s="35" t="e">
        <f>#REF!</f>
        <v>#REF!</v>
      </c>
      <c r="C356" s="35" t="e">
        <f>#REF!</f>
        <v>#REF!</v>
      </c>
      <c r="D356" s="174" t="e">
        <f>#REF!</f>
        <v>#REF!</v>
      </c>
      <c r="E356" s="35">
        <v>150</v>
      </c>
      <c r="F356" s="38" t="e">
        <f>#REF!</f>
        <v>#REF!</v>
      </c>
      <c r="G356" s="38" t="e">
        <f t="shared" si="13"/>
        <v>#REF!</v>
      </c>
      <c r="H356" s="38"/>
    </row>
    <row r="357" spans="1:8" s="42" customFormat="1" ht="18.75" x14ac:dyDescent="0.3">
      <c r="A357" s="35"/>
      <c r="B357" s="35" t="e">
        <f>#REF!</f>
        <v>#REF!</v>
      </c>
      <c r="C357" s="35" t="e">
        <f>#REF!</f>
        <v>#REF!</v>
      </c>
      <c r="D357" s="174" t="e">
        <f>#REF!</f>
        <v>#REF!</v>
      </c>
      <c r="E357" s="35">
        <v>70</v>
      </c>
      <c r="F357" s="38" t="e">
        <f>#REF!</f>
        <v>#REF!</v>
      </c>
      <c r="G357" s="38" t="e">
        <f t="shared" si="13"/>
        <v>#REF!</v>
      </c>
      <c r="H357" s="38"/>
    </row>
    <row r="358" spans="1:8" s="42" customFormat="1" ht="18.75" x14ac:dyDescent="0.3">
      <c r="A358" s="35"/>
      <c r="B358" s="35" t="e">
        <f>#REF!</f>
        <v>#REF!</v>
      </c>
      <c r="C358" s="35" t="e">
        <f>#REF!</f>
        <v>#REF!</v>
      </c>
      <c r="D358" s="174" t="e">
        <f>#REF!</f>
        <v>#REF!</v>
      </c>
      <c r="E358" s="35">
        <v>250</v>
      </c>
      <c r="F358" s="38" t="e">
        <f>#REF!</f>
        <v>#REF!</v>
      </c>
      <c r="G358" s="38" t="e">
        <f t="shared" si="13"/>
        <v>#REF!</v>
      </c>
      <c r="H358" s="38"/>
    </row>
    <row r="359" spans="1:8" s="42" customFormat="1" ht="23.25" x14ac:dyDescent="0.35">
      <c r="A359" s="35"/>
      <c r="B359" s="35" t="e">
        <f>#REF!</f>
        <v>#REF!</v>
      </c>
      <c r="C359" s="35" t="e">
        <f>#REF!</f>
        <v>#REF!</v>
      </c>
      <c r="D359" s="174" t="e">
        <f>#REF!</f>
        <v>#REF!</v>
      </c>
      <c r="E359" s="35">
        <v>150</v>
      </c>
      <c r="F359" s="38" t="e">
        <f>#REF!</f>
        <v>#REF!</v>
      </c>
      <c r="G359" s="38" t="e">
        <f t="shared" si="13"/>
        <v>#REF!</v>
      </c>
      <c r="H359" s="186" t="e">
        <f>SUM(G352:G359)</f>
        <v>#REF!</v>
      </c>
    </row>
    <row r="360" spans="1:8" s="42" customFormat="1" ht="18.75" x14ac:dyDescent="0.3">
      <c r="A360" s="35"/>
      <c r="B360" s="35"/>
      <c r="C360" s="35"/>
      <c r="D360" s="174"/>
      <c r="E360" s="35"/>
      <c r="F360" s="38"/>
      <c r="G360" s="38"/>
      <c r="H360" s="35"/>
    </row>
    <row r="361" spans="1:8" s="42" customFormat="1" ht="18.75" x14ac:dyDescent="0.3">
      <c r="A361" s="35"/>
      <c r="B361" s="35"/>
      <c r="C361" s="35"/>
      <c r="D361" s="174"/>
      <c r="E361" s="35"/>
      <c r="F361" s="38"/>
      <c r="G361" s="38"/>
      <c r="H361" s="35"/>
    </row>
    <row r="362" spans="1:8" s="42" customFormat="1" ht="23.25" x14ac:dyDescent="0.35">
      <c r="A362" s="35">
        <v>24</v>
      </c>
      <c r="B362" s="77"/>
      <c r="C362" s="77" t="s">
        <v>880</v>
      </c>
      <c r="D362" s="184"/>
      <c r="E362" s="77"/>
      <c r="F362" s="79"/>
      <c r="G362" s="79"/>
      <c r="H362" s="79"/>
    </row>
    <row r="363" spans="1:8" s="42" customFormat="1" ht="23.25" x14ac:dyDescent="0.35">
      <c r="A363" s="35"/>
      <c r="B363" s="35" t="e">
        <f>#REF!</f>
        <v>#REF!</v>
      </c>
      <c r="C363" s="35" t="e">
        <f>#REF!</f>
        <v>#REF!</v>
      </c>
      <c r="D363" s="174" t="e">
        <f>#REF!</f>
        <v>#REF!</v>
      </c>
      <c r="E363" s="35">
        <v>150</v>
      </c>
      <c r="F363" s="38" t="e">
        <f>#REF!</f>
        <v>#REF!</v>
      </c>
      <c r="G363" s="38" t="e">
        <f>E363*F363</f>
        <v>#REF!</v>
      </c>
      <c r="H363" s="79"/>
    </row>
    <row r="364" spans="1:8" s="42" customFormat="1" ht="18.75" x14ac:dyDescent="0.3">
      <c r="A364" s="35"/>
      <c r="B364" s="35" t="e">
        <f>#REF!</f>
        <v>#REF!</v>
      </c>
      <c r="C364" s="35" t="e">
        <f>#REF!</f>
        <v>#REF!</v>
      </c>
      <c r="D364" s="174" t="e">
        <f>#REF!</f>
        <v>#REF!</v>
      </c>
      <c r="E364" s="35">
        <v>1250</v>
      </c>
      <c r="F364" s="38" t="e">
        <f>#REF!</f>
        <v>#REF!</v>
      </c>
      <c r="G364" s="38" t="e">
        <f>E364*F364</f>
        <v>#REF!</v>
      </c>
      <c r="H364" s="38"/>
    </row>
    <row r="365" spans="1:8" s="42" customFormat="1" ht="18.75" x14ac:dyDescent="0.3">
      <c r="A365" s="35"/>
      <c r="B365" s="35" t="e">
        <f>#REF!</f>
        <v>#REF!</v>
      </c>
      <c r="C365" s="35" t="e">
        <f>#REF!</f>
        <v>#REF!</v>
      </c>
      <c r="D365" s="174" t="e">
        <f>#REF!</f>
        <v>#REF!</v>
      </c>
      <c r="E365" s="35">
        <v>25</v>
      </c>
      <c r="F365" s="38" t="e">
        <f>#REF!</f>
        <v>#REF!</v>
      </c>
      <c r="G365" s="38" t="e">
        <f>E365*F365</f>
        <v>#REF!</v>
      </c>
      <c r="H365" s="38"/>
    </row>
    <row r="366" spans="1:8" s="42" customFormat="1" ht="18.75" x14ac:dyDescent="0.3">
      <c r="A366" s="35"/>
      <c r="B366" s="35" t="e">
        <f>#REF!</f>
        <v>#REF!</v>
      </c>
      <c r="C366" s="35" t="e">
        <f>#REF!</f>
        <v>#REF!</v>
      </c>
      <c r="D366" s="174" t="e">
        <f>#REF!</f>
        <v>#REF!</v>
      </c>
      <c r="E366" s="35">
        <v>49</v>
      </c>
      <c r="F366" s="38" t="e">
        <f>#REF!</f>
        <v>#REF!</v>
      </c>
      <c r="G366" s="38" t="e">
        <f>E366*F366</f>
        <v>#REF!</v>
      </c>
      <c r="H366" s="38"/>
    </row>
    <row r="367" spans="1:8" s="42" customFormat="1" ht="23.25" x14ac:dyDescent="0.35">
      <c r="A367" s="35"/>
      <c r="B367" s="35" t="e">
        <f>#REF!</f>
        <v>#REF!</v>
      </c>
      <c r="C367" s="35" t="e">
        <f>#REF!</f>
        <v>#REF!</v>
      </c>
      <c r="D367" s="174" t="e">
        <f>#REF!</f>
        <v>#REF!</v>
      </c>
      <c r="E367" s="35">
        <v>3</v>
      </c>
      <c r="F367" s="38" t="e">
        <f>#REF!</f>
        <v>#REF!</v>
      </c>
      <c r="G367" s="38" t="e">
        <f>E367*F367</f>
        <v>#REF!</v>
      </c>
      <c r="H367" s="186" t="e">
        <f>SUM(G363:G367)</f>
        <v>#REF!</v>
      </c>
    </row>
    <row r="368" spans="1:8" s="42" customFormat="1" ht="18.75" x14ac:dyDescent="0.3">
      <c r="A368" s="35"/>
      <c r="B368" s="35"/>
      <c r="C368" s="35"/>
      <c r="D368" s="174"/>
      <c r="E368" s="35"/>
      <c r="F368" s="38"/>
      <c r="G368" s="38"/>
      <c r="H368" s="35"/>
    </row>
    <row r="369" spans="1:8" s="42" customFormat="1" ht="23.25" x14ac:dyDescent="0.35">
      <c r="A369" s="35">
        <v>25</v>
      </c>
      <c r="B369" s="35"/>
      <c r="C369" s="77" t="s">
        <v>832</v>
      </c>
      <c r="D369" s="174"/>
      <c r="E369" s="35"/>
      <c r="F369" s="38"/>
      <c r="G369" s="38"/>
      <c r="H369" s="38"/>
    </row>
    <row r="370" spans="1:8" s="42" customFormat="1" ht="18.75" x14ac:dyDescent="0.3">
      <c r="A370" s="35"/>
      <c r="B370" s="35" t="e">
        <f>#REF!</f>
        <v>#REF!</v>
      </c>
      <c r="C370" s="35" t="e">
        <f>#REF!</f>
        <v>#REF!</v>
      </c>
      <c r="D370" s="174" t="e">
        <f>#REF!</f>
        <v>#REF!</v>
      </c>
      <c r="E370" s="35">
        <v>13</v>
      </c>
      <c r="F370" s="38" t="e">
        <f>#REF!</f>
        <v>#REF!</v>
      </c>
      <c r="G370" s="38" t="e">
        <f t="shared" ref="G370:G378" si="14">E370*F370</f>
        <v>#REF!</v>
      </c>
      <c r="H370" s="38"/>
    </row>
    <row r="371" spans="1:8" s="42" customFormat="1" ht="18.75" x14ac:dyDescent="0.3">
      <c r="A371" s="35"/>
      <c r="B371" s="35" t="e">
        <f>#REF!</f>
        <v>#REF!</v>
      </c>
      <c r="C371" s="35" t="e">
        <f>#REF!</f>
        <v>#REF!</v>
      </c>
      <c r="D371" s="174" t="e">
        <f>#REF!</f>
        <v>#REF!</v>
      </c>
      <c r="E371" s="35">
        <v>10</v>
      </c>
      <c r="F371" s="38" t="e">
        <f>#REF!</f>
        <v>#REF!</v>
      </c>
      <c r="G371" s="38" t="e">
        <f t="shared" si="14"/>
        <v>#REF!</v>
      </c>
      <c r="H371" s="38"/>
    </row>
    <row r="372" spans="1:8" s="42" customFormat="1" ht="18.75" x14ac:dyDescent="0.3">
      <c r="A372" s="35"/>
      <c r="B372" s="35" t="e">
        <f>#REF!</f>
        <v>#REF!</v>
      </c>
      <c r="C372" s="35" t="e">
        <f>#REF!</f>
        <v>#REF!</v>
      </c>
      <c r="D372" s="174" t="e">
        <f>#REF!</f>
        <v>#REF!</v>
      </c>
      <c r="E372" s="35">
        <v>13</v>
      </c>
      <c r="F372" s="38" t="e">
        <f>#REF!</f>
        <v>#REF!</v>
      </c>
      <c r="G372" s="38" t="e">
        <f t="shared" si="14"/>
        <v>#REF!</v>
      </c>
      <c r="H372" s="38"/>
    </row>
    <row r="373" spans="1:8" s="42" customFormat="1" ht="18.75" x14ac:dyDescent="0.3">
      <c r="A373" s="35"/>
      <c r="B373" s="35" t="e">
        <f>#REF!</f>
        <v>#REF!</v>
      </c>
      <c r="C373" s="35" t="e">
        <f>#REF!</f>
        <v>#REF!</v>
      </c>
      <c r="D373" s="174" t="e">
        <f>#REF!</f>
        <v>#REF!</v>
      </c>
      <c r="E373" s="35">
        <v>13</v>
      </c>
      <c r="F373" s="38" t="e">
        <f>#REF!</f>
        <v>#REF!</v>
      </c>
      <c r="G373" s="38" t="e">
        <f t="shared" si="14"/>
        <v>#REF!</v>
      </c>
      <c r="H373" s="38"/>
    </row>
    <row r="374" spans="1:8" s="42" customFormat="1" ht="18.75" x14ac:dyDescent="0.3">
      <c r="A374" s="35"/>
      <c r="B374" s="35" t="e">
        <f>#REF!</f>
        <v>#REF!</v>
      </c>
      <c r="C374" s="35" t="e">
        <f>#REF!</f>
        <v>#REF!</v>
      </c>
      <c r="D374" s="174" t="e">
        <f>#REF!</f>
        <v>#REF!</v>
      </c>
      <c r="E374" s="35">
        <v>53</v>
      </c>
      <c r="F374" s="38" t="e">
        <f>#REF!</f>
        <v>#REF!</v>
      </c>
      <c r="G374" s="38" t="e">
        <f t="shared" si="14"/>
        <v>#REF!</v>
      </c>
      <c r="H374" s="38"/>
    </row>
    <row r="375" spans="1:8" s="42" customFormat="1" ht="18.75" x14ac:dyDescent="0.3">
      <c r="A375" s="35"/>
      <c r="B375" s="35" t="e">
        <f>#REF!</f>
        <v>#REF!</v>
      </c>
      <c r="C375" s="35" t="e">
        <f>#REF!</f>
        <v>#REF!</v>
      </c>
      <c r="D375" s="174" t="e">
        <f>#REF!</f>
        <v>#REF!</v>
      </c>
      <c r="E375" s="35">
        <v>20</v>
      </c>
      <c r="F375" s="38" t="e">
        <f>#REF!</f>
        <v>#REF!</v>
      </c>
      <c r="G375" s="38" t="e">
        <f t="shared" si="14"/>
        <v>#REF!</v>
      </c>
      <c r="H375" s="38"/>
    </row>
    <row r="376" spans="1:8" s="42" customFormat="1" ht="18.75" x14ac:dyDescent="0.3">
      <c r="A376" s="35"/>
      <c r="B376" s="35" t="e">
        <f>#REF!</f>
        <v>#REF!</v>
      </c>
      <c r="C376" s="35" t="e">
        <f>#REF!</f>
        <v>#REF!</v>
      </c>
      <c r="D376" s="174" t="e">
        <f>#REF!</f>
        <v>#REF!</v>
      </c>
      <c r="E376" s="35">
        <v>100</v>
      </c>
      <c r="F376" s="38" t="e">
        <f>#REF!</f>
        <v>#REF!</v>
      </c>
      <c r="G376" s="38" t="e">
        <f t="shared" si="14"/>
        <v>#REF!</v>
      </c>
      <c r="H376" s="38"/>
    </row>
    <row r="377" spans="1:8" s="42" customFormat="1" ht="18.75" x14ac:dyDescent="0.3">
      <c r="A377" s="35"/>
      <c r="B377" s="35" t="e">
        <f>#REF!</f>
        <v>#REF!</v>
      </c>
      <c r="C377" s="35" t="e">
        <f>#REF!</f>
        <v>#REF!</v>
      </c>
      <c r="D377" s="174" t="e">
        <f>#REF!</f>
        <v>#REF!</v>
      </c>
      <c r="E377" s="35">
        <v>125</v>
      </c>
      <c r="F377" s="38" t="e">
        <f>#REF!</f>
        <v>#REF!</v>
      </c>
      <c r="G377" s="38" t="e">
        <f t="shared" si="14"/>
        <v>#REF!</v>
      </c>
      <c r="H377" s="38"/>
    </row>
    <row r="378" spans="1:8" s="42" customFormat="1" ht="23.25" x14ac:dyDescent="0.35">
      <c r="A378" s="35"/>
      <c r="B378" s="35" t="e">
        <f>#REF!</f>
        <v>#REF!</v>
      </c>
      <c r="C378" s="35" t="e">
        <f>#REF!</f>
        <v>#REF!</v>
      </c>
      <c r="D378" s="174" t="e">
        <f>#REF!</f>
        <v>#REF!</v>
      </c>
      <c r="E378" s="35">
        <v>225</v>
      </c>
      <c r="F378" s="38" t="e">
        <f>#REF!</f>
        <v>#REF!</v>
      </c>
      <c r="G378" s="38" t="e">
        <f t="shared" si="14"/>
        <v>#REF!</v>
      </c>
      <c r="H378" s="186" t="e">
        <f>SUM(G370:G378)</f>
        <v>#REF!</v>
      </c>
    </row>
    <row r="379" spans="1:8" s="42" customFormat="1" ht="18.75" x14ac:dyDescent="0.3">
      <c r="A379" s="35"/>
      <c r="B379" s="35"/>
      <c r="C379" s="35"/>
      <c r="D379" s="174"/>
      <c r="E379" s="35"/>
      <c r="F379" s="38"/>
      <c r="G379" s="38"/>
      <c r="H379" s="35"/>
    </row>
    <row r="380" spans="1:8" s="42" customFormat="1" ht="23.25" x14ac:dyDescent="0.35">
      <c r="A380" s="35">
        <v>26</v>
      </c>
      <c r="B380" s="35"/>
      <c r="C380" s="77" t="s">
        <v>894</v>
      </c>
      <c r="D380" s="174"/>
      <c r="E380" s="35"/>
      <c r="F380" s="38"/>
      <c r="G380" s="38"/>
      <c r="H380" s="38"/>
    </row>
    <row r="381" spans="1:8" s="42" customFormat="1" ht="18.75" x14ac:dyDescent="0.3">
      <c r="A381" s="35"/>
      <c r="B381" s="35" t="e">
        <f>#REF!</f>
        <v>#REF!</v>
      </c>
      <c r="C381" s="35" t="e">
        <f>#REF!</f>
        <v>#REF!</v>
      </c>
      <c r="D381" s="174" t="e">
        <f>#REF!</f>
        <v>#REF!</v>
      </c>
      <c r="E381" s="35">
        <v>300</v>
      </c>
      <c r="F381" s="38" t="e">
        <f>#REF!</f>
        <v>#REF!</v>
      </c>
      <c r="G381" s="38" t="e">
        <f>E381*F381</f>
        <v>#REF!</v>
      </c>
      <c r="H381" s="38"/>
    </row>
    <row r="382" spans="1:8" s="42" customFormat="1" ht="18.75" x14ac:dyDescent="0.3">
      <c r="A382" s="35"/>
      <c r="B382" s="35" t="e">
        <f>#REF!</f>
        <v>#REF!</v>
      </c>
      <c r="C382" s="35" t="e">
        <f>#REF!</f>
        <v>#REF!</v>
      </c>
      <c r="D382" s="174" t="e">
        <f>#REF!</f>
        <v>#REF!</v>
      </c>
      <c r="E382" s="35">
        <v>18</v>
      </c>
      <c r="F382" s="38" t="e">
        <f>#REF!</f>
        <v>#REF!</v>
      </c>
      <c r="G382" s="38" t="e">
        <f>E382*F382</f>
        <v>#REF!</v>
      </c>
      <c r="H382" s="38"/>
    </row>
    <row r="383" spans="1:8" s="42" customFormat="1" ht="18.75" x14ac:dyDescent="0.3">
      <c r="A383" s="35"/>
      <c r="B383" s="35" t="e">
        <f>#REF!</f>
        <v>#REF!</v>
      </c>
      <c r="C383" s="35" t="e">
        <f>#REF!</f>
        <v>#REF!</v>
      </c>
      <c r="D383" s="174" t="e">
        <f>#REF!</f>
        <v>#REF!</v>
      </c>
      <c r="E383" s="35">
        <v>25</v>
      </c>
      <c r="F383" s="38" t="e">
        <f>#REF!</f>
        <v>#REF!</v>
      </c>
      <c r="G383" s="38" t="e">
        <f>E383*F383</f>
        <v>#REF!</v>
      </c>
      <c r="H383" s="38"/>
    </row>
    <row r="384" spans="1:8" s="42" customFormat="1" ht="23.25" x14ac:dyDescent="0.35">
      <c r="A384" s="35"/>
      <c r="B384" s="35" t="e">
        <f>#REF!</f>
        <v>#REF!</v>
      </c>
      <c r="C384" s="35" t="e">
        <f>#REF!</f>
        <v>#REF!</v>
      </c>
      <c r="D384" s="174" t="e">
        <f>#REF!</f>
        <v>#REF!</v>
      </c>
      <c r="E384" s="35">
        <v>50</v>
      </c>
      <c r="F384" s="38" t="e">
        <f>#REF!</f>
        <v>#REF!</v>
      </c>
      <c r="G384" s="38" t="e">
        <f>E384*F384</f>
        <v>#REF!</v>
      </c>
      <c r="H384" s="186" t="e">
        <f>SUM(G381:G384)</f>
        <v>#REF!</v>
      </c>
    </row>
    <row r="385" spans="1:8" s="42" customFormat="1" ht="18.75" x14ac:dyDescent="0.3">
      <c r="A385" s="35"/>
      <c r="B385" s="35"/>
      <c r="C385" s="35"/>
      <c r="D385" s="174"/>
      <c r="E385" s="35"/>
      <c r="F385" s="38"/>
      <c r="G385" s="38"/>
      <c r="H385" s="35"/>
    </row>
    <row r="386" spans="1:8" s="42" customFormat="1" ht="18.75" x14ac:dyDescent="0.3">
      <c r="A386" s="35"/>
      <c r="B386" s="35"/>
      <c r="C386" s="35"/>
      <c r="D386" s="174"/>
      <c r="E386" s="35"/>
      <c r="F386" s="38"/>
      <c r="G386" s="38"/>
      <c r="H386" s="35"/>
    </row>
    <row r="387" spans="1:8" s="42" customFormat="1" ht="23.25" x14ac:dyDescent="0.35">
      <c r="A387" s="35">
        <v>27</v>
      </c>
      <c r="B387" s="77"/>
      <c r="C387" s="77" t="s">
        <v>830</v>
      </c>
      <c r="D387" s="184"/>
      <c r="E387" s="77"/>
      <c r="F387" s="79"/>
      <c r="G387" s="79"/>
      <c r="H387" s="79"/>
    </row>
    <row r="388" spans="1:8" s="42" customFormat="1" ht="18.75" x14ac:dyDescent="0.3">
      <c r="A388" s="35"/>
      <c r="B388" s="35" t="e">
        <f>#REF!</f>
        <v>#REF!</v>
      </c>
      <c r="C388" s="35" t="e">
        <f>#REF!</f>
        <v>#REF!</v>
      </c>
      <c r="D388" s="174" t="e">
        <f>#REF!</f>
        <v>#REF!</v>
      </c>
      <c r="E388" s="35">
        <v>25</v>
      </c>
      <c r="F388" s="38" t="e">
        <f>#REF!</f>
        <v>#REF!</v>
      </c>
      <c r="G388" s="38" t="e">
        <f>E388*F388</f>
        <v>#REF!</v>
      </c>
      <c r="H388" s="38"/>
    </row>
    <row r="389" spans="1:8" s="42" customFormat="1" ht="23.25" x14ac:dyDescent="0.35">
      <c r="A389" s="35"/>
      <c r="B389" s="35" t="e">
        <f>#REF!</f>
        <v>#REF!</v>
      </c>
      <c r="C389" s="35" t="e">
        <f>#REF!</f>
        <v>#REF!</v>
      </c>
      <c r="D389" s="174" t="e">
        <f>#REF!</f>
        <v>#REF!</v>
      </c>
      <c r="E389" s="35">
        <v>19</v>
      </c>
      <c r="F389" s="38" t="e">
        <f>#REF!</f>
        <v>#REF!</v>
      </c>
      <c r="G389" s="38" t="e">
        <f>E389*F389</f>
        <v>#REF!</v>
      </c>
      <c r="H389" s="186" t="e">
        <f>SUM(G388:G389)</f>
        <v>#REF!</v>
      </c>
    </row>
    <row r="390" spans="1:8" s="42" customFormat="1" ht="18.75" x14ac:dyDescent="0.3">
      <c r="A390" s="35"/>
      <c r="B390" s="35"/>
      <c r="C390" s="35"/>
      <c r="D390" s="174"/>
      <c r="E390" s="35"/>
      <c r="F390" s="38"/>
      <c r="G390" s="38"/>
      <c r="H390" s="35"/>
    </row>
    <row r="391" spans="1:8" s="42" customFormat="1" ht="18.75" x14ac:dyDescent="0.3">
      <c r="A391" s="35"/>
      <c r="B391" s="35"/>
      <c r="C391" s="35"/>
      <c r="D391" s="174"/>
      <c r="E391" s="35"/>
      <c r="F391" s="38"/>
      <c r="G391" s="38"/>
      <c r="H391" s="35"/>
    </row>
    <row r="392" spans="1:8" s="42" customFormat="1" ht="23.25" x14ac:dyDescent="0.35">
      <c r="A392" s="35">
        <v>28</v>
      </c>
      <c r="B392" s="77"/>
      <c r="C392" s="77" t="s">
        <v>833</v>
      </c>
      <c r="D392" s="184"/>
      <c r="E392" s="77"/>
      <c r="F392" s="79"/>
      <c r="G392" s="79"/>
      <c r="H392" s="79"/>
    </row>
    <row r="393" spans="1:8" s="42" customFormat="1" ht="23.25" x14ac:dyDescent="0.35">
      <c r="A393" s="35"/>
      <c r="B393" s="35" t="e">
        <f>#REF!</f>
        <v>#REF!</v>
      </c>
      <c r="C393" s="35" t="e">
        <f>#REF!</f>
        <v>#REF!</v>
      </c>
      <c r="D393" s="174" t="e">
        <f>#REF!</f>
        <v>#REF!</v>
      </c>
      <c r="E393" s="35">
        <v>195</v>
      </c>
      <c r="F393" s="38" t="e">
        <f>#REF!</f>
        <v>#REF!</v>
      </c>
      <c r="G393" s="38" t="e">
        <f>E393*F393</f>
        <v>#REF!</v>
      </c>
      <c r="H393" s="79"/>
    </row>
    <row r="394" spans="1:8" s="42" customFormat="1" ht="18.75" x14ac:dyDescent="0.3">
      <c r="A394" s="35"/>
      <c r="B394" s="35" t="e">
        <f>#REF!</f>
        <v>#REF!</v>
      </c>
      <c r="C394" s="35" t="e">
        <f>#REF!</f>
        <v>#REF!</v>
      </c>
      <c r="D394" s="174" t="e">
        <f>#REF!</f>
        <v>#REF!</v>
      </c>
      <c r="E394" s="35">
        <v>46</v>
      </c>
      <c r="F394" s="38" t="e">
        <f>#REF!</f>
        <v>#REF!</v>
      </c>
      <c r="G394" s="38" t="e">
        <f>E394*F394</f>
        <v>#REF!</v>
      </c>
      <c r="H394" s="38"/>
    </row>
    <row r="395" spans="1:8" s="42" customFormat="1" ht="23.25" x14ac:dyDescent="0.35">
      <c r="A395" s="35"/>
      <c r="B395" s="35" t="e">
        <f>#REF!</f>
        <v>#REF!</v>
      </c>
      <c r="C395" s="35" t="e">
        <f>#REF!</f>
        <v>#REF!</v>
      </c>
      <c r="D395" s="174" t="e">
        <f>#REF!</f>
        <v>#REF!</v>
      </c>
      <c r="E395" s="35">
        <v>100</v>
      </c>
      <c r="F395" s="38" t="e">
        <f>#REF!</f>
        <v>#REF!</v>
      </c>
      <c r="G395" s="38" t="e">
        <f>E395*F395</f>
        <v>#REF!</v>
      </c>
      <c r="H395" s="186" t="e">
        <f>SUM(G393:G395)</f>
        <v>#REF!</v>
      </c>
    </row>
    <row r="396" spans="1:8" s="42" customFormat="1" ht="18.75" x14ac:dyDescent="0.3">
      <c r="A396" s="35"/>
      <c r="B396" s="35"/>
      <c r="C396" s="35"/>
      <c r="D396" s="174"/>
      <c r="E396" s="35"/>
      <c r="F396" s="38"/>
      <c r="G396" s="38"/>
      <c r="H396" s="35"/>
    </row>
    <row r="397" spans="1:8" s="42" customFormat="1" ht="18.75" x14ac:dyDescent="0.3">
      <c r="A397" s="35"/>
      <c r="B397" s="35"/>
      <c r="C397" s="35"/>
      <c r="D397" s="174"/>
      <c r="E397" s="35"/>
      <c r="F397" s="38"/>
      <c r="G397" s="38"/>
      <c r="H397" s="35"/>
    </row>
    <row r="398" spans="1:8" s="42" customFormat="1" ht="23.25" x14ac:dyDescent="0.35">
      <c r="A398" s="35">
        <v>29</v>
      </c>
      <c r="B398" s="35"/>
      <c r="C398" s="77" t="s">
        <v>881</v>
      </c>
      <c r="D398" s="174"/>
      <c r="E398" s="35"/>
      <c r="F398" s="38"/>
      <c r="G398" s="38"/>
      <c r="H398" s="79"/>
    </row>
    <row r="399" spans="1:8" s="42" customFormat="1" ht="23.25" x14ac:dyDescent="0.35">
      <c r="A399" s="35"/>
      <c r="B399" s="35" t="e">
        <f>#REF!</f>
        <v>#REF!</v>
      </c>
      <c r="C399" s="35" t="e">
        <f>#REF!</f>
        <v>#REF!</v>
      </c>
      <c r="D399" s="174" t="e">
        <f>#REF!</f>
        <v>#REF!</v>
      </c>
      <c r="E399" s="35">
        <v>5</v>
      </c>
      <c r="F399" s="38" t="e">
        <f>#REF!</f>
        <v>#REF!</v>
      </c>
      <c r="G399" s="38" t="e">
        <f>E399*F399</f>
        <v>#REF!</v>
      </c>
      <c r="H399" s="79"/>
    </row>
    <row r="400" spans="1:8" s="42" customFormat="1" ht="23.25" x14ac:dyDescent="0.35">
      <c r="A400" s="35"/>
      <c r="B400" s="35" t="e">
        <f>#REF!</f>
        <v>#REF!</v>
      </c>
      <c r="C400" s="35" t="e">
        <f>#REF!</f>
        <v>#REF!</v>
      </c>
      <c r="D400" s="174" t="e">
        <f>#REF!</f>
        <v>#REF!</v>
      </c>
      <c r="E400" s="35">
        <v>30</v>
      </c>
      <c r="F400" s="38" t="e">
        <f>#REF!</f>
        <v>#REF!</v>
      </c>
      <c r="G400" s="38" t="e">
        <f t="shared" ref="G400:G406" si="15">E400*F400</f>
        <v>#REF!</v>
      </c>
      <c r="H400" s="79"/>
    </row>
    <row r="401" spans="1:8" s="42" customFormat="1" ht="23.25" x14ac:dyDescent="0.35">
      <c r="A401" s="35"/>
      <c r="B401" s="35" t="e">
        <f>#REF!</f>
        <v>#REF!</v>
      </c>
      <c r="C401" s="35" t="e">
        <f>#REF!</f>
        <v>#REF!</v>
      </c>
      <c r="D401" s="174" t="e">
        <f>#REF!</f>
        <v>#REF!</v>
      </c>
      <c r="E401" s="35">
        <v>13</v>
      </c>
      <c r="F401" s="38" t="e">
        <f>#REF!</f>
        <v>#REF!</v>
      </c>
      <c r="G401" s="38" t="e">
        <f t="shared" si="15"/>
        <v>#REF!</v>
      </c>
      <c r="H401" s="79"/>
    </row>
    <row r="402" spans="1:8" s="42" customFormat="1" ht="23.25" x14ac:dyDescent="0.35">
      <c r="A402" s="35"/>
      <c r="B402" s="35" t="e">
        <f>#REF!</f>
        <v>#REF!</v>
      </c>
      <c r="C402" s="35" t="e">
        <f>#REF!</f>
        <v>#REF!</v>
      </c>
      <c r="D402" s="174" t="e">
        <f>#REF!</f>
        <v>#REF!</v>
      </c>
      <c r="E402" s="35">
        <v>300</v>
      </c>
      <c r="F402" s="38" t="e">
        <f>#REF!</f>
        <v>#REF!</v>
      </c>
      <c r="G402" s="38" t="e">
        <f t="shared" si="15"/>
        <v>#REF!</v>
      </c>
      <c r="H402" s="79"/>
    </row>
    <row r="403" spans="1:8" s="42" customFormat="1" ht="23.25" x14ac:dyDescent="0.35">
      <c r="A403" s="35"/>
      <c r="B403" s="35" t="e">
        <f>#REF!</f>
        <v>#REF!</v>
      </c>
      <c r="C403" s="35" t="e">
        <f>#REF!</f>
        <v>#REF!</v>
      </c>
      <c r="D403" s="174" t="e">
        <f>#REF!</f>
        <v>#REF!</v>
      </c>
      <c r="E403" s="35">
        <v>600</v>
      </c>
      <c r="F403" s="38" t="e">
        <f>#REF!</f>
        <v>#REF!</v>
      </c>
      <c r="G403" s="38" t="e">
        <f t="shared" si="15"/>
        <v>#REF!</v>
      </c>
      <c r="H403" s="79"/>
    </row>
    <row r="404" spans="1:8" s="42" customFormat="1" ht="23.25" x14ac:dyDescent="0.35">
      <c r="A404" s="35"/>
      <c r="B404" s="35" t="e">
        <f>#REF!</f>
        <v>#REF!</v>
      </c>
      <c r="C404" s="35" t="e">
        <f>#REF!</f>
        <v>#REF!</v>
      </c>
      <c r="D404" s="174" t="e">
        <f>#REF!</f>
        <v>#REF!</v>
      </c>
      <c r="E404" s="35">
        <v>288</v>
      </c>
      <c r="F404" s="38" t="e">
        <f>#REF!</f>
        <v>#REF!</v>
      </c>
      <c r="G404" s="38" t="e">
        <f t="shared" si="15"/>
        <v>#REF!</v>
      </c>
      <c r="H404" s="79"/>
    </row>
    <row r="405" spans="1:8" s="42" customFormat="1" ht="18.75" x14ac:dyDescent="0.3">
      <c r="A405" s="35"/>
      <c r="B405" s="35" t="e">
        <f>#REF!</f>
        <v>#REF!</v>
      </c>
      <c r="C405" s="35" t="e">
        <f>#REF!</f>
        <v>#REF!</v>
      </c>
      <c r="D405" s="174" t="e">
        <f>#REF!</f>
        <v>#REF!</v>
      </c>
      <c r="E405" s="35">
        <v>213</v>
      </c>
      <c r="F405" s="38" t="e">
        <f>#REF!</f>
        <v>#REF!</v>
      </c>
      <c r="G405" s="38" t="e">
        <f t="shared" si="15"/>
        <v>#REF!</v>
      </c>
    </row>
    <row r="406" spans="1:8" s="42" customFormat="1" ht="23.25" x14ac:dyDescent="0.35">
      <c r="A406" s="35"/>
      <c r="B406" s="35" t="e">
        <f>#REF!</f>
        <v>#REF!</v>
      </c>
      <c r="C406" s="35" t="e">
        <f>#REF!</f>
        <v>#REF!</v>
      </c>
      <c r="D406" s="174" t="e">
        <f>#REF!</f>
        <v>#REF!</v>
      </c>
      <c r="E406" s="35">
        <v>137</v>
      </c>
      <c r="F406" s="38" t="e">
        <f>#REF!</f>
        <v>#REF!</v>
      </c>
      <c r="G406" s="38" t="e">
        <f t="shared" si="15"/>
        <v>#REF!</v>
      </c>
      <c r="H406" s="186" t="e">
        <f>SUM(G399:G406)</f>
        <v>#REF!</v>
      </c>
    </row>
    <row r="407" spans="1:8" s="42" customFormat="1" ht="23.25" x14ac:dyDescent="0.35">
      <c r="A407" s="35"/>
      <c r="B407" s="35"/>
      <c r="C407" s="35"/>
      <c r="D407" s="174"/>
      <c r="E407" s="35"/>
      <c r="F407" s="38"/>
      <c r="G407" s="38"/>
      <c r="H407" s="79"/>
    </row>
    <row r="408" spans="1:8" s="42" customFormat="1" ht="23.25" x14ac:dyDescent="0.35">
      <c r="A408" s="35"/>
      <c r="B408" s="35"/>
      <c r="C408" s="35"/>
      <c r="D408" s="174"/>
      <c r="E408" s="35"/>
      <c r="F408" s="38"/>
      <c r="G408" s="38"/>
      <c r="H408" s="79"/>
    </row>
    <row r="409" spans="1:8" s="42" customFormat="1" ht="23.25" x14ac:dyDescent="0.35">
      <c r="A409" s="35">
        <v>30</v>
      </c>
      <c r="B409" s="35"/>
      <c r="C409" s="77" t="s">
        <v>895</v>
      </c>
      <c r="D409" s="174"/>
      <c r="E409" s="35"/>
      <c r="F409" s="38"/>
      <c r="G409" s="38"/>
      <c r="H409" s="79"/>
    </row>
    <row r="410" spans="1:8" s="42" customFormat="1" ht="23.25" x14ac:dyDescent="0.35">
      <c r="A410" s="35"/>
      <c r="B410" s="35" t="e">
        <f>#REF!</f>
        <v>#REF!</v>
      </c>
      <c r="C410" s="35" t="e">
        <f>#REF!</f>
        <v>#REF!</v>
      </c>
      <c r="D410" s="174" t="e">
        <f>#REF!</f>
        <v>#REF!</v>
      </c>
      <c r="E410" s="35">
        <v>1280</v>
      </c>
      <c r="F410" s="38" t="e">
        <f>#REF!</f>
        <v>#REF!</v>
      </c>
      <c r="G410" s="38" t="e">
        <f>E410*F410</f>
        <v>#REF!</v>
      </c>
      <c r="H410" s="79"/>
    </row>
    <row r="411" spans="1:8" s="42" customFormat="1" ht="23.25" x14ac:dyDescent="0.35">
      <c r="A411" s="35"/>
      <c r="B411" s="35" t="e">
        <f>#REF!</f>
        <v>#REF!</v>
      </c>
      <c r="C411" s="35" t="e">
        <f>#REF!</f>
        <v>#REF!</v>
      </c>
      <c r="D411" s="174" t="e">
        <f>#REF!</f>
        <v>#REF!</v>
      </c>
      <c r="E411" s="35">
        <v>111</v>
      </c>
      <c r="F411" s="38" t="e">
        <f>#REF!</f>
        <v>#REF!</v>
      </c>
      <c r="G411" s="38" t="e">
        <f>E411*F411</f>
        <v>#REF!</v>
      </c>
      <c r="H411" s="79"/>
    </row>
    <row r="412" spans="1:8" s="42" customFormat="1" ht="23.25" x14ac:dyDescent="0.35">
      <c r="A412" s="35"/>
      <c r="B412" s="35" t="e">
        <f>#REF!</f>
        <v>#REF!</v>
      </c>
      <c r="C412" s="35" t="e">
        <f>#REF!</f>
        <v>#REF!</v>
      </c>
      <c r="D412" s="174" t="e">
        <f>#REF!</f>
        <v>#REF!</v>
      </c>
      <c r="E412" s="35">
        <v>15</v>
      </c>
      <c r="F412" s="38" t="e">
        <f>#REF!</f>
        <v>#REF!</v>
      </c>
      <c r="G412" s="38" t="e">
        <f>E412*F412</f>
        <v>#REF!</v>
      </c>
      <c r="H412" s="186" t="e">
        <f>SUM(G410:G412)</f>
        <v>#REF!</v>
      </c>
    </row>
    <row r="413" spans="1:8" s="42" customFormat="1" ht="23.25" x14ac:dyDescent="0.35">
      <c r="A413" s="35"/>
      <c r="B413" s="35"/>
      <c r="C413" s="35"/>
      <c r="D413" s="174"/>
      <c r="E413" s="35"/>
      <c r="F413" s="38"/>
      <c r="G413" s="38"/>
      <c r="H413" s="79"/>
    </row>
    <row r="414" spans="1:8" s="42" customFormat="1" ht="23.25" x14ac:dyDescent="0.35">
      <c r="A414" s="35">
        <v>31</v>
      </c>
      <c r="B414" s="35"/>
      <c r="C414" s="77" t="s">
        <v>896</v>
      </c>
      <c r="D414" s="174"/>
      <c r="E414" s="35"/>
      <c r="F414" s="38"/>
      <c r="G414" s="38"/>
      <c r="H414" s="79"/>
    </row>
    <row r="415" spans="1:8" s="42" customFormat="1" ht="23.25" x14ac:dyDescent="0.35">
      <c r="A415" s="35"/>
      <c r="B415" s="35" t="e">
        <f>#REF!</f>
        <v>#REF!</v>
      </c>
      <c r="C415" s="35" t="e">
        <f>#REF!</f>
        <v>#REF!</v>
      </c>
      <c r="D415" s="174" t="e">
        <f>#REF!</f>
        <v>#REF!</v>
      </c>
      <c r="E415" s="35">
        <v>50</v>
      </c>
      <c r="F415" s="38" t="e">
        <f>#REF!</f>
        <v>#REF!</v>
      </c>
      <c r="G415" s="38" t="e">
        <f>E415*F415</f>
        <v>#REF!</v>
      </c>
      <c r="H415" s="79"/>
    </row>
    <row r="416" spans="1:8" s="42" customFormat="1" ht="23.25" x14ac:dyDescent="0.35">
      <c r="A416" s="35"/>
      <c r="B416" s="35" t="e">
        <f>#REF!</f>
        <v>#REF!</v>
      </c>
      <c r="C416" s="35" t="e">
        <f>#REF!</f>
        <v>#REF!</v>
      </c>
      <c r="D416" s="174" t="e">
        <f>#REF!</f>
        <v>#REF!</v>
      </c>
      <c r="E416" s="35">
        <v>140</v>
      </c>
      <c r="F416" s="38" t="e">
        <f>#REF!</f>
        <v>#REF!</v>
      </c>
      <c r="G416" s="38" t="e">
        <f>E416*F416</f>
        <v>#REF!</v>
      </c>
      <c r="H416" s="186"/>
    </row>
    <row r="417" spans="1:8" s="42" customFormat="1" ht="23.25" x14ac:dyDescent="0.35">
      <c r="A417" s="35"/>
      <c r="B417" s="35" t="e">
        <f>#REF!</f>
        <v>#REF!</v>
      </c>
      <c r="C417" s="35" t="e">
        <f>#REF!</f>
        <v>#REF!</v>
      </c>
      <c r="D417" s="174" t="e">
        <f>#REF!</f>
        <v>#REF!</v>
      </c>
      <c r="E417" s="35">
        <v>13</v>
      </c>
      <c r="F417" s="38" t="e">
        <f>#REF!</f>
        <v>#REF!</v>
      </c>
      <c r="G417" s="38" t="e">
        <f>E417*F417</f>
        <v>#REF!</v>
      </c>
      <c r="H417" s="186" t="e">
        <f>SUM(G415:G417)</f>
        <v>#REF!</v>
      </c>
    </row>
    <row r="418" spans="1:8" s="42" customFormat="1" ht="23.25" x14ac:dyDescent="0.35">
      <c r="A418" s="35"/>
      <c r="B418" s="35"/>
      <c r="C418" s="35"/>
      <c r="D418" s="174"/>
      <c r="E418" s="35"/>
      <c r="F418" s="38"/>
      <c r="G418" s="38"/>
      <c r="H418" s="79"/>
    </row>
    <row r="419" spans="1:8" s="42" customFormat="1" ht="23.25" x14ac:dyDescent="0.35">
      <c r="A419" s="35"/>
      <c r="B419" s="35"/>
      <c r="C419" s="35"/>
      <c r="D419" s="174"/>
      <c r="E419" s="35"/>
      <c r="F419" s="38"/>
      <c r="G419" s="38"/>
      <c r="H419" s="79"/>
    </row>
    <row r="420" spans="1:8" s="42" customFormat="1" ht="23.25" x14ac:dyDescent="0.35">
      <c r="A420" s="35">
        <v>32</v>
      </c>
      <c r="B420" s="35"/>
      <c r="C420" s="77" t="s">
        <v>897</v>
      </c>
      <c r="D420" s="174"/>
      <c r="E420" s="35"/>
      <c r="F420" s="38"/>
      <c r="G420" s="38"/>
      <c r="H420" s="79"/>
    </row>
    <row r="421" spans="1:8" s="42" customFormat="1" ht="23.25" x14ac:dyDescent="0.35">
      <c r="A421" s="35"/>
      <c r="B421" s="35" t="e">
        <f>#REF!</f>
        <v>#REF!</v>
      </c>
      <c r="C421" s="35" t="e">
        <f>#REF!</f>
        <v>#REF!</v>
      </c>
      <c r="D421" s="174" t="e">
        <f>#REF!</f>
        <v>#REF!</v>
      </c>
      <c r="E421" s="35">
        <v>1125</v>
      </c>
      <c r="F421" s="38" t="e">
        <f>#REF!</f>
        <v>#REF!</v>
      </c>
      <c r="G421" s="38" t="e">
        <f t="shared" ref="G421:G427" si="16">E421*F421</f>
        <v>#REF!</v>
      </c>
      <c r="H421" s="79"/>
    </row>
    <row r="422" spans="1:8" s="42" customFormat="1" ht="23.25" x14ac:dyDescent="0.35">
      <c r="A422" s="35"/>
      <c r="B422" s="35" t="e">
        <f>#REF!</f>
        <v>#REF!</v>
      </c>
      <c r="C422" s="35" t="e">
        <f>#REF!</f>
        <v>#REF!</v>
      </c>
      <c r="D422" s="174" t="e">
        <f>#REF!</f>
        <v>#REF!</v>
      </c>
      <c r="E422" s="35">
        <v>18</v>
      </c>
      <c r="F422" s="38" t="e">
        <f>#REF!</f>
        <v>#REF!</v>
      </c>
      <c r="G422" s="38" t="e">
        <f t="shared" si="16"/>
        <v>#REF!</v>
      </c>
      <c r="H422" s="79"/>
    </row>
    <row r="423" spans="1:8" s="42" customFormat="1" ht="23.25" x14ac:dyDescent="0.35">
      <c r="A423" s="35"/>
      <c r="B423" s="35" t="e">
        <f>#REF!</f>
        <v>#REF!</v>
      </c>
      <c r="C423" s="35" t="e">
        <f>#REF!</f>
        <v>#REF!</v>
      </c>
      <c r="D423" s="174" t="e">
        <f>#REF!</f>
        <v>#REF!</v>
      </c>
      <c r="E423" s="35">
        <v>20</v>
      </c>
      <c r="F423" s="38" t="e">
        <f>#REF!</f>
        <v>#REF!</v>
      </c>
      <c r="G423" s="38" t="e">
        <f t="shared" si="16"/>
        <v>#REF!</v>
      </c>
      <c r="H423" s="79"/>
    </row>
    <row r="424" spans="1:8" s="42" customFormat="1" ht="23.25" x14ac:dyDescent="0.35">
      <c r="A424" s="35"/>
      <c r="B424" s="35" t="e">
        <f>#REF!</f>
        <v>#REF!</v>
      </c>
      <c r="C424" s="35" t="e">
        <f>#REF!</f>
        <v>#REF!</v>
      </c>
      <c r="D424" s="174" t="e">
        <f>#REF!</f>
        <v>#REF!</v>
      </c>
      <c r="E424" s="35">
        <v>43</v>
      </c>
      <c r="F424" s="38" t="e">
        <f>#REF!</f>
        <v>#REF!</v>
      </c>
      <c r="G424" s="38" t="e">
        <f t="shared" si="16"/>
        <v>#REF!</v>
      </c>
      <c r="H424" s="79"/>
    </row>
    <row r="425" spans="1:8" s="42" customFormat="1" ht="23.25" x14ac:dyDescent="0.35">
      <c r="A425" s="35"/>
      <c r="B425" s="35" t="e">
        <f>#REF!</f>
        <v>#REF!</v>
      </c>
      <c r="C425" s="35" t="e">
        <f>#REF!</f>
        <v>#REF!</v>
      </c>
      <c r="D425" s="174" t="e">
        <f>#REF!</f>
        <v>#REF!</v>
      </c>
      <c r="E425" s="35">
        <v>18</v>
      </c>
      <c r="F425" s="38" t="e">
        <f>#REF!</f>
        <v>#REF!</v>
      </c>
      <c r="G425" s="38" t="e">
        <f t="shared" si="16"/>
        <v>#REF!</v>
      </c>
      <c r="H425" s="79"/>
    </row>
    <row r="426" spans="1:8" s="42" customFormat="1" ht="23.25" x14ac:dyDescent="0.35">
      <c r="A426" s="35"/>
      <c r="B426" s="35" t="e">
        <f>#REF!</f>
        <v>#REF!</v>
      </c>
      <c r="C426" s="35" t="e">
        <f>#REF!</f>
        <v>#REF!</v>
      </c>
      <c r="D426" s="174" t="e">
        <f>#REF!</f>
        <v>#REF!</v>
      </c>
      <c r="E426" s="35">
        <v>128</v>
      </c>
      <c r="F426" s="38" t="e">
        <f>#REF!</f>
        <v>#REF!</v>
      </c>
      <c r="G426" s="38" t="e">
        <f t="shared" si="16"/>
        <v>#REF!</v>
      </c>
      <c r="H426" s="79"/>
    </row>
    <row r="427" spans="1:8" s="42" customFormat="1" ht="23.25" x14ac:dyDescent="0.35">
      <c r="A427" s="35"/>
      <c r="B427" s="35" t="e">
        <f>#REF!</f>
        <v>#REF!</v>
      </c>
      <c r="C427" s="35" t="e">
        <f>#REF!</f>
        <v>#REF!</v>
      </c>
      <c r="D427" s="174" t="e">
        <f>#REF!</f>
        <v>#REF!</v>
      </c>
      <c r="E427" s="35">
        <v>5</v>
      </c>
      <c r="F427" s="38" t="e">
        <f>#REF!</f>
        <v>#REF!</v>
      </c>
      <c r="G427" s="38" t="e">
        <f t="shared" si="16"/>
        <v>#REF!</v>
      </c>
      <c r="H427" s="186" t="e">
        <f>SUM(G421:G427)</f>
        <v>#REF!</v>
      </c>
    </row>
    <row r="428" spans="1:8" s="42" customFormat="1" ht="18.75" x14ac:dyDescent="0.3">
      <c r="A428" s="35"/>
      <c r="B428" s="35"/>
      <c r="C428" s="35"/>
      <c r="D428" s="174"/>
      <c r="E428" s="35"/>
      <c r="F428" s="38"/>
      <c r="G428" s="38"/>
      <c r="H428" s="35"/>
    </row>
    <row r="429" spans="1:8" ht="18.75" x14ac:dyDescent="0.3">
      <c r="A429" s="35"/>
      <c r="B429" s="35"/>
      <c r="C429" s="35"/>
      <c r="D429" s="174"/>
      <c r="E429" s="35"/>
      <c r="F429" s="38"/>
      <c r="G429" s="38"/>
      <c r="H429" s="35"/>
    </row>
    <row r="430" spans="1:8" ht="23.25" x14ac:dyDescent="0.35">
      <c r="A430" s="35">
        <v>33</v>
      </c>
      <c r="B430" s="35"/>
      <c r="C430" s="77" t="s">
        <v>899</v>
      </c>
      <c r="D430" s="180"/>
      <c r="E430" s="35"/>
      <c r="F430" s="38"/>
      <c r="G430" s="191"/>
      <c r="H430" s="76"/>
    </row>
    <row r="431" spans="1:8" x14ac:dyDescent="0.35">
      <c r="A431" s="35"/>
      <c r="B431" s="35" t="e">
        <f>#REF!</f>
        <v>#REF!</v>
      </c>
      <c r="C431" s="35" t="e">
        <f>#REF!</f>
        <v>#REF!</v>
      </c>
      <c r="D431" s="174" t="e">
        <f>#REF!</f>
        <v>#REF!</v>
      </c>
      <c r="E431" s="35">
        <v>4</v>
      </c>
      <c r="F431" s="38" t="e">
        <f>#REF!</f>
        <v>#REF!</v>
      </c>
      <c r="G431" s="38" t="e">
        <f>E431*F431</f>
        <v>#REF!</v>
      </c>
      <c r="H431" s="76"/>
    </row>
    <row r="432" spans="1:8" x14ac:dyDescent="0.35">
      <c r="A432" s="35"/>
      <c r="B432" s="35" t="e">
        <f>#REF!</f>
        <v>#REF!</v>
      </c>
      <c r="C432" s="35" t="e">
        <f>#REF!</f>
        <v>#REF!</v>
      </c>
      <c r="D432" s="174" t="e">
        <f>#REF!</f>
        <v>#REF!</v>
      </c>
      <c r="E432" s="35">
        <v>1</v>
      </c>
      <c r="F432" s="38" t="e">
        <f>#REF!</f>
        <v>#REF!</v>
      </c>
      <c r="G432" s="38" t="e">
        <f>E432*F432</f>
        <v>#REF!</v>
      </c>
      <c r="H432" s="76"/>
    </row>
    <row r="433" spans="1:8" x14ac:dyDescent="0.35">
      <c r="A433" s="35"/>
      <c r="B433" s="35" t="e">
        <f>#REF!</f>
        <v>#REF!</v>
      </c>
      <c r="C433" s="35" t="e">
        <f>#REF!</f>
        <v>#REF!</v>
      </c>
      <c r="D433" s="174" t="e">
        <f>#REF!</f>
        <v>#REF!</v>
      </c>
      <c r="E433" s="35">
        <v>25</v>
      </c>
      <c r="F433" s="38" t="e">
        <f>#REF!</f>
        <v>#REF!</v>
      </c>
      <c r="G433" s="38" t="e">
        <f>E433*F433</f>
        <v>#REF!</v>
      </c>
      <c r="H433" s="76"/>
    </row>
    <row r="434" spans="1:8" x14ac:dyDescent="0.35">
      <c r="A434" s="35"/>
      <c r="B434" s="35" t="e">
        <f>#REF!</f>
        <v>#REF!</v>
      </c>
      <c r="C434" s="35" t="e">
        <f>#REF!</f>
        <v>#REF!</v>
      </c>
      <c r="D434" s="174" t="e">
        <f>#REF!</f>
        <v>#REF!</v>
      </c>
      <c r="E434" s="35">
        <v>3</v>
      </c>
      <c r="F434" s="38" t="e">
        <f>#REF!</f>
        <v>#REF!</v>
      </c>
      <c r="G434" s="38" t="e">
        <f>E434*F434</f>
        <v>#REF!</v>
      </c>
      <c r="H434" s="76"/>
    </row>
    <row r="435" spans="1:8" ht="23.25" x14ac:dyDescent="0.35">
      <c r="A435" s="35"/>
      <c r="B435" s="35" t="e">
        <f>#REF!</f>
        <v>#REF!</v>
      </c>
      <c r="C435" s="35" t="e">
        <f>#REF!</f>
        <v>#REF!</v>
      </c>
      <c r="D435" s="174" t="e">
        <f>#REF!</f>
        <v>#REF!</v>
      </c>
      <c r="E435" s="35">
        <v>200</v>
      </c>
      <c r="F435" s="38" t="e">
        <f>#REF!</f>
        <v>#REF!</v>
      </c>
      <c r="G435" s="38" t="e">
        <f>E435*F435</f>
        <v>#REF!</v>
      </c>
      <c r="H435" s="186" t="e">
        <f>SUM(G431:G435)</f>
        <v>#REF!</v>
      </c>
    </row>
    <row r="436" spans="1:8" ht="18.75" x14ac:dyDescent="0.3">
      <c r="A436" s="35"/>
      <c r="B436" s="35"/>
      <c r="C436" s="35"/>
      <c r="D436" s="174"/>
      <c r="E436" s="35"/>
      <c r="F436" s="38"/>
      <c r="G436" s="38"/>
      <c r="H436" s="35"/>
    </row>
    <row r="437" spans="1:8" ht="18.75" x14ac:dyDescent="0.3">
      <c r="A437" s="35"/>
      <c r="B437" s="35"/>
      <c r="C437" s="35"/>
      <c r="D437" s="174"/>
      <c r="E437" s="35"/>
      <c r="F437" s="38"/>
      <c r="G437" s="38"/>
      <c r="H437" s="35"/>
    </row>
    <row r="438" spans="1:8" ht="23.25" x14ac:dyDescent="0.35">
      <c r="A438" s="35">
        <v>34</v>
      </c>
      <c r="B438" s="35"/>
      <c r="C438" s="77" t="s">
        <v>900</v>
      </c>
      <c r="D438" s="180"/>
      <c r="E438" s="35"/>
      <c r="F438" s="38"/>
      <c r="G438" s="191"/>
      <c r="H438" s="76"/>
    </row>
    <row r="439" spans="1:8" x14ac:dyDescent="0.35">
      <c r="A439" s="35"/>
      <c r="B439" s="35" t="e">
        <f>#REF!</f>
        <v>#REF!</v>
      </c>
      <c r="C439" s="35" t="e">
        <f>#REF!</f>
        <v>#REF!</v>
      </c>
      <c r="D439" s="174" t="e">
        <f>#REF!</f>
        <v>#REF!</v>
      </c>
      <c r="E439" s="35">
        <v>1250</v>
      </c>
      <c r="F439" s="38" t="e">
        <f>#REF!</f>
        <v>#REF!</v>
      </c>
      <c r="G439" s="38" t="e">
        <f t="shared" ref="G439:G444" si="17">E439*F439</f>
        <v>#REF!</v>
      </c>
      <c r="H439" s="76"/>
    </row>
    <row r="440" spans="1:8" x14ac:dyDescent="0.35">
      <c r="A440" s="35"/>
      <c r="B440" s="35" t="e">
        <f>#REF!</f>
        <v>#REF!</v>
      </c>
      <c r="C440" s="35" t="e">
        <f>#REF!</f>
        <v>#REF!</v>
      </c>
      <c r="D440" s="174" t="e">
        <f>#REF!</f>
        <v>#REF!</v>
      </c>
      <c r="E440" s="35">
        <v>1000</v>
      </c>
      <c r="F440" s="38" t="e">
        <f>#REF!</f>
        <v>#REF!</v>
      </c>
      <c r="G440" s="38" t="e">
        <f t="shared" si="17"/>
        <v>#REF!</v>
      </c>
      <c r="H440" s="76"/>
    </row>
    <row r="441" spans="1:8" x14ac:dyDescent="0.35">
      <c r="A441" s="35"/>
      <c r="B441" s="35" t="e">
        <f>#REF!</f>
        <v>#REF!</v>
      </c>
      <c r="C441" s="35" t="e">
        <f>#REF!</f>
        <v>#REF!</v>
      </c>
      <c r="D441" s="174" t="e">
        <f>#REF!</f>
        <v>#REF!</v>
      </c>
      <c r="E441" s="35">
        <v>50</v>
      </c>
      <c r="F441" s="38" t="e">
        <f>#REF!</f>
        <v>#REF!</v>
      </c>
      <c r="G441" s="38" t="e">
        <f t="shared" si="17"/>
        <v>#REF!</v>
      </c>
      <c r="H441" s="76"/>
    </row>
    <row r="442" spans="1:8" x14ac:dyDescent="0.35">
      <c r="A442" s="35"/>
      <c r="B442" s="35" t="e">
        <f>#REF!</f>
        <v>#REF!</v>
      </c>
      <c r="C442" s="35" t="e">
        <f>#REF!</f>
        <v>#REF!</v>
      </c>
      <c r="D442" s="174" t="e">
        <f>#REF!</f>
        <v>#REF!</v>
      </c>
      <c r="E442" s="35">
        <v>50</v>
      </c>
      <c r="F442" s="38" t="e">
        <f>#REF!</f>
        <v>#REF!</v>
      </c>
      <c r="G442" s="38" t="e">
        <f t="shared" si="17"/>
        <v>#REF!</v>
      </c>
      <c r="H442" s="76"/>
    </row>
    <row r="443" spans="1:8" x14ac:dyDescent="0.35">
      <c r="A443" s="35"/>
      <c r="B443" s="35" t="e">
        <f>#REF!</f>
        <v>#REF!</v>
      </c>
      <c r="C443" s="35" t="e">
        <f>#REF!</f>
        <v>#REF!</v>
      </c>
      <c r="D443" s="174" t="e">
        <f>#REF!</f>
        <v>#REF!</v>
      </c>
      <c r="E443" s="35">
        <v>33</v>
      </c>
      <c r="F443" s="38" t="e">
        <f>#REF!</f>
        <v>#REF!</v>
      </c>
      <c r="G443" s="38" t="e">
        <f t="shared" si="17"/>
        <v>#REF!</v>
      </c>
      <c r="H443" s="76"/>
    </row>
    <row r="444" spans="1:8" ht="23.25" x14ac:dyDescent="0.35">
      <c r="A444" s="35"/>
      <c r="B444" s="35" t="e">
        <f>#REF!</f>
        <v>#REF!</v>
      </c>
      <c r="C444" s="35" t="e">
        <f>#REF!</f>
        <v>#REF!</v>
      </c>
      <c r="D444" s="174" t="e">
        <f>#REF!</f>
        <v>#REF!</v>
      </c>
      <c r="E444" s="35">
        <v>25</v>
      </c>
      <c r="F444" s="38" t="e">
        <f>#REF!</f>
        <v>#REF!</v>
      </c>
      <c r="G444" s="38" t="e">
        <f t="shared" si="17"/>
        <v>#REF!</v>
      </c>
      <c r="H444" s="186" t="e">
        <f>SUM(G439:G444)</f>
        <v>#REF!</v>
      </c>
    </row>
    <row r="445" spans="1:8" ht="18.75" x14ac:dyDescent="0.3">
      <c r="A445" s="35"/>
      <c r="B445" s="35"/>
      <c r="C445" s="35"/>
      <c r="D445" s="174"/>
      <c r="E445" s="35"/>
      <c r="F445" s="38"/>
      <c r="G445" s="38"/>
      <c r="H445" s="35"/>
    </row>
    <row r="446" spans="1:8" ht="23.25" x14ac:dyDescent="0.35">
      <c r="A446" s="35">
        <v>35</v>
      </c>
      <c r="B446" s="35"/>
      <c r="C446" s="77" t="s">
        <v>901</v>
      </c>
      <c r="D446" s="181"/>
      <c r="E446" s="189"/>
      <c r="F446" s="190"/>
      <c r="G446" s="191"/>
      <c r="H446" s="76"/>
    </row>
    <row r="447" spans="1:8" x14ac:dyDescent="0.35">
      <c r="A447" s="35"/>
      <c r="B447" s="35" t="e">
        <f>#REF!</f>
        <v>#REF!</v>
      </c>
      <c r="C447" s="35" t="e">
        <f>#REF!</f>
        <v>#REF!</v>
      </c>
      <c r="D447" s="174" t="e">
        <f>#REF!</f>
        <v>#REF!</v>
      </c>
      <c r="E447" s="35">
        <v>25</v>
      </c>
      <c r="F447" s="38" t="e">
        <f>#REF!</f>
        <v>#REF!</v>
      </c>
      <c r="G447" s="38" t="e">
        <f t="shared" ref="G447:G455" si="18">E447*F447</f>
        <v>#REF!</v>
      </c>
      <c r="H447" s="76"/>
    </row>
    <row r="448" spans="1:8" x14ac:dyDescent="0.35">
      <c r="A448" s="35"/>
      <c r="B448" s="35" t="e">
        <f>#REF!</f>
        <v>#REF!</v>
      </c>
      <c r="C448" s="35" t="e">
        <f>#REF!</f>
        <v>#REF!</v>
      </c>
      <c r="D448" s="174" t="e">
        <f>#REF!</f>
        <v>#REF!</v>
      </c>
      <c r="E448" s="35">
        <v>250</v>
      </c>
      <c r="F448" s="38" t="e">
        <f>#REF!</f>
        <v>#REF!</v>
      </c>
      <c r="G448" s="38" t="e">
        <f t="shared" si="18"/>
        <v>#REF!</v>
      </c>
      <c r="H448" s="76"/>
    </row>
    <row r="449" spans="1:8" x14ac:dyDescent="0.35">
      <c r="A449" s="35"/>
      <c r="B449" s="35" t="e">
        <f>#REF!</f>
        <v>#REF!</v>
      </c>
      <c r="C449" s="35" t="e">
        <f>#REF!</f>
        <v>#REF!</v>
      </c>
      <c r="D449" s="174" t="e">
        <f>#REF!</f>
        <v>#REF!</v>
      </c>
      <c r="E449" s="35">
        <v>3</v>
      </c>
      <c r="F449" s="38" t="e">
        <f>#REF!</f>
        <v>#REF!</v>
      </c>
      <c r="G449" s="38" t="e">
        <f t="shared" si="18"/>
        <v>#REF!</v>
      </c>
      <c r="H449" s="76"/>
    </row>
    <row r="450" spans="1:8" x14ac:dyDescent="0.35">
      <c r="A450" s="35"/>
      <c r="B450" s="35" t="e">
        <f>#REF!</f>
        <v>#REF!</v>
      </c>
      <c r="C450" s="35" t="e">
        <f>#REF!</f>
        <v>#REF!</v>
      </c>
      <c r="D450" s="174" t="e">
        <f>#REF!</f>
        <v>#REF!</v>
      </c>
      <c r="E450" s="35">
        <v>8</v>
      </c>
      <c r="F450" s="38" t="e">
        <f>#REF!</f>
        <v>#REF!</v>
      </c>
      <c r="G450" s="38" t="e">
        <f t="shared" si="18"/>
        <v>#REF!</v>
      </c>
      <c r="H450" s="76"/>
    </row>
    <row r="451" spans="1:8" x14ac:dyDescent="0.35">
      <c r="A451" s="35"/>
      <c r="B451" s="35" t="e">
        <f>#REF!</f>
        <v>#REF!</v>
      </c>
      <c r="C451" s="35" t="e">
        <f>#REF!</f>
        <v>#REF!</v>
      </c>
      <c r="D451" s="174" t="e">
        <f>#REF!</f>
        <v>#REF!</v>
      </c>
      <c r="E451" s="35">
        <v>65</v>
      </c>
      <c r="F451" s="38" t="e">
        <f>#REF!</f>
        <v>#REF!</v>
      </c>
      <c r="G451" s="38" t="e">
        <f t="shared" si="18"/>
        <v>#REF!</v>
      </c>
      <c r="H451" s="76"/>
    </row>
    <row r="452" spans="1:8" x14ac:dyDescent="0.35">
      <c r="A452" s="35"/>
      <c r="B452" s="35" t="e">
        <f>#REF!</f>
        <v>#REF!</v>
      </c>
      <c r="C452" s="35" t="e">
        <f>#REF!</f>
        <v>#REF!</v>
      </c>
      <c r="D452" s="174" t="e">
        <f>#REF!</f>
        <v>#REF!</v>
      </c>
      <c r="E452" s="35">
        <v>625</v>
      </c>
      <c r="F452" s="38" t="e">
        <f>#REF!</f>
        <v>#REF!</v>
      </c>
      <c r="G452" s="38" t="e">
        <f t="shared" si="18"/>
        <v>#REF!</v>
      </c>
      <c r="H452" s="76"/>
    </row>
    <row r="453" spans="1:8" x14ac:dyDescent="0.35">
      <c r="A453" s="35"/>
      <c r="B453" s="35" t="e">
        <f>#REF!</f>
        <v>#REF!</v>
      </c>
      <c r="C453" s="35" t="e">
        <f>#REF!</f>
        <v>#REF!</v>
      </c>
      <c r="D453" s="174" t="e">
        <f>#REF!</f>
        <v>#REF!</v>
      </c>
      <c r="E453" s="35">
        <v>10</v>
      </c>
      <c r="F453" s="38" t="e">
        <f>#REF!</f>
        <v>#REF!</v>
      </c>
      <c r="G453" s="38" t="e">
        <f t="shared" si="18"/>
        <v>#REF!</v>
      </c>
      <c r="H453" s="76"/>
    </row>
    <row r="454" spans="1:8" x14ac:dyDescent="0.35">
      <c r="A454" s="35"/>
      <c r="B454" s="35" t="e">
        <f>#REF!</f>
        <v>#REF!</v>
      </c>
      <c r="C454" s="35" t="e">
        <f>#REF!</f>
        <v>#REF!</v>
      </c>
      <c r="D454" s="174" t="e">
        <f>#REF!</f>
        <v>#REF!</v>
      </c>
      <c r="E454" s="35">
        <v>15</v>
      </c>
      <c r="F454" s="38" t="e">
        <f>#REF!</f>
        <v>#REF!</v>
      </c>
      <c r="G454" s="38" t="e">
        <f t="shared" si="18"/>
        <v>#REF!</v>
      </c>
      <c r="H454" s="76"/>
    </row>
    <row r="455" spans="1:8" ht="23.25" x14ac:dyDescent="0.35">
      <c r="A455" s="35"/>
      <c r="B455" s="35" t="e">
        <f>#REF!</f>
        <v>#REF!</v>
      </c>
      <c r="C455" s="35" t="e">
        <f>#REF!</f>
        <v>#REF!</v>
      </c>
      <c r="D455" s="174" t="e">
        <f>#REF!</f>
        <v>#REF!</v>
      </c>
      <c r="E455" s="35">
        <v>1</v>
      </c>
      <c r="F455" s="38" t="e">
        <f>#REF!</f>
        <v>#REF!</v>
      </c>
      <c r="G455" s="38" t="e">
        <f t="shared" si="18"/>
        <v>#REF!</v>
      </c>
      <c r="H455" s="186" t="e">
        <f>SUM(G447:G455)</f>
        <v>#REF!</v>
      </c>
    </row>
    <row r="456" spans="1:8" ht="18.75" x14ac:dyDescent="0.3">
      <c r="A456" s="35"/>
      <c r="B456" s="35"/>
      <c r="C456" s="35"/>
      <c r="D456" s="174"/>
      <c r="E456" s="35"/>
      <c r="F456" s="38"/>
      <c r="G456" s="38"/>
      <c r="H456" s="35"/>
    </row>
    <row r="457" spans="1:8" ht="18.75" x14ac:dyDescent="0.3">
      <c r="A457" s="35"/>
      <c r="B457" s="35"/>
      <c r="C457" s="35"/>
      <c r="D457" s="174"/>
      <c r="E457" s="35"/>
      <c r="F457" s="38"/>
      <c r="G457" s="38"/>
      <c r="H457" s="35"/>
    </row>
    <row r="458" spans="1:8" ht="23.25" x14ac:dyDescent="0.35">
      <c r="A458" s="35">
        <v>36</v>
      </c>
      <c r="B458" s="35"/>
      <c r="C458" s="77" t="s">
        <v>902</v>
      </c>
      <c r="D458" s="181"/>
      <c r="E458" s="189"/>
      <c r="F458" s="190"/>
      <c r="G458" s="191"/>
      <c r="H458" s="76"/>
    </row>
    <row r="459" spans="1:8" ht="18.75" x14ac:dyDescent="0.3">
      <c r="A459" s="35"/>
      <c r="B459" s="35" t="e">
        <f>#REF!</f>
        <v>#REF!</v>
      </c>
      <c r="C459" s="35" t="e">
        <f>#REF!</f>
        <v>#REF!</v>
      </c>
      <c r="D459" s="174" t="e">
        <f>#REF!</f>
        <v>#REF!</v>
      </c>
      <c r="E459" s="35">
        <v>27</v>
      </c>
      <c r="F459" s="38" t="e">
        <f>#REF!</f>
        <v>#REF!</v>
      </c>
      <c r="G459" s="38" t="e">
        <f t="shared" ref="G459:G464" si="19">E459*F459</f>
        <v>#REF!</v>
      </c>
      <c r="H459" s="35"/>
    </row>
    <row r="460" spans="1:8" ht="18.75" x14ac:dyDescent="0.3">
      <c r="A460" s="35"/>
      <c r="B460" s="35" t="e">
        <f>#REF!</f>
        <v>#REF!</v>
      </c>
      <c r="C460" s="35" t="e">
        <f>#REF!</f>
        <v>#REF!</v>
      </c>
      <c r="D460" s="174" t="e">
        <f>#REF!</f>
        <v>#REF!</v>
      </c>
      <c r="E460" s="35">
        <v>750</v>
      </c>
      <c r="F460" s="38" t="e">
        <f>#REF!</f>
        <v>#REF!</v>
      </c>
      <c r="G460" s="38" t="e">
        <f t="shared" si="19"/>
        <v>#REF!</v>
      </c>
      <c r="H460" s="35"/>
    </row>
    <row r="461" spans="1:8" ht="18.75" x14ac:dyDescent="0.3">
      <c r="A461" s="35"/>
      <c r="B461" s="35" t="e">
        <f>#REF!</f>
        <v>#REF!</v>
      </c>
      <c r="C461" s="35" t="e">
        <f>#REF!</f>
        <v>#REF!</v>
      </c>
      <c r="D461" s="174" t="e">
        <f>#REF!</f>
        <v>#REF!</v>
      </c>
      <c r="E461" s="35">
        <v>3750</v>
      </c>
      <c r="F461" s="38" t="e">
        <f>#REF!</f>
        <v>#REF!</v>
      </c>
      <c r="G461" s="38" t="e">
        <f t="shared" si="19"/>
        <v>#REF!</v>
      </c>
      <c r="H461" s="35"/>
    </row>
    <row r="462" spans="1:8" ht="18.75" x14ac:dyDescent="0.3">
      <c r="A462" s="35"/>
      <c r="B462" s="35" t="e">
        <f>#REF!</f>
        <v>#REF!</v>
      </c>
      <c r="C462" s="35" t="e">
        <f>#REF!</f>
        <v>#REF!</v>
      </c>
      <c r="D462" s="174" t="e">
        <f>#REF!</f>
        <v>#REF!</v>
      </c>
      <c r="E462" s="35">
        <v>3</v>
      </c>
      <c r="F462" s="38" t="e">
        <f>#REF!</f>
        <v>#REF!</v>
      </c>
      <c r="G462" s="38" t="e">
        <f t="shared" si="19"/>
        <v>#REF!</v>
      </c>
      <c r="H462" s="35"/>
    </row>
    <row r="463" spans="1:8" ht="18.75" x14ac:dyDescent="0.3">
      <c r="A463" s="35"/>
      <c r="B463" s="35" t="e">
        <f>#REF!</f>
        <v>#REF!</v>
      </c>
      <c r="C463" s="35" t="e">
        <f>#REF!</f>
        <v>#REF!</v>
      </c>
      <c r="D463" s="174" t="e">
        <f>#REF!</f>
        <v>#REF!</v>
      </c>
      <c r="E463" s="35">
        <v>10</v>
      </c>
      <c r="F463" s="38" t="e">
        <f>#REF!</f>
        <v>#REF!</v>
      </c>
      <c r="G463" s="38" t="e">
        <f t="shared" si="19"/>
        <v>#REF!</v>
      </c>
      <c r="H463" s="8"/>
    </row>
    <row r="464" spans="1:8" ht="23.25" x14ac:dyDescent="0.35">
      <c r="A464" s="35"/>
      <c r="B464" s="35" t="e">
        <f>#REF!</f>
        <v>#REF!</v>
      </c>
      <c r="C464" s="35" t="e">
        <f>#REF!</f>
        <v>#REF!</v>
      </c>
      <c r="D464" s="174" t="e">
        <f>#REF!</f>
        <v>#REF!</v>
      </c>
      <c r="E464" s="35">
        <v>25</v>
      </c>
      <c r="F464" s="38" t="e">
        <f>#REF!</f>
        <v>#REF!</v>
      </c>
      <c r="G464" s="38" t="e">
        <f t="shared" si="19"/>
        <v>#REF!</v>
      </c>
      <c r="H464" s="186" t="e">
        <f>SUM(G459:G464)</f>
        <v>#REF!</v>
      </c>
    </row>
    <row r="465" spans="1:8" x14ac:dyDescent="0.35">
      <c r="A465" s="35"/>
      <c r="B465" s="35"/>
      <c r="C465" s="188"/>
      <c r="D465" s="181"/>
      <c r="E465" s="189"/>
      <c r="F465" s="190"/>
      <c r="G465" s="191"/>
      <c r="H465" s="76"/>
    </row>
    <row r="466" spans="1:8" x14ac:dyDescent="0.35">
      <c r="A466" s="35"/>
      <c r="B466" s="35"/>
      <c r="C466" s="188"/>
      <c r="D466" s="181"/>
      <c r="E466" s="189"/>
      <c r="F466" s="190"/>
      <c r="G466" s="191"/>
      <c r="H466" s="76"/>
    </row>
    <row r="467" spans="1:8" ht="23.25" x14ac:dyDescent="0.35">
      <c r="A467" s="35">
        <v>37</v>
      </c>
      <c r="B467" s="35"/>
      <c r="C467" s="77" t="s">
        <v>903</v>
      </c>
      <c r="D467" s="181"/>
      <c r="E467" s="189"/>
      <c r="F467" s="190"/>
      <c r="G467" s="191"/>
      <c r="H467" s="76"/>
    </row>
    <row r="468" spans="1:8" x14ac:dyDescent="0.35">
      <c r="A468" s="35"/>
      <c r="B468" s="35" t="e">
        <f>#REF!</f>
        <v>#REF!</v>
      </c>
      <c r="C468" s="35" t="e">
        <f>#REF!</f>
        <v>#REF!</v>
      </c>
      <c r="D468" s="174" t="e">
        <f>#REF!</f>
        <v>#REF!</v>
      </c>
      <c r="E468" s="35">
        <v>13</v>
      </c>
      <c r="F468" s="38" t="e">
        <f>#REF!</f>
        <v>#REF!</v>
      </c>
      <c r="G468" s="38" t="e">
        <f>E468*F468</f>
        <v>#REF!</v>
      </c>
      <c r="H468" s="76"/>
    </row>
    <row r="469" spans="1:8" x14ac:dyDescent="0.35">
      <c r="A469" s="35"/>
      <c r="B469" s="35" t="e">
        <f>#REF!</f>
        <v>#REF!</v>
      </c>
      <c r="C469" s="35" t="e">
        <f>#REF!</f>
        <v>#REF!</v>
      </c>
      <c r="D469" s="174" t="e">
        <f>#REF!</f>
        <v>#REF!</v>
      </c>
      <c r="E469" s="35">
        <v>50</v>
      </c>
      <c r="F469" s="38" t="e">
        <f>#REF!</f>
        <v>#REF!</v>
      </c>
      <c r="G469" s="38" t="e">
        <f>E469*F469</f>
        <v>#REF!</v>
      </c>
      <c r="H469" s="76"/>
    </row>
    <row r="470" spans="1:8" x14ac:dyDescent="0.35">
      <c r="A470" s="35"/>
      <c r="B470" s="35" t="e">
        <f>#REF!</f>
        <v>#REF!</v>
      </c>
      <c r="C470" s="35" t="e">
        <f>#REF!</f>
        <v>#REF!</v>
      </c>
      <c r="D470" s="174" t="e">
        <f>#REF!</f>
        <v>#REF!</v>
      </c>
      <c r="E470" s="35">
        <v>280</v>
      </c>
      <c r="F470" s="38" t="e">
        <f>#REF!</f>
        <v>#REF!</v>
      </c>
      <c r="G470" s="38" t="e">
        <f>E470*F470</f>
        <v>#REF!</v>
      </c>
      <c r="H470" s="76"/>
    </row>
    <row r="471" spans="1:8" ht="23.25" x14ac:dyDescent="0.35">
      <c r="A471" s="35"/>
      <c r="B471" s="35" t="e">
        <f>#REF!</f>
        <v>#REF!</v>
      </c>
      <c r="C471" s="35" t="e">
        <f>#REF!</f>
        <v>#REF!</v>
      </c>
      <c r="D471" s="174" t="e">
        <f>#REF!</f>
        <v>#REF!</v>
      </c>
      <c r="E471" s="35">
        <v>100</v>
      </c>
      <c r="F471" s="38" t="e">
        <f>#REF!</f>
        <v>#REF!</v>
      </c>
      <c r="G471" s="38" t="e">
        <f>E471*F471</f>
        <v>#REF!</v>
      </c>
      <c r="H471" s="186" t="e">
        <f>SUM(G468:G471)</f>
        <v>#REF!</v>
      </c>
    </row>
    <row r="472" spans="1:8" x14ac:dyDescent="0.35">
      <c r="A472" s="35"/>
      <c r="B472" s="35"/>
      <c r="C472" s="35"/>
      <c r="D472" s="174"/>
      <c r="E472" s="35"/>
      <c r="F472" s="38"/>
      <c r="G472" s="38"/>
      <c r="H472" s="76"/>
    </row>
    <row r="473" spans="1:8" ht="23.25" x14ac:dyDescent="0.35">
      <c r="A473" s="35">
        <v>38</v>
      </c>
      <c r="B473" s="35"/>
      <c r="C473" s="77" t="s">
        <v>879</v>
      </c>
      <c r="D473" s="181"/>
      <c r="E473" s="189"/>
      <c r="F473" s="190"/>
      <c r="G473" s="191"/>
      <c r="H473" s="76"/>
    </row>
    <row r="474" spans="1:8" x14ac:dyDescent="0.35">
      <c r="A474" s="35"/>
      <c r="B474" s="35" t="e">
        <f>#REF!</f>
        <v>#REF!</v>
      </c>
      <c r="C474" s="35" t="e">
        <f>#REF!</f>
        <v>#REF!</v>
      </c>
      <c r="D474" s="174" t="e">
        <f>#REF!</f>
        <v>#REF!</v>
      </c>
      <c r="E474" s="35">
        <v>480</v>
      </c>
      <c r="F474" s="38" t="e">
        <f>#REF!</f>
        <v>#REF!</v>
      </c>
      <c r="G474" s="38" t="e">
        <f t="shared" ref="G474:G488" si="20">E474*F474</f>
        <v>#REF!</v>
      </c>
      <c r="H474" s="76"/>
    </row>
    <row r="475" spans="1:8" x14ac:dyDescent="0.35">
      <c r="A475" s="35"/>
      <c r="B475" s="35" t="e">
        <f>#REF!</f>
        <v>#REF!</v>
      </c>
      <c r="C475" s="35" t="e">
        <f>#REF!</f>
        <v>#REF!</v>
      </c>
      <c r="D475" s="174" t="e">
        <f>#REF!</f>
        <v>#REF!</v>
      </c>
      <c r="E475" s="35">
        <v>26</v>
      </c>
      <c r="F475" s="38" t="e">
        <f>#REF!</f>
        <v>#REF!</v>
      </c>
      <c r="G475" s="38" t="e">
        <f t="shared" si="20"/>
        <v>#REF!</v>
      </c>
      <c r="H475" s="76"/>
    </row>
    <row r="476" spans="1:8" x14ac:dyDescent="0.35">
      <c r="A476" s="35"/>
      <c r="B476" s="35" t="e">
        <f>#REF!</f>
        <v>#REF!</v>
      </c>
      <c r="C476" s="35" t="e">
        <f>#REF!</f>
        <v>#REF!</v>
      </c>
      <c r="D476" s="174" t="e">
        <f>#REF!</f>
        <v>#REF!</v>
      </c>
      <c r="E476" s="35">
        <v>5</v>
      </c>
      <c r="F476" s="38" t="e">
        <f>#REF!</f>
        <v>#REF!</v>
      </c>
      <c r="G476" s="38" t="e">
        <f t="shared" si="20"/>
        <v>#REF!</v>
      </c>
      <c r="H476" s="76"/>
    </row>
    <row r="477" spans="1:8" x14ac:dyDescent="0.35">
      <c r="A477" s="35"/>
      <c r="B477" s="35" t="e">
        <f>#REF!</f>
        <v>#REF!</v>
      </c>
      <c r="C477" s="35" t="e">
        <f>#REF!</f>
        <v>#REF!</v>
      </c>
      <c r="D477" s="174" t="e">
        <f>#REF!</f>
        <v>#REF!</v>
      </c>
      <c r="E477" s="35">
        <v>15</v>
      </c>
      <c r="F477" s="38" t="e">
        <f>#REF!</f>
        <v>#REF!</v>
      </c>
      <c r="G477" s="38" t="e">
        <f t="shared" si="20"/>
        <v>#REF!</v>
      </c>
      <c r="H477" s="76"/>
    </row>
    <row r="478" spans="1:8" x14ac:dyDescent="0.35">
      <c r="A478" s="35"/>
      <c r="B478" s="35" t="e">
        <f>#REF!</f>
        <v>#REF!</v>
      </c>
      <c r="C478" s="35" t="e">
        <f>#REF!</f>
        <v>#REF!</v>
      </c>
      <c r="D478" s="174" t="e">
        <f>#REF!</f>
        <v>#REF!</v>
      </c>
      <c r="E478" s="35">
        <v>70</v>
      </c>
      <c r="F478" s="38" t="e">
        <f>#REF!</f>
        <v>#REF!</v>
      </c>
      <c r="G478" s="38" t="e">
        <f t="shared" si="20"/>
        <v>#REF!</v>
      </c>
      <c r="H478" s="76"/>
    </row>
    <row r="479" spans="1:8" x14ac:dyDescent="0.35">
      <c r="A479" s="35"/>
      <c r="B479" s="35" t="e">
        <f>#REF!</f>
        <v>#REF!</v>
      </c>
      <c r="C479" s="35" t="e">
        <f>#REF!</f>
        <v>#REF!</v>
      </c>
      <c r="D479" s="174" t="e">
        <f>#REF!</f>
        <v>#REF!</v>
      </c>
      <c r="E479" s="35">
        <v>320</v>
      </c>
      <c r="F479" s="38" t="e">
        <f>#REF!</f>
        <v>#REF!</v>
      </c>
      <c r="G479" s="38" t="e">
        <f t="shared" si="20"/>
        <v>#REF!</v>
      </c>
      <c r="H479" s="76"/>
    </row>
    <row r="480" spans="1:8" x14ac:dyDescent="0.35">
      <c r="A480" s="35"/>
      <c r="B480" s="35" t="e">
        <f>#REF!</f>
        <v>#REF!</v>
      </c>
      <c r="C480" s="35" t="e">
        <f>#REF!</f>
        <v>#REF!</v>
      </c>
      <c r="D480" s="174" t="e">
        <f>#REF!</f>
        <v>#REF!</v>
      </c>
      <c r="E480" s="35">
        <v>168</v>
      </c>
      <c r="F480" s="38" t="e">
        <f>#REF!</f>
        <v>#REF!</v>
      </c>
      <c r="G480" s="38" t="e">
        <f t="shared" si="20"/>
        <v>#REF!</v>
      </c>
      <c r="H480" s="76"/>
    </row>
    <row r="481" spans="1:8" x14ac:dyDescent="0.35">
      <c r="A481" s="35"/>
      <c r="B481" s="35" t="e">
        <f>#REF!</f>
        <v>#REF!</v>
      </c>
      <c r="C481" s="35" t="e">
        <f>#REF!</f>
        <v>#REF!</v>
      </c>
      <c r="D481" s="174" t="e">
        <f>#REF!</f>
        <v>#REF!</v>
      </c>
      <c r="E481" s="35">
        <v>10</v>
      </c>
      <c r="F481" s="38" t="e">
        <f>#REF!</f>
        <v>#REF!</v>
      </c>
      <c r="G481" s="38" t="e">
        <f t="shared" si="20"/>
        <v>#REF!</v>
      </c>
      <c r="H481" s="76"/>
    </row>
    <row r="482" spans="1:8" x14ac:dyDescent="0.35">
      <c r="A482" s="35"/>
      <c r="B482" s="35" t="e">
        <f>#REF!</f>
        <v>#REF!</v>
      </c>
      <c r="C482" s="35" t="e">
        <f>#REF!</f>
        <v>#REF!</v>
      </c>
      <c r="D482" s="174" t="e">
        <f>#REF!</f>
        <v>#REF!</v>
      </c>
      <c r="E482" s="35">
        <v>90</v>
      </c>
      <c r="F482" s="38" t="e">
        <f>#REF!</f>
        <v>#REF!</v>
      </c>
      <c r="G482" s="38" t="e">
        <f t="shared" si="20"/>
        <v>#REF!</v>
      </c>
      <c r="H482" s="76"/>
    </row>
    <row r="483" spans="1:8" x14ac:dyDescent="0.35">
      <c r="A483" s="35"/>
      <c r="B483" s="35" t="e">
        <f>#REF!</f>
        <v>#REF!</v>
      </c>
      <c r="C483" s="35" t="e">
        <f>#REF!</f>
        <v>#REF!</v>
      </c>
      <c r="D483" s="174" t="e">
        <f>#REF!</f>
        <v>#REF!</v>
      </c>
      <c r="E483" s="35">
        <v>200</v>
      </c>
      <c r="F483" s="38" t="e">
        <f>#REF!</f>
        <v>#REF!</v>
      </c>
      <c r="G483" s="38" t="e">
        <f t="shared" si="20"/>
        <v>#REF!</v>
      </c>
      <c r="H483" s="76"/>
    </row>
    <row r="484" spans="1:8" x14ac:dyDescent="0.35">
      <c r="A484" s="35"/>
      <c r="B484" s="35" t="e">
        <f>#REF!</f>
        <v>#REF!</v>
      </c>
      <c r="C484" s="35" t="e">
        <f>#REF!</f>
        <v>#REF!</v>
      </c>
      <c r="D484" s="174" t="e">
        <f>#REF!</f>
        <v>#REF!</v>
      </c>
      <c r="E484" s="35">
        <v>18</v>
      </c>
      <c r="F484" s="38" t="e">
        <f>#REF!</f>
        <v>#REF!</v>
      </c>
      <c r="G484" s="38" t="e">
        <f t="shared" si="20"/>
        <v>#REF!</v>
      </c>
      <c r="H484" s="76"/>
    </row>
    <row r="485" spans="1:8" x14ac:dyDescent="0.35">
      <c r="A485" s="35"/>
      <c r="B485" s="35" t="e">
        <f>#REF!</f>
        <v>#REF!</v>
      </c>
      <c r="C485" s="35" t="e">
        <f>#REF!</f>
        <v>#REF!</v>
      </c>
      <c r="D485" s="174" t="e">
        <f>#REF!</f>
        <v>#REF!</v>
      </c>
      <c r="E485" s="35">
        <v>20</v>
      </c>
      <c r="F485" s="38" t="e">
        <f>#REF!</f>
        <v>#REF!</v>
      </c>
      <c r="G485" s="38" t="e">
        <f t="shared" si="20"/>
        <v>#REF!</v>
      </c>
      <c r="H485" s="76"/>
    </row>
    <row r="486" spans="1:8" x14ac:dyDescent="0.35">
      <c r="A486" s="35"/>
      <c r="B486" s="35" t="e">
        <f>#REF!</f>
        <v>#REF!</v>
      </c>
      <c r="C486" s="35" t="e">
        <f>#REF!</f>
        <v>#REF!</v>
      </c>
      <c r="D486" s="174" t="e">
        <f>#REF!</f>
        <v>#REF!</v>
      </c>
      <c r="E486" s="35">
        <v>111</v>
      </c>
      <c r="F486" s="38" t="e">
        <f>#REF!</f>
        <v>#REF!</v>
      </c>
      <c r="G486" s="38" t="e">
        <f t="shared" si="20"/>
        <v>#REF!</v>
      </c>
      <c r="H486" s="76"/>
    </row>
    <row r="487" spans="1:8" x14ac:dyDescent="0.35">
      <c r="A487" s="35"/>
      <c r="B487" s="35" t="e">
        <f>#REF!</f>
        <v>#REF!</v>
      </c>
      <c r="C487" s="35" t="e">
        <f>#REF!</f>
        <v>#REF!</v>
      </c>
      <c r="D487" s="174" t="e">
        <f>#REF!</f>
        <v>#REF!</v>
      </c>
      <c r="E487" s="35">
        <v>240</v>
      </c>
      <c r="F487" s="38" t="e">
        <f>#REF!</f>
        <v>#REF!</v>
      </c>
      <c r="G487" s="38" t="e">
        <f t="shared" si="20"/>
        <v>#REF!</v>
      </c>
      <c r="H487" s="76"/>
    </row>
    <row r="488" spans="1:8" ht="23.25" x14ac:dyDescent="0.35">
      <c r="A488" s="35"/>
      <c r="B488" s="35" t="e">
        <f>#REF!</f>
        <v>#REF!</v>
      </c>
      <c r="C488" s="35" t="e">
        <f>#REF!</f>
        <v>#REF!</v>
      </c>
      <c r="D488" s="174" t="e">
        <f>#REF!</f>
        <v>#REF!</v>
      </c>
      <c r="E488" s="35">
        <v>75</v>
      </c>
      <c r="F488" s="38" t="e">
        <f>#REF!</f>
        <v>#REF!</v>
      </c>
      <c r="G488" s="38" t="e">
        <f t="shared" si="20"/>
        <v>#REF!</v>
      </c>
      <c r="H488" s="186" t="e">
        <f>SUM(G474:G488)</f>
        <v>#REF!</v>
      </c>
    </row>
    <row r="489" spans="1:8" x14ac:dyDescent="0.35">
      <c r="A489" s="35"/>
      <c r="B489" s="35"/>
      <c r="C489" s="188"/>
      <c r="D489" s="181"/>
      <c r="E489" s="189"/>
      <c r="F489" s="190"/>
      <c r="G489" s="191"/>
      <c r="H489" s="76"/>
    </row>
    <row r="490" spans="1:8" ht="23.25" x14ac:dyDescent="0.35">
      <c r="A490" s="35">
        <v>39</v>
      </c>
      <c r="B490" s="35"/>
      <c r="C490" s="77" t="s">
        <v>904</v>
      </c>
      <c r="D490" s="181"/>
      <c r="E490" s="189"/>
      <c r="F490" s="190"/>
      <c r="G490" s="191"/>
      <c r="H490" s="76"/>
    </row>
    <row r="491" spans="1:8" x14ac:dyDescent="0.35">
      <c r="A491" s="35"/>
      <c r="B491" s="35" t="e">
        <f>#REF!</f>
        <v>#REF!</v>
      </c>
      <c r="C491" s="35" t="e">
        <f>#REF!</f>
        <v>#REF!</v>
      </c>
      <c r="D491" s="174" t="e">
        <f>#REF!</f>
        <v>#REF!</v>
      </c>
      <c r="E491" s="35">
        <v>11</v>
      </c>
      <c r="F491" s="38" t="e">
        <f>#REF!</f>
        <v>#REF!</v>
      </c>
      <c r="G491" s="38" t="e">
        <f>E491*F491</f>
        <v>#REF!</v>
      </c>
      <c r="H491" s="76"/>
    </row>
    <row r="492" spans="1:8" x14ac:dyDescent="0.35">
      <c r="A492" s="35"/>
      <c r="B492" s="35" t="e">
        <f>#REF!</f>
        <v>#REF!</v>
      </c>
      <c r="C492" s="35" t="e">
        <f>#REF!</f>
        <v>#REF!</v>
      </c>
      <c r="D492" s="174" t="e">
        <f>#REF!</f>
        <v>#REF!</v>
      </c>
      <c r="E492" s="35">
        <v>16</v>
      </c>
      <c r="F492" s="38" t="e">
        <f>#REF!</f>
        <v>#REF!</v>
      </c>
      <c r="G492" s="38" t="e">
        <f t="shared" ref="G492:G497" si="21">E492*F492</f>
        <v>#REF!</v>
      </c>
      <c r="H492" s="76"/>
    </row>
    <row r="493" spans="1:8" x14ac:dyDescent="0.35">
      <c r="A493" s="35"/>
      <c r="B493" s="35" t="e">
        <f>#REF!</f>
        <v>#REF!</v>
      </c>
      <c r="C493" s="35" t="e">
        <f>#REF!</f>
        <v>#REF!</v>
      </c>
      <c r="D493" s="174" t="e">
        <f>#REF!</f>
        <v>#REF!</v>
      </c>
      <c r="E493" s="35">
        <v>10</v>
      </c>
      <c r="F493" s="38" t="e">
        <f>#REF!</f>
        <v>#REF!</v>
      </c>
      <c r="G493" s="38" t="e">
        <f t="shared" si="21"/>
        <v>#REF!</v>
      </c>
      <c r="H493" s="76"/>
    </row>
    <row r="494" spans="1:8" x14ac:dyDescent="0.35">
      <c r="A494" s="35"/>
      <c r="B494" s="35" t="e">
        <f>#REF!</f>
        <v>#REF!</v>
      </c>
      <c r="C494" s="35" t="e">
        <f>#REF!</f>
        <v>#REF!</v>
      </c>
      <c r="D494" s="174" t="e">
        <f>#REF!</f>
        <v>#REF!</v>
      </c>
      <c r="E494" s="35">
        <v>33</v>
      </c>
      <c r="F494" s="38" t="e">
        <f>#REF!</f>
        <v>#REF!</v>
      </c>
      <c r="G494" s="38" t="e">
        <f t="shared" si="21"/>
        <v>#REF!</v>
      </c>
      <c r="H494" s="76"/>
    </row>
    <row r="495" spans="1:8" x14ac:dyDescent="0.35">
      <c r="A495" s="35"/>
      <c r="B495" s="35" t="e">
        <f>#REF!</f>
        <v>#REF!</v>
      </c>
      <c r="C495" s="35" t="e">
        <f>#REF!</f>
        <v>#REF!</v>
      </c>
      <c r="D495" s="174" t="e">
        <f>#REF!</f>
        <v>#REF!</v>
      </c>
      <c r="E495" s="35">
        <v>100</v>
      </c>
      <c r="F495" s="38" t="e">
        <f>#REF!</f>
        <v>#REF!</v>
      </c>
      <c r="G495" s="38" t="e">
        <f t="shared" si="21"/>
        <v>#REF!</v>
      </c>
      <c r="H495" s="76"/>
    </row>
    <row r="496" spans="1:8" x14ac:dyDescent="0.35">
      <c r="A496" s="35"/>
      <c r="B496" s="35" t="e">
        <f>#REF!</f>
        <v>#REF!</v>
      </c>
      <c r="C496" s="35" t="e">
        <f>#REF!</f>
        <v>#REF!</v>
      </c>
      <c r="D496" s="174" t="e">
        <f>#REF!</f>
        <v>#REF!</v>
      </c>
      <c r="E496" s="35">
        <v>85</v>
      </c>
      <c r="F496" s="38" t="e">
        <f>#REF!</f>
        <v>#REF!</v>
      </c>
      <c r="G496" s="38" t="e">
        <f t="shared" si="21"/>
        <v>#REF!</v>
      </c>
      <c r="H496" s="76"/>
    </row>
    <row r="497" spans="1:8" ht="23.25" x14ac:dyDescent="0.35">
      <c r="A497" s="35"/>
      <c r="B497" s="35" t="e">
        <f>#REF!</f>
        <v>#REF!</v>
      </c>
      <c r="C497" s="35" t="e">
        <f>#REF!</f>
        <v>#REF!</v>
      </c>
      <c r="D497" s="174" t="e">
        <f>#REF!</f>
        <v>#REF!</v>
      </c>
      <c r="E497" s="35">
        <v>100</v>
      </c>
      <c r="F497" s="38" t="e">
        <f>#REF!</f>
        <v>#REF!</v>
      </c>
      <c r="G497" s="38" t="e">
        <f t="shared" si="21"/>
        <v>#REF!</v>
      </c>
      <c r="H497" s="186" t="e">
        <f>SUM(G491:G497)</f>
        <v>#REF!</v>
      </c>
    </row>
    <row r="498" spans="1:8" x14ac:dyDescent="0.35">
      <c r="A498" s="35"/>
      <c r="B498" s="35"/>
      <c r="C498" s="188"/>
      <c r="D498" s="181"/>
      <c r="E498" s="189"/>
      <c r="F498" s="190"/>
      <c r="G498" s="191"/>
      <c r="H498" s="76"/>
    </row>
    <row r="499" spans="1:8" x14ac:dyDescent="0.35">
      <c r="A499" s="35"/>
      <c r="B499" s="35"/>
      <c r="C499" s="188"/>
      <c r="D499" s="181"/>
      <c r="E499" s="189"/>
      <c r="F499" s="190"/>
      <c r="G499" s="191"/>
      <c r="H499" s="76"/>
    </row>
    <row r="500" spans="1:8" ht="23.25" x14ac:dyDescent="0.35">
      <c r="A500" s="35">
        <v>40</v>
      </c>
      <c r="B500" s="35"/>
      <c r="C500" s="77" t="s">
        <v>905</v>
      </c>
      <c r="D500" s="181"/>
      <c r="E500" s="189"/>
      <c r="F500" s="190"/>
      <c r="G500" s="191"/>
      <c r="H500" s="76"/>
    </row>
    <row r="501" spans="1:8" x14ac:dyDescent="0.35">
      <c r="A501" s="35"/>
      <c r="B501" s="35" t="e">
        <f>#REF!</f>
        <v>#REF!</v>
      </c>
      <c r="C501" s="35" t="e">
        <f>#REF!</f>
        <v>#REF!</v>
      </c>
      <c r="D501" s="174" t="e">
        <f>#REF!</f>
        <v>#REF!</v>
      </c>
      <c r="E501" s="35">
        <v>250</v>
      </c>
      <c r="F501" s="38" t="e">
        <f>#REF!</f>
        <v>#REF!</v>
      </c>
      <c r="G501" s="38" t="e">
        <f t="shared" ref="G501:G529" si="22">E501*F501</f>
        <v>#REF!</v>
      </c>
      <c r="H501" s="76"/>
    </row>
    <row r="502" spans="1:8" x14ac:dyDescent="0.35">
      <c r="A502" s="35"/>
      <c r="B502" s="35" t="e">
        <f>#REF!</f>
        <v>#REF!</v>
      </c>
      <c r="C502" s="35" t="e">
        <f>#REF!</f>
        <v>#REF!</v>
      </c>
      <c r="D502" s="174" t="e">
        <f>#REF!</f>
        <v>#REF!</v>
      </c>
      <c r="E502" s="35">
        <v>250</v>
      </c>
      <c r="F502" s="38" t="e">
        <f>#REF!</f>
        <v>#REF!</v>
      </c>
      <c r="G502" s="38" t="e">
        <f t="shared" si="22"/>
        <v>#REF!</v>
      </c>
      <c r="H502" s="76"/>
    </row>
    <row r="503" spans="1:8" x14ac:dyDescent="0.35">
      <c r="A503" s="35"/>
      <c r="B503" s="35" t="e">
        <f>#REF!</f>
        <v>#REF!</v>
      </c>
      <c r="C503" s="35" t="e">
        <f>#REF!</f>
        <v>#REF!</v>
      </c>
      <c r="D503" s="174" t="e">
        <f>#REF!</f>
        <v>#REF!</v>
      </c>
      <c r="E503" s="35">
        <v>10</v>
      </c>
      <c r="F503" s="38" t="e">
        <f>#REF!</f>
        <v>#REF!</v>
      </c>
      <c r="G503" s="38" t="e">
        <f t="shared" si="22"/>
        <v>#REF!</v>
      </c>
      <c r="H503" s="76"/>
    </row>
    <row r="504" spans="1:8" x14ac:dyDescent="0.35">
      <c r="A504" s="35"/>
      <c r="B504" s="35" t="e">
        <f>#REF!</f>
        <v>#REF!</v>
      </c>
      <c r="C504" s="35" t="e">
        <f>#REF!</f>
        <v>#REF!</v>
      </c>
      <c r="D504" s="174" t="e">
        <f>#REF!</f>
        <v>#REF!</v>
      </c>
      <c r="E504" s="35">
        <v>25</v>
      </c>
      <c r="F504" s="38" t="e">
        <f>#REF!</f>
        <v>#REF!</v>
      </c>
      <c r="G504" s="38" t="e">
        <f t="shared" si="22"/>
        <v>#REF!</v>
      </c>
      <c r="H504" s="76"/>
    </row>
    <row r="505" spans="1:8" x14ac:dyDescent="0.35">
      <c r="A505" s="35"/>
      <c r="B505" s="35" t="e">
        <f>#REF!</f>
        <v>#REF!</v>
      </c>
      <c r="C505" s="35" t="e">
        <f>#REF!</f>
        <v>#REF!</v>
      </c>
      <c r="D505" s="174" t="e">
        <f>#REF!</f>
        <v>#REF!</v>
      </c>
      <c r="E505" s="35">
        <v>5</v>
      </c>
      <c r="F505" s="38" t="e">
        <f>#REF!</f>
        <v>#REF!</v>
      </c>
      <c r="G505" s="38"/>
      <c r="H505" s="76"/>
    </row>
    <row r="506" spans="1:8" x14ac:dyDescent="0.35">
      <c r="A506" s="35"/>
      <c r="B506" s="35" t="e">
        <f>#REF!</f>
        <v>#REF!</v>
      </c>
      <c r="C506" s="35" t="e">
        <f>#REF!</f>
        <v>#REF!</v>
      </c>
      <c r="D506" s="174" t="e">
        <f>#REF!</f>
        <v>#REF!</v>
      </c>
      <c r="E506" s="35">
        <v>260</v>
      </c>
      <c r="F506" s="38" t="e">
        <f>#REF!</f>
        <v>#REF!</v>
      </c>
      <c r="G506" s="38" t="e">
        <f t="shared" si="22"/>
        <v>#REF!</v>
      </c>
      <c r="H506" s="76"/>
    </row>
    <row r="507" spans="1:8" x14ac:dyDescent="0.35">
      <c r="A507" s="35"/>
      <c r="B507" s="35" t="e">
        <f>#REF!</f>
        <v>#REF!</v>
      </c>
      <c r="C507" s="35" t="e">
        <f>#REF!</f>
        <v>#REF!</v>
      </c>
      <c r="D507" s="174" t="e">
        <f>#REF!</f>
        <v>#REF!</v>
      </c>
      <c r="E507" s="35">
        <v>1716</v>
      </c>
      <c r="F507" s="38" t="e">
        <f>#REF!</f>
        <v>#REF!</v>
      </c>
      <c r="G507" s="38" t="e">
        <f t="shared" si="22"/>
        <v>#REF!</v>
      </c>
      <c r="H507" s="76"/>
    </row>
    <row r="508" spans="1:8" x14ac:dyDescent="0.35">
      <c r="A508" s="35"/>
      <c r="B508" s="35" t="e">
        <f>#REF!</f>
        <v>#REF!</v>
      </c>
      <c r="C508" s="35" t="e">
        <f>#REF!</f>
        <v>#REF!</v>
      </c>
      <c r="D508" s="174" t="e">
        <f>#REF!</f>
        <v>#REF!</v>
      </c>
      <c r="E508" s="35">
        <v>25</v>
      </c>
      <c r="F508" s="38" t="e">
        <f>#REF!</f>
        <v>#REF!</v>
      </c>
      <c r="G508" s="38" t="e">
        <f t="shared" si="22"/>
        <v>#REF!</v>
      </c>
      <c r="H508" s="76"/>
    </row>
    <row r="509" spans="1:8" x14ac:dyDescent="0.35">
      <c r="A509" s="35"/>
      <c r="B509" s="35" t="e">
        <f>#REF!</f>
        <v>#REF!</v>
      </c>
      <c r="C509" s="35" t="e">
        <f>#REF!</f>
        <v>#REF!</v>
      </c>
      <c r="D509" s="174" t="e">
        <f>#REF!</f>
        <v>#REF!</v>
      </c>
      <c r="E509" s="35">
        <v>10</v>
      </c>
      <c r="F509" s="38" t="e">
        <f>#REF!</f>
        <v>#REF!</v>
      </c>
      <c r="G509" s="38" t="e">
        <f t="shared" si="22"/>
        <v>#REF!</v>
      </c>
      <c r="H509" s="76"/>
    </row>
    <row r="510" spans="1:8" x14ac:dyDescent="0.35">
      <c r="A510" s="35"/>
      <c r="B510" s="35" t="e">
        <f>#REF!</f>
        <v>#REF!</v>
      </c>
      <c r="C510" s="35" t="e">
        <f>#REF!</f>
        <v>#REF!</v>
      </c>
      <c r="D510" s="174" t="e">
        <f>#REF!</f>
        <v>#REF!</v>
      </c>
      <c r="E510" s="35">
        <v>10</v>
      </c>
      <c r="F510" s="38" t="e">
        <f>#REF!</f>
        <v>#REF!</v>
      </c>
      <c r="G510" s="38" t="e">
        <f t="shared" si="22"/>
        <v>#REF!</v>
      </c>
      <c r="H510" s="76"/>
    </row>
    <row r="511" spans="1:8" x14ac:dyDescent="0.35">
      <c r="A511" s="35"/>
      <c r="B511" s="35" t="e">
        <f>#REF!</f>
        <v>#REF!</v>
      </c>
      <c r="C511" s="35" t="e">
        <f>#REF!</f>
        <v>#REF!</v>
      </c>
      <c r="D511" s="174" t="e">
        <f>#REF!</f>
        <v>#REF!</v>
      </c>
      <c r="E511" s="35">
        <v>23</v>
      </c>
      <c r="F511" s="38" t="e">
        <f>#REF!</f>
        <v>#REF!</v>
      </c>
      <c r="G511" s="38" t="e">
        <f t="shared" si="22"/>
        <v>#REF!</v>
      </c>
      <c r="H511" s="76"/>
    </row>
    <row r="512" spans="1:8" x14ac:dyDescent="0.35">
      <c r="A512" s="35"/>
      <c r="B512" s="35" t="e">
        <f>#REF!</f>
        <v>#REF!</v>
      </c>
      <c r="C512" s="35" t="e">
        <f>#REF!</f>
        <v>#REF!</v>
      </c>
      <c r="D512" s="174" t="e">
        <f>#REF!</f>
        <v>#REF!</v>
      </c>
      <c r="E512" s="35">
        <v>13</v>
      </c>
      <c r="F512" s="38" t="e">
        <f>#REF!</f>
        <v>#REF!</v>
      </c>
      <c r="G512" s="38" t="e">
        <f t="shared" si="22"/>
        <v>#REF!</v>
      </c>
      <c r="H512" s="76"/>
    </row>
    <row r="513" spans="1:8" x14ac:dyDescent="0.35">
      <c r="A513" s="35"/>
      <c r="B513" s="35" t="e">
        <f>#REF!</f>
        <v>#REF!</v>
      </c>
      <c r="C513" s="35" t="e">
        <f>#REF!</f>
        <v>#REF!</v>
      </c>
      <c r="D513" s="174" t="e">
        <f>#REF!</f>
        <v>#REF!</v>
      </c>
      <c r="E513" s="35">
        <v>200</v>
      </c>
      <c r="F513" s="38" t="e">
        <f>#REF!</f>
        <v>#REF!</v>
      </c>
      <c r="G513" s="38" t="e">
        <f t="shared" si="22"/>
        <v>#REF!</v>
      </c>
      <c r="H513" s="76"/>
    </row>
    <row r="514" spans="1:8" x14ac:dyDescent="0.35">
      <c r="A514" s="35"/>
      <c r="B514" s="35" t="e">
        <f>#REF!</f>
        <v>#REF!</v>
      </c>
      <c r="C514" s="35" t="e">
        <f>#REF!</f>
        <v>#REF!</v>
      </c>
      <c r="D514" s="174" t="e">
        <f>#REF!</f>
        <v>#REF!</v>
      </c>
      <c r="E514" s="35">
        <v>50</v>
      </c>
      <c r="F514" s="38" t="e">
        <f>#REF!</f>
        <v>#REF!</v>
      </c>
      <c r="G514" s="38" t="e">
        <f t="shared" si="22"/>
        <v>#REF!</v>
      </c>
      <c r="H514" s="76"/>
    </row>
    <row r="515" spans="1:8" x14ac:dyDescent="0.35">
      <c r="A515" s="35"/>
      <c r="B515" s="35" t="e">
        <f>#REF!</f>
        <v>#REF!</v>
      </c>
      <c r="C515" s="35" t="e">
        <f>#REF!</f>
        <v>#REF!</v>
      </c>
      <c r="D515" s="174" t="e">
        <f>#REF!</f>
        <v>#REF!</v>
      </c>
      <c r="E515" s="35">
        <v>3</v>
      </c>
      <c r="F515" s="38" t="e">
        <f>#REF!</f>
        <v>#REF!</v>
      </c>
      <c r="G515" s="38"/>
      <c r="H515" s="76"/>
    </row>
    <row r="516" spans="1:8" x14ac:dyDescent="0.35">
      <c r="A516" s="35"/>
      <c r="B516" s="35" t="e">
        <f>#REF!</f>
        <v>#REF!</v>
      </c>
      <c r="C516" s="35" t="e">
        <f>#REF!</f>
        <v>#REF!</v>
      </c>
      <c r="D516" s="174" t="e">
        <f>#REF!</f>
        <v>#REF!</v>
      </c>
      <c r="E516" s="35">
        <v>10</v>
      </c>
      <c r="F516" s="38" t="e">
        <f>#REF!</f>
        <v>#REF!</v>
      </c>
      <c r="G516" s="38"/>
      <c r="H516" s="76"/>
    </row>
    <row r="517" spans="1:8" x14ac:dyDescent="0.35">
      <c r="A517" s="35"/>
      <c r="B517" s="35" t="e">
        <f>#REF!</f>
        <v>#REF!</v>
      </c>
      <c r="C517" s="35" t="e">
        <f>#REF!</f>
        <v>#REF!</v>
      </c>
      <c r="D517" s="174" t="e">
        <f>#REF!</f>
        <v>#REF!</v>
      </c>
      <c r="E517" s="35">
        <v>13</v>
      </c>
      <c r="F517" s="38" t="e">
        <f>#REF!</f>
        <v>#REF!</v>
      </c>
      <c r="G517" s="38"/>
      <c r="H517" s="76"/>
    </row>
    <row r="518" spans="1:8" x14ac:dyDescent="0.35">
      <c r="A518" s="35"/>
      <c r="B518" s="35" t="e">
        <f>#REF!</f>
        <v>#REF!</v>
      </c>
      <c r="C518" s="35" t="e">
        <f>#REF!</f>
        <v>#REF!</v>
      </c>
      <c r="D518" s="174" t="e">
        <f>#REF!</f>
        <v>#REF!</v>
      </c>
      <c r="E518" s="35">
        <v>30</v>
      </c>
      <c r="F518" s="38" t="e">
        <f>#REF!</f>
        <v>#REF!</v>
      </c>
      <c r="G518" s="38" t="e">
        <f t="shared" si="22"/>
        <v>#REF!</v>
      </c>
      <c r="H518" s="76"/>
    </row>
    <row r="519" spans="1:8" x14ac:dyDescent="0.35">
      <c r="A519" s="35"/>
      <c r="B519" s="35" t="e">
        <f>#REF!</f>
        <v>#REF!</v>
      </c>
      <c r="C519" s="35" t="e">
        <f>#REF!</f>
        <v>#REF!</v>
      </c>
      <c r="D519" s="174" t="e">
        <f>#REF!</f>
        <v>#REF!</v>
      </c>
      <c r="E519" s="35">
        <v>10</v>
      </c>
      <c r="F519" s="38" t="e">
        <f>#REF!</f>
        <v>#REF!</v>
      </c>
      <c r="G519" s="38" t="e">
        <f t="shared" si="22"/>
        <v>#REF!</v>
      </c>
      <c r="H519" s="76"/>
    </row>
    <row r="520" spans="1:8" x14ac:dyDescent="0.35">
      <c r="A520" s="35"/>
      <c r="B520" s="35" t="e">
        <f>#REF!</f>
        <v>#REF!</v>
      </c>
      <c r="C520" s="35" t="e">
        <f>#REF!</f>
        <v>#REF!</v>
      </c>
      <c r="D520" s="174" t="e">
        <f>#REF!</f>
        <v>#REF!</v>
      </c>
      <c r="E520" s="35">
        <v>10</v>
      </c>
      <c r="F520" s="38" t="e">
        <f>#REF!</f>
        <v>#REF!</v>
      </c>
      <c r="G520" s="38" t="e">
        <f t="shared" si="22"/>
        <v>#REF!</v>
      </c>
      <c r="H520" s="76"/>
    </row>
    <row r="521" spans="1:8" x14ac:dyDescent="0.35">
      <c r="A521" s="35"/>
      <c r="B521" s="35" t="e">
        <f>#REF!</f>
        <v>#REF!</v>
      </c>
      <c r="C521" s="35" t="e">
        <f>#REF!</f>
        <v>#REF!</v>
      </c>
      <c r="D521" s="174" t="e">
        <f>#REF!</f>
        <v>#REF!</v>
      </c>
      <c r="E521" s="35">
        <v>60</v>
      </c>
      <c r="F521" s="38" t="e">
        <f>#REF!</f>
        <v>#REF!</v>
      </c>
      <c r="G521" s="38" t="e">
        <f t="shared" si="22"/>
        <v>#REF!</v>
      </c>
      <c r="H521" s="76"/>
    </row>
    <row r="522" spans="1:8" x14ac:dyDescent="0.35">
      <c r="A522" s="35"/>
      <c r="B522" s="35" t="e">
        <f>#REF!</f>
        <v>#REF!</v>
      </c>
      <c r="C522" s="35" t="e">
        <f>#REF!</f>
        <v>#REF!</v>
      </c>
      <c r="D522" s="174" t="e">
        <f>#REF!</f>
        <v>#REF!</v>
      </c>
      <c r="E522" s="35">
        <v>25</v>
      </c>
      <c r="F522" s="38" t="e">
        <f>#REF!</f>
        <v>#REF!</v>
      </c>
      <c r="G522" s="38"/>
      <c r="H522" s="76"/>
    </row>
    <row r="523" spans="1:8" x14ac:dyDescent="0.35">
      <c r="A523" s="35"/>
      <c r="B523" s="35" t="e">
        <f>#REF!</f>
        <v>#REF!</v>
      </c>
      <c r="C523" s="35" t="e">
        <f>#REF!</f>
        <v>#REF!</v>
      </c>
      <c r="D523" s="174" t="e">
        <f>#REF!</f>
        <v>#REF!</v>
      </c>
      <c r="E523" s="35">
        <v>26</v>
      </c>
      <c r="F523" s="38" t="e">
        <f>#REF!</f>
        <v>#REF!</v>
      </c>
      <c r="G523" s="38" t="e">
        <f t="shared" si="22"/>
        <v>#REF!</v>
      </c>
      <c r="H523" s="76"/>
    </row>
    <row r="524" spans="1:8" x14ac:dyDescent="0.35">
      <c r="A524" s="35"/>
      <c r="B524" s="35">
        <v>516</v>
      </c>
      <c r="C524" s="35" t="s">
        <v>360</v>
      </c>
      <c r="D524" s="174">
        <v>100</v>
      </c>
      <c r="E524" s="35">
        <v>3</v>
      </c>
      <c r="F524" s="38">
        <v>8126</v>
      </c>
      <c r="G524" s="38">
        <f t="shared" si="22"/>
        <v>24378</v>
      </c>
      <c r="H524" s="76"/>
    </row>
    <row r="525" spans="1:8" x14ac:dyDescent="0.35">
      <c r="A525" s="35"/>
      <c r="B525" s="35" t="e">
        <f>#REF!</f>
        <v>#REF!</v>
      </c>
      <c r="C525" s="35" t="e">
        <f>#REF!</f>
        <v>#REF!</v>
      </c>
      <c r="D525" s="174" t="e">
        <f>#REF!</f>
        <v>#REF!</v>
      </c>
      <c r="E525" s="35">
        <v>46</v>
      </c>
      <c r="F525" s="38" t="e">
        <f>#REF!</f>
        <v>#REF!</v>
      </c>
      <c r="G525" s="38"/>
      <c r="H525" s="76"/>
    </row>
    <row r="526" spans="1:8" x14ac:dyDescent="0.35">
      <c r="A526" s="35"/>
      <c r="B526" s="35">
        <v>381</v>
      </c>
      <c r="C526" s="35" t="s">
        <v>331</v>
      </c>
      <c r="D526" s="174" t="s">
        <v>333</v>
      </c>
      <c r="E526" s="35">
        <v>30</v>
      </c>
      <c r="F526" s="38">
        <v>964</v>
      </c>
      <c r="G526" s="38">
        <f t="shared" si="22"/>
        <v>28920</v>
      </c>
      <c r="H526" s="76"/>
    </row>
    <row r="527" spans="1:8" x14ac:dyDescent="0.35">
      <c r="A527" s="35"/>
      <c r="B527" s="35" t="e">
        <f>#REF!</f>
        <v>#REF!</v>
      </c>
      <c r="C527" s="35" t="e">
        <f>#REF!</f>
        <v>#REF!</v>
      </c>
      <c r="D527" s="174" t="e">
        <f>#REF!</f>
        <v>#REF!</v>
      </c>
      <c r="E527" s="35">
        <v>13</v>
      </c>
      <c r="F527" s="38" t="e">
        <f>#REF!</f>
        <v>#REF!</v>
      </c>
      <c r="G527" s="38" t="e">
        <f t="shared" si="22"/>
        <v>#REF!</v>
      </c>
      <c r="H527" s="76"/>
    </row>
    <row r="528" spans="1:8" x14ac:dyDescent="0.35">
      <c r="A528" s="35"/>
      <c r="B528" s="35" t="e">
        <f>#REF!</f>
        <v>#REF!</v>
      </c>
      <c r="C528" s="35" t="e">
        <f>#REF!</f>
        <v>#REF!</v>
      </c>
      <c r="D528" s="174" t="e">
        <f>#REF!</f>
        <v>#REF!</v>
      </c>
      <c r="E528" s="35">
        <v>50</v>
      </c>
      <c r="F528" s="38" t="e">
        <f>#REF!</f>
        <v>#REF!</v>
      </c>
      <c r="G528" s="38" t="e">
        <f t="shared" si="22"/>
        <v>#REF!</v>
      </c>
      <c r="H528" s="76"/>
    </row>
    <row r="529" spans="1:8" ht="23.25" x14ac:dyDescent="0.35">
      <c r="A529" s="35"/>
      <c r="B529" s="35" t="e">
        <f>#REF!</f>
        <v>#REF!</v>
      </c>
      <c r="C529" s="35" t="e">
        <f>#REF!</f>
        <v>#REF!</v>
      </c>
      <c r="D529" s="174" t="e">
        <f>#REF!</f>
        <v>#REF!</v>
      </c>
      <c r="E529" s="35">
        <v>75</v>
      </c>
      <c r="F529" s="38" t="e">
        <f>#REF!</f>
        <v>#REF!</v>
      </c>
      <c r="G529" s="38" t="e">
        <f t="shared" si="22"/>
        <v>#REF!</v>
      </c>
      <c r="H529" s="186" t="e">
        <f>SUM(G501:G529)</f>
        <v>#REF!</v>
      </c>
    </row>
    <row r="530" spans="1:8" x14ac:dyDescent="0.35">
      <c r="A530" s="35"/>
      <c r="B530" s="35"/>
      <c r="C530" s="188"/>
      <c r="D530" s="181"/>
      <c r="E530" s="189"/>
      <c r="F530" s="190"/>
      <c r="G530" s="191"/>
      <c r="H530" s="76"/>
    </row>
    <row r="531" spans="1:8" x14ac:dyDescent="0.35">
      <c r="A531" s="35"/>
      <c r="B531" s="35"/>
      <c r="C531" s="188"/>
      <c r="D531" s="181"/>
      <c r="E531" s="189"/>
      <c r="F531" s="190"/>
      <c r="G531" s="191"/>
      <c r="H531" s="76"/>
    </row>
    <row r="532" spans="1:8" x14ac:dyDescent="0.35">
      <c r="A532" s="35"/>
      <c r="B532" s="35"/>
      <c r="C532" s="188"/>
      <c r="D532" s="181"/>
      <c r="E532" s="189"/>
      <c r="F532" s="190"/>
      <c r="G532" s="191"/>
      <c r="H532" s="76"/>
    </row>
    <row r="533" spans="1:8" ht="23.25" x14ac:dyDescent="0.35">
      <c r="A533" s="35">
        <v>41</v>
      </c>
      <c r="B533" s="35"/>
      <c r="C533" s="77" t="s">
        <v>906</v>
      </c>
      <c r="D533" s="181"/>
      <c r="E533" s="189"/>
      <c r="F533" s="190"/>
      <c r="G533" s="191"/>
      <c r="H533" s="76"/>
    </row>
    <row r="534" spans="1:8" x14ac:dyDescent="0.35">
      <c r="A534" s="35"/>
      <c r="B534" s="35" t="e">
        <f>#REF!</f>
        <v>#REF!</v>
      </c>
      <c r="C534" s="35" t="e">
        <f>#REF!</f>
        <v>#REF!</v>
      </c>
      <c r="D534" s="174" t="e">
        <f>#REF!</f>
        <v>#REF!</v>
      </c>
      <c r="E534" s="35">
        <v>5</v>
      </c>
      <c r="F534" s="38" t="e">
        <f>#REF!</f>
        <v>#REF!</v>
      </c>
      <c r="G534" s="38" t="e">
        <f>E534*F534</f>
        <v>#REF!</v>
      </c>
      <c r="H534" s="76"/>
    </row>
    <row r="535" spans="1:8" x14ac:dyDescent="0.35">
      <c r="A535" s="35"/>
      <c r="B535" s="35" t="e">
        <f>#REF!</f>
        <v>#REF!</v>
      </c>
      <c r="C535" s="35" t="e">
        <f>#REF!</f>
        <v>#REF!</v>
      </c>
      <c r="D535" s="174" t="e">
        <f>#REF!</f>
        <v>#REF!</v>
      </c>
      <c r="E535" s="35">
        <v>43</v>
      </c>
      <c r="F535" s="38" t="e">
        <f>#REF!</f>
        <v>#REF!</v>
      </c>
      <c r="G535" s="38" t="e">
        <f>E535*F535</f>
        <v>#REF!</v>
      </c>
      <c r="H535" s="76"/>
    </row>
    <row r="536" spans="1:8" ht="23.25" x14ac:dyDescent="0.35">
      <c r="A536" s="35"/>
      <c r="B536" s="35" t="e">
        <f>#REF!</f>
        <v>#REF!</v>
      </c>
      <c r="C536" s="35" t="e">
        <f>#REF!</f>
        <v>#REF!</v>
      </c>
      <c r="D536" s="174" t="e">
        <f>#REF!</f>
        <v>#REF!</v>
      </c>
      <c r="E536" s="35">
        <v>52</v>
      </c>
      <c r="F536" s="38" t="e">
        <f>#REF!</f>
        <v>#REF!</v>
      </c>
      <c r="G536" s="38" t="e">
        <f>E536*F536</f>
        <v>#REF!</v>
      </c>
      <c r="H536" s="186" t="e">
        <f>SUM(G534:G536)</f>
        <v>#REF!</v>
      </c>
    </row>
    <row r="537" spans="1:8" x14ac:dyDescent="0.35">
      <c r="A537" s="35"/>
      <c r="B537" s="35"/>
      <c r="C537" s="188"/>
      <c r="D537" s="181"/>
      <c r="E537" s="189"/>
      <c r="F537" s="190"/>
      <c r="G537" s="191"/>
      <c r="H537" s="76"/>
    </row>
    <row r="538" spans="1:8" ht="21.75" thickBot="1" x14ac:dyDescent="0.4">
      <c r="A538" s="35"/>
      <c r="B538" s="35"/>
      <c r="C538" s="188"/>
      <c r="D538" s="181"/>
      <c r="E538" s="189"/>
      <c r="F538" s="190"/>
      <c r="G538" s="191"/>
      <c r="H538" s="185"/>
    </row>
    <row r="539" spans="1:8" ht="27" thickBot="1" x14ac:dyDescent="0.45">
      <c r="A539" s="35"/>
      <c r="B539" s="35"/>
      <c r="C539" s="188"/>
      <c r="D539" s="181"/>
      <c r="E539" s="189"/>
      <c r="F539" s="190"/>
      <c r="G539" s="193" t="s">
        <v>666</v>
      </c>
      <c r="H539" s="194" t="e">
        <f>SUM(H5:H537)</f>
        <v>#REF!</v>
      </c>
    </row>
    <row r="543" spans="1:8" ht="31.5" x14ac:dyDescent="0.5">
      <c r="B543" s="840" t="s">
        <v>1049</v>
      </c>
      <c r="C543" s="840"/>
      <c r="D543" s="840"/>
      <c r="E543" s="840"/>
      <c r="F543" s="840"/>
      <c r="G543" s="840"/>
    </row>
    <row r="544" spans="1:8" ht="26.25" x14ac:dyDescent="0.4">
      <c r="B544" s="35"/>
      <c r="C544" s="195" t="s">
        <v>917</v>
      </c>
      <c r="D544" s="849" t="s">
        <v>918</v>
      </c>
      <c r="E544" s="849"/>
      <c r="F544" s="849"/>
      <c r="G544" s="849"/>
    </row>
    <row r="545" spans="2:7" x14ac:dyDescent="0.35">
      <c r="B545" s="35"/>
      <c r="C545" s="188"/>
      <c r="D545" s="845"/>
      <c r="E545" s="845"/>
      <c r="F545" s="845"/>
      <c r="G545" s="845"/>
    </row>
    <row r="546" spans="2:7" x14ac:dyDescent="0.35">
      <c r="B546" s="35">
        <v>1</v>
      </c>
      <c r="C546" s="35" t="str">
        <f>C4</f>
        <v>ALPHA PHARMACY LIMITED</v>
      </c>
      <c r="D546" s="841" t="e">
        <f>H30</f>
        <v>#REF!</v>
      </c>
      <c r="E546" s="842"/>
      <c r="F546" s="842"/>
      <c r="G546" s="842"/>
    </row>
    <row r="547" spans="2:7" x14ac:dyDescent="0.35">
      <c r="B547" s="35">
        <f>1+B546</f>
        <v>2</v>
      </c>
      <c r="C547" s="35" t="str">
        <f>C37</f>
        <v>ASSENE LABOREX LIMITED</v>
      </c>
      <c r="D547" s="841" t="e">
        <f>H43</f>
        <v>#REF!</v>
      </c>
      <c r="E547" s="842"/>
      <c r="F547" s="842"/>
      <c r="G547" s="842"/>
    </row>
    <row r="548" spans="2:7" x14ac:dyDescent="0.35">
      <c r="B548" s="35">
        <f t="shared" ref="B548:B586" si="23">1+B547</f>
        <v>3</v>
      </c>
      <c r="C548" s="35" t="str">
        <f>C46</f>
        <v>BIOFEM PHARMACEUTICALS LIMITED</v>
      </c>
      <c r="D548" s="841" t="e">
        <f>H49</f>
        <v>#REF!</v>
      </c>
      <c r="E548" s="842"/>
      <c r="F548" s="842"/>
      <c r="G548" s="842"/>
    </row>
    <row r="549" spans="2:7" x14ac:dyDescent="0.35">
      <c r="B549" s="35">
        <f t="shared" si="23"/>
        <v>4</v>
      </c>
      <c r="C549" s="35" t="str">
        <f>C52</f>
        <v>BIOMEDICAL LIMITED</v>
      </c>
      <c r="D549" s="841" t="e">
        <f>H57</f>
        <v>#REF!</v>
      </c>
      <c r="E549" s="842"/>
      <c r="F549" s="842"/>
      <c r="G549" s="842"/>
    </row>
    <row r="550" spans="2:7" x14ac:dyDescent="0.35">
      <c r="B550" s="35">
        <f t="shared" si="23"/>
        <v>5</v>
      </c>
      <c r="C550" s="35" t="str">
        <f>C61</f>
        <v>CODIX PHARMA LIMITED</v>
      </c>
      <c r="D550" s="841" t="e">
        <f>H68</f>
        <v>#REF!</v>
      </c>
      <c r="E550" s="842"/>
      <c r="F550" s="842"/>
      <c r="G550" s="842"/>
    </row>
    <row r="551" spans="2:7" x14ac:dyDescent="0.35">
      <c r="B551" s="35">
        <f t="shared" si="23"/>
        <v>6</v>
      </c>
      <c r="C551" s="35" t="str">
        <f>C72</f>
        <v>DE SANCON &amp; ASSOCIATES</v>
      </c>
      <c r="D551" s="841" t="e">
        <f>H78</f>
        <v>#REF!</v>
      </c>
      <c r="E551" s="842"/>
      <c r="F551" s="842"/>
      <c r="G551" s="842"/>
    </row>
    <row r="552" spans="2:7" x14ac:dyDescent="0.35">
      <c r="B552" s="35">
        <f t="shared" si="23"/>
        <v>7</v>
      </c>
      <c r="C552" s="35" t="str">
        <f>C81</f>
        <v>DRUGFIELD SPECIALTIES LIMITED</v>
      </c>
      <c r="D552" s="841" t="e">
        <f>H86</f>
        <v>#REF!</v>
      </c>
      <c r="E552" s="842"/>
      <c r="F552" s="842"/>
      <c r="G552" s="842"/>
    </row>
    <row r="553" spans="2:7" x14ac:dyDescent="0.35">
      <c r="B553" s="35">
        <f t="shared" si="23"/>
        <v>8</v>
      </c>
      <c r="C553" s="35" t="str">
        <f>C88</f>
        <v>DORTEMAG VENTURES LIMITED</v>
      </c>
      <c r="D553" s="841" t="e">
        <f>H94</f>
        <v>#REF!</v>
      </c>
      <c r="E553" s="842"/>
      <c r="F553" s="842"/>
      <c r="G553" s="842"/>
    </row>
    <row r="554" spans="2:7" x14ac:dyDescent="0.35">
      <c r="B554" s="35">
        <f t="shared" si="23"/>
        <v>9</v>
      </c>
      <c r="C554" s="35" t="str">
        <f>C96</f>
        <v>EMZOR PHARMACEUTICAL INDUSTRIES LIMITED</v>
      </c>
      <c r="D554" s="841" t="e">
        <f>H107</f>
        <v>#REF!</v>
      </c>
      <c r="E554" s="842"/>
      <c r="F554" s="842"/>
      <c r="G554" s="842"/>
    </row>
    <row r="555" spans="2:7" x14ac:dyDescent="0.35">
      <c r="B555" s="35">
        <f t="shared" si="23"/>
        <v>10</v>
      </c>
      <c r="C555" s="35" t="str">
        <f>C109</f>
        <v>EUMATT SERVICES LIMITED</v>
      </c>
      <c r="D555" s="841" t="e">
        <f>H220</f>
        <v>#REF!</v>
      </c>
      <c r="E555" s="842"/>
      <c r="F555" s="842"/>
      <c r="G555" s="842"/>
    </row>
    <row r="556" spans="2:7" x14ac:dyDescent="0.35">
      <c r="B556" s="35">
        <f t="shared" si="23"/>
        <v>11</v>
      </c>
      <c r="C556" s="35" t="str">
        <f>C223</f>
        <v>FIRST CHOICE GLOBAL UTILITIES LIMITED</v>
      </c>
      <c r="D556" s="841" t="e">
        <f>H228</f>
        <v>#REF!</v>
      </c>
      <c r="E556" s="842"/>
      <c r="F556" s="842"/>
      <c r="G556" s="842"/>
    </row>
    <row r="557" spans="2:7" x14ac:dyDescent="0.35">
      <c r="B557" s="35">
        <f t="shared" si="23"/>
        <v>12</v>
      </c>
      <c r="C557" s="35" t="str">
        <f>C230</f>
        <v>FIDSON HEALTHCARE</v>
      </c>
      <c r="D557" s="841" t="e">
        <f>H244</f>
        <v>#REF!</v>
      </c>
      <c r="E557" s="842"/>
      <c r="F557" s="842"/>
      <c r="G557" s="842"/>
    </row>
    <row r="558" spans="2:7" x14ac:dyDescent="0.35">
      <c r="B558" s="35">
        <f t="shared" si="23"/>
        <v>13</v>
      </c>
      <c r="C558" s="35" t="str">
        <f>C247</f>
        <v>GENEITH PHARMACEUTICALS LIMITED</v>
      </c>
      <c r="D558" s="841" t="e">
        <f>H253</f>
        <v>#REF!</v>
      </c>
      <c r="E558" s="842"/>
      <c r="F558" s="842"/>
      <c r="G558" s="842"/>
    </row>
    <row r="559" spans="2:7" x14ac:dyDescent="0.35">
      <c r="B559" s="35">
        <f t="shared" si="23"/>
        <v>14</v>
      </c>
      <c r="C559" s="35" t="str">
        <f>C260</f>
        <v>GLAXOSMITHKLINE PHARMACEUTICALS NIGERIA</v>
      </c>
      <c r="D559" s="841" t="e">
        <f>H269</f>
        <v>#REF!</v>
      </c>
      <c r="E559" s="842"/>
      <c r="F559" s="842"/>
      <c r="G559" s="842"/>
    </row>
    <row r="560" spans="2:7" x14ac:dyDescent="0.35">
      <c r="B560" s="35">
        <f t="shared" si="23"/>
        <v>15</v>
      </c>
      <c r="C560" s="35" t="str">
        <f>C272</f>
        <v>GLOBAL ORGANICS NIGERIA LIMITED</v>
      </c>
      <c r="D560" s="841" t="e">
        <f>H277</f>
        <v>#REF!</v>
      </c>
      <c r="E560" s="842"/>
      <c r="F560" s="842"/>
      <c r="G560" s="842"/>
    </row>
    <row r="561" spans="2:7" x14ac:dyDescent="0.35">
      <c r="B561" s="35">
        <f t="shared" si="23"/>
        <v>16</v>
      </c>
      <c r="C561" s="35" t="str">
        <f>C280</f>
        <v>GREENLIFE PHARMACEUTICALS LIMITED</v>
      </c>
      <c r="D561" s="841" t="e">
        <f>H282</f>
        <v>#REF!</v>
      </c>
      <c r="E561" s="842"/>
      <c r="F561" s="842"/>
      <c r="G561" s="842"/>
    </row>
    <row r="562" spans="2:7" x14ac:dyDescent="0.35">
      <c r="B562" s="35">
        <f t="shared" si="23"/>
        <v>17</v>
      </c>
      <c r="C562" s="35" t="str">
        <f>C286</f>
        <v>HOSPITAL MANAGEMENT BOARD (CENTRAL MEDICAL STORE), ABEOKUTA</v>
      </c>
      <c r="D562" s="841">
        <f>H290</f>
        <v>2079000</v>
      </c>
      <c r="E562" s="842"/>
      <c r="F562" s="842"/>
      <c r="G562" s="842"/>
    </row>
    <row r="563" spans="2:7" x14ac:dyDescent="0.35">
      <c r="B563" s="35">
        <f t="shared" si="23"/>
        <v>18</v>
      </c>
      <c r="C563" s="35" t="str">
        <f>C296</f>
        <v>INTER-ROTECH NIGERIA LIMTIED</v>
      </c>
      <c r="D563" s="841" t="e">
        <f>H300</f>
        <v>#REF!</v>
      </c>
      <c r="E563" s="842"/>
      <c r="F563" s="842"/>
      <c r="G563" s="842"/>
    </row>
    <row r="564" spans="2:7" x14ac:dyDescent="0.35">
      <c r="B564" s="35">
        <f t="shared" si="23"/>
        <v>19</v>
      </c>
      <c r="C564" s="35" t="str">
        <f>C305</f>
        <v>JAWA INTERNATIONAL LIMITED</v>
      </c>
      <c r="D564" s="841" t="e">
        <f>H310</f>
        <v>#REF!</v>
      </c>
      <c r="E564" s="842"/>
      <c r="F564" s="842"/>
      <c r="G564" s="842"/>
    </row>
    <row r="565" spans="2:7" x14ac:dyDescent="0.35">
      <c r="B565" s="35">
        <f t="shared" si="23"/>
        <v>20</v>
      </c>
      <c r="C565" s="35" t="str">
        <f>C314</f>
        <v>LEADWAY PHARMACEUTICALS LIMITED</v>
      </c>
      <c r="D565" s="841" t="e">
        <f>H327</f>
        <v>#REF!</v>
      </c>
      <c r="E565" s="842"/>
      <c r="F565" s="842"/>
      <c r="G565" s="842"/>
    </row>
    <row r="566" spans="2:7" x14ac:dyDescent="0.35">
      <c r="B566" s="35">
        <f t="shared" si="23"/>
        <v>21</v>
      </c>
      <c r="C566" s="35" t="str">
        <f>C333</f>
        <v>MANOLA PHARMACEUTICALS LIMITED</v>
      </c>
      <c r="D566" s="841" t="e">
        <f>H341</f>
        <v>#REF!</v>
      </c>
      <c r="E566" s="842"/>
      <c r="F566" s="842"/>
      <c r="G566" s="842"/>
    </row>
    <row r="567" spans="2:7" x14ac:dyDescent="0.35">
      <c r="B567" s="35">
        <f t="shared" si="23"/>
        <v>22</v>
      </c>
      <c r="C567" s="35" t="str">
        <f>C343</f>
        <v>MARCSON HEALTHCARE</v>
      </c>
      <c r="D567" s="841" t="e">
        <f>H348</f>
        <v>#REF!</v>
      </c>
      <c r="E567" s="842"/>
      <c r="F567" s="842"/>
      <c r="G567" s="842"/>
    </row>
    <row r="568" spans="2:7" x14ac:dyDescent="0.35">
      <c r="B568" s="35">
        <f t="shared" si="23"/>
        <v>23</v>
      </c>
      <c r="C568" s="35" t="str">
        <f>C351</f>
        <v>MAY &amp; BAKER NIGERIA LIMITED</v>
      </c>
      <c r="D568" s="841" t="e">
        <f>H359</f>
        <v>#REF!</v>
      </c>
      <c r="E568" s="842"/>
      <c r="F568" s="842"/>
      <c r="G568" s="842"/>
    </row>
    <row r="569" spans="2:7" x14ac:dyDescent="0.35">
      <c r="B569" s="35">
        <f t="shared" si="23"/>
        <v>24</v>
      </c>
      <c r="C569" s="35" t="str">
        <f>C362</f>
        <v>MEGA LIFESCIENCES NIGERIA LIMITED</v>
      </c>
      <c r="D569" s="841" t="e">
        <f>H367</f>
        <v>#REF!</v>
      </c>
      <c r="E569" s="842"/>
      <c r="F569" s="842"/>
      <c r="G569" s="842"/>
    </row>
    <row r="570" spans="2:7" x14ac:dyDescent="0.35">
      <c r="B570" s="35">
        <f t="shared" si="23"/>
        <v>25</v>
      </c>
      <c r="C570" s="35" t="str">
        <f>C369</f>
        <v>MICRONOVA PHARM. IND. LTD</v>
      </c>
      <c r="D570" s="841" t="e">
        <f>H378</f>
        <v>#REF!</v>
      </c>
      <c r="E570" s="842"/>
      <c r="F570" s="842"/>
      <c r="G570" s="842"/>
    </row>
    <row r="571" spans="2:7" x14ac:dyDescent="0.35">
      <c r="B571" s="35">
        <f t="shared" si="23"/>
        <v>26</v>
      </c>
      <c r="C571" s="35" t="str">
        <f>C380</f>
        <v>MIRAFLASH NIGERIA LIMITED</v>
      </c>
      <c r="D571" s="841" t="e">
        <f>H384</f>
        <v>#REF!</v>
      </c>
      <c r="E571" s="842"/>
      <c r="F571" s="842"/>
      <c r="G571" s="842"/>
    </row>
    <row r="572" spans="2:7" x14ac:dyDescent="0.35">
      <c r="B572" s="35">
        <f t="shared" si="23"/>
        <v>27</v>
      </c>
      <c r="C572" s="35" t="str">
        <f>C387</f>
        <v>MORISON INDUSTRIES PLC</v>
      </c>
      <c r="D572" s="841" t="e">
        <f>H389</f>
        <v>#REF!</v>
      </c>
      <c r="E572" s="842"/>
      <c r="F572" s="842"/>
      <c r="G572" s="842"/>
    </row>
    <row r="573" spans="2:7" x14ac:dyDescent="0.35">
      <c r="B573" s="35">
        <f t="shared" si="23"/>
        <v>28</v>
      </c>
      <c r="C573" s="35" t="str">
        <f>C392</f>
        <v>OMAK HEALTHCARE SERVICES</v>
      </c>
      <c r="D573" s="841" t="e">
        <f>H395</f>
        <v>#REF!</v>
      </c>
      <c r="E573" s="842"/>
      <c r="F573" s="842"/>
      <c r="G573" s="842"/>
    </row>
    <row r="574" spans="2:7" x14ac:dyDescent="0.35">
      <c r="B574" s="35">
        <f t="shared" si="23"/>
        <v>29</v>
      </c>
      <c r="C574" s="35" t="str">
        <f>C398</f>
        <v>PHAMATEX INDUSTRIES LIMITED</v>
      </c>
      <c r="D574" s="841" t="e">
        <f>H406</f>
        <v>#REF!</v>
      </c>
      <c r="E574" s="842"/>
      <c r="F574" s="842"/>
      <c r="G574" s="842"/>
    </row>
    <row r="575" spans="2:7" x14ac:dyDescent="0.35">
      <c r="B575" s="35">
        <f t="shared" si="23"/>
        <v>30</v>
      </c>
      <c r="C575" s="35" t="str">
        <f>C409</f>
        <v>PHARMAETHICS LIMITED</v>
      </c>
      <c r="D575" s="841" t="e">
        <f>H412</f>
        <v>#REF!</v>
      </c>
      <c r="E575" s="842"/>
      <c r="F575" s="842"/>
      <c r="G575" s="842"/>
    </row>
    <row r="576" spans="2:7" x14ac:dyDescent="0.35">
      <c r="B576" s="35">
        <f t="shared" si="23"/>
        <v>31</v>
      </c>
      <c r="C576" s="35" t="str">
        <f>C414</f>
        <v>PHILIPS PHARMACEUTICALS NIGERIA LIMITED</v>
      </c>
      <c r="D576" s="841" t="e">
        <f>H417</f>
        <v>#REF!</v>
      </c>
      <c r="E576" s="842"/>
      <c r="F576" s="842"/>
      <c r="G576" s="842"/>
    </row>
    <row r="577" spans="2:7" x14ac:dyDescent="0.35">
      <c r="B577" s="35">
        <f t="shared" si="23"/>
        <v>32</v>
      </c>
      <c r="C577" s="35" t="str">
        <f>C420</f>
        <v>RANBAXY NIGERIA LIMITED</v>
      </c>
      <c r="D577" s="841" t="e">
        <f>H427</f>
        <v>#REF!</v>
      </c>
      <c r="E577" s="842"/>
      <c r="F577" s="842"/>
      <c r="G577" s="842"/>
    </row>
    <row r="578" spans="2:7" x14ac:dyDescent="0.35">
      <c r="B578" s="35">
        <f t="shared" si="23"/>
        <v>33</v>
      </c>
      <c r="C578" s="35" t="str">
        <f>C430</f>
        <v>ROYAL PRIESTHOOD LIMITED</v>
      </c>
      <c r="D578" s="841" t="e">
        <f>H435</f>
        <v>#REF!</v>
      </c>
      <c r="E578" s="842"/>
      <c r="F578" s="842"/>
      <c r="G578" s="842"/>
    </row>
    <row r="579" spans="2:7" x14ac:dyDescent="0.35">
      <c r="B579" s="35">
        <f t="shared" si="23"/>
        <v>34</v>
      </c>
      <c r="C579" s="35" t="str">
        <f>C438</f>
        <v>SAM PHARMACEUTICALS LIMITED</v>
      </c>
      <c r="D579" s="841" t="e">
        <f>H444</f>
        <v>#REF!</v>
      </c>
      <c r="E579" s="842"/>
      <c r="F579" s="842"/>
      <c r="G579" s="842"/>
    </row>
    <row r="580" spans="2:7" x14ac:dyDescent="0.35">
      <c r="B580" s="35">
        <f t="shared" si="23"/>
        <v>35</v>
      </c>
      <c r="C580" s="35" t="str">
        <f>C446</f>
        <v>SKG PHARMA LIMITED</v>
      </c>
      <c r="D580" s="841" t="e">
        <f>H455</f>
        <v>#REF!</v>
      </c>
      <c r="E580" s="842"/>
      <c r="F580" s="842"/>
      <c r="G580" s="842"/>
    </row>
    <row r="581" spans="2:7" x14ac:dyDescent="0.35">
      <c r="B581" s="35">
        <f t="shared" si="23"/>
        <v>36</v>
      </c>
      <c r="C581" s="35" t="str">
        <f>C458</f>
        <v>TAH PHARMACEUTICALS LIMITED</v>
      </c>
      <c r="D581" s="841" t="e">
        <f>H464</f>
        <v>#REF!</v>
      </c>
      <c r="E581" s="842"/>
      <c r="F581" s="842"/>
      <c r="G581" s="842"/>
    </row>
    <row r="582" spans="2:7" x14ac:dyDescent="0.35">
      <c r="B582" s="35">
        <f t="shared" si="23"/>
        <v>37</v>
      </c>
      <c r="C582" s="35" t="str">
        <f>C467</f>
        <v>TAYLEK DRUGS COMPANY LTD</v>
      </c>
      <c r="D582" s="841" t="e">
        <f>H471</f>
        <v>#REF!</v>
      </c>
      <c r="E582" s="842"/>
      <c r="F582" s="842"/>
      <c r="G582" s="842"/>
    </row>
    <row r="583" spans="2:7" x14ac:dyDescent="0.35">
      <c r="B583" s="35">
        <f t="shared" si="23"/>
        <v>38</v>
      </c>
      <c r="C583" s="35" t="str">
        <f>C473</f>
        <v>UNIQUE PHARMACEUTICALS LIMITED</v>
      </c>
      <c r="D583" s="841" t="e">
        <f>H488</f>
        <v>#REF!</v>
      </c>
      <c r="E583" s="842"/>
      <c r="F583" s="842"/>
      <c r="G583" s="842"/>
    </row>
    <row r="584" spans="2:7" x14ac:dyDescent="0.35">
      <c r="B584" s="35">
        <f t="shared" si="23"/>
        <v>39</v>
      </c>
      <c r="C584" s="35" t="str">
        <f>C490</f>
        <v>VIXA PHARMACEUTICALS COMPANY LIMITED</v>
      </c>
      <c r="D584" s="841" t="e">
        <f>H497</f>
        <v>#REF!</v>
      </c>
      <c r="E584" s="842"/>
      <c r="F584" s="842"/>
      <c r="G584" s="842"/>
    </row>
    <row r="585" spans="2:7" x14ac:dyDescent="0.35">
      <c r="B585" s="35">
        <f t="shared" si="23"/>
        <v>40</v>
      </c>
      <c r="C585" s="35" t="str">
        <f>C500</f>
        <v>WORLDWIDE COMMERCIAL VENTURES</v>
      </c>
      <c r="D585" s="841" t="e">
        <f>H529</f>
        <v>#REF!</v>
      </c>
      <c r="E585" s="842"/>
      <c r="F585" s="842"/>
      <c r="G585" s="842"/>
    </row>
    <row r="586" spans="2:7" x14ac:dyDescent="0.35">
      <c r="B586" s="35">
        <f t="shared" si="23"/>
        <v>41</v>
      </c>
      <c r="C586" s="35" t="str">
        <f>C533</f>
        <v>ZOLON HEALTHCARE LIMITED</v>
      </c>
      <c r="D586" s="841" t="e">
        <f>H536</f>
        <v>#REF!</v>
      </c>
      <c r="E586" s="842"/>
      <c r="F586" s="842"/>
      <c r="G586" s="842"/>
    </row>
    <row r="587" spans="2:7" ht="21.75" thickBot="1" x14ac:dyDescent="0.4">
      <c r="D587" s="836"/>
      <c r="E587" s="836"/>
      <c r="F587" s="836"/>
      <c r="G587" s="836"/>
    </row>
    <row r="588" spans="2:7" ht="29.25" thickBot="1" x14ac:dyDescent="0.5">
      <c r="D588" s="846" t="e">
        <f>SUM(D546:G586)</f>
        <v>#REF!</v>
      </c>
      <c r="E588" s="847"/>
      <c r="F588" s="847"/>
      <c r="G588" s="848"/>
    </row>
    <row r="589" spans="2:7" x14ac:dyDescent="0.35">
      <c r="D589" s="836"/>
      <c r="E589" s="836"/>
      <c r="F589" s="836"/>
      <c r="G589" s="836"/>
    </row>
    <row r="590" spans="2:7" x14ac:dyDescent="0.35">
      <c r="D590" s="836"/>
      <c r="E590" s="836"/>
      <c r="F590" s="836"/>
      <c r="G590" s="836"/>
    </row>
    <row r="591" spans="2:7" x14ac:dyDescent="0.35">
      <c r="D591" s="836"/>
      <c r="E591" s="836"/>
      <c r="F591" s="836"/>
      <c r="G591" s="836"/>
    </row>
    <row r="592" spans="2:7" x14ac:dyDescent="0.35">
      <c r="D592" s="836"/>
      <c r="E592" s="836"/>
      <c r="F592" s="836"/>
      <c r="G592" s="836"/>
    </row>
    <row r="593" spans="4:7" x14ac:dyDescent="0.35">
      <c r="D593" s="836"/>
      <c r="E593" s="836"/>
      <c r="F593" s="836"/>
      <c r="G593" s="836"/>
    </row>
  </sheetData>
  <mergeCells count="52">
    <mergeCell ref="D554:G554"/>
    <mergeCell ref="A1:H1"/>
    <mergeCell ref="D544:G544"/>
    <mergeCell ref="D545:G545"/>
    <mergeCell ref="D546:G546"/>
    <mergeCell ref="D547:G547"/>
    <mergeCell ref="D548:G548"/>
    <mergeCell ref="D549:G549"/>
    <mergeCell ref="D550:G550"/>
    <mergeCell ref="D551:G551"/>
    <mergeCell ref="D552:G552"/>
    <mergeCell ref="D553:G553"/>
    <mergeCell ref="D567:G567"/>
    <mergeCell ref="D555:G555"/>
    <mergeCell ref="D556:G556"/>
    <mergeCell ref="D557:G557"/>
    <mergeCell ref="D558:G558"/>
    <mergeCell ref="D559:G559"/>
    <mergeCell ref="D560:G560"/>
    <mergeCell ref="D561:G561"/>
    <mergeCell ref="D563:G563"/>
    <mergeCell ref="D564:G564"/>
    <mergeCell ref="D565:G565"/>
    <mergeCell ref="D566:G566"/>
    <mergeCell ref="D579:G579"/>
    <mergeCell ref="D568:G568"/>
    <mergeCell ref="D569:G569"/>
    <mergeCell ref="D570:G570"/>
    <mergeCell ref="D571:G571"/>
    <mergeCell ref="D572:G572"/>
    <mergeCell ref="D573:G573"/>
    <mergeCell ref="D574:G574"/>
    <mergeCell ref="D575:G575"/>
    <mergeCell ref="D576:G576"/>
    <mergeCell ref="D577:G577"/>
    <mergeCell ref="D578:G578"/>
    <mergeCell ref="D592:G592"/>
    <mergeCell ref="D593:G593"/>
    <mergeCell ref="D562:G562"/>
    <mergeCell ref="B543:G543"/>
    <mergeCell ref="D586:G586"/>
    <mergeCell ref="D587:G587"/>
    <mergeCell ref="D588:G588"/>
    <mergeCell ref="D589:G589"/>
    <mergeCell ref="D590:G590"/>
    <mergeCell ref="D591:G591"/>
    <mergeCell ref="D580:G580"/>
    <mergeCell ref="D581:G581"/>
    <mergeCell ref="D582:G582"/>
    <mergeCell ref="D583:G583"/>
    <mergeCell ref="D584:G584"/>
    <mergeCell ref="D585:G585"/>
  </mergeCells>
  <pageMargins left="0.25" right="0.25" top="0.75" bottom="0.75" header="0.3" footer="0.3"/>
  <pageSetup paperSize="9" scale="68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K234"/>
  <sheetViews>
    <sheetView view="pageBreakPreview" zoomScale="70" zoomScaleNormal="100" zoomScaleSheetLayoutView="70" workbookViewId="0">
      <selection activeCell="F100" sqref="F100"/>
    </sheetView>
  </sheetViews>
  <sheetFormatPr defaultRowHeight="18.75" x14ac:dyDescent="0.3"/>
  <cols>
    <col min="3" max="3" width="53.7109375" customWidth="1"/>
    <col min="4" max="4" width="9.140625" style="26"/>
    <col min="5" max="5" width="16.28515625" customWidth="1"/>
    <col min="6" max="6" width="17.7109375" style="27" bestFit="1" customWidth="1"/>
    <col min="7" max="7" width="21" style="27" customWidth="1"/>
    <col min="8" max="8" width="21.7109375" style="42" customWidth="1"/>
    <col min="9" max="9" width="4.28515625" style="42" customWidth="1"/>
    <col min="10" max="10" width="24.42578125" style="293" customWidth="1"/>
    <col min="11" max="11" width="24.5703125" style="293" customWidth="1"/>
  </cols>
  <sheetData>
    <row r="1" spans="1:11" ht="28.5" customHeight="1" x14ac:dyDescent="0.25">
      <c r="A1" s="876" t="s">
        <v>1188</v>
      </c>
      <c r="B1" s="876"/>
      <c r="C1" s="876"/>
      <c r="D1" s="876"/>
      <c r="E1" s="876"/>
      <c r="F1" s="876"/>
      <c r="G1" s="876"/>
      <c r="H1" s="876"/>
      <c r="I1" s="295"/>
    </row>
    <row r="2" spans="1:11" ht="19.5" thickBot="1" x14ac:dyDescent="0.35"/>
    <row r="3" spans="1:11" s="2" customFormat="1" ht="97.5" customHeight="1" x14ac:dyDescent="0.25">
      <c r="A3" s="296" t="s">
        <v>658</v>
      </c>
      <c r="B3" s="266" t="s">
        <v>659</v>
      </c>
      <c r="C3" s="266" t="s">
        <v>660</v>
      </c>
      <c r="D3" s="266" t="s">
        <v>500</v>
      </c>
      <c r="E3" s="297" t="s">
        <v>1078</v>
      </c>
      <c r="F3" s="298" t="s">
        <v>661</v>
      </c>
      <c r="G3" s="299" t="s">
        <v>550</v>
      </c>
      <c r="H3" s="267" t="s">
        <v>1109</v>
      </c>
      <c r="I3" s="24"/>
      <c r="J3" s="265" t="s">
        <v>1192</v>
      </c>
      <c r="K3" s="267" t="s">
        <v>1196</v>
      </c>
    </row>
    <row r="4" spans="1:11" s="304" customFormat="1" ht="21" x14ac:dyDescent="0.35">
      <c r="A4" s="270">
        <v>1</v>
      </c>
      <c r="B4" s="68"/>
      <c r="C4" s="68" t="s">
        <v>1097</v>
      </c>
      <c r="D4" s="300"/>
      <c r="E4" s="68"/>
      <c r="F4" s="76"/>
      <c r="G4" s="76"/>
      <c r="H4" s="301"/>
      <c r="I4" s="67"/>
      <c r="J4" s="302"/>
      <c r="K4" s="303"/>
    </row>
    <row r="5" spans="1:11" s="304" customFormat="1" ht="21" x14ac:dyDescent="0.35">
      <c r="A5" s="270"/>
      <c r="B5" s="68">
        <v>255</v>
      </c>
      <c r="C5" s="68" t="s">
        <v>182</v>
      </c>
      <c r="D5" s="300" t="s">
        <v>57</v>
      </c>
      <c r="E5" s="68">
        <v>50</v>
      </c>
      <c r="F5" s="76">
        <v>2800</v>
      </c>
      <c r="G5" s="76">
        <f>E5*F5</f>
        <v>140000</v>
      </c>
      <c r="H5" s="305"/>
      <c r="I5" s="306"/>
      <c r="J5" s="302">
        <v>30</v>
      </c>
      <c r="K5" s="303">
        <v>143</v>
      </c>
    </row>
    <row r="6" spans="1:11" s="304" customFormat="1" ht="21" x14ac:dyDescent="0.35">
      <c r="A6" s="270"/>
      <c r="B6" s="68">
        <v>208</v>
      </c>
      <c r="C6" s="23" t="s">
        <v>153</v>
      </c>
      <c r="D6" s="300">
        <v>10</v>
      </c>
      <c r="E6" s="68">
        <v>13</v>
      </c>
      <c r="F6" s="76">
        <v>2300</v>
      </c>
      <c r="G6" s="76">
        <f>E6*F6</f>
        <v>29900</v>
      </c>
      <c r="H6" s="305">
        <f>SUM(G5:G6)</f>
        <v>169900</v>
      </c>
      <c r="I6" s="306"/>
      <c r="J6" s="302">
        <v>2</v>
      </c>
      <c r="K6" s="303">
        <v>13</v>
      </c>
    </row>
    <row r="7" spans="1:11" s="304" customFormat="1" ht="21" x14ac:dyDescent="0.35">
      <c r="A7" s="270"/>
      <c r="B7" s="68"/>
      <c r="C7" s="68"/>
      <c r="D7" s="300"/>
      <c r="E7" s="68"/>
      <c r="F7" s="76"/>
      <c r="G7" s="76"/>
      <c r="H7" s="301"/>
      <c r="I7" s="67"/>
      <c r="J7" s="302"/>
      <c r="K7" s="303"/>
    </row>
    <row r="8" spans="1:11" s="304" customFormat="1" ht="21" x14ac:dyDescent="0.35">
      <c r="A8" s="270">
        <v>2</v>
      </c>
      <c r="B8" s="68"/>
      <c r="C8" s="68" t="s">
        <v>1180</v>
      </c>
      <c r="D8" s="300"/>
      <c r="E8" s="68"/>
      <c r="F8" s="76"/>
      <c r="G8" s="76"/>
      <c r="H8" s="301"/>
      <c r="I8" s="67"/>
      <c r="J8" s="302"/>
      <c r="K8" s="303"/>
    </row>
    <row r="9" spans="1:11" s="304" customFormat="1" ht="21" x14ac:dyDescent="0.35">
      <c r="A9" s="270"/>
      <c r="B9" s="68">
        <v>165</v>
      </c>
      <c r="C9" s="68" t="s">
        <v>447</v>
      </c>
      <c r="D9" s="300" t="s">
        <v>57</v>
      </c>
      <c r="E9" s="68">
        <v>50</v>
      </c>
      <c r="F9" s="76">
        <v>272.8</v>
      </c>
      <c r="G9" s="76">
        <f>E9*F9</f>
        <v>13640</v>
      </c>
      <c r="H9" s="305">
        <f>SUM(G9:G9)</f>
        <v>13640</v>
      </c>
      <c r="I9" s="306"/>
      <c r="J9" s="302" t="s">
        <v>1191</v>
      </c>
      <c r="K9" s="303" t="s">
        <v>1197</v>
      </c>
    </row>
    <row r="10" spans="1:11" s="304" customFormat="1" ht="21" x14ac:dyDescent="0.35">
      <c r="A10" s="270"/>
      <c r="B10" s="68"/>
      <c r="C10" s="68"/>
      <c r="D10" s="300"/>
      <c r="E10" s="68"/>
      <c r="F10" s="76"/>
      <c r="G10" s="76"/>
      <c r="H10" s="305"/>
      <c r="I10" s="306"/>
      <c r="J10" s="302"/>
      <c r="K10" s="303"/>
    </row>
    <row r="11" spans="1:11" s="304" customFormat="1" ht="21" x14ac:dyDescent="0.35">
      <c r="A11" s="270"/>
      <c r="B11" s="68"/>
      <c r="C11" s="68"/>
      <c r="D11" s="300"/>
      <c r="E11" s="68"/>
      <c r="F11" s="76"/>
      <c r="G11" s="76"/>
      <c r="H11" s="305"/>
      <c r="I11" s="306"/>
      <c r="J11" s="302"/>
      <c r="K11" s="303"/>
    </row>
    <row r="12" spans="1:11" s="304" customFormat="1" ht="21" x14ac:dyDescent="0.35">
      <c r="A12" s="270">
        <v>3</v>
      </c>
      <c r="B12" s="68"/>
      <c r="C12" s="68" t="s">
        <v>877</v>
      </c>
      <c r="D12" s="300"/>
      <c r="E12" s="68"/>
      <c r="F12" s="76"/>
      <c r="G12" s="76"/>
      <c r="H12" s="301"/>
      <c r="I12" s="67"/>
      <c r="J12" s="302"/>
      <c r="K12" s="303"/>
    </row>
    <row r="13" spans="1:11" s="304" customFormat="1" ht="21" x14ac:dyDescent="0.35">
      <c r="A13" s="270"/>
      <c r="B13" s="68">
        <v>42</v>
      </c>
      <c r="C13" s="68" t="s">
        <v>1100</v>
      </c>
      <c r="D13" s="300">
        <v>30</v>
      </c>
      <c r="E13" s="68">
        <v>75</v>
      </c>
      <c r="F13" s="76">
        <v>500</v>
      </c>
      <c r="G13" s="76">
        <f>E13*F13</f>
        <v>37500</v>
      </c>
      <c r="H13" s="301"/>
      <c r="I13" s="67"/>
      <c r="J13" s="302" t="s">
        <v>1191</v>
      </c>
      <c r="K13" s="303">
        <v>75</v>
      </c>
    </row>
    <row r="14" spans="1:11" s="304" customFormat="1" ht="21" x14ac:dyDescent="0.35">
      <c r="A14" s="270"/>
      <c r="B14" s="68">
        <v>103</v>
      </c>
      <c r="C14" s="68" t="s">
        <v>1186</v>
      </c>
      <c r="D14" s="300">
        <v>100</v>
      </c>
      <c r="E14" s="68">
        <v>75</v>
      </c>
      <c r="F14" s="76">
        <v>1500</v>
      </c>
      <c r="G14" s="76">
        <f>E14*F14</f>
        <v>112500</v>
      </c>
      <c r="H14" s="305">
        <f>SUM(G13:G14)</f>
        <v>150000</v>
      </c>
      <c r="I14" s="306"/>
      <c r="J14" s="302">
        <v>5</v>
      </c>
      <c r="K14" s="303">
        <v>100</v>
      </c>
    </row>
    <row r="15" spans="1:11" s="304" customFormat="1" ht="21" x14ac:dyDescent="0.35">
      <c r="A15" s="270"/>
      <c r="B15" s="68"/>
      <c r="C15" s="68"/>
      <c r="D15" s="300"/>
      <c r="E15" s="68"/>
      <c r="F15" s="76"/>
      <c r="G15" s="76"/>
      <c r="H15" s="301"/>
      <c r="I15" s="67"/>
      <c r="J15" s="302"/>
      <c r="K15" s="303"/>
    </row>
    <row r="16" spans="1:11" s="304" customFormat="1" ht="21" x14ac:dyDescent="0.35">
      <c r="A16" s="270"/>
      <c r="B16" s="68"/>
      <c r="C16" s="68"/>
      <c r="D16" s="300"/>
      <c r="E16" s="68"/>
      <c r="F16" s="76"/>
      <c r="G16" s="76"/>
      <c r="H16" s="301"/>
      <c r="I16" s="67"/>
      <c r="J16" s="302"/>
      <c r="K16" s="303"/>
    </row>
    <row r="17" spans="1:11" s="304" customFormat="1" ht="21" x14ac:dyDescent="0.35">
      <c r="A17" s="270">
        <v>4</v>
      </c>
      <c r="B17" s="68"/>
      <c r="C17" s="68" t="s">
        <v>1182</v>
      </c>
      <c r="D17" s="300"/>
      <c r="E17" s="68"/>
      <c r="F17" s="76"/>
      <c r="G17" s="76"/>
      <c r="H17" s="301"/>
      <c r="I17" s="67"/>
      <c r="J17" s="302"/>
      <c r="K17" s="303"/>
    </row>
    <row r="18" spans="1:11" s="304" customFormat="1" ht="21" x14ac:dyDescent="0.35">
      <c r="A18" s="270"/>
      <c r="B18" s="68">
        <v>387</v>
      </c>
      <c r="C18" s="68" t="s">
        <v>285</v>
      </c>
      <c r="D18" s="300">
        <v>1000</v>
      </c>
      <c r="E18" s="68">
        <v>5</v>
      </c>
      <c r="F18" s="76">
        <v>310</v>
      </c>
      <c r="G18" s="76">
        <f>E18*F18</f>
        <v>1550</v>
      </c>
      <c r="H18" s="305"/>
      <c r="I18" s="306"/>
      <c r="J18" s="302">
        <v>2</v>
      </c>
      <c r="K18" s="303">
        <v>3</v>
      </c>
    </row>
    <row r="19" spans="1:11" s="304" customFormat="1" ht="21" x14ac:dyDescent="0.35">
      <c r="A19" s="270"/>
      <c r="B19" s="68">
        <v>254</v>
      </c>
      <c r="C19" s="68" t="s">
        <v>180</v>
      </c>
      <c r="D19" s="300">
        <v>1000</v>
      </c>
      <c r="E19" s="68">
        <v>20</v>
      </c>
      <c r="F19" s="76">
        <v>800</v>
      </c>
      <c r="G19" s="76">
        <f>E19*F19</f>
        <v>16000</v>
      </c>
      <c r="H19" s="301"/>
      <c r="I19" s="67"/>
      <c r="J19" s="302">
        <v>7</v>
      </c>
      <c r="K19" s="303">
        <v>25</v>
      </c>
    </row>
    <row r="20" spans="1:11" s="304" customFormat="1" ht="21" x14ac:dyDescent="0.35">
      <c r="A20" s="270"/>
      <c r="B20" s="68">
        <v>276</v>
      </c>
      <c r="C20" s="68" t="s">
        <v>1183</v>
      </c>
      <c r="D20" s="300">
        <v>1000</v>
      </c>
      <c r="E20" s="68">
        <v>20</v>
      </c>
      <c r="F20" s="76">
        <v>500.46</v>
      </c>
      <c r="G20" s="76">
        <f>E20*F20</f>
        <v>10009.199999999999</v>
      </c>
      <c r="H20" s="305">
        <f>SUM(G18:G20)</f>
        <v>27559.199999999997</v>
      </c>
      <c r="I20" s="306"/>
      <c r="J20" s="302">
        <v>4</v>
      </c>
      <c r="K20" s="303">
        <v>66</v>
      </c>
    </row>
    <row r="21" spans="1:11" s="304" customFormat="1" ht="21" x14ac:dyDescent="0.35">
      <c r="A21" s="270"/>
      <c r="B21" s="68"/>
      <c r="C21" s="68"/>
      <c r="D21" s="300"/>
      <c r="E21" s="68"/>
      <c r="F21" s="76"/>
      <c r="G21" s="76"/>
      <c r="H21" s="301"/>
      <c r="I21" s="67"/>
      <c r="J21" s="302"/>
      <c r="K21" s="303"/>
    </row>
    <row r="22" spans="1:11" s="304" customFormat="1" ht="21" x14ac:dyDescent="0.35">
      <c r="A22" s="270"/>
      <c r="B22" s="68"/>
      <c r="C22" s="68"/>
      <c r="D22" s="300"/>
      <c r="E22" s="68"/>
      <c r="F22" s="76"/>
      <c r="G22" s="76"/>
      <c r="H22" s="301"/>
      <c r="I22" s="67"/>
      <c r="J22" s="302"/>
      <c r="K22" s="303"/>
    </row>
    <row r="23" spans="1:11" s="304" customFormat="1" ht="21" x14ac:dyDescent="0.35">
      <c r="A23" s="270">
        <v>5</v>
      </c>
      <c r="B23" s="68"/>
      <c r="C23" s="68" t="s">
        <v>876</v>
      </c>
      <c r="D23" s="300"/>
      <c r="E23" s="68"/>
      <c r="F23" s="76"/>
      <c r="G23" s="76"/>
      <c r="H23" s="301"/>
      <c r="I23" s="67"/>
      <c r="J23" s="302"/>
      <c r="K23" s="303"/>
    </row>
    <row r="24" spans="1:11" s="304" customFormat="1" ht="21" x14ac:dyDescent="0.35">
      <c r="A24" s="270"/>
      <c r="B24" s="68">
        <v>471</v>
      </c>
      <c r="C24" s="68" t="s">
        <v>344</v>
      </c>
      <c r="D24" s="300">
        <v>100</v>
      </c>
      <c r="E24" s="68">
        <v>10</v>
      </c>
      <c r="F24" s="76">
        <v>330</v>
      </c>
      <c r="G24" s="76">
        <f t="shared" ref="G24:G52" si="0">E24*F24</f>
        <v>3300</v>
      </c>
      <c r="H24" s="301"/>
      <c r="I24" s="67"/>
      <c r="J24" s="302">
        <v>16</v>
      </c>
      <c r="K24" s="303">
        <v>28</v>
      </c>
    </row>
    <row r="25" spans="1:11" s="304" customFormat="1" ht="21" x14ac:dyDescent="0.35">
      <c r="A25" s="270"/>
      <c r="B25" s="68">
        <v>472</v>
      </c>
      <c r="C25" s="68" t="s">
        <v>345</v>
      </c>
      <c r="D25" s="300">
        <v>100</v>
      </c>
      <c r="E25" s="68">
        <v>10</v>
      </c>
      <c r="F25" s="76">
        <v>460</v>
      </c>
      <c r="G25" s="76">
        <f t="shared" si="0"/>
        <v>4600</v>
      </c>
      <c r="H25" s="301"/>
      <c r="I25" s="67"/>
      <c r="J25" s="302">
        <v>11</v>
      </c>
      <c r="K25" s="303">
        <v>18</v>
      </c>
    </row>
    <row r="26" spans="1:11" s="304" customFormat="1" ht="21" x14ac:dyDescent="0.35">
      <c r="A26" s="270"/>
      <c r="B26" s="68">
        <v>112</v>
      </c>
      <c r="C26" s="68" t="s">
        <v>1185</v>
      </c>
      <c r="D26" s="300">
        <v>28</v>
      </c>
      <c r="E26" s="68">
        <v>20</v>
      </c>
      <c r="F26" s="76">
        <v>380</v>
      </c>
      <c r="G26" s="76">
        <f t="shared" si="0"/>
        <v>7600</v>
      </c>
      <c r="H26" s="301"/>
      <c r="I26" s="67"/>
      <c r="J26" s="302">
        <v>5</v>
      </c>
      <c r="K26" s="303">
        <v>25</v>
      </c>
    </row>
    <row r="27" spans="1:11" s="304" customFormat="1" ht="21" x14ac:dyDescent="0.35">
      <c r="A27" s="270"/>
      <c r="B27" s="68">
        <v>2</v>
      </c>
      <c r="C27" s="68" t="s">
        <v>4</v>
      </c>
      <c r="D27" s="300">
        <v>6</v>
      </c>
      <c r="E27" s="68">
        <v>20</v>
      </c>
      <c r="F27" s="76">
        <v>160</v>
      </c>
      <c r="G27" s="76">
        <f t="shared" si="0"/>
        <v>3200</v>
      </c>
      <c r="H27" s="301"/>
      <c r="I27" s="67"/>
      <c r="J27" s="302">
        <v>5</v>
      </c>
      <c r="K27" s="303">
        <v>55</v>
      </c>
    </row>
    <row r="28" spans="1:11" s="304" customFormat="1" ht="21" x14ac:dyDescent="0.35">
      <c r="A28" s="270"/>
      <c r="B28" s="68">
        <v>3</v>
      </c>
      <c r="C28" s="68" t="s">
        <v>1102</v>
      </c>
      <c r="D28" s="300" t="s">
        <v>144</v>
      </c>
      <c r="E28" s="68">
        <v>20</v>
      </c>
      <c r="F28" s="76">
        <v>280</v>
      </c>
      <c r="G28" s="76">
        <f t="shared" si="0"/>
        <v>5600</v>
      </c>
      <c r="H28" s="301"/>
      <c r="I28" s="67"/>
      <c r="J28" s="302" t="s">
        <v>1191</v>
      </c>
      <c r="K28" s="303">
        <v>18</v>
      </c>
    </row>
    <row r="29" spans="1:11" s="304" customFormat="1" ht="21" x14ac:dyDescent="0.35">
      <c r="A29" s="270"/>
      <c r="B29" s="68">
        <v>346</v>
      </c>
      <c r="C29" s="68" t="s">
        <v>1158</v>
      </c>
      <c r="D29" s="300">
        <v>100</v>
      </c>
      <c r="E29" s="68">
        <v>1</v>
      </c>
      <c r="F29" s="76">
        <v>27000</v>
      </c>
      <c r="G29" s="76">
        <f t="shared" si="0"/>
        <v>27000</v>
      </c>
      <c r="H29" s="301"/>
      <c r="I29" s="67"/>
      <c r="J29" s="302">
        <v>2</v>
      </c>
      <c r="K29" s="303">
        <v>4</v>
      </c>
    </row>
    <row r="30" spans="1:11" s="304" customFormat="1" ht="21" x14ac:dyDescent="0.35">
      <c r="A30" s="270"/>
      <c r="B30" s="68">
        <v>477</v>
      </c>
      <c r="C30" s="68" t="s">
        <v>1159</v>
      </c>
      <c r="D30" s="300">
        <v>50</v>
      </c>
      <c r="E30" s="68">
        <v>20</v>
      </c>
      <c r="F30" s="76">
        <v>1900</v>
      </c>
      <c r="G30" s="76">
        <f t="shared" si="0"/>
        <v>38000</v>
      </c>
      <c r="H30" s="301"/>
      <c r="I30" s="67"/>
      <c r="J30" s="302">
        <v>14</v>
      </c>
      <c r="K30" s="303">
        <v>30</v>
      </c>
    </row>
    <row r="31" spans="1:11" s="304" customFormat="1" ht="21" x14ac:dyDescent="0.35">
      <c r="A31" s="270"/>
      <c r="B31" s="68">
        <v>476</v>
      </c>
      <c r="C31" s="68" t="s">
        <v>1092</v>
      </c>
      <c r="D31" s="300">
        <v>50</v>
      </c>
      <c r="E31" s="68">
        <v>4</v>
      </c>
      <c r="F31" s="76">
        <v>1900</v>
      </c>
      <c r="G31" s="76">
        <f t="shared" si="0"/>
        <v>7600</v>
      </c>
      <c r="H31" s="301"/>
      <c r="I31" s="67"/>
      <c r="J31" s="302" t="s">
        <v>1191</v>
      </c>
      <c r="K31" s="303">
        <v>4</v>
      </c>
    </row>
    <row r="32" spans="1:11" s="304" customFormat="1" ht="21" x14ac:dyDescent="0.35">
      <c r="A32" s="270"/>
      <c r="B32" s="68">
        <v>183</v>
      </c>
      <c r="C32" s="68" t="s">
        <v>136</v>
      </c>
      <c r="D32" s="300">
        <v>10</v>
      </c>
      <c r="E32" s="68">
        <v>100</v>
      </c>
      <c r="F32" s="76">
        <v>600</v>
      </c>
      <c r="G32" s="76">
        <f t="shared" si="0"/>
        <v>60000</v>
      </c>
      <c r="H32" s="301"/>
      <c r="I32" s="67"/>
      <c r="J32" s="302">
        <v>100</v>
      </c>
      <c r="K32" s="303">
        <v>250</v>
      </c>
    </row>
    <row r="33" spans="1:11" s="304" customFormat="1" ht="21" x14ac:dyDescent="0.35">
      <c r="A33" s="270"/>
      <c r="B33" s="68">
        <v>10</v>
      </c>
      <c r="C33" s="68" t="s">
        <v>10</v>
      </c>
      <c r="D33" s="300" t="s">
        <v>144</v>
      </c>
      <c r="E33" s="68">
        <v>70</v>
      </c>
      <c r="F33" s="76">
        <v>350</v>
      </c>
      <c r="G33" s="76">
        <f t="shared" si="0"/>
        <v>24500</v>
      </c>
      <c r="H33" s="301"/>
      <c r="I33" s="67"/>
      <c r="J33" s="302" t="s">
        <v>1191</v>
      </c>
      <c r="K33" s="303" t="s">
        <v>1197</v>
      </c>
    </row>
    <row r="34" spans="1:11" s="304" customFormat="1" ht="21" x14ac:dyDescent="0.35">
      <c r="A34" s="270"/>
      <c r="B34" s="68">
        <v>300</v>
      </c>
      <c r="C34" s="68" t="s">
        <v>1087</v>
      </c>
      <c r="D34" s="300">
        <v>10</v>
      </c>
      <c r="E34" s="68">
        <v>2</v>
      </c>
      <c r="F34" s="76">
        <v>13800</v>
      </c>
      <c r="G34" s="76">
        <f t="shared" si="0"/>
        <v>27600</v>
      </c>
      <c r="H34" s="301"/>
      <c r="I34" s="67"/>
      <c r="J34" s="302" t="s">
        <v>1191</v>
      </c>
      <c r="K34" s="303">
        <v>3</v>
      </c>
    </row>
    <row r="35" spans="1:11" s="304" customFormat="1" ht="21" x14ac:dyDescent="0.35">
      <c r="A35" s="270"/>
      <c r="B35" s="68">
        <v>494</v>
      </c>
      <c r="C35" s="68" t="s">
        <v>1160</v>
      </c>
      <c r="D35" s="300">
        <v>10</v>
      </c>
      <c r="E35" s="68">
        <v>10</v>
      </c>
      <c r="F35" s="76">
        <v>1750</v>
      </c>
      <c r="G35" s="76">
        <f t="shared" si="0"/>
        <v>17500</v>
      </c>
      <c r="H35" s="301"/>
      <c r="I35" s="67"/>
      <c r="J35" s="302">
        <v>20</v>
      </c>
      <c r="K35" s="303" t="s">
        <v>1197</v>
      </c>
    </row>
    <row r="36" spans="1:11" s="304" customFormat="1" ht="21" x14ac:dyDescent="0.35">
      <c r="A36" s="270"/>
      <c r="B36" s="68">
        <v>498</v>
      </c>
      <c r="C36" s="68" t="s">
        <v>1095</v>
      </c>
      <c r="D36" s="300">
        <v>10</v>
      </c>
      <c r="E36" s="68">
        <v>5</v>
      </c>
      <c r="F36" s="76">
        <v>1750</v>
      </c>
      <c r="G36" s="76">
        <f t="shared" si="0"/>
        <v>8750</v>
      </c>
      <c r="H36" s="301"/>
      <c r="I36" s="67"/>
      <c r="J36" s="302" t="s">
        <v>1191</v>
      </c>
      <c r="K36" s="303">
        <v>3</v>
      </c>
    </row>
    <row r="37" spans="1:11" s="304" customFormat="1" ht="21" x14ac:dyDescent="0.35">
      <c r="A37" s="270"/>
      <c r="B37" s="68">
        <v>559</v>
      </c>
      <c r="C37" s="68" t="s">
        <v>396</v>
      </c>
      <c r="D37" s="300" t="s">
        <v>144</v>
      </c>
      <c r="E37" s="68">
        <v>100</v>
      </c>
      <c r="F37" s="76">
        <v>500</v>
      </c>
      <c r="G37" s="76">
        <f t="shared" si="0"/>
        <v>50000</v>
      </c>
      <c r="H37" s="301"/>
      <c r="I37" s="67"/>
      <c r="J37" s="302">
        <v>40</v>
      </c>
      <c r="K37" s="303" t="s">
        <v>1197</v>
      </c>
    </row>
    <row r="38" spans="1:11" s="304" customFormat="1" ht="21" x14ac:dyDescent="0.35">
      <c r="A38" s="270"/>
      <c r="B38" s="68">
        <v>55</v>
      </c>
      <c r="C38" s="68" t="s">
        <v>1111</v>
      </c>
      <c r="D38" s="300">
        <v>10</v>
      </c>
      <c r="E38" s="68">
        <v>10</v>
      </c>
      <c r="F38" s="76">
        <v>8000</v>
      </c>
      <c r="G38" s="76">
        <f t="shared" si="0"/>
        <v>80000</v>
      </c>
      <c r="H38" s="301"/>
      <c r="I38" s="67"/>
      <c r="J38" s="302" t="s">
        <v>1191</v>
      </c>
      <c r="K38" s="303">
        <v>1</v>
      </c>
    </row>
    <row r="39" spans="1:11" s="304" customFormat="1" ht="21" x14ac:dyDescent="0.35">
      <c r="A39" s="270"/>
      <c r="B39" s="68">
        <v>65</v>
      </c>
      <c r="C39" s="68" t="s">
        <v>58</v>
      </c>
      <c r="D39" s="300">
        <v>28</v>
      </c>
      <c r="E39" s="68">
        <v>100</v>
      </c>
      <c r="F39" s="76">
        <v>300</v>
      </c>
      <c r="G39" s="76">
        <f t="shared" si="0"/>
        <v>30000</v>
      </c>
      <c r="H39" s="301"/>
      <c r="I39" s="67"/>
      <c r="J39" s="302">
        <v>50</v>
      </c>
      <c r="K39" s="303">
        <v>180</v>
      </c>
    </row>
    <row r="40" spans="1:11" s="304" customFormat="1" ht="21" x14ac:dyDescent="0.35">
      <c r="A40" s="270"/>
      <c r="B40" s="68">
        <v>66</v>
      </c>
      <c r="C40" s="68" t="s">
        <v>59</v>
      </c>
      <c r="D40" s="300">
        <v>28</v>
      </c>
      <c r="E40" s="68">
        <v>100</v>
      </c>
      <c r="F40" s="76">
        <v>220</v>
      </c>
      <c r="G40" s="76">
        <f t="shared" si="0"/>
        <v>22000</v>
      </c>
      <c r="H40" s="301"/>
      <c r="I40" s="67"/>
      <c r="J40" s="302">
        <v>20</v>
      </c>
      <c r="K40" s="303">
        <v>150</v>
      </c>
    </row>
    <row r="41" spans="1:11" s="304" customFormat="1" ht="21" x14ac:dyDescent="0.35">
      <c r="A41" s="270"/>
      <c r="B41" s="68">
        <v>133</v>
      </c>
      <c r="C41" s="68" t="s">
        <v>1181</v>
      </c>
      <c r="D41" s="300" t="s">
        <v>57</v>
      </c>
      <c r="E41" s="68">
        <v>20</v>
      </c>
      <c r="F41" s="76">
        <v>850</v>
      </c>
      <c r="G41" s="76">
        <f t="shared" si="0"/>
        <v>17000</v>
      </c>
      <c r="H41" s="301"/>
      <c r="I41" s="67"/>
      <c r="J41" s="302">
        <v>10</v>
      </c>
      <c r="K41" s="303">
        <v>40</v>
      </c>
    </row>
    <row r="42" spans="1:11" s="304" customFormat="1" ht="21" x14ac:dyDescent="0.35">
      <c r="A42" s="270"/>
      <c r="B42" s="68">
        <v>561</v>
      </c>
      <c r="C42" s="68" t="s">
        <v>1116</v>
      </c>
      <c r="D42" s="300" t="s">
        <v>144</v>
      </c>
      <c r="E42" s="68">
        <v>28</v>
      </c>
      <c r="F42" s="76">
        <v>310</v>
      </c>
      <c r="G42" s="76">
        <f t="shared" si="0"/>
        <v>8680</v>
      </c>
      <c r="H42" s="301"/>
      <c r="I42" s="67"/>
      <c r="J42" s="302" t="s">
        <v>1191</v>
      </c>
      <c r="K42" s="303">
        <v>28</v>
      </c>
    </row>
    <row r="43" spans="1:11" s="304" customFormat="1" ht="21" x14ac:dyDescent="0.35">
      <c r="A43" s="270"/>
      <c r="B43" s="68">
        <v>505</v>
      </c>
      <c r="C43" s="68" t="s">
        <v>1162</v>
      </c>
      <c r="D43" s="300">
        <v>25</v>
      </c>
      <c r="E43" s="68">
        <v>5</v>
      </c>
      <c r="F43" s="76">
        <v>2200</v>
      </c>
      <c r="G43" s="76">
        <f t="shared" si="0"/>
        <v>11000</v>
      </c>
      <c r="H43" s="301"/>
      <c r="I43" s="67"/>
      <c r="J43" s="302">
        <v>5</v>
      </c>
      <c r="K43" s="303">
        <v>10</v>
      </c>
    </row>
    <row r="44" spans="1:11" s="304" customFormat="1" ht="21" x14ac:dyDescent="0.35">
      <c r="A44" s="270"/>
      <c r="B44" s="68">
        <v>512</v>
      </c>
      <c r="C44" s="68" t="s">
        <v>704</v>
      </c>
      <c r="D44" s="300">
        <v>10</v>
      </c>
      <c r="E44" s="68">
        <v>4</v>
      </c>
      <c r="F44" s="76">
        <v>700</v>
      </c>
      <c r="G44" s="76">
        <f t="shared" si="0"/>
        <v>2800</v>
      </c>
      <c r="H44" s="301"/>
      <c r="I44" s="67"/>
      <c r="J44" s="302" t="s">
        <v>1193</v>
      </c>
      <c r="K44" s="303">
        <v>2</v>
      </c>
    </row>
    <row r="45" spans="1:11" s="304" customFormat="1" ht="21" x14ac:dyDescent="0.35">
      <c r="A45" s="270"/>
      <c r="B45" s="68">
        <v>73</v>
      </c>
      <c r="C45" s="68" t="s">
        <v>1163</v>
      </c>
      <c r="D45" s="300">
        <v>100</v>
      </c>
      <c r="E45" s="68">
        <v>15</v>
      </c>
      <c r="F45" s="76">
        <v>150</v>
      </c>
      <c r="G45" s="76">
        <f t="shared" si="0"/>
        <v>2250</v>
      </c>
      <c r="H45" s="301"/>
      <c r="I45" s="67"/>
      <c r="J45" s="302">
        <v>15</v>
      </c>
      <c r="K45" s="303">
        <v>30</v>
      </c>
    </row>
    <row r="46" spans="1:11" s="304" customFormat="1" ht="21" x14ac:dyDescent="0.35">
      <c r="A46" s="270"/>
      <c r="B46" s="68">
        <v>263</v>
      </c>
      <c r="C46" s="68" t="s">
        <v>1171</v>
      </c>
      <c r="D46" s="300">
        <v>30</v>
      </c>
      <c r="E46" s="68">
        <v>200</v>
      </c>
      <c r="F46" s="76">
        <v>900</v>
      </c>
      <c r="G46" s="76">
        <f t="shared" si="0"/>
        <v>180000</v>
      </c>
      <c r="H46" s="301"/>
      <c r="I46" s="67"/>
      <c r="J46" s="302">
        <v>235</v>
      </c>
      <c r="K46" s="303">
        <v>450</v>
      </c>
    </row>
    <row r="47" spans="1:11" s="304" customFormat="1" ht="21" x14ac:dyDescent="0.35">
      <c r="A47" s="270"/>
      <c r="B47" s="68">
        <v>312</v>
      </c>
      <c r="C47" s="68" t="s">
        <v>462</v>
      </c>
      <c r="D47" s="300">
        <v>5</v>
      </c>
      <c r="E47" s="68">
        <v>2</v>
      </c>
      <c r="F47" s="76">
        <v>4025</v>
      </c>
      <c r="G47" s="76">
        <f t="shared" si="0"/>
        <v>8050</v>
      </c>
      <c r="H47" s="301"/>
      <c r="I47" s="67"/>
      <c r="J47" s="302">
        <v>1</v>
      </c>
      <c r="K47" s="303">
        <v>4</v>
      </c>
    </row>
    <row r="48" spans="1:11" s="304" customFormat="1" ht="21" x14ac:dyDescent="0.35">
      <c r="A48" s="270"/>
      <c r="B48" s="68">
        <v>400</v>
      </c>
      <c r="C48" s="68" t="s">
        <v>298</v>
      </c>
      <c r="D48" s="300">
        <v>100</v>
      </c>
      <c r="E48" s="68">
        <v>3</v>
      </c>
      <c r="F48" s="76">
        <v>1100</v>
      </c>
      <c r="G48" s="76">
        <f t="shared" si="0"/>
        <v>3300</v>
      </c>
      <c r="H48" s="305"/>
      <c r="I48" s="306"/>
      <c r="J48" s="302" t="s">
        <v>1194</v>
      </c>
      <c r="K48" s="303" t="s">
        <v>1197</v>
      </c>
    </row>
    <row r="49" spans="1:11" s="304" customFormat="1" ht="21" x14ac:dyDescent="0.35">
      <c r="A49" s="270"/>
      <c r="B49" s="68">
        <v>273</v>
      </c>
      <c r="C49" s="68" t="s">
        <v>1179</v>
      </c>
      <c r="D49" s="300">
        <v>20</v>
      </c>
      <c r="E49" s="68">
        <v>20</v>
      </c>
      <c r="F49" s="76">
        <v>2000</v>
      </c>
      <c r="G49" s="76">
        <f t="shared" si="0"/>
        <v>40000</v>
      </c>
      <c r="H49" s="301"/>
      <c r="I49" s="67"/>
      <c r="J49" s="302" t="s">
        <v>1191</v>
      </c>
      <c r="K49" s="303">
        <v>20</v>
      </c>
    </row>
    <row r="50" spans="1:11" s="304" customFormat="1" ht="21" x14ac:dyDescent="0.35">
      <c r="A50" s="270"/>
      <c r="B50" s="68">
        <v>274</v>
      </c>
      <c r="C50" s="68" t="s">
        <v>191</v>
      </c>
      <c r="D50" s="300">
        <v>5</v>
      </c>
      <c r="E50" s="68">
        <v>15</v>
      </c>
      <c r="F50" s="76">
        <v>1380</v>
      </c>
      <c r="G50" s="76">
        <f t="shared" si="0"/>
        <v>20700</v>
      </c>
      <c r="H50" s="301"/>
      <c r="I50" s="67"/>
      <c r="J50" s="302">
        <v>10</v>
      </c>
      <c r="K50" s="303">
        <v>42</v>
      </c>
    </row>
    <row r="51" spans="1:11" s="304" customFormat="1" ht="21" x14ac:dyDescent="0.35">
      <c r="A51" s="270"/>
      <c r="B51" s="68">
        <v>542</v>
      </c>
      <c r="C51" s="68" t="s">
        <v>377</v>
      </c>
      <c r="D51" s="300">
        <v>10</v>
      </c>
      <c r="E51" s="68">
        <v>40</v>
      </c>
      <c r="F51" s="76">
        <v>820</v>
      </c>
      <c r="G51" s="76">
        <f t="shared" si="0"/>
        <v>32800</v>
      </c>
      <c r="H51" s="305"/>
      <c r="I51" s="306"/>
      <c r="J51" s="302">
        <v>41</v>
      </c>
      <c r="K51" s="303">
        <v>90</v>
      </c>
    </row>
    <row r="52" spans="1:11" s="304" customFormat="1" ht="21" x14ac:dyDescent="0.35">
      <c r="A52" s="270"/>
      <c r="B52" s="68">
        <v>286</v>
      </c>
      <c r="C52" s="68" t="s">
        <v>202</v>
      </c>
      <c r="D52" s="300">
        <v>28</v>
      </c>
      <c r="E52" s="68">
        <v>12</v>
      </c>
      <c r="F52" s="76">
        <v>300</v>
      </c>
      <c r="G52" s="76">
        <f t="shared" si="0"/>
        <v>3600</v>
      </c>
      <c r="H52" s="305">
        <f>SUM(G24:G52)</f>
        <v>747430</v>
      </c>
      <c r="I52" s="306"/>
      <c r="J52" s="302">
        <v>1</v>
      </c>
      <c r="K52" s="303">
        <v>12</v>
      </c>
    </row>
    <row r="53" spans="1:11" s="304" customFormat="1" ht="21" x14ac:dyDescent="0.35">
      <c r="A53" s="270"/>
      <c r="B53" s="68"/>
      <c r="C53" s="68"/>
      <c r="D53" s="300"/>
      <c r="E53" s="68"/>
      <c r="F53" s="76"/>
      <c r="G53" s="76"/>
      <c r="H53" s="301"/>
      <c r="I53" s="67"/>
      <c r="J53" s="302"/>
      <c r="K53" s="303"/>
    </row>
    <row r="54" spans="1:11" s="304" customFormat="1" ht="21" x14ac:dyDescent="0.35">
      <c r="A54" s="270"/>
      <c r="B54" s="68"/>
      <c r="C54" s="68"/>
      <c r="D54" s="300"/>
      <c r="E54" s="68"/>
      <c r="F54" s="76"/>
      <c r="G54" s="76"/>
      <c r="H54" s="301"/>
      <c r="I54" s="67"/>
      <c r="J54" s="302"/>
      <c r="K54" s="303"/>
    </row>
    <row r="55" spans="1:11" s="304" customFormat="1" ht="21" x14ac:dyDescent="0.35">
      <c r="A55" s="270">
        <v>6</v>
      </c>
      <c r="B55" s="68"/>
      <c r="C55" s="68" t="s">
        <v>665</v>
      </c>
      <c r="D55" s="300"/>
      <c r="E55" s="68"/>
      <c r="F55" s="76"/>
      <c r="G55" s="76"/>
      <c r="H55" s="301"/>
      <c r="I55" s="67"/>
      <c r="J55" s="302"/>
      <c r="K55" s="303"/>
    </row>
    <row r="56" spans="1:11" s="304" customFormat="1" ht="21" x14ac:dyDescent="0.35">
      <c r="A56" s="270"/>
      <c r="B56" s="68">
        <v>233</v>
      </c>
      <c r="C56" s="68" t="s">
        <v>1177</v>
      </c>
      <c r="D56" s="300">
        <v>30</v>
      </c>
      <c r="E56" s="68">
        <v>50</v>
      </c>
      <c r="F56" s="76">
        <v>1050</v>
      </c>
      <c r="G56" s="76">
        <f>E56*F56</f>
        <v>52500</v>
      </c>
      <c r="H56" s="305"/>
      <c r="I56" s="306"/>
      <c r="J56" s="302" t="s">
        <v>1191</v>
      </c>
      <c r="K56" s="303">
        <v>50</v>
      </c>
    </row>
    <row r="57" spans="1:11" s="304" customFormat="1" ht="21" x14ac:dyDescent="0.35">
      <c r="A57" s="270"/>
      <c r="B57" s="68">
        <v>234</v>
      </c>
      <c r="C57" s="68" t="s">
        <v>1099</v>
      </c>
      <c r="D57" s="300" t="s">
        <v>144</v>
      </c>
      <c r="E57" s="68">
        <v>50</v>
      </c>
      <c r="F57" s="76">
        <v>1050</v>
      </c>
      <c r="G57" s="76">
        <f>E57*F57</f>
        <v>52500</v>
      </c>
      <c r="H57" s="305"/>
      <c r="I57" s="306"/>
      <c r="J57" s="302" t="s">
        <v>1191</v>
      </c>
      <c r="K57" s="303">
        <v>25</v>
      </c>
    </row>
    <row r="58" spans="1:11" s="304" customFormat="1" ht="21" x14ac:dyDescent="0.35">
      <c r="A58" s="270"/>
      <c r="B58" s="68">
        <v>236</v>
      </c>
      <c r="C58" s="68" t="s">
        <v>1098</v>
      </c>
      <c r="D58" s="300" t="s">
        <v>144</v>
      </c>
      <c r="E58" s="68">
        <v>50</v>
      </c>
      <c r="F58" s="76">
        <v>1050</v>
      </c>
      <c r="G58" s="76">
        <f>E58*F58</f>
        <v>52500</v>
      </c>
      <c r="H58" s="301"/>
      <c r="I58" s="67"/>
      <c r="J58" s="302" t="s">
        <v>1191</v>
      </c>
      <c r="K58" s="303">
        <v>50</v>
      </c>
    </row>
    <row r="59" spans="1:11" s="304" customFormat="1" ht="21" x14ac:dyDescent="0.35">
      <c r="A59" s="270"/>
      <c r="B59" s="68">
        <v>216</v>
      </c>
      <c r="C59" s="68" t="s">
        <v>1161</v>
      </c>
      <c r="D59" s="300" t="s">
        <v>144</v>
      </c>
      <c r="E59" s="68">
        <v>500</v>
      </c>
      <c r="F59" s="76">
        <v>90</v>
      </c>
      <c r="G59" s="76">
        <f>E59*F59</f>
        <v>45000</v>
      </c>
      <c r="H59" s="301"/>
      <c r="I59" s="67"/>
      <c r="J59" s="302">
        <v>4200</v>
      </c>
      <c r="K59" s="303">
        <v>7500</v>
      </c>
    </row>
    <row r="60" spans="1:11" s="304" customFormat="1" ht="21" x14ac:dyDescent="0.35">
      <c r="A60" s="270"/>
      <c r="B60" s="68">
        <v>384</v>
      </c>
      <c r="C60" s="68" t="s">
        <v>282</v>
      </c>
      <c r="D60" s="300" t="s">
        <v>144</v>
      </c>
      <c r="E60" s="68">
        <v>10</v>
      </c>
      <c r="F60" s="76">
        <v>200</v>
      </c>
      <c r="G60" s="76">
        <f>E60*F60</f>
        <v>2000</v>
      </c>
      <c r="H60" s="305">
        <f>SUM(G56:G60)</f>
        <v>204500</v>
      </c>
      <c r="I60" s="306"/>
      <c r="J60" s="302">
        <v>1</v>
      </c>
      <c r="K60" s="303">
        <v>5</v>
      </c>
    </row>
    <row r="61" spans="1:11" s="304" customFormat="1" ht="21" x14ac:dyDescent="0.35">
      <c r="A61" s="270"/>
      <c r="B61" s="68"/>
      <c r="C61" s="68"/>
      <c r="D61" s="300"/>
      <c r="E61" s="68"/>
      <c r="F61" s="76"/>
      <c r="G61" s="76"/>
      <c r="H61" s="305"/>
      <c r="I61" s="306"/>
      <c r="J61" s="302"/>
      <c r="K61" s="303"/>
    </row>
    <row r="62" spans="1:11" s="304" customFormat="1" ht="21" x14ac:dyDescent="0.35">
      <c r="A62" s="270"/>
      <c r="B62" s="68"/>
      <c r="C62" s="68"/>
      <c r="D62" s="300"/>
      <c r="E62" s="68"/>
      <c r="F62" s="76"/>
      <c r="G62" s="76"/>
      <c r="H62" s="305"/>
      <c r="I62" s="306"/>
      <c r="J62" s="302"/>
      <c r="K62" s="303"/>
    </row>
    <row r="63" spans="1:11" s="304" customFormat="1" ht="21" x14ac:dyDescent="0.35">
      <c r="A63" s="270"/>
      <c r="B63" s="68"/>
      <c r="C63" s="68"/>
      <c r="D63" s="300"/>
      <c r="E63" s="68"/>
      <c r="F63" s="76"/>
      <c r="G63" s="76"/>
      <c r="H63" s="301"/>
      <c r="I63" s="67"/>
      <c r="J63" s="302"/>
      <c r="K63" s="303"/>
    </row>
    <row r="64" spans="1:11" s="304" customFormat="1" ht="21" x14ac:dyDescent="0.35">
      <c r="A64" s="270">
        <v>7</v>
      </c>
      <c r="B64" s="68"/>
      <c r="C64" s="68" t="s">
        <v>890</v>
      </c>
      <c r="D64" s="300"/>
      <c r="E64" s="68"/>
      <c r="F64" s="76"/>
      <c r="G64" s="76"/>
      <c r="H64" s="301"/>
      <c r="I64" s="67"/>
      <c r="J64" s="302"/>
      <c r="K64" s="303"/>
    </row>
    <row r="65" spans="1:11" s="304" customFormat="1" ht="21" x14ac:dyDescent="0.35">
      <c r="A65" s="270"/>
      <c r="B65" s="68">
        <v>11</v>
      </c>
      <c r="C65" s="68" t="s">
        <v>11</v>
      </c>
      <c r="D65" s="300">
        <v>9</v>
      </c>
      <c r="E65" s="68">
        <v>100</v>
      </c>
      <c r="F65" s="76">
        <v>385</v>
      </c>
      <c r="G65" s="76">
        <f>E65*F65</f>
        <v>38500</v>
      </c>
      <c r="H65" s="305">
        <f>SUM(G65:G65)</f>
        <v>38500</v>
      </c>
      <c r="I65" s="306"/>
      <c r="J65" s="302">
        <v>50</v>
      </c>
      <c r="K65" s="303">
        <v>200</v>
      </c>
    </row>
    <row r="66" spans="1:11" s="304" customFormat="1" ht="21" x14ac:dyDescent="0.35">
      <c r="A66" s="270"/>
      <c r="B66" s="68"/>
      <c r="C66" s="68"/>
      <c r="D66" s="300"/>
      <c r="E66" s="68"/>
      <c r="F66" s="76"/>
      <c r="G66" s="76"/>
      <c r="H66" s="305"/>
      <c r="I66" s="306"/>
      <c r="J66" s="302"/>
      <c r="K66" s="303"/>
    </row>
    <row r="67" spans="1:11" s="304" customFormat="1" ht="21" x14ac:dyDescent="0.35">
      <c r="A67" s="270"/>
      <c r="B67" s="68"/>
      <c r="C67" s="68"/>
      <c r="D67" s="300"/>
      <c r="E67" s="68"/>
      <c r="F67" s="76"/>
      <c r="G67" s="76"/>
      <c r="H67" s="301"/>
      <c r="I67" s="67"/>
      <c r="J67" s="302"/>
      <c r="K67" s="303"/>
    </row>
    <row r="68" spans="1:11" s="304" customFormat="1" ht="21" x14ac:dyDescent="0.35">
      <c r="A68" s="270">
        <v>8</v>
      </c>
      <c r="B68" s="68"/>
      <c r="C68" s="68" t="s">
        <v>1113</v>
      </c>
      <c r="D68" s="300"/>
      <c r="E68" s="68"/>
      <c r="F68" s="76"/>
      <c r="G68" s="76"/>
      <c r="H68" s="301"/>
      <c r="I68" s="67"/>
      <c r="J68" s="302"/>
      <c r="K68" s="303"/>
    </row>
    <row r="69" spans="1:11" s="304" customFormat="1" ht="21" x14ac:dyDescent="0.35">
      <c r="A69" s="270"/>
      <c r="B69" s="68">
        <v>377</v>
      </c>
      <c r="C69" s="68" t="s">
        <v>1190</v>
      </c>
      <c r="D69" s="300" t="s">
        <v>333</v>
      </c>
      <c r="E69" s="68">
        <v>15</v>
      </c>
      <c r="F69" s="76">
        <v>3542.64</v>
      </c>
      <c r="G69" s="76">
        <f>E69*F69</f>
        <v>53139.6</v>
      </c>
      <c r="H69" s="301"/>
      <c r="I69" s="67"/>
      <c r="J69" s="302" t="s">
        <v>1191</v>
      </c>
      <c r="K69" s="303">
        <v>10</v>
      </c>
    </row>
    <row r="70" spans="1:11" s="304" customFormat="1" ht="21" x14ac:dyDescent="0.35">
      <c r="A70" s="270"/>
      <c r="B70" s="68">
        <v>565</v>
      </c>
      <c r="C70" s="68" t="s">
        <v>1091</v>
      </c>
      <c r="D70" s="300">
        <v>30</v>
      </c>
      <c r="E70" s="68">
        <v>10</v>
      </c>
      <c r="F70" s="76">
        <v>5493.76</v>
      </c>
      <c r="G70" s="76">
        <f>E70*F70</f>
        <v>54937.600000000006</v>
      </c>
      <c r="H70" s="305">
        <f>SUM(G69:G70)</f>
        <v>108077.20000000001</v>
      </c>
      <c r="I70" s="306"/>
      <c r="J70" s="302" t="s">
        <v>1191</v>
      </c>
      <c r="K70" s="303">
        <v>5</v>
      </c>
    </row>
    <row r="71" spans="1:11" s="304" customFormat="1" ht="21" x14ac:dyDescent="0.35">
      <c r="A71" s="270"/>
      <c r="B71" s="68"/>
      <c r="C71" s="68"/>
      <c r="D71" s="300"/>
      <c r="E71" s="68"/>
      <c r="F71" s="76"/>
      <c r="G71" s="76"/>
      <c r="H71" s="305"/>
      <c r="I71" s="306"/>
      <c r="J71" s="302"/>
      <c r="K71" s="303"/>
    </row>
    <row r="72" spans="1:11" s="304" customFormat="1" ht="21" x14ac:dyDescent="0.35">
      <c r="A72" s="270"/>
      <c r="B72" s="68"/>
      <c r="C72" s="68"/>
      <c r="D72" s="300"/>
      <c r="E72" s="68"/>
      <c r="F72" s="76"/>
      <c r="G72" s="76"/>
      <c r="H72" s="305"/>
      <c r="I72" s="306"/>
      <c r="J72" s="302"/>
      <c r="K72" s="303"/>
    </row>
    <row r="73" spans="1:11" s="304" customFormat="1" ht="21" x14ac:dyDescent="0.35">
      <c r="A73" s="270">
        <v>9</v>
      </c>
      <c r="B73" s="68"/>
      <c r="C73" s="68" t="s">
        <v>1093</v>
      </c>
      <c r="D73" s="300"/>
      <c r="E73" s="68"/>
      <c r="F73" s="76"/>
      <c r="G73" s="76"/>
      <c r="H73" s="301"/>
      <c r="I73" s="67"/>
      <c r="J73" s="302"/>
      <c r="K73" s="303"/>
    </row>
    <row r="74" spans="1:11" s="304" customFormat="1" ht="21" x14ac:dyDescent="0.35">
      <c r="A74" s="270"/>
      <c r="B74" s="68">
        <v>190</v>
      </c>
      <c r="C74" s="68" t="s">
        <v>1094</v>
      </c>
      <c r="D74" s="300" t="s">
        <v>144</v>
      </c>
      <c r="E74" s="68">
        <v>1000</v>
      </c>
      <c r="F74" s="76">
        <v>97</v>
      </c>
      <c r="G74" s="76">
        <f>E74*F74</f>
        <v>97000</v>
      </c>
      <c r="H74" s="305"/>
      <c r="I74" s="306"/>
      <c r="J74" s="302">
        <v>210</v>
      </c>
      <c r="K74" s="303">
        <v>1500</v>
      </c>
    </row>
    <row r="75" spans="1:11" s="304" customFormat="1" ht="21" x14ac:dyDescent="0.35">
      <c r="A75" s="270"/>
      <c r="B75" s="68">
        <v>363</v>
      </c>
      <c r="C75" s="68" t="s">
        <v>265</v>
      </c>
      <c r="D75" s="300">
        <v>14</v>
      </c>
      <c r="E75" s="68">
        <v>500</v>
      </c>
      <c r="F75" s="76">
        <v>125</v>
      </c>
      <c r="G75" s="76">
        <f>E75*F75</f>
        <v>62500</v>
      </c>
      <c r="H75" s="305">
        <f>SUM(G74:G75)</f>
        <v>159500</v>
      </c>
      <c r="I75" s="306"/>
      <c r="J75" s="302">
        <v>430</v>
      </c>
      <c r="K75" s="303">
        <v>1000</v>
      </c>
    </row>
    <row r="76" spans="1:11" s="304" customFormat="1" ht="21" x14ac:dyDescent="0.35">
      <c r="A76" s="270"/>
      <c r="B76" s="68"/>
      <c r="C76" s="68"/>
      <c r="D76" s="300"/>
      <c r="E76" s="68"/>
      <c r="F76" s="76"/>
      <c r="G76" s="76"/>
      <c r="H76" s="305"/>
      <c r="I76" s="306"/>
      <c r="J76" s="302"/>
      <c r="K76" s="303"/>
    </row>
    <row r="77" spans="1:11" s="304" customFormat="1" ht="21" x14ac:dyDescent="0.35">
      <c r="A77" s="270"/>
      <c r="B77" s="68"/>
      <c r="C77" s="68"/>
      <c r="D77" s="300"/>
      <c r="E77" s="68"/>
      <c r="F77" s="76"/>
      <c r="G77" s="76"/>
      <c r="H77" s="301"/>
      <c r="I77" s="67"/>
      <c r="J77" s="302"/>
      <c r="K77" s="303"/>
    </row>
    <row r="78" spans="1:11" s="304" customFormat="1" ht="21" x14ac:dyDescent="0.35">
      <c r="A78" s="270">
        <v>10</v>
      </c>
      <c r="B78" s="68"/>
      <c r="C78" s="68" t="s">
        <v>1165</v>
      </c>
      <c r="D78" s="300"/>
      <c r="E78" s="68"/>
      <c r="F78" s="76"/>
      <c r="G78" s="76"/>
      <c r="H78" s="301"/>
      <c r="I78" s="67"/>
      <c r="J78" s="302"/>
      <c r="K78" s="303"/>
    </row>
    <row r="79" spans="1:11" s="304" customFormat="1" ht="21" x14ac:dyDescent="0.35">
      <c r="A79" s="270"/>
      <c r="B79" s="68">
        <v>481</v>
      </c>
      <c r="C79" s="68" t="s">
        <v>349</v>
      </c>
      <c r="D79" s="300">
        <v>12</v>
      </c>
      <c r="E79" s="68">
        <v>25</v>
      </c>
      <c r="F79" s="76">
        <v>2260</v>
      </c>
      <c r="G79" s="76">
        <f>E79*F79</f>
        <v>56500</v>
      </c>
      <c r="H79" s="305"/>
      <c r="I79" s="306"/>
      <c r="J79" s="302">
        <v>27</v>
      </c>
      <c r="K79" s="303">
        <v>50</v>
      </c>
    </row>
    <row r="80" spans="1:11" s="304" customFormat="1" ht="21" x14ac:dyDescent="0.35">
      <c r="A80" s="270"/>
      <c r="B80" s="68">
        <v>502</v>
      </c>
      <c r="C80" s="68" t="s">
        <v>1184</v>
      </c>
      <c r="D80" s="300">
        <v>100</v>
      </c>
      <c r="E80" s="68">
        <v>5</v>
      </c>
      <c r="F80" s="76">
        <v>2035</v>
      </c>
      <c r="G80" s="76">
        <f>E80*F80</f>
        <v>10175</v>
      </c>
      <c r="H80" s="305">
        <f>SUM(G79:G80)</f>
        <v>66675</v>
      </c>
      <c r="I80" s="306"/>
      <c r="J80" s="302">
        <v>3</v>
      </c>
      <c r="K80" s="303">
        <v>7</v>
      </c>
    </row>
    <row r="81" spans="1:11" s="304" customFormat="1" ht="21" x14ac:dyDescent="0.35">
      <c r="A81" s="270"/>
      <c r="B81" s="68"/>
      <c r="C81" s="68"/>
      <c r="D81" s="300"/>
      <c r="E81" s="68"/>
      <c r="F81" s="76"/>
      <c r="G81" s="76"/>
      <c r="H81" s="305"/>
      <c r="I81" s="306"/>
      <c r="J81" s="302"/>
      <c r="K81" s="303"/>
    </row>
    <row r="82" spans="1:11" s="304" customFormat="1" ht="21" x14ac:dyDescent="0.35">
      <c r="A82" s="270">
        <v>11</v>
      </c>
      <c r="B82" s="68"/>
      <c r="C82" s="68" t="s">
        <v>629</v>
      </c>
      <c r="D82" s="300"/>
      <c r="E82" s="68"/>
      <c r="F82" s="76"/>
      <c r="G82" s="76"/>
      <c r="H82" s="301"/>
      <c r="I82" s="67"/>
      <c r="J82" s="302"/>
      <c r="K82" s="303"/>
    </row>
    <row r="83" spans="1:11" s="304" customFormat="1" ht="21" x14ac:dyDescent="0.35">
      <c r="A83" s="270"/>
      <c r="B83" s="68">
        <v>169</v>
      </c>
      <c r="C83" s="68" t="s">
        <v>1178</v>
      </c>
      <c r="D83" s="300" t="s">
        <v>57</v>
      </c>
      <c r="E83" s="68">
        <v>75</v>
      </c>
      <c r="F83" s="76">
        <v>90</v>
      </c>
      <c r="G83" s="76">
        <f>E83*F83</f>
        <v>6750</v>
      </c>
      <c r="H83" s="305"/>
      <c r="I83" s="306"/>
      <c r="J83" s="302" t="s">
        <v>1191</v>
      </c>
      <c r="K83" s="303">
        <v>25</v>
      </c>
    </row>
    <row r="84" spans="1:11" s="304" customFormat="1" ht="21" x14ac:dyDescent="0.35">
      <c r="A84" s="270"/>
      <c r="B84" s="68">
        <v>259</v>
      </c>
      <c r="C84" s="68" t="s">
        <v>691</v>
      </c>
      <c r="D84" s="300" t="s">
        <v>144</v>
      </c>
      <c r="E84" s="68">
        <v>40</v>
      </c>
      <c r="F84" s="76">
        <v>195</v>
      </c>
      <c r="G84" s="76">
        <f>E84*F84</f>
        <v>7800</v>
      </c>
      <c r="H84" s="305"/>
      <c r="I84" s="306"/>
      <c r="J84" s="302" t="s">
        <v>1191</v>
      </c>
      <c r="K84" s="303">
        <v>38</v>
      </c>
    </row>
    <row r="85" spans="1:11" s="304" customFormat="1" ht="21" x14ac:dyDescent="0.35">
      <c r="A85" s="270"/>
      <c r="B85" s="68">
        <v>341</v>
      </c>
      <c r="C85" s="68" t="s">
        <v>247</v>
      </c>
      <c r="D85" s="300" t="s">
        <v>144</v>
      </c>
      <c r="E85" s="68">
        <v>50</v>
      </c>
      <c r="F85" s="76">
        <v>290</v>
      </c>
      <c r="G85" s="76">
        <f>E85*F85</f>
        <v>14500</v>
      </c>
      <c r="H85" s="305">
        <f>SUM(G83:G85)</f>
        <v>29050</v>
      </c>
      <c r="I85" s="306"/>
      <c r="J85" s="302">
        <v>5</v>
      </c>
      <c r="K85" s="303">
        <v>75</v>
      </c>
    </row>
    <row r="86" spans="1:11" s="304" customFormat="1" ht="21" x14ac:dyDescent="0.35">
      <c r="A86" s="270"/>
      <c r="B86" s="68"/>
      <c r="C86" s="68"/>
      <c r="D86" s="300"/>
      <c r="E86" s="68"/>
      <c r="F86" s="76"/>
      <c r="G86" s="76"/>
      <c r="H86" s="305"/>
      <c r="I86" s="306"/>
      <c r="J86" s="302"/>
      <c r="K86" s="303"/>
    </row>
    <row r="87" spans="1:11" s="304" customFormat="1" ht="21" x14ac:dyDescent="0.35">
      <c r="A87" s="270"/>
      <c r="B87" s="68"/>
      <c r="C87" s="68"/>
      <c r="D87" s="300"/>
      <c r="E87" s="68"/>
      <c r="F87" s="76"/>
      <c r="G87" s="76"/>
      <c r="H87" s="301"/>
      <c r="I87" s="67"/>
      <c r="J87" s="302"/>
      <c r="K87" s="303"/>
    </row>
    <row r="88" spans="1:11" s="304" customFormat="1" ht="21" x14ac:dyDescent="0.35">
      <c r="A88" s="270">
        <v>12</v>
      </c>
      <c r="B88" s="68"/>
      <c r="C88" s="68" t="s">
        <v>892</v>
      </c>
      <c r="D88" s="300"/>
      <c r="E88" s="68"/>
      <c r="F88" s="76"/>
      <c r="G88" s="76"/>
      <c r="H88" s="301"/>
      <c r="I88" s="67"/>
      <c r="J88" s="302"/>
      <c r="K88" s="303"/>
    </row>
    <row r="89" spans="1:11" s="304" customFormat="1" ht="21" x14ac:dyDescent="0.35">
      <c r="A89" s="270"/>
      <c r="B89" s="68">
        <v>287</v>
      </c>
      <c r="C89" s="68" t="s">
        <v>1103</v>
      </c>
      <c r="D89" s="300">
        <v>500</v>
      </c>
      <c r="E89" s="68">
        <v>20</v>
      </c>
      <c r="F89" s="76">
        <v>2100</v>
      </c>
      <c r="G89" s="76">
        <f>E89*F89</f>
        <v>42000</v>
      </c>
      <c r="H89" s="301"/>
      <c r="I89" s="67"/>
      <c r="J89" s="302">
        <v>6</v>
      </c>
      <c r="K89" s="303">
        <v>19</v>
      </c>
    </row>
    <row r="90" spans="1:11" s="304" customFormat="1" ht="21" x14ac:dyDescent="0.35">
      <c r="A90" s="270"/>
      <c r="B90" s="68">
        <v>238</v>
      </c>
      <c r="C90" s="68" t="s">
        <v>693</v>
      </c>
      <c r="D90" s="300">
        <v>30</v>
      </c>
      <c r="E90" s="68">
        <v>50</v>
      </c>
      <c r="F90" s="76">
        <v>340</v>
      </c>
      <c r="G90" s="76">
        <f>E90*F90</f>
        <v>17000</v>
      </c>
      <c r="H90" s="305"/>
      <c r="I90" s="306"/>
      <c r="J90" s="302">
        <v>48</v>
      </c>
      <c r="K90" s="303">
        <v>125</v>
      </c>
    </row>
    <row r="91" spans="1:11" s="304" customFormat="1" ht="21" x14ac:dyDescent="0.35">
      <c r="A91" s="270"/>
      <c r="B91" s="68">
        <v>366</v>
      </c>
      <c r="C91" s="68" t="s">
        <v>268</v>
      </c>
      <c r="D91" s="300" t="s">
        <v>455</v>
      </c>
      <c r="E91" s="68">
        <v>125</v>
      </c>
      <c r="F91" s="76">
        <v>260</v>
      </c>
      <c r="G91" s="76">
        <f>E91*F91</f>
        <v>32500</v>
      </c>
      <c r="H91" s="301"/>
      <c r="I91" s="67"/>
      <c r="J91" s="302">
        <v>30</v>
      </c>
      <c r="K91" s="303">
        <v>125</v>
      </c>
    </row>
    <row r="92" spans="1:11" s="304" customFormat="1" ht="21" x14ac:dyDescent="0.35">
      <c r="A92" s="270"/>
      <c r="B92" s="68">
        <v>82</v>
      </c>
      <c r="C92" s="68" t="s">
        <v>1170</v>
      </c>
      <c r="D92" s="300">
        <v>30</v>
      </c>
      <c r="E92" s="68">
        <v>150</v>
      </c>
      <c r="F92" s="76">
        <v>1100</v>
      </c>
      <c r="G92" s="76">
        <f>E92*F92</f>
        <v>165000</v>
      </c>
      <c r="H92" s="301"/>
      <c r="I92" s="67"/>
      <c r="J92" s="302">
        <v>90</v>
      </c>
      <c r="K92" s="303">
        <v>250</v>
      </c>
    </row>
    <row r="93" spans="1:11" s="304" customFormat="1" ht="21" x14ac:dyDescent="0.35">
      <c r="A93" s="270"/>
      <c r="B93" s="68">
        <v>151</v>
      </c>
      <c r="C93" s="68" t="s">
        <v>111</v>
      </c>
      <c r="D93" s="300">
        <v>100</v>
      </c>
      <c r="E93" s="68">
        <v>1</v>
      </c>
      <c r="F93" s="76">
        <v>10000</v>
      </c>
      <c r="G93" s="76">
        <f>E93*F93</f>
        <v>10000</v>
      </c>
      <c r="H93" s="305">
        <f>SUM(G89:G93)</f>
        <v>266500</v>
      </c>
      <c r="I93" s="306"/>
      <c r="J93" s="302" t="s">
        <v>1195</v>
      </c>
      <c r="K93" s="303">
        <v>1</v>
      </c>
    </row>
    <row r="94" spans="1:11" s="304" customFormat="1" ht="21" x14ac:dyDescent="0.35">
      <c r="A94" s="270"/>
      <c r="B94" s="68"/>
      <c r="C94" s="68"/>
      <c r="D94" s="300"/>
      <c r="E94" s="68"/>
      <c r="F94" s="76"/>
      <c r="G94" s="76"/>
      <c r="H94" s="301"/>
      <c r="I94" s="67"/>
      <c r="J94" s="302"/>
      <c r="K94" s="303"/>
    </row>
    <row r="95" spans="1:11" s="304" customFormat="1" ht="21" x14ac:dyDescent="0.35">
      <c r="A95" s="270"/>
      <c r="B95" s="68"/>
      <c r="C95" s="68"/>
      <c r="D95" s="300"/>
      <c r="E95" s="68"/>
      <c r="F95" s="76"/>
      <c r="G95" s="76"/>
      <c r="H95" s="301"/>
      <c r="I95" s="67"/>
      <c r="J95" s="302"/>
      <c r="K95" s="303"/>
    </row>
    <row r="96" spans="1:11" s="304" customFormat="1" ht="21" x14ac:dyDescent="0.35">
      <c r="A96" s="270">
        <v>13</v>
      </c>
      <c r="B96" s="68"/>
      <c r="C96" s="68" t="s">
        <v>1079</v>
      </c>
      <c r="D96" s="300"/>
      <c r="E96" s="68"/>
      <c r="F96" s="76"/>
      <c r="G96" s="76"/>
      <c r="H96" s="301"/>
      <c r="I96" s="67"/>
      <c r="J96" s="302"/>
      <c r="K96" s="303"/>
    </row>
    <row r="97" spans="1:11" s="304" customFormat="1" ht="21" x14ac:dyDescent="0.35">
      <c r="A97" s="270"/>
      <c r="B97" s="68">
        <v>454</v>
      </c>
      <c r="C97" s="68" t="s">
        <v>1080</v>
      </c>
      <c r="D97" s="300" t="s">
        <v>57</v>
      </c>
      <c r="E97" s="68">
        <v>10</v>
      </c>
      <c r="F97" s="76">
        <v>3500</v>
      </c>
      <c r="G97" s="76">
        <f>E97*F97</f>
        <v>35000</v>
      </c>
      <c r="H97" s="301"/>
      <c r="I97" s="67"/>
      <c r="J97" s="302" t="s">
        <v>1191</v>
      </c>
      <c r="K97" s="303" t="s">
        <v>1197</v>
      </c>
    </row>
    <row r="98" spans="1:11" s="304" customFormat="1" ht="21" x14ac:dyDescent="0.35">
      <c r="A98" s="270"/>
      <c r="B98" s="68">
        <v>131</v>
      </c>
      <c r="C98" s="68" t="s">
        <v>445</v>
      </c>
      <c r="D98" s="300">
        <v>30</v>
      </c>
      <c r="E98" s="68">
        <v>50</v>
      </c>
      <c r="F98" s="76">
        <v>300</v>
      </c>
      <c r="G98" s="76">
        <f>E98*F98</f>
        <v>15000</v>
      </c>
      <c r="H98" s="301"/>
      <c r="I98" s="67"/>
      <c r="J98" s="302" t="s">
        <v>1191</v>
      </c>
      <c r="K98" s="303">
        <v>50</v>
      </c>
    </row>
    <row r="99" spans="1:11" s="304" customFormat="1" ht="21" x14ac:dyDescent="0.35">
      <c r="A99" s="270"/>
      <c r="B99" s="68">
        <v>367</v>
      </c>
      <c r="C99" s="68" t="s">
        <v>269</v>
      </c>
      <c r="D99" s="300">
        <v>10</v>
      </c>
      <c r="E99" s="68">
        <v>10</v>
      </c>
      <c r="F99" s="76">
        <v>840</v>
      </c>
      <c r="G99" s="76">
        <f>E99*F99</f>
        <v>8400</v>
      </c>
      <c r="H99" s="305">
        <f>SUM(G97:G99)</f>
        <v>58400</v>
      </c>
      <c r="I99" s="306"/>
      <c r="J99" s="302" t="s">
        <v>1191</v>
      </c>
      <c r="K99" s="303">
        <v>5</v>
      </c>
    </row>
    <row r="100" spans="1:11" s="304" customFormat="1" ht="21" x14ac:dyDescent="0.35">
      <c r="A100" s="270"/>
      <c r="B100" s="68"/>
      <c r="C100" s="68"/>
      <c r="D100" s="300"/>
      <c r="E100" s="68"/>
      <c r="F100" s="76"/>
      <c r="G100" s="76"/>
      <c r="H100" s="301"/>
      <c r="I100" s="67"/>
      <c r="J100" s="302"/>
      <c r="K100" s="303"/>
    </row>
    <row r="101" spans="1:11" s="304" customFormat="1" ht="21" x14ac:dyDescent="0.35">
      <c r="A101" s="270"/>
      <c r="B101" s="68"/>
      <c r="C101" s="68"/>
      <c r="D101" s="300"/>
      <c r="E101" s="68"/>
      <c r="F101" s="76"/>
      <c r="G101" s="76"/>
      <c r="H101" s="301"/>
      <c r="I101" s="67"/>
      <c r="J101" s="302"/>
      <c r="K101" s="303"/>
    </row>
    <row r="102" spans="1:11" s="304" customFormat="1" ht="21" x14ac:dyDescent="0.35">
      <c r="A102" s="270">
        <v>14</v>
      </c>
      <c r="B102" s="68"/>
      <c r="C102" s="68" t="s">
        <v>822</v>
      </c>
      <c r="D102" s="300"/>
      <c r="E102" s="68"/>
      <c r="F102" s="76"/>
      <c r="G102" s="76"/>
      <c r="H102" s="301"/>
      <c r="I102" s="67"/>
      <c r="J102" s="302"/>
      <c r="K102" s="303"/>
    </row>
    <row r="103" spans="1:11" s="304" customFormat="1" ht="21" x14ac:dyDescent="0.35">
      <c r="A103" s="270"/>
      <c r="B103" s="68">
        <v>35</v>
      </c>
      <c r="C103" s="68" t="s">
        <v>1083</v>
      </c>
      <c r="D103" s="300">
        <v>30</v>
      </c>
      <c r="E103" s="68">
        <v>30</v>
      </c>
      <c r="F103" s="76">
        <v>1950</v>
      </c>
      <c r="G103" s="76">
        <f>E103*F103</f>
        <v>58500</v>
      </c>
      <c r="H103" s="301"/>
      <c r="I103" s="67"/>
      <c r="J103" s="302" t="s">
        <v>1191</v>
      </c>
      <c r="K103" s="303">
        <v>25</v>
      </c>
    </row>
    <row r="104" spans="1:11" s="304" customFormat="1" ht="21" x14ac:dyDescent="0.35">
      <c r="A104" s="270"/>
      <c r="B104" s="68">
        <v>37</v>
      </c>
      <c r="C104" s="68" t="s">
        <v>1085</v>
      </c>
      <c r="D104" s="300">
        <v>30</v>
      </c>
      <c r="E104" s="68">
        <v>30</v>
      </c>
      <c r="F104" s="76">
        <v>1350</v>
      </c>
      <c r="G104" s="76">
        <f>E104*F104</f>
        <v>40500</v>
      </c>
      <c r="H104" s="305"/>
      <c r="I104" s="306"/>
      <c r="J104" s="302" t="s">
        <v>1191</v>
      </c>
      <c r="K104" s="303">
        <v>20</v>
      </c>
    </row>
    <row r="105" spans="1:11" s="304" customFormat="1" ht="21" x14ac:dyDescent="0.35">
      <c r="A105" s="270"/>
      <c r="B105" s="68">
        <v>182</v>
      </c>
      <c r="C105" s="68" t="s">
        <v>1082</v>
      </c>
      <c r="D105" s="300" t="s">
        <v>57</v>
      </c>
      <c r="E105" s="68">
        <v>250</v>
      </c>
      <c r="F105" s="76">
        <v>900</v>
      </c>
      <c r="G105" s="76">
        <f>E105*F105</f>
        <v>225000</v>
      </c>
      <c r="H105" s="301"/>
      <c r="I105" s="67"/>
      <c r="J105" s="302">
        <v>5</v>
      </c>
      <c r="K105" s="303">
        <v>150</v>
      </c>
    </row>
    <row r="106" spans="1:11" s="304" customFormat="1" ht="21" x14ac:dyDescent="0.35">
      <c r="A106" s="270"/>
      <c r="B106" s="68">
        <v>139</v>
      </c>
      <c r="C106" s="68" t="s">
        <v>103</v>
      </c>
      <c r="D106" s="300">
        <v>100</v>
      </c>
      <c r="E106" s="68">
        <v>300</v>
      </c>
      <c r="F106" s="76">
        <v>1550</v>
      </c>
      <c r="G106" s="76">
        <f>E106*F106</f>
        <v>465000</v>
      </c>
      <c r="H106" s="305">
        <f>SUM(G103:G106)</f>
        <v>789000</v>
      </c>
      <c r="I106" s="306"/>
      <c r="J106" s="302">
        <v>10</v>
      </c>
      <c r="K106" s="303">
        <v>125</v>
      </c>
    </row>
    <row r="107" spans="1:11" s="304" customFormat="1" ht="21" x14ac:dyDescent="0.35">
      <c r="A107" s="270"/>
      <c r="B107" s="68"/>
      <c r="C107" s="68"/>
      <c r="D107" s="300"/>
      <c r="E107" s="68"/>
      <c r="F107" s="76"/>
      <c r="G107" s="76"/>
      <c r="H107" s="305"/>
      <c r="I107" s="306"/>
      <c r="J107" s="302"/>
      <c r="K107" s="303"/>
    </row>
    <row r="108" spans="1:11" s="304" customFormat="1" ht="21" x14ac:dyDescent="0.35">
      <c r="A108" s="270"/>
      <c r="B108" s="68"/>
      <c r="C108" s="68"/>
      <c r="D108" s="300"/>
      <c r="E108" s="68"/>
      <c r="F108" s="76"/>
      <c r="G108" s="76"/>
      <c r="H108" s="301"/>
      <c r="I108" s="67"/>
      <c r="J108" s="302"/>
      <c r="K108" s="303"/>
    </row>
    <row r="109" spans="1:11" s="304" customFormat="1" ht="21" x14ac:dyDescent="0.35">
      <c r="A109" s="270">
        <v>15</v>
      </c>
      <c r="B109" s="68"/>
      <c r="C109" s="68" t="s">
        <v>1089</v>
      </c>
      <c r="D109" s="300"/>
      <c r="E109" s="68"/>
      <c r="F109" s="76"/>
      <c r="G109" s="76"/>
      <c r="H109" s="301"/>
      <c r="I109" s="67"/>
      <c r="J109" s="302"/>
      <c r="K109" s="303"/>
    </row>
    <row r="110" spans="1:11" s="304" customFormat="1" ht="21" x14ac:dyDescent="0.35">
      <c r="A110" s="270"/>
      <c r="B110" s="68">
        <v>256</v>
      </c>
      <c r="C110" s="68" t="s">
        <v>1090</v>
      </c>
      <c r="D110" s="300">
        <v>30</v>
      </c>
      <c r="E110" s="68">
        <v>50</v>
      </c>
      <c r="F110" s="76">
        <v>2300</v>
      </c>
      <c r="G110" s="76">
        <f>E110*F110</f>
        <v>115000</v>
      </c>
      <c r="H110" s="305">
        <f>SUM(G109:G110)</f>
        <v>115000</v>
      </c>
      <c r="I110" s="306"/>
      <c r="J110" s="302" t="s">
        <v>1191</v>
      </c>
      <c r="K110" s="303">
        <v>25</v>
      </c>
    </row>
    <row r="111" spans="1:11" s="304" customFormat="1" ht="21" x14ac:dyDescent="0.35">
      <c r="A111" s="270"/>
      <c r="B111" s="68"/>
      <c r="C111" s="68"/>
      <c r="D111" s="300"/>
      <c r="E111" s="68"/>
      <c r="F111" s="76"/>
      <c r="G111" s="76"/>
      <c r="H111" s="305"/>
      <c r="I111" s="306"/>
      <c r="J111" s="302"/>
      <c r="K111" s="303"/>
    </row>
    <row r="112" spans="1:11" s="304" customFormat="1" ht="21" x14ac:dyDescent="0.35">
      <c r="A112" s="270"/>
      <c r="B112" s="68"/>
      <c r="C112" s="68"/>
      <c r="D112" s="300"/>
      <c r="E112" s="68"/>
      <c r="F112" s="76"/>
      <c r="G112" s="76"/>
      <c r="H112" s="301"/>
      <c r="I112" s="67"/>
      <c r="J112" s="302"/>
      <c r="K112" s="303"/>
    </row>
    <row r="113" spans="1:11" s="304" customFormat="1" ht="21" x14ac:dyDescent="0.35">
      <c r="A113" s="270">
        <v>16</v>
      </c>
      <c r="B113" s="68"/>
      <c r="C113" s="68" t="s">
        <v>1112</v>
      </c>
      <c r="D113" s="300"/>
      <c r="E113" s="68"/>
      <c r="F113" s="76"/>
      <c r="G113" s="76"/>
      <c r="H113" s="301"/>
      <c r="I113" s="67"/>
      <c r="J113" s="302"/>
      <c r="K113" s="303"/>
    </row>
    <row r="114" spans="1:11" s="304" customFormat="1" ht="21" x14ac:dyDescent="0.35">
      <c r="A114" s="270"/>
      <c r="B114" s="68">
        <v>178</v>
      </c>
      <c r="C114" s="68" t="s">
        <v>132</v>
      </c>
      <c r="D114" s="300">
        <v>10</v>
      </c>
      <c r="E114" s="68">
        <v>20</v>
      </c>
      <c r="F114" s="76">
        <v>1595</v>
      </c>
      <c r="G114" s="76">
        <f>E114*F114</f>
        <v>31900</v>
      </c>
      <c r="H114" s="305">
        <f>SUM(G114:G114)</f>
        <v>31900</v>
      </c>
      <c r="I114" s="306"/>
      <c r="J114" s="302" t="s">
        <v>1191</v>
      </c>
      <c r="K114" s="303">
        <v>13</v>
      </c>
    </row>
    <row r="115" spans="1:11" s="304" customFormat="1" ht="21" x14ac:dyDescent="0.35">
      <c r="A115" s="270"/>
      <c r="B115" s="68"/>
      <c r="C115" s="68"/>
      <c r="D115" s="300"/>
      <c r="E115" s="68"/>
      <c r="F115" s="76"/>
      <c r="G115" s="76"/>
      <c r="H115" s="305"/>
      <c r="I115" s="306"/>
      <c r="J115" s="302"/>
      <c r="K115" s="303"/>
    </row>
    <row r="116" spans="1:11" s="304" customFormat="1" ht="21" x14ac:dyDescent="0.35">
      <c r="A116" s="270">
        <v>17</v>
      </c>
      <c r="B116" s="68"/>
      <c r="C116" s="68" t="s">
        <v>833</v>
      </c>
      <c r="D116" s="300"/>
      <c r="E116" s="68"/>
      <c r="F116" s="76"/>
      <c r="G116" s="76"/>
      <c r="H116" s="301"/>
      <c r="I116" s="67"/>
      <c r="J116" s="302"/>
      <c r="K116" s="303"/>
    </row>
    <row r="117" spans="1:11" s="304" customFormat="1" ht="21" x14ac:dyDescent="0.35">
      <c r="A117" s="270"/>
      <c r="B117" s="68">
        <v>12</v>
      </c>
      <c r="C117" s="68" t="s">
        <v>1086</v>
      </c>
      <c r="D117" s="300">
        <v>4</v>
      </c>
      <c r="E117" s="68">
        <v>200</v>
      </c>
      <c r="F117" s="76">
        <v>800</v>
      </c>
      <c r="G117" s="76">
        <f>E117*F117</f>
        <v>160000</v>
      </c>
      <c r="H117" s="305">
        <f>SUM(G117:G117)</f>
        <v>160000</v>
      </c>
      <c r="I117" s="306"/>
      <c r="J117" s="302" t="s">
        <v>1191</v>
      </c>
      <c r="K117" s="303">
        <v>100</v>
      </c>
    </row>
    <row r="118" spans="1:11" s="304" customFormat="1" ht="21" x14ac:dyDescent="0.35">
      <c r="A118" s="270"/>
      <c r="B118" s="68"/>
      <c r="C118" s="68"/>
      <c r="D118" s="300"/>
      <c r="E118" s="68"/>
      <c r="F118" s="76"/>
      <c r="G118" s="76"/>
      <c r="H118" s="305"/>
      <c r="I118" s="306"/>
      <c r="J118" s="302"/>
      <c r="K118" s="303"/>
    </row>
    <row r="119" spans="1:11" s="304" customFormat="1" ht="21" x14ac:dyDescent="0.35">
      <c r="A119" s="270"/>
      <c r="B119" s="68"/>
      <c r="C119" s="68"/>
      <c r="D119" s="300"/>
      <c r="E119" s="68"/>
      <c r="F119" s="76"/>
      <c r="G119" s="76"/>
      <c r="H119" s="301"/>
      <c r="I119" s="67"/>
      <c r="J119" s="302"/>
      <c r="K119" s="303"/>
    </row>
    <row r="120" spans="1:11" s="304" customFormat="1" ht="16.5" customHeight="1" x14ac:dyDescent="0.35">
      <c r="A120" s="270">
        <v>18</v>
      </c>
      <c r="B120" s="68"/>
      <c r="C120" s="68" t="s">
        <v>881</v>
      </c>
      <c r="D120" s="300"/>
      <c r="E120" s="68"/>
      <c r="F120" s="76"/>
      <c r="G120" s="76"/>
      <c r="H120" s="301"/>
      <c r="I120" s="67"/>
      <c r="J120" s="302"/>
      <c r="K120" s="303"/>
    </row>
    <row r="121" spans="1:11" s="304" customFormat="1" ht="16.5" customHeight="1" x14ac:dyDescent="0.35">
      <c r="A121" s="270"/>
      <c r="B121" s="68">
        <v>129</v>
      </c>
      <c r="C121" s="68" t="s">
        <v>1105</v>
      </c>
      <c r="D121" s="300">
        <v>100</v>
      </c>
      <c r="E121" s="68">
        <v>25</v>
      </c>
      <c r="F121" s="76">
        <v>380</v>
      </c>
      <c r="G121" s="76">
        <f>E121*F121</f>
        <v>9500</v>
      </c>
      <c r="H121" s="301"/>
      <c r="I121" s="67"/>
      <c r="J121" s="302" t="s">
        <v>1191</v>
      </c>
      <c r="K121" s="303" t="s">
        <v>1197</v>
      </c>
    </row>
    <row r="122" spans="1:11" s="304" customFormat="1" ht="16.5" customHeight="1" x14ac:dyDescent="0.35">
      <c r="A122" s="270"/>
      <c r="B122" s="68">
        <v>275</v>
      </c>
      <c r="C122" s="68" t="s">
        <v>192</v>
      </c>
      <c r="D122" s="300">
        <v>100</v>
      </c>
      <c r="E122" s="68">
        <v>150</v>
      </c>
      <c r="F122" s="76">
        <v>3750</v>
      </c>
      <c r="G122" s="76">
        <f>E122*F122</f>
        <v>562500</v>
      </c>
      <c r="H122" s="301"/>
      <c r="I122" s="67"/>
      <c r="J122" s="302">
        <v>32</v>
      </c>
      <c r="K122" s="303">
        <v>137</v>
      </c>
    </row>
    <row r="123" spans="1:11" s="304" customFormat="1" ht="16.5" customHeight="1" x14ac:dyDescent="0.35">
      <c r="A123" s="270"/>
      <c r="B123" s="68">
        <v>209</v>
      </c>
      <c r="C123" s="68" t="s">
        <v>154</v>
      </c>
      <c r="D123" s="300">
        <v>100</v>
      </c>
      <c r="E123" s="68">
        <v>20</v>
      </c>
      <c r="F123" s="76">
        <v>1550</v>
      </c>
      <c r="G123" s="76">
        <f>E123*F123</f>
        <v>31000</v>
      </c>
      <c r="H123" s="305">
        <f>SUM(G121:G123)</f>
        <v>603000</v>
      </c>
      <c r="I123" s="306"/>
      <c r="J123" s="302">
        <v>3</v>
      </c>
      <c r="K123" s="303" t="s">
        <v>1197</v>
      </c>
    </row>
    <row r="124" spans="1:11" s="304" customFormat="1" ht="16.5" customHeight="1" x14ac:dyDescent="0.35">
      <c r="A124" s="270"/>
      <c r="B124" s="68"/>
      <c r="C124" s="68"/>
      <c r="D124" s="300"/>
      <c r="E124" s="68"/>
      <c r="F124" s="76"/>
      <c r="G124" s="76"/>
      <c r="H124" s="305"/>
      <c r="I124" s="306"/>
      <c r="J124" s="302"/>
      <c r="K124" s="303"/>
    </row>
    <row r="125" spans="1:11" s="304" customFormat="1" ht="21" x14ac:dyDescent="0.35">
      <c r="A125" s="270">
        <v>19</v>
      </c>
      <c r="B125" s="68"/>
      <c r="C125" s="68" t="s">
        <v>1106</v>
      </c>
      <c r="D125" s="300"/>
      <c r="E125" s="68"/>
      <c r="F125" s="76"/>
      <c r="G125" s="76"/>
      <c r="H125" s="301"/>
      <c r="I125" s="67"/>
      <c r="J125" s="302"/>
      <c r="K125" s="303"/>
    </row>
    <row r="126" spans="1:11" s="304" customFormat="1" ht="21" x14ac:dyDescent="0.35">
      <c r="A126" s="270"/>
      <c r="B126" s="68">
        <v>67</v>
      </c>
      <c r="C126" s="68" t="s">
        <v>1107</v>
      </c>
      <c r="D126" s="300">
        <v>30</v>
      </c>
      <c r="E126" s="68">
        <v>50</v>
      </c>
      <c r="F126" s="76">
        <v>1000</v>
      </c>
      <c r="G126" s="76">
        <f>E126*F126</f>
        <v>50000</v>
      </c>
      <c r="H126" s="305">
        <f>SUM(G126:G126)</f>
        <v>50000</v>
      </c>
      <c r="I126" s="306"/>
      <c r="J126" s="302">
        <v>36</v>
      </c>
      <c r="K126" s="303">
        <v>111</v>
      </c>
    </row>
    <row r="127" spans="1:11" s="304" customFormat="1" ht="21" x14ac:dyDescent="0.35">
      <c r="A127" s="270"/>
      <c r="B127" s="68"/>
      <c r="C127" s="68"/>
      <c r="D127" s="300"/>
      <c r="E127" s="68"/>
      <c r="F127" s="76"/>
      <c r="G127" s="76"/>
      <c r="H127" s="301"/>
      <c r="I127" s="67"/>
      <c r="J127" s="302"/>
      <c r="K127" s="303"/>
    </row>
    <row r="128" spans="1:11" s="304" customFormat="1" ht="21" x14ac:dyDescent="0.35">
      <c r="A128" s="270">
        <v>20</v>
      </c>
      <c r="B128" s="68"/>
      <c r="C128" s="68" t="s">
        <v>1166</v>
      </c>
      <c r="D128" s="300"/>
      <c r="E128" s="68"/>
      <c r="F128" s="76"/>
      <c r="G128" s="76"/>
      <c r="H128" s="301"/>
      <c r="I128" s="67"/>
      <c r="J128" s="302"/>
      <c r="K128" s="303"/>
    </row>
    <row r="129" spans="1:11" s="304" customFormat="1" ht="21" x14ac:dyDescent="0.35">
      <c r="A129" s="270"/>
      <c r="B129" s="68">
        <v>147</v>
      </c>
      <c r="C129" s="68" t="s">
        <v>108</v>
      </c>
      <c r="D129" s="300">
        <v>30</v>
      </c>
      <c r="E129" s="68">
        <v>100</v>
      </c>
      <c r="F129" s="76">
        <v>2400</v>
      </c>
      <c r="G129" s="76">
        <f>E129*F129</f>
        <v>240000</v>
      </c>
      <c r="H129" s="305">
        <f>SUM(G129:G129)</f>
        <v>240000</v>
      </c>
      <c r="I129" s="306"/>
      <c r="J129" s="302">
        <v>75</v>
      </c>
      <c r="K129" s="303">
        <v>140</v>
      </c>
    </row>
    <row r="130" spans="1:11" s="304" customFormat="1" ht="21" x14ac:dyDescent="0.35">
      <c r="A130" s="270"/>
      <c r="B130" s="68"/>
      <c r="C130" s="68"/>
      <c r="D130" s="300"/>
      <c r="E130" s="68"/>
      <c r="F130" s="76"/>
      <c r="G130" s="76"/>
      <c r="H130" s="301"/>
      <c r="I130" s="67"/>
      <c r="J130" s="302"/>
      <c r="K130" s="303"/>
    </row>
    <row r="131" spans="1:11" s="304" customFormat="1" ht="21" x14ac:dyDescent="0.35">
      <c r="A131" s="270">
        <v>21</v>
      </c>
      <c r="B131" s="68"/>
      <c r="C131" s="68" t="s">
        <v>879</v>
      </c>
      <c r="D131" s="300"/>
      <c r="E131" s="68"/>
      <c r="F131" s="76"/>
      <c r="G131" s="76"/>
      <c r="H131" s="301"/>
      <c r="I131" s="67"/>
      <c r="J131" s="302"/>
      <c r="K131" s="303"/>
    </row>
    <row r="132" spans="1:11" s="304" customFormat="1" ht="21" x14ac:dyDescent="0.35">
      <c r="A132" s="270"/>
      <c r="B132" s="68">
        <v>21</v>
      </c>
      <c r="C132" s="68" t="s">
        <v>21</v>
      </c>
      <c r="D132" s="300">
        <v>20</v>
      </c>
      <c r="E132" s="68">
        <v>15</v>
      </c>
      <c r="F132" s="76">
        <v>8060</v>
      </c>
      <c r="G132" s="76">
        <f>E132*F132</f>
        <v>120900</v>
      </c>
      <c r="H132" s="301"/>
      <c r="I132" s="67"/>
      <c r="J132" s="302">
        <v>17</v>
      </c>
      <c r="K132" s="303">
        <v>15</v>
      </c>
    </row>
    <row r="133" spans="1:11" s="304" customFormat="1" ht="21" x14ac:dyDescent="0.35">
      <c r="A133" s="270"/>
      <c r="B133" s="68">
        <v>40</v>
      </c>
      <c r="C133" s="68" t="s">
        <v>1167</v>
      </c>
      <c r="D133" s="300">
        <v>28</v>
      </c>
      <c r="E133" s="68">
        <v>100</v>
      </c>
      <c r="F133" s="76">
        <v>165</v>
      </c>
      <c r="G133" s="76">
        <f>E133*F133</f>
        <v>16500</v>
      </c>
      <c r="H133" s="301"/>
      <c r="I133" s="67"/>
      <c r="J133" s="302" t="s">
        <v>1191</v>
      </c>
      <c r="K133" s="303">
        <v>90</v>
      </c>
    </row>
    <row r="134" spans="1:11" s="304" customFormat="1" ht="21" x14ac:dyDescent="0.35">
      <c r="A134" s="270"/>
      <c r="B134" s="68">
        <v>257</v>
      </c>
      <c r="C134" s="68" t="s">
        <v>1168</v>
      </c>
      <c r="D134" s="300">
        <v>30</v>
      </c>
      <c r="E134" s="68">
        <v>120</v>
      </c>
      <c r="F134" s="76">
        <v>170</v>
      </c>
      <c r="G134" s="76">
        <f>E134*F134</f>
        <v>20400</v>
      </c>
      <c r="H134" s="305">
        <f>SUM(G132:G134)</f>
        <v>157800</v>
      </c>
      <c r="I134" s="306"/>
      <c r="J134" s="302">
        <v>110</v>
      </c>
      <c r="K134" s="303">
        <v>240</v>
      </c>
    </row>
    <row r="135" spans="1:11" s="304" customFormat="1" ht="21" x14ac:dyDescent="0.35">
      <c r="A135" s="270"/>
      <c r="B135" s="68"/>
      <c r="C135" s="68"/>
      <c r="D135" s="300"/>
      <c r="E135" s="68"/>
      <c r="F135" s="76"/>
      <c r="G135" s="76"/>
      <c r="H135" s="305"/>
      <c r="I135" s="306"/>
      <c r="J135" s="302"/>
      <c r="K135" s="303"/>
    </row>
    <row r="136" spans="1:11" s="304" customFormat="1" ht="21" x14ac:dyDescent="0.35">
      <c r="A136" s="270">
        <v>22</v>
      </c>
      <c r="B136" s="68"/>
      <c r="C136" s="68" t="s">
        <v>1088</v>
      </c>
      <c r="D136" s="300"/>
      <c r="E136" s="68"/>
      <c r="F136" s="76"/>
      <c r="G136" s="76"/>
      <c r="H136" s="301"/>
      <c r="I136" s="67"/>
      <c r="J136" s="302"/>
      <c r="K136" s="303"/>
    </row>
    <row r="137" spans="1:11" s="304" customFormat="1" ht="21" x14ac:dyDescent="0.35">
      <c r="A137" s="270"/>
      <c r="B137" s="68">
        <v>399</v>
      </c>
      <c r="C137" s="68" t="s">
        <v>297</v>
      </c>
      <c r="D137" s="300">
        <v>100</v>
      </c>
      <c r="E137" s="68">
        <v>50</v>
      </c>
      <c r="F137" s="76">
        <v>245</v>
      </c>
      <c r="G137" s="76">
        <f>E137*F137</f>
        <v>12250</v>
      </c>
      <c r="H137" s="301"/>
      <c r="I137" s="67"/>
      <c r="J137" s="302" t="s">
        <v>1191</v>
      </c>
      <c r="K137" s="303" t="s">
        <v>1197</v>
      </c>
    </row>
    <row r="138" spans="1:11" s="304" customFormat="1" ht="21" x14ac:dyDescent="0.35">
      <c r="A138" s="270"/>
      <c r="B138" s="68">
        <v>276</v>
      </c>
      <c r="C138" s="68" t="s">
        <v>1096</v>
      </c>
      <c r="D138" s="300">
        <v>1000</v>
      </c>
      <c r="E138" s="68">
        <v>30</v>
      </c>
      <c r="F138" s="76">
        <v>380</v>
      </c>
      <c r="G138" s="76">
        <f>E138*F138</f>
        <v>11400</v>
      </c>
      <c r="H138" s="305">
        <f>SUM(G137:G138)</f>
        <v>23650</v>
      </c>
      <c r="I138" s="306"/>
      <c r="J138" s="302">
        <v>4</v>
      </c>
      <c r="K138" s="303">
        <v>66</v>
      </c>
    </row>
    <row r="139" spans="1:11" s="304" customFormat="1" ht="21" x14ac:dyDescent="0.35">
      <c r="A139" s="270"/>
      <c r="B139" s="68"/>
      <c r="C139" s="68"/>
      <c r="D139" s="300"/>
      <c r="E139" s="68"/>
      <c r="F139" s="76"/>
      <c r="G139" s="76"/>
      <c r="H139" s="305"/>
      <c r="I139" s="306"/>
      <c r="J139" s="302"/>
      <c r="K139" s="303"/>
    </row>
    <row r="140" spans="1:11" s="304" customFormat="1" ht="21" x14ac:dyDescent="0.35">
      <c r="A140" s="270">
        <v>23</v>
      </c>
      <c r="B140" s="68"/>
      <c r="C140" s="68" t="s">
        <v>901</v>
      </c>
      <c r="D140" s="300"/>
      <c r="E140" s="68"/>
      <c r="F140" s="76"/>
      <c r="G140" s="76"/>
      <c r="H140" s="301"/>
      <c r="I140" s="67"/>
      <c r="J140" s="302"/>
      <c r="K140" s="303"/>
    </row>
    <row r="141" spans="1:11" s="304" customFormat="1" ht="21" x14ac:dyDescent="0.35">
      <c r="A141" s="270"/>
      <c r="B141" s="68">
        <v>5</v>
      </c>
      <c r="C141" s="68" t="s">
        <v>714</v>
      </c>
      <c r="D141" s="300">
        <v>6</v>
      </c>
      <c r="E141" s="68">
        <v>150</v>
      </c>
      <c r="F141" s="76">
        <v>134.82</v>
      </c>
      <c r="G141" s="76">
        <f>E141*F141</f>
        <v>20223</v>
      </c>
      <c r="H141" s="301"/>
      <c r="I141" s="67"/>
      <c r="J141" s="302">
        <v>90</v>
      </c>
      <c r="K141" s="303">
        <v>250</v>
      </c>
    </row>
    <row r="142" spans="1:11" s="304" customFormat="1" ht="21" x14ac:dyDescent="0.35">
      <c r="A142" s="270"/>
      <c r="B142" s="68">
        <v>548</v>
      </c>
      <c r="C142" s="68" t="s">
        <v>1104</v>
      </c>
      <c r="D142" s="300" t="s">
        <v>144</v>
      </c>
      <c r="E142" s="68">
        <v>24</v>
      </c>
      <c r="F142" s="76">
        <v>117.97</v>
      </c>
      <c r="G142" s="76">
        <f>E142*F142</f>
        <v>2831.2799999999997</v>
      </c>
      <c r="H142" s="305"/>
      <c r="I142" s="306"/>
      <c r="J142" s="302">
        <v>22</v>
      </c>
      <c r="K142" s="303">
        <v>8</v>
      </c>
    </row>
    <row r="143" spans="1:11" s="304" customFormat="1" ht="21" x14ac:dyDescent="0.35">
      <c r="A143" s="270"/>
      <c r="B143" s="68">
        <v>402</v>
      </c>
      <c r="C143" s="68" t="s">
        <v>300</v>
      </c>
      <c r="D143" s="300">
        <v>100</v>
      </c>
      <c r="E143" s="68">
        <v>15</v>
      </c>
      <c r="F143" s="76">
        <v>1685.25</v>
      </c>
      <c r="G143" s="76">
        <f>E143*F143</f>
        <v>25278.75</v>
      </c>
      <c r="H143" s="305">
        <f>SUM(G141:G143)</f>
        <v>48333.03</v>
      </c>
      <c r="I143" s="306"/>
      <c r="J143" s="302">
        <v>12</v>
      </c>
      <c r="K143" s="303">
        <v>15</v>
      </c>
    </row>
    <row r="144" spans="1:11" s="304" customFormat="1" ht="21" x14ac:dyDescent="0.35">
      <c r="A144" s="270"/>
      <c r="B144" s="68"/>
      <c r="C144" s="68"/>
      <c r="D144" s="300"/>
      <c r="E144" s="68"/>
      <c r="F144" s="76"/>
      <c r="G144" s="76"/>
      <c r="H144" s="305"/>
      <c r="I144" s="306"/>
      <c r="J144" s="302"/>
      <c r="K144" s="303"/>
    </row>
    <row r="145" spans="1:11" s="304" customFormat="1" ht="21" x14ac:dyDescent="0.35">
      <c r="A145" s="270">
        <v>24</v>
      </c>
      <c r="B145" s="68"/>
      <c r="C145" s="68" t="s">
        <v>902</v>
      </c>
      <c r="D145" s="300"/>
      <c r="E145" s="68"/>
      <c r="F145" s="76"/>
      <c r="G145" s="76"/>
      <c r="H145" s="305"/>
      <c r="I145" s="306"/>
      <c r="J145" s="302"/>
      <c r="K145" s="303"/>
    </row>
    <row r="146" spans="1:11" s="304" customFormat="1" ht="21" x14ac:dyDescent="0.35">
      <c r="A146" s="270"/>
      <c r="B146" s="68">
        <v>216</v>
      </c>
      <c r="C146" s="68" t="s">
        <v>1161</v>
      </c>
      <c r="D146" s="300" t="s">
        <v>144</v>
      </c>
      <c r="E146" s="68">
        <v>500</v>
      </c>
      <c r="F146" s="76">
        <v>90</v>
      </c>
      <c r="G146" s="76">
        <f>E146*F146</f>
        <v>45000</v>
      </c>
      <c r="H146" s="305">
        <f>SUM(G146:G146)</f>
        <v>45000</v>
      </c>
      <c r="I146" s="306"/>
      <c r="J146" s="302">
        <v>4200</v>
      </c>
      <c r="K146" s="303">
        <v>7500</v>
      </c>
    </row>
    <row r="147" spans="1:11" s="304" customFormat="1" ht="21" x14ac:dyDescent="0.35">
      <c r="A147" s="270"/>
      <c r="B147" s="68"/>
      <c r="C147" s="68"/>
      <c r="D147" s="300"/>
      <c r="E147" s="68"/>
      <c r="F147" s="76"/>
      <c r="G147" s="76"/>
      <c r="H147" s="301"/>
      <c r="I147" s="67"/>
      <c r="J147" s="302"/>
      <c r="K147" s="303"/>
    </row>
    <row r="148" spans="1:11" s="304" customFormat="1" ht="21" x14ac:dyDescent="0.35">
      <c r="A148" s="270">
        <v>25</v>
      </c>
      <c r="B148" s="68"/>
      <c r="C148" s="68" t="s">
        <v>1110</v>
      </c>
      <c r="D148" s="300"/>
      <c r="E148" s="68"/>
      <c r="F148" s="76"/>
      <c r="G148" s="76"/>
      <c r="H148" s="301"/>
      <c r="I148" s="67"/>
      <c r="J148" s="302"/>
      <c r="K148" s="303"/>
    </row>
    <row r="149" spans="1:11" s="304" customFormat="1" ht="21" x14ac:dyDescent="0.35">
      <c r="A149" s="270"/>
      <c r="B149" s="68">
        <v>289</v>
      </c>
      <c r="C149" s="68" t="s">
        <v>1081</v>
      </c>
      <c r="D149" s="300">
        <v>30</v>
      </c>
      <c r="E149" s="68">
        <v>50</v>
      </c>
      <c r="F149" s="76">
        <v>588</v>
      </c>
      <c r="G149" s="76">
        <f>E149*F149</f>
        <v>29400</v>
      </c>
      <c r="H149" s="305">
        <f>SUM(G149:G149)</f>
        <v>29400</v>
      </c>
      <c r="I149" s="306"/>
      <c r="J149" s="302" t="s">
        <v>1191</v>
      </c>
      <c r="K149" s="303">
        <v>50</v>
      </c>
    </row>
    <row r="150" spans="1:11" s="304" customFormat="1" ht="21" x14ac:dyDescent="0.35">
      <c r="A150" s="270"/>
      <c r="B150" s="68"/>
      <c r="C150" s="68"/>
      <c r="D150" s="300"/>
      <c r="E150" s="68"/>
      <c r="F150" s="76"/>
      <c r="G150" s="76"/>
      <c r="H150" s="305"/>
      <c r="I150" s="306"/>
      <c r="J150" s="302"/>
      <c r="K150" s="303"/>
    </row>
    <row r="151" spans="1:11" s="304" customFormat="1" ht="21" x14ac:dyDescent="0.35">
      <c r="A151" s="270">
        <v>26</v>
      </c>
      <c r="B151" s="68"/>
      <c r="C151" s="68" t="s">
        <v>904</v>
      </c>
      <c r="D151" s="300"/>
      <c r="E151" s="68"/>
      <c r="F151" s="76"/>
      <c r="G151" s="76"/>
      <c r="H151" s="301"/>
      <c r="I151" s="67"/>
      <c r="J151" s="302"/>
      <c r="K151" s="303"/>
    </row>
    <row r="152" spans="1:11" s="304" customFormat="1" ht="21" x14ac:dyDescent="0.35">
      <c r="A152" s="270"/>
      <c r="B152" s="68">
        <v>157</v>
      </c>
      <c r="C152" s="68" t="s">
        <v>117</v>
      </c>
      <c r="D152" s="300">
        <v>100</v>
      </c>
      <c r="E152" s="68">
        <v>10</v>
      </c>
      <c r="F152" s="76">
        <v>680</v>
      </c>
      <c r="G152" s="76">
        <f>E152*F152</f>
        <v>6800</v>
      </c>
      <c r="H152" s="301"/>
      <c r="I152" s="67"/>
      <c r="J152" s="302" t="s">
        <v>1191</v>
      </c>
      <c r="K152" s="303" t="s">
        <v>1197</v>
      </c>
    </row>
    <row r="153" spans="1:11" s="304" customFormat="1" ht="21" x14ac:dyDescent="0.35">
      <c r="A153" s="270"/>
      <c r="B153" s="68">
        <v>210</v>
      </c>
      <c r="C153" s="68" t="s">
        <v>700</v>
      </c>
      <c r="D153" s="300" t="s">
        <v>656</v>
      </c>
      <c r="E153" s="68">
        <v>15</v>
      </c>
      <c r="F153" s="76">
        <v>350</v>
      </c>
      <c r="G153" s="76">
        <f>E153*F153</f>
        <v>5250</v>
      </c>
      <c r="H153" s="305"/>
      <c r="I153" s="306"/>
      <c r="J153" s="302" t="s">
        <v>1191</v>
      </c>
      <c r="K153" s="303" t="s">
        <v>1197</v>
      </c>
    </row>
    <row r="154" spans="1:11" s="304" customFormat="1" ht="21" x14ac:dyDescent="0.35">
      <c r="A154" s="270"/>
      <c r="B154" s="68">
        <v>70</v>
      </c>
      <c r="C154" s="68" t="s">
        <v>63</v>
      </c>
      <c r="D154" s="300">
        <v>100</v>
      </c>
      <c r="E154" s="68">
        <v>50</v>
      </c>
      <c r="F154" s="76">
        <v>1450</v>
      </c>
      <c r="G154" s="76">
        <f>E154*F154</f>
        <v>72500</v>
      </c>
      <c r="H154" s="305"/>
      <c r="I154" s="306"/>
      <c r="J154" s="302">
        <v>15</v>
      </c>
      <c r="K154" s="303">
        <v>100</v>
      </c>
    </row>
    <row r="155" spans="1:11" s="304" customFormat="1" ht="21" x14ac:dyDescent="0.35">
      <c r="A155" s="270"/>
      <c r="B155" s="68">
        <v>360</v>
      </c>
      <c r="C155" s="68" t="s">
        <v>262</v>
      </c>
      <c r="D155" s="300">
        <v>100</v>
      </c>
      <c r="E155" s="68">
        <v>16</v>
      </c>
      <c r="F155" s="76">
        <v>330</v>
      </c>
      <c r="G155" s="76">
        <f>E155*F155</f>
        <v>5280</v>
      </c>
      <c r="H155" s="305">
        <f>SUM(G152:G155)</f>
        <v>89830</v>
      </c>
      <c r="I155" s="306"/>
      <c r="J155" s="302">
        <v>2</v>
      </c>
      <c r="K155" s="303">
        <v>16</v>
      </c>
    </row>
    <row r="156" spans="1:11" s="304" customFormat="1" ht="21" x14ac:dyDescent="0.35">
      <c r="A156" s="270"/>
      <c r="B156" s="68"/>
      <c r="C156" s="68"/>
      <c r="D156" s="300"/>
      <c r="E156" s="68"/>
      <c r="F156" s="76"/>
      <c r="G156" s="76"/>
      <c r="H156" s="301"/>
      <c r="I156" s="67"/>
      <c r="J156" s="302"/>
      <c r="K156" s="303"/>
    </row>
    <row r="157" spans="1:11" s="304" customFormat="1" ht="21" x14ac:dyDescent="0.35">
      <c r="A157" s="270"/>
      <c r="B157" s="68"/>
      <c r="C157" s="68"/>
      <c r="D157" s="300"/>
      <c r="E157" s="68"/>
      <c r="F157" s="76"/>
      <c r="G157" s="76"/>
      <c r="H157" s="301"/>
      <c r="I157" s="67"/>
      <c r="J157" s="302"/>
      <c r="K157" s="303"/>
    </row>
    <row r="158" spans="1:11" s="304" customFormat="1" ht="21" x14ac:dyDescent="0.35">
      <c r="A158" s="270">
        <v>27</v>
      </c>
      <c r="B158" s="68"/>
      <c r="C158" s="68" t="s">
        <v>905</v>
      </c>
      <c r="D158" s="300"/>
      <c r="E158" s="68"/>
      <c r="F158" s="76"/>
      <c r="G158" s="76"/>
      <c r="H158" s="301"/>
      <c r="I158" s="67"/>
      <c r="J158" s="302"/>
      <c r="K158" s="303"/>
    </row>
    <row r="159" spans="1:11" s="304" customFormat="1" ht="21" x14ac:dyDescent="0.35">
      <c r="A159" s="270"/>
      <c r="B159" s="68">
        <v>43</v>
      </c>
      <c r="C159" s="68" t="s">
        <v>1118</v>
      </c>
      <c r="D159" s="300">
        <v>30</v>
      </c>
      <c r="E159" s="68">
        <v>10</v>
      </c>
      <c r="F159" s="76">
        <v>5247</v>
      </c>
      <c r="G159" s="76">
        <f t="shared" ref="G159:G167" si="1">E159*F159</f>
        <v>52470</v>
      </c>
      <c r="H159" s="301"/>
      <c r="I159" s="67"/>
      <c r="J159" s="302">
        <v>1</v>
      </c>
      <c r="K159" s="303">
        <v>10</v>
      </c>
    </row>
    <row r="160" spans="1:11" s="304" customFormat="1" ht="21" x14ac:dyDescent="0.35">
      <c r="A160" s="270"/>
      <c r="B160" s="68">
        <v>181</v>
      </c>
      <c r="C160" s="68" t="s">
        <v>1164</v>
      </c>
      <c r="D160" s="300" t="s">
        <v>57</v>
      </c>
      <c r="E160" s="68">
        <f>143*6</f>
        <v>858</v>
      </c>
      <c r="F160" s="76">
        <v>1850</v>
      </c>
      <c r="G160" s="76">
        <f t="shared" si="1"/>
        <v>1587300</v>
      </c>
      <c r="H160" s="301"/>
      <c r="I160" s="67"/>
      <c r="J160" s="302">
        <v>911</v>
      </c>
      <c r="K160" s="303">
        <v>1716</v>
      </c>
    </row>
    <row r="161" spans="1:11" s="304" customFormat="1" ht="21" x14ac:dyDescent="0.35">
      <c r="A161" s="270"/>
      <c r="B161" s="68">
        <v>192</v>
      </c>
      <c r="C161" s="68" t="s">
        <v>142</v>
      </c>
      <c r="D161" s="300">
        <v>16</v>
      </c>
      <c r="E161" s="68">
        <v>25</v>
      </c>
      <c r="F161" s="76">
        <v>2451</v>
      </c>
      <c r="G161" s="76">
        <f t="shared" si="1"/>
        <v>61275</v>
      </c>
      <c r="H161" s="301"/>
      <c r="I161" s="67"/>
      <c r="J161" s="302" t="s">
        <v>1191</v>
      </c>
      <c r="K161" s="303">
        <v>10</v>
      </c>
    </row>
    <row r="162" spans="1:11" s="304" customFormat="1" ht="21" x14ac:dyDescent="0.35">
      <c r="A162" s="270"/>
      <c r="B162" s="68">
        <v>124</v>
      </c>
      <c r="C162" s="68" t="s">
        <v>98</v>
      </c>
      <c r="D162" s="300">
        <v>100</v>
      </c>
      <c r="E162" s="68">
        <v>50</v>
      </c>
      <c r="F162" s="76">
        <v>5282</v>
      </c>
      <c r="G162" s="76">
        <f t="shared" si="1"/>
        <v>264100</v>
      </c>
      <c r="H162" s="301"/>
      <c r="I162" s="67"/>
      <c r="J162" s="302">
        <v>14</v>
      </c>
      <c r="K162" s="303">
        <v>50</v>
      </c>
    </row>
    <row r="163" spans="1:11" s="304" customFormat="1" ht="21" x14ac:dyDescent="0.35">
      <c r="A163" s="270"/>
      <c r="B163" s="68">
        <v>420</v>
      </c>
      <c r="C163" s="68" t="s">
        <v>318</v>
      </c>
      <c r="D163" s="300" t="s">
        <v>144</v>
      </c>
      <c r="E163" s="68">
        <v>10</v>
      </c>
      <c r="F163" s="76">
        <v>640</v>
      </c>
      <c r="G163" s="76">
        <f t="shared" si="1"/>
        <v>6400</v>
      </c>
      <c r="H163" s="301"/>
      <c r="I163" s="67"/>
      <c r="J163" s="302" t="s">
        <v>1191</v>
      </c>
      <c r="K163" s="303">
        <v>10</v>
      </c>
    </row>
    <row r="164" spans="1:11" s="304" customFormat="1" ht="21" x14ac:dyDescent="0.35">
      <c r="A164" s="270"/>
      <c r="B164" s="68">
        <v>99</v>
      </c>
      <c r="C164" s="68" t="s">
        <v>1108</v>
      </c>
      <c r="D164" s="300" t="s">
        <v>144</v>
      </c>
      <c r="E164" s="68">
        <v>50</v>
      </c>
      <c r="F164" s="76">
        <v>2992</v>
      </c>
      <c r="G164" s="76">
        <f t="shared" si="1"/>
        <v>149600</v>
      </c>
      <c r="H164" s="305"/>
      <c r="I164" s="306"/>
      <c r="J164" s="302">
        <v>22</v>
      </c>
      <c r="K164" s="303" t="s">
        <v>1197</v>
      </c>
    </row>
    <row r="165" spans="1:11" s="304" customFormat="1" ht="21" x14ac:dyDescent="0.35">
      <c r="A165" s="270"/>
      <c r="B165" s="68">
        <v>424</v>
      </c>
      <c r="C165" s="68" t="s">
        <v>1187</v>
      </c>
      <c r="D165" s="300" t="s">
        <v>144</v>
      </c>
      <c r="E165" s="68">
        <v>25</v>
      </c>
      <c r="F165" s="76">
        <v>4282</v>
      </c>
      <c r="G165" s="76">
        <f t="shared" si="1"/>
        <v>107050</v>
      </c>
      <c r="H165" s="301"/>
      <c r="I165" s="67"/>
      <c r="J165" s="302">
        <v>9</v>
      </c>
      <c r="K165" s="303" t="s">
        <v>1197</v>
      </c>
    </row>
    <row r="166" spans="1:11" s="304" customFormat="1" ht="21" x14ac:dyDescent="0.35">
      <c r="A166" s="270"/>
      <c r="B166" s="68">
        <v>108</v>
      </c>
      <c r="C166" s="68" t="s">
        <v>1101</v>
      </c>
      <c r="D166" s="300" t="s">
        <v>57</v>
      </c>
      <c r="E166" s="68">
        <v>50</v>
      </c>
      <c r="F166" s="76">
        <v>2992</v>
      </c>
      <c r="G166" s="76">
        <f t="shared" si="1"/>
        <v>149600</v>
      </c>
      <c r="H166" s="301"/>
      <c r="I166" s="67"/>
      <c r="J166" s="302">
        <v>2</v>
      </c>
      <c r="K166" s="303">
        <v>50</v>
      </c>
    </row>
    <row r="167" spans="1:11" s="304" customFormat="1" ht="21" x14ac:dyDescent="0.35">
      <c r="A167" s="270"/>
      <c r="B167" s="68">
        <v>110</v>
      </c>
      <c r="C167" s="68" t="s">
        <v>1114</v>
      </c>
      <c r="D167" s="300">
        <v>60</v>
      </c>
      <c r="E167" s="68">
        <v>10</v>
      </c>
      <c r="F167" s="76">
        <v>10292</v>
      </c>
      <c r="G167" s="76">
        <f t="shared" si="1"/>
        <v>102920</v>
      </c>
      <c r="H167" s="305">
        <f>SUM(G159:G167)</f>
        <v>2480715</v>
      </c>
      <c r="I167" s="306"/>
      <c r="J167" s="302" t="s">
        <v>1191</v>
      </c>
      <c r="K167" s="303" t="s">
        <v>1197</v>
      </c>
    </row>
    <row r="168" spans="1:11" s="304" customFormat="1" ht="21.75" thickBot="1" x14ac:dyDescent="0.4">
      <c r="A168" s="307"/>
      <c r="B168" s="308"/>
      <c r="C168" s="308"/>
      <c r="D168" s="309"/>
      <c r="E168" s="308"/>
      <c r="F168" s="310"/>
      <c r="G168" s="310"/>
      <c r="H168" s="311"/>
      <c r="I168" s="306"/>
      <c r="J168" s="312"/>
      <c r="K168" s="313"/>
    </row>
    <row r="169" spans="1:11" ht="19.5" thickBot="1" x14ac:dyDescent="0.35"/>
    <row r="170" spans="1:11" ht="21.75" thickBot="1" x14ac:dyDescent="0.4">
      <c r="H170" s="280">
        <f>SUM(H4:H168)</f>
        <v>6903359.4300000006</v>
      </c>
      <c r="I170" s="80"/>
    </row>
    <row r="171" spans="1:11" x14ac:dyDescent="0.3">
      <c r="C171" s="8" t="s">
        <v>1198</v>
      </c>
      <c r="D171" s="54"/>
      <c r="E171" s="34"/>
    </row>
    <row r="203" spans="2:11" ht="21" x14ac:dyDescent="0.35">
      <c r="C203" s="878" t="s">
        <v>1115</v>
      </c>
      <c r="D203" s="878"/>
      <c r="E203" s="878"/>
      <c r="F203" s="67"/>
      <c r="G203" s="67"/>
      <c r="H203" s="67"/>
      <c r="I203" s="67"/>
    </row>
    <row r="204" spans="2:11" ht="23.25" x14ac:dyDescent="0.35">
      <c r="C204" s="273"/>
    </row>
    <row r="205" spans="2:11" s="42" customFormat="1" x14ac:dyDescent="0.3">
      <c r="C205" s="48" t="s">
        <v>850</v>
      </c>
      <c r="D205" s="877" t="s">
        <v>550</v>
      </c>
      <c r="E205" s="877"/>
      <c r="F205" s="40"/>
      <c r="G205" s="40"/>
      <c r="J205" s="294"/>
      <c r="K205" s="294"/>
    </row>
    <row r="206" spans="2:11" x14ac:dyDescent="0.3">
      <c r="B206" s="250">
        <v>1</v>
      </c>
      <c r="C206" s="278" t="str">
        <f>C4</f>
        <v>ALPHA PHARMACY &amp; STORES</v>
      </c>
      <c r="D206" s="871">
        <f>H6</f>
        <v>169900</v>
      </c>
      <c r="E206" s="845"/>
    </row>
    <row r="207" spans="2:11" x14ac:dyDescent="0.3">
      <c r="B207" s="250">
        <f>B206+1</f>
        <v>2</v>
      </c>
      <c r="C207" s="278" t="str">
        <f>C8</f>
        <v>ASSENE LABOREX</v>
      </c>
      <c r="D207" s="874">
        <f>H9</f>
        <v>13640</v>
      </c>
      <c r="E207" s="875"/>
    </row>
    <row r="208" spans="2:11" x14ac:dyDescent="0.3">
      <c r="B208" s="250">
        <f t="shared" ref="B208:B232" si="2">B207+1</f>
        <v>3</v>
      </c>
      <c r="C208" s="278" t="str">
        <f>C12</f>
        <v>CODIX PHARMA LIMITED</v>
      </c>
      <c r="D208" s="871">
        <f>H14</f>
        <v>150000</v>
      </c>
      <c r="E208" s="845"/>
    </row>
    <row r="209" spans="2:5" x14ac:dyDescent="0.3">
      <c r="B209" s="250">
        <f t="shared" si="2"/>
        <v>4</v>
      </c>
      <c r="C209" s="278" t="str">
        <f>C17</f>
        <v>EMZOR PHARMACEUTICALS INDUSTRIES LIMITED</v>
      </c>
      <c r="D209" s="871">
        <f>H20</f>
        <v>27559.199999999997</v>
      </c>
      <c r="E209" s="845"/>
    </row>
    <row r="210" spans="2:5" x14ac:dyDescent="0.3">
      <c r="B210" s="250">
        <f t="shared" si="2"/>
        <v>5</v>
      </c>
      <c r="C210" s="278" t="str">
        <f>C23</f>
        <v>EUMATT SERVICES LIMITED</v>
      </c>
      <c r="D210" s="871">
        <f>H52</f>
        <v>747430</v>
      </c>
      <c r="E210" s="845"/>
    </row>
    <row r="211" spans="2:5" x14ac:dyDescent="0.3">
      <c r="B211" s="250">
        <f t="shared" si="2"/>
        <v>6</v>
      </c>
      <c r="C211" s="278" t="str">
        <f>C55</f>
        <v>FIDSON HEALTHCARE</v>
      </c>
      <c r="D211" s="871">
        <f>H60</f>
        <v>204500</v>
      </c>
      <c r="E211" s="845"/>
    </row>
    <row r="212" spans="2:5" x14ac:dyDescent="0.3">
      <c r="B212" s="250">
        <f t="shared" si="2"/>
        <v>7</v>
      </c>
      <c r="C212" s="278" t="str">
        <f>C64</f>
        <v>GENEITH PHARMACEUTICALS LIMITED</v>
      </c>
      <c r="D212" s="874">
        <f>H65</f>
        <v>38500</v>
      </c>
      <c r="E212" s="875"/>
    </row>
    <row r="213" spans="2:5" x14ac:dyDescent="0.3">
      <c r="B213" s="250">
        <f t="shared" si="2"/>
        <v>8</v>
      </c>
      <c r="C213" s="278" t="str">
        <f>C68</f>
        <v>GLAXOSMITHKLINE PHARMACEUTICALS NIG. LTD.</v>
      </c>
      <c r="D213" s="871">
        <f>H70</f>
        <v>108077.20000000001</v>
      </c>
      <c r="E213" s="845"/>
    </row>
    <row r="214" spans="2:5" x14ac:dyDescent="0.3">
      <c r="B214" s="250">
        <f t="shared" si="2"/>
        <v>9</v>
      </c>
      <c r="C214" s="278" t="str">
        <f>C73</f>
        <v>GLOBAL ORGANICS NIG. LTD.</v>
      </c>
      <c r="D214" s="871">
        <f>H75</f>
        <v>159500</v>
      </c>
      <c r="E214" s="845"/>
    </row>
    <row r="215" spans="2:5" x14ac:dyDescent="0.3">
      <c r="B215" s="250">
        <f t="shared" si="2"/>
        <v>10</v>
      </c>
      <c r="C215" s="278" t="str">
        <f>C78</f>
        <v>INTER-ROTECH NIGERIA LIMITED</v>
      </c>
      <c r="D215" s="871">
        <f>H80</f>
        <v>66675</v>
      </c>
      <c r="E215" s="845"/>
    </row>
    <row r="216" spans="2:5" x14ac:dyDescent="0.3">
      <c r="B216" s="250">
        <f t="shared" si="2"/>
        <v>11</v>
      </c>
      <c r="C216" s="278" t="str">
        <f>C82</f>
        <v>JAWA INTERNATIONAL LIMITED</v>
      </c>
      <c r="D216" s="871">
        <f>H85</f>
        <v>29050</v>
      </c>
      <c r="E216" s="845"/>
    </row>
    <row r="217" spans="2:5" x14ac:dyDescent="0.3">
      <c r="B217" s="250">
        <f t="shared" si="2"/>
        <v>12</v>
      </c>
      <c r="C217" s="278" t="str">
        <f>C88</f>
        <v>LEADWAY PHARMACEUTICALS LIMITED</v>
      </c>
      <c r="D217" s="871">
        <f>H93</f>
        <v>266500</v>
      </c>
      <c r="E217" s="845"/>
    </row>
    <row r="218" spans="2:5" x14ac:dyDescent="0.3">
      <c r="B218" s="250">
        <f t="shared" si="2"/>
        <v>13</v>
      </c>
      <c r="C218" s="278" t="str">
        <f>C96</f>
        <v xml:space="preserve">MANOLA PHARMACEUTICALS </v>
      </c>
      <c r="D218" s="871">
        <f>H99</f>
        <v>58400</v>
      </c>
      <c r="E218" s="845"/>
    </row>
    <row r="219" spans="2:5" x14ac:dyDescent="0.3">
      <c r="B219" s="250">
        <f t="shared" si="2"/>
        <v>14</v>
      </c>
      <c r="C219" s="278" t="str">
        <f>C102</f>
        <v>MARCSON HEALTHCARE</v>
      </c>
      <c r="D219" s="871">
        <f>H106</f>
        <v>789000</v>
      </c>
      <c r="E219" s="845"/>
    </row>
    <row r="220" spans="2:5" x14ac:dyDescent="0.3">
      <c r="B220" s="250">
        <f t="shared" si="2"/>
        <v>15</v>
      </c>
      <c r="C220" s="278" t="str">
        <f>C109</f>
        <v>MEGA LIFESCIENCES</v>
      </c>
      <c r="D220" s="871">
        <f>H110</f>
        <v>115000</v>
      </c>
      <c r="E220" s="845"/>
    </row>
    <row r="221" spans="2:5" x14ac:dyDescent="0.3">
      <c r="B221" s="250">
        <f t="shared" si="2"/>
        <v>16</v>
      </c>
      <c r="C221" s="278" t="str">
        <f>C113</f>
        <v>MICRONOVA PHARM. IND. LTD.</v>
      </c>
      <c r="D221" s="871">
        <f>H114</f>
        <v>31900</v>
      </c>
      <c r="E221" s="845"/>
    </row>
    <row r="222" spans="2:5" x14ac:dyDescent="0.3">
      <c r="B222" s="250">
        <f t="shared" si="2"/>
        <v>17</v>
      </c>
      <c r="C222" s="278" t="str">
        <f>C116</f>
        <v>OMAK HEALTHCARE SERVICES</v>
      </c>
      <c r="D222" s="871">
        <f>H117</f>
        <v>160000</v>
      </c>
      <c r="E222" s="845"/>
    </row>
    <row r="223" spans="2:5" x14ac:dyDescent="0.3">
      <c r="B223" s="250">
        <f t="shared" si="2"/>
        <v>18</v>
      </c>
      <c r="C223" s="278" t="str">
        <f>C120</f>
        <v>PHAMATEX INDUSTRIES LIMITED</v>
      </c>
      <c r="D223" s="871">
        <f>H123</f>
        <v>603000</v>
      </c>
      <c r="E223" s="845"/>
    </row>
    <row r="224" spans="2:5" x14ac:dyDescent="0.3">
      <c r="B224" s="250">
        <f t="shared" si="2"/>
        <v>19</v>
      </c>
      <c r="C224" s="278" t="str">
        <f>C125</f>
        <v>PHARMAETHICS NIG. LTD.</v>
      </c>
      <c r="D224" s="871">
        <f>H126</f>
        <v>50000</v>
      </c>
      <c r="E224" s="845"/>
    </row>
    <row r="225" spans="2:5" x14ac:dyDescent="0.3">
      <c r="B225" s="250">
        <f t="shared" si="2"/>
        <v>20</v>
      </c>
      <c r="C225" s="278" t="str">
        <f>C128</f>
        <v>PHILLIPS PHARMACEUTICALS NIGERIA LIMITED</v>
      </c>
      <c r="D225" s="871">
        <f>H129</f>
        <v>240000</v>
      </c>
      <c r="E225" s="845"/>
    </row>
    <row r="226" spans="2:5" x14ac:dyDescent="0.3">
      <c r="B226" s="250">
        <f t="shared" si="2"/>
        <v>21</v>
      </c>
      <c r="C226" s="278" t="str">
        <f>C131</f>
        <v>UNIQUE PHARMACEUTICALS LIMITED</v>
      </c>
      <c r="D226" s="871">
        <f>H134</f>
        <v>157800</v>
      </c>
      <c r="E226" s="845"/>
    </row>
    <row r="227" spans="2:5" x14ac:dyDescent="0.3">
      <c r="B227" s="250">
        <f t="shared" si="2"/>
        <v>22</v>
      </c>
      <c r="C227" s="278" t="str">
        <f>C136</f>
        <v>SAM PHARMACEUTICALS NIG. LTD</v>
      </c>
      <c r="D227" s="871">
        <f>H138</f>
        <v>23650</v>
      </c>
      <c r="E227" s="845"/>
    </row>
    <row r="228" spans="2:5" x14ac:dyDescent="0.3">
      <c r="B228" s="250">
        <f t="shared" si="2"/>
        <v>23</v>
      </c>
      <c r="C228" s="278" t="str">
        <f>C140</f>
        <v>SKG PHARMA LIMITED</v>
      </c>
      <c r="D228" s="871">
        <f>H143</f>
        <v>48333.03</v>
      </c>
      <c r="E228" s="845"/>
    </row>
    <row r="229" spans="2:5" x14ac:dyDescent="0.3">
      <c r="B229" s="250">
        <f t="shared" si="2"/>
        <v>24</v>
      </c>
      <c r="C229" s="278" t="str">
        <f>C145</f>
        <v>TAH PHARMACEUTICALS LIMITED</v>
      </c>
      <c r="D229" s="871">
        <f>H146</f>
        <v>45000</v>
      </c>
      <c r="E229" s="845"/>
    </row>
    <row r="230" spans="2:5" x14ac:dyDescent="0.3">
      <c r="B230" s="250">
        <f t="shared" si="2"/>
        <v>25</v>
      </c>
      <c r="C230" s="278" t="str">
        <f>C148</f>
        <v>TAYLEK DRUGS &amp; CO</v>
      </c>
      <c r="D230" s="871">
        <f>H149</f>
        <v>29400</v>
      </c>
      <c r="E230" s="845"/>
    </row>
    <row r="231" spans="2:5" x14ac:dyDescent="0.3">
      <c r="B231" s="250">
        <f t="shared" si="2"/>
        <v>26</v>
      </c>
      <c r="C231" s="278" t="str">
        <f>C151</f>
        <v>VIXA PHARMACEUTICALS COMPANY LIMITED</v>
      </c>
      <c r="D231" s="871">
        <f>H155</f>
        <v>89830</v>
      </c>
      <c r="E231" s="845"/>
    </row>
    <row r="232" spans="2:5" x14ac:dyDescent="0.3">
      <c r="B232" s="250">
        <f t="shared" si="2"/>
        <v>27</v>
      </c>
      <c r="C232" s="278" t="str">
        <f>C158</f>
        <v>WORLDWIDE COMMERCIAL VENTURES</v>
      </c>
      <c r="D232" s="871">
        <f>H167</f>
        <v>2480715</v>
      </c>
      <c r="E232" s="845"/>
    </row>
    <row r="233" spans="2:5" ht="19.5" thickBot="1" x14ac:dyDescent="0.35">
      <c r="D233" s="836"/>
      <c r="E233" s="836"/>
    </row>
    <row r="234" spans="2:5" ht="19.5" thickBot="1" x14ac:dyDescent="0.35">
      <c r="D234" s="872">
        <f>SUM(D206:E232)</f>
        <v>6903359.4300000006</v>
      </c>
      <c r="E234" s="873"/>
    </row>
  </sheetData>
  <mergeCells count="32">
    <mergeCell ref="D213:E213"/>
    <mergeCell ref="A1:H1"/>
    <mergeCell ref="C203:E203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25:E225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32:E232"/>
    <mergeCell ref="D233:E233"/>
    <mergeCell ref="D234:E234"/>
    <mergeCell ref="D226:E226"/>
    <mergeCell ref="D227:E227"/>
    <mergeCell ref="D228:E228"/>
    <mergeCell ref="D229:E229"/>
    <mergeCell ref="D230:E230"/>
    <mergeCell ref="D231:E231"/>
  </mergeCells>
  <pageMargins left="0.25" right="0.25" top="0.33" bottom="0.3" header="0.3" footer="0.3"/>
  <pageSetup paperSize="9" scale="6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128"/>
  <sheetViews>
    <sheetView view="pageBreakPreview" zoomScale="96" zoomScaleNormal="100" zoomScaleSheetLayoutView="96" workbookViewId="0">
      <pane xSplit="2" ySplit="3" topLeftCell="C43" activePane="bottomRight" state="frozen"/>
      <selection activeCell="F100" sqref="F100"/>
      <selection pane="topRight" activeCell="F100" sqref="F100"/>
      <selection pane="bottomLeft" activeCell="F100" sqref="F100"/>
      <selection pane="bottomRight" activeCell="F100" sqref="F100"/>
    </sheetView>
  </sheetViews>
  <sheetFormatPr defaultRowHeight="18.75" x14ac:dyDescent="0.3"/>
  <cols>
    <col min="1" max="1" width="9.140625" style="250"/>
    <col min="2" max="2" width="56.140625" style="289" customWidth="1"/>
    <col min="3" max="3" width="9.140625" style="282"/>
    <col min="4" max="4" width="16.28515625" style="250" customWidth="1"/>
    <col min="5" max="5" width="14.85546875" style="283" customWidth="1"/>
    <col min="6" max="6" width="14.7109375" style="27" customWidth="1"/>
    <col min="7" max="7" width="22.28515625" style="42" customWidth="1"/>
  </cols>
  <sheetData>
    <row r="1" spans="1:7" ht="28.5" customHeight="1" x14ac:dyDescent="0.25">
      <c r="A1" s="876" t="s">
        <v>1189</v>
      </c>
      <c r="B1" s="876"/>
      <c r="C1" s="876"/>
      <c r="D1" s="876"/>
      <c r="E1" s="876"/>
      <c r="F1" s="876"/>
      <c r="G1" s="876"/>
    </row>
    <row r="2" spans="1:7" x14ac:dyDescent="0.3">
      <c r="A2"/>
      <c r="B2" s="284"/>
      <c r="C2" s="26"/>
      <c r="D2"/>
      <c r="E2" s="27"/>
    </row>
    <row r="3" spans="1:7" ht="37.5" x14ac:dyDescent="0.25">
      <c r="A3" s="66" t="s">
        <v>658</v>
      </c>
      <c r="B3" s="21" t="s">
        <v>660</v>
      </c>
      <c r="C3" s="21" t="s">
        <v>500</v>
      </c>
      <c r="D3" s="74" t="s">
        <v>1078</v>
      </c>
      <c r="E3" s="64" t="s">
        <v>661</v>
      </c>
      <c r="F3" s="72" t="s">
        <v>550</v>
      </c>
      <c r="G3" s="21" t="s">
        <v>1109</v>
      </c>
    </row>
    <row r="4" spans="1:7" ht="21" x14ac:dyDescent="0.25">
      <c r="A4" s="66"/>
      <c r="B4" s="21"/>
      <c r="C4" s="21"/>
      <c r="D4" s="74"/>
      <c r="E4" s="64"/>
      <c r="F4" s="72"/>
      <c r="G4" s="21"/>
    </row>
    <row r="5" spans="1:7" x14ac:dyDescent="0.3">
      <c r="A5" s="314">
        <v>1</v>
      </c>
      <c r="B5" s="285" t="s">
        <v>1119</v>
      </c>
      <c r="C5" s="277"/>
      <c r="D5" s="278"/>
      <c r="E5" s="279"/>
      <c r="F5" s="279"/>
      <c r="G5" s="35"/>
    </row>
    <row r="6" spans="1:7" x14ac:dyDescent="0.3">
      <c r="A6" s="188"/>
      <c r="B6" s="286" t="s">
        <v>1015</v>
      </c>
      <c r="C6" s="277">
        <v>100</v>
      </c>
      <c r="D6" s="278">
        <v>15</v>
      </c>
      <c r="E6" s="279">
        <v>11250</v>
      </c>
      <c r="F6" s="279">
        <f>D6*E6</f>
        <v>168750</v>
      </c>
      <c r="G6" s="35"/>
    </row>
    <row r="7" spans="1:7" x14ac:dyDescent="0.3">
      <c r="A7" s="188"/>
      <c r="B7" s="286" t="s">
        <v>1016</v>
      </c>
      <c r="C7" s="277">
        <v>100</v>
      </c>
      <c r="D7" s="278">
        <v>5</v>
      </c>
      <c r="E7" s="279">
        <v>14500</v>
      </c>
      <c r="F7" s="279">
        <f>D7*E7</f>
        <v>72500</v>
      </c>
      <c r="G7" s="276"/>
    </row>
    <row r="8" spans="1:7" x14ac:dyDescent="0.3">
      <c r="A8" s="188"/>
      <c r="B8" s="286" t="s">
        <v>1120</v>
      </c>
      <c r="C8" s="277">
        <v>30</v>
      </c>
      <c r="D8" s="278">
        <v>30</v>
      </c>
      <c r="E8" s="279">
        <v>4000</v>
      </c>
      <c r="F8" s="279">
        <f>D8*E8</f>
        <v>120000</v>
      </c>
      <c r="G8" s="35"/>
    </row>
    <row r="9" spans="1:7" x14ac:dyDescent="0.3">
      <c r="A9" s="188"/>
      <c r="B9" s="286" t="s">
        <v>1014</v>
      </c>
      <c r="C9" s="277">
        <v>28</v>
      </c>
      <c r="D9" s="278">
        <v>150</v>
      </c>
      <c r="E9" s="279">
        <v>250</v>
      </c>
      <c r="F9" s="279">
        <f>D9*E9</f>
        <v>37500</v>
      </c>
      <c r="G9" s="276">
        <f>SUM(F6:F9)</f>
        <v>398750</v>
      </c>
    </row>
    <row r="10" spans="1:7" x14ac:dyDescent="0.3">
      <c r="A10" s="188"/>
      <c r="B10" s="286"/>
      <c r="C10" s="277"/>
      <c r="D10" s="278"/>
      <c r="E10" s="279"/>
      <c r="F10" s="279"/>
      <c r="G10" s="35"/>
    </row>
    <row r="11" spans="1:7" x14ac:dyDescent="0.3">
      <c r="A11" s="314">
        <v>2</v>
      </c>
      <c r="B11" s="285" t="s">
        <v>1097</v>
      </c>
      <c r="C11" s="277"/>
      <c r="D11" s="278"/>
      <c r="E11" s="279"/>
      <c r="F11" s="279"/>
      <c r="G11" s="35"/>
    </row>
    <row r="12" spans="1:7" x14ac:dyDescent="0.3">
      <c r="A12" s="188"/>
      <c r="B12" s="286" t="s">
        <v>243</v>
      </c>
      <c r="C12" s="277">
        <v>10</v>
      </c>
      <c r="D12" s="278">
        <v>10</v>
      </c>
      <c r="E12" s="279">
        <v>15000</v>
      </c>
      <c r="F12" s="279">
        <f>D12*E12</f>
        <v>150000</v>
      </c>
      <c r="G12" s="276">
        <f>SUM(F12:F12)</f>
        <v>150000</v>
      </c>
    </row>
    <row r="13" spans="1:7" x14ac:dyDescent="0.3">
      <c r="A13" s="188"/>
      <c r="B13" s="286"/>
      <c r="C13" s="277"/>
      <c r="D13" s="278"/>
      <c r="E13" s="279"/>
      <c r="F13" s="279"/>
      <c r="G13" s="276"/>
    </row>
    <row r="14" spans="1:7" x14ac:dyDescent="0.3">
      <c r="A14" s="314">
        <v>3</v>
      </c>
      <c r="B14" s="285" t="s">
        <v>1128</v>
      </c>
      <c r="C14" s="277"/>
      <c r="D14" s="278"/>
      <c r="E14" s="279"/>
      <c r="F14" s="279"/>
      <c r="G14" s="35"/>
    </row>
    <row r="15" spans="1:7" x14ac:dyDescent="0.3">
      <c r="A15" s="188"/>
      <c r="B15" s="286" t="s">
        <v>1129</v>
      </c>
      <c r="C15" s="277">
        <v>30</v>
      </c>
      <c r="D15" s="278">
        <v>50</v>
      </c>
      <c r="E15" s="279">
        <v>1600</v>
      </c>
      <c r="F15" s="279">
        <f>D15*E15</f>
        <v>80000</v>
      </c>
      <c r="G15" s="276">
        <f>SUM(F15:F15)</f>
        <v>80000</v>
      </c>
    </row>
    <row r="16" spans="1:7" x14ac:dyDescent="0.3">
      <c r="A16" s="188"/>
      <c r="B16" s="286"/>
      <c r="C16" s="277"/>
      <c r="D16" s="278"/>
      <c r="E16" s="279"/>
      <c r="F16" s="279"/>
      <c r="G16" s="276"/>
    </row>
    <row r="17" spans="1:7" x14ac:dyDescent="0.3">
      <c r="A17" s="188"/>
      <c r="B17" s="286"/>
      <c r="C17" s="277"/>
      <c r="D17" s="278"/>
      <c r="E17" s="279"/>
      <c r="F17" s="279"/>
      <c r="G17" s="35"/>
    </row>
    <row r="18" spans="1:7" x14ac:dyDescent="0.3">
      <c r="A18" s="314">
        <v>4</v>
      </c>
      <c r="B18" s="285" t="s">
        <v>1145</v>
      </c>
      <c r="C18" s="277"/>
      <c r="D18" s="278"/>
      <c r="E18" s="279"/>
      <c r="F18" s="279"/>
      <c r="G18" s="35"/>
    </row>
    <row r="19" spans="1:7" x14ac:dyDescent="0.3">
      <c r="A19" s="188"/>
      <c r="B19" s="286" t="s">
        <v>1150</v>
      </c>
      <c r="C19" s="277" t="s">
        <v>144</v>
      </c>
      <c r="D19" s="278">
        <v>5</v>
      </c>
      <c r="E19" s="279">
        <v>4488</v>
      </c>
      <c r="F19" s="279">
        <f>D19*E19</f>
        <v>22440</v>
      </c>
      <c r="G19" s="276"/>
    </row>
    <row r="20" spans="1:7" x14ac:dyDescent="0.3">
      <c r="A20" s="188"/>
      <c r="B20" s="286" t="s">
        <v>1147</v>
      </c>
      <c r="C20" s="277" t="s">
        <v>144</v>
      </c>
      <c r="D20" s="278">
        <v>30</v>
      </c>
      <c r="E20" s="279">
        <v>946</v>
      </c>
      <c r="F20" s="279">
        <f>D20*E20</f>
        <v>28380</v>
      </c>
      <c r="G20" s="35"/>
    </row>
    <row r="21" spans="1:7" x14ac:dyDescent="0.3">
      <c r="A21" s="188"/>
      <c r="B21" s="286" t="s">
        <v>1149</v>
      </c>
      <c r="C21" s="277" t="s">
        <v>656</v>
      </c>
      <c r="D21" s="278">
        <v>10</v>
      </c>
      <c r="E21" s="279">
        <v>1071</v>
      </c>
      <c r="F21" s="279">
        <f>D21*E21</f>
        <v>10710</v>
      </c>
      <c r="G21" s="276"/>
    </row>
    <row r="22" spans="1:7" x14ac:dyDescent="0.3">
      <c r="A22" s="188"/>
      <c r="B22" s="286" t="s">
        <v>1148</v>
      </c>
      <c r="C22" s="277" t="s">
        <v>144</v>
      </c>
      <c r="D22" s="278">
        <v>10</v>
      </c>
      <c r="E22" s="279">
        <v>1466</v>
      </c>
      <c r="F22" s="279">
        <f>D22*E22</f>
        <v>14660</v>
      </c>
      <c r="G22" s="276"/>
    </row>
    <row r="23" spans="1:7" x14ac:dyDescent="0.3">
      <c r="A23" s="188"/>
      <c r="B23" s="286" t="s">
        <v>1146</v>
      </c>
      <c r="C23" s="277">
        <v>20</v>
      </c>
      <c r="D23" s="278">
        <v>15</v>
      </c>
      <c r="E23" s="279">
        <v>2852</v>
      </c>
      <c r="F23" s="279">
        <f>D23*E23</f>
        <v>42780</v>
      </c>
      <c r="G23" s="276">
        <f>SUM(F19:F23)</f>
        <v>118970</v>
      </c>
    </row>
    <row r="24" spans="1:7" ht="16.5" customHeight="1" x14ac:dyDescent="0.3">
      <c r="A24" s="188"/>
      <c r="B24" s="288"/>
      <c r="C24" s="277"/>
      <c r="D24" s="278"/>
      <c r="E24" s="279"/>
      <c r="F24" s="279"/>
      <c r="G24" s="35"/>
    </row>
    <row r="25" spans="1:7" ht="16.5" customHeight="1" x14ac:dyDescent="0.3">
      <c r="A25" s="314">
        <v>5</v>
      </c>
      <c r="B25" s="285" t="s">
        <v>1151</v>
      </c>
      <c r="C25" s="277"/>
      <c r="D25" s="278"/>
      <c r="E25" s="279"/>
      <c r="F25" s="279"/>
      <c r="G25" s="276"/>
    </row>
    <row r="26" spans="1:7" ht="16.5" customHeight="1" x14ac:dyDescent="0.3">
      <c r="A26" s="188"/>
      <c r="B26" s="286" t="s">
        <v>1152</v>
      </c>
      <c r="C26" s="277">
        <v>100</v>
      </c>
      <c r="D26" s="278">
        <v>50</v>
      </c>
      <c r="E26" s="279">
        <v>7355</v>
      </c>
      <c r="F26" s="279">
        <f>D26*E26</f>
        <v>367750</v>
      </c>
      <c r="G26" s="276">
        <f>SUM(F26:F26)</f>
        <v>367750</v>
      </c>
    </row>
    <row r="27" spans="1:7" x14ac:dyDescent="0.3">
      <c r="A27" s="188"/>
      <c r="B27" s="286"/>
      <c r="C27" s="277"/>
      <c r="D27" s="278"/>
      <c r="E27" s="279"/>
      <c r="F27" s="279"/>
      <c r="G27" s="35"/>
    </row>
    <row r="28" spans="1:7" x14ac:dyDescent="0.3">
      <c r="A28" s="188">
        <v>6</v>
      </c>
      <c r="B28" s="285" t="s">
        <v>1172</v>
      </c>
      <c r="C28" s="277"/>
      <c r="D28" s="278"/>
      <c r="E28" s="279"/>
      <c r="F28" s="279"/>
      <c r="G28" s="276"/>
    </row>
    <row r="29" spans="1:7" x14ac:dyDescent="0.3">
      <c r="A29" s="188"/>
      <c r="B29" s="286" t="s">
        <v>1174</v>
      </c>
      <c r="C29" s="277" t="s">
        <v>455</v>
      </c>
      <c r="D29" s="278">
        <v>30</v>
      </c>
      <c r="E29" s="279">
        <v>1081</v>
      </c>
      <c r="F29" s="279">
        <f>D29*E29</f>
        <v>32430</v>
      </c>
      <c r="G29" s="276"/>
    </row>
    <row r="30" spans="1:7" x14ac:dyDescent="0.3">
      <c r="A30" s="188"/>
      <c r="B30" s="286" t="s">
        <v>1173</v>
      </c>
      <c r="C30" s="277">
        <v>30</v>
      </c>
      <c r="D30" s="278">
        <v>20</v>
      </c>
      <c r="E30" s="279">
        <v>1495</v>
      </c>
      <c r="F30" s="279">
        <f>D30*E30</f>
        <v>29900</v>
      </c>
      <c r="G30" s="276">
        <f>SUM(F29:F30)</f>
        <v>62330</v>
      </c>
    </row>
    <row r="31" spans="1:7" x14ac:dyDescent="0.3">
      <c r="A31" s="188"/>
      <c r="B31" s="288"/>
      <c r="C31" s="277"/>
      <c r="D31" s="278"/>
      <c r="E31" s="279"/>
      <c r="F31" s="279"/>
      <c r="G31" s="35"/>
    </row>
    <row r="32" spans="1:7" x14ac:dyDescent="0.3">
      <c r="A32" s="315">
        <v>7</v>
      </c>
      <c r="B32" s="285" t="s">
        <v>1117</v>
      </c>
      <c r="C32" s="274"/>
      <c r="D32" s="3"/>
      <c r="E32" s="275"/>
      <c r="F32" s="279"/>
      <c r="G32" s="35"/>
    </row>
    <row r="33" spans="1:7" x14ac:dyDescent="0.3">
      <c r="A33" s="188"/>
      <c r="B33" s="286" t="s">
        <v>147</v>
      </c>
      <c r="C33" s="277">
        <v>100</v>
      </c>
      <c r="D33" s="278">
        <v>10</v>
      </c>
      <c r="E33" s="279">
        <v>1600</v>
      </c>
      <c r="F33" s="279">
        <f>D33*E33</f>
        <v>16000</v>
      </c>
      <c r="G33" s="35"/>
    </row>
    <row r="34" spans="1:7" x14ac:dyDescent="0.3">
      <c r="A34" s="188"/>
      <c r="B34" s="286" t="s">
        <v>148</v>
      </c>
      <c r="C34" s="277">
        <v>100</v>
      </c>
      <c r="D34" s="278">
        <v>30</v>
      </c>
      <c r="E34" s="279">
        <v>2500</v>
      </c>
      <c r="F34" s="279">
        <f>D34*E34</f>
        <v>75000</v>
      </c>
      <c r="G34" s="276"/>
    </row>
    <row r="35" spans="1:7" x14ac:dyDescent="0.3">
      <c r="A35" s="188"/>
      <c r="B35" s="286" t="s">
        <v>1041</v>
      </c>
      <c r="C35" s="277">
        <v>30</v>
      </c>
      <c r="D35" s="278">
        <v>20</v>
      </c>
      <c r="E35" s="279">
        <v>1250</v>
      </c>
      <c r="F35" s="279">
        <f>D35*E35</f>
        <v>25000</v>
      </c>
      <c r="G35" s="35"/>
    </row>
    <row r="36" spans="1:7" x14ac:dyDescent="0.3">
      <c r="A36" s="188"/>
      <c r="B36" s="286" t="s">
        <v>1062</v>
      </c>
      <c r="C36" s="277">
        <v>30</v>
      </c>
      <c r="D36" s="278">
        <v>30</v>
      </c>
      <c r="E36" s="279">
        <v>2750</v>
      </c>
      <c r="F36" s="279">
        <f>D36*E36</f>
        <v>82500</v>
      </c>
      <c r="G36" s="276"/>
    </row>
    <row r="37" spans="1:7" x14ac:dyDescent="0.3">
      <c r="A37" s="188"/>
      <c r="B37" s="287" t="s">
        <v>680</v>
      </c>
      <c r="C37" s="277">
        <v>30</v>
      </c>
      <c r="D37" s="278">
        <v>100</v>
      </c>
      <c r="E37" s="279">
        <v>1400</v>
      </c>
      <c r="F37" s="279">
        <f>D37*E37</f>
        <v>140000</v>
      </c>
      <c r="G37" s="276">
        <f>SUM(F33:F37)</f>
        <v>338500</v>
      </c>
    </row>
    <row r="38" spans="1:7" x14ac:dyDescent="0.3">
      <c r="A38" s="188"/>
      <c r="B38" s="288"/>
      <c r="C38" s="277"/>
      <c r="D38" s="278"/>
      <c r="E38" s="279"/>
      <c r="F38" s="279"/>
      <c r="G38" s="35"/>
    </row>
    <row r="39" spans="1:7" x14ac:dyDescent="0.3">
      <c r="A39" s="314">
        <v>8</v>
      </c>
      <c r="B39" s="285" t="s">
        <v>961</v>
      </c>
      <c r="C39" s="277"/>
      <c r="D39" s="278"/>
      <c r="E39" s="279"/>
      <c r="F39" s="279"/>
      <c r="G39" s="35"/>
    </row>
    <row r="40" spans="1:7" x14ac:dyDescent="0.3">
      <c r="A40" s="188"/>
      <c r="B40" s="286" t="s">
        <v>1138</v>
      </c>
      <c r="C40" s="277">
        <v>5</v>
      </c>
      <c r="D40" s="278">
        <v>20</v>
      </c>
      <c r="E40" s="279">
        <v>5150</v>
      </c>
      <c r="F40" s="279">
        <f>D40*E40</f>
        <v>103000</v>
      </c>
      <c r="G40" s="35"/>
    </row>
    <row r="41" spans="1:7" x14ac:dyDescent="0.3">
      <c r="A41" s="188"/>
      <c r="B41" s="286" t="s">
        <v>236</v>
      </c>
      <c r="C41" s="277">
        <v>5</v>
      </c>
      <c r="D41" s="278">
        <v>10</v>
      </c>
      <c r="E41" s="279">
        <v>2060</v>
      </c>
      <c r="F41" s="279">
        <f>D41*E41</f>
        <v>20600</v>
      </c>
      <c r="G41" s="276"/>
    </row>
    <row r="42" spans="1:7" x14ac:dyDescent="0.3">
      <c r="A42" s="188"/>
      <c r="B42" s="286" t="s">
        <v>230</v>
      </c>
      <c r="C42" s="277">
        <v>10</v>
      </c>
      <c r="D42" s="278">
        <v>20</v>
      </c>
      <c r="E42" s="279">
        <v>2266</v>
      </c>
      <c r="F42" s="279">
        <f>D42*E42</f>
        <v>45320</v>
      </c>
      <c r="G42" s="276"/>
    </row>
    <row r="43" spans="1:7" x14ac:dyDescent="0.3">
      <c r="A43" s="188"/>
      <c r="B43" s="286" t="s">
        <v>1024</v>
      </c>
      <c r="C43" s="277" t="s">
        <v>57</v>
      </c>
      <c r="D43" s="278">
        <v>75</v>
      </c>
      <c r="E43" s="279">
        <v>1030</v>
      </c>
      <c r="F43" s="279">
        <f>D43*E43</f>
        <v>77250</v>
      </c>
      <c r="G43" s="276">
        <f>SUM(F40:F43)</f>
        <v>246170</v>
      </c>
    </row>
    <row r="44" spans="1:7" x14ac:dyDescent="0.3">
      <c r="A44" s="188"/>
      <c r="B44" s="286"/>
      <c r="C44" s="277"/>
      <c r="D44" s="278"/>
      <c r="E44" s="279"/>
      <c r="F44" s="279"/>
      <c r="G44" s="276"/>
    </row>
    <row r="45" spans="1:7" x14ac:dyDescent="0.3">
      <c r="A45" s="314">
        <v>9</v>
      </c>
      <c r="B45" s="285" t="s">
        <v>963</v>
      </c>
      <c r="C45" s="277"/>
      <c r="D45" s="278"/>
      <c r="E45" s="279"/>
      <c r="F45" s="279"/>
      <c r="G45" s="35"/>
    </row>
    <row r="46" spans="1:7" x14ac:dyDescent="0.3">
      <c r="A46" s="188"/>
      <c r="B46" s="286" t="s">
        <v>1141</v>
      </c>
      <c r="C46" s="277" t="s">
        <v>333</v>
      </c>
      <c r="D46" s="278">
        <v>50</v>
      </c>
      <c r="E46" s="279">
        <v>3000</v>
      </c>
      <c r="F46" s="279">
        <f>D46*E46</f>
        <v>150000</v>
      </c>
      <c r="G46" s="35"/>
    </row>
    <row r="47" spans="1:7" x14ac:dyDescent="0.3">
      <c r="A47" s="188"/>
      <c r="B47" s="286" t="s">
        <v>1140</v>
      </c>
      <c r="C47" s="277">
        <v>12</v>
      </c>
      <c r="D47" s="278">
        <v>32</v>
      </c>
      <c r="E47" s="279">
        <v>12000</v>
      </c>
      <c r="F47" s="279">
        <f>D47*E47</f>
        <v>384000</v>
      </c>
      <c r="G47" s="276"/>
    </row>
    <row r="48" spans="1:7" x14ac:dyDescent="0.3">
      <c r="A48" s="188"/>
      <c r="B48" s="286" t="s">
        <v>1139</v>
      </c>
      <c r="C48" s="277" t="s">
        <v>333</v>
      </c>
      <c r="D48" s="278">
        <v>30</v>
      </c>
      <c r="E48" s="279">
        <v>5250</v>
      </c>
      <c r="F48" s="279">
        <f>D48*E48</f>
        <v>157500</v>
      </c>
      <c r="G48" s="276">
        <f>SUM(F46:F48)</f>
        <v>691500</v>
      </c>
    </row>
    <row r="49" spans="1:7" x14ac:dyDescent="0.3">
      <c r="A49" s="188"/>
      <c r="B49" s="286"/>
      <c r="C49" s="277"/>
      <c r="D49" s="278"/>
      <c r="E49" s="279"/>
      <c r="F49" s="279"/>
      <c r="G49" s="276"/>
    </row>
    <row r="50" spans="1:7" x14ac:dyDescent="0.3">
      <c r="A50" s="314">
        <v>10</v>
      </c>
      <c r="B50" s="285" t="s">
        <v>1153</v>
      </c>
      <c r="C50" s="277"/>
      <c r="D50" s="278"/>
      <c r="E50" s="279"/>
      <c r="F50" s="279"/>
      <c r="G50" s="276"/>
    </row>
    <row r="51" spans="1:7" x14ac:dyDescent="0.3">
      <c r="A51" s="188"/>
      <c r="B51" s="286" t="s">
        <v>1154</v>
      </c>
      <c r="C51" s="277" t="s">
        <v>455</v>
      </c>
      <c r="D51" s="278">
        <v>40</v>
      </c>
      <c r="E51" s="279">
        <v>600</v>
      </c>
      <c r="F51" s="279">
        <f>D51*E51</f>
        <v>24000</v>
      </c>
      <c r="G51" s="35"/>
    </row>
    <row r="52" spans="1:7" x14ac:dyDescent="0.3">
      <c r="A52" s="188"/>
      <c r="B52" s="286" t="s">
        <v>1155</v>
      </c>
      <c r="C52" s="277">
        <v>18</v>
      </c>
      <c r="D52" s="278">
        <v>5</v>
      </c>
      <c r="E52" s="279">
        <v>4500</v>
      </c>
      <c r="F52" s="279">
        <f>D52*E52</f>
        <v>22500</v>
      </c>
      <c r="G52" s="276">
        <f>SUM(F51:F52)</f>
        <v>46500</v>
      </c>
    </row>
    <row r="53" spans="1:7" x14ac:dyDescent="0.3">
      <c r="A53" s="188"/>
      <c r="B53" s="288"/>
      <c r="C53" s="277"/>
      <c r="D53" s="278"/>
      <c r="E53" s="279"/>
      <c r="F53" s="279"/>
      <c r="G53" s="35"/>
    </row>
    <row r="54" spans="1:7" x14ac:dyDescent="0.3">
      <c r="A54" s="188">
        <v>11</v>
      </c>
      <c r="B54" s="285" t="s">
        <v>1175</v>
      </c>
      <c r="C54" s="277"/>
      <c r="D54" s="278"/>
      <c r="E54" s="279"/>
      <c r="F54" s="279"/>
      <c r="G54" s="35"/>
    </row>
    <row r="55" spans="1:7" x14ac:dyDescent="0.3">
      <c r="A55" s="188"/>
      <c r="B55" s="286" t="s">
        <v>1176</v>
      </c>
      <c r="C55" s="277">
        <v>100</v>
      </c>
      <c r="D55" s="278">
        <v>50</v>
      </c>
      <c r="E55" s="279">
        <v>1326</v>
      </c>
      <c r="F55" s="279">
        <f>D55*E55</f>
        <v>66300</v>
      </c>
      <c r="G55" s="276">
        <f>SUM(F55:F55)</f>
        <v>66300</v>
      </c>
    </row>
    <row r="56" spans="1:7" x14ac:dyDescent="0.3">
      <c r="A56" s="278"/>
      <c r="B56" s="286"/>
      <c r="C56" s="277"/>
      <c r="D56" s="278"/>
      <c r="E56" s="279"/>
      <c r="F56" s="275"/>
      <c r="G56" s="35"/>
    </row>
    <row r="57" spans="1:7" x14ac:dyDescent="0.3">
      <c r="A57" s="314">
        <v>12</v>
      </c>
      <c r="B57" s="285" t="s">
        <v>1127</v>
      </c>
      <c r="C57" s="277"/>
      <c r="D57" s="278"/>
      <c r="E57" s="279"/>
      <c r="F57" s="279"/>
      <c r="G57" s="35"/>
    </row>
    <row r="58" spans="1:7" x14ac:dyDescent="0.3">
      <c r="A58" s="188"/>
      <c r="B58" s="286" t="s">
        <v>1066</v>
      </c>
      <c r="C58" s="277">
        <v>5</v>
      </c>
      <c r="D58" s="278">
        <v>50</v>
      </c>
      <c r="E58" s="279">
        <v>7700</v>
      </c>
      <c r="F58" s="279">
        <f>D58*E58</f>
        <v>385000</v>
      </c>
      <c r="G58" s="276">
        <f>SUM(F58:F58)</f>
        <v>385000</v>
      </c>
    </row>
    <row r="59" spans="1:7" x14ac:dyDescent="0.3">
      <c r="A59" s="188"/>
      <c r="B59" s="286"/>
      <c r="C59" s="277"/>
      <c r="D59" s="278"/>
      <c r="E59" s="279"/>
      <c r="F59" s="279"/>
      <c r="G59" s="276"/>
    </row>
    <row r="60" spans="1:7" x14ac:dyDescent="0.3">
      <c r="A60" s="314">
        <v>13</v>
      </c>
      <c r="B60" s="285" t="s">
        <v>1130</v>
      </c>
      <c r="C60" s="277"/>
      <c r="D60" s="278"/>
      <c r="E60" s="279"/>
      <c r="F60" s="279"/>
      <c r="G60" s="35"/>
    </row>
    <row r="61" spans="1:7" x14ac:dyDescent="0.3">
      <c r="A61" s="188"/>
      <c r="B61" s="286" t="s">
        <v>214</v>
      </c>
      <c r="C61" s="277">
        <v>100</v>
      </c>
      <c r="D61" s="278">
        <v>2</v>
      </c>
      <c r="E61" s="279">
        <v>5000</v>
      </c>
      <c r="F61" s="279">
        <f t="shared" ref="F61:F69" si="0">D61*E61</f>
        <v>10000</v>
      </c>
      <c r="G61" s="276"/>
    </row>
    <row r="62" spans="1:7" x14ac:dyDescent="0.3">
      <c r="A62" s="188"/>
      <c r="B62" s="286" t="s">
        <v>1169</v>
      </c>
      <c r="C62" s="277">
        <v>100</v>
      </c>
      <c r="D62" s="278">
        <v>1</v>
      </c>
      <c r="E62" s="279">
        <v>85000</v>
      </c>
      <c r="F62" s="279">
        <f t="shared" si="0"/>
        <v>85000</v>
      </c>
      <c r="G62" s="276"/>
    </row>
    <row r="63" spans="1:7" x14ac:dyDescent="0.3">
      <c r="A63" s="188"/>
      <c r="B63" s="286" t="s">
        <v>1137</v>
      </c>
      <c r="C63" s="277" t="s">
        <v>144</v>
      </c>
      <c r="D63" s="278">
        <v>40</v>
      </c>
      <c r="E63" s="279">
        <v>400</v>
      </c>
      <c r="F63" s="279">
        <f t="shared" si="0"/>
        <v>16000</v>
      </c>
      <c r="G63" s="276"/>
    </row>
    <row r="64" spans="1:7" x14ac:dyDescent="0.3">
      <c r="A64" s="188"/>
      <c r="B64" s="286" t="s">
        <v>1136</v>
      </c>
      <c r="C64" s="277">
        <v>100</v>
      </c>
      <c r="D64" s="278">
        <v>50</v>
      </c>
      <c r="E64" s="279">
        <v>850</v>
      </c>
      <c r="F64" s="279">
        <f t="shared" si="0"/>
        <v>42500</v>
      </c>
      <c r="G64" s="35"/>
    </row>
    <row r="65" spans="1:7" x14ac:dyDescent="0.3">
      <c r="A65" s="188"/>
      <c r="B65" s="286" t="s">
        <v>1037</v>
      </c>
      <c r="C65" s="277">
        <v>5</v>
      </c>
      <c r="D65" s="278">
        <v>20</v>
      </c>
      <c r="E65" s="279">
        <v>700</v>
      </c>
      <c r="F65" s="279">
        <f t="shared" si="0"/>
        <v>14000</v>
      </c>
      <c r="G65" s="276"/>
    </row>
    <row r="66" spans="1:7" x14ac:dyDescent="0.3">
      <c r="A66" s="188"/>
      <c r="B66" s="286" t="s">
        <v>1134</v>
      </c>
      <c r="C66" s="277" t="s">
        <v>333</v>
      </c>
      <c r="D66" s="278">
        <v>200</v>
      </c>
      <c r="E66" s="279">
        <v>1800</v>
      </c>
      <c r="F66" s="279">
        <f t="shared" si="0"/>
        <v>360000</v>
      </c>
      <c r="G66" s="35"/>
    </row>
    <row r="67" spans="1:7" x14ac:dyDescent="0.3">
      <c r="A67" s="188"/>
      <c r="B67" s="286" t="s">
        <v>1135</v>
      </c>
      <c r="C67" s="277">
        <v>500</v>
      </c>
      <c r="D67" s="278">
        <v>12</v>
      </c>
      <c r="E67" s="279">
        <v>8500</v>
      </c>
      <c r="F67" s="279">
        <f t="shared" si="0"/>
        <v>102000</v>
      </c>
      <c r="G67" s="276"/>
    </row>
    <row r="68" spans="1:7" x14ac:dyDescent="0.3">
      <c r="A68" s="188"/>
      <c r="B68" s="286" t="s">
        <v>1131</v>
      </c>
      <c r="C68" s="277" t="s">
        <v>1132</v>
      </c>
      <c r="D68" s="278">
        <v>400</v>
      </c>
      <c r="E68" s="279">
        <v>750</v>
      </c>
      <c r="F68" s="279">
        <f t="shared" si="0"/>
        <v>300000</v>
      </c>
      <c r="G68" s="276"/>
    </row>
    <row r="69" spans="1:7" x14ac:dyDescent="0.3">
      <c r="A69" s="188"/>
      <c r="B69" s="286" t="s">
        <v>1133</v>
      </c>
      <c r="C69" s="277" t="s">
        <v>57</v>
      </c>
      <c r="D69" s="278">
        <v>50</v>
      </c>
      <c r="E69" s="279">
        <v>450</v>
      </c>
      <c r="F69" s="279">
        <f t="shared" si="0"/>
        <v>22500</v>
      </c>
      <c r="G69" s="276">
        <f>SUM(F61:F69)</f>
        <v>952000</v>
      </c>
    </row>
    <row r="70" spans="1:7" x14ac:dyDescent="0.3">
      <c r="A70" s="188"/>
      <c r="B70" s="286"/>
      <c r="C70" s="277"/>
      <c r="D70" s="278"/>
      <c r="E70" s="279"/>
      <c r="F70" s="279"/>
      <c r="G70" s="35"/>
    </row>
    <row r="71" spans="1:7" x14ac:dyDescent="0.3">
      <c r="A71" s="188"/>
      <c r="B71" s="286"/>
      <c r="C71" s="277"/>
      <c r="D71" s="278"/>
      <c r="E71" s="279"/>
      <c r="F71" s="279"/>
      <c r="G71" s="35"/>
    </row>
    <row r="72" spans="1:7" x14ac:dyDescent="0.3">
      <c r="A72" s="314">
        <v>14</v>
      </c>
      <c r="B72" s="285" t="s">
        <v>1142</v>
      </c>
      <c r="C72" s="277"/>
      <c r="D72" s="278"/>
      <c r="E72" s="279"/>
      <c r="F72" s="279"/>
      <c r="G72" s="35"/>
    </row>
    <row r="73" spans="1:7" x14ac:dyDescent="0.3">
      <c r="A73" s="188"/>
      <c r="B73" s="286" t="s">
        <v>1028</v>
      </c>
      <c r="C73" s="277">
        <v>25</v>
      </c>
      <c r="D73" s="278">
        <v>25</v>
      </c>
      <c r="E73" s="279">
        <v>4392</v>
      </c>
      <c r="F73" s="279">
        <f>D73*E73</f>
        <v>109800</v>
      </c>
      <c r="G73" s="35"/>
    </row>
    <row r="74" spans="1:7" x14ac:dyDescent="0.3">
      <c r="A74" s="188"/>
      <c r="B74" s="286" t="s">
        <v>1143</v>
      </c>
      <c r="C74" s="277" t="s">
        <v>1144</v>
      </c>
      <c r="D74" s="278">
        <v>20</v>
      </c>
      <c r="E74" s="279">
        <v>844</v>
      </c>
      <c r="F74" s="279">
        <f>D74*E74</f>
        <v>16880</v>
      </c>
      <c r="G74" s="276"/>
    </row>
    <row r="75" spans="1:7" x14ac:dyDescent="0.3">
      <c r="A75" s="188"/>
      <c r="B75" s="286" t="s">
        <v>763</v>
      </c>
      <c r="C75" s="277">
        <v>100</v>
      </c>
      <c r="D75" s="278">
        <v>64</v>
      </c>
      <c r="E75" s="279">
        <v>1300</v>
      </c>
      <c r="F75" s="279">
        <f>D75*E75</f>
        <v>83200</v>
      </c>
      <c r="G75" s="35"/>
    </row>
    <row r="76" spans="1:7" x14ac:dyDescent="0.3">
      <c r="A76" s="188"/>
      <c r="B76" s="286" t="s">
        <v>145</v>
      </c>
      <c r="C76" s="277">
        <v>100</v>
      </c>
      <c r="D76" s="278">
        <v>40</v>
      </c>
      <c r="E76" s="279">
        <v>1947</v>
      </c>
      <c r="F76" s="279">
        <f>D76*E76</f>
        <v>77880</v>
      </c>
      <c r="G76" s="276"/>
    </row>
    <row r="77" spans="1:7" x14ac:dyDescent="0.3">
      <c r="A77" s="188"/>
      <c r="B77" s="286" t="s">
        <v>711</v>
      </c>
      <c r="C77" s="277">
        <v>30</v>
      </c>
      <c r="D77" s="278">
        <v>20</v>
      </c>
      <c r="E77" s="279">
        <v>5066</v>
      </c>
      <c r="F77" s="279">
        <f>D77*E77</f>
        <v>101320</v>
      </c>
      <c r="G77" s="276">
        <f>SUM(F73:F77)</f>
        <v>389080</v>
      </c>
    </row>
    <row r="78" spans="1:7" x14ac:dyDescent="0.3">
      <c r="A78" s="188"/>
      <c r="B78" s="286"/>
      <c r="C78" s="277"/>
      <c r="D78" s="278"/>
      <c r="E78" s="279"/>
      <c r="F78" s="279"/>
      <c r="G78" s="276"/>
    </row>
    <row r="79" spans="1:7" x14ac:dyDescent="0.3">
      <c r="A79" s="188"/>
      <c r="B79" s="286"/>
      <c r="C79" s="277"/>
      <c r="D79" s="278"/>
      <c r="E79" s="279"/>
      <c r="F79" s="279"/>
      <c r="G79" s="276"/>
    </row>
    <row r="80" spans="1:7" x14ac:dyDescent="0.3">
      <c r="A80" s="188">
        <v>15</v>
      </c>
      <c r="B80" s="285" t="s">
        <v>981</v>
      </c>
      <c r="C80" s="277"/>
      <c r="D80" s="278"/>
      <c r="E80" s="279"/>
      <c r="F80" s="279"/>
      <c r="G80" s="276"/>
    </row>
    <row r="81" spans="1:7" x14ac:dyDescent="0.3">
      <c r="A81" s="188"/>
      <c r="B81" s="286" t="s">
        <v>1029</v>
      </c>
      <c r="C81" s="277">
        <v>30</v>
      </c>
      <c r="D81" s="278">
        <v>30</v>
      </c>
      <c r="E81" s="279">
        <v>2530</v>
      </c>
      <c r="F81" s="279">
        <f>D81*E81</f>
        <v>75900</v>
      </c>
      <c r="G81" s="276"/>
    </row>
    <row r="82" spans="1:7" x14ac:dyDescent="0.3">
      <c r="A82" s="188"/>
      <c r="B82" s="286" t="s">
        <v>1033</v>
      </c>
      <c r="C82" s="277">
        <v>100</v>
      </c>
      <c r="D82" s="278">
        <v>40</v>
      </c>
      <c r="E82" s="279">
        <v>2185</v>
      </c>
      <c r="F82" s="279">
        <f>D82*E82</f>
        <v>87400</v>
      </c>
      <c r="G82" s="276"/>
    </row>
    <row r="83" spans="1:7" x14ac:dyDescent="0.3">
      <c r="A83" s="188"/>
      <c r="B83" s="286" t="s">
        <v>1156</v>
      </c>
      <c r="C83" s="277">
        <v>28</v>
      </c>
      <c r="D83" s="278">
        <v>15</v>
      </c>
      <c r="E83" s="279">
        <v>1955</v>
      </c>
      <c r="F83" s="279">
        <f>D83*E83</f>
        <v>29325</v>
      </c>
      <c r="G83" s="35"/>
    </row>
    <row r="84" spans="1:7" x14ac:dyDescent="0.3">
      <c r="A84" s="188"/>
      <c r="B84" s="286" t="s">
        <v>1032</v>
      </c>
      <c r="C84" s="277">
        <v>84</v>
      </c>
      <c r="D84" s="278">
        <v>5</v>
      </c>
      <c r="E84" s="279">
        <v>4600</v>
      </c>
      <c r="F84" s="279">
        <f>D84*E84</f>
        <v>23000</v>
      </c>
      <c r="G84" s="276">
        <f>SUM(F81:F84)</f>
        <v>215625</v>
      </c>
    </row>
    <row r="85" spans="1:7" x14ac:dyDescent="0.3">
      <c r="A85" s="188"/>
      <c r="B85" s="286"/>
      <c r="C85" s="277"/>
      <c r="D85" s="278"/>
      <c r="E85" s="279"/>
      <c r="F85" s="279"/>
      <c r="G85" s="276"/>
    </row>
    <row r="86" spans="1:7" x14ac:dyDescent="0.3">
      <c r="A86" s="188"/>
      <c r="B86" s="286"/>
      <c r="C86" s="277"/>
      <c r="D86" s="278"/>
      <c r="E86" s="279"/>
      <c r="F86" s="279"/>
      <c r="G86" s="276"/>
    </row>
    <row r="87" spans="1:7" x14ac:dyDescent="0.3">
      <c r="A87" s="188">
        <v>16</v>
      </c>
      <c r="B87" s="285" t="s">
        <v>1122</v>
      </c>
      <c r="C87" s="277"/>
      <c r="D87" s="278"/>
      <c r="E87" s="279"/>
      <c r="F87" s="279"/>
      <c r="G87" s="35"/>
    </row>
    <row r="88" spans="1:7" x14ac:dyDescent="0.3">
      <c r="A88" s="188"/>
      <c r="B88" s="286" t="s">
        <v>1124</v>
      </c>
      <c r="C88" s="277">
        <v>20</v>
      </c>
      <c r="D88" s="278">
        <v>50</v>
      </c>
      <c r="E88" s="279">
        <v>2100</v>
      </c>
      <c r="F88" s="279">
        <f>D88*E88</f>
        <v>105000</v>
      </c>
      <c r="G88" s="276"/>
    </row>
    <row r="89" spans="1:7" x14ac:dyDescent="0.3">
      <c r="A89" s="188"/>
      <c r="B89" s="286" t="s">
        <v>1125</v>
      </c>
      <c r="C89" s="277" t="s">
        <v>1126</v>
      </c>
      <c r="D89" s="278">
        <v>50</v>
      </c>
      <c r="E89" s="279">
        <v>1500</v>
      </c>
      <c r="F89" s="279">
        <f>D89*E89</f>
        <v>75000</v>
      </c>
      <c r="G89" s="276"/>
    </row>
    <row r="90" spans="1:7" x14ac:dyDescent="0.3">
      <c r="A90" s="188"/>
      <c r="B90" s="286" t="s">
        <v>1123</v>
      </c>
      <c r="C90" s="277">
        <v>30</v>
      </c>
      <c r="D90" s="278">
        <v>30</v>
      </c>
      <c r="E90" s="279">
        <v>800</v>
      </c>
      <c r="F90" s="279">
        <f>D90*E90</f>
        <v>24000</v>
      </c>
      <c r="G90" s="276">
        <f>SUM(F88:F90)</f>
        <v>204000</v>
      </c>
    </row>
    <row r="91" spans="1:7" x14ac:dyDescent="0.3">
      <c r="A91" s="188"/>
      <c r="B91" s="288"/>
      <c r="C91" s="277"/>
      <c r="D91" s="278"/>
      <c r="E91" s="279"/>
      <c r="F91" s="279"/>
      <c r="G91" s="35"/>
    </row>
    <row r="92" spans="1:7" x14ac:dyDescent="0.3">
      <c r="A92" s="188">
        <v>17</v>
      </c>
      <c r="B92" s="285" t="s">
        <v>900</v>
      </c>
      <c r="C92" s="277"/>
      <c r="D92" s="278"/>
      <c r="E92" s="279"/>
      <c r="F92" s="279"/>
      <c r="G92" s="35"/>
    </row>
    <row r="93" spans="1:7" x14ac:dyDescent="0.3">
      <c r="A93" s="188"/>
      <c r="B93" s="286" t="s">
        <v>1157</v>
      </c>
      <c r="C93" s="277" t="s">
        <v>144</v>
      </c>
      <c r="D93" s="278">
        <v>50</v>
      </c>
      <c r="E93" s="279">
        <v>480</v>
      </c>
      <c r="F93" s="279">
        <f>D93*E93</f>
        <v>24000</v>
      </c>
      <c r="G93" s="276">
        <f>SUM(F93:F93)</f>
        <v>24000</v>
      </c>
    </row>
    <row r="94" spans="1:7" x14ac:dyDescent="0.3">
      <c r="A94" s="278"/>
      <c r="B94" s="286"/>
      <c r="C94" s="277"/>
      <c r="D94" s="278"/>
      <c r="E94" s="279"/>
      <c r="F94" s="275"/>
      <c r="G94" s="35"/>
    </row>
    <row r="95" spans="1:7" x14ac:dyDescent="0.3">
      <c r="A95" s="278"/>
      <c r="B95" s="286"/>
      <c r="C95" s="277"/>
      <c r="D95" s="278"/>
      <c r="E95" s="279"/>
      <c r="F95" s="275"/>
      <c r="G95" s="35"/>
    </row>
    <row r="96" spans="1:7" x14ac:dyDescent="0.3">
      <c r="A96" s="188">
        <v>18</v>
      </c>
      <c r="B96" s="285" t="s">
        <v>1121</v>
      </c>
      <c r="C96" s="277"/>
      <c r="D96" s="278"/>
      <c r="E96" s="279"/>
      <c r="F96" s="279"/>
      <c r="G96" s="35"/>
    </row>
    <row r="97" spans="1:7" x14ac:dyDescent="0.3">
      <c r="A97" s="188"/>
      <c r="B97" s="286" t="s">
        <v>1034</v>
      </c>
      <c r="C97" s="277">
        <v>30</v>
      </c>
      <c r="D97" s="278">
        <v>300</v>
      </c>
      <c r="E97" s="279">
        <v>2500</v>
      </c>
      <c r="F97" s="279">
        <f>D97*E97</f>
        <v>750000</v>
      </c>
      <c r="G97" s="276">
        <f>SUM(F97:F97)</f>
        <v>750000</v>
      </c>
    </row>
    <row r="98" spans="1:7" x14ac:dyDescent="0.3">
      <c r="A98" s="188"/>
      <c r="B98" s="286"/>
      <c r="C98" s="277"/>
      <c r="D98" s="278"/>
      <c r="E98" s="279"/>
      <c r="F98" s="279"/>
      <c r="G98" s="35"/>
    </row>
    <row r="99" spans="1:7" ht="21.75" thickBot="1" x14ac:dyDescent="0.4">
      <c r="G99" s="291">
        <f>SUM(G6:G98)</f>
        <v>5486475</v>
      </c>
    </row>
    <row r="106" spans="1:7" ht="21" x14ac:dyDescent="0.35">
      <c r="B106" s="882" t="s">
        <v>1189</v>
      </c>
      <c r="C106" s="882"/>
      <c r="D106" s="882"/>
      <c r="E106" s="8"/>
      <c r="F106" s="67"/>
      <c r="G106" s="67"/>
    </row>
    <row r="107" spans="1:7" x14ac:dyDescent="0.3">
      <c r="B107" s="290"/>
    </row>
    <row r="108" spans="1:7" s="42" customFormat="1" x14ac:dyDescent="0.3">
      <c r="A108" s="8"/>
      <c r="B108" s="288" t="s">
        <v>850</v>
      </c>
      <c r="C108" s="883" t="s">
        <v>550</v>
      </c>
      <c r="D108" s="883"/>
      <c r="E108" s="71"/>
      <c r="F108" s="40"/>
    </row>
    <row r="109" spans="1:7" x14ac:dyDescent="0.3">
      <c r="A109" s="250">
        <v>1</v>
      </c>
      <c r="B109" s="286" t="str">
        <f>B5</f>
        <v>AL-TINEZ PHARMA</v>
      </c>
      <c r="C109" s="871">
        <f>G9</f>
        <v>398750</v>
      </c>
      <c r="D109" s="845"/>
    </row>
    <row r="110" spans="1:7" x14ac:dyDescent="0.3">
      <c r="A110" s="250">
        <f>1+A109</f>
        <v>2</v>
      </c>
      <c r="B110" s="286" t="str">
        <f>B11</f>
        <v>ALPHA PHARMACY &amp; STORES</v>
      </c>
      <c r="C110" s="871">
        <f>G12</f>
        <v>150000</v>
      </c>
      <c r="D110" s="845"/>
    </row>
    <row r="111" spans="1:7" x14ac:dyDescent="0.3">
      <c r="A111" s="250">
        <f t="shared" ref="A111:A126" si="1">1+A110</f>
        <v>3</v>
      </c>
      <c r="B111" s="286" t="str">
        <f>B14</f>
        <v>APHANTEE PHARM LTD</v>
      </c>
      <c r="C111" s="871">
        <f>G15</f>
        <v>80000</v>
      </c>
      <c r="D111" s="845"/>
    </row>
    <row r="112" spans="1:7" x14ac:dyDescent="0.3">
      <c r="A112" s="250">
        <f t="shared" si="1"/>
        <v>4</v>
      </c>
      <c r="B112" s="286" t="str">
        <f>B18</f>
        <v>ASSENE-LABOREX</v>
      </c>
      <c r="C112" s="871">
        <f>G23</f>
        <v>118970</v>
      </c>
      <c r="D112" s="845"/>
    </row>
    <row r="113" spans="1:4" x14ac:dyDescent="0.3">
      <c r="A113" s="250">
        <f t="shared" si="1"/>
        <v>5</v>
      </c>
      <c r="B113" s="286" t="str">
        <f>B25</f>
        <v>BIOFEM PHARMACEUTICALS NIG. LTD</v>
      </c>
      <c r="C113" s="871">
        <f>G26</f>
        <v>367750</v>
      </c>
      <c r="D113" s="845"/>
    </row>
    <row r="114" spans="1:4" x14ac:dyDescent="0.3">
      <c r="A114" s="250">
        <f t="shared" si="1"/>
        <v>6</v>
      </c>
      <c r="B114" s="286" t="str">
        <f>B28</f>
        <v>CHI PHARMACEUTICALS LIMITED</v>
      </c>
      <c r="C114" s="871">
        <f>G30</f>
        <v>62330</v>
      </c>
      <c r="D114" s="845"/>
    </row>
    <row r="115" spans="1:4" x14ac:dyDescent="0.3">
      <c r="A115" s="250">
        <f t="shared" si="1"/>
        <v>7</v>
      </c>
      <c r="B115" s="286" t="str">
        <f>B32</f>
        <v>ETERVAL LIMITED</v>
      </c>
      <c r="C115" s="871">
        <f>G37</f>
        <v>338500</v>
      </c>
      <c r="D115" s="845"/>
    </row>
    <row r="116" spans="1:4" x14ac:dyDescent="0.3">
      <c r="A116" s="250">
        <f t="shared" si="1"/>
        <v>8</v>
      </c>
      <c r="B116" s="286" t="str">
        <f>B39</f>
        <v>EXCEL CHARIS</v>
      </c>
      <c r="C116" s="871">
        <f>G43</f>
        <v>246170</v>
      </c>
      <c r="D116" s="845"/>
    </row>
    <row r="117" spans="1:4" x14ac:dyDescent="0.3">
      <c r="A117" s="250">
        <f t="shared" si="1"/>
        <v>9</v>
      </c>
      <c r="B117" s="286" t="str">
        <f>B45</f>
        <v>GRAY PHARMACEUTICALS LTD</v>
      </c>
      <c r="C117" s="871">
        <f>G48</f>
        <v>691500</v>
      </c>
      <c r="D117" s="845"/>
    </row>
    <row r="118" spans="1:4" x14ac:dyDescent="0.3">
      <c r="A118" s="250">
        <f t="shared" si="1"/>
        <v>10</v>
      </c>
      <c r="B118" s="286" t="str">
        <f>B50</f>
        <v>MERIT HEALTHCARE LTD</v>
      </c>
      <c r="C118" s="871">
        <f>G52</f>
        <v>46500</v>
      </c>
      <c r="D118" s="845"/>
    </row>
    <row r="119" spans="1:4" x14ac:dyDescent="0.3">
      <c r="A119" s="250">
        <f t="shared" si="1"/>
        <v>11</v>
      </c>
      <c r="B119" s="286" t="str">
        <f>B54</f>
        <v>NEIMETH PHARMACEUTICALS COMPANY</v>
      </c>
      <c r="C119" s="871">
        <f>G55</f>
        <v>66300</v>
      </c>
      <c r="D119" s="845"/>
    </row>
    <row r="120" spans="1:4" x14ac:dyDescent="0.3">
      <c r="A120" s="250">
        <f t="shared" si="1"/>
        <v>12</v>
      </c>
      <c r="B120" s="286" t="str">
        <f>B57</f>
        <v>OCULUS PHARMACARE</v>
      </c>
      <c r="C120" s="871">
        <f>G58</f>
        <v>385000</v>
      </c>
      <c r="D120" s="845"/>
    </row>
    <row r="121" spans="1:4" x14ac:dyDescent="0.3">
      <c r="A121" s="250">
        <f t="shared" si="1"/>
        <v>13</v>
      </c>
      <c r="B121" s="286" t="str">
        <f>B60</f>
        <v>PEACEMARK PHARM LTD</v>
      </c>
      <c r="C121" s="871">
        <f>G69</f>
        <v>952000</v>
      </c>
      <c r="D121" s="845"/>
    </row>
    <row r="122" spans="1:4" x14ac:dyDescent="0.3">
      <c r="A122" s="250">
        <f t="shared" si="1"/>
        <v>14</v>
      </c>
      <c r="B122" s="286" t="str">
        <f>B72</f>
        <v>PHAMATEX NIGERIA LTD</v>
      </c>
      <c r="C122" s="871">
        <f>G77</f>
        <v>389080</v>
      </c>
      <c r="D122" s="845"/>
    </row>
    <row r="123" spans="1:4" x14ac:dyDescent="0.3">
      <c r="A123" s="250">
        <f t="shared" si="1"/>
        <v>15</v>
      </c>
      <c r="B123" s="286" t="str">
        <f>B80</f>
        <v>PHARMACY PLUS</v>
      </c>
      <c r="C123" s="871">
        <f>G84</f>
        <v>215625</v>
      </c>
      <c r="D123" s="845"/>
    </row>
    <row r="124" spans="1:4" x14ac:dyDescent="0.3">
      <c r="A124" s="250">
        <f t="shared" si="1"/>
        <v>16</v>
      </c>
      <c r="B124" s="286" t="str">
        <f>B87</f>
        <v>PHILLIPS PHARM. NIG. LTD</v>
      </c>
      <c r="C124" s="871">
        <f>G90</f>
        <v>204000</v>
      </c>
      <c r="D124" s="845"/>
    </row>
    <row r="125" spans="1:4" x14ac:dyDescent="0.3">
      <c r="A125" s="250">
        <f t="shared" si="1"/>
        <v>17</v>
      </c>
      <c r="B125" s="286" t="str">
        <f>B92</f>
        <v>SAM PHARMACEUTICALS LIMITED</v>
      </c>
      <c r="C125" s="874">
        <f>G93</f>
        <v>24000</v>
      </c>
      <c r="D125" s="875"/>
    </row>
    <row r="126" spans="1:4" x14ac:dyDescent="0.3">
      <c r="A126" s="250">
        <f t="shared" si="1"/>
        <v>18</v>
      </c>
      <c r="B126" s="286" t="str">
        <f>B96</f>
        <v>SEAL HEALTHCARE LTD</v>
      </c>
      <c r="C126" s="871">
        <f>G97</f>
        <v>750000</v>
      </c>
      <c r="D126" s="845"/>
    </row>
    <row r="127" spans="1:4" ht="19.5" thickBot="1" x14ac:dyDescent="0.35">
      <c r="C127" s="836"/>
      <c r="D127" s="836"/>
    </row>
    <row r="128" spans="1:4" ht="19.5" thickBot="1" x14ac:dyDescent="0.35">
      <c r="C128" s="880">
        <f>SUM(C109:D126)</f>
        <v>5486475</v>
      </c>
      <c r="D128" s="881"/>
    </row>
  </sheetData>
  <sortState ref="A30:G30">
    <sortCondition ref="B29:B30"/>
  </sortState>
  <mergeCells count="23">
    <mergeCell ref="C117:D117"/>
    <mergeCell ref="A1:G1"/>
    <mergeCell ref="B106:D106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28:D128"/>
    <mergeCell ref="C122:D122"/>
    <mergeCell ref="C126:D126"/>
    <mergeCell ref="C127:D127"/>
    <mergeCell ref="C118:D118"/>
    <mergeCell ref="C119:D119"/>
    <mergeCell ref="C120:D120"/>
    <mergeCell ref="C121:D121"/>
    <mergeCell ref="C123:D123"/>
    <mergeCell ref="C124:D124"/>
    <mergeCell ref="C125:D125"/>
  </mergeCells>
  <pageMargins left="0.25" right="0.25" top="0.75" bottom="0.75" header="0.3" footer="0.3"/>
  <pageSetup paperSize="9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514"/>
  <sheetViews>
    <sheetView view="pageBreakPreview" zoomScale="70" zoomScaleNormal="60" zoomScaleSheetLayoutView="70" workbookViewId="0">
      <pane xSplit="5" ySplit="4" topLeftCell="F507" activePane="bottomRight" state="frozen"/>
      <selection activeCell="F100" sqref="F100"/>
      <selection pane="topRight" activeCell="F100" sqref="F100"/>
      <selection pane="bottomLeft" activeCell="F100" sqref="F100"/>
      <selection pane="bottomRight" activeCell="F100" sqref="F100"/>
    </sheetView>
  </sheetViews>
  <sheetFormatPr defaultColWidth="20" defaultRowHeight="18.75" x14ac:dyDescent="0.3"/>
  <cols>
    <col min="1" max="1" width="6.85546875" style="42" customWidth="1"/>
    <col min="2" max="2" width="13.140625" style="42" customWidth="1"/>
    <col min="3" max="3" width="58" style="8" customWidth="1"/>
    <col min="4" max="4" width="16.85546875" style="182" bestFit="1" customWidth="1"/>
    <col min="5" max="5" width="20.28515625" style="75" customWidth="1"/>
    <col min="6" max="6" width="20.140625" style="71" bestFit="1" customWidth="1"/>
    <col min="7" max="7" width="31" style="73" customWidth="1"/>
    <col min="8" max="10" width="20" style="8" hidden="1" customWidth="1"/>
    <col min="11" max="11" width="20" style="8"/>
    <col min="12" max="12" width="28.140625" style="8" customWidth="1"/>
    <col min="13" max="16384" width="20" style="8"/>
  </cols>
  <sheetData>
    <row r="1" spans="1:12" ht="28.5" x14ac:dyDescent="0.45">
      <c r="A1" s="886" t="s">
        <v>1068</v>
      </c>
      <c r="B1" s="886"/>
      <c r="C1" s="886"/>
      <c r="D1" s="886"/>
      <c r="E1" s="886"/>
      <c r="F1" s="886"/>
      <c r="G1" s="886"/>
    </row>
    <row r="2" spans="1:12" ht="46.5" x14ac:dyDescent="0.7">
      <c r="A2" s="887" t="s">
        <v>1067</v>
      </c>
      <c r="B2" s="887"/>
      <c r="C2" s="887"/>
      <c r="D2" s="887"/>
      <c r="E2" s="887"/>
      <c r="F2" s="887"/>
      <c r="G2" s="887"/>
    </row>
    <row r="3" spans="1:12" ht="21" x14ac:dyDescent="0.35">
      <c r="A3" s="68"/>
      <c r="B3" s="35"/>
      <c r="C3" s="188"/>
      <c r="D3" s="181"/>
      <c r="E3" s="189"/>
      <c r="F3" s="190"/>
      <c r="G3" s="191"/>
    </row>
    <row r="4" spans="1:12" s="24" customFormat="1" ht="64.5" customHeight="1" x14ac:dyDescent="0.25">
      <c r="A4" s="66" t="s">
        <v>658</v>
      </c>
      <c r="B4" s="21" t="s">
        <v>659</v>
      </c>
      <c r="C4" s="21" t="s">
        <v>660</v>
      </c>
      <c r="D4" s="65" t="s">
        <v>500</v>
      </c>
      <c r="E4" s="74" t="s">
        <v>920</v>
      </c>
      <c r="F4" s="64" t="s">
        <v>661</v>
      </c>
      <c r="G4" s="72" t="s">
        <v>550</v>
      </c>
      <c r="H4" s="888" t="s">
        <v>1069</v>
      </c>
      <c r="I4" s="888"/>
      <c r="J4" s="888"/>
      <c r="K4" s="263" t="s">
        <v>1070</v>
      </c>
      <c r="L4" s="21" t="s">
        <v>1071</v>
      </c>
    </row>
    <row r="5" spans="1:12" s="24" customFormat="1" ht="18.75" customHeight="1" x14ac:dyDescent="0.25">
      <c r="A5" s="66"/>
      <c r="B5" s="21"/>
      <c r="C5" s="21"/>
      <c r="D5" s="65"/>
      <c r="E5" s="74"/>
      <c r="F5" s="64"/>
      <c r="G5" s="255"/>
      <c r="H5" s="268"/>
      <c r="I5" s="21"/>
      <c r="J5" s="21"/>
      <c r="K5" s="269"/>
      <c r="L5" s="260"/>
    </row>
    <row r="6" spans="1:12" s="42" customFormat="1" ht="23.25" x14ac:dyDescent="0.35">
      <c r="A6" s="35">
        <v>1</v>
      </c>
      <c r="B6" s="35"/>
      <c r="C6" s="77" t="s">
        <v>826</v>
      </c>
      <c r="D6" s="174"/>
      <c r="E6" s="35"/>
      <c r="F6" s="38"/>
      <c r="G6" s="256"/>
      <c r="H6" s="197"/>
      <c r="I6" s="35"/>
      <c r="J6" s="35"/>
      <c r="K6" s="269"/>
      <c r="L6" s="261"/>
    </row>
    <row r="7" spans="1:12" s="42" customFormat="1" x14ac:dyDescent="0.3">
      <c r="A7" s="35"/>
      <c r="B7" s="35" t="e">
        <f>ALPHA!#REF!</f>
        <v>#REF!</v>
      </c>
      <c r="C7" s="35" t="e">
        <f>ALPHA!#REF!</f>
        <v>#REF!</v>
      </c>
      <c r="D7" s="174" t="e">
        <f>ALPHA!#REF!</f>
        <v>#REF!</v>
      </c>
      <c r="E7" s="35">
        <v>1</v>
      </c>
      <c r="F7" s="38" t="e">
        <f>ALPHA!#REF!</f>
        <v>#REF!</v>
      </c>
      <c r="G7" s="256" t="e">
        <f>E7*F7</f>
        <v>#REF!</v>
      </c>
      <c r="H7" s="197"/>
      <c r="I7" s="35"/>
      <c r="J7" s="35">
        <v>1</v>
      </c>
      <c r="K7" s="269">
        <f t="shared" ref="K7:K60" si="0">H7+I7+J7</f>
        <v>1</v>
      </c>
      <c r="L7" s="262" t="e">
        <f>K7*F7</f>
        <v>#REF!</v>
      </c>
    </row>
    <row r="8" spans="1:12" s="42" customFormat="1" ht="18.75" customHeight="1" x14ac:dyDescent="0.3">
      <c r="A8" s="35"/>
      <c r="B8" s="35" t="e">
        <f>ALPHA!#REF!</f>
        <v>#REF!</v>
      </c>
      <c r="C8" s="35" t="e">
        <f>ALPHA!#REF!</f>
        <v>#REF!</v>
      </c>
      <c r="D8" s="174" t="e">
        <f>ALPHA!#REF!</f>
        <v>#REF!</v>
      </c>
      <c r="E8" s="35">
        <v>38</v>
      </c>
      <c r="F8" s="38" t="e">
        <f>ALPHA!#REF!</f>
        <v>#REF!</v>
      </c>
      <c r="G8" s="256" t="e">
        <f t="shared" ref="G8:G32" si="1">E8*F8</f>
        <v>#REF!</v>
      </c>
      <c r="H8" s="197">
        <v>10</v>
      </c>
      <c r="I8" s="35"/>
      <c r="J8" s="35"/>
      <c r="K8" s="269">
        <f t="shared" si="0"/>
        <v>10</v>
      </c>
      <c r="L8" s="262" t="e">
        <f t="shared" ref="L8:L62" si="2">K8*F8</f>
        <v>#REF!</v>
      </c>
    </row>
    <row r="9" spans="1:12" s="42" customFormat="1" x14ac:dyDescent="0.3">
      <c r="A9" s="35"/>
      <c r="B9" s="35" t="e">
        <f>ALPHA!#REF!</f>
        <v>#REF!</v>
      </c>
      <c r="C9" s="35" t="e">
        <f>ALPHA!#REF!</f>
        <v>#REF!</v>
      </c>
      <c r="D9" s="174" t="e">
        <f>ALPHA!#REF!</f>
        <v>#REF!</v>
      </c>
      <c r="E9" s="35">
        <v>23</v>
      </c>
      <c r="F9" s="38" t="e">
        <f>ALPHA!#REF!</f>
        <v>#REF!</v>
      </c>
      <c r="G9" s="256" t="e">
        <f t="shared" si="1"/>
        <v>#REF!</v>
      </c>
      <c r="H9" s="197">
        <v>23</v>
      </c>
      <c r="I9" s="35"/>
      <c r="J9" s="35"/>
      <c r="K9" s="269">
        <f t="shared" si="0"/>
        <v>23</v>
      </c>
      <c r="L9" s="262" t="e">
        <f t="shared" si="2"/>
        <v>#REF!</v>
      </c>
    </row>
    <row r="10" spans="1:12" s="42" customFormat="1" x14ac:dyDescent="0.3">
      <c r="A10" s="35"/>
      <c r="B10" s="35" t="e">
        <f>ALPHA!#REF!</f>
        <v>#REF!</v>
      </c>
      <c r="C10" s="35" t="e">
        <f>ALPHA!#REF!</f>
        <v>#REF!</v>
      </c>
      <c r="D10" s="174" t="e">
        <f>ALPHA!#REF!</f>
        <v>#REF!</v>
      </c>
      <c r="E10" s="35">
        <v>5</v>
      </c>
      <c r="F10" s="38" t="e">
        <f>ALPHA!#REF!</f>
        <v>#REF!</v>
      </c>
      <c r="G10" s="256" t="e">
        <f t="shared" si="1"/>
        <v>#REF!</v>
      </c>
      <c r="H10" s="197">
        <v>5</v>
      </c>
      <c r="I10" s="35"/>
      <c r="J10" s="35"/>
      <c r="K10" s="269">
        <f t="shared" si="0"/>
        <v>5</v>
      </c>
      <c r="L10" s="262" t="e">
        <f t="shared" si="2"/>
        <v>#REF!</v>
      </c>
    </row>
    <row r="11" spans="1:12" s="42" customFormat="1" x14ac:dyDescent="0.3">
      <c r="A11" s="35"/>
      <c r="B11" s="35" t="e">
        <f>ALPHA!#REF!</f>
        <v>#REF!</v>
      </c>
      <c r="C11" s="35" t="e">
        <f>ALPHA!#REF!</f>
        <v>#REF!</v>
      </c>
      <c r="D11" s="174" t="e">
        <f>ALPHA!#REF!</f>
        <v>#REF!</v>
      </c>
      <c r="E11" s="35">
        <v>8</v>
      </c>
      <c r="F11" s="38" t="e">
        <f>ALPHA!#REF!</f>
        <v>#REF!</v>
      </c>
      <c r="G11" s="256" t="e">
        <f t="shared" si="1"/>
        <v>#REF!</v>
      </c>
      <c r="H11" s="197"/>
      <c r="I11" s="35"/>
      <c r="J11" s="35">
        <v>8</v>
      </c>
      <c r="K11" s="269">
        <f t="shared" si="0"/>
        <v>8</v>
      </c>
      <c r="L11" s="262" t="e">
        <f t="shared" si="2"/>
        <v>#REF!</v>
      </c>
    </row>
    <row r="12" spans="1:12" s="42" customFormat="1" x14ac:dyDescent="0.3">
      <c r="A12" s="35"/>
      <c r="B12" s="35" t="e">
        <f>ALPHA!#REF!</f>
        <v>#REF!</v>
      </c>
      <c r="C12" s="35" t="e">
        <f>ALPHA!#REF!</f>
        <v>#REF!</v>
      </c>
      <c r="D12" s="174" t="e">
        <f>ALPHA!#REF!</f>
        <v>#REF!</v>
      </c>
      <c r="E12" s="35">
        <v>1</v>
      </c>
      <c r="F12" s="38" t="e">
        <f>ALPHA!#REF!</f>
        <v>#REF!</v>
      </c>
      <c r="G12" s="256" t="e">
        <f t="shared" si="1"/>
        <v>#REF!</v>
      </c>
      <c r="H12" s="197"/>
      <c r="I12" s="35">
        <v>1</v>
      </c>
      <c r="J12" s="35"/>
      <c r="K12" s="269">
        <f t="shared" si="0"/>
        <v>1</v>
      </c>
      <c r="L12" s="262" t="e">
        <f t="shared" si="2"/>
        <v>#REF!</v>
      </c>
    </row>
    <row r="13" spans="1:12" s="42" customFormat="1" x14ac:dyDescent="0.3">
      <c r="A13" s="35"/>
      <c r="B13" s="35" t="e">
        <f>ALPHA!#REF!</f>
        <v>#REF!</v>
      </c>
      <c r="C13" s="35" t="e">
        <f>ALPHA!#REF!</f>
        <v>#REF!</v>
      </c>
      <c r="D13" s="174" t="e">
        <f>ALPHA!#REF!</f>
        <v>#REF!</v>
      </c>
      <c r="E13" s="35">
        <v>14</v>
      </c>
      <c r="F13" s="38" t="e">
        <f>ALPHA!#REF!</f>
        <v>#REF!</v>
      </c>
      <c r="G13" s="256" t="e">
        <f t="shared" si="1"/>
        <v>#REF!</v>
      </c>
      <c r="H13" s="197">
        <v>14</v>
      </c>
      <c r="I13" s="35"/>
      <c r="J13" s="35"/>
      <c r="K13" s="269">
        <f t="shared" si="0"/>
        <v>14</v>
      </c>
      <c r="L13" s="262" t="e">
        <f t="shared" si="2"/>
        <v>#REF!</v>
      </c>
    </row>
    <row r="14" spans="1:12" s="42" customFormat="1" x14ac:dyDescent="0.3">
      <c r="A14" s="35"/>
      <c r="B14" s="35" t="e">
        <f>ALPHA!#REF!</f>
        <v>#REF!</v>
      </c>
      <c r="C14" s="35" t="e">
        <f>ALPHA!#REF!</f>
        <v>#REF!</v>
      </c>
      <c r="D14" s="174" t="e">
        <f>ALPHA!#REF!</f>
        <v>#REF!</v>
      </c>
      <c r="E14" s="35">
        <v>143</v>
      </c>
      <c r="F14" s="38" t="e">
        <f>ALPHA!#REF!</f>
        <v>#REF!</v>
      </c>
      <c r="G14" s="256" t="e">
        <f t="shared" si="1"/>
        <v>#REF!</v>
      </c>
      <c r="H14" s="197">
        <v>143</v>
      </c>
      <c r="I14" s="35"/>
      <c r="J14" s="35"/>
      <c r="K14" s="269">
        <f t="shared" si="0"/>
        <v>143</v>
      </c>
      <c r="L14" s="262" t="e">
        <f t="shared" si="2"/>
        <v>#REF!</v>
      </c>
    </row>
    <row r="15" spans="1:12" s="42" customFormat="1" x14ac:dyDescent="0.3">
      <c r="A15" s="35"/>
      <c r="B15" s="35" t="e">
        <f>ALPHA!#REF!</f>
        <v>#REF!</v>
      </c>
      <c r="C15" s="35" t="e">
        <f>ALPHA!#REF!</f>
        <v>#REF!</v>
      </c>
      <c r="D15" s="174" t="e">
        <f>ALPHA!#REF!</f>
        <v>#REF!</v>
      </c>
      <c r="E15" s="35">
        <v>1</v>
      </c>
      <c r="F15" s="38" t="e">
        <f>ALPHA!#REF!</f>
        <v>#REF!</v>
      </c>
      <c r="G15" s="256" t="e">
        <f t="shared" si="1"/>
        <v>#REF!</v>
      </c>
      <c r="H15" s="197">
        <v>1</v>
      </c>
      <c r="I15" s="35"/>
      <c r="J15" s="35"/>
      <c r="K15" s="269">
        <f t="shared" si="0"/>
        <v>1</v>
      </c>
      <c r="L15" s="262" t="e">
        <f t="shared" si="2"/>
        <v>#REF!</v>
      </c>
    </row>
    <row r="16" spans="1:12" s="42" customFormat="1" x14ac:dyDescent="0.3">
      <c r="A16" s="35"/>
      <c r="B16" s="35" t="e">
        <f>ALPHA!#REF!</f>
        <v>#REF!</v>
      </c>
      <c r="C16" s="35" t="e">
        <f>ALPHA!#REF!</f>
        <v>#REF!</v>
      </c>
      <c r="D16" s="174" t="e">
        <f>ALPHA!#REF!</f>
        <v>#REF!</v>
      </c>
      <c r="E16" s="35">
        <v>3</v>
      </c>
      <c r="F16" s="38" t="e">
        <f>ALPHA!#REF!</f>
        <v>#REF!</v>
      </c>
      <c r="G16" s="256" t="e">
        <f t="shared" si="1"/>
        <v>#REF!</v>
      </c>
      <c r="H16" s="197">
        <v>3</v>
      </c>
      <c r="I16" s="35"/>
      <c r="J16" s="35"/>
      <c r="K16" s="269">
        <f t="shared" si="0"/>
        <v>3</v>
      </c>
      <c r="L16" s="262" t="e">
        <f t="shared" si="2"/>
        <v>#REF!</v>
      </c>
    </row>
    <row r="17" spans="1:13" s="42" customFormat="1" x14ac:dyDescent="0.3">
      <c r="A17" s="35"/>
      <c r="B17" s="35" t="e">
        <f>ALPHA!#REF!</f>
        <v>#REF!</v>
      </c>
      <c r="C17" s="35" t="e">
        <f>ALPHA!#REF!</f>
        <v>#REF!</v>
      </c>
      <c r="D17" s="174" t="e">
        <f>ALPHA!#REF!</f>
        <v>#REF!</v>
      </c>
      <c r="E17" s="35">
        <v>27</v>
      </c>
      <c r="F17" s="38" t="e">
        <f>ALPHA!#REF!</f>
        <v>#REF!</v>
      </c>
      <c r="G17" s="256" t="e">
        <f t="shared" si="1"/>
        <v>#REF!</v>
      </c>
      <c r="H17" s="197">
        <v>27</v>
      </c>
      <c r="I17" s="35"/>
      <c r="J17" s="35"/>
      <c r="K17" s="269">
        <f t="shared" si="0"/>
        <v>27</v>
      </c>
      <c r="L17" s="262" t="e">
        <f t="shared" si="2"/>
        <v>#REF!</v>
      </c>
    </row>
    <row r="18" spans="1:13" s="42" customFormat="1" x14ac:dyDescent="0.3">
      <c r="A18" s="35"/>
      <c r="B18" s="35" t="e">
        <f>ALPHA!#REF!</f>
        <v>#REF!</v>
      </c>
      <c r="C18" s="35" t="e">
        <f>ALPHA!#REF!</f>
        <v>#REF!</v>
      </c>
      <c r="D18" s="174" t="e">
        <f>ALPHA!#REF!</f>
        <v>#REF!</v>
      </c>
      <c r="E18" s="35">
        <v>13</v>
      </c>
      <c r="F18" s="38" t="e">
        <f>ALPHA!#REF!</f>
        <v>#REF!</v>
      </c>
      <c r="G18" s="256" t="e">
        <f t="shared" si="1"/>
        <v>#REF!</v>
      </c>
      <c r="H18" s="197">
        <v>13</v>
      </c>
      <c r="I18" s="35"/>
      <c r="J18" s="35"/>
      <c r="K18" s="269">
        <f t="shared" si="0"/>
        <v>13</v>
      </c>
      <c r="L18" s="262" t="e">
        <f t="shared" si="2"/>
        <v>#REF!</v>
      </c>
    </row>
    <row r="19" spans="1:13" s="42" customFormat="1" x14ac:dyDescent="0.3">
      <c r="A19" s="35"/>
      <c r="B19" s="35" t="e">
        <f>ALPHA!#REF!</f>
        <v>#REF!</v>
      </c>
      <c r="C19" s="35" t="e">
        <f>ALPHA!#REF!</f>
        <v>#REF!</v>
      </c>
      <c r="D19" s="174" t="e">
        <f>ALPHA!#REF!</f>
        <v>#REF!</v>
      </c>
      <c r="E19" s="35">
        <v>3</v>
      </c>
      <c r="F19" s="38" t="e">
        <f>ALPHA!#REF!</f>
        <v>#REF!</v>
      </c>
      <c r="G19" s="256" t="e">
        <f t="shared" si="1"/>
        <v>#REF!</v>
      </c>
      <c r="H19" s="197"/>
      <c r="I19" s="35"/>
      <c r="J19" s="35">
        <v>3</v>
      </c>
      <c r="K19" s="269">
        <f t="shared" si="0"/>
        <v>3</v>
      </c>
      <c r="L19" s="262" t="e">
        <f t="shared" si="2"/>
        <v>#REF!</v>
      </c>
    </row>
    <row r="20" spans="1:13" s="42" customFormat="1" x14ac:dyDescent="0.3">
      <c r="A20" s="35"/>
      <c r="B20" s="35" t="e">
        <f>ALPHA!#REF!</f>
        <v>#REF!</v>
      </c>
      <c r="C20" s="35" t="e">
        <f>ALPHA!#REF!</f>
        <v>#REF!</v>
      </c>
      <c r="D20" s="174" t="e">
        <f>ALPHA!#REF!</f>
        <v>#REF!</v>
      </c>
      <c r="E20" s="35">
        <v>43</v>
      </c>
      <c r="F20" s="38" t="e">
        <f>ALPHA!#REF!</f>
        <v>#REF!</v>
      </c>
      <c r="G20" s="256" t="e">
        <f t="shared" si="1"/>
        <v>#REF!</v>
      </c>
      <c r="H20" s="197"/>
      <c r="I20" s="35"/>
      <c r="J20" s="35">
        <v>43</v>
      </c>
      <c r="K20" s="269">
        <f t="shared" si="0"/>
        <v>43</v>
      </c>
      <c r="L20" s="262" t="e">
        <f t="shared" si="2"/>
        <v>#REF!</v>
      </c>
    </row>
    <row r="21" spans="1:13" s="42" customFormat="1" x14ac:dyDescent="0.3">
      <c r="A21" s="35"/>
      <c r="B21" s="35" t="e">
        <f>ALPHA!#REF!</f>
        <v>#REF!</v>
      </c>
      <c r="C21" s="35" t="e">
        <f>ALPHA!#REF!</f>
        <v>#REF!</v>
      </c>
      <c r="D21" s="174" t="e">
        <f>ALPHA!#REF!</f>
        <v>#REF!</v>
      </c>
      <c r="E21" s="35">
        <v>10</v>
      </c>
      <c r="F21" s="38" t="e">
        <f>ALPHA!#REF!</f>
        <v>#REF!</v>
      </c>
      <c r="G21" s="256" t="e">
        <f t="shared" si="1"/>
        <v>#REF!</v>
      </c>
      <c r="H21" s="197">
        <v>10</v>
      </c>
      <c r="I21" s="35"/>
      <c r="J21" s="35"/>
      <c r="K21" s="269">
        <f t="shared" si="0"/>
        <v>10</v>
      </c>
      <c r="L21" s="262" t="e">
        <f t="shared" si="2"/>
        <v>#REF!</v>
      </c>
    </row>
    <row r="22" spans="1:13" s="42" customFormat="1" x14ac:dyDescent="0.3">
      <c r="A22" s="35"/>
      <c r="B22" s="35" t="e">
        <f>ALPHA!#REF!</f>
        <v>#REF!</v>
      </c>
      <c r="C22" s="35" t="e">
        <f>ALPHA!#REF!</f>
        <v>#REF!</v>
      </c>
      <c r="D22" s="174" t="e">
        <f>ALPHA!#REF!</f>
        <v>#REF!</v>
      </c>
      <c r="E22" s="35">
        <v>6</v>
      </c>
      <c r="F22" s="38" t="e">
        <f>ALPHA!#REF!</f>
        <v>#REF!</v>
      </c>
      <c r="G22" s="256" t="e">
        <f t="shared" si="1"/>
        <v>#REF!</v>
      </c>
      <c r="H22" s="197"/>
      <c r="I22" s="35"/>
      <c r="J22" s="35">
        <v>6</v>
      </c>
      <c r="K22" s="269">
        <f t="shared" si="0"/>
        <v>6</v>
      </c>
      <c r="L22" s="262" t="e">
        <f t="shared" si="2"/>
        <v>#REF!</v>
      </c>
    </row>
    <row r="23" spans="1:13" s="42" customFormat="1" x14ac:dyDescent="0.3">
      <c r="A23" s="35"/>
      <c r="B23" s="35" t="e">
        <f>ALPHA!#REF!</f>
        <v>#REF!</v>
      </c>
      <c r="C23" s="35" t="e">
        <f>ALPHA!#REF!</f>
        <v>#REF!</v>
      </c>
      <c r="D23" s="174" t="e">
        <f>ALPHA!#REF!</f>
        <v>#REF!</v>
      </c>
      <c r="E23" s="35">
        <v>1</v>
      </c>
      <c r="F23" s="38" t="e">
        <f>ALPHA!#REF!</f>
        <v>#REF!</v>
      </c>
      <c r="G23" s="256" t="e">
        <f t="shared" si="1"/>
        <v>#REF!</v>
      </c>
      <c r="H23" s="197"/>
      <c r="I23" s="35"/>
      <c r="J23" s="35">
        <v>1</v>
      </c>
      <c r="K23" s="269">
        <f t="shared" si="0"/>
        <v>1</v>
      </c>
      <c r="L23" s="262" t="e">
        <f t="shared" si="2"/>
        <v>#REF!</v>
      </c>
    </row>
    <row r="24" spans="1:13" s="42" customFormat="1" x14ac:dyDescent="0.3">
      <c r="A24" s="35"/>
      <c r="B24" s="35" t="e">
        <f>ALPHA!#REF!</f>
        <v>#REF!</v>
      </c>
      <c r="C24" s="35" t="e">
        <f>ALPHA!#REF!</f>
        <v>#REF!</v>
      </c>
      <c r="D24" s="174" t="e">
        <f>ALPHA!#REF!</f>
        <v>#REF!</v>
      </c>
      <c r="E24" s="35">
        <v>3</v>
      </c>
      <c r="F24" s="38" t="e">
        <f>ALPHA!#REF!</f>
        <v>#REF!</v>
      </c>
      <c r="G24" s="256" t="e">
        <f t="shared" si="1"/>
        <v>#REF!</v>
      </c>
      <c r="H24" s="197"/>
      <c r="I24" s="35"/>
      <c r="J24" s="35">
        <v>3</v>
      </c>
      <c r="K24" s="269">
        <f t="shared" si="0"/>
        <v>3</v>
      </c>
      <c r="L24" s="262" t="e">
        <f t="shared" si="2"/>
        <v>#REF!</v>
      </c>
    </row>
    <row r="25" spans="1:13" s="42" customFormat="1" x14ac:dyDescent="0.3">
      <c r="A25" s="35"/>
      <c r="B25" s="35" t="e">
        <f>ALPHA!#REF!</f>
        <v>#REF!</v>
      </c>
      <c r="C25" s="35" t="e">
        <f>ALPHA!#REF!</f>
        <v>#REF!</v>
      </c>
      <c r="D25" s="174" t="e">
        <f>ALPHA!#REF!</f>
        <v>#REF!</v>
      </c>
      <c r="E25" s="35">
        <v>30</v>
      </c>
      <c r="F25" s="38" t="e">
        <f>ALPHA!#REF!</f>
        <v>#REF!</v>
      </c>
      <c r="G25" s="256" t="e">
        <f t="shared" si="1"/>
        <v>#REF!</v>
      </c>
      <c r="H25" s="197"/>
      <c r="I25" s="35">
        <v>30</v>
      </c>
      <c r="J25" s="35"/>
      <c r="K25" s="269">
        <f t="shared" si="0"/>
        <v>30</v>
      </c>
      <c r="L25" s="262" t="e">
        <f t="shared" si="2"/>
        <v>#REF!</v>
      </c>
    </row>
    <row r="26" spans="1:13" s="42" customFormat="1" x14ac:dyDescent="0.3">
      <c r="A26" s="35"/>
      <c r="B26" s="35" t="e">
        <f>ALPHA!#REF!</f>
        <v>#REF!</v>
      </c>
      <c r="C26" s="35" t="e">
        <f>ALPHA!#REF!</f>
        <v>#REF!</v>
      </c>
      <c r="D26" s="174" t="e">
        <f>ALPHA!#REF!</f>
        <v>#REF!</v>
      </c>
      <c r="E26" s="35">
        <v>200</v>
      </c>
      <c r="F26" s="38" t="e">
        <f>ALPHA!#REF!</f>
        <v>#REF!</v>
      </c>
      <c r="G26" s="256" t="e">
        <f t="shared" si="1"/>
        <v>#REF!</v>
      </c>
      <c r="H26" s="197"/>
      <c r="I26" s="35">
        <v>200</v>
      </c>
      <c r="J26" s="35"/>
      <c r="K26" s="269">
        <f t="shared" si="0"/>
        <v>200</v>
      </c>
      <c r="L26" s="262" t="e">
        <f t="shared" si="2"/>
        <v>#REF!</v>
      </c>
    </row>
    <row r="27" spans="1:13" s="42" customFormat="1" x14ac:dyDescent="0.3">
      <c r="A27" s="35"/>
      <c r="B27" s="35" t="e">
        <f>ALPHA!#REF!</f>
        <v>#REF!</v>
      </c>
      <c r="C27" s="35" t="e">
        <f>ALPHA!#REF!</f>
        <v>#REF!</v>
      </c>
      <c r="D27" s="174" t="e">
        <f>ALPHA!#REF!</f>
        <v>#REF!</v>
      </c>
      <c r="E27" s="35">
        <v>598</v>
      </c>
      <c r="F27" s="38" t="e">
        <f>ALPHA!#REF!</f>
        <v>#REF!</v>
      </c>
      <c r="G27" s="256" t="e">
        <f t="shared" si="1"/>
        <v>#REF!</v>
      </c>
      <c r="H27" s="197">
        <v>598</v>
      </c>
      <c r="I27" s="35"/>
      <c r="J27" s="35"/>
      <c r="K27" s="269">
        <f t="shared" si="0"/>
        <v>598</v>
      </c>
      <c r="L27" s="262" t="e">
        <f t="shared" si="2"/>
        <v>#REF!</v>
      </c>
    </row>
    <row r="28" spans="1:13" s="42" customFormat="1" x14ac:dyDescent="0.3">
      <c r="A28" s="35"/>
      <c r="B28" s="35" t="e">
        <f>ALPHA!#REF!</f>
        <v>#REF!</v>
      </c>
      <c r="C28" s="35" t="e">
        <f>ALPHA!#REF!</f>
        <v>#REF!</v>
      </c>
      <c r="D28" s="174" t="e">
        <f>ALPHA!#REF!</f>
        <v>#REF!</v>
      </c>
      <c r="E28" s="35">
        <v>15</v>
      </c>
      <c r="F28" s="38" t="e">
        <f>ALPHA!#REF!</f>
        <v>#REF!</v>
      </c>
      <c r="G28" s="256" t="e">
        <f t="shared" si="1"/>
        <v>#REF!</v>
      </c>
      <c r="H28" s="197">
        <v>15</v>
      </c>
      <c r="I28" s="35"/>
      <c r="J28" s="35"/>
      <c r="K28" s="269">
        <f t="shared" si="0"/>
        <v>15</v>
      </c>
      <c r="L28" s="262" t="e">
        <f t="shared" si="2"/>
        <v>#REF!</v>
      </c>
    </row>
    <row r="29" spans="1:13" s="42" customFormat="1" x14ac:dyDescent="0.3">
      <c r="A29" s="35"/>
      <c r="B29" s="35" t="e">
        <f>ALPHA!#REF!</f>
        <v>#REF!</v>
      </c>
      <c r="C29" s="35" t="e">
        <f>ALPHA!#REF!</f>
        <v>#REF!</v>
      </c>
      <c r="D29" s="174" t="e">
        <f>ALPHA!#REF!</f>
        <v>#REF!</v>
      </c>
      <c r="E29" s="35">
        <v>5</v>
      </c>
      <c r="F29" s="38" t="e">
        <f>ALPHA!#REF!</f>
        <v>#REF!</v>
      </c>
      <c r="G29" s="256" t="e">
        <f t="shared" si="1"/>
        <v>#REF!</v>
      </c>
      <c r="H29" s="197">
        <v>5</v>
      </c>
      <c r="I29" s="35"/>
      <c r="J29" s="35"/>
      <c r="K29" s="269">
        <f t="shared" si="0"/>
        <v>5</v>
      </c>
      <c r="L29" s="262" t="e">
        <f t="shared" si="2"/>
        <v>#REF!</v>
      </c>
    </row>
    <row r="30" spans="1:13" s="42" customFormat="1" x14ac:dyDescent="0.3">
      <c r="A30" s="35"/>
      <c r="B30" s="35" t="e">
        <f>ALPHA!#REF!</f>
        <v>#REF!</v>
      </c>
      <c r="C30" s="35" t="e">
        <f>ALPHA!#REF!</f>
        <v>#REF!</v>
      </c>
      <c r="D30" s="174" t="e">
        <f>ALPHA!#REF!</f>
        <v>#REF!</v>
      </c>
      <c r="E30" s="35">
        <v>25</v>
      </c>
      <c r="F30" s="38" t="e">
        <f>ALPHA!#REF!</f>
        <v>#REF!</v>
      </c>
      <c r="G30" s="256" t="e">
        <f t="shared" si="1"/>
        <v>#REF!</v>
      </c>
      <c r="H30" s="197">
        <v>25</v>
      </c>
      <c r="I30" s="35"/>
      <c r="J30" s="35"/>
      <c r="K30" s="269">
        <f t="shared" si="0"/>
        <v>25</v>
      </c>
      <c r="L30" s="262" t="e">
        <f t="shared" si="2"/>
        <v>#REF!</v>
      </c>
    </row>
    <row r="31" spans="1:13" s="42" customFormat="1" x14ac:dyDescent="0.3">
      <c r="A31" s="35"/>
      <c r="B31" s="35" t="e">
        <f>ALPHA!#REF!</f>
        <v>#REF!</v>
      </c>
      <c r="C31" s="35" t="e">
        <f>ALPHA!#REF!</f>
        <v>#REF!</v>
      </c>
      <c r="D31" s="174" t="e">
        <f>ALPHA!#REF!</f>
        <v>#REF!</v>
      </c>
      <c r="E31" s="35">
        <v>150</v>
      </c>
      <c r="F31" s="38" t="e">
        <f>ALPHA!#REF!</f>
        <v>#REF!</v>
      </c>
      <c r="G31" s="256" t="e">
        <f t="shared" si="1"/>
        <v>#REF!</v>
      </c>
      <c r="H31" s="197">
        <v>150</v>
      </c>
      <c r="I31" s="35"/>
      <c r="J31" s="35"/>
      <c r="K31" s="269">
        <f t="shared" si="0"/>
        <v>150</v>
      </c>
      <c r="L31" s="262" t="e">
        <f t="shared" si="2"/>
        <v>#REF!</v>
      </c>
    </row>
    <row r="32" spans="1:13" s="42" customFormat="1" x14ac:dyDescent="0.3">
      <c r="A32" s="35"/>
      <c r="B32" s="35" t="e">
        <f>ALPHA!#REF!</f>
        <v>#REF!</v>
      </c>
      <c r="C32" s="35" t="e">
        <f>ALPHA!#REF!</f>
        <v>#REF!</v>
      </c>
      <c r="D32" s="174" t="e">
        <f>ALPHA!#REF!</f>
        <v>#REF!</v>
      </c>
      <c r="E32" s="35">
        <v>25</v>
      </c>
      <c r="F32" s="38" t="e">
        <f>ALPHA!#REF!</f>
        <v>#REF!</v>
      </c>
      <c r="G32" s="256" t="e">
        <f t="shared" si="1"/>
        <v>#REF!</v>
      </c>
      <c r="H32" s="197"/>
      <c r="I32" s="35"/>
      <c r="J32" s="35"/>
      <c r="K32" s="269">
        <f t="shared" si="0"/>
        <v>0</v>
      </c>
      <c r="L32" s="262" t="e">
        <f t="shared" si="2"/>
        <v>#REF!</v>
      </c>
      <c r="M32" s="366" t="e">
        <f>SUM(L7:L32)</f>
        <v>#REF!</v>
      </c>
    </row>
    <row r="33" spans="1:13" s="42" customFormat="1" x14ac:dyDescent="0.3">
      <c r="A33" s="35"/>
      <c r="B33" s="35"/>
      <c r="C33" s="35"/>
      <c r="D33" s="174"/>
      <c r="E33" s="35"/>
      <c r="F33" s="38"/>
      <c r="G33" s="256"/>
      <c r="H33" s="197"/>
      <c r="I33" s="35"/>
      <c r="J33" s="35"/>
      <c r="K33" s="269">
        <f t="shared" si="0"/>
        <v>0</v>
      </c>
      <c r="L33" s="262">
        <f t="shared" si="2"/>
        <v>0</v>
      </c>
    </row>
    <row r="34" spans="1:13" s="42" customFormat="1" ht="23.25" x14ac:dyDescent="0.35">
      <c r="A34" s="35">
        <v>2</v>
      </c>
      <c r="B34" s="35"/>
      <c r="C34" s="77" t="s">
        <v>884</v>
      </c>
      <c r="D34" s="174"/>
      <c r="E34" s="35"/>
      <c r="F34" s="38"/>
      <c r="G34" s="256"/>
      <c r="H34" s="197"/>
      <c r="I34" s="35"/>
      <c r="J34" s="35"/>
      <c r="K34" s="269">
        <f t="shared" si="0"/>
        <v>0</v>
      </c>
      <c r="L34" s="262">
        <f t="shared" si="2"/>
        <v>0</v>
      </c>
    </row>
    <row r="35" spans="1:13" s="42" customFormat="1" x14ac:dyDescent="0.3">
      <c r="A35" s="35"/>
      <c r="B35" s="35" t="e">
        <f>#REF!</f>
        <v>#REF!</v>
      </c>
      <c r="C35" s="35" t="e">
        <f>#REF!</f>
        <v>#REF!</v>
      </c>
      <c r="D35" s="174" t="e">
        <f>#REF!</f>
        <v>#REF!</v>
      </c>
      <c r="E35" s="35">
        <v>300</v>
      </c>
      <c r="F35" s="38" t="e">
        <f>#REF!</f>
        <v>#REF!</v>
      </c>
      <c r="G35" s="256" t="e">
        <f t="shared" ref="G35:G40" si="3">E35*F35</f>
        <v>#REF!</v>
      </c>
      <c r="H35" s="197"/>
      <c r="I35" s="35"/>
      <c r="J35" s="35">
        <v>200</v>
      </c>
      <c r="K35" s="269">
        <f t="shared" si="0"/>
        <v>200</v>
      </c>
      <c r="L35" s="262" t="e">
        <f t="shared" si="2"/>
        <v>#REF!</v>
      </c>
    </row>
    <row r="36" spans="1:13" s="42" customFormat="1" x14ac:dyDescent="0.3">
      <c r="A36" s="35"/>
      <c r="B36" s="35" t="e">
        <f>#REF!</f>
        <v>#REF!</v>
      </c>
      <c r="C36" s="35" t="e">
        <f>#REF!</f>
        <v>#REF!</v>
      </c>
      <c r="D36" s="174" t="e">
        <f>#REF!</f>
        <v>#REF!</v>
      </c>
      <c r="E36" s="35">
        <v>50</v>
      </c>
      <c r="F36" s="38" t="e">
        <f>#REF!</f>
        <v>#REF!</v>
      </c>
      <c r="G36" s="256" t="e">
        <f t="shared" si="3"/>
        <v>#REF!</v>
      </c>
      <c r="H36" s="197"/>
      <c r="I36" s="35"/>
      <c r="J36" s="35">
        <v>50</v>
      </c>
      <c r="K36" s="269">
        <f t="shared" si="0"/>
        <v>50</v>
      </c>
      <c r="L36" s="262" t="e">
        <f t="shared" si="2"/>
        <v>#REF!</v>
      </c>
    </row>
    <row r="37" spans="1:13" s="42" customFormat="1" x14ac:dyDescent="0.3">
      <c r="A37" s="35"/>
      <c r="B37" s="35" t="e">
        <f>#REF!</f>
        <v>#REF!</v>
      </c>
      <c r="C37" s="35" t="e">
        <f>#REF!</f>
        <v>#REF!</v>
      </c>
      <c r="D37" s="174" t="e">
        <f>#REF!</f>
        <v>#REF!</v>
      </c>
      <c r="E37" s="35">
        <v>600</v>
      </c>
      <c r="F37" s="38" t="e">
        <f>#REF!</f>
        <v>#REF!</v>
      </c>
      <c r="G37" s="256" t="e">
        <f t="shared" si="3"/>
        <v>#REF!</v>
      </c>
      <c r="H37" s="197"/>
      <c r="I37" s="35"/>
      <c r="J37" s="35">
        <v>600</v>
      </c>
      <c r="K37" s="269">
        <f t="shared" si="0"/>
        <v>600</v>
      </c>
      <c r="L37" s="262" t="e">
        <f t="shared" si="2"/>
        <v>#REF!</v>
      </c>
    </row>
    <row r="38" spans="1:13" s="42" customFormat="1" x14ac:dyDescent="0.3">
      <c r="A38" s="35"/>
      <c r="B38" s="35">
        <v>250</v>
      </c>
      <c r="C38" s="35" t="s">
        <v>178</v>
      </c>
      <c r="D38" s="174">
        <v>5</v>
      </c>
      <c r="E38" s="35">
        <v>25</v>
      </c>
      <c r="F38" s="38">
        <v>8296</v>
      </c>
      <c r="G38" s="256">
        <f t="shared" si="3"/>
        <v>207400</v>
      </c>
      <c r="H38" s="197">
        <v>10</v>
      </c>
      <c r="I38" s="35"/>
      <c r="J38" s="35">
        <v>8</v>
      </c>
      <c r="K38" s="269">
        <f t="shared" si="0"/>
        <v>18</v>
      </c>
      <c r="L38" s="262">
        <f t="shared" si="2"/>
        <v>149328</v>
      </c>
    </row>
    <row r="39" spans="1:13" s="42" customFormat="1" x14ac:dyDescent="0.3">
      <c r="A39" s="35"/>
      <c r="B39" s="35" t="e">
        <f>#REF!</f>
        <v>#REF!</v>
      </c>
      <c r="C39" s="35" t="e">
        <f>#REF!</f>
        <v>#REF!</v>
      </c>
      <c r="D39" s="174" t="e">
        <f>#REF!</f>
        <v>#REF!</v>
      </c>
      <c r="E39" s="35">
        <v>25</v>
      </c>
      <c r="F39" s="38" t="e">
        <f>#REF!</f>
        <v>#REF!</v>
      </c>
      <c r="G39" s="256" t="e">
        <f t="shared" si="3"/>
        <v>#REF!</v>
      </c>
      <c r="H39" s="197"/>
      <c r="I39" s="35"/>
      <c r="J39" s="35">
        <v>25</v>
      </c>
      <c r="K39" s="269">
        <f t="shared" si="0"/>
        <v>25</v>
      </c>
      <c r="L39" s="262" t="e">
        <f t="shared" si="2"/>
        <v>#REF!</v>
      </c>
    </row>
    <row r="40" spans="1:13" s="42" customFormat="1" x14ac:dyDescent="0.3">
      <c r="A40" s="35"/>
      <c r="B40" s="35" t="e">
        <f>#REF!</f>
        <v>#REF!</v>
      </c>
      <c r="C40" s="35" t="e">
        <f>#REF!</f>
        <v>#REF!</v>
      </c>
      <c r="D40" s="174" t="e">
        <f>#REF!</f>
        <v>#REF!</v>
      </c>
      <c r="E40" s="35">
        <v>10</v>
      </c>
      <c r="F40" s="38" t="e">
        <f>#REF!</f>
        <v>#REF!</v>
      </c>
      <c r="G40" s="256" t="e">
        <f t="shared" si="3"/>
        <v>#REF!</v>
      </c>
      <c r="H40" s="197"/>
      <c r="I40" s="35"/>
      <c r="J40" s="35">
        <v>10</v>
      </c>
      <c r="K40" s="269">
        <f t="shared" si="0"/>
        <v>10</v>
      </c>
      <c r="L40" s="262" t="e">
        <f t="shared" si="2"/>
        <v>#REF!</v>
      </c>
      <c r="M40" s="366" t="e">
        <f>SUM(L35:L40)</f>
        <v>#REF!</v>
      </c>
    </row>
    <row r="41" spans="1:13" s="42" customFormat="1" x14ac:dyDescent="0.3">
      <c r="A41" s="35"/>
      <c r="B41" s="35"/>
      <c r="C41" s="35"/>
      <c r="D41" s="174"/>
      <c r="E41" s="35"/>
      <c r="F41" s="38"/>
      <c r="G41" s="256"/>
      <c r="H41" s="197"/>
      <c r="I41" s="35"/>
      <c r="J41" s="35"/>
      <c r="K41" s="269">
        <f t="shared" si="0"/>
        <v>0</v>
      </c>
      <c r="L41" s="262">
        <f t="shared" si="2"/>
        <v>0</v>
      </c>
    </row>
    <row r="42" spans="1:13" s="42" customFormat="1" ht="23.25" x14ac:dyDescent="0.35">
      <c r="A42" s="35">
        <v>3</v>
      </c>
      <c r="B42" s="35"/>
      <c r="C42" s="77" t="s">
        <v>885</v>
      </c>
      <c r="D42" s="184"/>
      <c r="E42" s="77"/>
      <c r="F42" s="79"/>
      <c r="G42" s="257"/>
      <c r="H42" s="197"/>
      <c r="I42" s="35"/>
      <c r="J42" s="35"/>
      <c r="K42" s="269">
        <f t="shared" si="0"/>
        <v>0</v>
      </c>
      <c r="L42" s="262">
        <f t="shared" si="2"/>
        <v>0</v>
      </c>
    </row>
    <row r="43" spans="1:13" s="42" customFormat="1" x14ac:dyDescent="0.3">
      <c r="A43" s="35"/>
      <c r="B43" s="35" t="e">
        <f>#REF!</f>
        <v>#REF!</v>
      </c>
      <c r="C43" s="35" t="e">
        <f>#REF!</f>
        <v>#REF!</v>
      </c>
      <c r="D43" s="174" t="e">
        <f>#REF!</f>
        <v>#REF!</v>
      </c>
      <c r="E43" s="35">
        <v>10</v>
      </c>
      <c r="F43" s="38" t="e">
        <f>#REF!</f>
        <v>#REF!</v>
      </c>
      <c r="G43" s="256" t="e">
        <f>E43*F43</f>
        <v>#REF!</v>
      </c>
      <c r="H43" s="197"/>
      <c r="I43" s="35"/>
      <c r="J43" s="35">
        <v>10</v>
      </c>
      <c r="K43" s="269">
        <f t="shared" si="0"/>
        <v>10</v>
      </c>
      <c r="L43" s="262" t="e">
        <f t="shared" si="2"/>
        <v>#REF!</v>
      </c>
    </row>
    <row r="44" spans="1:13" s="42" customFormat="1" x14ac:dyDescent="0.3">
      <c r="A44" s="35"/>
      <c r="B44" s="35" t="e">
        <f>#REF!</f>
        <v>#REF!</v>
      </c>
      <c r="C44" s="35" t="e">
        <f>#REF!</f>
        <v>#REF!</v>
      </c>
      <c r="D44" s="174" t="e">
        <f>#REF!</f>
        <v>#REF!</v>
      </c>
      <c r="E44" s="35">
        <v>500</v>
      </c>
      <c r="F44" s="38" t="e">
        <f>#REF!</f>
        <v>#REF!</v>
      </c>
      <c r="G44" s="256" t="e">
        <f>E44*F44</f>
        <v>#REF!</v>
      </c>
      <c r="H44" s="197"/>
      <c r="I44" s="35"/>
      <c r="J44" s="35">
        <v>500</v>
      </c>
      <c r="K44" s="269">
        <f t="shared" si="0"/>
        <v>500</v>
      </c>
      <c r="L44" s="262" t="e">
        <f t="shared" si="2"/>
        <v>#REF!</v>
      </c>
    </row>
    <row r="45" spans="1:13" s="42" customFormat="1" x14ac:dyDescent="0.3">
      <c r="A45" s="35"/>
      <c r="B45" s="35" t="e">
        <f>#REF!</f>
        <v>#REF!</v>
      </c>
      <c r="C45" s="35" t="e">
        <f>#REF!</f>
        <v>#REF!</v>
      </c>
      <c r="D45" s="174" t="e">
        <f>#REF!</f>
        <v>#REF!</v>
      </c>
      <c r="E45" s="35">
        <v>10</v>
      </c>
      <c r="F45" s="38" t="e">
        <f>#REF!</f>
        <v>#REF!</v>
      </c>
      <c r="G45" s="256" t="e">
        <f>E45*F45</f>
        <v>#REF!</v>
      </c>
      <c r="H45" s="197"/>
      <c r="I45" s="35"/>
      <c r="J45" s="35">
        <v>10</v>
      </c>
      <c r="K45" s="269">
        <f t="shared" si="0"/>
        <v>10</v>
      </c>
      <c r="L45" s="262" t="e">
        <f t="shared" si="2"/>
        <v>#REF!</v>
      </c>
      <c r="M45" s="366" t="e">
        <f>SUM(L43:L45)</f>
        <v>#REF!</v>
      </c>
    </row>
    <row r="46" spans="1:13" s="42" customFormat="1" x14ac:dyDescent="0.3">
      <c r="A46" s="35"/>
      <c r="B46" s="35"/>
      <c r="C46" s="35"/>
      <c r="D46" s="174"/>
      <c r="E46" s="35"/>
      <c r="F46" s="38"/>
      <c r="G46" s="256"/>
      <c r="H46" s="197"/>
      <c r="I46" s="35"/>
      <c r="J46" s="35"/>
      <c r="K46" s="269">
        <f t="shared" si="0"/>
        <v>0</v>
      </c>
      <c r="L46" s="262">
        <f t="shared" si="2"/>
        <v>0</v>
      </c>
    </row>
    <row r="47" spans="1:13" s="42" customFormat="1" ht="23.25" x14ac:dyDescent="0.35">
      <c r="A47" s="35">
        <v>4</v>
      </c>
      <c r="B47" s="35"/>
      <c r="C47" s="77" t="s">
        <v>878</v>
      </c>
      <c r="D47" s="184"/>
      <c r="E47" s="77"/>
      <c r="F47" s="79"/>
      <c r="G47" s="257"/>
      <c r="H47" s="197"/>
      <c r="I47" s="35"/>
      <c r="J47" s="35"/>
      <c r="K47" s="269">
        <f t="shared" si="0"/>
        <v>0</v>
      </c>
      <c r="L47" s="262">
        <f t="shared" si="2"/>
        <v>0</v>
      </c>
    </row>
    <row r="48" spans="1:13" s="42" customFormat="1" x14ac:dyDescent="0.3">
      <c r="A48" s="35"/>
      <c r="B48" s="35" t="e">
        <f>#REF!</f>
        <v>#REF!</v>
      </c>
      <c r="C48" s="35" t="e">
        <f>#REF!</f>
        <v>#REF!</v>
      </c>
      <c r="D48" s="174" t="e">
        <f>#REF!</f>
        <v>#REF!</v>
      </c>
      <c r="E48" s="35">
        <v>120</v>
      </c>
      <c r="F48" s="38" t="e">
        <f>#REF!</f>
        <v>#REF!</v>
      </c>
      <c r="G48" s="256" t="e">
        <f>E48*F48</f>
        <v>#REF!</v>
      </c>
      <c r="H48" s="197">
        <v>120</v>
      </c>
      <c r="I48" s="35"/>
      <c r="J48" s="35"/>
      <c r="K48" s="269">
        <f t="shared" si="0"/>
        <v>120</v>
      </c>
      <c r="L48" s="262" t="e">
        <f t="shared" si="2"/>
        <v>#REF!</v>
      </c>
    </row>
    <row r="49" spans="1:13" s="42" customFormat="1" x14ac:dyDescent="0.3">
      <c r="A49" s="35"/>
      <c r="B49" s="35" t="e">
        <f>#REF!</f>
        <v>#REF!</v>
      </c>
      <c r="C49" s="35" t="e">
        <f>#REF!</f>
        <v>#REF!</v>
      </c>
      <c r="D49" s="174" t="e">
        <f>#REF!</f>
        <v>#REF!</v>
      </c>
      <c r="E49" s="35">
        <v>18</v>
      </c>
      <c r="F49" s="38" t="e">
        <f>#REF!</f>
        <v>#REF!</v>
      </c>
      <c r="G49" s="256" t="e">
        <f>E49*F49</f>
        <v>#REF!</v>
      </c>
      <c r="H49" s="197">
        <v>18</v>
      </c>
      <c r="I49" s="35"/>
      <c r="J49" s="35"/>
      <c r="K49" s="269">
        <f t="shared" si="0"/>
        <v>18</v>
      </c>
      <c r="L49" s="262" t="e">
        <f t="shared" si="2"/>
        <v>#REF!</v>
      </c>
    </row>
    <row r="50" spans="1:13" s="42" customFormat="1" x14ac:dyDescent="0.3">
      <c r="A50" s="35"/>
      <c r="B50" s="35" t="e">
        <f>#REF!</f>
        <v>#REF!</v>
      </c>
      <c r="C50" s="35" t="e">
        <f>#REF!</f>
        <v>#REF!</v>
      </c>
      <c r="D50" s="174" t="e">
        <f>#REF!</f>
        <v>#REF!</v>
      </c>
      <c r="E50" s="35">
        <v>80</v>
      </c>
      <c r="F50" s="38" t="e">
        <f>#REF!</f>
        <v>#REF!</v>
      </c>
      <c r="G50" s="256" t="e">
        <f>E50*F50</f>
        <v>#REF!</v>
      </c>
      <c r="H50" s="197">
        <v>80</v>
      </c>
      <c r="I50" s="35"/>
      <c r="J50" s="35"/>
      <c r="K50" s="269">
        <f t="shared" si="0"/>
        <v>80</v>
      </c>
      <c r="L50" s="262" t="e">
        <f t="shared" si="2"/>
        <v>#REF!</v>
      </c>
    </row>
    <row r="51" spans="1:13" s="42" customFormat="1" x14ac:dyDescent="0.3">
      <c r="A51" s="35"/>
      <c r="B51" s="35" t="e">
        <f>#REF!</f>
        <v>#REF!</v>
      </c>
      <c r="C51" s="35" t="e">
        <f>#REF!</f>
        <v>#REF!</v>
      </c>
      <c r="D51" s="174" t="e">
        <f>#REF!</f>
        <v>#REF!</v>
      </c>
      <c r="E51" s="35">
        <v>42</v>
      </c>
      <c r="F51" s="38" t="e">
        <f>#REF!</f>
        <v>#REF!</v>
      </c>
      <c r="G51" s="256" t="e">
        <f>E51*F51</f>
        <v>#REF!</v>
      </c>
      <c r="H51" s="197">
        <v>42</v>
      </c>
      <c r="I51" s="35"/>
      <c r="J51" s="35"/>
      <c r="K51" s="269">
        <f t="shared" si="0"/>
        <v>42</v>
      </c>
      <c r="L51" s="262" t="e">
        <f t="shared" si="2"/>
        <v>#REF!</v>
      </c>
    </row>
    <row r="52" spans="1:13" s="42" customFormat="1" x14ac:dyDescent="0.3">
      <c r="A52" s="35"/>
      <c r="B52" s="35" t="e">
        <f>#REF!</f>
        <v>#REF!</v>
      </c>
      <c r="C52" s="35" t="e">
        <f>#REF!</f>
        <v>#REF!</v>
      </c>
      <c r="D52" s="174" t="e">
        <f>#REF!</f>
        <v>#REF!</v>
      </c>
      <c r="E52" s="35">
        <v>28</v>
      </c>
      <c r="F52" s="38" t="e">
        <f>#REF!</f>
        <v>#REF!</v>
      </c>
      <c r="G52" s="256" t="e">
        <f>E52*F52</f>
        <v>#REF!</v>
      </c>
      <c r="H52" s="197">
        <v>28</v>
      </c>
      <c r="I52" s="35"/>
      <c r="J52" s="35"/>
      <c r="K52" s="269">
        <f t="shared" si="0"/>
        <v>28</v>
      </c>
      <c r="L52" s="262" t="e">
        <f t="shared" si="2"/>
        <v>#REF!</v>
      </c>
      <c r="M52" s="366" t="e">
        <f>SUM(L48:L52)</f>
        <v>#REF!</v>
      </c>
    </row>
    <row r="53" spans="1:13" s="42" customFormat="1" x14ac:dyDescent="0.3">
      <c r="A53" s="35"/>
      <c r="B53" s="35"/>
      <c r="C53" s="35"/>
      <c r="D53" s="174"/>
      <c r="E53" s="35"/>
      <c r="F53" s="38"/>
      <c r="G53" s="256"/>
      <c r="H53" s="197"/>
      <c r="I53" s="35"/>
      <c r="J53" s="35"/>
      <c r="K53" s="269">
        <f t="shared" si="0"/>
        <v>0</v>
      </c>
      <c r="L53" s="262">
        <f t="shared" si="2"/>
        <v>0</v>
      </c>
    </row>
    <row r="54" spans="1:13" s="42" customFormat="1" ht="23.25" x14ac:dyDescent="0.35">
      <c r="A54" s="35">
        <v>5</v>
      </c>
      <c r="B54" s="77"/>
      <c r="C54" s="77" t="s">
        <v>877</v>
      </c>
      <c r="D54" s="184"/>
      <c r="E54" s="77"/>
      <c r="F54" s="79"/>
      <c r="G54" s="257"/>
      <c r="H54" s="197"/>
      <c r="I54" s="35"/>
      <c r="J54" s="35"/>
      <c r="K54" s="269">
        <f t="shared" si="0"/>
        <v>0</v>
      </c>
      <c r="L54" s="262">
        <f t="shared" si="2"/>
        <v>0</v>
      </c>
    </row>
    <row r="55" spans="1:13" s="42" customFormat="1" x14ac:dyDescent="0.3">
      <c r="A55" s="35"/>
      <c r="B55" s="35" t="e">
        <f>#REF!</f>
        <v>#REF!</v>
      </c>
      <c r="C55" s="35" t="e">
        <f>#REF!</f>
        <v>#REF!</v>
      </c>
      <c r="D55" s="174" t="e">
        <f>#REF!</f>
        <v>#REF!</v>
      </c>
      <c r="E55" s="35">
        <v>320</v>
      </c>
      <c r="F55" s="38" t="e">
        <f>#REF!</f>
        <v>#REF!</v>
      </c>
      <c r="G55" s="256" t="e">
        <f t="shared" ref="G55:G61" si="4">E55*F55</f>
        <v>#REF!</v>
      </c>
      <c r="H55" s="197">
        <v>320</v>
      </c>
      <c r="I55" s="35"/>
      <c r="J55" s="35"/>
      <c r="K55" s="269">
        <f t="shared" si="0"/>
        <v>320</v>
      </c>
      <c r="L55" s="262" t="e">
        <f t="shared" si="2"/>
        <v>#REF!</v>
      </c>
    </row>
    <row r="56" spans="1:13" s="42" customFormat="1" x14ac:dyDescent="0.3">
      <c r="A56" s="35"/>
      <c r="B56" s="35" t="e">
        <f>#REF!</f>
        <v>#REF!</v>
      </c>
      <c r="C56" s="35" t="e">
        <f>#REF!</f>
        <v>#REF!</v>
      </c>
      <c r="D56" s="174" t="e">
        <f>#REF!</f>
        <v>#REF!</v>
      </c>
      <c r="E56" s="35">
        <v>250</v>
      </c>
      <c r="F56" s="38" t="e">
        <f>#REF!</f>
        <v>#REF!</v>
      </c>
      <c r="G56" s="256" t="e">
        <f t="shared" si="4"/>
        <v>#REF!</v>
      </c>
      <c r="H56" s="197">
        <v>250</v>
      </c>
      <c r="I56" s="35"/>
      <c r="J56" s="35"/>
      <c r="K56" s="269">
        <f t="shared" si="0"/>
        <v>250</v>
      </c>
      <c r="L56" s="262" t="e">
        <f t="shared" si="2"/>
        <v>#REF!</v>
      </c>
    </row>
    <row r="57" spans="1:13" s="42" customFormat="1" x14ac:dyDescent="0.3">
      <c r="A57" s="35"/>
      <c r="B57" s="35" t="e">
        <f>#REF!</f>
        <v>#REF!</v>
      </c>
      <c r="C57" s="35" t="e">
        <f>#REF!</f>
        <v>#REF!</v>
      </c>
      <c r="D57" s="174" t="e">
        <f>#REF!</f>
        <v>#REF!</v>
      </c>
      <c r="E57" s="35">
        <v>200</v>
      </c>
      <c r="F57" s="38" t="e">
        <f>#REF!</f>
        <v>#REF!</v>
      </c>
      <c r="G57" s="256" t="e">
        <f t="shared" si="4"/>
        <v>#REF!</v>
      </c>
      <c r="H57" s="197">
        <v>10</v>
      </c>
      <c r="I57" s="35"/>
      <c r="J57" s="35"/>
      <c r="K57" s="269">
        <f t="shared" si="0"/>
        <v>10</v>
      </c>
      <c r="L57" s="262" t="e">
        <f t="shared" si="2"/>
        <v>#REF!</v>
      </c>
    </row>
    <row r="58" spans="1:13" s="42" customFormat="1" x14ac:dyDescent="0.3">
      <c r="A58" s="35"/>
      <c r="B58" s="35" t="e">
        <f>#REF!</f>
        <v>#REF!</v>
      </c>
      <c r="C58" s="35" t="e">
        <f>#REF!</f>
        <v>#REF!</v>
      </c>
      <c r="D58" s="174" t="e">
        <f>#REF!</f>
        <v>#REF!</v>
      </c>
      <c r="E58" s="35">
        <v>75</v>
      </c>
      <c r="F58" s="38" t="e">
        <f>#REF!</f>
        <v>#REF!</v>
      </c>
      <c r="G58" s="256" t="e">
        <f t="shared" si="4"/>
        <v>#REF!</v>
      </c>
      <c r="H58" s="197">
        <v>75</v>
      </c>
      <c r="I58" s="35"/>
      <c r="J58" s="35"/>
      <c r="K58" s="269">
        <f t="shared" si="0"/>
        <v>75</v>
      </c>
      <c r="L58" s="262" t="e">
        <f t="shared" si="2"/>
        <v>#REF!</v>
      </c>
    </row>
    <row r="59" spans="1:13" s="42" customFormat="1" x14ac:dyDescent="0.3">
      <c r="A59" s="35"/>
      <c r="B59" s="35" t="e">
        <f>#REF!</f>
        <v>#REF!</v>
      </c>
      <c r="C59" s="35" t="e">
        <f>#REF!</f>
        <v>#REF!</v>
      </c>
      <c r="D59" s="174" t="e">
        <f>#REF!</f>
        <v>#REF!</v>
      </c>
      <c r="E59" s="35">
        <v>46</v>
      </c>
      <c r="F59" s="38" t="e">
        <f>#REF!</f>
        <v>#REF!</v>
      </c>
      <c r="G59" s="256" t="e">
        <f t="shared" si="4"/>
        <v>#REF!</v>
      </c>
      <c r="H59" s="197">
        <v>46</v>
      </c>
      <c r="I59" s="35"/>
      <c r="J59" s="35"/>
      <c r="K59" s="269">
        <f t="shared" si="0"/>
        <v>46</v>
      </c>
      <c r="L59" s="262" t="e">
        <f t="shared" si="2"/>
        <v>#REF!</v>
      </c>
    </row>
    <row r="60" spans="1:13" s="42" customFormat="1" x14ac:dyDescent="0.3">
      <c r="A60" s="35"/>
      <c r="B60" s="35" t="e">
        <f>#REF!</f>
        <v>#REF!</v>
      </c>
      <c r="C60" s="35" t="e">
        <f>#REF!</f>
        <v>#REF!</v>
      </c>
      <c r="D60" s="174" t="e">
        <f>#REF!</f>
        <v>#REF!</v>
      </c>
      <c r="E60" s="35">
        <v>100</v>
      </c>
      <c r="F60" s="38" t="e">
        <f>#REF!</f>
        <v>#REF!</v>
      </c>
      <c r="G60" s="256" t="e">
        <f t="shared" si="4"/>
        <v>#REF!</v>
      </c>
      <c r="H60" s="197">
        <v>100</v>
      </c>
      <c r="I60" s="35"/>
      <c r="J60" s="35"/>
      <c r="K60" s="269">
        <f t="shared" si="0"/>
        <v>100</v>
      </c>
      <c r="L60" s="262" t="e">
        <f t="shared" si="2"/>
        <v>#REF!</v>
      </c>
    </row>
    <row r="61" spans="1:13" s="42" customFormat="1" x14ac:dyDescent="0.3">
      <c r="A61" s="35"/>
      <c r="B61" s="35" t="e">
        <f>#REF!</f>
        <v>#REF!</v>
      </c>
      <c r="C61" s="35" t="e">
        <f>#REF!</f>
        <v>#REF!</v>
      </c>
      <c r="D61" s="174" t="e">
        <f>#REF!</f>
        <v>#REF!</v>
      </c>
      <c r="E61" s="35">
        <v>200</v>
      </c>
      <c r="F61" s="38" t="e">
        <f>#REF!</f>
        <v>#REF!</v>
      </c>
      <c r="G61" s="256" t="e">
        <f t="shared" si="4"/>
        <v>#REF!</v>
      </c>
      <c r="H61" s="197">
        <v>200</v>
      </c>
      <c r="I61" s="35"/>
      <c r="J61" s="35"/>
      <c r="K61" s="269">
        <f t="shared" ref="K61:K121" si="5">H61+I61+J61</f>
        <v>200</v>
      </c>
      <c r="L61" s="262" t="e">
        <f t="shared" si="2"/>
        <v>#REF!</v>
      </c>
      <c r="M61" s="366" t="e">
        <f>SUM(L55:L61)</f>
        <v>#REF!</v>
      </c>
    </row>
    <row r="62" spans="1:13" s="42" customFormat="1" x14ac:dyDescent="0.3">
      <c r="A62" s="35"/>
      <c r="B62" s="35"/>
      <c r="C62" s="35"/>
      <c r="D62" s="174"/>
      <c r="E62" s="35"/>
      <c r="F62" s="38"/>
      <c r="G62" s="256"/>
      <c r="H62" s="197"/>
      <c r="I62" s="35"/>
      <c r="J62" s="35"/>
      <c r="K62" s="269">
        <f t="shared" si="5"/>
        <v>0</v>
      </c>
      <c r="L62" s="262">
        <f t="shared" si="2"/>
        <v>0</v>
      </c>
    </row>
    <row r="63" spans="1:13" ht="23.25" x14ac:dyDescent="0.35">
      <c r="A63" s="35">
        <v>6</v>
      </c>
      <c r="B63" s="77"/>
      <c r="C63" s="77" t="s">
        <v>664</v>
      </c>
      <c r="D63" s="192"/>
      <c r="E63" s="77"/>
      <c r="F63" s="79"/>
      <c r="G63" s="258"/>
      <c r="H63" s="199"/>
      <c r="I63" s="188"/>
      <c r="J63" s="188"/>
      <c r="K63" s="269">
        <f t="shared" si="5"/>
        <v>0</v>
      </c>
      <c r="L63" s="262">
        <f t="shared" ref="L63:L123" si="6">K63*F63</f>
        <v>0</v>
      </c>
    </row>
    <row r="64" spans="1:13" x14ac:dyDescent="0.3">
      <c r="A64" s="35"/>
      <c r="B64" s="35" t="e">
        <f>#REF!</f>
        <v>#REF!</v>
      </c>
      <c r="C64" s="35" t="e">
        <f>#REF!</f>
        <v>#REF!</v>
      </c>
      <c r="D64" s="174" t="e">
        <f>#REF!</f>
        <v>#REF!</v>
      </c>
      <c r="E64" s="35">
        <v>6</v>
      </c>
      <c r="F64" s="38" t="e">
        <f>#REF!</f>
        <v>#REF!</v>
      </c>
      <c r="G64" s="256" t="e">
        <f t="shared" ref="G64:G69" si="7">E64*F64</f>
        <v>#REF!</v>
      </c>
      <c r="H64" s="199">
        <v>6</v>
      </c>
      <c r="I64" s="188"/>
      <c r="J64" s="188"/>
      <c r="K64" s="269">
        <f t="shared" si="5"/>
        <v>6</v>
      </c>
      <c r="L64" s="262" t="e">
        <f t="shared" si="6"/>
        <v>#REF!</v>
      </c>
    </row>
    <row r="65" spans="1:13" x14ac:dyDescent="0.3">
      <c r="A65" s="35"/>
      <c r="B65" s="35" t="e">
        <f>#REF!</f>
        <v>#REF!</v>
      </c>
      <c r="C65" s="35" t="e">
        <f>#REF!</f>
        <v>#REF!</v>
      </c>
      <c r="D65" s="174" t="e">
        <f>#REF!</f>
        <v>#REF!</v>
      </c>
      <c r="E65" s="35">
        <v>8</v>
      </c>
      <c r="F65" s="38" t="e">
        <f>#REF!</f>
        <v>#REF!</v>
      </c>
      <c r="G65" s="256" t="e">
        <f t="shared" si="7"/>
        <v>#REF!</v>
      </c>
      <c r="H65" s="199">
        <v>8</v>
      </c>
      <c r="I65" s="188"/>
      <c r="J65" s="188"/>
      <c r="K65" s="269">
        <f t="shared" si="5"/>
        <v>8</v>
      </c>
      <c r="L65" s="262" t="e">
        <f t="shared" si="6"/>
        <v>#REF!</v>
      </c>
    </row>
    <row r="66" spans="1:13" x14ac:dyDescent="0.3">
      <c r="A66" s="35"/>
      <c r="B66" s="35" t="e">
        <f>#REF!</f>
        <v>#REF!</v>
      </c>
      <c r="C66" s="35" t="e">
        <f>#REF!</f>
        <v>#REF!</v>
      </c>
      <c r="D66" s="174" t="e">
        <f>#REF!</f>
        <v>#REF!</v>
      </c>
      <c r="E66" s="35">
        <v>10</v>
      </c>
      <c r="F66" s="38" t="e">
        <f>#REF!</f>
        <v>#REF!</v>
      </c>
      <c r="G66" s="256" t="e">
        <f t="shared" si="7"/>
        <v>#REF!</v>
      </c>
      <c r="H66" s="199">
        <v>10</v>
      </c>
      <c r="I66" s="188"/>
      <c r="J66" s="188"/>
      <c r="K66" s="269">
        <f t="shared" si="5"/>
        <v>10</v>
      </c>
      <c r="L66" s="262" t="e">
        <f t="shared" si="6"/>
        <v>#REF!</v>
      </c>
    </row>
    <row r="67" spans="1:13" x14ac:dyDescent="0.3">
      <c r="A67" s="35"/>
      <c r="B67" s="35" t="e">
        <f>#REF!</f>
        <v>#REF!</v>
      </c>
      <c r="C67" s="35" t="e">
        <f>#REF!</f>
        <v>#REF!</v>
      </c>
      <c r="D67" s="174" t="e">
        <f>#REF!</f>
        <v>#REF!</v>
      </c>
      <c r="E67" s="35">
        <v>11</v>
      </c>
      <c r="F67" s="38" t="e">
        <f>#REF!</f>
        <v>#REF!</v>
      </c>
      <c r="G67" s="256" t="e">
        <f t="shared" si="7"/>
        <v>#REF!</v>
      </c>
      <c r="H67" s="199">
        <v>11</v>
      </c>
      <c r="I67" s="188"/>
      <c r="J67" s="188"/>
      <c r="K67" s="269">
        <f t="shared" si="5"/>
        <v>11</v>
      </c>
      <c r="L67" s="262" t="e">
        <f t="shared" si="6"/>
        <v>#REF!</v>
      </c>
    </row>
    <row r="68" spans="1:13" x14ac:dyDescent="0.3">
      <c r="A68" s="35"/>
      <c r="B68" s="35" t="e">
        <f>#REF!</f>
        <v>#REF!</v>
      </c>
      <c r="C68" s="35" t="e">
        <f>#REF!</f>
        <v>#REF!</v>
      </c>
      <c r="D68" s="174" t="e">
        <f>#REF!</f>
        <v>#REF!</v>
      </c>
      <c r="E68" s="35">
        <v>2</v>
      </c>
      <c r="F68" s="38" t="e">
        <f>#REF!</f>
        <v>#REF!</v>
      </c>
      <c r="G68" s="256" t="e">
        <f t="shared" si="7"/>
        <v>#REF!</v>
      </c>
      <c r="H68" s="199">
        <v>2</v>
      </c>
      <c r="I68" s="188"/>
      <c r="J68" s="188"/>
      <c r="K68" s="269">
        <f t="shared" si="5"/>
        <v>2</v>
      </c>
      <c r="L68" s="262" t="e">
        <f t="shared" si="6"/>
        <v>#REF!</v>
      </c>
    </row>
    <row r="69" spans="1:13" x14ac:dyDescent="0.3">
      <c r="A69" s="35"/>
      <c r="B69" s="35" t="e">
        <f>#REF!</f>
        <v>#REF!</v>
      </c>
      <c r="C69" s="35" t="e">
        <f>#REF!</f>
        <v>#REF!</v>
      </c>
      <c r="D69" s="174" t="e">
        <f>#REF!</f>
        <v>#REF!</v>
      </c>
      <c r="E69" s="35">
        <v>2</v>
      </c>
      <c r="F69" s="38" t="e">
        <f>#REF!</f>
        <v>#REF!</v>
      </c>
      <c r="G69" s="256" t="e">
        <f t="shared" si="7"/>
        <v>#REF!</v>
      </c>
      <c r="H69" s="199">
        <v>2</v>
      </c>
      <c r="I69" s="188"/>
      <c r="J69" s="188"/>
      <c r="K69" s="269">
        <f t="shared" si="5"/>
        <v>2</v>
      </c>
      <c r="L69" s="262" t="e">
        <f t="shared" si="6"/>
        <v>#REF!</v>
      </c>
      <c r="M69" s="366" t="e">
        <f>SUM(L64:L69)</f>
        <v>#REF!</v>
      </c>
    </row>
    <row r="70" spans="1:13" x14ac:dyDescent="0.3">
      <c r="A70" s="35"/>
      <c r="B70" s="35"/>
      <c r="C70" s="35"/>
      <c r="D70" s="174"/>
      <c r="E70" s="35"/>
      <c r="F70" s="38"/>
      <c r="G70" s="256"/>
      <c r="H70" s="199"/>
      <c r="I70" s="188"/>
      <c r="J70" s="188"/>
      <c r="K70" s="269">
        <f t="shared" si="5"/>
        <v>0</v>
      </c>
      <c r="L70" s="262">
        <f t="shared" si="6"/>
        <v>0</v>
      </c>
    </row>
    <row r="71" spans="1:13" s="42" customFormat="1" ht="23.25" x14ac:dyDescent="0.35">
      <c r="A71" s="35">
        <v>7</v>
      </c>
      <c r="B71" s="77"/>
      <c r="C71" s="77" t="s">
        <v>886</v>
      </c>
      <c r="D71" s="184"/>
      <c r="E71" s="77"/>
      <c r="F71" s="79"/>
      <c r="G71" s="257"/>
      <c r="H71" s="197"/>
      <c r="I71" s="35"/>
      <c r="J71" s="35"/>
      <c r="K71" s="269">
        <f t="shared" si="5"/>
        <v>0</v>
      </c>
      <c r="L71" s="262">
        <f t="shared" si="6"/>
        <v>0</v>
      </c>
    </row>
    <row r="72" spans="1:13" s="42" customFormat="1" x14ac:dyDescent="0.3">
      <c r="A72" s="35"/>
      <c r="B72" s="35" t="e">
        <f>#REF!</f>
        <v>#REF!</v>
      </c>
      <c r="C72" s="35" t="e">
        <f>#REF!</f>
        <v>#REF!</v>
      </c>
      <c r="D72" s="174" t="e">
        <f>#REF!</f>
        <v>#REF!</v>
      </c>
      <c r="E72" s="35">
        <v>200</v>
      </c>
      <c r="F72" s="38" t="e">
        <f>#REF!</f>
        <v>#REF!</v>
      </c>
      <c r="G72" s="256" t="e">
        <f>E72*F72</f>
        <v>#REF!</v>
      </c>
      <c r="H72" s="197">
        <v>200</v>
      </c>
      <c r="I72" s="35"/>
      <c r="J72" s="35"/>
      <c r="K72" s="269">
        <f t="shared" si="5"/>
        <v>200</v>
      </c>
      <c r="L72" s="262" t="e">
        <f t="shared" si="6"/>
        <v>#REF!</v>
      </c>
    </row>
    <row r="73" spans="1:13" s="42" customFormat="1" x14ac:dyDescent="0.3">
      <c r="A73" s="35"/>
      <c r="B73" s="35" t="e">
        <f>#REF!</f>
        <v>#REF!</v>
      </c>
      <c r="C73" s="35" t="e">
        <f>#REF!</f>
        <v>#REF!</v>
      </c>
      <c r="D73" s="174" t="e">
        <f>#REF!</f>
        <v>#REF!</v>
      </c>
      <c r="E73" s="35">
        <v>11</v>
      </c>
      <c r="F73" s="38" t="e">
        <f>#REF!</f>
        <v>#REF!</v>
      </c>
      <c r="G73" s="256" t="e">
        <f>E73*F73</f>
        <v>#REF!</v>
      </c>
      <c r="H73" s="197">
        <v>11</v>
      </c>
      <c r="I73" s="35"/>
      <c r="J73" s="35"/>
      <c r="K73" s="269">
        <f t="shared" si="5"/>
        <v>11</v>
      </c>
      <c r="L73" s="262" t="e">
        <f t="shared" si="6"/>
        <v>#REF!</v>
      </c>
    </row>
    <row r="74" spans="1:13" s="42" customFormat="1" x14ac:dyDescent="0.3">
      <c r="A74" s="35"/>
      <c r="B74" s="35" t="e">
        <f>#REF!</f>
        <v>#REF!</v>
      </c>
      <c r="C74" s="35" t="e">
        <f>#REF!</f>
        <v>#REF!</v>
      </c>
      <c r="D74" s="174" t="e">
        <f>#REF!</f>
        <v>#REF!</v>
      </c>
      <c r="E74" s="35">
        <v>14</v>
      </c>
      <c r="F74" s="38" t="e">
        <f>#REF!</f>
        <v>#REF!</v>
      </c>
      <c r="G74" s="256" t="e">
        <f>E74*F74</f>
        <v>#REF!</v>
      </c>
      <c r="H74" s="197">
        <v>14</v>
      </c>
      <c r="I74" s="35"/>
      <c r="J74" s="35"/>
      <c r="K74" s="269">
        <f t="shared" si="5"/>
        <v>14</v>
      </c>
      <c r="L74" s="262" t="e">
        <f t="shared" si="6"/>
        <v>#REF!</v>
      </c>
    </row>
    <row r="75" spans="1:13" s="42" customFormat="1" x14ac:dyDescent="0.3">
      <c r="A75" s="35"/>
      <c r="B75" s="35" t="e">
        <f>#REF!</f>
        <v>#REF!</v>
      </c>
      <c r="C75" s="35" t="e">
        <f>#REF!</f>
        <v>#REF!</v>
      </c>
      <c r="D75" s="174" t="e">
        <f>#REF!</f>
        <v>#REF!</v>
      </c>
      <c r="E75" s="35">
        <v>500</v>
      </c>
      <c r="F75" s="38" t="e">
        <f>#REF!</f>
        <v>#REF!</v>
      </c>
      <c r="G75" s="256" t="e">
        <f>E75*F75</f>
        <v>#REF!</v>
      </c>
      <c r="H75" s="197">
        <v>500</v>
      </c>
      <c r="I75" s="35"/>
      <c r="J75" s="35"/>
      <c r="K75" s="269">
        <f t="shared" si="5"/>
        <v>500</v>
      </c>
      <c r="L75" s="262" t="e">
        <f t="shared" si="6"/>
        <v>#REF!</v>
      </c>
    </row>
    <row r="76" spans="1:13" s="42" customFormat="1" x14ac:dyDescent="0.3">
      <c r="A76" s="35"/>
      <c r="B76" s="35" t="e">
        <f>#REF!</f>
        <v>#REF!</v>
      </c>
      <c r="C76" s="35" t="e">
        <f>#REF!</f>
        <v>#REF!</v>
      </c>
      <c r="D76" s="174" t="e">
        <f>#REF!</f>
        <v>#REF!</v>
      </c>
      <c r="E76" s="35">
        <v>13</v>
      </c>
      <c r="F76" s="38" t="e">
        <f>#REF!</f>
        <v>#REF!</v>
      </c>
      <c r="G76" s="256" t="e">
        <f>E76*F76</f>
        <v>#REF!</v>
      </c>
      <c r="H76" s="197">
        <v>13</v>
      </c>
      <c r="I76" s="35"/>
      <c r="J76" s="35"/>
      <c r="K76" s="269">
        <f t="shared" si="5"/>
        <v>13</v>
      </c>
      <c r="L76" s="262" t="e">
        <f t="shared" si="6"/>
        <v>#REF!</v>
      </c>
      <c r="M76" s="366" t="e">
        <f>SUM(L72:L76)</f>
        <v>#REF!</v>
      </c>
    </row>
    <row r="77" spans="1:13" s="42" customFormat="1" x14ac:dyDescent="0.3">
      <c r="A77" s="35"/>
      <c r="B77" s="35"/>
      <c r="C77" s="35"/>
      <c r="D77" s="174"/>
      <c r="E77" s="35"/>
      <c r="F77" s="38"/>
      <c r="G77" s="256"/>
      <c r="H77" s="197"/>
      <c r="I77" s="35"/>
      <c r="J77" s="35"/>
      <c r="K77" s="269">
        <f t="shared" si="5"/>
        <v>0</v>
      </c>
      <c r="L77" s="262">
        <f t="shared" si="6"/>
        <v>0</v>
      </c>
    </row>
    <row r="78" spans="1:13" s="42" customFormat="1" ht="23.25" x14ac:dyDescent="0.35">
      <c r="A78" s="35">
        <v>8</v>
      </c>
      <c r="B78" s="35"/>
      <c r="C78" s="77" t="s">
        <v>887</v>
      </c>
      <c r="D78" s="174"/>
      <c r="E78" s="35"/>
      <c r="F78" s="38"/>
      <c r="G78" s="256"/>
      <c r="H78" s="197"/>
      <c r="I78" s="35"/>
      <c r="J78" s="35"/>
      <c r="K78" s="269">
        <f t="shared" si="5"/>
        <v>0</v>
      </c>
      <c r="L78" s="262">
        <f t="shared" si="6"/>
        <v>0</v>
      </c>
    </row>
    <row r="79" spans="1:13" s="42" customFormat="1" x14ac:dyDescent="0.3">
      <c r="A79" s="35"/>
      <c r="B79" s="35" t="e">
        <f>#REF!</f>
        <v>#REF!</v>
      </c>
      <c r="C79" s="35" t="e">
        <f>#REF!</f>
        <v>#REF!</v>
      </c>
      <c r="D79" s="174" t="e">
        <f>#REF!</f>
        <v>#REF!</v>
      </c>
      <c r="E79" s="35">
        <v>100</v>
      </c>
      <c r="F79" s="38" t="e">
        <f>#REF!</f>
        <v>#REF!</v>
      </c>
      <c r="G79" s="256" t="e">
        <f t="shared" ref="G79:G84" si="8">E79*F79</f>
        <v>#REF!</v>
      </c>
      <c r="H79" s="197">
        <v>100</v>
      </c>
      <c r="I79" s="35"/>
      <c r="J79" s="35"/>
      <c r="K79" s="269">
        <f t="shared" si="5"/>
        <v>100</v>
      </c>
      <c r="L79" s="262" t="e">
        <f t="shared" si="6"/>
        <v>#REF!</v>
      </c>
    </row>
    <row r="80" spans="1:13" s="42" customFormat="1" x14ac:dyDescent="0.3">
      <c r="A80" s="35"/>
      <c r="B80" s="35" t="e">
        <f>#REF!</f>
        <v>#REF!</v>
      </c>
      <c r="C80" s="35" t="e">
        <f>#REF!</f>
        <v>#REF!</v>
      </c>
      <c r="D80" s="174" t="e">
        <f>#REF!</f>
        <v>#REF!</v>
      </c>
      <c r="E80" s="35">
        <v>250</v>
      </c>
      <c r="F80" s="38" t="e">
        <f>#REF!</f>
        <v>#REF!</v>
      </c>
      <c r="G80" s="256" t="e">
        <f t="shared" si="8"/>
        <v>#REF!</v>
      </c>
      <c r="H80" s="197">
        <v>150</v>
      </c>
      <c r="I80" s="35">
        <v>100</v>
      </c>
      <c r="J80" s="35"/>
      <c r="K80" s="269">
        <f t="shared" si="5"/>
        <v>250</v>
      </c>
      <c r="L80" s="262" t="e">
        <f t="shared" si="6"/>
        <v>#REF!</v>
      </c>
    </row>
    <row r="81" spans="1:13" s="42" customFormat="1" x14ac:dyDescent="0.3">
      <c r="A81" s="35"/>
      <c r="B81" s="35" t="e">
        <f>#REF!</f>
        <v>#REF!</v>
      </c>
      <c r="C81" s="35" t="e">
        <f>#REF!</f>
        <v>#REF!</v>
      </c>
      <c r="D81" s="174" t="e">
        <f>#REF!</f>
        <v>#REF!</v>
      </c>
      <c r="E81" s="35">
        <v>20</v>
      </c>
      <c r="F81" s="38" t="e">
        <f>#REF!</f>
        <v>#REF!</v>
      </c>
      <c r="G81" s="256" t="e">
        <f t="shared" si="8"/>
        <v>#REF!</v>
      </c>
      <c r="H81" s="197">
        <v>20</v>
      </c>
      <c r="I81" s="35"/>
      <c r="J81" s="35"/>
      <c r="K81" s="269">
        <f t="shared" si="5"/>
        <v>20</v>
      </c>
      <c r="L81" s="262" t="e">
        <f t="shared" si="6"/>
        <v>#REF!</v>
      </c>
    </row>
    <row r="82" spans="1:13" s="42" customFormat="1" x14ac:dyDescent="0.3">
      <c r="A82" s="35"/>
      <c r="B82" s="35" t="e">
        <f>#REF!</f>
        <v>#REF!</v>
      </c>
      <c r="C82" s="35" t="e">
        <f>#REF!</f>
        <v>#REF!</v>
      </c>
      <c r="D82" s="174" t="e">
        <f>#REF!</f>
        <v>#REF!</v>
      </c>
      <c r="E82" s="35">
        <v>150</v>
      </c>
      <c r="F82" s="38" t="e">
        <f>#REF!</f>
        <v>#REF!</v>
      </c>
      <c r="G82" s="256" t="e">
        <f t="shared" si="8"/>
        <v>#REF!</v>
      </c>
      <c r="H82" s="197">
        <v>150</v>
      </c>
      <c r="I82" s="35"/>
      <c r="J82" s="35"/>
      <c r="K82" s="269">
        <f t="shared" si="5"/>
        <v>150</v>
      </c>
      <c r="L82" s="262" t="e">
        <f t="shared" si="6"/>
        <v>#REF!</v>
      </c>
    </row>
    <row r="83" spans="1:13" s="42" customFormat="1" x14ac:dyDescent="0.3">
      <c r="A83" s="35"/>
      <c r="B83" s="35" t="e">
        <f>#REF!</f>
        <v>#REF!</v>
      </c>
      <c r="C83" s="35" t="e">
        <f>#REF!</f>
        <v>#REF!</v>
      </c>
      <c r="D83" s="174" t="e">
        <f>#REF!</f>
        <v>#REF!</v>
      </c>
      <c r="E83" s="35">
        <v>150</v>
      </c>
      <c r="F83" s="38" t="e">
        <f>#REF!</f>
        <v>#REF!</v>
      </c>
      <c r="G83" s="256" t="e">
        <f t="shared" si="8"/>
        <v>#REF!</v>
      </c>
      <c r="H83" s="197">
        <v>150</v>
      </c>
      <c r="I83" s="35"/>
      <c r="J83" s="35"/>
      <c r="K83" s="269">
        <f t="shared" si="5"/>
        <v>150</v>
      </c>
      <c r="L83" s="262" t="e">
        <f t="shared" si="6"/>
        <v>#REF!</v>
      </c>
    </row>
    <row r="84" spans="1:13" s="42" customFormat="1" x14ac:dyDescent="0.3">
      <c r="A84" s="35"/>
      <c r="B84" s="35" t="e">
        <f>#REF!</f>
        <v>#REF!</v>
      </c>
      <c r="C84" s="35" t="e">
        <f>#REF!</f>
        <v>#REF!</v>
      </c>
      <c r="D84" s="174" t="e">
        <f>#REF!</f>
        <v>#REF!</v>
      </c>
      <c r="E84" s="35">
        <v>220</v>
      </c>
      <c r="F84" s="38" t="e">
        <f>#REF!</f>
        <v>#REF!</v>
      </c>
      <c r="G84" s="256" t="e">
        <f t="shared" si="8"/>
        <v>#REF!</v>
      </c>
      <c r="H84" s="197">
        <v>220</v>
      </c>
      <c r="I84" s="35"/>
      <c r="J84" s="35"/>
      <c r="K84" s="269">
        <f t="shared" si="5"/>
        <v>220</v>
      </c>
      <c r="L84" s="262" t="e">
        <f t="shared" si="6"/>
        <v>#REF!</v>
      </c>
      <c r="M84" s="366" t="e">
        <f>SUM(L79:L84)</f>
        <v>#REF!</v>
      </c>
    </row>
    <row r="85" spans="1:13" s="42" customFormat="1" x14ac:dyDescent="0.3">
      <c r="A85" s="35"/>
      <c r="B85" s="35"/>
      <c r="C85" s="35"/>
      <c r="D85" s="174"/>
      <c r="E85" s="35"/>
      <c r="F85" s="38"/>
      <c r="G85" s="256"/>
      <c r="H85" s="197"/>
      <c r="I85" s="35"/>
      <c r="J85" s="35"/>
      <c r="K85" s="269">
        <f t="shared" si="5"/>
        <v>0</v>
      </c>
      <c r="L85" s="262">
        <f t="shared" si="6"/>
        <v>0</v>
      </c>
    </row>
    <row r="86" spans="1:13" s="42" customFormat="1" ht="23.25" x14ac:dyDescent="0.35">
      <c r="A86" s="35">
        <v>9</v>
      </c>
      <c r="B86" s="35"/>
      <c r="C86" s="77" t="s">
        <v>889</v>
      </c>
      <c r="D86" s="184"/>
      <c r="E86" s="77"/>
      <c r="F86" s="79"/>
      <c r="G86" s="257"/>
      <c r="H86" s="197"/>
      <c r="I86" s="35"/>
      <c r="J86" s="35"/>
      <c r="K86" s="269">
        <f t="shared" si="5"/>
        <v>0</v>
      </c>
      <c r="L86" s="262">
        <f t="shared" si="6"/>
        <v>0</v>
      </c>
    </row>
    <row r="87" spans="1:13" s="42" customFormat="1" x14ac:dyDescent="0.3">
      <c r="A87" s="35"/>
      <c r="B87" s="35" t="e">
        <f>#REF!</f>
        <v>#REF!</v>
      </c>
      <c r="C87" s="35" t="e">
        <f>#REF!</f>
        <v>#REF!</v>
      </c>
      <c r="D87" s="174" t="e">
        <f>#REF!</f>
        <v>#REF!</v>
      </c>
      <c r="E87" s="35">
        <v>250</v>
      </c>
      <c r="F87" s="38" t="e">
        <f>#REF!</f>
        <v>#REF!</v>
      </c>
      <c r="G87" s="256" t="e">
        <f t="shared" ref="G87:G97" si="9">E87*F87</f>
        <v>#REF!</v>
      </c>
      <c r="H87" s="197">
        <v>250</v>
      </c>
      <c r="I87" s="35"/>
      <c r="J87" s="35"/>
      <c r="K87" s="269">
        <f t="shared" si="5"/>
        <v>250</v>
      </c>
      <c r="L87" s="262" t="e">
        <f t="shared" si="6"/>
        <v>#REF!</v>
      </c>
    </row>
    <row r="88" spans="1:13" s="42" customFormat="1" x14ac:dyDescent="0.3">
      <c r="A88" s="35"/>
      <c r="B88" s="35" t="e">
        <f>#REF!</f>
        <v>#REF!</v>
      </c>
      <c r="C88" s="35" t="e">
        <f>#REF!</f>
        <v>#REF!</v>
      </c>
      <c r="D88" s="174" t="e">
        <f>#REF!</f>
        <v>#REF!</v>
      </c>
      <c r="E88" s="35">
        <v>200</v>
      </c>
      <c r="F88" s="38" t="e">
        <f>#REF!</f>
        <v>#REF!</v>
      </c>
      <c r="G88" s="256" t="e">
        <f t="shared" si="9"/>
        <v>#REF!</v>
      </c>
      <c r="H88" s="197">
        <v>200</v>
      </c>
      <c r="I88" s="35"/>
      <c r="J88" s="35"/>
      <c r="K88" s="269">
        <f t="shared" si="5"/>
        <v>200</v>
      </c>
      <c r="L88" s="262" t="e">
        <f t="shared" si="6"/>
        <v>#REF!</v>
      </c>
    </row>
    <row r="89" spans="1:13" s="42" customFormat="1" x14ac:dyDescent="0.3">
      <c r="A89" s="35"/>
      <c r="B89" s="35" t="e">
        <f>#REF!</f>
        <v>#REF!</v>
      </c>
      <c r="C89" s="35" t="e">
        <f>#REF!</f>
        <v>#REF!</v>
      </c>
      <c r="D89" s="174" t="e">
        <f>#REF!</f>
        <v>#REF!</v>
      </c>
      <c r="E89" s="35">
        <v>350</v>
      </c>
      <c r="F89" s="38" t="e">
        <f>#REF!</f>
        <v>#REF!</v>
      </c>
      <c r="G89" s="256" t="e">
        <f t="shared" si="9"/>
        <v>#REF!</v>
      </c>
      <c r="H89" s="197">
        <v>350</v>
      </c>
      <c r="I89" s="35"/>
      <c r="J89" s="35"/>
      <c r="K89" s="269">
        <f t="shared" si="5"/>
        <v>350</v>
      </c>
      <c r="L89" s="262" t="e">
        <f t="shared" si="6"/>
        <v>#REF!</v>
      </c>
    </row>
    <row r="90" spans="1:13" s="42" customFormat="1" x14ac:dyDescent="0.3">
      <c r="A90" s="35"/>
      <c r="B90" s="35" t="e">
        <f>#REF!</f>
        <v>#REF!</v>
      </c>
      <c r="C90" s="35" t="e">
        <f>#REF!</f>
        <v>#REF!</v>
      </c>
      <c r="D90" s="174" t="e">
        <f>#REF!</f>
        <v>#REF!</v>
      </c>
      <c r="E90" s="35">
        <v>3</v>
      </c>
      <c r="F90" s="38" t="e">
        <f>#REF!</f>
        <v>#REF!</v>
      </c>
      <c r="G90" s="256" t="e">
        <f t="shared" si="9"/>
        <v>#REF!</v>
      </c>
      <c r="H90" s="197">
        <v>3</v>
      </c>
      <c r="I90" s="35"/>
      <c r="J90" s="35"/>
      <c r="K90" s="269">
        <f t="shared" si="5"/>
        <v>3</v>
      </c>
      <c r="L90" s="262" t="e">
        <f t="shared" si="6"/>
        <v>#REF!</v>
      </c>
    </row>
    <row r="91" spans="1:13" s="42" customFormat="1" x14ac:dyDescent="0.3">
      <c r="A91" s="35"/>
      <c r="B91" s="35" t="e">
        <f>#REF!</f>
        <v>#REF!</v>
      </c>
      <c r="C91" s="35" t="e">
        <f>#REF!</f>
        <v>#REF!</v>
      </c>
      <c r="D91" s="174" t="e">
        <f>#REF!</f>
        <v>#REF!</v>
      </c>
      <c r="E91" s="35">
        <v>25</v>
      </c>
      <c r="F91" s="38" t="e">
        <f>#REF!</f>
        <v>#REF!</v>
      </c>
      <c r="G91" s="256" t="e">
        <f t="shared" si="9"/>
        <v>#REF!</v>
      </c>
      <c r="H91" s="197">
        <v>25</v>
      </c>
      <c r="I91" s="35"/>
      <c r="J91" s="35"/>
      <c r="K91" s="269">
        <f t="shared" si="5"/>
        <v>25</v>
      </c>
      <c r="L91" s="262" t="e">
        <f t="shared" si="6"/>
        <v>#REF!</v>
      </c>
    </row>
    <row r="92" spans="1:13" s="42" customFormat="1" x14ac:dyDescent="0.3">
      <c r="A92" s="35"/>
      <c r="B92" s="35" t="e">
        <f>#REF!</f>
        <v>#REF!</v>
      </c>
      <c r="C92" s="35" t="e">
        <f>#REF!</f>
        <v>#REF!</v>
      </c>
      <c r="D92" s="174" t="e">
        <f>#REF!</f>
        <v>#REF!</v>
      </c>
      <c r="E92" s="35">
        <v>3</v>
      </c>
      <c r="F92" s="38" t="e">
        <f>#REF!</f>
        <v>#REF!</v>
      </c>
      <c r="G92" s="256" t="e">
        <f t="shared" si="9"/>
        <v>#REF!</v>
      </c>
      <c r="H92" s="197">
        <v>3</v>
      </c>
      <c r="I92" s="35"/>
      <c r="J92" s="35"/>
      <c r="K92" s="269">
        <f t="shared" si="5"/>
        <v>3</v>
      </c>
      <c r="L92" s="262" t="e">
        <f t="shared" si="6"/>
        <v>#REF!</v>
      </c>
    </row>
    <row r="93" spans="1:13" s="42" customFormat="1" x14ac:dyDescent="0.3">
      <c r="A93" s="35"/>
      <c r="B93" s="35" t="e">
        <f>#REF!</f>
        <v>#REF!</v>
      </c>
      <c r="C93" s="35" t="e">
        <f>#REF!</f>
        <v>#REF!</v>
      </c>
      <c r="D93" s="174" t="e">
        <f>#REF!</f>
        <v>#REF!</v>
      </c>
      <c r="E93" s="35">
        <v>5</v>
      </c>
      <c r="F93" s="38" t="e">
        <f>#REF!</f>
        <v>#REF!</v>
      </c>
      <c r="G93" s="256" t="e">
        <f t="shared" si="9"/>
        <v>#REF!</v>
      </c>
      <c r="H93" s="197">
        <v>5</v>
      </c>
      <c r="I93" s="35"/>
      <c r="J93" s="35"/>
      <c r="K93" s="269">
        <f t="shared" si="5"/>
        <v>5</v>
      </c>
      <c r="L93" s="262" t="e">
        <f t="shared" si="6"/>
        <v>#REF!</v>
      </c>
    </row>
    <row r="94" spans="1:13" s="42" customFormat="1" x14ac:dyDescent="0.3">
      <c r="A94" s="35"/>
      <c r="B94" s="35" t="e">
        <f>#REF!</f>
        <v>#REF!</v>
      </c>
      <c r="C94" s="35" t="e">
        <f>#REF!</f>
        <v>#REF!</v>
      </c>
      <c r="D94" s="174" t="e">
        <f>#REF!</f>
        <v>#REF!</v>
      </c>
      <c r="E94" s="35">
        <v>6</v>
      </c>
      <c r="F94" s="38" t="e">
        <f>#REF!</f>
        <v>#REF!</v>
      </c>
      <c r="G94" s="256" t="e">
        <f t="shared" si="9"/>
        <v>#REF!</v>
      </c>
      <c r="H94" s="197"/>
      <c r="I94" s="35"/>
      <c r="J94" s="35"/>
      <c r="K94" s="269">
        <f t="shared" si="5"/>
        <v>0</v>
      </c>
      <c r="L94" s="262" t="e">
        <f t="shared" si="6"/>
        <v>#REF!</v>
      </c>
    </row>
    <row r="95" spans="1:13" s="42" customFormat="1" x14ac:dyDescent="0.3">
      <c r="A95" s="35"/>
      <c r="B95" s="35" t="e">
        <f>#REF!</f>
        <v>#REF!</v>
      </c>
      <c r="C95" s="35" t="e">
        <f>#REF!</f>
        <v>#REF!</v>
      </c>
      <c r="D95" s="174" t="e">
        <f>#REF!</f>
        <v>#REF!</v>
      </c>
      <c r="E95" s="35">
        <v>33</v>
      </c>
      <c r="F95" s="38" t="e">
        <f>#REF!</f>
        <v>#REF!</v>
      </c>
      <c r="G95" s="256" t="e">
        <f t="shared" si="9"/>
        <v>#REF!</v>
      </c>
      <c r="H95" s="197">
        <v>33</v>
      </c>
      <c r="I95" s="35"/>
      <c r="J95" s="35"/>
      <c r="K95" s="269">
        <f t="shared" si="5"/>
        <v>33</v>
      </c>
      <c r="L95" s="262" t="e">
        <f t="shared" si="6"/>
        <v>#REF!</v>
      </c>
    </row>
    <row r="96" spans="1:13" s="42" customFormat="1" x14ac:dyDescent="0.3">
      <c r="A96" s="35"/>
      <c r="B96" s="35" t="e">
        <f>#REF!</f>
        <v>#REF!</v>
      </c>
      <c r="C96" s="35" t="e">
        <f>#REF!</f>
        <v>#REF!</v>
      </c>
      <c r="D96" s="174" t="e">
        <f>#REF!</f>
        <v>#REF!</v>
      </c>
      <c r="E96" s="35">
        <v>95</v>
      </c>
      <c r="F96" s="38" t="e">
        <f>#REF!</f>
        <v>#REF!</v>
      </c>
      <c r="G96" s="256" t="e">
        <f t="shared" si="9"/>
        <v>#REF!</v>
      </c>
      <c r="H96" s="197">
        <v>95</v>
      </c>
      <c r="I96" s="35"/>
      <c r="J96" s="35"/>
      <c r="K96" s="269">
        <f t="shared" si="5"/>
        <v>95</v>
      </c>
      <c r="L96" s="262" t="e">
        <f t="shared" si="6"/>
        <v>#REF!</v>
      </c>
    </row>
    <row r="97" spans="1:13" s="42" customFormat="1" x14ac:dyDescent="0.3">
      <c r="A97" s="35"/>
      <c r="B97" s="35" t="e">
        <f>#REF!</f>
        <v>#REF!</v>
      </c>
      <c r="C97" s="35" t="e">
        <f>#REF!</f>
        <v>#REF!</v>
      </c>
      <c r="D97" s="174" t="e">
        <f>#REF!</f>
        <v>#REF!</v>
      </c>
      <c r="E97" s="35">
        <v>100</v>
      </c>
      <c r="F97" s="38" t="e">
        <f>#REF!</f>
        <v>#REF!</v>
      </c>
      <c r="G97" s="256" t="e">
        <f t="shared" si="9"/>
        <v>#REF!</v>
      </c>
      <c r="H97" s="197">
        <v>100</v>
      </c>
      <c r="I97" s="35"/>
      <c r="J97" s="35"/>
      <c r="K97" s="269">
        <f t="shared" si="5"/>
        <v>100</v>
      </c>
      <c r="L97" s="262" t="e">
        <f t="shared" si="6"/>
        <v>#REF!</v>
      </c>
      <c r="M97" s="366" t="e">
        <f>SUM(L87:L97)</f>
        <v>#REF!</v>
      </c>
    </row>
    <row r="98" spans="1:13" s="42" customFormat="1" x14ac:dyDescent="0.3">
      <c r="A98" s="35"/>
      <c r="B98" s="35"/>
      <c r="C98" s="35"/>
      <c r="D98" s="174"/>
      <c r="E98" s="35"/>
      <c r="F98" s="38"/>
      <c r="G98" s="256"/>
      <c r="H98" s="197"/>
      <c r="I98" s="35"/>
      <c r="J98" s="35"/>
      <c r="K98" s="269">
        <f t="shared" si="5"/>
        <v>0</v>
      </c>
      <c r="L98" s="262">
        <f t="shared" si="6"/>
        <v>0</v>
      </c>
    </row>
    <row r="99" spans="1:13" s="42" customFormat="1" ht="23.25" x14ac:dyDescent="0.35">
      <c r="A99" s="35">
        <v>10</v>
      </c>
      <c r="B99" s="77"/>
      <c r="C99" s="77" t="s">
        <v>876</v>
      </c>
      <c r="D99" s="184"/>
      <c r="E99" s="77"/>
      <c r="F99" s="79"/>
      <c r="G99" s="257"/>
      <c r="H99" s="197"/>
      <c r="I99" s="35"/>
      <c r="J99" s="35"/>
      <c r="K99" s="269">
        <f t="shared" si="5"/>
        <v>0</v>
      </c>
      <c r="L99" s="262">
        <f t="shared" si="6"/>
        <v>0</v>
      </c>
    </row>
    <row r="100" spans="1:13" s="42" customFormat="1" x14ac:dyDescent="0.3">
      <c r="A100" s="35"/>
      <c r="B100" s="35" t="e">
        <f>#REF!</f>
        <v>#REF!</v>
      </c>
      <c r="C100" s="35" t="e">
        <f>#REF!</f>
        <v>#REF!</v>
      </c>
      <c r="D100" s="174" t="e">
        <f>#REF!</f>
        <v>#REF!</v>
      </c>
      <c r="E100" s="35">
        <v>125</v>
      </c>
      <c r="F100" s="38" t="e">
        <f>#REF!</f>
        <v>#REF!</v>
      </c>
      <c r="G100" s="256" t="e">
        <f t="shared" ref="G100:G163" si="10">E100*F100</f>
        <v>#REF!</v>
      </c>
      <c r="H100" s="197">
        <v>105</v>
      </c>
      <c r="I100" s="35">
        <v>20</v>
      </c>
      <c r="J100" s="35"/>
      <c r="K100" s="269">
        <f t="shared" si="5"/>
        <v>125</v>
      </c>
      <c r="L100" s="262" t="e">
        <f t="shared" si="6"/>
        <v>#REF!</v>
      </c>
    </row>
    <row r="101" spans="1:13" s="42" customFormat="1" x14ac:dyDescent="0.3">
      <c r="A101" s="35"/>
      <c r="B101" s="35" t="e">
        <f>#REF!</f>
        <v>#REF!</v>
      </c>
      <c r="C101" s="35" t="e">
        <f>#REF!</f>
        <v>#REF!</v>
      </c>
      <c r="D101" s="174" t="e">
        <f>#REF!</f>
        <v>#REF!</v>
      </c>
      <c r="E101" s="35">
        <v>25</v>
      </c>
      <c r="F101" s="38" t="e">
        <f>#REF!</f>
        <v>#REF!</v>
      </c>
      <c r="G101" s="256" t="e">
        <f t="shared" si="10"/>
        <v>#REF!</v>
      </c>
      <c r="H101" s="197"/>
      <c r="I101" s="35">
        <v>25</v>
      </c>
      <c r="J101" s="35"/>
      <c r="K101" s="269">
        <f t="shared" si="5"/>
        <v>25</v>
      </c>
      <c r="L101" s="262" t="e">
        <f t="shared" si="6"/>
        <v>#REF!</v>
      </c>
    </row>
    <row r="102" spans="1:13" s="42" customFormat="1" x14ac:dyDescent="0.3">
      <c r="A102" s="35"/>
      <c r="B102" s="35" t="e">
        <f>#REF!</f>
        <v>#REF!</v>
      </c>
      <c r="C102" s="35" t="e">
        <f>#REF!</f>
        <v>#REF!</v>
      </c>
      <c r="D102" s="174" t="e">
        <f>#REF!</f>
        <v>#REF!</v>
      </c>
      <c r="E102" s="35">
        <v>28</v>
      </c>
      <c r="F102" s="38" t="e">
        <f>#REF!</f>
        <v>#REF!</v>
      </c>
      <c r="G102" s="256" t="e">
        <f t="shared" si="10"/>
        <v>#REF!</v>
      </c>
      <c r="H102" s="197"/>
      <c r="I102" s="35">
        <v>28</v>
      </c>
      <c r="J102" s="35"/>
      <c r="K102" s="269">
        <f t="shared" si="5"/>
        <v>28</v>
      </c>
      <c r="L102" s="262" t="e">
        <f t="shared" si="6"/>
        <v>#REF!</v>
      </c>
    </row>
    <row r="103" spans="1:13" s="42" customFormat="1" x14ac:dyDescent="0.3">
      <c r="A103" s="35"/>
      <c r="B103" s="35" t="e">
        <f>#REF!</f>
        <v>#REF!</v>
      </c>
      <c r="C103" s="35" t="e">
        <f>#REF!</f>
        <v>#REF!</v>
      </c>
      <c r="D103" s="174" t="e">
        <f>#REF!</f>
        <v>#REF!</v>
      </c>
      <c r="E103" s="35">
        <v>18</v>
      </c>
      <c r="F103" s="38" t="e">
        <f>#REF!</f>
        <v>#REF!</v>
      </c>
      <c r="G103" s="256" t="e">
        <f t="shared" si="10"/>
        <v>#REF!</v>
      </c>
      <c r="H103" s="197">
        <v>18</v>
      </c>
      <c r="I103" s="35"/>
      <c r="J103" s="35"/>
      <c r="K103" s="269">
        <f t="shared" si="5"/>
        <v>18</v>
      </c>
      <c r="L103" s="262" t="e">
        <f t="shared" si="6"/>
        <v>#REF!</v>
      </c>
    </row>
    <row r="104" spans="1:13" s="42" customFormat="1" x14ac:dyDescent="0.3">
      <c r="A104" s="35"/>
      <c r="B104" s="35" t="e">
        <f>#REF!</f>
        <v>#REF!</v>
      </c>
      <c r="C104" s="35" t="e">
        <f>#REF!</f>
        <v>#REF!</v>
      </c>
      <c r="D104" s="174" t="e">
        <f>#REF!</f>
        <v>#REF!</v>
      </c>
      <c r="E104" s="35">
        <v>113</v>
      </c>
      <c r="F104" s="38" t="e">
        <f>#REF!</f>
        <v>#REF!</v>
      </c>
      <c r="G104" s="256" t="e">
        <f t="shared" si="10"/>
        <v>#REF!</v>
      </c>
      <c r="H104" s="197">
        <v>90</v>
      </c>
      <c r="I104" s="35">
        <v>23</v>
      </c>
      <c r="J104" s="35"/>
      <c r="K104" s="269">
        <f t="shared" si="5"/>
        <v>113</v>
      </c>
      <c r="L104" s="262" t="e">
        <f t="shared" si="6"/>
        <v>#REF!</v>
      </c>
    </row>
    <row r="105" spans="1:13" s="42" customFormat="1" x14ac:dyDescent="0.3">
      <c r="A105" s="35"/>
      <c r="B105" s="35" t="e">
        <f>#REF!</f>
        <v>#REF!</v>
      </c>
      <c r="C105" s="35" t="e">
        <f>#REF!</f>
        <v>#REF!</v>
      </c>
      <c r="D105" s="174" t="e">
        <f>#REF!</f>
        <v>#REF!</v>
      </c>
      <c r="E105" s="35">
        <v>220</v>
      </c>
      <c r="F105" s="38" t="e">
        <f>#REF!</f>
        <v>#REF!</v>
      </c>
      <c r="G105" s="256" t="e">
        <f t="shared" si="10"/>
        <v>#REF!</v>
      </c>
      <c r="H105" s="197">
        <v>200</v>
      </c>
      <c r="I105" s="35">
        <v>20</v>
      </c>
      <c r="J105" s="35"/>
      <c r="K105" s="269">
        <f t="shared" si="5"/>
        <v>220</v>
      </c>
      <c r="L105" s="262" t="e">
        <f t="shared" si="6"/>
        <v>#REF!</v>
      </c>
    </row>
    <row r="106" spans="1:13" s="42" customFormat="1" x14ac:dyDescent="0.3">
      <c r="A106" s="35"/>
      <c r="B106" s="35" t="e">
        <f>#REF!</f>
        <v>#REF!</v>
      </c>
      <c r="C106" s="35" t="e">
        <f>#REF!</f>
        <v>#REF!</v>
      </c>
      <c r="D106" s="174" t="e">
        <f>#REF!</f>
        <v>#REF!</v>
      </c>
      <c r="E106" s="35">
        <v>25</v>
      </c>
      <c r="F106" s="38" t="e">
        <f>#REF!</f>
        <v>#REF!</v>
      </c>
      <c r="G106" s="256" t="e">
        <f t="shared" si="10"/>
        <v>#REF!</v>
      </c>
      <c r="H106" s="197">
        <v>25</v>
      </c>
      <c r="I106" s="35"/>
      <c r="J106" s="35"/>
      <c r="K106" s="269">
        <f t="shared" si="5"/>
        <v>25</v>
      </c>
      <c r="L106" s="262" t="e">
        <f t="shared" si="6"/>
        <v>#REF!</v>
      </c>
    </row>
    <row r="107" spans="1:13" s="42" customFormat="1" x14ac:dyDescent="0.3">
      <c r="A107" s="35"/>
      <c r="B107" s="35" t="e">
        <f>#REF!</f>
        <v>#REF!</v>
      </c>
      <c r="C107" s="35" t="e">
        <f>#REF!</f>
        <v>#REF!</v>
      </c>
      <c r="D107" s="174" t="e">
        <f>#REF!</f>
        <v>#REF!</v>
      </c>
      <c r="E107" s="35">
        <v>5</v>
      </c>
      <c r="F107" s="38" t="e">
        <f>#REF!</f>
        <v>#REF!</v>
      </c>
      <c r="G107" s="256" t="e">
        <f t="shared" si="10"/>
        <v>#REF!</v>
      </c>
      <c r="H107" s="197">
        <v>5</v>
      </c>
      <c r="I107" s="35"/>
      <c r="J107" s="35"/>
      <c r="K107" s="269">
        <f t="shared" si="5"/>
        <v>5</v>
      </c>
      <c r="L107" s="262" t="e">
        <f t="shared" si="6"/>
        <v>#REF!</v>
      </c>
    </row>
    <row r="108" spans="1:13" s="42" customFormat="1" x14ac:dyDescent="0.3">
      <c r="A108" s="35"/>
      <c r="B108" s="35" t="e">
        <f>#REF!</f>
        <v>#REF!</v>
      </c>
      <c r="C108" s="35" t="e">
        <f>#REF!</f>
        <v>#REF!</v>
      </c>
      <c r="D108" s="174" t="e">
        <f>#REF!</f>
        <v>#REF!</v>
      </c>
      <c r="E108" s="35">
        <v>375</v>
      </c>
      <c r="F108" s="38" t="e">
        <f>#REF!</f>
        <v>#REF!</v>
      </c>
      <c r="G108" s="256" t="e">
        <f t="shared" si="10"/>
        <v>#REF!</v>
      </c>
      <c r="H108" s="197"/>
      <c r="I108" s="35">
        <v>40</v>
      </c>
      <c r="J108" s="35">
        <v>335</v>
      </c>
      <c r="K108" s="269">
        <f t="shared" si="5"/>
        <v>375</v>
      </c>
      <c r="L108" s="262" t="e">
        <f t="shared" si="6"/>
        <v>#REF!</v>
      </c>
    </row>
    <row r="109" spans="1:13" s="42" customFormat="1" x14ac:dyDescent="0.3">
      <c r="A109" s="35"/>
      <c r="B109" s="35" t="e">
        <f>#REF!</f>
        <v>#REF!</v>
      </c>
      <c r="C109" s="35" t="e">
        <f>#REF!</f>
        <v>#REF!</v>
      </c>
      <c r="D109" s="174" t="e">
        <f>#REF!</f>
        <v>#REF!</v>
      </c>
      <c r="E109" s="35">
        <v>1</v>
      </c>
      <c r="F109" s="38" t="e">
        <f>#REF!</f>
        <v>#REF!</v>
      </c>
      <c r="G109" s="256" t="e">
        <f t="shared" si="10"/>
        <v>#REF!</v>
      </c>
      <c r="H109" s="197">
        <v>1</v>
      </c>
      <c r="I109" s="35"/>
      <c r="J109" s="35"/>
      <c r="K109" s="269">
        <f t="shared" si="5"/>
        <v>1</v>
      </c>
      <c r="L109" s="262" t="e">
        <f t="shared" si="6"/>
        <v>#REF!</v>
      </c>
    </row>
    <row r="110" spans="1:13" s="42" customFormat="1" x14ac:dyDescent="0.3">
      <c r="A110" s="35"/>
      <c r="B110" s="35" t="e">
        <f>#REF!</f>
        <v>#REF!</v>
      </c>
      <c r="C110" s="35" t="e">
        <f>#REF!</f>
        <v>#REF!</v>
      </c>
      <c r="D110" s="174" t="e">
        <f>#REF!</f>
        <v>#REF!</v>
      </c>
      <c r="E110" s="35">
        <v>5</v>
      </c>
      <c r="F110" s="38" t="e">
        <f>#REF!</f>
        <v>#REF!</v>
      </c>
      <c r="G110" s="256" t="e">
        <f t="shared" si="10"/>
        <v>#REF!</v>
      </c>
      <c r="H110" s="197">
        <v>5</v>
      </c>
      <c r="I110" s="35"/>
      <c r="J110" s="35"/>
      <c r="K110" s="269">
        <f t="shared" si="5"/>
        <v>5</v>
      </c>
      <c r="L110" s="262" t="e">
        <f t="shared" si="6"/>
        <v>#REF!</v>
      </c>
    </row>
    <row r="111" spans="1:13" s="42" customFormat="1" x14ac:dyDescent="0.3">
      <c r="A111" s="35"/>
      <c r="B111" s="35" t="e">
        <f>#REF!</f>
        <v>#REF!</v>
      </c>
      <c r="C111" s="35" t="e">
        <f>#REF!</f>
        <v>#REF!</v>
      </c>
      <c r="D111" s="174" t="e">
        <f>#REF!</f>
        <v>#REF!</v>
      </c>
      <c r="E111" s="35">
        <v>80</v>
      </c>
      <c r="F111" s="38" t="e">
        <f>#REF!</f>
        <v>#REF!</v>
      </c>
      <c r="G111" s="256" t="e">
        <f t="shared" si="10"/>
        <v>#REF!</v>
      </c>
      <c r="H111" s="197">
        <v>80</v>
      </c>
      <c r="I111" s="35"/>
      <c r="J111" s="35"/>
      <c r="K111" s="269">
        <f t="shared" si="5"/>
        <v>80</v>
      </c>
      <c r="L111" s="262" t="e">
        <f t="shared" si="6"/>
        <v>#REF!</v>
      </c>
    </row>
    <row r="112" spans="1:13" s="42" customFormat="1" x14ac:dyDescent="0.3">
      <c r="A112" s="35"/>
      <c r="B112" s="35" t="e">
        <f>#REF!</f>
        <v>#REF!</v>
      </c>
      <c r="C112" s="35" t="e">
        <f>#REF!</f>
        <v>#REF!</v>
      </c>
      <c r="D112" s="174" t="e">
        <f>#REF!</f>
        <v>#REF!</v>
      </c>
      <c r="E112" s="35">
        <v>50</v>
      </c>
      <c r="F112" s="38" t="e">
        <f>#REF!</f>
        <v>#REF!</v>
      </c>
      <c r="G112" s="256" t="e">
        <f t="shared" si="10"/>
        <v>#REF!</v>
      </c>
      <c r="H112" s="197"/>
      <c r="I112" s="35">
        <v>50</v>
      </c>
      <c r="J112" s="35"/>
      <c r="K112" s="269">
        <f t="shared" si="5"/>
        <v>50</v>
      </c>
      <c r="L112" s="262" t="e">
        <f t="shared" si="6"/>
        <v>#REF!</v>
      </c>
    </row>
    <row r="113" spans="1:12" s="42" customFormat="1" x14ac:dyDescent="0.3">
      <c r="A113" s="35"/>
      <c r="B113" s="35" t="e">
        <f>#REF!</f>
        <v>#REF!</v>
      </c>
      <c r="C113" s="35" t="e">
        <f>#REF!</f>
        <v>#REF!</v>
      </c>
      <c r="D113" s="174" t="e">
        <f>#REF!</f>
        <v>#REF!</v>
      </c>
      <c r="E113" s="35">
        <v>55</v>
      </c>
      <c r="F113" s="38" t="e">
        <f>#REF!</f>
        <v>#REF!</v>
      </c>
      <c r="G113" s="256" t="e">
        <f t="shared" si="10"/>
        <v>#REF!</v>
      </c>
      <c r="H113" s="197"/>
      <c r="I113" s="35">
        <v>55</v>
      </c>
      <c r="J113" s="35"/>
      <c r="K113" s="269">
        <f t="shared" si="5"/>
        <v>55</v>
      </c>
      <c r="L113" s="262" t="e">
        <f t="shared" si="6"/>
        <v>#REF!</v>
      </c>
    </row>
    <row r="114" spans="1:12" s="42" customFormat="1" x14ac:dyDescent="0.3">
      <c r="A114" s="35"/>
      <c r="B114" s="35" t="e">
        <f>#REF!</f>
        <v>#REF!</v>
      </c>
      <c r="C114" s="35" t="e">
        <f>#REF!</f>
        <v>#REF!</v>
      </c>
      <c r="D114" s="174" t="e">
        <f>#REF!</f>
        <v>#REF!</v>
      </c>
      <c r="E114" s="35">
        <v>18</v>
      </c>
      <c r="F114" s="38" t="e">
        <f>#REF!</f>
        <v>#REF!</v>
      </c>
      <c r="G114" s="256" t="e">
        <f t="shared" si="10"/>
        <v>#REF!</v>
      </c>
      <c r="H114" s="197"/>
      <c r="I114" s="35">
        <v>18</v>
      </c>
      <c r="J114" s="35"/>
      <c r="K114" s="269">
        <f t="shared" si="5"/>
        <v>18</v>
      </c>
      <c r="L114" s="262" t="e">
        <f t="shared" si="6"/>
        <v>#REF!</v>
      </c>
    </row>
    <row r="115" spans="1:12" s="42" customFormat="1" x14ac:dyDescent="0.3">
      <c r="A115" s="35"/>
      <c r="B115" s="35" t="e">
        <f>#REF!</f>
        <v>#REF!</v>
      </c>
      <c r="C115" s="35" t="e">
        <f>#REF!</f>
        <v>#REF!</v>
      </c>
      <c r="D115" s="174" t="e">
        <f>#REF!</f>
        <v>#REF!</v>
      </c>
      <c r="E115" s="35">
        <v>20</v>
      </c>
      <c r="F115" s="38" t="e">
        <f>#REF!</f>
        <v>#REF!</v>
      </c>
      <c r="G115" s="256" t="e">
        <f t="shared" si="10"/>
        <v>#REF!</v>
      </c>
      <c r="H115" s="197">
        <v>20</v>
      </c>
      <c r="I115" s="35"/>
      <c r="J115" s="35"/>
      <c r="K115" s="269">
        <f t="shared" si="5"/>
        <v>20</v>
      </c>
      <c r="L115" s="262" t="e">
        <f t="shared" si="6"/>
        <v>#REF!</v>
      </c>
    </row>
    <row r="116" spans="1:12" s="42" customFormat="1" x14ac:dyDescent="0.3">
      <c r="A116" s="35"/>
      <c r="B116" s="35" t="e">
        <f>#REF!</f>
        <v>#REF!</v>
      </c>
      <c r="C116" s="35" t="e">
        <f>#REF!</f>
        <v>#REF!</v>
      </c>
      <c r="D116" s="174" t="e">
        <f>#REF!</f>
        <v>#REF!</v>
      </c>
      <c r="E116" s="35">
        <v>4</v>
      </c>
      <c r="F116" s="38" t="e">
        <f>#REF!</f>
        <v>#REF!</v>
      </c>
      <c r="G116" s="256" t="e">
        <f t="shared" si="10"/>
        <v>#REF!</v>
      </c>
      <c r="H116" s="197"/>
      <c r="I116" s="35">
        <v>4</v>
      </c>
      <c r="J116" s="35"/>
      <c r="K116" s="269">
        <f t="shared" si="5"/>
        <v>4</v>
      </c>
      <c r="L116" s="262" t="e">
        <f t="shared" si="6"/>
        <v>#REF!</v>
      </c>
    </row>
    <row r="117" spans="1:12" s="42" customFormat="1" x14ac:dyDescent="0.3">
      <c r="A117" s="35"/>
      <c r="B117" s="35" t="e">
        <f>#REF!</f>
        <v>#REF!</v>
      </c>
      <c r="C117" s="35" t="e">
        <f>#REF!</f>
        <v>#REF!</v>
      </c>
      <c r="D117" s="174" t="e">
        <f>#REF!</f>
        <v>#REF!</v>
      </c>
      <c r="E117" s="35">
        <v>4</v>
      </c>
      <c r="F117" s="38" t="e">
        <f>#REF!</f>
        <v>#REF!</v>
      </c>
      <c r="G117" s="256" t="e">
        <f t="shared" si="10"/>
        <v>#REF!</v>
      </c>
      <c r="H117" s="197">
        <v>4</v>
      </c>
      <c r="I117" s="35"/>
      <c r="J117" s="35"/>
      <c r="K117" s="269">
        <f t="shared" si="5"/>
        <v>4</v>
      </c>
      <c r="L117" s="262" t="e">
        <f t="shared" si="6"/>
        <v>#REF!</v>
      </c>
    </row>
    <row r="118" spans="1:12" s="42" customFormat="1" x14ac:dyDescent="0.3">
      <c r="A118" s="35"/>
      <c r="B118" s="35" t="e">
        <f>#REF!</f>
        <v>#REF!</v>
      </c>
      <c r="C118" s="35" t="e">
        <f>#REF!</f>
        <v>#REF!</v>
      </c>
      <c r="D118" s="174" t="e">
        <f>#REF!</f>
        <v>#REF!</v>
      </c>
      <c r="E118" s="35">
        <v>2</v>
      </c>
      <c r="F118" s="38" t="e">
        <f>#REF!</f>
        <v>#REF!</v>
      </c>
      <c r="G118" s="256" t="e">
        <f t="shared" si="10"/>
        <v>#REF!</v>
      </c>
      <c r="H118" s="197">
        <v>2</v>
      </c>
      <c r="I118" s="35"/>
      <c r="J118" s="35"/>
      <c r="K118" s="269">
        <f t="shared" si="5"/>
        <v>2</v>
      </c>
      <c r="L118" s="262" t="e">
        <f t="shared" si="6"/>
        <v>#REF!</v>
      </c>
    </row>
    <row r="119" spans="1:12" s="42" customFormat="1" x14ac:dyDescent="0.3">
      <c r="A119" s="35"/>
      <c r="B119" s="35" t="e">
        <f>#REF!</f>
        <v>#REF!</v>
      </c>
      <c r="C119" s="35" t="e">
        <f>#REF!</f>
        <v>#REF!</v>
      </c>
      <c r="D119" s="174" t="e">
        <f>#REF!</f>
        <v>#REF!</v>
      </c>
      <c r="E119" s="35">
        <v>10</v>
      </c>
      <c r="F119" s="38" t="e">
        <f>#REF!</f>
        <v>#REF!</v>
      </c>
      <c r="G119" s="256" t="e">
        <f t="shared" si="10"/>
        <v>#REF!</v>
      </c>
      <c r="H119" s="197">
        <v>10</v>
      </c>
      <c r="I119" s="35"/>
      <c r="J119" s="35"/>
      <c r="K119" s="269">
        <f t="shared" si="5"/>
        <v>10</v>
      </c>
      <c r="L119" s="262" t="e">
        <f t="shared" si="6"/>
        <v>#REF!</v>
      </c>
    </row>
    <row r="120" spans="1:12" s="42" customFormat="1" x14ac:dyDescent="0.3">
      <c r="A120" s="35"/>
      <c r="B120" s="35" t="e">
        <f>#REF!</f>
        <v>#REF!</v>
      </c>
      <c r="C120" s="35" t="e">
        <f>#REF!</f>
        <v>#REF!</v>
      </c>
      <c r="D120" s="174" t="e">
        <f>#REF!</f>
        <v>#REF!</v>
      </c>
      <c r="E120" s="35">
        <v>25</v>
      </c>
      <c r="F120" s="38" t="e">
        <f>#REF!</f>
        <v>#REF!</v>
      </c>
      <c r="G120" s="256" t="e">
        <f t="shared" si="10"/>
        <v>#REF!</v>
      </c>
      <c r="H120" s="197">
        <v>25</v>
      </c>
      <c r="I120" s="35"/>
      <c r="J120" s="35"/>
      <c r="K120" s="269">
        <f t="shared" si="5"/>
        <v>25</v>
      </c>
      <c r="L120" s="262" t="e">
        <f t="shared" si="6"/>
        <v>#REF!</v>
      </c>
    </row>
    <row r="121" spans="1:12" s="42" customFormat="1" x14ac:dyDescent="0.3">
      <c r="A121" s="35"/>
      <c r="B121" s="35" t="e">
        <f>#REF!</f>
        <v>#REF!</v>
      </c>
      <c r="C121" s="35" t="e">
        <f>#REF!</f>
        <v>#REF!</v>
      </c>
      <c r="D121" s="174" t="e">
        <f>#REF!</f>
        <v>#REF!</v>
      </c>
      <c r="E121" s="35">
        <v>4</v>
      </c>
      <c r="F121" s="38" t="e">
        <f>#REF!</f>
        <v>#REF!</v>
      </c>
      <c r="G121" s="256" t="e">
        <f t="shared" si="10"/>
        <v>#REF!</v>
      </c>
      <c r="H121" s="197"/>
      <c r="I121" s="35">
        <v>4</v>
      </c>
      <c r="J121" s="35"/>
      <c r="K121" s="269">
        <f t="shared" si="5"/>
        <v>4</v>
      </c>
      <c r="L121" s="262" t="e">
        <f t="shared" si="6"/>
        <v>#REF!</v>
      </c>
    </row>
    <row r="122" spans="1:12" s="42" customFormat="1" x14ac:dyDescent="0.3">
      <c r="A122" s="35"/>
      <c r="B122" s="35" t="e">
        <f>#REF!</f>
        <v>#REF!</v>
      </c>
      <c r="C122" s="35" t="e">
        <f>#REF!</f>
        <v>#REF!</v>
      </c>
      <c r="D122" s="174" t="e">
        <f>#REF!</f>
        <v>#REF!</v>
      </c>
      <c r="E122" s="35">
        <v>30</v>
      </c>
      <c r="F122" s="38" t="e">
        <f>#REF!</f>
        <v>#REF!</v>
      </c>
      <c r="G122" s="256" t="e">
        <f t="shared" si="10"/>
        <v>#REF!</v>
      </c>
      <c r="H122" s="197"/>
      <c r="I122" s="35">
        <v>30</v>
      </c>
      <c r="J122" s="35"/>
      <c r="K122" s="269">
        <f t="shared" ref="K122:K185" si="11">H122+I122+J122</f>
        <v>30</v>
      </c>
      <c r="L122" s="262" t="e">
        <f t="shared" si="6"/>
        <v>#REF!</v>
      </c>
    </row>
    <row r="123" spans="1:12" s="42" customFormat="1" x14ac:dyDescent="0.3">
      <c r="A123" s="35"/>
      <c r="B123" s="35" t="e">
        <f>#REF!</f>
        <v>#REF!</v>
      </c>
      <c r="C123" s="35" t="e">
        <f>#REF!</f>
        <v>#REF!</v>
      </c>
      <c r="D123" s="174" t="e">
        <f>#REF!</f>
        <v>#REF!</v>
      </c>
      <c r="E123" s="35">
        <v>75</v>
      </c>
      <c r="F123" s="38" t="e">
        <f>#REF!</f>
        <v>#REF!</v>
      </c>
      <c r="G123" s="256" t="e">
        <f t="shared" si="10"/>
        <v>#REF!</v>
      </c>
      <c r="H123" s="197"/>
      <c r="I123" s="35">
        <v>75</v>
      </c>
      <c r="J123" s="35"/>
      <c r="K123" s="269">
        <f t="shared" si="11"/>
        <v>75</v>
      </c>
      <c r="L123" s="262" t="e">
        <f t="shared" si="6"/>
        <v>#REF!</v>
      </c>
    </row>
    <row r="124" spans="1:12" s="42" customFormat="1" x14ac:dyDescent="0.3">
      <c r="A124" s="35"/>
      <c r="B124" s="35" t="e">
        <f>#REF!</f>
        <v>#REF!</v>
      </c>
      <c r="C124" s="35" t="e">
        <f>#REF!</f>
        <v>#REF!</v>
      </c>
      <c r="D124" s="174" t="e">
        <f>#REF!</f>
        <v>#REF!</v>
      </c>
      <c r="E124" s="35">
        <v>38</v>
      </c>
      <c r="F124" s="38" t="e">
        <f>#REF!</f>
        <v>#REF!</v>
      </c>
      <c r="G124" s="256" t="e">
        <f t="shared" si="10"/>
        <v>#REF!</v>
      </c>
      <c r="H124" s="197"/>
      <c r="I124" s="35">
        <v>38</v>
      </c>
      <c r="J124" s="35"/>
      <c r="K124" s="269">
        <f t="shared" si="11"/>
        <v>38</v>
      </c>
      <c r="L124" s="262" t="e">
        <f t="shared" ref="L124:L187" si="12">K124*F124</f>
        <v>#REF!</v>
      </c>
    </row>
    <row r="125" spans="1:12" s="42" customFormat="1" x14ac:dyDescent="0.3">
      <c r="A125" s="35"/>
      <c r="B125" s="35" t="e">
        <f>#REF!</f>
        <v>#REF!</v>
      </c>
      <c r="C125" s="35" t="e">
        <f>#REF!</f>
        <v>#REF!</v>
      </c>
      <c r="D125" s="174" t="e">
        <f>#REF!</f>
        <v>#REF!</v>
      </c>
      <c r="E125" s="35">
        <v>38</v>
      </c>
      <c r="F125" s="38" t="e">
        <f>#REF!</f>
        <v>#REF!</v>
      </c>
      <c r="G125" s="256" t="e">
        <f t="shared" si="10"/>
        <v>#REF!</v>
      </c>
      <c r="H125" s="197"/>
      <c r="I125" s="35">
        <v>38</v>
      </c>
      <c r="J125" s="35"/>
      <c r="K125" s="269">
        <f t="shared" si="11"/>
        <v>38</v>
      </c>
      <c r="L125" s="262" t="e">
        <f t="shared" si="12"/>
        <v>#REF!</v>
      </c>
    </row>
    <row r="126" spans="1:12" s="67" customFormat="1" ht="21" x14ac:dyDescent="0.35">
      <c r="A126" s="35"/>
      <c r="B126" s="35" t="e">
        <f>#REF!</f>
        <v>#REF!</v>
      </c>
      <c r="C126" s="35" t="e">
        <f>#REF!</f>
        <v>#REF!</v>
      </c>
      <c r="D126" s="174" t="e">
        <f>#REF!</f>
        <v>#REF!</v>
      </c>
      <c r="E126" s="35">
        <v>150</v>
      </c>
      <c r="F126" s="38" t="e">
        <f>#REF!</f>
        <v>#REF!</v>
      </c>
      <c r="G126" s="256" t="e">
        <f t="shared" si="10"/>
        <v>#REF!</v>
      </c>
      <c r="H126" s="270">
        <v>60</v>
      </c>
      <c r="I126" s="68">
        <v>90</v>
      </c>
      <c r="J126" s="68"/>
      <c r="K126" s="269">
        <f t="shared" si="11"/>
        <v>150</v>
      </c>
      <c r="L126" s="262" t="e">
        <f t="shared" si="12"/>
        <v>#REF!</v>
      </c>
    </row>
    <row r="127" spans="1:12" s="42" customFormat="1" x14ac:dyDescent="0.3">
      <c r="A127" s="35"/>
      <c r="B127" s="35" t="e">
        <f>#REF!</f>
        <v>#REF!</v>
      </c>
      <c r="C127" s="35" t="e">
        <f>#REF!</f>
        <v>#REF!</v>
      </c>
      <c r="D127" s="174" t="e">
        <f>#REF!</f>
        <v>#REF!</v>
      </c>
      <c r="E127" s="35">
        <v>50</v>
      </c>
      <c r="F127" s="38" t="e">
        <f>#REF!</f>
        <v>#REF!</v>
      </c>
      <c r="G127" s="256" t="e">
        <f t="shared" si="10"/>
        <v>#REF!</v>
      </c>
      <c r="H127" s="197"/>
      <c r="I127" s="35">
        <v>50</v>
      </c>
      <c r="J127" s="35"/>
      <c r="K127" s="269">
        <f t="shared" si="11"/>
        <v>50</v>
      </c>
      <c r="L127" s="262" t="e">
        <f t="shared" si="12"/>
        <v>#REF!</v>
      </c>
    </row>
    <row r="128" spans="1:12" s="42" customFormat="1" x14ac:dyDescent="0.3">
      <c r="A128" s="35"/>
      <c r="B128" s="35" t="e">
        <f>#REF!</f>
        <v>#REF!</v>
      </c>
      <c r="C128" s="35" t="e">
        <f>#REF!</f>
        <v>#REF!</v>
      </c>
      <c r="D128" s="174" t="e">
        <f>#REF!</f>
        <v>#REF!</v>
      </c>
      <c r="E128" s="35">
        <v>65</v>
      </c>
      <c r="F128" s="38" t="e">
        <f>#REF!</f>
        <v>#REF!</v>
      </c>
      <c r="G128" s="256" t="e">
        <f t="shared" si="10"/>
        <v>#REF!</v>
      </c>
      <c r="H128" s="197">
        <v>65</v>
      </c>
      <c r="I128" s="35"/>
      <c r="J128" s="35"/>
      <c r="K128" s="269">
        <f t="shared" si="11"/>
        <v>65</v>
      </c>
      <c r="L128" s="262" t="e">
        <f t="shared" si="12"/>
        <v>#REF!</v>
      </c>
    </row>
    <row r="129" spans="1:12" s="42" customFormat="1" x14ac:dyDescent="0.3">
      <c r="A129" s="35"/>
      <c r="B129" s="35" t="e">
        <f>#REF!</f>
        <v>#REF!</v>
      </c>
      <c r="C129" s="35" t="e">
        <f>#REF!</f>
        <v>#REF!</v>
      </c>
      <c r="D129" s="174" t="e">
        <f>#REF!</f>
        <v>#REF!</v>
      </c>
      <c r="E129" s="35">
        <v>1280</v>
      </c>
      <c r="F129" s="38" t="e">
        <f>#REF!</f>
        <v>#REF!</v>
      </c>
      <c r="G129" s="256" t="e">
        <f t="shared" si="10"/>
        <v>#REF!</v>
      </c>
      <c r="H129" s="197"/>
      <c r="I129" s="35">
        <v>1280</v>
      </c>
      <c r="J129" s="35"/>
      <c r="K129" s="269">
        <f t="shared" si="11"/>
        <v>1280</v>
      </c>
      <c r="L129" s="262" t="e">
        <f t="shared" si="12"/>
        <v>#REF!</v>
      </c>
    </row>
    <row r="130" spans="1:12" s="42" customFormat="1" x14ac:dyDescent="0.3">
      <c r="A130" s="35"/>
      <c r="B130" s="35" t="e">
        <f>#REF!</f>
        <v>#REF!</v>
      </c>
      <c r="C130" s="35" t="e">
        <f>#REF!</f>
        <v>#REF!</v>
      </c>
      <c r="D130" s="174" t="e">
        <f>#REF!</f>
        <v>#REF!</v>
      </c>
      <c r="E130" s="35">
        <v>250</v>
      </c>
      <c r="F130" s="38" t="e">
        <f>#REF!</f>
        <v>#REF!</v>
      </c>
      <c r="G130" s="256" t="e">
        <f t="shared" si="10"/>
        <v>#REF!</v>
      </c>
      <c r="H130" s="197"/>
      <c r="I130" s="35">
        <v>250</v>
      </c>
      <c r="J130" s="35"/>
      <c r="K130" s="269">
        <f t="shared" si="11"/>
        <v>250</v>
      </c>
      <c r="L130" s="262" t="e">
        <f t="shared" si="12"/>
        <v>#REF!</v>
      </c>
    </row>
    <row r="131" spans="1:12" s="42" customFormat="1" x14ac:dyDescent="0.3">
      <c r="A131" s="35"/>
      <c r="B131" s="35" t="e">
        <f>#REF!</f>
        <v>#REF!</v>
      </c>
      <c r="C131" s="35" t="e">
        <f>#REF!</f>
        <v>#REF!</v>
      </c>
      <c r="D131" s="174" t="e">
        <f>#REF!</f>
        <v>#REF!</v>
      </c>
      <c r="E131" s="35">
        <v>250</v>
      </c>
      <c r="F131" s="38" t="e">
        <f>#REF!</f>
        <v>#REF!</v>
      </c>
      <c r="G131" s="256" t="e">
        <f t="shared" si="10"/>
        <v>#REF!</v>
      </c>
      <c r="H131" s="197"/>
      <c r="I131" s="35">
        <v>250</v>
      </c>
      <c r="J131" s="35"/>
      <c r="K131" s="269">
        <f t="shared" si="11"/>
        <v>250</v>
      </c>
      <c r="L131" s="262" t="e">
        <f t="shared" si="12"/>
        <v>#REF!</v>
      </c>
    </row>
    <row r="132" spans="1:12" s="42" customFormat="1" x14ac:dyDescent="0.3">
      <c r="A132" s="35"/>
      <c r="B132" s="35" t="e">
        <f>#REF!</f>
        <v>#REF!</v>
      </c>
      <c r="C132" s="35" t="e">
        <f>#REF!</f>
        <v>#REF!</v>
      </c>
      <c r="D132" s="174" t="e">
        <f>#REF!</f>
        <v>#REF!</v>
      </c>
      <c r="E132" s="35">
        <v>5</v>
      </c>
      <c r="F132" s="38" t="e">
        <f>#REF!</f>
        <v>#REF!</v>
      </c>
      <c r="G132" s="256" t="e">
        <f t="shared" si="10"/>
        <v>#REF!</v>
      </c>
      <c r="H132" s="197"/>
      <c r="I132" s="35">
        <v>5</v>
      </c>
      <c r="J132" s="35"/>
      <c r="K132" s="269">
        <f t="shared" si="11"/>
        <v>5</v>
      </c>
      <c r="L132" s="262" t="e">
        <f t="shared" si="12"/>
        <v>#REF!</v>
      </c>
    </row>
    <row r="133" spans="1:12" s="42" customFormat="1" x14ac:dyDescent="0.3">
      <c r="A133" s="35"/>
      <c r="B133" s="35" t="e">
        <f>#REF!</f>
        <v>#REF!</v>
      </c>
      <c r="C133" s="35" t="e">
        <f>#REF!</f>
        <v>#REF!</v>
      </c>
      <c r="D133" s="174" t="e">
        <f>#REF!</f>
        <v>#REF!</v>
      </c>
      <c r="E133" s="35">
        <v>29</v>
      </c>
      <c r="F133" s="38" t="e">
        <f>#REF!</f>
        <v>#REF!</v>
      </c>
      <c r="G133" s="256" t="e">
        <f t="shared" si="10"/>
        <v>#REF!</v>
      </c>
      <c r="H133" s="197"/>
      <c r="I133" s="35">
        <v>29</v>
      </c>
      <c r="J133" s="35"/>
      <c r="K133" s="269">
        <f t="shared" si="11"/>
        <v>29</v>
      </c>
      <c r="L133" s="262" t="e">
        <f t="shared" si="12"/>
        <v>#REF!</v>
      </c>
    </row>
    <row r="134" spans="1:12" s="42" customFormat="1" x14ac:dyDescent="0.3">
      <c r="A134" s="35"/>
      <c r="B134" s="35" t="e">
        <f>#REF!</f>
        <v>#REF!</v>
      </c>
      <c r="C134" s="35" t="e">
        <f>#REF!</f>
        <v>#REF!</v>
      </c>
      <c r="D134" s="174" t="e">
        <f>#REF!</f>
        <v>#REF!</v>
      </c>
      <c r="E134" s="35">
        <v>30</v>
      </c>
      <c r="F134" s="38" t="e">
        <f>#REF!</f>
        <v>#REF!</v>
      </c>
      <c r="G134" s="256" t="e">
        <f t="shared" si="10"/>
        <v>#REF!</v>
      </c>
      <c r="H134" s="197"/>
      <c r="I134" s="35">
        <v>30</v>
      </c>
      <c r="J134" s="35"/>
      <c r="K134" s="269">
        <f t="shared" si="11"/>
        <v>30</v>
      </c>
      <c r="L134" s="262" t="e">
        <f t="shared" si="12"/>
        <v>#REF!</v>
      </c>
    </row>
    <row r="135" spans="1:12" s="42" customFormat="1" x14ac:dyDescent="0.3">
      <c r="A135" s="35"/>
      <c r="B135" s="35" t="e">
        <f>#REF!</f>
        <v>#REF!</v>
      </c>
      <c r="C135" s="35" t="e">
        <f>#REF!</f>
        <v>#REF!</v>
      </c>
      <c r="D135" s="174" t="e">
        <f>#REF!</f>
        <v>#REF!</v>
      </c>
      <c r="E135" s="35">
        <v>1</v>
      </c>
      <c r="F135" s="38" t="e">
        <f>#REF!</f>
        <v>#REF!</v>
      </c>
      <c r="G135" s="256" t="e">
        <f t="shared" si="10"/>
        <v>#REF!</v>
      </c>
      <c r="H135" s="197"/>
      <c r="I135" s="35">
        <v>1</v>
      </c>
      <c r="J135" s="35"/>
      <c r="K135" s="269">
        <f t="shared" si="11"/>
        <v>1</v>
      </c>
      <c r="L135" s="262" t="e">
        <f t="shared" si="12"/>
        <v>#REF!</v>
      </c>
    </row>
    <row r="136" spans="1:12" s="42" customFormat="1" x14ac:dyDescent="0.3">
      <c r="A136" s="35"/>
      <c r="B136" s="35" t="e">
        <f>#REF!</f>
        <v>#REF!</v>
      </c>
      <c r="C136" s="35" t="e">
        <f>#REF!</f>
        <v>#REF!</v>
      </c>
      <c r="D136" s="174" t="e">
        <f>#REF!</f>
        <v>#REF!</v>
      </c>
      <c r="E136" s="35">
        <v>124</v>
      </c>
      <c r="F136" s="38" t="e">
        <f>#REF!</f>
        <v>#REF!</v>
      </c>
      <c r="G136" s="256" t="e">
        <f t="shared" si="10"/>
        <v>#REF!</v>
      </c>
      <c r="H136" s="197"/>
      <c r="I136" s="35">
        <v>124</v>
      </c>
      <c r="J136" s="35"/>
      <c r="K136" s="269">
        <f t="shared" si="11"/>
        <v>124</v>
      </c>
      <c r="L136" s="262" t="e">
        <f t="shared" si="12"/>
        <v>#REF!</v>
      </c>
    </row>
    <row r="137" spans="1:12" s="42" customFormat="1" x14ac:dyDescent="0.3">
      <c r="A137" s="35"/>
      <c r="B137" s="35" t="e">
        <f>#REF!</f>
        <v>#REF!</v>
      </c>
      <c r="C137" s="35" t="e">
        <f>#REF!</f>
        <v>#REF!</v>
      </c>
      <c r="D137" s="174" t="e">
        <f>#REF!</f>
        <v>#REF!</v>
      </c>
      <c r="E137" s="35">
        <v>2</v>
      </c>
      <c r="F137" s="38" t="e">
        <f>#REF!</f>
        <v>#REF!</v>
      </c>
      <c r="G137" s="256" t="e">
        <f t="shared" si="10"/>
        <v>#REF!</v>
      </c>
      <c r="H137" s="197">
        <v>2</v>
      </c>
      <c r="I137" s="35"/>
      <c r="J137" s="35"/>
      <c r="K137" s="269">
        <f t="shared" si="11"/>
        <v>2</v>
      </c>
      <c r="L137" s="262" t="e">
        <f t="shared" si="12"/>
        <v>#REF!</v>
      </c>
    </row>
    <row r="138" spans="1:12" s="42" customFormat="1" x14ac:dyDescent="0.3">
      <c r="A138" s="35"/>
      <c r="B138" s="35" t="e">
        <f>#REF!</f>
        <v>#REF!</v>
      </c>
      <c r="C138" s="35" t="e">
        <f>#REF!</f>
        <v>#REF!</v>
      </c>
      <c r="D138" s="174" t="e">
        <f>#REF!</f>
        <v>#REF!</v>
      </c>
      <c r="E138" s="35">
        <v>3</v>
      </c>
      <c r="F138" s="38" t="e">
        <f>#REF!</f>
        <v>#REF!</v>
      </c>
      <c r="G138" s="256" t="e">
        <f t="shared" si="10"/>
        <v>#REF!</v>
      </c>
      <c r="H138" s="197">
        <v>3</v>
      </c>
      <c r="I138" s="35"/>
      <c r="J138" s="35"/>
      <c r="K138" s="269">
        <f t="shared" si="11"/>
        <v>3</v>
      </c>
      <c r="L138" s="262" t="e">
        <f t="shared" si="12"/>
        <v>#REF!</v>
      </c>
    </row>
    <row r="139" spans="1:12" s="42" customFormat="1" x14ac:dyDescent="0.3">
      <c r="A139" s="35"/>
      <c r="B139" s="35" t="e">
        <f>#REF!</f>
        <v>#REF!</v>
      </c>
      <c r="C139" s="35" t="e">
        <f>#REF!</f>
        <v>#REF!</v>
      </c>
      <c r="D139" s="174" t="e">
        <f>#REF!</f>
        <v>#REF!</v>
      </c>
      <c r="E139" s="35">
        <v>3</v>
      </c>
      <c r="F139" s="38" t="e">
        <f>#REF!</f>
        <v>#REF!</v>
      </c>
      <c r="G139" s="256" t="e">
        <f t="shared" si="10"/>
        <v>#REF!</v>
      </c>
      <c r="H139" s="197">
        <v>3</v>
      </c>
      <c r="I139" s="35"/>
      <c r="J139" s="35"/>
      <c r="K139" s="269">
        <f t="shared" si="11"/>
        <v>3</v>
      </c>
      <c r="L139" s="262" t="e">
        <f t="shared" si="12"/>
        <v>#REF!</v>
      </c>
    </row>
    <row r="140" spans="1:12" s="42" customFormat="1" x14ac:dyDescent="0.3">
      <c r="A140" s="35"/>
      <c r="B140" s="35" t="e">
        <f>#REF!</f>
        <v>#REF!</v>
      </c>
      <c r="C140" s="35" t="e">
        <f>#REF!</f>
        <v>#REF!</v>
      </c>
      <c r="D140" s="174" t="e">
        <f>#REF!</f>
        <v>#REF!</v>
      </c>
      <c r="E140" s="35">
        <v>63</v>
      </c>
      <c r="F140" s="38" t="e">
        <f>#REF!</f>
        <v>#REF!</v>
      </c>
      <c r="G140" s="256" t="e">
        <f t="shared" si="10"/>
        <v>#REF!</v>
      </c>
      <c r="H140" s="197"/>
      <c r="I140" s="35">
        <v>63</v>
      </c>
      <c r="J140" s="35"/>
      <c r="K140" s="269">
        <f t="shared" si="11"/>
        <v>63</v>
      </c>
      <c r="L140" s="262" t="e">
        <f t="shared" si="12"/>
        <v>#REF!</v>
      </c>
    </row>
    <row r="141" spans="1:12" s="42" customFormat="1" x14ac:dyDescent="0.3">
      <c r="A141" s="35"/>
      <c r="B141" s="35">
        <v>490</v>
      </c>
      <c r="C141" s="35" t="s">
        <v>357</v>
      </c>
      <c r="D141" s="174">
        <v>50</v>
      </c>
      <c r="E141" s="35">
        <v>3</v>
      </c>
      <c r="F141" s="38">
        <v>18000</v>
      </c>
      <c r="G141" s="256">
        <f t="shared" si="10"/>
        <v>54000</v>
      </c>
      <c r="H141" s="197"/>
      <c r="I141" s="35">
        <v>3</v>
      </c>
      <c r="J141" s="35"/>
      <c r="K141" s="269">
        <f t="shared" si="11"/>
        <v>3</v>
      </c>
      <c r="L141" s="262">
        <f t="shared" si="12"/>
        <v>54000</v>
      </c>
    </row>
    <row r="142" spans="1:12" s="42" customFormat="1" x14ac:dyDescent="0.3">
      <c r="A142" s="35"/>
      <c r="B142" s="35" t="e">
        <f>#REF!</f>
        <v>#REF!</v>
      </c>
      <c r="C142" s="35" t="e">
        <f>#REF!</f>
        <v>#REF!</v>
      </c>
      <c r="D142" s="174" t="e">
        <f>#REF!</f>
        <v>#REF!</v>
      </c>
      <c r="E142" s="35">
        <v>7</v>
      </c>
      <c r="F142" s="38" t="e">
        <f>#REF!</f>
        <v>#REF!</v>
      </c>
      <c r="G142" s="256" t="e">
        <f t="shared" si="10"/>
        <v>#REF!</v>
      </c>
      <c r="H142" s="197">
        <v>7</v>
      </c>
      <c r="I142" s="35"/>
      <c r="J142" s="35"/>
      <c r="K142" s="269">
        <f t="shared" si="11"/>
        <v>7</v>
      </c>
      <c r="L142" s="262" t="e">
        <f t="shared" si="12"/>
        <v>#REF!</v>
      </c>
    </row>
    <row r="143" spans="1:12" s="42" customFormat="1" x14ac:dyDescent="0.3">
      <c r="A143" s="35"/>
      <c r="B143" s="35" t="e">
        <f>#REF!</f>
        <v>#REF!</v>
      </c>
      <c r="C143" s="35" t="e">
        <f>#REF!</f>
        <v>#REF!</v>
      </c>
      <c r="D143" s="174" t="e">
        <f>#REF!</f>
        <v>#REF!</v>
      </c>
      <c r="E143" s="35">
        <v>75</v>
      </c>
      <c r="F143" s="38" t="e">
        <f>#REF!</f>
        <v>#REF!</v>
      </c>
      <c r="G143" s="256" t="e">
        <f t="shared" si="10"/>
        <v>#REF!</v>
      </c>
      <c r="H143" s="197"/>
      <c r="I143" s="35">
        <v>75</v>
      </c>
      <c r="J143" s="35"/>
      <c r="K143" s="269">
        <f t="shared" si="11"/>
        <v>75</v>
      </c>
      <c r="L143" s="262" t="e">
        <f t="shared" si="12"/>
        <v>#REF!</v>
      </c>
    </row>
    <row r="144" spans="1:12" s="42" customFormat="1" x14ac:dyDescent="0.3">
      <c r="A144" s="35"/>
      <c r="B144" s="35" t="e">
        <f>#REF!</f>
        <v>#REF!</v>
      </c>
      <c r="C144" s="35" t="e">
        <f>#REF!</f>
        <v>#REF!</v>
      </c>
      <c r="D144" s="174" t="e">
        <f>#REF!</f>
        <v>#REF!</v>
      </c>
      <c r="E144" s="35">
        <v>3</v>
      </c>
      <c r="F144" s="38" t="e">
        <f>#REF!</f>
        <v>#REF!</v>
      </c>
      <c r="G144" s="256" t="e">
        <f t="shared" si="10"/>
        <v>#REF!</v>
      </c>
      <c r="H144" s="197">
        <v>3</v>
      </c>
      <c r="I144" s="35"/>
      <c r="J144" s="35"/>
      <c r="K144" s="269">
        <f t="shared" si="11"/>
        <v>3</v>
      </c>
      <c r="L144" s="262" t="e">
        <f t="shared" si="12"/>
        <v>#REF!</v>
      </c>
    </row>
    <row r="145" spans="1:12" s="42" customFormat="1" x14ac:dyDescent="0.3">
      <c r="A145" s="35"/>
      <c r="B145" s="35" t="e">
        <f>#REF!</f>
        <v>#REF!</v>
      </c>
      <c r="C145" s="35" t="e">
        <f>#REF!</f>
        <v>#REF!</v>
      </c>
      <c r="D145" s="174" t="e">
        <f>#REF!</f>
        <v>#REF!</v>
      </c>
      <c r="E145" s="35">
        <v>3</v>
      </c>
      <c r="F145" s="38" t="e">
        <f>#REF!</f>
        <v>#REF!</v>
      </c>
      <c r="G145" s="256" t="e">
        <f t="shared" si="10"/>
        <v>#REF!</v>
      </c>
      <c r="H145" s="197">
        <v>3</v>
      </c>
      <c r="I145" s="35"/>
      <c r="J145" s="35"/>
      <c r="K145" s="269">
        <f t="shared" si="11"/>
        <v>3</v>
      </c>
      <c r="L145" s="262" t="e">
        <f t="shared" si="12"/>
        <v>#REF!</v>
      </c>
    </row>
    <row r="146" spans="1:12" s="42" customFormat="1" x14ac:dyDescent="0.3">
      <c r="A146" s="35"/>
      <c r="B146" s="35" t="e">
        <f>#REF!</f>
        <v>#REF!</v>
      </c>
      <c r="C146" s="35" t="e">
        <f>#REF!</f>
        <v>#REF!</v>
      </c>
      <c r="D146" s="174" t="e">
        <f>#REF!</f>
        <v>#REF!</v>
      </c>
      <c r="E146" s="35">
        <v>2</v>
      </c>
      <c r="F146" s="38" t="e">
        <f>#REF!</f>
        <v>#REF!</v>
      </c>
      <c r="G146" s="256" t="e">
        <f t="shared" si="10"/>
        <v>#REF!</v>
      </c>
      <c r="H146" s="197">
        <v>2</v>
      </c>
      <c r="I146" s="35"/>
      <c r="J146" s="35"/>
      <c r="K146" s="269">
        <f t="shared" si="11"/>
        <v>2</v>
      </c>
      <c r="L146" s="262" t="e">
        <f t="shared" si="12"/>
        <v>#REF!</v>
      </c>
    </row>
    <row r="147" spans="1:12" s="42" customFormat="1" x14ac:dyDescent="0.3">
      <c r="A147" s="35"/>
      <c r="B147" s="35" t="e">
        <f>#REF!</f>
        <v>#REF!</v>
      </c>
      <c r="C147" s="35" t="e">
        <f>#REF!</f>
        <v>#REF!</v>
      </c>
      <c r="D147" s="174" t="e">
        <f>#REF!</f>
        <v>#REF!</v>
      </c>
      <c r="E147" s="35">
        <v>1</v>
      </c>
      <c r="F147" s="38" t="e">
        <f>#REF!</f>
        <v>#REF!</v>
      </c>
      <c r="G147" s="256" t="e">
        <f t="shared" si="10"/>
        <v>#REF!</v>
      </c>
      <c r="H147" s="197">
        <v>1</v>
      </c>
      <c r="I147" s="35"/>
      <c r="J147" s="35"/>
      <c r="K147" s="269">
        <f t="shared" si="11"/>
        <v>1</v>
      </c>
      <c r="L147" s="262" t="e">
        <f t="shared" si="12"/>
        <v>#REF!</v>
      </c>
    </row>
    <row r="148" spans="1:12" s="42" customFormat="1" x14ac:dyDescent="0.3">
      <c r="A148" s="35"/>
      <c r="B148" s="35" t="e">
        <f>#REF!</f>
        <v>#REF!</v>
      </c>
      <c r="C148" s="35" t="e">
        <f>#REF!</f>
        <v>#REF!</v>
      </c>
      <c r="D148" s="174" t="e">
        <f>#REF!</f>
        <v>#REF!</v>
      </c>
      <c r="E148" s="35">
        <v>2</v>
      </c>
      <c r="F148" s="38" t="e">
        <f>#REF!</f>
        <v>#REF!</v>
      </c>
      <c r="G148" s="256" t="e">
        <f t="shared" si="10"/>
        <v>#REF!</v>
      </c>
      <c r="H148" s="197">
        <v>2</v>
      </c>
      <c r="I148" s="35"/>
      <c r="J148" s="35"/>
      <c r="K148" s="269">
        <f t="shared" si="11"/>
        <v>2</v>
      </c>
      <c r="L148" s="262" t="e">
        <f t="shared" si="12"/>
        <v>#REF!</v>
      </c>
    </row>
    <row r="149" spans="1:12" s="42" customFormat="1" x14ac:dyDescent="0.3">
      <c r="A149" s="35"/>
      <c r="B149" s="35" t="e">
        <f>#REF!</f>
        <v>#REF!</v>
      </c>
      <c r="C149" s="35" t="e">
        <f>#REF!</f>
        <v>#REF!</v>
      </c>
      <c r="D149" s="174" t="e">
        <f>#REF!</f>
        <v>#REF!</v>
      </c>
      <c r="E149" s="35">
        <v>34</v>
      </c>
      <c r="F149" s="38" t="e">
        <f>#REF!</f>
        <v>#REF!</v>
      </c>
      <c r="G149" s="256" t="e">
        <f t="shared" si="10"/>
        <v>#REF!</v>
      </c>
      <c r="H149" s="197">
        <v>34</v>
      </c>
      <c r="I149" s="35"/>
      <c r="J149" s="35"/>
      <c r="K149" s="269">
        <f t="shared" si="11"/>
        <v>34</v>
      </c>
      <c r="L149" s="262" t="e">
        <f t="shared" si="12"/>
        <v>#REF!</v>
      </c>
    </row>
    <row r="150" spans="1:12" s="42" customFormat="1" x14ac:dyDescent="0.3">
      <c r="A150" s="35"/>
      <c r="B150" s="35" t="e">
        <f>#REF!</f>
        <v>#REF!</v>
      </c>
      <c r="C150" s="35" t="e">
        <f>#REF!</f>
        <v>#REF!</v>
      </c>
      <c r="D150" s="174" t="e">
        <f>#REF!</f>
        <v>#REF!</v>
      </c>
      <c r="E150" s="35">
        <v>5</v>
      </c>
      <c r="F150" s="38" t="e">
        <f>#REF!</f>
        <v>#REF!</v>
      </c>
      <c r="G150" s="256" t="e">
        <f t="shared" si="10"/>
        <v>#REF!</v>
      </c>
      <c r="H150" s="197">
        <v>5</v>
      </c>
      <c r="I150" s="35"/>
      <c r="J150" s="35"/>
      <c r="K150" s="269">
        <f t="shared" si="11"/>
        <v>5</v>
      </c>
      <c r="L150" s="262" t="e">
        <f t="shared" si="12"/>
        <v>#REF!</v>
      </c>
    </row>
    <row r="151" spans="1:12" s="42" customFormat="1" x14ac:dyDescent="0.3">
      <c r="A151" s="35"/>
      <c r="B151" s="35" t="e">
        <f>#REF!</f>
        <v>#REF!</v>
      </c>
      <c r="C151" s="35" t="e">
        <f>#REF!</f>
        <v>#REF!</v>
      </c>
      <c r="D151" s="174" t="e">
        <f>#REF!</f>
        <v>#REF!</v>
      </c>
      <c r="E151" s="35">
        <v>12</v>
      </c>
      <c r="F151" s="38" t="e">
        <f>#REF!</f>
        <v>#REF!</v>
      </c>
      <c r="G151" s="256" t="e">
        <f t="shared" si="10"/>
        <v>#REF!</v>
      </c>
      <c r="H151" s="197">
        <v>12</v>
      </c>
      <c r="I151" s="35"/>
      <c r="J151" s="35"/>
      <c r="K151" s="269">
        <f t="shared" si="11"/>
        <v>12</v>
      </c>
      <c r="L151" s="262" t="e">
        <f t="shared" si="12"/>
        <v>#REF!</v>
      </c>
    </row>
    <row r="152" spans="1:12" s="42" customFormat="1" x14ac:dyDescent="0.3">
      <c r="A152" s="35"/>
      <c r="B152" s="35" t="e">
        <f>#REF!</f>
        <v>#REF!</v>
      </c>
      <c r="C152" s="35" t="e">
        <f>#REF!</f>
        <v>#REF!</v>
      </c>
      <c r="D152" s="174" t="e">
        <f>#REF!</f>
        <v>#REF!</v>
      </c>
      <c r="E152" s="35">
        <v>3</v>
      </c>
      <c r="F152" s="38" t="e">
        <f>#REF!</f>
        <v>#REF!</v>
      </c>
      <c r="G152" s="256" t="e">
        <f t="shared" si="10"/>
        <v>#REF!</v>
      </c>
      <c r="H152" s="197">
        <v>3</v>
      </c>
      <c r="I152" s="35"/>
      <c r="J152" s="35"/>
      <c r="K152" s="269">
        <f t="shared" si="11"/>
        <v>3</v>
      </c>
      <c r="L152" s="262" t="e">
        <f t="shared" si="12"/>
        <v>#REF!</v>
      </c>
    </row>
    <row r="153" spans="1:12" s="42" customFormat="1" x14ac:dyDescent="0.3">
      <c r="A153" s="35"/>
      <c r="B153" s="35" t="e">
        <f>#REF!</f>
        <v>#REF!</v>
      </c>
      <c r="C153" s="35" t="e">
        <f>#REF!</f>
        <v>#REF!</v>
      </c>
      <c r="D153" s="174" t="e">
        <f>#REF!</f>
        <v>#REF!</v>
      </c>
      <c r="E153" s="35">
        <v>1</v>
      </c>
      <c r="F153" s="38" t="e">
        <f>#REF!</f>
        <v>#REF!</v>
      </c>
      <c r="G153" s="256" t="e">
        <f t="shared" si="10"/>
        <v>#REF!</v>
      </c>
      <c r="H153" s="197">
        <v>1</v>
      </c>
      <c r="I153" s="35"/>
      <c r="J153" s="35"/>
      <c r="K153" s="269">
        <f t="shared" si="11"/>
        <v>1</v>
      </c>
      <c r="L153" s="262" t="e">
        <f t="shared" si="12"/>
        <v>#REF!</v>
      </c>
    </row>
    <row r="154" spans="1:12" s="42" customFormat="1" x14ac:dyDescent="0.3">
      <c r="A154" s="35"/>
      <c r="B154" s="35" t="e">
        <f>#REF!</f>
        <v>#REF!</v>
      </c>
      <c r="C154" s="35" t="e">
        <f>#REF!</f>
        <v>#REF!</v>
      </c>
      <c r="D154" s="174" t="e">
        <f>#REF!</f>
        <v>#REF!</v>
      </c>
      <c r="E154" s="35">
        <v>1</v>
      </c>
      <c r="F154" s="38" t="e">
        <f>#REF!</f>
        <v>#REF!</v>
      </c>
      <c r="G154" s="256" t="e">
        <f t="shared" si="10"/>
        <v>#REF!</v>
      </c>
      <c r="H154" s="197">
        <v>1</v>
      </c>
      <c r="I154" s="35"/>
      <c r="J154" s="35"/>
      <c r="K154" s="269">
        <f t="shared" si="11"/>
        <v>1</v>
      </c>
      <c r="L154" s="262" t="e">
        <f t="shared" si="12"/>
        <v>#REF!</v>
      </c>
    </row>
    <row r="155" spans="1:12" s="42" customFormat="1" x14ac:dyDescent="0.3">
      <c r="A155" s="35"/>
      <c r="B155" s="35" t="e">
        <f>#REF!</f>
        <v>#REF!</v>
      </c>
      <c r="C155" s="35" t="e">
        <f>#REF!</f>
        <v>#REF!</v>
      </c>
      <c r="D155" s="174" t="e">
        <f>#REF!</f>
        <v>#REF!</v>
      </c>
      <c r="E155" s="35">
        <v>50</v>
      </c>
      <c r="F155" s="38" t="e">
        <f>#REF!</f>
        <v>#REF!</v>
      </c>
      <c r="G155" s="256" t="e">
        <f t="shared" si="10"/>
        <v>#REF!</v>
      </c>
      <c r="H155" s="197"/>
      <c r="I155" s="35">
        <v>50</v>
      </c>
      <c r="J155" s="35"/>
      <c r="K155" s="269">
        <f t="shared" si="11"/>
        <v>50</v>
      </c>
      <c r="L155" s="262" t="e">
        <f t="shared" si="12"/>
        <v>#REF!</v>
      </c>
    </row>
    <row r="156" spans="1:12" s="42" customFormat="1" x14ac:dyDescent="0.3">
      <c r="A156" s="35"/>
      <c r="B156" s="35" t="e">
        <f>#REF!</f>
        <v>#REF!</v>
      </c>
      <c r="C156" s="35" t="e">
        <f>#REF!</f>
        <v>#REF!</v>
      </c>
      <c r="D156" s="174" t="e">
        <f>#REF!</f>
        <v>#REF!</v>
      </c>
      <c r="E156" s="35">
        <v>1</v>
      </c>
      <c r="F156" s="38" t="e">
        <f>#REF!</f>
        <v>#REF!</v>
      </c>
      <c r="G156" s="256" t="e">
        <f t="shared" si="10"/>
        <v>#REF!</v>
      </c>
      <c r="H156" s="197">
        <v>1</v>
      </c>
      <c r="I156" s="35"/>
      <c r="J156" s="35"/>
      <c r="K156" s="269">
        <f t="shared" si="11"/>
        <v>1</v>
      </c>
      <c r="L156" s="262" t="e">
        <f t="shared" si="12"/>
        <v>#REF!</v>
      </c>
    </row>
    <row r="157" spans="1:12" s="42" customFormat="1" x14ac:dyDescent="0.3">
      <c r="A157" s="35"/>
      <c r="B157" s="35" t="e">
        <f>#REF!</f>
        <v>#REF!</v>
      </c>
      <c r="C157" s="35" t="e">
        <f>#REF!</f>
        <v>#REF!</v>
      </c>
      <c r="D157" s="174" t="e">
        <f>#REF!</f>
        <v>#REF!</v>
      </c>
      <c r="E157" s="35">
        <v>1</v>
      </c>
      <c r="F157" s="38" t="e">
        <f>#REF!</f>
        <v>#REF!</v>
      </c>
      <c r="G157" s="256" t="e">
        <f t="shared" si="10"/>
        <v>#REF!</v>
      </c>
      <c r="H157" s="197">
        <v>1</v>
      </c>
      <c r="I157" s="35"/>
      <c r="J157" s="35"/>
      <c r="K157" s="269">
        <f t="shared" si="11"/>
        <v>1</v>
      </c>
      <c r="L157" s="262" t="e">
        <f t="shared" si="12"/>
        <v>#REF!</v>
      </c>
    </row>
    <row r="158" spans="1:12" s="42" customFormat="1" x14ac:dyDescent="0.3">
      <c r="A158" s="35"/>
      <c r="B158" s="35" t="e">
        <f>#REF!</f>
        <v>#REF!</v>
      </c>
      <c r="C158" s="35" t="e">
        <f>#REF!</f>
        <v>#REF!</v>
      </c>
      <c r="D158" s="174" t="e">
        <f>#REF!</f>
        <v>#REF!</v>
      </c>
      <c r="E158" s="35">
        <v>835</v>
      </c>
      <c r="F158" s="38" t="e">
        <f>#REF!</f>
        <v>#REF!</v>
      </c>
      <c r="G158" s="256" t="e">
        <f t="shared" si="10"/>
        <v>#REF!</v>
      </c>
      <c r="H158" s="197"/>
      <c r="I158" s="35">
        <v>835</v>
      </c>
      <c r="J158" s="35"/>
      <c r="K158" s="269">
        <f t="shared" si="11"/>
        <v>835</v>
      </c>
      <c r="L158" s="262" t="e">
        <f t="shared" si="12"/>
        <v>#REF!</v>
      </c>
    </row>
    <row r="159" spans="1:12" s="42" customFormat="1" x14ac:dyDescent="0.3">
      <c r="A159" s="35"/>
      <c r="B159" s="35" t="e">
        <f>#REF!</f>
        <v>#REF!</v>
      </c>
      <c r="C159" s="35" t="e">
        <f>#REF!</f>
        <v>#REF!</v>
      </c>
      <c r="D159" s="174" t="e">
        <f>#REF!</f>
        <v>#REF!</v>
      </c>
      <c r="E159" s="35">
        <v>25</v>
      </c>
      <c r="F159" s="38" t="e">
        <f>#REF!</f>
        <v>#REF!</v>
      </c>
      <c r="G159" s="256" t="e">
        <f t="shared" si="10"/>
        <v>#REF!</v>
      </c>
      <c r="H159" s="197">
        <v>25</v>
      </c>
      <c r="I159" s="35"/>
      <c r="J159" s="35"/>
      <c r="K159" s="269">
        <f t="shared" si="11"/>
        <v>25</v>
      </c>
      <c r="L159" s="262" t="e">
        <f t="shared" si="12"/>
        <v>#REF!</v>
      </c>
    </row>
    <row r="160" spans="1:12" s="42" customFormat="1" x14ac:dyDescent="0.3">
      <c r="A160" s="35"/>
      <c r="B160" s="35" t="e">
        <f>#REF!</f>
        <v>#REF!</v>
      </c>
      <c r="C160" s="35" t="e">
        <f>#REF!</f>
        <v>#REF!</v>
      </c>
      <c r="D160" s="174" t="e">
        <f>#REF!</f>
        <v>#REF!</v>
      </c>
      <c r="E160" s="35">
        <v>100</v>
      </c>
      <c r="F160" s="38" t="e">
        <f>#REF!</f>
        <v>#REF!</v>
      </c>
      <c r="G160" s="256" t="e">
        <f t="shared" si="10"/>
        <v>#REF!</v>
      </c>
      <c r="H160" s="197"/>
      <c r="I160" s="35">
        <v>100</v>
      </c>
      <c r="J160" s="35"/>
      <c r="K160" s="269">
        <f t="shared" si="11"/>
        <v>100</v>
      </c>
      <c r="L160" s="262" t="e">
        <f t="shared" si="12"/>
        <v>#REF!</v>
      </c>
    </row>
    <row r="161" spans="1:12" s="42" customFormat="1" x14ac:dyDescent="0.3">
      <c r="A161" s="35"/>
      <c r="B161" s="35" t="e">
        <f>#REF!</f>
        <v>#REF!</v>
      </c>
      <c r="C161" s="35" t="e">
        <f>#REF!</f>
        <v>#REF!</v>
      </c>
      <c r="D161" s="174" t="e">
        <f>#REF!</f>
        <v>#REF!</v>
      </c>
      <c r="E161" s="35">
        <v>5</v>
      </c>
      <c r="F161" s="38" t="e">
        <f>#REF!</f>
        <v>#REF!</v>
      </c>
      <c r="G161" s="256" t="e">
        <f t="shared" si="10"/>
        <v>#REF!</v>
      </c>
      <c r="H161" s="197"/>
      <c r="I161" s="35">
        <v>5</v>
      </c>
      <c r="J161" s="35"/>
      <c r="K161" s="269">
        <f t="shared" si="11"/>
        <v>5</v>
      </c>
      <c r="L161" s="262" t="e">
        <f t="shared" si="12"/>
        <v>#REF!</v>
      </c>
    </row>
    <row r="162" spans="1:12" s="42" customFormat="1" x14ac:dyDescent="0.3">
      <c r="A162" s="35"/>
      <c r="B162" s="35" t="e">
        <f>#REF!</f>
        <v>#REF!</v>
      </c>
      <c r="C162" s="35" t="e">
        <f>#REF!</f>
        <v>#REF!</v>
      </c>
      <c r="D162" s="174" t="e">
        <f>#REF!</f>
        <v>#REF!</v>
      </c>
      <c r="E162" s="35">
        <v>500</v>
      </c>
      <c r="F162" s="38" t="e">
        <f>#REF!</f>
        <v>#REF!</v>
      </c>
      <c r="G162" s="256" t="e">
        <f t="shared" si="10"/>
        <v>#REF!</v>
      </c>
      <c r="H162" s="197"/>
      <c r="I162" s="35">
        <v>500</v>
      </c>
      <c r="J162" s="35"/>
      <c r="K162" s="269">
        <f t="shared" si="11"/>
        <v>500</v>
      </c>
      <c r="L162" s="262" t="e">
        <f t="shared" si="12"/>
        <v>#REF!</v>
      </c>
    </row>
    <row r="163" spans="1:12" s="42" customFormat="1" x14ac:dyDescent="0.3">
      <c r="A163" s="35"/>
      <c r="B163" s="35" t="e">
        <f>#REF!</f>
        <v>#REF!</v>
      </c>
      <c r="C163" s="35" t="e">
        <f>#REF!</f>
        <v>#REF!</v>
      </c>
      <c r="D163" s="174" t="e">
        <f>#REF!</f>
        <v>#REF!</v>
      </c>
      <c r="E163" s="35">
        <v>90</v>
      </c>
      <c r="F163" s="38" t="e">
        <f>#REF!</f>
        <v>#REF!</v>
      </c>
      <c r="G163" s="256" t="e">
        <f t="shared" si="10"/>
        <v>#REF!</v>
      </c>
      <c r="H163" s="197"/>
      <c r="I163" s="35">
        <v>90</v>
      </c>
      <c r="J163" s="35"/>
      <c r="K163" s="269">
        <f t="shared" si="11"/>
        <v>90</v>
      </c>
      <c r="L163" s="262" t="e">
        <f t="shared" si="12"/>
        <v>#REF!</v>
      </c>
    </row>
    <row r="164" spans="1:12" s="42" customFormat="1" x14ac:dyDescent="0.3">
      <c r="A164" s="35"/>
      <c r="B164" s="35" t="e">
        <f>#REF!</f>
        <v>#REF!</v>
      </c>
      <c r="C164" s="35" t="e">
        <f>#REF!</f>
        <v>#REF!</v>
      </c>
      <c r="D164" s="174" t="e">
        <f>#REF!</f>
        <v>#REF!</v>
      </c>
      <c r="E164" s="35">
        <v>180</v>
      </c>
      <c r="F164" s="38" t="e">
        <f>#REF!</f>
        <v>#REF!</v>
      </c>
      <c r="G164" s="256" t="e">
        <f t="shared" ref="G164:G210" si="13">E164*F164</f>
        <v>#REF!</v>
      </c>
      <c r="H164" s="197"/>
      <c r="I164" s="35">
        <v>180</v>
      </c>
      <c r="J164" s="35"/>
      <c r="K164" s="269">
        <f t="shared" si="11"/>
        <v>180</v>
      </c>
      <c r="L164" s="262" t="e">
        <f t="shared" si="12"/>
        <v>#REF!</v>
      </c>
    </row>
    <row r="165" spans="1:12" s="42" customFormat="1" x14ac:dyDescent="0.3">
      <c r="A165" s="35"/>
      <c r="B165" s="35" t="e">
        <f>#REF!</f>
        <v>#REF!</v>
      </c>
      <c r="C165" s="35" t="e">
        <f>#REF!</f>
        <v>#REF!</v>
      </c>
      <c r="D165" s="174" t="e">
        <f>#REF!</f>
        <v>#REF!</v>
      </c>
      <c r="E165" s="35">
        <v>150</v>
      </c>
      <c r="F165" s="38" t="e">
        <f>#REF!</f>
        <v>#REF!</v>
      </c>
      <c r="G165" s="256" t="e">
        <f t="shared" si="13"/>
        <v>#REF!</v>
      </c>
      <c r="H165" s="197"/>
      <c r="I165" s="35">
        <v>150</v>
      </c>
      <c r="J165" s="35"/>
      <c r="K165" s="269">
        <f t="shared" si="11"/>
        <v>150</v>
      </c>
      <c r="L165" s="262" t="e">
        <f t="shared" si="12"/>
        <v>#REF!</v>
      </c>
    </row>
    <row r="166" spans="1:12" s="42" customFormat="1" x14ac:dyDescent="0.3">
      <c r="A166" s="35"/>
      <c r="B166" s="35" t="e">
        <f>#REF!</f>
        <v>#REF!</v>
      </c>
      <c r="C166" s="35" t="e">
        <f>#REF!</f>
        <v>#REF!</v>
      </c>
      <c r="D166" s="174" t="e">
        <f>#REF!</f>
        <v>#REF!</v>
      </c>
      <c r="E166" s="35">
        <v>40</v>
      </c>
      <c r="F166" s="38" t="e">
        <f>#REF!</f>
        <v>#REF!</v>
      </c>
      <c r="G166" s="256" t="e">
        <f t="shared" si="13"/>
        <v>#REF!</v>
      </c>
      <c r="H166" s="197">
        <v>40</v>
      </c>
      <c r="I166" s="35"/>
      <c r="J166" s="35"/>
      <c r="K166" s="269">
        <f t="shared" si="11"/>
        <v>40</v>
      </c>
      <c r="L166" s="262" t="e">
        <f t="shared" si="12"/>
        <v>#REF!</v>
      </c>
    </row>
    <row r="167" spans="1:12" s="42" customFormat="1" x14ac:dyDescent="0.3">
      <c r="A167" s="35"/>
      <c r="B167" s="35" t="e">
        <f>#REF!</f>
        <v>#REF!</v>
      </c>
      <c r="C167" s="35" t="e">
        <f>#REF!</f>
        <v>#REF!</v>
      </c>
      <c r="D167" s="174" t="e">
        <f>#REF!</f>
        <v>#REF!</v>
      </c>
      <c r="E167" s="35">
        <v>9</v>
      </c>
      <c r="F167" s="38" t="e">
        <f>#REF!</f>
        <v>#REF!</v>
      </c>
      <c r="G167" s="256" t="e">
        <f t="shared" si="13"/>
        <v>#REF!</v>
      </c>
      <c r="H167" s="197"/>
      <c r="I167" s="35">
        <v>9</v>
      </c>
      <c r="J167" s="35"/>
      <c r="K167" s="269">
        <f t="shared" si="11"/>
        <v>9</v>
      </c>
      <c r="L167" s="262" t="e">
        <f t="shared" si="12"/>
        <v>#REF!</v>
      </c>
    </row>
    <row r="168" spans="1:12" s="42" customFormat="1" x14ac:dyDescent="0.3">
      <c r="A168" s="35"/>
      <c r="B168" s="35" t="e">
        <f>#REF!</f>
        <v>#REF!</v>
      </c>
      <c r="C168" s="35" t="e">
        <f>#REF!</f>
        <v>#REF!</v>
      </c>
      <c r="D168" s="174" t="e">
        <f>#REF!</f>
        <v>#REF!</v>
      </c>
      <c r="E168" s="35">
        <v>28</v>
      </c>
      <c r="F168" s="38" t="e">
        <f>#REF!</f>
        <v>#REF!</v>
      </c>
      <c r="G168" s="256" t="e">
        <f t="shared" si="13"/>
        <v>#REF!</v>
      </c>
      <c r="H168" s="197">
        <v>28</v>
      </c>
      <c r="I168" s="35"/>
      <c r="J168" s="35"/>
      <c r="K168" s="269">
        <f t="shared" si="11"/>
        <v>28</v>
      </c>
      <c r="L168" s="262" t="e">
        <f t="shared" si="12"/>
        <v>#REF!</v>
      </c>
    </row>
    <row r="169" spans="1:12" s="42" customFormat="1" x14ac:dyDescent="0.3">
      <c r="A169" s="35"/>
      <c r="B169" s="35" t="e">
        <f>#REF!</f>
        <v>#REF!</v>
      </c>
      <c r="C169" s="35" t="e">
        <f>#REF!</f>
        <v>#REF!</v>
      </c>
      <c r="D169" s="174" t="e">
        <f>#REF!</f>
        <v>#REF!</v>
      </c>
      <c r="E169" s="35">
        <v>10</v>
      </c>
      <c r="F169" s="38" t="e">
        <f>#REF!</f>
        <v>#REF!</v>
      </c>
      <c r="G169" s="256" t="e">
        <f t="shared" si="13"/>
        <v>#REF!</v>
      </c>
      <c r="H169" s="197">
        <v>10</v>
      </c>
      <c r="I169" s="35"/>
      <c r="J169" s="35"/>
      <c r="K169" s="269">
        <f t="shared" si="11"/>
        <v>10</v>
      </c>
      <c r="L169" s="262" t="e">
        <f t="shared" si="12"/>
        <v>#REF!</v>
      </c>
    </row>
    <row r="170" spans="1:12" s="42" customFormat="1" x14ac:dyDescent="0.3">
      <c r="A170" s="35"/>
      <c r="B170" s="35" t="e">
        <f>#REF!</f>
        <v>#REF!</v>
      </c>
      <c r="C170" s="35" t="e">
        <f>#REF!</f>
        <v>#REF!</v>
      </c>
      <c r="D170" s="174" t="e">
        <f>#REF!</f>
        <v>#REF!</v>
      </c>
      <c r="E170" s="35">
        <v>3</v>
      </c>
      <c r="F170" s="38" t="e">
        <f>#REF!</f>
        <v>#REF!</v>
      </c>
      <c r="G170" s="256" t="e">
        <f t="shared" si="13"/>
        <v>#REF!</v>
      </c>
      <c r="H170" s="197">
        <v>3</v>
      </c>
      <c r="I170" s="35"/>
      <c r="J170" s="35"/>
      <c r="K170" s="269">
        <f t="shared" si="11"/>
        <v>3</v>
      </c>
      <c r="L170" s="262" t="e">
        <f t="shared" si="12"/>
        <v>#REF!</v>
      </c>
    </row>
    <row r="171" spans="1:12" s="42" customFormat="1" x14ac:dyDescent="0.3">
      <c r="A171" s="35"/>
      <c r="B171" s="35" t="e">
        <f>#REF!</f>
        <v>#REF!</v>
      </c>
      <c r="C171" s="35" t="e">
        <f>#REF!</f>
        <v>#REF!</v>
      </c>
      <c r="D171" s="174" t="e">
        <f>#REF!</f>
        <v>#REF!</v>
      </c>
      <c r="E171" s="35">
        <v>1</v>
      </c>
      <c r="F171" s="38" t="e">
        <f>#REF!</f>
        <v>#REF!</v>
      </c>
      <c r="G171" s="256" t="e">
        <f t="shared" si="13"/>
        <v>#REF!</v>
      </c>
      <c r="H171" s="197">
        <v>1</v>
      </c>
      <c r="I171" s="35"/>
      <c r="J171" s="35"/>
      <c r="K171" s="269">
        <f t="shared" si="11"/>
        <v>1</v>
      </c>
      <c r="L171" s="262" t="e">
        <f t="shared" si="12"/>
        <v>#REF!</v>
      </c>
    </row>
    <row r="172" spans="1:12" s="42" customFormat="1" x14ac:dyDescent="0.3">
      <c r="A172" s="35"/>
      <c r="B172" s="35" t="e">
        <f>#REF!</f>
        <v>#REF!</v>
      </c>
      <c r="C172" s="35" t="e">
        <f>#REF!</f>
        <v>#REF!</v>
      </c>
      <c r="D172" s="174" t="e">
        <f>#REF!</f>
        <v>#REF!</v>
      </c>
      <c r="E172" s="35">
        <v>1</v>
      </c>
      <c r="F172" s="38" t="e">
        <f>#REF!</f>
        <v>#REF!</v>
      </c>
      <c r="G172" s="256" t="e">
        <f t="shared" si="13"/>
        <v>#REF!</v>
      </c>
      <c r="H172" s="197">
        <v>1</v>
      </c>
      <c r="I172" s="35"/>
      <c r="J172" s="35"/>
      <c r="K172" s="269">
        <f t="shared" si="11"/>
        <v>1</v>
      </c>
      <c r="L172" s="262" t="e">
        <f t="shared" si="12"/>
        <v>#REF!</v>
      </c>
    </row>
    <row r="173" spans="1:12" s="42" customFormat="1" x14ac:dyDescent="0.3">
      <c r="A173" s="35"/>
      <c r="B173" s="35" t="e">
        <f>#REF!</f>
        <v>#REF!</v>
      </c>
      <c r="C173" s="35" t="e">
        <f>#REF!</f>
        <v>#REF!</v>
      </c>
      <c r="D173" s="174" t="e">
        <f>#REF!</f>
        <v>#REF!</v>
      </c>
      <c r="E173" s="35">
        <v>1</v>
      </c>
      <c r="F173" s="38" t="e">
        <f>#REF!</f>
        <v>#REF!</v>
      </c>
      <c r="G173" s="256" t="e">
        <f t="shared" si="13"/>
        <v>#REF!</v>
      </c>
      <c r="H173" s="197">
        <v>1</v>
      </c>
      <c r="I173" s="35"/>
      <c r="J173" s="35"/>
      <c r="K173" s="269">
        <f t="shared" si="11"/>
        <v>1</v>
      </c>
      <c r="L173" s="262" t="e">
        <f t="shared" si="12"/>
        <v>#REF!</v>
      </c>
    </row>
    <row r="174" spans="1:12" s="42" customFormat="1" x14ac:dyDescent="0.3">
      <c r="A174" s="35"/>
      <c r="B174" s="35" t="e">
        <f>#REF!</f>
        <v>#REF!</v>
      </c>
      <c r="C174" s="35" t="e">
        <f>#REF!</f>
        <v>#REF!</v>
      </c>
      <c r="D174" s="174" t="e">
        <f>#REF!</f>
        <v>#REF!</v>
      </c>
      <c r="E174" s="35">
        <v>8</v>
      </c>
      <c r="F174" s="38" t="e">
        <f>#REF!</f>
        <v>#REF!</v>
      </c>
      <c r="G174" s="256" t="e">
        <f t="shared" si="13"/>
        <v>#REF!</v>
      </c>
      <c r="H174" s="197"/>
      <c r="I174" s="35">
        <v>8</v>
      </c>
      <c r="J174" s="35"/>
      <c r="K174" s="269">
        <f t="shared" si="11"/>
        <v>8</v>
      </c>
      <c r="L174" s="262" t="e">
        <f t="shared" si="12"/>
        <v>#REF!</v>
      </c>
    </row>
    <row r="175" spans="1:12" s="42" customFormat="1" x14ac:dyDescent="0.3">
      <c r="A175" s="35"/>
      <c r="B175" s="35" t="e">
        <f>#REF!</f>
        <v>#REF!</v>
      </c>
      <c r="C175" s="35" t="e">
        <f>#REF!</f>
        <v>#REF!</v>
      </c>
      <c r="D175" s="174" t="e">
        <f>#REF!</f>
        <v>#REF!</v>
      </c>
      <c r="E175" s="35">
        <v>6</v>
      </c>
      <c r="F175" s="38" t="e">
        <f>#REF!</f>
        <v>#REF!</v>
      </c>
      <c r="G175" s="256" t="e">
        <f t="shared" si="13"/>
        <v>#REF!</v>
      </c>
      <c r="H175" s="197">
        <v>6</v>
      </c>
      <c r="I175" s="35"/>
      <c r="J175" s="35"/>
      <c r="K175" s="269">
        <f t="shared" si="11"/>
        <v>6</v>
      </c>
      <c r="L175" s="262" t="e">
        <f t="shared" si="12"/>
        <v>#REF!</v>
      </c>
    </row>
    <row r="176" spans="1:12" s="42" customFormat="1" x14ac:dyDescent="0.3">
      <c r="A176" s="35"/>
      <c r="B176" s="35" t="e">
        <f>#REF!</f>
        <v>#REF!</v>
      </c>
      <c r="C176" s="35" t="e">
        <f>#REF!</f>
        <v>#REF!</v>
      </c>
      <c r="D176" s="174" t="e">
        <f>#REF!</f>
        <v>#REF!</v>
      </c>
      <c r="E176" s="35">
        <v>5</v>
      </c>
      <c r="F176" s="38" t="e">
        <f>#REF!</f>
        <v>#REF!</v>
      </c>
      <c r="G176" s="256" t="e">
        <f t="shared" si="13"/>
        <v>#REF!</v>
      </c>
      <c r="H176" s="197">
        <v>5</v>
      </c>
      <c r="I176" s="35"/>
      <c r="J176" s="35"/>
      <c r="K176" s="269">
        <f t="shared" si="11"/>
        <v>5</v>
      </c>
      <c r="L176" s="262" t="e">
        <f t="shared" si="12"/>
        <v>#REF!</v>
      </c>
    </row>
    <row r="177" spans="1:12" s="42" customFormat="1" x14ac:dyDescent="0.3">
      <c r="A177" s="35"/>
      <c r="B177" s="35" t="e">
        <f>#REF!</f>
        <v>#REF!</v>
      </c>
      <c r="C177" s="35" t="e">
        <f>#REF!</f>
        <v>#REF!</v>
      </c>
      <c r="D177" s="174" t="e">
        <f>#REF!</f>
        <v>#REF!</v>
      </c>
      <c r="E177" s="35">
        <v>2</v>
      </c>
      <c r="F177" s="38" t="e">
        <f>#REF!</f>
        <v>#REF!</v>
      </c>
      <c r="G177" s="256" t="e">
        <f t="shared" si="13"/>
        <v>#REF!</v>
      </c>
      <c r="H177" s="197"/>
      <c r="I177" s="35">
        <v>2</v>
      </c>
      <c r="J177" s="35"/>
      <c r="K177" s="269">
        <f t="shared" si="11"/>
        <v>2</v>
      </c>
      <c r="L177" s="262" t="e">
        <f t="shared" si="12"/>
        <v>#REF!</v>
      </c>
    </row>
    <row r="178" spans="1:12" s="42" customFormat="1" x14ac:dyDescent="0.3">
      <c r="A178" s="35"/>
      <c r="B178" s="35" t="e">
        <f>#REF!</f>
        <v>#REF!</v>
      </c>
      <c r="C178" s="35" t="e">
        <f>#REF!</f>
        <v>#REF!</v>
      </c>
      <c r="D178" s="174" t="e">
        <f>#REF!</f>
        <v>#REF!</v>
      </c>
      <c r="E178" s="35">
        <v>98</v>
      </c>
      <c r="F178" s="38" t="e">
        <f>#REF!</f>
        <v>#REF!</v>
      </c>
      <c r="G178" s="256" t="e">
        <f t="shared" si="13"/>
        <v>#REF!</v>
      </c>
      <c r="H178" s="197">
        <v>98</v>
      </c>
      <c r="I178" s="35"/>
      <c r="J178" s="35"/>
      <c r="K178" s="269">
        <f t="shared" si="11"/>
        <v>98</v>
      </c>
      <c r="L178" s="262" t="e">
        <f t="shared" si="12"/>
        <v>#REF!</v>
      </c>
    </row>
    <row r="179" spans="1:12" s="42" customFormat="1" x14ac:dyDescent="0.3">
      <c r="A179" s="35"/>
      <c r="B179" s="35" t="e">
        <f>#REF!</f>
        <v>#REF!</v>
      </c>
      <c r="C179" s="35" t="e">
        <f>#REF!</f>
        <v>#REF!</v>
      </c>
      <c r="D179" s="174" t="e">
        <f>#REF!</f>
        <v>#REF!</v>
      </c>
      <c r="E179" s="35">
        <v>30</v>
      </c>
      <c r="F179" s="38" t="e">
        <f>#REF!</f>
        <v>#REF!</v>
      </c>
      <c r="G179" s="256" t="e">
        <f t="shared" si="13"/>
        <v>#REF!</v>
      </c>
      <c r="H179" s="197"/>
      <c r="I179" s="35">
        <v>30</v>
      </c>
      <c r="J179" s="35"/>
      <c r="K179" s="269">
        <f t="shared" si="11"/>
        <v>30</v>
      </c>
      <c r="L179" s="262" t="e">
        <f t="shared" si="12"/>
        <v>#REF!</v>
      </c>
    </row>
    <row r="180" spans="1:12" s="42" customFormat="1" x14ac:dyDescent="0.3">
      <c r="A180" s="35"/>
      <c r="B180" s="35" t="e">
        <f>#REF!</f>
        <v>#REF!</v>
      </c>
      <c r="C180" s="35" t="e">
        <f>#REF!</f>
        <v>#REF!</v>
      </c>
      <c r="D180" s="174" t="e">
        <f>#REF!</f>
        <v>#REF!</v>
      </c>
      <c r="E180" s="35">
        <v>1</v>
      </c>
      <c r="F180" s="38" t="e">
        <f>#REF!</f>
        <v>#REF!</v>
      </c>
      <c r="G180" s="256" t="e">
        <f t="shared" si="13"/>
        <v>#REF!</v>
      </c>
      <c r="H180" s="197">
        <v>1</v>
      </c>
      <c r="I180" s="35"/>
      <c r="J180" s="35"/>
      <c r="K180" s="269">
        <f t="shared" si="11"/>
        <v>1</v>
      </c>
      <c r="L180" s="262" t="e">
        <f t="shared" si="12"/>
        <v>#REF!</v>
      </c>
    </row>
    <row r="181" spans="1:12" s="42" customFormat="1" x14ac:dyDescent="0.3">
      <c r="A181" s="35"/>
      <c r="B181" s="35" t="e">
        <f>#REF!</f>
        <v>#REF!</v>
      </c>
      <c r="C181" s="35" t="e">
        <f>#REF!</f>
        <v>#REF!</v>
      </c>
      <c r="D181" s="174" t="e">
        <f>#REF!</f>
        <v>#REF!</v>
      </c>
      <c r="E181" s="35">
        <v>3</v>
      </c>
      <c r="F181" s="38" t="e">
        <f>#REF!</f>
        <v>#REF!</v>
      </c>
      <c r="G181" s="256" t="e">
        <f t="shared" si="13"/>
        <v>#REF!</v>
      </c>
      <c r="H181" s="197">
        <v>3</v>
      </c>
      <c r="I181" s="35"/>
      <c r="J181" s="35"/>
      <c r="K181" s="269">
        <f t="shared" si="11"/>
        <v>3</v>
      </c>
      <c r="L181" s="262" t="e">
        <f t="shared" si="12"/>
        <v>#REF!</v>
      </c>
    </row>
    <row r="182" spans="1:12" s="42" customFormat="1" x14ac:dyDescent="0.3">
      <c r="A182" s="35"/>
      <c r="B182" s="35" t="e">
        <f>#REF!</f>
        <v>#REF!</v>
      </c>
      <c r="C182" s="35" t="e">
        <f>#REF!</f>
        <v>#REF!</v>
      </c>
      <c r="D182" s="174" t="e">
        <f>#REF!</f>
        <v>#REF!</v>
      </c>
      <c r="E182" s="35">
        <v>8</v>
      </c>
      <c r="F182" s="38" t="e">
        <f>#REF!</f>
        <v>#REF!</v>
      </c>
      <c r="G182" s="256" t="e">
        <f t="shared" si="13"/>
        <v>#REF!</v>
      </c>
      <c r="H182" s="197"/>
      <c r="I182" s="35"/>
      <c r="J182" s="35">
        <v>8</v>
      </c>
      <c r="K182" s="269">
        <f t="shared" si="11"/>
        <v>8</v>
      </c>
      <c r="L182" s="262" t="e">
        <f t="shared" si="12"/>
        <v>#REF!</v>
      </c>
    </row>
    <row r="183" spans="1:12" s="42" customFormat="1" x14ac:dyDescent="0.3">
      <c r="A183" s="35"/>
      <c r="B183" s="35" t="e">
        <f>#REF!</f>
        <v>#REF!</v>
      </c>
      <c r="C183" s="35" t="e">
        <f>#REF!</f>
        <v>#REF!</v>
      </c>
      <c r="D183" s="174">
        <v>100</v>
      </c>
      <c r="E183" s="35">
        <v>63</v>
      </c>
      <c r="F183" s="38" t="e">
        <f>#REF!</f>
        <v>#REF!</v>
      </c>
      <c r="G183" s="256" t="e">
        <f t="shared" si="13"/>
        <v>#REF!</v>
      </c>
      <c r="H183" s="197">
        <v>63</v>
      </c>
      <c r="I183" s="35"/>
      <c r="J183" s="35"/>
      <c r="K183" s="269">
        <f t="shared" si="11"/>
        <v>63</v>
      </c>
      <c r="L183" s="262" t="e">
        <f t="shared" si="12"/>
        <v>#REF!</v>
      </c>
    </row>
    <row r="184" spans="1:12" s="42" customFormat="1" x14ac:dyDescent="0.3">
      <c r="A184" s="35"/>
      <c r="B184" s="35" t="e">
        <f>#REF!</f>
        <v>#REF!</v>
      </c>
      <c r="C184" s="35" t="e">
        <f>#REF!</f>
        <v>#REF!</v>
      </c>
      <c r="D184" s="174">
        <v>100</v>
      </c>
      <c r="E184" s="35">
        <v>10</v>
      </c>
      <c r="F184" s="38" t="e">
        <f>#REF!</f>
        <v>#REF!</v>
      </c>
      <c r="G184" s="256" t="e">
        <f t="shared" si="13"/>
        <v>#REF!</v>
      </c>
      <c r="H184" s="197">
        <v>10</v>
      </c>
      <c r="I184" s="35"/>
      <c r="J184" s="35"/>
      <c r="K184" s="269">
        <f t="shared" si="11"/>
        <v>10</v>
      </c>
      <c r="L184" s="262" t="e">
        <f t="shared" si="12"/>
        <v>#REF!</v>
      </c>
    </row>
    <row r="185" spans="1:12" s="42" customFormat="1" x14ac:dyDescent="0.3">
      <c r="A185" s="35"/>
      <c r="B185" s="35" t="e">
        <f>#REF!</f>
        <v>#REF!</v>
      </c>
      <c r="C185" s="35" t="e">
        <f>#REF!</f>
        <v>#REF!</v>
      </c>
      <c r="D185" s="174" t="e">
        <f>#REF!</f>
        <v>#REF!</v>
      </c>
      <c r="E185" s="35">
        <v>450</v>
      </c>
      <c r="F185" s="38" t="e">
        <f>#REF!</f>
        <v>#REF!</v>
      </c>
      <c r="G185" s="256" t="e">
        <f t="shared" si="13"/>
        <v>#REF!</v>
      </c>
      <c r="H185" s="197">
        <v>120</v>
      </c>
      <c r="I185" s="35"/>
      <c r="J185" s="35">
        <v>130</v>
      </c>
      <c r="K185" s="269">
        <f t="shared" si="11"/>
        <v>250</v>
      </c>
      <c r="L185" s="262" t="e">
        <f t="shared" si="12"/>
        <v>#REF!</v>
      </c>
    </row>
    <row r="186" spans="1:12" s="42" customFormat="1" x14ac:dyDescent="0.3">
      <c r="A186" s="35"/>
      <c r="B186" s="35" t="e">
        <f>#REF!</f>
        <v>#REF!</v>
      </c>
      <c r="C186" s="35" t="e">
        <f>#REF!</f>
        <v>#REF!</v>
      </c>
      <c r="D186" s="174" t="e">
        <f>#REF!</f>
        <v>#REF!</v>
      </c>
      <c r="E186" s="35">
        <v>700</v>
      </c>
      <c r="F186" s="38" t="e">
        <f>#REF!</f>
        <v>#REF!</v>
      </c>
      <c r="G186" s="256" t="e">
        <f t="shared" si="13"/>
        <v>#REF!</v>
      </c>
      <c r="H186" s="197"/>
      <c r="I186" s="35">
        <v>700</v>
      </c>
      <c r="J186" s="35"/>
      <c r="K186" s="269">
        <f t="shared" ref="K186:K244" si="14">H186+I186+J186</f>
        <v>700</v>
      </c>
      <c r="L186" s="262" t="e">
        <f t="shared" si="12"/>
        <v>#REF!</v>
      </c>
    </row>
    <row r="187" spans="1:12" s="42" customFormat="1" x14ac:dyDescent="0.3">
      <c r="A187" s="35"/>
      <c r="B187" s="35" t="e">
        <f>#REF!</f>
        <v>#REF!</v>
      </c>
      <c r="C187" s="35" t="e">
        <f>#REF!</f>
        <v>#REF!</v>
      </c>
      <c r="D187" s="174" t="e">
        <f>#REF!</f>
        <v>#REF!</v>
      </c>
      <c r="E187" s="35">
        <v>13</v>
      </c>
      <c r="F187" s="38" t="e">
        <f>#REF!</f>
        <v>#REF!</v>
      </c>
      <c r="G187" s="256" t="e">
        <f t="shared" si="13"/>
        <v>#REF!</v>
      </c>
      <c r="H187" s="197">
        <v>13</v>
      </c>
      <c r="I187" s="35"/>
      <c r="J187" s="35"/>
      <c r="K187" s="269">
        <f t="shared" si="14"/>
        <v>13</v>
      </c>
      <c r="L187" s="262" t="e">
        <f t="shared" si="12"/>
        <v>#REF!</v>
      </c>
    </row>
    <row r="188" spans="1:12" s="42" customFormat="1" x14ac:dyDescent="0.3">
      <c r="A188" s="35"/>
      <c r="B188" s="35" t="e">
        <f>#REF!</f>
        <v>#REF!</v>
      </c>
      <c r="C188" s="35" t="e">
        <f>#REF!</f>
        <v>#REF!</v>
      </c>
      <c r="D188" s="174" t="e">
        <f>#REF!</f>
        <v>#REF!</v>
      </c>
      <c r="E188" s="35">
        <v>2</v>
      </c>
      <c r="F188" s="38" t="e">
        <f>#REF!</f>
        <v>#REF!</v>
      </c>
      <c r="G188" s="256" t="e">
        <f t="shared" si="13"/>
        <v>#REF!</v>
      </c>
      <c r="H188" s="197">
        <v>2</v>
      </c>
      <c r="I188" s="35"/>
      <c r="J188" s="35"/>
      <c r="K188" s="269">
        <f t="shared" si="14"/>
        <v>2</v>
      </c>
      <c r="L188" s="262" t="e">
        <f t="shared" ref="L188:L246" si="15">K188*F188</f>
        <v>#REF!</v>
      </c>
    </row>
    <row r="189" spans="1:12" s="42" customFormat="1" x14ac:dyDescent="0.3">
      <c r="A189" s="35"/>
      <c r="B189" s="35" t="e">
        <f>#REF!</f>
        <v>#REF!</v>
      </c>
      <c r="C189" s="35" t="e">
        <f>#REF!</f>
        <v>#REF!</v>
      </c>
      <c r="D189" s="174" t="e">
        <f>#REF!</f>
        <v>#REF!</v>
      </c>
      <c r="E189" s="35">
        <v>3</v>
      </c>
      <c r="F189" s="38" t="e">
        <f>#REF!</f>
        <v>#REF!</v>
      </c>
      <c r="G189" s="256" t="e">
        <f t="shared" si="13"/>
        <v>#REF!</v>
      </c>
      <c r="H189" s="197"/>
      <c r="I189" s="35"/>
      <c r="J189" s="35">
        <v>3</v>
      </c>
      <c r="K189" s="269">
        <f t="shared" si="14"/>
        <v>3</v>
      </c>
      <c r="L189" s="262" t="e">
        <f t="shared" si="15"/>
        <v>#REF!</v>
      </c>
    </row>
    <row r="190" spans="1:12" s="42" customFormat="1" x14ac:dyDescent="0.3">
      <c r="A190" s="35"/>
      <c r="B190" s="35" t="e">
        <f>#REF!</f>
        <v>#REF!</v>
      </c>
      <c r="C190" s="35" t="e">
        <f>#REF!</f>
        <v>#REF!</v>
      </c>
      <c r="D190" s="174" t="e">
        <f>#REF!</f>
        <v>#REF!</v>
      </c>
      <c r="E190" s="35">
        <v>1</v>
      </c>
      <c r="F190" s="38" t="e">
        <f>#REF!</f>
        <v>#REF!</v>
      </c>
      <c r="G190" s="256" t="e">
        <f t="shared" si="13"/>
        <v>#REF!</v>
      </c>
      <c r="H190" s="197">
        <v>1</v>
      </c>
      <c r="I190" s="35"/>
      <c r="J190" s="35"/>
      <c r="K190" s="269">
        <f t="shared" si="14"/>
        <v>1</v>
      </c>
      <c r="L190" s="262" t="e">
        <f t="shared" si="15"/>
        <v>#REF!</v>
      </c>
    </row>
    <row r="191" spans="1:12" s="42" customFormat="1" x14ac:dyDescent="0.3">
      <c r="A191" s="35"/>
      <c r="B191" s="35" t="e">
        <f>#REF!</f>
        <v>#REF!</v>
      </c>
      <c r="C191" s="35" t="e">
        <f>#REF!</f>
        <v>#REF!</v>
      </c>
      <c r="D191" s="174" t="e">
        <f>#REF!</f>
        <v>#REF!</v>
      </c>
      <c r="E191" s="35">
        <v>4</v>
      </c>
      <c r="F191" s="38" t="e">
        <f>#REF!</f>
        <v>#REF!</v>
      </c>
      <c r="G191" s="256" t="e">
        <f t="shared" si="13"/>
        <v>#REF!</v>
      </c>
      <c r="H191" s="197">
        <v>4</v>
      </c>
      <c r="I191" s="35"/>
      <c r="J191" s="35"/>
      <c r="K191" s="269">
        <f t="shared" si="14"/>
        <v>4</v>
      </c>
      <c r="L191" s="262" t="e">
        <f t="shared" si="15"/>
        <v>#REF!</v>
      </c>
    </row>
    <row r="192" spans="1:12" s="42" customFormat="1" x14ac:dyDescent="0.3">
      <c r="A192" s="35"/>
      <c r="B192" s="35" t="e">
        <f>#REF!</f>
        <v>#REF!</v>
      </c>
      <c r="C192" s="35" t="e">
        <f>#REF!</f>
        <v>#REF!</v>
      </c>
      <c r="D192" s="174" t="e">
        <f>#REF!</f>
        <v>#REF!</v>
      </c>
      <c r="E192" s="35">
        <v>3</v>
      </c>
      <c r="F192" s="38" t="e">
        <f>#REF!</f>
        <v>#REF!</v>
      </c>
      <c r="G192" s="256" t="e">
        <f t="shared" si="13"/>
        <v>#REF!</v>
      </c>
      <c r="H192" s="197">
        <v>3</v>
      </c>
      <c r="I192" s="35"/>
      <c r="J192" s="35"/>
      <c r="K192" s="269">
        <f t="shared" si="14"/>
        <v>3</v>
      </c>
      <c r="L192" s="262" t="e">
        <f t="shared" si="15"/>
        <v>#REF!</v>
      </c>
    </row>
    <row r="193" spans="1:12" s="42" customFormat="1" x14ac:dyDescent="0.3">
      <c r="A193" s="35"/>
      <c r="B193" s="35" t="e">
        <f>#REF!</f>
        <v>#REF!</v>
      </c>
      <c r="C193" s="35" t="e">
        <f>#REF!</f>
        <v>#REF!</v>
      </c>
      <c r="D193" s="174" t="e">
        <f>#REF!</f>
        <v>#REF!</v>
      </c>
      <c r="E193" s="35">
        <v>13</v>
      </c>
      <c r="F193" s="38" t="e">
        <f>#REF!</f>
        <v>#REF!</v>
      </c>
      <c r="G193" s="256" t="e">
        <f t="shared" si="13"/>
        <v>#REF!</v>
      </c>
      <c r="H193" s="197"/>
      <c r="I193" s="35">
        <v>13</v>
      </c>
      <c r="J193" s="35"/>
      <c r="K193" s="269">
        <f t="shared" si="14"/>
        <v>13</v>
      </c>
      <c r="L193" s="262" t="e">
        <f t="shared" si="15"/>
        <v>#REF!</v>
      </c>
    </row>
    <row r="194" spans="1:12" s="42" customFormat="1" x14ac:dyDescent="0.3">
      <c r="A194" s="35"/>
      <c r="B194" s="35" t="e">
        <f>#REF!</f>
        <v>#REF!</v>
      </c>
      <c r="C194" s="35" t="e">
        <f>#REF!</f>
        <v>#REF!</v>
      </c>
      <c r="D194" s="174" t="e">
        <f>#REF!</f>
        <v>#REF!</v>
      </c>
      <c r="E194" s="35">
        <v>3</v>
      </c>
      <c r="F194" s="38" t="e">
        <f>#REF!</f>
        <v>#REF!</v>
      </c>
      <c r="G194" s="256" t="e">
        <f t="shared" si="13"/>
        <v>#REF!</v>
      </c>
      <c r="H194" s="197"/>
      <c r="I194" s="35">
        <v>3</v>
      </c>
      <c r="J194" s="35"/>
      <c r="K194" s="269">
        <f t="shared" si="14"/>
        <v>3</v>
      </c>
      <c r="L194" s="262" t="e">
        <f t="shared" si="15"/>
        <v>#REF!</v>
      </c>
    </row>
    <row r="195" spans="1:12" s="42" customFormat="1" x14ac:dyDescent="0.3">
      <c r="A195" s="35"/>
      <c r="B195" s="35" t="e">
        <f>#REF!</f>
        <v>#REF!</v>
      </c>
      <c r="C195" s="35" t="e">
        <f>#REF!</f>
        <v>#REF!</v>
      </c>
      <c r="D195" s="174" t="e">
        <f>#REF!</f>
        <v>#REF!</v>
      </c>
      <c r="E195" s="35">
        <v>2</v>
      </c>
      <c r="F195" s="38" t="e">
        <f>#REF!</f>
        <v>#REF!</v>
      </c>
      <c r="G195" s="256" t="e">
        <f t="shared" si="13"/>
        <v>#REF!</v>
      </c>
      <c r="H195" s="197"/>
      <c r="I195" s="35">
        <v>2</v>
      </c>
      <c r="J195" s="35"/>
      <c r="K195" s="269">
        <f t="shared" si="14"/>
        <v>2</v>
      </c>
      <c r="L195" s="262" t="e">
        <f t="shared" si="15"/>
        <v>#REF!</v>
      </c>
    </row>
    <row r="196" spans="1:12" s="42" customFormat="1" x14ac:dyDescent="0.3">
      <c r="A196" s="35"/>
      <c r="B196" s="35" t="e">
        <f>#REF!</f>
        <v>#REF!</v>
      </c>
      <c r="C196" s="35" t="e">
        <f>#REF!</f>
        <v>#REF!</v>
      </c>
      <c r="D196" s="174" t="e">
        <f>#REF!</f>
        <v>#REF!</v>
      </c>
      <c r="E196" s="35">
        <v>1</v>
      </c>
      <c r="F196" s="38" t="e">
        <f>#REF!</f>
        <v>#REF!</v>
      </c>
      <c r="G196" s="256" t="e">
        <f t="shared" si="13"/>
        <v>#REF!</v>
      </c>
      <c r="H196" s="197"/>
      <c r="I196" s="35">
        <v>1</v>
      </c>
      <c r="J196" s="35"/>
      <c r="K196" s="269">
        <f t="shared" si="14"/>
        <v>1</v>
      </c>
      <c r="L196" s="262" t="e">
        <f t="shared" si="15"/>
        <v>#REF!</v>
      </c>
    </row>
    <row r="197" spans="1:12" s="42" customFormat="1" x14ac:dyDescent="0.3">
      <c r="A197" s="35"/>
      <c r="B197" s="35" t="e">
        <f>#REF!</f>
        <v>#REF!</v>
      </c>
      <c r="C197" s="35" t="e">
        <f>#REF!</f>
        <v>#REF!</v>
      </c>
      <c r="D197" s="174" t="e">
        <f>#REF!</f>
        <v>#REF!</v>
      </c>
      <c r="E197" s="35">
        <v>40</v>
      </c>
      <c r="F197" s="38" t="e">
        <f>#REF!</f>
        <v>#REF!</v>
      </c>
      <c r="G197" s="256" t="e">
        <f t="shared" si="13"/>
        <v>#REF!</v>
      </c>
      <c r="H197" s="197"/>
      <c r="I197" s="35">
        <v>40</v>
      </c>
      <c r="J197" s="35"/>
      <c r="K197" s="269">
        <f t="shared" si="14"/>
        <v>40</v>
      </c>
      <c r="L197" s="262" t="e">
        <f t="shared" si="15"/>
        <v>#REF!</v>
      </c>
    </row>
    <row r="198" spans="1:12" s="42" customFormat="1" x14ac:dyDescent="0.3">
      <c r="A198" s="35"/>
      <c r="B198" s="35" t="e">
        <f>#REF!</f>
        <v>#REF!</v>
      </c>
      <c r="C198" s="35" t="e">
        <f>#REF!</f>
        <v>#REF!</v>
      </c>
      <c r="D198" s="174" t="e">
        <f>#REF!</f>
        <v>#REF!</v>
      </c>
      <c r="E198" s="35">
        <v>15</v>
      </c>
      <c r="F198" s="38" t="e">
        <f>#REF!</f>
        <v>#REF!</v>
      </c>
      <c r="G198" s="256" t="e">
        <f t="shared" si="13"/>
        <v>#REF!</v>
      </c>
      <c r="H198" s="197"/>
      <c r="I198" s="35">
        <v>15</v>
      </c>
      <c r="J198" s="35"/>
      <c r="K198" s="269">
        <f t="shared" si="14"/>
        <v>15</v>
      </c>
      <c r="L198" s="262" t="e">
        <f t="shared" si="15"/>
        <v>#REF!</v>
      </c>
    </row>
    <row r="199" spans="1:12" s="42" customFormat="1" x14ac:dyDescent="0.3">
      <c r="A199" s="35"/>
      <c r="B199" s="35" t="e">
        <f>#REF!</f>
        <v>#REF!</v>
      </c>
      <c r="C199" s="35" t="e">
        <f>#REF!</f>
        <v>#REF!</v>
      </c>
      <c r="D199" s="174" t="e">
        <f>#REF!</f>
        <v>#REF!</v>
      </c>
      <c r="E199" s="35">
        <v>125</v>
      </c>
      <c r="F199" s="38" t="e">
        <f>#REF!</f>
        <v>#REF!</v>
      </c>
      <c r="G199" s="256" t="e">
        <f t="shared" si="13"/>
        <v>#REF!</v>
      </c>
      <c r="H199" s="197">
        <v>125</v>
      </c>
      <c r="I199" s="35"/>
      <c r="J199" s="35"/>
      <c r="K199" s="269">
        <f t="shared" si="14"/>
        <v>125</v>
      </c>
      <c r="L199" s="262" t="e">
        <f t="shared" si="15"/>
        <v>#REF!</v>
      </c>
    </row>
    <row r="200" spans="1:12" s="42" customFormat="1" x14ac:dyDescent="0.3">
      <c r="A200" s="35"/>
      <c r="B200" s="35" t="e">
        <f>#REF!</f>
        <v>#REF!</v>
      </c>
      <c r="C200" s="35" t="e">
        <f>#REF!</f>
        <v>#REF!</v>
      </c>
      <c r="D200" s="174" t="e">
        <f>#REF!</f>
        <v>#REF!</v>
      </c>
      <c r="E200" s="35">
        <v>6</v>
      </c>
      <c r="F200" s="38" t="e">
        <f>#REF!</f>
        <v>#REF!</v>
      </c>
      <c r="G200" s="256" t="e">
        <f t="shared" si="13"/>
        <v>#REF!</v>
      </c>
      <c r="H200" s="197"/>
      <c r="I200" s="35">
        <v>6</v>
      </c>
      <c r="J200" s="35"/>
      <c r="K200" s="269">
        <f t="shared" si="14"/>
        <v>6</v>
      </c>
      <c r="L200" s="262" t="e">
        <f t="shared" si="15"/>
        <v>#REF!</v>
      </c>
    </row>
    <row r="201" spans="1:12" s="42" customFormat="1" x14ac:dyDescent="0.3">
      <c r="A201" s="35"/>
      <c r="B201" s="35" t="e">
        <f>#REF!</f>
        <v>#REF!</v>
      </c>
      <c r="C201" s="35" t="e">
        <f>#REF!</f>
        <v>#REF!</v>
      </c>
      <c r="D201" s="174" t="e">
        <f>#REF!</f>
        <v>#REF!</v>
      </c>
      <c r="E201" s="35">
        <v>4</v>
      </c>
      <c r="F201" s="38" t="e">
        <f>#REF!</f>
        <v>#REF!</v>
      </c>
      <c r="G201" s="256" t="e">
        <f t="shared" si="13"/>
        <v>#REF!</v>
      </c>
      <c r="H201" s="197"/>
      <c r="I201" s="35"/>
      <c r="J201" s="35">
        <v>4</v>
      </c>
      <c r="K201" s="269">
        <f t="shared" si="14"/>
        <v>4</v>
      </c>
      <c r="L201" s="262" t="e">
        <f t="shared" si="15"/>
        <v>#REF!</v>
      </c>
    </row>
    <row r="202" spans="1:12" s="42" customFormat="1" x14ac:dyDescent="0.3">
      <c r="A202" s="35"/>
      <c r="B202" s="35" t="e">
        <f>#REF!</f>
        <v>#REF!</v>
      </c>
      <c r="C202" s="35" t="e">
        <f>#REF!</f>
        <v>#REF!</v>
      </c>
      <c r="D202" s="174" t="e">
        <f>#REF!</f>
        <v>#REF!</v>
      </c>
      <c r="E202" s="35">
        <v>20</v>
      </c>
      <c r="F202" s="38" t="e">
        <f>#REF!</f>
        <v>#REF!</v>
      </c>
      <c r="G202" s="256" t="e">
        <f t="shared" si="13"/>
        <v>#REF!</v>
      </c>
      <c r="H202" s="197">
        <v>20</v>
      </c>
      <c r="I202" s="35"/>
      <c r="J202" s="35"/>
      <c r="K202" s="269">
        <f t="shared" si="14"/>
        <v>20</v>
      </c>
      <c r="L202" s="262" t="e">
        <f t="shared" si="15"/>
        <v>#REF!</v>
      </c>
    </row>
    <row r="203" spans="1:12" s="42" customFormat="1" x14ac:dyDescent="0.3">
      <c r="A203" s="35"/>
      <c r="B203" s="35" t="e">
        <f>#REF!</f>
        <v>#REF!</v>
      </c>
      <c r="C203" s="35" t="e">
        <f>#REF!</f>
        <v>#REF!</v>
      </c>
      <c r="D203" s="174" t="e">
        <f>#REF!</f>
        <v>#REF!</v>
      </c>
      <c r="E203" s="35">
        <v>42</v>
      </c>
      <c r="F203" s="38" t="e">
        <f>#REF!</f>
        <v>#REF!</v>
      </c>
      <c r="G203" s="256" t="e">
        <f t="shared" si="13"/>
        <v>#REF!</v>
      </c>
      <c r="H203" s="197">
        <v>42</v>
      </c>
      <c r="I203" s="35"/>
      <c r="J203" s="35"/>
      <c r="K203" s="269">
        <f t="shared" si="14"/>
        <v>42</v>
      </c>
      <c r="L203" s="262" t="e">
        <f t="shared" si="15"/>
        <v>#REF!</v>
      </c>
    </row>
    <row r="204" spans="1:12" s="42" customFormat="1" x14ac:dyDescent="0.3">
      <c r="A204" s="35"/>
      <c r="B204" s="35" t="e">
        <f>#REF!</f>
        <v>#REF!</v>
      </c>
      <c r="C204" s="35" t="e">
        <f>#REF!</f>
        <v>#REF!</v>
      </c>
      <c r="D204" s="174" t="e">
        <f>#REF!</f>
        <v>#REF!</v>
      </c>
      <c r="E204" s="35">
        <v>1</v>
      </c>
      <c r="F204" s="38" t="e">
        <f>#REF!</f>
        <v>#REF!</v>
      </c>
      <c r="G204" s="256" t="e">
        <f t="shared" si="13"/>
        <v>#REF!</v>
      </c>
      <c r="H204" s="197">
        <v>1</v>
      </c>
      <c r="I204" s="35"/>
      <c r="J204" s="35"/>
      <c r="K204" s="269">
        <f t="shared" si="14"/>
        <v>1</v>
      </c>
      <c r="L204" s="262" t="e">
        <f t="shared" si="15"/>
        <v>#REF!</v>
      </c>
    </row>
    <row r="205" spans="1:12" s="42" customFormat="1" x14ac:dyDescent="0.3">
      <c r="A205" s="35"/>
      <c r="B205" s="35" t="e">
        <f>#REF!</f>
        <v>#REF!</v>
      </c>
      <c r="C205" s="35" t="e">
        <f>#REF!</f>
        <v>#REF!</v>
      </c>
      <c r="D205" s="174" t="e">
        <f>#REF!</f>
        <v>#REF!</v>
      </c>
      <c r="E205" s="35">
        <v>90</v>
      </c>
      <c r="F205" s="38" t="e">
        <f>#REF!</f>
        <v>#REF!</v>
      </c>
      <c r="G205" s="256" t="e">
        <f t="shared" si="13"/>
        <v>#REF!</v>
      </c>
      <c r="H205" s="197">
        <v>25</v>
      </c>
      <c r="I205" s="35">
        <v>65</v>
      </c>
      <c r="J205" s="35"/>
      <c r="K205" s="269">
        <f t="shared" si="14"/>
        <v>90</v>
      </c>
      <c r="L205" s="262" t="e">
        <f t="shared" si="15"/>
        <v>#REF!</v>
      </c>
    </row>
    <row r="206" spans="1:12" s="42" customFormat="1" x14ac:dyDescent="0.3">
      <c r="A206" s="35"/>
      <c r="B206" s="35" t="e">
        <f>#REF!</f>
        <v>#REF!</v>
      </c>
      <c r="C206" s="35" t="e">
        <f>#REF!</f>
        <v>#REF!</v>
      </c>
      <c r="D206" s="174" t="e">
        <f>#REF!</f>
        <v>#REF!</v>
      </c>
      <c r="E206" s="35">
        <v>200</v>
      </c>
      <c r="F206" s="38" t="e">
        <f>#REF!</f>
        <v>#REF!</v>
      </c>
      <c r="G206" s="256" t="e">
        <f t="shared" si="13"/>
        <v>#REF!</v>
      </c>
      <c r="H206" s="197"/>
      <c r="I206" s="35">
        <v>200</v>
      </c>
      <c r="J206" s="35"/>
      <c r="K206" s="269">
        <f t="shared" si="14"/>
        <v>200</v>
      </c>
      <c r="L206" s="262" t="e">
        <f t="shared" si="15"/>
        <v>#REF!</v>
      </c>
    </row>
    <row r="207" spans="1:12" s="42" customFormat="1" x14ac:dyDescent="0.3">
      <c r="A207" s="35"/>
      <c r="B207" s="35" t="e">
        <f>#REF!</f>
        <v>#REF!</v>
      </c>
      <c r="C207" s="35" t="e">
        <f>#REF!</f>
        <v>#REF!</v>
      </c>
      <c r="D207" s="174" t="e">
        <f>#REF!</f>
        <v>#REF!</v>
      </c>
      <c r="E207" s="35">
        <v>100</v>
      </c>
      <c r="F207" s="38" t="e">
        <f>#REF!</f>
        <v>#REF!</v>
      </c>
      <c r="G207" s="256" t="e">
        <f t="shared" si="13"/>
        <v>#REF!</v>
      </c>
      <c r="H207" s="197">
        <v>100</v>
      </c>
      <c r="I207" s="35"/>
      <c r="J207" s="35"/>
      <c r="K207" s="269">
        <f t="shared" si="14"/>
        <v>100</v>
      </c>
      <c r="L207" s="262" t="e">
        <f t="shared" si="15"/>
        <v>#REF!</v>
      </c>
    </row>
    <row r="208" spans="1:12" s="42" customFormat="1" x14ac:dyDescent="0.3">
      <c r="A208" s="35"/>
      <c r="B208" s="35" t="e">
        <f>#REF!</f>
        <v>#REF!</v>
      </c>
      <c r="C208" s="35" t="e">
        <f>#REF!</f>
        <v>#REF!</v>
      </c>
      <c r="D208" s="174" t="e">
        <f>#REF!</f>
        <v>#REF!</v>
      </c>
      <c r="E208" s="35">
        <v>273</v>
      </c>
      <c r="F208" s="38" t="e">
        <f>#REF!</f>
        <v>#REF!</v>
      </c>
      <c r="G208" s="256" t="e">
        <f t="shared" si="13"/>
        <v>#REF!</v>
      </c>
      <c r="H208" s="197">
        <v>273</v>
      </c>
      <c r="I208" s="35"/>
      <c r="J208" s="35"/>
      <c r="K208" s="269">
        <f t="shared" si="14"/>
        <v>273</v>
      </c>
      <c r="L208" s="262" t="e">
        <f t="shared" si="15"/>
        <v>#REF!</v>
      </c>
    </row>
    <row r="209" spans="1:13" s="42" customFormat="1" x14ac:dyDescent="0.3">
      <c r="A209" s="35"/>
      <c r="B209" s="35" t="e">
        <f>#REF!</f>
        <v>#REF!</v>
      </c>
      <c r="C209" s="35" t="e">
        <f>#REF!</f>
        <v>#REF!</v>
      </c>
      <c r="D209" s="174" t="e">
        <f>#REF!</f>
        <v>#REF!</v>
      </c>
      <c r="E209" s="35">
        <v>14</v>
      </c>
      <c r="F209" s="38" t="e">
        <f>#REF!</f>
        <v>#REF!</v>
      </c>
      <c r="G209" s="256" t="e">
        <f t="shared" si="13"/>
        <v>#REF!</v>
      </c>
      <c r="H209" s="197">
        <v>14</v>
      </c>
      <c r="I209" s="35"/>
      <c r="J209" s="35"/>
      <c r="K209" s="269">
        <f t="shared" si="14"/>
        <v>14</v>
      </c>
      <c r="L209" s="262" t="e">
        <f t="shared" si="15"/>
        <v>#REF!</v>
      </c>
    </row>
    <row r="210" spans="1:13" s="42" customFormat="1" x14ac:dyDescent="0.3">
      <c r="A210" s="35"/>
      <c r="B210" s="35" t="e">
        <f>#REF!</f>
        <v>#REF!</v>
      </c>
      <c r="C210" s="35" t="e">
        <f>#REF!</f>
        <v>#REF!</v>
      </c>
      <c r="D210" s="174" t="e">
        <f>#REF!</f>
        <v>#REF!</v>
      </c>
      <c r="E210" s="35">
        <v>12</v>
      </c>
      <c r="F210" s="38" t="e">
        <f>#REF!</f>
        <v>#REF!</v>
      </c>
      <c r="G210" s="256" t="e">
        <f t="shared" si="13"/>
        <v>#REF!</v>
      </c>
      <c r="H210" s="197">
        <v>12</v>
      </c>
      <c r="I210" s="35"/>
      <c r="J210" s="35"/>
      <c r="K210" s="269">
        <f t="shared" si="14"/>
        <v>12</v>
      </c>
      <c r="L210" s="262" t="e">
        <f t="shared" si="15"/>
        <v>#REF!</v>
      </c>
      <c r="M210" s="366" t="e">
        <f>SUM(L100:L210)</f>
        <v>#REF!</v>
      </c>
    </row>
    <row r="211" spans="1:13" s="42" customFormat="1" x14ac:dyDescent="0.3">
      <c r="A211" s="35"/>
      <c r="B211" s="35"/>
      <c r="C211" s="35"/>
      <c r="D211" s="174"/>
      <c r="E211" s="35"/>
      <c r="F211" s="38"/>
      <c r="G211" s="256"/>
      <c r="H211" s="197"/>
      <c r="I211" s="35"/>
      <c r="J211" s="35"/>
      <c r="K211" s="269">
        <f t="shared" si="14"/>
        <v>0</v>
      </c>
      <c r="L211" s="262">
        <f t="shared" si="15"/>
        <v>0</v>
      </c>
    </row>
    <row r="212" spans="1:13" s="42" customFormat="1" x14ac:dyDescent="0.3">
      <c r="A212" s="35"/>
      <c r="B212" s="35"/>
      <c r="C212" s="35"/>
      <c r="D212" s="174"/>
      <c r="E212" s="35"/>
      <c r="F212" s="38"/>
      <c r="G212" s="256"/>
      <c r="H212" s="197"/>
      <c r="I212" s="35"/>
      <c r="J212" s="35"/>
      <c r="K212" s="269">
        <f t="shared" si="14"/>
        <v>0</v>
      </c>
      <c r="L212" s="262">
        <f t="shared" si="15"/>
        <v>0</v>
      </c>
    </row>
    <row r="213" spans="1:13" s="42" customFormat="1" ht="23.25" x14ac:dyDescent="0.35">
      <c r="A213" s="35">
        <v>11</v>
      </c>
      <c r="B213" s="35"/>
      <c r="C213" s="77" t="s">
        <v>1055</v>
      </c>
      <c r="D213" s="174"/>
      <c r="E213" s="35"/>
      <c r="F213" s="38"/>
      <c r="G213" s="256"/>
      <c r="H213" s="197"/>
      <c r="I213" s="35"/>
      <c r="J213" s="35"/>
      <c r="K213" s="269">
        <f t="shared" si="14"/>
        <v>0</v>
      </c>
      <c r="L213" s="262">
        <f t="shared" si="15"/>
        <v>0</v>
      </c>
    </row>
    <row r="214" spans="1:13" s="42" customFormat="1" x14ac:dyDescent="0.3">
      <c r="A214" s="35"/>
      <c r="B214" s="35" t="e">
        <f>#REF!</f>
        <v>#REF!</v>
      </c>
      <c r="C214" s="35" t="e">
        <f>#REF!</f>
        <v>#REF!</v>
      </c>
      <c r="D214" s="174" t="e">
        <f>#REF!</f>
        <v>#REF!</v>
      </c>
      <c r="E214" s="35">
        <v>168</v>
      </c>
      <c r="F214" s="38" t="e">
        <f>#REF!</f>
        <v>#REF!</v>
      </c>
      <c r="G214" s="256" t="e">
        <f>E214*F214</f>
        <v>#REF!</v>
      </c>
      <c r="H214" s="197"/>
      <c r="I214" s="35"/>
      <c r="J214" s="35">
        <v>168</v>
      </c>
      <c r="K214" s="269">
        <f t="shared" si="14"/>
        <v>168</v>
      </c>
      <c r="L214" s="262" t="e">
        <f t="shared" si="15"/>
        <v>#REF!</v>
      </c>
    </row>
    <row r="215" spans="1:13" s="42" customFormat="1" x14ac:dyDescent="0.3">
      <c r="A215" s="35"/>
      <c r="B215" s="35" t="e">
        <f>#REF!</f>
        <v>#REF!</v>
      </c>
      <c r="C215" s="35" t="e">
        <f>#REF!</f>
        <v>#REF!</v>
      </c>
      <c r="D215" s="174" t="e">
        <f>#REF!</f>
        <v>#REF!</v>
      </c>
      <c r="E215" s="35">
        <v>19</v>
      </c>
      <c r="F215" s="38" t="e">
        <f>#REF!</f>
        <v>#REF!</v>
      </c>
      <c r="G215" s="256" t="e">
        <f>E215*F215</f>
        <v>#REF!</v>
      </c>
      <c r="H215" s="197"/>
      <c r="I215" s="35"/>
      <c r="J215" s="35">
        <v>19</v>
      </c>
      <c r="K215" s="269">
        <f t="shared" si="14"/>
        <v>19</v>
      </c>
      <c r="L215" s="262" t="e">
        <f t="shared" si="15"/>
        <v>#REF!</v>
      </c>
    </row>
    <row r="216" spans="1:13" s="42" customFormat="1" x14ac:dyDescent="0.3">
      <c r="A216" s="35"/>
      <c r="B216" s="35" t="e">
        <f>#REF!</f>
        <v>#REF!</v>
      </c>
      <c r="C216" s="35" t="e">
        <f>#REF!</f>
        <v>#REF!</v>
      </c>
      <c r="D216" s="174" t="e">
        <f>#REF!</f>
        <v>#REF!</v>
      </c>
      <c r="E216" s="35">
        <v>38</v>
      </c>
      <c r="F216" s="38" t="e">
        <f>#REF!</f>
        <v>#REF!</v>
      </c>
      <c r="G216" s="256" t="e">
        <f>E216*F216</f>
        <v>#REF!</v>
      </c>
      <c r="H216" s="197"/>
      <c r="I216" s="35"/>
      <c r="J216" s="35">
        <v>38</v>
      </c>
      <c r="K216" s="269">
        <f t="shared" si="14"/>
        <v>38</v>
      </c>
      <c r="L216" s="262" t="e">
        <f t="shared" si="15"/>
        <v>#REF!</v>
      </c>
    </row>
    <row r="217" spans="1:13" s="42" customFormat="1" x14ac:dyDescent="0.3">
      <c r="A217" s="35"/>
      <c r="B217" s="35" t="e">
        <f>#REF!</f>
        <v>#REF!</v>
      </c>
      <c r="C217" s="35" t="e">
        <f>#REF!</f>
        <v>#REF!</v>
      </c>
      <c r="D217" s="174" t="e">
        <f>#REF!</f>
        <v>#REF!</v>
      </c>
      <c r="E217" s="35">
        <v>36</v>
      </c>
      <c r="F217" s="38" t="e">
        <f>#REF!</f>
        <v>#REF!</v>
      </c>
      <c r="G217" s="256" t="e">
        <f>E217*F217</f>
        <v>#REF!</v>
      </c>
      <c r="H217" s="197"/>
      <c r="I217" s="35"/>
      <c r="J217" s="35">
        <v>36</v>
      </c>
      <c r="K217" s="269">
        <f t="shared" si="14"/>
        <v>36</v>
      </c>
      <c r="L217" s="262" t="e">
        <f t="shared" si="15"/>
        <v>#REF!</v>
      </c>
    </row>
    <row r="218" spans="1:13" s="42" customFormat="1" x14ac:dyDescent="0.3">
      <c r="A218" s="35"/>
      <c r="B218" s="35" t="e">
        <f>#REF!</f>
        <v>#REF!</v>
      </c>
      <c r="C218" s="35" t="e">
        <f>#REF!</f>
        <v>#REF!</v>
      </c>
      <c r="D218" s="174" t="e">
        <f>#REF!</f>
        <v>#REF!</v>
      </c>
      <c r="E218" s="35">
        <v>36</v>
      </c>
      <c r="F218" s="38" t="e">
        <f>#REF!</f>
        <v>#REF!</v>
      </c>
      <c r="G218" s="256" t="e">
        <f>E218*F218</f>
        <v>#REF!</v>
      </c>
      <c r="H218" s="197"/>
      <c r="I218" s="35"/>
      <c r="J218" s="35">
        <v>36</v>
      </c>
      <c r="K218" s="269">
        <f t="shared" si="14"/>
        <v>36</v>
      </c>
      <c r="L218" s="262" t="e">
        <f t="shared" si="15"/>
        <v>#REF!</v>
      </c>
      <c r="M218" s="366" t="e">
        <f>SUM(L214:L218)</f>
        <v>#REF!</v>
      </c>
    </row>
    <row r="219" spans="1:13" s="42" customFormat="1" x14ac:dyDescent="0.3">
      <c r="A219" s="35"/>
      <c r="B219" s="35"/>
      <c r="C219" s="35"/>
      <c r="D219" s="174"/>
      <c r="E219" s="35"/>
      <c r="F219" s="38"/>
      <c r="G219" s="256"/>
      <c r="H219" s="197"/>
      <c r="I219" s="35"/>
      <c r="J219" s="35"/>
      <c r="K219" s="269">
        <f t="shared" si="14"/>
        <v>0</v>
      </c>
      <c r="L219" s="262">
        <f t="shared" si="15"/>
        <v>0</v>
      </c>
    </row>
    <row r="220" spans="1:13" s="42" customFormat="1" ht="23.25" x14ac:dyDescent="0.35">
      <c r="A220" s="35">
        <v>12</v>
      </c>
      <c r="B220" s="77"/>
      <c r="C220" s="77" t="s">
        <v>665</v>
      </c>
      <c r="D220" s="184"/>
      <c r="E220" s="77"/>
      <c r="F220" s="79"/>
      <c r="G220" s="257"/>
      <c r="H220" s="197"/>
      <c r="I220" s="35"/>
      <c r="J220" s="35"/>
      <c r="K220" s="269">
        <f t="shared" si="14"/>
        <v>0</v>
      </c>
      <c r="L220" s="262">
        <f t="shared" si="15"/>
        <v>0</v>
      </c>
    </row>
    <row r="221" spans="1:13" s="42" customFormat="1" x14ac:dyDescent="0.3">
      <c r="A221" s="35"/>
      <c r="B221" s="35" t="e">
        <f>#REF!</f>
        <v>#REF!</v>
      </c>
      <c r="C221" s="35" t="e">
        <f>#REF!</f>
        <v>#REF!</v>
      </c>
      <c r="D221" s="174" t="e">
        <f>#REF!</f>
        <v>#REF!</v>
      </c>
      <c r="E221" s="35">
        <v>455</v>
      </c>
      <c r="F221" s="38" t="e">
        <f>#REF!</f>
        <v>#REF!</v>
      </c>
      <c r="G221" s="256" t="e">
        <f t="shared" ref="G221:G234" si="16">E221*F221</f>
        <v>#REF!</v>
      </c>
      <c r="H221" s="197">
        <v>455</v>
      </c>
      <c r="I221" s="35"/>
      <c r="J221" s="35"/>
      <c r="K221" s="269">
        <f t="shared" si="14"/>
        <v>455</v>
      </c>
      <c r="L221" s="262" t="e">
        <f t="shared" si="15"/>
        <v>#REF!</v>
      </c>
    </row>
    <row r="222" spans="1:13" s="42" customFormat="1" x14ac:dyDescent="0.3">
      <c r="A222" s="35"/>
      <c r="B222" s="35" t="e">
        <f>#REF!</f>
        <v>#REF!</v>
      </c>
      <c r="C222" s="35" t="e">
        <f>#REF!</f>
        <v>#REF!</v>
      </c>
      <c r="D222" s="174" t="e">
        <f>#REF!</f>
        <v>#REF!</v>
      </c>
      <c r="E222" s="35">
        <v>1</v>
      </c>
      <c r="F222" s="38" t="e">
        <f>#REF!</f>
        <v>#REF!</v>
      </c>
      <c r="G222" s="256" t="e">
        <f t="shared" si="16"/>
        <v>#REF!</v>
      </c>
      <c r="H222" s="197"/>
      <c r="I222" s="35"/>
      <c r="J222" s="35"/>
      <c r="K222" s="269">
        <f t="shared" si="14"/>
        <v>0</v>
      </c>
      <c r="L222" s="262" t="e">
        <f t="shared" si="15"/>
        <v>#REF!</v>
      </c>
    </row>
    <row r="223" spans="1:13" s="42" customFormat="1" x14ac:dyDescent="0.3">
      <c r="A223" s="35"/>
      <c r="B223" s="35" t="e">
        <f>#REF!</f>
        <v>#REF!</v>
      </c>
      <c r="C223" s="35" t="e">
        <f>#REF!</f>
        <v>#REF!</v>
      </c>
      <c r="D223" s="174" t="e">
        <f>#REF!</f>
        <v>#REF!</v>
      </c>
      <c r="E223" s="35">
        <v>50</v>
      </c>
      <c r="F223" s="38" t="e">
        <f>#REF!</f>
        <v>#REF!</v>
      </c>
      <c r="G223" s="256" t="e">
        <f t="shared" si="16"/>
        <v>#REF!</v>
      </c>
      <c r="H223" s="197">
        <v>50</v>
      </c>
      <c r="I223" s="35"/>
      <c r="J223" s="35"/>
      <c r="K223" s="269">
        <f t="shared" si="14"/>
        <v>50</v>
      </c>
      <c r="L223" s="262" t="e">
        <f t="shared" si="15"/>
        <v>#REF!</v>
      </c>
    </row>
    <row r="224" spans="1:13" s="42" customFormat="1" x14ac:dyDescent="0.3">
      <c r="A224" s="35"/>
      <c r="B224" s="35" t="e">
        <f>#REF!</f>
        <v>#REF!</v>
      </c>
      <c r="C224" s="35" t="e">
        <f>#REF!</f>
        <v>#REF!</v>
      </c>
      <c r="D224" s="174" t="e">
        <f>#REF!</f>
        <v>#REF!</v>
      </c>
      <c r="E224" s="35">
        <v>25</v>
      </c>
      <c r="F224" s="38" t="e">
        <f>#REF!</f>
        <v>#REF!</v>
      </c>
      <c r="G224" s="256" t="e">
        <f t="shared" si="16"/>
        <v>#REF!</v>
      </c>
      <c r="H224" s="197">
        <v>25</v>
      </c>
      <c r="I224" s="35"/>
      <c r="J224" s="35"/>
      <c r="K224" s="269">
        <f t="shared" si="14"/>
        <v>25</v>
      </c>
      <c r="L224" s="262" t="e">
        <f t="shared" si="15"/>
        <v>#REF!</v>
      </c>
    </row>
    <row r="225" spans="1:13" s="42" customFormat="1" x14ac:dyDescent="0.3">
      <c r="A225" s="35"/>
      <c r="B225" s="35" t="e">
        <f>#REF!</f>
        <v>#REF!</v>
      </c>
      <c r="C225" s="35" t="e">
        <f>#REF!</f>
        <v>#REF!</v>
      </c>
      <c r="D225" s="174" t="e">
        <f>#REF!</f>
        <v>#REF!</v>
      </c>
      <c r="E225" s="35">
        <v>125</v>
      </c>
      <c r="F225" s="38" t="e">
        <f>#REF!</f>
        <v>#REF!</v>
      </c>
      <c r="G225" s="256" t="e">
        <f t="shared" si="16"/>
        <v>#REF!</v>
      </c>
      <c r="H225" s="197">
        <v>125</v>
      </c>
      <c r="I225" s="35"/>
      <c r="J225" s="35"/>
      <c r="K225" s="269">
        <f t="shared" si="14"/>
        <v>125</v>
      </c>
      <c r="L225" s="262" t="e">
        <f t="shared" si="15"/>
        <v>#REF!</v>
      </c>
    </row>
    <row r="226" spans="1:13" s="42" customFormat="1" x14ac:dyDescent="0.3">
      <c r="A226" s="35"/>
      <c r="B226" s="35" t="e">
        <f>#REF!</f>
        <v>#REF!</v>
      </c>
      <c r="C226" s="35" t="e">
        <f>#REF!</f>
        <v>#REF!</v>
      </c>
      <c r="D226" s="174" t="e">
        <f>#REF!</f>
        <v>#REF!</v>
      </c>
      <c r="E226" s="35">
        <v>50</v>
      </c>
      <c r="F226" s="38" t="e">
        <f>#REF!</f>
        <v>#REF!</v>
      </c>
      <c r="G226" s="256" t="e">
        <f t="shared" si="16"/>
        <v>#REF!</v>
      </c>
      <c r="H226" s="197">
        <v>50</v>
      </c>
      <c r="I226" s="35"/>
      <c r="J226" s="35"/>
      <c r="K226" s="269">
        <f t="shared" si="14"/>
        <v>50</v>
      </c>
      <c r="L226" s="262" t="e">
        <f t="shared" si="15"/>
        <v>#REF!</v>
      </c>
    </row>
    <row r="227" spans="1:13" s="42" customFormat="1" x14ac:dyDescent="0.3">
      <c r="A227" s="35"/>
      <c r="B227" s="35" t="e">
        <f>#REF!</f>
        <v>#REF!</v>
      </c>
      <c r="C227" s="35" t="e">
        <f>#REF!</f>
        <v>#REF!</v>
      </c>
      <c r="D227" s="174" t="e">
        <f>#REF!</f>
        <v>#REF!</v>
      </c>
      <c r="E227" s="35">
        <v>200</v>
      </c>
      <c r="F227" s="38" t="e">
        <f>#REF!</f>
        <v>#REF!</v>
      </c>
      <c r="G227" s="256" t="e">
        <f t="shared" si="16"/>
        <v>#REF!</v>
      </c>
      <c r="H227" s="197">
        <v>200</v>
      </c>
      <c r="I227" s="35"/>
      <c r="J227" s="35"/>
      <c r="K227" s="269">
        <f t="shared" si="14"/>
        <v>200</v>
      </c>
      <c r="L227" s="262" t="e">
        <f t="shared" si="15"/>
        <v>#REF!</v>
      </c>
    </row>
    <row r="228" spans="1:13" s="42" customFormat="1" x14ac:dyDescent="0.3">
      <c r="A228" s="35"/>
      <c r="B228" s="35" t="e">
        <f>#REF!</f>
        <v>#REF!</v>
      </c>
      <c r="C228" s="35" t="e">
        <f>#REF!</f>
        <v>#REF!</v>
      </c>
      <c r="D228" s="174" t="e">
        <f>#REF!</f>
        <v>#REF!</v>
      </c>
      <c r="E228" s="35">
        <v>125</v>
      </c>
      <c r="F228" s="38" t="e">
        <f>#REF!</f>
        <v>#REF!</v>
      </c>
      <c r="G228" s="256" t="e">
        <f t="shared" si="16"/>
        <v>#REF!</v>
      </c>
      <c r="H228" s="197">
        <v>125</v>
      </c>
      <c r="I228" s="35"/>
      <c r="J228" s="35"/>
      <c r="K228" s="269">
        <f t="shared" si="14"/>
        <v>125</v>
      </c>
      <c r="L228" s="262" t="e">
        <f t="shared" si="15"/>
        <v>#REF!</v>
      </c>
    </row>
    <row r="229" spans="1:13" s="42" customFormat="1" x14ac:dyDescent="0.3">
      <c r="A229" s="35"/>
      <c r="B229" s="35" t="e">
        <f>#REF!</f>
        <v>#REF!</v>
      </c>
      <c r="C229" s="35" t="e">
        <f>#REF!</f>
        <v>#REF!</v>
      </c>
      <c r="D229" s="174" t="e">
        <f>#REF!</f>
        <v>#REF!</v>
      </c>
      <c r="E229" s="35">
        <v>75</v>
      </c>
      <c r="F229" s="38" t="e">
        <f>#REF!</f>
        <v>#REF!</v>
      </c>
      <c r="G229" s="256" t="e">
        <f t="shared" si="16"/>
        <v>#REF!</v>
      </c>
      <c r="H229" s="197">
        <v>75</v>
      </c>
      <c r="I229" s="35"/>
      <c r="J229" s="35"/>
      <c r="K229" s="269">
        <f t="shared" si="14"/>
        <v>75</v>
      </c>
      <c r="L229" s="262" t="e">
        <f t="shared" si="15"/>
        <v>#REF!</v>
      </c>
    </row>
    <row r="230" spans="1:13" s="42" customFormat="1" x14ac:dyDescent="0.3">
      <c r="A230" s="35"/>
      <c r="B230" s="35" t="e">
        <f>#REF!</f>
        <v>#REF!</v>
      </c>
      <c r="C230" s="35" t="e">
        <f>#REF!</f>
        <v>#REF!</v>
      </c>
      <c r="D230" s="174" t="e">
        <f>#REF!</f>
        <v>#REF!</v>
      </c>
      <c r="E230" s="35">
        <v>25</v>
      </c>
      <c r="F230" s="38" t="e">
        <f>#REF!</f>
        <v>#REF!</v>
      </c>
      <c r="G230" s="256" t="e">
        <f t="shared" si="16"/>
        <v>#REF!</v>
      </c>
      <c r="H230" s="197"/>
      <c r="I230" s="35"/>
      <c r="J230" s="35"/>
      <c r="K230" s="269">
        <f t="shared" si="14"/>
        <v>0</v>
      </c>
      <c r="L230" s="262" t="e">
        <f t="shared" si="15"/>
        <v>#REF!</v>
      </c>
    </row>
    <row r="231" spans="1:13" s="42" customFormat="1" x14ac:dyDescent="0.3">
      <c r="A231" s="35"/>
      <c r="B231" s="35" t="e">
        <f>#REF!</f>
        <v>#REF!</v>
      </c>
      <c r="C231" s="35" t="e">
        <f>#REF!</f>
        <v>#REF!</v>
      </c>
      <c r="D231" s="174" t="e">
        <f>#REF!</f>
        <v>#REF!</v>
      </c>
      <c r="E231" s="35">
        <v>750</v>
      </c>
      <c r="F231" s="38" t="e">
        <f>#REF!</f>
        <v>#REF!</v>
      </c>
      <c r="G231" s="256" t="e">
        <f t="shared" si="16"/>
        <v>#REF!</v>
      </c>
      <c r="H231" s="197">
        <v>750</v>
      </c>
      <c r="I231" s="35"/>
      <c r="J231" s="35"/>
      <c r="K231" s="269">
        <f t="shared" si="14"/>
        <v>750</v>
      </c>
      <c r="L231" s="262" t="e">
        <f t="shared" si="15"/>
        <v>#REF!</v>
      </c>
    </row>
    <row r="232" spans="1:13" s="42" customFormat="1" x14ac:dyDescent="0.3">
      <c r="A232" s="35"/>
      <c r="B232" s="35" t="e">
        <f>#REF!</f>
        <v>#REF!</v>
      </c>
      <c r="C232" s="35" t="e">
        <f>#REF!</f>
        <v>#REF!</v>
      </c>
      <c r="D232" s="174" t="e">
        <f>#REF!</f>
        <v>#REF!</v>
      </c>
      <c r="E232" s="35">
        <v>38</v>
      </c>
      <c r="F232" s="38" t="e">
        <f>#REF!</f>
        <v>#REF!</v>
      </c>
      <c r="G232" s="256" t="e">
        <f t="shared" si="16"/>
        <v>#REF!</v>
      </c>
      <c r="H232" s="197">
        <v>38</v>
      </c>
      <c r="I232" s="35"/>
      <c r="J232" s="35"/>
      <c r="K232" s="269">
        <f t="shared" si="14"/>
        <v>38</v>
      </c>
      <c r="L232" s="262" t="e">
        <f t="shared" si="15"/>
        <v>#REF!</v>
      </c>
    </row>
    <row r="233" spans="1:13" s="42" customFormat="1" x14ac:dyDescent="0.3">
      <c r="A233" s="35"/>
      <c r="B233" s="35" t="e">
        <f>#REF!</f>
        <v>#REF!</v>
      </c>
      <c r="C233" s="35" t="e">
        <f>#REF!</f>
        <v>#REF!</v>
      </c>
      <c r="D233" s="174" t="e">
        <f>#REF!</f>
        <v>#REF!</v>
      </c>
      <c r="E233" s="35">
        <v>10</v>
      </c>
      <c r="F233" s="38" t="e">
        <f>#REF!</f>
        <v>#REF!</v>
      </c>
      <c r="G233" s="256" t="e">
        <f t="shared" si="16"/>
        <v>#REF!</v>
      </c>
      <c r="H233" s="197">
        <v>10</v>
      </c>
      <c r="I233" s="35"/>
      <c r="J233" s="35"/>
      <c r="K233" s="269">
        <f t="shared" si="14"/>
        <v>10</v>
      </c>
      <c r="L233" s="262" t="e">
        <f t="shared" si="15"/>
        <v>#REF!</v>
      </c>
    </row>
    <row r="234" spans="1:13" s="42" customFormat="1" x14ac:dyDescent="0.3">
      <c r="A234" s="35"/>
      <c r="B234" s="35" t="e">
        <f>#REF!</f>
        <v>#REF!</v>
      </c>
      <c r="C234" s="35" t="e">
        <f>#REF!</f>
        <v>#REF!</v>
      </c>
      <c r="D234" s="174" t="e">
        <f>#REF!</f>
        <v>#REF!</v>
      </c>
      <c r="E234" s="35">
        <v>325</v>
      </c>
      <c r="F234" s="38" t="e">
        <f>#REF!</f>
        <v>#REF!</v>
      </c>
      <c r="G234" s="256" t="e">
        <f t="shared" si="16"/>
        <v>#REF!</v>
      </c>
      <c r="H234" s="197">
        <v>325</v>
      </c>
      <c r="I234" s="35"/>
      <c r="J234" s="35"/>
      <c r="K234" s="269">
        <f t="shared" si="14"/>
        <v>325</v>
      </c>
      <c r="L234" s="262" t="e">
        <f t="shared" si="15"/>
        <v>#REF!</v>
      </c>
      <c r="M234" s="366" t="e">
        <f>SUM(L221:L234)</f>
        <v>#REF!</v>
      </c>
    </row>
    <row r="235" spans="1:13" s="42" customFormat="1" x14ac:dyDescent="0.3">
      <c r="A235" s="35"/>
      <c r="B235" s="35"/>
      <c r="C235" s="35"/>
      <c r="D235" s="174"/>
      <c r="E235" s="35"/>
      <c r="F235" s="38"/>
      <c r="G235" s="256"/>
      <c r="H235" s="197"/>
      <c r="I235" s="35"/>
      <c r="J235" s="35"/>
      <c r="K235" s="269">
        <f t="shared" si="14"/>
        <v>0</v>
      </c>
      <c r="L235" s="262">
        <f t="shared" si="15"/>
        <v>0</v>
      </c>
    </row>
    <row r="236" spans="1:13" s="42" customFormat="1" x14ac:dyDescent="0.3">
      <c r="A236" s="35"/>
      <c r="B236" s="35"/>
      <c r="C236" s="35"/>
      <c r="D236" s="174"/>
      <c r="E236" s="35"/>
      <c r="F236" s="38"/>
      <c r="G236" s="256"/>
      <c r="H236" s="197"/>
      <c r="I236" s="35"/>
      <c r="J236" s="35"/>
      <c r="K236" s="269">
        <f t="shared" si="14"/>
        <v>0</v>
      </c>
      <c r="L236" s="262">
        <f t="shared" si="15"/>
        <v>0</v>
      </c>
    </row>
    <row r="237" spans="1:13" s="42" customFormat="1" ht="23.25" x14ac:dyDescent="0.35">
      <c r="A237" s="35">
        <v>13</v>
      </c>
      <c r="B237" s="77"/>
      <c r="C237" s="77" t="s">
        <v>890</v>
      </c>
      <c r="D237" s="184"/>
      <c r="E237" s="77"/>
      <c r="F237" s="79"/>
      <c r="G237" s="257"/>
      <c r="H237" s="197"/>
      <c r="I237" s="35"/>
      <c r="J237" s="35"/>
      <c r="K237" s="269">
        <f t="shared" si="14"/>
        <v>0</v>
      </c>
      <c r="L237" s="262">
        <f t="shared" si="15"/>
        <v>0</v>
      </c>
    </row>
    <row r="238" spans="1:13" s="42" customFormat="1" x14ac:dyDescent="0.3">
      <c r="A238" s="35"/>
      <c r="B238" s="35" t="e">
        <f>#REF!</f>
        <v>#REF!</v>
      </c>
      <c r="C238" s="35" t="e">
        <f>#REF!</f>
        <v>#REF!</v>
      </c>
      <c r="D238" s="174" t="e">
        <f>#REF!</f>
        <v>#REF!</v>
      </c>
      <c r="E238" s="35">
        <v>75</v>
      </c>
      <c r="F238" s="38" t="e">
        <f>#REF!</f>
        <v>#REF!</v>
      </c>
      <c r="G238" s="256" t="e">
        <f t="shared" ref="G238:G243" si="17">E238*F238</f>
        <v>#REF!</v>
      </c>
      <c r="H238" s="197">
        <v>75</v>
      </c>
      <c r="I238" s="35"/>
      <c r="J238" s="35"/>
      <c r="K238" s="269">
        <f t="shared" si="14"/>
        <v>75</v>
      </c>
      <c r="L238" s="262" t="e">
        <f t="shared" si="15"/>
        <v>#REF!</v>
      </c>
    </row>
    <row r="239" spans="1:13" s="42" customFormat="1" x14ac:dyDescent="0.3">
      <c r="A239" s="35"/>
      <c r="B239" s="35" t="e">
        <f>#REF!</f>
        <v>#REF!</v>
      </c>
      <c r="C239" s="35" t="e">
        <f>#REF!</f>
        <v>#REF!</v>
      </c>
      <c r="D239" s="174" t="e">
        <f>#REF!</f>
        <v>#REF!</v>
      </c>
      <c r="E239" s="35">
        <v>100</v>
      </c>
      <c r="F239" s="38" t="e">
        <f>#REF!</f>
        <v>#REF!</v>
      </c>
      <c r="G239" s="256" t="e">
        <f t="shared" si="17"/>
        <v>#REF!</v>
      </c>
      <c r="H239" s="197">
        <v>100</v>
      </c>
      <c r="I239" s="35"/>
      <c r="J239" s="35"/>
      <c r="K239" s="269">
        <f t="shared" si="14"/>
        <v>100</v>
      </c>
      <c r="L239" s="262" t="e">
        <f t="shared" si="15"/>
        <v>#REF!</v>
      </c>
    </row>
    <row r="240" spans="1:13" s="42" customFormat="1" x14ac:dyDescent="0.3">
      <c r="A240" s="35"/>
      <c r="B240" s="35" t="e">
        <f>#REF!</f>
        <v>#REF!</v>
      </c>
      <c r="C240" s="35" t="e">
        <f>#REF!</f>
        <v>#REF!</v>
      </c>
      <c r="D240" s="174" t="e">
        <f>#REF!</f>
        <v>#REF!</v>
      </c>
      <c r="E240" s="35">
        <v>200</v>
      </c>
      <c r="F240" s="38" t="e">
        <f>#REF!</f>
        <v>#REF!</v>
      </c>
      <c r="G240" s="256" t="e">
        <f t="shared" si="17"/>
        <v>#REF!</v>
      </c>
      <c r="H240" s="197">
        <v>200</v>
      </c>
      <c r="I240" s="35"/>
      <c r="J240" s="35"/>
      <c r="K240" s="269">
        <f t="shared" si="14"/>
        <v>200</v>
      </c>
      <c r="L240" s="262" t="e">
        <f t="shared" si="15"/>
        <v>#REF!</v>
      </c>
    </row>
    <row r="241" spans="1:13" s="42" customFormat="1" x14ac:dyDescent="0.3">
      <c r="A241" s="35"/>
      <c r="B241" s="35" t="e">
        <f>#REF!</f>
        <v>#REF!</v>
      </c>
      <c r="C241" s="35" t="e">
        <f>#REF!</f>
        <v>#REF!</v>
      </c>
      <c r="D241" s="174" t="e">
        <f>#REF!</f>
        <v>#REF!</v>
      </c>
      <c r="E241" s="35">
        <v>88</v>
      </c>
      <c r="F241" s="38" t="e">
        <f>#REF!</f>
        <v>#REF!</v>
      </c>
      <c r="G241" s="256" t="e">
        <f t="shared" si="17"/>
        <v>#REF!</v>
      </c>
      <c r="H241" s="197">
        <v>88</v>
      </c>
      <c r="I241" s="35"/>
      <c r="J241" s="35"/>
      <c r="K241" s="269">
        <f t="shared" si="14"/>
        <v>88</v>
      </c>
      <c r="L241" s="262" t="e">
        <f t="shared" si="15"/>
        <v>#REF!</v>
      </c>
    </row>
    <row r="242" spans="1:13" s="42" customFormat="1" x14ac:dyDescent="0.3">
      <c r="A242" s="35"/>
      <c r="B242" s="35" t="e">
        <f>#REF!</f>
        <v>#REF!</v>
      </c>
      <c r="C242" s="35" t="e">
        <f>#REF!</f>
        <v>#REF!</v>
      </c>
      <c r="D242" s="174" t="e">
        <f>#REF!</f>
        <v>#REF!</v>
      </c>
      <c r="E242" s="35">
        <v>30</v>
      </c>
      <c r="F242" s="38" t="e">
        <f>#REF!</f>
        <v>#REF!</v>
      </c>
      <c r="G242" s="256" t="e">
        <f t="shared" si="17"/>
        <v>#REF!</v>
      </c>
      <c r="H242" s="197">
        <v>30</v>
      </c>
      <c r="I242" s="35"/>
      <c r="J242" s="35"/>
      <c r="K242" s="269">
        <f t="shared" si="14"/>
        <v>30</v>
      </c>
      <c r="L242" s="262" t="e">
        <f t="shared" si="15"/>
        <v>#REF!</v>
      </c>
    </row>
    <row r="243" spans="1:13" s="42" customFormat="1" x14ac:dyDescent="0.3">
      <c r="A243" s="35"/>
      <c r="B243" s="35" t="e">
        <f>#REF!</f>
        <v>#REF!</v>
      </c>
      <c r="C243" s="35" t="e">
        <f>#REF!</f>
        <v>#REF!</v>
      </c>
      <c r="D243" s="174" t="e">
        <f>#REF!</f>
        <v>#REF!</v>
      </c>
      <c r="E243" s="35">
        <v>75</v>
      </c>
      <c r="F243" s="38" t="e">
        <f>#REF!</f>
        <v>#REF!</v>
      </c>
      <c r="G243" s="256" t="e">
        <f t="shared" si="17"/>
        <v>#REF!</v>
      </c>
      <c r="H243" s="197"/>
      <c r="I243" s="35"/>
      <c r="J243" s="35"/>
      <c r="K243" s="269">
        <f t="shared" si="14"/>
        <v>0</v>
      </c>
      <c r="L243" s="262" t="e">
        <f t="shared" si="15"/>
        <v>#REF!</v>
      </c>
      <c r="M243" s="366" t="e">
        <f>SUM(L238:L243)</f>
        <v>#REF!</v>
      </c>
    </row>
    <row r="244" spans="1:13" s="42" customFormat="1" x14ac:dyDescent="0.3">
      <c r="A244" s="35"/>
      <c r="B244" s="35"/>
      <c r="C244" s="35"/>
      <c r="D244" s="174"/>
      <c r="E244" s="35"/>
      <c r="F244" s="38"/>
      <c r="G244" s="256"/>
      <c r="H244" s="197"/>
      <c r="I244" s="35"/>
      <c r="J244" s="35"/>
      <c r="K244" s="269">
        <f t="shared" si="14"/>
        <v>0</v>
      </c>
      <c r="L244" s="262">
        <f t="shared" si="15"/>
        <v>0</v>
      </c>
    </row>
    <row r="245" spans="1:13" s="42" customFormat="1" ht="23.25" x14ac:dyDescent="0.35">
      <c r="A245" s="35">
        <v>14</v>
      </c>
      <c r="B245" s="77"/>
      <c r="C245" s="77" t="s">
        <v>836</v>
      </c>
      <c r="D245" s="184"/>
      <c r="E245" s="77"/>
      <c r="F245" s="79"/>
      <c r="G245" s="257"/>
      <c r="H245" s="197"/>
      <c r="I245" s="35"/>
      <c r="J245" s="35"/>
      <c r="K245" s="269">
        <f t="shared" ref="K245:K298" si="18">H245+I245+J245</f>
        <v>0</v>
      </c>
      <c r="L245" s="262">
        <f t="shared" si="15"/>
        <v>0</v>
      </c>
    </row>
    <row r="246" spans="1:13" s="42" customFormat="1" x14ac:dyDescent="0.3">
      <c r="A246" s="35"/>
      <c r="B246" s="35" t="e">
        <f>#REF!</f>
        <v>#REF!</v>
      </c>
      <c r="C246" s="35" t="e">
        <f>#REF!</f>
        <v>#REF!</v>
      </c>
      <c r="D246" s="174" t="e">
        <f>#REF!</f>
        <v>#REF!</v>
      </c>
      <c r="E246" s="35">
        <v>69</v>
      </c>
      <c r="F246" s="38" t="e">
        <f>#REF!</f>
        <v>#REF!</v>
      </c>
      <c r="G246" s="256" t="e">
        <f t="shared" ref="G246:G254" si="19">E246*F246</f>
        <v>#REF!</v>
      </c>
      <c r="H246" s="197">
        <v>69</v>
      </c>
      <c r="I246" s="35"/>
      <c r="J246" s="35"/>
      <c r="K246" s="269">
        <f t="shared" si="18"/>
        <v>69</v>
      </c>
      <c r="L246" s="262" t="e">
        <f t="shared" si="15"/>
        <v>#REF!</v>
      </c>
    </row>
    <row r="247" spans="1:13" s="42" customFormat="1" x14ac:dyDescent="0.3">
      <c r="A247" s="35"/>
      <c r="B247" s="35" t="e">
        <f>#REF!</f>
        <v>#REF!</v>
      </c>
      <c r="C247" s="35" t="e">
        <f>#REF!</f>
        <v>#REF!</v>
      </c>
      <c r="D247" s="174" t="e">
        <f>#REF!</f>
        <v>#REF!</v>
      </c>
      <c r="E247" s="35">
        <v>375</v>
      </c>
      <c r="F247" s="38" t="e">
        <f>#REF!</f>
        <v>#REF!</v>
      </c>
      <c r="G247" s="256" t="e">
        <f t="shared" si="19"/>
        <v>#REF!</v>
      </c>
      <c r="H247" s="197">
        <v>375</v>
      </c>
      <c r="I247" s="35"/>
      <c r="J247" s="35"/>
      <c r="K247" s="269">
        <f t="shared" si="18"/>
        <v>375</v>
      </c>
      <c r="L247" s="262" t="e">
        <f t="shared" ref="L247:L300" si="20">K247*F247</f>
        <v>#REF!</v>
      </c>
    </row>
    <row r="248" spans="1:13" s="42" customFormat="1" x14ac:dyDescent="0.3">
      <c r="A248" s="35"/>
      <c r="B248" s="35" t="e">
        <f>#REF!</f>
        <v>#REF!</v>
      </c>
      <c r="C248" s="35" t="e">
        <f>#REF!</f>
        <v>#REF!</v>
      </c>
      <c r="D248" s="174" t="e">
        <f>#REF!</f>
        <v>#REF!</v>
      </c>
      <c r="E248" s="35">
        <v>1000</v>
      </c>
      <c r="F248" s="38" t="e">
        <f>#REF!</f>
        <v>#REF!</v>
      </c>
      <c r="G248" s="256" t="e">
        <f t="shared" si="19"/>
        <v>#REF!</v>
      </c>
      <c r="H248" s="197">
        <v>1000</v>
      </c>
      <c r="I248" s="35"/>
      <c r="J248" s="35"/>
      <c r="K248" s="269">
        <f t="shared" si="18"/>
        <v>1000</v>
      </c>
      <c r="L248" s="262" t="e">
        <f t="shared" si="20"/>
        <v>#REF!</v>
      </c>
    </row>
    <row r="249" spans="1:13" s="42" customFormat="1" x14ac:dyDescent="0.3">
      <c r="A249" s="35"/>
      <c r="B249" s="35" t="e">
        <f>#REF!</f>
        <v>#REF!</v>
      </c>
      <c r="C249" s="35" t="e">
        <f>#REF!</f>
        <v>#REF!</v>
      </c>
      <c r="D249" s="174" t="e">
        <f>#REF!</f>
        <v>#REF!</v>
      </c>
      <c r="E249" s="35">
        <v>1400</v>
      </c>
      <c r="F249" s="38" t="e">
        <f>#REF!</f>
        <v>#REF!</v>
      </c>
      <c r="G249" s="256" t="e">
        <f t="shared" si="19"/>
        <v>#REF!</v>
      </c>
      <c r="H249" s="197">
        <v>1400</v>
      </c>
      <c r="I249" s="35"/>
      <c r="J249" s="35"/>
      <c r="K249" s="269">
        <f t="shared" si="18"/>
        <v>1400</v>
      </c>
      <c r="L249" s="262" t="e">
        <f t="shared" si="20"/>
        <v>#REF!</v>
      </c>
    </row>
    <row r="250" spans="1:13" s="42" customFormat="1" x14ac:dyDescent="0.3">
      <c r="A250" s="35"/>
      <c r="B250" s="35" t="e">
        <f>#REF!</f>
        <v>#REF!</v>
      </c>
      <c r="C250" s="35" t="e">
        <f>#REF!</f>
        <v>#REF!</v>
      </c>
      <c r="D250" s="174" t="e">
        <f>#REF!</f>
        <v>#REF!</v>
      </c>
      <c r="E250" s="35">
        <v>5</v>
      </c>
      <c r="F250" s="38" t="e">
        <f>#REF!</f>
        <v>#REF!</v>
      </c>
      <c r="G250" s="256" t="e">
        <f t="shared" si="19"/>
        <v>#REF!</v>
      </c>
      <c r="H250" s="197">
        <v>5</v>
      </c>
      <c r="I250" s="35"/>
      <c r="J250" s="35"/>
      <c r="K250" s="269">
        <f t="shared" si="18"/>
        <v>5</v>
      </c>
      <c r="L250" s="262" t="e">
        <f t="shared" si="20"/>
        <v>#REF!</v>
      </c>
    </row>
    <row r="251" spans="1:13" s="42" customFormat="1" x14ac:dyDescent="0.3">
      <c r="A251" s="35"/>
      <c r="B251" s="35" t="e">
        <f>#REF!</f>
        <v>#REF!</v>
      </c>
      <c r="C251" s="35" t="e">
        <f>#REF!</f>
        <v>#REF!</v>
      </c>
      <c r="D251" s="174" t="e">
        <f>#REF!</f>
        <v>#REF!</v>
      </c>
      <c r="E251" s="35">
        <v>25</v>
      </c>
      <c r="F251" s="38" t="e">
        <f>#REF!</f>
        <v>#REF!</v>
      </c>
      <c r="G251" s="256" t="e">
        <f t="shared" si="19"/>
        <v>#REF!</v>
      </c>
      <c r="H251" s="197">
        <v>25</v>
      </c>
      <c r="I251" s="35"/>
      <c r="J251" s="35"/>
      <c r="K251" s="269">
        <f t="shared" si="18"/>
        <v>25</v>
      </c>
      <c r="L251" s="262" t="e">
        <f t="shared" si="20"/>
        <v>#REF!</v>
      </c>
    </row>
    <row r="252" spans="1:13" s="42" customFormat="1" x14ac:dyDescent="0.3">
      <c r="A252" s="35"/>
      <c r="B252" s="35" t="e">
        <f>#REF!</f>
        <v>#REF!</v>
      </c>
      <c r="C252" s="35" t="e">
        <f>#REF!</f>
        <v>#REF!</v>
      </c>
      <c r="D252" s="174" t="e">
        <f>#REF!</f>
        <v>#REF!</v>
      </c>
      <c r="E252" s="35">
        <v>10</v>
      </c>
      <c r="F252" s="38" t="e">
        <f>#REF!</f>
        <v>#REF!</v>
      </c>
      <c r="G252" s="256" t="e">
        <f t="shared" si="19"/>
        <v>#REF!</v>
      </c>
      <c r="H252" s="197">
        <v>10</v>
      </c>
      <c r="I252" s="35"/>
      <c r="J252" s="35"/>
      <c r="K252" s="269">
        <f t="shared" si="18"/>
        <v>10</v>
      </c>
      <c r="L252" s="262" t="e">
        <f t="shared" si="20"/>
        <v>#REF!</v>
      </c>
    </row>
    <row r="253" spans="1:13" s="42" customFormat="1" x14ac:dyDescent="0.3">
      <c r="A253" s="35"/>
      <c r="B253" s="35" t="e">
        <f>#REF!</f>
        <v>#REF!</v>
      </c>
      <c r="C253" s="35" t="e">
        <f>#REF!</f>
        <v>#REF!</v>
      </c>
      <c r="D253" s="174" t="e">
        <f>#REF!</f>
        <v>#REF!</v>
      </c>
      <c r="E253" s="35">
        <v>3</v>
      </c>
      <c r="F253" s="38" t="e">
        <f>#REF!</f>
        <v>#REF!</v>
      </c>
      <c r="G253" s="256" t="e">
        <f t="shared" si="19"/>
        <v>#REF!</v>
      </c>
      <c r="H253" s="197">
        <v>3</v>
      </c>
      <c r="I253" s="35"/>
      <c r="J253" s="35"/>
      <c r="K253" s="269">
        <f t="shared" si="18"/>
        <v>3</v>
      </c>
      <c r="L253" s="262" t="e">
        <f t="shared" si="20"/>
        <v>#REF!</v>
      </c>
    </row>
    <row r="254" spans="1:13" s="42" customFormat="1" x14ac:dyDescent="0.3">
      <c r="A254" s="35"/>
      <c r="B254" s="35" t="e">
        <f>#REF!</f>
        <v>#REF!</v>
      </c>
      <c r="C254" s="35" t="e">
        <f>#REF!</f>
        <v>#REF!</v>
      </c>
      <c r="D254" s="174" t="e">
        <f>#REF!</f>
        <v>#REF!</v>
      </c>
      <c r="E254" s="35">
        <v>5</v>
      </c>
      <c r="F254" s="38" t="e">
        <f>#REF!</f>
        <v>#REF!</v>
      </c>
      <c r="G254" s="256" t="e">
        <f t="shared" si="19"/>
        <v>#REF!</v>
      </c>
      <c r="H254" s="197"/>
      <c r="I254" s="35"/>
      <c r="J254" s="35"/>
      <c r="K254" s="269">
        <f t="shared" si="18"/>
        <v>0</v>
      </c>
      <c r="L254" s="262" t="e">
        <f t="shared" si="20"/>
        <v>#REF!</v>
      </c>
      <c r="M254" s="366" t="e">
        <f>SUM(L246:L254)</f>
        <v>#REF!</v>
      </c>
    </row>
    <row r="255" spans="1:13" s="42" customFormat="1" x14ac:dyDescent="0.3">
      <c r="A255" s="35"/>
      <c r="B255" s="35"/>
      <c r="C255" s="35"/>
      <c r="D255" s="174"/>
      <c r="E255" s="35"/>
      <c r="F255" s="38"/>
      <c r="G255" s="256"/>
      <c r="H255" s="197"/>
      <c r="I255" s="35"/>
      <c r="J255" s="35"/>
      <c r="K255" s="269">
        <f t="shared" si="18"/>
        <v>0</v>
      </c>
      <c r="L255" s="262">
        <f t="shared" si="20"/>
        <v>0</v>
      </c>
    </row>
    <row r="256" spans="1:13" s="42" customFormat="1" x14ac:dyDescent="0.3">
      <c r="A256" s="35"/>
      <c r="B256" s="35"/>
      <c r="C256" s="35"/>
      <c r="D256" s="174"/>
      <c r="E256" s="35"/>
      <c r="F256" s="38"/>
      <c r="G256" s="256"/>
      <c r="H256" s="197"/>
      <c r="I256" s="35"/>
      <c r="J256" s="35"/>
      <c r="K256" s="269">
        <f t="shared" si="18"/>
        <v>0</v>
      </c>
      <c r="L256" s="262">
        <f t="shared" si="20"/>
        <v>0</v>
      </c>
    </row>
    <row r="257" spans="1:13" s="42" customFormat="1" ht="23.25" x14ac:dyDescent="0.35">
      <c r="A257" s="35">
        <v>15</v>
      </c>
      <c r="B257" s="77"/>
      <c r="C257" s="77" t="s">
        <v>882</v>
      </c>
      <c r="D257" s="184"/>
      <c r="E257" s="77"/>
      <c r="F257" s="79"/>
      <c r="G257" s="257"/>
      <c r="H257" s="197"/>
      <c r="I257" s="35"/>
      <c r="J257" s="35"/>
      <c r="K257" s="269">
        <f t="shared" si="18"/>
        <v>0</v>
      </c>
      <c r="L257" s="262">
        <f t="shared" si="20"/>
        <v>0</v>
      </c>
    </row>
    <row r="258" spans="1:13" s="42" customFormat="1" x14ac:dyDescent="0.3">
      <c r="A258" s="35"/>
      <c r="B258" s="35" t="e">
        <f>#REF!</f>
        <v>#REF!</v>
      </c>
      <c r="C258" s="35" t="e">
        <f>#REF!</f>
        <v>#REF!</v>
      </c>
      <c r="D258" s="174" t="e">
        <f>#REF!</f>
        <v>#REF!</v>
      </c>
      <c r="E258" s="35">
        <v>15</v>
      </c>
      <c r="F258" s="38" t="e">
        <f>#REF!</f>
        <v>#REF!</v>
      </c>
      <c r="G258" s="256" t="e">
        <f>E258*F258</f>
        <v>#REF!</v>
      </c>
      <c r="H258" s="197"/>
      <c r="I258" s="35">
        <v>15</v>
      </c>
      <c r="J258" s="35"/>
      <c r="K258" s="269">
        <f t="shared" si="18"/>
        <v>15</v>
      </c>
      <c r="L258" s="262" t="e">
        <f t="shared" si="20"/>
        <v>#REF!</v>
      </c>
    </row>
    <row r="259" spans="1:13" s="42" customFormat="1" x14ac:dyDescent="0.3">
      <c r="A259" s="35"/>
      <c r="B259" s="35" t="e">
        <f>#REF!</f>
        <v>#REF!</v>
      </c>
      <c r="C259" s="35" t="e">
        <f>#REF!</f>
        <v>#REF!</v>
      </c>
      <c r="D259" s="174" t="e">
        <f>#REF!</f>
        <v>#REF!</v>
      </c>
      <c r="E259" s="35">
        <v>1500</v>
      </c>
      <c r="F259" s="38" t="e">
        <f>#REF!</f>
        <v>#REF!</v>
      </c>
      <c r="G259" s="256" t="e">
        <f>E259*F259</f>
        <v>#REF!</v>
      </c>
      <c r="H259" s="197">
        <v>200</v>
      </c>
      <c r="I259" s="35">
        <v>1100</v>
      </c>
      <c r="J259" s="35">
        <v>200</v>
      </c>
      <c r="K259" s="269">
        <f t="shared" si="18"/>
        <v>1500</v>
      </c>
      <c r="L259" s="262" t="e">
        <f t="shared" si="20"/>
        <v>#REF!</v>
      </c>
    </row>
    <row r="260" spans="1:13" s="42" customFormat="1" x14ac:dyDescent="0.3">
      <c r="A260" s="35"/>
      <c r="B260" s="35" t="e">
        <f>#REF!</f>
        <v>#REF!</v>
      </c>
      <c r="C260" s="35" t="e">
        <f>#REF!</f>
        <v>#REF!</v>
      </c>
      <c r="D260" s="174" t="e">
        <f>#REF!</f>
        <v>#REF!</v>
      </c>
      <c r="E260" s="35">
        <v>500</v>
      </c>
      <c r="F260" s="38" t="e">
        <f>#REF!</f>
        <v>#REF!</v>
      </c>
      <c r="G260" s="256" t="e">
        <f>E260*F260</f>
        <v>#REF!</v>
      </c>
      <c r="H260" s="197"/>
      <c r="I260" s="35">
        <v>500</v>
      </c>
      <c r="J260" s="35"/>
      <c r="K260" s="269">
        <f t="shared" si="18"/>
        <v>500</v>
      </c>
      <c r="L260" s="262" t="e">
        <f t="shared" si="20"/>
        <v>#REF!</v>
      </c>
    </row>
    <row r="261" spans="1:13" s="42" customFormat="1" x14ac:dyDescent="0.3">
      <c r="A261" s="35"/>
      <c r="B261" s="35" t="e">
        <f>#REF!</f>
        <v>#REF!</v>
      </c>
      <c r="C261" s="35" t="e">
        <f>#REF!</f>
        <v>#REF!</v>
      </c>
      <c r="D261" s="174" t="e">
        <f>#REF!</f>
        <v>#REF!</v>
      </c>
      <c r="E261" s="35">
        <v>6000</v>
      </c>
      <c r="F261" s="38" t="e">
        <f>#REF!</f>
        <v>#REF!</v>
      </c>
      <c r="G261" s="256" t="e">
        <f>E261*F261</f>
        <v>#REF!</v>
      </c>
      <c r="H261" s="197"/>
      <c r="I261" s="35">
        <v>6000</v>
      </c>
      <c r="J261" s="35"/>
      <c r="K261" s="269">
        <f t="shared" si="18"/>
        <v>6000</v>
      </c>
      <c r="L261" s="262" t="e">
        <f t="shared" si="20"/>
        <v>#REF!</v>
      </c>
    </row>
    <row r="262" spans="1:13" s="42" customFormat="1" x14ac:dyDescent="0.3">
      <c r="A262" s="35"/>
      <c r="B262" s="35" t="e">
        <f>#REF!</f>
        <v>#REF!</v>
      </c>
      <c r="C262" s="35" t="e">
        <f>#REF!</f>
        <v>#REF!</v>
      </c>
      <c r="D262" s="174" t="e">
        <f>#REF!</f>
        <v>#REF!</v>
      </c>
      <c r="E262" s="35">
        <v>1000</v>
      </c>
      <c r="F262" s="38" t="e">
        <f>#REF!</f>
        <v>#REF!</v>
      </c>
      <c r="G262" s="256" t="e">
        <f>E262*F262</f>
        <v>#REF!</v>
      </c>
      <c r="H262" s="197">
        <v>640</v>
      </c>
      <c r="I262" s="35">
        <v>360</v>
      </c>
      <c r="J262" s="35"/>
      <c r="K262" s="269">
        <f t="shared" si="18"/>
        <v>1000</v>
      </c>
      <c r="L262" s="262" t="e">
        <f t="shared" si="20"/>
        <v>#REF!</v>
      </c>
      <c r="M262" s="366" t="e">
        <f>SUM(L258:L262)</f>
        <v>#REF!</v>
      </c>
    </row>
    <row r="263" spans="1:13" s="42" customFormat="1" x14ac:dyDescent="0.3">
      <c r="A263" s="35"/>
      <c r="B263" s="35"/>
      <c r="C263" s="35"/>
      <c r="D263" s="174"/>
      <c r="E263" s="35"/>
      <c r="F263" s="38"/>
      <c r="G263" s="256"/>
      <c r="H263" s="197"/>
      <c r="I263" s="35"/>
      <c r="J263" s="35"/>
      <c r="K263" s="269">
        <f t="shared" si="18"/>
        <v>0</v>
      </c>
      <c r="L263" s="262">
        <f t="shared" si="20"/>
        <v>0</v>
      </c>
    </row>
    <row r="264" spans="1:13" s="42" customFormat="1" x14ac:dyDescent="0.3">
      <c r="A264" s="35"/>
      <c r="B264" s="35"/>
      <c r="C264" s="35"/>
      <c r="D264" s="174"/>
      <c r="E264" s="35"/>
      <c r="F264" s="38"/>
      <c r="G264" s="256"/>
      <c r="H264" s="197"/>
      <c r="I264" s="35"/>
      <c r="J264" s="35"/>
      <c r="K264" s="269">
        <f t="shared" si="18"/>
        <v>0</v>
      </c>
      <c r="L264" s="262">
        <f t="shared" si="20"/>
        <v>0</v>
      </c>
    </row>
    <row r="265" spans="1:13" s="42" customFormat="1" ht="23.25" x14ac:dyDescent="0.35">
      <c r="A265" s="35">
        <v>16</v>
      </c>
      <c r="B265" s="35"/>
      <c r="C265" s="77" t="s">
        <v>891</v>
      </c>
      <c r="D265" s="174"/>
      <c r="E265" s="35"/>
      <c r="F265" s="38"/>
      <c r="G265" s="256"/>
      <c r="H265" s="197"/>
      <c r="I265" s="35"/>
      <c r="J265" s="35"/>
      <c r="K265" s="269">
        <f t="shared" si="18"/>
        <v>0</v>
      </c>
      <c r="L265" s="262">
        <f t="shared" si="20"/>
        <v>0</v>
      </c>
    </row>
    <row r="266" spans="1:13" s="42" customFormat="1" x14ac:dyDescent="0.3">
      <c r="A266" s="35"/>
      <c r="B266" s="35" t="e">
        <f>#REF!</f>
        <v>#REF!</v>
      </c>
      <c r="C266" s="35" t="e">
        <f>#REF!</f>
        <v>#REF!</v>
      </c>
      <c r="D266" s="174" t="e">
        <f>#REF!</f>
        <v>#REF!</v>
      </c>
      <c r="E266" s="35">
        <v>11</v>
      </c>
      <c r="F266" s="38" t="e">
        <f>#REF!</f>
        <v>#REF!</v>
      </c>
      <c r="G266" s="256" t="e">
        <f>E266*F266</f>
        <v>#REF!</v>
      </c>
      <c r="H266" s="197">
        <v>11</v>
      </c>
      <c r="I266" s="35"/>
      <c r="J266" s="35"/>
      <c r="K266" s="269">
        <f t="shared" si="18"/>
        <v>11</v>
      </c>
      <c r="L266" s="262" t="e">
        <f t="shared" si="20"/>
        <v>#REF!</v>
      </c>
    </row>
    <row r="267" spans="1:13" s="42" customFormat="1" x14ac:dyDescent="0.3">
      <c r="A267" s="35"/>
      <c r="B267" s="35" t="e">
        <f>#REF!</f>
        <v>#REF!</v>
      </c>
      <c r="C267" s="35" t="e">
        <f>#REF!</f>
        <v>#REF!</v>
      </c>
      <c r="D267" s="174" t="e">
        <f>#REF!</f>
        <v>#REF!</v>
      </c>
      <c r="E267" s="35">
        <v>300</v>
      </c>
      <c r="F267" s="38" t="e">
        <f>#REF!</f>
        <v>#REF!</v>
      </c>
      <c r="G267" s="256" t="e">
        <f>E267*F267</f>
        <v>#REF!</v>
      </c>
      <c r="H267" s="197">
        <v>300</v>
      </c>
      <c r="I267" s="35"/>
      <c r="J267" s="35"/>
      <c r="K267" s="269">
        <f t="shared" si="18"/>
        <v>300</v>
      </c>
      <c r="L267" s="262" t="e">
        <f t="shared" si="20"/>
        <v>#REF!</v>
      </c>
      <c r="M267" s="366" t="e">
        <f>SUM(L263:L267)</f>
        <v>#REF!</v>
      </c>
    </row>
    <row r="268" spans="1:13" s="42" customFormat="1" x14ac:dyDescent="0.3">
      <c r="A268" s="35"/>
      <c r="B268" s="35"/>
      <c r="C268" s="35"/>
      <c r="D268" s="174"/>
      <c r="E268" s="35"/>
      <c r="F268" s="38"/>
      <c r="G268" s="256"/>
      <c r="H268" s="197"/>
      <c r="I268" s="35"/>
      <c r="J268" s="35"/>
      <c r="K268" s="269">
        <f t="shared" si="18"/>
        <v>0</v>
      </c>
      <c r="L268" s="262">
        <f t="shared" si="20"/>
        <v>0</v>
      </c>
    </row>
    <row r="269" spans="1:13" s="42" customFormat="1" x14ac:dyDescent="0.3">
      <c r="A269" s="35"/>
      <c r="B269" s="35"/>
      <c r="C269" s="35"/>
      <c r="D269" s="174"/>
      <c r="E269" s="35"/>
      <c r="F269" s="38"/>
      <c r="G269" s="256"/>
      <c r="H269" s="197"/>
      <c r="I269" s="35"/>
      <c r="J269" s="35"/>
      <c r="K269" s="269">
        <f t="shared" si="18"/>
        <v>0</v>
      </c>
      <c r="L269" s="262">
        <f t="shared" si="20"/>
        <v>0</v>
      </c>
    </row>
    <row r="270" spans="1:13" s="42" customFormat="1" ht="23.25" x14ac:dyDescent="0.35">
      <c r="A270" s="35">
        <v>17</v>
      </c>
      <c r="B270" s="35"/>
      <c r="C270" s="77" t="s">
        <v>926</v>
      </c>
      <c r="D270" s="184"/>
      <c r="E270" s="77"/>
      <c r="F270" s="79"/>
      <c r="G270" s="257"/>
      <c r="H270" s="197"/>
      <c r="I270" s="35"/>
      <c r="J270" s="35"/>
      <c r="K270" s="269">
        <f t="shared" si="18"/>
        <v>0</v>
      </c>
      <c r="L270" s="262">
        <f t="shared" si="20"/>
        <v>0</v>
      </c>
    </row>
    <row r="271" spans="1:13" s="42" customFormat="1" x14ac:dyDescent="0.3">
      <c r="A271" s="35"/>
      <c r="B271" s="35"/>
      <c r="C271" s="35" t="s">
        <v>1008</v>
      </c>
      <c r="D271" s="174">
        <v>30</v>
      </c>
      <c r="E271" s="35">
        <v>300</v>
      </c>
      <c r="F271" s="38">
        <v>880</v>
      </c>
      <c r="G271" s="256">
        <f>E271*F271</f>
        <v>264000</v>
      </c>
      <c r="H271" s="197">
        <v>300</v>
      </c>
      <c r="I271" s="35"/>
      <c r="J271" s="35"/>
      <c r="K271" s="269">
        <f t="shared" si="18"/>
        <v>300</v>
      </c>
      <c r="L271" s="262">
        <f t="shared" si="20"/>
        <v>264000</v>
      </c>
    </row>
    <row r="272" spans="1:13" s="42" customFormat="1" x14ac:dyDescent="0.3">
      <c r="A272" s="35"/>
      <c r="B272" s="35"/>
      <c r="C272" s="35" t="s">
        <v>927</v>
      </c>
      <c r="D272" s="174">
        <v>30</v>
      </c>
      <c r="E272" s="35">
        <v>375</v>
      </c>
      <c r="F272" s="38">
        <v>990</v>
      </c>
      <c r="G272" s="256">
        <f>E272*F272</f>
        <v>371250</v>
      </c>
      <c r="H272" s="197">
        <v>375</v>
      </c>
      <c r="I272" s="35"/>
      <c r="J272" s="35"/>
      <c r="K272" s="269">
        <f t="shared" si="18"/>
        <v>375</v>
      </c>
      <c r="L272" s="262">
        <f t="shared" si="20"/>
        <v>371250</v>
      </c>
    </row>
    <row r="273" spans="1:13" s="42" customFormat="1" x14ac:dyDescent="0.3">
      <c r="A273" s="35"/>
      <c r="B273" s="35"/>
      <c r="C273" s="35" t="s">
        <v>928</v>
      </c>
      <c r="D273" s="174">
        <v>30</v>
      </c>
      <c r="E273" s="35">
        <v>250</v>
      </c>
      <c r="F273" s="38">
        <v>1650</v>
      </c>
      <c r="G273" s="256">
        <f>E273*F273</f>
        <v>412500</v>
      </c>
      <c r="H273" s="197">
        <v>250</v>
      </c>
      <c r="I273" s="35"/>
      <c r="J273" s="35"/>
      <c r="K273" s="269">
        <f t="shared" si="18"/>
        <v>250</v>
      </c>
      <c r="L273" s="262">
        <f t="shared" si="20"/>
        <v>412500</v>
      </c>
    </row>
    <row r="274" spans="1:13" s="42" customFormat="1" x14ac:dyDescent="0.3">
      <c r="A274" s="35"/>
      <c r="B274" s="35"/>
      <c r="C274" s="35" t="s">
        <v>929</v>
      </c>
      <c r="D274" s="174">
        <v>30</v>
      </c>
      <c r="E274" s="35">
        <v>625</v>
      </c>
      <c r="F274" s="38">
        <v>1650</v>
      </c>
      <c r="G274" s="256">
        <f>E274*F274</f>
        <v>1031250</v>
      </c>
      <c r="H274" s="197">
        <v>625</v>
      </c>
      <c r="I274" s="35"/>
      <c r="J274" s="35"/>
      <c r="K274" s="269">
        <f t="shared" si="18"/>
        <v>625</v>
      </c>
      <c r="L274" s="262">
        <f t="shared" si="20"/>
        <v>1031250</v>
      </c>
      <c r="M274" s="366">
        <f>SUM(L271:L274)</f>
        <v>2079000</v>
      </c>
    </row>
    <row r="275" spans="1:13" s="42" customFormat="1" x14ac:dyDescent="0.3">
      <c r="A275" s="35"/>
      <c r="B275" s="35"/>
      <c r="C275" s="35"/>
      <c r="D275" s="174"/>
      <c r="E275" s="35"/>
      <c r="F275" s="38"/>
      <c r="G275" s="256"/>
      <c r="H275" s="197"/>
      <c r="I275" s="35"/>
      <c r="J275" s="35"/>
      <c r="K275" s="269">
        <f t="shared" si="18"/>
        <v>0</v>
      </c>
      <c r="L275" s="262">
        <f t="shared" si="20"/>
        <v>0</v>
      </c>
    </row>
    <row r="276" spans="1:13" ht="23.25" x14ac:dyDescent="0.35">
      <c r="A276" s="35">
        <v>18</v>
      </c>
      <c r="B276" s="35"/>
      <c r="C276" s="77" t="s">
        <v>898</v>
      </c>
      <c r="D276" s="181"/>
      <c r="E276" s="189"/>
      <c r="F276" s="190"/>
      <c r="G276" s="193"/>
      <c r="H276" s="199"/>
      <c r="I276" s="188"/>
      <c r="J276" s="188"/>
      <c r="K276" s="269">
        <f t="shared" si="18"/>
        <v>0</v>
      </c>
      <c r="L276" s="262">
        <f t="shared" si="20"/>
        <v>0</v>
      </c>
    </row>
    <row r="277" spans="1:13" x14ac:dyDescent="0.3">
      <c r="A277" s="35"/>
      <c r="B277" s="35" t="e">
        <f>#REF!</f>
        <v>#REF!</v>
      </c>
      <c r="C277" s="35" t="e">
        <f>#REF!</f>
        <v>#REF!</v>
      </c>
      <c r="D277" s="174" t="e">
        <f>#REF!</f>
        <v>#REF!</v>
      </c>
      <c r="E277" s="35">
        <v>50</v>
      </c>
      <c r="F277" s="38" t="e">
        <f>#REF!</f>
        <v>#REF!</v>
      </c>
      <c r="G277" s="256" t="e">
        <f>E277*F277</f>
        <v>#REF!</v>
      </c>
      <c r="H277" s="199">
        <v>50</v>
      </c>
      <c r="I277" s="188"/>
      <c r="J277" s="188"/>
      <c r="K277" s="269">
        <f t="shared" si="18"/>
        <v>50</v>
      </c>
      <c r="L277" s="262" t="e">
        <f t="shared" si="20"/>
        <v>#REF!</v>
      </c>
    </row>
    <row r="278" spans="1:13" x14ac:dyDescent="0.3">
      <c r="A278" s="35"/>
      <c r="B278" s="35" t="e">
        <f>#REF!</f>
        <v>#REF!</v>
      </c>
      <c r="C278" s="35" t="e">
        <f>#REF!</f>
        <v>#REF!</v>
      </c>
      <c r="D278" s="174" t="e">
        <f>#REF!</f>
        <v>#REF!</v>
      </c>
      <c r="E278" s="35">
        <v>10</v>
      </c>
      <c r="F278" s="38" t="e">
        <f>#REF!</f>
        <v>#REF!</v>
      </c>
      <c r="G278" s="256" t="e">
        <f>E278*F278</f>
        <v>#REF!</v>
      </c>
      <c r="H278" s="199">
        <v>10</v>
      </c>
      <c r="I278" s="188"/>
      <c r="J278" s="188"/>
      <c r="K278" s="269">
        <f t="shared" si="18"/>
        <v>10</v>
      </c>
      <c r="L278" s="262" t="e">
        <f t="shared" si="20"/>
        <v>#REF!</v>
      </c>
    </row>
    <row r="279" spans="1:13" x14ac:dyDescent="0.3">
      <c r="A279" s="35"/>
      <c r="B279" s="35" t="e">
        <f>#REF!</f>
        <v>#REF!</v>
      </c>
      <c r="C279" s="35" t="e">
        <f>#REF!</f>
        <v>#REF!</v>
      </c>
      <c r="D279" s="174" t="e">
        <f>#REF!</f>
        <v>#REF!</v>
      </c>
      <c r="E279" s="35">
        <v>7</v>
      </c>
      <c r="F279" s="38" t="e">
        <f>#REF!</f>
        <v>#REF!</v>
      </c>
      <c r="G279" s="256" t="e">
        <f>E279*F279</f>
        <v>#REF!</v>
      </c>
      <c r="H279" s="199">
        <v>7</v>
      </c>
      <c r="I279" s="188"/>
      <c r="J279" s="188"/>
      <c r="K279" s="269">
        <f t="shared" si="18"/>
        <v>7</v>
      </c>
      <c r="L279" s="262" t="e">
        <f t="shared" si="20"/>
        <v>#REF!</v>
      </c>
    </row>
    <row r="280" spans="1:13" x14ac:dyDescent="0.3">
      <c r="A280" s="35"/>
      <c r="B280" s="35" t="e">
        <f>#REF!</f>
        <v>#REF!</v>
      </c>
      <c r="C280" s="35" t="e">
        <f>#REF!</f>
        <v>#REF!</v>
      </c>
      <c r="D280" s="174" t="e">
        <f>#REF!</f>
        <v>#REF!</v>
      </c>
      <c r="E280" s="35">
        <v>5</v>
      </c>
      <c r="F280" s="38" t="e">
        <f>#REF!</f>
        <v>#REF!</v>
      </c>
      <c r="G280" s="256" t="e">
        <f>E280*F280</f>
        <v>#REF!</v>
      </c>
      <c r="H280" s="199">
        <v>5</v>
      </c>
      <c r="I280" s="188"/>
      <c r="J280" s="188"/>
      <c r="K280" s="269">
        <f t="shared" si="18"/>
        <v>5</v>
      </c>
      <c r="L280" s="262" t="e">
        <f t="shared" si="20"/>
        <v>#REF!</v>
      </c>
      <c r="M280" s="366" t="e">
        <f>SUM(L277:L280)</f>
        <v>#REF!</v>
      </c>
    </row>
    <row r="281" spans="1:13" x14ac:dyDescent="0.3">
      <c r="A281" s="35"/>
      <c r="B281" s="35"/>
      <c r="C281" s="35"/>
      <c r="D281" s="174"/>
      <c r="E281" s="35"/>
      <c r="F281" s="38"/>
      <c r="G281" s="256"/>
      <c r="H281" s="199"/>
      <c r="I281" s="188"/>
      <c r="J281" s="188"/>
      <c r="K281" s="269">
        <f t="shared" si="18"/>
        <v>0</v>
      </c>
      <c r="L281" s="262">
        <f t="shared" si="20"/>
        <v>0</v>
      </c>
    </row>
    <row r="282" spans="1:13" s="42" customFormat="1" ht="23.25" x14ac:dyDescent="0.35">
      <c r="A282" s="35">
        <v>19</v>
      </c>
      <c r="B282" s="77"/>
      <c r="C282" s="77" t="s">
        <v>629</v>
      </c>
      <c r="D282" s="184"/>
      <c r="E282" s="77"/>
      <c r="F282" s="79"/>
      <c r="G282" s="257"/>
      <c r="H282" s="197"/>
      <c r="I282" s="35"/>
      <c r="J282" s="35"/>
      <c r="K282" s="269">
        <f t="shared" si="18"/>
        <v>0</v>
      </c>
      <c r="L282" s="262">
        <f t="shared" si="20"/>
        <v>0</v>
      </c>
    </row>
    <row r="283" spans="1:13" s="42" customFormat="1" x14ac:dyDescent="0.3">
      <c r="A283" s="35"/>
      <c r="B283" s="35" t="e">
        <f>#REF!</f>
        <v>#REF!</v>
      </c>
      <c r="C283" s="35" t="e">
        <f>#REF!</f>
        <v>#REF!</v>
      </c>
      <c r="D283" s="174" t="e">
        <f>#REF!</f>
        <v>#REF!</v>
      </c>
      <c r="E283" s="35">
        <v>25</v>
      </c>
      <c r="F283" s="38" t="e">
        <f>#REF!</f>
        <v>#REF!</v>
      </c>
      <c r="G283" s="256" t="e">
        <f>E283*F283</f>
        <v>#REF!</v>
      </c>
      <c r="H283" s="197">
        <v>25</v>
      </c>
      <c r="I283" s="35"/>
      <c r="J283" s="35"/>
      <c r="K283" s="269">
        <f t="shared" si="18"/>
        <v>25</v>
      </c>
      <c r="L283" s="262" t="e">
        <f t="shared" si="20"/>
        <v>#REF!</v>
      </c>
    </row>
    <row r="284" spans="1:13" s="42" customFormat="1" x14ac:dyDescent="0.3">
      <c r="A284" s="35"/>
      <c r="B284" s="35" t="e">
        <f>#REF!</f>
        <v>#REF!</v>
      </c>
      <c r="C284" s="35" t="e">
        <f>#REF!</f>
        <v>#REF!</v>
      </c>
      <c r="D284" s="174" t="e">
        <f>#REF!</f>
        <v>#REF!</v>
      </c>
      <c r="E284" s="35">
        <v>10</v>
      </c>
      <c r="F284" s="38" t="e">
        <f>#REF!</f>
        <v>#REF!</v>
      </c>
      <c r="G284" s="256" t="e">
        <f>E284*F284</f>
        <v>#REF!</v>
      </c>
      <c r="H284" s="197"/>
      <c r="I284" s="35"/>
      <c r="J284" s="35"/>
      <c r="K284" s="269">
        <f t="shared" si="18"/>
        <v>0</v>
      </c>
      <c r="L284" s="262" t="e">
        <f t="shared" si="20"/>
        <v>#REF!</v>
      </c>
    </row>
    <row r="285" spans="1:13" s="42" customFormat="1" x14ac:dyDescent="0.3">
      <c r="A285" s="35"/>
      <c r="B285" s="35" t="e">
        <f>#REF!</f>
        <v>#REF!</v>
      </c>
      <c r="C285" s="35" t="e">
        <f>#REF!</f>
        <v>#REF!</v>
      </c>
      <c r="D285" s="174" t="e">
        <f>#REF!</f>
        <v>#REF!</v>
      </c>
      <c r="E285" s="35">
        <v>75</v>
      </c>
      <c r="F285" s="38" t="e">
        <f>#REF!</f>
        <v>#REF!</v>
      </c>
      <c r="G285" s="256" t="e">
        <f>E285*F285</f>
        <v>#REF!</v>
      </c>
      <c r="H285" s="197">
        <v>75</v>
      </c>
      <c r="I285" s="35"/>
      <c r="J285" s="35"/>
      <c r="K285" s="269">
        <f t="shared" si="18"/>
        <v>75</v>
      </c>
      <c r="L285" s="262" t="e">
        <f t="shared" si="20"/>
        <v>#REF!</v>
      </c>
    </row>
    <row r="286" spans="1:13" s="42" customFormat="1" x14ac:dyDescent="0.3">
      <c r="A286" s="35"/>
      <c r="B286" s="35" t="e">
        <f>#REF!</f>
        <v>#REF!</v>
      </c>
      <c r="C286" s="35" t="e">
        <f>#REF!</f>
        <v>#REF!</v>
      </c>
      <c r="D286" s="174" t="e">
        <f>#REF!</f>
        <v>#REF!</v>
      </c>
      <c r="E286" s="35">
        <v>3</v>
      </c>
      <c r="F286" s="38" t="e">
        <f>#REF!</f>
        <v>#REF!</v>
      </c>
      <c r="G286" s="256" t="e">
        <f>E286*F286</f>
        <v>#REF!</v>
      </c>
      <c r="H286" s="197">
        <v>3</v>
      </c>
      <c r="I286" s="35"/>
      <c r="J286" s="35"/>
      <c r="K286" s="269">
        <f t="shared" si="18"/>
        <v>3</v>
      </c>
      <c r="L286" s="262" t="e">
        <f t="shared" si="20"/>
        <v>#REF!</v>
      </c>
    </row>
    <row r="287" spans="1:13" s="42" customFormat="1" x14ac:dyDescent="0.3">
      <c r="A287" s="35"/>
      <c r="B287" s="35" t="e">
        <f>#REF!</f>
        <v>#REF!</v>
      </c>
      <c r="C287" s="35" t="e">
        <f>#REF!</f>
        <v>#REF!</v>
      </c>
      <c r="D287" s="174" t="e">
        <f>#REF!</f>
        <v>#REF!</v>
      </c>
      <c r="E287" s="35">
        <v>75</v>
      </c>
      <c r="F287" s="38" t="e">
        <f>#REF!</f>
        <v>#REF!</v>
      </c>
      <c r="G287" s="256" t="e">
        <f>E287*F287</f>
        <v>#REF!</v>
      </c>
      <c r="H287" s="197">
        <v>75</v>
      </c>
      <c r="I287" s="35"/>
      <c r="J287" s="35"/>
      <c r="K287" s="269">
        <f t="shared" si="18"/>
        <v>75</v>
      </c>
      <c r="L287" s="262" t="e">
        <f t="shared" si="20"/>
        <v>#REF!</v>
      </c>
      <c r="M287" s="366" t="e">
        <f>SUM(L283:L287)</f>
        <v>#REF!</v>
      </c>
    </row>
    <row r="288" spans="1:13" s="42" customFormat="1" x14ac:dyDescent="0.3">
      <c r="A288" s="35"/>
      <c r="B288" s="35"/>
      <c r="C288" s="35"/>
      <c r="D288" s="174"/>
      <c r="E288" s="35"/>
      <c r="F288" s="38"/>
      <c r="G288" s="256"/>
      <c r="H288" s="197"/>
      <c r="I288" s="35"/>
      <c r="J288" s="35"/>
      <c r="K288" s="269">
        <f t="shared" si="18"/>
        <v>0</v>
      </c>
      <c r="L288" s="262">
        <f t="shared" si="20"/>
        <v>0</v>
      </c>
    </row>
    <row r="289" spans="1:13" s="42" customFormat="1" ht="23.25" x14ac:dyDescent="0.35">
      <c r="A289" s="35">
        <v>20</v>
      </c>
      <c r="B289" s="35"/>
      <c r="C289" s="77" t="s">
        <v>892</v>
      </c>
      <c r="D289" s="174"/>
      <c r="E289" s="70"/>
      <c r="F289" s="38"/>
      <c r="G289" s="259"/>
      <c r="H289" s="197"/>
      <c r="I289" s="35"/>
      <c r="J289" s="35"/>
      <c r="K289" s="269">
        <f t="shared" si="18"/>
        <v>0</v>
      </c>
      <c r="L289" s="262">
        <f t="shared" si="20"/>
        <v>0</v>
      </c>
    </row>
    <row r="290" spans="1:13" s="42" customFormat="1" x14ac:dyDescent="0.3">
      <c r="A290" s="35"/>
      <c r="B290" s="35" t="e">
        <f>#REF!</f>
        <v>#REF!</v>
      </c>
      <c r="C290" s="35" t="e">
        <f>#REF!</f>
        <v>#REF!</v>
      </c>
      <c r="D290" s="174" t="e">
        <f>#REF!</f>
        <v>#REF!</v>
      </c>
      <c r="E290" s="35">
        <v>8</v>
      </c>
      <c r="F290" s="38" t="e">
        <f>#REF!</f>
        <v>#REF!</v>
      </c>
      <c r="G290" s="256" t="e">
        <f t="shared" ref="G290:G302" si="21">E290*F290</f>
        <v>#REF!</v>
      </c>
      <c r="H290" s="197">
        <v>8</v>
      </c>
      <c r="I290" s="35"/>
      <c r="J290" s="35"/>
      <c r="K290" s="269">
        <f t="shared" si="18"/>
        <v>8</v>
      </c>
      <c r="L290" s="262" t="e">
        <f t="shared" si="20"/>
        <v>#REF!</v>
      </c>
    </row>
    <row r="291" spans="1:13" s="42" customFormat="1" x14ac:dyDescent="0.3">
      <c r="A291" s="35"/>
      <c r="B291" s="35" t="e">
        <f>#REF!</f>
        <v>#REF!</v>
      </c>
      <c r="C291" s="35" t="e">
        <f>#REF!</f>
        <v>#REF!</v>
      </c>
      <c r="D291" s="174" t="e">
        <f>#REF!</f>
        <v>#REF!</v>
      </c>
      <c r="E291" s="35">
        <v>5</v>
      </c>
      <c r="F291" s="38" t="e">
        <f>#REF!</f>
        <v>#REF!</v>
      </c>
      <c r="G291" s="256" t="e">
        <f t="shared" si="21"/>
        <v>#REF!</v>
      </c>
      <c r="H291" s="197">
        <v>5</v>
      </c>
      <c r="I291" s="35"/>
      <c r="J291" s="35"/>
      <c r="K291" s="269">
        <f t="shared" si="18"/>
        <v>5</v>
      </c>
      <c r="L291" s="262" t="e">
        <f t="shared" si="20"/>
        <v>#REF!</v>
      </c>
    </row>
    <row r="292" spans="1:13" s="42" customFormat="1" x14ac:dyDescent="0.3">
      <c r="A292" s="35"/>
      <c r="B292" s="35" t="e">
        <f>#REF!</f>
        <v>#REF!</v>
      </c>
      <c r="C292" s="35" t="e">
        <f>#REF!</f>
        <v>#REF!</v>
      </c>
      <c r="D292" s="174" t="e">
        <f>#REF!</f>
        <v>#REF!</v>
      </c>
      <c r="E292" s="35">
        <v>19</v>
      </c>
      <c r="F292" s="38" t="e">
        <f>#REF!</f>
        <v>#REF!</v>
      </c>
      <c r="G292" s="256" t="e">
        <f t="shared" si="21"/>
        <v>#REF!</v>
      </c>
      <c r="H292" s="197">
        <v>19</v>
      </c>
      <c r="I292" s="35"/>
      <c r="J292" s="35"/>
      <c r="K292" s="269">
        <f t="shared" si="18"/>
        <v>19</v>
      </c>
      <c r="L292" s="262" t="e">
        <f t="shared" si="20"/>
        <v>#REF!</v>
      </c>
    </row>
    <row r="293" spans="1:13" s="42" customFormat="1" x14ac:dyDescent="0.3">
      <c r="A293" s="35"/>
      <c r="B293" s="35" t="e">
        <f>#REF!</f>
        <v>#REF!</v>
      </c>
      <c r="C293" s="35" t="e">
        <f>#REF!</f>
        <v>#REF!</v>
      </c>
      <c r="D293" s="174" t="e">
        <f>#REF!</f>
        <v>#REF!</v>
      </c>
      <c r="E293" s="35">
        <v>200</v>
      </c>
      <c r="F293" s="38" t="e">
        <f>#REF!</f>
        <v>#REF!</v>
      </c>
      <c r="G293" s="256" t="e">
        <f t="shared" si="21"/>
        <v>#REF!</v>
      </c>
      <c r="H293" s="197">
        <v>200</v>
      </c>
      <c r="I293" s="35"/>
      <c r="J293" s="35"/>
      <c r="K293" s="269">
        <f t="shared" si="18"/>
        <v>200</v>
      </c>
      <c r="L293" s="262" t="e">
        <f t="shared" si="20"/>
        <v>#REF!</v>
      </c>
    </row>
    <row r="294" spans="1:13" s="42" customFormat="1" x14ac:dyDescent="0.3">
      <c r="A294" s="35"/>
      <c r="B294" s="35" t="e">
        <f>#REF!</f>
        <v>#REF!</v>
      </c>
      <c r="C294" s="35" t="e">
        <f>#REF!</f>
        <v>#REF!</v>
      </c>
      <c r="D294" s="174" t="e">
        <f>#REF!</f>
        <v>#REF!</v>
      </c>
      <c r="E294" s="35">
        <v>15</v>
      </c>
      <c r="F294" s="38" t="e">
        <f>#REF!</f>
        <v>#REF!</v>
      </c>
      <c r="G294" s="256" t="e">
        <f t="shared" si="21"/>
        <v>#REF!</v>
      </c>
      <c r="H294" s="197">
        <v>15</v>
      </c>
      <c r="I294" s="35"/>
      <c r="J294" s="35"/>
      <c r="K294" s="269">
        <f t="shared" si="18"/>
        <v>15</v>
      </c>
      <c r="L294" s="262" t="e">
        <f t="shared" si="20"/>
        <v>#REF!</v>
      </c>
    </row>
    <row r="295" spans="1:13" s="42" customFormat="1" x14ac:dyDescent="0.3">
      <c r="A295" s="35"/>
      <c r="B295" s="35" t="e">
        <f>#REF!</f>
        <v>#REF!</v>
      </c>
      <c r="C295" s="35" t="e">
        <f>#REF!</f>
        <v>#REF!</v>
      </c>
      <c r="D295" s="174" t="e">
        <f>#REF!</f>
        <v>#REF!</v>
      </c>
      <c r="E295" s="35">
        <v>125</v>
      </c>
      <c r="F295" s="38">
        <v>340</v>
      </c>
      <c r="G295" s="256">
        <f t="shared" si="21"/>
        <v>42500</v>
      </c>
      <c r="H295" s="197">
        <v>125</v>
      </c>
      <c r="I295" s="35"/>
      <c r="J295" s="35"/>
      <c r="K295" s="269">
        <f t="shared" si="18"/>
        <v>125</v>
      </c>
      <c r="L295" s="262">
        <f t="shared" si="20"/>
        <v>42500</v>
      </c>
    </row>
    <row r="296" spans="1:13" s="42" customFormat="1" x14ac:dyDescent="0.3">
      <c r="A296" s="35"/>
      <c r="B296" s="35" t="e">
        <f>#REF!</f>
        <v>#REF!</v>
      </c>
      <c r="C296" s="35" t="e">
        <f>#REF!</f>
        <v>#REF!</v>
      </c>
      <c r="D296" s="174" t="e">
        <f>#REF!</f>
        <v>#REF!</v>
      </c>
      <c r="E296" s="35">
        <v>300</v>
      </c>
      <c r="F296" s="38" t="e">
        <f>#REF!</f>
        <v>#REF!</v>
      </c>
      <c r="G296" s="256" t="e">
        <f t="shared" si="21"/>
        <v>#REF!</v>
      </c>
      <c r="H296" s="197">
        <v>300</v>
      </c>
      <c r="I296" s="35"/>
      <c r="J296" s="35"/>
      <c r="K296" s="269">
        <f t="shared" si="18"/>
        <v>300</v>
      </c>
      <c r="L296" s="262" t="e">
        <f t="shared" si="20"/>
        <v>#REF!</v>
      </c>
    </row>
    <row r="297" spans="1:13" s="42" customFormat="1" x14ac:dyDescent="0.3">
      <c r="A297" s="35"/>
      <c r="B297" s="35" t="e">
        <f>#REF!</f>
        <v>#REF!</v>
      </c>
      <c r="C297" s="35" t="e">
        <f>#REF!</f>
        <v>#REF!</v>
      </c>
      <c r="D297" s="174" t="e">
        <f>#REF!</f>
        <v>#REF!</v>
      </c>
      <c r="E297" s="35">
        <v>200</v>
      </c>
      <c r="F297" s="38" t="e">
        <f>#REF!</f>
        <v>#REF!</v>
      </c>
      <c r="G297" s="256" t="e">
        <f t="shared" si="21"/>
        <v>#REF!</v>
      </c>
      <c r="H297" s="197">
        <v>200</v>
      </c>
      <c r="I297" s="35"/>
      <c r="J297" s="35"/>
      <c r="K297" s="269">
        <f t="shared" si="18"/>
        <v>200</v>
      </c>
      <c r="L297" s="262" t="e">
        <f t="shared" si="20"/>
        <v>#REF!</v>
      </c>
    </row>
    <row r="298" spans="1:13" s="42" customFormat="1" x14ac:dyDescent="0.3">
      <c r="A298" s="35"/>
      <c r="B298" s="35" t="e">
        <f>#REF!</f>
        <v>#REF!</v>
      </c>
      <c r="C298" s="35" t="e">
        <f>#REF!</f>
        <v>#REF!</v>
      </c>
      <c r="D298" s="174" t="e">
        <f>#REF!</f>
        <v>#REF!</v>
      </c>
      <c r="E298" s="35">
        <v>125</v>
      </c>
      <c r="F298" s="38" t="e">
        <f>#REF!</f>
        <v>#REF!</v>
      </c>
      <c r="G298" s="256" t="e">
        <f t="shared" si="21"/>
        <v>#REF!</v>
      </c>
      <c r="H298" s="197">
        <v>125</v>
      </c>
      <c r="I298" s="35"/>
      <c r="J298" s="35"/>
      <c r="K298" s="269">
        <f t="shared" si="18"/>
        <v>125</v>
      </c>
      <c r="L298" s="262" t="e">
        <f t="shared" si="20"/>
        <v>#REF!</v>
      </c>
    </row>
    <row r="299" spans="1:13" s="42" customFormat="1" x14ac:dyDescent="0.3">
      <c r="A299" s="35"/>
      <c r="B299" s="35" t="e">
        <f>#REF!</f>
        <v>#REF!</v>
      </c>
      <c r="C299" s="35" t="e">
        <f>#REF!</f>
        <v>#REF!</v>
      </c>
      <c r="D299" s="174" t="e">
        <f>#REF!</f>
        <v>#REF!</v>
      </c>
      <c r="E299" s="35">
        <v>18</v>
      </c>
      <c r="F299" s="38" t="e">
        <f>#REF!</f>
        <v>#REF!</v>
      </c>
      <c r="G299" s="256" t="e">
        <f t="shared" si="21"/>
        <v>#REF!</v>
      </c>
      <c r="H299" s="197">
        <v>18</v>
      </c>
      <c r="I299" s="35"/>
      <c r="J299" s="35"/>
      <c r="K299" s="269">
        <f t="shared" ref="K299:K360" si="22">H299+I299+J299</f>
        <v>18</v>
      </c>
      <c r="L299" s="262" t="e">
        <f t="shared" si="20"/>
        <v>#REF!</v>
      </c>
    </row>
    <row r="300" spans="1:13" s="42" customFormat="1" x14ac:dyDescent="0.3">
      <c r="A300" s="35"/>
      <c r="B300" s="35" t="e">
        <f>#REF!</f>
        <v>#REF!</v>
      </c>
      <c r="C300" s="35" t="e">
        <f>#REF!</f>
        <v>#REF!</v>
      </c>
      <c r="D300" s="174" t="e">
        <f>#REF!</f>
        <v>#REF!</v>
      </c>
      <c r="E300" s="35">
        <v>250</v>
      </c>
      <c r="F300" s="38" t="e">
        <f>#REF!</f>
        <v>#REF!</v>
      </c>
      <c r="G300" s="256" t="e">
        <f t="shared" si="21"/>
        <v>#REF!</v>
      </c>
      <c r="H300" s="197">
        <v>250</v>
      </c>
      <c r="I300" s="35"/>
      <c r="J300" s="35"/>
      <c r="K300" s="269">
        <f t="shared" si="22"/>
        <v>250</v>
      </c>
      <c r="L300" s="262" t="e">
        <f t="shared" si="20"/>
        <v>#REF!</v>
      </c>
    </row>
    <row r="301" spans="1:13" s="42" customFormat="1" x14ac:dyDescent="0.3">
      <c r="A301" s="35"/>
      <c r="B301" s="35" t="e">
        <f>#REF!</f>
        <v>#REF!</v>
      </c>
      <c r="C301" s="35" t="e">
        <f>#REF!</f>
        <v>#REF!</v>
      </c>
      <c r="D301" s="174" t="e">
        <f>#REF!</f>
        <v>#REF!</v>
      </c>
      <c r="E301" s="35">
        <v>1</v>
      </c>
      <c r="F301" s="38" t="e">
        <f>#REF!</f>
        <v>#REF!</v>
      </c>
      <c r="G301" s="256" t="e">
        <f t="shared" si="21"/>
        <v>#REF!</v>
      </c>
      <c r="H301" s="197">
        <v>1</v>
      </c>
      <c r="I301" s="35"/>
      <c r="J301" s="35"/>
      <c r="K301" s="269">
        <f t="shared" si="22"/>
        <v>1</v>
      </c>
      <c r="L301" s="262" t="e">
        <f t="shared" ref="L301:L362" si="23">K301*F301</f>
        <v>#REF!</v>
      </c>
    </row>
    <row r="302" spans="1:13" s="42" customFormat="1" x14ac:dyDescent="0.3">
      <c r="A302" s="35"/>
      <c r="B302" s="35" t="e">
        <f>#REF!</f>
        <v>#REF!</v>
      </c>
      <c r="C302" s="35" t="e">
        <f>#REF!</f>
        <v>#REF!</v>
      </c>
      <c r="D302" s="174" t="e">
        <f>#REF!</f>
        <v>#REF!</v>
      </c>
      <c r="E302" s="35">
        <v>488</v>
      </c>
      <c r="F302" s="38" t="e">
        <f>#REF!</f>
        <v>#REF!</v>
      </c>
      <c r="G302" s="256" t="e">
        <f t="shared" si="21"/>
        <v>#REF!</v>
      </c>
      <c r="H302" s="197">
        <v>488</v>
      </c>
      <c r="I302" s="35"/>
      <c r="J302" s="35"/>
      <c r="K302" s="269">
        <f t="shared" si="22"/>
        <v>488</v>
      </c>
      <c r="L302" s="262" t="e">
        <f t="shared" si="23"/>
        <v>#REF!</v>
      </c>
      <c r="M302" s="366" t="e">
        <f>SUM(L290:L302)</f>
        <v>#REF!</v>
      </c>
    </row>
    <row r="303" spans="1:13" s="42" customFormat="1" x14ac:dyDescent="0.3">
      <c r="A303" s="35"/>
      <c r="B303" s="35"/>
      <c r="C303" s="35"/>
      <c r="D303" s="174"/>
      <c r="E303" s="35"/>
      <c r="F303" s="38"/>
      <c r="G303" s="256"/>
      <c r="H303" s="197"/>
      <c r="I303" s="35"/>
      <c r="J303" s="35"/>
      <c r="K303" s="269">
        <f t="shared" si="22"/>
        <v>0</v>
      </c>
      <c r="L303" s="262">
        <f t="shared" si="23"/>
        <v>0</v>
      </c>
    </row>
    <row r="304" spans="1:13" s="42" customFormat="1" x14ac:dyDescent="0.3">
      <c r="A304" s="35"/>
      <c r="B304" s="35"/>
      <c r="C304" s="35"/>
      <c r="D304" s="174"/>
      <c r="E304" s="35"/>
      <c r="F304" s="38"/>
      <c r="G304" s="256"/>
      <c r="H304" s="197"/>
      <c r="I304" s="35"/>
      <c r="J304" s="35"/>
      <c r="K304" s="269">
        <f t="shared" si="22"/>
        <v>0</v>
      </c>
      <c r="L304" s="262">
        <f t="shared" si="23"/>
        <v>0</v>
      </c>
    </row>
    <row r="305" spans="1:13" s="42" customFormat="1" x14ac:dyDescent="0.3">
      <c r="A305" s="35"/>
      <c r="B305" s="35"/>
      <c r="C305" s="35"/>
      <c r="D305" s="174"/>
      <c r="E305" s="35"/>
      <c r="F305" s="38"/>
      <c r="G305" s="256"/>
      <c r="H305" s="197"/>
      <c r="I305" s="35"/>
      <c r="J305" s="35"/>
      <c r="K305" s="269">
        <f t="shared" si="22"/>
        <v>0</v>
      </c>
      <c r="L305" s="262">
        <f t="shared" si="23"/>
        <v>0</v>
      </c>
    </row>
    <row r="306" spans="1:13" s="42" customFormat="1" x14ac:dyDescent="0.3">
      <c r="A306" s="35"/>
      <c r="B306" s="35"/>
      <c r="C306" s="35"/>
      <c r="D306" s="174"/>
      <c r="E306" s="35"/>
      <c r="F306" s="38"/>
      <c r="G306" s="256"/>
      <c r="H306" s="197"/>
      <c r="I306" s="35"/>
      <c r="J306" s="35"/>
      <c r="K306" s="269">
        <f t="shared" si="22"/>
        <v>0</v>
      </c>
      <c r="L306" s="262">
        <f t="shared" si="23"/>
        <v>0</v>
      </c>
    </row>
    <row r="307" spans="1:13" s="42" customFormat="1" x14ac:dyDescent="0.3">
      <c r="A307" s="35"/>
      <c r="B307" s="35"/>
      <c r="C307" s="35"/>
      <c r="D307" s="174"/>
      <c r="E307" s="35"/>
      <c r="F307" s="38"/>
      <c r="G307" s="256"/>
      <c r="H307" s="197"/>
      <c r="I307" s="35"/>
      <c r="J307" s="35"/>
      <c r="K307" s="269"/>
      <c r="L307" s="262"/>
    </row>
    <row r="308" spans="1:13" s="42" customFormat="1" x14ac:dyDescent="0.3">
      <c r="A308" s="35"/>
      <c r="B308" s="35"/>
      <c r="C308" s="35"/>
      <c r="D308" s="174"/>
      <c r="E308" s="35"/>
      <c r="F308" s="38"/>
      <c r="G308" s="256"/>
      <c r="H308" s="197"/>
      <c r="I308" s="35"/>
      <c r="J308" s="35"/>
      <c r="K308" s="269">
        <f t="shared" si="22"/>
        <v>0</v>
      </c>
      <c r="L308" s="262">
        <f t="shared" si="23"/>
        <v>0</v>
      </c>
    </row>
    <row r="309" spans="1:13" s="42" customFormat="1" ht="23.25" x14ac:dyDescent="0.35">
      <c r="A309" s="35">
        <v>21</v>
      </c>
      <c r="B309" s="35"/>
      <c r="C309" s="77" t="s">
        <v>893</v>
      </c>
      <c r="D309" s="174"/>
      <c r="E309" s="35"/>
      <c r="F309" s="38"/>
      <c r="G309" s="256"/>
      <c r="H309" s="197"/>
      <c r="I309" s="35"/>
      <c r="J309" s="35"/>
      <c r="K309" s="269">
        <f t="shared" si="22"/>
        <v>0</v>
      </c>
      <c r="L309" s="262">
        <f t="shared" si="23"/>
        <v>0</v>
      </c>
    </row>
    <row r="310" spans="1:13" s="42" customFormat="1" x14ac:dyDescent="0.3">
      <c r="A310" s="35"/>
      <c r="B310" s="35" t="e">
        <f>#REF!</f>
        <v>#REF!</v>
      </c>
      <c r="C310" s="35" t="e">
        <f>#REF!</f>
        <v>#REF!</v>
      </c>
      <c r="D310" s="174" t="e">
        <f>#REF!</f>
        <v>#REF!</v>
      </c>
      <c r="E310" s="35">
        <v>18</v>
      </c>
      <c r="F310" s="38" t="e">
        <f>#REF!</f>
        <v>#REF!</v>
      </c>
      <c r="G310" s="256" t="e">
        <f>E310*F310</f>
        <v>#REF!</v>
      </c>
      <c r="H310" s="197">
        <v>18</v>
      </c>
      <c r="I310" s="35"/>
      <c r="J310" s="35"/>
      <c r="K310" s="269">
        <f t="shared" si="22"/>
        <v>18</v>
      </c>
      <c r="L310" s="262" t="e">
        <f t="shared" si="23"/>
        <v>#REF!</v>
      </c>
    </row>
    <row r="311" spans="1:13" s="42" customFormat="1" x14ac:dyDescent="0.3">
      <c r="A311" s="35"/>
      <c r="B311" s="35" t="e">
        <f>#REF!</f>
        <v>#REF!</v>
      </c>
      <c r="C311" s="35" t="e">
        <f>#REF!</f>
        <v>#REF!</v>
      </c>
      <c r="D311" s="174" t="e">
        <f>#REF!</f>
        <v>#REF!</v>
      </c>
      <c r="E311" s="35">
        <v>13</v>
      </c>
      <c r="F311" s="38" t="e">
        <f>#REF!</f>
        <v>#REF!</v>
      </c>
      <c r="G311" s="256" t="e">
        <f t="shared" ref="G311:G317" si="24">E311*F311</f>
        <v>#REF!</v>
      </c>
      <c r="H311" s="197">
        <v>13</v>
      </c>
      <c r="I311" s="35"/>
      <c r="J311" s="35"/>
      <c r="K311" s="269">
        <f t="shared" si="22"/>
        <v>13</v>
      </c>
      <c r="L311" s="262" t="e">
        <f t="shared" si="23"/>
        <v>#REF!</v>
      </c>
    </row>
    <row r="312" spans="1:13" s="42" customFormat="1" x14ac:dyDescent="0.3">
      <c r="A312" s="35"/>
      <c r="B312" s="35" t="e">
        <f>#REF!</f>
        <v>#REF!</v>
      </c>
      <c r="C312" s="35" t="e">
        <f>#REF!</f>
        <v>#REF!</v>
      </c>
      <c r="D312" s="174" t="e">
        <f>#REF!</f>
        <v>#REF!</v>
      </c>
      <c r="E312" s="35">
        <v>20</v>
      </c>
      <c r="F312" s="38" t="e">
        <f>#REF!</f>
        <v>#REF!</v>
      </c>
      <c r="G312" s="256" t="e">
        <f t="shared" si="24"/>
        <v>#REF!</v>
      </c>
      <c r="H312" s="197"/>
      <c r="I312" s="35"/>
      <c r="J312" s="35">
        <v>20</v>
      </c>
      <c r="K312" s="269">
        <f t="shared" si="22"/>
        <v>20</v>
      </c>
      <c r="L312" s="262" t="e">
        <f t="shared" si="23"/>
        <v>#REF!</v>
      </c>
    </row>
    <row r="313" spans="1:13" s="42" customFormat="1" x14ac:dyDescent="0.3">
      <c r="A313" s="35"/>
      <c r="B313" s="35" t="e">
        <f>#REF!</f>
        <v>#REF!</v>
      </c>
      <c r="C313" s="35" t="e">
        <f>#REF!</f>
        <v>#REF!</v>
      </c>
      <c r="D313" s="174" t="e">
        <f>#REF!</f>
        <v>#REF!</v>
      </c>
      <c r="E313" s="35">
        <v>50</v>
      </c>
      <c r="F313" s="38" t="e">
        <f>#REF!</f>
        <v>#REF!</v>
      </c>
      <c r="G313" s="256" t="e">
        <f t="shared" si="24"/>
        <v>#REF!</v>
      </c>
      <c r="H313" s="197">
        <v>50</v>
      </c>
      <c r="I313" s="35"/>
      <c r="J313" s="35"/>
      <c r="K313" s="269">
        <f t="shared" si="22"/>
        <v>50</v>
      </c>
      <c r="L313" s="262" t="e">
        <f t="shared" si="23"/>
        <v>#REF!</v>
      </c>
    </row>
    <row r="314" spans="1:13" s="42" customFormat="1" x14ac:dyDescent="0.3">
      <c r="A314" s="35"/>
      <c r="B314" s="35" t="e">
        <f>#REF!</f>
        <v>#REF!</v>
      </c>
      <c r="C314" s="35" t="e">
        <f>#REF!</f>
        <v>#REF!</v>
      </c>
      <c r="D314" s="174" t="e">
        <f>#REF!</f>
        <v>#REF!</v>
      </c>
      <c r="E314" s="35">
        <v>1</v>
      </c>
      <c r="F314" s="38" t="e">
        <f>#REF!</f>
        <v>#REF!</v>
      </c>
      <c r="G314" s="256" t="e">
        <f t="shared" si="24"/>
        <v>#REF!</v>
      </c>
      <c r="H314" s="197">
        <v>1</v>
      </c>
      <c r="I314" s="35"/>
      <c r="J314" s="35"/>
      <c r="K314" s="269">
        <f t="shared" si="22"/>
        <v>1</v>
      </c>
      <c r="L314" s="262" t="e">
        <f t="shared" si="23"/>
        <v>#REF!</v>
      </c>
    </row>
    <row r="315" spans="1:13" s="42" customFormat="1" x14ac:dyDescent="0.3">
      <c r="A315" s="35"/>
      <c r="B315" s="35" t="e">
        <f>#REF!</f>
        <v>#REF!</v>
      </c>
      <c r="C315" s="35" t="e">
        <f>#REF!</f>
        <v>#REF!</v>
      </c>
      <c r="D315" s="174" t="e">
        <f>#REF!</f>
        <v>#REF!</v>
      </c>
      <c r="E315" s="35">
        <v>5</v>
      </c>
      <c r="F315" s="38" t="e">
        <f>#REF!</f>
        <v>#REF!</v>
      </c>
      <c r="G315" s="256" t="e">
        <f t="shared" si="24"/>
        <v>#REF!</v>
      </c>
      <c r="H315" s="197"/>
      <c r="I315" s="35"/>
      <c r="J315" s="35">
        <v>5</v>
      </c>
      <c r="K315" s="269">
        <f t="shared" si="22"/>
        <v>5</v>
      </c>
      <c r="L315" s="262" t="e">
        <f t="shared" si="23"/>
        <v>#REF!</v>
      </c>
    </row>
    <row r="316" spans="1:13" s="42" customFormat="1" x14ac:dyDescent="0.3">
      <c r="A316" s="35"/>
      <c r="B316" s="35" t="e">
        <f>#REF!</f>
        <v>#REF!</v>
      </c>
      <c r="C316" s="35" t="e">
        <f>#REF!</f>
        <v>#REF!</v>
      </c>
      <c r="D316" s="174" t="e">
        <f>#REF!</f>
        <v>#REF!</v>
      </c>
      <c r="E316" s="35">
        <v>1</v>
      </c>
      <c r="F316" s="38" t="e">
        <f>#REF!</f>
        <v>#REF!</v>
      </c>
      <c r="G316" s="256" t="e">
        <f t="shared" si="24"/>
        <v>#REF!</v>
      </c>
      <c r="H316" s="197">
        <v>1</v>
      </c>
      <c r="I316" s="35"/>
      <c r="J316" s="35"/>
      <c r="K316" s="269">
        <f t="shared" si="22"/>
        <v>1</v>
      </c>
      <c r="L316" s="262" t="e">
        <f t="shared" si="23"/>
        <v>#REF!</v>
      </c>
    </row>
    <row r="317" spans="1:13" s="42" customFormat="1" x14ac:dyDescent="0.3">
      <c r="A317" s="35"/>
      <c r="B317" s="35" t="e">
        <f>#REF!</f>
        <v>#REF!</v>
      </c>
      <c r="C317" s="35" t="e">
        <f>#REF!</f>
        <v>#REF!</v>
      </c>
      <c r="D317" s="174" t="e">
        <f>#REF!</f>
        <v>#REF!</v>
      </c>
      <c r="E317" s="35">
        <v>13</v>
      </c>
      <c r="F317" s="38" t="e">
        <f>#REF!</f>
        <v>#REF!</v>
      </c>
      <c r="G317" s="256" t="e">
        <f t="shared" si="24"/>
        <v>#REF!</v>
      </c>
      <c r="H317" s="197">
        <v>13</v>
      </c>
      <c r="I317" s="35"/>
      <c r="J317" s="35"/>
      <c r="K317" s="269">
        <f t="shared" si="22"/>
        <v>13</v>
      </c>
      <c r="L317" s="262" t="e">
        <f t="shared" si="23"/>
        <v>#REF!</v>
      </c>
      <c r="M317" s="366" t="e">
        <f>SUM(L310:L317)</f>
        <v>#REF!</v>
      </c>
    </row>
    <row r="318" spans="1:13" s="42" customFormat="1" x14ac:dyDescent="0.3">
      <c r="A318" s="35"/>
      <c r="B318" s="35"/>
      <c r="C318" s="35"/>
      <c r="D318" s="174"/>
      <c r="E318" s="35"/>
      <c r="F318" s="38"/>
      <c r="G318" s="256"/>
      <c r="H318" s="197"/>
      <c r="I318" s="35"/>
      <c r="J318" s="35"/>
      <c r="K318" s="269">
        <f t="shared" si="22"/>
        <v>0</v>
      </c>
      <c r="L318" s="262">
        <f t="shared" si="23"/>
        <v>0</v>
      </c>
    </row>
    <row r="319" spans="1:13" s="42" customFormat="1" ht="23.25" x14ac:dyDescent="0.35">
      <c r="A319" s="35">
        <v>22</v>
      </c>
      <c r="B319" s="35"/>
      <c r="C319" s="77" t="s">
        <v>822</v>
      </c>
      <c r="D319" s="174"/>
      <c r="E319" s="35"/>
      <c r="F319" s="38"/>
      <c r="G319" s="256"/>
      <c r="H319" s="197"/>
      <c r="I319" s="35"/>
      <c r="J319" s="35"/>
      <c r="K319" s="269">
        <f t="shared" si="22"/>
        <v>0</v>
      </c>
      <c r="L319" s="262">
        <f t="shared" si="23"/>
        <v>0</v>
      </c>
    </row>
    <row r="320" spans="1:13" s="42" customFormat="1" x14ac:dyDescent="0.3">
      <c r="A320" s="35"/>
      <c r="B320" s="35" t="e">
        <f>#REF!</f>
        <v>#REF!</v>
      </c>
      <c r="C320" s="35" t="e">
        <f>#REF!</f>
        <v>#REF!</v>
      </c>
      <c r="D320" s="174" t="e">
        <f>#REF!</f>
        <v>#REF!</v>
      </c>
      <c r="E320" s="35">
        <v>25</v>
      </c>
      <c r="F320" s="38" t="e">
        <f>#REF!</f>
        <v>#REF!</v>
      </c>
      <c r="G320" s="256" t="e">
        <f>E320*F320</f>
        <v>#REF!</v>
      </c>
      <c r="H320" s="197">
        <v>25</v>
      </c>
      <c r="I320" s="35"/>
      <c r="J320" s="35"/>
      <c r="K320" s="269">
        <f t="shared" si="22"/>
        <v>25</v>
      </c>
      <c r="L320" s="262" t="e">
        <f t="shared" si="23"/>
        <v>#REF!</v>
      </c>
    </row>
    <row r="321" spans="1:13" s="42" customFormat="1" x14ac:dyDescent="0.3">
      <c r="A321" s="35"/>
      <c r="B321" s="35" t="e">
        <f>#REF!</f>
        <v>#REF!</v>
      </c>
      <c r="C321" s="35" t="e">
        <f>#REF!</f>
        <v>#REF!</v>
      </c>
      <c r="D321" s="174" t="e">
        <f>#REF!</f>
        <v>#REF!</v>
      </c>
      <c r="E321" s="35">
        <v>20</v>
      </c>
      <c r="F321" s="38" t="e">
        <f>#REF!</f>
        <v>#REF!</v>
      </c>
      <c r="G321" s="256" t="e">
        <f>E321*F321</f>
        <v>#REF!</v>
      </c>
      <c r="H321" s="197"/>
      <c r="I321" s="35">
        <v>20</v>
      </c>
      <c r="J321" s="35"/>
      <c r="K321" s="269">
        <f t="shared" si="22"/>
        <v>20</v>
      </c>
      <c r="L321" s="262" t="e">
        <f t="shared" si="23"/>
        <v>#REF!</v>
      </c>
    </row>
    <row r="322" spans="1:13" s="42" customFormat="1" x14ac:dyDescent="0.3">
      <c r="A322" s="35"/>
      <c r="B322" s="35" t="e">
        <f>#REF!</f>
        <v>#REF!</v>
      </c>
      <c r="C322" s="35" t="s">
        <v>921</v>
      </c>
      <c r="D322" s="174" t="e">
        <f>#REF!</f>
        <v>#REF!</v>
      </c>
      <c r="E322" s="35">
        <v>10</v>
      </c>
      <c r="F322" s="38" t="e">
        <f>#REF!</f>
        <v>#REF!</v>
      </c>
      <c r="G322" s="256" t="e">
        <f>E322*F322</f>
        <v>#REF!</v>
      </c>
      <c r="H322" s="197">
        <v>10</v>
      </c>
      <c r="I322" s="35"/>
      <c r="J322" s="35"/>
      <c r="K322" s="269">
        <f t="shared" si="22"/>
        <v>10</v>
      </c>
      <c r="L322" s="262" t="e">
        <f t="shared" si="23"/>
        <v>#REF!</v>
      </c>
    </row>
    <row r="323" spans="1:13" s="42" customFormat="1" x14ac:dyDescent="0.3">
      <c r="A323" s="35"/>
      <c r="B323" s="35" t="e">
        <f>#REF!</f>
        <v>#REF!</v>
      </c>
      <c r="C323" s="35" t="e">
        <f>#REF!</f>
        <v>#REF!</v>
      </c>
      <c r="D323" s="174" t="e">
        <f>#REF!</f>
        <v>#REF!</v>
      </c>
      <c r="E323" s="35">
        <v>150</v>
      </c>
      <c r="F323" s="38" t="e">
        <f>#REF!</f>
        <v>#REF!</v>
      </c>
      <c r="G323" s="256" t="e">
        <f>E323*F323</f>
        <v>#REF!</v>
      </c>
      <c r="H323" s="197">
        <v>145</v>
      </c>
      <c r="I323" s="35">
        <v>5</v>
      </c>
      <c r="J323" s="35"/>
      <c r="K323" s="269">
        <f t="shared" si="22"/>
        <v>150</v>
      </c>
      <c r="L323" s="262" t="e">
        <f t="shared" si="23"/>
        <v>#REF!</v>
      </c>
    </row>
    <row r="324" spans="1:13" s="42" customFormat="1" x14ac:dyDescent="0.3">
      <c r="A324" s="35"/>
      <c r="B324" s="35" t="e">
        <f>#REF!</f>
        <v>#REF!</v>
      </c>
      <c r="C324" s="35" t="e">
        <f>#REF!</f>
        <v>#REF!</v>
      </c>
      <c r="D324" s="174" t="e">
        <f>#REF!</f>
        <v>#REF!</v>
      </c>
      <c r="E324" s="35">
        <v>125</v>
      </c>
      <c r="F324" s="38" t="e">
        <f>#REF!</f>
        <v>#REF!</v>
      </c>
      <c r="G324" s="256" t="e">
        <f>E324*F324</f>
        <v>#REF!</v>
      </c>
      <c r="H324" s="197">
        <v>100</v>
      </c>
      <c r="I324" s="35"/>
      <c r="J324" s="35">
        <v>25</v>
      </c>
      <c r="K324" s="269">
        <f t="shared" si="22"/>
        <v>125</v>
      </c>
      <c r="L324" s="262" t="e">
        <f t="shared" si="23"/>
        <v>#REF!</v>
      </c>
      <c r="M324" s="366" t="e">
        <f>SUM(L320:L324)</f>
        <v>#REF!</v>
      </c>
    </row>
    <row r="325" spans="1:13" s="42" customFormat="1" x14ac:dyDescent="0.3">
      <c r="A325" s="35"/>
      <c r="B325" s="35"/>
      <c r="C325" s="35"/>
      <c r="D325" s="174"/>
      <c r="E325" s="35"/>
      <c r="F325" s="38"/>
      <c r="G325" s="256"/>
      <c r="H325" s="197"/>
      <c r="I325" s="35"/>
      <c r="J325" s="35"/>
      <c r="K325" s="269">
        <f t="shared" si="22"/>
        <v>0</v>
      </c>
      <c r="L325" s="262">
        <f t="shared" si="23"/>
        <v>0</v>
      </c>
    </row>
    <row r="326" spans="1:13" s="42" customFormat="1" ht="23.25" x14ac:dyDescent="0.35">
      <c r="A326" s="35">
        <v>23</v>
      </c>
      <c r="B326" s="35"/>
      <c r="C326" s="77" t="s">
        <v>875</v>
      </c>
      <c r="D326" s="174"/>
      <c r="E326" s="70"/>
      <c r="F326" s="38"/>
      <c r="G326" s="259"/>
      <c r="H326" s="197"/>
      <c r="I326" s="35"/>
      <c r="J326" s="35"/>
      <c r="K326" s="269">
        <f t="shared" si="22"/>
        <v>0</v>
      </c>
      <c r="L326" s="262">
        <f t="shared" si="23"/>
        <v>0</v>
      </c>
    </row>
    <row r="327" spans="1:13" s="42" customFormat="1" x14ac:dyDescent="0.3">
      <c r="A327" s="35"/>
      <c r="B327" s="35" t="e">
        <f>#REF!</f>
        <v>#REF!</v>
      </c>
      <c r="C327" s="35" t="e">
        <f>#REF!</f>
        <v>#REF!</v>
      </c>
      <c r="D327" s="174" t="e">
        <f>#REF!</f>
        <v>#REF!</v>
      </c>
      <c r="E327" s="35">
        <v>50</v>
      </c>
      <c r="F327" s="38" t="e">
        <f>#REF!</f>
        <v>#REF!</v>
      </c>
      <c r="G327" s="256" t="e">
        <f t="shared" ref="G327:G334" si="25">E327*F327</f>
        <v>#REF!</v>
      </c>
      <c r="H327" s="197">
        <v>35</v>
      </c>
      <c r="I327" s="35"/>
      <c r="J327" s="35"/>
      <c r="K327" s="269">
        <f t="shared" si="22"/>
        <v>35</v>
      </c>
      <c r="L327" s="262" t="e">
        <f t="shared" si="23"/>
        <v>#REF!</v>
      </c>
    </row>
    <row r="328" spans="1:13" s="42" customFormat="1" x14ac:dyDescent="0.3">
      <c r="A328" s="35"/>
      <c r="B328" s="35" t="e">
        <f>#REF!</f>
        <v>#REF!</v>
      </c>
      <c r="C328" s="35" t="e">
        <f>#REF!</f>
        <v>#REF!</v>
      </c>
      <c r="D328" s="174" t="e">
        <f>#REF!</f>
        <v>#REF!</v>
      </c>
      <c r="E328" s="35">
        <v>55</v>
      </c>
      <c r="F328" s="38" t="e">
        <f>#REF!</f>
        <v>#REF!</v>
      </c>
      <c r="G328" s="256" t="e">
        <f t="shared" si="25"/>
        <v>#REF!</v>
      </c>
      <c r="H328" s="197">
        <v>55</v>
      </c>
      <c r="I328" s="35"/>
      <c r="J328" s="35"/>
      <c r="K328" s="269">
        <f t="shared" si="22"/>
        <v>55</v>
      </c>
      <c r="L328" s="262" t="e">
        <f t="shared" si="23"/>
        <v>#REF!</v>
      </c>
    </row>
    <row r="329" spans="1:13" s="42" customFormat="1" x14ac:dyDescent="0.3">
      <c r="A329" s="35"/>
      <c r="B329" s="35" t="e">
        <f>#REF!</f>
        <v>#REF!</v>
      </c>
      <c r="C329" s="35" t="e">
        <f>#REF!</f>
        <v>#REF!</v>
      </c>
      <c r="D329" s="174" t="e">
        <f>#REF!</f>
        <v>#REF!</v>
      </c>
      <c r="E329" s="35">
        <v>240</v>
      </c>
      <c r="F329" s="38" t="e">
        <f>#REF!</f>
        <v>#REF!</v>
      </c>
      <c r="G329" s="256" t="e">
        <f t="shared" si="25"/>
        <v>#REF!</v>
      </c>
      <c r="H329" s="197">
        <v>240</v>
      </c>
      <c r="I329" s="35"/>
      <c r="J329" s="35"/>
      <c r="K329" s="269">
        <f t="shared" si="22"/>
        <v>240</v>
      </c>
      <c r="L329" s="262" t="e">
        <f t="shared" si="23"/>
        <v>#REF!</v>
      </c>
    </row>
    <row r="330" spans="1:13" s="42" customFormat="1" x14ac:dyDescent="0.3">
      <c r="A330" s="35"/>
      <c r="B330" s="35" t="e">
        <f>#REF!</f>
        <v>#REF!</v>
      </c>
      <c r="C330" s="35" t="e">
        <f>#REF!</f>
        <v>#REF!</v>
      </c>
      <c r="D330" s="174" t="e">
        <f>#REF!</f>
        <v>#REF!</v>
      </c>
      <c r="E330" s="35">
        <v>125</v>
      </c>
      <c r="F330" s="38" t="e">
        <f>#REF!</f>
        <v>#REF!</v>
      </c>
      <c r="G330" s="256" t="e">
        <f t="shared" si="25"/>
        <v>#REF!</v>
      </c>
      <c r="H330" s="197"/>
      <c r="I330" s="35">
        <v>125</v>
      </c>
      <c r="J330" s="35"/>
      <c r="K330" s="269">
        <f t="shared" si="22"/>
        <v>125</v>
      </c>
      <c r="L330" s="262" t="e">
        <f t="shared" si="23"/>
        <v>#REF!</v>
      </c>
    </row>
    <row r="331" spans="1:13" s="42" customFormat="1" x14ac:dyDescent="0.3">
      <c r="A331" s="35"/>
      <c r="B331" s="35" t="e">
        <f>#REF!</f>
        <v>#REF!</v>
      </c>
      <c r="C331" s="35" t="e">
        <f>#REF!</f>
        <v>#REF!</v>
      </c>
      <c r="D331" s="174" t="e">
        <f>#REF!</f>
        <v>#REF!</v>
      </c>
      <c r="E331" s="35">
        <v>150</v>
      </c>
      <c r="F331" s="38" t="e">
        <f>#REF!</f>
        <v>#REF!</v>
      </c>
      <c r="G331" s="256" t="e">
        <f t="shared" si="25"/>
        <v>#REF!</v>
      </c>
      <c r="H331" s="197"/>
      <c r="I331" s="35">
        <v>150</v>
      </c>
      <c r="J331" s="35"/>
      <c r="K331" s="269">
        <f t="shared" si="22"/>
        <v>150</v>
      </c>
      <c r="L331" s="262" t="e">
        <f t="shared" si="23"/>
        <v>#REF!</v>
      </c>
    </row>
    <row r="332" spans="1:13" s="42" customFormat="1" x14ac:dyDescent="0.3">
      <c r="A332" s="35"/>
      <c r="B332" s="35" t="e">
        <f>#REF!</f>
        <v>#REF!</v>
      </c>
      <c r="C332" s="35" t="e">
        <f>#REF!</f>
        <v>#REF!</v>
      </c>
      <c r="D332" s="174" t="e">
        <f>#REF!</f>
        <v>#REF!</v>
      </c>
      <c r="E332" s="35">
        <v>70</v>
      </c>
      <c r="F332" s="38" t="e">
        <f>#REF!</f>
        <v>#REF!</v>
      </c>
      <c r="G332" s="256" t="e">
        <f t="shared" si="25"/>
        <v>#REF!</v>
      </c>
      <c r="H332" s="197">
        <v>70</v>
      </c>
      <c r="I332" s="35"/>
      <c r="J332" s="35"/>
      <c r="K332" s="269">
        <f t="shared" si="22"/>
        <v>70</v>
      </c>
      <c r="L332" s="262" t="e">
        <f t="shared" si="23"/>
        <v>#REF!</v>
      </c>
    </row>
    <row r="333" spans="1:13" s="42" customFormat="1" x14ac:dyDescent="0.3">
      <c r="A333" s="35"/>
      <c r="B333" s="35" t="e">
        <f>#REF!</f>
        <v>#REF!</v>
      </c>
      <c r="C333" s="35" t="e">
        <f>#REF!</f>
        <v>#REF!</v>
      </c>
      <c r="D333" s="174" t="e">
        <f>#REF!</f>
        <v>#REF!</v>
      </c>
      <c r="E333" s="35">
        <v>250</v>
      </c>
      <c r="F333" s="38" t="e">
        <f>#REF!</f>
        <v>#REF!</v>
      </c>
      <c r="G333" s="256" t="e">
        <f t="shared" si="25"/>
        <v>#REF!</v>
      </c>
      <c r="H333" s="197">
        <v>180</v>
      </c>
      <c r="I333" s="35">
        <v>70</v>
      </c>
      <c r="J333" s="35"/>
      <c r="K333" s="269">
        <f t="shared" si="22"/>
        <v>250</v>
      </c>
      <c r="L333" s="262" t="e">
        <f t="shared" si="23"/>
        <v>#REF!</v>
      </c>
    </row>
    <row r="334" spans="1:13" s="42" customFormat="1" x14ac:dyDescent="0.3">
      <c r="A334" s="35"/>
      <c r="B334" s="35" t="e">
        <f>#REF!</f>
        <v>#REF!</v>
      </c>
      <c r="C334" s="35" t="e">
        <f>#REF!</f>
        <v>#REF!</v>
      </c>
      <c r="D334" s="174" t="e">
        <f>#REF!</f>
        <v>#REF!</v>
      </c>
      <c r="E334" s="35">
        <v>150</v>
      </c>
      <c r="F334" s="38" t="e">
        <f>#REF!</f>
        <v>#REF!</v>
      </c>
      <c r="G334" s="256" t="e">
        <f t="shared" si="25"/>
        <v>#REF!</v>
      </c>
      <c r="H334" s="197">
        <v>150</v>
      </c>
      <c r="I334" s="35"/>
      <c r="J334" s="35"/>
      <c r="K334" s="269">
        <f t="shared" si="22"/>
        <v>150</v>
      </c>
      <c r="L334" s="262" t="e">
        <f t="shared" si="23"/>
        <v>#REF!</v>
      </c>
      <c r="M334" s="366" t="e">
        <f>SUM(L327:L334)</f>
        <v>#REF!</v>
      </c>
    </row>
    <row r="335" spans="1:13" s="42" customFormat="1" x14ac:dyDescent="0.3">
      <c r="A335" s="35"/>
      <c r="B335" s="35"/>
      <c r="C335" s="35"/>
      <c r="D335" s="174"/>
      <c r="E335" s="35"/>
      <c r="F335" s="38"/>
      <c r="G335" s="256"/>
      <c r="H335" s="197"/>
      <c r="I335" s="35"/>
      <c r="J335" s="35"/>
      <c r="K335" s="269">
        <f t="shared" si="22"/>
        <v>0</v>
      </c>
      <c r="L335" s="262">
        <f t="shared" si="23"/>
        <v>0</v>
      </c>
    </row>
    <row r="336" spans="1:13" s="42" customFormat="1" ht="23.25" x14ac:dyDescent="0.35">
      <c r="A336" s="35">
        <v>24</v>
      </c>
      <c r="B336" s="77"/>
      <c r="C336" s="77" t="s">
        <v>1089</v>
      </c>
      <c r="D336" s="184"/>
      <c r="E336" s="77"/>
      <c r="F336" s="79"/>
      <c r="G336" s="257"/>
      <c r="H336" s="197"/>
      <c r="I336" s="35"/>
      <c r="J336" s="35"/>
      <c r="K336" s="269">
        <f t="shared" si="22"/>
        <v>0</v>
      </c>
      <c r="L336" s="262">
        <f t="shared" si="23"/>
        <v>0</v>
      </c>
    </row>
    <row r="337" spans="1:13" s="42" customFormat="1" x14ac:dyDescent="0.3">
      <c r="A337" s="35"/>
      <c r="B337" s="35" t="e">
        <f>#REF!</f>
        <v>#REF!</v>
      </c>
      <c r="C337" s="35" t="e">
        <f>#REF!</f>
        <v>#REF!</v>
      </c>
      <c r="D337" s="174" t="e">
        <f>#REF!</f>
        <v>#REF!</v>
      </c>
      <c r="E337" s="35">
        <v>150</v>
      </c>
      <c r="F337" s="38" t="e">
        <f>#REF!</f>
        <v>#REF!</v>
      </c>
      <c r="G337" s="256" t="e">
        <f>E337*F337</f>
        <v>#REF!</v>
      </c>
      <c r="H337" s="197">
        <v>150</v>
      </c>
      <c r="I337" s="35"/>
      <c r="J337" s="35"/>
      <c r="K337" s="269">
        <f t="shared" si="22"/>
        <v>150</v>
      </c>
      <c r="L337" s="262" t="e">
        <f t="shared" si="23"/>
        <v>#REF!</v>
      </c>
    </row>
    <row r="338" spans="1:13" s="42" customFormat="1" x14ac:dyDescent="0.3">
      <c r="A338" s="35"/>
      <c r="B338" s="35" t="e">
        <f>#REF!</f>
        <v>#REF!</v>
      </c>
      <c r="C338" s="35" t="e">
        <f>#REF!</f>
        <v>#REF!</v>
      </c>
      <c r="D338" s="174" t="e">
        <f>#REF!</f>
        <v>#REF!</v>
      </c>
      <c r="E338" s="35">
        <v>1250</v>
      </c>
      <c r="F338" s="38" t="e">
        <f>#REF!</f>
        <v>#REF!</v>
      </c>
      <c r="G338" s="256" t="e">
        <f>E338*F338</f>
        <v>#REF!</v>
      </c>
      <c r="H338" s="197">
        <v>1250</v>
      </c>
      <c r="I338" s="35"/>
      <c r="J338" s="35"/>
      <c r="K338" s="269">
        <f t="shared" si="22"/>
        <v>1250</v>
      </c>
      <c r="L338" s="262" t="e">
        <f t="shared" si="23"/>
        <v>#REF!</v>
      </c>
    </row>
    <row r="339" spans="1:13" s="42" customFormat="1" x14ac:dyDescent="0.3">
      <c r="A339" s="35"/>
      <c r="B339" s="35" t="e">
        <f>#REF!</f>
        <v>#REF!</v>
      </c>
      <c r="C339" s="35" t="e">
        <f>#REF!</f>
        <v>#REF!</v>
      </c>
      <c r="D339" s="174" t="e">
        <f>#REF!</f>
        <v>#REF!</v>
      </c>
      <c r="E339" s="35">
        <v>25</v>
      </c>
      <c r="F339" s="38" t="e">
        <f>#REF!</f>
        <v>#REF!</v>
      </c>
      <c r="G339" s="256" t="e">
        <f>E339*F339</f>
        <v>#REF!</v>
      </c>
      <c r="H339" s="197">
        <v>25</v>
      </c>
      <c r="I339" s="35"/>
      <c r="J339" s="35"/>
      <c r="K339" s="269">
        <f t="shared" si="22"/>
        <v>25</v>
      </c>
      <c r="L339" s="262" t="e">
        <f t="shared" si="23"/>
        <v>#REF!</v>
      </c>
    </row>
    <row r="340" spans="1:13" s="42" customFormat="1" x14ac:dyDescent="0.3">
      <c r="A340" s="35"/>
      <c r="B340" s="35" t="e">
        <f>#REF!</f>
        <v>#REF!</v>
      </c>
      <c r="C340" s="35" t="e">
        <f>#REF!</f>
        <v>#REF!</v>
      </c>
      <c r="D340" s="174" t="e">
        <f>#REF!</f>
        <v>#REF!</v>
      </c>
      <c r="E340" s="35">
        <v>49</v>
      </c>
      <c r="F340" s="38" t="e">
        <f>#REF!</f>
        <v>#REF!</v>
      </c>
      <c r="G340" s="256" t="e">
        <f>E340*F340</f>
        <v>#REF!</v>
      </c>
      <c r="H340" s="197">
        <v>49</v>
      </c>
      <c r="I340" s="35"/>
      <c r="J340" s="35"/>
      <c r="K340" s="269">
        <f t="shared" si="22"/>
        <v>49</v>
      </c>
      <c r="L340" s="262" t="e">
        <f t="shared" si="23"/>
        <v>#REF!</v>
      </c>
    </row>
    <row r="341" spans="1:13" s="42" customFormat="1" x14ac:dyDescent="0.3">
      <c r="A341" s="35"/>
      <c r="B341" s="35" t="e">
        <f>#REF!</f>
        <v>#REF!</v>
      </c>
      <c r="C341" s="35" t="e">
        <f>#REF!</f>
        <v>#REF!</v>
      </c>
      <c r="D341" s="174" t="e">
        <f>#REF!</f>
        <v>#REF!</v>
      </c>
      <c r="E341" s="35">
        <v>3</v>
      </c>
      <c r="F341" s="38" t="e">
        <f>#REF!</f>
        <v>#REF!</v>
      </c>
      <c r="G341" s="256" t="e">
        <f>E341*F341</f>
        <v>#REF!</v>
      </c>
      <c r="H341" s="197">
        <v>3</v>
      </c>
      <c r="I341" s="35"/>
      <c r="J341" s="35"/>
      <c r="K341" s="269">
        <f t="shared" si="22"/>
        <v>3</v>
      </c>
      <c r="L341" s="262" t="e">
        <f t="shared" si="23"/>
        <v>#REF!</v>
      </c>
      <c r="M341" s="366" t="e">
        <f>SUM(L337:L341)</f>
        <v>#REF!</v>
      </c>
    </row>
    <row r="342" spans="1:13" s="42" customFormat="1" x14ac:dyDescent="0.3">
      <c r="A342" s="35"/>
      <c r="B342" s="35"/>
      <c r="C342" s="35"/>
      <c r="D342" s="174"/>
      <c r="E342" s="35"/>
      <c r="F342" s="38"/>
      <c r="G342" s="256"/>
      <c r="H342" s="197"/>
      <c r="I342" s="35"/>
      <c r="J342" s="35"/>
      <c r="K342" s="269">
        <f t="shared" si="22"/>
        <v>0</v>
      </c>
      <c r="L342" s="262">
        <f t="shared" si="23"/>
        <v>0</v>
      </c>
    </row>
    <row r="343" spans="1:13" s="42" customFormat="1" ht="23.25" x14ac:dyDescent="0.35">
      <c r="A343" s="35">
        <v>25</v>
      </c>
      <c r="B343" s="35"/>
      <c r="C343" s="77" t="s">
        <v>832</v>
      </c>
      <c r="D343" s="174"/>
      <c r="E343" s="35"/>
      <c r="F343" s="38"/>
      <c r="G343" s="256"/>
      <c r="H343" s="197"/>
      <c r="I343" s="35"/>
      <c r="J343" s="35"/>
      <c r="K343" s="269">
        <f t="shared" si="22"/>
        <v>0</v>
      </c>
      <c r="L343" s="262">
        <f t="shared" si="23"/>
        <v>0</v>
      </c>
    </row>
    <row r="344" spans="1:13" s="42" customFormat="1" x14ac:dyDescent="0.3">
      <c r="A344" s="35"/>
      <c r="B344" s="35" t="e">
        <f>#REF!</f>
        <v>#REF!</v>
      </c>
      <c r="C344" s="35" t="e">
        <f>#REF!</f>
        <v>#REF!</v>
      </c>
      <c r="D344" s="174" t="e">
        <f>#REF!</f>
        <v>#REF!</v>
      </c>
      <c r="E344" s="35">
        <v>13</v>
      </c>
      <c r="F344" s="38" t="e">
        <f>#REF!</f>
        <v>#REF!</v>
      </c>
      <c r="G344" s="256" t="e">
        <f t="shared" ref="G344:G352" si="26">E344*F344</f>
        <v>#REF!</v>
      </c>
      <c r="H344" s="197">
        <v>13</v>
      </c>
      <c r="I344" s="35"/>
      <c r="J344" s="35"/>
      <c r="K344" s="269">
        <f t="shared" si="22"/>
        <v>13</v>
      </c>
      <c r="L344" s="262" t="e">
        <f t="shared" si="23"/>
        <v>#REF!</v>
      </c>
    </row>
    <row r="345" spans="1:13" s="42" customFormat="1" x14ac:dyDescent="0.3">
      <c r="A345" s="35"/>
      <c r="B345" s="35" t="e">
        <f>#REF!</f>
        <v>#REF!</v>
      </c>
      <c r="C345" s="35" t="e">
        <f>#REF!</f>
        <v>#REF!</v>
      </c>
      <c r="D345" s="174" t="e">
        <f>#REF!</f>
        <v>#REF!</v>
      </c>
      <c r="E345" s="35">
        <v>10</v>
      </c>
      <c r="F345" s="38" t="e">
        <f>#REF!</f>
        <v>#REF!</v>
      </c>
      <c r="G345" s="256" t="e">
        <f t="shared" si="26"/>
        <v>#REF!</v>
      </c>
      <c r="H345" s="197">
        <v>10</v>
      </c>
      <c r="I345" s="35"/>
      <c r="J345" s="35"/>
      <c r="K345" s="269">
        <f t="shared" si="22"/>
        <v>10</v>
      </c>
      <c r="L345" s="262" t="e">
        <f t="shared" si="23"/>
        <v>#REF!</v>
      </c>
    </row>
    <row r="346" spans="1:13" s="42" customFormat="1" x14ac:dyDescent="0.3">
      <c r="A346" s="35"/>
      <c r="B346" s="35" t="e">
        <f>#REF!</f>
        <v>#REF!</v>
      </c>
      <c r="C346" s="35" t="e">
        <f>#REF!</f>
        <v>#REF!</v>
      </c>
      <c r="D346" s="174" t="e">
        <f>#REF!</f>
        <v>#REF!</v>
      </c>
      <c r="E346" s="35">
        <v>13</v>
      </c>
      <c r="F346" s="38" t="e">
        <f>#REF!</f>
        <v>#REF!</v>
      </c>
      <c r="G346" s="256" t="e">
        <f t="shared" si="26"/>
        <v>#REF!</v>
      </c>
      <c r="H346" s="197"/>
      <c r="I346" s="35"/>
      <c r="J346" s="35">
        <v>13</v>
      </c>
      <c r="K346" s="269">
        <f t="shared" si="22"/>
        <v>13</v>
      </c>
      <c r="L346" s="262" t="e">
        <f t="shared" si="23"/>
        <v>#REF!</v>
      </c>
    </row>
    <row r="347" spans="1:13" s="42" customFormat="1" x14ac:dyDescent="0.3">
      <c r="A347" s="35"/>
      <c r="B347" s="35" t="e">
        <f>#REF!</f>
        <v>#REF!</v>
      </c>
      <c r="C347" s="35" t="e">
        <f>#REF!</f>
        <v>#REF!</v>
      </c>
      <c r="D347" s="174" t="e">
        <f>#REF!</f>
        <v>#REF!</v>
      </c>
      <c r="E347" s="35">
        <v>13</v>
      </c>
      <c r="F347" s="38" t="e">
        <f>#REF!</f>
        <v>#REF!</v>
      </c>
      <c r="G347" s="256" t="e">
        <f t="shared" si="26"/>
        <v>#REF!</v>
      </c>
      <c r="H347" s="197"/>
      <c r="I347" s="35"/>
      <c r="J347" s="35">
        <v>13</v>
      </c>
      <c r="K347" s="269">
        <f t="shared" si="22"/>
        <v>13</v>
      </c>
      <c r="L347" s="262" t="e">
        <f t="shared" si="23"/>
        <v>#REF!</v>
      </c>
    </row>
    <row r="348" spans="1:13" s="42" customFormat="1" x14ac:dyDescent="0.3">
      <c r="A348" s="35"/>
      <c r="B348" s="35" t="e">
        <f>#REF!</f>
        <v>#REF!</v>
      </c>
      <c r="C348" s="35" t="e">
        <f>#REF!</f>
        <v>#REF!</v>
      </c>
      <c r="D348" s="174" t="e">
        <f>#REF!</f>
        <v>#REF!</v>
      </c>
      <c r="E348" s="35">
        <v>53</v>
      </c>
      <c r="F348" s="38" t="e">
        <f>#REF!</f>
        <v>#REF!</v>
      </c>
      <c r="G348" s="256" t="e">
        <f t="shared" si="26"/>
        <v>#REF!</v>
      </c>
      <c r="H348" s="197">
        <v>53</v>
      </c>
      <c r="I348" s="35"/>
      <c r="J348" s="35"/>
      <c r="K348" s="269">
        <f t="shared" si="22"/>
        <v>53</v>
      </c>
      <c r="L348" s="262" t="e">
        <f t="shared" si="23"/>
        <v>#REF!</v>
      </c>
    </row>
    <row r="349" spans="1:13" s="42" customFormat="1" x14ac:dyDescent="0.3">
      <c r="A349" s="35"/>
      <c r="B349" s="35" t="e">
        <f>#REF!</f>
        <v>#REF!</v>
      </c>
      <c r="C349" s="35" t="e">
        <f>#REF!</f>
        <v>#REF!</v>
      </c>
      <c r="D349" s="174" t="e">
        <f>#REF!</f>
        <v>#REF!</v>
      </c>
      <c r="E349" s="35">
        <v>20</v>
      </c>
      <c r="F349" s="38" t="e">
        <f>#REF!</f>
        <v>#REF!</v>
      </c>
      <c r="G349" s="256" t="e">
        <f t="shared" si="26"/>
        <v>#REF!</v>
      </c>
      <c r="H349" s="197">
        <v>20</v>
      </c>
      <c r="I349" s="35"/>
      <c r="J349" s="35"/>
      <c r="K349" s="269">
        <f t="shared" si="22"/>
        <v>20</v>
      </c>
      <c r="L349" s="262" t="e">
        <f t="shared" si="23"/>
        <v>#REF!</v>
      </c>
    </row>
    <row r="350" spans="1:13" s="42" customFormat="1" x14ac:dyDescent="0.3">
      <c r="A350" s="35"/>
      <c r="B350" s="35" t="e">
        <f>#REF!</f>
        <v>#REF!</v>
      </c>
      <c r="C350" s="35" t="e">
        <f>#REF!</f>
        <v>#REF!</v>
      </c>
      <c r="D350" s="174" t="e">
        <f>#REF!</f>
        <v>#REF!</v>
      </c>
      <c r="E350" s="35">
        <v>100</v>
      </c>
      <c r="F350" s="38" t="e">
        <f>#REF!</f>
        <v>#REF!</v>
      </c>
      <c r="G350" s="256" t="e">
        <f t="shared" si="26"/>
        <v>#REF!</v>
      </c>
      <c r="H350" s="197">
        <v>100</v>
      </c>
      <c r="I350" s="35"/>
      <c r="J350" s="35"/>
      <c r="K350" s="269">
        <f t="shared" si="22"/>
        <v>100</v>
      </c>
      <c r="L350" s="262" t="e">
        <f t="shared" si="23"/>
        <v>#REF!</v>
      </c>
    </row>
    <row r="351" spans="1:13" s="42" customFormat="1" x14ac:dyDescent="0.3">
      <c r="A351" s="35"/>
      <c r="B351" s="35" t="e">
        <f>#REF!</f>
        <v>#REF!</v>
      </c>
      <c r="C351" s="35" t="e">
        <f>#REF!</f>
        <v>#REF!</v>
      </c>
      <c r="D351" s="174" t="e">
        <f>#REF!</f>
        <v>#REF!</v>
      </c>
      <c r="E351" s="35">
        <v>125</v>
      </c>
      <c r="F351" s="38" t="e">
        <f>#REF!</f>
        <v>#REF!</v>
      </c>
      <c r="G351" s="256" t="e">
        <f t="shared" si="26"/>
        <v>#REF!</v>
      </c>
      <c r="H351" s="197">
        <v>125</v>
      </c>
      <c r="I351" s="35"/>
      <c r="J351" s="35"/>
      <c r="K351" s="269">
        <f t="shared" si="22"/>
        <v>125</v>
      </c>
      <c r="L351" s="262" t="e">
        <f t="shared" si="23"/>
        <v>#REF!</v>
      </c>
    </row>
    <row r="352" spans="1:13" s="42" customFormat="1" x14ac:dyDescent="0.3">
      <c r="A352" s="35"/>
      <c r="B352" s="35" t="e">
        <f>#REF!</f>
        <v>#REF!</v>
      </c>
      <c r="C352" s="35" t="e">
        <f>#REF!</f>
        <v>#REF!</v>
      </c>
      <c r="D352" s="174" t="e">
        <f>#REF!</f>
        <v>#REF!</v>
      </c>
      <c r="E352" s="35">
        <v>225</v>
      </c>
      <c r="F352" s="38" t="e">
        <f>#REF!</f>
        <v>#REF!</v>
      </c>
      <c r="G352" s="256" t="e">
        <f t="shared" si="26"/>
        <v>#REF!</v>
      </c>
      <c r="H352" s="197"/>
      <c r="I352" s="35"/>
      <c r="J352" s="35"/>
      <c r="K352" s="269">
        <f t="shared" si="22"/>
        <v>0</v>
      </c>
      <c r="L352" s="262" t="e">
        <f t="shared" si="23"/>
        <v>#REF!</v>
      </c>
      <c r="M352" s="366" t="e">
        <f>SUM(L344:L352)</f>
        <v>#REF!</v>
      </c>
    </row>
    <row r="353" spans="1:13" s="42" customFormat="1" x14ac:dyDescent="0.3">
      <c r="A353" s="35"/>
      <c r="B353" s="35"/>
      <c r="C353" s="35"/>
      <c r="D353" s="174"/>
      <c r="E353" s="35"/>
      <c r="F353" s="38"/>
      <c r="G353" s="256"/>
      <c r="H353" s="197"/>
      <c r="I353" s="35"/>
      <c r="J353" s="35"/>
      <c r="K353" s="269">
        <f t="shared" si="22"/>
        <v>0</v>
      </c>
      <c r="L353" s="262">
        <f t="shared" si="23"/>
        <v>0</v>
      </c>
    </row>
    <row r="354" spans="1:13" s="42" customFormat="1" ht="23.25" x14ac:dyDescent="0.35">
      <c r="A354" s="35">
        <v>26</v>
      </c>
      <c r="B354" s="35"/>
      <c r="C354" s="77" t="s">
        <v>894</v>
      </c>
      <c r="D354" s="174"/>
      <c r="E354" s="35"/>
      <c r="F354" s="38"/>
      <c r="G354" s="256"/>
      <c r="H354" s="197"/>
      <c r="I354" s="35"/>
      <c r="J354" s="35"/>
      <c r="K354" s="269">
        <f t="shared" si="22"/>
        <v>0</v>
      </c>
      <c r="L354" s="262">
        <f t="shared" si="23"/>
        <v>0</v>
      </c>
    </row>
    <row r="355" spans="1:13" s="42" customFormat="1" x14ac:dyDescent="0.3">
      <c r="A355" s="35"/>
      <c r="B355" s="35" t="e">
        <f>#REF!</f>
        <v>#REF!</v>
      </c>
      <c r="C355" s="35" t="e">
        <f>#REF!</f>
        <v>#REF!</v>
      </c>
      <c r="D355" s="174" t="e">
        <f>#REF!</f>
        <v>#REF!</v>
      </c>
      <c r="E355" s="35">
        <v>300</v>
      </c>
      <c r="F355" s="38" t="e">
        <f>#REF!</f>
        <v>#REF!</v>
      </c>
      <c r="G355" s="256" t="e">
        <f>E355*F355</f>
        <v>#REF!</v>
      </c>
      <c r="H355" s="197">
        <v>300</v>
      </c>
      <c r="I355" s="35"/>
      <c r="J355" s="35"/>
      <c r="K355" s="269">
        <f t="shared" si="22"/>
        <v>300</v>
      </c>
      <c r="L355" s="262" t="e">
        <f t="shared" si="23"/>
        <v>#REF!</v>
      </c>
    </row>
    <row r="356" spans="1:13" s="42" customFormat="1" x14ac:dyDescent="0.3">
      <c r="A356" s="35"/>
      <c r="B356" s="35" t="e">
        <f>#REF!</f>
        <v>#REF!</v>
      </c>
      <c r="C356" s="35" t="e">
        <f>#REF!</f>
        <v>#REF!</v>
      </c>
      <c r="D356" s="174" t="e">
        <f>#REF!</f>
        <v>#REF!</v>
      </c>
      <c r="E356" s="35">
        <v>18</v>
      </c>
      <c r="F356" s="38" t="e">
        <f>#REF!</f>
        <v>#REF!</v>
      </c>
      <c r="G356" s="256" t="e">
        <f>E356*F356</f>
        <v>#REF!</v>
      </c>
      <c r="H356" s="197">
        <v>18</v>
      </c>
      <c r="I356" s="35"/>
      <c r="J356" s="35"/>
      <c r="K356" s="269">
        <f t="shared" si="22"/>
        <v>18</v>
      </c>
      <c r="L356" s="262" t="e">
        <f t="shared" si="23"/>
        <v>#REF!</v>
      </c>
    </row>
    <row r="357" spans="1:13" s="42" customFormat="1" x14ac:dyDescent="0.3">
      <c r="A357" s="35"/>
      <c r="B357" s="35" t="e">
        <f>#REF!</f>
        <v>#REF!</v>
      </c>
      <c r="C357" s="35" t="e">
        <f>#REF!</f>
        <v>#REF!</v>
      </c>
      <c r="D357" s="174" t="e">
        <f>#REF!</f>
        <v>#REF!</v>
      </c>
      <c r="E357" s="35">
        <v>25</v>
      </c>
      <c r="F357" s="38" t="e">
        <f>#REF!</f>
        <v>#REF!</v>
      </c>
      <c r="G357" s="256" t="e">
        <f>E357*F357</f>
        <v>#REF!</v>
      </c>
      <c r="H357" s="197">
        <v>25</v>
      </c>
      <c r="I357" s="35"/>
      <c r="J357" s="35"/>
      <c r="K357" s="269">
        <f t="shared" si="22"/>
        <v>25</v>
      </c>
      <c r="L357" s="262" t="e">
        <f t="shared" si="23"/>
        <v>#REF!</v>
      </c>
    </row>
    <row r="358" spans="1:13" s="42" customFormat="1" x14ac:dyDescent="0.3">
      <c r="A358" s="35"/>
      <c r="B358" s="35" t="e">
        <f>#REF!</f>
        <v>#REF!</v>
      </c>
      <c r="C358" s="35" t="e">
        <f>#REF!</f>
        <v>#REF!</v>
      </c>
      <c r="D358" s="174" t="e">
        <f>#REF!</f>
        <v>#REF!</v>
      </c>
      <c r="E358" s="35">
        <v>50</v>
      </c>
      <c r="F358" s="38" t="e">
        <f>#REF!</f>
        <v>#REF!</v>
      </c>
      <c r="G358" s="256" t="e">
        <f>E358*F358</f>
        <v>#REF!</v>
      </c>
      <c r="H358" s="197">
        <v>50</v>
      </c>
      <c r="I358" s="35"/>
      <c r="J358" s="35"/>
      <c r="K358" s="269">
        <f t="shared" si="22"/>
        <v>50</v>
      </c>
      <c r="L358" s="262" t="e">
        <f t="shared" si="23"/>
        <v>#REF!</v>
      </c>
      <c r="M358" s="366" t="e">
        <f>SUM(L355:L358)</f>
        <v>#REF!</v>
      </c>
    </row>
    <row r="359" spans="1:13" s="42" customFormat="1" x14ac:dyDescent="0.3">
      <c r="A359" s="35"/>
      <c r="B359" s="35"/>
      <c r="C359" s="35"/>
      <c r="D359" s="174"/>
      <c r="E359" s="35"/>
      <c r="F359" s="38"/>
      <c r="G359" s="256"/>
      <c r="H359" s="197"/>
      <c r="I359" s="35"/>
      <c r="J359" s="35"/>
      <c r="K359" s="269">
        <f t="shared" si="22"/>
        <v>0</v>
      </c>
      <c r="L359" s="262">
        <f t="shared" si="23"/>
        <v>0</v>
      </c>
    </row>
    <row r="360" spans="1:13" s="42" customFormat="1" ht="23.25" x14ac:dyDescent="0.35">
      <c r="A360" s="35">
        <v>27</v>
      </c>
      <c r="B360" s="77"/>
      <c r="C360" s="77" t="s">
        <v>830</v>
      </c>
      <c r="D360" s="184"/>
      <c r="E360" s="77"/>
      <c r="F360" s="79"/>
      <c r="G360" s="257"/>
      <c r="H360" s="197"/>
      <c r="I360" s="35"/>
      <c r="J360" s="35"/>
      <c r="K360" s="269">
        <f t="shared" si="22"/>
        <v>0</v>
      </c>
      <c r="L360" s="262">
        <f t="shared" si="23"/>
        <v>0</v>
      </c>
    </row>
    <row r="361" spans="1:13" s="42" customFormat="1" x14ac:dyDescent="0.3">
      <c r="A361" s="35"/>
      <c r="B361" s="35" t="e">
        <f>#REF!</f>
        <v>#REF!</v>
      </c>
      <c r="C361" s="35" t="e">
        <f>#REF!</f>
        <v>#REF!</v>
      </c>
      <c r="D361" s="174" t="e">
        <f>#REF!</f>
        <v>#REF!</v>
      </c>
      <c r="E361" s="35">
        <v>25</v>
      </c>
      <c r="F361" s="38" t="e">
        <f>#REF!</f>
        <v>#REF!</v>
      </c>
      <c r="G361" s="256" t="e">
        <f>E361*F361</f>
        <v>#REF!</v>
      </c>
      <c r="H361" s="197"/>
      <c r="I361" s="35"/>
      <c r="J361" s="35"/>
      <c r="K361" s="269">
        <f t="shared" ref="K361:K420" si="27">H361+I361+J361</f>
        <v>0</v>
      </c>
      <c r="L361" s="262" t="e">
        <f t="shared" si="23"/>
        <v>#REF!</v>
      </c>
    </row>
    <row r="362" spans="1:13" s="42" customFormat="1" x14ac:dyDescent="0.3">
      <c r="A362" s="35"/>
      <c r="B362" s="35" t="e">
        <f>#REF!</f>
        <v>#REF!</v>
      </c>
      <c r="C362" s="35" t="e">
        <f>#REF!</f>
        <v>#REF!</v>
      </c>
      <c r="D362" s="174" t="e">
        <f>#REF!</f>
        <v>#REF!</v>
      </c>
      <c r="E362" s="35">
        <v>19</v>
      </c>
      <c r="F362" s="38" t="e">
        <f>#REF!</f>
        <v>#REF!</v>
      </c>
      <c r="G362" s="256" t="e">
        <f>E362*F362</f>
        <v>#REF!</v>
      </c>
      <c r="H362" s="197">
        <v>17</v>
      </c>
      <c r="I362" s="35"/>
      <c r="J362" s="35">
        <v>2</v>
      </c>
      <c r="K362" s="269">
        <f t="shared" si="27"/>
        <v>19</v>
      </c>
      <c r="L362" s="262" t="e">
        <f t="shared" si="23"/>
        <v>#REF!</v>
      </c>
      <c r="M362" s="366" t="e">
        <f>SUM(L361:L362)</f>
        <v>#REF!</v>
      </c>
    </row>
    <row r="363" spans="1:13" s="42" customFormat="1" x14ac:dyDescent="0.3">
      <c r="A363" s="35"/>
      <c r="B363" s="35"/>
      <c r="C363" s="35"/>
      <c r="D363" s="174"/>
      <c r="E363" s="35"/>
      <c r="F363" s="38"/>
      <c r="G363" s="256"/>
      <c r="H363" s="197"/>
      <c r="I363" s="35"/>
      <c r="J363" s="35"/>
      <c r="K363" s="269">
        <f t="shared" si="27"/>
        <v>0</v>
      </c>
      <c r="L363" s="262">
        <f t="shared" ref="L363:L422" si="28">K363*F363</f>
        <v>0</v>
      </c>
    </row>
    <row r="364" spans="1:13" s="42" customFormat="1" ht="23.25" x14ac:dyDescent="0.35">
      <c r="A364" s="35">
        <v>28</v>
      </c>
      <c r="B364" s="77"/>
      <c r="C364" s="77" t="s">
        <v>833</v>
      </c>
      <c r="D364" s="184"/>
      <c r="E364" s="77"/>
      <c r="F364" s="79"/>
      <c r="G364" s="257"/>
      <c r="H364" s="197"/>
      <c r="I364" s="35"/>
      <c r="J364" s="35"/>
      <c r="K364" s="269">
        <f t="shared" si="27"/>
        <v>0</v>
      </c>
      <c r="L364" s="262">
        <f t="shared" si="28"/>
        <v>0</v>
      </c>
    </row>
    <row r="365" spans="1:13" s="42" customFormat="1" x14ac:dyDescent="0.3">
      <c r="A365" s="35"/>
      <c r="B365" s="35" t="e">
        <f>#REF!</f>
        <v>#REF!</v>
      </c>
      <c r="C365" s="35" t="e">
        <f>#REF!</f>
        <v>#REF!</v>
      </c>
      <c r="D365" s="174" t="e">
        <f>#REF!</f>
        <v>#REF!</v>
      </c>
      <c r="E365" s="35">
        <v>195</v>
      </c>
      <c r="F365" s="38" t="e">
        <f>#REF!</f>
        <v>#REF!</v>
      </c>
      <c r="G365" s="256" t="e">
        <f>E365*F365</f>
        <v>#REF!</v>
      </c>
      <c r="H365" s="197">
        <v>195</v>
      </c>
      <c r="I365" s="35"/>
      <c r="J365" s="35"/>
      <c r="K365" s="269">
        <f t="shared" si="27"/>
        <v>195</v>
      </c>
      <c r="L365" s="262" t="e">
        <f t="shared" si="28"/>
        <v>#REF!</v>
      </c>
    </row>
    <row r="366" spans="1:13" s="42" customFormat="1" x14ac:dyDescent="0.3">
      <c r="A366" s="35"/>
      <c r="B366" s="35" t="e">
        <f>#REF!</f>
        <v>#REF!</v>
      </c>
      <c r="C366" s="35" t="e">
        <f>#REF!</f>
        <v>#REF!</v>
      </c>
      <c r="D366" s="174" t="e">
        <f>#REF!</f>
        <v>#REF!</v>
      </c>
      <c r="E366" s="35">
        <v>46</v>
      </c>
      <c r="F366" s="38" t="e">
        <f>#REF!</f>
        <v>#REF!</v>
      </c>
      <c r="G366" s="256" t="e">
        <f>E366*F366</f>
        <v>#REF!</v>
      </c>
      <c r="H366" s="197"/>
      <c r="I366" s="35"/>
      <c r="J366" s="35">
        <v>46</v>
      </c>
      <c r="K366" s="269">
        <f t="shared" si="27"/>
        <v>46</v>
      </c>
      <c r="L366" s="262" t="e">
        <f t="shared" si="28"/>
        <v>#REF!</v>
      </c>
    </row>
    <row r="367" spans="1:13" s="42" customFormat="1" x14ac:dyDescent="0.3">
      <c r="A367" s="35"/>
      <c r="B367" s="35" t="e">
        <f>#REF!</f>
        <v>#REF!</v>
      </c>
      <c r="C367" s="35" t="e">
        <f>#REF!</f>
        <v>#REF!</v>
      </c>
      <c r="D367" s="174" t="e">
        <f>#REF!</f>
        <v>#REF!</v>
      </c>
      <c r="E367" s="35">
        <v>100</v>
      </c>
      <c r="F367" s="38" t="e">
        <f>#REF!</f>
        <v>#REF!</v>
      </c>
      <c r="G367" s="256" t="e">
        <f>E367*F367</f>
        <v>#REF!</v>
      </c>
      <c r="H367" s="197">
        <v>100</v>
      </c>
      <c r="I367" s="35"/>
      <c r="J367" s="35"/>
      <c r="K367" s="269">
        <f t="shared" si="27"/>
        <v>100</v>
      </c>
      <c r="L367" s="262" t="e">
        <f t="shared" si="28"/>
        <v>#REF!</v>
      </c>
      <c r="M367" s="366" t="e">
        <f>SUM(L365:L367)</f>
        <v>#REF!</v>
      </c>
    </row>
    <row r="368" spans="1:13" s="42" customFormat="1" x14ac:dyDescent="0.3">
      <c r="A368" s="35"/>
      <c r="B368" s="35"/>
      <c r="C368" s="35"/>
      <c r="D368" s="174"/>
      <c r="E368" s="35"/>
      <c r="F368" s="38"/>
      <c r="G368" s="256"/>
      <c r="H368" s="197"/>
      <c r="I368" s="35"/>
      <c r="J368" s="35"/>
      <c r="K368" s="269">
        <f t="shared" si="27"/>
        <v>0</v>
      </c>
      <c r="L368" s="262">
        <f t="shared" si="28"/>
        <v>0</v>
      </c>
    </row>
    <row r="369" spans="1:13" s="42" customFormat="1" ht="23.25" x14ac:dyDescent="0.35">
      <c r="A369" s="35">
        <v>29</v>
      </c>
      <c r="B369" s="35"/>
      <c r="C369" s="77" t="s">
        <v>881</v>
      </c>
      <c r="D369" s="174"/>
      <c r="E369" s="35"/>
      <c r="F369" s="38"/>
      <c r="G369" s="256"/>
      <c r="H369" s="197"/>
      <c r="I369" s="35"/>
      <c r="J369" s="35"/>
      <c r="K369" s="269">
        <f t="shared" si="27"/>
        <v>0</v>
      </c>
      <c r="L369" s="262">
        <f t="shared" si="28"/>
        <v>0</v>
      </c>
    </row>
    <row r="370" spans="1:13" s="42" customFormat="1" x14ac:dyDescent="0.3">
      <c r="A370" s="35"/>
      <c r="B370" s="35" t="e">
        <f>#REF!</f>
        <v>#REF!</v>
      </c>
      <c r="C370" s="35" t="e">
        <f>#REF!</f>
        <v>#REF!</v>
      </c>
      <c r="D370" s="174" t="e">
        <f>#REF!</f>
        <v>#REF!</v>
      </c>
      <c r="E370" s="35">
        <v>5</v>
      </c>
      <c r="F370" s="38" t="e">
        <f>#REF!</f>
        <v>#REF!</v>
      </c>
      <c r="G370" s="256" t="e">
        <f>E370*F370</f>
        <v>#REF!</v>
      </c>
      <c r="H370" s="197">
        <v>5</v>
      </c>
      <c r="I370" s="35"/>
      <c r="J370" s="35"/>
      <c r="K370" s="269">
        <f t="shared" si="27"/>
        <v>5</v>
      </c>
      <c r="L370" s="262" t="e">
        <f t="shared" si="28"/>
        <v>#REF!</v>
      </c>
    </row>
    <row r="371" spans="1:13" s="42" customFormat="1" x14ac:dyDescent="0.3">
      <c r="A371" s="35"/>
      <c r="B371" s="35" t="e">
        <f>#REF!</f>
        <v>#REF!</v>
      </c>
      <c r="C371" s="35" t="e">
        <f>#REF!</f>
        <v>#REF!</v>
      </c>
      <c r="D371" s="174" t="e">
        <f>#REF!</f>
        <v>#REF!</v>
      </c>
      <c r="E371" s="35">
        <v>30</v>
      </c>
      <c r="F371" s="38" t="e">
        <f>#REF!</f>
        <v>#REF!</v>
      </c>
      <c r="G371" s="256" t="e">
        <f t="shared" ref="G371:G377" si="29">E371*F371</f>
        <v>#REF!</v>
      </c>
      <c r="H371" s="197">
        <v>30</v>
      </c>
      <c r="I371" s="35"/>
      <c r="J371" s="35"/>
      <c r="K371" s="269">
        <f t="shared" si="27"/>
        <v>30</v>
      </c>
      <c r="L371" s="262" t="e">
        <f t="shared" si="28"/>
        <v>#REF!</v>
      </c>
    </row>
    <row r="372" spans="1:13" s="42" customFormat="1" x14ac:dyDescent="0.3">
      <c r="A372" s="35"/>
      <c r="B372" s="35" t="e">
        <f>#REF!</f>
        <v>#REF!</v>
      </c>
      <c r="C372" s="35" t="e">
        <f>#REF!</f>
        <v>#REF!</v>
      </c>
      <c r="D372" s="174" t="e">
        <f>#REF!</f>
        <v>#REF!</v>
      </c>
      <c r="E372" s="35">
        <v>13</v>
      </c>
      <c r="F372" s="38" t="e">
        <f>#REF!</f>
        <v>#REF!</v>
      </c>
      <c r="G372" s="256" t="e">
        <f t="shared" si="29"/>
        <v>#REF!</v>
      </c>
      <c r="H372" s="197">
        <v>13</v>
      </c>
      <c r="I372" s="35"/>
      <c r="J372" s="35"/>
      <c r="K372" s="269">
        <f t="shared" si="27"/>
        <v>13</v>
      </c>
      <c r="L372" s="262" t="e">
        <f t="shared" si="28"/>
        <v>#REF!</v>
      </c>
    </row>
    <row r="373" spans="1:13" s="42" customFormat="1" x14ac:dyDescent="0.3">
      <c r="A373" s="35"/>
      <c r="B373" s="35" t="e">
        <f>#REF!</f>
        <v>#REF!</v>
      </c>
      <c r="C373" s="35" t="e">
        <f>#REF!</f>
        <v>#REF!</v>
      </c>
      <c r="D373" s="174" t="e">
        <f>#REF!</f>
        <v>#REF!</v>
      </c>
      <c r="E373" s="35">
        <v>300</v>
      </c>
      <c r="F373" s="38" t="e">
        <f>#REF!</f>
        <v>#REF!</v>
      </c>
      <c r="G373" s="256" t="e">
        <f t="shared" si="29"/>
        <v>#REF!</v>
      </c>
      <c r="H373" s="197">
        <v>300</v>
      </c>
      <c r="I373" s="35"/>
      <c r="J373" s="35"/>
      <c r="K373" s="269">
        <f t="shared" si="27"/>
        <v>300</v>
      </c>
      <c r="L373" s="262" t="e">
        <f t="shared" si="28"/>
        <v>#REF!</v>
      </c>
    </row>
    <row r="374" spans="1:13" s="42" customFormat="1" x14ac:dyDescent="0.3">
      <c r="A374" s="35"/>
      <c r="B374" s="35" t="e">
        <f>#REF!</f>
        <v>#REF!</v>
      </c>
      <c r="C374" s="35" t="e">
        <f>#REF!</f>
        <v>#REF!</v>
      </c>
      <c r="D374" s="174" t="e">
        <f>#REF!</f>
        <v>#REF!</v>
      </c>
      <c r="E374" s="35">
        <v>600</v>
      </c>
      <c r="F374" s="38" t="e">
        <f>#REF!</f>
        <v>#REF!</v>
      </c>
      <c r="G374" s="256" t="e">
        <f t="shared" si="29"/>
        <v>#REF!</v>
      </c>
      <c r="H374" s="197">
        <v>600</v>
      </c>
      <c r="I374" s="35"/>
      <c r="J374" s="35"/>
      <c r="K374" s="269">
        <f t="shared" si="27"/>
        <v>600</v>
      </c>
      <c r="L374" s="262" t="e">
        <f t="shared" si="28"/>
        <v>#REF!</v>
      </c>
    </row>
    <row r="375" spans="1:13" s="42" customFormat="1" x14ac:dyDescent="0.3">
      <c r="A375" s="35"/>
      <c r="B375" s="35" t="e">
        <f>#REF!</f>
        <v>#REF!</v>
      </c>
      <c r="C375" s="35" t="e">
        <f>#REF!</f>
        <v>#REF!</v>
      </c>
      <c r="D375" s="174" t="e">
        <f>#REF!</f>
        <v>#REF!</v>
      </c>
      <c r="E375" s="35">
        <v>288</v>
      </c>
      <c r="F375" s="38" t="e">
        <f>#REF!</f>
        <v>#REF!</v>
      </c>
      <c r="G375" s="256" t="e">
        <f t="shared" si="29"/>
        <v>#REF!</v>
      </c>
      <c r="H375" s="197">
        <v>288</v>
      </c>
      <c r="I375" s="35"/>
      <c r="J375" s="35"/>
      <c r="K375" s="269">
        <f t="shared" si="27"/>
        <v>288</v>
      </c>
      <c r="L375" s="262" t="e">
        <f t="shared" si="28"/>
        <v>#REF!</v>
      </c>
    </row>
    <row r="376" spans="1:13" s="42" customFormat="1" x14ac:dyDescent="0.3">
      <c r="A376" s="35"/>
      <c r="B376" s="35" t="e">
        <f>#REF!</f>
        <v>#REF!</v>
      </c>
      <c r="C376" s="35" t="e">
        <f>#REF!</f>
        <v>#REF!</v>
      </c>
      <c r="D376" s="174" t="e">
        <f>#REF!</f>
        <v>#REF!</v>
      </c>
      <c r="E376" s="35">
        <v>213</v>
      </c>
      <c r="F376" s="38" t="e">
        <f>#REF!</f>
        <v>#REF!</v>
      </c>
      <c r="G376" s="256" t="e">
        <f t="shared" si="29"/>
        <v>#REF!</v>
      </c>
      <c r="H376" s="197">
        <v>213</v>
      </c>
      <c r="I376" s="35"/>
      <c r="J376" s="35"/>
      <c r="K376" s="269">
        <f t="shared" si="27"/>
        <v>213</v>
      </c>
      <c r="L376" s="262" t="e">
        <f t="shared" si="28"/>
        <v>#REF!</v>
      </c>
    </row>
    <row r="377" spans="1:13" s="42" customFormat="1" x14ac:dyDescent="0.3">
      <c r="A377" s="35"/>
      <c r="B377" s="35" t="e">
        <f>#REF!</f>
        <v>#REF!</v>
      </c>
      <c r="C377" s="35" t="e">
        <f>#REF!</f>
        <v>#REF!</v>
      </c>
      <c r="D377" s="174" t="e">
        <f>#REF!</f>
        <v>#REF!</v>
      </c>
      <c r="E377" s="35">
        <v>137</v>
      </c>
      <c r="F377" s="38" t="e">
        <f>#REF!</f>
        <v>#REF!</v>
      </c>
      <c r="G377" s="256" t="e">
        <f t="shared" si="29"/>
        <v>#REF!</v>
      </c>
      <c r="H377" s="197">
        <v>137</v>
      </c>
      <c r="I377" s="35"/>
      <c r="J377" s="35"/>
      <c r="K377" s="269">
        <f t="shared" si="27"/>
        <v>137</v>
      </c>
      <c r="L377" s="262" t="e">
        <f t="shared" si="28"/>
        <v>#REF!</v>
      </c>
      <c r="M377" s="366" t="e">
        <f>SUM(L370:L377)</f>
        <v>#REF!</v>
      </c>
    </row>
    <row r="378" spans="1:13" s="42" customFormat="1" x14ac:dyDescent="0.3">
      <c r="A378" s="35"/>
      <c r="B378" s="35"/>
      <c r="C378" s="35"/>
      <c r="D378" s="174"/>
      <c r="E378" s="35"/>
      <c r="F378" s="38"/>
      <c r="G378" s="256"/>
      <c r="H378" s="197"/>
      <c r="I378" s="35"/>
      <c r="J378" s="35"/>
      <c r="K378" s="269">
        <f t="shared" si="27"/>
        <v>0</v>
      </c>
      <c r="L378" s="262">
        <f t="shared" si="28"/>
        <v>0</v>
      </c>
    </row>
    <row r="379" spans="1:13" s="42" customFormat="1" ht="23.25" x14ac:dyDescent="0.35">
      <c r="A379" s="35">
        <v>30</v>
      </c>
      <c r="B379" s="35"/>
      <c r="C379" s="77" t="s">
        <v>895</v>
      </c>
      <c r="D379" s="174"/>
      <c r="E379" s="35"/>
      <c r="F379" s="38"/>
      <c r="G379" s="256"/>
      <c r="H379" s="197"/>
      <c r="I379" s="35"/>
      <c r="J379" s="35"/>
      <c r="K379" s="269">
        <f t="shared" si="27"/>
        <v>0</v>
      </c>
      <c r="L379" s="262">
        <f t="shared" si="28"/>
        <v>0</v>
      </c>
    </row>
    <row r="380" spans="1:13" s="42" customFormat="1" x14ac:dyDescent="0.3">
      <c r="A380" s="35"/>
      <c r="B380" s="35" t="e">
        <f>#REF!</f>
        <v>#REF!</v>
      </c>
      <c r="C380" s="35" t="e">
        <f>#REF!</f>
        <v>#REF!</v>
      </c>
      <c r="D380" s="174" t="e">
        <f>#REF!</f>
        <v>#REF!</v>
      </c>
      <c r="E380" s="35">
        <v>1280</v>
      </c>
      <c r="F380" s="38" t="e">
        <f>#REF!</f>
        <v>#REF!</v>
      </c>
      <c r="G380" s="256" t="e">
        <f>E380*F380</f>
        <v>#REF!</v>
      </c>
      <c r="H380" s="197">
        <v>1280</v>
      </c>
      <c r="I380" s="35"/>
      <c r="J380" s="35"/>
      <c r="K380" s="269">
        <f t="shared" si="27"/>
        <v>1280</v>
      </c>
      <c r="L380" s="262" t="e">
        <f t="shared" si="28"/>
        <v>#REF!</v>
      </c>
    </row>
    <row r="381" spans="1:13" s="42" customFormat="1" x14ac:dyDescent="0.3">
      <c r="A381" s="35"/>
      <c r="B381" s="35" t="e">
        <f>#REF!</f>
        <v>#REF!</v>
      </c>
      <c r="C381" s="35" t="e">
        <f>#REF!</f>
        <v>#REF!</v>
      </c>
      <c r="D381" s="174" t="e">
        <f>#REF!</f>
        <v>#REF!</v>
      </c>
      <c r="E381" s="35">
        <v>111</v>
      </c>
      <c r="F381" s="38" t="e">
        <f>#REF!</f>
        <v>#REF!</v>
      </c>
      <c r="G381" s="256" t="e">
        <f>E381*F381</f>
        <v>#REF!</v>
      </c>
      <c r="H381" s="197">
        <v>111</v>
      </c>
      <c r="I381" s="35"/>
      <c r="J381" s="35"/>
      <c r="K381" s="269">
        <f t="shared" si="27"/>
        <v>111</v>
      </c>
      <c r="L381" s="262" t="e">
        <f t="shared" si="28"/>
        <v>#REF!</v>
      </c>
    </row>
    <row r="382" spans="1:13" s="42" customFormat="1" x14ac:dyDescent="0.3">
      <c r="A382" s="35"/>
      <c r="B382" s="35" t="e">
        <f>#REF!</f>
        <v>#REF!</v>
      </c>
      <c r="C382" s="35" t="e">
        <f>#REF!</f>
        <v>#REF!</v>
      </c>
      <c r="D382" s="174" t="e">
        <f>#REF!</f>
        <v>#REF!</v>
      </c>
      <c r="E382" s="35">
        <v>15</v>
      </c>
      <c r="F382" s="38" t="e">
        <f>#REF!</f>
        <v>#REF!</v>
      </c>
      <c r="G382" s="256" t="e">
        <f>E382*F382</f>
        <v>#REF!</v>
      </c>
      <c r="H382" s="197">
        <v>15</v>
      </c>
      <c r="I382" s="35"/>
      <c r="J382" s="35"/>
      <c r="K382" s="269">
        <f t="shared" si="27"/>
        <v>15</v>
      </c>
      <c r="L382" s="262" t="e">
        <f t="shared" si="28"/>
        <v>#REF!</v>
      </c>
      <c r="M382" s="366" t="e">
        <f>SUM(L380:L382)</f>
        <v>#REF!</v>
      </c>
    </row>
    <row r="383" spans="1:13" s="42" customFormat="1" x14ac:dyDescent="0.3">
      <c r="A383" s="35"/>
      <c r="B383" s="35"/>
      <c r="C383" s="35"/>
      <c r="D383" s="174"/>
      <c r="E383" s="35"/>
      <c r="F383" s="38"/>
      <c r="G383" s="256"/>
      <c r="H383" s="197"/>
      <c r="I383" s="35"/>
      <c r="J383" s="35"/>
      <c r="K383" s="269">
        <f t="shared" si="27"/>
        <v>0</v>
      </c>
      <c r="L383" s="262">
        <f t="shared" si="28"/>
        <v>0</v>
      </c>
    </row>
    <row r="384" spans="1:13" s="42" customFormat="1" ht="23.25" x14ac:dyDescent="0.35">
      <c r="A384" s="35">
        <v>31</v>
      </c>
      <c r="B384" s="35"/>
      <c r="C384" s="77" t="s">
        <v>896</v>
      </c>
      <c r="D384" s="174"/>
      <c r="E384" s="35"/>
      <c r="F384" s="38"/>
      <c r="G384" s="256"/>
      <c r="H384" s="197"/>
      <c r="I384" s="35"/>
      <c r="J384" s="35"/>
      <c r="K384" s="269">
        <f t="shared" si="27"/>
        <v>0</v>
      </c>
      <c r="L384" s="262">
        <f t="shared" si="28"/>
        <v>0</v>
      </c>
    </row>
    <row r="385" spans="1:13" s="42" customFormat="1" x14ac:dyDescent="0.3">
      <c r="A385" s="35"/>
      <c r="B385" s="35" t="e">
        <f>#REF!</f>
        <v>#REF!</v>
      </c>
      <c r="C385" s="35" t="e">
        <f>#REF!</f>
        <v>#REF!</v>
      </c>
      <c r="D385" s="174" t="e">
        <f>#REF!</f>
        <v>#REF!</v>
      </c>
      <c r="E385" s="35">
        <v>50</v>
      </c>
      <c r="F385" s="38" t="e">
        <f>#REF!</f>
        <v>#REF!</v>
      </c>
      <c r="G385" s="256" t="e">
        <f>E385*F385</f>
        <v>#REF!</v>
      </c>
      <c r="H385" s="197"/>
      <c r="I385" s="35"/>
      <c r="J385" s="35">
        <v>50</v>
      </c>
      <c r="K385" s="269">
        <f t="shared" si="27"/>
        <v>50</v>
      </c>
      <c r="L385" s="262" t="e">
        <f t="shared" si="28"/>
        <v>#REF!</v>
      </c>
    </row>
    <row r="386" spans="1:13" s="42" customFormat="1" x14ac:dyDescent="0.3">
      <c r="A386" s="35"/>
      <c r="B386" s="35" t="e">
        <f>#REF!</f>
        <v>#REF!</v>
      </c>
      <c r="C386" s="35" t="e">
        <f>#REF!</f>
        <v>#REF!</v>
      </c>
      <c r="D386" s="174" t="e">
        <f>#REF!</f>
        <v>#REF!</v>
      </c>
      <c r="E386" s="35">
        <v>140</v>
      </c>
      <c r="F386" s="38" t="e">
        <f>#REF!</f>
        <v>#REF!</v>
      </c>
      <c r="G386" s="256" t="e">
        <f>E386*F386</f>
        <v>#REF!</v>
      </c>
      <c r="H386" s="197"/>
      <c r="I386" s="35"/>
      <c r="J386" s="35">
        <v>140</v>
      </c>
      <c r="K386" s="269">
        <f t="shared" si="27"/>
        <v>140</v>
      </c>
      <c r="L386" s="262" t="e">
        <f t="shared" si="28"/>
        <v>#REF!</v>
      </c>
    </row>
    <row r="387" spans="1:13" s="42" customFormat="1" x14ac:dyDescent="0.3">
      <c r="A387" s="35"/>
      <c r="B387" s="35" t="e">
        <f>#REF!</f>
        <v>#REF!</v>
      </c>
      <c r="C387" s="35" t="e">
        <f>#REF!</f>
        <v>#REF!</v>
      </c>
      <c r="D387" s="174" t="e">
        <f>#REF!</f>
        <v>#REF!</v>
      </c>
      <c r="E387" s="35">
        <v>13</v>
      </c>
      <c r="F387" s="38" t="e">
        <f>#REF!</f>
        <v>#REF!</v>
      </c>
      <c r="G387" s="256" t="e">
        <f>E387*F387</f>
        <v>#REF!</v>
      </c>
      <c r="H387" s="197"/>
      <c r="I387" s="35"/>
      <c r="J387" s="35">
        <v>13</v>
      </c>
      <c r="K387" s="269">
        <f t="shared" si="27"/>
        <v>13</v>
      </c>
      <c r="L387" s="262" t="e">
        <f t="shared" si="28"/>
        <v>#REF!</v>
      </c>
      <c r="M387" s="366" t="e">
        <f>SUM(L385:L387)</f>
        <v>#REF!</v>
      </c>
    </row>
    <row r="388" spans="1:13" s="42" customFormat="1" x14ac:dyDescent="0.3">
      <c r="A388" s="35"/>
      <c r="B388" s="35"/>
      <c r="C388" s="35"/>
      <c r="D388" s="174"/>
      <c r="E388" s="35"/>
      <c r="F388" s="38"/>
      <c r="G388" s="256"/>
      <c r="H388" s="197"/>
      <c r="I388" s="35"/>
      <c r="J388" s="35"/>
      <c r="K388" s="269">
        <f t="shared" si="27"/>
        <v>0</v>
      </c>
      <c r="L388" s="262">
        <f t="shared" si="28"/>
        <v>0</v>
      </c>
    </row>
    <row r="389" spans="1:13" s="42" customFormat="1" ht="23.25" x14ac:dyDescent="0.35">
      <c r="A389" s="35">
        <v>32</v>
      </c>
      <c r="B389" s="35"/>
      <c r="C389" s="77" t="s">
        <v>897</v>
      </c>
      <c r="D389" s="174"/>
      <c r="E389" s="35"/>
      <c r="F389" s="38"/>
      <c r="G389" s="256"/>
      <c r="H389" s="197"/>
      <c r="I389" s="35"/>
      <c r="J389" s="35"/>
      <c r="K389" s="269">
        <f t="shared" si="27"/>
        <v>0</v>
      </c>
      <c r="L389" s="262">
        <f t="shared" si="28"/>
        <v>0</v>
      </c>
    </row>
    <row r="390" spans="1:13" s="42" customFormat="1" x14ac:dyDescent="0.3">
      <c r="A390" s="35"/>
      <c r="B390" s="35" t="e">
        <f>#REF!</f>
        <v>#REF!</v>
      </c>
      <c r="C390" s="35" t="e">
        <f>#REF!</f>
        <v>#REF!</v>
      </c>
      <c r="D390" s="174" t="e">
        <f>#REF!</f>
        <v>#REF!</v>
      </c>
      <c r="E390" s="35">
        <v>1125</v>
      </c>
      <c r="F390" s="38" t="e">
        <f>#REF!</f>
        <v>#REF!</v>
      </c>
      <c r="G390" s="256" t="e">
        <f t="shared" ref="G390:G396" si="30">E390*F390</f>
        <v>#REF!</v>
      </c>
      <c r="H390" s="197"/>
      <c r="I390" s="35"/>
      <c r="J390" s="35">
        <v>1125</v>
      </c>
      <c r="K390" s="269">
        <f t="shared" si="27"/>
        <v>1125</v>
      </c>
      <c r="L390" s="262" t="e">
        <f t="shared" si="28"/>
        <v>#REF!</v>
      </c>
    </row>
    <row r="391" spans="1:13" s="42" customFormat="1" x14ac:dyDescent="0.3">
      <c r="A391" s="35"/>
      <c r="B391" s="35" t="e">
        <f>#REF!</f>
        <v>#REF!</v>
      </c>
      <c r="C391" s="35" t="e">
        <f>#REF!</f>
        <v>#REF!</v>
      </c>
      <c r="D391" s="174" t="e">
        <f>#REF!</f>
        <v>#REF!</v>
      </c>
      <c r="E391" s="35">
        <v>18</v>
      </c>
      <c r="F391" s="38" t="e">
        <f>#REF!</f>
        <v>#REF!</v>
      </c>
      <c r="G391" s="256" t="e">
        <f t="shared" si="30"/>
        <v>#REF!</v>
      </c>
      <c r="H391" s="197">
        <v>18</v>
      </c>
      <c r="I391" s="35"/>
      <c r="J391" s="35"/>
      <c r="K391" s="269">
        <f t="shared" si="27"/>
        <v>18</v>
      </c>
      <c r="L391" s="262" t="e">
        <f t="shared" si="28"/>
        <v>#REF!</v>
      </c>
    </row>
    <row r="392" spans="1:13" s="42" customFormat="1" x14ac:dyDescent="0.3">
      <c r="A392" s="35"/>
      <c r="B392" s="35" t="e">
        <f>#REF!</f>
        <v>#REF!</v>
      </c>
      <c r="C392" s="35" t="e">
        <f>#REF!</f>
        <v>#REF!</v>
      </c>
      <c r="D392" s="174" t="e">
        <f>#REF!</f>
        <v>#REF!</v>
      </c>
      <c r="E392" s="35">
        <v>20</v>
      </c>
      <c r="F392" s="38" t="e">
        <f>#REF!</f>
        <v>#REF!</v>
      </c>
      <c r="G392" s="256" t="e">
        <f t="shared" si="30"/>
        <v>#REF!</v>
      </c>
      <c r="H392" s="197"/>
      <c r="I392" s="35"/>
      <c r="J392" s="35">
        <v>20</v>
      </c>
      <c r="K392" s="269">
        <f t="shared" si="27"/>
        <v>20</v>
      </c>
      <c r="L392" s="262" t="e">
        <f t="shared" si="28"/>
        <v>#REF!</v>
      </c>
    </row>
    <row r="393" spans="1:13" s="42" customFormat="1" x14ac:dyDescent="0.3">
      <c r="A393" s="35"/>
      <c r="B393" s="35" t="e">
        <f>#REF!</f>
        <v>#REF!</v>
      </c>
      <c r="C393" s="35" t="e">
        <f>#REF!</f>
        <v>#REF!</v>
      </c>
      <c r="D393" s="174" t="e">
        <f>#REF!</f>
        <v>#REF!</v>
      </c>
      <c r="E393" s="35">
        <v>43</v>
      </c>
      <c r="F393" s="38" t="e">
        <f>#REF!</f>
        <v>#REF!</v>
      </c>
      <c r="G393" s="256" t="e">
        <f t="shared" si="30"/>
        <v>#REF!</v>
      </c>
      <c r="H393" s="197">
        <v>2</v>
      </c>
      <c r="I393" s="35">
        <v>41</v>
      </c>
      <c r="J393" s="35"/>
      <c r="K393" s="269">
        <f t="shared" si="27"/>
        <v>43</v>
      </c>
      <c r="L393" s="262" t="e">
        <f t="shared" si="28"/>
        <v>#REF!</v>
      </c>
    </row>
    <row r="394" spans="1:13" s="42" customFormat="1" x14ac:dyDescent="0.3">
      <c r="A394" s="35"/>
      <c r="B394" s="35" t="e">
        <f>#REF!</f>
        <v>#REF!</v>
      </c>
      <c r="C394" s="35" t="e">
        <f>#REF!</f>
        <v>#REF!</v>
      </c>
      <c r="D394" s="174" t="e">
        <f>#REF!</f>
        <v>#REF!</v>
      </c>
      <c r="E394" s="35">
        <v>18</v>
      </c>
      <c r="F394" s="38" t="e">
        <f>#REF!</f>
        <v>#REF!</v>
      </c>
      <c r="G394" s="256" t="e">
        <f t="shared" si="30"/>
        <v>#REF!</v>
      </c>
      <c r="H394" s="197"/>
      <c r="I394" s="35"/>
      <c r="J394" s="35">
        <v>18</v>
      </c>
      <c r="K394" s="269">
        <f t="shared" si="27"/>
        <v>18</v>
      </c>
      <c r="L394" s="262" t="e">
        <f t="shared" si="28"/>
        <v>#REF!</v>
      </c>
    </row>
    <row r="395" spans="1:13" s="42" customFormat="1" x14ac:dyDescent="0.3">
      <c r="A395" s="35"/>
      <c r="B395" s="35" t="e">
        <f>#REF!</f>
        <v>#REF!</v>
      </c>
      <c r="C395" s="35" t="e">
        <f>#REF!</f>
        <v>#REF!</v>
      </c>
      <c r="D395" s="174" t="e">
        <f>#REF!</f>
        <v>#REF!</v>
      </c>
      <c r="E395" s="35">
        <v>128</v>
      </c>
      <c r="F395" s="38" t="e">
        <f>#REF!</f>
        <v>#REF!</v>
      </c>
      <c r="G395" s="256" t="e">
        <f t="shared" si="30"/>
        <v>#REF!</v>
      </c>
      <c r="H395" s="197"/>
      <c r="I395" s="35"/>
      <c r="J395" s="35">
        <v>128</v>
      </c>
      <c r="K395" s="269">
        <f t="shared" si="27"/>
        <v>128</v>
      </c>
      <c r="L395" s="262" t="e">
        <f t="shared" si="28"/>
        <v>#REF!</v>
      </c>
    </row>
    <row r="396" spans="1:13" s="42" customFormat="1" x14ac:dyDescent="0.3">
      <c r="A396" s="35"/>
      <c r="B396" s="35" t="e">
        <f>#REF!</f>
        <v>#REF!</v>
      </c>
      <c r="C396" s="35" t="e">
        <f>#REF!</f>
        <v>#REF!</v>
      </c>
      <c r="D396" s="174" t="e">
        <f>#REF!</f>
        <v>#REF!</v>
      </c>
      <c r="E396" s="35">
        <v>5</v>
      </c>
      <c r="F396" s="38" t="e">
        <f>#REF!</f>
        <v>#REF!</v>
      </c>
      <c r="G396" s="256" t="e">
        <f t="shared" si="30"/>
        <v>#REF!</v>
      </c>
      <c r="H396" s="197"/>
      <c r="I396" s="35"/>
      <c r="J396" s="35">
        <v>5</v>
      </c>
      <c r="K396" s="269">
        <f t="shared" si="27"/>
        <v>5</v>
      </c>
      <c r="L396" s="262" t="e">
        <f t="shared" si="28"/>
        <v>#REF!</v>
      </c>
      <c r="M396" s="366" t="e">
        <f>SUM(L390:L396)</f>
        <v>#REF!</v>
      </c>
    </row>
    <row r="397" spans="1:13" s="42" customFormat="1" x14ac:dyDescent="0.3">
      <c r="A397" s="35"/>
      <c r="B397" s="35"/>
      <c r="C397" s="35"/>
      <c r="D397" s="174"/>
      <c r="E397" s="35"/>
      <c r="F397" s="38"/>
      <c r="G397" s="256"/>
      <c r="H397" s="197"/>
      <c r="I397" s="35"/>
      <c r="J397" s="35"/>
      <c r="K397" s="269">
        <f t="shared" si="27"/>
        <v>0</v>
      </c>
      <c r="L397" s="262">
        <f t="shared" si="28"/>
        <v>0</v>
      </c>
    </row>
    <row r="398" spans="1:13" x14ac:dyDescent="0.3">
      <c r="A398" s="35"/>
      <c r="B398" s="35"/>
      <c r="C398" s="35"/>
      <c r="D398" s="174"/>
      <c r="E398" s="35"/>
      <c r="F398" s="38"/>
      <c r="G398" s="256"/>
      <c r="H398" s="199"/>
      <c r="I398" s="188"/>
      <c r="J398" s="188"/>
      <c r="K398" s="269">
        <f t="shared" si="27"/>
        <v>0</v>
      </c>
      <c r="L398" s="262">
        <f t="shared" si="28"/>
        <v>0</v>
      </c>
    </row>
    <row r="399" spans="1:13" ht="23.25" x14ac:dyDescent="0.35">
      <c r="A399" s="35">
        <v>33</v>
      </c>
      <c r="B399" s="35"/>
      <c r="C399" s="77" t="s">
        <v>899</v>
      </c>
      <c r="D399" s="180"/>
      <c r="E399" s="35"/>
      <c r="F399" s="38"/>
      <c r="G399" s="193"/>
      <c r="H399" s="199"/>
      <c r="I399" s="188"/>
      <c r="J399" s="188"/>
      <c r="K399" s="269">
        <f t="shared" si="27"/>
        <v>0</v>
      </c>
      <c r="L399" s="262">
        <f t="shared" si="28"/>
        <v>0</v>
      </c>
    </row>
    <row r="400" spans="1:13" x14ac:dyDescent="0.3">
      <c r="A400" s="35"/>
      <c r="B400" s="35" t="e">
        <f>#REF!</f>
        <v>#REF!</v>
      </c>
      <c r="C400" s="35" t="e">
        <f>#REF!</f>
        <v>#REF!</v>
      </c>
      <c r="D400" s="174" t="e">
        <f>#REF!</f>
        <v>#REF!</v>
      </c>
      <c r="E400" s="35">
        <v>4</v>
      </c>
      <c r="F400" s="38" t="e">
        <f>#REF!</f>
        <v>#REF!</v>
      </c>
      <c r="G400" s="256" t="e">
        <f>E400*F400</f>
        <v>#REF!</v>
      </c>
      <c r="H400" s="199"/>
      <c r="I400" s="188"/>
      <c r="J400" s="188">
        <v>4</v>
      </c>
      <c r="K400" s="269">
        <f t="shared" si="27"/>
        <v>4</v>
      </c>
      <c r="L400" s="262" t="e">
        <f t="shared" si="28"/>
        <v>#REF!</v>
      </c>
    </row>
    <row r="401" spans="1:13" x14ac:dyDescent="0.3">
      <c r="A401" s="35"/>
      <c r="B401" s="35" t="e">
        <f>#REF!</f>
        <v>#REF!</v>
      </c>
      <c r="C401" s="35" t="e">
        <f>#REF!</f>
        <v>#REF!</v>
      </c>
      <c r="D401" s="174" t="e">
        <f>#REF!</f>
        <v>#REF!</v>
      </c>
      <c r="E401" s="35">
        <v>1</v>
      </c>
      <c r="F401" s="38" t="e">
        <f>#REF!</f>
        <v>#REF!</v>
      </c>
      <c r="G401" s="256" t="e">
        <f>E401*F401</f>
        <v>#REF!</v>
      </c>
      <c r="H401" s="199">
        <v>1</v>
      </c>
      <c r="I401" s="188"/>
      <c r="J401" s="188"/>
      <c r="K401" s="269">
        <f t="shared" si="27"/>
        <v>1</v>
      </c>
      <c r="L401" s="262" t="e">
        <f t="shared" si="28"/>
        <v>#REF!</v>
      </c>
    </row>
    <row r="402" spans="1:13" x14ac:dyDescent="0.3">
      <c r="A402" s="35"/>
      <c r="B402" s="35" t="e">
        <f>#REF!</f>
        <v>#REF!</v>
      </c>
      <c r="C402" s="35" t="e">
        <f>#REF!</f>
        <v>#REF!</v>
      </c>
      <c r="D402" s="174" t="e">
        <f>#REF!</f>
        <v>#REF!</v>
      </c>
      <c r="E402" s="35">
        <v>25</v>
      </c>
      <c r="F402" s="38" t="e">
        <f>#REF!</f>
        <v>#REF!</v>
      </c>
      <c r="G402" s="256" t="e">
        <f>E402*F402</f>
        <v>#REF!</v>
      </c>
      <c r="H402" s="199">
        <v>24</v>
      </c>
      <c r="I402" s="188"/>
      <c r="J402" s="188">
        <v>1</v>
      </c>
      <c r="K402" s="269">
        <f t="shared" si="27"/>
        <v>25</v>
      </c>
      <c r="L402" s="262" t="e">
        <f t="shared" si="28"/>
        <v>#REF!</v>
      </c>
    </row>
    <row r="403" spans="1:13" x14ac:dyDescent="0.3">
      <c r="A403" s="35"/>
      <c r="B403" s="35" t="e">
        <f>#REF!</f>
        <v>#REF!</v>
      </c>
      <c r="C403" s="35" t="e">
        <f>#REF!</f>
        <v>#REF!</v>
      </c>
      <c r="D403" s="174" t="e">
        <f>#REF!</f>
        <v>#REF!</v>
      </c>
      <c r="E403" s="35">
        <v>3</v>
      </c>
      <c r="F403" s="38" t="e">
        <f>#REF!</f>
        <v>#REF!</v>
      </c>
      <c r="G403" s="256" t="e">
        <f>E403*F403</f>
        <v>#REF!</v>
      </c>
      <c r="H403" s="199">
        <v>3</v>
      </c>
      <c r="I403" s="188"/>
      <c r="J403" s="188"/>
      <c r="K403" s="269">
        <f t="shared" si="27"/>
        <v>3</v>
      </c>
      <c r="L403" s="262" t="e">
        <f t="shared" si="28"/>
        <v>#REF!</v>
      </c>
    </row>
    <row r="404" spans="1:13" x14ac:dyDescent="0.3">
      <c r="A404" s="35"/>
      <c r="B404" s="35" t="e">
        <f>#REF!</f>
        <v>#REF!</v>
      </c>
      <c r="C404" s="35" t="e">
        <f>#REF!</f>
        <v>#REF!</v>
      </c>
      <c r="D404" s="174" t="e">
        <f>#REF!</f>
        <v>#REF!</v>
      </c>
      <c r="E404" s="35">
        <v>200</v>
      </c>
      <c r="F404" s="38" t="e">
        <f>#REF!</f>
        <v>#REF!</v>
      </c>
      <c r="G404" s="256" t="e">
        <f>E404*F404</f>
        <v>#REF!</v>
      </c>
      <c r="H404" s="199">
        <v>120</v>
      </c>
      <c r="I404" s="188"/>
      <c r="J404" s="188">
        <f>960/12</f>
        <v>80</v>
      </c>
      <c r="K404" s="269">
        <f t="shared" si="27"/>
        <v>200</v>
      </c>
      <c r="L404" s="262" t="e">
        <f t="shared" si="28"/>
        <v>#REF!</v>
      </c>
      <c r="M404" s="366" t="e">
        <f>SUM(L400:L404)</f>
        <v>#REF!</v>
      </c>
    </row>
    <row r="405" spans="1:13" x14ac:dyDescent="0.3">
      <c r="A405" s="35"/>
      <c r="B405" s="35"/>
      <c r="C405" s="35"/>
      <c r="D405" s="174"/>
      <c r="E405" s="35"/>
      <c r="F405" s="38"/>
      <c r="G405" s="256"/>
      <c r="H405" s="199"/>
      <c r="I405" s="188"/>
      <c r="J405" s="188"/>
      <c r="K405" s="269">
        <f t="shared" si="27"/>
        <v>0</v>
      </c>
      <c r="L405" s="262">
        <f t="shared" si="28"/>
        <v>0</v>
      </c>
    </row>
    <row r="406" spans="1:13" x14ac:dyDescent="0.3">
      <c r="A406" s="35"/>
      <c r="B406" s="35"/>
      <c r="C406" s="35"/>
      <c r="D406" s="174"/>
      <c r="E406" s="35"/>
      <c r="F406" s="38"/>
      <c r="G406" s="256"/>
      <c r="H406" s="199"/>
      <c r="I406" s="188"/>
      <c r="J406" s="188"/>
      <c r="K406" s="269">
        <f t="shared" si="27"/>
        <v>0</v>
      </c>
      <c r="L406" s="262">
        <f t="shared" si="28"/>
        <v>0</v>
      </c>
    </row>
    <row r="407" spans="1:13" ht="23.25" x14ac:dyDescent="0.35">
      <c r="A407" s="35">
        <v>34</v>
      </c>
      <c r="B407" s="35"/>
      <c r="C407" s="77" t="s">
        <v>900</v>
      </c>
      <c r="D407" s="180"/>
      <c r="E407" s="35"/>
      <c r="F407" s="38"/>
      <c r="G407" s="193"/>
      <c r="H407" s="199"/>
      <c r="I407" s="188"/>
      <c r="J407" s="188"/>
      <c r="K407" s="269">
        <f t="shared" si="27"/>
        <v>0</v>
      </c>
      <c r="L407" s="262">
        <f t="shared" si="28"/>
        <v>0</v>
      </c>
    </row>
    <row r="408" spans="1:13" x14ac:dyDescent="0.3">
      <c r="A408" s="35"/>
      <c r="B408" s="35" t="e">
        <f>#REF!</f>
        <v>#REF!</v>
      </c>
      <c r="C408" s="35" t="e">
        <f>#REF!</f>
        <v>#REF!</v>
      </c>
      <c r="D408" s="174" t="e">
        <f>#REF!</f>
        <v>#REF!</v>
      </c>
      <c r="E408" s="35">
        <v>1250</v>
      </c>
      <c r="F408" s="38" t="e">
        <f>#REF!</f>
        <v>#REF!</v>
      </c>
      <c r="G408" s="256" t="e">
        <f t="shared" ref="G408:G413" si="31">E408*F408</f>
        <v>#REF!</v>
      </c>
      <c r="H408" s="199">
        <v>1200</v>
      </c>
      <c r="I408" s="188"/>
      <c r="J408" s="188"/>
      <c r="K408" s="269">
        <f t="shared" si="27"/>
        <v>1200</v>
      </c>
      <c r="L408" s="262" t="e">
        <f t="shared" si="28"/>
        <v>#REF!</v>
      </c>
    </row>
    <row r="409" spans="1:13" x14ac:dyDescent="0.3">
      <c r="A409" s="35"/>
      <c r="B409" s="35" t="e">
        <f>#REF!</f>
        <v>#REF!</v>
      </c>
      <c r="C409" s="35" t="e">
        <f>#REF!</f>
        <v>#REF!</v>
      </c>
      <c r="D409" s="174" t="e">
        <f>#REF!</f>
        <v>#REF!</v>
      </c>
      <c r="E409" s="35">
        <v>1000</v>
      </c>
      <c r="F409" s="38" t="e">
        <f>#REF!</f>
        <v>#REF!</v>
      </c>
      <c r="G409" s="256" t="e">
        <f t="shared" si="31"/>
        <v>#REF!</v>
      </c>
      <c r="H409" s="199">
        <v>1000</v>
      </c>
      <c r="I409" s="188"/>
      <c r="J409" s="188"/>
      <c r="K409" s="269">
        <f t="shared" si="27"/>
        <v>1000</v>
      </c>
      <c r="L409" s="262" t="e">
        <f t="shared" si="28"/>
        <v>#REF!</v>
      </c>
    </row>
    <row r="410" spans="1:13" x14ac:dyDescent="0.3">
      <c r="A410" s="35"/>
      <c r="B410" s="35" t="e">
        <f>#REF!</f>
        <v>#REF!</v>
      </c>
      <c r="C410" s="35" t="e">
        <f>#REF!</f>
        <v>#REF!</v>
      </c>
      <c r="D410" s="174" t="e">
        <f>#REF!</f>
        <v>#REF!</v>
      </c>
      <c r="E410" s="35">
        <v>50</v>
      </c>
      <c r="F410" s="38" t="e">
        <f>#REF!</f>
        <v>#REF!</v>
      </c>
      <c r="G410" s="256" t="e">
        <f t="shared" si="31"/>
        <v>#REF!</v>
      </c>
      <c r="H410" s="199">
        <v>50</v>
      </c>
      <c r="I410" s="188"/>
      <c r="J410" s="188"/>
      <c r="K410" s="269">
        <f t="shared" si="27"/>
        <v>50</v>
      </c>
      <c r="L410" s="262" t="e">
        <f t="shared" si="28"/>
        <v>#REF!</v>
      </c>
    </row>
    <row r="411" spans="1:13" x14ac:dyDescent="0.3">
      <c r="A411" s="35"/>
      <c r="B411" s="35" t="e">
        <f>#REF!</f>
        <v>#REF!</v>
      </c>
      <c r="C411" s="35" t="e">
        <f>#REF!</f>
        <v>#REF!</v>
      </c>
      <c r="D411" s="174" t="e">
        <f>#REF!</f>
        <v>#REF!</v>
      </c>
      <c r="E411" s="35">
        <v>50</v>
      </c>
      <c r="F411" s="38" t="e">
        <f>#REF!</f>
        <v>#REF!</v>
      </c>
      <c r="G411" s="256" t="e">
        <f t="shared" si="31"/>
        <v>#REF!</v>
      </c>
      <c r="H411" s="199"/>
      <c r="I411" s="188"/>
      <c r="J411" s="188"/>
      <c r="K411" s="269">
        <f t="shared" si="27"/>
        <v>0</v>
      </c>
      <c r="L411" s="262" t="e">
        <f t="shared" si="28"/>
        <v>#REF!</v>
      </c>
    </row>
    <row r="412" spans="1:13" x14ac:dyDescent="0.3">
      <c r="A412" s="35"/>
      <c r="B412" s="35" t="e">
        <f>#REF!</f>
        <v>#REF!</v>
      </c>
      <c r="C412" s="35" t="e">
        <f>#REF!</f>
        <v>#REF!</v>
      </c>
      <c r="D412" s="174" t="e">
        <f>#REF!</f>
        <v>#REF!</v>
      </c>
      <c r="E412" s="35">
        <v>33</v>
      </c>
      <c r="F412" s="38" t="e">
        <f>#REF!</f>
        <v>#REF!</v>
      </c>
      <c r="G412" s="256" t="e">
        <f t="shared" si="31"/>
        <v>#REF!</v>
      </c>
      <c r="H412" s="199">
        <v>33</v>
      </c>
      <c r="I412" s="188"/>
      <c r="J412" s="188"/>
      <c r="K412" s="269">
        <f t="shared" si="27"/>
        <v>33</v>
      </c>
      <c r="L412" s="262" t="e">
        <f t="shared" si="28"/>
        <v>#REF!</v>
      </c>
    </row>
    <row r="413" spans="1:13" x14ac:dyDescent="0.3">
      <c r="A413" s="35"/>
      <c r="B413" s="35" t="e">
        <f>#REF!</f>
        <v>#REF!</v>
      </c>
      <c r="C413" s="35" t="e">
        <f>#REF!</f>
        <v>#REF!</v>
      </c>
      <c r="D413" s="174" t="e">
        <f>#REF!</f>
        <v>#REF!</v>
      </c>
      <c r="E413" s="35">
        <v>25</v>
      </c>
      <c r="F413" s="38" t="e">
        <f>#REF!</f>
        <v>#REF!</v>
      </c>
      <c r="G413" s="256" t="e">
        <f t="shared" si="31"/>
        <v>#REF!</v>
      </c>
      <c r="H413" s="199">
        <v>25</v>
      </c>
      <c r="I413" s="188"/>
      <c r="J413" s="188"/>
      <c r="K413" s="269">
        <f t="shared" si="27"/>
        <v>25</v>
      </c>
      <c r="L413" s="262" t="e">
        <f t="shared" si="28"/>
        <v>#REF!</v>
      </c>
      <c r="M413" s="366" t="e">
        <f>SUM(L408:L413)</f>
        <v>#REF!</v>
      </c>
    </row>
    <row r="414" spans="1:13" x14ac:dyDescent="0.3">
      <c r="A414" s="35"/>
      <c r="B414" s="35"/>
      <c r="C414" s="35"/>
      <c r="D414" s="174"/>
      <c r="E414" s="35"/>
      <c r="F414" s="38"/>
      <c r="G414" s="256"/>
      <c r="H414" s="199"/>
      <c r="I414" s="188"/>
      <c r="J414" s="188"/>
      <c r="K414" s="269">
        <f t="shared" si="27"/>
        <v>0</v>
      </c>
      <c r="L414" s="262">
        <f t="shared" si="28"/>
        <v>0</v>
      </c>
    </row>
    <row r="415" spans="1:13" ht="23.25" x14ac:dyDescent="0.35">
      <c r="A415" s="35">
        <v>35</v>
      </c>
      <c r="B415" s="35"/>
      <c r="C415" s="77" t="s">
        <v>901</v>
      </c>
      <c r="D415" s="181"/>
      <c r="E415" s="189"/>
      <c r="F415" s="190"/>
      <c r="G415" s="193"/>
      <c r="H415" s="199"/>
      <c r="I415" s="188"/>
      <c r="J415" s="188"/>
      <c r="K415" s="269">
        <f t="shared" si="27"/>
        <v>0</v>
      </c>
      <c r="L415" s="262">
        <f t="shared" si="28"/>
        <v>0</v>
      </c>
    </row>
    <row r="416" spans="1:13" x14ac:dyDescent="0.3">
      <c r="A416" s="35"/>
      <c r="B416" s="35" t="e">
        <f>#REF!</f>
        <v>#REF!</v>
      </c>
      <c r="C416" s="35" t="e">
        <f>#REF!</f>
        <v>#REF!</v>
      </c>
      <c r="D416" s="174" t="e">
        <f>#REF!</f>
        <v>#REF!</v>
      </c>
      <c r="E416" s="35">
        <v>25</v>
      </c>
      <c r="F416" s="38" t="e">
        <f>#REF!</f>
        <v>#REF!</v>
      </c>
      <c r="G416" s="256" t="e">
        <f t="shared" ref="G416:G424" si="32">E416*F416</f>
        <v>#REF!</v>
      </c>
      <c r="H416" s="199"/>
      <c r="I416" s="188">
        <v>25</v>
      </c>
      <c r="J416" s="188"/>
      <c r="K416" s="269">
        <f t="shared" si="27"/>
        <v>25</v>
      </c>
      <c r="L416" s="262" t="e">
        <f t="shared" si="28"/>
        <v>#REF!</v>
      </c>
    </row>
    <row r="417" spans="1:13" x14ac:dyDescent="0.3">
      <c r="A417" s="35"/>
      <c r="B417" s="35" t="e">
        <f>#REF!</f>
        <v>#REF!</v>
      </c>
      <c r="C417" s="35" t="e">
        <f>#REF!</f>
        <v>#REF!</v>
      </c>
      <c r="D417" s="174" t="e">
        <f>#REF!</f>
        <v>#REF!</v>
      </c>
      <c r="E417" s="35">
        <v>250</v>
      </c>
      <c r="F417" s="38" t="e">
        <f>#REF!</f>
        <v>#REF!</v>
      </c>
      <c r="G417" s="256" t="e">
        <f t="shared" si="32"/>
        <v>#REF!</v>
      </c>
      <c r="H417" s="199"/>
      <c r="I417" s="188"/>
      <c r="J417" s="188">
        <v>250</v>
      </c>
      <c r="K417" s="269">
        <f t="shared" si="27"/>
        <v>250</v>
      </c>
      <c r="L417" s="262" t="e">
        <f t="shared" si="28"/>
        <v>#REF!</v>
      </c>
    </row>
    <row r="418" spans="1:13" x14ac:dyDescent="0.3">
      <c r="A418" s="35"/>
      <c r="B418" s="35" t="e">
        <f>#REF!</f>
        <v>#REF!</v>
      </c>
      <c r="C418" s="35" t="e">
        <f>#REF!</f>
        <v>#REF!</v>
      </c>
      <c r="D418" s="174" t="e">
        <f>#REF!</f>
        <v>#REF!</v>
      </c>
      <c r="E418" s="35">
        <v>3</v>
      </c>
      <c r="F418" s="38" t="e">
        <f>#REF!</f>
        <v>#REF!</v>
      </c>
      <c r="G418" s="256" t="e">
        <f t="shared" si="32"/>
        <v>#REF!</v>
      </c>
      <c r="H418" s="199"/>
      <c r="I418" s="188">
        <v>3</v>
      </c>
      <c r="J418" s="188"/>
      <c r="K418" s="269">
        <f t="shared" si="27"/>
        <v>3</v>
      </c>
      <c r="L418" s="262" t="e">
        <f t="shared" si="28"/>
        <v>#REF!</v>
      </c>
    </row>
    <row r="419" spans="1:13" x14ac:dyDescent="0.3">
      <c r="A419" s="35"/>
      <c r="B419" s="35" t="e">
        <f>#REF!</f>
        <v>#REF!</v>
      </c>
      <c r="C419" s="35" t="e">
        <f>#REF!</f>
        <v>#REF!</v>
      </c>
      <c r="D419" s="174" t="e">
        <f>#REF!</f>
        <v>#REF!</v>
      </c>
      <c r="E419" s="35">
        <v>8</v>
      </c>
      <c r="F419" s="38" t="e">
        <f>#REF!</f>
        <v>#REF!</v>
      </c>
      <c r="G419" s="256" t="e">
        <f t="shared" si="32"/>
        <v>#REF!</v>
      </c>
      <c r="H419" s="199">
        <v>0.8</v>
      </c>
      <c r="I419" s="188">
        <v>7.2</v>
      </c>
      <c r="J419" s="188"/>
      <c r="K419" s="269">
        <f t="shared" si="27"/>
        <v>8</v>
      </c>
      <c r="L419" s="262" t="e">
        <f t="shared" si="28"/>
        <v>#REF!</v>
      </c>
    </row>
    <row r="420" spans="1:13" x14ac:dyDescent="0.3">
      <c r="A420" s="35"/>
      <c r="B420" s="35" t="e">
        <f>#REF!</f>
        <v>#REF!</v>
      </c>
      <c r="C420" s="35" t="e">
        <f>#REF!</f>
        <v>#REF!</v>
      </c>
      <c r="D420" s="174" t="e">
        <f>#REF!</f>
        <v>#REF!</v>
      </c>
      <c r="E420" s="35">
        <v>65</v>
      </c>
      <c r="F420" s="38" t="e">
        <f>#REF!</f>
        <v>#REF!</v>
      </c>
      <c r="G420" s="256" t="e">
        <f t="shared" si="32"/>
        <v>#REF!</v>
      </c>
      <c r="H420" s="199">
        <v>10</v>
      </c>
      <c r="I420" s="188">
        <v>55</v>
      </c>
      <c r="J420" s="188"/>
      <c r="K420" s="269">
        <f t="shared" si="27"/>
        <v>65</v>
      </c>
      <c r="L420" s="262" t="e">
        <f t="shared" si="28"/>
        <v>#REF!</v>
      </c>
    </row>
    <row r="421" spans="1:13" x14ac:dyDescent="0.3">
      <c r="A421" s="35"/>
      <c r="B421" s="35" t="e">
        <f>#REF!</f>
        <v>#REF!</v>
      </c>
      <c r="C421" s="35" t="e">
        <f>#REF!</f>
        <v>#REF!</v>
      </c>
      <c r="D421" s="174" t="e">
        <f>#REF!</f>
        <v>#REF!</v>
      </c>
      <c r="E421" s="35">
        <v>625</v>
      </c>
      <c r="F421" s="38" t="e">
        <f>#REF!</f>
        <v>#REF!</v>
      </c>
      <c r="G421" s="256" t="e">
        <f t="shared" si="32"/>
        <v>#REF!</v>
      </c>
      <c r="H421" s="199">
        <v>48</v>
      </c>
      <c r="I421" s="188">
        <v>577</v>
      </c>
      <c r="J421" s="188"/>
      <c r="K421" s="269">
        <f t="shared" ref="K421:K483" si="33">H421+I421+J421</f>
        <v>625</v>
      </c>
      <c r="L421" s="262" t="e">
        <f t="shared" si="28"/>
        <v>#REF!</v>
      </c>
    </row>
    <row r="422" spans="1:13" x14ac:dyDescent="0.3">
      <c r="A422" s="35"/>
      <c r="B422" s="35" t="e">
        <f>#REF!</f>
        <v>#REF!</v>
      </c>
      <c r="C422" s="35" t="e">
        <f>#REF!</f>
        <v>#REF!</v>
      </c>
      <c r="D422" s="174" t="e">
        <f>#REF!</f>
        <v>#REF!</v>
      </c>
      <c r="E422" s="35">
        <v>10</v>
      </c>
      <c r="F422" s="38" t="e">
        <f>#REF!</f>
        <v>#REF!</v>
      </c>
      <c r="G422" s="256" t="e">
        <f t="shared" si="32"/>
        <v>#REF!</v>
      </c>
      <c r="H422" s="199"/>
      <c r="I422" s="188">
        <v>10</v>
      </c>
      <c r="J422" s="188"/>
      <c r="K422" s="269">
        <f t="shared" si="33"/>
        <v>10</v>
      </c>
      <c r="L422" s="262" t="e">
        <f t="shared" si="28"/>
        <v>#REF!</v>
      </c>
    </row>
    <row r="423" spans="1:13" x14ac:dyDescent="0.3">
      <c r="A423" s="35"/>
      <c r="B423" s="35" t="e">
        <f>#REF!</f>
        <v>#REF!</v>
      </c>
      <c r="C423" s="35" t="e">
        <f>#REF!</f>
        <v>#REF!</v>
      </c>
      <c r="D423" s="174" t="e">
        <f>#REF!</f>
        <v>#REF!</v>
      </c>
      <c r="E423" s="35">
        <v>15</v>
      </c>
      <c r="F423" s="38" t="e">
        <f>#REF!</f>
        <v>#REF!</v>
      </c>
      <c r="G423" s="256" t="e">
        <f t="shared" si="32"/>
        <v>#REF!</v>
      </c>
      <c r="H423" s="199"/>
      <c r="I423" s="188">
        <v>15</v>
      </c>
      <c r="J423" s="188"/>
      <c r="K423" s="269">
        <f t="shared" si="33"/>
        <v>15</v>
      </c>
      <c r="L423" s="262" t="e">
        <f t="shared" ref="L423:L485" si="34">K423*F423</f>
        <v>#REF!</v>
      </c>
    </row>
    <row r="424" spans="1:13" x14ac:dyDescent="0.3">
      <c r="A424" s="35"/>
      <c r="B424" s="35" t="e">
        <f>#REF!</f>
        <v>#REF!</v>
      </c>
      <c r="C424" s="35" t="e">
        <f>#REF!</f>
        <v>#REF!</v>
      </c>
      <c r="D424" s="174" t="e">
        <f>#REF!</f>
        <v>#REF!</v>
      </c>
      <c r="E424" s="35">
        <v>1</v>
      </c>
      <c r="F424" s="38" t="e">
        <f>#REF!</f>
        <v>#REF!</v>
      </c>
      <c r="G424" s="256" t="e">
        <f t="shared" si="32"/>
        <v>#REF!</v>
      </c>
      <c r="H424" s="199">
        <v>1</v>
      </c>
      <c r="I424" s="188"/>
      <c r="J424" s="188"/>
      <c r="K424" s="269">
        <f t="shared" si="33"/>
        <v>1</v>
      </c>
      <c r="L424" s="262" t="e">
        <f t="shared" si="34"/>
        <v>#REF!</v>
      </c>
      <c r="M424" s="366" t="e">
        <f>SUM(L416:L424)</f>
        <v>#REF!</v>
      </c>
    </row>
    <row r="425" spans="1:13" x14ac:dyDescent="0.3">
      <c r="A425" s="35"/>
      <c r="B425" s="35"/>
      <c r="C425" s="35"/>
      <c r="D425" s="174"/>
      <c r="E425" s="35"/>
      <c r="F425" s="38"/>
      <c r="G425" s="256"/>
      <c r="H425" s="199"/>
      <c r="I425" s="188"/>
      <c r="J425" s="188"/>
      <c r="K425" s="269">
        <f t="shared" si="33"/>
        <v>0</v>
      </c>
      <c r="L425" s="262">
        <f t="shared" si="34"/>
        <v>0</v>
      </c>
    </row>
    <row r="426" spans="1:13" ht="23.25" x14ac:dyDescent="0.35">
      <c r="A426" s="35">
        <v>36</v>
      </c>
      <c r="B426" s="35"/>
      <c r="C426" s="77" t="s">
        <v>902</v>
      </c>
      <c r="D426" s="181"/>
      <c r="E426" s="189"/>
      <c r="F426" s="190"/>
      <c r="G426" s="193"/>
      <c r="H426" s="199"/>
      <c r="I426" s="188"/>
      <c r="J426" s="188"/>
      <c r="K426" s="269">
        <f t="shared" si="33"/>
        <v>0</v>
      </c>
      <c r="L426" s="262">
        <f t="shared" si="34"/>
        <v>0</v>
      </c>
    </row>
    <row r="427" spans="1:13" x14ac:dyDescent="0.3">
      <c r="A427" s="35"/>
      <c r="B427" s="35" t="e">
        <f>#REF!</f>
        <v>#REF!</v>
      </c>
      <c r="C427" s="35" t="e">
        <f>#REF!</f>
        <v>#REF!</v>
      </c>
      <c r="D427" s="174" t="e">
        <f>#REF!</f>
        <v>#REF!</v>
      </c>
      <c r="E427" s="35">
        <v>27</v>
      </c>
      <c r="F427" s="38" t="e">
        <f>#REF!</f>
        <v>#REF!</v>
      </c>
      <c r="G427" s="256" t="e">
        <f t="shared" ref="G427:G432" si="35">E427*F427</f>
        <v>#REF!</v>
      </c>
      <c r="H427" s="199"/>
      <c r="I427" s="188">
        <v>27</v>
      </c>
      <c r="J427" s="188"/>
      <c r="K427" s="269">
        <f t="shared" si="33"/>
        <v>27</v>
      </c>
      <c r="L427" s="262" t="e">
        <f t="shared" si="34"/>
        <v>#REF!</v>
      </c>
    </row>
    <row r="428" spans="1:13" x14ac:dyDescent="0.3">
      <c r="A428" s="35"/>
      <c r="B428" s="35" t="e">
        <f>#REF!</f>
        <v>#REF!</v>
      </c>
      <c r="C428" s="35" t="e">
        <f>#REF!</f>
        <v>#REF!</v>
      </c>
      <c r="D428" s="174" t="e">
        <f>#REF!</f>
        <v>#REF!</v>
      </c>
      <c r="E428" s="35">
        <v>750</v>
      </c>
      <c r="F428" s="38" t="e">
        <f>#REF!</f>
        <v>#REF!</v>
      </c>
      <c r="G428" s="256" t="e">
        <f t="shared" si="35"/>
        <v>#REF!</v>
      </c>
      <c r="H428" s="199"/>
      <c r="I428" s="188">
        <v>750</v>
      </c>
      <c r="J428" s="188"/>
      <c r="K428" s="269">
        <f t="shared" si="33"/>
        <v>750</v>
      </c>
      <c r="L428" s="262" t="e">
        <f t="shared" si="34"/>
        <v>#REF!</v>
      </c>
    </row>
    <row r="429" spans="1:13" x14ac:dyDescent="0.3">
      <c r="A429" s="35"/>
      <c r="B429" s="35" t="e">
        <f>#REF!</f>
        <v>#REF!</v>
      </c>
      <c r="C429" s="35" t="e">
        <f>#REF!</f>
        <v>#REF!</v>
      </c>
      <c r="D429" s="174" t="e">
        <f>#REF!</f>
        <v>#REF!</v>
      </c>
      <c r="E429" s="35">
        <v>3750</v>
      </c>
      <c r="F429" s="38" t="e">
        <f>#REF!</f>
        <v>#REF!</v>
      </c>
      <c r="G429" s="256" t="e">
        <f t="shared" si="35"/>
        <v>#REF!</v>
      </c>
      <c r="H429" s="199"/>
      <c r="I429" s="188">
        <v>3750</v>
      </c>
      <c r="J429" s="188"/>
      <c r="K429" s="269">
        <f t="shared" si="33"/>
        <v>3750</v>
      </c>
      <c r="L429" s="262" t="e">
        <f t="shared" si="34"/>
        <v>#REF!</v>
      </c>
    </row>
    <row r="430" spans="1:13" x14ac:dyDescent="0.3">
      <c r="A430" s="35"/>
      <c r="B430" s="35" t="e">
        <f>#REF!</f>
        <v>#REF!</v>
      </c>
      <c r="C430" s="35" t="e">
        <f>#REF!</f>
        <v>#REF!</v>
      </c>
      <c r="D430" s="174" t="e">
        <f>#REF!</f>
        <v>#REF!</v>
      </c>
      <c r="E430" s="35">
        <v>3</v>
      </c>
      <c r="F430" s="38" t="e">
        <f>#REF!</f>
        <v>#REF!</v>
      </c>
      <c r="G430" s="256" t="e">
        <f t="shared" si="35"/>
        <v>#REF!</v>
      </c>
      <c r="H430" s="199"/>
      <c r="I430" s="188">
        <v>1.9</v>
      </c>
      <c r="J430" s="188"/>
      <c r="K430" s="269">
        <f t="shared" si="33"/>
        <v>1.9</v>
      </c>
      <c r="L430" s="262" t="e">
        <f t="shared" si="34"/>
        <v>#REF!</v>
      </c>
    </row>
    <row r="431" spans="1:13" x14ac:dyDescent="0.3">
      <c r="A431" s="35"/>
      <c r="B431" s="35" t="e">
        <f>#REF!</f>
        <v>#REF!</v>
      </c>
      <c r="C431" s="35" t="e">
        <f>#REF!</f>
        <v>#REF!</v>
      </c>
      <c r="D431" s="174" t="e">
        <f>#REF!</f>
        <v>#REF!</v>
      </c>
      <c r="E431" s="35">
        <v>10</v>
      </c>
      <c r="F431" s="38" t="e">
        <f>#REF!</f>
        <v>#REF!</v>
      </c>
      <c r="G431" s="256" t="e">
        <f t="shared" si="35"/>
        <v>#REF!</v>
      </c>
      <c r="H431" s="199"/>
      <c r="I431" s="188">
        <v>10</v>
      </c>
      <c r="J431" s="188"/>
      <c r="K431" s="269">
        <f t="shared" si="33"/>
        <v>10</v>
      </c>
      <c r="L431" s="262" t="e">
        <f t="shared" si="34"/>
        <v>#REF!</v>
      </c>
    </row>
    <row r="432" spans="1:13" x14ac:dyDescent="0.3">
      <c r="A432" s="35"/>
      <c r="B432" s="35" t="e">
        <f>#REF!</f>
        <v>#REF!</v>
      </c>
      <c r="C432" s="35" t="e">
        <f>#REF!</f>
        <v>#REF!</v>
      </c>
      <c r="D432" s="174" t="e">
        <f>#REF!</f>
        <v>#REF!</v>
      </c>
      <c r="E432" s="35">
        <v>25</v>
      </c>
      <c r="F432" s="38" t="e">
        <f>#REF!</f>
        <v>#REF!</v>
      </c>
      <c r="G432" s="256" t="e">
        <f t="shared" si="35"/>
        <v>#REF!</v>
      </c>
      <c r="H432" s="199"/>
      <c r="I432" s="188">
        <v>25</v>
      </c>
      <c r="J432" s="188"/>
      <c r="K432" s="269">
        <f t="shared" si="33"/>
        <v>25</v>
      </c>
      <c r="L432" s="262" t="e">
        <f t="shared" si="34"/>
        <v>#REF!</v>
      </c>
      <c r="M432" s="366" t="e">
        <f>SUM(L427:L432)</f>
        <v>#REF!</v>
      </c>
    </row>
    <row r="433" spans="1:13" x14ac:dyDescent="0.3">
      <c r="A433" s="35"/>
      <c r="B433" s="35"/>
      <c r="C433" s="188"/>
      <c r="D433" s="181"/>
      <c r="E433" s="189"/>
      <c r="F433" s="190"/>
      <c r="G433" s="193"/>
      <c r="H433" s="199"/>
      <c r="I433" s="188"/>
      <c r="J433" s="188"/>
      <c r="K433" s="269">
        <f t="shared" si="33"/>
        <v>0</v>
      </c>
      <c r="L433" s="262">
        <f t="shared" si="34"/>
        <v>0</v>
      </c>
    </row>
    <row r="434" spans="1:13" x14ac:dyDescent="0.3">
      <c r="A434" s="35"/>
      <c r="B434" s="35"/>
      <c r="C434" s="188"/>
      <c r="D434" s="181"/>
      <c r="E434" s="189"/>
      <c r="F434" s="190"/>
      <c r="G434" s="193"/>
      <c r="H434" s="199"/>
      <c r="I434" s="188"/>
      <c r="J434" s="188"/>
      <c r="K434" s="269">
        <f t="shared" si="33"/>
        <v>0</v>
      </c>
      <c r="L434" s="262">
        <f t="shared" si="34"/>
        <v>0</v>
      </c>
    </row>
    <row r="435" spans="1:13" ht="23.25" x14ac:dyDescent="0.35">
      <c r="A435" s="35">
        <v>37</v>
      </c>
      <c r="B435" s="35"/>
      <c r="C435" s="77" t="s">
        <v>903</v>
      </c>
      <c r="D435" s="181"/>
      <c r="E435" s="189"/>
      <c r="F435" s="190"/>
      <c r="G435" s="193"/>
      <c r="H435" s="199"/>
      <c r="I435" s="188"/>
      <c r="J435" s="188"/>
      <c r="K435" s="269">
        <f t="shared" si="33"/>
        <v>0</v>
      </c>
      <c r="L435" s="262">
        <f t="shared" si="34"/>
        <v>0</v>
      </c>
    </row>
    <row r="436" spans="1:13" x14ac:dyDescent="0.3">
      <c r="A436" s="35"/>
      <c r="B436" s="35" t="e">
        <f>#REF!</f>
        <v>#REF!</v>
      </c>
      <c r="C436" s="35" t="e">
        <f>#REF!</f>
        <v>#REF!</v>
      </c>
      <c r="D436" s="174" t="e">
        <f>#REF!</f>
        <v>#REF!</v>
      </c>
      <c r="E436" s="35">
        <v>13</v>
      </c>
      <c r="F436" s="38" t="e">
        <f>#REF!</f>
        <v>#REF!</v>
      </c>
      <c r="G436" s="256" t="e">
        <f>E436*F436</f>
        <v>#REF!</v>
      </c>
      <c r="H436" s="199">
        <v>13</v>
      </c>
      <c r="I436" s="188"/>
      <c r="J436" s="188"/>
      <c r="K436" s="269">
        <f t="shared" si="33"/>
        <v>13</v>
      </c>
      <c r="L436" s="262" t="e">
        <f t="shared" si="34"/>
        <v>#REF!</v>
      </c>
    </row>
    <row r="437" spans="1:13" x14ac:dyDescent="0.3">
      <c r="A437" s="35"/>
      <c r="B437" s="35" t="e">
        <f>#REF!</f>
        <v>#REF!</v>
      </c>
      <c r="C437" s="35" t="e">
        <f>#REF!</f>
        <v>#REF!</v>
      </c>
      <c r="D437" s="174" t="e">
        <f>#REF!</f>
        <v>#REF!</v>
      </c>
      <c r="E437" s="35">
        <v>50</v>
      </c>
      <c r="F437" s="38" t="e">
        <f>#REF!</f>
        <v>#REF!</v>
      </c>
      <c r="G437" s="256" t="e">
        <f>E437*F437</f>
        <v>#REF!</v>
      </c>
      <c r="H437" s="199">
        <v>50</v>
      </c>
      <c r="I437" s="188"/>
      <c r="J437" s="188"/>
      <c r="K437" s="269">
        <f t="shared" si="33"/>
        <v>50</v>
      </c>
      <c r="L437" s="262" t="e">
        <f t="shared" si="34"/>
        <v>#REF!</v>
      </c>
    </row>
    <row r="438" spans="1:13" x14ac:dyDescent="0.3">
      <c r="A438" s="35"/>
      <c r="B438" s="35" t="e">
        <f>#REF!</f>
        <v>#REF!</v>
      </c>
      <c r="C438" s="35" t="e">
        <f>#REF!</f>
        <v>#REF!</v>
      </c>
      <c r="D438" s="174" t="e">
        <f>#REF!</f>
        <v>#REF!</v>
      </c>
      <c r="E438" s="35">
        <v>280</v>
      </c>
      <c r="F438" s="38" t="e">
        <f>#REF!</f>
        <v>#REF!</v>
      </c>
      <c r="G438" s="256" t="e">
        <f>E438*F438</f>
        <v>#REF!</v>
      </c>
      <c r="H438" s="199">
        <v>280</v>
      </c>
      <c r="I438" s="188"/>
      <c r="J438" s="188"/>
      <c r="K438" s="269">
        <f t="shared" si="33"/>
        <v>280</v>
      </c>
      <c r="L438" s="262" t="e">
        <f t="shared" si="34"/>
        <v>#REF!</v>
      </c>
    </row>
    <row r="439" spans="1:13" x14ac:dyDescent="0.3">
      <c r="A439" s="35"/>
      <c r="B439" s="35" t="e">
        <f>#REF!</f>
        <v>#REF!</v>
      </c>
      <c r="C439" s="35" t="e">
        <f>#REF!</f>
        <v>#REF!</v>
      </c>
      <c r="D439" s="174" t="e">
        <f>#REF!</f>
        <v>#REF!</v>
      </c>
      <c r="E439" s="35">
        <v>100</v>
      </c>
      <c r="F439" s="38" t="e">
        <f>#REF!</f>
        <v>#REF!</v>
      </c>
      <c r="G439" s="256" t="e">
        <f>E439*F439</f>
        <v>#REF!</v>
      </c>
      <c r="H439" s="199">
        <v>100</v>
      </c>
      <c r="I439" s="188"/>
      <c r="J439" s="188"/>
      <c r="K439" s="269">
        <f t="shared" si="33"/>
        <v>100</v>
      </c>
      <c r="L439" s="262" t="e">
        <f t="shared" si="34"/>
        <v>#REF!</v>
      </c>
      <c r="M439" s="366" t="e">
        <f>SUM(L436:L439)</f>
        <v>#REF!</v>
      </c>
    </row>
    <row r="440" spans="1:13" x14ac:dyDescent="0.3">
      <c r="A440" s="35"/>
      <c r="B440" s="35"/>
      <c r="C440" s="35"/>
      <c r="D440" s="174"/>
      <c r="E440" s="35"/>
      <c r="F440" s="38"/>
      <c r="G440" s="256"/>
      <c r="H440" s="199"/>
      <c r="I440" s="188"/>
      <c r="J440" s="188"/>
      <c r="K440" s="269">
        <f t="shared" si="33"/>
        <v>0</v>
      </c>
      <c r="L440" s="262">
        <f t="shared" si="34"/>
        <v>0</v>
      </c>
    </row>
    <row r="441" spans="1:13" ht="23.25" x14ac:dyDescent="0.35">
      <c r="A441" s="35">
        <v>38</v>
      </c>
      <c r="B441" s="35"/>
      <c r="C441" s="77" t="s">
        <v>879</v>
      </c>
      <c r="D441" s="181"/>
      <c r="E441" s="189"/>
      <c r="F441" s="190"/>
      <c r="G441" s="193"/>
      <c r="H441" s="199"/>
      <c r="I441" s="188"/>
      <c r="J441" s="188"/>
      <c r="K441" s="269">
        <f t="shared" si="33"/>
        <v>0</v>
      </c>
      <c r="L441" s="262">
        <f t="shared" si="34"/>
        <v>0</v>
      </c>
    </row>
    <row r="442" spans="1:13" x14ac:dyDescent="0.3">
      <c r="A442" s="35"/>
      <c r="B442" s="35" t="e">
        <f>#REF!</f>
        <v>#REF!</v>
      </c>
      <c r="C442" s="35" t="e">
        <f>#REF!</f>
        <v>#REF!</v>
      </c>
      <c r="D442" s="174" t="e">
        <f>#REF!</f>
        <v>#REF!</v>
      </c>
      <c r="E442" s="35">
        <v>480</v>
      </c>
      <c r="F442" s="38" t="e">
        <f>#REF!</f>
        <v>#REF!</v>
      </c>
      <c r="G442" s="256" t="e">
        <f t="shared" ref="G442:G456" si="36">E442*F442</f>
        <v>#REF!</v>
      </c>
      <c r="H442" s="199">
        <v>480</v>
      </c>
      <c r="I442" s="188"/>
      <c r="J442" s="188"/>
      <c r="K442" s="269">
        <f t="shared" si="33"/>
        <v>480</v>
      </c>
      <c r="L442" s="262" t="e">
        <f t="shared" si="34"/>
        <v>#REF!</v>
      </c>
    </row>
    <row r="443" spans="1:13" x14ac:dyDescent="0.3">
      <c r="A443" s="35"/>
      <c r="B443" s="35" t="e">
        <f>#REF!</f>
        <v>#REF!</v>
      </c>
      <c r="C443" s="35" t="e">
        <f>#REF!</f>
        <v>#REF!</v>
      </c>
      <c r="D443" s="174" t="e">
        <f>#REF!</f>
        <v>#REF!</v>
      </c>
      <c r="E443" s="35">
        <v>26</v>
      </c>
      <c r="F443" s="38" t="e">
        <f>#REF!</f>
        <v>#REF!</v>
      </c>
      <c r="G443" s="256" t="e">
        <f t="shared" si="36"/>
        <v>#REF!</v>
      </c>
      <c r="H443" s="199">
        <v>26</v>
      </c>
      <c r="I443" s="188"/>
      <c r="J443" s="188"/>
      <c r="K443" s="269">
        <f t="shared" si="33"/>
        <v>26</v>
      </c>
      <c r="L443" s="262" t="e">
        <f t="shared" si="34"/>
        <v>#REF!</v>
      </c>
    </row>
    <row r="444" spans="1:13" x14ac:dyDescent="0.3">
      <c r="A444" s="35"/>
      <c r="B444" s="35" t="e">
        <f>#REF!</f>
        <v>#REF!</v>
      </c>
      <c r="C444" s="35" t="e">
        <f>#REF!</f>
        <v>#REF!</v>
      </c>
      <c r="D444" s="174" t="e">
        <f>#REF!</f>
        <v>#REF!</v>
      </c>
      <c r="E444" s="35">
        <v>5</v>
      </c>
      <c r="F444" s="38" t="e">
        <f>#REF!</f>
        <v>#REF!</v>
      </c>
      <c r="G444" s="256" t="e">
        <f t="shared" si="36"/>
        <v>#REF!</v>
      </c>
      <c r="H444" s="199">
        <v>5</v>
      </c>
      <c r="I444" s="188"/>
      <c r="J444" s="188"/>
      <c r="K444" s="269">
        <f t="shared" si="33"/>
        <v>5</v>
      </c>
      <c r="L444" s="262" t="e">
        <f t="shared" si="34"/>
        <v>#REF!</v>
      </c>
    </row>
    <row r="445" spans="1:13" x14ac:dyDescent="0.3">
      <c r="A445" s="35"/>
      <c r="B445" s="35" t="e">
        <f>#REF!</f>
        <v>#REF!</v>
      </c>
      <c r="C445" s="35" t="e">
        <f>#REF!</f>
        <v>#REF!</v>
      </c>
      <c r="D445" s="174" t="e">
        <f>#REF!</f>
        <v>#REF!</v>
      </c>
      <c r="E445" s="35">
        <v>15</v>
      </c>
      <c r="F445" s="38" t="e">
        <f>#REF!</f>
        <v>#REF!</v>
      </c>
      <c r="G445" s="256" t="e">
        <f t="shared" si="36"/>
        <v>#REF!</v>
      </c>
      <c r="H445" s="199">
        <v>15</v>
      </c>
      <c r="I445" s="188"/>
      <c r="J445" s="188"/>
      <c r="K445" s="269">
        <f t="shared" si="33"/>
        <v>15</v>
      </c>
      <c r="L445" s="262" t="e">
        <f t="shared" si="34"/>
        <v>#REF!</v>
      </c>
    </row>
    <row r="446" spans="1:13" x14ac:dyDescent="0.3">
      <c r="A446" s="35"/>
      <c r="B446" s="35" t="e">
        <f>#REF!</f>
        <v>#REF!</v>
      </c>
      <c r="C446" s="35" t="e">
        <f>#REF!</f>
        <v>#REF!</v>
      </c>
      <c r="D446" s="174" t="e">
        <f>#REF!</f>
        <v>#REF!</v>
      </c>
      <c r="E446" s="35">
        <v>70</v>
      </c>
      <c r="F446" s="38" t="e">
        <f>#REF!</f>
        <v>#REF!</v>
      </c>
      <c r="G446" s="256" t="e">
        <f t="shared" si="36"/>
        <v>#REF!</v>
      </c>
      <c r="H446" s="199">
        <v>70</v>
      </c>
      <c r="I446" s="188"/>
      <c r="J446" s="188"/>
      <c r="K446" s="269">
        <f t="shared" si="33"/>
        <v>70</v>
      </c>
      <c r="L446" s="262" t="e">
        <f t="shared" si="34"/>
        <v>#REF!</v>
      </c>
    </row>
    <row r="447" spans="1:13" x14ac:dyDescent="0.3">
      <c r="A447" s="35"/>
      <c r="B447" s="35" t="e">
        <f>#REF!</f>
        <v>#REF!</v>
      </c>
      <c r="C447" s="35" t="e">
        <f>#REF!</f>
        <v>#REF!</v>
      </c>
      <c r="D447" s="174" t="e">
        <f>#REF!</f>
        <v>#REF!</v>
      </c>
      <c r="E447" s="35">
        <v>320</v>
      </c>
      <c r="F447" s="38" t="e">
        <f>#REF!</f>
        <v>#REF!</v>
      </c>
      <c r="G447" s="256" t="e">
        <f t="shared" si="36"/>
        <v>#REF!</v>
      </c>
      <c r="H447" s="199">
        <v>320</v>
      </c>
      <c r="I447" s="188"/>
      <c r="J447" s="188"/>
      <c r="K447" s="269">
        <f t="shared" si="33"/>
        <v>320</v>
      </c>
      <c r="L447" s="262" t="e">
        <f t="shared" si="34"/>
        <v>#REF!</v>
      </c>
    </row>
    <row r="448" spans="1:13" x14ac:dyDescent="0.3">
      <c r="A448" s="35"/>
      <c r="B448" s="35" t="e">
        <f>#REF!</f>
        <v>#REF!</v>
      </c>
      <c r="C448" s="35" t="e">
        <f>#REF!</f>
        <v>#REF!</v>
      </c>
      <c r="D448" s="174" t="e">
        <f>#REF!</f>
        <v>#REF!</v>
      </c>
      <c r="E448" s="35">
        <v>168</v>
      </c>
      <c r="F448" s="38" t="e">
        <f>#REF!</f>
        <v>#REF!</v>
      </c>
      <c r="G448" s="256" t="e">
        <f t="shared" si="36"/>
        <v>#REF!</v>
      </c>
      <c r="H448" s="199">
        <v>168</v>
      </c>
      <c r="I448" s="188"/>
      <c r="J448" s="188"/>
      <c r="K448" s="269">
        <f t="shared" si="33"/>
        <v>168</v>
      </c>
      <c r="L448" s="262" t="e">
        <f t="shared" si="34"/>
        <v>#REF!</v>
      </c>
    </row>
    <row r="449" spans="1:13" x14ac:dyDescent="0.3">
      <c r="A449" s="35"/>
      <c r="B449" s="35" t="e">
        <f>#REF!</f>
        <v>#REF!</v>
      </c>
      <c r="C449" s="35" t="e">
        <f>#REF!</f>
        <v>#REF!</v>
      </c>
      <c r="D449" s="174" t="e">
        <f>#REF!</f>
        <v>#REF!</v>
      </c>
      <c r="E449" s="35">
        <v>10</v>
      </c>
      <c r="F449" s="38" t="e">
        <f>#REF!</f>
        <v>#REF!</v>
      </c>
      <c r="G449" s="256" t="e">
        <f t="shared" si="36"/>
        <v>#REF!</v>
      </c>
      <c r="H449" s="199">
        <v>10</v>
      </c>
      <c r="I449" s="188"/>
      <c r="J449" s="188"/>
      <c r="K449" s="269">
        <f t="shared" si="33"/>
        <v>10</v>
      </c>
      <c r="L449" s="262" t="e">
        <f t="shared" si="34"/>
        <v>#REF!</v>
      </c>
    </row>
    <row r="450" spans="1:13" x14ac:dyDescent="0.3">
      <c r="A450" s="35"/>
      <c r="B450" s="35" t="e">
        <f>#REF!</f>
        <v>#REF!</v>
      </c>
      <c r="C450" s="35" t="e">
        <f>#REF!</f>
        <v>#REF!</v>
      </c>
      <c r="D450" s="174" t="e">
        <f>#REF!</f>
        <v>#REF!</v>
      </c>
      <c r="E450" s="35">
        <v>90</v>
      </c>
      <c r="F450" s="38" t="e">
        <f>#REF!</f>
        <v>#REF!</v>
      </c>
      <c r="G450" s="256" t="e">
        <f t="shared" si="36"/>
        <v>#REF!</v>
      </c>
      <c r="H450" s="199">
        <v>90</v>
      </c>
      <c r="I450" s="188"/>
      <c r="J450" s="188"/>
      <c r="K450" s="269">
        <f t="shared" si="33"/>
        <v>90</v>
      </c>
      <c r="L450" s="262" t="e">
        <f t="shared" si="34"/>
        <v>#REF!</v>
      </c>
    </row>
    <row r="451" spans="1:13" x14ac:dyDescent="0.3">
      <c r="A451" s="35"/>
      <c r="B451" s="35" t="e">
        <f>#REF!</f>
        <v>#REF!</v>
      </c>
      <c r="C451" s="35" t="e">
        <f>#REF!</f>
        <v>#REF!</v>
      </c>
      <c r="D451" s="174" t="e">
        <f>#REF!</f>
        <v>#REF!</v>
      </c>
      <c r="E451" s="35">
        <v>200</v>
      </c>
      <c r="F451" s="38" t="e">
        <f>#REF!</f>
        <v>#REF!</v>
      </c>
      <c r="G451" s="256" t="e">
        <f t="shared" si="36"/>
        <v>#REF!</v>
      </c>
      <c r="H451" s="199">
        <v>200</v>
      </c>
      <c r="I451" s="188"/>
      <c r="J451" s="188"/>
      <c r="K451" s="269">
        <f t="shared" si="33"/>
        <v>200</v>
      </c>
      <c r="L451" s="262" t="e">
        <f t="shared" si="34"/>
        <v>#REF!</v>
      </c>
    </row>
    <row r="452" spans="1:13" x14ac:dyDescent="0.3">
      <c r="A452" s="35"/>
      <c r="B452" s="35" t="e">
        <f>#REF!</f>
        <v>#REF!</v>
      </c>
      <c r="C452" s="35" t="e">
        <f>#REF!</f>
        <v>#REF!</v>
      </c>
      <c r="D452" s="174" t="e">
        <f>#REF!</f>
        <v>#REF!</v>
      </c>
      <c r="E452" s="35">
        <v>18</v>
      </c>
      <c r="F452" s="38" t="e">
        <f>#REF!</f>
        <v>#REF!</v>
      </c>
      <c r="G452" s="256" t="e">
        <f t="shared" si="36"/>
        <v>#REF!</v>
      </c>
      <c r="H452" s="199">
        <v>18</v>
      </c>
      <c r="I452" s="188"/>
      <c r="J452" s="188"/>
      <c r="K452" s="269">
        <f t="shared" si="33"/>
        <v>18</v>
      </c>
      <c r="L452" s="262" t="e">
        <f t="shared" si="34"/>
        <v>#REF!</v>
      </c>
    </row>
    <row r="453" spans="1:13" x14ac:dyDescent="0.3">
      <c r="A453" s="35"/>
      <c r="B453" s="35" t="e">
        <f>#REF!</f>
        <v>#REF!</v>
      </c>
      <c r="C453" s="35" t="e">
        <f>#REF!</f>
        <v>#REF!</v>
      </c>
      <c r="D453" s="174" t="e">
        <f>#REF!</f>
        <v>#REF!</v>
      </c>
      <c r="E453" s="35">
        <v>20</v>
      </c>
      <c r="F453" s="38" t="e">
        <f>#REF!</f>
        <v>#REF!</v>
      </c>
      <c r="G453" s="256" t="e">
        <f t="shared" si="36"/>
        <v>#REF!</v>
      </c>
      <c r="H453" s="199">
        <v>20</v>
      </c>
      <c r="I453" s="188"/>
      <c r="J453" s="188"/>
      <c r="K453" s="269">
        <f t="shared" si="33"/>
        <v>20</v>
      </c>
      <c r="L453" s="262" t="e">
        <f t="shared" si="34"/>
        <v>#REF!</v>
      </c>
    </row>
    <row r="454" spans="1:13" x14ac:dyDescent="0.3">
      <c r="A454" s="35"/>
      <c r="B454" s="35" t="e">
        <f>#REF!</f>
        <v>#REF!</v>
      </c>
      <c r="C454" s="35" t="e">
        <f>#REF!</f>
        <v>#REF!</v>
      </c>
      <c r="D454" s="174" t="e">
        <f>#REF!</f>
        <v>#REF!</v>
      </c>
      <c r="E454" s="35">
        <v>111</v>
      </c>
      <c r="F454" s="38" t="e">
        <f>#REF!</f>
        <v>#REF!</v>
      </c>
      <c r="G454" s="256" t="e">
        <f t="shared" si="36"/>
        <v>#REF!</v>
      </c>
      <c r="H454" s="199">
        <v>111</v>
      </c>
      <c r="I454" s="188"/>
      <c r="J454" s="188"/>
      <c r="K454" s="269">
        <f t="shared" si="33"/>
        <v>111</v>
      </c>
      <c r="L454" s="262" t="e">
        <f t="shared" si="34"/>
        <v>#REF!</v>
      </c>
    </row>
    <row r="455" spans="1:13" x14ac:dyDescent="0.3">
      <c r="A455" s="35"/>
      <c r="B455" s="35" t="e">
        <f>#REF!</f>
        <v>#REF!</v>
      </c>
      <c r="C455" s="35" t="e">
        <f>#REF!</f>
        <v>#REF!</v>
      </c>
      <c r="D455" s="174" t="e">
        <f>#REF!</f>
        <v>#REF!</v>
      </c>
      <c r="E455" s="35">
        <v>240</v>
      </c>
      <c r="F455" s="38" t="e">
        <f>#REF!</f>
        <v>#REF!</v>
      </c>
      <c r="G455" s="256" t="e">
        <f t="shared" si="36"/>
        <v>#REF!</v>
      </c>
      <c r="H455" s="199">
        <v>240</v>
      </c>
      <c r="I455" s="188"/>
      <c r="J455" s="188"/>
      <c r="K455" s="269">
        <f t="shared" si="33"/>
        <v>240</v>
      </c>
      <c r="L455" s="262" t="e">
        <f t="shared" si="34"/>
        <v>#REF!</v>
      </c>
    </row>
    <row r="456" spans="1:13" x14ac:dyDescent="0.3">
      <c r="A456" s="35"/>
      <c r="B456" s="35" t="e">
        <f>#REF!</f>
        <v>#REF!</v>
      </c>
      <c r="C456" s="35" t="e">
        <f>#REF!</f>
        <v>#REF!</v>
      </c>
      <c r="D456" s="174" t="e">
        <f>#REF!</f>
        <v>#REF!</v>
      </c>
      <c r="E456" s="35">
        <v>75</v>
      </c>
      <c r="F456" s="38" t="e">
        <f>#REF!</f>
        <v>#REF!</v>
      </c>
      <c r="G456" s="256" t="e">
        <f t="shared" si="36"/>
        <v>#REF!</v>
      </c>
      <c r="H456" s="199">
        <v>75</v>
      </c>
      <c r="I456" s="188"/>
      <c r="J456" s="188"/>
      <c r="K456" s="269">
        <f t="shared" si="33"/>
        <v>75</v>
      </c>
      <c r="L456" s="262" t="e">
        <f t="shared" si="34"/>
        <v>#REF!</v>
      </c>
      <c r="M456" s="366" t="e">
        <f>SUM(L442:L456)</f>
        <v>#REF!</v>
      </c>
    </row>
    <row r="457" spans="1:13" x14ac:dyDescent="0.3">
      <c r="A457" s="35"/>
      <c r="B457" s="35"/>
      <c r="C457" s="188"/>
      <c r="D457" s="181"/>
      <c r="E457" s="189"/>
      <c r="F457" s="190"/>
      <c r="G457" s="193"/>
      <c r="H457" s="199"/>
      <c r="I457" s="188"/>
      <c r="J457" s="188"/>
      <c r="K457" s="269">
        <f t="shared" si="33"/>
        <v>0</v>
      </c>
      <c r="L457" s="262">
        <f t="shared" si="34"/>
        <v>0</v>
      </c>
    </row>
    <row r="458" spans="1:13" ht="23.25" x14ac:dyDescent="0.35">
      <c r="A458" s="35">
        <v>39</v>
      </c>
      <c r="B458" s="35"/>
      <c r="C458" s="77" t="s">
        <v>904</v>
      </c>
      <c r="D458" s="181"/>
      <c r="E458" s="189"/>
      <c r="F458" s="190"/>
      <c r="G458" s="193"/>
      <c r="H458" s="199"/>
      <c r="I458" s="188"/>
      <c r="J458" s="188"/>
      <c r="K458" s="269">
        <f t="shared" si="33"/>
        <v>0</v>
      </c>
      <c r="L458" s="262">
        <f t="shared" si="34"/>
        <v>0</v>
      </c>
    </row>
    <row r="459" spans="1:13" x14ac:dyDescent="0.3">
      <c r="A459" s="35"/>
      <c r="B459" s="35" t="e">
        <f>#REF!</f>
        <v>#REF!</v>
      </c>
      <c r="C459" s="35" t="e">
        <f>#REF!</f>
        <v>#REF!</v>
      </c>
      <c r="D459" s="174" t="e">
        <f>#REF!</f>
        <v>#REF!</v>
      </c>
      <c r="E459" s="35">
        <v>11</v>
      </c>
      <c r="F459" s="38" t="e">
        <f>#REF!</f>
        <v>#REF!</v>
      </c>
      <c r="G459" s="256" t="e">
        <f>E459*F459</f>
        <v>#REF!</v>
      </c>
      <c r="H459" s="199">
        <v>11</v>
      </c>
      <c r="I459" s="188"/>
      <c r="J459" s="188"/>
      <c r="K459" s="269">
        <f t="shared" si="33"/>
        <v>11</v>
      </c>
      <c r="L459" s="262" t="e">
        <f t="shared" si="34"/>
        <v>#REF!</v>
      </c>
    </row>
    <row r="460" spans="1:13" x14ac:dyDescent="0.3">
      <c r="A460" s="35"/>
      <c r="B460" s="35" t="e">
        <f>#REF!</f>
        <v>#REF!</v>
      </c>
      <c r="C460" s="35" t="e">
        <f>#REF!</f>
        <v>#REF!</v>
      </c>
      <c r="D460" s="174" t="e">
        <f>#REF!</f>
        <v>#REF!</v>
      </c>
      <c r="E460" s="35">
        <v>16</v>
      </c>
      <c r="F460" s="38" t="e">
        <f>#REF!</f>
        <v>#REF!</v>
      </c>
      <c r="G460" s="256" t="e">
        <f t="shared" ref="G460:G465" si="37">E460*F460</f>
        <v>#REF!</v>
      </c>
      <c r="H460" s="199">
        <v>16</v>
      </c>
      <c r="I460" s="188"/>
      <c r="J460" s="188"/>
      <c r="K460" s="269">
        <f t="shared" si="33"/>
        <v>16</v>
      </c>
      <c r="L460" s="262" t="e">
        <f t="shared" si="34"/>
        <v>#REF!</v>
      </c>
    </row>
    <row r="461" spans="1:13" x14ac:dyDescent="0.3">
      <c r="A461" s="35"/>
      <c r="B461" s="35" t="e">
        <f>#REF!</f>
        <v>#REF!</v>
      </c>
      <c r="C461" s="35" t="e">
        <f>#REF!</f>
        <v>#REF!</v>
      </c>
      <c r="D461" s="174" t="e">
        <f>#REF!</f>
        <v>#REF!</v>
      </c>
      <c r="E461" s="35">
        <v>10</v>
      </c>
      <c r="F461" s="38" t="e">
        <f>#REF!</f>
        <v>#REF!</v>
      </c>
      <c r="G461" s="256" t="e">
        <f t="shared" si="37"/>
        <v>#REF!</v>
      </c>
      <c r="H461" s="199"/>
      <c r="I461" s="188"/>
      <c r="J461" s="188"/>
      <c r="K461" s="269">
        <f t="shared" si="33"/>
        <v>0</v>
      </c>
      <c r="L461" s="262" t="e">
        <f t="shared" si="34"/>
        <v>#REF!</v>
      </c>
    </row>
    <row r="462" spans="1:13" x14ac:dyDescent="0.3">
      <c r="A462" s="35"/>
      <c r="B462" s="35" t="e">
        <f>#REF!</f>
        <v>#REF!</v>
      </c>
      <c r="C462" s="35" t="e">
        <f>#REF!</f>
        <v>#REF!</v>
      </c>
      <c r="D462" s="174" t="e">
        <f>#REF!</f>
        <v>#REF!</v>
      </c>
      <c r="E462" s="35">
        <v>33</v>
      </c>
      <c r="F462" s="38" t="e">
        <f>#REF!</f>
        <v>#REF!</v>
      </c>
      <c r="G462" s="256" t="e">
        <f t="shared" si="37"/>
        <v>#REF!</v>
      </c>
      <c r="H462" s="199">
        <v>33</v>
      </c>
      <c r="I462" s="188"/>
      <c r="J462" s="188"/>
      <c r="K462" s="269">
        <f t="shared" si="33"/>
        <v>33</v>
      </c>
      <c r="L462" s="262" t="e">
        <f t="shared" si="34"/>
        <v>#REF!</v>
      </c>
    </row>
    <row r="463" spans="1:13" x14ac:dyDescent="0.3">
      <c r="A463" s="35"/>
      <c r="B463" s="35" t="e">
        <f>#REF!</f>
        <v>#REF!</v>
      </c>
      <c r="C463" s="35" t="e">
        <f>#REF!</f>
        <v>#REF!</v>
      </c>
      <c r="D463" s="174" t="e">
        <f>#REF!</f>
        <v>#REF!</v>
      </c>
      <c r="E463" s="35">
        <v>100</v>
      </c>
      <c r="F463" s="38" t="e">
        <f>#REF!</f>
        <v>#REF!</v>
      </c>
      <c r="G463" s="256" t="e">
        <f t="shared" si="37"/>
        <v>#REF!</v>
      </c>
      <c r="H463" s="199">
        <v>100</v>
      </c>
      <c r="I463" s="188"/>
      <c r="J463" s="188"/>
      <c r="K463" s="269">
        <f t="shared" si="33"/>
        <v>100</v>
      </c>
      <c r="L463" s="262" t="e">
        <f t="shared" si="34"/>
        <v>#REF!</v>
      </c>
    </row>
    <row r="464" spans="1:13" x14ac:dyDescent="0.3">
      <c r="A464" s="35"/>
      <c r="B464" s="35" t="e">
        <f>#REF!</f>
        <v>#REF!</v>
      </c>
      <c r="C464" s="35" t="e">
        <f>#REF!</f>
        <v>#REF!</v>
      </c>
      <c r="D464" s="174" t="e">
        <f>#REF!</f>
        <v>#REF!</v>
      </c>
      <c r="E464" s="35">
        <v>85</v>
      </c>
      <c r="F464" s="38" t="e">
        <f>#REF!</f>
        <v>#REF!</v>
      </c>
      <c r="G464" s="256" t="e">
        <f t="shared" si="37"/>
        <v>#REF!</v>
      </c>
      <c r="H464" s="199">
        <v>85</v>
      </c>
      <c r="I464" s="188"/>
      <c r="J464" s="188"/>
      <c r="K464" s="269">
        <f t="shared" si="33"/>
        <v>85</v>
      </c>
      <c r="L464" s="262" t="e">
        <f t="shared" si="34"/>
        <v>#REF!</v>
      </c>
    </row>
    <row r="465" spans="1:13" x14ac:dyDescent="0.3">
      <c r="A465" s="35"/>
      <c r="B465" s="35" t="e">
        <f>#REF!</f>
        <v>#REF!</v>
      </c>
      <c r="C465" s="35" t="e">
        <f>#REF!</f>
        <v>#REF!</v>
      </c>
      <c r="D465" s="174" t="e">
        <f>#REF!</f>
        <v>#REF!</v>
      </c>
      <c r="E465" s="35">
        <v>100</v>
      </c>
      <c r="F465" s="38" t="e">
        <f>#REF!</f>
        <v>#REF!</v>
      </c>
      <c r="G465" s="256" t="e">
        <f t="shared" si="37"/>
        <v>#REF!</v>
      </c>
      <c r="H465" s="199">
        <v>100</v>
      </c>
      <c r="I465" s="188"/>
      <c r="J465" s="188"/>
      <c r="K465" s="269">
        <f t="shared" si="33"/>
        <v>100</v>
      </c>
      <c r="L465" s="262" t="e">
        <f t="shared" si="34"/>
        <v>#REF!</v>
      </c>
      <c r="M465" s="366" t="e">
        <f>SUM(L459:L465)</f>
        <v>#REF!</v>
      </c>
    </row>
    <row r="466" spans="1:13" x14ac:dyDescent="0.3">
      <c r="A466" s="35"/>
      <c r="B466" s="35"/>
      <c r="C466" s="188"/>
      <c r="D466" s="181"/>
      <c r="E466" s="189"/>
      <c r="F466" s="190"/>
      <c r="G466" s="193"/>
      <c r="H466" s="199"/>
      <c r="I466" s="188"/>
      <c r="J466" s="188"/>
      <c r="K466" s="269">
        <f t="shared" si="33"/>
        <v>0</v>
      </c>
      <c r="L466" s="262">
        <f t="shared" si="34"/>
        <v>0</v>
      </c>
    </row>
    <row r="467" spans="1:13" x14ac:dyDescent="0.3">
      <c r="A467" s="35"/>
      <c r="B467" s="35"/>
      <c r="C467" s="188"/>
      <c r="D467" s="181"/>
      <c r="E467" s="189"/>
      <c r="F467" s="190"/>
      <c r="G467" s="193"/>
      <c r="H467" s="199"/>
      <c r="I467" s="188"/>
      <c r="J467" s="188"/>
      <c r="K467" s="269">
        <f t="shared" si="33"/>
        <v>0</v>
      </c>
      <c r="L467" s="262">
        <f t="shared" si="34"/>
        <v>0</v>
      </c>
    </row>
    <row r="468" spans="1:13" ht="23.25" x14ac:dyDescent="0.35">
      <c r="A468" s="35">
        <v>40</v>
      </c>
      <c r="B468" s="35"/>
      <c r="C468" s="77" t="s">
        <v>905</v>
      </c>
      <c r="D468" s="181"/>
      <c r="E468" s="189"/>
      <c r="F468" s="190"/>
      <c r="G468" s="193"/>
      <c r="H468" s="199"/>
      <c r="I468" s="188"/>
      <c r="J468" s="188"/>
      <c r="K468" s="269">
        <f t="shared" si="33"/>
        <v>0</v>
      </c>
      <c r="L468" s="262">
        <f t="shared" si="34"/>
        <v>0</v>
      </c>
    </row>
    <row r="469" spans="1:13" x14ac:dyDescent="0.3">
      <c r="A469" s="35"/>
      <c r="B469" s="35" t="e">
        <f>#REF!</f>
        <v>#REF!</v>
      </c>
      <c r="C469" s="35" t="e">
        <f>#REF!</f>
        <v>#REF!</v>
      </c>
      <c r="D469" s="174" t="e">
        <f>#REF!</f>
        <v>#REF!</v>
      </c>
      <c r="E469" s="35">
        <v>250</v>
      </c>
      <c r="F469" s="38" t="e">
        <f>#REF!</f>
        <v>#REF!</v>
      </c>
      <c r="G469" s="256" t="e">
        <f t="shared" ref="G469:G497" si="38">E469*F469</f>
        <v>#REF!</v>
      </c>
      <c r="H469" s="199"/>
      <c r="I469" s="188">
        <v>250</v>
      </c>
      <c r="J469" s="188"/>
      <c r="K469" s="269">
        <f t="shared" si="33"/>
        <v>250</v>
      </c>
      <c r="L469" s="262" t="e">
        <f t="shared" si="34"/>
        <v>#REF!</v>
      </c>
    </row>
    <row r="470" spans="1:13" x14ac:dyDescent="0.3">
      <c r="A470" s="199"/>
      <c r="B470" s="35" t="e">
        <f>#REF!</f>
        <v>#REF!</v>
      </c>
      <c r="C470" s="35" t="e">
        <f>#REF!</f>
        <v>#REF!</v>
      </c>
      <c r="D470" s="174" t="e">
        <f>#REF!</f>
        <v>#REF!</v>
      </c>
      <c r="E470" s="35">
        <v>250</v>
      </c>
      <c r="F470" s="38" t="e">
        <f>#REF!</f>
        <v>#REF!</v>
      </c>
      <c r="G470" s="256" t="e">
        <f t="shared" si="38"/>
        <v>#REF!</v>
      </c>
      <c r="H470" s="199"/>
      <c r="I470" s="188">
        <v>250</v>
      </c>
      <c r="J470" s="188"/>
      <c r="K470" s="269">
        <f t="shared" si="33"/>
        <v>250</v>
      </c>
      <c r="L470" s="262" t="e">
        <f t="shared" si="34"/>
        <v>#REF!</v>
      </c>
    </row>
    <row r="471" spans="1:13" x14ac:dyDescent="0.3">
      <c r="A471" s="199"/>
      <c r="B471" s="35" t="e">
        <f>#REF!</f>
        <v>#REF!</v>
      </c>
      <c r="C471" s="35" t="e">
        <f>#REF!</f>
        <v>#REF!</v>
      </c>
      <c r="D471" s="174" t="e">
        <f>#REF!</f>
        <v>#REF!</v>
      </c>
      <c r="E471" s="35">
        <v>10</v>
      </c>
      <c r="F471" s="38" t="e">
        <f>#REF!</f>
        <v>#REF!</v>
      </c>
      <c r="G471" s="256" t="e">
        <f t="shared" si="38"/>
        <v>#REF!</v>
      </c>
      <c r="H471" s="199"/>
      <c r="I471" s="188">
        <v>10</v>
      </c>
      <c r="J471" s="188"/>
      <c r="K471" s="269">
        <f t="shared" si="33"/>
        <v>10</v>
      </c>
      <c r="L471" s="262" t="e">
        <f t="shared" si="34"/>
        <v>#REF!</v>
      </c>
    </row>
    <row r="472" spans="1:13" x14ac:dyDescent="0.3">
      <c r="A472" s="199"/>
      <c r="B472" s="35" t="e">
        <f>#REF!</f>
        <v>#REF!</v>
      </c>
      <c r="C472" s="35" t="e">
        <f>#REF!</f>
        <v>#REF!</v>
      </c>
      <c r="D472" s="174" t="e">
        <f>#REF!</f>
        <v>#REF!</v>
      </c>
      <c r="E472" s="35">
        <v>25</v>
      </c>
      <c r="F472" s="38" t="e">
        <f>#REF!</f>
        <v>#REF!</v>
      </c>
      <c r="G472" s="256" t="e">
        <f t="shared" si="38"/>
        <v>#REF!</v>
      </c>
      <c r="H472" s="199"/>
      <c r="I472" s="188">
        <v>25</v>
      </c>
      <c r="J472" s="188"/>
      <c r="K472" s="269">
        <f t="shared" si="33"/>
        <v>25</v>
      </c>
      <c r="L472" s="262" t="e">
        <f t="shared" si="34"/>
        <v>#REF!</v>
      </c>
    </row>
    <row r="473" spans="1:13" x14ac:dyDescent="0.3">
      <c r="A473" s="35"/>
      <c r="B473" s="35" t="e">
        <f>#REF!</f>
        <v>#REF!</v>
      </c>
      <c r="C473" s="35" t="e">
        <f>#REF!</f>
        <v>#REF!</v>
      </c>
      <c r="D473" s="174" t="e">
        <f>#REF!</f>
        <v>#REF!</v>
      </c>
      <c r="E473" s="35">
        <v>5</v>
      </c>
      <c r="F473" s="38" t="e">
        <f>#REF!</f>
        <v>#REF!</v>
      </c>
      <c r="G473" s="256" t="e">
        <f t="shared" si="38"/>
        <v>#REF!</v>
      </c>
      <c r="H473" s="199"/>
      <c r="I473" s="188"/>
      <c r="J473" s="188"/>
      <c r="K473" s="269">
        <f t="shared" si="33"/>
        <v>0</v>
      </c>
      <c r="L473" s="262" t="e">
        <f t="shared" si="34"/>
        <v>#REF!</v>
      </c>
    </row>
    <row r="474" spans="1:13" x14ac:dyDescent="0.3">
      <c r="A474" s="199"/>
      <c r="B474" s="35" t="e">
        <f>#REF!</f>
        <v>#REF!</v>
      </c>
      <c r="C474" s="35" t="e">
        <f>#REF!</f>
        <v>#REF!</v>
      </c>
      <c r="D474" s="174" t="e">
        <f>#REF!</f>
        <v>#REF!</v>
      </c>
      <c r="E474" s="35">
        <v>260</v>
      </c>
      <c r="F474" s="38" t="e">
        <f>#REF!</f>
        <v>#REF!</v>
      </c>
      <c r="G474" s="256" t="e">
        <f t="shared" si="38"/>
        <v>#REF!</v>
      </c>
      <c r="H474" s="199"/>
      <c r="I474" s="188">
        <v>260</v>
      </c>
      <c r="J474" s="188"/>
      <c r="K474" s="269">
        <f t="shared" si="33"/>
        <v>260</v>
      </c>
      <c r="L474" s="262" t="e">
        <f t="shared" si="34"/>
        <v>#REF!</v>
      </c>
    </row>
    <row r="475" spans="1:13" x14ac:dyDescent="0.3">
      <c r="A475" s="35"/>
      <c r="B475" s="35" t="e">
        <f>#REF!</f>
        <v>#REF!</v>
      </c>
      <c r="C475" s="35" t="e">
        <f>#REF!</f>
        <v>#REF!</v>
      </c>
      <c r="D475" s="174" t="e">
        <f>#REF!</f>
        <v>#REF!</v>
      </c>
      <c r="E475" s="35">
        <v>1716</v>
      </c>
      <c r="F475" s="38" t="e">
        <f>#REF!</f>
        <v>#REF!</v>
      </c>
      <c r="G475" s="256" t="e">
        <f t="shared" si="38"/>
        <v>#REF!</v>
      </c>
      <c r="H475" s="199"/>
      <c r="I475" s="188">
        <f>12*143</f>
        <v>1716</v>
      </c>
      <c r="J475" s="188"/>
      <c r="K475" s="269">
        <f t="shared" si="33"/>
        <v>1716</v>
      </c>
      <c r="L475" s="262" t="e">
        <f t="shared" si="34"/>
        <v>#REF!</v>
      </c>
    </row>
    <row r="476" spans="1:13" x14ac:dyDescent="0.3">
      <c r="A476" s="199"/>
      <c r="B476" s="35" t="e">
        <f>#REF!</f>
        <v>#REF!</v>
      </c>
      <c r="C476" s="35" t="e">
        <f>#REF!</f>
        <v>#REF!</v>
      </c>
      <c r="D476" s="174" t="e">
        <f>#REF!</f>
        <v>#REF!</v>
      </c>
      <c r="E476" s="35">
        <v>25</v>
      </c>
      <c r="F476" s="38" t="e">
        <f>#REF!</f>
        <v>#REF!</v>
      </c>
      <c r="G476" s="256" t="e">
        <f t="shared" si="38"/>
        <v>#REF!</v>
      </c>
      <c r="H476" s="199"/>
      <c r="I476" s="188">
        <v>25</v>
      </c>
      <c r="J476" s="188"/>
      <c r="K476" s="269">
        <f t="shared" si="33"/>
        <v>25</v>
      </c>
      <c r="L476" s="262" t="e">
        <f t="shared" si="34"/>
        <v>#REF!</v>
      </c>
    </row>
    <row r="477" spans="1:13" x14ac:dyDescent="0.3">
      <c r="A477" s="199"/>
      <c r="B477" s="35" t="e">
        <f>#REF!</f>
        <v>#REF!</v>
      </c>
      <c r="C477" s="35" t="e">
        <f>#REF!</f>
        <v>#REF!</v>
      </c>
      <c r="D477" s="174" t="e">
        <f>#REF!</f>
        <v>#REF!</v>
      </c>
      <c r="E477" s="35">
        <v>10</v>
      </c>
      <c r="F477" s="38" t="e">
        <f>#REF!</f>
        <v>#REF!</v>
      </c>
      <c r="G477" s="256" t="e">
        <f t="shared" si="38"/>
        <v>#REF!</v>
      </c>
      <c r="H477" s="199"/>
      <c r="I477" s="188">
        <v>10</v>
      </c>
      <c r="J477" s="188"/>
      <c r="K477" s="269">
        <f t="shared" si="33"/>
        <v>10</v>
      </c>
      <c r="L477" s="262" t="e">
        <f t="shared" si="34"/>
        <v>#REF!</v>
      </c>
    </row>
    <row r="478" spans="1:13" x14ac:dyDescent="0.3">
      <c r="A478" s="35"/>
      <c r="B478" s="35" t="e">
        <f>#REF!</f>
        <v>#REF!</v>
      </c>
      <c r="C478" s="35" t="e">
        <f>#REF!</f>
        <v>#REF!</v>
      </c>
      <c r="D478" s="174" t="e">
        <f>#REF!</f>
        <v>#REF!</v>
      </c>
      <c r="E478" s="35">
        <v>10</v>
      </c>
      <c r="F478" s="38" t="e">
        <f>#REF!</f>
        <v>#REF!</v>
      </c>
      <c r="G478" s="256" t="e">
        <f t="shared" si="38"/>
        <v>#REF!</v>
      </c>
      <c r="H478" s="199"/>
      <c r="I478" s="188">
        <v>10</v>
      </c>
      <c r="J478" s="188"/>
      <c r="K478" s="269">
        <f t="shared" si="33"/>
        <v>10</v>
      </c>
      <c r="L478" s="262" t="e">
        <f t="shared" si="34"/>
        <v>#REF!</v>
      </c>
    </row>
    <row r="479" spans="1:13" x14ac:dyDescent="0.3">
      <c r="A479" s="199"/>
      <c r="B479" s="35" t="e">
        <f>#REF!</f>
        <v>#REF!</v>
      </c>
      <c r="C479" s="35" t="e">
        <f>#REF!</f>
        <v>#REF!</v>
      </c>
      <c r="D479" s="174" t="e">
        <f>#REF!</f>
        <v>#REF!</v>
      </c>
      <c r="E479" s="35">
        <v>23</v>
      </c>
      <c r="F479" s="38" t="e">
        <f>#REF!</f>
        <v>#REF!</v>
      </c>
      <c r="G479" s="256" t="e">
        <f t="shared" si="38"/>
        <v>#REF!</v>
      </c>
      <c r="H479" s="199"/>
      <c r="I479" s="188">
        <v>23</v>
      </c>
      <c r="J479" s="188"/>
      <c r="K479" s="269">
        <f t="shared" si="33"/>
        <v>23</v>
      </c>
      <c r="L479" s="262" t="e">
        <f t="shared" si="34"/>
        <v>#REF!</v>
      </c>
    </row>
    <row r="480" spans="1:13" x14ac:dyDescent="0.3">
      <c r="A480" s="199"/>
      <c r="B480" s="35" t="e">
        <f>#REF!</f>
        <v>#REF!</v>
      </c>
      <c r="C480" s="35" t="e">
        <f>#REF!</f>
        <v>#REF!</v>
      </c>
      <c r="D480" s="174" t="e">
        <f>#REF!</f>
        <v>#REF!</v>
      </c>
      <c r="E480" s="35">
        <v>13</v>
      </c>
      <c r="F480" s="38" t="e">
        <f>#REF!</f>
        <v>#REF!</v>
      </c>
      <c r="G480" s="256" t="e">
        <f t="shared" si="38"/>
        <v>#REF!</v>
      </c>
      <c r="H480" s="199"/>
      <c r="I480" s="188">
        <v>13</v>
      </c>
      <c r="J480" s="188"/>
      <c r="K480" s="269">
        <f t="shared" si="33"/>
        <v>13</v>
      </c>
      <c r="L480" s="262" t="e">
        <f t="shared" si="34"/>
        <v>#REF!</v>
      </c>
    </row>
    <row r="481" spans="1:12" x14ac:dyDescent="0.3">
      <c r="A481" s="199"/>
      <c r="B481" s="35" t="e">
        <f>#REF!</f>
        <v>#REF!</v>
      </c>
      <c r="C481" s="35" t="e">
        <f>#REF!</f>
        <v>#REF!</v>
      </c>
      <c r="D481" s="174" t="e">
        <f>#REF!</f>
        <v>#REF!</v>
      </c>
      <c r="E481" s="35">
        <v>200</v>
      </c>
      <c r="F481" s="38" t="e">
        <f>#REF!</f>
        <v>#REF!</v>
      </c>
      <c r="G481" s="256" t="e">
        <f t="shared" si="38"/>
        <v>#REF!</v>
      </c>
      <c r="H481" s="199"/>
      <c r="I481" s="188">
        <v>200</v>
      </c>
      <c r="J481" s="188"/>
      <c r="K481" s="269">
        <f t="shared" si="33"/>
        <v>200</v>
      </c>
      <c r="L481" s="262" t="e">
        <f t="shared" si="34"/>
        <v>#REF!</v>
      </c>
    </row>
    <row r="482" spans="1:12" x14ac:dyDescent="0.3">
      <c r="A482" s="199"/>
      <c r="B482" s="35" t="e">
        <f>#REF!</f>
        <v>#REF!</v>
      </c>
      <c r="C482" s="35" t="e">
        <f>#REF!</f>
        <v>#REF!</v>
      </c>
      <c r="D482" s="174" t="e">
        <f>#REF!</f>
        <v>#REF!</v>
      </c>
      <c r="E482" s="35">
        <v>50</v>
      </c>
      <c r="F482" s="38" t="e">
        <f>#REF!</f>
        <v>#REF!</v>
      </c>
      <c r="G482" s="256" t="e">
        <f t="shared" si="38"/>
        <v>#REF!</v>
      </c>
      <c r="H482" s="199"/>
      <c r="I482" s="188">
        <v>50</v>
      </c>
      <c r="J482" s="188"/>
      <c r="K482" s="269">
        <f t="shared" si="33"/>
        <v>50</v>
      </c>
      <c r="L482" s="262" t="e">
        <f t="shared" si="34"/>
        <v>#REF!</v>
      </c>
    </row>
    <row r="483" spans="1:12" x14ac:dyDescent="0.3">
      <c r="A483" s="35"/>
      <c r="B483" s="35" t="e">
        <f>#REF!</f>
        <v>#REF!</v>
      </c>
      <c r="C483" s="35" t="e">
        <f>#REF!</f>
        <v>#REF!</v>
      </c>
      <c r="D483" s="174" t="e">
        <f>#REF!</f>
        <v>#REF!</v>
      </c>
      <c r="E483" s="35">
        <v>3</v>
      </c>
      <c r="F483" s="38" t="e">
        <f>#REF!</f>
        <v>#REF!</v>
      </c>
      <c r="G483" s="256" t="e">
        <f t="shared" si="38"/>
        <v>#REF!</v>
      </c>
      <c r="H483" s="199"/>
      <c r="I483" s="188"/>
      <c r="J483" s="188"/>
      <c r="K483" s="269">
        <f t="shared" si="33"/>
        <v>0</v>
      </c>
      <c r="L483" s="262" t="e">
        <f t="shared" si="34"/>
        <v>#REF!</v>
      </c>
    </row>
    <row r="484" spans="1:12" x14ac:dyDescent="0.3">
      <c r="A484" s="35"/>
      <c r="B484" s="35" t="e">
        <f>#REF!</f>
        <v>#REF!</v>
      </c>
      <c r="C484" s="35" t="e">
        <f>#REF!</f>
        <v>#REF!</v>
      </c>
      <c r="D484" s="174" t="e">
        <f>#REF!</f>
        <v>#REF!</v>
      </c>
      <c r="E484" s="35">
        <v>10</v>
      </c>
      <c r="F484" s="38" t="e">
        <f>#REF!</f>
        <v>#REF!</v>
      </c>
      <c r="G484" s="256" t="e">
        <f t="shared" si="38"/>
        <v>#REF!</v>
      </c>
      <c r="H484" s="199"/>
      <c r="I484" s="188"/>
      <c r="J484" s="188"/>
      <c r="K484" s="269">
        <f t="shared" ref="K484:K504" si="39">H484+I484+J484</f>
        <v>0</v>
      </c>
      <c r="L484" s="262" t="e">
        <f t="shared" si="34"/>
        <v>#REF!</v>
      </c>
    </row>
    <row r="485" spans="1:12" x14ac:dyDescent="0.3">
      <c r="A485" s="35"/>
      <c r="B485" s="35" t="e">
        <f>#REF!</f>
        <v>#REF!</v>
      </c>
      <c r="C485" s="35" t="e">
        <f>#REF!</f>
        <v>#REF!</v>
      </c>
      <c r="D485" s="174" t="e">
        <f>#REF!</f>
        <v>#REF!</v>
      </c>
      <c r="E485" s="35">
        <v>13</v>
      </c>
      <c r="F485" s="38" t="e">
        <f>#REF!</f>
        <v>#REF!</v>
      </c>
      <c r="G485" s="256" t="e">
        <f t="shared" si="38"/>
        <v>#REF!</v>
      </c>
      <c r="H485" s="199"/>
      <c r="I485" s="188"/>
      <c r="J485" s="188"/>
      <c r="K485" s="269">
        <f t="shared" si="39"/>
        <v>0</v>
      </c>
      <c r="L485" s="262" t="e">
        <f t="shared" si="34"/>
        <v>#REF!</v>
      </c>
    </row>
    <row r="486" spans="1:12" x14ac:dyDescent="0.3">
      <c r="A486" s="199"/>
      <c r="B486" s="35" t="e">
        <f>#REF!</f>
        <v>#REF!</v>
      </c>
      <c r="C486" s="35" t="e">
        <f>#REF!</f>
        <v>#REF!</v>
      </c>
      <c r="D486" s="174" t="e">
        <f>#REF!</f>
        <v>#REF!</v>
      </c>
      <c r="E486" s="35">
        <v>30</v>
      </c>
      <c r="F486" s="38" t="e">
        <f>#REF!</f>
        <v>#REF!</v>
      </c>
      <c r="G486" s="256" t="e">
        <f t="shared" si="38"/>
        <v>#REF!</v>
      </c>
      <c r="H486" s="199"/>
      <c r="I486" s="188">
        <v>30</v>
      </c>
      <c r="J486" s="188"/>
      <c r="K486" s="269">
        <f t="shared" si="39"/>
        <v>30</v>
      </c>
      <c r="L486" s="262" t="e">
        <f t="shared" ref="L486:L504" si="40">K486*F486</f>
        <v>#REF!</v>
      </c>
    </row>
    <row r="487" spans="1:12" x14ac:dyDescent="0.3">
      <c r="A487" s="35"/>
      <c r="B487" s="35" t="e">
        <f>#REF!</f>
        <v>#REF!</v>
      </c>
      <c r="C487" s="35" t="e">
        <f>#REF!</f>
        <v>#REF!</v>
      </c>
      <c r="D487" s="174" t="e">
        <f>#REF!</f>
        <v>#REF!</v>
      </c>
      <c r="E487" s="35">
        <v>10</v>
      </c>
      <c r="F487" s="38" t="e">
        <f>#REF!</f>
        <v>#REF!</v>
      </c>
      <c r="G487" s="256" t="e">
        <f t="shared" si="38"/>
        <v>#REF!</v>
      </c>
      <c r="H487" s="199"/>
      <c r="I487" s="188">
        <v>10</v>
      </c>
      <c r="J487" s="188"/>
      <c r="K487" s="269">
        <f t="shared" si="39"/>
        <v>10</v>
      </c>
      <c r="L487" s="262" t="e">
        <f t="shared" si="40"/>
        <v>#REF!</v>
      </c>
    </row>
    <row r="488" spans="1:12" x14ac:dyDescent="0.3">
      <c r="A488" s="35"/>
      <c r="B488" s="35" t="e">
        <f>#REF!</f>
        <v>#REF!</v>
      </c>
      <c r="C488" s="35" t="e">
        <f>#REF!</f>
        <v>#REF!</v>
      </c>
      <c r="D488" s="174" t="e">
        <f>#REF!</f>
        <v>#REF!</v>
      </c>
      <c r="E488" s="35">
        <v>10</v>
      </c>
      <c r="F488" s="38" t="e">
        <f>#REF!</f>
        <v>#REF!</v>
      </c>
      <c r="G488" s="256" t="e">
        <f t="shared" si="38"/>
        <v>#REF!</v>
      </c>
      <c r="H488" s="199"/>
      <c r="I488" s="188">
        <v>10</v>
      </c>
      <c r="J488" s="188"/>
      <c r="K488" s="269">
        <f t="shared" si="39"/>
        <v>10</v>
      </c>
      <c r="L488" s="262" t="e">
        <f t="shared" si="40"/>
        <v>#REF!</v>
      </c>
    </row>
    <row r="489" spans="1:12" x14ac:dyDescent="0.3">
      <c r="A489" s="35"/>
      <c r="B489" s="35" t="e">
        <f>#REF!</f>
        <v>#REF!</v>
      </c>
      <c r="C489" s="35" t="e">
        <f>#REF!</f>
        <v>#REF!</v>
      </c>
      <c r="D489" s="174" t="e">
        <f>#REF!</f>
        <v>#REF!</v>
      </c>
      <c r="E489" s="35">
        <v>60</v>
      </c>
      <c r="F489" s="38" t="e">
        <f>#REF!</f>
        <v>#REF!</v>
      </c>
      <c r="G489" s="256" t="e">
        <f t="shared" si="38"/>
        <v>#REF!</v>
      </c>
      <c r="H489" s="199"/>
      <c r="I489" s="188">
        <v>60</v>
      </c>
      <c r="J489" s="188"/>
      <c r="K489" s="269">
        <f t="shared" si="39"/>
        <v>60</v>
      </c>
      <c r="L489" s="262" t="e">
        <f t="shared" si="40"/>
        <v>#REF!</v>
      </c>
    </row>
    <row r="490" spans="1:12" x14ac:dyDescent="0.3">
      <c r="A490" s="35"/>
      <c r="B490" s="35" t="e">
        <f>#REF!</f>
        <v>#REF!</v>
      </c>
      <c r="C490" s="35" t="e">
        <f>#REF!</f>
        <v>#REF!</v>
      </c>
      <c r="D490" s="174" t="e">
        <f>#REF!</f>
        <v>#REF!</v>
      </c>
      <c r="E490" s="35">
        <v>25</v>
      </c>
      <c r="F490" s="38" t="e">
        <f>#REF!</f>
        <v>#REF!</v>
      </c>
      <c r="G490" s="256" t="e">
        <f t="shared" si="38"/>
        <v>#REF!</v>
      </c>
      <c r="H490" s="199"/>
      <c r="I490" s="188"/>
      <c r="J490" s="188"/>
      <c r="K490" s="269">
        <f t="shared" si="39"/>
        <v>0</v>
      </c>
      <c r="L490" s="262" t="e">
        <f t="shared" si="40"/>
        <v>#REF!</v>
      </c>
    </row>
    <row r="491" spans="1:12" x14ac:dyDescent="0.3">
      <c r="A491" s="35"/>
      <c r="B491" s="35" t="e">
        <f>#REF!</f>
        <v>#REF!</v>
      </c>
      <c r="C491" s="35" t="e">
        <f>#REF!</f>
        <v>#REF!</v>
      </c>
      <c r="D491" s="174" t="e">
        <f>#REF!</f>
        <v>#REF!</v>
      </c>
      <c r="E491" s="35">
        <v>26</v>
      </c>
      <c r="F491" s="38" t="e">
        <f>#REF!</f>
        <v>#REF!</v>
      </c>
      <c r="G491" s="256" t="e">
        <f t="shared" si="38"/>
        <v>#REF!</v>
      </c>
      <c r="H491" s="199"/>
      <c r="I491" s="188">
        <v>26</v>
      </c>
      <c r="J491" s="188"/>
      <c r="K491" s="269">
        <f t="shared" si="39"/>
        <v>26</v>
      </c>
      <c r="L491" s="262" t="e">
        <f t="shared" si="40"/>
        <v>#REF!</v>
      </c>
    </row>
    <row r="492" spans="1:12" x14ac:dyDescent="0.3">
      <c r="A492" s="35"/>
      <c r="B492" s="35">
        <v>516</v>
      </c>
      <c r="C492" s="35" t="s">
        <v>360</v>
      </c>
      <c r="D492" s="174">
        <v>100</v>
      </c>
      <c r="E492" s="35">
        <v>3</v>
      </c>
      <c r="F492" s="38">
        <v>8126</v>
      </c>
      <c r="G492" s="256">
        <f t="shared" si="38"/>
        <v>24378</v>
      </c>
      <c r="H492" s="199">
        <v>3</v>
      </c>
      <c r="I492" s="188"/>
      <c r="J492" s="188"/>
      <c r="K492" s="269">
        <f t="shared" si="39"/>
        <v>3</v>
      </c>
      <c r="L492" s="262">
        <f t="shared" si="40"/>
        <v>24378</v>
      </c>
    </row>
    <row r="493" spans="1:12" x14ac:dyDescent="0.3">
      <c r="A493" s="35"/>
      <c r="B493" s="35" t="e">
        <f>#REF!</f>
        <v>#REF!</v>
      </c>
      <c r="C493" s="35" t="e">
        <f>#REF!</f>
        <v>#REF!</v>
      </c>
      <c r="D493" s="174" t="e">
        <f>#REF!</f>
        <v>#REF!</v>
      </c>
      <c r="E493" s="35">
        <v>46</v>
      </c>
      <c r="F493" s="38" t="e">
        <f>#REF!</f>
        <v>#REF!</v>
      </c>
      <c r="G493" s="256" t="e">
        <f t="shared" si="38"/>
        <v>#REF!</v>
      </c>
      <c r="H493" s="199"/>
      <c r="I493" s="188"/>
      <c r="J493" s="188"/>
      <c r="K493" s="269">
        <f t="shared" si="39"/>
        <v>0</v>
      </c>
      <c r="L493" s="262" t="e">
        <f t="shared" si="40"/>
        <v>#REF!</v>
      </c>
    </row>
    <row r="494" spans="1:12" x14ac:dyDescent="0.3">
      <c r="A494" s="35"/>
      <c r="B494" s="35">
        <v>381</v>
      </c>
      <c r="C494" s="35" t="s">
        <v>331</v>
      </c>
      <c r="D494" s="174" t="s">
        <v>333</v>
      </c>
      <c r="E494" s="35">
        <v>30</v>
      </c>
      <c r="F494" s="38">
        <v>964</v>
      </c>
      <c r="G494" s="256">
        <f t="shared" si="38"/>
        <v>28920</v>
      </c>
      <c r="H494" s="199">
        <v>30</v>
      </c>
      <c r="I494" s="188"/>
      <c r="J494" s="188"/>
      <c r="K494" s="269">
        <f t="shared" si="39"/>
        <v>30</v>
      </c>
      <c r="L494" s="262">
        <f t="shared" si="40"/>
        <v>28920</v>
      </c>
    </row>
    <row r="495" spans="1:12" x14ac:dyDescent="0.3">
      <c r="A495" s="35"/>
      <c r="B495" s="35" t="e">
        <f>#REF!</f>
        <v>#REF!</v>
      </c>
      <c r="C495" s="35" t="e">
        <f>#REF!</f>
        <v>#REF!</v>
      </c>
      <c r="D495" s="174" t="e">
        <f>#REF!</f>
        <v>#REF!</v>
      </c>
      <c r="E495" s="35">
        <v>13</v>
      </c>
      <c r="F495" s="38" t="e">
        <f>#REF!</f>
        <v>#REF!</v>
      </c>
      <c r="G495" s="256" t="e">
        <f t="shared" si="38"/>
        <v>#REF!</v>
      </c>
      <c r="H495" s="199">
        <v>13</v>
      </c>
      <c r="I495" s="188"/>
      <c r="J495" s="188"/>
      <c r="K495" s="269">
        <f t="shared" si="39"/>
        <v>13</v>
      </c>
      <c r="L495" s="262" t="e">
        <f t="shared" si="40"/>
        <v>#REF!</v>
      </c>
    </row>
    <row r="496" spans="1:12" x14ac:dyDescent="0.3">
      <c r="A496" s="35"/>
      <c r="B496" s="35" t="e">
        <f>#REF!</f>
        <v>#REF!</v>
      </c>
      <c r="C496" s="35" t="e">
        <f>#REF!</f>
        <v>#REF!</v>
      </c>
      <c r="D496" s="174" t="e">
        <f>#REF!</f>
        <v>#REF!</v>
      </c>
      <c r="E496" s="35">
        <v>50</v>
      </c>
      <c r="F496" s="38" t="e">
        <f>#REF!</f>
        <v>#REF!</v>
      </c>
      <c r="G496" s="256" t="e">
        <f t="shared" si="38"/>
        <v>#REF!</v>
      </c>
      <c r="H496" s="199">
        <v>50</v>
      </c>
      <c r="I496" s="188"/>
      <c r="J496" s="188"/>
      <c r="K496" s="269">
        <f t="shared" si="39"/>
        <v>50</v>
      </c>
      <c r="L496" s="262" t="e">
        <f t="shared" si="40"/>
        <v>#REF!</v>
      </c>
    </row>
    <row r="497" spans="1:13" x14ac:dyDescent="0.3">
      <c r="A497" s="35"/>
      <c r="B497" s="35" t="e">
        <f>#REF!</f>
        <v>#REF!</v>
      </c>
      <c r="C497" s="35" t="e">
        <f>#REF!</f>
        <v>#REF!</v>
      </c>
      <c r="D497" s="174" t="e">
        <f>#REF!</f>
        <v>#REF!</v>
      </c>
      <c r="E497" s="35">
        <v>75</v>
      </c>
      <c r="F497" s="38" t="e">
        <f>#REF!</f>
        <v>#REF!</v>
      </c>
      <c r="G497" s="256" t="e">
        <f t="shared" si="38"/>
        <v>#REF!</v>
      </c>
      <c r="H497" s="199">
        <v>75</v>
      </c>
      <c r="I497" s="188"/>
      <c r="J497" s="188"/>
      <c r="K497" s="269">
        <f t="shared" si="39"/>
        <v>75</v>
      </c>
      <c r="L497" s="262" t="e">
        <f t="shared" si="40"/>
        <v>#REF!</v>
      </c>
      <c r="M497" s="366" t="e">
        <f>SUM(L469:L497)</f>
        <v>#REF!</v>
      </c>
    </row>
    <row r="498" spans="1:13" x14ac:dyDescent="0.3">
      <c r="A498" s="35"/>
      <c r="B498" s="35"/>
      <c r="C498" s="188"/>
      <c r="D498" s="181"/>
      <c r="E498" s="189"/>
      <c r="F498" s="190"/>
      <c r="G498" s="193"/>
      <c r="H498" s="199"/>
      <c r="I498" s="188"/>
      <c r="J498" s="188"/>
      <c r="K498" s="269">
        <f t="shared" si="39"/>
        <v>0</v>
      </c>
      <c r="L498" s="262">
        <f t="shared" si="40"/>
        <v>0</v>
      </c>
    </row>
    <row r="499" spans="1:13" x14ac:dyDescent="0.3">
      <c r="A499" s="35"/>
      <c r="B499" s="35"/>
      <c r="C499" s="188"/>
      <c r="D499" s="181"/>
      <c r="E499" s="189"/>
      <c r="F499" s="190"/>
      <c r="G499" s="193"/>
      <c r="H499" s="199"/>
      <c r="I499" s="188"/>
      <c r="J499" s="188"/>
      <c r="K499" s="269">
        <f t="shared" si="39"/>
        <v>0</v>
      </c>
      <c r="L499" s="262">
        <f t="shared" si="40"/>
        <v>0</v>
      </c>
    </row>
    <row r="500" spans="1:13" x14ac:dyDescent="0.3">
      <c r="A500" s="35"/>
      <c r="B500" s="35"/>
      <c r="C500" s="188"/>
      <c r="D500" s="181"/>
      <c r="E500" s="189"/>
      <c r="F500" s="190"/>
      <c r="G500" s="193"/>
      <c r="H500" s="199"/>
      <c r="I500" s="188"/>
      <c r="J500" s="188"/>
      <c r="K500" s="269">
        <f t="shared" si="39"/>
        <v>0</v>
      </c>
      <c r="L500" s="262">
        <f t="shared" si="40"/>
        <v>0</v>
      </c>
    </row>
    <row r="501" spans="1:13" ht="23.25" x14ac:dyDescent="0.35">
      <c r="A501" s="35">
        <v>41</v>
      </c>
      <c r="B501" s="35"/>
      <c r="C501" s="77" t="s">
        <v>906</v>
      </c>
      <c r="D501" s="181"/>
      <c r="E501" s="189"/>
      <c r="F501" s="190"/>
      <c r="G501" s="193"/>
      <c r="H501" s="199"/>
      <c r="I501" s="188"/>
      <c r="J501" s="188"/>
      <c r="K501" s="269">
        <f t="shared" si="39"/>
        <v>0</v>
      </c>
      <c r="L501" s="262">
        <f t="shared" si="40"/>
        <v>0</v>
      </c>
    </row>
    <row r="502" spans="1:13" x14ac:dyDescent="0.3">
      <c r="A502" s="35"/>
      <c r="B502" s="35" t="e">
        <f>#REF!</f>
        <v>#REF!</v>
      </c>
      <c r="C502" s="35" t="e">
        <f>#REF!</f>
        <v>#REF!</v>
      </c>
      <c r="D502" s="174" t="e">
        <f>#REF!</f>
        <v>#REF!</v>
      </c>
      <c r="E502" s="35">
        <v>5</v>
      </c>
      <c r="F502" s="38" t="e">
        <f>#REF!</f>
        <v>#REF!</v>
      </c>
      <c r="G502" s="256" t="e">
        <f>E502*F502</f>
        <v>#REF!</v>
      </c>
      <c r="H502" s="199"/>
      <c r="I502" s="188"/>
      <c r="J502" s="188"/>
      <c r="K502" s="269">
        <f t="shared" si="39"/>
        <v>0</v>
      </c>
      <c r="L502" s="262" t="e">
        <f t="shared" si="40"/>
        <v>#REF!</v>
      </c>
    </row>
    <row r="503" spans="1:13" x14ac:dyDescent="0.3">
      <c r="A503" s="35"/>
      <c r="B503" s="35" t="e">
        <f>#REF!</f>
        <v>#REF!</v>
      </c>
      <c r="C503" s="35" t="e">
        <f>#REF!</f>
        <v>#REF!</v>
      </c>
      <c r="D503" s="174" t="e">
        <f>#REF!</f>
        <v>#REF!</v>
      </c>
      <c r="E503" s="35">
        <v>43</v>
      </c>
      <c r="F503" s="38" t="e">
        <f>#REF!</f>
        <v>#REF!</v>
      </c>
      <c r="G503" s="256" t="e">
        <f>E503*F503</f>
        <v>#REF!</v>
      </c>
      <c r="H503" s="199"/>
      <c r="I503" s="188"/>
      <c r="J503" s="188"/>
      <c r="K503" s="269">
        <f t="shared" si="39"/>
        <v>0</v>
      </c>
      <c r="L503" s="262" t="e">
        <f t="shared" si="40"/>
        <v>#REF!</v>
      </c>
    </row>
    <row r="504" spans="1:13" ht="19.5" thickBot="1" x14ac:dyDescent="0.35">
      <c r="A504" s="35"/>
      <c r="B504" s="35" t="e">
        <f>#REF!</f>
        <v>#REF!</v>
      </c>
      <c r="C504" s="35" t="e">
        <f>#REF!</f>
        <v>#REF!</v>
      </c>
      <c r="D504" s="174" t="e">
        <f>#REF!</f>
        <v>#REF!</v>
      </c>
      <c r="E504" s="35">
        <v>52</v>
      </c>
      <c r="F504" s="38" t="e">
        <f>#REF!</f>
        <v>#REF!</v>
      </c>
      <c r="G504" s="256" t="e">
        <f>E504*F504</f>
        <v>#REF!</v>
      </c>
      <c r="H504" s="202">
        <v>52</v>
      </c>
      <c r="I504" s="271"/>
      <c r="J504" s="271"/>
      <c r="K504" s="272">
        <f t="shared" si="39"/>
        <v>52</v>
      </c>
      <c r="L504" s="262" t="e">
        <f t="shared" si="40"/>
        <v>#REF!</v>
      </c>
      <c r="M504" s="366" t="e">
        <f>SUM(L502:L504)</f>
        <v>#REF!</v>
      </c>
    </row>
    <row r="505" spans="1:13" x14ac:dyDescent="0.3">
      <c r="A505" s="35"/>
      <c r="B505" s="35"/>
      <c r="C505" s="188"/>
      <c r="D505" s="181"/>
      <c r="E505" s="189"/>
      <c r="F505" s="190"/>
      <c r="G505" s="191"/>
      <c r="H505" s="264"/>
      <c r="I505" s="264"/>
      <c r="J505" s="264"/>
      <c r="K505" s="264"/>
      <c r="L505" s="188"/>
    </row>
    <row r="506" spans="1:13" ht="19.5" thickBot="1" x14ac:dyDescent="0.35">
      <c r="A506" s="35"/>
      <c r="B506" s="35"/>
      <c r="C506" s="188"/>
      <c r="D506" s="181"/>
      <c r="E506" s="189"/>
      <c r="F506" s="190"/>
      <c r="G506" s="191"/>
    </row>
    <row r="507" spans="1:13" ht="27" thickBot="1" x14ac:dyDescent="0.45">
      <c r="A507" s="35"/>
      <c r="B507" s="35"/>
      <c r="C507" s="188"/>
      <c r="D507" s="181"/>
      <c r="E507" s="189"/>
      <c r="F507" s="190"/>
      <c r="G507" s="194" t="e">
        <f>SUM(G7:G505)</f>
        <v>#REF!</v>
      </c>
      <c r="L507" s="194" t="e">
        <f>SUM(L7:L505)</f>
        <v>#REF!</v>
      </c>
    </row>
    <row r="509" spans="1:13" ht="19.5" thickBot="1" x14ac:dyDescent="0.35"/>
    <row r="510" spans="1:13" ht="27" thickBot="1" x14ac:dyDescent="0.45">
      <c r="C510" s="67" t="s">
        <v>1072</v>
      </c>
      <c r="D510" s="889" t="e">
        <f>G507</f>
        <v>#REF!</v>
      </c>
      <c r="E510" s="890"/>
    </row>
    <row r="511" spans="1:13" ht="19.5" thickBot="1" x14ac:dyDescent="0.35"/>
    <row r="512" spans="1:13" ht="27" thickBot="1" x14ac:dyDescent="0.45">
      <c r="C512" s="67" t="s">
        <v>1073</v>
      </c>
      <c r="D512" s="889" t="e">
        <f>G507-L507</f>
        <v>#REF!</v>
      </c>
      <c r="E512" s="890"/>
    </row>
    <row r="513" spans="3:5" ht="19.5" thickBot="1" x14ac:dyDescent="0.35"/>
    <row r="514" spans="3:5" ht="27" thickBot="1" x14ac:dyDescent="0.45">
      <c r="C514" s="67" t="s">
        <v>1074</v>
      </c>
      <c r="D514" s="884" t="e">
        <f>L507/G507</f>
        <v>#REF!</v>
      </c>
      <c r="E514" s="885"/>
    </row>
  </sheetData>
  <protectedRanges>
    <protectedRange sqref="A474 A476:A477 A486 A479:A482 A470:A472 H7:J504" name="Range1"/>
  </protectedRanges>
  <mergeCells count="6">
    <mergeCell ref="D514:E514"/>
    <mergeCell ref="A1:G1"/>
    <mergeCell ref="A2:G2"/>
    <mergeCell ref="H4:J4"/>
    <mergeCell ref="D510:E510"/>
    <mergeCell ref="D512:E512"/>
  </mergeCells>
  <pageMargins left="0.25" right="0.25" top="0.27" bottom="0.32" header="0.3" footer="0.3"/>
  <pageSetup paperSize="9" scale="66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K165"/>
  <sheetViews>
    <sheetView view="pageBreakPreview" zoomScale="60" zoomScaleNormal="70" workbookViewId="0">
      <pane xSplit="8" ySplit="3" topLeftCell="I147" activePane="bottomRight" state="frozen"/>
      <selection activeCell="F100" sqref="F100"/>
      <selection pane="topRight" activeCell="F100" sqref="F100"/>
      <selection pane="bottomLeft" activeCell="F100" sqref="F100"/>
      <selection pane="bottomRight" activeCell="F100" sqref="F100"/>
    </sheetView>
  </sheetViews>
  <sheetFormatPr defaultRowHeight="18.75" x14ac:dyDescent="0.3"/>
  <cols>
    <col min="3" max="3" width="77.5703125" customWidth="1"/>
    <col min="4" max="4" width="9.140625" style="26"/>
    <col min="5" max="5" width="16.28515625" customWidth="1"/>
    <col min="6" max="6" width="17.7109375" style="27" bestFit="1" customWidth="1"/>
    <col min="7" max="7" width="21" style="27" customWidth="1"/>
    <col min="8" max="8" width="21.7109375" style="42" customWidth="1"/>
    <col min="9" max="9" width="4.28515625" style="42" customWidth="1"/>
    <col min="10" max="10" width="18.5703125" customWidth="1"/>
    <col min="11" max="11" width="20.28515625" customWidth="1"/>
  </cols>
  <sheetData>
    <row r="1" spans="1:11" ht="28.5" customHeight="1" x14ac:dyDescent="0.25">
      <c r="A1" s="876" t="s">
        <v>1199</v>
      </c>
      <c r="B1" s="876"/>
      <c r="C1" s="876"/>
      <c r="D1" s="876"/>
      <c r="E1" s="876"/>
      <c r="F1" s="876"/>
      <c r="G1" s="876"/>
      <c r="H1" s="876"/>
      <c r="I1" s="295"/>
    </row>
    <row r="2" spans="1:11" ht="19.5" thickBot="1" x14ac:dyDescent="0.35"/>
    <row r="3" spans="1:11" s="2" customFormat="1" ht="97.5" customHeight="1" x14ac:dyDescent="0.25">
      <c r="A3" s="296" t="s">
        <v>658</v>
      </c>
      <c r="B3" s="266" t="s">
        <v>659</v>
      </c>
      <c r="C3" s="266" t="s">
        <v>660</v>
      </c>
      <c r="D3" s="266" t="s">
        <v>500</v>
      </c>
      <c r="E3" s="297" t="s">
        <v>1078</v>
      </c>
      <c r="F3" s="298" t="s">
        <v>661</v>
      </c>
      <c r="G3" s="299" t="s">
        <v>550</v>
      </c>
      <c r="H3" s="267" t="s">
        <v>1109</v>
      </c>
      <c r="I3" s="24"/>
      <c r="J3" s="265" t="s">
        <v>1069</v>
      </c>
      <c r="K3" s="267" t="s">
        <v>1071</v>
      </c>
    </row>
    <row r="4" spans="1:11" s="2" customFormat="1" ht="30.75" customHeight="1" x14ac:dyDescent="0.25">
      <c r="A4" s="321"/>
      <c r="B4" s="292"/>
      <c r="C4" s="292"/>
      <c r="D4" s="292"/>
      <c r="E4" s="322"/>
      <c r="F4" s="219"/>
      <c r="G4" s="212"/>
      <c r="H4" s="323"/>
      <c r="I4" s="24"/>
      <c r="J4" s="324"/>
      <c r="K4" s="323"/>
    </row>
    <row r="5" spans="1:11" s="304" customFormat="1" ht="21" x14ac:dyDescent="0.35">
      <c r="A5" s="270">
        <v>1</v>
      </c>
      <c r="B5" s="68"/>
      <c r="C5" s="68" t="s">
        <v>1097</v>
      </c>
      <c r="D5" s="300"/>
      <c r="E5" s="68"/>
      <c r="F5" s="76"/>
      <c r="G5" s="76"/>
      <c r="H5" s="301"/>
      <c r="I5" s="67"/>
      <c r="J5" s="316"/>
      <c r="K5" s="317"/>
    </row>
    <row r="6" spans="1:11" s="304" customFormat="1" ht="21" x14ac:dyDescent="0.35">
      <c r="A6" s="270"/>
      <c r="B6" s="68">
        <v>255</v>
      </c>
      <c r="C6" s="68" t="s">
        <v>182</v>
      </c>
      <c r="D6" s="300" t="s">
        <v>57</v>
      </c>
      <c r="E6" s="68">
        <v>50</v>
      </c>
      <c r="F6" s="76">
        <v>2800</v>
      </c>
      <c r="G6" s="76">
        <f>E6*F6</f>
        <v>140000</v>
      </c>
      <c r="H6" s="305"/>
      <c r="I6" s="306"/>
      <c r="J6" s="316">
        <v>50</v>
      </c>
      <c r="K6" s="320">
        <f>J6*F6</f>
        <v>140000</v>
      </c>
    </row>
    <row r="7" spans="1:11" s="304" customFormat="1" ht="21" x14ac:dyDescent="0.35">
      <c r="A7" s="270"/>
      <c r="B7" s="68">
        <v>208</v>
      </c>
      <c r="C7" s="23" t="s">
        <v>153</v>
      </c>
      <c r="D7" s="300">
        <v>10</v>
      </c>
      <c r="E7" s="68">
        <v>13</v>
      </c>
      <c r="F7" s="76">
        <v>2300</v>
      </c>
      <c r="G7" s="76">
        <f>E7*F7</f>
        <v>29900</v>
      </c>
      <c r="H7" s="305">
        <f>SUM(G6:G7)</f>
        <v>169900</v>
      </c>
      <c r="I7" s="306"/>
      <c r="J7" s="316">
        <v>13</v>
      </c>
      <c r="K7" s="320">
        <f t="shared" ref="K7:K63" si="0">J7*F7</f>
        <v>29900</v>
      </c>
    </row>
    <row r="8" spans="1:11" s="304" customFormat="1" ht="21" x14ac:dyDescent="0.35">
      <c r="A8" s="270"/>
      <c r="B8" s="68"/>
      <c r="C8" s="68"/>
      <c r="D8" s="300"/>
      <c r="E8" s="68"/>
      <c r="F8" s="76"/>
      <c r="G8" s="76"/>
      <c r="H8" s="301"/>
      <c r="I8" s="67"/>
      <c r="J8" s="316"/>
      <c r="K8" s="320">
        <f t="shared" si="0"/>
        <v>0</v>
      </c>
    </row>
    <row r="9" spans="1:11" s="304" customFormat="1" ht="21" x14ac:dyDescent="0.35">
      <c r="A9" s="270">
        <v>2</v>
      </c>
      <c r="B9" s="68"/>
      <c r="C9" s="68" t="s">
        <v>1180</v>
      </c>
      <c r="D9" s="300"/>
      <c r="E9" s="68"/>
      <c r="F9" s="76"/>
      <c r="G9" s="76"/>
      <c r="H9" s="301"/>
      <c r="I9" s="67"/>
      <c r="J9" s="316"/>
      <c r="K9" s="320">
        <f t="shared" si="0"/>
        <v>0</v>
      </c>
    </row>
    <row r="10" spans="1:11" s="304" customFormat="1" ht="21" x14ac:dyDescent="0.35">
      <c r="A10" s="270"/>
      <c r="B10" s="68">
        <v>165</v>
      </c>
      <c r="C10" s="68" t="s">
        <v>447</v>
      </c>
      <c r="D10" s="300" t="s">
        <v>57</v>
      </c>
      <c r="E10" s="68">
        <v>50</v>
      </c>
      <c r="F10" s="76">
        <v>272.8</v>
      </c>
      <c r="G10" s="76">
        <f>E10*F10</f>
        <v>13640</v>
      </c>
      <c r="H10" s="305">
        <f>SUM(G10:G10)</f>
        <v>13640</v>
      </c>
      <c r="I10" s="306"/>
      <c r="J10" s="316"/>
      <c r="K10" s="320">
        <f t="shared" si="0"/>
        <v>0</v>
      </c>
    </row>
    <row r="11" spans="1:11" s="304" customFormat="1" ht="21" x14ac:dyDescent="0.35">
      <c r="A11" s="270"/>
      <c r="B11" s="68"/>
      <c r="C11" s="68"/>
      <c r="D11" s="300"/>
      <c r="E11" s="68"/>
      <c r="F11" s="76"/>
      <c r="G11" s="76"/>
      <c r="H11" s="305"/>
      <c r="I11" s="306"/>
      <c r="J11" s="316"/>
      <c r="K11" s="320">
        <f t="shared" si="0"/>
        <v>0</v>
      </c>
    </row>
    <row r="12" spans="1:11" s="304" customFormat="1" ht="21" x14ac:dyDescent="0.35">
      <c r="A12" s="270">
        <v>3</v>
      </c>
      <c r="B12" s="68"/>
      <c r="C12" s="68" t="s">
        <v>877</v>
      </c>
      <c r="D12" s="300"/>
      <c r="E12" s="68"/>
      <c r="F12" s="76"/>
      <c r="G12" s="76"/>
      <c r="H12" s="301"/>
      <c r="I12" s="67"/>
      <c r="J12" s="316"/>
      <c r="K12" s="320">
        <f t="shared" si="0"/>
        <v>0</v>
      </c>
    </row>
    <row r="13" spans="1:11" s="304" customFormat="1" ht="21" x14ac:dyDescent="0.35">
      <c r="A13" s="270"/>
      <c r="B13" s="68">
        <v>42</v>
      </c>
      <c r="C13" s="68" t="s">
        <v>1100</v>
      </c>
      <c r="D13" s="300">
        <v>30</v>
      </c>
      <c r="E13" s="68">
        <v>75</v>
      </c>
      <c r="F13" s="76">
        <v>500</v>
      </c>
      <c r="G13" s="76">
        <f>E13*F13</f>
        <v>37500</v>
      </c>
      <c r="H13" s="301"/>
      <c r="I13" s="67"/>
      <c r="J13" s="316">
        <v>75</v>
      </c>
      <c r="K13" s="320">
        <f t="shared" si="0"/>
        <v>37500</v>
      </c>
    </row>
    <row r="14" spans="1:11" s="304" customFormat="1" ht="21" x14ac:dyDescent="0.35">
      <c r="A14" s="270"/>
      <c r="B14" s="68">
        <v>103</v>
      </c>
      <c r="C14" s="68" t="s">
        <v>1186</v>
      </c>
      <c r="D14" s="300">
        <v>100</v>
      </c>
      <c r="E14" s="68">
        <v>75</v>
      </c>
      <c r="F14" s="76">
        <v>1500</v>
      </c>
      <c r="G14" s="76">
        <f>E14*F14</f>
        <v>112500</v>
      </c>
      <c r="H14" s="305">
        <f>SUM(G13:G14)</f>
        <v>150000</v>
      </c>
      <c r="I14" s="306"/>
      <c r="J14" s="316">
        <v>75</v>
      </c>
      <c r="K14" s="320">
        <f t="shared" si="0"/>
        <v>112500</v>
      </c>
    </row>
    <row r="15" spans="1:11" s="304" customFormat="1" ht="21" x14ac:dyDescent="0.35">
      <c r="A15" s="270"/>
      <c r="B15" s="68"/>
      <c r="C15" s="68"/>
      <c r="D15" s="300"/>
      <c r="E15" s="68"/>
      <c r="F15" s="76"/>
      <c r="G15" s="76"/>
      <c r="H15" s="301"/>
      <c r="I15" s="67"/>
      <c r="J15" s="316"/>
      <c r="K15" s="320">
        <f t="shared" si="0"/>
        <v>0</v>
      </c>
    </row>
    <row r="16" spans="1:11" s="304" customFormat="1" ht="21" x14ac:dyDescent="0.35">
      <c r="A16" s="270">
        <v>4</v>
      </c>
      <c r="B16" s="68"/>
      <c r="C16" s="68" t="s">
        <v>1182</v>
      </c>
      <c r="D16" s="300"/>
      <c r="E16" s="68"/>
      <c r="F16" s="76"/>
      <c r="G16" s="76"/>
      <c r="H16" s="301"/>
      <c r="I16" s="67"/>
      <c r="J16" s="316"/>
      <c r="K16" s="320">
        <f t="shared" si="0"/>
        <v>0</v>
      </c>
    </row>
    <row r="17" spans="1:11" s="304" customFormat="1" ht="21" x14ac:dyDescent="0.35">
      <c r="A17" s="270"/>
      <c r="B17" s="68">
        <v>387</v>
      </c>
      <c r="C17" s="68" t="s">
        <v>285</v>
      </c>
      <c r="D17" s="300">
        <v>1000</v>
      </c>
      <c r="E17" s="68">
        <v>5</v>
      </c>
      <c r="F17" s="76">
        <v>310</v>
      </c>
      <c r="G17" s="76">
        <f>E17*F17</f>
        <v>1550</v>
      </c>
      <c r="H17" s="305"/>
      <c r="I17" s="306"/>
      <c r="J17" s="316">
        <v>5</v>
      </c>
      <c r="K17" s="320">
        <f t="shared" si="0"/>
        <v>1550</v>
      </c>
    </row>
    <row r="18" spans="1:11" s="304" customFormat="1" ht="21" x14ac:dyDescent="0.35">
      <c r="A18" s="270"/>
      <c r="B18" s="68">
        <v>254</v>
      </c>
      <c r="C18" s="68" t="s">
        <v>180</v>
      </c>
      <c r="D18" s="300">
        <v>1000</v>
      </c>
      <c r="E18" s="68">
        <v>20</v>
      </c>
      <c r="F18" s="76">
        <v>800</v>
      </c>
      <c r="G18" s="76">
        <f>E18*F18</f>
        <v>16000</v>
      </c>
      <c r="H18" s="301"/>
      <c r="I18" s="67"/>
      <c r="J18" s="316">
        <v>20</v>
      </c>
      <c r="K18" s="320">
        <f t="shared" si="0"/>
        <v>16000</v>
      </c>
    </row>
    <row r="19" spans="1:11" s="304" customFormat="1" ht="21" x14ac:dyDescent="0.35">
      <c r="A19" s="270"/>
      <c r="B19" s="68">
        <v>276</v>
      </c>
      <c r="C19" s="68" t="s">
        <v>1183</v>
      </c>
      <c r="D19" s="300">
        <v>1000</v>
      </c>
      <c r="E19" s="68">
        <v>20</v>
      </c>
      <c r="F19" s="76">
        <v>500.46</v>
      </c>
      <c r="G19" s="76">
        <f>E19*F19</f>
        <v>10009.199999999999</v>
      </c>
      <c r="H19" s="305">
        <f>SUM(G17:G19)</f>
        <v>27559.199999999997</v>
      </c>
      <c r="I19" s="306"/>
      <c r="J19" s="316">
        <v>20</v>
      </c>
      <c r="K19" s="320">
        <f t="shared" si="0"/>
        <v>10009.199999999999</v>
      </c>
    </row>
    <row r="20" spans="1:11" s="304" customFormat="1" ht="21" x14ac:dyDescent="0.35">
      <c r="A20" s="270"/>
      <c r="B20" s="68"/>
      <c r="C20" s="68"/>
      <c r="D20" s="300"/>
      <c r="E20" s="68"/>
      <c r="F20" s="76"/>
      <c r="G20" s="76"/>
      <c r="H20" s="301"/>
      <c r="I20" s="67"/>
      <c r="J20" s="316"/>
      <c r="K20" s="320">
        <f t="shared" si="0"/>
        <v>0</v>
      </c>
    </row>
    <row r="21" spans="1:11" s="304" customFormat="1" ht="21" x14ac:dyDescent="0.35">
      <c r="A21" s="270">
        <v>5</v>
      </c>
      <c r="B21" s="68"/>
      <c r="C21" s="68" t="s">
        <v>876</v>
      </c>
      <c r="D21" s="300"/>
      <c r="E21" s="68"/>
      <c r="F21" s="76"/>
      <c r="G21" s="76"/>
      <c r="H21" s="301"/>
      <c r="I21" s="67"/>
      <c r="J21" s="316"/>
      <c r="K21" s="320">
        <f t="shared" si="0"/>
        <v>0</v>
      </c>
    </row>
    <row r="22" spans="1:11" s="304" customFormat="1" ht="21" x14ac:dyDescent="0.35">
      <c r="A22" s="270"/>
      <c r="B22" s="68">
        <v>471</v>
      </c>
      <c r="C22" s="68" t="s">
        <v>344</v>
      </c>
      <c r="D22" s="300">
        <v>100</v>
      </c>
      <c r="E22" s="68">
        <v>10</v>
      </c>
      <c r="F22" s="76">
        <v>330</v>
      </c>
      <c r="G22" s="76">
        <f t="shared" ref="G22:G50" si="1">E22*F22</f>
        <v>3300</v>
      </c>
      <c r="H22" s="301"/>
      <c r="I22" s="67"/>
      <c r="J22" s="316">
        <v>10</v>
      </c>
      <c r="K22" s="320">
        <f t="shared" si="0"/>
        <v>3300</v>
      </c>
    </row>
    <row r="23" spans="1:11" s="304" customFormat="1" ht="21" x14ac:dyDescent="0.35">
      <c r="A23" s="270"/>
      <c r="B23" s="68">
        <v>472</v>
      </c>
      <c r="C23" s="68" t="s">
        <v>345</v>
      </c>
      <c r="D23" s="300">
        <v>100</v>
      </c>
      <c r="E23" s="68">
        <v>10</v>
      </c>
      <c r="F23" s="76">
        <v>460</v>
      </c>
      <c r="G23" s="76">
        <f t="shared" si="1"/>
        <v>4600</v>
      </c>
      <c r="H23" s="301"/>
      <c r="I23" s="67"/>
      <c r="J23" s="316">
        <v>10</v>
      </c>
      <c r="K23" s="320">
        <f t="shared" si="0"/>
        <v>4600</v>
      </c>
    </row>
    <row r="24" spans="1:11" s="304" customFormat="1" ht="21" x14ac:dyDescent="0.35">
      <c r="A24" s="270"/>
      <c r="B24" s="68">
        <v>112</v>
      </c>
      <c r="C24" s="68" t="s">
        <v>1185</v>
      </c>
      <c r="D24" s="300">
        <v>28</v>
      </c>
      <c r="E24" s="68">
        <v>20</v>
      </c>
      <c r="F24" s="76">
        <v>380</v>
      </c>
      <c r="G24" s="76">
        <f t="shared" si="1"/>
        <v>7600</v>
      </c>
      <c r="H24" s="301"/>
      <c r="I24" s="67"/>
      <c r="J24" s="316">
        <v>20</v>
      </c>
      <c r="K24" s="320">
        <f t="shared" si="0"/>
        <v>7600</v>
      </c>
    </row>
    <row r="25" spans="1:11" s="304" customFormat="1" ht="21" x14ac:dyDescent="0.35">
      <c r="A25" s="270"/>
      <c r="B25" s="68">
        <v>2</v>
      </c>
      <c r="C25" s="68" t="s">
        <v>4</v>
      </c>
      <c r="D25" s="300">
        <v>6</v>
      </c>
      <c r="E25" s="68">
        <v>20</v>
      </c>
      <c r="F25" s="76">
        <v>160</v>
      </c>
      <c r="G25" s="76">
        <f t="shared" si="1"/>
        <v>3200</v>
      </c>
      <c r="H25" s="301"/>
      <c r="I25" s="67"/>
      <c r="J25" s="316">
        <v>20</v>
      </c>
      <c r="K25" s="320">
        <f t="shared" si="0"/>
        <v>3200</v>
      </c>
    </row>
    <row r="26" spans="1:11" s="304" customFormat="1" ht="21" x14ac:dyDescent="0.35">
      <c r="A26" s="270"/>
      <c r="B26" s="68">
        <v>3</v>
      </c>
      <c r="C26" s="68" t="s">
        <v>1102</v>
      </c>
      <c r="D26" s="300" t="s">
        <v>144</v>
      </c>
      <c r="E26" s="68">
        <v>20</v>
      </c>
      <c r="F26" s="76">
        <v>280</v>
      </c>
      <c r="G26" s="76">
        <f t="shared" si="1"/>
        <v>5600</v>
      </c>
      <c r="H26" s="301"/>
      <c r="I26" s="67"/>
      <c r="J26" s="316">
        <v>20</v>
      </c>
      <c r="K26" s="320">
        <f t="shared" si="0"/>
        <v>5600</v>
      </c>
    </row>
    <row r="27" spans="1:11" s="304" customFormat="1" ht="21" x14ac:dyDescent="0.35">
      <c r="A27" s="270"/>
      <c r="B27" s="68">
        <v>346</v>
      </c>
      <c r="C27" s="68" t="s">
        <v>1158</v>
      </c>
      <c r="D27" s="300">
        <v>100</v>
      </c>
      <c r="E27" s="68">
        <v>1</v>
      </c>
      <c r="F27" s="76">
        <v>27000</v>
      </c>
      <c r="G27" s="76">
        <f t="shared" si="1"/>
        <v>27000</v>
      </c>
      <c r="H27" s="301"/>
      <c r="I27" s="67"/>
      <c r="J27" s="316">
        <v>1</v>
      </c>
      <c r="K27" s="320">
        <f t="shared" si="0"/>
        <v>27000</v>
      </c>
    </row>
    <row r="28" spans="1:11" s="304" customFormat="1" ht="21" x14ac:dyDescent="0.35">
      <c r="A28" s="270"/>
      <c r="B28" s="68">
        <v>477</v>
      </c>
      <c r="C28" s="68" t="s">
        <v>1159</v>
      </c>
      <c r="D28" s="300">
        <v>50</v>
      </c>
      <c r="E28" s="68">
        <v>20</v>
      </c>
      <c r="F28" s="76">
        <v>1900</v>
      </c>
      <c r="G28" s="76">
        <f t="shared" si="1"/>
        <v>38000</v>
      </c>
      <c r="H28" s="301"/>
      <c r="I28" s="67"/>
      <c r="J28" s="316">
        <v>20</v>
      </c>
      <c r="K28" s="320">
        <f t="shared" si="0"/>
        <v>38000</v>
      </c>
    </row>
    <row r="29" spans="1:11" s="304" customFormat="1" ht="21" x14ac:dyDescent="0.35">
      <c r="A29" s="270"/>
      <c r="B29" s="68">
        <v>476</v>
      </c>
      <c r="C29" s="68" t="s">
        <v>1092</v>
      </c>
      <c r="D29" s="300">
        <v>50</v>
      </c>
      <c r="E29" s="68">
        <v>4</v>
      </c>
      <c r="F29" s="76">
        <v>1900</v>
      </c>
      <c r="G29" s="76">
        <f t="shared" si="1"/>
        <v>7600</v>
      </c>
      <c r="H29" s="301"/>
      <c r="I29" s="67"/>
      <c r="J29" s="316">
        <v>4</v>
      </c>
      <c r="K29" s="320">
        <f t="shared" si="0"/>
        <v>7600</v>
      </c>
    </row>
    <row r="30" spans="1:11" s="304" customFormat="1" ht="21" x14ac:dyDescent="0.35">
      <c r="A30" s="270"/>
      <c r="B30" s="68">
        <v>183</v>
      </c>
      <c r="C30" s="68" t="s">
        <v>136</v>
      </c>
      <c r="D30" s="300">
        <v>10</v>
      </c>
      <c r="E30" s="68">
        <v>100</v>
      </c>
      <c r="F30" s="76">
        <v>600</v>
      </c>
      <c r="G30" s="76">
        <f t="shared" si="1"/>
        <v>60000</v>
      </c>
      <c r="H30" s="301"/>
      <c r="I30" s="67"/>
      <c r="J30" s="316">
        <v>100</v>
      </c>
      <c r="K30" s="320">
        <f t="shared" si="0"/>
        <v>60000</v>
      </c>
    </row>
    <row r="31" spans="1:11" s="304" customFormat="1" ht="21" x14ac:dyDescent="0.35">
      <c r="A31" s="270"/>
      <c r="B31" s="68">
        <v>10</v>
      </c>
      <c r="C31" s="68" t="s">
        <v>10</v>
      </c>
      <c r="D31" s="300" t="s">
        <v>144</v>
      </c>
      <c r="E31" s="68">
        <v>70</v>
      </c>
      <c r="F31" s="76">
        <v>350</v>
      </c>
      <c r="G31" s="76">
        <f t="shared" si="1"/>
        <v>24500</v>
      </c>
      <c r="H31" s="301"/>
      <c r="I31" s="67"/>
      <c r="J31" s="316">
        <v>70</v>
      </c>
      <c r="K31" s="320">
        <f t="shared" si="0"/>
        <v>24500</v>
      </c>
    </row>
    <row r="32" spans="1:11" s="304" customFormat="1" ht="21" x14ac:dyDescent="0.35">
      <c r="A32" s="270"/>
      <c r="B32" s="68">
        <v>300</v>
      </c>
      <c r="C32" s="68" t="s">
        <v>1087</v>
      </c>
      <c r="D32" s="300">
        <v>10</v>
      </c>
      <c r="E32" s="68">
        <v>2</v>
      </c>
      <c r="F32" s="76">
        <v>13800</v>
      </c>
      <c r="G32" s="76">
        <f t="shared" si="1"/>
        <v>27600</v>
      </c>
      <c r="H32" s="301"/>
      <c r="I32" s="67"/>
      <c r="J32" s="316">
        <v>2</v>
      </c>
      <c r="K32" s="320">
        <f t="shared" si="0"/>
        <v>27600</v>
      </c>
    </row>
    <row r="33" spans="1:11" s="304" customFormat="1" ht="21" x14ac:dyDescent="0.35">
      <c r="A33" s="270"/>
      <c r="B33" s="68">
        <v>494</v>
      </c>
      <c r="C33" s="68" t="s">
        <v>1160</v>
      </c>
      <c r="D33" s="300">
        <v>10</v>
      </c>
      <c r="E33" s="68">
        <v>10</v>
      </c>
      <c r="F33" s="76">
        <v>1750</v>
      </c>
      <c r="G33" s="76">
        <f t="shared" si="1"/>
        <v>17500</v>
      </c>
      <c r="H33" s="301"/>
      <c r="I33" s="67"/>
      <c r="J33" s="316">
        <v>10</v>
      </c>
      <c r="K33" s="320">
        <f t="shared" si="0"/>
        <v>17500</v>
      </c>
    </row>
    <row r="34" spans="1:11" s="304" customFormat="1" ht="21" x14ac:dyDescent="0.35">
      <c r="A34" s="270"/>
      <c r="B34" s="68">
        <v>498</v>
      </c>
      <c r="C34" s="68" t="s">
        <v>1095</v>
      </c>
      <c r="D34" s="300">
        <v>10</v>
      </c>
      <c r="E34" s="68">
        <v>5</v>
      </c>
      <c r="F34" s="76">
        <v>1750</v>
      </c>
      <c r="G34" s="76">
        <f t="shared" si="1"/>
        <v>8750</v>
      </c>
      <c r="H34" s="301"/>
      <c r="I34" s="67"/>
      <c r="J34" s="316">
        <v>5</v>
      </c>
      <c r="K34" s="320">
        <f t="shared" si="0"/>
        <v>8750</v>
      </c>
    </row>
    <row r="35" spans="1:11" s="304" customFormat="1" ht="21" x14ac:dyDescent="0.35">
      <c r="A35" s="270"/>
      <c r="B35" s="68">
        <v>559</v>
      </c>
      <c r="C35" s="68" t="s">
        <v>396</v>
      </c>
      <c r="D35" s="300" t="s">
        <v>144</v>
      </c>
      <c r="E35" s="68">
        <v>100</v>
      </c>
      <c r="F35" s="76">
        <v>500</v>
      </c>
      <c r="G35" s="76">
        <f t="shared" si="1"/>
        <v>50000</v>
      </c>
      <c r="H35" s="301"/>
      <c r="I35" s="67"/>
      <c r="J35" s="316">
        <v>100</v>
      </c>
      <c r="K35" s="320">
        <f t="shared" si="0"/>
        <v>50000</v>
      </c>
    </row>
    <row r="36" spans="1:11" s="304" customFormat="1" ht="21" x14ac:dyDescent="0.35">
      <c r="A36" s="270"/>
      <c r="B36" s="68">
        <v>55</v>
      </c>
      <c r="C36" s="68" t="s">
        <v>1111</v>
      </c>
      <c r="D36" s="300">
        <v>10</v>
      </c>
      <c r="E36" s="68">
        <v>10</v>
      </c>
      <c r="F36" s="76">
        <v>8000</v>
      </c>
      <c r="G36" s="76">
        <f t="shared" si="1"/>
        <v>80000</v>
      </c>
      <c r="H36" s="301"/>
      <c r="I36" s="67"/>
      <c r="J36" s="316">
        <v>2</v>
      </c>
      <c r="K36" s="320">
        <f t="shared" si="0"/>
        <v>16000</v>
      </c>
    </row>
    <row r="37" spans="1:11" s="304" customFormat="1" ht="21" x14ac:dyDescent="0.35">
      <c r="A37" s="270"/>
      <c r="B37" s="68">
        <v>65</v>
      </c>
      <c r="C37" s="68" t="s">
        <v>58</v>
      </c>
      <c r="D37" s="300">
        <v>28</v>
      </c>
      <c r="E37" s="68">
        <v>100</v>
      </c>
      <c r="F37" s="76">
        <v>300</v>
      </c>
      <c r="G37" s="76">
        <f t="shared" si="1"/>
        <v>30000</v>
      </c>
      <c r="H37" s="301"/>
      <c r="I37" s="67"/>
      <c r="J37" s="316">
        <v>100</v>
      </c>
      <c r="K37" s="320">
        <f t="shared" si="0"/>
        <v>30000</v>
      </c>
    </row>
    <row r="38" spans="1:11" s="304" customFormat="1" ht="21" x14ac:dyDescent="0.35">
      <c r="A38" s="270"/>
      <c r="B38" s="68">
        <v>66</v>
      </c>
      <c r="C38" s="68" t="s">
        <v>59</v>
      </c>
      <c r="D38" s="300">
        <v>28</v>
      </c>
      <c r="E38" s="68">
        <v>100</v>
      </c>
      <c r="F38" s="76">
        <v>220</v>
      </c>
      <c r="G38" s="76">
        <f t="shared" si="1"/>
        <v>22000</v>
      </c>
      <c r="H38" s="301"/>
      <c r="I38" s="67"/>
      <c r="J38" s="316">
        <v>100</v>
      </c>
      <c r="K38" s="320">
        <f t="shared" si="0"/>
        <v>22000</v>
      </c>
    </row>
    <row r="39" spans="1:11" s="304" customFormat="1" ht="21" x14ac:dyDescent="0.35">
      <c r="A39" s="270"/>
      <c r="B39" s="68">
        <v>133</v>
      </c>
      <c r="C39" s="68" t="s">
        <v>1181</v>
      </c>
      <c r="D39" s="300" t="s">
        <v>57</v>
      </c>
      <c r="E39" s="68">
        <v>20</v>
      </c>
      <c r="F39" s="76">
        <v>850</v>
      </c>
      <c r="G39" s="76">
        <f t="shared" si="1"/>
        <v>17000</v>
      </c>
      <c r="H39" s="301"/>
      <c r="I39" s="67"/>
      <c r="J39" s="316">
        <v>20</v>
      </c>
      <c r="K39" s="320">
        <f t="shared" si="0"/>
        <v>17000</v>
      </c>
    </row>
    <row r="40" spans="1:11" s="304" customFormat="1" ht="21" x14ac:dyDescent="0.35">
      <c r="A40" s="270"/>
      <c r="B40" s="68">
        <v>561</v>
      </c>
      <c r="C40" s="68" t="s">
        <v>1116</v>
      </c>
      <c r="D40" s="300" t="s">
        <v>144</v>
      </c>
      <c r="E40" s="68">
        <v>28</v>
      </c>
      <c r="F40" s="76">
        <v>310</v>
      </c>
      <c r="G40" s="76">
        <f t="shared" si="1"/>
        <v>8680</v>
      </c>
      <c r="H40" s="301"/>
      <c r="I40" s="67"/>
      <c r="J40" s="316">
        <v>20</v>
      </c>
      <c r="K40" s="320">
        <f t="shared" si="0"/>
        <v>6200</v>
      </c>
    </row>
    <row r="41" spans="1:11" s="304" customFormat="1" ht="21" x14ac:dyDescent="0.35">
      <c r="A41" s="270"/>
      <c r="B41" s="68">
        <v>505</v>
      </c>
      <c r="C41" s="68" t="s">
        <v>1162</v>
      </c>
      <c r="D41" s="300">
        <v>25</v>
      </c>
      <c r="E41" s="68">
        <v>5</v>
      </c>
      <c r="F41" s="76">
        <v>2200</v>
      </c>
      <c r="G41" s="76">
        <f t="shared" si="1"/>
        <v>11000</v>
      </c>
      <c r="H41" s="301"/>
      <c r="I41" s="67"/>
      <c r="J41" s="316">
        <v>5</v>
      </c>
      <c r="K41" s="320">
        <f t="shared" si="0"/>
        <v>11000</v>
      </c>
    </row>
    <row r="42" spans="1:11" s="304" customFormat="1" ht="21" x14ac:dyDescent="0.35">
      <c r="A42" s="270"/>
      <c r="B42" s="68">
        <v>512</v>
      </c>
      <c r="C42" s="68" t="s">
        <v>704</v>
      </c>
      <c r="D42" s="300">
        <v>10</v>
      </c>
      <c r="E42" s="68">
        <v>4</v>
      </c>
      <c r="F42" s="76">
        <v>700</v>
      </c>
      <c r="G42" s="76">
        <f t="shared" si="1"/>
        <v>2800</v>
      </c>
      <c r="H42" s="301"/>
      <c r="I42" s="67"/>
      <c r="J42" s="316">
        <v>4</v>
      </c>
      <c r="K42" s="320">
        <f t="shared" si="0"/>
        <v>2800</v>
      </c>
    </row>
    <row r="43" spans="1:11" s="304" customFormat="1" ht="21" x14ac:dyDescent="0.35">
      <c r="A43" s="270"/>
      <c r="B43" s="68">
        <v>73</v>
      </c>
      <c r="C43" s="68" t="s">
        <v>1163</v>
      </c>
      <c r="D43" s="300">
        <v>100</v>
      </c>
      <c r="E43" s="68">
        <v>15</v>
      </c>
      <c r="F43" s="76">
        <v>150</v>
      </c>
      <c r="G43" s="76">
        <f t="shared" si="1"/>
        <v>2250</v>
      </c>
      <c r="H43" s="301"/>
      <c r="I43" s="67"/>
      <c r="J43" s="316">
        <v>15</v>
      </c>
      <c r="K43" s="320">
        <f t="shared" si="0"/>
        <v>2250</v>
      </c>
    </row>
    <row r="44" spans="1:11" s="304" customFormat="1" ht="21" x14ac:dyDescent="0.35">
      <c r="A44" s="270"/>
      <c r="B44" s="68">
        <v>263</v>
      </c>
      <c r="C44" s="68" t="s">
        <v>1171</v>
      </c>
      <c r="D44" s="300">
        <v>30</v>
      </c>
      <c r="E44" s="68">
        <v>200</v>
      </c>
      <c r="F44" s="76">
        <v>900</v>
      </c>
      <c r="G44" s="76">
        <f t="shared" si="1"/>
        <v>180000</v>
      </c>
      <c r="H44" s="301"/>
      <c r="I44" s="67"/>
      <c r="J44" s="316">
        <v>200</v>
      </c>
      <c r="K44" s="320">
        <f t="shared" si="0"/>
        <v>180000</v>
      </c>
    </row>
    <row r="45" spans="1:11" s="304" customFormat="1" ht="21" x14ac:dyDescent="0.35">
      <c r="A45" s="270"/>
      <c r="B45" s="68">
        <v>312</v>
      </c>
      <c r="C45" s="68" t="s">
        <v>462</v>
      </c>
      <c r="D45" s="300">
        <v>5</v>
      </c>
      <c r="E45" s="68">
        <v>2</v>
      </c>
      <c r="F45" s="76">
        <v>4025</v>
      </c>
      <c r="G45" s="76">
        <f t="shared" si="1"/>
        <v>8050</v>
      </c>
      <c r="H45" s="301"/>
      <c r="I45" s="67"/>
      <c r="J45" s="316">
        <v>2</v>
      </c>
      <c r="K45" s="320">
        <f t="shared" si="0"/>
        <v>8050</v>
      </c>
    </row>
    <row r="46" spans="1:11" s="304" customFormat="1" ht="21" x14ac:dyDescent="0.35">
      <c r="A46" s="270"/>
      <c r="B46" s="68">
        <v>400</v>
      </c>
      <c r="C46" s="68" t="s">
        <v>298</v>
      </c>
      <c r="D46" s="300">
        <v>100</v>
      </c>
      <c r="E46" s="68">
        <v>3</v>
      </c>
      <c r="F46" s="76">
        <v>1100</v>
      </c>
      <c r="G46" s="76">
        <f t="shared" si="1"/>
        <v>3300</v>
      </c>
      <c r="H46" s="305"/>
      <c r="I46" s="306"/>
      <c r="J46" s="316">
        <v>3</v>
      </c>
      <c r="K46" s="320">
        <f t="shared" si="0"/>
        <v>3300</v>
      </c>
    </row>
    <row r="47" spans="1:11" s="304" customFormat="1" ht="21" x14ac:dyDescent="0.35">
      <c r="A47" s="270"/>
      <c r="B47" s="68">
        <v>273</v>
      </c>
      <c r="C47" s="68" t="s">
        <v>1179</v>
      </c>
      <c r="D47" s="300">
        <v>20</v>
      </c>
      <c r="E47" s="68">
        <v>20</v>
      </c>
      <c r="F47" s="76">
        <v>2000</v>
      </c>
      <c r="G47" s="76">
        <f t="shared" si="1"/>
        <v>40000</v>
      </c>
      <c r="H47" s="301"/>
      <c r="I47" s="67"/>
      <c r="J47" s="316">
        <v>20</v>
      </c>
      <c r="K47" s="320">
        <f t="shared" si="0"/>
        <v>40000</v>
      </c>
    </row>
    <row r="48" spans="1:11" s="304" customFormat="1" ht="21" x14ac:dyDescent="0.35">
      <c r="A48" s="270"/>
      <c r="B48" s="68">
        <v>274</v>
      </c>
      <c r="C48" s="68" t="s">
        <v>191</v>
      </c>
      <c r="D48" s="300">
        <v>5</v>
      </c>
      <c r="E48" s="68">
        <v>15</v>
      </c>
      <c r="F48" s="76">
        <v>1380</v>
      </c>
      <c r="G48" s="76">
        <f t="shared" si="1"/>
        <v>20700</v>
      </c>
      <c r="H48" s="301"/>
      <c r="I48" s="67"/>
      <c r="J48" s="316">
        <v>15</v>
      </c>
      <c r="K48" s="320">
        <f t="shared" si="0"/>
        <v>20700</v>
      </c>
    </row>
    <row r="49" spans="1:11" s="304" customFormat="1" ht="21" x14ac:dyDescent="0.35">
      <c r="A49" s="270"/>
      <c r="B49" s="68">
        <v>542</v>
      </c>
      <c r="C49" s="68" t="s">
        <v>377</v>
      </c>
      <c r="D49" s="300">
        <v>10</v>
      </c>
      <c r="E49" s="68">
        <v>40</v>
      </c>
      <c r="F49" s="76">
        <v>820</v>
      </c>
      <c r="G49" s="76">
        <f t="shared" si="1"/>
        <v>32800</v>
      </c>
      <c r="H49" s="305"/>
      <c r="I49" s="306"/>
      <c r="J49" s="316">
        <v>40</v>
      </c>
      <c r="K49" s="320">
        <f t="shared" si="0"/>
        <v>32800</v>
      </c>
    </row>
    <row r="50" spans="1:11" s="304" customFormat="1" ht="21" x14ac:dyDescent="0.35">
      <c r="A50" s="270"/>
      <c r="B50" s="68">
        <v>286</v>
      </c>
      <c r="C50" s="68" t="s">
        <v>202</v>
      </c>
      <c r="D50" s="300">
        <v>28</v>
      </c>
      <c r="E50" s="68">
        <v>12</v>
      </c>
      <c r="F50" s="76">
        <v>300</v>
      </c>
      <c r="G50" s="76">
        <f t="shared" si="1"/>
        <v>3600</v>
      </c>
      <c r="H50" s="305">
        <f>SUM(G22:G50)</f>
        <v>747430</v>
      </c>
      <c r="I50" s="306"/>
      <c r="J50" s="316">
        <v>12</v>
      </c>
      <c r="K50" s="320">
        <f t="shared" si="0"/>
        <v>3600</v>
      </c>
    </row>
    <row r="51" spans="1:11" s="304" customFormat="1" ht="21" x14ac:dyDescent="0.35">
      <c r="A51" s="270"/>
      <c r="B51" s="68"/>
      <c r="C51" s="68"/>
      <c r="D51" s="300"/>
      <c r="E51" s="68"/>
      <c r="F51" s="76"/>
      <c r="G51" s="76"/>
      <c r="H51" s="301"/>
      <c r="I51" s="67"/>
      <c r="J51" s="316"/>
      <c r="K51" s="320">
        <f t="shared" si="0"/>
        <v>0</v>
      </c>
    </row>
    <row r="52" spans="1:11" s="304" customFormat="1" ht="21" x14ac:dyDescent="0.35">
      <c r="A52" s="270">
        <v>6</v>
      </c>
      <c r="B52" s="68"/>
      <c r="C52" s="68" t="s">
        <v>665</v>
      </c>
      <c r="D52" s="300"/>
      <c r="E52" s="68"/>
      <c r="F52" s="76"/>
      <c r="G52" s="76"/>
      <c r="H52" s="301"/>
      <c r="I52" s="67"/>
      <c r="J52" s="316"/>
      <c r="K52" s="320">
        <f t="shared" si="0"/>
        <v>0</v>
      </c>
    </row>
    <row r="53" spans="1:11" s="304" customFormat="1" ht="21" x14ac:dyDescent="0.35">
      <c r="A53" s="270"/>
      <c r="B53" s="68">
        <v>233</v>
      </c>
      <c r="C53" s="68" t="s">
        <v>1177</v>
      </c>
      <c r="D53" s="300">
        <v>30</v>
      </c>
      <c r="E53" s="68">
        <v>50</v>
      </c>
      <c r="F53" s="76">
        <v>1050</v>
      </c>
      <c r="G53" s="76">
        <f>E53*F53</f>
        <v>52500</v>
      </c>
      <c r="H53" s="305"/>
      <c r="I53" s="306"/>
      <c r="J53" s="316">
        <v>50</v>
      </c>
      <c r="K53" s="320">
        <f t="shared" si="0"/>
        <v>52500</v>
      </c>
    </row>
    <row r="54" spans="1:11" s="304" customFormat="1" ht="21" x14ac:dyDescent="0.35">
      <c r="A54" s="270"/>
      <c r="B54" s="68">
        <v>234</v>
      </c>
      <c r="C54" s="68" t="s">
        <v>1099</v>
      </c>
      <c r="D54" s="300" t="s">
        <v>144</v>
      </c>
      <c r="E54" s="68">
        <v>50</v>
      </c>
      <c r="F54" s="76">
        <v>1050</v>
      </c>
      <c r="G54" s="76">
        <f>E54*F54</f>
        <v>52500</v>
      </c>
      <c r="H54" s="305"/>
      <c r="I54" s="306"/>
      <c r="J54" s="316">
        <v>50</v>
      </c>
      <c r="K54" s="320">
        <f t="shared" si="0"/>
        <v>52500</v>
      </c>
    </row>
    <row r="55" spans="1:11" s="304" customFormat="1" ht="21" x14ac:dyDescent="0.35">
      <c r="A55" s="270"/>
      <c r="B55" s="68">
        <v>236</v>
      </c>
      <c r="C55" s="68" t="s">
        <v>1098</v>
      </c>
      <c r="D55" s="300" t="s">
        <v>144</v>
      </c>
      <c r="E55" s="68">
        <v>50</v>
      </c>
      <c r="F55" s="76">
        <v>1050</v>
      </c>
      <c r="G55" s="76">
        <f>E55*F55</f>
        <v>52500</v>
      </c>
      <c r="H55" s="301"/>
      <c r="I55" s="67"/>
      <c r="J55" s="316">
        <v>50</v>
      </c>
      <c r="K55" s="320">
        <f t="shared" si="0"/>
        <v>52500</v>
      </c>
    </row>
    <row r="56" spans="1:11" s="304" customFormat="1" ht="21" x14ac:dyDescent="0.35">
      <c r="A56" s="270"/>
      <c r="B56" s="68">
        <v>216</v>
      </c>
      <c r="C56" s="68" t="s">
        <v>1161</v>
      </c>
      <c r="D56" s="300" t="s">
        <v>144</v>
      </c>
      <c r="E56" s="68">
        <v>500</v>
      </c>
      <c r="F56" s="76">
        <v>90</v>
      </c>
      <c r="G56" s="76">
        <f>E56*F56</f>
        <v>45000</v>
      </c>
      <c r="H56" s="301"/>
      <c r="I56" s="67"/>
      <c r="J56" s="316">
        <v>500</v>
      </c>
      <c r="K56" s="320">
        <f t="shared" si="0"/>
        <v>45000</v>
      </c>
    </row>
    <row r="57" spans="1:11" s="304" customFormat="1" ht="21" x14ac:dyDescent="0.35">
      <c r="A57" s="270"/>
      <c r="B57" s="68">
        <v>384</v>
      </c>
      <c r="C57" s="68" t="s">
        <v>282</v>
      </c>
      <c r="D57" s="300" t="s">
        <v>144</v>
      </c>
      <c r="E57" s="68">
        <v>10</v>
      </c>
      <c r="F57" s="76">
        <v>200</v>
      </c>
      <c r="G57" s="76">
        <f>E57*F57</f>
        <v>2000</v>
      </c>
      <c r="H57" s="305">
        <f>SUM(G53:G57)</f>
        <v>204500</v>
      </c>
      <c r="I57" s="306"/>
      <c r="J57" s="316">
        <v>10</v>
      </c>
      <c r="K57" s="320">
        <f t="shared" si="0"/>
        <v>2000</v>
      </c>
    </row>
    <row r="58" spans="1:11" s="304" customFormat="1" ht="21" x14ac:dyDescent="0.35">
      <c r="A58" s="270"/>
      <c r="B58" s="68"/>
      <c r="C58" s="68"/>
      <c r="D58" s="300"/>
      <c r="E58" s="68"/>
      <c r="F58" s="76"/>
      <c r="G58" s="76"/>
      <c r="H58" s="305"/>
      <c r="I58" s="306"/>
      <c r="J58" s="316"/>
      <c r="K58" s="320">
        <f t="shared" si="0"/>
        <v>0</v>
      </c>
    </row>
    <row r="59" spans="1:11" s="304" customFormat="1" ht="21" x14ac:dyDescent="0.35">
      <c r="A59" s="270">
        <v>7</v>
      </c>
      <c r="B59" s="68"/>
      <c r="C59" s="68" t="s">
        <v>890</v>
      </c>
      <c r="D59" s="300"/>
      <c r="E59" s="68"/>
      <c r="F59" s="76"/>
      <c r="G59" s="76"/>
      <c r="H59" s="301"/>
      <c r="I59" s="67"/>
      <c r="J59" s="316"/>
      <c r="K59" s="320">
        <f t="shared" si="0"/>
        <v>0</v>
      </c>
    </row>
    <row r="60" spans="1:11" s="304" customFormat="1" ht="21" x14ac:dyDescent="0.35">
      <c r="A60" s="270"/>
      <c r="B60" s="68">
        <v>11</v>
      </c>
      <c r="C60" s="68" t="s">
        <v>11</v>
      </c>
      <c r="D60" s="300">
        <v>9</v>
      </c>
      <c r="E60" s="68">
        <v>100</v>
      </c>
      <c r="F60" s="76">
        <v>385</v>
      </c>
      <c r="G60" s="76">
        <f>E60*F60</f>
        <v>38500</v>
      </c>
      <c r="H60" s="305">
        <f>SUM(G60:G60)</f>
        <v>38500</v>
      </c>
      <c r="I60" s="306"/>
      <c r="J60" s="316">
        <v>100</v>
      </c>
      <c r="K60" s="320">
        <f t="shared" si="0"/>
        <v>38500</v>
      </c>
    </row>
    <row r="61" spans="1:11" s="304" customFormat="1" ht="21" x14ac:dyDescent="0.35">
      <c r="A61" s="270"/>
      <c r="B61" s="68"/>
      <c r="C61" s="68"/>
      <c r="D61" s="300"/>
      <c r="E61" s="68"/>
      <c r="F61" s="76"/>
      <c r="G61" s="76"/>
      <c r="H61" s="305"/>
      <c r="I61" s="306"/>
      <c r="J61" s="316"/>
      <c r="K61" s="320">
        <f t="shared" si="0"/>
        <v>0</v>
      </c>
    </row>
    <row r="62" spans="1:11" s="304" customFormat="1" ht="21" x14ac:dyDescent="0.35">
      <c r="A62" s="270">
        <v>8</v>
      </c>
      <c r="B62" s="68"/>
      <c r="C62" s="68" t="s">
        <v>1113</v>
      </c>
      <c r="D62" s="300"/>
      <c r="E62" s="68"/>
      <c r="F62" s="76"/>
      <c r="G62" s="76"/>
      <c r="H62" s="301"/>
      <c r="I62" s="67"/>
      <c r="J62" s="316"/>
      <c r="K62" s="320">
        <f t="shared" si="0"/>
        <v>0</v>
      </c>
    </row>
    <row r="63" spans="1:11" s="304" customFormat="1" ht="21" x14ac:dyDescent="0.35">
      <c r="A63" s="270"/>
      <c r="B63" s="68">
        <v>377</v>
      </c>
      <c r="C63" s="68" t="s">
        <v>1190</v>
      </c>
      <c r="D63" s="300" t="s">
        <v>333</v>
      </c>
      <c r="E63" s="68">
        <v>15</v>
      </c>
      <c r="F63" s="76">
        <v>3542.64</v>
      </c>
      <c r="G63" s="76">
        <f>E63*F63</f>
        <v>53139.6</v>
      </c>
      <c r="H63" s="301"/>
      <c r="I63" s="67"/>
      <c r="J63" s="316">
        <v>15</v>
      </c>
      <c r="K63" s="320">
        <f t="shared" si="0"/>
        <v>53139.6</v>
      </c>
    </row>
    <row r="64" spans="1:11" s="304" customFormat="1" ht="21" x14ac:dyDescent="0.35">
      <c r="A64" s="270"/>
      <c r="B64" s="68">
        <v>565</v>
      </c>
      <c r="C64" s="68" t="s">
        <v>1091</v>
      </c>
      <c r="D64" s="300">
        <v>30</v>
      </c>
      <c r="E64" s="68">
        <v>10</v>
      </c>
      <c r="F64" s="76">
        <v>5493.76</v>
      </c>
      <c r="G64" s="76">
        <f>E64*F64</f>
        <v>54937.600000000006</v>
      </c>
      <c r="H64" s="305">
        <f>SUM(G63:G64)</f>
        <v>108077.20000000001</v>
      </c>
      <c r="I64" s="306"/>
      <c r="J64" s="316">
        <v>10</v>
      </c>
      <c r="K64" s="320">
        <f t="shared" ref="K64:K119" si="2">J64*F64</f>
        <v>54937.600000000006</v>
      </c>
    </row>
    <row r="65" spans="1:11" s="304" customFormat="1" ht="21" x14ac:dyDescent="0.35">
      <c r="A65" s="270"/>
      <c r="B65" s="68"/>
      <c r="C65" s="68"/>
      <c r="D65" s="300"/>
      <c r="E65" s="68"/>
      <c r="F65" s="76"/>
      <c r="G65" s="76"/>
      <c r="H65" s="305"/>
      <c r="I65" s="306"/>
      <c r="J65" s="316"/>
      <c r="K65" s="320">
        <f t="shared" si="2"/>
        <v>0</v>
      </c>
    </row>
    <row r="66" spans="1:11" s="304" customFormat="1" ht="21" x14ac:dyDescent="0.35">
      <c r="A66" s="270">
        <v>9</v>
      </c>
      <c r="B66" s="68"/>
      <c r="C66" s="68" t="s">
        <v>1093</v>
      </c>
      <c r="D66" s="300"/>
      <c r="E66" s="68"/>
      <c r="F66" s="76"/>
      <c r="G66" s="76"/>
      <c r="H66" s="301"/>
      <c r="I66" s="67"/>
      <c r="J66" s="316"/>
      <c r="K66" s="320">
        <f t="shared" si="2"/>
        <v>0</v>
      </c>
    </row>
    <row r="67" spans="1:11" s="304" customFormat="1" ht="21" x14ac:dyDescent="0.35">
      <c r="A67" s="270"/>
      <c r="B67" s="68">
        <v>190</v>
      </c>
      <c r="C67" s="68" t="s">
        <v>1094</v>
      </c>
      <c r="D67" s="300" t="s">
        <v>144</v>
      </c>
      <c r="E67" s="68">
        <v>1000</v>
      </c>
      <c r="F67" s="76">
        <v>97</v>
      </c>
      <c r="G67" s="76">
        <f>E67*F67</f>
        <v>97000</v>
      </c>
      <c r="H67" s="305"/>
      <c r="I67" s="306"/>
      <c r="J67" s="316">
        <v>1000</v>
      </c>
      <c r="K67" s="320">
        <f t="shared" si="2"/>
        <v>97000</v>
      </c>
    </row>
    <row r="68" spans="1:11" s="304" customFormat="1" ht="21" x14ac:dyDescent="0.35">
      <c r="A68" s="270"/>
      <c r="B68" s="68">
        <v>363</v>
      </c>
      <c r="C68" s="68" t="s">
        <v>265</v>
      </c>
      <c r="D68" s="300">
        <v>14</v>
      </c>
      <c r="E68" s="68">
        <v>500</v>
      </c>
      <c r="F68" s="76">
        <v>125</v>
      </c>
      <c r="G68" s="76">
        <f>E68*F68</f>
        <v>62500</v>
      </c>
      <c r="H68" s="305">
        <f>SUM(G67:G68)</f>
        <v>159500</v>
      </c>
      <c r="I68" s="306"/>
      <c r="J68" s="316">
        <v>500</v>
      </c>
      <c r="K68" s="320">
        <f t="shared" si="2"/>
        <v>62500</v>
      </c>
    </row>
    <row r="69" spans="1:11" s="304" customFormat="1" ht="21" x14ac:dyDescent="0.35">
      <c r="A69" s="270"/>
      <c r="B69" s="68"/>
      <c r="C69" s="68"/>
      <c r="D69" s="300"/>
      <c r="E69" s="68"/>
      <c r="F69" s="76"/>
      <c r="G69" s="76"/>
      <c r="H69" s="301"/>
      <c r="I69" s="67"/>
      <c r="J69" s="316"/>
      <c r="K69" s="320">
        <f t="shared" si="2"/>
        <v>0</v>
      </c>
    </row>
    <row r="70" spans="1:11" s="304" customFormat="1" ht="21" x14ac:dyDescent="0.35">
      <c r="A70" s="270">
        <v>10</v>
      </c>
      <c r="B70" s="68"/>
      <c r="C70" s="68" t="s">
        <v>1165</v>
      </c>
      <c r="D70" s="300"/>
      <c r="E70" s="68"/>
      <c r="F70" s="76"/>
      <c r="G70" s="76"/>
      <c r="H70" s="301"/>
      <c r="I70" s="67"/>
      <c r="J70" s="316"/>
      <c r="K70" s="320">
        <f t="shared" si="2"/>
        <v>0</v>
      </c>
    </row>
    <row r="71" spans="1:11" s="304" customFormat="1" ht="21" x14ac:dyDescent="0.35">
      <c r="A71" s="270"/>
      <c r="B71" s="68">
        <v>481</v>
      </c>
      <c r="C71" s="68" t="s">
        <v>349</v>
      </c>
      <c r="D71" s="300">
        <v>12</v>
      </c>
      <c r="E71" s="68">
        <v>25</v>
      </c>
      <c r="F71" s="76">
        <v>2260</v>
      </c>
      <c r="G71" s="76">
        <f>E71*F71</f>
        <v>56500</v>
      </c>
      <c r="H71" s="305"/>
      <c r="I71" s="306"/>
      <c r="J71" s="316">
        <v>25</v>
      </c>
      <c r="K71" s="320">
        <f t="shared" si="2"/>
        <v>56500</v>
      </c>
    </row>
    <row r="72" spans="1:11" s="304" customFormat="1" ht="21" x14ac:dyDescent="0.35">
      <c r="A72" s="270"/>
      <c r="B72" s="68">
        <v>502</v>
      </c>
      <c r="C72" s="68" t="s">
        <v>1184</v>
      </c>
      <c r="D72" s="300">
        <v>100</v>
      </c>
      <c r="E72" s="68">
        <v>5</v>
      </c>
      <c r="F72" s="76">
        <v>2035</v>
      </c>
      <c r="G72" s="76">
        <f>E72*F72</f>
        <v>10175</v>
      </c>
      <c r="H72" s="305">
        <f>SUM(G71:G72)</f>
        <v>66675</v>
      </c>
      <c r="I72" s="306"/>
      <c r="J72" s="316">
        <v>5</v>
      </c>
      <c r="K72" s="320">
        <f t="shared" si="2"/>
        <v>10175</v>
      </c>
    </row>
    <row r="73" spans="1:11" s="304" customFormat="1" ht="21" x14ac:dyDescent="0.35">
      <c r="A73" s="270"/>
      <c r="B73" s="68"/>
      <c r="C73" s="68"/>
      <c r="D73" s="300"/>
      <c r="E73" s="68"/>
      <c r="F73" s="76"/>
      <c r="G73" s="76"/>
      <c r="H73" s="305"/>
      <c r="I73" s="306"/>
      <c r="J73" s="316"/>
      <c r="K73" s="320">
        <f t="shared" si="2"/>
        <v>0</v>
      </c>
    </row>
    <row r="74" spans="1:11" s="304" customFormat="1" ht="21" x14ac:dyDescent="0.35">
      <c r="A74" s="270">
        <v>11</v>
      </c>
      <c r="B74" s="68"/>
      <c r="C74" s="68" t="s">
        <v>629</v>
      </c>
      <c r="D74" s="300"/>
      <c r="E74" s="68"/>
      <c r="F74" s="76"/>
      <c r="G74" s="76"/>
      <c r="H74" s="301"/>
      <c r="I74" s="67"/>
      <c r="J74" s="316"/>
      <c r="K74" s="320">
        <f t="shared" si="2"/>
        <v>0</v>
      </c>
    </row>
    <row r="75" spans="1:11" s="304" customFormat="1" ht="21" x14ac:dyDescent="0.35">
      <c r="A75" s="270"/>
      <c r="B75" s="68">
        <v>169</v>
      </c>
      <c r="C75" s="68" t="s">
        <v>1178</v>
      </c>
      <c r="D75" s="300" t="s">
        <v>57</v>
      </c>
      <c r="E75" s="68">
        <v>75</v>
      </c>
      <c r="F75" s="76">
        <v>90</v>
      </c>
      <c r="G75" s="76">
        <f>E75*F75</f>
        <v>6750</v>
      </c>
      <c r="H75" s="305"/>
      <c r="I75" s="306"/>
      <c r="J75" s="316">
        <v>75</v>
      </c>
      <c r="K75" s="320">
        <f t="shared" si="2"/>
        <v>6750</v>
      </c>
    </row>
    <row r="76" spans="1:11" s="304" customFormat="1" ht="21" x14ac:dyDescent="0.35">
      <c r="A76" s="270"/>
      <c r="B76" s="68">
        <v>259</v>
      </c>
      <c r="C76" s="68" t="s">
        <v>691</v>
      </c>
      <c r="D76" s="300" t="s">
        <v>144</v>
      </c>
      <c r="E76" s="68">
        <v>40</v>
      </c>
      <c r="F76" s="76">
        <v>195</v>
      </c>
      <c r="G76" s="76">
        <f>E76*F76</f>
        <v>7800</v>
      </c>
      <c r="H76" s="305"/>
      <c r="I76" s="306"/>
      <c r="J76" s="316">
        <v>40</v>
      </c>
      <c r="K76" s="320">
        <f t="shared" si="2"/>
        <v>7800</v>
      </c>
    </row>
    <row r="77" spans="1:11" s="304" customFormat="1" ht="21" x14ac:dyDescent="0.35">
      <c r="A77" s="270"/>
      <c r="B77" s="68">
        <v>341</v>
      </c>
      <c r="C77" s="68" t="s">
        <v>247</v>
      </c>
      <c r="D77" s="300" t="s">
        <v>144</v>
      </c>
      <c r="E77" s="68">
        <v>50</v>
      </c>
      <c r="F77" s="76">
        <v>290</v>
      </c>
      <c r="G77" s="76">
        <f>E77*F77</f>
        <v>14500</v>
      </c>
      <c r="H77" s="305">
        <f>SUM(G75:G77)</f>
        <v>29050</v>
      </c>
      <c r="I77" s="306"/>
      <c r="J77" s="316">
        <v>50</v>
      </c>
      <c r="K77" s="320">
        <f t="shared" si="2"/>
        <v>14500</v>
      </c>
    </row>
    <row r="78" spans="1:11" s="304" customFormat="1" ht="21" x14ac:dyDescent="0.35">
      <c r="A78" s="270"/>
      <c r="B78" s="68"/>
      <c r="C78" s="68"/>
      <c r="D78" s="300"/>
      <c r="E78" s="68"/>
      <c r="F78" s="76"/>
      <c r="G78" s="76"/>
      <c r="H78" s="305"/>
      <c r="I78" s="306"/>
      <c r="J78" s="316"/>
      <c r="K78" s="320">
        <f t="shared" si="2"/>
        <v>0</v>
      </c>
    </row>
    <row r="79" spans="1:11" s="304" customFormat="1" ht="21" x14ac:dyDescent="0.35">
      <c r="A79" s="270">
        <v>12</v>
      </c>
      <c r="B79" s="68"/>
      <c r="C79" s="68" t="s">
        <v>892</v>
      </c>
      <c r="D79" s="300"/>
      <c r="E79" s="68"/>
      <c r="F79" s="76"/>
      <c r="G79" s="76"/>
      <c r="H79" s="301"/>
      <c r="I79" s="67"/>
      <c r="J79" s="316"/>
      <c r="K79" s="320">
        <f t="shared" si="2"/>
        <v>0</v>
      </c>
    </row>
    <row r="80" spans="1:11" s="304" customFormat="1" ht="21" x14ac:dyDescent="0.35">
      <c r="A80" s="270"/>
      <c r="B80" s="68">
        <v>287</v>
      </c>
      <c r="C80" s="68" t="s">
        <v>1103</v>
      </c>
      <c r="D80" s="300">
        <v>500</v>
      </c>
      <c r="E80" s="68">
        <v>20</v>
      </c>
      <c r="F80" s="76">
        <v>2100</v>
      </c>
      <c r="G80" s="76">
        <f>E80*F80</f>
        <v>42000</v>
      </c>
      <c r="H80" s="301"/>
      <c r="I80" s="67"/>
      <c r="J80" s="316">
        <v>20</v>
      </c>
      <c r="K80" s="320">
        <f t="shared" si="2"/>
        <v>42000</v>
      </c>
    </row>
    <row r="81" spans="1:11" s="304" customFormat="1" ht="21" x14ac:dyDescent="0.35">
      <c r="A81" s="270"/>
      <c r="B81" s="68">
        <v>238</v>
      </c>
      <c r="C81" s="68" t="s">
        <v>693</v>
      </c>
      <c r="D81" s="300">
        <v>30</v>
      </c>
      <c r="E81" s="68">
        <v>50</v>
      </c>
      <c r="F81" s="76">
        <v>340</v>
      </c>
      <c r="G81" s="76">
        <f>E81*F81</f>
        <v>17000</v>
      </c>
      <c r="H81" s="305"/>
      <c r="I81" s="306"/>
      <c r="J81" s="316">
        <v>50</v>
      </c>
      <c r="K81" s="320">
        <f t="shared" si="2"/>
        <v>17000</v>
      </c>
    </row>
    <row r="82" spans="1:11" s="304" customFormat="1" ht="21" x14ac:dyDescent="0.35">
      <c r="A82" s="270"/>
      <c r="B82" s="68">
        <v>366</v>
      </c>
      <c r="C82" s="68" t="s">
        <v>268</v>
      </c>
      <c r="D82" s="300" t="s">
        <v>455</v>
      </c>
      <c r="E82" s="68">
        <v>125</v>
      </c>
      <c r="F82" s="76">
        <v>260</v>
      </c>
      <c r="G82" s="76">
        <f>E82*F82</f>
        <v>32500</v>
      </c>
      <c r="H82" s="301"/>
      <c r="I82" s="67"/>
      <c r="J82" s="316">
        <v>40</v>
      </c>
      <c r="K82" s="320">
        <f t="shared" si="2"/>
        <v>10400</v>
      </c>
    </row>
    <row r="83" spans="1:11" s="304" customFormat="1" ht="21" x14ac:dyDescent="0.35">
      <c r="A83" s="270"/>
      <c r="B83" s="68">
        <v>82</v>
      </c>
      <c r="C83" s="68" t="s">
        <v>1170</v>
      </c>
      <c r="D83" s="300">
        <v>30</v>
      </c>
      <c r="E83" s="68">
        <v>150</v>
      </c>
      <c r="F83" s="76">
        <v>1100</v>
      </c>
      <c r="G83" s="76">
        <f>E83*F83</f>
        <v>165000</v>
      </c>
      <c r="H83" s="301"/>
      <c r="I83" s="67"/>
      <c r="J83" s="316">
        <v>150</v>
      </c>
      <c r="K83" s="320">
        <f t="shared" si="2"/>
        <v>165000</v>
      </c>
    </row>
    <row r="84" spans="1:11" s="304" customFormat="1" ht="21" x14ac:dyDescent="0.35">
      <c r="A84" s="270"/>
      <c r="B84" s="68">
        <v>151</v>
      </c>
      <c r="C84" s="68" t="s">
        <v>111</v>
      </c>
      <c r="D84" s="300">
        <v>100</v>
      </c>
      <c r="E84" s="68">
        <v>1</v>
      </c>
      <c r="F84" s="76">
        <v>10000</v>
      </c>
      <c r="G84" s="76">
        <f>E84*F84</f>
        <v>10000</v>
      </c>
      <c r="H84" s="305">
        <f>SUM(G80:G84)</f>
        <v>266500</v>
      </c>
      <c r="I84" s="306"/>
      <c r="J84" s="316">
        <v>1</v>
      </c>
      <c r="K84" s="320">
        <f t="shared" si="2"/>
        <v>10000</v>
      </c>
    </row>
    <row r="85" spans="1:11" s="304" customFormat="1" ht="21" x14ac:dyDescent="0.35">
      <c r="A85" s="270"/>
      <c r="B85" s="68"/>
      <c r="C85" s="68"/>
      <c r="D85" s="300"/>
      <c r="E85" s="68"/>
      <c r="F85" s="76"/>
      <c r="G85" s="76"/>
      <c r="H85" s="301"/>
      <c r="I85" s="67"/>
      <c r="J85" s="316"/>
      <c r="K85" s="320">
        <f t="shared" si="2"/>
        <v>0</v>
      </c>
    </row>
    <row r="86" spans="1:11" s="304" customFormat="1" ht="21" x14ac:dyDescent="0.35">
      <c r="A86" s="270">
        <v>13</v>
      </c>
      <c r="B86" s="68"/>
      <c r="C86" s="68" t="s">
        <v>1079</v>
      </c>
      <c r="D86" s="300"/>
      <c r="E86" s="68"/>
      <c r="F86" s="76"/>
      <c r="G86" s="76"/>
      <c r="H86" s="301"/>
      <c r="I86" s="67"/>
      <c r="J86" s="316"/>
      <c r="K86" s="320">
        <f t="shared" si="2"/>
        <v>0</v>
      </c>
    </row>
    <row r="87" spans="1:11" s="304" customFormat="1" ht="21" x14ac:dyDescent="0.35">
      <c r="A87" s="270"/>
      <c r="B87" s="68">
        <v>454</v>
      </c>
      <c r="C87" s="68" t="s">
        <v>1080</v>
      </c>
      <c r="D87" s="300" t="s">
        <v>57</v>
      </c>
      <c r="E87" s="68">
        <v>10</v>
      </c>
      <c r="F87" s="76">
        <v>3500</v>
      </c>
      <c r="G87" s="76">
        <f>E87*F87</f>
        <v>35000</v>
      </c>
      <c r="H87" s="301"/>
      <c r="I87" s="67"/>
      <c r="J87" s="316">
        <v>10</v>
      </c>
      <c r="K87" s="320">
        <f t="shared" si="2"/>
        <v>35000</v>
      </c>
    </row>
    <row r="88" spans="1:11" s="304" customFormat="1" ht="21" x14ac:dyDescent="0.35">
      <c r="A88" s="270"/>
      <c r="B88" s="68">
        <v>131</v>
      </c>
      <c r="C88" s="68" t="s">
        <v>445</v>
      </c>
      <c r="D88" s="300">
        <v>30</v>
      </c>
      <c r="E88" s="68">
        <v>50</v>
      </c>
      <c r="F88" s="76">
        <v>300</v>
      </c>
      <c r="G88" s="76">
        <f>E88*F88</f>
        <v>15000</v>
      </c>
      <c r="H88" s="301"/>
      <c r="I88" s="67"/>
      <c r="J88" s="316">
        <v>50</v>
      </c>
      <c r="K88" s="320">
        <f t="shared" si="2"/>
        <v>15000</v>
      </c>
    </row>
    <row r="89" spans="1:11" s="304" customFormat="1" ht="21" x14ac:dyDescent="0.35">
      <c r="A89" s="270"/>
      <c r="B89" s="68">
        <v>367</v>
      </c>
      <c r="C89" s="68" t="s">
        <v>269</v>
      </c>
      <c r="D89" s="300">
        <v>10</v>
      </c>
      <c r="E89" s="68">
        <v>10</v>
      </c>
      <c r="F89" s="76">
        <v>840</v>
      </c>
      <c r="G89" s="76">
        <f>E89*F89</f>
        <v>8400</v>
      </c>
      <c r="H89" s="305">
        <f>SUM(G87:G89)</f>
        <v>58400</v>
      </c>
      <c r="I89" s="306"/>
      <c r="J89" s="316"/>
      <c r="K89" s="320">
        <f t="shared" si="2"/>
        <v>0</v>
      </c>
    </row>
    <row r="90" spans="1:11" s="304" customFormat="1" ht="21" x14ac:dyDescent="0.35">
      <c r="A90" s="270"/>
      <c r="B90" s="68"/>
      <c r="C90" s="68"/>
      <c r="D90" s="300"/>
      <c r="E90" s="68"/>
      <c r="F90" s="76"/>
      <c r="G90" s="76"/>
      <c r="H90" s="301"/>
      <c r="I90" s="67"/>
      <c r="J90" s="316"/>
      <c r="K90" s="320">
        <f t="shared" si="2"/>
        <v>0</v>
      </c>
    </row>
    <row r="91" spans="1:11" s="304" customFormat="1" ht="21" x14ac:dyDescent="0.35">
      <c r="A91" s="270">
        <v>14</v>
      </c>
      <c r="B91" s="68"/>
      <c r="C91" s="68" t="s">
        <v>822</v>
      </c>
      <c r="D91" s="300"/>
      <c r="E91" s="68"/>
      <c r="F91" s="76"/>
      <c r="G91" s="76"/>
      <c r="H91" s="301"/>
      <c r="I91" s="67"/>
      <c r="J91" s="316"/>
      <c r="K91" s="320">
        <f t="shared" si="2"/>
        <v>0</v>
      </c>
    </row>
    <row r="92" spans="1:11" s="304" customFormat="1" ht="21" x14ac:dyDescent="0.35">
      <c r="A92" s="270"/>
      <c r="B92" s="68">
        <v>35</v>
      </c>
      <c r="C92" s="68" t="s">
        <v>1083</v>
      </c>
      <c r="D92" s="300">
        <v>30</v>
      </c>
      <c r="E92" s="68">
        <v>30</v>
      </c>
      <c r="F92" s="76">
        <v>1950</v>
      </c>
      <c r="G92" s="76">
        <f>E92*F92</f>
        <v>58500</v>
      </c>
      <c r="H92" s="301"/>
      <c r="I92" s="67"/>
      <c r="J92" s="316">
        <v>30</v>
      </c>
      <c r="K92" s="320">
        <f t="shared" si="2"/>
        <v>58500</v>
      </c>
    </row>
    <row r="93" spans="1:11" s="304" customFormat="1" ht="21" x14ac:dyDescent="0.35">
      <c r="A93" s="270"/>
      <c r="B93" s="68">
        <v>37</v>
      </c>
      <c r="C93" s="68" t="s">
        <v>1085</v>
      </c>
      <c r="D93" s="300">
        <v>30</v>
      </c>
      <c r="E93" s="68">
        <v>30</v>
      </c>
      <c r="F93" s="76">
        <v>1350</v>
      </c>
      <c r="G93" s="76">
        <f>E93*F93</f>
        <v>40500</v>
      </c>
      <c r="H93" s="305"/>
      <c r="I93" s="306"/>
      <c r="J93" s="316">
        <v>30</v>
      </c>
      <c r="K93" s="320">
        <f t="shared" si="2"/>
        <v>40500</v>
      </c>
    </row>
    <row r="94" spans="1:11" s="304" customFormat="1" ht="21" x14ac:dyDescent="0.35">
      <c r="A94" s="270"/>
      <c r="B94" s="68">
        <v>182</v>
      </c>
      <c r="C94" s="68" t="s">
        <v>1082</v>
      </c>
      <c r="D94" s="300" t="s">
        <v>57</v>
      </c>
      <c r="E94" s="68">
        <v>250</v>
      </c>
      <c r="F94" s="76">
        <v>900</v>
      </c>
      <c r="G94" s="76">
        <f>E94*F94</f>
        <v>225000</v>
      </c>
      <c r="H94" s="301"/>
      <c r="I94" s="67"/>
      <c r="J94" s="316">
        <v>250</v>
      </c>
      <c r="K94" s="320">
        <f t="shared" si="2"/>
        <v>225000</v>
      </c>
    </row>
    <row r="95" spans="1:11" s="304" customFormat="1" ht="21" x14ac:dyDescent="0.35">
      <c r="A95" s="270"/>
      <c r="B95" s="68">
        <v>139</v>
      </c>
      <c r="C95" s="68" t="s">
        <v>103</v>
      </c>
      <c r="D95" s="300">
        <v>100</v>
      </c>
      <c r="E95" s="68">
        <v>300</v>
      </c>
      <c r="F95" s="76">
        <v>1550</v>
      </c>
      <c r="G95" s="76">
        <f>E95*F95</f>
        <v>465000</v>
      </c>
      <c r="H95" s="305">
        <f>SUM(G92:G95)</f>
        <v>789000</v>
      </c>
      <c r="I95" s="306"/>
      <c r="J95" s="316">
        <v>300</v>
      </c>
      <c r="K95" s="320">
        <f t="shared" si="2"/>
        <v>465000</v>
      </c>
    </row>
    <row r="96" spans="1:11" s="304" customFormat="1" ht="21" x14ac:dyDescent="0.35">
      <c r="A96" s="270"/>
      <c r="B96" s="68"/>
      <c r="C96" s="68"/>
      <c r="D96" s="300"/>
      <c r="E96" s="68"/>
      <c r="F96" s="76"/>
      <c r="G96" s="76"/>
      <c r="H96" s="305"/>
      <c r="I96" s="306"/>
      <c r="J96" s="316"/>
      <c r="K96" s="320">
        <f t="shared" si="2"/>
        <v>0</v>
      </c>
    </row>
    <row r="97" spans="1:11" s="304" customFormat="1" ht="21" x14ac:dyDescent="0.35">
      <c r="A97" s="270">
        <v>15</v>
      </c>
      <c r="B97" s="68"/>
      <c r="C97" s="68" t="s">
        <v>1089</v>
      </c>
      <c r="D97" s="300"/>
      <c r="E97" s="68"/>
      <c r="F97" s="76"/>
      <c r="G97" s="76"/>
      <c r="H97" s="301"/>
      <c r="I97" s="67"/>
      <c r="J97" s="316"/>
      <c r="K97" s="320">
        <f t="shared" si="2"/>
        <v>0</v>
      </c>
    </row>
    <row r="98" spans="1:11" s="304" customFormat="1" ht="21" x14ac:dyDescent="0.35">
      <c r="A98" s="270"/>
      <c r="B98" s="68">
        <v>256</v>
      </c>
      <c r="C98" s="68" t="s">
        <v>1090</v>
      </c>
      <c r="D98" s="300">
        <v>30</v>
      </c>
      <c r="E98" s="68">
        <v>50</v>
      </c>
      <c r="F98" s="76">
        <v>2300</v>
      </c>
      <c r="G98" s="76">
        <f>E98*F98</f>
        <v>115000</v>
      </c>
      <c r="H98" s="305">
        <f>SUM(G97:G98)</f>
        <v>115000</v>
      </c>
      <c r="I98" s="306"/>
      <c r="J98" s="316">
        <v>50</v>
      </c>
      <c r="K98" s="320">
        <f t="shared" si="2"/>
        <v>115000</v>
      </c>
    </row>
    <row r="99" spans="1:11" s="304" customFormat="1" ht="21" x14ac:dyDescent="0.35">
      <c r="A99" s="270"/>
      <c r="B99" s="68"/>
      <c r="C99" s="68"/>
      <c r="D99" s="300"/>
      <c r="E99" s="68"/>
      <c r="F99" s="76"/>
      <c r="G99" s="76"/>
      <c r="H99" s="301"/>
      <c r="I99" s="67"/>
      <c r="J99" s="316"/>
      <c r="K99" s="320">
        <f t="shared" si="2"/>
        <v>0</v>
      </c>
    </row>
    <row r="100" spans="1:11" s="304" customFormat="1" ht="21" x14ac:dyDescent="0.35">
      <c r="A100" s="270">
        <v>16</v>
      </c>
      <c r="B100" s="68"/>
      <c r="C100" s="68" t="s">
        <v>1112</v>
      </c>
      <c r="D100" s="300"/>
      <c r="E100" s="68"/>
      <c r="F100" s="76"/>
      <c r="G100" s="76"/>
      <c r="H100" s="301"/>
      <c r="I100" s="67"/>
      <c r="J100" s="316"/>
      <c r="K100" s="320">
        <f t="shared" si="2"/>
        <v>0</v>
      </c>
    </row>
    <row r="101" spans="1:11" s="304" customFormat="1" ht="21" x14ac:dyDescent="0.35">
      <c r="A101" s="270"/>
      <c r="B101" s="68">
        <v>178</v>
      </c>
      <c r="C101" s="68" t="s">
        <v>132</v>
      </c>
      <c r="D101" s="300">
        <v>10</v>
      </c>
      <c r="E101" s="68">
        <v>20</v>
      </c>
      <c r="F101" s="76">
        <v>1595</v>
      </c>
      <c r="G101" s="76">
        <f>E101*F101</f>
        <v>31900</v>
      </c>
      <c r="H101" s="305">
        <f>SUM(G101:G101)</f>
        <v>31900</v>
      </c>
      <c r="I101" s="306"/>
      <c r="J101" s="316">
        <v>20</v>
      </c>
      <c r="K101" s="320">
        <f t="shared" si="2"/>
        <v>31900</v>
      </c>
    </row>
    <row r="102" spans="1:11" s="304" customFormat="1" ht="21" x14ac:dyDescent="0.35">
      <c r="A102" s="270"/>
      <c r="B102" s="68"/>
      <c r="C102" s="68"/>
      <c r="D102" s="300"/>
      <c r="E102" s="68"/>
      <c r="F102" s="76"/>
      <c r="G102" s="76"/>
      <c r="H102" s="305"/>
      <c r="I102" s="306"/>
      <c r="J102" s="316"/>
      <c r="K102" s="320">
        <f t="shared" si="2"/>
        <v>0</v>
      </c>
    </row>
    <row r="103" spans="1:11" s="304" customFormat="1" ht="21" x14ac:dyDescent="0.35">
      <c r="A103" s="270">
        <v>17</v>
      </c>
      <c r="B103" s="68"/>
      <c r="C103" s="68" t="s">
        <v>833</v>
      </c>
      <c r="D103" s="300"/>
      <c r="E103" s="68"/>
      <c r="F103" s="76"/>
      <c r="G103" s="76"/>
      <c r="H103" s="301"/>
      <c r="I103" s="67"/>
      <c r="J103" s="316"/>
      <c r="K103" s="320">
        <f t="shared" si="2"/>
        <v>0</v>
      </c>
    </row>
    <row r="104" spans="1:11" s="304" customFormat="1" ht="21" x14ac:dyDescent="0.35">
      <c r="A104" s="270"/>
      <c r="B104" s="68">
        <v>12</v>
      </c>
      <c r="C104" s="68" t="s">
        <v>1086</v>
      </c>
      <c r="D104" s="300">
        <v>4</v>
      </c>
      <c r="E104" s="68">
        <v>200</v>
      </c>
      <c r="F104" s="76">
        <v>800</v>
      </c>
      <c r="G104" s="76">
        <f>E104*F104</f>
        <v>160000</v>
      </c>
      <c r="H104" s="305">
        <f>SUM(G104:G104)</f>
        <v>160000</v>
      </c>
      <c r="I104" s="306"/>
      <c r="J104" s="316">
        <v>200</v>
      </c>
      <c r="K104" s="320">
        <f t="shared" si="2"/>
        <v>160000</v>
      </c>
    </row>
    <row r="105" spans="1:11" s="304" customFormat="1" ht="21" x14ac:dyDescent="0.35">
      <c r="A105" s="270"/>
      <c r="B105" s="68"/>
      <c r="C105" s="68"/>
      <c r="D105" s="300"/>
      <c r="E105" s="68"/>
      <c r="F105" s="76"/>
      <c r="G105" s="76"/>
      <c r="H105" s="301"/>
      <c r="I105" s="67"/>
      <c r="J105" s="316"/>
      <c r="K105" s="320">
        <f t="shared" si="2"/>
        <v>0</v>
      </c>
    </row>
    <row r="106" spans="1:11" s="304" customFormat="1" ht="16.5" customHeight="1" x14ac:dyDescent="0.35">
      <c r="A106" s="270">
        <v>18</v>
      </c>
      <c r="B106" s="68"/>
      <c r="C106" s="68" t="s">
        <v>881</v>
      </c>
      <c r="D106" s="300"/>
      <c r="E106" s="68"/>
      <c r="F106" s="76"/>
      <c r="G106" s="76"/>
      <c r="H106" s="301"/>
      <c r="I106" s="67"/>
      <c r="J106" s="316"/>
      <c r="K106" s="320">
        <f t="shared" si="2"/>
        <v>0</v>
      </c>
    </row>
    <row r="107" spans="1:11" s="304" customFormat="1" ht="16.5" customHeight="1" x14ac:dyDescent="0.35">
      <c r="A107" s="270"/>
      <c r="B107" s="68">
        <v>129</v>
      </c>
      <c r="C107" s="68" t="s">
        <v>1105</v>
      </c>
      <c r="D107" s="300">
        <v>100</v>
      </c>
      <c r="E107" s="68">
        <v>25</v>
      </c>
      <c r="F107" s="76">
        <v>380</v>
      </c>
      <c r="G107" s="76">
        <f>E107*F107</f>
        <v>9500</v>
      </c>
      <c r="H107" s="301"/>
      <c r="I107" s="67"/>
      <c r="J107" s="316">
        <v>25</v>
      </c>
      <c r="K107" s="320">
        <f t="shared" si="2"/>
        <v>9500</v>
      </c>
    </row>
    <row r="108" spans="1:11" s="304" customFormat="1" ht="16.5" customHeight="1" x14ac:dyDescent="0.35">
      <c r="A108" s="270"/>
      <c r="B108" s="68">
        <v>275</v>
      </c>
      <c r="C108" s="68" t="s">
        <v>192</v>
      </c>
      <c r="D108" s="300">
        <v>100</v>
      </c>
      <c r="E108" s="68">
        <v>150</v>
      </c>
      <c r="F108" s="76">
        <v>3750</v>
      </c>
      <c r="G108" s="76">
        <f>E108*F108</f>
        <v>562500</v>
      </c>
      <c r="H108" s="301"/>
      <c r="I108" s="67"/>
      <c r="J108" s="316">
        <v>150</v>
      </c>
      <c r="K108" s="320">
        <f t="shared" si="2"/>
        <v>562500</v>
      </c>
    </row>
    <row r="109" spans="1:11" s="304" customFormat="1" ht="16.5" customHeight="1" x14ac:dyDescent="0.35">
      <c r="A109" s="270"/>
      <c r="B109" s="68">
        <v>209</v>
      </c>
      <c r="C109" s="68" t="s">
        <v>154</v>
      </c>
      <c r="D109" s="300">
        <v>100</v>
      </c>
      <c r="E109" s="68">
        <v>20</v>
      </c>
      <c r="F109" s="76">
        <v>1550</v>
      </c>
      <c r="G109" s="76">
        <f>E109*F109</f>
        <v>31000</v>
      </c>
      <c r="H109" s="305">
        <f>SUM(G107:G109)</f>
        <v>603000</v>
      </c>
      <c r="I109" s="306"/>
      <c r="J109" s="316">
        <v>20</v>
      </c>
      <c r="K109" s="320">
        <f t="shared" si="2"/>
        <v>31000</v>
      </c>
    </row>
    <row r="110" spans="1:11" s="304" customFormat="1" ht="16.5" customHeight="1" x14ac:dyDescent="0.35">
      <c r="A110" s="270"/>
      <c r="B110" s="68"/>
      <c r="C110" s="68"/>
      <c r="D110" s="300"/>
      <c r="E110" s="68"/>
      <c r="F110" s="76"/>
      <c r="G110" s="76"/>
      <c r="H110" s="305"/>
      <c r="I110" s="306"/>
      <c r="J110" s="316"/>
      <c r="K110" s="320">
        <f t="shared" si="2"/>
        <v>0</v>
      </c>
    </row>
    <row r="111" spans="1:11" s="304" customFormat="1" ht="21" x14ac:dyDescent="0.35">
      <c r="A111" s="270">
        <v>19</v>
      </c>
      <c r="B111" s="68"/>
      <c r="C111" s="68" t="s">
        <v>1106</v>
      </c>
      <c r="D111" s="300"/>
      <c r="E111" s="68"/>
      <c r="F111" s="76"/>
      <c r="G111" s="76"/>
      <c r="H111" s="301"/>
      <c r="I111" s="67"/>
      <c r="J111" s="316"/>
      <c r="K111" s="320">
        <f t="shared" si="2"/>
        <v>0</v>
      </c>
    </row>
    <row r="112" spans="1:11" s="304" customFormat="1" ht="21" x14ac:dyDescent="0.35">
      <c r="A112" s="270"/>
      <c r="B112" s="68">
        <v>67</v>
      </c>
      <c r="C112" s="68" t="s">
        <v>1107</v>
      </c>
      <c r="D112" s="300">
        <v>30</v>
      </c>
      <c r="E112" s="68">
        <v>50</v>
      </c>
      <c r="F112" s="76">
        <v>1000</v>
      </c>
      <c r="G112" s="76">
        <f>E112*F112</f>
        <v>50000</v>
      </c>
      <c r="H112" s="305">
        <f>SUM(G112:G112)</f>
        <v>50000</v>
      </c>
      <c r="I112" s="306"/>
      <c r="J112" s="316">
        <v>50</v>
      </c>
      <c r="K112" s="320">
        <f t="shared" si="2"/>
        <v>50000</v>
      </c>
    </row>
    <row r="113" spans="1:11" s="304" customFormat="1" ht="21" x14ac:dyDescent="0.35">
      <c r="A113" s="270"/>
      <c r="B113" s="68"/>
      <c r="C113" s="68"/>
      <c r="D113" s="300"/>
      <c r="E113" s="68"/>
      <c r="F113" s="76"/>
      <c r="G113" s="76"/>
      <c r="H113" s="301"/>
      <c r="I113" s="67"/>
      <c r="J113" s="316"/>
      <c r="K113" s="320">
        <f t="shared" si="2"/>
        <v>0</v>
      </c>
    </row>
    <row r="114" spans="1:11" s="304" customFormat="1" ht="21" x14ac:dyDescent="0.35">
      <c r="A114" s="270">
        <v>20</v>
      </c>
      <c r="B114" s="68"/>
      <c r="C114" s="68" t="s">
        <v>1166</v>
      </c>
      <c r="D114" s="300"/>
      <c r="E114" s="68"/>
      <c r="F114" s="76"/>
      <c r="G114" s="76"/>
      <c r="H114" s="301"/>
      <c r="I114" s="67"/>
      <c r="J114" s="316"/>
      <c r="K114" s="320">
        <f t="shared" si="2"/>
        <v>0</v>
      </c>
    </row>
    <row r="115" spans="1:11" s="304" customFormat="1" ht="21" x14ac:dyDescent="0.35">
      <c r="A115" s="270"/>
      <c r="B115" s="68">
        <v>147</v>
      </c>
      <c r="C115" s="68" t="s">
        <v>108</v>
      </c>
      <c r="D115" s="300">
        <v>30</v>
      </c>
      <c r="E115" s="68">
        <v>100</v>
      </c>
      <c r="F115" s="76">
        <v>2400</v>
      </c>
      <c r="G115" s="76">
        <f>E115*F115</f>
        <v>240000</v>
      </c>
      <c r="H115" s="305">
        <f>SUM(G115:G115)</f>
        <v>240000</v>
      </c>
      <c r="I115" s="306"/>
      <c r="J115" s="316">
        <v>100</v>
      </c>
      <c r="K115" s="320">
        <f t="shared" si="2"/>
        <v>240000</v>
      </c>
    </row>
    <row r="116" spans="1:11" s="304" customFormat="1" ht="21" x14ac:dyDescent="0.35">
      <c r="A116" s="270"/>
      <c r="B116" s="68"/>
      <c r="C116" s="68"/>
      <c r="D116" s="300"/>
      <c r="E116" s="68"/>
      <c r="F116" s="76"/>
      <c r="G116" s="76"/>
      <c r="H116" s="301"/>
      <c r="I116" s="67"/>
      <c r="J116" s="316"/>
      <c r="K116" s="320">
        <f t="shared" si="2"/>
        <v>0</v>
      </c>
    </row>
    <row r="117" spans="1:11" s="304" customFormat="1" ht="21" x14ac:dyDescent="0.35">
      <c r="A117" s="270">
        <v>21</v>
      </c>
      <c r="B117" s="68"/>
      <c r="C117" s="68" t="s">
        <v>879</v>
      </c>
      <c r="D117" s="300"/>
      <c r="E117" s="68"/>
      <c r="F117" s="76"/>
      <c r="G117" s="76"/>
      <c r="H117" s="301"/>
      <c r="I117" s="67"/>
      <c r="J117" s="316"/>
      <c r="K117" s="320">
        <f t="shared" si="2"/>
        <v>0</v>
      </c>
    </row>
    <row r="118" spans="1:11" s="304" customFormat="1" ht="21" x14ac:dyDescent="0.35">
      <c r="A118" s="270"/>
      <c r="B118" s="68">
        <v>21</v>
      </c>
      <c r="C118" s="68" t="s">
        <v>21</v>
      </c>
      <c r="D118" s="300">
        <v>20</v>
      </c>
      <c r="E118" s="68">
        <v>15</v>
      </c>
      <c r="F118" s="76">
        <v>8060</v>
      </c>
      <c r="G118" s="76">
        <f>E118*F118</f>
        <v>120900</v>
      </c>
      <c r="H118" s="301"/>
      <c r="I118" s="67"/>
      <c r="J118" s="316"/>
      <c r="K118" s="320">
        <f t="shared" si="2"/>
        <v>0</v>
      </c>
    </row>
    <row r="119" spans="1:11" s="304" customFormat="1" ht="21" x14ac:dyDescent="0.35">
      <c r="A119" s="270"/>
      <c r="B119" s="68">
        <v>40</v>
      </c>
      <c r="C119" s="68" t="s">
        <v>1167</v>
      </c>
      <c r="D119" s="300">
        <v>28</v>
      </c>
      <c r="E119" s="68">
        <v>100</v>
      </c>
      <c r="F119" s="76">
        <v>165</v>
      </c>
      <c r="G119" s="76">
        <f>E119*F119</f>
        <v>16500</v>
      </c>
      <c r="H119" s="301"/>
      <c r="I119" s="67"/>
      <c r="J119" s="316"/>
      <c r="K119" s="320">
        <f t="shared" si="2"/>
        <v>0</v>
      </c>
    </row>
    <row r="120" spans="1:11" s="304" customFormat="1" ht="21" x14ac:dyDescent="0.35">
      <c r="A120" s="270"/>
      <c r="B120" s="68">
        <v>257</v>
      </c>
      <c r="C120" s="68" t="s">
        <v>1168</v>
      </c>
      <c r="D120" s="300">
        <v>30</v>
      </c>
      <c r="E120" s="68">
        <v>120</v>
      </c>
      <c r="F120" s="76">
        <v>170</v>
      </c>
      <c r="G120" s="76">
        <f>E120*F120</f>
        <v>20400</v>
      </c>
      <c r="H120" s="305">
        <f>SUM(G118:G120)</f>
        <v>157800</v>
      </c>
      <c r="I120" s="306"/>
      <c r="J120" s="316"/>
      <c r="K120" s="320">
        <f t="shared" ref="K120:K154" si="3">J120*F120</f>
        <v>0</v>
      </c>
    </row>
    <row r="121" spans="1:11" s="304" customFormat="1" ht="21" x14ac:dyDescent="0.35">
      <c r="A121" s="270"/>
      <c r="B121" s="68"/>
      <c r="C121" s="68"/>
      <c r="D121" s="300"/>
      <c r="E121" s="68"/>
      <c r="F121" s="76"/>
      <c r="G121" s="76"/>
      <c r="H121" s="305"/>
      <c r="I121" s="306"/>
      <c r="J121" s="316"/>
      <c r="K121" s="320">
        <f t="shared" si="3"/>
        <v>0</v>
      </c>
    </row>
    <row r="122" spans="1:11" s="304" customFormat="1" ht="21" x14ac:dyDescent="0.35">
      <c r="A122" s="270">
        <v>22</v>
      </c>
      <c r="B122" s="68"/>
      <c r="C122" s="68" t="s">
        <v>1088</v>
      </c>
      <c r="D122" s="300"/>
      <c r="E122" s="68"/>
      <c r="F122" s="76"/>
      <c r="G122" s="76"/>
      <c r="H122" s="301"/>
      <c r="I122" s="67"/>
      <c r="J122" s="316"/>
      <c r="K122" s="320">
        <f t="shared" si="3"/>
        <v>0</v>
      </c>
    </row>
    <row r="123" spans="1:11" s="304" customFormat="1" ht="21" x14ac:dyDescent="0.35">
      <c r="A123" s="270"/>
      <c r="B123" s="68">
        <v>399</v>
      </c>
      <c r="C123" s="68" t="s">
        <v>297</v>
      </c>
      <c r="D123" s="300">
        <v>100</v>
      </c>
      <c r="E123" s="68">
        <v>50</v>
      </c>
      <c r="F123" s="76">
        <v>245</v>
      </c>
      <c r="G123" s="76">
        <f>E123*F123</f>
        <v>12250</v>
      </c>
      <c r="H123" s="301"/>
      <c r="I123" s="67"/>
      <c r="J123" s="316">
        <v>50</v>
      </c>
      <c r="K123" s="320">
        <f t="shared" si="3"/>
        <v>12250</v>
      </c>
    </row>
    <row r="124" spans="1:11" s="304" customFormat="1" ht="21" x14ac:dyDescent="0.35">
      <c r="A124" s="270"/>
      <c r="B124" s="68">
        <v>276</v>
      </c>
      <c r="C124" s="68" t="s">
        <v>1096</v>
      </c>
      <c r="D124" s="300">
        <v>1000</v>
      </c>
      <c r="E124" s="68">
        <v>30</v>
      </c>
      <c r="F124" s="76">
        <v>380</v>
      </c>
      <c r="G124" s="76">
        <f>E124*F124</f>
        <v>11400</v>
      </c>
      <c r="H124" s="305">
        <f>SUM(G123:G124)</f>
        <v>23650</v>
      </c>
      <c r="I124" s="306"/>
      <c r="J124" s="316">
        <v>30</v>
      </c>
      <c r="K124" s="320">
        <f t="shared" si="3"/>
        <v>11400</v>
      </c>
    </row>
    <row r="125" spans="1:11" s="304" customFormat="1" ht="21" x14ac:dyDescent="0.35">
      <c r="A125" s="270"/>
      <c r="B125" s="68"/>
      <c r="C125" s="68"/>
      <c r="D125" s="300"/>
      <c r="E125" s="68"/>
      <c r="F125" s="76"/>
      <c r="G125" s="76"/>
      <c r="H125" s="305"/>
      <c r="I125" s="306"/>
      <c r="J125" s="316"/>
      <c r="K125" s="320">
        <f t="shared" si="3"/>
        <v>0</v>
      </c>
    </row>
    <row r="126" spans="1:11" s="304" customFormat="1" ht="21" x14ac:dyDescent="0.35">
      <c r="A126" s="270"/>
      <c r="B126" s="68"/>
      <c r="C126" s="68"/>
      <c r="D126" s="300"/>
      <c r="E126" s="68"/>
      <c r="F126" s="76"/>
      <c r="G126" s="76"/>
      <c r="H126" s="305"/>
      <c r="I126" s="306"/>
      <c r="J126" s="316"/>
      <c r="K126" s="320"/>
    </row>
    <row r="127" spans="1:11" s="304" customFormat="1" ht="21" x14ac:dyDescent="0.35">
      <c r="A127" s="270">
        <v>23</v>
      </c>
      <c r="B127" s="68"/>
      <c r="C127" s="68" t="s">
        <v>901</v>
      </c>
      <c r="D127" s="300"/>
      <c r="E127" s="68"/>
      <c r="F127" s="76"/>
      <c r="G127" s="76"/>
      <c r="H127" s="301"/>
      <c r="I127" s="67"/>
      <c r="J127" s="316"/>
      <c r="K127" s="320">
        <f t="shared" si="3"/>
        <v>0</v>
      </c>
    </row>
    <row r="128" spans="1:11" s="304" customFormat="1" ht="21" x14ac:dyDescent="0.35">
      <c r="A128" s="270"/>
      <c r="B128" s="68">
        <v>5</v>
      </c>
      <c r="C128" s="68" t="s">
        <v>714</v>
      </c>
      <c r="D128" s="300">
        <v>6</v>
      </c>
      <c r="E128" s="68">
        <v>150</v>
      </c>
      <c r="F128" s="76">
        <v>134.82</v>
      </c>
      <c r="G128" s="76">
        <f>E128*F128</f>
        <v>20223</v>
      </c>
      <c r="H128" s="301"/>
      <c r="I128" s="67"/>
      <c r="J128" s="316">
        <v>150</v>
      </c>
      <c r="K128" s="320">
        <f t="shared" si="3"/>
        <v>20223</v>
      </c>
    </row>
    <row r="129" spans="1:11" s="304" customFormat="1" ht="21" x14ac:dyDescent="0.35">
      <c r="A129" s="270"/>
      <c r="B129" s="68">
        <v>548</v>
      </c>
      <c r="C129" s="68" t="s">
        <v>1104</v>
      </c>
      <c r="D129" s="300" t="s">
        <v>144</v>
      </c>
      <c r="E129" s="68">
        <v>24</v>
      </c>
      <c r="F129" s="76">
        <v>117.97</v>
      </c>
      <c r="G129" s="76">
        <f>E129*F129</f>
        <v>2831.2799999999997</v>
      </c>
      <c r="H129" s="305"/>
      <c r="I129" s="306"/>
      <c r="J129" s="316">
        <v>24</v>
      </c>
      <c r="K129" s="320">
        <f t="shared" si="3"/>
        <v>2831.2799999999997</v>
      </c>
    </row>
    <row r="130" spans="1:11" s="304" customFormat="1" ht="21" x14ac:dyDescent="0.35">
      <c r="A130" s="270"/>
      <c r="B130" s="68">
        <v>402</v>
      </c>
      <c r="C130" s="68" t="s">
        <v>300</v>
      </c>
      <c r="D130" s="300">
        <v>100</v>
      </c>
      <c r="E130" s="68">
        <v>15</v>
      </c>
      <c r="F130" s="76">
        <v>1685.25</v>
      </c>
      <c r="G130" s="76">
        <f>E130*F130</f>
        <v>25278.75</v>
      </c>
      <c r="H130" s="305">
        <f>SUM(G128:G130)</f>
        <v>48333.03</v>
      </c>
      <c r="I130" s="306"/>
      <c r="J130" s="316">
        <v>15</v>
      </c>
      <c r="K130" s="320">
        <f t="shared" si="3"/>
        <v>25278.75</v>
      </c>
    </row>
    <row r="131" spans="1:11" s="304" customFormat="1" ht="21" x14ac:dyDescent="0.35">
      <c r="A131" s="270"/>
      <c r="B131" s="68"/>
      <c r="C131" s="68"/>
      <c r="D131" s="300"/>
      <c r="E131" s="68"/>
      <c r="F131" s="76"/>
      <c r="G131" s="76"/>
      <c r="H131" s="305"/>
      <c r="I131" s="306"/>
      <c r="J131" s="316"/>
      <c r="K131" s="320">
        <f t="shared" si="3"/>
        <v>0</v>
      </c>
    </row>
    <row r="132" spans="1:11" s="304" customFormat="1" ht="21" x14ac:dyDescent="0.35">
      <c r="A132" s="270">
        <v>24</v>
      </c>
      <c r="B132" s="68"/>
      <c r="C132" s="68" t="s">
        <v>902</v>
      </c>
      <c r="D132" s="300"/>
      <c r="E132" s="68"/>
      <c r="F132" s="76"/>
      <c r="G132" s="76"/>
      <c r="H132" s="305"/>
      <c r="I132" s="306"/>
      <c r="J132" s="316"/>
      <c r="K132" s="320">
        <f t="shared" si="3"/>
        <v>0</v>
      </c>
    </row>
    <row r="133" spans="1:11" s="304" customFormat="1" ht="21" x14ac:dyDescent="0.35">
      <c r="A133" s="270"/>
      <c r="B133" s="68">
        <v>216</v>
      </c>
      <c r="C133" s="68" t="s">
        <v>1161</v>
      </c>
      <c r="D133" s="300" t="s">
        <v>144</v>
      </c>
      <c r="E133" s="68">
        <v>500</v>
      </c>
      <c r="F133" s="76">
        <v>90</v>
      </c>
      <c r="G133" s="76">
        <f>E133*F133</f>
        <v>45000</v>
      </c>
      <c r="H133" s="305">
        <f>SUM(G133:G133)</f>
        <v>45000</v>
      </c>
      <c r="I133" s="306"/>
      <c r="J133" s="316">
        <v>500</v>
      </c>
      <c r="K133" s="320">
        <f t="shared" si="3"/>
        <v>45000</v>
      </c>
    </row>
    <row r="134" spans="1:11" s="304" customFormat="1" ht="21" x14ac:dyDescent="0.35">
      <c r="A134" s="270"/>
      <c r="B134" s="68"/>
      <c r="C134" s="68"/>
      <c r="D134" s="300"/>
      <c r="E134" s="68"/>
      <c r="F134" s="76"/>
      <c r="G134" s="76"/>
      <c r="H134" s="301"/>
      <c r="I134" s="67"/>
      <c r="J134" s="316"/>
      <c r="K134" s="320">
        <f t="shared" si="3"/>
        <v>0</v>
      </c>
    </row>
    <row r="135" spans="1:11" s="304" customFormat="1" ht="21" x14ac:dyDescent="0.35">
      <c r="A135" s="270">
        <v>25</v>
      </c>
      <c r="B135" s="68"/>
      <c r="C135" s="68" t="s">
        <v>1110</v>
      </c>
      <c r="D135" s="300"/>
      <c r="E135" s="68"/>
      <c r="F135" s="76"/>
      <c r="G135" s="76"/>
      <c r="H135" s="301"/>
      <c r="I135" s="67"/>
      <c r="J135" s="316"/>
      <c r="K135" s="320">
        <f t="shared" si="3"/>
        <v>0</v>
      </c>
    </row>
    <row r="136" spans="1:11" s="304" customFormat="1" ht="21" x14ac:dyDescent="0.35">
      <c r="A136" s="270"/>
      <c r="B136" s="68">
        <v>289</v>
      </c>
      <c r="C136" s="68" t="s">
        <v>1081</v>
      </c>
      <c r="D136" s="300">
        <v>30</v>
      </c>
      <c r="E136" s="68">
        <v>50</v>
      </c>
      <c r="F136" s="76">
        <v>588</v>
      </c>
      <c r="G136" s="76">
        <f>E136*F136</f>
        <v>29400</v>
      </c>
      <c r="H136" s="305">
        <f>SUM(G136:G136)</f>
        <v>29400</v>
      </c>
      <c r="I136" s="306"/>
      <c r="J136" s="316">
        <v>50</v>
      </c>
      <c r="K136" s="320">
        <f t="shared" si="3"/>
        <v>29400</v>
      </c>
    </row>
    <row r="137" spans="1:11" s="304" customFormat="1" ht="21" x14ac:dyDescent="0.35">
      <c r="A137" s="270"/>
      <c r="B137" s="68"/>
      <c r="C137" s="68"/>
      <c r="D137" s="300"/>
      <c r="E137" s="68"/>
      <c r="F137" s="76"/>
      <c r="G137" s="76"/>
      <c r="H137" s="305"/>
      <c r="I137" s="306"/>
      <c r="J137" s="316"/>
      <c r="K137" s="320">
        <f t="shared" si="3"/>
        <v>0</v>
      </c>
    </row>
    <row r="138" spans="1:11" s="304" customFormat="1" ht="21" x14ac:dyDescent="0.35">
      <c r="A138" s="270">
        <v>26</v>
      </c>
      <c r="B138" s="68"/>
      <c r="C138" s="68" t="s">
        <v>904</v>
      </c>
      <c r="D138" s="300"/>
      <c r="E138" s="68"/>
      <c r="F138" s="76"/>
      <c r="G138" s="76"/>
      <c r="H138" s="301"/>
      <c r="I138" s="67"/>
      <c r="J138" s="316"/>
      <c r="K138" s="320">
        <f t="shared" si="3"/>
        <v>0</v>
      </c>
    </row>
    <row r="139" spans="1:11" s="304" customFormat="1" ht="21" x14ac:dyDescent="0.35">
      <c r="A139" s="270"/>
      <c r="B139" s="68">
        <v>157</v>
      </c>
      <c r="C139" s="68" t="s">
        <v>117</v>
      </c>
      <c r="D139" s="300">
        <v>100</v>
      </c>
      <c r="E139" s="68">
        <v>10</v>
      </c>
      <c r="F139" s="76">
        <v>680</v>
      </c>
      <c r="G139" s="76">
        <f>E139*F139</f>
        <v>6800</v>
      </c>
      <c r="H139" s="301"/>
      <c r="I139" s="67"/>
      <c r="J139" s="316"/>
      <c r="K139" s="320">
        <f t="shared" si="3"/>
        <v>0</v>
      </c>
    </row>
    <row r="140" spans="1:11" s="304" customFormat="1" ht="21" x14ac:dyDescent="0.35">
      <c r="A140" s="270"/>
      <c r="B140" s="68">
        <v>210</v>
      </c>
      <c r="C140" s="68" t="s">
        <v>700</v>
      </c>
      <c r="D140" s="300" t="s">
        <v>656</v>
      </c>
      <c r="E140" s="68">
        <v>15</v>
      </c>
      <c r="F140" s="76">
        <v>350</v>
      </c>
      <c r="G140" s="76">
        <f>E140*F140</f>
        <v>5250</v>
      </c>
      <c r="H140" s="305"/>
      <c r="I140" s="306"/>
      <c r="J140" s="316"/>
      <c r="K140" s="320">
        <f t="shared" si="3"/>
        <v>0</v>
      </c>
    </row>
    <row r="141" spans="1:11" s="304" customFormat="1" ht="21" x14ac:dyDescent="0.35">
      <c r="A141" s="270"/>
      <c r="B141" s="68">
        <v>70</v>
      </c>
      <c r="C141" s="68" t="s">
        <v>63</v>
      </c>
      <c r="D141" s="300">
        <v>100</v>
      </c>
      <c r="E141" s="68">
        <v>50</v>
      </c>
      <c r="F141" s="76">
        <v>1450</v>
      </c>
      <c r="G141" s="76">
        <f>E141*F141</f>
        <v>72500</v>
      </c>
      <c r="H141" s="305"/>
      <c r="I141" s="306"/>
      <c r="J141" s="316"/>
      <c r="K141" s="320">
        <f t="shared" si="3"/>
        <v>0</v>
      </c>
    </row>
    <row r="142" spans="1:11" s="304" customFormat="1" ht="21" x14ac:dyDescent="0.35">
      <c r="A142" s="270"/>
      <c r="B142" s="68">
        <v>360</v>
      </c>
      <c r="C142" s="68" t="s">
        <v>262</v>
      </c>
      <c r="D142" s="300">
        <v>100</v>
      </c>
      <c r="E142" s="68">
        <v>16</v>
      </c>
      <c r="F142" s="76">
        <v>330</v>
      </c>
      <c r="G142" s="76">
        <f>E142*F142</f>
        <v>5280</v>
      </c>
      <c r="H142" s="305">
        <f>SUM(G139:G142)</f>
        <v>89830</v>
      </c>
      <c r="I142" s="306"/>
      <c r="J142" s="316"/>
      <c r="K142" s="320">
        <f t="shared" si="3"/>
        <v>0</v>
      </c>
    </row>
    <row r="143" spans="1:11" s="304" customFormat="1" ht="21" x14ac:dyDescent="0.35">
      <c r="A143" s="270"/>
      <c r="B143" s="68"/>
      <c r="C143" s="68"/>
      <c r="D143" s="300"/>
      <c r="E143" s="68"/>
      <c r="F143" s="76"/>
      <c r="G143" s="76"/>
      <c r="H143" s="301"/>
      <c r="I143" s="67"/>
      <c r="J143" s="316"/>
      <c r="K143" s="320">
        <f t="shared" si="3"/>
        <v>0</v>
      </c>
    </row>
    <row r="144" spans="1:11" s="304" customFormat="1" ht="21" x14ac:dyDescent="0.35">
      <c r="A144" s="270"/>
      <c r="B144" s="68"/>
      <c r="C144" s="68"/>
      <c r="D144" s="300"/>
      <c r="E144" s="68"/>
      <c r="F144" s="76"/>
      <c r="G144" s="76"/>
      <c r="H144" s="301"/>
      <c r="I144" s="67"/>
      <c r="J144" s="316"/>
      <c r="K144" s="320">
        <f t="shared" si="3"/>
        <v>0</v>
      </c>
    </row>
    <row r="145" spans="1:11" s="304" customFormat="1" ht="21" x14ac:dyDescent="0.35">
      <c r="A145" s="270">
        <v>27</v>
      </c>
      <c r="B145" s="68"/>
      <c r="C145" s="68" t="s">
        <v>905</v>
      </c>
      <c r="D145" s="300"/>
      <c r="E145" s="68"/>
      <c r="F145" s="76"/>
      <c r="G145" s="76"/>
      <c r="H145" s="301"/>
      <c r="I145" s="67"/>
      <c r="J145" s="316"/>
      <c r="K145" s="320">
        <f t="shared" si="3"/>
        <v>0</v>
      </c>
    </row>
    <row r="146" spans="1:11" s="304" customFormat="1" ht="21" x14ac:dyDescent="0.35">
      <c r="A146" s="270"/>
      <c r="B146" s="68">
        <v>43</v>
      </c>
      <c r="C146" s="68" t="s">
        <v>1118</v>
      </c>
      <c r="D146" s="300">
        <v>30</v>
      </c>
      <c r="E146" s="68">
        <v>10</v>
      </c>
      <c r="F146" s="76">
        <v>5247</v>
      </c>
      <c r="G146" s="76">
        <f t="shared" ref="G146:G154" si="4">E146*F146</f>
        <v>52470</v>
      </c>
      <c r="H146" s="301"/>
      <c r="I146" s="67"/>
      <c r="J146" s="316">
        <v>10</v>
      </c>
      <c r="K146" s="320">
        <f t="shared" si="3"/>
        <v>52470</v>
      </c>
    </row>
    <row r="147" spans="1:11" s="304" customFormat="1" ht="21" x14ac:dyDescent="0.35">
      <c r="A147" s="270"/>
      <c r="B147" s="68">
        <v>181</v>
      </c>
      <c r="C147" s="68" t="s">
        <v>1164</v>
      </c>
      <c r="D147" s="300" t="s">
        <v>57</v>
      </c>
      <c r="E147" s="68">
        <f>143*6</f>
        <v>858</v>
      </c>
      <c r="F147" s="76">
        <v>1850</v>
      </c>
      <c r="G147" s="76">
        <f t="shared" si="4"/>
        <v>1587300</v>
      </c>
      <c r="H147" s="301"/>
      <c r="I147" s="67"/>
      <c r="J147" s="316">
        <v>858</v>
      </c>
      <c r="K147" s="320">
        <f t="shared" si="3"/>
        <v>1587300</v>
      </c>
    </row>
    <row r="148" spans="1:11" s="304" customFormat="1" ht="21" x14ac:dyDescent="0.35">
      <c r="A148" s="270"/>
      <c r="B148" s="68">
        <v>192</v>
      </c>
      <c r="C148" s="68" t="s">
        <v>142</v>
      </c>
      <c r="D148" s="300">
        <v>16</v>
      </c>
      <c r="E148" s="68">
        <v>25</v>
      </c>
      <c r="F148" s="76">
        <v>2451</v>
      </c>
      <c r="G148" s="76">
        <f t="shared" si="4"/>
        <v>61275</v>
      </c>
      <c r="H148" s="301"/>
      <c r="I148" s="67"/>
      <c r="J148" s="316">
        <v>25</v>
      </c>
      <c r="K148" s="320">
        <f t="shared" si="3"/>
        <v>61275</v>
      </c>
    </row>
    <row r="149" spans="1:11" s="304" customFormat="1" ht="21" x14ac:dyDescent="0.35">
      <c r="A149" s="270"/>
      <c r="B149" s="68">
        <v>124</v>
      </c>
      <c r="C149" s="68" t="s">
        <v>98</v>
      </c>
      <c r="D149" s="300">
        <v>100</v>
      </c>
      <c r="E149" s="68">
        <v>50</v>
      </c>
      <c r="F149" s="76">
        <v>5282</v>
      </c>
      <c r="G149" s="76">
        <f t="shared" si="4"/>
        <v>264100</v>
      </c>
      <c r="H149" s="301"/>
      <c r="I149" s="67"/>
      <c r="J149" s="316">
        <v>50</v>
      </c>
      <c r="K149" s="320">
        <f t="shared" si="3"/>
        <v>264100</v>
      </c>
    </row>
    <row r="150" spans="1:11" s="304" customFormat="1" ht="21" x14ac:dyDescent="0.35">
      <c r="A150" s="270"/>
      <c r="B150" s="68">
        <v>420</v>
      </c>
      <c r="C150" s="68" t="s">
        <v>318</v>
      </c>
      <c r="D150" s="300" t="s">
        <v>144</v>
      </c>
      <c r="E150" s="68">
        <v>10</v>
      </c>
      <c r="F150" s="76">
        <v>640</v>
      </c>
      <c r="G150" s="76">
        <f t="shared" si="4"/>
        <v>6400</v>
      </c>
      <c r="H150" s="301"/>
      <c r="I150" s="67"/>
      <c r="J150" s="316"/>
      <c r="K150" s="320">
        <f t="shared" si="3"/>
        <v>0</v>
      </c>
    </row>
    <row r="151" spans="1:11" s="304" customFormat="1" ht="21" x14ac:dyDescent="0.35">
      <c r="A151" s="270"/>
      <c r="B151" s="68">
        <v>99</v>
      </c>
      <c r="C151" s="68" t="s">
        <v>1108</v>
      </c>
      <c r="D151" s="300" t="s">
        <v>144</v>
      </c>
      <c r="E151" s="68">
        <v>50</v>
      </c>
      <c r="F151" s="76">
        <v>2992</v>
      </c>
      <c r="G151" s="76">
        <f t="shared" si="4"/>
        <v>149600</v>
      </c>
      <c r="H151" s="305"/>
      <c r="I151" s="306"/>
      <c r="J151" s="316">
        <v>50</v>
      </c>
      <c r="K151" s="320">
        <f t="shared" si="3"/>
        <v>149600</v>
      </c>
    </row>
    <row r="152" spans="1:11" s="304" customFormat="1" ht="21" x14ac:dyDescent="0.35">
      <c r="A152" s="270"/>
      <c r="B152" s="68">
        <v>424</v>
      </c>
      <c r="C152" s="68" t="s">
        <v>1187</v>
      </c>
      <c r="D152" s="300" t="s">
        <v>144</v>
      </c>
      <c r="E152" s="68">
        <v>25</v>
      </c>
      <c r="F152" s="76">
        <v>4282</v>
      </c>
      <c r="G152" s="76">
        <f t="shared" si="4"/>
        <v>107050</v>
      </c>
      <c r="H152" s="301"/>
      <c r="I152" s="67"/>
      <c r="J152" s="316">
        <v>25</v>
      </c>
      <c r="K152" s="320">
        <f t="shared" si="3"/>
        <v>107050</v>
      </c>
    </row>
    <row r="153" spans="1:11" s="304" customFormat="1" ht="21" x14ac:dyDescent="0.35">
      <c r="A153" s="270"/>
      <c r="B153" s="68">
        <v>108</v>
      </c>
      <c r="C153" s="68" t="s">
        <v>1101</v>
      </c>
      <c r="D153" s="300" t="s">
        <v>57</v>
      </c>
      <c r="E153" s="68">
        <v>50</v>
      </c>
      <c r="F153" s="76">
        <v>2992</v>
      </c>
      <c r="G153" s="76">
        <f t="shared" si="4"/>
        <v>149600</v>
      </c>
      <c r="H153" s="301"/>
      <c r="I153" s="67"/>
      <c r="J153" s="316">
        <v>50</v>
      </c>
      <c r="K153" s="320">
        <f t="shared" si="3"/>
        <v>149600</v>
      </c>
    </row>
    <row r="154" spans="1:11" s="304" customFormat="1" ht="21" x14ac:dyDescent="0.35">
      <c r="A154" s="270"/>
      <c r="B154" s="68">
        <v>110</v>
      </c>
      <c r="C154" s="68" t="s">
        <v>1114</v>
      </c>
      <c r="D154" s="300">
        <v>60</v>
      </c>
      <c r="E154" s="68">
        <v>10</v>
      </c>
      <c r="F154" s="76">
        <v>10292</v>
      </c>
      <c r="G154" s="76">
        <f t="shared" si="4"/>
        <v>102920</v>
      </c>
      <c r="H154" s="305">
        <f>SUM(G146:G154)</f>
        <v>2480715</v>
      </c>
      <c r="I154" s="306"/>
      <c r="J154" s="316">
        <v>10</v>
      </c>
      <c r="K154" s="320">
        <f t="shared" si="3"/>
        <v>102920</v>
      </c>
    </row>
    <row r="155" spans="1:11" s="304" customFormat="1" ht="21.75" thickBot="1" x14ac:dyDescent="0.4">
      <c r="A155" s="307"/>
      <c r="B155" s="308"/>
      <c r="C155" s="308"/>
      <c r="D155" s="309"/>
      <c r="E155" s="308"/>
      <c r="F155" s="310"/>
      <c r="G155" s="310"/>
      <c r="H155" s="311"/>
      <c r="I155" s="306"/>
      <c r="J155" s="318"/>
      <c r="K155" s="319"/>
    </row>
    <row r="156" spans="1:11" ht="19.5" thickBot="1" x14ac:dyDescent="0.35"/>
    <row r="157" spans="1:11" ht="21.75" thickBot="1" x14ac:dyDescent="0.4">
      <c r="H157" s="280">
        <f>SUM(H5:H155)</f>
        <v>6903359.4300000006</v>
      </c>
      <c r="I157" s="80"/>
      <c r="K157" s="280">
        <f>SUM(K5:K155)</f>
        <v>6538709.4299999997</v>
      </c>
    </row>
    <row r="158" spans="1:11" x14ac:dyDescent="0.3">
      <c r="C158" s="8" t="s">
        <v>1198</v>
      </c>
      <c r="D158" s="54"/>
      <c r="E158" s="34"/>
    </row>
    <row r="160" spans="1:11" ht="19.5" thickBot="1" x14ac:dyDescent="0.35"/>
    <row r="161" spans="3:5" ht="27" thickBot="1" x14ac:dyDescent="0.45">
      <c r="C161" s="67" t="s">
        <v>1201</v>
      </c>
      <c r="D161" s="889">
        <f>H157</f>
        <v>6903359.4300000006</v>
      </c>
      <c r="E161" s="890"/>
    </row>
    <row r="162" spans="3:5" ht="19.5" thickBot="1" x14ac:dyDescent="0.35">
      <c r="C162" s="8"/>
      <c r="D162" s="182"/>
      <c r="E162" s="75"/>
    </row>
    <row r="163" spans="3:5" ht="27" thickBot="1" x14ac:dyDescent="0.45">
      <c r="C163" s="67" t="s">
        <v>1073</v>
      </c>
      <c r="D163" s="889">
        <f>H157-K157</f>
        <v>364650.00000000093</v>
      </c>
      <c r="E163" s="890"/>
    </row>
    <row r="164" spans="3:5" ht="19.5" thickBot="1" x14ac:dyDescent="0.35">
      <c r="C164" s="8"/>
      <c r="D164" s="182"/>
      <c r="E164" s="75"/>
    </row>
    <row r="165" spans="3:5" ht="27" thickBot="1" x14ac:dyDescent="0.45">
      <c r="C165" s="67" t="s">
        <v>1074</v>
      </c>
      <c r="D165" s="884">
        <f>K157/H157</f>
        <v>0.94717789161964572</v>
      </c>
      <c r="E165" s="885"/>
    </row>
  </sheetData>
  <mergeCells count="4">
    <mergeCell ref="D161:E161"/>
    <mergeCell ref="D163:E163"/>
    <mergeCell ref="D165:E165"/>
    <mergeCell ref="A1:H1"/>
  </mergeCells>
  <pageMargins left="0.25" right="0.25" top="0.27" bottom="0.28999999999999998" header="0.3" footer="0.3"/>
  <pageSetup paperSize="9" scale="63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J102"/>
  <sheetViews>
    <sheetView view="pageBreakPreview" topLeftCell="A78" zoomScale="60" zoomScaleNormal="70" workbookViewId="0">
      <selection activeCell="F100" sqref="F100"/>
    </sheetView>
  </sheetViews>
  <sheetFormatPr defaultRowHeight="18.75" x14ac:dyDescent="0.3"/>
  <cols>
    <col min="1" max="1" width="9.140625" style="353"/>
    <col min="2" max="2" width="79.42578125" style="354" customWidth="1"/>
    <col min="3" max="3" width="9.140625" style="355"/>
    <col min="4" max="4" width="16.28515625" style="353" customWidth="1"/>
    <col min="5" max="5" width="14.85546875" style="356" customWidth="1"/>
    <col min="6" max="6" width="17.28515625" style="328" customWidth="1"/>
    <col min="7" max="7" width="22.28515625" style="329" customWidth="1"/>
    <col min="8" max="8" width="6.28515625" style="325" customWidth="1"/>
    <col min="9" max="9" width="20.5703125" style="325" customWidth="1"/>
    <col min="10" max="10" width="28.7109375" style="325" customWidth="1"/>
    <col min="11" max="16384" width="9.140625" style="325"/>
  </cols>
  <sheetData>
    <row r="1" spans="1:10" ht="28.5" customHeight="1" x14ac:dyDescent="0.25">
      <c r="A1" s="895" t="s">
        <v>1189</v>
      </c>
      <c r="B1" s="895"/>
      <c r="C1" s="895"/>
      <c r="D1" s="895"/>
      <c r="E1" s="895"/>
      <c r="F1" s="895"/>
      <c r="G1" s="895"/>
    </row>
    <row r="2" spans="1:10" ht="19.5" thickBot="1" x14ac:dyDescent="0.35">
      <c r="A2" s="325"/>
      <c r="B2" s="326"/>
      <c r="C2" s="327"/>
      <c r="D2" s="325"/>
      <c r="E2" s="328"/>
    </row>
    <row r="3" spans="1:10" ht="37.5" x14ac:dyDescent="0.25">
      <c r="A3" s="330" t="s">
        <v>658</v>
      </c>
      <c r="B3" s="331" t="s">
        <v>660</v>
      </c>
      <c r="C3" s="331" t="s">
        <v>500</v>
      </c>
      <c r="D3" s="332" t="s">
        <v>1078</v>
      </c>
      <c r="E3" s="333" t="s">
        <v>661</v>
      </c>
      <c r="F3" s="334" t="s">
        <v>550</v>
      </c>
      <c r="G3" s="331" t="s">
        <v>1109</v>
      </c>
      <c r="I3" s="335" t="s">
        <v>1069</v>
      </c>
      <c r="J3" s="336" t="s">
        <v>1071</v>
      </c>
    </row>
    <row r="4" spans="1:10" ht="21" x14ac:dyDescent="0.35">
      <c r="A4" s="330"/>
      <c r="B4" s="331"/>
      <c r="C4" s="331"/>
      <c r="D4" s="332"/>
      <c r="E4" s="333"/>
      <c r="F4" s="334"/>
      <c r="G4" s="331"/>
      <c r="I4" s="337"/>
      <c r="J4" s="338"/>
    </row>
    <row r="5" spans="1:10" ht="21" x14ac:dyDescent="0.35">
      <c r="A5" s="339">
        <v>1</v>
      </c>
      <c r="B5" s="340" t="s">
        <v>1119</v>
      </c>
      <c r="C5" s="341"/>
      <c r="D5" s="342"/>
      <c r="E5" s="343"/>
      <c r="F5" s="343"/>
      <c r="G5" s="344"/>
      <c r="I5" s="337"/>
      <c r="J5" s="345"/>
    </row>
    <row r="6" spans="1:10" ht="21" x14ac:dyDescent="0.35">
      <c r="A6" s="339"/>
      <c r="B6" s="346" t="s">
        <v>1015</v>
      </c>
      <c r="C6" s="341">
        <v>100</v>
      </c>
      <c r="D6" s="342">
        <v>15</v>
      </c>
      <c r="E6" s="343">
        <v>11250</v>
      </c>
      <c r="F6" s="343">
        <f>D6*E6</f>
        <v>168750</v>
      </c>
      <c r="G6" s="344"/>
      <c r="I6" s="337">
        <v>15</v>
      </c>
      <c r="J6" s="345">
        <f>I6*E6</f>
        <v>168750</v>
      </c>
    </row>
    <row r="7" spans="1:10" ht="21" x14ac:dyDescent="0.35">
      <c r="A7" s="339"/>
      <c r="B7" s="346" t="s">
        <v>1016</v>
      </c>
      <c r="C7" s="341">
        <v>100</v>
      </c>
      <c r="D7" s="342">
        <v>5</v>
      </c>
      <c r="E7" s="343">
        <v>14500</v>
      </c>
      <c r="F7" s="343">
        <f>D7*E7</f>
        <v>72500</v>
      </c>
      <c r="G7" s="347"/>
      <c r="I7" s="337">
        <v>5</v>
      </c>
      <c r="J7" s="345">
        <f>I7*E7</f>
        <v>72500</v>
      </c>
    </row>
    <row r="8" spans="1:10" ht="21" x14ac:dyDescent="0.35">
      <c r="A8" s="339"/>
      <c r="B8" s="346" t="s">
        <v>1120</v>
      </c>
      <c r="C8" s="341">
        <v>30</v>
      </c>
      <c r="D8" s="342">
        <v>30</v>
      </c>
      <c r="E8" s="343">
        <v>4000</v>
      </c>
      <c r="F8" s="343">
        <f>D8*E8</f>
        <v>120000</v>
      </c>
      <c r="G8" s="344"/>
      <c r="I8" s="337">
        <v>30</v>
      </c>
      <c r="J8" s="345">
        <f>I8*E8</f>
        <v>120000</v>
      </c>
    </row>
    <row r="9" spans="1:10" ht="21" x14ac:dyDescent="0.35">
      <c r="A9" s="339"/>
      <c r="B9" s="346" t="s">
        <v>1014</v>
      </c>
      <c r="C9" s="341">
        <v>28</v>
      </c>
      <c r="D9" s="342">
        <v>150</v>
      </c>
      <c r="E9" s="343">
        <v>250</v>
      </c>
      <c r="F9" s="343">
        <f>D9*E9</f>
        <v>37500</v>
      </c>
      <c r="G9" s="347">
        <f>SUM(F6:F9)</f>
        <v>398750</v>
      </c>
      <c r="I9" s="337">
        <v>150</v>
      </c>
      <c r="J9" s="345">
        <f t="shared" ref="J9:J70" si="0">I9*E9</f>
        <v>37500</v>
      </c>
    </row>
    <row r="10" spans="1:10" ht="21" x14ac:dyDescent="0.35">
      <c r="A10" s="339"/>
      <c r="B10" s="346"/>
      <c r="C10" s="341"/>
      <c r="D10" s="342"/>
      <c r="E10" s="343"/>
      <c r="F10" s="343"/>
      <c r="G10" s="344"/>
      <c r="I10" s="337"/>
      <c r="J10" s="345">
        <f t="shared" si="0"/>
        <v>0</v>
      </c>
    </row>
    <row r="11" spans="1:10" ht="21" x14ac:dyDescent="0.35">
      <c r="A11" s="339">
        <v>2</v>
      </c>
      <c r="B11" s="340" t="s">
        <v>1097</v>
      </c>
      <c r="C11" s="341"/>
      <c r="D11" s="342"/>
      <c r="E11" s="343"/>
      <c r="F11" s="343"/>
      <c r="G11" s="344"/>
      <c r="I11" s="337"/>
      <c r="J11" s="345">
        <f t="shared" si="0"/>
        <v>0</v>
      </c>
    </row>
    <row r="12" spans="1:10" ht="21" x14ac:dyDescent="0.35">
      <c r="A12" s="339"/>
      <c r="B12" s="346" t="s">
        <v>243</v>
      </c>
      <c r="C12" s="341">
        <v>10</v>
      </c>
      <c r="D12" s="342">
        <v>10</v>
      </c>
      <c r="E12" s="343">
        <v>15000</v>
      </c>
      <c r="F12" s="343">
        <f>D12*E12</f>
        <v>150000</v>
      </c>
      <c r="G12" s="347">
        <f>SUM(F12:F12)</f>
        <v>150000</v>
      </c>
      <c r="I12" s="337">
        <v>10</v>
      </c>
      <c r="J12" s="345">
        <f t="shared" si="0"/>
        <v>150000</v>
      </c>
    </row>
    <row r="13" spans="1:10" ht="21" x14ac:dyDescent="0.35">
      <c r="A13" s="339"/>
      <c r="B13" s="346"/>
      <c r="C13" s="341"/>
      <c r="D13" s="342"/>
      <c r="E13" s="343"/>
      <c r="F13" s="343"/>
      <c r="G13" s="347"/>
      <c r="I13" s="337"/>
      <c r="J13" s="345">
        <f t="shared" si="0"/>
        <v>0</v>
      </c>
    </row>
    <row r="14" spans="1:10" ht="21" x14ac:dyDescent="0.35">
      <c r="A14" s="339">
        <v>3</v>
      </c>
      <c r="B14" s="340" t="s">
        <v>1128</v>
      </c>
      <c r="C14" s="341"/>
      <c r="D14" s="342"/>
      <c r="E14" s="343"/>
      <c r="F14" s="343"/>
      <c r="G14" s="344"/>
      <c r="I14" s="337"/>
      <c r="J14" s="345">
        <f t="shared" si="0"/>
        <v>0</v>
      </c>
    </row>
    <row r="15" spans="1:10" ht="21" x14ac:dyDescent="0.35">
      <c r="A15" s="339"/>
      <c r="B15" s="346" t="s">
        <v>1129</v>
      </c>
      <c r="C15" s="341">
        <v>30</v>
      </c>
      <c r="D15" s="342">
        <v>50</v>
      </c>
      <c r="E15" s="343">
        <v>1600</v>
      </c>
      <c r="F15" s="343">
        <f>D15*E15</f>
        <v>80000</v>
      </c>
      <c r="G15" s="347">
        <f>SUM(F15:F15)</f>
        <v>80000</v>
      </c>
      <c r="I15" s="337">
        <v>50</v>
      </c>
      <c r="J15" s="345">
        <f t="shared" si="0"/>
        <v>80000</v>
      </c>
    </row>
    <row r="16" spans="1:10" ht="21" x14ac:dyDescent="0.35">
      <c r="A16" s="339"/>
      <c r="B16" s="346"/>
      <c r="C16" s="341"/>
      <c r="D16" s="342"/>
      <c r="E16" s="343"/>
      <c r="F16" s="343"/>
      <c r="G16" s="347"/>
      <c r="I16" s="337"/>
      <c r="J16" s="345">
        <f t="shared" si="0"/>
        <v>0</v>
      </c>
    </row>
    <row r="17" spans="1:10" ht="21" x14ac:dyDescent="0.35">
      <c r="A17" s="339">
        <v>4</v>
      </c>
      <c r="B17" s="340" t="s">
        <v>1145</v>
      </c>
      <c r="C17" s="341"/>
      <c r="D17" s="342"/>
      <c r="E17" s="343"/>
      <c r="F17" s="343"/>
      <c r="G17" s="344"/>
      <c r="I17" s="337"/>
      <c r="J17" s="345">
        <f t="shared" si="0"/>
        <v>0</v>
      </c>
    </row>
    <row r="18" spans="1:10" ht="21" x14ac:dyDescent="0.35">
      <c r="A18" s="339"/>
      <c r="B18" s="346" t="s">
        <v>1150</v>
      </c>
      <c r="C18" s="341" t="s">
        <v>144</v>
      </c>
      <c r="D18" s="342">
        <v>5</v>
      </c>
      <c r="E18" s="343">
        <v>4488</v>
      </c>
      <c r="F18" s="343">
        <f>D18*E18</f>
        <v>22440</v>
      </c>
      <c r="G18" s="347"/>
      <c r="I18" s="337">
        <v>5</v>
      </c>
      <c r="J18" s="345">
        <f t="shared" si="0"/>
        <v>22440</v>
      </c>
    </row>
    <row r="19" spans="1:10" ht="21" x14ac:dyDescent="0.35">
      <c r="A19" s="339"/>
      <c r="B19" s="346" t="s">
        <v>1147</v>
      </c>
      <c r="C19" s="341" t="s">
        <v>144</v>
      </c>
      <c r="D19" s="342">
        <v>30</v>
      </c>
      <c r="E19" s="343">
        <v>946</v>
      </c>
      <c r="F19" s="343">
        <f>D19*E19</f>
        <v>28380</v>
      </c>
      <c r="G19" s="344"/>
      <c r="I19" s="337">
        <v>30</v>
      </c>
      <c r="J19" s="345">
        <f t="shared" si="0"/>
        <v>28380</v>
      </c>
    </row>
    <row r="20" spans="1:10" ht="21" x14ac:dyDescent="0.35">
      <c r="A20" s="339"/>
      <c r="B20" s="346" t="s">
        <v>1149</v>
      </c>
      <c r="C20" s="341" t="s">
        <v>656</v>
      </c>
      <c r="D20" s="342">
        <v>10</v>
      </c>
      <c r="E20" s="343">
        <v>1071</v>
      </c>
      <c r="F20" s="343">
        <f>D20*E20</f>
        <v>10710</v>
      </c>
      <c r="G20" s="347"/>
      <c r="I20" s="337">
        <v>10</v>
      </c>
      <c r="J20" s="345">
        <f t="shared" si="0"/>
        <v>10710</v>
      </c>
    </row>
    <row r="21" spans="1:10" ht="21" x14ac:dyDescent="0.35">
      <c r="A21" s="339"/>
      <c r="B21" s="346" t="s">
        <v>1148</v>
      </c>
      <c r="C21" s="341" t="s">
        <v>144</v>
      </c>
      <c r="D21" s="342">
        <v>10</v>
      </c>
      <c r="E21" s="343">
        <v>1466</v>
      </c>
      <c r="F21" s="343">
        <f>D21*E21</f>
        <v>14660</v>
      </c>
      <c r="G21" s="347"/>
      <c r="I21" s="337">
        <v>10</v>
      </c>
      <c r="J21" s="345">
        <f t="shared" si="0"/>
        <v>14660</v>
      </c>
    </row>
    <row r="22" spans="1:10" ht="21" x14ac:dyDescent="0.35">
      <c r="A22" s="339"/>
      <c r="B22" s="346" t="s">
        <v>1146</v>
      </c>
      <c r="C22" s="341">
        <v>20</v>
      </c>
      <c r="D22" s="342">
        <v>15</v>
      </c>
      <c r="E22" s="343">
        <v>2852</v>
      </c>
      <c r="F22" s="343">
        <f>D22*E22</f>
        <v>42780</v>
      </c>
      <c r="G22" s="347">
        <f>SUM(F18:F22)</f>
        <v>118970</v>
      </c>
      <c r="I22" s="337">
        <v>15</v>
      </c>
      <c r="J22" s="345">
        <f t="shared" si="0"/>
        <v>42780</v>
      </c>
    </row>
    <row r="23" spans="1:10" ht="16.5" customHeight="1" x14ac:dyDescent="0.35">
      <c r="A23" s="339"/>
      <c r="B23" s="348"/>
      <c r="C23" s="341"/>
      <c r="D23" s="342"/>
      <c r="E23" s="343"/>
      <c r="F23" s="343"/>
      <c r="G23" s="344"/>
      <c r="I23" s="337"/>
      <c r="J23" s="345">
        <f t="shared" si="0"/>
        <v>0</v>
      </c>
    </row>
    <row r="24" spans="1:10" ht="16.5" customHeight="1" x14ac:dyDescent="0.35">
      <c r="A24" s="339">
        <v>5</v>
      </c>
      <c r="B24" s="340" t="s">
        <v>1151</v>
      </c>
      <c r="C24" s="341"/>
      <c r="D24" s="342"/>
      <c r="E24" s="343"/>
      <c r="F24" s="343"/>
      <c r="G24" s="347"/>
      <c r="I24" s="337"/>
      <c r="J24" s="345">
        <f t="shared" si="0"/>
        <v>0</v>
      </c>
    </row>
    <row r="25" spans="1:10" ht="16.5" customHeight="1" x14ac:dyDescent="0.35">
      <c r="A25" s="339"/>
      <c r="B25" s="346" t="s">
        <v>1152</v>
      </c>
      <c r="C25" s="341">
        <v>100</v>
      </c>
      <c r="D25" s="342">
        <v>50</v>
      </c>
      <c r="E25" s="343">
        <v>7355</v>
      </c>
      <c r="F25" s="343">
        <f>D25*E25</f>
        <v>367750</v>
      </c>
      <c r="G25" s="347">
        <f>SUM(F25:F25)</f>
        <v>367750</v>
      </c>
      <c r="I25" s="337">
        <v>50</v>
      </c>
      <c r="J25" s="345">
        <f t="shared" si="0"/>
        <v>367750</v>
      </c>
    </row>
    <row r="26" spans="1:10" ht="21" x14ac:dyDescent="0.35">
      <c r="A26" s="339"/>
      <c r="B26" s="346"/>
      <c r="C26" s="341"/>
      <c r="D26" s="342"/>
      <c r="E26" s="343"/>
      <c r="F26" s="343"/>
      <c r="G26" s="344"/>
      <c r="I26" s="337"/>
      <c r="J26" s="345">
        <f t="shared" si="0"/>
        <v>0</v>
      </c>
    </row>
    <row r="27" spans="1:10" ht="21" x14ac:dyDescent="0.35">
      <c r="A27" s="339">
        <v>6</v>
      </c>
      <c r="B27" s="340" t="s">
        <v>1172</v>
      </c>
      <c r="C27" s="341"/>
      <c r="D27" s="342"/>
      <c r="E27" s="343"/>
      <c r="F27" s="343"/>
      <c r="G27" s="347"/>
      <c r="I27" s="337"/>
      <c r="J27" s="345">
        <f t="shared" si="0"/>
        <v>0</v>
      </c>
    </row>
    <row r="28" spans="1:10" ht="21" x14ac:dyDescent="0.35">
      <c r="A28" s="339"/>
      <c r="B28" s="346" t="s">
        <v>1174</v>
      </c>
      <c r="C28" s="341" t="s">
        <v>455</v>
      </c>
      <c r="D28" s="342">
        <v>30</v>
      </c>
      <c r="E28" s="343">
        <v>1081</v>
      </c>
      <c r="F28" s="343">
        <f>D28*E28</f>
        <v>32430</v>
      </c>
      <c r="G28" s="347"/>
      <c r="I28" s="337"/>
      <c r="J28" s="345">
        <f t="shared" si="0"/>
        <v>0</v>
      </c>
    </row>
    <row r="29" spans="1:10" ht="21" x14ac:dyDescent="0.35">
      <c r="A29" s="339"/>
      <c r="B29" s="346" t="s">
        <v>1173</v>
      </c>
      <c r="C29" s="341">
        <v>30</v>
      </c>
      <c r="D29" s="342">
        <v>20</v>
      </c>
      <c r="E29" s="343">
        <v>1495</v>
      </c>
      <c r="F29" s="343">
        <f>D29*E29</f>
        <v>29900</v>
      </c>
      <c r="G29" s="347">
        <f>SUM(F28:F29)</f>
        <v>62330</v>
      </c>
      <c r="I29" s="337"/>
      <c r="J29" s="345">
        <f t="shared" si="0"/>
        <v>0</v>
      </c>
    </row>
    <row r="30" spans="1:10" ht="21" x14ac:dyDescent="0.35">
      <c r="A30" s="339"/>
      <c r="B30" s="348"/>
      <c r="C30" s="341"/>
      <c r="D30" s="342"/>
      <c r="E30" s="343"/>
      <c r="F30" s="343"/>
      <c r="G30" s="344"/>
      <c r="I30" s="337"/>
      <c r="J30" s="345">
        <f t="shared" si="0"/>
        <v>0</v>
      </c>
    </row>
    <row r="31" spans="1:10" ht="21" x14ac:dyDescent="0.35">
      <c r="A31" s="349">
        <v>7</v>
      </c>
      <c r="B31" s="340" t="s">
        <v>1117</v>
      </c>
      <c r="C31" s="350"/>
      <c r="D31" s="349"/>
      <c r="E31" s="351"/>
      <c r="F31" s="343"/>
      <c r="G31" s="344"/>
      <c r="I31" s="337"/>
      <c r="J31" s="345">
        <f t="shared" si="0"/>
        <v>0</v>
      </c>
    </row>
    <row r="32" spans="1:10" ht="21" x14ac:dyDescent="0.35">
      <c r="A32" s="339"/>
      <c r="B32" s="346" t="s">
        <v>147</v>
      </c>
      <c r="C32" s="341">
        <v>100</v>
      </c>
      <c r="D32" s="342">
        <v>10</v>
      </c>
      <c r="E32" s="343">
        <v>1600</v>
      </c>
      <c r="F32" s="343">
        <f>D32*E32</f>
        <v>16000</v>
      </c>
      <c r="G32" s="344"/>
      <c r="I32" s="337">
        <v>10</v>
      </c>
      <c r="J32" s="345">
        <f t="shared" si="0"/>
        <v>16000</v>
      </c>
    </row>
    <row r="33" spans="1:10" ht="21" x14ac:dyDescent="0.35">
      <c r="A33" s="339"/>
      <c r="B33" s="346" t="s">
        <v>148</v>
      </c>
      <c r="C33" s="341">
        <v>100</v>
      </c>
      <c r="D33" s="342">
        <v>30</v>
      </c>
      <c r="E33" s="343">
        <v>2500</v>
      </c>
      <c r="F33" s="343">
        <f>D33*E33</f>
        <v>75000</v>
      </c>
      <c r="G33" s="347"/>
      <c r="I33" s="337">
        <v>30</v>
      </c>
      <c r="J33" s="345">
        <f t="shared" si="0"/>
        <v>75000</v>
      </c>
    </row>
    <row r="34" spans="1:10" ht="21" x14ac:dyDescent="0.35">
      <c r="A34" s="339"/>
      <c r="B34" s="346" t="s">
        <v>1041</v>
      </c>
      <c r="C34" s="341">
        <v>30</v>
      </c>
      <c r="D34" s="342">
        <v>20</v>
      </c>
      <c r="E34" s="343">
        <v>1250</v>
      </c>
      <c r="F34" s="343">
        <f>D34*E34</f>
        <v>25000</v>
      </c>
      <c r="G34" s="344"/>
      <c r="I34" s="337">
        <v>20</v>
      </c>
      <c r="J34" s="345">
        <f t="shared" si="0"/>
        <v>25000</v>
      </c>
    </row>
    <row r="35" spans="1:10" ht="21" x14ac:dyDescent="0.35">
      <c r="A35" s="339"/>
      <c r="B35" s="346" t="s">
        <v>1062</v>
      </c>
      <c r="C35" s="341">
        <v>30</v>
      </c>
      <c r="D35" s="342">
        <v>30</v>
      </c>
      <c r="E35" s="343">
        <v>2750</v>
      </c>
      <c r="F35" s="343">
        <f>D35*E35</f>
        <v>82500</v>
      </c>
      <c r="G35" s="347"/>
      <c r="I35" s="337">
        <v>30</v>
      </c>
      <c r="J35" s="345">
        <f t="shared" si="0"/>
        <v>82500</v>
      </c>
    </row>
    <row r="36" spans="1:10" ht="21" x14ac:dyDescent="0.35">
      <c r="A36" s="339"/>
      <c r="B36" s="352" t="s">
        <v>680</v>
      </c>
      <c r="C36" s="341">
        <v>30</v>
      </c>
      <c r="D36" s="342">
        <v>100</v>
      </c>
      <c r="E36" s="343">
        <v>1400</v>
      </c>
      <c r="F36" s="343">
        <f>D36*E36</f>
        <v>140000</v>
      </c>
      <c r="G36" s="347">
        <f>SUM(F32:F36)</f>
        <v>338500</v>
      </c>
      <c r="I36" s="337">
        <v>38</v>
      </c>
      <c r="J36" s="345">
        <f t="shared" si="0"/>
        <v>53200</v>
      </c>
    </row>
    <row r="37" spans="1:10" ht="21" x14ac:dyDescent="0.35">
      <c r="A37" s="339"/>
      <c r="B37" s="348"/>
      <c r="C37" s="341"/>
      <c r="D37" s="342"/>
      <c r="E37" s="343"/>
      <c r="F37" s="343"/>
      <c r="G37" s="344"/>
      <c r="I37" s="337"/>
      <c r="J37" s="345">
        <f t="shared" si="0"/>
        <v>0</v>
      </c>
    </row>
    <row r="38" spans="1:10" ht="21" x14ac:dyDescent="0.35">
      <c r="A38" s="339">
        <v>8</v>
      </c>
      <c r="B38" s="340" t="s">
        <v>961</v>
      </c>
      <c r="C38" s="341"/>
      <c r="D38" s="342"/>
      <c r="E38" s="343"/>
      <c r="F38" s="343"/>
      <c r="G38" s="344"/>
      <c r="I38" s="337"/>
      <c r="J38" s="345">
        <f t="shared" si="0"/>
        <v>0</v>
      </c>
    </row>
    <row r="39" spans="1:10" ht="21" x14ac:dyDescent="0.35">
      <c r="A39" s="339"/>
      <c r="B39" s="346" t="s">
        <v>1138</v>
      </c>
      <c r="C39" s="341">
        <v>5</v>
      </c>
      <c r="D39" s="342">
        <v>20</v>
      </c>
      <c r="E39" s="343">
        <v>5150</v>
      </c>
      <c r="F39" s="343">
        <f>D39*E39</f>
        <v>103000</v>
      </c>
      <c r="G39" s="344"/>
      <c r="I39" s="337">
        <v>10</v>
      </c>
      <c r="J39" s="345">
        <f t="shared" si="0"/>
        <v>51500</v>
      </c>
    </row>
    <row r="40" spans="1:10" ht="21" x14ac:dyDescent="0.35">
      <c r="A40" s="339"/>
      <c r="B40" s="346" t="s">
        <v>236</v>
      </c>
      <c r="C40" s="341">
        <v>5</v>
      </c>
      <c r="D40" s="342">
        <v>10</v>
      </c>
      <c r="E40" s="343">
        <v>2060</v>
      </c>
      <c r="F40" s="343">
        <f>D40*E40</f>
        <v>20600</v>
      </c>
      <c r="G40" s="347"/>
      <c r="I40" s="337">
        <v>10</v>
      </c>
      <c r="J40" s="345">
        <f t="shared" si="0"/>
        <v>20600</v>
      </c>
    </row>
    <row r="41" spans="1:10" ht="21" x14ac:dyDescent="0.35">
      <c r="A41" s="339"/>
      <c r="B41" s="346" t="s">
        <v>230</v>
      </c>
      <c r="C41" s="341">
        <v>10</v>
      </c>
      <c r="D41" s="342">
        <v>20</v>
      </c>
      <c r="E41" s="343">
        <v>2266</v>
      </c>
      <c r="F41" s="343">
        <f>D41*E41</f>
        <v>45320</v>
      </c>
      <c r="G41" s="347"/>
      <c r="I41" s="337">
        <v>20</v>
      </c>
      <c r="J41" s="345">
        <f t="shared" si="0"/>
        <v>45320</v>
      </c>
    </row>
    <row r="42" spans="1:10" ht="21" x14ac:dyDescent="0.35">
      <c r="A42" s="339"/>
      <c r="B42" s="346" t="s">
        <v>1024</v>
      </c>
      <c r="C42" s="341" t="s">
        <v>57</v>
      </c>
      <c r="D42" s="342">
        <v>75</v>
      </c>
      <c r="E42" s="343">
        <v>1030</v>
      </c>
      <c r="F42" s="343">
        <f>D42*E42</f>
        <v>77250</v>
      </c>
      <c r="G42" s="347">
        <f>SUM(F39:F42)</f>
        <v>246170</v>
      </c>
      <c r="I42" s="337">
        <v>25</v>
      </c>
      <c r="J42" s="345">
        <f t="shared" si="0"/>
        <v>25750</v>
      </c>
    </row>
    <row r="43" spans="1:10" ht="21" x14ac:dyDescent="0.35">
      <c r="A43" s="339"/>
      <c r="B43" s="346"/>
      <c r="C43" s="341"/>
      <c r="D43" s="342"/>
      <c r="E43" s="343"/>
      <c r="F43" s="343"/>
      <c r="G43" s="347"/>
      <c r="I43" s="337"/>
      <c r="J43" s="345">
        <f t="shared" si="0"/>
        <v>0</v>
      </c>
    </row>
    <row r="44" spans="1:10" ht="21" x14ac:dyDescent="0.35">
      <c r="A44" s="339">
        <v>9</v>
      </c>
      <c r="B44" s="340" t="s">
        <v>963</v>
      </c>
      <c r="C44" s="341"/>
      <c r="D44" s="342"/>
      <c r="E44" s="343"/>
      <c r="F44" s="343"/>
      <c r="G44" s="344"/>
      <c r="I44" s="337"/>
      <c r="J44" s="345">
        <f t="shared" si="0"/>
        <v>0</v>
      </c>
    </row>
    <row r="45" spans="1:10" ht="21" x14ac:dyDescent="0.35">
      <c r="A45" s="339"/>
      <c r="B45" s="346" t="s">
        <v>1141</v>
      </c>
      <c r="C45" s="341" t="s">
        <v>333</v>
      </c>
      <c r="D45" s="342">
        <v>50</v>
      </c>
      <c r="E45" s="343">
        <v>3000</v>
      </c>
      <c r="F45" s="343">
        <f>D45*E45</f>
        <v>150000</v>
      </c>
      <c r="G45" s="344"/>
      <c r="I45" s="337">
        <v>50</v>
      </c>
      <c r="J45" s="345">
        <f t="shared" si="0"/>
        <v>150000</v>
      </c>
    </row>
    <row r="46" spans="1:10" ht="21" x14ac:dyDescent="0.35">
      <c r="A46" s="339"/>
      <c r="B46" s="346" t="s">
        <v>1140</v>
      </c>
      <c r="C46" s="341">
        <v>12</v>
      </c>
      <c r="D46" s="342">
        <v>32</v>
      </c>
      <c r="E46" s="343">
        <v>12000</v>
      </c>
      <c r="F46" s="343">
        <f>D46*E46</f>
        <v>384000</v>
      </c>
      <c r="G46" s="347"/>
      <c r="I46" s="337">
        <v>32</v>
      </c>
      <c r="J46" s="345">
        <f t="shared" si="0"/>
        <v>384000</v>
      </c>
    </row>
    <row r="47" spans="1:10" ht="21" x14ac:dyDescent="0.35">
      <c r="A47" s="339"/>
      <c r="B47" s="346" t="s">
        <v>1139</v>
      </c>
      <c r="C47" s="341" t="s">
        <v>333</v>
      </c>
      <c r="D47" s="342">
        <v>30</v>
      </c>
      <c r="E47" s="343">
        <v>5250</v>
      </c>
      <c r="F47" s="343">
        <f>D47*E47</f>
        <v>157500</v>
      </c>
      <c r="G47" s="347">
        <f>SUM(F45:F47)</f>
        <v>691500</v>
      </c>
      <c r="I47" s="337">
        <v>30</v>
      </c>
      <c r="J47" s="345">
        <f t="shared" si="0"/>
        <v>157500</v>
      </c>
    </row>
    <row r="48" spans="1:10" ht="21" x14ac:dyDescent="0.35">
      <c r="A48" s="339"/>
      <c r="B48" s="346"/>
      <c r="C48" s="341"/>
      <c r="D48" s="342"/>
      <c r="E48" s="343"/>
      <c r="F48" s="343"/>
      <c r="G48" s="347"/>
      <c r="I48" s="337"/>
      <c r="J48" s="345">
        <f t="shared" si="0"/>
        <v>0</v>
      </c>
    </row>
    <row r="49" spans="1:10" ht="21" x14ac:dyDescent="0.35">
      <c r="A49" s="339">
        <v>10</v>
      </c>
      <c r="B49" s="340" t="s">
        <v>1153</v>
      </c>
      <c r="C49" s="341"/>
      <c r="D49" s="342"/>
      <c r="E49" s="343"/>
      <c r="F49" s="343"/>
      <c r="G49" s="347"/>
      <c r="I49" s="337"/>
      <c r="J49" s="345">
        <f t="shared" si="0"/>
        <v>0</v>
      </c>
    </row>
    <row r="50" spans="1:10" ht="21" x14ac:dyDescent="0.35">
      <c r="A50" s="339"/>
      <c r="B50" s="346" t="s">
        <v>1154</v>
      </c>
      <c r="C50" s="341" t="s">
        <v>455</v>
      </c>
      <c r="D50" s="342">
        <v>40</v>
      </c>
      <c r="E50" s="343">
        <v>600</v>
      </c>
      <c r="F50" s="343">
        <f>D50*E50</f>
        <v>24000</v>
      </c>
      <c r="G50" s="344"/>
      <c r="I50" s="337">
        <v>40</v>
      </c>
      <c r="J50" s="345">
        <f t="shared" si="0"/>
        <v>24000</v>
      </c>
    </row>
    <row r="51" spans="1:10" ht="21" x14ac:dyDescent="0.35">
      <c r="A51" s="339"/>
      <c r="B51" s="346" t="s">
        <v>1155</v>
      </c>
      <c r="C51" s="341">
        <v>18</v>
      </c>
      <c r="D51" s="342">
        <v>5</v>
      </c>
      <c r="E51" s="343">
        <v>4500</v>
      </c>
      <c r="F51" s="343">
        <f>D51*E51</f>
        <v>22500</v>
      </c>
      <c r="G51" s="347">
        <f>SUM(F50:F51)</f>
        <v>46500</v>
      </c>
      <c r="I51" s="337">
        <v>5</v>
      </c>
      <c r="J51" s="345">
        <f t="shared" si="0"/>
        <v>22500</v>
      </c>
    </row>
    <row r="52" spans="1:10" ht="21" x14ac:dyDescent="0.35">
      <c r="A52" s="339"/>
      <c r="B52" s="348"/>
      <c r="C52" s="341"/>
      <c r="D52" s="342"/>
      <c r="E52" s="343"/>
      <c r="F52" s="343"/>
      <c r="G52" s="344"/>
      <c r="I52" s="337"/>
      <c r="J52" s="345">
        <f t="shared" si="0"/>
        <v>0</v>
      </c>
    </row>
    <row r="53" spans="1:10" ht="21" x14ac:dyDescent="0.35">
      <c r="A53" s="339">
        <v>11</v>
      </c>
      <c r="B53" s="340" t="s">
        <v>1175</v>
      </c>
      <c r="C53" s="341"/>
      <c r="D53" s="342"/>
      <c r="E53" s="343"/>
      <c r="F53" s="343"/>
      <c r="G53" s="344"/>
      <c r="I53" s="337"/>
      <c r="J53" s="345">
        <f t="shared" si="0"/>
        <v>0</v>
      </c>
    </row>
    <row r="54" spans="1:10" ht="21" x14ac:dyDescent="0.35">
      <c r="A54" s="339"/>
      <c r="B54" s="346" t="s">
        <v>1176</v>
      </c>
      <c r="C54" s="341">
        <v>100</v>
      </c>
      <c r="D54" s="342">
        <v>50</v>
      </c>
      <c r="E54" s="343">
        <v>1326</v>
      </c>
      <c r="F54" s="343">
        <f>D54*E54</f>
        <v>66300</v>
      </c>
      <c r="G54" s="347">
        <f>SUM(F54:F54)</f>
        <v>66300</v>
      </c>
      <c r="I54" s="337">
        <v>50</v>
      </c>
      <c r="J54" s="345">
        <f t="shared" si="0"/>
        <v>66300</v>
      </c>
    </row>
    <row r="55" spans="1:10" ht="21" x14ac:dyDescent="0.35">
      <c r="A55" s="342"/>
      <c r="B55" s="346"/>
      <c r="C55" s="341"/>
      <c r="D55" s="342"/>
      <c r="E55" s="343"/>
      <c r="F55" s="351"/>
      <c r="G55" s="344"/>
      <c r="I55" s="337"/>
      <c r="J55" s="345">
        <f t="shared" si="0"/>
        <v>0</v>
      </c>
    </row>
    <row r="56" spans="1:10" ht="21" x14ac:dyDescent="0.35">
      <c r="A56" s="339">
        <v>12</v>
      </c>
      <c r="B56" s="340" t="s">
        <v>1127</v>
      </c>
      <c r="C56" s="341"/>
      <c r="D56" s="342"/>
      <c r="E56" s="343"/>
      <c r="F56" s="343"/>
      <c r="G56" s="344"/>
      <c r="I56" s="337"/>
      <c r="J56" s="345">
        <f t="shared" si="0"/>
        <v>0</v>
      </c>
    </row>
    <row r="57" spans="1:10" ht="21" x14ac:dyDescent="0.35">
      <c r="A57" s="339"/>
      <c r="B57" s="346" t="s">
        <v>1066</v>
      </c>
      <c r="C57" s="341">
        <v>5</v>
      </c>
      <c r="D57" s="342">
        <v>50</v>
      </c>
      <c r="E57" s="343">
        <v>7700</v>
      </c>
      <c r="F57" s="343">
        <f>D57*E57</f>
        <v>385000</v>
      </c>
      <c r="G57" s="347">
        <f>SUM(F57:F57)</f>
        <v>385000</v>
      </c>
      <c r="I57" s="337">
        <v>50</v>
      </c>
      <c r="J57" s="345">
        <f t="shared" si="0"/>
        <v>385000</v>
      </c>
    </row>
    <row r="58" spans="1:10" ht="21" x14ac:dyDescent="0.35">
      <c r="A58" s="339"/>
      <c r="B58" s="346"/>
      <c r="C58" s="341"/>
      <c r="D58" s="342"/>
      <c r="E58" s="343"/>
      <c r="F58" s="343"/>
      <c r="G58" s="347"/>
      <c r="I58" s="337"/>
      <c r="J58" s="345">
        <f t="shared" si="0"/>
        <v>0</v>
      </c>
    </row>
    <row r="59" spans="1:10" ht="21" x14ac:dyDescent="0.35">
      <c r="A59" s="339">
        <v>13</v>
      </c>
      <c r="B59" s="340" t="s">
        <v>1130</v>
      </c>
      <c r="C59" s="341"/>
      <c r="D59" s="342"/>
      <c r="E59" s="343"/>
      <c r="F59" s="343"/>
      <c r="G59" s="344"/>
      <c r="I59" s="337"/>
      <c r="J59" s="345">
        <f t="shared" si="0"/>
        <v>0</v>
      </c>
    </row>
    <row r="60" spans="1:10" ht="21" x14ac:dyDescent="0.35">
      <c r="A60" s="339"/>
      <c r="B60" s="346" t="s">
        <v>214</v>
      </c>
      <c r="C60" s="341">
        <v>100</v>
      </c>
      <c r="D60" s="342">
        <v>2</v>
      </c>
      <c r="E60" s="343">
        <v>5000</v>
      </c>
      <c r="F60" s="343">
        <f t="shared" ref="F60:F68" si="1">D60*E60</f>
        <v>10000</v>
      </c>
      <c r="G60" s="347"/>
      <c r="I60" s="337">
        <v>2</v>
      </c>
      <c r="J60" s="345">
        <f t="shared" si="0"/>
        <v>10000</v>
      </c>
    </row>
    <row r="61" spans="1:10" ht="21" x14ac:dyDescent="0.35">
      <c r="A61" s="339"/>
      <c r="B61" s="346" t="s">
        <v>1169</v>
      </c>
      <c r="C61" s="341">
        <v>100</v>
      </c>
      <c r="D61" s="342">
        <v>1</v>
      </c>
      <c r="E61" s="343">
        <v>85000</v>
      </c>
      <c r="F61" s="343">
        <f t="shared" si="1"/>
        <v>85000</v>
      </c>
      <c r="G61" s="347"/>
      <c r="I61" s="337">
        <v>1</v>
      </c>
      <c r="J61" s="345">
        <f t="shared" si="0"/>
        <v>85000</v>
      </c>
    </row>
    <row r="62" spans="1:10" ht="21" x14ac:dyDescent="0.35">
      <c r="A62" s="339"/>
      <c r="B62" s="346" t="s">
        <v>1137</v>
      </c>
      <c r="C62" s="341" t="s">
        <v>144</v>
      </c>
      <c r="D62" s="342">
        <v>40</v>
      </c>
      <c r="E62" s="343">
        <v>400</v>
      </c>
      <c r="F62" s="343">
        <f t="shared" si="1"/>
        <v>16000</v>
      </c>
      <c r="G62" s="347"/>
      <c r="I62" s="337">
        <v>40</v>
      </c>
      <c r="J62" s="345">
        <f t="shared" si="0"/>
        <v>16000</v>
      </c>
    </row>
    <row r="63" spans="1:10" ht="21" x14ac:dyDescent="0.35">
      <c r="A63" s="339"/>
      <c r="B63" s="346" t="s">
        <v>1136</v>
      </c>
      <c r="C63" s="341">
        <v>100</v>
      </c>
      <c r="D63" s="342">
        <v>50</v>
      </c>
      <c r="E63" s="343">
        <v>850</v>
      </c>
      <c r="F63" s="343">
        <f t="shared" si="1"/>
        <v>42500</v>
      </c>
      <c r="G63" s="344"/>
      <c r="I63" s="337">
        <v>50</v>
      </c>
      <c r="J63" s="345">
        <f t="shared" si="0"/>
        <v>42500</v>
      </c>
    </row>
    <row r="64" spans="1:10" ht="21" x14ac:dyDescent="0.35">
      <c r="A64" s="339"/>
      <c r="B64" s="346" t="s">
        <v>1037</v>
      </c>
      <c r="C64" s="341">
        <v>5</v>
      </c>
      <c r="D64" s="342">
        <v>20</v>
      </c>
      <c r="E64" s="343">
        <v>700</v>
      </c>
      <c r="F64" s="343">
        <f t="shared" si="1"/>
        <v>14000</v>
      </c>
      <c r="G64" s="347"/>
      <c r="I64" s="337">
        <v>10</v>
      </c>
      <c r="J64" s="345">
        <f t="shared" si="0"/>
        <v>7000</v>
      </c>
    </row>
    <row r="65" spans="1:10" ht="21" x14ac:dyDescent="0.35">
      <c r="A65" s="339"/>
      <c r="B65" s="346" t="s">
        <v>1134</v>
      </c>
      <c r="C65" s="341" t="s">
        <v>333</v>
      </c>
      <c r="D65" s="342">
        <v>200</v>
      </c>
      <c r="E65" s="343">
        <v>1800</v>
      </c>
      <c r="F65" s="343">
        <f t="shared" si="1"/>
        <v>360000</v>
      </c>
      <c r="G65" s="344"/>
      <c r="I65" s="337">
        <v>200</v>
      </c>
      <c r="J65" s="345">
        <f t="shared" si="0"/>
        <v>360000</v>
      </c>
    </row>
    <row r="66" spans="1:10" ht="21" x14ac:dyDescent="0.35">
      <c r="A66" s="339"/>
      <c r="B66" s="346" t="s">
        <v>1135</v>
      </c>
      <c r="C66" s="341">
        <v>500</v>
      </c>
      <c r="D66" s="342">
        <v>12</v>
      </c>
      <c r="E66" s="343">
        <v>8500</v>
      </c>
      <c r="F66" s="343">
        <f t="shared" si="1"/>
        <v>102000</v>
      </c>
      <c r="G66" s="347"/>
      <c r="I66" s="337">
        <v>12</v>
      </c>
      <c r="J66" s="345">
        <f t="shared" si="0"/>
        <v>102000</v>
      </c>
    </row>
    <row r="67" spans="1:10" ht="21" x14ac:dyDescent="0.35">
      <c r="A67" s="339"/>
      <c r="B67" s="346" t="s">
        <v>1131</v>
      </c>
      <c r="C67" s="341" t="s">
        <v>1132</v>
      </c>
      <c r="D67" s="342">
        <v>400</v>
      </c>
      <c r="E67" s="343">
        <v>750</v>
      </c>
      <c r="F67" s="343">
        <f t="shared" si="1"/>
        <v>300000</v>
      </c>
      <c r="G67" s="347"/>
      <c r="I67" s="337">
        <v>400</v>
      </c>
      <c r="J67" s="345">
        <f t="shared" si="0"/>
        <v>300000</v>
      </c>
    </row>
    <row r="68" spans="1:10" ht="21" x14ac:dyDescent="0.35">
      <c r="A68" s="339"/>
      <c r="B68" s="346" t="s">
        <v>1133</v>
      </c>
      <c r="C68" s="341" t="s">
        <v>57</v>
      </c>
      <c r="D68" s="342">
        <v>50</v>
      </c>
      <c r="E68" s="343">
        <v>450</v>
      </c>
      <c r="F68" s="343">
        <f t="shared" si="1"/>
        <v>22500</v>
      </c>
      <c r="G68" s="347">
        <f>SUM(F60:F68)</f>
        <v>952000</v>
      </c>
      <c r="I68" s="337">
        <v>50</v>
      </c>
      <c r="J68" s="345">
        <f t="shared" si="0"/>
        <v>22500</v>
      </c>
    </row>
    <row r="69" spans="1:10" ht="21" x14ac:dyDescent="0.35">
      <c r="A69" s="339"/>
      <c r="B69" s="346"/>
      <c r="C69" s="341"/>
      <c r="D69" s="342"/>
      <c r="E69" s="343"/>
      <c r="F69" s="343"/>
      <c r="G69" s="344"/>
      <c r="I69" s="337"/>
      <c r="J69" s="345">
        <f t="shared" si="0"/>
        <v>0</v>
      </c>
    </row>
    <row r="70" spans="1:10" ht="21" x14ac:dyDescent="0.35">
      <c r="A70" s="339">
        <v>14</v>
      </c>
      <c r="B70" s="340" t="s">
        <v>1142</v>
      </c>
      <c r="C70" s="341"/>
      <c r="D70" s="342"/>
      <c r="E70" s="343"/>
      <c r="F70" s="343"/>
      <c r="G70" s="344"/>
      <c r="I70" s="337"/>
      <c r="J70" s="345">
        <f t="shared" si="0"/>
        <v>0</v>
      </c>
    </row>
    <row r="71" spans="1:10" ht="21" x14ac:dyDescent="0.35">
      <c r="A71" s="339"/>
      <c r="B71" s="346" t="s">
        <v>1028</v>
      </c>
      <c r="C71" s="341">
        <v>25</v>
      </c>
      <c r="D71" s="342">
        <v>25</v>
      </c>
      <c r="E71" s="343">
        <v>4392</v>
      </c>
      <c r="F71" s="343">
        <f>D71*E71</f>
        <v>109800</v>
      </c>
      <c r="G71" s="344"/>
      <c r="I71" s="337">
        <v>25</v>
      </c>
      <c r="J71" s="345">
        <f t="shared" ref="J71:J93" si="2">I71*E71</f>
        <v>109800</v>
      </c>
    </row>
    <row r="72" spans="1:10" ht="21" x14ac:dyDescent="0.35">
      <c r="A72" s="339"/>
      <c r="B72" s="346" t="s">
        <v>1143</v>
      </c>
      <c r="C72" s="341" t="s">
        <v>1144</v>
      </c>
      <c r="D72" s="342">
        <v>20</v>
      </c>
      <c r="E72" s="343">
        <v>844</v>
      </c>
      <c r="F72" s="343">
        <f>D72*E72</f>
        <v>16880</v>
      </c>
      <c r="G72" s="347"/>
      <c r="I72" s="337">
        <v>20</v>
      </c>
      <c r="J72" s="345">
        <f t="shared" si="2"/>
        <v>16880</v>
      </c>
    </row>
    <row r="73" spans="1:10" ht="21" x14ac:dyDescent="0.35">
      <c r="A73" s="339"/>
      <c r="B73" s="346" t="s">
        <v>763</v>
      </c>
      <c r="C73" s="341">
        <v>100</v>
      </c>
      <c r="D73" s="342">
        <v>64</v>
      </c>
      <c r="E73" s="343">
        <v>1300</v>
      </c>
      <c r="F73" s="343">
        <f>D73*E73</f>
        <v>83200</v>
      </c>
      <c r="G73" s="344"/>
      <c r="I73" s="337">
        <v>64</v>
      </c>
      <c r="J73" s="345">
        <f t="shared" si="2"/>
        <v>83200</v>
      </c>
    </row>
    <row r="74" spans="1:10" ht="21" x14ac:dyDescent="0.35">
      <c r="A74" s="339"/>
      <c r="B74" s="346" t="s">
        <v>145</v>
      </c>
      <c r="C74" s="341">
        <v>100</v>
      </c>
      <c r="D74" s="342">
        <v>40</v>
      </c>
      <c r="E74" s="343">
        <v>1947</v>
      </c>
      <c r="F74" s="343">
        <f>D74*E74</f>
        <v>77880</v>
      </c>
      <c r="G74" s="347"/>
      <c r="I74" s="337">
        <v>40</v>
      </c>
      <c r="J74" s="345">
        <f t="shared" si="2"/>
        <v>77880</v>
      </c>
    </row>
    <row r="75" spans="1:10" ht="21" x14ac:dyDescent="0.35">
      <c r="A75" s="339"/>
      <c r="B75" s="346" t="s">
        <v>711</v>
      </c>
      <c r="C75" s="341">
        <v>30</v>
      </c>
      <c r="D75" s="342">
        <v>20</v>
      </c>
      <c r="E75" s="343">
        <v>5066</v>
      </c>
      <c r="F75" s="343">
        <f>D75*E75</f>
        <v>101320</v>
      </c>
      <c r="G75" s="347">
        <f>SUM(F71:F75)</f>
        <v>389080</v>
      </c>
      <c r="I75" s="337">
        <v>20</v>
      </c>
      <c r="J75" s="345">
        <f t="shared" si="2"/>
        <v>101320</v>
      </c>
    </row>
    <row r="76" spans="1:10" ht="21" x14ac:dyDescent="0.35">
      <c r="A76" s="339"/>
      <c r="B76" s="346"/>
      <c r="C76" s="341"/>
      <c r="D76" s="342"/>
      <c r="E76" s="343"/>
      <c r="F76" s="343"/>
      <c r="G76" s="347"/>
      <c r="I76" s="337"/>
      <c r="J76" s="345">
        <f t="shared" si="2"/>
        <v>0</v>
      </c>
    </row>
    <row r="77" spans="1:10" ht="21" x14ac:dyDescent="0.35">
      <c r="A77" s="339">
        <v>15</v>
      </c>
      <c r="B77" s="340" t="s">
        <v>981</v>
      </c>
      <c r="C77" s="341"/>
      <c r="D77" s="342"/>
      <c r="E77" s="343"/>
      <c r="F77" s="343"/>
      <c r="G77" s="347"/>
      <c r="I77" s="337"/>
      <c r="J77" s="345">
        <f t="shared" si="2"/>
        <v>0</v>
      </c>
    </row>
    <row r="78" spans="1:10" ht="21" x14ac:dyDescent="0.35">
      <c r="A78" s="339"/>
      <c r="B78" s="346" t="s">
        <v>1029</v>
      </c>
      <c r="C78" s="341">
        <v>30</v>
      </c>
      <c r="D78" s="342">
        <v>30</v>
      </c>
      <c r="E78" s="343">
        <v>2530</v>
      </c>
      <c r="F78" s="343">
        <f>D78*E78</f>
        <v>75900</v>
      </c>
      <c r="G78" s="347"/>
      <c r="I78" s="337">
        <v>30</v>
      </c>
      <c r="J78" s="345">
        <f t="shared" si="2"/>
        <v>75900</v>
      </c>
    </row>
    <row r="79" spans="1:10" ht="21" x14ac:dyDescent="0.35">
      <c r="A79" s="339"/>
      <c r="B79" s="346" t="s">
        <v>1033</v>
      </c>
      <c r="C79" s="341">
        <v>100</v>
      </c>
      <c r="D79" s="342">
        <v>40</v>
      </c>
      <c r="E79" s="343">
        <v>2185</v>
      </c>
      <c r="F79" s="343">
        <f>D79*E79</f>
        <v>87400</v>
      </c>
      <c r="G79" s="347"/>
      <c r="I79" s="337">
        <v>40</v>
      </c>
      <c r="J79" s="345">
        <f t="shared" si="2"/>
        <v>87400</v>
      </c>
    </row>
    <row r="80" spans="1:10" ht="21" x14ac:dyDescent="0.35">
      <c r="A80" s="339"/>
      <c r="B80" s="346" t="s">
        <v>1156</v>
      </c>
      <c r="C80" s="341">
        <v>28</v>
      </c>
      <c r="D80" s="342">
        <v>15</v>
      </c>
      <c r="E80" s="343">
        <v>1955</v>
      </c>
      <c r="F80" s="343">
        <f>D80*E80</f>
        <v>29325</v>
      </c>
      <c r="G80" s="344"/>
      <c r="I80" s="337">
        <v>15</v>
      </c>
      <c r="J80" s="345">
        <f t="shared" si="2"/>
        <v>29325</v>
      </c>
    </row>
    <row r="81" spans="1:10" ht="21" x14ac:dyDescent="0.35">
      <c r="A81" s="339"/>
      <c r="B81" s="346" t="s">
        <v>1032</v>
      </c>
      <c r="C81" s="341">
        <v>84</v>
      </c>
      <c r="D81" s="342">
        <v>5</v>
      </c>
      <c r="E81" s="343">
        <v>4600</v>
      </c>
      <c r="F81" s="343">
        <f>D81*E81</f>
        <v>23000</v>
      </c>
      <c r="G81" s="347">
        <f>SUM(F78:F81)</f>
        <v>215625</v>
      </c>
      <c r="I81" s="337">
        <v>5</v>
      </c>
      <c r="J81" s="345">
        <f t="shared" si="2"/>
        <v>23000</v>
      </c>
    </row>
    <row r="82" spans="1:10" ht="21" x14ac:dyDescent="0.35">
      <c r="A82" s="339"/>
      <c r="B82" s="346"/>
      <c r="C82" s="341"/>
      <c r="D82" s="342"/>
      <c r="E82" s="343"/>
      <c r="F82" s="343"/>
      <c r="G82" s="347"/>
      <c r="I82" s="337"/>
      <c r="J82" s="345">
        <f t="shared" si="2"/>
        <v>0</v>
      </c>
    </row>
    <row r="83" spans="1:10" ht="21" x14ac:dyDescent="0.35">
      <c r="A83" s="339">
        <v>16</v>
      </c>
      <c r="B83" s="340" t="s">
        <v>1122</v>
      </c>
      <c r="C83" s="341"/>
      <c r="D83" s="342"/>
      <c r="E83" s="343"/>
      <c r="F83" s="343"/>
      <c r="G83" s="344"/>
      <c r="I83" s="337"/>
      <c r="J83" s="345">
        <f t="shared" si="2"/>
        <v>0</v>
      </c>
    </row>
    <row r="84" spans="1:10" ht="21" x14ac:dyDescent="0.35">
      <c r="A84" s="339"/>
      <c r="B84" s="346" t="s">
        <v>1124</v>
      </c>
      <c r="C84" s="341">
        <v>20</v>
      </c>
      <c r="D84" s="342">
        <v>50</v>
      </c>
      <c r="E84" s="343">
        <v>2100</v>
      </c>
      <c r="F84" s="343">
        <f>D84*E84</f>
        <v>105000</v>
      </c>
      <c r="G84" s="347"/>
      <c r="I84" s="337">
        <v>50</v>
      </c>
      <c r="J84" s="345">
        <f t="shared" si="2"/>
        <v>105000</v>
      </c>
    </row>
    <row r="85" spans="1:10" ht="21" x14ac:dyDescent="0.35">
      <c r="A85" s="339"/>
      <c r="B85" s="346" t="s">
        <v>1125</v>
      </c>
      <c r="C85" s="341" t="s">
        <v>1126</v>
      </c>
      <c r="D85" s="342">
        <v>50</v>
      </c>
      <c r="E85" s="343">
        <v>1500</v>
      </c>
      <c r="F85" s="343">
        <f>D85*E85</f>
        <v>75000</v>
      </c>
      <c r="G85" s="347"/>
      <c r="I85" s="337">
        <v>50</v>
      </c>
      <c r="J85" s="345">
        <f t="shared" si="2"/>
        <v>75000</v>
      </c>
    </row>
    <row r="86" spans="1:10" ht="21" x14ac:dyDescent="0.35">
      <c r="A86" s="339"/>
      <c r="B86" s="346" t="s">
        <v>1123</v>
      </c>
      <c r="C86" s="341">
        <v>30</v>
      </c>
      <c r="D86" s="342">
        <v>30</v>
      </c>
      <c r="E86" s="343">
        <v>800</v>
      </c>
      <c r="F86" s="343">
        <f>D86*E86</f>
        <v>24000</v>
      </c>
      <c r="G86" s="347">
        <f>SUM(F84:F86)</f>
        <v>204000</v>
      </c>
      <c r="I86" s="337">
        <v>30</v>
      </c>
      <c r="J86" s="345">
        <f t="shared" si="2"/>
        <v>24000</v>
      </c>
    </row>
    <row r="87" spans="1:10" ht="21" x14ac:dyDescent="0.35">
      <c r="A87" s="339"/>
      <c r="B87" s="348"/>
      <c r="C87" s="341"/>
      <c r="D87" s="342"/>
      <c r="E87" s="343"/>
      <c r="F87" s="343"/>
      <c r="G87" s="344"/>
      <c r="I87" s="337"/>
      <c r="J87" s="345">
        <f t="shared" si="2"/>
        <v>0</v>
      </c>
    </row>
    <row r="88" spans="1:10" ht="21" x14ac:dyDescent="0.35">
      <c r="A88" s="339">
        <v>17</v>
      </c>
      <c r="B88" s="340" t="s">
        <v>900</v>
      </c>
      <c r="C88" s="341"/>
      <c r="D88" s="342"/>
      <c r="E88" s="343"/>
      <c r="F88" s="343"/>
      <c r="G88" s="344"/>
      <c r="I88" s="337"/>
      <c r="J88" s="345">
        <f t="shared" si="2"/>
        <v>0</v>
      </c>
    </row>
    <row r="89" spans="1:10" ht="21" x14ac:dyDescent="0.35">
      <c r="A89" s="339"/>
      <c r="B89" s="346" t="s">
        <v>1157</v>
      </c>
      <c r="C89" s="341" t="s">
        <v>144</v>
      </c>
      <c r="D89" s="342">
        <v>50</v>
      </c>
      <c r="E89" s="343">
        <v>480</v>
      </c>
      <c r="F89" s="343">
        <f>D89*E89</f>
        <v>24000</v>
      </c>
      <c r="G89" s="347">
        <f>SUM(F89:F89)</f>
        <v>24000</v>
      </c>
      <c r="I89" s="337">
        <v>50</v>
      </c>
      <c r="J89" s="345">
        <f t="shared" si="2"/>
        <v>24000</v>
      </c>
    </row>
    <row r="90" spans="1:10" ht="21" x14ac:dyDescent="0.35">
      <c r="A90" s="342"/>
      <c r="B90" s="346"/>
      <c r="C90" s="341"/>
      <c r="D90" s="342"/>
      <c r="E90" s="343"/>
      <c r="F90" s="351"/>
      <c r="G90" s="344"/>
      <c r="I90" s="337"/>
      <c r="J90" s="345">
        <f t="shared" si="2"/>
        <v>0</v>
      </c>
    </row>
    <row r="91" spans="1:10" ht="21" x14ac:dyDescent="0.35">
      <c r="A91" s="339">
        <v>18</v>
      </c>
      <c r="B91" s="340" t="s">
        <v>1121</v>
      </c>
      <c r="C91" s="341"/>
      <c r="D91" s="342"/>
      <c r="E91" s="343"/>
      <c r="F91" s="343"/>
      <c r="G91" s="344"/>
      <c r="I91" s="337"/>
      <c r="J91" s="345">
        <f t="shared" si="2"/>
        <v>0</v>
      </c>
    </row>
    <row r="92" spans="1:10" ht="21" x14ac:dyDescent="0.35">
      <c r="A92" s="339"/>
      <c r="B92" s="346" t="s">
        <v>1034</v>
      </c>
      <c r="C92" s="341">
        <v>30</v>
      </c>
      <c r="D92" s="342">
        <v>300</v>
      </c>
      <c r="E92" s="343">
        <v>2500</v>
      </c>
      <c r="F92" s="343">
        <f>D92*E92</f>
        <v>750000</v>
      </c>
      <c r="G92" s="347">
        <f>SUM(F92:F92)</f>
        <v>750000</v>
      </c>
      <c r="I92" s="337">
        <v>300</v>
      </c>
      <c r="J92" s="345">
        <f t="shared" si="2"/>
        <v>750000</v>
      </c>
    </row>
    <row r="93" spans="1:10" ht="21" x14ac:dyDescent="0.35">
      <c r="A93" s="339"/>
      <c r="B93" s="346"/>
      <c r="C93" s="341"/>
      <c r="D93" s="342"/>
      <c r="E93" s="343"/>
      <c r="F93" s="343"/>
      <c r="G93" s="344"/>
      <c r="I93" s="337"/>
      <c r="J93" s="345">
        <f t="shared" si="2"/>
        <v>0</v>
      </c>
    </row>
    <row r="94" spans="1:10" ht="21.75" thickBot="1" x14ac:dyDescent="0.4">
      <c r="G94" s="357">
        <f>SUM(G6:G93)</f>
        <v>5486475</v>
      </c>
      <c r="J94" s="357">
        <f>SUM(J6:J93)</f>
        <v>5227345</v>
      </c>
    </row>
    <row r="95" spans="1:10" x14ac:dyDescent="0.3">
      <c r="F95" s="325"/>
    </row>
    <row r="97" spans="2:4" ht="19.5" thickBot="1" x14ac:dyDescent="0.35"/>
    <row r="98" spans="2:4" ht="27" thickBot="1" x14ac:dyDescent="0.45">
      <c r="B98" s="358" t="s">
        <v>1200</v>
      </c>
      <c r="C98" s="891">
        <f>G94</f>
        <v>5486475</v>
      </c>
      <c r="D98" s="892"/>
    </row>
    <row r="99" spans="2:4" ht="19.5" thickBot="1" x14ac:dyDescent="0.35">
      <c r="B99" s="359"/>
      <c r="C99" s="360"/>
      <c r="D99" s="361"/>
    </row>
    <row r="100" spans="2:4" ht="27" thickBot="1" x14ac:dyDescent="0.45">
      <c r="B100" s="358" t="s">
        <v>1073</v>
      </c>
      <c r="C100" s="891">
        <f>G94-J94</f>
        <v>259130</v>
      </c>
      <c r="D100" s="892"/>
    </row>
    <row r="101" spans="2:4" ht="19.5" thickBot="1" x14ac:dyDescent="0.35">
      <c r="B101" s="359"/>
      <c r="C101" s="360"/>
      <c r="D101" s="361"/>
    </row>
    <row r="102" spans="2:4" ht="27" thickBot="1" x14ac:dyDescent="0.45">
      <c r="B102" s="358" t="s">
        <v>1074</v>
      </c>
      <c r="C102" s="893">
        <f>J94/G94</f>
        <v>0.95276930998500864</v>
      </c>
      <c r="D102" s="894"/>
    </row>
  </sheetData>
  <mergeCells count="4">
    <mergeCell ref="C98:D98"/>
    <mergeCell ref="C100:D100"/>
    <mergeCell ref="C102:D102"/>
    <mergeCell ref="A1:G1"/>
  </mergeCells>
  <pageMargins left="0.25" right="0.25" top="0.75" bottom="0.75" header="0.3" footer="0.3"/>
  <pageSetup paperSize="9" scale="6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34"/>
  <sheetViews>
    <sheetView view="pageBreakPreview" topLeftCell="A13" zoomScale="90" zoomScaleNormal="100" zoomScaleSheetLayoutView="90" workbookViewId="0">
      <selection activeCell="F100" sqref="F100"/>
    </sheetView>
  </sheetViews>
  <sheetFormatPr defaultRowHeight="15.75" x14ac:dyDescent="0.25"/>
  <cols>
    <col min="1" max="1" width="9.140625" style="250"/>
    <col min="2" max="2" width="82.42578125" style="250" customWidth="1"/>
    <col min="3" max="3" width="21.140625" style="283" bestFit="1" customWidth="1"/>
    <col min="4" max="4" width="19.7109375" style="250" bestFit="1" customWidth="1"/>
    <col min="5" max="16384" width="9.140625" style="250"/>
  </cols>
  <sheetData>
    <row r="1" spans="1:3" ht="42" customHeight="1" x14ac:dyDescent="0.25">
      <c r="A1" s="896" t="s">
        <v>1202</v>
      </c>
      <c r="B1" s="897"/>
      <c r="C1" s="898"/>
    </row>
    <row r="2" spans="1:3" x14ac:dyDescent="0.25">
      <c r="A2" s="278"/>
      <c r="B2" s="278"/>
      <c r="C2" s="279"/>
    </row>
    <row r="3" spans="1:3" ht="18.75" x14ac:dyDescent="0.3">
      <c r="A3" s="278"/>
      <c r="B3" s="278" t="s">
        <v>1213</v>
      </c>
      <c r="C3" s="38">
        <v>246119439.49000001</v>
      </c>
    </row>
    <row r="4" spans="1:3" x14ac:dyDescent="0.25">
      <c r="A4" s="278"/>
      <c r="B4" s="278"/>
      <c r="C4" s="279"/>
    </row>
    <row r="5" spans="1:3" x14ac:dyDescent="0.25">
      <c r="A5" s="278" t="s">
        <v>1203</v>
      </c>
      <c r="B5" s="278" t="str">
        <f>'LPO 1 Suppl Analysis'!C510</f>
        <v>TOTAL AMOUNT OF DRUGS APPROVED FOR PHASE 1 2018/2019</v>
      </c>
      <c r="C5" s="279" t="e">
        <f>'LPO 1 Suppl Analysis'!D510</f>
        <v>#REF!</v>
      </c>
    </row>
    <row r="6" spans="1:3" x14ac:dyDescent="0.25">
      <c r="A6" s="278"/>
      <c r="B6" s="278" t="str">
        <f>'LPO 1 Suppl Analysis'!C512</f>
        <v>TOTAL AMOUNT OF DRUGS NOT SUPPLIED</v>
      </c>
      <c r="C6" s="279" t="e">
        <f>'LPO 1 Suppl Analysis'!D512</f>
        <v>#REF!</v>
      </c>
    </row>
    <row r="7" spans="1:3" x14ac:dyDescent="0.25">
      <c r="A7" s="278"/>
      <c r="B7" s="362" t="str">
        <f>'LPO 1 Suppl Analysis'!C514</f>
        <v>TOTAL PERCENTAGE OF DRUGS SUPPLIED</v>
      </c>
      <c r="C7" s="362" t="e">
        <f>'LPO 1 Suppl Analysis'!D514</f>
        <v>#REF!</v>
      </c>
    </row>
    <row r="8" spans="1:3" x14ac:dyDescent="0.25">
      <c r="A8" s="278"/>
      <c r="B8" s="278"/>
      <c r="C8" s="279"/>
    </row>
    <row r="9" spans="1:3" x14ac:dyDescent="0.25">
      <c r="A9" s="278"/>
      <c r="B9" s="278"/>
      <c r="C9" s="279"/>
    </row>
    <row r="10" spans="1:3" x14ac:dyDescent="0.25">
      <c r="A10" s="278"/>
      <c r="B10" s="279" t="str">
        <f>'SUPPL 1 Supply Analysis'!B98</f>
        <v>TOTAL AMOUNT OF DRUGS APPROVED FOR SUPPLEMENATRY 1 2018/2019</v>
      </c>
      <c r="C10" s="279">
        <f>'SUPPL 1 Supply Analysis'!C98</f>
        <v>5486475</v>
      </c>
    </row>
    <row r="11" spans="1:3" x14ac:dyDescent="0.25">
      <c r="A11" s="278"/>
      <c r="B11" s="279" t="str">
        <f>'SUPPL 1 Supply Analysis'!B100</f>
        <v>TOTAL AMOUNT OF DRUGS NOT SUPPLIED</v>
      </c>
      <c r="C11" s="279">
        <f>'SUPPL 1 Supply Analysis'!C100</f>
        <v>259130</v>
      </c>
    </row>
    <row r="12" spans="1:3" x14ac:dyDescent="0.25">
      <c r="A12" s="278"/>
      <c r="B12" s="278" t="str">
        <f>'SUPPL 1 Supply Analysis'!B102</f>
        <v>TOTAL PERCENTAGE OF DRUGS SUPPLIED</v>
      </c>
      <c r="C12" s="362">
        <f>'SUPPL 1 Supply Analysis'!C102</f>
        <v>0.95276930998500864</v>
      </c>
    </row>
    <row r="13" spans="1:3" x14ac:dyDescent="0.25">
      <c r="A13" s="278"/>
      <c r="B13" s="278"/>
      <c r="C13" s="279"/>
    </row>
    <row r="14" spans="1:3" x14ac:dyDescent="0.25">
      <c r="A14" s="278"/>
      <c r="B14" s="278"/>
      <c r="C14" s="279"/>
    </row>
    <row r="15" spans="1:3" x14ac:dyDescent="0.25">
      <c r="A15" s="278" t="s">
        <v>1204</v>
      </c>
      <c r="B15" s="279" t="str">
        <f>'LPO 1A Suppl Analysis'!C161</f>
        <v>TOTAL AMOUNT OF DRUGS APPROVED FOR PHASE 1A 2018/2019</v>
      </c>
      <c r="C15" s="279">
        <f>'LPO 1A Suppl Analysis'!D161</f>
        <v>6903359.4300000006</v>
      </c>
    </row>
    <row r="16" spans="1:3" x14ac:dyDescent="0.25">
      <c r="A16" s="278"/>
      <c r="B16" s="279" t="str">
        <f>'LPO 1A Suppl Analysis'!C163</f>
        <v>TOTAL AMOUNT OF DRUGS NOT SUPPLIED</v>
      </c>
      <c r="C16" s="279">
        <f>'LPO 1A Suppl Analysis'!D163</f>
        <v>364650.00000000093</v>
      </c>
    </row>
    <row r="17" spans="1:3" x14ac:dyDescent="0.25">
      <c r="A17" s="278"/>
      <c r="B17" s="278" t="str">
        <f>'LPO 1A Suppl Analysis'!C165</f>
        <v>TOTAL PERCENTAGE OF DRUGS SUPPLIED</v>
      </c>
      <c r="C17" s="362">
        <f>'LPO 1A Suppl Analysis'!D165</f>
        <v>0.94717789161964572</v>
      </c>
    </row>
    <row r="18" spans="1:3" x14ac:dyDescent="0.25">
      <c r="A18" s="278"/>
      <c r="B18" s="278"/>
      <c r="C18" s="279"/>
    </row>
    <row r="19" spans="1:3" x14ac:dyDescent="0.25">
      <c r="A19" s="278"/>
      <c r="B19" s="278"/>
      <c r="C19" s="279"/>
    </row>
    <row r="20" spans="1:3" x14ac:dyDescent="0.25">
      <c r="A20" s="278"/>
      <c r="B20" s="188" t="s">
        <v>1205</v>
      </c>
      <c r="C20" s="190" t="e">
        <f>C5+C10+C15</f>
        <v>#REF!</v>
      </c>
    </row>
    <row r="21" spans="1:3" x14ac:dyDescent="0.25">
      <c r="A21" s="278"/>
      <c r="B21" s="188" t="s">
        <v>1206</v>
      </c>
      <c r="C21" s="190" t="e">
        <f>C6+C11+C16</f>
        <v>#REF!</v>
      </c>
    </row>
    <row r="22" spans="1:3" x14ac:dyDescent="0.25">
      <c r="A22" s="278"/>
      <c r="B22" s="188" t="s">
        <v>1207</v>
      </c>
      <c r="C22" s="363" t="e">
        <f>(C20-C21)/C20</f>
        <v>#REF!</v>
      </c>
    </row>
    <row r="23" spans="1:3" x14ac:dyDescent="0.25">
      <c r="A23" s="278"/>
      <c r="B23" s="278"/>
      <c r="C23" s="279"/>
    </row>
    <row r="24" spans="1:3" x14ac:dyDescent="0.25">
      <c r="A24" s="278"/>
      <c r="B24" s="278"/>
      <c r="C24" s="279"/>
    </row>
    <row r="25" spans="1:3" x14ac:dyDescent="0.25">
      <c r="A25" s="278"/>
      <c r="B25" s="278"/>
      <c r="C25" s="279"/>
    </row>
    <row r="26" spans="1:3" x14ac:dyDescent="0.25">
      <c r="A26" s="278"/>
      <c r="B26" s="278"/>
      <c r="C26" s="279"/>
    </row>
    <row r="27" spans="1:3" x14ac:dyDescent="0.25">
      <c r="A27" s="278"/>
      <c r="B27" s="278" t="s">
        <v>1208</v>
      </c>
      <c r="C27" s="190">
        <f>19014500.23</f>
        <v>19014500.23</v>
      </c>
    </row>
    <row r="28" spans="1:3" x14ac:dyDescent="0.25">
      <c r="A28" s="278"/>
      <c r="B28" s="278" t="s">
        <v>1209</v>
      </c>
      <c r="C28" s="190" t="e">
        <f>C20-C21</f>
        <v>#REF!</v>
      </c>
    </row>
    <row r="29" spans="1:3" x14ac:dyDescent="0.25">
      <c r="A29" s="278"/>
      <c r="B29" s="278"/>
      <c r="C29" s="279"/>
    </row>
    <row r="30" spans="1:3" x14ac:dyDescent="0.25">
      <c r="A30" s="278"/>
      <c r="B30" s="278" t="s">
        <v>1210</v>
      </c>
      <c r="C30" s="364" t="e">
        <f>C27+C28</f>
        <v>#REF!</v>
      </c>
    </row>
    <row r="31" spans="1:3" x14ac:dyDescent="0.25">
      <c r="A31" s="278"/>
      <c r="B31" s="278"/>
      <c r="C31" s="279"/>
    </row>
    <row r="32" spans="1:3" x14ac:dyDescent="0.25">
      <c r="A32" s="278"/>
      <c r="B32" s="278" t="s">
        <v>1211</v>
      </c>
      <c r="C32" s="279">
        <v>35463119.299999997</v>
      </c>
    </row>
    <row r="33" spans="1:3" x14ac:dyDescent="0.25">
      <c r="A33" s="278"/>
      <c r="B33" s="278"/>
      <c r="C33" s="279"/>
    </row>
    <row r="34" spans="1:3" ht="18" x14ac:dyDescent="0.4">
      <c r="A34" s="278"/>
      <c r="B34" s="278" t="s">
        <v>1212</v>
      </c>
      <c r="C34" s="365" t="e">
        <f>C30-C32</f>
        <v>#REF!</v>
      </c>
    </row>
  </sheetData>
  <mergeCells count="1">
    <mergeCell ref="A1:C1"/>
  </mergeCells>
  <pageMargins left="0.7" right="0.7" top="0.75" bottom="0.75" header="0.3" footer="0.3"/>
  <pageSetup scale="9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N</vt:lpstr>
      <vt:lpstr>Check list</vt:lpstr>
      <vt:lpstr>CL SUMMARY</vt:lpstr>
      <vt:lpstr>DL</vt:lpstr>
      <vt:lpstr>PR</vt:lpstr>
      <vt:lpstr>EV</vt:lpstr>
      <vt:lpstr>BID</vt:lpstr>
      <vt:lpstr>SUPPLEMENTARY</vt:lpstr>
      <vt:lpstr>ALPHA</vt:lpstr>
      <vt:lpstr>BIOFEM</vt:lpstr>
      <vt:lpstr>BIOMED</vt:lpstr>
      <vt:lpstr>CHI</vt:lpstr>
      <vt:lpstr>CLARION</vt:lpstr>
      <vt:lpstr>CODIX</vt:lpstr>
      <vt:lpstr>COSMADE</vt:lpstr>
      <vt:lpstr>SANCON</vt:lpstr>
      <vt:lpstr>DEVON</vt:lpstr>
      <vt:lpstr>DORTEMAG</vt:lpstr>
      <vt:lpstr>DGF</vt:lpstr>
      <vt:lpstr>DYNAMIC</vt:lpstr>
      <vt:lpstr>EMZOR</vt:lpstr>
      <vt:lpstr>EUMATT</vt:lpstr>
      <vt:lpstr>FIDSON</vt:lpstr>
      <vt:lpstr>FGLOBAL</vt:lpstr>
      <vt:lpstr>GENEITH</vt:lpstr>
      <vt:lpstr>GINOS</vt:lpstr>
      <vt:lpstr>GSK</vt:lpstr>
      <vt:lpstr>GLOBORG</vt:lpstr>
      <vt:lpstr>GREENLIFE</vt:lpstr>
      <vt:lpstr>HLINE</vt:lpstr>
      <vt:lpstr>ROTECH</vt:lpstr>
      <vt:lpstr>ISN</vt:lpstr>
      <vt:lpstr>JAWA</vt:lpstr>
      <vt:lpstr>LAYO</vt:lpstr>
      <vt:lpstr>LEADWAY</vt:lpstr>
      <vt:lpstr>LHV</vt:lpstr>
      <vt:lpstr>MANOLA</vt:lpstr>
      <vt:lpstr>MARCSON</vt:lpstr>
      <vt:lpstr>M&amp;B</vt:lpstr>
      <vt:lpstr>MTRUST</vt:lpstr>
      <vt:lpstr>MEGA</vt:lpstr>
      <vt:lpstr>MICRONOVA</vt:lpstr>
      <vt:lpstr>MFLASH</vt:lpstr>
      <vt:lpstr>MORISON</vt:lpstr>
      <vt:lpstr>NHC</vt:lpstr>
      <vt:lpstr>OLEAF</vt:lpstr>
      <vt:lpstr>PACIFIC</vt:lpstr>
      <vt:lpstr>PHAMATEX</vt:lpstr>
      <vt:lpstr>PETHICS</vt:lpstr>
      <vt:lpstr>PHILIPS</vt:lpstr>
      <vt:lpstr>RANBAXY</vt:lpstr>
      <vt:lpstr>ROYAL</vt:lpstr>
      <vt:lpstr>SAM</vt:lpstr>
      <vt:lpstr>SEAGREEN</vt:lpstr>
      <vt:lpstr>SKG</vt:lpstr>
      <vt:lpstr>TAH</vt:lpstr>
      <vt:lpstr>TAYLEK</vt:lpstr>
      <vt:lpstr>TEMITA</vt:lpstr>
      <vt:lpstr>THL</vt:lpstr>
      <vt:lpstr>UBASTIC</vt:lpstr>
      <vt:lpstr>UNION</vt:lpstr>
      <vt:lpstr>UNIQUE</vt:lpstr>
      <vt:lpstr>VIXA</vt:lpstr>
      <vt:lpstr>WWCV</vt:lpstr>
      <vt:lpstr>ZOLON</vt:lpstr>
      <vt:lpstr>PHARMACY AWARD</vt:lpstr>
      <vt:lpstr>RADIOLOGY AWARD</vt:lpstr>
      <vt:lpstr>THEATRE AWARD</vt:lpstr>
      <vt:lpstr>CHEMICAL PATHOLOGY AWARD</vt:lpstr>
      <vt:lpstr>HISTOPATHOLOGY</vt:lpstr>
      <vt:lpstr>HAEMATOLOGY</vt:lpstr>
      <vt:lpstr>MICROBIOLOGY AWARD</vt:lpstr>
      <vt:lpstr>INFECTION CONTROL</vt:lpstr>
      <vt:lpstr>SHAJE AWARD</vt:lpstr>
      <vt:lpstr>OBADA AWARD</vt:lpstr>
      <vt:lpstr>PHASE 1 LPO 25%</vt:lpstr>
      <vt:lpstr>PHASE 1 LPO EDITED</vt:lpstr>
      <vt:lpstr>SUPPL LIST EDITED</vt:lpstr>
      <vt:lpstr>SUPPL 1</vt:lpstr>
      <vt:lpstr>EXTRACT COMPARISON</vt:lpstr>
      <vt:lpstr>PROFILES</vt:lpstr>
      <vt:lpstr>2ND SUPPL 1</vt:lpstr>
      <vt:lpstr>3RD SUPPL 1</vt:lpstr>
      <vt:lpstr>SUPPL COMP</vt:lpstr>
      <vt:lpstr>wwcv split</vt:lpstr>
      <vt:lpstr>BID PHASE 1B</vt:lpstr>
      <vt:lpstr>DL (2)</vt:lpstr>
      <vt:lpstr>2ND LPO 1</vt:lpstr>
      <vt:lpstr>Phase 1a </vt:lpstr>
      <vt:lpstr>4TH SUPPL 1</vt:lpstr>
      <vt:lpstr>LPO 1 Suppl Analysis</vt:lpstr>
      <vt:lpstr>LPO 1A Suppl Analysis</vt:lpstr>
      <vt:lpstr>SUPPL 1 Supply Analysis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OOUTH PHARMACY 3</cp:lastModifiedBy>
  <cp:lastPrinted>2020-01-09T10:11:59Z</cp:lastPrinted>
  <dcterms:created xsi:type="dcterms:W3CDTF">2017-03-22T04:22:31Z</dcterms:created>
  <dcterms:modified xsi:type="dcterms:W3CDTF">2020-01-13T09:12:24Z</dcterms:modified>
</cp:coreProperties>
</file>